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Q\Desktop\"/>
    </mc:Choice>
  </mc:AlternateContent>
  <xr:revisionPtr revIDLastSave="0" documentId="13_ncr:1_{891DB25F-1492-46CC-9C74-FD0D15E4265A}" xr6:coauthVersionLast="47" xr6:coauthVersionMax="47" xr10:uidLastSave="{00000000-0000-0000-0000-000000000000}"/>
  <bookViews>
    <workbookView xWindow="-120" yWindow="-120" windowWidth="29040" windowHeight="15840" tabRatio="871" activeTab="10" xr2:uid="{A38C0E3E-689F-4633-B33B-ECCD0DE9B0F9}"/>
  </bookViews>
  <sheets>
    <sheet name="İŞLETME KAYIT NO" sheetId="8" r:id="rId1"/>
    <sheet name="CARİ KARTLARI" sheetId="14" r:id="rId2"/>
    <sheet name="HİZMET KARTLARI" sheetId="7" r:id="rId3"/>
    <sheet name="STOK KARTLARI" sheetId="2" r:id="rId4"/>
    <sheet name="STOK HAREKET" sheetId="21" r:id="rId5"/>
    <sheet name="STOK RAPORU" sheetId="18" r:id="rId6"/>
    <sheet name="CARİ" sheetId="10" r:id="rId7"/>
    <sheet name="KASA" sheetId="5" r:id="rId8"/>
    <sheet name="FİYAT HESAPLAMA" sheetId="6" r:id="rId9"/>
    <sheet name="HESAP MAKİNASI" sheetId="12" r:id="rId10"/>
    <sheet name="RAPOR" sheetId="15" r:id="rId11"/>
    <sheet name="SİPARİŞ" sheetId="17" r:id="rId12"/>
  </sheets>
  <definedNames>
    <definedName name="_xlnm._FilterDatabase" localSheetId="0" hidden="1">'İŞLETME KAYIT NO'!$B$1:$I$97</definedName>
    <definedName name="_xlnm._FilterDatabase" localSheetId="7" hidden="1">KASA!$A$1:$S$10170</definedName>
    <definedName name="_xlnm._FilterDatabase" localSheetId="4" hidden="1">'STOK HAREKET'!$B$4:$S$588</definedName>
    <definedName name="_xlnm._FilterDatabase" localSheetId="5" hidden="1">'STOK RAPORU'!$C$1:$V$464</definedName>
    <definedName name="DışVeri_1" localSheetId="1" hidden="1">'CARİ KARTLARI'!$A$1:$B$1000</definedName>
    <definedName name="DışVeri_1" localSheetId="2" hidden="1">'HİZMET KARTLARI'!$A$1:$B$1000</definedName>
    <definedName name="DışVeri_2" localSheetId="3" hidden="1">'STOK KARTLARI'!$A$1:$G$1230</definedName>
  </definedNames>
  <calcPr calcId="191028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  <c r="C6" i="6"/>
  <c r="C7" i="6"/>
  <c r="F7" i="6" s="1"/>
  <c r="C8" i="6"/>
  <c r="C9" i="6"/>
  <c r="C10" i="6"/>
  <c r="C11" i="6"/>
  <c r="C12" i="6"/>
  <c r="F12" i="6" s="1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F125" i="6" s="1"/>
  <c r="C126" i="6"/>
  <c r="F126" i="6" s="1"/>
  <c r="C127" i="6"/>
  <c r="F127" i="6" s="1"/>
  <c r="C128" i="6"/>
  <c r="F128" i="6" s="1"/>
  <c r="C129" i="6"/>
  <c r="F129" i="6" s="1"/>
  <c r="C130" i="6"/>
  <c r="F130" i="6" s="1"/>
  <c r="C131" i="6"/>
  <c r="F131" i="6" s="1"/>
  <c r="C132" i="6"/>
  <c r="F132" i="6" s="1"/>
  <c r="C133" i="6"/>
  <c r="F133" i="6" s="1"/>
  <c r="C134" i="6"/>
  <c r="F134" i="6" s="1"/>
  <c r="C135" i="6"/>
  <c r="F135" i="6" s="1"/>
  <c r="C136" i="6"/>
  <c r="F136" i="6" s="1"/>
  <c r="C137" i="6"/>
  <c r="F137" i="6" s="1"/>
  <c r="C138" i="6"/>
  <c r="F138" i="6" s="1"/>
  <c r="C139" i="6"/>
  <c r="F139" i="6" s="1"/>
  <c r="C140" i="6"/>
  <c r="C141" i="6"/>
  <c r="F141" i="6" s="1"/>
  <c r="C142" i="6"/>
  <c r="F142" i="6" s="1"/>
  <c r="C143" i="6"/>
  <c r="F143" i="6" s="1"/>
  <c r="C144" i="6"/>
  <c r="F144" i="6" s="1"/>
  <c r="C145" i="6"/>
  <c r="F145" i="6" s="1"/>
  <c r="C146" i="6"/>
  <c r="F146" i="6" s="1"/>
  <c r="C147" i="6"/>
  <c r="F147" i="6" s="1"/>
  <c r="C148" i="6"/>
  <c r="F148" i="6" s="1"/>
  <c r="C149" i="6"/>
  <c r="F149" i="6" s="1"/>
  <c r="C150" i="6"/>
  <c r="F150" i="6" s="1"/>
  <c r="C151" i="6"/>
  <c r="F151" i="6" s="1"/>
  <c r="C152" i="6"/>
  <c r="F152" i="6" s="1"/>
  <c r="C153" i="6"/>
  <c r="F153" i="6" s="1"/>
  <c r="C154" i="6"/>
  <c r="F154" i="6" s="1"/>
  <c r="J8308" i="5"/>
  <c r="I8291" i="5"/>
  <c r="J8142" i="5"/>
  <c r="F8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40" i="6"/>
  <c r="C3" i="6"/>
  <c r="F3" i="6" s="1"/>
  <c r="C4" i="6"/>
  <c r="F4" i="6" s="1"/>
  <c r="F5" i="6"/>
  <c r="F6" i="6"/>
  <c r="F9" i="6"/>
  <c r="F10" i="6"/>
  <c r="F11" i="6"/>
  <c r="T168" i="21"/>
  <c r="T169" i="21"/>
  <c r="T170" i="21"/>
  <c r="T171" i="21"/>
  <c r="T172" i="21"/>
  <c r="T173" i="21"/>
  <c r="T174" i="21"/>
  <c r="T175" i="21"/>
  <c r="T176" i="21"/>
  <c r="T177" i="21"/>
  <c r="T178" i="21"/>
  <c r="T179" i="21"/>
  <c r="T180" i="21"/>
  <c r="T181" i="21"/>
  <c r="T182" i="21"/>
  <c r="T183" i="21"/>
  <c r="T184" i="21"/>
  <c r="T185" i="21"/>
  <c r="T186" i="21"/>
  <c r="T187" i="21"/>
  <c r="T188" i="21"/>
  <c r="T189" i="21"/>
  <c r="T190" i="21"/>
  <c r="T191" i="21"/>
  <c r="T192" i="21"/>
  <c r="T193" i="21"/>
  <c r="T194" i="21"/>
  <c r="T195" i="21"/>
  <c r="T196" i="21"/>
  <c r="T197" i="21"/>
  <c r="T198" i="21"/>
  <c r="T199" i="21"/>
  <c r="T200" i="21"/>
  <c r="T201" i="21"/>
  <c r="T202" i="21"/>
  <c r="T203" i="21"/>
  <c r="T204" i="21"/>
  <c r="T205" i="21"/>
  <c r="T206" i="21"/>
  <c r="T207" i="21"/>
  <c r="T208" i="21"/>
  <c r="T209" i="21"/>
  <c r="T210" i="21"/>
  <c r="T211" i="21"/>
  <c r="T212" i="21"/>
  <c r="T213" i="21"/>
  <c r="T214" i="21"/>
  <c r="T215" i="21"/>
  <c r="T216" i="21"/>
  <c r="T217" i="21"/>
  <c r="T218" i="21"/>
  <c r="T219" i="21"/>
  <c r="T220" i="21"/>
  <c r="T221" i="21"/>
  <c r="T222" i="21"/>
  <c r="T223" i="21"/>
  <c r="T224" i="21"/>
  <c r="T225" i="21"/>
  <c r="T226" i="21"/>
  <c r="T227" i="21"/>
  <c r="T228" i="21"/>
  <c r="T229" i="21"/>
  <c r="T230" i="21"/>
  <c r="T231" i="21"/>
  <c r="T232" i="21"/>
  <c r="T233" i="21"/>
  <c r="T234" i="21"/>
  <c r="T235" i="21"/>
  <c r="T236" i="21"/>
  <c r="T237" i="21"/>
  <c r="T238" i="21"/>
  <c r="T239" i="21"/>
  <c r="T240" i="21"/>
  <c r="T241" i="21"/>
  <c r="T242" i="21"/>
  <c r="T243" i="21"/>
  <c r="T244" i="21"/>
  <c r="T245" i="21"/>
  <c r="T246" i="21"/>
  <c r="T247" i="21"/>
  <c r="T248" i="21"/>
  <c r="T249" i="21"/>
  <c r="T250" i="21"/>
  <c r="T251" i="21"/>
  <c r="T252" i="21"/>
  <c r="T253" i="21"/>
  <c r="T254" i="21"/>
  <c r="T255" i="21"/>
  <c r="T256" i="21"/>
  <c r="T257" i="21"/>
  <c r="T258" i="21"/>
  <c r="T259" i="21"/>
  <c r="T260" i="21"/>
  <c r="T261" i="21"/>
  <c r="T262" i="21"/>
  <c r="T263" i="21"/>
  <c r="T264" i="21"/>
  <c r="T265" i="21"/>
  <c r="T266" i="21"/>
  <c r="T267" i="21"/>
  <c r="T268" i="21"/>
  <c r="T269" i="21"/>
  <c r="T270" i="21"/>
  <c r="T271" i="21"/>
  <c r="T272" i="21"/>
  <c r="T273" i="21"/>
  <c r="T274" i="21"/>
  <c r="T275" i="21"/>
  <c r="T276" i="21"/>
  <c r="T277" i="21"/>
  <c r="T278" i="21"/>
  <c r="T279" i="21"/>
  <c r="T280" i="21"/>
  <c r="T281" i="21"/>
  <c r="T282" i="21"/>
  <c r="T283" i="21"/>
  <c r="T284" i="21"/>
  <c r="T285" i="21"/>
  <c r="T286" i="21"/>
  <c r="T287" i="21"/>
  <c r="T288" i="21"/>
  <c r="T289" i="21"/>
  <c r="T290" i="21"/>
  <c r="T291" i="21"/>
  <c r="T292" i="21"/>
  <c r="T293" i="21"/>
  <c r="T294" i="21"/>
  <c r="T295" i="21"/>
  <c r="T296" i="21"/>
  <c r="T297" i="21"/>
  <c r="T298" i="21"/>
  <c r="T299" i="21"/>
  <c r="T300" i="21"/>
  <c r="T301" i="21"/>
  <c r="T302" i="21"/>
  <c r="T303" i="21"/>
  <c r="T304" i="21"/>
  <c r="T305" i="21"/>
  <c r="T306" i="21"/>
  <c r="T307" i="21"/>
  <c r="T308" i="21"/>
  <c r="T309" i="21"/>
  <c r="T310" i="21"/>
  <c r="T311" i="21"/>
  <c r="T312" i="21"/>
  <c r="T313" i="21"/>
  <c r="T314" i="21"/>
  <c r="T315" i="21"/>
  <c r="T316" i="21"/>
  <c r="T317" i="21"/>
  <c r="T318" i="21"/>
  <c r="T319" i="21"/>
  <c r="T320" i="21"/>
  <c r="T321" i="21"/>
  <c r="T322" i="21"/>
  <c r="T323" i="21"/>
  <c r="T324" i="21"/>
  <c r="T325" i="21"/>
  <c r="T326" i="21"/>
  <c r="T327" i="21"/>
  <c r="T328" i="21"/>
  <c r="T329" i="21"/>
  <c r="T330" i="21"/>
  <c r="T331" i="21"/>
  <c r="T332" i="21"/>
  <c r="T333" i="21"/>
  <c r="T334" i="21"/>
  <c r="T335" i="21"/>
  <c r="T336" i="21"/>
  <c r="T337" i="21"/>
  <c r="T338" i="21"/>
  <c r="T339" i="21"/>
  <c r="T340" i="21"/>
  <c r="T341" i="21"/>
  <c r="T342" i="21"/>
  <c r="T343" i="21"/>
  <c r="T344" i="21"/>
  <c r="T345" i="21"/>
  <c r="T346" i="21"/>
  <c r="T347" i="21"/>
  <c r="T348" i="21"/>
  <c r="T349" i="21"/>
  <c r="T350" i="21"/>
  <c r="T351" i="21"/>
  <c r="T352" i="21"/>
  <c r="T353" i="21"/>
  <c r="T354" i="21"/>
  <c r="T355" i="21"/>
  <c r="T356" i="21"/>
  <c r="T357" i="21"/>
  <c r="T358" i="21"/>
  <c r="T359" i="21"/>
  <c r="T360" i="21"/>
  <c r="T361" i="21"/>
  <c r="T362" i="21"/>
  <c r="T363" i="21"/>
  <c r="T364" i="21"/>
  <c r="T365" i="21"/>
  <c r="T366" i="21"/>
  <c r="T367" i="21"/>
  <c r="T368" i="21"/>
  <c r="T369" i="21"/>
  <c r="T370" i="21"/>
  <c r="T371" i="21"/>
  <c r="T372" i="21"/>
  <c r="T373" i="21"/>
  <c r="T374" i="21"/>
  <c r="T375" i="21"/>
  <c r="T376" i="21"/>
  <c r="T377" i="21"/>
  <c r="T378" i="21"/>
  <c r="T379" i="21"/>
  <c r="T380" i="21"/>
  <c r="T381" i="21"/>
  <c r="T382" i="21"/>
  <c r="T383" i="21"/>
  <c r="T384" i="21"/>
  <c r="T385" i="21"/>
  <c r="T386" i="21"/>
  <c r="T387" i="21"/>
  <c r="T388" i="21"/>
  <c r="T389" i="21"/>
  <c r="T390" i="21"/>
  <c r="T391" i="21"/>
  <c r="T392" i="21"/>
  <c r="T393" i="21"/>
  <c r="T394" i="21"/>
  <c r="T395" i="21"/>
  <c r="T396" i="21"/>
  <c r="T397" i="21"/>
  <c r="T398" i="21"/>
  <c r="T399" i="21"/>
  <c r="T400" i="21"/>
  <c r="T401" i="21"/>
  <c r="T402" i="21"/>
  <c r="T403" i="21"/>
  <c r="T404" i="21"/>
  <c r="T405" i="21"/>
  <c r="T406" i="21"/>
  <c r="T407" i="21"/>
  <c r="T408" i="21"/>
  <c r="T409" i="21"/>
  <c r="T410" i="21"/>
  <c r="T411" i="21"/>
  <c r="T412" i="21"/>
  <c r="T413" i="21"/>
  <c r="T414" i="21"/>
  <c r="T415" i="21"/>
  <c r="T416" i="21"/>
  <c r="T417" i="21"/>
  <c r="T418" i="21"/>
  <c r="T419" i="21"/>
  <c r="T420" i="21"/>
  <c r="T421" i="21"/>
  <c r="T422" i="21"/>
  <c r="T423" i="21"/>
  <c r="T424" i="21"/>
  <c r="T425" i="21"/>
  <c r="T426" i="21"/>
  <c r="T427" i="21"/>
  <c r="T428" i="21"/>
  <c r="T429" i="21"/>
  <c r="T430" i="21"/>
  <c r="T431" i="21"/>
  <c r="T432" i="21"/>
  <c r="T433" i="21"/>
  <c r="T434" i="21"/>
  <c r="T435" i="21"/>
  <c r="T436" i="21"/>
  <c r="T437" i="21"/>
  <c r="T438" i="21"/>
  <c r="T439" i="21"/>
  <c r="T440" i="21"/>
  <c r="T441" i="21"/>
  <c r="T442" i="21"/>
  <c r="T443" i="21"/>
  <c r="T444" i="21"/>
  <c r="T445" i="21"/>
  <c r="T446" i="21"/>
  <c r="T447" i="21"/>
  <c r="T448" i="21"/>
  <c r="T449" i="21"/>
  <c r="T450" i="21"/>
  <c r="T451" i="21"/>
  <c r="T452" i="21"/>
  <c r="T453" i="21"/>
  <c r="T454" i="21"/>
  <c r="T455" i="21"/>
  <c r="T456" i="21"/>
  <c r="T457" i="21"/>
  <c r="T458" i="21"/>
  <c r="T459" i="21"/>
  <c r="T460" i="21"/>
  <c r="T461" i="21"/>
  <c r="T462" i="21"/>
  <c r="T463" i="21"/>
  <c r="T464" i="21"/>
  <c r="T465" i="21"/>
  <c r="T466" i="21"/>
  <c r="T467" i="21"/>
  <c r="T468" i="21"/>
  <c r="T469" i="21"/>
  <c r="T470" i="21"/>
  <c r="T471" i="21"/>
  <c r="T472" i="21"/>
  <c r="T473" i="21"/>
  <c r="T474" i="21"/>
  <c r="T475" i="21"/>
  <c r="T476" i="21"/>
  <c r="T477" i="21"/>
  <c r="T478" i="21"/>
  <c r="T479" i="21"/>
  <c r="T480" i="21"/>
  <c r="T481" i="21"/>
  <c r="T482" i="21"/>
  <c r="T483" i="21"/>
  <c r="T484" i="21"/>
  <c r="T485" i="21"/>
  <c r="T486" i="21"/>
  <c r="T487" i="21"/>
  <c r="T488" i="21"/>
  <c r="T489" i="21"/>
  <c r="T490" i="21"/>
  <c r="T491" i="21"/>
  <c r="T492" i="21"/>
  <c r="T493" i="21"/>
  <c r="T494" i="21"/>
  <c r="T495" i="21"/>
  <c r="T496" i="21"/>
  <c r="T497" i="21"/>
  <c r="T498" i="21"/>
  <c r="T499" i="21"/>
  <c r="T500" i="21"/>
  <c r="T501" i="21"/>
  <c r="T502" i="21"/>
  <c r="T503" i="21"/>
  <c r="T504" i="21"/>
  <c r="T505" i="21"/>
  <c r="T506" i="21"/>
  <c r="T507" i="21"/>
  <c r="T508" i="21"/>
  <c r="T509" i="21"/>
  <c r="T510" i="21"/>
  <c r="T511" i="21"/>
  <c r="T512" i="21"/>
  <c r="T513" i="21"/>
  <c r="T514" i="21"/>
  <c r="T515" i="21"/>
  <c r="T516" i="21"/>
  <c r="T517" i="21"/>
  <c r="T518" i="21"/>
  <c r="T519" i="21"/>
  <c r="T520" i="21"/>
  <c r="T521" i="21"/>
  <c r="T522" i="21"/>
  <c r="T523" i="21"/>
  <c r="T524" i="21"/>
  <c r="T525" i="21"/>
  <c r="T526" i="21"/>
  <c r="T527" i="21"/>
  <c r="T528" i="21"/>
  <c r="T529" i="21"/>
  <c r="T530" i="21"/>
  <c r="T531" i="21"/>
  <c r="T532" i="21"/>
  <c r="T533" i="21"/>
  <c r="T534" i="21"/>
  <c r="T535" i="21"/>
  <c r="T536" i="21"/>
  <c r="T537" i="21"/>
  <c r="T538" i="21"/>
  <c r="T539" i="21"/>
  <c r="T540" i="21"/>
  <c r="T541" i="21"/>
  <c r="T542" i="21"/>
  <c r="T543" i="21"/>
  <c r="T544" i="21"/>
  <c r="T545" i="21"/>
  <c r="T546" i="21"/>
  <c r="T547" i="21"/>
  <c r="T548" i="21"/>
  <c r="T549" i="21"/>
  <c r="T550" i="21"/>
  <c r="T551" i="21"/>
  <c r="T552" i="21"/>
  <c r="T553" i="21"/>
  <c r="T554" i="21"/>
  <c r="T555" i="21"/>
  <c r="T556" i="21"/>
  <c r="T557" i="21"/>
  <c r="T558" i="21"/>
  <c r="T559" i="21"/>
  <c r="T560" i="21"/>
  <c r="T561" i="21"/>
  <c r="T562" i="21"/>
  <c r="T563" i="21"/>
  <c r="T564" i="21"/>
  <c r="T565" i="21"/>
  <c r="T566" i="21"/>
  <c r="T567" i="21"/>
  <c r="T568" i="21"/>
  <c r="T569" i="21"/>
  <c r="T570" i="21"/>
  <c r="T571" i="21"/>
  <c r="T572" i="21"/>
  <c r="T573" i="21"/>
  <c r="T574" i="21"/>
  <c r="T575" i="21"/>
  <c r="T576" i="21"/>
  <c r="T577" i="21"/>
  <c r="T578" i="21"/>
  <c r="T579" i="21"/>
  <c r="T580" i="21"/>
  <c r="T581" i="21"/>
  <c r="T582" i="21"/>
  <c r="T583" i="21"/>
  <c r="T584" i="21"/>
  <c r="T585" i="21"/>
  <c r="T586" i="21"/>
  <c r="T587" i="21"/>
  <c r="T588" i="21"/>
  <c r="Y5" i="21"/>
  <c r="N462" i="2"/>
  <c r="G462" i="2"/>
  <c r="C2" i="6"/>
  <c r="N50" i="2" l="1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3" i="2"/>
  <c r="N4" i="2"/>
  <c r="N5" i="2"/>
  <c r="N6" i="2"/>
  <c r="N2" i="2"/>
  <c r="J7" i="10"/>
  <c r="L10" i="10"/>
  <c r="L11" i="10"/>
  <c r="L12" i="10"/>
  <c r="L13" i="10"/>
  <c r="L14" i="10"/>
  <c r="I462" i="2"/>
  <c r="G463" i="2"/>
  <c r="I463" i="2"/>
  <c r="F2" i="6"/>
  <c r="L9" i="10"/>
  <c r="L8" i="10"/>
  <c r="I461" i="2"/>
  <c r="G461" i="2"/>
  <c r="I460" i="2"/>
  <c r="G460" i="2"/>
  <c r="Q12" i="15"/>
  <c r="Q17" i="15"/>
  <c r="Q19" i="15"/>
  <c r="Q10" i="15"/>
  <c r="Q18" i="15"/>
  <c r="Q15" i="15"/>
  <c r="Q9" i="15"/>
  <c r="Q11" i="15"/>
  <c r="Q16" i="15"/>
  <c r="Q20" i="15"/>
  <c r="Q8" i="15"/>
  <c r="Q6" i="15"/>
  <c r="Q4" i="15"/>
  <c r="Q13" i="15"/>
  <c r="Q5" i="15"/>
  <c r="Q7" i="15"/>
  <c r="Q14" i="15"/>
  <c r="Q21" i="15" l="1"/>
  <c r="I458" i="2"/>
  <c r="J8292" i="5"/>
  <c r="J8295" i="5"/>
  <c r="J8311" i="5"/>
  <c r="J8312" i="5"/>
  <c r="J8313" i="5"/>
  <c r="J8314" i="5"/>
  <c r="J8315" i="5"/>
  <c r="J8316" i="5"/>
  <c r="J8317" i="5"/>
  <c r="J8318" i="5"/>
  <c r="J8319" i="5"/>
  <c r="J8320" i="5"/>
  <c r="J8321" i="5"/>
  <c r="J8322" i="5"/>
  <c r="J8323" i="5"/>
  <c r="J8324" i="5"/>
  <c r="J8325" i="5"/>
  <c r="J8326" i="5"/>
  <c r="J8327" i="5"/>
  <c r="J8328" i="5"/>
  <c r="J8329" i="5"/>
  <c r="J8330" i="5"/>
  <c r="J8331" i="5"/>
  <c r="J8332" i="5"/>
  <c r="J8333" i="5"/>
  <c r="J8334" i="5"/>
  <c r="J8335" i="5"/>
  <c r="J8336" i="5"/>
  <c r="J8337" i="5"/>
  <c r="J8338" i="5"/>
  <c r="J8339" i="5"/>
  <c r="J8340" i="5"/>
  <c r="J8341" i="5"/>
  <c r="J8342" i="5"/>
  <c r="J8343" i="5"/>
  <c r="J8344" i="5"/>
  <c r="J8345" i="5"/>
  <c r="J8346" i="5"/>
  <c r="J8347" i="5"/>
  <c r="J8348" i="5"/>
  <c r="J8349" i="5"/>
  <c r="J8350" i="5"/>
  <c r="J8351" i="5"/>
  <c r="J8352" i="5"/>
  <c r="J8353" i="5"/>
  <c r="J8354" i="5"/>
  <c r="J8355" i="5"/>
  <c r="J8356" i="5"/>
  <c r="J8357" i="5"/>
  <c r="J8358" i="5"/>
  <c r="J8359" i="5"/>
  <c r="J8360" i="5"/>
  <c r="J8361" i="5"/>
  <c r="J8362" i="5"/>
  <c r="J8363" i="5"/>
  <c r="J8364" i="5"/>
  <c r="J8365" i="5"/>
  <c r="J8366" i="5"/>
  <c r="J8367" i="5"/>
  <c r="J8368" i="5"/>
  <c r="J8369" i="5"/>
  <c r="J8370" i="5"/>
  <c r="J8371" i="5"/>
  <c r="J8372" i="5"/>
  <c r="J8373" i="5"/>
  <c r="J8374" i="5"/>
  <c r="J8375" i="5"/>
  <c r="J8376" i="5"/>
  <c r="J8377" i="5"/>
  <c r="J8378" i="5"/>
  <c r="J8379" i="5"/>
  <c r="J8380" i="5"/>
  <c r="J8381" i="5"/>
  <c r="J8382" i="5"/>
  <c r="J8383" i="5"/>
  <c r="J8384" i="5"/>
  <c r="J8385" i="5"/>
  <c r="J8386" i="5"/>
  <c r="J8387" i="5"/>
  <c r="J8388" i="5"/>
  <c r="J8389" i="5"/>
  <c r="J8390" i="5"/>
  <c r="J8391" i="5"/>
  <c r="J8392" i="5"/>
  <c r="J8393" i="5"/>
  <c r="J8394" i="5"/>
  <c r="J8395" i="5"/>
  <c r="J8396" i="5"/>
  <c r="J8397" i="5"/>
  <c r="J8398" i="5"/>
  <c r="J8399" i="5"/>
  <c r="J8400" i="5"/>
  <c r="J8401" i="5"/>
  <c r="J8402" i="5"/>
  <c r="J8403" i="5"/>
  <c r="J8404" i="5"/>
  <c r="J8405" i="5"/>
  <c r="J8406" i="5"/>
  <c r="J8407" i="5"/>
  <c r="J8408" i="5"/>
  <c r="J8409" i="5"/>
  <c r="J8410" i="5"/>
  <c r="J8411" i="5"/>
  <c r="J8412" i="5"/>
  <c r="J8413" i="5"/>
  <c r="J8414" i="5"/>
  <c r="J8415" i="5"/>
  <c r="J8416" i="5"/>
  <c r="J8417" i="5"/>
  <c r="J8418" i="5"/>
  <c r="J8419" i="5"/>
  <c r="J8420" i="5"/>
  <c r="J8421" i="5"/>
  <c r="J8422" i="5"/>
  <c r="J8423" i="5"/>
  <c r="J8424" i="5"/>
  <c r="J8425" i="5"/>
  <c r="J8426" i="5"/>
  <c r="J8427" i="5"/>
  <c r="J8428" i="5"/>
  <c r="J8429" i="5"/>
  <c r="J8430" i="5"/>
  <c r="J8431" i="5"/>
  <c r="J8432" i="5"/>
  <c r="J8433" i="5"/>
  <c r="J8434" i="5"/>
  <c r="J8435" i="5"/>
  <c r="J8436" i="5"/>
  <c r="J8437" i="5"/>
  <c r="J8438" i="5"/>
  <c r="J8439" i="5"/>
  <c r="J8440" i="5"/>
  <c r="J8441" i="5"/>
  <c r="J8442" i="5"/>
  <c r="J8443" i="5"/>
  <c r="J8444" i="5"/>
  <c r="J8445" i="5"/>
  <c r="J8446" i="5"/>
  <c r="J8447" i="5"/>
  <c r="J8448" i="5"/>
  <c r="J8449" i="5"/>
  <c r="J8450" i="5"/>
  <c r="J8451" i="5"/>
  <c r="J8452" i="5"/>
  <c r="J8453" i="5"/>
  <c r="J8454" i="5"/>
  <c r="J8455" i="5"/>
  <c r="J8456" i="5"/>
  <c r="J8457" i="5"/>
  <c r="J8458" i="5"/>
  <c r="J8459" i="5"/>
  <c r="J8460" i="5"/>
  <c r="J8461" i="5"/>
  <c r="J8462" i="5"/>
  <c r="J8463" i="5"/>
  <c r="J8464" i="5"/>
  <c r="J8465" i="5"/>
  <c r="J8466" i="5"/>
  <c r="J8467" i="5"/>
  <c r="J8468" i="5"/>
  <c r="J8469" i="5"/>
  <c r="J8470" i="5"/>
  <c r="J8471" i="5"/>
  <c r="J8472" i="5"/>
  <c r="J8473" i="5"/>
  <c r="J8474" i="5"/>
  <c r="J8475" i="5"/>
  <c r="J8476" i="5"/>
  <c r="J8477" i="5"/>
  <c r="J8478" i="5"/>
  <c r="J8479" i="5"/>
  <c r="J8480" i="5"/>
  <c r="J8481" i="5"/>
  <c r="J8482" i="5"/>
  <c r="J8483" i="5"/>
  <c r="J8484" i="5"/>
  <c r="J8485" i="5"/>
  <c r="J8486" i="5"/>
  <c r="J8487" i="5"/>
  <c r="J8488" i="5"/>
  <c r="J8489" i="5"/>
  <c r="J8490" i="5"/>
  <c r="J8491" i="5"/>
  <c r="J8492" i="5"/>
  <c r="J8493" i="5"/>
  <c r="J8494" i="5"/>
  <c r="J8495" i="5"/>
  <c r="J8496" i="5"/>
  <c r="J8497" i="5"/>
  <c r="J8498" i="5"/>
  <c r="J8499" i="5"/>
  <c r="J8500" i="5"/>
  <c r="J8501" i="5"/>
  <c r="J8502" i="5"/>
  <c r="J8503" i="5"/>
  <c r="J8504" i="5"/>
  <c r="J8505" i="5"/>
  <c r="J8506" i="5"/>
  <c r="J8507" i="5"/>
  <c r="J8508" i="5"/>
  <c r="J8509" i="5"/>
  <c r="J8510" i="5"/>
  <c r="J8511" i="5"/>
  <c r="J8512" i="5"/>
  <c r="J8513" i="5"/>
  <c r="J8514" i="5"/>
  <c r="J8515" i="5"/>
  <c r="J8516" i="5"/>
  <c r="J8517" i="5"/>
  <c r="J8518" i="5"/>
  <c r="J8519" i="5"/>
  <c r="J8520" i="5"/>
  <c r="J8521" i="5"/>
  <c r="J8522" i="5"/>
  <c r="J8523" i="5"/>
  <c r="J8524" i="5"/>
  <c r="J8525" i="5"/>
  <c r="J8526" i="5"/>
  <c r="J8527" i="5"/>
  <c r="J8528" i="5"/>
  <c r="J8529" i="5"/>
  <c r="J8530" i="5"/>
  <c r="J8531" i="5"/>
  <c r="J8532" i="5"/>
  <c r="J8533" i="5"/>
  <c r="J8534" i="5"/>
  <c r="J8535" i="5"/>
  <c r="J8536" i="5"/>
  <c r="J8537" i="5"/>
  <c r="J8538" i="5"/>
  <c r="J8539" i="5"/>
  <c r="J8540" i="5"/>
  <c r="J8541" i="5"/>
  <c r="J8542" i="5"/>
  <c r="J8543" i="5"/>
  <c r="J8544" i="5"/>
  <c r="J8545" i="5"/>
  <c r="J8546" i="5"/>
  <c r="J8547" i="5"/>
  <c r="J8548" i="5"/>
  <c r="J8549" i="5"/>
  <c r="J8550" i="5"/>
  <c r="J8551" i="5"/>
  <c r="J8552" i="5"/>
  <c r="J8553" i="5"/>
  <c r="J8554" i="5"/>
  <c r="J8555" i="5"/>
  <c r="J8556" i="5"/>
  <c r="J8557" i="5"/>
  <c r="J8558" i="5"/>
  <c r="J8559" i="5"/>
  <c r="J8560" i="5"/>
  <c r="J8561" i="5"/>
  <c r="J8562" i="5"/>
  <c r="J8563" i="5"/>
  <c r="J8564" i="5"/>
  <c r="J8565" i="5"/>
  <c r="J8566" i="5"/>
  <c r="J8567" i="5"/>
  <c r="J8568" i="5"/>
  <c r="J8569" i="5"/>
  <c r="J8570" i="5"/>
  <c r="J8571" i="5"/>
  <c r="J8572" i="5"/>
  <c r="J8573" i="5"/>
  <c r="J8574" i="5"/>
  <c r="J8575" i="5"/>
  <c r="J8576" i="5"/>
  <c r="J8577" i="5"/>
  <c r="J8578" i="5"/>
  <c r="J8579" i="5"/>
  <c r="J8580" i="5"/>
  <c r="J8581" i="5"/>
  <c r="J8582" i="5"/>
  <c r="J8583" i="5"/>
  <c r="J8584" i="5"/>
  <c r="J8585" i="5"/>
  <c r="J8586" i="5"/>
  <c r="J8587" i="5"/>
  <c r="J8588" i="5"/>
  <c r="J8589" i="5"/>
  <c r="J8590" i="5"/>
  <c r="J8591" i="5"/>
  <c r="J8592" i="5"/>
  <c r="J8593" i="5"/>
  <c r="J8594" i="5"/>
  <c r="J8595" i="5"/>
  <c r="J8596" i="5"/>
  <c r="J8597" i="5"/>
  <c r="J8598" i="5"/>
  <c r="J8599" i="5"/>
  <c r="J8600" i="5"/>
  <c r="J8601" i="5"/>
  <c r="J8602" i="5"/>
  <c r="J8603" i="5"/>
  <c r="J8604" i="5"/>
  <c r="J8605" i="5"/>
  <c r="J8606" i="5"/>
  <c r="J8607" i="5"/>
  <c r="J8608" i="5"/>
  <c r="J8609" i="5"/>
  <c r="J8610" i="5"/>
  <c r="J8611" i="5"/>
  <c r="J8612" i="5"/>
  <c r="J8613" i="5"/>
  <c r="J8614" i="5"/>
  <c r="J8615" i="5"/>
  <c r="J8616" i="5"/>
  <c r="J8617" i="5"/>
  <c r="J8618" i="5"/>
  <c r="J8619" i="5"/>
  <c r="J8620" i="5"/>
  <c r="J8621" i="5"/>
  <c r="J8622" i="5"/>
  <c r="J8623" i="5"/>
  <c r="J8624" i="5"/>
  <c r="J8625" i="5"/>
  <c r="J8626" i="5"/>
  <c r="J8627" i="5"/>
  <c r="J8628" i="5"/>
  <c r="J8629" i="5"/>
  <c r="J8630" i="5"/>
  <c r="J8631" i="5"/>
  <c r="J8632" i="5"/>
  <c r="J8633" i="5"/>
  <c r="J8634" i="5"/>
  <c r="J8635" i="5"/>
  <c r="J8636" i="5"/>
  <c r="J8637" i="5"/>
  <c r="J8638" i="5"/>
  <c r="J8639" i="5"/>
  <c r="J8640" i="5"/>
  <c r="J8641" i="5"/>
  <c r="J8642" i="5"/>
  <c r="J8643" i="5"/>
  <c r="J8644" i="5"/>
  <c r="J8645" i="5"/>
  <c r="J8646" i="5"/>
  <c r="J8647" i="5"/>
  <c r="J8648" i="5"/>
  <c r="J8649" i="5"/>
  <c r="J8650" i="5"/>
  <c r="J8651" i="5"/>
  <c r="J8652" i="5"/>
  <c r="J8653" i="5"/>
  <c r="J8654" i="5"/>
  <c r="J8655" i="5"/>
  <c r="J8656" i="5"/>
  <c r="J8657" i="5"/>
  <c r="J8658" i="5"/>
  <c r="J8659" i="5"/>
  <c r="J8660" i="5"/>
  <c r="J8661" i="5"/>
  <c r="J8662" i="5"/>
  <c r="J8663" i="5"/>
  <c r="J8664" i="5"/>
  <c r="J8665" i="5"/>
  <c r="J8666" i="5"/>
  <c r="J8667" i="5"/>
  <c r="J8668" i="5"/>
  <c r="J8669" i="5"/>
  <c r="J8670" i="5"/>
  <c r="J8671" i="5"/>
  <c r="J8672" i="5"/>
  <c r="J8673" i="5"/>
  <c r="J8674" i="5"/>
  <c r="J8675" i="5"/>
  <c r="J8676" i="5"/>
  <c r="J8677" i="5"/>
  <c r="J8678" i="5"/>
  <c r="J8679" i="5"/>
  <c r="J8680" i="5"/>
  <c r="J8681" i="5"/>
  <c r="J8682" i="5"/>
  <c r="J8683" i="5"/>
  <c r="J8684" i="5"/>
  <c r="J8685" i="5"/>
  <c r="J8686" i="5"/>
  <c r="J8687" i="5"/>
  <c r="J8688" i="5"/>
  <c r="J8689" i="5"/>
  <c r="J8690" i="5"/>
  <c r="J8691" i="5"/>
  <c r="J8692" i="5"/>
  <c r="J8693" i="5"/>
  <c r="J8694" i="5"/>
  <c r="J8695" i="5"/>
  <c r="J8696" i="5"/>
  <c r="J8697" i="5"/>
  <c r="J8698" i="5"/>
  <c r="J8699" i="5"/>
  <c r="J8700" i="5"/>
  <c r="J8701" i="5"/>
  <c r="J8702" i="5"/>
  <c r="J8703" i="5"/>
  <c r="J8704" i="5"/>
  <c r="J8705" i="5"/>
  <c r="J8706" i="5"/>
  <c r="J8707" i="5"/>
  <c r="J8708" i="5"/>
  <c r="J8709" i="5"/>
  <c r="J8710" i="5"/>
  <c r="J8711" i="5"/>
  <c r="J8712" i="5"/>
  <c r="J8713" i="5"/>
  <c r="J8714" i="5"/>
  <c r="J8715" i="5"/>
  <c r="J8716" i="5"/>
  <c r="J8717" i="5"/>
  <c r="J8718" i="5"/>
  <c r="J8719" i="5"/>
  <c r="J8720" i="5"/>
  <c r="J8721" i="5"/>
  <c r="J8722" i="5"/>
  <c r="J8723" i="5"/>
  <c r="J8724" i="5"/>
  <c r="J8725" i="5"/>
  <c r="J8726" i="5"/>
  <c r="J8727" i="5"/>
  <c r="J8728" i="5"/>
  <c r="J8729" i="5"/>
  <c r="J8730" i="5"/>
  <c r="J8731" i="5"/>
  <c r="J8732" i="5"/>
  <c r="J8733" i="5"/>
  <c r="J8734" i="5"/>
  <c r="J8735" i="5"/>
  <c r="J8736" i="5"/>
  <c r="J8737" i="5"/>
  <c r="J8738" i="5"/>
  <c r="J8739" i="5"/>
  <c r="J8740" i="5"/>
  <c r="J8741" i="5"/>
  <c r="J8742" i="5"/>
  <c r="J8743" i="5"/>
  <c r="J8744" i="5"/>
  <c r="J8745" i="5"/>
  <c r="J8746" i="5"/>
  <c r="J8747" i="5"/>
  <c r="J8748" i="5"/>
  <c r="J8749" i="5"/>
  <c r="J8750" i="5"/>
  <c r="J8751" i="5"/>
  <c r="J8752" i="5"/>
  <c r="J8753" i="5"/>
  <c r="J8754" i="5"/>
  <c r="J8755" i="5"/>
  <c r="J8756" i="5"/>
  <c r="J8757" i="5"/>
  <c r="J8758" i="5"/>
  <c r="J8759" i="5"/>
  <c r="J8760" i="5"/>
  <c r="J8761" i="5"/>
  <c r="J8762" i="5"/>
  <c r="J8763" i="5"/>
  <c r="J8764" i="5"/>
  <c r="J8765" i="5"/>
  <c r="J8766" i="5"/>
  <c r="J8767" i="5"/>
  <c r="J8768" i="5"/>
  <c r="J8769" i="5"/>
  <c r="J8770" i="5"/>
  <c r="J8771" i="5"/>
  <c r="J8772" i="5"/>
  <c r="J8773" i="5"/>
  <c r="J8774" i="5"/>
  <c r="J8775" i="5"/>
  <c r="J8776" i="5"/>
  <c r="J8777" i="5"/>
  <c r="J8778" i="5"/>
  <c r="J8779" i="5"/>
  <c r="J8780" i="5"/>
  <c r="J8781" i="5"/>
  <c r="J8782" i="5"/>
  <c r="J8783" i="5"/>
  <c r="J8784" i="5"/>
  <c r="J8785" i="5"/>
  <c r="J8786" i="5"/>
  <c r="J8787" i="5"/>
  <c r="J8788" i="5"/>
  <c r="J8789" i="5"/>
  <c r="J8790" i="5"/>
  <c r="J8791" i="5"/>
  <c r="J8792" i="5"/>
  <c r="J8793" i="5"/>
  <c r="J8794" i="5"/>
  <c r="J8795" i="5"/>
  <c r="J8796" i="5"/>
  <c r="J8797" i="5"/>
  <c r="J8798" i="5"/>
  <c r="J8799" i="5"/>
  <c r="J8800" i="5"/>
  <c r="J8801" i="5"/>
  <c r="J8802" i="5"/>
  <c r="J8803" i="5"/>
  <c r="J8804" i="5"/>
  <c r="J8805" i="5"/>
  <c r="J8806" i="5"/>
  <c r="J8807" i="5"/>
  <c r="J8808" i="5"/>
  <c r="J8809" i="5"/>
  <c r="J8810" i="5"/>
  <c r="J8811" i="5"/>
  <c r="J8812" i="5"/>
  <c r="J8813" i="5"/>
  <c r="J8814" i="5"/>
  <c r="J8815" i="5"/>
  <c r="J8816" i="5"/>
  <c r="J8817" i="5"/>
  <c r="J8818" i="5"/>
  <c r="J8819" i="5"/>
  <c r="J8820" i="5"/>
  <c r="J8821" i="5"/>
  <c r="J8822" i="5"/>
  <c r="J8823" i="5"/>
  <c r="J8824" i="5"/>
  <c r="J8825" i="5"/>
  <c r="J8826" i="5"/>
  <c r="J8827" i="5"/>
  <c r="J8828" i="5"/>
  <c r="J8829" i="5"/>
  <c r="J8830" i="5"/>
  <c r="J8831" i="5"/>
  <c r="J8832" i="5"/>
  <c r="J8833" i="5"/>
  <c r="J8834" i="5"/>
  <c r="J8835" i="5"/>
  <c r="J8836" i="5"/>
  <c r="J8837" i="5"/>
  <c r="J8838" i="5"/>
  <c r="J8839" i="5"/>
  <c r="J8840" i="5"/>
  <c r="J8841" i="5"/>
  <c r="J8842" i="5"/>
  <c r="J8843" i="5"/>
  <c r="J8844" i="5"/>
  <c r="J8845" i="5"/>
  <c r="J8846" i="5"/>
  <c r="J8847" i="5"/>
  <c r="J8848" i="5"/>
  <c r="J8849" i="5"/>
  <c r="J8850" i="5"/>
  <c r="J8851" i="5"/>
  <c r="J8852" i="5"/>
  <c r="J8853" i="5"/>
  <c r="J8854" i="5"/>
  <c r="J8855" i="5"/>
  <c r="J8856" i="5"/>
  <c r="J8857" i="5"/>
  <c r="J8858" i="5"/>
  <c r="J8859" i="5"/>
  <c r="J8860" i="5"/>
  <c r="J8861" i="5"/>
  <c r="J8862" i="5"/>
  <c r="J8863" i="5"/>
  <c r="J8864" i="5"/>
  <c r="J8865" i="5"/>
  <c r="J8866" i="5"/>
  <c r="J8867" i="5"/>
  <c r="J8868" i="5"/>
  <c r="J8869" i="5"/>
  <c r="J8870" i="5"/>
  <c r="J8871" i="5"/>
  <c r="J8872" i="5"/>
  <c r="J8873" i="5"/>
  <c r="J8874" i="5"/>
  <c r="J8875" i="5"/>
  <c r="J8876" i="5"/>
  <c r="J8877" i="5"/>
  <c r="J8878" i="5"/>
  <c r="J8879" i="5"/>
  <c r="J8880" i="5"/>
  <c r="J8881" i="5"/>
  <c r="J8882" i="5"/>
  <c r="J8883" i="5"/>
  <c r="J8884" i="5"/>
  <c r="J8885" i="5"/>
  <c r="J8886" i="5"/>
  <c r="J8887" i="5"/>
  <c r="J8888" i="5"/>
  <c r="J8889" i="5"/>
  <c r="J8890" i="5"/>
  <c r="J8891" i="5"/>
  <c r="J8892" i="5"/>
  <c r="J8893" i="5"/>
  <c r="J8894" i="5"/>
  <c r="J8895" i="5"/>
  <c r="J8896" i="5"/>
  <c r="J8897" i="5"/>
  <c r="J8898" i="5"/>
  <c r="J8899" i="5"/>
  <c r="J8900" i="5"/>
  <c r="J8901" i="5"/>
  <c r="J8902" i="5"/>
  <c r="J8903" i="5"/>
  <c r="J8904" i="5"/>
  <c r="J8905" i="5"/>
  <c r="J8906" i="5"/>
  <c r="J8907" i="5"/>
  <c r="J8908" i="5"/>
  <c r="J8909" i="5"/>
  <c r="J8910" i="5"/>
  <c r="J8911" i="5"/>
  <c r="J8912" i="5"/>
  <c r="J8913" i="5"/>
  <c r="J8914" i="5"/>
  <c r="J8915" i="5"/>
  <c r="J8916" i="5"/>
  <c r="J8917" i="5"/>
  <c r="J8918" i="5"/>
  <c r="J8919" i="5"/>
  <c r="J8920" i="5"/>
  <c r="J8921" i="5"/>
  <c r="J8922" i="5"/>
  <c r="J8923" i="5"/>
  <c r="J8924" i="5"/>
  <c r="J8925" i="5"/>
  <c r="J8926" i="5"/>
  <c r="J8927" i="5"/>
  <c r="J8928" i="5"/>
  <c r="J8929" i="5"/>
  <c r="J8930" i="5"/>
  <c r="J8931" i="5"/>
  <c r="J8932" i="5"/>
  <c r="J8933" i="5"/>
  <c r="J8934" i="5"/>
  <c r="J8935" i="5"/>
  <c r="J8936" i="5"/>
  <c r="J8937" i="5"/>
  <c r="J8938" i="5"/>
  <c r="J8939" i="5"/>
  <c r="J8940" i="5"/>
  <c r="J8941" i="5"/>
  <c r="J8942" i="5"/>
  <c r="J8943" i="5"/>
  <c r="J8944" i="5"/>
  <c r="J8945" i="5"/>
  <c r="J8946" i="5"/>
  <c r="J8947" i="5"/>
  <c r="J8948" i="5"/>
  <c r="J8949" i="5"/>
  <c r="J8950" i="5"/>
  <c r="J8951" i="5"/>
  <c r="J8952" i="5"/>
  <c r="J8953" i="5"/>
  <c r="J8954" i="5"/>
  <c r="J8955" i="5"/>
  <c r="J8956" i="5"/>
  <c r="J8957" i="5"/>
  <c r="J8958" i="5"/>
  <c r="J8959" i="5"/>
  <c r="J8960" i="5"/>
  <c r="J8961" i="5"/>
  <c r="J8962" i="5"/>
  <c r="J8963" i="5"/>
  <c r="J8964" i="5"/>
  <c r="J8965" i="5"/>
  <c r="J8966" i="5"/>
  <c r="J8967" i="5"/>
  <c r="J8968" i="5"/>
  <c r="J8969" i="5"/>
  <c r="J8970" i="5"/>
  <c r="J8971" i="5"/>
  <c r="J8972" i="5"/>
  <c r="J8973" i="5"/>
  <c r="J8974" i="5"/>
  <c r="J8975" i="5"/>
  <c r="J8976" i="5"/>
  <c r="J8977" i="5"/>
  <c r="J8978" i="5"/>
  <c r="J8979" i="5"/>
  <c r="J8980" i="5"/>
  <c r="J8981" i="5"/>
  <c r="J8982" i="5"/>
  <c r="J8983" i="5"/>
  <c r="J8984" i="5"/>
  <c r="J8985" i="5"/>
  <c r="J8986" i="5"/>
  <c r="J8987" i="5"/>
  <c r="J8988" i="5"/>
  <c r="J8989" i="5"/>
  <c r="J8990" i="5"/>
  <c r="J8991" i="5"/>
  <c r="J8992" i="5"/>
  <c r="J8993" i="5"/>
  <c r="J8994" i="5"/>
  <c r="J8995" i="5"/>
  <c r="J8996" i="5"/>
  <c r="J8997" i="5"/>
  <c r="J8998" i="5"/>
  <c r="J8999" i="5"/>
  <c r="J9000" i="5"/>
  <c r="J9001" i="5"/>
  <c r="J9002" i="5"/>
  <c r="J9003" i="5"/>
  <c r="J9004" i="5"/>
  <c r="J9005" i="5"/>
  <c r="J9006" i="5"/>
  <c r="J9007" i="5"/>
  <c r="J9008" i="5"/>
  <c r="J9009" i="5"/>
  <c r="J9010" i="5"/>
  <c r="J9011" i="5"/>
  <c r="J9012" i="5"/>
  <c r="J9013" i="5"/>
  <c r="J9014" i="5"/>
  <c r="J9015" i="5"/>
  <c r="J9016" i="5"/>
  <c r="J9017" i="5"/>
  <c r="J9018" i="5"/>
  <c r="J9019" i="5"/>
  <c r="J9020" i="5"/>
  <c r="J9021" i="5"/>
  <c r="J9022" i="5"/>
  <c r="J9023" i="5"/>
  <c r="J9024" i="5"/>
  <c r="J9025" i="5"/>
  <c r="J9026" i="5"/>
  <c r="J9027" i="5"/>
  <c r="J9028" i="5"/>
  <c r="J9029" i="5"/>
  <c r="J9030" i="5"/>
  <c r="J9031" i="5"/>
  <c r="J9032" i="5"/>
  <c r="J9033" i="5"/>
  <c r="J9034" i="5"/>
  <c r="J9035" i="5"/>
  <c r="J9036" i="5"/>
  <c r="J9037" i="5"/>
  <c r="J9038" i="5"/>
  <c r="J9039" i="5"/>
  <c r="J9040" i="5"/>
  <c r="J9041" i="5"/>
  <c r="J9042" i="5"/>
  <c r="J9043" i="5"/>
  <c r="J9044" i="5"/>
  <c r="J9045" i="5"/>
  <c r="J9046" i="5"/>
  <c r="J9047" i="5"/>
  <c r="J9048" i="5"/>
  <c r="J9049" i="5"/>
  <c r="J9050" i="5"/>
  <c r="J9051" i="5"/>
  <c r="J9052" i="5"/>
  <c r="J9053" i="5"/>
  <c r="J9054" i="5"/>
  <c r="J9055" i="5"/>
  <c r="J9056" i="5"/>
  <c r="J9057" i="5"/>
  <c r="J9058" i="5"/>
  <c r="J9059" i="5"/>
  <c r="J9060" i="5"/>
  <c r="J9061" i="5"/>
  <c r="J9062" i="5"/>
  <c r="J9063" i="5"/>
  <c r="J9064" i="5"/>
  <c r="J9065" i="5"/>
  <c r="J9066" i="5"/>
  <c r="J9067" i="5"/>
  <c r="J9068" i="5"/>
  <c r="J9069" i="5"/>
  <c r="J9070" i="5"/>
  <c r="J9071" i="5"/>
  <c r="J9072" i="5"/>
  <c r="J9073" i="5"/>
  <c r="J9074" i="5"/>
  <c r="J9075" i="5"/>
  <c r="J9076" i="5"/>
  <c r="J9077" i="5"/>
  <c r="J9078" i="5"/>
  <c r="J9079" i="5"/>
  <c r="J9080" i="5"/>
  <c r="J9081" i="5"/>
  <c r="J9082" i="5"/>
  <c r="J9083" i="5"/>
  <c r="J9084" i="5"/>
  <c r="J9085" i="5"/>
  <c r="J9086" i="5"/>
  <c r="J9087" i="5"/>
  <c r="J9088" i="5"/>
  <c r="J9089" i="5"/>
  <c r="J9090" i="5"/>
  <c r="J9091" i="5"/>
  <c r="J9092" i="5"/>
  <c r="J9093" i="5"/>
  <c r="J9094" i="5"/>
  <c r="J9095" i="5"/>
  <c r="J9096" i="5"/>
  <c r="J9097" i="5"/>
  <c r="J9098" i="5"/>
  <c r="J9099" i="5"/>
  <c r="J9100" i="5"/>
  <c r="J9101" i="5"/>
  <c r="J9102" i="5"/>
  <c r="J9103" i="5"/>
  <c r="J9104" i="5"/>
  <c r="J9105" i="5"/>
  <c r="J9106" i="5"/>
  <c r="J9107" i="5"/>
  <c r="J9108" i="5"/>
  <c r="J9109" i="5"/>
  <c r="J9110" i="5"/>
  <c r="J9111" i="5"/>
  <c r="J9112" i="5"/>
  <c r="J9113" i="5"/>
  <c r="J9114" i="5"/>
  <c r="J9115" i="5"/>
  <c r="J9116" i="5"/>
  <c r="J9117" i="5"/>
  <c r="J9118" i="5"/>
  <c r="J9119" i="5"/>
  <c r="J9120" i="5"/>
  <c r="J9121" i="5"/>
  <c r="J9122" i="5"/>
  <c r="J9123" i="5"/>
  <c r="J9124" i="5"/>
  <c r="J9125" i="5"/>
  <c r="J9126" i="5"/>
  <c r="J9127" i="5"/>
  <c r="J9128" i="5"/>
  <c r="J9129" i="5"/>
  <c r="J9130" i="5"/>
  <c r="J9131" i="5"/>
  <c r="J9132" i="5"/>
  <c r="J9133" i="5"/>
  <c r="J9134" i="5"/>
  <c r="J9135" i="5"/>
  <c r="J9136" i="5"/>
  <c r="J9137" i="5"/>
  <c r="J9138" i="5"/>
  <c r="J9139" i="5"/>
  <c r="J9140" i="5"/>
  <c r="J9141" i="5"/>
  <c r="J9142" i="5"/>
  <c r="J9143" i="5"/>
  <c r="J9144" i="5"/>
  <c r="J9145" i="5"/>
  <c r="J9146" i="5"/>
  <c r="J9147" i="5"/>
  <c r="J9148" i="5"/>
  <c r="J9149" i="5"/>
  <c r="J9150" i="5"/>
  <c r="J9151" i="5"/>
  <c r="J9152" i="5"/>
  <c r="J9153" i="5"/>
  <c r="J9154" i="5"/>
  <c r="J9155" i="5"/>
  <c r="J9156" i="5"/>
  <c r="J9157" i="5"/>
  <c r="J9158" i="5"/>
  <c r="J9159" i="5"/>
  <c r="J9160" i="5"/>
  <c r="J9161" i="5"/>
  <c r="J9162" i="5"/>
  <c r="J9163" i="5"/>
  <c r="J9164" i="5"/>
  <c r="J9165" i="5"/>
  <c r="J9166" i="5"/>
  <c r="J9167" i="5"/>
  <c r="J9168" i="5"/>
  <c r="J9169" i="5"/>
  <c r="J9170" i="5"/>
  <c r="J9171" i="5"/>
  <c r="J9172" i="5"/>
  <c r="J9173" i="5"/>
  <c r="J9174" i="5"/>
  <c r="J9175" i="5"/>
  <c r="J9176" i="5"/>
  <c r="J9177" i="5"/>
  <c r="J9178" i="5"/>
  <c r="J9179" i="5"/>
  <c r="J9180" i="5"/>
  <c r="J9181" i="5"/>
  <c r="J9182" i="5"/>
  <c r="J9183" i="5"/>
  <c r="J9184" i="5"/>
  <c r="J9185" i="5"/>
  <c r="J9186" i="5"/>
  <c r="J9187" i="5"/>
  <c r="J9188" i="5"/>
  <c r="J9189" i="5"/>
  <c r="J9190" i="5"/>
  <c r="J9191" i="5"/>
  <c r="J9192" i="5"/>
  <c r="J9193" i="5"/>
  <c r="J9194" i="5"/>
  <c r="J9195" i="5"/>
  <c r="J9196" i="5"/>
  <c r="J9197" i="5"/>
  <c r="J9198" i="5"/>
  <c r="J9199" i="5"/>
  <c r="J9200" i="5"/>
  <c r="J9201" i="5"/>
  <c r="J9202" i="5"/>
  <c r="J9203" i="5"/>
  <c r="J9204" i="5"/>
  <c r="J9205" i="5"/>
  <c r="J9206" i="5"/>
  <c r="J9207" i="5"/>
  <c r="J9208" i="5"/>
  <c r="J9209" i="5"/>
  <c r="J9210" i="5"/>
  <c r="J9211" i="5"/>
  <c r="J9212" i="5"/>
  <c r="J9213" i="5"/>
  <c r="J9214" i="5"/>
  <c r="J9215" i="5"/>
  <c r="J9216" i="5"/>
  <c r="J9217" i="5"/>
  <c r="J9218" i="5"/>
  <c r="J9219" i="5"/>
  <c r="J9220" i="5"/>
  <c r="J9221" i="5"/>
  <c r="J9222" i="5"/>
  <c r="J9223" i="5"/>
  <c r="J9224" i="5"/>
  <c r="J9225" i="5"/>
  <c r="J9226" i="5"/>
  <c r="J9227" i="5"/>
  <c r="J9228" i="5"/>
  <c r="J9229" i="5"/>
  <c r="J9230" i="5"/>
  <c r="J9231" i="5"/>
  <c r="J9232" i="5"/>
  <c r="J9233" i="5"/>
  <c r="J9234" i="5"/>
  <c r="J9235" i="5"/>
  <c r="J9236" i="5"/>
  <c r="J9237" i="5"/>
  <c r="J9238" i="5"/>
  <c r="J9239" i="5"/>
  <c r="J9240" i="5"/>
  <c r="J9241" i="5"/>
  <c r="J9242" i="5"/>
  <c r="J9243" i="5"/>
  <c r="J9244" i="5"/>
  <c r="J9245" i="5"/>
  <c r="J9246" i="5"/>
  <c r="J9247" i="5"/>
  <c r="J9248" i="5"/>
  <c r="J9249" i="5"/>
  <c r="J9250" i="5"/>
  <c r="J9251" i="5"/>
  <c r="J9252" i="5"/>
  <c r="J9253" i="5"/>
  <c r="J9254" i="5"/>
  <c r="J9255" i="5"/>
  <c r="J9256" i="5"/>
  <c r="J9257" i="5"/>
  <c r="J9258" i="5"/>
  <c r="J9259" i="5"/>
  <c r="J9260" i="5"/>
  <c r="J9261" i="5"/>
  <c r="J9262" i="5"/>
  <c r="J9263" i="5"/>
  <c r="J9264" i="5"/>
  <c r="J9265" i="5"/>
  <c r="J9266" i="5"/>
  <c r="J9267" i="5"/>
  <c r="J9268" i="5"/>
  <c r="J9269" i="5"/>
  <c r="J9270" i="5"/>
  <c r="J9271" i="5"/>
  <c r="J9272" i="5"/>
  <c r="J9273" i="5"/>
  <c r="J9274" i="5"/>
  <c r="J9275" i="5"/>
  <c r="J9276" i="5"/>
  <c r="J9277" i="5"/>
  <c r="J9278" i="5"/>
  <c r="J9279" i="5"/>
  <c r="J9280" i="5"/>
  <c r="J9281" i="5"/>
  <c r="J9282" i="5"/>
  <c r="J9283" i="5"/>
  <c r="J9284" i="5"/>
  <c r="J9285" i="5"/>
  <c r="J9286" i="5"/>
  <c r="J9287" i="5"/>
  <c r="J9288" i="5"/>
  <c r="J9289" i="5"/>
  <c r="J9290" i="5"/>
  <c r="J9291" i="5"/>
  <c r="J9292" i="5"/>
  <c r="J9293" i="5"/>
  <c r="J9294" i="5"/>
  <c r="J9295" i="5"/>
  <c r="J9296" i="5"/>
  <c r="J9297" i="5"/>
  <c r="J9298" i="5"/>
  <c r="J9299" i="5"/>
  <c r="J9300" i="5"/>
  <c r="J9301" i="5"/>
  <c r="J9302" i="5"/>
  <c r="J9303" i="5"/>
  <c r="J9304" i="5"/>
  <c r="J9305" i="5"/>
  <c r="J9306" i="5"/>
  <c r="J9307" i="5"/>
  <c r="J9308" i="5"/>
  <c r="J9309" i="5"/>
  <c r="J9310" i="5"/>
  <c r="J9311" i="5"/>
  <c r="J9312" i="5"/>
  <c r="J9313" i="5"/>
  <c r="J9314" i="5"/>
  <c r="J9315" i="5"/>
  <c r="J9316" i="5"/>
  <c r="J9317" i="5"/>
  <c r="J9318" i="5"/>
  <c r="J9319" i="5"/>
  <c r="J9320" i="5"/>
  <c r="J9321" i="5"/>
  <c r="J9322" i="5"/>
  <c r="J9323" i="5"/>
  <c r="J9324" i="5"/>
  <c r="J9325" i="5"/>
  <c r="J9326" i="5"/>
  <c r="J9327" i="5"/>
  <c r="J9328" i="5"/>
  <c r="J9329" i="5"/>
  <c r="J9330" i="5"/>
  <c r="J9331" i="5"/>
  <c r="J9332" i="5"/>
  <c r="J9333" i="5"/>
  <c r="J9334" i="5"/>
  <c r="J9335" i="5"/>
  <c r="J9336" i="5"/>
  <c r="J9337" i="5"/>
  <c r="J9338" i="5"/>
  <c r="J9339" i="5"/>
  <c r="J9340" i="5"/>
  <c r="J9341" i="5"/>
  <c r="J9342" i="5"/>
  <c r="J9343" i="5"/>
  <c r="J9344" i="5"/>
  <c r="J9345" i="5"/>
  <c r="J9346" i="5"/>
  <c r="J9347" i="5"/>
  <c r="J9348" i="5"/>
  <c r="J9349" i="5"/>
  <c r="J9350" i="5"/>
  <c r="J9351" i="5"/>
  <c r="J9352" i="5"/>
  <c r="J9353" i="5"/>
  <c r="J9354" i="5"/>
  <c r="J9355" i="5"/>
  <c r="J9356" i="5"/>
  <c r="J9357" i="5"/>
  <c r="J9358" i="5"/>
  <c r="J9359" i="5"/>
  <c r="J9360" i="5"/>
  <c r="J9361" i="5"/>
  <c r="J9362" i="5"/>
  <c r="J9363" i="5"/>
  <c r="J9364" i="5"/>
  <c r="J9365" i="5"/>
  <c r="J9366" i="5"/>
  <c r="J9367" i="5"/>
  <c r="J9368" i="5"/>
  <c r="J9369" i="5"/>
  <c r="J9370" i="5"/>
  <c r="J9371" i="5"/>
  <c r="J9372" i="5"/>
  <c r="J9373" i="5"/>
  <c r="J9374" i="5"/>
  <c r="J9375" i="5"/>
  <c r="J9376" i="5"/>
  <c r="J9377" i="5"/>
  <c r="J9378" i="5"/>
  <c r="J9379" i="5"/>
  <c r="J9380" i="5"/>
  <c r="J9381" i="5"/>
  <c r="J9382" i="5"/>
  <c r="J9383" i="5"/>
  <c r="J9384" i="5"/>
  <c r="J9385" i="5"/>
  <c r="J9386" i="5"/>
  <c r="J9387" i="5"/>
  <c r="J9388" i="5"/>
  <c r="J9389" i="5"/>
  <c r="J9390" i="5"/>
  <c r="J9391" i="5"/>
  <c r="J9392" i="5"/>
  <c r="J9393" i="5"/>
  <c r="J9394" i="5"/>
  <c r="J9395" i="5"/>
  <c r="J9396" i="5"/>
  <c r="J9397" i="5"/>
  <c r="J9398" i="5"/>
  <c r="J9399" i="5"/>
  <c r="J9400" i="5"/>
  <c r="J9401" i="5"/>
  <c r="J9402" i="5"/>
  <c r="J9403" i="5"/>
  <c r="J9404" i="5"/>
  <c r="J9405" i="5"/>
  <c r="J9406" i="5"/>
  <c r="J9407" i="5"/>
  <c r="J9408" i="5"/>
  <c r="J9409" i="5"/>
  <c r="J9410" i="5"/>
  <c r="J9411" i="5"/>
  <c r="J9412" i="5"/>
  <c r="J9413" i="5"/>
  <c r="J9414" i="5"/>
  <c r="J9415" i="5"/>
  <c r="J9416" i="5"/>
  <c r="J9417" i="5"/>
  <c r="J9418" i="5"/>
  <c r="J9419" i="5"/>
  <c r="J9420" i="5"/>
  <c r="J9421" i="5"/>
  <c r="J9422" i="5"/>
  <c r="J9423" i="5"/>
  <c r="J9424" i="5"/>
  <c r="J9425" i="5"/>
  <c r="J9426" i="5"/>
  <c r="J9427" i="5"/>
  <c r="J9428" i="5"/>
  <c r="J9429" i="5"/>
  <c r="J9430" i="5"/>
  <c r="J9431" i="5"/>
  <c r="J9432" i="5"/>
  <c r="J9433" i="5"/>
  <c r="J9434" i="5"/>
  <c r="J9435" i="5"/>
  <c r="J9436" i="5"/>
  <c r="J9437" i="5"/>
  <c r="J9438" i="5"/>
  <c r="J9439" i="5"/>
  <c r="J9440" i="5"/>
  <c r="J9441" i="5"/>
  <c r="J9442" i="5"/>
  <c r="J9443" i="5"/>
  <c r="J9444" i="5"/>
  <c r="J9445" i="5"/>
  <c r="J9446" i="5"/>
  <c r="J9447" i="5"/>
  <c r="J9448" i="5"/>
  <c r="J9449" i="5"/>
  <c r="J9450" i="5"/>
  <c r="J9451" i="5"/>
  <c r="J9452" i="5"/>
  <c r="J9453" i="5"/>
  <c r="J9454" i="5"/>
  <c r="J9455" i="5"/>
  <c r="J9456" i="5"/>
  <c r="J9457" i="5"/>
  <c r="J9458" i="5"/>
  <c r="J9459" i="5"/>
  <c r="J9460" i="5"/>
  <c r="J9461" i="5"/>
  <c r="J9462" i="5"/>
  <c r="J9463" i="5"/>
  <c r="J9464" i="5"/>
  <c r="J9465" i="5"/>
  <c r="J9466" i="5"/>
  <c r="J9467" i="5"/>
  <c r="J9468" i="5"/>
  <c r="J9469" i="5"/>
  <c r="J9470" i="5"/>
  <c r="J9471" i="5"/>
  <c r="J9472" i="5"/>
  <c r="J9473" i="5"/>
  <c r="J9474" i="5"/>
  <c r="J9475" i="5"/>
  <c r="J9476" i="5"/>
  <c r="J9477" i="5"/>
  <c r="J9478" i="5"/>
  <c r="J9479" i="5"/>
  <c r="J9480" i="5"/>
  <c r="J9481" i="5"/>
  <c r="J9482" i="5"/>
  <c r="J9483" i="5"/>
  <c r="J9484" i="5"/>
  <c r="J9485" i="5"/>
  <c r="J9486" i="5"/>
  <c r="J9487" i="5"/>
  <c r="J9488" i="5"/>
  <c r="J9489" i="5"/>
  <c r="J9490" i="5"/>
  <c r="J9491" i="5"/>
  <c r="J9492" i="5"/>
  <c r="J9493" i="5"/>
  <c r="J9494" i="5"/>
  <c r="J9495" i="5"/>
  <c r="J9496" i="5"/>
  <c r="J9497" i="5"/>
  <c r="J9498" i="5"/>
  <c r="J9499" i="5"/>
  <c r="J9500" i="5"/>
  <c r="J9501" i="5"/>
  <c r="J9502" i="5"/>
  <c r="J9503" i="5"/>
  <c r="J9504" i="5"/>
  <c r="J9505" i="5"/>
  <c r="J9506" i="5"/>
  <c r="J9507" i="5"/>
  <c r="J9508" i="5"/>
  <c r="J9509" i="5"/>
  <c r="J9510" i="5"/>
  <c r="J9511" i="5"/>
  <c r="J9512" i="5"/>
  <c r="J9513" i="5"/>
  <c r="J9514" i="5"/>
  <c r="J9515" i="5"/>
  <c r="J9516" i="5"/>
  <c r="J9517" i="5"/>
  <c r="J9518" i="5"/>
  <c r="J9519" i="5"/>
  <c r="J9520" i="5"/>
  <c r="J9521" i="5"/>
  <c r="J9522" i="5"/>
  <c r="J9523" i="5"/>
  <c r="J9524" i="5"/>
  <c r="J9525" i="5"/>
  <c r="J9526" i="5"/>
  <c r="J9527" i="5"/>
  <c r="J9528" i="5"/>
  <c r="J9529" i="5"/>
  <c r="J9530" i="5"/>
  <c r="J9531" i="5"/>
  <c r="J9532" i="5"/>
  <c r="J9533" i="5"/>
  <c r="J9534" i="5"/>
  <c r="J9535" i="5"/>
  <c r="J9536" i="5"/>
  <c r="J9537" i="5"/>
  <c r="J9538" i="5"/>
  <c r="J9539" i="5"/>
  <c r="J9540" i="5"/>
  <c r="J9541" i="5"/>
  <c r="J9542" i="5"/>
  <c r="J9543" i="5"/>
  <c r="J9544" i="5"/>
  <c r="J9545" i="5"/>
  <c r="J9546" i="5"/>
  <c r="J9547" i="5"/>
  <c r="J9548" i="5"/>
  <c r="J9549" i="5"/>
  <c r="J9550" i="5"/>
  <c r="J9551" i="5"/>
  <c r="J9552" i="5"/>
  <c r="J9553" i="5"/>
  <c r="J9554" i="5"/>
  <c r="J9555" i="5"/>
  <c r="J9556" i="5"/>
  <c r="J9557" i="5"/>
  <c r="J9558" i="5"/>
  <c r="J9559" i="5"/>
  <c r="J9560" i="5"/>
  <c r="J9561" i="5"/>
  <c r="J9562" i="5"/>
  <c r="J9563" i="5"/>
  <c r="J9564" i="5"/>
  <c r="J9565" i="5"/>
  <c r="J9566" i="5"/>
  <c r="J9567" i="5"/>
  <c r="J9568" i="5"/>
  <c r="J9569" i="5"/>
  <c r="J9570" i="5"/>
  <c r="J9571" i="5"/>
  <c r="J9572" i="5"/>
  <c r="J9573" i="5"/>
  <c r="J9574" i="5"/>
  <c r="J9575" i="5"/>
  <c r="J9576" i="5"/>
  <c r="J9577" i="5"/>
  <c r="J9578" i="5"/>
  <c r="J9579" i="5"/>
  <c r="J9580" i="5"/>
  <c r="J9581" i="5"/>
  <c r="J9582" i="5"/>
  <c r="J9583" i="5"/>
  <c r="J9584" i="5"/>
  <c r="J9585" i="5"/>
  <c r="J9586" i="5"/>
  <c r="J9587" i="5"/>
  <c r="J9588" i="5"/>
  <c r="J9589" i="5"/>
  <c r="J9590" i="5"/>
  <c r="J9591" i="5"/>
  <c r="J9592" i="5"/>
  <c r="J9593" i="5"/>
  <c r="J9594" i="5"/>
  <c r="J9595" i="5"/>
  <c r="J9596" i="5"/>
  <c r="J9597" i="5"/>
  <c r="J9598" i="5"/>
  <c r="J9599" i="5"/>
  <c r="J9600" i="5"/>
  <c r="J9601" i="5"/>
  <c r="J9602" i="5"/>
  <c r="J9603" i="5"/>
  <c r="J9604" i="5"/>
  <c r="J9605" i="5"/>
  <c r="J9606" i="5"/>
  <c r="J9607" i="5"/>
  <c r="J9608" i="5"/>
  <c r="J9609" i="5"/>
  <c r="J9610" i="5"/>
  <c r="J9611" i="5"/>
  <c r="J9612" i="5"/>
  <c r="J9613" i="5"/>
  <c r="J9614" i="5"/>
  <c r="J9615" i="5"/>
  <c r="J9616" i="5"/>
  <c r="J9617" i="5"/>
  <c r="J9618" i="5"/>
  <c r="J9619" i="5"/>
  <c r="J9620" i="5"/>
  <c r="J9621" i="5"/>
  <c r="J9622" i="5"/>
  <c r="J9623" i="5"/>
  <c r="J9624" i="5"/>
  <c r="J9625" i="5"/>
  <c r="J9626" i="5"/>
  <c r="J9627" i="5"/>
  <c r="J9628" i="5"/>
  <c r="J9629" i="5"/>
  <c r="J9630" i="5"/>
  <c r="J9631" i="5"/>
  <c r="J9632" i="5"/>
  <c r="J9633" i="5"/>
  <c r="J9634" i="5"/>
  <c r="J9635" i="5"/>
  <c r="J9636" i="5"/>
  <c r="J9637" i="5"/>
  <c r="J9638" i="5"/>
  <c r="J9639" i="5"/>
  <c r="J9640" i="5"/>
  <c r="J9641" i="5"/>
  <c r="J9642" i="5"/>
  <c r="J9643" i="5"/>
  <c r="J9644" i="5"/>
  <c r="J9645" i="5"/>
  <c r="J9646" i="5"/>
  <c r="J9647" i="5"/>
  <c r="J9648" i="5"/>
  <c r="J9649" i="5"/>
  <c r="J9650" i="5"/>
  <c r="J9651" i="5"/>
  <c r="J9652" i="5"/>
  <c r="J9653" i="5"/>
  <c r="J9654" i="5"/>
  <c r="J9655" i="5"/>
  <c r="J9656" i="5"/>
  <c r="J9657" i="5"/>
  <c r="J9658" i="5"/>
  <c r="J9659" i="5"/>
  <c r="J9660" i="5"/>
  <c r="J9661" i="5"/>
  <c r="J9662" i="5"/>
  <c r="J9663" i="5"/>
  <c r="J9664" i="5"/>
  <c r="J9665" i="5"/>
  <c r="J9666" i="5"/>
  <c r="J9667" i="5"/>
  <c r="J9668" i="5"/>
  <c r="J9669" i="5"/>
  <c r="J9670" i="5"/>
  <c r="J9671" i="5"/>
  <c r="J9672" i="5"/>
  <c r="J9673" i="5"/>
  <c r="J9674" i="5"/>
  <c r="J9675" i="5"/>
  <c r="J9676" i="5"/>
  <c r="J9677" i="5"/>
  <c r="J9678" i="5"/>
  <c r="J9679" i="5"/>
  <c r="J9680" i="5"/>
  <c r="J9681" i="5"/>
  <c r="J9682" i="5"/>
  <c r="J9683" i="5"/>
  <c r="J9684" i="5"/>
  <c r="J9685" i="5"/>
  <c r="J9686" i="5"/>
  <c r="J9687" i="5"/>
  <c r="J9688" i="5"/>
  <c r="J9689" i="5"/>
  <c r="J9690" i="5"/>
  <c r="J9691" i="5"/>
  <c r="J9692" i="5"/>
  <c r="J9693" i="5"/>
  <c r="J9694" i="5"/>
  <c r="J9695" i="5"/>
  <c r="J9696" i="5"/>
  <c r="J9697" i="5"/>
  <c r="J9698" i="5"/>
  <c r="J9699" i="5"/>
  <c r="J9700" i="5"/>
  <c r="J9701" i="5"/>
  <c r="J9702" i="5"/>
  <c r="J9703" i="5"/>
  <c r="J9704" i="5"/>
  <c r="J9705" i="5"/>
  <c r="J9706" i="5"/>
  <c r="J9707" i="5"/>
  <c r="J9708" i="5"/>
  <c r="J9709" i="5"/>
  <c r="J9710" i="5"/>
  <c r="J9711" i="5"/>
  <c r="J9712" i="5"/>
  <c r="J9713" i="5"/>
  <c r="J9714" i="5"/>
  <c r="J9715" i="5"/>
  <c r="J9716" i="5"/>
  <c r="J9717" i="5"/>
  <c r="J9718" i="5"/>
  <c r="J9719" i="5"/>
  <c r="J9720" i="5"/>
  <c r="J9721" i="5"/>
  <c r="J9722" i="5"/>
  <c r="J9723" i="5"/>
  <c r="J9724" i="5"/>
  <c r="J9725" i="5"/>
  <c r="J9726" i="5"/>
  <c r="J9727" i="5"/>
  <c r="J9728" i="5"/>
  <c r="J9729" i="5"/>
  <c r="J9730" i="5"/>
  <c r="J9731" i="5"/>
  <c r="J9732" i="5"/>
  <c r="J9733" i="5"/>
  <c r="J9734" i="5"/>
  <c r="J9735" i="5"/>
  <c r="J9736" i="5"/>
  <c r="J9737" i="5"/>
  <c r="J9738" i="5"/>
  <c r="J9739" i="5"/>
  <c r="J9740" i="5"/>
  <c r="J9741" i="5"/>
  <c r="J9742" i="5"/>
  <c r="J9743" i="5"/>
  <c r="J9744" i="5"/>
  <c r="J9745" i="5"/>
  <c r="J9746" i="5"/>
  <c r="J9747" i="5"/>
  <c r="J9748" i="5"/>
  <c r="J9749" i="5"/>
  <c r="J9750" i="5"/>
  <c r="J9751" i="5"/>
  <c r="J9752" i="5"/>
  <c r="J9753" i="5"/>
  <c r="J9754" i="5"/>
  <c r="J9755" i="5"/>
  <c r="J9756" i="5"/>
  <c r="J9757" i="5"/>
  <c r="J9758" i="5"/>
  <c r="J9759" i="5"/>
  <c r="J9760" i="5"/>
  <c r="J9761" i="5"/>
  <c r="J9762" i="5"/>
  <c r="J9763" i="5"/>
  <c r="J9764" i="5"/>
  <c r="J9765" i="5"/>
  <c r="J9766" i="5"/>
  <c r="J9767" i="5"/>
  <c r="J9768" i="5"/>
  <c r="J9769" i="5"/>
  <c r="J9770" i="5"/>
  <c r="J9771" i="5"/>
  <c r="J9772" i="5"/>
  <c r="J9773" i="5"/>
  <c r="J9774" i="5"/>
  <c r="J9775" i="5"/>
  <c r="J9776" i="5"/>
  <c r="J9777" i="5"/>
  <c r="J9778" i="5"/>
  <c r="J9779" i="5"/>
  <c r="J9780" i="5"/>
  <c r="J9781" i="5"/>
  <c r="J9782" i="5"/>
  <c r="J9783" i="5"/>
  <c r="J9784" i="5"/>
  <c r="J9785" i="5"/>
  <c r="J9786" i="5"/>
  <c r="J9787" i="5"/>
  <c r="J9788" i="5"/>
  <c r="J9789" i="5"/>
  <c r="J9790" i="5"/>
  <c r="J9791" i="5"/>
  <c r="J9792" i="5"/>
  <c r="J9793" i="5"/>
  <c r="J9794" i="5"/>
  <c r="J9795" i="5"/>
  <c r="J9796" i="5"/>
  <c r="J9797" i="5"/>
  <c r="J9798" i="5"/>
  <c r="J9799" i="5"/>
  <c r="J9800" i="5"/>
  <c r="J9801" i="5"/>
  <c r="J9802" i="5"/>
  <c r="J9803" i="5"/>
  <c r="J9804" i="5"/>
  <c r="J9805" i="5"/>
  <c r="J9806" i="5"/>
  <c r="J9807" i="5"/>
  <c r="J9808" i="5"/>
  <c r="J9809" i="5"/>
  <c r="J9810" i="5"/>
  <c r="J9811" i="5"/>
  <c r="J9812" i="5"/>
  <c r="J9813" i="5"/>
  <c r="J9814" i="5"/>
  <c r="J9815" i="5"/>
  <c r="J9816" i="5"/>
  <c r="J9817" i="5"/>
  <c r="J9818" i="5"/>
  <c r="J9819" i="5"/>
  <c r="J9820" i="5"/>
  <c r="J9821" i="5"/>
  <c r="J9822" i="5"/>
  <c r="J9823" i="5"/>
  <c r="J9824" i="5"/>
  <c r="J9825" i="5"/>
  <c r="J9826" i="5"/>
  <c r="J9827" i="5"/>
  <c r="J9828" i="5"/>
  <c r="J9829" i="5"/>
  <c r="J9830" i="5"/>
  <c r="J9831" i="5"/>
  <c r="J9832" i="5"/>
  <c r="J9833" i="5"/>
  <c r="J9834" i="5"/>
  <c r="J9835" i="5"/>
  <c r="J9836" i="5"/>
  <c r="J9837" i="5"/>
  <c r="J9838" i="5"/>
  <c r="J9839" i="5"/>
  <c r="J9840" i="5"/>
  <c r="J9841" i="5"/>
  <c r="J9842" i="5"/>
  <c r="J9843" i="5"/>
  <c r="J9844" i="5"/>
  <c r="J9845" i="5"/>
  <c r="J9846" i="5"/>
  <c r="J9847" i="5"/>
  <c r="J9848" i="5"/>
  <c r="J9849" i="5"/>
  <c r="J9850" i="5"/>
  <c r="J9851" i="5"/>
  <c r="J9852" i="5"/>
  <c r="J9853" i="5"/>
  <c r="J9854" i="5"/>
  <c r="J9855" i="5"/>
  <c r="J9856" i="5"/>
  <c r="J9857" i="5"/>
  <c r="J9858" i="5"/>
  <c r="J9859" i="5"/>
  <c r="J9860" i="5"/>
  <c r="J9861" i="5"/>
  <c r="J9862" i="5"/>
  <c r="J9863" i="5"/>
  <c r="J9864" i="5"/>
  <c r="J9865" i="5"/>
  <c r="J9866" i="5"/>
  <c r="J9867" i="5"/>
  <c r="J9868" i="5"/>
  <c r="J9869" i="5"/>
  <c r="J9870" i="5"/>
  <c r="J9871" i="5"/>
  <c r="J9872" i="5"/>
  <c r="J9873" i="5"/>
  <c r="J9874" i="5"/>
  <c r="J9875" i="5"/>
  <c r="J9876" i="5"/>
  <c r="J9877" i="5"/>
  <c r="J9878" i="5"/>
  <c r="J9879" i="5"/>
  <c r="J9880" i="5"/>
  <c r="J9881" i="5"/>
  <c r="J9882" i="5"/>
  <c r="J9883" i="5"/>
  <c r="J9884" i="5"/>
  <c r="J9885" i="5"/>
  <c r="J9886" i="5"/>
  <c r="J9887" i="5"/>
  <c r="J9888" i="5"/>
  <c r="J9889" i="5"/>
  <c r="J9890" i="5"/>
  <c r="J9891" i="5"/>
  <c r="J9892" i="5"/>
  <c r="J9893" i="5"/>
  <c r="J9894" i="5"/>
  <c r="J9895" i="5"/>
  <c r="J9896" i="5"/>
  <c r="J9897" i="5"/>
  <c r="J9898" i="5"/>
  <c r="J9899" i="5"/>
  <c r="J9900" i="5"/>
  <c r="J9901" i="5"/>
  <c r="J9902" i="5"/>
  <c r="J9903" i="5"/>
  <c r="J9904" i="5"/>
  <c r="J9905" i="5"/>
  <c r="J9906" i="5"/>
  <c r="J9907" i="5"/>
  <c r="J9908" i="5"/>
  <c r="J9909" i="5"/>
  <c r="J9910" i="5"/>
  <c r="J9911" i="5"/>
  <c r="J9912" i="5"/>
  <c r="J9913" i="5"/>
  <c r="J9914" i="5"/>
  <c r="J9915" i="5"/>
  <c r="J9916" i="5"/>
  <c r="J9917" i="5"/>
  <c r="J9918" i="5"/>
  <c r="J9919" i="5"/>
  <c r="J9920" i="5"/>
  <c r="J9921" i="5"/>
  <c r="J9922" i="5"/>
  <c r="J9923" i="5"/>
  <c r="J9924" i="5"/>
  <c r="J9925" i="5"/>
  <c r="J9926" i="5"/>
  <c r="J9927" i="5"/>
  <c r="J9928" i="5"/>
  <c r="J9929" i="5"/>
  <c r="J9930" i="5"/>
  <c r="J9931" i="5"/>
  <c r="J9932" i="5"/>
  <c r="J9933" i="5"/>
  <c r="J9934" i="5"/>
  <c r="J9935" i="5"/>
  <c r="J9936" i="5"/>
  <c r="J9937" i="5"/>
  <c r="J9938" i="5"/>
  <c r="J9939" i="5"/>
  <c r="J9940" i="5"/>
  <c r="J9941" i="5"/>
  <c r="J9942" i="5"/>
  <c r="J9943" i="5"/>
  <c r="J9944" i="5"/>
  <c r="J9945" i="5"/>
  <c r="J9946" i="5"/>
  <c r="J9947" i="5"/>
  <c r="J9948" i="5"/>
  <c r="J9949" i="5"/>
  <c r="J9950" i="5"/>
  <c r="J9951" i="5"/>
  <c r="J9952" i="5"/>
  <c r="J9953" i="5"/>
  <c r="J9954" i="5"/>
  <c r="J9955" i="5"/>
  <c r="J9956" i="5"/>
  <c r="J9957" i="5"/>
  <c r="J9958" i="5"/>
  <c r="J9959" i="5"/>
  <c r="J9960" i="5"/>
  <c r="J9961" i="5"/>
  <c r="J9962" i="5"/>
  <c r="J9963" i="5"/>
  <c r="J9964" i="5"/>
  <c r="J9965" i="5"/>
  <c r="J9966" i="5"/>
  <c r="J9967" i="5"/>
  <c r="J9968" i="5"/>
  <c r="J9969" i="5"/>
  <c r="J9970" i="5"/>
  <c r="J9971" i="5"/>
  <c r="J9972" i="5"/>
  <c r="J9973" i="5"/>
  <c r="J9974" i="5"/>
  <c r="J9975" i="5"/>
  <c r="J9976" i="5"/>
  <c r="J9977" i="5"/>
  <c r="J9978" i="5"/>
  <c r="J9979" i="5"/>
  <c r="J9980" i="5"/>
  <c r="J9981" i="5"/>
  <c r="J9982" i="5"/>
  <c r="J9983" i="5"/>
  <c r="J9984" i="5"/>
  <c r="J9985" i="5"/>
  <c r="J9986" i="5"/>
  <c r="J9987" i="5"/>
  <c r="J9988" i="5"/>
  <c r="J9989" i="5"/>
  <c r="J9990" i="5"/>
  <c r="J9991" i="5"/>
  <c r="J9992" i="5"/>
  <c r="J9993" i="5"/>
  <c r="J9994" i="5"/>
  <c r="J9995" i="5"/>
  <c r="J9996" i="5"/>
  <c r="J9997" i="5"/>
  <c r="J9998" i="5"/>
  <c r="J9999" i="5"/>
  <c r="J10000" i="5"/>
  <c r="J10001" i="5"/>
  <c r="J10002" i="5"/>
  <c r="J10003" i="5"/>
  <c r="J10004" i="5"/>
  <c r="J10005" i="5"/>
  <c r="J10006" i="5"/>
  <c r="J10007" i="5"/>
  <c r="J10008" i="5"/>
  <c r="J10009" i="5"/>
  <c r="J10010" i="5"/>
  <c r="J10011" i="5"/>
  <c r="J10012" i="5"/>
  <c r="J10013" i="5"/>
  <c r="J10014" i="5"/>
  <c r="J10015" i="5"/>
  <c r="J10016" i="5"/>
  <c r="J10017" i="5"/>
  <c r="J10018" i="5"/>
  <c r="J10019" i="5"/>
  <c r="J10020" i="5"/>
  <c r="J10021" i="5"/>
  <c r="J10022" i="5"/>
  <c r="J10023" i="5"/>
  <c r="J10024" i="5"/>
  <c r="J10025" i="5"/>
  <c r="J10026" i="5"/>
  <c r="J10027" i="5"/>
  <c r="J10028" i="5"/>
  <c r="J10029" i="5"/>
  <c r="J10030" i="5"/>
  <c r="J10031" i="5"/>
  <c r="J10032" i="5"/>
  <c r="J10033" i="5"/>
  <c r="J10034" i="5"/>
  <c r="J10035" i="5"/>
  <c r="J10036" i="5"/>
  <c r="J10037" i="5"/>
  <c r="J10038" i="5"/>
  <c r="J10039" i="5"/>
  <c r="J10040" i="5"/>
  <c r="J10041" i="5"/>
  <c r="J10042" i="5"/>
  <c r="J10043" i="5"/>
  <c r="J10044" i="5"/>
  <c r="J10045" i="5"/>
  <c r="J10046" i="5"/>
  <c r="J10047" i="5"/>
  <c r="J10048" i="5"/>
  <c r="J10049" i="5"/>
  <c r="J10050" i="5"/>
  <c r="J10051" i="5"/>
  <c r="J10052" i="5"/>
  <c r="J10053" i="5"/>
  <c r="J10054" i="5"/>
  <c r="J10055" i="5"/>
  <c r="J10056" i="5"/>
  <c r="J10057" i="5"/>
  <c r="J10058" i="5"/>
  <c r="J10059" i="5"/>
  <c r="J10060" i="5"/>
  <c r="J10061" i="5"/>
  <c r="J10062" i="5"/>
  <c r="J10063" i="5"/>
  <c r="J10064" i="5"/>
  <c r="J10065" i="5"/>
  <c r="J10066" i="5"/>
  <c r="J10067" i="5"/>
  <c r="J10068" i="5"/>
  <c r="J10069" i="5"/>
  <c r="J10070" i="5"/>
  <c r="J10071" i="5"/>
  <c r="J10072" i="5"/>
  <c r="J10073" i="5"/>
  <c r="J10074" i="5"/>
  <c r="J10075" i="5"/>
  <c r="J10076" i="5"/>
  <c r="J10077" i="5"/>
  <c r="J10078" i="5"/>
  <c r="J10079" i="5"/>
  <c r="J10080" i="5"/>
  <c r="J10081" i="5"/>
  <c r="J10082" i="5"/>
  <c r="J10083" i="5"/>
  <c r="J10084" i="5"/>
  <c r="J10085" i="5"/>
  <c r="J10086" i="5"/>
  <c r="J10087" i="5"/>
  <c r="J10088" i="5"/>
  <c r="J10089" i="5"/>
  <c r="J10090" i="5"/>
  <c r="J10091" i="5"/>
  <c r="J10092" i="5"/>
  <c r="J10093" i="5"/>
  <c r="J10094" i="5"/>
  <c r="J10095" i="5"/>
  <c r="J10096" i="5"/>
  <c r="J10097" i="5"/>
  <c r="J10098" i="5"/>
  <c r="J10099" i="5"/>
  <c r="J10100" i="5"/>
  <c r="J10101" i="5"/>
  <c r="J10102" i="5"/>
  <c r="J10103" i="5"/>
  <c r="J10104" i="5"/>
  <c r="J10105" i="5"/>
  <c r="J10106" i="5"/>
  <c r="J10107" i="5"/>
  <c r="J10108" i="5"/>
  <c r="J10109" i="5"/>
  <c r="J10110" i="5"/>
  <c r="J10111" i="5"/>
  <c r="J10112" i="5"/>
  <c r="J10113" i="5"/>
  <c r="J10114" i="5"/>
  <c r="J10115" i="5"/>
  <c r="J10116" i="5"/>
  <c r="J10117" i="5"/>
  <c r="J10118" i="5"/>
  <c r="J10119" i="5"/>
  <c r="J10120" i="5"/>
  <c r="J10121" i="5"/>
  <c r="J10122" i="5"/>
  <c r="J10123" i="5"/>
  <c r="J10124" i="5"/>
  <c r="J10125" i="5"/>
  <c r="J10126" i="5"/>
  <c r="J10127" i="5"/>
  <c r="J10128" i="5"/>
  <c r="J10129" i="5"/>
  <c r="J10130" i="5"/>
  <c r="J10131" i="5"/>
  <c r="J10132" i="5"/>
  <c r="J10133" i="5"/>
  <c r="J10134" i="5"/>
  <c r="J10135" i="5"/>
  <c r="J10136" i="5"/>
  <c r="J10137" i="5"/>
  <c r="J10138" i="5"/>
  <c r="J10139" i="5"/>
  <c r="J10140" i="5"/>
  <c r="J10141" i="5"/>
  <c r="J10142" i="5"/>
  <c r="J10143" i="5"/>
  <c r="J10144" i="5"/>
  <c r="J10145" i="5"/>
  <c r="J10146" i="5"/>
  <c r="J10147" i="5"/>
  <c r="J10148" i="5"/>
  <c r="J10149" i="5"/>
  <c r="J10150" i="5"/>
  <c r="J10151" i="5"/>
  <c r="J10152" i="5"/>
  <c r="J10153" i="5"/>
  <c r="J10154" i="5"/>
  <c r="J10155" i="5"/>
  <c r="J10156" i="5"/>
  <c r="J10157" i="5"/>
  <c r="J10158" i="5"/>
  <c r="J10159" i="5"/>
  <c r="J10160" i="5"/>
  <c r="J10161" i="5"/>
  <c r="J10162" i="5"/>
  <c r="J10163" i="5"/>
  <c r="J10164" i="5"/>
  <c r="J10165" i="5"/>
  <c r="J10166" i="5"/>
  <c r="J10167" i="5"/>
  <c r="J10168" i="5"/>
  <c r="J10169" i="5"/>
  <c r="J10170" i="5"/>
  <c r="E52" i="17"/>
  <c r="C51" i="17"/>
  <c r="E51" i="17" s="1"/>
  <c r="E53" i="17"/>
  <c r="E50" i="17"/>
  <c r="E49" i="17"/>
  <c r="E48" i="17"/>
  <c r="E47" i="17"/>
  <c r="D4" i="10"/>
  <c r="E54" i="17" l="1"/>
  <c r="U467" i="18"/>
  <c r="Y13" i="21" a="1"/>
  <c r="Y13" i="21" s="1"/>
  <c r="Y11" i="21" a="1"/>
  <c r="Y11" i="21" s="1"/>
  <c r="V2436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1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2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60" i="5"/>
  <c r="V3161" i="5"/>
  <c r="V3162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8" i="5"/>
  <c r="V3579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8" i="5"/>
  <c r="V3639" i="5"/>
  <c r="V3640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9" i="5"/>
  <c r="V3860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9" i="5"/>
  <c r="V4250" i="5"/>
  <c r="V4251" i="5"/>
  <c r="V4252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4808" i="5"/>
  <c r="V4809" i="5"/>
  <c r="V4810" i="5"/>
  <c r="V4811" i="5"/>
  <c r="V4812" i="5"/>
  <c r="V4813" i="5"/>
  <c r="V4814" i="5"/>
  <c r="V4815" i="5"/>
  <c r="V4816" i="5"/>
  <c r="V4817" i="5"/>
  <c r="V4818" i="5"/>
  <c r="V4819" i="5"/>
  <c r="V4820" i="5"/>
  <c r="V4821" i="5"/>
  <c r="V4822" i="5"/>
  <c r="V4823" i="5"/>
  <c r="V4824" i="5"/>
  <c r="V4825" i="5"/>
  <c r="V4826" i="5"/>
  <c r="V4827" i="5"/>
  <c r="V4828" i="5"/>
  <c r="V4829" i="5"/>
  <c r="V4830" i="5"/>
  <c r="V4831" i="5"/>
  <c r="V4832" i="5"/>
  <c r="V4833" i="5"/>
  <c r="V4834" i="5"/>
  <c r="V4835" i="5"/>
  <c r="V4836" i="5"/>
  <c r="V4837" i="5"/>
  <c r="V4838" i="5"/>
  <c r="V4839" i="5"/>
  <c r="V4840" i="5"/>
  <c r="V4841" i="5"/>
  <c r="V4842" i="5"/>
  <c r="V4843" i="5"/>
  <c r="V4844" i="5"/>
  <c r="V4845" i="5"/>
  <c r="V4846" i="5"/>
  <c r="V4847" i="5"/>
  <c r="V4848" i="5"/>
  <c r="V4849" i="5"/>
  <c r="V4850" i="5"/>
  <c r="V4851" i="5"/>
  <c r="V4852" i="5"/>
  <c r="V4853" i="5"/>
  <c r="V4854" i="5"/>
  <c r="V4855" i="5"/>
  <c r="V4856" i="5"/>
  <c r="V4857" i="5"/>
  <c r="V4858" i="5"/>
  <c r="V4859" i="5"/>
  <c r="V4860" i="5"/>
  <c r="V4861" i="5"/>
  <c r="V4862" i="5"/>
  <c r="V4863" i="5"/>
  <c r="V4864" i="5"/>
  <c r="V4865" i="5"/>
  <c r="V4866" i="5"/>
  <c r="V4867" i="5"/>
  <c r="V4868" i="5"/>
  <c r="V4869" i="5"/>
  <c r="V4870" i="5"/>
  <c r="V4871" i="5"/>
  <c r="V4872" i="5"/>
  <c r="V4873" i="5"/>
  <c r="V4874" i="5"/>
  <c r="V4875" i="5"/>
  <c r="V4876" i="5"/>
  <c r="V4877" i="5"/>
  <c r="V4878" i="5"/>
  <c r="V4879" i="5"/>
  <c r="V4880" i="5"/>
  <c r="V4881" i="5"/>
  <c r="V4882" i="5"/>
  <c r="V4883" i="5"/>
  <c r="V4884" i="5"/>
  <c r="V4886" i="5"/>
  <c r="V4887" i="5"/>
  <c r="V4889" i="5"/>
  <c r="V4891" i="5"/>
  <c r="V4892" i="5"/>
  <c r="V4894" i="5"/>
  <c r="V4895" i="5"/>
  <c r="V4896" i="5"/>
  <c r="V4897" i="5"/>
  <c r="V4898" i="5"/>
  <c r="V4899" i="5"/>
  <c r="V4900" i="5"/>
  <c r="V4901" i="5"/>
  <c r="V4902" i="5"/>
  <c r="V4903" i="5"/>
  <c r="V4904" i="5"/>
  <c r="V4905" i="5"/>
  <c r="V4906" i="5"/>
  <c r="V4907" i="5"/>
  <c r="V4908" i="5"/>
  <c r="V4909" i="5"/>
  <c r="V4910" i="5"/>
  <c r="V4911" i="5"/>
  <c r="V4912" i="5"/>
  <c r="V4913" i="5"/>
  <c r="V4914" i="5"/>
  <c r="V4915" i="5"/>
  <c r="V4916" i="5"/>
  <c r="V4917" i="5"/>
  <c r="V4918" i="5"/>
  <c r="V4919" i="5"/>
  <c r="V4920" i="5"/>
  <c r="V4921" i="5"/>
  <c r="V4922" i="5"/>
  <c r="V4923" i="5"/>
  <c r="V4924" i="5"/>
  <c r="V4925" i="5"/>
  <c r="V4926" i="5"/>
  <c r="V4927" i="5"/>
  <c r="V4928" i="5"/>
  <c r="V4929" i="5"/>
  <c r="V4930" i="5"/>
  <c r="V4931" i="5"/>
  <c r="V4932" i="5"/>
  <c r="V4933" i="5"/>
  <c r="V4934" i="5"/>
  <c r="V4935" i="5"/>
  <c r="V4936" i="5"/>
  <c r="V4937" i="5"/>
  <c r="V4938" i="5"/>
  <c r="V4939" i="5"/>
  <c r="V4940" i="5"/>
  <c r="V4941" i="5"/>
  <c r="V4945" i="5"/>
  <c r="V4946" i="5"/>
  <c r="V4947" i="5"/>
  <c r="V4948" i="5"/>
  <c r="V4949" i="5"/>
  <c r="V4953" i="5"/>
  <c r="V4954" i="5"/>
  <c r="V4955" i="5"/>
  <c r="V4956" i="5"/>
  <c r="V4957" i="5"/>
  <c r="V4958" i="5"/>
  <c r="V4959" i="5"/>
  <c r="V4960" i="5"/>
  <c r="V4961" i="5"/>
  <c r="V4962" i="5"/>
  <c r="V4963" i="5"/>
  <c r="V4964" i="5"/>
  <c r="V4965" i="5"/>
  <c r="V4966" i="5"/>
  <c r="V4967" i="5"/>
  <c r="V4968" i="5"/>
  <c r="V4969" i="5"/>
  <c r="V4970" i="5"/>
  <c r="V4971" i="5"/>
  <c r="V4972" i="5"/>
  <c r="V4973" i="5"/>
  <c r="V4974" i="5"/>
  <c r="V4975" i="5"/>
  <c r="V4976" i="5"/>
  <c r="V4977" i="5"/>
  <c r="V4978" i="5"/>
  <c r="V4979" i="5"/>
  <c r="V4980" i="5"/>
  <c r="V4981" i="5"/>
  <c r="V4982" i="5"/>
  <c r="V4983" i="5"/>
  <c r="V4984" i="5"/>
  <c r="V4985" i="5"/>
  <c r="V4986" i="5"/>
  <c r="V4987" i="5"/>
  <c r="V4988" i="5"/>
  <c r="V4989" i="5"/>
  <c r="V4990" i="5"/>
  <c r="V4991" i="5"/>
  <c r="V4995" i="5"/>
  <c r="V4997" i="5"/>
  <c r="V4998" i="5"/>
  <c r="V4999" i="5"/>
  <c r="V5004" i="5"/>
  <c r="V5008" i="5"/>
  <c r="V5013" i="5"/>
  <c r="V5017" i="5"/>
  <c r="V5018" i="5"/>
  <c r="V5022" i="5"/>
  <c r="V5023" i="5"/>
  <c r="V5024" i="5"/>
  <c r="V5025" i="5"/>
  <c r="V5026" i="5"/>
  <c r="V5027" i="5"/>
  <c r="V5028" i="5"/>
  <c r="V5029" i="5"/>
  <c r="V5031" i="5"/>
  <c r="V5032" i="5"/>
  <c r="V5033" i="5"/>
  <c r="V5034" i="5"/>
  <c r="V5035" i="5"/>
  <c r="V5036" i="5"/>
  <c r="V5037" i="5"/>
  <c r="V5038" i="5"/>
  <c r="V5039" i="5"/>
  <c r="V5040" i="5"/>
  <c r="V5041" i="5"/>
  <c r="V5042" i="5"/>
  <c r="V5043" i="5"/>
  <c r="V5044" i="5"/>
  <c r="V5045" i="5"/>
  <c r="V5046" i="5"/>
  <c r="V5047" i="5"/>
  <c r="V5048" i="5"/>
  <c r="V5049" i="5"/>
  <c r="V5050" i="5"/>
  <c r="V5051" i="5"/>
  <c r="V5052" i="5"/>
  <c r="V5053" i="5"/>
  <c r="V5054" i="5"/>
  <c r="V5055" i="5"/>
  <c r="V5056" i="5"/>
  <c r="V5057" i="5"/>
  <c r="V5058" i="5"/>
  <c r="V5059" i="5"/>
  <c r="V5060" i="5"/>
  <c r="V5061" i="5"/>
  <c r="V5062" i="5"/>
  <c r="V5063" i="5"/>
  <c r="V5064" i="5"/>
  <c r="V5065" i="5"/>
  <c r="V5066" i="5"/>
  <c r="V5067" i="5"/>
  <c r="V5068" i="5"/>
  <c r="V5069" i="5"/>
  <c r="V5070" i="5"/>
  <c r="V5071" i="5"/>
  <c r="V5072" i="5"/>
  <c r="V5073" i="5"/>
  <c r="V5074" i="5"/>
  <c r="V5075" i="5"/>
  <c r="V5076" i="5"/>
  <c r="V5077" i="5"/>
  <c r="V5078" i="5"/>
  <c r="V5079" i="5"/>
  <c r="V5080" i="5"/>
  <c r="V5081" i="5"/>
  <c r="V5082" i="5"/>
  <c r="V5083" i="5"/>
  <c r="V5084" i="5"/>
  <c r="V5085" i="5"/>
  <c r="V5086" i="5"/>
  <c r="V5087" i="5"/>
  <c r="V5088" i="5"/>
  <c r="V5089" i="5"/>
  <c r="V5090" i="5"/>
  <c r="V5091" i="5"/>
  <c r="V5092" i="5"/>
  <c r="V5093" i="5"/>
  <c r="V5094" i="5"/>
  <c r="V5095" i="5"/>
  <c r="V5096" i="5"/>
  <c r="V5097" i="5"/>
  <c r="V5098" i="5"/>
  <c r="V5099" i="5"/>
  <c r="V5100" i="5"/>
  <c r="V5101" i="5"/>
  <c r="V5102" i="5"/>
  <c r="V5103" i="5"/>
  <c r="V5104" i="5"/>
  <c r="V5105" i="5"/>
  <c r="V5106" i="5"/>
  <c r="V5107" i="5"/>
  <c r="V5108" i="5"/>
  <c r="V5109" i="5"/>
  <c r="V5110" i="5"/>
  <c r="V5111" i="5"/>
  <c r="V5112" i="5"/>
  <c r="V5113" i="5"/>
  <c r="V5114" i="5"/>
  <c r="V5115" i="5"/>
  <c r="V5117" i="5"/>
  <c r="V5118" i="5"/>
  <c r="V5119" i="5"/>
  <c r="V5120" i="5"/>
  <c r="V5121" i="5"/>
  <c r="V5122" i="5"/>
  <c r="V5123" i="5"/>
  <c r="V5124" i="5"/>
  <c r="V5125" i="5"/>
  <c r="V5127" i="5"/>
  <c r="V5128" i="5"/>
  <c r="V5129" i="5"/>
  <c r="V5130" i="5"/>
  <c r="V5131" i="5"/>
  <c r="V5132" i="5"/>
  <c r="V5133" i="5"/>
  <c r="V5134" i="5"/>
  <c r="V5135" i="5"/>
  <c r="V5136" i="5"/>
  <c r="V5137" i="5"/>
  <c r="V5138" i="5"/>
  <c r="V5139" i="5"/>
  <c r="V5140" i="5"/>
  <c r="V5141" i="5"/>
  <c r="V5142" i="5"/>
  <c r="V5143" i="5"/>
  <c r="V5144" i="5"/>
  <c r="V5145" i="5"/>
  <c r="V5146" i="5"/>
  <c r="V5147" i="5"/>
  <c r="V5148" i="5"/>
  <c r="V5149" i="5"/>
  <c r="V5150" i="5"/>
  <c r="V5151" i="5"/>
  <c r="V5152" i="5"/>
  <c r="V5153" i="5"/>
  <c r="V5154" i="5"/>
  <c r="V5155" i="5"/>
  <c r="V5156" i="5"/>
  <c r="V5157" i="5"/>
  <c r="V5158" i="5"/>
  <c r="V5159" i="5"/>
  <c r="V5160" i="5"/>
  <c r="V5161" i="5"/>
  <c r="V5162" i="5"/>
  <c r="V5163" i="5"/>
  <c r="V5164" i="5"/>
  <c r="V5165" i="5"/>
  <c r="V5166" i="5"/>
  <c r="V5167" i="5"/>
  <c r="V5168" i="5"/>
  <c r="V5169" i="5"/>
  <c r="V5170" i="5"/>
  <c r="V5171" i="5"/>
  <c r="V5172" i="5"/>
  <c r="V5173" i="5"/>
  <c r="V5174" i="5"/>
  <c r="V5175" i="5"/>
  <c r="V5176" i="5"/>
  <c r="V5177" i="5"/>
  <c r="V5178" i="5"/>
  <c r="V5179" i="5"/>
  <c r="V5180" i="5"/>
  <c r="V5181" i="5"/>
  <c r="V5182" i="5"/>
  <c r="V5183" i="5"/>
  <c r="V5184" i="5"/>
  <c r="V5185" i="5"/>
  <c r="V5186" i="5"/>
  <c r="V5187" i="5"/>
  <c r="V5188" i="5"/>
  <c r="V5189" i="5"/>
  <c r="V5190" i="5"/>
  <c r="V5191" i="5"/>
  <c r="V5192" i="5"/>
  <c r="V5193" i="5"/>
  <c r="V5194" i="5"/>
  <c r="V5195" i="5"/>
  <c r="V5196" i="5"/>
  <c r="V5197" i="5"/>
  <c r="V5198" i="5"/>
  <c r="V5199" i="5"/>
  <c r="V5200" i="5"/>
  <c r="V5201" i="5"/>
  <c r="V5202" i="5"/>
  <c r="V5203" i="5"/>
  <c r="V5204" i="5"/>
  <c r="V5205" i="5"/>
  <c r="V5206" i="5"/>
  <c r="V5207" i="5"/>
  <c r="V5208" i="5"/>
  <c r="V5209" i="5"/>
  <c r="V5210" i="5"/>
  <c r="V5211" i="5"/>
  <c r="V5212" i="5"/>
  <c r="V5213" i="5"/>
  <c r="V5214" i="5"/>
  <c r="V5215" i="5"/>
  <c r="V5216" i="5"/>
  <c r="V5217" i="5"/>
  <c r="V5218" i="5"/>
  <c r="V5219" i="5"/>
  <c r="V5220" i="5"/>
  <c r="V5221" i="5"/>
  <c r="V5222" i="5"/>
  <c r="V5223" i="5"/>
  <c r="V5224" i="5"/>
  <c r="V5225" i="5"/>
  <c r="V5226" i="5"/>
  <c r="V5227" i="5"/>
  <c r="V5228" i="5"/>
  <c r="V5229" i="5"/>
  <c r="V5230" i="5"/>
  <c r="V5231" i="5"/>
  <c r="V5232" i="5"/>
  <c r="V5233" i="5"/>
  <c r="V5234" i="5"/>
  <c r="V5235" i="5"/>
  <c r="V5236" i="5"/>
  <c r="V5237" i="5"/>
  <c r="V5238" i="5"/>
  <c r="V5239" i="5"/>
  <c r="V5240" i="5"/>
  <c r="V5241" i="5"/>
  <c r="V5242" i="5"/>
  <c r="V5243" i="5"/>
  <c r="V5244" i="5"/>
  <c r="V5245" i="5"/>
  <c r="V5246" i="5"/>
  <c r="V5247" i="5"/>
  <c r="V5248" i="5"/>
  <c r="V5249" i="5"/>
  <c r="V5250" i="5"/>
  <c r="V5251" i="5"/>
  <c r="V5252" i="5"/>
  <c r="V5253" i="5"/>
  <c r="V5254" i="5"/>
  <c r="V5255" i="5"/>
  <c r="V5256" i="5"/>
  <c r="V5257" i="5"/>
  <c r="V5258" i="5"/>
  <c r="V5259" i="5"/>
  <c r="V5260" i="5"/>
  <c r="V5261" i="5"/>
  <c r="V5262" i="5"/>
  <c r="V5263" i="5"/>
  <c r="V5264" i="5"/>
  <c r="V5265" i="5"/>
  <c r="V5266" i="5"/>
  <c r="V5267" i="5"/>
  <c r="V5268" i="5"/>
  <c r="V5269" i="5"/>
  <c r="V5270" i="5"/>
  <c r="V5271" i="5"/>
  <c r="V5272" i="5"/>
  <c r="V5273" i="5"/>
  <c r="V5274" i="5"/>
  <c r="V5275" i="5"/>
  <c r="V5276" i="5"/>
  <c r="V5277" i="5"/>
  <c r="V5278" i="5"/>
  <c r="V5279" i="5"/>
  <c r="V5280" i="5"/>
  <c r="V5281" i="5"/>
  <c r="V5282" i="5"/>
  <c r="V5283" i="5"/>
  <c r="V5284" i="5"/>
  <c r="V5285" i="5"/>
  <c r="V5286" i="5"/>
  <c r="V5287" i="5"/>
  <c r="V5288" i="5"/>
  <c r="V5289" i="5"/>
  <c r="V5290" i="5"/>
  <c r="V5291" i="5"/>
  <c r="V5292" i="5"/>
  <c r="V5293" i="5"/>
  <c r="V5294" i="5"/>
  <c r="V5295" i="5"/>
  <c r="V5296" i="5"/>
  <c r="V5297" i="5"/>
  <c r="V5298" i="5"/>
  <c r="V5299" i="5"/>
  <c r="V5300" i="5"/>
  <c r="V5301" i="5"/>
  <c r="V5302" i="5"/>
  <c r="V5303" i="5"/>
  <c r="V5304" i="5"/>
  <c r="V5305" i="5"/>
  <c r="V5306" i="5"/>
  <c r="V5307" i="5"/>
  <c r="V5308" i="5"/>
  <c r="V5309" i="5"/>
  <c r="V5310" i="5"/>
  <c r="V5311" i="5"/>
  <c r="V5312" i="5"/>
  <c r="V5313" i="5"/>
  <c r="V5314" i="5"/>
  <c r="V5315" i="5"/>
  <c r="V5316" i="5"/>
  <c r="V5317" i="5"/>
  <c r="V5318" i="5"/>
  <c r="V5319" i="5"/>
  <c r="V5320" i="5"/>
  <c r="V5321" i="5"/>
  <c r="V5322" i="5"/>
  <c r="V5323" i="5"/>
  <c r="V5324" i="5"/>
  <c r="V5325" i="5"/>
  <c r="V5326" i="5"/>
  <c r="V5327" i="5"/>
  <c r="V5328" i="5"/>
  <c r="V5329" i="5"/>
  <c r="V5331" i="5"/>
  <c r="V5334" i="5"/>
  <c r="V5335" i="5"/>
  <c r="V5336" i="5"/>
  <c r="V5337" i="5"/>
  <c r="V5338" i="5"/>
  <c r="V5339" i="5"/>
  <c r="V5340" i="5"/>
  <c r="V5341" i="5"/>
  <c r="V5342" i="5"/>
  <c r="V5343" i="5"/>
  <c r="V5344" i="5"/>
  <c r="V5345" i="5"/>
  <c r="V5346" i="5"/>
  <c r="V5347" i="5"/>
  <c r="V5348" i="5"/>
  <c r="V5349" i="5"/>
  <c r="V5350" i="5"/>
  <c r="V5351" i="5"/>
  <c r="V5352" i="5"/>
  <c r="V5353" i="5"/>
  <c r="V5354" i="5"/>
  <c r="V5355" i="5"/>
  <c r="V5356" i="5"/>
  <c r="V5357" i="5"/>
  <c r="V5358" i="5"/>
  <c r="V5359" i="5"/>
  <c r="V5360" i="5"/>
  <c r="V5361" i="5"/>
  <c r="V5362" i="5"/>
  <c r="V5363" i="5"/>
  <c r="V5364" i="5"/>
  <c r="V5365" i="5"/>
  <c r="V5366" i="5"/>
  <c r="V5367" i="5"/>
  <c r="V5368" i="5"/>
  <c r="V5369" i="5"/>
  <c r="V5370" i="5"/>
  <c r="V5371" i="5"/>
  <c r="V5372" i="5"/>
  <c r="V5373" i="5"/>
  <c r="V5374" i="5"/>
  <c r="V5375" i="5"/>
  <c r="V5376" i="5"/>
  <c r="V5377" i="5"/>
  <c r="V5379" i="5"/>
  <c r="V5382" i="5"/>
  <c r="V5383" i="5"/>
  <c r="V5384" i="5"/>
  <c r="V5385" i="5"/>
  <c r="V5386" i="5"/>
  <c r="V5387" i="5"/>
  <c r="V5388" i="5"/>
  <c r="V5389" i="5"/>
  <c r="V5390" i="5"/>
  <c r="V5391" i="5"/>
  <c r="V5392" i="5"/>
  <c r="V5393" i="5"/>
  <c r="V5394" i="5"/>
  <c r="V5395" i="5"/>
  <c r="V5396" i="5"/>
  <c r="V5397" i="5"/>
  <c r="V5398" i="5"/>
  <c r="V5399" i="5"/>
  <c r="V5400" i="5"/>
  <c r="V5401" i="5"/>
  <c r="V5402" i="5"/>
  <c r="V5403" i="5"/>
  <c r="V5404" i="5"/>
  <c r="V5405" i="5"/>
  <c r="V5406" i="5"/>
  <c r="V5407" i="5"/>
  <c r="V5408" i="5"/>
  <c r="V5409" i="5"/>
  <c r="V5410" i="5"/>
  <c r="V5411" i="5"/>
  <c r="V5412" i="5"/>
  <c r="V5413" i="5"/>
  <c r="V5414" i="5"/>
  <c r="V5415" i="5"/>
  <c r="V5416" i="5"/>
  <c r="V5417" i="5"/>
  <c r="V5418" i="5"/>
  <c r="V5419" i="5"/>
  <c r="V5420" i="5"/>
  <c r="V5421" i="5"/>
  <c r="V5422" i="5"/>
  <c r="V5423" i="5"/>
  <c r="V5424" i="5"/>
  <c r="V5425" i="5"/>
  <c r="V5426" i="5"/>
  <c r="V5427" i="5"/>
  <c r="V5428" i="5"/>
  <c r="V5429" i="5"/>
  <c r="V5430" i="5"/>
  <c r="V5431" i="5"/>
  <c r="V5432" i="5"/>
  <c r="V5433" i="5"/>
  <c r="V5434" i="5"/>
  <c r="V5435" i="5"/>
  <c r="V5436" i="5"/>
  <c r="V5437" i="5"/>
  <c r="V5438" i="5"/>
  <c r="V5439" i="5"/>
  <c r="V5440" i="5"/>
  <c r="V5441" i="5"/>
  <c r="V5442" i="5"/>
  <c r="V5443" i="5"/>
  <c r="V5444" i="5"/>
  <c r="V5445" i="5"/>
  <c r="V5446" i="5"/>
  <c r="V5447" i="5"/>
  <c r="V5448" i="5"/>
  <c r="V5449" i="5"/>
  <c r="V5450" i="5"/>
  <c r="V5451" i="5"/>
  <c r="V5452" i="5"/>
  <c r="V5453" i="5"/>
  <c r="V5454" i="5"/>
  <c r="V5455" i="5"/>
  <c r="V5456" i="5"/>
  <c r="V5457" i="5"/>
  <c r="V5458" i="5"/>
  <c r="V5459" i="5"/>
  <c r="V5460" i="5"/>
  <c r="V5461" i="5"/>
  <c r="V5462" i="5"/>
  <c r="V5463" i="5"/>
  <c r="V5464" i="5"/>
  <c r="V5465" i="5"/>
  <c r="V5466" i="5"/>
  <c r="V5467" i="5"/>
  <c r="V5468" i="5"/>
  <c r="V5469" i="5"/>
  <c r="V5470" i="5"/>
  <c r="V5471" i="5"/>
  <c r="V5472" i="5"/>
  <c r="V5473" i="5"/>
  <c r="V5474" i="5"/>
  <c r="V5475" i="5"/>
  <c r="V5476" i="5"/>
  <c r="V5477" i="5"/>
  <c r="V5478" i="5"/>
  <c r="V5479" i="5"/>
  <c r="V5480" i="5"/>
  <c r="V5481" i="5"/>
  <c r="V5482" i="5"/>
  <c r="V5483" i="5"/>
  <c r="V5484" i="5"/>
  <c r="V5485" i="5"/>
  <c r="V5486" i="5"/>
  <c r="V5487" i="5"/>
  <c r="V5488" i="5"/>
  <c r="V5489" i="5"/>
  <c r="V5490" i="5"/>
  <c r="V5491" i="5"/>
  <c r="V5492" i="5"/>
  <c r="V5493" i="5"/>
  <c r="V5494" i="5"/>
  <c r="V5495" i="5"/>
  <c r="V5496" i="5"/>
  <c r="V5497" i="5"/>
  <c r="V5498" i="5"/>
  <c r="V5499" i="5"/>
  <c r="V5500" i="5"/>
  <c r="V5501" i="5"/>
  <c r="V5502" i="5"/>
  <c r="V5503" i="5"/>
  <c r="V5504" i="5"/>
  <c r="V5505" i="5"/>
  <c r="V5506" i="5"/>
  <c r="V5507" i="5"/>
  <c r="V5508" i="5"/>
  <c r="V5509" i="5"/>
  <c r="V5510" i="5"/>
  <c r="V5511" i="5"/>
  <c r="V5512" i="5"/>
  <c r="V5513" i="5"/>
  <c r="V5514" i="5"/>
  <c r="V5515" i="5"/>
  <c r="V5516" i="5"/>
  <c r="V5517" i="5"/>
  <c r="V5518" i="5"/>
  <c r="V5519" i="5"/>
  <c r="V5520" i="5"/>
  <c r="V5521" i="5"/>
  <c r="V5522" i="5"/>
  <c r="V5523" i="5"/>
  <c r="V5524" i="5"/>
  <c r="V5525" i="5"/>
  <c r="V5526" i="5"/>
  <c r="V5527" i="5"/>
  <c r="V5528" i="5"/>
  <c r="V5529" i="5"/>
  <c r="V5530" i="5"/>
  <c r="V5531" i="5"/>
  <c r="V5532" i="5"/>
  <c r="V5533" i="5"/>
  <c r="V5534" i="5"/>
  <c r="V5535" i="5"/>
  <c r="V5536" i="5"/>
  <c r="V5537" i="5"/>
  <c r="V5538" i="5"/>
  <c r="V5539" i="5"/>
  <c r="V5540" i="5"/>
  <c r="V5541" i="5"/>
  <c r="V5542" i="5"/>
  <c r="V5543" i="5"/>
  <c r="V5544" i="5"/>
  <c r="V5545" i="5"/>
  <c r="V5546" i="5"/>
  <c r="V5547" i="5"/>
  <c r="V5548" i="5"/>
  <c r="V5549" i="5"/>
  <c r="V5550" i="5"/>
  <c r="V5551" i="5"/>
  <c r="V5552" i="5"/>
  <c r="V5553" i="5"/>
  <c r="V5554" i="5"/>
  <c r="V5555" i="5"/>
  <c r="V5556" i="5"/>
  <c r="V5557" i="5"/>
  <c r="V5558" i="5"/>
  <c r="V5559" i="5"/>
  <c r="V5560" i="5"/>
  <c r="V5561" i="5"/>
  <c r="V5562" i="5"/>
  <c r="V5563" i="5"/>
  <c r="V5564" i="5"/>
  <c r="V5565" i="5"/>
  <c r="V5566" i="5"/>
  <c r="V5567" i="5"/>
  <c r="V5568" i="5"/>
  <c r="V5569" i="5"/>
  <c r="V5570" i="5"/>
  <c r="V5571" i="5"/>
  <c r="V5572" i="5"/>
  <c r="V5573" i="5"/>
  <c r="V5574" i="5"/>
  <c r="V5575" i="5"/>
  <c r="V5576" i="5"/>
  <c r="V5577" i="5"/>
  <c r="V5578" i="5"/>
  <c r="V5579" i="5"/>
  <c r="V5580" i="5"/>
  <c r="V5581" i="5"/>
  <c r="V5582" i="5"/>
  <c r="V5583" i="5"/>
  <c r="V5584" i="5"/>
  <c r="V5585" i="5"/>
  <c r="V5586" i="5"/>
  <c r="V5587" i="5"/>
  <c r="V5588" i="5"/>
  <c r="V5589" i="5"/>
  <c r="V5590" i="5"/>
  <c r="V5591" i="5"/>
  <c r="V5592" i="5"/>
  <c r="V5593" i="5"/>
  <c r="V5594" i="5"/>
  <c r="V5595" i="5"/>
  <c r="V5596" i="5"/>
  <c r="V5597" i="5"/>
  <c r="V5598" i="5"/>
  <c r="V5599" i="5"/>
  <c r="V5600" i="5"/>
  <c r="V5601" i="5"/>
  <c r="V5602" i="5"/>
  <c r="V5603" i="5"/>
  <c r="V5604" i="5"/>
  <c r="V5605" i="5"/>
  <c r="V5606" i="5"/>
  <c r="V5607" i="5"/>
  <c r="V5608" i="5"/>
  <c r="V5609" i="5"/>
  <c r="V5610" i="5"/>
  <c r="V5611" i="5"/>
  <c r="V5612" i="5"/>
  <c r="V5613" i="5"/>
  <c r="V5614" i="5"/>
  <c r="V5615" i="5"/>
  <c r="V5616" i="5"/>
  <c r="V5617" i="5"/>
  <c r="V5618" i="5"/>
  <c r="V5619" i="5"/>
  <c r="V5620" i="5"/>
  <c r="V5621" i="5"/>
  <c r="V5622" i="5"/>
  <c r="V5623" i="5"/>
  <c r="V5624" i="5"/>
  <c r="V5625" i="5"/>
  <c r="V5626" i="5"/>
  <c r="V5627" i="5"/>
  <c r="V5628" i="5"/>
  <c r="V5629" i="5"/>
  <c r="V5630" i="5"/>
  <c r="V5631" i="5"/>
  <c r="V5632" i="5"/>
  <c r="V5633" i="5"/>
  <c r="V5634" i="5"/>
  <c r="V5635" i="5"/>
  <c r="V5636" i="5"/>
  <c r="V5637" i="5"/>
  <c r="V5638" i="5"/>
  <c r="V5639" i="5"/>
  <c r="V5640" i="5"/>
  <c r="V5641" i="5"/>
  <c r="V5642" i="5"/>
  <c r="V5643" i="5"/>
  <c r="V5644" i="5"/>
  <c r="V5645" i="5"/>
  <c r="V5646" i="5"/>
  <c r="V5647" i="5"/>
  <c r="V5648" i="5"/>
  <c r="V5649" i="5"/>
  <c r="V5650" i="5"/>
  <c r="V5651" i="5"/>
  <c r="V5652" i="5"/>
  <c r="V5653" i="5"/>
  <c r="V5654" i="5"/>
  <c r="V5655" i="5"/>
  <c r="V5656" i="5"/>
  <c r="V5657" i="5"/>
  <c r="V5658" i="5"/>
  <c r="V5659" i="5"/>
  <c r="V5660" i="5"/>
  <c r="V5661" i="5"/>
  <c r="V5662" i="5"/>
  <c r="V5663" i="5"/>
  <c r="V5664" i="5"/>
  <c r="V5665" i="5"/>
  <c r="V5666" i="5"/>
  <c r="V5667" i="5"/>
  <c r="V5668" i="5"/>
  <c r="V5669" i="5"/>
  <c r="V5670" i="5"/>
  <c r="V5671" i="5"/>
  <c r="V5672" i="5"/>
  <c r="V5673" i="5"/>
  <c r="V5674" i="5"/>
  <c r="V5675" i="5"/>
  <c r="V5676" i="5"/>
  <c r="V5677" i="5"/>
  <c r="V5678" i="5"/>
  <c r="V5679" i="5"/>
  <c r="V5680" i="5"/>
  <c r="V5681" i="5"/>
  <c r="V5682" i="5"/>
  <c r="V5683" i="5"/>
  <c r="V5684" i="5"/>
  <c r="V5685" i="5"/>
  <c r="V5686" i="5"/>
  <c r="V5687" i="5"/>
  <c r="V5688" i="5"/>
  <c r="V5689" i="5"/>
  <c r="V5690" i="5"/>
  <c r="V5691" i="5"/>
  <c r="V5692" i="5"/>
  <c r="V5693" i="5"/>
  <c r="V5694" i="5"/>
  <c r="V5695" i="5"/>
  <c r="V5696" i="5"/>
  <c r="V5697" i="5"/>
  <c r="V5698" i="5"/>
  <c r="V5699" i="5"/>
  <c r="V5700" i="5"/>
  <c r="V5701" i="5"/>
  <c r="V5702" i="5"/>
  <c r="V5703" i="5"/>
  <c r="V5704" i="5"/>
  <c r="V5705" i="5"/>
  <c r="V5706" i="5"/>
  <c r="V5707" i="5"/>
  <c r="V5708" i="5"/>
  <c r="V5709" i="5"/>
  <c r="V5710" i="5"/>
  <c r="V5711" i="5"/>
  <c r="V5712" i="5"/>
  <c r="V5713" i="5"/>
  <c r="V5714" i="5"/>
  <c r="V5715" i="5"/>
  <c r="V5716" i="5"/>
  <c r="V5717" i="5"/>
  <c r="V5718" i="5"/>
  <c r="V5719" i="5"/>
  <c r="V5720" i="5"/>
  <c r="V5721" i="5"/>
  <c r="V5722" i="5"/>
  <c r="V5723" i="5"/>
  <c r="V5724" i="5"/>
  <c r="V5725" i="5"/>
  <c r="V5726" i="5"/>
  <c r="V5727" i="5"/>
  <c r="V5728" i="5"/>
  <c r="V5729" i="5"/>
  <c r="V5730" i="5"/>
  <c r="V5731" i="5"/>
  <c r="V5732" i="5"/>
  <c r="V5733" i="5"/>
  <c r="V5734" i="5"/>
  <c r="V5735" i="5"/>
  <c r="V5736" i="5"/>
  <c r="V5737" i="5"/>
  <c r="V5738" i="5"/>
  <c r="V5739" i="5"/>
  <c r="V5740" i="5"/>
  <c r="V5741" i="5"/>
  <c r="V5742" i="5"/>
  <c r="V5743" i="5"/>
  <c r="V5744" i="5"/>
  <c r="V5745" i="5"/>
  <c r="V5746" i="5"/>
  <c r="V5747" i="5"/>
  <c r="V5748" i="5"/>
  <c r="V5749" i="5"/>
  <c r="V5750" i="5"/>
  <c r="V5751" i="5"/>
  <c r="V5752" i="5"/>
  <c r="V5753" i="5"/>
  <c r="V5754" i="5"/>
  <c r="V5755" i="5"/>
  <c r="V5756" i="5"/>
  <c r="V5757" i="5"/>
  <c r="V5758" i="5"/>
  <c r="V5759" i="5"/>
  <c r="V5760" i="5"/>
  <c r="V5761" i="5"/>
  <c r="V5762" i="5"/>
  <c r="V5763" i="5"/>
  <c r="V5764" i="5"/>
  <c r="V5765" i="5"/>
  <c r="V5766" i="5"/>
  <c r="V5767" i="5"/>
  <c r="V5768" i="5"/>
  <c r="V5769" i="5"/>
  <c r="V5770" i="5"/>
  <c r="V5771" i="5"/>
  <c r="V5772" i="5"/>
  <c r="V5773" i="5"/>
  <c r="V5774" i="5"/>
  <c r="V5775" i="5"/>
  <c r="V5776" i="5"/>
  <c r="V5777" i="5"/>
  <c r="V5778" i="5"/>
  <c r="V5779" i="5"/>
  <c r="V5780" i="5"/>
  <c r="V5781" i="5"/>
  <c r="V5782" i="5"/>
  <c r="V5783" i="5"/>
  <c r="V5784" i="5"/>
  <c r="V5785" i="5"/>
  <c r="V5786" i="5"/>
  <c r="V5787" i="5"/>
  <c r="V5788" i="5"/>
  <c r="V5789" i="5"/>
  <c r="V5790" i="5"/>
  <c r="V5791" i="5"/>
  <c r="V5792" i="5"/>
  <c r="V5793" i="5"/>
  <c r="V5794" i="5"/>
  <c r="V5795" i="5"/>
  <c r="V5796" i="5"/>
  <c r="V5797" i="5"/>
  <c r="V5798" i="5"/>
  <c r="V5799" i="5"/>
  <c r="V5800" i="5"/>
  <c r="V5801" i="5"/>
  <c r="V5802" i="5"/>
  <c r="V5803" i="5"/>
  <c r="V5804" i="5"/>
  <c r="V5805" i="5"/>
  <c r="V5806" i="5"/>
  <c r="V5807" i="5"/>
  <c r="V5808" i="5"/>
  <c r="V5809" i="5"/>
  <c r="V5810" i="5"/>
  <c r="V5811" i="5"/>
  <c r="V5812" i="5"/>
  <c r="V5813" i="5"/>
  <c r="V5814" i="5"/>
  <c r="V5815" i="5"/>
  <c r="V5816" i="5"/>
  <c r="V5817" i="5"/>
  <c r="V5818" i="5"/>
  <c r="V5819" i="5"/>
  <c r="V5820" i="5"/>
  <c r="V5821" i="5"/>
  <c r="V5822" i="5"/>
  <c r="V5823" i="5"/>
  <c r="V5824" i="5"/>
  <c r="V5825" i="5"/>
  <c r="V5826" i="5"/>
  <c r="V5827" i="5"/>
  <c r="V5828" i="5"/>
  <c r="V5829" i="5"/>
  <c r="V5830" i="5"/>
  <c r="V5831" i="5"/>
  <c r="V5832" i="5"/>
  <c r="V5833" i="5"/>
  <c r="V5834" i="5"/>
  <c r="V5835" i="5"/>
  <c r="V5836" i="5"/>
  <c r="V5837" i="5"/>
  <c r="V5838" i="5"/>
  <c r="V5839" i="5"/>
  <c r="V5840" i="5"/>
  <c r="V5841" i="5"/>
  <c r="V5842" i="5"/>
  <c r="V5843" i="5"/>
  <c r="V5844" i="5"/>
  <c r="V5845" i="5"/>
  <c r="V5846" i="5"/>
  <c r="V5847" i="5"/>
  <c r="V5848" i="5"/>
  <c r="V5849" i="5"/>
  <c r="V5850" i="5"/>
  <c r="V5851" i="5"/>
  <c r="V5852" i="5"/>
  <c r="V5853" i="5"/>
  <c r="V5854" i="5"/>
  <c r="V5855" i="5"/>
  <c r="V5856" i="5"/>
  <c r="V5857" i="5"/>
  <c r="V5858" i="5"/>
  <c r="V5859" i="5"/>
  <c r="V5860" i="5"/>
  <c r="V5861" i="5"/>
  <c r="V5862" i="5"/>
  <c r="V5863" i="5"/>
  <c r="V5864" i="5"/>
  <c r="V5865" i="5"/>
  <c r="V5866" i="5"/>
  <c r="V5867" i="5"/>
  <c r="V5868" i="5"/>
  <c r="V5869" i="5"/>
  <c r="V5870" i="5"/>
  <c r="V5871" i="5"/>
  <c r="V5872" i="5"/>
  <c r="V5873" i="5"/>
  <c r="V5874" i="5"/>
  <c r="V5875" i="5"/>
  <c r="V5876" i="5"/>
  <c r="V5877" i="5"/>
  <c r="V5878" i="5"/>
  <c r="V5879" i="5"/>
  <c r="V5880" i="5"/>
  <c r="V5881" i="5"/>
  <c r="V5882" i="5"/>
  <c r="V5883" i="5"/>
  <c r="V5884" i="5"/>
  <c r="V5885" i="5"/>
  <c r="V5886" i="5"/>
  <c r="V5887" i="5"/>
  <c r="V5888" i="5"/>
  <c r="V5889" i="5"/>
  <c r="V5890" i="5"/>
  <c r="V5891" i="5"/>
  <c r="V5892" i="5"/>
  <c r="V5893" i="5"/>
  <c r="V5894" i="5"/>
  <c r="V5895" i="5"/>
  <c r="V5896" i="5"/>
  <c r="V5897" i="5"/>
  <c r="V5898" i="5"/>
  <c r="V5899" i="5"/>
  <c r="V5900" i="5"/>
  <c r="V5901" i="5"/>
  <c r="V5902" i="5"/>
  <c r="V5903" i="5"/>
  <c r="V5904" i="5"/>
  <c r="V5905" i="5"/>
  <c r="V5906" i="5"/>
  <c r="V5907" i="5"/>
  <c r="V5908" i="5"/>
  <c r="V5909" i="5"/>
  <c r="V5910" i="5"/>
  <c r="V5911" i="5"/>
  <c r="V5912" i="5"/>
  <c r="V5913" i="5"/>
  <c r="V5914" i="5"/>
  <c r="V5915" i="5"/>
  <c r="V5916" i="5"/>
  <c r="V5917" i="5"/>
  <c r="V5918" i="5"/>
  <c r="V5919" i="5"/>
  <c r="V5920" i="5"/>
  <c r="V5921" i="5"/>
  <c r="V5922" i="5"/>
  <c r="V5923" i="5"/>
  <c r="V5924" i="5"/>
  <c r="V5925" i="5"/>
  <c r="V5926" i="5"/>
  <c r="V5927" i="5"/>
  <c r="V5928" i="5"/>
  <c r="V5929" i="5"/>
  <c r="V5930" i="5"/>
  <c r="V5931" i="5"/>
  <c r="V5932" i="5"/>
  <c r="V5933" i="5"/>
  <c r="V5934" i="5"/>
  <c r="V5935" i="5"/>
  <c r="V5936" i="5"/>
  <c r="V5937" i="5"/>
  <c r="V5938" i="5"/>
  <c r="V5939" i="5"/>
  <c r="V5940" i="5"/>
  <c r="V5941" i="5"/>
  <c r="V5942" i="5"/>
  <c r="V5943" i="5"/>
  <c r="V5944" i="5"/>
  <c r="V5945" i="5"/>
  <c r="V5946" i="5"/>
  <c r="V5947" i="5"/>
  <c r="V5948" i="5"/>
  <c r="V5949" i="5"/>
  <c r="V5950" i="5"/>
  <c r="V5951" i="5"/>
  <c r="V5952" i="5"/>
  <c r="V5953" i="5"/>
  <c r="V5954" i="5"/>
  <c r="V5955" i="5"/>
  <c r="V5956" i="5"/>
  <c r="V5957" i="5"/>
  <c r="V5958" i="5"/>
  <c r="V5959" i="5"/>
  <c r="V5960" i="5"/>
  <c r="V5961" i="5"/>
  <c r="V5962" i="5"/>
  <c r="V5963" i="5"/>
  <c r="V5964" i="5"/>
  <c r="V5965" i="5"/>
  <c r="V5966" i="5"/>
  <c r="V5967" i="5"/>
  <c r="V5968" i="5"/>
  <c r="V5969" i="5"/>
  <c r="V5970" i="5"/>
  <c r="V5971" i="5"/>
  <c r="V5972" i="5"/>
  <c r="V5973" i="5"/>
  <c r="V5974" i="5"/>
  <c r="V5975" i="5"/>
  <c r="V5976" i="5"/>
  <c r="V5977" i="5"/>
  <c r="V5978" i="5"/>
  <c r="V5979" i="5"/>
  <c r="V5980" i="5"/>
  <c r="V5981" i="5"/>
  <c r="V5982" i="5"/>
  <c r="V5983" i="5"/>
  <c r="V5984" i="5"/>
  <c r="V5985" i="5"/>
  <c r="V5986" i="5"/>
  <c r="V5987" i="5"/>
  <c r="V5988" i="5"/>
  <c r="V5989" i="5"/>
  <c r="V5990" i="5"/>
  <c r="V5991" i="5"/>
  <c r="V5992" i="5"/>
  <c r="V5993" i="5"/>
  <c r="V5994" i="5"/>
  <c r="V5995" i="5"/>
  <c r="V5996" i="5"/>
  <c r="V5997" i="5"/>
  <c r="V5998" i="5"/>
  <c r="V5999" i="5"/>
  <c r="V6000" i="5"/>
  <c r="V6001" i="5"/>
  <c r="V6002" i="5"/>
  <c r="V6003" i="5"/>
  <c r="V6004" i="5"/>
  <c r="V6005" i="5"/>
  <c r="V6006" i="5"/>
  <c r="V6007" i="5"/>
  <c r="V6008" i="5"/>
  <c r="V6009" i="5"/>
  <c r="V6010" i="5"/>
  <c r="V6011" i="5"/>
  <c r="V6012" i="5"/>
  <c r="V6013" i="5"/>
  <c r="V6014" i="5"/>
  <c r="V6015" i="5"/>
  <c r="V6016" i="5"/>
  <c r="V6017" i="5"/>
  <c r="V6018" i="5"/>
  <c r="V6019" i="5"/>
  <c r="V6020" i="5"/>
  <c r="V6021" i="5"/>
  <c r="V6022" i="5"/>
  <c r="V6023" i="5"/>
  <c r="V6024" i="5"/>
  <c r="V6025" i="5"/>
  <c r="V6026" i="5"/>
  <c r="V6027" i="5"/>
  <c r="V6028" i="5"/>
  <c r="V6029" i="5"/>
  <c r="V6030" i="5"/>
  <c r="V6031" i="5"/>
  <c r="V6032" i="5"/>
  <c r="V6033" i="5"/>
  <c r="V6034" i="5"/>
  <c r="V6035" i="5"/>
  <c r="V6036" i="5"/>
  <c r="V6037" i="5"/>
  <c r="V6038" i="5"/>
  <c r="V6039" i="5"/>
  <c r="V6040" i="5"/>
  <c r="V6041" i="5"/>
  <c r="V6042" i="5"/>
  <c r="V6043" i="5"/>
  <c r="V6044" i="5"/>
  <c r="V6045" i="5"/>
  <c r="V6046" i="5"/>
  <c r="V6047" i="5"/>
  <c r="V6048" i="5"/>
  <c r="V6049" i="5"/>
  <c r="V6050" i="5"/>
  <c r="V6051" i="5"/>
  <c r="V6052" i="5"/>
  <c r="V6053" i="5"/>
  <c r="V6054" i="5"/>
  <c r="V6055" i="5"/>
  <c r="V6056" i="5"/>
  <c r="V6057" i="5"/>
  <c r="V6058" i="5"/>
  <c r="V6059" i="5"/>
  <c r="V6060" i="5"/>
  <c r="V6061" i="5"/>
  <c r="V6062" i="5"/>
  <c r="V6063" i="5"/>
  <c r="V6064" i="5"/>
  <c r="V6065" i="5"/>
  <c r="V6066" i="5"/>
  <c r="V6067" i="5"/>
  <c r="V6068" i="5"/>
  <c r="V6069" i="5"/>
  <c r="V6070" i="5"/>
  <c r="V6071" i="5"/>
  <c r="V6072" i="5"/>
  <c r="V6073" i="5"/>
  <c r="V6074" i="5"/>
  <c r="V6075" i="5"/>
  <c r="V6076" i="5"/>
  <c r="V6077" i="5"/>
  <c r="V6078" i="5"/>
  <c r="V6079" i="5"/>
  <c r="V6080" i="5"/>
  <c r="V6081" i="5"/>
  <c r="V6082" i="5"/>
  <c r="V6083" i="5"/>
  <c r="V6084" i="5"/>
  <c r="V6085" i="5"/>
  <c r="V6086" i="5"/>
  <c r="V6087" i="5"/>
  <c r="V6088" i="5"/>
  <c r="V6089" i="5"/>
  <c r="V6090" i="5"/>
  <c r="V6091" i="5"/>
  <c r="V6092" i="5"/>
  <c r="V6093" i="5"/>
  <c r="V6094" i="5"/>
  <c r="V6095" i="5"/>
  <c r="V6096" i="5"/>
  <c r="V6097" i="5"/>
  <c r="V6098" i="5"/>
  <c r="V6099" i="5"/>
  <c r="V6100" i="5"/>
  <c r="V6101" i="5"/>
  <c r="V6102" i="5"/>
  <c r="V6103" i="5"/>
  <c r="V6104" i="5"/>
  <c r="V6105" i="5"/>
  <c r="V6106" i="5"/>
  <c r="V6107" i="5"/>
  <c r="V6108" i="5"/>
  <c r="V6109" i="5"/>
  <c r="V6110" i="5"/>
  <c r="V6111" i="5"/>
  <c r="V6112" i="5"/>
  <c r="V6113" i="5"/>
  <c r="V6114" i="5"/>
  <c r="V6115" i="5"/>
  <c r="V6116" i="5"/>
  <c r="V6117" i="5"/>
  <c r="V6118" i="5"/>
  <c r="V6119" i="5"/>
  <c r="V6120" i="5"/>
  <c r="V6121" i="5"/>
  <c r="V6122" i="5"/>
  <c r="V6123" i="5"/>
  <c r="V6124" i="5"/>
  <c r="V6125" i="5"/>
  <c r="V6126" i="5"/>
  <c r="V6127" i="5"/>
  <c r="V6128" i="5"/>
  <c r="V6129" i="5"/>
  <c r="V6130" i="5"/>
  <c r="V6131" i="5"/>
  <c r="V6132" i="5"/>
  <c r="V6133" i="5"/>
  <c r="V6134" i="5"/>
  <c r="V6135" i="5"/>
  <c r="V6136" i="5"/>
  <c r="V6137" i="5"/>
  <c r="V6138" i="5"/>
  <c r="V6139" i="5"/>
  <c r="V6140" i="5"/>
  <c r="V6141" i="5"/>
  <c r="V6142" i="5"/>
  <c r="V6143" i="5"/>
  <c r="V6144" i="5"/>
  <c r="V6145" i="5"/>
  <c r="V6146" i="5"/>
  <c r="V6147" i="5"/>
  <c r="V6148" i="5"/>
  <c r="V6149" i="5"/>
  <c r="V6150" i="5"/>
  <c r="V6151" i="5"/>
  <c r="V6152" i="5"/>
  <c r="V6153" i="5"/>
  <c r="V6154" i="5"/>
  <c r="V6155" i="5"/>
  <c r="V6156" i="5"/>
  <c r="V6157" i="5"/>
  <c r="V6158" i="5"/>
  <c r="V6159" i="5"/>
  <c r="V6160" i="5"/>
  <c r="V6161" i="5"/>
  <c r="V6162" i="5"/>
  <c r="V6163" i="5"/>
  <c r="V6164" i="5"/>
  <c r="V6165" i="5"/>
  <c r="V6166" i="5"/>
  <c r="V6167" i="5"/>
  <c r="V6168" i="5"/>
  <c r="V6169" i="5"/>
  <c r="V6170" i="5"/>
  <c r="V6171" i="5"/>
  <c r="V6172" i="5"/>
  <c r="V6173" i="5"/>
  <c r="V6174" i="5"/>
  <c r="V6175" i="5"/>
  <c r="V6176" i="5"/>
  <c r="V6177" i="5"/>
  <c r="V6178" i="5"/>
  <c r="V6179" i="5"/>
  <c r="V6180" i="5"/>
  <c r="V6181" i="5"/>
  <c r="V6182" i="5"/>
  <c r="V6183" i="5"/>
  <c r="V6184" i="5"/>
  <c r="V6185" i="5"/>
  <c r="V6186" i="5"/>
  <c r="V6187" i="5"/>
  <c r="V6188" i="5"/>
  <c r="V6189" i="5"/>
  <c r="V6190" i="5"/>
  <c r="V6191" i="5"/>
  <c r="V6192" i="5"/>
  <c r="V6193" i="5"/>
  <c r="V6194" i="5"/>
  <c r="V6195" i="5"/>
  <c r="V6196" i="5"/>
  <c r="V6197" i="5"/>
  <c r="V6198" i="5"/>
  <c r="V6199" i="5"/>
  <c r="V6200" i="5"/>
  <c r="V6201" i="5"/>
  <c r="V6202" i="5"/>
  <c r="V6203" i="5"/>
  <c r="V6204" i="5"/>
  <c r="V6205" i="5"/>
  <c r="V6206" i="5"/>
  <c r="V6207" i="5"/>
  <c r="V6208" i="5"/>
  <c r="V6209" i="5"/>
  <c r="V6210" i="5"/>
  <c r="V6211" i="5"/>
  <c r="V6212" i="5"/>
  <c r="V6213" i="5"/>
  <c r="V6214" i="5"/>
  <c r="V6215" i="5"/>
  <c r="V6216" i="5"/>
  <c r="V6217" i="5"/>
  <c r="V6218" i="5"/>
  <c r="V6219" i="5"/>
  <c r="V6220" i="5"/>
  <c r="V6221" i="5"/>
  <c r="V6222" i="5"/>
  <c r="V6223" i="5"/>
  <c r="V6224" i="5"/>
  <c r="V6225" i="5"/>
  <c r="V6226" i="5"/>
  <c r="V6227" i="5"/>
  <c r="V6228" i="5"/>
  <c r="V6229" i="5"/>
  <c r="V6230" i="5"/>
  <c r="V6231" i="5"/>
  <c r="V6232" i="5"/>
  <c r="V6233" i="5"/>
  <c r="V6234" i="5"/>
  <c r="V6235" i="5"/>
  <c r="V6236" i="5"/>
  <c r="V6237" i="5"/>
  <c r="V6238" i="5"/>
  <c r="V6239" i="5"/>
  <c r="V6240" i="5"/>
  <c r="V6241" i="5"/>
  <c r="V6242" i="5"/>
  <c r="V6243" i="5"/>
  <c r="V6244" i="5"/>
  <c r="V6245" i="5"/>
  <c r="V6246" i="5"/>
  <c r="V6247" i="5"/>
  <c r="V6248" i="5"/>
  <c r="V6249" i="5"/>
  <c r="V6250" i="5"/>
  <c r="V6251" i="5"/>
  <c r="V6252" i="5"/>
  <c r="V6253" i="5"/>
  <c r="V6254" i="5"/>
  <c r="V6255" i="5"/>
  <c r="V6256" i="5"/>
  <c r="V6257" i="5"/>
  <c r="V6258" i="5"/>
  <c r="V6259" i="5"/>
  <c r="V6260" i="5"/>
  <c r="V6261" i="5"/>
  <c r="V6262" i="5"/>
  <c r="V6263" i="5"/>
  <c r="V6264" i="5"/>
  <c r="V6265" i="5"/>
  <c r="V6266" i="5"/>
  <c r="V6267" i="5"/>
  <c r="V6268" i="5"/>
  <c r="V6269" i="5"/>
  <c r="V6270" i="5"/>
  <c r="V6271" i="5"/>
  <c r="V6272" i="5"/>
  <c r="V6273" i="5"/>
  <c r="V6274" i="5"/>
  <c r="V6275" i="5"/>
  <c r="V6276" i="5"/>
  <c r="V6277" i="5"/>
  <c r="V6278" i="5"/>
  <c r="V6279" i="5"/>
  <c r="V6280" i="5"/>
  <c r="V6281" i="5"/>
  <c r="V6282" i="5"/>
  <c r="V6283" i="5"/>
  <c r="V6284" i="5"/>
  <c r="V6285" i="5"/>
  <c r="V6286" i="5"/>
  <c r="V6287" i="5"/>
  <c r="V6288" i="5"/>
  <c r="V6289" i="5"/>
  <c r="V6290" i="5"/>
  <c r="V6291" i="5"/>
  <c r="V6292" i="5"/>
  <c r="V6293" i="5"/>
  <c r="V6294" i="5"/>
  <c r="V6295" i="5"/>
  <c r="V6296" i="5"/>
  <c r="V6297" i="5"/>
  <c r="V6298" i="5"/>
  <c r="V6299" i="5"/>
  <c r="V6300" i="5"/>
  <c r="V6301" i="5"/>
  <c r="V6302" i="5"/>
  <c r="V6303" i="5"/>
  <c r="V6304" i="5"/>
  <c r="V6305" i="5"/>
  <c r="V6306" i="5"/>
  <c r="V6307" i="5"/>
  <c r="V6308" i="5"/>
  <c r="V6309" i="5"/>
  <c r="V6310" i="5"/>
  <c r="V6311" i="5"/>
  <c r="V6312" i="5"/>
  <c r="V6313" i="5"/>
  <c r="V6314" i="5"/>
  <c r="V6315" i="5"/>
  <c r="V6316" i="5"/>
  <c r="V6317" i="5"/>
  <c r="V6318" i="5"/>
  <c r="V6319" i="5"/>
  <c r="V6320" i="5"/>
  <c r="V6321" i="5"/>
  <c r="V6322" i="5"/>
  <c r="V6323" i="5"/>
  <c r="V6324" i="5"/>
  <c r="V6325" i="5"/>
  <c r="V6326" i="5"/>
  <c r="V6327" i="5"/>
  <c r="V6328" i="5"/>
  <c r="V6329" i="5"/>
  <c r="V6330" i="5"/>
  <c r="V6331" i="5"/>
  <c r="V6332" i="5"/>
  <c r="V6333" i="5"/>
  <c r="V6334" i="5"/>
  <c r="V6335" i="5"/>
  <c r="V6336" i="5"/>
  <c r="V6337" i="5"/>
  <c r="V6338" i="5"/>
  <c r="V6339" i="5"/>
  <c r="V6340" i="5"/>
  <c r="V6341" i="5"/>
  <c r="V6342" i="5"/>
  <c r="V6343" i="5"/>
  <c r="V6344" i="5"/>
  <c r="V6345" i="5"/>
  <c r="V6346" i="5"/>
  <c r="V6347" i="5"/>
  <c r="V6348" i="5"/>
  <c r="V6349" i="5"/>
  <c r="V6350" i="5"/>
  <c r="V6351" i="5"/>
  <c r="V6352" i="5"/>
  <c r="V6353" i="5"/>
  <c r="V6354" i="5"/>
  <c r="V6355" i="5"/>
  <c r="V6356" i="5"/>
  <c r="V6357" i="5"/>
  <c r="V6358" i="5"/>
  <c r="V6359" i="5"/>
  <c r="V6360" i="5"/>
  <c r="V6361" i="5"/>
  <c r="V6362" i="5"/>
  <c r="V6363" i="5"/>
  <c r="V6364" i="5"/>
  <c r="V6365" i="5"/>
  <c r="V6366" i="5"/>
  <c r="V6367" i="5"/>
  <c r="V6368" i="5"/>
  <c r="V6369" i="5"/>
  <c r="V6370" i="5"/>
  <c r="V6371" i="5"/>
  <c r="V6372" i="5"/>
  <c r="V6373" i="5"/>
  <c r="V6374" i="5"/>
  <c r="V6375" i="5"/>
  <c r="V6376" i="5"/>
  <c r="V6377" i="5"/>
  <c r="V6378" i="5"/>
  <c r="V6379" i="5"/>
  <c r="V6380" i="5"/>
  <c r="V6381" i="5"/>
  <c r="V6382" i="5"/>
  <c r="V6383" i="5"/>
  <c r="V6384" i="5"/>
  <c r="V6385" i="5"/>
  <c r="V6386" i="5"/>
  <c r="V6387" i="5"/>
  <c r="V6388" i="5"/>
  <c r="V6389" i="5"/>
  <c r="V6390" i="5"/>
  <c r="V6391" i="5"/>
  <c r="V6392" i="5"/>
  <c r="V6393" i="5"/>
  <c r="V6394" i="5"/>
  <c r="V6395" i="5"/>
  <c r="V6396" i="5"/>
  <c r="V6397" i="5"/>
  <c r="V6398" i="5"/>
  <c r="V6399" i="5"/>
  <c r="V6400" i="5"/>
  <c r="V6401" i="5"/>
  <c r="V6402" i="5"/>
  <c r="V6403" i="5"/>
  <c r="V6404" i="5"/>
  <c r="V6405" i="5"/>
  <c r="V6406" i="5"/>
  <c r="V6407" i="5"/>
  <c r="V6408" i="5"/>
  <c r="V6409" i="5"/>
  <c r="V6410" i="5"/>
  <c r="V6411" i="5"/>
  <c r="V6412" i="5"/>
  <c r="V6413" i="5"/>
  <c r="V6414" i="5"/>
  <c r="V6415" i="5"/>
  <c r="V6416" i="5"/>
  <c r="V6417" i="5"/>
  <c r="V6418" i="5"/>
  <c r="V6419" i="5"/>
  <c r="V6420" i="5"/>
  <c r="V6421" i="5"/>
  <c r="V6422" i="5"/>
  <c r="V6423" i="5"/>
  <c r="V6424" i="5"/>
  <c r="V6425" i="5"/>
  <c r="V6426" i="5"/>
  <c r="V6427" i="5"/>
  <c r="V6428" i="5"/>
  <c r="V6429" i="5"/>
  <c r="V6430" i="5"/>
  <c r="V6431" i="5"/>
  <c r="V6432" i="5"/>
  <c r="V6433" i="5"/>
  <c r="V6434" i="5"/>
  <c r="V6435" i="5"/>
  <c r="V6436" i="5"/>
  <c r="V6437" i="5"/>
  <c r="V6438" i="5"/>
  <c r="V6439" i="5"/>
  <c r="V6440" i="5"/>
  <c r="V6441" i="5"/>
  <c r="V6442" i="5"/>
  <c r="V6443" i="5"/>
  <c r="V6444" i="5"/>
  <c r="V6445" i="5"/>
  <c r="V6446" i="5"/>
  <c r="V6447" i="5"/>
  <c r="V6448" i="5"/>
  <c r="V6449" i="5"/>
  <c r="V6450" i="5"/>
  <c r="V6451" i="5"/>
  <c r="V6452" i="5"/>
  <c r="V6453" i="5"/>
  <c r="V6454" i="5"/>
  <c r="V6455" i="5"/>
  <c r="V6456" i="5"/>
  <c r="V6457" i="5"/>
  <c r="V6458" i="5"/>
  <c r="V6459" i="5"/>
  <c r="V6460" i="5"/>
  <c r="V6461" i="5"/>
  <c r="V6462" i="5"/>
  <c r="V6463" i="5"/>
  <c r="V6464" i="5"/>
  <c r="V6465" i="5"/>
  <c r="V6466" i="5"/>
  <c r="V6467" i="5"/>
  <c r="V6468" i="5"/>
  <c r="V6469" i="5"/>
  <c r="V6470" i="5"/>
  <c r="V6471" i="5"/>
  <c r="V6472" i="5"/>
  <c r="V6473" i="5"/>
  <c r="V6474" i="5"/>
  <c r="V6475" i="5"/>
  <c r="V6476" i="5"/>
  <c r="V6477" i="5"/>
  <c r="V6478" i="5"/>
  <c r="V6479" i="5"/>
  <c r="V6480" i="5"/>
  <c r="V6481" i="5"/>
  <c r="V6482" i="5"/>
  <c r="V6483" i="5"/>
  <c r="V6484" i="5"/>
  <c r="V6485" i="5"/>
  <c r="V6486" i="5"/>
  <c r="V6487" i="5"/>
  <c r="V6488" i="5"/>
  <c r="V6489" i="5"/>
  <c r="V6490" i="5"/>
  <c r="V6491" i="5"/>
  <c r="V6492" i="5"/>
  <c r="V6493" i="5"/>
  <c r="V6494" i="5"/>
  <c r="V6495" i="5"/>
  <c r="V6496" i="5"/>
  <c r="V6497" i="5"/>
  <c r="V6498" i="5"/>
  <c r="V6499" i="5"/>
  <c r="V6500" i="5"/>
  <c r="V6501" i="5"/>
  <c r="V6502" i="5"/>
  <c r="V6503" i="5"/>
  <c r="V6504" i="5"/>
  <c r="V6505" i="5"/>
  <c r="V6506" i="5"/>
  <c r="V6507" i="5"/>
  <c r="V6508" i="5"/>
  <c r="V6509" i="5"/>
  <c r="V6510" i="5"/>
  <c r="V6511" i="5"/>
  <c r="V6512" i="5"/>
  <c r="V6513" i="5"/>
  <c r="V6514" i="5"/>
  <c r="V6515" i="5"/>
  <c r="V6516" i="5"/>
  <c r="V6517" i="5"/>
  <c r="V6518" i="5"/>
  <c r="V6519" i="5"/>
  <c r="V6520" i="5"/>
  <c r="V6521" i="5"/>
  <c r="V6522" i="5"/>
  <c r="V6523" i="5"/>
  <c r="V6524" i="5"/>
  <c r="V6525" i="5"/>
  <c r="V6526" i="5"/>
  <c r="V6527" i="5"/>
  <c r="V6528" i="5"/>
  <c r="V6529" i="5"/>
  <c r="V6530" i="5"/>
  <c r="V6531" i="5"/>
  <c r="V6532" i="5"/>
  <c r="V6533" i="5"/>
  <c r="V6534" i="5"/>
  <c r="V6535" i="5"/>
  <c r="V6536" i="5"/>
  <c r="V6537" i="5"/>
  <c r="V6538" i="5"/>
  <c r="V6539" i="5"/>
  <c r="V6540" i="5"/>
  <c r="V6541" i="5"/>
  <c r="V6542" i="5"/>
  <c r="V6543" i="5"/>
  <c r="V6544" i="5"/>
  <c r="V6545" i="5"/>
  <c r="V6546" i="5"/>
  <c r="V6547" i="5"/>
  <c r="V6548" i="5"/>
  <c r="V6549" i="5"/>
  <c r="V6550" i="5"/>
  <c r="V6551" i="5"/>
  <c r="V6552" i="5"/>
  <c r="V6553" i="5"/>
  <c r="V6554" i="5"/>
  <c r="V6555" i="5"/>
  <c r="V6556" i="5"/>
  <c r="V6557" i="5"/>
  <c r="V6558" i="5"/>
  <c r="V6559" i="5"/>
  <c r="V6560" i="5"/>
  <c r="V6561" i="5"/>
  <c r="V6562" i="5"/>
  <c r="V6563" i="5"/>
  <c r="V6564" i="5"/>
  <c r="V6565" i="5"/>
  <c r="V6566" i="5"/>
  <c r="V6567" i="5"/>
  <c r="V6568" i="5"/>
  <c r="V6569" i="5"/>
  <c r="V6570" i="5"/>
  <c r="V6571" i="5"/>
  <c r="V6572" i="5"/>
  <c r="V6573" i="5"/>
  <c r="V6574" i="5"/>
  <c r="V6575" i="5"/>
  <c r="V6576" i="5"/>
  <c r="V6577" i="5"/>
  <c r="V6578" i="5"/>
  <c r="V6579" i="5"/>
  <c r="V6580" i="5"/>
  <c r="V6581" i="5"/>
  <c r="V6582" i="5"/>
  <c r="V6583" i="5"/>
  <c r="V6584" i="5"/>
  <c r="V6585" i="5"/>
  <c r="V6586" i="5"/>
  <c r="V6587" i="5"/>
  <c r="V6588" i="5"/>
  <c r="V6589" i="5"/>
  <c r="V6590" i="5"/>
  <c r="V6591" i="5"/>
  <c r="V6592" i="5"/>
  <c r="V6593" i="5"/>
  <c r="V6594" i="5"/>
  <c r="V6595" i="5"/>
  <c r="V6596" i="5"/>
  <c r="V6597" i="5"/>
  <c r="V6598" i="5"/>
  <c r="V6599" i="5"/>
  <c r="V6600" i="5"/>
  <c r="V6601" i="5"/>
  <c r="V6602" i="5"/>
  <c r="V6603" i="5"/>
  <c r="V6604" i="5"/>
  <c r="V6605" i="5"/>
  <c r="V6606" i="5"/>
  <c r="V6607" i="5"/>
  <c r="V6608" i="5"/>
  <c r="V6609" i="5"/>
  <c r="V6610" i="5"/>
  <c r="V6611" i="5"/>
  <c r="V6612" i="5"/>
  <c r="V6613" i="5"/>
  <c r="V6614" i="5"/>
  <c r="V6615" i="5"/>
  <c r="V6616" i="5"/>
  <c r="V6617" i="5"/>
  <c r="V6618" i="5"/>
  <c r="V6619" i="5"/>
  <c r="V6620" i="5"/>
  <c r="V6621" i="5"/>
  <c r="V6622" i="5"/>
  <c r="V6623" i="5"/>
  <c r="V6624" i="5"/>
  <c r="V6625" i="5"/>
  <c r="V6626" i="5"/>
  <c r="V6627" i="5"/>
  <c r="V6628" i="5"/>
  <c r="V6629" i="5"/>
  <c r="V6630" i="5"/>
  <c r="V6631" i="5"/>
  <c r="V6632" i="5"/>
  <c r="V6633" i="5"/>
  <c r="V6634" i="5"/>
  <c r="V6635" i="5"/>
  <c r="V6636" i="5"/>
  <c r="V6637" i="5"/>
  <c r="V6638" i="5"/>
  <c r="V6639" i="5"/>
  <c r="V6640" i="5"/>
  <c r="V6641" i="5"/>
  <c r="V6642" i="5"/>
  <c r="V6643" i="5"/>
  <c r="V6644" i="5"/>
  <c r="V6645" i="5"/>
  <c r="V6646" i="5"/>
  <c r="V6647" i="5"/>
  <c r="V6648" i="5"/>
  <c r="V6649" i="5"/>
  <c r="V6650" i="5"/>
  <c r="V6651" i="5"/>
  <c r="V6652" i="5"/>
  <c r="V6653" i="5"/>
  <c r="V6654" i="5"/>
  <c r="V6655" i="5"/>
  <c r="V6656" i="5"/>
  <c r="V6657" i="5"/>
  <c r="V6658" i="5"/>
  <c r="V6659" i="5"/>
  <c r="V6660" i="5"/>
  <c r="V6661" i="5"/>
  <c r="V6662" i="5"/>
  <c r="V6663" i="5"/>
  <c r="V6664" i="5"/>
  <c r="V6665" i="5"/>
  <c r="V6666" i="5"/>
  <c r="V6667" i="5"/>
  <c r="V6668" i="5"/>
  <c r="V6669" i="5"/>
  <c r="V6670" i="5"/>
  <c r="V6671" i="5"/>
  <c r="V6672" i="5"/>
  <c r="V6673" i="5"/>
  <c r="V6674" i="5"/>
  <c r="V6675" i="5"/>
  <c r="V6676" i="5"/>
  <c r="V6677" i="5"/>
  <c r="V6678" i="5"/>
  <c r="V6679" i="5"/>
  <c r="V6680" i="5"/>
  <c r="V6681" i="5"/>
  <c r="V6682" i="5"/>
  <c r="V6683" i="5"/>
  <c r="V6684" i="5"/>
  <c r="V6685" i="5"/>
  <c r="V6686" i="5"/>
  <c r="V6687" i="5"/>
  <c r="V6688" i="5"/>
  <c r="V6689" i="5"/>
  <c r="V6690" i="5"/>
  <c r="V6691" i="5"/>
  <c r="V6692" i="5"/>
  <c r="V6693" i="5"/>
  <c r="V6694" i="5"/>
  <c r="V6695" i="5"/>
  <c r="V6696" i="5"/>
  <c r="V6697" i="5"/>
  <c r="V6698" i="5"/>
  <c r="V6699" i="5"/>
  <c r="V6700" i="5"/>
  <c r="V6701" i="5"/>
  <c r="V6702" i="5"/>
  <c r="V6703" i="5"/>
  <c r="V6704" i="5"/>
  <c r="V6705" i="5"/>
  <c r="V6706" i="5"/>
  <c r="V6707" i="5"/>
  <c r="V6708" i="5"/>
  <c r="V6709" i="5"/>
  <c r="V6710" i="5"/>
  <c r="V6711" i="5"/>
  <c r="V6712" i="5"/>
  <c r="V6713" i="5"/>
  <c r="V6714" i="5"/>
  <c r="V6715" i="5"/>
  <c r="V6716" i="5"/>
  <c r="V6717" i="5"/>
  <c r="V6718" i="5"/>
  <c r="V6719" i="5"/>
  <c r="V6720" i="5"/>
  <c r="V6721" i="5"/>
  <c r="V6722" i="5"/>
  <c r="V6723" i="5"/>
  <c r="V6724" i="5"/>
  <c r="V6725" i="5"/>
  <c r="V6726" i="5"/>
  <c r="V6727" i="5"/>
  <c r="V6728" i="5"/>
  <c r="V6729" i="5"/>
  <c r="V6730" i="5"/>
  <c r="V6731" i="5"/>
  <c r="V6732" i="5"/>
  <c r="V6733" i="5"/>
  <c r="V6734" i="5"/>
  <c r="V6735" i="5"/>
  <c r="V6736" i="5"/>
  <c r="V6737" i="5"/>
  <c r="V6738" i="5"/>
  <c r="V6739" i="5"/>
  <c r="V6740" i="5"/>
  <c r="V6741" i="5"/>
  <c r="V6742" i="5"/>
  <c r="V6743" i="5"/>
  <c r="V6744" i="5"/>
  <c r="V6745" i="5"/>
  <c r="V6746" i="5"/>
  <c r="V6747" i="5"/>
  <c r="V6748" i="5"/>
  <c r="V6749" i="5"/>
  <c r="V6750" i="5"/>
  <c r="V6751" i="5"/>
  <c r="V6752" i="5"/>
  <c r="V6753" i="5"/>
  <c r="V6754" i="5"/>
  <c r="V6755" i="5"/>
  <c r="V6756" i="5"/>
  <c r="V6757" i="5"/>
  <c r="V6758" i="5"/>
  <c r="V6759" i="5"/>
  <c r="V6760" i="5"/>
  <c r="V6761" i="5"/>
  <c r="V6762" i="5"/>
  <c r="V6763" i="5"/>
  <c r="V6764" i="5"/>
  <c r="V6765" i="5"/>
  <c r="V6766" i="5"/>
  <c r="V6767" i="5"/>
  <c r="V6768" i="5"/>
  <c r="V6769" i="5"/>
  <c r="V6770" i="5"/>
  <c r="V6771" i="5"/>
  <c r="V6772" i="5"/>
  <c r="V6773" i="5"/>
  <c r="V6774" i="5"/>
  <c r="V6775" i="5"/>
  <c r="V6776" i="5"/>
  <c r="V6777" i="5"/>
  <c r="V6778" i="5"/>
  <c r="V6779" i="5"/>
  <c r="V6780" i="5"/>
  <c r="V6781" i="5"/>
  <c r="V6782" i="5"/>
  <c r="V6783" i="5"/>
  <c r="V6784" i="5"/>
  <c r="V6785" i="5"/>
  <c r="V6786" i="5"/>
  <c r="V6787" i="5"/>
  <c r="V6788" i="5"/>
  <c r="V6789" i="5"/>
  <c r="V6790" i="5"/>
  <c r="V6791" i="5"/>
  <c r="V6792" i="5"/>
  <c r="V6793" i="5"/>
  <c r="V6794" i="5"/>
  <c r="V6795" i="5"/>
  <c r="V6796" i="5"/>
  <c r="V6797" i="5"/>
  <c r="V6798" i="5"/>
  <c r="V6799" i="5"/>
  <c r="V6800" i="5"/>
  <c r="V6801" i="5"/>
  <c r="V6802" i="5"/>
  <c r="V6803" i="5"/>
  <c r="V6804" i="5"/>
  <c r="V6805" i="5"/>
  <c r="V6806" i="5"/>
  <c r="V6807" i="5"/>
  <c r="V6808" i="5"/>
  <c r="V6809" i="5"/>
  <c r="V6810" i="5"/>
  <c r="V6811" i="5"/>
  <c r="V6812" i="5"/>
  <c r="V6813" i="5"/>
  <c r="V6814" i="5"/>
  <c r="V6815" i="5"/>
  <c r="V6816" i="5"/>
  <c r="V6817" i="5"/>
  <c r="V6818" i="5"/>
  <c r="V6819" i="5"/>
  <c r="V6820" i="5"/>
  <c r="V6821" i="5"/>
  <c r="V6822" i="5"/>
  <c r="V6823" i="5"/>
  <c r="V6824" i="5"/>
  <c r="V6825" i="5"/>
  <c r="V6826" i="5"/>
  <c r="V6827" i="5"/>
  <c r="V6828" i="5"/>
  <c r="V6829" i="5"/>
  <c r="V6830" i="5"/>
  <c r="V6831" i="5"/>
  <c r="V6832" i="5"/>
  <c r="V6833" i="5"/>
  <c r="V6834" i="5"/>
  <c r="V6835" i="5"/>
  <c r="V6836" i="5"/>
  <c r="V6837" i="5"/>
  <c r="V6838" i="5"/>
  <c r="V6839" i="5"/>
  <c r="V6840" i="5"/>
  <c r="V6841" i="5"/>
  <c r="V6842" i="5"/>
  <c r="V6843" i="5"/>
  <c r="V6844" i="5"/>
  <c r="V6845" i="5"/>
  <c r="V6846" i="5"/>
  <c r="V6847" i="5"/>
  <c r="V6848" i="5"/>
  <c r="V6849" i="5"/>
  <c r="V6850" i="5"/>
  <c r="V6851" i="5"/>
  <c r="V6852" i="5"/>
  <c r="V6853" i="5"/>
  <c r="V6854" i="5"/>
  <c r="V6855" i="5"/>
  <c r="V6856" i="5"/>
  <c r="V6857" i="5"/>
  <c r="V6858" i="5"/>
  <c r="V6859" i="5"/>
  <c r="V6860" i="5"/>
  <c r="V6861" i="5"/>
  <c r="V6862" i="5"/>
  <c r="V6863" i="5"/>
  <c r="V6864" i="5"/>
  <c r="V6865" i="5"/>
  <c r="V6866" i="5"/>
  <c r="V6867" i="5"/>
  <c r="V6868" i="5"/>
  <c r="V6869" i="5"/>
  <c r="V6870" i="5"/>
  <c r="V6871" i="5"/>
  <c r="V6872" i="5"/>
  <c r="V6873" i="5"/>
  <c r="V6874" i="5"/>
  <c r="V6875" i="5"/>
  <c r="V6876" i="5"/>
  <c r="V6877" i="5"/>
  <c r="V6878" i="5"/>
  <c r="V6879" i="5"/>
  <c r="V6880" i="5"/>
  <c r="V6881" i="5"/>
  <c r="V6882" i="5"/>
  <c r="V6883" i="5"/>
  <c r="V6884" i="5"/>
  <c r="V6885" i="5"/>
  <c r="V6886" i="5"/>
  <c r="V6887" i="5"/>
  <c r="V6888" i="5"/>
  <c r="V6889" i="5"/>
  <c r="V6890" i="5"/>
  <c r="V6891" i="5"/>
  <c r="V6892" i="5"/>
  <c r="V6893" i="5"/>
  <c r="V6894" i="5"/>
  <c r="V6895" i="5"/>
  <c r="V6896" i="5"/>
  <c r="V6897" i="5"/>
  <c r="V6898" i="5"/>
  <c r="V6899" i="5"/>
  <c r="V6900" i="5"/>
  <c r="V6901" i="5"/>
  <c r="V6902" i="5"/>
  <c r="V6903" i="5"/>
  <c r="V6904" i="5"/>
  <c r="V6905" i="5"/>
  <c r="V6906" i="5"/>
  <c r="V6907" i="5"/>
  <c r="V6908" i="5"/>
  <c r="V6909" i="5"/>
  <c r="V6910" i="5"/>
  <c r="V6911" i="5"/>
  <c r="V6912" i="5"/>
  <c r="V6913" i="5"/>
  <c r="V6914" i="5"/>
  <c r="V6915" i="5"/>
  <c r="V6916" i="5"/>
  <c r="V6917" i="5"/>
  <c r="V6918" i="5"/>
  <c r="V6919" i="5"/>
  <c r="V6920" i="5"/>
  <c r="V6921" i="5"/>
  <c r="V6922" i="5"/>
  <c r="V6923" i="5"/>
  <c r="V6924" i="5"/>
  <c r="V6925" i="5"/>
  <c r="V6926" i="5"/>
  <c r="V6927" i="5"/>
  <c r="V6928" i="5"/>
  <c r="V6929" i="5"/>
  <c r="V6930" i="5"/>
  <c r="V6931" i="5"/>
  <c r="V6932" i="5"/>
  <c r="V6933" i="5"/>
  <c r="V6934" i="5"/>
  <c r="V6935" i="5"/>
  <c r="V6936" i="5"/>
  <c r="V6937" i="5"/>
  <c r="V6938" i="5"/>
  <c r="V6939" i="5"/>
  <c r="V6940" i="5"/>
  <c r="V6941" i="5"/>
  <c r="V6942" i="5"/>
  <c r="V6943" i="5"/>
  <c r="V6944" i="5"/>
  <c r="V6945" i="5"/>
  <c r="V6946" i="5"/>
  <c r="V6947" i="5"/>
  <c r="V6948" i="5"/>
  <c r="V6949" i="5"/>
  <c r="V6950" i="5"/>
  <c r="V6951" i="5"/>
  <c r="V6952" i="5"/>
  <c r="V6953" i="5"/>
  <c r="V6954" i="5"/>
  <c r="V6955" i="5"/>
  <c r="V6956" i="5"/>
  <c r="V6957" i="5"/>
  <c r="V6958" i="5"/>
  <c r="V6959" i="5"/>
  <c r="V6960" i="5"/>
  <c r="V6961" i="5"/>
  <c r="V6962" i="5"/>
  <c r="V6963" i="5"/>
  <c r="V6964" i="5"/>
  <c r="V6965" i="5"/>
  <c r="V6966" i="5"/>
  <c r="V6967" i="5"/>
  <c r="V6968" i="5"/>
  <c r="V6969" i="5"/>
  <c r="V6970" i="5"/>
  <c r="V6971" i="5"/>
  <c r="V6972" i="5"/>
  <c r="V6973" i="5"/>
  <c r="V6974" i="5"/>
  <c r="V6975" i="5"/>
  <c r="V6976" i="5"/>
  <c r="V6977" i="5"/>
  <c r="V6978" i="5"/>
  <c r="V6979" i="5"/>
  <c r="V6980" i="5"/>
  <c r="V6981" i="5"/>
  <c r="V6982" i="5"/>
  <c r="V6983" i="5"/>
  <c r="V6984" i="5"/>
  <c r="V6985" i="5"/>
  <c r="V6986" i="5"/>
  <c r="V6987" i="5"/>
  <c r="V6988" i="5"/>
  <c r="V6989" i="5"/>
  <c r="V6990" i="5"/>
  <c r="V6991" i="5"/>
  <c r="V6992" i="5"/>
  <c r="V6993" i="5"/>
  <c r="V6994" i="5"/>
  <c r="V6995" i="5"/>
  <c r="V6996" i="5"/>
  <c r="V6997" i="5"/>
  <c r="V6998" i="5"/>
  <c r="V6999" i="5"/>
  <c r="V7000" i="5"/>
  <c r="V7001" i="5"/>
  <c r="V7002" i="5"/>
  <c r="V7003" i="5"/>
  <c r="V7004" i="5"/>
  <c r="V7005" i="5"/>
  <c r="V7006" i="5"/>
  <c r="V7007" i="5"/>
  <c r="V7008" i="5"/>
  <c r="V7009" i="5"/>
  <c r="V7010" i="5"/>
  <c r="V7011" i="5"/>
  <c r="V7012" i="5"/>
  <c r="V7013" i="5"/>
  <c r="V7014" i="5"/>
  <c r="V7015" i="5"/>
  <c r="V7016" i="5"/>
  <c r="V7017" i="5"/>
  <c r="V7018" i="5"/>
  <c r="V7019" i="5"/>
  <c r="V7020" i="5"/>
  <c r="V7021" i="5"/>
  <c r="V7022" i="5"/>
  <c r="V7023" i="5"/>
  <c r="V7024" i="5"/>
  <c r="V7025" i="5"/>
  <c r="V7026" i="5"/>
  <c r="V7027" i="5"/>
  <c r="V7028" i="5"/>
  <c r="V7029" i="5"/>
  <c r="V7030" i="5"/>
  <c r="V7031" i="5"/>
  <c r="V7032" i="5"/>
  <c r="V7033" i="5"/>
  <c r="V7034" i="5"/>
  <c r="V7035" i="5"/>
  <c r="V7036" i="5"/>
  <c r="V7037" i="5"/>
  <c r="V7038" i="5"/>
  <c r="V7039" i="5"/>
  <c r="V7040" i="5"/>
  <c r="V7041" i="5"/>
  <c r="V7042" i="5"/>
  <c r="V7043" i="5"/>
  <c r="V7044" i="5"/>
  <c r="V7045" i="5"/>
  <c r="V7046" i="5"/>
  <c r="V7047" i="5"/>
  <c r="V7048" i="5"/>
  <c r="V7049" i="5"/>
  <c r="V7050" i="5"/>
  <c r="V7051" i="5"/>
  <c r="V7052" i="5"/>
  <c r="V7053" i="5"/>
  <c r="V7054" i="5"/>
  <c r="V7055" i="5"/>
  <c r="V7056" i="5"/>
  <c r="V7057" i="5"/>
  <c r="V7058" i="5"/>
  <c r="V7059" i="5"/>
  <c r="V7060" i="5"/>
  <c r="V7061" i="5"/>
  <c r="V7062" i="5"/>
  <c r="V7063" i="5"/>
  <c r="V7064" i="5"/>
  <c r="V7065" i="5"/>
  <c r="V7066" i="5"/>
  <c r="V7067" i="5"/>
  <c r="V7068" i="5"/>
  <c r="V7069" i="5"/>
  <c r="V7070" i="5"/>
  <c r="V7071" i="5"/>
  <c r="V7072" i="5"/>
  <c r="V7073" i="5"/>
  <c r="V7074" i="5"/>
  <c r="V7075" i="5"/>
  <c r="V7076" i="5"/>
  <c r="V7077" i="5"/>
  <c r="V7078" i="5"/>
  <c r="V7079" i="5"/>
  <c r="V7080" i="5"/>
  <c r="V7081" i="5"/>
  <c r="V7082" i="5"/>
  <c r="V7083" i="5"/>
  <c r="V7084" i="5"/>
  <c r="V7085" i="5"/>
  <c r="V7086" i="5"/>
  <c r="V7087" i="5"/>
  <c r="V7088" i="5"/>
  <c r="V7089" i="5"/>
  <c r="V7090" i="5"/>
  <c r="V7091" i="5"/>
  <c r="V7092" i="5"/>
  <c r="V7093" i="5"/>
  <c r="V7094" i="5"/>
  <c r="V7095" i="5"/>
  <c r="V7096" i="5"/>
  <c r="V7097" i="5"/>
  <c r="V7098" i="5"/>
  <c r="V7099" i="5"/>
  <c r="V7100" i="5"/>
  <c r="V7101" i="5"/>
  <c r="V7102" i="5"/>
  <c r="V7103" i="5"/>
  <c r="V7104" i="5"/>
  <c r="V7105" i="5"/>
  <c r="V7106" i="5"/>
  <c r="V7107" i="5"/>
  <c r="V7108" i="5"/>
  <c r="V7109" i="5"/>
  <c r="V7110" i="5"/>
  <c r="V7111" i="5"/>
  <c r="V7112" i="5"/>
  <c r="V7113" i="5"/>
  <c r="V7114" i="5"/>
  <c r="V7115" i="5"/>
  <c r="V7116" i="5"/>
  <c r="V7117" i="5"/>
  <c r="V7118" i="5"/>
  <c r="V7119" i="5"/>
  <c r="V7120" i="5"/>
  <c r="V7121" i="5"/>
  <c r="V7122" i="5"/>
  <c r="V7123" i="5"/>
  <c r="V7124" i="5"/>
  <c r="V7125" i="5"/>
  <c r="V7126" i="5"/>
  <c r="V7127" i="5"/>
  <c r="V7128" i="5"/>
  <c r="V7129" i="5"/>
  <c r="V7130" i="5"/>
  <c r="V7131" i="5"/>
  <c r="V7132" i="5"/>
  <c r="V7133" i="5"/>
  <c r="V7134" i="5"/>
  <c r="V7135" i="5"/>
  <c r="V7136" i="5"/>
  <c r="V7137" i="5"/>
  <c r="V7138" i="5"/>
  <c r="V7139" i="5"/>
  <c r="V7140" i="5"/>
  <c r="V7141" i="5"/>
  <c r="V7142" i="5"/>
  <c r="V7143" i="5"/>
  <c r="V7144" i="5"/>
  <c r="V7145" i="5"/>
  <c r="V7146" i="5"/>
  <c r="V7147" i="5"/>
  <c r="V7148" i="5"/>
  <c r="V7149" i="5"/>
  <c r="V7150" i="5"/>
  <c r="V7151" i="5"/>
  <c r="V7152" i="5"/>
  <c r="V7153" i="5"/>
  <c r="V7154" i="5"/>
  <c r="V7155" i="5"/>
  <c r="V7156" i="5"/>
  <c r="V7157" i="5"/>
  <c r="V7158" i="5"/>
  <c r="V7159" i="5"/>
  <c r="V7160" i="5"/>
  <c r="V7161" i="5"/>
  <c r="V7162" i="5"/>
  <c r="V7163" i="5"/>
  <c r="V7164" i="5"/>
  <c r="V7165" i="5"/>
  <c r="V7166" i="5"/>
  <c r="V7167" i="5"/>
  <c r="V7168" i="5"/>
  <c r="V7169" i="5"/>
  <c r="V7170" i="5"/>
  <c r="V7171" i="5"/>
  <c r="V7172" i="5"/>
  <c r="V7173" i="5"/>
  <c r="V7174" i="5"/>
  <c r="V7175" i="5"/>
  <c r="V7176" i="5"/>
  <c r="V7177" i="5"/>
  <c r="V7178" i="5"/>
  <c r="V7179" i="5"/>
  <c r="V7180" i="5"/>
  <c r="V7181" i="5"/>
  <c r="V7182" i="5"/>
  <c r="V7183" i="5"/>
  <c r="V7184" i="5"/>
  <c r="V7185" i="5"/>
  <c r="V7186" i="5"/>
  <c r="V7187" i="5"/>
  <c r="V7188" i="5"/>
  <c r="V7189" i="5"/>
  <c r="V7190" i="5"/>
  <c r="V7191" i="5"/>
  <c r="V7192" i="5"/>
  <c r="V7193" i="5"/>
  <c r="V7194" i="5"/>
  <c r="V7195" i="5"/>
  <c r="V7196" i="5"/>
  <c r="V7197" i="5"/>
  <c r="V7198" i="5"/>
  <c r="V7199" i="5"/>
  <c r="V7200" i="5"/>
  <c r="V7201" i="5"/>
  <c r="V7202" i="5"/>
  <c r="V7203" i="5"/>
  <c r="V7204" i="5"/>
  <c r="V7205" i="5"/>
  <c r="V7206" i="5"/>
  <c r="V7207" i="5"/>
  <c r="V7208" i="5"/>
  <c r="V7209" i="5"/>
  <c r="V7210" i="5"/>
  <c r="V7211" i="5"/>
  <c r="V7212" i="5"/>
  <c r="V7213" i="5"/>
  <c r="V7214" i="5"/>
  <c r="V7215" i="5"/>
  <c r="V7216" i="5"/>
  <c r="V7217" i="5"/>
  <c r="V7218" i="5"/>
  <c r="V7219" i="5"/>
  <c r="V7220" i="5"/>
  <c r="V7221" i="5"/>
  <c r="V7222" i="5"/>
  <c r="V7223" i="5"/>
  <c r="V7224" i="5"/>
  <c r="V7225" i="5"/>
  <c r="V7226" i="5"/>
  <c r="V7227" i="5"/>
  <c r="V7228" i="5"/>
  <c r="V7229" i="5"/>
  <c r="V7230" i="5"/>
  <c r="V7231" i="5"/>
  <c r="V7232" i="5"/>
  <c r="V7233" i="5"/>
  <c r="V7234" i="5"/>
  <c r="V7235" i="5"/>
  <c r="V7236" i="5"/>
  <c r="V7237" i="5"/>
  <c r="V7238" i="5"/>
  <c r="V7239" i="5"/>
  <c r="V7240" i="5"/>
  <c r="V7241" i="5"/>
  <c r="V7242" i="5"/>
  <c r="V7243" i="5"/>
  <c r="V7244" i="5"/>
  <c r="V7245" i="5"/>
  <c r="V7246" i="5"/>
  <c r="V7247" i="5"/>
  <c r="V7248" i="5"/>
  <c r="V7249" i="5"/>
  <c r="V7250" i="5"/>
  <c r="V7251" i="5"/>
  <c r="V7252" i="5"/>
  <c r="V7253" i="5"/>
  <c r="V7254" i="5"/>
  <c r="V7255" i="5"/>
  <c r="V7256" i="5"/>
  <c r="V7257" i="5"/>
  <c r="V7258" i="5"/>
  <c r="V7259" i="5"/>
  <c r="V7260" i="5"/>
  <c r="V7261" i="5"/>
  <c r="V7262" i="5"/>
  <c r="V7263" i="5"/>
  <c r="V7264" i="5"/>
  <c r="V7265" i="5"/>
  <c r="V7266" i="5"/>
  <c r="V7267" i="5"/>
  <c r="V7268" i="5"/>
  <c r="V7269" i="5"/>
  <c r="V7270" i="5"/>
  <c r="V7271" i="5"/>
  <c r="V7272" i="5"/>
  <c r="V7273" i="5"/>
  <c r="V7274" i="5"/>
  <c r="V7275" i="5"/>
  <c r="V7276" i="5"/>
  <c r="V7277" i="5"/>
  <c r="V7278" i="5"/>
  <c r="V7279" i="5"/>
  <c r="V7280" i="5"/>
  <c r="V7281" i="5"/>
  <c r="V7282" i="5"/>
  <c r="V7283" i="5"/>
  <c r="V7284" i="5"/>
  <c r="V7285" i="5"/>
  <c r="V7286" i="5"/>
  <c r="V7287" i="5"/>
  <c r="V7288" i="5"/>
  <c r="V7289" i="5"/>
  <c r="V7290" i="5"/>
  <c r="V7291" i="5"/>
  <c r="V7292" i="5"/>
  <c r="V7293" i="5"/>
  <c r="V7294" i="5"/>
  <c r="V7295" i="5"/>
  <c r="V7296" i="5"/>
  <c r="V7297" i="5"/>
  <c r="V7298" i="5"/>
  <c r="V7299" i="5"/>
  <c r="V7300" i="5"/>
  <c r="V7301" i="5"/>
  <c r="V7302" i="5"/>
  <c r="V7303" i="5"/>
  <c r="V7304" i="5"/>
  <c r="V7305" i="5"/>
  <c r="V7306" i="5"/>
  <c r="V7307" i="5"/>
  <c r="V7308" i="5"/>
  <c r="V7309" i="5"/>
  <c r="V7310" i="5"/>
  <c r="V7311" i="5"/>
  <c r="V7312" i="5"/>
  <c r="V7313" i="5"/>
  <c r="V7314" i="5"/>
  <c r="V7315" i="5"/>
  <c r="V7316" i="5"/>
  <c r="V7317" i="5"/>
  <c r="V7318" i="5"/>
  <c r="V7319" i="5"/>
  <c r="V7320" i="5"/>
  <c r="V7321" i="5"/>
  <c r="V7322" i="5"/>
  <c r="V7323" i="5"/>
  <c r="V7324" i="5"/>
  <c r="V7325" i="5"/>
  <c r="V7326" i="5"/>
  <c r="V7327" i="5"/>
  <c r="V7328" i="5"/>
  <c r="V7329" i="5"/>
  <c r="V7330" i="5"/>
  <c r="V7331" i="5"/>
  <c r="V7332" i="5"/>
  <c r="V7333" i="5"/>
  <c r="V7334" i="5"/>
  <c r="V7335" i="5"/>
  <c r="V7336" i="5"/>
  <c r="V7337" i="5"/>
  <c r="V7338" i="5"/>
  <c r="V7339" i="5"/>
  <c r="V7340" i="5"/>
  <c r="V7341" i="5"/>
  <c r="V7342" i="5"/>
  <c r="V7343" i="5"/>
  <c r="V7344" i="5"/>
  <c r="V7345" i="5"/>
  <c r="V7346" i="5"/>
  <c r="V7347" i="5"/>
  <c r="V7348" i="5"/>
  <c r="V7349" i="5"/>
  <c r="V7350" i="5"/>
  <c r="V7351" i="5"/>
  <c r="V7352" i="5"/>
  <c r="V7353" i="5"/>
  <c r="V7354" i="5"/>
  <c r="V7355" i="5"/>
  <c r="V7356" i="5"/>
  <c r="V7357" i="5"/>
  <c r="V7358" i="5"/>
  <c r="V7359" i="5"/>
  <c r="V7360" i="5"/>
  <c r="V7361" i="5"/>
  <c r="V7362" i="5"/>
  <c r="V7363" i="5"/>
  <c r="V7364" i="5"/>
  <c r="V7365" i="5"/>
  <c r="V7366" i="5"/>
  <c r="V7367" i="5"/>
  <c r="V7368" i="5"/>
  <c r="V7369" i="5"/>
  <c r="V7370" i="5"/>
  <c r="V7371" i="5"/>
  <c r="V7372" i="5"/>
  <c r="V7373" i="5"/>
  <c r="V7374" i="5"/>
  <c r="V7375" i="5"/>
  <c r="V7376" i="5"/>
  <c r="V7377" i="5"/>
  <c r="V7378" i="5"/>
  <c r="V7379" i="5"/>
  <c r="V7380" i="5"/>
  <c r="V7381" i="5"/>
  <c r="V7382" i="5"/>
  <c r="V7383" i="5"/>
  <c r="V7384" i="5"/>
  <c r="V7385" i="5"/>
  <c r="V7386" i="5"/>
  <c r="V7387" i="5"/>
  <c r="V7388" i="5"/>
  <c r="V7389" i="5"/>
  <c r="V7390" i="5"/>
  <c r="V7391" i="5"/>
  <c r="V7392" i="5"/>
  <c r="V7393" i="5"/>
  <c r="V7394" i="5"/>
  <c r="V7395" i="5"/>
  <c r="V7396" i="5"/>
  <c r="V7397" i="5"/>
  <c r="V7398" i="5"/>
  <c r="V7399" i="5"/>
  <c r="V7400" i="5"/>
  <c r="V7401" i="5"/>
  <c r="V7402" i="5"/>
  <c r="V7403" i="5"/>
  <c r="V7404" i="5"/>
  <c r="V7405" i="5"/>
  <c r="V7406" i="5"/>
  <c r="V7407" i="5"/>
  <c r="V7408" i="5"/>
  <c r="V7409" i="5"/>
  <c r="V7410" i="5"/>
  <c r="V7411" i="5"/>
  <c r="V7412" i="5"/>
  <c r="V7413" i="5"/>
  <c r="V7414" i="5"/>
  <c r="V7415" i="5"/>
  <c r="V7416" i="5"/>
  <c r="V7417" i="5"/>
  <c r="V7418" i="5"/>
  <c r="V7419" i="5"/>
  <c r="V7420" i="5"/>
  <c r="V7421" i="5"/>
  <c r="V7422" i="5"/>
  <c r="V7423" i="5"/>
  <c r="V7424" i="5"/>
  <c r="V7425" i="5"/>
  <c r="V7426" i="5"/>
  <c r="V7427" i="5"/>
  <c r="V7428" i="5"/>
  <c r="V7429" i="5"/>
  <c r="V7430" i="5"/>
  <c r="V7431" i="5"/>
  <c r="V7432" i="5"/>
  <c r="V7433" i="5"/>
  <c r="V7434" i="5"/>
  <c r="V7435" i="5"/>
  <c r="V7436" i="5"/>
  <c r="V7437" i="5"/>
  <c r="V7438" i="5"/>
  <c r="V7439" i="5"/>
  <c r="V7440" i="5"/>
  <c r="V7441" i="5"/>
  <c r="V7442" i="5"/>
  <c r="V7443" i="5"/>
  <c r="V7444" i="5"/>
  <c r="V7445" i="5"/>
  <c r="V7446" i="5"/>
  <c r="V7447" i="5"/>
  <c r="V7448" i="5"/>
  <c r="V7449" i="5"/>
  <c r="V7450" i="5"/>
  <c r="V7451" i="5"/>
  <c r="V7452" i="5"/>
  <c r="V7453" i="5"/>
  <c r="V7454" i="5"/>
  <c r="V7455" i="5"/>
  <c r="V7456" i="5"/>
  <c r="V7457" i="5"/>
  <c r="V7458" i="5"/>
  <c r="V7459" i="5"/>
  <c r="V7460" i="5"/>
  <c r="V7461" i="5"/>
  <c r="V7462" i="5"/>
  <c r="V7463" i="5"/>
  <c r="V7464" i="5"/>
  <c r="V7465" i="5"/>
  <c r="V7466" i="5"/>
  <c r="V7467" i="5"/>
  <c r="V7468" i="5"/>
  <c r="V7469" i="5"/>
  <c r="V7470" i="5"/>
  <c r="V7471" i="5"/>
  <c r="V7472" i="5"/>
  <c r="V7473" i="5"/>
  <c r="V7474" i="5"/>
  <c r="V7475" i="5"/>
  <c r="V7476" i="5"/>
  <c r="V7477" i="5"/>
  <c r="V7478" i="5"/>
  <c r="V7479" i="5"/>
  <c r="V7480" i="5"/>
  <c r="V7481" i="5"/>
  <c r="V7482" i="5"/>
  <c r="V7483" i="5"/>
  <c r="V7484" i="5"/>
  <c r="V7485" i="5"/>
  <c r="V7486" i="5"/>
  <c r="V7487" i="5"/>
  <c r="V7488" i="5"/>
  <c r="V7489" i="5"/>
  <c r="V7490" i="5"/>
  <c r="V7491" i="5"/>
  <c r="V7492" i="5"/>
  <c r="V7493" i="5"/>
  <c r="V7494" i="5"/>
  <c r="V7495" i="5"/>
  <c r="V7496" i="5"/>
  <c r="V7497" i="5"/>
  <c r="V7498" i="5"/>
  <c r="V7499" i="5"/>
  <c r="V7500" i="5"/>
  <c r="V7501" i="5"/>
  <c r="V7502" i="5"/>
  <c r="V7503" i="5"/>
  <c r="V7504" i="5"/>
  <c r="V7505" i="5"/>
  <c r="V7506" i="5"/>
  <c r="V7507" i="5"/>
  <c r="V7508" i="5"/>
  <c r="V7509" i="5"/>
  <c r="V7510" i="5"/>
  <c r="V7511" i="5"/>
  <c r="V7512" i="5"/>
  <c r="V7513" i="5"/>
  <c r="V7514" i="5"/>
  <c r="V7515" i="5"/>
  <c r="V7516" i="5"/>
  <c r="V7517" i="5"/>
  <c r="V7518" i="5"/>
  <c r="V7519" i="5"/>
  <c r="V7520" i="5"/>
  <c r="V7521" i="5"/>
  <c r="V7522" i="5"/>
  <c r="V7523" i="5"/>
  <c r="V7524" i="5"/>
  <c r="V7525" i="5"/>
  <c r="V7526" i="5"/>
  <c r="V7527" i="5"/>
  <c r="V7528" i="5"/>
  <c r="V7529" i="5"/>
  <c r="V7530" i="5"/>
  <c r="V7531" i="5"/>
  <c r="V7532" i="5"/>
  <c r="V7533" i="5"/>
  <c r="V7534" i="5"/>
  <c r="V7535" i="5"/>
  <c r="V7536" i="5"/>
  <c r="V7537" i="5"/>
  <c r="V7538" i="5"/>
  <c r="V7539" i="5"/>
  <c r="V7540" i="5"/>
  <c r="V7541" i="5"/>
  <c r="V7542" i="5"/>
  <c r="V7543" i="5"/>
  <c r="V7544" i="5"/>
  <c r="V7545" i="5"/>
  <c r="V7546" i="5"/>
  <c r="V7547" i="5"/>
  <c r="V7548" i="5"/>
  <c r="V7549" i="5"/>
  <c r="V7550" i="5"/>
  <c r="V7551" i="5"/>
  <c r="V7552" i="5"/>
  <c r="V7553" i="5"/>
  <c r="V7554" i="5"/>
  <c r="V7555" i="5"/>
  <c r="V7556" i="5"/>
  <c r="V7557" i="5"/>
  <c r="V7558" i="5"/>
  <c r="V7559" i="5"/>
  <c r="V7560" i="5"/>
  <c r="V7561" i="5"/>
  <c r="V7562" i="5"/>
  <c r="V7563" i="5"/>
  <c r="V7564" i="5"/>
  <c r="V7565" i="5"/>
  <c r="V7566" i="5"/>
  <c r="V7567" i="5"/>
  <c r="V7568" i="5"/>
  <c r="V7569" i="5"/>
  <c r="V7570" i="5"/>
  <c r="V7571" i="5"/>
  <c r="V7572" i="5"/>
  <c r="V7573" i="5"/>
  <c r="V7574" i="5"/>
  <c r="V7575" i="5"/>
  <c r="V7576" i="5"/>
  <c r="V7577" i="5"/>
  <c r="V7578" i="5"/>
  <c r="V7579" i="5"/>
  <c r="V7580" i="5"/>
  <c r="V7581" i="5"/>
  <c r="V7582" i="5"/>
  <c r="V7583" i="5"/>
  <c r="V7584" i="5"/>
  <c r="V7585" i="5"/>
  <c r="V7586" i="5"/>
  <c r="V7587" i="5"/>
  <c r="V7588" i="5"/>
  <c r="V7589" i="5"/>
  <c r="V7590" i="5"/>
  <c r="V7591" i="5"/>
  <c r="V7592" i="5"/>
  <c r="V7593" i="5"/>
  <c r="V7594" i="5"/>
  <c r="V7595" i="5"/>
  <c r="V7596" i="5"/>
  <c r="V7597" i="5"/>
  <c r="V7598" i="5"/>
  <c r="V7599" i="5"/>
  <c r="V7600" i="5"/>
  <c r="V7601" i="5"/>
  <c r="V7602" i="5"/>
  <c r="V7603" i="5"/>
  <c r="V7604" i="5"/>
  <c r="V7605" i="5"/>
  <c r="V7606" i="5"/>
  <c r="V7607" i="5"/>
  <c r="V7608" i="5"/>
  <c r="V7609" i="5"/>
  <c r="V7610" i="5"/>
  <c r="V7611" i="5"/>
  <c r="V7612" i="5"/>
  <c r="V7613" i="5"/>
  <c r="V7614" i="5"/>
  <c r="V7615" i="5"/>
  <c r="V7616" i="5"/>
  <c r="V7617" i="5"/>
  <c r="V7618" i="5"/>
  <c r="V7619" i="5"/>
  <c r="V7620" i="5"/>
  <c r="V7621" i="5"/>
  <c r="V7622" i="5"/>
  <c r="V7623" i="5"/>
  <c r="V7624" i="5"/>
  <c r="V7625" i="5"/>
  <c r="V7626" i="5"/>
  <c r="V7627" i="5"/>
  <c r="V7628" i="5"/>
  <c r="V7629" i="5"/>
  <c r="V7630" i="5"/>
  <c r="V7631" i="5"/>
  <c r="V7632" i="5"/>
  <c r="V7633" i="5"/>
  <c r="V7634" i="5"/>
  <c r="V7635" i="5"/>
  <c r="V7636" i="5"/>
  <c r="V7637" i="5"/>
  <c r="V7638" i="5"/>
  <c r="V7639" i="5"/>
  <c r="V7640" i="5"/>
  <c r="V7641" i="5"/>
  <c r="V7642" i="5"/>
  <c r="V7643" i="5"/>
  <c r="V7644" i="5"/>
  <c r="V7645" i="5"/>
  <c r="V7646" i="5"/>
  <c r="V7647" i="5"/>
  <c r="V7648" i="5"/>
  <c r="V7649" i="5"/>
  <c r="V7650" i="5"/>
  <c r="V7651" i="5"/>
  <c r="V7652" i="5"/>
  <c r="V7653" i="5"/>
  <c r="V7654" i="5"/>
  <c r="V7655" i="5"/>
  <c r="V7656" i="5"/>
  <c r="V7657" i="5"/>
  <c r="V7658" i="5"/>
  <c r="V7659" i="5"/>
  <c r="V7660" i="5"/>
  <c r="V7661" i="5"/>
  <c r="V7662" i="5"/>
  <c r="V7663" i="5"/>
  <c r="V7665" i="5"/>
  <c r="V7666" i="5"/>
  <c r="V7667" i="5"/>
  <c r="V7668" i="5"/>
  <c r="V7669" i="5"/>
  <c r="V7670" i="5"/>
  <c r="V7671" i="5"/>
  <c r="V7672" i="5"/>
  <c r="V7673" i="5"/>
  <c r="V7674" i="5"/>
  <c r="V7675" i="5"/>
  <c r="V7676" i="5"/>
  <c r="V7677" i="5"/>
  <c r="V7678" i="5"/>
  <c r="V7679" i="5"/>
  <c r="V7680" i="5"/>
  <c r="V7681" i="5"/>
  <c r="V7682" i="5"/>
  <c r="V7683" i="5"/>
  <c r="V7684" i="5"/>
  <c r="V7685" i="5"/>
  <c r="V7686" i="5"/>
  <c r="V7687" i="5"/>
  <c r="V7688" i="5"/>
  <c r="V7689" i="5"/>
  <c r="V7690" i="5"/>
  <c r="V7691" i="5"/>
  <c r="V7692" i="5"/>
  <c r="V7693" i="5"/>
  <c r="V7694" i="5"/>
  <c r="V7695" i="5"/>
  <c r="V7696" i="5"/>
  <c r="V7697" i="5"/>
  <c r="V7698" i="5"/>
  <c r="V7699" i="5"/>
  <c r="V7700" i="5"/>
  <c r="V7701" i="5"/>
  <c r="V7702" i="5"/>
  <c r="V7703" i="5"/>
  <c r="V7704" i="5"/>
  <c r="V7705" i="5"/>
  <c r="V7706" i="5"/>
  <c r="V7707" i="5"/>
  <c r="V7708" i="5"/>
  <c r="V7709" i="5"/>
  <c r="V7710" i="5"/>
  <c r="V7711" i="5"/>
  <c r="V7712" i="5"/>
  <c r="V7713" i="5"/>
  <c r="V7714" i="5"/>
  <c r="V7715" i="5"/>
  <c r="V7716" i="5"/>
  <c r="V7717" i="5"/>
  <c r="V7718" i="5"/>
  <c r="V7719" i="5"/>
  <c r="V7720" i="5"/>
  <c r="V7721" i="5"/>
  <c r="V7722" i="5"/>
  <c r="V7723" i="5"/>
  <c r="V7724" i="5"/>
  <c r="V7725" i="5"/>
  <c r="V7726" i="5"/>
  <c r="V7727" i="5"/>
  <c r="V7728" i="5"/>
  <c r="V7729" i="5"/>
  <c r="V7730" i="5"/>
  <c r="V7731" i="5"/>
  <c r="V7732" i="5"/>
  <c r="V7733" i="5"/>
  <c r="V7734" i="5"/>
  <c r="V7735" i="5"/>
  <c r="V7736" i="5"/>
  <c r="V7737" i="5"/>
  <c r="V7738" i="5"/>
  <c r="V7739" i="5"/>
  <c r="V7740" i="5"/>
  <c r="V7741" i="5"/>
  <c r="V7742" i="5"/>
  <c r="V7743" i="5"/>
  <c r="V7744" i="5"/>
  <c r="V7745" i="5"/>
  <c r="V7746" i="5"/>
  <c r="V7747" i="5"/>
  <c r="V7748" i="5"/>
  <c r="V7749" i="5"/>
  <c r="V7750" i="5"/>
  <c r="V7751" i="5"/>
  <c r="V7752" i="5"/>
  <c r="V7753" i="5"/>
  <c r="V7754" i="5"/>
  <c r="V7755" i="5"/>
  <c r="V7756" i="5"/>
  <c r="V7757" i="5"/>
  <c r="V7758" i="5"/>
  <c r="V7759" i="5"/>
  <c r="V7760" i="5"/>
  <c r="V7761" i="5"/>
  <c r="V7762" i="5"/>
  <c r="V7763" i="5"/>
  <c r="V7764" i="5"/>
  <c r="V7765" i="5"/>
  <c r="V7766" i="5"/>
  <c r="V7767" i="5"/>
  <c r="V7768" i="5"/>
  <c r="V7769" i="5"/>
  <c r="V7770" i="5"/>
  <c r="V7771" i="5"/>
  <c r="V7772" i="5"/>
  <c r="V7773" i="5"/>
  <c r="V7774" i="5"/>
  <c r="V7775" i="5"/>
  <c r="V7776" i="5"/>
  <c r="V7777" i="5"/>
  <c r="V7778" i="5"/>
  <c r="V7779" i="5"/>
  <c r="V7780" i="5"/>
  <c r="V7781" i="5"/>
  <c r="V7782" i="5"/>
  <c r="V7783" i="5"/>
  <c r="V7784" i="5"/>
  <c r="V7785" i="5"/>
  <c r="V7786" i="5"/>
  <c r="V7787" i="5"/>
  <c r="V7788" i="5"/>
  <c r="V7789" i="5"/>
  <c r="V7790" i="5"/>
  <c r="V7791" i="5"/>
  <c r="V7792" i="5"/>
  <c r="V7793" i="5"/>
  <c r="V7794" i="5"/>
  <c r="V7795" i="5"/>
  <c r="V7796" i="5"/>
  <c r="V7797" i="5"/>
  <c r="V7798" i="5"/>
  <c r="V7799" i="5"/>
  <c r="V7800" i="5"/>
  <c r="V7801" i="5"/>
  <c r="V7802" i="5"/>
  <c r="V7803" i="5"/>
  <c r="V7804" i="5"/>
  <c r="V7805" i="5"/>
  <c r="V7806" i="5"/>
  <c r="V7807" i="5"/>
  <c r="V7808" i="5"/>
  <c r="V7809" i="5"/>
  <c r="V7810" i="5"/>
  <c r="V7811" i="5"/>
  <c r="V7812" i="5"/>
  <c r="V7813" i="5"/>
  <c r="V7814" i="5"/>
  <c r="V7815" i="5"/>
  <c r="V7816" i="5"/>
  <c r="V7817" i="5"/>
  <c r="V7818" i="5"/>
  <c r="V7819" i="5"/>
  <c r="V7820" i="5"/>
  <c r="V7821" i="5"/>
  <c r="V7822" i="5"/>
  <c r="V7823" i="5"/>
  <c r="V7824" i="5"/>
  <c r="V7825" i="5"/>
  <c r="V7826" i="5"/>
  <c r="V7827" i="5"/>
  <c r="V7828" i="5"/>
  <c r="V7829" i="5"/>
  <c r="V7830" i="5"/>
  <c r="V7831" i="5"/>
  <c r="V7832" i="5"/>
  <c r="V7833" i="5"/>
  <c r="V7834" i="5"/>
  <c r="V7835" i="5"/>
  <c r="V7836" i="5"/>
  <c r="V7837" i="5"/>
  <c r="V7838" i="5"/>
  <c r="V7839" i="5"/>
  <c r="V7840" i="5"/>
  <c r="V7841" i="5"/>
  <c r="V7842" i="5"/>
  <c r="V7843" i="5"/>
  <c r="V7844" i="5"/>
  <c r="V7845" i="5"/>
  <c r="V7846" i="5"/>
  <c r="V7847" i="5"/>
  <c r="V7848" i="5"/>
  <c r="V7849" i="5"/>
  <c r="V7850" i="5"/>
  <c r="V7851" i="5"/>
  <c r="V7852" i="5"/>
  <c r="V7853" i="5"/>
  <c r="V7854" i="5"/>
  <c r="V7855" i="5"/>
  <c r="V7856" i="5"/>
  <c r="V7857" i="5"/>
  <c r="V7858" i="5"/>
  <c r="V7859" i="5"/>
  <c r="V7860" i="5"/>
  <c r="V7861" i="5"/>
  <c r="V7862" i="5"/>
  <c r="V7863" i="5"/>
  <c r="V7864" i="5"/>
  <c r="V7865" i="5"/>
  <c r="V7866" i="5"/>
  <c r="V7867" i="5"/>
  <c r="V7868" i="5"/>
  <c r="V7869" i="5"/>
  <c r="V7870" i="5"/>
  <c r="V7871" i="5"/>
  <c r="V7872" i="5"/>
  <c r="V7873" i="5"/>
  <c r="V7874" i="5"/>
  <c r="V7875" i="5"/>
  <c r="V7876" i="5"/>
  <c r="V7877" i="5"/>
  <c r="V7878" i="5"/>
  <c r="V7879" i="5"/>
  <c r="V7880" i="5"/>
  <c r="V7881" i="5"/>
  <c r="V7882" i="5"/>
  <c r="V7883" i="5"/>
  <c r="V7884" i="5"/>
  <c r="V7885" i="5"/>
  <c r="V7886" i="5"/>
  <c r="V7887" i="5"/>
  <c r="V7888" i="5"/>
  <c r="V7889" i="5"/>
  <c r="V7890" i="5"/>
  <c r="V7891" i="5"/>
  <c r="V7892" i="5"/>
  <c r="V7893" i="5"/>
  <c r="V7894" i="5"/>
  <c r="V7895" i="5"/>
  <c r="V7896" i="5"/>
  <c r="V7897" i="5"/>
  <c r="V7898" i="5"/>
  <c r="V7899" i="5"/>
  <c r="V7900" i="5"/>
  <c r="V7901" i="5"/>
  <c r="V7902" i="5"/>
  <c r="V7903" i="5"/>
  <c r="V7904" i="5"/>
  <c r="V7905" i="5"/>
  <c r="V7906" i="5"/>
  <c r="V7907" i="5"/>
  <c r="V7908" i="5"/>
  <c r="V7909" i="5"/>
  <c r="V7910" i="5"/>
  <c r="V7911" i="5"/>
  <c r="V7912" i="5"/>
  <c r="V7913" i="5"/>
  <c r="V7914" i="5"/>
  <c r="V7915" i="5"/>
  <c r="V7916" i="5"/>
  <c r="V7917" i="5"/>
  <c r="V7918" i="5"/>
  <c r="V7919" i="5"/>
  <c r="V7920" i="5"/>
  <c r="V7921" i="5"/>
  <c r="V7922" i="5"/>
  <c r="V7923" i="5"/>
  <c r="V7924" i="5"/>
  <c r="V7925" i="5"/>
  <c r="V7926" i="5"/>
  <c r="V7927" i="5"/>
  <c r="V7928" i="5"/>
  <c r="V7929" i="5"/>
  <c r="V7930" i="5"/>
  <c r="V7931" i="5"/>
  <c r="V7932" i="5"/>
  <c r="V7933" i="5"/>
  <c r="V7934" i="5"/>
  <c r="V7935" i="5"/>
  <c r="V7936" i="5"/>
  <c r="V7937" i="5"/>
  <c r="V7938" i="5"/>
  <c r="V7939" i="5"/>
  <c r="V7940" i="5"/>
  <c r="V7941" i="5"/>
  <c r="V7942" i="5"/>
  <c r="V7943" i="5"/>
  <c r="V7944" i="5"/>
  <c r="V7945" i="5"/>
  <c r="V7946" i="5"/>
  <c r="V7947" i="5"/>
  <c r="V7948" i="5"/>
  <c r="V7949" i="5"/>
  <c r="V7950" i="5"/>
  <c r="V7951" i="5"/>
  <c r="V7952" i="5"/>
  <c r="V7953" i="5"/>
  <c r="V7954" i="5"/>
  <c r="V7955" i="5"/>
  <c r="V7956" i="5"/>
  <c r="V7957" i="5"/>
  <c r="V7958" i="5"/>
  <c r="V7959" i="5"/>
  <c r="V7960" i="5"/>
  <c r="V7961" i="5"/>
  <c r="V7962" i="5"/>
  <c r="V7963" i="5"/>
  <c r="V7964" i="5"/>
  <c r="V7965" i="5"/>
  <c r="V7966" i="5"/>
  <c r="V7967" i="5"/>
  <c r="V7968" i="5"/>
  <c r="V7969" i="5"/>
  <c r="V7970" i="5"/>
  <c r="V7971" i="5"/>
  <c r="V7972" i="5"/>
  <c r="V7973" i="5"/>
  <c r="V7974" i="5"/>
  <c r="V7975" i="5"/>
  <c r="V7976" i="5"/>
  <c r="V7977" i="5"/>
  <c r="V7978" i="5"/>
  <c r="V7979" i="5"/>
  <c r="V7980" i="5"/>
  <c r="V7981" i="5"/>
  <c r="V7982" i="5"/>
  <c r="V7983" i="5"/>
  <c r="V7984" i="5"/>
  <c r="V7985" i="5"/>
  <c r="V7986" i="5"/>
  <c r="V7987" i="5"/>
  <c r="V7988" i="5"/>
  <c r="V7989" i="5"/>
  <c r="V7990" i="5"/>
  <c r="V7991" i="5"/>
  <c r="V7992" i="5"/>
  <c r="V7993" i="5"/>
  <c r="V7994" i="5"/>
  <c r="V7995" i="5"/>
  <c r="V7996" i="5"/>
  <c r="V7997" i="5"/>
  <c r="V7998" i="5"/>
  <c r="V7999" i="5"/>
  <c r="V8000" i="5"/>
  <c r="V8001" i="5"/>
  <c r="V8002" i="5"/>
  <c r="V8003" i="5"/>
  <c r="V8004" i="5"/>
  <c r="V8005" i="5"/>
  <c r="V8006" i="5"/>
  <c r="V8007" i="5"/>
  <c r="V8008" i="5"/>
  <c r="V8009" i="5"/>
  <c r="V8010" i="5"/>
  <c r="V8011" i="5"/>
  <c r="V8012" i="5"/>
  <c r="V8013" i="5"/>
  <c r="V8014" i="5"/>
  <c r="V8015" i="5"/>
  <c r="V8016" i="5"/>
  <c r="V8017" i="5"/>
  <c r="V8018" i="5"/>
  <c r="V8019" i="5"/>
  <c r="V8020" i="5"/>
  <c r="V8021" i="5"/>
  <c r="V8022" i="5"/>
  <c r="V8023" i="5"/>
  <c r="V8024" i="5"/>
  <c r="V8025" i="5"/>
  <c r="V8026" i="5"/>
  <c r="V8027" i="5"/>
  <c r="V8028" i="5"/>
  <c r="V8029" i="5"/>
  <c r="V8030" i="5"/>
  <c r="V8031" i="5"/>
  <c r="V8032" i="5"/>
  <c r="V8033" i="5"/>
  <c r="V8034" i="5"/>
  <c r="V8035" i="5"/>
  <c r="V8036" i="5"/>
  <c r="V8037" i="5"/>
  <c r="V8038" i="5"/>
  <c r="V8039" i="5"/>
  <c r="V8040" i="5"/>
  <c r="V8041" i="5"/>
  <c r="V8042" i="5"/>
  <c r="V8043" i="5"/>
  <c r="V8044" i="5"/>
  <c r="V8045" i="5"/>
  <c r="V8046" i="5"/>
  <c r="V8047" i="5"/>
  <c r="V8048" i="5"/>
  <c r="V8049" i="5"/>
  <c r="V8050" i="5"/>
  <c r="V8051" i="5"/>
  <c r="V8052" i="5"/>
  <c r="V8053" i="5"/>
  <c r="V8054" i="5"/>
  <c r="V8055" i="5"/>
  <c r="V8056" i="5"/>
  <c r="V8057" i="5"/>
  <c r="V8058" i="5"/>
  <c r="V8059" i="5"/>
  <c r="V8060" i="5"/>
  <c r="V8061" i="5"/>
  <c r="V8062" i="5"/>
  <c r="V8063" i="5"/>
  <c r="V8064" i="5"/>
  <c r="V8065" i="5"/>
  <c r="V8066" i="5"/>
  <c r="V8067" i="5"/>
  <c r="V8068" i="5"/>
  <c r="V8069" i="5"/>
  <c r="V8070" i="5"/>
  <c r="V8071" i="5"/>
  <c r="V8072" i="5"/>
  <c r="V8073" i="5"/>
  <c r="V8074" i="5"/>
  <c r="V8075" i="5"/>
  <c r="V8076" i="5"/>
  <c r="V8077" i="5"/>
  <c r="V8078" i="5"/>
  <c r="V8079" i="5"/>
  <c r="V8080" i="5"/>
  <c r="V8081" i="5"/>
  <c r="V8082" i="5"/>
  <c r="V8083" i="5"/>
  <c r="V8084" i="5"/>
  <c r="V8085" i="5"/>
  <c r="V8086" i="5"/>
  <c r="V8087" i="5"/>
  <c r="V8088" i="5"/>
  <c r="V8089" i="5"/>
  <c r="V8090" i="5"/>
  <c r="V8091" i="5"/>
  <c r="V8092" i="5"/>
  <c r="V8093" i="5"/>
  <c r="V8094" i="5"/>
  <c r="V8095" i="5"/>
  <c r="V8096" i="5"/>
  <c r="V8097" i="5"/>
  <c r="V8098" i="5"/>
  <c r="V8099" i="5"/>
  <c r="V8100" i="5"/>
  <c r="V8101" i="5"/>
  <c r="V8102" i="5"/>
  <c r="V8103" i="5"/>
  <c r="V8104" i="5"/>
  <c r="V8105" i="5"/>
  <c r="V8106" i="5"/>
  <c r="V8107" i="5"/>
  <c r="V8108" i="5"/>
  <c r="V8109" i="5"/>
  <c r="V8110" i="5"/>
  <c r="V8111" i="5"/>
  <c r="V8112" i="5"/>
  <c r="V8113" i="5"/>
  <c r="V8114" i="5"/>
  <c r="V8115" i="5"/>
  <c r="V8116" i="5"/>
  <c r="V8117" i="5"/>
  <c r="V8118" i="5"/>
  <c r="V8119" i="5"/>
  <c r="V8120" i="5"/>
  <c r="V8121" i="5"/>
  <c r="V8122" i="5"/>
  <c r="V8123" i="5"/>
  <c r="V8124" i="5"/>
  <c r="V8125" i="5"/>
  <c r="V8126" i="5"/>
  <c r="V8127" i="5"/>
  <c r="V8128" i="5"/>
  <c r="V8129" i="5"/>
  <c r="V8130" i="5"/>
  <c r="V8131" i="5"/>
  <c r="V8132" i="5"/>
  <c r="V8133" i="5"/>
  <c r="V8134" i="5"/>
  <c r="V8135" i="5"/>
  <c r="V8136" i="5"/>
  <c r="V8137" i="5"/>
  <c r="V8138" i="5"/>
  <c r="V8139" i="5"/>
  <c r="V8140" i="5"/>
  <c r="V8141" i="5"/>
  <c r="V8142" i="5"/>
  <c r="V8143" i="5"/>
  <c r="V8144" i="5"/>
  <c r="V8145" i="5"/>
  <c r="V8146" i="5"/>
  <c r="V8147" i="5"/>
  <c r="V8148" i="5"/>
  <c r="V8149" i="5"/>
  <c r="V8150" i="5"/>
  <c r="V8151" i="5"/>
  <c r="V8152" i="5"/>
  <c r="V8153" i="5"/>
  <c r="V8154" i="5"/>
  <c r="V8155" i="5"/>
  <c r="V8156" i="5"/>
  <c r="V8157" i="5"/>
  <c r="V8158" i="5"/>
  <c r="V8159" i="5"/>
  <c r="V8160" i="5"/>
  <c r="V8161" i="5"/>
  <c r="V8162" i="5"/>
  <c r="V8163" i="5"/>
  <c r="V8164" i="5"/>
  <c r="V8165" i="5"/>
  <c r="V8166" i="5"/>
  <c r="V8167" i="5"/>
  <c r="V8168" i="5"/>
  <c r="V8169" i="5"/>
  <c r="V8170" i="5"/>
  <c r="V8171" i="5"/>
  <c r="V8172" i="5"/>
  <c r="V8173" i="5"/>
  <c r="V8174" i="5"/>
  <c r="V8175" i="5"/>
  <c r="V8176" i="5"/>
  <c r="V8177" i="5"/>
  <c r="V8178" i="5"/>
  <c r="V8179" i="5"/>
  <c r="V8180" i="5"/>
  <c r="V8181" i="5"/>
  <c r="V8182" i="5"/>
  <c r="V8183" i="5"/>
  <c r="V8184" i="5"/>
  <c r="V8185" i="5"/>
  <c r="V8186" i="5"/>
  <c r="V8187" i="5"/>
  <c r="V8188" i="5"/>
  <c r="V8189" i="5"/>
  <c r="V8190" i="5"/>
  <c r="V8191" i="5"/>
  <c r="V8192" i="5"/>
  <c r="V8193" i="5"/>
  <c r="V8194" i="5"/>
  <c r="V8195" i="5"/>
  <c r="V8196" i="5"/>
  <c r="V8197" i="5"/>
  <c r="V8198" i="5"/>
  <c r="V8199" i="5"/>
  <c r="V8200" i="5"/>
  <c r="V8201" i="5"/>
  <c r="V8202" i="5"/>
  <c r="V8203" i="5"/>
  <c r="V8204" i="5"/>
  <c r="V8205" i="5"/>
  <c r="V8206" i="5"/>
  <c r="V8207" i="5"/>
  <c r="V8208" i="5"/>
  <c r="V8209" i="5"/>
  <c r="V8210" i="5"/>
  <c r="V8211" i="5"/>
  <c r="V8212" i="5"/>
  <c r="V8213" i="5"/>
  <c r="V8214" i="5"/>
  <c r="V8215" i="5"/>
  <c r="V8216" i="5"/>
  <c r="V8217" i="5"/>
  <c r="V8218" i="5"/>
  <c r="V8219" i="5"/>
  <c r="V8220" i="5"/>
  <c r="V8221" i="5"/>
  <c r="V8222" i="5"/>
  <c r="V8223" i="5"/>
  <c r="V8224" i="5"/>
  <c r="V8225" i="5"/>
  <c r="V8226" i="5"/>
  <c r="V8227" i="5"/>
  <c r="V8228" i="5"/>
  <c r="V8229" i="5"/>
  <c r="V8230" i="5"/>
  <c r="V8231" i="5"/>
  <c r="V8232" i="5"/>
  <c r="V8233" i="5"/>
  <c r="V8234" i="5"/>
  <c r="V8235" i="5"/>
  <c r="V8236" i="5"/>
  <c r="V8238" i="5"/>
  <c r="V8239" i="5"/>
  <c r="V8240" i="5"/>
  <c r="V8241" i="5"/>
  <c r="V8242" i="5"/>
  <c r="V8243" i="5"/>
  <c r="V8244" i="5"/>
  <c r="V8245" i="5"/>
  <c r="V8246" i="5"/>
  <c r="V8247" i="5"/>
  <c r="V8248" i="5"/>
  <c r="V8249" i="5"/>
  <c r="V8250" i="5"/>
  <c r="V8251" i="5"/>
  <c r="V8252" i="5"/>
  <c r="V8253" i="5"/>
  <c r="V8254" i="5"/>
  <c r="V8255" i="5"/>
  <c r="V8256" i="5"/>
  <c r="V8257" i="5"/>
  <c r="V8258" i="5"/>
  <c r="V8259" i="5"/>
  <c r="V8260" i="5"/>
  <c r="V8261" i="5"/>
  <c r="V8262" i="5"/>
  <c r="V8263" i="5"/>
  <c r="V8264" i="5"/>
  <c r="V8265" i="5"/>
  <c r="V8266" i="5"/>
  <c r="V8267" i="5"/>
  <c r="V8268" i="5"/>
  <c r="V8269" i="5"/>
  <c r="V8270" i="5"/>
  <c r="V8271" i="5"/>
  <c r="V8272" i="5"/>
  <c r="V8273" i="5"/>
  <c r="V8274" i="5"/>
  <c r="V8275" i="5"/>
  <c r="V8276" i="5"/>
  <c r="V8277" i="5"/>
  <c r="V8278" i="5"/>
  <c r="V8279" i="5"/>
  <c r="V8280" i="5"/>
  <c r="V8281" i="5"/>
  <c r="V8282" i="5"/>
  <c r="V8283" i="5"/>
  <c r="V8284" i="5"/>
  <c r="V8285" i="5"/>
  <c r="V8286" i="5"/>
  <c r="V8287" i="5"/>
  <c r="V8288" i="5"/>
  <c r="V8289" i="5"/>
  <c r="V8290" i="5"/>
  <c r="V8291" i="5"/>
  <c r="V8292" i="5"/>
  <c r="V8293" i="5"/>
  <c r="V8294" i="5"/>
  <c r="V8295" i="5"/>
  <c r="V8296" i="5"/>
  <c r="V8297" i="5"/>
  <c r="V8298" i="5"/>
  <c r="V8299" i="5"/>
  <c r="V8300" i="5"/>
  <c r="V8301" i="5"/>
  <c r="V8302" i="5"/>
  <c r="V8303" i="5"/>
  <c r="V8304" i="5"/>
  <c r="V8305" i="5"/>
  <c r="V8306" i="5"/>
  <c r="V8307" i="5"/>
  <c r="V8308" i="5"/>
  <c r="V8309" i="5"/>
  <c r="V8310" i="5"/>
  <c r="V8311" i="5"/>
  <c r="V8312" i="5"/>
  <c r="V8313" i="5"/>
  <c r="V8314" i="5"/>
  <c r="V8315" i="5"/>
  <c r="V8316" i="5"/>
  <c r="V8317" i="5"/>
  <c r="V8318" i="5"/>
  <c r="V8319" i="5"/>
  <c r="V8320" i="5"/>
  <c r="V8321" i="5"/>
  <c r="V8322" i="5"/>
  <c r="V8323" i="5"/>
  <c r="V8324" i="5"/>
  <c r="V8325" i="5"/>
  <c r="V8326" i="5"/>
  <c r="V8327" i="5"/>
  <c r="V8328" i="5"/>
  <c r="V8329" i="5"/>
  <c r="V8330" i="5"/>
  <c r="V8331" i="5"/>
  <c r="V8332" i="5"/>
  <c r="V8333" i="5"/>
  <c r="V8334" i="5"/>
  <c r="V8335" i="5"/>
  <c r="V8336" i="5"/>
  <c r="V8337" i="5"/>
  <c r="V8338" i="5"/>
  <c r="V8339" i="5"/>
  <c r="V8340" i="5"/>
  <c r="V8341" i="5"/>
  <c r="V8342" i="5"/>
  <c r="V8343" i="5"/>
  <c r="V8344" i="5"/>
  <c r="V8345" i="5"/>
  <c r="V8346" i="5"/>
  <c r="V8347" i="5"/>
  <c r="V8348" i="5"/>
  <c r="V8349" i="5"/>
  <c r="V8350" i="5"/>
  <c r="V8351" i="5"/>
  <c r="V8352" i="5"/>
  <c r="V8353" i="5"/>
  <c r="V8354" i="5"/>
  <c r="V8355" i="5"/>
  <c r="V8356" i="5"/>
  <c r="V8357" i="5"/>
  <c r="V8358" i="5"/>
  <c r="V8359" i="5"/>
  <c r="V8360" i="5"/>
  <c r="V8361" i="5"/>
  <c r="V8362" i="5"/>
  <c r="V8363" i="5"/>
  <c r="V8364" i="5"/>
  <c r="V8365" i="5"/>
  <c r="V8366" i="5"/>
  <c r="V8367" i="5"/>
  <c r="V8368" i="5"/>
  <c r="V8369" i="5"/>
  <c r="V8370" i="5"/>
  <c r="V8371" i="5"/>
  <c r="V8372" i="5"/>
  <c r="V8373" i="5"/>
  <c r="V8374" i="5"/>
  <c r="V8375" i="5"/>
  <c r="V8376" i="5"/>
  <c r="V8377" i="5"/>
  <c r="V8378" i="5"/>
  <c r="V8379" i="5"/>
  <c r="V8380" i="5"/>
  <c r="V8381" i="5"/>
  <c r="V8382" i="5"/>
  <c r="V8383" i="5"/>
  <c r="V8384" i="5"/>
  <c r="V8385" i="5"/>
  <c r="V8386" i="5"/>
  <c r="V8387" i="5"/>
  <c r="V8388" i="5"/>
  <c r="V8389" i="5"/>
  <c r="V8390" i="5"/>
  <c r="V8391" i="5"/>
  <c r="V8392" i="5"/>
  <c r="V8393" i="5"/>
  <c r="V8394" i="5"/>
  <c r="V8395" i="5"/>
  <c r="V8396" i="5"/>
  <c r="V8397" i="5"/>
  <c r="V8398" i="5"/>
  <c r="V8399" i="5"/>
  <c r="V8400" i="5"/>
  <c r="V8401" i="5"/>
  <c r="V8402" i="5"/>
  <c r="V8403" i="5"/>
  <c r="V8404" i="5"/>
  <c r="V8405" i="5"/>
  <c r="V8406" i="5"/>
  <c r="V8407" i="5"/>
  <c r="V8408" i="5"/>
  <c r="V8409" i="5"/>
  <c r="V8410" i="5"/>
  <c r="V8411" i="5"/>
  <c r="V8412" i="5"/>
  <c r="V8413" i="5"/>
  <c r="V8414" i="5"/>
  <c r="V8415" i="5"/>
  <c r="V8416" i="5"/>
  <c r="V8417" i="5"/>
  <c r="V8418" i="5"/>
  <c r="V8419" i="5"/>
  <c r="V8420" i="5"/>
  <c r="V8421" i="5"/>
  <c r="V8422" i="5"/>
  <c r="V8423" i="5"/>
  <c r="V8424" i="5"/>
  <c r="V8425" i="5"/>
  <c r="V8426" i="5"/>
  <c r="V8427" i="5"/>
  <c r="V8428" i="5"/>
  <c r="V8429" i="5"/>
  <c r="V8430" i="5"/>
  <c r="V8431" i="5"/>
  <c r="V8432" i="5"/>
  <c r="V8433" i="5"/>
  <c r="V8434" i="5"/>
  <c r="V8435" i="5"/>
  <c r="V8436" i="5"/>
  <c r="V8437" i="5"/>
  <c r="V8438" i="5"/>
  <c r="V8439" i="5"/>
  <c r="V8440" i="5"/>
  <c r="V8441" i="5"/>
  <c r="V8442" i="5"/>
  <c r="V8443" i="5"/>
  <c r="V8444" i="5"/>
  <c r="V8445" i="5"/>
  <c r="V8446" i="5"/>
  <c r="V8447" i="5"/>
  <c r="V8448" i="5"/>
  <c r="V8449" i="5"/>
  <c r="V8450" i="5"/>
  <c r="V8451" i="5"/>
  <c r="V8452" i="5"/>
  <c r="V8453" i="5"/>
  <c r="V8454" i="5"/>
  <c r="V8455" i="5"/>
  <c r="V8456" i="5"/>
  <c r="V8457" i="5"/>
  <c r="V8458" i="5"/>
  <c r="V8459" i="5"/>
  <c r="V8460" i="5"/>
  <c r="V8461" i="5"/>
  <c r="V8462" i="5"/>
  <c r="V8463" i="5"/>
  <c r="V8464" i="5"/>
  <c r="V8465" i="5"/>
  <c r="V8466" i="5"/>
  <c r="V8467" i="5"/>
  <c r="V8468" i="5"/>
  <c r="V8469" i="5"/>
  <c r="V8470" i="5"/>
  <c r="V8471" i="5"/>
  <c r="V8472" i="5"/>
  <c r="V8473" i="5"/>
  <c r="V8474" i="5"/>
  <c r="V8475" i="5"/>
  <c r="V8476" i="5"/>
  <c r="V8477" i="5"/>
  <c r="V8478" i="5"/>
  <c r="V8479" i="5"/>
  <c r="V8480" i="5"/>
  <c r="V8481" i="5"/>
  <c r="V8482" i="5"/>
  <c r="V8483" i="5"/>
  <c r="V8484" i="5"/>
  <c r="V8485" i="5"/>
  <c r="V8486" i="5"/>
  <c r="V8487" i="5"/>
  <c r="V8488" i="5"/>
  <c r="V8489" i="5"/>
  <c r="V8490" i="5"/>
  <c r="V8491" i="5"/>
  <c r="V8492" i="5"/>
  <c r="V8493" i="5"/>
  <c r="V8494" i="5"/>
  <c r="V8495" i="5"/>
  <c r="V8496" i="5"/>
  <c r="V8497" i="5"/>
  <c r="V8498" i="5"/>
  <c r="V8499" i="5"/>
  <c r="V8500" i="5"/>
  <c r="V8501" i="5"/>
  <c r="V8502" i="5"/>
  <c r="V8503" i="5"/>
  <c r="V8504" i="5"/>
  <c r="V8505" i="5"/>
  <c r="V8506" i="5"/>
  <c r="V8507" i="5"/>
  <c r="V8508" i="5"/>
  <c r="V8509" i="5"/>
  <c r="V8510" i="5"/>
  <c r="V8511" i="5"/>
  <c r="V8512" i="5"/>
  <c r="V8513" i="5"/>
  <c r="V8514" i="5"/>
  <c r="V8515" i="5"/>
  <c r="V8516" i="5"/>
  <c r="V8517" i="5"/>
  <c r="V8518" i="5"/>
  <c r="V8519" i="5"/>
  <c r="V8520" i="5"/>
  <c r="V8521" i="5"/>
  <c r="V8522" i="5"/>
  <c r="V8523" i="5"/>
  <c r="V8524" i="5"/>
  <c r="V8525" i="5"/>
  <c r="V8526" i="5"/>
  <c r="V8527" i="5"/>
  <c r="V8528" i="5"/>
  <c r="V8529" i="5"/>
  <c r="V8530" i="5"/>
  <c r="V8531" i="5"/>
  <c r="V8532" i="5"/>
  <c r="V8533" i="5"/>
  <c r="V8534" i="5"/>
  <c r="V8535" i="5"/>
  <c r="V8536" i="5"/>
  <c r="V8537" i="5"/>
  <c r="V8538" i="5"/>
  <c r="V8539" i="5"/>
  <c r="V8540" i="5"/>
  <c r="V8541" i="5"/>
  <c r="V8542" i="5"/>
  <c r="V8543" i="5"/>
  <c r="V8544" i="5"/>
  <c r="V8545" i="5"/>
  <c r="V8546" i="5"/>
  <c r="V8547" i="5"/>
  <c r="V8548" i="5"/>
  <c r="V8549" i="5"/>
  <c r="V8550" i="5"/>
  <c r="V8551" i="5"/>
  <c r="V8552" i="5"/>
  <c r="V8553" i="5"/>
  <c r="V8554" i="5"/>
  <c r="V8555" i="5"/>
  <c r="V8556" i="5"/>
  <c r="V8557" i="5"/>
  <c r="V8558" i="5"/>
  <c r="V8559" i="5"/>
  <c r="V8560" i="5"/>
  <c r="V8561" i="5"/>
  <c r="V8562" i="5"/>
  <c r="V8563" i="5"/>
  <c r="V8564" i="5"/>
  <c r="V8565" i="5"/>
  <c r="V8566" i="5"/>
  <c r="V8567" i="5"/>
  <c r="V8568" i="5"/>
  <c r="V8569" i="5"/>
  <c r="V8570" i="5"/>
  <c r="V8571" i="5"/>
  <c r="V8572" i="5"/>
  <c r="V8573" i="5"/>
  <c r="V8574" i="5"/>
  <c r="V8575" i="5"/>
  <c r="V8576" i="5"/>
  <c r="V8577" i="5"/>
  <c r="V8578" i="5"/>
  <c r="V8579" i="5"/>
  <c r="V8580" i="5"/>
  <c r="V8581" i="5"/>
  <c r="V8582" i="5"/>
  <c r="V8583" i="5"/>
  <c r="V8584" i="5"/>
  <c r="V8585" i="5"/>
  <c r="V8586" i="5"/>
  <c r="V8587" i="5"/>
  <c r="V8588" i="5"/>
  <c r="V8589" i="5"/>
  <c r="V8590" i="5"/>
  <c r="V8591" i="5"/>
  <c r="V8592" i="5"/>
  <c r="V8593" i="5"/>
  <c r="V8594" i="5"/>
  <c r="V8595" i="5"/>
  <c r="V8596" i="5"/>
  <c r="V8597" i="5"/>
  <c r="V8598" i="5"/>
  <c r="V8599" i="5"/>
  <c r="V8600" i="5"/>
  <c r="V8601" i="5"/>
  <c r="V8602" i="5"/>
  <c r="V8603" i="5"/>
  <c r="V8604" i="5"/>
  <c r="V8605" i="5"/>
  <c r="V8606" i="5"/>
  <c r="V8607" i="5"/>
  <c r="V8608" i="5"/>
  <c r="V8609" i="5"/>
  <c r="V8610" i="5"/>
  <c r="V8611" i="5"/>
  <c r="V8612" i="5"/>
  <c r="V8613" i="5"/>
  <c r="V8614" i="5"/>
  <c r="V8615" i="5"/>
  <c r="V8616" i="5"/>
  <c r="V8617" i="5"/>
  <c r="V8618" i="5"/>
  <c r="V8619" i="5"/>
  <c r="V8620" i="5"/>
  <c r="V8621" i="5"/>
  <c r="V8622" i="5"/>
  <c r="V8623" i="5"/>
  <c r="V8624" i="5"/>
  <c r="V8625" i="5"/>
  <c r="V8626" i="5"/>
  <c r="V8627" i="5"/>
  <c r="V8628" i="5"/>
  <c r="V8629" i="5"/>
  <c r="V8630" i="5"/>
  <c r="V8631" i="5"/>
  <c r="V8632" i="5"/>
  <c r="V8633" i="5"/>
  <c r="V8634" i="5"/>
  <c r="V8635" i="5"/>
  <c r="V8636" i="5"/>
  <c r="V8637" i="5"/>
  <c r="V8638" i="5"/>
  <c r="V8639" i="5"/>
  <c r="V8640" i="5"/>
  <c r="V8641" i="5"/>
  <c r="V8642" i="5"/>
  <c r="V8643" i="5"/>
  <c r="V8644" i="5"/>
  <c r="V8645" i="5"/>
  <c r="V8646" i="5"/>
  <c r="V8647" i="5"/>
  <c r="V8648" i="5"/>
  <c r="V8649" i="5"/>
  <c r="V8650" i="5"/>
  <c r="V8651" i="5"/>
  <c r="V8652" i="5"/>
  <c r="V8653" i="5"/>
  <c r="V8654" i="5"/>
  <c r="V8655" i="5"/>
  <c r="V8656" i="5"/>
  <c r="V8657" i="5"/>
  <c r="V8658" i="5"/>
  <c r="V8659" i="5"/>
  <c r="V8660" i="5"/>
  <c r="V8661" i="5"/>
  <c r="V8662" i="5"/>
  <c r="V8663" i="5"/>
  <c r="V8664" i="5"/>
  <c r="V8665" i="5"/>
  <c r="V8666" i="5"/>
  <c r="V8667" i="5"/>
  <c r="V8668" i="5"/>
  <c r="V8669" i="5"/>
  <c r="V8670" i="5"/>
  <c r="V8671" i="5"/>
  <c r="V8672" i="5"/>
  <c r="V8673" i="5"/>
  <c r="V8674" i="5"/>
  <c r="V8675" i="5"/>
  <c r="V8676" i="5"/>
  <c r="V8677" i="5"/>
  <c r="V8678" i="5"/>
  <c r="V8679" i="5"/>
  <c r="V8680" i="5"/>
  <c r="V8681" i="5"/>
  <c r="V8682" i="5"/>
  <c r="V8683" i="5"/>
  <c r="V8684" i="5"/>
  <c r="V8685" i="5"/>
  <c r="V8686" i="5"/>
  <c r="V8687" i="5"/>
  <c r="V8688" i="5"/>
  <c r="V8689" i="5"/>
  <c r="V8690" i="5"/>
  <c r="V8691" i="5"/>
  <c r="V8692" i="5"/>
  <c r="V8693" i="5"/>
  <c r="V8694" i="5"/>
  <c r="V8695" i="5"/>
  <c r="V8696" i="5"/>
  <c r="V8697" i="5"/>
  <c r="V8698" i="5"/>
  <c r="V8699" i="5"/>
  <c r="V8700" i="5"/>
  <c r="V8701" i="5"/>
  <c r="V8702" i="5"/>
  <c r="V8703" i="5"/>
  <c r="V8704" i="5"/>
  <c r="V8705" i="5"/>
  <c r="V8706" i="5"/>
  <c r="V8707" i="5"/>
  <c r="V8708" i="5"/>
  <c r="V8709" i="5"/>
  <c r="V8710" i="5"/>
  <c r="V8711" i="5"/>
  <c r="V8712" i="5"/>
  <c r="V8713" i="5"/>
  <c r="V8714" i="5"/>
  <c r="V8715" i="5"/>
  <c r="V8716" i="5"/>
  <c r="V8717" i="5"/>
  <c r="V8718" i="5"/>
  <c r="V8719" i="5"/>
  <c r="V8720" i="5"/>
  <c r="V8721" i="5"/>
  <c r="V8722" i="5"/>
  <c r="V8723" i="5"/>
  <c r="V8724" i="5"/>
  <c r="V8725" i="5"/>
  <c r="V8726" i="5"/>
  <c r="V8727" i="5"/>
  <c r="V8728" i="5"/>
  <c r="V8729" i="5"/>
  <c r="V8730" i="5"/>
  <c r="V8731" i="5"/>
  <c r="V8732" i="5"/>
  <c r="V8733" i="5"/>
  <c r="V8734" i="5"/>
  <c r="V8735" i="5"/>
  <c r="V8736" i="5"/>
  <c r="V8737" i="5"/>
  <c r="V8738" i="5"/>
  <c r="V8739" i="5"/>
  <c r="V8740" i="5"/>
  <c r="V8741" i="5"/>
  <c r="V8742" i="5"/>
  <c r="V8743" i="5"/>
  <c r="V8744" i="5"/>
  <c r="V8745" i="5"/>
  <c r="V8746" i="5"/>
  <c r="V8747" i="5"/>
  <c r="V8748" i="5"/>
  <c r="V8749" i="5"/>
  <c r="V8750" i="5"/>
  <c r="V8751" i="5"/>
  <c r="V8752" i="5"/>
  <c r="V8753" i="5"/>
  <c r="V8754" i="5"/>
  <c r="V8755" i="5"/>
  <c r="V8756" i="5"/>
  <c r="V8757" i="5"/>
  <c r="V8758" i="5"/>
  <c r="V8759" i="5"/>
  <c r="V8760" i="5"/>
  <c r="V8761" i="5"/>
  <c r="V8762" i="5"/>
  <c r="V8763" i="5"/>
  <c r="V8764" i="5"/>
  <c r="V8765" i="5"/>
  <c r="V8766" i="5"/>
  <c r="V8767" i="5"/>
  <c r="V8768" i="5"/>
  <c r="V8769" i="5"/>
  <c r="V8770" i="5"/>
  <c r="V8771" i="5"/>
  <c r="V8772" i="5"/>
  <c r="V8773" i="5"/>
  <c r="V8774" i="5"/>
  <c r="V8775" i="5"/>
  <c r="V8776" i="5"/>
  <c r="V8777" i="5"/>
  <c r="V8778" i="5"/>
  <c r="V8779" i="5"/>
  <c r="V8780" i="5"/>
  <c r="V8781" i="5"/>
  <c r="V8782" i="5"/>
  <c r="V8783" i="5"/>
  <c r="V8784" i="5"/>
  <c r="V8785" i="5"/>
  <c r="V8786" i="5"/>
  <c r="V8787" i="5"/>
  <c r="V8788" i="5"/>
  <c r="V8789" i="5"/>
  <c r="V8790" i="5"/>
  <c r="V8791" i="5"/>
  <c r="V8792" i="5"/>
  <c r="V8793" i="5"/>
  <c r="V8794" i="5"/>
  <c r="V8795" i="5"/>
  <c r="V8796" i="5"/>
  <c r="V8797" i="5"/>
  <c r="V8798" i="5"/>
  <c r="V8799" i="5"/>
  <c r="V8800" i="5"/>
  <c r="V8801" i="5"/>
  <c r="V8802" i="5"/>
  <c r="V8803" i="5"/>
  <c r="V8804" i="5"/>
  <c r="V8805" i="5"/>
  <c r="V8806" i="5"/>
  <c r="V8807" i="5"/>
  <c r="V8808" i="5"/>
  <c r="V8809" i="5"/>
  <c r="V8810" i="5"/>
  <c r="V8811" i="5"/>
  <c r="V8812" i="5"/>
  <c r="V8813" i="5"/>
  <c r="V8814" i="5"/>
  <c r="V8815" i="5"/>
  <c r="V8816" i="5"/>
  <c r="V8817" i="5"/>
  <c r="V8818" i="5"/>
  <c r="V8819" i="5"/>
  <c r="V8820" i="5"/>
  <c r="V8821" i="5"/>
  <c r="V8822" i="5"/>
  <c r="V8823" i="5"/>
  <c r="V8824" i="5"/>
  <c r="V8825" i="5"/>
  <c r="V8826" i="5"/>
  <c r="V8827" i="5"/>
  <c r="V8828" i="5"/>
  <c r="V8829" i="5"/>
  <c r="V8830" i="5"/>
  <c r="V8831" i="5"/>
  <c r="V8832" i="5"/>
  <c r="V8833" i="5"/>
  <c r="V8834" i="5"/>
  <c r="V8835" i="5"/>
  <c r="V8836" i="5"/>
  <c r="V8837" i="5"/>
  <c r="V8838" i="5"/>
  <c r="V8839" i="5"/>
  <c r="V8840" i="5"/>
  <c r="V8841" i="5"/>
  <c r="V8842" i="5"/>
  <c r="V8843" i="5"/>
  <c r="V8844" i="5"/>
  <c r="V8845" i="5"/>
  <c r="V8846" i="5"/>
  <c r="V8847" i="5"/>
  <c r="V8848" i="5"/>
  <c r="V8849" i="5"/>
  <c r="V8850" i="5"/>
  <c r="V8851" i="5"/>
  <c r="V8852" i="5"/>
  <c r="V8853" i="5"/>
  <c r="V8854" i="5"/>
  <c r="V8855" i="5"/>
  <c r="V8856" i="5"/>
  <c r="V8857" i="5"/>
  <c r="V8858" i="5"/>
  <c r="V8859" i="5"/>
  <c r="V8860" i="5"/>
  <c r="V8861" i="5"/>
  <c r="V8862" i="5"/>
  <c r="V8863" i="5"/>
  <c r="V8864" i="5"/>
  <c r="V8865" i="5"/>
  <c r="V8866" i="5"/>
  <c r="V8867" i="5"/>
  <c r="V8868" i="5"/>
  <c r="V8869" i="5"/>
  <c r="V8870" i="5"/>
  <c r="V8871" i="5"/>
  <c r="V8872" i="5"/>
  <c r="V8873" i="5"/>
  <c r="V8874" i="5"/>
  <c r="V8875" i="5"/>
  <c r="V8876" i="5"/>
  <c r="V8877" i="5"/>
  <c r="V8878" i="5"/>
  <c r="V8879" i="5"/>
  <c r="V8880" i="5"/>
  <c r="V8881" i="5"/>
  <c r="V8882" i="5"/>
  <c r="V8883" i="5"/>
  <c r="V8884" i="5"/>
  <c r="V8885" i="5"/>
  <c r="V8886" i="5"/>
  <c r="V8887" i="5"/>
  <c r="V8888" i="5"/>
  <c r="V8889" i="5"/>
  <c r="V8890" i="5"/>
  <c r="V8891" i="5"/>
  <c r="V8892" i="5"/>
  <c r="V8893" i="5"/>
  <c r="V8894" i="5"/>
  <c r="V8895" i="5"/>
  <c r="V8896" i="5"/>
  <c r="V8897" i="5"/>
  <c r="V8898" i="5"/>
  <c r="V8899" i="5"/>
  <c r="V8900" i="5"/>
  <c r="V8901" i="5"/>
  <c r="V8902" i="5"/>
  <c r="V8903" i="5"/>
  <c r="V8904" i="5"/>
  <c r="V8905" i="5"/>
  <c r="V8906" i="5"/>
  <c r="V8907" i="5"/>
  <c r="V8908" i="5"/>
  <c r="V8909" i="5"/>
  <c r="V8910" i="5"/>
  <c r="V8911" i="5"/>
  <c r="V8912" i="5"/>
  <c r="V8913" i="5"/>
  <c r="V8914" i="5"/>
  <c r="V8915" i="5"/>
  <c r="V8916" i="5"/>
  <c r="V8917" i="5"/>
  <c r="V8918" i="5"/>
  <c r="V8919" i="5"/>
  <c r="V8920" i="5"/>
  <c r="V8921" i="5"/>
  <c r="V8922" i="5"/>
  <c r="V8923" i="5"/>
  <c r="V8924" i="5"/>
  <c r="V8925" i="5"/>
  <c r="V8926" i="5"/>
  <c r="V8927" i="5"/>
  <c r="V8928" i="5"/>
  <c r="V8929" i="5"/>
  <c r="V8930" i="5"/>
  <c r="V8931" i="5"/>
  <c r="V8932" i="5"/>
  <c r="V8933" i="5"/>
  <c r="V8934" i="5"/>
  <c r="V8935" i="5"/>
  <c r="V8936" i="5"/>
  <c r="V8937" i="5"/>
  <c r="V8938" i="5"/>
  <c r="V8939" i="5"/>
  <c r="V8940" i="5"/>
  <c r="V8941" i="5"/>
  <c r="V8942" i="5"/>
  <c r="V8943" i="5"/>
  <c r="V8944" i="5"/>
  <c r="V8945" i="5"/>
  <c r="V8946" i="5"/>
  <c r="V8947" i="5"/>
  <c r="V8948" i="5"/>
  <c r="V8949" i="5"/>
  <c r="V8950" i="5"/>
  <c r="V8951" i="5"/>
  <c r="V8952" i="5"/>
  <c r="V8953" i="5"/>
  <c r="V8954" i="5"/>
  <c r="V8955" i="5"/>
  <c r="V8956" i="5"/>
  <c r="V8957" i="5"/>
  <c r="V8958" i="5"/>
  <c r="V8959" i="5"/>
  <c r="V8960" i="5"/>
  <c r="V8961" i="5"/>
  <c r="V8962" i="5"/>
  <c r="V8963" i="5"/>
  <c r="V8964" i="5"/>
  <c r="V8965" i="5"/>
  <c r="V8966" i="5"/>
  <c r="V8967" i="5"/>
  <c r="V8968" i="5"/>
  <c r="V8969" i="5"/>
  <c r="V8970" i="5"/>
  <c r="V8971" i="5"/>
  <c r="V8972" i="5"/>
  <c r="V8973" i="5"/>
  <c r="V8974" i="5"/>
  <c r="V8975" i="5"/>
  <c r="V8976" i="5"/>
  <c r="V8977" i="5"/>
  <c r="V8978" i="5"/>
  <c r="V8979" i="5"/>
  <c r="V8980" i="5"/>
  <c r="V8981" i="5"/>
  <c r="V8982" i="5"/>
  <c r="V8983" i="5"/>
  <c r="V8984" i="5"/>
  <c r="V8985" i="5"/>
  <c r="V8986" i="5"/>
  <c r="V8987" i="5"/>
  <c r="V8988" i="5"/>
  <c r="V8989" i="5"/>
  <c r="V8990" i="5"/>
  <c r="V8991" i="5"/>
  <c r="V8992" i="5"/>
  <c r="V8993" i="5"/>
  <c r="V8994" i="5"/>
  <c r="V8995" i="5"/>
  <c r="V8996" i="5"/>
  <c r="V8997" i="5"/>
  <c r="V8998" i="5"/>
  <c r="V8999" i="5"/>
  <c r="V9000" i="5"/>
  <c r="V9001" i="5"/>
  <c r="V9002" i="5"/>
  <c r="V9003" i="5"/>
  <c r="V9004" i="5"/>
  <c r="V9005" i="5"/>
  <c r="V9006" i="5"/>
  <c r="V9007" i="5"/>
  <c r="V9008" i="5"/>
  <c r="V9009" i="5"/>
  <c r="V9010" i="5"/>
  <c r="V9011" i="5"/>
  <c r="V9012" i="5"/>
  <c r="V9013" i="5"/>
  <c r="V9014" i="5"/>
  <c r="V9015" i="5"/>
  <c r="V9016" i="5"/>
  <c r="V9017" i="5"/>
  <c r="V9018" i="5"/>
  <c r="V9019" i="5"/>
  <c r="V9020" i="5"/>
  <c r="V9021" i="5"/>
  <c r="V9022" i="5"/>
  <c r="V9023" i="5"/>
  <c r="V9024" i="5"/>
  <c r="V9025" i="5"/>
  <c r="V9026" i="5"/>
  <c r="V9027" i="5"/>
  <c r="V9028" i="5"/>
  <c r="V9029" i="5"/>
  <c r="V9030" i="5"/>
  <c r="V9031" i="5"/>
  <c r="V9032" i="5"/>
  <c r="V9033" i="5"/>
  <c r="V9034" i="5"/>
  <c r="V9035" i="5"/>
  <c r="V9036" i="5"/>
  <c r="V9037" i="5"/>
  <c r="V9038" i="5"/>
  <c r="V9039" i="5"/>
  <c r="V9040" i="5"/>
  <c r="V9041" i="5"/>
  <c r="V9042" i="5"/>
  <c r="V9043" i="5"/>
  <c r="V9044" i="5"/>
  <c r="V9045" i="5"/>
  <c r="V9046" i="5"/>
  <c r="V9047" i="5"/>
  <c r="V9048" i="5"/>
  <c r="V9049" i="5"/>
  <c r="V9050" i="5"/>
  <c r="V9051" i="5"/>
  <c r="V9052" i="5"/>
  <c r="V9053" i="5"/>
  <c r="V9054" i="5"/>
  <c r="V9055" i="5"/>
  <c r="V9056" i="5"/>
  <c r="V9057" i="5"/>
  <c r="V9058" i="5"/>
  <c r="V9059" i="5"/>
  <c r="V9060" i="5"/>
  <c r="V9061" i="5"/>
  <c r="V9062" i="5"/>
  <c r="V9063" i="5"/>
  <c r="V9064" i="5"/>
  <c r="V9065" i="5"/>
  <c r="V9066" i="5"/>
  <c r="V9067" i="5"/>
  <c r="V9068" i="5"/>
  <c r="V9069" i="5"/>
  <c r="V9070" i="5"/>
  <c r="V9071" i="5"/>
  <c r="V9072" i="5"/>
  <c r="V9073" i="5"/>
  <c r="V9074" i="5"/>
  <c r="V9075" i="5"/>
  <c r="V9076" i="5"/>
  <c r="V9077" i="5"/>
  <c r="V9078" i="5"/>
  <c r="V9079" i="5"/>
  <c r="V9080" i="5"/>
  <c r="V9081" i="5"/>
  <c r="V9082" i="5"/>
  <c r="V9083" i="5"/>
  <c r="V9084" i="5"/>
  <c r="V9085" i="5"/>
  <c r="V9086" i="5"/>
  <c r="V9087" i="5"/>
  <c r="V9088" i="5"/>
  <c r="V9089" i="5"/>
  <c r="V9090" i="5"/>
  <c r="V9091" i="5"/>
  <c r="V9092" i="5"/>
  <c r="V9093" i="5"/>
  <c r="V9094" i="5"/>
  <c r="V9095" i="5"/>
  <c r="V9096" i="5"/>
  <c r="V9097" i="5"/>
  <c r="V9098" i="5"/>
  <c r="V9099" i="5"/>
  <c r="V9100" i="5"/>
  <c r="V9101" i="5"/>
  <c r="V9102" i="5"/>
  <c r="V9103" i="5"/>
  <c r="V9104" i="5"/>
  <c r="V9105" i="5"/>
  <c r="V9106" i="5"/>
  <c r="V9107" i="5"/>
  <c r="V9108" i="5"/>
  <c r="V9109" i="5"/>
  <c r="V9110" i="5"/>
  <c r="V9111" i="5"/>
  <c r="V9112" i="5"/>
  <c r="V9113" i="5"/>
  <c r="V9114" i="5"/>
  <c r="V9115" i="5"/>
  <c r="V9116" i="5"/>
  <c r="V9117" i="5"/>
  <c r="V9118" i="5"/>
  <c r="V9119" i="5"/>
  <c r="V9120" i="5"/>
  <c r="V9121" i="5"/>
  <c r="V9122" i="5"/>
  <c r="V9123" i="5"/>
  <c r="V9124" i="5"/>
  <c r="V9125" i="5"/>
  <c r="V9126" i="5"/>
  <c r="V9127" i="5"/>
  <c r="V9128" i="5"/>
  <c r="V9129" i="5"/>
  <c r="V9130" i="5"/>
  <c r="V9131" i="5"/>
  <c r="V9132" i="5"/>
  <c r="V9133" i="5"/>
  <c r="V9134" i="5"/>
  <c r="V9135" i="5"/>
  <c r="V9136" i="5"/>
  <c r="V9137" i="5"/>
  <c r="V9138" i="5"/>
  <c r="V9139" i="5"/>
  <c r="V9140" i="5"/>
  <c r="V9141" i="5"/>
  <c r="V9142" i="5"/>
  <c r="V9143" i="5"/>
  <c r="V9144" i="5"/>
  <c r="V9145" i="5"/>
  <c r="V9146" i="5"/>
  <c r="V9147" i="5"/>
  <c r="V9148" i="5"/>
  <c r="V9149" i="5"/>
  <c r="V9150" i="5"/>
  <c r="V9151" i="5"/>
  <c r="V9152" i="5"/>
  <c r="V9153" i="5"/>
  <c r="V9154" i="5"/>
  <c r="V9155" i="5"/>
  <c r="V9156" i="5"/>
  <c r="V9157" i="5"/>
  <c r="V9158" i="5"/>
  <c r="V9159" i="5"/>
  <c r="V9160" i="5"/>
  <c r="V9161" i="5"/>
  <c r="V9162" i="5"/>
  <c r="V9163" i="5"/>
  <c r="V9164" i="5"/>
  <c r="V9165" i="5"/>
  <c r="V9166" i="5"/>
  <c r="V9167" i="5"/>
  <c r="V9168" i="5"/>
  <c r="V9169" i="5"/>
  <c r="V9170" i="5"/>
  <c r="V9171" i="5"/>
  <c r="V9172" i="5"/>
  <c r="V9173" i="5"/>
  <c r="V9174" i="5"/>
  <c r="V9175" i="5"/>
  <c r="V9176" i="5"/>
  <c r="V9177" i="5"/>
  <c r="V9178" i="5"/>
  <c r="V9179" i="5"/>
  <c r="V9180" i="5"/>
  <c r="V9181" i="5"/>
  <c r="V9182" i="5"/>
  <c r="V9183" i="5"/>
  <c r="V9184" i="5"/>
  <c r="V9185" i="5"/>
  <c r="V9186" i="5"/>
  <c r="V9187" i="5"/>
  <c r="V9188" i="5"/>
  <c r="V9189" i="5"/>
  <c r="V9190" i="5"/>
  <c r="V9191" i="5"/>
  <c r="V9192" i="5"/>
  <c r="V9193" i="5"/>
  <c r="V9194" i="5"/>
  <c r="V9195" i="5"/>
  <c r="V9196" i="5"/>
  <c r="V9197" i="5"/>
  <c r="V9198" i="5"/>
  <c r="V9199" i="5"/>
  <c r="V9200" i="5"/>
  <c r="V9201" i="5"/>
  <c r="V9202" i="5"/>
  <c r="V9203" i="5"/>
  <c r="V9204" i="5"/>
  <c r="V9205" i="5"/>
  <c r="V9206" i="5"/>
  <c r="V9207" i="5"/>
  <c r="V9208" i="5"/>
  <c r="V9209" i="5"/>
  <c r="V9210" i="5"/>
  <c r="V9211" i="5"/>
  <c r="V9212" i="5"/>
  <c r="V9213" i="5"/>
  <c r="V9214" i="5"/>
  <c r="V9215" i="5"/>
  <c r="V9216" i="5"/>
  <c r="V9217" i="5"/>
  <c r="V9218" i="5"/>
  <c r="V9219" i="5"/>
  <c r="V9220" i="5"/>
  <c r="V9221" i="5"/>
  <c r="V9222" i="5"/>
  <c r="V9223" i="5"/>
  <c r="V9224" i="5"/>
  <c r="V9225" i="5"/>
  <c r="V9226" i="5"/>
  <c r="V9227" i="5"/>
  <c r="V9228" i="5"/>
  <c r="V9229" i="5"/>
  <c r="V9230" i="5"/>
  <c r="V9231" i="5"/>
  <c r="V9232" i="5"/>
  <c r="V9233" i="5"/>
  <c r="V9234" i="5"/>
  <c r="V9235" i="5"/>
  <c r="V9236" i="5"/>
  <c r="V9237" i="5"/>
  <c r="V9238" i="5"/>
  <c r="V9239" i="5"/>
  <c r="V9240" i="5"/>
  <c r="V9241" i="5"/>
  <c r="V9242" i="5"/>
  <c r="V9243" i="5"/>
  <c r="V9244" i="5"/>
  <c r="V9245" i="5"/>
  <c r="V9246" i="5"/>
  <c r="V9247" i="5"/>
  <c r="V9248" i="5"/>
  <c r="V9249" i="5"/>
  <c r="V9250" i="5"/>
  <c r="V9251" i="5"/>
  <c r="V9252" i="5"/>
  <c r="V9253" i="5"/>
  <c r="V9254" i="5"/>
  <c r="V9255" i="5"/>
  <c r="V9256" i="5"/>
  <c r="V9257" i="5"/>
  <c r="V9258" i="5"/>
  <c r="V9259" i="5"/>
  <c r="V9260" i="5"/>
  <c r="V9261" i="5"/>
  <c r="V9262" i="5"/>
  <c r="V9263" i="5"/>
  <c r="V9264" i="5"/>
  <c r="V9265" i="5"/>
  <c r="V9266" i="5"/>
  <c r="V9267" i="5"/>
  <c r="V9268" i="5"/>
  <c r="V9269" i="5"/>
  <c r="V9270" i="5"/>
  <c r="V9271" i="5"/>
  <c r="V9272" i="5"/>
  <c r="V9273" i="5"/>
  <c r="V9274" i="5"/>
  <c r="V9275" i="5"/>
  <c r="V9276" i="5"/>
  <c r="V9277" i="5"/>
  <c r="V9278" i="5"/>
  <c r="V9279" i="5"/>
  <c r="V9280" i="5"/>
  <c r="V9281" i="5"/>
  <c r="V9282" i="5"/>
  <c r="V9283" i="5"/>
  <c r="V9284" i="5"/>
  <c r="V9285" i="5"/>
  <c r="V9286" i="5"/>
  <c r="V9287" i="5"/>
  <c r="V9288" i="5"/>
  <c r="V9289" i="5"/>
  <c r="V9290" i="5"/>
  <c r="V9291" i="5"/>
  <c r="V9292" i="5"/>
  <c r="V9293" i="5"/>
  <c r="V9294" i="5"/>
  <c r="V9295" i="5"/>
  <c r="V9296" i="5"/>
  <c r="V9297" i="5"/>
  <c r="V9298" i="5"/>
  <c r="V9299" i="5"/>
  <c r="V9300" i="5"/>
  <c r="V9301" i="5"/>
  <c r="V9302" i="5"/>
  <c r="V9303" i="5"/>
  <c r="V9304" i="5"/>
  <c r="V9305" i="5"/>
  <c r="V9306" i="5"/>
  <c r="V9307" i="5"/>
  <c r="V9308" i="5"/>
  <c r="V9309" i="5"/>
  <c r="V9310" i="5"/>
  <c r="V9311" i="5"/>
  <c r="V9312" i="5"/>
  <c r="V9313" i="5"/>
  <c r="V9314" i="5"/>
  <c r="V9315" i="5"/>
  <c r="V9316" i="5"/>
  <c r="V9317" i="5"/>
  <c r="V9318" i="5"/>
  <c r="V9319" i="5"/>
  <c r="V9320" i="5"/>
  <c r="V9321" i="5"/>
  <c r="V9322" i="5"/>
  <c r="V9323" i="5"/>
  <c r="V9324" i="5"/>
  <c r="V9325" i="5"/>
  <c r="V9326" i="5"/>
  <c r="V9327" i="5"/>
  <c r="V9328" i="5"/>
  <c r="V9329" i="5"/>
  <c r="V9330" i="5"/>
  <c r="V9331" i="5"/>
  <c r="V9332" i="5"/>
  <c r="V9333" i="5"/>
  <c r="V9334" i="5"/>
  <c r="V9335" i="5"/>
  <c r="V9336" i="5"/>
  <c r="V9337" i="5"/>
  <c r="V9338" i="5"/>
  <c r="V9339" i="5"/>
  <c r="V9340" i="5"/>
  <c r="V9341" i="5"/>
  <c r="V9342" i="5"/>
  <c r="V9343" i="5"/>
  <c r="V9344" i="5"/>
  <c r="V9345" i="5"/>
  <c r="V9346" i="5"/>
  <c r="V9347" i="5"/>
  <c r="V9348" i="5"/>
  <c r="V9349" i="5"/>
  <c r="V9350" i="5"/>
  <c r="V9351" i="5"/>
  <c r="V9352" i="5"/>
  <c r="V9353" i="5"/>
  <c r="V9354" i="5"/>
  <c r="V9355" i="5"/>
  <c r="V9356" i="5"/>
  <c r="V9357" i="5"/>
  <c r="V9358" i="5"/>
  <c r="V9359" i="5"/>
  <c r="V9360" i="5"/>
  <c r="V9361" i="5"/>
  <c r="V9362" i="5"/>
  <c r="V9363" i="5"/>
  <c r="V9364" i="5"/>
  <c r="V9365" i="5"/>
  <c r="V9366" i="5"/>
  <c r="V9367" i="5"/>
  <c r="V9368" i="5"/>
  <c r="V9369" i="5"/>
  <c r="V9370" i="5"/>
  <c r="V9371" i="5"/>
  <c r="V9372" i="5"/>
  <c r="V9373" i="5"/>
  <c r="V9374" i="5"/>
  <c r="V9375" i="5"/>
  <c r="V9376" i="5"/>
  <c r="V9377" i="5"/>
  <c r="V9378" i="5"/>
  <c r="V9379" i="5"/>
  <c r="V9380" i="5"/>
  <c r="V9381" i="5"/>
  <c r="V9382" i="5"/>
  <c r="V9383" i="5"/>
  <c r="V9384" i="5"/>
  <c r="V9385" i="5"/>
  <c r="V9386" i="5"/>
  <c r="V9387" i="5"/>
  <c r="V9388" i="5"/>
  <c r="V9389" i="5"/>
  <c r="V9390" i="5"/>
  <c r="V9391" i="5"/>
  <c r="V9392" i="5"/>
  <c r="V9393" i="5"/>
  <c r="V9394" i="5"/>
  <c r="V9395" i="5"/>
  <c r="V9396" i="5"/>
  <c r="V9397" i="5"/>
  <c r="V9398" i="5"/>
  <c r="V9399" i="5"/>
  <c r="V9400" i="5"/>
  <c r="V9401" i="5"/>
  <c r="V9402" i="5"/>
  <c r="V9403" i="5"/>
  <c r="V9404" i="5"/>
  <c r="V9405" i="5"/>
  <c r="V9406" i="5"/>
  <c r="V9407" i="5"/>
  <c r="V9408" i="5"/>
  <c r="V9409" i="5"/>
  <c r="V9410" i="5"/>
  <c r="V9411" i="5"/>
  <c r="V9412" i="5"/>
  <c r="V9413" i="5"/>
  <c r="V9414" i="5"/>
  <c r="V9415" i="5"/>
  <c r="V9416" i="5"/>
  <c r="V9417" i="5"/>
  <c r="V9418" i="5"/>
  <c r="V9419" i="5"/>
  <c r="V9420" i="5"/>
  <c r="V9421" i="5"/>
  <c r="V9422" i="5"/>
  <c r="V9423" i="5"/>
  <c r="V9424" i="5"/>
  <c r="V9425" i="5"/>
  <c r="V9426" i="5"/>
  <c r="V9427" i="5"/>
  <c r="V9428" i="5"/>
  <c r="V9429" i="5"/>
  <c r="V9430" i="5"/>
  <c r="V9431" i="5"/>
  <c r="V9432" i="5"/>
  <c r="V9433" i="5"/>
  <c r="V9434" i="5"/>
  <c r="V9435" i="5"/>
  <c r="V9436" i="5"/>
  <c r="V9437" i="5"/>
  <c r="V9438" i="5"/>
  <c r="V9439" i="5"/>
  <c r="V9440" i="5"/>
  <c r="V9441" i="5"/>
  <c r="V9442" i="5"/>
  <c r="V9443" i="5"/>
  <c r="V9444" i="5"/>
  <c r="V9445" i="5"/>
  <c r="V9446" i="5"/>
  <c r="V9447" i="5"/>
  <c r="V9448" i="5"/>
  <c r="V9449" i="5"/>
  <c r="V9450" i="5"/>
  <c r="V9451" i="5"/>
  <c r="V9452" i="5"/>
  <c r="V9453" i="5"/>
  <c r="V9454" i="5"/>
  <c r="V9455" i="5"/>
  <c r="V9456" i="5"/>
  <c r="V9457" i="5"/>
  <c r="V9458" i="5"/>
  <c r="V9459" i="5"/>
  <c r="V9460" i="5"/>
  <c r="V9461" i="5"/>
  <c r="V9462" i="5"/>
  <c r="V9463" i="5"/>
  <c r="V9464" i="5"/>
  <c r="V9465" i="5"/>
  <c r="V9466" i="5"/>
  <c r="V9467" i="5"/>
  <c r="V9468" i="5"/>
  <c r="V9469" i="5"/>
  <c r="V9470" i="5"/>
  <c r="V9471" i="5"/>
  <c r="V9472" i="5"/>
  <c r="V9473" i="5"/>
  <c r="V9474" i="5"/>
  <c r="V9475" i="5"/>
  <c r="V9476" i="5"/>
  <c r="V9477" i="5"/>
  <c r="V9478" i="5"/>
  <c r="V9479" i="5"/>
  <c r="V9480" i="5"/>
  <c r="V9481" i="5"/>
  <c r="V9482" i="5"/>
  <c r="V9483" i="5"/>
  <c r="V9484" i="5"/>
  <c r="V9485" i="5"/>
  <c r="V9486" i="5"/>
  <c r="V9487" i="5"/>
  <c r="V9488" i="5"/>
  <c r="V9489" i="5"/>
  <c r="V9490" i="5"/>
  <c r="V9491" i="5"/>
  <c r="V9492" i="5"/>
  <c r="V9493" i="5"/>
  <c r="V9494" i="5"/>
  <c r="V9495" i="5"/>
  <c r="V9496" i="5"/>
  <c r="V9497" i="5"/>
  <c r="V9498" i="5"/>
  <c r="V9499" i="5"/>
  <c r="V9500" i="5"/>
  <c r="V9501" i="5"/>
  <c r="V9502" i="5"/>
  <c r="V9503" i="5"/>
  <c r="V9504" i="5"/>
  <c r="V9505" i="5"/>
  <c r="V9506" i="5"/>
  <c r="V9507" i="5"/>
  <c r="V9508" i="5"/>
  <c r="V9509" i="5"/>
  <c r="V9510" i="5"/>
  <c r="V9511" i="5"/>
  <c r="V9512" i="5"/>
  <c r="V9513" i="5"/>
  <c r="V9514" i="5"/>
  <c r="V9515" i="5"/>
  <c r="V9516" i="5"/>
  <c r="V9517" i="5"/>
  <c r="V9518" i="5"/>
  <c r="V9519" i="5"/>
  <c r="V9520" i="5"/>
  <c r="V9521" i="5"/>
  <c r="V9522" i="5"/>
  <c r="V9523" i="5"/>
  <c r="V9524" i="5"/>
  <c r="V9525" i="5"/>
  <c r="V9526" i="5"/>
  <c r="V9527" i="5"/>
  <c r="V9528" i="5"/>
  <c r="V9529" i="5"/>
  <c r="V9530" i="5"/>
  <c r="V9531" i="5"/>
  <c r="V9532" i="5"/>
  <c r="V9533" i="5"/>
  <c r="V9534" i="5"/>
  <c r="V9535" i="5"/>
  <c r="V9536" i="5"/>
  <c r="V9537" i="5"/>
  <c r="V9538" i="5"/>
  <c r="V9539" i="5"/>
  <c r="V9540" i="5"/>
  <c r="V9541" i="5"/>
  <c r="V9542" i="5"/>
  <c r="V9543" i="5"/>
  <c r="V9544" i="5"/>
  <c r="V9545" i="5"/>
  <c r="V9546" i="5"/>
  <c r="V9547" i="5"/>
  <c r="V9548" i="5"/>
  <c r="V9549" i="5"/>
  <c r="V9550" i="5"/>
  <c r="V9551" i="5"/>
  <c r="V9552" i="5"/>
  <c r="V9553" i="5"/>
  <c r="V9554" i="5"/>
  <c r="V9555" i="5"/>
  <c r="V9556" i="5"/>
  <c r="V9557" i="5"/>
  <c r="V9558" i="5"/>
  <c r="V9559" i="5"/>
  <c r="V9560" i="5"/>
  <c r="V9561" i="5"/>
  <c r="V9562" i="5"/>
  <c r="V9563" i="5"/>
  <c r="V9564" i="5"/>
  <c r="V9565" i="5"/>
  <c r="V9566" i="5"/>
  <c r="V9567" i="5"/>
  <c r="V9568" i="5"/>
  <c r="V9569" i="5"/>
  <c r="V9570" i="5"/>
  <c r="V9571" i="5"/>
  <c r="V9572" i="5"/>
  <c r="V9573" i="5"/>
  <c r="V9574" i="5"/>
  <c r="V9575" i="5"/>
  <c r="V9576" i="5"/>
  <c r="V9577" i="5"/>
  <c r="V9578" i="5"/>
  <c r="V9579" i="5"/>
  <c r="V9580" i="5"/>
  <c r="V9581" i="5"/>
  <c r="V9582" i="5"/>
  <c r="V9583" i="5"/>
  <c r="V9584" i="5"/>
  <c r="V9585" i="5"/>
  <c r="V9586" i="5"/>
  <c r="V9587" i="5"/>
  <c r="V9588" i="5"/>
  <c r="V9589" i="5"/>
  <c r="V9590" i="5"/>
  <c r="V9591" i="5"/>
  <c r="V9592" i="5"/>
  <c r="V9593" i="5"/>
  <c r="V9594" i="5"/>
  <c r="V9595" i="5"/>
  <c r="V9596" i="5"/>
  <c r="V9597" i="5"/>
  <c r="V9598" i="5"/>
  <c r="V9599" i="5"/>
  <c r="V9600" i="5"/>
  <c r="V9601" i="5"/>
  <c r="V9602" i="5"/>
  <c r="V9603" i="5"/>
  <c r="V9604" i="5"/>
  <c r="V9605" i="5"/>
  <c r="V9606" i="5"/>
  <c r="V9607" i="5"/>
  <c r="V9608" i="5"/>
  <c r="V9609" i="5"/>
  <c r="V9610" i="5"/>
  <c r="V9611" i="5"/>
  <c r="V9612" i="5"/>
  <c r="V9613" i="5"/>
  <c r="V9614" i="5"/>
  <c r="V9615" i="5"/>
  <c r="V9616" i="5"/>
  <c r="V9617" i="5"/>
  <c r="V9618" i="5"/>
  <c r="V9619" i="5"/>
  <c r="V9620" i="5"/>
  <c r="V9621" i="5"/>
  <c r="V9622" i="5"/>
  <c r="V9623" i="5"/>
  <c r="V9624" i="5"/>
  <c r="V9625" i="5"/>
  <c r="V9626" i="5"/>
  <c r="V9627" i="5"/>
  <c r="V9628" i="5"/>
  <c r="V9629" i="5"/>
  <c r="V9630" i="5"/>
  <c r="V9631" i="5"/>
  <c r="V9632" i="5"/>
  <c r="V9633" i="5"/>
  <c r="V9634" i="5"/>
  <c r="V9635" i="5"/>
  <c r="V9636" i="5"/>
  <c r="V9637" i="5"/>
  <c r="V9638" i="5"/>
  <c r="V9639" i="5"/>
  <c r="V9640" i="5"/>
  <c r="V9641" i="5"/>
  <c r="V9642" i="5"/>
  <c r="V9643" i="5"/>
  <c r="V9644" i="5"/>
  <c r="V9645" i="5"/>
  <c r="V9646" i="5"/>
  <c r="V9647" i="5"/>
  <c r="V9648" i="5"/>
  <c r="V9649" i="5"/>
  <c r="V9650" i="5"/>
  <c r="V9651" i="5"/>
  <c r="V9652" i="5"/>
  <c r="V9653" i="5"/>
  <c r="V9654" i="5"/>
  <c r="V9655" i="5"/>
  <c r="V9656" i="5"/>
  <c r="V9657" i="5"/>
  <c r="V9658" i="5"/>
  <c r="V9659" i="5"/>
  <c r="V9660" i="5"/>
  <c r="V9661" i="5"/>
  <c r="V9662" i="5"/>
  <c r="V9663" i="5"/>
  <c r="V9664" i="5"/>
  <c r="V9665" i="5"/>
  <c r="V9666" i="5"/>
  <c r="V9667" i="5"/>
  <c r="V9668" i="5"/>
  <c r="V9669" i="5"/>
  <c r="V9670" i="5"/>
  <c r="V9671" i="5"/>
  <c r="V9672" i="5"/>
  <c r="V9673" i="5"/>
  <c r="V9674" i="5"/>
  <c r="V9675" i="5"/>
  <c r="V9676" i="5"/>
  <c r="V9677" i="5"/>
  <c r="V9678" i="5"/>
  <c r="V9679" i="5"/>
  <c r="V9680" i="5"/>
  <c r="V9681" i="5"/>
  <c r="V9682" i="5"/>
  <c r="V9683" i="5"/>
  <c r="V9684" i="5"/>
  <c r="V9685" i="5"/>
  <c r="V9686" i="5"/>
  <c r="V9687" i="5"/>
  <c r="V9688" i="5"/>
  <c r="V9689" i="5"/>
  <c r="V9690" i="5"/>
  <c r="V9691" i="5"/>
  <c r="V9692" i="5"/>
  <c r="V9693" i="5"/>
  <c r="V9694" i="5"/>
  <c r="V9695" i="5"/>
  <c r="V9696" i="5"/>
  <c r="V9697" i="5"/>
  <c r="V9698" i="5"/>
  <c r="V9699" i="5"/>
  <c r="V9700" i="5"/>
  <c r="V9701" i="5"/>
  <c r="V9702" i="5"/>
  <c r="V9703" i="5"/>
  <c r="V9704" i="5"/>
  <c r="V9705" i="5"/>
  <c r="V9706" i="5"/>
  <c r="V9707" i="5"/>
  <c r="V9708" i="5"/>
  <c r="V9709" i="5"/>
  <c r="V9710" i="5"/>
  <c r="V9711" i="5"/>
  <c r="V9712" i="5"/>
  <c r="V9713" i="5"/>
  <c r="V9714" i="5"/>
  <c r="V9715" i="5"/>
  <c r="V9716" i="5"/>
  <c r="V9717" i="5"/>
  <c r="V9718" i="5"/>
  <c r="V9719" i="5"/>
  <c r="V9720" i="5"/>
  <c r="V9721" i="5"/>
  <c r="V9722" i="5"/>
  <c r="V9723" i="5"/>
  <c r="V9724" i="5"/>
  <c r="V9725" i="5"/>
  <c r="V9726" i="5"/>
  <c r="V9727" i="5"/>
  <c r="V9728" i="5"/>
  <c r="V9729" i="5"/>
  <c r="V9730" i="5"/>
  <c r="V9731" i="5"/>
  <c r="V9732" i="5"/>
  <c r="V9733" i="5"/>
  <c r="V9734" i="5"/>
  <c r="V9735" i="5"/>
  <c r="V9736" i="5"/>
  <c r="V9737" i="5"/>
  <c r="V9738" i="5"/>
  <c r="V9739" i="5"/>
  <c r="V9740" i="5"/>
  <c r="V9741" i="5"/>
  <c r="V9742" i="5"/>
  <c r="V9743" i="5"/>
  <c r="V9744" i="5"/>
  <c r="V9745" i="5"/>
  <c r="V9746" i="5"/>
  <c r="V9747" i="5"/>
  <c r="V9748" i="5"/>
  <c r="V9749" i="5"/>
  <c r="V9750" i="5"/>
  <c r="V9751" i="5"/>
  <c r="V9752" i="5"/>
  <c r="V9753" i="5"/>
  <c r="V9754" i="5"/>
  <c r="V9755" i="5"/>
  <c r="V9756" i="5"/>
  <c r="V9757" i="5"/>
  <c r="V9758" i="5"/>
  <c r="V9759" i="5"/>
  <c r="V9760" i="5"/>
  <c r="V9761" i="5"/>
  <c r="V9762" i="5"/>
  <c r="V9763" i="5"/>
  <c r="V9764" i="5"/>
  <c r="V9765" i="5"/>
  <c r="V9766" i="5"/>
  <c r="V9767" i="5"/>
  <c r="V9768" i="5"/>
  <c r="V9769" i="5"/>
  <c r="V9770" i="5"/>
  <c r="V9771" i="5"/>
  <c r="V9772" i="5"/>
  <c r="V9773" i="5"/>
  <c r="V9774" i="5"/>
  <c r="V9775" i="5"/>
  <c r="V9776" i="5"/>
  <c r="V9777" i="5"/>
  <c r="V9778" i="5"/>
  <c r="V9779" i="5"/>
  <c r="V9780" i="5"/>
  <c r="V9781" i="5"/>
  <c r="V9782" i="5"/>
  <c r="V9783" i="5"/>
  <c r="V9784" i="5"/>
  <c r="V9785" i="5"/>
  <c r="V9786" i="5"/>
  <c r="V9787" i="5"/>
  <c r="V9788" i="5"/>
  <c r="V9789" i="5"/>
  <c r="V9790" i="5"/>
  <c r="V9791" i="5"/>
  <c r="V9792" i="5"/>
  <c r="V9793" i="5"/>
  <c r="V9794" i="5"/>
  <c r="V9795" i="5"/>
  <c r="V9796" i="5"/>
  <c r="V9797" i="5"/>
  <c r="V9798" i="5"/>
  <c r="V9799" i="5"/>
  <c r="V9800" i="5"/>
  <c r="V9801" i="5"/>
  <c r="V9802" i="5"/>
  <c r="V9803" i="5"/>
  <c r="V9804" i="5"/>
  <c r="V9805" i="5"/>
  <c r="V9806" i="5"/>
  <c r="V9807" i="5"/>
  <c r="V9808" i="5"/>
  <c r="V9809" i="5"/>
  <c r="V9810" i="5"/>
  <c r="V9811" i="5"/>
  <c r="V9812" i="5"/>
  <c r="V9813" i="5"/>
  <c r="V9814" i="5"/>
  <c r="V9815" i="5"/>
  <c r="V9816" i="5"/>
  <c r="V9817" i="5"/>
  <c r="V9818" i="5"/>
  <c r="V9819" i="5"/>
  <c r="V9820" i="5"/>
  <c r="V9821" i="5"/>
  <c r="V9822" i="5"/>
  <c r="V9823" i="5"/>
  <c r="V9824" i="5"/>
  <c r="V9825" i="5"/>
  <c r="V9826" i="5"/>
  <c r="V9827" i="5"/>
  <c r="V9828" i="5"/>
  <c r="V9829" i="5"/>
  <c r="V9830" i="5"/>
  <c r="V9831" i="5"/>
  <c r="V9832" i="5"/>
  <c r="V9833" i="5"/>
  <c r="V9834" i="5"/>
  <c r="V9835" i="5"/>
  <c r="V9836" i="5"/>
  <c r="V9837" i="5"/>
  <c r="V9838" i="5"/>
  <c r="V9839" i="5"/>
  <c r="V9840" i="5"/>
  <c r="V9841" i="5"/>
  <c r="V9842" i="5"/>
  <c r="V9843" i="5"/>
  <c r="V9844" i="5"/>
  <c r="V9845" i="5"/>
  <c r="V9846" i="5"/>
  <c r="V9847" i="5"/>
  <c r="V9848" i="5"/>
  <c r="V9849" i="5"/>
  <c r="V9850" i="5"/>
  <c r="V9851" i="5"/>
  <c r="V9852" i="5"/>
  <c r="V9853" i="5"/>
  <c r="V9854" i="5"/>
  <c r="V9855" i="5"/>
  <c r="V9856" i="5"/>
  <c r="V9857" i="5"/>
  <c r="V9858" i="5"/>
  <c r="V9859" i="5"/>
  <c r="V9860" i="5"/>
  <c r="V9861" i="5"/>
  <c r="V9862" i="5"/>
  <c r="V9863" i="5"/>
  <c r="V9864" i="5"/>
  <c r="V9865" i="5"/>
  <c r="V9866" i="5"/>
  <c r="V9867" i="5"/>
  <c r="V9868" i="5"/>
  <c r="V9869" i="5"/>
  <c r="V9870" i="5"/>
  <c r="V9871" i="5"/>
  <c r="V9872" i="5"/>
  <c r="V9873" i="5"/>
  <c r="V9874" i="5"/>
  <c r="V9875" i="5"/>
  <c r="V9876" i="5"/>
  <c r="V9877" i="5"/>
  <c r="V9878" i="5"/>
  <c r="V9879" i="5"/>
  <c r="V9880" i="5"/>
  <c r="V9881" i="5"/>
  <c r="V9882" i="5"/>
  <c r="V9883" i="5"/>
  <c r="V9884" i="5"/>
  <c r="V9885" i="5"/>
  <c r="V9886" i="5"/>
  <c r="V9887" i="5"/>
  <c r="V9888" i="5"/>
  <c r="V9889" i="5"/>
  <c r="V9890" i="5"/>
  <c r="V9891" i="5"/>
  <c r="V9892" i="5"/>
  <c r="V9893" i="5"/>
  <c r="V9894" i="5"/>
  <c r="V9895" i="5"/>
  <c r="V9896" i="5"/>
  <c r="V9897" i="5"/>
  <c r="V9898" i="5"/>
  <c r="V9899" i="5"/>
  <c r="V9900" i="5"/>
  <c r="V9901" i="5"/>
  <c r="V9902" i="5"/>
  <c r="V9903" i="5"/>
  <c r="V9904" i="5"/>
  <c r="V9905" i="5"/>
  <c r="V9906" i="5"/>
  <c r="V9907" i="5"/>
  <c r="V9908" i="5"/>
  <c r="V9909" i="5"/>
  <c r="V9910" i="5"/>
  <c r="V9911" i="5"/>
  <c r="V9912" i="5"/>
  <c r="V9913" i="5"/>
  <c r="V9914" i="5"/>
  <c r="V9915" i="5"/>
  <c r="V9916" i="5"/>
  <c r="V9917" i="5"/>
  <c r="V9918" i="5"/>
  <c r="V9919" i="5"/>
  <c r="V9920" i="5"/>
  <c r="V9921" i="5"/>
  <c r="V9922" i="5"/>
  <c r="V9923" i="5"/>
  <c r="V9924" i="5"/>
  <c r="V9925" i="5"/>
  <c r="V9926" i="5"/>
  <c r="V9927" i="5"/>
  <c r="V9928" i="5"/>
  <c r="V9929" i="5"/>
  <c r="V9930" i="5"/>
  <c r="V9931" i="5"/>
  <c r="V9932" i="5"/>
  <c r="V9933" i="5"/>
  <c r="V9934" i="5"/>
  <c r="V9935" i="5"/>
  <c r="V9936" i="5"/>
  <c r="V9937" i="5"/>
  <c r="V9938" i="5"/>
  <c r="V9939" i="5"/>
  <c r="V9940" i="5"/>
  <c r="V9941" i="5"/>
  <c r="V9942" i="5"/>
  <c r="V9943" i="5"/>
  <c r="V9944" i="5"/>
  <c r="V9945" i="5"/>
  <c r="V9946" i="5"/>
  <c r="V9947" i="5"/>
  <c r="V9948" i="5"/>
  <c r="V9949" i="5"/>
  <c r="V9950" i="5"/>
  <c r="V9951" i="5"/>
  <c r="V9952" i="5"/>
  <c r="V9953" i="5"/>
  <c r="V9954" i="5"/>
  <c r="V9955" i="5"/>
  <c r="V9956" i="5"/>
  <c r="V9957" i="5"/>
  <c r="V9958" i="5"/>
  <c r="V9959" i="5"/>
  <c r="V9960" i="5"/>
  <c r="V9961" i="5"/>
  <c r="V9962" i="5"/>
  <c r="V9963" i="5"/>
  <c r="V9964" i="5"/>
  <c r="V9965" i="5"/>
  <c r="V9966" i="5"/>
  <c r="V9967" i="5"/>
  <c r="V9968" i="5"/>
  <c r="V9969" i="5"/>
  <c r="V9970" i="5"/>
  <c r="V9971" i="5"/>
  <c r="V9972" i="5"/>
  <c r="V9973" i="5"/>
  <c r="V9974" i="5"/>
  <c r="V9975" i="5"/>
  <c r="V9976" i="5"/>
  <c r="V9977" i="5"/>
  <c r="V9978" i="5"/>
  <c r="V9979" i="5"/>
  <c r="V9980" i="5"/>
  <c r="V9981" i="5"/>
  <c r="V9982" i="5"/>
  <c r="V9983" i="5"/>
  <c r="V9984" i="5"/>
  <c r="V9985" i="5"/>
  <c r="V9986" i="5"/>
  <c r="V9987" i="5"/>
  <c r="V9988" i="5"/>
  <c r="V9989" i="5"/>
  <c r="V9990" i="5"/>
  <c r="V9991" i="5"/>
  <c r="V9992" i="5"/>
  <c r="V9993" i="5"/>
  <c r="V9994" i="5"/>
  <c r="V9995" i="5"/>
  <c r="V9996" i="5"/>
  <c r="V9997" i="5"/>
  <c r="V9998" i="5"/>
  <c r="V9999" i="5"/>
  <c r="V10000" i="5"/>
  <c r="V10001" i="5"/>
  <c r="V10002" i="5"/>
  <c r="V10003" i="5"/>
  <c r="V10004" i="5"/>
  <c r="V10005" i="5"/>
  <c r="V10006" i="5"/>
  <c r="V10007" i="5"/>
  <c r="V10008" i="5"/>
  <c r="V10009" i="5"/>
  <c r="V10010" i="5"/>
  <c r="V10011" i="5"/>
  <c r="V10012" i="5"/>
  <c r="V10013" i="5"/>
  <c r="V10014" i="5"/>
  <c r="V10015" i="5"/>
  <c r="V10016" i="5"/>
  <c r="V10017" i="5"/>
  <c r="V10018" i="5"/>
  <c r="V10019" i="5"/>
  <c r="V10020" i="5"/>
  <c r="V10021" i="5"/>
  <c r="V10022" i="5"/>
  <c r="V10023" i="5"/>
  <c r="V10024" i="5"/>
  <c r="V10025" i="5"/>
  <c r="V10026" i="5"/>
  <c r="V10027" i="5"/>
  <c r="V10028" i="5"/>
  <c r="V10029" i="5"/>
  <c r="V10030" i="5"/>
  <c r="V10031" i="5"/>
  <c r="V10032" i="5"/>
  <c r="V10033" i="5"/>
  <c r="V10034" i="5"/>
  <c r="V10035" i="5"/>
  <c r="V10036" i="5"/>
  <c r="V10037" i="5"/>
  <c r="V10038" i="5"/>
  <c r="V10039" i="5"/>
  <c r="V10040" i="5"/>
  <c r="V10041" i="5"/>
  <c r="V10042" i="5"/>
  <c r="V10043" i="5"/>
  <c r="V10044" i="5"/>
  <c r="V10045" i="5"/>
  <c r="V10046" i="5"/>
  <c r="V10047" i="5"/>
  <c r="V10048" i="5"/>
  <c r="V10049" i="5"/>
  <c r="V10050" i="5"/>
  <c r="V10051" i="5"/>
  <c r="V10052" i="5"/>
  <c r="V10053" i="5"/>
  <c r="V10054" i="5"/>
  <c r="V10055" i="5"/>
  <c r="V10056" i="5"/>
  <c r="V10057" i="5"/>
  <c r="V10058" i="5"/>
  <c r="V10059" i="5"/>
  <c r="V10060" i="5"/>
  <c r="V10061" i="5"/>
  <c r="V10062" i="5"/>
  <c r="V10063" i="5"/>
  <c r="V10064" i="5"/>
  <c r="V10065" i="5"/>
  <c r="V10066" i="5"/>
  <c r="V10067" i="5"/>
  <c r="V10068" i="5"/>
  <c r="V10069" i="5"/>
  <c r="V10070" i="5"/>
  <c r="V10071" i="5"/>
  <c r="V10072" i="5"/>
  <c r="V10073" i="5"/>
  <c r="V10074" i="5"/>
  <c r="V10075" i="5"/>
  <c r="V10076" i="5"/>
  <c r="V10077" i="5"/>
  <c r="V10078" i="5"/>
  <c r="V10079" i="5"/>
  <c r="V10080" i="5"/>
  <c r="V10081" i="5"/>
  <c r="V10082" i="5"/>
  <c r="V10083" i="5"/>
  <c r="V10084" i="5"/>
  <c r="V10085" i="5"/>
  <c r="V10086" i="5"/>
  <c r="V10087" i="5"/>
  <c r="V10088" i="5"/>
  <c r="V10089" i="5"/>
  <c r="V10090" i="5"/>
  <c r="V10091" i="5"/>
  <c r="V10092" i="5"/>
  <c r="V10093" i="5"/>
  <c r="V10094" i="5"/>
  <c r="V10095" i="5"/>
  <c r="V10096" i="5"/>
  <c r="V10097" i="5"/>
  <c r="V10098" i="5"/>
  <c r="V10099" i="5"/>
  <c r="V10100" i="5"/>
  <c r="V10101" i="5"/>
  <c r="V10102" i="5"/>
  <c r="V10103" i="5"/>
  <c r="V10104" i="5"/>
  <c r="V10105" i="5"/>
  <c r="V10106" i="5"/>
  <c r="V10107" i="5"/>
  <c r="V10108" i="5"/>
  <c r="V10109" i="5"/>
  <c r="V10110" i="5"/>
  <c r="V10111" i="5"/>
  <c r="V10112" i="5"/>
  <c r="V10113" i="5"/>
  <c r="V10114" i="5"/>
  <c r="V10115" i="5"/>
  <c r="V10116" i="5"/>
  <c r="V10117" i="5"/>
  <c r="V10118" i="5"/>
  <c r="V10119" i="5"/>
  <c r="V10120" i="5"/>
  <c r="V10121" i="5"/>
  <c r="V10122" i="5"/>
  <c r="V10123" i="5"/>
  <c r="V10124" i="5"/>
  <c r="V10125" i="5"/>
  <c r="V10126" i="5"/>
  <c r="V10127" i="5"/>
  <c r="V10128" i="5"/>
  <c r="V10129" i="5"/>
  <c r="V10130" i="5"/>
  <c r="V10131" i="5"/>
  <c r="V10132" i="5"/>
  <c r="V10133" i="5"/>
  <c r="V10134" i="5"/>
  <c r="V10135" i="5"/>
  <c r="V10136" i="5"/>
  <c r="V10137" i="5"/>
  <c r="V10138" i="5"/>
  <c r="V10139" i="5"/>
  <c r="V10140" i="5"/>
  <c r="V10141" i="5"/>
  <c r="V10142" i="5"/>
  <c r="V10143" i="5"/>
  <c r="V10144" i="5"/>
  <c r="V10145" i="5"/>
  <c r="V10146" i="5"/>
  <c r="V10147" i="5"/>
  <c r="V10148" i="5"/>
  <c r="V10149" i="5"/>
  <c r="V10150" i="5"/>
  <c r="V10151" i="5"/>
  <c r="V10152" i="5"/>
  <c r="V10153" i="5"/>
  <c r="V10154" i="5"/>
  <c r="V10155" i="5"/>
  <c r="V10156" i="5"/>
  <c r="V10157" i="5"/>
  <c r="V10158" i="5"/>
  <c r="V10159" i="5"/>
  <c r="V10160" i="5"/>
  <c r="V10161" i="5"/>
  <c r="V10162" i="5"/>
  <c r="V10163" i="5"/>
  <c r="V10164" i="5"/>
  <c r="V10165" i="5"/>
  <c r="V10166" i="5"/>
  <c r="V10167" i="5"/>
  <c r="V10168" i="5"/>
  <c r="V10169" i="5"/>
  <c r="V10170" i="5"/>
  <c r="V2" i="5"/>
  <c r="T3" i="5" a="1"/>
  <c r="T3" i="5" s="1"/>
  <c r="T4" i="5" a="1"/>
  <c r="T4" i="5" s="1"/>
  <c r="T5" i="5" a="1"/>
  <c r="T5" i="5" s="1"/>
  <c r="T6" i="5" a="1"/>
  <c r="T6" i="5" s="1"/>
  <c r="T7" i="5" a="1"/>
  <c r="T7" i="5" s="1"/>
  <c r="T8" i="5" a="1"/>
  <c r="T8" i="5" s="1"/>
  <c r="T13" i="5" a="1"/>
  <c r="T13" i="5" s="1"/>
  <c r="T14" i="5" a="1"/>
  <c r="T14" i="5" s="1"/>
  <c r="T17" i="5" a="1"/>
  <c r="T17" i="5" s="1"/>
  <c r="T18" i="5" a="1"/>
  <c r="T18" i="5" s="1"/>
  <c r="T19" i="5" a="1"/>
  <c r="T19" i="5" s="1"/>
  <c r="T20" i="5" a="1"/>
  <c r="T20" i="5" s="1"/>
  <c r="T23" i="5" a="1"/>
  <c r="T23" i="5" s="1"/>
  <c r="T24" i="5" a="1"/>
  <c r="T24" i="5" s="1"/>
  <c r="T26" i="5" a="1"/>
  <c r="T26" i="5" s="1"/>
  <c r="T30" i="5" a="1"/>
  <c r="T30" i="5" s="1"/>
  <c r="T34" i="5" a="1"/>
  <c r="T34" i="5" s="1"/>
  <c r="T35" i="5" a="1"/>
  <c r="T35" i="5" s="1"/>
  <c r="T36" i="5" a="1"/>
  <c r="T36" i="5" s="1"/>
  <c r="T40" i="5" a="1"/>
  <c r="T40" i="5" s="1"/>
  <c r="T41" i="5" a="1"/>
  <c r="T41" i="5" s="1"/>
  <c r="T42" i="5" a="1"/>
  <c r="T42" i="5" s="1"/>
  <c r="T43" i="5" a="1"/>
  <c r="T43" i="5" s="1"/>
  <c r="T44" i="5" a="1"/>
  <c r="T44" i="5" s="1"/>
  <c r="T45" i="5" a="1"/>
  <c r="T45" i="5" s="1"/>
  <c r="T46" i="5" a="1"/>
  <c r="T46" i="5" s="1"/>
  <c r="T47" i="5" a="1"/>
  <c r="T47" i="5" s="1"/>
  <c r="T48" i="5" a="1"/>
  <c r="T48" i="5" s="1"/>
  <c r="T49" i="5" a="1"/>
  <c r="T49" i="5" s="1"/>
  <c r="T50" i="5" a="1"/>
  <c r="T50" i="5" s="1"/>
  <c r="T51" i="5" a="1"/>
  <c r="T51" i="5" s="1"/>
  <c r="T192" i="5" a="1"/>
  <c r="T192" i="5" s="1"/>
  <c r="T193" i="5" a="1"/>
  <c r="T193" i="5" s="1"/>
  <c r="T194" i="5" a="1"/>
  <c r="T194" i="5" s="1"/>
  <c r="T195" i="5" a="1"/>
  <c r="T195" i="5" s="1"/>
  <c r="T201" i="5" a="1"/>
  <c r="T201" i="5" s="1"/>
  <c r="T202" i="5" a="1"/>
  <c r="T202" i="5" s="1"/>
  <c r="T203" i="5" a="1"/>
  <c r="T203" i="5" s="1"/>
  <c r="T204" i="5" a="1"/>
  <c r="T204" i="5" s="1"/>
  <c r="T205" i="5" a="1"/>
  <c r="T205" i="5" s="1"/>
  <c r="T206" i="5" a="1"/>
  <c r="T206" i="5" s="1"/>
  <c r="T207" i="5" a="1"/>
  <c r="T207" i="5" s="1"/>
  <c r="T208" i="5" a="1"/>
  <c r="T208" i="5" s="1"/>
  <c r="T209" i="5" a="1"/>
  <c r="T209" i="5" s="1"/>
  <c r="T210" i="5" a="1"/>
  <c r="T210" i="5" s="1"/>
  <c r="T267" i="5" a="1"/>
  <c r="T267" i="5" s="1"/>
  <c r="T268" i="5" a="1"/>
  <c r="T268" i="5" s="1"/>
  <c r="T269" i="5" a="1"/>
  <c r="T269" i="5" s="1"/>
  <c r="T270" i="5" a="1"/>
  <c r="T270" i="5" s="1"/>
  <c r="T271" i="5" a="1"/>
  <c r="T271" i="5" s="1"/>
  <c r="T272" i="5" a="1"/>
  <c r="T272" i="5" s="1"/>
  <c r="T273" i="5" a="1"/>
  <c r="T273" i="5" s="1"/>
  <c r="T274" i="5" a="1"/>
  <c r="T274" i="5" s="1"/>
  <c r="T275" i="5" a="1"/>
  <c r="T275" i="5" s="1"/>
  <c r="T276" i="5" a="1"/>
  <c r="T276" i="5" s="1"/>
  <c r="T277" i="5" a="1"/>
  <c r="T277" i="5" s="1"/>
  <c r="T278" i="5" a="1"/>
  <c r="T278" i="5" s="1"/>
  <c r="T279" i="5" a="1"/>
  <c r="T279" i="5" s="1"/>
  <c r="T280" i="5" a="1"/>
  <c r="T280" i="5" s="1"/>
  <c r="T281" i="5" a="1"/>
  <c r="T281" i="5" s="1"/>
  <c r="T282" i="5" a="1"/>
  <c r="T282" i="5" s="1"/>
  <c r="T283" i="5" a="1"/>
  <c r="T283" i="5" s="1"/>
  <c r="T284" i="5" a="1"/>
  <c r="T284" i="5" s="1"/>
  <c r="T285" i="5" a="1"/>
  <c r="T285" i="5" s="1"/>
  <c r="T286" i="5" a="1"/>
  <c r="T286" i="5" s="1"/>
  <c r="T287" i="5" a="1"/>
  <c r="T287" i="5" s="1"/>
  <c r="T288" i="5" a="1"/>
  <c r="T288" i="5" s="1"/>
  <c r="T289" i="5" a="1"/>
  <c r="T289" i="5" s="1"/>
  <c r="T290" i="5" a="1"/>
  <c r="T290" i="5" s="1"/>
  <c r="T291" i="5" a="1"/>
  <c r="T291" i="5" s="1"/>
  <c r="T292" i="5" a="1"/>
  <c r="T292" i="5" s="1"/>
  <c r="T293" i="5" a="1"/>
  <c r="T293" i="5" s="1"/>
  <c r="T294" i="5" a="1"/>
  <c r="T294" i="5" s="1"/>
  <c r="T295" i="5" a="1"/>
  <c r="T295" i="5" s="1"/>
  <c r="T296" i="5" a="1"/>
  <c r="T296" i="5" s="1"/>
  <c r="T297" i="5" a="1"/>
  <c r="T297" i="5" s="1"/>
  <c r="T298" i="5" a="1"/>
  <c r="T298" i="5" s="1"/>
  <c r="T299" i="5" a="1"/>
  <c r="T299" i="5" s="1"/>
  <c r="T300" i="5" a="1"/>
  <c r="T300" i="5" s="1"/>
  <c r="T301" i="5" a="1"/>
  <c r="T301" i="5" s="1"/>
  <c r="T302" i="5" a="1"/>
  <c r="T302" i="5" s="1"/>
  <c r="T303" i="5" a="1"/>
  <c r="T303" i="5" s="1"/>
  <c r="T304" i="5" a="1"/>
  <c r="T304" i="5" s="1"/>
  <c r="T305" i="5" a="1"/>
  <c r="T305" i="5" s="1"/>
  <c r="T306" i="5" a="1"/>
  <c r="T306" i="5" s="1"/>
  <c r="T307" i="5" a="1"/>
  <c r="T307" i="5" s="1"/>
  <c r="T308" i="5" a="1"/>
  <c r="T308" i="5" s="1"/>
  <c r="T309" i="5" a="1"/>
  <c r="T309" i="5" s="1"/>
  <c r="T310" i="5" a="1"/>
  <c r="T310" i="5" s="1"/>
  <c r="T311" i="5" a="1"/>
  <c r="T311" i="5" s="1"/>
  <c r="T312" i="5" a="1"/>
  <c r="T312" i="5" s="1"/>
  <c r="T313" i="5" a="1"/>
  <c r="T313" i="5" s="1"/>
  <c r="T314" i="5" a="1"/>
  <c r="T314" i="5" s="1"/>
  <c r="T315" i="5" a="1"/>
  <c r="T315" i="5" s="1"/>
  <c r="T316" i="5" a="1"/>
  <c r="T316" i="5" s="1"/>
  <c r="T317" i="5" a="1"/>
  <c r="T317" i="5" s="1"/>
  <c r="T318" i="5" a="1"/>
  <c r="T318" i="5" s="1"/>
  <c r="T319" i="5" a="1"/>
  <c r="T319" i="5" s="1"/>
  <c r="T320" i="5" a="1"/>
  <c r="T320" i="5" s="1"/>
  <c r="T321" i="5" a="1"/>
  <c r="T321" i="5" s="1"/>
  <c r="T322" i="5" a="1"/>
  <c r="T322" i="5" s="1"/>
  <c r="T323" i="5" a="1"/>
  <c r="T323" i="5" s="1"/>
  <c r="T324" i="5" a="1"/>
  <c r="T324" i="5" s="1"/>
  <c r="T325" i="5" a="1"/>
  <c r="T325" i="5" s="1"/>
  <c r="T326" i="5" a="1"/>
  <c r="T326" i="5" s="1"/>
  <c r="T327" i="5" a="1"/>
  <c r="T327" i="5" s="1"/>
  <c r="T328" i="5" a="1"/>
  <c r="T328" i="5" s="1"/>
  <c r="T329" i="5" a="1"/>
  <c r="T329" i="5" s="1"/>
  <c r="T330" i="5" a="1"/>
  <c r="T330" i="5" s="1"/>
  <c r="T331" i="5" a="1"/>
  <c r="T331" i="5" s="1"/>
  <c r="T332" i="5" a="1"/>
  <c r="T332" i="5" s="1"/>
  <c r="T333" i="5" a="1"/>
  <c r="T333" i="5" s="1"/>
  <c r="T334" i="5" a="1"/>
  <c r="T334" i="5" s="1"/>
  <c r="T335" i="5" a="1"/>
  <c r="T335" i="5" s="1"/>
  <c r="T336" i="5" a="1"/>
  <c r="T336" i="5" s="1"/>
  <c r="T337" i="5" a="1"/>
  <c r="T337" i="5" s="1"/>
  <c r="T338" i="5" a="1"/>
  <c r="T338" i="5" s="1"/>
  <c r="T339" i="5" a="1"/>
  <c r="T339" i="5" s="1"/>
  <c r="T340" i="5" a="1"/>
  <c r="T340" i="5" s="1"/>
  <c r="T341" i="5" a="1"/>
  <c r="T341" i="5" s="1"/>
  <c r="T342" i="5" a="1"/>
  <c r="T342" i="5" s="1"/>
  <c r="T343" i="5" a="1"/>
  <c r="T343" i="5" s="1"/>
  <c r="T344" i="5" a="1"/>
  <c r="T344" i="5" s="1"/>
  <c r="T345" i="5" a="1"/>
  <c r="T345" i="5" s="1"/>
  <c r="T346" i="5" a="1"/>
  <c r="T346" i="5" s="1"/>
  <c r="U346" i="5" s="1"/>
  <c r="T347" i="5" a="1"/>
  <c r="T347" i="5" s="1"/>
  <c r="T348" i="5" a="1"/>
  <c r="T348" i="5" s="1"/>
  <c r="T349" i="5" a="1"/>
  <c r="T349" i="5" s="1"/>
  <c r="T350" i="5" a="1"/>
  <c r="T350" i="5" s="1"/>
  <c r="T351" i="5" a="1"/>
  <c r="T351" i="5" s="1"/>
  <c r="T352" i="5" a="1"/>
  <c r="T352" i="5" s="1"/>
  <c r="T353" i="5" a="1"/>
  <c r="T353" i="5" s="1"/>
  <c r="T354" i="5" a="1"/>
  <c r="T354" i="5" s="1"/>
  <c r="T355" i="5" a="1"/>
  <c r="T355" i="5" s="1"/>
  <c r="T356" i="5" a="1"/>
  <c r="T356" i="5" s="1"/>
  <c r="T357" i="5" a="1"/>
  <c r="T357" i="5" s="1"/>
  <c r="T358" i="5" a="1"/>
  <c r="T358" i="5" s="1"/>
  <c r="T359" i="5" a="1"/>
  <c r="T359" i="5" s="1"/>
  <c r="T360" i="5" a="1"/>
  <c r="T360" i="5" s="1"/>
  <c r="T361" i="5" a="1"/>
  <c r="T361" i="5" s="1"/>
  <c r="U361" i="5" s="1"/>
  <c r="T362" i="5" a="1"/>
  <c r="T362" i="5" s="1"/>
  <c r="T363" i="5" a="1"/>
  <c r="T363" i="5" s="1"/>
  <c r="T364" i="5" a="1"/>
  <c r="T364" i="5" s="1"/>
  <c r="T365" i="5" a="1"/>
  <c r="T365" i="5" s="1"/>
  <c r="T366" i="5" a="1"/>
  <c r="T366" i="5" s="1"/>
  <c r="T367" i="5" a="1"/>
  <c r="T367" i="5" s="1"/>
  <c r="T368" i="5" a="1"/>
  <c r="T368" i="5" s="1"/>
  <c r="T369" i="5" a="1"/>
  <c r="T369" i="5" s="1"/>
  <c r="T370" i="5" a="1"/>
  <c r="T370" i="5" s="1"/>
  <c r="T371" i="5" a="1"/>
  <c r="T371" i="5" s="1"/>
  <c r="T372" i="5" a="1"/>
  <c r="T372" i="5" s="1"/>
  <c r="T373" i="5" a="1"/>
  <c r="T373" i="5" s="1"/>
  <c r="T374" i="5" a="1"/>
  <c r="T374" i="5" s="1"/>
  <c r="T375" i="5" a="1"/>
  <c r="T375" i="5" s="1"/>
  <c r="T376" i="5" a="1"/>
  <c r="T376" i="5" s="1"/>
  <c r="T377" i="5" a="1"/>
  <c r="T377" i="5" s="1"/>
  <c r="T378" i="5" a="1"/>
  <c r="T378" i="5" s="1"/>
  <c r="T379" i="5" a="1"/>
  <c r="T379" i="5" s="1"/>
  <c r="T380" i="5" a="1"/>
  <c r="T380" i="5" s="1"/>
  <c r="T381" i="5" a="1"/>
  <c r="T381" i="5" s="1"/>
  <c r="T382" i="5" a="1"/>
  <c r="T382" i="5" s="1"/>
  <c r="T383" i="5" a="1"/>
  <c r="T383" i="5" s="1"/>
  <c r="T384" i="5" a="1"/>
  <c r="T384" i="5" s="1"/>
  <c r="T385" i="5" a="1"/>
  <c r="T385" i="5" s="1"/>
  <c r="T386" i="5" a="1"/>
  <c r="T386" i="5" s="1"/>
  <c r="T387" i="5" a="1"/>
  <c r="T387" i="5" s="1"/>
  <c r="T388" i="5" a="1"/>
  <c r="T388" i="5" s="1"/>
  <c r="T389" i="5" a="1"/>
  <c r="T389" i="5" s="1"/>
  <c r="T390" i="5" a="1"/>
  <c r="T390" i="5" s="1"/>
  <c r="T391" i="5" a="1"/>
  <c r="T391" i="5" s="1"/>
  <c r="U391" i="5" s="1"/>
  <c r="T392" i="5" a="1"/>
  <c r="T392" i="5" s="1"/>
  <c r="T393" i="5" a="1"/>
  <c r="T393" i="5" s="1"/>
  <c r="T394" i="5" a="1"/>
  <c r="T394" i="5" s="1"/>
  <c r="U394" i="5" s="1"/>
  <c r="T395" i="5" a="1"/>
  <c r="T395" i="5" s="1"/>
  <c r="T396" i="5" a="1"/>
  <c r="T396" i="5" s="1"/>
  <c r="T397" i="5" a="1"/>
  <c r="T397" i="5" s="1"/>
  <c r="T398" i="5" a="1"/>
  <c r="T398" i="5" s="1"/>
  <c r="U398" i="5" s="1"/>
  <c r="T399" i="5" a="1"/>
  <c r="T399" i="5" s="1"/>
  <c r="T400" i="5" a="1"/>
  <c r="T400" i="5" s="1"/>
  <c r="U400" i="5" s="1"/>
  <c r="T401" i="5" a="1"/>
  <c r="T401" i="5" s="1"/>
  <c r="T402" i="5" a="1"/>
  <c r="T402" i="5" s="1"/>
  <c r="U402" i="5" s="1"/>
  <c r="T403" i="5" a="1"/>
  <c r="T403" i="5" s="1"/>
  <c r="T404" i="5" a="1"/>
  <c r="T404" i="5" s="1"/>
  <c r="T405" i="5" a="1"/>
  <c r="T405" i="5" s="1"/>
  <c r="T406" i="5" a="1"/>
  <c r="T406" i="5" s="1"/>
  <c r="T407" i="5" a="1"/>
  <c r="T407" i="5" s="1"/>
  <c r="T408" i="5" a="1"/>
  <c r="T408" i="5" s="1"/>
  <c r="T409" i="5" a="1"/>
  <c r="T409" i="5" s="1"/>
  <c r="T410" i="5" a="1"/>
  <c r="T410" i="5" s="1"/>
  <c r="U410" i="5" s="1"/>
  <c r="T411" i="5" a="1"/>
  <c r="T411" i="5" s="1"/>
  <c r="T412" i="5" a="1"/>
  <c r="T412" i="5" s="1"/>
  <c r="T413" i="5" a="1"/>
  <c r="T413" i="5" s="1"/>
  <c r="T414" i="5" a="1"/>
  <c r="T414" i="5" s="1"/>
  <c r="T415" i="5" a="1"/>
  <c r="T415" i="5" s="1"/>
  <c r="T416" i="5" a="1"/>
  <c r="T416" i="5" s="1"/>
  <c r="T417" i="5" a="1"/>
  <c r="T417" i="5" s="1"/>
  <c r="T419" i="5" a="1"/>
  <c r="T419" i="5" s="1"/>
  <c r="U419" i="5" s="1"/>
  <c r="T420" i="5" a="1"/>
  <c r="T420" i="5" s="1"/>
  <c r="T421" i="5" a="1"/>
  <c r="T421" i="5" s="1"/>
  <c r="T422" i="5" a="1"/>
  <c r="T422" i="5" s="1"/>
  <c r="T423" i="5" a="1"/>
  <c r="T423" i="5" s="1"/>
  <c r="T424" i="5" a="1"/>
  <c r="T424" i="5" s="1"/>
  <c r="T425" i="5" a="1"/>
  <c r="T425" i="5" s="1"/>
  <c r="T426" i="5" a="1"/>
  <c r="T426" i="5" s="1"/>
  <c r="T427" i="5" a="1"/>
  <c r="T427" i="5" s="1"/>
  <c r="U427" i="5" s="1"/>
  <c r="T428" i="5" a="1"/>
  <c r="T428" i="5" s="1"/>
  <c r="T429" i="5" a="1"/>
  <c r="T429" i="5" s="1"/>
  <c r="T450" i="5" a="1"/>
  <c r="T450" i="5" s="1"/>
  <c r="T451" i="5" a="1"/>
  <c r="T451" i="5" s="1"/>
  <c r="T452" i="5" a="1"/>
  <c r="T452" i="5" s="1"/>
  <c r="T453" i="5" a="1"/>
  <c r="T453" i="5" s="1"/>
  <c r="T454" i="5" a="1"/>
  <c r="T454" i="5" s="1"/>
  <c r="T455" i="5" a="1"/>
  <c r="T455" i="5" s="1"/>
  <c r="U455" i="5" s="1"/>
  <c r="T456" i="5" a="1"/>
  <c r="T456" i="5" s="1"/>
  <c r="T457" i="5" a="1"/>
  <c r="T457" i="5" s="1"/>
  <c r="T458" i="5" a="1"/>
  <c r="T458" i="5" s="1"/>
  <c r="T459" i="5" a="1"/>
  <c r="T459" i="5" s="1"/>
  <c r="T460" i="5" a="1"/>
  <c r="T460" i="5" s="1"/>
  <c r="T461" i="5" a="1"/>
  <c r="T461" i="5" s="1"/>
  <c r="T462" i="5" a="1"/>
  <c r="T462" i="5" s="1"/>
  <c r="T463" i="5" a="1"/>
  <c r="T463" i="5" s="1"/>
  <c r="U463" i="5" s="1"/>
  <c r="T464" i="5" a="1"/>
  <c r="T464" i="5" s="1"/>
  <c r="T465" i="5" a="1"/>
  <c r="T465" i="5" s="1"/>
  <c r="T466" i="5" a="1"/>
  <c r="T466" i="5" s="1"/>
  <c r="T467" i="5" a="1"/>
  <c r="T467" i="5" s="1"/>
  <c r="T468" i="5" a="1"/>
  <c r="T468" i="5" s="1"/>
  <c r="T469" i="5" a="1"/>
  <c r="T469" i="5" s="1"/>
  <c r="T470" i="5" a="1"/>
  <c r="T470" i="5" s="1"/>
  <c r="T471" i="5" a="1"/>
  <c r="T471" i="5" s="1"/>
  <c r="U471" i="5" s="1"/>
  <c r="T472" i="5" a="1"/>
  <c r="T472" i="5" s="1"/>
  <c r="T473" i="5" a="1"/>
  <c r="T473" i="5" s="1"/>
  <c r="T474" i="5" a="1"/>
  <c r="T474" i="5" s="1"/>
  <c r="T475" i="5" a="1"/>
  <c r="T475" i="5" s="1"/>
  <c r="T476" i="5" a="1"/>
  <c r="T476" i="5" s="1"/>
  <c r="T477" i="5" a="1"/>
  <c r="T477" i="5" s="1"/>
  <c r="U477" i="5" s="1"/>
  <c r="W477" i="5" s="1"/>
  <c r="T478" i="5" a="1"/>
  <c r="T478" i="5" s="1"/>
  <c r="T479" i="5" a="1"/>
  <c r="T479" i="5" s="1"/>
  <c r="U479" i="5" s="1"/>
  <c r="T480" i="5" a="1"/>
  <c r="T480" i="5" s="1"/>
  <c r="T481" i="5" a="1"/>
  <c r="T481" i="5" s="1"/>
  <c r="T482" i="5" a="1"/>
  <c r="T482" i="5" s="1"/>
  <c r="T483" i="5" a="1"/>
  <c r="T483" i="5" s="1"/>
  <c r="T484" i="5" a="1"/>
  <c r="T484" i="5" s="1"/>
  <c r="T485" i="5" a="1"/>
  <c r="T485" i="5" s="1"/>
  <c r="U485" i="5" s="1"/>
  <c r="W485" i="5" s="1"/>
  <c r="T486" i="5" a="1"/>
  <c r="T486" i="5" s="1"/>
  <c r="T487" i="5" a="1"/>
  <c r="T487" i="5" s="1"/>
  <c r="U487" i="5" s="1"/>
  <c r="T488" i="5" a="1"/>
  <c r="T488" i="5" s="1"/>
  <c r="T489" i="5" a="1"/>
  <c r="T489" i="5" s="1"/>
  <c r="T490" i="5" a="1"/>
  <c r="T490" i="5" s="1"/>
  <c r="T491" i="5" a="1"/>
  <c r="T491" i="5" s="1"/>
  <c r="T492" i="5" a="1"/>
  <c r="T492" i="5" s="1"/>
  <c r="T493" i="5" a="1"/>
  <c r="T493" i="5" s="1"/>
  <c r="T494" i="5" a="1"/>
  <c r="T494" i="5" s="1"/>
  <c r="T495" i="5" a="1"/>
  <c r="T495" i="5" s="1"/>
  <c r="U495" i="5" s="1"/>
  <c r="T496" i="5" a="1"/>
  <c r="T496" i="5" s="1"/>
  <c r="T497" i="5" a="1"/>
  <c r="T497" i="5" s="1"/>
  <c r="T507" i="5" a="1"/>
  <c r="T507" i="5" s="1"/>
  <c r="T508" i="5" a="1"/>
  <c r="T508" i="5" s="1"/>
  <c r="T509" i="5" a="1"/>
  <c r="T509" i="5" s="1"/>
  <c r="T510" i="5" a="1"/>
  <c r="T510" i="5" s="1"/>
  <c r="T511" i="5" a="1"/>
  <c r="T511" i="5" s="1"/>
  <c r="T512" i="5" a="1"/>
  <c r="T512" i="5" s="1"/>
  <c r="U512" i="5" s="1"/>
  <c r="T513" i="5" a="1"/>
  <c r="T513" i="5" s="1"/>
  <c r="T514" i="5" a="1"/>
  <c r="T514" i="5" s="1"/>
  <c r="T515" i="5" a="1"/>
  <c r="T515" i="5" s="1"/>
  <c r="T516" i="5" a="1"/>
  <c r="T516" i="5" s="1"/>
  <c r="T517" i="5" a="1"/>
  <c r="T517" i="5" s="1"/>
  <c r="T518" i="5" a="1"/>
  <c r="T518" i="5" s="1"/>
  <c r="T519" i="5" a="1"/>
  <c r="T519" i="5" s="1"/>
  <c r="T520" i="5" a="1"/>
  <c r="T520" i="5" s="1"/>
  <c r="U520" i="5" s="1"/>
  <c r="T521" i="5" a="1"/>
  <c r="T521" i="5" s="1"/>
  <c r="T522" i="5" a="1"/>
  <c r="T522" i="5" s="1"/>
  <c r="T523" i="5" a="1"/>
  <c r="T523" i="5" s="1"/>
  <c r="T524" i="5" a="1"/>
  <c r="T524" i="5" s="1"/>
  <c r="T525" i="5" a="1"/>
  <c r="T525" i="5" s="1"/>
  <c r="T526" i="5" a="1"/>
  <c r="T526" i="5" s="1"/>
  <c r="T527" i="5" a="1"/>
  <c r="T527" i="5" s="1"/>
  <c r="T528" i="5" a="1"/>
  <c r="T528" i="5" s="1"/>
  <c r="U528" i="5" s="1"/>
  <c r="T529" i="5" a="1"/>
  <c r="T529" i="5" s="1"/>
  <c r="T530" i="5" a="1"/>
  <c r="T530" i="5" s="1"/>
  <c r="T531" i="5" a="1"/>
  <c r="T531" i="5" s="1"/>
  <c r="T532" i="5" a="1"/>
  <c r="T532" i="5" s="1"/>
  <c r="T533" i="5" a="1"/>
  <c r="T533" i="5" s="1"/>
  <c r="T534" i="5" a="1"/>
  <c r="T534" i="5" s="1"/>
  <c r="T535" i="5" a="1"/>
  <c r="T535" i="5" s="1"/>
  <c r="T536" i="5" a="1"/>
  <c r="T536" i="5" s="1"/>
  <c r="U536" i="5" s="1"/>
  <c r="T537" i="5" a="1"/>
  <c r="T537" i="5" s="1"/>
  <c r="T538" i="5" a="1"/>
  <c r="T538" i="5" s="1"/>
  <c r="T539" i="5" a="1"/>
  <c r="T539" i="5" s="1"/>
  <c r="T540" i="5" a="1"/>
  <c r="T540" i="5" s="1"/>
  <c r="T541" i="5" a="1"/>
  <c r="T541" i="5" s="1"/>
  <c r="T542" i="5" a="1"/>
  <c r="T542" i="5" s="1"/>
  <c r="T543" i="5" a="1"/>
  <c r="T543" i="5" s="1"/>
  <c r="T544" i="5" a="1"/>
  <c r="T544" i="5" s="1"/>
  <c r="U544" i="5" s="1"/>
  <c r="T545" i="5" a="1"/>
  <c r="T545" i="5" s="1"/>
  <c r="T546" i="5" a="1"/>
  <c r="T546" i="5" s="1"/>
  <c r="T548" i="5" a="1"/>
  <c r="T548" i="5" s="1"/>
  <c r="T549" i="5" a="1"/>
  <c r="T549" i="5" s="1"/>
  <c r="T550" i="5" a="1"/>
  <c r="T550" i="5" s="1"/>
  <c r="T551" i="5" a="1"/>
  <c r="T551" i="5" s="1"/>
  <c r="U551" i="5" s="1"/>
  <c r="T552" i="5" a="1"/>
  <c r="T552" i="5" s="1"/>
  <c r="T553" i="5" a="1"/>
  <c r="T553" i="5" s="1"/>
  <c r="U553" i="5" s="1"/>
  <c r="T561" i="5" a="1"/>
  <c r="T561" i="5" s="1"/>
  <c r="T565" i="5" a="1"/>
  <c r="T565" i="5" s="1"/>
  <c r="T570" i="5" a="1"/>
  <c r="T570" i="5" s="1"/>
  <c r="T571" i="5" a="1"/>
  <c r="T571" i="5" s="1"/>
  <c r="T572" i="5" a="1"/>
  <c r="T572" i="5" s="1"/>
  <c r="T573" i="5" a="1"/>
  <c r="T573" i="5" s="1"/>
  <c r="U573" i="5" s="1"/>
  <c r="W573" i="5" s="1"/>
  <c r="T574" i="5" a="1"/>
  <c r="T574" i="5" s="1"/>
  <c r="T575" i="5" a="1"/>
  <c r="T575" i="5" s="1"/>
  <c r="U575" i="5" s="1"/>
  <c r="T576" i="5" a="1"/>
  <c r="T576" i="5" s="1"/>
  <c r="T583" i="5" a="1"/>
  <c r="T583" i="5" s="1"/>
  <c r="T584" i="5" a="1"/>
  <c r="T584" i="5" s="1"/>
  <c r="T585" i="5" a="1"/>
  <c r="T585" i="5" s="1"/>
  <c r="T586" i="5" a="1"/>
  <c r="T586" i="5" s="1"/>
  <c r="T587" i="5" a="1"/>
  <c r="T587" i="5" s="1"/>
  <c r="T588" i="5" a="1"/>
  <c r="T588" i="5" s="1"/>
  <c r="T589" i="5" a="1"/>
  <c r="T589" i="5" s="1"/>
  <c r="U589" i="5" s="1"/>
  <c r="T590" i="5" a="1"/>
  <c r="T590" i="5" s="1"/>
  <c r="T591" i="5" a="1"/>
  <c r="T591" i="5" s="1"/>
  <c r="T592" i="5" a="1"/>
  <c r="T592" i="5" s="1"/>
  <c r="T593" i="5" a="1"/>
  <c r="T593" i="5" s="1"/>
  <c r="T594" i="5" a="1"/>
  <c r="T594" i="5" s="1"/>
  <c r="T595" i="5" a="1"/>
  <c r="T595" i="5" s="1"/>
  <c r="T596" i="5" a="1"/>
  <c r="T596" i="5" s="1"/>
  <c r="T597" i="5" a="1"/>
  <c r="T597" i="5" s="1"/>
  <c r="U597" i="5" s="1"/>
  <c r="T598" i="5" a="1"/>
  <c r="T598" i="5" s="1"/>
  <c r="T599" i="5" a="1"/>
  <c r="T599" i="5" s="1"/>
  <c r="T600" i="5" a="1"/>
  <c r="T600" i="5" s="1"/>
  <c r="T601" i="5" a="1"/>
  <c r="T601" i="5" s="1"/>
  <c r="T602" i="5" a="1"/>
  <c r="T602" i="5" s="1"/>
  <c r="T603" i="5" a="1"/>
  <c r="T603" i="5" s="1"/>
  <c r="U603" i="5" s="1"/>
  <c r="T618" i="5" a="1"/>
  <c r="T618" i="5" s="1"/>
  <c r="T619" i="5" a="1"/>
  <c r="T619" i="5" s="1"/>
  <c r="U619" i="5" s="1"/>
  <c r="T620" i="5" a="1"/>
  <c r="T620" i="5" s="1"/>
  <c r="T621" i="5" a="1"/>
  <c r="T621" i="5" s="1"/>
  <c r="T622" i="5" a="1"/>
  <c r="T622" i="5" s="1"/>
  <c r="T623" i="5" a="1"/>
  <c r="T623" i="5" s="1"/>
  <c r="T624" i="5" a="1"/>
  <c r="T624" i="5" s="1"/>
  <c r="T625" i="5" a="1"/>
  <c r="T625" i="5" s="1"/>
  <c r="T626" i="5" a="1"/>
  <c r="T626" i="5" s="1"/>
  <c r="T627" i="5" a="1"/>
  <c r="T627" i="5" s="1"/>
  <c r="U627" i="5" s="1"/>
  <c r="T628" i="5" a="1"/>
  <c r="T628" i="5" s="1"/>
  <c r="T629" i="5" a="1"/>
  <c r="T629" i="5" s="1"/>
  <c r="T630" i="5" a="1"/>
  <c r="T630" i="5" s="1"/>
  <c r="T631" i="5" a="1"/>
  <c r="T631" i="5" s="1"/>
  <c r="T632" i="5" a="1"/>
  <c r="T632" i="5" s="1"/>
  <c r="T633" i="5" a="1"/>
  <c r="T633" i="5" s="1"/>
  <c r="T634" i="5" a="1"/>
  <c r="T634" i="5" s="1"/>
  <c r="T635" i="5" a="1"/>
  <c r="T635" i="5" s="1"/>
  <c r="U635" i="5" s="1"/>
  <c r="T636" i="5" a="1"/>
  <c r="T636" i="5" s="1"/>
  <c r="T637" i="5" a="1"/>
  <c r="T637" i="5" s="1"/>
  <c r="T638" i="5" a="1"/>
  <c r="T638" i="5" s="1"/>
  <c r="T639" i="5" a="1"/>
  <c r="T639" i="5" s="1"/>
  <c r="T640" i="5" a="1"/>
  <c r="T640" i="5" s="1"/>
  <c r="T641" i="5" a="1"/>
  <c r="T641" i="5" s="1"/>
  <c r="U641" i="5" s="1"/>
  <c r="W641" i="5" s="1"/>
  <c r="T642" i="5" a="1"/>
  <c r="T642" i="5" s="1"/>
  <c r="T643" i="5" a="1"/>
  <c r="T643" i="5" s="1"/>
  <c r="U643" i="5" s="1"/>
  <c r="T644" i="5" a="1"/>
  <c r="T644" i="5" s="1"/>
  <c r="T645" i="5" a="1"/>
  <c r="T645" i="5" s="1"/>
  <c r="T646" i="5" a="1"/>
  <c r="T646" i="5" s="1"/>
  <c r="T647" i="5" a="1"/>
  <c r="T647" i="5" s="1"/>
  <c r="T648" i="5" a="1"/>
  <c r="T648" i="5" s="1"/>
  <c r="T649" i="5" a="1"/>
  <c r="T649" i="5" s="1"/>
  <c r="U649" i="5" s="1"/>
  <c r="W649" i="5" s="1"/>
  <c r="T650" i="5" a="1"/>
  <c r="T650" i="5" s="1"/>
  <c r="T651" i="5" a="1"/>
  <c r="T651" i="5" s="1"/>
  <c r="U651" i="5" s="1"/>
  <c r="T652" i="5" a="1"/>
  <c r="T652" i="5" s="1"/>
  <c r="T653" i="5" a="1"/>
  <c r="T653" i="5" s="1"/>
  <c r="T654" i="5" a="1"/>
  <c r="T654" i="5" s="1"/>
  <c r="T655" i="5" a="1"/>
  <c r="T655" i="5" s="1"/>
  <c r="T656" i="5" a="1"/>
  <c r="T656" i="5" s="1"/>
  <c r="T657" i="5" a="1"/>
  <c r="T657" i="5" s="1"/>
  <c r="T658" i="5" a="1"/>
  <c r="T658" i="5" s="1"/>
  <c r="T659" i="5" a="1"/>
  <c r="T659" i="5" s="1"/>
  <c r="U659" i="5" s="1"/>
  <c r="T660" i="5" a="1"/>
  <c r="T660" i="5" s="1"/>
  <c r="T661" i="5" a="1"/>
  <c r="T661" i="5" s="1"/>
  <c r="T662" i="5" a="1"/>
  <c r="T662" i="5" s="1"/>
  <c r="T663" i="5" a="1"/>
  <c r="T663" i="5" s="1"/>
  <c r="T664" i="5" a="1"/>
  <c r="T664" i="5" s="1"/>
  <c r="T665" i="5" a="1"/>
  <c r="T665" i="5" s="1"/>
  <c r="T666" i="5" a="1"/>
  <c r="T666" i="5" s="1"/>
  <c r="T667" i="5" a="1"/>
  <c r="T667" i="5" s="1"/>
  <c r="U667" i="5" s="1"/>
  <c r="T691" i="5" a="1"/>
  <c r="T691" i="5" s="1"/>
  <c r="T692" i="5" a="1"/>
  <c r="T692" i="5" s="1"/>
  <c r="T693" i="5" a="1"/>
  <c r="T693" i="5" s="1"/>
  <c r="T694" i="5" a="1"/>
  <c r="T694" i="5" s="1"/>
  <c r="T695" i="5" a="1"/>
  <c r="T695" i="5" s="1"/>
  <c r="T696" i="5" a="1"/>
  <c r="T696" i="5" s="1"/>
  <c r="T697" i="5" a="1"/>
  <c r="T697" i="5" s="1"/>
  <c r="T698" i="5" a="1"/>
  <c r="T698" i="5" s="1"/>
  <c r="U698" i="5" s="1"/>
  <c r="T699" i="5" a="1"/>
  <c r="T699" i="5" s="1"/>
  <c r="T700" i="5" a="1"/>
  <c r="T700" i="5" s="1"/>
  <c r="T701" i="5" a="1"/>
  <c r="T701" i="5" s="1"/>
  <c r="T702" i="5" a="1"/>
  <c r="T702" i="5" s="1"/>
  <c r="T703" i="5" a="1"/>
  <c r="T703" i="5" s="1"/>
  <c r="T704" i="5" a="1"/>
  <c r="T704" i="5" s="1"/>
  <c r="T705" i="5" a="1"/>
  <c r="T705" i="5" s="1"/>
  <c r="T706" i="5" a="1"/>
  <c r="T706" i="5" s="1"/>
  <c r="U706" i="5" s="1"/>
  <c r="T707" i="5" a="1"/>
  <c r="T707" i="5" s="1"/>
  <c r="T708" i="5" a="1"/>
  <c r="T708" i="5" s="1"/>
  <c r="T709" i="5" a="1"/>
  <c r="T709" i="5" s="1"/>
  <c r="T710" i="5" a="1"/>
  <c r="T710" i="5" s="1"/>
  <c r="T711" i="5" a="1"/>
  <c r="T711" i="5" s="1"/>
  <c r="T712" i="5" a="1"/>
  <c r="T712" i="5" s="1"/>
  <c r="T713" i="5" a="1"/>
  <c r="T713" i="5" s="1"/>
  <c r="T714" i="5" a="1"/>
  <c r="T714" i="5" s="1"/>
  <c r="U714" i="5" s="1"/>
  <c r="T715" i="5" a="1"/>
  <c r="T715" i="5" s="1"/>
  <c r="T716" i="5" a="1"/>
  <c r="T716" i="5" s="1"/>
  <c r="T717" i="5" a="1"/>
  <c r="T717" i="5" s="1"/>
  <c r="T718" i="5" a="1"/>
  <c r="T718" i="5" s="1"/>
  <c r="T719" i="5" a="1"/>
  <c r="T719" i="5" s="1"/>
  <c r="T720" i="5" a="1"/>
  <c r="T720" i="5" s="1"/>
  <c r="T721" i="5" a="1"/>
  <c r="T721" i="5" s="1"/>
  <c r="T722" i="5" a="1"/>
  <c r="T722" i="5" s="1"/>
  <c r="U722" i="5" s="1"/>
  <c r="T723" i="5" a="1"/>
  <c r="T723" i="5" s="1"/>
  <c r="T724" i="5" a="1"/>
  <c r="T724" i="5" s="1"/>
  <c r="T725" i="5" a="1"/>
  <c r="T725" i="5" s="1"/>
  <c r="T726" i="5" a="1"/>
  <c r="T726" i="5" s="1"/>
  <c r="T727" i="5" a="1"/>
  <c r="T727" i="5" s="1"/>
  <c r="T728" i="5" a="1"/>
  <c r="T728" i="5" s="1"/>
  <c r="U728" i="5" s="1"/>
  <c r="T729" i="5" a="1"/>
  <c r="T729" i="5" s="1"/>
  <c r="T730" i="5" a="1"/>
  <c r="T730" i="5" s="1"/>
  <c r="U730" i="5" s="1"/>
  <c r="T731" i="5" a="1"/>
  <c r="T731" i="5" s="1"/>
  <c r="T732" i="5" a="1"/>
  <c r="T732" i="5" s="1"/>
  <c r="T733" i="5" a="1"/>
  <c r="T733" i="5" s="1"/>
  <c r="T734" i="5" a="1"/>
  <c r="T734" i="5" s="1"/>
  <c r="T735" i="5" a="1"/>
  <c r="T735" i="5" s="1"/>
  <c r="T736" i="5" a="1"/>
  <c r="T736" i="5" s="1"/>
  <c r="U736" i="5" s="1"/>
  <c r="T737" i="5" a="1"/>
  <c r="T737" i="5" s="1"/>
  <c r="T738" i="5" a="1"/>
  <c r="T738" i="5" s="1"/>
  <c r="U738" i="5" s="1"/>
  <c r="T739" i="5" a="1"/>
  <c r="T739" i="5" s="1"/>
  <c r="T740" i="5" a="1"/>
  <c r="T740" i="5" s="1"/>
  <c r="T743" i="5" a="1"/>
  <c r="T743" i="5" s="1"/>
  <c r="T747" i="5" a="1"/>
  <c r="T747" i="5" s="1"/>
  <c r="T748" i="5" a="1"/>
  <c r="T748" i="5" s="1"/>
  <c r="T749" i="5" a="1"/>
  <c r="T749" i="5" s="1"/>
  <c r="T750" i="5" a="1"/>
  <c r="T750" i="5" s="1"/>
  <c r="T751" i="5" a="1"/>
  <c r="T751" i="5" s="1"/>
  <c r="U751" i="5" s="1"/>
  <c r="T752" i="5" a="1"/>
  <c r="T752" i="5" s="1"/>
  <c r="T753" i="5" a="1"/>
  <c r="T753" i="5" s="1"/>
  <c r="T754" i="5" a="1"/>
  <c r="T754" i="5" s="1"/>
  <c r="T755" i="5" a="1"/>
  <c r="T755" i="5" s="1"/>
  <c r="T756" i="5" a="1"/>
  <c r="T756" i="5" s="1"/>
  <c r="T757" i="5" a="1"/>
  <c r="T757" i="5" s="1"/>
  <c r="T758" i="5" a="1"/>
  <c r="T758" i="5" s="1"/>
  <c r="T759" i="5" a="1"/>
  <c r="T759" i="5" s="1"/>
  <c r="U759" i="5" s="1"/>
  <c r="T760" i="5" a="1"/>
  <c r="T760" i="5" s="1"/>
  <c r="T761" i="5" a="1"/>
  <c r="T761" i="5" s="1"/>
  <c r="T762" i="5" a="1"/>
  <c r="T762" i="5" s="1"/>
  <c r="T763" i="5" a="1"/>
  <c r="T763" i="5" s="1"/>
  <c r="T764" i="5" a="1"/>
  <c r="T764" i="5" s="1"/>
  <c r="T765" i="5" a="1"/>
  <c r="T765" i="5" s="1"/>
  <c r="T766" i="5" a="1"/>
  <c r="T766" i="5" s="1"/>
  <c r="T767" i="5" a="1"/>
  <c r="T767" i="5" s="1"/>
  <c r="U767" i="5" s="1"/>
  <c r="T768" i="5" a="1"/>
  <c r="T768" i="5" s="1"/>
  <c r="T769" i="5" a="1"/>
  <c r="T769" i="5" s="1"/>
  <c r="T770" i="5" a="1"/>
  <c r="T770" i="5" s="1"/>
  <c r="T771" i="5" a="1"/>
  <c r="T771" i="5" s="1"/>
  <c r="T772" i="5" a="1"/>
  <c r="T772" i="5" s="1"/>
  <c r="T773" i="5" a="1"/>
  <c r="T773" i="5" s="1"/>
  <c r="T774" i="5" a="1"/>
  <c r="T774" i="5" s="1"/>
  <c r="T775" i="5" a="1"/>
  <c r="T775" i="5" s="1"/>
  <c r="U775" i="5" s="1"/>
  <c r="T776" i="5" a="1"/>
  <c r="T776" i="5" s="1"/>
  <c r="T777" i="5" a="1"/>
  <c r="T777" i="5" s="1"/>
  <c r="T778" i="5" a="1"/>
  <c r="T778" i="5" s="1"/>
  <c r="T779" i="5" a="1"/>
  <c r="T779" i="5" s="1"/>
  <c r="T780" i="5" a="1"/>
  <c r="T780" i="5" s="1"/>
  <c r="T781" i="5" a="1"/>
  <c r="T781" i="5" s="1"/>
  <c r="T782" i="5" a="1"/>
  <c r="T782" i="5" s="1"/>
  <c r="T783" i="5" a="1"/>
  <c r="T783" i="5" s="1"/>
  <c r="U783" i="5" s="1"/>
  <c r="T784" i="5" a="1"/>
  <c r="T784" i="5" s="1"/>
  <c r="T785" i="5" a="1"/>
  <c r="T785" i="5" s="1"/>
  <c r="T786" i="5" a="1"/>
  <c r="T786" i="5" s="1"/>
  <c r="T787" i="5" a="1"/>
  <c r="T787" i="5" s="1"/>
  <c r="T788" i="5" a="1"/>
  <c r="T788" i="5" s="1"/>
  <c r="T789" i="5" a="1"/>
  <c r="T789" i="5" s="1"/>
  <c r="T790" i="5" a="1"/>
  <c r="T790" i="5" s="1"/>
  <c r="T791" i="5" a="1"/>
  <c r="T791" i="5" s="1"/>
  <c r="U791" i="5" s="1"/>
  <c r="T792" i="5" a="1"/>
  <c r="T792" i="5" s="1"/>
  <c r="U792" i="5" s="1"/>
  <c r="T793" i="5" a="1"/>
  <c r="T793" i="5" s="1"/>
  <c r="T798" i="5" a="1"/>
  <c r="T798" i="5" s="1"/>
  <c r="T799" i="5" a="1"/>
  <c r="T799" i="5" s="1"/>
  <c r="U799" i="5" s="1"/>
  <c r="T800" i="5" a="1"/>
  <c r="T800" i="5" s="1"/>
  <c r="T801" i="5" a="1"/>
  <c r="T801" i="5" s="1"/>
  <c r="T802" i="5" a="1"/>
  <c r="T802" i="5" s="1"/>
  <c r="T803" i="5" a="1"/>
  <c r="T803" i="5" s="1"/>
  <c r="U803" i="5" s="1"/>
  <c r="T804" i="5" a="1"/>
  <c r="T804" i="5" s="1"/>
  <c r="T805" i="5" a="1"/>
  <c r="T805" i="5" s="1"/>
  <c r="T806" i="5" a="1"/>
  <c r="T806" i="5" s="1"/>
  <c r="T807" i="5" a="1"/>
  <c r="T807" i="5" s="1"/>
  <c r="T808" i="5" a="1"/>
  <c r="T808" i="5" s="1"/>
  <c r="U808" i="5" s="1"/>
  <c r="T809" i="5" a="1"/>
  <c r="T809" i="5" s="1"/>
  <c r="T810" i="5" a="1"/>
  <c r="T810" i="5" s="1"/>
  <c r="T811" i="5" a="1"/>
  <c r="T811" i="5" s="1"/>
  <c r="U811" i="5" s="1"/>
  <c r="T812" i="5" a="1"/>
  <c r="T812" i="5" s="1"/>
  <c r="T813" i="5" a="1"/>
  <c r="T813" i="5" s="1"/>
  <c r="T814" i="5" a="1"/>
  <c r="T814" i="5" s="1"/>
  <c r="T815" i="5" a="1"/>
  <c r="T815" i="5" s="1"/>
  <c r="T816" i="5" a="1"/>
  <c r="T816" i="5" s="1"/>
  <c r="T817" i="5" a="1"/>
  <c r="T817" i="5" s="1"/>
  <c r="T818" i="5" a="1"/>
  <c r="T818" i="5" s="1"/>
  <c r="T819" i="5" a="1"/>
  <c r="T819" i="5" s="1"/>
  <c r="U819" i="5" s="1"/>
  <c r="T820" i="5" a="1"/>
  <c r="T820" i="5" s="1"/>
  <c r="T821" i="5" a="1"/>
  <c r="T821" i="5" s="1"/>
  <c r="T822" i="5" a="1"/>
  <c r="T822" i="5" s="1"/>
  <c r="T823" i="5" a="1"/>
  <c r="T823" i="5" s="1"/>
  <c r="T824" i="5" a="1"/>
  <c r="T824" i="5" s="1"/>
  <c r="T825" i="5" a="1"/>
  <c r="T825" i="5" s="1"/>
  <c r="T826" i="5" a="1"/>
  <c r="T826" i="5" s="1"/>
  <c r="T827" i="5" a="1"/>
  <c r="T827" i="5" s="1"/>
  <c r="U827" i="5" s="1"/>
  <c r="T828" i="5" a="1"/>
  <c r="T828" i="5" s="1"/>
  <c r="T829" i="5" a="1"/>
  <c r="T829" i="5" s="1"/>
  <c r="T830" i="5" a="1"/>
  <c r="T830" i="5" s="1"/>
  <c r="T831" i="5" a="1"/>
  <c r="T831" i="5" s="1"/>
  <c r="T832" i="5" a="1"/>
  <c r="T832" i="5" s="1"/>
  <c r="T833" i="5" a="1"/>
  <c r="T833" i="5" s="1"/>
  <c r="T834" i="5" a="1"/>
  <c r="T834" i="5" s="1"/>
  <c r="T835" i="5" a="1"/>
  <c r="T835" i="5" s="1"/>
  <c r="U835" i="5" s="1"/>
  <c r="T836" i="5" a="1"/>
  <c r="T836" i="5" s="1"/>
  <c r="T837" i="5" a="1"/>
  <c r="T837" i="5" s="1"/>
  <c r="T838" i="5" a="1"/>
  <c r="T838" i="5" s="1"/>
  <c r="T839" i="5" a="1"/>
  <c r="T839" i="5" s="1"/>
  <c r="T840" i="5" a="1"/>
  <c r="T840" i="5" s="1"/>
  <c r="T841" i="5" a="1"/>
  <c r="T841" i="5" s="1"/>
  <c r="U841" i="5" s="1"/>
  <c r="W841" i="5" s="1"/>
  <c r="T842" i="5" a="1"/>
  <c r="T842" i="5" s="1"/>
  <c r="T843" i="5" a="1"/>
  <c r="T843" i="5" s="1"/>
  <c r="U843" i="5" s="1"/>
  <c r="T844" i="5" a="1"/>
  <c r="T844" i="5" s="1"/>
  <c r="T845" i="5" a="1"/>
  <c r="T845" i="5" s="1"/>
  <c r="T846" i="5" a="1"/>
  <c r="T846" i="5" s="1"/>
  <c r="T847" i="5" a="1"/>
  <c r="T847" i="5" s="1"/>
  <c r="U847" i="5" s="1"/>
  <c r="T848" i="5" a="1"/>
  <c r="T848" i="5" s="1"/>
  <c r="T849" i="5" a="1"/>
  <c r="T849" i="5" s="1"/>
  <c r="T850" i="5" a="1"/>
  <c r="T850" i="5" s="1"/>
  <c r="T851" i="5" a="1"/>
  <c r="T851" i="5" s="1"/>
  <c r="T852" i="5" a="1"/>
  <c r="T852" i="5" s="1"/>
  <c r="T853" i="5" a="1"/>
  <c r="T853" i="5" s="1"/>
  <c r="T854" i="5" a="1"/>
  <c r="T854" i="5" s="1"/>
  <c r="T855" i="5" a="1"/>
  <c r="T855" i="5" s="1"/>
  <c r="T856" i="5" a="1"/>
  <c r="T856" i="5" s="1"/>
  <c r="T857" i="5" a="1"/>
  <c r="T857" i="5" s="1"/>
  <c r="T858" i="5" a="1"/>
  <c r="T858" i="5" s="1"/>
  <c r="T859" i="5" a="1"/>
  <c r="T859" i="5" s="1"/>
  <c r="T860" i="5" a="1"/>
  <c r="T860" i="5" s="1"/>
  <c r="T861" i="5" a="1"/>
  <c r="T861" i="5" s="1"/>
  <c r="T862" i="5" a="1"/>
  <c r="T862" i="5" s="1"/>
  <c r="T863" i="5" a="1"/>
  <c r="T863" i="5" s="1"/>
  <c r="T864" i="5" a="1"/>
  <c r="T864" i="5" s="1"/>
  <c r="T865" i="5" a="1"/>
  <c r="T865" i="5" s="1"/>
  <c r="T866" i="5" a="1"/>
  <c r="T866" i="5" s="1"/>
  <c r="T867" i="5" a="1"/>
  <c r="T867" i="5" s="1"/>
  <c r="T868" i="5" a="1"/>
  <c r="T868" i="5" s="1"/>
  <c r="T869" i="5" a="1"/>
  <c r="T869" i="5" s="1"/>
  <c r="T870" i="5" a="1"/>
  <c r="T870" i="5" s="1"/>
  <c r="T871" i="5" a="1"/>
  <c r="T871" i="5" s="1"/>
  <c r="T872" i="5" a="1"/>
  <c r="T872" i="5" s="1"/>
  <c r="T873" i="5" a="1"/>
  <c r="T873" i="5" s="1"/>
  <c r="T874" i="5" a="1"/>
  <c r="T874" i="5" s="1"/>
  <c r="T875" i="5" a="1"/>
  <c r="T875" i="5" s="1"/>
  <c r="T876" i="5" a="1"/>
  <c r="T876" i="5" s="1"/>
  <c r="T877" i="5" a="1"/>
  <c r="T877" i="5" s="1"/>
  <c r="T878" i="5" a="1"/>
  <c r="T878" i="5" s="1"/>
  <c r="T879" i="5" a="1"/>
  <c r="T879" i="5" s="1"/>
  <c r="T880" i="5" a="1"/>
  <c r="T880" i="5" s="1"/>
  <c r="U880" i="5" s="1"/>
  <c r="T881" i="5" a="1"/>
  <c r="T881" i="5" s="1"/>
  <c r="T882" i="5" a="1"/>
  <c r="T882" i="5" s="1"/>
  <c r="T883" i="5" a="1"/>
  <c r="T883" i="5" s="1"/>
  <c r="U883" i="5" s="1"/>
  <c r="T884" i="5" a="1"/>
  <c r="T884" i="5" s="1"/>
  <c r="T885" i="5" a="1"/>
  <c r="T885" i="5" s="1"/>
  <c r="T886" i="5" a="1"/>
  <c r="T886" i="5" s="1"/>
  <c r="T887" i="5" a="1"/>
  <c r="T887" i="5" s="1"/>
  <c r="T888" i="5" a="1"/>
  <c r="T888" i="5" s="1"/>
  <c r="T889" i="5" a="1"/>
  <c r="T889" i="5" s="1"/>
  <c r="T890" i="5" a="1"/>
  <c r="T890" i="5" s="1"/>
  <c r="T891" i="5" a="1"/>
  <c r="T891" i="5" s="1"/>
  <c r="U891" i="5" s="1"/>
  <c r="T892" i="5" a="1"/>
  <c r="T892" i="5" s="1"/>
  <c r="T893" i="5" a="1"/>
  <c r="T893" i="5" s="1"/>
  <c r="T894" i="5" a="1"/>
  <c r="T894" i="5" s="1"/>
  <c r="T895" i="5" a="1"/>
  <c r="T895" i="5" s="1"/>
  <c r="T896" i="5" a="1"/>
  <c r="T896" i="5" s="1"/>
  <c r="T897" i="5" a="1"/>
  <c r="T897" i="5" s="1"/>
  <c r="T898" i="5" a="1"/>
  <c r="T898" i="5" s="1"/>
  <c r="T899" i="5" a="1"/>
  <c r="T899" i="5" s="1"/>
  <c r="U899" i="5" s="1"/>
  <c r="T900" i="5" a="1"/>
  <c r="T900" i="5" s="1"/>
  <c r="T901" i="5" a="1"/>
  <c r="T901" i="5" s="1"/>
  <c r="T902" i="5" a="1"/>
  <c r="T902" i="5" s="1"/>
  <c r="U902" i="5" s="1"/>
  <c r="T903" i="5" a="1"/>
  <c r="T903" i="5" s="1"/>
  <c r="U903" i="5" s="1"/>
  <c r="T904" i="5" a="1"/>
  <c r="T904" i="5" s="1"/>
  <c r="T905" i="5" a="1"/>
  <c r="T905" i="5" s="1"/>
  <c r="U905" i="5" s="1"/>
  <c r="W905" i="5" s="1"/>
  <c r="T906" i="5" a="1"/>
  <c r="T906" i="5" s="1"/>
  <c r="T907" i="5" a="1"/>
  <c r="T907" i="5" s="1"/>
  <c r="U907" i="5" s="1"/>
  <c r="T908" i="5" a="1"/>
  <c r="T908" i="5" s="1"/>
  <c r="T909" i="5" a="1"/>
  <c r="T909" i="5" s="1"/>
  <c r="T910" i="5" a="1"/>
  <c r="T910" i="5" s="1"/>
  <c r="U910" i="5" s="1"/>
  <c r="T911" i="5" a="1"/>
  <c r="T911" i="5" s="1"/>
  <c r="T912" i="5" a="1"/>
  <c r="T912" i="5" s="1"/>
  <c r="T913" i="5" a="1"/>
  <c r="T913" i="5" s="1"/>
  <c r="T914" i="5" a="1"/>
  <c r="T914" i="5" s="1"/>
  <c r="T915" i="5" a="1"/>
  <c r="T915" i="5" s="1"/>
  <c r="U915" i="5" s="1"/>
  <c r="T916" i="5" a="1"/>
  <c r="T916" i="5" s="1"/>
  <c r="T917" i="5" a="1"/>
  <c r="T917" i="5" s="1"/>
  <c r="T918" i="5" a="1"/>
  <c r="T918" i="5" s="1"/>
  <c r="T919" i="5" a="1"/>
  <c r="T919" i="5" s="1"/>
  <c r="U919" i="5" s="1"/>
  <c r="T920" i="5" a="1"/>
  <c r="T920" i="5" s="1"/>
  <c r="T921" i="5" a="1"/>
  <c r="T921" i="5" s="1"/>
  <c r="T922" i="5" a="1"/>
  <c r="T922" i="5" s="1"/>
  <c r="T923" i="5" a="1"/>
  <c r="T923" i="5" s="1"/>
  <c r="U923" i="5" s="1"/>
  <c r="T924" i="5" a="1"/>
  <c r="T924" i="5" s="1"/>
  <c r="T925" i="5" a="1"/>
  <c r="T925" i="5" s="1"/>
  <c r="T926" i="5" a="1"/>
  <c r="T926" i="5" s="1"/>
  <c r="T927" i="5" a="1"/>
  <c r="T927" i="5" s="1"/>
  <c r="T928" i="5" a="1"/>
  <c r="T928" i="5" s="1"/>
  <c r="T929" i="5" a="1"/>
  <c r="T929" i="5" s="1"/>
  <c r="T930" i="5" a="1"/>
  <c r="T930" i="5" s="1"/>
  <c r="T931" i="5" a="1"/>
  <c r="T931" i="5" s="1"/>
  <c r="U931" i="5" s="1"/>
  <c r="T941" i="5" a="1"/>
  <c r="T941" i="5" s="1"/>
  <c r="T946" i="5" a="1"/>
  <c r="T946" i="5" s="1"/>
  <c r="T947" i="5" a="1"/>
  <c r="T947" i="5" s="1"/>
  <c r="T948" i="5" a="1"/>
  <c r="T948" i="5" s="1"/>
  <c r="T949" i="5" a="1"/>
  <c r="T949" i="5" s="1"/>
  <c r="T950" i="5" a="1"/>
  <c r="T950" i="5" s="1"/>
  <c r="T951" i="5" a="1"/>
  <c r="T951" i="5" s="1"/>
  <c r="T952" i="5" a="1"/>
  <c r="T952" i="5" s="1"/>
  <c r="U952" i="5" s="1"/>
  <c r="T953" i="5" a="1"/>
  <c r="T953" i="5" s="1"/>
  <c r="T954" i="5" a="1"/>
  <c r="T954" i="5" s="1"/>
  <c r="T955" i="5" a="1"/>
  <c r="T955" i="5" s="1"/>
  <c r="T956" i="5" a="1"/>
  <c r="T956" i="5" s="1"/>
  <c r="T957" i="5" a="1"/>
  <c r="T957" i="5" s="1"/>
  <c r="T958" i="5" a="1"/>
  <c r="T958" i="5" s="1"/>
  <c r="T959" i="5" a="1"/>
  <c r="T959" i="5" s="1"/>
  <c r="T960" i="5" a="1"/>
  <c r="T960" i="5" s="1"/>
  <c r="U960" i="5" s="1"/>
  <c r="T961" i="5" a="1"/>
  <c r="T961" i="5" s="1"/>
  <c r="T962" i="5" a="1"/>
  <c r="T962" i="5" s="1"/>
  <c r="T963" i="5" a="1"/>
  <c r="T963" i="5" s="1"/>
  <c r="T964" i="5" a="1"/>
  <c r="T964" i="5" s="1"/>
  <c r="T965" i="5" a="1"/>
  <c r="T965" i="5" s="1"/>
  <c r="T966" i="5" a="1"/>
  <c r="T966" i="5" s="1"/>
  <c r="U966" i="5" s="1"/>
  <c r="W966" i="5" s="1"/>
  <c r="T967" i="5" a="1"/>
  <c r="T967" i="5" s="1"/>
  <c r="T968" i="5" a="1"/>
  <c r="T968" i="5" s="1"/>
  <c r="U968" i="5" s="1"/>
  <c r="T969" i="5" a="1"/>
  <c r="T969" i="5" s="1"/>
  <c r="T970" i="5" a="1"/>
  <c r="T970" i="5" s="1"/>
  <c r="T971" i="5" a="1"/>
  <c r="T971" i="5" s="1"/>
  <c r="T972" i="5" a="1"/>
  <c r="T972" i="5" s="1"/>
  <c r="T973" i="5" a="1"/>
  <c r="T973" i="5" s="1"/>
  <c r="T974" i="5" a="1"/>
  <c r="T974" i="5" s="1"/>
  <c r="U974" i="5" s="1"/>
  <c r="W974" i="5" s="1"/>
  <c r="T975" i="5" a="1"/>
  <c r="T975" i="5" s="1"/>
  <c r="T976" i="5" a="1"/>
  <c r="T976" i="5" s="1"/>
  <c r="U976" i="5" s="1"/>
  <c r="T977" i="5" a="1"/>
  <c r="T977" i="5" s="1"/>
  <c r="T978" i="5" a="1"/>
  <c r="T978" i="5" s="1"/>
  <c r="T979" i="5" a="1"/>
  <c r="T979" i="5" s="1"/>
  <c r="T980" i="5" a="1"/>
  <c r="T980" i="5" s="1"/>
  <c r="T981" i="5" a="1"/>
  <c r="T981" i="5" s="1"/>
  <c r="T982" i="5" a="1"/>
  <c r="T982" i="5" s="1"/>
  <c r="T989" i="5" a="1"/>
  <c r="T989" i="5" s="1"/>
  <c r="T990" i="5" a="1"/>
  <c r="T990" i="5" s="1"/>
  <c r="U990" i="5" s="1"/>
  <c r="T991" i="5" a="1"/>
  <c r="T991" i="5" s="1"/>
  <c r="T992" i="5" a="1"/>
  <c r="T992" i="5" s="1"/>
  <c r="T993" i="5" a="1"/>
  <c r="T993" i="5" s="1"/>
  <c r="T994" i="5" a="1"/>
  <c r="T994" i="5" s="1"/>
  <c r="T995" i="5" a="1"/>
  <c r="T995" i="5" s="1"/>
  <c r="T996" i="5" a="1"/>
  <c r="T996" i="5" s="1"/>
  <c r="T997" i="5" a="1"/>
  <c r="T997" i="5" s="1"/>
  <c r="T998" i="5" a="1"/>
  <c r="T998" i="5" s="1"/>
  <c r="U998" i="5" s="1"/>
  <c r="T999" i="5" a="1"/>
  <c r="T999" i="5" s="1"/>
  <c r="T1000" i="5" a="1"/>
  <c r="T1000" i="5" s="1"/>
  <c r="T1001" i="5" a="1"/>
  <c r="T1001" i="5" s="1"/>
  <c r="T1002" i="5" a="1"/>
  <c r="T1002" i="5" s="1"/>
  <c r="T1003" i="5" a="1"/>
  <c r="T1003" i="5" s="1"/>
  <c r="U1003" i="5" s="1"/>
  <c r="T1004" i="5" a="1"/>
  <c r="T1004" i="5" s="1"/>
  <c r="T1005" i="5" a="1"/>
  <c r="T1005" i="5" s="1"/>
  <c r="T1015" i="5" a="1"/>
  <c r="T1015" i="5" s="1"/>
  <c r="U1015" i="5" s="1"/>
  <c r="T1016" i="5" a="1"/>
  <c r="T1016" i="5" s="1"/>
  <c r="T1017" i="5" a="1"/>
  <c r="T1017" i="5" s="1"/>
  <c r="T1018" i="5" a="1"/>
  <c r="T1018" i="5" s="1"/>
  <c r="T1019" i="5" a="1"/>
  <c r="T1019" i="5" s="1"/>
  <c r="T1020" i="5" a="1"/>
  <c r="T1020" i="5" s="1"/>
  <c r="T1021" i="5" a="1"/>
  <c r="T1021" i="5" s="1"/>
  <c r="T1022" i="5" a="1"/>
  <c r="T1022" i="5" s="1"/>
  <c r="T1023" i="5" a="1"/>
  <c r="T1023" i="5" s="1"/>
  <c r="U1023" i="5" s="1"/>
  <c r="T1024" i="5" a="1"/>
  <c r="T1024" i="5" s="1"/>
  <c r="U1024" i="5" s="1"/>
  <c r="T1025" i="5" a="1"/>
  <c r="T1025" i="5" s="1"/>
  <c r="U1025" i="5" s="1"/>
  <c r="T1026" i="5" a="1"/>
  <c r="T1026" i="5" s="1"/>
  <c r="U1026" i="5" s="1"/>
  <c r="T1027" i="5" a="1"/>
  <c r="T1027" i="5" s="1"/>
  <c r="U1027" i="5" s="1"/>
  <c r="T1028" i="5" a="1"/>
  <c r="T1028" i="5" s="1"/>
  <c r="U1028" i="5" s="1"/>
  <c r="T1029" i="5" a="1"/>
  <c r="T1029" i="5" s="1"/>
  <c r="U1029" i="5" s="1"/>
  <c r="T1030" i="5" a="1"/>
  <c r="T1030" i="5" s="1"/>
  <c r="U1030" i="5" s="1"/>
  <c r="T1031" i="5" a="1"/>
  <c r="T1031" i="5" s="1"/>
  <c r="U1031" i="5" s="1"/>
  <c r="T1032" i="5" a="1"/>
  <c r="T1032" i="5" s="1"/>
  <c r="U1032" i="5" s="1"/>
  <c r="T1033" i="5" a="1"/>
  <c r="T1033" i="5" s="1"/>
  <c r="U1033" i="5" s="1"/>
  <c r="T1034" i="5" a="1"/>
  <c r="T1034" i="5" s="1"/>
  <c r="U1034" i="5" s="1"/>
  <c r="T1035" i="5" a="1"/>
  <c r="T1035" i="5" s="1"/>
  <c r="U1035" i="5" s="1"/>
  <c r="T1036" i="5" a="1"/>
  <c r="T1036" i="5" s="1"/>
  <c r="U1036" i="5" s="1"/>
  <c r="T1037" i="5" a="1"/>
  <c r="T1037" i="5" s="1"/>
  <c r="U1037" i="5" s="1"/>
  <c r="T1038" i="5" a="1"/>
  <c r="T1038" i="5" s="1"/>
  <c r="U1038" i="5" s="1"/>
  <c r="T1039" i="5" a="1"/>
  <c r="T1039" i="5" s="1"/>
  <c r="U1039" i="5" s="1"/>
  <c r="T1040" i="5" a="1"/>
  <c r="T1040" i="5" s="1"/>
  <c r="U1040" i="5" s="1"/>
  <c r="T1041" i="5" a="1"/>
  <c r="T1041" i="5" s="1"/>
  <c r="U1041" i="5" s="1"/>
  <c r="T1042" i="5" a="1"/>
  <c r="T1042" i="5" s="1"/>
  <c r="U1042" i="5" s="1"/>
  <c r="T1043" i="5" a="1"/>
  <c r="T1043" i="5" s="1"/>
  <c r="U1043" i="5" s="1"/>
  <c r="T1044" i="5" a="1"/>
  <c r="T1044" i="5" s="1"/>
  <c r="U1044" i="5" s="1"/>
  <c r="T1045" i="5" a="1"/>
  <c r="T1045" i="5" s="1"/>
  <c r="U1045" i="5" s="1"/>
  <c r="T1046" i="5" a="1"/>
  <c r="T1046" i="5" s="1"/>
  <c r="U1046" i="5" s="1"/>
  <c r="T1047" i="5" a="1"/>
  <c r="T1047" i="5" s="1"/>
  <c r="U1047" i="5" s="1"/>
  <c r="T1048" i="5" a="1"/>
  <c r="T1048" i="5" s="1"/>
  <c r="U1048" i="5" s="1"/>
  <c r="T1049" i="5" a="1"/>
  <c r="T1049" i="5" s="1"/>
  <c r="U1049" i="5" s="1"/>
  <c r="T1057" i="5" a="1"/>
  <c r="T1057" i="5" s="1"/>
  <c r="U1057" i="5" s="1"/>
  <c r="T1058" i="5" a="1"/>
  <c r="T1058" i="5" s="1"/>
  <c r="U1058" i="5" s="1"/>
  <c r="T1059" i="5" a="1"/>
  <c r="T1059" i="5" s="1"/>
  <c r="U1059" i="5" s="1"/>
  <c r="T1060" i="5" a="1"/>
  <c r="T1060" i="5" s="1"/>
  <c r="U1060" i="5" s="1"/>
  <c r="T1061" i="5" a="1"/>
  <c r="T1061" i="5" s="1"/>
  <c r="U1061" i="5" s="1"/>
  <c r="T1062" i="5" a="1"/>
  <c r="T1062" i="5" s="1"/>
  <c r="U1062" i="5" s="1"/>
  <c r="T1063" i="5" a="1"/>
  <c r="T1063" i="5" s="1"/>
  <c r="U1063" i="5" s="1"/>
  <c r="T1064" i="5" a="1"/>
  <c r="T1064" i="5" s="1"/>
  <c r="U1064" i="5" s="1"/>
  <c r="T1065" i="5" a="1"/>
  <c r="T1065" i="5" s="1"/>
  <c r="U1065" i="5" s="1"/>
  <c r="T1066" i="5" a="1"/>
  <c r="T1066" i="5" s="1"/>
  <c r="U1066" i="5" s="1"/>
  <c r="T1067" i="5" a="1"/>
  <c r="T1067" i="5" s="1"/>
  <c r="U1067" i="5" s="1"/>
  <c r="T1068" i="5" a="1"/>
  <c r="T1068" i="5" s="1"/>
  <c r="U1068" i="5" s="1"/>
  <c r="T1069" i="5" a="1"/>
  <c r="T1069" i="5" s="1"/>
  <c r="U1069" i="5" s="1"/>
  <c r="T1072" i="5" a="1"/>
  <c r="T1072" i="5" s="1"/>
  <c r="U1072" i="5" s="1"/>
  <c r="T1073" i="5" a="1"/>
  <c r="T1073" i="5" s="1"/>
  <c r="U1073" i="5" s="1"/>
  <c r="T1074" i="5" a="1"/>
  <c r="T1074" i="5" s="1"/>
  <c r="U1074" i="5" s="1"/>
  <c r="T1075" i="5" a="1"/>
  <c r="T1075" i="5" s="1"/>
  <c r="U1075" i="5" s="1"/>
  <c r="T1076" i="5" a="1"/>
  <c r="T1076" i="5" s="1"/>
  <c r="U1076" i="5" s="1"/>
  <c r="T1077" i="5" a="1"/>
  <c r="T1077" i="5" s="1"/>
  <c r="U1077" i="5" s="1"/>
  <c r="T1078" i="5" a="1"/>
  <c r="T1078" i="5" s="1"/>
  <c r="U1078" i="5" s="1"/>
  <c r="T1079" i="5" a="1"/>
  <c r="T1079" i="5" s="1"/>
  <c r="U1079" i="5" s="1"/>
  <c r="T1080" i="5" a="1"/>
  <c r="T1080" i="5" s="1"/>
  <c r="U1080" i="5" s="1"/>
  <c r="T1081" i="5" a="1"/>
  <c r="T1081" i="5" s="1"/>
  <c r="U1081" i="5" s="1"/>
  <c r="T1082" i="5" a="1"/>
  <c r="T1082" i="5" s="1"/>
  <c r="U1082" i="5" s="1"/>
  <c r="T1083" i="5" a="1"/>
  <c r="T1083" i="5" s="1"/>
  <c r="U1083" i="5" s="1"/>
  <c r="T1084" i="5" a="1"/>
  <c r="T1084" i="5" s="1"/>
  <c r="U1084" i="5" s="1"/>
  <c r="T1085" i="5" a="1"/>
  <c r="T1085" i="5" s="1"/>
  <c r="U1085" i="5" s="1"/>
  <c r="T1086" i="5" a="1"/>
  <c r="T1086" i="5" s="1"/>
  <c r="U1086" i="5" s="1"/>
  <c r="T1087" i="5" a="1"/>
  <c r="T1087" i="5" s="1"/>
  <c r="U1087" i="5" s="1"/>
  <c r="T1088" i="5" a="1"/>
  <c r="T1088" i="5" s="1"/>
  <c r="U1088" i="5" s="1"/>
  <c r="T1089" i="5" a="1"/>
  <c r="T1089" i="5" s="1"/>
  <c r="U1089" i="5" s="1"/>
  <c r="T1090" i="5" a="1"/>
  <c r="T1090" i="5" s="1"/>
  <c r="U1090" i="5" s="1"/>
  <c r="T1091" i="5" a="1"/>
  <c r="T1091" i="5" s="1"/>
  <c r="U1091" i="5" s="1"/>
  <c r="T1092" i="5" a="1"/>
  <c r="T1092" i="5" s="1"/>
  <c r="U1092" i="5" s="1"/>
  <c r="T1093" i="5" a="1"/>
  <c r="T1093" i="5" s="1"/>
  <c r="U1093" i="5" s="1"/>
  <c r="T1094" i="5" a="1"/>
  <c r="T1094" i="5" s="1"/>
  <c r="U1094" i="5" s="1"/>
  <c r="T1095" i="5" a="1"/>
  <c r="T1095" i="5" s="1"/>
  <c r="U1095" i="5" s="1"/>
  <c r="T1096" i="5" a="1"/>
  <c r="T1096" i="5" s="1"/>
  <c r="U1096" i="5" s="1"/>
  <c r="T1097" i="5" a="1"/>
  <c r="T1097" i="5" s="1"/>
  <c r="U1097" i="5" s="1"/>
  <c r="T1098" i="5" a="1"/>
  <c r="T1098" i="5" s="1"/>
  <c r="U1098" i="5" s="1"/>
  <c r="T1099" i="5" a="1"/>
  <c r="T1099" i="5" s="1"/>
  <c r="U1099" i="5" s="1"/>
  <c r="T1100" i="5" a="1"/>
  <c r="T1100" i="5" s="1"/>
  <c r="U1100" i="5" s="1"/>
  <c r="T1101" i="5" a="1"/>
  <c r="T1101" i="5" s="1"/>
  <c r="U1101" i="5" s="1"/>
  <c r="T1102" i="5" a="1"/>
  <c r="T1102" i="5" s="1"/>
  <c r="U1102" i="5" s="1"/>
  <c r="T1103" i="5" a="1"/>
  <c r="T1103" i="5" s="1"/>
  <c r="U1103" i="5" s="1"/>
  <c r="T1104" i="5" a="1"/>
  <c r="T1104" i="5" s="1"/>
  <c r="U1104" i="5" s="1"/>
  <c r="T1105" i="5" a="1"/>
  <c r="T1105" i="5" s="1"/>
  <c r="U1105" i="5" s="1"/>
  <c r="T1106" i="5" a="1"/>
  <c r="T1106" i="5" s="1"/>
  <c r="U1106" i="5" s="1"/>
  <c r="T1107" i="5" a="1"/>
  <c r="T1107" i="5" s="1"/>
  <c r="U1107" i="5" s="1"/>
  <c r="T1108" i="5" a="1"/>
  <c r="T1108" i="5" s="1"/>
  <c r="U1108" i="5" s="1"/>
  <c r="T1109" i="5" a="1"/>
  <c r="T1109" i="5" s="1"/>
  <c r="U1109" i="5" s="1"/>
  <c r="T1110" i="5" a="1"/>
  <c r="T1110" i="5" s="1"/>
  <c r="U1110" i="5" s="1"/>
  <c r="T1111" i="5" a="1"/>
  <c r="T1111" i="5" s="1"/>
  <c r="U1111" i="5" s="1"/>
  <c r="T1112" i="5" a="1"/>
  <c r="T1112" i="5" s="1"/>
  <c r="U1112" i="5" s="1"/>
  <c r="T1113" i="5" a="1"/>
  <c r="T1113" i="5" s="1"/>
  <c r="U1113" i="5" s="1"/>
  <c r="T1114" i="5" a="1"/>
  <c r="T1114" i="5" s="1"/>
  <c r="U1114" i="5" s="1"/>
  <c r="T1115" i="5" a="1"/>
  <c r="T1115" i="5" s="1"/>
  <c r="U1115" i="5" s="1"/>
  <c r="T1116" i="5" a="1"/>
  <c r="T1116" i="5" s="1"/>
  <c r="U1116" i="5" s="1"/>
  <c r="T1117" i="5" a="1"/>
  <c r="T1117" i="5" s="1"/>
  <c r="U1117" i="5" s="1"/>
  <c r="T1118" i="5" a="1"/>
  <c r="T1118" i="5" s="1"/>
  <c r="U1118" i="5" s="1"/>
  <c r="T1119" i="5" a="1"/>
  <c r="T1119" i="5" s="1"/>
  <c r="U1119" i="5" s="1"/>
  <c r="T1120" i="5" a="1"/>
  <c r="T1120" i="5" s="1"/>
  <c r="U1120" i="5" s="1"/>
  <c r="T1121" i="5" a="1"/>
  <c r="T1121" i="5" s="1"/>
  <c r="U1121" i="5" s="1"/>
  <c r="T1122" i="5" a="1"/>
  <c r="T1122" i="5" s="1"/>
  <c r="U1122" i="5" s="1"/>
  <c r="T1123" i="5" a="1"/>
  <c r="T1123" i="5" s="1"/>
  <c r="U1123" i="5" s="1"/>
  <c r="T1124" i="5" a="1"/>
  <c r="T1124" i="5" s="1"/>
  <c r="U1124" i="5" s="1"/>
  <c r="T1125" i="5" a="1"/>
  <c r="T1125" i="5" s="1"/>
  <c r="U1125" i="5" s="1"/>
  <c r="T1126" i="5" a="1"/>
  <c r="T1126" i="5" s="1"/>
  <c r="U1126" i="5" s="1"/>
  <c r="T1127" i="5" a="1"/>
  <c r="T1127" i="5" s="1"/>
  <c r="U1127" i="5" s="1"/>
  <c r="T1128" i="5" a="1"/>
  <c r="T1128" i="5" s="1"/>
  <c r="U1128" i="5" s="1"/>
  <c r="T1129" i="5" a="1"/>
  <c r="T1129" i="5" s="1"/>
  <c r="U1129" i="5" s="1"/>
  <c r="T1130" i="5" a="1"/>
  <c r="T1130" i="5" s="1"/>
  <c r="U1130" i="5" s="1"/>
  <c r="T1131" i="5" a="1"/>
  <c r="T1131" i="5" s="1"/>
  <c r="U1131" i="5" s="1"/>
  <c r="T1132" i="5" a="1"/>
  <c r="T1132" i="5" s="1"/>
  <c r="U1132" i="5" s="1"/>
  <c r="T1133" i="5" a="1"/>
  <c r="T1133" i="5" s="1"/>
  <c r="U1133" i="5" s="1"/>
  <c r="T1134" i="5" a="1"/>
  <c r="T1134" i="5" s="1"/>
  <c r="U1134" i="5" s="1"/>
  <c r="T1135" i="5" a="1"/>
  <c r="T1135" i="5" s="1"/>
  <c r="U1135" i="5" s="1"/>
  <c r="T1136" i="5" a="1"/>
  <c r="T1136" i="5" s="1"/>
  <c r="U1136" i="5" s="1"/>
  <c r="T1137" i="5" a="1"/>
  <c r="T1137" i="5" s="1"/>
  <c r="U1137" i="5" s="1"/>
  <c r="T1138" i="5" a="1"/>
  <c r="T1138" i="5" s="1"/>
  <c r="U1138" i="5" s="1"/>
  <c r="T1139" i="5" a="1"/>
  <c r="T1139" i="5" s="1"/>
  <c r="U1139" i="5" s="1"/>
  <c r="T1140" i="5" a="1"/>
  <c r="T1140" i="5" s="1"/>
  <c r="U1140" i="5" s="1"/>
  <c r="T1141" i="5" a="1"/>
  <c r="T1141" i="5" s="1"/>
  <c r="U1141" i="5" s="1"/>
  <c r="T1142" i="5" a="1"/>
  <c r="T1142" i="5" s="1"/>
  <c r="U1142" i="5" s="1"/>
  <c r="T1143" i="5" a="1"/>
  <c r="T1143" i="5" s="1"/>
  <c r="U1143" i="5" s="1"/>
  <c r="T1144" i="5" a="1"/>
  <c r="T1144" i="5" s="1"/>
  <c r="U1144" i="5" s="1"/>
  <c r="T1145" i="5" a="1"/>
  <c r="T1145" i="5" s="1"/>
  <c r="U1145" i="5" s="1"/>
  <c r="T1146" i="5" a="1"/>
  <c r="T1146" i="5" s="1"/>
  <c r="U1146" i="5" s="1"/>
  <c r="T1147" i="5" a="1"/>
  <c r="T1147" i="5" s="1"/>
  <c r="U1147" i="5" s="1"/>
  <c r="T1148" i="5" a="1"/>
  <c r="T1148" i="5" s="1"/>
  <c r="U1148" i="5" s="1"/>
  <c r="T1149" i="5" a="1"/>
  <c r="T1149" i="5" s="1"/>
  <c r="U1149" i="5" s="1"/>
  <c r="T1150" i="5" a="1"/>
  <c r="T1150" i="5" s="1"/>
  <c r="U1150" i="5" s="1"/>
  <c r="T1151" i="5" a="1"/>
  <c r="T1151" i="5" s="1"/>
  <c r="U1151" i="5" s="1"/>
  <c r="T1152" i="5" a="1"/>
  <c r="T1152" i="5" s="1"/>
  <c r="U1152" i="5" s="1"/>
  <c r="T1153" i="5" a="1"/>
  <c r="T1153" i="5" s="1"/>
  <c r="U1153" i="5" s="1"/>
  <c r="T1154" i="5" a="1"/>
  <c r="T1154" i="5" s="1"/>
  <c r="U1154" i="5" s="1"/>
  <c r="T1155" i="5" a="1"/>
  <c r="T1155" i="5" s="1"/>
  <c r="U1155" i="5" s="1"/>
  <c r="T1156" i="5" a="1"/>
  <c r="T1156" i="5" s="1"/>
  <c r="U1156" i="5" s="1"/>
  <c r="T1157" i="5" a="1"/>
  <c r="T1157" i="5" s="1"/>
  <c r="U1157" i="5" s="1"/>
  <c r="T1158" i="5" a="1"/>
  <c r="T1158" i="5" s="1"/>
  <c r="U1158" i="5" s="1"/>
  <c r="T1159" i="5" a="1"/>
  <c r="T1159" i="5" s="1"/>
  <c r="U1159" i="5" s="1"/>
  <c r="T1160" i="5" a="1"/>
  <c r="T1160" i="5" s="1"/>
  <c r="U1160" i="5" s="1"/>
  <c r="T1197" i="5" a="1"/>
  <c r="T1197" i="5" s="1"/>
  <c r="U1197" i="5" s="1"/>
  <c r="T1198" i="5" a="1"/>
  <c r="T1198" i="5" s="1"/>
  <c r="U1198" i="5" s="1"/>
  <c r="T1199" i="5" a="1"/>
  <c r="T1199" i="5" s="1"/>
  <c r="U1199" i="5" s="1"/>
  <c r="T1200" i="5" a="1"/>
  <c r="T1200" i="5" s="1"/>
  <c r="U1200" i="5" s="1"/>
  <c r="T1201" i="5" a="1"/>
  <c r="T1201" i="5" s="1"/>
  <c r="U1201" i="5" s="1"/>
  <c r="T1202" i="5" a="1"/>
  <c r="T1202" i="5" s="1"/>
  <c r="U1202" i="5" s="1"/>
  <c r="T1203" i="5" a="1"/>
  <c r="T1203" i="5" s="1"/>
  <c r="U1203" i="5" s="1"/>
  <c r="T1204" i="5" a="1"/>
  <c r="T1204" i="5" s="1"/>
  <c r="U1204" i="5" s="1"/>
  <c r="T1205" i="5" a="1"/>
  <c r="T1205" i="5" s="1"/>
  <c r="U1205" i="5" s="1"/>
  <c r="T1206" i="5" a="1"/>
  <c r="T1206" i="5" s="1"/>
  <c r="U1206" i="5" s="1"/>
  <c r="T1207" i="5" a="1"/>
  <c r="T1207" i="5" s="1"/>
  <c r="U1207" i="5" s="1"/>
  <c r="T1208" i="5" a="1"/>
  <c r="T1208" i="5" s="1"/>
  <c r="U1208" i="5" s="1"/>
  <c r="T1209" i="5" a="1"/>
  <c r="T1209" i="5" s="1"/>
  <c r="U1209" i="5" s="1"/>
  <c r="T1210" i="5" a="1"/>
  <c r="T1210" i="5" s="1"/>
  <c r="U1210" i="5" s="1"/>
  <c r="T1211" i="5" a="1"/>
  <c r="T1211" i="5" s="1"/>
  <c r="U1211" i="5" s="1"/>
  <c r="T1212" i="5" a="1"/>
  <c r="T1212" i="5" s="1"/>
  <c r="U1212" i="5" s="1"/>
  <c r="T1213" i="5" a="1"/>
  <c r="T1213" i="5" s="1"/>
  <c r="U1213" i="5" s="1"/>
  <c r="T1214" i="5" a="1"/>
  <c r="T1214" i="5" s="1"/>
  <c r="U1214" i="5" s="1"/>
  <c r="T1215" i="5" a="1"/>
  <c r="T1215" i="5" s="1"/>
  <c r="U1215" i="5" s="1"/>
  <c r="T1216" i="5" a="1"/>
  <c r="T1216" i="5" s="1"/>
  <c r="U1216" i="5" s="1"/>
  <c r="T1217" i="5" a="1"/>
  <c r="T1217" i="5" s="1"/>
  <c r="U1217" i="5" s="1"/>
  <c r="T1218" i="5" a="1"/>
  <c r="T1218" i="5" s="1"/>
  <c r="U1218" i="5" s="1"/>
  <c r="T1219" i="5" a="1"/>
  <c r="T1219" i="5" s="1"/>
  <c r="U1219" i="5" s="1"/>
  <c r="T1220" i="5" a="1"/>
  <c r="T1220" i="5" s="1"/>
  <c r="U1220" i="5" s="1"/>
  <c r="T1221" i="5" a="1"/>
  <c r="T1221" i="5" s="1"/>
  <c r="U1221" i="5" s="1"/>
  <c r="T1222" i="5" a="1"/>
  <c r="T1222" i="5" s="1"/>
  <c r="U1222" i="5" s="1"/>
  <c r="T1224" i="5" a="1"/>
  <c r="T1224" i="5" s="1"/>
  <c r="U1224" i="5" s="1"/>
  <c r="T1225" i="5" a="1"/>
  <c r="T1225" i="5" s="1"/>
  <c r="U1225" i="5" s="1"/>
  <c r="T1226" i="5" a="1"/>
  <c r="T1226" i="5" s="1"/>
  <c r="U1226" i="5" s="1"/>
  <c r="T1227" i="5" a="1"/>
  <c r="T1227" i="5" s="1"/>
  <c r="U1227" i="5" s="1"/>
  <c r="T1228" i="5" a="1"/>
  <c r="T1228" i="5" s="1"/>
  <c r="U1228" i="5" s="1"/>
  <c r="T1229" i="5" a="1"/>
  <c r="T1229" i="5" s="1"/>
  <c r="U1229" i="5" s="1"/>
  <c r="T1230" i="5" a="1"/>
  <c r="T1230" i="5" s="1"/>
  <c r="U1230" i="5" s="1"/>
  <c r="T1231" i="5" a="1"/>
  <c r="T1231" i="5" s="1"/>
  <c r="U1231" i="5" s="1"/>
  <c r="T1232" i="5" a="1"/>
  <c r="T1232" i="5" s="1"/>
  <c r="U1232" i="5" s="1"/>
  <c r="T1233" i="5" a="1"/>
  <c r="T1233" i="5" s="1"/>
  <c r="U1233" i="5" s="1"/>
  <c r="T1234" i="5" a="1"/>
  <c r="T1234" i="5" s="1"/>
  <c r="U1234" i="5" s="1"/>
  <c r="T1235" i="5" a="1"/>
  <c r="T1235" i="5" s="1"/>
  <c r="U1235" i="5" s="1"/>
  <c r="T1236" i="5" a="1"/>
  <c r="T1236" i="5" s="1"/>
  <c r="U1236" i="5" s="1"/>
  <c r="T1237" i="5" a="1"/>
  <c r="T1237" i="5" s="1"/>
  <c r="U1237" i="5" s="1"/>
  <c r="T1238" i="5" a="1"/>
  <c r="T1238" i="5" s="1"/>
  <c r="U1238" i="5" s="1"/>
  <c r="T1239" i="5" a="1"/>
  <c r="T1239" i="5" s="1"/>
  <c r="U1239" i="5" s="1"/>
  <c r="T1240" i="5" a="1"/>
  <c r="T1240" i="5" s="1"/>
  <c r="U1240" i="5" s="1"/>
  <c r="T1241" i="5" a="1"/>
  <c r="T1241" i="5" s="1"/>
  <c r="U1241" i="5" s="1"/>
  <c r="T1242" i="5" a="1"/>
  <c r="T1242" i="5" s="1"/>
  <c r="U1242" i="5" s="1"/>
  <c r="T1243" i="5" a="1"/>
  <c r="T1243" i="5" s="1"/>
  <c r="U1243" i="5" s="1"/>
  <c r="T1244" i="5" a="1"/>
  <c r="T1244" i="5" s="1"/>
  <c r="U1244" i="5" s="1"/>
  <c r="T1245" i="5" a="1"/>
  <c r="T1245" i="5" s="1"/>
  <c r="U1245" i="5" s="1"/>
  <c r="T1246" i="5" a="1"/>
  <c r="T1246" i="5" s="1"/>
  <c r="U1246" i="5" s="1"/>
  <c r="T1247" i="5" a="1"/>
  <c r="T1247" i="5" s="1"/>
  <c r="U1247" i="5" s="1"/>
  <c r="T1248" i="5" a="1"/>
  <c r="T1248" i="5" s="1"/>
  <c r="U1248" i="5" s="1"/>
  <c r="T1249" i="5" a="1"/>
  <c r="T1249" i="5" s="1"/>
  <c r="U1249" i="5" s="1"/>
  <c r="T1250" i="5" a="1"/>
  <c r="T1250" i="5" s="1"/>
  <c r="U1250" i="5" s="1"/>
  <c r="T1251" i="5" a="1"/>
  <c r="T1251" i="5" s="1"/>
  <c r="U1251" i="5" s="1"/>
  <c r="T1252" i="5" a="1"/>
  <c r="T1252" i="5" s="1"/>
  <c r="U1252" i="5" s="1"/>
  <c r="T1253" i="5" a="1"/>
  <c r="T1253" i="5" s="1"/>
  <c r="U1253" i="5" s="1"/>
  <c r="T1254" i="5" a="1"/>
  <c r="T1254" i="5" s="1"/>
  <c r="U1254" i="5" s="1"/>
  <c r="T1255" i="5" a="1"/>
  <c r="T1255" i="5" s="1"/>
  <c r="U1255" i="5" s="1"/>
  <c r="T1256" i="5" a="1"/>
  <c r="T1256" i="5" s="1"/>
  <c r="U1256" i="5" s="1"/>
  <c r="T1257" i="5" a="1"/>
  <c r="T1257" i="5" s="1"/>
  <c r="U1257" i="5" s="1"/>
  <c r="T1259" i="5" a="1"/>
  <c r="T1259" i="5" s="1"/>
  <c r="U1259" i="5" s="1"/>
  <c r="T1260" i="5" a="1"/>
  <c r="T1260" i="5" s="1"/>
  <c r="U1260" i="5" s="1"/>
  <c r="T1261" i="5" a="1"/>
  <c r="T1261" i="5" s="1"/>
  <c r="U1261" i="5" s="1"/>
  <c r="T1262" i="5" a="1"/>
  <c r="T1262" i="5" s="1"/>
  <c r="U1262" i="5" s="1"/>
  <c r="T1263" i="5" a="1"/>
  <c r="T1263" i="5" s="1"/>
  <c r="U1263" i="5" s="1"/>
  <c r="T1264" i="5" a="1"/>
  <c r="T1264" i="5" s="1"/>
  <c r="U1264" i="5" s="1"/>
  <c r="T1265" i="5" a="1"/>
  <c r="T1265" i="5" s="1"/>
  <c r="U1265" i="5" s="1"/>
  <c r="T1266" i="5" a="1"/>
  <c r="T1266" i="5" s="1"/>
  <c r="U1266" i="5" s="1"/>
  <c r="T1267" i="5" a="1"/>
  <c r="T1267" i="5" s="1"/>
  <c r="U1267" i="5" s="1"/>
  <c r="T1268" i="5" a="1"/>
  <c r="T1268" i="5" s="1"/>
  <c r="U1268" i="5" s="1"/>
  <c r="T1269" i="5" a="1"/>
  <c r="T1269" i="5" s="1"/>
  <c r="U1269" i="5" s="1"/>
  <c r="T1270" i="5" a="1"/>
  <c r="T1270" i="5" s="1"/>
  <c r="U1270" i="5" s="1"/>
  <c r="T1271" i="5" a="1"/>
  <c r="T1271" i="5" s="1"/>
  <c r="U1271" i="5" s="1"/>
  <c r="T1272" i="5" a="1"/>
  <c r="T1272" i="5" s="1"/>
  <c r="U1272" i="5" s="1"/>
  <c r="T1273" i="5" a="1"/>
  <c r="T1273" i="5" s="1"/>
  <c r="U1273" i="5" s="1"/>
  <c r="T1274" i="5" a="1"/>
  <c r="T1274" i="5" s="1"/>
  <c r="U1274" i="5" s="1"/>
  <c r="T1275" i="5" a="1"/>
  <c r="T1275" i="5" s="1"/>
  <c r="U1275" i="5" s="1"/>
  <c r="T1276" i="5" a="1"/>
  <c r="T1276" i="5" s="1"/>
  <c r="U1276" i="5" s="1"/>
  <c r="T1277" i="5" a="1"/>
  <c r="T1277" i="5" s="1"/>
  <c r="U1277" i="5" s="1"/>
  <c r="T1278" i="5" a="1"/>
  <c r="T1278" i="5" s="1"/>
  <c r="U1278" i="5" s="1"/>
  <c r="T1279" i="5" a="1"/>
  <c r="T1279" i="5" s="1"/>
  <c r="U1279" i="5" s="1"/>
  <c r="T1280" i="5" a="1"/>
  <c r="T1280" i="5" s="1"/>
  <c r="U1280" i="5" s="1"/>
  <c r="T1281" i="5" a="1"/>
  <c r="T1281" i="5" s="1"/>
  <c r="U1281" i="5" s="1"/>
  <c r="T1282" i="5" a="1"/>
  <c r="T1282" i="5" s="1"/>
  <c r="U1282" i="5" s="1"/>
  <c r="T1283" i="5" a="1"/>
  <c r="T1283" i="5" s="1"/>
  <c r="U1283" i="5" s="1"/>
  <c r="T1284" i="5" a="1"/>
  <c r="T1284" i="5" s="1"/>
  <c r="U1284" i="5" s="1"/>
  <c r="T1285" i="5" a="1"/>
  <c r="T1285" i="5" s="1"/>
  <c r="U1285" i="5" s="1"/>
  <c r="T1286" i="5" a="1"/>
  <c r="T1286" i="5" s="1"/>
  <c r="U1286" i="5" s="1"/>
  <c r="T1287" i="5" a="1"/>
  <c r="T1287" i="5" s="1"/>
  <c r="U1287" i="5" s="1"/>
  <c r="T1288" i="5" a="1"/>
  <c r="T1288" i="5" s="1"/>
  <c r="U1288" i="5" s="1"/>
  <c r="T1289" i="5" a="1"/>
  <c r="T1289" i="5" s="1"/>
  <c r="U1289" i="5" s="1"/>
  <c r="T1290" i="5" a="1"/>
  <c r="T1290" i="5" s="1"/>
  <c r="U1290" i="5" s="1"/>
  <c r="T1291" i="5" a="1"/>
  <c r="T1291" i="5" s="1"/>
  <c r="U1291" i="5" s="1"/>
  <c r="T1292" i="5" a="1"/>
  <c r="T1292" i="5" s="1"/>
  <c r="U1292" i="5" s="1"/>
  <c r="T1293" i="5" a="1"/>
  <c r="T1293" i="5" s="1"/>
  <c r="U1293" i="5" s="1"/>
  <c r="T1294" i="5" a="1"/>
  <c r="T1294" i="5" s="1"/>
  <c r="U1294" i="5" s="1"/>
  <c r="T1295" i="5" a="1"/>
  <c r="T1295" i="5" s="1"/>
  <c r="U1295" i="5" s="1"/>
  <c r="T1296" i="5" a="1"/>
  <c r="T1296" i="5" s="1"/>
  <c r="U1296" i="5" s="1"/>
  <c r="T1297" i="5" a="1"/>
  <c r="T1297" i="5" s="1"/>
  <c r="U1297" i="5" s="1"/>
  <c r="T1298" i="5" a="1"/>
  <c r="T1298" i="5" s="1"/>
  <c r="U1298" i="5" s="1"/>
  <c r="T1299" i="5" a="1"/>
  <c r="T1299" i="5" s="1"/>
  <c r="U1299" i="5" s="1"/>
  <c r="T1300" i="5" a="1"/>
  <c r="T1300" i="5" s="1"/>
  <c r="U1300" i="5" s="1"/>
  <c r="T1301" i="5" a="1"/>
  <c r="T1301" i="5" s="1"/>
  <c r="U1301" i="5" s="1"/>
  <c r="T1302" i="5" a="1"/>
  <c r="T1302" i="5" s="1"/>
  <c r="U1302" i="5" s="1"/>
  <c r="T1310" i="5" a="1"/>
  <c r="T1310" i="5" s="1"/>
  <c r="U1310" i="5" s="1"/>
  <c r="T1311" i="5" a="1"/>
  <c r="T1311" i="5" s="1"/>
  <c r="U1311" i="5" s="1"/>
  <c r="T1312" i="5" a="1"/>
  <c r="T1312" i="5" s="1"/>
  <c r="U1312" i="5" s="1"/>
  <c r="T1313" i="5" a="1"/>
  <c r="T1313" i="5" s="1"/>
  <c r="U1313" i="5" s="1"/>
  <c r="T1314" i="5" a="1"/>
  <c r="T1314" i="5" s="1"/>
  <c r="U1314" i="5" s="1"/>
  <c r="T1315" i="5" a="1"/>
  <c r="T1315" i="5" s="1"/>
  <c r="U1315" i="5" s="1"/>
  <c r="T1316" i="5" a="1"/>
  <c r="T1316" i="5" s="1"/>
  <c r="U1316" i="5" s="1"/>
  <c r="T1317" i="5" a="1"/>
  <c r="T1317" i="5" s="1"/>
  <c r="U1317" i="5" s="1"/>
  <c r="T1318" i="5" a="1"/>
  <c r="T1318" i="5" s="1"/>
  <c r="U1318" i="5" s="1"/>
  <c r="T1319" i="5" a="1"/>
  <c r="T1319" i="5" s="1"/>
  <c r="U1319" i="5" s="1"/>
  <c r="T1320" i="5" a="1"/>
  <c r="T1320" i="5" s="1"/>
  <c r="U1320" i="5" s="1"/>
  <c r="T1321" i="5" a="1"/>
  <c r="T1321" i="5" s="1"/>
  <c r="U1321" i="5" s="1"/>
  <c r="T1322" i="5" a="1"/>
  <c r="T1322" i="5" s="1"/>
  <c r="U1322" i="5" s="1"/>
  <c r="T1323" i="5" a="1"/>
  <c r="T1323" i="5" s="1"/>
  <c r="U1323" i="5" s="1"/>
  <c r="T1324" i="5" a="1"/>
  <c r="T1324" i="5" s="1"/>
  <c r="U1324" i="5" s="1"/>
  <c r="T1325" i="5" a="1"/>
  <c r="T1325" i="5" s="1"/>
  <c r="U1325" i="5" s="1"/>
  <c r="T1326" i="5" a="1"/>
  <c r="T1326" i="5" s="1"/>
  <c r="U1326" i="5" s="1"/>
  <c r="T1327" i="5" a="1"/>
  <c r="T1327" i="5" s="1"/>
  <c r="U1327" i="5" s="1"/>
  <c r="T1328" i="5" a="1"/>
  <c r="T1328" i="5" s="1"/>
  <c r="U1328" i="5" s="1"/>
  <c r="T1329" i="5" a="1"/>
  <c r="T1329" i="5" s="1"/>
  <c r="U1329" i="5" s="1"/>
  <c r="T1330" i="5" a="1"/>
  <c r="T1330" i="5" s="1"/>
  <c r="U1330" i="5" s="1"/>
  <c r="T1331" i="5" a="1"/>
  <c r="T1331" i="5" s="1"/>
  <c r="U1331" i="5" s="1"/>
  <c r="T1332" i="5" a="1"/>
  <c r="T1332" i="5" s="1"/>
  <c r="U1332" i="5" s="1"/>
  <c r="T1333" i="5" a="1"/>
  <c r="T1333" i="5" s="1"/>
  <c r="U1333" i="5" s="1"/>
  <c r="T1334" i="5" a="1"/>
  <c r="T1334" i="5" s="1"/>
  <c r="U1334" i="5" s="1"/>
  <c r="T1335" i="5" a="1"/>
  <c r="T1335" i="5" s="1"/>
  <c r="U1335" i="5" s="1"/>
  <c r="T1336" i="5" a="1"/>
  <c r="T1336" i="5" s="1"/>
  <c r="U1336" i="5" s="1"/>
  <c r="T1337" i="5" a="1"/>
  <c r="T1337" i="5" s="1"/>
  <c r="U1337" i="5" s="1"/>
  <c r="T1338" i="5" a="1"/>
  <c r="T1338" i="5" s="1"/>
  <c r="U1338" i="5" s="1"/>
  <c r="T1339" i="5" a="1"/>
  <c r="T1339" i="5" s="1"/>
  <c r="U1339" i="5" s="1"/>
  <c r="T1340" i="5" a="1"/>
  <c r="T1340" i="5" s="1"/>
  <c r="U1340" i="5" s="1"/>
  <c r="T1341" i="5" a="1"/>
  <c r="T1341" i="5" s="1"/>
  <c r="U1341" i="5" s="1"/>
  <c r="T1342" i="5" a="1"/>
  <c r="T1342" i="5" s="1"/>
  <c r="U1342" i="5" s="1"/>
  <c r="T1343" i="5" a="1"/>
  <c r="T1343" i="5" s="1"/>
  <c r="U1343" i="5" s="1"/>
  <c r="T1344" i="5" a="1"/>
  <c r="T1344" i="5" s="1"/>
  <c r="U1344" i="5" s="1"/>
  <c r="T1345" i="5" a="1"/>
  <c r="T1345" i="5" s="1"/>
  <c r="U1345" i="5" s="1"/>
  <c r="T1346" i="5" a="1"/>
  <c r="T1346" i="5" s="1"/>
  <c r="U1346" i="5" s="1"/>
  <c r="T1347" i="5" a="1"/>
  <c r="T1347" i="5" s="1"/>
  <c r="U1347" i="5" s="1"/>
  <c r="T1348" i="5" a="1"/>
  <c r="T1348" i="5" s="1"/>
  <c r="U1348" i="5" s="1"/>
  <c r="T1349" i="5" a="1"/>
  <c r="T1349" i="5" s="1"/>
  <c r="U1349" i="5" s="1"/>
  <c r="T1350" i="5" a="1"/>
  <c r="T1350" i="5" s="1"/>
  <c r="U1350" i="5" s="1"/>
  <c r="T1351" i="5" a="1"/>
  <c r="T1351" i="5" s="1"/>
  <c r="U1351" i="5" s="1"/>
  <c r="T1352" i="5" a="1"/>
  <c r="T1352" i="5" s="1"/>
  <c r="U1352" i="5" s="1"/>
  <c r="T1353" i="5" a="1"/>
  <c r="T1353" i="5" s="1"/>
  <c r="U1353" i="5" s="1"/>
  <c r="T1354" i="5" a="1"/>
  <c r="T1354" i="5" s="1"/>
  <c r="U1354" i="5" s="1"/>
  <c r="T1355" i="5" a="1"/>
  <c r="T1355" i="5" s="1"/>
  <c r="U1355" i="5" s="1"/>
  <c r="T1356" i="5" a="1"/>
  <c r="T1356" i="5" s="1"/>
  <c r="U1356" i="5" s="1"/>
  <c r="T1357" i="5" a="1"/>
  <c r="T1357" i="5" s="1"/>
  <c r="U1357" i="5" s="1"/>
  <c r="T1358" i="5" a="1"/>
  <c r="T1358" i="5" s="1"/>
  <c r="U1358" i="5" s="1"/>
  <c r="T1359" i="5" a="1"/>
  <c r="T1359" i="5" s="1"/>
  <c r="U1359" i="5" s="1"/>
  <c r="T1360" i="5" a="1"/>
  <c r="T1360" i="5" s="1"/>
  <c r="U1360" i="5" s="1"/>
  <c r="T1361" i="5" a="1"/>
  <c r="T1361" i="5" s="1"/>
  <c r="U1361" i="5" s="1"/>
  <c r="T1362" i="5" a="1"/>
  <c r="T1362" i="5" s="1"/>
  <c r="U1362" i="5" s="1"/>
  <c r="T1363" i="5" a="1"/>
  <c r="T1363" i="5" s="1"/>
  <c r="U1363" i="5" s="1"/>
  <c r="T1364" i="5" a="1"/>
  <c r="T1364" i="5" s="1"/>
  <c r="U1364" i="5" s="1"/>
  <c r="T1365" i="5" a="1"/>
  <c r="T1365" i="5" s="1"/>
  <c r="U1365" i="5" s="1"/>
  <c r="T1366" i="5" a="1"/>
  <c r="T1366" i="5" s="1"/>
  <c r="U1366" i="5" s="1"/>
  <c r="T1367" i="5" a="1"/>
  <c r="T1367" i="5" s="1"/>
  <c r="U1367" i="5" s="1"/>
  <c r="T1368" i="5" a="1"/>
  <c r="T1368" i="5" s="1"/>
  <c r="U1368" i="5" s="1"/>
  <c r="T1369" i="5" a="1"/>
  <c r="T1369" i="5" s="1"/>
  <c r="U1369" i="5" s="1"/>
  <c r="T1370" i="5" a="1"/>
  <c r="T1370" i="5" s="1"/>
  <c r="U1370" i="5" s="1"/>
  <c r="T1371" i="5" a="1"/>
  <c r="T1371" i="5" s="1"/>
  <c r="U1371" i="5" s="1"/>
  <c r="T1372" i="5" a="1"/>
  <c r="T1372" i="5" s="1"/>
  <c r="U1372" i="5" s="1"/>
  <c r="T1373" i="5" a="1"/>
  <c r="T1373" i="5" s="1"/>
  <c r="U1373" i="5" s="1"/>
  <c r="T1374" i="5" a="1"/>
  <c r="T1374" i="5" s="1"/>
  <c r="U1374" i="5" s="1"/>
  <c r="T1375" i="5" a="1"/>
  <c r="T1375" i="5" s="1"/>
  <c r="U1375" i="5" s="1"/>
  <c r="T1376" i="5" a="1"/>
  <c r="T1376" i="5" s="1"/>
  <c r="U1376" i="5" s="1"/>
  <c r="T1377" i="5" a="1"/>
  <c r="T1377" i="5" s="1"/>
  <c r="U1377" i="5" s="1"/>
  <c r="T1378" i="5" a="1"/>
  <c r="T1378" i="5" s="1"/>
  <c r="U1378" i="5" s="1"/>
  <c r="T1379" i="5" a="1"/>
  <c r="T1379" i="5" s="1"/>
  <c r="U1379" i="5" s="1"/>
  <c r="T1380" i="5" a="1"/>
  <c r="T1380" i="5" s="1"/>
  <c r="U1380" i="5" s="1"/>
  <c r="T1381" i="5" a="1"/>
  <c r="T1381" i="5" s="1"/>
  <c r="U1381" i="5" s="1"/>
  <c r="T1382" i="5" a="1"/>
  <c r="T1382" i="5" s="1"/>
  <c r="U1382" i="5" s="1"/>
  <c r="T1383" i="5" a="1"/>
  <c r="T1383" i="5" s="1"/>
  <c r="U1383" i="5" s="1"/>
  <c r="T1384" i="5" a="1"/>
  <c r="T1384" i="5" s="1"/>
  <c r="U1384" i="5" s="1"/>
  <c r="T1385" i="5" a="1"/>
  <c r="T1385" i="5" s="1"/>
  <c r="U1385" i="5" s="1"/>
  <c r="T1386" i="5" a="1"/>
  <c r="T1386" i="5" s="1"/>
  <c r="U1386" i="5" s="1"/>
  <c r="T1387" i="5" a="1"/>
  <c r="T1387" i="5" s="1"/>
  <c r="U1387" i="5" s="1"/>
  <c r="T1388" i="5" a="1"/>
  <c r="T1388" i="5" s="1"/>
  <c r="U1388" i="5" s="1"/>
  <c r="T1389" i="5" a="1"/>
  <c r="T1389" i="5" s="1"/>
  <c r="U1389" i="5" s="1"/>
  <c r="T1390" i="5" a="1"/>
  <c r="T1390" i="5" s="1"/>
  <c r="U1390" i="5" s="1"/>
  <c r="T1391" i="5" a="1"/>
  <c r="T1391" i="5" s="1"/>
  <c r="U1391" i="5" s="1"/>
  <c r="T1392" i="5" a="1"/>
  <c r="T1392" i="5" s="1"/>
  <c r="U1392" i="5" s="1"/>
  <c r="T1393" i="5" a="1"/>
  <c r="T1393" i="5" s="1"/>
  <c r="U1393" i="5" s="1"/>
  <c r="T1394" i="5" a="1"/>
  <c r="T1394" i="5" s="1"/>
  <c r="U1394" i="5" s="1"/>
  <c r="T1395" i="5" a="1"/>
  <c r="T1395" i="5" s="1"/>
  <c r="U1395" i="5" s="1"/>
  <c r="T1396" i="5" a="1"/>
  <c r="T1396" i="5" s="1"/>
  <c r="U1396" i="5" s="1"/>
  <c r="T1397" i="5" a="1"/>
  <c r="T1397" i="5" s="1"/>
  <c r="U1397" i="5" s="1"/>
  <c r="T1398" i="5" a="1"/>
  <c r="T1398" i="5" s="1"/>
  <c r="U1398" i="5" s="1"/>
  <c r="T1399" i="5" a="1"/>
  <c r="T1399" i="5" s="1"/>
  <c r="U1399" i="5" s="1"/>
  <c r="T1400" i="5" a="1"/>
  <c r="T1400" i="5" s="1"/>
  <c r="U1400" i="5" s="1"/>
  <c r="T1401" i="5" a="1"/>
  <c r="T1401" i="5" s="1"/>
  <c r="U1401" i="5" s="1"/>
  <c r="T1402" i="5" a="1"/>
  <c r="T1402" i="5" s="1"/>
  <c r="U1402" i="5" s="1"/>
  <c r="T1403" i="5" a="1"/>
  <c r="T1403" i="5" s="1"/>
  <c r="U1403" i="5" s="1"/>
  <c r="T1404" i="5" a="1"/>
  <c r="T1404" i="5" s="1"/>
  <c r="U1404" i="5" s="1"/>
  <c r="T1405" i="5" a="1"/>
  <c r="T1405" i="5" s="1"/>
  <c r="U1405" i="5" s="1"/>
  <c r="T1406" i="5" a="1"/>
  <c r="T1406" i="5" s="1"/>
  <c r="U1406" i="5" s="1"/>
  <c r="T1407" i="5" a="1"/>
  <c r="T1407" i="5" s="1"/>
  <c r="U1407" i="5" s="1"/>
  <c r="T1408" i="5" a="1"/>
  <c r="T1408" i="5" s="1"/>
  <c r="U1408" i="5" s="1"/>
  <c r="T1409" i="5" a="1"/>
  <c r="T1409" i="5" s="1"/>
  <c r="U1409" i="5" s="1"/>
  <c r="T1410" i="5" a="1"/>
  <c r="T1410" i="5" s="1"/>
  <c r="U1410" i="5" s="1"/>
  <c r="T1411" i="5" a="1"/>
  <c r="T1411" i="5" s="1"/>
  <c r="U1411" i="5" s="1"/>
  <c r="T1412" i="5" a="1"/>
  <c r="T1412" i="5" s="1"/>
  <c r="U1412" i="5" s="1"/>
  <c r="T1413" i="5" a="1"/>
  <c r="T1413" i="5" s="1"/>
  <c r="U1413" i="5" s="1"/>
  <c r="T1414" i="5" a="1"/>
  <c r="T1414" i="5" s="1"/>
  <c r="U1414" i="5" s="1"/>
  <c r="T1422" i="5" a="1"/>
  <c r="T1422" i="5" s="1"/>
  <c r="U1422" i="5" s="1"/>
  <c r="T1423" i="5" a="1"/>
  <c r="T1423" i="5" s="1"/>
  <c r="U1423" i="5" s="1"/>
  <c r="T1424" i="5" a="1"/>
  <c r="T1424" i="5" s="1"/>
  <c r="U1424" i="5" s="1"/>
  <c r="T1425" i="5" a="1"/>
  <c r="T1425" i="5" s="1"/>
  <c r="U1425" i="5" s="1"/>
  <c r="T1426" i="5" a="1"/>
  <c r="T1426" i="5" s="1"/>
  <c r="U1426" i="5" s="1"/>
  <c r="T1427" i="5" a="1"/>
  <c r="T1427" i="5" s="1"/>
  <c r="U1427" i="5" s="1"/>
  <c r="T1428" i="5" a="1"/>
  <c r="T1428" i="5" s="1"/>
  <c r="U1428" i="5" s="1"/>
  <c r="T1429" i="5" a="1"/>
  <c r="T1429" i="5" s="1"/>
  <c r="U1429" i="5" s="1"/>
  <c r="T1430" i="5" a="1"/>
  <c r="T1430" i="5" s="1"/>
  <c r="U1430" i="5" s="1"/>
  <c r="T1431" i="5" a="1"/>
  <c r="T1431" i="5" s="1"/>
  <c r="U1431" i="5" s="1"/>
  <c r="T1432" i="5" a="1"/>
  <c r="T1432" i="5" s="1"/>
  <c r="U1432" i="5" s="1"/>
  <c r="T1433" i="5" a="1"/>
  <c r="T1433" i="5" s="1"/>
  <c r="U1433" i="5" s="1"/>
  <c r="T1434" i="5" a="1"/>
  <c r="T1434" i="5" s="1"/>
  <c r="U1434" i="5" s="1"/>
  <c r="T1435" i="5" a="1"/>
  <c r="T1435" i="5" s="1"/>
  <c r="U1435" i="5" s="1"/>
  <c r="T1436" i="5" a="1"/>
  <c r="T1436" i="5" s="1"/>
  <c r="U1436" i="5" s="1"/>
  <c r="T1437" i="5" a="1"/>
  <c r="T1437" i="5" s="1"/>
  <c r="U1437" i="5" s="1"/>
  <c r="T1438" i="5" a="1"/>
  <c r="T1438" i="5" s="1"/>
  <c r="U1438" i="5" s="1"/>
  <c r="T1439" i="5" a="1"/>
  <c r="T1439" i="5" s="1"/>
  <c r="U1439" i="5" s="1"/>
  <c r="T1440" i="5" a="1"/>
  <c r="T1440" i="5" s="1"/>
  <c r="U1440" i="5" s="1"/>
  <c r="T1441" i="5" a="1"/>
  <c r="T1441" i="5" s="1"/>
  <c r="U1441" i="5" s="1"/>
  <c r="T1442" i="5" a="1"/>
  <c r="T1442" i="5" s="1"/>
  <c r="U1442" i="5" s="1"/>
  <c r="T1443" i="5" a="1"/>
  <c r="T1443" i="5" s="1"/>
  <c r="U1443" i="5" s="1"/>
  <c r="T1444" i="5" a="1"/>
  <c r="T1444" i="5" s="1"/>
  <c r="U1444" i="5" s="1"/>
  <c r="T1445" i="5" a="1"/>
  <c r="T1445" i="5" s="1"/>
  <c r="U1445" i="5" s="1"/>
  <c r="T1446" i="5" a="1"/>
  <c r="T1446" i="5" s="1"/>
  <c r="U1446" i="5" s="1"/>
  <c r="T1447" i="5" a="1"/>
  <c r="T1447" i="5" s="1"/>
  <c r="U1447" i="5" s="1"/>
  <c r="T1448" i="5" a="1"/>
  <c r="T1448" i="5" s="1"/>
  <c r="U1448" i="5" s="1"/>
  <c r="T1449" i="5" a="1"/>
  <c r="T1449" i="5" s="1"/>
  <c r="U1449" i="5" s="1"/>
  <c r="T1450" i="5" a="1"/>
  <c r="T1450" i="5" s="1"/>
  <c r="U1450" i="5" s="1"/>
  <c r="T1451" i="5" a="1"/>
  <c r="T1451" i="5" s="1"/>
  <c r="U1451" i="5" s="1"/>
  <c r="T1452" i="5" a="1"/>
  <c r="T1452" i="5" s="1"/>
  <c r="U1452" i="5" s="1"/>
  <c r="T1453" i="5" a="1"/>
  <c r="T1453" i="5" s="1"/>
  <c r="U1453" i="5" s="1"/>
  <c r="T1454" i="5" a="1"/>
  <c r="T1454" i="5" s="1"/>
  <c r="U1454" i="5" s="1"/>
  <c r="T1455" i="5" a="1"/>
  <c r="T1455" i="5" s="1"/>
  <c r="U1455" i="5" s="1"/>
  <c r="T1456" i="5" a="1"/>
  <c r="T1456" i="5" s="1"/>
  <c r="U1456" i="5" s="1"/>
  <c r="T1457" i="5" a="1"/>
  <c r="T1457" i="5" s="1"/>
  <c r="U1457" i="5" s="1"/>
  <c r="T1458" i="5" a="1"/>
  <c r="T1458" i="5" s="1"/>
  <c r="U1458" i="5" s="1"/>
  <c r="T1459" i="5" a="1"/>
  <c r="T1459" i="5" s="1"/>
  <c r="U1459" i="5" s="1"/>
  <c r="T1460" i="5" a="1"/>
  <c r="T1460" i="5" s="1"/>
  <c r="U1460" i="5" s="1"/>
  <c r="T1461" i="5" a="1"/>
  <c r="T1461" i="5" s="1"/>
  <c r="U1461" i="5" s="1"/>
  <c r="T1462" i="5" a="1"/>
  <c r="T1462" i="5" s="1"/>
  <c r="U1462" i="5" s="1"/>
  <c r="T1463" i="5" a="1"/>
  <c r="T1463" i="5" s="1"/>
  <c r="U1463" i="5" s="1"/>
  <c r="T1464" i="5" a="1"/>
  <c r="T1464" i="5" s="1"/>
  <c r="U1464" i="5" s="1"/>
  <c r="T1465" i="5" a="1"/>
  <c r="T1465" i="5" s="1"/>
  <c r="U1465" i="5" s="1"/>
  <c r="T1466" i="5" a="1"/>
  <c r="T1466" i="5" s="1"/>
  <c r="U1466" i="5" s="1"/>
  <c r="T1467" i="5" a="1"/>
  <c r="T1467" i="5" s="1"/>
  <c r="U1467" i="5" s="1"/>
  <c r="T1468" i="5" a="1"/>
  <c r="T1468" i="5" s="1"/>
  <c r="U1468" i="5" s="1"/>
  <c r="T1469" i="5" a="1"/>
  <c r="T1469" i="5" s="1"/>
  <c r="U1469" i="5" s="1"/>
  <c r="T1470" i="5" a="1"/>
  <c r="T1470" i="5" s="1"/>
  <c r="U1470" i="5" s="1"/>
  <c r="T1471" i="5" a="1"/>
  <c r="T1471" i="5" s="1"/>
  <c r="U1471" i="5" s="1"/>
  <c r="T1472" i="5" a="1"/>
  <c r="T1472" i="5" s="1"/>
  <c r="U1472" i="5" s="1"/>
  <c r="T1473" i="5" a="1"/>
  <c r="T1473" i="5" s="1"/>
  <c r="U1473" i="5" s="1"/>
  <c r="T1474" i="5" a="1"/>
  <c r="T1474" i="5" s="1"/>
  <c r="U1474" i="5" s="1"/>
  <c r="T1475" i="5" a="1"/>
  <c r="T1475" i="5" s="1"/>
  <c r="U1475" i="5" s="1"/>
  <c r="T1476" i="5" a="1"/>
  <c r="T1476" i="5" s="1"/>
  <c r="U1476" i="5" s="1"/>
  <c r="T1477" i="5" a="1"/>
  <c r="T1477" i="5" s="1"/>
  <c r="U1477" i="5" s="1"/>
  <c r="T1478" i="5" a="1"/>
  <c r="T1478" i="5" s="1"/>
  <c r="U1478" i="5" s="1"/>
  <c r="T1479" i="5" a="1"/>
  <c r="T1479" i="5" s="1"/>
  <c r="U1479" i="5" s="1"/>
  <c r="T1480" i="5" a="1"/>
  <c r="T1480" i="5" s="1"/>
  <c r="T1481" i="5" a="1"/>
  <c r="T1481" i="5" s="1"/>
  <c r="U1481" i="5" s="1"/>
  <c r="T1482" i="5" a="1"/>
  <c r="T1482" i="5" s="1"/>
  <c r="U1482" i="5" s="1"/>
  <c r="T1483" i="5" a="1"/>
  <c r="T1483" i="5" s="1"/>
  <c r="U1483" i="5" s="1"/>
  <c r="T1484" i="5" a="1"/>
  <c r="T1484" i="5" s="1"/>
  <c r="U1484" i="5" s="1"/>
  <c r="T1485" i="5" a="1"/>
  <c r="T1485" i="5" s="1"/>
  <c r="U1485" i="5" s="1"/>
  <c r="T1486" i="5" a="1"/>
  <c r="T1486" i="5" s="1"/>
  <c r="U1486" i="5" s="1"/>
  <c r="T1487" i="5" a="1"/>
  <c r="T1487" i="5" s="1"/>
  <c r="U1487" i="5" s="1"/>
  <c r="T1488" i="5" a="1"/>
  <c r="T1488" i="5" s="1"/>
  <c r="U1488" i="5" s="1"/>
  <c r="T1489" i="5" a="1"/>
  <c r="T1489" i="5" s="1"/>
  <c r="U1489" i="5" s="1"/>
  <c r="T1490" i="5" a="1"/>
  <c r="T1490" i="5" s="1"/>
  <c r="U1490" i="5" s="1"/>
  <c r="T1491" i="5" a="1"/>
  <c r="T1491" i="5" s="1"/>
  <c r="U1491" i="5" s="1"/>
  <c r="T1492" i="5" a="1"/>
  <c r="T1492" i="5" s="1"/>
  <c r="U1492" i="5" s="1"/>
  <c r="T1493" i="5" a="1"/>
  <c r="T1493" i="5" s="1"/>
  <c r="U1493" i="5" s="1"/>
  <c r="T1494" i="5" a="1"/>
  <c r="T1494" i="5" s="1"/>
  <c r="U1494" i="5" s="1"/>
  <c r="T1495" i="5" a="1"/>
  <c r="T1495" i="5" s="1"/>
  <c r="U1495" i="5" s="1"/>
  <c r="T1496" i="5" a="1"/>
  <c r="T1496" i="5" s="1"/>
  <c r="U1496" i="5" s="1"/>
  <c r="T1497" i="5" a="1"/>
  <c r="T1497" i="5" s="1"/>
  <c r="U1497" i="5" s="1"/>
  <c r="T1498" i="5" a="1"/>
  <c r="T1498" i="5" s="1"/>
  <c r="U1498" i="5" s="1"/>
  <c r="T1499" i="5" a="1"/>
  <c r="T1499" i="5" s="1"/>
  <c r="U1499" i="5" s="1"/>
  <c r="T1500" i="5" a="1"/>
  <c r="T1500" i="5" s="1"/>
  <c r="U1500" i="5" s="1"/>
  <c r="T1501" i="5" a="1"/>
  <c r="T1501" i="5" s="1"/>
  <c r="U1501" i="5" s="1"/>
  <c r="T1502" i="5" a="1"/>
  <c r="T1502" i="5" s="1"/>
  <c r="U1502" i="5" s="1"/>
  <c r="T1503" i="5" a="1"/>
  <c r="T1503" i="5" s="1"/>
  <c r="U1503" i="5" s="1"/>
  <c r="T1504" i="5" a="1"/>
  <c r="T1504" i="5" s="1"/>
  <c r="U1504" i="5" s="1"/>
  <c r="T1505" i="5" a="1"/>
  <c r="T1505" i="5" s="1"/>
  <c r="U1505" i="5" s="1"/>
  <c r="T1506" i="5" a="1"/>
  <c r="T1506" i="5" s="1"/>
  <c r="U1506" i="5" s="1"/>
  <c r="T1507" i="5" a="1"/>
  <c r="T1507" i="5" s="1"/>
  <c r="U1507" i="5" s="1"/>
  <c r="T1508" i="5" a="1"/>
  <c r="T1508" i="5" s="1"/>
  <c r="U1508" i="5" s="1"/>
  <c r="T1509" i="5" a="1"/>
  <c r="T1509" i="5" s="1"/>
  <c r="U1509" i="5" s="1"/>
  <c r="T1510" i="5" a="1"/>
  <c r="T1510" i="5" s="1"/>
  <c r="U1510" i="5" s="1"/>
  <c r="T1511" i="5" a="1"/>
  <c r="T1511" i="5" s="1"/>
  <c r="U1511" i="5" s="1"/>
  <c r="T1512" i="5" a="1"/>
  <c r="T1512" i="5" s="1"/>
  <c r="U1512" i="5" s="1"/>
  <c r="T1513" i="5" a="1"/>
  <c r="T1513" i="5" s="1"/>
  <c r="U1513" i="5" s="1"/>
  <c r="T1514" i="5" a="1"/>
  <c r="T1514" i="5" s="1"/>
  <c r="U1514" i="5" s="1"/>
  <c r="T1515" i="5" a="1"/>
  <c r="T1515" i="5" s="1"/>
  <c r="U1515" i="5" s="1"/>
  <c r="T1516" i="5" a="1"/>
  <c r="T1516" i="5" s="1"/>
  <c r="U1516" i="5" s="1"/>
  <c r="T1517" i="5" a="1"/>
  <c r="T1517" i="5" s="1"/>
  <c r="U1517" i="5" s="1"/>
  <c r="T1518" i="5" a="1"/>
  <c r="T1518" i="5" s="1"/>
  <c r="U1518" i="5" s="1"/>
  <c r="T1519" i="5" a="1"/>
  <c r="T1519" i="5" s="1"/>
  <c r="U1519" i="5" s="1"/>
  <c r="T1520" i="5" a="1"/>
  <c r="T1520" i="5" s="1"/>
  <c r="U1520" i="5" s="1"/>
  <c r="T1521" i="5" a="1"/>
  <c r="T1521" i="5" s="1"/>
  <c r="U1521" i="5" s="1"/>
  <c r="T1522" i="5" a="1"/>
  <c r="T1522" i="5" s="1"/>
  <c r="U1522" i="5" s="1"/>
  <c r="T1523" i="5" a="1"/>
  <c r="T1523" i="5" s="1"/>
  <c r="U1523" i="5" s="1"/>
  <c r="T1524" i="5" a="1"/>
  <c r="T1524" i="5" s="1"/>
  <c r="U1524" i="5" s="1"/>
  <c r="T1525" i="5" a="1"/>
  <c r="T1525" i="5" s="1"/>
  <c r="U1525" i="5" s="1"/>
  <c r="T1526" i="5" a="1"/>
  <c r="T1526" i="5" s="1"/>
  <c r="U1526" i="5" s="1"/>
  <c r="T1527" i="5" a="1"/>
  <c r="T1527" i="5" s="1"/>
  <c r="U1527" i="5" s="1"/>
  <c r="T1528" i="5" a="1"/>
  <c r="T1528" i="5" s="1"/>
  <c r="U1528" i="5" s="1"/>
  <c r="T1529" i="5" a="1"/>
  <c r="T1529" i="5" s="1"/>
  <c r="U1529" i="5" s="1"/>
  <c r="T1530" i="5" a="1"/>
  <c r="T1530" i="5" s="1"/>
  <c r="U1530" i="5" s="1"/>
  <c r="T1531" i="5" a="1"/>
  <c r="T1531" i="5" s="1"/>
  <c r="U1531" i="5" s="1"/>
  <c r="T1532" i="5" a="1"/>
  <c r="T1532" i="5" s="1"/>
  <c r="U1532" i="5" s="1"/>
  <c r="T1533" i="5" a="1"/>
  <c r="T1533" i="5" s="1"/>
  <c r="U1533" i="5" s="1"/>
  <c r="T1534" i="5" a="1"/>
  <c r="T1534" i="5" s="1"/>
  <c r="U1534" i="5" s="1"/>
  <c r="T1535" i="5" a="1"/>
  <c r="T1535" i="5" s="1"/>
  <c r="U1535" i="5" s="1"/>
  <c r="T1536" i="5" a="1"/>
  <c r="T1536" i="5" s="1"/>
  <c r="U1536" i="5" s="1"/>
  <c r="T1537" i="5" a="1"/>
  <c r="T1537" i="5" s="1"/>
  <c r="U1537" i="5" s="1"/>
  <c r="T1538" i="5" a="1"/>
  <c r="T1538" i="5" s="1"/>
  <c r="U1538" i="5" s="1"/>
  <c r="T1539" i="5" a="1"/>
  <c r="T1539" i="5" s="1"/>
  <c r="U1539" i="5" s="1"/>
  <c r="T1540" i="5" a="1"/>
  <c r="T1540" i="5" s="1"/>
  <c r="U1540" i="5" s="1"/>
  <c r="T1541" i="5" a="1"/>
  <c r="T1541" i="5" s="1"/>
  <c r="U1541" i="5" s="1"/>
  <c r="T1542" i="5" a="1"/>
  <c r="T1542" i="5" s="1"/>
  <c r="U1542" i="5" s="1"/>
  <c r="T1543" i="5" a="1"/>
  <c r="T1543" i="5" s="1"/>
  <c r="U1543" i="5" s="1"/>
  <c r="T1544" i="5" a="1"/>
  <c r="T1544" i="5" s="1"/>
  <c r="U1544" i="5" s="1"/>
  <c r="T1545" i="5" a="1"/>
  <c r="T1545" i="5" s="1"/>
  <c r="U1545" i="5" s="1"/>
  <c r="T1546" i="5" a="1"/>
  <c r="T1546" i="5" s="1"/>
  <c r="U1546" i="5" s="1"/>
  <c r="T1547" i="5" a="1"/>
  <c r="T1547" i="5" s="1"/>
  <c r="U1547" i="5" s="1"/>
  <c r="T1548" i="5" a="1"/>
  <c r="T1548" i="5" s="1"/>
  <c r="U1548" i="5" s="1"/>
  <c r="T1549" i="5" a="1"/>
  <c r="T1549" i="5" s="1"/>
  <c r="U1549" i="5" s="1"/>
  <c r="T1550" i="5" a="1"/>
  <c r="T1550" i="5" s="1"/>
  <c r="U1550" i="5" s="1"/>
  <c r="T1551" i="5" a="1"/>
  <c r="T1551" i="5" s="1"/>
  <c r="U1551" i="5" s="1"/>
  <c r="T1552" i="5" a="1"/>
  <c r="T1552" i="5" s="1"/>
  <c r="U1552" i="5" s="1"/>
  <c r="T1553" i="5" a="1"/>
  <c r="T1553" i="5" s="1"/>
  <c r="U1553" i="5" s="1"/>
  <c r="T1554" i="5" a="1"/>
  <c r="T1554" i="5" s="1"/>
  <c r="U1554" i="5" s="1"/>
  <c r="T1555" i="5" a="1"/>
  <c r="T1555" i="5" s="1"/>
  <c r="U1555" i="5" s="1"/>
  <c r="T1556" i="5" a="1"/>
  <c r="T1556" i="5" s="1"/>
  <c r="U1556" i="5" s="1"/>
  <c r="T1557" i="5" a="1"/>
  <c r="T1557" i="5" s="1"/>
  <c r="U1557" i="5" s="1"/>
  <c r="T1558" i="5" a="1"/>
  <c r="T1558" i="5" s="1"/>
  <c r="U1558" i="5" s="1"/>
  <c r="T1559" i="5" a="1"/>
  <c r="T1559" i="5" s="1"/>
  <c r="U1559" i="5" s="1"/>
  <c r="T1560" i="5" a="1"/>
  <c r="T1560" i="5" s="1"/>
  <c r="U1560" i="5" s="1"/>
  <c r="T1561" i="5" a="1"/>
  <c r="T1561" i="5" s="1"/>
  <c r="U1561" i="5" s="1"/>
  <c r="T1562" i="5" a="1"/>
  <c r="T1562" i="5" s="1"/>
  <c r="U1562" i="5" s="1"/>
  <c r="T1565" i="5" a="1"/>
  <c r="T1565" i="5" s="1"/>
  <c r="U1565" i="5" s="1"/>
  <c r="T1567" i="5" a="1"/>
  <c r="T1567" i="5" s="1"/>
  <c r="U1567" i="5" s="1"/>
  <c r="T1568" i="5" a="1"/>
  <c r="T1568" i="5" s="1"/>
  <c r="U1568" i="5" s="1"/>
  <c r="T1569" i="5" a="1"/>
  <c r="T1569" i="5" s="1"/>
  <c r="U1569" i="5" s="1"/>
  <c r="T1570" i="5" a="1"/>
  <c r="T1570" i="5" s="1"/>
  <c r="U1570" i="5" s="1"/>
  <c r="T1571" i="5" a="1"/>
  <c r="T1571" i="5" s="1"/>
  <c r="U1571" i="5" s="1"/>
  <c r="T1572" i="5" a="1"/>
  <c r="T1572" i="5" s="1"/>
  <c r="U1572" i="5" s="1"/>
  <c r="T1573" i="5" a="1"/>
  <c r="T1573" i="5" s="1"/>
  <c r="U1573" i="5" s="1"/>
  <c r="T1574" i="5" a="1"/>
  <c r="T1574" i="5" s="1"/>
  <c r="U1574" i="5" s="1"/>
  <c r="T1575" i="5" a="1"/>
  <c r="T1575" i="5" s="1"/>
  <c r="U1575" i="5" s="1"/>
  <c r="T1576" i="5" a="1"/>
  <c r="T1576" i="5" s="1"/>
  <c r="U1576" i="5" s="1"/>
  <c r="T1577" i="5" a="1"/>
  <c r="T1577" i="5" s="1"/>
  <c r="U1577" i="5" s="1"/>
  <c r="T1578" i="5" a="1"/>
  <c r="T1578" i="5" s="1"/>
  <c r="U1578" i="5" s="1"/>
  <c r="T1579" i="5" a="1"/>
  <c r="T1579" i="5" s="1"/>
  <c r="U1579" i="5" s="1"/>
  <c r="T1580" i="5" a="1"/>
  <c r="T1580" i="5" s="1"/>
  <c r="U1580" i="5" s="1"/>
  <c r="T1581" i="5" a="1"/>
  <c r="T1581" i="5" s="1"/>
  <c r="U1581" i="5" s="1"/>
  <c r="T1594" i="5" a="1"/>
  <c r="T1594" i="5" s="1"/>
  <c r="U1594" i="5" s="1"/>
  <c r="T1595" i="5" a="1"/>
  <c r="T1595" i="5" s="1"/>
  <c r="U1595" i="5" s="1"/>
  <c r="T1596" i="5" a="1"/>
  <c r="T1596" i="5" s="1"/>
  <c r="U1596" i="5" s="1"/>
  <c r="T1597" i="5" a="1"/>
  <c r="T1597" i="5" s="1"/>
  <c r="U1597" i="5" s="1"/>
  <c r="T1598" i="5" a="1"/>
  <c r="T1598" i="5" s="1"/>
  <c r="U1598" i="5" s="1"/>
  <c r="T1599" i="5" a="1"/>
  <c r="T1599" i="5" s="1"/>
  <c r="U1599" i="5" s="1"/>
  <c r="T1600" i="5" a="1"/>
  <c r="T1600" i="5" s="1"/>
  <c r="U1600" i="5" s="1"/>
  <c r="T1601" i="5" a="1"/>
  <c r="T1601" i="5" s="1"/>
  <c r="U1601" i="5" s="1"/>
  <c r="T1602" i="5" a="1"/>
  <c r="T1602" i="5" s="1"/>
  <c r="U1602" i="5" s="1"/>
  <c r="T1603" i="5" a="1"/>
  <c r="T1603" i="5" s="1"/>
  <c r="U1603" i="5" s="1"/>
  <c r="T1604" i="5" a="1"/>
  <c r="T1604" i="5" s="1"/>
  <c r="U1604" i="5" s="1"/>
  <c r="T1605" i="5" a="1"/>
  <c r="T1605" i="5" s="1"/>
  <c r="U1605" i="5" s="1"/>
  <c r="T1606" i="5" a="1"/>
  <c r="T1606" i="5" s="1"/>
  <c r="U1606" i="5" s="1"/>
  <c r="T1607" i="5" a="1"/>
  <c r="T1607" i="5" s="1"/>
  <c r="U1607" i="5" s="1"/>
  <c r="T1608" i="5" a="1"/>
  <c r="T1608" i="5" s="1"/>
  <c r="U1608" i="5" s="1"/>
  <c r="T1609" i="5" a="1"/>
  <c r="T1609" i="5" s="1"/>
  <c r="U1609" i="5" s="1"/>
  <c r="T1610" i="5" a="1"/>
  <c r="T1610" i="5" s="1"/>
  <c r="U1610" i="5" s="1"/>
  <c r="T1611" i="5" a="1"/>
  <c r="T1611" i="5" s="1"/>
  <c r="U1611" i="5" s="1"/>
  <c r="T1612" i="5" a="1"/>
  <c r="T1612" i="5" s="1"/>
  <c r="U1612" i="5" s="1"/>
  <c r="T1613" i="5" a="1"/>
  <c r="T1613" i="5" s="1"/>
  <c r="U1613" i="5" s="1"/>
  <c r="T1614" i="5" a="1"/>
  <c r="T1614" i="5" s="1"/>
  <c r="U1614" i="5" s="1"/>
  <c r="T1615" i="5" a="1"/>
  <c r="T1615" i="5" s="1"/>
  <c r="U1615" i="5" s="1"/>
  <c r="T1616" i="5" a="1"/>
  <c r="T1616" i="5" s="1"/>
  <c r="U1616" i="5" s="1"/>
  <c r="T1617" i="5" a="1"/>
  <c r="T1617" i="5" s="1"/>
  <c r="U1617" i="5" s="1"/>
  <c r="T1618" i="5" a="1"/>
  <c r="T1618" i="5" s="1"/>
  <c r="U1618" i="5" s="1"/>
  <c r="T1619" i="5" a="1"/>
  <c r="T1619" i="5" s="1"/>
  <c r="U1619" i="5" s="1"/>
  <c r="T1620" i="5" a="1"/>
  <c r="T1620" i="5" s="1"/>
  <c r="U1620" i="5" s="1"/>
  <c r="T1621" i="5" a="1"/>
  <c r="T1621" i="5" s="1"/>
  <c r="U1621" i="5" s="1"/>
  <c r="T1622" i="5" a="1"/>
  <c r="T1622" i="5" s="1"/>
  <c r="U1622" i="5" s="1"/>
  <c r="T1623" i="5" a="1"/>
  <c r="T1623" i="5" s="1"/>
  <c r="U1623" i="5" s="1"/>
  <c r="T1624" i="5" a="1"/>
  <c r="T1624" i="5" s="1"/>
  <c r="U1624" i="5" s="1"/>
  <c r="T1625" i="5" a="1"/>
  <c r="T1625" i="5" s="1"/>
  <c r="U1625" i="5" s="1"/>
  <c r="T1626" i="5" a="1"/>
  <c r="T1626" i="5" s="1"/>
  <c r="U1626" i="5" s="1"/>
  <c r="T1627" i="5" a="1"/>
  <c r="T1627" i="5" s="1"/>
  <c r="U1627" i="5" s="1"/>
  <c r="T1628" i="5" a="1"/>
  <c r="T1628" i="5" s="1"/>
  <c r="U1628" i="5" s="1"/>
  <c r="T1629" i="5" a="1"/>
  <c r="T1629" i="5" s="1"/>
  <c r="U1629" i="5" s="1"/>
  <c r="T1630" i="5" a="1"/>
  <c r="T1630" i="5" s="1"/>
  <c r="U1630" i="5" s="1"/>
  <c r="T1631" i="5" a="1"/>
  <c r="T1631" i="5" s="1"/>
  <c r="U1631" i="5" s="1"/>
  <c r="T1632" i="5" a="1"/>
  <c r="T1632" i="5" s="1"/>
  <c r="U1632" i="5" s="1"/>
  <c r="T1633" i="5" a="1"/>
  <c r="T1633" i="5" s="1"/>
  <c r="U1633" i="5" s="1"/>
  <c r="T1634" i="5" a="1"/>
  <c r="T1634" i="5" s="1"/>
  <c r="U1634" i="5" s="1"/>
  <c r="T1635" i="5" a="1"/>
  <c r="T1635" i="5" s="1"/>
  <c r="U1635" i="5" s="1"/>
  <c r="T1636" i="5" a="1"/>
  <c r="T1636" i="5" s="1"/>
  <c r="U1636" i="5" s="1"/>
  <c r="T1637" i="5" a="1"/>
  <c r="T1637" i="5" s="1"/>
  <c r="U1637" i="5" s="1"/>
  <c r="T1638" i="5" a="1"/>
  <c r="T1638" i="5" s="1"/>
  <c r="U1638" i="5" s="1"/>
  <c r="T1639" i="5" a="1"/>
  <c r="T1639" i="5" s="1"/>
  <c r="U1639" i="5" s="1"/>
  <c r="T1640" i="5" a="1"/>
  <c r="T1640" i="5" s="1"/>
  <c r="U1640" i="5" s="1"/>
  <c r="T1641" i="5" a="1"/>
  <c r="T1641" i="5" s="1"/>
  <c r="U1641" i="5" s="1"/>
  <c r="T1642" i="5" a="1"/>
  <c r="T1642" i="5" s="1"/>
  <c r="U1642" i="5" s="1"/>
  <c r="T1643" i="5" a="1"/>
  <c r="T1643" i="5" s="1"/>
  <c r="U1643" i="5" s="1"/>
  <c r="T1644" i="5" a="1"/>
  <c r="T1644" i="5" s="1"/>
  <c r="U1644" i="5" s="1"/>
  <c r="T1645" i="5" a="1"/>
  <c r="T1645" i="5" s="1"/>
  <c r="U1645" i="5" s="1"/>
  <c r="T1646" i="5" a="1"/>
  <c r="T1646" i="5" s="1"/>
  <c r="U1646" i="5" s="1"/>
  <c r="T1647" i="5" a="1"/>
  <c r="T1647" i="5" s="1"/>
  <c r="U1647" i="5" s="1"/>
  <c r="T1648" i="5" a="1"/>
  <c r="T1648" i="5" s="1"/>
  <c r="U1648" i="5" s="1"/>
  <c r="T1649" i="5" a="1"/>
  <c r="T1649" i="5" s="1"/>
  <c r="U1649" i="5" s="1"/>
  <c r="T1650" i="5" a="1"/>
  <c r="T1650" i="5" s="1"/>
  <c r="U1650" i="5" s="1"/>
  <c r="T1651" i="5" a="1"/>
  <c r="T1651" i="5" s="1"/>
  <c r="U1651" i="5" s="1"/>
  <c r="T1652" i="5" a="1"/>
  <c r="T1652" i="5" s="1"/>
  <c r="U1652" i="5" s="1"/>
  <c r="T1653" i="5" a="1"/>
  <c r="T1653" i="5" s="1"/>
  <c r="U1653" i="5" s="1"/>
  <c r="T1654" i="5" a="1"/>
  <c r="T1654" i="5" s="1"/>
  <c r="U1654" i="5" s="1"/>
  <c r="T1659" i="5" a="1"/>
  <c r="T1659" i="5" s="1"/>
  <c r="U1659" i="5" s="1"/>
  <c r="T1660" i="5" a="1"/>
  <c r="T1660" i="5" s="1"/>
  <c r="U1660" i="5" s="1"/>
  <c r="T1661" i="5" a="1"/>
  <c r="T1661" i="5" s="1"/>
  <c r="U1661" i="5" s="1"/>
  <c r="T1662" i="5" a="1"/>
  <c r="T1662" i="5" s="1"/>
  <c r="U1662" i="5" s="1"/>
  <c r="T1663" i="5" a="1"/>
  <c r="T1663" i="5" s="1"/>
  <c r="U1663" i="5" s="1"/>
  <c r="T1664" i="5" a="1"/>
  <c r="T1664" i="5" s="1"/>
  <c r="U1664" i="5" s="1"/>
  <c r="T1665" i="5" a="1"/>
  <c r="T1665" i="5" s="1"/>
  <c r="U1665" i="5" s="1"/>
  <c r="T1666" i="5" a="1"/>
  <c r="T1666" i="5" s="1"/>
  <c r="U1666" i="5" s="1"/>
  <c r="T1667" i="5" a="1"/>
  <c r="T1667" i="5" s="1"/>
  <c r="U1667" i="5" s="1"/>
  <c r="T1668" i="5" a="1"/>
  <c r="T1668" i="5" s="1"/>
  <c r="U1668" i="5" s="1"/>
  <c r="T1669" i="5" a="1"/>
  <c r="T1669" i="5" s="1"/>
  <c r="U1669" i="5" s="1"/>
  <c r="T1670" i="5" a="1"/>
  <c r="T1670" i="5" s="1"/>
  <c r="U1670" i="5" s="1"/>
  <c r="T1671" i="5" a="1"/>
  <c r="T1671" i="5" s="1"/>
  <c r="U1671" i="5" s="1"/>
  <c r="T1672" i="5" a="1"/>
  <c r="T1672" i="5" s="1"/>
  <c r="U1672" i="5" s="1"/>
  <c r="T1673" i="5" a="1"/>
  <c r="T1673" i="5" s="1"/>
  <c r="U1673" i="5" s="1"/>
  <c r="T1674" i="5" a="1"/>
  <c r="T1674" i="5" s="1"/>
  <c r="U1674" i="5" s="1"/>
  <c r="T1675" i="5" a="1"/>
  <c r="T1675" i="5" s="1"/>
  <c r="U1675" i="5" s="1"/>
  <c r="T1676" i="5" a="1"/>
  <c r="T1676" i="5" s="1"/>
  <c r="U1676" i="5" s="1"/>
  <c r="T1677" i="5" a="1"/>
  <c r="T1677" i="5" s="1"/>
  <c r="U1677" i="5" s="1"/>
  <c r="T1678" i="5" a="1"/>
  <c r="T1678" i="5" s="1"/>
  <c r="U1678" i="5" s="1"/>
  <c r="T1679" i="5" a="1"/>
  <c r="T1679" i="5" s="1"/>
  <c r="U1679" i="5" s="1"/>
  <c r="T1680" i="5" a="1"/>
  <c r="T1680" i="5" s="1"/>
  <c r="U1680" i="5" s="1"/>
  <c r="T1681" i="5" a="1"/>
  <c r="T1681" i="5" s="1"/>
  <c r="U1681" i="5" s="1"/>
  <c r="T1682" i="5" a="1"/>
  <c r="T1682" i="5" s="1"/>
  <c r="U1682" i="5" s="1"/>
  <c r="T1683" i="5" a="1"/>
  <c r="T1683" i="5" s="1"/>
  <c r="U1683" i="5" s="1"/>
  <c r="T1684" i="5" a="1"/>
  <c r="T1684" i="5" s="1"/>
  <c r="U1684" i="5" s="1"/>
  <c r="T1685" i="5" a="1"/>
  <c r="T1685" i="5" s="1"/>
  <c r="U1685" i="5" s="1"/>
  <c r="T1686" i="5" a="1"/>
  <c r="T1686" i="5" s="1"/>
  <c r="U1686" i="5" s="1"/>
  <c r="T1687" i="5" a="1"/>
  <c r="T1687" i="5" s="1"/>
  <c r="U1687" i="5" s="1"/>
  <c r="T1688" i="5" a="1"/>
  <c r="T1688" i="5" s="1"/>
  <c r="U1688" i="5" s="1"/>
  <c r="T1689" i="5" a="1"/>
  <c r="T1689" i="5" s="1"/>
  <c r="U1689" i="5" s="1"/>
  <c r="T1690" i="5" a="1"/>
  <c r="T1690" i="5" s="1"/>
  <c r="U1690" i="5" s="1"/>
  <c r="T1691" i="5" a="1"/>
  <c r="T1691" i="5" s="1"/>
  <c r="U1691" i="5" s="1"/>
  <c r="T1692" i="5" a="1"/>
  <c r="T1692" i="5" s="1"/>
  <c r="U1692" i="5" s="1"/>
  <c r="T1693" i="5" a="1"/>
  <c r="T1693" i="5" s="1"/>
  <c r="U1693" i="5" s="1"/>
  <c r="T1694" i="5" a="1"/>
  <c r="T1694" i="5" s="1"/>
  <c r="U1694" i="5" s="1"/>
  <c r="T1695" i="5" a="1"/>
  <c r="T1695" i="5" s="1"/>
  <c r="U1695" i="5" s="1"/>
  <c r="T1696" i="5" a="1"/>
  <c r="T1696" i="5" s="1"/>
  <c r="U1696" i="5" s="1"/>
  <c r="T1697" i="5" a="1"/>
  <c r="T1697" i="5" s="1"/>
  <c r="U1697" i="5" s="1"/>
  <c r="T1698" i="5" a="1"/>
  <c r="T1698" i="5" s="1"/>
  <c r="U1698" i="5" s="1"/>
  <c r="T1699" i="5" a="1"/>
  <c r="T1699" i="5" s="1"/>
  <c r="U1699" i="5" s="1"/>
  <c r="T1700" i="5" a="1"/>
  <c r="T1700" i="5" s="1"/>
  <c r="U1700" i="5" s="1"/>
  <c r="T1701" i="5" a="1"/>
  <c r="T1701" i="5" s="1"/>
  <c r="U1701" i="5" s="1"/>
  <c r="T1702" i="5" a="1"/>
  <c r="T1702" i="5" s="1"/>
  <c r="U1702" i="5" s="1"/>
  <c r="T1703" i="5" a="1"/>
  <c r="T1703" i="5" s="1"/>
  <c r="U1703" i="5" s="1"/>
  <c r="T1704" i="5" a="1"/>
  <c r="T1704" i="5" s="1"/>
  <c r="U1704" i="5" s="1"/>
  <c r="T1705" i="5" a="1"/>
  <c r="T1705" i="5" s="1"/>
  <c r="U1705" i="5" s="1"/>
  <c r="T1706" i="5" a="1"/>
  <c r="T1706" i="5" s="1"/>
  <c r="U1706" i="5" s="1"/>
  <c r="T1707" i="5" a="1"/>
  <c r="T1707" i="5" s="1"/>
  <c r="U1707" i="5" s="1"/>
  <c r="T1708" i="5" a="1"/>
  <c r="T1708" i="5" s="1"/>
  <c r="U1708" i="5" s="1"/>
  <c r="T1709" i="5" a="1"/>
  <c r="T1709" i="5" s="1"/>
  <c r="U1709" i="5" s="1"/>
  <c r="T1710" i="5" a="1"/>
  <c r="T1710" i="5" s="1"/>
  <c r="U1710" i="5" s="1"/>
  <c r="T1711" i="5" a="1"/>
  <c r="T1711" i="5" s="1"/>
  <c r="U1711" i="5" s="1"/>
  <c r="T1712" i="5" a="1"/>
  <c r="T1712" i="5" s="1"/>
  <c r="U1712" i="5" s="1"/>
  <c r="T1713" i="5" a="1"/>
  <c r="T1713" i="5" s="1"/>
  <c r="U1713" i="5" s="1"/>
  <c r="T1714" i="5" a="1"/>
  <c r="T1714" i="5" s="1"/>
  <c r="U1714" i="5" s="1"/>
  <c r="T1715" i="5" a="1"/>
  <c r="T1715" i="5" s="1"/>
  <c r="U1715" i="5" s="1"/>
  <c r="T1716" i="5" a="1"/>
  <c r="T1716" i="5" s="1"/>
  <c r="U1716" i="5" s="1"/>
  <c r="T1717" i="5" a="1"/>
  <c r="T1717" i="5" s="1"/>
  <c r="U1717" i="5" s="1"/>
  <c r="T1718" i="5" a="1"/>
  <c r="T1718" i="5" s="1"/>
  <c r="U1718" i="5" s="1"/>
  <c r="T1719" i="5" a="1"/>
  <c r="T1719" i="5" s="1"/>
  <c r="U1719" i="5" s="1"/>
  <c r="T1720" i="5" a="1"/>
  <c r="T1720" i="5" s="1"/>
  <c r="U1720" i="5" s="1"/>
  <c r="T1721" i="5" a="1"/>
  <c r="T1721" i="5" s="1"/>
  <c r="U1721" i="5" s="1"/>
  <c r="T1722" i="5" a="1"/>
  <c r="T1722" i="5" s="1"/>
  <c r="U1722" i="5" s="1"/>
  <c r="T1723" i="5" a="1"/>
  <c r="T1723" i="5" s="1"/>
  <c r="U1723" i="5" s="1"/>
  <c r="T1724" i="5" a="1"/>
  <c r="T1724" i="5" s="1"/>
  <c r="U1724" i="5" s="1"/>
  <c r="T1725" i="5" a="1"/>
  <c r="T1725" i="5" s="1"/>
  <c r="U1725" i="5" s="1"/>
  <c r="T1726" i="5" a="1"/>
  <c r="T1726" i="5" s="1"/>
  <c r="U1726" i="5" s="1"/>
  <c r="T1727" i="5" a="1"/>
  <c r="T1727" i="5" s="1"/>
  <c r="U1727" i="5" s="1"/>
  <c r="T1728" i="5" a="1"/>
  <c r="T1728" i="5" s="1"/>
  <c r="U1728" i="5" s="1"/>
  <c r="T1729" i="5" a="1"/>
  <c r="T1729" i="5" s="1"/>
  <c r="U1729" i="5" s="1"/>
  <c r="T1730" i="5" a="1"/>
  <c r="T1730" i="5" s="1"/>
  <c r="U1730" i="5" s="1"/>
  <c r="T1731" i="5" a="1"/>
  <c r="T1731" i="5" s="1"/>
  <c r="U1731" i="5" s="1"/>
  <c r="T1732" i="5" a="1"/>
  <c r="T1732" i="5" s="1"/>
  <c r="U1732" i="5" s="1"/>
  <c r="T1733" i="5" a="1"/>
  <c r="T1733" i="5" s="1"/>
  <c r="U1733" i="5" s="1"/>
  <c r="T1745" i="5" a="1"/>
  <c r="T1745" i="5" s="1"/>
  <c r="U1745" i="5" s="1"/>
  <c r="T1746" i="5" a="1"/>
  <c r="T1746" i="5" s="1"/>
  <c r="U1746" i="5" s="1"/>
  <c r="T1747" i="5" a="1"/>
  <c r="T1747" i="5" s="1"/>
  <c r="U1747" i="5" s="1"/>
  <c r="T1748" i="5" a="1"/>
  <c r="T1748" i="5" s="1"/>
  <c r="U1748" i="5" s="1"/>
  <c r="T1749" i="5" a="1"/>
  <c r="T1749" i="5" s="1"/>
  <c r="U1749" i="5" s="1"/>
  <c r="T1750" i="5" a="1"/>
  <c r="T1750" i="5" s="1"/>
  <c r="U1750" i="5" s="1"/>
  <c r="T1751" i="5" a="1"/>
  <c r="T1751" i="5" s="1"/>
  <c r="U1751" i="5" s="1"/>
  <c r="T1752" i="5" a="1"/>
  <c r="T1752" i="5" s="1"/>
  <c r="U1752" i="5" s="1"/>
  <c r="T1753" i="5" a="1"/>
  <c r="T1753" i="5" s="1"/>
  <c r="U1753" i="5" s="1"/>
  <c r="T1754" i="5" a="1"/>
  <c r="T1754" i="5" s="1"/>
  <c r="U1754" i="5" s="1"/>
  <c r="T1755" i="5" a="1"/>
  <c r="T1755" i="5" s="1"/>
  <c r="U1755" i="5" s="1"/>
  <c r="T1756" i="5" a="1"/>
  <c r="T1756" i="5" s="1"/>
  <c r="U1756" i="5" s="1"/>
  <c r="T1757" i="5" a="1"/>
  <c r="T1757" i="5" s="1"/>
  <c r="U1757" i="5" s="1"/>
  <c r="T1758" i="5" a="1"/>
  <c r="T1758" i="5" s="1"/>
  <c r="U1758" i="5" s="1"/>
  <c r="T1759" i="5" a="1"/>
  <c r="T1759" i="5" s="1"/>
  <c r="U1759" i="5" s="1"/>
  <c r="T1760" i="5" a="1"/>
  <c r="T1760" i="5" s="1"/>
  <c r="U1760" i="5" s="1"/>
  <c r="T1761" i="5" a="1"/>
  <c r="T1761" i="5" s="1"/>
  <c r="U1761" i="5" s="1"/>
  <c r="T1762" i="5" a="1"/>
  <c r="T1762" i="5" s="1"/>
  <c r="U1762" i="5" s="1"/>
  <c r="T1763" i="5" a="1"/>
  <c r="T1763" i="5" s="1"/>
  <c r="U1763" i="5" s="1"/>
  <c r="T1764" i="5" a="1"/>
  <c r="T1764" i="5" s="1"/>
  <c r="U1764" i="5" s="1"/>
  <c r="T1765" i="5" a="1"/>
  <c r="T1765" i="5" s="1"/>
  <c r="U1765" i="5" s="1"/>
  <c r="T1766" i="5" a="1"/>
  <c r="T1766" i="5" s="1"/>
  <c r="U1766" i="5" s="1"/>
  <c r="T1767" i="5" a="1"/>
  <c r="T1767" i="5" s="1"/>
  <c r="U1767" i="5" s="1"/>
  <c r="T1768" i="5" a="1"/>
  <c r="T1768" i="5" s="1"/>
  <c r="U1768" i="5" s="1"/>
  <c r="T1769" i="5" a="1"/>
  <c r="T1769" i="5" s="1"/>
  <c r="U1769" i="5" s="1"/>
  <c r="T1770" i="5" a="1"/>
  <c r="T1770" i="5" s="1"/>
  <c r="U1770" i="5" s="1"/>
  <c r="T1771" i="5" a="1"/>
  <c r="T1771" i="5" s="1"/>
  <c r="U1771" i="5" s="1"/>
  <c r="T1772" i="5" a="1"/>
  <c r="T1772" i="5" s="1"/>
  <c r="U1772" i="5" s="1"/>
  <c r="T1773" i="5" a="1"/>
  <c r="T1773" i="5" s="1"/>
  <c r="U1773" i="5" s="1"/>
  <c r="T1774" i="5" a="1"/>
  <c r="T1774" i="5" s="1"/>
  <c r="U1774" i="5" s="1"/>
  <c r="T1790" i="5" a="1"/>
  <c r="T1790" i="5" s="1"/>
  <c r="U1790" i="5" s="1"/>
  <c r="T1791" i="5" a="1"/>
  <c r="T1791" i="5" s="1"/>
  <c r="U1791" i="5" s="1"/>
  <c r="T1792" i="5" a="1"/>
  <c r="T1792" i="5" s="1"/>
  <c r="U1792" i="5" s="1"/>
  <c r="T1793" i="5" a="1"/>
  <c r="T1793" i="5" s="1"/>
  <c r="U1793" i="5" s="1"/>
  <c r="T1794" i="5" a="1"/>
  <c r="T1794" i="5" s="1"/>
  <c r="U1794" i="5" s="1"/>
  <c r="T1795" i="5" a="1"/>
  <c r="T1795" i="5" s="1"/>
  <c r="U1795" i="5" s="1"/>
  <c r="T1796" i="5" a="1"/>
  <c r="T1796" i="5" s="1"/>
  <c r="U1796" i="5" s="1"/>
  <c r="T1797" i="5" a="1"/>
  <c r="T1797" i="5" s="1"/>
  <c r="U1797" i="5" s="1"/>
  <c r="T1798" i="5" a="1"/>
  <c r="T1798" i="5" s="1"/>
  <c r="U1798" i="5" s="1"/>
  <c r="T1799" i="5" a="1"/>
  <c r="T1799" i="5" s="1"/>
  <c r="U1799" i="5" s="1"/>
  <c r="T1800" i="5" a="1"/>
  <c r="T1800" i="5" s="1"/>
  <c r="U1800" i="5" s="1"/>
  <c r="T1801" i="5" a="1"/>
  <c r="T1801" i="5" s="1"/>
  <c r="U1801" i="5" s="1"/>
  <c r="T1802" i="5" a="1"/>
  <c r="T1802" i="5" s="1"/>
  <c r="U1802" i="5" s="1"/>
  <c r="T1803" i="5" a="1"/>
  <c r="T1803" i="5" s="1"/>
  <c r="U1803" i="5" s="1"/>
  <c r="T1804" i="5" a="1"/>
  <c r="T1804" i="5" s="1"/>
  <c r="U1804" i="5" s="1"/>
  <c r="T1805" i="5" a="1"/>
  <c r="T1805" i="5" s="1"/>
  <c r="U1805" i="5" s="1"/>
  <c r="T1806" i="5" a="1"/>
  <c r="T1806" i="5" s="1"/>
  <c r="U1806" i="5" s="1"/>
  <c r="T1807" i="5" a="1"/>
  <c r="T1807" i="5" s="1"/>
  <c r="U1807" i="5" s="1"/>
  <c r="T1808" i="5" a="1"/>
  <c r="T1808" i="5" s="1"/>
  <c r="U1808" i="5" s="1"/>
  <c r="T1809" i="5" a="1"/>
  <c r="T1809" i="5" s="1"/>
  <c r="U1809" i="5" s="1"/>
  <c r="T1810" i="5" a="1"/>
  <c r="T1810" i="5" s="1"/>
  <c r="U1810" i="5" s="1"/>
  <c r="T1811" i="5" a="1"/>
  <c r="T1811" i="5" s="1"/>
  <c r="U1811" i="5" s="1"/>
  <c r="T1812" i="5" a="1"/>
  <c r="T1812" i="5" s="1"/>
  <c r="U1812" i="5" s="1"/>
  <c r="T1813" i="5" a="1"/>
  <c r="T1813" i="5" s="1"/>
  <c r="U1813" i="5" s="1"/>
  <c r="T1814" i="5" a="1"/>
  <c r="T1814" i="5" s="1"/>
  <c r="U1814" i="5" s="1"/>
  <c r="T1815" i="5" a="1"/>
  <c r="T1815" i="5" s="1"/>
  <c r="U1815" i="5" s="1"/>
  <c r="T1816" i="5" a="1"/>
  <c r="T1816" i="5" s="1"/>
  <c r="U1816" i="5" s="1"/>
  <c r="T1817" i="5" a="1"/>
  <c r="T1817" i="5" s="1"/>
  <c r="U1817" i="5" s="1"/>
  <c r="T1818" i="5" a="1"/>
  <c r="T1818" i="5" s="1"/>
  <c r="U1818" i="5" s="1"/>
  <c r="T1819" i="5" a="1"/>
  <c r="T1819" i="5" s="1"/>
  <c r="U1819" i="5" s="1"/>
  <c r="T1820" i="5" a="1"/>
  <c r="T1820" i="5" s="1"/>
  <c r="U1820" i="5" s="1"/>
  <c r="T1821" i="5" a="1"/>
  <c r="T1821" i="5" s="1"/>
  <c r="U1821" i="5" s="1"/>
  <c r="T1822" i="5" a="1"/>
  <c r="T1822" i="5" s="1"/>
  <c r="U1822" i="5" s="1"/>
  <c r="T1823" i="5" a="1"/>
  <c r="T1823" i="5" s="1"/>
  <c r="U1823" i="5" s="1"/>
  <c r="T1824" i="5" a="1"/>
  <c r="T1824" i="5" s="1"/>
  <c r="U1824" i="5" s="1"/>
  <c r="T1825" i="5" a="1"/>
  <c r="T1825" i="5" s="1"/>
  <c r="U1825" i="5" s="1"/>
  <c r="T1826" i="5" a="1"/>
  <c r="T1826" i="5" s="1"/>
  <c r="U1826" i="5" s="1"/>
  <c r="T1827" i="5" a="1"/>
  <c r="T1827" i="5" s="1"/>
  <c r="U1827" i="5" s="1"/>
  <c r="T1828" i="5" a="1"/>
  <c r="T1828" i="5" s="1"/>
  <c r="U1828" i="5" s="1"/>
  <c r="T1829" i="5" a="1"/>
  <c r="T1829" i="5" s="1"/>
  <c r="T1830" i="5" a="1"/>
  <c r="T1830" i="5" s="1"/>
  <c r="U1830" i="5" s="1"/>
  <c r="T1831" i="5" a="1"/>
  <c r="T1831" i="5" s="1"/>
  <c r="U1831" i="5" s="1"/>
  <c r="T1832" i="5" a="1"/>
  <c r="T1832" i="5" s="1"/>
  <c r="U1832" i="5" s="1"/>
  <c r="T1833" i="5" a="1"/>
  <c r="T1833" i="5" s="1"/>
  <c r="U1833" i="5" s="1"/>
  <c r="T1834" i="5" a="1"/>
  <c r="T1834" i="5" s="1"/>
  <c r="U1834" i="5" s="1"/>
  <c r="T1835" i="5" a="1"/>
  <c r="T1835" i="5" s="1"/>
  <c r="U1835" i="5" s="1"/>
  <c r="T1836" i="5" a="1"/>
  <c r="T1836" i="5" s="1"/>
  <c r="T1837" i="5" a="1"/>
  <c r="T1837" i="5" s="1"/>
  <c r="U1837" i="5" s="1"/>
  <c r="T1838" i="5" a="1"/>
  <c r="T1838" i="5" s="1"/>
  <c r="U1838" i="5" s="1"/>
  <c r="T1839" i="5" a="1"/>
  <c r="T1839" i="5" s="1"/>
  <c r="U1839" i="5" s="1"/>
  <c r="T1840" i="5" a="1"/>
  <c r="T1840" i="5" s="1"/>
  <c r="U1840" i="5" s="1"/>
  <c r="T1841" i="5" a="1"/>
  <c r="T1841" i="5" s="1"/>
  <c r="U1841" i="5" s="1"/>
  <c r="T1842" i="5" a="1"/>
  <c r="T1842" i="5" s="1"/>
  <c r="U1842" i="5" s="1"/>
  <c r="T1843" i="5" a="1"/>
  <c r="T1843" i="5" s="1"/>
  <c r="U1843" i="5" s="1"/>
  <c r="T1844" i="5" a="1"/>
  <c r="T1844" i="5" s="1"/>
  <c r="U1844" i="5" s="1"/>
  <c r="T1845" i="5" a="1"/>
  <c r="T1845" i="5" s="1"/>
  <c r="U1845" i="5" s="1"/>
  <c r="T1846" i="5" a="1"/>
  <c r="T1846" i="5" s="1"/>
  <c r="U1846" i="5" s="1"/>
  <c r="T1847" i="5" a="1"/>
  <c r="T1847" i="5" s="1"/>
  <c r="U1847" i="5" s="1"/>
  <c r="T1848" i="5" a="1"/>
  <c r="T1848" i="5" s="1"/>
  <c r="U1848" i="5" s="1"/>
  <c r="T1849" i="5" a="1"/>
  <c r="T1849" i="5" s="1"/>
  <c r="U1849" i="5" s="1"/>
  <c r="T1850" i="5" a="1"/>
  <c r="T1850" i="5" s="1"/>
  <c r="U1850" i="5" s="1"/>
  <c r="T1851" i="5" a="1"/>
  <c r="T1851" i="5" s="1"/>
  <c r="U1851" i="5" s="1"/>
  <c r="T1852" i="5" a="1"/>
  <c r="T1852" i="5" s="1"/>
  <c r="U1852" i="5" s="1"/>
  <c r="T1853" i="5" a="1"/>
  <c r="T1853" i="5" s="1"/>
  <c r="U1853" i="5" s="1"/>
  <c r="T1854" i="5" a="1"/>
  <c r="T1854" i="5" s="1"/>
  <c r="U1854" i="5" s="1"/>
  <c r="T1855" i="5" a="1"/>
  <c r="T1855" i="5" s="1"/>
  <c r="U1855" i="5" s="1"/>
  <c r="T1856" i="5" a="1"/>
  <c r="T1856" i="5" s="1"/>
  <c r="U1856" i="5" s="1"/>
  <c r="T1857" i="5" a="1"/>
  <c r="T1857" i="5" s="1"/>
  <c r="U1857" i="5" s="1"/>
  <c r="T1858" i="5" a="1"/>
  <c r="T1858" i="5" s="1"/>
  <c r="U1858" i="5" s="1"/>
  <c r="T1859" i="5" a="1"/>
  <c r="T1859" i="5" s="1"/>
  <c r="U1859" i="5" s="1"/>
  <c r="T1860" i="5" a="1"/>
  <c r="T1860" i="5" s="1"/>
  <c r="U1860" i="5" s="1"/>
  <c r="T1861" i="5" a="1"/>
  <c r="T1861" i="5" s="1"/>
  <c r="U1861" i="5" s="1"/>
  <c r="T1862" i="5" a="1"/>
  <c r="T1862" i="5" s="1"/>
  <c r="U1862" i="5" s="1"/>
  <c r="T1863" i="5" a="1"/>
  <c r="T1863" i="5" s="1"/>
  <c r="U1863" i="5" s="1"/>
  <c r="T1864" i="5" a="1"/>
  <c r="T1864" i="5" s="1"/>
  <c r="U1864" i="5" s="1"/>
  <c r="T1865" i="5" a="1"/>
  <c r="T1865" i="5" s="1"/>
  <c r="U1865" i="5" s="1"/>
  <c r="T1866" i="5" a="1"/>
  <c r="T1866" i="5" s="1"/>
  <c r="U1866" i="5" s="1"/>
  <c r="T1867" i="5" a="1"/>
  <c r="T1867" i="5" s="1"/>
  <c r="U1867" i="5" s="1"/>
  <c r="T1868" i="5" a="1"/>
  <c r="T1868" i="5" s="1"/>
  <c r="U1868" i="5" s="1"/>
  <c r="T1869" i="5" a="1"/>
  <c r="T1869" i="5" s="1"/>
  <c r="U1869" i="5" s="1"/>
  <c r="T1870" i="5" a="1"/>
  <c r="T1870" i="5" s="1"/>
  <c r="U1870" i="5" s="1"/>
  <c r="T1871" i="5" a="1"/>
  <c r="T1871" i="5" s="1"/>
  <c r="U1871" i="5" s="1"/>
  <c r="T1872" i="5" a="1"/>
  <c r="T1872" i="5" s="1"/>
  <c r="U1872" i="5" s="1"/>
  <c r="T1873" i="5" a="1"/>
  <c r="T1873" i="5" s="1"/>
  <c r="U1873" i="5" s="1"/>
  <c r="T1874" i="5" a="1"/>
  <c r="T1874" i="5" s="1"/>
  <c r="U1874" i="5" s="1"/>
  <c r="T1875" i="5" a="1"/>
  <c r="T1875" i="5" s="1"/>
  <c r="U1875" i="5" s="1"/>
  <c r="T1876" i="5" a="1"/>
  <c r="T1876" i="5" s="1"/>
  <c r="U1876" i="5" s="1"/>
  <c r="T1877" i="5" a="1"/>
  <c r="T1877" i="5" s="1"/>
  <c r="U1877" i="5" s="1"/>
  <c r="T1878" i="5" a="1"/>
  <c r="T1878" i="5" s="1"/>
  <c r="U1878" i="5" s="1"/>
  <c r="T1879" i="5" a="1"/>
  <c r="T1879" i="5" s="1"/>
  <c r="U1879" i="5" s="1"/>
  <c r="T1880" i="5" a="1"/>
  <c r="T1880" i="5" s="1"/>
  <c r="U1880" i="5" s="1"/>
  <c r="T1881" i="5" a="1"/>
  <c r="T1881" i="5" s="1"/>
  <c r="U1881" i="5" s="1"/>
  <c r="T1882" i="5" a="1"/>
  <c r="T1882" i="5" s="1"/>
  <c r="U1882" i="5" s="1"/>
  <c r="T1883" i="5" a="1"/>
  <c r="T1883" i="5" s="1"/>
  <c r="U1883" i="5" s="1"/>
  <c r="T1884" i="5" a="1"/>
  <c r="T1884" i="5" s="1"/>
  <c r="U1884" i="5" s="1"/>
  <c r="T1885" i="5" a="1"/>
  <c r="T1885" i="5" s="1"/>
  <c r="U1885" i="5" s="1"/>
  <c r="T1886" i="5" a="1"/>
  <c r="T1886" i="5" s="1"/>
  <c r="U1886" i="5" s="1"/>
  <c r="T1887" i="5" a="1"/>
  <c r="T1887" i="5" s="1"/>
  <c r="U1887" i="5" s="1"/>
  <c r="T1888" i="5" a="1"/>
  <c r="T1888" i="5" s="1"/>
  <c r="U1888" i="5" s="1"/>
  <c r="T1889" i="5" a="1"/>
  <c r="T1889" i="5" s="1"/>
  <c r="U1889" i="5" s="1"/>
  <c r="T1890" i="5" a="1"/>
  <c r="T1890" i="5" s="1"/>
  <c r="U1890" i="5" s="1"/>
  <c r="T1891" i="5" a="1"/>
  <c r="T1891" i="5" s="1"/>
  <c r="U1891" i="5" s="1"/>
  <c r="T1892" i="5" a="1"/>
  <c r="T1892" i="5" s="1"/>
  <c r="U1892" i="5" s="1"/>
  <c r="T1893" i="5" a="1"/>
  <c r="T1893" i="5" s="1"/>
  <c r="U1893" i="5" s="1"/>
  <c r="T1895" i="5" a="1"/>
  <c r="T1895" i="5" s="1"/>
  <c r="U1895" i="5" s="1"/>
  <c r="T1897" i="5" a="1"/>
  <c r="T1897" i="5" s="1"/>
  <c r="U1897" i="5" s="1"/>
  <c r="T1898" i="5" a="1"/>
  <c r="T1898" i="5" s="1"/>
  <c r="U1898" i="5" s="1"/>
  <c r="T1899" i="5" a="1"/>
  <c r="T1899" i="5" s="1"/>
  <c r="U1899" i="5" s="1"/>
  <c r="T1900" i="5" a="1"/>
  <c r="T1900" i="5" s="1"/>
  <c r="U1900" i="5" s="1"/>
  <c r="T1901" i="5" a="1"/>
  <c r="T1901" i="5" s="1"/>
  <c r="U1901" i="5" s="1"/>
  <c r="T1902" i="5" a="1"/>
  <c r="T1902" i="5" s="1"/>
  <c r="U1902" i="5" s="1"/>
  <c r="T1903" i="5" a="1"/>
  <c r="T1903" i="5" s="1"/>
  <c r="U1903" i="5" s="1"/>
  <c r="T1904" i="5" a="1"/>
  <c r="T1904" i="5" s="1"/>
  <c r="U1904" i="5" s="1"/>
  <c r="T1905" i="5" a="1"/>
  <c r="T1905" i="5" s="1"/>
  <c r="U1905" i="5" s="1"/>
  <c r="T1906" i="5" a="1"/>
  <c r="T1906" i="5" s="1"/>
  <c r="U1906" i="5" s="1"/>
  <c r="T1907" i="5" a="1"/>
  <c r="T1907" i="5" s="1"/>
  <c r="U1907" i="5" s="1"/>
  <c r="T1908" i="5" a="1"/>
  <c r="T1908" i="5" s="1"/>
  <c r="U1908" i="5" s="1"/>
  <c r="T1909" i="5" a="1"/>
  <c r="T1909" i="5" s="1"/>
  <c r="U1909" i="5" s="1"/>
  <c r="T1910" i="5" a="1"/>
  <c r="T1910" i="5" s="1"/>
  <c r="U1910" i="5" s="1"/>
  <c r="T1911" i="5" a="1"/>
  <c r="T1911" i="5" s="1"/>
  <c r="U1911" i="5" s="1"/>
  <c r="T1912" i="5" a="1"/>
  <c r="T1912" i="5" s="1"/>
  <c r="U1912" i="5" s="1"/>
  <c r="T1913" i="5" a="1"/>
  <c r="T1913" i="5" s="1"/>
  <c r="U1913" i="5" s="1"/>
  <c r="T1914" i="5" a="1"/>
  <c r="T1914" i="5" s="1"/>
  <c r="U1914" i="5" s="1"/>
  <c r="T1915" i="5" a="1"/>
  <c r="T1915" i="5" s="1"/>
  <c r="U1915" i="5" s="1"/>
  <c r="T1916" i="5" a="1"/>
  <c r="T1916" i="5" s="1"/>
  <c r="U1916" i="5" s="1"/>
  <c r="T1917" i="5" a="1"/>
  <c r="T1917" i="5" s="1"/>
  <c r="U1917" i="5" s="1"/>
  <c r="T1918" i="5" a="1"/>
  <c r="T1918" i="5" s="1"/>
  <c r="U1918" i="5" s="1"/>
  <c r="T1919" i="5" a="1"/>
  <c r="T1919" i="5" s="1"/>
  <c r="U1919" i="5" s="1"/>
  <c r="T1920" i="5" a="1"/>
  <c r="T1920" i="5" s="1"/>
  <c r="U1920" i="5" s="1"/>
  <c r="T1921" i="5" a="1"/>
  <c r="T1921" i="5" s="1"/>
  <c r="U1921" i="5" s="1"/>
  <c r="T1922" i="5" a="1"/>
  <c r="T1922" i="5" s="1"/>
  <c r="U1922" i="5" s="1"/>
  <c r="T1923" i="5" a="1"/>
  <c r="T1923" i="5" s="1"/>
  <c r="U1923" i="5" s="1"/>
  <c r="T1924" i="5" a="1"/>
  <c r="T1924" i="5" s="1"/>
  <c r="U1924" i="5" s="1"/>
  <c r="T1925" i="5" a="1"/>
  <c r="T1925" i="5" s="1"/>
  <c r="U1925" i="5" s="1"/>
  <c r="T1926" i="5" a="1"/>
  <c r="T1926" i="5" s="1"/>
  <c r="U1926" i="5" s="1"/>
  <c r="T1927" i="5" a="1"/>
  <c r="T1927" i="5" s="1"/>
  <c r="U1927" i="5" s="1"/>
  <c r="T1928" i="5" a="1"/>
  <c r="T1928" i="5" s="1"/>
  <c r="U1928" i="5" s="1"/>
  <c r="T1929" i="5" a="1"/>
  <c r="T1929" i="5" s="1"/>
  <c r="U1929" i="5" s="1"/>
  <c r="T1930" i="5" a="1"/>
  <c r="T1930" i="5" s="1"/>
  <c r="U1930" i="5" s="1"/>
  <c r="T1931" i="5" a="1"/>
  <c r="T1931" i="5" s="1"/>
  <c r="U1931" i="5" s="1"/>
  <c r="T1932" i="5" a="1"/>
  <c r="T1932" i="5" s="1"/>
  <c r="U1932" i="5" s="1"/>
  <c r="T1933" i="5" a="1"/>
  <c r="T1933" i="5" s="1"/>
  <c r="U1933" i="5" s="1"/>
  <c r="T1934" i="5" a="1"/>
  <c r="T1934" i="5" s="1"/>
  <c r="U1934" i="5" s="1"/>
  <c r="T1935" i="5" a="1"/>
  <c r="T1935" i="5" s="1"/>
  <c r="U1935" i="5" s="1"/>
  <c r="T1936" i="5" a="1"/>
  <c r="T1936" i="5" s="1"/>
  <c r="U1936" i="5" s="1"/>
  <c r="T1937" i="5" a="1"/>
  <c r="T1937" i="5" s="1"/>
  <c r="U1937" i="5" s="1"/>
  <c r="T1938" i="5" a="1"/>
  <c r="T1938" i="5" s="1"/>
  <c r="U1938" i="5" s="1"/>
  <c r="T1939" i="5" a="1"/>
  <c r="T1939" i="5" s="1"/>
  <c r="U1939" i="5" s="1"/>
  <c r="T1940" i="5" a="1"/>
  <c r="T1940" i="5" s="1"/>
  <c r="U1940" i="5" s="1"/>
  <c r="T1941" i="5" a="1"/>
  <c r="T1941" i="5" s="1"/>
  <c r="U1941" i="5" s="1"/>
  <c r="T1942" i="5" a="1"/>
  <c r="T1942" i="5" s="1"/>
  <c r="U1942" i="5" s="1"/>
  <c r="T1943" i="5" a="1"/>
  <c r="T1943" i="5" s="1"/>
  <c r="U1943" i="5" s="1"/>
  <c r="T1944" i="5" a="1"/>
  <c r="T1944" i="5" s="1"/>
  <c r="U1944" i="5" s="1"/>
  <c r="T1945" i="5" a="1"/>
  <c r="T1945" i="5" s="1"/>
  <c r="U1945" i="5" s="1"/>
  <c r="T1946" i="5" a="1"/>
  <c r="T1946" i="5" s="1"/>
  <c r="U1946" i="5" s="1"/>
  <c r="T1947" i="5" a="1"/>
  <c r="T1947" i="5" s="1"/>
  <c r="U1947" i="5" s="1"/>
  <c r="T1948" i="5" a="1"/>
  <c r="T1948" i="5" s="1"/>
  <c r="U1948" i="5" s="1"/>
  <c r="T1949" i="5" a="1"/>
  <c r="T1949" i="5" s="1"/>
  <c r="U1949" i="5" s="1"/>
  <c r="T1950" i="5" a="1"/>
  <c r="T1950" i="5" s="1"/>
  <c r="U1950" i="5" s="1"/>
  <c r="T1951" i="5" a="1"/>
  <c r="T1951" i="5" s="1"/>
  <c r="U1951" i="5" s="1"/>
  <c r="T1952" i="5" a="1"/>
  <c r="T1952" i="5" s="1"/>
  <c r="U1952" i="5" s="1"/>
  <c r="T1953" i="5" a="1"/>
  <c r="T1953" i="5" s="1"/>
  <c r="U1953" i="5" s="1"/>
  <c r="T1954" i="5" a="1"/>
  <c r="T1954" i="5" s="1"/>
  <c r="U1954" i="5" s="1"/>
  <c r="T1955" i="5" a="1"/>
  <c r="T1955" i="5" s="1"/>
  <c r="U1955" i="5" s="1"/>
  <c r="T1956" i="5" a="1"/>
  <c r="T1956" i="5" s="1"/>
  <c r="U1956" i="5" s="1"/>
  <c r="T1957" i="5" a="1"/>
  <c r="T1957" i="5" s="1"/>
  <c r="U1957" i="5" s="1"/>
  <c r="T1958" i="5" a="1"/>
  <c r="T1958" i="5" s="1"/>
  <c r="U1958" i="5" s="1"/>
  <c r="T1959" i="5" a="1"/>
  <c r="T1959" i="5" s="1"/>
  <c r="U1959" i="5" s="1"/>
  <c r="T1960" i="5" a="1"/>
  <c r="T1960" i="5" s="1"/>
  <c r="U1960" i="5" s="1"/>
  <c r="T1961" i="5" a="1"/>
  <c r="T1961" i="5" s="1"/>
  <c r="U1961" i="5" s="1"/>
  <c r="T1962" i="5" a="1"/>
  <c r="T1962" i="5" s="1"/>
  <c r="U1962" i="5" s="1"/>
  <c r="T1963" i="5" a="1"/>
  <c r="T1963" i="5" s="1"/>
  <c r="U1963" i="5" s="1"/>
  <c r="T1964" i="5" a="1"/>
  <c r="T1964" i="5" s="1"/>
  <c r="U1964" i="5" s="1"/>
  <c r="T1965" i="5" a="1"/>
  <c r="T1965" i="5" s="1"/>
  <c r="U1965" i="5" s="1"/>
  <c r="T1966" i="5" a="1"/>
  <c r="T1966" i="5" s="1"/>
  <c r="U1966" i="5" s="1"/>
  <c r="T1967" i="5" a="1"/>
  <c r="T1967" i="5" s="1"/>
  <c r="U1967" i="5" s="1"/>
  <c r="T1968" i="5" a="1"/>
  <c r="T1968" i="5" s="1"/>
  <c r="U1968" i="5" s="1"/>
  <c r="T1969" i="5" a="1"/>
  <c r="T1969" i="5" s="1"/>
  <c r="U1969" i="5" s="1"/>
  <c r="T1970" i="5" a="1"/>
  <c r="T1970" i="5" s="1"/>
  <c r="U1970" i="5" s="1"/>
  <c r="T1971" i="5" a="1"/>
  <c r="T1971" i="5" s="1"/>
  <c r="U1971" i="5" s="1"/>
  <c r="T1972" i="5" a="1"/>
  <c r="T1972" i="5" s="1"/>
  <c r="U1972" i="5" s="1"/>
  <c r="T1973" i="5" a="1"/>
  <c r="T1973" i="5" s="1"/>
  <c r="U1973" i="5" s="1"/>
  <c r="T1974" i="5" a="1"/>
  <c r="T1974" i="5" s="1"/>
  <c r="U1974" i="5" s="1"/>
  <c r="T1975" i="5" a="1"/>
  <c r="T1975" i="5" s="1"/>
  <c r="U1975" i="5" s="1"/>
  <c r="T1976" i="5" a="1"/>
  <c r="T1976" i="5" s="1"/>
  <c r="U1976" i="5" s="1"/>
  <c r="T1977" i="5" a="1"/>
  <c r="T1977" i="5" s="1"/>
  <c r="U1977" i="5" s="1"/>
  <c r="T1978" i="5" a="1"/>
  <c r="T1978" i="5" s="1"/>
  <c r="U1978" i="5" s="1"/>
  <c r="T1979" i="5" a="1"/>
  <c r="T1979" i="5" s="1"/>
  <c r="U1979" i="5" s="1"/>
  <c r="T1980" i="5" a="1"/>
  <c r="T1980" i="5" s="1"/>
  <c r="U1980" i="5" s="1"/>
  <c r="T1981" i="5" a="1"/>
  <c r="T1981" i="5" s="1"/>
  <c r="U1981" i="5" s="1"/>
  <c r="T1982" i="5" a="1"/>
  <c r="T1982" i="5" s="1"/>
  <c r="U1982" i="5" s="1"/>
  <c r="T1983" i="5" a="1"/>
  <c r="T1983" i="5" s="1"/>
  <c r="U1983" i="5" s="1"/>
  <c r="T1984" i="5" a="1"/>
  <c r="T1984" i="5" s="1"/>
  <c r="U1984" i="5" s="1"/>
  <c r="T1985" i="5" a="1"/>
  <c r="T1985" i="5" s="1"/>
  <c r="U1985" i="5" s="1"/>
  <c r="T1986" i="5" a="1"/>
  <c r="T1986" i="5" s="1"/>
  <c r="U1986" i="5" s="1"/>
  <c r="T1987" i="5" a="1"/>
  <c r="T1987" i="5" s="1"/>
  <c r="U1987" i="5" s="1"/>
  <c r="T1988" i="5" a="1"/>
  <c r="T1988" i="5" s="1"/>
  <c r="U1988" i="5" s="1"/>
  <c r="T1989" i="5" a="1"/>
  <c r="T1989" i="5" s="1"/>
  <c r="U1989" i="5" s="1"/>
  <c r="T1990" i="5" a="1"/>
  <c r="T1990" i="5" s="1"/>
  <c r="U1990" i="5" s="1"/>
  <c r="T1991" i="5" a="1"/>
  <c r="T1991" i="5" s="1"/>
  <c r="U1991" i="5" s="1"/>
  <c r="T1992" i="5" a="1"/>
  <c r="T1992" i="5" s="1"/>
  <c r="U1992" i="5" s="1"/>
  <c r="T1993" i="5" a="1"/>
  <c r="T1993" i="5" s="1"/>
  <c r="U1993" i="5" s="1"/>
  <c r="T1994" i="5" a="1"/>
  <c r="T1994" i="5" s="1"/>
  <c r="U1994" i="5" s="1"/>
  <c r="T1995" i="5" a="1"/>
  <c r="T1995" i="5" s="1"/>
  <c r="U1995" i="5" s="1"/>
  <c r="T1996" i="5" a="1"/>
  <c r="T1996" i="5" s="1"/>
  <c r="U1996" i="5" s="1"/>
  <c r="T1997" i="5" a="1"/>
  <c r="T1997" i="5" s="1"/>
  <c r="U1997" i="5" s="1"/>
  <c r="T1998" i="5" a="1"/>
  <c r="T1998" i="5" s="1"/>
  <c r="U1998" i="5" s="1"/>
  <c r="T1999" i="5" a="1"/>
  <c r="T1999" i="5" s="1"/>
  <c r="U1999" i="5" s="1"/>
  <c r="T2000" i="5" a="1"/>
  <c r="T2000" i="5" s="1"/>
  <c r="U2000" i="5" s="1"/>
  <c r="T2001" i="5" a="1"/>
  <c r="T2001" i="5" s="1"/>
  <c r="U2001" i="5" s="1"/>
  <c r="T2002" i="5" a="1"/>
  <c r="T2002" i="5" s="1"/>
  <c r="U2002" i="5" s="1"/>
  <c r="T2003" i="5" a="1"/>
  <c r="T2003" i="5" s="1"/>
  <c r="U2003" i="5" s="1"/>
  <c r="T2004" i="5" a="1"/>
  <c r="T2004" i="5" s="1"/>
  <c r="U2004" i="5" s="1"/>
  <c r="T2005" i="5" a="1"/>
  <c r="T2005" i="5" s="1"/>
  <c r="U2005" i="5" s="1"/>
  <c r="T2006" i="5" a="1"/>
  <c r="T2006" i="5" s="1"/>
  <c r="U2006" i="5" s="1"/>
  <c r="T2007" i="5" a="1"/>
  <c r="T2007" i="5" s="1"/>
  <c r="U2007" i="5" s="1"/>
  <c r="T2008" i="5" a="1"/>
  <c r="T2008" i="5" s="1"/>
  <c r="U2008" i="5" s="1"/>
  <c r="T2009" i="5" a="1"/>
  <c r="T2009" i="5" s="1"/>
  <c r="U2009" i="5" s="1"/>
  <c r="T2010" i="5" a="1"/>
  <c r="T2010" i="5" s="1"/>
  <c r="U2010" i="5" s="1"/>
  <c r="T2011" i="5" a="1"/>
  <c r="T2011" i="5" s="1"/>
  <c r="U2011" i="5" s="1"/>
  <c r="T2012" i="5" a="1"/>
  <c r="T2012" i="5" s="1"/>
  <c r="U2012" i="5" s="1"/>
  <c r="T2013" i="5" a="1"/>
  <c r="T2013" i="5" s="1"/>
  <c r="U2013" i="5" s="1"/>
  <c r="T2014" i="5" a="1"/>
  <c r="T2014" i="5" s="1"/>
  <c r="U2014" i="5" s="1"/>
  <c r="T2015" i="5" a="1"/>
  <c r="T2015" i="5" s="1"/>
  <c r="U2015" i="5" s="1"/>
  <c r="T2016" i="5" a="1"/>
  <c r="T2016" i="5" s="1"/>
  <c r="U2016" i="5" s="1"/>
  <c r="T2017" i="5" a="1"/>
  <c r="T2017" i="5" s="1"/>
  <c r="U2017" i="5" s="1"/>
  <c r="T2018" i="5" a="1"/>
  <c r="T2018" i="5" s="1"/>
  <c r="U2018" i="5" s="1"/>
  <c r="T2019" i="5" a="1"/>
  <c r="T2019" i="5" s="1"/>
  <c r="U2019" i="5" s="1"/>
  <c r="T2020" i="5" a="1"/>
  <c r="T2020" i="5" s="1"/>
  <c r="U2020" i="5" s="1"/>
  <c r="T2021" i="5" a="1"/>
  <c r="T2021" i="5" s="1"/>
  <c r="U2021" i="5" s="1"/>
  <c r="T2022" i="5" a="1"/>
  <c r="T2022" i="5" s="1"/>
  <c r="U2022" i="5" s="1"/>
  <c r="T2023" i="5" a="1"/>
  <c r="T2023" i="5" s="1"/>
  <c r="U2023" i="5" s="1"/>
  <c r="T2024" i="5" a="1"/>
  <c r="T2024" i="5" s="1"/>
  <c r="U2024" i="5" s="1"/>
  <c r="T2025" i="5" a="1"/>
  <c r="T2025" i="5" s="1"/>
  <c r="U2025" i="5" s="1"/>
  <c r="T2026" i="5" a="1"/>
  <c r="T2026" i="5" s="1"/>
  <c r="U2026" i="5" s="1"/>
  <c r="T2027" i="5" a="1"/>
  <c r="T2027" i="5" s="1"/>
  <c r="U2027" i="5" s="1"/>
  <c r="T2028" i="5" a="1"/>
  <c r="T2028" i="5" s="1"/>
  <c r="U2028" i="5" s="1"/>
  <c r="T2029" i="5" a="1"/>
  <c r="T2029" i="5" s="1"/>
  <c r="U2029" i="5" s="1"/>
  <c r="T2030" i="5" a="1"/>
  <c r="T2030" i="5" s="1"/>
  <c r="U2030" i="5" s="1"/>
  <c r="T2031" i="5" a="1"/>
  <c r="T2031" i="5" s="1"/>
  <c r="U2031" i="5" s="1"/>
  <c r="T2032" i="5" a="1"/>
  <c r="T2032" i="5" s="1"/>
  <c r="U2032" i="5" s="1"/>
  <c r="T2033" i="5" a="1"/>
  <c r="T2033" i="5" s="1"/>
  <c r="U2033" i="5" s="1"/>
  <c r="T2034" i="5" a="1"/>
  <c r="T2034" i="5" s="1"/>
  <c r="U2034" i="5" s="1"/>
  <c r="T2035" i="5" a="1"/>
  <c r="T2035" i="5" s="1"/>
  <c r="U2035" i="5" s="1"/>
  <c r="T2036" i="5" a="1"/>
  <c r="T2036" i="5" s="1"/>
  <c r="U2036" i="5" s="1"/>
  <c r="T2037" i="5" a="1"/>
  <c r="T2037" i="5" s="1"/>
  <c r="U2037" i="5" s="1"/>
  <c r="T2038" i="5" a="1"/>
  <c r="T2038" i="5" s="1"/>
  <c r="U2038" i="5" s="1"/>
  <c r="T2039" i="5" a="1"/>
  <c r="T2039" i="5" s="1"/>
  <c r="U2039" i="5" s="1"/>
  <c r="T2040" i="5" a="1"/>
  <c r="T2040" i="5" s="1"/>
  <c r="U2040" i="5" s="1"/>
  <c r="T2041" i="5" a="1"/>
  <c r="T2041" i="5" s="1"/>
  <c r="U2041" i="5" s="1"/>
  <c r="T2042" i="5" a="1"/>
  <c r="T2042" i="5" s="1"/>
  <c r="U2042" i="5" s="1"/>
  <c r="T2043" i="5" a="1"/>
  <c r="T2043" i="5" s="1"/>
  <c r="U2043" i="5" s="1"/>
  <c r="T2044" i="5" a="1"/>
  <c r="T2044" i="5" s="1"/>
  <c r="U2044" i="5" s="1"/>
  <c r="T2045" i="5" a="1"/>
  <c r="T2045" i="5" s="1"/>
  <c r="U2045" i="5" s="1"/>
  <c r="T2046" i="5" a="1"/>
  <c r="T2046" i="5" s="1"/>
  <c r="U2046" i="5" s="1"/>
  <c r="T2047" i="5" a="1"/>
  <c r="T2047" i="5" s="1"/>
  <c r="U2047" i="5" s="1"/>
  <c r="T2048" i="5" a="1"/>
  <c r="T2048" i="5" s="1"/>
  <c r="U2048" i="5" s="1"/>
  <c r="T2049" i="5" a="1"/>
  <c r="T2049" i="5" s="1"/>
  <c r="U2049" i="5" s="1"/>
  <c r="T2050" i="5" a="1"/>
  <c r="T2050" i="5" s="1"/>
  <c r="U2050" i="5" s="1"/>
  <c r="T2051" i="5" a="1"/>
  <c r="T2051" i="5" s="1"/>
  <c r="U2051" i="5" s="1"/>
  <c r="T2052" i="5" a="1"/>
  <c r="T2052" i="5" s="1"/>
  <c r="U2052" i="5" s="1"/>
  <c r="T2053" i="5" a="1"/>
  <c r="T2053" i="5" s="1"/>
  <c r="U2053" i="5" s="1"/>
  <c r="T2054" i="5" a="1"/>
  <c r="T2054" i="5" s="1"/>
  <c r="U2054" i="5" s="1"/>
  <c r="T2055" i="5" a="1"/>
  <c r="T2055" i="5" s="1"/>
  <c r="U2055" i="5" s="1"/>
  <c r="T2056" i="5" a="1"/>
  <c r="T2056" i="5" s="1"/>
  <c r="U2056" i="5" s="1"/>
  <c r="T2057" i="5" a="1"/>
  <c r="T2057" i="5" s="1"/>
  <c r="U2057" i="5" s="1"/>
  <c r="T2058" i="5" a="1"/>
  <c r="T2058" i="5" s="1"/>
  <c r="U2058" i="5" s="1"/>
  <c r="T2059" i="5" a="1"/>
  <c r="T2059" i="5" s="1"/>
  <c r="U2059" i="5" s="1"/>
  <c r="T2060" i="5" a="1"/>
  <c r="T2060" i="5" s="1"/>
  <c r="U2060" i="5" s="1"/>
  <c r="T2061" i="5" a="1"/>
  <c r="T2061" i="5" s="1"/>
  <c r="U2061" i="5" s="1"/>
  <c r="T2062" i="5" a="1"/>
  <c r="T2062" i="5" s="1"/>
  <c r="U2062" i="5" s="1"/>
  <c r="T2063" i="5" a="1"/>
  <c r="T2063" i="5" s="1"/>
  <c r="U2063" i="5" s="1"/>
  <c r="T2064" i="5" a="1"/>
  <c r="T2064" i="5" s="1"/>
  <c r="U2064" i="5" s="1"/>
  <c r="T2065" i="5" a="1"/>
  <c r="T2065" i="5" s="1"/>
  <c r="U2065" i="5" s="1"/>
  <c r="T2066" i="5" a="1"/>
  <c r="T2066" i="5" s="1"/>
  <c r="U2066" i="5" s="1"/>
  <c r="T2067" i="5" a="1"/>
  <c r="T2067" i="5" s="1"/>
  <c r="U2067" i="5" s="1"/>
  <c r="T2068" i="5" a="1"/>
  <c r="T2068" i="5" s="1"/>
  <c r="U2068" i="5" s="1"/>
  <c r="T2069" i="5" a="1"/>
  <c r="T2069" i="5" s="1"/>
  <c r="U2069" i="5" s="1"/>
  <c r="T2070" i="5" a="1"/>
  <c r="T2070" i="5" s="1"/>
  <c r="U2070" i="5" s="1"/>
  <c r="T2071" i="5" a="1"/>
  <c r="T2071" i="5" s="1"/>
  <c r="U2071" i="5" s="1"/>
  <c r="T2072" i="5" a="1"/>
  <c r="T2072" i="5" s="1"/>
  <c r="U2072" i="5" s="1"/>
  <c r="T2073" i="5" a="1"/>
  <c r="T2073" i="5" s="1"/>
  <c r="U2073" i="5" s="1"/>
  <c r="T2074" i="5" a="1"/>
  <c r="T2074" i="5" s="1"/>
  <c r="U2074" i="5" s="1"/>
  <c r="T2075" i="5" a="1"/>
  <c r="T2075" i="5" s="1"/>
  <c r="U2075" i="5" s="1"/>
  <c r="T2076" i="5" a="1"/>
  <c r="T2076" i="5" s="1"/>
  <c r="U2076" i="5" s="1"/>
  <c r="T2077" i="5" a="1"/>
  <c r="T2077" i="5" s="1"/>
  <c r="U2077" i="5" s="1"/>
  <c r="T2078" i="5" a="1"/>
  <c r="T2078" i="5" s="1"/>
  <c r="U2078" i="5" s="1"/>
  <c r="T2079" i="5" a="1"/>
  <c r="T2079" i="5" s="1"/>
  <c r="U2079" i="5" s="1"/>
  <c r="T2080" i="5" a="1"/>
  <c r="T2080" i="5" s="1"/>
  <c r="U2080" i="5" s="1"/>
  <c r="T2081" i="5" a="1"/>
  <c r="T2081" i="5" s="1"/>
  <c r="U2081" i="5" s="1"/>
  <c r="T2082" i="5" a="1"/>
  <c r="T2082" i="5" s="1"/>
  <c r="U2082" i="5" s="1"/>
  <c r="T2083" i="5" a="1"/>
  <c r="T2083" i="5" s="1"/>
  <c r="U2083" i="5" s="1"/>
  <c r="T2084" i="5" a="1"/>
  <c r="T2084" i="5" s="1"/>
  <c r="U2084" i="5" s="1"/>
  <c r="T2085" i="5" a="1"/>
  <c r="T2085" i="5" s="1"/>
  <c r="U2085" i="5" s="1"/>
  <c r="T2086" i="5" a="1"/>
  <c r="T2086" i="5" s="1"/>
  <c r="U2086" i="5" s="1"/>
  <c r="T2087" i="5" a="1"/>
  <c r="T2087" i="5" s="1"/>
  <c r="U2087" i="5" s="1"/>
  <c r="T2088" i="5" a="1"/>
  <c r="T2088" i="5" s="1"/>
  <c r="U2088" i="5" s="1"/>
  <c r="T2089" i="5" a="1"/>
  <c r="T2089" i="5" s="1"/>
  <c r="U2089" i="5" s="1"/>
  <c r="T2090" i="5" a="1"/>
  <c r="T2090" i="5" s="1"/>
  <c r="U2090" i="5" s="1"/>
  <c r="T2091" i="5" a="1"/>
  <c r="T2091" i="5" s="1"/>
  <c r="U2091" i="5" s="1"/>
  <c r="T2092" i="5" a="1"/>
  <c r="T2092" i="5" s="1"/>
  <c r="U2092" i="5" s="1"/>
  <c r="T2093" i="5" a="1"/>
  <c r="T2093" i="5" s="1"/>
  <c r="U2093" i="5" s="1"/>
  <c r="T2094" i="5" a="1"/>
  <c r="T2094" i="5" s="1"/>
  <c r="U2094" i="5" s="1"/>
  <c r="T2095" i="5" a="1"/>
  <c r="T2095" i="5" s="1"/>
  <c r="U2095" i="5" s="1"/>
  <c r="T2096" i="5" a="1"/>
  <c r="T2096" i="5" s="1"/>
  <c r="U2096" i="5" s="1"/>
  <c r="T2097" i="5" a="1"/>
  <c r="T2097" i="5" s="1"/>
  <c r="U2097" i="5" s="1"/>
  <c r="T2098" i="5" a="1"/>
  <c r="T2098" i="5" s="1"/>
  <c r="U2098" i="5" s="1"/>
  <c r="T2099" i="5" a="1"/>
  <c r="T2099" i="5" s="1"/>
  <c r="U2099" i="5" s="1"/>
  <c r="T2100" i="5" a="1"/>
  <c r="T2100" i="5" s="1"/>
  <c r="U2100" i="5" s="1"/>
  <c r="T2101" i="5" a="1"/>
  <c r="T2101" i="5" s="1"/>
  <c r="U2101" i="5" s="1"/>
  <c r="T2102" i="5" a="1"/>
  <c r="T2102" i="5" s="1"/>
  <c r="U2102" i="5" s="1"/>
  <c r="T2103" i="5" a="1"/>
  <c r="T2103" i="5" s="1"/>
  <c r="U2103" i="5" s="1"/>
  <c r="T2104" i="5" a="1"/>
  <c r="T2104" i="5" s="1"/>
  <c r="U2104" i="5" s="1"/>
  <c r="T2105" i="5" a="1"/>
  <c r="T2105" i="5" s="1"/>
  <c r="U2105" i="5" s="1"/>
  <c r="T2106" i="5" a="1"/>
  <c r="T2106" i="5" s="1"/>
  <c r="U2106" i="5" s="1"/>
  <c r="T2107" i="5" a="1"/>
  <c r="T2107" i="5" s="1"/>
  <c r="U2107" i="5" s="1"/>
  <c r="T2108" i="5" a="1"/>
  <c r="T2108" i="5" s="1"/>
  <c r="U2108" i="5" s="1"/>
  <c r="T2109" i="5" a="1"/>
  <c r="T2109" i="5" s="1"/>
  <c r="U2109" i="5" s="1"/>
  <c r="T2110" i="5" a="1"/>
  <c r="T2110" i="5" s="1"/>
  <c r="U2110" i="5" s="1"/>
  <c r="T2111" i="5" a="1"/>
  <c r="T2111" i="5" s="1"/>
  <c r="U2111" i="5" s="1"/>
  <c r="T2112" i="5" a="1"/>
  <c r="T2112" i="5" s="1"/>
  <c r="U2112" i="5" s="1"/>
  <c r="T2113" i="5" a="1"/>
  <c r="T2113" i="5" s="1"/>
  <c r="U2113" i="5" s="1"/>
  <c r="T2114" i="5" a="1"/>
  <c r="T2114" i="5" s="1"/>
  <c r="U2114" i="5" s="1"/>
  <c r="T2115" i="5" a="1"/>
  <c r="T2115" i="5" s="1"/>
  <c r="U2115" i="5" s="1"/>
  <c r="T2116" i="5" a="1"/>
  <c r="T2116" i="5" s="1"/>
  <c r="U2116" i="5" s="1"/>
  <c r="T2117" i="5" a="1"/>
  <c r="T2117" i="5" s="1"/>
  <c r="U2117" i="5" s="1"/>
  <c r="T2118" i="5" a="1"/>
  <c r="T2118" i="5" s="1"/>
  <c r="U2118" i="5" s="1"/>
  <c r="T2119" i="5" a="1"/>
  <c r="T2119" i="5" s="1"/>
  <c r="U2119" i="5" s="1"/>
  <c r="T2120" i="5" a="1"/>
  <c r="T2120" i="5" s="1"/>
  <c r="U2120" i="5" s="1"/>
  <c r="T2121" i="5" a="1"/>
  <c r="T2121" i="5" s="1"/>
  <c r="U2121" i="5" s="1"/>
  <c r="T2122" i="5" a="1"/>
  <c r="T2122" i="5" s="1"/>
  <c r="U2122" i="5" s="1"/>
  <c r="T2123" i="5" a="1"/>
  <c r="T2123" i="5" s="1"/>
  <c r="U2123" i="5" s="1"/>
  <c r="T2124" i="5" a="1"/>
  <c r="T2124" i="5" s="1"/>
  <c r="U2124" i="5" s="1"/>
  <c r="T2125" i="5" a="1"/>
  <c r="T2125" i="5" s="1"/>
  <c r="U2125" i="5" s="1"/>
  <c r="T2126" i="5" a="1"/>
  <c r="T2126" i="5" s="1"/>
  <c r="U2126" i="5" s="1"/>
  <c r="T2127" i="5" a="1"/>
  <c r="T2127" i="5" s="1"/>
  <c r="U2127" i="5" s="1"/>
  <c r="T2128" i="5" a="1"/>
  <c r="T2128" i="5" s="1"/>
  <c r="U2128" i="5" s="1"/>
  <c r="T2129" i="5" a="1"/>
  <c r="T2129" i="5" s="1"/>
  <c r="U2129" i="5" s="1"/>
  <c r="T2130" i="5" a="1"/>
  <c r="T2130" i="5" s="1"/>
  <c r="U2130" i="5" s="1"/>
  <c r="T2131" i="5" a="1"/>
  <c r="T2131" i="5" s="1"/>
  <c r="U2131" i="5" s="1"/>
  <c r="T2132" i="5" a="1"/>
  <c r="T2132" i="5" s="1"/>
  <c r="U2132" i="5" s="1"/>
  <c r="T2133" i="5" a="1"/>
  <c r="T2133" i="5" s="1"/>
  <c r="U2133" i="5" s="1"/>
  <c r="T2134" i="5" a="1"/>
  <c r="T2134" i="5" s="1"/>
  <c r="U2134" i="5" s="1"/>
  <c r="T2135" i="5" a="1"/>
  <c r="T2135" i="5" s="1"/>
  <c r="U2135" i="5" s="1"/>
  <c r="T2136" i="5" a="1"/>
  <c r="T2136" i="5" s="1"/>
  <c r="U2136" i="5" s="1"/>
  <c r="T2137" i="5" a="1"/>
  <c r="T2137" i="5" s="1"/>
  <c r="U2137" i="5" s="1"/>
  <c r="T2138" i="5" a="1"/>
  <c r="T2138" i="5" s="1"/>
  <c r="U2138" i="5" s="1"/>
  <c r="T2139" i="5" a="1"/>
  <c r="T2139" i="5" s="1"/>
  <c r="U2139" i="5" s="1"/>
  <c r="T2140" i="5" a="1"/>
  <c r="T2140" i="5" s="1"/>
  <c r="U2140" i="5" s="1"/>
  <c r="T2141" i="5" a="1"/>
  <c r="T2141" i="5" s="1"/>
  <c r="U2141" i="5" s="1"/>
  <c r="T2142" i="5" a="1"/>
  <c r="T2142" i="5" s="1"/>
  <c r="U2142" i="5" s="1"/>
  <c r="T2143" i="5" a="1"/>
  <c r="T2143" i="5" s="1"/>
  <c r="U2143" i="5" s="1"/>
  <c r="T2144" i="5" a="1"/>
  <c r="T2144" i="5" s="1"/>
  <c r="U2144" i="5" s="1"/>
  <c r="T2145" i="5" a="1"/>
  <c r="T2145" i="5" s="1"/>
  <c r="U2145" i="5" s="1"/>
  <c r="T2146" i="5" a="1"/>
  <c r="T2146" i="5" s="1"/>
  <c r="U2146" i="5" s="1"/>
  <c r="T2147" i="5" a="1"/>
  <c r="T2147" i="5" s="1"/>
  <c r="U2147" i="5" s="1"/>
  <c r="T2148" i="5" a="1"/>
  <c r="T2148" i="5" s="1"/>
  <c r="U2148" i="5" s="1"/>
  <c r="T2149" i="5" a="1"/>
  <c r="T2149" i="5" s="1"/>
  <c r="U2149" i="5" s="1"/>
  <c r="T2150" i="5" a="1"/>
  <c r="T2150" i="5" s="1"/>
  <c r="U2150" i="5" s="1"/>
  <c r="T2151" i="5" a="1"/>
  <c r="T2151" i="5" s="1"/>
  <c r="U2151" i="5" s="1"/>
  <c r="T2152" i="5" a="1"/>
  <c r="T2152" i="5" s="1"/>
  <c r="U2152" i="5" s="1"/>
  <c r="T2153" i="5" a="1"/>
  <c r="T2153" i="5" s="1"/>
  <c r="U2153" i="5" s="1"/>
  <c r="T2154" i="5" a="1"/>
  <c r="T2154" i="5" s="1"/>
  <c r="U2154" i="5" s="1"/>
  <c r="T2155" i="5" a="1"/>
  <c r="T2155" i="5" s="1"/>
  <c r="U2155" i="5" s="1"/>
  <c r="T2156" i="5" a="1"/>
  <c r="T2156" i="5" s="1"/>
  <c r="U2156" i="5" s="1"/>
  <c r="T2157" i="5" a="1"/>
  <c r="T2157" i="5" s="1"/>
  <c r="U2157" i="5" s="1"/>
  <c r="T2158" i="5" a="1"/>
  <c r="T2158" i="5" s="1"/>
  <c r="U2158" i="5" s="1"/>
  <c r="T2159" i="5" a="1"/>
  <c r="T2159" i="5" s="1"/>
  <c r="U2159" i="5" s="1"/>
  <c r="T2160" i="5" a="1"/>
  <c r="T2160" i="5" s="1"/>
  <c r="U2160" i="5" s="1"/>
  <c r="T2161" i="5" a="1"/>
  <c r="T2161" i="5" s="1"/>
  <c r="U2161" i="5" s="1"/>
  <c r="T2162" i="5" a="1"/>
  <c r="T2162" i="5" s="1"/>
  <c r="U2162" i="5" s="1"/>
  <c r="T2163" i="5" a="1"/>
  <c r="T2163" i="5" s="1"/>
  <c r="U2163" i="5" s="1"/>
  <c r="T2164" i="5" a="1"/>
  <c r="T2164" i="5" s="1"/>
  <c r="U2164" i="5" s="1"/>
  <c r="T2165" i="5" a="1"/>
  <c r="T2165" i="5" s="1"/>
  <c r="U2165" i="5" s="1"/>
  <c r="T2166" i="5" a="1"/>
  <c r="T2166" i="5" s="1"/>
  <c r="U2166" i="5" s="1"/>
  <c r="T2167" i="5" a="1"/>
  <c r="T2167" i="5" s="1"/>
  <c r="U2167" i="5" s="1"/>
  <c r="T2168" i="5" a="1"/>
  <c r="T2168" i="5" s="1"/>
  <c r="U2168" i="5" s="1"/>
  <c r="T2169" i="5" a="1"/>
  <c r="T2169" i="5" s="1"/>
  <c r="U2169" i="5" s="1"/>
  <c r="T2170" i="5" a="1"/>
  <c r="T2170" i="5" s="1"/>
  <c r="U2170" i="5" s="1"/>
  <c r="T2171" i="5" a="1"/>
  <c r="T2171" i="5" s="1"/>
  <c r="U2171" i="5" s="1"/>
  <c r="T2172" i="5" a="1"/>
  <c r="T2172" i="5" s="1"/>
  <c r="U2172" i="5" s="1"/>
  <c r="T2173" i="5" a="1"/>
  <c r="T2173" i="5" s="1"/>
  <c r="U2173" i="5" s="1"/>
  <c r="T2174" i="5" a="1"/>
  <c r="T2174" i="5" s="1"/>
  <c r="U2174" i="5" s="1"/>
  <c r="T2175" i="5" a="1"/>
  <c r="T2175" i="5" s="1"/>
  <c r="U2175" i="5" s="1"/>
  <c r="T2176" i="5" a="1"/>
  <c r="T2176" i="5" s="1"/>
  <c r="U2176" i="5" s="1"/>
  <c r="T2178" i="5" a="1"/>
  <c r="T2178" i="5" s="1"/>
  <c r="U2178" i="5" s="1"/>
  <c r="T2180" i="5" a="1"/>
  <c r="T2180" i="5" s="1"/>
  <c r="U2180" i="5" s="1"/>
  <c r="T2181" i="5" a="1"/>
  <c r="T2181" i="5" s="1"/>
  <c r="U2181" i="5" s="1"/>
  <c r="T2182" i="5" a="1"/>
  <c r="T2182" i="5" s="1"/>
  <c r="U2182" i="5" s="1"/>
  <c r="T2183" i="5" a="1"/>
  <c r="T2183" i="5" s="1"/>
  <c r="U2183" i="5" s="1"/>
  <c r="T2184" i="5" a="1"/>
  <c r="T2184" i="5" s="1"/>
  <c r="U2184" i="5" s="1"/>
  <c r="T2185" i="5" a="1"/>
  <c r="T2185" i="5" s="1"/>
  <c r="U2185" i="5" s="1"/>
  <c r="T2186" i="5" a="1"/>
  <c r="T2186" i="5" s="1"/>
  <c r="U2186" i="5" s="1"/>
  <c r="T2187" i="5" a="1"/>
  <c r="T2187" i="5" s="1"/>
  <c r="U2187" i="5" s="1"/>
  <c r="T2188" i="5" a="1"/>
  <c r="T2188" i="5" s="1"/>
  <c r="U2188" i="5" s="1"/>
  <c r="T2189" i="5" a="1"/>
  <c r="T2189" i="5" s="1"/>
  <c r="U2189" i="5" s="1"/>
  <c r="T2190" i="5" a="1"/>
  <c r="T2190" i="5" s="1"/>
  <c r="U2190" i="5" s="1"/>
  <c r="T2191" i="5" a="1"/>
  <c r="T2191" i="5" s="1"/>
  <c r="U2191" i="5" s="1"/>
  <c r="T2192" i="5" a="1"/>
  <c r="T2192" i="5" s="1"/>
  <c r="U2192" i="5" s="1"/>
  <c r="T2193" i="5" a="1"/>
  <c r="T2193" i="5" s="1"/>
  <c r="U2193" i="5" s="1"/>
  <c r="T2194" i="5" a="1"/>
  <c r="T2194" i="5" s="1"/>
  <c r="U2194" i="5" s="1"/>
  <c r="T2195" i="5" a="1"/>
  <c r="T2195" i="5" s="1"/>
  <c r="U2195" i="5" s="1"/>
  <c r="T2196" i="5" a="1"/>
  <c r="T2196" i="5" s="1"/>
  <c r="U2196" i="5" s="1"/>
  <c r="T2197" i="5" a="1"/>
  <c r="T2197" i="5" s="1"/>
  <c r="U2197" i="5" s="1"/>
  <c r="T2198" i="5" a="1"/>
  <c r="T2198" i="5" s="1"/>
  <c r="U2198" i="5" s="1"/>
  <c r="T2199" i="5" a="1"/>
  <c r="T2199" i="5" s="1"/>
  <c r="U2199" i="5" s="1"/>
  <c r="T2200" i="5" a="1"/>
  <c r="T2200" i="5" s="1"/>
  <c r="U2200" i="5" s="1"/>
  <c r="T2201" i="5" a="1"/>
  <c r="T2201" i="5" s="1"/>
  <c r="U2201" i="5" s="1"/>
  <c r="T2202" i="5" a="1"/>
  <c r="T2202" i="5" s="1"/>
  <c r="U2202" i="5" s="1"/>
  <c r="T2203" i="5" a="1"/>
  <c r="T2203" i="5" s="1"/>
  <c r="U2203" i="5" s="1"/>
  <c r="T2204" i="5" a="1"/>
  <c r="T2204" i="5" s="1"/>
  <c r="U2204" i="5" s="1"/>
  <c r="T2205" i="5" a="1"/>
  <c r="T2205" i="5" s="1"/>
  <c r="U2205" i="5" s="1"/>
  <c r="T2206" i="5" a="1"/>
  <c r="T2206" i="5" s="1"/>
  <c r="U2206" i="5" s="1"/>
  <c r="T2207" i="5" a="1"/>
  <c r="T2207" i="5" s="1"/>
  <c r="U2207" i="5" s="1"/>
  <c r="T2208" i="5" a="1"/>
  <c r="T2208" i="5" s="1"/>
  <c r="U2208" i="5" s="1"/>
  <c r="T2209" i="5" a="1"/>
  <c r="T2209" i="5" s="1"/>
  <c r="U2209" i="5" s="1"/>
  <c r="T2210" i="5" a="1"/>
  <c r="T2210" i="5" s="1"/>
  <c r="U2210" i="5" s="1"/>
  <c r="T2211" i="5" a="1"/>
  <c r="T2211" i="5" s="1"/>
  <c r="U2211" i="5" s="1"/>
  <c r="T2212" i="5" a="1"/>
  <c r="T2212" i="5" s="1"/>
  <c r="U2212" i="5" s="1"/>
  <c r="T2213" i="5" a="1"/>
  <c r="T2213" i="5" s="1"/>
  <c r="U2213" i="5" s="1"/>
  <c r="T2214" i="5" a="1"/>
  <c r="T2214" i="5" s="1"/>
  <c r="U2214" i="5" s="1"/>
  <c r="T2215" i="5" a="1"/>
  <c r="T2215" i="5" s="1"/>
  <c r="U2215" i="5" s="1"/>
  <c r="T2216" i="5" a="1"/>
  <c r="T2216" i="5" s="1"/>
  <c r="U2216" i="5" s="1"/>
  <c r="T2217" i="5" a="1"/>
  <c r="T2217" i="5" s="1"/>
  <c r="U2217" i="5" s="1"/>
  <c r="T2218" i="5" a="1"/>
  <c r="T2218" i="5" s="1"/>
  <c r="U2218" i="5" s="1"/>
  <c r="T2219" i="5" a="1"/>
  <c r="T2219" i="5" s="1"/>
  <c r="U2219" i="5" s="1"/>
  <c r="T2220" i="5" a="1"/>
  <c r="T2220" i="5" s="1"/>
  <c r="U2220" i="5" s="1"/>
  <c r="T2221" i="5" a="1"/>
  <c r="T2221" i="5" s="1"/>
  <c r="U2221" i="5" s="1"/>
  <c r="T2222" i="5" a="1"/>
  <c r="T2222" i="5" s="1"/>
  <c r="U2222" i="5" s="1"/>
  <c r="T2223" i="5" a="1"/>
  <c r="T2223" i="5" s="1"/>
  <c r="U2223" i="5" s="1"/>
  <c r="T2224" i="5" a="1"/>
  <c r="T2224" i="5" s="1"/>
  <c r="U2224" i="5" s="1"/>
  <c r="T2225" i="5" a="1"/>
  <c r="T2225" i="5" s="1"/>
  <c r="U2225" i="5" s="1"/>
  <c r="T2226" i="5" a="1"/>
  <c r="T2226" i="5" s="1"/>
  <c r="U2226" i="5" s="1"/>
  <c r="T2227" i="5" a="1"/>
  <c r="T2227" i="5" s="1"/>
  <c r="U2227" i="5" s="1"/>
  <c r="T2228" i="5" a="1"/>
  <c r="T2228" i="5" s="1"/>
  <c r="U2228" i="5" s="1"/>
  <c r="T2229" i="5" a="1"/>
  <c r="T2229" i="5" s="1"/>
  <c r="U2229" i="5" s="1"/>
  <c r="T2230" i="5" a="1"/>
  <c r="T2230" i="5" s="1"/>
  <c r="U2230" i="5" s="1"/>
  <c r="T2231" i="5" a="1"/>
  <c r="T2231" i="5" s="1"/>
  <c r="U2231" i="5" s="1"/>
  <c r="T2232" i="5" a="1"/>
  <c r="T2232" i="5" s="1"/>
  <c r="U2232" i="5" s="1"/>
  <c r="T2233" i="5" a="1"/>
  <c r="T2233" i="5" s="1"/>
  <c r="U2233" i="5" s="1"/>
  <c r="T2234" i="5" a="1"/>
  <c r="T2234" i="5" s="1"/>
  <c r="U2234" i="5" s="1"/>
  <c r="T2235" i="5" a="1"/>
  <c r="T2235" i="5" s="1"/>
  <c r="U2235" i="5" s="1"/>
  <c r="T2236" i="5" a="1"/>
  <c r="T2236" i="5" s="1"/>
  <c r="U2236" i="5" s="1"/>
  <c r="T2237" i="5" a="1"/>
  <c r="T2237" i="5" s="1"/>
  <c r="U2237" i="5" s="1"/>
  <c r="T2238" i="5" a="1"/>
  <c r="T2238" i="5" s="1"/>
  <c r="U2238" i="5" s="1"/>
  <c r="T2239" i="5" a="1"/>
  <c r="T2239" i="5" s="1"/>
  <c r="U2239" i="5" s="1"/>
  <c r="T2240" i="5" a="1"/>
  <c r="T2240" i="5" s="1"/>
  <c r="U2240" i="5" s="1"/>
  <c r="T2241" i="5" a="1"/>
  <c r="T2241" i="5" s="1"/>
  <c r="U2241" i="5" s="1"/>
  <c r="T2242" i="5" a="1"/>
  <c r="T2242" i="5" s="1"/>
  <c r="U2242" i="5" s="1"/>
  <c r="T2243" i="5" a="1"/>
  <c r="T2243" i="5" s="1"/>
  <c r="U2243" i="5" s="1"/>
  <c r="T2244" i="5" a="1"/>
  <c r="T2244" i="5" s="1"/>
  <c r="U2244" i="5" s="1"/>
  <c r="T2245" i="5" a="1"/>
  <c r="T2245" i="5" s="1"/>
  <c r="U2245" i="5" s="1"/>
  <c r="T2246" i="5" a="1"/>
  <c r="T2246" i="5" s="1"/>
  <c r="U2246" i="5" s="1"/>
  <c r="T2247" i="5" a="1"/>
  <c r="T2247" i="5" s="1"/>
  <c r="U2247" i="5" s="1"/>
  <c r="T2253" i="5" a="1"/>
  <c r="T2253" i="5" s="1"/>
  <c r="U2253" i="5" s="1"/>
  <c r="T2254" i="5" a="1"/>
  <c r="T2254" i="5" s="1"/>
  <c r="U2254" i="5" s="1"/>
  <c r="T2255" i="5" a="1"/>
  <c r="T2255" i="5" s="1"/>
  <c r="U2255" i="5" s="1"/>
  <c r="T2256" i="5" a="1"/>
  <c r="T2256" i="5" s="1"/>
  <c r="U2256" i="5" s="1"/>
  <c r="T2257" i="5" a="1"/>
  <c r="T2257" i="5" s="1"/>
  <c r="U2257" i="5" s="1"/>
  <c r="T2258" i="5" a="1"/>
  <c r="T2258" i="5" s="1"/>
  <c r="U2258" i="5" s="1"/>
  <c r="T2259" i="5" a="1"/>
  <c r="T2259" i="5" s="1"/>
  <c r="U2259" i="5" s="1"/>
  <c r="T2260" i="5" a="1"/>
  <c r="T2260" i="5" s="1"/>
  <c r="U2260" i="5" s="1"/>
  <c r="T2261" i="5" a="1"/>
  <c r="T2261" i="5" s="1"/>
  <c r="U2261" i="5" s="1"/>
  <c r="T2262" i="5" a="1"/>
  <c r="T2262" i="5" s="1"/>
  <c r="U2262" i="5" s="1"/>
  <c r="T2263" i="5" a="1"/>
  <c r="T2263" i="5" s="1"/>
  <c r="U2263" i="5" s="1"/>
  <c r="T2264" i="5" a="1"/>
  <c r="T2264" i="5" s="1"/>
  <c r="U2264" i="5" s="1"/>
  <c r="T2265" i="5" a="1"/>
  <c r="T2265" i="5" s="1"/>
  <c r="U2265" i="5" s="1"/>
  <c r="T2266" i="5" a="1"/>
  <c r="T2266" i="5" s="1"/>
  <c r="U2266" i="5" s="1"/>
  <c r="T2267" i="5" a="1"/>
  <c r="T2267" i="5" s="1"/>
  <c r="U2267" i="5" s="1"/>
  <c r="T2268" i="5" a="1"/>
  <c r="T2268" i="5" s="1"/>
  <c r="U2268" i="5" s="1"/>
  <c r="T2269" i="5" a="1"/>
  <c r="T2269" i="5" s="1"/>
  <c r="U2269" i="5" s="1"/>
  <c r="T2270" i="5" a="1"/>
  <c r="T2270" i="5" s="1"/>
  <c r="U2270" i="5" s="1"/>
  <c r="T2271" i="5" a="1"/>
  <c r="T2271" i="5" s="1"/>
  <c r="U2271" i="5" s="1"/>
  <c r="T2272" i="5" a="1"/>
  <c r="T2272" i="5" s="1"/>
  <c r="U2272" i="5" s="1"/>
  <c r="T2273" i="5" a="1"/>
  <c r="T2273" i="5" s="1"/>
  <c r="U2273" i="5" s="1"/>
  <c r="T2274" i="5" a="1"/>
  <c r="T2274" i="5" s="1"/>
  <c r="U2274" i="5" s="1"/>
  <c r="T2275" i="5" a="1"/>
  <c r="T2275" i="5" s="1"/>
  <c r="U2275" i="5" s="1"/>
  <c r="T2276" i="5" a="1"/>
  <c r="T2276" i="5" s="1"/>
  <c r="U2276" i="5" s="1"/>
  <c r="T2277" i="5" a="1"/>
  <c r="T2277" i="5" s="1"/>
  <c r="U2277" i="5" s="1"/>
  <c r="T2278" i="5" a="1"/>
  <c r="T2278" i="5" s="1"/>
  <c r="U2278" i="5" s="1"/>
  <c r="T2279" i="5" a="1"/>
  <c r="T2279" i="5" s="1"/>
  <c r="U2279" i="5" s="1"/>
  <c r="T2280" i="5" a="1"/>
  <c r="T2280" i="5" s="1"/>
  <c r="U2280" i="5" s="1"/>
  <c r="T2281" i="5" a="1"/>
  <c r="T2281" i="5" s="1"/>
  <c r="U2281" i="5" s="1"/>
  <c r="T2282" i="5" a="1"/>
  <c r="T2282" i="5" s="1"/>
  <c r="U2282" i="5" s="1"/>
  <c r="T2283" i="5" a="1"/>
  <c r="T2283" i="5" s="1"/>
  <c r="U2283" i="5" s="1"/>
  <c r="T2284" i="5" a="1"/>
  <c r="T2284" i="5" s="1"/>
  <c r="U2284" i="5" s="1"/>
  <c r="T2285" i="5" a="1"/>
  <c r="T2285" i="5" s="1"/>
  <c r="U2285" i="5" s="1"/>
  <c r="T2286" i="5" a="1"/>
  <c r="T2286" i="5" s="1"/>
  <c r="U2286" i="5" s="1"/>
  <c r="T2287" i="5" a="1"/>
  <c r="T2287" i="5" s="1"/>
  <c r="U2287" i="5" s="1"/>
  <c r="T2288" i="5" a="1"/>
  <c r="T2288" i="5" s="1"/>
  <c r="U2288" i="5" s="1"/>
  <c r="T2289" i="5" a="1"/>
  <c r="T2289" i="5" s="1"/>
  <c r="U2289" i="5" s="1"/>
  <c r="T2290" i="5" a="1"/>
  <c r="T2290" i="5" s="1"/>
  <c r="U2290" i="5" s="1"/>
  <c r="T2291" i="5" a="1"/>
  <c r="T2291" i="5" s="1"/>
  <c r="U2291" i="5" s="1"/>
  <c r="T2292" i="5" a="1"/>
  <c r="T2292" i="5" s="1"/>
  <c r="U2292" i="5" s="1"/>
  <c r="T2293" i="5" a="1"/>
  <c r="T2293" i="5" s="1"/>
  <c r="U2293" i="5" s="1"/>
  <c r="T2294" i="5" a="1"/>
  <c r="T2294" i="5" s="1"/>
  <c r="U2294" i="5" s="1"/>
  <c r="T2295" i="5" a="1"/>
  <c r="T2295" i="5" s="1"/>
  <c r="U2295" i="5" s="1"/>
  <c r="T2296" i="5" a="1"/>
  <c r="T2296" i="5" s="1"/>
  <c r="U2296" i="5" s="1"/>
  <c r="T2297" i="5" a="1"/>
  <c r="T2297" i="5" s="1"/>
  <c r="U2297" i="5" s="1"/>
  <c r="T2298" i="5" a="1"/>
  <c r="T2298" i="5" s="1"/>
  <c r="U2298" i="5" s="1"/>
  <c r="T2299" i="5" a="1"/>
  <c r="T2299" i="5" s="1"/>
  <c r="U2299" i="5" s="1"/>
  <c r="T2300" i="5" a="1"/>
  <c r="T2300" i="5" s="1"/>
  <c r="U2300" i="5" s="1"/>
  <c r="T2301" i="5" a="1"/>
  <c r="T2301" i="5" s="1"/>
  <c r="U2301" i="5" s="1"/>
  <c r="T2302" i="5" a="1"/>
  <c r="T2302" i="5" s="1"/>
  <c r="U2302" i="5" s="1"/>
  <c r="T2303" i="5" a="1"/>
  <c r="T2303" i="5" s="1"/>
  <c r="U2303" i="5" s="1"/>
  <c r="T2304" i="5" a="1"/>
  <c r="T2304" i="5" s="1"/>
  <c r="U2304" i="5" s="1"/>
  <c r="T2305" i="5" a="1"/>
  <c r="T2305" i="5" s="1"/>
  <c r="U2305" i="5" s="1"/>
  <c r="T2306" i="5" a="1"/>
  <c r="T2306" i="5" s="1"/>
  <c r="U2306" i="5" s="1"/>
  <c r="T2307" i="5" a="1"/>
  <c r="T2307" i="5" s="1"/>
  <c r="U2307" i="5" s="1"/>
  <c r="T2308" i="5" a="1"/>
  <c r="T2308" i="5" s="1"/>
  <c r="U2308" i="5" s="1"/>
  <c r="T2309" i="5" a="1"/>
  <c r="T2309" i="5" s="1"/>
  <c r="U2309" i="5" s="1"/>
  <c r="T2310" i="5" a="1"/>
  <c r="T2310" i="5" s="1"/>
  <c r="U2310" i="5" s="1"/>
  <c r="T2311" i="5" a="1"/>
  <c r="T2311" i="5" s="1"/>
  <c r="U2311" i="5" s="1"/>
  <c r="T2312" i="5" a="1"/>
  <c r="T2312" i="5" s="1"/>
  <c r="U2312" i="5" s="1"/>
  <c r="T2314" i="5" a="1"/>
  <c r="T2314" i="5" s="1"/>
  <c r="U2314" i="5" s="1"/>
  <c r="T2316" i="5" a="1"/>
  <c r="T2316" i="5" s="1"/>
  <c r="U2316" i="5" s="1"/>
  <c r="T2317" i="5" a="1"/>
  <c r="T2317" i="5" s="1"/>
  <c r="U2317" i="5" s="1"/>
  <c r="T2329" i="5" a="1"/>
  <c r="T2329" i="5" s="1"/>
  <c r="U2329" i="5" s="1"/>
  <c r="T2330" i="5" a="1"/>
  <c r="T2330" i="5" s="1"/>
  <c r="U2330" i="5" s="1"/>
  <c r="T2331" i="5" a="1"/>
  <c r="T2331" i="5" s="1"/>
  <c r="U2331" i="5" s="1"/>
  <c r="T2332" i="5" a="1"/>
  <c r="T2332" i="5" s="1"/>
  <c r="U2332" i="5" s="1"/>
  <c r="T2333" i="5" a="1"/>
  <c r="T2333" i="5" s="1"/>
  <c r="U2333" i="5" s="1"/>
  <c r="T2334" i="5" a="1"/>
  <c r="T2334" i="5" s="1"/>
  <c r="U2334" i="5" s="1"/>
  <c r="T2335" i="5" a="1"/>
  <c r="T2335" i="5" s="1"/>
  <c r="U2335" i="5" s="1"/>
  <c r="T2336" i="5" a="1"/>
  <c r="T2336" i="5" s="1"/>
  <c r="U2336" i="5" s="1"/>
  <c r="T2337" i="5" a="1"/>
  <c r="T2337" i="5" s="1"/>
  <c r="U2337" i="5" s="1"/>
  <c r="T2338" i="5" a="1"/>
  <c r="T2338" i="5" s="1"/>
  <c r="U2338" i="5" s="1"/>
  <c r="T2339" i="5" a="1"/>
  <c r="T2339" i="5" s="1"/>
  <c r="U2339" i="5" s="1"/>
  <c r="T2340" i="5" a="1"/>
  <c r="T2340" i="5" s="1"/>
  <c r="U2340" i="5" s="1"/>
  <c r="T2341" i="5" a="1"/>
  <c r="T2341" i="5" s="1"/>
  <c r="U2341" i="5" s="1"/>
  <c r="T2342" i="5" a="1"/>
  <c r="T2342" i="5" s="1"/>
  <c r="U2342" i="5" s="1"/>
  <c r="T2343" i="5" a="1"/>
  <c r="T2343" i="5" s="1"/>
  <c r="U2343" i="5" s="1"/>
  <c r="T2344" i="5" a="1"/>
  <c r="T2344" i="5" s="1"/>
  <c r="U2344" i="5" s="1"/>
  <c r="T2345" i="5" a="1"/>
  <c r="T2345" i="5" s="1"/>
  <c r="U2345" i="5" s="1"/>
  <c r="T2346" i="5" a="1"/>
  <c r="T2346" i="5" s="1"/>
  <c r="U2346" i="5" s="1"/>
  <c r="T2347" i="5" a="1"/>
  <c r="T2347" i="5" s="1"/>
  <c r="U2347" i="5" s="1"/>
  <c r="T2348" i="5" a="1"/>
  <c r="T2348" i="5" s="1"/>
  <c r="U2348" i="5" s="1"/>
  <c r="T2349" i="5" a="1"/>
  <c r="T2349" i="5" s="1"/>
  <c r="U2349" i="5" s="1"/>
  <c r="T2350" i="5" a="1"/>
  <c r="T2350" i="5" s="1"/>
  <c r="U2350" i="5" s="1"/>
  <c r="T2351" i="5" a="1"/>
  <c r="T2351" i="5" s="1"/>
  <c r="U2351" i="5" s="1"/>
  <c r="T2352" i="5" a="1"/>
  <c r="T2352" i="5" s="1"/>
  <c r="U2352" i="5" s="1"/>
  <c r="T2353" i="5" a="1"/>
  <c r="T2353" i="5" s="1"/>
  <c r="U2353" i="5" s="1"/>
  <c r="T2354" i="5" a="1"/>
  <c r="T2354" i="5" s="1"/>
  <c r="U2354" i="5" s="1"/>
  <c r="T2355" i="5" a="1"/>
  <c r="T2355" i="5" s="1"/>
  <c r="U2355" i="5" s="1"/>
  <c r="T2356" i="5" a="1"/>
  <c r="T2356" i="5" s="1"/>
  <c r="U2356" i="5" s="1"/>
  <c r="T2357" i="5" a="1"/>
  <c r="T2357" i="5" s="1"/>
  <c r="U2357" i="5" s="1"/>
  <c r="T2358" i="5" a="1"/>
  <c r="T2358" i="5" s="1"/>
  <c r="U2358" i="5" s="1"/>
  <c r="T2359" i="5" a="1"/>
  <c r="T2359" i="5" s="1"/>
  <c r="U2359" i="5" s="1"/>
  <c r="T2360" i="5" a="1"/>
  <c r="T2360" i="5" s="1"/>
  <c r="U2360" i="5" s="1"/>
  <c r="T2361" i="5" a="1"/>
  <c r="T2361" i="5" s="1"/>
  <c r="U2361" i="5" s="1"/>
  <c r="T2362" i="5" a="1"/>
  <c r="T2362" i="5" s="1"/>
  <c r="U2362" i="5" s="1"/>
  <c r="T2363" i="5" a="1"/>
  <c r="T2363" i="5" s="1"/>
  <c r="U2363" i="5" s="1"/>
  <c r="T2364" i="5" a="1"/>
  <c r="T2364" i="5" s="1"/>
  <c r="U2364" i="5" s="1"/>
  <c r="T2365" i="5" a="1"/>
  <c r="T2365" i="5" s="1"/>
  <c r="U2365" i="5" s="1"/>
  <c r="T2366" i="5" a="1"/>
  <c r="T2366" i="5" s="1"/>
  <c r="U2366" i="5" s="1"/>
  <c r="T2396" i="5" a="1"/>
  <c r="T2396" i="5" s="1"/>
  <c r="U2396" i="5" s="1"/>
  <c r="T2397" i="5" a="1"/>
  <c r="T2397" i="5" s="1"/>
  <c r="U2397" i="5" s="1"/>
  <c r="T2398" i="5" a="1"/>
  <c r="T2398" i="5" s="1"/>
  <c r="U2398" i="5" s="1"/>
  <c r="T2399" i="5" a="1"/>
  <c r="T2399" i="5" s="1"/>
  <c r="U2399" i="5" s="1"/>
  <c r="T2400" i="5" a="1"/>
  <c r="T2400" i="5" s="1"/>
  <c r="U2400" i="5" s="1"/>
  <c r="T2401" i="5" a="1"/>
  <c r="T2401" i="5" s="1"/>
  <c r="U2401" i="5" s="1"/>
  <c r="T2402" i="5" a="1"/>
  <c r="T2402" i="5" s="1"/>
  <c r="U2402" i="5" s="1"/>
  <c r="T2403" i="5" a="1"/>
  <c r="T2403" i="5" s="1"/>
  <c r="U2403" i="5" s="1"/>
  <c r="T2404" i="5" a="1"/>
  <c r="T2404" i="5" s="1"/>
  <c r="U2404" i="5" s="1"/>
  <c r="T2405" i="5" a="1"/>
  <c r="T2405" i="5" s="1"/>
  <c r="U2405" i="5" s="1"/>
  <c r="T2406" i="5" a="1"/>
  <c r="T2406" i="5" s="1"/>
  <c r="U2406" i="5" s="1"/>
  <c r="T2407" i="5" a="1"/>
  <c r="T2407" i="5" s="1"/>
  <c r="U2407" i="5" s="1"/>
  <c r="T2408" i="5" a="1"/>
  <c r="T2408" i="5" s="1"/>
  <c r="U2408" i="5" s="1"/>
  <c r="T2409" i="5" a="1"/>
  <c r="T2409" i="5" s="1"/>
  <c r="U2409" i="5" s="1"/>
  <c r="T2410" i="5" a="1"/>
  <c r="T2410" i="5" s="1"/>
  <c r="U2410" i="5" s="1"/>
  <c r="T2411" i="5" a="1"/>
  <c r="T2411" i="5" s="1"/>
  <c r="U2411" i="5" s="1"/>
  <c r="T2412" i="5" a="1"/>
  <c r="T2412" i="5" s="1"/>
  <c r="U2412" i="5" s="1"/>
  <c r="T2413" i="5" a="1"/>
  <c r="T2413" i="5" s="1"/>
  <c r="U2413" i="5" s="1"/>
  <c r="T2414" i="5" a="1"/>
  <c r="T2414" i="5" s="1"/>
  <c r="U2414" i="5" s="1"/>
  <c r="T2415" i="5" a="1"/>
  <c r="T2415" i="5" s="1"/>
  <c r="U2415" i="5" s="1"/>
  <c r="T2416" i="5" a="1"/>
  <c r="T2416" i="5" s="1"/>
  <c r="U2416" i="5" s="1"/>
  <c r="T2417" i="5" a="1"/>
  <c r="T2417" i="5" s="1"/>
  <c r="U2417" i="5" s="1"/>
  <c r="T2418" i="5" a="1"/>
  <c r="T2418" i="5" s="1"/>
  <c r="U2418" i="5" s="1"/>
  <c r="T2419" i="5" a="1"/>
  <c r="T2419" i="5" s="1"/>
  <c r="U2419" i="5" s="1"/>
  <c r="T2420" i="5" a="1"/>
  <c r="T2420" i="5" s="1"/>
  <c r="U2420" i="5" s="1"/>
  <c r="T2421" i="5" a="1"/>
  <c r="T2421" i="5" s="1"/>
  <c r="U2421" i="5" s="1"/>
  <c r="T2422" i="5" a="1"/>
  <c r="T2422" i="5" s="1"/>
  <c r="U2422" i="5" s="1"/>
  <c r="T2423" i="5" a="1"/>
  <c r="T2423" i="5" s="1"/>
  <c r="U2423" i="5" s="1"/>
  <c r="T2424" i="5" a="1"/>
  <c r="T2424" i="5" s="1"/>
  <c r="U2424" i="5" s="1"/>
  <c r="T2425" i="5" a="1"/>
  <c r="T2425" i="5" s="1"/>
  <c r="U2425" i="5" s="1"/>
  <c r="T2426" i="5" a="1"/>
  <c r="T2426" i="5" s="1"/>
  <c r="U2426" i="5" s="1"/>
  <c r="T2427" i="5" a="1"/>
  <c r="T2427" i="5" s="1"/>
  <c r="U2427" i="5" s="1"/>
  <c r="T2428" i="5" a="1"/>
  <c r="T2428" i="5" s="1"/>
  <c r="U2428" i="5" s="1"/>
  <c r="T2429" i="5" a="1"/>
  <c r="T2429" i="5" s="1"/>
  <c r="U2429" i="5" s="1"/>
  <c r="T2430" i="5" a="1"/>
  <c r="T2430" i="5" s="1"/>
  <c r="U2430" i="5" s="1"/>
  <c r="T2431" i="5" a="1"/>
  <c r="T2431" i="5" s="1"/>
  <c r="U2431" i="5" s="1"/>
  <c r="T2432" i="5" a="1"/>
  <c r="T2432" i="5" s="1"/>
  <c r="U2432" i="5" s="1"/>
  <c r="T2433" i="5" a="1"/>
  <c r="T2433" i="5" s="1"/>
  <c r="U2433" i="5" s="1"/>
  <c r="T2444" i="5" a="1"/>
  <c r="T2444" i="5" s="1"/>
  <c r="U2444" i="5" s="1"/>
  <c r="T2446" i="5" a="1"/>
  <c r="T2446" i="5" s="1"/>
  <c r="U2446" i="5" s="1"/>
  <c r="T2448" i="5" a="1"/>
  <c r="T2448" i="5" s="1"/>
  <c r="U2448" i="5" s="1"/>
  <c r="T2462" i="5" a="1"/>
  <c r="T2462" i="5" s="1"/>
  <c r="U2462" i="5" s="1"/>
  <c r="T2463" i="5" a="1"/>
  <c r="T2463" i="5" s="1"/>
  <c r="U2463" i="5" s="1"/>
  <c r="T2464" i="5" a="1"/>
  <c r="T2464" i="5" s="1"/>
  <c r="U2464" i="5" s="1"/>
  <c r="T2465" i="5" a="1"/>
  <c r="T2465" i="5" s="1"/>
  <c r="U2465" i="5" s="1"/>
  <c r="T2466" i="5" a="1"/>
  <c r="T2466" i="5" s="1"/>
  <c r="U2466" i="5" s="1"/>
  <c r="T2467" i="5" a="1"/>
  <c r="T2467" i="5" s="1"/>
  <c r="U2467" i="5" s="1"/>
  <c r="T2468" i="5" a="1"/>
  <c r="T2468" i="5" s="1"/>
  <c r="U2468" i="5" s="1"/>
  <c r="T2469" i="5" a="1"/>
  <c r="T2469" i="5" s="1"/>
  <c r="U2469" i="5" s="1"/>
  <c r="T2470" i="5" a="1"/>
  <c r="T2470" i="5" s="1"/>
  <c r="U2470" i="5" s="1"/>
  <c r="T2471" i="5" a="1"/>
  <c r="T2471" i="5" s="1"/>
  <c r="U2471" i="5" s="1"/>
  <c r="T2472" i="5" a="1"/>
  <c r="T2472" i="5" s="1"/>
  <c r="U2472" i="5" s="1"/>
  <c r="T2473" i="5" a="1"/>
  <c r="T2473" i="5" s="1"/>
  <c r="U2473" i="5" s="1"/>
  <c r="T2474" i="5" a="1"/>
  <c r="T2474" i="5" s="1"/>
  <c r="U2474" i="5" s="1"/>
  <c r="T2475" i="5" a="1"/>
  <c r="T2475" i="5" s="1"/>
  <c r="U2475" i="5" s="1"/>
  <c r="T2476" i="5" a="1"/>
  <c r="T2476" i="5" s="1"/>
  <c r="U2476" i="5" s="1"/>
  <c r="T2477" i="5" a="1"/>
  <c r="T2477" i="5" s="1"/>
  <c r="U2477" i="5" s="1"/>
  <c r="T2478" i="5" a="1"/>
  <c r="T2478" i="5" s="1"/>
  <c r="U2478" i="5" s="1"/>
  <c r="T2479" i="5" a="1"/>
  <c r="T2479" i="5" s="1"/>
  <c r="U2479" i="5" s="1"/>
  <c r="T2480" i="5" a="1"/>
  <c r="T2480" i="5" s="1"/>
  <c r="U2480" i="5" s="1"/>
  <c r="T2481" i="5" a="1"/>
  <c r="T2481" i="5" s="1"/>
  <c r="U2481" i="5" s="1"/>
  <c r="T2482" i="5" a="1"/>
  <c r="T2482" i="5" s="1"/>
  <c r="U2482" i="5" s="1"/>
  <c r="T2483" i="5" a="1"/>
  <c r="T2483" i="5" s="1"/>
  <c r="U2483" i="5" s="1"/>
  <c r="T2484" i="5" a="1"/>
  <c r="T2484" i="5" s="1"/>
  <c r="U2484" i="5" s="1"/>
  <c r="T2485" i="5" a="1"/>
  <c r="T2485" i="5" s="1"/>
  <c r="U2485" i="5" s="1"/>
  <c r="T2486" i="5" a="1"/>
  <c r="T2486" i="5" s="1"/>
  <c r="U2486" i="5" s="1"/>
  <c r="T2487" i="5" a="1"/>
  <c r="T2487" i="5" s="1"/>
  <c r="U2487" i="5" s="1"/>
  <c r="T2488" i="5" a="1"/>
  <c r="T2488" i="5" s="1"/>
  <c r="U2488" i="5" s="1"/>
  <c r="T2489" i="5" a="1"/>
  <c r="T2489" i="5" s="1"/>
  <c r="U2489" i="5" s="1"/>
  <c r="T2490" i="5" a="1"/>
  <c r="T2490" i="5" s="1"/>
  <c r="U2490" i="5" s="1"/>
  <c r="T2491" i="5" a="1"/>
  <c r="T2491" i="5" s="1"/>
  <c r="U2491" i="5" s="1"/>
  <c r="T2492" i="5" a="1"/>
  <c r="T2492" i="5" s="1"/>
  <c r="U2492" i="5" s="1"/>
  <c r="T2493" i="5" a="1"/>
  <c r="T2493" i="5" s="1"/>
  <c r="U2493" i="5" s="1"/>
  <c r="T2494" i="5" a="1"/>
  <c r="T2494" i="5" s="1"/>
  <c r="U2494" i="5" s="1"/>
  <c r="T2495" i="5" a="1"/>
  <c r="T2495" i="5" s="1"/>
  <c r="U2495" i="5" s="1"/>
  <c r="T2496" i="5" a="1"/>
  <c r="T2496" i="5" s="1"/>
  <c r="U2496" i="5" s="1"/>
  <c r="T2497" i="5" a="1"/>
  <c r="T2497" i="5" s="1"/>
  <c r="U2497" i="5" s="1"/>
  <c r="T2498" i="5" a="1"/>
  <c r="T2498" i="5" s="1"/>
  <c r="U2498" i="5" s="1"/>
  <c r="T2499" i="5" a="1"/>
  <c r="T2499" i="5" s="1"/>
  <c r="U2499" i="5" s="1"/>
  <c r="T2500" i="5" a="1"/>
  <c r="T2500" i="5" s="1"/>
  <c r="U2500" i="5" s="1"/>
  <c r="T2501" i="5" a="1"/>
  <c r="T2501" i="5" s="1"/>
  <c r="U2501" i="5" s="1"/>
  <c r="T2502" i="5" a="1"/>
  <c r="T2502" i="5" s="1"/>
  <c r="U2502" i="5" s="1"/>
  <c r="T2503" i="5" a="1"/>
  <c r="T2503" i="5" s="1"/>
  <c r="U2503" i="5" s="1"/>
  <c r="T2504" i="5" a="1"/>
  <c r="T2504" i="5" s="1"/>
  <c r="U2504" i="5" s="1"/>
  <c r="T2505" i="5" a="1"/>
  <c r="T2505" i="5" s="1"/>
  <c r="U2505" i="5" s="1"/>
  <c r="T2506" i="5" a="1"/>
  <c r="T2506" i="5" s="1"/>
  <c r="U2506" i="5" s="1"/>
  <c r="T2507" i="5" a="1"/>
  <c r="T2507" i="5" s="1"/>
  <c r="U2507" i="5" s="1"/>
  <c r="T2508" i="5" a="1"/>
  <c r="T2508" i="5" s="1"/>
  <c r="U2508" i="5" s="1"/>
  <c r="T2509" i="5" a="1"/>
  <c r="T2509" i="5" s="1"/>
  <c r="U2509" i="5" s="1"/>
  <c r="T2510" i="5" a="1"/>
  <c r="T2510" i="5" s="1"/>
  <c r="U2510" i="5" s="1"/>
  <c r="T2511" i="5" a="1"/>
  <c r="T2511" i="5" s="1"/>
  <c r="U2511" i="5" s="1"/>
  <c r="T2512" i="5" a="1"/>
  <c r="T2512" i="5" s="1"/>
  <c r="U2512" i="5" s="1"/>
  <c r="T2513" i="5" a="1"/>
  <c r="T2513" i="5" s="1"/>
  <c r="U2513" i="5" s="1"/>
  <c r="T2514" i="5" a="1"/>
  <c r="T2514" i="5" s="1"/>
  <c r="U2514" i="5" s="1"/>
  <c r="T2515" i="5" a="1"/>
  <c r="T2515" i="5" s="1"/>
  <c r="U2515" i="5" s="1"/>
  <c r="T2516" i="5" a="1"/>
  <c r="T2516" i="5" s="1"/>
  <c r="U2516" i="5" s="1"/>
  <c r="T2517" i="5" a="1"/>
  <c r="T2517" i="5" s="1"/>
  <c r="U2517" i="5" s="1"/>
  <c r="T2518" i="5" a="1"/>
  <c r="T2518" i="5" s="1"/>
  <c r="U2518" i="5" s="1"/>
  <c r="T2519" i="5" a="1"/>
  <c r="T2519" i="5" s="1"/>
  <c r="U2519" i="5" s="1"/>
  <c r="T2520" i="5" a="1"/>
  <c r="T2520" i="5" s="1"/>
  <c r="U2520" i="5" s="1"/>
  <c r="T2521" i="5" a="1"/>
  <c r="T2521" i="5" s="1"/>
  <c r="U2521" i="5" s="1"/>
  <c r="T2522" i="5" a="1"/>
  <c r="T2522" i="5" s="1"/>
  <c r="U2522" i="5" s="1"/>
  <c r="T2523" i="5" a="1"/>
  <c r="T2523" i="5" s="1"/>
  <c r="U2523" i="5" s="1"/>
  <c r="T2524" i="5" a="1"/>
  <c r="T2524" i="5" s="1"/>
  <c r="U2524" i="5" s="1"/>
  <c r="T2525" i="5" a="1"/>
  <c r="T2525" i="5" s="1"/>
  <c r="U2525" i="5" s="1"/>
  <c r="T2526" i="5" a="1"/>
  <c r="T2526" i="5" s="1"/>
  <c r="U2526" i="5" s="1"/>
  <c r="T2527" i="5" a="1"/>
  <c r="T2527" i="5" s="1"/>
  <c r="U2527" i="5" s="1"/>
  <c r="T2528" i="5" a="1"/>
  <c r="T2528" i="5" s="1"/>
  <c r="U2528" i="5" s="1"/>
  <c r="T2529" i="5" a="1"/>
  <c r="T2529" i="5" s="1"/>
  <c r="U2529" i="5" s="1"/>
  <c r="T2530" i="5" a="1"/>
  <c r="T2530" i="5" s="1"/>
  <c r="U2530" i="5" s="1"/>
  <c r="T2531" i="5" a="1"/>
  <c r="T2531" i="5" s="1"/>
  <c r="U2531" i="5" s="1"/>
  <c r="T2532" i="5" a="1"/>
  <c r="T2532" i="5" s="1"/>
  <c r="U2532" i="5" s="1"/>
  <c r="T2533" i="5" a="1"/>
  <c r="T2533" i="5" s="1"/>
  <c r="U2533" i="5" s="1"/>
  <c r="T2534" i="5" a="1"/>
  <c r="T2534" i="5" s="1"/>
  <c r="U2534" i="5" s="1"/>
  <c r="T2535" i="5" a="1"/>
  <c r="T2535" i="5" s="1"/>
  <c r="U2535" i="5" s="1"/>
  <c r="T2536" i="5" a="1"/>
  <c r="T2536" i="5" s="1"/>
  <c r="U2536" i="5" s="1"/>
  <c r="T2537" i="5" a="1"/>
  <c r="T2537" i="5" s="1"/>
  <c r="U2537" i="5" s="1"/>
  <c r="T2538" i="5" a="1"/>
  <c r="T2538" i="5" s="1"/>
  <c r="U2538" i="5" s="1"/>
  <c r="T2539" i="5" a="1"/>
  <c r="T2539" i="5" s="1"/>
  <c r="U2539" i="5" s="1"/>
  <c r="T2540" i="5" a="1"/>
  <c r="T2540" i="5" s="1"/>
  <c r="U2540" i="5" s="1"/>
  <c r="T2541" i="5" a="1"/>
  <c r="T2541" i="5" s="1"/>
  <c r="U2541" i="5" s="1"/>
  <c r="T2542" i="5" a="1"/>
  <c r="T2542" i="5" s="1"/>
  <c r="U2542" i="5" s="1"/>
  <c r="T2543" i="5" a="1"/>
  <c r="T2543" i="5" s="1"/>
  <c r="U2543" i="5" s="1"/>
  <c r="T2544" i="5" a="1"/>
  <c r="T2544" i="5" s="1"/>
  <c r="U2544" i="5" s="1"/>
  <c r="T2545" i="5" a="1"/>
  <c r="T2545" i="5" s="1"/>
  <c r="U2545" i="5" s="1"/>
  <c r="T2546" i="5" a="1"/>
  <c r="T2546" i="5" s="1"/>
  <c r="U2546" i="5" s="1"/>
  <c r="T2547" i="5" a="1"/>
  <c r="T2547" i="5" s="1"/>
  <c r="U2547" i="5" s="1"/>
  <c r="T2548" i="5" a="1"/>
  <c r="T2548" i="5" s="1"/>
  <c r="U2548" i="5" s="1"/>
  <c r="T2549" i="5" a="1"/>
  <c r="T2549" i="5" s="1"/>
  <c r="U2549" i="5" s="1"/>
  <c r="T2550" i="5" a="1"/>
  <c r="T2550" i="5" s="1"/>
  <c r="U2550" i="5" s="1"/>
  <c r="T2551" i="5" a="1"/>
  <c r="T2551" i="5" s="1"/>
  <c r="U2551" i="5" s="1"/>
  <c r="T2552" i="5" a="1"/>
  <c r="T2552" i="5" s="1"/>
  <c r="U2552" i="5" s="1"/>
  <c r="T2553" i="5" a="1"/>
  <c r="T2553" i="5" s="1"/>
  <c r="U2553" i="5" s="1"/>
  <c r="T2554" i="5" a="1"/>
  <c r="T2554" i="5" s="1"/>
  <c r="U2554" i="5" s="1"/>
  <c r="T2555" i="5" a="1"/>
  <c r="T2555" i="5" s="1"/>
  <c r="U2555" i="5" s="1"/>
  <c r="T2556" i="5" a="1"/>
  <c r="T2556" i="5" s="1"/>
  <c r="U2556" i="5" s="1"/>
  <c r="T2568" i="5" a="1"/>
  <c r="T2568" i="5" s="1"/>
  <c r="U2568" i="5" s="1"/>
  <c r="T2569" i="5" a="1"/>
  <c r="T2569" i="5" s="1"/>
  <c r="U2569" i="5" s="1"/>
  <c r="T2570" i="5" a="1"/>
  <c r="T2570" i="5" s="1"/>
  <c r="U2570" i="5" s="1"/>
  <c r="T2571" i="5" a="1"/>
  <c r="T2571" i="5" s="1"/>
  <c r="U2571" i="5" s="1"/>
  <c r="T2572" i="5" a="1"/>
  <c r="T2572" i="5" s="1"/>
  <c r="U2572" i="5" s="1"/>
  <c r="T2573" i="5" a="1"/>
  <c r="T2573" i="5" s="1"/>
  <c r="U2573" i="5" s="1"/>
  <c r="T2574" i="5" a="1"/>
  <c r="T2574" i="5" s="1"/>
  <c r="U2574" i="5" s="1"/>
  <c r="T2575" i="5" a="1"/>
  <c r="T2575" i="5" s="1"/>
  <c r="U2575" i="5" s="1"/>
  <c r="T2576" i="5" a="1"/>
  <c r="T2576" i="5" s="1"/>
  <c r="U2576" i="5" s="1"/>
  <c r="T2577" i="5" a="1"/>
  <c r="T2577" i="5" s="1"/>
  <c r="U2577" i="5" s="1"/>
  <c r="T2578" i="5" a="1"/>
  <c r="T2578" i="5" s="1"/>
  <c r="U2578" i="5" s="1"/>
  <c r="T2579" i="5" a="1"/>
  <c r="T2579" i="5" s="1"/>
  <c r="U2579" i="5" s="1"/>
  <c r="T2580" i="5" a="1"/>
  <c r="T2580" i="5" s="1"/>
  <c r="U2580" i="5" s="1"/>
  <c r="T2581" i="5" a="1"/>
  <c r="T2581" i="5" s="1"/>
  <c r="U2581" i="5" s="1"/>
  <c r="T2582" i="5" a="1"/>
  <c r="T2582" i="5" s="1"/>
  <c r="U2582" i="5" s="1"/>
  <c r="T2583" i="5" a="1"/>
  <c r="T2583" i="5" s="1"/>
  <c r="U2583" i="5" s="1"/>
  <c r="T2584" i="5" a="1"/>
  <c r="T2584" i="5" s="1"/>
  <c r="U2584" i="5" s="1"/>
  <c r="T2585" i="5" a="1"/>
  <c r="T2585" i="5" s="1"/>
  <c r="U2585" i="5" s="1"/>
  <c r="T2586" i="5" a="1"/>
  <c r="T2586" i="5" s="1"/>
  <c r="U2586" i="5" s="1"/>
  <c r="T2587" i="5" a="1"/>
  <c r="T2587" i="5" s="1"/>
  <c r="U2587" i="5" s="1"/>
  <c r="T2588" i="5" a="1"/>
  <c r="T2588" i="5" s="1"/>
  <c r="U2588" i="5" s="1"/>
  <c r="T2589" i="5" a="1"/>
  <c r="T2589" i="5" s="1"/>
  <c r="U2589" i="5" s="1"/>
  <c r="T2590" i="5" a="1"/>
  <c r="T2590" i="5" s="1"/>
  <c r="U2590" i="5" s="1"/>
  <c r="T2591" i="5" a="1"/>
  <c r="T2591" i="5" s="1"/>
  <c r="U2591" i="5" s="1"/>
  <c r="T2592" i="5" a="1"/>
  <c r="T2592" i="5" s="1"/>
  <c r="U2592" i="5" s="1"/>
  <c r="T2593" i="5" a="1"/>
  <c r="T2593" i="5" s="1"/>
  <c r="U2593" i="5" s="1"/>
  <c r="T2594" i="5" a="1"/>
  <c r="T2594" i="5" s="1"/>
  <c r="U2594" i="5" s="1"/>
  <c r="T2595" i="5" a="1"/>
  <c r="T2595" i="5" s="1"/>
  <c r="U2595" i="5" s="1"/>
  <c r="T2596" i="5" a="1"/>
  <c r="T2596" i="5" s="1"/>
  <c r="U2596" i="5" s="1"/>
  <c r="T2597" i="5" a="1"/>
  <c r="T2597" i="5" s="1"/>
  <c r="U2597" i="5" s="1"/>
  <c r="T2598" i="5" a="1"/>
  <c r="T2598" i="5" s="1"/>
  <c r="U2598" i="5" s="1"/>
  <c r="T2599" i="5" a="1"/>
  <c r="T2599" i="5" s="1"/>
  <c r="U2599" i="5" s="1"/>
  <c r="T2600" i="5" a="1"/>
  <c r="T2600" i="5" s="1"/>
  <c r="U2600" i="5" s="1"/>
  <c r="T2601" i="5" a="1"/>
  <c r="T2601" i="5" s="1"/>
  <c r="U2601" i="5" s="1"/>
  <c r="T2602" i="5" a="1"/>
  <c r="T2602" i="5" s="1"/>
  <c r="U2602" i="5" s="1"/>
  <c r="T2603" i="5" a="1"/>
  <c r="T2603" i="5" s="1"/>
  <c r="U2603" i="5" s="1"/>
  <c r="T2604" i="5" a="1"/>
  <c r="T2604" i="5" s="1"/>
  <c r="U2604" i="5" s="1"/>
  <c r="T2605" i="5" a="1"/>
  <c r="T2605" i="5" s="1"/>
  <c r="U2605" i="5" s="1"/>
  <c r="T2606" i="5" a="1"/>
  <c r="T2606" i="5" s="1"/>
  <c r="U2606" i="5" s="1"/>
  <c r="T2607" i="5" a="1"/>
  <c r="T2607" i="5" s="1"/>
  <c r="U2607" i="5" s="1"/>
  <c r="T2608" i="5" a="1"/>
  <c r="T2608" i="5" s="1"/>
  <c r="U2608" i="5" s="1"/>
  <c r="T2609" i="5" a="1"/>
  <c r="T2609" i="5" s="1"/>
  <c r="U2609" i="5" s="1"/>
  <c r="T2610" i="5" a="1"/>
  <c r="T2610" i="5" s="1"/>
  <c r="U2610" i="5" s="1"/>
  <c r="T2611" i="5" a="1"/>
  <c r="T2611" i="5" s="1"/>
  <c r="U2611" i="5" s="1"/>
  <c r="T2612" i="5" a="1"/>
  <c r="T2612" i="5" s="1"/>
  <c r="U2612" i="5" s="1"/>
  <c r="T2613" i="5" a="1"/>
  <c r="T2613" i="5" s="1"/>
  <c r="U2613" i="5" s="1"/>
  <c r="T2614" i="5" a="1"/>
  <c r="T2614" i="5" s="1"/>
  <c r="U2614" i="5" s="1"/>
  <c r="T2615" i="5" a="1"/>
  <c r="T2615" i="5" s="1"/>
  <c r="U2615" i="5" s="1"/>
  <c r="T2616" i="5" a="1"/>
  <c r="T2616" i="5" s="1"/>
  <c r="U2616" i="5" s="1"/>
  <c r="T2617" i="5" a="1"/>
  <c r="T2617" i="5" s="1"/>
  <c r="U2617" i="5" s="1"/>
  <c r="T2618" i="5" a="1"/>
  <c r="T2618" i="5" s="1"/>
  <c r="U2618" i="5" s="1"/>
  <c r="T2619" i="5" a="1"/>
  <c r="T2619" i="5" s="1"/>
  <c r="U2619" i="5" s="1"/>
  <c r="T2620" i="5" a="1"/>
  <c r="T2620" i="5" s="1"/>
  <c r="U2620" i="5" s="1"/>
  <c r="T2621" i="5" a="1"/>
  <c r="T2621" i="5" s="1"/>
  <c r="U2621" i="5" s="1"/>
  <c r="T2622" i="5" a="1"/>
  <c r="T2622" i="5" s="1"/>
  <c r="U2622" i="5" s="1"/>
  <c r="T2623" i="5" a="1"/>
  <c r="T2623" i="5" s="1"/>
  <c r="U2623" i="5" s="1"/>
  <c r="T2624" i="5" a="1"/>
  <c r="T2624" i="5" s="1"/>
  <c r="U2624" i="5" s="1"/>
  <c r="T2625" i="5" a="1"/>
  <c r="T2625" i="5" s="1"/>
  <c r="U2625" i="5" s="1"/>
  <c r="T2626" i="5" a="1"/>
  <c r="T2626" i="5" s="1"/>
  <c r="U2626" i="5" s="1"/>
  <c r="T2627" i="5" a="1"/>
  <c r="T2627" i="5" s="1"/>
  <c r="U2627" i="5" s="1"/>
  <c r="T2628" i="5" a="1"/>
  <c r="T2628" i="5" s="1"/>
  <c r="U2628" i="5" s="1"/>
  <c r="T2629" i="5" a="1"/>
  <c r="T2629" i="5" s="1"/>
  <c r="U2629" i="5" s="1"/>
  <c r="T2630" i="5" a="1"/>
  <c r="T2630" i="5" s="1"/>
  <c r="U2630" i="5" s="1"/>
  <c r="T2631" i="5" a="1"/>
  <c r="T2631" i="5" s="1"/>
  <c r="U2631" i="5" s="1"/>
  <c r="T2632" i="5" a="1"/>
  <c r="T2632" i="5" s="1"/>
  <c r="U2632" i="5" s="1"/>
  <c r="T2633" i="5" a="1"/>
  <c r="T2633" i="5" s="1"/>
  <c r="U2633" i="5" s="1"/>
  <c r="T2634" i="5" a="1"/>
  <c r="T2634" i="5" s="1"/>
  <c r="U2634" i="5" s="1"/>
  <c r="T2635" i="5" a="1"/>
  <c r="T2635" i="5" s="1"/>
  <c r="U2635" i="5" s="1"/>
  <c r="T2636" i="5" a="1"/>
  <c r="T2636" i="5" s="1"/>
  <c r="U2636" i="5" s="1"/>
  <c r="T2646" i="5" a="1"/>
  <c r="T2646" i="5" s="1"/>
  <c r="U2646" i="5" s="1"/>
  <c r="T2647" i="5" a="1"/>
  <c r="T2647" i="5" s="1"/>
  <c r="U2647" i="5" s="1"/>
  <c r="T2648" i="5" a="1"/>
  <c r="T2648" i="5" s="1"/>
  <c r="U2648" i="5" s="1"/>
  <c r="T2649" i="5" a="1"/>
  <c r="T2649" i="5" s="1"/>
  <c r="U2649" i="5" s="1"/>
  <c r="T2650" i="5" a="1"/>
  <c r="T2650" i="5" s="1"/>
  <c r="U2650" i="5" s="1"/>
  <c r="T2651" i="5" a="1"/>
  <c r="T2651" i="5" s="1"/>
  <c r="U2651" i="5" s="1"/>
  <c r="T2652" i="5" a="1"/>
  <c r="T2652" i="5" s="1"/>
  <c r="U2652" i="5" s="1"/>
  <c r="T2653" i="5" a="1"/>
  <c r="T2653" i="5" s="1"/>
  <c r="U2653" i="5" s="1"/>
  <c r="T2654" i="5" a="1"/>
  <c r="T2654" i="5" s="1"/>
  <c r="U2654" i="5" s="1"/>
  <c r="T2655" i="5" a="1"/>
  <c r="T2655" i="5" s="1"/>
  <c r="U2655" i="5" s="1"/>
  <c r="T2656" i="5" a="1"/>
  <c r="T2656" i="5" s="1"/>
  <c r="U2656" i="5" s="1"/>
  <c r="T2657" i="5" a="1"/>
  <c r="T2657" i="5" s="1"/>
  <c r="U2657" i="5" s="1"/>
  <c r="T2658" i="5" a="1"/>
  <c r="T2658" i="5" s="1"/>
  <c r="U2658" i="5" s="1"/>
  <c r="T2659" i="5" a="1"/>
  <c r="T2659" i="5" s="1"/>
  <c r="U2659" i="5" s="1"/>
  <c r="T2660" i="5" a="1"/>
  <c r="T2660" i="5" s="1"/>
  <c r="U2660" i="5" s="1"/>
  <c r="T2661" i="5" a="1"/>
  <c r="T2661" i="5" s="1"/>
  <c r="U2661" i="5" s="1"/>
  <c r="T2662" i="5" a="1"/>
  <c r="T2662" i="5" s="1"/>
  <c r="U2662" i="5" s="1"/>
  <c r="T2663" i="5" a="1"/>
  <c r="T2663" i="5" s="1"/>
  <c r="U2663" i="5" s="1"/>
  <c r="T2664" i="5" a="1"/>
  <c r="T2664" i="5" s="1"/>
  <c r="U2664" i="5" s="1"/>
  <c r="T2665" i="5" a="1"/>
  <c r="T2665" i="5" s="1"/>
  <c r="U2665" i="5" s="1"/>
  <c r="T2666" i="5" a="1"/>
  <c r="T2666" i="5" s="1"/>
  <c r="U2666" i="5" s="1"/>
  <c r="T2667" i="5" a="1"/>
  <c r="T2667" i="5" s="1"/>
  <c r="U2667" i="5" s="1"/>
  <c r="T2668" i="5" a="1"/>
  <c r="T2668" i="5" s="1"/>
  <c r="U2668" i="5" s="1"/>
  <c r="T2669" i="5" a="1"/>
  <c r="T2669" i="5" s="1"/>
  <c r="U2669" i="5" s="1"/>
  <c r="T2670" i="5" a="1"/>
  <c r="T2670" i="5" s="1"/>
  <c r="U2670" i="5" s="1"/>
  <c r="T2671" i="5" a="1"/>
  <c r="T2671" i="5" s="1"/>
  <c r="U2671" i="5" s="1"/>
  <c r="T2672" i="5" a="1"/>
  <c r="T2672" i="5" s="1"/>
  <c r="U2672" i="5" s="1"/>
  <c r="T2673" i="5" a="1"/>
  <c r="T2673" i="5" s="1"/>
  <c r="U2673" i="5" s="1"/>
  <c r="T2674" i="5" a="1"/>
  <c r="T2674" i="5" s="1"/>
  <c r="U2674" i="5" s="1"/>
  <c r="T2675" i="5" a="1"/>
  <c r="T2675" i="5" s="1"/>
  <c r="U2675" i="5" s="1"/>
  <c r="T2676" i="5" a="1"/>
  <c r="T2676" i="5" s="1"/>
  <c r="U2676" i="5" s="1"/>
  <c r="T2677" i="5" a="1"/>
  <c r="T2677" i="5" s="1"/>
  <c r="U2677" i="5" s="1"/>
  <c r="T2678" i="5" a="1"/>
  <c r="T2678" i="5" s="1"/>
  <c r="U2678" i="5" s="1"/>
  <c r="T2679" i="5" a="1"/>
  <c r="T2679" i="5" s="1"/>
  <c r="U2679" i="5" s="1"/>
  <c r="T2680" i="5" a="1"/>
  <c r="T2680" i="5" s="1"/>
  <c r="U2680" i="5" s="1"/>
  <c r="T2681" i="5" a="1"/>
  <c r="T2681" i="5" s="1"/>
  <c r="U2681" i="5" s="1"/>
  <c r="T2682" i="5" a="1"/>
  <c r="T2682" i="5" s="1"/>
  <c r="U2682" i="5" s="1"/>
  <c r="T2683" i="5" a="1"/>
  <c r="T2683" i="5" s="1"/>
  <c r="U2683" i="5" s="1"/>
  <c r="T2684" i="5" a="1"/>
  <c r="T2684" i="5" s="1"/>
  <c r="U2684" i="5" s="1"/>
  <c r="T2685" i="5" a="1"/>
  <c r="T2685" i="5" s="1"/>
  <c r="U2685" i="5" s="1"/>
  <c r="T2686" i="5" a="1"/>
  <c r="T2686" i="5" s="1"/>
  <c r="U2686" i="5" s="1"/>
  <c r="T2687" i="5" a="1"/>
  <c r="T2687" i="5" s="1"/>
  <c r="U2687" i="5" s="1"/>
  <c r="T2688" i="5" a="1"/>
  <c r="T2688" i="5" s="1"/>
  <c r="U2688" i="5" s="1"/>
  <c r="T2689" i="5" a="1"/>
  <c r="T2689" i="5" s="1"/>
  <c r="U2689" i="5" s="1"/>
  <c r="T2690" i="5" a="1"/>
  <c r="T2690" i="5" s="1"/>
  <c r="U2690" i="5" s="1"/>
  <c r="T2691" i="5" a="1"/>
  <c r="T2691" i="5" s="1"/>
  <c r="U2691" i="5" s="1"/>
  <c r="T2692" i="5" a="1"/>
  <c r="T2692" i="5" s="1"/>
  <c r="U2692" i="5" s="1"/>
  <c r="T2693" i="5" a="1"/>
  <c r="T2693" i="5" s="1"/>
  <c r="U2693" i="5" s="1"/>
  <c r="T2694" i="5" a="1"/>
  <c r="T2694" i="5" s="1"/>
  <c r="U2694" i="5" s="1"/>
  <c r="T2695" i="5" a="1"/>
  <c r="T2695" i="5" s="1"/>
  <c r="U2695" i="5" s="1"/>
  <c r="T2696" i="5" a="1"/>
  <c r="T2696" i="5" s="1"/>
  <c r="U2696" i="5" s="1"/>
  <c r="T2697" i="5" a="1"/>
  <c r="T2697" i="5" s="1"/>
  <c r="U2697" i="5" s="1"/>
  <c r="T2698" i="5" a="1"/>
  <c r="T2698" i="5" s="1"/>
  <c r="U2698" i="5" s="1"/>
  <c r="T2699" i="5" a="1"/>
  <c r="T2699" i="5" s="1"/>
  <c r="U2699" i="5" s="1"/>
  <c r="T2700" i="5" a="1"/>
  <c r="T2700" i="5" s="1"/>
  <c r="U2700" i="5" s="1"/>
  <c r="T2701" i="5" a="1"/>
  <c r="T2701" i="5" s="1"/>
  <c r="U2701" i="5" s="1"/>
  <c r="T2702" i="5" a="1"/>
  <c r="T2702" i="5" s="1"/>
  <c r="U2702" i="5" s="1"/>
  <c r="T2724" i="5" a="1"/>
  <c r="T2724" i="5" s="1"/>
  <c r="U2724" i="5" s="1"/>
  <c r="T2725" i="5" a="1"/>
  <c r="T2725" i="5" s="1"/>
  <c r="U2725" i="5" s="1"/>
  <c r="T2726" i="5" a="1"/>
  <c r="T2726" i="5" s="1"/>
  <c r="U2726" i="5" s="1"/>
  <c r="T2727" i="5" a="1"/>
  <c r="T2727" i="5" s="1"/>
  <c r="U2727" i="5" s="1"/>
  <c r="T2728" i="5" a="1"/>
  <c r="T2728" i="5" s="1"/>
  <c r="U2728" i="5" s="1"/>
  <c r="T2729" i="5" a="1"/>
  <c r="T2729" i="5" s="1"/>
  <c r="U2729" i="5" s="1"/>
  <c r="T2730" i="5" a="1"/>
  <c r="T2730" i="5" s="1"/>
  <c r="U2730" i="5" s="1"/>
  <c r="T2731" i="5" a="1"/>
  <c r="T2731" i="5" s="1"/>
  <c r="U2731" i="5" s="1"/>
  <c r="T2732" i="5" a="1"/>
  <c r="T2732" i="5" s="1"/>
  <c r="U2732" i="5" s="1"/>
  <c r="T2733" i="5" a="1"/>
  <c r="T2733" i="5" s="1"/>
  <c r="U2733" i="5" s="1"/>
  <c r="T2734" i="5" a="1"/>
  <c r="T2734" i="5" s="1"/>
  <c r="U2734" i="5" s="1"/>
  <c r="T2735" i="5" a="1"/>
  <c r="T2735" i="5" s="1"/>
  <c r="U2735" i="5" s="1"/>
  <c r="T2736" i="5" a="1"/>
  <c r="T2736" i="5" s="1"/>
  <c r="U2736" i="5" s="1"/>
  <c r="T2737" i="5" a="1"/>
  <c r="T2737" i="5" s="1"/>
  <c r="U2737" i="5" s="1"/>
  <c r="T2738" i="5" a="1"/>
  <c r="T2738" i="5" s="1"/>
  <c r="U2738" i="5" s="1"/>
  <c r="T2739" i="5" a="1"/>
  <c r="T2739" i="5" s="1"/>
  <c r="U2739" i="5" s="1"/>
  <c r="T2740" i="5" a="1"/>
  <c r="T2740" i="5" s="1"/>
  <c r="U2740" i="5" s="1"/>
  <c r="T2741" i="5" a="1"/>
  <c r="T2741" i="5" s="1"/>
  <c r="U2741" i="5" s="1"/>
  <c r="T2742" i="5" a="1"/>
  <c r="T2742" i="5" s="1"/>
  <c r="U2742" i="5" s="1"/>
  <c r="T2743" i="5" a="1"/>
  <c r="T2743" i="5" s="1"/>
  <c r="U2743" i="5" s="1"/>
  <c r="T2744" i="5" a="1"/>
  <c r="T2744" i="5" s="1"/>
  <c r="U2744" i="5" s="1"/>
  <c r="T2745" i="5" a="1"/>
  <c r="T2745" i="5" s="1"/>
  <c r="U2745" i="5" s="1"/>
  <c r="T2746" i="5" a="1"/>
  <c r="T2746" i="5" s="1"/>
  <c r="U2746" i="5" s="1"/>
  <c r="T2747" i="5" a="1"/>
  <c r="T2747" i="5" s="1"/>
  <c r="U2747" i="5" s="1"/>
  <c r="T2748" i="5" a="1"/>
  <c r="T2748" i="5" s="1"/>
  <c r="U2748" i="5" s="1"/>
  <c r="T2749" i="5" a="1"/>
  <c r="T2749" i="5" s="1"/>
  <c r="U2749" i="5" s="1"/>
  <c r="T2750" i="5" a="1"/>
  <c r="T2750" i="5" s="1"/>
  <c r="U2750" i="5" s="1"/>
  <c r="T2751" i="5" a="1"/>
  <c r="T2751" i="5" s="1"/>
  <c r="U2751" i="5" s="1"/>
  <c r="T2752" i="5" a="1"/>
  <c r="T2752" i="5" s="1"/>
  <c r="U2752" i="5" s="1"/>
  <c r="T2753" i="5" a="1"/>
  <c r="T2753" i="5" s="1"/>
  <c r="U2753" i="5" s="1"/>
  <c r="T2754" i="5" a="1"/>
  <c r="T2754" i="5" s="1"/>
  <c r="U2754" i="5" s="1"/>
  <c r="T2755" i="5" a="1"/>
  <c r="T2755" i="5" s="1"/>
  <c r="U2755" i="5" s="1"/>
  <c r="T2756" i="5" a="1"/>
  <c r="T2756" i="5" s="1"/>
  <c r="U2756" i="5" s="1"/>
  <c r="T2757" i="5" a="1"/>
  <c r="T2757" i="5" s="1"/>
  <c r="U2757" i="5" s="1"/>
  <c r="T2758" i="5" a="1"/>
  <c r="T2758" i="5" s="1"/>
  <c r="U2758" i="5" s="1"/>
  <c r="T2759" i="5" a="1"/>
  <c r="T2759" i="5" s="1"/>
  <c r="U2759" i="5" s="1"/>
  <c r="T2760" i="5" a="1"/>
  <c r="T2760" i="5" s="1"/>
  <c r="U2760" i="5" s="1"/>
  <c r="T2761" i="5" a="1"/>
  <c r="T2761" i="5" s="1"/>
  <c r="U2761" i="5" s="1"/>
  <c r="T2762" i="5" a="1"/>
  <c r="T2762" i="5" s="1"/>
  <c r="U2762" i="5" s="1"/>
  <c r="T2763" i="5" a="1"/>
  <c r="T2763" i="5" s="1"/>
  <c r="U2763" i="5" s="1"/>
  <c r="T2764" i="5" a="1"/>
  <c r="T2764" i="5" s="1"/>
  <c r="U2764" i="5" s="1"/>
  <c r="T2765" i="5" a="1"/>
  <c r="T2765" i="5" s="1"/>
  <c r="U2765" i="5" s="1"/>
  <c r="T2766" i="5" a="1"/>
  <c r="T2766" i="5" s="1"/>
  <c r="U2766" i="5" s="1"/>
  <c r="T2767" i="5" a="1"/>
  <c r="T2767" i="5" s="1"/>
  <c r="U2767" i="5" s="1"/>
  <c r="T2768" i="5" a="1"/>
  <c r="T2768" i="5" s="1"/>
  <c r="U2768" i="5" s="1"/>
  <c r="T2769" i="5" a="1"/>
  <c r="T2769" i="5" s="1"/>
  <c r="U2769" i="5" s="1"/>
  <c r="T2770" i="5" a="1"/>
  <c r="T2770" i="5" s="1"/>
  <c r="U2770" i="5" s="1"/>
  <c r="T2771" i="5" a="1"/>
  <c r="T2771" i="5" s="1"/>
  <c r="U2771" i="5" s="1"/>
  <c r="T2772" i="5" a="1"/>
  <c r="T2772" i="5" s="1"/>
  <c r="U2772" i="5" s="1"/>
  <c r="T2773" i="5" a="1"/>
  <c r="T2773" i="5" s="1"/>
  <c r="U2773" i="5" s="1"/>
  <c r="T2774" i="5" a="1"/>
  <c r="T2774" i="5" s="1"/>
  <c r="U2774" i="5" s="1"/>
  <c r="T2775" i="5" a="1"/>
  <c r="T2775" i="5" s="1"/>
  <c r="U2775" i="5" s="1"/>
  <c r="T2776" i="5" a="1"/>
  <c r="T2776" i="5" s="1"/>
  <c r="U2776" i="5" s="1"/>
  <c r="T2777" i="5" a="1"/>
  <c r="T2777" i="5" s="1"/>
  <c r="U2777" i="5" s="1"/>
  <c r="T2778" i="5" a="1"/>
  <c r="T2778" i="5" s="1"/>
  <c r="U2778" i="5" s="1"/>
  <c r="T2779" i="5" a="1"/>
  <c r="T2779" i="5" s="1"/>
  <c r="U2779" i="5" s="1"/>
  <c r="T2780" i="5" a="1"/>
  <c r="T2780" i="5" s="1"/>
  <c r="U2780" i="5" s="1"/>
  <c r="T2781" i="5" a="1"/>
  <c r="T2781" i="5" s="1"/>
  <c r="U2781" i="5" s="1"/>
  <c r="T2782" i="5" a="1"/>
  <c r="T2782" i="5" s="1"/>
  <c r="U2782" i="5" s="1"/>
  <c r="T2783" i="5" a="1"/>
  <c r="T2783" i="5" s="1"/>
  <c r="U2783" i="5" s="1"/>
  <c r="T2784" i="5" a="1"/>
  <c r="T2784" i="5" s="1"/>
  <c r="U2784" i="5" s="1"/>
  <c r="T2785" i="5" a="1"/>
  <c r="T2785" i="5" s="1"/>
  <c r="U2785" i="5" s="1"/>
  <c r="T2786" i="5" a="1"/>
  <c r="T2786" i="5" s="1"/>
  <c r="U2786" i="5" s="1"/>
  <c r="T2787" i="5" a="1"/>
  <c r="T2787" i="5" s="1"/>
  <c r="U2787" i="5" s="1"/>
  <c r="T2788" i="5" a="1"/>
  <c r="T2788" i="5" s="1"/>
  <c r="U2788" i="5" s="1"/>
  <c r="T2789" i="5" a="1"/>
  <c r="T2789" i="5" s="1"/>
  <c r="U2789" i="5" s="1"/>
  <c r="T2790" i="5" a="1"/>
  <c r="T2790" i="5" s="1"/>
  <c r="U2790" i="5" s="1"/>
  <c r="T2797" i="5" a="1"/>
  <c r="T2797" i="5" s="1"/>
  <c r="U2797" i="5" s="1"/>
  <c r="T2798" i="5" a="1"/>
  <c r="T2798" i="5" s="1"/>
  <c r="U2798" i="5" s="1"/>
  <c r="T2799" i="5" a="1"/>
  <c r="T2799" i="5" s="1"/>
  <c r="U2799" i="5" s="1"/>
  <c r="T2800" i="5" a="1"/>
  <c r="T2800" i="5" s="1"/>
  <c r="U2800" i="5" s="1"/>
  <c r="T2801" i="5" a="1"/>
  <c r="T2801" i="5" s="1"/>
  <c r="U2801" i="5" s="1"/>
  <c r="T2802" i="5" a="1"/>
  <c r="T2802" i="5" s="1"/>
  <c r="U2802" i="5" s="1"/>
  <c r="T2803" i="5" a="1"/>
  <c r="T2803" i="5" s="1"/>
  <c r="U2803" i="5" s="1"/>
  <c r="T2804" i="5" a="1"/>
  <c r="T2804" i="5" s="1"/>
  <c r="U2804" i="5" s="1"/>
  <c r="T2805" i="5" a="1"/>
  <c r="T2805" i="5" s="1"/>
  <c r="U2805" i="5" s="1"/>
  <c r="T2806" i="5" a="1"/>
  <c r="T2806" i="5" s="1"/>
  <c r="U2806" i="5" s="1"/>
  <c r="T2807" i="5" a="1"/>
  <c r="T2807" i="5" s="1"/>
  <c r="U2807" i="5" s="1"/>
  <c r="T2808" i="5" a="1"/>
  <c r="T2808" i="5" s="1"/>
  <c r="U2808" i="5" s="1"/>
  <c r="T2809" i="5" a="1"/>
  <c r="T2809" i="5" s="1"/>
  <c r="U2809" i="5" s="1"/>
  <c r="T2810" i="5" a="1"/>
  <c r="T2810" i="5" s="1"/>
  <c r="U2810" i="5" s="1"/>
  <c r="T2811" i="5" a="1"/>
  <c r="T2811" i="5" s="1"/>
  <c r="U2811" i="5" s="1"/>
  <c r="T2812" i="5" a="1"/>
  <c r="T2812" i="5" s="1"/>
  <c r="U2812" i="5" s="1"/>
  <c r="T2813" i="5" a="1"/>
  <c r="T2813" i="5" s="1"/>
  <c r="U2813" i="5" s="1"/>
  <c r="T2814" i="5" a="1"/>
  <c r="T2814" i="5" s="1"/>
  <c r="U2814" i="5" s="1"/>
  <c r="T2815" i="5" a="1"/>
  <c r="T2815" i="5" s="1"/>
  <c r="U2815" i="5" s="1"/>
  <c r="T2816" i="5" a="1"/>
  <c r="T2816" i="5" s="1"/>
  <c r="U2816" i="5" s="1"/>
  <c r="T2817" i="5" a="1"/>
  <c r="T2817" i="5" s="1"/>
  <c r="U2817" i="5" s="1"/>
  <c r="T2818" i="5" a="1"/>
  <c r="T2818" i="5" s="1"/>
  <c r="U2818" i="5" s="1"/>
  <c r="T2819" i="5" a="1"/>
  <c r="T2819" i="5" s="1"/>
  <c r="U2819" i="5" s="1"/>
  <c r="T2820" i="5" a="1"/>
  <c r="T2820" i="5" s="1"/>
  <c r="U2820" i="5" s="1"/>
  <c r="T2821" i="5" a="1"/>
  <c r="T2821" i="5" s="1"/>
  <c r="U2821" i="5" s="1"/>
  <c r="T2822" i="5" a="1"/>
  <c r="T2822" i="5" s="1"/>
  <c r="U2822" i="5" s="1"/>
  <c r="T2823" i="5" a="1"/>
  <c r="T2823" i="5" s="1"/>
  <c r="U2823" i="5" s="1"/>
  <c r="T2824" i="5" a="1"/>
  <c r="T2824" i="5" s="1"/>
  <c r="U2824" i="5" s="1"/>
  <c r="T2825" i="5" a="1"/>
  <c r="T2825" i="5" s="1"/>
  <c r="U2825" i="5" s="1"/>
  <c r="T2826" i="5" a="1"/>
  <c r="T2826" i="5" s="1"/>
  <c r="U2826" i="5" s="1"/>
  <c r="T2827" i="5" a="1"/>
  <c r="T2827" i="5" s="1"/>
  <c r="U2827" i="5" s="1"/>
  <c r="T2828" i="5" a="1"/>
  <c r="T2828" i="5" s="1"/>
  <c r="U2828" i="5" s="1"/>
  <c r="T2829" i="5" a="1"/>
  <c r="T2829" i="5" s="1"/>
  <c r="U2829" i="5" s="1"/>
  <c r="T2830" i="5" a="1"/>
  <c r="T2830" i="5" s="1"/>
  <c r="U2830" i="5" s="1"/>
  <c r="T2831" i="5" a="1"/>
  <c r="T2831" i="5" s="1"/>
  <c r="U2831" i="5" s="1"/>
  <c r="T2832" i="5" a="1"/>
  <c r="T2832" i="5" s="1"/>
  <c r="U2832" i="5" s="1"/>
  <c r="T2833" i="5" a="1"/>
  <c r="T2833" i="5" s="1"/>
  <c r="U2833" i="5" s="1"/>
  <c r="T2834" i="5" a="1"/>
  <c r="T2834" i="5" s="1"/>
  <c r="U2834" i="5" s="1"/>
  <c r="T2835" i="5" a="1"/>
  <c r="T2835" i="5" s="1"/>
  <c r="U2835" i="5" s="1"/>
  <c r="T2836" i="5" a="1"/>
  <c r="T2836" i="5" s="1"/>
  <c r="U2836" i="5" s="1"/>
  <c r="T2837" i="5" a="1"/>
  <c r="T2837" i="5" s="1"/>
  <c r="U2837" i="5" s="1"/>
  <c r="T2838" i="5" a="1"/>
  <c r="T2838" i="5" s="1"/>
  <c r="U2838" i="5" s="1"/>
  <c r="T2839" i="5" a="1"/>
  <c r="T2839" i="5" s="1"/>
  <c r="U2839" i="5" s="1"/>
  <c r="T2840" i="5" a="1"/>
  <c r="T2840" i="5" s="1"/>
  <c r="U2840" i="5" s="1"/>
  <c r="T2841" i="5" a="1"/>
  <c r="T2841" i="5" s="1"/>
  <c r="U2841" i="5" s="1"/>
  <c r="T2842" i="5" a="1"/>
  <c r="T2842" i="5" s="1"/>
  <c r="U2842" i="5" s="1"/>
  <c r="T2843" i="5" a="1"/>
  <c r="T2843" i="5" s="1"/>
  <c r="U2843" i="5" s="1"/>
  <c r="T2844" i="5" a="1"/>
  <c r="T2844" i="5" s="1"/>
  <c r="U2844" i="5" s="1"/>
  <c r="T2845" i="5" a="1"/>
  <c r="T2845" i="5" s="1"/>
  <c r="U2845" i="5" s="1"/>
  <c r="T2846" i="5" a="1"/>
  <c r="T2846" i="5" s="1"/>
  <c r="U2846" i="5" s="1"/>
  <c r="T2847" i="5" a="1"/>
  <c r="T2847" i="5" s="1"/>
  <c r="U2847" i="5" s="1"/>
  <c r="T2848" i="5" a="1"/>
  <c r="T2848" i="5" s="1"/>
  <c r="U2848" i="5" s="1"/>
  <c r="T2849" i="5" a="1"/>
  <c r="T2849" i="5" s="1"/>
  <c r="U2849" i="5" s="1"/>
  <c r="T2850" i="5" a="1"/>
  <c r="T2850" i="5" s="1"/>
  <c r="U2850" i="5" s="1"/>
  <c r="T2851" i="5" a="1"/>
  <c r="T2851" i="5" s="1"/>
  <c r="U2851" i="5" s="1"/>
  <c r="T2852" i="5" a="1"/>
  <c r="T2852" i="5" s="1"/>
  <c r="U2852" i="5" s="1"/>
  <c r="T2853" i="5" a="1"/>
  <c r="T2853" i="5" s="1"/>
  <c r="U2853" i="5" s="1"/>
  <c r="T2854" i="5" a="1"/>
  <c r="T2854" i="5" s="1"/>
  <c r="U2854" i="5" s="1"/>
  <c r="T2855" i="5" a="1"/>
  <c r="T2855" i="5" s="1"/>
  <c r="U2855" i="5" s="1"/>
  <c r="T2856" i="5" a="1"/>
  <c r="T2856" i="5" s="1"/>
  <c r="U2856" i="5" s="1"/>
  <c r="T2857" i="5" a="1"/>
  <c r="T2857" i="5" s="1"/>
  <c r="U2857" i="5" s="1"/>
  <c r="T2858" i="5" a="1"/>
  <c r="T2858" i="5" s="1"/>
  <c r="U2858" i="5" s="1"/>
  <c r="T2859" i="5" a="1"/>
  <c r="T2859" i="5" s="1"/>
  <c r="U2859" i="5" s="1"/>
  <c r="T2860" i="5" a="1"/>
  <c r="T2860" i="5" s="1"/>
  <c r="U2860" i="5" s="1"/>
  <c r="T2861" i="5" a="1"/>
  <c r="T2861" i="5" s="1"/>
  <c r="U2861" i="5" s="1"/>
  <c r="T2862" i="5" a="1"/>
  <c r="T2862" i="5" s="1"/>
  <c r="U2862" i="5" s="1"/>
  <c r="T2863" i="5" a="1"/>
  <c r="T2863" i="5" s="1"/>
  <c r="U2863" i="5" s="1"/>
  <c r="T2864" i="5" a="1"/>
  <c r="T2864" i="5" s="1"/>
  <c r="U2864" i="5" s="1"/>
  <c r="T2865" i="5" a="1"/>
  <c r="T2865" i="5" s="1"/>
  <c r="U2865" i="5" s="1"/>
  <c r="T2866" i="5" a="1"/>
  <c r="T2866" i="5" s="1"/>
  <c r="U2866" i="5" s="1"/>
  <c r="T2867" i="5" a="1"/>
  <c r="T2867" i="5" s="1"/>
  <c r="U2867" i="5" s="1"/>
  <c r="T2868" i="5" a="1"/>
  <c r="T2868" i="5" s="1"/>
  <c r="U2868" i="5" s="1"/>
  <c r="T2869" i="5" a="1"/>
  <c r="T2869" i="5" s="1"/>
  <c r="U2869" i="5" s="1"/>
  <c r="T2870" i="5" a="1"/>
  <c r="T2870" i="5" s="1"/>
  <c r="U2870" i="5" s="1"/>
  <c r="T2871" i="5" a="1"/>
  <c r="T2871" i="5" s="1"/>
  <c r="U2871" i="5" s="1"/>
  <c r="T2872" i="5" a="1"/>
  <c r="T2872" i="5" s="1"/>
  <c r="U2872" i="5" s="1"/>
  <c r="T2873" i="5" a="1"/>
  <c r="T2873" i="5" s="1"/>
  <c r="U2873" i="5" s="1"/>
  <c r="T2874" i="5" a="1"/>
  <c r="T2874" i="5" s="1"/>
  <c r="U2874" i="5" s="1"/>
  <c r="T2875" i="5" a="1"/>
  <c r="T2875" i="5" s="1"/>
  <c r="U2875" i="5" s="1"/>
  <c r="T2876" i="5" a="1"/>
  <c r="T2876" i="5" s="1"/>
  <c r="U2876" i="5" s="1"/>
  <c r="T2877" i="5" a="1"/>
  <c r="T2877" i="5" s="1"/>
  <c r="U2877" i="5" s="1"/>
  <c r="T2878" i="5" a="1"/>
  <c r="T2878" i="5" s="1"/>
  <c r="U2878" i="5" s="1"/>
  <c r="T2894" i="5" a="1"/>
  <c r="T2894" i="5" s="1"/>
  <c r="U2894" i="5" s="1"/>
  <c r="T2895" i="5" a="1"/>
  <c r="T2895" i="5" s="1"/>
  <c r="U2895" i="5" s="1"/>
  <c r="T2896" i="5" a="1"/>
  <c r="T2896" i="5" s="1"/>
  <c r="U2896" i="5" s="1"/>
  <c r="T2897" i="5" a="1"/>
  <c r="T2897" i="5" s="1"/>
  <c r="U2897" i="5" s="1"/>
  <c r="T2898" i="5" a="1"/>
  <c r="T2898" i="5" s="1"/>
  <c r="U2898" i="5" s="1"/>
  <c r="T2899" i="5" a="1"/>
  <c r="T2899" i="5" s="1"/>
  <c r="U2899" i="5" s="1"/>
  <c r="T2900" i="5" a="1"/>
  <c r="T2900" i="5" s="1"/>
  <c r="U2900" i="5" s="1"/>
  <c r="T2901" i="5" a="1"/>
  <c r="T2901" i="5" s="1"/>
  <c r="U2901" i="5" s="1"/>
  <c r="T2902" i="5" a="1"/>
  <c r="T2902" i="5" s="1"/>
  <c r="U2902" i="5" s="1"/>
  <c r="T2903" i="5" a="1"/>
  <c r="T2903" i="5" s="1"/>
  <c r="U2903" i="5" s="1"/>
  <c r="T2904" i="5" a="1"/>
  <c r="T2904" i="5" s="1"/>
  <c r="U2904" i="5" s="1"/>
  <c r="T2905" i="5" a="1"/>
  <c r="T2905" i="5" s="1"/>
  <c r="U2905" i="5" s="1"/>
  <c r="T2906" i="5" a="1"/>
  <c r="T2906" i="5" s="1"/>
  <c r="U2906" i="5" s="1"/>
  <c r="T2907" i="5" a="1"/>
  <c r="T2907" i="5" s="1"/>
  <c r="U2907" i="5" s="1"/>
  <c r="T2908" i="5" a="1"/>
  <c r="T2908" i="5" s="1"/>
  <c r="U2908" i="5" s="1"/>
  <c r="T2909" i="5" a="1"/>
  <c r="T2909" i="5" s="1"/>
  <c r="U2909" i="5" s="1"/>
  <c r="T2910" i="5" a="1"/>
  <c r="T2910" i="5" s="1"/>
  <c r="U2910" i="5" s="1"/>
  <c r="T2911" i="5" a="1"/>
  <c r="T2911" i="5" s="1"/>
  <c r="U2911" i="5" s="1"/>
  <c r="T2912" i="5" a="1"/>
  <c r="T2912" i="5" s="1"/>
  <c r="U2912" i="5" s="1"/>
  <c r="T2913" i="5" a="1"/>
  <c r="T2913" i="5" s="1"/>
  <c r="U2913" i="5" s="1"/>
  <c r="T2914" i="5" a="1"/>
  <c r="T2914" i="5" s="1"/>
  <c r="U2914" i="5" s="1"/>
  <c r="T2915" i="5" a="1"/>
  <c r="T2915" i="5" s="1"/>
  <c r="U2915" i="5" s="1"/>
  <c r="T2916" i="5" a="1"/>
  <c r="T2916" i="5" s="1"/>
  <c r="U2916" i="5" s="1"/>
  <c r="T2917" i="5" a="1"/>
  <c r="T2917" i="5" s="1"/>
  <c r="U2917" i="5" s="1"/>
  <c r="T2918" i="5" a="1"/>
  <c r="T2918" i="5" s="1"/>
  <c r="U2918" i="5" s="1"/>
  <c r="T2919" i="5" a="1"/>
  <c r="T2919" i="5" s="1"/>
  <c r="U2919" i="5" s="1"/>
  <c r="T2920" i="5" a="1"/>
  <c r="T2920" i="5" s="1"/>
  <c r="U2920" i="5" s="1"/>
  <c r="T2921" i="5" a="1"/>
  <c r="T2921" i="5" s="1"/>
  <c r="U2921" i="5" s="1"/>
  <c r="T2922" i="5" a="1"/>
  <c r="T2922" i="5" s="1"/>
  <c r="U2922" i="5" s="1"/>
  <c r="T2923" i="5" a="1"/>
  <c r="T2923" i="5" s="1"/>
  <c r="U2923" i="5" s="1"/>
  <c r="T2924" i="5" a="1"/>
  <c r="T2924" i="5" s="1"/>
  <c r="U2924" i="5" s="1"/>
  <c r="T2925" i="5" a="1"/>
  <c r="T2925" i="5" s="1"/>
  <c r="U2925" i="5" s="1"/>
  <c r="T2926" i="5" a="1"/>
  <c r="T2926" i="5" s="1"/>
  <c r="U2926" i="5" s="1"/>
  <c r="T2927" i="5" a="1"/>
  <c r="T2927" i="5" s="1"/>
  <c r="U2927" i="5" s="1"/>
  <c r="T2928" i="5" a="1"/>
  <c r="T2928" i="5" s="1"/>
  <c r="U2928" i="5" s="1"/>
  <c r="T2929" i="5" a="1"/>
  <c r="T2929" i="5" s="1"/>
  <c r="U2929" i="5" s="1"/>
  <c r="T2930" i="5" a="1"/>
  <c r="T2930" i="5" s="1"/>
  <c r="U2930" i="5" s="1"/>
  <c r="T2931" i="5" a="1"/>
  <c r="T2931" i="5" s="1"/>
  <c r="U2931" i="5" s="1"/>
  <c r="T2932" i="5" a="1"/>
  <c r="T2932" i="5" s="1"/>
  <c r="U2932" i="5" s="1"/>
  <c r="T2933" i="5" a="1"/>
  <c r="T2933" i="5" s="1"/>
  <c r="U2933" i="5" s="1"/>
  <c r="T2934" i="5" a="1"/>
  <c r="T2934" i="5" s="1"/>
  <c r="U2934" i="5" s="1"/>
  <c r="T2935" i="5" a="1"/>
  <c r="T2935" i="5" s="1"/>
  <c r="U2935" i="5" s="1"/>
  <c r="T2936" i="5" a="1"/>
  <c r="T2936" i="5" s="1"/>
  <c r="U2936" i="5" s="1"/>
  <c r="T2937" i="5" a="1"/>
  <c r="T2937" i="5" s="1"/>
  <c r="U2937" i="5" s="1"/>
  <c r="T2938" i="5" a="1"/>
  <c r="T2938" i="5" s="1"/>
  <c r="U2938" i="5" s="1"/>
  <c r="T2939" i="5" a="1"/>
  <c r="T2939" i="5" s="1"/>
  <c r="U2939" i="5" s="1"/>
  <c r="T2940" i="5" a="1"/>
  <c r="T2940" i="5" s="1"/>
  <c r="U2940" i="5" s="1"/>
  <c r="T2941" i="5" a="1"/>
  <c r="T2941" i="5" s="1"/>
  <c r="U2941" i="5" s="1"/>
  <c r="T2942" i="5" a="1"/>
  <c r="T2942" i="5" s="1"/>
  <c r="U2942" i="5" s="1"/>
  <c r="T2943" i="5" a="1"/>
  <c r="T2943" i="5" s="1"/>
  <c r="U2943" i="5" s="1"/>
  <c r="T2944" i="5" a="1"/>
  <c r="T2944" i="5" s="1"/>
  <c r="U2944" i="5" s="1"/>
  <c r="T2945" i="5" a="1"/>
  <c r="T2945" i="5" s="1"/>
  <c r="U2945" i="5" s="1"/>
  <c r="T2946" i="5" a="1"/>
  <c r="T2946" i="5" s="1"/>
  <c r="U2946" i="5" s="1"/>
  <c r="T2947" i="5" a="1"/>
  <c r="T2947" i="5" s="1"/>
  <c r="U2947" i="5" s="1"/>
  <c r="T2948" i="5" a="1"/>
  <c r="T2948" i="5" s="1"/>
  <c r="U2948" i="5" s="1"/>
  <c r="T2949" i="5" a="1"/>
  <c r="T2949" i="5" s="1"/>
  <c r="U2949" i="5" s="1"/>
  <c r="T2950" i="5" a="1"/>
  <c r="T2950" i="5" s="1"/>
  <c r="U2950" i="5" s="1"/>
  <c r="T2951" i="5" a="1"/>
  <c r="T2951" i="5" s="1"/>
  <c r="U2951" i="5" s="1"/>
  <c r="T2952" i="5" a="1"/>
  <c r="T2952" i="5" s="1"/>
  <c r="U2952" i="5" s="1"/>
  <c r="T2953" i="5" a="1"/>
  <c r="T2953" i="5" s="1"/>
  <c r="U2953" i="5" s="1"/>
  <c r="T2954" i="5" a="1"/>
  <c r="T2954" i="5" s="1"/>
  <c r="U2954" i="5" s="1"/>
  <c r="T2955" i="5" a="1"/>
  <c r="T2955" i="5" s="1"/>
  <c r="U2955" i="5" s="1"/>
  <c r="T2956" i="5" a="1"/>
  <c r="T2956" i="5" s="1"/>
  <c r="U2956" i="5" s="1"/>
  <c r="T2957" i="5" a="1"/>
  <c r="T2957" i="5" s="1"/>
  <c r="U2957" i="5" s="1"/>
  <c r="T2958" i="5" a="1"/>
  <c r="T2958" i="5" s="1"/>
  <c r="U2958" i="5" s="1"/>
  <c r="T2959" i="5" a="1"/>
  <c r="T2959" i="5" s="1"/>
  <c r="U2959" i="5" s="1"/>
  <c r="T2960" i="5" a="1"/>
  <c r="T2960" i="5" s="1"/>
  <c r="U2960" i="5" s="1"/>
  <c r="T2961" i="5" a="1"/>
  <c r="T2961" i="5" s="1"/>
  <c r="U2961" i="5" s="1"/>
  <c r="T2962" i="5" a="1"/>
  <c r="T2962" i="5" s="1"/>
  <c r="U2962" i="5" s="1"/>
  <c r="T2963" i="5" a="1"/>
  <c r="T2963" i="5" s="1"/>
  <c r="U2963" i="5" s="1"/>
  <c r="T2964" i="5" a="1"/>
  <c r="T2964" i="5" s="1"/>
  <c r="U2964" i="5" s="1"/>
  <c r="T2965" i="5" a="1"/>
  <c r="T2965" i="5" s="1"/>
  <c r="U2965" i="5" s="1"/>
  <c r="T2966" i="5" a="1"/>
  <c r="T2966" i="5" s="1"/>
  <c r="U2966" i="5" s="1"/>
  <c r="T2967" i="5" a="1"/>
  <c r="T2967" i="5" s="1"/>
  <c r="U2967" i="5" s="1"/>
  <c r="T2968" i="5" a="1"/>
  <c r="T2968" i="5" s="1"/>
  <c r="U2968" i="5" s="1"/>
  <c r="T2969" i="5" a="1"/>
  <c r="T2969" i="5" s="1"/>
  <c r="U2969" i="5" s="1"/>
  <c r="T2970" i="5" a="1"/>
  <c r="T2970" i="5" s="1"/>
  <c r="U2970" i="5" s="1"/>
  <c r="T2971" i="5" a="1"/>
  <c r="T2971" i="5" s="1"/>
  <c r="U2971" i="5" s="1"/>
  <c r="T2972" i="5" a="1"/>
  <c r="T2972" i="5" s="1"/>
  <c r="U2972" i="5" s="1"/>
  <c r="T2973" i="5" a="1"/>
  <c r="T2973" i="5" s="1"/>
  <c r="U2973" i="5" s="1"/>
  <c r="T2974" i="5" a="1"/>
  <c r="T2974" i="5" s="1"/>
  <c r="U2974" i="5" s="1"/>
  <c r="T2975" i="5" a="1"/>
  <c r="T2975" i="5" s="1"/>
  <c r="U2975" i="5" s="1"/>
  <c r="T2976" i="5" a="1"/>
  <c r="T2976" i="5" s="1"/>
  <c r="U2976" i="5" s="1"/>
  <c r="T2977" i="5" a="1"/>
  <c r="T2977" i="5" s="1"/>
  <c r="U2977" i="5" s="1"/>
  <c r="T2978" i="5" a="1"/>
  <c r="T2978" i="5" s="1"/>
  <c r="U2978" i="5" s="1"/>
  <c r="T2979" i="5" a="1"/>
  <c r="T2979" i="5" s="1"/>
  <c r="U2979" i="5" s="1"/>
  <c r="T2980" i="5" a="1"/>
  <c r="T2980" i="5" s="1"/>
  <c r="U2980" i="5" s="1"/>
  <c r="T2981" i="5" a="1"/>
  <c r="T2981" i="5" s="1"/>
  <c r="U2981" i="5" s="1"/>
  <c r="T2982" i="5" a="1"/>
  <c r="T2982" i="5" s="1"/>
  <c r="U2982" i="5" s="1"/>
  <c r="T2983" i="5" a="1"/>
  <c r="T2983" i="5" s="1"/>
  <c r="U2983" i="5" s="1"/>
  <c r="T2984" i="5" a="1"/>
  <c r="T2984" i="5" s="1"/>
  <c r="U2984" i="5" s="1"/>
  <c r="T2985" i="5" a="1"/>
  <c r="T2985" i="5" s="1"/>
  <c r="U2985" i="5" s="1"/>
  <c r="T2986" i="5" a="1"/>
  <c r="T2986" i="5" s="1"/>
  <c r="U2986" i="5" s="1"/>
  <c r="T2987" i="5" a="1"/>
  <c r="T2987" i="5" s="1"/>
  <c r="U2987" i="5" s="1"/>
  <c r="T2988" i="5" a="1"/>
  <c r="T2988" i="5" s="1"/>
  <c r="U2988" i="5" s="1"/>
  <c r="T2989" i="5" a="1"/>
  <c r="T2989" i="5" s="1"/>
  <c r="U2989" i="5" s="1"/>
  <c r="T2990" i="5" a="1"/>
  <c r="T2990" i="5" s="1"/>
  <c r="U2990" i="5" s="1"/>
  <c r="T2991" i="5" a="1"/>
  <c r="T2991" i="5" s="1"/>
  <c r="U2991" i="5" s="1"/>
  <c r="T2992" i="5" a="1"/>
  <c r="T2992" i="5" s="1"/>
  <c r="U2992" i="5" s="1"/>
  <c r="T2993" i="5" a="1"/>
  <c r="T2993" i="5" s="1"/>
  <c r="U2993" i="5" s="1"/>
  <c r="T2994" i="5" a="1"/>
  <c r="T2994" i="5" s="1"/>
  <c r="U2994" i="5" s="1"/>
  <c r="T2995" i="5" a="1"/>
  <c r="T2995" i="5" s="1"/>
  <c r="U2995" i="5" s="1"/>
  <c r="T2996" i="5" a="1"/>
  <c r="T2996" i="5" s="1"/>
  <c r="U2996" i="5" s="1"/>
  <c r="T2997" i="5" a="1"/>
  <c r="T2997" i="5" s="1"/>
  <c r="U2997" i="5" s="1"/>
  <c r="T2998" i="5" a="1"/>
  <c r="T2998" i="5" s="1"/>
  <c r="U2998" i="5" s="1"/>
  <c r="T2999" i="5" a="1"/>
  <c r="T2999" i="5" s="1"/>
  <c r="U2999" i="5" s="1"/>
  <c r="T3000" i="5" a="1"/>
  <c r="T3000" i="5" s="1"/>
  <c r="U3000" i="5" s="1"/>
  <c r="T3001" i="5" a="1"/>
  <c r="T3001" i="5" s="1"/>
  <c r="U3001" i="5" s="1"/>
  <c r="T3002" i="5" a="1"/>
  <c r="T3002" i="5" s="1"/>
  <c r="U3002" i="5" s="1"/>
  <c r="T3003" i="5" a="1"/>
  <c r="T3003" i="5" s="1"/>
  <c r="U3003" i="5" s="1"/>
  <c r="T3004" i="5" a="1"/>
  <c r="T3004" i="5" s="1"/>
  <c r="U3004" i="5" s="1"/>
  <c r="T3005" i="5" a="1"/>
  <c r="T3005" i="5" s="1"/>
  <c r="U3005" i="5" s="1"/>
  <c r="T3006" i="5" a="1"/>
  <c r="T3006" i="5" s="1"/>
  <c r="U3006" i="5" s="1"/>
  <c r="T3007" i="5" a="1"/>
  <c r="T3007" i="5" s="1"/>
  <c r="U3007" i="5" s="1"/>
  <c r="T3008" i="5" a="1"/>
  <c r="T3008" i="5" s="1"/>
  <c r="U3008" i="5" s="1"/>
  <c r="T3009" i="5" a="1"/>
  <c r="T3009" i="5" s="1"/>
  <c r="U3009" i="5" s="1"/>
  <c r="T3010" i="5" a="1"/>
  <c r="T3010" i="5" s="1"/>
  <c r="U3010" i="5" s="1"/>
  <c r="T3011" i="5" a="1"/>
  <c r="T3011" i="5" s="1"/>
  <c r="U3011" i="5" s="1"/>
  <c r="T3012" i="5" a="1"/>
  <c r="T3012" i="5" s="1"/>
  <c r="U3012" i="5" s="1"/>
  <c r="T3013" i="5" a="1"/>
  <c r="T3013" i="5" s="1"/>
  <c r="U3013" i="5" s="1"/>
  <c r="T3014" i="5" a="1"/>
  <c r="T3014" i="5" s="1"/>
  <c r="U3014" i="5" s="1"/>
  <c r="T3015" i="5" a="1"/>
  <c r="T3015" i="5" s="1"/>
  <c r="U3015" i="5" s="1"/>
  <c r="T3016" i="5" a="1"/>
  <c r="T3016" i="5" s="1"/>
  <c r="U3016" i="5" s="1"/>
  <c r="T3017" i="5" a="1"/>
  <c r="T3017" i="5" s="1"/>
  <c r="U3017" i="5" s="1"/>
  <c r="T3018" i="5" a="1"/>
  <c r="T3018" i="5" s="1"/>
  <c r="U3018" i="5" s="1"/>
  <c r="T3019" i="5" a="1"/>
  <c r="T3019" i="5" s="1"/>
  <c r="U3019" i="5" s="1"/>
  <c r="T3020" i="5" a="1"/>
  <c r="T3020" i="5" s="1"/>
  <c r="U3020" i="5" s="1"/>
  <c r="T3021" i="5" a="1"/>
  <c r="T3021" i="5" s="1"/>
  <c r="U3021" i="5" s="1"/>
  <c r="T3022" i="5" a="1"/>
  <c r="T3022" i="5" s="1"/>
  <c r="U3022" i="5" s="1"/>
  <c r="T3023" i="5" a="1"/>
  <c r="T3023" i="5" s="1"/>
  <c r="U3023" i="5" s="1"/>
  <c r="T3024" i="5" a="1"/>
  <c r="T3024" i="5" s="1"/>
  <c r="U3024" i="5" s="1"/>
  <c r="T3025" i="5" a="1"/>
  <c r="T3025" i="5" s="1"/>
  <c r="U3025" i="5" s="1"/>
  <c r="T3026" i="5" a="1"/>
  <c r="T3026" i="5" s="1"/>
  <c r="U3026" i="5" s="1"/>
  <c r="T3027" i="5" a="1"/>
  <c r="T3027" i="5" s="1"/>
  <c r="U3027" i="5" s="1"/>
  <c r="T3028" i="5" a="1"/>
  <c r="T3028" i="5" s="1"/>
  <c r="U3028" i="5" s="1"/>
  <c r="T3029" i="5" a="1"/>
  <c r="T3029" i="5" s="1"/>
  <c r="U3029" i="5" s="1"/>
  <c r="T3030" i="5" a="1"/>
  <c r="T3030" i="5" s="1"/>
  <c r="U3030" i="5" s="1"/>
  <c r="T3031" i="5" a="1"/>
  <c r="T3031" i="5" s="1"/>
  <c r="U3031" i="5" s="1"/>
  <c r="T3032" i="5" a="1"/>
  <c r="T3032" i="5" s="1"/>
  <c r="U3032" i="5" s="1"/>
  <c r="T3033" i="5" a="1"/>
  <c r="T3033" i="5" s="1"/>
  <c r="U3033" i="5" s="1"/>
  <c r="T3034" i="5" a="1"/>
  <c r="T3034" i="5" s="1"/>
  <c r="U3034" i="5" s="1"/>
  <c r="T3035" i="5" a="1"/>
  <c r="T3035" i="5" s="1"/>
  <c r="U3035" i="5" s="1"/>
  <c r="T3036" i="5" a="1"/>
  <c r="T3036" i="5" s="1"/>
  <c r="U3036" i="5" s="1"/>
  <c r="T3037" i="5" a="1"/>
  <c r="T3037" i="5" s="1"/>
  <c r="U3037" i="5" s="1"/>
  <c r="T3038" i="5" a="1"/>
  <c r="T3038" i="5" s="1"/>
  <c r="U3038" i="5" s="1"/>
  <c r="T3039" i="5" a="1"/>
  <c r="T3039" i="5" s="1"/>
  <c r="U3039" i="5" s="1"/>
  <c r="T3040" i="5" a="1"/>
  <c r="T3040" i="5" s="1"/>
  <c r="U3040" i="5" s="1"/>
  <c r="T3041" i="5" a="1"/>
  <c r="T3041" i="5" s="1"/>
  <c r="U3041" i="5" s="1"/>
  <c r="T3042" i="5" a="1"/>
  <c r="T3042" i="5" s="1"/>
  <c r="U3042" i="5" s="1"/>
  <c r="T3043" i="5" a="1"/>
  <c r="T3043" i="5" s="1"/>
  <c r="U3043" i="5" s="1"/>
  <c r="T3044" i="5" a="1"/>
  <c r="T3044" i="5" s="1"/>
  <c r="U3044" i="5" s="1"/>
  <c r="T3045" i="5" a="1"/>
  <c r="T3045" i="5" s="1"/>
  <c r="U3045" i="5" s="1"/>
  <c r="T3046" i="5" a="1"/>
  <c r="T3046" i="5" s="1"/>
  <c r="U3046" i="5" s="1"/>
  <c r="T3047" i="5" a="1"/>
  <c r="T3047" i="5" s="1"/>
  <c r="U3047" i="5" s="1"/>
  <c r="T3048" i="5" a="1"/>
  <c r="T3048" i="5" s="1"/>
  <c r="U3048" i="5" s="1"/>
  <c r="T3049" i="5" a="1"/>
  <c r="T3049" i="5" s="1"/>
  <c r="U3049" i="5" s="1"/>
  <c r="T3050" i="5" a="1"/>
  <c r="T3050" i="5" s="1"/>
  <c r="U3050" i="5" s="1"/>
  <c r="T3051" i="5" a="1"/>
  <c r="T3051" i="5" s="1"/>
  <c r="U3051" i="5" s="1"/>
  <c r="T3052" i="5" a="1"/>
  <c r="T3052" i="5" s="1"/>
  <c r="U3052" i="5" s="1"/>
  <c r="T3053" i="5" a="1"/>
  <c r="T3053" i="5" s="1"/>
  <c r="U3053" i="5" s="1"/>
  <c r="T3054" i="5" a="1"/>
  <c r="T3054" i="5" s="1"/>
  <c r="U3054" i="5" s="1"/>
  <c r="T3055" i="5" a="1"/>
  <c r="T3055" i="5" s="1"/>
  <c r="U3055" i="5" s="1"/>
  <c r="T3056" i="5" a="1"/>
  <c r="T3056" i="5" s="1"/>
  <c r="U3056" i="5" s="1"/>
  <c r="T3057" i="5" a="1"/>
  <c r="T3057" i="5" s="1"/>
  <c r="U3057" i="5" s="1"/>
  <c r="T3058" i="5" a="1"/>
  <c r="T3058" i="5" s="1"/>
  <c r="U3058" i="5" s="1"/>
  <c r="T3059" i="5" a="1"/>
  <c r="T3059" i="5" s="1"/>
  <c r="U3059" i="5" s="1"/>
  <c r="T3060" i="5" a="1"/>
  <c r="T3060" i="5" s="1"/>
  <c r="U3060" i="5" s="1"/>
  <c r="T3061" i="5" a="1"/>
  <c r="T3061" i="5" s="1"/>
  <c r="U3061" i="5" s="1"/>
  <c r="T3062" i="5" a="1"/>
  <c r="T3062" i="5" s="1"/>
  <c r="U3062" i="5" s="1"/>
  <c r="T3063" i="5" a="1"/>
  <c r="T3063" i="5" s="1"/>
  <c r="U3063" i="5" s="1"/>
  <c r="T3064" i="5" a="1"/>
  <c r="T3064" i="5" s="1"/>
  <c r="U3064" i="5" s="1"/>
  <c r="T3065" i="5" a="1"/>
  <c r="T3065" i="5" s="1"/>
  <c r="U3065" i="5" s="1"/>
  <c r="T3066" i="5" a="1"/>
  <c r="T3066" i="5" s="1"/>
  <c r="U3066" i="5" s="1"/>
  <c r="T3067" i="5" a="1"/>
  <c r="T3067" i="5" s="1"/>
  <c r="U3067" i="5" s="1"/>
  <c r="T3068" i="5" a="1"/>
  <c r="T3068" i="5" s="1"/>
  <c r="U3068" i="5" s="1"/>
  <c r="T3069" i="5" a="1"/>
  <c r="T3069" i="5" s="1"/>
  <c r="U3069" i="5" s="1"/>
  <c r="T3070" i="5" a="1"/>
  <c r="T3070" i="5" s="1"/>
  <c r="U3070" i="5" s="1"/>
  <c r="T3071" i="5" a="1"/>
  <c r="T3071" i="5" s="1"/>
  <c r="U3071" i="5" s="1"/>
  <c r="T3072" i="5" a="1"/>
  <c r="T3072" i="5" s="1"/>
  <c r="U3072" i="5" s="1"/>
  <c r="T3073" i="5" a="1"/>
  <c r="T3073" i="5" s="1"/>
  <c r="U3073" i="5" s="1"/>
  <c r="T3074" i="5" a="1"/>
  <c r="T3074" i="5" s="1"/>
  <c r="U3074" i="5" s="1"/>
  <c r="T3075" i="5" a="1"/>
  <c r="T3075" i="5" s="1"/>
  <c r="U3075" i="5" s="1"/>
  <c r="T3076" i="5" a="1"/>
  <c r="T3076" i="5" s="1"/>
  <c r="U3076" i="5" s="1"/>
  <c r="T3077" i="5" a="1"/>
  <c r="T3077" i="5" s="1"/>
  <c r="U3077" i="5" s="1"/>
  <c r="T3078" i="5" a="1"/>
  <c r="T3078" i="5" s="1"/>
  <c r="U3078" i="5" s="1"/>
  <c r="T3079" i="5" a="1"/>
  <c r="T3079" i="5" s="1"/>
  <c r="U3079" i="5" s="1"/>
  <c r="T3080" i="5" a="1"/>
  <c r="T3080" i="5" s="1"/>
  <c r="U3080" i="5" s="1"/>
  <c r="T3081" i="5" a="1"/>
  <c r="T3081" i="5" s="1"/>
  <c r="U3081" i="5" s="1"/>
  <c r="T3082" i="5" a="1"/>
  <c r="T3082" i="5" s="1"/>
  <c r="U3082" i="5" s="1"/>
  <c r="T3083" i="5" a="1"/>
  <c r="T3083" i="5" s="1"/>
  <c r="U3083" i="5" s="1"/>
  <c r="T3084" i="5" a="1"/>
  <c r="T3084" i="5" s="1"/>
  <c r="U3084" i="5" s="1"/>
  <c r="T3085" i="5" a="1"/>
  <c r="T3085" i="5" s="1"/>
  <c r="U3085" i="5" s="1"/>
  <c r="T3086" i="5" a="1"/>
  <c r="T3086" i="5" s="1"/>
  <c r="U3086" i="5" s="1"/>
  <c r="T3087" i="5" a="1"/>
  <c r="T3087" i="5" s="1"/>
  <c r="U3087" i="5" s="1"/>
  <c r="T3088" i="5" a="1"/>
  <c r="T3088" i="5" s="1"/>
  <c r="U3088" i="5" s="1"/>
  <c r="T3089" i="5" a="1"/>
  <c r="T3089" i="5" s="1"/>
  <c r="U3089" i="5" s="1"/>
  <c r="T3090" i="5" a="1"/>
  <c r="T3090" i="5" s="1"/>
  <c r="U3090" i="5" s="1"/>
  <c r="T3091" i="5" a="1"/>
  <c r="T3091" i="5" s="1"/>
  <c r="U3091" i="5" s="1"/>
  <c r="T3092" i="5" a="1"/>
  <c r="T3092" i="5" s="1"/>
  <c r="U3092" i="5" s="1"/>
  <c r="T3093" i="5" a="1"/>
  <c r="T3093" i="5" s="1"/>
  <c r="U3093" i="5" s="1"/>
  <c r="T3094" i="5" a="1"/>
  <c r="T3094" i="5" s="1"/>
  <c r="U3094" i="5" s="1"/>
  <c r="T3095" i="5" a="1"/>
  <c r="T3095" i="5" s="1"/>
  <c r="U3095" i="5" s="1"/>
  <c r="T3096" i="5" a="1"/>
  <c r="T3096" i="5" s="1"/>
  <c r="U3096" i="5" s="1"/>
  <c r="T3097" i="5" a="1"/>
  <c r="T3097" i="5" s="1"/>
  <c r="U3097" i="5" s="1"/>
  <c r="T3098" i="5" a="1"/>
  <c r="T3098" i="5" s="1"/>
  <c r="U3098" i="5" s="1"/>
  <c r="T3099" i="5" a="1"/>
  <c r="T3099" i="5" s="1"/>
  <c r="U3099" i="5" s="1"/>
  <c r="T3100" i="5" a="1"/>
  <c r="T3100" i="5" s="1"/>
  <c r="U3100" i="5" s="1"/>
  <c r="T3101" i="5" a="1"/>
  <c r="T3101" i="5" s="1"/>
  <c r="U3101" i="5" s="1"/>
  <c r="T3102" i="5" a="1"/>
  <c r="T3102" i="5" s="1"/>
  <c r="U3102" i="5" s="1"/>
  <c r="T3103" i="5" a="1"/>
  <c r="T3103" i="5" s="1"/>
  <c r="U3103" i="5" s="1"/>
  <c r="T3104" i="5" a="1"/>
  <c r="T3104" i="5" s="1"/>
  <c r="U3104" i="5" s="1"/>
  <c r="T3105" i="5" a="1"/>
  <c r="T3105" i="5" s="1"/>
  <c r="U3105" i="5" s="1"/>
  <c r="T3106" i="5" a="1"/>
  <c r="T3106" i="5" s="1"/>
  <c r="U3106" i="5" s="1"/>
  <c r="T3107" i="5" a="1"/>
  <c r="T3107" i="5" s="1"/>
  <c r="U3107" i="5" s="1"/>
  <c r="T3108" i="5" a="1"/>
  <c r="T3108" i="5" s="1"/>
  <c r="U3108" i="5" s="1"/>
  <c r="T3109" i="5" a="1"/>
  <c r="T3109" i="5" s="1"/>
  <c r="U3109" i="5" s="1"/>
  <c r="T3110" i="5" a="1"/>
  <c r="T3110" i="5" s="1"/>
  <c r="U3110" i="5" s="1"/>
  <c r="T3111" i="5" a="1"/>
  <c r="T3111" i="5" s="1"/>
  <c r="U3111" i="5" s="1"/>
  <c r="T3112" i="5" a="1"/>
  <c r="T3112" i="5" s="1"/>
  <c r="U3112" i="5" s="1"/>
  <c r="T3113" i="5" a="1"/>
  <c r="T3113" i="5" s="1"/>
  <c r="U3113" i="5" s="1"/>
  <c r="T3114" i="5" a="1"/>
  <c r="T3114" i="5" s="1"/>
  <c r="U3114" i="5" s="1"/>
  <c r="T3115" i="5" a="1"/>
  <c r="T3115" i="5" s="1"/>
  <c r="U3115" i="5" s="1"/>
  <c r="T3116" i="5" a="1"/>
  <c r="T3116" i="5" s="1"/>
  <c r="U3116" i="5" s="1"/>
  <c r="T3117" i="5" a="1"/>
  <c r="T3117" i="5" s="1"/>
  <c r="U3117" i="5" s="1"/>
  <c r="T3118" i="5" a="1"/>
  <c r="T3118" i="5" s="1"/>
  <c r="U3118" i="5" s="1"/>
  <c r="T3119" i="5" a="1"/>
  <c r="T3119" i="5" s="1"/>
  <c r="U3119" i="5" s="1"/>
  <c r="T3120" i="5" a="1"/>
  <c r="T3120" i="5" s="1"/>
  <c r="U3120" i="5" s="1"/>
  <c r="T3121" i="5" a="1"/>
  <c r="T3121" i="5" s="1"/>
  <c r="U3121" i="5" s="1"/>
  <c r="T3122" i="5" a="1"/>
  <c r="T3122" i="5" s="1"/>
  <c r="U3122" i="5" s="1"/>
  <c r="T3123" i="5" a="1"/>
  <c r="T3123" i="5" s="1"/>
  <c r="U3123" i="5" s="1"/>
  <c r="T3124" i="5" a="1"/>
  <c r="T3124" i="5" s="1"/>
  <c r="U3124" i="5" s="1"/>
  <c r="T3125" i="5" a="1"/>
  <c r="T3125" i="5" s="1"/>
  <c r="U3125" i="5" s="1"/>
  <c r="T3126" i="5" a="1"/>
  <c r="T3126" i="5" s="1"/>
  <c r="U3126" i="5" s="1"/>
  <c r="T3127" i="5" a="1"/>
  <c r="T3127" i="5" s="1"/>
  <c r="U3127" i="5" s="1"/>
  <c r="T3128" i="5" a="1"/>
  <c r="T3128" i="5" s="1"/>
  <c r="U3128" i="5" s="1"/>
  <c r="T3129" i="5" a="1"/>
  <c r="T3129" i="5" s="1"/>
  <c r="U3129" i="5" s="1"/>
  <c r="T3130" i="5" a="1"/>
  <c r="T3130" i="5" s="1"/>
  <c r="U3130" i="5" s="1"/>
  <c r="T3131" i="5" a="1"/>
  <c r="T3131" i="5" s="1"/>
  <c r="U3131" i="5" s="1"/>
  <c r="T3132" i="5" a="1"/>
  <c r="T3132" i="5" s="1"/>
  <c r="U3132" i="5" s="1"/>
  <c r="T3133" i="5" a="1"/>
  <c r="T3133" i="5" s="1"/>
  <c r="U3133" i="5" s="1"/>
  <c r="T3134" i="5" a="1"/>
  <c r="T3134" i="5" s="1"/>
  <c r="T3135" i="5" a="1"/>
  <c r="T3135" i="5" s="1"/>
  <c r="U3135" i="5" s="1"/>
  <c r="T3136" i="5" a="1"/>
  <c r="T3136" i="5" s="1"/>
  <c r="T3137" i="5" a="1"/>
  <c r="T3137" i="5" s="1"/>
  <c r="U3137" i="5" s="1"/>
  <c r="W3137" i="5" s="1"/>
  <c r="T3138" i="5" a="1"/>
  <c r="T3138" i="5" s="1"/>
  <c r="T3139" i="5" a="1"/>
  <c r="T3139" i="5" s="1"/>
  <c r="U3139" i="5" s="1"/>
  <c r="T3140" i="5" a="1"/>
  <c r="T3140" i="5" s="1"/>
  <c r="T3141" i="5" a="1"/>
  <c r="T3141" i="5" s="1"/>
  <c r="T3142" i="5" a="1"/>
  <c r="T3142" i="5" s="1"/>
  <c r="T3143" i="5" a="1"/>
  <c r="T3143" i="5" s="1"/>
  <c r="T3144" i="5" a="1"/>
  <c r="T3144" i="5" s="1"/>
  <c r="T3145" i="5" a="1"/>
  <c r="T3145" i="5" s="1"/>
  <c r="U3145" i="5" s="1"/>
  <c r="W3145" i="5" s="1"/>
  <c r="T3146" i="5" a="1"/>
  <c r="T3146" i="5" s="1"/>
  <c r="T3147" i="5" a="1"/>
  <c r="T3147" i="5" s="1"/>
  <c r="U3147" i="5" s="1"/>
  <c r="T3148" i="5" a="1"/>
  <c r="T3148" i="5" s="1"/>
  <c r="U3148" i="5" s="1"/>
  <c r="W3148" i="5" s="1"/>
  <c r="T3149" i="5" a="1"/>
  <c r="T3149" i="5" s="1"/>
  <c r="T3150" i="5" a="1"/>
  <c r="T3150" i="5" s="1"/>
  <c r="T3151" i="5" a="1"/>
  <c r="T3151" i="5" s="1"/>
  <c r="T3152" i="5" a="1"/>
  <c r="T3152" i="5" s="1"/>
  <c r="T3153" i="5" a="1"/>
  <c r="T3153" i="5" s="1"/>
  <c r="U3153" i="5" s="1"/>
  <c r="W3153" i="5" s="1"/>
  <c r="T3154" i="5" a="1"/>
  <c r="T3154" i="5" s="1"/>
  <c r="T3155" i="5" a="1"/>
  <c r="T3155" i="5" s="1"/>
  <c r="U3155" i="5" s="1"/>
  <c r="T3156" i="5" a="1"/>
  <c r="T3156" i="5" s="1"/>
  <c r="U3156" i="5" s="1"/>
  <c r="W3156" i="5" s="1"/>
  <c r="T3157" i="5" a="1"/>
  <c r="T3157" i="5" s="1"/>
  <c r="T3158" i="5" a="1"/>
  <c r="T3158" i="5" s="1"/>
  <c r="T3170" i="5" a="1"/>
  <c r="T3170" i="5" s="1"/>
  <c r="T3171" i="5" a="1"/>
  <c r="T3171" i="5" s="1"/>
  <c r="T3172" i="5" a="1"/>
  <c r="T3172" i="5" s="1"/>
  <c r="U3172" i="5" s="1"/>
  <c r="W3172" i="5" s="1"/>
  <c r="T3173" i="5" a="1"/>
  <c r="T3173" i="5" s="1"/>
  <c r="T3174" i="5" a="1"/>
  <c r="T3174" i="5" s="1"/>
  <c r="U3174" i="5" s="1"/>
  <c r="T3175" i="5" a="1"/>
  <c r="T3175" i="5" s="1"/>
  <c r="T3176" i="5" a="1"/>
  <c r="T3176" i="5" s="1"/>
  <c r="T3177" i="5" a="1"/>
  <c r="T3177" i="5" s="1"/>
  <c r="T3178" i="5" a="1"/>
  <c r="T3178" i="5" s="1"/>
  <c r="T3179" i="5" a="1"/>
  <c r="T3179" i="5" s="1"/>
  <c r="T3180" i="5" a="1"/>
  <c r="T3180" i="5" s="1"/>
  <c r="U3180" i="5" s="1"/>
  <c r="W3180" i="5" s="1"/>
  <c r="T3181" i="5" a="1"/>
  <c r="T3181" i="5" s="1"/>
  <c r="T3182" i="5" a="1"/>
  <c r="T3182" i="5" s="1"/>
  <c r="U3182" i="5" s="1"/>
  <c r="T3183" i="5" a="1"/>
  <c r="T3183" i="5" s="1"/>
  <c r="U3183" i="5" s="1"/>
  <c r="W3183" i="5" s="1"/>
  <c r="T3184" i="5" a="1"/>
  <c r="T3184" i="5" s="1"/>
  <c r="T3185" i="5" a="1"/>
  <c r="T3185" i="5" s="1"/>
  <c r="T3186" i="5" a="1"/>
  <c r="T3186" i="5" s="1"/>
  <c r="T3187" i="5" a="1"/>
  <c r="T3187" i="5" s="1"/>
  <c r="T3188" i="5" a="1"/>
  <c r="T3188" i="5" s="1"/>
  <c r="U3188" i="5" s="1"/>
  <c r="W3188" i="5" s="1"/>
  <c r="T3189" i="5" a="1"/>
  <c r="T3189" i="5" s="1"/>
  <c r="T3190" i="5" a="1"/>
  <c r="T3190" i="5" s="1"/>
  <c r="U3190" i="5" s="1"/>
  <c r="T3191" i="5" a="1"/>
  <c r="T3191" i="5" s="1"/>
  <c r="U3191" i="5" s="1"/>
  <c r="W3191" i="5" s="1"/>
  <c r="T3192" i="5" a="1"/>
  <c r="T3192" i="5" s="1"/>
  <c r="T3193" i="5" a="1"/>
  <c r="T3193" i="5" s="1"/>
  <c r="T3194" i="5" a="1"/>
  <c r="T3194" i="5" s="1"/>
  <c r="T3195" i="5" a="1"/>
  <c r="T3195" i="5" s="1"/>
  <c r="T3196" i="5" a="1"/>
  <c r="T3196" i="5" s="1"/>
  <c r="U3196" i="5" s="1"/>
  <c r="W3196" i="5" s="1"/>
  <c r="T3197" i="5" a="1"/>
  <c r="T3197" i="5" s="1"/>
  <c r="T3198" i="5" a="1"/>
  <c r="T3198" i="5" s="1"/>
  <c r="U3198" i="5" s="1"/>
  <c r="T3199" i="5" a="1"/>
  <c r="T3199" i="5" s="1"/>
  <c r="U3199" i="5" s="1"/>
  <c r="W3199" i="5" s="1"/>
  <c r="T3200" i="5" a="1"/>
  <c r="T3200" i="5" s="1"/>
  <c r="T3201" i="5" a="1"/>
  <c r="T3201" i="5" s="1"/>
  <c r="T3202" i="5" a="1"/>
  <c r="T3202" i="5" s="1"/>
  <c r="T3203" i="5" a="1"/>
  <c r="T3203" i="5" s="1"/>
  <c r="T3204" i="5" a="1"/>
  <c r="T3204" i="5" s="1"/>
  <c r="U3204" i="5" s="1"/>
  <c r="W3204" i="5" s="1"/>
  <c r="T3205" i="5" a="1"/>
  <c r="T3205" i="5" s="1"/>
  <c r="T3206" i="5" a="1"/>
  <c r="T3206" i="5" s="1"/>
  <c r="U3206" i="5" s="1"/>
  <c r="T3207" i="5" a="1"/>
  <c r="T3207" i="5" s="1"/>
  <c r="U3207" i="5" s="1"/>
  <c r="W3207" i="5" s="1"/>
  <c r="T3208" i="5" a="1"/>
  <c r="T3208" i="5" s="1"/>
  <c r="T3209" i="5" a="1"/>
  <c r="T3209" i="5" s="1"/>
  <c r="T3210" i="5" a="1"/>
  <c r="T3210" i="5" s="1"/>
  <c r="T3211" i="5" a="1"/>
  <c r="T3211" i="5" s="1"/>
  <c r="T3212" i="5" a="1"/>
  <c r="T3212" i="5" s="1"/>
  <c r="U3212" i="5" s="1"/>
  <c r="W3212" i="5" s="1"/>
  <c r="T3213" i="5" a="1"/>
  <c r="T3213" i="5" s="1"/>
  <c r="T3214" i="5" a="1"/>
  <c r="T3214" i="5" s="1"/>
  <c r="U3214" i="5" s="1"/>
  <c r="T3215" i="5" a="1"/>
  <c r="T3215" i="5" s="1"/>
  <c r="U3215" i="5" s="1"/>
  <c r="W3215" i="5" s="1"/>
  <c r="T3216" i="5" a="1"/>
  <c r="T3216" i="5" s="1"/>
  <c r="T3217" i="5" a="1"/>
  <c r="T3217" i="5" s="1"/>
  <c r="T3218" i="5" a="1"/>
  <c r="T3218" i="5" s="1"/>
  <c r="T3219" i="5" a="1"/>
  <c r="T3219" i="5" s="1"/>
  <c r="T3220" i="5" a="1"/>
  <c r="T3220" i="5" s="1"/>
  <c r="U3220" i="5" s="1"/>
  <c r="W3220" i="5" s="1"/>
  <c r="T3221" i="5" a="1"/>
  <c r="T3221" i="5" s="1"/>
  <c r="T3222" i="5" a="1"/>
  <c r="T3222" i="5" s="1"/>
  <c r="U3222" i="5" s="1"/>
  <c r="T3223" i="5" a="1"/>
  <c r="T3223" i="5" s="1"/>
  <c r="U3223" i="5" s="1"/>
  <c r="W3223" i="5" s="1"/>
  <c r="T3224" i="5" a="1"/>
  <c r="T3224" i="5" s="1"/>
  <c r="T3225" i="5" a="1"/>
  <c r="T3225" i="5" s="1"/>
  <c r="T3226" i="5" a="1"/>
  <c r="T3226" i="5" s="1"/>
  <c r="T3227" i="5" a="1"/>
  <c r="T3227" i="5" s="1"/>
  <c r="T3228" i="5" a="1"/>
  <c r="T3228" i="5" s="1"/>
  <c r="T3229" i="5" a="1"/>
  <c r="T3229" i="5" s="1"/>
  <c r="T3230" i="5" a="1"/>
  <c r="T3230" i="5" s="1"/>
  <c r="U3230" i="5" s="1"/>
  <c r="T3231" i="5" a="1"/>
  <c r="T3231" i="5" s="1"/>
  <c r="U3231" i="5" s="1"/>
  <c r="W3231" i="5" s="1"/>
  <c r="T3232" i="5" a="1"/>
  <c r="T3232" i="5" s="1"/>
  <c r="U3232" i="5" s="1"/>
  <c r="T3233" i="5" a="1"/>
  <c r="T3233" i="5" s="1"/>
  <c r="T3234" i="5" a="1"/>
  <c r="T3234" i="5" s="1"/>
  <c r="T3235" i="5" a="1"/>
  <c r="T3235" i="5" s="1"/>
  <c r="T3236" i="5" a="1"/>
  <c r="T3236" i="5" s="1"/>
  <c r="U3236" i="5" s="1"/>
  <c r="W3236" i="5" s="1"/>
  <c r="T3237" i="5" a="1"/>
  <c r="T3237" i="5" s="1"/>
  <c r="T3238" i="5" a="1"/>
  <c r="T3238" i="5" s="1"/>
  <c r="U3238" i="5" s="1"/>
  <c r="T3239" i="5" a="1"/>
  <c r="T3239" i="5" s="1"/>
  <c r="U3239" i="5" s="1"/>
  <c r="W3239" i="5" s="1"/>
  <c r="T3240" i="5" a="1"/>
  <c r="T3240" i="5" s="1"/>
  <c r="T3241" i="5" a="1"/>
  <c r="T3241" i="5" s="1"/>
  <c r="U3241" i="5" s="1"/>
  <c r="T3242" i="5" a="1"/>
  <c r="T3242" i="5" s="1"/>
  <c r="T3243" i="5" a="1"/>
  <c r="T3243" i="5" s="1"/>
  <c r="T3244" i="5" a="1"/>
  <c r="T3244" i="5" s="1"/>
  <c r="U3244" i="5" s="1"/>
  <c r="W3244" i="5" s="1"/>
  <c r="T3245" i="5" a="1"/>
  <c r="T3245" i="5" s="1"/>
  <c r="T3246" i="5" a="1"/>
  <c r="T3246" i="5" s="1"/>
  <c r="U3246" i="5" s="1"/>
  <c r="T3247" i="5" a="1"/>
  <c r="T3247" i="5" s="1"/>
  <c r="U3247" i="5" s="1"/>
  <c r="W3247" i="5" s="1"/>
  <c r="T3248" i="5" a="1"/>
  <c r="T3248" i="5" s="1"/>
  <c r="T3249" i="5" a="1"/>
  <c r="T3249" i="5" s="1"/>
  <c r="T3250" i="5" a="1"/>
  <c r="T3250" i="5" s="1"/>
  <c r="T3251" i="5" a="1"/>
  <c r="T3251" i="5" s="1"/>
  <c r="T3252" i="5" a="1"/>
  <c r="T3252" i="5" s="1"/>
  <c r="U3252" i="5" s="1"/>
  <c r="W3252" i="5" s="1"/>
  <c r="T3253" i="5" a="1"/>
  <c r="T3253" i="5" s="1"/>
  <c r="T3254" i="5" a="1"/>
  <c r="T3254" i="5" s="1"/>
  <c r="U3254" i="5" s="1"/>
  <c r="T3255" i="5" a="1"/>
  <c r="T3255" i="5" s="1"/>
  <c r="U3255" i="5" s="1"/>
  <c r="W3255" i="5" s="1"/>
  <c r="T3256" i="5" a="1"/>
  <c r="T3256" i="5" s="1"/>
  <c r="T3257" i="5" a="1"/>
  <c r="T3257" i="5" s="1"/>
  <c r="T3258" i="5" a="1"/>
  <c r="T3258" i="5" s="1"/>
  <c r="T3259" i="5" a="1"/>
  <c r="T3259" i="5" s="1"/>
  <c r="T3260" i="5" a="1"/>
  <c r="T3260" i="5" s="1"/>
  <c r="U3260" i="5" s="1"/>
  <c r="W3260" i="5" s="1"/>
  <c r="T3261" i="5" a="1"/>
  <c r="T3261" i="5" s="1"/>
  <c r="T3262" i="5" a="1"/>
  <c r="T3262" i="5" s="1"/>
  <c r="U3262" i="5" s="1"/>
  <c r="T3263" i="5" a="1"/>
  <c r="T3263" i="5" s="1"/>
  <c r="U3263" i="5" s="1"/>
  <c r="W3263" i="5" s="1"/>
  <c r="T3264" i="5" a="1"/>
  <c r="T3264" i="5" s="1"/>
  <c r="T3265" i="5" a="1"/>
  <c r="T3265" i="5" s="1"/>
  <c r="U3265" i="5" s="1"/>
  <c r="T3266" i="5" a="1"/>
  <c r="T3266" i="5" s="1"/>
  <c r="T3267" i="5" a="1"/>
  <c r="T3267" i="5" s="1"/>
  <c r="T3268" i="5" a="1"/>
  <c r="T3268" i="5" s="1"/>
  <c r="U3268" i="5" s="1"/>
  <c r="W3268" i="5" s="1"/>
  <c r="T3269" i="5" a="1"/>
  <c r="T3269" i="5" s="1"/>
  <c r="T3270" i="5" a="1"/>
  <c r="T3270" i="5" s="1"/>
  <c r="U3270" i="5" s="1"/>
  <c r="T3271" i="5" a="1"/>
  <c r="T3271" i="5" s="1"/>
  <c r="U3271" i="5" s="1"/>
  <c r="W3271" i="5" s="1"/>
  <c r="T3272" i="5" a="1"/>
  <c r="T3272" i="5" s="1"/>
  <c r="U3272" i="5" s="1"/>
  <c r="T3273" i="5" a="1"/>
  <c r="T3273" i="5" s="1"/>
  <c r="T3274" i="5" a="1"/>
  <c r="T3274" i="5" s="1"/>
  <c r="T3275" i="5" a="1"/>
  <c r="T3275" i="5" s="1"/>
  <c r="T3276" i="5" a="1"/>
  <c r="T3276" i="5" s="1"/>
  <c r="U3276" i="5" s="1"/>
  <c r="W3276" i="5" s="1"/>
  <c r="T3277" i="5" a="1"/>
  <c r="T3277" i="5" s="1"/>
  <c r="T3278" i="5" a="1"/>
  <c r="T3278" i="5" s="1"/>
  <c r="U3278" i="5" s="1"/>
  <c r="T3279" i="5" a="1"/>
  <c r="T3279" i="5" s="1"/>
  <c r="U3279" i="5" s="1"/>
  <c r="W3279" i="5" s="1"/>
  <c r="T3280" i="5" a="1"/>
  <c r="T3280" i="5" s="1"/>
  <c r="T3281" i="5" a="1"/>
  <c r="T3281" i="5" s="1"/>
  <c r="T3282" i="5" a="1"/>
  <c r="T3282" i="5" s="1"/>
  <c r="U3282" i="5" s="1"/>
  <c r="T3283" i="5" a="1"/>
  <c r="T3283" i="5" s="1"/>
  <c r="T3284" i="5" a="1"/>
  <c r="T3284" i="5" s="1"/>
  <c r="U3284" i="5" s="1"/>
  <c r="W3284" i="5" s="1"/>
  <c r="T3285" i="5" a="1"/>
  <c r="T3285" i="5" s="1"/>
  <c r="T3286" i="5" a="1"/>
  <c r="T3286" i="5" s="1"/>
  <c r="U3286" i="5" s="1"/>
  <c r="T3287" i="5" a="1"/>
  <c r="T3287" i="5" s="1"/>
  <c r="U3287" i="5" s="1"/>
  <c r="W3287" i="5" s="1"/>
  <c r="T3288" i="5" a="1"/>
  <c r="T3288" i="5" s="1"/>
  <c r="T3289" i="5" a="1"/>
  <c r="T3289" i="5" s="1"/>
  <c r="T3290" i="5" a="1"/>
  <c r="T3290" i="5" s="1"/>
  <c r="T3291" i="5" a="1"/>
  <c r="T3291" i="5" s="1"/>
  <c r="T3292" i="5" a="1"/>
  <c r="T3292" i="5" s="1"/>
  <c r="U3292" i="5" s="1"/>
  <c r="W3292" i="5" s="1"/>
  <c r="T3293" i="5" a="1"/>
  <c r="T3293" i="5" s="1"/>
  <c r="T3294" i="5" a="1"/>
  <c r="T3294" i="5" s="1"/>
  <c r="U3294" i="5" s="1"/>
  <c r="T3295" i="5" a="1"/>
  <c r="T3295" i="5" s="1"/>
  <c r="U3295" i="5" s="1"/>
  <c r="W3295" i="5" s="1"/>
  <c r="T3296" i="5" a="1"/>
  <c r="T3296" i="5" s="1"/>
  <c r="T3297" i="5" a="1"/>
  <c r="T3297" i="5" s="1"/>
  <c r="T3298" i="5" a="1"/>
  <c r="T3298" i="5" s="1"/>
  <c r="T3299" i="5" a="1"/>
  <c r="T3299" i="5" s="1"/>
  <c r="T3300" i="5" a="1"/>
  <c r="T3300" i="5" s="1"/>
  <c r="U3300" i="5" s="1"/>
  <c r="W3300" i="5" s="1"/>
  <c r="T3301" i="5" a="1"/>
  <c r="T3301" i="5" s="1"/>
  <c r="T3302" i="5" a="1"/>
  <c r="T3302" i="5" s="1"/>
  <c r="U3302" i="5" s="1"/>
  <c r="T3303" i="5" a="1"/>
  <c r="T3303" i="5" s="1"/>
  <c r="U3303" i="5" s="1"/>
  <c r="W3303" i="5" s="1"/>
  <c r="T3304" i="5" a="1"/>
  <c r="T3304" i="5" s="1"/>
  <c r="T3305" i="5" a="1"/>
  <c r="T3305" i="5" s="1"/>
  <c r="T3306" i="5" a="1"/>
  <c r="T3306" i="5" s="1"/>
  <c r="T3307" i="5" a="1"/>
  <c r="T3307" i="5" s="1"/>
  <c r="T3308" i="5" a="1"/>
  <c r="T3308" i="5" s="1"/>
  <c r="T3309" i="5" a="1"/>
  <c r="T3309" i="5" s="1"/>
  <c r="T3310" i="5" a="1"/>
  <c r="T3310" i="5" s="1"/>
  <c r="U3310" i="5" s="1"/>
  <c r="T3311" i="5" a="1"/>
  <c r="T3311" i="5" s="1"/>
  <c r="T3312" i="5" a="1"/>
  <c r="T3312" i="5" s="1"/>
  <c r="T3313" i="5" a="1"/>
  <c r="T3313" i="5" s="1"/>
  <c r="T3314" i="5" a="1"/>
  <c r="T3314" i="5" s="1"/>
  <c r="T3315" i="5" a="1"/>
  <c r="T3315" i="5" s="1"/>
  <c r="T3316" i="5" a="1"/>
  <c r="T3316" i="5" s="1"/>
  <c r="U3316" i="5" s="1"/>
  <c r="W3316" i="5" s="1"/>
  <c r="T3317" i="5" a="1"/>
  <c r="T3317" i="5" s="1"/>
  <c r="T3318" i="5" a="1"/>
  <c r="T3318" i="5" s="1"/>
  <c r="U3318" i="5" s="1"/>
  <c r="T3319" i="5" a="1"/>
  <c r="T3319" i="5" s="1"/>
  <c r="U3319" i="5" s="1"/>
  <c r="W3319" i="5" s="1"/>
  <c r="T3320" i="5" a="1"/>
  <c r="T3320" i="5" s="1"/>
  <c r="T3321" i="5" a="1"/>
  <c r="T3321" i="5" s="1"/>
  <c r="T3322" i="5" a="1"/>
  <c r="T3322" i="5" s="1"/>
  <c r="T3323" i="5" a="1"/>
  <c r="T3323" i="5" s="1"/>
  <c r="T3324" i="5" a="1"/>
  <c r="T3324" i="5" s="1"/>
  <c r="U3324" i="5" s="1"/>
  <c r="W3324" i="5" s="1"/>
  <c r="T3325" i="5" a="1"/>
  <c r="T3325" i="5" s="1"/>
  <c r="T3326" i="5" a="1"/>
  <c r="T3326" i="5" s="1"/>
  <c r="U3326" i="5" s="1"/>
  <c r="T3327" i="5" a="1"/>
  <c r="T3327" i="5" s="1"/>
  <c r="U3327" i="5" s="1"/>
  <c r="W3327" i="5" s="1"/>
  <c r="T3338" i="5" a="1"/>
  <c r="T3338" i="5" s="1"/>
  <c r="T3339" i="5" a="1"/>
  <c r="T3339" i="5" s="1"/>
  <c r="T3340" i="5" a="1"/>
  <c r="T3340" i="5" s="1"/>
  <c r="T3341" i="5" a="1"/>
  <c r="T3341" i="5" s="1"/>
  <c r="T3342" i="5" a="1"/>
  <c r="T3342" i="5" s="1"/>
  <c r="U3342" i="5" s="1"/>
  <c r="W3342" i="5" s="1"/>
  <c r="T3343" i="5" a="1"/>
  <c r="T3343" i="5" s="1"/>
  <c r="T3344" i="5" a="1"/>
  <c r="T3344" i="5" s="1"/>
  <c r="U3344" i="5" s="1"/>
  <c r="T3345" i="5" a="1"/>
  <c r="T3345" i="5" s="1"/>
  <c r="U3345" i="5" s="1"/>
  <c r="T3346" i="5" a="1"/>
  <c r="T3346" i="5" s="1"/>
  <c r="T3347" i="5" a="1"/>
  <c r="T3347" i="5" s="1"/>
  <c r="T3348" i="5" a="1"/>
  <c r="T3348" i="5" s="1"/>
  <c r="T3349" i="5" a="1"/>
  <c r="T3349" i="5" s="1"/>
  <c r="T3350" i="5" a="1"/>
  <c r="T3350" i="5" s="1"/>
  <c r="U3350" i="5" s="1"/>
  <c r="W3350" i="5" s="1"/>
  <c r="T3351" i="5" a="1"/>
  <c r="T3351" i="5" s="1"/>
  <c r="T3352" i="5" a="1"/>
  <c r="T3352" i="5" s="1"/>
  <c r="U3352" i="5" s="1"/>
  <c r="T3353" i="5" a="1"/>
  <c r="T3353" i="5" s="1"/>
  <c r="U3353" i="5" s="1"/>
  <c r="T3354" i="5" a="1"/>
  <c r="T3354" i="5" s="1"/>
  <c r="T3355" i="5" a="1"/>
  <c r="T3355" i="5" s="1"/>
  <c r="T3356" i="5" a="1"/>
  <c r="T3356" i="5" s="1"/>
  <c r="T3357" i="5" a="1"/>
  <c r="T3357" i="5" s="1"/>
  <c r="T3358" i="5" a="1"/>
  <c r="T3358" i="5" s="1"/>
  <c r="U3358" i="5" s="1"/>
  <c r="W3358" i="5" s="1"/>
  <c r="T3359" i="5" a="1"/>
  <c r="T3359" i="5" s="1"/>
  <c r="T3360" i="5" a="1"/>
  <c r="T3360" i="5" s="1"/>
  <c r="U3360" i="5" s="1"/>
  <c r="T3361" i="5" a="1"/>
  <c r="T3361" i="5" s="1"/>
  <c r="U3361" i="5" s="1"/>
  <c r="T3362" i="5" a="1"/>
  <c r="T3362" i="5" s="1"/>
  <c r="T3363" i="5" a="1"/>
  <c r="T3363" i="5" s="1"/>
  <c r="T3364" i="5" a="1"/>
  <c r="T3364" i="5" s="1"/>
  <c r="T3365" i="5" a="1"/>
  <c r="T3365" i="5" s="1"/>
  <c r="T3366" i="5" a="1"/>
  <c r="T3366" i="5" s="1"/>
  <c r="U3366" i="5" s="1"/>
  <c r="W3366" i="5" s="1"/>
  <c r="T3367" i="5" a="1"/>
  <c r="T3367" i="5" s="1"/>
  <c r="T3368" i="5" a="1"/>
  <c r="T3368" i="5" s="1"/>
  <c r="U3368" i="5" s="1"/>
  <c r="T3369" i="5" a="1"/>
  <c r="T3369" i="5" s="1"/>
  <c r="U3369" i="5" s="1"/>
  <c r="T3370" i="5" a="1"/>
  <c r="T3370" i="5" s="1"/>
  <c r="T3371" i="5" a="1"/>
  <c r="T3371" i="5" s="1"/>
  <c r="T3372" i="5" a="1"/>
  <c r="T3372" i="5" s="1"/>
  <c r="T3373" i="5" a="1"/>
  <c r="T3373" i="5" s="1"/>
  <c r="T3374" i="5" a="1"/>
  <c r="T3374" i="5" s="1"/>
  <c r="U3374" i="5" s="1"/>
  <c r="W3374" i="5" s="1"/>
  <c r="T3375" i="5" a="1"/>
  <c r="T3375" i="5" s="1"/>
  <c r="T3376" i="5" a="1"/>
  <c r="T3376" i="5" s="1"/>
  <c r="U3376" i="5" s="1"/>
  <c r="T3377" i="5" a="1"/>
  <c r="T3377" i="5" s="1"/>
  <c r="U3377" i="5" s="1"/>
  <c r="T3378" i="5" a="1"/>
  <c r="T3378" i="5" s="1"/>
  <c r="T3379" i="5" a="1"/>
  <c r="T3379" i="5" s="1"/>
  <c r="T3380" i="5" a="1"/>
  <c r="T3380" i="5" s="1"/>
  <c r="T3381" i="5" a="1"/>
  <c r="T3381" i="5" s="1"/>
  <c r="U3381" i="5" s="1"/>
  <c r="T3382" i="5" a="1"/>
  <c r="T3382" i="5" s="1"/>
  <c r="T3383" i="5" a="1"/>
  <c r="T3383" i="5" s="1"/>
  <c r="T3384" i="5" a="1"/>
  <c r="T3384" i="5" s="1"/>
  <c r="U3384" i="5" s="1"/>
  <c r="T3385" i="5" a="1"/>
  <c r="T3385" i="5" s="1"/>
  <c r="T3386" i="5" a="1"/>
  <c r="T3386" i="5" s="1"/>
  <c r="T3387" i="5" a="1"/>
  <c r="T3387" i="5" s="1"/>
  <c r="T3388" i="5" a="1"/>
  <c r="T3388" i="5" s="1"/>
  <c r="T3389" i="5" a="1"/>
  <c r="T3389" i="5" s="1"/>
  <c r="T3390" i="5" a="1"/>
  <c r="T3390" i="5" s="1"/>
  <c r="U3390" i="5" s="1"/>
  <c r="W3390" i="5" s="1"/>
  <c r="T3391" i="5" a="1"/>
  <c r="T3391" i="5" s="1"/>
  <c r="T3392" i="5" a="1"/>
  <c r="T3392" i="5" s="1"/>
  <c r="U3392" i="5" s="1"/>
  <c r="T3393" i="5" a="1"/>
  <c r="T3393" i="5" s="1"/>
  <c r="U3393" i="5" s="1"/>
  <c r="T3394" i="5" a="1"/>
  <c r="T3394" i="5" s="1"/>
  <c r="T3395" i="5" a="1"/>
  <c r="T3395" i="5" s="1"/>
  <c r="T3396" i="5" a="1"/>
  <c r="T3396" i="5" s="1"/>
  <c r="T3397" i="5" a="1"/>
  <c r="T3397" i="5" s="1"/>
  <c r="T3398" i="5" a="1"/>
  <c r="T3398" i="5" s="1"/>
  <c r="U3398" i="5" s="1"/>
  <c r="W3398" i="5" s="1"/>
  <c r="T3399" i="5" a="1"/>
  <c r="T3399" i="5" s="1"/>
  <c r="T3400" i="5" a="1"/>
  <c r="T3400" i="5" s="1"/>
  <c r="U3400" i="5" s="1"/>
  <c r="T3401" i="5" a="1"/>
  <c r="T3401" i="5" s="1"/>
  <c r="U3401" i="5" s="1"/>
  <c r="T3402" i="5" a="1"/>
  <c r="T3402" i="5" s="1"/>
  <c r="T3403" i="5" a="1"/>
  <c r="T3403" i="5" s="1"/>
  <c r="T3404" i="5" a="1"/>
  <c r="T3404" i="5" s="1"/>
  <c r="T3405" i="5" a="1"/>
  <c r="T3405" i="5" s="1"/>
  <c r="T3406" i="5" a="1"/>
  <c r="T3406" i="5" s="1"/>
  <c r="U3406" i="5" s="1"/>
  <c r="W3406" i="5" s="1"/>
  <c r="T3407" i="5" a="1"/>
  <c r="T3407" i="5" s="1"/>
  <c r="T3408" i="5" a="1"/>
  <c r="T3408" i="5" s="1"/>
  <c r="U3408" i="5" s="1"/>
  <c r="T3409" i="5" a="1"/>
  <c r="T3409" i="5" s="1"/>
  <c r="U3409" i="5" s="1"/>
  <c r="T3410" i="5" a="1"/>
  <c r="T3410" i="5" s="1"/>
  <c r="T3411" i="5" a="1"/>
  <c r="T3411" i="5" s="1"/>
  <c r="T3412" i="5" a="1"/>
  <c r="T3412" i="5" s="1"/>
  <c r="T3413" i="5" a="1"/>
  <c r="T3413" i="5" s="1"/>
  <c r="T3414" i="5" a="1"/>
  <c r="T3414" i="5" s="1"/>
  <c r="T3415" i="5" a="1"/>
  <c r="T3415" i="5" s="1"/>
  <c r="T3416" i="5" a="1"/>
  <c r="T3416" i="5" s="1"/>
  <c r="U3416" i="5" s="1"/>
  <c r="T3417" i="5" a="1"/>
  <c r="T3417" i="5" s="1"/>
  <c r="U3417" i="5" s="1"/>
  <c r="T3418" i="5" a="1"/>
  <c r="T3418" i="5" s="1"/>
  <c r="T3419" i="5" a="1"/>
  <c r="T3419" i="5" s="1"/>
  <c r="T3420" i="5" a="1"/>
  <c r="T3420" i="5" s="1"/>
  <c r="T3421" i="5" a="1"/>
  <c r="T3421" i="5" s="1"/>
  <c r="U3421" i="5" s="1"/>
  <c r="T3422" i="5" a="1"/>
  <c r="T3422" i="5" s="1"/>
  <c r="U3422" i="5" s="1"/>
  <c r="W3422" i="5" s="1"/>
  <c r="T3423" i="5" a="1"/>
  <c r="T3423" i="5" s="1"/>
  <c r="T3424" i="5" a="1"/>
  <c r="T3424" i="5" s="1"/>
  <c r="U3424" i="5" s="1"/>
  <c r="T3425" i="5" a="1"/>
  <c r="T3425" i="5" s="1"/>
  <c r="T3426" i="5" a="1"/>
  <c r="T3426" i="5" s="1"/>
  <c r="T3427" i="5" a="1"/>
  <c r="T3427" i="5" s="1"/>
  <c r="T3428" i="5" a="1"/>
  <c r="T3428" i="5" s="1"/>
  <c r="U3428" i="5" s="1"/>
  <c r="T3429" i="5" a="1"/>
  <c r="T3429" i="5" s="1"/>
  <c r="T3430" i="5" a="1"/>
  <c r="T3430" i="5" s="1"/>
  <c r="U3430" i="5" s="1"/>
  <c r="T3431" i="5" a="1"/>
  <c r="T3431" i="5" s="1"/>
  <c r="T3432" i="5" a="1"/>
  <c r="T3432" i="5" s="1"/>
  <c r="U3432" i="5" s="1"/>
  <c r="T3433" i="5" a="1"/>
  <c r="T3433" i="5" s="1"/>
  <c r="U3433" i="5" s="1"/>
  <c r="T3434" i="5" a="1"/>
  <c r="T3434" i="5" s="1"/>
  <c r="T3435" i="5" a="1"/>
  <c r="T3435" i="5" s="1"/>
  <c r="T3436" i="5" a="1"/>
  <c r="T3436" i="5" s="1"/>
  <c r="T3437" i="5" a="1"/>
  <c r="T3437" i="5" s="1"/>
  <c r="T3438" i="5" a="1"/>
  <c r="T3438" i="5" s="1"/>
  <c r="T3439" i="5" a="1"/>
  <c r="T3439" i="5" s="1"/>
  <c r="T3440" i="5" a="1"/>
  <c r="T3440" i="5" s="1"/>
  <c r="U3440" i="5" s="1"/>
  <c r="T3441" i="5" a="1"/>
  <c r="T3441" i="5" s="1"/>
  <c r="U3441" i="5" s="1"/>
  <c r="T3442" i="5" a="1"/>
  <c r="T3442" i="5" s="1"/>
  <c r="T3443" i="5" a="1"/>
  <c r="T3443" i="5" s="1"/>
  <c r="T3444" i="5" a="1"/>
  <c r="T3444" i="5" s="1"/>
  <c r="T3445" i="5" a="1"/>
  <c r="T3445" i="5" s="1"/>
  <c r="T3446" i="5" a="1"/>
  <c r="T3446" i="5" s="1"/>
  <c r="U3446" i="5" s="1"/>
  <c r="T3447" i="5" a="1"/>
  <c r="T3447" i="5" s="1"/>
  <c r="T3448" i="5" a="1"/>
  <c r="T3448" i="5" s="1"/>
  <c r="U3448" i="5" s="1"/>
  <c r="T3449" i="5" a="1"/>
  <c r="T3449" i="5" s="1"/>
  <c r="T3450" i="5" a="1"/>
  <c r="T3450" i="5" s="1"/>
  <c r="T3451" i="5" a="1"/>
  <c r="T3451" i="5" s="1"/>
  <c r="T3452" i="5" a="1"/>
  <c r="T3452" i="5" s="1"/>
  <c r="T3453" i="5" a="1"/>
  <c r="T3453" i="5" s="1"/>
  <c r="T3454" i="5" a="1"/>
  <c r="T3454" i="5" s="1"/>
  <c r="U3454" i="5" s="1"/>
  <c r="T3455" i="5" a="1"/>
  <c r="T3455" i="5" s="1"/>
  <c r="T3456" i="5" a="1"/>
  <c r="T3456" i="5" s="1"/>
  <c r="U3456" i="5" s="1"/>
  <c r="T3457" i="5" a="1"/>
  <c r="T3457" i="5" s="1"/>
  <c r="U3457" i="5" s="1"/>
  <c r="T3458" i="5" a="1"/>
  <c r="T3458" i="5" s="1"/>
  <c r="T3459" i="5" a="1"/>
  <c r="T3459" i="5" s="1"/>
  <c r="T3460" i="5" a="1"/>
  <c r="T3460" i="5" s="1"/>
  <c r="T3461" i="5" a="1"/>
  <c r="T3461" i="5" s="1"/>
  <c r="T3462" i="5" a="1"/>
  <c r="T3462" i="5" s="1"/>
  <c r="U3462" i="5" s="1"/>
  <c r="W3462" i="5" s="1"/>
  <c r="T3463" i="5" a="1"/>
  <c r="T3463" i="5" s="1"/>
  <c r="T3464" i="5" a="1"/>
  <c r="T3464" i="5" s="1"/>
  <c r="U3464" i="5" s="1"/>
  <c r="T3465" i="5" a="1"/>
  <c r="T3465" i="5" s="1"/>
  <c r="U3465" i="5" s="1"/>
  <c r="T3466" i="5" a="1"/>
  <c r="T3466" i="5" s="1"/>
  <c r="T3467" i="5" a="1"/>
  <c r="T3467" i="5" s="1"/>
  <c r="T3468" i="5" a="1"/>
  <c r="T3468" i="5" s="1"/>
  <c r="T3469" i="5" a="1"/>
  <c r="T3469" i="5" s="1"/>
  <c r="T3470" i="5" a="1"/>
  <c r="T3470" i="5" s="1"/>
  <c r="U3470" i="5" s="1"/>
  <c r="W3470" i="5" s="1"/>
  <c r="T3471" i="5" a="1"/>
  <c r="T3471" i="5" s="1"/>
  <c r="T3472" i="5" a="1"/>
  <c r="T3472" i="5" s="1"/>
  <c r="U3472" i="5" s="1"/>
  <c r="T3473" i="5" a="1"/>
  <c r="T3473" i="5" s="1"/>
  <c r="U3473" i="5" s="1"/>
  <c r="T3474" i="5" a="1"/>
  <c r="T3474" i="5" s="1"/>
  <c r="T3475" i="5" a="1"/>
  <c r="T3475" i="5" s="1"/>
  <c r="T3476" i="5" a="1"/>
  <c r="T3476" i="5" s="1"/>
  <c r="T3477" i="5" a="1"/>
  <c r="T3477" i="5" s="1"/>
  <c r="T3478" i="5" a="1"/>
  <c r="T3478" i="5" s="1"/>
  <c r="U3478" i="5" s="1"/>
  <c r="W3478" i="5" s="1"/>
  <c r="T3479" i="5" a="1"/>
  <c r="T3479" i="5" s="1"/>
  <c r="T3480" i="5" a="1"/>
  <c r="T3480" i="5" s="1"/>
  <c r="U3480" i="5" s="1"/>
  <c r="T3481" i="5" a="1"/>
  <c r="T3481" i="5" s="1"/>
  <c r="U3481" i="5" s="1"/>
  <c r="T3482" i="5" a="1"/>
  <c r="T3482" i="5" s="1"/>
  <c r="T3483" i="5" a="1"/>
  <c r="T3483" i="5" s="1"/>
  <c r="T3484" i="5" a="1"/>
  <c r="T3484" i="5" s="1"/>
  <c r="T3485" i="5" a="1"/>
  <c r="T3485" i="5" s="1"/>
  <c r="T3486" i="5" a="1"/>
  <c r="T3486" i="5" s="1"/>
  <c r="U3486" i="5" s="1"/>
  <c r="W3486" i="5" s="1"/>
  <c r="T3487" i="5" a="1"/>
  <c r="T3487" i="5" s="1"/>
  <c r="T3488" i="5" a="1"/>
  <c r="T3488" i="5" s="1"/>
  <c r="U3488" i="5" s="1"/>
  <c r="T3489" i="5" a="1"/>
  <c r="T3489" i="5" s="1"/>
  <c r="U3489" i="5" s="1"/>
  <c r="T3490" i="5" a="1"/>
  <c r="T3490" i="5" s="1"/>
  <c r="T3491" i="5" a="1"/>
  <c r="T3491" i="5" s="1"/>
  <c r="T3492" i="5" a="1"/>
  <c r="T3492" i="5" s="1"/>
  <c r="T3493" i="5" a="1"/>
  <c r="T3493" i="5" s="1"/>
  <c r="T3494" i="5" a="1"/>
  <c r="T3494" i="5" s="1"/>
  <c r="U3494" i="5" s="1"/>
  <c r="W3494" i="5" s="1"/>
  <c r="T3495" i="5" a="1"/>
  <c r="T3495" i="5" s="1"/>
  <c r="T3496" i="5" a="1"/>
  <c r="T3496" i="5" s="1"/>
  <c r="U3496" i="5" s="1"/>
  <c r="T3497" i="5" a="1"/>
  <c r="T3497" i="5" s="1"/>
  <c r="U3497" i="5" s="1"/>
  <c r="T3498" i="5" a="1"/>
  <c r="T3498" i="5" s="1"/>
  <c r="T3499" i="5" a="1"/>
  <c r="T3499" i="5" s="1"/>
  <c r="T3500" i="5" a="1"/>
  <c r="T3500" i="5" s="1"/>
  <c r="T3501" i="5" a="1"/>
  <c r="T3501" i="5" s="1"/>
  <c r="T3502" i="5" a="1"/>
  <c r="T3502" i="5" s="1"/>
  <c r="T3503" i="5" a="1"/>
  <c r="T3503" i="5" s="1"/>
  <c r="T3504" i="5" a="1"/>
  <c r="T3504" i="5" s="1"/>
  <c r="U3504" i="5" s="1"/>
  <c r="T3505" i="5" a="1"/>
  <c r="T3505" i="5" s="1"/>
  <c r="U3505" i="5" s="1"/>
  <c r="T3506" i="5" a="1"/>
  <c r="T3506" i="5" s="1"/>
  <c r="T3507" i="5" a="1"/>
  <c r="T3507" i="5" s="1"/>
  <c r="T3508" i="5" a="1"/>
  <c r="T3508" i="5" s="1"/>
  <c r="U3508" i="5" s="1"/>
  <c r="T3509" i="5" a="1"/>
  <c r="T3509" i="5" s="1"/>
  <c r="U3509" i="5" s="1"/>
  <c r="T3510" i="5" a="1"/>
  <c r="T3510" i="5" s="1"/>
  <c r="U3510" i="5" s="1"/>
  <c r="T3511" i="5" a="1"/>
  <c r="T3511" i="5" s="1"/>
  <c r="U3511" i="5" s="1"/>
  <c r="T3512" i="5" a="1"/>
  <c r="T3512" i="5" s="1"/>
  <c r="U3512" i="5" s="1"/>
  <c r="T3513" i="5" a="1"/>
  <c r="T3513" i="5" s="1"/>
  <c r="U3513" i="5" s="1"/>
  <c r="T3514" i="5" a="1"/>
  <c r="T3514" i="5" s="1"/>
  <c r="U3514" i="5" s="1"/>
  <c r="T3515" i="5" a="1"/>
  <c r="T3515" i="5" s="1"/>
  <c r="U3515" i="5" s="1"/>
  <c r="T3516" i="5" a="1"/>
  <c r="T3516" i="5" s="1"/>
  <c r="U3516" i="5" s="1"/>
  <c r="T3517" i="5" a="1"/>
  <c r="T3517" i="5" s="1"/>
  <c r="U3517" i="5" s="1"/>
  <c r="T3518" i="5" a="1"/>
  <c r="T3518" i="5" s="1"/>
  <c r="U3518" i="5" s="1"/>
  <c r="T3519" i="5" a="1"/>
  <c r="T3519" i="5" s="1"/>
  <c r="U3519" i="5" s="1"/>
  <c r="T3520" i="5" a="1"/>
  <c r="T3520" i="5" s="1"/>
  <c r="U3520" i="5" s="1"/>
  <c r="T3521" i="5" a="1"/>
  <c r="T3521" i="5" s="1"/>
  <c r="U3521" i="5" s="1"/>
  <c r="T3522" i="5" a="1"/>
  <c r="T3522" i="5" s="1"/>
  <c r="U3522" i="5" s="1"/>
  <c r="T3523" i="5" a="1"/>
  <c r="T3523" i="5" s="1"/>
  <c r="U3523" i="5" s="1"/>
  <c r="T3524" i="5" a="1"/>
  <c r="T3524" i="5" s="1"/>
  <c r="U3524" i="5" s="1"/>
  <c r="T3525" i="5" a="1"/>
  <c r="T3525" i="5" s="1"/>
  <c r="U3525" i="5" s="1"/>
  <c r="T3526" i="5" a="1"/>
  <c r="T3526" i="5" s="1"/>
  <c r="U3526" i="5" s="1"/>
  <c r="T3527" i="5" a="1"/>
  <c r="T3527" i="5" s="1"/>
  <c r="U3527" i="5" s="1"/>
  <c r="T3528" i="5" a="1"/>
  <c r="T3528" i="5" s="1"/>
  <c r="U3528" i="5" s="1"/>
  <c r="T3529" i="5" a="1"/>
  <c r="T3529" i="5" s="1"/>
  <c r="U3529" i="5" s="1"/>
  <c r="T3530" i="5" a="1"/>
  <c r="T3530" i="5" s="1"/>
  <c r="U3530" i="5" s="1"/>
  <c r="T3531" i="5" a="1"/>
  <c r="T3531" i="5" s="1"/>
  <c r="U3531" i="5" s="1"/>
  <c r="T3532" i="5" a="1"/>
  <c r="T3532" i="5" s="1"/>
  <c r="U3532" i="5" s="1"/>
  <c r="T3533" i="5" a="1"/>
  <c r="T3533" i="5" s="1"/>
  <c r="U3533" i="5" s="1"/>
  <c r="T3534" i="5" a="1"/>
  <c r="T3534" i="5" s="1"/>
  <c r="U3534" i="5" s="1"/>
  <c r="T3535" i="5" a="1"/>
  <c r="T3535" i="5" s="1"/>
  <c r="U3535" i="5" s="1"/>
  <c r="T3536" i="5" a="1"/>
  <c r="T3536" i="5" s="1"/>
  <c r="U3536" i="5" s="1"/>
  <c r="T3537" i="5" a="1"/>
  <c r="T3537" i="5" s="1"/>
  <c r="U3537" i="5" s="1"/>
  <c r="T3538" i="5" a="1"/>
  <c r="T3538" i="5" s="1"/>
  <c r="U3538" i="5" s="1"/>
  <c r="T3539" i="5" a="1"/>
  <c r="T3539" i="5" s="1"/>
  <c r="U3539" i="5" s="1"/>
  <c r="T3540" i="5" a="1"/>
  <c r="T3540" i="5" s="1"/>
  <c r="U3540" i="5" s="1"/>
  <c r="T3541" i="5" a="1"/>
  <c r="T3541" i="5" s="1"/>
  <c r="U3541" i="5" s="1"/>
  <c r="T3542" i="5" a="1"/>
  <c r="T3542" i="5" s="1"/>
  <c r="U3542" i="5" s="1"/>
  <c r="T3543" i="5" a="1"/>
  <c r="T3543" i="5" s="1"/>
  <c r="U3543" i="5" s="1"/>
  <c r="T3544" i="5" a="1"/>
  <c r="T3544" i="5" s="1"/>
  <c r="U3544" i="5" s="1"/>
  <c r="T3545" i="5" a="1"/>
  <c r="T3545" i="5" s="1"/>
  <c r="U3545" i="5" s="1"/>
  <c r="T3546" i="5" a="1"/>
  <c r="T3546" i="5" s="1"/>
  <c r="U3546" i="5" s="1"/>
  <c r="T3547" i="5" a="1"/>
  <c r="T3547" i="5" s="1"/>
  <c r="U3547" i="5" s="1"/>
  <c r="T3548" i="5" a="1"/>
  <c r="T3548" i="5" s="1"/>
  <c r="U3548" i="5" s="1"/>
  <c r="T3549" i="5" a="1"/>
  <c r="T3549" i="5" s="1"/>
  <c r="U3549" i="5" s="1"/>
  <c r="T3550" i="5" a="1"/>
  <c r="T3550" i="5" s="1"/>
  <c r="U3550" i="5" s="1"/>
  <c r="T3551" i="5" a="1"/>
  <c r="T3551" i="5" s="1"/>
  <c r="U3551" i="5" s="1"/>
  <c r="T3552" i="5" a="1"/>
  <c r="T3552" i="5" s="1"/>
  <c r="U3552" i="5" s="1"/>
  <c r="T3553" i="5" a="1"/>
  <c r="T3553" i="5" s="1"/>
  <c r="U3553" i="5" s="1"/>
  <c r="T3554" i="5" a="1"/>
  <c r="T3554" i="5" s="1"/>
  <c r="U3554" i="5" s="1"/>
  <c r="T3555" i="5" a="1"/>
  <c r="T3555" i="5" s="1"/>
  <c r="U3555" i="5" s="1"/>
  <c r="T3556" i="5" a="1"/>
  <c r="T3556" i="5" s="1"/>
  <c r="U3556" i="5" s="1"/>
  <c r="T3557" i="5" a="1"/>
  <c r="T3557" i="5" s="1"/>
  <c r="U3557" i="5" s="1"/>
  <c r="T3558" i="5" a="1"/>
  <c r="T3558" i="5" s="1"/>
  <c r="U3558" i="5" s="1"/>
  <c r="T3559" i="5" a="1"/>
  <c r="T3559" i="5" s="1"/>
  <c r="U3559" i="5" s="1"/>
  <c r="T3560" i="5" a="1"/>
  <c r="T3560" i="5" s="1"/>
  <c r="U3560" i="5" s="1"/>
  <c r="T3561" i="5" a="1"/>
  <c r="T3561" i="5" s="1"/>
  <c r="U3561" i="5" s="1"/>
  <c r="T3562" i="5" a="1"/>
  <c r="T3562" i="5" s="1"/>
  <c r="U3562" i="5" s="1"/>
  <c r="T3563" i="5" a="1"/>
  <c r="T3563" i="5" s="1"/>
  <c r="U3563" i="5" s="1"/>
  <c r="T3564" i="5" a="1"/>
  <c r="T3564" i="5" s="1"/>
  <c r="U3564" i="5" s="1"/>
  <c r="T3565" i="5" a="1"/>
  <c r="T3565" i="5" s="1"/>
  <c r="U3565" i="5" s="1"/>
  <c r="T3566" i="5" a="1"/>
  <c r="T3566" i="5" s="1"/>
  <c r="U3566" i="5" s="1"/>
  <c r="T3567" i="5" a="1"/>
  <c r="T3567" i="5" s="1"/>
  <c r="U3567" i="5" s="1"/>
  <c r="T3568" i="5" a="1"/>
  <c r="T3568" i="5" s="1"/>
  <c r="U3568" i="5" s="1"/>
  <c r="T3569" i="5" a="1"/>
  <c r="T3569" i="5" s="1"/>
  <c r="U3569" i="5" s="1"/>
  <c r="T3570" i="5" a="1"/>
  <c r="T3570" i="5" s="1"/>
  <c r="U3570" i="5" s="1"/>
  <c r="T3571" i="5" a="1"/>
  <c r="T3571" i="5" s="1"/>
  <c r="U3571" i="5" s="1"/>
  <c r="T3572" i="5" a="1"/>
  <c r="T3572" i="5" s="1"/>
  <c r="U3572" i="5" s="1"/>
  <c r="T3573" i="5" a="1"/>
  <c r="T3573" i="5" s="1"/>
  <c r="U3573" i="5" s="1"/>
  <c r="T3574" i="5" a="1"/>
  <c r="T3574" i="5" s="1"/>
  <c r="U3574" i="5" s="1"/>
  <c r="T3575" i="5" a="1"/>
  <c r="T3575" i="5" s="1"/>
  <c r="U3575" i="5" s="1"/>
  <c r="T3589" i="5" a="1"/>
  <c r="T3589" i="5" s="1"/>
  <c r="U3589" i="5" s="1"/>
  <c r="T3592" i="5" a="1"/>
  <c r="T3592" i="5" s="1"/>
  <c r="U3592" i="5" s="1"/>
  <c r="T3593" i="5" a="1"/>
  <c r="T3593" i="5" s="1"/>
  <c r="U3593" i="5" s="1"/>
  <c r="T3595" i="5" a="1"/>
  <c r="T3595" i="5" s="1"/>
  <c r="U3595" i="5" s="1"/>
  <c r="T3599" i="5" a="1"/>
  <c r="T3599" i="5" s="1"/>
  <c r="U3599" i="5" s="1"/>
  <c r="T3603" i="5" a="1"/>
  <c r="T3603" i="5" s="1"/>
  <c r="U3603" i="5" s="1"/>
  <c r="T3604" i="5" a="1"/>
  <c r="T3604" i="5" s="1"/>
  <c r="U3604" i="5" s="1"/>
  <c r="T3605" i="5" a="1"/>
  <c r="T3605" i="5" s="1"/>
  <c r="U3605" i="5" s="1"/>
  <c r="T3609" i="5" a="1"/>
  <c r="T3609" i="5" s="1"/>
  <c r="U3609" i="5" s="1"/>
  <c r="T3618" i="5" a="1"/>
  <c r="T3618" i="5" s="1"/>
  <c r="U3618" i="5" s="1"/>
  <c r="T3655" i="5" a="1"/>
  <c r="T3655" i="5" s="1"/>
  <c r="U3655" i="5" s="1"/>
  <c r="T3656" i="5" a="1"/>
  <c r="T3656" i="5" s="1"/>
  <c r="U3656" i="5" s="1"/>
  <c r="T3657" i="5" a="1"/>
  <c r="T3657" i="5" s="1"/>
  <c r="U3657" i="5" s="1"/>
  <c r="T3658" i="5" a="1"/>
  <c r="T3658" i="5" s="1"/>
  <c r="U3658" i="5" s="1"/>
  <c r="T3659" i="5" a="1"/>
  <c r="T3659" i="5" s="1"/>
  <c r="U3659" i="5" s="1"/>
  <c r="T3717" i="5" a="1"/>
  <c r="T3717" i="5" s="1"/>
  <c r="U3717" i="5" s="1"/>
  <c r="T3749" i="5" a="1"/>
  <c r="T3749" i="5" s="1"/>
  <c r="U3749" i="5" s="1"/>
  <c r="T3750" i="5" a="1"/>
  <c r="T3750" i="5" s="1"/>
  <c r="U3750" i="5" s="1"/>
  <c r="T3751" i="5" a="1"/>
  <c r="T3751" i="5" s="1"/>
  <c r="U3751" i="5" s="1"/>
  <c r="T3752" i="5" a="1"/>
  <c r="T3752" i="5" s="1"/>
  <c r="U3752" i="5" s="1"/>
  <c r="T3753" i="5" a="1"/>
  <c r="T3753" i="5" s="1"/>
  <c r="U3753" i="5" s="1"/>
  <c r="T3754" i="5" a="1"/>
  <c r="T3754" i="5" s="1"/>
  <c r="U3754" i="5" s="1"/>
  <c r="T3755" i="5" a="1"/>
  <c r="T3755" i="5" s="1"/>
  <c r="U3755" i="5" s="1"/>
  <c r="T3756" i="5" a="1"/>
  <c r="T3756" i="5" s="1"/>
  <c r="U3756" i="5" s="1"/>
  <c r="T3757" i="5" a="1"/>
  <c r="T3757" i="5" s="1"/>
  <c r="U3757" i="5" s="1"/>
  <c r="T3758" i="5" a="1"/>
  <c r="T3758" i="5" s="1"/>
  <c r="U3758" i="5" s="1"/>
  <c r="T3759" i="5" a="1"/>
  <c r="T3759" i="5" s="1"/>
  <c r="U3759" i="5" s="1"/>
  <c r="T3760" i="5" a="1"/>
  <c r="T3760" i="5" s="1"/>
  <c r="U3760" i="5" s="1"/>
  <c r="T3761" i="5" a="1"/>
  <c r="T3761" i="5" s="1"/>
  <c r="U3761" i="5" s="1"/>
  <c r="T3762" i="5" a="1"/>
  <c r="T3762" i="5" s="1"/>
  <c r="U3762" i="5" s="1"/>
  <c r="T3763" i="5" a="1"/>
  <c r="T3763" i="5" s="1"/>
  <c r="U3763" i="5" s="1"/>
  <c r="T3764" i="5" a="1"/>
  <c r="T3764" i="5" s="1"/>
  <c r="U3764" i="5" s="1"/>
  <c r="T3765" i="5" a="1"/>
  <c r="T3765" i="5" s="1"/>
  <c r="U3765" i="5" s="1"/>
  <c r="T3766" i="5" a="1"/>
  <c r="T3766" i="5" s="1"/>
  <c r="U3766" i="5" s="1"/>
  <c r="T3767" i="5" a="1"/>
  <c r="T3767" i="5" s="1"/>
  <c r="U3767" i="5" s="1"/>
  <c r="T3768" i="5" a="1"/>
  <c r="T3768" i="5" s="1"/>
  <c r="U3768" i="5" s="1"/>
  <c r="T3769" i="5" a="1"/>
  <c r="T3769" i="5" s="1"/>
  <c r="U3769" i="5" s="1"/>
  <c r="T3770" i="5" a="1"/>
  <c r="T3770" i="5" s="1"/>
  <c r="U3770" i="5" s="1"/>
  <c r="T3771" i="5" a="1"/>
  <c r="T3771" i="5" s="1"/>
  <c r="U3771" i="5" s="1"/>
  <c r="T3772" i="5" a="1"/>
  <c r="T3772" i="5" s="1"/>
  <c r="U3772" i="5" s="1"/>
  <c r="T3773" i="5" a="1"/>
  <c r="T3773" i="5" s="1"/>
  <c r="U3773" i="5" s="1"/>
  <c r="T3774" i="5" a="1"/>
  <c r="T3774" i="5" s="1"/>
  <c r="U3774" i="5" s="1"/>
  <c r="T3775" i="5" a="1"/>
  <c r="T3775" i="5" s="1"/>
  <c r="U3775" i="5" s="1"/>
  <c r="T3776" i="5" a="1"/>
  <c r="T3776" i="5" s="1"/>
  <c r="U3776" i="5" s="1"/>
  <c r="T3777" i="5" a="1"/>
  <c r="T3777" i="5" s="1"/>
  <c r="U3777" i="5" s="1"/>
  <c r="T3778" i="5" a="1"/>
  <c r="T3778" i="5" s="1"/>
  <c r="U3778" i="5" s="1"/>
  <c r="T3779" i="5" a="1"/>
  <c r="T3779" i="5" s="1"/>
  <c r="U3779" i="5" s="1"/>
  <c r="T3780" i="5" a="1"/>
  <c r="T3780" i="5" s="1"/>
  <c r="U3780" i="5" s="1"/>
  <c r="T3781" i="5" a="1"/>
  <c r="T3781" i="5" s="1"/>
  <c r="U3781" i="5" s="1"/>
  <c r="T3782" i="5" a="1"/>
  <c r="T3782" i="5" s="1"/>
  <c r="U3782" i="5" s="1"/>
  <c r="T3783" i="5" a="1"/>
  <c r="T3783" i="5" s="1"/>
  <c r="U3783" i="5" s="1"/>
  <c r="T3784" i="5" a="1"/>
  <c r="T3784" i="5" s="1"/>
  <c r="U3784" i="5" s="1"/>
  <c r="T3785" i="5" a="1"/>
  <c r="T3785" i="5" s="1"/>
  <c r="U3785" i="5" s="1"/>
  <c r="T3786" i="5" a="1"/>
  <c r="T3786" i="5" s="1"/>
  <c r="U3786" i="5" s="1"/>
  <c r="T3787" i="5" a="1"/>
  <c r="T3787" i="5" s="1"/>
  <c r="U3787" i="5" s="1"/>
  <c r="T3789" i="5" a="1"/>
  <c r="T3789" i="5" s="1"/>
  <c r="U3789" i="5" s="1"/>
  <c r="T3790" i="5" a="1"/>
  <c r="T3790" i="5" s="1"/>
  <c r="U3790" i="5" s="1"/>
  <c r="T3791" i="5" a="1"/>
  <c r="T3791" i="5" s="1"/>
  <c r="U3791" i="5" s="1"/>
  <c r="T3792" i="5" a="1"/>
  <c r="T3792" i="5" s="1"/>
  <c r="U3792" i="5" s="1"/>
  <c r="T3812" i="5" a="1"/>
  <c r="T3812" i="5" s="1"/>
  <c r="U3812" i="5" s="1"/>
  <c r="T3813" i="5" a="1"/>
  <c r="T3813" i="5" s="1"/>
  <c r="U3813" i="5" s="1"/>
  <c r="T3823" i="5" a="1"/>
  <c r="T3823" i="5" s="1"/>
  <c r="U3823" i="5" s="1"/>
  <c r="T3824" i="5" a="1"/>
  <c r="T3824" i="5" s="1"/>
  <c r="U3824" i="5" s="1"/>
  <c r="T3825" i="5" a="1"/>
  <c r="T3825" i="5" s="1"/>
  <c r="U3825" i="5" s="1"/>
  <c r="T3826" i="5" a="1"/>
  <c r="T3826" i="5" s="1"/>
  <c r="U3826" i="5" s="1"/>
  <c r="T3827" i="5" a="1"/>
  <c r="T3827" i="5" s="1"/>
  <c r="U3827" i="5" s="1"/>
  <c r="T3828" i="5" a="1"/>
  <c r="T3828" i="5" s="1"/>
  <c r="U3828" i="5" s="1"/>
  <c r="T3829" i="5" a="1"/>
  <c r="T3829" i="5" s="1"/>
  <c r="U3829" i="5" s="1"/>
  <c r="T3830" i="5" a="1"/>
  <c r="T3830" i="5" s="1"/>
  <c r="U3830" i="5" s="1"/>
  <c r="T3832" i="5" a="1"/>
  <c r="T3832" i="5" s="1"/>
  <c r="U3832" i="5" s="1"/>
  <c r="T3840" i="5" a="1"/>
  <c r="T3840" i="5" s="1"/>
  <c r="U3840" i="5" s="1"/>
  <c r="T3844" i="5" a="1"/>
  <c r="T3844" i="5" s="1"/>
  <c r="U3844" i="5" s="1"/>
  <c r="T3864" i="5" a="1"/>
  <c r="T3864" i="5" s="1"/>
  <c r="U3864" i="5" s="1"/>
  <c r="T3879" i="5" a="1"/>
  <c r="T3879" i="5" s="1"/>
  <c r="U3879" i="5" s="1"/>
  <c r="T3880" i="5" a="1"/>
  <c r="T3880" i="5" s="1"/>
  <c r="U3880" i="5" s="1"/>
  <c r="T3881" i="5" a="1"/>
  <c r="T3881" i="5" s="1"/>
  <c r="U3881" i="5" s="1"/>
  <c r="T3882" i="5" a="1"/>
  <c r="T3882" i="5" s="1"/>
  <c r="U3882" i="5" s="1"/>
  <c r="T3883" i="5" a="1"/>
  <c r="T3883" i="5" s="1"/>
  <c r="U3883" i="5" s="1"/>
  <c r="T3884" i="5" a="1"/>
  <c r="T3884" i="5" s="1"/>
  <c r="U3884" i="5" s="1"/>
  <c r="T3908" i="5" a="1"/>
  <c r="T3908" i="5" s="1"/>
  <c r="U3908" i="5" s="1"/>
  <c r="T3909" i="5" a="1"/>
  <c r="T3909" i="5" s="1"/>
  <c r="U3909" i="5" s="1"/>
  <c r="T3910" i="5" a="1"/>
  <c r="T3910" i="5" s="1"/>
  <c r="U3910" i="5" s="1"/>
  <c r="T3911" i="5" a="1"/>
  <c r="T3911" i="5" s="1"/>
  <c r="U3911" i="5" s="1"/>
  <c r="T3912" i="5" a="1"/>
  <c r="T3912" i="5" s="1"/>
  <c r="U3912" i="5" s="1"/>
  <c r="T3913" i="5" a="1"/>
  <c r="T3913" i="5" s="1"/>
  <c r="U3913" i="5" s="1"/>
  <c r="T3914" i="5" a="1"/>
  <c r="T3914" i="5" s="1"/>
  <c r="U3914" i="5" s="1"/>
  <c r="T3915" i="5" a="1"/>
  <c r="T3915" i="5" s="1"/>
  <c r="U3915" i="5" s="1"/>
  <c r="T3916" i="5" a="1"/>
  <c r="T3916" i="5" s="1"/>
  <c r="U3916" i="5" s="1"/>
  <c r="T3917" i="5" a="1"/>
  <c r="T3917" i="5" s="1"/>
  <c r="U3917" i="5" s="1"/>
  <c r="T3918" i="5" a="1"/>
  <c r="T3918" i="5" s="1"/>
  <c r="U3918" i="5" s="1"/>
  <c r="T3919" i="5" a="1"/>
  <c r="T3919" i="5" s="1"/>
  <c r="U3919" i="5" s="1"/>
  <c r="T3920" i="5" a="1"/>
  <c r="T3920" i="5" s="1"/>
  <c r="U3920" i="5" s="1"/>
  <c r="T3921" i="5" a="1"/>
  <c r="T3921" i="5" s="1"/>
  <c r="U3921" i="5" s="1"/>
  <c r="T3922" i="5" a="1"/>
  <c r="T3922" i="5" s="1"/>
  <c r="U3922" i="5" s="1"/>
  <c r="T3923" i="5" a="1"/>
  <c r="T3923" i="5" s="1"/>
  <c r="U3923" i="5" s="1"/>
  <c r="T3924" i="5" a="1"/>
  <c r="T3924" i="5" s="1"/>
  <c r="U3924" i="5" s="1"/>
  <c r="T3925" i="5" a="1"/>
  <c r="T3925" i="5" s="1"/>
  <c r="U3925" i="5" s="1"/>
  <c r="T3926" i="5" a="1"/>
  <c r="T3926" i="5" s="1"/>
  <c r="U3926" i="5" s="1"/>
  <c r="T3927" i="5" a="1"/>
  <c r="T3927" i="5" s="1"/>
  <c r="U3927" i="5" s="1"/>
  <c r="T3928" i="5" a="1"/>
  <c r="T3928" i="5" s="1"/>
  <c r="U3928" i="5" s="1"/>
  <c r="T3929" i="5" a="1"/>
  <c r="T3929" i="5" s="1"/>
  <c r="U3929" i="5" s="1"/>
  <c r="T3930" i="5" a="1"/>
  <c r="T3930" i="5" s="1"/>
  <c r="U3930" i="5" s="1"/>
  <c r="T3931" i="5" a="1"/>
  <c r="T3931" i="5" s="1"/>
  <c r="U3931" i="5" s="1"/>
  <c r="T3932" i="5" a="1"/>
  <c r="T3932" i="5" s="1"/>
  <c r="U3932" i="5" s="1"/>
  <c r="T3935" i="5" a="1"/>
  <c r="T3935" i="5" s="1"/>
  <c r="U3935" i="5" s="1"/>
  <c r="T3939" i="5" a="1"/>
  <c r="T3939" i="5" s="1"/>
  <c r="U3939" i="5" s="1"/>
  <c r="T3940" i="5" a="1"/>
  <c r="T3940" i="5" s="1"/>
  <c r="U3940" i="5" s="1"/>
  <c r="T3941" i="5" a="1"/>
  <c r="T3941" i="5" s="1"/>
  <c r="U3941" i="5" s="1"/>
  <c r="T3942" i="5" a="1"/>
  <c r="T3942" i="5" s="1"/>
  <c r="U3942" i="5" s="1"/>
  <c r="T3943" i="5" a="1"/>
  <c r="T3943" i="5" s="1"/>
  <c r="U3943" i="5" s="1"/>
  <c r="T3948" i="5" a="1"/>
  <c r="T3948" i="5" s="1"/>
  <c r="U3948" i="5" s="1"/>
  <c r="T3949" i="5" a="1"/>
  <c r="T3949" i="5" s="1"/>
  <c r="U3949" i="5" s="1"/>
  <c r="T3950" i="5" a="1"/>
  <c r="T3950" i="5" s="1"/>
  <c r="U3950" i="5" s="1"/>
  <c r="T3951" i="5" a="1"/>
  <c r="T3951" i="5" s="1"/>
  <c r="U3951" i="5" s="1"/>
  <c r="T3952" i="5" a="1"/>
  <c r="T3952" i="5" s="1"/>
  <c r="U3952" i="5" s="1"/>
  <c r="T3953" i="5" a="1"/>
  <c r="T3953" i="5" s="1"/>
  <c r="U3953" i="5" s="1"/>
  <c r="T3978" i="5" a="1"/>
  <c r="T3978" i="5" s="1"/>
  <c r="U3978" i="5" s="1"/>
  <c r="T3979" i="5" a="1"/>
  <c r="T3979" i="5" s="1"/>
  <c r="U3979" i="5" s="1"/>
  <c r="T3980" i="5" a="1"/>
  <c r="T3980" i="5" s="1"/>
  <c r="U3980" i="5" s="1"/>
  <c r="T3981" i="5" a="1"/>
  <c r="T3981" i="5" s="1"/>
  <c r="U3981" i="5" s="1"/>
  <c r="T3982" i="5" a="1"/>
  <c r="T3982" i="5" s="1"/>
  <c r="U3982" i="5" s="1"/>
  <c r="T3992" i="5" a="1"/>
  <c r="T3992" i="5" s="1"/>
  <c r="U3992" i="5" s="1"/>
  <c r="T3993" i="5" a="1"/>
  <c r="T3993" i="5" s="1"/>
  <c r="U3993" i="5" s="1"/>
  <c r="T3994" i="5" a="1"/>
  <c r="T3994" i="5" s="1"/>
  <c r="U3994" i="5" s="1"/>
  <c r="T3995" i="5" a="1"/>
  <c r="T3995" i="5" s="1"/>
  <c r="U3995" i="5" s="1"/>
  <c r="T3996" i="5" a="1"/>
  <c r="T3996" i="5" s="1"/>
  <c r="U3996" i="5" s="1"/>
  <c r="T3997" i="5" a="1"/>
  <c r="T3997" i="5" s="1"/>
  <c r="U3997" i="5" s="1"/>
  <c r="T3998" i="5" a="1"/>
  <c r="T3998" i="5" s="1"/>
  <c r="U3998" i="5" s="1"/>
  <c r="T3999" i="5" a="1"/>
  <c r="T3999" i="5" s="1"/>
  <c r="U3999" i="5" s="1"/>
  <c r="T4007" i="5" a="1"/>
  <c r="T4007" i="5" s="1"/>
  <c r="U4007" i="5" s="1"/>
  <c r="T4008" i="5" a="1"/>
  <c r="T4008" i="5" s="1"/>
  <c r="U4008" i="5" s="1"/>
  <c r="T4009" i="5" a="1"/>
  <c r="T4009" i="5" s="1"/>
  <c r="U4009" i="5" s="1"/>
  <c r="T4010" i="5" a="1"/>
  <c r="T4010" i="5" s="1"/>
  <c r="U4010" i="5" s="1"/>
  <c r="T4011" i="5" a="1"/>
  <c r="T4011" i="5" s="1"/>
  <c r="U4011" i="5" s="1"/>
  <c r="T4012" i="5" a="1"/>
  <c r="T4012" i="5" s="1"/>
  <c r="U4012" i="5" s="1"/>
  <c r="T4015" i="5" a="1"/>
  <c r="T4015" i="5" s="1"/>
  <c r="U4015" i="5" s="1"/>
  <c r="T4016" i="5" a="1"/>
  <c r="T4016" i="5" s="1"/>
  <c r="U4016" i="5" s="1"/>
  <c r="T4017" i="5" a="1"/>
  <c r="T4017" i="5" s="1"/>
  <c r="U4017" i="5" s="1"/>
  <c r="T4018" i="5" a="1"/>
  <c r="T4018" i="5" s="1"/>
  <c r="U4018" i="5" s="1"/>
  <c r="T4019" i="5" a="1"/>
  <c r="T4019" i="5" s="1"/>
  <c r="U4019" i="5" s="1"/>
  <c r="T4020" i="5" a="1"/>
  <c r="T4020" i="5" s="1"/>
  <c r="U4020" i="5" s="1"/>
  <c r="T4021" i="5" a="1"/>
  <c r="T4021" i="5" s="1"/>
  <c r="U4021" i="5" s="1"/>
  <c r="T4022" i="5" a="1"/>
  <c r="T4022" i="5" s="1"/>
  <c r="U4022" i="5" s="1"/>
  <c r="T4023" i="5" a="1"/>
  <c r="T4023" i="5" s="1"/>
  <c r="U4023" i="5" s="1"/>
  <c r="T4024" i="5" a="1"/>
  <c r="T4024" i="5" s="1"/>
  <c r="U4024" i="5" s="1"/>
  <c r="T4025" i="5" a="1"/>
  <c r="T4025" i="5" s="1"/>
  <c r="U4025" i="5" s="1"/>
  <c r="T4026" i="5" a="1"/>
  <c r="T4026" i="5" s="1"/>
  <c r="U4026" i="5" s="1"/>
  <c r="T4027" i="5" a="1"/>
  <c r="T4027" i="5" s="1"/>
  <c r="U4027" i="5" s="1"/>
  <c r="T4028" i="5" a="1"/>
  <c r="T4028" i="5" s="1"/>
  <c r="U4028" i="5" s="1"/>
  <c r="T4029" i="5" a="1"/>
  <c r="T4029" i="5" s="1"/>
  <c r="U4029" i="5" s="1"/>
  <c r="T4030" i="5" a="1"/>
  <c r="T4030" i="5" s="1"/>
  <c r="U4030" i="5" s="1"/>
  <c r="T4031" i="5" a="1"/>
  <c r="T4031" i="5" s="1"/>
  <c r="U4031" i="5" s="1"/>
  <c r="T4032" i="5" a="1"/>
  <c r="T4032" i="5" s="1"/>
  <c r="U4032" i="5" s="1"/>
  <c r="T4033" i="5" a="1"/>
  <c r="T4033" i="5" s="1"/>
  <c r="U4033" i="5" s="1"/>
  <c r="T4034" i="5" a="1"/>
  <c r="T4034" i="5" s="1"/>
  <c r="U4034" i="5" s="1"/>
  <c r="T4035" i="5" a="1"/>
  <c r="T4035" i="5" s="1"/>
  <c r="U4035" i="5" s="1"/>
  <c r="T4036" i="5" a="1"/>
  <c r="T4036" i="5" s="1"/>
  <c r="U4036" i="5" s="1"/>
  <c r="T4037" i="5" a="1"/>
  <c r="T4037" i="5" s="1"/>
  <c r="U4037" i="5" s="1"/>
  <c r="T4038" i="5" a="1"/>
  <c r="T4038" i="5" s="1"/>
  <c r="U4038" i="5" s="1"/>
  <c r="T4039" i="5" a="1"/>
  <c r="T4039" i="5" s="1"/>
  <c r="U4039" i="5" s="1"/>
  <c r="T4040" i="5" a="1"/>
  <c r="T4040" i="5" s="1"/>
  <c r="U4040" i="5" s="1"/>
  <c r="T4041" i="5" a="1"/>
  <c r="T4041" i="5" s="1"/>
  <c r="U4041" i="5" s="1"/>
  <c r="T4042" i="5" a="1"/>
  <c r="T4042" i="5" s="1"/>
  <c r="U4042" i="5" s="1"/>
  <c r="T4043" i="5" a="1"/>
  <c r="T4043" i="5" s="1"/>
  <c r="U4043" i="5" s="1"/>
  <c r="T4044" i="5" a="1"/>
  <c r="T4044" i="5" s="1"/>
  <c r="U4044" i="5" s="1"/>
  <c r="T4045" i="5" a="1"/>
  <c r="T4045" i="5" s="1"/>
  <c r="U4045" i="5" s="1"/>
  <c r="T4046" i="5" a="1"/>
  <c r="T4046" i="5" s="1"/>
  <c r="U4046" i="5" s="1"/>
  <c r="T4082" i="5" a="1"/>
  <c r="T4082" i="5" s="1"/>
  <c r="U4082" i="5" s="1"/>
  <c r="T4083" i="5" a="1"/>
  <c r="T4083" i="5" s="1"/>
  <c r="U4083" i="5" s="1"/>
  <c r="T4084" i="5" a="1"/>
  <c r="T4084" i="5" s="1"/>
  <c r="U4084" i="5" s="1"/>
  <c r="T4085" i="5" a="1"/>
  <c r="T4085" i="5" s="1"/>
  <c r="U4085" i="5" s="1"/>
  <c r="T4086" i="5" a="1"/>
  <c r="T4086" i="5" s="1"/>
  <c r="U4086" i="5" s="1"/>
  <c r="T4087" i="5" a="1"/>
  <c r="T4087" i="5" s="1"/>
  <c r="U4087" i="5" s="1"/>
  <c r="T4088" i="5" a="1"/>
  <c r="T4088" i="5" s="1"/>
  <c r="U4088" i="5" s="1"/>
  <c r="T4089" i="5" a="1"/>
  <c r="T4089" i="5" s="1"/>
  <c r="U4089" i="5" s="1"/>
  <c r="T4090" i="5" a="1"/>
  <c r="T4090" i="5" s="1"/>
  <c r="U4090" i="5" s="1"/>
  <c r="T4091" i="5" a="1"/>
  <c r="T4091" i="5" s="1"/>
  <c r="U4091" i="5" s="1"/>
  <c r="T4092" i="5" a="1"/>
  <c r="T4092" i="5" s="1"/>
  <c r="U4092" i="5" s="1"/>
  <c r="T4094" i="5" a="1"/>
  <c r="T4094" i="5" s="1"/>
  <c r="U4094" i="5" s="1"/>
  <c r="T4095" i="5" a="1"/>
  <c r="T4095" i="5" s="1"/>
  <c r="U4095" i="5" s="1"/>
  <c r="T4096" i="5" a="1"/>
  <c r="T4096" i="5" s="1"/>
  <c r="U4096" i="5" s="1"/>
  <c r="T4097" i="5" a="1"/>
  <c r="T4097" i="5" s="1"/>
  <c r="U4097" i="5" s="1"/>
  <c r="T4098" i="5" a="1"/>
  <c r="T4098" i="5" s="1"/>
  <c r="U4098" i="5" s="1"/>
  <c r="T4099" i="5" a="1"/>
  <c r="T4099" i="5" s="1"/>
  <c r="U4099" i="5" s="1"/>
  <c r="T4100" i="5" a="1"/>
  <c r="T4100" i="5" s="1"/>
  <c r="U4100" i="5" s="1"/>
  <c r="T4101" i="5" a="1"/>
  <c r="T4101" i="5" s="1"/>
  <c r="U4101" i="5" s="1"/>
  <c r="T4102" i="5" a="1"/>
  <c r="T4102" i="5" s="1"/>
  <c r="U4102" i="5" s="1"/>
  <c r="T4103" i="5" a="1"/>
  <c r="T4103" i="5" s="1"/>
  <c r="U4103" i="5" s="1"/>
  <c r="T4104" i="5" a="1"/>
  <c r="T4104" i="5" s="1"/>
  <c r="U4104" i="5" s="1"/>
  <c r="T4105" i="5" a="1"/>
  <c r="T4105" i="5" s="1"/>
  <c r="U4105" i="5" s="1"/>
  <c r="T4106" i="5" a="1"/>
  <c r="T4106" i="5" s="1"/>
  <c r="U4106" i="5" s="1"/>
  <c r="T4107" i="5" a="1"/>
  <c r="T4107" i="5" s="1"/>
  <c r="U4107" i="5" s="1"/>
  <c r="T4109" i="5" a="1"/>
  <c r="T4109" i="5" s="1"/>
  <c r="U4109" i="5" s="1"/>
  <c r="T4110" i="5" a="1"/>
  <c r="T4110" i="5" s="1"/>
  <c r="U4110" i="5" s="1"/>
  <c r="T4111" i="5" a="1"/>
  <c r="T4111" i="5" s="1"/>
  <c r="U4111" i="5" s="1"/>
  <c r="T4112" i="5" a="1"/>
  <c r="T4112" i="5" s="1"/>
  <c r="U4112" i="5" s="1"/>
  <c r="T4113" i="5" a="1"/>
  <c r="T4113" i="5" s="1"/>
  <c r="U4113" i="5" s="1"/>
  <c r="T4114" i="5" a="1"/>
  <c r="T4114" i="5" s="1"/>
  <c r="U4114" i="5" s="1"/>
  <c r="T4115" i="5" a="1"/>
  <c r="T4115" i="5" s="1"/>
  <c r="U4115" i="5" s="1"/>
  <c r="T4116" i="5" a="1"/>
  <c r="T4116" i="5" s="1"/>
  <c r="U4116" i="5" s="1"/>
  <c r="T4117" i="5" a="1"/>
  <c r="T4117" i="5" s="1"/>
  <c r="U4117" i="5" s="1"/>
  <c r="T4118" i="5" a="1"/>
  <c r="T4118" i="5" s="1"/>
  <c r="U4118" i="5" s="1"/>
  <c r="T4119" i="5" a="1"/>
  <c r="T4119" i="5" s="1"/>
  <c r="U4119" i="5" s="1"/>
  <c r="T4120" i="5" a="1"/>
  <c r="T4120" i="5" s="1"/>
  <c r="U4120" i="5" s="1"/>
  <c r="T4121" i="5" a="1"/>
  <c r="T4121" i="5" s="1"/>
  <c r="U4121" i="5" s="1"/>
  <c r="T4122" i="5" a="1"/>
  <c r="T4122" i="5" s="1"/>
  <c r="U4122" i="5" s="1"/>
  <c r="T4123" i="5" a="1"/>
  <c r="T4123" i="5" s="1"/>
  <c r="U4123" i="5" s="1"/>
  <c r="T4124" i="5" a="1"/>
  <c r="T4124" i="5" s="1"/>
  <c r="U4124" i="5" s="1"/>
  <c r="T4139" i="5" a="1"/>
  <c r="T4139" i="5" s="1"/>
  <c r="U4139" i="5" s="1"/>
  <c r="T4140" i="5" a="1"/>
  <c r="T4140" i="5" s="1"/>
  <c r="U4140" i="5" s="1"/>
  <c r="T4141" i="5" a="1"/>
  <c r="T4141" i="5" s="1"/>
  <c r="U4141" i="5" s="1"/>
  <c r="T4142" i="5" a="1"/>
  <c r="T4142" i="5" s="1"/>
  <c r="U4142" i="5" s="1"/>
  <c r="T4143" i="5" a="1"/>
  <c r="T4143" i="5" s="1"/>
  <c r="U4143" i="5" s="1"/>
  <c r="T4144" i="5" a="1"/>
  <c r="T4144" i="5" s="1"/>
  <c r="U4144" i="5" s="1"/>
  <c r="T4145" i="5" a="1"/>
  <c r="T4145" i="5" s="1"/>
  <c r="U4145" i="5" s="1"/>
  <c r="T4146" i="5" a="1"/>
  <c r="T4146" i="5" s="1"/>
  <c r="U4146" i="5" s="1"/>
  <c r="T4147" i="5" a="1"/>
  <c r="T4147" i="5" s="1"/>
  <c r="U4147" i="5" s="1"/>
  <c r="T4148" i="5" a="1"/>
  <c r="T4148" i="5" s="1"/>
  <c r="U4148" i="5" s="1"/>
  <c r="T4149" i="5" a="1"/>
  <c r="T4149" i="5" s="1"/>
  <c r="U4149" i="5" s="1"/>
  <c r="T4150" i="5" a="1"/>
  <c r="T4150" i="5" s="1"/>
  <c r="U4150" i="5" s="1"/>
  <c r="T4151" i="5" a="1"/>
  <c r="T4151" i="5" s="1"/>
  <c r="U4151" i="5" s="1"/>
  <c r="T4152" i="5" a="1"/>
  <c r="T4152" i="5" s="1"/>
  <c r="U4152" i="5" s="1"/>
  <c r="T4153" i="5" a="1"/>
  <c r="T4153" i="5" s="1"/>
  <c r="U4153" i="5" s="1"/>
  <c r="T4154" i="5" a="1"/>
  <c r="T4154" i="5" s="1"/>
  <c r="U4154" i="5" s="1"/>
  <c r="T4155" i="5" a="1"/>
  <c r="T4155" i="5" s="1"/>
  <c r="U4155" i="5" s="1"/>
  <c r="T4156" i="5" a="1"/>
  <c r="T4156" i="5" s="1"/>
  <c r="U4156" i="5" s="1"/>
  <c r="T4157" i="5" a="1"/>
  <c r="T4157" i="5" s="1"/>
  <c r="U4157" i="5" s="1"/>
  <c r="T4158" i="5" a="1"/>
  <c r="T4158" i="5" s="1"/>
  <c r="U4158" i="5" s="1"/>
  <c r="T4159" i="5" a="1"/>
  <c r="T4159" i="5" s="1"/>
  <c r="U4159" i="5" s="1"/>
  <c r="T4160" i="5" a="1"/>
  <c r="T4160" i="5" s="1"/>
  <c r="U4160" i="5" s="1"/>
  <c r="T4161" i="5" a="1"/>
  <c r="T4161" i="5" s="1"/>
  <c r="U4161" i="5" s="1"/>
  <c r="T4162" i="5" a="1"/>
  <c r="T4162" i="5" s="1"/>
  <c r="U4162" i="5" s="1"/>
  <c r="T4163" i="5" a="1"/>
  <c r="T4163" i="5" s="1"/>
  <c r="U4163" i="5" s="1"/>
  <c r="T4164" i="5" a="1"/>
  <c r="T4164" i="5" s="1"/>
  <c r="U4164" i="5" s="1"/>
  <c r="T4165" i="5" a="1"/>
  <c r="T4165" i="5" s="1"/>
  <c r="U4165" i="5" s="1"/>
  <c r="T4166" i="5" a="1"/>
  <c r="T4166" i="5" s="1"/>
  <c r="U4166" i="5" s="1"/>
  <c r="T4174" i="5" a="1"/>
  <c r="T4174" i="5" s="1"/>
  <c r="U4174" i="5" s="1"/>
  <c r="T4175" i="5" a="1"/>
  <c r="T4175" i="5" s="1"/>
  <c r="U4175" i="5" s="1"/>
  <c r="T4176" i="5" a="1"/>
  <c r="T4176" i="5" s="1"/>
  <c r="U4176" i="5" s="1"/>
  <c r="T4177" i="5" a="1"/>
  <c r="T4177" i="5" s="1"/>
  <c r="U4177" i="5" s="1"/>
  <c r="T4178" i="5" a="1"/>
  <c r="T4178" i="5" s="1"/>
  <c r="U4178" i="5" s="1"/>
  <c r="T4179" i="5" a="1"/>
  <c r="T4179" i="5" s="1"/>
  <c r="U4179" i="5" s="1"/>
  <c r="T4180" i="5" a="1"/>
  <c r="T4180" i="5" s="1"/>
  <c r="U4180" i="5" s="1"/>
  <c r="T4181" i="5" a="1"/>
  <c r="T4181" i="5" s="1"/>
  <c r="U4181" i="5" s="1"/>
  <c r="T4182" i="5" a="1"/>
  <c r="T4182" i="5" s="1"/>
  <c r="U4182" i="5" s="1"/>
  <c r="T4183" i="5" a="1"/>
  <c r="T4183" i="5" s="1"/>
  <c r="U4183" i="5" s="1"/>
  <c r="T4184" i="5" a="1"/>
  <c r="T4184" i="5" s="1"/>
  <c r="U4184" i="5" s="1"/>
  <c r="T4185" i="5" a="1"/>
  <c r="T4185" i="5" s="1"/>
  <c r="U4185" i="5" s="1"/>
  <c r="T4186" i="5" a="1"/>
  <c r="T4186" i="5" s="1"/>
  <c r="U4186" i="5" s="1"/>
  <c r="T4187" i="5" a="1"/>
  <c r="T4187" i="5" s="1"/>
  <c r="U4187" i="5" s="1"/>
  <c r="T4188" i="5" a="1"/>
  <c r="T4188" i="5" s="1"/>
  <c r="U4188" i="5" s="1"/>
  <c r="T4189" i="5" a="1"/>
  <c r="T4189" i="5" s="1"/>
  <c r="U4189" i="5" s="1"/>
  <c r="T4190" i="5" a="1"/>
  <c r="T4190" i="5" s="1"/>
  <c r="U4190" i="5" s="1"/>
  <c r="T4191" i="5" a="1"/>
  <c r="T4191" i="5" s="1"/>
  <c r="U4191" i="5" s="1"/>
  <c r="T4192" i="5" a="1"/>
  <c r="T4192" i="5" s="1"/>
  <c r="U4192" i="5" s="1"/>
  <c r="T4193" i="5" a="1"/>
  <c r="T4193" i="5" s="1"/>
  <c r="U4193" i="5" s="1"/>
  <c r="T4194" i="5" a="1"/>
  <c r="T4194" i="5" s="1"/>
  <c r="U4194" i="5" s="1"/>
  <c r="T4195" i="5" a="1"/>
  <c r="T4195" i="5" s="1"/>
  <c r="U4195" i="5" s="1"/>
  <c r="T4196" i="5" a="1"/>
  <c r="T4196" i="5" s="1"/>
  <c r="U4196" i="5" s="1"/>
  <c r="T4197" i="5" a="1"/>
  <c r="T4197" i="5" s="1"/>
  <c r="U4197" i="5" s="1"/>
  <c r="T4198" i="5" a="1"/>
  <c r="T4198" i="5" s="1"/>
  <c r="U4198" i="5" s="1"/>
  <c r="T4199" i="5" a="1"/>
  <c r="T4199" i="5" s="1"/>
  <c r="U4199" i="5" s="1"/>
  <c r="T4200" i="5" a="1"/>
  <c r="T4200" i="5" s="1"/>
  <c r="U4200" i="5" s="1"/>
  <c r="T4201" i="5" a="1"/>
  <c r="T4201" i="5" s="1"/>
  <c r="U4201" i="5" s="1"/>
  <c r="T4202" i="5" a="1"/>
  <c r="T4202" i="5" s="1"/>
  <c r="U4202" i="5" s="1"/>
  <c r="T4203" i="5" a="1"/>
  <c r="T4203" i="5" s="1"/>
  <c r="U4203" i="5" s="1"/>
  <c r="T4204" i="5" a="1"/>
  <c r="T4204" i="5" s="1"/>
  <c r="U4204" i="5" s="1"/>
  <c r="T4205" i="5" a="1"/>
  <c r="T4205" i="5" s="1"/>
  <c r="U4205" i="5" s="1"/>
  <c r="T4206" i="5" a="1"/>
  <c r="T4206" i="5" s="1"/>
  <c r="U4206" i="5" s="1"/>
  <c r="T4207" i="5" a="1"/>
  <c r="T4207" i="5" s="1"/>
  <c r="U4207" i="5" s="1"/>
  <c r="T4208" i="5" a="1"/>
  <c r="T4208" i="5" s="1"/>
  <c r="U4208" i="5" s="1"/>
  <c r="T4209" i="5" a="1"/>
  <c r="T4209" i="5" s="1"/>
  <c r="U4209" i="5" s="1"/>
  <c r="T4210" i="5" a="1"/>
  <c r="T4210" i="5" s="1"/>
  <c r="U4210" i="5" s="1"/>
  <c r="T4211" i="5" a="1"/>
  <c r="T4211" i="5" s="1"/>
  <c r="U4211" i="5" s="1"/>
  <c r="T4212" i="5" a="1"/>
  <c r="T4212" i="5" s="1"/>
  <c r="U4212" i="5" s="1"/>
  <c r="T4213" i="5" a="1"/>
  <c r="T4213" i="5" s="1"/>
  <c r="U4213" i="5" s="1"/>
  <c r="T4214" i="5" a="1"/>
  <c r="T4214" i="5" s="1"/>
  <c r="U4214" i="5" s="1"/>
  <c r="T4215" i="5" a="1"/>
  <c r="T4215" i="5" s="1"/>
  <c r="U4215" i="5" s="1"/>
  <c r="T4216" i="5" a="1"/>
  <c r="T4216" i="5" s="1"/>
  <c r="U4216" i="5" s="1"/>
  <c r="T4218" i="5" a="1"/>
  <c r="T4218" i="5" s="1"/>
  <c r="U4218" i="5" s="1"/>
  <c r="T4219" i="5" a="1"/>
  <c r="T4219" i="5" s="1"/>
  <c r="U4219" i="5" s="1"/>
  <c r="T4220" i="5" a="1"/>
  <c r="T4220" i="5" s="1"/>
  <c r="U4220" i="5" s="1"/>
  <c r="T4221" i="5" a="1"/>
  <c r="T4221" i="5" s="1"/>
  <c r="U4221" i="5" s="1"/>
  <c r="T4223" i="5" a="1"/>
  <c r="T4223" i="5" s="1"/>
  <c r="U4223" i="5" s="1"/>
  <c r="T4224" i="5" a="1"/>
  <c r="T4224" i="5" s="1"/>
  <c r="U4224" i="5" s="1"/>
  <c r="T4225" i="5" a="1"/>
  <c r="T4225" i="5" s="1"/>
  <c r="U4225" i="5" s="1"/>
  <c r="T4226" i="5" a="1"/>
  <c r="T4226" i="5" s="1"/>
  <c r="U4226" i="5" s="1"/>
  <c r="T4227" i="5" a="1"/>
  <c r="T4227" i="5" s="1"/>
  <c r="U4227" i="5" s="1"/>
  <c r="T4228" i="5" a="1"/>
  <c r="T4228" i="5" s="1"/>
  <c r="U4228" i="5" s="1"/>
  <c r="T4229" i="5" a="1"/>
  <c r="T4229" i="5" s="1"/>
  <c r="U4229" i="5" s="1"/>
  <c r="T4230" i="5" a="1"/>
  <c r="T4230" i="5" s="1"/>
  <c r="U4230" i="5" s="1"/>
  <c r="T4231" i="5" a="1"/>
  <c r="T4231" i="5" s="1"/>
  <c r="U4231" i="5" s="1"/>
  <c r="T4232" i="5" a="1"/>
  <c r="T4232" i="5" s="1"/>
  <c r="U4232" i="5" s="1"/>
  <c r="T4233" i="5" a="1"/>
  <c r="T4233" i="5" s="1"/>
  <c r="U4233" i="5" s="1"/>
  <c r="T4236" i="5" a="1"/>
  <c r="T4236" i="5" s="1"/>
  <c r="U4236" i="5" s="1"/>
  <c r="T4238" i="5" a="1"/>
  <c r="T4238" i="5" s="1"/>
  <c r="U4238" i="5" s="1"/>
  <c r="T4239" i="5" a="1"/>
  <c r="T4239" i="5" s="1"/>
  <c r="U4239" i="5" s="1"/>
  <c r="T4240" i="5" a="1"/>
  <c r="T4240" i="5" s="1"/>
  <c r="U4240" i="5" s="1"/>
  <c r="T4241" i="5" a="1"/>
  <c r="T4241" i="5" s="1"/>
  <c r="U4241" i="5" s="1"/>
  <c r="T4242" i="5" a="1"/>
  <c r="T4242" i="5" s="1"/>
  <c r="U4242" i="5" s="1"/>
  <c r="T4243" i="5" a="1"/>
  <c r="T4243" i="5" s="1"/>
  <c r="U4243" i="5" s="1"/>
  <c r="T4256" i="5" a="1"/>
  <c r="T4256" i="5" s="1"/>
  <c r="U4256" i="5" s="1"/>
  <c r="T4257" i="5" a="1"/>
  <c r="T4257" i="5" s="1"/>
  <c r="U4257" i="5" s="1"/>
  <c r="T4258" i="5" a="1"/>
  <c r="T4258" i="5" s="1"/>
  <c r="U4258" i="5" s="1"/>
  <c r="T4259" i="5" a="1"/>
  <c r="T4259" i="5" s="1"/>
  <c r="U4259" i="5" s="1"/>
  <c r="T4260" i="5" a="1"/>
  <c r="T4260" i="5" s="1"/>
  <c r="U4260" i="5" s="1"/>
  <c r="T4261" i="5" a="1"/>
  <c r="T4261" i="5" s="1"/>
  <c r="U4261" i="5" s="1"/>
  <c r="T4262" i="5" a="1"/>
  <c r="T4262" i="5" s="1"/>
  <c r="U4262" i="5" s="1"/>
  <c r="T4263" i="5" a="1"/>
  <c r="T4263" i="5" s="1"/>
  <c r="U4263" i="5" s="1"/>
  <c r="T4264" i="5" a="1"/>
  <c r="T4264" i="5" s="1"/>
  <c r="U4264" i="5" s="1"/>
  <c r="T4265" i="5" a="1"/>
  <c r="T4265" i="5" s="1"/>
  <c r="U4265" i="5" s="1"/>
  <c r="T4266" i="5" a="1"/>
  <c r="T4266" i="5" s="1"/>
  <c r="U4266" i="5" s="1"/>
  <c r="T4267" i="5" a="1"/>
  <c r="T4267" i="5" s="1"/>
  <c r="U4267" i="5" s="1"/>
  <c r="T4268" i="5" a="1"/>
  <c r="T4268" i="5" s="1"/>
  <c r="U4268" i="5" s="1"/>
  <c r="T4269" i="5" a="1"/>
  <c r="T4269" i="5" s="1"/>
  <c r="U4269" i="5" s="1"/>
  <c r="T4270" i="5" a="1"/>
  <c r="T4270" i="5" s="1"/>
  <c r="U4270" i="5" s="1"/>
  <c r="T4271" i="5" a="1"/>
  <c r="T4271" i="5" s="1"/>
  <c r="U4271" i="5" s="1"/>
  <c r="T4272" i="5" a="1"/>
  <c r="T4272" i="5" s="1"/>
  <c r="U4272" i="5" s="1"/>
  <c r="T4273" i="5" a="1"/>
  <c r="T4273" i="5" s="1"/>
  <c r="U4273" i="5" s="1"/>
  <c r="T4274" i="5" a="1"/>
  <c r="T4274" i="5" s="1"/>
  <c r="U4274" i="5" s="1"/>
  <c r="T4275" i="5" a="1"/>
  <c r="T4275" i="5" s="1"/>
  <c r="U4275" i="5" s="1"/>
  <c r="T4276" i="5" a="1"/>
  <c r="T4276" i="5" s="1"/>
  <c r="U4276" i="5" s="1"/>
  <c r="T4277" i="5" a="1"/>
  <c r="T4277" i="5" s="1"/>
  <c r="U4277" i="5" s="1"/>
  <c r="T4282" i="5" a="1"/>
  <c r="T4282" i="5" s="1"/>
  <c r="U4282" i="5" s="1"/>
  <c r="T4283" i="5" a="1"/>
  <c r="T4283" i="5" s="1"/>
  <c r="U4283" i="5" s="1"/>
  <c r="T4284" i="5" a="1"/>
  <c r="T4284" i="5" s="1"/>
  <c r="U4284" i="5" s="1"/>
  <c r="T4285" i="5" a="1"/>
  <c r="T4285" i="5" s="1"/>
  <c r="U4285" i="5" s="1"/>
  <c r="T4286" i="5" a="1"/>
  <c r="T4286" i="5" s="1"/>
  <c r="U4286" i="5" s="1"/>
  <c r="T4287" i="5" a="1"/>
  <c r="T4287" i="5" s="1"/>
  <c r="U4287" i="5" s="1"/>
  <c r="T4288" i="5" a="1"/>
  <c r="T4288" i="5" s="1"/>
  <c r="U4288" i="5" s="1"/>
  <c r="T4289" i="5" a="1"/>
  <c r="T4289" i="5" s="1"/>
  <c r="U4289" i="5" s="1"/>
  <c r="T4290" i="5" a="1"/>
  <c r="T4290" i="5" s="1"/>
  <c r="U4290" i="5" s="1"/>
  <c r="T4291" i="5" a="1"/>
  <c r="T4291" i="5" s="1"/>
  <c r="U4291" i="5" s="1"/>
  <c r="T4292" i="5" a="1"/>
  <c r="T4292" i="5" s="1"/>
  <c r="U4292" i="5" s="1"/>
  <c r="T4293" i="5" a="1"/>
  <c r="T4293" i="5" s="1"/>
  <c r="U4293" i="5" s="1"/>
  <c r="T4294" i="5" a="1"/>
  <c r="T4294" i="5" s="1"/>
  <c r="U4294" i="5" s="1"/>
  <c r="T4295" i="5" a="1"/>
  <c r="T4295" i="5" s="1"/>
  <c r="U4295" i="5" s="1"/>
  <c r="T4296" i="5" a="1"/>
  <c r="T4296" i="5" s="1"/>
  <c r="U4296" i="5" s="1"/>
  <c r="T4297" i="5" a="1"/>
  <c r="T4297" i="5" s="1"/>
  <c r="U4297" i="5" s="1"/>
  <c r="T4298" i="5" a="1"/>
  <c r="T4298" i="5" s="1"/>
  <c r="U4298" i="5" s="1"/>
  <c r="T4299" i="5" a="1"/>
  <c r="T4299" i="5" s="1"/>
  <c r="U4299" i="5" s="1"/>
  <c r="T4300" i="5" a="1"/>
  <c r="T4300" i="5" s="1"/>
  <c r="U4300" i="5" s="1"/>
  <c r="T4301" i="5" a="1"/>
  <c r="T4301" i="5" s="1"/>
  <c r="U4301" i="5" s="1"/>
  <c r="T4302" i="5" a="1"/>
  <c r="T4302" i="5" s="1"/>
  <c r="U4302" i="5" s="1"/>
  <c r="T4303" i="5" a="1"/>
  <c r="T4303" i="5" s="1"/>
  <c r="U4303" i="5" s="1"/>
  <c r="T4304" i="5" a="1"/>
  <c r="T4304" i="5" s="1"/>
  <c r="U4304" i="5" s="1"/>
  <c r="T4305" i="5" a="1"/>
  <c r="T4305" i="5" s="1"/>
  <c r="U4305" i="5" s="1"/>
  <c r="T4306" i="5" a="1"/>
  <c r="T4306" i="5" s="1"/>
  <c r="U4306" i="5" s="1"/>
  <c r="T4307" i="5" a="1"/>
  <c r="T4307" i="5" s="1"/>
  <c r="U4307" i="5" s="1"/>
  <c r="T4308" i="5" a="1"/>
  <c r="T4308" i="5" s="1"/>
  <c r="U4308" i="5" s="1"/>
  <c r="T4309" i="5" a="1"/>
  <c r="T4309" i="5" s="1"/>
  <c r="U4309" i="5" s="1"/>
  <c r="T4310" i="5" a="1"/>
  <c r="T4310" i="5" s="1"/>
  <c r="U4310" i="5" s="1"/>
  <c r="T4311" i="5" a="1"/>
  <c r="T4311" i="5" s="1"/>
  <c r="U4311" i="5" s="1"/>
  <c r="T4312" i="5" a="1"/>
  <c r="T4312" i="5" s="1"/>
  <c r="U4312" i="5" s="1"/>
  <c r="T4313" i="5" a="1"/>
  <c r="T4313" i="5" s="1"/>
  <c r="U4313" i="5" s="1"/>
  <c r="T4314" i="5" a="1"/>
  <c r="T4314" i="5" s="1"/>
  <c r="U4314" i="5" s="1"/>
  <c r="T4315" i="5" a="1"/>
  <c r="T4315" i="5" s="1"/>
  <c r="U4315" i="5" s="1"/>
  <c r="T4316" i="5" a="1"/>
  <c r="T4316" i="5" s="1"/>
  <c r="U4316" i="5" s="1"/>
  <c r="T4317" i="5" a="1"/>
  <c r="T4317" i="5" s="1"/>
  <c r="U4317" i="5" s="1"/>
  <c r="T4318" i="5" a="1"/>
  <c r="T4318" i="5" s="1"/>
  <c r="U4318" i="5" s="1"/>
  <c r="T4319" i="5" a="1"/>
  <c r="T4319" i="5" s="1"/>
  <c r="U4319" i="5" s="1"/>
  <c r="T4320" i="5" a="1"/>
  <c r="T4320" i="5" s="1"/>
  <c r="U4320" i="5" s="1"/>
  <c r="T4321" i="5" a="1"/>
  <c r="T4321" i="5" s="1"/>
  <c r="U4321" i="5" s="1"/>
  <c r="T4322" i="5" a="1"/>
  <c r="T4322" i="5" s="1"/>
  <c r="U4322" i="5" s="1"/>
  <c r="T4323" i="5" a="1"/>
  <c r="T4323" i="5" s="1"/>
  <c r="U4323" i="5" s="1"/>
  <c r="T4324" i="5" a="1"/>
  <c r="T4324" i="5" s="1"/>
  <c r="U4324" i="5" s="1"/>
  <c r="T4325" i="5" a="1"/>
  <c r="T4325" i="5" s="1"/>
  <c r="U4325" i="5" s="1"/>
  <c r="T4326" i="5" a="1"/>
  <c r="T4326" i="5" s="1"/>
  <c r="U4326" i="5" s="1"/>
  <c r="T4328" i="5" a="1"/>
  <c r="T4328" i="5" s="1"/>
  <c r="U4328" i="5" s="1"/>
  <c r="T4329" i="5" a="1"/>
  <c r="T4329" i="5" s="1"/>
  <c r="U4329" i="5" s="1"/>
  <c r="T4330" i="5" a="1"/>
  <c r="T4330" i="5" s="1"/>
  <c r="U4330" i="5" s="1"/>
  <c r="T4342" i="5" a="1"/>
  <c r="T4342" i="5" s="1"/>
  <c r="U4342" i="5" s="1"/>
  <c r="T4343" i="5" a="1"/>
  <c r="T4343" i="5" s="1"/>
  <c r="U4343" i="5" s="1"/>
  <c r="T4344" i="5" a="1"/>
  <c r="T4344" i="5" s="1"/>
  <c r="U4344" i="5" s="1"/>
  <c r="T4345" i="5" a="1"/>
  <c r="T4345" i="5" s="1"/>
  <c r="U4345" i="5" s="1"/>
  <c r="T4346" i="5" a="1"/>
  <c r="T4346" i="5" s="1"/>
  <c r="U4346" i="5" s="1"/>
  <c r="T4347" i="5" a="1"/>
  <c r="T4347" i="5" s="1"/>
  <c r="U4347" i="5" s="1"/>
  <c r="T4348" i="5" a="1"/>
  <c r="T4348" i="5" s="1"/>
  <c r="U4348" i="5" s="1"/>
  <c r="T4349" i="5" a="1"/>
  <c r="T4349" i="5" s="1"/>
  <c r="U4349" i="5" s="1"/>
  <c r="T4350" i="5" a="1"/>
  <c r="T4350" i="5" s="1"/>
  <c r="U4350" i="5" s="1"/>
  <c r="T4351" i="5" a="1"/>
  <c r="T4351" i="5" s="1"/>
  <c r="U4351" i="5" s="1"/>
  <c r="T4352" i="5" a="1"/>
  <c r="T4352" i="5" s="1"/>
  <c r="U4352" i="5" s="1"/>
  <c r="T4353" i="5" a="1"/>
  <c r="T4353" i="5" s="1"/>
  <c r="U4353" i="5" s="1"/>
  <c r="T4354" i="5" a="1"/>
  <c r="T4354" i="5" s="1"/>
  <c r="U4354" i="5" s="1"/>
  <c r="T4355" i="5" a="1"/>
  <c r="T4355" i="5" s="1"/>
  <c r="U4355" i="5" s="1"/>
  <c r="T4356" i="5" a="1"/>
  <c r="T4356" i="5" s="1"/>
  <c r="U4356" i="5" s="1"/>
  <c r="T4372" i="5" a="1"/>
  <c r="T4372" i="5" s="1"/>
  <c r="U4372" i="5" s="1"/>
  <c r="T4373" i="5" a="1"/>
  <c r="T4373" i="5" s="1"/>
  <c r="U4373" i="5" s="1"/>
  <c r="T4374" i="5" a="1"/>
  <c r="T4374" i="5" s="1"/>
  <c r="U4374" i="5" s="1"/>
  <c r="T4375" i="5" a="1"/>
  <c r="T4375" i="5" s="1"/>
  <c r="U4375" i="5" s="1"/>
  <c r="T4376" i="5" a="1"/>
  <c r="T4376" i="5" s="1"/>
  <c r="U4376" i="5" s="1"/>
  <c r="T4377" i="5" a="1"/>
  <c r="T4377" i="5" s="1"/>
  <c r="U4377" i="5" s="1"/>
  <c r="T4378" i="5" a="1"/>
  <c r="T4378" i="5" s="1"/>
  <c r="U4378" i="5" s="1"/>
  <c r="T4379" i="5" a="1"/>
  <c r="T4379" i="5" s="1"/>
  <c r="U4379" i="5" s="1"/>
  <c r="T4380" i="5" a="1"/>
  <c r="T4380" i="5" s="1"/>
  <c r="U4380" i="5" s="1"/>
  <c r="T4381" i="5" a="1"/>
  <c r="T4381" i="5" s="1"/>
  <c r="U4381" i="5" s="1"/>
  <c r="T4382" i="5" a="1"/>
  <c r="T4382" i="5" s="1"/>
  <c r="U4382" i="5" s="1"/>
  <c r="T4383" i="5" a="1"/>
  <c r="T4383" i="5" s="1"/>
  <c r="U4383" i="5" s="1"/>
  <c r="T4384" i="5" a="1"/>
  <c r="T4384" i="5" s="1"/>
  <c r="U4384" i="5" s="1"/>
  <c r="T4385" i="5" a="1"/>
  <c r="T4385" i="5" s="1"/>
  <c r="U4385" i="5" s="1"/>
  <c r="T4386" i="5" a="1"/>
  <c r="T4386" i="5" s="1"/>
  <c r="U4386" i="5" s="1"/>
  <c r="T4387" i="5" a="1"/>
  <c r="T4387" i="5" s="1"/>
  <c r="U4387" i="5" s="1"/>
  <c r="T4388" i="5" a="1"/>
  <c r="T4388" i="5" s="1"/>
  <c r="U4388" i="5" s="1"/>
  <c r="T4389" i="5" a="1"/>
  <c r="T4389" i="5" s="1"/>
  <c r="U4389" i="5" s="1"/>
  <c r="T4390" i="5" a="1"/>
  <c r="T4390" i="5" s="1"/>
  <c r="U4390" i="5" s="1"/>
  <c r="T4391" i="5" a="1"/>
  <c r="T4391" i="5" s="1"/>
  <c r="U4391" i="5" s="1"/>
  <c r="T4392" i="5" a="1"/>
  <c r="T4392" i="5" s="1"/>
  <c r="U4392" i="5" s="1"/>
  <c r="T4393" i="5" a="1"/>
  <c r="T4393" i="5" s="1"/>
  <c r="U4393" i="5" s="1"/>
  <c r="T4394" i="5" a="1"/>
  <c r="T4394" i="5" s="1"/>
  <c r="U4394" i="5" s="1"/>
  <c r="T4395" i="5" a="1"/>
  <c r="T4395" i="5" s="1"/>
  <c r="U4395" i="5" s="1"/>
  <c r="T4396" i="5" a="1"/>
  <c r="T4396" i="5" s="1"/>
  <c r="U4396" i="5" s="1"/>
  <c r="T4397" i="5" a="1"/>
  <c r="T4397" i="5" s="1"/>
  <c r="U4397" i="5" s="1"/>
  <c r="T4398" i="5" a="1"/>
  <c r="T4398" i="5" s="1"/>
  <c r="U4398" i="5" s="1"/>
  <c r="T4399" i="5" a="1"/>
  <c r="T4399" i="5" s="1"/>
  <c r="U4399" i="5" s="1"/>
  <c r="T4400" i="5" a="1"/>
  <c r="T4400" i="5" s="1"/>
  <c r="U4400" i="5" s="1"/>
  <c r="T4401" i="5" a="1"/>
  <c r="T4401" i="5" s="1"/>
  <c r="U4401" i="5" s="1"/>
  <c r="T4402" i="5" a="1"/>
  <c r="T4402" i="5" s="1"/>
  <c r="U4402" i="5" s="1"/>
  <c r="T4403" i="5" a="1"/>
  <c r="T4403" i="5" s="1"/>
  <c r="U4403" i="5" s="1"/>
  <c r="T4404" i="5" a="1"/>
  <c r="T4404" i="5" s="1"/>
  <c r="U4404" i="5" s="1"/>
  <c r="T4405" i="5" a="1"/>
  <c r="T4405" i="5" s="1"/>
  <c r="U4405" i="5" s="1"/>
  <c r="T4406" i="5" a="1"/>
  <c r="T4406" i="5" s="1"/>
  <c r="U4406" i="5" s="1"/>
  <c r="T4407" i="5" a="1"/>
  <c r="T4407" i="5" s="1"/>
  <c r="U4407" i="5" s="1"/>
  <c r="T4408" i="5" a="1"/>
  <c r="T4408" i="5" s="1"/>
  <c r="U4408" i="5" s="1"/>
  <c r="T4409" i="5" a="1"/>
  <c r="T4409" i="5" s="1"/>
  <c r="U4409" i="5" s="1"/>
  <c r="T4410" i="5" a="1"/>
  <c r="T4410" i="5" s="1"/>
  <c r="U4410" i="5" s="1"/>
  <c r="T4411" i="5" a="1"/>
  <c r="T4411" i="5" s="1"/>
  <c r="U4411" i="5" s="1"/>
  <c r="T4412" i="5" a="1"/>
  <c r="T4412" i="5" s="1"/>
  <c r="U4412" i="5" s="1"/>
  <c r="T4413" i="5" a="1"/>
  <c r="T4413" i="5" s="1"/>
  <c r="U4413" i="5" s="1"/>
  <c r="T4414" i="5" a="1"/>
  <c r="T4414" i="5" s="1"/>
  <c r="U4414" i="5" s="1"/>
  <c r="T4415" i="5" a="1"/>
  <c r="T4415" i="5" s="1"/>
  <c r="U4415" i="5" s="1"/>
  <c r="T4416" i="5" a="1"/>
  <c r="T4416" i="5" s="1"/>
  <c r="U4416" i="5" s="1"/>
  <c r="T4417" i="5" a="1"/>
  <c r="T4417" i="5" s="1"/>
  <c r="U4417" i="5" s="1"/>
  <c r="T4418" i="5" a="1"/>
  <c r="T4418" i="5" s="1"/>
  <c r="U4418" i="5" s="1"/>
  <c r="T4420" i="5" a="1"/>
  <c r="T4420" i="5" s="1"/>
  <c r="U4420" i="5" s="1"/>
  <c r="T4421" i="5" a="1"/>
  <c r="T4421" i="5" s="1"/>
  <c r="U4421" i="5" s="1"/>
  <c r="T4422" i="5" a="1"/>
  <c r="T4422" i="5" s="1"/>
  <c r="U4422" i="5" s="1"/>
  <c r="T4423" i="5" a="1"/>
  <c r="T4423" i="5" s="1"/>
  <c r="U4423" i="5" s="1"/>
  <c r="T4424" i="5" a="1"/>
  <c r="T4424" i="5" s="1"/>
  <c r="U4424" i="5" s="1"/>
  <c r="T4425" i="5" a="1"/>
  <c r="T4425" i="5" s="1"/>
  <c r="U4425" i="5" s="1"/>
  <c r="T4426" i="5" a="1"/>
  <c r="T4426" i="5" s="1"/>
  <c r="U4426" i="5" s="1"/>
  <c r="T4427" i="5" a="1"/>
  <c r="T4427" i="5" s="1"/>
  <c r="U4427" i="5" s="1"/>
  <c r="T4428" i="5" a="1"/>
  <c r="T4428" i="5" s="1"/>
  <c r="U4428" i="5" s="1"/>
  <c r="T4429" i="5" a="1"/>
  <c r="T4429" i="5" s="1"/>
  <c r="U4429" i="5" s="1"/>
  <c r="T4430" i="5" a="1"/>
  <c r="T4430" i="5" s="1"/>
  <c r="U4430" i="5" s="1"/>
  <c r="T4431" i="5" a="1"/>
  <c r="T4431" i="5" s="1"/>
  <c r="U4431" i="5" s="1"/>
  <c r="T4432" i="5" a="1"/>
  <c r="T4432" i="5" s="1"/>
  <c r="U4432" i="5" s="1"/>
  <c r="T4433" i="5" a="1"/>
  <c r="T4433" i="5" s="1"/>
  <c r="U4433" i="5" s="1"/>
  <c r="T4434" i="5" a="1"/>
  <c r="T4434" i="5" s="1"/>
  <c r="U4434" i="5" s="1"/>
  <c r="T4435" i="5" a="1"/>
  <c r="T4435" i="5" s="1"/>
  <c r="U4435" i="5" s="1"/>
  <c r="T4436" i="5" a="1"/>
  <c r="T4436" i="5" s="1"/>
  <c r="U4436" i="5" s="1"/>
  <c r="T4437" i="5" a="1"/>
  <c r="T4437" i="5" s="1"/>
  <c r="U4437" i="5" s="1"/>
  <c r="T4438" i="5" a="1"/>
  <c r="T4438" i="5" s="1"/>
  <c r="U4438" i="5" s="1"/>
  <c r="T4439" i="5" a="1"/>
  <c r="T4439" i="5" s="1"/>
  <c r="U4439" i="5" s="1"/>
  <c r="T4440" i="5" a="1"/>
  <c r="T4440" i="5" s="1"/>
  <c r="U4440" i="5" s="1"/>
  <c r="T4441" i="5" a="1"/>
  <c r="T4441" i="5" s="1"/>
  <c r="U4441" i="5" s="1"/>
  <c r="T4442" i="5" a="1"/>
  <c r="T4442" i="5" s="1"/>
  <c r="U4442" i="5" s="1"/>
  <c r="T4443" i="5" a="1"/>
  <c r="T4443" i="5" s="1"/>
  <c r="U4443" i="5" s="1"/>
  <c r="T4444" i="5" a="1"/>
  <c r="T4444" i="5" s="1"/>
  <c r="U4444" i="5" s="1"/>
  <c r="T4445" i="5" a="1"/>
  <c r="T4445" i="5" s="1"/>
  <c r="U4445" i="5" s="1"/>
  <c r="T4446" i="5" a="1"/>
  <c r="T4446" i="5" s="1"/>
  <c r="U4446" i="5" s="1"/>
  <c r="T4447" i="5" a="1"/>
  <c r="T4447" i="5" s="1"/>
  <c r="U4447" i="5" s="1"/>
  <c r="T4448" i="5" a="1"/>
  <c r="T4448" i="5" s="1"/>
  <c r="U4448" i="5" s="1"/>
  <c r="T4449" i="5" a="1"/>
  <c r="T4449" i="5" s="1"/>
  <c r="U4449" i="5" s="1"/>
  <c r="T4450" i="5" a="1"/>
  <c r="T4450" i="5" s="1"/>
  <c r="U4450" i="5" s="1"/>
  <c r="T4451" i="5" a="1"/>
  <c r="T4451" i="5" s="1"/>
  <c r="U4451" i="5" s="1"/>
  <c r="T4452" i="5" a="1"/>
  <c r="T4452" i="5" s="1"/>
  <c r="U4452" i="5" s="1"/>
  <c r="T4453" i="5" a="1"/>
  <c r="T4453" i="5" s="1"/>
  <c r="U4453" i="5" s="1"/>
  <c r="T4454" i="5" a="1"/>
  <c r="T4454" i="5" s="1"/>
  <c r="U4454" i="5" s="1"/>
  <c r="T4455" i="5" a="1"/>
  <c r="T4455" i="5" s="1"/>
  <c r="U4455" i="5" s="1"/>
  <c r="T4456" i="5" a="1"/>
  <c r="T4456" i="5" s="1"/>
  <c r="U4456" i="5" s="1"/>
  <c r="T4457" i="5" a="1"/>
  <c r="T4457" i="5" s="1"/>
  <c r="U4457" i="5" s="1"/>
  <c r="T4458" i="5" a="1"/>
  <c r="T4458" i="5" s="1"/>
  <c r="U4458" i="5" s="1"/>
  <c r="T4459" i="5" a="1"/>
  <c r="T4459" i="5" s="1"/>
  <c r="U4459" i="5" s="1"/>
  <c r="T4460" i="5" a="1"/>
  <c r="T4460" i="5" s="1"/>
  <c r="U4460" i="5" s="1"/>
  <c r="T4461" i="5" a="1"/>
  <c r="T4461" i="5" s="1"/>
  <c r="U4461" i="5" s="1"/>
  <c r="T4462" i="5" a="1"/>
  <c r="T4462" i="5" s="1"/>
  <c r="U4462" i="5" s="1"/>
  <c r="T4463" i="5" a="1"/>
  <c r="T4463" i="5" s="1"/>
  <c r="U4463" i="5" s="1"/>
  <c r="T4464" i="5" a="1"/>
  <c r="T4464" i="5" s="1"/>
  <c r="U4464" i="5" s="1"/>
  <c r="T4465" i="5" a="1"/>
  <c r="T4465" i="5" s="1"/>
  <c r="U4465" i="5" s="1"/>
  <c r="T4466" i="5" a="1"/>
  <c r="T4466" i="5" s="1"/>
  <c r="U4466" i="5" s="1"/>
  <c r="T4467" i="5" a="1"/>
  <c r="T4467" i="5" s="1"/>
  <c r="U4467" i="5" s="1"/>
  <c r="T4468" i="5" a="1"/>
  <c r="T4468" i="5" s="1"/>
  <c r="U4468" i="5" s="1"/>
  <c r="T4469" i="5" a="1"/>
  <c r="T4469" i="5" s="1"/>
  <c r="U4469" i="5" s="1"/>
  <c r="T4470" i="5" a="1"/>
  <c r="T4470" i="5" s="1"/>
  <c r="U4470" i="5" s="1"/>
  <c r="T4471" i="5" a="1"/>
  <c r="T4471" i="5" s="1"/>
  <c r="U4471" i="5" s="1"/>
  <c r="T4472" i="5" a="1"/>
  <c r="T4472" i="5" s="1"/>
  <c r="U4472" i="5" s="1"/>
  <c r="T4473" i="5" a="1"/>
  <c r="T4473" i="5" s="1"/>
  <c r="U4473" i="5" s="1"/>
  <c r="T4474" i="5" a="1"/>
  <c r="T4474" i="5" s="1"/>
  <c r="U4474" i="5" s="1"/>
  <c r="T4475" i="5" a="1"/>
  <c r="T4475" i="5" s="1"/>
  <c r="U4475" i="5" s="1"/>
  <c r="T4476" i="5" a="1"/>
  <c r="T4476" i="5" s="1"/>
  <c r="U4476" i="5" s="1"/>
  <c r="T4477" i="5" a="1"/>
  <c r="T4477" i="5" s="1"/>
  <c r="U4477" i="5" s="1"/>
  <c r="T4478" i="5" a="1"/>
  <c r="T4478" i="5" s="1"/>
  <c r="U4478" i="5" s="1"/>
  <c r="T4479" i="5" a="1"/>
  <c r="T4479" i="5" s="1"/>
  <c r="U4479" i="5" s="1"/>
  <c r="T4480" i="5" a="1"/>
  <c r="T4480" i="5" s="1"/>
  <c r="U4480" i="5" s="1"/>
  <c r="T4481" i="5" a="1"/>
  <c r="T4481" i="5" s="1"/>
  <c r="U4481" i="5" s="1"/>
  <c r="T4482" i="5" a="1"/>
  <c r="T4482" i="5" s="1"/>
  <c r="U4482" i="5" s="1"/>
  <c r="T4483" i="5" a="1"/>
  <c r="T4483" i="5" s="1"/>
  <c r="U4483" i="5" s="1"/>
  <c r="T4484" i="5" a="1"/>
  <c r="T4484" i="5" s="1"/>
  <c r="U4484" i="5" s="1"/>
  <c r="T4485" i="5" a="1"/>
  <c r="T4485" i="5" s="1"/>
  <c r="U4485" i="5" s="1"/>
  <c r="T4486" i="5" a="1"/>
  <c r="T4486" i="5" s="1"/>
  <c r="U4486" i="5" s="1"/>
  <c r="T4487" i="5" a="1"/>
  <c r="T4487" i="5" s="1"/>
  <c r="U4487" i="5" s="1"/>
  <c r="T4488" i="5" a="1"/>
  <c r="T4488" i="5" s="1"/>
  <c r="U4488" i="5" s="1"/>
  <c r="T4489" i="5" a="1"/>
  <c r="T4489" i="5" s="1"/>
  <c r="U4489" i="5" s="1"/>
  <c r="T4490" i="5" a="1"/>
  <c r="T4490" i="5" s="1"/>
  <c r="U4490" i="5" s="1"/>
  <c r="T4491" i="5" a="1"/>
  <c r="T4491" i="5" s="1"/>
  <c r="U4491" i="5" s="1"/>
  <c r="T4492" i="5" a="1"/>
  <c r="T4492" i="5" s="1"/>
  <c r="U4492" i="5" s="1"/>
  <c r="T4493" i="5" a="1"/>
  <c r="T4493" i="5" s="1"/>
  <c r="U4493" i="5" s="1"/>
  <c r="T4494" i="5" a="1"/>
  <c r="T4494" i="5" s="1"/>
  <c r="U4494" i="5" s="1"/>
  <c r="T4495" i="5" a="1"/>
  <c r="T4495" i="5" s="1"/>
  <c r="U4495" i="5" s="1"/>
  <c r="T4496" i="5" a="1"/>
  <c r="T4496" i="5" s="1"/>
  <c r="U4496" i="5" s="1"/>
  <c r="T4497" i="5" a="1"/>
  <c r="T4497" i="5" s="1"/>
  <c r="U4497" i="5" s="1"/>
  <c r="T4498" i="5" a="1"/>
  <c r="T4498" i="5" s="1"/>
  <c r="U4498" i="5" s="1"/>
  <c r="T4499" i="5" a="1"/>
  <c r="T4499" i="5" s="1"/>
  <c r="U4499" i="5" s="1"/>
  <c r="T4500" i="5" a="1"/>
  <c r="T4500" i="5" s="1"/>
  <c r="U4500" i="5" s="1"/>
  <c r="T4501" i="5" a="1"/>
  <c r="T4501" i="5" s="1"/>
  <c r="U4501" i="5" s="1"/>
  <c r="T4502" i="5" a="1"/>
  <c r="T4502" i="5" s="1"/>
  <c r="U4502" i="5" s="1"/>
  <c r="T4503" i="5" a="1"/>
  <c r="T4503" i="5" s="1"/>
  <c r="U4503" i="5" s="1"/>
  <c r="T4504" i="5" a="1"/>
  <c r="T4504" i="5" s="1"/>
  <c r="U4504" i="5" s="1"/>
  <c r="T4505" i="5" a="1"/>
  <c r="T4505" i="5" s="1"/>
  <c r="U4505" i="5" s="1"/>
  <c r="T4506" i="5" a="1"/>
  <c r="T4506" i="5" s="1"/>
  <c r="U4506" i="5" s="1"/>
  <c r="T4507" i="5" a="1"/>
  <c r="T4507" i="5" s="1"/>
  <c r="U4507" i="5" s="1"/>
  <c r="T4508" i="5" a="1"/>
  <c r="T4508" i="5" s="1"/>
  <c r="U4508" i="5" s="1"/>
  <c r="T4509" i="5" a="1"/>
  <c r="T4509" i="5" s="1"/>
  <c r="U4509" i="5" s="1"/>
  <c r="T4510" i="5" a="1"/>
  <c r="T4510" i="5" s="1"/>
  <c r="U4510" i="5" s="1"/>
  <c r="T4511" i="5" a="1"/>
  <c r="T4511" i="5" s="1"/>
  <c r="U4511" i="5" s="1"/>
  <c r="T4512" i="5" a="1"/>
  <c r="T4512" i="5" s="1"/>
  <c r="U4512" i="5" s="1"/>
  <c r="T4513" i="5" a="1"/>
  <c r="T4513" i="5" s="1"/>
  <c r="U4513" i="5" s="1"/>
  <c r="T4514" i="5" a="1"/>
  <c r="T4514" i="5" s="1"/>
  <c r="U4514" i="5" s="1"/>
  <c r="T4515" i="5" a="1"/>
  <c r="T4515" i="5" s="1"/>
  <c r="U4515" i="5" s="1"/>
  <c r="T4516" i="5" a="1"/>
  <c r="T4516" i="5" s="1"/>
  <c r="U4516" i="5" s="1"/>
  <c r="T4517" i="5" a="1"/>
  <c r="T4517" i="5" s="1"/>
  <c r="U4517" i="5" s="1"/>
  <c r="T4518" i="5" a="1"/>
  <c r="T4518" i="5" s="1"/>
  <c r="U4518" i="5" s="1"/>
  <c r="T4519" i="5" a="1"/>
  <c r="T4519" i="5" s="1"/>
  <c r="U4519" i="5" s="1"/>
  <c r="T4520" i="5" a="1"/>
  <c r="T4520" i="5" s="1"/>
  <c r="U4520" i="5" s="1"/>
  <c r="T4521" i="5" a="1"/>
  <c r="T4521" i="5" s="1"/>
  <c r="U4521" i="5" s="1"/>
  <c r="T4522" i="5" a="1"/>
  <c r="T4522" i="5" s="1"/>
  <c r="U4522" i="5" s="1"/>
  <c r="T4523" i="5" a="1"/>
  <c r="T4523" i="5" s="1"/>
  <c r="U4523" i="5" s="1"/>
  <c r="T4524" i="5" a="1"/>
  <c r="T4524" i="5" s="1"/>
  <c r="U4524" i="5" s="1"/>
  <c r="T4525" i="5" a="1"/>
  <c r="T4525" i="5" s="1"/>
  <c r="U4525" i="5" s="1"/>
  <c r="T4526" i="5" a="1"/>
  <c r="T4526" i="5" s="1"/>
  <c r="U4526" i="5" s="1"/>
  <c r="T4527" i="5" a="1"/>
  <c r="T4527" i="5" s="1"/>
  <c r="U4527" i="5" s="1"/>
  <c r="T4528" i="5" a="1"/>
  <c r="T4528" i="5" s="1"/>
  <c r="U4528" i="5" s="1"/>
  <c r="T4529" i="5" a="1"/>
  <c r="T4529" i="5" s="1"/>
  <c r="U4529" i="5" s="1"/>
  <c r="T4530" i="5" a="1"/>
  <c r="T4530" i="5" s="1"/>
  <c r="U4530" i="5" s="1"/>
  <c r="T4531" i="5" a="1"/>
  <c r="T4531" i="5" s="1"/>
  <c r="U4531" i="5" s="1"/>
  <c r="T4532" i="5" a="1"/>
  <c r="T4532" i="5" s="1"/>
  <c r="U4532" i="5" s="1"/>
  <c r="T4533" i="5" a="1"/>
  <c r="T4533" i="5" s="1"/>
  <c r="U4533" i="5" s="1"/>
  <c r="T4559" i="5" a="1"/>
  <c r="T4559" i="5" s="1"/>
  <c r="U4559" i="5" s="1"/>
  <c r="T4560" i="5" a="1"/>
  <c r="T4560" i="5" s="1"/>
  <c r="U4560" i="5" s="1"/>
  <c r="T4561" i="5" a="1"/>
  <c r="T4561" i="5" s="1"/>
  <c r="U4561" i="5" s="1"/>
  <c r="T4562" i="5" a="1"/>
  <c r="T4562" i="5" s="1"/>
  <c r="U4562" i="5" s="1"/>
  <c r="T4563" i="5" a="1"/>
  <c r="T4563" i="5" s="1"/>
  <c r="U4563" i="5" s="1"/>
  <c r="T4564" i="5" a="1"/>
  <c r="T4564" i="5" s="1"/>
  <c r="U4564" i="5" s="1"/>
  <c r="T4565" i="5" a="1"/>
  <c r="T4565" i="5" s="1"/>
  <c r="U4565" i="5" s="1"/>
  <c r="T4566" i="5" a="1"/>
  <c r="T4566" i="5" s="1"/>
  <c r="U4566" i="5" s="1"/>
  <c r="T4567" i="5" a="1"/>
  <c r="T4567" i="5" s="1"/>
  <c r="U4567" i="5" s="1"/>
  <c r="T4568" i="5" a="1"/>
  <c r="T4568" i="5" s="1"/>
  <c r="U4568" i="5" s="1"/>
  <c r="T4576" i="5" a="1"/>
  <c r="T4576" i="5" s="1"/>
  <c r="U4576" i="5" s="1"/>
  <c r="T4581" i="5" a="1"/>
  <c r="T4581" i="5" s="1"/>
  <c r="U4581" i="5" s="1"/>
  <c r="T4586" i="5" a="1"/>
  <c r="T4586" i="5" s="1"/>
  <c r="U4586" i="5" s="1"/>
  <c r="T4587" i="5" a="1"/>
  <c r="T4587" i="5" s="1"/>
  <c r="U4587" i="5" s="1"/>
  <c r="T4588" i="5" a="1"/>
  <c r="T4588" i="5" s="1"/>
  <c r="U4588" i="5" s="1"/>
  <c r="T4589" i="5" a="1"/>
  <c r="T4589" i="5" s="1"/>
  <c r="U4589" i="5" s="1"/>
  <c r="T4591" i="5" a="1"/>
  <c r="T4591" i="5" s="1"/>
  <c r="U4591" i="5" s="1"/>
  <c r="T4592" i="5" a="1"/>
  <c r="T4592" i="5" s="1"/>
  <c r="U4592" i="5" s="1"/>
  <c r="T4593" i="5" a="1"/>
  <c r="T4593" i="5" s="1"/>
  <c r="U4593" i="5" s="1"/>
  <c r="T4594" i="5" a="1"/>
  <c r="T4594" i="5" s="1"/>
  <c r="U4594" i="5" s="1"/>
  <c r="T4595" i="5" a="1"/>
  <c r="T4595" i="5" s="1"/>
  <c r="U4595" i="5" s="1"/>
  <c r="T4596" i="5" a="1"/>
  <c r="T4596" i="5" s="1"/>
  <c r="U4596" i="5" s="1"/>
  <c r="T4597" i="5" a="1"/>
  <c r="T4597" i="5" s="1"/>
  <c r="U4597" i="5" s="1"/>
  <c r="T4598" i="5" a="1"/>
  <c r="T4598" i="5" s="1"/>
  <c r="U4598" i="5" s="1"/>
  <c r="T4599" i="5" a="1"/>
  <c r="T4599" i="5" s="1"/>
  <c r="U4599" i="5" s="1"/>
  <c r="T4600" i="5" a="1"/>
  <c r="T4600" i="5" s="1"/>
  <c r="U4600" i="5" s="1"/>
  <c r="T4601" i="5" a="1"/>
  <c r="T4601" i="5" s="1"/>
  <c r="U4601" i="5" s="1"/>
  <c r="T4602" i="5" a="1"/>
  <c r="T4602" i="5" s="1"/>
  <c r="U4602" i="5" s="1"/>
  <c r="T4603" i="5" a="1"/>
  <c r="T4603" i="5" s="1"/>
  <c r="U4603" i="5" s="1"/>
  <c r="T4604" i="5" a="1"/>
  <c r="T4604" i="5" s="1"/>
  <c r="U4604" i="5" s="1"/>
  <c r="T4605" i="5" a="1"/>
  <c r="T4605" i="5" s="1"/>
  <c r="U4605" i="5" s="1"/>
  <c r="T4606" i="5" a="1"/>
  <c r="T4606" i="5" s="1"/>
  <c r="U4606" i="5" s="1"/>
  <c r="T4607" i="5" a="1"/>
  <c r="T4607" i="5" s="1"/>
  <c r="U4607" i="5" s="1"/>
  <c r="T4608" i="5" a="1"/>
  <c r="T4608" i="5" s="1"/>
  <c r="U4608" i="5" s="1"/>
  <c r="T4609" i="5" a="1"/>
  <c r="T4609" i="5" s="1"/>
  <c r="U4609" i="5" s="1"/>
  <c r="T4610" i="5" a="1"/>
  <c r="T4610" i="5" s="1"/>
  <c r="U4610" i="5" s="1"/>
  <c r="T4611" i="5" a="1"/>
  <c r="T4611" i="5" s="1"/>
  <c r="U4611" i="5" s="1"/>
  <c r="T4612" i="5" a="1"/>
  <c r="T4612" i="5" s="1"/>
  <c r="U4612" i="5" s="1"/>
  <c r="T4613" i="5" a="1"/>
  <c r="T4613" i="5" s="1"/>
  <c r="U4613" i="5" s="1"/>
  <c r="T4614" i="5" a="1"/>
  <c r="T4614" i="5" s="1"/>
  <c r="U4614" i="5" s="1"/>
  <c r="T4615" i="5" a="1"/>
  <c r="T4615" i="5" s="1"/>
  <c r="U4615" i="5" s="1"/>
  <c r="T4616" i="5" a="1"/>
  <c r="T4616" i="5" s="1"/>
  <c r="U4616" i="5" s="1"/>
  <c r="T4618" i="5" a="1"/>
  <c r="T4618" i="5" s="1"/>
  <c r="U4618" i="5" s="1"/>
  <c r="T4619" i="5" a="1"/>
  <c r="T4619" i="5" s="1"/>
  <c r="U4619" i="5" s="1"/>
  <c r="T4629" i="5" a="1"/>
  <c r="T4629" i="5" s="1"/>
  <c r="U4629" i="5" s="1"/>
  <c r="T4630" i="5" a="1"/>
  <c r="T4630" i="5" s="1"/>
  <c r="U4630" i="5" s="1"/>
  <c r="T4631" i="5" a="1"/>
  <c r="T4631" i="5" s="1"/>
  <c r="U4631" i="5" s="1"/>
  <c r="T4632" i="5" a="1"/>
  <c r="T4632" i="5" s="1"/>
  <c r="U4632" i="5" s="1"/>
  <c r="T4633" i="5" a="1"/>
  <c r="T4633" i="5" s="1"/>
  <c r="U4633" i="5" s="1"/>
  <c r="T4634" i="5" a="1"/>
  <c r="T4634" i="5" s="1"/>
  <c r="U4634" i="5" s="1"/>
  <c r="T4635" i="5" a="1"/>
  <c r="T4635" i="5" s="1"/>
  <c r="U4635" i="5" s="1"/>
  <c r="T4663" i="5" a="1"/>
  <c r="T4663" i="5" s="1"/>
  <c r="U4663" i="5" s="1"/>
  <c r="T4664" i="5" a="1"/>
  <c r="T4664" i="5" s="1"/>
  <c r="U4664" i="5" s="1"/>
  <c r="T4665" i="5" a="1"/>
  <c r="T4665" i="5" s="1"/>
  <c r="U4665" i="5" s="1"/>
  <c r="T4666" i="5" a="1"/>
  <c r="T4666" i="5" s="1"/>
  <c r="U4666" i="5" s="1"/>
  <c r="T4667" i="5" a="1"/>
  <c r="T4667" i="5" s="1"/>
  <c r="U4667" i="5" s="1"/>
  <c r="T4668" i="5" a="1"/>
  <c r="T4668" i="5" s="1"/>
  <c r="U4668" i="5" s="1"/>
  <c r="T4669" i="5" a="1"/>
  <c r="T4669" i="5" s="1"/>
  <c r="U4669" i="5" s="1"/>
  <c r="T4678" i="5" a="1"/>
  <c r="T4678" i="5" s="1"/>
  <c r="U4678" i="5" s="1"/>
  <c r="T4679" i="5" a="1"/>
  <c r="T4679" i="5" s="1"/>
  <c r="U4679" i="5" s="1"/>
  <c r="T4680" i="5" a="1"/>
  <c r="T4680" i="5" s="1"/>
  <c r="U4680" i="5" s="1"/>
  <c r="T4693" i="5" a="1"/>
  <c r="T4693" i="5" s="1"/>
  <c r="U4693" i="5" s="1"/>
  <c r="T4694" i="5" a="1"/>
  <c r="T4694" i="5" s="1"/>
  <c r="U4694" i="5" s="1"/>
  <c r="T4695" i="5" a="1"/>
  <c r="T4695" i="5" s="1"/>
  <c r="U4695" i="5" s="1"/>
  <c r="T4696" i="5" a="1"/>
  <c r="T4696" i="5" s="1"/>
  <c r="U4696" i="5" s="1"/>
  <c r="T4697" i="5" a="1"/>
  <c r="T4697" i="5" s="1"/>
  <c r="U4697" i="5" s="1"/>
  <c r="T4698" i="5" a="1"/>
  <c r="T4698" i="5" s="1"/>
  <c r="U4698" i="5" s="1"/>
  <c r="T4699" i="5" a="1"/>
  <c r="T4699" i="5" s="1"/>
  <c r="U4699" i="5" s="1"/>
  <c r="T4700" i="5" a="1"/>
  <c r="T4700" i="5" s="1"/>
  <c r="U4700" i="5" s="1"/>
  <c r="T4701" i="5" a="1"/>
  <c r="T4701" i="5" s="1"/>
  <c r="U4701" i="5" s="1"/>
  <c r="T4702" i="5" a="1"/>
  <c r="T4702" i="5" s="1"/>
  <c r="U4702" i="5" s="1"/>
  <c r="T4703" i="5" a="1"/>
  <c r="T4703" i="5" s="1"/>
  <c r="U4703" i="5" s="1"/>
  <c r="T4704" i="5" a="1"/>
  <c r="T4704" i="5" s="1"/>
  <c r="U4704" i="5" s="1"/>
  <c r="T4705" i="5" a="1"/>
  <c r="T4705" i="5" s="1"/>
  <c r="U4705" i="5" s="1"/>
  <c r="T4706" i="5" a="1"/>
  <c r="T4706" i="5" s="1"/>
  <c r="U4706" i="5" s="1"/>
  <c r="T4707" i="5" a="1"/>
  <c r="T4707" i="5" s="1"/>
  <c r="U4707" i="5" s="1"/>
  <c r="T4708" i="5" a="1"/>
  <c r="T4708" i="5" s="1"/>
  <c r="U4708" i="5" s="1"/>
  <c r="T4709" i="5" a="1"/>
  <c r="T4709" i="5" s="1"/>
  <c r="U4709" i="5" s="1"/>
  <c r="T4710" i="5" a="1"/>
  <c r="T4710" i="5" s="1"/>
  <c r="U4710" i="5" s="1"/>
  <c r="T4711" i="5" a="1"/>
  <c r="T4711" i="5" s="1"/>
  <c r="U4711" i="5" s="1"/>
  <c r="T4712" i="5" a="1"/>
  <c r="T4712" i="5" s="1"/>
  <c r="U4712" i="5" s="1"/>
  <c r="T4713" i="5" a="1"/>
  <c r="T4713" i="5" s="1"/>
  <c r="U4713" i="5" s="1"/>
  <c r="T4714" i="5" a="1"/>
  <c r="T4714" i="5" s="1"/>
  <c r="U4714" i="5" s="1"/>
  <c r="T4715" i="5" a="1"/>
  <c r="T4715" i="5" s="1"/>
  <c r="U4715" i="5" s="1"/>
  <c r="T4716" i="5" a="1"/>
  <c r="T4716" i="5" s="1"/>
  <c r="U4716" i="5" s="1"/>
  <c r="T4717" i="5" a="1"/>
  <c r="T4717" i="5" s="1"/>
  <c r="U4717" i="5" s="1"/>
  <c r="T4718" i="5" a="1"/>
  <c r="T4718" i="5" s="1"/>
  <c r="U4718" i="5" s="1"/>
  <c r="T4719" i="5" a="1"/>
  <c r="T4719" i="5" s="1"/>
  <c r="U4719" i="5" s="1"/>
  <c r="T4720" i="5" a="1"/>
  <c r="T4720" i="5" s="1"/>
  <c r="U4720" i="5" s="1"/>
  <c r="T4721" i="5" a="1"/>
  <c r="T4721" i="5" s="1"/>
  <c r="U4721" i="5" s="1"/>
  <c r="T4722" i="5" a="1"/>
  <c r="T4722" i="5" s="1"/>
  <c r="U4722" i="5" s="1"/>
  <c r="T4723" i="5" a="1"/>
  <c r="T4723" i="5" s="1"/>
  <c r="U4723" i="5" s="1"/>
  <c r="T4724" i="5" a="1"/>
  <c r="T4724" i="5" s="1"/>
  <c r="U4724" i="5" s="1"/>
  <c r="T4725" i="5" a="1"/>
  <c r="T4725" i="5" s="1"/>
  <c r="U4725" i="5" s="1"/>
  <c r="T4726" i="5" a="1"/>
  <c r="T4726" i="5" s="1"/>
  <c r="U4726" i="5" s="1"/>
  <c r="T4727" i="5" a="1"/>
  <c r="T4727" i="5" s="1"/>
  <c r="U4727" i="5" s="1"/>
  <c r="T4728" i="5" a="1"/>
  <c r="T4728" i="5" s="1"/>
  <c r="U4728" i="5" s="1"/>
  <c r="T4729" i="5" a="1"/>
  <c r="T4729" i="5" s="1"/>
  <c r="U4729" i="5" s="1"/>
  <c r="T4730" i="5" a="1"/>
  <c r="T4730" i="5" s="1"/>
  <c r="U4730" i="5" s="1"/>
  <c r="T4731" i="5" a="1"/>
  <c r="T4731" i="5" s="1"/>
  <c r="U4731" i="5" s="1"/>
  <c r="T4732" i="5" a="1"/>
  <c r="T4732" i="5" s="1"/>
  <c r="U4732" i="5" s="1"/>
  <c r="T4733" i="5" a="1"/>
  <c r="T4733" i="5" s="1"/>
  <c r="U4733" i="5" s="1"/>
  <c r="T4734" i="5" a="1"/>
  <c r="T4734" i="5" s="1"/>
  <c r="U4734" i="5" s="1"/>
  <c r="T4735" i="5" a="1"/>
  <c r="T4735" i="5" s="1"/>
  <c r="U4735" i="5" s="1"/>
  <c r="T4745" i="5" a="1"/>
  <c r="T4745" i="5" s="1"/>
  <c r="U4745" i="5" s="1"/>
  <c r="T4746" i="5" a="1"/>
  <c r="T4746" i="5" s="1"/>
  <c r="U4746" i="5" s="1"/>
  <c r="T4747" i="5" a="1"/>
  <c r="T4747" i="5" s="1"/>
  <c r="U4747" i="5" s="1"/>
  <c r="T4748" i="5" a="1"/>
  <c r="T4748" i="5" s="1"/>
  <c r="U4748" i="5" s="1"/>
  <c r="T4749" i="5" a="1"/>
  <c r="T4749" i="5" s="1"/>
  <c r="U4749" i="5" s="1"/>
  <c r="T4750" i="5" a="1"/>
  <c r="T4750" i="5" s="1"/>
  <c r="U4750" i="5" s="1"/>
  <c r="T4751" i="5" a="1"/>
  <c r="T4751" i="5" s="1"/>
  <c r="U4751" i="5" s="1"/>
  <c r="T4752" i="5" a="1"/>
  <c r="T4752" i="5" s="1"/>
  <c r="U4752" i="5" s="1"/>
  <c r="T4753" i="5" a="1"/>
  <c r="T4753" i="5" s="1"/>
  <c r="U4753" i="5" s="1"/>
  <c r="T4754" i="5" a="1"/>
  <c r="T4754" i="5" s="1"/>
  <c r="U4754" i="5" s="1"/>
  <c r="T4755" i="5" a="1"/>
  <c r="T4755" i="5" s="1"/>
  <c r="U4755" i="5" s="1"/>
  <c r="T4756" i="5" a="1"/>
  <c r="T4756" i="5" s="1"/>
  <c r="U4756" i="5" s="1"/>
  <c r="T4757" i="5" a="1"/>
  <c r="T4757" i="5" s="1"/>
  <c r="U4757" i="5" s="1"/>
  <c r="T4758" i="5" a="1"/>
  <c r="T4758" i="5" s="1"/>
  <c r="U4758" i="5" s="1"/>
  <c r="T4759" i="5" a="1"/>
  <c r="T4759" i="5" s="1"/>
  <c r="U4759" i="5" s="1"/>
  <c r="T4760" i="5" a="1"/>
  <c r="T4760" i="5" s="1"/>
  <c r="U4760" i="5" s="1"/>
  <c r="T4761" i="5" a="1"/>
  <c r="T4761" i="5" s="1"/>
  <c r="U4761" i="5" s="1"/>
  <c r="T4762" i="5" a="1"/>
  <c r="T4762" i="5" s="1"/>
  <c r="U4762" i="5" s="1"/>
  <c r="T4763" i="5" a="1"/>
  <c r="T4763" i="5" s="1"/>
  <c r="U4763" i="5" s="1"/>
  <c r="T4764" i="5" a="1"/>
  <c r="T4764" i="5" s="1"/>
  <c r="U4764" i="5" s="1"/>
  <c r="T4765" i="5" a="1"/>
  <c r="T4765" i="5" s="1"/>
  <c r="U4765" i="5" s="1"/>
  <c r="T4766" i="5" a="1"/>
  <c r="T4766" i="5" s="1"/>
  <c r="U4766" i="5" s="1"/>
  <c r="T4767" i="5" a="1"/>
  <c r="T4767" i="5" s="1"/>
  <c r="U4767" i="5" s="1"/>
  <c r="T4768" i="5" a="1"/>
  <c r="T4768" i="5" s="1"/>
  <c r="U4768" i="5" s="1"/>
  <c r="T4769" i="5" a="1"/>
  <c r="T4769" i="5" s="1"/>
  <c r="U4769" i="5" s="1"/>
  <c r="T4770" i="5" a="1"/>
  <c r="T4770" i="5" s="1"/>
  <c r="U4770" i="5" s="1"/>
  <c r="T4771" i="5" a="1"/>
  <c r="T4771" i="5" s="1"/>
  <c r="U4771" i="5" s="1"/>
  <c r="T4772" i="5" a="1"/>
  <c r="T4772" i="5" s="1"/>
  <c r="U4772" i="5" s="1"/>
  <c r="T4773" i="5" a="1"/>
  <c r="T4773" i="5" s="1"/>
  <c r="U4773" i="5" s="1"/>
  <c r="T4774" i="5" a="1"/>
  <c r="T4774" i="5" s="1"/>
  <c r="U4774" i="5" s="1"/>
  <c r="T4775" i="5" a="1"/>
  <c r="T4775" i="5" s="1"/>
  <c r="U4775" i="5" s="1"/>
  <c r="T4776" i="5" a="1"/>
  <c r="T4776" i="5" s="1"/>
  <c r="U4776" i="5" s="1"/>
  <c r="T4784" i="5" a="1"/>
  <c r="T4784" i="5" s="1"/>
  <c r="U4784" i="5" s="1"/>
  <c r="T4785" i="5" a="1"/>
  <c r="T4785" i="5" s="1"/>
  <c r="U4785" i="5" s="1"/>
  <c r="T4786" i="5" a="1"/>
  <c r="T4786" i="5" s="1"/>
  <c r="U4786" i="5" s="1"/>
  <c r="T4787" i="5" a="1"/>
  <c r="T4787" i="5" s="1"/>
  <c r="U4787" i="5" s="1"/>
  <c r="T4788" i="5" a="1"/>
  <c r="T4788" i="5" s="1"/>
  <c r="U4788" i="5" s="1"/>
  <c r="T4789" i="5" a="1"/>
  <c r="T4789" i="5" s="1"/>
  <c r="U4789" i="5" s="1"/>
  <c r="T4790" i="5" a="1"/>
  <c r="T4790" i="5" s="1"/>
  <c r="U4790" i="5" s="1"/>
  <c r="T4791" i="5" a="1"/>
  <c r="T4791" i="5" s="1"/>
  <c r="U4791" i="5" s="1"/>
  <c r="T4792" i="5" a="1"/>
  <c r="T4792" i="5" s="1"/>
  <c r="U4792" i="5" s="1"/>
  <c r="T4793" i="5" a="1"/>
  <c r="T4793" i="5" s="1"/>
  <c r="U4793" i="5" s="1"/>
  <c r="T4794" i="5" a="1"/>
  <c r="T4794" i="5" s="1"/>
  <c r="U4794" i="5" s="1"/>
  <c r="T4795" i="5" a="1"/>
  <c r="T4795" i="5" s="1"/>
  <c r="U4795" i="5" s="1"/>
  <c r="T4796" i="5" a="1"/>
  <c r="T4796" i="5" s="1"/>
  <c r="U4796" i="5" s="1"/>
  <c r="T4797" i="5" a="1"/>
  <c r="T4797" i="5" s="1"/>
  <c r="U4797" i="5" s="1"/>
  <c r="T4817" i="5" a="1"/>
  <c r="T4817" i="5" s="1"/>
  <c r="U4817" i="5" s="1"/>
  <c r="T4818" i="5" a="1"/>
  <c r="T4818" i="5" s="1"/>
  <c r="U4818" i="5" s="1"/>
  <c r="T4819" i="5" a="1"/>
  <c r="T4819" i="5" s="1"/>
  <c r="U4819" i="5" s="1"/>
  <c r="T4820" i="5" a="1"/>
  <c r="T4820" i="5" s="1"/>
  <c r="U4820" i="5" s="1"/>
  <c r="T4821" i="5" a="1"/>
  <c r="T4821" i="5" s="1"/>
  <c r="U4821" i="5" s="1"/>
  <c r="T4822" i="5" a="1"/>
  <c r="T4822" i="5" s="1"/>
  <c r="U4822" i="5" s="1"/>
  <c r="T4823" i="5" a="1"/>
  <c r="T4823" i="5" s="1"/>
  <c r="U4823" i="5" s="1"/>
  <c r="T4824" i="5" a="1"/>
  <c r="T4824" i="5" s="1"/>
  <c r="U4824" i="5" s="1"/>
  <c r="T4825" i="5" a="1"/>
  <c r="T4825" i="5" s="1"/>
  <c r="U4825" i="5" s="1"/>
  <c r="T4826" i="5" a="1"/>
  <c r="T4826" i="5" s="1"/>
  <c r="U4826" i="5" s="1"/>
  <c r="T4827" i="5" a="1"/>
  <c r="T4827" i="5" s="1"/>
  <c r="U4827" i="5" s="1"/>
  <c r="T4828" i="5" a="1"/>
  <c r="T4828" i="5" s="1"/>
  <c r="U4828" i="5" s="1"/>
  <c r="T4829" i="5" a="1"/>
  <c r="T4829" i="5" s="1"/>
  <c r="U4829" i="5" s="1"/>
  <c r="T4830" i="5" a="1"/>
  <c r="T4830" i="5" s="1"/>
  <c r="U4830" i="5" s="1"/>
  <c r="T4831" i="5" a="1"/>
  <c r="T4831" i="5" s="1"/>
  <c r="U4831" i="5" s="1"/>
  <c r="T4832" i="5" a="1"/>
  <c r="T4832" i="5" s="1"/>
  <c r="U4832" i="5" s="1"/>
  <c r="T4833" i="5" a="1"/>
  <c r="T4833" i="5" s="1"/>
  <c r="U4833" i="5" s="1"/>
  <c r="T4834" i="5" a="1"/>
  <c r="T4834" i="5" s="1"/>
  <c r="U4834" i="5" s="1"/>
  <c r="T4835" i="5" a="1"/>
  <c r="T4835" i="5" s="1"/>
  <c r="U4835" i="5" s="1"/>
  <c r="T4836" i="5" a="1"/>
  <c r="T4836" i="5" s="1"/>
  <c r="U4836" i="5" s="1"/>
  <c r="T4837" i="5" a="1"/>
  <c r="T4837" i="5" s="1"/>
  <c r="U4837" i="5" s="1"/>
  <c r="T4842" i="5" a="1"/>
  <c r="T4842" i="5" s="1"/>
  <c r="U4842" i="5" s="1"/>
  <c r="T4843" i="5" a="1"/>
  <c r="T4843" i="5" s="1"/>
  <c r="U4843" i="5" s="1"/>
  <c r="T4844" i="5" a="1"/>
  <c r="T4844" i="5" s="1"/>
  <c r="U4844" i="5" s="1"/>
  <c r="T4845" i="5" a="1"/>
  <c r="T4845" i="5" s="1"/>
  <c r="U4845" i="5" s="1"/>
  <c r="T4846" i="5" a="1"/>
  <c r="T4846" i="5" s="1"/>
  <c r="U4846" i="5" s="1"/>
  <c r="T4847" i="5" a="1"/>
  <c r="T4847" i="5" s="1"/>
  <c r="U4847" i="5" s="1"/>
  <c r="T4848" i="5" a="1"/>
  <c r="T4848" i="5" s="1"/>
  <c r="U4848" i="5" s="1"/>
  <c r="T4849" i="5" a="1"/>
  <c r="T4849" i="5" s="1"/>
  <c r="U4849" i="5" s="1"/>
  <c r="T4850" i="5" a="1"/>
  <c r="T4850" i="5" s="1"/>
  <c r="U4850" i="5" s="1"/>
  <c r="T4851" i="5" a="1"/>
  <c r="T4851" i="5" s="1"/>
  <c r="U4851" i="5" s="1"/>
  <c r="T4852" i="5" a="1"/>
  <c r="T4852" i="5" s="1"/>
  <c r="U4852" i="5" s="1"/>
  <c r="T4853" i="5" a="1"/>
  <c r="T4853" i="5" s="1"/>
  <c r="U4853" i="5" s="1"/>
  <c r="T4854" i="5" a="1"/>
  <c r="T4854" i="5" s="1"/>
  <c r="U4854" i="5" s="1"/>
  <c r="T4855" i="5" a="1"/>
  <c r="T4855" i="5" s="1"/>
  <c r="U4855" i="5" s="1"/>
  <c r="T4856" i="5" a="1"/>
  <c r="T4856" i="5" s="1"/>
  <c r="U4856" i="5" s="1"/>
  <c r="T4857" i="5" a="1"/>
  <c r="T4857" i="5" s="1"/>
  <c r="U4857" i="5" s="1"/>
  <c r="T4858" i="5" a="1"/>
  <c r="T4858" i="5" s="1"/>
  <c r="U4858" i="5" s="1"/>
  <c r="T4859" i="5" a="1"/>
  <c r="T4859" i="5" s="1"/>
  <c r="U4859" i="5" s="1"/>
  <c r="T4860" i="5" a="1"/>
  <c r="T4860" i="5" s="1"/>
  <c r="U4860" i="5" s="1"/>
  <c r="T4894" i="5" a="1"/>
  <c r="T4894" i="5" s="1"/>
  <c r="U4894" i="5" s="1"/>
  <c r="T4895" i="5" a="1"/>
  <c r="T4895" i="5" s="1"/>
  <c r="U4895" i="5" s="1"/>
  <c r="T4896" i="5" a="1"/>
  <c r="T4896" i="5" s="1"/>
  <c r="U4896" i="5" s="1"/>
  <c r="T4897" i="5" a="1"/>
  <c r="T4897" i="5" s="1"/>
  <c r="U4897" i="5" s="1"/>
  <c r="T4898" i="5" a="1"/>
  <c r="T4898" i="5" s="1"/>
  <c r="U4898" i="5" s="1"/>
  <c r="T4899" i="5" a="1"/>
  <c r="T4899" i="5" s="1"/>
  <c r="U4899" i="5" s="1"/>
  <c r="T4900" i="5" a="1"/>
  <c r="T4900" i="5" s="1"/>
  <c r="U4900" i="5" s="1"/>
  <c r="T4901" i="5" a="1"/>
  <c r="T4901" i="5" s="1"/>
  <c r="U4901" i="5" s="1"/>
  <c r="T4902" i="5" a="1"/>
  <c r="T4902" i="5" s="1"/>
  <c r="U4902" i="5" s="1"/>
  <c r="T4903" i="5" a="1"/>
  <c r="T4903" i="5" s="1"/>
  <c r="U4903" i="5" s="1"/>
  <c r="T4904" i="5" a="1"/>
  <c r="T4904" i="5" s="1"/>
  <c r="U4904" i="5" s="1"/>
  <c r="T4905" i="5" a="1"/>
  <c r="T4905" i="5" s="1"/>
  <c r="U4905" i="5" s="1"/>
  <c r="T4906" i="5" a="1"/>
  <c r="T4906" i="5" s="1"/>
  <c r="U4906" i="5" s="1"/>
  <c r="T4907" i="5" a="1"/>
  <c r="T4907" i="5" s="1"/>
  <c r="U4907" i="5" s="1"/>
  <c r="T4908" i="5" a="1"/>
  <c r="T4908" i="5" s="1"/>
  <c r="U4908" i="5" s="1"/>
  <c r="T4909" i="5" a="1"/>
  <c r="T4909" i="5" s="1"/>
  <c r="U4909" i="5" s="1"/>
  <c r="T4910" i="5" a="1"/>
  <c r="T4910" i="5" s="1"/>
  <c r="U4910" i="5" s="1"/>
  <c r="T4911" i="5" a="1"/>
  <c r="T4911" i="5" s="1"/>
  <c r="U4911" i="5" s="1"/>
  <c r="T4912" i="5" a="1"/>
  <c r="T4912" i="5" s="1"/>
  <c r="U4912" i="5" s="1"/>
  <c r="T4913" i="5" a="1"/>
  <c r="T4913" i="5" s="1"/>
  <c r="U4913" i="5" s="1"/>
  <c r="T4914" i="5" a="1"/>
  <c r="T4914" i="5" s="1"/>
  <c r="U4914" i="5" s="1"/>
  <c r="T4915" i="5" a="1"/>
  <c r="T4915" i="5" s="1"/>
  <c r="U4915" i="5" s="1"/>
  <c r="T4916" i="5" a="1"/>
  <c r="T4916" i="5" s="1"/>
  <c r="U4916" i="5" s="1"/>
  <c r="T4917" i="5" a="1"/>
  <c r="T4917" i="5" s="1"/>
  <c r="U4917" i="5" s="1"/>
  <c r="T4921" i="5" a="1"/>
  <c r="T4921" i="5" s="1"/>
  <c r="U4921" i="5" s="1"/>
  <c r="T4922" i="5" a="1"/>
  <c r="T4922" i="5" s="1"/>
  <c r="U4922" i="5" s="1"/>
  <c r="T4923" i="5" a="1"/>
  <c r="T4923" i="5" s="1"/>
  <c r="U4923" i="5" s="1"/>
  <c r="T4924" i="5" a="1"/>
  <c r="T4924" i="5" s="1"/>
  <c r="U4924" i="5" s="1"/>
  <c r="T4928" i="5" a="1"/>
  <c r="T4928" i="5" s="1"/>
  <c r="U4928" i="5" s="1"/>
  <c r="T4929" i="5" a="1"/>
  <c r="T4929" i="5" s="1"/>
  <c r="U4929" i="5" s="1"/>
  <c r="T4930" i="5" a="1"/>
  <c r="T4930" i="5" s="1"/>
  <c r="U4930" i="5" s="1"/>
  <c r="T4931" i="5" a="1"/>
  <c r="T4931" i="5" s="1"/>
  <c r="U4931" i="5" s="1"/>
  <c r="T4932" i="5" a="1"/>
  <c r="T4932" i="5" s="1"/>
  <c r="U4932" i="5" s="1"/>
  <c r="T4933" i="5" a="1"/>
  <c r="T4933" i="5" s="1"/>
  <c r="U4933" i="5" s="1"/>
  <c r="T4934" i="5" a="1"/>
  <c r="T4934" i="5" s="1"/>
  <c r="U4934" i="5" s="1"/>
  <c r="T4935" i="5" a="1"/>
  <c r="T4935" i="5" s="1"/>
  <c r="U4935" i="5" s="1"/>
  <c r="T4936" i="5" a="1"/>
  <c r="T4936" i="5" s="1"/>
  <c r="U4936" i="5" s="1"/>
  <c r="T4937" i="5" a="1"/>
  <c r="T4937" i="5" s="1"/>
  <c r="U4937" i="5" s="1"/>
  <c r="T4938" i="5" a="1"/>
  <c r="T4938" i="5" s="1"/>
  <c r="U4938" i="5" s="1"/>
  <c r="T4939" i="5" a="1"/>
  <c r="T4939" i="5" s="1"/>
  <c r="U4939" i="5" s="1"/>
  <c r="T4940" i="5" a="1"/>
  <c r="T4940" i="5" s="1"/>
  <c r="U4940" i="5" s="1"/>
  <c r="T4945" i="5" a="1"/>
  <c r="T4945" i="5" s="1"/>
  <c r="U4945" i="5" s="1"/>
  <c r="T4946" i="5" a="1"/>
  <c r="T4946" i="5" s="1"/>
  <c r="U4946" i="5" s="1"/>
  <c r="T4947" i="5" a="1"/>
  <c r="T4947" i="5" s="1"/>
  <c r="U4947" i="5" s="1"/>
  <c r="T4948" i="5" a="1"/>
  <c r="T4948" i="5" s="1"/>
  <c r="U4948" i="5" s="1"/>
  <c r="T4953" i="5" a="1"/>
  <c r="T4953" i="5" s="1"/>
  <c r="U4953" i="5" s="1"/>
  <c r="T4954" i="5" a="1"/>
  <c r="T4954" i="5" s="1"/>
  <c r="U4954" i="5" s="1"/>
  <c r="T4955" i="5" a="1"/>
  <c r="T4955" i="5" s="1"/>
  <c r="U4955" i="5" s="1"/>
  <c r="T4956" i="5" a="1"/>
  <c r="T4956" i="5" s="1"/>
  <c r="U4956" i="5" s="1"/>
  <c r="T4957" i="5" a="1"/>
  <c r="T4957" i="5" s="1"/>
  <c r="U4957" i="5" s="1"/>
  <c r="T4965" i="5" a="1"/>
  <c r="T4965" i="5" s="1"/>
  <c r="U4965" i="5" s="1"/>
  <c r="T4966" i="5" a="1"/>
  <c r="T4966" i="5" s="1"/>
  <c r="U4966" i="5" s="1"/>
  <c r="T4967" i="5" a="1"/>
  <c r="T4967" i="5" s="1"/>
  <c r="U4967" i="5" s="1"/>
  <c r="T4968" i="5" a="1"/>
  <c r="T4968" i="5" s="1"/>
  <c r="U4968" i="5" s="1"/>
  <c r="T4969" i="5" a="1"/>
  <c r="T4969" i="5" s="1"/>
  <c r="U4969" i="5" s="1"/>
  <c r="T4970" i="5" a="1"/>
  <c r="T4970" i="5" s="1"/>
  <c r="U4970" i="5" s="1"/>
  <c r="T4971" i="5" a="1"/>
  <c r="T4971" i="5" s="1"/>
  <c r="U4971" i="5" s="1"/>
  <c r="T4972" i="5" a="1"/>
  <c r="T4972" i="5" s="1"/>
  <c r="U4972" i="5" s="1"/>
  <c r="T4973" i="5" a="1"/>
  <c r="T4973" i="5" s="1"/>
  <c r="U4973" i="5" s="1"/>
  <c r="T4974" i="5" a="1"/>
  <c r="T4974" i="5" s="1"/>
  <c r="U4974" i="5" s="1"/>
  <c r="T4975" i="5" a="1"/>
  <c r="T4975" i="5" s="1"/>
  <c r="U4975" i="5" s="1"/>
  <c r="T4976" i="5" a="1"/>
  <c r="T4976" i="5" s="1"/>
  <c r="U4976" i="5" s="1"/>
  <c r="T4977" i="5" a="1"/>
  <c r="T4977" i="5" s="1"/>
  <c r="U4977" i="5" s="1"/>
  <c r="T4978" i="5" a="1"/>
  <c r="T4978" i="5" s="1"/>
  <c r="U4978" i="5" s="1"/>
  <c r="T4979" i="5" a="1"/>
  <c r="T4979" i="5" s="1"/>
  <c r="U4979" i="5" s="1"/>
  <c r="T4980" i="5" a="1"/>
  <c r="T4980" i="5" s="1"/>
  <c r="U4980" i="5" s="1"/>
  <c r="T4981" i="5" a="1"/>
  <c r="T4981" i="5" s="1"/>
  <c r="U4981" i="5" s="1"/>
  <c r="T4982" i="5" a="1"/>
  <c r="T4982" i="5" s="1"/>
  <c r="U4982" i="5" s="1"/>
  <c r="T4983" i="5" a="1"/>
  <c r="T4983" i="5" s="1"/>
  <c r="U4983" i="5" s="1"/>
  <c r="T4984" i="5" a="1"/>
  <c r="T4984" i="5" s="1"/>
  <c r="U4984" i="5" s="1"/>
  <c r="T4985" i="5" a="1"/>
  <c r="T4985" i="5" s="1"/>
  <c r="U4985" i="5" s="1"/>
  <c r="T4986" i="5" a="1"/>
  <c r="T4986" i="5" s="1"/>
  <c r="U4986" i="5" s="1"/>
  <c r="T4987" i="5" a="1"/>
  <c r="T4987" i="5" s="1"/>
  <c r="U4987" i="5" s="1"/>
  <c r="T4989" i="5" a="1"/>
  <c r="T4989" i="5" s="1"/>
  <c r="U4989" i="5" s="1"/>
  <c r="T5031" i="5" a="1"/>
  <c r="T5031" i="5" s="1"/>
  <c r="U5031" i="5" s="1"/>
  <c r="T5032" i="5" a="1"/>
  <c r="T5032" i="5" s="1"/>
  <c r="U5032" i="5" s="1"/>
  <c r="T5033" i="5" a="1"/>
  <c r="T5033" i="5" s="1"/>
  <c r="U5033" i="5" s="1"/>
  <c r="T5034" i="5" a="1"/>
  <c r="T5034" i="5" s="1"/>
  <c r="U5034" i="5" s="1"/>
  <c r="T5035" i="5" a="1"/>
  <c r="T5035" i="5" s="1"/>
  <c r="U5035" i="5" s="1"/>
  <c r="T5042" i="5" a="1"/>
  <c r="T5042" i="5" s="1"/>
  <c r="U5042" i="5" s="1"/>
  <c r="T5043" i="5" a="1"/>
  <c r="T5043" i="5" s="1"/>
  <c r="U5043" i="5" s="1"/>
  <c r="T5044" i="5" a="1"/>
  <c r="T5044" i="5" s="1"/>
  <c r="U5044" i="5" s="1"/>
  <c r="T5045" i="5" a="1"/>
  <c r="T5045" i="5" s="1"/>
  <c r="U5045" i="5" s="1"/>
  <c r="T5046" i="5" a="1"/>
  <c r="T5046" i="5" s="1"/>
  <c r="U5046" i="5" s="1"/>
  <c r="T5047" i="5" a="1"/>
  <c r="T5047" i="5" s="1"/>
  <c r="U5047" i="5" s="1"/>
  <c r="T5048" i="5" a="1"/>
  <c r="T5048" i="5" s="1"/>
  <c r="U5048" i="5" s="1"/>
  <c r="T5049" i="5" a="1"/>
  <c r="T5049" i="5" s="1"/>
  <c r="U5049" i="5" s="1"/>
  <c r="T5050" i="5" a="1"/>
  <c r="T5050" i="5" s="1"/>
  <c r="U5050" i="5" s="1"/>
  <c r="T5051" i="5" a="1"/>
  <c r="T5051" i="5" s="1"/>
  <c r="U5051" i="5" s="1"/>
  <c r="T5052" i="5" a="1"/>
  <c r="T5052" i="5" s="1"/>
  <c r="U5052" i="5" s="1"/>
  <c r="T5053" i="5" a="1"/>
  <c r="T5053" i="5" s="1"/>
  <c r="U5053" i="5" s="1"/>
  <c r="T5054" i="5" a="1"/>
  <c r="T5054" i="5" s="1"/>
  <c r="U5054" i="5" s="1"/>
  <c r="T5055" i="5" a="1"/>
  <c r="T5055" i="5" s="1"/>
  <c r="U5055" i="5" s="1"/>
  <c r="T5056" i="5" a="1"/>
  <c r="T5056" i="5" s="1"/>
  <c r="U5056" i="5" s="1"/>
  <c r="T5057" i="5" a="1"/>
  <c r="T5057" i="5" s="1"/>
  <c r="U5057" i="5" s="1"/>
  <c r="T5058" i="5" a="1"/>
  <c r="T5058" i="5" s="1"/>
  <c r="U5058" i="5" s="1"/>
  <c r="T5059" i="5" a="1"/>
  <c r="T5059" i="5" s="1"/>
  <c r="U5059" i="5" s="1"/>
  <c r="T5060" i="5" a="1"/>
  <c r="T5060" i="5" s="1"/>
  <c r="U5060" i="5" s="1"/>
  <c r="T5061" i="5" a="1"/>
  <c r="T5061" i="5" s="1"/>
  <c r="U5061" i="5" s="1"/>
  <c r="T5062" i="5" a="1"/>
  <c r="T5062" i="5" s="1"/>
  <c r="U5062" i="5" s="1"/>
  <c r="T5063" i="5" a="1"/>
  <c r="T5063" i="5" s="1"/>
  <c r="U5063" i="5" s="1"/>
  <c r="T5064" i="5" a="1"/>
  <c r="T5064" i="5" s="1"/>
  <c r="U5064" i="5" s="1"/>
  <c r="T5065" i="5" a="1"/>
  <c r="T5065" i="5" s="1"/>
  <c r="U5065" i="5" s="1"/>
  <c r="T5096" i="5" a="1"/>
  <c r="T5096" i="5" s="1"/>
  <c r="U5096" i="5" s="1"/>
  <c r="T5097" i="5" a="1"/>
  <c r="T5097" i="5" s="1"/>
  <c r="U5097" i="5" s="1"/>
  <c r="T5098" i="5" a="1"/>
  <c r="T5098" i="5" s="1"/>
  <c r="U5098" i="5" s="1"/>
  <c r="T5099" i="5" a="1"/>
  <c r="T5099" i="5" s="1"/>
  <c r="U5099" i="5" s="1"/>
  <c r="T5100" i="5" a="1"/>
  <c r="T5100" i="5" s="1"/>
  <c r="U5100" i="5" s="1"/>
  <c r="T5101" i="5" a="1"/>
  <c r="T5101" i="5" s="1"/>
  <c r="U5101" i="5" s="1"/>
  <c r="T5102" i="5" a="1"/>
  <c r="T5102" i="5" s="1"/>
  <c r="U5102" i="5" s="1"/>
  <c r="T5103" i="5" a="1"/>
  <c r="T5103" i="5" s="1"/>
  <c r="U5103" i="5" s="1"/>
  <c r="T5104" i="5" a="1"/>
  <c r="T5104" i="5" s="1"/>
  <c r="U5104" i="5" s="1"/>
  <c r="T5105" i="5" a="1"/>
  <c r="T5105" i="5" s="1"/>
  <c r="U5105" i="5" s="1"/>
  <c r="T5106" i="5" a="1"/>
  <c r="T5106" i="5" s="1"/>
  <c r="U5106" i="5" s="1"/>
  <c r="T5107" i="5" a="1"/>
  <c r="T5107" i="5" s="1"/>
  <c r="U5107" i="5" s="1"/>
  <c r="T5108" i="5" a="1"/>
  <c r="T5108" i="5" s="1"/>
  <c r="U5108" i="5" s="1"/>
  <c r="T5109" i="5" a="1"/>
  <c r="T5109" i="5" s="1"/>
  <c r="U5109" i="5" s="1"/>
  <c r="T5110" i="5" a="1"/>
  <c r="T5110" i="5" s="1"/>
  <c r="U5110" i="5" s="1"/>
  <c r="T5111" i="5" a="1"/>
  <c r="T5111" i="5" s="1"/>
  <c r="U5111" i="5" s="1"/>
  <c r="T5112" i="5" a="1"/>
  <c r="T5112" i="5" s="1"/>
  <c r="U5112" i="5" s="1"/>
  <c r="T5113" i="5" a="1"/>
  <c r="T5113" i="5" s="1"/>
  <c r="U5113" i="5" s="1"/>
  <c r="T5114" i="5" a="1"/>
  <c r="T5114" i="5" s="1"/>
  <c r="U5114" i="5" s="1"/>
  <c r="T5115" i="5" a="1"/>
  <c r="T5115" i="5" s="1"/>
  <c r="U5115" i="5" s="1"/>
  <c r="T5125" i="5" a="1"/>
  <c r="T5125" i="5" s="1"/>
  <c r="U5125" i="5" s="1"/>
  <c r="T5127" i="5" a="1"/>
  <c r="T5127" i="5" s="1"/>
  <c r="U5127" i="5" s="1"/>
  <c r="T5128" i="5" a="1"/>
  <c r="T5128" i="5" s="1"/>
  <c r="U5128" i="5" s="1"/>
  <c r="T5129" i="5" a="1"/>
  <c r="T5129" i="5" s="1"/>
  <c r="U5129" i="5" s="1"/>
  <c r="T5130" i="5" a="1"/>
  <c r="T5130" i="5" s="1"/>
  <c r="U5130" i="5" s="1"/>
  <c r="T5131" i="5" a="1"/>
  <c r="T5131" i="5" s="1"/>
  <c r="U5131" i="5" s="1"/>
  <c r="T5132" i="5" a="1"/>
  <c r="T5132" i="5" s="1"/>
  <c r="U5132" i="5" s="1"/>
  <c r="T5133" i="5" a="1"/>
  <c r="T5133" i="5" s="1"/>
  <c r="U5133" i="5" s="1"/>
  <c r="T5134" i="5" a="1"/>
  <c r="T5134" i="5" s="1"/>
  <c r="U5134" i="5" s="1"/>
  <c r="T5135" i="5" a="1"/>
  <c r="T5135" i="5" s="1"/>
  <c r="U5135" i="5" s="1"/>
  <c r="T5136" i="5" a="1"/>
  <c r="T5136" i="5" s="1"/>
  <c r="U5136" i="5" s="1"/>
  <c r="T5137" i="5" a="1"/>
  <c r="T5137" i="5" s="1"/>
  <c r="U5137" i="5" s="1"/>
  <c r="T5138" i="5" a="1"/>
  <c r="T5138" i="5" s="1"/>
  <c r="U5138" i="5" s="1"/>
  <c r="T5139" i="5" a="1"/>
  <c r="T5139" i="5" s="1"/>
  <c r="U5139" i="5" s="1"/>
  <c r="T5140" i="5" a="1"/>
  <c r="T5140" i="5" s="1"/>
  <c r="U5140" i="5" s="1"/>
  <c r="T5141" i="5" a="1"/>
  <c r="T5141" i="5" s="1"/>
  <c r="U5141" i="5" s="1"/>
  <c r="T5142" i="5" a="1"/>
  <c r="T5142" i="5" s="1"/>
  <c r="U5142" i="5" s="1"/>
  <c r="T5143" i="5" a="1"/>
  <c r="T5143" i="5" s="1"/>
  <c r="U5143" i="5" s="1"/>
  <c r="T5144" i="5" a="1"/>
  <c r="T5144" i="5" s="1"/>
  <c r="U5144" i="5" s="1"/>
  <c r="T5145" i="5" a="1"/>
  <c r="T5145" i="5" s="1"/>
  <c r="U5145" i="5" s="1"/>
  <c r="T5146" i="5" a="1"/>
  <c r="T5146" i="5" s="1"/>
  <c r="U5146" i="5" s="1"/>
  <c r="T5147" i="5" a="1"/>
  <c r="T5147" i="5" s="1"/>
  <c r="U5147" i="5" s="1"/>
  <c r="T5148" i="5" a="1"/>
  <c r="T5148" i="5" s="1"/>
  <c r="U5148" i="5" s="1"/>
  <c r="T5149" i="5" a="1"/>
  <c r="T5149" i="5" s="1"/>
  <c r="U5149" i="5" s="1"/>
  <c r="T5150" i="5" a="1"/>
  <c r="T5150" i="5" s="1"/>
  <c r="U5150" i="5" s="1"/>
  <c r="T5151" i="5" a="1"/>
  <c r="T5151" i="5" s="1"/>
  <c r="U5151" i="5" s="1"/>
  <c r="T5152" i="5" a="1"/>
  <c r="T5152" i="5" s="1"/>
  <c r="U5152" i="5" s="1"/>
  <c r="T5153" i="5" a="1"/>
  <c r="T5153" i="5" s="1"/>
  <c r="U5153" i="5" s="1"/>
  <c r="T5154" i="5" a="1"/>
  <c r="T5154" i="5" s="1"/>
  <c r="U5154" i="5" s="1"/>
  <c r="T5155" i="5" a="1"/>
  <c r="T5155" i="5" s="1"/>
  <c r="U5155" i="5" s="1"/>
  <c r="T5159" i="5" a="1"/>
  <c r="T5159" i="5" s="1"/>
  <c r="U5159" i="5" s="1"/>
  <c r="T5160" i="5" a="1"/>
  <c r="T5160" i="5" s="1"/>
  <c r="U5160" i="5" s="1"/>
  <c r="T5161" i="5" a="1"/>
  <c r="T5161" i="5" s="1"/>
  <c r="U5161" i="5" s="1"/>
  <c r="T5162" i="5" a="1"/>
  <c r="T5162" i="5" s="1"/>
  <c r="U5162" i="5" s="1"/>
  <c r="T5163" i="5" a="1"/>
  <c r="T5163" i="5" s="1"/>
  <c r="U5163" i="5" s="1"/>
  <c r="T5164" i="5" a="1"/>
  <c r="T5164" i="5" s="1"/>
  <c r="U5164" i="5" s="1"/>
  <c r="T5165" i="5" a="1"/>
  <c r="T5165" i="5" s="1"/>
  <c r="U5165" i="5" s="1"/>
  <c r="T5166" i="5" a="1"/>
  <c r="T5166" i="5" s="1"/>
  <c r="U5166" i="5" s="1"/>
  <c r="T5167" i="5" a="1"/>
  <c r="T5167" i="5" s="1"/>
  <c r="U5167" i="5" s="1"/>
  <c r="T5168" i="5" a="1"/>
  <c r="T5168" i="5" s="1"/>
  <c r="U5168" i="5" s="1"/>
  <c r="T5169" i="5" a="1"/>
  <c r="T5169" i="5" s="1"/>
  <c r="U5169" i="5" s="1"/>
  <c r="T5170" i="5" a="1"/>
  <c r="T5170" i="5" s="1"/>
  <c r="U5170" i="5" s="1"/>
  <c r="T5171" i="5" a="1"/>
  <c r="T5171" i="5" s="1"/>
  <c r="U5171" i="5" s="1"/>
  <c r="T5172" i="5" a="1"/>
  <c r="T5172" i="5" s="1"/>
  <c r="U5172" i="5" s="1"/>
  <c r="T5173" i="5" a="1"/>
  <c r="T5173" i="5" s="1"/>
  <c r="U5173" i="5" s="1"/>
  <c r="T5174" i="5" a="1"/>
  <c r="T5174" i="5" s="1"/>
  <c r="U5174" i="5" s="1"/>
  <c r="T5175" i="5" a="1"/>
  <c r="T5175" i="5" s="1"/>
  <c r="U5175" i="5" s="1"/>
  <c r="T5176" i="5" a="1"/>
  <c r="T5176" i="5" s="1"/>
  <c r="U5176" i="5" s="1"/>
  <c r="T5177" i="5" a="1"/>
  <c r="T5177" i="5" s="1"/>
  <c r="U5177" i="5" s="1"/>
  <c r="T5178" i="5" a="1"/>
  <c r="T5178" i="5" s="1"/>
  <c r="U5178" i="5" s="1"/>
  <c r="T5179" i="5" a="1"/>
  <c r="T5179" i="5" s="1"/>
  <c r="U5179" i="5" s="1"/>
  <c r="T5180" i="5" a="1"/>
  <c r="T5180" i="5" s="1"/>
  <c r="U5180" i="5" s="1"/>
  <c r="T5181" i="5" a="1"/>
  <c r="T5181" i="5" s="1"/>
  <c r="U5181" i="5" s="1"/>
  <c r="T5182" i="5" a="1"/>
  <c r="T5182" i="5" s="1"/>
  <c r="U5182" i="5" s="1"/>
  <c r="T5183" i="5" a="1"/>
  <c r="T5183" i="5" s="1"/>
  <c r="U5183" i="5" s="1"/>
  <c r="T5184" i="5" a="1"/>
  <c r="T5184" i="5" s="1"/>
  <c r="U5184" i="5" s="1"/>
  <c r="T5185" i="5" a="1"/>
  <c r="T5185" i="5" s="1"/>
  <c r="U5185" i="5" s="1"/>
  <c r="T5186" i="5" a="1"/>
  <c r="T5186" i="5" s="1"/>
  <c r="U5186" i="5" s="1"/>
  <c r="T5187" i="5" a="1"/>
  <c r="T5187" i="5" s="1"/>
  <c r="U5187" i="5" s="1"/>
  <c r="T5188" i="5" a="1"/>
  <c r="T5188" i="5" s="1"/>
  <c r="U5188" i="5" s="1"/>
  <c r="T5189" i="5" a="1"/>
  <c r="T5189" i="5" s="1"/>
  <c r="U5189" i="5" s="1"/>
  <c r="T5190" i="5" a="1"/>
  <c r="T5190" i="5" s="1"/>
  <c r="U5190" i="5" s="1"/>
  <c r="T5191" i="5" a="1"/>
  <c r="T5191" i="5" s="1"/>
  <c r="U5191" i="5" s="1"/>
  <c r="T5192" i="5" a="1"/>
  <c r="T5192" i="5" s="1"/>
  <c r="U5192" i="5" s="1"/>
  <c r="T5193" i="5" a="1"/>
  <c r="T5193" i="5" s="1"/>
  <c r="U5193" i="5" s="1"/>
  <c r="T5194" i="5" a="1"/>
  <c r="T5194" i="5" s="1"/>
  <c r="U5194" i="5" s="1"/>
  <c r="T5195" i="5" a="1"/>
  <c r="T5195" i="5" s="1"/>
  <c r="U5195" i="5" s="1"/>
  <c r="T5196" i="5" a="1"/>
  <c r="T5196" i="5" s="1"/>
  <c r="U5196" i="5" s="1"/>
  <c r="T5197" i="5" a="1"/>
  <c r="T5197" i="5" s="1"/>
  <c r="U5197" i="5" s="1"/>
  <c r="T5198" i="5" a="1"/>
  <c r="T5198" i="5" s="1"/>
  <c r="U5198" i="5" s="1"/>
  <c r="T5199" i="5" a="1"/>
  <c r="T5199" i="5" s="1"/>
  <c r="U5199" i="5" s="1"/>
  <c r="T5200" i="5" a="1"/>
  <c r="T5200" i="5" s="1"/>
  <c r="U5200" i="5" s="1"/>
  <c r="T5201" i="5" a="1"/>
  <c r="T5201" i="5" s="1"/>
  <c r="U5201" i="5" s="1"/>
  <c r="T5202" i="5" a="1"/>
  <c r="T5202" i="5" s="1"/>
  <c r="U5202" i="5" s="1"/>
  <c r="T5203" i="5" a="1"/>
  <c r="T5203" i="5" s="1"/>
  <c r="U5203" i="5" s="1"/>
  <c r="T5204" i="5" a="1"/>
  <c r="T5204" i="5" s="1"/>
  <c r="U5204" i="5" s="1"/>
  <c r="T5205" i="5" a="1"/>
  <c r="T5205" i="5" s="1"/>
  <c r="U5205" i="5" s="1"/>
  <c r="T5206" i="5" a="1"/>
  <c r="T5206" i="5" s="1"/>
  <c r="U5206" i="5" s="1"/>
  <c r="T5207" i="5" a="1"/>
  <c r="T5207" i="5" s="1"/>
  <c r="U5207" i="5" s="1"/>
  <c r="T5208" i="5" a="1"/>
  <c r="T5208" i="5" s="1"/>
  <c r="U5208" i="5" s="1"/>
  <c r="T5209" i="5" a="1"/>
  <c r="T5209" i="5" s="1"/>
  <c r="U5209" i="5" s="1"/>
  <c r="T5210" i="5" a="1"/>
  <c r="T5210" i="5" s="1"/>
  <c r="U5210" i="5" s="1"/>
  <c r="T5211" i="5" a="1"/>
  <c r="T5211" i="5" s="1"/>
  <c r="U5211" i="5" s="1"/>
  <c r="T5212" i="5" a="1"/>
  <c r="T5212" i="5" s="1"/>
  <c r="U5212" i="5" s="1"/>
  <c r="T5213" i="5" a="1"/>
  <c r="T5213" i="5" s="1"/>
  <c r="U5213" i="5" s="1"/>
  <c r="T5214" i="5" a="1"/>
  <c r="T5214" i="5" s="1"/>
  <c r="U5214" i="5" s="1"/>
  <c r="T5215" i="5" a="1"/>
  <c r="T5215" i="5" s="1"/>
  <c r="U5215" i="5" s="1"/>
  <c r="T5216" i="5" a="1"/>
  <c r="T5216" i="5" s="1"/>
  <c r="U5216" i="5" s="1"/>
  <c r="T5217" i="5" a="1"/>
  <c r="T5217" i="5" s="1"/>
  <c r="U5217" i="5" s="1"/>
  <c r="T5218" i="5" a="1"/>
  <c r="T5218" i="5" s="1"/>
  <c r="U5218" i="5" s="1"/>
  <c r="T5219" i="5" a="1"/>
  <c r="T5219" i="5" s="1"/>
  <c r="U5219" i="5" s="1"/>
  <c r="T5220" i="5" a="1"/>
  <c r="T5220" i="5" s="1"/>
  <c r="U5220" i="5" s="1"/>
  <c r="T5221" i="5" a="1"/>
  <c r="T5221" i="5" s="1"/>
  <c r="U5221" i="5" s="1"/>
  <c r="T5222" i="5" a="1"/>
  <c r="T5222" i="5" s="1"/>
  <c r="U5222" i="5" s="1"/>
  <c r="T5223" i="5" a="1"/>
  <c r="T5223" i="5" s="1"/>
  <c r="U5223" i="5" s="1"/>
  <c r="T5224" i="5" a="1"/>
  <c r="T5224" i="5" s="1"/>
  <c r="U5224" i="5" s="1"/>
  <c r="T5225" i="5" a="1"/>
  <c r="T5225" i="5" s="1"/>
  <c r="U5225" i="5" s="1"/>
  <c r="T5226" i="5" a="1"/>
  <c r="T5226" i="5" s="1"/>
  <c r="U5226" i="5" s="1"/>
  <c r="T5227" i="5" a="1"/>
  <c r="T5227" i="5" s="1"/>
  <c r="U5227" i="5" s="1"/>
  <c r="T5236" i="5" a="1"/>
  <c r="T5236" i="5" s="1"/>
  <c r="U5236" i="5" s="1"/>
  <c r="T5237" i="5" a="1"/>
  <c r="T5237" i="5" s="1"/>
  <c r="U5237" i="5" s="1"/>
  <c r="T5238" i="5" a="1"/>
  <c r="T5238" i="5" s="1"/>
  <c r="U5238" i="5" s="1"/>
  <c r="T5239" i="5" a="1"/>
  <c r="T5239" i="5" s="1"/>
  <c r="U5239" i="5" s="1"/>
  <c r="T5240" i="5" a="1"/>
  <c r="T5240" i="5" s="1"/>
  <c r="U5240" i="5" s="1"/>
  <c r="T5241" i="5" a="1"/>
  <c r="T5241" i="5" s="1"/>
  <c r="U5241" i="5" s="1"/>
  <c r="T5242" i="5" a="1"/>
  <c r="T5242" i="5" s="1"/>
  <c r="U5242" i="5" s="1"/>
  <c r="T5243" i="5" a="1"/>
  <c r="T5243" i="5" s="1"/>
  <c r="U5243" i="5" s="1"/>
  <c r="T5244" i="5" a="1"/>
  <c r="T5244" i="5" s="1"/>
  <c r="U5244" i="5" s="1"/>
  <c r="T5245" i="5" a="1"/>
  <c r="T5245" i="5" s="1"/>
  <c r="U5245" i="5" s="1"/>
  <c r="T5246" i="5" a="1"/>
  <c r="T5246" i="5" s="1"/>
  <c r="U5246" i="5" s="1"/>
  <c r="T5247" i="5" a="1"/>
  <c r="T5247" i="5" s="1"/>
  <c r="U5247" i="5" s="1"/>
  <c r="T5248" i="5" a="1"/>
  <c r="T5248" i="5" s="1"/>
  <c r="U5248" i="5" s="1"/>
  <c r="T5249" i="5" a="1"/>
  <c r="T5249" i="5" s="1"/>
  <c r="U5249" i="5" s="1"/>
  <c r="T5250" i="5" a="1"/>
  <c r="T5250" i="5" s="1"/>
  <c r="U5250" i="5" s="1"/>
  <c r="T5251" i="5" a="1"/>
  <c r="T5251" i="5" s="1"/>
  <c r="U5251" i="5" s="1"/>
  <c r="T5252" i="5" a="1"/>
  <c r="T5252" i="5" s="1"/>
  <c r="U5252" i="5" s="1"/>
  <c r="T5253" i="5" a="1"/>
  <c r="T5253" i="5" s="1"/>
  <c r="U5253" i="5" s="1"/>
  <c r="T5254" i="5" a="1"/>
  <c r="T5254" i="5" s="1"/>
  <c r="U5254" i="5" s="1"/>
  <c r="T5255" i="5" a="1"/>
  <c r="T5255" i="5" s="1"/>
  <c r="U5255" i="5" s="1"/>
  <c r="T5256" i="5" a="1"/>
  <c r="T5256" i="5" s="1"/>
  <c r="U5256" i="5" s="1"/>
  <c r="T5257" i="5" a="1"/>
  <c r="T5257" i="5" s="1"/>
  <c r="U5257" i="5" s="1"/>
  <c r="T5258" i="5" a="1"/>
  <c r="T5258" i="5" s="1"/>
  <c r="U5258" i="5" s="1"/>
  <c r="T5259" i="5" a="1"/>
  <c r="T5259" i="5" s="1"/>
  <c r="U5259" i="5" s="1"/>
  <c r="T5260" i="5" a="1"/>
  <c r="T5260" i="5" s="1"/>
  <c r="U5260" i="5" s="1"/>
  <c r="T5261" i="5" a="1"/>
  <c r="T5261" i="5" s="1"/>
  <c r="U5261" i="5" s="1"/>
  <c r="T5262" i="5" a="1"/>
  <c r="T5262" i="5" s="1"/>
  <c r="U5262" i="5" s="1"/>
  <c r="T5263" i="5" a="1"/>
  <c r="T5263" i="5" s="1"/>
  <c r="U5263" i="5" s="1"/>
  <c r="T5264" i="5" a="1"/>
  <c r="T5264" i="5" s="1"/>
  <c r="U5264" i="5" s="1"/>
  <c r="T5265" i="5" a="1"/>
  <c r="T5265" i="5" s="1"/>
  <c r="U5265" i="5" s="1"/>
  <c r="T5279" i="5" a="1"/>
  <c r="T5279" i="5" s="1"/>
  <c r="U5279" i="5" s="1"/>
  <c r="T5280" i="5" a="1"/>
  <c r="T5280" i="5" s="1"/>
  <c r="U5280" i="5" s="1"/>
  <c r="T5281" i="5" a="1"/>
  <c r="T5281" i="5" s="1"/>
  <c r="U5281" i="5" s="1"/>
  <c r="T5282" i="5" a="1"/>
  <c r="T5282" i="5" s="1"/>
  <c r="U5282" i="5" s="1"/>
  <c r="T5283" i="5" a="1"/>
  <c r="T5283" i="5" s="1"/>
  <c r="U5283" i="5" s="1"/>
  <c r="T5284" i="5" a="1"/>
  <c r="T5284" i="5" s="1"/>
  <c r="U5284" i="5" s="1"/>
  <c r="T5285" i="5" a="1"/>
  <c r="T5285" i="5" s="1"/>
  <c r="U5285" i="5" s="1"/>
  <c r="T5286" i="5" a="1"/>
  <c r="T5286" i="5" s="1"/>
  <c r="U5286" i="5" s="1"/>
  <c r="T5287" i="5" a="1"/>
  <c r="T5287" i="5" s="1"/>
  <c r="U5287" i="5" s="1"/>
  <c r="T5288" i="5" a="1"/>
  <c r="T5288" i="5" s="1"/>
  <c r="U5288" i="5" s="1"/>
  <c r="T5289" i="5" a="1"/>
  <c r="T5289" i="5" s="1"/>
  <c r="U5289" i="5" s="1"/>
  <c r="T5290" i="5" a="1"/>
  <c r="T5290" i="5" s="1"/>
  <c r="U5290" i="5" s="1"/>
  <c r="T5291" i="5" a="1"/>
  <c r="T5291" i="5" s="1"/>
  <c r="U5291" i="5" s="1"/>
  <c r="T5292" i="5" a="1"/>
  <c r="T5292" i="5" s="1"/>
  <c r="U5292" i="5" s="1"/>
  <c r="T5293" i="5" a="1"/>
  <c r="T5293" i="5" s="1"/>
  <c r="U5293" i="5" s="1"/>
  <c r="T5294" i="5" a="1"/>
  <c r="T5294" i="5" s="1"/>
  <c r="U5294" i="5" s="1"/>
  <c r="T5295" i="5" a="1"/>
  <c r="T5295" i="5" s="1"/>
  <c r="U5295" i="5" s="1"/>
  <c r="T5296" i="5" a="1"/>
  <c r="T5296" i="5" s="1"/>
  <c r="U5296" i="5" s="1"/>
  <c r="T5297" i="5" a="1"/>
  <c r="T5297" i="5" s="1"/>
  <c r="U5297" i="5" s="1"/>
  <c r="T5298" i="5" a="1"/>
  <c r="T5298" i="5" s="1"/>
  <c r="U5298" i="5" s="1"/>
  <c r="T5299" i="5" a="1"/>
  <c r="T5299" i="5" s="1"/>
  <c r="U5299" i="5" s="1"/>
  <c r="T5300" i="5" a="1"/>
  <c r="T5300" i="5" s="1"/>
  <c r="U5300" i="5" s="1"/>
  <c r="T5301" i="5" a="1"/>
  <c r="T5301" i="5" s="1"/>
  <c r="U5301" i="5" s="1"/>
  <c r="T5302" i="5" a="1"/>
  <c r="T5302" i="5" s="1"/>
  <c r="U5302" i="5" s="1"/>
  <c r="T5303" i="5" a="1"/>
  <c r="T5303" i="5" s="1"/>
  <c r="U5303" i="5" s="1"/>
  <c r="T5304" i="5" a="1"/>
  <c r="T5304" i="5" s="1"/>
  <c r="U5304" i="5" s="1"/>
  <c r="T5305" i="5" a="1"/>
  <c r="T5305" i="5" s="1"/>
  <c r="U5305" i="5" s="1"/>
  <c r="T5306" i="5" a="1"/>
  <c r="T5306" i="5" s="1"/>
  <c r="U5306" i="5" s="1"/>
  <c r="T5307" i="5" a="1"/>
  <c r="T5307" i="5" s="1"/>
  <c r="U5307" i="5" s="1"/>
  <c r="T5308" i="5" a="1"/>
  <c r="T5308" i="5" s="1"/>
  <c r="U5308" i="5" s="1"/>
  <c r="T5309" i="5" a="1"/>
  <c r="T5309" i="5" s="1"/>
  <c r="U5309" i="5" s="1"/>
  <c r="T5310" i="5" a="1"/>
  <c r="T5310" i="5" s="1"/>
  <c r="U5310" i="5" s="1"/>
  <c r="T5311" i="5" a="1"/>
  <c r="T5311" i="5" s="1"/>
  <c r="U5311" i="5" s="1"/>
  <c r="T5312" i="5" a="1"/>
  <c r="T5312" i="5" s="1"/>
  <c r="U5312" i="5" s="1"/>
  <c r="T5313" i="5" a="1"/>
  <c r="T5313" i="5" s="1"/>
  <c r="U5313" i="5" s="1"/>
  <c r="T5314" i="5" a="1"/>
  <c r="T5314" i="5" s="1"/>
  <c r="U5314" i="5" s="1"/>
  <c r="T5315" i="5" a="1"/>
  <c r="T5315" i="5" s="1"/>
  <c r="U5315" i="5" s="1"/>
  <c r="T5316" i="5" a="1"/>
  <c r="T5316" i="5" s="1"/>
  <c r="U5316" i="5" s="1"/>
  <c r="T5317" i="5" a="1"/>
  <c r="T5317" i="5" s="1"/>
  <c r="U5317" i="5" s="1"/>
  <c r="T5318" i="5" a="1"/>
  <c r="T5318" i="5" s="1"/>
  <c r="U5318" i="5" s="1"/>
  <c r="T5319" i="5" a="1"/>
  <c r="T5319" i="5" s="1"/>
  <c r="U5319" i="5" s="1"/>
  <c r="T5320" i="5" a="1"/>
  <c r="T5320" i="5" s="1"/>
  <c r="U5320" i="5" s="1"/>
  <c r="T5321" i="5" a="1"/>
  <c r="T5321" i="5" s="1"/>
  <c r="U5321" i="5" s="1"/>
  <c r="T5322" i="5" a="1"/>
  <c r="T5322" i="5" s="1"/>
  <c r="U5322" i="5" s="1"/>
  <c r="T5323" i="5" a="1"/>
  <c r="T5323" i="5" s="1"/>
  <c r="U5323" i="5" s="1"/>
  <c r="T5324" i="5" a="1"/>
  <c r="T5324" i="5" s="1"/>
  <c r="U5324" i="5" s="1"/>
  <c r="T5325" i="5" a="1"/>
  <c r="T5325" i="5" s="1"/>
  <c r="U5325" i="5" s="1"/>
  <c r="T5326" i="5" a="1"/>
  <c r="T5326" i="5" s="1"/>
  <c r="U5326" i="5" s="1"/>
  <c r="T5327" i="5" a="1"/>
  <c r="T5327" i="5" s="1"/>
  <c r="U5327" i="5" s="1"/>
  <c r="T5328" i="5" a="1"/>
  <c r="T5328" i="5" s="1"/>
  <c r="U5328" i="5" s="1"/>
  <c r="T5329" i="5" a="1"/>
  <c r="T5329" i="5" s="1"/>
  <c r="U5329" i="5" s="1"/>
  <c r="T5334" i="5" a="1"/>
  <c r="T5334" i="5" s="1"/>
  <c r="U5334" i="5" s="1"/>
  <c r="T5335" i="5" a="1"/>
  <c r="T5335" i="5" s="1"/>
  <c r="U5335" i="5" s="1"/>
  <c r="T5336" i="5" a="1"/>
  <c r="T5336" i="5" s="1"/>
  <c r="U5336" i="5" s="1"/>
  <c r="T5345" i="5" a="1"/>
  <c r="T5345" i="5" s="1"/>
  <c r="U5345" i="5" s="1"/>
  <c r="T5346" i="5" a="1"/>
  <c r="T5346" i="5" s="1"/>
  <c r="U5346" i="5" s="1"/>
  <c r="T5347" i="5" a="1"/>
  <c r="T5347" i="5" s="1"/>
  <c r="U5347" i="5" s="1"/>
  <c r="T5348" i="5" a="1"/>
  <c r="T5348" i="5" s="1"/>
  <c r="U5348" i="5" s="1"/>
  <c r="T5349" i="5" a="1"/>
  <c r="T5349" i="5" s="1"/>
  <c r="U5349" i="5" s="1"/>
  <c r="T5350" i="5" a="1"/>
  <c r="T5350" i="5" s="1"/>
  <c r="U5350" i="5" s="1"/>
  <c r="T5351" i="5" a="1"/>
  <c r="T5351" i="5" s="1"/>
  <c r="U5351" i="5" s="1"/>
  <c r="T5352" i="5" a="1"/>
  <c r="T5352" i="5" s="1"/>
  <c r="U5352" i="5" s="1"/>
  <c r="T5353" i="5" a="1"/>
  <c r="T5353" i="5" s="1"/>
  <c r="U5353" i="5" s="1"/>
  <c r="T5354" i="5" a="1"/>
  <c r="T5354" i="5" s="1"/>
  <c r="U5354" i="5" s="1"/>
  <c r="T5355" i="5" a="1"/>
  <c r="T5355" i="5" s="1"/>
  <c r="U5355" i="5" s="1"/>
  <c r="T5356" i="5" a="1"/>
  <c r="T5356" i="5" s="1"/>
  <c r="U5356" i="5" s="1"/>
  <c r="T5357" i="5" a="1"/>
  <c r="T5357" i="5" s="1"/>
  <c r="U5357" i="5" s="1"/>
  <c r="T5358" i="5" a="1"/>
  <c r="T5358" i="5" s="1"/>
  <c r="U5358" i="5" s="1"/>
  <c r="T5359" i="5" a="1"/>
  <c r="T5359" i="5" s="1"/>
  <c r="U5359" i="5" s="1"/>
  <c r="T5363" i="5" a="1"/>
  <c r="T5363" i="5" s="1"/>
  <c r="U5363" i="5" s="1"/>
  <c r="T5364" i="5" a="1"/>
  <c r="T5364" i="5" s="1"/>
  <c r="U5364" i="5" s="1"/>
  <c r="T5367" i="5" a="1"/>
  <c r="T5367" i="5" s="1"/>
  <c r="U5367" i="5" s="1"/>
  <c r="T5382" i="5" a="1"/>
  <c r="T5382" i="5" s="1"/>
  <c r="U5382" i="5" s="1"/>
  <c r="T5383" i="5" a="1"/>
  <c r="T5383" i="5" s="1"/>
  <c r="U5383" i="5" s="1"/>
  <c r="T5384" i="5" a="1"/>
  <c r="T5384" i="5" s="1"/>
  <c r="U5384" i="5" s="1"/>
  <c r="T5385" i="5" a="1"/>
  <c r="T5385" i="5" s="1"/>
  <c r="U5385" i="5" s="1"/>
  <c r="T5386" i="5" a="1"/>
  <c r="T5386" i="5" s="1"/>
  <c r="U5386" i="5" s="1"/>
  <c r="T5387" i="5" a="1"/>
  <c r="T5387" i="5" s="1"/>
  <c r="U5387" i="5" s="1"/>
  <c r="T5388" i="5" a="1"/>
  <c r="T5388" i="5" s="1"/>
  <c r="U5388" i="5" s="1"/>
  <c r="T5389" i="5" a="1"/>
  <c r="T5389" i="5" s="1"/>
  <c r="U5389" i="5" s="1"/>
  <c r="T5390" i="5" a="1"/>
  <c r="T5390" i="5" s="1"/>
  <c r="U5390" i="5" s="1"/>
  <c r="T5391" i="5" a="1"/>
  <c r="T5391" i="5" s="1"/>
  <c r="U5391" i="5" s="1"/>
  <c r="T5392" i="5" a="1"/>
  <c r="T5392" i="5" s="1"/>
  <c r="U5392" i="5" s="1"/>
  <c r="T5393" i="5" a="1"/>
  <c r="T5393" i="5" s="1"/>
  <c r="U5393" i="5" s="1"/>
  <c r="T5394" i="5" a="1"/>
  <c r="T5394" i="5" s="1"/>
  <c r="U5394" i="5" s="1"/>
  <c r="T5395" i="5" a="1"/>
  <c r="T5395" i="5" s="1"/>
  <c r="U5395" i="5" s="1"/>
  <c r="T5396" i="5" a="1"/>
  <c r="T5396" i="5" s="1"/>
  <c r="U5396" i="5" s="1"/>
  <c r="T5397" i="5" a="1"/>
  <c r="T5397" i="5" s="1"/>
  <c r="U5397" i="5" s="1"/>
  <c r="T5398" i="5" a="1"/>
  <c r="T5398" i="5" s="1"/>
  <c r="U5398" i="5" s="1"/>
  <c r="T5399" i="5" a="1"/>
  <c r="T5399" i="5" s="1"/>
  <c r="U5399" i="5" s="1"/>
  <c r="T5400" i="5" a="1"/>
  <c r="T5400" i="5" s="1"/>
  <c r="U5400" i="5" s="1"/>
  <c r="T5401" i="5" a="1"/>
  <c r="T5401" i="5" s="1"/>
  <c r="U5401" i="5" s="1"/>
  <c r="T5402" i="5" a="1"/>
  <c r="T5402" i="5" s="1"/>
  <c r="U5402" i="5" s="1"/>
  <c r="T5403" i="5" a="1"/>
  <c r="T5403" i="5" s="1"/>
  <c r="U5403" i="5" s="1"/>
  <c r="T5411" i="5" a="1"/>
  <c r="T5411" i="5" s="1"/>
  <c r="U5411" i="5" s="1"/>
  <c r="T5412" i="5" a="1"/>
  <c r="T5412" i="5" s="1"/>
  <c r="U5412" i="5" s="1"/>
  <c r="T5415" i="5" a="1"/>
  <c r="T5415" i="5" s="1"/>
  <c r="U5415" i="5" s="1"/>
  <c r="T5416" i="5" a="1"/>
  <c r="T5416" i="5" s="1"/>
  <c r="U5416" i="5" s="1"/>
  <c r="T5417" i="5" a="1"/>
  <c r="T5417" i="5" s="1"/>
  <c r="U5417" i="5" s="1"/>
  <c r="T5418" i="5" a="1"/>
  <c r="T5418" i="5" s="1"/>
  <c r="U5418" i="5" s="1"/>
  <c r="T5419" i="5" a="1"/>
  <c r="T5419" i="5" s="1"/>
  <c r="U5419" i="5" s="1"/>
  <c r="T5421" i="5" a="1"/>
  <c r="T5421" i="5" s="1"/>
  <c r="U5421" i="5" s="1"/>
  <c r="T5422" i="5" a="1"/>
  <c r="T5422" i="5" s="1"/>
  <c r="U5422" i="5" s="1"/>
  <c r="T5423" i="5" a="1"/>
  <c r="T5423" i="5" s="1"/>
  <c r="U5423" i="5" s="1"/>
  <c r="T5424" i="5" a="1"/>
  <c r="T5424" i="5" s="1"/>
  <c r="U5424" i="5" s="1"/>
  <c r="T5425" i="5" a="1"/>
  <c r="T5425" i="5" s="1"/>
  <c r="U5425" i="5" s="1"/>
  <c r="T5426" i="5" a="1"/>
  <c r="T5426" i="5" s="1"/>
  <c r="U5426" i="5" s="1"/>
  <c r="T5427" i="5" a="1"/>
  <c r="T5427" i="5" s="1"/>
  <c r="U5427" i="5" s="1"/>
  <c r="T5428" i="5" a="1"/>
  <c r="T5428" i="5" s="1"/>
  <c r="U5428" i="5" s="1"/>
  <c r="T5429" i="5" a="1"/>
  <c r="T5429" i="5" s="1"/>
  <c r="U5429" i="5" s="1"/>
  <c r="T5430" i="5" a="1"/>
  <c r="T5430" i="5" s="1"/>
  <c r="U5430" i="5" s="1"/>
  <c r="T5431" i="5" a="1"/>
  <c r="T5431" i="5" s="1"/>
  <c r="U5431" i="5" s="1"/>
  <c r="T5433" i="5" a="1"/>
  <c r="T5433" i="5" s="1"/>
  <c r="U5433" i="5" s="1"/>
  <c r="T5434" i="5" a="1"/>
  <c r="T5434" i="5" s="1"/>
  <c r="U5434" i="5" s="1"/>
  <c r="T5435" i="5" a="1"/>
  <c r="T5435" i="5" s="1"/>
  <c r="U5435" i="5" s="1"/>
  <c r="T5436" i="5" a="1"/>
  <c r="T5436" i="5" s="1"/>
  <c r="U5436" i="5" s="1"/>
  <c r="T5437" i="5" a="1"/>
  <c r="T5437" i="5" s="1"/>
  <c r="U5437" i="5" s="1"/>
  <c r="T5438" i="5" a="1"/>
  <c r="T5438" i="5" s="1"/>
  <c r="U5438" i="5" s="1"/>
  <c r="T5439" i="5" a="1"/>
  <c r="T5439" i="5" s="1"/>
  <c r="U5439" i="5" s="1"/>
  <c r="T5440" i="5" a="1"/>
  <c r="T5440" i="5" s="1"/>
  <c r="U5440" i="5" s="1"/>
  <c r="T5441" i="5" a="1"/>
  <c r="T5441" i="5" s="1"/>
  <c r="U5441" i="5" s="1"/>
  <c r="T5442" i="5" a="1"/>
  <c r="T5442" i="5" s="1"/>
  <c r="U5442" i="5" s="1"/>
  <c r="T5443" i="5" a="1"/>
  <c r="T5443" i="5" s="1"/>
  <c r="U5443" i="5" s="1"/>
  <c r="T5444" i="5" a="1"/>
  <c r="T5444" i="5" s="1"/>
  <c r="U5444" i="5" s="1"/>
  <c r="T5445" i="5" a="1"/>
  <c r="T5445" i="5" s="1"/>
  <c r="U5445" i="5" s="1"/>
  <c r="T5446" i="5" a="1"/>
  <c r="T5446" i="5" s="1"/>
  <c r="U5446" i="5" s="1"/>
  <c r="T5447" i="5" a="1"/>
  <c r="T5447" i="5" s="1"/>
  <c r="U5447" i="5" s="1"/>
  <c r="T5448" i="5" a="1"/>
  <c r="T5448" i="5" s="1"/>
  <c r="U5448" i="5" s="1"/>
  <c r="T5449" i="5" a="1"/>
  <c r="T5449" i="5" s="1"/>
  <c r="U5449" i="5" s="1"/>
  <c r="T5450" i="5" a="1"/>
  <c r="T5450" i="5" s="1"/>
  <c r="U5450" i="5" s="1"/>
  <c r="T5451" i="5" a="1"/>
  <c r="T5451" i="5" s="1"/>
  <c r="U5451" i="5" s="1"/>
  <c r="T5452" i="5" a="1"/>
  <c r="T5452" i="5" s="1"/>
  <c r="U5452" i="5" s="1"/>
  <c r="T5460" i="5" a="1"/>
  <c r="T5460" i="5" s="1"/>
  <c r="U5460" i="5" s="1"/>
  <c r="T5461" i="5" a="1"/>
  <c r="T5461" i="5" s="1"/>
  <c r="U5461" i="5" s="1"/>
  <c r="T5462" i="5" a="1"/>
  <c r="T5462" i="5" s="1"/>
  <c r="U5462" i="5" s="1"/>
  <c r="T5464" i="5" a="1"/>
  <c r="T5464" i="5" s="1"/>
  <c r="U5464" i="5" s="1"/>
  <c r="T5465" i="5" a="1"/>
  <c r="T5465" i="5" s="1"/>
  <c r="U5465" i="5" s="1"/>
  <c r="T5466" i="5" a="1"/>
  <c r="T5466" i="5" s="1"/>
  <c r="U5466" i="5" s="1"/>
  <c r="T5467" i="5" a="1"/>
  <c r="T5467" i="5" s="1"/>
  <c r="U5467" i="5" s="1"/>
  <c r="T5468" i="5" a="1"/>
  <c r="T5468" i="5" s="1"/>
  <c r="U5468" i="5" s="1"/>
  <c r="T5469" i="5" a="1"/>
  <c r="T5469" i="5" s="1"/>
  <c r="U5469" i="5" s="1"/>
  <c r="T5470" i="5" a="1"/>
  <c r="T5470" i="5" s="1"/>
  <c r="U5470" i="5" s="1"/>
  <c r="T5471" i="5" a="1"/>
  <c r="T5471" i="5" s="1"/>
  <c r="U5471" i="5" s="1"/>
  <c r="T5472" i="5" a="1"/>
  <c r="T5472" i="5" s="1"/>
  <c r="U5472" i="5" s="1"/>
  <c r="T5473" i="5" a="1"/>
  <c r="T5473" i="5" s="1"/>
  <c r="U5473" i="5" s="1"/>
  <c r="T5474" i="5" a="1"/>
  <c r="T5474" i="5" s="1"/>
  <c r="U5474" i="5" s="1"/>
  <c r="T5475" i="5" a="1"/>
  <c r="T5475" i="5" s="1"/>
  <c r="U5475" i="5" s="1"/>
  <c r="T5476" i="5" a="1"/>
  <c r="T5476" i="5" s="1"/>
  <c r="U5476" i="5" s="1"/>
  <c r="T5477" i="5" a="1"/>
  <c r="T5477" i="5" s="1"/>
  <c r="U5477" i="5" s="1"/>
  <c r="T5478" i="5" a="1"/>
  <c r="T5478" i="5" s="1"/>
  <c r="U5478" i="5" s="1"/>
  <c r="T5479" i="5" a="1"/>
  <c r="T5479" i="5" s="1"/>
  <c r="U5479" i="5" s="1"/>
  <c r="T5480" i="5" a="1"/>
  <c r="T5480" i="5" s="1"/>
  <c r="U5480" i="5" s="1"/>
  <c r="T5481" i="5" a="1"/>
  <c r="T5481" i="5" s="1"/>
  <c r="U5481" i="5" s="1"/>
  <c r="T5482" i="5" a="1"/>
  <c r="T5482" i="5" s="1"/>
  <c r="U5482" i="5" s="1"/>
  <c r="T5483" i="5" a="1"/>
  <c r="T5483" i="5" s="1"/>
  <c r="U5483" i="5" s="1"/>
  <c r="T5484" i="5" a="1"/>
  <c r="T5484" i="5" s="1"/>
  <c r="U5484" i="5" s="1"/>
  <c r="T5485" i="5" a="1"/>
  <c r="T5485" i="5" s="1"/>
  <c r="U5485" i="5" s="1"/>
  <c r="T5486" i="5" a="1"/>
  <c r="T5486" i="5" s="1"/>
  <c r="U5486" i="5" s="1"/>
  <c r="T5487" i="5" a="1"/>
  <c r="T5487" i="5" s="1"/>
  <c r="U5487" i="5" s="1"/>
  <c r="T5488" i="5" a="1"/>
  <c r="T5488" i="5" s="1"/>
  <c r="U5488" i="5" s="1"/>
  <c r="T5489" i="5" a="1"/>
  <c r="T5489" i="5" s="1"/>
  <c r="U5489" i="5" s="1"/>
  <c r="T5490" i="5" a="1"/>
  <c r="T5490" i="5" s="1"/>
  <c r="U5490" i="5" s="1"/>
  <c r="T5491" i="5" a="1"/>
  <c r="T5491" i="5" s="1"/>
  <c r="U5491" i="5" s="1"/>
  <c r="T5492" i="5" a="1"/>
  <c r="T5492" i="5" s="1"/>
  <c r="U5492" i="5" s="1"/>
  <c r="T5493" i="5" a="1"/>
  <c r="T5493" i="5" s="1"/>
  <c r="U5493" i="5" s="1"/>
  <c r="T5494" i="5" a="1"/>
  <c r="T5494" i="5" s="1"/>
  <c r="U5494" i="5" s="1"/>
  <c r="T5495" i="5" a="1"/>
  <c r="T5495" i="5" s="1"/>
  <c r="U5495" i="5" s="1"/>
  <c r="T5496" i="5" a="1"/>
  <c r="T5496" i="5" s="1"/>
  <c r="U5496" i="5" s="1"/>
  <c r="T5497" i="5" a="1"/>
  <c r="T5497" i="5" s="1"/>
  <c r="U5497" i="5" s="1"/>
  <c r="T5498" i="5" a="1"/>
  <c r="T5498" i="5" s="1"/>
  <c r="U5498" i="5" s="1"/>
  <c r="T5499" i="5" a="1"/>
  <c r="T5499" i="5" s="1"/>
  <c r="U5499" i="5" s="1"/>
  <c r="T5500" i="5" a="1"/>
  <c r="T5500" i="5" s="1"/>
  <c r="U5500" i="5" s="1"/>
  <c r="T5501" i="5" a="1"/>
  <c r="T5501" i="5" s="1"/>
  <c r="U5501" i="5" s="1"/>
  <c r="T5502" i="5" a="1"/>
  <c r="T5502" i="5" s="1"/>
  <c r="U5502" i="5" s="1"/>
  <c r="T5503" i="5" a="1"/>
  <c r="T5503" i="5" s="1"/>
  <c r="U5503" i="5" s="1"/>
  <c r="T5504" i="5" a="1"/>
  <c r="T5504" i="5" s="1"/>
  <c r="U5504" i="5" s="1"/>
  <c r="T5505" i="5" a="1"/>
  <c r="T5505" i="5" s="1"/>
  <c r="U5505" i="5" s="1"/>
  <c r="T5506" i="5" a="1"/>
  <c r="T5506" i="5" s="1"/>
  <c r="U5506" i="5" s="1"/>
  <c r="T5507" i="5" a="1"/>
  <c r="T5507" i="5" s="1"/>
  <c r="U5507" i="5" s="1"/>
  <c r="T5508" i="5" a="1"/>
  <c r="T5508" i="5" s="1"/>
  <c r="U5508" i="5" s="1"/>
  <c r="T5509" i="5" a="1"/>
  <c r="T5509" i="5" s="1"/>
  <c r="U5509" i="5" s="1"/>
  <c r="T5510" i="5" a="1"/>
  <c r="T5510" i="5" s="1"/>
  <c r="U5510" i="5" s="1"/>
  <c r="T5511" i="5" a="1"/>
  <c r="T5511" i="5" s="1"/>
  <c r="U5511" i="5" s="1"/>
  <c r="T5512" i="5" a="1"/>
  <c r="T5512" i="5" s="1"/>
  <c r="U5512" i="5" s="1"/>
  <c r="T5513" i="5" a="1"/>
  <c r="T5513" i="5" s="1"/>
  <c r="U5513" i="5" s="1"/>
  <c r="T5514" i="5" a="1"/>
  <c r="T5514" i="5" s="1"/>
  <c r="U5514" i="5" s="1"/>
  <c r="T5515" i="5" a="1"/>
  <c r="T5515" i="5" s="1"/>
  <c r="U5515" i="5" s="1"/>
  <c r="T5516" i="5" a="1"/>
  <c r="T5516" i="5" s="1"/>
  <c r="U5516" i="5" s="1"/>
  <c r="T5517" i="5" a="1"/>
  <c r="T5517" i="5" s="1"/>
  <c r="U5517" i="5" s="1"/>
  <c r="T5518" i="5" a="1"/>
  <c r="T5518" i="5" s="1"/>
  <c r="U5518" i="5" s="1"/>
  <c r="T5519" i="5" a="1"/>
  <c r="T5519" i="5" s="1"/>
  <c r="U5519" i="5" s="1"/>
  <c r="T5520" i="5" a="1"/>
  <c r="T5520" i="5" s="1"/>
  <c r="U5520" i="5" s="1"/>
  <c r="T5521" i="5" a="1"/>
  <c r="T5521" i="5" s="1"/>
  <c r="U5521" i="5" s="1"/>
  <c r="T5522" i="5" a="1"/>
  <c r="T5522" i="5" s="1"/>
  <c r="U5522" i="5" s="1"/>
  <c r="T5523" i="5" a="1"/>
  <c r="T5523" i="5" s="1"/>
  <c r="U5523" i="5" s="1"/>
  <c r="T5524" i="5" a="1"/>
  <c r="T5524" i="5" s="1"/>
  <c r="U5524" i="5" s="1"/>
  <c r="T5525" i="5" a="1"/>
  <c r="T5525" i="5" s="1"/>
  <c r="U5525" i="5" s="1"/>
  <c r="T5526" i="5" a="1"/>
  <c r="T5526" i="5" s="1"/>
  <c r="U5526" i="5" s="1"/>
  <c r="T5527" i="5" a="1"/>
  <c r="T5527" i="5" s="1"/>
  <c r="U5527" i="5" s="1"/>
  <c r="T5528" i="5" a="1"/>
  <c r="T5528" i="5" s="1"/>
  <c r="U5528" i="5" s="1"/>
  <c r="T5529" i="5" a="1"/>
  <c r="T5529" i="5" s="1"/>
  <c r="U5529" i="5" s="1"/>
  <c r="T5530" i="5" a="1"/>
  <c r="T5530" i="5" s="1"/>
  <c r="U5530" i="5" s="1"/>
  <c r="T5531" i="5" a="1"/>
  <c r="T5531" i="5" s="1"/>
  <c r="U5531" i="5" s="1"/>
  <c r="T5532" i="5" a="1"/>
  <c r="T5532" i="5" s="1"/>
  <c r="U5532" i="5" s="1"/>
  <c r="T5533" i="5" a="1"/>
  <c r="T5533" i="5" s="1"/>
  <c r="U5533" i="5" s="1"/>
  <c r="T5534" i="5" a="1"/>
  <c r="T5534" i="5" s="1"/>
  <c r="U5534" i="5" s="1"/>
  <c r="T5535" i="5" a="1"/>
  <c r="T5535" i="5" s="1"/>
  <c r="U5535" i="5" s="1"/>
  <c r="T5536" i="5" a="1"/>
  <c r="T5536" i="5" s="1"/>
  <c r="U5536" i="5" s="1"/>
  <c r="T5537" i="5" a="1"/>
  <c r="T5537" i="5" s="1"/>
  <c r="U5537" i="5" s="1"/>
  <c r="T5538" i="5" a="1"/>
  <c r="T5538" i="5" s="1"/>
  <c r="U5538" i="5" s="1"/>
  <c r="T5539" i="5" a="1"/>
  <c r="T5539" i="5" s="1"/>
  <c r="U5539" i="5" s="1"/>
  <c r="T5540" i="5" a="1"/>
  <c r="T5540" i="5" s="1"/>
  <c r="U5540" i="5" s="1"/>
  <c r="T5541" i="5" a="1"/>
  <c r="T5541" i="5" s="1"/>
  <c r="U5541" i="5" s="1"/>
  <c r="T5542" i="5" a="1"/>
  <c r="T5542" i="5" s="1"/>
  <c r="U5542" i="5" s="1"/>
  <c r="T5543" i="5" a="1"/>
  <c r="T5543" i="5" s="1"/>
  <c r="U5543" i="5" s="1"/>
  <c r="T5544" i="5" a="1"/>
  <c r="T5544" i="5" s="1"/>
  <c r="U5544" i="5" s="1"/>
  <c r="T5545" i="5" a="1"/>
  <c r="T5545" i="5" s="1"/>
  <c r="U5545" i="5" s="1"/>
  <c r="T5546" i="5" a="1"/>
  <c r="T5546" i="5" s="1"/>
  <c r="U5546" i="5" s="1"/>
  <c r="T5547" i="5" a="1"/>
  <c r="T5547" i="5" s="1"/>
  <c r="U5547" i="5" s="1"/>
  <c r="T5548" i="5" a="1"/>
  <c r="T5548" i="5" s="1"/>
  <c r="U5548" i="5" s="1"/>
  <c r="T5549" i="5" a="1"/>
  <c r="T5549" i="5" s="1"/>
  <c r="U5549" i="5" s="1"/>
  <c r="T5550" i="5" a="1"/>
  <c r="T5550" i="5" s="1"/>
  <c r="U5550" i="5" s="1"/>
  <c r="T5551" i="5" a="1"/>
  <c r="T5551" i="5" s="1"/>
  <c r="U5551" i="5" s="1"/>
  <c r="T5552" i="5" a="1"/>
  <c r="T5552" i="5" s="1"/>
  <c r="U5552" i="5" s="1"/>
  <c r="T5553" i="5" a="1"/>
  <c r="T5553" i="5" s="1"/>
  <c r="U5553" i="5" s="1"/>
  <c r="T5554" i="5" a="1"/>
  <c r="T5554" i="5" s="1"/>
  <c r="U5554" i="5" s="1"/>
  <c r="T5555" i="5" a="1"/>
  <c r="T5555" i="5" s="1"/>
  <c r="U5555" i="5" s="1"/>
  <c r="T5556" i="5" a="1"/>
  <c r="T5556" i="5" s="1"/>
  <c r="U5556" i="5" s="1"/>
  <c r="T5557" i="5" a="1"/>
  <c r="T5557" i="5" s="1"/>
  <c r="U5557" i="5" s="1"/>
  <c r="T5578" i="5" a="1"/>
  <c r="T5578" i="5" s="1"/>
  <c r="U5578" i="5" s="1"/>
  <c r="T5579" i="5" a="1"/>
  <c r="T5579" i="5" s="1"/>
  <c r="U5579" i="5" s="1"/>
  <c r="T5580" i="5" a="1"/>
  <c r="T5580" i="5" s="1"/>
  <c r="U5580" i="5" s="1"/>
  <c r="T5581" i="5" a="1"/>
  <c r="T5581" i="5" s="1"/>
  <c r="U5581" i="5" s="1"/>
  <c r="T5582" i="5" a="1"/>
  <c r="T5582" i="5" s="1"/>
  <c r="U5582" i="5" s="1"/>
  <c r="T5583" i="5" a="1"/>
  <c r="T5583" i="5" s="1"/>
  <c r="U5583" i="5" s="1"/>
  <c r="T5584" i="5" a="1"/>
  <c r="T5584" i="5" s="1"/>
  <c r="U5584" i="5" s="1"/>
  <c r="T5585" i="5" a="1"/>
  <c r="T5585" i="5" s="1"/>
  <c r="U5585" i="5" s="1"/>
  <c r="T5586" i="5" a="1"/>
  <c r="T5586" i="5" s="1"/>
  <c r="U5586" i="5" s="1"/>
  <c r="T5587" i="5" a="1"/>
  <c r="T5587" i="5" s="1"/>
  <c r="U5587" i="5" s="1"/>
  <c r="T5588" i="5" a="1"/>
  <c r="T5588" i="5" s="1"/>
  <c r="U5588" i="5" s="1"/>
  <c r="T5589" i="5" a="1"/>
  <c r="T5589" i="5" s="1"/>
  <c r="U5589" i="5" s="1"/>
  <c r="T5590" i="5" a="1"/>
  <c r="T5590" i="5" s="1"/>
  <c r="U5590" i="5" s="1"/>
  <c r="T5595" i="5" a="1"/>
  <c r="T5595" i="5" s="1"/>
  <c r="U5595" i="5" s="1"/>
  <c r="T5601" i="5" a="1"/>
  <c r="T5601" i="5" s="1"/>
  <c r="U5601" i="5" s="1"/>
  <c r="T5602" i="5" a="1"/>
  <c r="T5602" i="5" s="1"/>
  <c r="U5602" i="5" s="1"/>
  <c r="T5603" i="5" a="1"/>
  <c r="T5603" i="5" s="1"/>
  <c r="U5603" i="5" s="1"/>
  <c r="T5604" i="5" a="1"/>
  <c r="T5604" i="5" s="1"/>
  <c r="U5604" i="5" s="1"/>
  <c r="T5605" i="5" a="1"/>
  <c r="T5605" i="5" s="1"/>
  <c r="U5605" i="5" s="1"/>
  <c r="T5606" i="5" a="1"/>
  <c r="T5606" i="5" s="1"/>
  <c r="U5606" i="5" s="1"/>
  <c r="T5607" i="5" a="1"/>
  <c r="T5607" i="5" s="1"/>
  <c r="U5607" i="5" s="1"/>
  <c r="T5608" i="5" a="1"/>
  <c r="T5608" i="5" s="1"/>
  <c r="U5608" i="5" s="1"/>
  <c r="T5609" i="5" a="1"/>
  <c r="T5609" i="5" s="1"/>
  <c r="U5609" i="5" s="1"/>
  <c r="T5610" i="5" a="1"/>
  <c r="T5610" i="5" s="1"/>
  <c r="U5610" i="5" s="1"/>
  <c r="T5611" i="5" a="1"/>
  <c r="T5611" i="5" s="1"/>
  <c r="U5611" i="5" s="1"/>
  <c r="T5612" i="5" a="1"/>
  <c r="T5612" i="5" s="1"/>
  <c r="U5612" i="5" s="1"/>
  <c r="T5613" i="5" a="1"/>
  <c r="T5613" i="5" s="1"/>
  <c r="U5613" i="5" s="1"/>
  <c r="T5614" i="5" a="1"/>
  <c r="T5614" i="5" s="1"/>
  <c r="U5614" i="5" s="1"/>
  <c r="T5615" i="5" a="1"/>
  <c r="T5615" i="5" s="1"/>
  <c r="U5615" i="5" s="1"/>
  <c r="T5616" i="5" a="1"/>
  <c r="T5616" i="5" s="1"/>
  <c r="U5616" i="5" s="1"/>
  <c r="T5617" i="5" a="1"/>
  <c r="T5617" i="5" s="1"/>
  <c r="U5617" i="5" s="1"/>
  <c r="T5618" i="5" a="1"/>
  <c r="T5618" i="5" s="1"/>
  <c r="U5618" i="5" s="1"/>
  <c r="T5619" i="5" a="1"/>
  <c r="T5619" i="5" s="1"/>
  <c r="U5619" i="5" s="1"/>
  <c r="T5620" i="5" a="1"/>
  <c r="T5620" i="5" s="1"/>
  <c r="U5620" i="5" s="1"/>
  <c r="T5621" i="5" a="1"/>
  <c r="T5621" i="5" s="1"/>
  <c r="U5621" i="5" s="1"/>
  <c r="T5622" i="5" a="1"/>
  <c r="T5622" i="5" s="1"/>
  <c r="U5622" i="5" s="1"/>
  <c r="T5623" i="5" a="1"/>
  <c r="T5623" i="5" s="1"/>
  <c r="U5623" i="5" s="1"/>
  <c r="T5624" i="5" a="1"/>
  <c r="T5624" i="5" s="1"/>
  <c r="U5624" i="5" s="1"/>
  <c r="T5625" i="5" a="1"/>
  <c r="T5625" i="5" s="1"/>
  <c r="U5625" i="5" s="1"/>
  <c r="T5626" i="5" a="1"/>
  <c r="T5626" i="5" s="1"/>
  <c r="U5626" i="5" s="1"/>
  <c r="T5627" i="5" a="1"/>
  <c r="T5627" i="5" s="1"/>
  <c r="U5627" i="5" s="1"/>
  <c r="T5628" i="5" a="1"/>
  <c r="T5628" i="5" s="1"/>
  <c r="U5628" i="5" s="1"/>
  <c r="T5629" i="5" a="1"/>
  <c r="T5629" i="5" s="1"/>
  <c r="U5629" i="5" s="1"/>
  <c r="T5630" i="5" a="1"/>
  <c r="T5630" i="5" s="1"/>
  <c r="U5630" i="5" s="1"/>
  <c r="T5631" i="5" a="1"/>
  <c r="T5631" i="5" s="1"/>
  <c r="U5631" i="5" s="1"/>
  <c r="T5632" i="5" a="1"/>
  <c r="T5632" i="5" s="1"/>
  <c r="U5632" i="5" s="1"/>
  <c r="T5633" i="5" a="1"/>
  <c r="T5633" i="5" s="1"/>
  <c r="U5633" i="5" s="1"/>
  <c r="T5634" i="5" a="1"/>
  <c r="T5634" i="5" s="1"/>
  <c r="U5634" i="5" s="1"/>
  <c r="T5635" i="5" a="1"/>
  <c r="T5635" i="5" s="1"/>
  <c r="U5635" i="5" s="1"/>
  <c r="T5636" i="5" a="1"/>
  <c r="T5636" i="5" s="1"/>
  <c r="U5636" i="5" s="1"/>
  <c r="T5637" i="5" a="1"/>
  <c r="T5637" i="5" s="1"/>
  <c r="U5637" i="5" s="1"/>
  <c r="T5638" i="5" a="1"/>
  <c r="T5638" i="5" s="1"/>
  <c r="U5638" i="5" s="1"/>
  <c r="T5639" i="5" a="1"/>
  <c r="T5639" i="5" s="1"/>
  <c r="U5639" i="5" s="1"/>
  <c r="T5640" i="5" a="1"/>
  <c r="T5640" i="5" s="1"/>
  <c r="U5640" i="5" s="1"/>
  <c r="T5641" i="5" a="1"/>
  <c r="T5641" i="5" s="1"/>
  <c r="U5641" i="5" s="1"/>
  <c r="T5642" i="5" a="1"/>
  <c r="T5642" i="5" s="1"/>
  <c r="U5642" i="5" s="1"/>
  <c r="T5643" i="5" a="1"/>
  <c r="T5643" i="5" s="1"/>
  <c r="U5643" i="5" s="1"/>
  <c r="T5644" i="5" a="1"/>
  <c r="T5644" i="5" s="1"/>
  <c r="U5644" i="5" s="1"/>
  <c r="T5645" i="5" a="1"/>
  <c r="T5645" i="5" s="1"/>
  <c r="U5645" i="5" s="1"/>
  <c r="T5646" i="5" a="1"/>
  <c r="T5646" i="5" s="1"/>
  <c r="U5646" i="5" s="1"/>
  <c r="T5647" i="5" a="1"/>
  <c r="T5647" i="5" s="1"/>
  <c r="U5647" i="5" s="1"/>
  <c r="T5648" i="5" a="1"/>
  <c r="T5648" i="5" s="1"/>
  <c r="U5648" i="5" s="1"/>
  <c r="T5649" i="5" a="1"/>
  <c r="T5649" i="5" s="1"/>
  <c r="U5649" i="5" s="1"/>
  <c r="T5650" i="5" a="1"/>
  <c r="T5650" i="5" s="1"/>
  <c r="U5650" i="5" s="1"/>
  <c r="T5651" i="5" a="1"/>
  <c r="T5651" i="5" s="1"/>
  <c r="U5651" i="5" s="1"/>
  <c r="T5652" i="5" a="1"/>
  <c r="T5652" i="5" s="1"/>
  <c r="U5652" i="5" s="1"/>
  <c r="T5653" i="5" a="1"/>
  <c r="T5653" i="5" s="1"/>
  <c r="U5653" i="5" s="1"/>
  <c r="T5654" i="5" a="1"/>
  <c r="T5654" i="5" s="1"/>
  <c r="U5654" i="5" s="1"/>
  <c r="T5655" i="5" a="1"/>
  <c r="T5655" i="5" s="1"/>
  <c r="U5655" i="5" s="1"/>
  <c r="T5656" i="5" a="1"/>
  <c r="T5656" i="5" s="1"/>
  <c r="U5656" i="5" s="1"/>
  <c r="T5657" i="5" a="1"/>
  <c r="T5657" i="5" s="1"/>
  <c r="U5657" i="5" s="1"/>
  <c r="T5658" i="5" a="1"/>
  <c r="T5658" i="5" s="1"/>
  <c r="U5658" i="5" s="1"/>
  <c r="T5659" i="5" a="1"/>
  <c r="T5659" i="5" s="1"/>
  <c r="U5659" i="5" s="1"/>
  <c r="T5660" i="5" a="1"/>
  <c r="T5660" i="5" s="1"/>
  <c r="U5660" i="5" s="1"/>
  <c r="T5661" i="5" a="1"/>
  <c r="T5661" i="5" s="1"/>
  <c r="U5661" i="5" s="1"/>
  <c r="T5662" i="5" a="1"/>
  <c r="T5662" i="5" s="1"/>
  <c r="U5662" i="5" s="1"/>
  <c r="T5663" i="5" a="1"/>
  <c r="T5663" i="5" s="1"/>
  <c r="U5663" i="5" s="1"/>
  <c r="T5664" i="5" a="1"/>
  <c r="T5664" i="5" s="1"/>
  <c r="U5664" i="5" s="1"/>
  <c r="T5665" i="5" a="1"/>
  <c r="T5665" i="5" s="1"/>
  <c r="U5665" i="5" s="1"/>
  <c r="T5666" i="5" a="1"/>
  <c r="T5666" i="5" s="1"/>
  <c r="U5666" i="5" s="1"/>
  <c r="T5667" i="5" a="1"/>
  <c r="T5667" i="5" s="1"/>
  <c r="U5667" i="5" s="1"/>
  <c r="T5668" i="5" a="1"/>
  <c r="T5668" i="5" s="1"/>
  <c r="U5668" i="5" s="1"/>
  <c r="T5669" i="5" a="1"/>
  <c r="T5669" i="5" s="1"/>
  <c r="U5669" i="5" s="1"/>
  <c r="T5670" i="5" a="1"/>
  <c r="T5670" i="5" s="1"/>
  <c r="U5670" i="5" s="1"/>
  <c r="T5671" i="5" a="1"/>
  <c r="T5671" i="5" s="1"/>
  <c r="U5671" i="5" s="1"/>
  <c r="T5672" i="5" a="1"/>
  <c r="T5672" i="5" s="1"/>
  <c r="U5672" i="5" s="1"/>
  <c r="T5673" i="5" a="1"/>
  <c r="T5673" i="5" s="1"/>
  <c r="U5673" i="5" s="1"/>
  <c r="T5674" i="5" a="1"/>
  <c r="T5674" i="5" s="1"/>
  <c r="U5674" i="5" s="1"/>
  <c r="T5675" i="5" a="1"/>
  <c r="T5675" i="5" s="1"/>
  <c r="U5675" i="5" s="1"/>
  <c r="T5676" i="5" a="1"/>
  <c r="T5676" i="5" s="1"/>
  <c r="U5676" i="5" s="1"/>
  <c r="T5677" i="5" a="1"/>
  <c r="T5677" i="5" s="1"/>
  <c r="U5677" i="5" s="1"/>
  <c r="T5678" i="5" a="1"/>
  <c r="T5678" i="5" s="1"/>
  <c r="U5678" i="5" s="1"/>
  <c r="T5679" i="5" a="1"/>
  <c r="T5679" i="5" s="1"/>
  <c r="U5679" i="5" s="1"/>
  <c r="T5680" i="5" a="1"/>
  <c r="T5680" i="5" s="1"/>
  <c r="U5680" i="5" s="1"/>
  <c r="T5681" i="5" a="1"/>
  <c r="T5681" i="5" s="1"/>
  <c r="U5681" i="5" s="1"/>
  <c r="T5682" i="5" a="1"/>
  <c r="T5682" i="5" s="1"/>
  <c r="U5682" i="5" s="1"/>
  <c r="T5683" i="5" a="1"/>
  <c r="T5683" i="5" s="1"/>
  <c r="U5683" i="5" s="1"/>
  <c r="T5684" i="5" a="1"/>
  <c r="T5684" i="5" s="1"/>
  <c r="U5684" i="5" s="1"/>
  <c r="T5685" i="5" a="1"/>
  <c r="T5685" i="5" s="1"/>
  <c r="U5685" i="5" s="1"/>
  <c r="T5686" i="5" a="1"/>
  <c r="T5686" i="5" s="1"/>
  <c r="U5686" i="5" s="1"/>
  <c r="T5687" i="5" a="1"/>
  <c r="T5687" i="5" s="1"/>
  <c r="U5687" i="5" s="1"/>
  <c r="T5688" i="5" a="1"/>
  <c r="T5688" i="5" s="1"/>
  <c r="U5688" i="5" s="1"/>
  <c r="T5689" i="5" a="1"/>
  <c r="T5689" i="5" s="1"/>
  <c r="U5689" i="5" s="1"/>
  <c r="T5690" i="5" a="1"/>
  <c r="T5690" i="5" s="1"/>
  <c r="U5690" i="5" s="1"/>
  <c r="T5691" i="5" a="1"/>
  <c r="T5691" i="5" s="1"/>
  <c r="U5691" i="5" s="1"/>
  <c r="T5692" i="5" a="1"/>
  <c r="T5692" i="5" s="1"/>
  <c r="U5692" i="5" s="1"/>
  <c r="T5693" i="5" a="1"/>
  <c r="T5693" i="5" s="1"/>
  <c r="U5693" i="5" s="1"/>
  <c r="T5694" i="5" a="1"/>
  <c r="T5694" i="5" s="1"/>
  <c r="U5694" i="5" s="1"/>
  <c r="T5695" i="5" a="1"/>
  <c r="T5695" i="5" s="1"/>
  <c r="U5695" i="5" s="1"/>
  <c r="T5696" i="5" a="1"/>
  <c r="T5696" i="5" s="1"/>
  <c r="U5696" i="5" s="1"/>
  <c r="T5697" i="5" a="1"/>
  <c r="T5697" i="5" s="1"/>
  <c r="U5697" i="5" s="1"/>
  <c r="T5698" i="5" a="1"/>
  <c r="T5698" i="5" s="1"/>
  <c r="U5698" i="5" s="1"/>
  <c r="T5699" i="5" a="1"/>
  <c r="T5699" i="5" s="1"/>
  <c r="U5699" i="5" s="1"/>
  <c r="T5700" i="5" a="1"/>
  <c r="T5700" i="5" s="1"/>
  <c r="U5700" i="5" s="1"/>
  <c r="T5701" i="5" a="1"/>
  <c r="T5701" i="5" s="1"/>
  <c r="U5701" i="5" s="1"/>
  <c r="T5702" i="5" a="1"/>
  <c r="T5702" i="5" s="1"/>
  <c r="U5702" i="5" s="1"/>
  <c r="T5703" i="5" a="1"/>
  <c r="T5703" i="5" s="1"/>
  <c r="U5703" i="5" s="1"/>
  <c r="T5704" i="5" a="1"/>
  <c r="T5704" i="5" s="1"/>
  <c r="U5704" i="5" s="1"/>
  <c r="T5705" i="5" a="1"/>
  <c r="T5705" i="5" s="1"/>
  <c r="U5705" i="5" s="1"/>
  <c r="T5706" i="5" a="1"/>
  <c r="T5706" i="5" s="1"/>
  <c r="U5706" i="5" s="1"/>
  <c r="T5707" i="5" a="1"/>
  <c r="T5707" i="5" s="1"/>
  <c r="U5707" i="5" s="1"/>
  <c r="T5708" i="5" a="1"/>
  <c r="T5708" i="5" s="1"/>
  <c r="U5708" i="5" s="1"/>
  <c r="T5709" i="5" a="1"/>
  <c r="T5709" i="5" s="1"/>
  <c r="U5709" i="5" s="1"/>
  <c r="T5710" i="5" a="1"/>
  <c r="T5710" i="5" s="1"/>
  <c r="U5710" i="5" s="1"/>
  <c r="T5711" i="5" a="1"/>
  <c r="T5711" i="5" s="1"/>
  <c r="U5711" i="5" s="1"/>
  <c r="T5712" i="5" a="1"/>
  <c r="T5712" i="5" s="1"/>
  <c r="U5712" i="5" s="1"/>
  <c r="T5713" i="5" a="1"/>
  <c r="T5713" i="5" s="1"/>
  <c r="U5713" i="5" s="1"/>
  <c r="T5714" i="5" a="1"/>
  <c r="T5714" i="5" s="1"/>
  <c r="U5714" i="5" s="1"/>
  <c r="T5715" i="5" a="1"/>
  <c r="T5715" i="5" s="1"/>
  <c r="U5715" i="5" s="1"/>
  <c r="T5716" i="5" a="1"/>
  <c r="T5716" i="5" s="1"/>
  <c r="U5716" i="5" s="1"/>
  <c r="T5717" i="5" a="1"/>
  <c r="T5717" i="5" s="1"/>
  <c r="U5717" i="5" s="1"/>
  <c r="T5718" i="5" a="1"/>
  <c r="T5718" i="5" s="1"/>
  <c r="U5718" i="5" s="1"/>
  <c r="T5719" i="5" a="1"/>
  <c r="T5719" i="5" s="1"/>
  <c r="U5719" i="5" s="1"/>
  <c r="T5720" i="5" a="1"/>
  <c r="T5720" i="5" s="1"/>
  <c r="U5720" i="5" s="1"/>
  <c r="T5721" i="5" a="1"/>
  <c r="T5721" i="5" s="1"/>
  <c r="U5721" i="5" s="1"/>
  <c r="T5722" i="5" a="1"/>
  <c r="T5722" i="5" s="1"/>
  <c r="U5722" i="5" s="1"/>
  <c r="T5723" i="5" a="1"/>
  <c r="T5723" i="5" s="1"/>
  <c r="U5723" i="5" s="1"/>
  <c r="T5724" i="5" a="1"/>
  <c r="T5724" i="5" s="1"/>
  <c r="U5724" i="5" s="1"/>
  <c r="T5725" i="5" a="1"/>
  <c r="T5725" i="5" s="1"/>
  <c r="U5725" i="5" s="1"/>
  <c r="T5726" i="5" a="1"/>
  <c r="T5726" i="5" s="1"/>
  <c r="U5726" i="5" s="1"/>
  <c r="T5727" i="5" a="1"/>
  <c r="T5727" i="5" s="1"/>
  <c r="U5727" i="5" s="1"/>
  <c r="T5728" i="5" a="1"/>
  <c r="T5728" i="5" s="1"/>
  <c r="U5728" i="5" s="1"/>
  <c r="T5729" i="5" a="1"/>
  <c r="T5729" i="5" s="1"/>
  <c r="U5729" i="5" s="1"/>
  <c r="T5730" i="5" a="1"/>
  <c r="T5730" i="5" s="1"/>
  <c r="U5730" i="5" s="1"/>
  <c r="T5731" i="5" a="1"/>
  <c r="T5731" i="5" s="1"/>
  <c r="U5731" i="5" s="1"/>
  <c r="T5732" i="5" a="1"/>
  <c r="T5732" i="5" s="1"/>
  <c r="U5732" i="5" s="1"/>
  <c r="T5733" i="5" a="1"/>
  <c r="T5733" i="5" s="1"/>
  <c r="U5733" i="5" s="1"/>
  <c r="T5734" i="5" a="1"/>
  <c r="T5734" i="5" s="1"/>
  <c r="U5734" i="5" s="1"/>
  <c r="T5735" i="5" a="1"/>
  <c r="T5735" i="5" s="1"/>
  <c r="U5735" i="5" s="1"/>
  <c r="T5736" i="5" a="1"/>
  <c r="T5736" i="5" s="1"/>
  <c r="U5736" i="5" s="1"/>
  <c r="T5737" i="5" a="1"/>
  <c r="T5737" i="5" s="1"/>
  <c r="U5737" i="5" s="1"/>
  <c r="T5738" i="5" a="1"/>
  <c r="T5738" i="5" s="1"/>
  <c r="U5738" i="5" s="1"/>
  <c r="T5739" i="5" a="1"/>
  <c r="T5739" i="5" s="1"/>
  <c r="U5739" i="5" s="1"/>
  <c r="T5740" i="5" a="1"/>
  <c r="T5740" i="5" s="1"/>
  <c r="U5740" i="5" s="1"/>
  <c r="T5741" i="5" a="1"/>
  <c r="T5741" i="5" s="1"/>
  <c r="U5741" i="5" s="1"/>
  <c r="T5742" i="5" a="1"/>
  <c r="T5742" i="5" s="1"/>
  <c r="U5742" i="5" s="1"/>
  <c r="T5743" i="5" a="1"/>
  <c r="T5743" i="5" s="1"/>
  <c r="U5743" i="5" s="1"/>
  <c r="T5744" i="5" a="1"/>
  <c r="T5744" i="5" s="1"/>
  <c r="U5744" i="5" s="1"/>
  <c r="T5745" i="5" a="1"/>
  <c r="T5745" i="5" s="1"/>
  <c r="U5745" i="5" s="1"/>
  <c r="T5746" i="5" a="1"/>
  <c r="T5746" i="5" s="1"/>
  <c r="U5746" i="5" s="1"/>
  <c r="T5747" i="5" a="1"/>
  <c r="T5747" i="5" s="1"/>
  <c r="U5747" i="5" s="1"/>
  <c r="T5748" i="5" a="1"/>
  <c r="T5748" i="5" s="1"/>
  <c r="U5748" i="5" s="1"/>
  <c r="T5749" i="5" a="1"/>
  <c r="T5749" i="5" s="1"/>
  <c r="U5749" i="5" s="1"/>
  <c r="T5750" i="5" a="1"/>
  <c r="T5750" i="5" s="1"/>
  <c r="U5750" i="5" s="1"/>
  <c r="T5751" i="5" a="1"/>
  <c r="T5751" i="5" s="1"/>
  <c r="U5751" i="5" s="1"/>
  <c r="T5752" i="5" a="1"/>
  <c r="T5752" i="5" s="1"/>
  <c r="U5752" i="5" s="1"/>
  <c r="T5753" i="5" a="1"/>
  <c r="T5753" i="5" s="1"/>
  <c r="U5753" i="5" s="1"/>
  <c r="T5754" i="5" a="1"/>
  <c r="T5754" i="5" s="1"/>
  <c r="U5754" i="5" s="1"/>
  <c r="T5755" i="5" a="1"/>
  <c r="T5755" i="5" s="1"/>
  <c r="U5755" i="5" s="1"/>
  <c r="T5765" i="5" a="1"/>
  <c r="T5765" i="5" s="1"/>
  <c r="U5765" i="5" s="1"/>
  <c r="T5766" i="5" a="1"/>
  <c r="T5766" i="5" s="1"/>
  <c r="U5766" i="5" s="1"/>
  <c r="T5778" i="5" a="1"/>
  <c r="T5778" i="5" s="1"/>
  <c r="U5778" i="5" s="1"/>
  <c r="T5779" i="5" a="1"/>
  <c r="T5779" i="5" s="1"/>
  <c r="U5779" i="5" s="1"/>
  <c r="T5780" i="5" a="1"/>
  <c r="T5780" i="5" s="1"/>
  <c r="U5780" i="5" s="1"/>
  <c r="T5781" i="5" a="1"/>
  <c r="T5781" i="5" s="1"/>
  <c r="U5781" i="5" s="1"/>
  <c r="T5782" i="5" a="1"/>
  <c r="T5782" i="5" s="1"/>
  <c r="U5782" i="5" s="1"/>
  <c r="T5783" i="5" a="1"/>
  <c r="T5783" i="5" s="1"/>
  <c r="U5783" i="5" s="1"/>
  <c r="T5784" i="5" a="1"/>
  <c r="T5784" i="5" s="1"/>
  <c r="U5784" i="5" s="1"/>
  <c r="T5785" i="5" a="1"/>
  <c r="T5785" i="5" s="1"/>
  <c r="U5785" i="5" s="1"/>
  <c r="T5786" i="5" a="1"/>
  <c r="T5786" i="5" s="1"/>
  <c r="U5786" i="5" s="1"/>
  <c r="T5787" i="5" a="1"/>
  <c r="T5787" i="5" s="1"/>
  <c r="U5787" i="5" s="1"/>
  <c r="T5788" i="5" a="1"/>
  <c r="T5788" i="5" s="1"/>
  <c r="U5788" i="5" s="1"/>
  <c r="T5789" i="5" a="1"/>
  <c r="T5789" i="5" s="1"/>
  <c r="U5789" i="5" s="1"/>
  <c r="T5790" i="5" a="1"/>
  <c r="T5790" i="5" s="1"/>
  <c r="U5790" i="5" s="1"/>
  <c r="T5791" i="5" a="1"/>
  <c r="T5791" i="5" s="1"/>
  <c r="U5791" i="5" s="1"/>
  <c r="T5792" i="5" a="1"/>
  <c r="T5792" i="5" s="1"/>
  <c r="U5792" i="5" s="1"/>
  <c r="T5793" i="5" a="1"/>
  <c r="T5793" i="5" s="1"/>
  <c r="U5793" i="5" s="1"/>
  <c r="T5794" i="5" a="1"/>
  <c r="T5794" i="5" s="1"/>
  <c r="U5794" i="5" s="1"/>
  <c r="T5795" i="5" a="1"/>
  <c r="T5795" i="5" s="1"/>
  <c r="U5795" i="5" s="1"/>
  <c r="T5799" i="5" a="1"/>
  <c r="T5799" i="5" s="1"/>
  <c r="U5799" i="5" s="1"/>
  <c r="T5800" i="5" a="1"/>
  <c r="T5800" i="5" s="1"/>
  <c r="U5800" i="5" s="1"/>
  <c r="T5801" i="5" a="1"/>
  <c r="T5801" i="5" s="1"/>
  <c r="U5801" i="5" s="1"/>
  <c r="T5802" i="5" a="1"/>
  <c r="T5802" i="5" s="1"/>
  <c r="U5802" i="5" s="1"/>
  <c r="T5803" i="5" a="1"/>
  <c r="T5803" i="5" s="1"/>
  <c r="U5803" i="5" s="1"/>
  <c r="T5804" i="5" a="1"/>
  <c r="T5804" i="5" s="1"/>
  <c r="U5804" i="5" s="1"/>
  <c r="T5809" i="5" a="1"/>
  <c r="T5809" i="5" s="1"/>
  <c r="U5809" i="5" s="1"/>
  <c r="T5810" i="5" a="1"/>
  <c r="T5810" i="5" s="1"/>
  <c r="U5810" i="5" s="1"/>
  <c r="T5811" i="5" a="1"/>
  <c r="T5811" i="5" s="1"/>
  <c r="U5811" i="5" s="1"/>
  <c r="T5812" i="5" a="1"/>
  <c r="T5812" i="5" s="1"/>
  <c r="U5812" i="5" s="1"/>
  <c r="T5813" i="5" a="1"/>
  <c r="T5813" i="5" s="1"/>
  <c r="U5813" i="5" s="1"/>
  <c r="T5814" i="5" a="1"/>
  <c r="T5814" i="5" s="1"/>
  <c r="U5814" i="5" s="1"/>
  <c r="T5815" i="5" a="1"/>
  <c r="T5815" i="5" s="1"/>
  <c r="U5815" i="5" s="1"/>
  <c r="T5816" i="5" a="1"/>
  <c r="T5816" i="5" s="1"/>
  <c r="U5816" i="5" s="1"/>
  <c r="T5817" i="5" a="1"/>
  <c r="T5817" i="5" s="1"/>
  <c r="U5817" i="5" s="1"/>
  <c r="T5818" i="5" a="1"/>
  <c r="T5818" i="5" s="1"/>
  <c r="U5818" i="5" s="1"/>
  <c r="T5819" i="5" a="1"/>
  <c r="T5819" i="5" s="1"/>
  <c r="U5819" i="5" s="1"/>
  <c r="T5820" i="5" a="1"/>
  <c r="T5820" i="5" s="1"/>
  <c r="U5820" i="5" s="1"/>
  <c r="T5821" i="5" a="1"/>
  <c r="T5821" i="5" s="1"/>
  <c r="U5821" i="5" s="1"/>
  <c r="T5822" i="5" a="1"/>
  <c r="T5822" i="5" s="1"/>
  <c r="U5822" i="5" s="1"/>
  <c r="T5823" i="5" a="1"/>
  <c r="T5823" i="5" s="1"/>
  <c r="U5823" i="5" s="1"/>
  <c r="T5824" i="5" a="1"/>
  <c r="T5824" i="5" s="1"/>
  <c r="U5824" i="5" s="1"/>
  <c r="T5825" i="5" a="1"/>
  <c r="T5825" i="5" s="1"/>
  <c r="U5825" i="5" s="1"/>
  <c r="T5826" i="5" a="1"/>
  <c r="T5826" i="5" s="1"/>
  <c r="U5826" i="5" s="1"/>
  <c r="T5827" i="5" a="1"/>
  <c r="T5827" i="5" s="1"/>
  <c r="U5827" i="5" s="1"/>
  <c r="T5828" i="5" a="1"/>
  <c r="T5828" i="5" s="1"/>
  <c r="U5828" i="5" s="1"/>
  <c r="T5829" i="5" a="1"/>
  <c r="T5829" i="5" s="1"/>
  <c r="U5829" i="5" s="1"/>
  <c r="T5830" i="5" a="1"/>
  <c r="T5830" i="5" s="1"/>
  <c r="U5830" i="5" s="1"/>
  <c r="T5831" i="5" a="1"/>
  <c r="T5831" i="5" s="1"/>
  <c r="U5831" i="5" s="1"/>
  <c r="T5832" i="5" a="1"/>
  <c r="T5832" i="5" s="1"/>
  <c r="U5832" i="5" s="1"/>
  <c r="T5833" i="5" a="1"/>
  <c r="T5833" i="5" s="1"/>
  <c r="U5833" i="5" s="1"/>
  <c r="T5834" i="5" a="1"/>
  <c r="T5834" i="5" s="1"/>
  <c r="U5834" i="5" s="1"/>
  <c r="T5835" i="5" a="1"/>
  <c r="T5835" i="5" s="1"/>
  <c r="U5835" i="5" s="1"/>
  <c r="T5836" i="5" a="1"/>
  <c r="T5836" i="5" s="1"/>
  <c r="U5836" i="5" s="1"/>
  <c r="T5837" i="5" a="1"/>
  <c r="T5837" i="5" s="1"/>
  <c r="U5837" i="5" s="1"/>
  <c r="T5838" i="5" a="1"/>
  <c r="T5838" i="5" s="1"/>
  <c r="U5838" i="5" s="1"/>
  <c r="T5839" i="5" a="1"/>
  <c r="T5839" i="5" s="1"/>
  <c r="U5839" i="5" s="1"/>
  <c r="T5871" i="5" a="1"/>
  <c r="T5871" i="5" s="1"/>
  <c r="U5871" i="5" s="1"/>
  <c r="T5872" i="5" a="1"/>
  <c r="T5872" i="5" s="1"/>
  <c r="U5872" i="5" s="1"/>
  <c r="T5873" i="5" a="1"/>
  <c r="T5873" i="5" s="1"/>
  <c r="U5873" i="5" s="1"/>
  <c r="T5874" i="5" a="1"/>
  <c r="T5874" i="5" s="1"/>
  <c r="U5874" i="5" s="1"/>
  <c r="T5875" i="5" a="1"/>
  <c r="T5875" i="5" s="1"/>
  <c r="U5875" i="5" s="1"/>
  <c r="T5876" i="5" a="1"/>
  <c r="T5876" i="5" s="1"/>
  <c r="U5876" i="5" s="1"/>
  <c r="T5877" i="5" a="1"/>
  <c r="T5877" i="5" s="1"/>
  <c r="U5877" i="5" s="1"/>
  <c r="T5878" i="5" a="1"/>
  <c r="T5878" i="5" s="1"/>
  <c r="U5878" i="5" s="1"/>
  <c r="T5879" i="5" a="1"/>
  <c r="T5879" i="5" s="1"/>
  <c r="U5879" i="5" s="1"/>
  <c r="T5880" i="5" a="1"/>
  <c r="T5880" i="5" s="1"/>
  <c r="U5880" i="5" s="1"/>
  <c r="T5881" i="5" a="1"/>
  <c r="T5881" i="5" s="1"/>
  <c r="U5881" i="5" s="1"/>
  <c r="T5882" i="5" a="1"/>
  <c r="T5882" i="5" s="1"/>
  <c r="U5882" i="5" s="1"/>
  <c r="T5883" i="5" a="1"/>
  <c r="T5883" i="5" s="1"/>
  <c r="U5883" i="5" s="1"/>
  <c r="T5884" i="5" a="1"/>
  <c r="T5884" i="5" s="1"/>
  <c r="U5884" i="5" s="1"/>
  <c r="T5885" i="5" a="1"/>
  <c r="T5885" i="5" s="1"/>
  <c r="U5885" i="5" s="1"/>
  <c r="T5886" i="5" a="1"/>
  <c r="T5886" i="5" s="1"/>
  <c r="U5886" i="5" s="1"/>
  <c r="T5887" i="5" a="1"/>
  <c r="T5887" i="5" s="1"/>
  <c r="U5887" i="5" s="1"/>
  <c r="T5888" i="5" a="1"/>
  <c r="T5888" i="5" s="1"/>
  <c r="U5888" i="5" s="1"/>
  <c r="T5889" i="5" a="1"/>
  <c r="T5889" i="5" s="1"/>
  <c r="U5889" i="5" s="1"/>
  <c r="T5890" i="5" a="1"/>
  <c r="T5890" i="5" s="1"/>
  <c r="U5890" i="5" s="1"/>
  <c r="T5891" i="5" a="1"/>
  <c r="T5891" i="5" s="1"/>
  <c r="U5891" i="5" s="1"/>
  <c r="T5892" i="5" a="1"/>
  <c r="T5892" i="5" s="1"/>
  <c r="U5892" i="5" s="1"/>
  <c r="T5913" i="5" a="1"/>
  <c r="T5913" i="5" s="1"/>
  <c r="U5913" i="5" s="1"/>
  <c r="T5914" i="5" a="1"/>
  <c r="T5914" i="5" s="1"/>
  <c r="U5914" i="5" s="1"/>
  <c r="T5915" i="5" a="1"/>
  <c r="T5915" i="5" s="1"/>
  <c r="U5915" i="5" s="1"/>
  <c r="T5916" i="5" a="1"/>
  <c r="T5916" i="5" s="1"/>
  <c r="U5916" i="5" s="1"/>
  <c r="T5917" i="5" a="1"/>
  <c r="T5917" i="5" s="1"/>
  <c r="U5917" i="5" s="1"/>
  <c r="T5918" i="5" a="1"/>
  <c r="T5918" i="5" s="1"/>
  <c r="U5918" i="5" s="1"/>
  <c r="T5919" i="5" a="1"/>
  <c r="T5919" i="5" s="1"/>
  <c r="U5919" i="5" s="1"/>
  <c r="T5920" i="5" a="1"/>
  <c r="T5920" i="5" s="1"/>
  <c r="U5920" i="5" s="1"/>
  <c r="T5921" i="5" a="1"/>
  <c r="T5921" i="5" s="1"/>
  <c r="U5921" i="5" s="1"/>
  <c r="T5922" i="5" a="1"/>
  <c r="T5922" i="5" s="1"/>
  <c r="U5922" i="5" s="1"/>
  <c r="T5923" i="5" a="1"/>
  <c r="T5923" i="5" s="1"/>
  <c r="U5923" i="5" s="1"/>
  <c r="T5924" i="5" a="1"/>
  <c r="T5924" i="5" s="1"/>
  <c r="U5924" i="5" s="1"/>
  <c r="T5925" i="5" a="1"/>
  <c r="T5925" i="5" s="1"/>
  <c r="U5925" i="5" s="1"/>
  <c r="T5926" i="5" a="1"/>
  <c r="T5926" i="5" s="1"/>
  <c r="U5926" i="5" s="1"/>
  <c r="T5927" i="5" a="1"/>
  <c r="T5927" i="5" s="1"/>
  <c r="U5927" i="5" s="1"/>
  <c r="T5928" i="5" a="1"/>
  <c r="T5928" i="5" s="1"/>
  <c r="U5928" i="5" s="1"/>
  <c r="T5930" i="5" a="1"/>
  <c r="T5930" i="5" s="1"/>
  <c r="U5930" i="5" s="1"/>
  <c r="T5931" i="5" a="1"/>
  <c r="T5931" i="5" s="1"/>
  <c r="U5931" i="5" s="1"/>
  <c r="T5932" i="5" a="1"/>
  <c r="T5932" i="5" s="1"/>
  <c r="U5932" i="5" s="1"/>
  <c r="T5933" i="5" a="1"/>
  <c r="T5933" i="5" s="1"/>
  <c r="U5933" i="5" s="1"/>
  <c r="T5934" i="5" a="1"/>
  <c r="T5934" i="5" s="1"/>
  <c r="U5934" i="5" s="1"/>
  <c r="T5935" i="5" a="1"/>
  <c r="T5935" i="5" s="1"/>
  <c r="U5935" i="5" s="1"/>
  <c r="T5936" i="5" a="1"/>
  <c r="T5936" i="5" s="1"/>
  <c r="U5936" i="5" s="1"/>
  <c r="T5937" i="5" a="1"/>
  <c r="T5937" i="5" s="1"/>
  <c r="U5937" i="5" s="1"/>
  <c r="T5938" i="5" a="1"/>
  <c r="T5938" i="5" s="1"/>
  <c r="U5938" i="5" s="1"/>
  <c r="T5939" i="5" a="1"/>
  <c r="T5939" i="5" s="1"/>
  <c r="U5939" i="5" s="1"/>
  <c r="T5940" i="5" a="1"/>
  <c r="T5940" i="5" s="1"/>
  <c r="U5940" i="5" s="1"/>
  <c r="T5941" i="5" a="1"/>
  <c r="T5941" i="5" s="1"/>
  <c r="U5941" i="5" s="1"/>
  <c r="T5942" i="5" a="1"/>
  <c r="T5942" i="5" s="1"/>
  <c r="U5942" i="5" s="1"/>
  <c r="T5943" i="5" a="1"/>
  <c r="T5943" i="5" s="1"/>
  <c r="U5943" i="5" s="1"/>
  <c r="T5944" i="5" a="1"/>
  <c r="T5944" i="5" s="1"/>
  <c r="U5944" i="5" s="1"/>
  <c r="T5945" i="5" a="1"/>
  <c r="T5945" i="5" s="1"/>
  <c r="U5945" i="5" s="1"/>
  <c r="T5946" i="5" a="1"/>
  <c r="T5946" i="5" s="1"/>
  <c r="U5946" i="5" s="1"/>
  <c r="T5947" i="5" a="1"/>
  <c r="T5947" i="5" s="1"/>
  <c r="U5947" i="5" s="1"/>
  <c r="T5948" i="5" a="1"/>
  <c r="T5948" i="5" s="1"/>
  <c r="U5948" i="5" s="1"/>
  <c r="T5949" i="5" a="1"/>
  <c r="T5949" i="5" s="1"/>
  <c r="U5949" i="5" s="1"/>
  <c r="T5950" i="5" a="1"/>
  <c r="T5950" i="5" s="1"/>
  <c r="U5950" i="5" s="1"/>
  <c r="T5951" i="5" a="1"/>
  <c r="T5951" i="5" s="1"/>
  <c r="U5951" i="5" s="1"/>
  <c r="T5952" i="5" a="1"/>
  <c r="T5952" i="5" s="1"/>
  <c r="U5952" i="5" s="1"/>
  <c r="T5953" i="5" a="1"/>
  <c r="T5953" i="5" s="1"/>
  <c r="U5953" i="5" s="1"/>
  <c r="T5954" i="5" a="1"/>
  <c r="T5954" i="5" s="1"/>
  <c r="U5954" i="5" s="1"/>
  <c r="T5955" i="5" a="1"/>
  <c r="T5955" i="5" s="1"/>
  <c r="U5955" i="5" s="1"/>
  <c r="T5956" i="5" a="1"/>
  <c r="T5956" i="5" s="1"/>
  <c r="U5956" i="5" s="1"/>
  <c r="T5957" i="5" a="1"/>
  <c r="T5957" i="5" s="1"/>
  <c r="U5957" i="5" s="1"/>
  <c r="T5958" i="5" a="1"/>
  <c r="T5958" i="5" s="1"/>
  <c r="U5958" i="5" s="1"/>
  <c r="T5959" i="5" a="1"/>
  <c r="T5959" i="5" s="1"/>
  <c r="U5959" i="5" s="1"/>
  <c r="T5960" i="5" a="1"/>
  <c r="T5960" i="5" s="1"/>
  <c r="U5960" i="5" s="1"/>
  <c r="T5961" i="5" a="1"/>
  <c r="T5961" i="5" s="1"/>
  <c r="U5961" i="5" s="1"/>
  <c r="T5962" i="5" a="1"/>
  <c r="T5962" i="5" s="1"/>
  <c r="U5962" i="5" s="1"/>
  <c r="T5963" i="5" a="1"/>
  <c r="T5963" i="5" s="1"/>
  <c r="U5963" i="5" s="1"/>
  <c r="T5964" i="5" a="1"/>
  <c r="T5964" i="5" s="1"/>
  <c r="U5964" i="5" s="1"/>
  <c r="T5965" i="5" a="1"/>
  <c r="T5965" i="5" s="1"/>
  <c r="U5965" i="5" s="1"/>
  <c r="T5966" i="5" a="1"/>
  <c r="T5966" i="5" s="1"/>
  <c r="U5966" i="5" s="1"/>
  <c r="T5967" i="5" a="1"/>
  <c r="T5967" i="5" s="1"/>
  <c r="U5967" i="5" s="1"/>
  <c r="T5968" i="5" a="1"/>
  <c r="T5968" i="5" s="1"/>
  <c r="U5968" i="5" s="1"/>
  <c r="T5969" i="5" a="1"/>
  <c r="T5969" i="5" s="1"/>
  <c r="U5969" i="5" s="1"/>
  <c r="T5970" i="5" a="1"/>
  <c r="T5970" i="5" s="1"/>
  <c r="U5970" i="5" s="1"/>
  <c r="T5971" i="5" a="1"/>
  <c r="T5971" i="5" s="1"/>
  <c r="U5971" i="5" s="1"/>
  <c r="T5972" i="5" a="1"/>
  <c r="T5972" i="5" s="1"/>
  <c r="U5972" i="5" s="1"/>
  <c r="T5973" i="5" a="1"/>
  <c r="T5973" i="5" s="1"/>
  <c r="U5973" i="5" s="1"/>
  <c r="T5974" i="5" a="1"/>
  <c r="T5974" i="5" s="1"/>
  <c r="U5974" i="5" s="1"/>
  <c r="T5975" i="5" a="1"/>
  <c r="T5975" i="5" s="1"/>
  <c r="U5975" i="5" s="1"/>
  <c r="T5976" i="5" a="1"/>
  <c r="T5976" i="5" s="1"/>
  <c r="U5976" i="5" s="1"/>
  <c r="T5977" i="5" a="1"/>
  <c r="T5977" i="5" s="1"/>
  <c r="U5977" i="5" s="1"/>
  <c r="T5978" i="5" a="1"/>
  <c r="T5978" i="5" s="1"/>
  <c r="U5978" i="5" s="1"/>
  <c r="T5979" i="5" a="1"/>
  <c r="T5979" i="5" s="1"/>
  <c r="U5979" i="5" s="1"/>
  <c r="T5980" i="5" a="1"/>
  <c r="T5980" i="5" s="1"/>
  <c r="U5980" i="5" s="1"/>
  <c r="T5981" i="5" a="1"/>
  <c r="T5981" i="5" s="1"/>
  <c r="U5981" i="5" s="1"/>
  <c r="T5982" i="5" a="1"/>
  <c r="T5982" i="5" s="1"/>
  <c r="U5982" i="5" s="1"/>
  <c r="T5983" i="5" a="1"/>
  <c r="T5983" i="5" s="1"/>
  <c r="U5983" i="5" s="1"/>
  <c r="T5984" i="5" a="1"/>
  <c r="T5984" i="5" s="1"/>
  <c r="U5984" i="5" s="1"/>
  <c r="T5985" i="5" a="1"/>
  <c r="T5985" i="5" s="1"/>
  <c r="U5985" i="5" s="1"/>
  <c r="T5986" i="5" a="1"/>
  <c r="T5986" i="5" s="1"/>
  <c r="U5986" i="5" s="1"/>
  <c r="T5987" i="5" a="1"/>
  <c r="T5987" i="5" s="1"/>
  <c r="U5987" i="5" s="1"/>
  <c r="T5988" i="5" a="1"/>
  <c r="T5988" i="5" s="1"/>
  <c r="U5988" i="5" s="1"/>
  <c r="T5989" i="5" a="1"/>
  <c r="T5989" i="5" s="1"/>
  <c r="U5989" i="5" s="1"/>
  <c r="T5994" i="5" a="1"/>
  <c r="T5994" i="5" s="1"/>
  <c r="U5994" i="5" s="1"/>
  <c r="T5995" i="5" a="1"/>
  <c r="T5995" i="5" s="1"/>
  <c r="U5995" i="5" s="1"/>
  <c r="T5996" i="5" a="1"/>
  <c r="T5996" i="5" s="1"/>
  <c r="U5996" i="5" s="1"/>
  <c r="T5997" i="5" a="1"/>
  <c r="T5997" i="5" s="1"/>
  <c r="U5997" i="5" s="1"/>
  <c r="T5998" i="5" a="1"/>
  <c r="T5998" i="5" s="1"/>
  <c r="U5998" i="5" s="1"/>
  <c r="T5999" i="5" a="1"/>
  <c r="T5999" i="5" s="1"/>
  <c r="U5999" i="5" s="1"/>
  <c r="T6003" i="5" a="1"/>
  <c r="T6003" i="5" s="1"/>
  <c r="U6003" i="5" s="1"/>
  <c r="T6004" i="5" a="1"/>
  <c r="T6004" i="5" s="1"/>
  <c r="U6004" i="5" s="1"/>
  <c r="T6007" i="5" a="1"/>
  <c r="T6007" i="5" s="1"/>
  <c r="U6007" i="5" s="1"/>
  <c r="T6008" i="5" a="1"/>
  <c r="T6008" i="5" s="1"/>
  <c r="U6008" i="5" s="1"/>
  <c r="T6009" i="5" a="1"/>
  <c r="T6009" i="5" s="1"/>
  <c r="U6009" i="5" s="1"/>
  <c r="T6010" i="5" a="1"/>
  <c r="T6010" i="5" s="1"/>
  <c r="U6010" i="5" s="1"/>
  <c r="T6011" i="5" a="1"/>
  <c r="T6011" i="5" s="1"/>
  <c r="U6011" i="5" s="1"/>
  <c r="T6012" i="5" a="1"/>
  <c r="T6012" i="5" s="1"/>
  <c r="U6012" i="5" s="1"/>
  <c r="T6013" i="5" a="1"/>
  <c r="T6013" i="5" s="1"/>
  <c r="U6013" i="5" s="1"/>
  <c r="T6014" i="5" a="1"/>
  <c r="T6014" i="5" s="1"/>
  <c r="U6014" i="5" s="1"/>
  <c r="T6015" i="5" a="1"/>
  <c r="T6015" i="5" s="1"/>
  <c r="U6015" i="5" s="1"/>
  <c r="T6016" i="5" a="1"/>
  <c r="T6016" i="5" s="1"/>
  <c r="U6016" i="5" s="1"/>
  <c r="T6017" i="5" a="1"/>
  <c r="T6017" i="5" s="1"/>
  <c r="U6017" i="5" s="1"/>
  <c r="T6018" i="5" a="1"/>
  <c r="T6018" i="5" s="1"/>
  <c r="U6018" i="5" s="1"/>
  <c r="T6019" i="5" a="1"/>
  <c r="T6019" i="5" s="1"/>
  <c r="U6019" i="5" s="1"/>
  <c r="T6020" i="5" a="1"/>
  <c r="T6020" i="5" s="1"/>
  <c r="U6020" i="5" s="1"/>
  <c r="T6021" i="5" a="1"/>
  <c r="T6021" i="5" s="1"/>
  <c r="U6021" i="5" s="1"/>
  <c r="T6022" i="5" a="1"/>
  <c r="T6022" i="5" s="1"/>
  <c r="U6022" i="5" s="1"/>
  <c r="T6023" i="5" a="1"/>
  <c r="T6023" i="5" s="1"/>
  <c r="U6023" i="5" s="1"/>
  <c r="T6024" i="5" a="1"/>
  <c r="T6024" i="5" s="1"/>
  <c r="U6024" i="5" s="1"/>
  <c r="T6025" i="5" a="1"/>
  <c r="T6025" i="5" s="1"/>
  <c r="U6025" i="5" s="1"/>
  <c r="T6033" i="5" a="1"/>
  <c r="T6033" i="5" s="1"/>
  <c r="U6033" i="5" s="1"/>
  <c r="T6034" i="5" a="1"/>
  <c r="T6034" i="5" s="1"/>
  <c r="U6034" i="5" s="1"/>
  <c r="T6035" i="5" a="1"/>
  <c r="T6035" i="5" s="1"/>
  <c r="U6035" i="5" s="1"/>
  <c r="T6036" i="5" a="1"/>
  <c r="T6036" i="5" s="1"/>
  <c r="U6036" i="5" s="1"/>
  <c r="T6037" i="5" a="1"/>
  <c r="T6037" i="5" s="1"/>
  <c r="U6037" i="5" s="1"/>
  <c r="T6038" i="5" a="1"/>
  <c r="T6038" i="5" s="1"/>
  <c r="U6038" i="5" s="1"/>
  <c r="T6039" i="5" a="1"/>
  <c r="T6039" i="5" s="1"/>
  <c r="U6039" i="5" s="1"/>
  <c r="T6040" i="5" a="1"/>
  <c r="T6040" i="5" s="1"/>
  <c r="U6040" i="5" s="1"/>
  <c r="T6041" i="5" a="1"/>
  <c r="T6041" i="5" s="1"/>
  <c r="U6041" i="5" s="1"/>
  <c r="T6042" i="5" a="1"/>
  <c r="T6042" i="5" s="1"/>
  <c r="U6042" i="5" s="1"/>
  <c r="T6043" i="5" a="1"/>
  <c r="T6043" i="5" s="1"/>
  <c r="U6043" i="5" s="1"/>
  <c r="T6044" i="5" a="1"/>
  <c r="T6044" i="5" s="1"/>
  <c r="U6044" i="5" s="1"/>
  <c r="T6045" i="5" a="1"/>
  <c r="T6045" i="5" s="1"/>
  <c r="U6045" i="5" s="1"/>
  <c r="T6046" i="5" a="1"/>
  <c r="T6046" i="5" s="1"/>
  <c r="U6046" i="5" s="1"/>
  <c r="T6047" i="5" a="1"/>
  <c r="T6047" i="5" s="1"/>
  <c r="U6047" i="5" s="1"/>
  <c r="T6048" i="5" a="1"/>
  <c r="T6048" i="5" s="1"/>
  <c r="U6048" i="5" s="1"/>
  <c r="T6049" i="5" a="1"/>
  <c r="T6049" i="5" s="1"/>
  <c r="U6049" i="5" s="1"/>
  <c r="T6050" i="5" a="1"/>
  <c r="T6050" i="5" s="1"/>
  <c r="U6050" i="5" s="1"/>
  <c r="T6051" i="5" a="1"/>
  <c r="T6051" i="5" s="1"/>
  <c r="U6051" i="5" s="1"/>
  <c r="T6052" i="5" a="1"/>
  <c r="T6052" i="5" s="1"/>
  <c r="U6052" i="5" s="1"/>
  <c r="T6053" i="5" a="1"/>
  <c r="T6053" i="5" s="1"/>
  <c r="U6053" i="5" s="1"/>
  <c r="T6054" i="5" a="1"/>
  <c r="T6054" i="5" s="1"/>
  <c r="U6054" i="5" s="1"/>
  <c r="T6055" i="5" a="1"/>
  <c r="T6055" i="5" s="1"/>
  <c r="U6055" i="5" s="1"/>
  <c r="T6068" i="5" a="1"/>
  <c r="T6068" i="5" s="1"/>
  <c r="U6068" i="5" s="1"/>
  <c r="T6069" i="5" a="1"/>
  <c r="T6069" i="5" s="1"/>
  <c r="U6069" i="5" s="1"/>
  <c r="T6070" i="5" a="1"/>
  <c r="T6070" i="5" s="1"/>
  <c r="U6070" i="5" s="1"/>
  <c r="T6071" i="5" a="1"/>
  <c r="T6071" i="5" s="1"/>
  <c r="U6071" i="5" s="1"/>
  <c r="T6072" i="5" a="1"/>
  <c r="T6072" i="5" s="1"/>
  <c r="U6072" i="5" s="1"/>
  <c r="T6073" i="5" a="1"/>
  <c r="T6073" i="5" s="1"/>
  <c r="U6073" i="5" s="1"/>
  <c r="T6074" i="5" a="1"/>
  <c r="T6074" i="5" s="1"/>
  <c r="U6074" i="5" s="1"/>
  <c r="T6075" i="5" a="1"/>
  <c r="T6075" i="5" s="1"/>
  <c r="U6075" i="5" s="1"/>
  <c r="T6076" i="5" a="1"/>
  <c r="T6076" i="5" s="1"/>
  <c r="U6076" i="5" s="1"/>
  <c r="T6077" i="5" a="1"/>
  <c r="T6077" i="5" s="1"/>
  <c r="U6077" i="5" s="1"/>
  <c r="T6078" i="5" a="1"/>
  <c r="T6078" i="5" s="1"/>
  <c r="U6078" i="5" s="1"/>
  <c r="T6092" i="5" a="1"/>
  <c r="T6092" i="5" s="1"/>
  <c r="U6092" i="5" s="1"/>
  <c r="T6093" i="5" a="1"/>
  <c r="T6093" i="5" s="1"/>
  <c r="U6093" i="5" s="1"/>
  <c r="T6094" i="5" a="1"/>
  <c r="T6094" i="5" s="1"/>
  <c r="U6094" i="5" s="1"/>
  <c r="T6095" i="5" a="1"/>
  <c r="T6095" i="5" s="1"/>
  <c r="U6095" i="5" s="1"/>
  <c r="T6096" i="5" a="1"/>
  <c r="T6096" i="5" s="1"/>
  <c r="U6096" i="5" s="1"/>
  <c r="T6097" i="5" a="1"/>
  <c r="T6097" i="5" s="1"/>
  <c r="U6097" i="5" s="1"/>
  <c r="T6098" i="5" a="1"/>
  <c r="T6098" i="5" s="1"/>
  <c r="U6098" i="5" s="1"/>
  <c r="T6099" i="5" a="1"/>
  <c r="T6099" i="5" s="1"/>
  <c r="U6099" i="5" s="1"/>
  <c r="T6100" i="5" a="1"/>
  <c r="T6100" i="5" s="1"/>
  <c r="U6100" i="5" s="1"/>
  <c r="T6101" i="5" a="1"/>
  <c r="T6101" i="5" s="1"/>
  <c r="U6101" i="5" s="1"/>
  <c r="T6102" i="5" a="1"/>
  <c r="T6102" i="5" s="1"/>
  <c r="U6102" i="5" s="1"/>
  <c r="T6103" i="5" a="1"/>
  <c r="T6103" i="5" s="1"/>
  <c r="U6103" i="5" s="1"/>
  <c r="T6104" i="5" a="1"/>
  <c r="T6104" i="5" s="1"/>
  <c r="U6104" i="5" s="1"/>
  <c r="T6105" i="5" a="1"/>
  <c r="T6105" i="5" s="1"/>
  <c r="U6105" i="5" s="1"/>
  <c r="T6106" i="5" a="1"/>
  <c r="T6106" i="5" s="1"/>
  <c r="U6106" i="5" s="1"/>
  <c r="T6107" i="5" a="1"/>
  <c r="T6107" i="5" s="1"/>
  <c r="U6107" i="5" s="1"/>
  <c r="T6108" i="5" a="1"/>
  <c r="T6108" i="5" s="1"/>
  <c r="U6108" i="5" s="1"/>
  <c r="T6109" i="5" a="1"/>
  <c r="T6109" i="5" s="1"/>
  <c r="U6109" i="5" s="1"/>
  <c r="T6110" i="5" a="1"/>
  <c r="T6110" i="5" s="1"/>
  <c r="U6110" i="5" s="1"/>
  <c r="T6111" i="5" a="1"/>
  <c r="T6111" i="5" s="1"/>
  <c r="U6111" i="5" s="1"/>
  <c r="T6112" i="5" a="1"/>
  <c r="T6112" i="5" s="1"/>
  <c r="U6112" i="5" s="1"/>
  <c r="T6113" i="5" a="1"/>
  <c r="T6113" i="5" s="1"/>
  <c r="U6113" i="5" s="1"/>
  <c r="T6114" i="5" a="1"/>
  <c r="T6114" i="5" s="1"/>
  <c r="U6114" i="5" s="1"/>
  <c r="T6115" i="5" a="1"/>
  <c r="T6115" i="5" s="1"/>
  <c r="U6115" i="5" s="1"/>
  <c r="T6116" i="5" a="1"/>
  <c r="T6116" i="5" s="1"/>
  <c r="U6116" i="5" s="1"/>
  <c r="T6117" i="5" a="1"/>
  <c r="T6117" i="5" s="1"/>
  <c r="U6117" i="5" s="1"/>
  <c r="T6118" i="5" a="1"/>
  <c r="T6118" i="5" s="1"/>
  <c r="U6118" i="5" s="1"/>
  <c r="T6119" i="5" a="1"/>
  <c r="T6119" i="5" s="1"/>
  <c r="U6119" i="5" s="1"/>
  <c r="T6120" i="5" a="1"/>
  <c r="T6120" i="5" s="1"/>
  <c r="U6120" i="5" s="1"/>
  <c r="T6121" i="5" a="1"/>
  <c r="T6121" i="5" s="1"/>
  <c r="U6121" i="5" s="1"/>
  <c r="T6122" i="5" a="1"/>
  <c r="T6122" i="5" s="1"/>
  <c r="U6122" i="5" s="1"/>
  <c r="T6123" i="5" a="1"/>
  <c r="T6123" i="5" s="1"/>
  <c r="U6123" i="5" s="1"/>
  <c r="T6124" i="5" a="1"/>
  <c r="T6124" i="5" s="1"/>
  <c r="U6124" i="5" s="1"/>
  <c r="T6125" i="5" a="1"/>
  <c r="T6125" i="5" s="1"/>
  <c r="U6125" i="5" s="1"/>
  <c r="T6126" i="5" a="1"/>
  <c r="T6126" i="5" s="1"/>
  <c r="U6126" i="5" s="1"/>
  <c r="T6127" i="5" a="1"/>
  <c r="T6127" i="5" s="1"/>
  <c r="U6127" i="5" s="1"/>
  <c r="T6128" i="5" a="1"/>
  <c r="T6128" i="5" s="1"/>
  <c r="U6128" i="5" s="1"/>
  <c r="T6129" i="5" a="1"/>
  <c r="T6129" i="5" s="1"/>
  <c r="U6129" i="5" s="1"/>
  <c r="T6130" i="5" a="1"/>
  <c r="T6130" i="5" s="1"/>
  <c r="U6130" i="5" s="1"/>
  <c r="T6131" i="5" a="1"/>
  <c r="T6131" i="5" s="1"/>
  <c r="U6131" i="5" s="1"/>
  <c r="T6132" i="5" a="1"/>
  <c r="T6132" i="5" s="1"/>
  <c r="U6132" i="5" s="1"/>
  <c r="T6133" i="5" a="1"/>
  <c r="T6133" i="5" s="1"/>
  <c r="U6133" i="5" s="1"/>
  <c r="T6134" i="5" a="1"/>
  <c r="T6134" i="5" s="1"/>
  <c r="U6134" i="5" s="1"/>
  <c r="T6135" i="5" a="1"/>
  <c r="T6135" i="5" s="1"/>
  <c r="U6135" i="5" s="1"/>
  <c r="T6136" i="5" a="1"/>
  <c r="T6136" i="5" s="1"/>
  <c r="U6136" i="5" s="1"/>
  <c r="T6137" i="5" a="1"/>
  <c r="T6137" i="5" s="1"/>
  <c r="U6137" i="5" s="1"/>
  <c r="T6138" i="5" a="1"/>
  <c r="T6138" i="5" s="1"/>
  <c r="U6138" i="5" s="1"/>
  <c r="T6139" i="5" a="1"/>
  <c r="T6139" i="5" s="1"/>
  <c r="U6139" i="5" s="1"/>
  <c r="T6140" i="5" a="1"/>
  <c r="T6140" i="5" s="1"/>
  <c r="U6140" i="5" s="1"/>
  <c r="T6141" i="5" a="1"/>
  <c r="T6141" i="5" s="1"/>
  <c r="U6141" i="5" s="1"/>
  <c r="T6142" i="5" a="1"/>
  <c r="T6142" i="5" s="1"/>
  <c r="U6142" i="5" s="1"/>
  <c r="T6143" i="5" a="1"/>
  <c r="T6143" i="5" s="1"/>
  <c r="U6143" i="5" s="1"/>
  <c r="T6144" i="5" a="1"/>
  <c r="T6144" i="5" s="1"/>
  <c r="U6144" i="5" s="1"/>
  <c r="T6145" i="5" a="1"/>
  <c r="T6145" i="5" s="1"/>
  <c r="U6145" i="5" s="1"/>
  <c r="T6146" i="5" a="1"/>
  <c r="T6146" i="5" s="1"/>
  <c r="U6146" i="5" s="1"/>
  <c r="T6147" i="5" a="1"/>
  <c r="T6147" i="5" s="1"/>
  <c r="U6147" i="5" s="1"/>
  <c r="T6148" i="5" a="1"/>
  <c r="T6148" i="5" s="1"/>
  <c r="U6148" i="5" s="1"/>
  <c r="T6149" i="5" a="1"/>
  <c r="T6149" i="5" s="1"/>
  <c r="U6149" i="5" s="1"/>
  <c r="T6150" i="5" a="1"/>
  <c r="T6150" i="5" s="1"/>
  <c r="U6150" i="5" s="1"/>
  <c r="T6151" i="5" a="1"/>
  <c r="T6151" i="5" s="1"/>
  <c r="U6151" i="5" s="1"/>
  <c r="T6152" i="5" a="1"/>
  <c r="T6152" i="5" s="1"/>
  <c r="U6152" i="5" s="1"/>
  <c r="T6153" i="5" a="1"/>
  <c r="T6153" i="5" s="1"/>
  <c r="U6153" i="5" s="1"/>
  <c r="T6154" i="5" a="1"/>
  <c r="T6154" i="5" s="1"/>
  <c r="U6154" i="5" s="1"/>
  <c r="T6155" i="5" a="1"/>
  <c r="T6155" i="5" s="1"/>
  <c r="U6155" i="5" s="1"/>
  <c r="T6156" i="5" a="1"/>
  <c r="T6156" i="5" s="1"/>
  <c r="U6156" i="5" s="1"/>
  <c r="T6157" i="5" a="1"/>
  <c r="T6157" i="5" s="1"/>
  <c r="U6157" i="5" s="1"/>
  <c r="T6158" i="5" a="1"/>
  <c r="T6158" i="5" s="1"/>
  <c r="U6158" i="5" s="1"/>
  <c r="T6159" i="5" a="1"/>
  <c r="T6159" i="5" s="1"/>
  <c r="U6159" i="5" s="1"/>
  <c r="T6160" i="5" a="1"/>
  <c r="T6160" i="5" s="1"/>
  <c r="U6160" i="5" s="1"/>
  <c r="T6161" i="5" a="1"/>
  <c r="T6161" i="5" s="1"/>
  <c r="U6161" i="5" s="1"/>
  <c r="T6162" i="5" a="1"/>
  <c r="T6162" i="5" s="1"/>
  <c r="U6162" i="5" s="1"/>
  <c r="T6163" i="5" a="1"/>
  <c r="T6163" i="5" s="1"/>
  <c r="U6163" i="5" s="1"/>
  <c r="T6164" i="5" a="1"/>
  <c r="T6164" i="5" s="1"/>
  <c r="U6164" i="5" s="1"/>
  <c r="T6165" i="5" a="1"/>
  <c r="T6165" i="5" s="1"/>
  <c r="U6165" i="5" s="1"/>
  <c r="T6166" i="5" a="1"/>
  <c r="T6166" i="5" s="1"/>
  <c r="U6166" i="5" s="1"/>
  <c r="T6167" i="5" a="1"/>
  <c r="T6167" i="5" s="1"/>
  <c r="U6167" i="5" s="1"/>
  <c r="T6168" i="5" a="1"/>
  <c r="T6168" i="5" s="1"/>
  <c r="U6168" i="5" s="1"/>
  <c r="T6169" i="5" a="1"/>
  <c r="T6169" i="5" s="1"/>
  <c r="U6169" i="5" s="1"/>
  <c r="T6170" i="5" a="1"/>
  <c r="T6170" i="5" s="1"/>
  <c r="U6170" i="5" s="1"/>
  <c r="T6171" i="5" a="1"/>
  <c r="T6171" i="5" s="1"/>
  <c r="U6171" i="5" s="1"/>
  <c r="T6172" i="5" a="1"/>
  <c r="T6172" i="5" s="1"/>
  <c r="U6172" i="5" s="1"/>
  <c r="T6173" i="5" a="1"/>
  <c r="T6173" i="5" s="1"/>
  <c r="U6173" i="5" s="1"/>
  <c r="T6174" i="5" a="1"/>
  <c r="T6174" i="5" s="1"/>
  <c r="U6174" i="5" s="1"/>
  <c r="T6175" i="5" a="1"/>
  <c r="T6175" i="5" s="1"/>
  <c r="U6175" i="5" s="1"/>
  <c r="T6176" i="5" a="1"/>
  <c r="T6176" i="5" s="1"/>
  <c r="U6176" i="5" s="1"/>
  <c r="T6177" i="5" a="1"/>
  <c r="T6177" i="5" s="1"/>
  <c r="U6177" i="5" s="1"/>
  <c r="T6178" i="5" a="1"/>
  <c r="T6178" i="5" s="1"/>
  <c r="U6178" i="5" s="1"/>
  <c r="T6179" i="5" a="1"/>
  <c r="T6179" i="5" s="1"/>
  <c r="U6179" i="5" s="1"/>
  <c r="T6180" i="5" a="1"/>
  <c r="T6180" i="5" s="1"/>
  <c r="U6180" i="5" s="1"/>
  <c r="T6181" i="5" a="1"/>
  <c r="T6181" i="5" s="1"/>
  <c r="U6181" i="5" s="1"/>
  <c r="T6182" i="5" a="1"/>
  <c r="T6182" i="5" s="1"/>
  <c r="U6182" i="5" s="1"/>
  <c r="T6183" i="5" a="1"/>
  <c r="T6183" i="5" s="1"/>
  <c r="U6183" i="5" s="1"/>
  <c r="T6184" i="5" a="1"/>
  <c r="T6184" i="5" s="1"/>
  <c r="U6184" i="5" s="1"/>
  <c r="T6185" i="5" a="1"/>
  <c r="T6185" i="5" s="1"/>
  <c r="U6185" i="5" s="1"/>
  <c r="T6186" i="5" a="1"/>
  <c r="T6186" i="5" s="1"/>
  <c r="U6186" i="5" s="1"/>
  <c r="T6187" i="5" a="1"/>
  <c r="T6187" i="5" s="1"/>
  <c r="U6187" i="5" s="1"/>
  <c r="T6188" i="5" a="1"/>
  <c r="T6188" i="5" s="1"/>
  <c r="U6188" i="5" s="1"/>
  <c r="T6189" i="5" a="1"/>
  <c r="T6189" i="5" s="1"/>
  <c r="U6189" i="5" s="1"/>
  <c r="T6190" i="5" a="1"/>
  <c r="T6190" i="5" s="1"/>
  <c r="U6190" i="5" s="1"/>
  <c r="T6191" i="5" a="1"/>
  <c r="T6191" i="5" s="1"/>
  <c r="U6191" i="5" s="1"/>
  <c r="T6192" i="5" a="1"/>
  <c r="T6192" i="5" s="1"/>
  <c r="U6192" i="5" s="1"/>
  <c r="T6193" i="5" a="1"/>
  <c r="T6193" i="5" s="1"/>
  <c r="U6193" i="5" s="1"/>
  <c r="T6194" i="5" a="1"/>
  <c r="T6194" i="5" s="1"/>
  <c r="U6194" i="5" s="1"/>
  <c r="T6195" i="5" a="1"/>
  <c r="T6195" i="5" s="1"/>
  <c r="U6195" i="5" s="1"/>
  <c r="T6196" i="5" a="1"/>
  <c r="T6196" i="5" s="1"/>
  <c r="U6196" i="5" s="1"/>
  <c r="T6197" i="5" a="1"/>
  <c r="T6197" i="5" s="1"/>
  <c r="U6197" i="5" s="1"/>
  <c r="T6198" i="5" a="1"/>
  <c r="T6198" i="5" s="1"/>
  <c r="U6198" i="5" s="1"/>
  <c r="T6199" i="5" a="1"/>
  <c r="T6199" i="5" s="1"/>
  <c r="U6199" i="5" s="1"/>
  <c r="T6200" i="5" a="1"/>
  <c r="T6200" i="5" s="1"/>
  <c r="U6200" i="5" s="1"/>
  <c r="T6201" i="5" a="1"/>
  <c r="T6201" i="5" s="1"/>
  <c r="U6201" i="5" s="1"/>
  <c r="T6202" i="5" a="1"/>
  <c r="T6202" i="5" s="1"/>
  <c r="U6202" i="5" s="1"/>
  <c r="T6203" i="5" a="1"/>
  <c r="T6203" i="5" s="1"/>
  <c r="U6203" i="5" s="1"/>
  <c r="T6204" i="5" a="1"/>
  <c r="T6204" i="5" s="1"/>
  <c r="U6204" i="5" s="1"/>
  <c r="T6205" i="5" a="1"/>
  <c r="T6205" i="5" s="1"/>
  <c r="U6205" i="5" s="1"/>
  <c r="T6206" i="5" a="1"/>
  <c r="T6206" i="5" s="1"/>
  <c r="U6206" i="5" s="1"/>
  <c r="T6207" i="5" a="1"/>
  <c r="T6207" i="5" s="1"/>
  <c r="U6207" i="5" s="1"/>
  <c r="T6208" i="5" a="1"/>
  <c r="T6208" i="5" s="1"/>
  <c r="U6208" i="5" s="1"/>
  <c r="T6209" i="5" a="1"/>
  <c r="T6209" i="5" s="1"/>
  <c r="U6209" i="5" s="1"/>
  <c r="T6210" i="5" a="1"/>
  <c r="T6210" i="5" s="1"/>
  <c r="U6210" i="5" s="1"/>
  <c r="T6211" i="5" a="1"/>
  <c r="T6211" i="5" s="1"/>
  <c r="U6211" i="5" s="1"/>
  <c r="T6212" i="5" a="1"/>
  <c r="T6212" i="5" s="1"/>
  <c r="U6212" i="5" s="1"/>
  <c r="T6213" i="5" a="1"/>
  <c r="T6213" i="5" s="1"/>
  <c r="U6213" i="5" s="1"/>
  <c r="T6214" i="5" a="1"/>
  <c r="T6214" i="5" s="1"/>
  <c r="U6214" i="5" s="1"/>
  <c r="T6215" i="5" a="1"/>
  <c r="T6215" i="5" s="1"/>
  <c r="U6215" i="5" s="1"/>
  <c r="T6216" i="5" a="1"/>
  <c r="T6216" i="5" s="1"/>
  <c r="U6216" i="5" s="1"/>
  <c r="T6217" i="5" a="1"/>
  <c r="T6217" i="5" s="1"/>
  <c r="U6217" i="5" s="1"/>
  <c r="T6218" i="5" a="1"/>
  <c r="T6218" i="5" s="1"/>
  <c r="U6218" i="5" s="1"/>
  <c r="T6219" i="5" a="1"/>
  <c r="T6219" i="5" s="1"/>
  <c r="U6219" i="5" s="1"/>
  <c r="T6220" i="5" a="1"/>
  <c r="T6220" i="5" s="1"/>
  <c r="U6220" i="5" s="1"/>
  <c r="T6221" i="5" a="1"/>
  <c r="T6221" i="5" s="1"/>
  <c r="U6221" i="5" s="1"/>
  <c r="T6222" i="5" a="1"/>
  <c r="T6222" i="5" s="1"/>
  <c r="U6222" i="5" s="1"/>
  <c r="T6223" i="5" a="1"/>
  <c r="T6223" i="5" s="1"/>
  <c r="U6223" i="5" s="1"/>
  <c r="T6224" i="5" a="1"/>
  <c r="T6224" i="5" s="1"/>
  <c r="U6224" i="5" s="1"/>
  <c r="T6225" i="5" a="1"/>
  <c r="T6225" i="5" s="1"/>
  <c r="U6225" i="5" s="1"/>
  <c r="T6226" i="5" a="1"/>
  <c r="T6226" i="5" s="1"/>
  <c r="U6226" i="5" s="1"/>
  <c r="T6227" i="5" a="1"/>
  <c r="T6227" i="5" s="1"/>
  <c r="U6227" i="5" s="1"/>
  <c r="T6228" i="5" a="1"/>
  <c r="T6228" i="5" s="1"/>
  <c r="U6228" i="5" s="1"/>
  <c r="T6229" i="5" a="1"/>
  <c r="T6229" i="5" s="1"/>
  <c r="U6229" i="5" s="1"/>
  <c r="T6230" i="5" a="1"/>
  <c r="T6230" i="5" s="1"/>
  <c r="U6230" i="5" s="1"/>
  <c r="T6231" i="5" a="1"/>
  <c r="T6231" i="5" s="1"/>
  <c r="U6231" i="5" s="1"/>
  <c r="T6232" i="5" a="1"/>
  <c r="T6232" i="5" s="1"/>
  <c r="U6232" i="5" s="1"/>
  <c r="T6233" i="5" a="1"/>
  <c r="T6233" i="5" s="1"/>
  <c r="U6233" i="5" s="1"/>
  <c r="T6234" i="5" a="1"/>
  <c r="T6234" i="5" s="1"/>
  <c r="U6234" i="5" s="1"/>
  <c r="T6235" i="5" a="1"/>
  <c r="T6235" i="5" s="1"/>
  <c r="U6235" i="5" s="1"/>
  <c r="T6236" i="5" a="1"/>
  <c r="T6236" i="5" s="1"/>
  <c r="U6236" i="5" s="1"/>
  <c r="T6237" i="5" a="1"/>
  <c r="T6237" i="5" s="1"/>
  <c r="U6237" i="5" s="1"/>
  <c r="T6238" i="5" a="1"/>
  <c r="T6238" i="5" s="1"/>
  <c r="U6238" i="5" s="1"/>
  <c r="T6239" i="5" a="1"/>
  <c r="T6239" i="5" s="1"/>
  <c r="U6239" i="5" s="1"/>
  <c r="T6240" i="5" a="1"/>
  <c r="T6240" i="5" s="1"/>
  <c r="U6240" i="5" s="1"/>
  <c r="T6241" i="5" a="1"/>
  <c r="T6241" i="5" s="1"/>
  <c r="U6241" i="5" s="1"/>
  <c r="T6242" i="5" a="1"/>
  <c r="T6242" i="5" s="1"/>
  <c r="U6242" i="5" s="1"/>
  <c r="T6243" i="5" a="1"/>
  <c r="T6243" i="5" s="1"/>
  <c r="U6243" i="5" s="1"/>
  <c r="T6244" i="5" a="1"/>
  <c r="T6244" i="5" s="1"/>
  <c r="U6244" i="5" s="1"/>
  <c r="T6245" i="5" a="1"/>
  <c r="T6245" i="5" s="1"/>
  <c r="U6245" i="5" s="1"/>
  <c r="T6246" i="5" a="1"/>
  <c r="T6246" i="5" s="1"/>
  <c r="U6246" i="5" s="1"/>
  <c r="T6247" i="5" a="1"/>
  <c r="T6247" i="5" s="1"/>
  <c r="U6247" i="5" s="1"/>
  <c r="T6248" i="5" a="1"/>
  <c r="T6248" i="5" s="1"/>
  <c r="U6248" i="5" s="1"/>
  <c r="T6249" i="5" a="1"/>
  <c r="T6249" i="5" s="1"/>
  <c r="U6249" i="5" s="1"/>
  <c r="T6250" i="5" a="1"/>
  <c r="T6250" i="5" s="1"/>
  <c r="U6250" i="5" s="1"/>
  <c r="T6251" i="5" a="1"/>
  <c r="T6251" i="5" s="1"/>
  <c r="U6251" i="5" s="1"/>
  <c r="T6252" i="5" a="1"/>
  <c r="T6252" i="5" s="1"/>
  <c r="U6252" i="5" s="1"/>
  <c r="T6253" i="5" a="1"/>
  <c r="T6253" i="5" s="1"/>
  <c r="U6253" i="5" s="1"/>
  <c r="T6254" i="5" a="1"/>
  <c r="T6254" i="5" s="1"/>
  <c r="U6254" i="5" s="1"/>
  <c r="T6255" i="5" a="1"/>
  <c r="T6255" i="5" s="1"/>
  <c r="U6255" i="5" s="1"/>
  <c r="T6256" i="5" a="1"/>
  <c r="T6256" i="5" s="1"/>
  <c r="U6256" i="5" s="1"/>
  <c r="T6257" i="5" a="1"/>
  <c r="T6257" i="5" s="1"/>
  <c r="U6257" i="5" s="1"/>
  <c r="T6258" i="5" a="1"/>
  <c r="T6258" i="5" s="1"/>
  <c r="U6258" i="5" s="1"/>
  <c r="T6259" i="5" a="1"/>
  <c r="T6259" i="5" s="1"/>
  <c r="U6259" i="5" s="1"/>
  <c r="T6260" i="5" a="1"/>
  <c r="T6260" i="5" s="1"/>
  <c r="U6260" i="5" s="1"/>
  <c r="T6261" i="5" a="1"/>
  <c r="T6261" i="5" s="1"/>
  <c r="U6261" i="5" s="1"/>
  <c r="T6262" i="5" a="1"/>
  <c r="T6262" i="5" s="1"/>
  <c r="U6262" i="5" s="1"/>
  <c r="T6263" i="5" a="1"/>
  <c r="T6263" i="5" s="1"/>
  <c r="U6263" i="5" s="1"/>
  <c r="T6264" i="5" a="1"/>
  <c r="T6264" i="5" s="1"/>
  <c r="U6264" i="5" s="1"/>
  <c r="T6265" i="5" a="1"/>
  <c r="T6265" i="5" s="1"/>
  <c r="U6265" i="5" s="1"/>
  <c r="T6266" i="5" a="1"/>
  <c r="T6266" i="5" s="1"/>
  <c r="U6266" i="5" s="1"/>
  <c r="T6267" i="5" a="1"/>
  <c r="T6267" i="5" s="1"/>
  <c r="U6267" i="5" s="1"/>
  <c r="T6268" i="5" a="1"/>
  <c r="T6268" i="5" s="1"/>
  <c r="U6268" i="5" s="1"/>
  <c r="T6269" i="5" a="1"/>
  <c r="T6269" i="5" s="1"/>
  <c r="U6269" i="5" s="1"/>
  <c r="T6270" i="5" a="1"/>
  <c r="T6270" i="5" s="1"/>
  <c r="U6270" i="5" s="1"/>
  <c r="T6271" i="5" a="1"/>
  <c r="T6271" i="5" s="1"/>
  <c r="U6271" i="5" s="1"/>
  <c r="T6272" i="5" a="1"/>
  <c r="T6272" i="5" s="1"/>
  <c r="U6272" i="5" s="1"/>
  <c r="T6273" i="5" a="1"/>
  <c r="T6273" i="5" s="1"/>
  <c r="U6273" i="5" s="1"/>
  <c r="T6274" i="5" a="1"/>
  <c r="T6274" i="5" s="1"/>
  <c r="U6274" i="5" s="1"/>
  <c r="T6275" i="5" a="1"/>
  <c r="T6275" i="5" s="1"/>
  <c r="U6275" i="5" s="1"/>
  <c r="T6276" i="5" a="1"/>
  <c r="T6276" i="5" s="1"/>
  <c r="U6276" i="5" s="1"/>
  <c r="T6277" i="5" a="1"/>
  <c r="T6277" i="5" s="1"/>
  <c r="U6277" i="5" s="1"/>
  <c r="T6278" i="5" a="1"/>
  <c r="T6278" i="5" s="1"/>
  <c r="U6278" i="5" s="1"/>
  <c r="T6279" i="5" a="1"/>
  <c r="T6279" i="5" s="1"/>
  <c r="U6279" i="5" s="1"/>
  <c r="T6280" i="5" a="1"/>
  <c r="T6280" i="5" s="1"/>
  <c r="U6280" i="5" s="1"/>
  <c r="T6281" i="5" a="1"/>
  <c r="T6281" i="5" s="1"/>
  <c r="U6281" i="5" s="1"/>
  <c r="T6282" i="5" a="1"/>
  <c r="T6282" i="5" s="1"/>
  <c r="U6282" i="5" s="1"/>
  <c r="T6283" i="5" a="1"/>
  <c r="T6283" i="5" s="1"/>
  <c r="U6283" i="5" s="1"/>
  <c r="T6284" i="5" a="1"/>
  <c r="T6284" i="5" s="1"/>
  <c r="U6284" i="5" s="1"/>
  <c r="T6285" i="5" a="1"/>
  <c r="T6285" i="5" s="1"/>
  <c r="U6285" i="5" s="1"/>
  <c r="T6286" i="5" a="1"/>
  <c r="T6286" i="5" s="1"/>
  <c r="U6286" i="5" s="1"/>
  <c r="T6287" i="5" a="1"/>
  <c r="T6287" i="5" s="1"/>
  <c r="U6287" i="5" s="1"/>
  <c r="T6288" i="5" a="1"/>
  <c r="T6288" i="5" s="1"/>
  <c r="U6288" i="5" s="1"/>
  <c r="T6289" i="5" a="1"/>
  <c r="T6289" i="5" s="1"/>
  <c r="U6289" i="5" s="1"/>
  <c r="T6290" i="5" a="1"/>
  <c r="T6290" i="5" s="1"/>
  <c r="U6290" i="5" s="1"/>
  <c r="T6291" i="5" a="1"/>
  <c r="T6291" i="5" s="1"/>
  <c r="U6291" i="5" s="1"/>
  <c r="T6292" i="5" a="1"/>
  <c r="T6292" i="5" s="1"/>
  <c r="U6292" i="5" s="1"/>
  <c r="T6293" i="5" a="1"/>
  <c r="T6293" i="5" s="1"/>
  <c r="U6293" i="5" s="1"/>
  <c r="T6294" i="5" a="1"/>
  <c r="T6294" i="5" s="1"/>
  <c r="U6294" i="5" s="1"/>
  <c r="T6295" i="5" a="1"/>
  <c r="T6295" i="5" s="1"/>
  <c r="U6295" i="5" s="1"/>
  <c r="T6296" i="5" a="1"/>
  <c r="T6296" i="5" s="1"/>
  <c r="U6296" i="5" s="1"/>
  <c r="T6297" i="5" a="1"/>
  <c r="T6297" i="5" s="1"/>
  <c r="U6297" i="5" s="1"/>
  <c r="T6298" i="5" a="1"/>
  <c r="T6298" i="5" s="1"/>
  <c r="U6298" i="5" s="1"/>
  <c r="T6299" i="5" a="1"/>
  <c r="T6299" i="5" s="1"/>
  <c r="U6299" i="5" s="1"/>
  <c r="T6300" i="5" a="1"/>
  <c r="T6300" i="5" s="1"/>
  <c r="U6300" i="5" s="1"/>
  <c r="T6301" i="5" a="1"/>
  <c r="T6301" i="5" s="1"/>
  <c r="U6301" i="5" s="1"/>
  <c r="T6302" i="5" a="1"/>
  <c r="T6302" i="5" s="1"/>
  <c r="U6302" i="5" s="1"/>
  <c r="T6303" i="5" a="1"/>
  <c r="T6303" i="5" s="1"/>
  <c r="U6303" i="5" s="1"/>
  <c r="T6304" i="5" a="1"/>
  <c r="T6304" i="5" s="1"/>
  <c r="U6304" i="5" s="1"/>
  <c r="T6305" i="5" a="1"/>
  <c r="T6305" i="5" s="1"/>
  <c r="U6305" i="5" s="1"/>
  <c r="T6306" i="5" a="1"/>
  <c r="T6306" i="5" s="1"/>
  <c r="U6306" i="5" s="1"/>
  <c r="T6307" i="5" a="1"/>
  <c r="T6307" i="5" s="1"/>
  <c r="U6307" i="5" s="1"/>
  <c r="T6308" i="5" a="1"/>
  <c r="T6308" i="5" s="1"/>
  <c r="U6308" i="5" s="1"/>
  <c r="T6309" i="5" a="1"/>
  <c r="T6309" i="5" s="1"/>
  <c r="U6309" i="5" s="1"/>
  <c r="T6310" i="5" a="1"/>
  <c r="T6310" i="5" s="1"/>
  <c r="U6310" i="5" s="1"/>
  <c r="T6311" i="5" a="1"/>
  <c r="T6311" i="5" s="1"/>
  <c r="U6311" i="5" s="1"/>
  <c r="T6312" i="5" a="1"/>
  <c r="T6312" i="5" s="1"/>
  <c r="U6312" i="5" s="1"/>
  <c r="T6313" i="5" a="1"/>
  <c r="T6313" i="5" s="1"/>
  <c r="U6313" i="5" s="1"/>
  <c r="T6314" i="5" a="1"/>
  <c r="T6314" i="5" s="1"/>
  <c r="U6314" i="5" s="1"/>
  <c r="T6315" i="5" a="1"/>
  <c r="T6315" i="5" s="1"/>
  <c r="U6315" i="5" s="1"/>
  <c r="T6316" i="5" a="1"/>
  <c r="T6316" i="5" s="1"/>
  <c r="U6316" i="5" s="1"/>
  <c r="T6317" i="5" a="1"/>
  <c r="T6317" i="5" s="1"/>
  <c r="U6317" i="5" s="1"/>
  <c r="T6318" i="5" a="1"/>
  <c r="T6318" i="5" s="1"/>
  <c r="U6318" i="5" s="1"/>
  <c r="T6319" i="5" a="1"/>
  <c r="T6319" i="5" s="1"/>
  <c r="U6319" i="5" s="1"/>
  <c r="T6320" i="5" a="1"/>
  <c r="T6320" i="5" s="1"/>
  <c r="U6320" i="5" s="1"/>
  <c r="T6321" i="5" a="1"/>
  <c r="T6321" i="5" s="1"/>
  <c r="U6321" i="5" s="1"/>
  <c r="T6322" i="5" a="1"/>
  <c r="T6322" i="5" s="1"/>
  <c r="U6322" i="5" s="1"/>
  <c r="T6323" i="5" a="1"/>
  <c r="T6323" i="5" s="1"/>
  <c r="U6323" i="5" s="1"/>
  <c r="T6324" i="5" a="1"/>
  <c r="T6324" i="5" s="1"/>
  <c r="U6324" i="5" s="1"/>
  <c r="T6325" i="5" a="1"/>
  <c r="T6325" i="5" s="1"/>
  <c r="U6325" i="5" s="1"/>
  <c r="T6326" i="5" a="1"/>
  <c r="T6326" i="5" s="1"/>
  <c r="U6326" i="5" s="1"/>
  <c r="T6327" i="5" a="1"/>
  <c r="T6327" i="5" s="1"/>
  <c r="U6327" i="5" s="1"/>
  <c r="T6328" i="5" a="1"/>
  <c r="T6328" i="5" s="1"/>
  <c r="U6328" i="5" s="1"/>
  <c r="T6329" i="5" a="1"/>
  <c r="T6329" i="5" s="1"/>
  <c r="U6329" i="5" s="1"/>
  <c r="T6330" i="5" a="1"/>
  <c r="T6330" i="5" s="1"/>
  <c r="U6330" i="5" s="1"/>
  <c r="T6331" i="5" a="1"/>
  <c r="T6331" i="5" s="1"/>
  <c r="U6331" i="5" s="1"/>
  <c r="T6332" i="5" a="1"/>
  <c r="T6332" i="5" s="1"/>
  <c r="U6332" i="5" s="1"/>
  <c r="T6333" i="5" a="1"/>
  <c r="T6333" i="5" s="1"/>
  <c r="U6333" i="5" s="1"/>
  <c r="T6334" i="5" a="1"/>
  <c r="T6334" i="5" s="1"/>
  <c r="U6334" i="5" s="1"/>
  <c r="T6335" i="5" a="1"/>
  <c r="T6335" i="5" s="1"/>
  <c r="U6335" i="5" s="1"/>
  <c r="T6336" i="5" a="1"/>
  <c r="T6336" i="5" s="1"/>
  <c r="U6336" i="5" s="1"/>
  <c r="T6337" i="5" a="1"/>
  <c r="T6337" i="5" s="1"/>
  <c r="U6337" i="5" s="1"/>
  <c r="T6338" i="5" a="1"/>
  <c r="T6338" i="5" s="1"/>
  <c r="U6338" i="5" s="1"/>
  <c r="T6339" i="5" a="1"/>
  <c r="T6339" i="5" s="1"/>
  <c r="U6339" i="5" s="1"/>
  <c r="T6340" i="5" a="1"/>
  <c r="T6340" i="5" s="1"/>
  <c r="U6340" i="5" s="1"/>
  <c r="T6341" i="5" a="1"/>
  <c r="T6341" i="5" s="1"/>
  <c r="U6341" i="5" s="1"/>
  <c r="T6342" i="5" a="1"/>
  <c r="T6342" i="5" s="1"/>
  <c r="U6342" i="5" s="1"/>
  <c r="T6343" i="5" a="1"/>
  <c r="T6343" i="5" s="1"/>
  <c r="U6343" i="5" s="1"/>
  <c r="T6356" i="5" a="1"/>
  <c r="T6356" i="5" s="1"/>
  <c r="U6356" i="5" s="1"/>
  <c r="T6357" i="5" a="1"/>
  <c r="T6357" i="5" s="1"/>
  <c r="U6357" i="5" s="1"/>
  <c r="T6358" i="5" a="1"/>
  <c r="T6358" i="5" s="1"/>
  <c r="U6358" i="5" s="1"/>
  <c r="T6359" i="5" a="1"/>
  <c r="T6359" i="5" s="1"/>
  <c r="U6359" i="5" s="1"/>
  <c r="T6360" i="5" a="1"/>
  <c r="T6360" i="5" s="1"/>
  <c r="U6360" i="5" s="1"/>
  <c r="T6361" i="5" a="1"/>
  <c r="T6361" i="5" s="1"/>
  <c r="U6361" i="5" s="1"/>
  <c r="T6362" i="5" a="1"/>
  <c r="T6362" i="5" s="1"/>
  <c r="U6362" i="5" s="1"/>
  <c r="T6363" i="5" a="1"/>
  <c r="T6363" i="5" s="1"/>
  <c r="U6363" i="5" s="1"/>
  <c r="T6364" i="5" a="1"/>
  <c r="T6364" i="5" s="1"/>
  <c r="U6364" i="5" s="1"/>
  <c r="T6365" i="5" a="1"/>
  <c r="T6365" i="5" s="1"/>
  <c r="U6365" i="5" s="1"/>
  <c r="T6366" i="5" a="1"/>
  <c r="T6366" i="5" s="1"/>
  <c r="U6366" i="5" s="1"/>
  <c r="T6367" i="5" a="1"/>
  <c r="T6367" i="5" s="1"/>
  <c r="U6367" i="5" s="1"/>
  <c r="T6368" i="5" a="1"/>
  <c r="T6368" i="5" s="1"/>
  <c r="U6368" i="5" s="1"/>
  <c r="T6369" i="5" a="1"/>
  <c r="T6369" i="5" s="1"/>
  <c r="U6369" i="5" s="1"/>
  <c r="T6370" i="5" a="1"/>
  <c r="T6370" i="5" s="1"/>
  <c r="U6370" i="5" s="1"/>
  <c r="T6371" i="5" a="1"/>
  <c r="T6371" i="5" s="1"/>
  <c r="U6371" i="5" s="1"/>
  <c r="T6372" i="5" a="1"/>
  <c r="T6372" i="5" s="1"/>
  <c r="U6372" i="5" s="1"/>
  <c r="T6373" i="5" a="1"/>
  <c r="T6373" i="5" s="1"/>
  <c r="U6373" i="5" s="1"/>
  <c r="T6375" i="5" a="1"/>
  <c r="T6375" i="5" s="1"/>
  <c r="U6375" i="5" s="1"/>
  <c r="T6376" i="5" a="1"/>
  <c r="T6376" i="5" s="1"/>
  <c r="U6376" i="5" s="1"/>
  <c r="T6377" i="5" a="1"/>
  <c r="T6377" i="5" s="1"/>
  <c r="U6377" i="5" s="1"/>
  <c r="T6378" i="5" a="1"/>
  <c r="T6378" i="5" s="1"/>
  <c r="U6378" i="5" s="1"/>
  <c r="T6379" i="5" a="1"/>
  <c r="T6379" i="5" s="1"/>
  <c r="U6379" i="5" s="1"/>
  <c r="T6380" i="5" a="1"/>
  <c r="T6380" i="5" s="1"/>
  <c r="U6380" i="5" s="1"/>
  <c r="T6381" i="5" a="1"/>
  <c r="T6381" i="5" s="1"/>
  <c r="U6381" i="5" s="1"/>
  <c r="T6382" i="5" a="1"/>
  <c r="T6382" i="5" s="1"/>
  <c r="U6382" i="5" s="1"/>
  <c r="T6383" i="5" a="1"/>
  <c r="T6383" i="5" s="1"/>
  <c r="U6383" i="5" s="1"/>
  <c r="T6384" i="5" a="1"/>
  <c r="T6384" i="5" s="1"/>
  <c r="U6384" i="5" s="1"/>
  <c r="T6385" i="5" a="1"/>
  <c r="T6385" i="5" s="1"/>
  <c r="U6385" i="5" s="1"/>
  <c r="T6386" i="5" a="1"/>
  <c r="T6386" i="5" s="1"/>
  <c r="U6386" i="5" s="1"/>
  <c r="T6387" i="5" a="1"/>
  <c r="T6387" i="5" s="1"/>
  <c r="U6387" i="5" s="1"/>
  <c r="T6388" i="5" a="1"/>
  <c r="T6388" i="5" s="1"/>
  <c r="U6388" i="5" s="1"/>
  <c r="T6389" i="5" a="1"/>
  <c r="T6389" i="5" s="1"/>
  <c r="U6389" i="5" s="1"/>
  <c r="T6390" i="5" a="1"/>
  <c r="T6390" i="5" s="1"/>
  <c r="U6390" i="5" s="1"/>
  <c r="T6391" i="5" a="1"/>
  <c r="T6391" i="5" s="1"/>
  <c r="U6391" i="5" s="1"/>
  <c r="T6392" i="5" a="1"/>
  <c r="T6392" i="5" s="1"/>
  <c r="U6392" i="5" s="1"/>
  <c r="T6393" i="5" a="1"/>
  <c r="T6393" i="5" s="1"/>
  <c r="U6393" i="5" s="1"/>
  <c r="T6394" i="5" a="1"/>
  <c r="T6394" i="5" s="1"/>
  <c r="U6394" i="5" s="1"/>
  <c r="T6395" i="5" a="1"/>
  <c r="T6395" i="5" s="1"/>
  <c r="U6395" i="5" s="1"/>
  <c r="T6396" i="5" a="1"/>
  <c r="T6396" i="5" s="1"/>
  <c r="U6396" i="5" s="1"/>
  <c r="T6397" i="5" a="1"/>
  <c r="T6397" i="5" s="1"/>
  <c r="U6397" i="5" s="1"/>
  <c r="T6398" i="5" a="1"/>
  <c r="T6398" i="5" s="1"/>
  <c r="U6398" i="5" s="1"/>
  <c r="T6399" i="5" a="1"/>
  <c r="T6399" i="5" s="1"/>
  <c r="U6399" i="5" s="1"/>
  <c r="T6400" i="5" a="1"/>
  <c r="T6400" i="5" s="1"/>
  <c r="U6400" i="5" s="1"/>
  <c r="T6401" i="5" a="1"/>
  <c r="T6401" i="5" s="1"/>
  <c r="U6401" i="5" s="1"/>
  <c r="T6402" i="5" a="1"/>
  <c r="T6402" i="5" s="1"/>
  <c r="U6402" i="5" s="1"/>
  <c r="T6403" i="5" a="1"/>
  <c r="T6403" i="5" s="1"/>
  <c r="U6403" i="5" s="1"/>
  <c r="T6404" i="5" a="1"/>
  <c r="T6404" i="5" s="1"/>
  <c r="U6404" i="5" s="1"/>
  <c r="T6405" i="5" a="1"/>
  <c r="T6405" i="5" s="1"/>
  <c r="U6405" i="5" s="1"/>
  <c r="T6406" i="5" a="1"/>
  <c r="T6406" i="5" s="1"/>
  <c r="U6406" i="5" s="1"/>
  <c r="T6407" i="5" a="1"/>
  <c r="T6407" i="5" s="1"/>
  <c r="U6407" i="5" s="1"/>
  <c r="T6408" i="5" a="1"/>
  <c r="T6408" i="5" s="1"/>
  <c r="U6408" i="5" s="1"/>
  <c r="T6409" i="5" a="1"/>
  <c r="T6409" i="5" s="1"/>
  <c r="U6409" i="5" s="1"/>
  <c r="T6410" i="5" a="1"/>
  <c r="T6410" i="5" s="1"/>
  <c r="U6410" i="5" s="1"/>
  <c r="T6411" i="5" a="1"/>
  <c r="T6411" i="5" s="1"/>
  <c r="U6411" i="5" s="1"/>
  <c r="T6412" i="5" a="1"/>
  <c r="T6412" i="5" s="1"/>
  <c r="U6412" i="5" s="1"/>
  <c r="T6414" i="5" a="1"/>
  <c r="T6414" i="5" s="1"/>
  <c r="U6414" i="5" s="1"/>
  <c r="T6415" i="5" a="1"/>
  <c r="T6415" i="5" s="1"/>
  <c r="U6415" i="5" s="1"/>
  <c r="T6416" i="5" a="1"/>
  <c r="T6416" i="5" s="1"/>
  <c r="U6416" i="5" s="1"/>
  <c r="T6417" i="5" a="1"/>
  <c r="T6417" i="5" s="1"/>
  <c r="U6417" i="5" s="1"/>
  <c r="T6418" i="5" a="1"/>
  <c r="T6418" i="5" s="1"/>
  <c r="U6418" i="5" s="1"/>
  <c r="T6419" i="5" a="1"/>
  <c r="T6419" i="5" s="1"/>
  <c r="U6419" i="5" s="1"/>
  <c r="T6420" i="5" a="1"/>
  <c r="T6420" i="5" s="1"/>
  <c r="U6420" i="5" s="1"/>
  <c r="T6421" i="5" a="1"/>
  <c r="T6421" i="5" s="1"/>
  <c r="U6421" i="5" s="1"/>
  <c r="T6422" i="5" a="1"/>
  <c r="T6422" i="5" s="1"/>
  <c r="U6422" i="5" s="1"/>
  <c r="T6423" i="5" a="1"/>
  <c r="T6423" i="5" s="1"/>
  <c r="U6423" i="5" s="1"/>
  <c r="T6424" i="5" a="1"/>
  <c r="T6424" i="5" s="1"/>
  <c r="U6424" i="5" s="1"/>
  <c r="T6425" i="5" a="1"/>
  <c r="T6425" i="5" s="1"/>
  <c r="U6425" i="5" s="1"/>
  <c r="T6426" i="5" a="1"/>
  <c r="T6426" i="5" s="1"/>
  <c r="U6426" i="5" s="1"/>
  <c r="T6427" i="5" a="1"/>
  <c r="T6427" i="5" s="1"/>
  <c r="U6427" i="5" s="1"/>
  <c r="T6428" i="5" a="1"/>
  <c r="T6428" i="5" s="1"/>
  <c r="U6428" i="5" s="1"/>
  <c r="T6429" i="5" a="1"/>
  <c r="T6429" i="5" s="1"/>
  <c r="U6429" i="5" s="1"/>
  <c r="T6430" i="5" a="1"/>
  <c r="T6430" i="5" s="1"/>
  <c r="U6430" i="5" s="1"/>
  <c r="T6431" i="5" a="1"/>
  <c r="T6431" i="5" s="1"/>
  <c r="U6431" i="5" s="1"/>
  <c r="T6432" i="5" a="1"/>
  <c r="T6432" i="5" s="1"/>
  <c r="U6432" i="5" s="1"/>
  <c r="T6433" i="5" a="1"/>
  <c r="T6433" i="5" s="1"/>
  <c r="U6433" i="5" s="1"/>
  <c r="T6434" i="5" a="1"/>
  <c r="T6434" i="5" s="1"/>
  <c r="U6434" i="5" s="1"/>
  <c r="T6435" i="5" a="1"/>
  <c r="T6435" i="5" s="1"/>
  <c r="U6435" i="5" s="1"/>
  <c r="T6436" i="5" a="1"/>
  <c r="T6436" i="5" s="1"/>
  <c r="U6436" i="5" s="1"/>
  <c r="T6437" i="5" a="1"/>
  <c r="T6437" i="5" s="1"/>
  <c r="U6437" i="5" s="1"/>
  <c r="T6438" i="5" a="1"/>
  <c r="T6438" i="5" s="1"/>
  <c r="U6438" i="5" s="1"/>
  <c r="T6439" i="5" a="1"/>
  <c r="T6439" i="5" s="1"/>
  <c r="U6439" i="5" s="1"/>
  <c r="T6440" i="5" a="1"/>
  <c r="T6440" i="5" s="1"/>
  <c r="U6440" i="5" s="1"/>
  <c r="T6441" i="5" a="1"/>
  <c r="T6441" i="5" s="1"/>
  <c r="U6441" i="5" s="1"/>
  <c r="T6442" i="5" a="1"/>
  <c r="T6442" i="5" s="1"/>
  <c r="U6442" i="5" s="1"/>
  <c r="T6443" i="5" a="1"/>
  <c r="T6443" i="5" s="1"/>
  <c r="U6443" i="5" s="1"/>
  <c r="T6444" i="5" a="1"/>
  <c r="T6444" i="5" s="1"/>
  <c r="U6444" i="5" s="1"/>
  <c r="T6445" i="5" a="1"/>
  <c r="T6445" i="5" s="1"/>
  <c r="U6445" i="5" s="1"/>
  <c r="T6446" i="5" a="1"/>
  <c r="T6446" i="5" s="1"/>
  <c r="U6446" i="5" s="1"/>
  <c r="T6447" i="5" a="1"/>
  <c r="T6447" i="5" s="1"/>
  <c r="U6447" i="5" s="1"/>
  <c r="T6448" i="5" a="1"/>
  <c r="T6448" i="5" s="1"/>
  <c r="U6448" i="5" s="1"/>
  <c r="T6449" i="5" a="1"/>
  <c r="T6449" i="5" s="1"/>
  <c r="U6449" i="5" s="1"/>
  <c r="T6450" i="5" a="1"/>
  <c r="T6450" i="5" s="1"/>
  <c r="U6450" i="5" s="1"/>
  <c r="T6452" i="5" a="1"/>
  <c r="T6452" i="5" s="1"/>
  <c r="U6452" i="5" s="1"/>
  <c r="T6454" i="5" a="1"/>
  <c r="T6454" i="5" s="1"/>
  <c r="U6454" i="5" s="1"/>
  <c r="T6455" i="5" a="1"/>
  <c r="T6455" i="5" s="1"/>
  <c r="U6455" i="5" s="1"/>
  <c r="T6456" i="5" a="1"/>
  <c r="T6456" i="5" s="1"/>
  <c r="U6456" i="5" s="1"/>
  <c r="T6457" i="5" a="1"/>
  <c r="T6457" i="5" s="1"/>
  <c r="U6457" i="5" s="1"/>
  <c r="T6458" i="5" a="1"/>
  <c r="T6458" i="5" s="1"/>
  <c r="U6458" i="5" s="1"/>
  <c r="T6459" i="5" a="1"/>
  <c r="T6459" i="5" s="1"/>
  <c r="U6459" i="5" s="1"/>
  <c r="T6460" i="5" a="1"/>
  <c r="T6460" i="5" s="1"/>
  <c r="U6460" i="5" s="1"/>
  <c r="T6461" i="5" a="1"/>
  <c r="T6461" i="5" s="1"/>
  <c r="U6461" i="5" s="1"/>
  <c r="T6462" i="5" a="1"/>
  <c r="T6462" i="5" s="1"/>
  <c r="U6462" i="5" s="1"/>
  <c r="T6463" i="5" a="1"/>
  <c r="T6463" i="5" s="1"/>
  <c r="U6463" i="5" s="1"/>
  <c r="T6464" i="5" a="1"/>
  <c r="T6464" i="5" s="1"/>
  <c r="U6464" i="5" s="1"/>
  <c r="T6465" i="5" a="1"/>
  <c r="T6465" i="5" s="1"/>
  <c r="U6465" i="5" s="1"/>
  <c r="T6469" i="5" a="1"/>
  <c r="T6469" i="5" s="1"/>
  <c r="U6469" i="5" s="1"/>
  <c r="T6470" i="5" a="1"/>
  <c r="T6470" i="5" s="1"/>
  <c r="U6470" i="5" s="1"/>
  <c r="T6471" i="5" a="1"/>
  <c r="T6471" i="5" s="1"/>
  <c r="U6471" i="5" s="1"/>
  <c r="T6472" i="5" a="1"/>
  <c r="T6472" i="5" s="1"/>
  <c r="U6472" i="5" s="1"/>
  <c r="T6473" i="5" a="1"/>
  <c r="T6473" i="5" s="1"/>
  <c r="U6473" i="5" s="1"/>
  <c r="T6478" i="5" a="1"/>
  <c r="T6478" i="5" s="1"/>
  <c r="U6478" i="5" s="1"/>
  <c r="T6485" i="5" a="1"/>
  <c r="T6485" i="5" s="1"/>
  <c r="U6485" i="5" s="1"/>
  <c r="T6488" i="5" a="1"/>
  <c r="T6488" i="5" s="1"/>
  <c r="U6488" i="5" s="1"/>
  <c r="T6493" i="5" a="1"/>
  <c r="T6493" i="5" s="1"/>
  <c r="U6493" i="5" s="1"/>
  <c r="T6498" i="5" a="1"/>
  <c r="T6498" i="5" s="1"/>
  <c r="T6499" i="5" a="1"/>
  <c r="T6499" i="5" s="1"/>
  <c r="U6499" i="5" s="1"/>
  <c r="T6500" i="5" a="1"/>
  <c r="T6500" i="5" s="1"/>
  <c r="T6501" i="5" a="1"/>
  <c r="T6501" i="5" s="1"/>
  <c r="T6504" i="5" a="1"/>
  <c r="T6504" i="5" s="1"/>
  <c r="U6504" i="5" s="1"/>
  <c r="T6509" i="5" a="1"/>
  <c r="T6509" i="5" s="1"/>
  <c r="U6509" i="5" s="1"/>
  <c r="T6510" i="5" a="1"/>
  <c r="T6510" i="5" s="1"/>
  <c r="U6510" i="5" s="1"/>
  <c r="T6512" i="5" a="1"/>
  <c r="T6512" i="5" s="1"/>
  <c r="U6512" i="5" s="1"/>
  <c r="T6516" i="5" a="1"/>
  <c r="T6516" i="5" s="1"/>
  <c r="U6516" i="5" s="1"/>
  <c r="T6517" i="5" a="1"/>
  <c r="T6517" i="5" s="1"/>
  <c r="U6517" i="5" s="1"/>
  <c r="T6518" i="5" a="1"/>
  <c r="T6518" i="5" s="1"/>
  <c r="U6518" i="5" s="1"/>
  <c r="T6519" i="5" a="1"/>
  <c r="T6519" i="5" s="1"/>
  <c r="U6519" i="5" s="1"/>
  <c r="T6520" i="5" a="1"/>
  <c r="T6520" i="5" s="1"/>
  <c r="U6520" i="5" s="1"/>
  <c r="T6521" i="5" a="1"/>
  <c r="T6521" i="5" s="1"/>
  <c r="U6521" i="5" s="1"/>
  <c r="T6522" i="5" a="1"/>
  <c r="T6522" i="5" s="1"/>
  <c r="U6522" i="5" s="1"/>
  <c r="T6523" i="5" a="1"/>
  <c r="T6523" i="5" s="1"/>
  <c r="U6523" i="5" s="1"/>
  <c r="T6524" i="5" a="1"/>
  <c r="T6524" i="5" s="1"/>
  <c r="U6524" i="5" s="1"/>
  <c r="T6525" i="5" a="1"/>
  <c r="T6525" i="5" s="1"/>
  <c r="U6525" i="5" s="1"/>
  <c r="T6528" i="5" a="1"/>
  <c r="T6528" i="5" s="1"/>
  <c r="U6528" i="5" s="1"/>
  <c r="T6533" i="5" a="1"/>
  <c r="T6533" i="5" s="1"/>
  <c r="U6533" i="5" s="1"/>
  <c r="T6534" i="5" a="1"/>
  <c r="T6534" i="5" s="1"/>
  <c r="U6534" i="5" s="1"/>
  <c r="T6535" i="5" a="1"/>
  <c r="T6535" i="5" s="1"/>
  <c r="U6535" i="5" s="1"/>
  <c r="T6536" i="5" a="1"/>
  <c r="T6536" i="5" s="1"/>
  <c r="U6536" i="5" s="1"/>
  <c r="T6537" i="5" a="1"/>
  <c r="T6537" i="5" s="1"/>
  <c r="U6537" i="5" s="1"/>
  <c r="T6538" i="5" a="1"/>
  <c r="T6538" i="5" s="1"/>
  <c r="U6538" i="5" s="1"/>
  <c r="T6539" i="5" a="1"/>
  <c r="T6539" i="5" s="1"/>
  <c r="U6539" i="5" s="1"/>
  <c r="T6540" i="5" a="1"/>
  <c r="T6540" i="5" s="1"/>
  <c r="U6540" i="5" s="1"/>
  <c r="T6541" i="5" a="1"/>
  <c r="T6541" i="5" s="1"/>
  <c r="U6541" i="5" s="1"/>
  <c r="T6542" i="5" a="1"/>
  <c r="T6542" i="5" s="1"/>
  <c r="U6542" i="5" s="1"/>
  <c r="T6543" i="5" a="1"/>
  <c r="T6543" i="5" s="1"/>
  <c r="U6543" i="5" s="1"/>
  <c r="T6544" i="5" a="1"/>
  <c r="T6544" i="5" s="1"/>
  <c r="U6544" i="5" s="1"/>
  <c r="T6545" i="5" a="1"/>
  <c r="T6545" i="5" s="1"/>
  <c r="U6545" i="5" s="1"/>
  <c r="T6546" i="5" a="1"/>
  <c r="T6546" i="5" s="1"/>
  <c r="U6546" i="5" s="1"/>
  <c r="T6547" i="5" a="1"/>
  <c r="T6547" i="5" s="1"/>
  <c r="U6547" i="5" s="1"/>
  <c r="T6548" i="5" a="1"/>
  <c r="T6548" i="5" s="1"/>
  <c r="U6548" i="5" s="1"/>
  <c r="T6549" i="5" a="1"/>
  <c r="T6549" i="5" s="1"/>
  <c r="U6549" i="5" s="1"/>
  <c r="T6550" i="5" a="1"/>
  <c r="T6550" i="5" s="1"/>
  <c r="U6550" i="5" s="1"/>
  <c r="T6551" i="5" a="1"/>
  <c r="T6551" i="5" s="1"/>
  <c r="U6551" i="5" s="1"/>
  <c r="T6552" i="5" a="1"/>
  <c r="T6552" i="5" s="1"/>
  <c r="U6552" i="5" s="1"/>
  <c r="T6553" i="5" a="1"/>
  <c r="T6553" i="5" s="1"/>
  <c r="U6553" i="5" s="1"/>
  <c r="T6554" i="5" a="1"/>
  <c r="T6554" i="5" s="1"/>
  <c r="U6554" i="5" s="1"/>
  <c r="T6555" i="5" a="1"/>
  <c r="T6555" i="5" s="1"/>
  <c r="U6555" i="5" s="1"/>
  <c r="T6556" i="5" a="1"/>
  <c r="T6556" i="5" s="1"/>
  <c r="U6556" i="5" s="1"/>
  <c r="T6557" i="5" a="1"/>
  <c r="T6557" i="5" s="1"/>
  <c r="U6557" i="5" s="1"/>
  <c r="T6558" i="5" a="1"/>
  <c r="T6558" i="5" s="1"/>
  <c r="U6558" i="5" s="1"/>
  <c r="T6559" i="5" a="1"/>
  <c r="T6559" i="5" s="1"/>
  <c r="U6559" i="5" s="1"/>
  <c r="T6560" i="5" a="1"/>
  <c r="T6560" i="5" s="1"/>
  <c r="U6560" i="5" s="1"/>
  <c r="T6561" i="5" a="1"/>
  <c r="T6561" i="5" s="1"/>
  <c r="U6561" i="5" s="1"/>
  <c r="T6562" i="5" a="1"/>
  <c r="T6562" i="5" s="1"/>
  <c r="U6562" i="5" s="1"/>
  <c r="T6563" i="5" a="1"/>
  <c r="T6563" i="5" s="1"/>
  <c r="U6563" i="5" s="1"/>
  <c r="T6564" i="5" a="1"/>
  <c r="T6564" i="5" s="1"/>
  <c r="U6564" i="5" s="1"/>
  <c r="T6565" i="5" a="1"/>
  <c r="T6565" i="5" s="1"/>
  <c r="U6565" i="5" s="1"/>
  <c r="T6566" i="5" a="1"/>
  <c r="T6566" i="5" s="1"/>
  <c r="U6566" i="5" s="1"/>
  <c r="T6567" i="5" a="1"/>
  <c r="T6567" i="5" s="1"/>
  <c r="U6567" i="5" s="1"/>
  <c r="T6568" i="5" a="1"/>
  <c r="T6568" i="5" s="1"/>
  <c r="U6568" i="5" s="1"/>
  <c r="T6569" i="5" a="1"/>
  <c r="T6569" i="5" s="1"/>
  <c r="U6569" i="5" s="1"/>
  <c r="T6570" i="5" a="1"/>
  <c r="T6570" i="5" s="1"/>
  <c r="U6570" i="5" s="1"/>
  <c r="T6571" i="5" a="1"/>
  <c r="T6571" i="5" s="1"/>
  <c r="U6571" i="5" s="1"/>
  <c r="T6572" i="5" a="1"/>
  <c r="T6572" i="5" s="1"/>
  <c r="U6572" i="5" s="1"/>
  <c r="T6573" i="5" a="1"/>
  <c r="T6573" i="5" s="1"/>
  <c r="U6573" i="5" s="1"/>
  <c r="T6574" i="5" a="1"/>
  <c r="T6574" i="5" s="1"/>
  <c r="U6574" i="5" s="1"/>
  <c r="T6575" i="5" a="1"/>
  <c r="T6575" i="5" s="1"/>
  <c r="U6575" i="5" s="1"/>
  <c r="T6576" i="5" a="1"/>
  <c r="T6576" i="5" s="1"/>
  <c r="U6576" i="5" s="1"/>
  <c r="T6577" i="5" a="1"/>
  <c r="T6577" i="5" s="1"/>
  <c r="U6577" i="5" s="1"/>
  <c r="T6578" i="5" a="1"/>
  <c r="T6578" i="5" s="1"/>
  <c r="U6578" i="5" s="1"/>
  <c r="T6579" i="5" a="1"/>
  <c r="T6579" i="5" s="1"/>
  <c r="U6579" i="5" s="1"/>
  <c r="T6580" i="5" a="1"/>
  <c r="T6580" i="5" s="1"/>
  <c r="U6580" i="5" s="1"/>
  <c r="T6581" i="5" a="1"/>
  <c r="T6581" i="5" s="1"/>
  <c r="U6581" i="5" s="1"/>
  <c r="T6582" i="5" a="1"/>
  <c r="T6582" i="5" s="1"/>
  <c r="U6582" i="5" s="1"/>
  <c r="T6583" i="5" a="1"/>
  <c r="T6583" i="5" s="1"/>
  <c r="U6583" i="5" s="1"/>
  <c r="T6584" i="5" a="1"/>
  <c r="T6584" i="5" s="1"/>
  <c r="U6584" i="5" s="1"/>
  <c r="T6585" i="5" a="1"/>
  <c r="T6585" i="5" s="1"/>
  <c r="U6585" i="5" s="1"/>
  <c r="T6586" i="5" a="1"/>
  <c r="T6586" i="5" s="1"/>
  <c r="U6586" i="5" s="1"/>
  <c r="T6587" i="5" a="1"/>
  <c r="T6587" i="5" s="1"/>
  <c r="U6587" i="5" s="1"/>
  <c r="T6588" i="5" a="1"/>
  <c r="T6588" i="5" s="1"/>
  <c r="U6588" i="5" s="1"/>
  <c r="T6589" i="5" a="1"/>
  <c r="T6589" i="5" s="1"/>
  <c r="U6589" i="5" s="1"/>
  <c r="T6590" i="5" a="1"/>
  <c r="T6590" i="5" s="1"/>
  <c r="U6590" i="5" s="1"/>
  <c r="T6591" i="5" a="1"/>
  <c r="T6591" i="5" s="1"/>
  <c r="U6591" i="5" s="1"/>
  <c r="T6592" i="5" a="1"/>
  <c r="T6592" i="5" s="1"/>
  <c r="U6592" i="5" s="1"/>
  <c r="T6593" i="5" a="1"/>
  <c r="T6593" i="5" s="1"/>
  <c r="U6593" i="5" s="1"/>
  <c r="T6594" i="5" a="1"/>
  <c r="T6594" i="5" s="1"/>
  <c r="U6594" i="5" s="1"/>
  <c r="T6595" i="5" a="1"/>
  <c r="T6595" i="5" s="1"/>
  <c r="U6595" i="5" s="1"/>
  <c r="T6596" i="5" a="1"/>
  <c r="T6596" i="5" s="1"/>
  <c r="U6596" i="5" s="1"/>
  <c r="T6597" i="5" a="1"/>
  <c r="T6597" i="5" s="1"/>
  <c r="U6597" i="5" s="1"/>
  <c r="T6598" i="5" a="1"/>
  <c r="T6598" i="5" s="1"/>
  <c r="U6598" i="5" s="1"/>
  <c r="T6599" i="5" a="1"/>
  <c r="T6599" i="5" s="1"/>
  <c r="U6599" i="5" s="1"/>
  <c r="T6600" i="5" a="1"/>
  <c r="T6600" i="5" s="1"/>
  <c r="U6600" i="5" s="1"/>
  <c r="T6601" i="5" a="1"/>
  <c r="T6601" i="5" s="1"/>
  <c r="U6601" i="5" s="1"/>
  <c r="T6602" i="5" a="1"/>
  <c r="T6602" i="5" s="1"/>
  <c r="U6602" i="5" s="1"/>
  <c r="T6603" i="5" a="1"/>
  <c r="T6603" i="5" s="1"/>
  <c r="U6603" i="5" s="1"/>
  <c r="T6604" i="5" a="1"/>
  <c r="T6604" i="5" s="1"/>
  <c r="U6604" i="5" s="1"/>
  <c r="T6605" i="5" a="1"/>
  <c r="T6605" i="5" s="1"/>
  <c r="U6605" i="5" s="1"/>
  <c r="T6606" i="5" a="1"/>
  <c r="T6606" i="5" s="1"/>
  <c r="U6606" i="5" s="1"/>
  <c r="T6607" i="5" a="1"/>
  <c r="T6607" i="5" s="1"/>
  <c r="U6607" i="5" s="1"/>
  <c r="T6608" i="5" a="1"/>
  <c r="T6608" i="5" s="1"/>
  <c r="U6608" i="5" s="1"/>
  <c r="T6609" i="5" a="1"/>
  <c r="T6609" i="5" s="1"/>
  <c r="U6609" i="5" s="1"/>
  <c r="T6610" i="5" a="1"/>
  <c r="T6610" i="5" s="1"/>
  <c r="U6610" i="5" s="1"/>
  <c r="T6611" i="5" a="1"/>
  <c r="T6611" i="5" s="1"/>
  <c r="U6611" i="5" s="1"/>
  <c r="T6612" i="5" a="1"/>
  <c r="T6612" i="5" s="1"/>
  <c r="U6612" i="5" s="1"/>
  <c r="T6613" i="5" a="1"/>
  <c r="T6613" i="5" s="1"/>
  <c r="U6613" i="5" s="1"/>
  <c r="T6614" i="5" a="1"/>
  <c r="T6614" i="5" s="1"/>
  <c r="U6614" i="5" s="1"/>
  <c r="T6615" i="5" a="1"/>
  <c r="T6615" i="5" s="1"/>
  <c r="U6615" i="5" s="1"/>
  <c r="T6616" i="5" a="1"/>
  <c r="T6616" i="5" s="1"/>
  <c r="U6616" i="5" s="1"/>
  <c r="T6617" i="5" a="1"/>
  <c r="T6617" i="5" s="1"/>
  <c r="U6617" i="5" s="1"/>
  <c r="T6618" i="5" a="1"/>
  <c r="T6618" i="5" s="1"/>
  <c r="U6618" i="5" s="1"/>
  <c r="T6619" i="5" a="1"/>
  <c r="T6619" i="5" s="1"/>
  <c r="U6619" i="5" s="1"/>
  <c r="T6620" i="5" a="1"/>
  <c r="T6620" i="5" s="1"/>
  <c r="U6620" i="5" s="1"/>
  <c r="T6621" i="5" a="1"/>
  <c r="T6621" i="5" s="1"/>
  <c r="U6621" i="5" s="1"/>
  <c r="T6622" i="5" a="1"/>
  <c r="T6622" i="5" s="1"/>
  <c r="U6622" i="5" s="1"/>
  <c r="T6623" i="5" a="1"/>
  <c r="T6623" i="5" s="1"/>
  <c r="U6623" i="5" s="1"/>
  <c r="T6624" i="5" a="1"/>
  <c r="T6624" i="5" s="1"/>
  <c r="U6624" i="5" s="1"/>
  <c r="T6625" i="5" a="1"/>
  <c r="T6625" i="5" s="1"/>
  <c r="U6625" i="5" s="1"/>
  <c r="T6626" i="5" a="1"/>
  <c r="T6626" i="5" s="1"/>
  <c r="U6626" i="5" s="1"/>
  <c r="T6627" i="5" a="1"/>
  <c r="T6627" i="5" s="1"/>
  <c r="U6627" i="5" s="1"/>
  <c r="T6628" i="5" a="1"/>
  <c r="T6628" i="5" s="1"/>
  <c r="U6628" i="5" s="1"/>
  <c r="T6629" i="5" a="1"/>
  <c r="T6629" i="5" s="1"/>
  <c r="U6629" i="5" s="1"/>
  <c r="T6630" i="5" a="1"/>
  <c r="T6630" i="5" s="1"/>
  <c r="U6630" i="5" s="1"/>
  <c r="T6631" i="5" a="1"/>
  <c r="T6631" i="5" s="1"/>
  <c r="U6631" i="5" s="1"/>
  <c r="T6632" i="5" a="1"/>
  <c r="T6632" i="5" s="1"/>
  <c r="U6632" i="5" s="1"/>
  <c r="T6633" i="5" a="1"/>
  <c r="T6633" i="5" s="1"/>
  <c r="U6633" i="5" s="1"/>
  <c r="T6634" i="5" a="1"/>
  <c r="T6634" i="5" s="1"/>
  <c r="U6634" i="5" s="1"/>
  <c r="T6635" i="5" a="1"/>
  <c r="T6635" i="5" s="1"/>
  <c r="U6635" i="5" s="1"/>
  <c r="T6636" i="5" a="1"/>
  <c r="T6636" i="5" s="1"/>
  <c r="U6636" i="5" s="1"/>
  <c r="T6637" i="5" a="1"/>
  <c r="T6637" i="5" s="1"/>
  <c r="U6637" i="5" s="1"/>
  <c r="T6638" i="5" a="1"/>
  <c r="T6638" i="5" s="1"/>
  <c r="U6638" i="5" s="1"/>
  <c r="T6639" i="5" a="1"/>
  <c r="T6639" i="5" s="1"/>
  <c r="U6639" i="5" s="1"/>
  <c r="T6640" i="5" a="1"/>
  <c r="T6640" i="5" s="1"/>
  <c r="U6640" i="5" s="1"/>
  <c r="T6641" i="5" a="1"/>
  <c r="T6641" i="5" s="1"/>
  <c r="U6641" i="5" s="1"/>
  <c r="T6642" i="5" a="1"/>
  <c r="T6642" i="5" s="1"/>
  <c r="U6642" i="5" s="1"/>
  <c r="T6643" i="5" a="1"/>
  <c r="T6643" i="5" s="1"/>
  <c r="U6643" i="5" s="1"/>
  <c r="T6644" i="5" a="1"/>
  <c r="T6644" i="5" s="1"/>
  <c r="U6644" i="5" s="1"/>
  <c r="T6645" i="5" a="1"/>
  <c r="T6645" i="5" s="1"/>
  <c r="U6645" i="5" s="1"/>
  <c r="T6646" i="5" a="1"/>
  <c r="T6646" i="5" s="1"/>
  <c r="U6646" i="5" s="1"/>
  <c r="T6647" i="5" a="1"/>
  <c r="T6647" i="5" s="1"/>
  <c r="U6647" i="5" s="1"/>
  <c r="T6648" i="5" a="1"/>
  <c r="T6648" i="5" s="1"/>
  <c r="U6648" i="5" s="1"/>
  <c r="T6649" i="5" a="1"/>
  <c r="T6649" i="5" s="1"/>
  <c r="U6649" i="5" s="1"/>
  <c r="T6650" i="5" a="1"/>
  <c r="T6650" i="5" s="1"/>
  <c r="U6650" i="5" s="1"/>
  <c r="T6651" i="5" a="1"/>
  <c r="T6651" i="5" s="1"/>
  <c r="U6651" i="5" s="1"/>
  <c r="T6652" i="5" a="1"/>
  <c r="T6652" i="5" s="1"/>
  <c r="U6652" i="5" s="1"/>
  <c r="T6653" i="5" a="1"/>
  <c r="T6653" i="5" s="1"/>
  <c r="U6653" i="5" s="1"/>
  <c r="T6654" i="5" a="1"/>
  <c r="T6654" i="5" s="1"/>
  <c r="U6654" i="5" s="1"/>
  <c r="T6655" i="5" a="1"/>
  <c r="T6655" i="5" s="1"/>
  <c r="U6655" i="5" s="1"/>
  <c r="T6656" i="5" a="1"/>
  <c r="T6656" i="5" s="1"/>
  <c r="U6656" i="5" s="1"/>
  <c r="T6657" i="5" a="1"/>
  <c r="T6657" i="5" s="1"/>
  <c r="U6657" i="5" s="1"/>
  <c r="T6658" i="5" a="1"/>
  <c r="T6658" i="5" s="1"/>
  <c r="U6658" i="5" s="1"/>
  <c r="T6659" i="5" a="1"/>
  <c r="T6659" i="5" s="1"/>
  <c r="U6659" i="5" s="1"/>
  <c r="T6660" i="5" a="1"/>
  <c r="T6660" i="5" s="1"/>
  <c r="U6660" i="5" s="1"/>
  <c r="T6661" i="5" a="1"/>
  <c r="T6661" i="5" s="1"/>
  <c r="U6661" i="5" s="1"/>
  <c r="T6662" i="5" a="1"/>
  <c r="T6662" i="5" s="1"/>
  <c r="U6662" i="5" s="1"/>
  <c r="T6663" i="5" a="1"/>
  <c r="T6663" i="5" s="1"/>
  <c r="U6663" i="5" s="1"/>
  <c r="T6664" i="5" a="1"/>
  <c r="T6664" i="5" s="1"/>
  <c r="U6664" i="5" s="1"/>
  <c r="T6665" i="5" a="1"/>
  <c r="T6665" i="5" s="1"/>
  <c r="U6665" i="5" s="1"/>
  <c r="T6666" i="5" a="1"/>
  <c r="T6666" i="5" s="1"/>
  <c r="U6666" i="5" s="1"/>
  <c r="T6667" i="5" a="1"/>
  <c r="T6667" i="5" s="1"/>
  <c r="U6667" i="5" s="1"/>
  <c r="T6668" i="5" a="1"/>
  <c r="T6668" i="5" s="1"/>
  <c r="U6668" i="5" s="1"/>
  <c r="T6669" i="5" a="1"/>
  <c r="T6669" i="5" s="1"/>
  <c r="U6669" i="5" s="1"/>
  <c r="T6670" i="5" a="1"/>
  <c r="T6670" i="5" s="1"/>
  <c r="U6670" i="5" s="1"/>
  <c r="T6671" i="5" a="1"/>
  <c r="T6671" i="5" s="1"/>
  <c r="U6671" i="5" s="1"/>
  <c r="T6672" i="5" a="1"/>
  <c r="T6672" i="5" s="1"/>
  <c r="U6672" i="5" s="1"/>
  <c r="T6673" i="5" a="1"/>
  <c r="T6673" i="5" s="1"/>
  <c r="U6673" i="5" s="1"/>
  <c r="T6674" i="5" a="1"/>
  <c r="T6674" i="5" s="1"/>
  <c r="U6674" i="5" s="1"/>
  <c r="T6675" i="5" a="1"/>
  <c r="T6675" i="5" s="1"/>
  <c r="U6675" i="5" s="1"/>
  <c r="T6676" i="5" a="1"/>
  <c r="T6676" i="5" s="1"/>
  <c r="U6676" i="5" s="1"/>
  <c r="T6677" i="5" a="1"/>
  <c r="T6677" i="5" s="1"/>
  <c r="U6677" i="5" s="1"/>
  <c r="T6678" i="5" a="1"/>
  <c r="T6678" i="5" s="1"/>
  <c r="U6678" i="5" s="1"/>
  <c r="T6679" i="5" a="1"/>
  <c r="T6679" i="5" s="1"/>
  <c r="U6679" i="5" s="1"/>
  <c r="T6680" i="5" a="1"/>
  <c r="T6680" i="5" s="1"/>
  <c r="U6680" i="5" s="1"/>
  <c r="T6681" i="5" a="1"/>
  <c r="T6681" i="5" s="1"/>
  <c r="U6681" i="5" s="1"/>
  <c r="T6682" i="5" a="1"/>
  <c r="T6682" i="5" s="1"/>
  <c r="U6682" i="5" s="1"/>
  <c r="T6683" i="5" a="1"/>
  <c r="T6683" i="5" s="1"/>
  <c r="U6683" i="5" s="1"/>
  <c r="T6684" i="5" a="1"/>
  <c r="T6684" i="5" s="1"/>
  <c r="U6684" i="5" s="1"/>
  <c r="T6685" i="5" a="1"/>
  <c r="T6685" i="5" s="1"/>
  <c r="U6685" i="5" s="1"/>
  <c r="T6686" i="5" a="1"/>
  <c r="T6686" i="5" s="1"/>
  <c r="U6686" i="5" s="1"/>
  <c r="T6687" i="5" a="1"/>
  <c r="T6687" i="5" s="1"/>
  <c r="U6687" i="5" s="1"/>
  <c r="T6688" i="5" a="1"/>
  <c r="T6688" i="5" s="1"/>
  <c r="U6688" i="5" s="1"/>
  <c r="T6689" i="5" a="1"/>
  <c r="T6689" i="5" s="1"/>
  <c r="U6689" i="5" s="1"/>
  <c r="T6690" i="5" a="1"/>
  <c r="T6690" i="5" s="1"/>
  <c r="U6690" i="5" s="1"/>
  <c r="T6691" i="5" a="1"/>
  <c r="T6691" i="5" s="1"/>
  <c r="U6691" i="5" s="1"/>
  <c r="T6692" i="5" a="1"/>
  <c r="T6692" i="5" s="1"/>
  <c r="U6692" i="5" s="1"/>
  <c r="T6693" i="5" a="1"/>
  <c r="T6693" i="5" s="1"/>
  <c r="U6693" i="5" s="1"/>
  <c r="T6694" i="5" a="1"/>
  <c r="T6694" i="5" s="1"/>
  <c r="U6694" i="5" s="1"/>
  <c r="T6695" i="5" a="1"/>
  <c r="T6695" i="5" s="1"/>
  <c r="U6695" i="5" s="1"/>
  <c r="T6696" i="5" a="1"/>
  <c r="T6696" i="5" s="1"/>
  <c r="U6696" i="5" s="1"/>
  <c r="T6697" i="5" a="1"/>
  <c r="T6697" i="5" s="1"/>
  <c r="U6697" i="5" s="1"/>
  <c r="T6698" i="5" a="1"/>
  <c r="T6698" i="5" s="1"/>
  <c r="U6698" i="5" s="1"/>
  <c r="T6699" i="5" a="1"/>
  <c r="T6699" i="5" s="1"/>
  <c r="U6699" i="5" s="1"/>
  <c r="T6700" i="5" a="1"/>
  <c r="T6700" i="5" s="1"/>
  <c r="U6700" i="5" s="1"/>
  <c r="T6701" i="5" a="1"/>
  <c r="T6701" i="5" s="1"/>
  <c r="U6701" i="5" s="1"/>
  <c r="T6702" i="5" a="1"/>
  <c r="T6702" i="5" s="1"/>
  <c r="U6702" i="5" s="1"/>
  <c r="T6703" i="5" a="1"/>
  <c r="T6703" i="5" s="1"/>
  <c r="U6703" i="5" s="1"/>
  <c r="T6704" i="5" a="1"/>
  <c r="T6704" i="5" s="1"/>
  <c r="U6704" i="5" s="1"/>
  <c r="T6705" i="5" a="1"/>
  <c r="T6705" i="5" s="1"/>
  <c r="U6705" i="5" s="1"/>
  <c r="T6706" i="5" a="1"/>
  <c r="T6706" i="5" s="1"/>
  <c r="U6706" i="5" s="1"/>
  <c r="T6707" i="5" a="1"/>
  <c r="T6707" i="5" s="1"/>
  <c r="U6707" i="5" s="1"/>
  <c r="T6708" i="5" a="1"/>
  <c r="T6708" i="5" s="1"/>
  <c r="U6708" i="5" s="1"/>
  <c r="T6709" i="5" a="1"/>
  <c r="T6709" i="5" s="1"/>
  <c r="U6709" i="5" s="1"/>
  <c r="T6710" i="5" a="1"/>
  <c r="T6710" i="5" s="1"/>
  <c r="U6710" i="5" s="1"/>
  <c r="T6711" i="5" a="1"/>
  <c r="T6711" i="5" s="1"/>
  <c r="U6711" i="5" s="1"/>
  <c r="T6712" i="5" a="1"/>
  <c r="T6712" i="5" s="1"/>
  <c r="U6712" i="5" s="1"/>
  <c r="T6713" i="5" a="1"/>
  <c r="T6713" i="5" s="1"/>
  <c r="U6713" i="5" s="1"/>
  <c r="T6714" i="5" a="1"/>
  <c r="T6714" i="5" s="1"/>
  <c r="U6714" i="5" s="1"/>
  <c r="T6715" i="5" a="1"/>
  <c r="T6715" i="5" s="1"/>
  <c r="U6715" i="5" s="1"/>
  <c r="T6716" i="5" a="1"/>
  <c r="T6716" i="5" s="1"/>
  <c r="U6716" i="5" s="1"/>
  <c r="T6720" i="5" a="1"/>
  <c r="T6720" i="5" s="1"/>
  <c r="U6720" i="5" s="1"/>
  <c r="T6727" i="5" a="1"/>
  <c r="T6727" i="5" s="1"/>
  <c r="U6727" i="5" s="1"/>
  <c r="T6728" i="5" a="1"/>
  <c r="T6728" i="5" s="1"/>
  <c r="U6728" i="5" s="1"/>
  <c r="T6729" i="5" a="1"/>
  <c r="T6729" i="5" s="1"/>
  <c r="U6729" i="5" s="1"/>
  <c r="T6730" i="5" a="1"/>
  <c r="T6730" i="5" s="1"/>
  <c r="U6730" i="5" s="1"/>
  <c r="T6731" i="5" a="1"/>
  <c r="T6731" i="5" s="1"/>
  <c r="U6731" i="5" s="1"/>
  <c r="T6732" i="5" a="1"/>
  <c r="T6732" i="5" s="1"/>
  <c r="U6732" i="5" s="1"/>
  <c r="T6733" i="5" a="1"/>
  <c r="T6733" i="5" s="1"/>
  <c r="U6733" i="5" s="1"/>
  <c r="T6734" i="5" a="1"/>
  <c r="T6734" i="5" s="1"/>
  <c r="U6734" i="5" s="1"/>
  <c r="T6735" i="5" a="1"/>
  <c r="T6735" i="5" s="1"/>
  <c r="U6735" i="5" s="1"/>
  <c r="T6736" i="5" a="1"/>
  <c r="T6736" i="5" s="1"/>
  <c r="U6736" i="5" s="1"/>
  <c r="T6737" i="5" a="1"/>
  <c r="T6737" i="5" s="1"/>
  <c r="U6737" i="5" s="1"/>
  <c r="T6738" i="5" a="1"/>
  <c r="T6738" i="5" s="1"/>
  <c r="U6738" i="5" s="1"/>
  <c r="T6739" i="5" a="1"/>
  <c r="T6739" i="5" s="1"/>
  <c r="U6739" i="5" s="1"/>
  <c r="T6740" i="5" a="1"/>
  <c r="T6740" i="5" s="1"/>
  <c r="U6740" i="5" s="1"/>
  <c r="T6741" i="5" a="1"/>
  <c r="T6741" i="5" s="1"/>
  <c r="U6741" i="5" s="1"/>
  <c r="T6742" i="5" a="1"/>
  <c r="T6742" i="5" s="1"/>
  <c r="U6742" i="5" s="1"/>
  <c r="T6743" i="5" a="1"/>
  <c r="T6743" i="5" s="1"/>
  <c r="U6743" i="5" s="1"/>
  <c r="T6744" i="5" a="1"/>
  <c r="T6744" i="5" s="1"/>
  <c r="U6744" i="5" s="1"/>
  <c r="T6745" i="5" a="1"/>
  <c r="T6745" i="5" s="1"/>
  <c r="U6745" i="5" s="1"/>
  <c r="T6746" i="5" a="1"/>
  <c r="T6746" i="5" s="1"/>
  <c r="U6746" i="5" s="1"/>
  <c r="T6747" i="5" a="1"/>
  <c r="T6747" i="5" s="1"/>
  <c r="U6747" i="5" s="1"/>
  <c r="T6748" i="5" a="1"/>
  <c r="T6748" i="5" s="1"/>
  <c r="U6748" i="5" s="1"/>
  <c r="T6749" i="5" a="1"/>
  <c r="T6749" i="5" s="1"/>
  <c r="U6749" i="5" s="1"/>
  <c r="T6750" i="5" a="1"/>
  <c r="T6750" i="5" s="1"/>
  <c r="U6750" i="5" s="1"/>
  <c r="T6751" i="5" a="1"/>
  <c r="T6751" i="5" s="1"/>
  <c r="U6751" i="5" s="1"/>
  <c r="T6752" i="5" a="1"/>
  <c r="T6752" i="5" s="1"/>
  <c r="U6752" i="5" s="1"/>
  <c r="T6753" i="5" a="1"/>
  <c r="T6753" i="5" s="1"/>
  <c r="U6753" i="5" s="1"/>
  <c r="T6754" i="5" a="1"/>
  <c r="T6754" i="5" s="1"/>
  <c r="U6754" i="5" s="1"/>
  <c r="T6755" i="5" a="1"/>
  <c r="T6755" i="5" s="1"/>
  <c r="U6755" i="5" s="1"/>
  <c r="T6756" i="5" a="1"/>
  <c r="T6756" i="5" s="1"/>
  <c r="U6756" i="5" s="1"/>
  <c r="T6757" i="5" a="1"/>
  <c r="T6757" i="5" s="1"/>
  <c r="U6757" i="5" s="1"/>
  <c r="T6758" i="5" a="1"/>
  <c r="T6758" i="5" s="1"/>
  <c r="U6758" i="5" s="1"/>
  <c r="T6759" i="5" a="1"/>
  <c r="T6759" i="5" s="1"/>
  <c r="U6759" i="5" s="1"/>
  <c r="T6760" i="5" a="1"/>
  <c r="T6760" i="5" s="1"/>
  <c r="U6760" i="5" s="1"/>
  <c r="T6761" i="5" a="1"/>
  <c r="T6761" i="5" s="1"/>
  <c r="U6761" i="5" s="1"/>
  <c r="T6762" i="5" a="1"/>
  <c r="T6762" i="5" s="1"/>
  <c r="U6762" i="5" s="1"/>
  <c r="T6763" i="5" a="1"/>
  <c r="T6763" i="5" s="1"/>
  <c r="U6763" i="5" s="1"/>
  <c r="T6764" i="5" a="1"/>
  <c r="T6764" i="5" s="1"/>
  <c r="U6764" i="5" s="1"/>
  <c r="T6765" i="5" a="1"/>
  <c r="T6765" i="5" s="1"/>
  <c r="U6765" i="5" s="1"/>
  <c r="T6766" i="5" a="1"/>
  <c r="T6766" i="5" s="1"/>
  <c r="U6766" i="5" s="1"/>
  <c r="T6767" i="5" a="1"/>
  <c r="T6767" i="5" s="1"/>
  <c r="U6767" i="5" s="1"/>
  <c r="T6768" i="5" a="1"/>
  <c r="T6768" i="5" s="1"/>
  <c r="U6768" i="5" s="1"/>
  <c r="T6769" i="5" a="1"/>
  <c r="T6769" i="5" s="1"/>
  <c r="U6769" i="5" s="1"/>
  <c r="T6770" i="5" a="1"/>
  <c r="T6770" i="5" s="1"/>
  <c r="U6770" i="5" s="1"/>
  <c r="T6771" i="5" a="1"/>
  <c r="T6771" i="5" s="1"/>
  <c r="U6771" i="5" s="1"/>
  <c r="T6772" i="5" a="1"/>
  <c r="T6772" i="5" s="1"/>
  <c r="U6772" i="5" s="1"/>
  <c r="T6773" i="5" a="1"/>
  <c r="T6773" i="5" s="1"/>
  <c r="U6773" i="5" s="1"/>
  <c r="T6774" i="5" a="1"/>
  <c r="T6774" i="5" s="1"/>
  <c r="U6774" i="5" s="1"/>
  <c r="T6775" i="5" a="1"/>
  <c r="T6775" i="5" s="1"/>
  <c r="U6775" i="5" s="1"/>
  <c r="T6776" i="5" a="1"/>
  <c r="T6776" i="5" s="1"/>
  <c r="U6776" i="5" s="1"/>
  <c r="T6777" i="5" a="1"/>
  <c r="T6777" i="5" s="1"/>
  <c r="U6777" i="5" s="1"/>
  <c r="T6778" i="5" a="1"/>
  <c r="T6778" i="5" s="1"/>
  <c r="U6778" i="5" s="1"/>
  <c r="T6779" i="5" a="1"/>
  <c r="T6779" i="5" s="1"/>
  <c r="U6779" i="5" s="1"/>
  <c r="T6780" i="5" a="1"/>
  <c r="T6780" i="5" s="1"/>
  <c r="U6780" i="5" s="1"/>
  <c r="T6781" i="5" a="1"/>
  <c r="T6781" i="5" s="1"/>
  <c r="U6781" i="5" s="1"/>
  <c r="T6782" i="5" a="1"/>
  <c r="T6782" i="5" s="1"/>
  <c r="U6782" i="5" s="1"/>
  <c r="T6783" i="5" a="1"/>
  <c r="T6783" i="5" s="1"/>
  <c r="U6783" i="5" s="1"/>
  <c r="T6784" i="5" a="1"/>
  <c r="T6784" i="5" s="1"/>
  <c r="U6784" i="5" s="1"/>
  <c r="T6785" i="5" a="1"/>
  <c r="T6785" i="5" s="1"/>
  <c r="U6785" i="5" s="1"/>
  <c r="T6786" i="5" a="1"/>
  <c r="T6786" i="5" s="1"/>
  <c r="U6786" i="5" s="1"/>
  <c r="T6787" i="5" a="1"/>
  <c r="T6787" i="5" s="1"/>
  <c r="U6787" i="5" s="1"/>
  <c r="T6788" i="5" a="1"/>
  <c r="T6788" i="5" s="1"/>
  <c r="U6788" i="5" s="1"/>
  <c r="T6789" i="5" a="1"/>
  <c r="T6789" i="5" s="1"/>
  <c r="U6789" i="5" s="1"/>
  <c r="T6790" i="5" a="1"/>
  <c r="T6790" i="5" s="1"/>
  <c r="U6790" i="5" s="1"/>
  <c r="T6791" i="5" a="1"/>
  <c r="T6791" i="5" s="1"/>
  <c r="U6791" i="5" s="1"/>
  <c r="T6792" i="5" a="1"/>
  <c r="T6792" i="5" s="1"/>
  <c r="U6792" i="5" s="1"/>
  <c r="T6793" i="5" a="1"/>
  <c r="T6793" i="5" s="1"/>
  <c r="U6793" i="5" s="1"/>
  <c r="T6794" i="5" a="1"/>
  <c r="T6794" i="5" s="1"/>
  <c r="U6794" i="5" s="1"/>
  <c r="T6795" i="5" a="1"/>
  <c r="T6795" i="5" s="1"/>
  <c r="U6795" i="5" s="1"/>
  <c r="T6800" i="5" a="1"/>
  <c r="T6800" i="5" s="1"/>
  <c r="U6800" i="5" s="1"/>
  <c r="T6801" i="5" a="1"/>
  <c r="T6801" i="5" s="1"/>
  <c r="U6801" i="5" s="1"/>
  <c r="T6802" i="5" a="1"/>
  <c r="T6802" i="5" s="1"/>
  <c r="U6802" i="5" s="1"/>
  <c r="T6803" i="5" a="1"/>
  <c r="T6803" i="5" s="1"/>
  <c r="U6803" i="5" s="1"/>
  <c r="T6804" i="5" a="1"/>
  <c r="T6804" i="5" s="1"/>
  <c r="U6804" i="5" s="1"/>
  <c r="T6805" i="5" a="1"/>
  <c r="T6805" i="5" s="1"/>
  <c r="U6805" i="5" s="1"/>
  <c r="T6806" i="5" a="1"/>
  <c r="T6806" i="5" s="1"/>
  <c r="U6806" i="5" s="1"/>
  <c r="T6807" i="5" a="1"/>
  <c r="T6807" i="5" s="1"/>
  <c r="U6807" i="5" s="1"/>
  <c r="T6808" i="5" a="1"/>
  <c r="T6808" i="5" s="1"/>
  <c r="U6808" i="5" s="1"/>
  <c r="T6809" i="5" a="1"/>
  <c r="T6809" i="5" s="1"/>
  <c r="U6809" i="5" s="1"/>
  <c r="T6810" i="5" a="1"/>
  <c r="T6810" i="5" s="1"/>
  <c r="U6810" i="5" s="1"/>
  <c r="T6811" i="5" a="1"/>
  <c r="T6811" i="5" s="1"/>
  <c r="U6811" i="5" s="1"/>
  <c r="T6812" i="5" a="1"/>
  <c r="T6812" i="5" s="1"/>
  <c r="U6812" i="5" s="1"/>
  <c r="T6813" i="5" a="1"/>
  <c r="T6813" i="5" s="1"/>
  <c r="U6813" i="5" s="1"/>
  <c r="T6814" i="5" a="1"/>
  <c r="T6814" i="5" s="1"/>
  <c r="U6814" i="5" s="1"/>
  <c r="T6815" i="5" a="1"/>
  <c r="T6815" i="5" s="1"/>
  <c r="U6815" i="5" s="1"/>
  <c r="T6816" i="5" a="1"/>
  <c r="T6816" i="5" s="1"/>
  <c r="U6816" i="5" s="1"/>
  <c r="T6817" i="5" a="1"/>
  <c r="T6817" i="5" s="1"/>
  <c r="U6817" i="5" s="1"/>
  <c r="T6818" i="5" a="1"/>
  <c r="T6818" i="5" s="1"/>
  <c r="U6818" i="5" s="1"/>
  <c r="T6819" i="5" a="1"/>
  <c r="T6819" i="5" s="1"/>
  <c r="U6819" i="5" s="1"/>
  <c r="T6820" i="5" a="1"/>
  <c r="T6820" i="5" s="1"/>
  <c r="U6820" i="5" s="1"/>
  <c r="T6821" i="5" a="1"/>
  <c r="T6821" i="5" s="1"/>
  <c r="U6821" i="5" s="1"/>
  <c r="T6822" i="5" a="1"/>
  <c r="T6822" i="5" s="1"/>
  <c r="U6822" i="5" s="1"/>
  <c r="T6823" i="5" a="1"/>
  <c r="T6823" i="5" s="1"/>
  <c r="U6823" i="5" s="1"/>
  <c r="T6824" i="5" a="1"/>
  <c r="T6824" i="5" s="1"/>
  <c r="U6824" i="5" s="1"/>
  <c r="T6825" i="5" a="1"/>
  <c r="T6825" i="5" s="1"/>
  <c r="U6825" i="5" s="1"/>
  <c r="T6826" i="5" a="1"/>
  <c r="T6826" i="5" s="1"/>
  <c r="U6826" i="5" s="1"/>
  <c r="T6827" i="5" a="1"/>
  <c r="T6827" i="5" s="1"/>
  <c r="U6827" i="5" s="1"/>
  <c r="T6828" i="5" a="1"/>
  <c r="T6828" i="5" s="1"/>
  <c r="U6828" i="5" s="1"/>
  <c r="T6829" i="5" a="1"/>
  <c r="T6829" i="5" s="1"/>
  <c r="U6829" i="5" s="1"/>
  <c r="T6830" i="5" a="1"/>
  <c r="T6830" i="5" s="1"/>
  <c r="U6830" i="5" s="1"/>
  <c r="T6831" i="5" a="1"/>
  <c r="T6831" i="5" s="1"/>
  <c r="U6831" i="5" s="1"/>
  <c r="T6832" i="5" a="1"/>
  <c r="T6832" i="5" s="1"/>
  <c r="U6832" i="5" s="1"/>
  <c r="T6833" i="5" a="1"/>
  <c r="T6833" i="5" s="1"/>
  <c r="U6833" i="5" s="1"/>
  <c r="T6834" i="5" a="1"/>
  <c r="T6834" i="5" s="1"/>
  <c r="U6834" i="5" s="1"/>
  <c r="T6835" i="5" a="1"/>
  <c r="T6835" i="5" s="1"/>
  <c r="U6835" i="5" s="1"/>
  <c r="T6836" i="5" a="1"/>
  <c r="T6836" i="5" s="1"/>
  <c r="U6836" i="5" s="1"/>
  <c r="T6837" i="5" a="1"/>
  <c r="T6837" i="5" s="1"/>
  <c r="U6837" i="5" s="1"/>
  <c r="T6838" i="5" a="1"/>
  <c r="T6838" i="5" s="1"/>
  <c r="U6838" i="5" s="1"/>
  <c r="T6839" i="5" a="1"/>
  <c r="T6839" i="5" s="1"/>
  <c r="U6839" i="5" s="1"/>
  <c r="T6840" i="5" a="1"/>
  <c r="T6840" i="5" s="1"/>
  <c r="U6840" i="5" s="1"/>
  <c r="T6841" i="5" a="1"/>
  <c r="T6841" i="5" s="1"/>
  <c r="U6841" i="5" s="1"/>
  <c r="T6842" i="5" a="1"/>
  <c r="T6842" i="5" s="1"/>
  <c r="U6842" i="5" s="1"/>
  <c r="T6843" i="5" a="1"/>
  <c r="T6843" i="5" s="1"/>
  <c r="U6843" i="5" s="1"/>
  <c r="T6844" i="5" a="1"/>
  <c r="T6844" i="5" s="1"/>
  <c r="U6844" i="5" s="1"/>
  <c r="T6845" i="5" a="1"/>
  <c r="T6845" i="5" s="1"/>
  <c r="U6845" i="5" s="1"/>
  <c r="T6846" i="5" a="1"/>
  <c r="T6846" i="5" s="1"/>
  <c r="U6846" i="5" s="1"/>
  <c r="T6847" i="5" a="1"/>
  <c r="T6847" i="5" s="1"/>
  <c r="U6847" i="5" s="1"/>
  <c r="T6848" i="5" a="1"/>
  <c r="T6848" i="5" s="1"/>
  <c r="U6848" i="5" s="1"/>
  <c r="T6849" i="5" a="1"/>
  <c r="T6849" i="5" s="1"/>
  <c r="U6849" i="5" s="1"/>
  <c r="T6850" i="5" a="1"/>
  <c r="T6850" i="5" s="1"/>
  <c r="U6850" i="5" s="1"/>
  <c r="T6851" i="5" a="1"/>
  <c r="T6851" i="5" s="1"/>
  <c r="U6851" i="5" s="1"/>
  <c r="T6852" i="5" a="1"/>
  <c r="T6852" i="5" s="1"/>
  <c r="U6852" i="5" s="1"/>
  <c r="T6853" i="5" a="1"/>
  <c r="T6853" i="5" s="1"/>
  <c r="U6853" i="5" s="1"/>
  <c r="T6854" i="5" a="1"/>
  <c r="T6854" i="5" s="1"/>
  <c r="U6854" i="5" s="1"/>
  <c r="T6855" i="5" a="1"/>
  <c r="T6855" i="5" s="1"/>
  <c r="U6855" i="5" s="1"/>
  <c r="T6856" i="5" a="1"/>
  <c r="T6856" i="5" s="1"/>
  <c r="U6856" i="5" s="1"/>
  <c r="T6857" i="5" a="1"/>
  <c r="T6857" i="5" s="1"/>
  <c r="U6857" i="5" s="1"/>
  <c r="T6858" i="5" a="1"/>
  <c r="T6858" i="5" s="1"/>
  <c r="U6858" i="5" s="1"/>
  <c r="T6859" i="5" a="1"/>
  <c r="T6859" i="5" s="1"/>
  <c r="U6859" i="5" s="1"/>
  <c r="T6860" i="5" a="1"/>
  <c r="T6860" i="5" s="1"/>
  <c r="U6860" i="5" s="1"/>
  <c r="T6861" i="5" a="1"/>
  <c r="T6861" i="5" s="1"/>
  <c r="U6861" i="5" s="1"/>
  <c r="T6862" i="5" a="1"/>
  <c r="T6862" i="5" s="1"/>
  <c r="U6862" i="5" s="1"/>
  <c r="T6863" i="5" a="1"/>
  <c r="T6863" i="5" s="1"/>
  <c r="U6863" i="5" s="1"/>
  <c r="T6864" i="5" a="1"/>
  <c r="T6864" i="5" s="1"/>
  <c r="U6864" i="5" s="1"/>
  <c r="T6865" i="5" a="1"/>
  <c r="T6865" i="5" s="1"/>
  <c r="U6865" i="5" s="1"/>
  <c r="T6866" i="5" a="1"/>
  <c r="T6866" i="5" s="1"/>
  <c r="U6866" i="5" s="1"/>
  <c r="T6867" i="5" a="1"/>
  <c r="T6867" i="5" s="1"/>
  <c r="U6867" i="5" s="1"/>
  <c r="T6868" i="5" a="1"/>
  <c r="T6868" i="5" s="1"/>
  <c r="U6868" i="5" s="1"/>
  <c r="T6869" i="5" a="1"/>
  <c r="T6869" i="5" s="1"/>
  <c r="U6869" i="5" s="1"/>
  <c r="T6870" i="5" a="1"/>
  <c r="T6870" i="5" s="1"/>
  <c r="U6870" i="5" s="1"/>
  <c r="T6871" i="5" a="1"/>
  <c r="T6871" i="5" s="1"/>
  <c r="U6871" i="5" s="1"/>
  <c r="T6872" i="5" a="1"/>
  <c r="T6872" i="5" s="1"/>
  <c r="U6872" i="5" s="1"/>
  <c r="T6873" i="5" a="1"/>
  <c r="T6873" i="5" s="1"/>
  <c r="U6873" i="5" s="1"/>
  <c r="T6874" i="5" a="1"/>
  <c r="T6874" i="5" s="1"/>
  <c r="U6874" i="5" s="1"/>
  <c r="T6875" i="5" a="1"/>
  <c r="T6875" i="5" s="1"/>
  <c r="U6875" i="5" s="1"/>
  <c r="T6876" i="5" a="1"/>
  <c r="T6876" i="5" s="1"/>
  <c r="U6876" i="5" s="1"/>
  <c r="T6877" i="5" a="1"/>
  <c r="T6877" i="5" s="1"/>
  <c r="U6877" i="5" s="1"/>
  <c r="T6878" i="5" a="1"/>
  <c r="T6878" i="5" s="1"/>
  <c r="U6878" i="5" s="1"/>
  <c r="T6879" i="5" a="1"/>
  <c r="T6879" i="5" s="1"/>
  <c r="U6879" i="5" s="1"/>
  <c r="T6880" i="5" a="1"/>
  <c r="T6880" i="5" s="1"/>
  <c r="U6880" i="5" s="1"/>
  <c r="T6881" i="5" a="1"/>
  <c r="T6881" i="5" s="1"/>
  <c r="U6881" i="5" s="1"/>
  <c r="T6882" i="5" a="1"/>
  <c r="T6882" i="5" s="1"/>
  <c r="U6882" i="5" s="1"/>
  <c r="T6883" i="5" a="1"/>
  <c r="T6883" i="5" s="1"/>
  <c r="U6883" i="5" s="1"/>
  <c r="T6884" i="5" a="1"/>
  <c r="T6884" i="5" s="1"/>
  <c r="U6884" i="5" s="1"/>
  <c r="T6885" i="5" a="1"/>
  <c r="T6885" i="5" s="1"/>
  <c r="U6885" i="5" s="1"/>
  <c r="T6886" i="5" a="1"/>
  <c r="T6886" i="5" s="1"/>
  <c r="U6886" i="5" s="1"/>
  <c r="T6887" i="5" a="1"/>
  <c r="T6887" i="5" s="1"/>
  <c r="U6887" i="5" s="1"/>
  <c r="T6888" i="5" a="1"/>
  <c r="T6888" i="5" s="1"/>
  <c r="U6888" i="5" s="1"/>
  <c r="T6889" i="5" a="1"/>
  <c r="T6889" i="5" s="1"/>
  <c r="U6889" i="5" s="1"/>
  <c r="T6890" i="5" a="1"/>
  <c r="T6890" i="5" s="1"/>
  <c r="U6890" i="5" s="1"/>
  <c r="T6891" i="5" a="1"/>
  <c r="T6891" i="5" s="1"/>
  <c r="U6891" i="5" s="1"/>
  <c r="T6892" i="5" a="1"/>
  <c r="T6892" i="5" s="1"/>
  <c r="U6892" i="5" s="1"/>
  <c r="T6893" i="5" a="1"/>
  <c r="T6893" i="5" s="1"/>
  <c r="U6893" i="5" s="1"/>
  <c r="T6894" i="5" a="1"/>
  <c r="T6894" i="5" s="1"/>
  <c r="U6894" i="5" s="1"/>
  <c r="T6895" i="5" a="1"/>
  <c r="T6895" i="5" s="1"/>
  <c r="U6895" i="5" s="1"/>
  <c r="T6900" i="5" a="1"/>
  <c r="T6900" i="5" s="1"/>
  <c r="U6900" i="5" s="1"/>
  <c r="T6901" i="5" a="1"/>
  <c r="T6901" i="5" s="1"/>
  <c r="U6901" i="5" s="1"/>
  <c r="T6902" i="5" a="1"/>
  <c r="T6902" i="5" s="1"/>
  <c r="U6902" i="5" s="1"/>
  <c r="T6903" i="5" a="1"/>
  <c r="T6903" i="5" s="1"/>
  <c r="U6903" i="5" s="1"/>
  <c r="T6904" i="5" a="1"/>
  <c r="T6904" i="5" s="1"/>
  <c r="U6904" i="5" s="1"/>
  <c r="T6905" i="5" a="1"/>
  <c r="T6905" i="5" s="1"/>
  <c r="U6905" i="5" s="1"/>
  <c r="T6906" i="5" a="1"/>
  <c r="T6906" i="5" s="1"/>
  <c r="U6906" i="5" s="1"/>
  <c r="T6907" i="5" a="1"/>
  <c r="T6907" i="5" s="1"/>
  <c r="U6907" i="5" s="1"/>
  <c r="T6908" i="5" a="1"/>
  <c r="T6908" i="5" s="1"/>
  <c r="U6908" i="5" s="1"/>
  <c r="T6909" i="5" a="1"/>
  <c r="T6909" i="5" s="1"/>
  <c r="U6909" i="5" s="1"/>
  <c r="T6910" i="5" a="1"/>
  <c r="T6910" i="5" s="1"/>
  <c r="U6910" i="5" s="1"/>
  <c r="T6911" i="5" a="1"/>
  <c r="T6911" i="5" s="1"/>
  <c r="U6911" i="5" s="1"/>
  <c r="T6912" i="5" a="1"/>
  <c r="T6912" i="5" s="1"/>
  <c r="U6912" i="5" s="1"/>
  <c r="T6913" i="5" a="1"/>
  <c r="T6913" i="5" s="1"/>
  <c r="U6913" i="5" s="1"/>
  <c r="T6914" i="5" a="1"/>
  <c r="T6914" i="5" s="1"/>
  <c r="U6914" i="5" s="1"/>
  <c r="T6915" i="5" a="1"/>
  <c r="T6915" i="5" s="1"/>
  <c r="U6915" i="5" s="1"/>
  <c r="T6916" i="5" a="1"/>
  <c r="T6916" i="5" s="1"/>
  <c r="U6916" i="5" s="1"/>
  <c r="T6917" i="5" a="1"/>
  <c r="T6917" i="5" s="1"/>
  <c r="U6917" i="5" s="1"/>
  <c r="T6918" i="5" a="1"/>
  <c r="T6918" i="5" s="1"/>
  <c r="U6918" i="5" s="1"/>
  <c r="T6919" i="5" a="1"/>
  <c r="T6919" i="5" s="1"/>
  <c r="U6919" i="5" s="1"/>
  <c r="T6920" i="5" a="1"/>
  <c r="T6920" i="5" s="1"/>
  <c r="U6920" i="5" s="1"/>
  <c r="T6921" i="5" a="1"/>
  <c r="T6921" i="5" s="1"/>
  <c r="U6921" i="5" s="1"/>
  <c r="T6922" i="5" a="1"/>
  <c r="T6922" i="5" s="1"/>
  <c r="U6922" i="5" s="1"/>
  <c r="T6923" i="5" a="1"/>
  <c r="T6923" i="5" s="1"/>
  <c r="U6923" i="5" s="1"/>
  <c r="T6924" i="5" a="1"/>
  <c r="T6924" i="5" s="1"/>
  <c r="U6924" i="5" s="1"/>
  <c r="T6925" i="5" a="1"/>
  <c r="T6925" i="5" s="1"/>
  <c r="U6925" i="5" s="1"/>
  <c r="T6926" i="5" a="1"/>
  <c r="T6926" i="5" s="1"/>
  <c r="U6926" i="5" s="1"/>
  <c r="T6927" i="5" a="1"/>
  <c r="T6927" i="5" s="1"/>
  <c r="U6927" i="5" s="1"/>
  <c r="T6928" i="5" a="1"/>
  <c r="T6928" i="5" s="1"/>
  <c r="U6928" i="5" s="1"/>
  <c r="T6929" i="5" a="1"/>
  <c r="T6929" i="5" s="1"/>
  <c r="U6929" i="5" s="1"/>
  <c r="T6930" i="5" a="1"/>
  <c r="T6930" i="5" s="1"/>
  <c r="U6930" i="5" s="1"/>
  <c r="T6931" i="5" a="1"/>
  <c r="T6931" i="5" s="1"/>
  <c r="U6931" i="5" s="1"/>
  <c r="T6932" i="5" a="1"/>
  <c r="T6932" i="5" s="1"/>
  <c r="U6932" i="5" s="1"/>
  <c r="T6933" i="5" a="1"/>
  <c r="T6933" i="5" s="1"/>
  <c r="U6933" i="5" s="1"/>
  <c r="T6934" i="5" a="1"/>
  <c r="T6934" i="5" s="1"/>
  <c r="U6934" i="5" s="1"/>
  <c r="T6935" i="5" a="1"/>
  <c r="T6935" i="5" s="1"/>
  <c r="U6935" i="5" s="1"/>
  <c r="T6936" i="5" a="1"/>
  <c r="T6936" i="5" s="1"/>
  <c r="U6936" i="5" s="1"/>
  <c r="T6937" i="5" a="1"/>
  <c r="T6937" i="5" s="1"/>
  <c r="U6937" i="5" s="1"/>
  <c r="T6938" i="5" a="1"/>
  <c r="T6938" i="5" s="1"/>
  <c r="U6938" i="5" s="1"/>
  <c r="T6939" i="5" a="1"/>
  <c r="T6939" i="5" s="1"/>
  <c r="U6939" i="5" s="1"/>
  <c r="T6940" i="5" a="1"/>
  <c r="T6940" i="5" s="1"/>
  <c r="U6940" i="5" s="1"/>
  <c r="T6941" i="5" a="1"/>
  <c r="T6941" i="5" s="1"/>
  <c r="U6941" i="5" s="1"/>
  <c r="T6942" i="5" a="1"/>
  <c r="T6942" i="5" s="1"/>
  <c r="U6942" i="5" s="1"/>
  <c r="T6943" i="5" a="1"/>
  <c r="T6943" i="5" s="1"/>
  <c r="U6943" i="5" s="1"/>
  <c r="T6944" i="5" a="1"/>
  <c r="T6944" i="5" s="1"/>
  <c r="U6944" i="5" s="1"/>
  <c r="T6945" i="5" a="1"/>
  <c r="T6945" i="5" s="1"/>
  <c r="U6945" i="5" s="1"/>
  <c r="T6946" i="5" a="1"/>
  <c r="T6946" i="5" s="1"/>
  <c r="U6946" i="5" s="1"/>
  <c r="T6947" i="5" a="1"/>
  <c r="T6947" i="5" s="1"/>
  <c r="U6947" i="5" s="1"/>
  <c r="T6948" i="5" a="1"/>
  <c r="T6948" i="5" s="1"/>
  <c r="U6948" i="5" s="1"/>
  <c r="T6949" i="5" a="1"/>
  <c r="T6949" i="5" s="1"/>
  <c r="U6949" i="5" s="1"/>
  <c r="T6950" i="5" a="1"/>
  <c r="T6950" i="5" s="1"/>
  <c r="U6950" i="5" s="1"/>
  <c r="T6951" i="5" a="1"/>
  <c r="T6951" i="5" s="1"/>
  <c r="U6951" i="5" s="1"/>
  <c r="T6952" i="5" a="1"/>
  <c r="T6952" i="5" s="1"/>
  <c r="U6952" i="5" s="1"/>
  <c r="T6953" i="5" a="1"/>
  <c r="T6953" i="5" s="1"/>
  <c r="U6953" i="5" s="1"/>
  <c r="T6954" i="5" a="1"/>
  <c r="T6954" i="5" s="1"/>
  <c r="U6954" i="5" s="1"/>
  <c r="T6955" i="5" a="1"/>
  <c r="T6955" i="5" s="1"/>
  <c r="U6955" i="5" s="1"/>
  <c r="T6956" i="5" a="1"/>
  <c r="T6956" i="5" s="1"/>
  <c r="U6956" i="5" s="1"/>
  <c r="T6957" i="5" a="1"/>
  <c r="T6957" i="5" s="1"/>
  <c r="U6957" i="5" s="1"/>
  <c r="T6958" i="5" a="1"/>
  <c r="T6958" i="5" s="1"/>
  <c r="U6958" i="5" s="1"/>
  <c r="T6959" i="5" a="1"/>
  <c r="T6959" i="5" s="1"/>
  <c r="U6959" i="5" s="1"/>
  <c r="T6960" i="5" a="1"/>
  <c r="T6960" i="5" s="1"/>
  <c r="U6960" i="5" s="1"/>
  <c r="T6961" i="5" a="1"/>
  <c r="T6961" i="5" s="1"/>
  <c r="U6961" i="5" s="1"/>
  <c r="T6962" i="5" a="1"/>
  <c r="T6962" i="5" s="1"/>
  <c r="U6962" i="5" s="1"/>
  <c r="T6963" i="5" a="1"/>
  <c r="T6963" i="5" s="1"/>
  <c r="U6963" i="5" s="1"/>
  <c r="T6964" i="5" a="1"/>
  <c r="T6964" i="5" s="1"/>
  <c r="U6964" i="5" s="1"/>
  <c r="T6965" i="5" a="1"/>
  <c r="T6965" i="5" s="1"/>
  <c r="U6965" i="5" s="1"/>
  <c r="T6966" i="5" a="1"/>
  <c r="T6966" i="5" s="1"/>
  <c r="U6966" i="5" s="1"/>
  <c r="T6967" i="5" a="1"/>
  <c r="T6967" i="5" s="1"/>
  <c r="U6967" i="5" s="1"/>
  <c r="T6968" i="5" a="1"/>
  <c r="T6968" i="5" s="1"/>
  <c r="U6968" i="5" s="1"/>
  <c r="T6969" i="5" a="1"/>
  <c r="T6969" i="5" s="1"/>
  <c r="U6969" i="5" s="1"/>
  <c r="T6970" i="5" a="1"/>
  <c r="T6970" i="5" s="1"/>
  <c r="U6970" i="5" s="1"/>
  <c r="T6971" i="5" a="1"/>
  <c r="T6971" i="5" s="1"/>
  <c r="U6971" i="5" s="1"/>
  <c r="T6972" i="5" a="1"/>
  <c r="T6972" i="5" s="1"/>
  <c r="U6972" i="5" s="1"/>
  <c r="T6973" i="5" a="1"/>
  <c r="T6973" i="5" s="1"/>
  <c r="U6973" i="5" s="1"/>
  <c r="T6974" i="5" a="1"/>
  <c r="T6974" i="5" s="1"/>
  <c r="U6974" i="5" s="1"/>
  <c r="T6975" i="5" a="1"/>
  <c r="T6975" i="5" s="1"/>
  <c r="U6975" i="5" s="1"/>
  <c r="T6976" i="5" a="1"/>
  <c r="T6976" i="5" s="1"/>
  <c r="U6976" i="5" s="1"/>
  <c r="T6977" i="5" a="1"/>
  <c r="T6977" i="5" s="1"/>
  <c r="U6977" i="5" s="1"/>
  <c r="T6978" i="5" a="1"/>
  <c r="T6978" i="5" s="1"/>
  <c r="U6978" i="5" s="1"/>
  <c r="T6979" i="5" a="1"/>
  <c r="T6979" i="5" s="1"/>
  <c r="U6979" i="5" s="1"/>
  <c r="T6980" i="5" a="1"/>
  <c r="T6980" i="5" s="1"/>
  <c r="U6980" i="5" s="1"/>
  <c r="T6981" i="5" a="1"/>
  <c r="T6981" i="5" s="1"/>
  <c r="U6981" i="5" s="1"/>
  <c r="T6982" i="5" a="1"/>
  <c r="T6982" i="5" s="1"/>
  <c r="U6982" i="5" s="1"/>
  <c r="T6983" i="5" a="1"/>
  <c r="T6983" i="5" s="1"/>
  <c r="U6983" i="5" s="1"/>
  <c r="T6984" i="5" a="1"/>
  <c r="T6984" i="5" s="1"/>
  <c r="U6984" i="5" s="1"/>
  <c r="T6985" i="5" a="1"/>
  <c r="T6985" i="5" s="1"/>
  <c r="U6985" i="5" s="1"/>
  <c r="T6986" i="5" a="1"/>
  <c r="T6986" i="5" s="1"/>
  <c r="U6986" i="5" s="1"/>
  <c r="T6987" i="5" a="1"/>
  <c r="T6987" i="5" s="1"/>
  <c r="U6987" i="5" s="1"/>
  <c r="T6988" i="5" a="1"/>
  <c r="T6988" i="5" s="1"/>
  <c r="U6988" i="5" s="1"/>
  <c r="T6989" i="5" a="1"/>
  <c r="T6989" i="5" s="1"/>
  <c r="U6989" i="5" s="1"/>
  <c r="T6990" i="5" a="1"/>
  <c r="T6990" i="5" s="1"/>
  <c r="U6990" i="5" s="1"/>
  <c r="T6991" i="5" a="1"/>
  <c r="T6991" i="5" s="1"/>
  <c r="U6991" i="5" s="1"/>
  <c r="T6992" i="5" a="1"/>
  <c r="T6992" i="5" s="1"/>
  <c r="U6992" i="5" s="1"/>
  <c r="T6993" i="5" a="1"/>
  <c r="T6993" i="5" s="1"/>
  <c r="U6993" i="5" s="1"/>
  <c r="T6994" i="5" a="1"/>
  <c r="T6994" i="5" s="1"/>
  <c r="U6994" i="5" s="1"/>
  <c r="T6995" i="5" a="1"/>
  <c r="T6995" i="5" s="1"/>
  <c r="U6995" i="5" s="1"/>
  <c r="T6996" i="5" a="1"/>
  <c r="T6996" i="5" s="1"/>
  <c r="U6996" i="5" s="1"/>
  <c r="T6997" i="5" a="1"/>
  <c r="T6997" i="5" s="1"/>
  <c r="U6997" i="5" s="1"/>
  <c r="T6998" i="5" a="1"/>
  <c r="T6998" i="5" s="1"/>
  <c r="U6998" i="5" s="1"/>
  <c r="T6999" i="5" a="1"/>
  <c r="T6999" i="5" s="1"/>
  <c r="U6999" i="5" s="1"/>
  <c r="T7000" i="5" a="1"/>
  <c r="T7000" i="5" s="1"/>
  <c r="U7000" i="5" s="1"/>
  <c r="T7001" i="5" a="1"/>
  <c r="T7001" i="5" s="1"/>
  <c r="U7001" i="5" s="1"/>
  <c r="T7002" i="5" a="1"/>
  <c r="T7002" i="5" s="1"/>
  <c r="U7002" i="5" s="1"/>
  <c r="T7003" i="5" a="1"/>
  <c r="T7003" i="5" s="1"/>
  <c r="U7003" i="5" s="1"/>
  <c r="T7004" i="5" a="1"/>
  <c r="T7004" i="5" s="1"/>
  <c r="U7004" i="5" s="1"/>
  <c r="T7005" i="5" a="1"/>
  <c r="T7005" i="5" s="1"/>
  <c r="U7005" i="5" s="1"/>
  <c r="T7006" i="5" a="1"/>
  <c r="T7006" i="5" s="1"/>
  <c r="U7006" i="5" s="1"/>
  <c r="T7007" i="5" a="1"/>
  <c r="T7007" i="5" s="1"/>
  <c r="U7007" i="5" s="1"/>
  <c r="T7008" i="5" a="1"/>
  <c r="T7008" i="5" s="1"/>
  <c r="U7008" i="5" s="1"/>
  <c r="T7009" i="5" a="1"/>
  <c r="T7009" i="5" s="1"/>
  <c r="U7009" i="5" s="1"/>
  <c r="T7010" i="5" a="1"/>
  <c r="T7010" i="5" s="1"/>
  <c r="U7010" i="5" s="1"/>
  <c r="T7011" i="5" a="1"/>
  <c r="T7011" i="5" s="1"/>
  <c r="U7011" i="5" s="1"/>
  <c r="T7012" i="5" a="1"/>
  <c r="T7012" i="5" s="1"/>
  <c r="U7012" i="5" s="1"/>
  <c r="T7013" i="5" a="1"/>
  <c r="T7013" i="5" s="1"/>
  <c r="U7013" i="5" s="1"/>
  <c r="T7014" i="5" a="1"/>
  <c r="T7014" i="5" s="1"/>
  <c r="U7014" i="5" s="1"/>
  <c r="T7015" i="5" a="1"/>
  <c r="T7015" i="5" s="1"/>
  <c r="U7015" i="5" s="1"/>
  <c r="T7016" i="5" a="1"/>
  <c r="T7016" i="5" s="1"/>
  <c r="U7016" i="5" s="1"/>
  <c r="T7017" i="5" a="1"/>
  <c r="T7017" i="5" s="1"/>
  <c r="U7017" i="5" s="1"/>
  <c r="T7018" i="5" a="1"/>
  <c r="T7018" i="5" s="1"/>
  <c r="U7018" i="5" s="1"/>
  <c r="T7019" i="5" a="1"/>
  <c r="T7019" i="5" s="1"/>
  <c r="U7019" i="5" s="1"/>
  <c r="T7020" i="5" a="1"/>
  <c r="T7020" i="5" s="1"/>
  <c r="U7020" i="5" s="1"/>
  <c r="T7021" i="5" a="1"/>
  <c r="T7021" i="5" s="1"/>
  <c r="U7021" i="5" s="1"/>
  <c r="T7022" i="5" a="1"/>
  <c r="T7022" i="5" s="1"/>
  <c r="U7022" i="5" s="1"/>
  <c r="T7023" i="5" a="1"/>
  <c r="T7023" i="5" s="1"/>
  <c r="U7023" i="5" s="1"/>
  <c r="T7024" i="5" a="1"/>
  <c r="T7024" i="5" s="1"/>
  <c r="U7024" i="5" s="1"/>
  <c r="T7025" i="5" a="1"/>
  <c r="T7025" i="5" s="1"/>
  <c r="U7025" i="5" s="1"/>
  <c r="T7026" i="5" a="1"/>
  <c r="T7026" i="5" s="1"/>
  <c r="U7026" i="5" s="1"/>
  <c r="T7027" i="5" a="1"/>
  <c r="T7027" i="5" s="1"/>
  <c r="U7027" i="5" s="1"/>
  <c r="T7028" i="5" a="1"/>
  <c r="T7028" i="5" s="1"/>
  <c r="U7028" i="5" s="1"/>
  <c r="T7029" i="5" a="1"/>
  <c r="T7029" i="5" s="1"/>
  <c r="U7029" i="5" s="1"/>
  <c r="T7030" i="5" a="1"/>
  <c r="T7030" i="5" s="1"/>
  <c r="U7030" i="5" s="1"/>
  <c r="T7031" i="5" a="1"/>
  <c r="T7031" i="5" s="1"/>
  <c r="U7031" i="5" s="1"/>
  <c r="T7032" i="5" a="1"/>
  <c r="T7032" i="5" s="1"/>
  <c r="U7032" i="5" s="1"/>
  <c r="T7033" i="5" a="1"/>
  <c r="T7033" i="5" s="1"/>
  <c r="U7033" i="5" s="1"/>
  <c r="T7034" i="5" a="1"/>
  <c r="T7034" i="5" s="1"/>
  <c r="U7034" i="5" s="1"/>
  <c r="T7035" i="5" a="1"/>
  <c r="T7035" i="5" s="1"/>
  <c r="U7035" i="5" s="1"/>
  <c r="T7036" i="5" a="1"/>
  <c r="T7036" i="5" s="1"/>
  <c r="U7036" i="5" s="1"/>
  <c r="T7037" i="5" a="1"/>
  <c r="T7037" i="5" s="1"/>
  <c r="U7037" i="5" s="1"/>
  <c r="T7038" i="5" a="1"/>
  <c r="T7038" i="5" s="1"/>
  <c r="U7038" i="5" s="1"/>
  <c r="T7039" i="5" a="1"/>
  <c r="T7039" i="5" s="1"/>
  <c r="U7039" i="5" s="1"/>
  <c r="T7040" i="5" a="1"/>
  <c r="T7040" i="5" s="1"/>
  <c r="U7040" i="5" s="1"/>
  <c r="T7041" i="5" a="1"/>
  <c r="T7041" i="5" s="1"/>
  <c r="U7041" i="5" s="1"/>
  <c r="T7042" i="5" a="1"/>
  <c r="T7042" i="5" s="1"/>
  <c r="U7042" i="5" s="1"/>
  <c r="T7043" i="5" a="1"/>
  <c r="T7043" i="5" s="1"/>
  <c r="U7043" i="5" s="1"/>
  <c r="T7044" i="5" a="1"/>
  <c r="T7044" i="5" s="1"/>
  <c r="U7044" i="5" s="1"/>
  <c r="T7045" i="5" a="1"/>
  <c r="T7045" i="5" s="1"/>
  <c r="U7045" i="5" s="1"/>
  <c r="T7046" i="5" a="1"/>
  <c r="T7046" i="5" s="1"/>
  <c r="U7046" i="5" s="1"/>
  <c r="T7047" i="5" a="1"/>
  <c r="T7047" i="5" s="1"/>
  <c r="U7047" i="5" s="1"/>
  <c r="T7048" i="5" a="1"/>
  <c r="T7048" i="5" s="1"/>
  <c r="U7048" i="5" s="1"/>
  <c r="T7049" i="5" a="1"/>
  <c r="T7049" i="5" s="1"/>
  <c r="U7049" i="5" s="1"/>
  <c r="T7050" i="5" a="1"/>
  <c r="T7050" i="5" s="1"/>
  <c r="U7050" i="5" s="1"/>
  <c r="T7051" i="5" a="1"/>
  <c r="T7051" i="5" s="1"/>
  <c r="U7051" i="5" s="1"/>
  <c r="T7052" i="5" a="1"/>
  <c r="T7052" i="5" s="1"/>
  <c r="U7052" i="5" s="1"/>
  <c r="T7053" i="5" a="1"/>
  <c r="T7053" i="5" s="1"/>
  <c r="U7053" i="5" s="1"/>
  <c r="T7054" i="5" a="1"/>
  <c r="T7054" i="5" s="1"/>
  <c r="U7054" i="5" s="1"/>
  <c r="T7055" i="5" a="1"/>
  <c r="T7055" i="5" s="1"/>
  <c r="U7055" i="5" s="1"/>
  <c r="T7056" i="5" a="1"/>
  <c r="T7056" i="5" s="1"/>
  <c r="U7056" i="5" s="1"/>
  <c r="T7057" i="5" a="1"/>
  <c r="T7057" i="5" s="1"/>
  <c r="U7057" i="5" s="1"/>
  <c r="T7058" i="5" a="1"/>
  <c r="T7058" i="5" s="1"/>
  <c r="U7058" i="5" s="1"/>
  <c r="T7059" i="5" a="1"/>
  <c r="T7059" i="5" s="1"/>
  <c r="U7059" i="5" s="1"/>
  <c r="T7060" i="5" a="1"/>
  <c r="T7060" i="5" s="1"/>
  <c r="U7060" i="5" s="1"/>
  <c r="T7061" i="5" a="1"/>
  <c r="T7061" i="5" s="1"/>
  <c r="U7061" i="5" s="1"/>
  <c r="T7062" i="5" a="1"/>
  <c r="T7062" i="5" s="1"/>
  <c r="U7062" i="5" s="1"/>
  <c r="T7063" i="5" a="1"/>
  <c r="T7063" i="5" s="1"/>
  <c r="U7063" i="5" s="1"/>
  <c r="T7064" i="5" a="1"/>
  <c r="T7064" i="5" s="1"/>
  <c r="U7064" i="5" s="1"/>
  <c r="T7065" i="5" a="1"/>
  <c r="T7065" i="5" s="1"/>
  <c r="U7065" i="5" s="1"/>
  <c r="T7066" i="5" a="1"/>
  <c r="T7066" i="5" s="1"/>
  <c r="U7066" i="5" s="1"/>
  <c r="T7067" i="5" a="1"/>
  <c r="T7067" i="5" s="1"/>
  <c r="U7067" i="5" s="1"/>
  <c r="T7068" i="5" a="1"/>
  <c r="T7068" i="5" s="1"/>
  <c r="U7068" i="5" s="1"/>
  <c r="T7069" i="5" a="1"/>
  <c r="T7069" i="5" s="1"/>
  <c r="U7069" i="5" s="1"/>
  <c r="T7070" i="5" a="1"/>
  <c r="T7070" i="5" s="1"/>
  <c r="U7070" i="5" s="1"/>
  <c r="T7071" i="5" a="1"/>
  <c r="T7071" i="5" s="1"/>
  <c r="U7071" i="5" s="1"/>
  <c r="T7072" i="5" a="1"/>
  <c r="T7072" i="5" s="1"/>
  <c r="U7072" i="5" s="1"/>
  <c r="T7073" i="5" a="1"/>
  <c r="T7073" i="5" s="1"/>
  <c r="U7073" i="5" s="1"/>
  <c r="T7074" i="5" a="1"/>
  <c r="T7074" i="5" s="1"/>
  <c r="U7074" i="5" s="1"/>
  <c r="T7075" i="5" a="1"/>
  <c r="T7075" i="5" s="1"/>
  <c r="U7075" i="5" s="1"/>
  <c r="T7076" i="5" a="1"/>
  <c r="T7076" i="5" s="1"/>
  <c r="U7076" i="5" s="1"/>
  <c r="T7077" i="5" a="1"/>
  <c r="T7077" i="5" s="1"/>
  <c r="U7077" i="5" s="1"/>
  <c r="T7078" i="5" a="1"/>
  <c r="T7078" i="5" s="1"/>
  <c r="U7078" i="5" s="1"/>
  <c r="T7080" i="5" a="1"/>
  <c r="T7080" i="5" s="1"/>
  <c r="U7080" i="5" s="1"/>
  <c r="T7081" i="5" a="1"/>
  <c r="T7081" i="5" s="1"/>
  <c r="U7081" i="5" s="1"/>
  <c r="T7082" i="5" a="1"/>
  <c r="T7082" i="5" s="1"/>
  <c r="U7082" i="5" s="1"/>
  <c r="T7083" i="5" a="1"/>
  <c r="T7083" i="5" s="1"/>
  <c r="U7083" i="5" s="1"/>
  <c r="T7084" i="5" a="1"/>
  <c r="T7084" i="5" s="1"/>
  <c r="U7084" i="5" s="1"/>
  <c r="T7085" i="5" a="1"/>
  <c r="T7085" i="5" s="1"/>
  <c r="U7085" i="5" s="1"/>
  <c r="T7086" i="5" a="1"/>
  <c r="T7086" i="5" s="1"/>
  <c r="U7086" i="5" s="1"/>
  <c r="T7087" i="5" a="1"/>
  <c r="T7087" i="5" s="1"/>
  <c r="U7087" i="5" s="1"/>
  <c r="T7088" i="5" a="1"/>
  <c r="T7088" i="5" s="1"/>
  <c r="U7088" i="5" s="1"/>
  <c r="T7089" i="5" a="1"/>
  <c r="T7089" i="5" s="1"/>
  <c r="U7089" i="5" s="1"/>
  <c r="T7090" i="5" a="1"/>
  <c r="T7090" i="5" s="1"/>
  <c r="U7090" i="5" s="1"/>
  <c r="T7091" i="5" a="1"/>
  <c r="T7091" i="5" s="1"/>
  <c r="U7091" i="5" s="1"/>
  <c r="T7092" i="5" a="1"/>
  <c r="T7092" i="5" s="1"/>
  <c r="U7092" i="5" s="1"/>
  <c r="T7093" i="5" a="1"/>
  <c r="T7093" i="5" s="1"/>
  <c r="U7093" i="5" s="1"/>
  <c r="T7094" i="5" a="1"/>
  <c r="T7094" i="5" s="1"/>
  <c r="U7094" i="5" s="1"/>
  <c r="T7095" i="5" a="1"/>
  <c r="T7095" i="5" s="1"/>
  <c r="U7095" i="5" s="1"/>
  <c r="T7096" i="5" a="1"/>
  <c r="T7096" i="5" s="1"/>
  <c r="U7096" i="5" s="1"/>
  <c r="T7097" i="5" a="1"/>
  <c r="T7097" i="5" s="1"/>
  <c r="U7097" i="5" s="1"/>
  <c r="T7098" i="5" a="1"/>
  <c r="T7098" i="5" s="1"/>
  <c r="U7098" i="5" s="1"/>
  <c r="T7099" i="5" a="1"/>
  <c r="T7099" i="5" s="1"/>
  <c r="U7099" i="5" s="1"/>
  <c r="T7100" i="5" a="1"/>
  <c r="T7100" i="5" s="1"/>
  <c r="U7100" i="5" s="1"/>
  <c r="T7101" i="5" a="1"/>
  <c r="T7101" i="5" s="1"/>
  <c r="U7101" i="5" s="1"/>
  <c r="T7102" i="5" a="1"/>
  <c r="T7102" i="5" s="1"/>
  <c r="U7102" i="5" s="1"/>
  <c r="T7103" i="5" a="1"/>
  <c r="T7103" i="5" s="1"/>
  <c r="U7103" i="5" s="1"/>
  <c r="T7104" i="5" a="1"/>
  <c r="T7104" i="5" s="1"/>
  <c r="U7104" i="5" s="1"/>
  <c r="T7105" i="5" a="1"/>
  <c r="T7105" i="5" s="1"/>
  <c r="U7105" i="5" s="1"/>
  <c r="T7106" i="5" a="1"/>
  <c r="T7106" i="5" s="1"/>
  <c r="U7106" i="5" s="1"/>
  <c r="T7107" i="5" a="1"/>
  <c r="T7107" i="5" s="1"/>
  <c r="U7107" i="5" s="1"/>
  <c r="T7108" i="5" a="1"/>
  <c r="T7108" i="5" s="1"/>
  <c r="U7108" i="5" s="1"/>
  <c r="T7109" i="5" a="1"/>
  <c r="T7109" i="5" s="1"/>
  <c r="U7109" i="5" s="1"/>
  <c r="T7110" i="5" a="1"/>
  <c r="T7110" i="5" s="1"/>
  <c r="U7110" i="5" s="1"/>
  <c r="T7111" i="5" a="1"/>
  <c r="T7111" i="5" s="1"/>
  <c r="U7111" i="5" s="1"/>
  <c r="T7112" i="5" a="1"/>
  <c r="T7112" i="5" s="1"/>
  <c r="U7112" i="5" s="1"/>
  <c r="T7113" i="5" a="1"/>
  <c r="T7113" i="5" s="1"/>
  <c r="U7113" i="5" s="1"/>
  <c r="T7114" i="5" a="1"/>
  <c r="T7114" i="5" s="1"/>
  <c r="U7114" i="5" s="1"/>
  <c r="T7115" i="5" a="1"/>
  <c r="T7115" i="5" s="1"/>
  <c r="U7115" i="5" s="1"/>
  <c r="T7116" i="5" a="1"/>
  <c r="T7116" i="5" s="1"/>
  <c r="U7116" i="5" s="1"/>
  <c r="T7117" i="5" a="1"/>
  <c r="T7117" i="5" s="1"/>
  <c r="U7117" i="5" s="1"/>
  <c r="T7118" i="5" a="1"/>
  <c r="T7118" i="5" s="1"/>
  <c r="U7118" i="5" s="1"/>
  <c r="T7119" i="5" a="1"/>
  <c r="T7119" i="5" s="1"/>
  <c r="U7119" i="5" s="1"/>
  <c r="T7120" i="5" a="1"/>
  <c r="T7120" i="5" s="1"/>
  <c r="U7120" i="5" s="1"/>
  <c r="T7121" i="5" a="1"/>
  <c r="T7121" i="5" s="1"/>
  <c r="U7121" i="5" s="1"/>
  <c r="T7122" i="5" a="1"/>
  <c r="T7122" i="5" s="1"/>
  <c r="U7122" i="5" s="1"/>
  <c r="T7123" i="5" a="1"/>
  <c r="T7123" i="5" s="1"/>
  <c r="U7123" i="5" s="1"/>
  <c r="T7124" i="5" a="1"/>
  <c r="T7124" i="5" s="1"/>
  <c r="U7124" i="5" s="1"/>
  <c r="T7125" i="5" a="1"/>
  <c r="T7125" i="5" s="1"/>
  <c r="U7125" i="5" s="1"/>
  <c r="T7126" i="5" a="1"/>
  <c r="T7126" i="5" s="1"/>
  <c r="U7126" i="5" s="1"/>
  <c r="T7127" i="5" a="1"/>
  <c r="T7127" i="5" s="1"/>
  <c r="U7127" i="5" s="1"/>
  <c r="T7128" i="5" a="1"/>
  <c r="T7128" i="5" s="1"/>
  <c r="U7128" i="5" s="1"/>
  <c r="T7129" i="5" a="1"/>
  <c r="T7129" i="5" s="1"/>
  <c r="U7129" i="5" s="1"/>
  <c r="T7130" i="5" a="1"/>
  <c r="T7130" i="5" s="1"/>
  <c r="U7130" i="5" s="1"/>
  <c r="T7131" i="5" a="1"/>
  <c r="T7131" i="5" s="1"/>
  <c r="U7131" i="5" s="1"/>
  <c r="T7132" i="5" a="1"/>
  <c r="T7132" i="5" s="1"/>
  <c r="U7132" i="5" s="1"/>
  <c r="T7133" i="5" a="1"/>
  <c r="T7133" i="5" s="1"/>
  <c r="U7133" i="5" s="1"/>
  <c r="T7134" i="5" a="1"/>
  <c r="T7134" i="5" s="1"/>
  <c r="U7134" i="5" s="1"/>
  <c r="T7135" i="5" a="1"/>
  <c r="T7135" i="5" s="1"/>
  <c r="U7135" i="5" s="1"/>
  <c r="T7136" i="5" a="1"/>
  <c r="T7136" i="5" s="1"/>
  <c r="U7136" i="5" s="1"/>
  <c r="T7137" i="5" a="1"/>
  <c r="T7137" i="5" s="1"/>
  <c r="U7137" i="5" s="1"/>
  <c r="T7138" i="5" a="1"/>
  <c r="T7138" i="5" s="1"/>
  <c r="U7138" i="5" s="1"/>
  <c r="T7139" i="5" a="1"/>
  <c r="T7139" i="5" s="1"/>
  <c r="U7139" i="5" s="1"/>
  <c r="T7140" i="5" a="1"/>
  <c r="T7140" i="5" s="1"/>
  <c r="U7140" i="5" s="1"/>
  <c r="T7141" i="5" a="1"/>
  <c r="T7141" i="5" s="1"/>
  <c r="U7141" i="5" s="1"/>
  <c r="T7142" i="5" a="1"/>
  <c r="T7142" i="5" s="1"/>
  <c r="U7142" i="5" s="1"/>
  <c r="T7143" i="5" a="1"/>
  <c r="T7143" i="5" s="1"/>
  <c r="U7143" i="5" s="1"/>
  <c r="T7144" i="5" a="1"/>
  <c r="T7144" i="5" s="1"/>
  <c r="U7144" i="5" s="1"/>
  <c r="T7145" i="5" a="1"/>
  <c r="T7145" i="5" s="1"/>
  <c r="U7145" i="5" s="1"/>
  <c r="T7146" i="5" a="1"/>
  <c r="T7146" i="5" s="1"/>
  <c r="U7146" i="5" s="1"/>
  <c r="T7147" i="5" a="1"/>
  <c r="T7147" i="5" s="1"/>
  <c r="U7147" i="5" s="1"/>
  <c r="T7148" i="5" a="1"/>
  <c r="T7148" i="5" s="1"/>
  <c r="U7148" i="5" s="1"/>
  <c r="T7149" i="5" a="1"/>
  <c r="T7149" i="5" s="1"/>
  <c r="U7149" i="5" s="1"/>
  <c r="T7150" i="5" a="1"/>
  <c r="T7150" i="5" s="1"/>
  <c r="U7150" i="5" s="1"/>
  <c r="T7151" i="5" a="1"/>
  <c r="T7151" i="5" s="1"/>
  <c r="U7151" i="5" s="1"/>
  <c r="T7152" i="5" a="1"/>
  <c r="T7152" i="5" s="1"/>
  <c r="U7152" i="5" s="1"/>
  <c r="T7153" i="5" a="1"/>
  <c r="T7153" i="5" s="1"/>
  <c r="U7153" i="5" s="1"/>
  <c r="T7154" i="5" a="1"/>
  <c r="T7154" i="5" s="1"/>
  <c r="U7154" i="5" s="1"/>
  <c r="T7155" i="5" a="1"/>
  <c r="T7155" i="5" s="1"/>
  <c r="U7155" i="5" s="1"/>
  <c r="T7156" i="5" a="1"/>
  <c r="T7156" i="5" s="1"/>
  <c r="U7156" i="5" s="1"/>
  <c r="T7157" i="5" a="1"/>
  <c r="T7157" i="5" s="1"/>
  <c r="U7157" i="5" s="1"/>
  <c r="T7158" i="5" a="1"/>
  <c r="T7158" i="5" s="1"/>
  <c r="U7158" i="5" s="1"/>
  <c r="T7159" i="5" a="1"/>
  <c r="T7159" i="5" s="1"/>
  <c r="U7159" i="5" s="1"/>
  <c r="T7160" i="5" a="1"/>
  <c r="T7160" i="5" s="1"/>
  <c r="U7160" i="5" s="1"/>
  <c r="T7161" i="5" a="1"/>
  <c r="T7161" i="5" s="1"/>
  <c r="U7161" i="5" s="1"/>
  <c r="T7162" i="5" a="1"/>
  <c r="T7162" i="5" s="1"/>
  <c r="U7162" i="5" s="1"/>
  <c r="T7163" i="5" a="1"/>
  <c r="T7163" i="5" s="1"/>
  <c r="U7163" i="5" s="1"/>
  <c r="T7164" i="5" a="1"/>
  <c r="T7164" i="5" s="1"/>
  <c r="U7164" i="5" s="1"/>
  <c r="T7165" i="5" a="1"/>
  <c r="T7165" i="5" s="1"/>
  <c r="U7165" i="5" s="1"/>
  <c r="T7166" i="5" a="1"/>
  <c r="T7166" i="5" s="1"/>
  <c r="U7166" i="5" s="1"/>
  <c r="T7167" i="5" a="1"/>
  <c r="T7167" i="5" s="1"/>
  <c r="U7167" i="5" s="1"/>
  <c r="T7168" i="5" a="1"/>
  <c r="T7168" i="5" s="1"/>
  <c r="U7168" i="5" s="1"/>
  <c r="T7169" i="5" a="1"/>
  <c r="T7169" i="5" s="1"/>
  <c r="U7169" i="5" s="1"/>
  <c r="T7170" i="5" a="1"/>
  <c r="T7170" i="5" s="1"/>
  <c r="U7170" i="5" s="1"/>
  <c r="T7171" i="5" a="1"/>
  <c r="T7171" i="5" s="1"/>
  <c r="U7171" i="5" s="1"/>
  <c r="T7172" i="5" a="1"/>
  <c r="T7172" i="5" s="1"/>
  <c r="U7172" i="5" s="1"/>
  <c r="T7173" i="5" a="1"/>
  <c r="T7173" i="5" s="1"/>
  <c r="U7173" i="5" s="1"/>
  <c r="T7174" i="5" a="1"/>
  <c r="T7174" i="5" s="1"/>
  <c r="U7174" i="5" s="1"/>
  <c r="T7175" i="5" a="1"/>
  <c r="T7175" i="5" s="1"/>
  <c r="U7175" i="5" s="1"/>
  <c r="T7176" i="5" a="1"/>
  <c r="T7176" i="5" s="1"/>
  <c r="U7176" i="5" s="1"/>
  <c r="T7177" i="5" a="1"/>
  <c r="T7177" i="5" s="1"/>
  <c r="U7177" i="5" s="1"/>
  <c r="T7178" i="5" a="1"/>
  <c r="T7178" i="5" s="1"/>
  <c r="U7178" i="5" s="1"/>
  <c r="T7179" i="5" a="1"/>
  <c r="T7179" i="5" s="1"/>
  <c r="U7179" i="5" s="1"/>
  <c r="T7180" i="5" a="1"/>
  <c r="T7180" i="5" s="1"/>
  <c r="U7180" i="5" s="1"/>
  <c r="T7181" i="5" a="1"/>
  <c r="T7181" i="5" s="1"/>
  <c r="U7181" i="5" s="1"/>
  <c r="T7182" i="5" a="1"/>
  <c r="T7182" i="5" s="1"/>
  <c r="U7182" i="5" s="1"/>
  <c r="T7183" i="5" a="1"/>
  <c r="T7183" i="5" s="1"/>
  <c r="U7183" i="5" s="1"/>
  <c r="T7184" i="5" a="1"/>
  <c r="T7184" i="5" s="1"/>
  <c r="U7184" i="5" s="1"/>
  <c r="T7185" i="5" a="1"/>
  <c r="T7185" i="5" s="1"/>
  <c r="U7185" i="5" s="1"/>
  <c r="T7186" i="5" a="1"/>
  <c r="T7186" i="5" s="1"/>
  <c r="U7186" i="5" s="1"/>
  <c r="T7187" i="5" a="1"/>
  <c r="T7187" i="5" s="1"/>
  <c r="U7187" i="5" s="1"/>
  <c r="T7188" i="5" a="1"/>
  <c r="T7188" i="5" s="1"/>
  <c r="U7188" i="5" s="1"/>
  <c r="T7189" i="5" a="1"/>
  <c r="T7189" i="5" s="1"/>
  <c r="U7189" i="5" s="1"/>
  <c r="T7190" i="5" a="1"/>
  <c r="T7190" i="5" s="1"/>
  <c r="U7190" i="5" s="1"/>
  <c r="T7191" i="5" a="1"/>
  <c r="T7191" i="5" s="1"/>
  <c r="U7191" i="5" s="1"/>
  <c r="T7192" i="5" a="1"/>
  <c r="T7192" i="5" s="1"/>
  <c r="U7192" i="5" s="1"/>
  <c r="T7193" i="5" a="1"/>
  <c r="T7193" i="5" s="1"/>
  <c r="U7193" i="5" s="1"/>
  <c r="T7194" i="5" a="1"/>
  <c r="T7194" i="5" s="1"/>
  <c r="U7194" i="5" s="1"/>
  <c r="T7195" i="5" a="1"/>
  <c r="T7195" i="5" s="1"/>
  <c r="U7195" i="5" s="1"/>
  <c r="T7196" i="5" a="1"/>
  <c r="T7196" i="5" s="1"/>
  <c r="U7196" i="5" s="1"/>
  <c r="T7197" i="5" a="1"/>
  <c r="T7197" i="5" s="1"/>
  <c r="U7197" i="5" s="1"/>
  <c r="T7198" i="5" a="1"/>
  <c r="T7198" i="5" s="1"/>
  <c r="U7198" i="5" s="1"/>
  <c r="T7199" i="5" a="1"/>
  <c r="T7199" i="5" s="1"/>
  <c r="U7199" i="5" s="1"/>
  <c r="T7200" i="5" a="1"/>
  <c r="T7200" i="5" s="1"/>
  <c r="U7200" i="5" s="1"/>
  <c r="T7201" i="5" a="1"/>
  <c r="T7201" i="5" s="1"/>
  <c r="U7201" i="5" s="1"/>
  <c r="T7202" i="5" a="1"/>
  <c r="T7202" i="5" s="1"/>
  <c r="U7202" i="5" s="1"/>
  <c r="T7203" i="5" a="1"/>
  <c r="T7203" i="5" s="1"/>
  <c r="U7203" i="5" s="1"/>
  <c r="T7204" i="5" a="1"/>
  <c r="T7204" i="5" s="1"/>
  <c r="U7204" i="5" s="1"/>
  <c r="T7205" i="5" a="1"/>
  <c r="T7205" i="5" s="1"/>
  <c r="U7205" i="5" s="1"/>
  <c r="T7206" i="5" a="1"/>
  <c r="T7206" i="5" s="1"/>
  <c r="U7206" i="5" s="1"/>
  <c r="T7207" i="5" a="1"/>
  <c r="T7207" i="5" s="1"/>
  <c r="U7207" i="5" s="1"/>
  <c r="T7208" i="5" a="1"/>
  <c r="T7208" i="5" s="1"/>
  <c r="U7208" i="5" s="1"/>
  <c r="T7209" i="5" a="1"/>
  <c r="T7209" i="5" s="1"/>
  <c r="U7209" i="5" s="1"/>
  <c r="T7210" i="5" a="1"/>
  <c r="T7210" i="5" s="1"/>
  <c r="U7210" i="5" s="1"/>
  <c r="T7211" i="5" a="1"/>
  <c r="T7211" i="5" s="1"/>
  <c r="U7211" i="5" s="1"/>
  <c r="T7212" i="5" a="1"/>
  <c r="T7212" i="5" s="1"/>
  <c r="U7212" i="5" s="1"/>
  <c r="T7213" i="5" a="1"/>
  <c r="T7213" i="5" s="1"/>
  <c r="U7213" i="5" s="1"/>
  <c r="T7214" i="5" a="1"/>
  <c r="T7214" i="5" s="1"/>
  <c r="U7214" i="5" s="1"/>
  <c r="T7215" i="5" a="1"/>
  <c r="T7215" i="5" s="1"/>
  <c r="U7215" i="5" s="1"/>
  <c r="T7216" i="5" a="1"/>
  <c r="T7216" i="5" s="1"/>
  <c r="U7216" i="5" s="1"/>
  <c r="T7217" i="5" a="1"/>
  <c r="T7217" i="5" s="1"/>
  <c r="U7217" i="5" s="1"/>
  <c r="T7218" i="5" a="1"/>
  <c r="T7218" i="5" s="1"/>
  <c r="U7218" i="5" s="1"/>
  <c r="T7219" i="5" a="1"/>
  <c r="T7219" i="5" s="1"/>
  <c r="U7219" i="5" s="1"/>
  <c r="T7220" i="5" a="1"/>
  <c r="T7220" i="5" s="1"/>
  <c r="U7220" i="5" s="1"/>
  <c r="T7221" i="5" a="1"/>
  <c r="T7221" i="5" s="1"/>
  <c r="U7221" i="5" s="1"/>
  <c r="T7222" i="5" a="1"/>
  <c r="T7222" i="5" s="1"/>
  <c r="U7222" i="5" s="1"/>
  <c r="T7223" i="5" a="1"/>
  <c r="T7223" i="5" s="1"/>
  <c r="U7223" i="5" s="1"/>
  <c r="T7224" i="5" a="1"/>
  <c r="T7224" i="5" s="1"/>
  <c r="U7224" i="5" s="1"/>
  <c r="T7225" i="5" a="1"/>
  <c r="T7225" i="5" s="1"/>
  <c r="U7225" i="5" s="1"/>
  <c r="T7226" i="5" a="1"/>
  <c r="T7226" i="5" s="1"/>
  <c r="U7226" i="5" s="1"/>
  <c r="T7227" i="5" a="1"/>
  <c r="T7227" i="5" s="1"/>
  <c r="U7227" i="5" s="1"/>
  <c r="T7228" i="5" a="1"/>
  <c r="T7228" i="5" s="1"/>
  <c r="U7228" i="5" s="1"/>
  <c r="T7229" i="5" a="1"/>
  <c r="T7229" i="5" s="1"/>
  <c r="U7229" i="5" s="1"/>
  <c r="T7230" i="5" a="1"/>
  <c r="T7230" i="5" s="1"/>
  <c r="U7230" i="5" s="1"/>
  <c r="T7231" i="5" a="1"/>
  <c r="T7231" i="5" s="1"/>
  <c r="U7231" i="5" s="1"/>
  <c r="T7232" i="5" a="1"/>
  <c r="T7232" i="5" s="1"/>
  <c r="U7232" i="5" s="1"/>
  <c r="T7233" i="5" a="1"/>
  <c r="T7233" i="5" s="1"/>
  <c r="U7233" i="5" s="1"/>
  <c r="T7234" i="5" a="1"/>
  <c r="T7234" i="5" s="1"/>
  <c r="U7234" i="5" s="1"/>
  <c r="T7235" i="5" a="1"/>
  <c r="T7235" i="5" s="1"/>
  <c r="U7235" i="5" s="1"/>
  <c r="T7236" i="5" a="1"/>
  <c r="T7236" i="5" s="1"/>
  <c r="U7236" i="5" s="1"/>
  <c r="T7237" i="5" a="1"/>
  <c r="T7237" i="5" s="1"/>
  <c r="U7237" i="5" s="1"/>
  <c r="T7238" i="5" a="1"/>
  <c r="T7238" i="5" s="1"/>
  <c r="U7238" i="5" s="1"/>
  <c r="T7239" i="5" a="1"/>
  <c r="T7239" i="5" s="1"/>
  <c r="U7239" i="5" s="1"/>
  <c r="T7240" i="5" a="1"/>
  <c r="T7240" i="5" s="1"/>
  <c r="U7240" i="5" s="1"/>
  <c r="T7241" i="5" a="1"/>
  <c r="T7241" i="5" s="1"/>
  <c r="U7241" i="5" s="1"/>
  <c r="T7242" i="5" a="1"/>
  <c r="T7242" i="5" s="1"/>
  <c r="U7242" i="5" s="1"/>
  <c r="T7243" i="5" a="1"/>
  <c r="T7243" i="5" s="1"/>
  <c r="U7243" i="5" s="1"/>
  <c r="T7244" i="5" a="1"/>
  <c r="T7244" i="5" s="1"/>
  <c r="U7244" i="5" s="1"/>
  <c r="T7245" i="5" a="1"/>
  <c r="T7245" i="5" s="1"/>
  <c r="U7245" i="5" s="1"/>
  <c r="T7246" i="5" a="1"/>
  <c r="T7246" i="5" s="1"/>
  <c r="U7246" i="5" s="1"/>
  <c r="T7247" i="5" a="1"/>
  <c r="T7247" i="5" s="1"/>
  <c r="U7247" i="5" s="1"/>
  <c r="T7248" i="5" a="1"/>
  <c r="T7248" i="5" s="1"/>
  <c r="U7248" i="5" s="1"/>
  <c r="T7249" i="5" a="1"/>
  <c r="T7249" i="5" s="1"/>
  <c r="U7249" i="5" s="1"/>
  <c r="T7250" i="5" a="1"/>
  <c r="T7250" i="5" s="1"/>
  <c r="U7250" i="5" s="1"/>
  <c r="T7251" i="5" a="1"/>
  <c r="T7251" i="5" s="1"/>
  <c r="U7251" i="5" s="1"/>
  <c r="T7252" i="5" a="1"/>
  <c r="T7252" i="5" s="1"/>
  <c r="U7252" i="5" s="1"/>
  <c r="T7253" i="5" a="1"/>
  <c r="T7253" i="5" s="1"/>
  <c r="U7253" i="5" s="1"/>
  <c r="T7254" i="5" a="1"/>
  <c r="T7254" i="5" s="1"/>
  <c r="U7254" i="5" s="1"/>
  <c r="T7255" i="5" a="1"/>
  <c r="T7255" i="5" s="1"/>
  <c r="U7255" i="5" s="1"/>
  <c r="T7256" i="5" a="1"/>
  <c r="T7256" i="5" s="1"/>
  <c r="U7256" i="5" s="1"/>
  <c r="T7257" i="5" a="1"/>
  <c r="T7257" i="5" s="1"/>
  <c r="U7257" i="5" s="1"/>
  <c r="T7258" i="5" a="1"/>
  <c r="T7258" i="5" s="1"/>
  <c r="U7258" i="5" s="1"/>
  <c r="T7259" i="5" a="1"/>
  <c r="T7259" i="5" s="1"/>
  <c r="U7259" i="5" s="1"/>
  <c r="T7260" i="5" a="1"/>
  <c r="T7260" i="5" s="1"/>
  <c r="U7260" i="5" s="1"/>
  <c r="T7261" i="5" a="1"/>
  <c r="T7261" i="5" s="1"/>
  <c r="U7261" i="5" s="1"/>
  <c r="T7262" i="5" a="1"/>
  <c r="T7262" i="5" s="1"/>
  <c r="U7262" i="5" s="1"/>
  <c r="T7263" i="5" a="1"/>
  <c r="T7263" i="5" s="1"/>
  <c r="U7263" i="5" s="1"/>
  <c r="T7264" i="5" a="1"/>
  <c r="T7264" i="5" s="1"/>
  <c r="U7264" i="5" s="1"/>
  <c r="T7265" i="5" a="1"/>
  <c r="T7265" i="5" s="1"/>
  <c r="U7265" i="5" s="1"/>
  <c r="T7266" i="5" a="1"/>
  <c r="T7266" i="5" s="1"/>
  <c r="U7266" i="5" s="1"/>
  <c r="T7267" i="5" a="1"/>
  <c r="T7267" i="5" s="1"/>
  <c r="U7267" i="5" s="1"/>
  <c r="T7268" i="5" a="1"/>
  <c r="T7268" i="5" s="1"/>
  <c r="U7268" i="5" s="1"/>
  <c r="T7269" i="5" a="1"/>
  <c r="T7269" i="5" s="1"/>
  <c r="U7269" i="5" s="1"/>
  <c r="T7270" i="5" a="1"/>
  <c r="T7270" i="5" s="1"/>
  <c r="U7270" i="5" s="1"/>
  <c r="T7271" i="5" a="1"/>
  <c r="T7271" i="5" s="1"/>
  <c r="U7271" i="5" s="1"/>
  <c r="T7272" i="5" a="1"/>
  <c r="T7272" i="5" s="1"/>
  <c r="U7272" i="5" s="1"/>
  <c r="T7273" i="5" a="1"/>
  <c r="T7273" i="5" s="1"/>
  <c r="U7273" i="5" s="1"/>
  <c r="T7274" i="5" a="1"/>
  <c r="T7274" i="5" s="1"/>
  <c r="U7274" i="5" s="1"/>
  <c r="T7275" i="5" a="1"/>
  <c r="T7275" i="5" s="1"/>
  <c r="U7275" i="5" s="1"/>
  <c r="T7276" i="5" a="1"/>
  <c r="T7276" i="5" s="1"/>
  <c r="U7276" i="5" s="1"/>
  <c r="T7277" i="5" a="1"/>
  <c r="T7277" i="5" s="1"/>
  <c r="U7277" i="5" s="1"/>
  <c r="T7278" i="5" a="1"/>
  <c r="T7278" i="5" s="1"/>
  <c r="U7278" i="5" s="1"/>
  <c r="T7279" i="5" a="1"/>
  <c r="T7279" i="5" s="1"/>
  <c r="U7279" i="5" s="1"/>
  <c r="T7280" i="5" a="1"/>
  <c r="T7280" i="5" s="1"/>
  <c r="U7280" i="5" s="1"/>
  <c r="T7281" i="5" a="1"/>
  <c r="T7281" i="5" s="1"/>
  <c r="U7281" i="5" s="1"/>
  <c r="T7282" i="5" a="1"/>
  <c r="T7282" i="5" s="1"/>
  <c r="U7282" i="5" s="1"/>
  <c r="T7283" i="5" a="1"/>
  <c r="T7283" i="5" s="1"/>
  <c r="U7283" i="5" s="1"/>
  <c r="T7284" i="5" a="1"/>
  <c r="T7284" i="5" s="1"/>
  <c r="U7284" i="5" s="1"/>
  <c r="T7285" i="5" a="1"/>
  <c r="T7285" i="5" s="1"/>
  <c r="U7285" i="5" s="1"/>
  <c r="T7286" i="5" a="1"/>
  <c r="T7286" i="5" s="1"/>
  <c r="U7286" i="5" s="1"/>
  <c r="T7287" i="5" a="1"/>
  <c r="T7287" i="5" s="1"/>
  <c r="U7287" i="5" s="1"/>
  <c r="T7288" i="5" a="1"/>
  <c r="T7288" i="5" s="1"/>
  <c r="U7288" i="5" s="1"/>
  <c r="T7289" i="5" a="1"/>
  <c r="T7289" i="5" s="1"/>
  <c r="U7289" i="5" s="1"/>
  <c r="T7290" i="5" a="1"/>
  <c r="T7290" i="5" s="1"/>
  <c r="U7290" i="5" s="1"/>
  <c r="T7291" i="5" a="1"/>
  <c r="T7291" i="5" s="1"/>
  <c r="U7291" i="5" s="1"/>
  <c r="T7292" i="5" a="1"/>
  <c r="T7292" i="5" s="1"/>
  <c r="U7292" i="5" s="1"/>
  <c r="T7293" i="5" a="1"/>
  <c r="T7293" i="5" s="1"/>
  <c r="U7293" i="5" s="1"/>
  <c r="T7294" i="5" a="1"/>
  <c r="T7294" i="5" s="1"/>
  <c r="U7294" i="5" s="1"/>
  <c r="T7295" i="5" a="1"/>
  <c r="T7295" i="5" s="1"/>
  <c r="U7295" i="5" s="1"/>
  <c r="T7296" i="5" a="1"/>
  <c r="T7296" i="5" s="1"/>
  <c r="U7296" i="5" s="1"/>
  <c r="T7297" i="5" a="1"/>
  <c r="T7297" i="5" s="1"/>
  <c r="U7297" i="5" s="1"/>
  <c r="T7298" i="5" a="1"/>
  <c r="T7298" i="5" s="1"/>
  <c r="U7298" i="5" s="1"/>
  <c r="T7299" i="5" a="1"/>
  <c r="T7299" i="5" s="1"/>
  <c r="U7299" i="5" s="1"/>
  <c r="T7300" i="5" a="1"/>
  <c r="T7300" i="5" s="1"/>
  <c r="U7300" i="5" s="1"/>
  <c r="T7301" i="5" a="1"/>
  <c r="T7301" i="5" s="1"/>
  <c r="U7301" i="5" s="1"/>
  <c r="T7302" i="5" a="1"/>
  <c r="T7302" i="5" s="1"/>
  <c r="U7302" i="5" s="1"/>
  <c r="T7303" i="5" a="1"/>
  <c r="T7303" i="5" s="1"/>
  <c r="U7303" i="5" s="1"/>
  <c r="T7304" i="5" a="1"/>
  <c r="T7304" i="5" s="1"/>
  <c r="U7304" i="5" s="1"/>
  <c r="T7305" i="5" a="1"/>
  <c r="T7305" i="5" s="1"/>
  <c r="U7305" i="5" s="1"/>
  <c r="T7306" i="5" a="1"/>
  <c r="T7306" i="5" s="1"/>
  <c r="U7306" i="5" s="1"/>
  <c r="T7307" i="5" a="1"/>
  <c r="T7307" i="5" s="1"/>
  <c r="U7307" i="5" s="1"/>
  <c r="T7308" i="5" a="1"/>
  <c r="T7308" i="5" s="1"/>
  <c r="U7308" i="5" s="1"/>
  <c r="T7309" i="5" a="1"/>
  <c r="T7309" i="5" s="1"/>
  <c r="U7309" i="5" s="1"/>
  <c r="T7310" i="5" a="1"/>
  <c r="T7310" i="5" s="1"/>
  <c r="U7310" i="5" s="1"/>
  <c r="T7311" i="5" a="1"/>
  <c r="T7311" i="5" s="1"/>
  <c r="U7311" i="5" s="1"/>
  <c r="T7312" i="5" a="1"/>
  <c r="T7312" i="5" s="1"/>
  <c r="U7312" i="5" s="1"/>
  <c r="T7313" i="5" a="1"/>
  <c r="T7313" i="5" s="1"/>
  <c r="U7313" i="5" s="1"/>
  <c r="T7314" i="5" a="1"/>
  <c r="T7314" i="5" s="1"/>
  <c r="U7314" i="5" s="1"/>
  <c r="T7315" i="5" a="1"/>
  <c r="T7315" i="5" s="1"/>
  <c r="U7315" i="5" s="1"/>
  <c r="T7316" i="5" a="1"/>
  <c r="T7316" i="5" s="1"/>
  <c r="U7316" i="5" s="1"/>
  <c r="T7317" i="5" a="1"/>
  <c r="T7317" i="5" s="1"/>
  <c r="U7317" i="5" s="1"/>
  <c r="T7318" i="5" a="1"/>
  <c r="T7318" i="5" s="1"/>
  <c r="U7318" i="5" s="1"/>
  <c r="T7319" i="5" a="1"/>
  <c r="T7319" i="5" s="1"/>
  <c r="U7319" i="5" s="1"/>
  <c r="T7320" i="5" a="1"/>
  <c r="T7320" i="5" s="1"/>
  <c r="U7320" i="5" s="1"/>
  <c r="T7321" i="5" a="1"/>
  <c r="T7321" i="5" s="1"/>
  <c r="U7321" i="5" s="1"/>
  <c r="T7322" i="5" a="1"/>
  <c r="T7322" i="5" s="1"/>
  <c r="U7322" i="5" s="1"/>
  <c r="T7323" i="5" a="1"/>
  <c r="T7323" i="5" s="1"/>
  <c r="U7323" i="5" s="1"/>
  <c r="T7324" i="5" a="1"/>
  <c r="T7324" i="5" s="1"/>
  <c r="U7324" i="5" s="1"/>
  <c r="T7325" i="5" a="1"/>
  <c r="T7325" i="5" s="1"/>
  <c r="U7325" i="5" s="1"/>
  <c r="T7326" i="5" a="1"/>
  <c r="T7326" i="5" s="1"/>
  <c r="U7326" i="5" s="1"/>
  <c r="T7327" i="5" a="1"/>
  <c r="T7327" i="5" s="1"/>
  <c r="U7327" i="5" s="1"/>
  <c r="T7328" i="5" a="1"/>
  <c r="T7328" i="5" s="1"/>
  <c r="U7328" i="5" s="1"/>
  <c r="T7329" i="5" a="1"/>
  <c r="T7329" i="5" s="1"/>
  <c r="U7329" i="5" s="1"/>
  <c r="T7330" i="5" a="1"/>
  <c r="T7330" i="5" s="1"/>
  <c r="U7330" i="5" s="1"/>
  <c r="T7331" i="5" a="1"/>
  <c r="T7331" i="5" s="1"/>
  <c r="U7331" i="5" s="1"/>
  <c r="T7332" i="5" a="1"/>
  <c r="T7332" i="5" s="1"/>
  <c r="U7332" i="5" s="1"/>
  <c r="T7333" i="5" a="1"/>
  <c r="T7333" i="5" s="1"/>
  <c r="U7333" i="5" s="1"/>
  <c r="T7334" i="5" a="1"/>
  <c r="T7334" i="5" s="1"/>
  <c r="U7334" i="5" s="1"/>
  <c r="T7335" i="5" a="1"/>
  <c r="T7335" i="5" s="1"/>
  <c r="U7335" i="5" s="1"/>
  <c r="T7336" i="5" a="1"/>
  <c r="T7336" i="5" s="1"/>
  <c r="U7336" i="5" s="1"/>
  <c r="T7337" i="5" a="1"/>
  <c r="T7337" i="5" s="1"/>
  <c r="U7337" i="5" s="1"/>
  <c r="T7338" i="5" a="1"/>
  <c r="T7338" i="5" s="1"/>
  <c r="U7338" i="5" s="1"/>
  <c r="T7339" i="5" a="1"/>
  <c r="T7339" i="5" s="1"/>
  <c r="U7339" i="5" s="1"/>
  <c r="T7340" i="5" a="1"/>
  <c r="T7340" i="5" s="1"/>
  <c r="U7340" i="5" s="1"/>
  <c r="T7341" i="5" a="1"/>
  <c r="T7341" i="5" s="1"/>
  <c r="U7341" i="5" s="1"/>
  <c r="T7342" i="5" a="1"/>
  <c r="T7342" i="5" s="1"/>
  <c r="U7342" i="5" s="1"/>
  <c r="T7343" i="5" a="1"/>
  <c r="T7343" i="5" s="1"/>
  <c r="U7343" i="5" s="1"/>
  <c r="T7344" i="5" a="1"/>
  <c r="T7344" i="5" s="1"/>
  <c r="U7344" i="5" s="1"/>
  <c r="T7345" i="5" a="1"/>
  <c r="T7345" i="5" s="1"/>
  <c r="U7345" i="5" s="1"/>
  <c r="T7346" i="5" a="1"/>
  <c r="T7346" i="5" s="1"/>
  <c r="U7346" i="5" s="1"/>
  <c r="T7347" i="5" a="1"/>
  <c r="T7347" i="5" s="1"/>
  <c r="U7347" i="5" s="1"/>
  <c r="T7348" i="5" a="1"/>
  <c r="T7348" i="5" s="1"/>
  <c r="U7348" i="5" s="1"/>
  <c r="T7349" i="5" a="1"/>
  <c r="T7349" i="5" s="1"/>
  <c r="U7349" i="5" s="1"/>
  <c r="T7350" i="5" a="1"/>
  <c r="T7350" i="5" s="1"/>
  <c r="U7350" i="5" s="1"/>
  <c r="T7351" i="5" a="1"/>
  <c r="T7351" i="5" s="1"/>
  <c r="U7351" i="5" s="1"/>
  <c r="T7352" i="5" a="1"/>
  <c r="T7352" i="5" s="1"/>
  <c r="U7352" i="5" s="1"/>
  <c r="T7353" i="5" a="1"/>
  <c r="T7353" i="5" s="1"/>
  <c r="U7353" i="5" s="1"/>
  <c r="T7354" i="5" a="1"/>
  <c r="T7354" i="5" s="1"/>
  <c r="U7354" i="5" s="1"/>
  <c r="T7355" i="5" a="1"/>
  <c r="T7355" i="5" s="1"/>
  <c r="U7355" i="5" s="1"/>
  <c r="T7356" i="5" a="1"/>
  <c r="T7356" i="5" s="1"/>
  <c r="U7356" i="5" s="1"/>
  <c r="T7357" i="5" a="1"/>
  <c r="T7357" i="5" s="1"/>
  <c r="U7357" i="5" s="1"/>
  <c r="T7358" i="5" a="1"/>
  <c r="T7358" i="5" s="1"/>
  <c r="U7358" i="5" s="1"/>
  <c r="T7359" i="5" a="1"/>
  <c r="T7359" i="5" s="1"/>
  <c r="U7359" i="5" s="1"/>
  <c r="T7360" i="5" a="1"/>
  <c r="T7360" i="5" s="1"/>
  <c r="U7360" i="5" s="1"/>
  <c r="T7361" i="5" a="1"/>
  <c r="T7361" i="5" s="1"/>
  <c r="U7361" i="5" s="1"/>
  <c r="T7362" i="5" a="1"/>
  <c r="T7362" i="5" s="1"/>
  <c r="U7362" i="5" s="1"/>
  <c r="T7363" i="5" a="1"/>
  <c r="T7363" i="5" s="1"/>
  <c r="U7363" i="5" s="1"/>
  <c r="T7364" i="5" a="1"/>
  <c r="T7364" i="5" s="1"/>
  <c r="U7364" i="5" s="1"/>
  <c r="T7365" i="5" a="1"/>
  <c r="T7365" i="5" s="1"/>
  <c r="U7365" i="5" s="1"/>
  <c r="T7366" i="5" a="1"/>
  <c r="T7366" i="5" s="1"/>
  <c r="U7366" i="5" s="1"/>
  <c r="T7367" i="5" a="1"/>
  <c r="T7367" i="5" s="1"/>
  <c r="U7367" i="5" s="1"/>
  <c r="T7368" i="5" a="1"/>
  <c r="T7368" i="5" s="1"/>
  <c r="U7368" i="5" s="1"/>
  <c r="T7369" i="5" a="1"/>
  <c r="T7369" i="5" s="1"/>
  <c r="U7369" i="5" s="1"/>
  <c r="T7370" i="5" a="1"/>
  <c r="T7370" i="5" s="1"/>
  <c r="U7370" i="5" s="1"/>
  <c r="T7371" i="5" a="1"/>
  <c r="T7371" i="5" s="1"/>
  <c r="U7371" i="5" s="1"/>
  <c r="T7372" i="5" a="1"/>
  <c r="T7372" i="5" s="1"/>
  <c r="U7372" i="5" s="1"/>
  <c r="T7373" i="5" a="1"/>
  <c r="T7373" i="5" s="1"/>
  <c r="U7373" i="5" s="1"/>
  <c r="T7374" i="5" a="1"/>
  <c r="T7374" i="5" s="1"/>
  <c r="U7374" i="5" s="1"/>
  <c r="T7375" i="5" a="1"/>
  <c r="T7375" i="5" s="1"/>
  <c r="U7375" i="5" s="1"/>
  <c r="T7376" i="5" a="1"/>
  <c r="T7376" i="5" s="1"/>
  <c r="U7376" i="5" s="1"/>
  <c r="T7377" i="5" a="1"/>
  <c r="T7377" i="5" s="1"/>
  <c r="U7377" i="5" s="1"/>
  <c r="T7378" i="5" a="1"/>
  <c r="T7378" i="5" s="1"/>
  <c r="U7378" i="5" s="1"/>
  <c r="T7379" i="5" a="1"/>
  <c r="T7379" i="5" s="1"/>
  <c r="U7379" i="5" s="1"/>
  <c r="T7380" i="5" a="1"/>
  <c r="T7380" i="5" s="1"/>
  <c r="U7380" i="5" s="1"/>
  <c r="T7381" i="5" a="1"/>
  <c r="T7381" i="5" s="1"/>
  <c r="U7381" i="5" s="1"/>
  <c r="T7382" i="5" a="1"/>
  <c r="T7382" i="5" s="1"/>
  <c r="U7382" i="5" s="1"/>
  <c r="T7383" i="5" a="1"/>
  <c r="T7383" i="5" s="1"/>
  <c r="U7383" i="5" s="1"/>
  <c r="T7384" i="5" a="1"/>
  <c r="T7384" i="5" s="1"/>
  <c r="U7384" i="5" s="1"/>
  <c r="T7385" i="5" a="1"/>
  <c r="T7385" i="5" s="1"/>
  <c r="U7385" i="5" s="1"/>
  <c r="T7386" i="5" a="1"/>
  <c r="T7386" i="5" s="1"/>
  <c r="U7386" i="5" s="1"/>
  <c r="T7387" i="5" a="1"/>
  <c r="T7387" i="5" s="1"/>
  <c r="U7387" i="5" s="1"/>
  <c r="T7388" i="5" a="1"/>
  <c r="T7388" i="5" s="1"/>
  <c r="U7388" i="5" s="1"/>
  <c r="T7389" i="5" a="1"/>
  <c r="T7389" i="5" s="1"/>
  <c r="U7389" i="5" s="1"/>
  <c r="T7390" i="5" a="1"/>
  <c r="T7390" i="5" s="1"/>
  <c r="U7390" i="5" s="1"/>
  <c r="T7391" i="5" a="1"/>
  <c r="T7391" i="5" s="1"/>
  <c r="U7391" i="5" s="1"/>
  <c r="T7392" i="5" a="1"/>
  <c r="T7392" i="5" s="1"/>
  <c r="U7392" i="5" s="1"/>
  <c r="T7393" i="5" a="1"/>
  <c r="T7393" i="5" s="1"/>
  <c r="U7393" i="5" s="1"/>
  <c r="T7394" i="5" a="1"/>
  <c r="T7394" i="5" s="1"/>
  <c r="U7394" i="5" s="1"/>
  <c r="T7395" i="5" a="1"/>
  <c r="T7395" i="5" s="1"/>
  <c r="U7395" i="5" s="1"/>
  <c r="T7396" i="5" a="1"/>
  <c r="T7396" i="5" s="1"/>
  <c r="U7396" i="5" s="1"/>
  <c r="T7397" i="5" a="1"/>
  <c r="T7397" i="5" s="1"/>
  <c r="U7397" i="5" s="1"/>
  <c r="T7398" i="5" a="1"/>
  <c r="T7398" i="5" s="1"/>
  <c r="U7398" i="5" s="1"/>
  <c r="T7399" i="5" a="1"/>
  <c r="T7399" i="5" s="1"/>
  <c r="U7399" i="5" s="1"/>
  <c r="T7400" i="5" a="1"/>
  <c r="T7400" i="5" s="1"/>
  <c r="U7400" i="5" s="1"/>
  <c r="T7401" i="5" a="1"/>
  <c r="T7401" i="5" s="1"/>
  <c r="U7401" i="5" s="1"/>
  <c r="T7402" i="5" a="1"/>
  <c r="T7402" i="5" s="1"/>
  <c r="U7402" i="5" s="1"/>
  <c r="T7403" i="5" a="1"/>
  <c r="T7403" i="5" s="1"/>
  <c r="U7403" i="5" s="1"/>
  <c r="T7404" i="5" a="1"/>
  <c r="T7404" i="5" s="1"/>
  <c r="U7404" i="5" s="1"/>
  <c r="T7405" i="5" a="1"/>
  <c r="T7405" i="5" s="1"/>
  <c r="U7405" i="5" s="1"/>
  <c r="T7406" i="5" a="1"/>
  <c r="T7406" i="5" s="1"/>
  <c r="U7406" i="5" s="1"/>
  <c r="T7407" i="5" a="1"/>
  <c r="T7407" i="5" s="1"/>
  <c r="U7407" i="5" s="1"/>
  <c r="T7408" i="5" a="1"/>
  <c r="T7408" i="5" s="1"/>
  <c r="U7408" i="5" s="1"/>
  <c r="T7409" i="5" a="1"/>
  <c r="T7409" i="5" s="1"/>
  <c r="U7409" i="5" s="1"/>
  <c r="T7410" i="5" a="1"/>
  <c r="T7410" i="5" s="1"/>
  <c r="U7410" i="5" s="1"/>
  <c r="T7411" i="5" a="1"/>
  <c r="T7411" i="5" s="1"/>
  <c r="U7411" i="5" s="1"/>
  <c r="T7412" i="5" a="1"/>
  <c r="T7412" i="5" s="1"/>
  <c r="U7412" i="5" s="1"/>
  <c r="T7413" i="5" a="1"/>
  <c r="T7413" i="5" s="1"/>
  <c r="U7413" i="5" s="1"/>
  <c r="T7414" i="5" a="1"/>
  <c r="T7414" i="5" s="1"/>
  <c r="U7414" i="5" s="1"/>
  <c r="T7415" i="5" a="1"/>
  <c r="T7415" i="5" s="1"/>
  <c r="U7415" i="5" s="1"/>
  <c r="T7416" i="5" a="1"/>
  <c r="T7416" i="5" s="1"/>
  <c r="U7416" i="5" s="1"/>
  <c r="T7417" i="5" a="1"/>
  <c r="T7417" i="5" s="1"/>
  <c r="U7417" i="5" s="1"/>
  <c r="T7418" i="5" a="1"/>
  <c r="T7418" i="5" s="1"/>
  <c r="U7418" i="5" s="1"/>
  <c r="T7419" i="5" a="1"/>
  <c r="T7419" i="5" s="1"/>
  <c r="U7419" i="5" s="1"/>
  <c r="T7420" i="5" a="1"/>
  <c r="T7420" i="5" s="1"/>
  <c r="U7420" i="5" s="1"/>
  <c r="T7421" i="5" a="1"/>
  <c r="T7421" i="5" s="1"/>
  <c r="U7421" i="5" s="1"/>
  <c r="T7422" i="5" a="1"/>
  <c r="T7422" i="5" s="1"/>
  <c r="U7422" i="5" s="1"/>
  <c r="T7423" i="5" a="1"/>
  <c r="T7423" i="5" s="1"/>
  <c r="U7423" i="5" s="1"/>
  <c r="T7424" i="5" a="1"/>
  <c r="T7424" i="5" s="1"/>
  <c r="U7424" i="5" s="1"/>
  <c r="T7425" i="5" a="1"/>
  <c r="T7425" i="5" s="1"/>
  <c r="U7425" i="5" s="1"/>
  <c r="T7426" i="5" a="1"/>
  <c r="T7426" i="5" s="1"/>
  <c r="U7426" i="5" s="1"/>
  <c r="T7427" i="5" a="1"/>
  <c r="T7427" i="5" s="1"/>
  <c r="U7427" i="5" s="1"/>
  <c r="T7428" i="5" a="1"/>
  <c r="T7428" i="5" s="1"/>
  <c r="U7428" i="5" s="1"/>
  <c r="T7429" i="5" a="1"/>
  <c r="T7429" i="5" s="1"/>
  <c r="U7429" i="5" s="1"/>
  <c r="T7430" i="5" a="1"/>
  <c r="T7430" i="5" s="1"/>
  <c r="U7430" i="5" s="1"/>
  <c r="T7431" i="5" a="1"/>
  <c r="T7431" i="5" s="1"/>
  <c r="U7431" i="5" s="1"/>
  <c r="T7432" i="5" a="1"/>
  <c r="T7432" i="5" s="1"/>
  <c r="U7432" i="5" s="1"/>
  <c r="T7433" i="5" a="1"/>
  <c r="T7433" i="5" s="1"/>
  <c r="U7433" i="5" s="1"/>
  <c r="T7434" i="5" a="1"/>
  <c r="T7434" i="5" s="1"/>
  <c r="U7434" i="5" s="1"/>
  <c r="T7435" i="5" a="1"/>
  <c r="T7435" i="5" s="1"/>
  <c r="U7435" i="5" s="1"/>
  <c r="T7436" i="5" a="1"/>
  <c r="T7436" i="5" s="1"/>
  <c r="U7436" i="5" s="1"/>
  <c r="T7437" i="5" a="1"/>
  <c r="T7437" i="5" s="1"/>
  <c r="U7437" i="5" s="1"/>
  <c r="T7438" i="5" a="1"/>
  <c r="T7438" i="5" s="1"/>
  <c r="U7438" i="5" s="1"/>
  <c r="T7439" i="5" a="1"/>
  <c r="T7439" i="5" s="1"/>
  <c r="U7439" i="5" s="1"/>
  <c r="T7440" i="5" a="1"/>
  <c r="T7440" i="5" s="1"/>
  <c r="U7440" i="5" s="1"/>
  <c r="T7441" i="5" a="1"/>
  <c r="T7441" i="5" s="1"/>
  <c r="U7441" i="5" s="1"/>
  <c r="T7442" i="5" a="1"/>
  <c r="T7442" i="5" s="1"/>
  <c r="U7442" i="5" s="1"/>
  <c r="T7443" i="5" a="1"/>
  <c r="T7443" i="5" s="1"/>
  <c r="U7443" i="5" s="1"/>
  <c r="T7444" i="5" a="1"/>
  <c r="T7444" i="5" s="1"/>
  <c r="U7444" i="5" s="1"/>
  <c r="T7445" i="5" a="1"/>
  <c r="T7445" i="5" s="1"/>
  <c r="U7445" i="5" s="1"/>
  <c r="T7446" i="5" a="1"/>
  <c r="T7446" i="5" s="1"/>
  <c r="U7446" i="5" s="1"/>
  <c r="T7447" i="5" a="1"/>
  <c r="T7447" i="5" s="1"/>
  <c r="U7447" i="5" s="1"/>
  <c r="T7448" i="5" a="1"/>
  <c r="T7448" i="5" s="1"/>
  <c r="U7448" i="5" s="1"/>
  <c r="T7449" i="5" a="1"/>
  <c r="T7449" i="5" s="1"/>
  <c r="U7449" i="5" s="1"/>
  <c r="T7450" i="5" a="1"/>
  <c r="T7450" i="5" s="1"/>
  <c r="U7450" i="5" s="1"/>
  <c r="T7451" i="5" a="1"/>
  <c r="T7451" i="5" s="1"/>
  <c r="U7451" i="5" s="1"/>
  <c r="T7452" i="5" a="1"/>
  <c r="T7452" i="5" s="1"/>
  <c r="U7452" i="5" s="1"/>
  <c r="T7453" i="5" a="1"/>
  <c r="T7453" i="5" s="1"/>
  <c r="U7453" i="5" s="1"/>
  <c r="T7454" i="5" a="1"/>
  <c r="T7454" i="5" s="1"/>
  <c r="U7454" i="5" s="1"/>
  <c r="T7455" i="5" a="1"/>
  <c r="T7455" i="5" s="1"/>
  <c r="U7455" i="5" s="1"/>
  <c r="T7456" i="5" a="1"/>
  <c r="T7456" i="5" s="1"/>
  <c r="U7456" i="5" s="1"/>
  <c r="T7457" i="5" a="1"/>
  <c r="T7457" i="5" s="1"/>
  <c r="U7457" i="5" s="1"/>
  <c r="T7458" i="5" a="1"/>
  <c r="T7458" i="5" s="1"/>
  <c r="U7458" i="5" s="1"/>
  <c r="T7459" i="5" a="1"/>
  <c r="T7459" i="5" s="1"/>
  <c r="U7459" i="5" s="1"/>
  <c r="T7460" i="5" a="1"/>
  <c r="T7460" i="5" s="1"/>
  <c r="U7460" i="5" s="1"/>
  <c r="T7461" i="5" a="1"/>
  <c r="T7461" i="5" s="1"/>
  <c r="U7461" i="5" s="1"/>
  <c r="T7462" i="5" a="1"/>
  <c r="T7462" i="5" s="1"/>
  <c r="U7462" i="5" s="1"/>
  <c r="T7463" i="5" a="1"/>
  <c r="T7463" i="5" s="1"/>
  <c r="U7463" i="5" s="1"/>
  <c r="T7464" i="5" a="1"/>
  <c r="T7464" i="5" s="1"/>
  <c r="U7464" i="5" s="1"/>
  <c r="T7465" i="5" a="1"/>
  <c r="T7465" i="5" s="1"/>
  <c r="U7465" i="5" s="1"/>
  <c r="T7466" i="5" a="1"/>
  <c r="T7466" i="5" s="1"/>
  <c r="U7466" i="5" s="1"/>
  <c r="T7467" i="5" a="1"/>
  <c r="T7467" i="5" s="1"/>
  <c r="U7467" i="5" s="1"/>
  <c r="T7468" i="5" a="1"/>
  <c r="T7468" i="5" s="1"/>
  <c r="U7468" i="5" s="1"/>
  <c r="T7469" i="5" a="1"/>
  <c r="T7469" i="5" s="1"/>
  <c r="U7469" i="5" s="1"/>
  <c r="T7470" i="5" a="1"/>
  <c r="T7470" i="5" s="1"/>
  <c r="U7470" i="5" s="1"/>
  <c r="T7471" i="5" a="1"/>
  <c r="T7471" i="5" s="1"/>
  <c r="U7471" i="5" s="1"/>
  <c r="T7472" i="5" a="1"/>
  <c r="T7472" i="5" s="1"/>
  <c r="U7472" i="5" s="1"/>
  <c r="T7473" i="5" a="1"/>
  <c r="T7473" i="5" s="1"/>
  <c r="U7473" i="5" s="1"/>
  <c r="T7474" i="5" a="1"/>
  <c r="T7474" i="5" s="1"/>
  <c r="U7474" i="5" s="1"/>
  <c r="T7475" i="5" a="1"/>
  <c r="T7475" i="5" s="1"/>
  <c r="U7475" i="5" s="1"/>
  <c r="T7476" i="5" a="1"/>
  <c r="T7476" i="5" s="1"/>
  <c r="U7476" i="5" s="1"/>
  <c r="T7477" i="5" a="1"/>
  <c r="T7477" i="5" s="1"/>
  <c r="U7477" i="5" s="1"/>
  <c r="T7478" i="5" a="1"/>
  <c r="T7478" i="5" s="1"/>
  <c r="U7478" i="5" s="1"/>
  <c r="T7479" i="5" a="1"/>
  <c r="T7479" i="5" s="1"/>
  <c r="U7479" i="5" s="1"/>
  <c r="T7480" i="5" a="1"/>
  <c r="T7480" i="5" s="1"/>
  <c r="U7480" i="5" s="1"/>
  <c r="T7481" i="5" a="1"/>
  <c r="T7481" i="5" s="1"/>
  <c r="U7481" i="5" s="1"/>
  <c r="T7482" i="5" a="1"/>
  <c r="T7482" i="5" s="1"/>
  <c r="U7482" i="5" s="1"/>
  <c r="T7483" i="5" a="1"/>
  <c r="T7483" i="5" s="1"/>
  <c r="U7483" i="5" s="1"/>
  <c r="T7484" i="5" a="1"/>
  <c r="T7484" i="5" s="1"/>
  <c r="U7484" i="5" s="1"/>
  <c r="T7485" i="5" a="1"/>
  <c r="T7485" i="5" s="1"/>
  <c r="U7485" i="5" s="1"/>
  <c r="T7486" i="5" a="1"/>
  <c r="T7486" i="5" s="1"/>
  <c r="U7486" i="5" s="1"/>
  <c r="T7487" i="5" a="1"/>
  <c r="T7487" i="5" s="1"/>
  <c r="U7487" i="5" s="1"/>
  <c r="T7488" i="5" a="1"/>
  <c r="T7488" i="5" s="1"/>
  <c r="U7488" i="5" s="1"/>
  <c r="T7489" i="5" a="1"/>
  <c r="T7489" i="5" s="1"/>
  <c r="U7489" i="5" s="1"/>
  <c r="T7490" i="5" a="1"/>
  <c r="T7490" i="5" s="1"/>
  <c r="U7490" i="5" s="1"/>
  <c r="T7491" i="5" a="1"/>
  <c r="T7491" i="5" s="1"/>
  <c r="U7491" i="5" s="1"/>
  <c r="T7492" i="5" a="1"/>
  <c r="T7492" i="5" s="1"/>
  <c r="U7492" i="5" s="1"/>
  <c r="T7493" i="5" a="1"/>
  <c r="T7493" i="5" s="1"/>
  <c r="U7493" i="5" s="1"/>
  <c r="T7494" i="5" a="1"/>
  <c r="T7494" i="5" s="1"/>
  <c r="U7494" i="5" s="1"/>
  <c r="T7495" i="5" a="1"/>
  <c r="T7495" i="5" s="1"/>
  <c r="U7495" i="5" s="1"/>
  <c r="T7501" i="5" a="1"/>
  <c r="T7501" i="5" s="1"/>
  <c r="U7501" i="5" s="1"/>
  <c r="T7502" i="5" a="1"/>
  <c r="T7502" i="5" s="1"/>
  <c r="U7502" i="5" s="1"/>
  <c r="T7503" i="5" a="1"/>
  <c r="T7503" i="5" s="1"/>
  <c r="U7503" i="5" s="1"/>
  <c r="T7504" i="5" a="1"/>
  <c r="T7504" i="5" s="1"/>
  <c r="U7504" i="5" s="1"/>
  <c r="T7505" i="5" a="1"/>
  <c r="T7505" i="5" s="1"/>
  <c r="U7505" i="5" s="1"/>
  <c r="T7506" i="5" a="1"/>
  <c r="T7506" i="5" s="1"/>
  <c r="U7506" i="5" s="1"/>
  <c r="T7507" i="5" a="1"/>
  <c r="T7507" i="5" s="1"/>
  <c r="U7507" i="5" s="1"/>
  <c r="T7508" i="5" a="1"/>
  <c r="T7508" i="5" s="1"/>
  <c r="U7508" i="5" s="1"/>
  <c r="T7509" i="5" a="1"/>
  <c r="T7509" i="5" s="1"/>
  <c r="U7509" i="5" s="1"/>
  <c r="T7510" i="5" a="1"/>
  <c r="T7510" i="5" s="1"/>
  <c r="U7510" i="5" s="1"/>
  <c r="T7511" i="5" a="1"/>
  <c r="T7511" i="5" s="1"/>
  <c r="U7511" i="5" s="1"/>
  <c r="T7512" i="5" a="1"/>
  <c r="T7512" i="5" s="1"/>
  <c r="U7512" i="5" s="1"/>
  <c r="T7513" i="5" a="1"/>
  <c r="T7513" i="5" s="1"/>
  <c r="U7513" i="5" s="1"/>
  <c r="T7514" i="5" a="1"/>
  <c r="T7514" i="5" s="1"/>
  <c r="U7514" i="5" s="1"/>
  <c r="T7515" i="5" a="1"/>
  <c r="T7515" i="5" s="1"/>
  <c r="U7515" i="5" s="1"/>
  <c r="T7516" i="5" a="1"/>
  <c r="T7516" i="5" s="1"/>
  <c r="U7516" i="5" s="1"/>
  <c r="T7517" i="5" a="1"/>
  <c r="T7517" i="5" s="1"/>
  <c r="U7517" i="5" s="1"/>
  <c r="T7518" i="5" a="1"/>
  <c r="T7518" i="5" s="1"/>
  <c r="U7518" i="5" s="1"/>
  <c r="T7519" i="5" a="1"/>
  <c r="T7519" i="5" s="1"/>
  <c r="U7519" i="5" s="1"/>
  <c r="T7520" i="5" a="1"/>
  <c r="T7520" i="5" s="1"/>
  <c r="U7520" i="5" s="1"/>
  <c r="T7521" i="5" a="1"/>
  <c r="T7521" i="5" s="1"/>
  <c r="U7521" i="5" s="1"/>
  <c r="T7522" i="5" a="1"/>
  <c r="T7522" i="5" s="1"/>
  <c r="U7522" i="5" s="1"/>
  <c r="T7523" i="5" a="1"/>
  <c r="T7523" i="5" s="1"/>
  <c r="U7523" i="5" s="1"/>
  <c r="T7524" i="5" a="1"/>
  <c r="T7524" i="5" s="1"/>
  <c r="U7524" i="5" s="1"/>
  <c r="T7525" i="5" a="1"/>
  <c r="T7525" i="5" s="1"/>
  <c r="U7525" i="5" s="1"/>
  <c r="T7526" i="5" a="1"/>
  <c r="T7526" i="5" s="1"/>
  <c r="U7526" i="5" s="1"/>
  <c r="T7527" i="5" a="1"/>
  <c r="T7527" i="5" s="1"/>
  <c r="U7527" i="5" s="1"/>
  <c r="T7528" i="5" a="1"/>
  <c r="T7528" i="5" s="1"/>
  <c r="U7528" i="5" s="1"/>
  <c r="T7529" i="5" a="1"/>
  <c r="T7529" i="5" s="1"/>
  <c r="U7529" i="5" s="1"/>
  <c r="T7530" i="5" a="1"/>
  <c r="T7530" i="5" s="1"/>
  <c r="U7530" i="5" s="1"/>
  <c r="T7531" i="5" a="1"/>
  <c r="T7531" i="5" s="1"/>
  <c r="U7531" i="5" s="1"/>
  <c r="T7532" i="5" a="1"/>
  <c r="T7532" i="5" s="1"/>
  <c r="U7532" i="5" s="1"/>
  <c r="T7533" i="5" a="1"/>
  <c r="T7533" i="5" s="1"/>
  <c r="U7533" i="5" s="1"/>
  <c r="T7534" i="5" a="1"/>
  <c r="T7534" i="5" s="1"/>
  <c r="U7534" i="5" s="1"/>
  <c r="T7535" i="5" a="1"/>
  <c r="T7535" i="5" s="1"/>
  <c r="U7535" i="5" s="1"/>
  <c r="T7536" i="5" a="1"/>
  <c r="T7536" i="5" s="1"/>
  <c r="U7536" i="5" s="1"/>
  <c r="T7537" i="5" a="1"/>
  <c r="T7537" i="5" s="1"/>
  <c r="U7537" i="5" s="1"/>
  <c r="T7538" i="5" a="1"/>
  <c r="T7538" i="5" s="1"/>
  <c r="U7538" i="5" s="1"/>
  <c r="T7539" i="5" a="1"/>
  <c r="T7539" i="5" s="1"/>
  <c r="U7539" i="5" s="1"/>
  <c r="T7540" i="5" a="1"/>
  <c r="T7540" i="5" s="1"/>
  <c r="U7540" i="5" s="1"/>
  <c r="T7541" i="5" a="1"/>
  <c r="T7541" i="5" s="1"/>
  <c r="U7541" i="5" s="1"/>
  <c r="T7542" i="5" a="1"/>
  <c r="T7542" i="5" s="1"/>
  <c r="U7542" i="5" s="1"/>
  <c r="T7543" i="5" a="1"/>
  <c r="T7543" i="5" s="1"/>
  <c r="U7543" i="5" s="1"/>
  <c r="T7544" i="5" a="1"/>
  <c r="T7544" i="5" s="1"/>
  <c r="U7544" i="5" s="1"/>
  <c r="T7545" i="5" a="1"/>
  <c r="T7545" i="5" s="1"/>
  <c r="U7545" i="5" s="1"/>
  <c r="T7546" i="5" a="1"/>
  <c r="T7546" i="5" s="1"/>
  <c r="U7546" i="5" s="1"/>
  <c r="T7547" i="5" a="1"/>
  <c r="T7547" i="5" s="1"/>
  <c r="U7547" i="5" s="1"/>
  <c r="T7548" i="5" a="1"/>
  <c r="T7548" i="5" s="1"/>
  <c r="U7548" i="5" s="1"/>
  <c r="T7549" i="5" a="1"/>
  <c r="T7549" i="5" s="1"/>
  <c r="U7549" i="5" s="1"/>
  <c r="T7561" i="5" a="1"/>
  <c r="T7561" i="5" s="1"/>
  <c r="U7561" i="5" s="1"/>
  <c r="T7562" i="5" a="1"/>
  <c r="T7562" i="5" s="1"/>
  <c r="U7562" i="5" s="1"/>
  <c r="T7563" i="5" a="1"/>
  <c r="T7563" i="5" s="1"/>
  <c r="U7563" i="5" s="1"/>
  <c r="T7564" i="5" a="1"/>
  <c r="T7564" i="5" s="1"/>
  <c r="U7564" i="5" s="1"/>
  <c r="T7565" i="5" a="1"/>
  <c r="T7565" i="5" s="1"/>
  <c r="U7565" i="5" s="1"/>
  <c r="T7566" i="5" a="1"/>
  <c r="T7566" i="5" s="1"/>
  <c r="U7566" i="5" s="1"/>
  <c r="T7567" i="5" a="1"/>
  <c r="T7567" i="5" s="1"/>
  <c r="U7567" i="5" s="1"/>
  <c r="T7568" i="5" a="1"/>
  <c r="T7568" i="5" s="1"/>
  <c r="U7568" i="5" s="1"/>
  <c r="T7569" i="5" a="1"/>
  <c r="T7569" i="5" s="1"/>
  <c r="U7569" i="5" s="1"/>
  <c r="T7570" i="5" a="1"/>
  <c r="T7570" i="5" s="1"/>
  <c r="U7570" i="5" s="1"/>
  <c r="T7571" i="5" a="1"/>
  <c r="T7571" i="5" s="1"/>
  <c r="U7571" i="5" s="1"/>
  <c r="T7572" i="5" a="1"/>
  <c r="T7572" i="5" s="1"/>
  <c r="U7572" i="5" s="1"/>
  <c r="T7573" i="5" a="1"/>
  <c r="T7573" i="5" s="1"/>
  <c r="U7573" i="5" s="1"/>
  <c r="T7574" i="5" a="1"/>
  <c r="T7574" i="5" s="1"/>
  <c r="U7574" i="5" s="1"/>
  <c r="T7575" i="5" a="1"/>
  <c r="T7575" i="5" s="1"/>
  <c r="U7575" i="5" s="1"/>
  <c r="T7576" i="5" a="1"/>
  <c r="T7576" i="5" s="1"/>
  <c r="U7576" i="5" s="1"/>
  <c r="T7577" i="5" a="1"/>
  <c r="T7577" i="5" s="1"/>
  <c r="U7577" i="5" s="1"/>
  <c r="T7578" i="5" a="1"/>
  <c r="T7578" i="5" s="1"/>
  <c r="U7578" i="5" s="1"/>
  <c r="T7579" i="5" a="1"/>
  <c r="T7579" i="5" s="1"/>
  <c r="U7579" i="5" s="1"/>
  <c r="T7580" i="5" a="1"/>
  <c r="T7580" i="5" s="1"/>
  <c r="U7580" i="5" s="1"/>
  <c r="T7581" i="5" a="1"/>
  <c r="T7581" i="5" s="1"/>
  <c r="U7581" i="5" s="1"/>
  <c r="T7582" i="5" a="1"/>
  <c r="T7582" i="5" s="1"/>
  <c r="U7582" i="5" s="1"/>
  <c r="T7583" i="5" a="1"/>
  <c r="T7583" i="5" s="1"/>
  <c r="U7583" i="5" s="1"/>
  <c r="T7584" i="5" a="1"/>
  <c r="T7584" i="5" s="1"/>
  <c r="U7584" i="5" s="1"/>
  <c r="T7585" i="5" a="1"/>
  <c r="T7585" i="5" s="1"/>
  <c r="U7585" i="5" s="1"/>
  <c r="T7586" i="5" a="1"/>
  <c r="T7586" i="5" s="1"/>
  <c r="U7586" i="5" s="1"/>
  <c r="T7587" i="5" a="1"/>
  <c r="T7587" i="5" s="1"/>
  <c r="U7587" i="5" s="1"/>
  <c r="T7588" i="5" a="1"/>
  <c r="T7588" i="5" s="1"/>
  <c r="U7588" i="5" s="1"/>
  <c r="T7589" i="5" a="1"/>
  <c r="T7589" i="5" s="1"/>
  <c r="U7589" i="5" s="1"/>
  <c r="T7590" i="5" a="1"/>
  <c r="T7590" i="5" s="1"/>
  <c r="U7590" i="5" s="1"/>
  <c r="T7591" i="5" a="1"/>
  <c r="T7591" i="5" s="1"/>
  <c r="U7591" i="5" s="1"/>
  <c r="T7592" i="5" a="1"/>
  <c r="T7592" i="5" s="1"/>
  <c r="U7592" i="5" s="1"/>
  <c r="T7593" i="5" a="1"/>
  <c r="T7593" i="5" s="1"/>
  <c r="U7593" i="5" s="1"/>
  <c r="T7594" i="5" a="1"/>
  <c r="T7594" i="5" s="1"/>
  <c r="U7594" i="5" s="1"/>
  <c r="T7595" i="5" a="1"/>
  <c r="T7595" i="5" s="1"/>
  <c r="U7595" i="5" s="1"/>
  <c r="T7596" i="5" a="1"/>
  <c r="T7596" i="5" s="1"/>
  <c r="U7596" i="5" s="1"/>
  <c r="T7597" i="5" a="1"/>
  <c r="T7597" i="5" s="1"/>
  <c r="U7597" i="5" s="1"/>
  <c r="T7598" i="5" a="1"/>
  <c r="T7598" i="5" s="1"/>
  <c r="U7598" i="5" s="1"/>
  <c r="T7599" i="5" a="1"/>
  <c r="T7599" i="5" s="1"/>
  <c r="U7599" i="5" s="1"/>
  <c r="T7600" i="5" a="1"/>
  <c r="T7600" i="5" s="1"/>
  <c r="U7600" i="5" s="1"/>
  <c r="T7601" i="5" a="1"/>
  <c r="T7601" i="5" s="1"/>
  <c r="U7601" i="5" s="1"/>
  <c r="T7602" i="5" a="1"/>
  <c r="T7602" i="5" s="1"/>
  <c r="U7602" i="5" s="1"/>
  <c r="T7603" i="5" a="1"/>
  <c r="T7603" i="5" s="1"/>
  <c r="U7603" i="5" s="1"/>
  <c r="T7604" i="5" a="1"/>
  <c r="T7604" i="5" s="1"/>
  <c r="U7604" i="5" s="1"/>
  <c r="T7605" i="5" a="1"/>
  <c r="T7605" i="5" s="1"/>
  <c r="U7605" i="5" s="1"/>
  <c r="T7606" i="5" a="1"/>
  <c r="T7606" i="5" s="1"/>
  <c r="U7606" i="5" s="1"/>
  <c r="T7607" i="5" a="1"/>
  <c r="T7607" i="5" s="1"/>
  <c r="U7607" i="5" s="1"/>
  <c r="T7608" i="5" a="1"/>
  <c r="T7608" i="5" s="1"/>
  <c r="U7608" i="5" s="1"/>
  <c r="T7620" i="5" a="1"/>
  <c r="T7620" i="5" s="1"/>
  <c r="U7620" i="5" s="1"/>
  <c r="T7621" i="5" a="1"/>
  <c r="T7621" i="5" s="1"/>
  <c r="U7621" i="5" s="1"/>
  <c r="T7622" i="5" a="1"/>
  <c r="T7622" i="5" s="1"/>
  <c r="U7622" i="5" s="1"/>
  <c r="T7623" i="5" a="1"/>
  <c r="T7623" i="5" s="1"/>
  <c r="U7623" i="5" s="1"/>
  <c r="T7624" i="5" a="1"/>
  <c r="T7624" i="5" s="1"/>
  <c r="U7624" i="5" s="1"/>
  <c r="T7625" i="5" a="1"/>
  <c r="T7625" i="5" s="1"/>
  <c r="U7625" i="5" s="1"/>
  <c r="T7626" i="5" a="1"/>
  <c r="T7626" i="5" s="1"/>
  <c r="U7626" i="5" s="1"/>
  <c r="T7627" i="5" a="1"/>
  <c r="T7627" i="5" s="1"/>
  <c r="U7627" i="5" s="1"/>
  <c r="T7628" i="5" a="1"/>
  <c r="T7628" i="5" s="1"/>
  <c r="U7628" i="5" s="1"/>
  <c r="T7629" i="5" a="1"/>
  <c r="T7629" i="5" s="1"/>
  <c r="U7629" i="5" s="1"/>
  <c r="T7630" i="5" a="1"/>
  <c r="T7630" i="5" s="1"/>
  <c r="U7630" i="5" s="1"/>
  <c r="T7631" i="5" a="1"/>
  <c r="T7631" i="5" s="1"/>
  <c r="U7631" i="5" s="1"/>
  <c r="T7632" i="5" a="1"/>
  <c r="T7632" i="5" s="1"/>
  <c r="U7632" i="5" s="1"/>
  <c r="T7633" i="5" a="1"/>
  <c r="T7633" i="5" s="1"/>
  <c r="U7633" i="5" s="1"/>
  <c r="T7634" i="5" a="1"/>
  <c r="T7634" i="5" s="1"/>
  <c r="U7634" i="5" s="1"/>
  <c r="T7635" i="5" a="1"/>
  <c r="T7635" i="5" s="1"/>
  <c r="U7635" i="5" s="1"/>
  <c r="T7636" i="5" a="1"/>
  <c r="T7636" i="5" s="1"/>
  <c r="U7636" i="5" s="1"/>
  <c r="T7637" i="5" a="1"/>
  <c r="T7637" i="5" s="1"/>
  <c r="U7637" i="5" s="1"/>
  <c r="T7638" i="5" a="1"/>
  <c r="T7638" i="5" s="1"/>
  <c r="U7638" i="5" s="1"/>
  <c r="T7639" i="5" a="1"/>
  <c r="T7639" i="5" s="1"/>
  <c r="U7639" i="5" s="1"/>
  <c r="T7640" i="5" a="1"/>
  <c r="T7640" i="5" s="1"/>
  <c r="U7640" i="5" s="1"/>
  <c r="T7641" i="5" a="1"/>
  <c r="T7641" i="5" s="1"/>
  <c r="U7641" i="5" s="1"/>
  <c r="T7642" i="5" a="1"/>
  <c r="T7642" i="5" s="1"/>
  <c r="U7642" i="5" s="1"/>
  <c r="T7643" i="5" a="1"/>
  <c r="T7643" i="5" s="1"/>
  <c r="U7643" i="5" s="1"/>
  <c r="T7644" i="5" a="1"/>
  <c r="T7644" i="5" s="1"/>
  <c r="U7644" i="5" s="1"/>
  <c r="T7645" i="5" a="1"/>
  <c r="T7645" i="5" s="1"/>
  <c r="U7645" i="5" s="1"/>
  <c r="T7646" i="5" a="1"/>
  <c r="T7646" i="5" s="1"/>
  <c r="U7646" i="5" s="1"/>
  <c r="T7647" i="5" a="1"/>
  <c r="T7647" i="5" s="1"/>
  <c r="U7647" i="5" s="1"/>
  <c r="T7648" i="5" a="1"/>
  <c r="T7648" i="5" s="1"/>
  <c r="U7648" i="5" s="1"/>
  <c r="T7649" i="5" a="1"/>
  <c r="T7649" i="5" s="1"/>
  <c r="U7649" i="5" s="1"/>
  <c r="T7650" i="5" a="1"/>
  <c r="T7650" i="5" s="1"/>
  <c r="U7650" i="5" s="1"/>
  <c r="T7651" i="5" a="1"/>
  <c r="T7651" i="5" s="1"/>
  <c r="U7651" i="5" s="1"/>
  <c r="T7652" i="5" a="1"/>
  <c r="T7652" i="5" s="1"/>
  <c r="U7652" i="5" s="1"/>
  <c r="T7653" i="5" a="1"/>
  <c r="T7653" i="5" s="1"/>
  <c r="U7653" i="5" s="1"/>
  <c r="T7654" i="5" a="1"/>
  <c r="T7654" i="5" s="1"/>
  <c r="U7654" i="5" s="1"/>
  <c r="T7655" i="5" a="1"/>
  <c r="T7655" i="5" s="1"/>
  <c r="U7655" i="5" s="1"/>
  <c r="T7656" i="5" a="1"/>
  <c r="T7656" i="5" s="1"/>
  <c r="U7656" i="5" s="1"/>
  <c r="T7657" i="5" a="1"/>
  <c r="T7657" i="5" s="1"/>
  <c r="U7657" i="5" s="1"/>
  <c r="T7658" i="5" a="1"/>
  <c r="T7658" i="5" s="1"/>
  <c r="U7658" i="5" s="1"/>
  <c r="T7659" i="5" a="1"/>
  <c r="T7659" i="5" s="1"/>
  <c r="U7659" i="5" s="1"/>
  <c r="T7660" i="5" a="1"/>
  <c r="T7660" i="5" s="1"/>
  <c r="U7660" i="5" s="1"/>
  <c r="T7661" i="5" a="1"/>
  <c r="T7661" i="5" s="1"/>
  <c r="U7661" i="5" s="1"/>
  <c r="T7662" i="5" a="1"/>
  <c r="T7662" i="5" s="1"/>
  <c r="U7662" i="5" s="1"/>
  <c r="T7663" i="5" a="1"/>
  <c r="T7663" i="5" s="1"/>
  <c r="U7663" i="5" s="1"/>
  <c r="T7665" i="5" a="1"/>
  <c r="T7665" i="5" s="1"/>
  <c r="U7665" i="5" s="1"/>
  <c r="T7666" i="5" a="1"/>
  <c r="T7666" i="5" s="1"/>
  <c r="U7666" i="5" s="1"/>
  <c r="T7667" i="5" a="1"/>
  <c r="T7667" i="5" s="1"/>
  <c r="U7667" i="5" s="1"/>
  <c r="T7668" i="5" a="1"/>
  <c r="T7668" i="5" s="1"/>
  <c r="U7668" i="5" s="1"/>
  <c r="T7669" i="5" a="1"/>
  <c r="T7669" i="5" s="1"/>
  <c r="U7669" i="5" s="1"/>
  <c r="T7670" i="5" a="1"/>
  <c r="T7670" i="5" s="1"/>
  <c r="U7670" i="5" s="1"/>
  <c r="T7671" i="5" a="1"/>
  <c r="T7671" i="5" s="1"/>
  <c r="U7671" i="5" s="1"/>
  <c r="T7672" i="5" a="1"/>
  <c r="T7672" i="5" s="1"/>
  <c r="U7672" i="5" s="1"/>
  <c r="T7673" i="5" a="1"/>
  <c r="T7673" i="5" s="1"/>
  <c r="U7673" i="5" s="1"/>
  <c r="T7674" i="5" a="1"/>
  <c r="T7674" i="5" s="1"/>
  <c r="U7674" i="5" s="1"/>
  <c r="T7675" i="5" a="1"/>
  <c r="T7675" i="5" s="1"/>
  <c r="U7675" i="5" s="1"/>
  <c r="T7676" i="5" a="1"/>
  <c r="T7676" i="5" s="1"/>
  <c r="U7676" i="5" s="1"/>
  <c r="T7677" i="5" a="1"/>
  <c r="T7677" i="5" s="1"/>
  <c r="U7677" i="5" s="1"/>
  <c r="T7678" i="5" a="1"/>
  <c r="T7678" i="5" s="1"/>
  <c r="U7678" i="5" s="1"/>
  <c r="T7679" i="5" a="1"/>
  <c r="T7679" i="5" s="1"/>
  <c r="U7679" i="5" s="1"/>
  <c r="T7680" i="5" a="1"/>
  <c r="T7680" i="5" s="1"/>
  <c r="U7680" i="5" s="1"/>
  <c r="T7681" i="5" a="1"/>
  <c r="T7681" i="5" s="1"/>
  <c r="U7681" i="5" s="1"/>
  <c r="T7682" i="5" a="1"/>
  <c r="T7682" i="5" s="1"/>
  <c r="U7682" i="5" s="1"/>
  <c r="T7683" i="5" a="1"/>
  <c r="T7683" i="5" s="1"/>
  <c r="U7683" i="5" s="1"/>
  <c r="T7684" i="5" a="1"/>
  <c r="T7684" i="5" s="1"/>
  <c r="U7684" i="5" s="1"/>
  <c r="T7685" i="5" a="1"/>
  <c r="T7685" i="5" s="1"/>
  <c r="U7685" i="5" s="1"/>
  <c r="T7686" i="5" a="1"/>
  <c r="T7686" i="5" s="1"/>
  <c r="U7686" i="5" s="1"/>
  <c r="T7687" i="5" a="1"/>
  <c r="T7687" i="5" s="1"/>
  <c r="U7687" i="5" s="1"/>
  <c r="T7688" i="5" a="1"/>
  <c r="T7688" i="5" s="1"/>
  <c r="U7688" i="5" s="1"/>
  <c r="T7689" i="5" a="1"/>
  <c r="T7689" i="5" s="1"/>
  <c r="U7689" i="5" s="1"/>
  <c r="T7690" i="5" a="1"/>
  <c r="T7690" i="5" s="1"/>
  <c r="U7690" i="5" s="1"/>
  <c r="T7691" i="5" a="1"/>
  <c r="T7691" i="5" s="1"/>
  <c r="U7691" i="5" s="1"/>
  <c r="T7692" i="5" a="1"/>
  <c r="T7692" i="5" s="1"/>
  <c r="U7692" i="5" s="1"/>
  <c r="T7693" i="5" a="1"/>
  <c r="T7693" i="5" s="1"/>
  <c r="U7693" i="5" s="1"/>
  <c r="T7694" i="5" a="1"/>
  <c r="T7694" i="5" s="1"/>
  <c r="U7694" i="5" s="1"/>
  <c r="T7706" i="5" a="1"/>
  <c r="T7706" i="5" s="1"/>
  <c r="U7706" i="5" s="1"/>
  <c r="T7707" i="5" a="1"/>
  <c r="T7707" i="5" s="1"/>
  <c r="U7707" i="5" s="1"/>
  <c r="T7708" i="5" a="1"/>
  <c r="T7708" i="5" s="1"/>
  <c r="U7708" i="5" s="1"/>
  <c r="T7709" i="5" a="1"/>
  <c r="T7709" i="5" s="1"/>
  <c r="U7709" i="5" s="1"/>
  <c r="T7710" i="5" a="1"/>
  <c r="T7710" i="5" s="1"/>
  <c r="U7710" i="5" s="1"/>
  <c r="T7711" i="5" a="1"/>
  <c r="T7711" i="5" s="1"/>
  <c r="U7711" i="5" s="1"/>
  <c r="T7712" i="5" a="1"/>
  <c r="T7712" i="5" s="1"/>
  <c r="U7712" i="5" s="1"/>
  <c r="T7713" i="5" a="1"/>
  <c r="T7713" i="5" s="1"/>
  <c r="U7713" i="5" s="1"/>
  <c r="T7714" i="5" a="1"/>
  <c r="T7714" i="5" s="1"/>
  <c r="U7714" i="5" s="1"/>
  <c r="T7715" i="5" a="1"/>
  <c r="T7715" i="5" s="1"/>
  <c r="U7715" i="5" s="1"/>
  <c r="T7716" i="5" a="1"/>
  <c r="T7716" i="5" s="1"/>
  <c r="U7716" i="5" s="1"/>
  <c r="T7717" i="5" a="1"/>
  <c r="T7717" i="5" s="1"/>
  <c r="U7717" i="5" s="1"/>
  <c r="T7718" i="5" a="1"/>
  <c r="T7718" i="5" s="1"/>
  <c r="U7718" i="5" s="1"/>
  <c r="T7719" i="5" a="1"/>
  <c r="T7719" i="5" s="1"/>
  <c r="U7719" i="5" s="1"/>
  <c r="T7720" i="5" a="1"/>
  <c r="T7720" i="5" s="1"/>
  <c r="U7720" i="5" s="1"/>
  <c r="T7721" i="5" a="1"/>
  <c r="T7721" i="5" s="1"/>
  <c r="U7721" i="5" s="1"/>
  <c r="T7722" i="5" a="1"/>
  <c r="T7722" i="5" s="1"/>
  <c r="U7722" i="5" s="1"/>
  <c r="T7723" i="5" a="1"/>
  <c r="T7723" i="5" s="1"/>
  <c r="U7723" i="5" s="1"/>
  <c r="T7724" i="5" a="1"/>
  <c r="T7724" i="5" s="1"/>
  <c r="U7724" i="5" s="1"/>
  <c r="T7725" i="5" a="1"/>
  <c r="T7725" i="5" s="1"/>
  <c r="U7725" i="5" s="1"/>
  <c r="T7726" i="5" a="1"/>
  <c r="T7726" i="5" s="1"/>
  <c r="U7726" i="5" s="1"/>
  <c r="T7727" i="5" a="1"/>
  <c r="T7727" i="5" s="1"/>
  <c r="U7727" i="5" s="1"/>
  <c r="T7728" i="5" a="1"/>
  <c r="T7728" i="5" s="1"/>
  <c r="U7728" i="5" s="1"/>
  <c r="T7729" i="5" a="1"/>
  <c r="T7729" i="5" s="1"/>
  <c r="U7729" i="5" s="1"/>
  <c r="T7730" i="5" a="1"/>
  <c r="T7730" i="5" s="1"/>
  <c r="U7730" i="5" s="1"/>
  <c r="T7731" i="5" a="1"/>
  <c r="T7731" i="5" s="1"/>
  <c r="U7731" i="5" s="1"/>
  <c r="T7732" i="5" a="1"/>
  <c r="T7732" i="5" s="1"/>
  <c r="U7732" i="5" s="1"/>
  <c r="T7733" i="5" a="1"/>
  <c r="T7733" i="5" s="1"/>
  <c r="U7733" i="5" s="1"/>
  <c r="T7734" i="5" a="1"/>
  <c r="T7734" i="5" s="1"/>
  <c r="U7734" i="5" s="1"/>
  <c r="T7735" i="5" a="1"/>
  <c r="T7735" i="5" s="1"/>
  <c r="U7735" i="5" s="1"/>
  <c r="T7736" i="5" a="1"/>
  <c r="T7736" i="5" s="1"/>
  <c r="U7736" i="5" s="1"/>
  <c r="T7737" i="5" a="1"/>
  <c r="T7737" i="5" s="1"/>
  <c r="U7737" i="5" s="1"/>
  <c r="T7738" i="5" a="1"/>
  <c r="T7738" i="5" s="1"/>
  <c r="U7738" i="5" s="1"/>
  <c r="T7739" i="5" a="1"/>
  <c r="T7739" i="5" s="1"/>
  <c r="U7739" i="5" s="1"/>
  <c r="T7740" i="5" a="1"/>
  <c r="T7740" i="5" s="1"/>
  <c r="U7740" i="5" s="1"/>
  <c r="T7741" i="5" a="1"/>
  <c r="T7741" i="5" s="1"/>
  <c r="U7741" i="5" s="1"/>
  <c r="T7742" i="5" a="1"/>
  <c r="T7742" i="5" s="1"/>
  <c r="U7742" i="5" s="1"/>
  <c r="T7743" i="5" a="1"/>
  <c r="T7743" i="5" s="1"/>
  <c r="U7743" i="5" s="1"/>
  <c r="T7744" i="5" a="1"/>
  <c r="T7744" i="5" s="1"/>
  <c r="U7744" i="5" s="1"/>
  <c r="T7745" i="5" a="1"/>
  <c r="T7745" i="5" s="1"/>
  <c r="U7745" i="5" s="1"/>
  <c r="T7746" i="5" a="1"/>
  <c r="T7746" i="5" s="1"/>
  <c r="U7746" i="5" s="1"/>
  <c r="T7747" i="5" a="1"/>
  <c r="T7747" i="5" s="1"/>
  <c r="U7747" i="5" s="1"/>
  <c r="T7748" i="5" a="1"/>
  <c r="T7748" i="5" s="1"/>
  <c r="U7748" i="5" s="1"/>
  <c r="T7749" i="5" a="1"/>
  <c r="T7749" i="5" s="1"/>
  <c r="U7749" i="5" s="1"/>
  <c r="T7750" i="5" a="1"/>
  <c r="T7750" i="5" s="1"/>
  <c r="U7750" i="5" s="1"/>
  <c r="T7751" i="5" a="1"/>
  <c r="T7751" i="5" s="1"/>
  <c r="U7751" i="5" s="1"/>
  <c r="T7752" i="5" a="1"/>
  <c r="T7752" i="5" s="1"/>
  <c r="U7752" i="5" s="1"/>
  <c r="T7753" i="5" a="1"/>
  <c r="T7753" i="5" s="1"/>
  <c r="U7753" i="5" s="1"/>
  <c r="T7754" i="5" a="1"/>
  <c r="T7754" i="5" s="1"/>
  <c r="U7754" i="5" s="1"/>
  <c r="T7755" i="5" a="1"/>
  <c r="T7755" i="5" s="1"/>
  <c r="U7755" i="5" s="1"/>
  <c r="T7756" i="5" a="1"/>
  <c r="T7756" i="5" s="1"/>
  <c r="U7756" i="5" s="1"/>
  <c r="T7757" i="5" a="1"/>
  <c r="T7757" i="5" s="1"/>
  <c r="U7757" i="5" s="1"/>
  <c r="T7758" i="5" a="1"/>
  <c r="T7758" i="5" s="1"/>
  <c r="U7758" i="5" s="1"/>
  <c r="T7759" i="5" a="1"/>
  <c r="T7759" i="5" s="1"/>
  <c r="U7759" i="5" s="1"/>
  <c r="T7760" i="5" a="1"/>
  <c r="T7760" i="5" s="1"/>
  <c r="U7760" i="5" s="1"/>
  <c r="T7761" i="5" a="1"/>
  <c r="T7761" i="5" s="1"/>
  <c r="U7761" i="5" s="1"/>
  <c r="T7762" i="5" a="1"/>
  <c r="T7762" i="5" s="1"/>
  <c r="U7762" i="5" s="1"/>
  <c r="T7763" i="5" a="1"/>
  <c r="T7763" i="5" s="1"/>
  <c r="U7763" i="5" s="1"/>
  <c r="T7764" i="5" a="1"/>
  <c r="T7764" i="5" s="1"/>
  <c r="U7764" i="5" s="1"/>
  <c r="T7765" i="5" a="1"/>
  <c r="T7765" i="5" s="1"/>
  <c r="U7765" i="5" s="1"/>
  <c r="T7766" i="5" a="1"/>
  <c r="T7766" i="5" s="1"/>
  <c r="U7766" i="5" s="1"/>
  <c r="T7767" i="5" a="1"/>
  <c r="T7767" i="5" s="1"/>
  <c r="U7767" i="5" s="1"/>
  <c r="T7768" i="5" a="1"/>
  <c r="T7768" i="5" s="1"/>
  <c r="U7768" i="5" s="1"/>
  <c r="T7769" i="5" a="1"/>
  <c r="T7769" i="5" s="1"/>
  <c r="U7769" i="5" s="1"/>
  <c r="T7770" i="5" a="1"/>
  <c r="T7770" i="5" s="1"/>
  <c r="U7770" i="5" s="1"/>
  <c r="T7771" i="5" a="1"/>
  <c r="T7771" i="5" s="1"/>
  <c r="U7771" i="5" s="1"/>
  <c r="T7772" i="5" a="1"/>
  <c r="T7772" i="5" s="1"/>
  <c r="U7772" i="5" s="1"/>
  <c r="T7773" i="5" a="1"/>
  <c r="T7773" i="5" s="1"/>
  <c r="U7773" i="5" s="1"/>
  <c r="T7774" i="5" a="1"/>
  <c r="T7774" i="5" s="1"/>
  <c r="U7774" i="5" s="1"/>
  <c r="T7775" i="5" a="1"/>
  <c r="T7775" i="5" s="1"/>
  <c r="U7775" i="5" s="1"/>
  <c r="T7776" i="5" a="1"/>
  <c r="T7776" i="5" s="1"/>
  <c r="U7776" i="5" s="1"/>
  <c r="T7777" i="5" a="1"/>
  <c r="T7777" i="5" s="1"/>
  <c r="U7777" i="5" s="1"/>
  <c r="T7778" i="5" a="1"/>
  <c r="T7778" i="5" s="1"/>
  <c r="U7778" i="5" s="1"/>
  <c r="T7779" i="5" a="1"/>
  <c r="T7779" i="5" s="1"/>
  <c r="U7779" i="5" s="1"/>
  <c r="T7780" i="5" a="1"/>
  <c r="T7780" i="5" s="1"/>
  <c r="U7780" i="5" s="1"/>
  <c r="T7781" i="5" a="1"/>
  <c r="T7781" i="5" s="1"/>
  <c r="U7781" i="5" s="1"/>
  <c r="T7782" i="5" a="1"/>
  <c r="T7782" i="5" s="1"/>
  <c r="U7782" i="5" s="1"/>
  <c r="T7783" i="5" a="1"/>
  <c r="T7783" i="5" s="1"/>
  <c r="U7783" i="5" s="1"/>
  <c r="T7784" i="5" a="1"/>
  <c r="T7784" i="5" s="1"/>
  <c r="U7784" i="5" s="1"/>
  <c r="T7785" i="5" a="1"/>
  <c r="T7785" i="5" s="1"/>
  <c r="U7785" i="5" s="1"/>
  <c r="T7786" i="5" a="1"/>
  <c r="T7786" i="5" s="1"/>
  <c r="U7786" i="5" s="1"/>
  <c r="T7787" i="5" a="1"/>
  <c r="T7787" i="5" s="1"/>
  <c r="U7787" i="5" s="1"/>
  <c r="T7788" i="5" a="1"/>
  <c r="T7788" i="5" s="1"/>
  <c r="U7788" i="5" s="1"/>
  <c r="T7789" i="5" a="1"/>
  <c r="T7789" i="5" s="1"/>
  <c r="U7789" i="5" s="1"/>
  <c r="T7790" i="5" a="1"/>
  <c r="T7790" i="5" s="1"/>
  <c r="U7790" i="5" s="1"/>
  <c r="T7791" i="5" a="1"/>
  <c r="T7791" i="5" s="1"/>
  <c r="U7791" i="5" s="1"/>
  <c r="T7792" i="5" a="1"/>
  <c r="T7792" i="5" s="1"/>
  <c r="U7792" i="5" s="1"/>
  <c r="T7793" i="5" a="1"/>
  <c r="T7793" i="5" s="1"/>
  <c r="U7793" i="5" s="1"/>
  <c r="T7794" i="5" a="1"/>
  <c r="T7794" i="5" s="1"/>
  <c r="U7794" i="5" s="1"/>
  <c r="T7795" i="5" a="1"/>
  <c r="T7795" i="5" s="1"/>
  <c r="U7795" i="5" s="1"/>
  <c r="T7796" i="5" a="1"/>
  <c r="T7796" i="5" s="1"/>
  <c r="U7796" i="5" s="1"/>
  <c r="T7797" i="5" a="1"/>
  <c r="T7797" i="5" s="1"/>
  <c r="U7797" i="5" s="1"/>
  <c r="T7798" i="5" a="1"/>
  <c r="T7798" i="5" s="1"/>
  <c r="U7798" i="5" s="1"/>
  <c r="T7799" i="5" a="1"/>
  <c r="T7799" i="5" s="1"/>
  <c r="U7799" i="5" s="1"/>
  <c r="T7800" i="5" a="1"/>
  <c r="T7800" i="5" s="1"/>
  <c r="U7800" i="5" s="1"/>
  <c r="T7801" i="5" a="1"/>
  <c r="T7801" i="5" s="1"/>
  <c r="U7801" i="5" s="1"/>
  <c r="T7802" i="5" a="1"/>
  <c r="T7802" i="5" s="1"/>
  <c r="U7802" i="5" s="1"/>
  <c r="T7803" i="5" a="1"/>
  <c r="T7803" i="5" s="1"/>
  <c r="U7803" i="5" s="1"/>
  <c r="T7804" i="5" a="1"/>
  <c r="T7804" i="5" s="1"/>
  <c r="U7804" i="5" s="1"/>
  <c r="T7805" i="5" a="1"/>
  <c r="T7805" i="5" s="1"/>
  <c r="U7805" i="5" s="1"/>
  <c r="T7806" i="5" a="1"/>
  <c r="T7806" i="5" s="1"/>
  <c r="U7806" i="5" s="1"/>
  <c r="T7807" i="5" a="1"/>
  <c r="T7807" i="5" s="1"/>
  <c r="U7807" i="5" s="1"/>
  <c r="T7808" i="5" a="1"/>
  <c r="T7808" i="5" s="1"/>
  <c r="U7808" i="5" s="1"/>
  <c r="T7809" i="5" a="1"/>
  <c r="T7809" i="5" s="1"/>
  <c r="U7809" i="5" s="1"/>
  <c r="T7810" i="5" a="1"/>
  <c r="T7810" i="5" s="1"/>
  <c r="U7810" i="5" s="1"/>
  <c r="T7811" i="5" a="1"/>
  <c r="T7811" i="5" s="1"/>
  <c r="U7811" i="5" s="1"/>
  <c r="T7812" i="5" a="1"/>
  <c r="T7812" i="5" s="1"/>
  <c r="U7812" i="5" s="1"/>
  <c r="T7813" i="5" a="1"/>
  <c r="T7813" i="5" s="1"/>
  <c r="U7813" i="5" s="1"/>
  <c r="T7814" i="5" a="1"/>
  <c r="T7814" i="5" s="1"/>
  <c r="U7814" i="5" s="1"/>
  <c r="T7815" i="5" a="1"/>
  <c r="T7815" i="5" s="1"/>
  <c r="U7815" i="5" s="1"/>
  <c r="T7816" i="5" a="1"/>
  <c r="T7816" i="5" s="1"/>
  <c r="U7816" i="5" s="1"/>
  <c r="T7817" i="5" a="1"/>
  <c r="T7817" i="5" s="1"/>
  <c r="U7817" i="5" s="1"/>
  <c r="T7818" i="5" a="1"/>
  <c r="T7818" i="5" s="1"/>
  <c r="U7818" i="5" s="1"/>
  <c r="T7819" i="5" a="1"/>
  <c r="T7819" i="5" s="1"/>
  <c r="U7819" i="5" s="1"/>
  <c r="T7820" i="5" a="1"/>
  <c r="T7820" i="5" s="1"/>
  <c r="U7820" i="5" s="1"/>
  <c r="T7823" i="5" a="1"/>
  <c r="T7823" i="5" s="1"/>
  <c r="U7823" i="5" s="1"/>
  <c r="T7824" i="5" a="1"/>
  <c r="T7824" i="5" s="1"/>
  <c r="U7824" i="5" s="1"/>
  <c r="T7825" i="5" a="1"/>
  <c r="T7825" i="5" s="1"/>
  <c r="U7825" i="5" s="1"/>
  <c r="T7826" i="5" a="1"/>
  <c r="T7826" i="5" s="1"/>
  <c r="U7826" i="5" s="1"/>
  <c r="T7827" i="5" a="1"/>
  <c r="T7827" i="5" s="1"/>
  <c r="U7827" i="5" s="1"/>
  <c r="T7828" i="5" a="1"/>
  <c r="T7828" i="5" s="1"/>
  <c r="U7828" i="5" s="1"/>
  <c r="T7829" i="5" a="1"/>
  <c r="T7829" i="5" s="1"/>
  <c r="U7829" i="5" s="1"/>
  <c r="T7831" i="5" a="1"/>
  <c r="T7831" i="5" s="1"/>
  <c r="U7831" i="5" s="1"/>
  <c r="T7832" i="5" a="1"/>
  <c r="T7832" i="5" s="1"/>
  <c r="U7832" i="5" s="1"/>
  <c r="T7833" i="5" a="1"/>
  <c r="T7833" i="5" s="1"/>
  <c r="U7833" i="5" s="1"/>
  <c r="T7834" i="5" a="1"/>
  <c r="T7834" i="5" s="1"/>
  <c r="U7834" i="5" s="1"/>
  <c r="T7835" i="5" a="1"/>
  <c r="T7835" i="5" s="1"/>
  <c r="U7835" i="5" s="1"/>
  <c r="T7836" i="5" a="1"/>
  <c r="T7836" i="5" s="1"/>
  <c r="U7836" i="5" s="1"/>
  <c r="T7837" i="5" a="1"/>
  <c r="T7837" i="5" s="1"/>
  <c r="U7837" i="5" s="1"/>
  <c r="T7838" i="5" a="1"/>
  <c r="T7838" i="5" s="1"/>
  <c r="U7838" i="5" s="1"/>
  <c r="T7839" i="5" a="1"/>
  <c r="T7839" i="5" s="1"/>
  <c r="U7839" i="5" s="1"/>
  <c r="T7840" i="5" a="1"/>
  <c r="T7840" i="5" s="1"/>
  <c r="U7840" i="5" s="1"/>
  <c r="T7841" i="5" a="1"/>
  <c r="T7841" i="5" s="1"/>
  <c r="U7841" i="5" s="1"/>
  <c r="T7842" i="5" a="1"/>
  <c r="T7842" i="5" s="1"/>
  <c r="U7842" i="5" s="1"/>
  <c r="T7843" i="5" a="1"/>
  <c r="T7843" i="5" s="1"/>
  <c r="U7843" i="5" s="1"/>
  <c r="T7844" i="5" a="1"/>
  <c r="T7844" i="5" s="1"/>
  <c r="U7844" i="5" s="1"/>
  <c r="T7845" i="5" a="1"/>
  <c r="T7845" i="5" s="1"/>
  <c r="U7845" i="5" s="1"/>
  <c r="T7846" i="5" a="1"/>
  <c r="T7846" i="5" s="1"/>
  <c r="U7846" i="5" s="1"/>
  <c r="T7847" i="5" a="1"/>
  <c r="T7847" i="5" s="1"/>
  <c r="U7847" i="5" s="1"/>
  <c r="T7848" i="5" a="1"/>
  <c r="T7848" i="5" s="1"/>
  <c r="U7848" i="5" s="1"/>
  <c r="T7849" i="5" a="1"/>
  <c r="T7849" i="5" s="1"/>
  <c r="U7849" i="5" s="1"/>
  <c r="T7850" i="5" a="1"/>
  <c r="T7850" i="5" s="1"/>
  <c r="U7850" i="5" s="1"/>
  <c r="T7851" i="5" a="1"/>
  <c r="T7851" i="5" s="1"/>
  <c r="U7851" i="5" s="1"/>
  <c r="T7852" i="5" a="1"/>
  <c r="T7852" i="5" s="1"/>
  <c r="U7852" i="5" s="1"/>
  <c r="T7853" i="5" a="1"/>
  <c r="T7853" i="5" s="1"/>
  <c r="U7853" i="5" s="1"/>
  <c r="T7854" i="5" a="1"/>
  <c r="T7854" i="5" s="1"/>
  <c r="U7854" i="5" s="1"/>
  <c r="T7855" i="5" a="1"/>
  <c r="T7855" i="5" s="1"/>
  <c r="U7855" i="5" s="1"/>
  <c r="T7856" i="5" a="1"/>
  <c r="T7856" i="5" s="1"/>
  <c r="U7856" i="5" s="1"/>
  <c r="T7858" i="5" a="1"/>
  <c r="T7858" i="5" s="1"/>
  <c r="U7858" i="5" s="1"/>
  <c r="T7859" i="5" a="1"/>
  <c r="T7859" i="5" s="1"/>
  <c r="U7859" i="5" s="1"/>
  <c r="T7860" i="5" a="1"/>
  <c r="T7860" i="5" s="1"/>
  <c r="U7860" i="5" s="1"/>
  <c r="T7861" i="5" a="1"/>
  <c r="T7861" i="5" s="1"/>
  <c r="U7861" i="5" s="1"/>
  <c r="T7862" i="5" a="1"/>
  <c r="T7862" i="5" s="1"/>
  <c r="U7862" i="5" s="1"/>
  <c r="T7870" i="5" a="1"/>
  <c r="T7870" i="5" s="1"/>
  <c r="U7870" i="5" s="1"/>
  <c r="T7871" i="5" a="1"/>
  <c r="T7871" i="5" s="1"/>
  <c r="U7871" i="5" s="1"/>
  <c r="T7872" i="5" a="1"/>
  <c r="T7872" i="5" s="1"/>
  <c r="U7872" i="5" s="1"/>
  <c r="T7878" i="5" a="1"/>
  <c r="T7878" i="5" s="1"/>
  <c r="U7878" i="5" s="1"/>
  <c r="T7879" i="5" a="1"/>
  <c r="T7879" i="5" s="1"/>
  <c r="U7879" i="5" s="1"/>
  <c r="T7880" i="5" a="1"/>
  <c r="T7880" i="5" s="1"/>
  <c r="U7880" i="5" s="1"/>
  <c r="T7881" i="5" a="1"/>
  <c r="T7881" i="5" s="1"/>
  <c r="U7881" i="5" s="1"/>
  <c r="T7885" i="5" a="1"/>
  <c r="T7885" i="5" s="1"/>
  <c r="U7885" i="5" s="1"/>
  <c r="T7886" i="5" a="1"/>
  <c r="T7886" i="5" s="1"/>
  <c r="U7886" i="5" s="1"/>
  <c r="T7887" i="5" a="1"/>
  <c r="T7887" i="5" s="1"/>
  <c r="U7887" i="5" s="1"/>
  <c r="T7888" i="5" a="1"/>
  <c r="T7888" i="5" s="1"/>
  <c r="U7888" i="5" s="1"/>
  <c r="T7889" i="5" a="1"/>
  <c r="T7889" i="5" s="1"/>
  <c r="U7889" i="5" s="1"/>
  <c r="T7890" i="5" a="1"/>
  <c r="T7890" i="5" s="1"/>
  <c r="U7890" i="5" s="1"/>
  <c r="T7891" i="5" a="1"/>
  <c r="T7891" i="5" s="1"/>
  <c r="U7891" i="5" s="1"/>
  <c r="T7893" i="5" a="1"/>
  <c r="T7893" i="5" s="1"/>
  <c r="U7893" i="5" s="1"/>
  <c r="T7894" i="5" a="1"/>
  <c r="T7894" i="5" s="1"/>
  <c r="U7894" i="5" s="1"/>
  <c r="T7895" i="5" a="1"/>
  <c r="T7895" i="5" s="1"/>
  <c r="U7895" i="5" s="1"/>
  <c r="T7896" i="5" a="1"/>
  <c r="T7896" i="5" s="1"/>
  <c r="U7896" i="5" s="1"/>
  <c r="T7897" i="5" a="1"/>
  <c r="T7897" i="5" s="1"/>
  <c r="U7897" i="5" s="1"/>
  <c r="T7898" i="5" a="1"/>
  <c r="T7898" i="5" s="1"/>
  <c r="U7898" i="5" s="1"/>
  <c r="T7899" i="5" a="1"/>
  <c r="T7899" i="5" s="1"/>
  <c r="U7899" i="5" s="1"/>
  <c r="T7900" i="5" a="1"/>
  <c r="T7900" i="5" s="1"/>
  <c r="U7900" i="5" s="1"/>
  <c r="T7901" i="5" a="1"/>
  <c r="T7901" i="5" s="1"/>
  <c r="U7901" i="5" s="1"/>
  <c r="T7902" i="5" a="1"/>
  <c r="T7902" i="5" s="1"/>
  <c r="U7902" i="5" s="1"/>
  <c r="T7903" i="5" a="1"/>
  <c r="T7903" i="5" s="1"/>
  <c r="U7903" i="5" s="1"/>
  <c r="T7904" i="5" a="1"/>
  <c r="T7904" i="5" s="1"/>
  <c r="U7904" i="5" s="1"/>
  <c r="T7905" i="5" a="1"/>
  <c r="T7905" i="5" s="1"/>
  <c r="U7905" i="5" s="1"/>
  <c r="T7906" i="5" a="1"/>
  <c r="T7906" i="5" s="1"/>
  <c r="U7906" i="5" s="1"/>
  <c r="T7907" i="5" a="1"/>
  <c r="T7907" i="5" s="1"/>
  <c r="U7907" i="5" s="1"/>
  <c r="T7908" i="5" a="1"/>
  <c r="T7908" i="5" s="1"/>
  <c r="U7908" i="5" s="1"/>
  <c r="T7909" i="5" a="1"/>
  <c r="T7909" i="5" s="1"/>
  <c r="U7909" i="5" s="1"/>
  <c r="T7910" i="5" a="1"/>
  <c r="T7910" i="5" s="1"/>
  <c r="U7910" i="5" s="1"/>
  <c r="T7911" i="5" a="1"/>
  <c r="T7911" i="5" s="1"/>
  <c r="U7911" i="5" s="1"/>
  <c r="T7912" i="5" a="1"/>
  <c r="T7912" i="5" s="1"/>
  <c r="U7912" i="5" s="1"/>
  <c r="T7913" i="5" a="1"/>
  <c r="T7913" i="5" s="1"/>
  <c r="U7913" i="5" s="1"/>
  <c r="T7914" i="5" a="1"/>
  <c r="T7914" i="5" s="1"/>
  <c r="U7914" i="5" s="1"/>
  <c r="T7915" i="5" a="1"/>
  <c r="T7915" i="5" s="1"/>
  <c r="U7915" i="5" s="1"/>
  <c r="T7916" i="5" a="1"/>
  <c r="T7916" i="5" s="1"/>
  <c r="U7916" i="5" s="1"/>
  <c r="T7917" i="5" a="1"/>
  <c r="T7917" i="5" s="1"/>
  <c r="U7917" i="5" s="1"/>
  <c r="T7918" i="5" a="1"/>
  <c r="T7918" i="5" s="1"/>
  <c r="U7918" i="5" s="1"/>
  <c r="T7919" i="5" a="1"/>
  <c r="T7919" i="5" s="1"/>
  <c r="U7919" i="5" s="1"/>
  <c r="T7920" i="5" a="1"/>
  <c r="T7920" i="5" s="1"/>
  <c r="U7920" i="5" s="1"/>
  <c r="T7921" i="5" a="1"/>
  <c r="T7921" i="5" s="1"/>
  <c r="U7921" i="5" s="1"/>
  <c r="T7922" i="5" a="1"/>
  <c r="T7922" i="5" s="1"/>
  <c r="U7922" i="5" s="1"/>
  <c r="T7923" i="5" a="1"/>
  <c r="T7923" i="5" s="1"/>
  <c r="U7923" i="5" s="1"/>
  <c r="T7924" i="5" a="1"/>
  <c r="T7924" i="5" s="1"/>
  <c r="U7924" i="5" s="1"/>
  <c r="T7925" i="5" a="1"/>
  <c r="T7925" i="5" s="1"/>
  <c r="U7925" i="5" s="1"/>
  <c r="T7926" i="5" a="1"/>
  <c r="T7926" i="5" s="1"/>
  <c r="U7926" i="5" s="1"/>
  <c r="T7928" i="5" a="1"/>
  <c r="T7928" i="5" s="1"/>
  <c r="U7928" i="5" s="1"/>
  <c r="T7929" i="5" a="1"/>
  <c r="T7929" i="5" s="1"/>
  <c r="U7929" i="5" s="1"/>
  <c r="T7930" i="5" a="1"/>
  <c r="T7930" i="5" s="1"/>
  <c r="U7930" i="5" s="1"/>
  <c r="T7931" i="5" a="1"/>
  <c r="T7931" i="5" s="1"/>
  <c r="U7931" i="5" s="1"/>
  <c r="T7932" i="5" a="1"/>
  <c r="T7932" i="5" s="1"/>
  <c r="U7932" i="5" s="1"/>
  <c r="T7933" i="5" a="1"/>
  <c r="T7933" i="5" s="1"/>
  <c r="U7933" i="5" s="1"/>
  <c r="T7934" i="5" a="1"/>
  <c r="T7934" i="5" s="1"/>
  <c r="U7934" i="5" s="1"/>
  <c r="T7935" i="5" a="1"/>
  <c r="T7935" i="5" s="1"/>
  <c r="U7935" i="5" s="1"/>
  <c r="T7936" i="5" a="1"/>
  <c r="T7936" i="5" s="1"/>
  <c r="U7936" i="5" s="1"/>
  <c r="T7937" i="5" a="1"/>
  <c r="T7937" i="5" s="1"/>
  <c r="U7937" i="5" s="1"/>
  <c r="T7938" i="5" a="1"/>
  <c r="T7938" i="5" s="1"/>
  <c r="U7938" i="5" s="1"/>
  <c r="T7939" i="5" a="1"/>
  <c r="T7939" i="5" s="1"/>
  <c r="U7939" i="5" s="1"/>
  <c r="T7940" i="5" a="1"/>
  <c r="T7940" i="5" s="1"/>
  <c r="U7940" i="5" s="1"/>
  <c r="T7941" i="5" a="1"/>
  <c r="T7941" i="5" s="1"/>
  <c r="U7941" i="5" s="1"/>
  <c r="T7942" i="5" a="1"/>
  <c r="T7942" i="5" s="1"/>
  <c r="U7942" i="5" s="1"/>
  <c r="T7943" i="5" a="1"/>
  <c r="T7943" i="5" s="1"/>
  <c r="U7943" i="5" s="1"/>
  <c r="T7944" i="5" a="1"/>
  <c r="T7944" i="5" s="1"/>
  <c r="U7944" i="5" s="1"/>
  <c r="T7945" i="5" a="1"/>
  <c r="T7945" i="5" s="1"/>
  <c r="U7945" i="5" s="1"/>
  <c r="T7946" i="5" a="1"/>
  <c r="T7946" i="5" s="1"/>
  <c r="U7946" i="5" s="1"/>
  <c r="T7947" i="5" a="1"/>
  <c r="T7947" i="5" s="1"/>
  <c r="U7947" i="5" s="1"/>
  <c r="T7948" i="5" a="1"/>
  <c r="T7948" i="5" s="1"/>
  <c r="U7948" i="5" s="1"/>
  <c r="T7949" i="5" a="1"/>
  <c r="T7949" i="5" s="1"/>
  <c r="U7949" i="5" s="1"/>
  <c r="T7950" i="5" a="1"/>
  <c r="T7950" i="5" s="1"/>
  <c r="U7950" i="5" s="1"/>
  <c r="T7951" i="5" a="1"/>
  <c r="T7951" i="5" s="1"/>
  <c r="U7951" i="5" s="1"/>
  <c r="T7952" i="5" a="1"/>
  <c r="T7952" i="5" s="1"/>
  <c r="U7952" i="5" s="1"/>
  <c r="T7953" i="5" a="1"/>
  <c r="T7953" i="5" s="1"/>
  <c r="U7953" i="5" s="1"/>
  <c r="T7954" i="5" a="1"/>
  <c r="T7954" i="5" s="1"/>
  <c r="U7954" i="5" s="1"/>
  <c r="T7955" i="5" a="1"/>
  <c r="T7955" i="5" s="1"/>
  <c r="U7955" i="5" s="1"/>
  <c r="T7956" i="5" a="1"/>
  <c r="T7956" i="5" s="1"/>
  <c r="U7956" i="5" s="1"/>
  <c r="T7957" i="5" a="1"/>
  <c r="T7957" i="5" s="1"/>
  <c r="U7957" i="5" s="1"/>
  <c r="T7958" i="5" a="1"/>
  <c r="T7958" i="5" s="1"/>
  <c r="U7958" i="5" s="1"/>
  <c r="T7959" i="5" a="1"/>
  <c r="T7959" i="5" s="1"/>
  <c r="U7959" i="5" s="1"/>
  <c r="T7960" i="5" a="1"/>
  <c r="T7960" i="5" s="1"/>
  <c r="U7960" i="5" s="1"/>
  <c r="T7961" i="5" a="1"/>
  <c r="T7961" i="5" s="1"/>
  <c r="U7961" i="5" s="1"/>
  <c r="T7962" i="5" a="1"/>
  <c r="T7962" i="5" s="1"/>
  <c r="U7962" i="5" s="1"/>
  <c r="T7963" i="5" a="1"/>
  <c r="T7963" i="5" s="1"/>
  <c r="U7963" i="5" s="1"/>
  <c r="T7964" i="5" a="1"/>
  <c r="T7964" i="5" s="1"/>
  <c r="U7964" i="5" s="1"/>
  <c r="T7965" i="5" a="1"/>
  <c r="T7965" i="5" s="1"/>
  <c r="U7965" i="5" s="1"/>
  <c r="T7966" i="5" a="1"/>
  <c r="T7966" i="5" s="1"/>
  <c r="U7966" i="5" s="1"/>
  <c r="T7967" i="5" a="1"/>
  <c r="T7967" i="5" s="1"/>
  <c r="U7967" i="5" s="1"/>
  <c r="T7968" i="5" a="1"/>
  <c r="T7968" i="5" s="1"/>
  <c r="U7968" i="5" s="1"/>
  <c r="T7969" i="5" a="1"/>
  <c r="T7969" i="5" s="1"/>
  <c r="U7969" i="5" s="1"/>
  <c r="T7970" i="5" a="1"/>
  <c r="T7970" i="5" s="1"/>
  <c r="U7970" i="5" s="1"/>
  <c r="T7971" i="5" a="1"/>
  <c r="T7971" i="5" s="1"/>
  <c r="U7971" i="5" s="1"/>
  <c r="T7972" i="5" a="1"/>
  <c r="T7972" i="5" s="1"/>
  <c r="U7972" i="5" s="1"/>
  <c r="T7973" i="5" a="1"/>
  <c r="T7973" i="5" s="1"/>
  <c r="U7973" i="5" s="1"/>
  <c r="T7974" i="5" a="1"/>
  <c r="T7974" i="5" s="1"/>
  <c r="U7974" i="5" s="1"/>
  <c r="T7975" i="5" a="1"/>
  <c r="T7975" i="5" s="1"/>
  <c r="U7975" i="5" s="1"/>
  <c r="T7976" i="5" a="1"/>
  <c r="T7976" i="5" s="1"/>
  <c r="U7976" i="5" s="1"/>
  <c r="T7977" i="5" a="1"/>
  <c r="T7977" i="5" s="1"/>
  <c r="U7977" i="5" s="1"/>
  <c r="T7978" i="5" a="1"/>
  <c r="T7978" i="5" s="1"/>
  <c r="U7978" i="5" s="1"/>
  <c r="T7979" i="5" a="1"/>
  <c r="T7979" i="5" s="1"/>
  <c r="U7979" i="5" s="1"/>
  <c r="T7980" i="5" a="1"/>
  <c r="T7980" i="5" s="1"/>
  <c r="U7980" i="5" s="1"/>
  <c r="T7981" i="5" a="1"/>
  <c r="T7981" i="5" s="1"/>
  <c r="U7981" i="5" s="1"/>
  <c r="T7982" i="5" a="1"/>
  <c r="T7982" i="5" s="1"/>
  <c r="U7982" i="5" s="1"/>
  <c r="T7983" i="5" a="1"/>
  <c r="T7983" i="5" s="1"/>
  <c r="U7983" i="5" s="1"/>
  <c r="T7984" i="5" a="1"/>
  <c r="T7984" i="5" s="1"/>
  <c r="U7984" i="5" s="1"/>
  <c r="T7985" i="5" a="1"/>
  <c r="T7985" i="5" s="1"/>
  <c r="U7985" i="5" s="1"/>
  <c r="T7986" i="5" a="1"/>
  <c r="T7986" i="5" s="1"/>
  <c r="U7986" i="5" s="1"/>
  <c r="T7987" i="5" a="1"/>
  <c r="T7987" i="5" s="1"/>
  <c r="U7987" i="5" s="1"/>
  <c r="T7988" i="5" a="1"/>
  <c r="T7988" i="5" s="1"/>
  <c r="U7988" i="5" s="1"/>
  <c r="T7989" i="5" a="1"/>
  <c r="T7989" i="5" s="1"/>
  <c r="U7989" i="5" s="1"/>
  <c r="T7990" i="5" a="1"/>
  <c r="T7990" i="5" s="1"/>
  <c r="U7990" i="5" s="1"/>
  <c r="T7991" i="5" a="1"/>
  <c r="T7991" i="5" s="1"/>
  <c r="U7991" i="5" s="1"/>
  <c r="T7992" i="5" a="1"/>
  <c r="T7992" i="5" s="1"/>
  <c r="U7992" i="5" s="1"/>
  <c r="T7993" i="5" a="1"/>
  <c r="T7993" i="5" s="1"/>
  <c r="U7993" i="5" s="1"/>
  <c r="T7994" i="5" a="1"/>
  <c r="T7994" i="5" s="1"/>
  <c r="U7994" i="5" s="1"/>
  <c r="T7996" i="5" a="1"/>
  <c r="T7996" i="5" s="1"/>
  <c r="U7996" i="5" s="1"/>
  <c r="T7997" i="5" a="1"/>
  <c r="T7997" i="5" s="1"/>
  <c r="U7997" i="5" s="1"/>
  <c r="T7998" i="5" a="1"/>
  <c r="T7998" i="5" s="1"/>
  <c r="U7998" i="5" s="1"/>
  <c r="T7999" i="5" a="1"/>
  <c r="T7999" i="5" s="1"/>
  <c r="U7999" i="5" s="1"/>
  <c r="T8000" i="5" a="1"/>
  <c r="T8000" i="5" s="1"/>
  <c r="U8000" i="5" s="1"/>
  <c r="T8001" i="5" a="1"/>
  <c r="T8001" i="5" s="1"/>
  <c r="U8001" i="5" s="1"/>
  <c r="T8002" i="5" a="1"/>
  <c r="T8002" i="5" s="1"/>
  <c r="U8002" i="5" s="1"/>
  <c r="T8003" i="5" a="1"/>
  <c r="T8003" i="5" s="1"/>
  <c r="U8003" i="5" s="1"/>
  <c r="T8004" i="5" a="1"/>
  <c r="T8004" i="5" s="1"/>
  <c r="U8004" i="5" s="1"/>
  <c r="T8005" i="5" a="1"/>
  <c r="T8005" i="5" s="1"/>
  <c r="U8005" i="5" s="1"/>
  <c r="T8006" i="5" a="1"/>
  <c r="T8006" i="5" s="1"/>
  <c r="U8006" i="5" s="1"/>
  <c r="T8007" i="5" a="1"/>
  <c r="T8007" i="5" s="1"/>
  <c r="U8007" i="5" s="1"/>
  <c r="T8008" i="5" a="1"/>
  <c r="T8008" i="5" s="1"/>
  <c r="U8008" i="5" s="1"/>
  <c r="T8010" i="5" a="1"/>
  <c r="T8010" i="5" s="1"/>
  <c r="U8010" i="5" s="1"/>
  <c r="T8011" i="5" a="1"/>
  <c r="T8011" i="5" s="1"/>
  <c r="U8011" i="5" s="1"/>
  <c r="T8012" i="5" a="1"/>
  <c r="T8012" i="5" s="1"/>
  <c r="U8012" i="5" s="1"/>
  <c r="T8013" i="5" a="1"/>
  <c r="T8013" i="5" s="1"/>
  <c r="U8013" i="5" s="1"/>
  <c r="T8014" i="5" a="1"/>
  <c r="T8014" i="5" s="1"/>
  <c r="U8014" i="5" s="1"/>
  <c r="T8015" i="5" a="1"/>
  <c r="T8015" i="5" s="1"/>
  <c r="U8015" i="5" s="1"/>
  <c r="T8016" i="5" a="1"/>
  <c r="T8016" i="5" s="1"/>
  <c r="U8016" i="5" s="1"/>
  <c r="T8017" i="5" a="1"/>
  <c r="T8017" i="5" s="1"/>
  <c r="U8017" i="5" s="1"/>
  <c r="T8018" i="5" a="1"/>
  <c r="T8018" i="5" s="1"/>
  <c r="U8018" i="5" s="1"/>
  <c r="T8019" i="5" a="1"/>
  <c r="T8019" i="5" s="1"/>
  <c r="U8019" i="5" s="1"/>
  <c r="T8020" i="5" a="1"/>
  <c r="T8020" i="5" s="1"/>
  <c r="U8020" i="5" s="1"/>
  <c r="T8021" i="5" a="1"/>
  <c r="T8021" i="5" s="1"/>
  <c r="U8021" i="5" s="1"/>
  <c r="T8022" i="5" a="1"/>
  <c r="T8022" i="5" s="1"/>
  <c r="U8022" i="5" s="1"/>
  <c r="T8023" i="5" a="1"/>
  <c r="T8023" i="5" s="1"/>
  <c r="U8023" i="5" s="1"/>
  <c r="T8024" i="5" a="1"/>
  <c r="T8024" i="5" s="1"/>
  <c r="U8024" i="5" s="1"/>
  <c r="T8025" i="5" a="1"/>
  <c r="T8025" i="5" s="1"/>
  <c r="U8025" i="5" s="1"/>
  <c r="T8026" i="5" a="1"/>
  <c r="T8026" i="5" s="1"/>
  <c r="U8026" i="5" s="1"/>
  <c r="T8027" i="5" a="1"/>
  <c r="T8027" i="5" s="1"/>
  <c r="U8027" i="5" s="1"/>
  <c r="T8028" i="5" a="1"/>
  <c r="T8028" i="5" s="1"/>
  <c r="U8028" i="5" s="1"/>
  <c r="T8029" i="5" a="1"/>
  <c r="T8029" i="5" s="1"/>
  <c r="U8029" i="5" s="1"/>
  <c r="T8030" i="5" a="1"/>
  <c r="T8030" i="5" s="1"/>
  <c r="U8030" i="5" s="1"/>
  <c r="T8031" i="5" a="1"/>
  <c r="T8031" i="5" s="1"/>
  <c r="U8031" i="5" s="1"/>
  <c r="T8032" i="5" a="1"/>
  <c r="T8032" i="5" s="1"/>
  <c r="U8032" i="5" s="1"/>
  <c r="T8033" i="5" a="1"/>
  <c r="T8033" i="5" s="1"/>
  <c r="U8033" i="5" s="1"/>
  <c r="T8034" i="5" a="1"/>
  <c r="T8034" i="5" s="1"/>
  <c r="U8034" i="5" s="1"/>
  <c r="T8035" i="5" a="1"/>
  <c r="T8035" i="5" s="1"/>
  <c r="U8035" i="5" s="1"/>
  <c r="T8036" i="5" a="1"/>
  <c r="T8036" i="5" s="1"/>
  <c r="U8036" i="5" s="1"/>
  <c r="T8037" i="5" a="1"/>
  <c r="T8037" i="5" s="1"/>
  <c r="U8037" i="5" s="1"/>
  <c r="T8038" i="5" a="1"/>
  <c r="T8038" i="5" s="1"/>
  <c r="U8038" i="5" s="1"/>
  <c r="T8039" i="5" a="1"/>
  <c r="T8039" i="5" s="1"/>
  <c r="U8039" i="5" s="1"/>
  <c r="T8040" i="5" a="1"/>
  <c r="T8040" i="5" s="1"/>
  <c r="U8040" i="5" s="1"/>
  <c r="T8041" i="5" a="1"/>
  <c r="T8041" i="5" s="1"/>
  <c r="U8041" i="5" s="1"/>
  <c r="T8042" i="5" a="1"/>
  <c r="T8042" i="5" s="1"/>
  <c r="U8042" i="5" s="1"/>
  <c r="T8043" i="5" a="1"/>
  <c r="T8043" i="5" s="1"/>
  <c r="U8043" i="5" s="1"/>
  <c r="T8044" i="5" a="1"/>
  <c r="T8044" i="5" s="1"/>
  <c r="U8044" i="5" s="1"/>
  <c r="T8045" i="5" a="1"/>
  <c r="T8045" i="5" s="1"/>
  <c r="U8045" i="5" s="1"/>
  <c r="T8046" i="5" a="1"/>
  <c r="T8046" i="5" s="1"/>
  <c r="U8046" i="5" s="1"/>
  <c r="T8047" i="5" a="1"/>
  <c r="T8047" i="5" s="1"/>
  <c r="U8047" i="5" s="1"/>
  <c r="T8048" i="5" a="1"/>
  <c r="T8048" i="5" s="1"/>
  <c r="U8048" i="5" s="1"/>
  <c r="T8049" i="5" a="1"/>
  <c r="T8049" i="5" s="1"/>
  <c r="U8049" i="5" s="1"/>
  <c r="T8050" i="5" a="1"/>
  <c r="T8050" i="5" s="1"/>
  <c r="U8050" i="5" s="1"/>
  <c r="T8051" i="5" a="1"/>
  <c r="T8051" i="5" s="1"/>
  <c r="U8051" i="5" s="1"/>
  <c r="T8052" i="5" a="1"/>
  <c r="T8052" i="5" s="1"/>
  <c r="U8052" i="5" s="1"/>
  <c r="T8053" i="5" a="1"/>
  <c r="T8053" i="5" s="1"/>
  <c r="U8053" i="5" s="1"/>
  <c r="T8054" i="5" a="1"/>
  <c r="T8054" i="5" s="1"/>
  <c r="U8054" i="5" s="1"/>
  <c r="T8055" i="5" a="1"/>
  <c r="T8055" i="5" s="1"/>
  <c r="U8055" i="5" s="1"/>
  <c r="T8056" i="5" a="1"/>
  <c r="T8056" i="5" s="1"/>
  <c r="U8056" i="5" s="1"/>
  <c r="T8057" i="5" a="1"/>
  <c r="T8057" i="5" s="1"/>
  <c r="U8057" i="5" s="1"/>
  <c r="T8058" i="5" a="1"/>
  <c r="T8058" i="5" s="1"/>
  <c r="U8058" i="5" s="1"/>
  <c r="T8059" i="5" a="1"/>
  <c r="T8059" i="5" s="1"/>
  <c r="U8059" i="5" s="1"/>
  <c r="T8060" i="5" a="1"/>
  <c r="T8060" i="5" s="1"/>
  <c r="U8060" i="5" s="1"/>
  <c r="T8061" i="5" a="1"/>
  <c r="T8061" i="5" s="1"/>
  <c r="U8061" i="5" s="1"/>
  <c r="T8062" i="5" a="1"/>
  <c r="T8062" i="5" s="1"/>
  <c r="U8062" i="5" s="1"/>
  <c r="T8063" i="5" a="1"/>
  <c r="T8063" i="5" s="1"/>
  <c r="U8063" i="5" s="1"/>
  <c r="T8064" i="5" a="1"/>
  <c r="T8064" i="5" s="1"/>
  <c r="U8064" i="5" s="1"/>
  <c r="T8065" i="5" a="1"/>
  <c r="T8065" i="5" s="1"/>
  <c r="U8065" i="5" s="1"/>
  <c r="T8066" i="5" a="1"/>
  <c r="T8066" i="5" s="1"/>
  <c r="U8066" i="5" s="1"/>
  <c r="T8067" i="5" a="1"/>
  <c r="T8067" i="5" s="1"/>
  <c r="U8067" i="5" s="1"/>
  <c r="T8068" i="5" a="1"/>
  <c r="T8068" i="5" s="1"/>
  <c r="U8068" i="5" s="1"/>
  <c r="T8069" i="5" a="1"/>
  <c r="T8069" i="5" s="1"/>
  <c r="U8069" i="5" s="1"/>
  <c r="T8070" i="5" a="1"/>
  <c r="T8070" i="5" s="1"/>
  <c r="U8070" i="5" s="1"/>
  <c r="T8071" i="5" a="1"/>
  <c r="T8071" i="5" s="1"/>
  <c r="U8071" i="5" s="1"/>
  <c r="T8072" i="5" a="1"/>
  <c r="T8072" i="5" s="1"/>
  <c r="U8072" i="5" s="1"/>
  <c r="T8073" i="5" a="1"/>
  <c r="T8073" i="5" s="1"/>
  <c r="U8073" i="5" s="1"/>
  <c r="T8074" i="5" a="1"/>
  <c r="T8074" i="5" s="1"/>
  <c r="U8074" i="5" s="1"/>
  <c r="T8075" i="5" a="1"/>
  <c r="T8075" i="5" s="1"/>
  <c r="U8075" i="5" s="1"/>
  <c r="T8076" i="5" a="1"/>
  <c r="T8076" i="5" s="1"/>
  <c r="U8076" i="5" s="1"/>
  <c r="T8077" i="5" a="1"/>
  <c r="T8077" i="5" s="1"/>
  <c r="U8077" i="5" s="1"/>
  <c r="T8078" i="5" a="1"/>
  <c r="T8078" i="5" s="1"/>
  <c r="U8078" i="5" s="1"/>
  <c r="T8079" i="5" a="1"/>
  <c r="T8079" i="5" s="1"/>
  <c r="U8079" i="5" s="1"/>
  <c r="T8080" i="5" a="1"/>
  <c r="T8080" i="5" s="1"/>
  <c r="U8080" i="5" s="1"/>
  <c r="T8081" i="5" a="1"/>
  <c r="T8081" i="5" s="1"/>
  <c r="U8081" i="5" s="1"/>
  <c r="T8082" i="5" a="1"/>
  <c r="T8082" i="5" s="1"/>
  <c r="U8082" i="5" s="1"/>
  <c r="T8083" i="5" a="1"/>
  <c r="T8083" i="5" s="1"/>
  <c r="U8083" i="5" s="1"/>
  <c r="T8084" i="5" a="1"/>
  <c r="T8084" i="5" s="1"/>
  <c r="U8084" i="5" s="1"/>
  <c r="T8085" i="5" a="1"/>
  <c r="T8085" i="5" s="1"/>
  <c r="U8085" i="5" s="1"/>
  <c r="T8086" i="5" a="1"/>
  <c r="T8086" i="5" s="1"/>
  <c r="U8086" i="5" s="1"/>
  <c r="T8087" i="5" a="1"/>
  <c r="T8087" i="5" s="1"/>
  <c r="U8087" i="5" s="1"/>
  <c r="T8088" i="5" a="1"/>
  <c r="T8088" i="5" s="1"/>
  <c r="U8088" i="5" s="1"/>
  <c r="T8089" i="5" a="1"/>
  <c r="T8089" i="5" s="1"/>
  <c r="U8089" i="5" s="1"/>
  <c r="T8090" i="5" a="1"/>
  <c r="T8090" i="5" s="1"/>
  <c r="U8090" i="5" s="1"/>
  <c r="T8091" i="5" a="1"/>
  <c r="T8091" i="5" s="1"/>
  <c r="U8091" i="5" s="1"/>
  <c r="T8092" i="5" a="1"/>
  <c r="T8092" i="5" s="1"/>
  <c r="U8092" i="5" s="1"/>
  <c r="T8093" i="5" a="1"/>
  <c r="T8093" i="5" s="1"/>
  <c r="U8093" i="5" s="1"/>
  <c r="T8094" i="5" a="1"/>
  <c r="T8094" i="5" s="1"/>
  <c r="U8094" i="5" s="1"/>
  <c r="T8095" i="5" a="1"/>
  <c r="T8095" i="5" s="1"/>
  <c r="U8095" i="5" s="1"/>
  <c r="T8096" i="5" a="1"/>
  <c r="T8096" i="5" s="1"/>
  <c r="U8096" i="5" s="1"/>
  <c r="T8097" i="5" a="1"/>
  <c r="T8097" i="5" s="1"/>
  <c r="U8097" i="5" s="1"/>
  <c r="T8098" i="5" a="1"/>
  <c r="T8098" i="5" s="1"/>
  <c r="U8098" i="5" s="1"/>
  <c r="T8099" i="5" a="1"/>
  <c r="T8099" i="5" s="1"/>
  <c r="U8099" i="5" s="1"/>
  <c r="T8100" i="5" a="1"/>
  <c r="T8100" i="5" s="1"/>
  <c r="U8100" i="5" s="1"/>
  <c r="T8101" i="5" a="1"/>
  <c r="T8101" i="5" s="1"/>
  <c r="U8101" i="5" s="1"/>
  <c r="T8102" i="5" a="1"/>
  <c r="T8102" i="5" s="1"/>
  <c r="U8102" i="5" s="1"/>
  <c r="T8103" i="5" a="1"/>
  <c r="T8103" i="5" s="1"/>
  <c r="U8103" i="5" s="1"/>
  <c r="T8104" i="5" a="1"/>
  <c r="T8104" i="5" s="1"/>
  <c r="U8104" i="5" s="1"/>
  <c r="T8105" i="5" a="1"/>
  <c r="T8105" i="5" s="1"/>
  <c r="U8105" i="5" s="1"/>
  <c r="T8106" i="5" a="1"/>
  <c r="T8106" i="5" s="1"/>
  <c r="U8106" i="5" s="1"/>
  <c r="T8107" i="5" a="1"/>
  <c r="T8107" i="5" s="1"/>
  <c r="U8107" i="5" s="1"/>
  <c r="T8108" i="5" a="1"/>
  <c r="T8108" i="5" s="1"/>
  <c r="U8108" i="5" s="1"/>
  <c r="T8109" i="5" a="1"/>
  <c r="T8109" i="5" s="1"/>
  <c r="U8109" i="5" s="1"/>
  <c r="T8110" i="5" a="1"/>
  <c r="T8110" i="5" s="1"/>
  <c r="U8110" i="5" s="1"/>
  <c r="T8111" i="5" a="1"/>
  <c r="T8111" i="5" s="1"/>
  <c r="U8111" i="5" s="1"/>
  <c r="T8112" i="5" a="1"/>
  <c r="T8112" i="5" s="1"/>
  <c r="U8112" i="5" s="1"/>
  <c r="T8113" i="5" a="1"/>
  <c r="T8113" i="5" s="1"/>
  <c r="U8113" i="5" s="1"/>
  <c r="T8114" i="5" a="1"/>
  <c r="T8114" i="5" s="1"/>
  <c r="U8114" i="5" s="1"/>
  <c r="T8115" i="5" a="1"/>
  <c r="T8115" i="5" s="1"/>
  <c r="U8115" i="5" s="1"/>
  <c r="T8116" i="5" a="1"/>
  <c r="T8116" i="5" s="1"/>
  <c r="U8116" i="5" s="1"/>
  <c r="T8117" i="5" a="1"/>
  <c r="T8117" i="5" s="1"/>
  <c r="U8117" i="5" s="1"/>
  <c r="T8118" i="5" a="1"/>
  <c r="T8118" i="5" s="1"/>
  <c r="U8118" i="5" s="1"/>
  <c r="T8119" i="5" a="1"/>
  <c r="T8119" i="5" s="1"/>
  <c r="U8119" i="5" s="1"/>
  <c r="T8120" i="5" a="1"/>
  <c r="T8120" i="5" s="1"/>
  <c r="U8120" i="5" s="1"/>
  <c r="T8121" i="5" a="1"/>
  <c r="T8121" i="5" s="1"/>
  <c r="U8121" i="5" s="1"/>
  <c r="T8122" i="5" a="1"/>
  <c r="T8122" i="5" s="1"/>
  <c r="U8122" i="5" s="1"/>
  <c r="T8123" i="5" a="1"/>
  <c r="T8123" i="5" s="1"/>
  <c r="U8123" i="5" s="1"/>
  <c r="T8128" i="5" a="1"/>
  <c r="T8128" i="5" s="1"/>
  <c r="U8128" i="5" s="1"/>
  <c r="T8135" i="5" a="1"/>
  <c r="T8135" i="5" s="1"/>
  <c r="U8135" i="5" s="1"/>
  <c r="T8136" i="5" a="1"/>
  <c r="T8136" i="5" s="1"/>
  <c r="U8136" i="5" s="1"/>
  <c r="T8137" i="5" a="1"/>
  <c r="T8137" i="5" s="1"/>
  <c r="U8137" i="5" s="1"/>
  <c r="T8138" i="5" a="1"/>
  <c r="T8138" i="5" s="1"/>
  <c r="U8138" i="5" s="1"/>
  <c r="T8139" i="5" a="1"/>
  <c r="T8139" i="5" s="1"/>
  <c r="U8139" i="5" s="1"/>
  <c r="T8140" i="5" a="1"/>
  <c r="T8140" i="5" s="1"/>
  <c r="U8140" i="5" s="1"/>
  <c r="T8141" i="5" a="1"/>
  <c r="T8141" i="5" s="1"/>
  <c r="U8141" i="5" s="1"/>
  <c r="T8142" i="5" a="1"/>
  <c r="T8142" i="5" s="1"/>
  <c r="U8142" i="5" s="1"/>
  <c r="T8143" i="5" a="1"/>
  <c r="T8143" i="5" s="1"/>
  <c r="U8143" i="5" s="1"/>
  <c r="T8144" i="5" a="1"/>
  <c r="T8144" i="5" s="1"/>
  <c r="U8144" i="5" s="1"/>
  <c r="T8145" i="5" a="1"/>
  <c r="T8145" i="5" s="1"/>
  <c r="U8145" i="5" s="1"/>
  <c r="T8146" i="5" a="1"/>
  <c r="T8146" i="5" s="1"/>
  <c r="U8146" i="5" s="1"/>
  <c r="T8147" i="5" a="1"/>
  <c r="T8147" i="5" s="1"/>
  <c r="U8147" i="5" s="1"/>
  <c r="T8148" i="5" a="1"/>
  <c r="T8148" i="5" s="1"/>
  <c r="U8148" i="5" s="1"/>
  <c r="T8149" i="5" a="1"/>
  <c r="T8149" i="5" s="1"/>
  <c r="U8149" i="5" s="1"/>
  <c r="T8150" i="5" a="1"/>
  <c r="T8150" i="5" s="1"/>
  <c r="U8150" i="5" s="1"/>
  <c r="T8151" i="5" a="1"/>
  <c r="T8151" i="5" s="1"/>
  <c r="U8151" i="5" s="1"/>
  <c r="T8152" i="5" a="1"/>
  <c r="T8152" i="5" s="1"/>
  <c r="U8152" i="5" s="1"/>
  <c r="T8153" i="5" a="1"/>
  <c r="T8153" i="5" s="1"/>
  <c r="U8153" i="5" s="1"/>
  <c r="T8154" i="5" a="1"/>
  <c r="T8154" i="5" s="1"/>
  <c r="U8154" i="5" s="1"/>
  <c r="T8155" i="5" a="1"/>
  <c r="T8155" i="5" s="1"/>
  <c r="U8155" i="5" s="1"/>
  <c r="T8156" i="5" a="1"/>
  <c r="T8156" i="5" s="1"/>
  <c r="U8156" i="5" s="1"/>
  <c r="T8157" i="5" a="1"/>
  <c r="T8157" i="5" s="1"/>
  <c r="U8157" i="5" s="1"/>
  <c r="T8158" i="5" a="1"/>
  <c r="T8158" i="5" s="1"/>
  <c r="U8158" i="5" s="1"/>
  <c r="T8159" i="5" a="1"/>
  <c r="T8159" i="5" s="1"/>
  <c r="U8159" i="5" s="1"/>
  <c r="T8160" i="5" a="1"/>
  <c r="T8160" i="5" s="1"/>
  <c r="U8160" i="5" s="1"/>
  <c r="T8161" i="5" a="1"/>
  <c r="T8161" i="5" s="1"/>
  <c r="U8161" i="5" s="1"/>
  <c r="T8162" i="5" a="1"/>
  <c r="T8162" i="5" s="1"/>
  <c r="U8162" i="5" s="1"/>
  <c r="T8163" i="5" a="1"/>
  <c r="T8163" i="5" s="1"/>
  <c r="U8163" i="5" s="1"/>
  <c r="T8164" i="5" a="1"/>
  <c r="T8164" i="5" s="1"/>
  <c r="U8164" i="5" s="1"/>
  <c r="T8165" i="5" a="1"/>
  <c r="T8165" i="5" s="1"/>
  <c r="U8165" i="5" s="1"/>
  <c r="T8166" i="5" a="1"/>
  <c r="T8166" i="5" s="1"/>
  <c r="U8166" i="5" s="1"/>
  <c r="T8167" i="5" a="1"/>
  <c r="T8167" i="5" s="1"/>
  <c r="U8167" i="5" s="1"/>
  <c r="T8168" i="5" a="1"/>
  <c r="T8168" i="5" s="1"/>
  <c r="U8168" i="5" s="1"/>
  <c r="T8169" i="5" a="1"/>
  <c r="T8169" i="5" s="1"/>
  <c r="U8169" i="5" s="1"/>
  <c r="T8170" i="5" a="1"/>
  <c r="T8170" i="5" s="1"/>
  <c r="U8170" i="5" s="1"/>
  <c r="T8171" i="5" a="1"/>
  <c r="T8171" i="5" s="1"/>
  <c r="U8171" i="5" s="1"/>
  <c r="T8172" i="5" a="1"/>
  <c r="T8172" i="5" s="1"/>
  <c r="U8172" i="5" s="1"/>
  <c r="T8173" i="5" a="1"/>
  <c r="T8173" i="5" s="1"/>
  <c r="U8173" i="5" s="1"/>
  <c r="T8174" i="5" a="1"/>
  <c r="T8174" i="5" s="1"/>
  <c r="U8174" i="5" s="1"/>
  <c r="T8175" i="5" a="1"/>
  <c r="T8175" i="5" s="1"/>
  <c r="U8175" i="5" s="1"/>
  <c r="T8176" i="5" a="1"/>
  <c r="T8176" i="5" s="1"/>
  <c r="U8176" i="5" s="1"/>
  <c r="T8177" i="5" a="1"/>
  <c r="T8177" i="5" s="1"/>
  <c r="U8177" i="5" s="1"/>
  <c r="T8178" i="5" a="1"/>
  <c r="T8178" i="5" s="1"/>
  <c r="U8178" i="5" s="1"/>
  <c r="T8179" i="5" a="1"/>
  <c r="T8179" i="5" s="1"/>
  <c r="U8179" i="5" s="1"/>
  <c r="T8180" i="5" a="1"/>
  <c r="T8180" i="5" s="1"/>
  <c r="U8180" i="5" s="1"/>
  <c r="T8181" i="5" a="1"/>
  <c r="T8181" i="5" s="1"/>
  <c r="U8181" i="5" s="1"/>
  <c r="T8182" i="5" a="1"/>
  <c r="T8182" i="5" s="1"/>
  <c r="U8182" i="5" s="1"/>
  <c r="T8183" i="5" a="1"/>
  <c r="T8183" i="5" s="1"/>
  <c r="U8183" i="5" s="1"/>
  <c r="T8184" i="5" a="1"/>
  <c r="T8184" i="5" s="1"/>
  <c r="U8184" i="5" s="1"/>
  <c r="T8185" i="5" a="1"/>
  <c r="T8185" i="5" s="1"/>
  <c r="U8185" i="5" s="1"/>
  <c r="T8186" i="5" a="1"/>
  <c r="T8186" i="5" s="1"/>
  <c r="U8186" i="5" s="1"/>
  <c r="T8187" i="5" a="1"/>
  <c r="T8187" i="5" s="1"/>
  <c r="U8187" i="5" s="1"/>
  <c r="T8188" i="5" a="1"/>
  <c r="T8188" i="5" s="1"/>
  <c r="U8188" i="5" s="1"/>
  <c r="T8189" i="5" a="1"/>
  <c r="T8189" i="5" s="1"/>
  <c r="U8189" i="5" s="1"/>
  <c r="T8190" i="5" a="1"/>
  <c r="T8190" i="5" s="1"/>
  <c r="U8190" i="5" s="1"/>
  <c r="T8191" i="5" a="1"/>
  <c r="T8191" i="5" s="1"/>
  <c r="U8191" i="5" s="1"/>
  <c r="T8192" i="5" a="1"/>
  <c r="T8192" i="5" s="1"/>
  <c r="U8192" i="5" s="1"/>
  <c r="T8193" i="5" a="1"/>
  <c r="T8193" i="5" s="1"/>
  <c r="U8193" i="5" s="1"/>
  <c r="T8195" i="5" a="1"/>
  <c r="T8195" i="5" s="1"/>
  <c r="U8195" i="5" s="1"/>
  <c r="T8198" i="5" a="1"/>
  <c r="T8198" i="5" s="1"/>
  <c r="U8198" i="5" s="1"/>
  <c r="T8203" i="5" a="1"/>
  <c r="T8203" i="5" s="1"/>
  <c r="U8203" i="5" s="1"/>
  <c r="T8205" i="5" a="1"/>
  <c r="T8205" i="5" s="1"/>
  <c r="U8205" i="5" s="1"/>
  <c r="T8206" i="5" a="1"/>
  <c r="T8206" i="5" s="1"/>
  <c r="U8206" i="5" s="1"/>
  <c r="T8207" i="5" a="1"/>
  <c r="T8207" i="5" s="1"/>
  <c r="U8207" i="5" s="1"/>
  <c r="T8208" i="5" a="1"/>
  <c r="T8208" i="5" s="1"/>
  <c r="U8208" i="5" s="1"/>
  <c r="T8209" i="5" a="1"/>
  <c r="T8209" i="5" s="1"/>
  <c r="U8209" i="5" s="1"/>
  <c r="T8210" i="5" a="1"/>
  <c r="T8210" i="5" s="1"/>
  <c r="U8210" i="5" s="1"/>
  <c r="T8211" i="5" a="1"/>
  <c r="T8211" i="5" s="1"/>
  <c r="U8211" i="5" s="1"/>
  <c r="T8212" i="5" a="1"/>
  <c r="T8212" i="5" s="1"/>
  <c r="U8212" i="5" s="1"/>
  <c r="T8213" i="5" a="1"/>
  <c r="T8213" i="5" s="1"/>
  <c r="U8213" i="5" s="1"/>
  <c r="T8214" i="5" a="1"/>
  <c r="T8214" i="5" s="1"/>
  <c r="U8214" i="5" s="1"/>
  <c r="T8215" i="5" a="1"/>
  <c r="T8215" i="5" s="1"/>
  <c r="U8215" i="5" s="1"/>
  <c r="T8216" i="5" a="1"/>
  <c r="T8216" i="5" s="1"/>
  <c r="U8216" i="5" s="1"/>
  <c r="T8217" i="5" a="1"/>
  <c r="T8217" i="5" s="1"/>
  <c r="U8217" i="5" s="1"/>
  <c r="T8218" i="5" a="1"/>
  <c r="T8218" i="5" s="1"/>
  <c r="U8218" i="5" s="1"/>
  <c r="T8219" i="5" a="1"/>
  <c r="T8219" i="5" s="1"/>
  <c r="U8219" i="5" s="1"/>
  <c r="T8220" i="5" a="1"/>
  <c r="T8220" i="5" s="1"/>
  <c r="U8220" i="5" s="1"/>
  <c r="T8221" i="5" a="1"/>
  <c r="T8221" i="5" s="1"/>
  <c r="U8221" i="5" s="1"/>
  <c r="T8222" i="5" a="1"/>
  <c r="T8222" i="5" s="1"/>
  <c r="U8222" i="5" s="1"/>
  <c r="T8223" i="5" a="1"/>
  <c r="T8223" i="5" s="1"/>
  <c r="U8223" i="5" s="1"/>
  <c r="T8224" i="5" a="1"/>
  <c r="T8224" i="5" s="1"/>
  <c r="U8224" i="5" s="1"/>
  <c r="T8225" i="5" a="1"/>
  <c r="T8225" i="5" s="1"/>
  <c r="U8225" i="5" s="1"/>
  <c r="T8226" i="5" a="1"/>
  <c r="T8226" i="5" s="1"/>
  <c r="U8226" i="5" s="1"/>
  <c r="T8227" i="5" a="1"/>
  <c r="T8227" i="5" s="1"/>
  <c r="U8227" i="5" s="1"/>
  <c r="T8228" i="5" a="1"/>
  <c r="T8228" i="5" s="1"/>
  <c r="U8228" i="5" s="1"/>
  <c r="T8229" i="5" a="1"/>
  <c r="T8229" i="5" s="1"/>
  <c r="U8229" i="5" s="1"/>
  <c r="T8230" i="5" a="1"/>
  <c r="T8230" i="5" s="1"/>
  <c r="U8230" i="5" s="1"/>
  <c r="T8231" i="5" a="1"/>
  <c r="T8231" i="5" s="1"/>
  <c r="U8231" i="5" s="1"/>
  <c r="T8232" i="5" a="1"/>
  <c r="T8232" i="5" s="1"/>
  <c r="U8232" i="5" s="1"/>
  <c r="T8233" i="5" a="1"/>
  <c r="T8233" i="5" s="1"/>
  <c r="U8233" i="5" s="1"/>
  <c r="T8234" i="5" a="1"/>
  <c r="T8234" i="5" s="1"/>
  <c r="U8234" i="5" s="1"/>
  <c r="T8235" i="5" a="1"/>
  <c r="T8235" i="5" s="1"/>
  <c r="U8235" i="5" s="1"/>
  <c r="T8236" i="5" a="1"/>
  <c r="T8236" i="5" s="1"/>
  <c r="U8236" i="5" s="1"/>
  <c r="T8238" i="5" a="1"/>
  <c r="T8238" i="5" s="1"/>
  <c r="U8238" i="5" s="1"/>
  <c r="T8239" i="5" a="1"/>
  <c r="T8239" i="5" s="1"/>
  <c r="U8239" i="5" s="1"/>
  <c r="T8240" i="5" a="1"/>
  <c r="T8240" i="5" s="1"/>
  <c r="U8240" i="5" s="1"/>
  <c r="T8241" i="5" a="1"/>
  <c r="T8241" i="5" s="1"/>
  <c r="U8241" i="5" s="1"/>
  <c r="T8242" i="5" a="1"/>
  <c r="T8242" i="5" s="1"/>
  <c r="U8242" i="5" s="1"/>
  <c r="T8243" i="5" a="1"/>
  <c r="T8243" i="5" s="1"/>
  <c r="U8243" i="5" s="1"/>
  <c r="T8244" i="5" a="1"/>
  <c r="T8244" i="5" s="1"/>
  <c r="U8244" i="5" s="1"/>
  <c r="T8245" i="5" a="1"/>
  <c r="T8245" i="5" s="1"/>
  <c r="U8245" i="5" s="1"/>
  <c r="T8246" i="5" a="1"/>
  <c r="T8246" i="5" s="1"/>
  <c r="U8246" i="5" s="1"/>
  <c r="T8247" i="5" a="1"/>
  <c r="T8247" i="5" s="1"/>
  <c r="U8247" i="5" s="1"/>
  <c r="T8248" i="5" a="1"/>
  <c r="T8248" i="5" s="1"/>
  <c r="U8248" i="5" s="1"/>
  <c r="T8249" i="5" a="1"/>
  <c r="T8249" i="5" s="1"/>
  <c r="U8249" i="5" s="1"/>
  <c r="T8250" i="5" a="1"/>
  <c r="T8250" i="5" s="1"/>
  <c r="U8250" i="5" s="1"/>
  <c r="T8251" i="5" a="1"/>
  <c r="T8251" i="5" s="1"/>
  <c r="U8251" i="5" s="1"/>
  <c r="T8252" i="5" a="1"/>
  <c r="T8252" i="5" s="1"/>
  <c r="U8252" i="5" s="1"/>
  <c r="T8253" i="5" a="1"/>
  <c r="T8253" i="5" s="1"/>
  <c r="U8253" i="5" s="1"/>
  <c r="T8254" i="5" a="1"/>
  <c r="T8254" i="5" s="1"/>
  <c r="U8254" i="5" s="1"/>
  <c r="T8255" i="5" a="1"/>
  <c r="T8255" i="5" s="1"/>
  <c r="U8255" i="5" s="1"/>
  <c r="T8256" i="5" a="1"/>
  <c r="T8256" i="5" s="1"/>
  <c r="U8256" i="5" s="1"/>
  <c r="T8257" i="5" a="1"/>
  <c r="T8257" i="5" s="1"/>
  <c r="U8257" i="5" s="1"/>
  <c r="T8258" i="5" a="1"/>
  <c r="T8258" i="5" s="1"/>
  <c r="U8258" i="5" s="1"/>
  <c r="T8259" i="5" a="1"/>
  <c r="T8259" i="5" s="1"/>
  <c r="U8259" i="5" s="1"/>
  <c r="T8260" i="5" a="1"/>
  <c r="T8260" i="5" s="1"/>
  <c r="U8260" i="5" s="1"/>
  <c r="T8261" i="5" a="1"/>
  <c r="T8261" i="5" s="1"/>
  <c r="U8261" i="5" s="1"/>
  <c r="T8262" i="5" a="1"/>
  <c r="T8262" i="5" s="1"/>
  <c r="U8262" i="5" s="1"/>
  <c r="T8263" i="5" a="1"/>
  <c r="T8263" i="5" s="1"/>
  <c r="U8263" i="5" s="1"/>
  <c r="T8264" i="5" a="1"/>
  <c r="T8264" i="5" s="1"/>
  <c r="U8264" i="5" s="1"/>
  <c r="T8265" i="5" a="1"/>
  <c r="T8265" i="5" s="1"/>
  <c r="U8265" i="5" s="1"/>
  <c r="T8266" i="5" a="1"/>
  <c r="T8266" i="5" s="1"/>
  <c r="U8266" i="5" s="1"/>
  <c r="T8267" i="5" a="1"/>
  <c r="T8267" i="5" s="1"/>
  <c r="U8267" i="5" s="1"/>
  <c r="T8268" i="5" a="1"/>
  <c r="T8268" i="5" s="1"/>
  <c r="U8268" i="5" s="1"/>
  <c r="T8269" i="5" a="1"/>
  <c r="T8269" i="5" s="1"/>
  <c r="U8269" i="5" s="1"/>
  <c r="T8270" i="5" a="1"/>
  <c r="T8270" i="5" s="1"/>
  <c r="U8270" i="5" s="1"/>
  <c r="T8271" i="5" a="1"/>
  <c r="T8271" i="5" s="1"/>
  <c r="U8271" i="5" s="1"/>
  <c r="T8272" i="5" a="1"/>
  <c r="T8272" i="5" s="1"/>
  <c r="U8272" i="5" s="1"/>
  <c r="T8273" i="5" a="1"/>
  <c r="T8273" i="5" s="1"/>
  <c r="U8273" i="5" s="1"/>
  <c r="T8274" i="5" a="1"/>
  <c r="T8274" i="5" s="1"/>
  <c r="U8274" i="5" s="1"/>
  <c r="T8275" i="5" a="1"/>
  <c r="T8275" i="5" s="1"/>
  <c r="U8275" i="5" s="1"/>
  <c r="T8276" i="5" a="1"/>
  <c r="T8276" i="5" s="1"/>
  <c r="U8276" i="5" s="1"/>
  <c r="T8277" i="5" a="1"/>
  <c r="T8277" i="5" s="1"/>
  <c r="U8277" i="5" s="1"/>
  <c r="T8278" i="5" a="1"/>
  <c r="T8278" i="5" s="1"/>
  <c r="U8278" i="5" s="1"/>
  <c r="T8279" i="5" a="1"/>
  <c r="T8279" i="5" s="1"/>
  <c r="U8279" i="5" s="1"/>
  <c r="T8280" i="5" a="1"/>
  <c r="T8280" i="5" s="1"/>
  <c r="U8280" i="5" s="1"/>
  <c r="T8281" i="5" a="1"/>
  <c r="T8281" i="5" s="1"/>
  <c r="U8281" i="5" s="1"/>
  <c r="T8282" i="5" a="1"/>
  <c r="T8282" i="5" s="1"/>
  <c r="U8282" i="5" s="1"/>
  <c r="T8283" i="5" a="1"/>
  <c r="T8283" i="5" s="1"/>
  <c r="U8283" i="5" s="1"/>
  <c r="T8284" i="5" a="1"/>
  <c r="T8284" i="5" s="1"/>
  <c r="U8284" i="5" s="1"/>
  <c r="T8285" i="5" a="1"/>
  <c r="T8285" i="5" s="1"/>
  <c r="U8285" i="5" s="1"/>
  <c r="T8286" i="5" a="1"/>
  <c r="T8286" i="5" s="1"/>
  <c r="U8286" i="5" s="1"/>
  <c r="T8287" i="5" a="1"/>
  <c r="T8287" i="5" s="1"/>
  <c r="U8287" i="5" s="1"/>
  <c r="T8288" i="5" a="1"/>
  <c r="T8288" i="5" s="1"/>
  <c r="U8288" i="5" s="1"/>
  <c r="T8289" i="5" a="1"/>
  <c r="T8289" i="5" s="1"/>
  <c r="U8289" i="5" s="1"/>
  <c r="T8290" i="5" a="1"/>
  <c r="T8290" i="5" s="1"/>
  <c r="U8290" i="5" s="1"/>
  <c r="T8291" i="5" a="1"/>
  <c r="T8291" i="5" s="1"/>
  <c r="U8291" i="5" s="1"/>
  <c r="T8292" i="5" a="1"/>
  <c r="T8292" i="5" s="1"/>
  <c r="U8292" i="5" s="1"/>
  <c r="T8293" i="5" a="1"/>
  <c r="T8293" i="5" s="1"/>
  <c r="U8293" i="5" s="1"/>
  <c r="T8294" i="5" a="1"/>
  <c r="T8294" i="5" s="1"/>
  <c r="U8294" i="5" s="1"/>
  <c r="T8295" i="5" a="1"/>
  <c r="T8295" i="5" s="1"/>
  <c r="U8295" i="5" s="1"/>
  <c r="T8296" i="5" a="1"/>
  <c r="T8296" i="5" s="1"/>
  <c r="U8296" i="5" s="1"/>
  <c r="T8297" i="5" a="1"/>
  <c r="T8297" i="5" s="1"/>
  <c r="U8297" i="5" s="1"/>
  <c r="T8298" i="5" a="1"/>
  <c r="T8298" i="5" s="1"/>
  <c r="U8298" i="5" s="1"/>
  <c r="T8299" i="5" a="1"/>
  <c r="T8299" i="5" s="1"/>
  <c r="U8299" i="5" s="1"/>
  <c r="T8300" i="5" a="1"/>
  <c r="T8300" i="5" s="1"/>
  <c r="U8300" i="5" s="1"/>
  <c r="T8309" i="5" a="1"/>
  <c r="T8309" i="5" s="1"/>
  <c r="U8309" i="5" s="1"/>
  <c r="T8310" i="5" a="1"/>
  <c r="T8310" i="5" s="1"/>
  <c r="U8310" i="5" s="1"/>
  <c r="T8311" i="5" a="1"/>
  <c r="T8311" i="5" s="1"/>
  <c r="U8311" i="5" s="1"/>
  <c r="T8312" i="5" a="1"/>
  <c r="T8312" i="5" s="1"/>
  <c r="U8312" i="5" s="1"/>
  <c r="T8313" i="5" a="1"/>
  <c r="T8313" i="5" s="1"/>
  <c r="U8313" i="5" s="1"/>
  <c r="T8314" i="5" a="1"/>
  <c r="T8314" i="5" s="1"/>
  <c r="U8314" i="5" s="1"/>
  <c r="T8315" i="5" a="1"/>
  <c r="T8315" i="5" s="1"/>
  <c r="U8315" i="5" s="1"/>
  <c r="T8316" i="5" a="1"/>
  <c r="T8316" i="5" s="1"/>
  <c r="U8316" i="5" s="1"/>
  <c r="T8317" i="5" a="1"/>
  <c r="T8317" i="5" s="1"/>
  <c r="U8317" i="5" s="1"/>
  <c r="T8318" i="5" a="1"/>
  <c r="T8318" i="5" s="1"/>
  <c r="U8318" i="5" s="1"/>
  <c r="T8319" i="5" a="1"/>
  <c r="T8319" i="5" s="1"/>
  <c r="U8319" i="5" s="1"/>
  <c r="T8320" i="5" a="1"/>
  <c r="T8320" i="5" s="1"/>
  <c r="U8320" i="5" s="1"/>
  <c r="T8321" i="5" a="1"/>
  <c r="T8321" i="5" s="1"/>
  <c r="U8321" i="5" s="1"/>
  <c r="T8322" i="5" a="1"/>
  <c r="T8322" i="5" s="1"/>
  <c r="U8322" i="5" s="1"/>
  <c r="T8323" i="5" a="1"/>
  <c r="T8323" i="5" s="1"/>
  <c r="U8323" i="5" s="1"/>
  <c r="T8324" i="5" a="1"/>
  <c r="T8324" i="5" s="1"/>
  <c r="U8324" i="5" s="1"/>
  <c r="T8325" i="5" a="1"/>
  <c r="T8325" i="5" s="1"/>
  <c r="U8325" i="5" s="1"/>
  <c r="T8326" i="5" a="1"/>
  <c r="T8326" i="5" s="1"/>
  <c r="U8326" i="5" s="1"/>
  <c r="T8327" i="5" a="1"/>
  <c r="T8327" i="5" s="1"/>
  <c r="U8327" i="5" s="1"/>
  <c r="T8328" i="5" a="1"/>
  <c r="T8328" i="5" s="1"/>
  <c r="U8328" i="5" s="1"/>
  <c r="T8329" i="5" a="1"/>
  <c r="T8329" i="5" s="1"/>
  <c r="U8329" i="5" s="1"/>
  <c r="T8330" i="5" a="1"/>
  <c r="T8330" i="5" s="1"/>
  <c r="U8330" i="5" s="1"/>
  <c r="T8331" i="5" a="1"/>
  <c r="T8331" i="5" s="1"/>
  <c r="U8331" i="5" s="1"/>
  <c r="T8332" i="5" a="1"/>
  <c r="T8332" i="5" s="1"/>
  <c r="U8332" i="5" s="1"/>
  <c r="T8333" i="5" a="1"/>
  <c r="T8333" i="5" s="1"/>
  <c r="U8333" i="5" s="1"/>
  <c r="T8334" i="5" a="1"/>
  <c r="T8334" i="5" s="1"/>
  <c r="U8334" i="5" s="1"/>
  <c r="T8335" i="5" a="1"/>
  <c r="T8335" i="5" s="1"/>
  <c r="U8335" i="5" s="1"/>
  <c r="T8336" i="5" a="1"/>
  <c r="T8336" i="5" s="1"/>
  <c r="U8336" i="5" s="1"/>
  <c r="T8337" i="5" a="1"/>
  <c r="T8337" i="5" s="1"/>
  <c r="U8337" i="5" s="1"/>
  <c r="T8338" i="5" a="1"/>
  <c r="T8338" i="5" s="1"/>
  <c r="U8338" i="5" s="1"/>
  <c r="T8339" i="5" a="1"/>
  <c r="T8339" i="5" s="1"/>
  <c r="U8339" i="5" s="1"/>
  <c r="T8340" i="5" a="1"/>
  <c r="T8340" i="5" s="1"/>
  <c r="U8340" i="5" s="1"/>
  <c r="T8341" i="5" a="1"/>
  <c r="T8341" i="5" s="1"/>
  <c r="U8341" i="5" s="1"/>
  <c r="T8342" i="5" a="1"/>
  <c r="T8342" i="5" s="1"/>
  <c r="U8342" i="5" s="1"/>
  <c r="T8343" i="5" a="1"/>
  <c r="T8343" i="5" s="1"/>
  <c r="U8343" i="5" s="1"/>
  <c r="T8344" i="5" a="1"/>
  <c r="T8344" i="5" s="1"/>
  <c r="U8344" i="5" s="1"/>
  <c r="T8345" i="5" a="1"/>
  <c r="T8345" i="5" s="1"/>
  <c r="U8345" i="5" s="1"/>
  <c r="T8346" i="5" a="1"/>
  <c r="T8346" i="5" s="1"/>
  <c r="U8346" i="5" s="1"/>
  <c r="T8347" i="5" a="1"/>
  <c r="T8347" i="5" s="1"/>
  <c r="U8347" i="5" s="1"/>
  <c r="T8348" i="5" a="1"/>
  <c r="T8348" i="5" s="1"/>
  <c r="U8348" i="5" s="1"/>
  <c r="T8349" i="5" a="1"/>
  <c r="T8349" i="5" s="1"/>
  <c r="U8349" i="5" s="1"/>
  <c r="T8350" i="5" a="1"/>
  <c r="T8350" i="5" s="1"/>
  <c r="U8350" i="5" s="1"/>
  <c r="T8351" i="5" a="1"/>
  <c r="T8351" i="5" s="1"/>
  <c r="U8351" i="5" s="1"/>
  <c r="T8352" i="5" a="1"/>
  <c r="T8352" i="5" s="1"/>
  <c r="U8352" i="5" s="1"/>
  <c r="T8353" i="5" a="1"/>
  <c r="T8353" i="5" s="1"/>
  <c r="U8353" i="5" s="1"/>
  <c r="T8354" i="5" a="1"/>
  <c r="T8354" i="5" s="1"/>
  <c r="U8354" i="5" s="1"/>
  <c r="T8355" i="5" a="1"/>
  <c r="T8355" i="5" s="1"/>
  <c r="U8355" i="5" s="1"/>
  <c r="T8356" i="5" a="1"/>
  <c r="T8356" i="5" s="1"/>
  <c r="U8356" i="5" s="1"/>
  <c r="T8357" i="5" a="1"/>
  <c r="T8357" i="5" s="1"/>
  <c r="U8357" i="5" s="1"/>
  <c r="T8358" i="5" a="1"/>
  <c r="T8358" i="5" s="1"/>
  <c r="U8358" i="5" s="1"/>
  <c r="T8359" i="5" a="1"/>
  <c r="T8359" i="5" s="1"/>
  <c r="U8359" i="5" s="1"/>
  <c r="T8360" i="5" a="1"/>
  <c r="T8360" i="5" s="1"/>
  <c r="U8360" i="5" s="1"/>
  <c r="T8361" i="5" a="1"/>
  <c r="T8361" i="5" s="1"/>
  <c r="U8361" i="5" s="1"/>
  <c r="T8362" i="5" a="1"/>
  <c r="T8362" i="5" s="1"/>
  <c r="U8362" i="5" s="1"/>
  <c r="T8363" i="5" a="1"/>
  <c r="T8363" i="5" s="1"/>
  <c r="U8363" i="5" s="1"/>
  <c r="T8364" i="5" a="1"/>
  <c r="T8364" i="5" s="1"/>
  <c r="U8364" i="5" s="1"/>
  <c r="T8365" i="5" a="1"/>
  <c r="T8365" i="5" s="1"/>
  <c r="U8365" i="5" s="1"/>
  <c r="T8366" i="5" a="1"/>
  <c r="T8366" i="5" s="1"/>
  <c r="U8366" i="5" s="1"/>
  <c r="T8367" i="5" a="1"/>
  <c r="T8367" i="5" s="1"/>
  <c r="U8367" i="5" s="1"/>
  <c r="T8368" i="5" a="1"/>
  <c r="T8368" i="5" s="1"/>
  <c r="U8368" i="5" s="1"/>
  <c r="T8369" i="5" a="1"/>
  <c r="T8369" i="5" s="1"/>
  <c r="U8369" i="5" s="1"/>
  <c r="T8370" i="5" a="1"/>
  <c r="T8370" i="5" s="1"/>
  <c r="U8370" i="5" s="1"/>
  <c r="T8371" i="5" a="1"/>
  <c r="T8371" i="5" s="1"/>
  <c r="U8371" i="5" s="1"/>
  <c r="T8372" i="5" a="1"/>
  <c r="T8372" i="5" s="1"/>
  <c r="U8372" i="5" s="1"/>
  <c r="T8373" i="5" a="1"/>
  <c r="T8373" i="5" s="1"/>
  <c r="U8373" i="5" s="1"/>
  <c r="T8374" i="5" a="1"/>
  <c r="T8374" i="5" s="1"/>
  <c r="U8374" i="5" s="1"/>
  <c r="T8375" i="5" a="1"/>
  <c r="T8375" i="5" s="1"/>
  <c r="U8375" i="5" s="1"/>
  <c r="T8376" i="5" a="1"/>
  <c r="T8376" i="5" s="1"/>
  <c r="U8376" i="5" s="1"/>
  <c r="T8377" i="5" a="1"/>
  <c r="T8377" i="5" s="1"/>
  <c r="U8377" i="5" s="1"/>
  <c r="T8378" i="5" a="1"/>
  <c r="T8378" i="5" s="1"/>
  <c r="U8378" i="5" s="1"/>
  <c r="T8379" i="5" a="1"/>
  <c r="T8379" i="5" s="1"/>
  <c r="U8379" i="5" s="1"/>
  <c r="T8380" i="5" a="1"/>
  <c r="T8380" i="5" s="1"/>
  <c r="U8380" i="5" s="1"/>
  <c r="T8381" i="5" a="1"/>
  <c r="T8381" i="5" s="1"/>
  <c r="U8381" i="5" s="1"/>
  <c r="T8382" i="5" a="1"/>
  <c r="T8382" i="5" s="1"/>
  <c r="U8382" i="5" s="1"/>
  <c r="T8383" i="5" a="1"/>
  <c r="T8383" i="5" s="1"/>
  <c r="U8383" i="5" s="1"/>
  <c r="T8384" i="5" a="1"/>
  <c r="T8384" i="5" s="1"/>
  <c r="U8384" i="5" s="1"/>
  <c r="T8385" i="5" a="1"/>
  <c r="T8385" i="5" s="1"/>
  <c r="U8385" i="5" s="1"/>
  <c r="T8386" i="5" a="1"/>
  <c r="T8386" i="5" s="1"/>
  <c r="U8386" i="5" s="1"/>
  <c r="T8387" i="5" a="1"/>
  <c r="T8387" i="5" s="1"/>
  <c r="U8387" i="5" s="1"/>
  <c r="T8388" i="5" a="1"/>
  <c r="T8388" i="5" s="1"/>
  <c r="U8388" i="5" s="1"/>
  <c r="T8389" i="5" a="1"/>
  <c r="T8389" i="5" s="1"/>
  <c r="U8389" i="5" s="1"/>
  <c r="T8390" i="5" a="1"/>
  <c r="T8390" i="5" s="1"/>
  <c r="U8390" i="5" s="1"/>
  <c r="T8391" i="5" a="1"/>
  <c r="T8391" i="5" s="1"/>
  <c r="U8391" i="5" s="1"/>
  <c r="T8392" i="5" a="1"/>
  <c r="T8392" i="5" s="1"/>
  <c r="U8392" i="5" s="1"/>
  <c r="T8393" i="5" a="1"/>
  <c r="T8393" i="5" s="1"/>
  <c r="U8393" i="5" s="1"/>
  <c r="T8394" i="5" a="1"/>
  <c r="T8394" i="5" s="1"/>
  <c r="U8394" i="5" s="1"/>
  <c r="T8395" i="5" a="1"/>
  <c r="T8395" i="5" s="1"/>
  <c r="U8395" i="5" s="1"/>
  <c r="T8396" i="5" a="1"/>
  <c r="T8396" i="5" s="1"/>
  <c r="U8396" i="5" s="1"/>
  <c r="T8397" i="5" a="1"/>
  <c r="T8397" i="5" s="1"/>
  <c r="U8397" i="5" s="1"/>
  <c r="T8398" i="5" a="1"/>
  <c r="T8398" i="5" s="1"/>
  <c r="U8398" i="5" s="1"/>
  <c r="T8399" i="5" a="1"/>
  <c r="T8399" i="5" s="1"/>
  <c r="U8399" i="5" s="1"/>
  <c r="T8400" i="5" a="1"/>
  <c r="T8400" i="5" s="1"/>
  <c r="U8400" i="5" s="1"/>
  <c r="T8401" i="5" a="1"/>
  <c r="T8401" i="5" s="1"/>
  <c r="U8401" i="5" s="1"/>
  <c r="T8402" i="5" a="1"/>
  <c r="T8402" i="5" s="1"/>
  <c r="U8402" i="5" s="1"/>
  <c r="T8403" i="5" a="1"/>
  <c r="T8403" i="5" s="1"/>
  <c r="U8403" i="5" s="1"/>
  <c r="T8404" i="5" a="1"/>
  <c r="T8404" i="5" s="1"/>
  <c r="U8404" i="5" s="1"/>
  <c r="T8405" i="5" a="1"/>
  <c r="T8405" i="5" s="1"/>
  <c r="U8405" i="5" s="1"/>
  <c r="T8406" i="5" a="1"/>
  <c r="T8406" i="5" s="1"/>
  <c r="U8406" i="5" s="1"/>
  <c r="T8407" i="5" a="1"/>
  <c r="T8407" i="5" s="1"/>
  <c r="U8407" i="5" s="1"/>
  <c r="T8408" i="5" a="1"/>
  <c r="T8408" i="5" s="1"/>
  <c r="U8408" i="5" s="1"/>
  <c r="T8409" i="5" a="1"/>
  <c r="T8409" i="5" s="1"/>
  <c r="U8409" i="5" s="1"/>
  <c r="T8410" i="5" a="1"/>
  <c r="T8410" i="5" s="1"/>
  <c r="U8410" i="5" s="1"/>
  <c r="T8411" i="5" a="1"/>
  <c r="T8411" i="5" s="1"/>
  <c r="U8411" i="5" s="1"/>
  <c r="T8412" i="5" a="1"/>
  <c r="T8412" i="5" s="1"/>
  <c r="U8412" i="5" s="1"/>
  <c r="T8413" i="5" a="1"/>
  <c r="T8413" i="5" s="1"/>
  <c r="U8413" i="5" s="1"/>
  <c r="T8414" i="5" a="1"/>
  <c r="T8414" i="5" s="1"/>
  <c r="U8414" i="5" s="1"/>
  <c r="T8415" i="5" a="1"/>
  <c r="T8415" i="5" s="1"/>
  <c r="U8415" i="5" s="1"/>
  <c r="T8416" i="5" a="1"/>
  <c r="T8416" i="5" s="1"/>
  <c r="U8416" i="5" s="1"/>
  <c r="T8417" i="5" a="1"/>
  <c r="T8417" i="5" s="1"/>
  <c r="U8417" i="5" s="1"/>
  <c r="T8418" i="5" a="1"/>
  <c r="T8418" i="5" s="1"/>
  <c r="U8418" i="5" s="1"/>
  <c r="T8419" i="5" a="1"/>
  <c r="T8419" i="5" s="1"/>
  <c r="U8419" i="5" s="1"/>
  <c r="T8420" i="5" a="1"/>
  <c r="T8420" i="5" s="1"/>
  <c r="U8420" i="5" s="1"/>
  <c r="T8421" i="5" a="1"/>
  <c r="T8421" i="5" s="1"/>
  <c r="U8421" i="5" s="1"/>
  <c r="T8422" i="5" a="1"/>
  <c r="T8422" i="5" s="1"/>
  <c r="U8422" i="5" s="1"/>
  <c r="T8423" i="5" a="1"/>
  <c r="T8423" i="5" s="1"/>
  <c r="U8423" i="5" s="1"/>
  <c r="T8424" i="5" a="1"/>
  <c r="T8424" i="5" s="1"/>
  <c r="U8424" i="5" s="1"/>
  <c r="T8425" i="5" a="1"/>
  <c r="T8425" i="5" s="1"/>
  <c r="U8425" i="5" s="1"/>
  <c r="T8426" i="5" a="1"/>
  <c r="T8426" i="5" s="1"/>
  <c r="U8426" i="5" s="1"/>
  <c r="T8427" i="5" a="1"/>
  <c r="T8427" i="5" s="1"/>
  <c r="U8427" i="5" s="1"/>
  <c r="T8428" i="5" a="1"/>
  <c r="T8428" i="5" s="1"/>
  <c r="U8428" i="5" s="1"/>
  <c r="T8429" i="5" a="1"/>
  <c r="T8429" i="5" s="1"/>
  <c r="U8429" i="5" s="1"/>
  <c r="T8430" i="5" a="1"/>
  <c r="T8430" i="5" s="1"/>
  <c r="U8430" i="5" s="1"/>
  <c r="T8431" i="5" a="1"/>
  <c r="T8431" i="5" s="1"/>
  <c r="U8431" i="5" s="1"/>
  <c r="T8432" i="5" a="1"/>
  <c r="T8432" i="5" s="1"/>
  <c r="U8432" i="5" s="1"/>
  <c r="T8433" i="5" a="1"/>
  <c r="T8433" i="5" s="1"/>
  <c r="U8433" i="5" s="1"/>
  <c r="T8434" i="5" a="1"/>
  <c r="T8434" i="5" s="1"/>
  <c r="U8434" i="5" s="1"/>
  <c r="T8435" i="5" a="1"/>
  <c r="T8435" i="5" s="1"/>
  <c r="U8435" i="5" s="1"/>
  <c r="T8436" i="5" a="1"/>
  <c r="T8436" i="5" s="1"/>
  <c r="U8436" i="5" s="1"/>
  <c r="T8437" i="5" a="1"/>
  <c r="T8437" i="5" s="1"/>
  <c r="U8437" i="5" s="1"/>
  <c r="T8438" i="5" a="1"/>
  <c r="T8438" i="5" s="1"/>
  <c r="U8438" i="5" s="1"/>
  <c r="T8439" i="5" a="1"/>
  <c r="T8439" i="5" s="1"/>
  <c r="U8439" i="5" s="1"/>
  <c r="T8440" i="5" a="1"/>
  <c r="T8440" i="5" s="1"/>
  <c r="U8440" i="5" s="1"/>
  <c r="T8441" i="5" a="1"/>
  <c r="T8441" i="5" s="1"/>
  <c r="U8441" i="5" s="1"/>
  <c r="T8442" i="5" a="1"/>
  <c r="T8442" i="5" s="1"/>
  <c r="U8442" i="5" s="1"/>
  <c r="T8443" i="5" a="1"/>
  <c r="T8443" i="5" s="1"/>
  <c r="U8443" i="5" s="1"/>
  <c r="T8444" i="5" a="1"/>
  <c r="T8444" i="5" s="1"/>
  <c r="U8444" i="5" s="1"/>
  <c r="T8445" i="5" a="1"/>
  <c r="T8445" i="5" s="1"/>
  <c r="U8445" i="5" s="1"/>
  <c r="T8446" i="5" a="1"/>
  <c r="T8446" i="5" s="1"/>
  <c r="U8446" i="5" s="1"/>
  <c r="T8447" i="5" a="1"/>
  <c r="T8447" i="5" s="1"/>
  <c r="U8447" i="5" s="1"/>
  <c r="T8448" i="5" a="1"/>
  <c r="T8448" i="5" s="1"/>
  <c r="U8448" i="5" s="1"/>
  <c r="T8449" i="5" a="1"/>
  <c r="T8449" i="5" s="1"/>
  <c r="U8449" i="5" s="1"/>
  <c r="T8450" i="5" a="1"/>
  <c r="T8450" i="5" s="1"/>
  <c r="U8450" i="5" s="1"/>
  <c r="T8451" i="5" a="1"/>
  <c r="T8451" i="5" s="1"/>
  <c r="U8451" i="5" s="1"/>
  <c r="T8452" i="5" a="1"/>
  <c r="T8452" i="5" s="1"/>
  <c r="U8452" i="5" s="1"/>
  <c r="T8453" i="5" a="1"/>
  <c r="T8453" i="5" s="1"/>
  <c r="U8453" i="5" s="1"/>
  <c r="T8454" i="5" a="1"/>
  <c r="T8454" i="5" s="1"/>
  <c r="U8454" i="5" s="1"/>
  <c r="T8455" i="5" a="1"/>
  <c r="T8455" i="5" s="1"/>
  <c r="U8455" i="5" s="1"/>
  <c r="T8456" i="5" a="1"/>
  <c r="T8456" i="5" s="1"/>
  <c r="U8456" i="5" s="1"/>
  <c r="T8457" i="5" a="1"/>
  <c r="T8457" i="5" s="1"/>
  <c r="U8457" i="5" s="1"/>
  <c r="T8458" i="5" a="1"/>
  <c r="T8458" i="5" s="1"/>
  <c r="U8458" i="5" s="1"/>
  <c r="T8459" i="5" a="1"/>
  <c r="T8459" i="5" s="1"/>
  <c r="U8459" i="5" s="1"/>
  <c r="T8460" i="5" a="1"/>
  <c r="T8460" i="5" s="1"/>
  <c r="U8460" i="5" s="1"/>
  <c r="T8461" i="5" a="1"/>
  <c r="T8461" i="5" s="1"/>
  <c r="U8461" i="5" s="1"/>
  <c r="T8462" i="5" a="1"/>
  <c r="T8462" i="5" s="1"/>
  <c r="U8462" i="5" s="1"/>
  <c r="T8463" i="5" a="1"/>
  <c r="T8463" i="5" s="1"/>
  <c r="U8463" i="5" s="1"/>
  <c r="T8464" i="5" a="1"/>
  <c r="T8464" i="5" s="1"/>
  <c r="U8464" i="5" s="1"/>
  <c r="T8465" i="5" a="1"/>
  <c r="T8465" i="5" s="1"/>
  <c r="U8465" i="5" s="1"/>
  <c r="T8466" i="5" a="1"/>
  <c r="T8466" i="5" s="1"/>
  <c r="U8466" i="5" s="1"/>
  <c r="T8467" i="5" a="1"/>
  <c r="T8467" i="5" s="1"/>
  <c r="U8467" i="5" s="1"/>
  <c r="T8468" i="5" a="1"/>
  <c r="T8468" i="5" s="1"/>
  <c r="U8468" i="5" s="1"/>
  <c r="T8469" i="5" a="1"/>
  <c r="T8469" i="5" s="1"/>
  <c r="U8469" i="5" s="1"/>
  <c r="T8470" i="5" a="1"/>
  <c r="T8470" i="5" s="1"/>
  <c r="U8470" i="5" s="1"/>
  <c r="T8471" i="5" a="1"/>
  <c r="T8471" i="5" s="1"/>
  <c r="U8471" i="5" s="1"/>
  <c r="T8472" i="5" a="1"/>
  <c r="T8472" i="5" s="1"/>
  <c r="U8472" i="5" s="1"/>
  <c r="T8473" i="5" a="1"/>
  <c r="T8473" i="5" s="1"/>
  <c r="U8473" i="5" s="1"/>
  <c r="T8474" i="5" a="1"/>
  <c r="T8474" i="5" s="1"/>
  <c r="U8474" i="5" s="1"/>
  <c r="T8475" i="5" a="1"/>
  <c r="T8475" i="5" s="1"/>
  <c r="U8475" i="5" s="1"/>
  <c r="T8476" i="5" a="1"/>
  <c r="T8476" i="5" s="1"/>
  <c r="U8476" i="5" s="1"/>
  <c r="T8477" i="5" a="1"/>
  <c r="T8477" i="5" s="1"/>
  <c r="U8477" i="5" s="1"/>
  <c r="T8478" i="5" a="1"/>
  <c r="T8478" i="5" s="1"/>
  <c r="U8478" i="5" s="1"/>
  <c r="T8479" i="5" a="1"/>
  <c r="T8479" i="5" s="1"/>
  <c r="U8479" i="5" s="1"/>
  <c r="T8480" i="5" a="1"/>
  <c r="T8480" i="5" s="1"/>
  <c r="U8480" i="5" s="1"/>
  <c r="T8481" i="5" a="1"/>
  <c r="T8481" i="5" s="1"/>
  <c r="U8481" i="5" s="1"/>
  <c r="T8482" i="5" a="1"/>
  <c r="T8482" i="5" s="1"/>
  <c r="U8482" i="5" s="1"/>
  <c r="T8483" i="5" a="1"/>
  <c r="T8483" i="5" s="1"/>
  <c r="U8483" i="5" s="1"/>
  <c r="T8484" i="5" a="1"/>
  <c r="T8484" i="5" s="1"/>
  <c r="U8484" i="5" s="1"/>
  <c r="T8485" i="5" a="1"/>
  <c r="T8485" i="5" s="1"/>
  <c r="U8485" i="5" s="1"/>
  <c r="T8486" i="5" a="1"/>
  <c r="T8486" i="5" s="1"/>
  <c r="U8486" i="5" s="1"/>
  <c r="T8487" i="5" a="1"/>
  <c r="T8487" i="5" s="1"/>
  <c r="U8487" i="5" s="1"/>
  <c r="T8488" i="5" a="1"/>
  <c r="T8488" i="5" s="1"/>
  <c r="U8488" i="5" s="1"/>
  <c r="T8489" i="5" a="1"/>
  <c r="T8489" i="5" s="1"/>
  <c r="U8489" i="5" s="1"/>
  <c r="T8490" i="5" a="1"/>
  <c r="T8490" i="5" s="1"/>
  <c r="U8490" i="5" s="1"/>
  <c r="T8491" i="5" a="1"/>
  <c r="T8491" i="5" s="1"/>
  <c r="U8491" i="5" s="1"/>
  <c r="T8492" i="5" a="1"/>
  <c r="T8492" i="5" s="1"/>
  <c r="U8492" i="5" s="1"/>
  <c r="T8493" i="5" a="1"/>
  <c r="T8493" i="5" s="1"/>
  <c r="U8493" i="5" s="1"/>
  <c r="T8494" i="5" a="1"/>
  <c r="T8494" i="5" s="1"/>
  <c r="U8494" i="5" s="1"/>
  <c r="T8495" i="5" a="1"/>
  <c r="T8495" i="5" s="1"/>
  <c r="U8495" i="5" s="1"/>
  <c r="T8496" i="5" a="1"/>
  <c r="T8496" i="5" s="1"/>
  <c r="U8496" i="5" s="1"/>
  <c r="T8497" i="5" a="1"/>
  <c r="T8497" i="5" s="1"/>
  <c r="U8497" i="5" s="1"/>
  <c r="T8498" i="5" a="1"/>
  <c r="T8498" i="5" s="1"/>
  <c r="U8498" i="5" s="1"/>
  <c r="T8499" i="5" a="1"/>
  <c r="T8499" i="5" s="1"/>
  <c r="U8499" i="5" s="1"/>
  <c r="T8500" i="5" a="1"/>
  <c r="T8500" i="5" s="1"/>
  <c r="U8500" i="5" s="1"/>
  <c r="T8501" i="5" a="1"/>
  <c r="T8501" i="5" s="1"/>
  <c r="U8501" i="5" s="1"/>
  <c r="T8502" i="5" a="1"/>
  <c r="T8502" i="5" s="1"/>
  <c r="U8502" i="5" s="1"/>
  <c r="T8503" i="5" a="1"/>
  <c r="T8503" i="5" s="1"/>
  <c r="U8503" i="5" s="1"/>
  <c r="T8504" i="5" a="1"/>
  <c r="T8504" i="5" s="1"/>
  <c r="U8504" i="5" s="1"/>
  <c r="T8505" i="5" a="1"/>
  <c r="T8505" i="5" s="1"/>
  <c r="U8505" i="5" s="1"/>
  <c r="T8506" i="5" a="1"/>
  <c r="T8506" i="5" s="1"/>
  <c r="U8506" i="5" s="1"/>
  <c r="T8507" i="5" a="1"/>
  <c r="T8507" i="5" s="1"/>
  <c r="U8507" i="5" s="1"/>
  <c r="T8508" i="5" a="1"/>
  <c r="T8508" i="5" s="1"/>
  <c r="U8508" i="5" s="1"/>
  <c r="T8509" i="5" a="1"/>
  <c r="T8509" i="5" s="1"/>
  <c r="U8509" i="5" s="1"/>
  <c r="T8510" i="5" a="1"/>
  <c r="T8510" i="5" s="1"/>
  <c r="U8510" i="5" s="1"/>
  <c r="T8511" i="5" a="1"/>
  <c r="T8511" i="5" s="1"/>
  <c r="U8511" i="5" s="1"/>
  <c r="T8512" i="5" a="1"/>
  <c r="T8512" i="5" s="1"/>
  <c r="U8512" i="5" s="1"/>
  <c r="T8513" i="5" a="1"/>
  <c r="T8513" i="5" s="1"/>
  <c r="U8513" i="5" s="1"/>
  <c r="T8514" i="5" a="1"/>
  <c r="T8514" i="5" s="1"/>
  <c r="U8514" i="5" s="1"/>
  <c r="T8515" i="5" a="1"/>
  <c r="T8515" i="5" s="1"/>
  <c r="U8515" i="5" s="1"/>
  <c r="T8516" i="5" a="1"/>
  <c r="T8516" i="5" s="1"/>
  <c r="U8516" i="5" s="1"/>
  <c r="T8517" i="5" a="1"/>
  <c r="T8517" i="5" s="1"/>
  <c r="U8517" i="5" s="1"/>
  <c r="T8518" i="5" a="1"/>
  <c r="T8518" i="5" s="1"/>
  <c r="U8518" i="5" s="1"/>
  <c r="T8519" i="5" a="1"/>
  <c r="T8519" i="5" s="1"/>
  <c r="U8519" i="5" s="1"/>
  <c r="T8520" i="5" a="1"/>
  <c r="T8520" i="5" s="1"/>
  <c r="U8520" i="5" s="1"/>
  <c r="T8521" i="5" a="1"/>
  <c r="T8521" i="5" s="1"/>
  <c r="U8521" i="5" s="1"/>
  <c r="T8522" i="5" a="1"/>
  <c r="T8522" i="5" s="1"/>
  <c r="U8522" i="5" s="1"/>
  <c r="T8523" i="5" a="1"/>
  <c r="T8523" i="5" s="1"/>
  <c r="U8523" i="5" s="1"/>
  <c r="T8524" i="5" a="1"/>
  <c r="T8524" i="5" s="1"/>
  <c r="U8524" i="5" s="1"/>
  <c r="T8525" i="5" a="1"/>
  <c r="T8525" i="5" s="1"/>
  <c r="U8525" i="5" s="1"/>
  <c r="T8526" i="5" a="1"/>
  <c r="T8526" i="5" s="1"/>
  <c r="U8526" i="5" s="1"/>
  <c r="T8527" i="5" a="1"/>
  <c r="T8527" i="5" s="1"/>
  <c r="U8527" i="5" s="1"/>
  <c r="T8528" i="5" a="1"/>
  <c r="T8528" i="5" s="1"/>
  <c r="U8528" i="5" s="1"/>
  <c r="T8529" i="5" a="1"/>
  <c r="T8529" i="5" s="1"/>
  <c r="U8529" i="5" s="1"/>
  <c r="T8530" i="5" a="1"/>
  <c r="T8530" i="5" s="1"/>
  <c r="U8530" i="5" s="1"/>
  <c r="T8531" i="5" a="1"/>
  <c r="T8531" i="5" s="1"/>
  <c r="U8531" i="5" s="1"/>
  <c r="T8532" i="5" a="1"/>
  <c r="T8532" i="5" s="1"/>
  <c r="U8532" i="5" s="1"/>
  <c r="T8533" i="5" a="1"/>
  <c r="T8533" i="5" s="1"/>
  <c r="U8533" i="5" s="1"/>
  <c r="T8534" i="5" a="1"/>
  <c r="T8534" i="5" s="1"/>
  <c r="U8534" i="5" s="1"/>
  <c r="T8535" i="5" a="1"/>
  <c r="T8535" i="5" s="1"/>
  <c r="U8535" i="5" s="1"/>
  <c r="T8536" i="5" a="1"/>
  <c r="T8536" i="5" s="1"/>
  <c r="U8536" i="5" s="1"/>
  <c r="T8537" i="5" a="1"/>
  <c r="T8537" i="5" s="1"/>
  <c r="U8537" i="5" s="1"/>
  <c r="T8538" i="5" a="1"/>
  <c r="T8538" i="5" s="1"/>
  <c r="U8538" i="5" s="1"/>
  <c r="T8539" i="5" a="1"/>
  <c r="T8539" i="5" s="1"/>
  <c r="U8539" i="5" s="1"/>
  <c r="T8540" i="5" a="1"/>
  <c r="T8540" i="5" s="1"/>
  <c r="U8540" i="5" s="1"/>
  <c r="T8541" i="5" a="1"/>
  <c r="T8541" i="5" s="1"/>
  <c r="U8541" i="5" s="1"/>
  <c r="T8542" i="5" a="1"/>
  <c r="T8542" i="5" s="1"/>
  <c r="U8542" i="5" s="1"/>
  <c r="T8543" i="5" a="1"/>
  <c r="T8543" i="5" s="1"/>
  <c r="U8543" i="5" s="1"/>
  <c r="T8544" i="5" a="1"/>
  <c r="T8544" i="5" s="1"/>
  <c r="U8544" i="5" s="1"/>
  <c r="T8545" i="5" a="1"/>
  <c r="T8545" i="5" s="1"/>
  <c r="U8545" i="5" s="1"/>
  <c r="T8546" i="5" a="1"/>
  <c r="T8546" i="5" s="1"/>
  <c r="U8546" i="5" s="1"/>
  <c r="T8547" i="5" a="1"/>
  <c r="T8547" i="5" s="1"/>
  <c r="U8547" i="5" s="1"/>
  <c r="T8548" i="5" a="1"/>
  <c r="T8548" i="5" s="1"/>
  <c r="U8548" i="5" s="1"/>
  <c r="T8549" i="5" a="1"/>
  <c r="T8549" i="5" s="1"/>
  <c r="U8549" i="5" s="1"/>
  <c r="T8550" i="5" a="1"/>
  <c r="T8550" i="5" s="1"/>
  <c r="U8550" i="5" s="1"/>
  <c r="T8551" i="5" a="1"/>
  <c r="T8551" i="5" s="1"/>
  <c r="U8551" i="5" s="1"/>
  <c r="T8552" i="5" a="1"/>
  <c r="T8552" i="5" s="1"/>
  <c r="U8552" i="5" s="1"/>
  <c r="T8553" i="5" a="1"/>
  <c r="T8553" i="5" s="1"/>
  <c r="U8553" i="5" s="1"/>
  <c r="T8554" i="5" a="1"/>
  <c r="T8554" i="5" s="1"/>
  <c r="U8554" i="5" s="1"/>
  <c r="T8555" i="5" a="1"/>
  <c r="T8555" i="5" s="1"/>
  <c r="U8555" i="5" s="1"/>
  <c r="T8556" i="5" a="1"/>
  <c r="T8556" i="5" s="1"/>
  <c r="U8556" i="5" s="1"/>
  <c r="T8557" i="5" a="1"/>
  <c r="T8557" i="5" s="1"/>
  <c r="U8557" i="5" s="1"/>
  <c r="T8558" i="5" a="1"/>
  <c r="T8558" i="5" s="1"/>
  <c r="U8558" i="5" s="1"/>
  <c r="T8559" i="5" a="1"/>
  <c r="T8559" i="5" s="1"/>
  <c r="U8559" i="5" s="1"/>
  <c r="T8560" i="5" a="1"/>
  <c r="T8560" i="5" s="1"/>
  <c r="U8560" i="5" s="1"/>
  <c r="T8561" i="5" a="1"/>
  <c r="T8561" i="5" s="1"/>
  <c r="U8561" i="5" s="1"/>
  <c r="T8562" i="5" a="1"/>
  <c r="T8562" i="5" s="1"/>
  <c r="U8562" i="5" s="1"/>
  <c r="T8563" i="5" a="1"/>
  <c r="T8563" i="5" s="1"/>
  <c r="U8563" i="5" s="1"/>
  <c r="T8564" i="5" a="1"/>
  <c r="T8564" i="5" s="1"/>
  <c r="U8564" i="5" s="1"/>
  <c r="T8565" i="5" a="1"/>
  <c r="T8565" i="5" s="1"/>
  <c r="U8565" i="5" s="1"/>
  <c r="T8566" i="5" a="1"/>
  <c r="T8566" i="5" s="1"/>
  <c r="U8566" i="5" s="1"/>
  <c r="T8567" i="5" a="1"/>
  <c r="T8567" i="5" s="1"/>
  <c r="U8567" i="5" s="1"/>
  <c r="T8568" i="5" a="1"/>
  <c r="T8568" i="5" s="1"/>
  <c r="U8568" i="5" s="1"/>
  <c r="T8569" i="5" a="1"/>
  <c r="T8569" i="5" s="1"/>
  <c r="U8569" i="5" s="1"/>
  <c r="T8570" i="5" a="1"/>
  <c r="T8570" i="5" s="1"/>
  <c r="U8570" i="5" s="1"/>
  <c r="T8571" i="5" a="1"/>
  <c r="T8571" i="5" s="1"/>
  <c r="U8571" i="5" s="1"/>
  <c r="T8572" i="5" a="1"/>
  <c r="T8572" i="5" s="1"/>
  <c r="U8572" i="5" s="1"/>
  <c r="T8573" i="5" a="1"/>
  <c r="T8573" i="5" s="1"/>
  <c r="U8573" i="5" s="1"/>
  <c r="T8574" i="5" a="1"/>
  <c r="T8574" i="5" s="1"/>
  <c r="U8574" i="5" s="1"/>
  <c r="T8575" i="5" a="1"/>
  <c r="T8575" i="5" s="1"/>
  <c r="U8575" i="5" s="1"/>
  <c r="T8576" i="5" a="1"/>
  <c r="T8576" i="5" s="1"/>
  <c r="U8576" i="5" s="1"/>
  <c r="T8577" i="5" a="1"/>
  <c r="T8577" i="5" s="1"/>
  <c r="U8577" i="5" s="1"/>
  <c r="T8578" i="5" a="1"/>
  <c r="T8578" i="5" s="1"/>
  <c r="U8578" i="5" s="1"/>
  <c r="T8579" i="5" a="1"/>
  <c r="T8579" i="5" s="1"/>
  <c r="U8579" i="5" s="1"/>
  <c r="T8580" i="5" a="1"/>
  <c r="T8580" i="5" s="1"/>
  <c r="U8580" i="5" s="1"/>
  <c r="T8581" i="5" a="1"/>
  <c r="T8581" i="5" s="1"/>
  <c r="U8581" i="5" s="1"/>
  <c r="T8582" i="5" a="1"/>
  <c r="T8582" i="5" s="1"/>
  <c r="U8582" i="5" s="1"/>
  <c r="T8583" i="5" a="1"/>
  <c r="T8583" i="5" s="1"/>
  <c r="U8583" i="5" s="1"/>
  <c r="T8584" i="5" a="1"/>
  <c r="T8584" i="5" s="1"/>
  <c r="U8584" i="5" s="1"/>
  <c r="T8585" i="5" a="1"/>
  <c r="T8585" i="5" s="1"/>
  <c r="U8585" i="5" s="1"/>
  <c r="T8586" i="5" a="1"/>
  <c r="T8586" i="5" s="1"/>
  <c r="U8586" i="5" s="1"/>
  <c r="T8587" i="5" a="1"/>
  <c r="T8587" i="5" s="1"/>
  <c r="U8587" i="5" s="1"/>
  <c r="T8588" i="5" a="1"/>
  <c r="T8588" i="5" s="1"/>
  <c r="U8588" i="5" s="1"/>
  <c r="T8589" i="5" a="1"/>
  <c r="T8589" i="5" s="1"/>
  <c r="U8589" i="5" s="1"/>
  <c r="T8590" i="5" a="1"/>
  <c r="T8590" i="5" s="1"/>
  <c r="U8590" i="5" s="1"/>
  <c r="T8591" i="5" a="1"/>
  <c r="T8591" i="5" s="1"/>
  <c r="U8591" i="5" s="1"/>
  <c r="T8592" i="5" a="1"/>
  <c r="T8592" i="5" s="1"/>
  <c r="U8592" i="5" s="1"/>
  <c r="T8593" i="5" a="1"/>
  <c r="T8593" i="5" s="1"/>
  <c r="U8593" i="5" s="1"/>
  <c r="T8594" i="5" a="1"/>
  <c r="T8594" i="5" s="1"/>
  <c r="U8594" i="5" s="1"/>
  <c r="T8595" i="5" a="1"/>
  <c r="T8595" i="5" s="1"/>
  <c r="U8595" i="5" s="1"/>
  <c r="T8596" i="5" a="1"/>
  <c r="T8596" i="5" s="1"/>
  <c r="U8596" i="5" s="1"/>
  <c r="T8597" i="5" a="1"/>
  <c r="T8597" i="5" s="1"/>
  <c r="U8597" i="5" s="1"/>
  <c r="T8598" i="5" a="1"/>
  <c r="T8598" i="5" s="1"/>
  <c r="U8598" i="5" s="1"/>
  <c r="T8599" i="5" a="1"/>
  <c r="T8599" i="5" s="1"/>
  <c r="U8599" i="5" s="1"/>
  <c r="T8600" i="5" a="1"/>
  <c r="T8600" i="5" s="1"/>
  <c r="U8600" i="5" s="1"/>
  <c r="T8601" i="5" a="1"/>
  <c r="T8601" i="5" s="1"/>
  <c r="U8601" i="5" s="1"/>
  <c r="T8602" i="5" a="1"/>
  <c r="T8602" i="5" s="1"/>
  <c r="U8602" i="5" s="1"/>
  <c r="T8603" i="5" a="1"/>
  <c r="T8603" i="5" s="1"/>
  <c r="U8603" i="5" s="1"/>
  <c r="T8604" i="5" a="1"/>
  <c r="T8604" i="5" s="1"/>
  <c r="U8604" i="5" s="1"/>
  <c r="T8605" i="5" a="1"/>
  <c r="T8605" i="5" s="1"/>
  <c r="U8605" i="5" s="1"/>
  <c r="T8606" i="5" a="1"/>
  <c r="T8606" i="5" s="1"/>
  <c r="U8606" i="5" s="1"/>
  <c r="T8607" i="5" a="1"/>
  <c r="T8607" i="5" s="1"/>
  <c r="U8607" i="5" s="1"/>
  <c r="T8608" i="5" a="1"/>
  <c r="T8608" i="5" s="1"/>
  <c r="U8608" i="5" s="1"/>
  <c r="T8609" i="5" a="1"/>
  <c r="T8609" i="5" s="1"/>
  <c r="U8609" i="5" s="1"/>
  <c r="T8610" i="5" a="1"/>
  <c r="T8610" i="5" s="1"/>
  <c r="U8610" i="5" s="1"/>
  <c r="T8611" i="5" a="1"/>
  <c r="T8611" i="5" s="1"/>
  <c r="U8611" i="5" s="1"/>
  <c r="T8612" i="5" a="1"/>
  <c r="T8612" i="5" s="1"/>
  <c r="U8612" i="5" s="1"/>
  <c r="T8613" i="5" a="1"/>
  <c r="T8613" i="5" s="1"/>
  <c r="U8613" i="5" s="1"/>
  <c r="T8614" i="5" a="1"/>
  <c r="T8614" i="5" s="1"/>
  <c r="U8614" i="5" s="1"/>
  <c r="T8615" i="5" a="1"/>
  <c r="T8615" i="5" s="1"/>
  <c r="U8615" i="5" s="1"/>
  <c r="T8616" i="5" a="1"/>
  <c r="T8616" i="5" s="1"/>
  <c r="U8616" i="5" s="1"/>
  <c r="T8617" i="5" a="1"/>
  <c r="T8617" i="5" s="1"/>
  <c r="U8617" i="5" s="1"/>
  <c r="T8618" i="5" a="1"/>
  <c r="T8618" i="5" s="1"/>
  <c r="U8618" i="5" s="1"/>
  <c r="T8619" i="5" a="1"/>
  <c r="T8619" i="5" s="1"/>
  <c r="U8619" i="5" s="1"/>
  <c r="T8620" i="5" a="1"/>
  <c r="T8620" i="5" s="1"/>
  <c r="U8620" i="5" s="1"/>
  <c r="T8621" i="5" a="1"/>
  <c r="T8621" i="5" s="1"/>
  <c r="U8621" i="5" s="1"/>
  <c r="T8622" i="5" a="1"/>
  <c r="T8622" i="5" s="1"/>
  <c r="U8622" i="5" s="1"/>
  <c r="T8623" i="5" a="1"/>
  <c r="T8623" i="5" s="1"/>
  <c r="U8623" i="5" s="1"/>
  <c r="T8624" i="5" a="1"/>
  <c r="T8624" i="5" s="1"/>
  <c r="U8624" i="5" s="1"/>
  <c r="T8625" i="5" a="1"/>
  <c r="T8625" i="5" s="1"/>
  <c r="U8625" i="5" s="1"/>
  <c r="T8626" i="5" a="1"/>
  <c r="T8626" i="5" s="1"/>
  <c r="U8626" i="5" s="1"/>
  <c r="T8627" i="5" a="1"/>
  <c r="T8627" i="5" s="1"/>
  <c r="U8627" i="5" s="1"/>
  <c r="T8628" i="5" a="1"/>
  <c r="T8628" i="5" s="1"/>
  <c r="U8628" i="5" s="1"/>
  <c r="T8629" i="5" a="1"/>
  <c r="T8629" i="5" s="1"/>
  <c r="U8629" i="5" s="1"/>
  <c r="T8630" i="5" a="1"/>
  <c r="T8630" i="5" s="1"/>
  <c r="U8630" i="5" s="1"/>
  <c r="T8631" i="5" a="1"/>
  <c r="T8631" i="5" s="1"/>
  <c r="U8631" i="5" s="1"/>
  <c r="T8632" i="5" a="1"/>
  <c r="T8632" i="5" s="1"/>
  <c r="U8632" i="5" s="1"/>
  <c r="T8633" i="5" a="1"/>
  <c r="T8633" i="5" s="1"/>
  <c r="U8633" i="5" s="1"/>
  <c r="T8634" i="5" a="1"/>
  <c r="T8634" i="5" s="1"/>
  <c r="U8634" i="5" s="1"/>
  <c r="T8635" i="5" a="1"/>
  <c r="T8635" i="5" s="1"/>
  <c r="U8635" i="5" s="1"/>
  <c r="T8636" i="5" a="1"/>
  <c r="T8636" i="5" s="1"/>
  <c r="U8636" i="5" s="1"/>
  <c r="T8637" i="5" a="1"/>
  <c r="T8637" i="5" s="1"/>
  <c r="U8637" i="5" s="1"/>
  <c r="T8638" i="5" a="1"/>
  <c r="T8638" i="5" s="1"/>
  <c r="U8638" i="5" s="1"/>
  <c r="T8639" i="5" a="1"/>
  <c r="T8639" i="5" s="1"/>
  <c r="U8639" i="5" s="1"/>
  <c r="T8640" i="5" a="1"/>
  <c r="T8640" i="5" s="1"/>
  <c r="U8640" i="5" s="1"/>
  <c r="T8641" i="5" a="1"/>
  <c r="T8641" i="5" s="1"/>
  <c r="U8641" i="5" s="1"/>
  <c r="T8642" i="5" a="1"/>
  <c r="T8642" i="5" s="1"/>
  <c r="U8642" i="5" s="1"/>
  <c r="T8643" i="5" a="1"/>
  <c r="T8643" i="5" s="1"/>
  <c r="U8643" i="5" s="1"/>
  <c r="T8644" i="5" a="1"/>
  <c r="T8644" i="5" s="1"/>
  <c r="U8644" i="5" s="1"/>
  <c r="T8645" i="5" a="1"/>
  <c r="T8645" i="5" s="1"/>
  <c r="U8645" i="5" s="1"/>
  <c r="T8646" i="5" a="1"/>
  <c r="T8646" i="5" s="1"/>
  <c r="U8646" i="5" s="1"/>
  <c r="T8647" i="5" a="1"/>
  <c r="T8647" i="5" s="1"/>
  <c r="U8647" i="5" s="1"/>
  <c r="T8648" i="5" a="1"/>
  <c r="T8648" i="5" s="1"/>
  <c r="U8648" i="5" s="1"/>
  <c r="T8649" i="5" a="1"/>
  <c r="T8649" i="5" s="1"/>
  <c r="U8649" i="5" s="1"/>
  <c r="T8650" i="5" a="1"/>
  <c r="T8650" i="5" s="1"/>
  <c r="U8650" i="5" s="1"/>
  <c r="T8651" i="5" a="1"/>
  <c r="T8651" i="5" s="1"/>
  <c r="U8651" i="5" s="1"/>
  <c r="T8652" i="5" a="1"/>
  <c r="T8652" i="5" s="1"/>
  <c r="U8652" i="5" s="1"/>
  <c r="T8653" i="5" a="1"/>
  <c r="T8653" i="5" s="1"/>
  <c r="U8653" i="5" s="1"/>
  <c r="T8654" i="5" a="1"/>
  <c r="T8654" i="5" s="1"/>
  <c r="U8654" i="5" s="1"/>
  <c r="T8655" i="5" a="1"/>
  <c r="T8655" i="5" s="1"/>
  <c r="U8655" i="5" s="1"/>
  <c r="T8656" i="5" a="1"/>
  <c r="T8656" i="5" s="1"/>
  <c r="U8656" i="5" s="1"/>
  <c r="T8657" i="5" a="1"/>
  <c r="T8657" i="5" s="1"/>
  <c r="U8657" i="5" s="1"/>
  <c r="T8658" i="5" a="1"/>
  <c r="T8658" i="5" s="1"/>
  <c r="U8658" i="5" s="1"/>
  <c r="T8659" i="5" a="1"/>
  <c r="T8659" i="5" s="1"/>
  <c r="U8659" i="5" s="1"/>
  <c r="T8660" i="5" a="1"/>
  <c r="T8660" i="5" s="1"/>
  <c r="U8660" i="5" s="1"/>
  <c r="T8661" i="5" a="1"/>
  <c r="T8661" i="5" s="1"/>
  <c r="U8661" i="5" s="1"/>
  <c r="T8662" i="5" a="1"/>
  <c r="T8662" i="5" s="1"/>
  <c r="U8662" i="5" s="1"/>
  <c r="T8663" i="5" a="1"/>
  <c r="T8663" i="5" s="1"/>
  <c r="U8663" i="5" s="1"/>
  <c r="T8664" i="5" a="1"/>
  <c r="T8664" i="5" s="1"/>
  <c r="U8664" i="5" s="1"/>
  <c r="T8665" i="5" a="1"/>
  <c r="T8665" i="5" s="1"/>
  <c r="U8665" i="5" s="1"/>
  <c r="T8666" i="5" a="1"/>
  <c r="T8666" i="5" s="1"/>
  <c r="U8666" i="5" s="1"/>
  <c r="T8667" i="5" a="1"/>
  <c r="T8667" i="5" s="1"/>
  <c r="U8667" i="5" s="1"/>
  <c r="T8668" i="5" a="1"/>
  <c r="T8668" i="5" s="1"/>
  <c r="U8668" i="5" s="1"/>
  <c r="T8669" i="5" a="1"/>
  <c r="T8669" i="5" s="1"/>
  <c r="U8669" i="5" s="1"/>
  <c r="T8670" i="5" a="1"/>
  <c r="T8670" i="5" s="1"/>
  <c r="U8670" i="5" s="1"/>
  <c r="T8671" i="5" a="1"/>
  <c r="T8671" i="5" s="1"/>
  <c r="U8671" i="5" s="1"/>
  <c r="T8672" i="5" a="1"/>
  <c r="T8672" i="5" s="1"/>
  <c r="U8672" i="5" s="1"/>
  <c r="T8673" i="5" a="1"/>
  <c r="T8673" i="5" s="1"/>
  <c r="U8673" i="5" s="1"/>
  <c r="T8674" i="5" a="1"/>
  <c r="T8674" i="5" s="1"/>
  <c r="U8674" i="5" s="1"/>
  <c r="T8675" i="5" a="1"/>
  <c r="T8675" i="5" s="1"/>
  <c r="U8675" i="5" s="1"/>
  <c r="T8676" i="5" a="1"/>
  <c r="T8676" i="5" s="1"/>
  <c r="U8676" i="5" s="1"/>
  <c r="T8677" i="5" a="1"/>
  <c r="T8677" i="5" s="1"/>
  <c r="U8677" i="5" s="1"/>
  <c r="T8678" i="5" a="1"/>
  <c r="T8678" i="5" s="1"/>
  <c r="U8678" i="5" s="1"/>
  <c r="T8679" i="5" a="1"/>
  <c r="T8679" i="5" s="1"/>
  <c r="U8679" i="5" s="1"/>
  <c r="T8680" i="5" a="1"/>
  <c r="T8680" i="5" s="1"/>
  <c r="U8680" i="5" s="1"/>
  <c r="T8681" i="5" a="1"/>
  <c r="T8681" i="5" s="1"/>
  <c r="U8681" i="5" s="1"/>
  <c r="T8682" i="5" a="1"/>
  <c r="T8682" i="5" s="1"/>
  <c r="U8682" i="5" s="1"/>
  <c r="T8683" i="5" a="1"/>
  <c r="T8683" i="5" s="1"/>
  <c r="U8683" i="5" s="1"/>
  <c r="T8684" i="5" a="1"/>
  <c r="T8684" i="5" s="1"/>
  <c r="U8684" i="5" s="1"/>
  <c r="T8685" i="5" a="1"/>
  <c r="T8685" i="5" s="1"/>
  <c r="U8685" i="5" s="1"/>
  <c r="T8686" i="5" a="1"/>
  <c r="T8686" i="5" s="1"/>
  <c r="U8686" i="5" s="1"/>
  <c r="T8687" i="5" a="1"/>
  <c r="T8687" i="5" s="1"/>
  <c r="U8687" i="5" s="1"/>
  <c r="T8688" i="5" a="1"/>
  <c r="T8688" i="5" s="1"/>
  <c r="U8688" i="5" s="1"/>
  <c r="T8689" i="5" a="1"/>
  <c r="T8689" i="5" s="1"/>
  <c r="U8689" i="5" s="1"/>
  <c r="T8690" i="5" a="1"/>
  <c r="T8690" i="5" s="1"/>
  <c r="U8690" i="5" s="1"/>
  <c r="T8691" i="5" a="1"/>
  <c r="T8691" i="5" s="1"/>
  <c r="U8691" i="5" s="1"/>
  <c r="T8692" i="5" a="1"/>
  <c r="T8692" i="5" s="1"/>
  <c r="U8692" i="5" s="1"/>
  <c r="T8693" i="5" a="1"/>
  <c r="T8693" i="5" s="1"/>
  <c r="U8693" i="5" s="1"/>
  <c r="T8694" i="5" a="1"/>
  <c r="T8694" i="5" s="1"/>
  <c r="U8694" i="5" s="1"/>
  <c r="T8695" i="5" a="1"/>
  <c r="T8695" i="5" s="1"/>
  <c r="U8695" i="5" s="1"/>
  <c r="T8696" i="5" a="1"/>
  <c r="T8696" i="5" s="1"/>
  <c r="U8696" i="5" s="1"/>
  <c r="T8697" i="5" a="1"/>
  <c r="T8697" i="5" s="1"/>
  <c r="U8697" i="5" s="1"/>
  <c r="T8698" i="5" a="1"/>
  <c r="T8698" i="5" s="1"/>
  <c r="U8698" i="5" s="1"/>
  <c r="T8699" i="5" a="1"/>
  <c r="T8699" i="5" s="1"/>
  <c r="U8699" i="5" s="1"/>
  <c r="T8700" i="5" a="1"/>
  <c r="T8700" i="5" s="1"/>
  <c r="U8700" i="5" s="1"/>
  <c r="T8701" i="5" a="1"/>
  <c r="T8701" i="5" s="1"/>
  <c r="U8701" i="5" s="1"/>
  <c r="T8702" i="5" a="1"/>
  <c r="T8702" i="5" s="1"/>
  <c r="U8702" i="5" s="1"/>
  <c r="T8703" i="5" a="1"/>
  <c r="T8703" i="5" s="1"/>
  <c r="U8703" i="5" s="1"/>
  <c r="T8704" i="5" a="1"/>
  <c r="T8704" i="5" s="1"/>
  <c r="U8704" i="5" s="1"/>
  <c r="T8705" i="5" a="1"/>
  <c r="T8705" i="5" s="1"/>
  <c r="U8705" i="5" s="1"/>
  <c r="T8706" i="5" a="1"/>
  <c r="T8706" i="5" s="1"/>
  <c r="U8706" i="5" s="1"/>
  <c r="T8707" i="5" a="1"/>
  <c r="T8707" i="5" s="1"/>
  <c r="U8707" i="5" s="1"/>
  <c r="T8708" i="5" a="1"/>
  <c r="T8708" i="5" s="1"/>
  <c r="U8708" i="5" s="1"/>
  <c r="T8709" i="5" a="1"/>
  <c r="T8709" i="5" s="1"/>
  <c r="U8709" i="5" s="1"/>
  <c r="T8710" i="5" a="1"/>
  <c r="T8710" i="5" s="1"/>
  <c r="U8710" i="5" s="1"/>
  <c r="T8711" i="5" a="1"/>
  <c r="T8711" i="5" s="1"/>
  <c r="U8711" i="5" s="1"/>
  <c r="T8712" i="5" a="1"/>
  <c r="T8712" i="5" s="1"/>
  <c r="U8712" i="5" s="1"/>
  <c r="T8713" i="5" a="1"/>
  <c r="T8713" i="5" s="1"/>
  <c r="U8713" i="5" s="1"/>
  <c r="T8714" i="5" a="1"/>
  <c r="T8714" i="5" s="1"/>
  <c r="U8714" i="5" s="1"/>
  <c r="T8715" i="5" a="1"/>
  <c r="T8715" i="5" s="1"/>
  <c r="U8715" i="5" s="1"/>
  <c r="T8716" i="5" a="1"/>
  <c r="T8716" i="5" s="1"/>
  <c r="U8716" i="5" s="1"/>
  <c r="T8717" i="5" a="1"/>
  <c r="T8717" i="5" s="1"/>
  <c r="U8717" i="5" s="1"/>
  <c r="T8718" i="5" a="1"/>
  <c r="T8718" i="5" s="1"/>
  <c r="U8718" i="5" s="1"/>
  <c r="T8719" i="5" a="1"/>
  <c r="T8719" i="5" s="1"/>
  <c r="U8719" i="5" s="1"/>
  <c r="T8720" i="5" a="1"/>
  <c r="T8720" i="5" s="1"/>
  <c r="U8720" i="5" s="1"/>
  <c r="T8721" i="5" a="1"/>
  <c r="T8721" i="5" s="1"/>
  <c r="U8721" i="5" s="1"/>
  <c r="T8722" i="5" a="1"/>
  <c r="T8722" i="5" s="1"/>
  <c r="U8722" i="5" s="1"/>
  <c r="T8723" i="5" a="1"/>
  <c r="T8723" i="5" s="1"/>
  <c r="U8723" i="5" s="1"/>
  <c r="T8724" i="5" a="1"/>
  <c r="T8724" i="5" s="1"/>
  <c r="U8724" i="5" s="1"/>
  <c r="T8725" i="5" a="1"/>
  <c r="T8725" i="5" s="1"/>
  <c r="U8725" i="5" s="1"/>
  <c r="T8726" i="5" a="1"/>
  <c r="T8726" i="5" s="1"/>
  <c r="U8726" i="5" s="1"/>
  <c r="T8727" i="5" a="1"/>
  <c r="T8727" i="5" s="1"/>
  <c r="U8727" i="5" s="1"/>
  <c r="T8728" i="5" a="1"/>
  <c r="T8728" i="5" s="1"/>
  <c r="U8728" i="5" s="1"/>
  <c r="T8729" i="5" a="1"/>
  <c r="T8729" i="5" s="1"/>
  <c r="U8729" i="5" s="1"/>
  <c r="T8730" i="5" a="1"/>
  <c r="T8730" i="5" s="1"/>
  <c r="U8730" i="5" s="1"/>
  <c r="T8731" i="5" a="1"/>
  <c r="T8731" i="5" s="1"/>
  <c r="U8731" i="5" s="1"/>
  <c r="T8732" i="5" a="1"/>
  <c r="T8732" i="5" s="1"/>
  <c r="U8732" i="5" s="1"/>
  <c r="T8733" i="5" a="1"/>
  <c r="T8733" i="5" s="1"/>
  <c r="U8733" i="5" s="1"/>
  <c r="T8734" i="5" a="1"/>
  <c r="T8734" i="5" s="1"/>
  <c r="U8734" i="5" s="1"/>
  <c r="T8735" i="5" a="1"/>
  <c r="T8735" i="5" s="1"/>
  <c r="U8735" i="5" s="1"/>
  <c r="T8736" i="5" a="1"/>
  <c r="T8736" i="5" s="1"/>
  <c r="U8736" i="5" s="1"/>
  <c r="T8737" i="5" a="1"/>
  <c r="T8737" i="5" s="1"/>
  <c r="U8737" i="5" s="1"/>
  <c r="T8738" i="5" a="1"/>
  <c r="T8738" i="5" s="1"/>
  <c r="U8738" i="5" s="1"/>
  <c r="T8739" i="5" a="1"/>
  <c r="T8739" i="5" s="1"/>
  <c r="U8739" i="5" s="1"/>
  <c r="T8740" i="5" a="1"/>
  <c r="T8740" i="5" s="1"/>
  <c r="U8740" i="5" s="1"/>
  <c r="T8741" i="5" a="1"/>
  <c r="T8741" i="5" s="1"/>
  <c r="U8741" i="5" s="1"/>
  <c r="T8742" i="5" a="1"/>
  <c r="T8742" i="5" s="1"/>
  <c r="U8742" i="5" s="1"/>
  <c r="T8743" i="5" a="1"/>
  <c r="T8743" i="5" s="1"/>
  <c r="U8743" i="5" s="1"/>
  <c r="T8744" i="5" a="1"/>
  <c r="T8744" i="5" s="1"/>
  <c r="U8744" i="5" s="1"/>
  <c r="T8745" i="5" a="1"/>
  <c r="T8745" i="5" s="1"/>
  <c r="U8745" i="5" s="1"/>
  <c r="T8746" i="5" a="1"/>
  <c r="T8746" i="5" s="1"/>
  <c r="U8746" i="5" s="1"/>
  <c r="T8747" i="5" a="1"/>
  <c r="T8747" i="5" s="1"/>
  <c r="U8747" i="5" s="1"/>
  <c r="T8748" i="5" a="1"/>
  <c r="T8748" i="5" s="1"/>
  <c r="U8748" i="5" s="1"/>
  <c r="T8749" i="5" a="1"/>
  <c r="T8749" i="5" s="1"/>
  <c r="U8749" i="5" s="1"/>
  <c r="T8750" i="5" a="1"/>
  <c r="T8750" i="5" s="1"/>
  <c r="U8750" i="5" s="1"/>
  <c r="T8751" i="5" a="1"/>
  <c r="T8751" i="5" s="1"/>
  <c r="U8751" i="5" s="1"/>
  <c r="T8752" i="5" a="1"/>
  <c r="T8752" i="5" s="1"/>
  <c r="U8752" i="5" s="1"/>
  <c r="T8753" i="5" a="1"/>
  <c r="T8753" i="5" s="1"/>
  <c r="U8753" i="5" s="1"/>
  <c r="T8754" i="5" a="1"/>
  <c r="T8754" i="5" s="1"/>
  <c r="U8754" i="5" s="1"/>
  <c r="T8755" i="5" a="1"/>
  <c r="T8755" i="5" s="1"/>
  <c r="U8755" i="5" s="1"/>
  <c r="T8756" i="5" a="1"/>
  <c r="T8756" i="5" s="1"/>
  <c r="U8756" i="5" s="1"/>
  <c r="T8757" i="5" a="1"/>
  <c r="T8757" i="5" s="1"/>
  <c r="U8757" i="5" s="1"/>
  <c r="T8758" i="5" a="1"/>
  <c r="T8758" i="5" s="1"/>
  <c r="U8758" i="5" s="1"/>
  <c r="T8759" i="5" a="1"/>
  <c r="T8759" i="5" s="1"/>
  <c r="U8759" i="5" s="1"/>
  <c r="T8760" i="5" a="1"/>
  <c r="T8760" i="5" s="1"/>
  <c r="U8760" i="5" s="1"/>
  <c r="T8761" i="5" a="1"/>
  <c r="T8761" i="5" s="1"/>
  <c r="U8761" i="5" s="1"/>
  <c r="T8762" i="5" a="1"/>
  <c r="T8762" i="5" s="1"/>
  <c r="U8762" i="5" s="1"/>
  <c r="T8763" i="5" a="1"/>
  <c r="T8763" i="5" s="1"/>
  <c r="U8763" i="5" s="1"/>
  <c r="T8764" i="5" a="1"/>
  <c r="T8764" i="5" s="1"/>
  <c r="U8764" i="5" s="1"/>
  <c r="T8765" i="5" a="1"/>
  <c r="T8765" i="5" s="1"/>
  <c r="U8765" i="5" s="1"/>
  <c r="T8766" i="5" a="1"/>
  <c r="T8766" i="5" s="1"/>
  <c r="U8766" i="5" s="1"/>
  <c r="T8767" i="5" a="1"/>
  <c r="T8767" i="5" s="1"/>
  <c r="U8767" i="5" s="1"/>
  <c r="T8768" i="5" a="1"/>
  <c r="T8768" i="5" s="1"/>
  <c r="U8768" i="5" s="1"/>
  <c r="T8769" i="5" a="1"/>
  <c r="T8769" i="5" s="1"/>
  <c r="U8769" i="5" s="1"/>
  <c r="T8770" i="5" a="1"/>
  <c r="T8770" i="5" s="1"/>
  <c r="U8770" i="5" s="1"/>
  <c r="T8771" i="5" a="1"/>
  <c r="T8771" i="5" s="1"/>
  <c r="U8771" i="5" s="1"/>
  <c r="W8771" i="5" s="1"/>
  <c r="T8772" i="5" a="1"/>
  <c r="T8772" i="5" s="1"/>
  <c r="T8773" i="5" a="1"/>
  <c r="T8773" i="5" s="1"/>
  <c r="U8773" i="5" s="1"/>
  <c r="T8774" i="5" a="1"/>
  <c r="T8774" i="5" s="1"/>
  <c r="T8775" i="5" a="1"/>
  <c r="T8775" i="5" s="1"/>
  <c r="U8775" i="5" s="1"/>
  <c r="T8776" i="5" a="1"/>
  <c r="T8776" i="5" s="1"/>
  <c r="U8776" i="5" s="1"/>
  <c r="T8777" i="5" a="1"/>
  <c r="T8777" i="5" s="1"/>
  <c r="U8777" i="5" s="1"/>
  <c r="T8778" i="5" a="1"/>
  <c r="T8778" i="5" s="1"/>
  <c r="U8778" i="5" s="1"/>
  <c r="T8779" i="5" a="1"/>
  <c r="T8779" i="5" s="1"/>
  <c r="U8779" i="5" s="1"/>
  <c r="W8779" i="5" s="1"/>
  <c r="T8780" i="5" a="1"/>
  <c r="T8780" i="5" s="1"/>
  <c r="U8780" i="5" s="1"/>
  <c r="W8780" i="5" s="1"/>
  <c r="T8781" i="5" a="1"/>
  <c r="T8781" i="5" s="1"/>
  <c r="U8781" i="5" s="1"/>
  <c r="T8782" i="5" a="1"/>
  <c r="T8782" i="5" s="1"/>
  <c r="U8782" i="5" s="1"/>
  <c r="T8783" i="5" a="1"/>
  <c r="T8783" i="5" s="1"/>
  <c r="U8783" i="5" s="1"/>
  <c r="W8783" i="5" s="1"/>
  <c r="T8784" i="5" a="1"/>
  <c r="T8784" i="5" s="1"/>
  <c r="U8784" i="5" s="1"/>
  <c r="T8785" i="5" a="1"/>
  <c r="T8785" i="5" s="1"/>
  <c r="U8785" i="5" s="1"/>
  <c r="T8786" i="5" a="1"/>
  <c r="T8786" i="5" s="1"/>
  <c r="U8786" i="5" s="1"/>
  <c r="T8787" i="5" a="1"/>
  <c r="T8787" i="5" s="1"/>
  <c r="T8788" i="5" a="1"/>
  <c r="T8788" i="5" s="1"/>
  <c r="T8789" i="5" a="1"/>
  <c r="T8789" i="5" s="1"/>
  <c r="U8789" i="5" s="1"/>
  <c r="T8790" i="5" a="1"/>
  <c r="T8790" i="5" s="1"/>
  <c r="T8791" i="5" a="1"/>
  <c r="T8791" i="5" s="1"/>
  <c r="U8791" i="5" s="1"/>
  <c r="W8791" i="5" s="1"/>
  <c r="T8792" i="5" a="1"/>
  <c r="T8792" i="5" s="1"/>
  <c r="U8792" i="5" s="1"/>
  <c r="W8792" i="5" s="1"/>
  <c r="T8793" i="5" a="1"/>
  <c r="T8793" i="5" s="1"/>
  <c r="U8793" i="5" s="1"/>
  <c r="T8794" i="5" a="1"/>
  <c r="T8794" i="5" s="1"/>
  <c r="U8794" i="5" s="1"/>
  <c r="T8795" i="5" a="1"/>
  <c r="T8795" i="5" s="1"/>
  <c r="U8795" i="5" s="1"/>
  <c r="W8795" i="5" s="1"/>
  <c r="T8796" i="5" a="1"/>
  <c r="T8796" i="5" s="1"/>
  <c r="T8797" i="5" a="1"/>
  <c r="T8797" i="5" s="1"/>
  <c r="U8797" i="5" s="1"/>
  <c r="T8798" i="5" a="1"/>
  <c r="T8798" i="5" s="1"/>
  <c r="U8798" i="5" s="1"/>
  <c r="T8799" i="5" a="1"/>
  <c r="T8799" i="5" s="1"/>
  <c r="U8799" i="5" s="1"/>
  <c r="W8799" i="5" s="1"/>
  <c r="T8800" i="5" a="1"/>
  <c r="T8800" i="5" s="1"/>
  <c r="U8800" i="5" s="1"/>
  <c r="W8800" i="5" s="1"/>
  <c r="T8801" i="5" a="1"/>
  <c r="T8801" i="5" s="1"/>
  <c r="U8801" i="5" s="1"/>
  <c r="T8802" i="5" a="1"/>
  <c r="T8802" i="5" s="1"/>
  <c r="U8802" i="5" s="1"/>
  <c r="T8803" i="5" a="1"/>
  <c r="T8803" i="5" s="1"/>
  <c r="U8803" i="5" s="1"/>
  <c r="W8803" i="5" s="1"/>
  <c r="T8804" i="5" a="1"/>
  <c r="T8804" i="5" s="1"/>
  <c r="T8805" i="5" a="1"/>
  <c r="T8805" i="5" s="1"/>
  <c r="U8805" i="5" s="1"/>
  <c r="T8806" i="5" a="1"/>
  <c r="T8806" i="5" s="1"/>
  <c r="T8807" i="5" a="1"/>
  <c r="T8807" i="5" s="1"/>
  <c r="U8807" i="5" s="1"/>
  <c r="T8808" i="5" a="1"/>
  <c r="T8808" i="5" s="1"/>
  <c r="U8808" i="5" s="1"/>
  <c r="W8808" i="5" s="1"/>
  <c r="T8809" i="5" a="1"/>
  <c r="T8809" i="5" s="1"/>
  <c r="U8809" i="5" s="1"/>
  <c r="T8810" i="5" a="1"/>
  <c r="T8810" i="5" s="1"/>
  <c r="U8810" i="5" s="1"/>
  <c r="T8811" i="5" a="1"/>
  <c r="T8811" i="5" s="1"/>
  <c r="U8811" i="5" s="1"/>
  <c r="W8811" i="5" s="1"/>
  <c r="T8812" i="5" a="1"/>
  <c r="T8812" i="5" s="1"/>
  <c r="U8812" i="5" s="1"/>
  <c r="W8812" i="5" s="1"/>
  <c r="T8813" i="5" a="1"/>
  <c r="T8813" i="5" s="1"/>
  <c r="U8813" i="5" s="1"/>
  <c r="T8814" i="5" a="1"/>
  <c r="T8814" i="5" s="1"/>
  <c r="U8814" i="5" s="1"/>
  <c r="T8815" i="5" a="1"/>
  <c r="T8815" i="5" s="1"/>
  <c r="U8815" i="5" s="1"/>
  <c r="T8816" i="5" a="1"/>
  <c r="T8816" i="5" s="1"/>
  <c r="U8816" i="5" s="1"/>
  <c r="T8817" i="5" a="1"/>
  <c r="T8817" i="5" s="1"/>
  <c r="U8817" i="5" s="1"/>
  <c r="T8818" i="5" a="1"/>
  <c r="T8818" i="5" s="1"/>
  <c r="U8818" i="5" s="1"/>
  <c r="T8819" i="5" a="1"/>
  <c r="T8819" i="5" s="1"/>
  <c r="U8819" i="5" s="1"/>
  <c r="W8819" i="5" s="1"/>
  <c r="T8820" i="5" a="1"/>
  <c r="T8820" i="5" s="1"/>
  <c r="U8820" i="5" s="1"/>
  <c r="W8820" i="5" s="1"/>
  <c r="T8821" i="5" a="1"/>
  <c r="T8821" i="5" s="1"/>
  <c r="U8821" i="5" s="1"/>
  <c r="T8822" i="5" a="1"/>
  <c r="T8822" i="5" s="1"/>
  <c r="T8823" i="5" a="1"/>
  <c r="T8823" i="5" s="1"/>
  <c r="U8823" i="5" s="1"/>
  <c r="T8824" i="5" a="1"/>
  <c r="T8824" i="5" s="1"/>
  <c r="U8824" i="5" s="1"/>
  <c r="T8825" i="5" a="1"/>
  <c r="T8825" i="5" s="1"/>
  <c r="U8825" i="5" s="1"/>
  <c r="T8826" i="5" a="1"/>
  <c r="T8826" i="5" s="1"/>
  <c r="U8826" i="5" s="1"/>
  <c r="T8827" i="5" a="1"/>
  <c r="T8827" i="5" s="1"/>
  <c r="U8827" i="5" s="1"/>
  <c r="W8827" i="5" s="1"/>
  <c r="T8828" i="5" a="1"/>
  <c r="T8828" i="5" s="1"/>
  <c r="T8829" i="5" a="1"/>
  <c r="T8829" i="5" s="1"/>
  <c r="U8829" i="5" s="1"/>
  <c r="T8830" i="5" a="1"/>
  <c r="T8830" i="5" s="1"/>
  <c r="U8830" i="5" s="1"/>
  <c r="T8831" i="5" a="1"/>
  <c r="T8831" i="5" s="1"/>
  <c r="U8831" i="5" s="1"/>
  <c r="W8831" i="5" s="1"/>
  <c r="T8832" i="5" a="1"/>
  <c r="T8832" i="5" s="1"/>
  <c r="U8832" i="5" s="1"/>
  <c r="T8833" i="5" a="1"/>
  <c r="T8833" i="5" s="1"/>
  <c r="U8833" i="5" s="1"/>
  <c r="T8834" i="5" a="1"/>
  <c r="T8834" i="5" s="1"/>
  <c r="U8834" i="5" s="1"/>
  <c r="T8835" i="5" a="1"/>
  <c r="T8835" i="5" s="1"/>
  <c r="U8835" i="5" s="1"/>
  <c r="W8835" i="5" s="1"/>
  <c r="T8836" i="5" a="1"/>
  <c r="T8836" i="5" s="1"/>
  <c r="T8837" i="5" a="1"/>
  <c r="T8837" i="5" s="1"/>
  <c r="U8837" i="5" s="1"/>
  <c r="T8838" i="5" a="1"/>
  <c r="T8838" i="5" s="1"/>
  <c r="U8838" i="5" s="1"/>
  <c r="T8839" i="5" a="1"/>
  <c r="T8839" i="5" s="1"/>
  <c r="U8839" i="5" s="1"/>
  <c r="T8840" i="5" a="1"/>
  <c r="T8840" i="5" s="1"/>
  <c r="U8840" i="5" s="1"/>
  <c r="T8841" i="5" a="1"/>
  <c r="T8841" i="5" s="1"/>
  <c r="U8841" i="5" s="1"/>
  <c r="T8842" i="5" a="1"/>
  <c r="T8842" i="5" s="1"/>
  <c r="U8842" i="5" s="1"/>
  <c r="T8843" i="5" a="1"/>
  <c r="T8843" i="5" s="1"/>
  <c r="U8843" i="5" s="1"/>
  <c r="W8843" i="5" s="1"/>
  <c r="T8844" i="5" a="1"/>
  <c r="T8844" i="5" s="1"/>
  <c r="T8845" i="5" a="1"/>
  <c r="T8845" i="5" s="1"/>
  <c r="U8845" i="5" s="1"/>
  <c r="T8846" i="5" a="1"/>
  <c r="T8846" i="5" s="1"/>
  <c r="T8847" i="5" a="1"/>
  <c r="T8847" i="5" s="1"/>
  <c r="U8847" i="5" s="1"/>
  <c r="W8847" i="5" s="1"/>
  <c r="T8848" i="5" a="1"/>
  <c r="T8848" i="5" s="1"/>
  <c r="U8848" i="5" s="1"/>
  <c r="T8849" i="5" a="1"/>
  <c r="T8849" i="5" s="1"/>
  <c r="U8849" i="5" s="1"/>
  <c r="T8850" i="5" a="1"/>
  <c r="T8850" i="5" s="1"/>
  <c r="U8850" i="5" s="1"/>
  <c r="T8851" i="5" a="1"/>
  <c r="T8851" i="5" s="1"/>
  <c r="U8851" i="5" s="1"/>
  <c r="W8851" i="5" s="1"/>
  <c r="T8852" i="5" a="1"/>
  <c r="T8852" i="5" s="1"/>
  <c r="T8853" i="5" a="1"/>
  <c r="T8853" i="5" s="1"/>
  <c r="U8853" i="5" s="1"/>
  <c r="T8854" i="5" a="1"/>
  <c r="T8854" i="5" s="1"/>
  <c r="U8854" i="5" s="1"/>
  <c r="T8855" i="5" a="1"/>
  <c r="T8855" i="5" s="1"/>
  <c r="U8855" i="5" s="1"/>
  <c r="W8855" i="5" s="1"/>
  <c r="T8856" i="5" a="1"/>
  <c r="T8856" i="5" s="1"/>
  <c r="U8856" i="5" s="1"/>
  <c r="W8856" i="5" s="1"/>
  <c r="T8857" i="5" a="1"/>
  <c r="T8857" i="5" s="1"/>
  <c r="U8857" i="5" s="1"/>
  <c r="T8858" i="5" a="1"/>
  <c r="T8858" i="5" s="1"/>
  <c r="U8858" i="5" s="1"/>
  <c r="T8859" i="5" a="1"/>
  <c r="T8859" i="5" s="1"/>
  <c r="U8859" i="5" s="1"/>
  <c r="W8859" i="5" s="1"/>
  <c r="T8860" i="5" a="1"/>
  <c r="T8860" i="5" s="1"/>
  <c r="U8860" i="5" s="1"/>
  <c r="W8860" i="5" s="1"/>
  <c r="T8861" i="5" a="1"/>
  <c r="T8861" i="5" s="1"/>
  <c r="U8861" i="5" s="1"/>
  <c r="T8862" i="5" a="1"/>
  <c r="T8862" i="5" s="1"/>
  <c r="U8862" i="5" s="1"/>
  <c r="T8863" i="5" a="1"/>
  <c r="T8863" i="5" s="1"/>
  <c r="U8863" i="5" s="1"/>
  <c r="W8863" i="5" s="1"/>
  <c r="T8864" i="5" a="1"/>
  <c r="T8864" i="5" s="1"/>
  <c r="U8864" i="5" s="1"/>
  <c r="W8864" i="5" s="1"/>
  <c r="T8865" i="5" a="1"/>
  <c r="T8865" i="5" s="1"/>
  <c r="U8865" i="5" s="1"/>
  <c r="T8866" i="5" a="1"/>
  <c r="T8866" i="5" s="1"/>
  <c r="U8866" i="5" s="1"/>
  <c r="T8867" i="5" a="1"/>
  <c r="T8867" i="5" s="1"/>
  <c r="U8867" i="5" s="1"/>
  <c r="W8867" i="5" s="1"/>
  <c r="T8868" i="5" a="1"/>
  <c r="T8868" i="5" s="1"/>
  <c r="U8868" i="5" s="1"/>
  <c r="W8868" i="5" s="1"/>
  <c r="T8869" i="5" a="1"/>
  <c r="T8869" i="5" s="1"/>
  <c r="U8869" i="5" s="1"/>
  <c r="T8870" i="5" a="1"/>
  <c r="T8870" i="5" s="1"/>
  <c r="U8870" i="5" s="1"/>
  <c r="T8871" i="5" a="1"/>
  <c r="T8871" i="5" s="1"/>
  <c r="U8871" i="5" s="1"/>
  <c r="T8872" i="5" a="1"/>
  <c r="T8872" i="5" s="1"/>
  <c r="U8872" i="5" s="1"/>
  <c r="W8872" i="5" s="1"/>
  <c r="T8873" i="5" a="1"/>
  <c r="T8873" i="5" s="1"/>
  <c r="U8873" i="5" s="1"/>
  <c r="T8874" i="5" a="1"/>
  <c r="T8874" i="5" s="1"/>
  <c r="U8874" i="5" s="1"/>
  <c r="T8875" i="5" a="1"/>
  <c r="T8875" i="5" s="1"/>
  <c r="U8875" i="5" s="1"/>
  <c r="W8875" i="5" s="1"/>
  <c r="T8876" i="5" a="1"/>
  <c r="T8876" i="5" s="1"/>
  <c r="U8876" i="5" s="1"/>
  <c r="W8876" i="5" s="1"/>
  <c r="T8877" i="5" a="1"/>
  <c r="T8877" i="5" s="1"/>
  <c r="U8877" i="5" s="1"/>
  <c r="T8878" i="5" a="1"/>
  <c r="T8878" i="5" s="1"/>
  <c r="U8878" i="5" s="1"/>
  <c r="T8879" i="5" a="1"/>
  <c r="T8879" i="5" s="1"/>
  <c r="U8879" i="5" s="1"/>
  <c r="T8880" i="5" a="1"/>
  <c r="T8880" i="5" s="1"/>
  <c r="U8880" i="5" s="1"/>
  <c r="T8881" i="5" a="1"/>
  <c r="T8881" i="5" s="1"/>
  <c r="U8881" i="5" s="1"/>
  <c r="T8882" i="5" a="1"/>
  <c r="T8882" i="5" s="1"/>
  <c r="U8882" i="5" s="1"/>
  <c r="T8883" i="5" a="1"/>
  <c r="T8883" i="5" s="1"/>
  <c r="T8884" i="5" a="1"/>
  <c r="T8884" i="5" s="1"/>
  <c r="T8885" i="5" a="1"/>
  <c r="T8885" i="5" s="1"/>
  <c r="U8885" i="5" s="1"/>
  <c r="T8886" i="5" a="1"/>
  <c r="T8886" i="5" s="1"/>
  <c r="U8886" i="5" s="1"/>
  <c r="T8887" i="5" a="1"/>
  <c r="T8887" i="5" s="1"/>
  <c r="U8887" i="5" s="1"/>
  <c r="T8888" i="5" a="1"/>
  <c r="T8888" i="5" s="1"/>
  <c r="U8888" i="5" s="1"/>
  <c r="T8889" i="5" a="1"/>
  <c r="T8889" i="5" s="1"/>
  <c r="U8889" i="5" s="1"/>
  <c r="T8890" i="5" a="1"/>
  <c r="T8890" i="5" s="1"/>
  <c r="U8890" i="5" s="1"/>
  <c r="T8891" i="5" a="1"/>
  <c r="T8891" i="5" s="1"/>
  <c r="U8891" i="5" s="1"/>
  <c r="W8891" i="5" s="1"/>
  <c r="T8892" i="5" a="1"/>
  <c r="T8892" i="5" s="1"/>
  <c r="T8893" i="5" a="1"/>
  <c r="T8893" i="5" s="1"/>
  <c r="U8893" i="5" s="1"/>
  <c r="T8894" i="5" a="1"/>
  <c r="T8894" i="5" s="1"/>
  <c r="T8895" i="5" a="1"/>
  <c r="T8895" i="5" s="1"/>
  <c r="U8895" i="5" s="1"/>
  <c r="W8895" i="5" s="1"/>
  <c r="T8896" i="5" a="1"/>
  <c r="T8896" i="5" s="1"/>
  <c r="U8896" i="5" s="1"/>
  <c r="T8897" i="5" a="1"/>
  <c r="T8897" i="5" s="1"/>
  <c r="U8897" i="5" s="1"/>
  <c r="T8898" i="5" a="1"/>
  <c r="T8898" i="5" s="1"/>
  <c r="U8898" i="5" s="1"/>
  <c r="T8899" i="5" a="1"/>
  <c r="T8899" i="5" s="1"/>
  <c r="U8899" i="5" s="1"/>
  <c r="W8899" i="5" s="1"/>
  <c r="T8900" i="5" a="1"/>
  <c r="T8900" i="5" s="1"/>
  <c r="T8901" i="5" a="1"/>
  <c r="T8901" i="5" s="1"/>
  <c r="U8901" i="5" s="1"/>
  <c r="T8902" i="5" a="1"/>
  <c r="T8902" i="5" s="1"/>
  <c r="U8902" i="5" s="1"/>
  <c r="T8903" i="5" a="1"/>
  <c r="T8903" i="5" s="1"/>
  <c r="U8903" i="5" s="1"/>
  <c r="T8904" i="5" a="1"/>
  <c r="T8904" i="5" s="1"/>
  <c r="U8904" i="5" s="1"/>
  <c r="T8905" i="5" a="1"/>
  <c r="T8905" i="5" s="1"/>
  <c r="U8905" i="5" s="1"/>
  <c r="T8906" i="5" a="1"/>
  <c r="T8906" i="5" s="1"/>
  <c r="U8906" i="5" s="1"/>
  <c r="T8907" i="5" a="1"/>
  <c r="T8907" i="5" s="1"/>
  <c r="T8908" i="5" a="1"/>
  <c r="T8908" i="5" s="1"/>
  <c r="U8908" i="5" s="1"/>
  <c r="W8908" i="5" s="1"/>
  <c r="T8909" i="5" a="1"/>
  <c r="T8909" i="5" s="1"/>
  <c r="U8909" i="5" s="1"/>
  <c r="T8910" i="5" a="1"/>
  <c r="T8910" i="5" s="1"/>
  <c r="T8911" i="5" a="1"/>
  <c r="T8911" i="5" s="1"/>
  <c r="U8911" i="5" s="1"/>
  <c r="W8911" i="5" s="1"/>
  <c r="T8912" i="5" a="1"/>
  <c r="T8912" i="5" s="1"/>
  <c r="U8912" i="5" s="1"/>
  <c r="T8913" i="5" a="1"/>
  <c r="T8913" i="5" s="1"/>
  <c r="U8913" i="5" s="1"/>
  <c r="T8914" i="5" a="1"/>
  <c r="T8914" i="5" s="1"/>
  <c r="U8914" i="5" s="1"/>
  <c r="T8915" i="5" a="1"/>
  <c r="T8915" i="5" s="1"/>
  <c r="U8915" i="5" s="1"/>
  <c r="W8915" i="5" s="1"/>
  <c r="T8916" i="5" a="1"/>
  <c r="T8916" i="5" s="1"/>
  <c r="T8917" i="5" a="1"/>
  <c r="T8917" i="5" s="1"/>
  <c r="U8917" i="5" s="1"/>
  <c r="T8918" i="5" a="1"/>
  <c r="T8918" i="5" s="1"/>
  <c r="U8918" i="5" s="1"/>
  <c r="T8919" i="5" a="1"/>
  <c r="T8919" i="5" s="1"/>
  <c r="U8919" i="5" s="1"/>
  <c r="W8919" i="5" s="1"/>
  <c r="T8920" i="5" a="1"/>
  <c r="T8920" i="5" s="1"/>
  <c r="U8920" i="5" s="1"/>
  <c r="W8920" i="5" s="1"/>
  <c r="T8921" i="5" a="1"/>
  <c r="T8921" i="5" s="1"/>
  <c r="U8921" i="5" s="1"/>
  <c r="T8922" i="5" a="1"/>
  <c r="T8922" i="5" s="1"/>
  <c r="U8922" i="5" s="1"/>
  <c r="T8923" i="5" a="1"/>
  <c r="T8923" i="5" s="1"/>
  <c r="U8923" i="5" s="1"/>
  <c r="W8923" i="5" s="1"/>
  <c r="T8924" i="5" a="1"/>
  <c r="T8924" i="5" s="1"/>
  <c r="T8925" i="5" a="1"/>
  <c r="T8925" i="5" s="1"/>
  <c r="U8925" i="5" s="1"/>
  <c r="T8926" i="5" a="1"/>
  <c r="T8926" i="5" s="1"/>
  <c r="T8927" i="5" a="1"/>
  <c r="T8927" i="5" s="1"/>
  <c r="U8927" i="5" s="1"/>
  <c r="W8927" i="5" s="1"/>
  <c r="T8928" i="5" a="1"/>
  <c r="T8928" i="5" s="1"/>
  <c r="U8928" i="5" s="1"/>
  <c r="W8928" i="5" s="1"/>
  <c r="T8929" i="5" a="1"/>
  <c r="T8929" i="5" s="1"/>
  <c r="U8929" i="5" s="1"/>
  <c r="T8930" i="5" a="1"/>
  <c r="T8930" i="5" s="1"/>
  <c r="U8930" i="5" s="1"/>
  <c r="T8931" i="5" a="1"/>
  <c r="T8931" i="5" s="1"/>
  <c r="U8931" i="5" s="1"/>
  <c r="W8931" i="5" s="1"/>
  <c r="T8932" i="5" a="1"/>
  <c r="T8932" i="5" s="1"/>
  <c r="T8933" i="5" a="1"/>
  <c r="T8933" i="5" s="1"/>
  <c r="U8933" i="5" s="1"/>
  <c r="T8934" i="5" a="1"/>
  <c r="T8934" i="5" s="1"/>
  <c r="U8934" i="5" s="1"/>
  <c r="T8935" i="5" a="1"/>
  <c r="T8935" i="5" s="1"/>
  <c r="U8935" i="5" s="1"/>
  <c r="T8936" i="5" a="1"/>
  <c r="T8936" i="5" s="1"/>
  <c r="U8936" i="5" s="1"/>
  <c r="W8936" i="5" s="1"/>
  <c r="T8937" i="5" a="1"/>
  <c r="T8937" i="5" s="1"/>
  <c r="U8937" i="5" s="1"/>
  <c r="T8938" i="5" a="1"/>
  <c r="T8938" i="5" s="1"/>
  <c r="U8938" i="5" s="1"/>
  <c r="T8939" i="5" a="1"/>
  <c r="T8939" i="5" s="1"/>
  <c r="U8939" i="5" s="1"/>
  <c r="W8939" i="5" s="1"/>
  <c r="T8940" i="5" a="1"/>
  <c r="T8940" i="5" s="1"/>
  <c r="T8941" i="5" a="1"/>
  <c r="T8941" i="5" s="1"/>
  <c r="U8941" i="5" s="1"/>
  <c r="T8942" i="5" a="1"/>
  <c r="T8942" i="5" s="1"/>
  <c r="T8943" i="5" a="1"/>
  <c r="T8943" i="5" s="1"/>
  <c r="U8943" i="5" s="1"/>
  <c r="T8944" i="5" a="1"/>
  <c r="T8944" i="5" s="1"/>
  <c r="U8944" i="5" s="1"/>
  <c r="T8945" i="5" a="1"/>
  <c r="T8945" i="5" s="1"/>
  <c r="U8945" i="5" s="1"/>
  <c r="T8946" i="5" a="1"/>
  <c r="T8946" i="5" s="1"/>
  <c r="U8946" i="5" s="1"/>
  <c r="T8947" i="5" a="1"/>
  <c r="T8947" i="5" s="1"/>
  <c r="U8947" i="5" s="1"/>
  <c r="W8947" i="5" s="1"/>
  <c r="T8948" i="5" a="1"/>
  <c r="T8948" i="5" s="1"/>
  <c r="U8948" i="5" s="1"/>
  <c r="W8948" i="5" s="1"/>
  <c r="T8949" i="5" a="1"/>
  <c r="T8949" i="5" s="1"/>
  <c r="U8949" i="5" s="1"/>
  <c r="T8950" i="5" a="1"/>
  <c r="T8950" i="5" s="1"/>
  <c r="T8951" i="5" a="1"/>
  <c r="T8951" i="5" s="1"/>
  <c r="U8951" i="5" s="1"/>
  <c r="T8952" i="5" a="1"/>
  <c r="T8952" i="5" s="1"/>
  <c r="U8952" i="5" s="1"/>
  <c r="T8953" i="5" a="1"/>
  <c r="T8953" i="5" s="1"/>
  <c r="U8953" i="5" s="1"/>
  <c r="T8954" i="5" a="1"/>
  <c r="T8954" i="5" s="1"/>
  <c r="U8954" i="5" s="1"/>
  <c r="T8955" i="5" a="1"/>
  <c r="T8955" i="5" s="1"/>
  <c r="U8955" i="5" s="1"/>
  <c r="W8955" i="5" s="1"/>
  <c r="T8956" i="5" a="1"/>
  <c r="T8956" i="5" s="1"/>
  <c r="T8957" i="5" a="1"/>
  <c r="T8957" i="5" s="1"/>
  <c r="U8957" i="5" s="1"/>
  <c r="T8958" i="5" a="1"/>
  <c r="T8958" i="5" s="1"/>
  <c r="U8958" i="5" s="1"/>
  <c r="T8959" i="5" a="1"/>
  <c r="T8959" i="5" s="1"/>
  <c r="U8959" i="5" s="1"/>
  <c r="W8959" i="5" s="1"/>
  <c r="T8960" i="5" a="1"/>
  <c r="T8960" i="5" s="1"/>
  <c r="U8960" i="5" s="1"/>
  <c r="T8961" i="5" a="1"/>
  <c r="T8961" i="5" s="1"/>
  <c r="U8961" i="5" s="1"/>
  <c r="T8962" i="5" a="1"/>
  <c r="T8962" i="5" s="1"/>
  <c r="U8962" i="5" s="1"/>
  <c r="T8963" i="5" a="1"/>
  <c r="T8963" i="5" s="1"/>
  <c r="U8963" i="5" s="1"/>
  <c r="W8963" i="5" s="1"/>
  <c r="T8964" i="5" a="1"/>
  <c r="T8964" i="5" s="1"/>
  <c r="T8965" i="5" a="1"/>
  <c r="T8965" i="5" s="1"/>
  <c r="U8965" i="5" s="1"/>
  <c r="T8966" i="5" a="1"/>
  <c r="T8966" i="5" s="1"/>
  <c r="T8967" i="5" a="1"/>
  <c r="T8967" i="5" s="1"/>
  <c r="U8967" i="5" s="1"/>
  <c r="T8968" i="5" a="1"/>
  <c r="T8968" i="5" s="1"/>
  <c r="U8968" i="5" s="1"/>
  <c r="T8969" i="5" a="1"/>
  <c r="T8969" i="5" s="1"/>
  <c r="U8969" i="5" s="1"/>
  <c r="T8970" i="5" a="1"/>
  <c r="T8970" i="5" s="1"/>
  <c r="U8970" i="5" s="1"/>
  <c r="T8971" i="5" a="1"/>
  <c r="T8971" i="5" s="1"/>
  <c r="U8971" i="5" s="1"/>
  <c r="W8971" i="5" s="1"/>
  <c r="T8972" i="5" a="1"/>
  <c r="T8972" i="5" s="1"/>
  <c r="T8973" i="5" a="1"/>
  <c r="T8973" i="5" s="1"/>
  <c r="U8973" i="5" s="1"/>
  <c r="T8974" i="5" a="1"/>
  <c r="T8974" i="5" s="1"/>
  <c r="U8974" i="5" s="1"/>
  <c r="T8975" i="5" a="1"/>
  <c r="T8975" i="5" s="1"/>
  <c r="U8975" i="5" s="1"/>
  <c r="W8975" i="5" s="1"/>
  <c r="T8976" i="5" a="1"/>
  <c r="T8976" i="5" s="1"/>
  <c r="U8976" i="5" s="1"/>
  <c r="T8977" i="5" a="1"/>
  <c r="T8977" i="5" s="1"/>
  <c r="U8977" i="5" s="1"/>
  <c r="T8978" i="5" a="1"/>
  <c r="T8978" i="5" s="1"/>
  <c r="U8978" i="5" s="1"/>
  <c r="T8979" i="5" a="1"/>
  <c r="T8979" i="5" s="1"/>
  <c r="T8980" i="5" a="1"/>
  <c r="T8980" i="5" s="1"/>
  <c r="U8980" i="5" s="1"/>
  <c r="W8980" i="5" s="1"/>
  <c r="T8981" i="5" a="1"/>
  <c r="T8981" i="5" s="1"/>
  <c r="U8981" i="5" s="1"/>
  <c r="T8982" i="5" a="1"/>
  <c r="T8982" i="5" s="1"/>
  <c r="U8982" i="5" s="1"/>
  <c r="T8983" i="5" a="1"/>
  <c r="T8983" i="5" s="1"/>
  <c r="U8983" i="5" s="1"/>
  <c r="W8983" i="5" s="1"/>
  <c r="T8984" i="5" a="1"/>
  <c r="T8984" i="5" s="1"/>
  <c r="U8984" i="5" s="1"/>
  <c r="W8984" i="5" s="1"/>
  <c r="T8985" i="5" a="1"/>
  <c r="T8985" i="5" s="1"/>
  <c r="U8985" i="5" s="1"/>
  <c r="T8986" i="5" a="1"/>
  <c r="T8986" i="5" s="1"/>
  <c r="U8986" i="5" s="1"/>
  <c r="T8987" i="5" a="1"/>
  <c r="T8987" i="5" s="1"/>
  <c r="U8987" i="5" s="1"/>
  <c r="W8987" i="5" s="1"/>
  <c r="T8988" i="5" a="1"/>
  <c r="T8988" i="5" s="1"/>
  <c r="U8988" i="5" s="1"/>
  <c r="W8988" i="5" s="1"/>
  <c r="T8989" i="5" a="1"/>
  <c r="T8989" i="5" s="1"/>
  <c r="U8989" i="5" s="1"/>
  <c r="T8990" i="5" a="1"/>
  <c r="T8990" i="5" s="1"/>
  <c r="U8990" i="5" s="1"/>
  <c r="T8991" i="5" a="1"/>
  <c r="T8991" i="5" s="1"/>
  <c r="U8991" i="5" s="1"/>
  <c r="W8991" i="5" s="1"/>
  <c r="T8992" i="5" a="1"/>
  <c r="T8992" i="5" s="1"/>
  <c r="U8992" i="5" s="1"/>
  <c r="W8992" i="5" s="1"/>
  <c r="T8993" i="5" a="1"/>
  <c r="T8993" i="5" s="1"/>
  <c r="U8993" i="5" s="1"/>
  <c r="T8994" i="5" a="1"/>
  <c r="T8994" i="5" s="1"/>
  <c r="U8994" i="5" s="1"/>
  <c r="T8995" i="5" a="1"/>
  <c r="T8995" i="5" s="1"/>
  <c r="U8995" i="5" s="1"/>
  <c r="W8995" i="5" s="1"/>
  <c r="T8996" i="5" a="1"/>
  <c r="T8996" i="5" s="1"/>
  <c r="U8996" i="5" s="1"/>
  <c r="W8996" i="5" s="1"/>
  <c r="T8997" i="5" a="1"/>
  <c r="T8997" i="5" s="1"/>
  <c r="U8997" i="5" s="1"/>
  <c r="T8998" i="5" a="1"/>
  <c r="T8998" i="5" s="1"/>
  <c r="T8999" i="5" a="1"/>
  <c r="T8999" i="5" s="1"/>
  <c r="U8999" i="5" s="1"/>
  <c r="T9000" i="5" a="1"/>
  <c r="T9000" i="5" s="1"/>
  <c r="U9000" i="5" s="1"/>
  <c r="W9000" i="5" s="1"/>
  <c r="T9001" i="5" a="1"/>
  <c r="T9001" i="5" s="1"/>
  <c r="U9001" i="5" s="1"/>
  <c r="T9002" i="5" a="1"/>
  <c r="T9002" i="5" s="1"/>
  <c r="U9002" i="5" s="1"/>
  <c r="T9003" i="5" a="1"/>
  <c r="T9003" i="5" s="1"/>
  <c r="T9004" i="5" a="1"/>
  <c r="T9004" i="5" s="1"/>
  <c r="T9005" i="5" a="1"/>
  <c r="T9005" i="5" s="1"/>
  <c r="U9005" i="5" s="1"/>
  <c r="T9006" i="5" a="1"/>
  <c r="T9006" i="5" s="1"/>
  <c r="U9006" i="5" s="1"/>
  <c r="T9007" i="5" a="1"/>
  <c r="T9007" i="5" s="1"/>
  <c r="U9007" i="5" s="1"/>
  <c r="T9008" i="5" a="1"/>
  <c r="T9008" i="5" s="1"/>
  <c r="U9008" i="5" s="1"/>
  <c r="T9009" i="5" a="1"/>
  <c r="T9009" i="5" s="1"/>
  <c r="U9009" i="5" s="1"/>
  <c r="T9010" i="5" a="1"/>
  <c r="T9010" i="5" s="1"/>
  <c r="U9010" i="5" s="1"/>
  <c r="T9011" i="5" a="1"/>
  <c r="T9011" i="5" s="1"/>
  <c r="U9011" i="5" s="1"/>
  <c r="W9011" i="5" s="1"/>
  <c r="T9012" i="5" a="1"/>
  <c r="T9012" i="5" s="1"/>
  <c r="T9013" i="5" a="1"/>
  <c r="T9013" i="5" s="1"/>
  <c r="U9013" i="5" s="1"/>
  <c r="T9014" i="5" a="1"/>
  <c r="T9014" i="5" s="1"/>
  <c r="U9014" i="5" s="1"/>
  <c r="T9015" i="5" a="1"/>
  <c r="T9015" i="5" s="1"/>
  <c r="U9015" i="5" s="1"/>
  <c r="T9016" i="5" a="1"/>
  <c r="T9016" i="5" s="1"/>
  <c r="U9016" i="5" s="1"/>
  <c r="T9017" i="5" a="1"/>
  <c r="T9017" i="5" s="1"/>
  <c r="U9017" i="5" s="1"/>
  <c r="T9018" i="5" a="1"/>
  <c r="T9018" i="5" s="1"/>
  <c r="U9018" i="5" s="1"/>
  <c r="T9019" i="5" a="1"/>
  <c r="T9019" i="5" s="1"/>
  <c r="U9019" i="5" s="1"/>
  <c r="W9019" i="5" s="1"/>
  <c r="T9020" i="5" a="1"/>
  <c r="T9020" i="5" s="1"/>
  <c r="T9021" i="5" a="1"/>
  <c r="T9021" i="5" s="1"/>
  <c r="U9021" i="5" s="1"/>
  <c r="T9022" i="5" a="1"/>
  <c r="T9022" i="5" s="1"/>
  <c r="U9022" i="5" s="1"/>
  <c r="T9023" i="5" a="1"/>
  <c r="T9023" i="5" s="1"/>
  <c r="U9023" i="5" s="1"/>
  <c r="W9023" i="5" s="1"/>
  <c r="T9024" i="5" a="1"/>
  <c r="T9024" i="5" s="1"/>
  <c r="U9024" i="5" s="1"/>
  <c r="T9025" i="5" a="1"/>
  <c r="T9025" i="5" s="1"/>
  <c r="U9025" i="5" s="1"/>
  <c r="T9026" i="5" a="1"/>
  <c r="T9026" i="5" s="1"/>
  <c r="U9026" i="5" s="1"/>
  <c r="T9027" i="5" a="1"/>
  <c r="T9027" i="5" s="1"/>
  <c r="U9027" i="5" s="1"/>
  <c r="W9027" i="5" s="1"/>
  <c r="T9028" i="5" a="1"/>
  <c r="T9028" i="5" s="1"/>
  <c r="U9028" i="5" s="1"/>
  <c r="W9028" i="5" s="1"/>
  <c r="T9029" i="5" a="1"/>
  <c r="T9029" i="5" s="1"/>
  <c r="U9029" i="5" s="1"/>
  <c r="T9030" i="5" a="1"/>
  <c r="T9030" i="5" s="1"/>
  <c r="U9030" i="5" s="1"/>
  <c r="T9031" i="5" a="1"/>
  <c r="T9031" i="5" s="1"/>
  <c r="U9031" i="5" s="1"/>
  <c r="T9032" i="5" a="1"/>
  <c r="T9032" i="5" s="1"/>
  <c r="U9032" i="5" s="1"/>
  <c r="T9033" i="5" a="1"/>
  <c r="T9033" i="5" s="1"/>
  <c r="U9033" i="5" s="1"/>
  <c r="T9034" i="5" a="1"/>
  <c r="T9034" i="5" s="1"/>
  <c r="U9034" i="5" s="1"/>
  <c r="T9035" i="5" a="1"/>
  <c r="T9035" i="5" s="1"/>
  <c r="U9035" i="5" s="1"/>
  <c r="W9035" i="5" s="1"/>
  <c r="T9036" i="5" a="1"/>
  <c r="T9036" i="5" s="1"/>
  <c r="U9036" i="5" s="1"/>
  <c r="W9036" i="5" s="1"/>
  <c r="T9037" i="5" a="1"/>
  <c r="T9037" i="5" s="1"/>
  <c r="U9037" i="5" s="1"/>
  <c r="T9038" i="5" a="1"/>
  <c r="T9038" i="5" s="1"/>
  <c r="T9039" i="5" a="1"/>
  <c r="T9039" i="5" s="1"/>
  <c r="U9039" i="5" s="1"/>
  <c r="W9039" i="5" s="1"/>
  <c r="T9040" i="5" a="1"/>
  <c r="T9040" i="5" s="1"/>
  <c r="U9040" i="5" s="1"/>
  <c r="T9041" i="5" a="1"/>
  <c r="T9041" i="5" s="1"/>
  <c r="U9041" i="5" s="1"/>
  <c r="T9042" i="5" a="1"/>
  <c r="T9042" i="5" s="1"/>
  <c r="U9042" i="5" s="1"/>
  <c r="T9043" i="5" a="1"/>
  <c r="T9043" i="5" s="1"/>
  <c r="U9043" i="5" s="1"/>
  <c r="W9043" i="5" s="1"/>
  <c r="T9044" i="5" a="1"/>
  <c r="T9044" i="5" s="1"/>
  <c r="T9045" i="5" a="1"/>
  <c r="T9045" i="5" s="1"/>
  <c r="U9045" i="5" s="1"/>
  <c r="T9046" i="5" a="1"/>
  <c r="T9046" i="5" s="1"/>
  <c r="T9047" i="5" a="1"/>
  <c r="T9047" i="5" s="1"/>
  <c r="U9047" i="5" s="1"/>
  <c r="W9047" i="5" s="1"/>
  <c r="T9048" i="5" a="1"/>
  <c r="T9048" i="5" s="1"/>
  <c r="U9048" i="5" s="1"/>
  <c r="W9048" i="5" s="1"/>
  <c r="T9049" i="5" a="1"/>
  <c r="T9049" i="5" s="1"/>
  <c r="U9049" i="5" s="1"/>
  <c r="T9050" i="5" a="1"/>
  <c r="T9050" i="5" s="1"/>
  <c r="U9050" i="5" s="1"/>
  <c r="T9051" i="5" a="1"/>
  <c r="T9051" i="5" s="1"/>
  <c r="U9051" i="5" s="1"/>
  <c r="W9051" i="5" s="1"/>
  <c r="T9052" i="5" a="1"/>
  <c r="T9052" i="5" s="1"/>
  <c r="T9053" i="5" a="1"/>
  <c r="T9053" i="5" s="1"/>
  <c r="U9053" i="5" s="1"/>
  <c r="T9054" i="5" a="1"/>
  <c r="T9054" i="5" s="1"/>
  <c r="U9054" i="5" s="1"/>
  <c r="T9055" i="5" a="1"/>
  <c r="T9055" i="5" s="1"/>
  <c r="U9055" i="5" s="1"/>
  <c r="W9055" i="5" s="1"/>
  <c r="T9056" i="5" a="1"/>
  <c r="T9056" i="5" s="1"/>
  <c r="U9056" i="5" s="1"/>
  <c r="W9056" i="5" s="1"/>
  <c r="T9057" i="5" a="1"/>
  <c r="T9057" i="5" s="1"/>
  <c r="U9057" i="5" s="1"/>
  <c r="T9058" i="5" a="1"/>
  <c r="T9058" i="5" s="1"/>
  <c r="U9058" i="5" s="1"/>
  <c r="T9059" i="5" a="1"/>
  <c r="T9059" i="5" s="1"/>
  <c r="T9060" i="5" a="1"/>
  <c r="T9060" i="5" s="1"/>
  <c r="T9061" i="5" a="1"/>
  <c r="T9061" i="5" s="1"/>
  <c r="U9061" i="5" s="1"/>
  <c r="T9062" i="5" a="1"/>
  <c r="T9062" i="5" s="1"/>
  <c r="U9062" i="5" s="1"/>
  <c r="T9063" i="5" a="1"/>
  <c r="T9063" i="5" s="1"/>
  <c r="U9063" i="5" s="1"/>
  <c r="T9064" i="5" a="1"/>
  <c r="T9064" i="5" s="1"/>
  <c r="U9064" i="5" s="1"/>
  <c r="W9064" i="5" s="1"/>
  <c r="T9065" i="5" a="1"/>
  <c r="T9065" i="5" s="1"/>
  <c r="U9065" i="5" s="1"/>
  <c r="T9066" i="5" a="1"/>
  <c r="T9066" i="5" s="1"/>
  <c r="U9066" i="5" s="1"/>
  <c r="T9067" i="5" a="1"/>
  <c r="T9067" i="5" s="1"/>
  <c r="U9067" i="5" s="1"/>
  <c r="W9067" i="5" s="1"/>
  <c r="T9068" i="5" a="1"/>
  <c r="T9068" i="5" s="1"/>
  <c r="U9068" i="5" s="1"/>
  <c r="W9068" i="5" s="1"/>
  <c r="T9069" i="5" a="1"/>
  <c r="T9069" i="5" s="1"/>
  <c r="U9069" i="5" s="1"/>
  <c r="T9070" i="5" a="1"/>
  <c r="T9070" i="5" s="1"/>
  <c r="T9071" i="5" a="1"/>
  <c r="T9071" i="5" s="1"/>
  <c r="U9071" i="5" s="1"/>
  <c r="T9072" i="5" a="1"/>
  <c r="T9072" i="5" s="1"/>
  <c r="U9072" i="5" s="1"/>
  <c r="T9073" i="5" a="1"/>
  <c r="T9073" i="5" s="1"/>
  <c r="U9073" i="5" s="1"/>
  <c r="T9074" i="5" a="1"/>
  <c r="T9074" i="5" s="1"/>
  <c r="U9074" i="5" s="1"/>
  <c r="T9075" i="5" a="1"/>
  <c r="T9075" i="5" s="1"/>
  <c r="U9075" i="5" s="1"/>
  <c r="W9075" i="5" s="1"/>
  <c r="T9076" i="5" a="1"/>
  <c r="T9076" i="5" s="1"/>
  <c r="U9076" i="5" s="1"/>
  <c r="W9076" i="5" s="1"/>
  <c r="T9077" i="5" a="1"/>
  <c r="T9077" i="5" s="1"/>
  <c r="U9077" i="5" s="1"/>
  <c r="T9078" i="5" a="1"/>
  <c r="T9078" i="5" s="1"/>
  <c r="U9078" i="5" s="1"/>
  <c r="T9079" i="5" a="1"/>
  <c r="T9079" i="5" s="1"/>
  <c r="U9079" i="5" s="1"/>
  <c r="T9080" i="5" a="1"/>
  <c r="T9080" i="5" s="1"/>
  <c r="U9080" i="5" s="1"/>
  <c r="T9081" i="5" a="1"/>
  <c r="T9081" i="5" s="1"/>
  <c r="U9081" i="5" s="1"/>
  <c r="T9082" i="5" a="1"/>
  <c r="T9082" i="5" s="1"/>
  <c r="U9082" i="5" s="1"/>
  <c r="T9083" i="5" a="1"/>
  <c r="T9083" i="5" s="1"/>
  <c r="U9083" i="5" s="1"/>
  <c r="W9083" i="5" s="1"/>
  <c r="T9084" i="5" a="1"/>
  <c r="T9084" i="5" s="1"/>
  <c r="T9085" i="5" a="1"/>
  <c r="T9085" i="5" s="1"/>
  <c r="U9085" i="5" s="1"/>
  <c r="T9086" i="5" a="1"/>
  <c r="T9086" i="5" s="1"/>
  <c r="U9086" i="5" s="1"/>
  <c r="T9087" i="5" a="1"/>
  <c r="T9087" i="5" s="1"/>
  <c r="U9087" i="5" s="1"/>
  <c r="W9087" i="5" s="1"/>
  <c r="T9088" i="5" a="1"/>
  <c r="T9088" i="5" s="1"/>
  <c r="U9088" i="5" s="1"/>
  <c r="T9089" i="5" a="1"/>
  <c r="T9089" i="5" s="1"/>
  <c r="U9089" i="5" s="1"/>
  <c r="T9090" i="5" a="1"/>
  <c r="T9090" i="5" s="1"/>
  <c r="U9090" i="5" s="1"/>
  <c r="T9091" i="5" a="1"/>
  <c r="T9091" i="5" s="1"/>
  <c r="U9091" i="5" s="1"/>
  <c r="W9091" i="5" s="1"/>
  <c r="T9092" i="5" a="1"/>
  <c r="T9092" i="5" s="1"/>
  <c r="T9093" i="5" a="1"/>
  <c r="T9093" i="5" s="1"/>
  <c r="U9093" i="5" s="1"/>
  <c r="T9094" i="5" a="1"/>
  <c r="T9094" i="5" s="1"/>
  <c r="T9095" i="5" a="1"/>
  <c r="T9095" i="5" s="1"/>
  <c r="U9095" i="5" s="1"/>
  <c r="T9096" i="5" a="1"/>
  <c r="T9096" i="5" s="1"/>
  <c r="U9096" i="5" s="1"/>
  <c r="T9097" i="5" a="1"/>
  <c r="T9097" i="5" s="1"/>
  <c r="U9097" i="5" s="1"/>
  <c r="T9098" i="5" a="1"/>
  <c r="T9098" i="5" s="1"/>
  <c r="U9098" i="5" s="1"/>
  <c r="T9099" i="5" a="1"/>
  <c r="T9099" i="5" s="1"/>
  <c r="T9100" i="5" a="1"/>
  <c r="T9100" i="5" s="1"/>
  <c r="T9101" i="5" a="1"/>
  <c r="T9101" i="5" s="1"/>
  <c r="U9101" i="5" s="1"/>
  <c r="T9102" i="5" a="1"/>
  <c r="T9102" i="5" s="1"/>
  <c r="U9102" i="5" s="1"/>
  <c r="T9103" i="5" a="1"/>
  <c r="T9103" i="5" s="1"/>
  <c r="U9103" i="5" s="1"/>
  <c r="W9103" i="5" s="1"/>
  <c r="T9104" i="5" a="1"/>
  <c r="T9104" i="5" s="1"/>
  <c r="U9104" i="5" s="1"/>
  <c r="T9105" i="5" a="1"/>
  <c r="T9105" i="5" s="1"/>
  <c r="U9105" i="5" s="1"/>
  <c r="T9106" i="5" a="1"/>
  <c r="T9106" i="5" s="1"/>
  <c r="U9106" i="5" s="1"/>
  <c r="T9107" i="5" a="1"/>
  <c r="T9107" i="5" s="1"/>
  <c r="U9107" i="5" s="1"/>
  <c r="W9107" i="5" s="1"/>
  <c r="T9108" i="5" a="1"/>
  <c r="T9108" i="5" s="1"/>
  <c r="U9108" i="5" s="1"/>
  <c r="W9108" i="5" s="1"/>
  <c r="T9109" i="5" a="1"/>
  <c r="T9109" i="5" s="1"/>
  <c r="U9109" i="5" s="1"/>
  <c r="T9110" i="5" a="1"/>
  <c r="T9110" i="5" s="1"/>
  <c r="U9110" i="5" s="1"/>
  <c r="T9111" i="5" a="1"/>
  <c r="T9111" i="5" s="1"/>
  <c r="U9111" i="5" s="1"/>
  <c r="W9111" i="5" s="1"/>
  <c r="T9112" i="5" a="1"/>
  <c r="T9112" i="5" s="1"/>
  <c r="U9112" i="5" s="1"/>
  <c r="W9112" i="5" s="1"/>
  <c r="T9113" i="5" a="1"/>
  <c r="T9113" i="5" s="1"/>
  <c r="U9113" i="5" s="1"/>
  <c r="T9114" i="5" a="1"/>
  <c r="T9114" i="5" s="1"/>
  <c r="U9114" i="5" s="1"/>
  <c r="T9115" i="5" a="1"/>
  <c r="T9115" i="5" s="1"/>
  <c r="U9115" i="5" s="1"/>
  <c r="W9115" i="5" s="1"/>
  <c r="T9116" i="5" a="1"/>
  <c r="T9116" i="5" s="1"/>
  <c r="U9116" i="5" s="1"/>
  <c r="W9116" i="5" s="1"/>
  <c r="T9117" i="5" a="1"/>
  <c r="T9117" i="5" s="1"/>
  <c r="U9117" i="5" s="1"/>
  <c r="T9118" i="5" a="1"/>
  <c r="T9118" i="5" s="1"/>
  <c r="U9118" i="5" s="1"/>
  <c r="T9119" i="5" a="1"/>
  <c r="T9119" i="5" s="1"/>
  <c r="U9119" i="5" s="1"/>
  <c r="W9119" i="5" s="1"/>
  <c r="T9120" i="5" a="1"/>
  <c r="T9120" i="5" s="1"/>
  <c r="U9120" i="5" s="1"/>
  <c r="W9120" i="5" s="1"/>
  <c r="T9121" i="5" a="1"/>
  <c r="T9121" i="5" s="1"/>
  <c r="U9121" i="5" s="1"/>
  <c r="T9122" i="5" a="1"/>
  <c r="T9122" i="5" s="1"/>
  <c r="U9122" i="5" s="1"/>
  <c r="T9123" i="5" a="1"/>
  <c r="T9123" i="5" s="1"/>
  <c r="U9123" i="5" s="1"/>
  <c r="W9123" i="5" s="1"/>
  <c r="T9124" i="5" a="1"/>
  <c r="T9124" i="5" s="1"/>
  <c r="U9124" i="5" s="1"/>
  <c r="W9124" i="5" s="1"/>
  <c r="T9125" i="5" a="1"/>
  <c r="T9125" i="5" s="1"/>
  <c r="U9125" i="5" s="1"/>
  <c r="T9126" i="5" a="1"/>
  <c r="T9126" i="5" s="1"/>
  <c r="U9126" i="5" s="1"/>
  <c r="T9127" i="5" a="1"/>
  <c r="T9127" i="5" s="1"/>
  <c r="U9127" i="5" s="1"/>
  <c r="T9128" i="5" a="1"/>
  <c r="T9128" i="5" s="1"/>
  <c r="U9128" i="5" s="1"/>
  <c r="W9128" i="5" s="1"/>
  <c r="T9129" i="5" a="1"/>
  <c r="T9129" i="5" s="1"/>
  <c r="U9129" i="5" s="1"/>
  <c r="T9130" i="5" a="1"/>
  <c r="T9130" i="5" s="1"/>
  <c r="U9130" i="5" s="1"/>
  <c r="T9131" i="5" a="1"/>
  <c r="T9131" i="5" s="1"/>
  <c r="T9132" i="5" a="1"/>
  <c r="T9132" i="5" s="1"/>
  <c r="T9133" i="5" a="1"/>
  <c r="T9133" i="5" s="1"/>
  <c r="U9133" i="5" s="1"/>
  <c r="T9134" i="5" a="1"/>
  <c r="T9134" i="5" s="1"/>
  <c r="U9134" i="5" s="1"/>
  <c r="T9135" i="5" a="1"/>
  <c r="T9135" i="5" s="1"/>
  <c r="U9135" i="5" s="1"/>
  <c r="T9136" i="5" a="1"/>
  <c r="T9136" i="5" s="1"/>
  <c r="U9136" i="5" s="1"/>
  <c r="T9137" i="5" a="1"/>
  <c r="T9137" i="5" s="1"/>
  <c r="U9137" i="5" s="1"/>
  <c r="T9138" i="5" a="1"/>
  <c r="T9138" i="5" s="1"/>
  <c r="U9138" i="5" s="1"/>
  <c r="T9139" i="5" a="1"/>
  <c r="T9139" i="5" s="1"/>
  <c r="U9139" i="5" s="1"/>
  <c r="W9139" i="5" s="1"/>
  <c r="T9140" i="5" a="1"/>
  <c r="T9140" i="5" s="1"/>
  <c r="T9141" i="5" a="1"/>
  <c r="T9141" i="5" s="1"/>
  <c r="U9141" i="5" s="1"/>
  <c r="T9142" i="5" a="1"/>
  <c r="T9142" i="5" s="1"/>
  <c r="U9142" i="5" s="1"/>
  <c r="T9143" i="5" a="1"/>
  <c r="T9143" i="5" s="1"/>
  <c r="U9143" i="5" s="1"/>
  <c r="T9144" i="5" a="1"/>
  <c r="T9144" i="5" s="1"/>
  <c r="U9144" i="5" s="1"/>
  <c r="T9145" i="5" a="1"/>
  <c r="T9145" i="5" s="1"/>
  <c r="U9145" i="5" s="1"/>
  <c r="T9146" i="5" a="1"/>
  <c r="T9146" i="5" s="1"/>
  <c r="U9146" i="5" s="1"/>
  <c r="T9147" i="5" a="1"/>
  <c r="T9147" i="5" s="1"/>
  <c r="U9147" i="5" s="1"/>
  <c r="W9147" i="5" s="1"/>
  <c r="T9148" i="5" a="1"/>
  <c r="T9148" i="5" s="1"/>
  <c r="T9149" i="5" a="1"/>
  <c r="T9149" i="5" s="1"/>
  <c r="U9149" i="5" s="1"/>
  <c r="T9150" i="5" a="1"/>
  <c r="T9150" i="5" s="1"/>
  <c r="U9150" i="5" s="1"/>
  <c r="T9151" i="5" a="1"/>
  <c r="T9151" i="5" s="1"/>
  <c r="U9151" i="5" s="1"/>
  <c r="W9151" i="5" s="1"/>
  <c r="T9152" i="5" a="1"/>
  <c r="T9152" i="5" s="1"/>
  <c r="U9152" i="5" s="1"/>
  <c r="T9153" i="5" a="1"/>
  <c r="T9153" i="5" s="1"/>
  <c r="U9153" i="5" s="1"/>
  <c r="T9154" i="5" a="1"/>
  <c r="T9154" i="5" s="1"/>
  <c r="U9154" i="5" s="1"/>
  <c r="T9155" i="5" a="1"/>
  <c r="T9155" i="5" s="1"/>
  <c r="T9156" i="5" a="1"/>
  <c r="T9156" i="5" s="1"/>
  <c r="U9156" i="5" s="1"/>
  <c r="W9156" i="5" s="1"/>
  <c r="T9157" i="5" a="1"/>
  <c r="T9157" i="5" s="1"/>
  <c r="U9157" i="5" s="1"/>
  <c r="T9158" i="5" a="1"/>
  <c r="T9158" i="5" s="1"/>
  <c r="T9159" i="5" a="1"/>
  <c r="T9159" i="5" s="1"/>
  <c r="U9159" i="5" s="1"/>
  <c r="T9160" i="5" a="1"/>
  <c r="T9160" i="5" s="1"/>
  <c r="U9160" i="5" s="1"/>
  <c r="T9161" i="5" a="1"/>
  <c r="T9161" i="5" s="1"/>
  <c r="U9161" i="5" s="1"/>
  <c r="T9162" i="5" a="1"/>
  <c r="T9162" i="5" s="1"/>
  <c r="U9162" i="5" s="1"/>
  <c r="T9163" i="5" a="1"/>
  <c r="T9163" i="5" s="1"/>
  <c r="U9163" i="5" s="1"/>
  <c r="W9163" i="5" s="1"/>
  <c r="T9164" i="5" a="1"/>
  <c r="T9164" i="5" s="1"/>
  <c r="U9164" i="5" s="1"/>
  <c r="W9164" i="5" s="1"/>
  <c r="T9165" i="5" a="1"/>
  <c r="T9165" i="5" s="1"/>
  <c r="U9165" i="5" s="1"/>
  <c r="T9166" i="5" a="1"/>
  <c r="T9166" i="5" s="1"/>
  <c r="U9166" i="5" s="1"/>
  <c r="T9167" i="5" a="1"/>
  <c r="T9167" i="5" s="1"/>
  <c r="U9167" i="5" s="1"/>
  <c r="W9167" i="5" s="1"/>
  <c r="T9168" i="5" a="1"/>
  <c r="T9168" i="5" s="1"/>
  <c r="U9168" i="5" s="1"/>
  <c r="T9169" i="5" a="1"/>
  <c r="T9169" i="5" s="1"/>
  <c r="U9169" i="5" s="1"/>
  <c r="T9170" i="5" a="1"/>
  <c r="T9170" i="5" s="1"/>
  <c r="U9170" i="5" s="1"/>
  <c r="T9171" i="5" a="1"/>
  <c r="T9171" i="5" s="1"/>
  <c r="U9171" i="5" s="1"/>
  <c r="W9171" i="5" s="1"/>
  <c r="T9172" i="5" a="1"/>
  <c r="T9172" i="5" s="1"/>
  <c r="T9173" i="5" a="1"/>
  <c r="T9173" i="5" s="1"/>
  <c r="U9173" i="5" s="1"/>
  <c r="T9174" i="5" a="1"/>
  <c r="T9174" i="5" s="1"/>
  <c r="T9175" i="5" a="1"/>
  <c r="T9175" i="5" s="1"/>
  <c r="U9175" i="5" s="1"/>
  <c r="W9175" i="5" s="1"/>
  <c r="T9176" i="5" a="1"/>
  <c r="T9176" i="5" s="1"/>
  <c r="U9176" i="5" s="1"/>
  <c r="W9176" i="5" s="1"/>
  <c r="T9177" i="5" a="1"/>
  <c r="T9177" i="5" s="1"/>
  <c r="U9177" i="5" s="1"/>
  <c r="T9178" i="5" a="1"/>
  <c r="T9178" i="5" s="1"/>
  <c r="U9178" i="5" s="1"/>
  <c r="T9179" i="5" a="1"/>
  <c r="T9179" i="5" s="1"/>
  <c r="U9179" i="5" s="1"/>
  <c r="W9179" i="5" s="1"/>
  <c r="T9180" i="5" a="1"/>
  <c r="T9180" i="5" s="1"/>
  <c r="T9181" i="5" a="1"/>
  <c r="T9181" i="5" s="1"/>
  <c r="U9181" i="5" s="1"/>
  <c r="T9182" i="5" a="1"/>
  <c r="T9182" i="5" s="1"/>
  <c r="U9182" i="5" s="1"/>
  <c r="T9183" i="5" a="1"/>
  <c r="T9183" i="5" s="1"/>
  <c r="U9183" i="5" s="1"/>
  <c r="W9183" i="5" s="1"/>
  <c r="T9184" i="5" a="1"/>
  <c r="T9184" i="5" s="1"/>
  <c r="U9184" i="5" s="1"/>
  <c r="W9184" i="5" s="1"/>
  <c r="T9185" i="5" a="1"/>
  <c r="T9185" i="5" s="1"/>
  <c r="U9185" i="5" s="1"/>
  <c r="T9186" i="5" a="1"/>
  <c r="T9186" i="5" s="1"/>
  <c r="U9186" i="5" s="1"/>
  <c r="T9187" i="5" a="1"/>
  <c r="T9187" i="5" s="1"/>
  <c r="U9187" i="5" s="1"/>
  <c r="W9187" i="5" s="1"/>
  <c r="T9188" i="5" a="1"/>
  <c r="T9188" i="5" s="1"/>
  <c r="T9189" i="5" a="1"/>
  <c r="T9189" i="5" s="1"/>
  <c r="U9189" i="5" s="1"/>
  <c r="T9190" i="5" a="1"/>
  <c r="T9190" i="5" s="1"/>
  <c r="T9191" i="5" a="1"/>
  <c r="T9191" i="5" s="1"/>
  <c r="U9191" i="5" s="1"/>
  <c r="T9192" i="5" a="1"/>
  <c r="T9192" i="5" s="1"/>
  <c r="U9192" i="5" s="1"/>
  <c r="W9192" i="5" s="1"/>
  <c r="T9193" i="5" a="1"/>
  <c r="T9193" i="5" s="1"/>
  <c r="U9193" i="5" s="1"/>
  <c r="T9194" i="5" a="1"/>
  <c r="T9194" i="5" s="1"/>
  <c r="U9194" i="5" s="1"/>
  <c r="T9195" i="5" a="1"/>
  <c r="T9195" i="5" s="1"/>
  <c r="U9195" i="5" s="1"/>
  <c r="W9195" i="5" s="1"/>
  <c r="T9196" i="5" a="1"/>
  <c r="T9196" i="5" s="1"/>
  <c r="U9196" i="5" s="1"/>
  <c r="W9196" i="5" s="1"/>
  <c r="T9197" i="5" a="1"/>
  <c r="T9197" i="5" s="1"/>
  <c r="U9197" i="5" s="1"/>
  <c r="T9198" i="5" a="1"/>
  <c r="T9198" i="5" s="1"/>
  <c r="U9198" i="5" s="1"/>
  <c r="T9199" i="5" a="1"/>
  <c r="T9199" i="5" s="1"/>
  <c r="U9199" i="5" s="1"/>
  <c r="T9200" i="5" a="1"/>
  <c r="T9200" i="5" s="1"/>
  <c r="U9200" i="5" s="1"/>
  <c r="T9201" i="5" a="1"/>
  <c r="T9201" i="5" s="1"/>
  <c r="U9201" i="5" s="1"/>
  <c r="T9202" i="5" a="1"/>
  <c r="T9202" i="5" s="1"/>
  <c r="U9202" i="5" s="1"/>
  <c r="T9203" i="5" a="1"/>
  <c r="T9203" i="5" s="1"/>
  <c r="U9203" i="5" s="1"/>
  <c r="W9203" i="5" s="1"/>
  <c r="T9204" i="5" a="1"/>
  <c r="T9204" i="5" s="1"/>
  <c r="U9204" i="5" s="1"/>
  <c r="W9204" i="5" s="1"/>
  <c r="T9205" i="5" a="1"/>
  <c r="T9205" i="5" s="1"/>
  <c r="U9205" i="5" s="1"/>
  <c r="T9206" i="5" a="1"/>
  <c r="T9206" i="5" s="1"/>
  <c r="T9207" i="5" a="1"/>
  <c r="T9207" i="5" s="1"/>
  <c r="U9207" i="5" s="1"/>
  <c r="T9208" i="5" a="1"/>
  <c r="T9208" i="5" s="1"/>
  <c r="U9208" i="5" s="1"/>
  <c r="T9209" i="5" a="1"/>
  <c r="T9209" i="5" s="1"/>
  <c r="U9209" i="5" s="1"/>
  <c r="T9210" i="5" a="1"/>
  <c r="T9210" i="5" s="1"/>
  <c r="U9210" i="5" s="1"/>
  <c r="T9211" i="5" a="1"/>
  <c r="T9211" i="5" s="1"/>
  <c r="U9211" i="5" s="1"/>
  <c r="W9211" i="5" s="1"/>
  <c r="T9212" i="5" a="1"/>
  <c r="T9212" i="5" s="1"/>
  <c r="T9213" i="5" a="1"/>
  <c r="T9213" i="5" s="1"/>
  <c r="U9213" i="5" s="1"/>
  <c r="T9214" i="5" a="1"/>
  <c r="T9214" i="5" s="1"/>
  <c r="T9215" i="5" a="1"/>
  <c r="T9215" i="5" s="1"/>
  <c r="U9215" i="5" s="1"/>
  <c r="W9215" i="5" s="1"/>
  <c r="T9216" i="5" a="1"/>
  <c r="T9216" i="5" s="1"/>
  <c r="U9216" i="5" s="1"/>
  <c r="T9217" i="5" a="1"/>
  <c r="T9217" i="5" s="1"/>
  <c r="U9217" i="5" s="1"/>
  <c r="T9218" i="5" a="1"/>
  <c r="T9218" i="5" s="1"/>
  <c r="U9218" i="5" s="1"/>
  <c r="T9219" i="5" a="1"/>
  <c r="T9219" i="5" s="1"/>
  <c r="T9220" i="5" a="1"/>
  <c r="T9220" i="5" s="1"/>
  <c r="T9221" i="5" a="1"/>
  <c r="T9221" i="5" s="1"/>
  <c r="U9221" i="5" s="1"/>
  <c r="T9222" i="5" a="1"/>
  <c r="T9222" i="5" s="1"/>
  <c r="U9222" i="5" s="1"/>
  <c r="T9223" i="5" a="1"/>
  <c r="T9223" i="5" s="1"/>
  <c r="U9223" i="5" s="1"/>
  <c r="T9224" i="5" a="1"/>
  <c r="T9224" i="5" s="1"/>
  <c r="U9224" i="5" s="1"/>
  <c r="T9225" i="5" a="1"/>
  <c r="T9225" i="5" s="1"/>
  <c r="U9225" i="5" s="1"/>
  <c r="T9226" i="5" a="1"/>
  <c r="T9226" i="5" s="1"/>
  <c r="U9226" i="5" s="1"/>
  <c r="T9227" i="5" a="1"/>
  <c r="T9227" i="5" s="1"/>
  <c r="U9227" i="5" s="1"/>
  <c r="W9227" i="5" s="1"/>
  <c r="T9228" i="5" a="1"/>
  <c r="T9228" i="5" s="1"/>
  <c r="T9229" i="5" a="1"/>
  <c r="T9229" i="5" s="1"/>
  <c r="U9229" i="5" s="1"/>
  <c r="T9230" i="5" a="1"/>
  <c r="T9230" i="5" s="1"/>
  <c r="T9231" i="5" a="1"/>
  <c r="T9231" i="5" s="1"/>
  <c r="U9231" i="5" s="1"/>
  <c r="W9231" i="5" s="1"/>
  <c r="T9232" i="5" a="1"/>
  <c r="T9232" i="5" s="1"/>
  <c r="U9232" i="5" s="1"/>
  <c r="T9233" i="5" a="1"/>
  <c r="T9233" i="5" s="1"/>
  <c r="U9233" i="5" s="1"/>
  <c r="T9234" i="5" a="1"/>
  <c r="T9234" i="5" s="1"/>
  <c r="U9234" i="5" s="1"/>
  <c r="T9235" i="5" a="1"/>
  <c r="T9235" i="5" s="1"/>
  <c r="U9235" i="5" s="1"/>
  <c r="W9235" i="5" s="1"/>
  <c r="T9236" i="5" a="1"/>
  <c r="T9236" i="5" s="1"/>
  <c r="U9236" i="5" s="1"/>
  <c r="W9236" i="5" s="1"/>
  <c r="T9237" i="5" a="1"/>
  <c r="T9237" i="5" s="1"/>
  <c r="U9237" i="5" s="1"/>
  <c r="T9238" i="5" a="1"/>
  <c r="T9238" i="5" s="1"/>
  <c r="U9238" i="5" s="1"/>
  <c r="T9239" i="5" a="1"/>
  <c r="T9239" i="5" s="1"/>
  <c r="U9239" i="5" s="1"/>
  <c r="W9239" i="5" s="1"/>
  <c r="T9240" i="5" a="1"/>
  <c r="T9240" i="5" s="1"/>
  <c r="U9240" i="5" s="1"/>
  <c r="W9240" i="5" s="1"/>
  <c r="T9241" i="5" a="1"/>
  <c r="T9241" i="5" s="1"/>
  <c r="U9241" i="5" s="1"/>
  <c r="T9242" i="5" a="1"/>
  <c r="T9242" i="5" s="1"/>
  <c r="U9242" i="5" s="1"/>
  <c r="T9243" i="5" a="1"/>
  <c r="T9243" i="5" s="1"/>
  <c r="U9243" i="5" s="1"/>
  <c r="W9243" i="5" s="1"/>
  <c r="T9244" i="5" a="1"/>
  <c r="T9244" i="5" s="1"/>
  <c r="U9244" i="5" s="1"/>
  <c r="W9244" i="5" s="1"/>
  <c r="T9245" i="5" a="1"/>
  <c r="T9245" i="5" s="1"/>
  <c r="U9245" i="5" s="1"/>
  <c r="T9246" i="5" a="1"/>
  <c r="T9246" i="5" s="1"/>
  <c r="T9247" i="5" a="1"/>
  <c r="T9247" i="5" s="1"/>
  <c r="U9247" i="5" s="1"/>
  <c r="W9247" i="5" s="1"/>
  <c r="T9248" i="5" a="1"/>
  <c r="T9248" i="5" s="1"/>
  <c r="U9248" i="5" s="1"/>
  <c r="W9248" i="5" s="1"/>
  <c r="T9249" i="5" a="1"/>
  <c r="T9249" i="5" s="1"/>
  <c r="U9249" i="5" s="1"/>
  <c r="T9250" i="5" a="1"/>
  <c r="T9250" i="5" s="1"/>
  <c r="U9250" i="5" s="1"/>
  <c r="T9251" i="5" a="1"/>
  <c r="T9251" i="5" s="1"/>
  <c r="U9251" i="5" s="1"/>
  <c r="W9251" i="5" s="1"/>
  <c r="T9252" i="5" a="1"/>
  <c r="T9252" i="5" s="1"/>
  <c r="T9253" i="5" a="1"/>
  <c r="T9253" i="5" s="1"/>
  <c r="U9253" i="5" s="1"/>
  <c r="T9254" i="5" a="1"/>
  <c r="T9254" i="5" s="1"/>
  <c r="U9254" i="5" s="1"/>
  <c r="T9255" i="5" a="1"/>
  <c r="T9255" i="5" s="1"/>
  <c r="U9255" i="5" s="1"/>
  <c r="T9256" i="5" a="1"/>
  <c r="T9256" i="5" s="1"/>
  <c r="U9256" i="5" s="1"/>
  <c r="W9256" i="5" s="1"/>
  <c r="T9257" i="5" a="1"/>
  <c r="T9257" i="5" s="1"/>
  <c r="U9257" i="5" s="1"/>
  <c r="T9258" i="5" a="1"/>
  <c r="T9258" i="5" s="1"/>
  <c r="U9258" i="5" s="1"/>
  <c r="T9259" i="5" a="1"/>
  <c r="T9259" i="5" s="1"/>
  <c r="U9259" i="5" s="1"/>
  <c r="W9259" i="5" s="1"/>
  <c r="T9260" i="5" a="1"/>
  <c r="T9260" i="5" s="1"/>
  <c r="T9261" i="5" a="1"/>
  <c r="T9261" i="5" s="1"/>
  <c r="U9261" i="5" s="1"/>
  <c r="T9262" i="5" a="1"/>
  <c r="T9262" i="5" s="1"/>
  <c r="T9263" i="5" a="1"/>
  <c r="T9263" i="5" s="1"/>
  <c r="U9263" i="5" s="1"/>
  <c r="T9264" i="5" a="1"/>
  <c r="T9264" i="5" s="1"/>
  <c r="U9264" i="5" s="1"/>
  <c r="T9265" i="5" a="1"/>
  <c r="T9265" i="5" s="1"/>
  <c r="U9265" i="5" s="1"/>
  <c r="T9266" i="5" a="1"/>
  <c r="T9266" i="5" s="1"/>
  <c r="U9266" i="5" s="1"/>
  <c r="T9267" i="5" a="1"/>
  <c r="T9267" i="5" s="1"/>
  <c r="U9267" i="5" s="1"/>
  <c r="W9267" i="5" s="1"/>
  <c r="T9268" i="5" a="1"/>
  <c r="T9268" i="5" s="1"/>
  <c r="T9269" i="5" a="1"/>
  <c r="T9269" i="5" s="1"/>
  <c r="U9269" i="5" s="1"/>
  <c r="T9270" i="5" a="1"/>
  <c r="T9270" i="5" s="1"/>
  <c r="U9270" i="5" s="1"/>
  <c r="T9271" i="5" a="1"/>
  <c r="T9271" i="5" s="1"/>
  <c r="U9271" i="5" s="1"/>
  <c r="T9272" i="5" a="1"/>
  <c r="T9272" i="5" s="1"/>
  <c r="U9272" i="5" s="1"/>
  <c r="T9273" i="5" a="1"/>
  <c r="T9273" i="5" s="1"/>
  <c r="U9273" i="5" s="1"/>
  <c r="T9274" i="5" a="1"/>
  <c r="T9274" i="5" s="1"/>
  <c r="U9274" i="5" s="1"/>
  <c r="T9275" i="5" a="1"/>
  <c r="T9275" i="5" s="1"/>
  <c r="U9275" i="5" s="1"/>
  <c r="W9275" i="5" s="1"/>
  <c r="T9276" i="5" a="1"/>
  <c r="T9276" i="5" s="1"/>
  <c r="U9276" i="5" s="1"/>
  <c r="W9276" i="5" s="1"/>
  <c r="T9277" i="5" a="1"/>
  <c r="T9277" i="5" s="1"/>
  <c r="U9277" i="5" s="1"/>
  <c r="T9278" i="5" a="1"/>
  <c r="T9278" i="5" s="1"/>
  <c r="U9278" i="5" s="1"/>
  <c r="T9279" i="5" a="1"/>
  <c r="T9279" i="5" s="1"/>
  <c r="U9279" i="5" s="1"/>
  <c r="W9279" i="5" s="1"/>
  <c r="T9280" i="5" a="1"/>
  <c r="T9280" i="5" s="1"/>
  <c r="U9280" i="5" s="1"/>
  <c r="T9281" i="5" a="1"/>
  <c r="T9281" i="5" s="1"/>
  <c r="U9281" i="5" s="1"/>
  <c r="T9282" i="5" a="1"/>
  <c r="T9282" i="5" s="1"/>
  <c r="U9282" i="5" s="1"/>
  <c r="T9283" i="5" a="1"/>
  <c r="T9283" i="5" s="1"/>
  <c r="U9283" i="5" s="1"/>
  <c r="W9283" i="5" s="1"/>
  <c r="T9284" i="5" a="1"/>
  <c r="T9284" i="5" s="1"/>
  <c r="U9284" i="5" s="1"/>
  <c r="W9284" i="5" s="1"/>
  <c r="T9285" i="5" a="1"/>
  <c r="T9285" i="5" s="1"/>
  <c r="U9285" i="5" s="1"/>
  <c r="T9286" i="5" a="1"/>
  <c r="T9286" i="5" s="1"/>
  <c r="U9286" i="5" s="1"/>
  <c r="T9287" i="5" a="1"/>
  <c r="T9287" i="5" s="1"/>
  <c r="U9287" i="5" s="1"/>
  <c r="T9288" i="5" a="1"/>
  <c r="T9288" i="5" s="1"/>
  <c r="U9288" i="5" s="1"/>
  <c r="T9289" i="5" a="1"/>
  <c r="T9289" i="5" s="1"/>
  <c r="U9289" i="5" s="1"/>
  <c r="T9290" i="5" a="1"/>
  <c r="T9290" i="5" s="1"/>
  <c r="U9290" i="5" s="1"/>
  <c r="T9291" i="5" a="1"/>
  <c r="T9291" i="5" s="1"/>
  <c r="U9291" i="5" s="1"/>
  <c r="W9291" i="5" s="1"/>
  <c r="T9292" i="5" a="1"/>
  <c r="T9292" i="5" s="1"/>
  <c r="U9292" i="5" s="1"/>
  <c r="W9292" i="5" s="1"/>
  <c r="T9293" i="5" a="1"/>
  <c r="T9293" i="5" s="1"/>
  <c r="U9293" i="5" s="1"/>
  <c r="T9294" i="5" a="1"/>
  <c r="T9294" i="5" s="1"/>
  <c r="U9294" i="5" s="1"/>
  <c r="T9295" i="5" a="1"/>
  <c r="T9295" i="5" s="1"/>
  <c r="U9295" i="5" s="1"/>
  <c r="W9295" i="5" s="1"/>
  <c r="T9296" i="5" a="1"/>
  <c r="T9296" i="5" s="1"/>
  <c r="U9296" i="5" s="1"/>
  <c r="T9297" i="5" a="1"/>
  <c r="T9297" i="5" s="1"/>
  <c r="U9297" i="5" s="1"/>
  <c r="T9298" i="5" a="1"/>
  <c r="T9298" i="5" s="1"/>
  <c r="U9298" i="5" s="1"/>
  <c r="T9299" i="5" a="1"/>
  <c r="T9299" i="5" s="1"/>
  <c r="U9299" i="5" s="1"/>
  <c r="W9299" i="5" s="1"/>
  <c r="T9300" i="5" a="1"/>
  <c r="T9300" i="5" s="1"/>
  <c r="T9301" i="5" a="1"/>
  <c r="T9301" i="5" s="1"/>
  <c r="U9301" i="5" s="1"/>
  <c r="T9302" i="5" a="1"/>
  <c r="T9302" i="5" s="1"/>
  <c r="T9303" i="5" a="1"/>
  <c r="T9303" i="5" s="1"/>
  <c r="U9303" i="5" s="1"/>
  <c r="W9303" i="5" s="1"/>
  <c r="T9304" i="5" a="1"/>
  <c r="T9304" i="5" s="1"/>
  <c r="U9304" i="5" s="1"/>
  <c r="W9304" i="5" s="1"/>
  <c r="T9305" i="5" a="1"/>
  <c r="T9305" i="5" s="1"/>
  <c r="U9305" i="5" s="1"/>
  <c r="T9306" i="5" a="1"/>
  <c r="T9306" i="5" s="1"/>
  <c r="U9306" i="5" s="1"/>
  <c r="T9307" i="5" a="1"/>
  <c r="T9307" i="5" s="1"/>
  <c r="U9307" i="5" s="1"/>
  <c r="W9307" i="5" s="1"/>
  <c r="T9308" i="5" a="1"/>
  <c r="T9308" i="5" s="1"/>
  <c r="T9309" i="5" a="1"/>
  <c r="T9309" i="5" s="1"/>
  <c r="U9309" i="5" s="1"/>
  <c r="T9310" i="5" a="1"/>
  <c r="T9310" i="5" s="1"/>
  <c r="U9310" i="5" s="1"/>
  <c r="T9311" i="5" a="1"/>
  <c r="T9311" i="5" s="1"/>
  <c r="U9311" i="5" s="1"/>
  <c r="W9311" i="5" s="1"/>
  <c r="T9312" i="5" a="1"/>
  <c r="T9312" i="5" s="1"/>
  <c r="T9313" i="5" a="1"/>
  <c r="T9313" i="5" s="1"/>
  <c r="U9313" i="5" s="1"/>
  <c r="T9314" i="5" a="1"/>
  <c r="T9314" i="5" s="1"/>
  <c r="U9314" i="5" s="1"/>
  <c r="T9315" i="5" a="1"/>
  <c r="T9315" i="5" s="1"/>
  <c r="U9315" i="5" s="1"/>
  <c r="W9315" i="5" s="1"/>
  <c r="T9316" i="5" a="1"/>
  <c r="T9316" i="5" s="1"/>
  <c r="T9317" i="5" a="1"/>
  <c r="T9317" i="5" s="1"/>
  <c r="U9317" i="5" s="1"/>
  <c r="T9318" i="5" a="1"/>
  <c r="T9318" i="5" s="1"/>
  <c r="T9319" i="5" a="1"/>
  <c r="T9319" i="5" s="1"/>
  <c r="U9319" i="5" s="1"/>
  <c r="T9320" i="5" a="1"/>
  <c r="T9320" i="5" s="1"/>
  <c r="U9320" i="5" s="1"/>
  <c r="W9320" i="5" s="1"/>
  <c r="T9321" i="5" a="1"/>
  <c r="T9321" i="5" s="1"/>
  <c r="U9321" i="5" s="1"/>
  <c r="T9322" i="5" a="1"/>
  <c r="T9322" i="5" s="1"/>
  <c r="U9322" i="5" s="1"/>
  <c r="T9323" i="5" a="1"/>
  <c r="T9323" i="5" s="1"/>
  <c r="T9324" i="5" a="1"/>
  <c r="T9324" i="5" s="1"/>
  <c r="U9324" i="5" s="1"/>
  <c r="W9324" i="5" s="1"/>
  <c r="T9325" i="5" a="1"/>
  <c r="T9325" i="5" s="1"/>
  <c r="U9325" i="5" s="1"/>
  <c r="T9326" i="5" a="1"/>
  <c r="T9326" i="5" s="1"/>
  <c r="U9326" i="5" s="1"/>
  <c r="T9327" i="5" a="1"/>
  <c r="T9327" i="5" s="1"/>
  <c r="U9327" i="5" s="1"/>
  <c r="T9328" i="5" a="1"/>
  <c r="T9328" i="5" s="1"/>
  <c r="U9328" i="5" s="1"/>
  <c r="T9329" i="5" a="1"/>
  <c r="T9329" i="5" s="1"/>
  <c r="U9329" i="5" s="1"/>
  <c r="T9330" i="5" a="1"/>
  <c r="T9330" i="5" s="1"/>
  <c r="U9330" i="5" s="1"/>
  <c r="T9331" i="5" a="1"/>
  <c r="T9331" i="5" s="1"/>
  <c r="U9331" i="5" s="1"/>
  <c r="W9331" i="5" s="1"/>
  <c r="T9332" i="5" a="1"/>
  <c r="T9332" i="5" s="1"/>
  <c r="T9333" i="5" a="1"/>
  <c r="T9333" i="5" s="1"/>
  <c r="U9333" i="5" s="1"/>
  <c r="T9334" i="5" a="1"/>
  <c r="T9334" i="5" s="1"/>
  <c r="T9335" i="5" a="1"/>
  <c r="T9335" i="5" s="1"/>
  <c r="U9335" i="5" s="1"/>
  <c r="T9336" i="5" a="1"/>
  <c r="T9336" i="5" s="1"/>
  <c r="U9336" i="5" s="1"/>
  <c r="T9337" i="5" a="1"/>
  <c r="T9337" i="5" s="1"/>
  <c r="U9337" i="5" s="1"/>
  <c r="T9338" i="5" a="1"/>
  <c r="T9338" i="5" s="1"/>
  <c r="U9338" i="5" s="1"/>
  <c r="T9339" i="5" a="1"/>
  <c r="T9339" i="5" s="1"/>
  <c r="U9339" i="5" s="1"/>
  <c r="W9339" i="5" s="1"/>
  <c r="T9340" i="5" a="1"/>
  <c r="T9340" i="5" s="1"/>
  <c r="T9341" i="5" a="1"/>
  <c r="T9341" i="5" s="1"/>
  <c r="U9341" i="5" s="1"/>
  <c r="T9342" i="5" a="1"/>
  <c r="T9342" i="5" s="1"/>
  <c r="U9342" i="5" s="1"/>
  <c r="T9343" i="5" a="1"/>
  <c r="T9343" i="5" s="1"/>
  <c r="U9343" i="5" s="1"/>
  <c r="W9343" i="5" s="1"/>
  <c r="T9344" i="5" a="1"/>
  <c r="T9344" i="5" s="1"/>
  <c r="U9344" i="5" s="1"/>
  <c r="T9345" i="5" a="1"/>
  <c r="T9345" i="5" s="1"/>
  <c r="U9345" i="5" s="1"/>
  <c r="T9346" i="5" a="1"/>
  <c r="T9346" i="5" s="1"/>
  <c r="U9346" i="5" s="1"/>
  <c r="T9347" i="5" a="1"/>
  <c r="T9347" i="5" s="1"/>
  <c r="U9347" i="5" s="1"/>
  <c r="W9347" i="5" s="1"/>
  <c r="T9348" i="5" a="1"/>
  <c r="T9348" i="5" s="1"/>
  <c r="T9349" i="5" a="1"/>
  <c r="T9349" i="5" s="1"/>
  <c r="U9349" i="5" s="1"/>
  <c r="T9350" i="5" a="1"/>
  <c r="T9350" i="5" s="1"/>
  <c r="U9350" i="5" s="1"/>
  <c r="T9351" i="5" a="1"/>
  <c r="T9351" i="5" s="1"/>
  <c r="U9351" i="5" s="1"/>
  <c r="T9352" i="5" a="1"/>
  <c r="T9352" i="5" s="1"/>
  <c r="U9352" i="5" s="1"/>
  <c r="T9353" i="5" a="1"/>
  <c r="T9353" i="5" s="1"/>
  <c r="U9353" i="5" s="1"/>
  <c r="T9354" i="5" a="1"/>
  <c r="T9354" i="5" s="1"/>
  <c r="U9354" i="5" s="1"/>
  <c r="T9355" i="5" a="1"/>
  <c r="T9355" i="5" s="1"/>
  <c r="U9355" i="5" s="1"/>
  <c r="W9355" i="5" s="1"/>
  <c r="T9356" i="5" a="1"/>
  <c r="T9356" i="5" s="1"/>
  <c r="T9357" i="5" a="1"/>
  <c r="T9357" i="5" s="1"/>
  <c r="U9357" i="5" s="1"/>
  <c r="T9358" i="5" a="1"/>
  <c r="T9358" i="5" s="1"/>
  <c r="U9358" i="5" s="1"/>
  <c r="T9359" i="5" a="1"/>
  <c r="T9359" i="5" s="1"/>
  <c r="U9359" i="5" s="1"/>
  <c r="W9359" i="5" s="1"/>
  <c r="T9360" i="5" a="1"/>
  <c r="T9360" i="5" s="1"/>
  <c r="U9360" i="5" s="1"/>
  <c r="T9361" i="5" a="1"/>
  <c r="T9361" i="5" s="1"/>
  <c r="U9361" i="5" s="1"/>
  <c r="T9362" i="5" a="1"/>
  <c r="T9362" i="5" s="1"/>
  <c r="U9362" i="5" s="1"/>
  <c r="T9363" i="5" a="1"/>
  <c r="T9363" i="5" s="1"/>
  <c r="U9363" i="5" s="1"/>
  <c r="W9363" i="5" s="1"/>
  <c r="T9364" i="5" a="1"/>
  <c r="T9364" i="5" s="1"/>
  <c r="U9364" i="5" s="1"/>
  <c r="W9364" i="5" s="1"/>
  <c r="T9365" i="5" a="1"/>
  <c r="T9365" i="5" s="1"/>
  <c r="U9365" i="5" s="1"/>
  <c r="T9366" i="5" a="1"/>
  <c r="T9366" i="5" s="1"/>
  <c r="U9366" i="5" s="1"/>
  <c r="T9367" i="5" a="1"/>
  <c r="T9367" i="5" s="1"/>
  <c r="U9367" i="5" s="1"/>
  <c r="W9367" i="5" s="1"/>
  <c r="T9368" i="5" a="1"/>
  <c r="T9368" i="5" s="1"/>
  <c r="U9368" i="5" s="1"/>
  <c r="W9368" i="5" s="1"/>
  <c r="T9369" i="5" a="1"/>
  <c r="T9369" i="5" s="1"/>
  <c r="U9369" i="5" s="1"/>
  <c r="T9370" i="5" a="1"/>
  <c r="T9370" i="5" s="1"/>
  <c r="U9370" i="5" s="1"/>
  <c r="T9371" i="5" a="1"/>
  <c r="T9371" i="5" s="1"/>
  <c r="T9372" i="5" a="1"/>
  <c r="T9372" i="5" s="1"/>
  <c r="U9372" i="5" s="1"/>
  <c r="W9372" i="5" s="1"/>
  <c r="T9373" i="5" a="1"/>
  <c r="T9373" i="5" s="1"/>
  <c r="U9373" i="5" s="1"/>
  <c r="T9374" i="5" a="1"/>
  <c r="T9374" i="5" s="1"/>
  <c r="U9374" i="5" s="1"/>
  <c r="T9375" i="5" a="1"/>
  <c r="T9375" i="5" s="1"/>
  <c r="U9375" i="5" s="1"/>
  <c r="W9375" i="5" s="1"/>
  <c r="T9376" i="5" a="1"/>
  <c r="T9376" i="5" s="1"/>
  <c r="U9376" i="5" s="1"/>
  <c r="W9376" i="5" s="1"/>
  <c r="T9377" i="5" a="1"/>
  <c r="T9377" i="5" s="1"/>
  <c r="U9377" i="5" s="1"/>
  <c r="T9378" i="5" a="1"/>
  <c r="T9378" i="5" s="1"/>
  <c r="U9378" i="5" s="1"/>
  <c r="T9379" i="5" a="1"/>
  <c r="T9379" i="5" s="1"/>
  <c r="U9379" i="5" s="1"/>
  <c r="W9379" i="5" s="1"/>
  <c r="T9380" i="5" a="1"/>
  <c r="T9380" i="5" s="1"/>
  <c r="T9381" i="5" a="1"/>
  <c r="T9381" i="5" s="1"/>
  <c r="U9381" i="5" s="1"/>
  <c r="T9382" i="5" a="1"/>
  <c r="T9382" i="5" s="1"/>
  <c r="U9382" i="5" s="1"/>
  <c r="T9383" i="5" a="1"/>
  <c r="T9383" i="5" s="1"/>
  <c r="U9383" i="5" s="1"/>
  <c r="T9384" i="5" a="1"/>
  <c r="T9384" i="5" s="1"/>
  <c r="U9384" i="5" s="1"/>
  <c r="W9384" i="5" s="1"/>
  <c r="T9385" i="5" a="1"/>
  <c r="T9385" i="5" s="1"/>
  <c r="U9385" i="5" s="1"/>
  <c r="T9386" i="5" a="1"/>
  <c r="T9386" i="5" s="1"/>
  <c r="U9386" i="5" s="1"/>
  <c r="T9387" i="5" a="1"/>
  <c r="T9387" i="5" s="1"/>
  <c r="U9387" i="5" s="1"/>
  <c r="W9387" i="5" s="1"/>
  <c r="T9388" i="5" a="1"/>
  <c r="T9388" i="5" s="1"/>
  <c r="T9389" i="5" a="1"/>
  <c r="T9389" i="5" s="1"/>
  <c r="U9389" i="5" s="1"/>
  <c r="T9390" i="5" a="1"/>
  <c r="T9390" i="5" s="1"/>
  <c r="U9390" i="5" s="1"/>
  <c r="T9391" i="5" a="1"/>
  <c r="T9391" i="5" s="1"/>
  <c r="U9391" i="5" s="1"/>
  <c r="T9392" i="5" a="1"/>
  <c r="T9392" i="5" s="1"/>
  <c r="U9392" i="5" s="1"/>
  <c r="T9393" i="5" a="1"/>
  <c r="T9393" i="5" s="1"/>
  <c r="U9393" i="5" s="1"/>
  <c r="T9394" i="5" a="1"/>
  <c r="T9394" i="5" s="1"/>
  <c r="U9394" i="5" s="1"/>
  <c r="T9395" i="5" a="1"/>
  <c r="T9395" i="5" s="1"/>
  <c r="U9395" i="5" s="1"/>
  <c r="W9395" i="5" s="1"/>
  <c r="T9396" i="5" a="1"/>
  <c r="T9396" i="5" s="1"/>
  <c r="T9397" i="5" a="1"/>
  <c r="T9397" i="5" s="1"/>
  <c r="U9397" i="5" s="1"/>
  <c r="T9398" i="5" a="1"/>
  <c r="T9398" i="5" s="1"/>
  <c r="U9398" i="5" s="1"/>
  <c r="T9399" i="5" a="1"/>
  <c r="T9399" i="5" s="1"/>
  <c r="U9399" i="5" s="1"/>
  <c r="T9400" i="5" a="1"/>
  <c r="T9400" i="5" s="1"/>
  <c r="U9400" i="5" s="1"/>
  <c r="T9401" i="5" a="1"/>
  <c r="T9401" i="5" s="1"/>
  <c r="U9401" i="5" s="1"/>
  <c r="T9402" i="5" a="1"/>
  <c r="T9402" i="5" s="1"/>
  <c r="U9402" i="5" s="1"/>
  <c r="T9403" i="5" a="1"/>
  <c r="T9403" i="5" s="1"/>
  <c r="U9403" i="5" s="1"/>
  <c r="W9403" i="5" s="1"/>
  <c r="T9404" i="5" a="1"/>
  <c r="T9404" i="5" s="1"/>
  <c r="T9405" i="5" a="1"/>
  <c r="T9405" i="5" s="1"/>
  <c r="U9405" i="5" s="1"/>
  <c r="T9406" i="5" a="1"/>
  <c r="T9406" i="5" s="1"/>
  <c r="T9407" i="5" a="1"/>
  <c r="T9407" i="5" s="1"/>
  <c r="U9407" i="5" s="1"/>
  <c r="W9407" i="5" s="1"/>
  <c r="T9408" i="5" a="1"/>
  <c r="T9408" i="5" s="1"/>
  <c r="U9408" i="5" s="1"/>
  <c r="T9409" i="5" a="1"/>
  <c r="T9409" i="5" s="1"/>
  <c r="U9409" i="5" s="1"/>
  <c r="T9410" i="5" a="1"/>
  <c r="T9410" i="5" s="1"/>
  <c r="U9410" i="5" s="1"/>
  <c r="T9411" i="5" a="1"/>
  <c r="T9411" i="5" s="1"/>
  <c r="U9411" i="5" s="1"/>
  <c r="W9411" i="5" s="1"/>
  <c r="T9412" i="5" a="1"/>
  <c r="T9412" i="5" s="1"/>
  <c r="U9412" i="5" s="1"/>
  <c r="W9412" i="5" s="1"/>
  <c r="T9413" i="5" a="1"/>
  <c r="T9413" i="5" s="1"/>
  <c r="U9413" i="5" s="1"/>
  <c r="T9414" i="5" a="1"/>
  <c r="T9414" i="5" s="1"/>
  <c r="U9414" i="5" s="1"/>
  <c r="T9415" i="5" a="1"/>
  <c r="T9415" i="5" s="1"/>
  <c r="U9415" i="5" s="1"/>
  <c r="T9416" i="5" a="1"/>
  <c r="T9416" i="5" s="1"/>
  <c r="U9416" i="5" s="1"/>
  <c r="T9417" i="5" a="1"/>
  <c r="T9417" i="5" s="1"/>
  <c r="U9417" i="5" s="1"/>
  <c r="T9418" i="5" a="1"/>
  <c r="T9418" i="5" s="1"/>
  <c r="U9418" i="5" s="1"/>
  <c r="T9419" i="5" a="1"/>
  <c r="T9419" i="5" s="1"/>
  <c r="T9420" i="5" a="1"/>
  <c r="T9420" i="5" s="1"/>
  <c r="U9420" i="5" s="1"/>
  <c r="W9420" i="5" s="1"/>
  <c r="T9421" i="5" a="1"/>
  <c r="T9421" i="5" s="1"/>
  <c r="U9421" i="5" s="1"/>
  <c r="T9422" i="5" a="1"/>
  <c r="T9422" i="5" s="1"/>
  <c r="T9423" i="5" a="1"/>
  <c r="T9423" i="5" s="1"/>
  <c r="U9423" i="5" s="1"/>
  <c r="W9423" i="5" s="1"/>
  <c r="T9424" i="5" a="1"/>
  <c r="T9424" i="5" s="1"/>
  <c r="U9424" i="5" s="1"/>
  <c r="T9425" i="5" a="1"/>
  <c r="T9425" i="5" s="1"/>
  <c r="U9425" i="5" s="1"/>
  <c r="T9426" i="5" a="1"/>
  <c r="T9426" i="5" s="1"/>
  <c r="U9426" i="5" s="1"/>
  <c r="T9427" i="5" a="1"/>
  <c r="T9427" i="5" s="1"/>
  <c r="U9427" i="5" s="1"/>
  <c r="W9427" i="5" s="1"/>
  <c r="T9428" i="5" a="1"/>
  <c r="T9428" i="5" s="1"/>
  <c r="T9429" i="5" a="1"/>
  <c r="T9429" i="5" s="1"/>
  <c r="U9429" i="5" s="1"/>
  <c r="T9430" i="5" a="1"/>
  <c r="T9430" i="5" s="1"/>
  <c r="U9430" i="5" s="1"/>
  <c r="T9431" i="5" a="1"/>
  <c r="T9431" i="5" s="1"/>
  <c r="U9431" i="5" s="1"/>
  <c r="W9431" i="5" s="1"/>
  <c r="T9432" i="5" a="1"/>
  <c r="T9432" i="5" s="1"/>
  <c r="U9432" i="5" s="1"/>
  <c r="W9432" i="5" s="1"/>
  <c r="T9433" i="5" a="1"/>
  <c r="T9433" i="5" s="1"/>
  <c r="U9433" i="5" s="1"/>
  <c r="T9434" i="5" a="1"/>
  <c r="T9434" i="5" s="1"/>
  <c r="U9434" i="5" s="1"/>
  <c r="T9435" i="5" a="1"/>
  <c r="T9435" i="5" s="1"/>
  <c r="U9435" i="5" s="1"/>
  <c r="W9435" i="5" s="1"/>
  <c r="T9436" i="5" a="1"/>
  <c r="T9436" i="5" s="1"/>
  <c r="T9437" i="5" a="1"/>
  <c r="T9437" i="5" s="1"/>
  <c r="U9437" i="5" s="1"/>
  <c r="T9438" i="5" a="1"/>
  <c r="T9438" i="5" s="1"/>
  <c r="T9439" i="5" a="1"/>
  <c r="T9439" i="5" s="1"/>
  <c r="U9439" i="5" s="1"/>
  <c r="W9439" i="5" s="1"/>
  <c r="T9440" i="5" a="1"/>
  <c r="T9440" i="5" s="1"/>
  <c r="U9440" i="5" s="1"/>
  <c r="W9440" i="5" s="1"/>
  <c r="T9441" i="5" a="1"/>
  <c r="T9441" i="5" s="1"/>
  <c r="U9441" i="5" s="1"/>
  <c r="T9442" i="5" a="1"/>
  <c r="T9442" i="5" s="1"/>
  <c r="U9442" i="5" s="1"/>
  <c r="T9443" i="5" a="1"/>
  <c r="T9443" i="5" s="1"/>
  <c r="T9444" i="5" a="1"/>
  <c r="T9444" i="5" s="1"/>
  <c r="U9444" i="5" s="1"/>
  <c r="W9444" i="5" s="1"/>
  <c r="T9445" i="5" a="1"/>
  <c r="T9445" i="5" s="1"/>
  <c r="U9445" i="5" s="1"/>
  <c r="T9446" i="5" a="1"/>
  <c r="T9446" i="5" s="1"/>
  <c r="U9446" i="5" s="1"/>
  <c r="T9447" i="5" a="1"/>
  <c r="T9447" i="5" s="1"/>
  <c r="U9447" i="5" s="1"/>
  <c r="T9448" i="5" a="1"/>
  <c r="T9448" i="5" s="1"/>
  <c r="U9448" i="5" s="1"/>
  <c r="W9448" i="5" s="1"/>
  <c r="T9449" i="5" a="1"/>
  <c r="T9449" i="5" s="1"/>
  <c r="U9449" i="5" s="1"/>
  <c r="T9450" i="5" a="1"/>
  <c r="T9450" i="5" s="1"/>
  <c r="U9450" i="5" s="1"/>
  <c r="T9451" i="5" a="1"/>
  <c r="T9451" i="5" s="1"/>
  <c r="U9451" i="5" s="1"/>
  <c r="W9451" i="5" s="1"/>
  <c r="T9452" i="5" a="1"/>
  <c r="T9452" i="5" s="1"/>
  <c r="U9452" i="5" s="1"/>
  <c r="W9452" i="5" s="1"/>
  <c r="T9453" i="5" a="1"/>
  <c r="T9453" i="5" s="1"/>
  <c r="U9453" i="5" s="1"/>
  <c r="T9454" i="5" a="1"/>
  <c r="T9454" i="5" s="1"/>
  <c r="T9455" i="5" a="1"/>
  <c r="T9455" i="5" s="1"/>
  <c r="U9455" i="5" s="1"/>
  <c r="T9456" i="5" a="1"/>
  <c r="T9456" i="5" s="1"/>
  <c r="U9456" i="5" s="1"/>
  <c r="T9457" i="5" a="1"/>
  <c r="T9457" i="5" s="1"/>
  <c r="U9457" i="5" s="1"/>
  <c r="T9458" i="5" a="1"/>
  <c r="T9458" i="5" s="1"/>
  <c r="U9458" i="5" s="1"/>
  <c r="T9459" i="5" a="1"/>
  <c r="T9459" i="5" s="1"/>
  <c r="U9459" i="5" s="1"/>
  <c r="W9459" i="5" s="1"/>
  <c r="T9460" i="5" a="1"/>
  <c r="T9460" i="5" s="1"/>
  <c r="T9461" i="5" a="1"/>
  <c r="T9461" i="5" s="1"/>
  <c r="U9461" i="5" s="1"/>
  <c r="T9462" i="5" a="1"/>
  <c r="T9462" i="5" s="1"/>
  <c r="U9462" i="5" s="1"/>
  <c r="T9463" i="5" a="1"/>
  <c r="T9463" i="5" s="1"/>
  <c r="U9463" i="5" s="1"/>
  <c r="T9464" i="5" a="1"/>
  <c r="T9464" i="5" s="1"/>
  <c r="U9464" i="5" s="1"/>
  <c r="T9465" i="5" a="1"/>
  <c r="T9465" i="5" s="1"/>
  <c r="U9465" i="5" s="1"/>
  <c r="T9466" i="5" a="1"/>
  <c r="T9466" i="5" s="1"/>
  <c r="U9466" i="5" s="1"/>
  <c r="T9467" i="5" a="1"/>
  <c r="T9467" i="5" s="1"/>
  <c r="T9468" i="5" a="1"/>
  <c r="T9468" i="5" s="1"/>
  <c r="T9469" i="5" a="1"/>
  <c r="T9469" i="5" s="1"/>
  <c r="U9469" i="5" s="1"/>
  <c r="T9470" i="5" a="1"/>
  <c r="T9470" i="5" s="1"/>
  <c r="U9470" i="5" s="1"/>
  <c r="T9471" i="5" a="1"/>
  <c r="T9471" i="5" s="1"/>
  <c r="U9471" i="5" s="1"/>
  <c r="W9471" i="5" s="1"/>
  <c r="T9472" i="5" a="1"/>
  <c r="T9472" i="5" s="1"/>
  <c r="U9472" i="5" s="1"/>
  <c r="T9473" i="5" a="1"/>
  <c r="T9473" i="5" s="1"/>
  <c r="U9473" i="5" s="1"/>
  <c r="T9474" i="5" a="1"/>
  <c r="T9474" i="5" s="1"/>
  <c r="U9474" i="5" s="1"/>
  <c r="T9475" i="5" a="1"/>
  <c r="T9475" i="5" s="1"/>
  <c r="U9475" i="5" s="1"/>
  <c r="W9475" i="5" s="1"/>
  <c r="T9476" i="5" a="1"/>
  <c r="T9476" i="5" s="1"/>
  <c r="T9477" i="5" a="1"/>
  <c r="T9477" i="5" s="1"/>
  <c r="U9477" i="5" s="1"/>
  <c r="T9478" i="5" a="1"/>
  <c r="T9478" i="5" s="1"/>
  <c r="T9479" i="5" a="1"/>
  <c r="T9479" i="5" s="1"/>
  <c r="U9479" i="5" s="1"/>
  <c r="T9480" i="5" a="1"/>
  <c r="T9480" i="5" s="1"/>
  <c r="U9480" i="5" s="1"/>
  <c r="T9481" i="5" a="1"/>
  <c r="T9481" i="5" s="1"/>
  <c r="U9481" i="5" s="1"/>
  <c r="T9482" i="5" a="1"/>
  <c r="T9482" i="5" s="1"/>
  <c r="U9482" i="5" s="1"/>
  <c r="T9483" i="5" a="1"/>
  <c r="T9483" i="5" s="1"/>
  <c r="U9483" i="5" s="1"/>
  <c r="W9483" i="5" s="1"/>
  <c r="T9484" i="5" a="1"/>
  <c r="T9484" i="5" s="1"/>
  <c r="U9484" i="5" s="1"/>
  <c r="W9484" i="5" s="1"/>
  <c r="T9485" i="5" a="1"/>
  <c r="T9485" i="5" s="1"/>
  <c r="U9485" i="5" s="1"/>
  <c r="T9486" i="5" a="1"/>
  <c r="T9486" i="5" s="1"/>
  <c r="U9486" i="5" s="1"/>
  <c r="T9487" i="5" a="1"/>
  <c r="T9487" i="5" s="1"/>
  <c r="U9487" i="5" s="1"/>
  <c r="W9487" i="5" s="1"/>
  <c r="T9488" i="5" a="1"/>
  <c r="T9488" i="5" s="1"/>
  <c r="U9488" i="5" s="1"/>
  <c r="T9489" i="5" a="1"/>
  <c r="T9489" i="5" s="1"/>
  <c r="U9489" i="5" s="1"/>
  <c r="T9490" i="5" a="1"/>
  <c r="T9490" i="5" s="1"/>
  <c r="U9490" i="5" s="1"/>
  <c r="T9491" i="5" a="1"/>
  <c r="T9491" i="5" s="1"/>
  <c r="U9491" i="5" s="1"/>
  <c r="T9492" i="5" a="1"/>
  <c r="T9492" i="5" s="1"/>
  <c r="U9492" i="5" s="1"/>
  <c r="T9493" i="5" a="1"/>
  <c r="T9493" i="5" s="1"/>
  <c r="U9493" i="5" s="1"/>
  <c r="T9494" i="5" a="1"/>
  <c r="T9494" i="5" s="1"/>
  <c r="U9494" i="5" s="1"/>
  <c r="T9495" i="5" a="1"/>
  <c r="T9495" i="5" s="1"/>
  <c r="U9495" i="5" s="1"/>
  <c r="T9496" i="5" a="1"/>
  <c r="T9496" i="5" s="1"/>
  <c r="U9496" i="5" s="1"/>
  <c r="T9497" i="5" a="1"/>
  <c r="T9497" i="5" s="1"/>
  <c r="U9497" i="5" s="1"/>
  <c r="T9498" i="5" a="1"/>
  <c r="T9498" i="5" s="1"/>
  <c r="U9498" i="5" s="1"/>
  <c r="T9499" i="5" a="1"/>
  <c r="T9499" i="5" s="1"/>
  <c r="U9499" i="5" s="1"/>
  <c r="T9500" i="5" a="1"/>
  <c r="T9500" i="5" s="1"/>
  <c r="U9500" i="5" s="1"/>
  <c r="T9501" i="5" a="1"/>
  <c r="T9501" i="5" s="1"/>
  <c r="U9501" i="5" s="1"/>
  <c r="T9502" i="5" a="1"/>
  <c r="T9502" i="5" s="1"/>
  <c r="U9502" i="5" s="1"/>
  <c r="T9503" i="5" a="1"/>
  <c r="T9503" i="5" s="1"/>
  <c r="U9503" i="5" s="1"/>
  <c r="T9504" i="5" a="1"/>
  <c r="T9504" i="5" s="1"/>
  <c r="U9504" i="5" s="1"/>
  <c r="T9505" i="5" a="1"/>
  <c r="T9505" i="5" s="1"/>
  <c r="U9505" i="5" s="1"/>
  <c r="T9506" i="5" a="1"/>
  <c r="T9506" i="5" s="1"/>
  <c r="U9506" i="5" s="1"/>
  <c r="T9507" i="5" a="1"/>
  <c r="T9507" i="5" s="1"/>
  <c r="U9507" i="5" s="1"/>
  <c r="T9508" i="5" a="1"/>
  <c r="T9508" i="5" s="1"/>
  <c r="U9508" i="5" s="1"/>
  <c r="T9509" i="5" a="1"/>
  <c r="T9509" i="5" s="1"/>
  <c r="U9509" i="5" s="1"/>
  <c r="T9510" i="5" a="1"/>
  <c r="T9510" i="5" s="1"/>
  <c r="U9510" i="5" s="1"/>
  <c r="T9511" i="5" a="1"/>
  <c r="T9511" i="5" s="1"/>
  <c r="U9511" i="5" s="1"/>
  <c r="T9512" i="5" a="1"/>
  <c r="T9512" i="5" s="1"/>
  <c r="U9512" i="5" s="1"/>
  <c r="T9513" i="5" a="1"/>
  <c r="T9513" i="5" s="1"/>
  <c r="U9513" i="5" s="1"/>
  <c r="T9514" i="5" a="1"/>
  <c r="T9514" i="5" s="1"/>
  <c r="U9514" i="5" s="1"/>
  <c r="T9515" i="5" a="1"/>
  <c r="T9515" i="5" s="1"/>
  <c r="U9515" i="5" s="1"/>
  <c r="T9516" i="5" a="1"/>
  <c r="T9516" i="5" s="1"/>
  <c r="U9516" i="5" s="1"/>
  <c r="T9517" i="5" a="1"/>
  <c r="T9517" i="5" s="1"/>
  <c r="U9517" i="5" s="1"/>
  <c r="T9518" i="5" a="1"/>
  <c r="T9518" i="5" s="1"/>
  <c r="U9518" i="5" s="1"/>
  <c r="T9519" i="5" a="1"/>
  <c r="T9519" i="5" s="1"/>
  <c r="U9519" i="5" s="1"/>
  <c r="T9520" i="5" a="1"/>
  <c r="T9520" i="5" s="1"/>
  <c r="U9520" i="5" s="1"/>
  <c r="T9521" i="5" a="1"/>
  <c r="T9521" i="5" s="1"/>
  <c r="U9521" i="5" s="1"/>
  <c r="T9522" i="5" a="1"/>
  <c r="T9522" i="5" s="1"/>
  <c r="U9522" i="5" s="1"/>
  <c r="T9523" i="5" a="1"/>
  <c r="T9523" i="5" s="1"/>
  <c r="U9523" i="5" s="1"/>
  <c r="T9524" i="5" a="1"/>
  <c r="T9524" i="5" s="1"/>
  <c r="U9524" i="5" s="1"/>
  <c r="T9525" i="5" a="1"/>
  <c r="T9525" i="5" s="1"/>
  <c r="U9525" i="5" s="1"/>
  <c r="T9526" i="5" a="1"/>
  <c r="T9526" i="5" s="1"/>
  <c r="U9526" i="5" s="1"/>
  <c r="T9527" i="5" a="1"/>
  <c r="T9527" i="5" s="1"/>
  <c r="U9527" i="5" s="1"/>
  <c r="T9528" i="5" a="1"/>
  <c r="T9528" i="5" s="1"/>
  <c r="U9528" i="5" s="1"/>
  <c r="T9529" i="5" a="1"/>
  <c r="T9529" i="5" s="1"/>
  <c r="U9529" i="5" s="1"/>
  <c r="T9530" i="5" a="1"/>
  <c r="T9530" i="5" s="1"/>
  <c r="U9530" i="5" s="1"/>
  <c r="T9531" i="5" a="1"/>
  <c r="T9531" i="5" s="1"/>
  <c r="U9531" i="5" s="1"/>
  <c r="T9532" i="5" a="1"/>
  <c r="T9532" i="5" s="1"/>
  <c r="U9532" i="5" s="1"/>
  <c r="T9533" i="5" a="1"/>
  <c r="T9533" i="5" s="1"/>
  <c r="U9533" i="5" s="1"/>
  <c r="T9534" i="5" a="1"/>
  <c r="T9534" i="5" s="1"/>
  <c r="U9534" i="5" s="1"/>
  <c r="T9535" i="5" a="1"/>
  <c r="T9535" i="5" s="1"/>
  <c r="U9535" i="5" s="1"/>
  <c r="T9536" i="5" a="1"/>
  <c r="T9536" i="5" s="1"/>
  <c r="U9536" i="5" s="1"/>
  <c r="T9537" i="5" a="1"/>
  <c r="T9537" i="5" s="1"/>
  <c r="U9537" i="5" s="1"/>
  <c r="T9538" i="5" a="1"/>
  <c r="T9538" i="5" s="1"/>
  <c r="U9538" i="5" s="1"/>
  <c r="T9539" i="5" a="1"/>
  <c r="T9539" i="5" s="1"/>
  <c r="U9539" i="5" s="1"/>
  <c r="T9540" i="5" a="1"/>
  <c r="T9540" i="5" s="1"/>
  <c r="U9540" i="5" s="1"/>
  <c r="T9541" i="5" a="1"/>
  <c r="T9541" i="5" s="1"/>
  <c r="U9541" i="5" s="1"/>
  <c r="T9542" i="5" a="1"/>
  <c r="T9542" i="5" s="1"/>
  <c r="U9542" i="5" s="1"/>
  <c r="T9543" i="5" a="1"/>
  <c r="T9543" i="5" s="1"/>
  <c r="U9543" i="5" s="1"/>
  <c r="T9544" i="5" a="1"/>
  <c r="T9544" i="5" s="1"/>
  <c r="U9544" i="5" s="1"/>
  <c r="T9545" i="5" a="1"/>
  <c r="T9545" i="5" s="1"/>
  <c r="U9545" i="5" s="1"/>
  <c r="T9546" i="5" a="1"/>
  <c r="T9546" i="5" s="1"/>
  <c r="U9546" i="5" s="1"/>
  <c r="T9547" i="5" a="1"/>
  <c r="T9547" i="5" s="1"/>
  <c r="U9547" i="5" s="1"/>
  <c r="T9548" i="5" a="1"/>
  <c r="T9548" i="5" s="1"/>
  <c r="U9548" i="5" s="1"/>
  <c r="T9549" i="5" a="1"/>
  <c r="T9549" i="5" s="1"/>
  <c r="U9549" i="5" s="1"/>
  <c r="T9550" i="5" a="1"/>
  <c r="T9550" i="5" s="1"/>
  <c r="U9550" i="5" s="1"/>
  <c r="T9551" i="5" a="1"/>
  <c r="T9551" i="5" s="1"/>
  <c r="U9551" i="5" s="1"/>
  <c r="T9552" i="5" a="1"/>
  <c r="T9552" i="5" s="1"/>
  <c r="U9552" i="5" s="1"/>
  <c r="T9553" i="5" a="1"/>
  <c r="T9553" i="5" s="1"/>
  <c r="U9553" i="5" s="1"/>
  <c r="T9554" i="5" a="1"/>
  <c r="T9554" i="5" s="1"/>
  <c r="U9554" i="5" s="1"/>
  <c r="T9555" i="5" a="1"/>
  <c r="T9555" i="5" s="1"/>
  <c r="U9555" i="5" s="1"/>
  <c r="T9556" i="5" a="1"/>
  <c r="T9556" i="5" s="1"/>
  <c r="U9556" i="5" s="1"/>
  <c r="T9557" i="5" a="1"/>
  <c r="T9557" i="5" s="1"/>
  <c r="U9557" i="5" s="1"/>
  <c r="T9558" i="5" a="1"/>
  <c r="T9558" i="5" s="1"/>
  <c r="U9558" i="5" s="1"/>
  <c r="T9559" i="5" a="1"/>
  <c r="T9559" i="5" s="1"/>
  <c r="U9559" i="5" s="1"/>
  <c r="T9560" i="5" a="1"/>
  <c r="T9560" i="5" s="1"/>
  <c r="U9560" i="5" s="1"/>
  <c r="T9561" i="5" a="1"/>
  <c r="T9561" i="5" s="1"/>
  <c r="U9561" i="5" s="1"/>
  <c r="T9562" i="5" a="1"/>
  <c r="T9562" i="5" s="1"/>
  <c r="U9562" i="5" s="1"/>
  <c r="T9563" i="5" a="1"/>
  <c r="T9563" i="5" s="1"/>
  <c r="U9563" i="5" s="1"/>
  <c r="T9564" i="5" a="1"/>
  <c r="T9564" i="5" s="1"/>
  <c r="U9564" i="5" s="1"/>
  <c r="T9565" i="5" a="1"/>
  <c r="T9565" i="5" s="1"/>
  <c r="U9565" i="5" s="1"/>
  <c r="T9566" i="5" a="1"/>
  <c r="T9566" i="5" s="1"/>
  <c r="U9566" i="5" s="1"/>
  <c r="T9567" i="5" a="1"/>
  <c r="T9567" i="5" s="1"/>
  <c r="U9567" i="5" s="1"/>
  <c r="T9568" i="5" a="1"/>
  <c r="T9568" i="5" s="1"/>
  <c r="U9568" i="5" s="1"/>
  <c r="T9569" i="5" a="1"/>
  <c r="T9569" i="5" s="1"/>
  <c r="U9569" i="5" s="1"/>
  <c r="T9570" i="5" a="1"/>
  <c r="T9570" i="5" s="1"/>
  <c r="U9570" i="5" s="1"/>
  <c r="T9571" i="5" a="1"/>
  <c r="T9571" i="5" s="1"/>
  <c r="U9571" i="5" s="1"/>
  <c r="T9572" i="5" a="1"/>
  <c r="T9572" i="5" s="1"/>
  <c r="U9572" i="5" s="1"/>
  <c r="T9573" i="5" a="1"/>
  <c r="T9573" i="5" s="1"/>
  <c r="U9573" i="5" s="1"/>
  <c r="T9574" i="5" a="1"/>
  <c r="T9574" i="5" s="1"/>
  <c r="U9574" i="5" s="1"/>
  <c r="T9575" i="5" a="1"/>
  <c r="T9575" i="5" s="1"/>
  <c r="U9575" i="5" s="1"/>
  <c r="T9576" i="5" a="1"/>
  <c r="T9576" i="5" s="1"/>
  <c r="U9576" i="5" s="1"/>
  <c r="T9577" i="5" a="1"/>
  <c r="T9577" i="5" s="1"/>
  <c r="U9577" i="5" s="1"/>
  <c r="T9578" i="5" a="1"/>
  <c r="T9578" i="5" s="1"/>
  <c r="U9578" i="5" s="1"/>
  <c r="T9579" i="5" a="1"/>
  <c r="T9579" i="5" s="1"/>
  <c r="U9579" i="5" s="1"/>
  <c r="T9580" i="5" a="1"/>
  <c r="T9580" i="5" s="1"/>
  <c r="U9580" i="5" s="1"/>
  <c r="T9581" i="5" a="1"/>
  <c r="T9581" i="5" s="1"/>
  <c r="U9581" i="5" s="1"/>
  <c r="T9582" i="5" a="1"/>
  <c r="T9582" i="5" s="1"/>
  <c r="U9582" i="5" s="1"/>
  <c r="T9583" i="5" a="1"/>
  <c r="T9583" i="5" s="1"/>
  <c r="U9583" i="5" s="1"/>
  <c r="T9584" i="5" a="1"/>
  <c r="T9584" i="5" s="1"/>
  <c r="U9584" i="5" s="1"/>
  <c r="T9585" i="5" a="1"/>
  <c r="T9585" i="5" s="1"/>
  <c r="U9585" i="5" s="1"/>
  <c r="T9586" i="5" a="1"/>
  <c r="T9586" i="5" s="1"/>
  <c r="U9586" i="5" s="1"/>
  <c r="T9587" i="5" a="1"/>
  <c r="T9587" i="5" s="1"/>
  <c r="U9587" i="5" s="1"/>
  <c r="T9588" i="5" a="1"/>
  <c r="T9588" i="5" s="1"/>
  <c r="U9588" i="5" s="1"/>
  <c r="T9589" i="5" a="1"/>
  <c r="T9589" i="5" s="1"/>
  <c r="U9589" i="5" s="1"/>
  <c r="T9590" i="5" a="1"/>
  <c r="T9590" i="5" s="1"/>
  <c r="U9590" i="5" s="1"/>
  <c r="T9591" i="5" a="1"/>
  <c r="T9591" i="5" s="1"/>
  <c r="U9591" i="5" s="1"/>
  <c r="T9592" i="5" a="1"/>
  <c r="T9592" i="5" s="1"/>
  <c r="U9592" i="5" s="1"/>
  <c r="T9593" i="5" a="1"/>
  <c r="T9593" i="5" s="1"/>
  <c r="U9593" i="5" s="1"/>
  <c r="T9594" i="5" a="1"/>
  <c r="T9594" i="5" s="1"/>
  <c r="U9594" i="5" s="1"/>
  <c r="T9595" i="5" a="1"/>
  <c r="T9595" i="5" s="1"/>
  <c r="U9595" i="5" s="1"/>
  <c r="T9596" i="5" a="1"/>
  <c r="T9596" i="5" s="1"/>
  <c r="U9596" i="5" s="1"/>
  <c r="T9597" i="5" a="1"/>
  <c r="T9597" i="5" s="1"/>
  <c r="U9597" i="5" s="1"/>
  <c r="T9598" i="5" a="1"/>
  <c r="T9598" i="5" s="1"/>
  <c r="U9598" i="5" s="1"/>
  <c r="T9599" i="5" a="1"/>
  <c r="T9599" i="5" s="1"/>
  <c r="U9599" i="5" s="1"/>
  <c r="T9600" i="5" a="1"/>
  <c r="T9600" i="5" s="1"/>
  <c r="U9600" i="5" s="1"/>
  <c r="T9601" i="5" a="1"/>
  <c r="T9601" i="5" s="1"/>
  <c r="U9601" i="5" s="1"/>
  <c r="T9602" i="5" a="1"/>
  <c r="T9602" i="5" s="1"/>
  <c r="U9602" i="5" s="1"/>
  <c r="T9603" i="5" a="1"/>
  <c r="T9603" i="5" s="1"/>
  <c r="U9603" i="5" s="1"/>
  <c r="T9604" i="5" a="1"/>
  <c r="T9604" i="5" s="1"/>
  <c r="U9604" i="5" s="1"/>
  <c r="T9605" i="5" a="1"/>
  <c r="T9605" i="5" s="1"/>
  <c r="U9605" i="5" s="1"/>
  <c r="T9606" i="5" a="1"/>
  <c r="T9606" i="5" s="1"/>
  <c r="U9606" i="5" s="1"/>
  <c r="T9607" i="5" a="1"/>
  <c r="T9607" i="5" s="1"/>
  <c r="U9607" i="5" s="1"/>
  <c r="T9608" i="5" a="1"/>
  <c r="T9608" i="5" s="1"/>
  <c r="U9608" i="5" s="1"/>
  <c r="T9609" i="5" a="1"/>
  <c r="T9609" i="5" s="1"/>
  <c r="U9609" i="5" s="1"/>
  <c r="T9610" i="5" a="1"/>
  <c r="T9610" i="5" s="1"/>
  <c r="U9610" i="5" s="1"/>
  <c r="T9611" i="5" a="1"/>
  <c r="T9611" i="5" s="1"/>
  <c r="U9611" i="5" s="1"/>
  <c r="T9612" i="5" a="1"/>
  <c r="T9612" i="5" s="1"/>
  <c r="U9612" i="5" s="1"/>
  <c r="T9613" i="5" a="1"/>
  <c r="T9613" i="5" s="1"/>
  <c r="U9613" i="5" s="1"/>
  <c r="T9614" i="5" a="1"/>
  <c r="T9614" i="5" s="1"/>
  <c r="U9614" i="5" s="1"/>
  <c r="T9615" i="5" a="1"/>
  <c r="T9615" i="5" s="1"/>
  <c r="U9615" i="5" s="1"/>
  <c r="T9616" i="5" a="1"/>
  <c r="T9616" i="5" s="1"/>
  <c r="U9616" i="5" s="1"/>
  <c r="T9617" i="5" a="1"/>
  <c r="T9617" i="5" s="1"/>
  <c r="U9617" i="5" s="1"/>
  <c r="T9618" i="5" a="1"/>
  <c r="T9618" i="5" s="1"/>
  <c r="U9618" i="5" s="1"/>
  <c r="T9619" i="5" a="1"/>
  <c r="T9619" i="5" s="1"/>
  <c r="U9619" i="5" s="1"/>
  <c r="T9620" i="5" a="1"/>
  <c r="T9620" i="5" s="1"/>
  <c r="U9620" i="5" s="1"/>
  <c r="T9621" i="5" a="1"/>
  <c r="T9621" i="5" s="1"/>
  <c r="U9621" i="5" s="1"/>
  <c r="T9622" i="5" a="1"/>
  <c r="T9622" i="5" s="1"/>
  <c r="U9622" i="5" s="1"/>
  <c r="T9623" i="5" a="1"/>
  <c r="T9623" i="5" s="1"/>
  <c r="U9623" i="5" s="1"/>
  <c r="T9624" i="5" a="1"/>
  <c r="T9624" i="5" s="1"/>
  <c r="U9624" i="5" s="1"/>
  <c r="T9625" i="5" a="1"/>
  <c r="T9625" i="5" s="1"/>
  <c r="U9625" i="5" s="1"/>
  <c r="T9626" i="5" a="1"/>
  <c r="T9626" i="5" s="1"/>
  <c r="U9626" i="5" s="1"/>
  <c r="T9627" i="5" a="1"/>
  <c r="T9627" i="5" s="1"/>
  <c r="U9627" i="5" s="1"/>
  <c r="T9628" i="5" a="1"/>
  <c r="T9628" i="5" s="1"/>
  <c r="U9628" i="5" s="1"/>
  <c r="T9629" i="5" a="1"/>
  <c r="T9629" i="5" s="1"/>
  <c r="U9629" i="5" s="1"/>
  <c r="T9630" i="5" a="1"/>
  <c r="T9630" i="5" s="1"/>
  <c r="U9630" i="5" s="1"/>
  <c r="T9631" i="5" a="1"/>
  <c r="T9631" i="5" s="1"/>
  <c r="U9631" i="5" s="1"/>
  <c r="T9632" i="5" a="1"/>
  <c r="T9632" i="5" s="1"/>
  <c r="U9632" i="5" s="1"/>
  <c r="T9633" i="5" a="1"/>
  <c r="T9633" i="5" s="1"/>
  <c r="U9633" i="5" s="1"/>
  <c r="T9634" i="5" a="1"/>
  <c r="T9634" i="5" s="1"/>
  <c r="U9634" i="5" s="1"/>
  <c r="T9635" i="5" a="1"/>
  <c r="T9635" i="5" s="1"/>
  <c r="U9635" i="5" s="1"/>
  <c r="T9636" i="5" a="1"/>
  <c r="T9636" i="5" s="1"/>
  <c r="U9636" i="5" s="1"/>
  <c r="T9637" i="5" a="1"/>
  <c r="T9637" i="5" s="1"/>
  <c r="U9637" i="5" s="1"/>
  <c r="T9638" i="5" a="1"/>
  <c r="T9638" i="5" s="1"/>
  <c r="U9638" i="5" s="1"/>
  <c r="T9639" i="5" a="1"/>
  <c r="T9639" i="5" s="1"/>
  <c r="U9639" i="5" s="1"/>
  <c r="T9640" i="5" a="1"/>
  <c r="T9640" i="5" s="1"/>
  <c r="U9640" i="5" s="1"/>
  <c r="T9641" i="5" a="1"/>
  <c r="T9641" i="5" s="1"/>
  <c r="U9641" i="5" s="1"/>
  <c r="T9642" i="5" a="1"/>
  <c r="T9642" i="5" s="1"/>
  <c r="U9642" i="5" s="1"/>
  <c r="T9643" i="5" a="1"/>
  <c r="T9643" i="5" s="1"/>
  <c r="U9643" i="5" s="1"/>
  <c r="T9644" i="5" a="1"/>
  <c r="T9644" i="5" s="1"/>
  <c r="U9644" i="5" s="1"/>
  <c r="T9645" i="5" a="1"/>
  <c r="T9645" i="5" s="1"/>
  <c r="U9645" i="5" s="1"/>
  <c r="T9646" i="5" a="1"/>
  <c r="T9646" i="5" s="1"/>
  <c r="U9646" i="5" s="1"/>
  <c r="T9647" i="5" a="1"/>
  <c r="T9647" i="5" s="1"/>
  <c r="U9647" i="5" s="1"/>
  <c r="T9648" i="5" a="1"/>
  <c r="T9648" i="5" s="1"/>
  <c r="U9648" i="5" s="1"/>
  <c r="T9649" i="5" a="1"/>
  <c r="T9649" i="5" s="1"/>
  <c r="U9649" i="5" s="1"/>
  <c r="T9650" i="5" a="1"/>
  <c r="T9650" i="5" s="1"/>
  <c r="U9650" i="5" s="1"/>
  <c r="T9651" i="5" a="1"/>
  <c r="T9651" i="5" s="1"/>
  <c r="U9651" i="5" s="1"/>
  <c r="T9652" i="5" a="1"/>
  <c r="T9652" i="5" s="1"/>
  <c r="U9652" i="5" s="1"/>
  <c r="T9653" i="5" a="1"/>
  <c r="T9653" i="5" s="1"/>
  <c r="U9653" i="5" s="1"/>
  <c r="T9654" i="5" a="1"/>
  <c r="T9654" i="5" s="1"/>
  <c r="U9654" i="5" s="1"/>
  <c r="T9655" i="5" a="1"/>
  <c r="T9655" i="5" s="1"/>
  <c r="U9655" i="5" s="1"/>
  <c r="T9656" i="5" a="1"/>
  <c r="T9656" i="5" s="1"/>
  <c r="U9656" i="5" s="1"/>
  <c r="T9657" i="5" a="1"/>
  <c r="T9657" i="5" s="1"/>
  <c r="U9657" i="5" s="1"/>
  <c r="T9658" i="5" a="1"/>
  <c r="T9658" i="5" s="1"/>
  <c r="U9658" i="5" s="1"/>
  <c r="T9659" i="5" a="1"/>
  <c r="T9659" i="5" s="1"/>
  <c r="U9659" i="5" s="1"/>
  <c r="T9660" i="5" a="1"/>
  <c r="T9660" i="5" s="1"/>
  <c r="U9660" i="5" s="1"/>
  <c r="T9661" i="5" a="1"/>
  <c r="T9661" i="5" s="1"/>
  <c r="U9661" i="5" s="1"/>
  <c r="T9662" i="5" a="1"/>
  <c r="T9662" i="5" s="1"/>
  <c r="U9662" i="5" s="1"/>
  <c r="T9663" i="5" a="1"/>
  <c r="T9663" i="5" s="1"/>
  <c r="U9663" i="5" s="1"/>
  <c r="T9664" i="5" a="1"/>
  <c r="T9664" i="5" s="1"/>
  <c r="U9664" i="5" s="1"/>
  <c r="T9665" i="5" a="1"/>
  <c r="T9665" i="5" s="1"/>
  <c r="U9665" i="5" s="1"/>
  <c r="T9666" i="5" a="1"/>
  <c r="T9666" i="5" s="1"/>
  <c r="U9666" i="5" s="1"/>
  <c r="T9667" i="5" a="1"/>
  <c r="T9667" i="5" s="1"/>
  <c r="U9667" i="5" s="1"/>
  <c r="T9668" i="5" a="1"/>
  <c r="T9668" i="5" s="1"/>
  <c r="U9668" i="5" s="1"/>
  <c r="T9669" i="5" a="1"/>
  <c r="T9669" i="5" s="1"/>
  <c r="U9669" i="5" s="1"/>
  <c r="T9670" i="5" a="1"/>
  <c r="T9670" i="5" s="1"/>
  <c r="U9670" i="5" s="1"/>
  <c r="T9671" i="5" a="1"/>
  <c r="T9671" i="5" s="1"/>
  <c r="U9671" i="5" s="1"/>
  <c r="T9672" i="5" a="1"/>
  <c r="T9672" i="5" s="1"/>
  <c r="U9672" i="5" s="1"/>
  <c r="T9673" i="5" a="1"/>
  <c r="T9673" i="5" s="1"/>
  <c r="U9673" i="5" s="1"/>
  <c r="T9674" i="5" a="1"/>
  <c r="T9674" i="5" s="1"/>
  <c r="U9674" i="5" s="1"/>
  <c r="T9675" i="5" a="1"/>
  <c r="T9675" i="5" s="1"/>
  <c r="U9675" i="5" s="1"/>
  <c r="T9676" i="5" a="1"/>
  <c r="T9676" i="5" s="1"/>
  <c r="U9676" i="5" s="1"/>
  <c r="T9677" i="5" a="1"/>
  <c r="T9677" i="5" s="1"/>
  <c r="U9677" i="5" s="1"/>
  <c r="T9678" i="5" a="1"/>
  <c r="T9678" i="5" s="1"/>
  <c r="U9678" i="5" s="1"/>
  <c r="T9679" i="5" a="1"/>
  <c r="T9679" i="5" s="1"/>
  <c r="U9679" i="5" s="1"/>
  <c r="T9680" i="5" a="1"/>
  <c r="T9680" i="5" s="1"/>
  <c r="U9680" i="5" s="1"/>
  <c r="T9681" i="5" a="1"/>
  <c r="T9681" i="5" s="1"/>
  <c r="U9681" i="5" s="1"/>
  <c r="T9682" i="5" a="1"/>
  <c r="T9682" i="5" s="1"/>
  <c r="U9682" i="5" s="1"/>
  <c r="T9683" i="5" a="1"/>
  <c r="T9683" i="5" s="1"/>
  <c r="U9683" i="5" s="1"/>
  <c r="T9684" i="5" a="1"/>
  <c r="T9684" i="5" s="1"/>
  <c r="U9684" i="5" s="1"/>
  <c r="T9685" i="5" a="1"/>
  <c r="T9685" i="5" s="1"/>
  <c r="U9685" i="5" s="1"/>
  <c r="T9686" i="5" a="1"/>
  <c r="T9686" i="5" s="1"/>
  <c r="U9686" i="5" s="1"/>
  <c r="T9687" i="5" a="1"/>
  <c r="T9687" i="5" s="1"/>
  <c r="U9687" i="5" s="1"/>
  <c r="T9688" i="5" a="1"/>
  <c r="T9688" i="5" s="1"/>
  <c r="U9688" i="5" s="1"/>
  <c r="T9689" i="5" a="1"/>
  <c r="T9689" i="5" s="1"/>
  <c r="U9689" i="5" s="1"/>
  <c r="T9690" i="5" a="1"/>
  <c r="T9690" i="5" s="1"/>
  <c r="U9690" i="5" s="1"/>
  <c r="T9691" i="5" a="1"/>
  <c r="T9691" i="5" s="1"/>
  <c r="U9691" i="5" s="1"/>
  <c r="T9692" i="5" a="1"/>
  <c r="T9692" i="5" s="1"/>
  <c r="U9692" i="5" s="1"/>
  <c r="T9693" i="5" a="1"/>
  <c r="T9693" i="5" s="1"/>
  <c r="U9693" i="5" s="1"/>
  <c r="T9694" i="5" a="1"/>
  <c r="T9694" i="5" s="1"/>
  <c r="U9694" i="5" s="1"/>
  <c r="T9695" i="5" a="1"/>
  <c r="T9695" i="5" s="1"/>
  <c r="U9695" i="5" s="1"/>
  <c r="T9696" i="5" a="1"/>
  <c r="T9696" i="5" s="1"/>
  <c r="U9696" i="5" s="1"/>
  <c r="T9697" i="5" a="1"/>
  <c r="T9697" i="5" s="1"/>
  <c r="U9697" i="5" s="1"/>
  <c r="T9698" i="5" a="1"/>
  <c r="T9698" i="5" s="1"/>
  <c r="U9698" i="5" s="1"/>
  <c r="T9699" i="5" a="1"/>
  <c r="T9699" i="5" s="1"/>
  <c r="U9699" i="5" s="1"/>
  <c r="T9700" i="5" a="1"/>
  <c r="T9700" i="5" s="1"/>
  <c r="U9700" i="5" s="1"/>
  <c r="T9701" i="5" a="1"/>
  <c r="T9701" i="5" s="1"/>
  <c r="U9701" i="5" s="1"/>
  <c r="T9702" i="5" a="1"/>
  <c r="T9702" i="5" s="1"/>
  <c r="U9702" i="5" s="1"/>
  <c r="T9703" i="5" a="1"/>
  <c r="T9703" i="5" s="1"/>
  <c r="U9703" i="5" s="1"/>
  <c r="T9704" i="5" a="1"/>
  <c r="T9704" i="5" s="1"/>
  <c r="U9704" i="5" s="1"/>
  <c r="T9705" i="5" a="1"/>
  <c r="T9705" i="5" s="1"/>
  <c r="U9705" i="5" s="1"/>
  <c r="T9706" i="5" a="1"/>
  <c r="T9706" i="5" s="1"/>
  <c r="U9706" i="5" s="1"/>
  <c r="T9707" i="5" a="1"/>
  <c r="T9707" i="5" s="1"/>
  <c r="U9707" i="5" s="1"/>
  <c r="T9708" i="5" a="1"/>
  <c r="T9708" i="5" s="1"/>
  <c r="U9708" i="5" s="1"/>
  <c r="T9709" i="5" a="1"/>
  <c r="T9709" i="5" s="1"/>
  <c r="U9709" i="5" s="1"/>
  <c r="T9710" i="5" a="1"/>
  <c r="T9710" i="5" s="1"/>
  <c r="U9710" i="5" s="1"/>
  <c r="T9711" i="5" a="1"/>
  <c r="T9711" i="5" s="1"/>
  <c r="U9711" i="5" s="1"/>
  <c r="T9712" i="5" a="1"/>
  <c r="T9712" i="5" s="1"/>
  <c r="U9712" i="5" s="1"/>
  <c r="T9713" i="5" a="1"/>
  <c r="T9713" i="5" s="1"/>
  <c r="U9713" i="5" s="1"/>
  <c r="T9714" i="5" a="1"/>
  <c r="T9714" i="5" s="1"/>
  <c r="U9714" i="5" s="1"/>
  <c r="T9715" i="5" a="1"/>
  <c r="T9715" i="5" s="1"/>
  <c r="U9715" i="5" s="1"/>
  <c r="T9716" i="5" a="1"/>
  <c r="T9716" i="5" s="1"/>
  <c r="U9716" i="5" s="1"/>
  <c r="T9717" i="5" a="1"/>
  <c r="T9717" i="5" s="1"/>
  <c r="U9717" i="5" s="1"/>
  <c r="T9718" i="5" a="1"/>
  <c r="T9718" i="5" s="1"/>
  <c r="U9718" i="5" s="1"/>
  <c r="T9719" i="5" a="1"/>
  <c r="T9719" i="5" s="1"/>
  <c r="U9719" i="5" s="1"/>
  <c r="T9720" i="5" a="1"/>
  <c r="T9720" i="5" s="1"/>
  <c r="U9720" i="5" s="1"/>
  <c r="T9721" i="5" a="1"/>
  <c r="T9721" i="5" s="1"/>
  <c r="U9721" i="5" s="1"/>
  <c r="T9722" i="5" a="1"/>
  <c r="T9722" i="5" s="1"/>
  <c r="U9722" i="5" s="1"/>
  <c r="T9723" i="5" a="1"/>
  <c r="T9723" i="5" s="1"/>
  <c r="U9723" i="5" s="1"/>
  <c r="T9724" i="5" a="1"/>
  <c r="T9724" i="5" s="1"/>
  <c r="U9724" i="5" s="1"/>
  <c r="T9725" i="5" a="1"/>
  <c r="T9725" i="5" s="1"/>
  <c r="U9725" i="5" s="1"/>
  <c r="T9726" i="5" a="1"/>
  <c r="T9726" i="5" s="1"/>
  <c r="U9726" i="5" s="1"/>
  <c r="T9727" i="5" a="1"/>
  <c r="T9727" i="5" s="1"/>
  <c r="U9727" i="5" s="1"/>
  <c r="T9728" i="5" a="1"/>
  <c r="T9728" i="5" s="1"/>
  <c r="U9728" i="5" s="1"/>
  <c r="T9729" i="5" a="1"/>
  <c r="T9729" i="5" s="1"/>
  <c r="U9729" i="5" s="1"/>
  <c r="T9730" i="5" a="1"/>
  <c r="T9730" i="5" s="1"/>
  <c r="U9730" i="5" s="1"/>
  <c r="T9731" i="5" a="1"/>
  <c r="T9731" i="5" s="1"/>
  <c r="U9731" i="5" s="1"/>
  <c r="T9732" i="5" a="1"/>
  <c r="T9732" i="5" s="1"/>
  <c r="U9732" i="5" s="1"/>
  <c r="T9733" i="5" a="1"/>
  <c r="T9733" i="5" s="1"/>
  <c r="U9733" i="5" s="1"/>
  <c r="T9734" i="5" a="1"/>
  <c r="T9734" i="5" s="1"/>
  <c r="U9734" i="5" s="1"/>
  <c r="T9735" i="5" a="1"/>
  <c r="T9735" i="5" s="1"/>
  <c r="U9735" i="5" s="1"/>
  <c r="T9736" i="5" a="1"/>
  <c r="T9736" i="5" s="1"/>
  <c r="U9736" i="5" s="1"/>
  <c r="T9737" i="5" a="1"/>
  <c r="T9737" i="5" s="1"/>
  <c r="U9737" i="5" s="1"/>
  <c r="T9738" i="5" a="1"/>
  <c r="T9738" i="5" s="1"/>
  <c r="U9738" i="5" s="1"/>
  <c r="T9739" i="5" a="1"/>
  <c r="T9739" i="5" s="1"/>
  <c r="U9739" i="5" s="1"/>
  <c r="T9740" i="5" a="1"/>
  <c r="T9740" i="5" s="1"/>
  <c r="U9740" i="5" s="1"/>
  <c r="T9741" i="5" a="1"/>
  <c r="T9741" i="5" s="1"/>
  <c r="U9741" i="5" s="1"/>
  <c r="T9742" i="5" a="1"/>
  <c r="T9742" i="5" s="1"/>
  <c r="U9742" i="5" s="1"/>
  <c r="T9743" i="5" a="1"/>
  <c r="T9743" i="5" s="1"/>
  <c r="U9743" i="5" s="1"/>
  <c r="T9744" i="5" a="1"/>
  <c r="T9744" i="5" s="1"/>
  <c r="U9744" i="5" s="1"/>
  <c r="T9745" i="5" a="1"/>
  <c r="T9745" i="5" s="1"/>
  <c r="U9745" i="5" s="1"/>
  <c r="T9746" i="5" a="1"/>
  <c r="T9746" i="5" s="1"/>
  <c r="U9746" i="5" s="1"/>
  <c r="T9747" i="5" a="1"/>
  <c r="T9747" i="5" s="1"/>
  <c r="U9747" i="5" s="1"/>
  <c r="T9748" i="5" a="1"/>
  <c r="T9748" i="5" s="1"/>
  <c r="U9748" i="5" s="1"/>
  <c r="T9749" i="5" a="1"/>
  <c r="T9749" i="5" s="1"/>
  <c r="U9749" i="5" s="1"/>
  <c r="T9750" i="5" a="1"/>
  <c r="T9750" i="5" s="1"/>
  <c r="U9750" i="5" s="1"/>
  <c r="T9751" i="5" a="1"/>
  <c r="T9751" i="5" s="1"/>
  <c r="U9751" i="5" s="1"/>
  <c r="T9752" i="5" a="1"/>
  <c r="T9752" i="5" s="1"/>
  <c r="U9752" i="5" s="1"/>
  <c r="T9753" i="5" a="1"/>
  <c r="T9753" i="5" s="1"/>
  <c r="U9753" i="5" s="1"/>
  <c r="T9754" i="5" a="1"/>
  <c r="T9754" i="5" s="1"/>
  <c r="U9754" i="5" s="1"/>
  <c r="T9755" i="5" a="1"/>
  <c r="T9755" i="5" s="1"/>
  <c r="U9755" i="5" s="1"/>
  <c r="T9756" i="5" a="1"/>
  <c r="T9756" i="5" s="1"/>
  <c r="U9756" i="5" s="1"/>
  <c r="T9757" i="5" a="1"/>
  <c r="T9757" i="5" s="1"/>
  <c r="U9757" i="5" s="1"/>
  <c r="T9758" i="5" a="1"/>
  <c r="T9758" i="5" s="1"/>
  <c r="U9758" i="5" s="1"/>
  <c r="T9759" i="5" a="1"/>
  <c r="T9759" i="5" s="1"/>
  <c r="U9759" i="5" s="1"/>
  <c r="T9760" i="5" a="1"/>
  <c r="T9760" i="5" s="1"/>
  <c r="U9760" i="5" s="1"/>
  <c r="T9761" i="5" a="1"/>
  <c r="T9761" i="5" s="1"/>
  <c r="U9761" i="5" s="1"/>
  <c r="T9762" i="5" a="1"/>
  <c r="T9762" i="5" s="1"/>
  <c r="U9762" i="5" s="1"/>
  <c r="T9763" i="5" a="1"/>
  <c r="T9763" i="5" s="1"/>
  <c r="U9763" i="5" s="1"/>
  <c r="T9764" i="5" a="1"/>
  <c r="T9764" i="5" s="1"/>
  <c r="U9764" i="5" s="1"/>
  <c r="T9765" i="5" a="1"/>
  <c r="T9765" i="5" s="1"/>
  <c r="U9765" i="5" s="1"/>
  <c r="T9766" i="5" a="1"/>
  <c r="T9766" i="5" s="1"/>
  <c r="U9766" i="5" s="1"/>
  <c r="T9767" i="5" a="1"/>
  <c r="T9767" i="5" s="1"/>
  <c r="U9767" i="5" s="1"/>
  <c r="T9768" i="5" a="1"/>
  <c r="T9768" i="5" s="1"/>
  <c r="U9768" i="5" s="1"/>
  <c r="T9769" i="5" a="1"/>
  <c r="T9769" i="5" s="1"/>
  <c r="U9769" i="5" s="1"/>
  <c r="T9770" i="5" a="1"/>
  <c r="T9770" i="5" s="1"/>
  <c r="U9770" i="5" s="1"/>
  <c r="T9771" i="5" a="1"/>
  <c r="T9771" i="5" s="1"/>
  <c r="U9771" i="5" s="1"/>
  <c r="T9772" i="5" a="1"/>
  <c r="T9772" i="5" s="1"/>
  <c r="U9772" i="5" s="1"/>
  <c r="T9773" i="5" a="1"/>
  <c r="T9773" i="5" s="1"/>
  <c r="U9773" i="5" s="1"/>
  <c r="T9774" i="5" a="1"/>
  <c r="T9774" i="5" s="1"/>
  <c r="U9774" i="5" s="1"/>
  <c r="T9775" i="5" a="1"/>
  <c r="T9775" i="5" s="1"/>
  <c r="U9775" i="5" s="1"/>
  <c r="T9776" i="5" a="1"/>
  <c r="T9776" i="5" s="1"/>
  <c r="U9776" i="5" s="1"/>
  <c r="T9777" i="5" a="1"/>
  <c r="T9777" i="5" s="1"/>
  <c r="U9777" i="5" s="1"/>
  <c r="T9778" i="5" a="1"/>
  <c r="T9778" i="5" s="1"/>
  <c r="U9778" i="5" s="1"/>
  <c r="T9779" i="5" a="1"/>
  <c r="T9779" i="5" s="1"/>
  <c r="U9779" i="5" s="1"/>
  <c r="T9780" i="5" a="1"/>
  <c r="T9780" i="5" s="1"/>
  <c r="U9780" i="5" s="1"/>
  <c r="T9781" i="5" a="1"/>
  <c r="T9781" i="5" s="1"/>
  <c r="U9781" i="5" s="1"/>
  <c r="T9782" i="5" a="1"/>
  <c r="T9782" i="5" s="1"/>
  <c r="U9782" i="5" s="1"/>
  <c r="T9783" i="5" a="1"/>
  <c r="T9783" i="5" s="1"/>
  <c r="U9783" i="5" s="1"/>
  <c r="T9784" i="5" a="1"/>
  <c r="T9784" i="5" s="1"/>
  <c r="U9784" i="5" s="1"/>
  <c r="T9785" i="5" a="1"/>
  <c r="T9785" i="5" s="1"/>
  <c r="U9785" i="5" s="1"/>
  <c r="T9786" i="5" a="1"/>
  <c r="T9786" i="5" s="1"/>
  <c r="U9786" i="5" s="1"/>
  <c r="T9787" i="5" a="1"/>
  <c r="T9787" i="5" s="1"/>
  <c r="U9787" i="5" s="1"/>
  <c r="T9788" i="5" a="1"/>
  <c r="T9788" i="5" s="1"/>
  <c r="U9788" i="5" s="1"/>
  <c r="T9789" i="5" a="1"/>
  <c r="T9789" i="5" s="1"/>
  <c r="U9789" i="5" s="1"/>
  <c r="T9790" i="5" a="1"/>
  <c r="T9790" i="5" s="1"/>
  <c r="U9790" i="5" s="1"/>
  <c r="T9791" i="5" a="1"/>
  <c r="T9791" i="5" s="1"/>
  <c r="U9791" i="5" s="1"/>
  <c r="T9792" i="5" a="1"/>
  <c r="T9792" i="5" s="1"/>
  <c r="U9792" i="5" s="1"/>
  <c r="T9793" i="5" a="1"/>
  <c r="T9793" i="5" s="1"/>
  <c r="U9793" i="5" s="1"/>
  <c r="T9794" i="5" a="1"/>
  <c r="T9794" i="5" s="1"/>
  <c r="U9794" i="5" s="1"/>
  <c r="T9795" i="5" a="1"/>
  <c r="T9795" i="5" s="1"/>
  <c r="U9795" i="5" s="1"/>
  <c r="T9796" i="5" a="1"/>
  <c r="T9796" i="5" s="1"/>
  <c r="U9796" i="5" s="1"/>
  <c r="T9797" i="5" a="1"/>
  <c r="T9797" i="5" s="1"/>
  <c r="U9797" i="5" s="1"/>
  <c r="T9798" i="5" a="1"/>
  <c r="T9798" i="5" s="1"/>
  <c r="U9798" i="5" s="1"/>
  <c r="T9799" i="5" a="1"/>
  <c r="T9799" i="5" s="1"/>
  <c r="U9799" i="5" s="1"/>
  <c r="T9800" i="5" a="1"/>
  <c r="T9800" i="5" s="1"/>
  <c r="U9800" i="5" s="1"/>
  <c r="T9801" i="5" a="1"/>
  <c r="T9801" i="5" s="1"/>
  <c r="U9801" i="5" s="1"/>
  <c r="T9802" i="5" a="1"/>
  <c r="T9802" i="5" s="1"/>
  <c r="U9802" i="5" s="1"/>
  <c r="T9803" i="5" a="1"/>
  <c r="T9803" i="5" s="1"/>
  <c r="U9803" i="5" s="1"/>
  <c r="T9804" i="5" a="1"/>
  <c r="T9804" i="5" s="1"/>
  <c r="U9804" i="5" s="1"/>
  <c r="T9805" i="5" a="1"/>
  <c r="T9805" i="5" s="1"/>
  <c r="U9805" i="5" s="1"/>
  <c r="T9806" i="5" a="1"/>
  <c r="T9806" i="5" s="1"/>
  <c r="U9806" i="5" s="1"/>
  <c r="T9807" i="5" a="1"/>
  <c r="T9807" i="5" s="1"/>
  <c r="U9807" i="5" s="1"/>
  <c r="T9808" i="5" a="1"/>
  <c r="T9808" i="5" s="1"/>
  <c r="U9808" i="5" s="1"/>
  <c r="T9809" i="5" a="1"/>
  <c r="T9809" i="5" s="1"/>
  <c r="U9809" i="5" s="1"/>
  <c r="T9810" i="5" a="1"/>
  <c r="T9810" i="5" s="1"/>
  <c r="U9810" i="5" s="1"/>
  <c r="T9811" i="5" a="1"/>
  <c r="T9811" i="5" s="1"/>
  <c r="U9811" i="5" s="1"/>
  <c r="T9812" i="5" a="1"/>
  <c r="T9812" i="5" s="1"/>
  <c r="U9812" i="5" s="1"/>
  <c r="T9813" i="5" a="1"/>
  <c r="T9813" i="5" s="1"/>
  <c r="U9813" i="5" s="1"/>
  <c r="T9814" i="5" a="1"/>
  <c r="T9814" i="5" s="1"/>
  <c r="U9814" i="5" s="1"/>
  <c r="T9815" i="5" a="1"/>
  <c r="T9815" i="5" s="1"/>
  <c r="U9815" i="5" s="1"/>
  <c r="T9816" i="5" a="1"/>
  <c r="T9816" i="5" s="1"/>
  <c r="U9816" i="5" s="1"/>
  <c r="T9817" i="5" a="1"/>
  <c r="T9817" i="5" s="1"/>
  <c r="U9817" i="5" s="1"/>
  <c r="T9818" i="5" a="1"/>
  <c r="T9818" i="5" s="1"/>
  <c r="U9818" i="5" s="1"/>
  <c r="T9819" i="5" a="1"/>
  <c r="T9819" i="5" s="1"/>
  <c r="U9819" i="5" s="1"/>
  <c r="T9820" i="5" a="1"/>
  <c r="T9820" i="5" s="1"/>
  <c r="U9820" i="5" s="1"/>
  <c r="T9821" i="5" a="1"/>
  <c r="T9821" i="5" s="1"/>
  <c r="U9821" i="5" s="1"/>
  <c r="T9822" i="5" a="1"/>
  <c r="T9822" i="5" s="1"/>
  <c r="U9822" i="5" s="1"/>
  <c r="T9823" i="5" a="1"/>
  <c r="T9823" i="5" s="1"/>
  <c r="U9823" i="5" s="1"/>
  <c r="T9824" i="5" a="1"/>
  <c r="T9824" i="5" s="1"/>
  <c r="U9824" i="5" s="1"/>
  <c r="T9825" i="5" a="1"/>
  <c r="T9825" i="5" s="1"/>
  <c r="U9825" i="5" s="1"/>
  <c r="T9826" i="5" a="1"/>
  <c r="T9826" i="5" s="1"/>
  <c r="U9826" i="5" s="1"/>
  <c r="T9827" i="5" a="1"/>
  <c r="T9827" i="5" s="1"/>
  <c r="U9827" i="5" s="1"/>
  <c r="T9828" i="5" a="1"/>
  <c r="T9828" i="5" s="1"/>
  <c r="U9828" i="5" s="1"/>
  <c r="T9829" i="5" a="1"/>
  <c r="T9829" i="5" s="1"/>
  <c r="U9829" i="5" s="1"/>
  <c r="T9830" i="5" a="1"/>
  <c r="T9830" i="5" s="1"/>
  <c r="U9830" i="5" s="1"/>
  <c r="T9831" i="5" a="1"/>
  <c r="T9831" i="5" s="1"/>
  <c r="U9831" i="5" s="1"/>
  <c r="T9832" i="5" a="1"/>
  <c r="T9832" i="5" s="1"/>
  <c r="U9832" i="5" s="1"/>
  <c r="T9833" i="5" a="1"/>
  <c r="T9833" i="5" s="1"/>
  <c r="U9833" i="5" s="1"/>
  <c r="T9834" i="5" a="1"/>
  <c r="T9834" i="5" s="1"/>
  <c r="U9834" i="5" s="1"/>
  <c r="T9835" i="5" a="1"/>
  <c r="T9835" i="5" s="1"/>
  <c r="U9835" i="5" s="1"/>
  <c r="T9836" i="5" a="1"/>
  <c r="T9836" i="5" s="1"/>
  <c r="U9836" i="5" s="1"/>
  <c r="T9837" i="5" a="1"/>
  <c r="T9837" i="5" s="1"/>
  <c r="U9837" i="5" s="1"/>
  <c r="T9838" i="5" a="1"/>
  <c r="T9838" i="5" s="1"/>
  <c r="U9838" i="5" s="1"/>
  <c r="T9839" i="5" a="1"/>
  <c r="T9839" i="5" s="1"/>
  <c r="U9839" i="5" s="1"/>
  <c r="T9840" i="5" a="1"/>
  <c r="T9840" i="5" s="1"/>
  <c r="U9840" i="5" s="1"/>
  <c r="T9841" i="5" a="1"/>
  <c r="T9841" i="5" s="1"/>
  <c r="U9841" i="5" s="1"/>
  <c r="T9842" i="5" a="1"/>
  <c r="T9842" i="5" s="1"/>
  <c r="U9842" i="5" s="1"/>
  <c r="T9843" i="5" a="1"/>
  <c r="T9843" i="5" s="1"/>
  <c r="U9843" i="5" s="1"/>
  <c r="T9844" i="5" a="1"/>
  <c r="T9844" i="5" s="1"/>
  <c r="U9844" i="5" s="1"/>
  <c r="T9845" i="5" a="1"/>
  <c r="T9845" i="5" s="1"/>
  <c r="U9845" i="5" s="1"/>
  <c r="T9846" i="5" a="1"/>
  <c r="T9846" i="5" s="1"/>
  <c r="U9846" i="5" s="1"/>
  <c r="T9847" i="5" a="1"/>
  <c r="T9847" i="5" s="1"/>
  <c r="U9847" i="5" s="1"/>
  <c r="T9848" i="5" a="1"/>
  <c r="T9848" i="5" s="1"/>
  <c r="U9848" i="5" s="1"/>
  <c r="T9849" i="5" a="1"/>
  <c r="T9849" i="5" s="1"/>
  <c r="U9849" i="5" s="1"/>
  <c r="T9850" i="5" a="1"/>
  <c r="T9850" i="5" s="1"/>
  <c r="U9850" i="5" s="1"/>
  <c r="T9851" i="5" a="1"/>
  <c r="T9851" i="5" s="1"/>
  <c r="U9851" i="5" s="1"/>
  <c r="T9852" i="5" a="1"/>
  <c r="T9852" i="5" s="1"/>
  <c r="U9852" i="5" s="1"/>
  <c r="T9853" i="5" a="1"/>
  <c r="T9853" i="5" s="1"/>
  <c r="U9853" i="5" s="1"/>
  <c r="T9854" i="5" a="1"/>
  <c r="T9854" i="5" s="1"/>
  <c r="U9854" i="5" s="1"/>
  <c r="T9855" i="5" a="1"/>
  <c r="T9855" i="5" s="1"/>
  <c r="U9855" i="5" s="1"/>
  <c r="T9856" i="5" a="1"/>
  <c r="T9856" i="5" s="1"/>
  <c r="U9856" i="5" s="1"/>
  <c r="T9857" i="5" a="1"/>
  <c r="T9857" i="5" s="1"/>
  <c r="U9857" i="5" s="1"/>
  <c r="T9858" i="5" a="1"/>
  <c r="T9858" i="5" s="1"/>
  <c r="U9858" i="5" s="1"/>
  <c r="T9859" i="5" a="1"/>
  <c r="T9859" i="5" s="1"/>
  <c r="U9859" i="5" s="1"/>
  <c r="T9860" i="5" a="1"/>
  <c r="T9860" i="5" s="1"/>
  <c r="U9860" i="5" s="1"/>
  <c r="T9861" i="5" a="1"/>
  <c r="T9861" i="5" s="1"/>
  <c r="U9861" i="5" s="1"/>
  <c r="T9862" i="5" a="1"/>
  <c r="T9862" i="5" s="1"/>
  <c r="U9862" i="5" s="1"/>
  <c r="T9863" i="5" a="1"/>
  <c r="T9863" i="5" s="1"/>
  <c r="U9863" i="5" s="1"/>
  <c r="T9864" i="5" a="1"/>
  <c r="T9864" i="5" s="1"/>
  <c r="U9864" i="5" s="1"/>
  <c r="T9865" i="5" a="1"/>
  <c r="T9865" i="5" s="1"/>
  <c r="U9865" i="5" s="1"/>
  <c r="T9866" i="5" a="1"/>
  <c r="T9866" i="5" s="1"/>
  <c r="U9866" i="5" s="1"/>
  <c r="T9867" i="5" a="1"/>
  <c r="T9867" i="5" s="1"/>
  <c r="U9867" i="5" s="1"/>
  <c r="T9868" i="5" a="1"/>
  <c r="T9868" i="5" s="1"/>
  <c r="U9868" i="5" s="1"/>
  <c r="T9869" i="5" a="1"/>
  <c r="T9869" i="5" s="1"/>
  <c r="U9869" i="5" s="1"/>
  <c r="T9870" i="5" a="1"/>
  <c r="T9870" i="5" s="1"/>
  <c r="U9870" i="5" s="1"/>
  <c r="T9871" i="5" a="1"/>
  <c r="T9871" i="5" s="1"/>
  <c r="U9871" i="5" s="1"/>
  <c r="T9872" i="5" a="1"/>
  <c r="T9872" i="5" s="1"/>
  <c r="U9872" i="5" s="1"/>
  <c r="T9873" i="5" a="1"/>
  <c r="T9873" i="5" s="1"/>
  <c r="U9873" i="5" s="1"/>
  <c r="T9874" i="5" a="1"/>
  <c r="T9874" i="5" s="1"/>
  <c r="U9874" i="5" s="1"/>
  <c r="T9875" i="5" a="1"/>
  <c r="T9875" i="5" s="1"/>
  <c r="U9875" i="5" s="1"/>
  <c r="T9876" i="5" a="1"/>
  <c r="T9876" i="5" s="1"/>
  <c r="U9876" i="5" s="1"/>
  <c r="T9877" i="5" a="1"/>
  <c r="T9877" i="5" s="1"/>
  <c r="U9877" i="5" s="1"/>
  <c r="T9878" i="5" a="1"/>
  <c r="T9878" i="5" s="1"/>
  <c r="U9878" i="5" s="1"/>
  <c r="T9879" i="5" a="1"/>
  <c r="T9879" i="5" s="1"/>
  <c r="U9879" i="5" s="1"/>
  <c r="T9880" i="5" a="1"/>
  <c r="T9880" i="5" s="1"/>
  <c r="U9880" i="5" s="1"/>
  <c r="T9881" i="5" a="1"/>
  <c r="T9881" i="5" s="1"/>
  <c r="U9881" i="5" s="1"/>
  <c r="T9882" i="5" a="1"/>
  <c r="T9882" i="5" s="1"/>
  <c r="U9882" i="5" s="1"/>
  <c r="T9883" i="5" a="1"/>
  <c r="T9883" i="5" s="1"/>
  <c r="U9883" i="5" s="1"/>
  <c r="T9884" i="5" a="1"/>
  <c r="T9884" i="5" s="1"/>
  <c r="U9884" i="5" s="1"/>
  <c r="T9885" i="5" a="1"/>
  <c r="T9885" i="5" s="1"/>
  <c r="U9885" i="5" s="1"/>
  <c r="T9886" i="5" a="1"/>
  <c r="T9886" i="5" s="1"/>
  <c r="U9886" i="5" s="1"/>
  <c r="T9887" i="5" a="1"/>
  <c r="T9887" i="5" s="1"/>
  <c r="U9887" i="5" s="1"/>
  <c r="T9888" i="5" a="1"/>
  <c r="T9888" i="5" s="1"/>
  <c r="U9888" i="5" s="1"/>
  <c r="T9889" i="5" a="1"/>
  <c r="T9889" i="5" s="1"/>
  <c r="U9889" i="5" s="1"/>
  <c r="T9890" i="5" a="1"/>
  <c r="T9890" i="5" s="1"/>
  <c r="U9890" i="5" s="1"/>
  <c r="T9891" i="5" a="1"/>
  <c r="T9891" i="5" s="1"/>
  <c r="U9891" i="5" s="1"/>
  <c r="T9892" i="5" a="1"/>
  <c r="T9892" i="5" s="1"/>
  <c r="U9892" i="5" s="1"/>
  <c r="T9893" i="5" a="1"/>
  <c r="T9893" i="5" s="1"/>
  <c r="U9893" i="5" s="1"/>
  <c r="T9894" i="5" a="1"/>
  <c r="T9894" i="5" s="1"/>
  <c r="U9894" i="5" s="1"/>
  <c r="T9895" i="5" a="1"/>
  <c r="T9895" i="5" s="1"/>
  <c r="U9895" i="5" s="1"/>
  <c r="T9896" i="5" a="1"/>
  <c r="T9896" i="5" s="1"/>
  <c r="U9896" i="5" s="1"/>
  <c r="T9897" i="5" a="1"/>
  <c r="T9897" i="5" s="1"/>
  <c r="U9897" i="5" s="1"/>
  <c r="T9898" i="5" a="1"/>
  <c r="T9898" i="5" s="1"/>
  <c r="U9898" i="5" s="1"/>
  <c r="T9899" i="5" a="1"/>
  <c r="T9899" i="5" s="1"/>
  <c r="U9899" i="5" s="1"/>
  <c r="T9900" i="5" a="1"/>
  <c r="T9900" i="5" s="1"/>
  <c r="U9900" i="5" s="1"/>
  <c r="T9901" i="5" a="1"/>
  <c r="T9901" i="5" s="1"/>
  <c r="U9901" i="5" s="1"/>
  <c r="T9902" i="5" a="1"/>
  <c r="T9902" i="5" s="1"/>
  <c r="U9902" i="5" s="1"/>
  <c r="T9903" i="5" a="1"/>
  <c r="T9903" i="5" s="1"/>
  <c r="U9903" i="5" s="1"/>
  <c r="T9904" i="5" a="1"/>
  <c r="T9904" i="5" s="1"/>
  <c r="U9904" i="5" s="1"/>
  <c r="T9905" i="5" a="1"/>
  <c r="T9905" i="5" s="1"/>
  <c r="U9905" i="5" s="1"/>
  <c r="T9906" i="5" a="1"/>
  <c r="T9906" i="5" s="1"/>
  <c r="U9906" i="5" s="1"/>
  <c r="T9907" i="5" a="1"/>
  <c r="T9907" i="5" s="1"/>
  <c r="U9907" i="5" s="1"/>
  <c r="T9908" i="5" a="1"/>
  <c r="T9908" i="5" s="1"/>
  <c r="U9908" i="5" s="1"/>
  <c r="T9909" i="5" a="1"/>
  <c r="T9909" i="5" s="1"/>
  <c r="U9909" i="5" s="1"/>
  <c r="T9910" i="5" a="1"/>
  <c r="T9910" i="5" s="1"/>
  <c r="U9910" i="5" s="1"/>
  <c r="T9911" i="5" a="1"/>
  <c r="T9911" i="5" s="1"/>
  <c r="U9911" i="5" s="1"/>
  <c r="T9912" i="5" a="1"/>
  <c r="T9912" i="5" s="1"/>
  <c r="U9912" i="5" s="1"/>
  <c r="T9913" i="5" a="1"/>
  <c r="T9913" i="5" s="1"/>
  <c r="U9913" i="5" s="1"/>
  <c r="T9914" i="5" a="1"/>
  <c r="T9914" i="5" s="1"/>
  <c r="U9914" i="5" s="1"/>
  <c r="T9915" i="5" a="1"/>
  <c r="T9915" i="5" s="1"/>
  <c r="U9915" i="5" s="1"/>
  <c r="T9916" i="5" a="1"/>
  <c r="T9916" i="5" s="1"/>
  <c r="U9916" i="5" s="1"/>
  <c r="T9917" i="5" a="1"/>
  <c r="T9917" i="5" s="1"/>
  <c r="U9917" i="5" s="1"/>
  <c r="T9918" i="5" a="1"/>
  <c r="T9918" i="5" s="1"/>
  <c r="U9918" i="5" s="1"/>
  <c r="T9919" i="5" a="1"/>
  <c r="T9919" i="5" s="1"/>
  <c r="U9919" i="5" s="1"/>
  <c r="T9920" i="5" a="1"/>
  <c r="T9920" i="5" s="1"/>
  <c r="U9920" i="5" s="1"/>
  <c r="T9921" i="5" a="1"/>
  <c r="T9921" i="5" s="1"/>
  <c r="U9921" i="5" s="1"/>
  <c r="T9922" i="5" a="1"/>
  <c r="T9922" i="5" s="1"/>
  <c r="U9922" i="5" s="1"/>
  <c r="T9923" i="5" a="1"/>
  <c r="T9923" i="5" s="1"/>
  <c r="U9923" i="5" s="1"/>
  <c r="T9924" i="5" a="1"/>
  <c r="T9924" i="5" s="1"/>
  <c r="U9924" i="5" s="1"/>
  <c r="T9925" i="5" a="1"/>
  <c r="T9925" i="5" s="1"/>
  <c r="U9925" i="5" s="1"/>
  <c r="T9926" i="5" a="1"/>
  <c r="T9926" i="5" s="1"/>
  <c r="U9926" i="5" s="1"/>
  <c r="T9927" i="5" a="1"/>
  <c r="T9927" i="5" s="1"/>
  <c r="U9927" i="5" s="1"/>
  <c r="T9928" i="5" a="1"/>
  <c r="T9928" i="5" s="1"/>
  <c r="U9928" i="5" s="1"/>
  <c r="T9929" i="5" a="1"/>
  <c r="T9929" i="5" s="1"/>
  <c r="U9929" i="5" s="1"/>
  <c r="T9930" i="5" a="1"/>
  <c r="T9930" i="5" s="1"/>
  <c r="U9930" i="5" s="1"/>
  <c r="T9931" i="5" a="1"/>
  <c r="T9931" i="5" s="1"/>
  <c r="U9931" i="5" s="1"/>
  <c r="T9932" i="5" a="1"/>
  <c r="T9932" i="5" s="1"/>
  <c r="U9932" i="5" s="1"/>
  <c r="T9933" i="5" a="1"/>
  <c r="T9933" i="5" s="1"/>
  <c r="U9933" i="5" s="1"/>
  <c r="T9934" i="5" a="1"/>
  <c r="T9934" i="5" s="1"/>
  <c r="U9934" i="5" s="1"/>
  <c r="T9935" i="5" a="1"/>
  <c r="T9935" i="5" s="1"/>
  <c r="U9935" i="5" s="1"/>
  <c r="T9936" i="5" a="1"/>
  <c r="T9936" i="5" s="1"/>
  <c r="U9936" i="5" s="1"/>
  <c r="T9937" i="5" a="1"/>
  <c r="T9937" i="5" s="1"/>
  <c r="U9937" i="5" s="1"/>
  <c r="T9938" i="5" a="1"/>
  <c r="T9938" i="5" s="1"/>
  <c r="U9938" i="5" s="1"/>
  <c r="T9939" i="5" a="1"/>
  <c r="T9939" i="5" s="1"/>
  <c r="U9939" i="5" s="1"/>
  <c r="T9940" i="5" a="1"/>
  <c r="T9940" i="5" s="1"/>
  <c r="U9940" i="5" s="1"/>
  <c r="T9941" i="5" a="1"/>
  <c r="T9941" i="5" s="1"/>
  <c r="U9941" i="5" s="1"/>
  <c r="T9942" i="5" a="1"/>
  <c r="T9942" i="5" s="1"/>
  <c r="U9942" i="5" s="1"/>
  <c r="T9943" i="5" a="1"/>
  <c r="T9943" i="5" s="1"/>
  <c r="U9943" i="5" s="1"/>
  <c r="T9944" i="5" a="1"/>
  <c r="T9944" i="5" s="1"/>
  <c r="U9944" i="5" s="1"/>
  <c r="T9945" i="5" a="1"/>
  <c r="T9945" i="5" s="1"/>
  <c r="U9945" i="5" s="1"/>
  <c r="T9946" i="5" a="1"/>
  <c r="T9946" i="5" s="1"/>
  <c r="U9946" i="5" s="1"/>
  <c r="T9947" i="5" a="1"/>
  <c r="T9947" i="5" s="1"/>
  <c r="U9947" i="5" s="1"/>
  <c r="T9948" i="5" a="1"/>
  <c r="T9948" i="5" s="1"/>
  <c r="U9948" i="5" s="1"/>
  <c r="T9949" i="5" a="1"/>
  <c r="T9949" i="5" s="1"/>
  <c r="U9949" i="5" s="1"/>
  <c r="T9950" i="5" a="1"/>
  <c r="T9950" i="5" s="1"/>
  <c r="U9950" i="5" s="1"/>
  <c r="T9951" i="5" a="1"/>
  <c r="T9951" i="5" s="1"/>
  <c r="U9951" i="5" s="1"/>
  <c r="T9952" i="5" a="1"/>
  <c r="T9952" i="5" s="1"/>
  <c r="U9952" i="5" s="1"/>
  <c r="T9953" i="5" a="1"/>
  <c r="T9953" i="5" s="1"/>
  <c r="U9953" i="5" s="1"/>
  <c r="T9954" i="5" a="1"/>
  <c r="T9954" i="5" s="1"/>
  <c r="U9954" i="5" s="1"/>
  <c r="T9955" i="5" a="1"/>
  <c r="T9955" i="5" s="1"/>
  <c r="U9955" i="5" s="1"/>
  <c r="T9956" i="5" a="1"/>
  <c r="T9956" i="5" s="1"/>
  <c r="U9956" i="5" s="1"/>
  <c r="T9957" i="5" a="1"/>
  <c r="T9957" i="5" s="1"/>
  <c r="U9957" i="5" s="1"/>
  <c r="T9958" i="5" a="1"/>
  <c r="T9958" i="5" s="1"/>
  <c r="U9958" i="5" s="1"/>
  <c r="T9959" i="5" a="1"/>
  <c r="T9959" i="5" s="1"/>
  <c r="U9959" i="5" s="1"/>
  <c r="T9960" i="5" a="1"/>
  <c r="T9960" i="5" s="1"/>
  <c r="U9960" i="5" s="1"/>
  <c r="T9961" i="5" a="1"/>
  <c r="T9961" i="5" s="1"/>
  <c r="U9961" i="5" s="1"/>
  <c r="T9962" i="5" a="1"/>
  <c r="T9962" i="5" s="1"/>
  <c r="U9962" i="5" s="1"/>
  <c r="T9963" i="5" a="1"/>
  <c r="T9963" i="5" s="1"/>
  <c r="U9963" i="5" s="1"/>
  <c r="T9964" i="5" a="1"/>
  <c r="T9964" i="5" s="1"/>
  <c r="U9964" i="5" s="1"/>
  <c r="T9965" i="5" a="1"/>
  <c r="T9965" i="5" s="1"/>
  <c r="U9965" i="5" s="1"/>
  <c r="T9966" i="5" a="1"/>
  <c r="T9966" i="5" s="1"/>
  <c r="U9966" i="5" s="1"/>
  <c r="T9967" i="5" a="1"/>
  <c r="T9967" i="5" s="1"/>
  <c r="U9967" i="5" s="1"/>
  <c r="T9968" i="5" a="1"/>
  <c r="T9968" i="5" s="1"/>
  <c r="U9968" i="5" s="1"/>
  <c r="T9969" i="5" a="1"/>
  <c r="T9969" i="5" s="1"/>
  <c r="U9969" i="5" s="1"/>
  <c r="T9970" i="5" a="1"/>
  <c r="T9970" i="5" s="1"/>
  <c r="U9970" i="5" s="1"/>
  <c r="T9971" i="5" a="1"/>
  <c r="T9971" i="5" s="1"/>
  <c r="U9971" i="5" s="1"/>
  <c r="T9972" i="5" a="1"/>
  <c r="T9972" i="5" s="1"/>
  <c r="U9972" i="5" s="1"/>
  <c r="T9973" i="5" a="1"/>
  <c r="T9973" i="5" s="1"/>
  <c r="U9973" i="5" s="1"/>
  <c r="T9974" i="5" a="1"/>
  <c r="T9974" i="5" s="1"/>
  <c r="U9974" i="5" s="1"/>
  <c r="T9975" i="5" a="1"/>
  <c r="T9975" i="5" s="1"/>
  <c r="U9975" i="5" s="1"/>
  <c r="T9976" i="5" a="1"/>
  <c r="T9976" i="5" s="1"/>
  <c r="U9976" i="5" s="1"/>
  <c r="T9977" i="5" a="1"/>
  <c r="T9977" i="5" s="1"/>
  <c r="U9977" i="5" s="1"/>
  <c r="T9978" i="5" a="1"/>
  <c r="T9978" i="5" s="1"/>
  <c r="U9978" i="5" s="1"/>
  <c r="T9979" i="5" a="1"/>
  <c r="T9979" i="5" s="1"/>
  <c r="U9979" i="5" s="1"/>
  <c r="T9980" i="5" a="1"/>
  <c r="T9980" i="5" s="1"/>
  <c r="U9980" i="5" s="1"/>
  <c r="T9981" i="5" a="1"/>
  <c r="T9981" i="5" s="1"/>
  <c r="U9981" i="5" s="1"/>
  <c r="T9982" i="5" a="1"/>
  <c r="T9982" i="5" s="1"/>
  <c r="U9982" i="5" s="1"/>
  <c r="T9983" i="5" a="1"/>
  <c r="T9983" i="5" s="1"/>
  <c r="U9983" i="5" s="1"/>
  <c r="T9984" i="5" a="1"/>
  <c r="T9984" i="5" s="1"/>
  <c r="U9984" i="5" s="1"/>
  <c r="T9985" i="5" a="1"/>
  <c r="T9985" i="5" s="1"/>
  <c r="U9985" i="5" s="1"/>
  <c r="T9986" i="5" a="1"/>
  <c r="T9986" i="5" s="1"/>
  <c r="U9986" i="5" s="1"/>
  <c r="T9987" i="5" a="1"/>
  <c r="T9987" i="5" s="1"/>
  <c r="U9987" i="5" s="1"/>
  <c r="T9988" i="5" a="1"/>
  <c r="T9988" i="5" s="1"/>
  <c r="U9988" i="5" s="1"/>
  <c r="T9989" i="5" a="1"/>
  <c r="T9989" i="5" s="1"/>
  <c r="U9989" i="5" s="1"/>
  <c r="T9990" i="5" a="1"/>
  <c r="T9990" i="5" s="1"/>
  <c r="U9990" i="5" s="1"/>
  <c r="T9991" i="5" a="1"/>
  <c r="T9991" i="5" s="1"/>
  <c r="U9991" i="5" s="1"/>
  <c r="T9992" i="5" a="1"/>
  <c r="T9992" i="5" s="1"/>
  <c r="U9992" i="5" s="1"/>
  <c r="T9993" i="5" a="1"/>
  <c r="T9993" i="5" s="1"/>
  <c r="U9993" i="5" s="1"/>
  <c r="T9994" i="5" a="1"/>
  <c r="T9994" i="5" s="1"/>
  <c r="U9994" i="5" s="1"/>
  <c r="T9995" i="5" a="1"/>
  <c r="T9995" i="5" s="1"/>
  <c r="U9995" i="5" s="1"/>
  <c r="T9996" i="5" a="1"/>
  <c r="T9996" i="5" s="1"/>
  <c r="U9996" i="5" s="1"/>
  <c r="T9997" i="5" a="1"/>
  <c r="T9997" i="5" s="1"/>
  <c r="U9997" i="5" s="1"/>
  <c r="T9998" i="5" a="1"/>
  <c r="T9998" i="5" s="1"/>
  <c r="U9998" i="5" s="1"/>
  <c r="T9999" i="5" a="1"/>
  <c r="T9999" i="5" s="1"/>
  <c r="U9999" i="5" s="1"/>
  <c r="T10000" i="5" a="1"/>
  <c r="T10000" i="5" s="1"/>
  <c r="U10000" i="5" s="1"/>
  <c r="T10001" i="5" a="1"/>
  <c r="T10001" i="5" s="1"/>
  <c r="U10001" i="5" s="1"/>
  <c r="T10002" i="5" a="1"/>
  <c r="T10002" i="5" s="1"/>
  <c r="U10002" i="5" s="1"/>
  <c r="T10003" i="5" a="1"/>
  <c r="T10003" i="5" s="1"/>
  <c r="U10003" i="5" s="1"/>
  <c r="T10004" i="5" a="1"/>
  <c r="T10004" i="5" s="1"/>
  <c r="U10004" i="5" s="1"/>
  <c r="T10005" i="5" a="1"/>
  <c r="T10005" i="5" s="1"/>
  <c r="U10005" i="5" s="1"/>
  <c r="T10006" i="5" a="1"/>
  <c r="T10006" i="5" s="1"/>
  <c r="U10006" i="5" s="1"/>
  <c r="T10007" i="5" a="1"/>
  <c r="T10007" i="5" s="1"/>
  <c r="U10007" i="5" s="1"/>
  <c r="T10008" i="5" a="1"/>
  <c r="T10008" i="5" s="1"/>
  <c r="U10008" i="5" s="1"/>
  <c r="T10009" i="5" a="1"/>
  <c r="T10009" i="5" s="1"/>
  <c r="U10009" i="5" s="1"/>
  <c r="T10010" i="5" a="1"/>
  <c r="T10010" i="5" s="1"/>
  <c r="U10010" i="5" s="1"/>
  <c r="T10011" i="5" a="1"/>
  <c r="T10011" i="5" s="1"/>
  <c r="U10011" i="5" s="1"/>
  <c r="T10012" i="5" a="1"/>
  <c r="T10012" i="5" s="1"/>
  <c r="U10012" i="5" s="1"/>
  <c r="T10013" i="5" a="1"/>
  <c r="T10013" i="5" s="1"/>
  <c r="U10013" i="5" s="1"/>
  <c r="T10014" i="5" a="1"/>
  <c r="T10014" i="5" s="1"/>
  <c r="U10014" i="5" s="1"/>
  <c r="T10015" i="5" a="1"/>
  <c r="T10015" i="5" s="1"/>
  <c r="U10015" i="5" s="1"/>
  <c r="T10016" i="5" a="1"/>
  <c r="T10016" i="5" s="1"/>
  <c r="U10016" i="5" s="1"/>
  <c r="T10017" i="5" a="1"/>
  <c r="T10017" i="5" s="1"/>
  <c r="U10017" i="5" s="1"/>
  <c r="T10018" i="5" a="1"/>
  <c r="T10018" i="5" s="1"/>
  <c r="U10018" i="5" s="1"/>
  <c r="T10019" i="5" a="1"/>
  <c r="T10019" i="5" s="1"/>
  <c r="U10019" i="5" s="1"/>
  <c r="T10020" i="5" a="1"/>
  <c r="T10020" i="5" s="1"/>
  <c r="U10020" i="5" s="1"/>
  <c r="T10021" i="5" a="1"/>
  <c r="T10021" i="5" s="1"/>
  <c r="U10021" i="5" s="1"/>
  <c r="T10022" i="5" a="1"/>
  <c r="T10022" i="5" s="1"/>
  <c r="U10022" i="5" s="1"/>
  <c r="T10023" i="5" a="1"/>
  <c r="T10023" i="5" s="1"/>
  <c r="U10023" i="5" s="1"/>
  <c r="T10024" i="5" a="1"/>
  <c r="T10024" i="5" s="1"/>
  <c r="U10024" i="5" s="1"/>
  <c r="T10025" i="5" a="1"/>
  <c r="T10025" i="5" s="1"/>
  <c r="U10025" i="5" s="1"/>
  <c r="T10026" i="5" a="1"/>
  <c r="T10026" i="5" s="1"/>
  <c r="U10026" i="5" s="1"/>
  <c r="T10027" i="5" a="1"/>
  <c r="T10027" i="5" s="1"/>
  <c r="U10027" i="5" s="1"/>
  <c r="T10028" i="5" a="1"/>
  <c r="T10028" i="5" s="1"/>
  <c r="U10028" i="5" s="1"/>
  <c r="T10029" i="5" a="1"/>
  <c r="T10029" i="5" s="1"/>
  <c r="U10029" i="5" s="1"/>
  <c r="T10030" i="5" a="1"/>
  <c r="T10030" i="5" s="1"/>
  <c r="U10030" i="5" s="1"/>
  <c r="T10031" i="5" a="1"/>
  <c r="T10031" i="5" s="1"/>
  <c r="U10031" i="5" s="1"/>
  <c r="T10032" i="5" a="1"/>
  <c r="T10032" i="5" s="1"/>
  <c r="U10032" i="5" s="1"/>
  <c r="T10033" i="5" a="1"/>
  <c r="T10033" i="5" s="1"/>
  <c r="U10033" i="5" s="1"/>
  <c r="T10034" i="5" a="1"/>
  <c r="T10034" i="5" s="1"/>
  <c r="U10034" i="5" s="1"/>
  <c r="T10035" i="5" a="1"/>
  <c r="T10035" i="5" s="1"/>
  <c r="U10035" i="5" s="1"/>
  <c r="T10036" i="5" a="1"/>
  <c r="T10036" i="5" s="1"/>
  <c r="U10036" i="5" s="1"/>
  <c r="T10037" i="5" a="1"/>
  <c r="T10037" i="5" s="1"/>
  <c r="U10037" i="5" s="1"/>
  <c r="T10038" i="5" a="1"/>
  <c r="T10038" i="5" s="1"/>
  <c r="U10038" i="5" s="1"/>
  <c r="T10039" i="5" a="1"/>
  <c r="T10039" i="5" s="1"/>
  <c r="U10039" i="5" s="1"/>
  <c r="T10040" i="5" a="1"/>
  <c r="T10040" i="5" s="1"/>
  <c r="U10040" i="5" s="1"/>
  <c r="T10041" i="5" a="1"/>
  <c r="T10041" i="5" s="1"/>
  <c r="U10041" i="5" s="1"/>
  <c r="T10042" i="5" a="1"/>
  <c r="T10042" i="5" s="1"/>
  <c r="U10042" i="5" s="1"/>
  <c r="T10043" i="5" a="1"/>
  <c r="T10043" i="5" s="1"/>
  <c r="U10043" i="5" s="1"/>
  <c r="T10044" i="5" a="1"/>
  <c r="T10044" i="5" s="1"/>
  <c r="U10044" i="5" s="1"/>
  <c r="T10045" i="5" a="1"/>
  <c r="T10045" i="5" s="1"/>
  <c r="U10045" i="5" s="1"/>
  <c r="T10046" i="5" a="1"/>
  <c r="T10046" i="5" s="1"/>
  <c r="U10046" i="5" s="1"/>
  <c r="T10047" i="5" a="1"/>
  <c r="T10047" i="5" s="1"/>
  <c r="U10047" i="5" s="1"/>
  <c r="T10048" i="5" a="1"/>
  <c r="T10048" i="5" s="1"/>
  <c r="U10048" i="5" s="1"/>
  <c r="T10049" i="5" a="1"/>
  <c r="T10049" i="5" s="1"/>
  <c r="U10049" i="5" s="1"/>
  <c r="T10050" i="5" a="1"/>
  <c r="T10050" i="5" s="1"/>
  <c r="U10050" i="5" s="1"/>
  <c r="T10051" i="5" a="1"/>
  <c r="T10051" i="5" s="1"/>
  <c r="U10051" i="5" s="1"/>
  <c r="T10052" i="5" a="1"/>
  <c r="T10052" i="5" s="1"/>
  <c r="U10052" i="5" s="1"/>
  <c r="T10053" i="5" a="1"/>
  <c r="T10053" i="5" s="1"/>
  <c r="U10053" i="5" s="1"/>
  <c r="T10054" i="5" a="1"/>
  <c r="T10054" i="5" s="1"/>
  <c r="U10054" i="5" s="1"/>
  <c r="T10055" i="5" a="1"/>
  <c r="T10055" i="5" s="1"/>
  <c r="U10055" i="5" s="1"/>
  <c r="T10056" i="5" a="1"/>
  <c r="T10056" i="5" s="1"/>
  <c r="U10056" i="5" s="1"/>
  <c r="T10057" i="5" a="1"/>
  <c r="T10057" i="5" s="1"/>
  <c r="U10057" i="5" s="1"/>
  <c r="T10058" i="5" a="1"/>
  <c r="T10058" i="5" s="1"/>
  <c r="U10058" i="5" s="1"/>
  <c r="T10059" i="5" a="1"/>
  <c r="T10059" i="5" s="1"/>
  <c r="U10059" i="5" s="1"/>
  <c r="T10060" i="5" a="1"/>
  <c r="T10060" i="5" s="1"/>
  <c r="U10060" i="5" s="1"/>
  <c r="T10061" i="5" a="1"/>
  <c r="T10061" i="5" s="1"/>
  <c r="U10061" i="5" s="1"/>
  <c r="T10062" i="5" a="1"/>
  <c r="T10062" i="5" s="1"/>
  <c r="U10062" i="5" s="1"/>
  <c r="T10063" i="5" a="1"/>
  <c r="T10063" i="5" s="1"/>
  <c r="U10063" i="5" s="1"/>
  <c r="T10064" i="5" a="1"/>
  <c r="T10064" i="5" s="1"/>
  <c r="U10064" i="5" s="1"/>
  <c r="T10065" i="5" a="1"/>
  <c r="T10065" i="5" s="1"/>
  <c r="U10065" i="5" s="1"/>
  <c r="T10066" i="5" a="1"/>
  <c r="T10066" i="5" s="1"/>
  <c r="U10066" i="5" s="1"/>
  <c r="T10067" i="5" a="1"/>
  <c r="T10067" i="5" s="1"/>
  <c r="U10067" i="5" s="1"/>
  <c r="T10068" i="5" a="1"/>
  <c r="T10068" i="5" s="1"/>
  <c r="U10068" i="5" s="1"/>
  <c r="T10069" i="5" a="1"/>
  <c r="T10069" i="5" s="1"/>
  <c r="U10069" i="5" s="1"/>
  <c r="T10070" i="5" a="1"/>
  <c r="T10070" i="5" s="1"/>
  <c r="U10070" i="5" s="1"/>
  <c r="T10071" i="5" a="1"/>
  <c r="T10071" i="5" s="1"/>
  <c r="U10071" i="5" s="1"/>
  <c r="T10072" i="5" a="1"/>
  <c r="T10072" i="5" s="1"/>
  <c r="U10072" i="5" s="1"/>
  <c r="T10073" i="5" a="1"/>
  <c r="T10073" i="5" s="1"/>
  <c r="U10073" i="5" s="1"/>
  <c r="T10074" i="5" a="1"/>
  <c r="T10074" i="5" s="1"/>
  <c r="U10074" i="5" s="1"/>
  <c r="T10075" i="5" a="1"/>
  <c r="T10075" i="5" s="1"/>
  <c r="U10075" i="5" s="1"/>
  <c r="T10076" i="5" a="1"/>
  <c r="T10076" i="5" s="1"/>
  <c r="U10076" i="5" s="1"/>
  <c r="T10077" i="5" a="1"/>
  <c r="T10077" i="5" s="1"/>
  <c r="U10077" i="5" s="1"/>
  <c r="T10078" i="5" a="1"/>
  <c r="T10078" i="5" s="1"/>
  <c r="U10078" i="5" s="1"/>
  <c r="T10079" i="5" a="1"/>
  <c r="T10079" i="5" s="1"/>
  <c r="U10079" i="5" s="1"/>
  <c r="T10080" i="5" a="1"/>
  <c r="T10080" i="5" s="1"/>
  <c r="U10080" i="5" s="1"/>
  <c r="T10081" i="5" a="1"/>
  <c r="T10081" i="5" s="1"/>
  <c r="U10081" i="5" s="1"/>
  <c r="T10082" i="5" a="1"/>
  <c r="T10082" i="5" s="1"/>
  <c r="U10082" i="5" s="1"/>
  <c r="T10083" i="5" a="1"/>
  <c r="T10083" i="5" s="1"/>
  <c r="U10083" i="5" s="1"/>
  <c r="T10084" i="5" a="1"/>
  <c r="T10084" i="5" s="1"/>
  <c r="U10084" i="5" s="1"/>
  <c r="T10085" i="5" a="1"/>
  <c r="T10085" i="5" s="1"/>
  <c r="U10085" i="5" s="1"/>
  <c r="T10086" i="5" a="1"/>
  <c r="T10086" i="5" s="1"/>
  <c r="U10086" i="5" s="1"/>
  <c r="T10087" i="5" a="1"/>
  <c r="T10087" i="5" s="1"/>
  <c r="U10087" i="5" s="1"/>
  <c r="T10088" i="5" a="1"/>
  <c r="T10088" i="5" s="1"/>
  <c r="U10088" i="5" s="1"/>
  <c r="T10089" i="5" a="1"/>
  <c r="T10089" i="5" s="1"/>
  <c r="U10089" i="5" s="1"/>
  <c r="T10090" i="5" a="1"/>
  <c r="T10090" i="5" s="1"/>
  <c r="U10090" i="5" s="1"/>
  <c r="T10091" i="5" a="1"/>
  <c r="T10091" i="5" s="1"/>
  <c r="U10091" i="5" s="1"/>
  <c r="T10092" i="5" a="1"/>
  <c r="T10092" i="5" s="1"/>
  <c r="U10092" i="5" s="1"/>
  <c r="T10093" i="5" a="1"/>
  <c r="T10093" i="5" s="1"/>
  <c r="U10093" i="5" s="1"/>
  <c r="T10094" i="5" a="1"/>
  <c r="T10094" i="5" s="1"/>
  <c r="U10094" i="5" s="1"/>
  <c r="T10095" i="5" a="1"/>
  <c r="T10095" i="5" s="1"/>
  <c r="U10095" i="5" s="1"/>
  <c r="T10096" i="5" a="1"/>
  <c r="T10096" i="5" s="1"/>
  <c r="U10096" i="5" s="1"/>
  <c r="T10097" i="5" a="1"/>
  <c r="T10097" i="5" s="1"/>
  <c r="U10097" i="5" s="1"/>
  <c r="T10098" i="5" a="1"/>
  <c r="T10098" i="5" s="1"/>
  <c r="U10098" i="5" s="1"/>
  <c r="T10099" i="5" a="1"/>
  <c r="T10099" i="5" s="1"/>
  <c r="U10099" i="5" s="1"/>
  <c r="T10100" i="5" a="1"/>
  <c r="T10100" i="5" s="1"/>
  <c r="U10100" i="5" s="1"/>
  <c r="T10101" i="5" a="1"/>
  <c r="T10101" i="5" s="1"/>
  <c r="U10101" i="5" s="1"/>
  <c r="T10102" i="5" a="1"/>
  <c r="T10102" i="5" s="1"/>
  <c r="U10102" i="5" s="1"/>
  <c r="T10103" i="5" a="1"/>
  <c r="T10103" i="5" s="1"/>
  <c r="U10103" i="5" s="1"/>
  <c r="T10104" i="5" a="1"/>
  <c r="T10104" i="5" s="1"/>
  <c r="U10104" i="5" s="1"/>
  <c r="T10105" i="5" a="1"/>
  <c r="T10105" i="5" s="1"/>
  <c r="U10105" i="5" s="1"/>
  <c r="T10106" i="5" a="1"/>
  <c r="T10106" i="5" s="1"/>
  <c r="U10106" i="5" s="1"/>
  <c r="T10107" i="5" a="1"/>
  <c r="T10107" i="5" s="1"/>
  <c r="U10107" i="5" s="1"/>
  <c r="T10108" i="5" a="1"/>
  <c r="T10108" i="5" s="1"/>
  <c r="U10108" i="5" s="1"/>
  <c r="T10109" i="5" a="1"/>
  <c r="T10109" i="5" s="1"/>
  <c r="U10109" i="5" s="1"/>
  <c r="T10110" i="5" a="1"/>
  <c r="T10110" i="5" s="1"/>
  <c r="U10110" i="5" s="1"/>
  <c r="T10111" i="5" a="1"/>
  <c r="T10111" i="5" s="1"/>
  <c r="U10111" i="5" s="1"/>
  <c r="T10112" i="5" a="1"/>
  <c r="T10112" i="5" s="1"/>
  <c r="U10112" i="5" s="1"/>
  <c r="T10113" i="5" a="1"/>
  <c r="T10113" i="5" s="1"/>
  <c r="U10113" i="5" s="1"/>
  <c r="T10114" i="5" a="1"/>
  <c r="T10114" i="5" s="1"/>
  <c r="U10114" i="5" s="1"/>
  <c r="T10115" i="5" a="1"/>
  <c r="T10115" i="5" s="1"/>
  <c r="U10115" i="5" s="1"/>
  <c r="T10116" i="5" a="1"/>
  <c r="T10116" i="5" s="1"/>
  <c r="U10116" i="5" s="1"/>
  <c r="T10117" i="5" a="1"/>
  <c r="T10117" i="5" s="1"/>
  <c r="U10117" i="5" s="1"/>
  <c r="T10118" i="5" a="1"/>
  <c r="T10118" i="5" s="1"/>
  <c r="U10118" i="5" s="1"/>
  <c r="T10119" i="5" a="1"/>
  <c r="T10119" i="5" s="1"/>
  <c r="U10119" i="5" s="1"/>
  <c r="T10120" i="5" a="1"/>
  <c r="T10120" i="5" s="1"/>
  <c r="U10120" i="5" s="1"/>
  <c r="T10121" i="5" a="1"/>
  <c r="T10121" i="5" s="1"/>
  <c r="U10121" i="5" s="1"/>
  <c r="T10122" i="5" a="1"/>
  <c r="T10122" i="5" s="1"/>
  <c r="U10122" i="5" s="1"/>
  <c r="T10123" i="5" a="1"/>
  <c r="T10123" i="5" s="1"/>
  <c r="U10123" i="5" s="1"/>
  <c r="T10124" i="5" a="1"/>
  <c r="T10124" i="5" s="1"/>
  <c r="U10124" i="5" s="1"/>
  <c r="T10125" i="5" a="1"/>
  <c r="T10125" i="5" s="1"/>
  <c r="U10125" i="5" s="1"/>
  <c r="T10126" i="5" a="1"/>
  <c r="T10126" i="5" s="1"/>
  <c r="U10126" i="5" s="1"/>
  <c r="T10127" i="5" a="1"/>
  <c r="T10127" i="5" s="1"/>
  <c r="U10127" i="5" s="1"/>
  <c r="T10128" i="5" a="1"/>
  <c r="T10128" i="5" s="1"/>
  <c r="U10128" i="5" s="1"/>
  <c r="T10129" i="5" a="1"/>
  <c r="T10129" i="5" s="1"/>
  <c r="U10129" i="5" s="1"/>
  <c r="T10130" i="5" a="1"/>
  <c r="T10130" i="5" s="1"/>
  <c r="U10130" i="5" s="1"/>
  <c r="T10131" i="5" a="1"/>
  <c r="T10131" i="5" s="1"/>
  <c r="U10131" i="5" s="1"/>
  <c r="T10132" i="5" a="1"/>
  <c r="T10132" i="5" s="1"/>
  <c r="U10132" i="5" s="1"/>
  <c r="T10133" i="5" a="1"/>
  <c r="T10133" i="5" s="1"/>
  <c r="U10133" i="5" s="1"/>
  <c r="T10134" i="5" a="1"/>
  <c r="T10134" i="5" s="1"/>
  <c r="U10134" i="5" s="1"/>
  <c r="T10135" i="5" a="1"/>
  <c r="T10135" i="5" s="1"/>
  <c r="U10135" i="5" s="1"/>
  <c r="T10136" i="5" a="1"/>
  <c r="T10136" i="5" s="1"/>
  <c r="U10136" i="5" s="1"/>
  <c r="T10137" i="5" a="1"/>
  <c r="T10137" i="5" s="1"/>
  <c r="U10137" i="5" s="1"/>
  <c r="T10138" i="5" a="1"/>
  <c r="T10138" i="5" s="1"/>
  <c r="U10138" i="5" s="1"/>
  <c r="T10139" i="5" a="1"/>
  <c r="T10139" i="5" s="1"/>
  <c r="U10139" i="5" s="1"/>
  <c r="T10140" i="5" a="1"/>
  <c r="T10140" i="5" s="1"/>
  <c r="U10140" i="5" s="1"/>
  <c r="T10141" i="5" a="1"/>
  <c r="T10141" i="5" s="1"/>
  <c r="U10141" i="5" s="1"/>
  <c r="T10142" i="5" a="1"/>
  <c r="T10142" i="5" s="1"/>
  <c r="U10142" i="5" s="1"/>
  <c r="T10143" i="5" a="1"/>
  <c r="T10143" i="5" s="1"/>
  <c r="U10143" i="5" s="1"/>
  <c r="T10144" i="5" a="1"/>
  <c r="T10144" i="5" s="1"/>
  <c r="U10144" i="5" s="1"/>
  <c r="T10145" i="5" a="1"/>
  <c r="T10145" i="5" s="1"/>
  <c r="U10145" i="5" s="1"/>
  <c r="T10146" i="5" a="1"/>
  <c r="T10146" i="5" s="1"/>
  <c r="U10146" i="5" s="1"/>
  <c r="T10147" i="5" a="1"/>
  <c r="T10147" i="5" s="1"/>
  <c r="U10147" i="5" s="1"/>
  <c r="T10148" i="5" a="1"/>
  <c r="T10148" i="5" s="1"/>
  <c r="U10148" i="5" s="1"/>
  <c r="T10149" i="5" a="1"/>
  <c r="T10149" i="5" s="1"/>
  <c r="U10149" i="5" s="1"/>
  <c r="T10150" i="5" a="1"/>
  <c r="T10150" i="5" s="1"/>
  <c r="U10150" i="5" s="1"/>
  <c r="T10151" i="5" a="1"/>
  <c r="T10151" i="5" s="1"/>
  <c r="U10151" i="5" s="1"/>
  <c r="T10152" i="5" a="1"/>
  <c r="T10152" i="5" s="1"/>
  <c r="U10152" i="5" s="1"/>
  <c r="T10153" i="5" a="1"/>
  <c r="T10153" i="5" s="1"/>
  <c r="U10153" i="5" s="1"/>
  <c r="T10154" i="5" a="1"/>
  <c r="T10154" i="5" s="1"/>
  <c r="U10154" i="5" s="1"/>
  <c r="T10155" i="5" a="1"/>
  <c r="T10155" i="5" s="1"/>
  <c r="U10155" i="5" s="1"/>
  <c r="T10156" i="5" a="1"/>
  <c r="T10156" i="5" s="1"/>
  <c r="U10156" i="5" s="1"/>
  <c r="T10157" i="5" a="1"/>
  <c r="T10157" i="5" s="1"/>
  <c r="U10157" i="5" s="1"/>
  <c r="T10158" i="5" a="1"/>
  <c r="T10158" i="5" s="1"/>
  <c r="U10158" i="5" s="1"/>
  <c r="T10159" i="5" a="1"/>
  <c r="T10159" i="5" s="1"/>
  <c r="U10159" i="5" s="1"/>
  <c r="T10160" i="5" a="1"/>
  <c r="T10160" i="5" s="1"/>
  <c r="U10160" i="5" s="1"/>
  <c r="T10161" i="5" a="1"/>
  <c r="T10161" i="5" s="1"/>
  <c r="U10161" i="5" s="1"/>
  <c r="T10162" i="5" a="1"/>
  <c r="T10162" i="5" s="1"/>
  <c r="U10162" i="5" s="1"/>
  <c r="T10163" i="5" a="1"/>
  <c r="T10163" i="5" s="1"/>
  <c r="U10163" i="5" s="1"/>
  <c r="T10164" i="5" a="1"/>
  <c r="T10164" i="5" s="1"/>
  <c r="U10164" i="5" s="1"/>
  <c r="T10165" i="5" a="1"/>
  <c r="T10165" i="5" s="1"/>
  <c r="U10165" i="5" s="1"/>
  <c r="T10166" i="5" a="1"/>
  <c r="T10166" i="5" s="1"/>
  <c r="U10166" i="5" s="1"/>
  <c r="T10167" i="5" a="1"/>
  <c r="T10167" i="5" s="1"/>
  <c r="U10167" i="5" s="1"/>
  <c r="T10168" i="5" a="1"/>
  <c r="T10168" i="5" s="1"/>
  <c r="U10168" i="5" s="1"/>
  <c r="T10169" i="5" a="1"/>
  <c r="T10169" i="5" s="1"/>
  <c r="U10169" i="5" s="1"/>
  <c r="T2" i="5" a="1"/>
  <c r="T2" i="5" s="1"/>
  <c r="U2" i="5" s="1"/>
  <c r="V15" i="18"/>
  <c r="V16" i="18"/>
  <c r="V88" i="18"/>
  <c r="V455" i="18"/>
  <c r="V456" i="18"/>
  <c r="V457" i="18"/>
  <c r="V458" i="18"/>
  <c r="V459" i="18"/>
  <c r="V460" i="18"/>
  <c r="V461" i="18"/>
  <c r="V462" i="18"/>
  <c r="V463" i="18"/>
  <c r="Z15" i="18"/>
  <c r="Z16" i="18"/>
  <c r="Z88" i="18"/>
  <c r="Z455" i="18"/>
  <c r="Z456" i="18"/>
  <c r="Z457" i="18"/>
  <c r="Z458" i="18"/>
  <c r="Z459" i="18"/>
  <c r="Z460" i="18"/>
  <c r="Z461" i="18"/>
  <c r="Z462" i="18"/>
  <c r="Z463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9" i="18"/>
  <c r="H31" i="18"/>
  <c r="H32" i="18"/>
  <c r="H33" i="18"/>
  <c r="H36" i="18"/>
  <c r="H37" i="18"/>
  <c r="H38" i="18"/>
  <c r="H40" i="18"/>
  <c r="H41" i="18"/>
  <c r="H42" i="18"/>
  <c r="H43" i="18"/>
  <c r="H45" i="18"/>
  <c r="H46" i="18"/>
  <c r="H47" i="18"/>
  <c r="H48" i="18"/>
  <c r="H49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51" i="18"/>
  <c r="H152" i="18"/>
  <c r="H153" i="18"/>
  <c r="H154" i="18"/>
  <c r="H155" i="18"/>
  <c r="H156" i="18"/>
  <c r="H157" i="18"/>
  <c r="H158" i="18"/>
  <c r="H159" i="18"/>
  <c r="H160" i="18"/>
  <c r="H161" i="18"/>
  <c r="H162" i="18"/>
  <c r="H163" i="18"/>
  <c r="H164" i="18"/>
  <c r="H165" i="18"/>
  <c r="H166" i="18"/>
  <c r="H167" i="18"/>
  <c r="H168" i="18"/>
  <c r="H169" i="18"/>
  <c r="H170" i="18"/>
  <c r="H171" i="18"/>
  <c r="H173" i="18"/>
  <c r="H174" i="18"/>
  <c r="H175" i="18"/>
  <c r="H176" i="18"/>
  <c r="H177" i="18"/>
  <c r="H178" i="18"/>
  <c r="H180" i="18"/>
  <c r="H181" i="18"/>
  <c r="H182" i="18"/>
  <c r="H183" i="18"/>
  <c r="H184" i="18"/>
  <c r="H185" i="18"/>
  <c r="H186" i="18"/>
  <c r="H187" i="18"/>
  <c r="H188" i="18"/>
  <c r="H190" i="18"/>
  <c r="H191" i="18"/>
  <c r="H192" i="18"/>
  <c r="H193" i="18"/>
  <c r="H194" i="18"/>
  <c r="H195" i="18"/>
  <c r="H196" i="18"/>
  <c r="H197" i="18"/>
  <c r="H198" i="18"/>
  <c r="H199" i="18"/>
  <c r="H200" i="18"/>
  <c r="H201" i="18"/>
  <c r="H202" i="18"/>
  <c r="H203" i="18"/>
  <c r="H204" i="18"/>
  <c r="H205" i="18"/>
  <c r="H207" i="18"/>
  <c r="H208" i="18"/>
  <c r="H209" i="18"/>
  <c r="H210" i="18"/>
  <c r="H211" i="18"/>
  <c r="H212" i="18"/>
  <c r="H213" i="18"/>
  <c r="H214" i="18"/>
  <c r="H216" i="18"/>
  <c r="H217" i="18"/>
  <c r="H218" i="18"/>
  <c r="H219" i="18"/>
  <c r="H220" i="18"/>
  <c r="H221" i="18"/>
  <c r="H222" i="18"/>
  <c r="H223" i="18"/>
  <c r="H224" i="18"/>
  <c r="H225" i="18"/>
  <c r="H226" i="18"/>
  <c r="H227" i="18"/>
  <c r="H228" i="18"/>
  <c r="H229" i="18"/>
  <c r="H230" i="18"/>
  <c r="H231" i="18"/>
  <c r="H232" i="18"/>
  <c r="H233" i="18"/>
  <c r="H234" i="18"/>
  <c r="H235" i="18"/>
  <c r="H236" i="18"/>
  <c r="H237" i="18"/>
  <c r="H238" i="18"/>
  <c r="H239" i="18"/>
  <c r="H240" i="18"/>
  <c r="H241" i="18"/>
  <c r="H242" i="18"/>
  <c r="H243" i="18"/>
  <c r="H245" i="18"/>
  <c r="H246" i="18"/>
  <c r="H247" i="18"/>
  <c r="H248" i="18"/>
  <c r="H249" i="18"/>
  <c r="H250" i="18"/>
  <c r="H251" i="18"/>
  <c r="H252" i="18"/>
  <c r="H253" i="18"/>
  <c r="H254" i="18"/>
  <c r="H255" i="18"/>
  <c r="H256" i="18"/>
  <c r="H257" i="18"/>
  <c r="H258" i="18"/>
  <c r="H260" i="18"/>
  <c r="H261" i="18"/>
  <c r="H263" i="18"/>
  <c r="H264" i="18"/>
  <c r="H265" i="18"/>
  <c r="H266" i="18"/>
  <c r="H267" i="18"/>
  <c r="H268" i="18"/>
  <c r="H269" i="18"/>
  <c r="H270" i="18"/>
  <c r="H271" i="18"/>
  <c r="H272" i="18"/>
  <c r="H273" i="18"/>
  <c r="H274" i="18"/>
  <c r="H275" i="18"/>
  <c r="H276" i="18"/>
  <c r="H277" i="18"/>
  <c r="H278" i="18"/>
  <c r="H279" i="18"/>
  <c r="H281" i="18"/>
  <c r="H282" i="18"/>
  <c r="H283" i="18"/>
  <c r="H284" i="18"/>
  <c r="H285" i="18"/>
  <c r="H286" i="18"/>
  <c r="H287" i="18"/>
  <c r="H288" i="18"/>
  <c r="H289" i="18"/>
  <c r="H290" i="18"/>
  <c r="H291" i="18"/>
  <c r="H292" i="18"/>
  <c r="H293" i="18"/>
  <c r="H294" i="18"/>
  <c r="H295" i="18"/>
  <c r="H296" i="18"/>
  <c r="H297" i="18"/>
  <c r="H298" i="18"/>
  <c r="H299" i="18"/>
  <c r="H301" i="18"/>
  <c r="H302" i="18"/>
  <c r="H303" i="18"/>
  <c r="H304" i="18"/>
  <c r="H305" i="18"/>
  <c r="H306" i="18"/>
  <c r="H307" i="18"/>
  <c r="H308" i="18"/>
  <c r="H309" i="18"/>
  <c r="H310" i="18"/>
  <c r="H311" i="18"/>
  <c r="H312" i="18"/>
  <c r="H313" i="18"/>
  <c r="H314" i="18"/>
  <c r="H315" i="18"/>
  <c r="H316" i="18"/>
  <c r="H317" i="18"/>
  <c r="H318" i="18"/>
  <c r="H319" i="18"/>
  <c r="H320" i="18"/>
  <c r="H321" i="18"/>
  <c r="H322" i="18"/>
  <c r="H323" i="18"/>
  <c r="H324" i="18"/>
  <c r="H327" i="18"/>
  <c r="H328" i="18"/>
  <c r="H329" i="18"/>
  <c r="H330" i="18"/>
  <c r="H331" i="18"/>
  <c r="H332" i="18"/>
  <c r="H333" i="18"/>
  <c r="H334" i="18"/>
  <c r="H335" i="18"/>
  <c r="H336" i="18"/>
  <c r="H337" i="18"/>
  <c r="H338" i="18"/>
  <c r="H339" i="18"/>
  <c r="H340" i="18"/>
  <c r="H341" i="18"/>
  <c r="H342" i="18"/>
  <c r="H343" i="18"/>
  <c r="H344" i="18"/>
  <c r="H345" i="18"/>
  <c r="H346" i="18"/>
  <c r="H347" i="18"/>
  <c r="H348" i="18"/>
  <c r="H349" i="18"/>
  <c r="H350" i="18"/>
  <c r="H351" i="18"/>
  <c r="H352" i="18"/>
  <c r="H353" i="18"/>
  <c r="H354" i="18"/>
  <c r="H355" i="18"/>
  <c r="H356" i="18"/>
  <c r="H357" i="18"/>
  <c r="H358" i="18"/>
  <c r="H359" i="18"/>
  <c r="H360" i="18"/>
  <c r="H361" i="18"/>
  <c r="H362" i="18"/>
  <c r="H363" i="18"/>
  <c r="H364" i="18"/>
  <c r="H365" i="18"/>
  <c r="H366" i="18"/>
  <c r="H367" i="18"/>
  <c r="H368" i="18"/>
  <c r="H369" i="18"/>
  <c r="H370" i="18"/>
  <c r="H371" i="18"/>
  <c r="H372" i="18"/>
  <c r="H373" i="18"/>
  <c r="H374" i="18"/>
  <c r="H376" i="18"/>
  <c r="H377" i="18"/>
  <c r="H378" i="18"/>
  <c r="H379" i="18"/>
  <c r="H380" i="18"/>
  <c r="H381" i="18"/>
  <c r="H382" i="18"/>
  <c r="H383" i="18"/>
  <c r="H384" i="18"/>
  <c r="H385" i="18"/>
  <c r="H386" i="18"/>
  <c r="H387" i="18"/>
  <c r="H388" i="18"/>
  <c r="H389" i="18"/>
  <c r="H390" i="18"/>
  <c r="H391" i="18"/>
  <c r="H392" i="18"/>
  <c r="H393" i="18"/>
  <c r="H394" i="18"/>
  <c r="H395" i="18"/>
  <c r="H396" i="18"/>
  <c r="H397" i="18"/>
  <c r="H398" i="18"/>
  <c r="H399" i="18"/>
  <c r="H400" i="18"/>
  <c r="H401" i="18"/>
  <c r="H402" i="18"/>
  <c r="H403" i="18"/>
  <c r="H404" i="18"/>
  <c r="H405" i="18"/>
  <c r="H406" i="18"/>
  <c r="H407" i="18"/>
  <c r="H408" i="18"/>
  <c r="H409" i="18"/>
  <c r="H410" i="18"/>
  <c r="H411" i="18"/>
  <c r="H412" i="18"/>
  <c r="H413" i="18"/>
  <c r="H414" i="18"/>
  <c r="H415" i="18"/>
  <c r="H416" i="18"/>
  <c r="H417" i="18"/>
  <c r="H418" i="18"/>
  <c r="H419" i="18"/>
  <c r="H420" i="18"/>
  <c r="H421" i="18"/>
  <c r="H422" i="18"/>
  <c r="H423" i="18"/>
  <c r="H424" i="18"/>
  <c r="H425" i="18"/>
  <c r="H426" i="18"/>
  <c r="H427" i="18"/>
  <c r="H428" i="18"/>
  <c r="H429" i="18"/>
  <c r="H430" i="18"/>
  <c r="H431" i="18"/>
  <c r="H432" i="18"/>
  <c r="H433" i="18"/>
  <c r="H434" i="18"/>
  <c r="H435" i="18"/>
  <c r="H436" i="18"/>
  <c r="H437" i="18"/>
  <c r="H438" i="18"/>
  <c r="H439" i="18"/>
  <c r="H440" i="18"/>
  <c r="H441" i="18"/>
  <c r="H442" i="18"/>
  <c r="H443" i="18"/>
  <c r="H444" i="18"/>
  <c r="H445" i="18"/>
  <c r="H446" i="18"/>
  <c r="H447" i="18"/>
  <c r="H448" i="18"/>
  <c r="H449" i="18"/>
  <c r="H450" i="18"/>
  <c r="H451" i="18"/>
  <c r="H452" i="18"/>
  <c r="H453" i="18"/>
  <c r="H454" i="18"/>
  <c r="H455" i="18"/>
  <c r="H456" i="18"/>
  <c r="H457" i="18"/>
  <c r="H458" i="18"/>
  <c r="H459" i="18"/>
  <c r="H460" i="18"/>
  <c r="H461" i="18"/>
  <c r="H462" i="18"/>
  <c r="H463" i="18"/>
  <c r="H11" i="18"/>
  <c r="H3" i="18"/>
  <c r="H4" i="18"/>
  <c r="H5" i="18"/>
  <c r="H6" i="18"/>
  <c r="H7" i="18"/>
  <c r="H8" i="18"/>
  <c r="H9" i="18"/>
  <c r="H2" i="18"/>
  <c r="Z65" i="18"/>
  <c r="Z71" i="18"/>
  <c r="Z162" i="18"/>
  <c r="Z172" i="18"/>
  <c r="Z176" i="18"/>
  <c r="Z188" i="18"/>
  <c r="Z190" i="18"/>
  <c r="Z198" i="18"/>
  <c r="Z209" i="18"/>
  <c r="Z75" i="18"/>
  <c r="Z76" i="18"/>
  <c r="Z28" i="18"/>
  <c r="Z44" i="18"/>
  <c r="Z227" i="18"/>
  <c r="Z85" i="18"/>
  <c r="Z86" i="18"/>
  <c r="Z250" i="18"/>
  <c r="Z251" i="18"/>
  <c r="Z111" i="18"/>
  <c r="Z258" i="18"/>
  <c r="Z124" i="18"/>
  <c r="Z125" i="18"/>
  <c r="Z126" i="18"/>
  <c r="Z99" i="18"/>
  <c r="Z110" i="18"/>
  <c r="Z391" i="18"/>
  <c r="Z394" i="18"/>
  <c r="Z396" i="18"/>
  <c r="Z406" i="18"/>
  <c r="Z408" i="18"/>
  <c r="Z412" i="18"/>
  <c r="Z275" i="18"/>
  <c r="Z279" i="18"/>
  <c r="Z280" i="18"/>
  <c r="Z281" i="18"/>
  <c r="Z287" i="18"/>
  <c r="Z327" i="18"/>
  <c r="Z330" i="18"/>
  <c r="Z415" i="18"/>
  <c r="Z420" i="18"/>
  <c r="Z424" i="18"/>
  <c r="Z425" i="18"/>
  <c r="Z426" i="18"/>
  <c r="Z427" i="18"/>
  <c r="Z428" i="18"/>
  <c r="Z429" i="18"/>
  <c r="Z430" i="18"/>
  <c r="Z431" i="18"/>
  <c r="Z432" i="18"/>
  <c r="Z433" i="18"/>
  <c r="Z434" i="18"/>
  <c r="Z436" i="18"/>
  <c r="Z437" i="18"/>
  <c r="Z438" i="18"/>
  <c r="Z439" i="18"/>
  <c r="Z444" i="18"/>
  <c r="Z294" i="18"/>
  <c r="Z298" i="18"/>
  <c r="Z333" i="18"/>
  <c r="Z338" i="18"/>
  <c r="Z339" i="18"/>
  <c r="Z340" i="18"/>
  <c r="Z341" i="18"/>
  <c r="Z342" i="18"/>
  <c r="Z344" i="18"/>
  <c r="Z345" i="18"/>
  <c r="Z346" i="18"/>
  <c r="Z347" i="18"/>
  <c r="Z348" i="18"/>
  <c r="Z302" i="18"/>
  <c r="Z303" i="18"/>
  <c r="Z306" i="18"/>
  <c r="Z313" i="18"/>
  <c r="Z314" i="18"/>
  <c r="Z381" i="18"/>
  <c r="Z450" i="18"/>
  <c r="Z318" i="18"/>
  <c r="Z320" i="18"/>
  <c r="Z453" i="18"/>
  <c r="Z454" i="18"/>
  <c r="Z137" i="18"/>
  <c r="Z350" i="18"/>
  <c r="Z353" i="18"/>
  <c r="Z361" i="18"/>
  <c r="Z362" i="18"/>
  <c r="Z367" i="18"/>
  <c r="Z368" i="18"/>
  <c r="Z369" i="18"/>
  <c r="Z370" i="18"/>
  <c r="Z371" i="18"/>
  <c r="Z52" i="18"/>
  <c r="Z54" i="18"/>
  <c r="Z55" i="18"/>
  <c r="Z56" i="18"/>
  <c r="Z57" i="18"/>
  <c r="Z59" i="18"/>
  <c r="Z384" i="18"/>
  <c r="Z139" i="18"/>
  <c r="Z383" i="18"/>
  <c r="U3" i="5"/>
  <c r="W3" i="5" s="1"/>
  <c r="U4" i="5"/>
  <c r="W4" i="5" s="1"/>
  <c r="U5" i="5"/>
  <c r="W5" i="5" s="1"/>
  <c r="U6" i="5"/>
  <c r="W6" i="5" s="1"/>
  <c r="U7" i="5"/>
  <c r="W7" i="5" s="1"/>
  <c r="U8" i="5"/>
  <c r="W8" i="5" s="1"/>
  <c r="U13" i="5"/>
  <c r="W13" i="5" s="1"/>
  <c r="U14" i="5"/>
  <c r="W14" i="5" s="1"/>
  <c r="U17" i="5"/>
  <c r="W17" i="5" s="1"/>
  <c r="U18" i="5"/>
  <c r="W18" i="5" s="1"/>
  <c r="U19" i="5"/>
  <c r="W19" i="5" s="1"/>
  <c r="U20" i="5"/>
  <c r="W20" i="5" s="1"/>
  <c r="U23" i="5"/>
  <c r="W23" i="5" s="1"/>
  <c r="U24" i="5"/>
  <c r="W24" i="5" s="1"/>
  <c r="U26" i="5"/>
  <c r="W26" i="5" s="1"/>
  <c r="U30" i="5"/>
  <c r="W30" i="5" s="1"/>
  <c r="U34" i="5"/>
  <c r="W34" i="5" s="1"/>
  <c r="U35" i="5"/>
  <c r="W35" i="5" s="1"/>
  <c r="U36" i="5"/>
  <c r="W36" i="5" s="1"/>
  <c r="U40" i="5"/>
  <c r="W40" i="5" s="1"/>
  <c r="U41" i="5"/>
  <c r="W41" i="5" s="1"/>
  <c r="U42" i="5"/>
  <c r="W42" i="5" s="1"/>
  <c r="U43" i="5"/>
  <c r="W43" i="5" s="1"/>
  <c r="U44" i="5"/>
  <c r="W44" i="5" s="1"/>
  <c r="U45" i="5"/>
  <c r="W45" i="5" s="1"/>
  <c r="U46" i="5"/>
  <c r="W46" i="5" s="1"/>
  <c r="U47" i="5"/>
  <c r="W47" i="5" s="1"/>
  <c r="U48" i="5"/>
  <c r="W48" i="5" s="1"/>
  <c r="U49" i="5"/>
  <c r="W49" i="5" s="1"/>
  <c r="U50" i="5"/>
  <c r="W50" i="5" s="1"/>
  <c r="U51" i="5"/>
  <c r="W51" i="5" s="1"/>
  <c r="U192" i="5"/>
  <c r="W192" i="5" s="1"/>
  <c r="U193" i="5"/>
  <c r="W193" i="5" s="1"/>
  <c r="U194" i="5"/>
  <c r="W194" i="5" s="1"/>
  <c r="U195" i="5"/>
  <c r="W195" i="5" s="1"/>
  <c r="U201" i="5"/>
  <c r="W201" i="5" s="1"/>
  <c r="U202" i="5"/>
  <c r="W202" i="5" s="1"/>
  <c r="U203" i="5"/>
  <c r="W203" i="5" s="1"/>
  <c r="U204" i="5"/>
  <c r="W204" i="5" s="1"/>
  <c r="U205" i="5"/>
  <c r="W205" i="5" s="1"/>
  <c r="U206" i="5"/>
  <c r="W206" i="5" s="1"/>
  <c r="U207" i="5"/>
  <c r="W207" i="5" s="1"/>
  <c r="U208" i="5"/>
  <c r="W208" i="5" s="1"/>
  <c r="U209" i="5"/>
  <c r="W209" i="5" s="1"/>
  <c r="U210" i="5"/>
  <c r="W210" i="5" s="1"/>
  <c r="U267" i="5"/>
  <c r="W267" i="5" s="1"/>
  <c r="U268" i="5"/>
  <c r="W268" i="5" s="1"/>
  <c r="U269" i="5"/>
  <c r="W269" i="5" s="1"/>
  <c r="U270" i="5"/>
  <c r="W270" i="5" s="1"/>
  <c r="U271" i="5"/>
  <c r="W271" i="5" s="1"/>
  <c r="U272" i="5"/>
  <c r="W272" i="5" s="1"/>
  <c r="U273" i="5"/>
  <c r="W273" i="5" s="1"/>
  <c r="U274" i="5"/>
  <c r="W274" i="5" s="1"/>
  <c r="U275" i="5"/>
  <c r="W275" i="5" s="1"/>
  <c r="U276" i="5"/>
  <c r="W276" i="5" s="1"/>
  <c r="U277" i="5"/>
  <c r="W277" i="5" s="1"/>
  <c r="U278" i="5"/>
  <c r="W278" i="5" s="1"/>
  <c r="U279" i="5"/>
  <c r="W279" i="5" s="1"/>
  <c r="U280" i="5"/>
  <c r="W280" i="5" s="1"/>
  <c r="U281" i="5"/>
  <c r="W281" i="5" s="1"/>
  <c r="U282" i="5"/>
  <c r="W282" i="5" s="1"/>
  <c r="U283" i="5"/>
  <c r="W283" i="5" s="1"/>
  <c r="U284" i="5"/>
  <c r="W284" i="5" s="1"/>
  <c r="U285" i="5"/>
  <c r="W285" i="5" s="1"/>
  <c r="U286" i="5"/>
  <c r="W286" i="5" s="1"/>
  <c r="U287" i="5"/>
  <c r="W287" i="5" s="1"/>
  <c r="U288" i="5"/>
  <c r="W288" i="5" s="1"/>
  <c r="U289" i="5"/>
  <c r="W289" i="5" s="1"/>
  <c r="U290" i="5"/>
  <c r="W290" i="5" s="1"/>
  <c r="U291" i="5"/>
  <c r="W291" i="5" s="1"/>
  <c r="U292" i="5"/>
  <c r="W292" i="5" s="1"/>
  <c r="U293" i="5"/>
  <c r="W293" i="5" s="1"/>
  <c r="U294" i="5"/>
  <c r="W294" i="5" s="1"/>
  <c r="U295" i="5"/>
  <c r="W295" i="5" s="1"/>
  <c r="U296" i="5"/>
  <c r="W296" i="5" s="1"/>
  <c r="U297" i="5"/>
  <c r="W297" i="5" s="1"/>
  <c r="U298" i="5"/>
  <c r="W298" i="5" s="1"/>
  <c r="U299" i="5"/>
  <c r="W299" i="5" s="1"/>
  <c r="U300" i="5"/>
  <c r="W300" i="5" s="1"/>
  <c r="U301" i="5"/>
  <c r="W301" i="5" s="1"/>
  <c r="U302" i="5"/>
  <c r="W302" i="5" s="1"/>
  <c r="U303" i="5"/>
  <c r="W303" i="5" s="1"/>
  <c r="U304" i="5"/>
  <c r="W304" i="5" s="1"/>
  <c r="U305" i="5"/>
  <c r="W305" i="5" s="1"/>
  <c r="U306" i="5"/>
  <c r="W306" i="5" s="1"/>
  <c r="U307" i="5"/>
  <c r="W307" i="5" s="1"/>
  <c r="U308" i="5"/>
  <c r="W308" i="5" s="1"/>
  <c r="U309" i="5"/>
  <c r="W309" i="5" s="1"/>
  <c r="U310" i="5"/>
  <c r="W310" i="5" s="1"/>
  <c r="U311" i="5"/>
  <c r="W311" i="5" s="1"/>
  <c r="U312" i="5"/>
  <c r="W312" i="5" s="1"/>
  <c r="U313" i="5"/>
  <c r="W313" i="5" s="1"/>
  <c r="U314" i="5"/>
  <c r="W314" i="5" s="1"/>
  <c r="U315" i="5"/>
  <c r="W315" i="5" s="1"/>
  <c r="U316" i="5"/>
  <c r="W316" i="5" s="1"/>
  <c r="U317" i="5"/>
  <c r="W317" i="5" s="1"/>
  <c r="U318" i="5"/>
  <c r="W318" i="5" s="1"/>
  <c r="U319" i="5"/>
  <c r="W319" i="5" s="1"/>
  <c r="U320" i="5"/>
  <c r="W320" i="5" s="1"/>
  <c r="U321" i="5"/>
  <c r="W321" i="5" s="1"/>
  <c r="U322" i="5"/>
  <c r="W322" i="5" s="1"/>
  <c r="U323" i="5"/>
  <c r="W323" i="5" s="1"/>
  <c r="U324" i="5"/>
  <c r="W324" i="5" s="1"/>
  <c r="U325" i="5"/>
  <c r="W325" i="5" s="1"/>
  <c r="U326" i="5"/>
  <c r="W326" i="5" s="1"/>
  <c r="U327" i="5"/>
  <c r="W327" i="5" s="1"/>
  <c r="U328" i="5"/>
  <c r="W328" i="5" s="1"/>
  <c r="U329" i="5"/>
  <c r="W329" i="5" s="1"/>
  <c r="U330" i="5"/>
  <c r="W330" i="5" s="1"/>
  <c r="U331" i="5"/>
  <c r="W331" i="5" s="1"/>
  <c r="U332" i="5"/>
  <c r="W332" i="5" s="1"/>
  <c r="U333" i="5"/>
  <c r="W333" i="5" s="1"/>
  <c r="U334" i="5"/>
  <c r="W334" i="5" s="1"/>
  <c r="U335" i="5"/>
  <c r="W335" i="5" s="1"/>
  <c r="U336" i="5"/>
  <c r="W336" i="5" s="1"/>
  <c r="U337" i="5"/>
  <c r="W337" i="5" s="1"/>
  <c r="U338" i="5"/>
  <c r="W338" i="5" s="1"/>
  <c r="U339" i="5"/>
  <c r="W339" i="5" s="1"/>
  <c r="U340" i="5"/>
  <c r="W340" i="5" s="1"/>
  <c r="U341" i="5"/>
  <c r="W341" i="5" s="1"/>
  <c r="U342" i="5"/>
  <c r="W342" i="5" s="1"/>
  <c r="U343" i="5"/>
  <c r="W343" i="5" s="1"/>
  <c r="U344" i="5"/>
  <c r="W344" i="5" s="1"/>
  <c r="U345" i="5"/>
  <c r="W345" i="5" s="1"/>
  <c r="U347" i="5"/>
  <c r="W347" i="5" s="1"/>
  <c r="U348" i="5"/>
  <c r="W348" i="5" s="1"/>
  <c r="U349" i="5"/>
  <c r="W349" i="5" s="1"/>
  <c r="U350" i="5"/>
  <c r="W350" i="5" s="1"/>
  <c r="U351" i="5"/>
  <c r="W351" i="5" s="1"/>
  <c r="U352" i="5"/>
  <c r="W352" i="5" s="1"/>
  <c r="U353" i="5"/>
  <c r="W353" i="5" s="1"/>
  <c r="U354" i="5"/>
  <c r="W354" i="5" s="1"/>
  <c r="U355" i="5"/>
  <c r="W355" i="5" s="1"/>
  <c r="U356" i="5"/>
  <c r="W356" i="5" s="1"/>
  <c r="U357" i="5"/>
  <c r="W357" i="5" s="1"/>
  <c r="U358" i="5"/>
  <c r="W358" i="5" s="1"/>
  <c r="U359" i="5"/>
  <c r="W359" i="5" s="1"/>
  <c r="U360" i="5"/>
  <c r="W360" i="5" s="1"/>
  <c r="U362" i="5"/>
  <c r="W362" i="5" s="1"/>
  <c r="U363" i="5"/>
  <c r="W363" i="5" s="1"/>
  <c r="U364" i="5"/>
  <c r="W364" i="5" s="1"/>
  <c r="U365" i="5"/>
  <c r="W365" i="5" s="1"/>
  <c r="U366" i="5"/>
  <c r="W366" i="5" s="1"/>
  <c r="U367" i="5"/>
  <c r="W367" i="5" s="1"/>
  <c r="U368" i="5"/>
  <c r="W368" i="5" s="1"/>
  <c r="U369" i="5"/>
  <c r="W369" i="5" s="1"/>
  <c r="U370" i="5"/>
  <c r="W370" i="5" s="1"/>
  <c r="U371" i="5"/>
  <c r="W371" i="5" s="1"/>
  <c r="U372" i="5"/>
  <c r="W372" i="5" s="1"/>
  <c r="U373" i="5"/>
  <c r="W373" i="5" s="1"/>
  <c r="U374" i="5"/>
  <c r="W374" i="5" s="1"/>
  <c r="U375" i="5"/>
  <c r="W375" i="5" s="1"/>
  <c r="U376" i="5"/>
  <c r="W376" i="5" s="1"/>
  <c r="U377" i="5"/>
  <c r="W377" i="5" s="1"/>
  <c r="U378" i="5"/>
  <c r="W378" i="5" s="1"/>
  <c r="U379" i="5"/>
  <c r="W379" i="5" s="1"/>
  <c r="U380" i="5"/>
  <c r="W380" i="5" s="1"/>
  <c r="U381" i="5"/>
  <c r="W381" i="5" s="1"/>
  <c r="U382" i="5"/>
  <c r="W382" i="5" s="1"/>
  <c r="U383" i="5"/>
  <c r="W383" i="5" s="1"/>
  <c r="U384" i="5"/>
  <c r="W384" i="5" s="1"/>
  <c r="U385" i="5"/>
  <c r="W385" i="5" s="1"/>
  <c r="U386" i="5"/>
  <c r="W386" i="5" s="1"/>
  <c r="U387" i="5"/>
  <c r="W387" i="5" s="1"/>
  <c r="U388" i="5"/>
  <c r="W388" i="5" s="1"/>
  <c r="U389" i="5"/>
  <c r="W389" i="5" s="1"/>
  <c r="U390" i="5"/>
  <c r="W390" i="5" s="1"/>
  <c r="U392" i="5"/>
  <c r="W392" i="5" s="1"/>
  <c r="U393" i="5"/>
  <c r="W393" i="5" s="1"/>
  <c r="U395" i="5"/>
  <c r="W395" i="5" s="1"/>
  <c r="U396" i="5"/>
  <c r="W396" i="5" s="1"/>
  <c r="U397" i="5"/>
  <c r="W397" i="5" s="1"/>
  <c r="U399" i="5"/>
  <c r="W399" i="5" s="1"/>
  <c r="U401" i="5"/>
  <c r="W401" i="5" s="1"/>
  <c r="U403" i="5"/>
  <c r="W403" i="5" s="1"/>
  <c r="U404" i="5"/>
  <c r="W404" i="5" s="1"/>
  <c r="U405" i="5"/>
  <c r="W405" i="5" s="1"/>
  <c r="U406" i="5"/>
  <c r="W406" i="5" s="1"/>
  <c r="U407" i="5"/>
  <c r="W407" i="5" s="1"/>
  <c r="U408" i="5"/>
  <c r="W408" i="5" s="1"/>
  <c r="U409" i="5"/>
  <c r="W409" i="5" s="1"/>
  <c r="U411" i="5"/>
  <c r="W411" i="5" s="1"/>
  <c r="U412" i="5"/>
  <c r="W412" i="5" s="1"/>
  <c r="U413" i="5"/>
  <c r="W413" i="5" s="1"/>
  <c r="U414" i="5"/>
  <c r="W414" i="5" s="1"/>
  <c r="U415" i="5"/>
  <c r="W415" i="5" s="1"/>
  <c r="U416" i="5"/>
  <c r="W416" i="5" s="1"/>
  <c r="U417" i="5"/>
  <c r="W417" i="5" s="1"/>
  <c r="U420" i="5"/>
  <c r="W420" i="5" s="1"/>
  <c r="U421" i="5"/>
  <c r="W421" i="5" s="1"/>
  <c r="U422" i="5"/>
  <c r="W422" i="5" s="1"/>
  <c r="U423" i="5"/>
  <c r="W423" i="5" s="1"/>
  <c r="U424" i="5"/>
  <c r="W424" i="5" s="1"/>
  <c r="U425" i="5"/>
  <c r="W425" i="5" s="1"/>
  <c r="U426" i="5"/>
  <c r="W426" i="5" s="1"/>
  <c r="U428" i="5"/>
  <c r="W428" i="5" s="1"/>
  <c r="U429" i="5"/>
  <c r="W429" i="5" s="1"/>
  <c r="U450" i="5"/>
  <c r="W450" i="5" s="1"/>
  <c r="U451" i="5"/>
  <c r="W451" i="5" s="1"/>
  <c r="U452" i="5"/>
  <c r="W452" i="5" s="1"/>
  <c r="U453" i="5"/>
  <c r="W453" i="5" s="1"/>
  <c r="U454" i="5"/>
  <c r="W454" i="5" s="1"/>
  <c r="U456" i="5"/>
  <c r="W456" i="5" s="1"/>
  <c r="U457" i="5"/>
  <c r="W457" i="5" s="1"/>
  <c r="U458" i="5"/>
  <c r="W458" i="5" s="1"/>
  <c r="U459" i="5"/>
  <c r="W459" i="5" s="1"/>
  <c r="U460" i="5"/>
  <c r="W460" i="5" s="1"/>
  <c r="U461" i="5"/>
  <c r="W461" i="5" s="1"/>
  <c r="U462" i="5"/>
  <c r="W462" i="5" s="1"/>
  <c r="U464" i="5"/>
  <c r="W464" i="5" s="1"/>
  <c r="U465" i="5"/>
  <c r="W465" i="5" s="1"/>
  <c r="U466" i="5"/>
  <c r="W466" i="5" s="1"/>
  <c r="U467" i="5"/>
  <c r="W467" i="5" s="1"/>
  <c r="U468" i="5"/>
  <c r="W468" i="5" s="1"/>
  <c r="U469" i="5"/>
  <c r="W469" i="5" s="1"/>
  <c r="U470" i="5"/>
  <c r="W470" i="5" s="1"/>
  <c r="U472" i="5"/>
  <c r="W472" i="5" s="1"/>
  <c r="U473" i="5"/>
  <c r="W473" i="5" s="1"/>
  <c r="U474" i="5"/>
  <c r="W474" i="5" s="1"/>
  <c r="U475" i="5"/>
  <c r="W475" i="5" s="1"/>
  <c r="U476" i="5"/>
  <c r="W476" i="5" s="1"/>
  <c r="U478" i="5"/>
  <c r="W478" i="5" s="1"/>
  <c r="U480" i="5"/>
  <c r="W480" i="5" s="1"/>
  <c r="U481" i="5"/>
  <c r="W481" i="5" s="1"/>
  <c r="U482" i="5"/>
  <c r="W482" i="5" s="1"/>
  <c r="U483" i="5"/>
  <c r="W483" i="5" s="1"/>
  <c r="U484" i="5"/>
  <c r="W484" i="5" s="1"/>
  <c r="U486" i="5"/>
  <c r="W486" i="5" s="1"/>
  <c r="U488" i="5"/>
  <c r="W488" i="5" s="1"/>
  <c r="U489" i="5"/>
  <c r="W489" i="5" s="1"/>
  <c r="U490" i="5"/>
  <c r="W490" i="5" s="1"/>
  <c r="U491" i="5"/>
  <c r="W491" i="5" s="1"/>
  <c r="U492" i="5"/>
  <c r="W492" i="5" s="1"/>
  <c r="U493" i="5"/>
  <c r="W493" i="5" s="1"/>
  <c r="U494" i="5"/>
  <c r="W494" i="5" s="1"/>
  <c r="U496" i="5"/>
  <c r="W496" i="5" s="1"/>
  <c r="U497" i="5"/>
  <c r="W497" i="5" s="1"/>
  <c r="U507" i="5"/>
  <c r="W507" i="5" s="1"/>
  <c r="U508" i="5"/>
  <c r="W508" i="5" s="1"/>
  <c r="U509" i="5"/>
  <c r="W509" i="5" s="1"/>
  <c r="U510" i="5"/>
  <c r="W510" i="5" s="1"/>
  <c r="U511" i="5"/>
  <c r="W511" i="5" s="1"/>
  <c r="U513" i="5"/>
  <c r="W513" i="5" s="1"/>
  <c r="U514" i="5"/>
  <c r="W514" i="5" s="1"/>
  <c r="U515" i="5"/>
  <c r="W515" i="5" s="1"/>
  <c r="U516" i="5"/>
  <c r="W516" i="5" s="1"/>
  <c r="U517" i="5"/>
  <c r="W517" i="5" s="1"/>
  <c r="U518" i="5"/>
  <c r="W518" i="5" s="1"/>
  <c r="U519" i="5"/>
  <c r="W519" i="5" s="1"/>
  <c r="U521" i="5"/>
  <c r="W521" i="5" s="1"/>
  <c r="U522" i="5"/>
  <c r="W522" i="5" s="1"/>
  <c r="U523" i="5"/>
  <c r="W523" i="5" s="1"/>
  <c r="U524" i="5"/>
  <c r="W524" i="5" s="1"/>
  <c r="U525" i="5"/>
  <c r="W525" i="5" s="1"/>
  <c r="U526" i="5"/>
  <c r="W526" i="5" s="1"/>
  <c r="U527" i="5"/>
  <c r="W527" i="5" s="1"/>
  <c r="U529" i="5"/>
  <c r="W529" i="5" s="1"/>
  <c r="U530" i="5"/>
  <c r="W530" i="5" s="1"/>
  <c r="U531" i="5"/>
  <c r="W531" i="5" s="1"/>
  <c r="U532" i="5"/>
  <c r="W532" i="5" s="1"/>
  <c r="U533" i="5"/>
  <c r="W533" i="5" s="1"/>
  <c r="U534" i="5"/>
  <c r="W534" i="5" s="1"/>
  <c r="U535" i="5"/>
  <c r="W535" i="5" s="1"/>
  <c r="U537" i="5"/>
  <c r="W537" i="5" s="1"/>
  <c r="U538" i="5"/>
  <c r="W538" i="5" s="1"/>
  <c r="U539" i="5"/>
  <c r="W539" i="5" s="1"/>
  <c r="U540" i="5"/>
  <c r="W540" i="5" s="1"/>
  <c r="U541" i="5"/>
  <c r="W541" i="5" s="1"/>
  <c r="U542" i="5"/>
  <c r="W542" i="5" s="1"/>
  <c r="U543" i="5"/>
  <c r="W543" i="5" s="1"/>
  <c r="U545" i="5"/>
  <c r="W545" i="5" s="1"/>
  <c r="U546" i="5"/>
  <c r="W546" i="5" s="1"/>
  <c r="U548" i="5"/>
  <c r="W548" i="5" s="1"/>
  <c r="U549" i="5"/>
  <c r="W549" i="5" s="1"/>
  <c r="U550" i="5"/>
  <c r="W550" i="5" s="1"/>
  <c r="U552" i="5"/>
  <c r="W552" i="5" s="1"/>
  <c r="U561" i="5"/>
  <c r="W561" i="5" s="1"/>
  <c r="U565" i="5"/>
  <c r="W565" i="5" s="1"/>
  <c r="U570" i="5"/>
  <c r="W570" i="5" s="1"/>
  <c r="U571" i="5"/>
  <c r="W571" i="5" s="1"/>
  <c r="U572" i="5"/>
  <c r="W572" i="5" s="1"/>
  <c r="U574" i="5"/>
  <c r="W574" i="5" s="1"/>
  <c r="U576" i="5"/>
  <c r="W576" i="5" s="1"/>
  <c r="U583" i="5"/>
  <c r="W583" i="5" s="1"/>
  <c r="U584" i="5"/>
  <c r="W584" i="5" s="1"/>
  <c r="U585" i="5"/>
  <c r="W585" i="5" s="1"/>
  <c r="U586" i="5"/>
  <c r="W586" i="5" s="1"/>
  <c r="U587" i="5"/>
  <c r="W587" i="5" s="1"/>
  <c r="U588" i="5"/>
  <c r="W588" i="5" s="1"/>
  <c r="U590" i="5"/>
  <c r="W590" i="5" s="1"/>
  <c r="U591" i="5"/>
  <c r="W591" i="5" s="1"/>
  <c r="U592" i="5"/>
  <c r="W592" i="5" s="1"/>
  <c r="U593" i="5"/>
  <c r="W593" i="5" s="1"/>
  <c r="U594" i="5"/>
  <c r="W594" i="5" s="1"/>
  <c r="U595" i="5"/>
  <c r="W595" i="5" s="1"/>
  <c r="U596" i="5"/>
  <c r="W596" i="5" s="1"/>
  <c r="U598" i="5"/>
  <c r="W598" i="5" s="1"/>
  <c r="U599" i="5"/>
  <c r="W599" i="5" s="1"/>
  <c r="U600" i="5"/>
  <c r="W600" i="5" s="1"/>
  <c r="U601" i="5"/>
  <c r="W601" i="5" s="1"/>
  <c r="U602" i="5"/>
  <c r="W602" i="5" s="1"/>
  <c r="U618" i="5"/>
  <c r="W618" i="5" s="1"/>
  <c r="U620" i="5"/>
  <c r="W620" i="5" s="1"/>
  <c r="U621" i="5"/>
  <c r="W621" i="5" s="1"/>
  <c r="U622" i="5"/>
  <c r="W622" i="5" s="1"/>
  <c r="U623" i="5"/>
  <c r="W623" i="5" s="1"/>
  <c r="U624" i="5"/>
  <c r="W624" i="5" s="1"/>
  <c r="U625" i="5"/>
  <c r="W625" i="5" s="1"/>
  <c r="U626" i="5"/>
  <c r="W626" i="5" s="1"/>
  <c r="U628" i="5"/>
  <c r="W628" i="5" s="1"/>
  <c r="U629" i="5"/>
  <c r="W629" i="5" s="1"/>
  <c r="U630" i="5"/>
  <c r="W630" i="5" s="1"/>
  <c r="U631" i="5"/>
  <c r="W631" i="5" s="1"/>
  <c r="U632" i="5"/>
  <c r="W632" i="5" s="1"/>
  <c r="U633" i="5"/>
  <c r="W633" i="5" s="1"/>
  <c r="U634" i="5"/>
  <c r="W634" i="5" s="1"/>
  <c r="U636" i="5"/>
  <c r="W636" i="5" s="1"/>
  <c r="U637" i="5"/>
  <c r="W637" i="5" s="1"/>
  <c r="U638" i="5"/>
  <c r="W638" i="5" s="1"/>
  <c r="U639" i="5"/>
  <c r="W639" i="5" s="1"/>
  <c r="U640" i="5"/>
  <c r="W640" i="5" s="1"/>
  <c r="U642" i="5"/>
  <c r="W642" i="5" s="1"/>
  <c r="U644" i="5"/>
  <c r="W644" i="5" s="1"/>
  <c r="U645" i="5"/>
  <c r="W645" i="5" s="1"/>
  <c r="U646" i="5"/>
  <c r="W646" i="5" s="1"/>
  <c r="U647" i="5"/>
  <c r="W647" i="5" s="1"/>
  <c r="U648" i="5"/>
  <c r="W648" i="5" s="1"/>
  <c r="U650" i="5"/>
  <c r="W650" i="5" s="1"/>
  <c r="U652" i="5"/>
  <c r="W652" i="5" s="1"/>
  <c r="U653" i="5"/>
  <c r="W653" i="5" s="1"/>
  <c r="U654" i="5"/>
  <c r="W654" i="5" s="1"/>
  <c r="U655" i="5"/>
  <c r="W655" i="5" s="1"/>
  <c r="U656" i="5"/>
  <c r="W656" i="5" s="1"/>
  <c r="U657" i="5"/>
  <c r="W657" i="5" s="1"/>
  <c r="U658" i="5"/>
  <c r="W658" i="5" s="1"/>
  <c r="U660" i="5"/>
  <c r="W660" i="5" s="1"/>
  <c r="U661" i="5"/>
  <c r="W661" i="5" s="1"/>
  <c r="U662" i="5"/>
  <c r="W662" i="5" s="1"/>
  <c r="U663" i="5"/>
  <c r="W663" i="5" s="1"/>
  <c r="U664" i="5"/>
  <c r="W664" i="5" s="1"/>
  <c r="U665" i="5"/>
  <c r="W665" i="5" s="1"/>
  <c r="U666" i="5"/>
  <c r="W666" i="5" s="1"/>
  <c r="U691" i="5"/>
  <c r="W691" i="5" s="1"/>
  <c r="U692" i="5"/>
  <c r="W692" i="5" s="1"/>
  <c r="U693" i="5"/>
  <c r="W693" i="5" s="1"/>
  <c r="U694" i="5"/>
  <c r="W694" i="5" s="1"/>
  <c r="U695" i="5"/>
  <c r="W695" i="5" s="1"/>
  <c r="U696" i="5"/>
  <c r="W696" i="5" s="1"/>
  <c r="U697" i="5"/>
  <c r="W697" i="5" s="1"/>
  <c r="U699" i="5"/>
  <c r="W699" i="5" s="1"/>
  <c r="U700" i="5"/>
  <c r="W700" i="5" s="1"/>
  <c r="U701" i="5"/>
  <c r="W701" i="5" s="1"/>
  <c r="U702" i="5"/>
  <c r="W702" i="5" s="1"/>
  <c r="U703" i="5"/>
  <c r="W703" i="5" s="1"/>
  <c r="U704" i="5"/>
  <c r="W704" i="5" s="1"/>
  <c r="U705" i="5"/>
  <c r="W705" i="5" s="1"/>
  <c r="U707" i="5"/>
  <c r="W707" i="5" s="1"/>
  <c r="U708" i="5"/>
  <c r="W708" i="5" s="1"/>
  <c r="U709" i="5"/>
  <c r="W709" i="5" s="1"/>
  <c r="U710" i="5"/>
  <c r="W710" i="5" s="1"/>
  <c r="U711" i="5"/>
  <c r="W711" i="5" s="1"/>
  <c r="U712" i="5"/>
  <c r="W712" i="5" s="1"/>
  <c r="U713" i="5"/>
  <c r="W713" i="5" s="1"/>
  <c r="U715" i="5"/>
  <c r="W715" i="5" s="1"/>
  <c r="U716" i="5"/>
  <c r="W716" i="5" s="1"/>
  <c r="U717" i="5"/>
  <c r="W717" i="5" s="1"/>
  <c r="U718" i="5"/>
  <c r="W718" i="5" s="1"/>
  <c r="U719" i="5"/>
  <c r="W719" i="5" s="1"/>
  <c r="U720" i="5"/>
  <c r="W720" i="5" s="1"/>
  <c r="U721" i="5"/>
  <c r="W721" i="5" s="1"/>
  <c r="U723" i="5"/>
  <c r="W723" i="5" s="1"/>
  <c r="U724" i="5"/>
  <c r="W724" i="5" s="1"/>
  <c r="U725" i="5"/>
  <c r="W725" i="5" s="1"/>
  <c r="U726" i="5"/>
  <c r="W726" i="5" s="1"/>
  <c r="U727" i="5"/>
  <c r="W727" i="5" s="1"/>
  <c r="U729" i="5"/>
  <c r="W729" i="5" s="1"/>
  <c r="U731" i="5"/>
  <c r="W731" i="5" s="1"/>
  <c r="U732" i="5"/>
  <c r="W732" i="5" s="1"/>
  <c r="U733" i="5"/>
  <c r="W733" i="5" s="1"/>
  <c r="U734" i="5"/>
  <c r="W734" i="5" s="1"/>
  <c r="U735" i="5"/>
  <c r="W735" i="5" s="1"/>
  <c r="U737" i="5"/>
  <c r="W737" i="5" s="1"/>
  <c r="U739" i="5"/>
  <c r="W739" i="5" s="1"/>
  <c r="U740" i="5"/>
  <c r="W740" i="5" s="1"/>
  <c r="U743" i="5"/>
  <c r="W743" i="5" s="1"/>
  <c r="U747" i="5"/>
  <c r="W747" i="5" s="1"/>
  <c r="U748" i="5"/>
  <c r="W748" i="5" s="1"/>
  <c r="U749" i="5"/>
  <c r="W749" i="5" s="1"/>
  <c r="U750" i="5"/>
  <c r="W750" i="5" s="1"/>
  <c r="U752" i="5"/>
  <c r="W752" i="5" s="1"/>
  <c r="U753" i="5"/>
  <c r="W753" i="5" s="1"/>
  <c r="U754" i="5"/>
  <c r="W754" i="5" s="1"/>
  <c r="U755" i="5"/>
  <c r="W755" i="5" s="1"/>
  <c r="U756" i="5"/>
  <c r="W756" i="5" s="1"/>
  <c r="U757" i="5"/>
  <c r="W757" i="5" s="1"/>
  <c r="U758" i="5"/>
  <c r="W758" i="5" s="1"/>
  <c r="U760" i="5"/>
  <c r="W760" i="5" s="1"/>
  <c r="U761" i="5"/>
  <c r="W761" i="5" s="1"/>
  <c r="U762" i="5"/>
  <c r="W762" i="5" s="1"/>
  <c r="U763" i="5"/>
  <c r="W763" i="5" s="1"/>
  <c r="U764" i="5"/>
  <c r="W764" i="5" s="1"/>
  <c r="U765" i="5"/>
  <c r="W765" i="5" s="1"/>
  <c r="U766" i="5"/>
  <c r="W766" i="5" s="1"/>
  <c r="U768" i="5"/>
  <c r="W768" i="5" s="1"/>
  <c r="U769" i="5"/>
  <c r="W769" i="5" s="1"/>
  <c r="U770" i="5"/>
  <c r="W770" i="5" s="1"/>
  <c r="U771" i="5"/>
  <c r="W771" i="5" s="1"/>
  <c r="U772" i="5"/>
  <c r="W772" i="5" s="1"/>
  <c r="U773" i="5"/>
  <c r="W773" i="5" s="1"/>
  <c r="U774" i="5"/>
  <c r="W774" i="5" s="1"/>
  <c r="U776" i="5"/>
  <c r="W776" i="5" s="1"/>
  <c r="U777" i="5"/>
  <c r="W777" i="5" s="1"/>
  <c r="U778" i="5"/>
  <c r="W778" i="5" s="1"/>
  <c r="U779" i="5"/>
  <c r="W779" i="5" s="1"/>
  <c r="U780" i="5"/>
  <c r="W780" i="5" s="1"/>
  <c r="U781" i="5"/>
  <c r="W781" i="5" s="1"/>
  <c r="U782" i="5"/>
  <c r="W782" i="5" s="1"/>
  <c r="U784" i="5"/>
  <c r="W784" i="5" s="1"/>
  <c r="U785" i="5"/>
  <c r="W785" i="5" s="1"/>
  <c r="U786" i="5"/>
  <c r="W786" i="5" s="1"/>
  <c r="U787" i="5"/>
  <c r="W787" i="5" s="1"/>
  <c r="U788" i="5"/>
  <c r="W788" i="5" s="1"/>
  <c r="U789" i="5"/>
  <c r="W789" i="5" s="1"/>
  <c r="U790" i="5"/>
  <c r="W790" i="5" s="1"/>
  <c r="U793" i="5"/>
  <c r="W793" i="5" s="1"/>
  <c r="U798" i="5"/>
  <c r="W798" i="5" s="1"/>
  <c r="U800" i="5"/>
  <c r="W800" i="5" s="1"/>
  <c r="U801" i="5"/>
  <c r="W801" i="5" s="1"/>
  <c r="U802" i="5"/>
  <c r="W802" i="5" s="1"/>
  <c r="U804" i="5"/>
  <c r="W804" i="5" s="1"/>
  <c r="U805" i="5"/>
  <c r="W805" i="5" s="1"/>
  <c r="U806" i="5"/>
  <c r="W806" i="5" s="1"/>
  <c r="U807" i="5"/>
  <c r="W807" i="5" s="1"/>
  <c r="U809" i="5"/>
  <c r="W809" i="5" s="1"/>
  <c r="U810" i="5"/>
  <c r="W810" i="5" s="1"/>
  <c r="U812" i="5"/>
  <c r="W812" i="5" s="1"/>
  <c r="U813" i="5"/>
  <c r="W813" i="5" s="1"/>
  <c r="U814" i="5"/>
  <c r="W814" i="5" s="1"/>
  <c r="U815" i="5"/>
  <c r="W815" i="5" s="1"/>
  <c r="U816" i="5"/>
  <c r="W816" i="5" s="1"/>
  <c r="U817" i="5"/>
  <c r="W817" i="5" s="1"/>
  <c r="U818" i="5"/>
  <c r="W818" i="5" s="1"/>
  <c r="U820" i="5"/>
  <c r="W820" i="5" s="1"/>
  <c r="U821" i="5"/>
  <c r="W821" i="5" s="1"/>
  <c r="U822" i="5"/>
  <c r="W822" i="5" s="1"/>
  <c r="U823" i="5"/>
  <c r="W823" i="5" s="1"/>
  <c r="U824" i="5"/>
  <c r="W824" i="5" s="1"/>
  <c r="U825" i="5"/>
  <c r="W825" i="5" s="1"/>
  <c r="U826" i="5"/>
  <c r="W826" i="5" s="1"/>
  <c r="U828" i="5"/>
  <c r="W828" i="5" s="1"/>
  <c r="U829" i="5"/>
  <c r="W829" i="5" s="1"/>
  <c r="U830" i="5"/>
  <c r="W830" i="5" s="1"/>
  <c r="U831" i="5"/>
  <c r="W831" i="5" s="1"/>
  <c r="U832" i="5"/>
  <c r="W832" i="5" s="1"/>
  <c r="U833" i="5"/>
  <c r="W833" i="5" s="1"/>
  <c r="U834" i="5"/>
  <c r="W834" i="5" s="1"/>
  <c r="U836" i="5"/>
  <c r="W836" i="5" s="1"/>
  <c r="U837" i="5"/>
  <c r="W837" i="5" s="1"/>
  <c r="U838" i="5"/>
  <c r="W838" i="5" s="1"/>
  <c r="U839" i="5"/>
  <c r="W839" i="5" s="1"/>
  <c r="U840" i="5"/>
  <c r="W840" i="5" s="1"/>
  <c r="U842" i="5"/>
  <c r="W842" i="5" s="1"/>
  <c r="U844" i="5"/>
  <c r="W844" i="5" s="1"/>
  <c r="U845" i="5"/>
  <c r="W845" i="5" s="1"/>
  <c r="U846" i="5"/>
  <c r="W846" i="5" s="1"/>
  <c r="U848" i="5"/>
  <c r="W848" i="5" s="1"/>
  <c r="U849" i="5"/>
  <c r="W849" i="5" s="1"/>
  <c r="U850" i="5"/>
  <c r="W850" i="5" s="1"/>
  <c r="U851" i="5"/>
  <c r="W851" i="5" s="1"/>
  <c r="U852" i="5"/>
  <c r="W852" i="5" s="1"/>
  <c r="U853" i="5"/>
  <c r="W853" i="5" s="1"/>
  <c r="U854" i="5"/>
  <c r="W854" i="5" s="1"/>
  <c r="U855" i="5"/>
  <c r="W855" i="5" s="1"/>
  <c r="U856" i="5"/>
  <c r="W856" i="5" s="1"/>
  <c r="U857" i="5"/>
  <c r="W857" i="5" s="1"/>
  <c r="U858" i="5"/>
  <c r="W858" i="5" s="1"/>
  <c r="U859" i="5"/>
  <c r="W859" i="5" s="1"/>
  <c r="U860" i="5"/>
  <c r="W860" i="5" s="1"/>
  <c r="U861" i="5"/>
  <c r="W861" i="5" s="1"/>
  <c r="U862" i="5"/>
  <c r="W862" i="5" s="1"/>
  <c r="U863" i="5"/>
  <c r="W863" i="5" s="1"/>
  <c r="U864" i="5"/>
  <c r="W864" i="5" s="1"/>
  <c r="U865" i="5"/>
  <c r="W865" i="5" s="1"/>
  <c r="U866" i="5"/>
  <c r="W866" i="5" s="1"/>
  <c r="U867" i="5"/>
  <c r="W867" i="5" s="1"/>
  <c r="U868" i="5"/>
  <c r="W868" i="5" s="1"/>
  <c r="U869" i="5"/>
  <c r="W869" i="5" s="1"/>
  <c r="U870" i="5"/>
  <c r="W870" i="5" s="1"/>
  <c r="U871" i="5"/>
  <c r="W871" i="5" s="1"/>
  <c r="U872" i="5"/>
  <c r="W872" i="5" s="1"/>
  <c r="U873" i="5"/>
  <c r="W873" i="5" s="1"/>
  <c r="U874" i="5"/>
  <c r="W874" i="5" s="1"/>
  <c r="U875" i="5"/>
  <c r="W875" i="5" s="1"/>
  <c r="U876" i="5"/>
  <c r="W876" i="5" s="1"/>
  <c r="U877" i="5"/>
  <c r="W877" i="5" s="1"/>
  <c r="U878" i="5"/>
  <c r="W878" i="5" s="1"/>
  <c r="U879" i="5"/>
  <c r="W879" i="5" s="1"/>
  <c r="U881" i="5"/>
  <c r="W881" i="5" s="1"/>
  <c r="U882" i="5"/>
  <c r="W882" i="5" s="1"/>
  <c r="U884" i="5"/>
  <c r="W884" i="5" s="1"/>
  <c r="U885" i="5"/>
  <c r="W885" i="5" s="1"/>
  <c r="U886" i="5"/>
  <c r="W886" i="5" s="1"/>
  <c r="U887" i="5"/>
  <c r="W887" i="5" s="1"/>
  <c r="U888" i="5"/>
  <c r="W888" i="5" s="1"/>
  <c r="U889" i="5"/>
  <c r="W889" i="5" s="1"/>
  <c r="U890" i="5"/>
  <c r="W890" i="5" s="1"/>
  <c r="U892" i="5"/>
  <c r="W892" i="5" s="1"/>
  <c r="U893" i="5"/>
  <c r="W893" i="5" s="1"/>
  <c r="U894" i="5"/>
  <c r="W894" i="5" s="1"/>
  <c r="U895" i="5"/>
  <c r="W895" i="5" s="1"/>
  <c r="U896" i="5"/>
  <c r="W896" i="5" s="1"/>
  <c r="U897" i="5"/>
  <c r="W897" i="5" s="1"/>
  <c r="U898" i="5"/>
  <c r="W898" i="5" s="1"/>
  <c r="U900" i="5"/>
  <c r="W900" i="5" s="1"/>
  <c r="U901" i="5"/>
  <c r="W901" i="5" s="1"/>
  <c r="U904" i="5"/>
  <c r="W904" i="5" s="1"/>
  <c r="U906" i="5"/>
  <c r="W906" i="5" s="1"/>
  <c r="U908" i="5"/>
  <c r="W908" i="5" s="1"/>
  <c r="U909" i="5"/>
  <c r="W909" i="5" s="1"/>
  <c r="U911" i="5"/>
  <c r="W911" i="5" s="1"/>
  <c r="U912" i="5"/>
  <c r="W912" i="5" s="1"/>
  <c r="U913" i="5"/>
  <c r="W913" i="5" s="1"/>
  <c r="U914" i="5"/>
  <c r="W914" i="5" s="1"/>
  <c r="U916" i="5"/>
  <c r="W916" i="5" s="1"/>
  <c r="U917" i="5"/>
  <c r="W917" i="5" s="1"/>
  <c r="U918" i="5"/>
  <c r="W918" i="5" s="1"/>
  <c r="U920" i="5"/>
  <c r="W920" i="5" s="1"/>
  <c r="U921" i="5"/>
  <c r="W921" i="5" s="1"/>
  <c r="U922" i="5"/>
  <c r="W922" i="5" s="1"/>
  <c r="U924" i="5"/>
  <c r="W924" i="5" s="1"/>
  <c r="U925" i="5"/>
  <c r="W925" i="5" s="1"/>
  <c r="U926" i="5"/>
  <c r="W926" i="5" s="1"/>
  <c r="U927" i="5"/>
  <c r="W927" i="5" s="1"/>
  <c r="U928" i="5"/>
  <c r="W928" i="5" s="1"/>
  <c r="U929" i="5"/>
  <c r="W929" i="5" s="1"/>
  <c r="U930" i="5"/>
  <c r="W930" i="5" s="1"/>
  <c r="U941" i="5"/>
  <c r="W941" i="5" s="1"/>
  <c r="U946" i="5"/>
  <c r="W946" i="5" s="1"/>
  <c r="U947" i="5"/>
  <c r="W947" i="5" s="1"/>
  <c r="U948" i="5"/>
  <c r="W948" i="5" s="1"/>
  <c r="U949" i="5"/>
  <c r="W949" i="5" s="1"/>
  <c r="U950" i="5"/>
  <c r="W950" i="5" s="1"/>
  <c r="U951" i="5"/>
  <c r="W951" i="5" s="1"/>
  <c r="U953" i="5"/>
  <c r="W953" i="5" s="1"/>
  <c r="U954" i="5"/>
  <c r="W954" i="5" s="1"/>
  <c r="U955" i="5"/>
  <c r="W955" i="5" s="1"/>
  <c r="U956" i="5"/>
  <c r="W956" i="5" s="1"/>
  <c r="U957" i="5"/>
  <c r="W957" i="5" s="1"/>
  <c r="U958" i="5"/>
  <c r="W958" i="5" s="1"/>
  <c r="U959" i="5"/>
  <c r="W959" i="5" s="1"/>
  <c r="U961" i="5"/>
  <c r="W961" i="5" s="1"/>
  <c r="U962" i="5"/>
  <c r="W962" i="5" s="1"/>
  <c r="U963" i="5"/>
  <c r="W963" i="5" s="1"/>
  <c r="U964" i="5"/>
  <c r="W964" i="5" s="1"/>
  <c r="U965" i="5"/>
  <c r="W965" i="5" s="1"/>
  <c r="U967" i="5"/>
  <c r="W967" i="5" s="1"/>
  <c r="U969" i="5"/>
  <c r="W969" i="5" s="1"/>
  <c r="U970" i="5"/>
  <c r="W970" i="5" s="1"/>
  <c r="U971" i="5"/>
  <c r="W971" i="5" s="1"/>
  <c r="U972" i="5"/>
  <c r="W972" i="5" s="1"/>
  <c r="U973" i="5"/>
  <c r="W973" i="5" s="1"/>
  <c r="U975" i="5"/>
  <c r="W975" i="5" s="1"/>
  <c r="U977" i="5"/>
  <c r="W977" i="5" s="1"/>
  <c r="U978" i="5"/>
  <c r="W978" i="5" s="1"/>
  <c r="U979" i="5"/>
  <c r="W979" i="5" s="1"/>
  <c r="U980" i="5"/>
  <c r="W980" i="5" s="1"/>
  <c r="U981" i="5"/>
  <c r="W981" i="5" s="1"/>
  <c r="U982" i="5"/>
  <c r="W982" i="5" s="1"/>
  <c r="U989" i="5"/>
  <c r="W989" i="5" s="1"/>
  <c r="U991" i="5"/>
  <c r="W991" i="5" s="1"/>
  <c r="U992" i="5"/>
  <c r="W992" i="5" s="1"/>
  <c r="U993" i="5"/>
  <c r="W993" i="5" s="1"/>
  <c r="U994" i="5"/>
  <c r="W994" i="5" s="1"/>
  <c r="U995" i="5"/>
  <c r="W995" i="5" s="1"/>
  <c r="U996" i="5"/>
  <c r="W996" i="5" s="1"/>
  <c r="U997" i="5"/>
  <c r="W997" i="5" s="1"/>
  <c r="U999" i="5"/>
  <c r="W999" i="5" s="1"/>
  <c r="U1000" i="5"/>
  <c r="W1000" i="5" s="1"/>
  <c r="U1001" i="5"/>
  <c r="W1001" i="5" s="1"/>
  <c r="U1002" i="5"/>
  <c r="W1002" i="5" s="1"/>
  <c r="U1004" i="5"/>
  <c r="W1004" i="5" s="1"/>
  <c r="U1005" i="5"/>
  <c r="W1005" i="5" s="1"/>
  <c r="U1016" i="5"/>
  <c r="W1016" i="5" s="1"/>
  <c r="U1017" i="5"/>
  <c r="W1017" i="5" s="1"/>
  <c r="U1018" i="5"/>
  <c r="W1018" i="5" s="1"/>
  <c r="U1019" i="5"/>
  <c r="W1019" i="5" s="1"/>
  <c r="U1020" i="5"/>
  <c r="W1020" i="5" s="1"/>
  <c r="U1021" i="5"/>
  <c r="W1021" i="5" s="1"/>
  <c r="U1022" i="5"/>
  <c r="W1022" i="5" s="1"/>
  <c r="U3134" i="5"/>
  <c r="W3134" i="5" s="1"/>
  <c r="U3136" i="5"/>
  <c r="W3136" i="5" s="1"/>
  <c r="U3138" i="5"/>
  <c r="W3138" i="5" s="1"/>
  <c r="U3140" i="5"/>
  <c r="W3140" i="5" s="1"/>
  <c r="U3141" i="5"/>
  <c r="W3141" i="5" s="1"/>
  <c r="U3142" i="5"/>
  <c r="W3142" i="5" s="1"/>
  <c r="U3143" i="5"/>
  <c r="W3143" i="5" s="1"/>
  <c r="U3144" i="5"/>
  <c r="W3144" i="5" s="1"/>
  <c r="U3146" i="5"/>
  <c r="W3146" i="5" s="1"/>
  <c r="U3149" i="5"/>
  <c r="W3149" i="5" s="1"/>
  <c r="U3150" i="5"/>
  <c r="W3150" i="5" s="1"/>
  <c r="U3151" i="5"/>
  <c r="W3151" i="5" s="1"/>
  <c r="U3152" i="5"/>
  <c r="W3152" i="5" s="1"/>
  <c r="U3154" i="5"/>
  <c r="W3154" i="5" s="1"/>
  <c r="U3157" i="5"/>
  <c r="W3157" i="5" s="1"/>
  <c r="U3158" i="5"/>
  <c r="W3158" i="5" s="1"/>
  <c r="U3170" i="5"/>
  <c r="W3170" i="5" s="1"/>
  <c r="U3171" i="5"/>
  <c r="W3171" i="5" s="1"/>
  <c r="U3173" i="5"/>
  <c r="W3173" i="5" s="1"/>
  <c r="U3175" i="5"/>
  <c r="W3175" i="5" s="1"/>
  <c r="U3176" i="5"/>
  <c r="W3176" i="5" s="1"/>
  <c r="U3177" i="5"/>
  <c r="W3177" i="5" s="1"/>
  <c r="U3178" i="5"/>
  <c r="W3178" i="5" s="1"/>
  <c r="U3179" i="5"/>
  <c r="W3179" i="5" s="1"/>
  <c r="U3181" i="5"/>
  <c r="W3181" i="5" s="1"/>
  <c r="U3184" i="5"/>
  <c r="W3184" i="5" s="1"/>
  <c r="U3185" i="5"/>
  <c r="W3185" i="5" s="1"/>
  <c r="U3186" i="5"/>
  <c r="W3186" i="5" s="1"/>
  <c r="U3187" i="5"/>
  <c r="W3187" i="5" s="1"/>
  <c r="U3189" i="5"/>
  <c r="W3189" i="5" s="1"/>
  <c r="U3192" i="5"/>
  <c r="W3192" i="5" s="1"/>
  <c r="U3193" i="5"/>
  <c r="W3193" i="5" s="1"/>
  <c r="U3194" i="5"/>
  <c r="W3194" i="5" s="1"/>
  <c r="U3195" i="5"/>
  <c r="W3195" i="5" s="1"/>
  <c r="U3197" i="5"/>
  <c r="W3197" i="5" s="1"/>
  <c r="U3200" i="5"/>
  <c r="W3200" i="5" s="1"/>
  <c r="U3201" i="5"/>
  <c r="W3201" i="5" s="1"/>
  <c r="U3202" i="5"/>
  <c r="W3202" i="5" s="1"/>
  <c r="U3203" i="5"/>
  <c r="W3203" i="5" s="1"/>
  <c r="U3205" i="5"/>
  <c r="W3205" i="5" s="1"/>
  <c r="U3208" i="5"/>
  <c r="W3208" i="5" s="1"/>
  <c r="U3209" i="5"/>
  <c r="W3209" i="5" s="1"/>
  <c r="U3210" i="5"/>
  <c r="W3210" i="5" s="1"/>
  <c r="U3211" i="5"/>
  <c r="W3211" i="5" s="1"/>
  <c r="U3213" i="5"/>
  <c r="W3213" i="5" s="1"/>
  <c r="U3216" i="5"/>
  <c r="W3216" i="5" s="1"/>
  <c r="U3217" i="5"/>
  <c r="W3217" i="5" s="1"/>
  <c r="U3218" i="5"/>
  <c r="W3218" i="5" s="1"/>
  <c r="U3219" i="5"/>
  <c r="W3219" i="5" s="1"/>
  <c r="U3221" i="5"/>
  <c r="W3221" i="5" s="1"/>
  <c r="U3224" i="5"/>
  <c r="W3224" i="5" s="1"/>
  <c r="U3225" i="5"/>
  <c r="W3225" i="5" s="1"/>
  <c r="U3226" i="5"/>
  <c r="W3226" i="5" s="1"/>
  <c r="U3227" i="5"/>
  <c r="W3227" i="5" s="1"/>
  <c r="U3228" i="5"/>
  <c r="W3228" i="5" s="1"/>
  <c r="U3229" i="5"/>
  <c r="W3229" i="5" s="1"/>
  <c r="U3233" i="5"/>
  <c r="W3233" i="5" s="1"/>
  <c r="U3234" i="5"/>
  <c r="W3234" i="5" s="1"/>
  <c r="U3235" i="5"/>
  <c r="W3235" i="5" s="1"/>
  <c r="U3237" i="5"/>
  <c r="W3237" i="5" s="1"/>
  <c r="U3240" i="5"/>
  <c r="W3240" i="5" s="1"/>
  <c r="U3242" i="5"/>
  <c r="W3242" i="5" s="1"/>
  <c r="U3243" i="5"/>
  <c r="W3243" i="5" s="1"/>
  <c r="U3245" i="5"/>
  <c r="W3245" i="5" s="1"/>
  <c r="U3248" i="5"/>
  <c r="W3248" i="5" s="1"/>
  <c r="U3249" i="5"/>
  <c r="W3249" i="5" s="1"/>
  <c r="U3250" i="5"/>
  <c r="W3250" i="5" s="1"/>
  <c r="U3251" i="5"/>
  <c r="W3251" i="5" s="1"/>
  <c r="U3253" i="5"/>
  <c r="W3253" i="5" s="1"/>
  <c r="U3256" i="5"/>
  <c r="W3256" i="5" s="1"/>
  <c r="U3257" i="5"/>
  <c r="W3257" i="5" s="1"/>
  <c r="U3258" i="5"/>
  <c r="W3258" i="5" s="1"/>
  <c r="U3259" i="5"/>
  <c r="W3259" i="5" s="1"/>
  <c r="U3261" i="5"/>
  <c r="W3261" i="5" s="1"/>
  <c r="U3264" i="5"/>
  <c r="W3264" i="5" s="1"/>
  <c r="U3266" i="5"/>
  <c r="W3266" i="5" s="1"/>
  <c r="U3267" i="5"/>
  <c r="W3267" i="5" s="1"/>
  <c r="U3269" i="5"/>
  <c r="W3269" i="5" s="1"/>
  <c r="U3273" i="5"/>
  <c r="W3273" i="5" s="1"/>
  <c r="U3274" i="5"/>
  <c r="W3274" i="5" s="1"/>
  <c r="U3275" i="5"/>
  <c r="W3275" i="5" s="1"/>
  <c r="U3277" i="5"/>
  <c r="W3277" i="5" s="1"/>
  <c r="U3280" i="5"/>
  <c r="W3280" i="5" s="1"/>
  <c r="U3281" i="5"/>
  <c r="W3281" i="5" s="1"/>
  <c r="U3283" i="5"/>
  <c r="W3283" i="5" s="1"/>
  <c r="U3285" i="5"/>
  <c r="W3285" i="5" s="1"/>
  <c r="U3288" i="5"/>
  <c r="W3288" i="5" s="1"/>
  <c r="U3289" i="5"/>
  <c r="W3289" i="5" s="1"/>
  <c r="U3290" i="5"/>
  <c r="W3290" i="5" s="1"/>
  <c r="U3291" i="5"/>
  <c r="W3291" i="5" s="1"/>
  <c r="U3293" i="5"/>
  <c r="W3293" i="5" s="1"/>
  <c r="U3296" i="5"/>
  <c r="W3296" i="5" s="1"/>
  <c r="U3297" i="5"/>
  <c r="W3297" i="5" s="1"/>
  <c r="U3298" i="5"/>
  <c r="W3298" i="5" s="1"/>
  <c r="U3299" i="5"/>
  <c r="W3299" i="5" s="1"/>
  <c r="U3301" i="5"/>
  <c r="W3301" i="5" s="1"/>
  <c r="U3304" i="5"/>
  <c r="W3304" i="5" s="1"/>
  <c r="U3305" i="5"/>
  <c r="W3305" i="5" s="1"/>
  <c r="U3306" i="5"/>
  <c r="W3306" i="5" s="1"/>
  <c r="U3307" i="5"/>
  <c r="W3307" i="5" s="1"/>
  <c r="U3308" i="5"/>
  <c r="W3308" i="5" s="1"/>
  <c r="U3309" i="5"/>
  <c r="W3309" i="5" s="1"/>
  <c r="U3311" i="5"/>
  <c r="W3311" i="5" s="1"/>
  <c r="U3312" i="5"/>
  <c r="W3312" i="5" s="1"/>
  <c r="U3313" i="5"/>
  <c r="W3313" i="5" s="1"/>
  <c r="U3314" i="5"/>
  <c r="W3314" i="5" s="1"/>
  <c r="U3315" i="5"/>
  <c r="W3315" i="5" s="1"/>
  <c r="U3317" i="5"/>
  <c r="W3317" i="5" s="1"/>
  <c r="U3320" i="5"/>
  <c r="W3320" i="5" s="1"/>
  <c r="U3321" i="5"/>
  <c r="W3321" i="5" s="1"/>
  <c r="U3322" i="5"/>
  <c r="W3322" i="5" s="1"/>
  <c r="U3323" i="5"/>
  <c r="W3323" i="5" s="1"/>
  <c r="U3325" i="5"/>
  <c r="W3325" i="5" s="1"/>
  <c r="U3338" i="5"/>
  <c r="W3338" i="5" s="1"/>
  <c r="U3339" i="5"/>
  <c r="W3339" i="5" s="1"/>
  <c r="U3340" i="5"/>
  <c r="W3340" i="5" s="1"/>
  <c r="U3341" i="5"/>
  <c r="W3341" i="5" s="1"/>
  <c r="U3343" i="5"/>
  <c r="W3343" i="5" s="1"/>
  <c r="U3346" i="5"/>
  <c r="W3346" i="5" s="1"/>
  <c r="U3347" i="5"/>
  <c r="W3347" i="5" s="1"/>
  <c r="U3348" i="5"/>
  <c r="W3348" i="5" s="1"/>
  <c r="U3349" i="5"/>
  <c r="W3349" i="5" s="1"/>
  <c r="U3351" i="5"/>
  <c r="W3351" i="5" s="1"/>
  <c r="U3354" i="5"/>
  <c r="W3354" i="5" s="1"/>
  <c r="U3355" i="5"/>
  <c r="W3355" i="5" s="1"/>
  <c r="U3356" i="5"/>
  <c r="W3356" i="5" s="1"/>
  <c r="U3357" i="5"/>
  <c r="W3357" i="5" s="1"/>
  <c r="U3359" i="5"/>
  <c r="W3359" i="5" s="1"/>
  <c r="U3362" i="5"/>
  <c r="W3362" i="5" s="1"/>
  <c r="U3363" i="5"/>
  <c r="W3363" i="5" s="1"/>
  <c r="U3364" i="5"/>
  <c r="W3364" i="5" s="1"/>
  <c r="U3365" i="5"/>
  <c r="W3365" i="5" s="1"/>
  <c r="U3367" i="5"/>
  <c r="W3367" i="5" s="1"/>
  <c r="U3370" i="5"/>
  <c r="W3370" i="5" s="1"/>
  <c r="U3371" i="5"/>
  <c r="W3371" i="5" s="1"/>
  <c r="U3372" i="5"/>
  <c r="W3372" i="5" s="1"/>
  <c r="U3373" i="5"/>
  <c r="W3373" i="5" s="1"/>
  <c r="U3375" i="5"/>
  <c r="W3375" i="5" s="1"/>
  <c r="U3378" i="5"/>
  <c r="W3378" i="5" s="1"/>
  <c r="U3379" i="5"/>
  <c r="W3379" i="5" s="1"/>
  <c r="U3380" i="5"/>
  <c r="W3380" i="5" s="1"/>
  <c r="U3382" i="5"/>
  <c r="W3382" i="5" s="1"/>
  <c r="U3383" i="5"/>
  <c r="W3383" i="5" s="1"/>
  <c r="U3385" i="5"/>
  <c r="W3385" i="5" s="1"/>
  <c r="U3386" i="5"/>
  <c r="W3386" i="5" s="1"/>
  <c r="U3387" i="5"/>
  <c r="W3387" i="5" s="1"/>
  <c r="U3388" i="5"/>
  <c r="W3388" i="5" s="1"/>
  <c r="U3389" i="5"/>
  <c r="W3389" i="5" s="1"/>
  <c r="U3391" i="5"/>
  <c r="W3391" i="5" s="1"/>
  <c r="U3394" i="5"/>
  <c r="W3394" i="5" s="1"/>
  <c r="U3395" i="5"/>
  <c r="W3395" i="5" s="1"/>
  <c r="U3396" i="5"/>
  <c r="W3396" i="5" s="1"/>
  <c r="U3397" i="5"/>
  <c r="W3397" i="5" s="1"/>
  <c r="U3399" i="5"/>
  <c r="W3399" i="5" s="1"/>
  <c r="U3402" i="5"/>
  <c r="W3402" i="5" s="1"/>
  <c r="U3403" i="5"/>
  <c r="W3403" i="5" s="1"/>
  <c r="U3404" i="5"/>
  <c r="W3404" i="5" s="1"/>
  <c r="U3405" i="5"/>
  <c r="W3405" i="5" s="1"/>
  <c r="U3407" i="5"/>
  <c r="W3407" i="5" s="1"/>
  <c r="U3410" i="5"/>
  <c r="W3410" i="5" s="1"/>
  <c r="U3411" i="5"/>
  <c r="W3411" i="5" s="1"/>
  <c r="U3412" i="5"/>
  <c r="W3412" i="5" s="1"/>
  <c r="U3413" i="5"/>
  <c r="W3413" i="5" s="1"/>
  <c r="U3414" i="5"/>
  <c r="W3414" i="5" s="1"/>
  <c r="U3415" i="5"/>
  <c r="W3415" i="5" s="1"/>
  <c r="U3418" i="5"/>
  <c r="W3418" i="5" s="1"/>
  <c r="U3419" i="5"/>
  <c r="W3419" i="5" s="1"/>
  <c r="U3420" i="5"/>
  <c r="W3420" i="5" s="1"/>
  <c r="U3423" i="5"/>
  <c r="W3423" i="5" s="1"/>
  <c r="U3425" i="5"/>
  <c r="W3425" i="5" s="1"/>
  <c r="U3426" i="5"/>
  <c r="W3426" i="5" s="1"/>
  <c r="U3427" i="5"/>
  <c r="W3427" i="5" s="1"/>
  <c r="U3429" i="5"/>
  <c r="W3429" i="5" s="1"/>
  <c r="U3431" i="5"/>
  <c r="W3431" i="5" s="1"/>
  <c r="U3434" i="5"/>
  <c r="W3434" i="5" s="1"/>
  <c r="U3435" i="5"/>
  <c r="W3435" i="5" s="1"/>
  <c r="U3436" i="5"/>
  <c r="W3436" i="5" s="1"/>
  <c r="U3437" i="5"/>
  <c r="W3437" i="5" s="1"/>
  <c r="U3438" i="5"/>
  <c r="W3438" i="5" s="1"/>
  <c r="U3439" i="5"/>
  <c r="W3439" i="5" s="1"/>
  <c r="U3442" i="5"/>
  <c r="W3442" i="5" s="1"/>
  <c r="U3443" i="5"/>
  <c r="W3443" i="5" s="1"/>
  <c r="U3444" i="5"/>
  <c r="W3444" i="5" s="1"/>
  <c r="U3445" i="5"/>
  <c r="W3445" i="5" s="1"/>
  <c r="U3447" i="5"/>
  <c r="W3447" i="5" s="1"/>
  <c r="U3449" i="5"/>
  <c r="W3449" i="5" s="1"/>
  <c r="U3450" i="5"/>
  <c r="W3450" i="5" s="1"/>
  <c r="U3451" i="5"/>
  <c r="W3451" i="5" s="1"/>
  <c r="U3452" i="5"/>
  <c r="W3452" i="5" s="1"/>
  <c r="U3453" i="5"/>
  <c r="W3453" i="5" s="1"/>
  <c r="U3455" i="5"/>
  <c r="W3455" i="5" s="1"/>
  <c r="U3458" i="5"/>
  <c r="W3458" i="5" s="1"/>
  <c r="U3459" i="5"/>
  <c r="W3459" i="5" s="1"/>
  <c r="U3460" i="5"/>
  <c r="W3460" i="5" s="1"/>
  <c r="U3461" i="5"/>
  <c r="W3461" i="5" s="1"/>
  <c r="U3463" i="5"/>
  <c r="W3463" i="5" s="1"/>
  <c r="U3466" i="5"/>
  <c r="W3466" i="5" s="1"/>
  <c r="U3467" i="5"/>
  <c r="W3467" i="5" s="1"/>
  <c r="U3468" i="5"/>
  <c r="W3468" i="5" s="1"/>
  <c r="U3469" i="5"/>
  <c r="W3469" i="5" s="1"/>
  <c r="U3471" i="5"/>
  <c r="W3471" i="5" s="1"/>
  <c r="U3474" i="5"/>
  <c r="W3474" i="5" s="1"/>
  <c r="U3475" i="5"/>
  <c r="W3475" i="5" s="1"/>
  <c r="U3476" i="5"/>
  <c r="W3476" i="5" s="1"/>
  <c r="U3477" i="5"/>
  <c r="W3477" i="5" s="1"/>
  <c r="U3479" i="5"/>
  <c r="W3479" i="5" s="1"/>
  <c r="U3482" i="5"/>
  <c r="W3482" i="5" s="1"/>
  <c r="U3483" i="5"/>
  <c r="W3483" i="5" s="1"/>
  <c r="U3484" i="5"/>
  <c r="W3484" i="5" s="1"/>
  <c r="U3485" i="5"/>
  <c r="W3485" i="5" s="1"/>
  <c r="U3487" i="5"/>
  <c r="W3487" i="5" s="1"/>
  <c r="U3490" i="5"/>
  <c r="W3490" i="5" s="1"/>
  <c r="U3491" i="5"/>
  <c r="W3491" i="5" s="1"/>
  <c r="U3492" i="5"/>
  <c r="W3492" i="5" s="1"/>
  <c r="U3493" i="5"/>
  <c r="W3493" i="5" s="1"/>
  <c r="U3495" i="5"/>
  <c r="W3495" i="5" s="1"/>
  <c r="U3498" i="5"/>
  <c r="W3498" i="5" s="1"/>
  <c r="U3499" i="5"/>
  <c r="W3499" i="5" s="1"/>
  <c r="U3500" i="5"/>
  <c r="W3500" i="5" s="1"/>
  <c r="U3501" i="5"/>
  <c r="W3501" i="5" s="1"/>
  <c r="U3502" i="5"/>
  <c r="W3502" i="5" s="1"/>
  <c r="U3503" i="5"/>
  <c r="W3503" i="5" s="1"/>
  <c r="U3506" i="5"/>
  <c r="W3506" i="5" s="1"/>
  <c r="U3507" i="5"/>
  <c r="W3507" i="5" s="1"/>
  <c r="U6498" i="5"/>
  <c r="W6498" i="5" s="1"/>
  <c r="U6500" i="5"/>
  <c r="W6500" i="5" s="1"/>
  <c r="U6501" i="5"/>
  <c r="W6501" i="5" s="1"/>
  <c r="U8772" i="5"/>
  <c r="W8772" i="5" s="1"/>
  <c r="U8774" i="5"/>
  <c r="W8774" i="5" s="1"/>
  <c r="U8787" i="5"/>
  <c r="W8787" i="5" s="1"/>
  <c r="U8788" i="5"/>
  <c r="W8788" i="5" s="1"/>
  <c r="U8790" i="5"/>
  <c r="W8790" i="5" s="1"/>
  <c r="U8796" i="5"/>
  <c r="W8796" i="5" s="1"/>
  <c r="U8804" i="5"/>
  <c r="W8804" i="5" s="1"/>
  <c r="U8806" i="5"/>
  <c r="W8806" i="5" s="1"/>
  <c r="U8822" i="5"/>
  <c r="W8822" i="5" s="1"/>
  <c r="U8828" i="5"/>
  <c r="W8828" i="5" s="1"/>
  <c r="U8836" i="5"/>
  <c r="W8836" i="5" s="1"/>
  <c r="U8844" i="5"/>
  <c r="W8844" i="5" s="1"/>
  <c r="U8846" i="5"/>
  <c r="W8846" i="5" s="1"/>
  <c r="U8852" i="5"/>
  <c r="W8852" i="5" s="1"/>
  <c r="U8883" i="5"/>
  <c r="W8883" i="5" s="1"/>
  <c r="U8884" i="5"/>
  <c r="W8884" i="5" s="1"/>
  <c r="U8892" i="5"/>
  <c r="W8892" i="5" s="1"/>
  <c r="U8894" i="5"/>
  <c r="W8894" i="5" s="1"/>
  <c r="U8900" i="5"/>
  <c r="W8900" i="5" s="1"/>
  <c r="U8907" i="5"/>
  <c r="W8907" i="5" s="1"/>
  <c r="U8910" i="5"/>
  <c r="W8910" i="5" s="1"/>
  <c r="U8916" i="5"/>
  <c r="W8916" i="5" s="1"/>
  <c r="U8924" i="5"/>
  <c r="W8924" i="5" s="1"/>
  <c r="U8926" i="5"/>
  <c r="W8926" i="5" s="1"/>
  <c r="U8932" i="5"/>
  <c r="W8932" i="5" s="1"/>
  <c r="U8940" i="5"/>
  <c r="W8940" i="5" s="1"/>
  <c r="U8942" i="5"/>
  <c r="W8942" i="5" s="1"/>
  <c r="U8950" i="5"/>
  <c r="W8950" i="5" s="1"/>
  <c r="U8956" i="5"/>
  <c r="W8956" i="5" s="1"/>
  <c r="U8964" i="5"/>
  <c r="W8964" i="5" s="1"/>
  <c r="U8966" i="5"/>
  <c r="W8966" i="5" s="1"/>
  <c r="U8972" i="5"/>
  <c r="W8972" i="5" s="1"/>
  <c r="U8979" i="5"/>
  <c r="W8979" i="5" s="1"/>
  <c r="U8998" i="5"/>
  <c r="W8998" i="5" s="1"/>
  <c r="U9003" i="5"/>
  <c r="W9003" i="5" s="1"/>
  <c r="U9004" i="5"/>
  <c r="W9004" i="5" s="1"/>
  <c r="U9012" i="5"/>
  <c r="W9012" i="5" s="1"/>
  <c r="U9020" i="5"/>
  <c r="W9020" i="5" s="1"/>
  <c r="U9038" i="5"/>
  <c r="W9038" i="5" s="1"/>
  <c r="U9044" i="5"/>
  <c r="W9044" i="5" s="1"/>
  <c r="U9046" i="5"/>
  <c r="W9046" i="5" s="1"/>
  <c r="U9052" i="5"/>
  <c r="W9052" i="5" s="1"/>
  <c r="U9059" i="5"/>
  <c r="W9059" i="5" s="1"/>
  <c r="U9060" i="5"/>
  <c r="W9060" i="5" s="1"/>
  <c r="U9070" i="5"/>
  <c r="W9070" i="5" s="1"/>
  <c r="U9084" i="5"/>
  <c r="W9084" i="5" s="1"/>
  <c r="U9092" i="5"/>
  <c r="W9092" i="5" s="1"/>
  <c r="U9094" i="5"/>
  <c r="W9094" i="5" s="1"/>
  <c r="U9099" i="5"/>
  <c r="W9099" i="5" s="1"/>
  <c r="U9100" i="5"/>
  <c r="W9100" i="5" s="1"/>
  <c r="U9131" i="5"/>
  <c r="W9131" i="5" s="1"/>
  <c r="U9132" i="5"/>
  <c r="W9132" i="5" s="1"/>
  <c r="U9140" i="5"/>
  <c r="W9140" i="5" s="1"/>
  <c r="U9148" i="5"/>
  <c r="W9148" i="5" s="1"/>
  <c r="U9155" i="5"/>
  <c r="W9155" i="5" s="1"/>
  <c r="U9158" i="5"/>
  <c r="W9158" i="5" s="1"/>
  <c r="U9172" i="5"/>
  <c r="W9172" i="5" s="1"/>
  <c r="U9174" i="5"/>
  <c r="W9174" i="5" s="1"/>
  <c r="U9180" i="5"/>
  <c r="W9180" i="5" s="1"/>
  <c r="U9188" i="5"/>
  <c r="W9188" i="5" s="1"/>
  <c r="U9190" i="5"/>
  <c r="W9190" i="5" s="1"/>
  <c r="U9206" i="5"/>
  <c r="W9206" i="5" s="1"/>
  <c r="U9212" i="5"/>
  <c r="W9212" i="5" s="1"/>
  <c r="U9214" i="5"/>
  <c r="W9214" i="5" s="1"/>
  <c r="U9219" i="5"/>
  <c r="W9219" i="5" s="1"/>
  <c r="U9220" i="5"/>
  <c r="W9220" i="5" s="1"/>
  <c r="U9228" i="5"/>
  <c r="W9228" i="5" s="1"/>
  <c r="U9230" i="5"/>
  <c r="W9230" i="5" s="1"/>
  <c r="U9246" i="5"/>
  <c r="W9246" i="5" s="1"/>
  <c r="U9252" i="5"/>
  <c r="W9252" i="5" s="1"/>
  <c r="U9260" i="5"/>
  <c r="W9260" i="5" s="1"/>
  <c r="U9262" i="5"/>
  <c r="W9262" i="5" s="1"/>
  <c r="U9268" i="5"/>
  <c r="W9268" i="5" s="1"/>
  <c r="U9300" i="5"/>
  <c r="W9300" i="5" s="1"/>
  <c r="U9302" i="5"/>
  <c r="W9302" i="5" s="1"/>
  <c r="U9308" i="5"/>
  <c r="W9308" i="5" s="1"/>
  <c r="U9312" i="5"/>
  <c r="W9312" i="5" s="1"/>
  <c r="U9316" i="5"/>
  <c r="W9316" i="5" s="1"/>
  <c r="U9318" i="5"/>
  <c r="W9318" i="5" s="1"/>
  <c r="U9323" i="5"/>
  <c r="W9323" i="5" s="1"/>
  <c r="U9332" i="5"/>
  <c r="W9332" i="5" s="1"/>
  <c r="U9334" i="5"/>
  <c r="W9334" i="5" s="1"/>
  <c r="U9340" i="5"/>
  <c r="W9340" i="5" s="1"/>
  <c r="U9348" i="5"/>
  <c r="W9348" i="5" s="1"/>
  <c r="U9356" i="5"/>
  <c r="W9356" i="5" s="1"/>
  <c r="U9371" i="5"/>
  <c r="W9371" i="5" s="1"/>
  <c r="U9380" i="5"/>
  <c r="W9380" i="5" s="1"/>
  <c r="U9388" i="5"/>
  <c r="W9388" i="5" s="1"/>
  <c r="U9396" i="5"/>
  <c r="W9396" i="5" s="1"/>
  <c r="U9404" i="5"/>
  <c r="W9404" i="5" s="1"/>
  <c r="U9406" i="5"/>
  <c r="W9406" i="5" s="1"/>
  <c r="U9419" i="5"/>
  <c r="W9419" i="5" s="1"/>
  <c r="U9422" i="5"/>
  <c r="W9422" i="5" s="1"/>
  <c r="U9428" i="5"/>
  <c r="W9428" i="5" s="1"/>
  <c r="U9436" i="5"/>
  <c r="W9436" i="5" s="1"/>
  <c r="U9438" i="5"/>
  <c r="W9438" i="5" s="1"/>
  <c r="U9443" i="5"/>
  <c r="W9443" i="5" s="1"/>
  <c r="U9454" i="5"/>
  <c r="W9454" i="5" s="1"/>
  <c r="U9460" i="5"/>
  <c r="W9460" i="5" s="1"/>
  <c r="U9467" i="5"/>
  <c r="W9467" i="5" s="1"/>
  <c r="U9468" i="5"/>
  <c r="W9468" i="5" s="1"/>
  <c r="U9476" i="5"/>
  <c r="W9476" i="5" s="1"/>
  <c r="U9478" i="5"/>
  <c r="W9478" i="5" s="1"/>
  <c r="W736" i="5" l="1"/>
  <c r="W728" i="5"/>
  <c r="W551" i="5"/>
  <c r="W400" i="5"/>
  <c r="W9429" i="5"/>
  <c r="W9413" i="5"/>
  <c r="W9397" i="5"/>
  <c r="W9357" i="5"/>
  <c r="W9341" i="5"/>
  <c r="W9325" i="5"/>
  <c r="W9253" i="5"/>
  <c r="W9181" i="5"/>
  <c r="W9165" i="5"/>
  <c r="W9149" i="5"/>
  <c r="W9133" i="5"/>
  <c r="W9109" i="5"/>
  <c r="W9093" i="5"/>
  <c r="W9077" i="5"/>
  <c r="W9061" i="5"/>
  <c r="W8989" i="5"/>
  <c r="W8917" i="5"/>
  <c r="W8901" i="5"/>
  <c r="W8885" i="5"/>
  <c r="W8845" i="5"/>
  <c r="W8829" i="5"/>
  <c r="W8813" i="5"/>
  <c r="W8773" i="5"/>
  <c r="W9486" i="5"/>
  <c r="W9470" i="5"/>
  <c r="W9462" i="5"/>
  <c r="W9446" i="5"/>
  <c r="W9430" i="5"/>
  <c r="W9414" i="5"/>
  <c r="W9398" i="5"/>
  <c r="W9390" i="5"/>
  <c r="W9382" i="5"/>
  <c r="W9374" i="5"/>
  <c r="W9366" i="5"/>
  <c r="W9358" i="5"/>
  <c r="W9350" i="5"/>
  <c r="W9342" i="5"/>
  <c r="W9326" i="5"/>
  <c r="W9310" i="5"/>
  <c r="W9294" i="5"/>
  <c r="W9286" i="5"/>
  <c r="W9278" i="5"/>
  <c r="W9270" i="5"/>
  <c r="W9254" i="5"/>
  <c r="W9238" i="5"/>
  <c r="W9222" i="5"/>
  <c r="W9198" i="5"/>
  <c r="W9182" i="5"/>
  <c r="W9166" i="5"/>
  <c r="W9150" i="5"/>
  <c r="W9142" i="5"/>
  <c r="W9134" i="5"/>
  <c r="W9126" i="5"/>
  <c r="W9118" i="5"/>
  <c r="W9110" i="5"/>
  <c r="W9102" i="5"/>
  <c r="W9086" i="5"/>
  <c r="W9078" i="5"/>
  <c r="W9062" i="5"/>
  <c r="W9054" i="5"/>
  <c r="W9030" i="5"/>
  <c r="W9022" i="5"/>
  <c r="W9014" i="5"/>
  <c r="W9006" i="5"/>
  <c r="W8990" i="5"/>
  <c r="W8982" i="5"/>
  <c r="W8974" i="5"/>
  <c r="W8958" i="5"/>
  <c r="W8934" i="5"/>
  <c r="W8918" i="5"/>
  <c r="W8902" i="5"/>
  <c r="W8886" i="5"/>
  <c r="W8878" i="5"/>
  <c r="W8870" i="5"/>
  <c r="W8862" i="5"/>
  <c r="W8854" i="5"/>
  <c r="W8838" i="5"/>
  <c r="W8830" i="5"/>
  <c r="W8814" i="5"/>
  <c r="W8798" i="5"/>
  <c r="W8782" i="5"/>
  <c r="W9485" i="5"/>
  <c r="W9477" i="5"/>
  <c r="W9469" i="5"/>
  <c r="W9461" i="5"/>
  <c r="W9453" i="5"/>
  <c r="W9445" i="5"/>
  <c r="W9437" i="5"/>
  <c r="W9421" i="5"/>
  <c r="W9405" i="5"/>
  <c r="W9389" i="5"/>
  <c r="W9381" i="5"/>
  <c r="W9373" i="5"/>
  <c r="W9365" i="5"/>
  <c r="W9349" i="5"/>
  <c r="W9333" i="5"/>
  <c r="W9317" i="5"/>
  <c r="W9309" i="5"/>
  <c r="W9301" i="5"/>
  <c r="W9293" i="5"/>
  <c r="W9285" i="5"/>
  <c r="W9277" i="5"/>
  <c r="W9269" i="5"/>
  <c r="W9261" i="5"/>
  <c r="W9245" i="5"/>
  <c r="W9237" i="5"/>
  <c r="W9229" i="5"/>
  <c r="W9221" i="5"/>
  <c r="W9213" i="5"/>
  <c r="W9205" i="5"/>
  <c r="W9197" i="5"/>
  <c r="W9189" i="5"/>
  <c r="W9173" i="5"/>
  <c r="W9157" i="5"/>
  <c r="W9141" i="5"/>
  <c r="W9125" i="5"/>
  <c r="W9117" i="5"/>
  <c r="W9101" i="5"/>
  <c r="W9085" i="5"/>
  <c r="W9069" i="5"/>
  <c r="W9053" i="5"/>
  <c r="W9045" i="5"/>
  <c r="W9037" i="5"/>
  <c r="W9029" i="5"/>
  <c r="W9021" i="5"/>
  <c r="W9013" i="5"/>
  <c r="W9005" i="5"/>
  <c r="W8997" i="5"/>
  <c r="W8981" i="5"/>
  <c r="W8973" i="5"/>
  <c r="W8965" i="5"/>
  <c r="W8957" i="5"/>
  <c r="W8949" i="5"/>
  <c r="W8941" i="5"/>
  <c r="W8933" i="5"/>
  <c r="W8925" i="5"/>
  <c r="W8909" i="5"/>
  <c r="W8893" i="5"/>
  <c r="W8877" i="5"/>
  <c r="W8869" i="5"/>
  <c r="W8861" i="5"/>
  <c r="W8853" i="5"/>
  <c r="W8837" i="5"/>
  <c r="W8821" i="5"/>
  <c r="W8805" i="5"/>
  <c r="W8797" i="5"/>
  <c r="W8789" i="5"/>
  <c r="W8781" i="5"/>
  <c r="W3497" i="5"/>
  <c r="W3489" i="5"/>
  <c r="W3481" i="5"/>
  <c r="W3465" i="5"/>
  <c r="W3457" i="5"/>
  <c r="W3441" i="5"/>
  <c r="W3433" i="5"/>
  <c r="W3417" i="5"/>
  <c r="W3401" i="5"/>
  <c r="W3393" i="5"/>
  <c r="W3377" i="5"/>
  <c r="W3369" i="5"/>
  <c r="W3361" i="5"/>
  <c r="W3353" i="5"/>
  <c r="W3345" i="5"/>
  <c r="W6356" i="5"/>
  <c r="W6404" i="5"/>
  <c r="W9482" i="5"/>
  <c r="W9458" i="5"/>
  <c r="W9418" i="5"/>
  <c r="W9394" i="5"/>
  <c r="W9362" i="5"/>
  <c r="W9354" i="5"/>
  <c r="W9330" i="5"/>
  <c r="W9306" i="5"/>
  <c r="W9298" i="5"/>
  <c r="W9274" i="5"/>
  <c r="W9250" i="5"/>
  <c r="W9242" i="5"/>
  <c r="W9234" i="5"/>
  <c r="W9210" i="5"/>
  <c r="W9186" i="5"/>
  <c r="W9178" i="5"/>
  <c r="W9154" i="5"/>
  <c r="W9146" i="5"/>
  <c r="W9130" i="5"/>
  <c r="W9122" i="5"/>
  <c r="W9090" i="5"/>
  <c r="W9066" i="5"/>
  <c r="W9026" i="5"/>
  <c r="W9002" i="5"/>
  <c r="W8970" i="5"/>
  <c r="W8946" i="5"/>
  <c r="W8906" i="5"/>
  <c r="W8882" i="5"/>
  <c r="W8850" i="5"/>
  <c r="W8842" i="5"/>
  <c r="W8818" i="5"/>
  <c r="W8794" i="5"/>
  <c r="W8786" i="5"/>
  <c r="W9474" i="5"/>
  <c r="W9466" i="5"/>
  <c r="W9450" i="5"/>
  <c r="W9442" i="5"/>
  <c r="W9434" i="5"/>
  <c r="W9426" i="5"/>
  <c r="W9410" i="5"/>
  <c r="W9402" i="5"/>
  <c r="W9386" i="5"/>
  <c r="W9378" i="5"/>
  <c r="W9370" i="5"/>
  <c r="W9346" i="5"/>
  <c r="W9338" i="5"/>
  <c r="W9322" i="5"/>
  <c r="W9314" i="5"/>
  <c r="W9290" i="5"/>
  <c r="W9282" i="5"/>
  <c r="W9266" i="5"/>
  <c r="W9258" i="5"/>
  <c r="W9226" i="5"/>
  <c r="W9218" i="5"/>
  <c r="W9202" i="5"/>
  <c r="W9194" i="5"/>
  <c r="W9170" i="5"/>
  <c r="W9162" i="5"/>
  <c r="W9138" i="5"/>
  <c r="W9114" i="5"/>
  <c r="W9106" i="5"/>
  <c r="W9098" i="5"/>
  <c r="W9082" i="5"/>
  <c r="W9074" i="5"/>
  <c r="W9058" i="5"/>
  <c r="W9050" i="5"/>
  <c r="W9042" i="5"/>
  <c r="W9034" i="5"/>
  <c r="W9018" i="5"/>
  <c r="W9010" i="5"/>
  <c r="W8994" i="5"/>
  <c r="W8986" i="5"/>
  <c r="W8978" i="5"/>
  <c r="W8962" i="5"/>
  <c r="W8954" i="5"/>
  <c r="W8938" i="5"/>
  <c r="W8930" i="5"/>
  <c r="W8922" i="5"/>
  <c r="W8914" i="5"/>
  <c r="W8898" i="5"/>
  <c r="W8890" i="5"/>
  <c r="W8874" i="5"/>
  <c r="W8866" i="5"/>
  <c r="W8858" i="5"/>
  <c r="W8834" i="5"/>
  <c r="W8826" i="5"/>
  <c r="W8810" i="5"/>
  <c r="W8802" i="5"/>
  <c r="W8778" i="5"/>
  <c r="W8770" i="5"/>
  <c r="W6565" i="5"/>
  <c r="W6566" i="5"/>
  <c r="W6569" i="5"/>
  <c r="W6570" i="5"/>
  <c r="W6571" i="5"/>
  <c r="W6572" i="5"/>
  <c r="W6573" i="5"/>
  <c r="W6574" i="5"/>
  <c r="W6575" i="5"/>
  <c r="W6577" i="5"/>
  <c r="W6578" i="5"/>
  <c r="W6579" i="5"/>
  <c r="W6580" i="5"/>
  <c r="W6582" i="5"/>
  <c r="W6583" i="5"/>
  <c r="W6585" i="5"/>
  <c r="W6586" i="5"/>
  <c r="W6587" i="5"/>
  <c r="W6588" i="5"/>
  <c r="W6589" i="5"/>
  <c r="W6590" i="5"/>
  <c r="W6593" i="5"/>
  <c r="W6594" i="5"/>
  <c r="W6595" i="5"/>
  <c r="W6597" i="5"/>
  <c r="W6598" i="5"/>
  <c r="W6601" i="5"/>
  <c r="W6602" i="5"/>
  <c r="W6603" i="5"/>
  <c r="W6604" i="5"/>
  <c r="W6605" i="5"/>
  <c r="W6606" i="5"/>
  <c r="W6607" i="5"/>
  <c r="W6609" i="5"/>
  <c r="W6610" i="5"/>
  <c r="W6611" i="5"/>
  <c r="W6612" i="5"/>
  <c r="W6613" i="5"/>
  <c r="W6614" i="5"/>
  <c r="W6615" i="5"/>
  <c r="W6618" i="5"/>
  <c r="W6620" i="5"/>
  <c r="W6621" i="5"/>
  <c r="W6622" i="5"/>
  <c r="W6623" i="5"/>
  <c r="W6625" i="5"/>
  <c r="W6626" i="5"/>
  <c r="W6628" i="5"/>
  <c r="W6629" i="5"/>
  <c r="W6630" i="5"/>
  <c r="W6631" i="5"/>
  <c r="W6633" i="5"/>
  <c r="W6634" i="5"/>
  <c r="W6635" i="5"/>
  <c r="W6636" i="5"/>
  <c r="W6637" i="5"/>
  <c r="W6638" i="5"/>
  <c r="W6639" i="5"/>
  <c r="W6641" i="5"/>
  <c r="W6642" i="5"/>
  <c r="W6643" i="5"/>
  <c r="W6644" i="5"/>
  <c r="W6645" i="5"/>
  <c r="W6647" i="5"/>
  <c r="W6649" i="5"/>
  <c r="W6650" i="5"/>
  <c r="W6651" i="5"/>
  <c r="W6652" i="5"/>
  <c r="W6653" i="5"/>
  <c r="W6654" i="5"/>
  <c r="W6655" i="5"/>
  <c r="W6657" i="5"/>
  <c r="W6658" i="5"/>
  <c r="W6659" i="5"/>
  <c r="W6661" i="5"/>
  <c r="W6662" i="5"/>
  <c r="W6665" i="5"/>
  <c r="W6666" i="5"/>
  <c r="W6667" i="5"/>
  <c r="W6669" i="5"/>
  <c r="W6670" i="5"/>
  <c r="W6671" i="5"/>
  <c r="W6673" i="5"/>
  <c r="W6674" i="5"/>
  <c r="W6675" i="5"/>
  <c r="W6676" i="5"/>
  <c r="W6677" i="5"/>
  <c r="W6678" i="5"/>
  <c r="W6679" i="5"/>
  <c r="W6682" i="5"/>
  <c r="W6683" i="5"/>
  <c r="W6684" i="5"/>
  <c r="W6685" i="5"/>
  <c r="W6686" i="5"/>
  <c r="W6687" i="5"/>
  <c r="W6689" i="5"/>
  <c r="W6690" i="5"/>
  <c r="W6691" i="5"/>
  <c r="W6692" i="5"/>
  <c r="W6693" i="5"/>
  <c r="W6694" i="5"/>
  <c r="W6697" i="5"/>
  <c r="W6698" i="5"/>
  <c r="W6699" i="5"/>
  <c r="W6700" i="5"/>
  <c r="W6701" i="5"/>
  <c r="W6702" i="5"/>
  <c r="W6705" i="5"/>
  <c r="W6706" i="5"/>
  <c r="W6707" i="5"/>
  <c r="W6708" i="5"/>
  <c r="W6709" i="5"/>
  <c r="W6710" i="5"/>
  <c r="W6711" i="5"/>
  <c r="W6713" i="5"/>
  <c r="W6714" i="5"/>
  <c r="W6715" i="5"/>
  <c r="W6716" i="5"/>
  <c r="W6729" i="5"/>
  <c r="W6730" i="5"/>
  <c r="W6731" i="5"/>
  <c r="W6732" i="5"/>
  <c r="W6733" i="5"/>
  <c r="W6734" i="5"/>
  <c r="W6735" i="5"/>
  <c r="W6737" i="5"/>
  <c r="W6738" i="5"/>
  <c r="W6739" i="5"/>
  <c r="W6740" i="5"/>
  <c r="W6741" i="5"/>
  <c r="W6742" i="5"/>
  <c r="W6743" i="5"/>
  <c r="W6745" i="5"/>
  <c r="W6746" i="5"/>
  <c r="W6747" i="5"/>
  <c r="W6748" i="5"/>
  <c r="W6749" i="5"/>
  <c r="W6750" i="5"/>
  <c r="W6751" i="5"/>
  <c r="W6753" i="5"/>
  <c r="W6754" i="5"/>
  <c r="W6755" i="5"/>
  <c r="W6756" i="5"/>
  <c r="W6757" i="5"/>
  <c r="W6758" i="5"/>
  <c r="W6761" i="5"/>
  <c r="W6762" i="5"/>
  <c r="W6763" i="5"/>
  <c r="W6764" i="5"/>
  <c r="W6765" i="5"/>
  <c r="W6766" i="5"/>
  <c r="W6767" i="5"/>
  <c r="W6770" i="5"/>
  <c r="W6771" i="5"/>
  <c r="W6772" i="5"/>
  <c r="W6773" i="5"/>
  <c r="W6774" i="5"/>
  <c r="W6775" i="5"/>
  <c r="W6777" i="5"/>
  <c r="W6778" i="5"/>
  <c r="W6779" i="5"/>
  <c r="W6780" i="5"/>
  <c r="W6781" i="5"/>
  <c r="W6782" i="5"/>
  <c r="W6783" i="5"/>
  <c r="W6785" i="5"/>
  <c r="W6786" i="5"/>
  <c r="W6787" i="5"/>
  <c r="W6788" i="5"/>
  <c r="W6789" i="5"/>
  <c r="W6790" i="5"/>
  <c r="W6791" i="5"/>
  <c r="W6793" i="5"/>
  <c r="W6794" i="5"/>
  <c r="W6795" i="5"/>
  <c r="W6801" i="5"/>
  <c r="W6802" i="5"/>
  <c r="W6803" i="5"/>
  <c r="W6804" i="5"/>
  <c r="W6805" i="5"/>
  <c r="W6806" i="5"/>
  <c r="W6807" i="5"/>
  <c r="W6810" i="5"/>
  <c r="W6811" i="5"/>
  <c r="W6812" i="5"/>
  <c r="W6813" i="5"/>
  <c r="W6814" i="5"/>
  <c r="W6815" i="5"/>
  <c r="W6817" i="5"/>
  <c r="W6818" i="5"/>
  <c r="W6819" i="5"/>
  <c r="W6820" i="5"/>
  <c r="W6821" i="5"/>
  <c r="W6822" i="5"/>
  <c r="W6825" i="5"/>
  <c r="W6826" i="5"/>
  <c r="W6827" i="5"/>
  <c r="W6828" i="5"/>
  <c r="W6829" i="5"/>
  <c r="W6830" i="5"/>
  <c r="W6831" i="5"/>
  <c r="W6833" i="5"/>
  <c r="W6834" i="5"/>
  <c r="W6835" i="5"/>
  <c r="W6836" i="5"/>
  <c r="W6837" i="5"/>
  <c r="W6838" i="5"/>
  <c r="W6841" i="5"/>
  <c r="W6842" i="5"/>
  <c r="W6843" i="5"/>
  <c r="W6844" i="5"/>
  <c r="W6845" i="5"/>
  <c r="W6846" i="5"/>
  <c r="W6847" i="5"/>
  <c r="W6849" i="5"/>
  <c r="W6850" i="5"/>
  <c r="W6851" i="5"/>
  <c r="W6852" i="5"/>
  <c r="W6853" i="5"/>
  <c r="W6854" i="5"/>
  <c r="W6855" i="5"/>
  <c r="W6857" i="5"/>
  <c r="W6858" i="5"/>
  <c r="W6859" i="5"/>
  <c r="W6860" i="5"/>
  <c r="W6861" i="5"/>
  <c r="W6862" i="5"/>
  <c r="W6863" i="5"/>
  <c r="W6865" i="5"/>
  <c r="W6866" i="5"/>
  <c r="W6867" i="5"/>
  <c r="W6868" i="5"/>
  <c r="W6869" i="5"/>
  <c r="W6870" i="5"/>
  <c r="W6871" i="5"/>
  <c r="W6873" i="5"/>
  <c r="W6874" i="5"/>
  <c r="W6876" i="5"/>
  <c r="W6877" i="5"/>
  <c r="W6878" i="5"/>
  <c r="W6879" i="5"/>
  <c r="W6881" i="5"/>
  <c r="W6882" i="5"/>
  <c r="W6883" i="5"/>
  <c r="W6884" i="5"/>
  <c r="W6885" i="5"/>
  <c r="W6886" i="5"/>
  <c r="W6887" i="5"/>
  <c r="W6889" i="5"/>
  <c r="W6890" i="5"/>
  <c r="W6891" i="5"/>
  <c r="W6892" i="5"/>
  <c r="W6893" i="5"/>
  <c r="W6894" i="5"/>
  <c r="W6900" i="5"/>
  <c r="W6901" i="5"/>
  <c r="W6902" i="5"/>
  <c r="W6903" i="5"/>
  <c r="W6905" i="5"/>
  <c r="W6906" i="5"/>
  <c r="W6908" i="5"/>
  <c r="W6909" i="5"/>
  <c r="W6910" i="5"/>
  <c r="W6911" i="5"/>
  <c r="W6913" i="5"/>
  <c r="W6914" i="5"/>
  <c r="W6916" i="5"/>
  <c r="W6917" i="5"/>
  <c r="W6918" i="5"/>
  <c r="W6919" i="5"/>
  <c r="W6921" i="5"/>
  <c r="W6922" i="5"/>
  <c r="W6923" i="5"/>
  <c r="W6924" i="5"/>
  <c r="W6926" i="5"/>
  <c r="W6927" i="5"/>
  <c r="W6929" i="5"/>
  <c r="W6930" i="5"/>
  <c r="W6931" i="5"/>
  <c r="W6932" i="5"/>
  <c r="W6934" i="5"/>
  <c r="W6935" i="5"/>
  <c r="W6937" i="5"/>
  <c r="W6938" i="5"/>
  <c r="W6939" i="5"/>
  <c r="W6940" i="5"/>
  <c r="W6941" i="5"/>
  <c r="W6942" i="5"/>
  <c r="W6943" i="5"/>
  <c r="W6945" i="5"/>
  <c r="W6946" i="5"/>
  <c r="W6947" i="5"/>
  <c r="W6948" i="5"/>
  <c r="W6949" i="5"/>
  <c r="W6950" i="5"/>
  <c r="W6951" i="5"/>
  <c r="W6953" i="5"/>
  <c r="W6954" i="5"/>
  <c r="W6955" i="5"/>
  <c r="W6956" i="5"/>
  <c r="W6958" i="5"/>
  <c r="W6959" i="5"/>
  <c r="W6961" i="5"/>
  <c r="W6962" i="5"/>
  <c r="W6963" i="5"/>
  <c r="W6964" i="5"/>
  <c r="W6965" i="5"/>
  <c r="W6966" i="5"/>
  <c r="W6967" i="5"/>
  <c r="W6970" i="5"/>
  <c r="W6971" i="5"/>
  <c r="W6972" i="5"/>
  <c r="W6973" i="5"/>
  <c r="W6974" i="5"/>
  <c r="W6975" i="5"/>
  <c r="W6478" i="5"/>
  <c r="W6504" i="5"/>
  <c r="W6405" i="5"/>
  <c r="W6406" i="5"/>
  <c r="W6408" i="5"/>
  <c r="W6409" i="5"/>
  <c r="W6410" i="5"/>
  <c r="W6411" i="5"/>
  <c r="W6412" i="5"/>
  <c r="W6414" i="5"/>
  <c r="W6415" i="5"/>
  <c r="W6417" i="5"/>
  <c r="W6418" i="5"/>
  <c r="W6420" i="5"/>
  <c r="W6421" i="5"/>
  <c r="W6422" i="5"/>
  <c r="W6423" i="5"/>
  <c r="W6425" i="5"/>
  <c r="W6426" i="5"/>
  <c r="W6428" i="5"/>
  <c r="W6429" i="5"/>
  <c r="W6430" i="5"/>
  <c r="W6431" i="5"/>
  <c r="W6433" i="5"/>
  <c r="W6434" i="5"/>
  <c r="W6435" i="5"/>
  <c r="W6436" i="5"/>
  <c r="W6437" i="5"/>
  <c r="W6438" i="5"/>
  <c r="W6439" i="5"/>
  <c r="W6441" i="5"/>
  <c r="W6442" i="5"/>
  <c r="W6443" i="5"/>
  <c r="W6445" i="5"/>
  <c r="W6446" i="5"/>
  <c r="W6447" i="5"/>
  <c r="W6485" i="5"/>
  <c r="W6493" i="5"/>
  <c r="W6357" i="5"/>
  <c r="W6358" i="5"/>
  <c r="W6359" i="5"/>
  <c r="W6361" i="5"/>
  <c r="W6362" i="5"/>
  <c r="W6363" i="5"/>
  <c r="W6364" i="5"/>
  <c r="W6365" i="5"/>
  <c r="W6366" i="5"/>
  <c r="W6367" i="5"/>
  <c r="W6369" i="5"/>
  <c r="W6370" i="5"/>
  <c r="W6371" i="5"/>
  <c r="W6372" i="5"/>
  <c r="W6373" i="5"/>
  <c r="W6375" i="5"/>
  <c r="W6376" i="5"/>
  <c r="W6377" i="5"/>
  <c r="W6378" i="5"/>
  <c r="W6379" i="5"/>
  <c r="W6380" i="5"/>
  <c r="W6381" i="5"/>
  <c r="W6382" i="5"/>
  <c r="W6383" i="5"/>
  <c r="W6384" i="5"/>
  <c r="W6385" i="5"/>
  <c r="W6386" i="5"/>
  <c r="W6387" i="5"/>
  <c r="W6388" i="5"/>
  <c r="W6389" i="5"/>
  <c r="W6390" i="5"/>
  <c r="W6391" i="5"/>
  <c r="W6392" i="5"/>
  <c r="W6393" i="5"/>
  <c r="W6394" i="5"/>
  <c r="W6396" i="5"/>
  <c r="W6397" i="5"/>
  <c r="W6398" i="5"/>
  <c r="W6400" i="5"/>
  <c r="W6401" i="5"/>
  <c r="W6402" i="5"/>
  <c r="W6403" i="5"/>
  <c r="W6978" i="5"/>
  <c r="W6981" i="5"/>
  <c r="W6987" i="5"/>
  <c r="W6990" i="5"/>
  <c r="W6993" i="5"/>
  <c r="W6996" i="5"/>
  <c r="W6999" i="5"/>
  <c r="W7002" i="5"/>
  <c r="W7005" i="5"/>
  <c r="W7011" i="5"/>
  <c r="W7014" i="5"/>
  <c r="W7017" i="5"/>
  <c r="W7023" i="5"/>
  <c r="W7027" i="5"/>
  <c r="W7030" i="5"/>
  <c r="W7033" i="5"/>
  <c r="W7037" i="5"/>
  <c r="W7043" i="5"/>
  <c r="W7046" i="5"/>
  <c r="W7049" i="5"/>
  <c r="W7052" i="5"/>
  <c r="W7055" i="5"/>
  <c r="W7058" i="5"/>
  <c r="W7061" i="5"/>
  <c r="W7067" i="5"/>
  <c r="W7070" i="5"/>
  <c r="W7073" i="5"/>
  <c r="W7084" i="5"/>
  <c r="W7087" i="5"/>
  <c r="W7090" i="5"/>
  <c r="W7093" i="5"/>
  <c r="W7099" i="5"/>
  <c r="W7102" i="5"/>
  <c r="W7105" i="5"/>
  <c r="W7108" i="5"/>
  <c r="W7111" i="5"/>
  <c r="W7115" i="5"/>
  <c r="W7118" i="5"/>
  <c r="W7121" i="5"/>
  <c r="W7124" i="5"/>
  <c r="W7127" i="5"/>
  <c r="W7134" i="5"/>
  <c r="W7137" i="5"/>
  <c r="W7146" i="5"/>
  <c r="W7150" i="5"/>
  <c r="W7153" i="5"/>
  <c r="W7156" i="5"/>
  <c r="W7162" i="5"/>
  <c r="W7166" i="5"/>
  <c r="W7170" i="5"/>
  <c r="W7173" i="5"/>
  <c r="W7179" i="5"/>
  <c r="W7182" i="5"/>
  <c r="W7185" i="5"/>
  <c r="W7190" i="5"/>
  <c r="W7193" i="5"/>
  <c r="W7196" i="5"/>
  <c r="W7199" i="5"/>
  <c r="W7202" i="5"/>
  <c r="W7205" i="5"/>
  <c r="W7211" i="5"/>
  <c r="W7214" i="5"/>
  <c r="W7222" i="5"/>
  <c r="W7225" i="5"/>
  <c r="W7231" i="5"/>
  <c r="W7234" i="5"/>
  <c r="W7237" i="5"/>
  <c r="W7243" i="5"/>
  <c r="W7246" i="5"/>
  <c r="W7249" i="5"/>
  <c r="W7252" i="5"/>
  <c r="W7258" i="5"/>
  <c r="W7263" i="5"/>
  <c r="W7266" i="5"/>
  <c r="W7269" i="5"/>
  <c r="W7275" i="5"/>
  <c r="W7278" i="5"/>
  <c r="W7281" i="5"/>
  <c r="W7283" i="5"/>
  <c r="W7285" i="5"/>
  <c r="W7291" i="5"/>
  <c r="W7295" i="5"/>
  <c r="W7298" i="5"/>
  <c r="W7302" i="5"/>
  <c r="W7305" i="5"/>
  <c r="W7308" i="5"/>
  <c r="W7311" i="5"/>
  <c r="W7314" i="5"/>
  <c r="W7317" i="5"/>
  <c r="W7323" i="5"/>
  <c r="W7326" i="5"/>
  <c r="W7329" i="5"/>
  <c r="W7333" i="5"/>
  <c r="W7338" i="5"/>
  <c r="W7342" i="5"/>
  <c r="W7345" i="5"/>
  <c r="W7348" i="5"/>
  <c r="W7351" i="5"/>
  <c r="W7358" i="5"/>
  <c r="W7361" i="5"/>
  <c r="W7364" i="5"/>
  <c r="W7367" i="5"/>
  <c r="W7370" i="5"/>
  <c r="W7373" i="5"/>
  <c r="W7377" i="5"/>
  <c r="W7381" i="5"/>
  <c r="W7390" i="5"/>
  <c r="W7393" i="5"/>
  <c r="W7396" i="5"/>
  <c r="W7399" i="5"/>
  <c r="W7404" i="5"/>
  <c r="W7407" i="5"/>
  <c r="W7410" i="5"/>
  <c r="W7413" i="5"/>
  <c r="W7419" i="5"/>
  <c r="W7422" i="5"/>
  <c r="W7425" i="5"/>
  <c r="W7428" i="5"/>
  <c r="W7431" i="5"/>
  <c r="W7436" i="5"/>
  <c r="W7439" i="5"/>
  <c r="W7442" i="5"/>
  <c r="W7448" i="5"/>
  <c r="W7451" i="5"/>
  <c r="W7454" i="5"/>
  <c r="W7458" i="5"/>
  <c r="W7462" i="5"/>
  <c r="W7472" i="5"/>
  <c r="W7475" i="5"/>
  <c r="W7480" i="5"/>
  <c r="W7483" i="5"/>
  <c r="W7486" i="5"/>
  <c r="W7492" i="5"/>
  <c r="W7501" i="5"/>
  <c r="W7506" i="5"/>
  <c r="W7509" i="5"/>
  <c r="W7512" i="5"/>
  <c r="W7515" i="5"/>
  <c r="W7518" i="5"/>
  <c r="W7522" i="5"/>
  <c r="W7525" i="5"/>
  <c r="W7532" i="5"/>
  <c r="W7538" i="5"/>
  <c r="W7544" i="5"/>
  <c r="W7547" i="5"/>
  <c r="W7561" i="5"/>
  <c r="W7564" i="5"/>
  <c r="W7570" i="5"/>
  <c r="W7576" i="5"/>
  <c r="W7579" i="5"/>
  <c r="W7582" i="5"/>
  <c r="W7586" i="5"/>
  <c r="W7593" i="5"/>
  <c r="W7595" i="5"/>
  <c r="W7604" i="5"/>
  <c r="W7608" i="5"/>
  <c r="W7621" i="5"/>
  <c r="W7624" i="5"/>
  <c r="W7627" i="5"/>
  <c r="W7632" i="5"/>
  <c r="W7635" i="5"/>
  <c r="W7638" i="5"/>
  <c r="W7641" i="5"/>
  <c r="W7644" i="5"/>
  <c r="W7650" i="5"/>
  <c r="W7653" i="5"/>
  <c r="W7656" i="5"/>
  <c r="W7659" i="5"/>
  <c r="W7662" i="5"/>
  <c r="W7669" i="5"/>
  <c r="W7673" i="5"/>
  <c r="W7677" i="5"/>
  <c r="W7680" i="5"/>
  <c r="W7683" i="5"/>
  <c r="W7686" i="5"/>
  <c r="W7689" i="5"/>
  <c r="W7692" i="5"/>
  <c r="W7709" i="5"/>
  <c r="W7714" i="5"/>
  <c r="W7717" i="5"/>
  <c r="W7724" i="5"/>
  <c r="W7730" i="5"/>
  <c r="W7733" i="5"/>
  <c r="W7738" i="5"/>
  <c r="W5187" i="5"/>
  <c r="W5188" i="5"/>
  <c r="W5189" i="5"/>
  <c r="W5190" i="5"/>
  <c r="W5191" i="5"/>
  <c r="W5193" i="5"/>
  <c r="W5194" i="5"/>
  <c r="W5195" i="5"/>
  <c r="W5196" i="5"/>
  <c r="W5197" i="5"/>
  <c r="W5198" i="5"/>
  <c r="W5199" i="5"/>
  <c r="W5200" i="5"/>
  <c r="W5201" i="5"/>
  <c r="W5202" i="5"/>
  <c r="W5203" i="5"/>
  <c r="W5204" i="5"/>
  <c r="W5205" i="5"/>
  <c r="W5206" i="5"/>
  <c r="W5207" i="5"/>
  <c r="W5208" i="5"/>
  <c r="W5210" i="5"/>
  <c r="W5211" i="5"/>
  <c r="W5212" i="5"/>
  <c r="W5213" i="5"/>
  <c r="W5214" i="5"/>
  <c r="W5215" i="5"/>
  <c r="W5216" i="5"/>
  <c r="W5217" i="5"/>
  <c r="W5218" i="5"/>
  <c r="W5219" i="5"/>
  <c r="W5220" i="5"/>
  <c r="W5221" i="5"/>
  <c r="W5222" i="5"/>
  <c r="W5223" i="5"/>
  <c r="W5224" i="5"/>
  <c r="W5225" i="5"/>
  <c r="W5226" i="5"/>
  <c r="W5227" i="5"/>
  <c r="W5236" i="5"/>
  <c r="W5237" i="5"/>
  <c r="W5238" i="5"/>
  <c r="W5239" i="5"/>
  <c r="W5240" i="5"/>
  <c r="W5242" i="5"/>
  <c r="W5243" i="5"/>
  <c r="W5244" i="5"/>
  <c r="W5245" i="5"/>
  <c r="W5246" i="5"/>
  <c r="W5247" i="5"/>
  <c r="W5248" i="5"/>
  <c r="W5249" i="5"/>
  <c r="W5250" i="5"/>
  <c r="W5251" i="5"/>
  <c r="W5252" i="5"/>
  <c r="W5253" i="5"/>
  <c r="W5254" i="5"/>
  <c r="W5255" i="5"/>
  <c r="W5256" i="5"/>
  <c r="W5257" i="5"/>
  <c r="W5258" i="5"/>
  <c r="W5259" i="5"/>
  <c r="W5260" i="5"/>
  <c r="W5261" i="5"/>
  <c r="W5263" i="5"/>
  <c r="W5265" i="5"/>
  <c r="W5279" i="5"/>
  <c r="W5280" i="5"/>
  <c r="W5281" i="5"/>
  <c r="W5282" i="5"/>
  <c r="W5283" i="5"/>
  <c r="W5284" i="5"/>
  <c r="W5285" i="5"/>
  <c r="W5286" i="5"/>
  <c r="W5287" i="5"/>
  <c r="W5289" i="5"/>
  <c r="W5290" i="5"/>
  <c r="W5291" i="5"/>
  <c r="W5292" i="5"/>
  <c r="W5293" i="5"/>
  <c r="W5295" i="5"/>
  <c r="W5296" i="5"/>
  <c r="W5297" i="5"/>
  <c r="W5298" i="5"/>
  <c r="W5299" i="5"/>
  <c r="W5300" i="5"/>
  <c r="W5301" i="5"/>
  <c r="W5302" i="5"/>
  <c r="W5303" i="5"/>
  <c r="W5304" i="5"/>
  <c r="W5305" i="5"/>
  <c r="W5306" i="5"/>
  <c r="W5307" i="5"/>
  <c r="W5308" i="5"/>
  <c r="W5309" i="5"/>
  <c r="W5310" i="5"/>
  <c r="W5311" i="5"/>
  <c r="W5312" i="5"/>
  <c r="W5313" i="5"/>
  <c r="W5315" i="5"/>
  <c r="W5316" i="5"/>
  <c r="W5317" i="5"/>
  <c r="W5318" i="5"/>
  <c r="W5319" i="5"/>
  <c r="W5320" i="5"/>
  <c r="W5321" i="5"/>
  <c r="W5322" i="5"/>
  <c r="W5323" i="5"/>
  <c r="W5324" i="5"/>
  <c r="W5325" i="5"/>
  <c r="W5326" i="5"/>
  <c r="W5327" i="5"/>
  <c r="W5328" i="5"/>
  <c r="W5334" i="5"/>
  <c r="W5335" i="5"/>
  <c r="W5336" i="5"/>
  <c r="W5345" i="5"/>
  <c r="W5346" i="5"/>
  <c r="W5347" i="5"/>
  <c r="W5348" i="5"/>
  <c r="W5349" i="5"/>
  <c r="W5350" i="5"/>
  <c r="W5351" i="5"/>
  <c r="W5352" i="5"/>
  <c r="W5353" i="5"/>
  <c r="W5354" i="5"/>
  <c r="W5355" i="5"/>
  <c r="W5356" i="5"/>
  <c r="W5357" i="5"/>
  <c r="W5358" i="5"/>
  <c r="W5359" i="5"/>
  <c r="W5363" i="5"/>
  <c r="W5364" i="5"/>
  <c r="W5367" i="5"/>
  <c r="W5382" i="5"/>
  <c r="W5383" i="5"/>
  <c r="W5384" i="5"/>
  <c r="W5385" i="5"/>
  <c r="W5386" i="5"/>
  <c r="W5387" i="5"/>
  <c r="W5388" i="5"/>
  <c r="W5390" i="5"/>
  <c r="W5391" i="5"/>
  <c r="W5392" i="5"/>
  <c r="W5393" i="5"/>
  <c r="W5394" i="5"/>
  <c r="W5395" i="5"/>
  <c r="W5396" i="5"/>
  <c r="W5397" i="5"/>
  <c r="W5398" i="5"/>
  <c r="W5399" i="5"/>
  <c r="W5400" i="5"/>
  <c r="W5401" i="5"/>
  <c r="W5402" i="5"/>
  <c r="W5403" i="5"/>
  <c r="W5411" i="5"/>
  <c r="W5412" i="5"/>
  <c r="W5415" i="5"/>
  <c r="W5416" i="5"/>
  <c r="W5417" i="5"/>
  <c r="W5419" i="5"/>
  <c r="W5421" i="5"/>
  <c r="W5422" i="5"/>
  <c r="W5423" i="5"/>
  <c r="W5425" i="5"/>
  <c r="W5426" i="5"/>
  <c r="W5427" i="5"/>
  <c r="W5428" i="5"/>
  <c r="W5429" i="5"/>
  <c r="W5430" i="5"/>
  <c r="W5431" i="5"/>
  <c r="W5433" i="5"/>
  <c r="W5434" i="5"/>
  <c r="W5435" i="5"/>
  <c r="W5436" i="5"/>
  <c r="W5437" i="5"/>
  <c r="W5438" i="5"/>
  <c r="W5439" i="5"/>
  <c r="W5440" i="5"/>
  <c r="W5441" i="5"/>
  <c r="W5443" i="5"/>
  <c r="W5446" i="5"/>
  <c r="W5447" i="5"/>
  <c r="W5448" i="5"/>
  <c r="W5450" i="5"/>
  <c r="W5451" i="5"/>
  <c r="W5452" i="5"/>
  <c r="W5460" i="5"/>
  <c r="W5461" i="5"/>
  <c r="W5462" i="5"/>
  <c r="W5464" i="5"/>
  <c r="W5466" i="5"/>
  <c r="W5467" i="5"/>
  <c r="W5468" i="5"/>
  <c r="W5469" i="5"/>
  <c r="W5470" i="5"/>
  <c r="W5471" i="5"/>
  <c r="W5472" i="5"/>
  <c r="W5473" i="5"/>
  <c r="W5475" i="5"/>
  <c r="W5476" i="5"/>
  <c r="W5478" i="5"/>
  <c r="W5479" i="5"/>
  <c r="W5480" i="5"/>
  <c r="W5481" i="5"/>
  <c r="W5482" i="5"/>
  <c r="W5483" i="5"/>
  <c r="W5484" i="5"/>
  <c r="W5485" i="5"/>
  <c r="W5486" i="5"/>
  <c r="W5487" i="5"/>
  <c r="W5488" i="5"/>
  <c r="W5489" i="5"/>
  <c r="W5490" i="5"/>
  <c r="W5491" i="5"/>
  <c r="W5492" i="5"/>
  <c r="W5493" i="5"/>
  <c r="W5494" i="5"/>
  <c r="W5495" i="5"/>
  <c r="W5496" i="5"/>
  <c r="W5497" i="5"/>
  <c r="W5499" i="5"/>
  <c r="W5500" i="5"/>
  <c r="W5501" i="5"/>
  <c r="W5502" i="5"/>
  <c r="W5503" i="5"/>
  <c r="W5504" i="5"/>
  <c r="W5505" i="5"/>
  <c r="W5506" i="5"/>
  <c r="W5507" i="5"/>
  <c r="W5508" i="5"/>
  <c r="W5509" i="5"/>
  <c r="W5510" i="5"/>
  <c r="W5511" i="5"/>
  <c r="W5512" i="5"/>
  <c r="W5514" i="5"/>
  <c r="W5515" i="5"/>
  <c r="W5516" i="5"/>
  <c r="W5517" i="5"/>
  <c r="W5518" i="5"/>
  <c r="W5519" i="5"/>
  <c r="W5520" i="5"/>
  <c r="W5521" i="5"/>
  <c r="W5522" i="5"/>
  <c r="W5523" i="5"/>
  <c r="W5524" i="5"/>
  <c r="W5525" i="5"/>
  <c r="W5526" i="5"/>
  <c r="W5527" i="5"/>
  <c r="W5528" i="5"/>
  <c r="W5529" i="5"/>
  <c r="W5531" i="5"/>
  <c r="W5532" i="5"/>
  <c r="W5533" i="5"/>
  <c r="W5534" i="5"/>
  <c r="W5535" i="5"/>
  <c r="W5536" i="5"/>
  <c r="W5537" i="5"/>
  <c r="W5538" i="5"/>
  <c r="W5539" i="5"/>
  <c r="W5540" i="5"/>
  <c r="W5541" i="5"/>
  <c r="W5542" i="5"/>
  <c r="W5543" i="5"/>
  <c r="W5545" i="5"/>
  <c r="W5546" i="5"/>
  <c r="W5547" i="5"/>
  <c r="W5548" i="5"/>
  <c r="W5550" i="5"/>
  <c r="W5551" i="5"/>
  <c r="W5552" i="5"/>
  <c r="W5553" i="5"/>
  <c r="W5554" i="5"/>
  <c r="W5555" i="5"/>
  <c r="W5556" i="5"/>
  <c r="W5557" i="5"/>
  <c r="W5578" i="5"/>
  <c r="W5579" i="5"/>
  <c r="W5580" i="5"/>
  <c r="W5581" i="5"/>
  <c r="W5582" i="5"/>
  <c r="W5583" i="5"/>
  <c r="W5584" i="5"/>
  <c r="W5585" i="5"/>
  <c r="W5586" i="5"/>
  <c r="W5587" i="5"/>
  <c r="W5588" i="5"/>
  <c r="W5589" i="5"/>
  <c r="W5590" i="5"/>
  <c r="W5595" i="5"/>
  <c r="W5601" i="5"/>
  <c r="W5603" i="5"/>
  <c r="W5606" i="5"/>
  <c r="W5607" i="5"/>
  <c r="W5608" i="5"/>
  <c r="W5609" i="5"/>
  <c r="W5610" i="5"/>
  <c r="W5611" i="5"/>
  <c r="W5612" i="5"/>
  <c r="W5613" i="5"/>
  <c r="W5615" i="5"/>
  <c r="W5616" i="5"/>
  <c r="W5617" i="5"/>
  <c r="W5618" i="5"/>
  <c r="W5619" i="5"/>
  <c r="W5620" i="5"/>
  <c r="W5621" i="5"/>
  <c r="W5622" i="5"/>
  <c r="W5623" i="5"/>
  <c r="W5624" i="5"/>
  <c r="W5625" i="5"/>
  <c r="W5626" i="5"/>
  <c r="W5627" i="5"/>
  <c r="W5628" i="5"/>
  <c r="W5629" i="5"/>
  <c r="W5630" i="5"/>
  <c r="W5631" i="5"/>
  <c r="W5632" i="5"/>
  <c r="W5633" i="5"/>
  <c r="W5634" i="5"/>
  <c r="W5635" i="5"/>
  <c r="W5636" i="5"/>
  <c r="W5637" i="5"/>
  <c r="W5638" i="5"/>
  <c r="W5639" i="5"/>
  <c r="W5642" i="5"/>
  <c r="W5643" i="5"/>
  <c r="W5644" i="5"/>
  <c r="W5645" i="5"/>
  <c r="W5647" i="5"/>
  <c r="W5648" i="5"/>
  <c r="W5649" i="5"/>
  <c r="W5650" i="5"/>
  <c r="W5651" i="5"/>
  <c r="W5652" i="5"/>
  <c r="W5653" i="5"/>
  <c r="W5654" i="5"/>
  <c r="W5655" i="5"/>
  <c r="W5656" i="5"/>
  <c r="W5657" i="5"/>
  <c r="W5658" i="5"/>
  <c r="W5659" i="5"/>
  <c r="W5661" i="5"/>
  <c r="W5662" i="5"/>
  <c r="W5663" i="5"/>
  <c r="W5664" i="5"/>
  <c r="W5665" i="5"/>
  <c r="W5666" i="5"/>
  <c r="W5667" i="5"/>
  <c r="W5668" i="5"/>
  <c r="W5669" i="5"/>
  <c r="W5670" i="5"/>
  <c r="W5671" i="5"/>
  <c r="W5673" i="5"/>
  <c r="W5674" i="5"/>
  <c r="W5675" i="5"/>
  <c r="W5676" i="5"/>
  <c r="W5677" i="5"/>
  <c r="W5678" i="5"/>
  <c r="W5679" i="5"/>
  <c r="W5682" i="5"/>
  <c r="W5683" i="5"/>
  <c r="W5684" i="5"/>
  <c r="W5685" i="5"/>
  <c r="W5686" i="5"/>
  <c r="W5687" i="5"/>
  <c r="W5688" i="5"/>
  <c r="W5690" i="5"/>
  <c r="W5691" i="5"/>
  <c r="W5692" i="5"/>
  <c r="W5693" i="5"/>
  <c r="W5694" i="5"/>
  <c r="W5695" i="5"/>
  <c r="W5696" i="5"/>
  <c r="W5697" i="5"/>
  <c r="W5698" i="5"/>
  <c r="W5699" i="5"/>
  <c r="W5700" i="5"/>
  <c r="W5701" i="5"/>
  <c r="W5702" i="5"/>
  <c r="W5703" i="5"/>
  <c r="W5704" i="5"/>
  <c r="W5705" i="5"/>
  <c r="W5706" i="5"/>
  <c r="W5707" i="5"/>
  <c r="W5708" i="5"/>
  <c r="W5709" i="5"/>
  <c r="W5710" i="5"/>
  <c r="W5711" i="5"/>
  <c r="W5712" i="5"/>
  <c r="W5713" i="5"/>
  <c r="W5714" i="5"/>
  <c r="W5715" i="5"/>
  <c r="W5716" i="5"/>
  <c r="W5717" i="5"/>
  <c r="W5718" i="5"/>
  <c r="W5719" i="5"/>
  <c r="W5720" i="5"/>
  <c r="W5721" i="5"/>
  <c r="W5723" i="5"/>
  <c r="W5724" i="5"/>
  <c r="W5725" i="5"/>
  <c r="W5726" i="5"/>
  <c r="W5727" i="5"/>
  <c r="W5728" i="5"/>
  <c r="W5729" i="5"/>
  <c r="W5730" i="5"/>
  <c r="W5731" i="5"/>
  <c r="W5732" i="5"/>
  <c r="W5733" i="5"/>
  <c r="W5734" i="5"/>
  <c r="W5735" i="5"/>
  <c r="W5736" i="5"/>
  <c r="W5737" i="5"/>
  <c r="W5738" i="5"/>
  <c r="W5739" i="5"/>
  <c r="W5740" i="5"/>
  <c r="W5741" i="5"/>
  <c r="W5742" i="5"/>
  <c r="W5743" i="5"/>
  <c r="W5744" i="5"/>
  <c r="W5745" i="5"/>
  <c r="W5746" i="5"/>
  <c r="W5747" i="5"/>
  <c r="W5748" i="5"/>
  <c r="W5749" i="5"/>
  <c r="W5750" i="5"/>
  <c r="W5751" i="5"/>
  <c r="W5752" i="5"/>
  <c r="W5753" i="5"/>
  <c r="W5754" i="5"/>
  <c r="W5755" i="5"/>
  <c r="W5765" i="5"/>
  <c r="W5766" i="5"/>
  <c r="W5778" i="5"/>
  <c r="W5779" i="5"/>
  <c r="W5780" i="5"/>
  <c r="W5781" i="5"/>
  <c r="W5782" i="5"/>
  <c r="W5783" i="5"/>
  <c r="W5784" i="5"/>
  <c r="W5785" i="5"/>
  <c r="W5786" i="5"/>
  <c r="W5787" i="5"/>
  <c r="W5788" i="5"/>
  <c r="W5789" i="5"/>
  <c r="W5790" i="5"/>
  <c r="W5791" i="5"/>
  <c r="W5792" i="5"/>
  <c r="W5793" i="5"/>
  <c r="W5794" i="5"/>
  <c r="W5795" i="5"/>
  <c r="W5799" i="5"/>
  <c r="W5800" i="5"/>
  <c r="W5801" i="5"/>
  <c r="W5803" i="5"/>
  <c r="W5804" i="5"/>
  <c r="W5809" i="5"/>
  <c r="W5810" i="5"/>
  <c r="W5811" i="5"/>
  <c r="W5812" i="5"/>
  <c r="W5813" i="5"/>
  <c r="W5814" i="5"/>
  <c r="W5815" i="5"/>
  <c r="W5816" i="5"/>
  <c r="W5817" i="5"/>
  <c r="W5818" i="5"/>
  <c r="W5819" i="5"/>
  <c r="W5820" i="5"/>
  <c r="W5821" i="5"/>
  <c r="W5822" i="5"/>
  <c r="W5823" i="5"/>
  <c r="W5824" i="5"/>
  <c r="W5825" i="5"/>
  <c r="W5826" i="5"/>
  <c r="W5827" i="5"/>
  <c r="W5828" i="5"/>
  <c r="W5829" i="5"/>
  <c r="W5830" i="5"/>
  <c r="W5831" i="5"/>
  <c r="W5832" i="5"/>
  <c r="W5833" i="5"/>
  <c r="W5834" i="5"/>
  <c r="W5835" i="5"/>
  <c r="W5836" i="5"/>
  <c r="W5837" i="5"/>
  <c r="W5838" i="5"/>
  <c r="W5839" i="5"/>
  <c r="W5871" i="5"/>
  <c r="W5872" i="5"/>
  <c r="W5873" i="5"/>
  <c r="W5874" i="5"/>
  <c r="W5875" i="5"/>
  <c r="W5876" i="5"/>
  <c r="W5877" i="5"/>
  <c r="W5878" i="5"/>
  <c r="W5879" i="5"/>
  <c r="W5880" i="5"/>
  <c r="W5881" i="5"/>
  <c r="W5882" i="5"/>
  <c r="W5883" i="5"/>
  <c r="W5884" i="5"/>
  <c r="W5885" i="5"/>
  <c r="W5886" i="5"/>
  <c r="W5887" i="5"/>
  <c r="W5888" i="5"/>
  <c r="W5890" i="5"/>
  <c r="W5891" i="5"/>
  <c r="W5892" i="5"/>
  <c r="W5913" i="5"/>
  <c r="W5914" i="5"/>
  <c r="W5915" i="5"/>
  <c r="W5916" i="5"/>
  <c r="W5917" i="5"/>
  <c r="W5918" i="5"/>
  <c r="W5919" i="5"/>
  <c r="W5920" i="5"/>
  <c r="W5921" i="5"/>
  <c r="W5922" i="5"/>
  <c r="W5923" i="5"/>
  <c r="W5925" i="5"/>
  <c r="W5926" i="5"/>
  <c r="W5927" i="5"/>
  <c r="W5928" i="5"/>
  <c r="W5930" i="5"/>
  <c r="W5931" i="5"/>
  <c r="W5932" i="5"/>
  <c r="W5933" i="5"/>
  <c r="W5934" i="5"/>
  <c r="W5935" i="5"/>
  <c r="W5936" i="5"/>
  <c r="W5937" i="5"/>
  <c r="W5938" i="5"/>
  <c r="W5939" i="5"/>
  <c r="W5940" i="5"/>
  <c r="W5941" i="5"/>
  <c r="W5942" i="5"/>
  <c r="W5943" i="5"/>
  <c r="W5944" i="5"/>
  <c r="W5946" i="5"/>
  <c r="W5947" i="5"/>
  <c r="W5948" i="5"/>
  <c r="W5949" i="5"/>
  <c r="W5950" i="5"/>
  <c r="W5951" i="5"/>
  <c r="W5952" i="5"/>
  <c r="W5953" i="5"/>
  <c r="W5954" i="5"/>
  <c r="W5955" i="5"/>
  <c r="W5956" i="5"/>
  <c r="W5957" i="5"/>
  <c r="W5958" i="5"/>
  <c r="W5959" i="5"/>
  <c r="W5960" i="5"/>
  <c r="W5961" i="5"/>
  <c r="W5962" i="5"/>
  <c r="W5963" i="5"/>
  <c r="W5964" i="5"/>
  <c r="W5965" i="5"/>
  <c r="W5966" i="5"/>
  <c r="W5967" i="5"/>
  <c r="W5968" i="5"/>
  <c r="W5969" i="5"/>
  <c r="W5970" i="5"/>
  <c r="W5971" i="5"/>
  <c r="W5972" i="5"/>
  <c r="W5973" i="5"/>
  <c r="W5974" i="5"/>
  <c r="W5975" i="5"/>
  <c r="W5977" i="5"/>
  <c r="W5978" i="5"/>
  <c r="W5979" i="5"/>
  <c r="W5980" i="5"/>
  <c r="W5981" i="5"/>
  <c r="W5982" i="5"/>
  <c r="W5983" i="5"/>
  <c r="W5984" i="5"/>
  <c r="W5985" i="5"/>
  <c r="W5986" i="5"/>
  <c r="W5987" i="5"/>
  <c r="W5988" i="5"/>
  <c r="W5989" i="5"/>
  <c r="W5994" i="5"/>
  <c r="W5995" i="5"/>
  <c r="W5996" i="5"/>
  <c r="W5997" i="5"/>
  <c r="W5998" i="5"/>
  <c r="W6003" i="5"/>
  <c r="W6004" i="5"/>
  <c r="W6007" i="5"/>
  <c r="W6008" i="5"/>
  <c r="W6009" i="5"/>
  <c r="W6010" i="5"/>
  <c r="W6011" i="5"/>
  <c r="W6012" i="5"/>
  <c r="W6013" i="5"/>
  <c r="W6014" i="5"/>
  <c r="W6015" i="5"/>
  <c r="W6016" i="5"/>
  <c r="W6017" i="5"/>
  <c r="W6018" i="5"/>
  <c r="W6019" i="5"/>
  <c r="W6020" i="5"/>
  <c r="W6021" i="5"/>
  <c r="W6022" i="5"/>
  <c r="W6023" i="5"/>
  <c r="W6025" i="5"/>
  <c r="W6033" i="5"/>
  <c r="W6034" i="5"/>
  <c r="W6035" i="5"/>
  <c r="W6036" i="5"/>
  <c r="W6037" i="5"/>
  <c r="W6038" i="5"/>
  <c r="W6039" i="5"/>
  <c r="W6040" i="5"/>
  <c r="W6041" i="5"/>
  <c r="W6042" i="5"/>
  <c r="W6043" i="5"/>
  <c r="W6044" i="5"/>
  <c r="W6045" i="5"/>
  <c r="W6046" i="5"/>
  <c r="W6047" i="5"/>
  <c r="W6048" i="5"/>
  <c r="W6049" i="5"/>
  <c r="W6050" i="5"/>
  <c r="W6051" i="5"/>
  <c r="W6052" i="5"/>
  <c r="W6053" i="5"/>
  <c r="W6054" i="5"/>
  <c r="W6055" i="5"/>
  <c r="W6068" i="5"/>
  <c r="W6069" i="5"/>
  <c r="W6070" i="5"/>
  <c r="W6071" i="5"/>
  <c r="W6073" i="5"/>
  <c r="W6074" i="5"/>
  <c r="W6075" i="5"/>
  <c r="W6076" i="5"/>
  <c r="W6077" i="5"/>
  <c r="W6078" i="5"/>
  <c r="W6092" i="5"/>
  <c r="W6093" i="5"/>
  <c r="W6094" i="5"/>
  <c r="W6095" i="5"/>
  <c r="W6098" i="5"/>
  <c r="W6099" i="5"/>
  <c r="W6100" i="5"/>
  <c r="W6101" i="5"/>
  <c r="W6102" i="5"/>
  <c r="W6103" i="5"/>
  <c r="W6105" i="5"/>
  <c r="W6106" i="5"/>
  <c r="W6108" i="5"/>
  <c r="W6109" i="5"/>
  <c r="W6110" i="5"/>
  <c r="W6111" i="5"/>
  <c r="W6114" i="5"/>
  <c r="W6116" i="5"/>
  <c r="W6117" i="5"/>
  <c r="W6118" i="5"/>
  <c r="W6119" i="5"/>
  <c r="W6121" i="5"/>
  <c r="W6122" i="5"/>
  <c r="W6123" i="5"/>
  <c r="W6124" i="5"/>
  <c r="W6126" i="5"/>
  <c r="W6127" i="5"/>
  <c r="W6129" i="5"/>
  <c r="W6130" i="5"/>
  <c r="W6131" i="5"/>
  <c r="W6132" i="5"/>
  <c r="W6133" i="5"/>
  <c r="W6134" i="5"/>
  <c r="W6135" i="5"/>
  <c r="W6137" i="5"/>
  <c r="W6138" i="5"/>
  <c r="W6139" i="5"/>
  <c r="W6140" i="5"/>
  <c r="W6141" i="5"/>
  <c r="W6142" i="5"/>
  <c r="W6145" i="5"/>
  <c r="W6146" i="5"/>
  <c r="W6147" i="5"/>
  <c r="W6149" i="5"/>
  <c r="W6150" i="5"/>
  <c r="W6153" i="5"/>
  <c r="W6154" i="5"/>
  <c r="W6155" i="5"/>
  <c r="W6156" i="5"/>
  <c r="W6157" i="5"/>
  <c r="W6158" i="5"/>
  <c r="W6159" i="5"/>
  <c r="W6161" i="5"/>
  <c r="W6162" i="5"/>
  <c r="W6163" i="5"/>
  <c r="W6164" i="5"/>
  <c r="W6165" i="5"/>
  <c r="W6166" i="5"/>
  <c r="W6167" i="5"/>
  <c r="W6169" i="5"/>
  <c r="W6170" i="5"/>
  <c r="W6171" i="5"/>
  <c r="W6172" i="5"/>
  <c r="W6173" i="5"/>
  <c r="W6174" i="5"/>
  <c r="W6177" i="5"/>
  <c r="W6178" i="5"/>
  <c r="W6179" i="5"/>
  <c r="W6181" i="5"/>
  <c r="W6182" i="5"/>
  <c r="W6183" i="5"/>
  <c r="W6185" i="5"/>
  <c r="W6186" i="5"/>
  <c r="W6187" i="5"/>
  <c r="W6189" i="5"/>
  <c r="W6190" i="5"/>
  <c r="W6191" i="5"/>
  <c r="W6193" i="5"/>
  <c r="W6194" i="5"/>
  <c r="W6196" i="5"/>
  <c r="W6197" i="5"/>
  <c r="W6198" i="5"/>
  <c r="W6199" i="5"/>
  <c r="W6201" i="5"/>
  <c r="W6202" i="5"/>
  <c r="W6203" i="5"/>
  <c r="W6204" i="5"/>
  <c r="W6205" i="5"/>
  <c r="W6206" i="5"/>
  <c r="W6207" i="5"/>
  <c r="W6209" i="5"/>
  <c r="W6210" i="5"/>
  <c r="W6211" i="5"/>
  <c r="W6212" i="5"/>
  <c r="W6213" i="5"/>
  <c r="W6214" i="5"/>
  <c r="W6215" i="5"/>
  <c r="W6217" i="5"/>
  <c r="W6218" i="5"/>
  <c r="W6219" i="5"/>
  <c r="W6220" i="5"/>
  <c r="W6221" i="5"/>
  <c r="W6222" i="5"/>
  <c r="W6225" i="5"/>
  <c r="W6226" i="5"/>
  <c r="W6227" i="5"/>
  <c r="W6228" i="5"/>
  <c r="W6229" i="5"/>
  <c r="W6230" i="5"/>
  <c r="W6231" i="5"/>
  <c r="W6233" i="5"/>
  <c r="W6234" i="5"/>
  <c r="W6235" i="5"/>
  <c r="W6236" i="5"/>
  <c r="W6237" i="5"/>
  <c r="W6238" i="5"/>
  <c r="W6239" i="5"/>
  <c r="W6241" i="5"/>
  <c r="W6242" i="5"/>
  <c r="W6243" i="5"/>
  <c r="W6244" i="5"/>
  <c r="W6245" i="5"/>
  <c r="W6246" i="5"/>
  <c r="W6247" i="5"/>
  <c r="W6249" i="5"/>
  <c r="W6250" i="5"/>
  <c r="W6251" i="5"/>
  <c r="W6252" i="5"/>
  <c r="W6254" i="5"/>
  <c r="W6255" i="5"/>
  <c r="W6257" i="5"/>
  <c r="W6258" i="5"/>
  <c r="W6259" i="5"/>
  <c r="W6260" i="5"/>
  <c r="W6261" i="5"/>
  <c r="W6262" i="5"/>
  <c r="W6263" i="5"/>
  <c r="W6265" i="5"/>
  <c r="W6509" i="5"/>
  <c r="W6510" i="5"/>
  <c r="W6512" i="5"/>
  <c r="W6516" i="5"/>
  <c r="W6517" i="5"/>
  <c r="W6518" i="5"/>
  <c r="W6519" i="5"/>
  <c r="W6520" i="5"/>
  <c r="W6522" i="5"/>
  <c r="W6523" i="5"/>
  <c r="W6524" i="5"/>
  <c r="W6525" i="5"/>
  <c r="W6533" i="5"/>
  <c r="W6534" i="5"/>
  <c r="W6537" i="5"/>
  <c r="W6538" i="5"/>
  <c r="W6539" i="5"/>
  <c r="W6540" i="5"/>
  <c r="W6541" i="5"/>
  <c r="W6542" i="5"/>
  <c r="W6543" i="5"/>
  <c r="W6546" i="5"/>
  <c r="W6547" i="5"/>
  <c r="W6548" i="5"/>
  <c r="W6549" i="5"/>
  <c r="W6550" i="5"/>
  <c r="W6551" i="5"/>
  <c r="W6553" i="5"/>
  <c r="W6554" i="5"/>
  <c r="W6555" i="5"/>
  <c r="W6556" i="5"/>
  <c r="W6557" i="5"/>
  <c r="W6558" i="5"/>
  <c r="W6559" i="5"/>
  <c r="W6561" i="5"/>
  <c r="W6562" i="5"/>
  <c r="W6563" i="5"/>
  <c r="W6564" i="5"/>
  <c r="W6977" i="5"/>
  <c r="W6980" i="5"/>
  <c r="W6983" i="5"/>
  <c r="W6986" i="5"/>
  <c r="W6988" i="5"/>
  <c r="W6994" i="5"/>
  <c r="W6997" i="5"/>
  <c r="W7003" i="5"/>
  <c r="W7006" i="5"/>
  <c r="W7010" i="5"/>
  <c r="W7013" i="5"/>
  <c r="W7018" i="5"/>
  <c r="W7026" i="5"/>
  <c r="W7029" i="5"/>
  <c r="W7035" i="5"/>
  <c r="W7038" i="5"/>
  <c r="W7041" i="5"/>
  <c r="W7044" i="5"/>
  <c r="W7051" i="5"/>
  <c r="W7053" i="5"/>
  <c r="W7059" i="5"/>
  <c r="W7062" i="5"/>
  <c r="W7068" i="5"/>
  <c r="W7074" i="5"/>
  <c r="W7077" i="5"/>
  <c r="W7083" i="5"/>
  <c r="W7086" i="5"/>
  <c r="W7089" i="5"/>
  <c r="W7092" i="5"/>
  <c r="W7095" i="5"/>
  <c r="W7098" i="5"/>
  <c r="W7101" i="5"/>
  <c r="W7107" i="5"/>
  <c r="W7110" i="5"/>
  <c r="W7113" i="5"/>
  <c r="W7116" i="5"/>
  <c r="W7119" i="5"/>
  <c r="W7122" i="5"/>
  <c r="W7125" i="5"/>
  <c r="W7130" i="5"/>
  <c r="W7133" i="5"/>
  <c r="W7139" i="5"/>
  <c r="W7141" i="5"/>
  <c r="W7143" i="5"/>
  <c r="W7145" i="5"/>
  <c r="W7148" i="5"/>
  <c r="W7151" i="5"/>
  <c r="W7154" i="5"/>
  <c r="W7157" i="5"/>
  <c r="W7164" i="5"/>
  <c r="W7167" i="5"/>
  <c r="W7169" i="5"/>
  <c r="W7175" i="5"/>
  <c r="W7178" i="5"/>
  <c r="W7181" i="5"/>
  <c r="W7187" i="5"/>
  <c r="W7188" i="5"/>
  <c r="W7191" i="5"/>
  <c r="W7195" i="5"/>
  <c r="W7198" i="5"/>
  <c r="W7201" i="5"/>
  <c r="W7207" i="5"/>
  <c r="W7210" i="5"/>
  <c r="W7213" i="5"/>
  <c r="W7218" i="5"/>
  <c r="W7221" i="5"/>
  <c r="W7227" i="5"/>
  <c r="W7230" i="5"/>
  <c r="W7233" i="5"/>
  <c r="W7236" i="5"/>
  <c r="W7239" i="5"/>
  <c r="W7242" i="5"/>
  <c r="W7245" i="5"/>
  <c r="W7251" i="5"/>
  <c r="W7254" i="5"/>
  <c r="W7257" i="5"/>
  <c r="W7260" i="5"/>
  <c r="W7261" i="5"/>
  <c r="W7265" i="5"/>
  <c r="W7271" i="5"/>
  <c r="W7274" i="5"/>
  <c r="W7277" i="5"/>
  <c r="W7279" i="5"/>
  <c r="W7282" i="5"/>
  <c r="W7284" i="5"/>
  <c r="W7287" i="5"/>
  <c r="W7290" i="5"/>
  <c r="W7293" i="5"/>
  <c r="W7299" i="5"/>
  <c r="W7301" i="5"/>
  <c r="W7307" i="5"/>
  <c r="W7310" i="5"/>
  <c r="W7313" i="5"/>
  <c r="W7316" i="5"/>
  <c r="W7319" i="5"/>
  <c r="W7322" i="5"/>
  <c r="W7325" i="5"/>
  <c r="W7331" i="5"/>
  <c r="W7334" i="5"/>
  <c r="W7340" i="5"/>
  <c r="W7343" i="5"/>
  <c r="W7346" i="5"/>
  <c r="W7349" i="5"/>
  <c r="W7354" i="5"/>
  <c r="W7357" i="5"/>
  <c r="W7365" i="5"/>
  <c r="W7371" i="5"/>
  <c r="W7374" i="5"/>
  <c r="W7379" i="5"/>
  <c r="W7382" i="5"/>
  <c r="W7388" i="5"/>
  <c r="W7391" i="5"/>
  <c r="W7394" i="5"/>
  <c r="W7398" i="5"/>
  <c r="W7402" i="5"/>
  <c r="W7405" i="5"/>
  <c r="W7411" i="5"/>
  <c r="W7415" i="5"/>
  <c r="W7418" i="5"/>
  <c r="W7421" i="5"/>
  <c r="W7426" i="5"/>
  <c r="W7429" i="5"/>
  <c r="W7434" i="5"/>
  <c r="W7437" i="5"/>
  <c r="W7440" i="5"/>
  <c r="W7444" i="5"/>
  <c r="W7452" i="5"/>
  <c r="W7457" i="5"/>
  <c r="W7460" i="5"/>
  <c r="W7466" i="5"/>
  <c r="W7468" i="5"/>
  <c r="W7470" i="5"/>
  <c r="W7474" i="5"/>
  <c r="W7477" i="5"/>
  <c r="W7478" i="5"/>
  <c r="W7481" i="5"/>
  <c r="W7484" i="5"/>
  <c r="W7487" i="5"/>
  <c r="W7490" i="5"/>
  <c r="W7502" i="5"/>
  <c r="W7505" i="5"/>
  <c r="W7508" i="5"/>
  <c r="W7511" i="5"/>
  <c r="W7514" i="5"/>
  <c r="W7520" i="5"/>
  <c r="W7523" i="5"/>
  <c r="W7528" i="5"/>
  <c r="W7531" i="5"/>
  <c r="W7534" i="5"/>
  <c r="W7537" i="5"/>
  <c r="W7540" i="5"/>
  <c r="W7543" i="5"/>
  <c r="W7546" i="5"/>
  <c r="W7548" i="5"/>
  <c r="W7563" i="5"/>
  <c r="W7566" i="5"/>
  <c r="W7569" i="5"/>
  <c r="W7572" i="5"/>
  <c r="W7574" i="5"/>
  <c r="W7578" i="5"/>
  <c r="W7583" i="5"/>
  <c r="W7585" i="5"/>
  <c r="W7588" i="5"/>
  <c r="W7592" i="5"/>
  <c r="W7596" i="5"/>
  <c r="W7598" i="5"/>
  <c r="W7602" i="5"/>
  <c r="W7607" i="5"/>
  <c r="W7622" i="5"/>
  <c r="W7626" i="5"/>
  <c r="W7630" i="5"/>
  <c r="W7634" i="5"/>
  <c r="W7637" i="5"/>
  <c r="W7640" i="5"/>
  <c r="W7643" i="5"/>
  <c r="W7646" i="5"/>
  <c r="W7649" i="5"/>
  <c r="W7652" i="5"/>
  <c r="W7655" i="5"/>
  <c r="W7658" i="5"/>
  <c r="W7661" i="5"/>
  <c r="W7665" i="5"/>
  <c r="W7671" i="5"/>
  <c r="W7674" i="5"/>
  <c r="W7676" i="5"/>
  <c r="W7679" i="5"/>
  <c r="W7682" i="5"/>
  <c r="W7685" i="5"/>
  <c r="W7688" i="5"/>
  <c r="W7691" i="5"/>
  <c r="W7708" i="5"/>
  <c r="W7711" i="5"/>
  <c r="W7713" i="5"/>
  <c r="W7716" i="5"/>
  <c r="W7722" i="5"/>
  <c r="W7728" i="5"/>
  <c r="W7731" i="5"/>
  <c r="W7734" i="5"/>
  <c r="W7736" i="5"/>
  <c r="W7739" i="5"/>
  <c r="W6979" i="5"/>
  <c r="W6982" i="5"/>
  <c r="W6985" i="5"/>
  <c r="W6989" i="5"/>
  <c r="W6995" i="5"/>
  <c r="W6998" i="5"/>
  <c r="W7001" i="5"/>
  <c r="W7004" i="5"/>
  <c r="W7007" i="5"/>
  <c r="W7009" i="5"/>
  <c r="W7012" i="5"/>
  <c r="W7019" i="5"/>
  <c r="W7022" i="5"/>
  <c r="W7025" i="5"/>
  <c r="W7028" i="5"/>
  <c r="W7031" i="5"/>
  <c r="W7034" i="5"/>
  <c r="W7036" i="5"/>
  <c r="W7039" i="5"/>
  <c r="W7042" i="5"/>
  <c r="W7045" i="5"/>
  <c r="W7050" i="5"/>
  <c r="W7054" i="5"/>
  <c r="W7057" i="5"/>
  <c r="W7060" i="5"/>
  <c r="W7063" i="5"/>
  <c r="W7066" i="5"/>
  <c r="W7069" i="5"/>
  <c r="W7075" i="5"/>
  <c r="W7078" i="5"/>
  <c r="W7082" i="5"/>
  <c r="W7085" i="5"/>
  <c r="W7091" i="5"/>
  <c r="W7094" i="5"/>
  <c r="W7097" i="5"/>
  <c r="W7100" i="5"/>
  <c r="W7106" i="5"/>
  <c r="W7109" i="5"/>
  <c r="W7114" i="5"/>
  <c r="W7117" i="5"/>
  <c r="W7123" i="5"/>
  <c r="W7126" i="5"/>
  <c r="W7129" i="5"/>
  <c r="W7132" i="5"/>
  <c r="W7135" i="5"/>
  <c r="W7138" i="5"/>
  <c r="W7140" i="5"/>
  <c r="W7142" i="5"/>
  <c r="W7147" i="5"/>
  <c r="W7149" i="5"/>
  <c r="W7155" i="5"/>
  <c r="W7158" i="5"/>
  <c r="W7163" i="5"/>
  <c r="W7165" i="5"/>
  <c r="W7171" i="5"/>
  <c r="W7174" i="5"/>
  <c r="W7180" i="5"/>
  <c r="W7183" i="5"/>
  <c r="W7186" i="5"/>
  <c r="W7189" i="5"/>
  <c r="W7194" i="5"/>
  <c r="W7197" i="5"/>
  <c r="W7203" i="5"/>
  <c r="W7206" i="5"/>
  <c r="W7212" i="5"/>
  <c r="W7215" i="5"/>
  <c r="W7217" i="5"/>
  <c r="W7220" i="5"/>
  <c r="W7223" i="5"/>
  <c r="W7226" i="5"/>
  <c r="W7229" i="5"/>
  <c r="W7235" i="5"/>
  <c r="W7238" i="5"/>
  <c r="W7241" i="5"/>
  <c r="W7244" i="5"/>
  <c r="W7247" i="5"/>
  <c r="W7250" i="5"/>
  <c r="W7253" i="5"/>
  <c r="W7259" i="5"/>
  <c r="W7262" i="5"/>
  <c r="W7267" i="5"/>
  <c r="W7270" i="5"/>
  <c r="W7273" i="5"/>
  <c r="W7276" i="5"/>
  <c r="W7286" i="5"/>
  <c r="W7289" i="5"/>
  <c r="W7292" i="5"/>
  <c r="W7294" i="5"/>
  <c r="W7297" i="5"/>
  <c r="W7303" i="5"/>
  <c r="W7306" i="5"/>
  <c r="W7309" i="5"/>
  <c r="W7315" i="5"/>
  <c r="W7318" i="5"/>
  <c r="W7330" i="5"/>
  <c r="W7332" i="5"/>
  <c r="W7335" i="5"/>
  <c r="W7339" i="5"/>
  <c r="W7341" i="5"/>
  <c r="W7347" i="5"/>
  <c r="W7350" i="5"/>
  <c r="W7353" i="5"/>
  <c r="W7356" i="5"/>
  <c r="W7359" i="5"/>
  <c r="W7362" i="5"/>
  <c r="W7366" i="5"/>
  <c r="W7369" i="5"/>
  <c r="W7372" i="5"/>
  <c r="W7375" i="5"/>
  <c r="W7378" i="5"/>
  <c r="W7380" i="5"/>
  <c r="W7386" i="5"/>
  <c r="W7389" i="5"/>
  <c r="W7395" i="5"/>
  <c r="W7397" i="5"/>
  <c r="W7403" i="5"/>
  <c r="W7406" i="5"/>
  <c r="W7412" i="5"/>
  <c r="W7414" i="5"/>
  <c r="W7417" i="5"/>
  <c r="W7420" i="5"/>
  <c r="W7423" i="5"/>
  <c r="W7427" i="5"/>
  <c r="W7430" i="5"/>
  <c r="W7433" i="5"/>
  <c r="W7435" i="5"/>
  <c r="W7438" i="5"/>
  <c r="W7443" i="5"/>
  <c r="W7446" i="5"/>
  <c r="W7450" i="5"/>
  <c r="W7453" i="5"/>
  <c r="W7456" i="5"/>
  <c r="W7459" i="5"/>
  <c r="W7464" i="5"/>
  <c r="W7467" i="5"/>
  <c r="W7471" i="5"/>
  <c r="W7473" i="5"/>
  <c r="W7476" i="5"/>
  <c r="W7479" i="5"/>
  <c r="W7482" i="5"/>
  <c r="W7485" i="5"/>
  <c r="W7488" i="5"/>
  <c r="W7491" i="5"/>
  <c r="W7494" i="5"/>
  <c r="W7507" i="5"/>
  <c r="W7510" i="5"/>
  <c r="W7513" i="5"/>
  <c r="W7516" i="5"/>
  <c r="W7521" i="5"/>
  <c r="W7524" i="5"/>
  <c r="W7527" i="5"/>
  <c r="W7530" i="5"/>
  <c r="W7533" i="5"/>
  <c r="W7536" i="5"/>
  <c r="W7539" i="5"/>
  <c r="W7542" i="5"/>
  <c r="W7545" i="5"/>
  <c r="W7562" i="5"/>
  <c r="W7565" i="5"/>
  <c r="W7568" i="5"/>
  <c r="W7571" i="5"/>
  <c r="W7580" i="5"/>
  <c r="W7584" i="5"/>
  <c r="W7587" i="5"/>
  <c r="W7594" i="5"/>
  <c r="W7600" i="5"/>
  <c r="W7603" i="5"/>
  <c r="W7606" i="5"/>
  <c r="W7620" i="5"/>
  <c r="W7625" i="5"/>
  <c r="W7628" i="5"/>
  <c r="W7636" i="5"/>
  <c r="W7642" i="5"/>
  <c r="W7645" i="5"/>
  <c r="W7648" i="5"/>
  <c r="W7651" i="5"/>
  <c r="W7654" i="5"/>
  <c r="W7660" i="5"/>
  <c r="W7667" i="5"/>
  <c r="W7670" i="5"/>
  <c r="W7675" i="5"/>
  <c r="W7681" i="5"/>
  <c r="W7684" i="5"/>
  <c r="W7687" i="5"/>
  <c r="W7693" i="5"/>
  <c r="W7707" i="5"/>
  <c r="W7712" i="5"/>
  <c r="W7715" i="5"/>
  <c r="W7718" i="5"/>
  <c r="W7720" i="5"/>
  <c r="W7723" i="5"/>
  <c r="W7726" i="5"/>
  <c r="W7732" i="5"/>
  <c r="W7735" i="5"/>
  <c r="W7737" i="5"/>
  <c r="W6449" i="5"/>
  <c r="W6450" i="5"/>
  <c r="W6452" i="5"/>
  <c r="W6454" i="5"/>
  <c r="W6455" i="5"/>
  <c r="W6456" i="5"/>
  <c r="W6457" i="5"/>
  <c r="W6458" i="5"/>
  <c r="W6459" i="5"/>
  <c r="W6460" i="5"/>
  <c r="W6461" i="5"/>
  <c r="W6463" i="5"/>
  <c r="W6464" i="5"/>
  <c r="W6465" i="5"/>
  <c r="W6469" i="5"/>
  <c r="W6470" i="5"/>
  <c r="W6473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6" i="5"/>
  <c r="W4707" i="5"/>
  <c r="W4708" i="5"/>
  <c r="W4709" i="5"/>
  <c r="W4710" i="5"/>
  <c r="W4711" i="5"/>
  <c r="W4712" i="5"/>
  <c r="W4713" i="5"/>
  <c r="W4714" i="5"/>
  <c r="W4715" i="5"/>
  <c r="W4717" i="5"/>
  <c r="W4718" i="5"/>
  <c r="W4719" i="5"/>
  <c r="W4720" i="5"/>
  <c r="W4722" i="5"/>
  <c r="W4723" i="5"/>
  <c r="W4724" i="5"/>
  <c r="W4725" i="5"/>
  <c r="W4726" i="5"/>
  <c r="W4727" i="5"/>
  <c r="W4728" i="5"/>
  <c r="W4730" i="5"/>
  <c r="W4731" i="5"/>
  <c r="W4732" i="5"/>
  <c r="W4733" i="5"/>
  <c r="W4734" i="5"/>
  <c r="W4735" i="5"/>
  <c r="W4745" i="5"/>
  <c r="W4747" i="5"/>
  <c r="W4748" i="5"/>
  <c r="W4749" i="5"/>
  <c r="W4750" i="5"/>
  <c r="W4751" i="5"/>
  <c r="W4753" i="5"/>
  <c r="W4754" i="5"/>
  <c r="W4755" i="5"/>
  <c r="W4756" i="5"/>
  <c r="W4757" i="5"/>
  <c r="W4758" i="5"/>
  <c r="W4759" i="5"/>
  <c r="W4760" i="5"/>
  <c r="W4762" i="5"/>
  <c r="W4765" i="5"/>
  <c r="W4766" i="5"/>
  <c r="W4767" i="5"/>
  <c r="W4768" i="5"/>
  <c r="W4769" i="5"/>
  <c r="W4770" i="5"/>
  <c r="W4771" i="5"/>
  <c r="W4773" i="5"/>
  <c r="W4774" i="5"/>
  <c r="W4776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817" i="5"/>
  <c r="W4819" i="5"/>
  <c r="W4820" i="5"/>
  <c r="W4821" i="5"/>
  <c r="W4822" i="5"/>
  <c r="W4823" i="5"/>
  <c r="W4824" i="5"/>
  <c r="W4825" i="5"/>
  <c r="W4826" i="5"/>
  <c r="W4828" i="5"/>
  <c r="W4829" i="5"/>
  <c r="W4830" i="5"/>
  <c r="W4831" i="5"/>
  <c r="W4832" i="5"/>
  <c r="W4833" i="5"/>
  <c r="W4834" i="5"/>
  <c r="W4835" i="5"/>
  <c r="W4836" i="5"/>
  <c r="W4837" i="5"/>
  <c r="W4842" i="5"/>
  <c r="W4843" i="5"/>
  <c r="W4844" i="5"/>
  <c r="W4845" i="5"/>
  <c r="W4846" i="5"/>
  <c r="W4847" i="5"/>
  <c r="W4848" i="5"/>
  <c r="W4849" i="5"/>
  <c r="W4850" i="5"/>
  <c r="W4851" i="5"/>
  <c r="W4852" i="5"/>
  <c r="W4853" i="5"/>
  <c r="W4854" i="5"/>
  <c r="W4855" i="5"/>
  <c r="W4856" i="5"/>
  <c r="W4857" i="5"/>
  <c r="W4858" i="5"/>
  <c r="W4859" i="5"/>
  <c r="W4860" i="5"/>
  <c r="W4894" i="5"/>
  <c r="W4895" i="5"/>
  <c r="W4896" i="5"/>
  <c r="W4897" i="5"/>
  <c r="W4898" i="5"/>
  <c r="W4899" i="5"/>
  <c r="W4900" i="5"/>
  <c r="W4901" i="5"/>
  <c r="W4902" i="5"/>
  <c r="W4903" i="5"/>
  <c r="W4904" i="5"/>
  <c r="W4905" i="5"/>
  <c r="W4906" i="5"/>
  <c r="W4907" i="5"/>
  <c r="W4908" i="5"/>
  <c r="W4909" i="5"/>
  <c r="W4910" i="5"/>
  <c r="W4911" i="5"/>
  <c r="W4912" i="5"/>
  <c r="W4913" i="5"/>
  <c r="W4914" i="5"/>
  <c r="W4915" i="5"/>
  <c r="W4916" i="5"/>
  <c r="W4917" i="5"/>
  <c r="W4921" i="5"/>
  <c r="W4922" i="5"/>
  <c r="W4923" i="5"/>
  <c r="W4924" i="5"/>
  <c r="W4928" i="5"/>
  <c r="W4929" i="5"/>
  <c r="W4930" i="5"/>
  <c r="W4931" i="5"/>
  <c r="W4932" i="5"/>
  <c r="W4933" i="5"/>
  <c r="W4934" i="5"/>
  <c r="W4935" i="5"/>
  <c r="W4936" i="5"/>
  <c r="W4938" i="5"/>
  <c r="W4939" i="5"/>
  <c r="W4940" i="5"/>
  <c r="W4945" i="5"/>
  <c r="W4947" i="5"/>
  <c r="W4948" i="5"/>
  <c r="W4954" i="5"/>
  <c r="W4955" i="5"/>
  <c r="W4956" i="5"/>
  <c r="W4957" i="5"/>
  <c r="W4965" i="5"/>
  <c r="W4966" i="5"/>
  <c r="W4967" i="5"/>
  <c r="W4968" i="5"/>
  <c r="W4969" i="5"/>
  <c r="W4970" i="5"/>
  <c r="W4971" i="5"/>
  <c r="W4972" i="5"/>
  <c r="W4973" i="5"/>
  <c r="W4974" i="5"/>
  <c r="W4975" i="5"/>
  <c r="W4976" i="5"/>
  <c r="W4977" i="5"/>
  <c r="W4978" i="5"/>
  <c r="W4979" i="5"/>
  <c r="W4980" i="5"/>
  <c r="W4981" i="5"/>
  <c r="W4982" i="5"/>
  <c r="W4983" i="5"/>
  <c r="W4984" i="5"/>
  <c r="W4985" i="5"/>
  <c r="W4986" i="5"/>
  <c r="W4987" i="5"/>
  <c r="W4989" i="5"/>
  <c r="W5031" i="5"/>
  <c r="W5032" i="5"/>
  <c r="W5033" i="5"/>
  <c r="W5034" i="5"/>
  <c r="W5035" i="5"/>
  <c r="W5042" i="5"/>
  <c r="W5043" i="5"/>
  <c r="W5044" i="5"/>
  <c r="W5045" i="5"/>
  <c r="W5046" i="5"/>
  <c r="W5047" i="5"/>
  <c r="W5048" i="5"/>
  <c r="W5049" i="5"/>
  <c r="W5050" i="5"/>
  <c r="W5052" i="5"/>
  <c r="W5053" i="5"/>
  <c r="W5054" i="5"/>
  <c r="W5055" i="5"/>
  <c r="W5056" i="5"/>
  <c r="W5057" i="5"/>
  <c r="W5059" i="5"/>
  <c r="W5060" i="5"/>
  <c r="W5061" i="5"/>
  <c r="W5062" i="5"/>
  <c r="W5063" i="5"/>
  <c r="W5064" i="5"/>
  <c r="W5065" i="5"/>
  <c r="W5096" i="5"/>
  <c r="W5097" i="5"/>
  <c r="W5098" i="5"/>
  <c r="W5099" i="5"/>
  <c r="W5100" i="5"/>
  <c r="W5101" i="5"/>
  <c r="W5102" i="5"/>
  <c r="W5103" i="5"/>
  <c r="W5104" i="5"/>
  <c r="W5105" i="5"/>
  <c r="W5106" i="5"/>
  <c r="W5107" i="5"/>
  <c r="W5108" i="5"/>
  <c r="W5109" i="5"/>
  <c r="W5110" i="5"/>
  <c r="W5111" i="5"/>
  <c r="W5112" i="5"/>
  <c r="W5113" i="5"/>
  <c r="W5114" i="5"/>
  <c r="W5115" i="5"/>
  <c r="W5125" i="5"/>
  <c r="W5127" i="5"/>
  <c r="W5128" i="5"/>
  <c r="W5129" i="5"/>
  <c r="W5130" i="5"/>
  <c r="W5131" i="5"/>
  <c r="W5132" i="5"/>
  <c r="W5133" i="5"/>
  <c r="W5134" i="5"/>
  <c r="W5135" i="5"/>
  <c r="W5136" i="5"/>
  <c r="W5137" i="5"/>
  <c r="W5138" i="5"/>
  <c r="W5139" i="5"/>
  <c r="W5140" i="5"/>
  <c r="W5141" i="5"/>
  <c r="W5143" i="5"/>
  <c r="W5144" i="5"/>
  <c r="W5145" i="5"/>
  <c r="W5146" i="5"/>
  <c r="W5147" i="5"/>
  <c r="W5148" i="5"/>
  <c r="W5149" i="5"/>
  <c r="W5150" i="5"/>
  <c r="W5151" i="5"/>
  <c r="W5152" i="5"/>
  <c r="W5153" i="5"/>
  <c r="W5154" i="5"/>
  <c r="W5155" i="5"/>
  <c r="W5159" i="5"/>
  <c r="W5160" i="5"/>
  <c r="W5161" i="5"/>
  <c r="W5162" i="5"/>
  <c r="W5163" i="5"/>
  <c r="W5164" i="5"/>
  <c r="W5165" i="5"/>
  <c r="W5166" i="5"/>
  <c r="W5167" i="5"/>
  <c r="W5168" i="5"/>
  <c r="W5169" i="5"/>
  <c r="W5170" i="5"/>
  <c r="W5171" i="5"/>
  <c r="W5172" i="5"/>
  <c r="W5173" i="5"/>
  <c r="W5175" i="5"/>
  <c r="W5176" i="5"/>
  <c r="W5177" i="5"/>
  <c r="W5178" i="5"/>
  <c r="W5179" i="5"/>
  <c r="W5180" i="5"/>
  <c r="W5181" i="5"/>
  <c r="W5182" i="5"/>
  <c r="W5183" i="5"/>
  <c r="W5184" i="5"/>
  <c r="W5185" i="5"/>
  <c r="W7741" i="5"/>
  <c r="W7743" i="5"/>
  <c r="W7744" i="5"/>
  <c r="W7745" i="5"/>
  <c r="W7746" i="5"/>
  <c r="W7747" i="5"/>
  <c r="W7748" i="5"/>
  <c r="W7749" i="5"/>
  <c r="W7750" i="5"/>
  <c r="W7751" i="5"/>
  <c r="W7753" i="5"/>
  <c r="W7754" i="5"/>
  <c r="W7755" i="5"/>
  <c r="W7757" i="5"/>
  <c r="W7759" i="5"/>
  <c r="W7760" i="5"/>
  <c r="W7761" i="5"/>
  <c r="W7762" i="5"/>
  <c r="W7763" i="5"/>
  <c r="W7765" i="5"/>
  <c r="W7766" i="5"/>
  <c r="W7767" i="5"/>
  <c r="W7768" i="5"/>
  <c r="W7769" i="5"/>
  <c r="W7770" i="5"/>
  <c r="W7771" i="5"/>
  <c r="W7773" i="5"/>
  <c r="W7774" i="5"/>
  <c r="W7775" i="5"/>
  <c r="W7776" i="5"/>
  <c r="W7778" i="5"/>
  <c r="W7779" i="5"/>
  <c r="W7781" i="5"/>
  <c r="W7783" i="5"/>
  <c r="W7784" i="5"/>
  <c r="W7785" i="5"/>
  <c r="W7786" i="5"/>
  <c r="W7787" i="5"/>
  <c r="W7788" i="5"/>
  <c r="W7791" i="5"/>
  <c r="W7792" i="5"/>
  <c r="W7793" i="5"/>
  <c r="W7794" i="5"/>
  <c r="W7795" i="5"/>
  <c r="W7796" i="5"/>
  <c r="W7797" i="5"/>
  <c r="W7798" i="5"/>
  <c r="W7799" i="5"/>
  <c r="W7800" i="5"/>
  <c r="W7801" i="5"/>
  <c r="W7802" i="5"/>
  <c r="W394" i="5"/>
  <c r="W402" i="5"/>
  <c r="W410" i="5"/>
  <c r="W419" i="5"/>
  <c r="W427" i="5"/>
  <c r="W455" i="5"/>
  <c r="W463" i="5"/>
  <c r="W471" i="5"/>
  <c r="W479" i="5"/>
  <c r="W487" i="5"/>
  <c r="W495" i="5"/>
  <c r="W512" i="5"/>
  <c r="W520" i="5"/>
  <c r="W528" i="5"/>
  <c r="W536" i="5"/>
  <c r="W544" i="5"/>
  <c r="W553" i="5"/>
  <c r="W575" i="5"/>
  <c r="W589" i="5"/>
  <c r="W597" i="5"/>
  <c r="W619" i="5"/>
  <c r="W627" i="5"/>
  <c r="W635" i="5"/>
  <c r="W643" i="5"/>
  <c r="W651" i="5"/>
  <c r="W659" i="5"/>
  <c r="W667" i="5"/>
  <c r="W698" i="5"/>
  <c r="W706" i="5"/>
  <c r="W714" i="5"/>
  <c r="W722" i="5"/>
  <c r="W730" i="5"/>
  <c r="W738" i="5"/>
  <c r="W751" i="5"/>
  <c r="W759" i="5"/>
  <c r="W767" i="5"/>
  <c r="W775" i="5"/>
  <c r="W783" i="5"/>
  <c r="W792" i="5"/>
  <c r="W803" i="5"/>
  <c r="W808" i="5"/>
  <c r="W811" i="5"/>
  <c r="W819" i="5"/>
  <c r="W827" i="5"/>
  <c r="W835" i="5"/>
  <c r="W843" i="5"/>
  <c r="W880" i="5"/>
  <c r="W883" i="5"/>
  <c r="W891" i="5"/>
  <c r="W899" i="5"/>
  <c r="W907" i="5"/>
  <c r="W915" i="5"/>
  <c r="W923" i="5"/>
  <c r="W931" i="5"/>
  <c r="W952" i="5"/>
  <c r="W960" i="5"/>
  <c r="W968" i="5"/>
  <c r="W976" i="5"/>
  <c r="W990" i="5"/>
  <c r="W998" i="5"/>
  <c r="W1015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4" i="5"/>
  <c r="W1225" i="5"/>
  <c r="W1226" i="5"/>
  <c r="W1227" i="5"/>
  <c r="W1228" i="5"/>
  <c r="W1229" i="5"/>
  <c r="W1230" i="5"/>
  <c r="W1231" i="5"/>
  <c r="W1232" i="5"/>
  <c r="W1234" i="5"/>
  <c r="W1235" i="5"/>
  <c r="W1236" i="5"/>
  <c r="W1237" i="5"/>
  <c r="W1238" i="5"/>
  <c r="W1239" i="5"/>
  <c r="W1240" i="5"/>
  <c r="W1241" i="5"/>
  <c r="W1242" i="5"/>
  <c r="W1244" i="5"/>
  <c r="W1245" i="5"/>
  <c r="W1246" i="5"/>
  <c r="W1247" i="5"/>
  <c r="W1248" i="5"/>
  <c r="W1249" i="5"/>
  <c r="W1250" i="5"/>
  <c r="W1251" i="5"/>
  <c r="W1253" i="5"/>
  <c r="W1254" i="5"/>
  <c r="W1255" i="5"/>
  <c r="W1256" i="5"/>
  <c r="W1257" i="5"/>
  <c r="W1259" i="5"/>
  <c r="W1260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30" i="5"/>
  <c r="W1331" i="5"/>
  <c r="W1332" i="5"/>
  <c r="W1334" i="5"/>
  <c r="W1336" i="5"/>
  <c r="W1337" i="5"/>
  <c r="W1338" i="5"/>
  <c r="W1339" i="5"/>
  <c r="W1340" i="5"/>
  <c r="W1341" i="5"/>
  <c r="W1342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6" i="5"/>
  <c r="W1367" i="5"/>
  <c r="W1368" i="5"/>
  <c r="W1369" i="5"/>
  <c r="W1370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22" i="5"/>
  <c r="W1423" i="5"/>
  <c r="W1424" i="5"/>
  <c r="W1425" i="5"/>
  <c r="W1426" i="5"/>
  <c r="W1427" i="5"/>
  <c r="W1428" i="5"/>
  <c r="W1429" i="5"/>
  <c r="W1430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5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7" i="5"/>
  <c r="W1608" i="5"/>
  <c r="W1609" i="5"/>
  <c r="W1610" i="5"/>
  <c r="W1611" i="5"/>
  <c r="W1612" i="5"/>
  <c r="W1614" i="5"/>
  <c r="W1615" i="5"/>
  <c r="W1616" i="5"/>
  <c r="W1617" i="5"/>
  <c r="W1618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2" i="5"/>
  <c r="W1653" i="5"/>
  <c r="W1654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30" i="5"/>
  <c r="W1831" i="5"/>
  <c r="W1832" i="5"/>
  <c r="W1833" i="5"/>
  <c r="W1834" i="5"/>
  <c r="W1835" i="5"/>
  <c r="W1837" i="5"/>
  <c r="W1838" i="5"/>
  <c r="W1839" i="5"/>
  <c r="W1840" i="5"/>
  <c r="W1842" i="5"/>
  <c r="W1843" i="5"/>
  <c r="W1844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2" i="5"/>
  <c r="W1893" i="5"/>
  <c r="W1895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5" i="5"/>
  <c r="W2146" i="5"/>
  <c r="W2147" i="5"/>
  <c r="W2148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8" i="5"/>
  <c r="W2180" i="5"/>
  <c r="W2181" i="5"/>
  <c r="W2182" i="5"/>
  <c r="W2183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1" i="5"/>
  <c r="W2242" i="5"/>
  <c r="W2243" i="5"/>
  <c r="W2244" i="5"/>
  <c r="W2245" i="5"/>
  <c r="W2246" i="5"/>
  <c r="W2247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4" i="5"/>
  <c r="W2316" i="5"/>
  <c r="W2317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44" i="5"/>
  <c r="W2446" i="5"/>
  <c r="W2448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90" i="5"/>
  <c r="W2591" i="5"/>
  <c r="W2592" i="5"/>
  <c r="W2593" i="5"/>
  <c r="W2594" i="5"/>
  <c r="W2595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24" i="5"/>
  <c r="W2725" i="5"/>
  <c r="W2726" i="5"/>
  <c r="W2727" i="5"/>
  <c r="W2728" i="5"/>
  <c r="W2730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4" i="5"/>
  <c r="W2756" i="5"/>
  <c r="W2757" i="5"/>
  <c r="W2758" i="5"/>
  <c r="W2759" i="5"/>
  <c r="W2760" i="5"/>
  <c r="W2761" i="5"/>
  <c r="W2762" i="5"/>
  <c r="W2763" i="5"/>
  <c r="W2764" i="5"/>
  <c r="W2765" i="5"/>
  <c r="W2766" i="5"/>
  <c r="W2768" i="5"/>
  <c r="W2769" i="5"/>
  <c r="W2770" i="5"/>
  <c r="W2771" i="5"/>
  <c r="W2772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94" i="5"/>
  <c r="W2895" i="5"/>
  <c r="W2896" i="5"/>
  <c r="W2897" i="5"/>
  <c r="W2898" i="5"/>
  <c r="W2899" i="5"/>
  <c r="W2900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7" i="5"/>
  <c r="W2938" i="5"/>
  <c r="W2939" i="5"/>
  <c r="W2940" i="5"/>
  <c r="W2941" i="5"/>
  <c r="W2942" i="5"/>
  <c r="W2943" i="5"/>
  <c r="W2944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9" i="5"/>
  <c r="W3147" i="5"/>
  <c r="W3155" i="5"/>
  <c r="W3174" i="5"/>
  <c r="W3182" i="5"/>
  <c r="W3190" i="5"/>
  <c r="W3198" i="5"/>
  <c r="W3206" i="5"/>
  <c r="W3214" i="5"/>
  <c r="W3222" i="5"/>
  <c r="W3230" i="5"/>
  <c r="W3238" i="5"/>
  <c r="W3246" i="5"/>
  <c r="W3254" i="5"/>
  <c r="W3262" i="5"/>
  <c r="W3270" i="5"/>
  <c r="W3278" i="5"/>
  <c r="W3286" i="5"/>
  <c r="W3294" i="5"/>
  <c r="W3302" i="5"/>
  <c r="W3310" i="5"/>
  <c r="W3318" i="5"/>
  <c r="W3326" i="5"/>
  <c r="W3344" i="5"/>
  <c r="W3352" i="5"/>
  <c r="W3360" i="5"/>
  <c r="W3368" i="5"/>
  <c r="W3376" i="5"/>
  <c r="W3384" i="5"/>
  <c r="W3392" i="5"/>
  <c r="W3400" i="5"/>
  <c r="W3408" i="5"/>
  <c r="W3416" i="5"/>
  <c r="W3424" i="5"/>
  <c r="W3430" i="5"/>
  <c r="W3432" i="5"/>
  <c r="W3440" i="5"/>
  <c r="W3446" i="5"/>
  <c r="W3448" i="5"/>
  <c r="W3454" i="5"/>
  <c r="W3456" i="5"/>
  <c r="W3464" i="5"/>
  <c r="W3472" i="5"/>
  <c r="W3480" i="5"/>
  <c r="W3488" i="5"/>
  <c r="W3496" i="5"/>
  <c r="W3504" i="5"/>
  <c r="W3505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3" i="5"/>
  <c r="W3534" i="5"/>
  <c r="W3535" i="5"/>
  <c r="W3536" i="5"/>
  <c r="W3537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70" i="5"/>
  <c r="W3571" i="5"/>
  <c r="W3572" i="5"/>
  <c r="W3573" i="5"/>
  <c r="W3574" i="5"/>
  <c r="W3575" i="5"/>
  <c r="W3589" i="5"/>
  <c r="W3592" i="5"/>
  <c r="W3593" i="5"/>
  <c r="W3595" i="5"/>
  <c r="W3599" i="5"/>
  <c r="W3603" i="5"/>
  <c r="W3604" i="5"/>
  <c r="W3605" i="5"/>
  <c r="W3609" i="5"/>
  <c r="W3618" i="5"/>
  <c r="W3655" i="5"/>
  <c r="W3656" i="5"/>
  <c r="W3657" i="5"/>
  <c r="W3658" i="5"/>
  <c r="W3659" i="5"/>
  <c r="W3717" i="5"/>
  <c r="W3749" i="5"/>
  <c r="W3750" i="5"/>
  <c r="W3751" i="5"/>
  <c r="W3752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9" i="5"/>
  <c r="W3790" i="5"/>
  <c r="W3792" i="5"/>
  <c r="W3812" i="5"/>
  <c r="W3813" i="5"/>
  <c r="W3823" i="5"/>
  <c r="W3824" i="5"/>
  <c r="W3825" i="5"/>
  <c r="W3826" i="5"/>
  <c r="W3827" i="5"/>
  <c r="W3828" i="5"/>
  <c r="W3829" i="5"/>
  <c r="W3830" i="5"/>
  <c r="W3840" i="5"/>
  <c r="W3844" i="5"/>
  <c r="W3864" i="5"/>
  <c r="W3879" i="5"/>
  <c r="W3880" i="5"/>
  <c r="W3882" i="5"/>
  <c r="W3883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5" i="5"/>
  <c r="W3926" i="5"/>
  <c r="W3927" i="5"/>
  <c r="W3928" i="5"/>
  <c r="W3929" i="5"/>
  <c r="W3930" i="5"/>
  <c r="W3931" i="5"/>
  <c r="W3935" i="5"/>
  <c r="W3939" i="5"/>
  <c r="W3940" i="5"/>
  <c r="W3941" i="5"/>
  <c r="W3942" i="5"/>
  <c r="W3943" i="5"/>
  <c r="W3949" i="5"/>
  <c r="W3950" i="5"/>
  <c r="W3951" i="5"/>
  <c r="W3952" i="5"/>
  <c r="W3953" i="5"/>
  <c r="W3978" i="5"/>
  <c r="W3979" i="5"/>
  <c r="W3980" i="5"/>
  <c r="W3981" i="5"/>
  <c r="W3982" i="5"/>
  <c r="W3992" i="5"/>
  <c r="W3993" i="5"/>
  <c r="W3994" i="5"/>
  <c r="W3995" i="5"/>
  <c r="W3996" i="5"/>
  <c r="W3997" i="5"/>
  <c r="W3998" i="5"/>
  <c r="W3999" i="5"/>
  <c r="W4007" i="5"/>
  <c r="W4008" i="5"/>
  <c r="W4009" i="5"/>
  <c r="W4010" i="5"/>
  <c r="W4011" i="5"/>
  <c r="W4012" i="5"/>
  <c r="W4016" i="5"/>
  <c r="W4017" i="5"/>
  <c r="W4018" i="5"/>
  <c r="W4019" i="5"/>
  <c r="W4020" i="5"/>
  <c r="W4021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7" i="5"/>
  <c r="W4038" i="5"/>
  <c r="W4039" i="5"/>
  <c r="W4040" i="5"/>
  <c r="W4041" i="5"/>
  <c r="W4042" i="5"/>
  <c r="W4043" i="5"/>
  <c r="W4044" i="5"/>
  <c r="W4046" i="5"/>
  <c r="W4082" i="5"/>
  <c r="W4083" i="5"/>
  <c r="W4084" i="5"/>
  <c r="W4085" i="5"/>
  <c r="W4086" i="5"/>
  <c r="W4087" i="5"/>
  <c r="W4088" i="5"/>
  <c r="W4089" i="5"/>
  <c r="W4090" i="5"/>
  <c r="W4091" i="5"/>
  <c r="W4092" i="5"/>
  <c r="W4094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9" i="5"/>
  <c r="W4111" i="5"/>
  <c r="W4112" i="5"/>
  <c r="W4113" i="5"/>
  <c r="W4114" i="5"/>
  <c r="W4115" i="5"/>
  <c r="W4116" i="5"/>
  <c r="W4117" i="5"/>
  <c r="W4118" i="5"/>
  <c r="W4121" i="5"/>
  <c r="W4122" i="5"/>
  <c r="W4123" i="5"/>
  <c r="W4124" i="5"/>
  <c r="W4139" i="5"/>
  <c r="W4140" i="5"/>
  <c r="W4142" i="5"/>
  <c r="W4143" i="5"/>
  <c r="W4144" i="5"/>
  <c r="W4145" i="5"/>
  <c r="W4146" i="5"/>
  <c r="W4147" i="5"/>
  <c r="W4149" i="5"/>
  <c r="W4150" i="5"/>
  <c r="W4151" i="5"/>
  <c r="W4152" i="5"/>
  <c r="W4153" i="5"/>
  <c r="W4154" i="5"/>
  <c r="W4155" i="5"/>
  <c r="W4156" i="5"/>
  <c r="W4157" i="5"/>
  <c r="W4159" i="5"/>
  <c r="W4160" i="5"/>
  <c r="W4161" i="5"/>
  <c r="W4162" i="5"/>
  <c r="W4163" i="5"/>
  <c r="W4164" i="5"/>
  <c r="W4165" i="5"/>
  <c r="W4166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4" i="5"/>
  <c r="W4215" i="5"/>
  <c r="W4216" i="5"/>
  <c r="W4218" i="5"/>
  <c r="W4219" i="5"/>
  <c r="W4221" i="5"/>
  <c r="W4223" i="5"/>
  <c r="W4224" i="5"/>
  <c r="W4225" i="5"/>
  <c r="W4226" i="5"/>
  <c r="W4227" i="5"/>
  <c r="W4228" i="5"/>
  <c r="W4229" i="5"/>
  <c r="W4230" i="5"/>
  <c r="W4231" i="5"/>
  <c r="W4232" i="5"/>
  <c r="W4233" i="5"/>
  <c r="W4238" i="5"/>
  <c r="W4239" i="5"/>
  <c r="W4240" i="5"/>
  <c r="W4241" i="5"/>
  <c r="W4242" i="5"/>
  <c r="W4243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71" i="5"/>
  <c r="W4272" i="5"/>
  <c r="W4273" i="5"/>
  <c r="W4274" i="5"/>
  <c r="W4275" i="5"/>
  <c r="W4276" i="5"/>
  <c r="W4277" i="5"/>
  <c r="W4282" i="5"/>
  <c r="W4283" i="5"/>
  <c r="W4284" i="5"/>
  <c r="W4285" i="5"/>
  <c r="W4287" i="5"/>
  <c r="W4288" i="5"/>
  <c r="W4289" i="5"/>
  <c r="W4290" i="5"/>
  <c r="W4291" i="5"/>
  <c r="W4293" i="5"/>
  <c r="W4294" i="5"/>
  <c r="W4295" i="5"/>
  <c r="W4296" i="5"/>
  <c r="W4297" i="5"/>
  <c r="W4298" i="5"/>
  <c r="W4299" i="5"/>
  <c r="W4302" i="5"/>
  <c r="W4303" i="5"/>
  <c r="W4304" i="5"/>
  <c r="W4305" i="5"/>
  <c r="W4306" i="5"/>
  <c r="W4307" i="5"/>
  <c r="W4308" i="5"/>
  <c r="W4309" i="5"/>
  <c r="W4311" i="5"/>
  <c r="W4312" i="5"/>
  <c r="W4313" i="5"/>
  <c r="W4314" i="5"/>
  <c r="W4315" i="5"/>
  <c r="W4316" i="5"/>
  <c r="W4317" i="5"/>
  <c r="W4319" i="5"/>
  <c r="W4320" i="5"/>
  <c r="W4321" i="5"/>
  <c r="W4322" i="5"/>
  <c r="W4323" i="5"/>
  <c r="W4324" i="5"/>
  <c r="W4325" i="5"/>
  <c r="W4326" i="5"/>
  <c r="W4328" i="5"/>
  <c r="W4329" i="5"/>
  <c r="W4330" i="5"/>
  <c r="W4342" i="5"/>
  <c r="W4343" i="5"/>
  <c r="W4344" i="5"/>
  <c r="W4345" i="5"/>
  <c r="W4346" i="5"/>
  <c r="W4347" i="5"/>
  <c r="W4351" i="5"/>
  <c r="W4352" i="5"/>
  <c r="W4353" i="5"/>
  <c r="W4354" i="5"/>
  <c r="W4355" i="5"/>
  <c r="W4356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3" i="5"/>
  <c r="W4414" i="5"/>
  <c r="W4415" i="5"/>
  <c r="W4416" i="5"/>
  <c r="W4417" i="5"/>
  <c r="W4418" i="5"/>
  <c r="W4421" i="5"/>
  <c r="W4422" i="5"/>
  <c r="W4423" i="5"/>
  <c r="W4424" i="5"/>
  <c r="W4425" i="5"/>
  <c r="W4426" i="5"/>
  <c r="W4427" i="5"/>
  <c r="W4428" i="5"/>
  <c r="W4429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3" i="5"/>
  <c r="W4464" i="5"/>
  <c r="W4465" i="5"/>
  <c r="W4466" i="5"/>
  <c r="W4467" i="5"/>
  <c r="W4468" i="5"/>
  <c r="W4470" i="5"/>
  <c r="W4471" i="5"/>
  <c r="W4472" i="5"/>
  <c r="W4473" i="5"/>
  <c r="W4474" i="5"/>
  <c r="W4475" i="5"/>
  <c r="W4477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59" i="5"/>
  <c r="W4560" i="5"/>
  <c r="W4562" i="5"/>
  <c r="W4563" i="5"/>
  <c r="W4564" i="5"/>
  <c r="W4565" i="5"/>
  <c r="W4566" i="5"/>
  <c r="W4567" i="5"/>
  <c r="W4568" i="5"/>
  <c r="W4576" i="5"/>
  <c r="W4581" i="5"/>
  <c r="W4587" i="5"/>
  <c r="W4589" i="5"/>
  <c r="W4591" i="5"/>
  <c r="W4592" i="5"/>
  <c r="W4593" i="5"/>
  <c r="W4594" i="5"/>
  <c r="W4595" i="5"/>
  <c r="W4596" i="5"/>
  <c r="W4597" i="5"/>
  <c r="W4598" i="5"/>
  <c r="W4599" i="5"/>
  <c r="W4600" i="5"/>
  <c r="W4602" i="5"/>
  <c r="W4603" i="5"/>
  <c r="W4604" i="5"/>
  <c r="W4605" i="5"/>
  <c r="W4606" i="5"/>
  <c r="W4607" i="5"/>
  <c r="W4608" i="5"/>
  <c r="W4609" i="5"/>
  <c r="W4611" i="5"/>
  <c r="W4612" i="5"/>
  <c r="W4613" i="5"/>
  <c r="W4614" i="5"/>
  <c r="W4615" i="5"/>
  <c r="W4618" i="5"/>
  <c r="W4619" i="5"/>
  <c r="W4629" i="5"/>
  <c r="W4630" i="5"/>
  <c r="W4631" i="5"/>
  <c r="W4633" i="5"/>
  <c r="W4634" i="5"/>
  <c r="W4635" i="5"/>
  <c r="W4663" i="5"/>
  <c r="W4664" i="5"/>
  <c r="W4665" i="5"/>
  <c r="W4666" i="5"/>
  <c r="W4667" i="5"/>
  <c r="W4668" i="5"/>
  <c r="W4669" i="5"/>
  <c r="W4678" i="5"/>
  <c r="W4679" i="5"/>
  <c r="W4680" i="5"/>
  <c r="W6266" i="5"/>
  <c r="W6268" i="5"/>
  <c r="W6269" i="5"/>
  <c r="W6270" i="5"/>
  <c r="W6271" i="5"/>
  <c r="W6273" i="5"/>
  <c r="W6274" i="5"/>
  <c r="W6275" i="5"/>
  <c r="W6276" i="5"/>
  <c r="W6278" i="5"/>
  <c r="W6281" i="5"/>
  <c r="W6282" i="5"/>
  <c r="W6283" i="5"/>
  <c r="W6284" i="5"/>
  <c r="W6285" i="5"/>
  <c r="W6286" i="5"/>
  <c r="W6287" i="5"/>
  <c r="W6290" i="5"/>
  <c r="W6291" i="5"/>
  <c r="W6292" i="5"/>
  <c r="W6293" i="5"/>
  <c r="W6294" i="5"/>
  <c r="W6295" i="5"/>
  <c r="W6297" i="5"/>
  <c r="W6298" i="5"/>
  <c r="W6299" i="5"/>
  <c r="W6300" i="5"/>
  <c r="W6301" i="5"/>
  <c r="W6302" i="5"/>
  <c r="W6303" i="5"/>
  <c r="W6305" i="5"/>
  <c r="W6306" i="5"/>
  <c r="W6307" i="5"/>
  <c r="W6309" i="5"/>
  <c r="W6310" i="5"/>
  <c r="W6311" i="5"/>
  <c r="W6313" i="5"/>
  <c r="W6314" i="5"/>
  <c r="W6315" i="5"/>
  <c r="W6316" i="5"/>
  <c r="W6318" i="5"/>
  <c r="W6319" i="5"/>
  <c r="W6321" i="5"/>
  <c r="W6322" i="5"/>
  <c r="W6323" i="5"/>
  <c r="W6324" i="5"/>
  <c r="W6325" i="5"/>
  <c r="W6326" i="5"/>
  <c r="W6327" i="5"/>
  <c r="W6329" i="5"/>
  <c r="W6330" i="5"/>
  <c r="W6332" i="5"/>
  <c r="W6333" i="5"/>
  <c r="W6334" i="5"/>
  <c r="W6335" i="5"/>
  <c r="W6337" i="5"/>
  <c r="W6338" i="5"/>
  <c r="W6339" i="5"/>
  <c r="W6340" i="5"/>
  <c r="W6341" i="5"/>
  <c r="W6342" i="5"/>
  <c r="W6343" i="5"/>
  <c r="W7803" i="5"/>
  <c r="W7805" i="5"/>
  <c r="W7806" i="5"/>
  <c r="W7807" i="5"/>
  <c r="W7808" i="5"/>
  <c r="W7809" i="5"/>
  <c r="W7810" i="5"/>
  <c r="W7811" i="5"/>
  <c r="W7812" i="5"/>
  <c r="W7813" i="5"/>
  <c r="W7814" i="5"/>
  <c r="W7815" i="5"/>
  <c r="W7816" i="5"/>
  <c r="W7817" i="5"/>
  <c r="W7819" i="5"/>
  <c r="W7820" i="5"/>
  <c r="W7823" i="5"/>
  <c r="W7824" i="5"/>
  <c r="W7825" i="5"/>
  <c r="W7826" i="5"/>
  <c r="W7827" i="5"/>
  <c r="W7829" i="5"/>
  <c r="W7831" i="5"/>
  <c r="W7833" i="5"/>
  <c r="W7835" i="5"/>
  <c r="W7837" i="5"/>
  <c r="W7838" i="5"/>
  <c r="W7839" i="5"/>
  <c r="W7840" i="5"/>
  <c r="W7841" i="5"/>
  <c r="W7842" i="5"/>
  <c r="W7843" i="5"/>
  <c r="W7844" i="5"/>
  <c r="W7845" i="5"/>
  <c r="W7846" i="5"/>
  <c r="W7848" i="5"/>
  <c r="W7849" i="5"/>
  <c r="W7850" i="5"/>
  <c r="W7851" i="5"/>
  <c r="W7852" i="5"/>
  <c r="W7853" i="5"/>
  <c r="W7855" i="5"/>
  <c r="W7856" i="5"/>
  <c r="W7858" i="5"/>
  <c r="W7859" i="5"/>
  <c r="W7860" i="5"/>
  <c r="W7861" i="5"/>
  <c r="W7870" i="5"/>
  <c r="W7871" i="5"/>
  <c r="W7872" i="5"/>
  <c r="W7878" i="5"/>
  <c r="W7879" i="5"/>
  <c r="W7880" i="5"/>
  <c r="W7885" i="5"/>
  <c r="W7886" i="5"/>
  <c r="W7887" i="5"/>
  <c r="W7888" i="5"/>
  <c r="W7889" i="5"/>
  <c r="W7890" i="5"/>
  <c r="W7891" i="5"/>
  <c r="W7895" i="5"/>
  <c r="W7896" i="5"/>
  <c r="W7897" i="5"/>
  <c r="W7898" i="5"/>
  <c r="W7899" i="5"/>
  <c r="W7900" i="5"/>
  <c r="W7901" i="5"/>
  <c r="W7902" i="5"/>
  <c r="W7903" i="5"/>
  <c r="W7904" i="5"/>
  <c r="W7905" i="5"/>
  <c r="W7906" i="5"/>
  <c r="W7907" i="5"/>
  <c r="W7908" i="5"/>
  <c r="W7909" i="5"/>
  <c r="W7910" i="5"/>
  <c r="W7912" i="5"/>
  <c r="W7914" i="5"/>
  <c r="W7915" i="5"/>
  <c r="W7916" i="5"/>
  <c r="W7917" i="5"/>
  <c r="W7918" i="5"/>
  <c r="W7919" i="5"/>
  <c r="W7920" i="5"/>
  <c r="W7921" i="5"/>
  <c r="W7922" i="5"/>
  <c r="W7923" i="5"/>
  <c r="W7924" i="5"/>
  <c r="W7925" i="5"/>
  <c r="W7928" i="5"/>
  <c r="W7929" i="5"/>
  <c r="W7930" i="5"/>
  <c r="W7931" i="5"/>
  <c r="W7932" i="5"/>
  <c r="W7933" i="5"/>
  <c r="W7934" i="5"/>
  <c r="W7935" i="5"/>
  <c r="W7936" i="5"/>
  <c r="W7937" i="5"/>
  <c r="W7938" i="5"/>
  <c r="W7939" i="5"/>
  <c r="W7940" i="5"/>
  <c r="W7941" i="5"/>
  <c r="W7943" i="5"/>
  <c r="W7944" i="5"/>
  <c r="W7945" i="5"/>
  <c r="W7946" i="5"/>
  <c r="W7947" i="5"/>
  <c r="W7948" i="5"/>
  <c r="W7949" i="5"/>
  <c r="W7950" i="5"/>
  <c r="W7952" i="5"/>
  <c r="W7953" i="5"/>
  <c r="W7954" i="5"/>
  <c r="W7955" i="5"/>
  <c r="W7956" i="5"/>
  <c r="W7957" i="5"/>
  <c r="W7959" i="5"/>
  <c r="W7960" i="5"/>
  <c r="W7961" i="5"/>
  <c r="W7962" i="5"/>
  <c r="W7963" i="5"/>
  <c r="W7964" i="5"/>
  <c r="W7965" i="5"/>
  <c r="W7966" i="5"/>
  <c r="W7967" i="5"/>
  <c r="W7968" i="5"/>
  <c r="W7969" i="5"/>
  <c r="W7970" i="5"/>
  <c r="W7971" i="5"/>
  <c r="W7972" i="5"/>
  <c r="W7973" i="5"/>
  <c r="W7975" i="5"/>
  <c r="W7978" i="5"/>
  <c r="W7979" i="5"/>
  <c r="W7980" i="5"/>
  <c r="W7981" i="5"/>
  <c r="W7982" i="5"/>
  <c r="W7983" i="5"/>
  <c r="W7984" i="5"/>
  <c r="W7986" i="5"/>
  <c r="W7987" i="5"/>
  <c r="W7988" i="5"/>
  <c r="W7989" i="5"/>
  <c r="W7990" i="5"/>
  <c r="W7991" i="5"/>
  <c r="W7992" i="5"/>
  <c r="W7993" i="5"/>
  <c r="W7994" i="5"/>
  <c r="W7996" i="5"/>
  <c r="W7997" i="5"/>
  <c r="W7998" i="5"/>
  <c r="W7999" i="5"/>
  <c r="W8000" i="5"/>
  <c r="W8001" i="5"/>
  <c r="W8002" i="5"/>
  <c r="W8003" i="5"/>
  <c r="W8004" i="5"/>
  <c r="W8005" i="5"/>
  <c r="W8006" i="5"/>
  <c r="W8007" i="5"/>
  <c r="W8008" i="5"/>
  <c r="W8010" i="5"/>
  <c r="W8011" i="5"/>
  <c r="W8012" i="5"/>
  <c r="W8013" i="5"/>
  <c r="W8014" i="5"/>
  <c r="W8015" i="5"/>
  <c r="W8016" i="5"/>
  <c r="W8017" i="5"/>
  <c r="W8018" i="5"/>
  <c r="W8019" i="5"/>
  <c r="W8020" i="5"/>
  <c r="W8021" i="5"/>
  <c r="W8022" i="5"/>
  <c r="W8023" i="5"/>
  <c r="W8024" i="5"/>
  <c r="W8025" i="5"/>
  <c r="W8026" i="5"/>
  <c r="W8027" i="5"/>
  <c r="W8028" i="5"/>
  <c r="W8029" i="5"/>
  <c r="W8031" i="5"/>
  <c r="W8032" i="5"/>
  <c r="W8033" i="5"/>
  <c r="W8034" i="5"/>
  <c r="W8035" i="5"/>
  <c r="W8036" i="5"/>
  <c r="W8037" i="5"/>
  <c r="W8038" i="5"/>
  <c r="W8039" i="5"/>
  <c r="W8040" i="5"/>
  <c r="W8041" i="5"/>
  <c r="W8043" i="5"/>
  <c r="W8044" i="5"/>
  <c r="W8045" i="5"/>
  <c r="W8046" i="5"/>
  <c r="W8047" i="5"/>
  <c r="W8048" i="5"/>
  <c r="W8049" i="5"/>
  <c r="W8050" i="5"/>
  <c r="W8051" i="5"/>
  <c r="W8052" i="5"/>
  <c r="W8053" i="5"/>
  <c r="W8054" i="5"/>
  <c r="W8055" i="5"/>
  <c r="W8056" i="5"/>
  <c r="W8057" i="5"/>
  <c r="W8058" i="5"/>
  <c r="W8059" i="5"/>
  <c r="W8060" i="5"/>
  <c r="W8062" i="5"/>
  <c r="W8063" i="5"/>
  <c r="W8064" i="5"/>
  <c r="W8065" i="5"/>
  <c r="W8066" i="5"/>
  <c r="W8067" i="5"/>
  <c r="W8068" i="5"/>
  <c r="W8069" i="5"/>
  <c r="W8070" i="5"/>
  <c r="W8071" i="5"/>
  <c r="W8072" i="5"/>
  <c r="W8073" i="5"/>
  <c r="W8074" i="5"/>
  <c r="W8075" i="5"/>
  <c r="W8076" i="5"/>
  <c r="W8078" i="5"/>
  <c r="W8079" i="5"/>
  <c r="W8080" i="5"/>
  <c r="W8081" i="5"/>
  <c r="W8082" i="5"/>
  <c r="W8083" i="5"/>
  <c r="W8084" i="5"/>
  <c r="W8085" i="5"/>
  <c r="W8086" i="5"/>
  <c r="W8087" i="5"/>
  <c r="W8088" i="5"/>
  <c r="W8089" i="5"/>
  <c r="W8090" i="5"/>
  <c r="W8091" i="5"/>
  <c r="W8092" i="5"/>
  <c r="W8093" i="5"/>
  <c r="W8094" i="5"/>
  <c r="W8095" i="5"/>
  <c r="W8096" i="5"/>
  <c r="W8098" i="5"/>
  <c r="W8100" i="5"/>
  <c r="W8101" i="5"/>
  <c r="W8102" i="5"/>
  <c r="W8103" i="5"/>
  <c r="W8105" i="5"/>
  <c r="W8106" i="5"/>
  <c r="W8107" i="5"/>
  <c r="W8108" i="5"/>
  <c r="W8109" i="5"/>
  <c r="W8110" i="5"/>
  <c r="W8111" i="5"/>
  <c r="W8112" i="5"/>
  <c r="W8113" i="5"/>
  <c r="W8114" i="5"/>
  <c r="W8115" i="5"/>
  <c r="W8116" i="5"/>
  <c r="W8117" i="5"/>
  <c r="W8118" i="5"/>
  <c r="W8119" i="5"/>
  <c r="W8120" i="5"/>
  <c r="W8121" i="5"/>
  <c r="W8122" i="5"/>
  <c r="W8123" i="5"/>
  <c r="W8135" i="5"/>
  <c r="W8136" i="5"/>
  <c r="W8137" i="5"/>
  <c r="W8138" i="5"/>
  <c r="W8139" i="5"/>
  <c r="W8140" i="5"/>
  <c r="W8141" i="5"/>
  <c r="W8142" i="5"/>
  <c r="W8143" i="5"/>
  <c r="W8144" i="5"/>
  <c r="W8145" i="5"/>
  <c r="W8146" i="5"/>
  <c r="W8147" i="5"/>
  <c r="W8148" i="5"/>
  <c r="W8149" i="5"/>
  <c r="W8150" i="5"/>
  <c r="W8151" i="5"/>
  <c r="W8152" i="5"/>
  <c r="W8153" i="5"/>
  <c r="W8154" i="5"/>
  <c r="W8155" i="5"/>
  <c r="W8156" i="5"/>
  <c r="W8157" i="5"/>
  <c r="W8158" i="5"/>
  <c r="W8159" i="5"/>
  <c r="W8160" i="5"/>
  <c r="W8161" i="5"/>
  <c r="W8162" i="5"/>
  <c r="W8163" i="5"/>
  <c r="W8164" i="5"/>
  <c r="W8165" i="5"/>
  <c r="W8166" i="5"/>
  <c r="W8167" i="5"/>
  <c r="W8168" i="5"/>
  <c r="W8170" i="5"/>
  <c r="W8171" i="5"/>
  <c r="W8172" i="5"/>
  <c r="W8173" i="5"/>
  <c r="W8174" i="5"/>
  <c r="W8175" i="5"/>
  <c r="W8176" i="5"/>
  <c r="W8177" i="5"/>
  <c r="W8178" i="5"/>
  <c r="W8179" i="5"/>
  <c r="W8180" i="5"/>
  <c r="W8181" i="5"/>
  <c r="W8182" i="5"/>
  <c r="W8183" i="5"/>
  <c r="W8184" i="5"/>
  <c r="W8185" i="5"/>
  <c r="W8186" i="5"/>
  <c r="W8187" i="5"/>
  <c r="W8188" i="5"/>
  <c r="W8189" i="5"/>
  <c r="W8190" i="5"/>
  <c r="W8191" i="5"/>
  <c r="W8192" i="5"/>
  <c r="W8193" i="5"/>
  <c r="W8195" i="5"/>
  <c r="W8198" i="5"/>
  <c r="W8203" i="5"/>
  <c r="W8205" i="5"/>
  <c r="W8206" i="5"/>
  <c r="W8207" i="5"/>
  <c r="W8208" i="5"/>
  <c r="W8209" i="5"/>
  <c r="W8211" i="5"/>
  <c r="W8212" i="5"/>
  <c r="W8213" i="5"/>
  <c r="W8214" i="5"/>
  <c r="W8215" i="5"/>
  <c r="W8216" i="5"/>
  <c r="W8217" i="5"/>
  <c r="W8218" i="5"/>
  <c r="W8219" i="5"/>
  <c r="W8220" i="5"/>
  <c r="W8221" i="5"/>
  <c r="W8222" i="5"/>
  <c r="W8223" i="5"/>
  <c r="W8224" i="5"/>
  <c r="W8225" i="5"/>
  <c r="W8226" i="5"/>
  <c r="W8227" i="5"/>
  <c r="W8228" i="5"/>
  <c r="W8229" i="5"/>
  <c r="W8230" i="5"/>
  <c r="W8231" i="5"/>
  <c r="W8232" i="5"/>
  <c r="W8233" i="5"/>
  <c r="W8234" i="5"/>
  <c r="W8235" i="5"/>
  <c r="W8236" i="5"/>
  <c r="W8238" i="5"/>
  <c r="W8239" i="5"/>
  <c r="W8240" i="5"/>
  <c r="W8241" i="5"/>
  <c r="W8242" i="5"/>
  <c r="W8243" i="5"/>
  <c r="W8244" i="5"/>
  <c r="W8245" i="5"/>
  <c r="W8246" i="5"/>
  <c r="W8247" i="5"/>
  <c r="W8248" i="5"/>
  <c r="W8249" i="5"/>
  <c r="W8250" i="5"/>
  <c r="W8251" i="5"/>
  <c r="W8252" i="5"/>
  <c r="W8253" i="5"/>
  <c r="W8254" i="5"/>
  <c r="W8255" i="5"/>
  <c r="W8256" i="5"/>
  <c r="W8257" i="5"/>
  <c r="W8258" i="5"/>
  <c r="W8260" i="5"/>
  <c r="W8261" i="5"/>
  <c r="W8262" i="5"/>
  <c r="W8263" i="5"/>
  <c r="W8264" i="5"/>
  <c r="W8265" i="5"/>
  <c r="W8266" i="5"/>
  <c r="W8268" i="5"/>
  <c r="W8269" i="5"/>
  <c r="W8270" i="5"/>
  <c r="W8271" i="5"/>
  <c r="W8272" i="5"/>
  <c r="W8273" i="5"/>
  <c r="W8274" i="5"/>
  <c r="W8276" i="5"/>
  <c r="W8277" i="5"/>
  <c r="W8278" i="5"/>
  <c r="W8279" i="5"/>
  <c r="W8280" i="5"/>
  <c r="W8281" i="5"/>
  <c r="W8282" i="5"/>
  <c r="W8284" i="5"/>
  <c r="W8285" i="5"/>
  <c r="W8286" i="5"/>
  <c r="W8287" i="5"/>
  <c r="W8288" i="5"/>
  <c r="W8289" i="5"/>
  <c r="W8290" i="5"/>
  <c r="W8292" i="5"/>
  <c r="W8293" i="5"/>
  <c r="W8294" i="5"/>
  <c r="W8295" i="5"/>
  <c r="W8296" i="5"/>
  <c r="W8297" i="5"/>
  <c r="W8299" i="5"/>
  <c r="W8300" i="5"/>
  <c r="W8309" i="5"/>
  <c r="W8310" i="5"/>
  <c r="W8311" i="5"/>
  <c r="W8312" i="5"/>
  <c r="W8313" i="5"/>
  <c r="W8315" i="5"/>
  <c r="W8316" i="5"/>
  <c r="W8317" i="5"/>
  <c r="W8318" i="5"/>
  <c r="W8319" i="5"/>
  <c r="W8320" i="5"/>
  <c r="W8321" i="5"/>
  <c r="W8323" i="5"/>
  <c r="W8324" i="5"/>
  <c r="W8325" i="5"/>
  <c r="W8326" i="5"/>
  <c r="W8327" i="5"/>
  <c r="W8328" i="5"/>
  <c r="W8329" i="5"/>
  <c r="W8331" i="5"/>
  <c r="W8332" i="5"/>
  <c r="W8333" i="5"/>
  <c r="W8334" i="5"/>
  <c r="W8335" i="5"/>
  <c r="W8336" i="5"/>
  <c r="W8337" i="5"/>
  <c r="W8339" i="5"/>
  <c r="W8340" i="5"/>
  <c r="W8341" i="5"/>
  <c r="W8342" i="5"/>
  <c r="W8343" i="5"/>
  <c r="W8344" i="5"/>
  <c r="W8345" i="5"/>
  <c r="W8347" i="5"/>
  <c r="W8348" i="5"/>
  <c r="W8349" i="5"/>
  <c r="W8350" i="5"/>
  <c r="W8351" i="5"/>
  <c r="W8352" i="5"/>
  <c r="W8353" i="5"/>
  <c r="W8355" i="5"/>
  <c r="W8356" i="5"/>
  <c r="W8357" i="5"/>
  <c r="W8358" i="5"/>
  <c r="W8359" i="5"/>
  <c r="W8360" i="5"/>
  <c r="W8361" i="5"/>
  <c r="W8363" i="5"/>
  <c r="W8364" i="5"/>
  <c r="W8365" i="5"/>
  <c r="W8366" i="5"/>
  <c r="W8367" i="5"/>
  <c r="W8368" i="5"/>
  <c r="W8369" i="5"/>
  <c r="W8371" i="5"/>
  <c r="W8372" i="5"/>
  <c r="W8373" i="5"/>
  <c r="W8374" i="5"/>
  <c r="W8375" i="5"/>
  <c r="W8376" i="5"/>
  <c r="W8377" i="5"/>
  <c r="W8379" i="5"/>
  <c r="W8380" i="5"/>
  <c r="W8381" i="5"/>
  <c r="W8382" i="5"/>
  <c r="W8383" i="5"/>
  <c r="W8384" i="5"/>
  <c r="W8385" i="5"/>
  <c r="W8387" i="5"/>
  <c r="W8388" i="5"/>
  <c r="W8389" i="5"/>
  <c r="W8390" i="5"/>
  <c r="W8391" i="5"/>
  <c r="W8392" i="5"/>
  <c r="W8393" i="5"/>
  <c r="W8395" i="5"/>
  <c r="W8396" i="5"/>
  <c r="W8397" i="5"/>
  <c r="W8398" i="5"/>
  <c r="W8399" i="5"/>
  <c r="W8400" i="5"/>
  <c r="W8401" i="5"/>
  <c r="W8403" i="5"/>
  <c r="W8404" i="5"/>
  <c r="W8405" i="5"/>
  <c r="W8406" i="5"/>
  <c r="W8407" i="5"/>
  <c r="W8408" i="5"/>
  <c r="W8409" i="5"/>
  <c r="W8411" i="5"/>
  <c r="W8412" i="5"/>
  <c r="W8413" i="5"/>
  <c r="W8414" i="5"/>
  <c r="W8415" i="5"/>
  <c r="W8416" i="5"/>
  <c r="W8417" i="5"/>
  <c r="W8419" i="5"/>
  <c r="W8420" i="5"/>
  <c r="W8421" i="5"/>
  <c r="W8422" i="5"/>
  <c r="W8423" i="5"/>
  <c r="W8424" i="5"/>
  <c r="W8425" i="5"/>
  <c r="W8427" i="5"/>
  <c r="W8428" i="5"/>
  <c r="W8429" i="5"/>
  <c r="W8430" i="5"/>
  <c r="W8431" i="5"/>
  <c r="W8432" i="5"/>
  <c r="W8433" i="5"/>
  <c r="W8435" i="5"/>
  <c r="W8436" i="5"/>
  <c r="W8437" i="5"/>
  <c r="W8438" i="5"/>
  <c r="W8439" i="5"/>
  <c r="W8440" i="5"/>
  <c r="W8441" i="5"/>
  <c r="W8443" i="5"/>
  <c r="W8444" i="5"/>
  <c r="W8445" i="5"/>
  <c r="W8446" i="5"/>
  <c r="W8447" i="5"/>
  <c r="W8448" i="5"/>
  <c r="W8449" i="5"/>
  <c r="W8451" i="5"/>
  <c r="W8452" i="5"/>
  <c r="W8453" i="5"/>
  <c r="W8454" i="5"/>
  <c r="W8455" i="5"/>
  <c r="W8456" i="5"/>
  <c r="W8457" i="5"/>
  <c r="W8459" i="5"/>
  <c r="W8460" i="5"/>
  <c r="W8461" i="5"/>
  <c r="W8462" i="5"/>
  <c r="W8463" i="5"/>
  <c r="W8464" i="5"/>
  <c r="W8465" i="5"/>
  <c r="W8466" i="5"/>
  <c r="W8467" i="5"/>
  <c r="W8468" i="5"/>
  <c r="W8469" i="5"/>
  <c r="W8470" i="5"/>
  <c r="W8471" i="5"/>
  <c r="W8472" i="5"/>
  <c r="W8473" i="5"/>
  <c r="W8474" i="5"/>
  <c r="W8475" i="5"/>
  <c r="W8476" i="5"/>
  <c r="W8477" i="5"/>
  <c r="W8478" i="5"/>
  <c r="W8479" i="5"/>
  <c r="W8480" i="5"/>
  <c r="W8481" i="5"/>
  <c r="W8482" i="5"/>
  <c r="W8483" i="5"/>
  <c r="W8484" i="5"/>
  <c r="W8485" i="5"/>
  <c r="W8486" i="5"/>
  <c r="W8487" i="5"/>
  <c r="W8488" i="5"/>
  <c r="W8489" i="5"/>
  <c r="W8490" i="5"/>
  <c r="W8491" i="5"/>
  <c r="W8492" i="5"/>
  <c r="W8493" i="5"/>
  <c r="W8494" i="5"/>
  <c r="W8495" i="5"/>
  <c r="W8496" i="5"/>
  <c r="W8497" i="5"/>
  <c r="W8498" i="5"/>
  <c r="W8499" i="5"/>
  <c r="W8500" i="5"/>
  <c r="W8501" i="5"/>
  <c r="W8502" i="5"/>
  <c r="W8503" i="5"/>
  <c r="W8504" i="5"/>
  <c r="W8505" i="5"/>
  <c r="W8506" i="5"/>
  <c r="W8507" i="5"/>
  <c r="W8508" i="5"/>
  <c r="W8509" i="5"/>
  <c r="W8510" i="5"/>
  <c r="W8511" i="5"/>
  <c r="W8512" i="5"/>
  <c r="W8513" i="5"/>
  <c r="W8514" i="5"/>
  <c r="W8515" i="5"/>
  <c r="W8516" i="5"/>
  <c r="W8517" i="5"/>
  <c r="W8518" i="5"/>
  <c r="W8519" i="5"/>
  <c r="W8520" i="5"/>
  <c r="W8521" i="5"/>
  <c r="W8522" i="5"/>
  <c r="W8523" i="5"/>
  <c r="W8524" i="5"/>
  <c r="W8525" i="5"/>
  <c r="W8526" i="5"/>
  <c r="W8527" i="5"/>
  <c r="W8528" i="5"/>
  <c r="W8529" i="5"/>
  <c r="W8530" i="5"/>
  <c r="W8531" i="5"/>
  <c r="W8532" i="5"/>
  <c r="W8533" i="5"/>
  <c r="W8534" i="5"/>
  <c r="W8535" i="5"/>
  <c r="W8536" i="5"/>
  <c r="W8537" i="5"/>
  <c r="W8538" i="5"/>
  <c r="W8539" i="5"/>
  <c r="W8540" i="5"/>
  <c r="W8541" i="5"/>
  <c r="W8542" i="5"/>
  <c r="W8543" i="5"/>
  <c r="W8544" i="5"/>
  <c r="W8545" i="5"/>
  <c r="W8546" i="5"/>
  <c r="W8547" i="5"/>
  <c r="W8548" i="5"/>
  <c r="W8549" i="5"/>
  <c r="W8550" i="5"/>
  <c r="W8551" i="5"/>
  <c r="W8552" i="5"/>
  <c r="W8553" i="5"/>
  <c r="W8554" i="5"/>
  <c r="W8555" i="5"/>
  <c r="W8556" i="5"/>
  <c r="W8557" i="5"/>
  <c r="W8558" i="5"/>
  <c r="W8559" i="5"/>
  <c r="W8560" i="5"/>
  <c r="W8561" i="5"/>
  <c r="W8562" i="5"/>
  <c r="W8563" i="5"/>
  <c r="W8564" i="5"/>
  <c r="W8565" i="5"/>
  <c r="W8566" i="5"/>
  <c r="W8567" i="5"/>
  <c r="W8568" i="5"/>
  <c r="W8569" i="5"/>
  <c r="W8570" i="5"/>
  <c r="W8571" i="5"/>
  <c r="W8572" i="5"/>
  <c r="W8573" i="5"/>
  <c r="W8574" i="5"/>
  <c r="W8575" i="5"/>
  <c r="W8576" i="5"/>
  <c r="W8577" i="5"/>
  <c r="W8578" i="5"/>
  <c r="W8579" i="5"/>
  <c r="W8580" i="5"/>
  <c r="W8581" i="5"/>
  <c r="W8582" i="5"/>
  <c r="W8583" i="5"/>
  <c r="W8584" i="5"/>
  <c r="W8585" i="5"/>
  <c r="W8586" i="5"/>
  <c r="W8587" i="5"/>
  <c r="W8588" i="5"/>
  <c r="W8589" i="5"/>
  <c r="W8590" i="5"/>
  <c r="W8591" i="5"/>
  <c r="W8592" i="5"/>
  <c r="W8593" i="5"/>
  <c r="W8594" i="5"/>
  <c r="W8595" i="5"/>
  <c r="W8596" i="5"/>
  <c r="W8597" i="5"/>
  <c r="W8598" i="5"/>
  <c r="W8599" i="5"/>
  <c r="W8600" i="5"/>
  <c r="W8601" i="5"/>
  <c r="W8602" i="5"/>
  <c r="W8603" i="5"/>
  <c r="W8604" i="5"/>
  <c r="W8605" i="5"/>
  <c r="W8606" i="5"/>
  <c r="W8607" i="5"/>
  <c r="W8608" i="5"/>
  <c r="W8609" i="5"/>
  <c r="W8610" i="5"/>
  <c r="W8611" i="5"/>
  <c r="W8612" i="5"/>
  <c r="W8613" i="5"/>
  <c r="W8614" i="5"/>
  <c r="W8615" i="5"/>
  <c r="W8616" i="5"/>
  <c r="W8617" i="5"/>
  <c r="W8618" i="5"/>
  <c r="W8619" i="5"/>
  <c r="W8620" i="5"/>
  <c r="W8621" i="5"/>
  <c r="W8622" i="5"/>
  <c r="W8623" i="5"/>
  <c r="W8624" i="5"/>
  <c r="W8625" i="5"/>
  <c r="W8626" i="5"/>
  <c r="W8627" i="5"/>
  <c r="W8628" i="5"/>
  <c r="W8629" i="5"/>
  <c r="W8630" i="5"/>
  <c r="W8631" i="5"/>
  <c r="W8632" i="5"/>
  <c r="W8633" i="5"/>
  <c r="W8634" i="5"/>
  <c r="W8635" i="5"/>
  <c r="W8636" i="5"/>
  <c r="W8637" i="5"/>
  <c r="W8638" i="5"/>
  <c r="W8639" i="5"/>
  <c r="W8640" i="5"/>
  <c r="W8641" i="5"/>
  <c r="W8642" i="5"/>
  <c r="W8643" i="5"/>
  <c r="W8644" i="5"/>
  <c r="W8645" i="5"/>
  <c r="W8646" i="5"/>
  <c r="W8647" i="5"/>
  <c r="W8648" i="5"/>
  <c r="W8649" i="5"/>
  <c r="W8650" i="5"/>
  <c r="W8651" i="5"/>
  <c r="W8652" i="5"/>
  <c r="W8653" i="5"/>
  <c r="W8654" i="5"/>
  <c r="W8655" i="5"/>
  <c r="W8656" i="5"/>
  <c r="W8657" i="5"/>
  <c r="W8658" i="5"/>
  <c r="W8659" i="5"/>
  <c r="W8660" i="5"/>
  <c r="W8661" i="5"/>
  <c r="W8662" i="5"/>
  <c r="W8663" i="5"/>
  <c r="W8664" i="5"/>
  <c r="W8665" i="5"/>
  <c r="W8666" i="5"/>
  <c r="W8667" i="5"/>
  <c r="W8668" i="5"/>
  <c r="W8669" i="5"/>
  <c r="W8670" i="5"/>
  <c r="W8671" i="5"/>
  <c r="W8672" i="5"/>
  <c r="W8673" i="5"/>
  <c r="W8674" i="5"/>
  <c r="W8675" i="5"/>
  <c r="W8676" i="5"/>
  <c r="W8677" i="5"/>
  <c r="W8678" i="5"/>
  <c r="W8679" i="5"/>
  <c r="W8680" i="5"/>
  <c r="W8681" i="5"/>
  <c r="W8682" i="5"/>
  <c r="W8683" i="5"/>
  <c r="W8684" i="5"/>
  <c r="W8685" i="5"/>
  <c r="W8686" i="5"/>
  <c r="W8687" i="5"/>
  <c r="W8688" i="5"/>
  <c r="W8689" i="5"/>
  <c r="W8690" i="5"/>
  <c r="W8691" i="5"/>
  <c r="W8692" i="5"/>
  <c r="W8693" i="5"/>
  <c r="W8694" i="5"/>
  <c r="W8695" i="5"/>
  <c r="W8696" i="5"/>
  <c r="W8697" i="5"/>
  <c r="W8698" i="5"/>
  <c r="W8699" i="5"/>
  <c r="W8700" i="5"/>
  <c r="W8701" i="5"/>
  <c r="W8702" i="5"/>
  <c r="W8703" i="5"/>
  <c r="W8704" i="5"/>
  <c r="W8705" i="5"/>
  <c r="W8706" i="5"/>
  <c r="W8707" i="5"/>
  <c r="W8708" i="5"/>
  <c r="W8709" i="5"/>
  <c r="W8710" i="5"/>
  <c r="W8711" i="5"/>
  <c r="W8712" i="5"/>
  <c r="W8713" i="5"/>
  <c r="W8714" i="5"/>
  <c r="W8715" i="5"/>
  <c r="W8716" i="5"/>
  <c r="W8717" i="5"/>
  <c r="W8718" i="5"/>
  <c r="W8719" i="5"/>
  <c r="W8720" i="5"/>
  <c r="W8721" i="5"/>
  <c r="W8722" i="5"/>
  <c r="W8723" i="5"/>
  <c r="W8724" i="5"/>
  <c r="W8725" i="5"/>
  <c r="W8726" i="5"/>
  <c r="W8727" i="5"/>
  <c r="W8728" i="5"/>
  <c r="W8729" i="5"/>
  <c r="W8730" i="5"/>
  <c r="W8731" i="5"/>
  <c r="W8732" i="5"/>
  <c r="W8733" i="5"/>
  <c r="W8734" i="5"/>
  <c r="W8735" i="5"/>
  <c r="W8736" i="5"/>
  <c r="W8737" i="5"/>
  <c r="W8738" i="5"/>
  <c r="W8739" i="5"/>
  <c r="W8740" i="5"/>
  <c r="W8741" i="5"/>
  <c r="W8742" i="5"/>
  <c r="W8743" i="5"/>
  <c r="W8744" i="5"/>
  <c r="W8745" i="5"/>
  <c r="W8746" i="5"/>
  <c r="W8747" i="5"/>
  <c r="W8748" i="5"/>
  <c r="W8749" i="5"/>
  <c r="W8750" i="5"/>
  <c r="W8751" i="5"/>
  <c r="W8752" i="5"/>
  <c r="W8753" i="5"/>
  <c r="W8754" i="5"/>
  <c r="W8755" i="5"/>
  <c r="W8756" i="5"/>
  <c r="W8757" i="5"/>
  <c r="W8758" i="5"/>
  <c r="W8759" i="5"/>
  <c r="W8760" i="5"/>
  <c r="W8761" i="5"/>
  <c r="W8762" i="5"/>
  <c r="W8763" i="5"/>
  <c r="W8764" i="5"/>
  <c r="W8765" i="5"/>
  <c r="W8766" i="5"/>
  <c r="W8767" i="5"/>
  <c r="W8768" i="5"/>
  <c r="W8769" i="5"/>
  <c r="W8775" i="5"/>
  <c r="W8776" i="5"/>
  <c r="W8777" i="5"/>
  <c r="W8784" i="5"/>
  <c r="W8785" i="5"/>
  <c r="W8793" i="5"/>
  <c r="W8801" i="5"/>
  <c r="W8807" i="5"/>
  <c r="W8809" i="5"/>
  <c r="W8815" i="5"/>
  <c r="W8816" i="5"/>
  <c r="W8817" i="5"/>
  <c r="W8823" i="5"/>
  <c r="W8824" i="5"/>
  <c r="W8825" i="5"/>
  <c r="W8832" i="5"/>
  <c r="W8833" i="5"/>
  <c r="W8839" i="5"/>
  <c r="W8840" i="5"/>
  <c r="W8841" i="5"/>
  <c r="W8848" i="5"/>
  <c r="W8849" i="5"/>
  <c r="W8857" i="5"/>
  <c r="W8865" i="5"/>
  <c r="W8871" i="5"/>
  <c r="W8873" i="5"/>
  <c r="W8879" i="5"/>
  <c r="W8880" i="5"/>
  <c r="W8881" i="5"/>
  <c r="W8887" i="5"/>
  <c r="W8888" i="5"/>
  <c r="W8889" i="5"/>
  <c r="W8896" i="5"/>
  <c r="W8897" i="5"/>
  <c r="W8903" i="5"/>
  <c r="W8904" i="5"/>
  <c r="W8905" i="5"/>
  <c r="W8912" i="5"/>
  <c r="W8913" i="5"/>
  <c r="W8921" i="5"/>
  <c r="W8929" i="5"/>
  <c r="W8935" i="5"/>
  <c r="W8937" i="5"/>
  <c r="W8943" i="5"/>
  <c r="W8944" i="5"/>
  <c r="W8945" i="5"/>
  <c r="W8951" i="5"/>
  <c r="W8952" i="5"/>
  <c r="W8953" i="5"/>
  <c r="W8960" i="5"/>
  <c r="W8961" i="5"/>
  <c r="W8967" i="5"/>
  <c r="W8968" i="5"/>
  <c r="W8969" i="5"/>
  <c r="W8976" i="5"/>
  <c r="W8977" i="5"/>
  <c r="W8985" i="5"/>
  <c r="W8993" i="5"/>
  <c r="W8999" i="5"/>
  <c r="W9001" i="5"/>
  <c r="W9007" i="5"/>
  <c r="W9008" i="5"/>
  <c r="W9009" i="5"/>
  <c r="W9015" i="5"/>
  <c r="W9016" i="5"/>
  <c r="W9017" i="5"/>
  <c r="W9024" i="5"/>
  <c r="W9025" i="5"/>
  <c r="W9031" i="5"/>
  <c r="W9032" i="5"/>
  <c r="W9033" i="5"/>
  <c r="W9040" i="5"/>
  <c r="W9041" i="5"/>
  <c r="W9049" i="5"/>
  <c r="W9057" i="5"/>
  <c r="W9063" i="5"/>
  <c r="W9065" i="5"/>
  <c r="W9071" i="5"/>
  <c r="W9072" i="5"/>
  <c r="W9073" i="5"/>
  <c r="W9079" i="5"/>
  <c r="W9080" i="5"/>
  <c r="W9081" i="5"/>
  <c r="W9088" i="5"/>
  <c r="W9089" i="5"/>
  <c r="W9095" i="5"/>
  <c r="W9096" i="5"/>
  <c r="W9097" i="5"/>
  <c r="W9104" i="5"/>
  <c r="W9105" i="5"/>
  <c r="W9113" i="5"/>
  <c r="W9121" i="5"/>
  <c r="W9127" i="5"/>
  <c r="W9129" i="5"/>
  <c r="W9135" i="5"/>
  <c r="W9136" i="5"/>
  <c r="W9137" i="5"/>
  <c r="W9143" i="5"/>
  <c r="W9144" i="5"/>
  <c r="W9145" i="5"/>
  <c r="W9152" i="5"/>
  <c r="W9153" i="5"/>
  <c r="W9159" i="5"/>
  <c r="W9160" i="5"/>
  <c r="W9161" i="5"/>
  <c r="W9168" i="5"/>
  <c r="W9169" i="5"/>
  <c r="W9177" i="5"/>
  <c r="W9185" i="5"/>
  <c r="W9191" i="5"/>
  <c r="W9193" i="5"/>
  <c r="W9199" i="5"/>
  <c r="W9200" i="5"/>
  <c r="W9201" i="5"/>
  <c r="W9207" i="5"/>
  <c r="W9208" i="5"/>
  <c r="W9209" i="5"/>
  <c r="W9216" i="5"/>
  <c r="W9217" i="5"/>
  <c r="W9223" i="5"/>
  <c r="W9224" i="5"/>
  <c r="W9225" i="5"/>
  <c r="W9232" i="5"/>
  <c r="W9233" i="5"/>
  <c r="W9241" i="5"/>
  <c r="W9249" i="5"/>
  <c r="W9255" i="5"/>
  <c r="W9257" i="5"/>
  <c r="W9263" i="5"/>
  <c r="W9264" i="5"/>
  <c r="W9265" i="5"/>
  <c r="W9271" i="5"/>
  <c r="W9272" i="5"/>
  <c r="W9273" i="5"/>
  <c r="W9280" i="5"/>
  <c r="W9281" i="5"/>
  <c r="W9287" i="5"/>
  <c r="W9288" i="5"/>
  <c r="W9289" i="5"/>
  <c r="W9296" i="5"/>
  <c r="W9297" i="5"/>
  <c r="W9305" i="5"/>
  <c r="W9313" i="5"/>
  <c r="W9319" i="5"/>
  <c r="W9321" i="5"/>
  <c r="W9327" i="5"/>
  <c r="W9328" i="5"/>
  <c r="W9329" i="5"/>
  <c r="W9335" i="5"/>
  <c r="W9336" i="5"/>
  <c r="W9337" i="5"/>
  <c r="W9344" i="5"/>
  <c r="W9345" i="5"/>
  <c r="W9351" i="5"/>
  <c r="W9352" i="5"/>
  <c r="W9353" i="5"/>
  <c r="W9360" i="5"/>
  <c r="W9361" i="5"/>
  <c r="W9369" i="5"/>
  <c r="W9377" i="5"/>
  <c r="W9383" i="5"/>
  <c r="W9385" i="5"/>
  <c r="W9391" i="5"/>
  <c r="W9392" i="5"/>
  <c r="W9393" i="5"/>
  <c r="W9399" i="5"/>
  <c r="W9400" i="5"/>
  <c r="W9401" i="5"/>
  <c r="W9408" i="5"/>
  <c r="W9409" i="5"/>
  <c r="W9415" i="5"/>
  <c r="W9416" i="5"/>
  <c r="W9417" i="5"/>
  <c r="W9424" i="5"/>
  <c r="W9425" i="5"/>
  <c r="W9433" i="5"/>
  <c r="W9441" i="5"/>
  <c r="W9447" i="5"/>
  <c r="W9449" i="5"/>
  <c r="W9455" i="5"/>
  <c r="W9456" i="5"/>
  <c r="W9457" i="5"/>
  <c r="W9463" i="5"/>
  <c r="W9464" i="5"/>
  <c r="W9465" i="5"/>
  <c r="W9472" i="5"/>
  <c r="W9473" i="5"/>
  <c r="W9479" i="5"/>
  <c r="W9480" i="5"/>
  <c r="W9481" i="5"/>
  <c r="W9488" i="5"/>
  <c r="W9489" i="5"/>
  <c r="W9490" i="5"/>
  <c r="W9491" i="5"/>
  <c r="W9492" i="5"/>
  <c r="W9493" i="5"/>
  <c r="W9494" i="5"/>
  <c r="W9495" i="5"/>
  <c r="W9496" i="5"/>
  <c r="W9497" i="5"/>
  <c r="W9498" i="5"/>
  <c r="W9499" i="5"/>
  <c r="W9500" i="5"/>
  <c r="W9501" i="5"/>
  <c r="W9502" i="5"/>
  <c r="W9503" i="5"/>
  <c r="W9504" i="5"/>
  <c r="W9505" i="5"/>
  <c r="W9506" i="5"/>
  <c r="W9507" i="5"/>
  <c r="W9508" i="5"/>
  <c r="W9509" i="5"/>
  <c r="W9510" i="5"/>
  <c r="W9511" i="5"/>
  <c r="W9512" i="5"/>
  <c r="W9513" i="5"/>
  <c r="W9514" i="5"/>
  <c r="W9515" i="5"/>
  <c r="W9516" i="5"/>
  <c r="W9517" i="5"/>
  <c r="W9518" i="5"/>
  <c r="W9519" i="5"/>
  <c r="W9520" i="5"/>
  <c r="W9521" i="5"/>
  <c r="W9522" i="5"/>
  <c r="W9523" i="5"/>
  <c r="W9524" i="5"/>
  <c r="W9525" i="5"/>
  <c r="W9526" i="5"/>
  <c r="W9527" i="5"/>
  <c r="W9528" i="5"/>
  <c r="W9529" i="5"/>
  <c r="W9530" i="5"/>
  <c r="W9531" i="5"/>
  <c r="W9532" i="5"/>
  <c r="W9533" i="5"/>
  <c r="W9534" i="5"/>
  <c r="W9535" i="5"/>
  <c r="W9536" i="5"/>
  <c r="W9537" i="5"/>
  <c r="W9538" i="5"/>
  <c r="W9539" i="5"/>
  <c r="W9540" i="5"/>
  <c r="W9541" i="5"/>
  <c r="W9542" i="5"/>
  <c r="W9543" i="5"/>
  <c r="W9544" i="5"/>
  <c r="W9545" i="5"/>
  <c r="W9546" i="5"/>
  <c r="W9547" i="5"/>
  <c r="W9548" i="5"/>
  <c r="W9549" i="5"/>
  <c r="W9550" i="5"/>
  <c r="W9551" i="5"/>
  <c r="W9552" i="5"/>
  <c r="W9553" i="5"/>
  <c r="W9554" i="5"/>
  <c r="W9555" i="5"/>
  <c r="W9556" i="5"/>
  <c r="W9557" i="5"/>
  <c r="W9558" i="5"/>
  <c r="W9559" i="5"/>
  <c r="W9560" i="5"/>
  <c r="W9561" i="5"/>
  <c r="W9562" i="5"/>
  <c r="W9563" i="5"/>
  <c r="W9564" i="5"/>
  <c r="W9565" i="5"/>
  <c r="W9566" i="5"/>
  <c r="W9567" i="5"/>
  <c r="W9568" i="5"/>
  <c r="W9569" i="5"/>
  <c r="W9570" i="5"/>
  <c r="W9571" i="5"/>
  <c r="W9572" i="5"/>
  <c r="W9573" i="5"/>
  <c r="W4318" i="5"/>
  <c r="W4310" i="5"/>
  <c r="W4286" i="5"/>
  <c r="W6720" i="5"/>
  <c r="W6317" i="5"/>
  <c r="W6277" i="5"/>
  <c r="W6253" i="5"/>
  <c r="W6125" i="5"/>
  <c r="W910" i="5"/>
  <c r="W902" i="5"/>
  <c r="W10165" i="5"/>
  <c r="W10157" i="5"/>
  <c r="W10149" i="5"/>
  <c r="W10141" i="5"/>
  <c r="W10133" i="5"/>
  <c r="W10125" i="5"/>
  <c r="W10117" i="5"/>
  <c r="W10109" i="5"/>
  <c r="W10101" i="5"/>
  <c r="W10093" i="5"/>
  <c r="W10085" i="5"/>
  <c r="W10077" i="5"/>
  <c r="W10069" i="5"/>
  <c r="W10061" i="5"/>
  <c r="W10053" i="5"/>
  <c r="W10045" i="5"/>
  <c r="W10037" i="5"/>
  <c r="W10029" i="5"/>
  <c r="W10021" i="5"/>
  <c r="W10013" i="5"/>
  <c r="W10005" i="5"/>
  <c r="W9997" i="5"/>
  <c r="W9989" i="5"/>
  <c r="W9981" i="5"/>
  <c r="W9973" i="5"/>
  <c r="W9965" i="5"/>
  <c r="W9957" i="5"/>
  <c r="W9949" i="5"/>
  <c r="W9941" i="5"/>
  <c r="W9933" i="5"/>
  <c r="W9925" i="5"/>
  <c r="W9917" i="5"/>
  <c r="W9909" i="5"/>
  <c r="W9901" i="5"/>
  <c r="W9893" i="5"/>
  <c r="W9885" i="5"/>
  <c r="W9877" i="5"/>
  <c r="W9869" i="5"/>
  <c r="W9861" i="5"/>
  <c r="W9853" i="5"/>
  <c r="W9845" i="5"/>
  <c r="W9837" i="5"/>
  <c r="W9829" i="5"/>
  <c r="W9821" i="5"/>
  <c r="W9813" i="5"/>
  <c r="W9805" i="5"/>
  <c r="W9797" i="5"/>
  <c r="W9789" i="5"/>
  <c r="W9781" i="5"/>
  <c r="W9773" i="5"/>
  <c r="W9765" i="5"/>
  <c r="W9757" i="5"/>
  <c r="W9749" i="5"/>
  <c r="W9741" i="5"/>
  <c r="W9733" i="5"/>
  <c r="W9725" i="5"/>
  <c r="W9717" i="5"/>
  <c r="W9709" i="5"/>
  <c r="W9701" i="5"/>
  <c r="W9693" i="5"/>
  <c r="W9685" i="5"/>
  <c r="W9677" i="5"/>
  <c r="W9669" i="5"/>
  <c r="W9661" i="5"/>
  <c r="W9653" i="5"/>
  <c r="W9645" i="5"/>
  <c r="W9637" i="5"/>
  <c r="W9629" i="5"/>
  <c r="W9621" i="5"/>
  <c r="W9613" i="5"/>
  <c r="W9605" i="5"/>
  <c r="W9597" i="5"/>
  <c r="W9589" i="5"/>
  <c r="W9581" i="5"/>
  <c r="W7951" i="5"/>
  <c r="W7911" i="5"/>
  <c r="W7847" i="5"/>
  <c r="W7504" i="5"/>
  <c r="W7432" i="5"/>
  <c r="W7424" i="5"/>
  <c r="W7416" i="5"/>
  <c r="W7408" i="5"/>
  <c r="W7400" i="5"/>
  <c r="W7392" i="5"/>
  <c r="W7384" i="5"/>
  <c r="W7376" i="5"/>
  <c r="W6336" i="5"/>
  <c r="W6328" i="5"/>
  <c r="W6320" i="5"/>
  <c r="W6312" i="5"/>
  <c r="W6304" i="5"/>
  <c r="W6296" i="5"/>
  <c r="W6288" i="5"/>
  <c r="W6280" i="5"/>
  <c r="W6272" i="5"/>
  <c r="W6264" i="5"/>
  <c r="W6256" i="5"/>
  <c r="W6248" i="5"/>
  <c r="W6240" i="5"/>
  <c r="W6232" i="5"/>
  <c r="W6224" i="5"/>
  <c r="W6216" i="5"/>
  <c r="W6208" i="5"/>
  <c r="W6200" i="5"/>
  <c r="W6192" i="5"/>
  <c r="W6184" i="5"/>
  <c r="W6176" i="5"/>
  <c r="W6168" i="5"/>
  <c r="W6160" i="5"/>
  <c r="W6144" i="5"/>
  <c r="W6136" i="5"/>
  <c r="W6128" i="5"/>
  <c r="W6120" i="5"/>
  <c r="W6112" i="5"/>
  <c r="W6104" i="5"/>
  <c r="W6096" i="5"/>
  <c r="W7368" i="5"/>
  <c r="W7360" i="5"/>
  <c r="W7352" i="5"/>
  <c r="W7344" i="5"/>
  <c r="W7336" i="5"/>
  <c r="W7328" i="5"/>
  <c r="W7320" i="5"/>
  <c r="W7312" i="5"/>
  <c r="W7304" i="5"/>
  <c r="W7296" i="5"/>
  <c r="W7288" i="5"/>
  <c r="W7280" i="5"/>
  <c r="W7272" i="5"/>
  <c r="W7264" i="5"/>
  <c r="W7256" i="5"/>
  <c r="W7248" i="5"/>
  <c r="W7240" i="5"/>
  <c r="W7232" i="5"/>
  <c r="W7224" i="5"/>
  <c r="W7216" i="5"/>
  <c r="W7208" i="5"/>
  <c r="W7200" i="5"/>
  <c r="W7192" i="5"/>
  <c r="W7184" i="5"/>
  <c r="W7176" i="5"/>
  <c r="W7168" i="5"/>
  <c r="W7160" i="5"/>
  <c r="W7152" i="5"/>
  <c r="W7144" i="5"/>
  <c r="W7136" i="5"/>
  <c r="W7128" i="5"/>
  <c r="W7120" i="5"/>
  <c r="W7112" i="5"/>
  <c r="W7104" i="5"/>
  <c r="W7096" i="5"/>
  <c r="W7088" i="5"/>
  <c r="W7080" i="5"/>
  <c r="W7072" i="5"/>
  <c r="W7064" i="5"/>
  <c r="W7056" i="5"/>
  <c r="W7048" i="5"/>
  <c r="W7040" i="5"/>
  <c r="W7032" i="5"/>
  <c r="W7024" i="5"/>
  <c r="W7016" i="5"/>
  <c r="W7008" i="5"/>
  <c r="W7000" i="5"/>
  <c r="W6992" i="5"/>
  <c r="W6984" i="5"/>
  <c r="W6976" i="5"/>
  <c r="W6968" i="5"/>
  <c r="W6960" i="5"/>
  <c r="W6952" i="5"/>
  <c r="W6944" i="5"/>
  <c r="W6936" i="5"/>
  <c r="W6928" i="5"/>
  <c r="W6920" i="5"/>
  <c r="W6912" i="5"/>
  <c r="W6904" i="5"/>
  <c r="W6888" i="5"/>
  <c r="W6880" i="5"/>
  <c r="W6872" i="5"/>
  <c r="W6864" i="5"/>
  <c r="W6856" i="5"/>
  <c r="W6848" i="5"/>
  <c r="W6840" i="5"/>
  <c r="W6832" i="5"/>
  <c r="W6824" i="5"/>
  <c r="W6816" i="5"/>
  <c r="W6808" i="5"/>
  <c r="W6800" i="5"/>
  <c r="W6792" i="5"/>
  <c r="W6784" i="5"/>
  <c r="W6776" i="5"/>
  <c r="W6768" i="5"/>
  <c r="W6760" i="5"/>
  <c r="W6752" i="5"/>
  <c r="W6744" i="5"/>
  <c r="W6736" i="5"/>
  <c r="W6728" i="5"/>
  <c r="W6599" i="5"/>
  <c r="W6591" i="5"/>
  <c r="W6567" i="5"/>
  <c r="W6535" i="5"/>
  <c r="W2773" i="5"/>
  <c r="W1261" i="5"/>
  <c r="W4270" i="5"/>
  <c r="W4213" i="5"/>
  <c r="W4141" i="5"/>
  <c r="W3072" i="5"/>
  <c r="W2589" i="5"/>
  <c r="W391" i="5"/>
  <c r="W6407" i="5"/>
  <c r="W6399" i="5"/>
  <c r="W3282" i="5"/>
  <c r="W3135" i="5"/>
  <c r="W2596" i="5"/>
  <c r="W2143" i="5"/>
  <c r="W2071" i="5"/>
  <c r="W2007" i="5"/>
  <c r="W6279" i="5"/>
  <c r="W6223" i="5"/>
  <c r="W6175" i="5"/>
  <c r="W6528" i="5"/>
  <c r="W4561" i="5"/>
  <c r="W4022" i="5"/>
  <c r="W1891" i="5"/>
  <c r="W1613" i="5"/>
  <c r="W1343" i="5"/>
  <c r="W1335" i="5"/>
  <c r="W6472" i="5"/>
  <c r="W6072" i="5"/>
  <c r="W6471" i="5"/>
  <c r="W6368" i="5"/>
  <c r="W6360" i="5"/>
  <c r="W5660" i="5"/>
  <c r="W5604" i="5"/>
  <c r="W1365" i="5"/>
  <c r="W1333" i="5"/>
  <c r="W791" i="5"/>
  <c r="W6712" i="5"/>
  <c r="W6704" i="5"/>
  <c r="W6696" i="5"/>
  <c r="W6688" i="5"/>
  <c r="W6680" i="5"/>
  <c r="W6672" i="5"/>
  <c r="W6664" i="5"/>
  <c r="W6656" i="5"/>
  <c r="W6648" i="5"/>
  <c r="W6640" i="5"/>
  <c r="W6632" i="5"/>
  <c r="W6624" i="5"/>
  <c r="W6616" i="5"/>
  <c r="W6608" i="5"/>
  <c r="W6600" i="5"/>
  <c r="W6592" i="5"/>
  <c r="W6584" i="5"/>
  <c r="W6576" i="5"/>
  <c r="W6568" i="5"/>
  <c r="W6560" i="5"/>
  <c r="W6552" i="5"/>
  <c r="W6544" i="5"/>
  <c r="W6536" i="5"/>
  <c r="W6488" i="5"/>
  <c r="W6448" i="5"/>
  <c r="W6440" i="5"/>
  <c r="W6432" i="5"/>
  <c r="W6424" i="5"/>
  <c r="W6416" i="5"/>
  <c r="W2945" i="5"/>
  <c r="W5444" i="5"/>
  <c r="W3832" i="5"/>
  <c r="W2865" i="5"/>
  <c r="W3265" i="5"/>
  <c r="W3241" i="5"/>
  <c r="W2240" i="5"/>
  <c r="W2184" i="5"/>
  <c r="W1606" i="5"/>
  <c r="W1463" i="5"/>
  <c r="W1431" i="5"/>
  <c r="W2149" i="5"/>
  <c r="W1949" i="5"/>
  <c r="W10162" i="5"/>
  <c r="W10154" i="5"/>
  <c r="W10146" i="5"/>
  <c r="W10138" i="5"/>
  <c r="W10130" i="5"/>
  <c r="W10122" i="5"/>
  <c r="W10114" i="5"/>
  <c r="W10106" i="5"/>
  <c r="W10098" i="5"/>
  <c r="W10090" i="5"/>
  <c r="W10082" i="5"/>
  <c r="W10074" i="5"/>
  <c r="W10066" i="5"/>
  <c r="W10058" i="5"/>
  <c r="W10050" i="5"/>
  <c r="W10042" i="5"/>
  <c r="W10034" i="5"/>
  <c r="W10026" i="5"/>
  <c r="W10018" i="5"/>
  <c r="W10010" i="5"/>
  <c r="W10002" i="5"/>
  <c r="W9994" i="5"/>
  <c r="W9986" i="5"/>
  <c r="W9978" i="5"/>
  <c r="W9970" i="5"/>
  <c r="W9962" i="5"/>
  <c r="W9954" i="5"/>
  <c r="W9946" i="5"/>
  <c r="W9938" i="5"/>
  <c r="W9930" i="5"/>
  <c r="W9922" i="5"/>
  <c r="W9914" i="5"/>
  <c r="W9906" i="5"/>
  <c r="W9898" i="5"/>
  <c r="W9890" i="5"/>
  <c r="W9882" i="5"/>
  <c r="W9874" i="5"/>
  <c r="W9866" i="5"/>
  <c r="W9858" i="5"/>
  <c r="W9850" i="5"/>
  <c r="W9842" i="5"/>
  <c r="W9834" i="5"/>
  <c r="W9826" i="5"/>
  <c r="W9818" i="5"/>
  <c r="W9810" i="5"/>
  <c r="W9802" i="5"/>
  <c r="W9794" i="5"/>
  <c r="W9786" i="5"/>
  <c r="W9778" i="5"/>
  <c r="W9770" i="5"/>
  <c r="W9762" i="5"/>
  <c r="W9754" i="5"/>
  <c r="W9746" i="5"/>
  <c r="W9738" i="5"/>
  <c r="W9730" i="5"/>
  <c r="W9722" i="5"/>
  <c r="W9714" i="5"/>
  <c r="W9706" i="5"/>
  <c r="W9698" i="5"/>
  <c r="W9690" i="5"/>
  <c r="W9682" i="5"/>
  <c r="W9674" i="5"/>
  <c r="W9666" i="5"/>
  <c r="W9658" i="5"/>
  <c r="W9650" i="5"/>
  <c r="W9642" i="5"/>
  <c r="W9634" i="5"/>
  <c r="W9626" i="5"/>
  <c r="W9618" i="5"/>
  <c r="W9610" i="5"/>
  <c r="W9602" i="5"/>
  <c r="W9594" i="5"/>
  <c r="W9586" i="5"/>
  <c r="W9578" i="5"/>
  <c r="W8458" i="5"/>
  <c r="W8450" i="5"/>
  <c r="W8442" i="5"/>
  <c r="W8434" i="5"/>
  <c r="W8426" i="5"/>
  <c r="W8418" i="5"/>
  <c r="W8410" i="5"/>
  <c r="W8402" i="5"/>
  <c r="W8394" i="5"/>
  <c r="W8386" i="5"/>
  <c r="W8378" i="5"/>
  <c r="W8370" i="5"/>
  <c r="W8362" i="5"/>
  <c r="W8354" i="5"/>
  <c r="W8346" i="5"/>
  <c r="W8338" i="5"/>
  <c r="W8330" i="5"/>
  <c r="W8322" i="5"/>
  <c r="W8314" i="5"/>
  <c r="W8298" i="5"/>
  <c r="W8291" i="5"/>
  <c r="W8283" i="5"/>
  <c r="W8275" i="5"/>
  <c r="W8267" i="5"/>
  <c r="W8259" i="5"/>
  <c r="W8099" i="5"/>
  <c r="W7836" i="5"/>
  <c r="W7828" i="5"/>
  <c r="W7804" i="5"/>
  <c r="W7780" i="5"/>
  <c r="W7772" i="5"/>
  <c r="W7764" i="5"/>
  <c r="W7756" i="5"/>
  <c r="W7740" i="5"/>
  <c r="W7725" i="5"/>
  <c r="W7710" i="5"/>
  <c r="W7694" i="5"/>
  <c r="W7678" i="5"/>
  <c r="W7629" i="5"/>
  <c r="W7605" i="5"/>
  <c r="W7597" i="5"/>
  <c r="W7589" i="5"/>
  <c r="W7581" i="5"/>
  <c r="W7573" i="5"/>
  <c r="W7549" i="5"/>
  <c r="W7541" i="5"/>
  <c r="W7517" i="5"/>
  <c r="W7493" i="5"/>
  <c r="W7469" i="5"/>
  <c r="W7461" i="5"/>
  <c r="W7445" i="5"/>
  <c r="W7021" i="5"/>
  <c r="W6957" i="5"/>
  <c r="W6933" i="5"/>
  <c r="W6925" i="5"/>
  <c r="W8077" i="5"/>
  <c r="W8061" i="5"/>
  <c r="W8030" i="5"/>
  <c r="W7974" i="5"/>
  <c r="W7958" i="5"/>
  <c r="W7942" i="5"/>
  <c r="W7926" i="5"/>
  <c r="W7894" i="5"/>
  <c r="W7862" i="5"/>
  <c r="W7854" i="5"/>
  <c r="W7790" i="5"/>
  <c r="W7782" i="5"/>
  <c r="W7758" i="5"/>
  <c r="W7742" i="5"/>
  <c r="W7727" i="5"/>
  <c r="W7719" i="5"/>
  <c r="W7672" i="5"/>
  <c r="W7663" i="5"/>
  <c r="W7647" i="5"/>
  <c r="W7639" i="5"/>
  <c r="W7631" i="5"/>
  <c r="W7623" i="5"/>
  <c r="W7599" i="5"/>
  <c r="W7591" i="5"/>
  <c r="W7575" i="5"/>
  <c r="W7567" i="5"/>
  <c r="W7535" i="5"/>
  <c r="W7519" i="5"/>
  <c r="W7503" i="5"/>
  <c r="W7495" i="5"/>
  <c r="W7463" i="5"/>
  <c r="W7455" i="5"/>
  <c r="W7447" i="5"/>
  <c r="W7383" i="5"/>
  <c r="W7327" i="5"/>
  <c r="W7255" i="5"/>
  <c r="W7159" i="5"/>
  <c r="W7103" i="5"/>
  <c r="W7071" i="5"/>
  <c r="W7047" i="5"/>
  <c r="W7015" i="5"/>
  <c r="W6991" i="5"/>
  <c r="W6895" i="5"/>
  <c r="W6839" i="5"/>
  <c r="W6823" i="5"/>
  <c r="W6759" i="5"/>
  <c r="W6727" i="5"/>
  <c r="W6703" i="5"/>
  <c r="W6695" i="5"/>
  <c r="W6663" i="5"/>
  <c r="W10169" i="5"/>
  <c r="W10161" i="5"/>
  <c r="W10153" i="5"/>
  <c r="W10145" i="5"/>
  <c r="W10137" i="5"/>
  <c r="W10129" i="5"/>
  <c r="W10121" i="5"/>
  <c r="W10113" i="5"/>
  <c r="W10105" i="5"/>
  <c r="W10097" i="5"/>
  <c r="W10089" i="5"/>
  <c r="W10081" i="5"/>
  <c r="W10073" i="5"/>
  <c r="W10065" i="5"/>
  <c r="W10057" i="5"/>
  <c r="W10049" i="5"/>
  <c r="W10041" i="5"/>
  <c r="W10033" i="5"/>
  <c r="W10025" i="5"/>
  <c r="W10017" i="5"/>
  <c r="W5389" i="5"/>
  <c r="W4937" i="5"/>
  <c r="W2753" i="5"/>
  <c r="W2729" i="5"/>
  <c r="W4946" i="5"/>
  <c r="W4036" i="5"/>
  <c r="W6581" i="5"/>
  <c r="W3948" i="5"/>
  <c r="W3932" i="5"/>
  <c r="W5924" i="5"/>
  <c r="W5605" i="5"/>
  <c r="W5549" i="5"/>
  <c r="W5477" i="5"/>
  <c r="W5445" i="5"/>
  <c r="W3272" i="5"/>
  <c r="W3232" i="5"/>
  <c r="W3421" i="5"/>
  <c r="W3381" i="5"/>
  <c r="W10164" i="5"/>
  <c r="W10156" i="5"/>
  <c r="W10148" i="5"/>
  <c r="W10140" i="5"/>
  <c r="W10132" i="5"/>
  <c r="W10124" i="5"/>
  <c r="W10116" i="5"/>
  <c r="W10108" i="5"/>
  <c r="W10100" i="5"/>
  <c r="W10092" i="5"/>
  <c r="W10084" i="5"/>
  <c r="W10076" i="5"/>
  <c r="W10068" i="5"/>
  <c r="W10060" i="5"/>
  <c r="W10052" i="5"/>
  <c r="W10044" i="5"/>
  <c r="W10036" i="5"/>
  <c r="W10028" i="5"/>
  <c r="W10020" i="5"/>
  <c r="W10012" i="5"/>
  <c r="W10004" i="5"/>
  <c r="W9996" i="5"/>
  <c r="W9988" i="5"/>
  <c r="W9980" i="5"/>
  <c r="W9972" i="5"/>
  <c r="W9964" i="5"/>
  <c r="W9956" i="5"/>
  <c r="W9948" i="5"/>
  <c r="W9940" i="5"/>
  <c r="W9932" i="5"/>
  <c r="W9924" i="5"/>
  <c r="W9916" i="5"/>
  <c r="W9908" i="5"/>
  <c r="W9900" i="5"/>
  <c r="W9892" i="5"/>
  <c r="W9884" i="5"/>
  <c r="W9876" i="5"/>
  <c r="W9868" i="5"/>
  <c r="W9860" i="5"/>
  <c r="W9852" i="5"/>
  <c r="W9844" i="5"/>
  <c r="W9836" i="5"/>
  <c r="W9828" i="5"/>
  <c r="W9820" i="5"/>
  <c r="W9812" i="5"/>
  <c r="W9804" i="5"/>
  <c r="W9796" i="5"/>
  <c r="W9788" i="5"/>
  <c r="W9780" i="5"/>
  <c r="W9772" i="5"/>
  <c r="W9764" i="5"/>
  <c r="W9756" i="5"/>
  <c r="W9748" i="5"/>
  <c r="W9740" i="5"/>
  <c r="W9732" i="5"/>
  <c r="W9724" i="5"/>
  <c r="W9716" i="5"/>
  <c r="W9708" i="5"/>
  <c r="W9700" i="5"/>
  <c r="W9692" i="5"/>
  <c r="W9684" i="5"/>
  <c r="W9676" i="5"/>
  <c r="W9668" i="5"/>
  <c r="W9660" i="5"/>
  <c r="W9652" i="5"/>
  <c r="W9644" i="5"/>
  <c r="W9636" i="5"/>
  <c r="W9628" i="5"/>
  <c r="W9620" i="5"/>
  <c r="W9612" i="5"/>
  <c r="W9604" i="5"/>
  <c r="W9596" i="5"/>
  <c r="W9588" i="5"/>
  <c r="W9580" i="5"/>
  <c r="W1677" i="5"/>
  <c r="W2" i="5"/>
  <c r="W10163" i="5"/>
  <c r="W10155" i="5"/>
  <c r="W10147" i="5"/>
  <c r="W10139" i="5"/>
  <c r="W10131" i="5"/>
  <c r="W10123" i="5"/>
  <c r="W10115" i="5"/>
  <c r="W10107" i="5"/>
  <c r="W10099" i="5"/>
  <c r="W10091" i="5"/>
  <c r="W10083" i="5"/>
  <c r="W10075" i="5"/>
  <c r="W10067" i="5"/>
  <c r="W10059" i="5"/>
  <c r="W10051" i="5"/>
  <c r="W10043" i="5"/>
  <c r="W10035" i="5"/>
  <c r="W10027" i="5"/>
  <c r="W10019" i="5"/>
  <c r="W10011" i="5"/>
  <c r="W10003" i="5"/>
  <c r="W9995" i="5"/>
  <c r="W9987" i="5"/>
  <c r="W9979" i="5"/>
  <c r="W9971" i="5"/>
  <c r="W9963" i="5"/>
  <c r="W9955" i="5"/>
  <c r="W9947" i="5"/>
  <c r="W9939" i="5"/>
  <c r="W9931" i="5"/>
  <c r="W9923" i="5"/>
  <c r="W9915" i="5"/>
  <c r="W9907" i="5"/>
  <c r="W9899" i="5"/>
  <c r="W9891" i="5"/>
  <c r="W9883" i="5"/>
  <c r="W9875" i="5"/>
  <c r="W9867" i="5"/>
  <c r="W9859" i="5"/>
  <c r="W9851" i="5"/>
  <c r="W9843" i="5"/>
  <c r="W9835" i="5"/>
  <c r="W9827" i="5"/>
  <c r="W9819" i="5"/>
  <c r="W9811" i="5"/>
  <c r="W9803" i="5"/>
  <c r="W9795" i="5"/>
  <c r="W9787" i="5"/>
  <c r="W9779" i="5"/>
  <c r="W9771" i="5"/>
  <c r="W9763" i="5"/>
  <c r="W9755" i="5"/>
  <c r="W9747" i="5"/>
  <c r="W9739" i="5"/>
  <c r="W9731" i="5"/>
  <c r="W9723" i="5"/>
  <c r="W9715" i="5"/>
  <c r="W9707" i="5"/>
  <c r="W9699" i="5"/>
  <c r="W9691" i="5"/>
  <c r="W9683" i="5"/>
  <c r="W9675" i="5"/>
  <c r="W9667" i="5"/>
  <c r="W9659" i="5"/>
  <c r="W9651" i="5"/>
  <c r="W9643" i="5"/>
  <c r="W9635" i="5"/>
  <c r="W9627" i="5"/>
  <c r="W9619" i="5"/>
  <c r="W9611" i="5"/>
  <c r="W9603" i="5"/>
  <c r="W9595" i="5"/>
  <c r="W7893" i="5"/>
  <c r="W7789" i="5"/>
  <c r="W7590" i="5"/>
  <c r="W7526" i="5"/>
  <c r="W6646" i="5"/>
  <c r="W6462" i="5"/>
  <c r="W4818" i="5"/>
  <c r="W4746" i="5"/>
  <c r="W4610" i="5"/>
  <c r="W4586" i="5"/>
  <c r="W4045" i="5"/>
  <c r="W4015" i="5"/>
  <c r="W9587" i="5"/>
  <c r="W9579" i="5"/>
  <c r="W2144" i="5"/>
  <c r="W3532" i="5"/>
  <c r="W3428" i="5"/>
  <c r="W6024" i="5"/>
  <c r="W5976" i="5"/>
  <c r="W5689" i="5"/>
  <c r="W5681" i="5"/>
  <c r="W5641" i="5"/>
  <c r="W5513" i="5"/>
  <c r="W5465" i="5"/>
  <c r="W5449" i="5"/>
  <c r="W5329" i="5"/>
  <c r="W5241" i="5"/>
  <c r="W5209" i="5"/>
  <c r="W5999" i="5"/>
  <c r="W5680" i="5"/>
  <c r="W5672" i="5"/>
  <c r="W5640" i="5"/>
  <c r="W5544" i="5"/>
  <c r="W5424" i="5"/>
  <c r="W5288" i="5"/>
  <c r="W5264" i="5"/>
  <c r="W5192" i="5"/>
  <c r="W3881" i="5"/>
  <c r="W4761" i="5"/>
  <c r="W4729" i="5"/>
  <c r="W4721" i="5"/>
  <c r="W4705" i="5"/>
  <c r="W4601" i="5"/>
  <c r="W3000" i="5"/>
  <c r="W2936" i="5"/>
  <c r="W4119" i="5"/>
  <c r="W4095" i="5"/>
  <c r="W2524" i="5"/>
  <c r="W1275" i="5"/>
  <c r="W1003" i="5"/>
  <c r="W4752" i="5"/>
  <c r="W4632" i="5"/>
  <c r="W4616" i="5"/>
  <c r="W4775" i="5"/>
  <c r="W2767" i="5"/>
  <c r="W6152" i="5"/>
  <c r="W6151" i="5"/>
  <c r="W5646" i="5"/>
  <c r="W5614" i="5"/>
  <c r="W5294" i="5"/>
  <c r="W5262" i="5"/>
  <c r="W5174" i="5"/>
  <c r="W5142" i="5"/>
  <c r="W1845" i="5"/>
  <c r="W398" i="5"/>
  <c r="W6143" i="5"/>
  <c r="W4174" i="5"/>
  <c r="W4158" i="5"/>
  <c r="W3115" i="5"/>
  <c r="W3092" i="5"/>
  <c r="W3029" i="5"/>
  <c r="W2901" i="5"/>
  <c r="W1132" i="5"/>
  <c r="W2851" i="5"/>
  <c r="W4772" i="5"/>
  <c r="W4764" i="5"/>
  <c r="W4716" i="5"/>
  <c r="W4588" i="5"/>
  <c r="W4148" i="5"/>
  <c r="W10167" i="5"/>
  <c r="W10159" i="5"/>
  <c r="W10151" i="5"/>
  <c r="W10143" i="5"/>
  <c r="W10135" i="5"/>
  <c r="W10127" i="5"/>
  <c r="W10119" i="5"/>
  <c r="W10111" i="5"/>
  <c r="W10103" i="5"/>
  <c r="W10095" i="5"/>
  <c r="W10087" i="5"/>
  <c r="W10079" i="5"/>
  <c r="W10071" i="5"/>
  <c r="W10063" i="5"/>
  <c r="W10055" i="5"/>
  <c r="W10047" i="5"/>
  <c r="W10039" i="5"/>
  <c r="W10031" i="5"/>
  <c r="W10023" i="5"/>
  <c r="W10015" i="5"/>
  <c r="W10007" i="5"/>
  <c r="W9999" i="5"/>
  <c r="W9991" i="5"/>
  <c r="W9983" i="5"/>
  <c r="W9975" i="5"/>
  <c r="W9967" i="5"/>
  <c r="W9959" i="5"/>
  <c r="W9951" i="5"/>
  <c r="W9943" i="5"/>
  <c r="W9935" i="5"/>
  <c r="W9927" i="5"/>
  <c r="W9919" i="5"/>
  <c r="W9911" i="5"/>
  <c r="W9903" i="5"/>
  <c r="W9895" i="5"/>
  <c r="W9887" i="5"/>
  <c r="W9879" i="5"/>
  <c r="W9871" i="5"/>
  <c r="W9863" i="5"/>
  <c r="W9855" i="5"/>
  <c r="W9847" i="5"/>
  <c r="W9839" i="5"/>
  <c r="W9831" i="5"/>
  <c r="W9823" i="5"/>
  <c r="W9815" i="5"/>
  <c r="W9807" i="5"/>
  <c r="W9799" i="5"/>
  <c r="W9791" i="5"/>
  <c r="W9783" i="5"/>
  <c r="W9775" i="5"/>
  <c r="W9767" i="5"/>
  <c r="W9759" i="5"/>
  <c r="W9751" i="5"/>
  <c r="W9743" i="5"/>
  <c r="W9735" i="5"/>
  <c r="W9727" i="5"/>
  <c r="W9719" i="5"/>
  <c r="W9711" i="5"/>
  <c r="W9703" i="5"/>
  <c r="W9695" i="5"/>
  <c r="W9687" i="5"/>
  <c r="W9679" i="5"/>
  <c r="W9671" i="5"/>
  <c r="W9663" i="5"/>
  <c r="W9655" i="5"/>
  <c r="W9647" i="5"/>
  <c r="W9639" i="5"/>
  <c r="W9631" i="5"/>
  <c r="W9623" i="5"/>
  <c r="W9615" i="5"/>
  <c r="W9607" i="5"/>
  <c r="W9599" i="5"/>
  <c r="W9591" i="5"/>
  <c r="W9583" i="5"/>
  <c r="W9575" i="5"/>
  <c r="W8128" i="5"/>
  <c r="W8104" i="5"/>
  <c r="W7985" i="5"/>
  <c r="W7977" i="5"/>
  <c r="W7913" i="5"/>
  <c r="W7881" i="5"/>
  <c r="W7777" i="5"/>
  <c r="W3569" i="5"/>
  <c r="W3473" i="5"/>
  <c r="W3409" i="5"/>
  <c r="W5058" i="5"/>
  <c r="W4953" i="5"/>
  <c r="W4110" i="5"/>
  <c r="W919" i="5"/>
  <c r="W903" i="5"/>
  <c r="W847" i="5"/>
  <c r="W799" i="5"/>
  <c r="W10166" i="5"/>
  <c r="W10158" i="5"/>
  <c r="W10150" i="5"/>
  <c r="W10142" i="5"/>
  <c r="W10134" i="5"/>
  <c r="W10126" i="5"/>
  <c r="W10118" i="5"/>
  <c r="W10110" i="5"/>
  <c r="W10102" i="5"/>
  <c r="W10094" i="5"/>
  <c r="W10086" i="5"/>
  <c r="W10078" i="5"/>
  <c r="W10070" i="5"/>
  <c r="W10062" i="5"/>
  <c r="W10054" i="5"/>
  <c r="W10046" i="5"/>
  <c r="W10038" i="5"/>
  <c r="W10030" i="5"/>
  <c r="W10022" i="5"/>
  <c r="W10014" i="5"/>
  <c r="W10006" i="5"/>
  <c r="W9998" i="5"/>
  <c r="W9990" i="5"/>
  <c r="W9982" i="5"/>
  <c r="W9974" i="5"/>
  <c r="W9966" i="5"/>
  <c r="W9958" i="5"/>
  <c r="W9950" i="5"/>
  <c r="W9942" i="5"/>
  <c r="W9934" i="5"/>
  <c r="W9926" i="5"/>
  <c r="W9918" i="5"/>
  <c r="W9910" i="5"/>
  <c r="W9902" i="5"/>
  <c r="W10168" i="5"/>
  <c r="W10160" i="5"/>
  <c r="W10152" i="5"/>
  <c r="W10144" i="5"/>
  <c r="W10136" i="5"/>
  <c r="W10128" i="5"/>
  <c r="W10120" i="5"/>
  <c r="W10112" i="5"/>
  <c r="W10104" i="5"/>
  <c r="W10096" i="5"/>
  <c r="W10088" i="5"/>
  <c r="W10080" i="5"/>
  <c r="W10072" i="5"/>
  <c r="W10064" i="5"/>
  <c r="W10056" i="5"/>
  <c r="W10048" i="5"/>
  <c r="W10040" i="5"/>
  <c r="W10032" i="5"/>
  <c r="W10024" i="5"/>
  <c r="W10016" i="5"/>
  <c r="W10008" i="5"/>
  <c r="W10000" i="5"/>
  <c r="W9992" i="5"/>
  <c r="W9984" i="5"/>
  <c r="W9976" i="5"/>
  <c r="W9968" i="5"/>
  <c r="W5051" i="5"/>
  <c r="W9894" i="5"/>
  <c r="W9886" i="5"/>
  <c r="W9878" i="5"/>
  <c r="W9870" i="5"/>
  <c r="W9862" i="5"/>
  <c r="W9854" i="5"/>
  <c r="W9846" i="5"/>
  <c r="W9838" i="5"/>
  <c r="W9830" i="5"/>
  <c r="W9822" i="5"/>
  <c r="W9814" i="5"/>
  <c r="W9806" i="5"/>
  <c r="W9798" i="5"/>
  <c r="W9790" i="5"/>
  <c r="W9782" i="5"/>
  <c r="W9774" i="5"/>
  <c r="W9766" i="5"/>
  <c r="W9758" i="5"/>
  <c r="W9750" i="5"/>
  <c r="W9742" i="5"/>
  <c r="W9734" i="5"/>
  <c r="W9726" i="5"/>
  <c r="W9718" i="5"/>
  <c r="W9710" i="5"/>
  <c r="W9702" i="5"/>
  <c r="W9694" i="5"/>
  <c r="W9686" i="5"/>
  <c r="W9678" i="5"/>
  <c r="W9670" i="5"/>
  <c r="W9662" i="5"/>
  <c r="W9654" i="5"/>
  <c r="W9646" i="5"/>
  <c r="W9638" i="5"/>
  <c r="W9630" i="5"/>
  <c r="W9622" i="5"/>
  <c r="W9614" i="5"/>
  <c r="W9606" i="5"/>
  <c r="W9598" i="5"/>
  <c r="W9590" i="5"/>
  <c r="W9582" i="5"/>
  <c r="W9574" i="5"/>
  <c r="W7976" i="5"/>
  <c r="W7832" i="5"/>
  <c r="W7752" i="5"/>
  <c r="W7729" i="5"/>
  <c r="W7721" i="5"/>
  <c r="W7706" i="5"/>
  <c r="W7690" i="5"/>
  <c r="W7666" i="5"/>
  <c r="W7657" i="5"/>
  <c r="W7633" i="5"/>
  <c r="W7601" i="5"/>
  <c r="W7577" i="5"/>
  <c r="W7529" i="5"/>
  <c r="W7489" i="5"/>
  <c r="W7465" i="5"/>
  <c r="W7449" i="5"/>
  <c r="W7441" i="5"/>
  <c r="W7409" i="5"/>
  <c r="W7401" i="5"/>
  <c r="W7385" i="5"/>
  <c r="W7337" i="5"/>
  <c r="W7321" i="5"/>
  <c r="W7209" i="5"/>
  <c r="W7177" i="5"/>
  <c r="W7161" i="5"/>
  <c r="W7081" i="5"/>
  <c r="W7065" i="5"/>
  <c r="W6969" i="5"/>
  <c r="W6809" i="5"/>
  <c r="W6769" i="5"/>
  <c r="W6681" i="5"/>
  <c r="W6617" i="5"/>
  <c r="W6545" i="5"/>
  <c r="W6521" i="5"/>
  <c r="W6289" i="5"/>
  <c r="W6113" i="5"/>
  <c r="W6097" i="5"/>
  <c r="W1329" i="5"/>
  <c r="W1233" i="5"/>
  <c r="W4827" i="5"/>
  <c r="W4763" i="5"/>
  <c r="W4502" i="5"/>
  <c r="W4478" i="5"/>
  <c r="W4462" i="5"/>
  <c r="W4430" i="5"/>
  <c r="W4350" i="5"/>
  <c r="W4301" i="5"/>
  <c r="W4269" i="5"/>
  <c r="W4236" i="5"/>
  <c r="W4220" i="5"/>
  <c r="W3924" i="5"/>
  <c r="W3884" i="5"/>
  <c r="W3791" i="5"/>
  <c r="W3753" i="5"/>
  <c r="W2755" i="5"/>
  <c r="W2731" i="5"/>
  <c r="W2091" i="5"/>
  <c r="W1636" i="5"/>
  <c r="W5945" i="5"/>
  <c r="W5889" i="5"/>
  <c r="W5802" i="5"/>
  <c r="W5722" i="5"/>
  <c r="W5602" i="5"/>
  <c r="W5530" i="5"/>
  <c r="W5498" i="5"/>
  <c r="W5474" i="5"/>
  <c r="W5442" i="5"/>
  <c r="W5418" i="5"/>
  <c r="W5314" i="5"/>
  <c r="W5186" i="5"/>
  <c r="W4501" i="5"/>
  <c r="W4469" i="5"/>
  <c r="W4461" i="5"/>
  <c r="W4397" i="5"/>
  <c r="W4349" i="5"/>
  <c r="W4300" i="5"/>
  <c r="W4292" i="5"/>
  <c r="W1841" i="5"/>
  <c r="W1651" i="5"/>
  <c r="W1619" i="5"/>
  <c r="W346" i="5"/>
  <c r="W10009" i="5"/>
  <c r="W10001" i="5"/>
  <c r="W9993" i="5"/>
  <c r="W9985" i="5"/>
  <c r="W9977" i="5"/>
  <c r="W9969" i="5"/>
  <c r="W9961" i="5"/>
  <c r="W9953" i="5"/>
  <c r="W9945" i="5"/>
  <c r="W9937" i="5"/>
  <c r="W9929" i="5"/>
  <c r="W9921" i="5"/>
  <c r="W9913" i="5"/>
  <c r="W9905" i="5"/>
  <c r="W9897" i="5"/>
  <c r="W9889" i="5"/>
  <c r="W9881" i="5"/>
  <c r="W9873" i="5"/>
  <c r="W9865" i="5"/>
  <c r="W9857" i="5"/>
  <c r="W9849" i="5"/>
  <c r="W9841" i="5"/>
  <c r="W9833" i="5"/>
  <c r="W9825" i="5"/>
  <c r="W9817" i="5"/>
  <c r="W9809" i="5"/>
  <c r="W9801" i="5"/>
  <c r="W9793" i="5"/>
  <c r="W9785" i="5"/>
  <c r="W9777" i="5"/>
  <c r="W9769" i="5"/>
  <c r="W9761" i="5"/>
  <c r="W9753" i="5"/>
  <c r="W9745" i="5"/>
  <c r="W9737" i="5"/>
  <c r="W9729" i="5"/>
  <c r="W9721" i="5"/>
  <c r="W9713" i="5"/>
  <c r="W9705" i="5"/>
  <c r="W9697" i="5"/>
  <c r="W9689" i="5"/>
  <c r="W9681" i="5"/>
  <c r="W9673" i="5"/>
  <c r="W9665" i="5"/>
  <c r="W9657" i="5"/>
  <c r="W9649" i="5"/>
  <c r="W9641" i="5"/>
  <c r="W9633" i="5"/>
  <c r="W9625" i="5"/>
  <c r="W9617" i="5"/>
  <c r="W9609" i="5"/>
  <c r="W9601" i="5"/>
  <c r="W9593" i="5"/>
  <c r="W9585" i="5"/>
  <c r="W9577" i="5"/>
  <c r="W8210" i="5"/>
  <c r="W7324" i="5"/>
  <c r="W7300" i="5"/>
  <c r="W7268" i="5"/>
  <c r="W7228" i="5"/>
  <c r="W7204" i="5"/>
  <c r="W7172" i="5"/>
  <c r="W7076" i="5"/>
  <c r="W7020" i="5"/>
  <c r="W6668" i="5"/>
  <c r="W6660" i="5"/>
  <c r="W6596" i="5"/>
  <c r="W6444" i="5"/>
  <c r="W6308" i="5"/>
  <c r="W6188" i="5"/>
  <c r="W6180" i="5"/>
  <c r="W6148" i="5"/>
  <c r="W1252" i="5"/>
  <c r="W9960" i="5"/>
  <c r="W9952" i="5"/>
  <c r="W9944" i="5"/>
  <c r="W9936" i="5"/>
  <c r="W9928" i="5"/>
  <c r="W9920" i="5"/>
  <c r="W9912" i="5"/>
  <c r="W9904" i="5"/>
  <c r="W9896" i="5"/>
  <c r="W9888" i="5"/>
  <c r="W9880" i="5"/>
  <c r="W9872" i="5"/>
  <c r="W9864" i="5"/>
  <c r="W9856" i="5"/>
  <c r="W9848" i="5"/>
  <c r="W9840" i="5"/>
  <c r="W9832" i="5"/>
  <c r="W9824" i="5"/>
  <c r="W9816" i="5"/>
  <c r="W9808" i="5"/>
  <c r="W9800" i="5"/>
  <c r="W9792" i="5"/>
  <c r="W9784" i="5"/>
  <c r="W9776" i="5"/>
  <c r="W9768" i="5"/>
  <c r="W9760" i="5"/>
  <c r="W9752" i="5"/>
  <c r="W9744" i="5"/>
  <c r="W9736" i="5"/>
  <c r="W9728" i="5"/>
  <c r="W9720" i="5"/>
  <c r="W9712" i="5"/>
  <c r="W9704" i="5"/>
  <c r="W9696" i="5"/>
  <c r="W9688" i="5"/>
  <c r="W9680" i="5"/>
  <c r="W9672" i="5"/>
  <c r="W9664" i="5"/>
  <c r="W9656" i="5"/>
  <c r="W9648" i="5"/>
  <c r="W9640" i="5"/>
  <c r="W9632" i="5"/>
  <c r="W9624" i="5"/>
  <c r="W9616" i="5"/>
  <c r="W9608" i="5"/>
  <c r="W9600" i="5"/>
  <c r="W9592" i="5"/>
  <c r="W9584" i="5"/>
  <c r="W9576" i="5"/>
  <c r="W8169" i="5"/>
  <c r="W8097" i="5"/>
  <c r="W8042" i="5"/>
  <c r="W7834" i="5"/>
  <c r="W7818" i="5"/>
  <c r="W7668" i="5"/>
  <c r="W7387" i="5"/>
  <c r="W7363" i="5"/>
  <c r="W7355" i="5"/>
  <c r="W7219" i="5"/>
  <c r="W7131" i="5"/>
  <c r="W6915" i="5"/>
  <c r="W6907" i="5"/>
  <c r="W6875" i="5"/>
  <c r="W6627" i="5"/>
  <c r="W6619" i="5"/>
  <c r="W6499" i="5"/>
  <c r="W6427" i="5"/>
  <c r="W6419" i="5"/>
  <c r="W6395" i="5"/>
  <c r="W6331" i="5"/>
  <c r="W6267" i="5"/>
  <c r="W6195" i="5"/>
  <c r="W6115" i="5"/>
  <c r="W6107" i="5"/>
  <c r="W4120" i="5"/>
  <c r="W3538" i="5"/>
  <c r="W2669" i="5"/>
  <c r="W1371" i="5"/>
  <c r="W1243" i="5"/>
  <c r="W603" i="5"/>
  <c r="W4500" i="5"/>
  <c r="W4476" i="5"/>
  <c r="W4460" i="5"/>
  <c r="W4444" i="5"/>
  <c r="W4420" i="5"/>
  <c r="W4412" i="5"/>
  <c r="W4396" i="5"/>
  <c r="W4348" i="5"/>
  <c r="W361" i="5"/>
  <c r="Z308" i="18"/>
  <c r="Z83" i="18"/>
  <c r="Z31" i="18"/>
  <c r="Z418" i="18"/>
  <c r="Z452" i="18"/>
  <c r="Z317" i="18"/>
  <c r="Z380" i="18"/>
  <c r="Z217" i="18"/>
  <c r="Z182" i="18"/>
  <c r="Z419" i="18"/>
  <c r="Z451" i="18"/>
  <c r="Z319" i="18"/>
  <c r="Z304" i="18"/>
  <c r="Z300" i="18"/>
  <c r="Z296" i="18"/>
  <c r="Z234" i="18"/>
  <c r="Z174" i="18"/>
  <c r="Z323" i="18"/>
  <c r="Z53" i="18"/>
  <c r="Z366" i="18"/>
  <c r="Z378" i="18"/>
  <c r="Z312" i="18"/>
  <c r="Z336" i="18"/>
  <c r="Z283" i="18"/>
  <c r="Z272" i="18"/>
  <c r="Z400" i="18"/>
  <c r="Z392" i="18"/>
  <c r="Z105" i="18"/>
  <c r="Z268" i="18"/>
  <c r="Z93" i="18"/>
  <c r="Z94" i="18"/>
  <c r="Z117" i="18"/>
  <c r="Z102" i="18"/>
  <c r="Z90" i="18"/>
  <c r="Z386" i="18"/>
  <c r="Z374" i="18"/>
  <c r="Z121" i="18"/>
  <c r="Z357" i="18"/>
  <c r="Z382" i="18"/>
  <c r="Z311" i="18"/>
  <c r="Z315" i="18"/>
  <c r="Z301" i="18"/>
  <c r="Z343" i="18"/>
  <c r="Z60" i="18"/>
  <c r="Z377" i="18"/>
  <c r="Z58" i="18"/>
  <c r="Z307" i="18"/>
  <c r="Z334" i="18"/>
  <c r="Z292" i="18"/>
  <c r="Z372" i="18"/>
  <c r="Z446" i="18"/>
  <c r="Z404" i="18"/>
  <c r="Z43" i="18"/>
  <c r="Z158" i="18"/>
  <c r="Z141" i="18"/>
  <c r="Z316" i="18"/>
  <c r="Z309" i="18"/>
  <c r="Z225" i="18"/>
  <c r="Z47" i="18"/>
  <c r="Z310" i="18"/>
  <c r="Z295" i="18"/>
  <c r="Z441" i="18"/>
  <c r="Z331" i="18"/>
  <c r="Z284" i="18"/>
  <c r="Z282" i="18"/>
  <c r="Z276" i="18"/>
  <c r="Z273" i="18"/>
  <c r="Z409" i="18"/>
  <c r="Z401" i="18"/>
  <c r="Z393" i="18"/>
  <c r="Z106" i="18"/>
  <c r="Z269" i="18"/>
  <c r="Z260" i="18"/>
  <c r="Z92" i="18"/>
  <c r="Z97" i="18"/>
  <c r="Z255" i="18"/>
  <c r="Z252" i="18"/>
  <c r="Z244" i="18"/>
  <c r="Z114" i="18"/>
  <c r="Z91" i="18"/>
  <c r="Z385" i="18"/>
  <c r="Z231" i="18"/>
  <c r="Z33" i="18"/>
  <c r="Z25" i="18"/>
  <c r="Z222" i="18"/>
  <c r="Z214" i="18"/>
  <c r="Z206" i="18"/>
  <c r="Z195" i="18"/>
  <c r="Z187" i="18"/>
  <c r="Z179" i="18"/>
  <c r="Z171" i="18"/>
  <c r="Z163" i="18"/>
  <c r="Z147" i="18"/>
  <c r="Z68" i="18"/>
  <c r="Z64" i="18"/>
  <c r="Z230" i="18"/>
  <c r="Z24" i="18"/>
  <c r="Z50" i="18"/>
  <c r="Z221" i="18"/>
  <c r="Z213" i="18"/>
  <c r="Z4" i="18"/>
  <c r="Z194" i="18"/>
  <c r="Z186" i="18"/>
  <c r="Z178" i="18"/>
  <c r="Z146" i="18"/>
  <c r="Z67" i="18"/>
  <c r="Z63" i="18"/>
  <c r="Z335" i="18"/>
  <c r="Z299" i="18"/>
  <c r="Z293" i="18"/>
  <c r="Z423" i="18"/>
  <c r="Z131" i="18"/>
  <c r="Z278" i="18"/>
  <c r="Z271" i="18"/>
  <c r="Z407" i="18"/>
  <c r="Z399" i="18"/>
  <c r="Z104" i="18"/>
  <c r="Z101" i="18"/>
  <c r="Z98" i="18"/>
  <c r="Z95" i="18"/>
  <c r="Z389" i="18"/>
  <c r="Z89" i="18"/>
  <c r="Z81" i="18"/>
  <c r="Z387" i="18"/>
  <c r="Z220" i="18"/>
  <c r="Z212" i="18"/>
  <c r="Z204" i="18"/>
  <c r="Z193" i="18"/>
  <c r="Z185" i="18"/>
  <c r="Z177" i="18"/>
  <c r="Z161" i="18"/>
  <c r="Z145" i="18"/>
  <c r="Z27" i="18"/>
  <c r="Z62" i="18"/>
  <c r="Z422" i="18"/>
  <c r="Z417" i="18"/>
  <c r="Z134" i="18"/>
  <c r="Z413" i="18"/>
  <c r="Z329" i="18"/>
  <c r="Z49" i="18"/>
  <c r="Z277" i="18"/>
  <c r="Z398" i="18"/>
  <c r="Z390" i="18"/>
  <c r="Z267" i="18"/>
  <c r="Z109" i="18"/>
  <c r="Z96" i="18"/>
  <c r="Z259" i="18"/>
  <c r="Z249" i="18"/>
  <c r="Z388" i="18"/>
  <c r="Z113" i="18"/>
  <c r="Z82" i="18"/>
  <c r="Z84" i="18"/>
  <c r="Z229" i="18"/>
  <c r="Z22" i="18"/>
  <c r="Z13" i="18"/>
  <c r="Z5" i="18"/>
  <c r="Z219" i="18"/>
  <c r="Z211" i="18"/>
  <c r="Z203" i="18"/>
  <c r="Z45" i="18"/>
  <c r="Z192" i="18"/>
  <c r="Z184" i="18"/>
  <c r="Z168" i="18"/>
  <c r="Z160" i="18"/>
  <c r="Z152" i="18"/>
  <c r="Z144" i="18"/>
  <c r="Z23" i="18"/>
  <c r="Z73" i="18"/>
  <c r="Z66" i="18"/>
  <c r="Z61" i="18"/>
  <c r="Z291" i="18"/>
  <c r="Z375" i="18"/>
  <c r="Z445" i="18"/>
  <c r="Z421" i="18"/>
  <c r="Z416" i="18"/>
  <c r="Z328" i="18"/>
  <c r="Z290" i="18"/>
  <c r="Z405" i="18"/>
  <c r="Z397" i="18"/>
  <c r="Z266" i="18"/>
  <c r="Z108" i="18"/>
  <c r="Z248" i="18"/>
  <c r="Z80" i="18"/>
  <c r="Z235" i="18"/>
  <c r="Z228" i="18"/>
  <c r="Z29" i="18"/>
  <c r="Z21" i="18"/>
  <c r="Z12" i="18"/>
  <c r="Z77" i="18"/>
  <c r="Z218" i="18"/>
  <c r="Z210" i="18"/>
  <c r="Z10" i="18"/>
  <c r="Z32" i="18"/>
  <c r="Z199" i="18"/>
  <c r="Z191" i="18"/>
  <c r="Z183" i="18"/>
  <c r="Z175" i="18"/>
  <c r="Z159" i="18"/>
  <c r="Z143" i="18"/>
  <c r="Z305" i="18"/>
  <c r="Z297" i="18"/>
  <c r="Z373" i="18"/>
  <c r="Z435" i="18"/>
  <c r="Z414" i="18"/>
  <c r="Z132" i="18"/>
  <c r="Z326" i="18"/>
  <c r="Z289" i="18"/>
  <c r="Z286" i="18"/>
  <c r="Z411" i="18"/>
  <c r="Z403" i="18"/>
  <c r="Z395" i="18"/>
  <c r="Z270" i="18"/>
  <c r="Z264" i="18"/>
  <c r="Z262" i="18"/>
  <c r="Z100" i="18"/>
  <c r="Z120" i="18"/>
  <c r="Z257" i="18"/>
  <c r="Z254" i="18"/>
  <c r="Z87" i="18"/>
  <c r="Z78" i="18"/>
  <c r="Z233" i="18"/>
  <c r="Z35" i="18"/>
  <c r="Z224" i="18"/>
  <c r="Z216" i="18"/>
  <c r="Z208" i="18"/>
  <c r="Z200" i="18"/>
  <c r="Z7" i="18"/>
  <c r="Z197" i="18"/>
  <c r="Z189" i="18"/>
  <c r="Z181" i="18"/>
  <c r="Z173" i="18"/>
  <c r="Z165" i="18"/>
  <c r="Z157" i="18"/>
  <c r="Z149" i="18"/>
  <c r="Z26" i="18"/>
  <c r="Z322" i="18"/>
  <c r="Z72" i="18"/>
  <c r="Z332" i="18"/>
  <c r="Z325" i="18"/>
  <c r="Z288" i="18"/>
  <c r="Z274" i="18"/>
  <c r="Z410" i="18"/>
  <c r="Z402" i="18"/>
  <c r="Z119" i="18"/>
  <c r="Z256" i="18"/>
  <c r="Z115" i="18"/>
  <c r="Z79" i="18"/>
  <c r="Z232" i="18"/>
  <c r="Z34" i="18"/>
  <c r="Z18" i="18"/>
  <c r="Z74" i="18"/>
  <c r="Z215" i="18"/>
  <c r="Z207" i="18"/>
  <c r="Z196" i="18"/>
  <c r="Z180" i="18"/>
  <c r="Z164" i="18"/>
  <c r="Z156" i="18"/>
  <c r="Z321" i="18"/>
  <c r="Z69" i="18"/>
  <c r="Z70" i="18"/>
  <c r="T41" i="18"/>
  <c r="T39" i="18" l="1"/>
  <c r="T37" i="18"/>
  <c r="T38" i="18"/>
  <c r="V1588" i="5"/>
  <c r="I255" i="2"/>
  <c r="T193" i="18"/>
  <c r="T270" i="18"/>
  <c r="T2" i="18"/>
  <c r="T165" i="18"/>
  <c r="T373" i="18"/>
  <c r="V444" i="5"/>
  <c r="Z236" i="18" s="1"/>
  <c r="V445" i="5"/>
  <c r="Z239" i="18" s="1"/>
  <c r="V446" i="5"/>
  <c r="V449" i="5"/>
  <c r="Z243" i="18" s="1"/>
  <c r="V448" i="5"/>
  <c r="V447" i="5"/>
  <c r="V2643" i="5" l="1"/>
  <c r="V2645" i="5"/>
  <c r="V3857" i="5"/>
  <c r="Z153" i="18" s="1"/>
  <c r="V3861" i="5"/>
  <c r="V3858" i="5"/>
  <c r="V3862" i="5"/>
  <c r="V2642" i="5"/>
  <c r="Z17" i="18" s="1"/>
  <c r="V2644" i="5"/>
  <c r="Z39" i="18" s="1"/>
  <c r="V3159" i="5"/>
  <c r="V3163" i="5"/>
  <c r="Z241" i="18"/>
  <c r="Z379" i="18"/>
  <c r="Z240" i="18"/>
  <c r="Z118" i="18"/>
  <c r="Z242" i="18"/>
  <c r="Z154" i="18"/>
  <c r="Z42" i="18"/>
  <c r="Z51" i="18"/>
  <c r="Z238" i="18"/>
  <c r="V443" i="5"/>
  <c r="D3" i="18"/>
  <c r="G3" i="18"/>
  <c r="D4" i="18"/>
  <c r="G4" i="18"/>
  <c r="D5" i="18"/>
  <c r="G5" i="18"/>
  <c r="D6" i="18"/>
  <c r="G6" i="18"/>
  <c r="D7" i="18"/>
  <c r="G7" i="18"/>
  <c r="D8" i="18"/>
  <c r="G8" i="18"/>
  <c r="D9" i="18"/>
  <c r="G9" i="18"/>
  <c r="D10" i="18"/>
  <c r="G10" i="18"/>
  <c r="D11" i="18"/>
  <c r="G11" i="18"/>
  <c r="D12" i="18"/>
  <c r="F12" i="18"/>
  <c r="G12" i="18"/>
  <c r="D13" i="18"/>
  <c r="F13" i="18"/>
  <c r="G13" i="18"/>
  <c r="D14" i="18"/>
  <c r="G14" i="18"/>
  <c r="D15" i="18"/>
  <c r="F15" i="18"/>
  <c r="G15" i="18"/>
  <c r="K15" i="18"/>
  <c r="L15" i="18"/>
  <c r="D16" i="18"/>
  <c r="F16" i="18"/>
  <c r="G16" i="18"/>
  <c r="K16" i="18"/>
  <c r="L16" i="18"/>
  <c r="D17" i="18"/>
  <c r="G17" i="18"/>
  <c r="D18" i="18"/>
  <c r="G18" i="18"/>
  <c r="D19" i="18"/>
  <c r="G19" i="18"/>
  <c r="D20" i="18"/>
  <c r="G20" i="18"/>
  <c r="D21" i="18"/>
  <c r="G21" i="18"/>
  <c r="D22" i="18"/>
  <c r="F22" i="18"/>
  <c r="G22" i="18"/>
  <c r="D23" i="18"/>
  <c r="F23" i="18"/>
  <c r="G23" i="18"/>
  <c r="D24" i="18"/>
  <c r="F24" i="18"/>
  <c r="G24" i="18"/>
  <c r="D25" i="18"/>
  <c r="F25" i="18"/>
  <c r="G25" i="18"/>
  <c r="D26" i="18"/>
  <c r="F26" i="18"/>
  <c r="G26" i="18"/>
  <c r="D27" i="18"/>
  <c r="F27" i="18"/>
  <c r="G27" i="18"/>
  <c r="D28" i="18"/>
  <c r="F28" i="18"/>
  <c r="G28" i="18"/>
  <c r="D29" i="18"/>
  <c r="G29" i="18"/>
  <c r="D30" i="18"/>
  <c r="F30" i="18"/>
  <c r="G30" i="18"/>
  <c r="D31" i="18"/>
  <c r="G31" i="18"/>
  <c r="D32" i="18"/>
  <c r="F32" i="18"/>
  <c r="G32" i="18"/>
  <c r="D33" i="18"/>
  <c r="F33" i="18"/>
  <c r="G33" i="18"/>
  <c r="D34" i="18"/>
  <c r="F34" i="18"/>
  <c r="G34" i="18"/>
  <c r="D35" i="18"/>
  <c r="F35" i="18"/>
  <c r="G35" i="18"/>
  <c r="D36" i="18"/>
  <c r="G36" i="18"/>
  <c r="D37" i="18"/>
  <c r="G37" i="18"/>
  <c r="D38" i="18"/>
  <c r="G38" i="18"/>
  <c r="D39" i="18"/>
  <c r="G39" i="18"/>
  <c r="D40" i="18"/>
  <c r="F40" i="18"/>
  <c r="G40" i="18"/>
  <c r="D41" i="18"/>
  <c r="F41" i="18"/>
  <c r="G41" i="18"/>
  <c r="D42" i="18"/>
  <c r="F42" i="18"/>
  <c r="G42" i="18"/>
  <c r="D43" i="18"/>
  <c r="G43" i="18"/>
  <c r="D44" i="18"/>
  <c r="F44" i="18"/>
  <c r="G44" i="18"/>
  <c r="D45" i="18"/>
  <c r="G45" i="18"/>
  <c r="D46" i="18"/>
  <c r="F46" i="18"/>
  <c r="G46" i="18"/>
  <c r="D47" i="18"/>
  <c r="G47" i="18"/>
  <c r="D48" i="18"/>
  <c r="G48" i="18"/>
  <c r="D49" i="18"/>
  <c r="G49" i="18"/>
  <c r="D50" i="18"/>
  <c r="F50" i="18"/>
  <c r="G50" i="18"/>
  <c r="K50" i="18"/>
  <c r="L50" i="18"/>
  <c r="D51" i="18"/>
  <c r="F51" i="18"/>
  <c r="G51" i="18"/>
  <c r="D52" i="18"/>
  <c r="G52" i="18"/>
  <c r="D53" i="18"/>
  <c r="F53" i="18"/>
  <c r="G53" i="18"/>
  <c r="D54" i="18"/>
  <c r="F54" i="18"/>
  <c r="G54" i="18"/>
  <c r="K54" i="18"/>
  <c r="L54" i="18"/>
  <c r="D55" i="18"/>
  <c r="F55" i="18"/>
  <c r="G55" i="18"/>
  <c r="D56" i="18"/>
  <c r="F56" i="18"/>
  <c r="G56" i="18"/>
  <c r="D57" i="18"/>
  <c r="F57" i="18"/>
  <c r="G57" i="18"/>
  <c r="D58" i="18"/>
  <c r="G58" i="18"/>
  <c r="D59" i="18"/>
  <c r="F59" i="18"/>
  <c r="G59" i="18"/>
  <c r="D60" i="18"/>
  <c r="F60" i="18"/>
  <c r="G60" i="18"/>
  <c r="D61" i="18"/>
  <c r="F61" i="18"/>
  <c r="G61" i="18"/>
  <c r="D62" i="18"/>
  <c r="F62" i="18"/>
  <c r="G62" i="18"/>
  <c r="D63" i="18"/>
  <c r="F63" i="18"/>
  <c r="G63" i="18"/>
  <c r="D64" i="18"/>
  <c r="F64" i="18"/>
  <c r="G64" i="18"/>
  <c r="D65" i="18"/>
  <c r="F65" i="18"/>
  <c r="G65" i="18"/>
  <c r="D66" i="18"/>
  <c r="F66" i="18"/>
  <c r="G66" i="18"/>
  <c r="D67" i="18"/>
  <c r="F67" i="18"/>
  <c r="G67" i="18"/>
  <c r="D68" i="18"/>
  <c r="F68" i="18"/>
  <c r="G68" i="18"/>
  <c r="D69" i="18"/>
  <c r="F69" i="18"/>
  <c r="G69" i="18"/>
  <c r="D70" i="18"/>
  <c r="F70" i="18"/>
  <c r="G70" i="18"/>
  <c r="D71" i="18"/>
  <c r="F71" i="18"/>
  <c r="G71" i="18"/>
  <c r="D72" i="18"/>
  <c r="F72" i="18"/>
  <c r="G72" i="18"/>
  <c r="D73" i="18"/>
  <c r="F73" i="18"/>
  <c r="G73" i="18"/>
  <c r="D74" i="18"/>
  <c r="F74" i="18"/>
  <c r="G74" i="18"/>
  <c r="L74" i="18"/>
  <c r="D75" i="18"/>
  <c r="F75" i="18"/>
  <c r="G75" i="18"/>
  <c r="K75" i="18"/>
  <c r="L75" i="18"/>
  <c r="D76" i="18"/>
  <c r="F76" i="18"/>
  <c r="G76" i="18"/>
  <c r="K76" i="18"/>
  <c r="L76" i="18"/>
  <c r="D77" i="18"/>
  <c r="F77" i="18"/>
  <c r="G77" i="18"/>
  <c r="D78" i="18"/>
  <c r="F78" i="18"/>
  <c r="G78" i="18"/>
  <c r="D79" i="18"/>
  <c r="F79" i="18"/>
  <c r="G79" i="18"/>
  <c r="K79" i="18"/>
  <c r="L79" i="18"/>
  <c r="D80" i="18"/>
  <c r="F80" i="18"/>
  <c r="G80" i="18"/>
  <c r="D81" i="18"/>
  <c r="F81" i="18"/>
  <c r="G81" i="18"/>
  <c r="D82" i="18"/>
  <c r="F82" i="18"/>
  <c r="G82" i="18"/>
  <c r="D83" i="18"/>
  <c r="F83" i="18"/>
  <c r="G83" i="18"/>
  <c r="D84" i="18"/>
  <c r="F84" i="18"/>
  <c r="G84" i="18"/>
  <c r="D85" i="18"/>
  <c r="F85" i="18"/>
  <c r="G85" i="18"/>
  <c r="D86" i="18"/>
  <c r="F86" i="18"/>
  <c r="G86" i="18"/>
  <c r="K86" i="18"/>
  <c r="L86" i="18"/>
  <c r="D87" i="18"/>
  <c r="F87" i="18"/>
  <c r="G87" i="18"/>
  <c r="D88" i="18"/>
  <c r="F88" i="18"/>
  <c r="G88" i="18"/>
  <c r="K88" i="18"/>
  <c r="L88" i="18"/>
  <c r="D89" i="18"/>
  <c r="F89" i="18"/>
  <c r="G89" i="18"/>
  <c r="D90" i="18"/>
  <c r="F90" i="18"/>
  <c r="G90" i="18"/>
  <c r="D91" i="18"/>
  <c r="F91" i="18"/>
  <c r="G91" i="18"/>
  <c r="D92" i="18"/>
  <c r="G92" i="18"/>
  <c r="D93" i="18"/>
  <c r="G93" i="18"/>
  <c r="D94" i="18"/>
  <c r="F94" i="18"/>
  <c r="G94" i="18"/>
  <c r="D95" i="18"/>
  <c r="F95" i="18"/>
  <c r="G95" i="18"/>
  <c r="D96" i="18"/>
  <c r="F96" i="18"/>
  <c r="G96" i="18"/>
  <c r="D97" i="18"/>
  <c r="F97" i="18"/>
  <c r="G97" i="18"/>
  <c r="D98" i="18"/>
  <c r="F98" i="18"/>
  <c r="G98" i="18"/>
  <c r="D99" i="18"/>
  <c r="F99" i="18"/>
  <c r="G99" i="18"/>
  <c r="D100" i="18"/>
  <c r="F100" i="18"/>
  <c r="G100" i="18"/>
  <c r="D101" i="18"/>
  <c r="F101" i="18"/>
  <c r="G101" i="18"/>
  <c r="D102" i="18"/>
  <c r="F102" i="18"/>
  <c r="G102" i="18"/>
  <c r="D103" i="18"/>
  <c r="G103" i="18"/>
  <c r="D104" i="18"/>
  <c r="F104" i="18"/>
  <c r="G104" i="18"/>
  <c r="D105" i="18"/>
  <c r="F105" i="18"/>
  <c r="G105" i="18"/>
  <c r="D106" i="18"/>
  <c r="F106" i="18"/>
  <c r="G106" i="18"/>
  <c r="D107" i="18"/>
  <c r="F107" i="18"/>
  <c r="G107" i="18"/>
  <c r="D108" i="18"/>
  <c r="F108" i="18"/>
  <c r="G108" i="18"/>
  <c r="D109" i="18"/>
  <c r="F109" i="18"/>
  <c r="G109" i="18"/>
  <c r="D110" i="18"/>
  <c r="F110" i="18"/>
  <c r="G110" i="18"/>
  <c r="D111" i="18"/>
  <c r="F111" i="18"/>
  <c r="G111" i="18"/>
  <c r="D112" i="18"/>
  <c r="G112" i="18"/>
  <c r="D113" i="18"/>
  <c r="F113" i="18"/>
  <c r="G113" i="18"/>
  <c r="D114" i="18"/>
  <c r="F114" i="18"/>
  <c r="G114" i="18"/>
  <c r="D115" i="18"/>
  <c r="F115" i="18"/>
  <c r="G115" i="18"/>
  <c r="D116" i="18"/>
  <c r="F116" i="18"/>
  <c r="G116" i="18"/>
  <c r="D117" i="18"/>
  <c r="F117" i="18"/>
  <c r="G117" i="18"/>
  <c r="D118" i="18"/>
  <c r="F118" i="18"/>
  <c r="G118" i="18"/>
  <c r="D119" i="18"/>
  <c r="F119" i="18"/>
  <c r="G119" i="18"/>
  <c r="D120" i="18"/>
  <c r="F120" i="18"/>
  <c r="G120" i="18"/>
  <c r="D121" i="18"/>
  <c r="F121" i="18"/>
  <c r="G121" i="18"/>
  <c r="D122" i="18"/>
  <c r="F122" i="18"/>
  <c r="G122" i="18"/>
  <c r="D123" i="18"/>
  <c r="F123" i="18"/>
  <c r="G123" i="18"/>
  <c r="D124" i="18"/>
  <c r="F124" i="18"/>
  <c r="G124" i="18"/>
  <c r="D125" i="18"/>
  <c r="F125" i="18"/>
  <c r="G125" i="18"/>
  <c r="D126" i="18"/>
  <c r="F126" i="18"/>
  <c r="G126" i="18"/>
  <c r="K126" i="18"/>
  <c r="L126" i="18"/>
  <c r="D127" i="18"/>
  <c r="F127" i="18"/>
  <c r="G127" i="18"/>
  <c r="D128" i="18"/>
  <c r="F128" i="18"/>
  <c r="G128" i="18"/>
  <c r="D129" i="18"/>
  <c r="F129" i="18"/>
  <c r="G129" i="18"/>
  <c r="D130" i="18"/>
  <c r="F130" i="18"/>
  <c r="G130" i="18"/>
  <c r="D131" i="18"/>
  <c r="F131" i="18"/>
  <c r="G131" i="18"/>
  <c r="D132" i="18"/>
  <c r="F132" i="18"/>
  <c r="G132" i="18"/>
  <c r="D133" i="18"/>
  <c r="F133" i="18"/>
  <c r="G133" i="18"/>
  <c r="D134" i="18"/>
  <c r="F134" i="18"/>
  <c r="G134" i="18"/>
  <c r="D135" i="18"/>
  <c r="F135" i="18"/>
  <c r="G135" i="18"/>
  <c r="K135" i="18"/>
  <c r="L135" i="18"/>
  <c r="D136" i="18"/>
  <c r="G136" i="18"/>
  <c r="D137" i="18"/>
  <c r="F137" i="18"/>
  <c r="G137" i="18"/>
  <c r="K137" i="18"/>
  <c r="L137" i="18"/>
  <c r="D138" i="18"/>
  <c r="F138" i="18"/>
  <c r="G138" i="18"/>
  <c r="D139" i="18"/>
  <c r="F139" i="18"/>
  <c r="G139" i="18"/>
  <c r="D140" i="18"/>
  <c r="G140" i="18"/>
  <c r="D141" i="18"/>
  <c r="F141" i="18"/>
  <c r="G141" i="18"/>
  <c r="K141" i="18"/>
  <c r="L141" i="18"/>
  <c r="D142" i="18"/>
  <c r="F142" i="18"/>
  <c r="G142" i="18"/>
  <c r="D143" i="18"/>
  <c r="F143" i="18"/>
  <c r="G143" i="18"/>
  <c r="D144" i="18"/>
  <c r="G144" i="18"/>
  <c r="D145" i="18"/>
  <c r="F145" i="18"/>
  <c r="G145" i="18"/>
  <c r="D146" i="18"/>
  <c r="F146" i="18"/>
  <c r="G146" i="18"/>
  <c r="D147" i="18"/>
  <c r="F147" i="18"/>
  <c r="G147" i="18"/>
  <c r="D148" i="18"/>
  <c r="F148" i="18"/>
  <c r="G148" i="18"/>
  <c r="D149" i="18"/>
  <c r="G149" i="18"/>
  <c r="D150" i="18"/>
  <c r="F150" i="18"/>
  <c r="G150" i="18"/>
  <c r="D151" i="18"/>
  <c r="G151" i="18"/>
  <c r="D152" i="18"/>
  <c r="G152" i="18"/>
  <c r="D153" i="18"/>
  <c r="G153" i="18"/>
  <c r="D154" i="18"/>
  <c r="G154" i="18"/>
  <c r="D155" i="18"/>
  <c r="F155" i="18"/>
  <c r="G155" i="18"/>
  <c r="D156" i="18"/>
  <c r="G156" i="18"/>
  <c r="D157" i="18"/>
  <c r="F157" i="18"/>
  <c r="G157" i="18"/>
  <c r="D158" i="18"/>
  <c r="F158" i="18"/>
  <c r="G158" i="18"/>
  <c r="D159" i="18"/>
  <c r="G159" i="18"/>
  <c r="D160" i="18"/>
  <c r="F160" i="18"/>
  <c r="G160" i="18"/>
  <c r="D161" i="18"/>
  <c r="F161" i="18"/>
  <c r="G161" i="18"/>
  <c r="D162" i="18"/>
  <c r="F162" i="18"/>
  <c r="G162" i="18"/>
  <c r="D163" i="18"/>
  <c r="F163" i="18"/>
  <c r="G163" i="18"/>
  <c r="D164" i="18"/>
  <c r="F164" i="18"/>
  <c r="G164" i="18"/>
  <c r="D165" i="18"/>
  <c r="F165" i="18"/>
  <c r="G165" i="18"/>
  <c r="D166" i="18"/>
  <c r="G166" i="18"/>
  <c r="D167" i="18"/>
  <c r="F167" i="18"/>
  <c r="G167" i="18"/>
  <c r="D168" i="18"/>
  <c r="G168" i="18"/>
  <c r="D169" i="18"/>
  <c r="F169" i="18"/>
  <c r="G169" i="18"/>
  <c r="D170" i="18"/>
  <c r="F170" i="18"/>
  <c r="G170" i="18"/>
  <c r="D171" i="18"/>
  <c r="F171" i="18"/>
  <c r="G171" i="18"/>
  <c r="D172" i="18"/>
  <c r="F172" i="18"/>
  <c r="G172" i="18"/>
  <c r="D173" i="18"/>
  <c r="F173" i="18"/>
  <c r="G173" i="18"/>
  <c r="D174" i="18"/>
  <c r="F174" i="18"/>
  <c r="T7609" i="5" s="1" a="1"/>
  <c r="T7609" i="5" s="1"/>
  <c r="U7609" i="5" s="1"/>
  <c r="W7609" i="5" s="1"/>
  <c r="G174" i="18"/>
  <c r="D175" i="18"/>
  <c r="G175" i="18"/>
  <c r="D176" i="18"/>
  <c r="F176" i="18"/>
  <c r="G176" i="18"/>
  <c r="K176" i="18"/>
  <c r="L176" i="18"/>
  <c r="D177" i="18"/>
  <c r="G177" i="18"/>
  <c r="D178" i="18"/>
  <c r="G178" i="18"/>
  <c r="D179" i="18"/>
  <c r="G179" i="18"/>
  <c r="D180" i="18"/>
  <c r="G180" i="18"/>
  <c r="D181" i="18"/>
  <c r="G181" i="18"/>
  <c r="D182" i="18"/>
  <c r="G182" i="18"/>
  <c r="D183" i="18"/>
  <c r="G183" i="18"/>
  <c r="D184" i="18"/>
  <c r="F184" i="18"/>
  <c r="G184" i="18"/>
  <c r="D185" i="18"/>
  <c r="F185" i="18"/>
  <c r="G185" i="18"/>
  <c r="D186" i="18"/>
  <c r="F186" i="18"/>
  <c r="G186" i="18"/>
  <c r="D187" i="18"/>
  <c r="F187" i="18"/>
  <c r="G187" i="18"/>
  <c r="D188" i="18"/>
  <c r="F188" i="18"/>
  <c r="G188" i="18"/>
  <c r="K188" i="18"/>
  <c r="L188" i="18"/>
  <c r="D189" i="18"/>
  <c r="F189" i="18"/>
  <c r="G189" i="18"/>
  <c r="D190" i="18"/>
  <c r="F190" i="18"/>
  <c r="G190" i="18"/>
  <c r="D191" i="18"/>
  <c r="F191" i="18"/>
  <c r="G191" i="18"/>
  <c r="D192" i="18"/>
  <c r="G192" i="18"/>
  <c r="D193" i="18"/>
  <c r="F193" i="18"/>
  <c r="G193" i="18"/>
  <c r="D194" i="18"/>
  <c r="F194" i="18"/>
  <c r="T7704" i="5" s="1" a="1"/>
  <c r="T7704" i="5" s="1"/>
  <c r="U7704" i="5" s="1"/>
  <c r="W7704" i="5" s="1"/>
  <c r="G194" i="18"/>
  <c r="D195" i="18"/>
  <c r="F195" i="18"/>
  <c r="G195" i="18"/>
  <c r="D196" i="18"/>
  <c r="G196" i="18"/>
  <c r="D197" i="18"/>
  <c r="G197" i="18"/>
  <c r="D198" i="18"/>
  <c r="F198" i="18"/>
  <c r="G198" i="18"/>
  <c r="D199" i="18"/>
  <c r="F199" i="18"/>
  <c r="G199" i="18"/>
  <c r="D200" i="18"/>
  <c r="G200" i="18"/>
  <c r="D201" i="18"/>
  <c r="G201" i="18"/>
  <c r="D202" i="18"/>
  <c r="F202" i="18"/>
  <c r="T8199" i="5" s="1" a="1"/>
  <c r="T8199" i="5" s="1"/>
  <c r="U8199" i="5" s="1"/>
  <c r="W8199" i="5" s="1"/>
  <c r="G202" i="18"/>
  <c r="D203" i="18"/>
  <c r="G203" i="18"/>
  <c r="D204" i="18"/>
  <c r="G204" i="18"/>
  <c r="D205" i="18"/>
  <c r="G205" i="18"/>
  <c r="D206" i="18"/>
  <c r="F206" i="18"/>
  <c r="G206" i="18"/>
  <c r="K206" i="18"/>
  <c r="L206" i="18"/>
  <c r="D207" i="18"/>
  <c r="F207" i="18"/>
  <c r="G207" i="18"/>
  <c r="D208" i="18"/>
  <c r="G208" i="18"/>
  <c r="D209" i="18"/>
  <c r="G209" i="18"/>
  <c r="D210" i="18"/>
  <c r="G210" i="18"/>
  <c r="D211" i="18"/>
  <c r="F211" i="18"/>
  <c r="G211" i="18"/>
  <c r="D212" i="18"/>
  <c r="F212" i="18"/>
  <c r="G212" i="18"/>
  <c r="D213" i="18"/>
  <c r="F213" i="18"/>
  <c r="T7079" i="5" s="1" a="1"/>
  <c r="T7079" i="5" s="1"/>
  <c r="U7079" i="5" s="1"/>
  <c r="W7079" i="5" s="1"/>
  <c r="G213" i="18"/>
  <c r="D214" i="18"/>
  <c r="F214" i="18"/>
  <c r="G214" i="18"/>
  <c r="D215" i="18"/>
  <c r="F215" i="18"/>
  <c r="G215" i="18"/>
  <c r="D216" i="18"/>
  <c r="F216" i="18"/>
  <c r="G216" i="18"/>
  <c r="D217" i="18"/>
  <c r="F217" i="18"/>
  <c r="G217" i="18"/>
  <c r="D218" i="18"/>
  <c r="F218" i="18"/>
  <c r="G218" i="18"/>
  <c r="D219" i="18"/>
  <c r="F219" i="18"/>
  <c r="G219" i="18"/>
  <c r="D220" i="18"/>
  <c r="F220" i="18"/>
  <c r="G220" i="18"/>
  <c r="D221" i="18"/>
  <c r="F221" i="18"/>
  <c r="T6798" i="5" s="1" a="1"/>
  <c r="T6798" i="5" s="1"/>
  <c r="U6798" i="5" s="1"/>
  <c r="W6798" i="5" s="1"/>
  <c r="G221" i="18"/>
  <c r="D222" i="18"/>
  <c r="F222" i="18"/>
  <c r="G222" i="18"/>
  <c r="D223" i="18"/>
  <c r="G223" i="18"/>
  <c r="D224" i="18"/>
  <c r="F224" i="18"/>
  <c r="G224" i="18"/>
  <c r="D225" i="18"/>
  <c r="F225" i="18"/>
  <c r="G225" i="18"/>
  <c r="D226" i="18"/>
  <c r="F226" i="18"/>
  <c r="G226" i="18"/>
  <c r="D227" i="18"/>
  <c r="F227" i="18"/>
  <c r="T6796" i="5" s="1" a="1"/>
  <c r="T6796" i="5" s="1"/>
  <c r="U6796" i="5" s="1"/>
  <c r="W6796" i="5" s="1"/>
  <c r="G227" i="18"/>
  <c r="D228" i="18"/>
  <c r="F228" i="18"/>
  <c r="T6797" i="5" s="1" a="1"/>
  <c r="T6797" i="5" s="1"/>
  <c r="U6797" i="5" s="1"/>
  <c r="W6797" i="5" s="1"/>
  <c r="G228" i="18"/>
  <c r="D229" i="18"/>
  <c r="F229" i="18"/>
  <c r="G229" i="18"/>
  <c r="D230" i="18"/>
  <c r="F230" i="18"/>
  <c r="G230" i="18"/>
  <c r="D231" i="18"/>
  <c r="F231" i="18"/>
  <c r="G231" i="18"/>
  <c r="D232" i="18"/>
  <c r="G232" i="18"/>
  <c r="D233" i="18"/>
  <c r="F233" i="18"/>
  <c r="G233" i="18"/>
  <c r="D234" i="18"/>
  <c r="F234" i="18"/>
  <c r="G234" i="18"/>
  <c r="D235" i="18"/>
  <c r="F235" i="18"/>
  <c r="T7619" i="5" s="1" a="1"/>
  <c r="T7619" i="5" s="1"/>
  <c r="U7619" i="5" s="1"/>
  <c r="W7619" i="5" s="1"/>
  <c r="G235" i="18"/>
  <c r="D236" i="18"/>
  <c r="G236" i="18"/>
  <c r="D237" i="18"/>
  <c r="F237" i="18"/>
  <c r="G237" i="18"/>
  <c r="D238" i="18"/>
  <c r="F238" i="18"/>
  <c r="G238" i="18"/>
  <c r="D239" i="18"/>
  <c r="F239" i="18"/>
  <c r="G239" i="18"/>
  <c r="D240" i="18"/>
  <c r="F240" i="18"/>
  <c r="G240" i="18"/>
  <c r="D241" i="18"/>
  <c r="F241" i="18"/>
  <c r="G241" i="18"/>
  <c r="D242" i="18"/>
  <c r="F242" i="18"/>
  <c r="G242" i="18"/>
  <c r="D243" i="18"/>
  <c r="F243" i="18"/>
  <c r="G243" i="18"/>
  <c r="D244" i="18"/>
  <c r="F244" i="18"/>
  <c r="G244" i="18"/>
  <c r="D245" i="18"/>
  <c r="G245" i="18"/>
  <c r="D246" i="18"/>
  <c r="F246" i="18"/>
  <c r="G246" i="18"/>
  <c r="D247" i="18"/>
  <c r="G247" i="18"/>
  <c r="D248" i="18"/>
  <c r="F248" i="18"/>
  <c r="G248" i="18"/>
  <c r="D249" i="18"/>
  <c r="F249" i="18"/>
  <c r="G249" i="18"/>
  <c r="D250" i="18"/>
  <c r="F250" i="18"/>
  <c r="G250" i="18"/>
  <c r="K250" i="18"/>
  <c r="L250" i="18"/>
  <c r="D251" i="18"/>
  <c r="F251" i="18"/>
  <c r="G251" i="18"/>
  <c r="K251" i="18"/>
  <c r="L251" i="18"/>
  <c r="D252" i="18"/>
  <c r="G252" i="18"/>
  <c r="D253" i="18"/>
  <c r="F253" i="18"/>
  <c r="G253" i="18"/>
  <c r="D254" i="18"/>
  <c r="F254" i="18"/>
  <c r="G254" i="18"/>
  <c r="D255" i="18"/>
  <c r="F255" i="18"/>
  <c r="G255" i="18"/>
  <c r="D256" i="18"/>
  <c r="G256" i="18"/>
  <c r="D257" i="18"/>
  <c r="F257" i="18"/>
  <c r="G257" i="18"/>
  <c r="D258" i="18"/>
  <c r="F258" i="18"/>
  <c r="G258" i="18"/>
  <c r="D259" i="18"/>
  <c r="G259" i="18"/>
  <c r="D260" i="18"/>
  <c r="F260" i="18"/>
  <c r="T7560" i="5" s="1" a="1"/>
  <c r="T7560" i="5" s="1"/>
  <c r="U7560" i="5" s="1"/>
  <c r="W7560" i="5" s="1"/>
  <c r="G260" i="18"/>
  <c r="D261" i="18"/>
  <c r="G261" i="18"/>
  <c r="D262" i="18"/>
  <c r="F262" i="18"/>
  <c r="G262" i="18"/>
  <c r="D263" i="18"/>
  <c r="F263" i="18"/>
  <c r="G263" i="18"/>
  <c r="D264" i="18"/>
  <c r="G264" i="18"/>
  <c r="D265" i="18"/>
  <c r="G265" i="18"/>
  <c r="D266" i="18"/>
  <c r="G266" i="18"/>
  <c r="D267" i="18"/>
  <c r="G267" i="18"/>
  <c r="D268" i="18"/>
  <c r="G268" i="18"/>
  <c r="D269" i="18"/>
  <c r="G269" i="18"/>
  <c r="D270" i="18"/>
  <c r="F270" i="18"/>
  <c r="G270" i="18"/>
  <c r="D271" i="18"/>
  <c r="G271" i="18"/>
  <c r="D272" i="18"/>
  <c r="F272" i="18"/>
  <c r="G272" i="18"/>
  <c r="D273" i="18"/>
  <c r="F273" i="18"/>
  <c r="G273" i="18"/>
  <c r="D274" i="18"/>
  <c r="F274" i="18"/>
  <c r="G274" i="18"/>
  <c r="D275" i="18"/>
  <c r="F275" i="18"/>
  <c r="G275" i="18"/>
  <c r="D276" i="18"/>
  <c r="F276" i="18"/>
  <c r="G276" i="18"/>
  <c r="D277" i="18"/>
  <c r="F277" i="18"/>
  <c r="G277" i="18"/>
  <c r="D278" i="18"/>
  <c r="F278" i="18"/>
  <c r="G278" i="18"/>
  <c r="D279" i="18"/>
  <c r="F279" i="18"/>
  <c r="G279" i="18"/>
  <c r="K279" i="18"/>
  <c r="L279" i="18"/>
  <c r="D280" i="18"/>
  <c r="F280" i="18"/>
  <c r="G280" i="18"/>
  <c r="D281" i="18"/>
  <c r="F281" i="18"/>
  <c r="G281" i="18"/>
  <c r="D282" i="18"/>
  <c r="G282" i="18"/>
  <c r="D283" i="18"/>
  <c r="G283" i="18"/>
  <c r="D284" i="18"/>
  <c r="G284" i="18"/>
  <c r="D285" i="18"/>
  <c r="G285" i="18"/>
  <c r="D286" i="18"/>
  <c r="F286" i="18"/>
  <c r="G286" i="18"/>
  <c r="D287" i="18"/>
  <c r="F287" i="18"/>
  <c r="G287" i="18"/>
  <c r="K287" i="18"/>
  <c r="L287" i="18"/>
  <c r="D288" i="18"/>
  <c r="G288" i="18"/>
  <c r="D289" i="18"/>
  <c r="F289" i="18"/>
  <c r="G289" i="18"/>
  <c r="D290" i="18"/>
  <c r="F290" i="18"/>
  <c r="G290" i="18"/>
  <c r="D291" i="18"/>
  <c r="F291" i="18"/>
  <c r="G291" i="18"/>
  <c r="D292" i="18"/>
  <c r="F292" i="18"/>
  <c r="T4682" i="5" s="1" a="1"/>
  <c r="T4682" i="5" s="1"/>
  <c r="U4682" i="5" s="1"/>
  <c r="W4682" i="5" s="1"/>
  <c r="G292" i="18"/>
  <c r="D293" i="18"/>
  <c r="F293" i="18"/>
  <c r="G293" i="18"/>
  <c r="D294" i="18"/>
  <c r="F294" i="18"/>
  <c r="G294" i="18"/>
  <c r="D295" i="18"/>
  <c r="F295" i="18"/>
  <c r="G295" i="18"/>
  <c r="D296" i="18"/>
  <c r="F296" i="18"/>
  <c r="G296" i="18"/>
  <c r="D297" i="18"/>
  <c r="F297" i="18"/>
  <c r="G297" i="18"/>
  <c r="D298" i="18"/>
  <c r="F298" i="18"/>
  <c r="T8009" i="5" s="1" a="1"/>
  <c r="T8009" i="5" s="1"/>
  <c r="U8009" i="5" s="1"/>
  <c r="W8009" i="5" s="1"/>
  <c r="G298" i="18"/>
  <c r="D299" i="18"/>
  <c r="F299" i="18"/>
  <c r="G299" i="18"/>
  <c r="D300" i="18"/>
  <c r="F300" i="18"/>
  <c r="G300" i="18"/>
  <c r="K300" i="18"/>
  <c r="L300" i="18"/>
  <c r="D301" i="18"/>
  <c r="F301" i="18"/>
  <c r="G301" i="18"/>
  <c r="D302" i="18"/>
  <c r="F302" i="18"/>
  <c r="G302" i="18"/>
  <c r="D303" i="18"/>
  <c r="F303" i="18"/>
  <c r="G303" i="18"/>
  <c r="K303" i="18"/>
  <c r="L303" i="18"/>
  <c r="D304" i="18"/>
  <c r="F304" i="18"/>
  <c r="G304" i="18"/>
  <c r="D305" i="18"/>
  <c r="F305" i="18"/>
  <c r="G305" i="18"/>
  <c r="D306" i="18"/>
  <c r="F306" i="18"/>
  <c r="G306" i="18"/>
  <c r="D307" i="18"/>
  <c r="F307" i="18"/>
  <c r="G307" i="18"/>
  <c r="D308" i="18"/>
  <c r="F308" i="18"/>
  <c r="G308" i="18"/>
  <c r="D309" i="18"/>
  <c r="G309" i="18"/>
  <c r="D310" i="18"/>
  <c r="F310" i="18"/>
  <c r="G310" i="18"/>
  <c r="D311" i="18"/>
  <c r="F311" i="18"/>
  <c r="G311" i="18"/>
  <c r="D312" i="18"/>
  <c r="G312" i="18"/>
  <c r="D313" i="18"/>
  <c r="F313" i="18"/>
  <c r="G313" i="18"/>
  <c r="D314" i="18"/>
  <c r="F314" i="18"/>
  <c r="G314" i="18"/>
  <c r="K314" i="18"/>
  <c r="L314" i="18"/>
  <c r="D315" i="18"/>
  <c r="G315" i="18"/>
  <c r="D316" i="18"/>
  <c r="G316" i="18"/>
  <c r="D317" i="18"/>
  <c r="G317" i="18"/>
  <c r="D318" i="18"/>
  <c r="F318" i="18"/>
  <c r="G318" i="18"/>
  <c r="D319" i="18"/>
  <c r="F319" i="18"/>
  <c r="G319" i="18"/>
  <c r="D320" i="18"/>
  <c r="F320" i="18"/>
  <c r="G320" i="18"/>
  <c r="D321" i="18"/>
  <c r="G321" i="18"/>
  <c r="D322" i="18"/>
  <c r="G322" i="18"/>
  <c r="D323" i="18"/>
  <c r="F323" i="18"/>
  <c r="G323" i="18"/>
  <c r="D324" i="18"/>
  <c r="F324" i="18"/>
  <c r="G324" i="18"/>
  <c r="D325" i="18"/>
  <c r="F325" i="18"/>
  <c r="G325" i="18"/>
  <c r="K325" i="18"/>
  <c r="L325" i="18"/>
  <c r="D326" i="18"/>
  <c r="F326" i="18"/>
  <c r="G326" i="18"/>
  <c r="K326" i="18"/>
  <c r="L326" i="18"/>
  <c r="D327" i="18"/>
  <c r="F327" i="18"/>
  <c r="G327" i="18"/>
  <c r="K327" i="18"/>
  <c r="L327" i="18"/>
  <c r="D328" i="18"/>
  <c r="F328" i="18"/>
  <c r="G328" i="18"/>
  <c r="D329" i="18"/>
  <c r="F329" i="18"/>
  <c r="G329" i="18"/>
  <c r="D330" i="18"/>
  <c r="F330" i="18"/>
  <c r="G330" i="18"/>
  <c r="K330" i="18"/>
  <c r="L330" i="18"/>
  <c r="D331" i="18"/>
  <c r="F331" i="18"/>
  <c r="G331" i="18"/>
  <c r="D332" i="18"/>
  <c r="F332" i="18"/>
  <c r="G332" i="18"/>
  <c r="D333" i="18"/>
  <c r="F333" i="18"/>
  <c r="G333" i="18"/>
  <c r="K333" i="18"/>
  <c r="L333" i="18"/>
  <c r="D334" i="18"/>
  <c r="G334" i="18"/>
  <c r="D335" i="18"/>
  <c r="F335" i="18"/>
  <c r="G335" i="18"/>
  <c r="D336" i="18"/>
  <c r="F336" i="18"/>
  <c r="G336" i="18"/>
  <c r="D337" i="18"/>
  <c r="F337" i="18"/>
  <c r="G337" i="18"/>
  <c r="D338" i="18"/>
  <c r="F338" i="18"/>
  <c r="G338" i="18"/>
  <c r="K338" i="18"/>
  <c r="L338" i="18"/>
  <c r="D339" i="18"/>
  <c r="F339" i="18"/>
  <c r="G339" i="18"/>
  <c r="K339" i="18"/>
  <c r="L339" i="18"/>
  <c r="D340" i="18"/>
  <c r="F340" i="18"/>
  <c r="G340" i="18"/>
  <c r="K340" i="18"/>
  <c r="L340" i="18"/>
  <c r="D341" i="18"/>
  <c r="F341" i="18"/>
  <c r="G341" i="18"/>
  <c r="D342" i="18"/>
  <c r="F342" i="18"/>
  <c r="G342" i="18"/>
  <c r="D343" i="18"/>
  <c r="F343" i="18"/>
  <c r="G343" i="18"/>
  <c r="D344" i="18"/>
  <c r="G344" i="18"/>
  <c r="D345" i="18"/>
  <c r="F345" i="18"/>
  <c r="G345" i="18"/>
  <c r="D346" i="18"/>
  <c r="F346" i="18"/>
  <c r="G346" i="18"/>
  <c r="K346" i="18"/>
  <c r="L346" i="18"/>
  <c r="D347" i="18"/>
  <c r="F347" i="18"/>
  <c r="G347" i="18"/>
  <c r="K347" i="18"/>
  <c r="L347" i="18"/>
  <c r="D348" i="18"/>
  <c r="F348" i="18"/>
  <c r="G348" i="18"/>
  <c r="K348" i="18"/>
  <c r="L348" i="18"/>
  <c r="D349" i="18"/>
  <c r="F349" i="18"/>
  <c r="G349" i="18"/>
  <c r="D350" i="18"/>
  <c r="F350" i="18"/>
  <c r="G350" i="18"/>
  <c r="D351" i="18"/>
  <c r="F351" i="18"/>
  <c r="G351" i="18"/>
  <c r="K351" i="18"/>
  <c r="L351" i="18"/>
  <c r="D352" i="18"/>
  <c r="F352" i="18"/>
  <c r="G352" i="18"/>
  <c r="K352" i="18"/>
  <c r="L352" i="18"/>
  <c r="D353" i="18"/>
  <c r="F353" i="18"/>
  <c r="G353" i="18"/>
  <c r="K353" i="18"/>
  <c r="L353" i="18"/>
  <c r="D354" i="18"/>
  <c r="F354" i="18"/>
  <c r="G354" i="18"/>
  <c r="K354" i="18"/>
  <c r="L354" i="18"/>
  <c r="D355" i="18"/>
  <c r="F355" i="18"/>
  <c r="G355" i="18"/>
  <c r="K355" i="18"/>
  <c r="L355" i="18"/>
  <c r="D356" i="18"/>
  <c r="F356" i="18"/>
  <c r="G356" i="18"/>
  <c r="K356" i="18"/>
  <c r="L356" i="18"/>
  <c r="D357" i="18"/>
  <c r="F357" i="18"/>
  <c r="G357" i="18"/>
  <c r="D358" i="18"/>
  <c r="F358" i="18"/>
  <c r="G358" i="18"/>
  <c r="D359" i="18"/>
  <c r="F359" i="18"/>
  <c r="G359" i="18"/>
  <c r="K359" i="18"/>
  <c r="L359" i="18"/>
  <c r="D360" i="18"/>
  <c r="F360" i="18"/>
  <c r="G360" i="18"/>
  <c r="K360" i="18"/>
  <c r="L360" i="18"/>
  <c r="D361" i="18"/>
  <c r="F361" i="18"/>
  <c r="G361" i="18"/>
  <c r="D362" i="18"/>
  <c r="F362" i="18"/>
  <c r="G362" i="18"/>
  <c r="K362" i="18"/>
  <c r="L362" i="18"/>
  <c r="D363" i="18"/>
  <c r="F363" i="18"/>
  <c r="G363" i="18"/>
  <c r="K363" i="18"/>
  <c r="L363" i="18"/>
  <c r="D364" i="18"/>
  <c r="F364" i="18"/>
  <c r="G364" i="18"/>
  <c r="K364" i="18"/>
  <c r="L364" i="18"/>
  <c r="D365" i="18"/>
  <c r="F365" i="18"/>
  <c r="G365" i="18"/>
  <c r="K365" i="18"/>
  <c r="L365" i="18"/>
  <c r="D366" i="18"/>
  <c r="F366" i="18"/>
  <c r="G366" i="18"/>
  <c r="D367" i="18"/>
  <c r="F367" i="18"/>
  <c r="G367" i="18"/>
  <c r="D368" i="18"/>
  <c r="F368" i="18"/>
  <c r="G368" i="18"/>
  <c r="D369" i="18"/>
  <c r="F369" i="18"/>
  <c r="G369" i="18"/>
  <c r="D370" i="18"/>
  <c r="F370" i="18"/>
  <c r="G370" i="18"/>
  <c r="K370" i="18"/>
  <c r="L370" i="18"/>
  <c r="D371" i="18"/>
  <c r="F371" i="18"/>
  <c r="G371" i="18"/>
  <c r="K371" i="18"/>
  <c r="L371" i="18"/>
  <c r="D372" i="18"/>
  <c r="G372" i="18"/>
  <c r="D373" i="18"/>
  <c r="G373" i="18"/>
  <c r="D374" i="18"/>
  <c r="G374" i="18"/>
  <c r="D375" i="18"/>
  <c r="F375" i="18"/>
  <c r="G375" i="18"/>
  <c r="D376" i="18"/>
  <c r="G376" i="18"/>
  <c r="D377" i="18"/>
  <c r="F377" i="18"/>
  <c r="G377" i="18"/>
  <c r="D378" i="18"/>
  <c r="G378" i="18"/>
  <c r="D379" i="18"/>
  <c r="G379" i="18"/>
  <c r="D380" i="18"/>
  <c r="G380" i="18"/>
  <c r="D381" i="18"/>
  <c r="G381" i="18"/>
  <c r="D382" i="18"/>
  <c r="G382" i="18"/>
  <c r="D383" i="18"/>
  <c r="F383" i="18"/>
  <c r="G383" i="18"/>
  <c r="K383" i="18"/>
  <c r="L383" i="18"/>
  <c r="D384" i="18"/>
  <c r="G384" i="18"/>
  <c r="D385" i="18"/>
  <c r="F385" i="18"/>
  <c r="G385" i="18"/>
  <c r="D386" i="18"/>
  <c r="F386" i="18"/>
  <c r="G386" i="18"/>
  <c r="D387" i="18"/>
  <c r="F387" i="18"/>
  <c r="G387" i="18"/>
  <c r="D388" i="18"/>
  <c r="F388" i="18"/>
  <c r="G388" i="18"/>
  <c r="D389" i="18"/>
  <c r="F389" i="18"/>
  <c r="G389" i="18"/>
  <c r="D390" i="18"/>
  <c r="F390" i="18"/>
  <c r="G390" i="18"/>
  <c r="D391" i="18"/>
  <c r="F391" i="18"/>
  <c r="G391" i="18"/>
  <c r="D392" i="18"/>
  <c r="F392" i="18"/>
  <c r="G392" i="18"/>
  <c r="D393" i="18"/>
  <c r="F393" i="18"/>
  <c r="G393" i="18"/>
  <c r="D394" i="18"/>
  <c r="F394" i="18"/>
  <c r="G394" i="18"/>
  <c r="K394" i="18"/>
  <c r="L394" i="18"/>
  <c r="D395" i="18"/>
  <c r="F395" i="18"/>
  <c r="G395" i="18"/>
  <c r="D396" i="18"/>
  <c r="F396" i="18"/>
  <c r="G396" i="18"/>
  <c r="D397" i="18"/>
  <c r="F397" i="18"/>
  <c r="G397" i="18"/>
  <c r="D398" i="18"/>
  <c r="F398" i="18"/>
  <c r="G398" i="18"/>
  <c r="D399" i="18"/>
  <c r="F399" i="18"/>
  <c r="G399" i="18"/>
  <c r="D400" i="18"/>
  <c r="F400" i="18"/>
  <c r="G400" i="18"/>
  <c r="D401" i="18"/>
  <c r="F401" i="18"/>
  <c r="G401" i="18"/>
  <c r="D402" i="18"/>
  <c r="F402" i="18"/>
  <c r="G402" i="18"/>
  <c r="D403" i="18"/>
  <c r="F403" i="18"/>
  <c r="G403" i="18"/>
  <c r="D404" i="18"/>
  <c r="F404" i="18"/>
  <c r="G404" i="18"/>
  <c r="D405" i="18"/>
  <c r="F405" i="18"/>
  <c r="G405" i="18"/>
  <c r="D406" i="18"/>
  <c r="F406" i="18"/>
  <c r="G406" i="18"/>
  <c r="D407" i="18"/>
  <c r="F407" i="18"/>
  <c r="G407" i="18"/>
  <c r="D408" i="18"/>
  <c r="F408" i="18"/>
  <c r="G408" i="18"/>
  <c r="D409" i="18"/>
  <c r="F409" i="18"/>
  <c r="G409" i="18"/>
  <c r="D410" i="18"/>
  <c r="F410" i="18"/>
  <c r="G410" i="18"/>
  <c r="D411" i="18"/>
  <c r="F411" i="18"/>
  <c r="G411" i="18"/>
  <c r="D412" i="18"/>
  <c r="F412" i="18"/>
  <c r="G412" i="18"/>
  <c r="D413" i="18"/>
  <c r="F413" i="18"/>
  <c r="G413" i="18"/>
  <c r="D414" i="18"/>
  <c r="F414" i="18"/>
  <c r="G414" i="18"/>
  <c r="D415" i="18"/>
  <c r="F415" i="18"/>
  <c r="G415" i="18"/>
  <c r="D416" i="18"/>
  <c r="F416" i="18"/>
  <c r="G416" i="18"/>
  <c r="D417" i="18"/>
  <c r="F417" i="18"/>
  <c r="G417" i="18"/>
  <c r="D418" i="18"/>
  <c r="F418" i="18"/>
  <c r="G418" i="18"/>
  <c r="D419" i="18"/>
  <c r="F419" i="18"/>
  <c r="G419" i="18"/>
  <c r="D420" i="18"/>
  <c r="F420" i="18"/>
  <c r="G420" i="18"/>
  <c r="D421" i="18"/>
  <c r="F421" i="18"/>
  <c r="G421" i="18"/>
  <c r="D422" i="18"/>
  <c r="F422" i="18"/>
  <c r="G422" i="18"/>
  <c r="D423" i="18"/>
  <c r="F423" i="18"/>
  <c r="G423" i="18"/>
  <c r="D424" i="18"/>
  <c r="F424" i="18"/>
  <c r="G424" i="18"/>
  <c r="D425" i="18"/>
  <c r="F425" i="18"/>
  <c r="G425" i="18"/>
  <c r="K425" i="18"/>
  <c r="L425" i="18"/>
  <c r="D426" i="18"/>
  <c r="F426" i="18"/>
  <c r="G426" i="18"/>
  <c r="K426" i="18"/>
  <c r="L426" i="18"/>
  <c r="D427" i="18"/>
  <c r="F427" i="18"/>
  <c r="G427" i="18"/>
  <c r="K427" i="18"/>
  <c r="L427" i="18"/>
  <c r="D428" i="18"/>
  <c r="F428" i="18"/>
  <c r="G428" i="18"/>
  <c r="D429" i="18"/>
  <c r="F429" i="18"/>
  <c r="G429" i="18"/>
  <c r="K429" i="18"/>
  <c r="L429" i="18"/>
  <c r="D430" i="18"/>
  <c r="F430" i="18"/>
  <c r="G430" i="18"/>
  <c r="K430" i="18"/>
  <c r="L430" i="18"/>
  <c r="D431" i="18"/>
  <c r="F431" i="18"/>
  <c r="G431" i="18"/>
  <c r="D432" i="18"/>
  <c r="F432" i="18"/>
  <c r="G432" i="18"/>
  <c r="D433" i="18"/>
  <c r="F433" i="18"/>
  <c r="G433" i="18"/>
  <c r="D434" i="18"/>
  <c r="F434" i="18"/>
  <c r="G434" i="18"/>
  <c r="K434" i="18"/>
  <c r="L434" i="18"/>
  <c r="D435" i="18"/>
  <c r="F435" i="18"/>
  <c r="G435" i="18"/>
  <c r="D436" i="18"/>
  <c r="F436" i="18"/>
  <c r="G436" i="18"/>
  <c r="D437" i="18"/>
  <c r="F437" i="18"/>
  <c r="G437" i="18"/>
  <c r="K437" i="18"/>
  <c r="L437" i="18"/>
  <c r="D438" i="18"/>
  <c r="F438" i="18"/>
  <c r="G438" i="18"/>
  <c r="K438" i="18"/>
  <c r="L438" i="18"/>
  <c r="D439" i="18"/>
  <c r="F439" i="18"/>
  <c r="G439" i="18"/>
  <c r="K439" i="18"/>
  <c r="L439" i="18"/>
  <c r="D440" i="18"/>
  <c r="F440" i="18"/>
  <c r="G440" i="18"/>
  <c r="D441" i="18"/>
  <c r="F441" i="18"/>
  <c r="G441" i="18"/>
  <c r="D442" i="18"/>
  <c r="F442" i="18"/>
  <c r="G442" i="18"/>
  <c r="D443" i="18"/>
  <c r="F443" i="18"/>
  <c r="G443" i="18"/>
  <c r="D444" i="18"/>
  <c r="F444" i="18"/>
  <c r="G444" i="18"/>
  <c r="D445" i="18"/>
  <c r="F445" i="18"/>
  <c r="G445" i="18"/>
  <c r="D446" i="18"/>
  <c r="F446" i="18"/>
  <c r="G446" i="18"/>
  <c r="D447" i="18"/>
  <c r="F447" i="18"/>
  <c r="G447" i="18"/>
  <c r="D448" i="18"/>
  <c r="F448" i="18"/>
  <c r="G448" i="18"/>
  <c r="D449" i="18"/>
  <c r="G449" i="18"/>
  <c r="D450" i="18"/>
  <c r="F450" i="18"/>
  <c r="G450" i="18"/>
  <c r="D451" i="18"/>
  <c r="F451" i="18"/>
  <c r="G451" i="18"/>
  <c r="D452" i="18"/>
  <c r="F452" i="18"/>
  <c r="G452" i="18"/>
  <c r="D453" i="18"/>
  <c r="F453" i="18"/>
  <c r="G453" i="18"/>
  <c r="K453" i="18"/>
  <c r="L453" i="18"/>
  <c r="D454" i="18"/>
  <c r="F454" i="18"/>
  <c r="G454" i="18"/>
  <c r="D455" i="18"/>
  <c r="F455" i="18"/>
  <c r="G455" i="18"/>
  <c r="K455" i="18"/>
  <c r="L455" i="18"/>
  <c r="D456" i="18"/>
  <c r="F456" i="18"/>
  <c r="G456" i="18"/>
  <c r="K456" i="18"/>
  <c r="L456" i="18"/>
  <c r="D457" i="18"/>
  <c r="F457" i="18"/>
  <c r="G457" i="18"/>
  <c r="K457" i="18"/>
  <c r="L457" i="18"/>
  <c r="D458" i="18"/>
  <c r="F458" i="18"/>
  <c r="G458" i="18"/>
  <c r="K458" i="18"/>
  <c r="L458" i="18"/>
  <c r="D459" i="18"/>
  <c r="F459" i="18"/>
  <c r="G459" i="18"/>
  <c r="K459" i="18"/>
  <c r="L459" i="18"/>
  <c r="D460" i="18"/>
  <c r="F460" i="18"/>
  <c r="G460" i="18"/>
  <c r="K460" i="18"/>
  <c r="L460" i="18"/>
  <c r="D461" i="18"/>
  <c r="F461" i="18"/>
  <c r="G461" i="18"/>
  <c r="K461" i="18"/>
  <c r="L461" i="18"/>
  <c r="D462" i="18"/>
  <c r="F462" i="18"/>
  <c r="G462" i="18"/>
  <c r="K462" i="18"/>
  <c r="L462" i="18"/>
  <c r="D463" i="18"/>
  <c r="F463" i="18"/>
  <c r="G463" i="18"/>
  <c r="K463" i="18"/>
  <c r="L463" i="18"/>
  <c r="G2" i="18"/>
  <c r="D2" i="18"/>
  <c r="T8204" i="5" l="1" a="1"/>
  <c r="T8204" i="5" s="1"/>
  <c r="U8204" i="5" s="1"/>
  <c r="W8204" i="5" s="1"/>
  <c r="T8196" i="5" a="1"/>
  <c r="T8196" i="5" s="1"/>
  <c r="U8196" i="5" s="1"/>
  <c r="W8196" i="5" s="1"/>
  <c r="T8130" i="5" a="1"/>
  <c r="T8130" i="5" s="1"/>
  <c r="U8130" i="5" s="1"/>
  <c r="W8130" i="5" s="1"/>
  <c r="T7701" i="5" a="1"/>
  <c r="T7701" i="5" s="1"/>
  <c r="U7701" i="5" s="1"/>
  <c r="W7701" i="5" s="1"/>
  <c r="T8131" i="5" a="1"/>
  <c r="T8131" i="5" s="1"/>
  <c r="U8131" i="5" s="1"/>
  <c r="W8131" i="5" s="1"/>
  <c r="T7702" i="5" a="1"/>
  <c r="T7702" i="5" s="1"/>
  <c r="U7702" i="5" s="1"/>
  <c r="W7702" i="5" s="1"/>
  <c r="T7612" i="5" a="1"/>
  <c r="T7612" i="5" s="1"/>
  <c r="U7612" i="5" s="1"/>
  <c r="W7612" i="5" s="1"/>
  <c r="T8132" i="5" a="1"/>
  <c r="T8132" i="5" s="1"/>
  <c r="U8132" i="5" s="1"/>
  <c r="W8132" i="5" s="1"/>
  <c r="T7703" i="5" a="1"/>
  <c r="T7703" i="5" s="1"/>
  <c r="U7703" i="5" s="1"/>
  <c r="W7703" i="5" s="1"/>
  <c r="T8134" i="5" a="1"/>
  <c r="T8134" i="5" s="1"/>
  <c r="U8134" i="5" s="1"/>
  <c r="W8134" i="5" s="1"/>
  <c r="T7705" i="5" a="1"/>
  <c r="T7705" i="5" s="1"/>
  <c r="U7705" i="5" s="1"/>
  <c r="W7705" i="5" s="1"/>
  <c r="T8201" i="5" a="1"/>
  <c r="T8201" i="5" s="1"/>
  <c r="U8201" i="5" s="1"/>
  <c r="W8201" i="5" s="1"/>
  <c r="T8202" i="5" a="1"/>
  <c r="T8202" i="5" s="1"/>
  <c r="U8202" i="5" s="1"/>
  <c r="W8202" i="5" s="1"/>
  <c r="T6799" i="5" a="1"/>
  <c r="T6799" i="5" s="1"/>
  <c r="U6799" i="5" s="1"/>
  <c r="W6799" i="5" s="1"/>
  <c r="T8133" i="5" a="1"/>
  <c r="T8133" i="5" s="1"/>
  <c r="U8133" i="5" s="1"/>
  <c r="W8133" i="5" s="1"/>
  <c r="T7927" i="5" a="1"/>
  <c r="T7927" i="5" s="1"/>
  <c r="U7927" i="5" s="1"/>
  <c r="W7927" i="5" s="1"/>
  <c r="T7995" i="5" a="1"/>
  <c r="T7995" i="5" s="1"/>
  <c r="U7995" i="5" s="1"/>
  <c r="W7995" i="5" s="1"/>
  <c r="T7616" i="5" a="1"/>
  <c r="T7616" i="5" s="1"/>
  <c r="U7616" i="5" s="1"/>
  <c r="W7616" i="5" s="1"/>
  <c r="T7610" i="5" a="1"/>
  <c r="T7610" i="5" s="1"/>
  <c r="U7610" i="5" s="1"/>
  <c r="W7610" i="5" s="1"/>
  <c r="T7611" i="5" a="1"/>
  <c r="T7611" i="5" s="1"/>
  <c r="U7611" i="5" s="1"/>
  <c r="W7611" i="5" s="1"/>
  <c r="T7617" i="5" a="1"/>
  <c r="T7617" i="5" s="1"/>
  <c r="U7617" i="5" s="1"/>
  <c r="W7617" i="5" s="1"/>
  <c r="T7618" i="5" a="1"/>
  <c r="T7618" i="5" s="1"/>
  <c r="U7618" i="5" s="1"/>
  <c r="W7618" i="5" s="1"/>
  <c r="T3630" i="5" a="1"/>
  <c r="T3630" i="5" s="1"/>
  <c r="U3630" i="5" s="1"/>
  <c r="W3630" i="5" s="1"/>
  <c r="T3631" i="5" a="1"/>
  <c r="T3631" i="5" s="1"/>
  <c r="U3631" i="5" s="1"/>
  <c r="W3631" i="5" s="1"/>
  <c r="T3632" i="5" a="1"/>
  <c r="T3632" i="5" s="1"/>
  <c r="U3632" i="5" s="1"/>
  <c r="W3632" i="5" s="1"/>
  <c r="T3633" i="5" a="1"/>
  <c r="T3633" i="5" s="1"/>
  <c r="U3633" i="5" s="1"/>
  <c r="W3633" i="5" s="1"/>
  <c r="T3634" i="5" a="1"/>
  <c r="T3634" i="5" s="1"/>
  <c r="U3634" i="5" s="1"/>
  <c r="W3634" i="5" s="1"/>
  <c r="T3635" i="5" a="1"/>
  <c r="T3635" i="5" s="1"/>
  <c r="U3635" i="5" s="1"/>
  <c r="W3635" i="5" s="1"/>
  <c r="T5897" i="5" a="1"/>
  <c r="T5897" i="5" s="1"/>
  <c r="U5897" i="5" s="1"/>
  <c r="W5897" i="5" s="1"/>
  <c r="T3640" i="5" a="1"/>
  <c r="T3640" i="5" s="1"/>
  <c r="U3640" i="5" s="1"/>
  <c r="W3640" i="5" s="1"/>
  <c r="T3649" i="5" a="1"/>
  <c r="T3649" i="5" s="1"/>
  <c r="U3649" i="5" s="1"/>
  <c r="W3649" i="5" s="1"/>
  <c r="T3651" i="5" a="1"/>
  <c r="T3651" i="5" s="1"/>
  <c r="U3651" i="5" s="1"/>
  <c r="W3651" i="5" s="1"/>
  <c r="T5230" i="5" a="1"/>
  <c r="T5230" i="5" s="1"/>
  <c r="U5230" i="5" s="1"/>
  <c r="W5230" i="5" s="1"/>
  <c r="T3596" i="5" a="1"/>
  <c r="T3596" i="5" s="1"/>
  <c r="U3596" i="5" s="1"/>
  <c r="W3596" i="5" s="1"/>
  <c r="T3597" i="5" a="1"/>
  <c r="T3597" i="5" s="1"/>
  <c r="U3597" i="5" s="1"/>
  <c r="W3597" i="5" s="1"/>
  <c r="T3598" i="5" a="1"/>
  <c r="T3598" i="5" s="1"/>
  <c r="U3598" i="5" s="1"/>
  <c r="W3598" i="5" s="1"/>
  <c r="T3590" i="5" a="1"/>
  <c r="T3590" i="5" s="1"/>
  <c r="U3590" i="5" s="1"/>
  <c r="W3590" i="5" s="1"/>
  <c r="T3602" i="5" a="1"/>
  <c r="T3602" i="5" s="1"/>
  <c r="U3602" i="5" s="1"/>
  <c r="W3602" i="5" s="1"/>
  <c r="T3745" i="5" a="1"/>
  <c r="T3745" i="5" s="1"/>
  <c r="U3745" i="5" s="1"/>
  <c r="W3745" i="5" s="1"/>
  <c r="T3746" i="5" a="1"/>
  <c r="T3746" i="5" s="1"/>
  <c r="U3746" i="5" s="1"/>
  <c r="W3746" i="5" s="1"/>
  <c r="T3747" i="5" a="1"/>
  <c r="T3747" i="5" s="1"/>
  <c r="U3747" i="5" s="1"/>
  <c r="W3747" i="5" s="1"/>
  <c r="T3748" i="5" a="1"/>
  <c r="T3748" i="5" s="1"/>
  <c r="U3748" i="5" s="1"/>
  <c r="W3748" i="5" s="1"/>
  <c r="T3822" i="5" a="1"/>
  <c r="T3822" i="5" s="1"/>
  <c r="U3822" i="5" s="1"/>
  <c r="W3822" i="5" s="1"/>
  <c r="T3821" i="5" a="1"/>
  <c r="T3821" i="5" s="1"/>
  <c r="U3821" i="5" s="1"/>
  <c r="W3821" i="5" s="1"/>
  <c r="T3819" i="5" a="1"/>
  <c r="T3819" i="5" s="1"/>
  <c r="U3819" i="5" s="1"/>
  <c r="W3819" i="5" s="1"/>
  <c r="T3944" i="5" a="1"/>
  <c r="T3944" i="5" s="1"/>
  <c r="U3944" i="5" s="1"/>
  <c r="W3944" i="5" s="1"/>
  <c r="T3834" i="5" a="1"/>
  <c r="T3834" i="5" s="1"/>
  <c r="U3834" i="5" s="1"/>
  <c r="W3834" i="5" s="1"/>
  <c r="T3835" i="5" a="1"/>
  <c r="T3835" i="5" s="1"/>
  <c r="U3835" i="5" s="1"/>
  <c r="W3835" i="5" s="1"/>
  <c r="T3841" i="5" a="1"/>
  <c r="T3841" i="5" s="1"/>
  <c r="U3841" i="5" s="1"/>
  <c r="W3841" i="5" s="1"/>
  <c r="T3842" i="5" a="1"/>
  <c r="T3842" i="5" s="1"/>
  <c r="U3842" i="5" s="1"/>
  <c r="W3842" i="5" s="1"/>
  <c r="T3900" i="5" a="1"/>
  <c r="T3900" i="5" s="1"/>
  <c r="U3900" i="5" s="1"/>
  <c r="W3900" i="5" s="1"/>
  <c r="T3899" i="5" a="1"/>
  <c r="T3899" i="5" s="1"/>
  <c r="U3899" i="5" s="1"/>
  <c r="W3899" i="5" s="1"/>
  <c r="T3898" i="5" a="1"/>
  <c r="T3898" i="5" s="1"/>
  <c r="U3898" i="5" s="1"/>
  <c r="W3898" i="5" s="1"/>
  <c r="T3901" i="5" a="1"/>
  <c r="T3901" i="5" s="1"/>
  <c r="U3901" i="5" s="1"/>
  <c r="W3901" i="5" s="1"/>
  <c r="T3933" i="5" a="1"/>
  <c r="T3933" i="5" s="1"/>
  <c r="U3933" i="5" s="1"/>
  <c r="W3933" i="5" s="1"/>
  <c r="T3934" i="5" a="1"/>
  <c r="T3934" i="5" s="1"/>
  <c r="U3934" i="5" s="1"/>
  <c r="W3934" i="5" s="1"/>
  <c r="T3938" i="5" a="1"/>
  <c r="T3938" i="5" s="1"/>
  <c r="U3938" i="5" s="1"/>
  <c r="W3938" i="5" s="1"/>
  <c r="T4000" i="5" a="1"/>
  <c r="T4000" i="5" s="1"/>
  <c r="U4000" i="5" s="1"/>
  <c r="W4000" i="5" s="1"/>
  <c r="T4001" i="5" a="1"/>
  <c r="T4001" i="5" s="1"/>
  <c r="U4001" i="5" s="1"/>
  <c r="W4001" i="5" s="1"/>
  <c r="T4002" i="5" a="1"/>
  <c r="T4002" i="5" s="1"/>
  <c r="U4002" i="5" s="1"/>
  <c r="W4002" i="5" s="1"/>
  <c r="T4014" i="5" a="1"/>
  <c r="T4014" i="5" s="1"/>
  <c r="U4014" i="5" s="1"/>
  <c r="W4014" i="5" s="1"/>
  <c r="T3848" i="5" a="1"/>
  <c r="T3848" i="5" s="1"/>
  <c r="U3848" i="5" s="1"/>
  <c r="W3848" i="5" s="1"/>
  <c r="T3902" i="5" a="1"/>
  <c r="T3902" i="5" s="1"/>
  <c r="U3902" i="5" s="1"/>
  <c r="W3902" i="5" s="1"/>
  <c r="T3904" i="5" a="1"/>
  <c r="T3904" i="5" s="1"/>
  <c r="U3904" i="5" s="1"/>
  <c r="W3904" i="5" s="1"/>
  <c r="T3905" i="5" a="1"/>
  <c r="T3905" i="5" s="1"/>
  <c r="U3905" i="5" s="1"/>
  <c r="W3905" i="5" s="1"/>
  <c r="T4279" i="5" a="1"/>
  <c r="T4279" i="5" s="1"/>
  <c r="U4279" i="5" s="1"/>
  <c r="W4279" i="5" s="1"/>
  <c r="T4569" i="5" a="1"/>
  <c r="T4569" i="5" s="1"/>
  <c r="U4569" i="5" s="1"/>
  <c r="W4569" i="5" s="1"/>
  <c r="T3660" i="5" a="1"/>
  <c r="T3660" i="5" s="1"/>
  <c r="U3660" i="5" s="1"/>
  <c r="W3660" i="5" s="1"/>
  <c r="T3662" i="5" a="1"/>
  <c r="T3662" i="5" s="1"/>
  <c r="U3662" i="5" s="1"/>
  <c r="W3662" i="5" s="1"/>
  <c r="T3663" i="5" a="1"/>
  <c r="T3663" i="5" s="1"/>
  <c r="U3663" i="5" s="1"/>
  <c r="W3663" i="5" s="1"/>
  <c r="T6506" i="5" a="1"/>
  <c r="T6506" i="5" s="1"/>
  <c r="U6506" i="5" s="1"/>
  <c r="W6506" i="5" s="1"/>
  <c r="T6479" i="5" a="1"/>
  <c r="T6479" i="5" s="1"/>
  <c r="U6479" i="5" s="1"/>
  <c r="W6479" i="5" s="1"/>
  <c r="T3712" i="5" a="1"/>
  <c r="T3712" i="5" s="1"/>
  <c r="U3712" i="5" s="1"/>
  <c r="W3712" i="5" s="1"/>
  <c r="T3715" i="5" a="1"/>
  <c r="T3715" i="5" s="1"/>
  <c r="U3715" i="5" s="1"/>
  <c r="W3715" i="5" s="1"/>
  <c r="T3716" i="5" a="1"/>
  <c r="T3716" i="5" s="1"/>
  <c r="U3716" i="5" s="1"/>
  <c r="W3716" i="5" s="1"/>
  <c r="T3729" i="5" a="1"/>
  <c r="T3729" i="5" s="1"/>
  <c r="U3729" i="5" s="1"/>
  <c r="W3729" i="5" s="1"/>
  <c r="T3730" i="5" a="1"/>
  <c r="T3730" i="5" s="1"/>
  <c r="U3730" i="5" s="1"/>
  <c r="W3730" i="5" s="1"/>
  <c r="T6468" i="5" a="1"/>
  <c r="T6468" i="5" s="1"/>
  <c r="U6468" i="5" s="1"/>
  <c r="W6468" i="5" s="1"/>
  <c r="T3733" i="5" a="1"/>
  <c r="T3733" i="5" s="1"/>
  <c r="U3733" i="5" s="1"/>
  <c r="W3733" i="5" s="1"/>
  <c r="T3734" i="5" a="1"/>
  <c r="T3734" i="5" s="1"/>
  <c r="U3734" i="5" s="1"/>
  <c r="W3734" i="5" s="1"/>
  <c r="T3737" i="5" a="1"/>
  <c r="T3737" i="5" s="1"/>
  <c r="U3737" i="5" s="1"/>
  <c r="W3737" i="5" s="1"/>
  <c r="T3738" i="5" a="1"/>
  <c r="T3738" i="5" s="1"/>
  <c r="U3738" i="5" s="1"/>
  <c r="W3738" i="5" s="1"/>
  <c r="T3743" i="5" a="1"/>
  <c r="T3743" i="5" s="1"/>
  <c r="U3743" i="5" s="1"/>
  <c r="W3743" i="5" s="1"/>
  <c r="T6896" i="5" a="1"/>
  <c r="T6896" i="5" s="1"/>
  <c r="U6896" i="5" s="1"/>
  <c r="W6896" i="5" s="1"/>
  <c r="T3805" i="5" a="1"/>
  <c r="T3805" i="5" s="1"/>
  <c r="U3805" i="5" s="1"/>
  <c r="W3805" i="5" s="1"/>
  <c r="T6507" i="5" a="1"/>
  <c r="T6507" i="5" s="1"/>
  <c r="U6507" i="5" s="1"/>
  <c r="W6507" i="5" s="1"/>
  <c r="T3807" i="5" a="1"/>
  <c r="T3807" i="5" s="1"/>
  <c r="U3807" i="5" s="1"/>
  <c r="W3807" i="5" s="1"/>
  <c r="T6508" i="5" a="1"/>
  <c r="T6508" i="5" s="1"/>
  <c r="U6508" i="5" s="1"/>
  <c r="W6508" i="5" s="1"/>
  <c r="T3810" i="5" a="1"/>
  <c r="T3810" i="5" s="1"/>
  <c r="U3810" i="5" s="1"/>
  <c r="W3810" i="5" s="1"/>
  <c r="T3811" i="5" a="1"/>
  <c r="T3811" i="5" s="1"/>
  <c r="U3811" i="5" s="1"/>
  <c r="W3811" i="5" s="1"/>
  <c r="T3865" i="5" a="1"/>
  <c r="T3865" i="5" s="1"/>
  <c r="U3865" i="5" s="1"/>
  <c r="W3865" i="5" s="1"/>
  <c r="T6503" i="5" a="1"/>
  <c r="T6503" i="5" s="1"/>
  <c r="U6503" i="5" s="1"/>
  <c r="W6503" i="5" s="1"/>
  <c r="T3869" i="5" a="1"/>
  <c r="T3869" i="5" s="1"/>
  <c r="U3869" i="5" s="1"/>
  <c r="W3869" i="5" s="1"/>
  <c r="T3870" i="5" a="1"/>
  <c r="T3870" i="5" s="1"/>
  <c r="U3870" i="5" s="1"/>
  <c r="W3870" i="5" s="1"/>
  <c r="T3871" i="5" a="1"/>
  <c r="T3871" i="5" s="1"/>
  <c r="U3871" i="5" s="1"/>
  <c r="W3871" i="5" s="1"/>
  <c r="T3872" i="5" a="1"/>
  <c r="T3872" i="5" s="1"/>
  <c r="U3872" i="5" s="1"/>
  <c r="W3872" i="5" s="1"/>
  <c r="T6505" i="5" a="1"/>
  <c r="T6505" i="5" s="1"/>
  <c r="U6505" i="5" s="1"/>
  <c r="W6505" i="5" s="1"/>
  <c r="T3875" i="5" a="1"/>
  <c r="T3875" i="5" s="1"/>
  <c r="U3875" i="5" s="1"/>
  <c r="W3875" i="5" s="1"/>
  <c r="T3887" i="5" a="1"/>
  <c r="T3887" i="5" s="1"/>
  <c r="U3887" i="5" s="1"/>
  <c r="W3887" i="5" s="1"/>
  <c r="T3888" i="5" a="1"/>
  <c r="T3888" i="5" s="1"/>
  <c r="U3888" i="5" s="1"/>
  <c r="W3888" i="5" s="1"/>
  <c r="T3954" i="5" a="1"/>
  <c r="T3954" i="5" s="1"/>
  <c r="U3954" i="5" s="1"/>
  <c r="W3954" i="5" s="1"/>
  <c r="T4072" i="5" a="1"/>
  <c r="T4072" i="5" s="1"/>
  <c r="U4072" i="5" s="1"/>
  <c r="W4072" i="5" s="1"/>
  <c r="T4073" i="5" a="1"/>
  <c r="T4073" i="5" s="1"/>
  <c r="U4073" i="5" s="1"/>
  <c r="W4073" i="5" s="1"/>
  <c r="T4074" i="5" a="1"/>
  <c r="T4074" i="5" s="1"/>
  <c r="U4074" i="5" s="1"/>
  <c r="W4074" i="5" s="1"/>
  <c r="T4076" i="5" a="1"/>
  <c r="T4076" i="5" s="1"/>
  <c r="U4076" i="5" s="1"/>
  <c r="W4076" i="5" s="1"/>
  <c r="T4081" i="5" a="1"/>
  <c r="T4081" i="5" s="1"/>
  <c r="U4081" i="5" s="1"/>
  <c r="W4081" i="5" s="1"/>
  <c r="T5565" i="5" a="1"/>
  <c r="T5565" i="5" s="1"/>
  <c r="U5565" i="5" s="1"/>
  <c r="W5565" i="5" s="1"/>
  <c r="T4171" i="5" a="1"/>
  <c r="T4171" i="5" s="1"/>
  <c r="U4171" i="5" s="1"/>
  <c r="W4171" i="5" s="1"/>
  <c r="T4341" i="5" a="1"/>
  <c r="T4341" i="5" s="1"/>
  <c r="U4341" i="5" s="1"/>
  <c r="W4341" i="5" s="1"/>
  <c r="T4683" i="5" a="1"/>
  <c r="T4683" i="5" s="1"/>
  <c r="U4683" i="5" s="1"/>
  <c r="W4683" i="5" s="1"/>
  <c r="T4684" i="5" a="1"/>
  <c r="T4684" i="5" s="1"/>
  <c r="U4684" i="5" s="1"/>
  <c r="W4684" i="5" s="1"/>
  <c r="T4685" i="5" a="1"/>
  <c r="T4685" i="5" s="1"/>
  <c r="U4685" i="5" s="1"/>
  <c r="W4685" i="5" s="1"/>
  <c r="T4686" i="5" a="1"/>
  <c r="T4686" i="5" s="1"/>
  <c r="U4686" i="5" s="1"/>
  <c r="W4686" i="5" s="1"/>
  <c r="T4687" i="5" a="1"/>
  <c r="T4687" i="5" s="1"/>
  <c r="U4687" i="5" s="1"/>
  <c r="W4687" i="5" s="1"/>
  <c r="T4688" i="5" a="1"/>
  <c r="T4688" i="5" s="1"/>
  <c r="U4688" i="5" s="1"/>
  <c r="W4688" i="5" s="1"/>
  <c r="T4864" i="5" a="1"/>
  <c r="T4864" i="5" s="1"/>
  <c r="U4864" i="5" s="1"/>
  <c r="W4864" i="5" s="1"/>
  <c r="T4865" i="5" a="1"/>
  <c r="T4865" i="5" s="1"/>
  <c r="U4865" i="5" s="1"/>
  <c r="W4865" i="5" s="1"/>
  <c r="T4866" i="5" a="1"/>
  <c r="T4866" i="5" s="1"/>
  <c r="U4866" i="5" s="1"/>
  <c r="W4866" i="5" s="1"/>
  <c r="T2890" i="5" a="1"/>
  <c r="T2890" i="5" s="1"/>
  <c r="U2890" i="5" s="1"/>
  <c r="W2890" i="5" s="1"/>
  <c r="T2891" i="5" a="1"/>
  <c r="T2891" i="5" s="1"/>
  <c r="U2891" i="5" s="1"/>
  <c r="W2891" i="5" s="1"/>
  <c r="T5271" i="5" a="1"/>
  <c r="T5271" i="5" s="1"/>
  <c r="U5271" i="5" s="1"/>
  <c r="W5271" i="5" s="1"/>
  <c r="T5272" i="5" a="1"/>
  <c r="T5272" i="5" s="1"/>
  <c r="U5272" i="5" s="1"/>
  <c r="W5272" i="5" s="1"/>
  <c r="T5558" i="5" a="1"/>
  <c r="T5558" i="5" s="1"/>
  <c r="U5558" i="5" s="1"/>
  <c r="W5558" i="5" s="1"/>
  <c r="T5566" i="5" a="1"/>
  <c r="T5566" i="5" s="1"/>
  <c r="U5566" i="5" s="1"/>
  <c r="W5566" i="5" s="1"/>
  <c r="T5568" i="5" a="1"/>
  <c r="T5568" i="5" s="1"/>
  <c r="U5568" i="5" s="1"/>
  <c r="W5568" i="5" s="1"/>
  <c r="T4363" i="5" a="1"/>
  <c r="T4363" i="5" s="1"/>
  <c r="U4363" i="5" s="1"/>
  <c r="W4363" i="5" s="1"/>
  <c r="T4364" i="5" a="1"/>
  <c r="T4364" i="5" s="1"/>
  <c r="U4364" i="5" s="1"/>
  <c r="W4364" i="5" s="1"/>
  <c r="T4365" i="5" a="1"/>
  <c r="T4365" i="5" s="1"/>
  <c r="U4365" i="5" s="1"/>
  <c r="W4365" i="5" s="1"/>
  <c r="T4366" i="5" a="1"/>
  <c r="T4366" i="5" s="1"/>
  <c r="U4366" i="5" s="1"/>
  <c r="W4366" i="5" s="1"/>
  <c r="T4368" i="5" a="1"/>
  <c r="T4368" i="5" s="1"/>
  <c r="U4368" i="5" s="1"/>
  <c r="W4368" i="5" s="1"/>
  <c r="T6483" i="5" a="1"/>
  <c r="T6483" i="5" s="1"/>
  <c r="U6483" i="5" s="1"/>
  <c r="W6483" i="5" s="1"/>
  <c r="T4371" i="5" a="1"/>
  <c r="T4371" i="5" s="1"/>
  <c r="U4371" i="5" s="1"/>
  <c r="W4371" i="5" s="1"/>
  <c r="T4799" i="5" a="1"/>
  <c r="T4799" i="5" s="1"/>
  <c r="U4799" i="5" s="1"/>
  <c r="W4799" i="5" s="1"/>
  <c r="T4801" i="5" a="1"/>
  <c r="T4801" i="5" s="1"/>
  <c r="U4801" i="5" s="1"/>
  <c r="W4801" i="5" s="1"/>
  <c r="T4802" i="5" a="1"/>
  <c r="T4802" i="5" s="1"/>
  <c r="U4802" i="5" s="1"/>
  <c r="W4802" i="5" s="1"/>
  <c r="T4804" i="5" a="1"/>
  <c r="T4804" i="5" s="1"/>
  <c r="U4804" i="5" s="1"/>
  <c r="W4804" i="5" s="1"/>
  <c r="T4805" i="5" a="1"/>
  <c r="T4805" i="5" s="1"/>
  <c r="U4805" i="5" s="1"/>
  <c r="W4805" i="5" s="1"/>
  <c r="T4806" i="5" a="1"/>
  <c r="T4806" i="5" s="1"/>
  <c r="U4806" i="5" s="1"/>
  <c r="W4806" i="5" s="1"/>
  <c r="T4807" i="5" a="1"/>
  <c r="T4807" i="5" s="1"/>
  <c r="U4807" i="5" s="1"/>
  <c r="W4807" i="5" s="1"/>
  <c r="T4808" i="5" a="1"/>
  <c r="T4808" i="5" s="1"/>
  <c r="U4808" i="5" s="1"/>
  <c r="W4808" i="5" s="1"/>
  <c r="T4809" i="5" a="1"/>
  <c r="T4809" i="5" s="1"/>
  <c r="U4809" i="5" s="1"/>
  <c r="W4809" i="5" s="1"/>
  <c r="T4811" i="5" a="1"/>
  <c r="T4811" i="5" s="1"/>
  <c r="U4811" i="5" s="1"/>
  <c r="W4811" i="5" s="1"/>
  <c r="T4812" i="5" a="1"/>
  <c r="T4812" i="5" s="1"/>
  <c r="U4812" i="5" s="1"/>
  <c r="W4812" i="5" s="1"/>
  <c r="T4813" i="5" a="1"/>
  <c r="T4813" i="5" s="1"/>
  <c r="U4813" i="5" s="1"/>
  <c r="W4813" i="5" s="1"/>
  <c r="T5842" i="5" a="1"/>
  <c r="T5842" i="5" s="1"/>
  <c r="U5842" i="5" s="1"/>
  <c r="W5842" i="5" s="1"/>
  <c r="T5845" i="5" a="1"/>
  <c r="T5845" i="5" s="1"/>
  <c r="U5845" i="5" s="1"/>
  <c r="W5845" i="5" s="1"/>
  <c r="T5846" i="5" a="1"/>
  <c r="T5846" i="5" s="1"/>
  <c r="U5846" i="5" s="1"/>
  <c r="W5846" i="5" s="1"/>
  <c r="T5847" i="5" a="1"/>
  <c r="T5847" i="5" s="1"/>
  <c r="U5847" i="5" s="1"/>
  <c r="W5847" i="5" s="1"/>
  <c r="T5849" i="5" a="1"/>
  <c r="T5849" i="5" s="1"/>
  <c r="U5849" i="5" s="1"/>
  <c r="W5849" i="5" s="1"/>
  <c r="T5850" i="5" a="1"/>
  <c r="T5850" i="5" s="1"/>
  <c r="U5850" i="5" s="1"/>
  <c r="W5850" i="5" s="1"/>
  <c r="T5851" i="5" a="1"/>
  <c r="T5851" i="5" s="1"/>
  <c r="U5851" i="5" s="1"/>
  <c r="W5851" i="5" s="1"/>
  <c r="T5852" i="5" a="1"/>
  <c r="T5852" i="5" s="1"/>
  <c r="U5852" i="5" s="1"/>
  <c r="W5852" i="5" s="1"/>
  <c r="T5854" i="5" a="1"/>
  <c r="T5854" i="5" s="1"/>
  <c r="U5854" i="5" s="1"/>
  <c r="W5854" i="5" s="1"/>
  <c r="T5855" i="5" a="1"/>
  <c r="T5855" i="5" s="1"/>
  <c r="U5855" i="5" s="1"/>
  <c r="W5855" i="5" s="1"/>
  <c r="T5856" i="5" a="1"/>
  <c r="T5856" i="5" s="1"/>
  <c r="U5856" i="5" s="1"/>
  <c r="W5856" i="5" s="1"/>
  <c r="T5857" i="5" a="1"/>
  <c r="T5857" i="5" s="1"/>
  <c r="U5857" i="5" s="1"/>
  <c r="W5857" i="5" s="1"/>
  <c r="T5858" i="5" a="1"/>
  <c r="T5858" i="5" s="1"/>
  <c r="U5858" i="5" s="1"/>
  <c r="W5858" i="5" s="1"/>
  <c r="T5859" i="5" a="1"/>
  <c r="T5859" i="5" s="1"/>
  <c r="U5859" i="5" s="1"/>
  <c r="W5859" i="5" s="1"/>
  <c r="T5860" i="5" a="1"/>
  <c r="T5860" i="5" s="1"/>
  <c r="U5860" i="5" s="1"/>
  <c r="W5860" i="5" s="1"/>
  <c r="T5861" i="5" a="1"/>
  <c r="T5861" i="5" s="1"/>
  <c r="U5861" i="5" s="1"/>
  <c r="W5861" i="5" s="1"/>
  <c r="T5862" i="5" a="1"/>
  <c r="T5862" i="5" s="1"/>
  <c r="U5862" i="5" s="1"/>
  <c r="W5862" i="5" s="1"/>
  <c r="T5338" i="5" a="1"/>
  <c r="T5338" i="5" s="1"/>
  <c r="U5338" i="5" s="1"/>
  <c r="W5338" i="5" s="1"/>
  <c r="T6001" i="5" a="1"/>
  <c r="T6001" i="5" s="1"/>
  <c r="U6001" i="5" s="1"/>
  <c r="W6001" i="5" s="1"/>
  <c r="T3816" i="5" a="1"/>
  <c r="T3816" i="5" s="1"/>
  <c r="U3816" i="5" s="1"/>
  <c r="W3816" i="5" s="1"/>
  <c r="T3815" i="5" a="1"/>
  <c r="T3815" i="5" s="1"/>
  <c r="U3815" i="5" s="1"/>
  <c r="W3815" i="5" s="1"/>
  <c r="T3814" i="5" a="1"/>
  <c r="T3814" i="5" s="1"/>
  <c r="U3814" i="5" s="1"/>
  <c r="W3814" i="5" s="1"/>
  <c r="T3849" i="5" a="1"/>
  <c r="T3849" i="5" s="1"/>
  <c r="U3849" i="5" s="1"/>
  <c r="W3849" i="5" s="1"/>
  <c r="T3850" i="5" a="1"/>
  <c r="T3850" i="5" s="1"/>
  <c r="U3850" i="5" s="1"/>
  <c r="W3850" i="5" s="1"/>
  <c r="T4047" i="5" a="1"/>
  <c r="T4047" i="5" s="1"/>
  <c r="U4047" i="5" s="1"/>
  <c r="W4047" i="5" s="1"/>
  <c r="T4048" i="5" a="1"/>
  <c r="T4048" i="5" s="1"/>
  <c r="U4048" i="5" s="1"/>
  <c r="W4048" i="5" s="1"/>
  <c r="T4049" i="5" a="1"/>
  <c r="T4049" i="5" s="1"/>
  <c r="U4049" i="5" s="1"/>
  <c r="W4049" i="5" s="1"/>
  <c r="T4050" i="5" a="1"/>
  <c r="T4050" i="5" s="1"/>
  <c r="U4050" i="5" s="1"/>
  <c r="W4050" i="5" s="1"/>
  <c r="T4051" i="5" a="1"/>
  <c r="T4051" i="5" s="1"/>
  <c r="U4051" i="5" s="1"/>
  <c r="W4051" i="5" s="1"/>
  <c r="T4052" i="5" a="1"/>
  <c r="T4052" i="5" s="1"/>
  <c r="U4052" i="5" s="1"/>
  <c r="W4052" i="5" s="1"/>
  <c r="T4053" i="5" a="1"/>
  <c r="T4053" i="5" s="1"/>
  <c r="U4053" i="5" s="1"/>
  <c r="W4053" i="5" s="1"/>
  <c r="T4624" i="5" a="1"/>
  <c r="T4624" i="5" s="1"/>
  <c r="U4624" i="5" s="1"/>
  <c r="W4624" i="5" s="1"/>
  <c r="T4625" i="5" a="1"/>
  <c r="T4625" i="5" s="1"/>
  <c r="U4625" i="5" s="1"/>
  <c r="W4625" i="5" s="1"/>
  <c r="T4626" i="5" a="1"/>
  <c r="T4626" i="5" s="1"/>
  <c r="U4626" i="5" s="1"/>
  <c r="W4626" i="5" s="1"/>
  <c r="T4068" i="5" a="1"/>
  <c r="T4068" i="5" s="1"/>
  <c r="U4068" i="5" s="1"/>
  <c r="W4068" i="5" s="1"/>
  <c r="T2179" i="5" a="1"/>
  <c r="T2179" i="5" s="1"/>
  <c r="U2179" i="5" s="1"/>
  <c r="W2179" i="5" s="1"/>
  <c r="T4620" i="5" a="1"/>
  <c r="T4620" i="5" s="1"/>
  <c r="U4620" i="5" s="1"/>
  <c r="W4620" i="5" s="1"/>
  <c r="T4621" i="5" a="1"/>
  <c r="T4621" i="5" s="1"/>
  <c r="U4621" i="5" s="1"/>
  <c r="W4621" i="5" s="1"/>
  <c r="T4622" i="5" a="1"/>
  <c r="T4622" i="5" s="1"/>
  <c r="U4622" i="5" s="1"/>
  <c r="W4622" i="5" s="1"/>
  <c r="T4623" i="5" a="1"/>
  <c r="T4623" i="5" s="1"/>
  <c r="U4623" i="5" s="1"/>
  <c r="W4623" i="5" s="1"/>
  <c r="T5594" i="5" a="1"/>
  <c r="T5594" i="5" s="1"/>
  <c r="U5594" i="5" s="1"/>
  <c r="W5594" i="5" s="1"/>
  <c r="T5593" i="5" a="1"/>
  <c r="T5593" i="5" s="1"/>
  <c r="U5593" i="5" s="1"/>
  <c r="W5593" i="5" s="1"/>
  <c r="T4636" i="5" a="1"/>
  <c r="T4636" i="5" s="1"/>
  <c r="U4636" i="5" s="1"/>
  <c r="W4636" i="5" s="1"/>
  <c r="T4637" i="5" a="1"/>
  <c r="T4637" i="5" s="1"/>
  <c r="U4637" i="5" s="1"/>
  <c r="W4637" i="5" s="1"/>
  <c r="T4638" i="5" a="1"/>
  <c r="T4638" i="5" s="1"/>
  <c r="U4638" i="5" s="1"/>
  <c r="W4638" i="5" s="1"/>
  <c r="T4639" i="5" a="1"/>
  <c r="T4639" i="5" s="1"/>
  <c r="U4639" i="5" s="1"/>
  <c r="W4639" i="5" s="1"/>
  <c r="T4640" i="5" a="1"/>
  <c r="T4640" i="5" s="1"/>
  <c r="U4640" i="5" s="1"/>
  <c r="W4640" i="5" s="1"/>
  <c r="T4641" i="5" a="1"/>
  <c r="T4641" i="5" s="1"/>
  <c r="U4641" i="5" s="1"/>
  <c r="W4641" i="5" s="1"/>
  <c r="T4642" i="5" a="1"/>
  <c r="T4642" i="5" s="1"/>
  <c r="U4642" i="5" s="1"/>
  <c r="W4642" i="5" s="1"/>
  <c r="T4643" i="5" a="1"/>
  <c r="T4643" i="5" s="1"/>
  <c r="U4643" i="5" s="1"/>
  <c r="W4643" i="5" s="1"/>
  <c r="T4644" i="5" a="1"/>
  <c r="T4644" i="5" s="1"/>
  <c r="U4644" i="5" s="1"/>
  <c r="W4644" i="5" s="1"/>
  <c r="T4645" i="5" a="1"/>
  <c r="T4645" i="5" s="1"/>
  <c r="U4645" i="5" s="1"/>
  <c r="W4645" i="5" s="1"/>
  <c r="T4646" i="5" a="1"/>
  <c r="T4646" i="5" s="1"/>
  <c r="U4646" i="5" s="1"/>
  <c r="W4646" i="5" s="1"/>
  <c r="T4647" i="5" a="1"/>
  <c r="T4647" i="5" s="1"/>
  <c r="U4647" i="5" s="1"/>
  <c r="W4647" i="5" s="1"/>
  <c r="T4648" i="5" a="1"/>
  <c r="T4648" i="5" s="1"/>
  <c r="U4648" i="5" s="1"/>
  <c r="W4648" i="5" s="1"/>
  <c r="T4649" i="5" a="1"/>
  <c r="T4649" i="5" s="1"/>
  <c r="U4649" i="5" s="1"/>
  <c r="W4649" i="5" s="1"/>
  <c r="T4650" i="5" a="1"/>
  <c r="T4650" i="5" s="1"/>
  <c r="U4650" i="5" s="1"/>
  <c r="W4650" i="5" s="1"/>
  <c r="T4651" i="5" a="1"/>
  <c r="T4651" i="5" s="1"/>
  <c r="U4651" i="5" s="1"/>
  <c r="W4651" i="5" s="1"/>
  <c r="T4652" i="5" a="1"/>
  <c r="T4652" i="5" s="1"/>
  <c r="U4652" i="5" s="1"/>
  <c r="W4652" i="5" s="1"/>
  <c r="T4653" i="5" a="1"/>
  <c r="T4653" i="5" s="1"/>
  <c r="U4653" i="5" s="1"/>
  <c r="W4653" i="5" s="1"/>
  <c r="T4654" i="5" a="1"/>
  <c r="T4654" i="5" s="1"/>
  <c r="U4654" i="5" s="1"/>
  <c r="W4654" i="5" s="1"/>
  <c r="T4657" i="5" a="1"/>
  <c r="T4657" i="5" s="1"/>
  <c r="U4657" i="5" s="1"/>
  <c r="W4657" i="5" s="1"/>
  <c r="T4660" i="5" a="1"/>
  <c r="T4660" i="5" s="1"/>
  <c r="U4660" i="5" s="1"/>
  <c r="W4660" i="5" s="1"/>
  <c r="T4778" i="5" a="1"/>
  <c r="T4778" i="5" s="1"/>
  <c r="U4778" i="5" s="1"/>
  <c r="W4778" i="5" s="1"/>
  <c r="T4777" i="5" a="1"/>
  <c r="T4777" i="5" s="1"/>
  <c r="U4777" i="5" s="1"/>
  <c r="W4777" i="5" s="1"/>
  <c r="T3711" i="5" a="1"/>
  <c r="T3711" i="5" s="1"/>
  <c r="U3711" i="5" s="1"/>
  <c r="W3711" i="5" s="1"/>
  <c r="T6899" i="5" a="1"/>
  <c r="T6899" i="5" s="1"/>
  <c r="U6899" i="5" s="1"/>
  <c r="W6899" i="5" s="1"/>
  <c r="T3739" i="5" a="1"/>
  <c r="T3739" i="5" s="1"/>
  <c r="U3739" i="5" s="1"/>
  <c r="W3739" i="5" s="1"/>
  <c r="T6898" i="5" a="1"/>
  <c r="T6898" i="5" s="1"/>
  <c r="U6898" i="5" s="1"/>
  <c r="W6898" i="5" s="1"/>
  <c r="T3794" i="5" a="1"/>
  <c r="T3794" i="5" s="1"/>
  <c r="U3794" i="5" s="1"/>
  <c r="W3794" i="5" s="1"/>
  <c r="T6897" i="5" a="1"/>
  <c r="T6897" i="5" s="1"/>
  <c r="U6897" i="5" s="1"/>
  <c r="W6897" i="5" s="1"/>
  <c r="T6724" i="5" a="1"/>
  <c r="T6724" i="5" s="1"/>
  <c r="U6724" i="5" s="1"/>
  <c r="W6724" i="5" s="1"/>
  <c r="T6482" i="5" a="1"/>
  <c r="T6482" i="5" s="1"/>
  <c r="U6482" i="5" s="1"/>
  <c r="W6482" i="5" s="1"/>
  <c r="T6722" i="5" a="1"/>
  <c r="T6722" i="5" s="1"/>
  <c r="U6722" i="5" s="1"/>
  <c r="W6722" i="5" s="1"/>
  <c r="T6480" i="5" a="1"/>
  <c r="T6480" i="5" s="1"/>
  <c r="U6480" i="5" s="1"/>
  <c r="W6480" i="5" s="1"/>
  <c r="T4370" i="5" a="1"/>
  <c r="T4370" i="5" s="1"/>
  <c r="U4370" i="5" s="1"/>
  <c r="W4370" i="5" s="1"/>
  <c r="T6725" i="5" a="1"/>
  <c r="T6725" i="5" s="1"/>
  <c r="U6725" i="5" s="1"/>
  <c r="W6725" i="5" s="1"/>
  <c r="T4655" i="5" a="1"/>
  <c r="T4655" i="5" s="1"/>
  <c r="U4655" i="5" s="1"/>
  <c r="W4655" i="5" s="1"/>
  <c r="T6721" i="5" a="1"/>
  <c r="T6721" i="5" s="1"/>
  <c r="U6721" i="5" s="1"/>
  <c r="W6721" i="5" s="1"/>
  <c r="T2395" i="5" a="1"/>
  <c r="T2395" i="5" s="1"/>
  <c r="U2395" i="5" s="1"/>
  <c r="W2395" i="5" s="1"/>
  <c r="T4662" i="5" a="1"/>
  <c r="T4662" i="5" s="1"/>
  <c r="U4662" i="5" s="1"/>
  <c r="W4662" i="5" s="1"/>
  <c r="T5024" i="5" a="1"/>
  <c r="T5024" i="5" s="1"/>
  <c r="U5024" i="5" s="1"/>
  <c r="W5024" i="5" s="1"/>
  <c r="T5865" i="5" a="1"/>
  <c r="T5865" i="5" s="1"/>
  <c r="U5865" i="5" s="1"/>
  <c r="W5865" i="5" s="1"/>
  <c r="T5022" i="5" a="1"/>
  <c r="T5022" i="5" s="1"/>
  <c r="U5022" i="5" s="1"/>
  <c r="W5022" i="5" s="1"/>
  <c r="T5863" i="5" a="1"/>
  <c r="T5863" i="5" s="1"/>
  <c r="U5863" i="5" s="1"/>
  <c r="W5863" i="5" s="1"/>
  <c r="T3167" i="5" a="1"/>
  <c r="T3167" i="5" s="1"/>
  <c r="U3167" i="5" s="1"/>
  <c r="W3167" i="5" s="1"/>
  <c r="T4962" i="5" a="1"/>
  <c r="T4962" i="5" s="1"/>
  <c r="U4962" i="5" s="1"/>
  <c r="W4962" i="5" s="1"/>
  <c r="T4741" i="5" a="1"/>
  <c r="T4741" i="5" s="1"/>
  <c r="U4741" i="5" s="1"/>
  <c r="W4741" i="5" s="1"/>
  <c r="T3166" i="5" a="1"/>
  <c r="T3166" i="5" s="1"/>
  <c r="U3166" i="5" s="1"/>
  <c r="W3166" i="5" s="1"/>
  <c r="T4961" i="5" a="1"/>
  <c r="T4961" i="5" s="1"/>
  <c r="U4961" i="5" s="1"/>
  <c r="W4961" i="5" s="1"/>
  <c r="T4339" i="5" a="1"/>
  <c r="T4339" i="5" s="1"/>
  <c r="U4339" i="5" s="1"/>
  <c r="W4339" i="5" s="1"/>
  <c r="T5369" i="5" a="1"/>
  <c r="T5369" i="5" s="1"/>
  <c r="U5369" i="5" s="1"/>
  <c r="W5369" i="5" s="1"/>
  <c r="T4167" i="5" a="1"/>
  <c r="T4167" i="5" s="1"/>
  <c r="U4167" i="5" s="1"/>
  <c r="W4167" i="5" s="1"/>
  <c r="T6527" i="5" a="1"/>
  <c r="T6527" i="5" s="1"/>
  <c r="U6527" i="5" s="1"/>
  <c r="W6527" i="5" s="1"/>
  <c r="T3867" i="5" a="1"/>
  <c r="T3867" i="5" s="1"/>
  <c r="U3867" i="5" s="1"/>
  <c r="W3867" i="5" s="1"/>
  <c r="T5268" i="5" a="1"/>
  <c r="T5268" i="5" s="1"/>
  <c r="U5268" i="5" s="1"/>
  <c r="W5268" i="5" s="1"/>
  <c r="T5038" i="5" a="1"/>
  <c r="T5038" i="5" s="1"/>
  <c r="U5038" i="5" s="1"/>
  <c r="W5038" i="5" s="1"/>
  <c r="T6082" i="5" a="1"/>
  <c r="T6082" i="5" s="1"/>
  <c r="U6082" i="5" s="1"/>
  <c r="W6082" i="5" s="1"/>
  <c r="T3795" i="5" a="1"/>
  <c r="T3795" i="5" s="1"/>
  <c r="U3795" i="5" s="1"/>
  <c r="W3795" i="5" s="1"/>
  <c r="T4335" i="5" a="1"/>
  <c r="T4335" i="5" s="1"/>
  <c r="U4335" i="5" s="1"/>
  <c r="W4335" i="5" s="1"/>
  <c r="T6347" i="5" a="1"/>
  <c r="T6347" i="5" s="1"/>
  <c r="U6347" i="5" s="1"/>
  <c r="W6347" i="5" s="1"/>
  <c r="T3736" i="5" a="1"/>
  <c r="T3736" i="5" s="1"/>
  <c r="U3736" i="5" s="1"/>
  <c r="W3736" i="5" s="1"/>
  <c r="T4739" i="5" a="1"/>
  <c r="T4739" i="5" s="1"/>
  <c r="U4739" i="5" s="1"/>
  <c r="W4739" i="5" s="1"/>
  <c r="T165" i="5" a="1"/>
  <c r="T165" i="5" s="1"/>
  <c r="U165" i="5" s="1"/>
  <c r="W165" i="5" s="1"/>
  <c r="T3708" i="5" a="1"/>
  <c r="T3708" i="5" s="1"/>
  <c r="U3708" i="5" s="1"/>
  <c r="W3708" i="5" s="1"/>
  <c r="T145" i="5" a="1"/>
  <c r="T145" i="5" s="1"/>
  <c r="U145" i="5" s="1"/>
  <c r="W145" i="5" s="1"/>
  <c r="T3688" i="5" a="1"/>
  <c r="T3688" i="5" s="1"/>
  <c r="U3688" i="5" s="1"/>
  <c r="W3688" i="5" s="1"/>
  <c r="T4168" i="5" a="1"/>
  <c r="T4168" i="5" s="1"/>
  <c r="U4168" i="5" s="1"/>
  <c r="W4168" i="5" s="1"/>
  <c r="T139" i="5" a="1"/>
  <c r="T139" i="5" s="1"/>
  <c r="U139" i="5" s="1"/>
  <c r="W139" i="5" s="1"/>
  <c r="T3682" i="5" a="1"/>
  <c r="T3682" i="5" s="1"/>
  <c r="U3682" i="5" s="1"/>
  <c r="W3682" i="5" s="1"/>
  <c r="T6029" i="5" a="1"/>
  <c r="T6029" i="5" s="1"/>
  <c r="U6029" i="5" s="1"/>
  <c r="W6029" i="5" s="1"/>
  <c r="T3677" i="5" a="1"/>
  <c r="T3677" i="5" s="1"/>
  <c r="U3677" i="5" s="1"/>
  <c r="W3677" i="5" s="1"/>
  <c r="T6028" i="5" a="1"/>
  <c r="T6028" i="5" s="1"/>
  <c r="U6028" i="5" s="1"/>
  <c r="W6028" i="5" s="1"/>
  <c r="T3674" i="5" a="1"/>
  <c r="T3674" i="5" s="1"/>
  <c r="U3674" i="5" s="1"/>
  <c r="W3674" i="5" s="1"/>
  <c r="T4333" i="5" a="1"/>
  <c r="T4333" i="5" s="1"/>
  <c r="U4333" i="5" s="1"/>
  <c r="W4333" i="5" s="1"/>
  <c r="T5563" i="5" a="1"/>
  <c r="T5563" i="5" s="1"/>
  <c r="U5563" i="5" s="1"/>
  <c r="W5563" i="5" s="1"/>
  <c r="T3667" i="5" a="1"/>
  <c r="T3667" i="5" s="1"/>
  <c r="U3667" i="5" s="1"/>
  <c r="W3667" i="5" s="1"/>
  <c r="T4358" i="5" a="1"/>
  <c r="T4358" i="5" s="1"/>
  <c r="U4358" i="5" s="1"/>
  <c r="W4358" i="5" s="1"/>
  <c r="T5844" i="5" a="1"/>
  <c r="T5844" i="5" s="1"/>
  <c r="U5844" i="5" s="1"/>
  <c r="W5844" i="5" s="1"/>
  <c r="T5086" i="5" a="1"/>
  <c r="T5086" i="5" s="1"/>
  <c r="U5086" i="5" s="1"/>
  <c r="W5086" i="5" s="1"/>
  <c r="T3664" i="5" a="1"/>
  <c r="T3664" i="5" s="1"/>
  <c r="U3664" i="5" s="1"/>
  <c r="W3664" i="5" s="1"/>
  <c r="T5903" i="5" a="1"/>
  <c r="T5903" i="5" s="1"/>
  <c r="U5903" i="5" s="1"/>
  <c r="W5903" i="5" s="1"/>
  <c r="T5118" i="5" a="1"/>
  <c r="T5118" i="5" s="1"/>
  <c r="U5118" i="5" s="1"/>
  <c r="W5118" i="5" s="1"/>
  <c r="T5126" i="5" a="1"/>
  <c r="T5126" i="5" s="1"/>
  <c r="T5929" i="5" a="1"/>
  <c r="T5929" i="5" s="1"/>
  <c r="U5929" i="5" s="1"/>
  <c r="W5929" i="5" s="1"/>
  <c r="T4280" i="5" a="1"/>
  <c r="T4280" i="5" s="1"/>
  <c r="U4280" i="5" s="1"/>
  <c r="W4280" i="5" s="1"/>
  <c r="T5432" i="5" a="1"/>
  <c r="T5432" i="5" s="1"/>
  <c r="U5432" i="5" s="1"/>
  <c r="W5432" i="5" s="1"/>
  <c r="T3895" i="5" a="1"/>
  <c r="T3895" i="5" s="1"/>
  <c r="U3895" i="5" s="1"/>
  <c r="W3895" i="5" s="1"/>
  <c r="T5757" i="5" a="1"/>
  <c r="T5757" i="5" s="1"/>
  <c r="U5757" i="5" s="1"/>
  <c r="W5757" i="5" s="1"/>
  <c r="T5773" i="5" a="1"/>
  <c r="T5773" i="5" s="1"/>
  <c r="U5773" i="5" s="1"/>
  <c r="W5773" i="5" s="1"/>
  <c r="T5776" i="5" a="1"/>
  <c r="T5776" i="5" s="1"/>
  <c r="U5776" i="5" s="1"/>
  <c r="W5776" i="5" s="1"/>
  <c r="T5798" i="5" a="1"/>
  <c r="T5798" i="5" s="1"/>
  <c r="U5798" i="5" s="1"/>
  <c r="W5798" i="5" s="1"/>
  <c r="T4681" i="5" a="1"/>
  <c r="T4681" i="5" s="1"/>
  <c r="U4681" i="5" s="1"/>
  <c r="W4681" i="5" s="1"/>
  <c r="T3744" i="5" a="1"/>
  <c r="T3744" i="5" s="1"/>
  <c r="U3744" i="5" s="1"/>
  <c r="W3744" i="5" s="1"/>
  <c r="T3600" i="5" a="1"/>
  <c r="T3600" i="5" s="1"/>
  <c r="U3600" i="5" s="1"/>
  <c r="W3600" i="5" s="1"/>
  <c r="T5088" i="5" a="1"/>
  <c r="T5088" i="5" s="1"/>
  <c r="U5088" i="5" s="1"/>
  <c r="W5088" i="5" s="1"/>
  <c r="T5905" i="5" a="1"/>
  <c r="T5905" i="5" s="1"/>
  <c r="U5905" i="5" s="1"/>
  <c r="W5905" i="5" s="1"/>
  <c r="T4247" i="5" a="1"/>
  <c r="T4247" i="5" s="1"/>
  <c r="U4247" i="5" s="1"/>
  <c r="W4247" i="5" s="1"/>
  <c r="T3653" i="5" a="1"/>
  <c r="T3653" i="5" s="1"/>
  <c r="U3653" i="5" s="1"/>
  <c r="W3653" i="5" s="1"/>
  <c r="T4245" i="5" a="1"/>
  <c r="T4245" i="5" s="1"/>
  <c r="U4245" i="5" s="1"/>
  <c r="W4245" i="5" s="1"/>
  <c r="T5901" i="5" a="1"/>
  <c r="T5901" i="5" s="1"/>
  <c r="U5901" i="5" s="1"/>
  <c r="W5901" i="5" s="1"/>
  <c r="T5229" i="5" a="1"/>
  <c r="T5229" i="5" s="1"/>
  <c r="U5229" i="5" s="1"/>
  <c r="W5229" i="5" s="1"/>
  <c r="T3647" i="5" a="1"/>
  <c r="T3647" i="5" s="1"/>
  <c r="U3647" i="5" s="1"/>
  <c r="W3647" i="5" s="1"/>
  <c r="T71" i="5" a="1"/>
  <c r="T71" i="5" s="1"/>
  <c r="U71" i="5" s="1"/>
  <c r="W71" i="5" s="1"/>
  <c r="T3629" i="5" a="1"/>
  <c r="T3629" i="5" s="1"/>
  <c r="U3629" i="5" s="1"/>
  <c r="W3629" i="5" s="1"/>
  <c r="T5028" i="5" a="1"/>
  <c r="T5028" i="5" s="1"/>
  <c r="U5028" i="5" s="1"/>
  <c r="W5028" i="5" s="1"/>
  <c r="T5868" i="5" a="1"/>
  <c r="T5868" i="5" s="1"/>
  <c r="U5868" i="5" s="1"/>
  <c r="W5868" i="5" s="1"/>
  <c r="T4135" i="5" a="1"/>
  <c r="T4135" i="5" s="1"/>
  <c r="U4135" i="5" s="1"/>
  <c r="W4135" i="5" s="1"/>
  <c r="T5376" i="5" a="1"/>
  <c r="T5376" i="5" s="1"/>
  <c r="U5376" i="5" s="1"/>
  <c r="W5376" i="5" s="1"/>
  <c r="T3585" i="5" a="1"/>
  <c r="T3585" i="5" s="1"/>
  <c r="U3585" i="5" s="1"/>
  <c r="W3585" i="5" s="1"/>
  <c r="T5121" i="5" a="1"/>
  <c r="T5121" i="5" s="1"/>
  <c r="U5121" i="5" s="1"/>
  <c r="W5121" i="5" s="1"/>
  <c r="T4738" i="5" a="1"/>
  <c r="T4738" i="5" s="1"/>
  <c r="U4738" i="5" s="1"/>
  <c r="W4738" i="5" s="1"/>
  <c r="T3956" i="5" a="1"/>
  <c r="T3956" i="5" s="1"/>
  <c r="U3956" i="5" s="1"/>
  <c r="W3956" i="5" s="1"/>
  <c r="T5853" i="5" a="1"/>
  <c r="T5853" i="5" s="1"/>
  <c r="U5853" i="5" s="1"/>
  <c r="W5853" i="5" s="1"/>
  <c r="T3874" i="5" a="1"/>
  <c r="T3874" i="5" s="1"/>
  <c r="U3874" i="5" s="1"/>
  <c r="W3874" i="5" s="1"/>
  <c r="T4690" i="5" a="1"/>
  <c r="T4690" i="5" s="1"/>
  <c r="U4690" i="5" s="1"/>
  <c r="W4690" i="5" s="1"/>
  <c r="T4077" i="5" a="1"/>
  <c r="T4077" i="5" s="1"/>
  <c r="U4077" i="5" s="1"/>
  <c r="W4077" i="5" s="1"/>
  <c r="T5867" i="5" a="1"/>
  <c r="T5867" i="5" s="1"/>
  <c r="U5867" i="5" s="1"/>
  <c r="W5867" i="5" s="1"/>
  <c r="T6529" i="5" a="1"/>
  <c r="T6529" i="5" s="1"/>
  <c r="U6529" i="5" s="1"/>
  <c r="W6529" i="5" s="1"/>
  <c r="T6497" i="5" a="1"/>
  <c r="T6497" i="5" s="1"/>
  <c r="U6497" i="5" s="1"/>
  <c r="W6497" i="5" s="1"/>
  <c r="T3808" i="5" a="1"/>
  <c r="T3808" i="5" s="1"/>
  <c r="U3808" i="5" s="1"/>
  <c r="W3808" i="5" s="1"/>
  <c r="T6532" i="5" a="1"/>
  <c r="T6532" i="5" s="1"/>
  <c r="U6532" i="5" s="1"/>
  <c r="W6532" i="5" s="1"/>
  <c r="T5370" i="5" a="1"/>
  <c r="T5370" i="5" s="1"/>
  <c r="U5370" i="5" s="1"/>
  <c r="W5370" i="5" s="1"/>
  <c r="T3793" i="5" a="1"/>
  <c r="T3793" i="5" s="1"/>
  <c r="U3793" i="5" s="1"/>
  <c r="W3793" i="5" s="1"/>
  <c r="T5848" i="5" a="1"/>
  <c r="T5848" i="5" s="1"/>
  <c r="U5848" i="5" s="1"/>
  <c r="W5848" i="5" s="1"/>
  <c r="T5569" i="5" a="1"/>
  <c r="T5569" i="5" s="1"/>
  <c r="U5569" i="5" s="1"/>
  <c r="W5569" i="5" s="1"/>
  <c r="T3703" i="5" a="1"/>
  <c r="T3703" i="5" s="1"/>
  <c r="U3703" i="5" s="1"/>
  <c r="W3703" i="5" s="1"/>
  <c r="T6530" i="5" a="1"/>
  <c r="T6530" i="5" s="1"/>
  <c r="U6530" i="5" s="1"/>
  <c r="W6530" i="5" s="1"/>
  <c r="T2252" i="5" a="1"/>
  <c r="T2252" i="5" s="1"/>
  <c r="T4571" i="5" a="1"/>
  <c r="T4571" i="5" s="1"/>
  <c r="U4571" i="5" s="1"/>
  <c r="W4571" i="5" s="1"/>
  <c r="T4891" i="5" a="1"/>
  <c r="T4891" i="5" s="1"/>
  <c r="U4891" i="5" s="1"/>
  <c r="W4891" i="5" s="1"/>
  <c r="T3845" i="5" a="1"/>
  <c r="T3845" i="5" s="1"/>
  <c r="U3845" i="5" s="1"/>
  <c r="W3845" i="5" s="1"/>
  <c r="T5775" i="5" a="1"/>
  <c r="T5775" i="5" s="1"/>
  <c r="U5775" i="5" s="1"/>
  <c r="W5775" i="5" s="1"/>
  <c r="T5772" i="5" a="1"/>
  <c r="T5772" i="5" s="1"/>
  <c r="U5772" i="5" s="1"/>
  <c r="W5772" i="5" s="1"/>
  <c r="T5759" i="5" a="1"/>
  <c r="T5759" i="5" s="1"/>
  <c r="U5759" i="5" s="1"/>
  <c r="W5759" i="5" s="1"/>
  <c r="T3892" i="5" a="1"/>
  <c r="T3892" i="5" s="1"/>
  <c r="U3892" i="5" s="1"/>
  <c r="W3892" i="5" s="1"/>
  <c r="T5770" i="5" a="1"/>
  <c r="T5770" i="5" s="1"/>
  <c r="U5770" i="5" s="1"/>
  <c r="W5770" i="5" s="1"/>
  <c r="T3838" i="5" a="1"/>
  <c r="T3838" i="5" s="1"/>
  <c r="U3838" i="5" s="1"/>
  <c r="W3838" i="5" s="1"/>
  <c r="T3817" i="5" a="1"/>
  <c r="T3817" i="5" s="1"/>
  <c r="U3817" i="5" s="1"/>
  <c r="W3817" i="5" s="1"/>
  <c r="T5094" i="5" a="1"/>
  <c r="T5094" i="5" s="1"/>
  <c r="U5094" i="5" s="1"/>
  <c r="W5094" i="5" s="1"/>
  <c r="T5911" i="5" a="1"/>
  <c r="T5911" i="5" s="1"/>
  <c r="U5911" i="5" s="1"/>
  <c r="W5911" i="5" s="1"/>
  <c r="T63" i="5" a="1"/>
  <c r="T63" i="5" s="1"/>
  <c r="U63" i="5" s="1"/>
  <c r="W63" i="5" s="1"/>
  <c r="T3621" i="5" a="1"/>
  <c r="T3621" i="5" s="1"/>
  <c r="U3621" i="5" s="1"/>
  <c r="W3621" i="5" s="1"/>
  <c r="T4555" i="5" a="1"/>
  <c r="T4555" i="5" s="1"/>
  <c r="U4555" i="5" s="1"/>
  <c r="T5574" i="5" a="1"/>
  <c r="T5574" i="5" s="1"/>
  <c r="U5574" i="5" s="1"/>
  <c r="W5574" i="5" s="1"/>
  <c r="T6081" i="5" a="1"/>
  <c r="T6081" i="5" s="1"/>
  <c r="U6081" i="5" s="1"/>
  <c r="W6081" i="5" s="1"/>
  <c r="T4357" i="5" a="1"/>
  <c r="T4357" i="5" s="1"/>
  <c r="U4357" i="5" s="1"/>
  <c r="W4357" i="5" s="1"/>
  <c r="T6346" i="5" a="1"/>
  <c r="T6346" i="5" s="1"/>
  <c r="U6346" i="5" s="1"/>
  <c r="W6346" i="5" s="1"/>
  <c r="T2796" i="5" a="1"/>
  <c r="T2796" i="5" s="1"/>
  <c r="U2796" i="5" s="1"/>
  <c r="W2796" i="5" s="1"/>
  <c r="T4689" i="5" a="1"/>
  <c r="T4689" i="5" s="1"/>
  <c r="U4689" i="5" s="1"/>
  <c r="W4689" i="5" s="1"/>
  <c r="T4841" i="5" a="1"/>
  <c r="T4841" i="5" s="1"/>
  <c r="U4841" i="5" s="1"/>
  <c r="W4841" i="5" s="1"/>
  <c r="T6080" i="5" a="1"/>
  <c r="T6080" i="5" s="1"/>
  <c r="U6080" i="5" s="1"/>
  <c r="W6080" i="5" s="1"/>
  <c r="T4331" i="5" a="1"/>
  <c r="T4331" i="5" s="1"/>
  <c r="U4331" i="5" s="1"/>
  <c r="W4331" i="5" s="1"/>
  <c r="T6345" i="5" a="1"/>
  <c r="T6345" i="5" s="1"/>
  <c r="U6345" i="5" s="1"/>
  <c r="W6345" i="5" s="1"/>
  <c r="T3801" i="5" a="1"/>
  <c r="T3801" i="5" s="1"/>
  <c r="U3801" i="5" s="1"/>
  <c r="W3801" i="5" s="1"/>
  <c r="T5571" i="5" a="1"/>
  <c r="T5571" i="5" s="1"/>
  <c r="U5571" i="5" s="1"/>
  <c r="W5571" i="5" s="1"/>
  <c r="T3798" i="5" a="1"/>
  <c r="T3798" i="5" s="1"/>
  <c r="U3798" i="5" s="1"/>
  <c r="W3798" i="5" s="1"/>
  <c r="T5270" i="5" a="1"/>
  <c r="T5270" i="5" s="1"/>
  <c r="U5270" i="5" s="1"/>
  <c r="W5270" i="5" s="1"/>
  <c r="T4359" i="5" a="1"/>
  <c r="T4359" i="5" s="1"/>
  <c r="U4359" i="5" s="1"/>
  <c r="W4359" i="5" s="1"/>
  <c r="T150" i="5" a="1"/>
  <c r="T150" i="5" s="1"/>
  <c r="U150" i="5" s="1"/>
  <c r="W150" i="5" s="1"/>
  <c r="T3693" i="5" a="1"/>
  <c r="T3693" i="5" s="1"/>
  <c r="U3693" i="5" s="1"/>
  <c r="W3693" i="5" s="1"/>
  <c r="T147" i="5" a="1"/>
  <c r="T147" i="5" s="1"/>
  <c r="U147" i="5" s="1"/>
  <c r="W147" i="5" s="1"/>
  <c r="T3690" i="5" a="1"/>
  <c r="T3690" i="5" s="1"/>
  <c r="U3690" i="5" s="1"/>
  <c r="W3690" i="5" s="1"/>
  <c r="T136" i="5" a="1"/>
  <c r="T136" i="5" s="1"/>
  <c r="U136" i="5" s="1"/>
  <c r="W136" i="5" s="1"/>
  <c r="T3679" i="5" a="1"/>
  <c r="T3679" i="5" s="1"/>
  <c r="U3679" i="5" s="1"/>
  <c r="W3679" i="5" s="1"/>
  <c r="T5379" i="5" a="1"/>
  <c r="T5379" i="5" s="1"/>
  <c r="U5379" i="5" s="1"/>
  <c r="W5379" i="5" s="1"/>
  <c r="T5991" i="5" a="1"/>
  <c r="T5991" i="5" s="1"/>
  <c r="U5991" i="5" s="1"/>
  <c r="W5991" i="5" s="1"/>
  <c r="T4926" i="5" a="1"/>
  <c r="T4926" i="5" s="1"/>
  <c r="U4926" i="5" s="1"/>
  <c r="W4926" i="5" s="1"/>
  <c r="T5797" i="5" a="1"/>
  <c r="T5797" i="5" s="1"/>
  <c r="U5797" i="5" s="1"/>
  <c r="W5797" i="5" s="1"/>
  <c r="T1896" i="5" a="1"/>
  <c r="T1896" i="5" s="1"/>
  <c r="U1896" i="5" s="1"/>
  <c r="W1896" i="5" s="1"/>
  <c r="T4419" i="5" a="1"/>
  <c r="T4419" i="5" s="1"/>
  <c r="U4419" i="5" s="1"/>
  <c r="W4419" i="5" s="1"/>
  <c r="T5805" i="5" a="1"/>
  <c r="T5805" i="5" s="1"/>
  <c r="U5805" i="5" s="1"/>
  <c r="W5805" i="5" s="1"/>
  <c r="T3975" i="5" a="1"/>
  <c r="T3975" i="5" s="1"/>
  <c r="U3975" i="5" s="1"/>
  <c r="W3975" i="5" s="1"/>
  <c r="T5774" i="5" a="1"/>
  <c r="T5774" i="5" s="1"/>
  <c r="U5774" i="5" s="1"/>
  <c r="W5774" i="5" s="1"/>
  <c r="T3897" i="5" a="1"/>
  <c r="T3897" i="5" s="1"/>
  <c r="U3897" i="5" s="1"/>
  <c r="W3897" i="5" s="1"/>
  <c r="T3976" i="5" a="1"/>
  <c r="T3976" i="5" s="1"/>
  <c r="U3976" i="5" s="1"/>
  <c r="W3976" i="5" s="1"/>
  <c r="T5870" i="5" a="1"/>
  <c r="T5870" i="5" s="1"/>
  <c r="U5870" i="5" s="1"/>
  <c r="W5870" i="5" s="1"/>
  <c r="T5777" i="5" a="1"/>
  <c r="T5777" i="5" s="1"/>
  <c r="U5777" i="5" s="1"/>
  <c r="W5777" i="5" s="1"/>
  <c r="T5117" i="5" a="1"/>
  <c r="T5117" i="5" s="1"/>
  <c r="U5117" i="5" s="1"/>
  <c r="W5117" i="5" s="1"/>
  <c r="T4876" i="5" a="1"/>
  <c r="T4876" i="5" s="1"/>
  <c r="U4876" i="5" s="1"/>
  <c r="W4876" i="5" s="1"/>
  <c r="T3852" i="5" a="1"/>
  <c r="T3852" i="5" s="1"/>
  <c r="U3852" i="5" s="1"/>
  <c r="W3852" i="5" s="1"/>
  <c r="T5767" i="5" a="1"/>
  <c r="T5767" i="5" s="1"/>
  <c r="U5767" i="5" s="1"/>
  <c r="W5767" i="5" s="1"/>
  <c r="T5760" i="5" a="1"/>
  <c r="T5760" i="5" s="1"/>
  <c r="U5760" i="5" s="1"/>
  <c r="W5760" i="5" s="1"/>
  <c r="T3906" i="5" a="1"/>
  <c r="T3906" i="5" s="1"/>
  <c r="U3906" i="5" s="1"/>
  <c r="W3906" i="5" s="1"/>
  <c r="T3876" i="5" a="1"/>
  <c r="T3876" i="5" s="1"/>
  <c r="U3876" i="5" s="1"/>
  <c r="W3876" i="5" s="1"/>
  <c r="T3877" i="5" a="1"/>
  <c r="T3877" i="5" s="1"/>
  <c r="U3877" i="5" s="1"/>
  <c r="W3877" i="5" s="1"/>
  <c r="T3878" i="5" a="1"/>
  <c r="T3878" i="5" s="1"/>
  <c r="U3878" i="5" s="1"/>
  <c r="W3878" i="5" s="1"/>
  <c r="T4925" i="5" a="1"/>
  <c r="T4925" i="5" s="1"/>
  <c r="U4925" i="5" s="1"/>
  <c r="W4925" i="5" s="1"/>
  <c r="T3907" i="5" a="1"/>
  <c r="T3907" i="5" s="1"/>
  <c r="U3907" i="5" s="1"/>
  <c r="W3907" i="5" s="1"/>
  <c r="T5796" i="5" a="1"/>
  <c r="T5796" i="5" s="1"/>
  <c r="U5796" i="5" s="1"/>
  <c r="W5796" i="5" s="1"/>
  <c r="T2394" i="5" a="1"/>
  <c r="T2394" i="5" s="1"/>
  <c r="U2394" i="5" s="1"/>
  <c r="W2394" i="5" s="1"/>
  <c r="T4661" i="5" a="1"/>
  <c r="T4661" i="5" s="1"/>
  <c r="U4661" i="5" s="1"/>
  <c r="W4661" i="5" s="1"/>
  <c r="T4951" i="5" a="1"/>
  <c r="T4951" i="5" s="1"/>
  <c r="T5807" i="5" a="1"/>
  <c r="T5807" i="5" s="1"/>
  <c r="U5807" i="5" s="1"/>
  <c r="W5807" i="5" s="1"/>
  <c r="T4659" i="5" a="1"/>
  <c r="T4659" i="5" s="1"/>
  <c r="U4659" i="5" s="1"/>
  <c r="W4659" i="5" s="1"/>
  <c r="T5025" i="5" a="1"/>
  <c r="T5025" i="5" s="1"/>
  <c r="U5025" i="5" s="1"/>
  <c r="W5025" i="5" s="1"/>
  <c r="T6079" i="5" a="1"/>
  <c r="T6079" i="5" s="1"/>
  <c r="U6079" i="5" s="1"/>
  <c r="W6079" i="5" s="1"/>
  <c r="T6344" i="5" a="1"/>
  <c r="T6344" i="5" s="1"/>
  <c r="U6344" i="5" s="1"/>
  <c r="W6344" i="5" s="1"/>
  <c r="T3885" i="5" a="1"/>
  <c r="T3885" i="5" s="1"/>
  <c r="U3885" i="5" s="1"/>
  <c r="W3885" i="5" s="1"/>
  <c r="T4075" i="5" a="1"/>
  <c r="T4075" i="5" s="1"/>
  <c r="U4075" i="5" s="1"/>
  <c r="W4075" i="5" s="1"/>
  <c r="T3735" i="5" a="1"/>
  <c r="T3735" i="5" s="1"/>
  <c r="U3735" i="5" s="1"/>
  <c r="W3735" i="5" s="1"/>
  <c r="T217" i="5" a="1"/>
  <c r="T217" i="5" s="1"/>
  <c r="U217" i="5" s="1"/>
  <c r="W217" i="5" s="1"/>
  <c r="T3724" i="5" a="1"/>
  <c r="T3724" i="5" s="1"/>
  <c r="U3724" i="5" s="1"/>
  <c r="W3724" i="5" s="1"/>
  <c r="T4362" i="5" a="1"/>
  <c r="T4362" i="5" s="1"/>
  <c r="U4362" i="5" s="1"/>
  <c r="W4362" i="5" s="1"/>
  <c r="T3710" i="5" a="1"/>
  <c r="T3710" i="5" s="1"/>
  <c r="U3710" i="5" s="1"/>
  <c r="W3710" i="5" s="1"/>
  <c r="T164" i="5" a="1"/>
  <c r="T164" i="5" s="1"/>
  <c r="U164" i="5" s="1"/>
  <c r="W164" i="5" s="1"/>
  <c r="T4079" i="5" a="1"/>
  <c r="T4079" i="5" s="1"/>
  <c r="U4079" i="5" s="1"/>
  <c r="W4079" i="5" s="1"/>
  <c r="T3707" i="5" a="1"/>
  <c r="T3707" i="5" s="1"/>
  <c r="U3707" i="5" s="1"/>
  <c r="W3707" i="5" s="1"/>
  <c r="T162" i="5" a="1"/>
  <c r="T162" i="5" s="1"/>
  <c r="U162" i="5" s="1"/>
  <c r="W162" i="5" s="1"/>
  <c r="T3705" i="5" a="1"/>
  <c r="T3705" i="5" s="1"/>
  <c r="U3705" i="5" s="1"/>
  <c r="W3705" i="5" s="1"/>
  <c r="T144" i="5" a="1"/>
  <c r="T144" i="5" s="1"/>
  <c r="U144" i="5" s="1"/>
  <c r="W144" i="5" s="1"/>
  <c r="T5843" i="5" a="1"/>
  <c r="T5843" i="5" s="1"/>
  <c r="U5843" i="5" s="1"/>
  <c r="W5843" i="5" s="1"/>
  <c r="T3687" i="5" a="1"/>
  <c r="T3687" i="5" s="1"/>
  <c r="U3687" i="5" s="1"/>
  <c r="W3687" i="5" s="1"/>
  <c r="T141" i="5" a="1"/>
  <c r="T141" i="5" s="1"/>
  <c r="U141" i="5" s="1"/>
  <c r="W141" i="5" s="1"/>
  <c r="T4736" i="5" a="1"/>
  <c r="T4736" i="5" s="1"/>
  <c r="U4736" i="5" s="1"/>
  <c r="W4736" i="5" s="1"/>
  <c r="T3684" i="5" a="1"/>
  <c r="T3684" i="5" s="1"/>
  <c r="U3684" i="5" s="1"/>
  <c r="W3684" i="5" s="1"/>
  <c r="T3796" i="5" a="1"/>
  <c r="T3796" i="5" s="1"/>
  <c r="U3796" i="5" s="1"/>
  <c r="W3796" i="5" s="1"/>
  <c r="T138" i="5" a="1"/>
  <c r="T138" i="5" s="1"/>
  <c r="U138" i="5" s="1"/>
  <c r="W138" i="5" s="1"/>
  <c r="T3681" i="5" a="1"/>
  <c r="T3681" i="5" s="1"/>
  <c r="U3681" i="5" s="1"/>
  <c r="W3681" i="5" s="1"/>
  <c r="T3831" i="5" a="1"/>
  <c r="T3831" i="5" s="1"/>
  <c r="U3831" i="5" s="1"/>
  <c r="W3831" i="5" s="1"/>
  <c r="T3894" i="5" a="1"/>
  <c r="T3894" i="5" s="1"/>
  <c r="U3894" i="5" s="1"/>
  <c r="W3894" i="5" s="1"/>
  <c r="T5756" i="5" a="1"/>
  <c r="T5756" i="5" s="1"/>
  <c r="U5756" i="5" s="1"/>
  <c r="W5756" i="5" s="1"/>
  <c r="T3837" i="5" a="1"/>
  <c r="T3837" i="5" s="1"/>
  <c r="U3837" i="5" s="1"/>
  <c r="W3837" i="5" s="1"/>
  <c r="T3847" i="5" a="1"/>
  <c r="T3847" i="5" s="1"/>
  <c r="U3847" i="5" s="1"/>
  <c r="W3847" i="5" s="1"/>
  <c r="T5091" i="5" a="1"/>
  <c r="T5091" i="5" s="1"/>
  <c r="U5091" i="5" s="1"/>
  <c r="W5091" i="5" s="1"/>
  <c r="T5908" i="5" a="1"/>
  <c r="T5908" i="5" s="1"/>
  <c r="U5908" i="5" s="1"/>
  <c r="W5908" i="5" s="1"/>
  <c r="T5089" i="5" a="1"/>
  <c r="T5089" i="5" s="1"/>
  <c r="U5089" i="5" s="1"/>
  <c r="W5089" i="5" s="1"/>
  <c r="T5906" i="5" a="1"/>
  <c r="T5906" i="5" s="1"/>
  <c r="U5906" i="5" s="1"/>
  <c r="W5906" i="5" s="1"/>
  <c r="T5087" i="5" a="1"/>
  <c r="T5087" i="5" s="1"/>
  <c r="U5087" i="5" s="1"/>
  <c r="W5087" i="5" s="1"/>
  <c r="T5904" i="5" a="1"/>
  <c r="T5904" i="5" s="1"/>
  <c r="U5904" i="5" s="1"/>
  <c r="W5904" i="5" s="1"/>
  <c r="T4557" i="5" a="1"/>
  <c r="T4557" i="5" s="1"/>
  <c r="U4557" i="5" s="1"/>
  <c r="W4557" i="5" s="1"/>
  <c r="T5576" i="5" a="1"/>
  <c r="T5576" i="5" s="1"/>
  <c r="U5576" i="5" s="1"/>
  <c r="W5576" i="5" s="1"/>
  <c r="T4950" i="5" a="1"/>
  <c r="T4950" i="5" s="1"/>
  <c r="T5806" i="5" a="1"/>
  <c r="T5806" i="5" s="1"/>
  <c r="U5806" i="5" s="1"/>
  <c r="W5806" i="5" s="1"/>
  <c r="T4656" i="5" a="1"/>
  <c r="T4656" i="5" s="1"/>
  <c r="U4656" i="5" s="1"/>
  <c r="W4656" i="5" s="1"/>
  <c r="T2722" i="5" a="1"/>
  <c r="T2722" i="5" s="1"/>
  <c r="U2722" i="5" s="1"/>
  <c r="W2722" i="5" s="1"/>
  <c r="T4815" i="5" a="1"/>
  <c r="T4815" i="5" s="1"/>
  <c r="U4815" i="5" s="1"/>
  <c r="W4815" i="5" s="1"/>
  <c r="T6032" i="5" a="1"/>
  <c r="T6032" i="5" s="1"/>
  <c r="U6032" i="5" s="1"/>
  <c r="W6032" i="5" s="1"/>
  <c r="T6514" i="5" a="1"/>
  <c r="T6514" i="5" s="1"/>
  <c r="U6514" i="5" s="1"/>
  <c r="W6514" i="5" s="1"/>
  <c r="T5158" i="5" a="1"/>
  <c r="T5158" i="5" s="1"/>
  <c r="U5158" i="5" s="1"/>
  <c r="W5158" i="5" s="1"/>
  <c r="T4170" i="5" a="1"/>
  <c r="T4170" i="5" s="1"/>
  <c r="U4170" i="5" s="1"/>
  <c r="W4170" i="5" s="1"/>
  <c r="T3740" i="5" a="1"/>
  <c r="T3740" i="5" s="1"/>
  <c r="U3740" i="5" s="1"/>
  <c r="W3740" i="5" s="1"/>
  <c r="T3937" i="5" a="1"/>
  <c r="T3937" i="5" s="1"/>
  <c r="U3937" i="5" s="1"/>
  <c r="W3937" i="5" s="1"/>
  <c r="T3732" i="5" a="1"/>
  <c r="T3732" i="5" s="1"/>
  <c r="U3732" i="5" s="1"/>
  <c r="W3732" i="5" s="1"/>
  <c r="T213" i="5" a="1"/>
  <c r="T213" i="5" s="1"/>
  <c r="U213" i="5" s="1"/>
  <c r="W213" i="5" s="1"/>
  <c r="T3720" i="5" a="1"/>
  <c r="T3720" i="5" s="1"/>
  <c r="U3720" i="5" s="1"/>
  <c r="W3720" i="5" s="1"/>
  <c r="T5599" i="5" a="1"/>
  <c r="T5599" i="5" s="1"/>
  <c r="U5599" i="5" s="1"/>
  <c r="W5599" i="5" s="1"/>
  <c r="T6351" i="5" a="1"/>
  <c r="T6351" i="5" s="1"/>
  <c r="U6351" i="5" s="1"/>
  <c r="W6351" i="5" s="1"/>
  <c r="T3702" i="5" a="1"/>
  <c r="T3702" i="5" s="1"/>
  <c r="U3702" i="5" s="1"/>
  <c r="W3702" i="5" s="1"/>
  <c r="T2251" i="5" a="1"/>
  <c r="T2251" i="5" s="1"/>
  <c r="U2251" i="5" s="1"/>
  <c r="W2251" i="5" s="1"/>
  <c r="T4570" i="5" a="1"/>
  <c r="T4570" i="5" s="1"/>
  <c r="U4570" i="5" s="1"/>
  <c r="W4570" i="5" s="1"/>
  <c r="T5758" i="5" a="1"/>
  <c r="T5758" i="5" s="1"/>
  <c r="U5758" i="5" s="1"/>
  <c r="W5758" i="5" s="1"/>
  <c r="T5769" i="5" a="1"/>
  <c r="T5769" i="5" s="1"/>
  <c r="U5769" i="5" s="1"/>
  <c r="W5769" i="5" s="1"/>
  <c r="T3891" i="5" a="1"/>
  <c r="T3891" i="5" s="1"/>
  <c r="U3891" i="5" s="1"/>
  <c r="W3891" i="5" s="1"/>
  <c r="T5763" i="5" a="1"/>
  <c r="T5763" i="5" s="1"/>
  <c r="U5763" i="5" s="1"/>
  <c r="W5763" i="5" s="1"/>
  <c r="T3851" i="5" a="1"/>
  <c r="T3851" i="5" s="1"/>
  <c r="U3851" i="5" s="1"/>
  <c r="W3851" i="5" s="1"/>
  <c r="T3839" i="5" a="1"/>
  <c r="T3839" i="5" s="1"/>
  <c r="U3839" i="5" s="1"/>
  <c r="W3839" i="5" s="1"/>
  <c r="T3820" i="5" a="1"/>
  <c r="T3820" i="5" s="1"/>
  <c r="U3820" i="5" s="1"/>
  <c r="W3820" i="5" s="1"/>
  <c r="T3836" i="5" a="1"/>
  <c r="T3836" i="5" s="1"/>
  <c r="U3836" i="5" s="1"/>
  <c r="W3836" i="5" s="1"/>
  <c r="T3818" i="5" a="1"/>
  <c r="T3818" i="5" s="1"/>
  <c r="U3818" i="5" s="1"/>
  <c r="W3818" i="5" s="1"/>
  <c r="T62" i="5" a="1"/>
  <c r="T62" i="5" s="1"/>
  <c r="U62" i="5" s="1"/>
  <c r="W62" i="5" s="1"/>
  <c r="T3620" i="5" a="1"/>
  <c r="T3620" i="5" s="1"/>
  <c r="U3620" i="5" s="1"/>
  <c r="W3620" i="5" s="1"/>
  <c r="Z237" i="18"/>
  <c r="Z166" i="18"/>
  <c r="T4332" i="5" a="1"/>
  <c r="T4332" i="5" s="1"/>
  <c r="U4332" i="5" s="1"/>
  <c r="W4332" i="5" s="1"/>
  <c r="T5463" i="5" a="1"/>
  <c r="T5463" i="5" s="1"/>
  <c r="U5463" i="5" s="1"/>
  <c r="W5463" i="5" s="1"/>
  <c r="T2328" i="5" a="1"/>
  <c r="T2328" i="5" s="1"/>
  <c r="U2328" i="5" s="1"/>
  <c r="W2328" i="5" s="1"/>
  <c r="T4628" i="5" a="1"/>
  <c r="T4628" i="5" s="1"/>
  <c r="U4628" i="5" s="1"/>
  <c r="W4628" i="5" s="1"/>
  <c r="T5023" i="5" a="1"/>
  <c r="T5023" i="5" s="1"/>
  <c r="U5023" i="5" s="1"/>
  <c r="W5023" i="5" s="1"/>
  <c r="T5864" i="5" a="1"/>
  <c r="T5864" i="5" s="1"/>
  <c r="U5864" i="5" s="1"/>
  <c r="W5864" i="5" s="1"/>
  <c r="T2723" i="5" a="1"/>
  <c r="T2723" i="5" s="1"/>
  <c r="U2723" i="5" s="1"/>
  <c r="W2723" i="5" s="1"/>
  <c r="T4816" i="5" a="1"/>
  <c r="T4816" i="5" s="1"/>
  <c r="U4816" i="5" s="1"/>
  <c r="W4816" i="5" s="1"/>
  <c r="T4367" i="5" a="1"/>
  <c r="T4367" i="5" s="1"/>
  <c r="U4367" i="5" s="1"/>
  <c r="W4367" i="5" s="1"/>
  <c r="T4798" i="5" a="1"/>
  <c r="T4798" i="5" s="1"/>
  <c r="U4798" i="5" s="1"/>
  <c r="W4798" i="5" s="1"/>
  <c r="T3608" i="5" a="1"/>
  <c r="T3608" i="5" s="1"/>
  <c r="U3608" i="5" s="1"/>
  <c r="W3608" i="5" s="1"/>
  <c r="T2567" i="5" a="1"/>
  <c r="T2567" i="5" s="1"/>
  <c r="U2567" i="5" s="1"/>
  <c r="W2567" i="5" s="1"/>
  <c r="T4744" i="5" a="1"/>
  <c r="T4744" i="5" s="1"/>
  <c r="U4744" i="5" s="1"/>
  <c r="W4744" i="5" s="1"/>
  <c r="T6083" i="5" a="1"/>
  <c r="T6083" i="5" s="1"/>
  <c r="U6083" i="5" s="1"/>
  <c r="W6083" i="5" s="1"/>
  <c r="T6348" i="5" a="1"/>
  <c r="T6348" i="5" s="1"/>
  <c r="U6348" i="5" s="1"/>
  <c r="W6348" i="5" s="1"/>
  <c r="T3800" i="5" a="1"/>
  <c r="T3800" i="5" s="1"/>
  <c r="U3800" i="5" s="1"/>
  <c r="W3800" i="5" s="1"/>
  <c r="T4070" i="5" a="1"/>
  <c r="T4070" i="5" s="1"/>
  <c r="U4070" i="5" s="1"/>
  <c r="W4070" i="5" s="1"/>
  <c r="T3797" i="5" a="1"/>
  <c r="T3797" i="5" s="1"/>
  <c r="U3797" i="5" s="1"/>
  <c r="W3797" i="5" s="1"/>
  <c r="T4337" i="5" a="1"/>
  <c r="T4337" i="5" s="1"/>
  <c r="U4337" i="5" s="1"/>
  <c r="W4337" i="5" s="1"/>
  <c r="T146" i="5" a="1"/>
  <c r="T146" i="5" s="1"/>
  <c r="U146" i="5" s="1"/>
  <c r="W146" i="5" s="1"/>
  <c r="T3689" i="5" a="1"/>
  <c r="T3689" i="5" s="1"/>
  <c r="U3689" i="5" s="1"/>
  <c r="W3689" i="5" s="1"/>
  <c r="T6030" i="5" a="1"/>
  <c r="T6030" i="5" s="1"/>
  <c r="U6030" i="5" s="1"/>
  <c r="W6030" i="5" s="1"/>
  <c r="T3678" i="5" a="1"/>
  <c r="T3678" i="5" s="1"/>
  <c r="U3678" i="5" s="1"/>
  <c r="W3678" i="5" s="1"/>
  <c r="T132" i="5" a="1"/>
  <c r="T132" i="5" s="1"/>
  <c r="U132" i="5" s="1"/>
  <c r="W132" i="5" s="1"/>
  <c r="T3675" i="5" a="1"/>
  <c r="T3675" i="5" s="1"/>
  <c r="U3675" i="5" s="1"/>
  <c r="W3675" i="5" s="1"/>
  <c r="T4334" i="5" a="1"/>
  <c r="T4334" i="5" s="1"/>
  <c r="U4334" i="5" s="1"/>
  <c r="W4334" i="5" s="1"/>
  <c r="T3672" i="5" a="1"/>
  <c r="T3672" i="5" s="1"/>
  <c r="U3672" i="5" s="1"/>
  <c r="W3672" i="5" s="1"/>
  <c r="T6027" i="5" a="1"/>
  <c r="T6027" i="5" s="1"/>
  <c r="U6027" i="5" s="1"/>
  <c r="W6027" i="5" s="1"/>
  <c r="T3665" i="5" a="1"/>
  <c r="T3665" i="5" s="1"/>
  <c r="U3665" i="5" s="1"/>
  <c r="W3665" i="5" s="1"/>
  <c r="T4803" i="5" a="1"/>
  <c r="T4803" i="5" s="1"/>
  <c r="U4803" i="5" s="1"/>
  <c r="W4803" i="5" s="1"/>
  <c r="T5762" i="5" a="1"/>
  <c r="T5762" i="5" s="1"/>
  <c r="U5762" i="5" s="1"/>
  <c r="W5762" i="5" s="1"/>
  <c r="T5771" i="5" a="1"/>
  <c r="T5771" i="5" s="1"/>
  <c r="U5771" i="5" s="1"/>
  <c r="W5771" i="5" s="1"/>
  <c r="T5378" i="5" a="1"/>
  <c r="T5378" i="5" s="1"/>
  <c r="T5990" i="5" a="1"/>
  <c r="T5990" i="5" s="1"/>
  <c r="U5990" i="5" s="1"/>
  <c r="W5990" i="5" s="1"/>
  <c r="T4281" i="5" a="1"/>
  <c r="T4281" i="5" s="1"/>
  <c r="U4281" i="5" s="1"/>
  <c r="W4281" i="5" s="1"/>
  <c r="T6451" i="5" a="1"/>
  <c r="T6451" i="5" s="1"/>
  <c r="U6451" i="5" s="1"/>
  <c r="W6451" i="5" s="1"/>
  <c r="T6453" i="5" a="1"/>
  <c r="T6453" i="5" s="1"/>
  <c r="U6453" i="5" s="1"/>
  <c r="W6453" i="5" s="1"/>
  <c r="T5029" i="5" a="1"/>
  <c r="T5029" i="5" s="1"/>
  <c r="U5029" i="5" s="1"/>
  <c r="W5029" i="5" s="1"/>
  <c r="T3903" i="5" a="1"/>
  <c r="T3903" i="5" s="1"/>
  <c r="U3903" i="5" s="1"/>
  <c r="W3903" i="5" s="1"/>
  <c r="T3896" i="5" a="1"/>
  <c r="T3896" i="5" s="1"/>
  <c r="U3896" i="5" s="1"/>
  <c r="W3896" i="5" s="1"/>
  <c r="T5869" i="5" a="1"/>
  <c r="T5869" i="5" s="1"/>
  <c r="U5869" i="5" s="1"/>
  <c r="W5869" i="5" s="1"/>
  <c r="T3846" i="5" a="1"/>
  <c r="T3846" i="5" s="1"/>
  <c r="U3846" i="5" s="1"/>
  <c r="W3846" i="5" s="1"/>
  <c r="T3977" i="5" a="1"/>
  <c r="T3977" i="5" s="1"/>
  <c r="U3977" i="5" s="1"/>
  <c r="W3977" i="5" s="1"/>
  <c r="T3843" i="5" a="1"/>
  <c r="T3843" i="5" s="1"/>
  <c r="U3843" i="5" s="1"/>
  <c r="W3843" i="5" s="1"/>
  <c r="T3591" i="5" a="1"/>
  <c r="T3591" i="5" s="1"/>
  <c r="U3591" i="5" s="1"/>
  <c r="W3591" i="5" s="1"/>
  <c r="T3601" i="5" a="1"/>
  <c r="T3601" i="5" s="1"/>
  <c r="U3601" i="5" s="1"/>
  <c r="W3601" i="5" s="1"/>
  <c r="T3648" i="5" a="1"/>
  <c r="T3648" i="5" s="1"/>
  <c r="U3648" i="5" s="1"/>
  <c r="W3648" i="5" s="1"/>
  <c r="T4246" i="5" a="1"/>
  <c r="T4246" i="5" s="1"/>
  <c r="U4246" i="5" s="1"/>
  <c r="W4246" i="5" s="1"/>
  <c r="T5902" i="5" a="1"/>
  <c r="T5902" i="5" s="1"/>
  <c r="U5902" i="5" s="1"/>
  <c r="W5902" i="5" s="1"/>
  <c r="T5228" i="5" a="1"/>
  <c r="T5228" i="5" s="1"/>
  <c r="U5228" i="5" s="1"/>
  <c r="W5228" i="5" s="1"/>
  <c r="T4952" i="5" a="1"/>
  <c r="T4952" i="5" s="1"/>
  <c r="T5808" i="5" a="1"/>
  <c r="T5808" i="5" s="1"/>
  <c r="U5808" i="5" s="1"/>
  <c r="W5808" i="5" s="1"/>
  <c r="T4658" i="5" a="1"/>
  <c r="T4658" i="5" s="1"/>
  <c r="U4658" i="5" s="1"/>
  <c r="W4658" i="5" s="1"/>
  <c r="T5591" i="5" a="1"/>
  <c r="T5591" i="5" s="1"/>
  <c r="U5591" i="5" s="1"/>
  <c r="W5591" i="5" s="1"/>
  <c r="T4067" i="5" a="1"/>
  <c r="T4067" i="5" s="1"/>
  <c r="U4067" i="5" s="1"/>
  <c r="W4067" i="5" s="1"/>
  <c r="T2442" i="5" a="1"/>
  <c r="T2442" i="5" s="1"/>
  <c r="U2442" i="5" s="1"/>
  <c r="W2442" i="5" s="1"/>
  <c r="T4676" i="5" a="1"/>
  <c r="T4676" i="5" s="1"/>
  <c r="U4676" i="5" s="1"/>
  <c r="W4676" i="5" s="1"/>
  <c r="T5026" i="5" a="1"/>
  <c r="T5026" i="5" s="1"/>
  <c r="U5026" i="5" s="1"/>
  <c r="W5026" i="5" s="1"/>
  <c r="T5866" i="5" a="1"/>
  <c r="T5866" i="5" s="1"/>
  <c r="U5866" i="5" s="1"/>
  <c r="W5866" i="5" s="1"/>
  <c r="T4743" i="5" a="1"/>
  <c r="T4743" i="5" s="1"/>
  <c r="U4743" i="5" s="1"/>
  <c r="W4743" i="5" s="1"/>
  <c r="T5123" i="5" a="1"/>
  <c r="T5123" i="5" s="1"/>
  <c r="U5123" i="5" s="1"/>
  <c r="W5123" i="5" s="1"/>
  <c r="T3974" i="5" a="1"/>
  <c r="T3974" i="5" s="1"/>
  <c r="U3974" i="5" s="1"/>
  <c r="W3974" i="5" s="1"/>
  <c r="T3809" i="5" a="1"/>
  <c r="T3809" i="5" s="1"/>
  <c r="U3809" i="5" s="1"/>
  <c r="W3809" i="5" s="1"/>
  <c r="T5278" i="5" a="1"/>
  <c r="T5278" i="5" s="1"/>
  <c r="U5278" i="5" s="1"/>
  <c r="W5278" i="5" s="1"/>
  <c r="T218" i="5" a="1"/>
  <c r="T218" i="5" s="1"/>
  <c r="U218" i="5" s="1"/>
  <c r="W218" i="5" s="1"/>
  <c r="T3725" i="5" a="1"/>
  <c r="T3725" i="5" s="1"/>
  <c r="U3725" i="5" s="1"/>
  <c r="W3725" i="5" s="1"/>
  <c r="T163" i="5" a="1"/>
  <c r="T163" i="5" s="1"/>
  <c r="U163" i="5" s="1"/>
  <c r="W163" i="5" s="1"/>
  <c r="T3706" i="5" a="1"/>
  <c r="T3706" i="5" s="1"/>
  <c r="U3706" i="5" s="1"/>
  <c r="W3706" i="5" s="1"/>
  <c r="T3704" i="5" a="1"/>
  <c r="T3704" i="5" s="1"/>
  <c r="U3704" i="5" s="1"/>
  <c r="W3704" i="5" s="1"/>
  <c r="T6353" i="5" a="1"/>
  <c r="T6353" i="5" s="1"/>
  <c r="U6353" i="5" s="1"/>
  <c r="W6353" i="5" s="1"/>
  <c r="T5570" i="5" a="1"/>
  <c r="T5570" i="5" s="1"/>
  <c r="U5570" i="5" s="1"/>
  <c r="W5570" i="5" s="1"/>
  <c r="T4078" i="5" a="1"/>
  <c r="T4078" i="5" s="1"/>
  <c r="U4078" i="5" s="1"/>
  <c r="W4078" i="5" s="1"/>
  <c r="T4369" i="5" a="1"/>
  <c r="T4369" i="5" s="1"/>
  <c r="U4369" i="5" s="1"/>
  <c r="W4369" i="5" s="1"/>
  <c r="T4840" i="5" a="1"/>
  <c r="T4840" i="5" s="1"/>
  <c r="U4840" i="5" s="1"/>
  <c r="W4840" i="5" s="1"/>
  <c r="T3686" i="5" a="1"/>
  <c r="T3686" i="5" s="1"/>
  <c r="U3686" i="5" s="1"/>
  <c r="W3686" i="5" s="1"/>
  <c r="T5898" i="5" a="1"/>
  <c r="T5898" i="5" s="1"/>
  <c r="U5898" i="5" s="1"/>
  <c r="W5898" i="5" s="1"/>
  <c r="T5564" i="5" a="1"/>
  <c r="T5564" i="5" s="1"/>
  <c r="U5564" i="5" s="1"/>
  <c r="W5564" i="5" s="1"/>
  <c r="T137" i="5" a="1"/>
  <c r="T137" i="5" s="1"/>
  <c r="U137" i="5" s="1"/>
  <c r="W137" i="5" s="1"/>
  <c r="T3680" i="5" a="1"/>
  <c r="T3680" i="5" s="1"/>
  <c r="U3680" i="5" s="1"/>
  <c r="W3680" i="5" s="1"/>
  <c r="T4278" i="5" a="1"/>
  <c r="T4278" i="5" s="1"/>
  <c r="U4278" i="5" s="1"/>
  <c r="W4278" i="5" s="1"/>
  <c r="T4108" i="5" a="1"/>
  <c r="T4108" i="5" s="1"/>
  <c r="U4108" i="5" s="1"/>
  <c r="W4108" i="5" s="1"/>
  <c r="T3893" i="5" a="1"/>
  <c r="T3893" i="5" s="1"/>
  <c r="U3893" i="5" s="1"/>
  <c r="W3893" i="5" s="1"/>
  <c r="T5764" i="5" a="1"/>
  <c r="T5764" i="5" s="1"/>
  <c r="U5764" i="5" s="1"/>
  <c r="W5764" i="5" s="1"/>
  <c r="T5093" i="5" a="1"/>
  <c r="T5093" i="5" s="1"/>
  <c r="U5093" i="5" s="1"/>
  <c r="W5093" i="5" s="1"/>
  <c r="T5910" i="5" a="1"/>
  <c r="T5910" i="5" s="1"/>
  <c r="U5910" i="5" s="1"/>
  <c r="W5910" i="5" s="1"/>
  <c r="T5090" i="5" a="1"/>
  <c r="T5090" i="5" s="1"/>
  <c r="U5090" i="5" s="1"/>
  <c r="W5090" i="5" s="1"/>
  <c r="T5907" i="5" a="1"/>
  <c r="T5907" i="5" s="1"/>
  <c r="U5907" i="5" s="1"/>
  <c r="W5907" i="5" s="1"/>
  <c r="T4134" i="5" a="1"/>
  <c r="T4134" i="5" s="1"/>
  <c r="U4134" i="5" s="1"/>
  <c r="W4134" i="5" s="1"/>
  <c r="T5375" i="5" a="1"/>
  <c r="T5375" i="5" s="1"/>
  <c r="U5375" i="5" s="1"/>
  <c r="W5375" i="5" s="1"/>
  <c r="T4558" i="5" a="1"/>
  <c r="T4558" i="5" s="1"/>
  <c r="U4558" i="5" s="1"/>
  <c r="W4558" i="5" s="1"/>
  <c r="T5577" i="5" a="1"/>
  <c r="T5577" i="5" s="1"/>
  <c r="U5577" i="5" s="1"/>
  <c r="W5577" i="5" s="1"/>
  <c r="T4556" i="5" a="1"/>
  <c r="T4556" i="5" s="1"/>
  <c r="U4556" i="5" s="1"/>
  <c r="W4556" i="5" s="1"/>
  <c r="T5575" i="5" a="1"/>
  <c r="T5575" i="5" s="1"/>
  <c r="U5575" i="5" s="1"/>
  <c r="W5575" i="5" s="1"/>
  <c r="T2327" i="5" a="1"/>
  <c r="T2327" i="5" s="1"/>
  <c r="U2327" i="5" s="1"/>
  <c r="W2327" i="5" s="1"/>
  <c r="T4054" i="5" a="1"/>
  <c r="T4054" i="5" s="1"/>
  <c r="U4054" i="5" s="1"/>
  <c r="W4054" i="5" s="1"/>
  <c r="T5592" i="5" a="1"/>
  <c r="T5592" i="5" s="1"/>
  <c r="U5592" i="5" s="1"/>
  <c r="W5592" i="5" s="1"/>
  <c r="T4627" i="5" a="1"/>
  <c r="T4627" i="5" s="1"/>
  <c r="U4627" i="5" s="1"/>
  <c r="W4627" i="5" s="1"/>
  <c r="T3973" i="5" a="1"/>
  <c r="T3973" i="5" s="1"/>
  <c r="U3973" i="5" s="1"/>
  <c r="W3973" i="5" s="1"/>
  <c r="T5277" i="5" a="1"/>
  <c r="T5277" i="5" s="1"/>
  <c r="U5277" i="5" s="1"/>
  <c r="W5277" i="5" s="1"/>
  <c r="T5095" i="5" a="1"/>
  <c r="T5095" i="5" s="1"/>
  <c r="U5095" i="5" s="1"/>
  <c r="W5095" i="5" s="1"/>
  <c r="T3991" i="5" a="1"/>
  <c r="T3991" i="5" s="1"/>
  <c r="U3991" i="5" s="1"/>
  <c r="W3991" i="5" s="1"/>
  <c r="T4173" i="5" a="1"/>
  <c r="T4173" i="5" s="1"/>
  <c r="U4173" i="5" s="1"/>
  <c r="W4173" i="5" s="1"/>
  <c r="T5560" i="5" a="1"/>
  <c r="T5560" i="5" s="1"/>
  <c r="U5560" i="5" s="1"/>
  <c r="W5560" i="5" s="1"/>
  <c r="T5912" i="5" a="1"/>
  <c r="T5912" i="5" s="1"/>
  <c r="U5912" i="5" s="1"/>
  <c r="W5912" i="5" s="1"/>
  <c r="T6496" i="5" a="1"/>
  <c r="T6496" i="5" s="1"/>
  <c r="U6496" i="5" s="1"/>
  <c r="W6496" i="5" s="1"/>
  <c r="T3806" i="5" a="1"/>
  <c r="T3806" i="5" s="1"/>
  <c r="U3806" i="5" s="1"/>
  <c r="W3806" i="5" s="1"/>
  <c r="T6531" i="5" a="1"/>
  <c r="T6531" i="5" s="1"/>
  <c r="U6531" i="5" s="1"/>
  <c r="W6531" i="5" s="1"/>
  <c r="T4958" i="5" a="1"/>
  <c r="T4958" i="5" s="1"/>
  <c r="U4958" i="5" s="1"/>
  <c r="W4958" i="5" s="1"/>
  <c r="T4080" i="5" a="1"/>
  <c r="T4080" i="5" s="1"/>
  <c r="U4080" i="5" s="1"/>
  <c r="W4080" i="5" s="1"/>
  <c r="T3802" i="5" a="1"/>
  <c r="T3802" i="5" s="1"/>
  <c r="U3802" i="5" s="1"/>
  <c r="W3802" i="5" s="1"/>
  <c r="T3742" i="5" a="1"/>
  <c r="T3742" i="5" s="1"/>
  <c r="U3742" i="5" s="1"/>
  <c r="W3742" i="5" s="1"/>
  <c r="T3804" i="5" a="1"/>
  <c r="T3804" i="5" s="1"/>
  <c r="U3804" i="5" s="1"/>
  <c r="W3804" i="5" s="1"/>
  <c r="T3936" i="5" a="1"/>
  <c r="T3936" i="5" s="1"/>
  <c r="U3936" i="5" s="1"/>
  <c r="W3936" i="5" s="1"/>
  <c r="T3731" i="5" a="1"/>
  <c r="T3731" i="5" s="1"/>
  <c r="U3731" i="5" s="1"/>
  <c r="W3731" i="5" s="1"/>
  <c r="T158" i="5" a="1"/>
  <c r="T158" i="5" s="1"/>
  <c r="U158" i="5" s="1"/>
  <c r="W158" i="5" s="1"/>
  <c r="T3701" i="5" a="1"/>
  <c r="T3701" i="5" s="1"/>
  <c r="U3701" i="5" s="1"/>
  <c r="W3701" i="5" s="1"/>
  <c r="T148" i="5" a="1"/>
  <c r="T148" i="5" s="1"/>
  <c r="U148" i="5" s="1"/>
  <c r="W148" i="5" s="1"/>
  <c r="T4960" i="5" a="1"/>
  <c r="T4960" i="5" s="1"/>
  <c r="U4960" i="5" s="1"/>
  <c r="W4960" i="5" s="1"/>
  <c r="T3691" i="5" a="1"/>
  <c r="T3691" i="5" s="1"/>
  <c r="U3691" i="5" s="1"/>
  <c r="W3691" i="5" s="1"/>
  <c r="T3957" i="5" a="1"/>
  <c r="T3957" i="5" s="1"/>
  <c r="U3957" i="5" s="1"/>
  <c r="W3957" i="5" s="1"/>
  <c r="T4877" i="5" a="1"/>
  <c r="T4877" i="5" s="1"/>
  <c r="U4877" i="5" s="1"/>
  <c r="W4877" i="5" s="1"/>
  <c r="T5768" i="5" a="1"/>
  <c r="T5768" i="5" s="1"/>
  <c r="U5768" i="5" s="1"/>
  <c r="W5768" i="5" s="1"/>
  <c r="T5761" i="5" a="1"/>
  <c r="T5761" i="5" s="1"/>
  <c r="U5761" i="5" s="1"/>
  <c r="W5761" i="5" s="1"/>
  <c r="T3594" i="5" a="1"/>
  <c r="T3594" i="5" s="1"/>
  <c r="U3594" i="5" s="1"/>
  <c r="W3594" i="5" s="1"/>
  <c r="T4013" i="5" a="1"/>
  <c r="T4013" i="5" s="1"/>
  <c r="U4013" i="5" s="1"/>
  <c r="W4013" i="5" s="1"/>
  <c r="T65" i="5" a="1"/>
  <c r="T65" i="5" s="1"/>
  <c r="U65" i="5" s="1"/>
  <c r="W65" i="5" s="1"/>
  <c r="T3623" i="5" a="1"/>
  <c r="T3623" i="5" s="1"/>
  <c r="U3623" i="5" s="1"/>
  <c r="W3623" i="5" s="1"/>
  <c r="T5459" i="5" a="1"/>
  <c r="T5459" i="5" s="1"/>
  <c r="U5459" i="5" s="1"/>
  <c r="W5459" i="5" s="1"/>
  <c r="T6466" i="5" a="1"/>
  <c r="T6466" i="5" s="1"/>
  <c r="U6466" i="5" s="1"/>
  <c r="W6466" i="5" s="1"/>
  <c r="T159" i="5" a="1"/>
  <c r="T159" i="5" s="1"/>
  <c r="U159" i="5" s="1"/>
  <c r="W159" i="5" s="1"/>
  <c r="T5457" i="5" a="1"/>
  <c r="T5457" i="5" s="1"/>
  <c r="U5457" i="5" s="1"/>
  <c r="W5457" i="5" s="1"/>
  <c r="T135" i="5" a="1"/>
  <c r="T135" i="5" s="1"/>
  <c r="U135" i="5" s="1"/>
  <c r="W135" i="5" s="1"/>
  <c r="T5454" i="5" a="1"/>
  <c r="T5454" i="5" s="1"/>
  <c r="U5454" i="5" s="1"/>
  <c r="W5454" i="5" s="1"/>
  <c r="T129" i="5" a="1"/>
  <c r="T129" i="5" s="1"/>
  <c r="U129" i="5" s="1"/>
  <c r="W129" i="5" s="1"/>
  <c r="T6352" i="5" a="1"/>
  <c r="T6352" i="5" s="1"/>
  <c r="U6352" i="5" s="1"/>
  <c r="W6352" i="5" s="1"/>
  <c r="T2566" i="5" a="1"/>
  <c r="T2566" i="5" s="1"/>
  <c r="U2566" i="5" s="1"/>
  <c r="W2566" i="5" s="1"/>
  <c r="T3587" i="5" a="1"/>
  <c r="T3587" i="5" s="1"/>
  <c r="U3587" i="5" s="1"/>
  <c r="W3587" i="5" s="1"/>
  <c r="T161" i="5" a="1"/>
  <c r="T161" i="5" s="1"/>
  <c r="U161" i="5" s="1"/>
  <c r="W161" i="5" s="1"/>
  <c r="T6088" i="5" a="1"/>
  <c r="T6088" i="5" s="1"/>
  <c r="U6088" i="5" s="1"/>
  <c r="W6088" i="5" s="1"/>
  <c r="T2795" i="5" a="1"/>
  <c r="T2795" i="5" s="1"/>
  <c r="U2795" i="5" s="1"/>
  <c r="W2795" i="5" s="1"/>
  <c r="T143" i="5" a="1"/>
  <c r="T143" i="5" s="1"/>
  <c r="U143" i="5" s="1"/>
  <c r="W143" i="5" s="1"/>
  <c r="T6515" i="5" a="1"/>
  <c r="T6515" i="5" s="1"/>
  <c r="U6515" i="5" s="1"/>
  <c r="W6515" i="5" s="1"/>
  <c r="T6467" i="5" a="1"/>
  <c r="T6467" i="5" s="1"/>
  <c r="U6467" i="5" s="1"/>
  <c r="W6467" i="5" s="1"/>
  <c r="T6492" i="5" a="1"/>
  <c r="T6492" i="5" s="1"/>
  <c r="U6492" i="5" s="1"/>
  <c r="W6492" i="5" s="1"/>
  <c r="T6487" i="5" a="1"/>
  <c r="T6487" i="5" s="1"/>
  <c r="U6487" i="5" s="1"/>
  <c r="W6487" i="5" s="1"/>
  <c r="T3334" i="5" a="1"/>
  <c r="T3334" i="5" s="1"/>
  <c r="U3334" i="5" s="1"/>
  <c r="W3334" i="5" s="1"/>
  <c r="T5456" i="5" a="1"/>
  <c r="T5456" i="5" s="1"/>
  <c r="U5456" i="5" s="1"/>
  <c r="W5456" i="5" s="1"/>
  <c r="T134" i="5" a="1"/>
  <c r="T134" i="5" s="1"/>
  <c r="U134" i="5" s="1"/>
  <c r="W134" i="5" s="1"/>
  <c r="T131" i="5" a="1"/>
  <c r="T131" i="5" s="1"/>
  <c r="U131" i="5" s="1"/>
  <c r="W131" i="5" s="1"/>
  <c r="T5455" i="5" a="1"/>
  <c r="T5455" i="5" s="1"/>
  <c r="U5455" i="5" s="1"/>
  <c r="W5455" i="5" s="1"/>
  <c r="T4892" i="5" a="1"/>
  <c r="T4892" i="5" s="1"/>
  <c r="U4892" i="5" s="1"/>
  <c r="W4892" i="5" s="1"/>
  <c r="T4889" i="5" a="1"/>
  <c r="T4889" i="5" s="1"/>
  <c r="U4889" i="5" s="1"/>
  <c r="W4889" i="5" s="1"/>
  <c r="T4927" i="5" a="1"/>
  <c r="T4927" i="5" s="1"/>
  <c r="U4927" i="5" s="1"/>
  <c r="W4927" i="5" s="1"/>
  <c r="T2447" i="5" a="1"/>
  <c r="T2447" i="5" s="1"/>
  <c r="U2447" i="5" s="1"/>
  <c r="W2447" i="5" s="1"/>
  <c r="T6494" i="5" a="1"/>
  <c r="T6494" i="5" s="1"/>
  <c r="U6494" i="5" s="1"/>
  <c r="W6494" i="5" s="1"/>
  <c r="T5027" i="5" a="1"/>
  <c r="T5027" i="5" s="1"/>
  <c r="U5027" i="5" s="1"/>
  <c r="W5027" i="5" s="1"/>
  <c r="T6489" i="5" a="1"/>
  <c r="T6489" i="5" s="1"/>
  <c r="U6489" i="5" s="1"/>
  <c r="W6489" i="5" s="1"/>
  <c r="T6495" i="5" a="1"/>
  <c r="T6495" i="5" s="1"/>
  <c r="U6495" i="5" s="1"/>
  <c r="W6495" i="5" s="1"/>
  <c r="T160" i="5" a="1"/>
  <c r="T160" i="5" s="1"/>
  <c r="U160" i="5" s="1"/>
  <c r="W160" i="5" s="1"/>
  <c r="T6087" i="5" a="1"/>
  <c r="T6087" i="5" s="1"/>
  <c r="U6087" i="5" s="1"/>
  <c r="W6087" i="5" s="1"/>
  <c r="T6490" i="5" a="1"/>
  <c r="T6490" i="5" s="1"/>
  <c r="U6490" i="5" s="1"/>
  <c r="W6490" i="5" s="1"/>
  <c r="T4890" i="5" a="1"/>
  <c r="T4890" i="5" s="1"/>
  <c r="T4893" i="5" a="1"/>
  <c r="T4893" i="5" s="1"/>
  <c r="T4949" i="5" a="1"/>
  <c r="T4949" i="5" s="1"/>
  <c r="U4949" i="5" s="1"/>
  <c r="W4949" i="5" s="1"/>
  <c r="T5030" i="5" a="1"/>
  <c r="T5030" i="5" s="1"/>
  <c r="T6511" i="5" a="1"/>
  <c r="T6511" i="5" s="1"/>
  <c r="U6511" i="5" s="1"/>
  <c r="W6511" i="5" s="1"/>
  <c r="T6513" i="5" a="1"/>
  <c r="T6513" i="5" s="1"/>
  <c r="U6513" i="5" s="1"/>
  <c r="W6513" i="5" s="1"/>
  <c r="T6374" i="5" a="1"/>
  <c r="T6374" i="5" s="1"/>
  <c r="U6374" i="5" s="1"/>
  <c r="W6374" i="5" s="1"/>
  <c r="T6413" i="5" a="1"/>
  <c r="T6413" i="5" s="1"/>
  <c r="U6413" i="5" s="1"/>
  <c r="W6413" i="5" s="1"/>
  <c r="I457" i="18"/>
  <c r="T4550" i="5" a="1"/>
  <c r="T4550" i="5" s="1"/>
  <c r="T2637" i="5" a="1"/>
  <c r="T2637" i="5" s="1"/>
  <c r="T2379" i="5" a="1"/>
  <c r="T2379" i="5" s="1"/>
  <c r="T4575" i="5" a="1"/>
  <c r="T4575" i="5" s="1"/>
  <c r="T1179" i="5" a="1"/>
  <c r="T1179" i="5" s="1"/>
  <c r="T1177" i="5" a="1"/>
  <c r="T1177" i="5" s="1"/>
  <c r="T2322" i="5" a="1"/>
  <c r="T2322" i="5" s="1"/>
  <c r="T1169" i="5" a="1"/>
  <c r="T1169" i="5" s="1"/>
  <c r="T499" i="5" a="1"/>
  <c r="T499" i="5" s="1"/>
  <c r="V386" i="18" s="1"/>
  <c r="T5011" i="5" a="1"/>
  <c r="T5011" i="5" s="1"/>
  <c r="T4997" i="5" a="1"/>
  <c r="T4997" i="5" s="1"/>
  <c r="T2714" i="5" a="1"/>
  <c r="T2714" i="5" s="1"/>
  <c r="T4544" i="5" a="1"/>
  <c r="T4544" i="5" s="1"/>
  <c r="T2454" i="5" a="1"/>
  <c r="T2454" i="5" s="1"/>
  <c r="T1196" i="5" a="1"/>
  <c r="T1196" i="5" s="1"/>
  <c r="T938" i="5" a="1"/>
  <c r="T938" i="5" s="1"/>
  <c r="T2564" i="5" a="1"/>
  <c r="T2564" i="5" s="1"/>
  <c r="T932" i="5" a="1"/>
  <c r="T932" i="5" s="1"/>
  <c r="T670" i="5" a="1"/>
  <c r="T670" i="5" s="1"/>
  <c r="T614" i="5" a="1"/>
  <c r="T614" i="5" s="1"/>
  <c r="T447" i="5" a="1"/>
  <c r="T447" i="5" s="1"/>
  <c r="T431" i="5" a="1"/>
  <c r="T431" i="5" s="1"/>
  <c r="T182" i="5" a="1"/>
  <c r="T182" i="5" s="1"/>
  <c r="T173" i="5" a="1"/>
  <c r="T173" i="5" s="1"/>
  <c r="T937" i="5" a="1"/>
  <c r="T937" i="5" s="1"/>
  <c r="T116" i="5" a="1"/>
  <c r="T116" i="5" s="1"/>
  <c r="T1193" i="5" a="1"/>
  <c r="T1193" i="5" s="1"/>
  <c r="T4546" i="5" a="1"/>
  <c r="T4546" i="5" s="1"/>
  <c r="T6065" i="5" a="1"/>
  <c r="T6065" i="5" s="1"/>
  <c r="T2249" i="5" a="1"/>
  <c r="T2249" i="5" s="1"/>
  <c r="T685" i="5" a="1"/>
  <c r="T685" i="5" s="1"/>
  <c r="V124" i="18" s="1"/>
  <c r="T582" i="5" a="1"/>
  <c r="T582" i="5" s="1"/>
  <c r="T4880" i="5" a="1"/>
  <c r="T4880" i="5" s="1"/>
  <c r="T4869" i="5" a="1"/>
  <c r="T4869" i="5" s="1"/>
  <c r="T1051" i="5" a="1"/>
  <c r="T1051" i="5" s="1"/>
  <c r="T579" i="5" a="1"/>
  <c r="T579" i="5" s="1"/>
  <c r="T674" i="5" a="1"/>
  <c r="T674" i="5" s="1"/>
  <c r="T4874" i="5" a="1"/>
  <c r="T4874" i="5" s="1"/>
  <c r="T505" i="5" a="1"/>
  <c r="T505" i="5" s="1"/>
  <c r="T504" i="5" a="1"/>
  <c r="T504" i="5" s="1"/>
  <c r="T560" i="5" a="1"/>
  <c r="T560" i="5" s="1"/>
  <c r="T557" i="5" a="1"/>
  <c r="T557" i="5" s="1"/>
  <c r="T502" i="5" a="1"/>
  <c r="T502" i="5" s="1"/>
  <c r="T199" i="5" a="1"/>
  <c r="T199" i="5" s="1"/>
  <c r="T27" i="5" a="1"/>
  <c r="T27" i="5" s="1"/>
  <c r="T251" i="5" a="1"/>
  <c r="T251" i="5" s="1"/>
  <c r="T5070" i="5" a="1"/>
  <c r="T5070" i="5" s="1"/>
  <c r="T245" i="5" a="1"/>
  <c r="T245" i="5" s="1"/>
  <c r="T232" i="5" a="1"/>
  <c r="T232" i="5" s="1"/>
  <c r="T2392" i="5" a="1"/>
  <c r="T2392" i="5" s="1"/>
  <c r="T2390" i="5" a="1"/>
  <c r="T2390" i="5" s="1"/>
  <c r="T4943" i="5" a="1"/>
  <c r="T4943" i="5" s="1"/>
  <c r="T2384" i="5" a="1"/>
  <c r="T2384" i="5" s="1"/>
  <c r="T2382" i="5" a="1"/>
  <c r="T2382" i="5" s="1"/>
  <c r="T2374" i="5" a="1"/>
  <c r="T2374" i="5" s="1"/>
  <c r="T2370" i="5" a="1"/>
  <c r="T2370" i="5" s="1"/>
  <c r="T2319" i="5" a="1"/>
  <c r="T2319" i="5" s="1"/>
  <c r="T1174" i="5" a="1"/>
  <c r="T1174" i="5" s="1"/>
  <c r="T2326" i="5" a="1"/>
  <c r="T2326" i="5" s="1"/>
  <c r="T1166" i="5" a="1"/>
  <c r="T1166" i="5" s="1"/>
  <c r="V395" i="18" s="1"/>
  <c r="T1164" i="5" a="1"/>
  <c r="T1164" i="5" s="1"/>
  <c r="V393" i="18" s="1"/>
  <c r="T1162" i="5" a="1"/>
  <c r="T1162" i="5" s="1"/>
  <c r="V391" i="18" s="1"/>
  <c r="T5016" i="5" a="1"/>
  <c r="T5016" i="5" s="1"/>
  <c r="T5006" i="5" a="1"/>
  <c r="T5006" i="5" s="1"/>
  <c r="T5001" i="5" a="1"/>
  <c r="T5001" i="5" s="1"/>
  <c r="T2718" i="5" a="1"/>
  <c r="T2718" i="5" s="1"/>
  <c r="T2709" i="5" a="1"/>
  <c r="T2709" i="5" s="1"/>
  <c r="T2704" i="5" a="1"/>
  <c r="T2704" i="5" s="1"/>
  <c r="T1781" i="5" a="1"/>
  <c r="T1781" i="5" s="1"/>
  <c r="V325" i="18" s="1"/>
  <c r="T2887" i="5" a="1"/>
  <c r="T2887" i="5" s="1"/>
  <c r="T2449" i="5" a="1"/>
  <c r="T2449" i="5" s="1"/>
  <c r="T1735" i="5" a="1"/>
  <c r="T1735" i="5" s="1"/>
  <c r="V287" i="18" s="1"/>
  <c r="T1188" i="5" a="1"/>
  <c r="T1188" i="5" s="1"/>
  <c r="V273" i="18" s="1"/>
  <c r="T1014" i="5" a="1"/>
  <c r="T1014" i="5" s="1"/>
  <c r="T1421" i="5" a="1"/>
  <c r="T1421" i="5" s="1"/>
  <c r="T5085" i="5" a="1"/>
  <c r="T5085" i="5" s="1"/>
  <c r="T4536" i="5" a="1"/>
  <c r="T4536" i="5" s="1"/>
  <c r="T444" i="5" a="1"/>
  <c r="T444" i="5" s="1"/>
  <c r="T3159" i="5" a="1"/>
  <c r="T3159" i="5" s="1"/>
  <c r="T440" i="5" a="1"/>
  <c r="T440" i="5" s="1"/>
  <c r="T1195" i="5" a="1"/>
  <c r="T1195" i="5" s="1"/>
  <c r="T442" i="5" a="1"/>
  <c r="T442" i="5" s="1"/>
  <c r="T190" i="5" a="1"/>
  <c r="T190" i="5" s="1"/>
  <c r="T187" i="5" a="1"/>
  <c r="T187" i="5" s="1"/>
  <c r="T179" i="5" a="1"/>
  <c r="T179" i="5" s="1"/>
  <c r="T744" i="5" a="1"/>
  <c r="T744" i="5" s="1"/>
  <c r="T113" i="5" a="1"/>
  <c r="T113" i="5" s="1"/>
  <c r="T103" i="5" a="1"/>
  <c r="T103" i="5" s="1"/>
  <c r="T935" i="5" a="1"/>
  <c r="T935" i="5" s="1"/>
  <c r="T3161" i="5" a="1"/>
  <c r="T3161" i="5" s="1"/>
  <c r="T101" i="5" a="1"/>
  <c r="T101" i="5" s="1"/>
  <c r="T90" i="5" a="1"/>
  <c r="T90" i="5" s="1"/>
  <c r="T1737" i="5" a="1"/>
  <c r="T1737" i="5" s="1"/>
  <c r="T84" i="5" a="1"/>
  <c r="T84" i="5" s="1"/>
  <c r="T5405" i="5" a="1"/>
  <c r="T5405" i="5" s="1"/>
  <c r="T77" i="5" a="1"/>
  <c r="T77" i="5" s="1"/>
  <c r="T2708" i="5" a="1"/>
  <c r="T2708" i="5" s="1"/>
  <c r="T4873" i="5" a="1"/>
  <c r="T4873" i="5" s="1"/>
  <c r="T4882" i="5" a="1"/>
  <c r="T4882" i="5" s="1"/>
  <c r="T5330" i="5" a="1"/>
  <c r="T5330" i="5" s="1"/>
  <c r="T1658" i="5" a="1"/>
  <c r="T1658" i="5" s="1"/>
  <c r="T686" i="5" a="1"/>
  <c r="T686" i="5" s="1"/>
  <c r="T679" i="5" a="1"/>
  <c r="T679" i="5" s="1"/>
  <c r="T567" i="5" a="1"/>
  <c r="T567" i="5" s="1"/>
  <c r="T5020" i="5" a="1"/>
  <c r="T5020" i="5" s="1"/>
  <c r="T569" i="5" a="1"/>
  <c r="T569" i="5" s="1"/>
  <c r="V113" i="18" s="1"/>
  <c r="T985" i="5" a="1"/>
  <c r="T985" i="5" s="1"/>
  <c r="T943" i="5" a="1"/>
  <c r="T943" i="5" s="1"/>
  <c r="T684" i="5" a="1"/>
  <c r="T684" i="5" s="1"/>
  <c r="T564" i="5" a="1"/>
  <c r="T564" i="5" s="1"/>
  <c r="T988" i="5" a="1"/>
  <c r="T988" i="5" s="1"/>
  <c r="T197" i="5" a="1"/>
  <c r="T197" i="5" s="1"/>
  <c r="T32" i="5" a="1"/>
  <c r="T32" i="5" s="1"/>
  <c r="T22" i="5" a="1"/>
  <c r="T22" i="5" s="1"/>
  <c r="T12" i="5" a="1"/>
  <c r="T12" i="5" s="1"/>
  <c r="T263" i="5" a="1"/>
  <c r="T263" i="5" s="1"/>
  <c r="T260" i="5" a="1"/>
  <c r="T260" i="5" s="1"/>
  <c r="T1584" i="5" a="1"/>
  <c r="T1584" i="5" s="1"/>
  <c r="T3853" i="5" a="1"/>
  <c r="T3853" i="5" s="1"/>
  <c r="T5075" i="5" a="1"/>
  <c r="T5075" i="5" s="1"/>
  <c r="T242" i="5" a="1"/>
  <c r="T242" i="5" s="1"/>
  <c r="T4552" i="5" a="1"/>
  <c r="T4552" i="5" s="1"/>
  <c r="T2387" i="5" a="1"/>
  <c r="T2387" i="5" s="1"/>
  <c r="T4942" i="5" a="1"/>
  <c r="T4942" i="5" s="1"/>
  <c r="T2377" i="5" a="1"/>
  <c r="T2377" i="5" s="1"/>
  <c r="T2367" i="5" a="1"/>
  <c r="T2367" i="5" s="1"/>
  <c r="T1181" i="5" a="1"/>
  <c r="T1181" i="5" s="1"/>
  <c r="T4572" i="5" a="1"/>
  <c r="T4572" i="5" s="1"/>
  <c r="T2323" i="5" a="1"/>
  <c r="T2323" i="5" s="1"/>
  <c r="T1171" i="5" a="1"/>
  <c r="T1171" i="5" s="1"/>
  <c r="T577" i="5" a="1"/>
  <c r="T577" i="5" s="1"/>
  <c r="V388" i="18" s="1"/>
  <c r="T5361" i="5" a="1"/>
  <c r="T5361" i="5" s="1"/>
  <c r="T5009" i="5" a="1"/>
  <c r="T5009" i="5" s="1"/>
  <c r="T4995" i="5" a="1"/>
  <c r="T4995" i="5" s="1"/>
  <c r="T2712" i="5" a="1"/>
  <c r="T2712" i="5" s="1"/>
  <c r="T2706" i="5" a="1"/>
  <c r="T2706" i="5" s="1"/>
  <c r="T1784" i="5" a="1"/>
  <c r="T1784" i="5" s="1"/>
  <c r="V328" i="18" s="1"/>
  <c r="T2882" i="5" a="1"/>
  <c r="T2882" i="5" s="1"/>
  <c r="T2562" i="5" a="1"/>
  <c r="T2562" i="5" s="1"/>
  <c r="T3163" i="5" a="1"/>
  <c r="T3163" i="5" s="1"/>
  <c r="T1742" i="5" a="1"/>
  <c r="T1742" i="5" s="1"/>
  <c r="T3162" i="5" a="1"/>
  <c r="T3162" i="5" s="1"/>
  <c r="T1415" i="5" a="1"/>
  <c r="T1415" i="5" s="1"/>
  <c r="T4126" i="5" a="1"/>
  <c r="T4126" i="5" s="1"/>
  <c r="T1306" i="5" a="1"/>
  <c r="T1306" i="5" s="1"/>
  <c r="V278" i="18" s="1"/>
  <c r="X278" i="18" s="1"/>
  <c r="T611" i="5" a="1"/>
  <c r="T611" i="5" s="1"/>
  <c r="V251" i="18" s="1"/>
  <c r="T609" i="5" a="1"/>
  <c r="T609" i="5" s="1"/>
  <c r="V249" i="18" s="1"/>
  <c r="T606" i="5" a="1"/>
  <c r="T606" i="5" s="1"/>
  <c r="T3330" i="5" a="1"/>
  <c r="T3330" i="5" s="1"/>
  <c r="T3961" i="5" a="1"/>
  <c r="T3961" i="5" s="1"/>
  <c r="T449" i="5" a="1"/>
  <c r="T449" i="5" s="1"/>
  <c r="V243" i="18" s="1"/>
  <c r="T433" i="5" a="1"/>
  <c r="T433" i="5" s="1"/>
  <c r="T1738" i="5" a="1"/>
  <c r="T1738" i="5" s="1"/>
  <c r="T6059" i="5" a="1"/>
  <c r="T6059" i="5" s="1"/>
  <c r="T184" i="5" a="1"/>
  <c r="T184" i="5" s="1"/>
  <c r="T939" i="5" a="1"/>
  <c r="T939" i="5" s="1"/>
  <c r="T120" i="5" a="1"/>
  <c r="T120" i="5" s="1"/>
  <c r="T98" i="5" a="1"/>
  <c r="T98" i="5" s="1"/>
  <c r="T1787" i="5" a="1"/>
  <c r="T1787" i="5" s="1"/>
  <c r="T5071" i="5" a="1"/>
  <c r="T5071" i="5" s="1"/>
  <c r="T74" i="5" a="1"/>
  <c r="T74" i="5" s="1"/>
  <c r="T1258" i="5" a="1"/>
  <c r="T1258" i="5" s="1"/>
  <c r="T1655" i="5" a="1"/>
  <c r="T1655" i="5" s="1"/>
  <c r="T688" i="5" a="1"/>
  <c r="T688" i="5" s="1"/>
  <c r="V126" i="18" s="1"/>
  <c r="T676" i="5" a="1"/>
  <c r="T676" i="5" s="1"/>
  <c r="T4875" i="5" a="1"/>
  <c r="T4875" i="5" s="1"/>
  <c r="T1071" i="5" a="1"/>
  <c r="T1071" i="5" s="1"/>
  <c r="T683" i="5" a="1"/>
  <c r="T683" i="5" s="1"/>
  <c r="V94" i="18" s="1"/>
  <c r="T794" i="5" a="1"/>
  <c r="T794" i="5" s="1"/>
  <c r="V84" i="18" s="1"/>
  <c r="T29" i="5" a="1"/>
  <c r="T29" i="5" s="1"/>
  <c r="T9" i="5" a="1"/>
  <c r="T9" i="5" s="1"/>
  <c r="T5080" i="5" a="1"/>
  <c r="T5080" i="5" s="1"/>
  <c r="T253" i="5" a="1"/>
  <c r="T253" i="5" s="1"/>
  <c r="T247" i="5" a="1"/>
  <c r="T247" i="5" s="1"/>
  <c r="T4327" i="5" a="1"/>
  <c r="T4327" i="5" s="1"/>
  <c r="T2638" i="5" a="1"/>
  <c r="T2638" i="5" s="1"/>
  <c r="T2380" i="5" a="1"/>
  <c r="T2380" i="5" s="1"/>
  <c r="T2372" i="5" a="1"/>
  <c r="T2372" i="5" s="1"/>
  <c r="T2321" i="5" a="1"/>
  <c r="T2321" i="5" s="1"/>
  <c r="T1178" i="5" a="1"/>
  <c r="T1178" i="5" s="1"/>
  <c r="T1176" i="5" a="1"/>
  <c r="T1176" i="5" s="1"/>
  <c r="T1168" i="5" a="1"/>
  <c r="T1168" i="5" s="1"/>
  <c r="T2325" i="5" a="1"/>
  <c r="T2325" i="5" s="1"/>
  <c r="T4573" i="5" a="1"/>
  <c r="T4573" i="5" s="1"/>
  <c r="T500" i="5" a="1"/>
  <c r="T500" i="5" s="1"/>
  <c r="T5014" i="5" a="1"/>
  <c r="T5014" i="5" s="1"/>
  <c r="T5012" i="5" a="1"/>
  <c r="T5012" i="5" s="1"/>
  <c r="T4999" i="5" a="1"/>
  <c r="T4999" i="5" s="1"/>
  <c r="T2716" i="5" a="1"/>
  <c r="T2716" i="5" s="1"/>
  <c r="T3581" i="5" a="1"/>
  <c r="T3581" i="5" s="1"/>
  <c r="T2453" i="5" a="1"/>
  <c r="T2453" i="5" s="1"/>
  <c r="T2451" i="5" a="1"/>
  <c r="T2451" i="5" s="1"/>
  <c r="T1191" i="5" a="1"/>
  <c r="T1191" i="5" s="1"/>
  <c r="V275" i="18" s="1"/>
  <c r="T934" i="5" a="1"/>
  <c r="T934" i="5" s="1"/>
  <c r="T2559" i="5" a="1"/>
  <c r="T2559" i="5" s="1"/>
  <c r="T613" i="5" a="1"/>
  <c r="T613" i="5" s="1"/>
  <c r="T2457" i="5" a="1"/>
  <c r="T2457" i="5" s="1"/>
  <c r="T1192" i="5" a="1"/>
  <c r="T1192" i="5" s="1"/>
  <c r="T5003" i="5" a="1"/>
  <c r="T5003" i="5" s="1"/>
  <c r="T5018" i="5" a="1"/>
  <c r="T5018" i="5" s="1"/>
  <c r="T446" i="5" a="1"/>
  <c r="T446" i="5" s="1"/>
  <c r="T430" i="5" a="1"/>
  <c r="T430" i="5" s="1"/>
  <c r="T181" i="5" a="1"/>
  <c r="T181" i="5" s="1"/>
  <c r="T115" i="5" a="1"/>
  <c r="T115" i="5" s="1"/>
  <c r="T4545" i="5" a="1"/>
  <c r="T4545" i="5" s="1"/>
  <c r="T6064" i="5" a="1"/>
  <c r="T6064" i="5" s="1"/>
  <c r="T2248" i="5" a="1"/>
  <c r="T2248" i="5" s="1"/>
  <c r="T984" i="5" a="1"/>
  <c r="T984" i="5" s="1"/>
  <c r="T581" i="5" a="1"/>
  <c r="T581" i="5" s="1"/>
  <c r="T4879" i="5" a="1"/>
  <c r="T4879" i="5" s="1"/>
  <c r="T4872" i="5" a="1"/>
  <c r="T4872" i="5" s="1"/>
  <c r="T1050" i="5" a="1"/>
  <c r="T1050" i="5" s="1"/>
  <c r="T746" i="5" a="1"/>
  <c r="T746" i="5" s="1"/>
  <c r="V101" i="18" s="1"/>
  <c r="T741" i="5" a="1"/>
  <c r="T741" i="5" s="1"/>
  <c r="V99" i="18" s="1"/>
  <c r="T506" i="5" a="1"/>
  <c r="T506" i="5" s="1"/>
  <c r="V81" i="18" s="1"/>
  <c r="T200" i="5" a="1"/>
  <c r="T200" i="5" s="1"/>
  <c r="T25" i="5" a="1"/>
  <c r="T25" i="5" s="1"/>
  <c r="T1070" i="5" a="1"/>
  <c r="T1070" i="5" s="1"/>
  <c r="T235" i="5" a="1"/>
  <c r="T235" i="5" s="1"/>
  <c r="T244" i="5" a="1"/>
  <c r="T244" i="5" s="1"/>
  <c r="T2389" i="5" a="1"/>
  <c r="T2389" i="5" s="1"/>
  <c r="T4944" i="5" a="1"/>
  <c r="T4944" i="5" s="1"/>
  <c r="T2385" i="5" a="1"/>
  <c r="T2385" i="5" s="1"/>
  <c r="T2375" i="5" a="1"/>
  <c r="T2375" i="5" s="1"/>
  <c r="T2369" i="5" a="1"/>
  <c r="T2369" i="5" s="1"/>
  <c r="T2318" i="5" a="1"/>
  <c r="T2318" i="5" s="1"/>
  <c r="T1183" i="5" a="1"/>
  <c r="T1183" i="5" s="1"/>
  <c r="V412" i="18" s="1"/>
  <c r="T1173" i="5" a="1"/>
  <c r="T1173" i="5" s="1"/>
  <c r="T1163" i="5" a="1"/>
  <c r="T1163" i="5" s="1"/>
  <c r="V392" i="18" s="1"/>
  <c r="T1161" i="5" a="1"/>
  <c r="T1161" i="5" s="1"/>
  <c r="V390" i="18" s="1"/>
  <c r="T5017" i="5" a="1"/>
  <c r="T5017" i="5" s="1"/>
  <c r="T5007" i="5" a="1"/>
  <c r="T5007" i="5" s="1"/>
  <c r="T5005" i="5" a="1"/>
  <c r="T5005" i="5" s="1"/>
  <c r="T5002" i="5" a="1"/>
  <c r="T5002" i="5" s="1"/>
  <c r="T2720" i="5" a="1"/>
  <c r="T2720" i="5" s="1"/>
  <c r="V348" i="18" s="1"/>
  <c r="T2710" i="5" a="1"/>
  <c r="T2710" i="5" s="1"/>
  <c r="T1789" i="5" a="1"/>
  <c r="T1789" i="5" s="1"/>
  <c r="V332" i="18" s="1"/>
  <c r="T1786" i="5" a="1"/>
  <c r="T1786" i="5" s="1"/>
  <c r="V330" i="18" s="1"/>
  <c r="T1782" i="5" a="1"/>
  <c r="T1782" i="5" s="1"/>
  <c r="T1775" i="5" a="1"/>
  <c r="T1775" i="5" s="1"/>
  <c r="T6058" i="5" a="1"/>
  <c r="T6058" i="5" s="1"/>
  <c r="T2886" i="5" a="1"/>
  <c r="T2886" i="5" s="1"/>
  <c r="T2456" i="5" a="1"/>
  <c r="T2456" i="5" s="1"/>
  <c r="T1734" i="5" a="1"/>
  <c r="T1734" i="5" s="1"/>
  <c r="V286" i="18" s="1"/>
  <c r="T6057" i="5" a="1"/>
  <c r="T6057" i="5" s="1"/>
  <c r="T1187" i="5" a="1"/>
  <c r="T1187" i="5" s="1"/>
  <c r="V272" i="18" s="1"/>
  <c r="T443" i="5" a="1"/>
  <c r="T443" i="5" s="1"/>
  <c r="T439" i="5" a="1"/>
  <c r="T439" i="5" s="1"/>
  <c r="T4547" i="5" a="1"/>
  <c r="T4547" i="5" s="1"/>
  <c r="T1777" i="5" a="1"/>
  <c r="T1777" i="5" s="1"/>
  <c r="T436" i="5" a="1"/>
  <c r="T436" i="5" s="1"/>
  <c r="T186" i="5" a="1"/>
  <c r="T186" i="5" s="1"/>
  <c r="T178" i="5" a="1"/>
  <c r="T178" i="5" s="1"/>
  <c r="T105" i="5" a="1"/>
  <c r="T105" i="5" s="1"/>
  <c r="V176" i="18" s="1"/>
  <c r="T102" i="5" a="1"/>
  <c r="T102" i="5" s="1"/>
  <c r="V173" i="18" s="1"/>
  <c r="T1416" i="5" a="1"/>
  <c r="T1416" i="5" s="1"/>
  <c r="T100" i="5" a="1"/>
  <c r="T100" i="5" s="1"/>
  <c r="T89" i="5" a="1"/>
  <c r="T89" i="5" s="1"/>
  <c r="T5407" i="5" a="1"/>
  <c r="T5407" i="5" s="1"/>
  <c r="T1736" i="5" a="1"/>
  <c r="T1736" i="5" s="1"/>
  <c r="T4539" i="5" a="1"/>
  <c r="T4539" i="5" s="1"/>
  <c r="T5406" i="5" a="1"/>
  <c r="T5406" i="5" s="1"/>
  <c r="T79" i="5" a="1"/>
  <c r="T79" i="5" s="1"/>
  <c r="T1776" i="5" a="1"/>
  <c r="T1776" i="5" s="1"/>
  <c r="T4994" i="5" a="1"/>
  <c r="T4994" i="5" s="1"/>
  <c r="T76" i="5" a="1"/>
  <c r="T76" i="5" s="1"/>
  <c r="T1303" i="5" a="1"/>
  <c r="T1303" i="5" s="1"/>
  <c r="T3578" i="5" a="1"/>
  <c r="T3578" i="5" s="1"/>
  <c r="T5116" i="5" a="1"/>
  <c r="T5116" i="5" s="1"/>
  <c r="T1657" i="5" a="1"/>
  <c r="T1657" i="5" s="1"/>
  <c r="T678" i="5" a="1"/>
  <c r="T678" i="5" s="1"/>
  <c r="T4887" i="5" a="1"/>
  <c r="T4887" i="5" s="1"/>
  <c r="T4868" i="5" a="1"/>
  <c r="T4868" i="5" s="1"/>
  <c r="T4884" i="5" a="1"/>
  <c r="T4884" i="5" s="1"/>
  <c r="T945" i="5" a="1"/>
  <c r="T945" i="5" s="1"/>
  <c r="T2445" i="5" a="1"/>
  <c r="T2445" i="5" s="1"/>
  <c r="T4920" i="5" a="1"/>
  <c r="T4920" i="5" s="1"/>
  <c r="T681" i="5" a="1"/>
  <c r="T681" i="5" s="1"/>
  <c r="T563" i="5" a="1"/>
  <c r="T563" i="5" s="1"/>
  <c r="T556" i="5" a="1"/>
  <c r="T556" i="5" s="1"/>
  <c r="V86" i="18" s="1"/>
  <c r="T33" i="5" a="1"/>
  <c r="T33" i="5" s="1"/>
  <c r="T31" i="5" a="1"/>
  <c r="T31" i="5" s="1"/>
  <c r="T196" i="5" a="1"/>
  <c r="T196" i="5" s="1"/>
  <c r="T11" i="5" a="1"/>
  <c r="T11" i="5" s="1"/>
  <c r="T265" i="5" a="1"/>
  <c r="T265" i="5" s="1"/>
  <c r="T1585" i="5" a="1"/>
  <c r="T1585" i="5" s="1"/>
  <c r="T259" i="5" a="1"/>
  <c r="T259" i="5" s="1"/>
  <c r="T1583" i="5" a="1"/>
  <c r="T1583" i="5" s="1"/>
  <c r="T5074" i="5" a="1"/>
  <c r="T5074" i="5" s="1"/>
  <c r="T3854" i="5" a="1"/>
  <c r="T3854" i="5" s="1"/>
  <c r="T241" i="5" a="1"/>
  <c r="T241" i="5" s="1"/>
  <c r="T4551" i="5" a="1"/>
  <c r="T4551" i="5" s="1"/>
  <c r="T2378" i="5" a="1"/>
  <c r="T2378" i="5" s="1"/>
  <c r="T4574" i="5" a="1"/>
  <c r="T4574" i="5" s="1"/>
  <c r="T1180" i="5" a="1"/>
  <c r="T1180" i="5" s="1"/>
  <c r="T1170" i="5" a="1"/>
  <c r="T1170" i="5" s="1"/>
  <c r="T498" i="5" a="1"/>
  <c r="T498" i="5" s="1"/>
  <c r="V387" i="18" s="1"/>
  <c r="T5010" i="5" a="1"/>
  <c r="T5010" i="5" s="1"/>
  <c r="T2713" i="5" a="1"/>
  <c r="T2713" i="5" s="1"/>
  <c r="T2455" i="5" a="1"/>
  <c r="T2455" i="5" s="1"/>
  <c r="T1305" i="5" a="1"/>
  <c r="T1305" i="5" s="1"/>
  <c r="T4541" i="5" a="1"/>
  <c r="T4541" i="5" s="1"/>
  <c r="T671" i="5" a="1"/>
  <c r="T671" i="5" s="1"/>
  <c r="V258" i="18" s="1"/>
  <c r="T668" i="5" a="1"/>
  <c r="T668" i="5" s="1"/>
  <c r="T6056" i="5" a="1"/>
  <c r="T6056" i="5" s="1"/>
  <c r="T608" i="5" a="1"/>
  <c r="T608" i="5" s="1"/>
  <c r="V248" i="18" s="1"/>
  <c r="X248" i="18" s="1"/>
  <c r="T448" i="5" a="1"/>
  <c r="T448" i="5" s="1"/>
  <c r="V242" i="18" s="1"/>
  <c r="T432" i="5" a="1"/>
  <c r="T432" i="5" s="1"/>
  <c r="V228" i="18" s="1"/>
  <c r="T183" i="5" a="1"/>
  <c r="T183" i="5" s="1"/>
  <c r="T1190" i="5" a="1"/>
  <c r="T1190" i="5" s="1"/>
  <c r="T172" i="5" a="1"/>
  <c r="T172" i="5" s="1"/>
  <c r="T940" i="5" a="1"/>
  <c r="T940" i="5" s="1"/>
  <c r="T122" i="5" a="1"/>
  <c r="T122" i="5" s="1"/>
  <c r="T1780" i="5" a="1"/>
  <c r="T1780" i="5" s="1"/>
  <c r="T119" i="5" a="1"/>
  <c r="T119" i="5" s="1"/>
  <c r="T1194" i="5" a="1"/>
  <c r="T1194" i="5" s="1"/>
  <c r="T117" i="5" a="1"/>
  <c r="T117" i="5" s="1"/>
  <c r="T2250" i="5" a="1"/>
  <c r="T2250" i="5" s="1"/>
  <c r="T566" i="5" a="1"/>
  <c r="T566" i="5" s="1"/>
  <c r="T4886" i="5" a="1"/>
  <c r="T4886" i="5" s="1"/>
  <c r="T4883" i="5" a="1"/>
  <c r="T4883" i="5" s="1"/>
  <c r="T687" i="5" a="1"/>
  <c r="T687" i="5" s="1"/>
  <c r="T675" i="5" a="1"/>
  <c r="T675" i="5" s="1"/>
  <c r="T4881" i="5" a="1"/>
  <c r="T4881" i="5" s="1"/>
  <c r="T1052" i="5" a="1"/>
  <c r="T1052" i="5" s="1"/>
  <c r="V106" i="18" s="1"/>
  <c r="T503" i="5" a="1"/>
  <c r="T503" i="5" s="1"/>
  <c r="V83" i="18" s="1"/>
  <c r="T501" i="5" a="1"/>
  <c r="T501" i="5" s="1"/>
  <c r="T559" i="5" a="1"/>
  <c r="T559" i="5" s="1"/>
  <c r="T198" i="5" a="1"/>
  <c r="T198" i="5" s="1"/>
  <c r="T28" i="5" a="1"/>
  <c r="T28" i="5" s="1"/>
  <c r="T5084" i="5" a="1"/>
  <c r="T5084" i="5" s="1"/>
  <c r="T252" i="5" a="1"/>
  <c r="T252" i="5" s="1"/>
  <c r="T249" i="5" a="1"/>
  <c r="T249" i="5" s="1"/>
  <c r="T246" i="5" a="1"/>
  <c r="T246" i="5" s="1"/>
  <c r="T233" i="5" a="1"/>
  <c r="T233" i="5" s="1"/>
  <c r="T2393" i="5" a="1"/>
  <c r="T2393" i="5" s="1"/>
  <c r="T2391" i="5" a="1"/>
  <c r="T2391" i="5" s="1"/>
  <c r="T2383" i="5" a="1"/>
  <c r="T2383" i="5" s="1"/>
  <c r="T2381" i="5" a="1"/>
  <c r="T2381" i="5" s="1"/>
  <c r="T2373" i="5" a="1"/>
  <c r="T2373" i="5" s="1"/>
  <c r="T2371" i="5" a="1"/>
  <c r="T2371" i="5" s="1"/>
  <c r="T2320" i="5" a="1"/>
  <c r="T2320" i="5" s="1"/>
  <c r="T1175" i="5" a="1"/>
  <c r="T1175" i="5" s="1"/>
  <c r="T1167" i="5" a="1"/>
  <c r="T1167" i="5" s="1"/>
  <c r="T1165" i="5" a="1"/>
  <c r="T1165" i="5" s="1"/>
  <c r="V394" i="18" s="1"/>
  <c r="T5015" i="5" a="1"/>
  <c r="T5015" i="5" s="1"/>
  <c r="V368" i="18" s="1"/>
  <c r="T5013" i="5" a="1"/>
  <c r="T5013" i="5" s="1"/>
  <c r="T4534" i="5" a="1"/>
  <c r="T4534" i="5" s="1"/>
  <c r="T3964" i="5" a="1"/>
  <c r="T3964" i="5" s="1"/>
  <c r="T3639" i="5" a="1"/>
  <c r="T3639" i="5" s="1"/>
  <c r="T2452" i="5" a="1"/>
  <c r="T2452" i="5" s="1"/>
  <c r="T2450" i="5" a="1"/>
  <c r="T2450" i="5" s="1"/>
  <c r="T1189" i="5" a="1"/>
  <c r="T1189" i="5" s="1"/>
  <c r="V274" i="18" s="1"/>
  <c r="T445" i="5" a="1"/>
  <c r="T445" i="5" s="1"/>
  <c r="V239" i="18" s="1"/>
  <c r="T191" i="5" a="1"/>
  <c r="T191" i="5" s="1"/>
  <c r="T1418" i="5" a="1"/>
  <c r="T1418" i="5" s="1"/>
  <c r="T188" i="5" a="1"/>
  <c r="T188" i="5" s="1"/>
  <c r="T745" i="5" a="1"/>
  <c r="T745" i="5" s="1"/>
  <c r="T180" i="5" a="1"/>
  <c r="T180" i="5" s="1"/>
  <c r="T168" i="5" a="1"/>
  <c r="T168" i="5" s="1"/>
  <c r="T4580" i="5" a="1"/>
  <c r="T4580" i="5" s="1"/>
  <c r="T114" i="5" a="1"/>
  <c r="T114" i="5" s="1"/>
  <c r="T6063" i="5" a="1"/>
  <c r="T6063" i="5" s="1"/>
  <c r="T91" i="5" a="1"/>
  <c r="T91" i="5" s="1"/>
  <c r="V162" i="18" s="1"/>
  <c r="T5331" i="5" a="1"/>
  <c r="T5331" i="5" s="1"/>
  <c r="V139" i="18" s="1"/>
  <c r="X139" i="18" s="1"/>
  <c r="T4919" i="5" a="1"/>
  <c r="T4919" i="5" s="1"/>
  <c r="V137" i="18" s="1"/>
  <c r="X137" i="18" s="1"/>
  <c r="T1894" i="5" a="1"/>
  <c r="T1894" i="5" s="1"/>
  <c r="V132" i="18" s="1"/>
  <c r="T942" i="5" a="1"/>
  <c r="T942" i="5" s="1"/>
  <c r="T680" i="5" a="1"/>
  <c r="T680" i="5" s="1"/>
  <c r="T986" i="5" a="1"/>
  <c r="T986" i="5" s="1"/>
  <c r="T987" i="5" a="1"/>
  <c r="T987" i="5" s="1"/>
  <c r="T3577" i="5" a="1"/>
  <c r="T3577" i="5" s="1"/>
  <c r="T4941" i="5" a="1"/>
  <c r="T4941" i="5" s="1"/>
  <c r="T4888" i="5" a="1"/>
  <c r="T4888" i="5" s="1"/>
  <c r="T5021" i="5" a="1"/>
  <c r="T5021" i="5" s="1"/>
  <c r="T3576" i="5" a="1"/>
  <c r="T3576" i="5" s="1"/>
  <c r="T4885" i="5" a="1"/>
  <c r="T4885" i="5" s="1"/>
  <c r="T580" i="5" a="1"/>
  <c r="T580" i="5" s="1"/>
  <c r="T4878" i="5" a="1"/>
  <c r="T4878" i="5" s="1"/>
  <c r="T615" i="5" a="1"/>
  <c r="T615" i="5" s="1"/>
  <c r="T616" i="5" a="1"/>
  <c r="T616" i="5" s="1"/>
  <c r="T617" i="5" a="1"/>
  <c r="T617" i="5" s="1"/>
  <c r="T689" i="5" a="1"/>
  <c r="T689" i="5" s="1"/>
  <c r="T742" i="5" a="1"/>
  <c r="T742" i="5" s="1"/>
  <c r="V100" i="18" s="1"/>
  <c r="T690" i="5" a="1"/>
  <c r="T690" i="5" s="1"/>
  <c r="T4918" i="5" a="1"/>
  <c r="T4918" i="5" s="1"/>
  <c r="T15" i="5" a="1"/>
  <c r="T15" i="5" s="1"/>
  <c r="T16" i="5" a="1"/>
  <c r="T16" i="5" s="1"/>
  <c r="T3855" i="5" a="1"/>
  <c r="T3855" i="5" s="1"/>
  <c r="T261" i="5" a="1"/>
  <c r="T261" i="5" s="1"/>
  <c r="T243" i="5" a="1"/>
  <c r="T243" i="5" s="1"/>
  <c r="T2388" i="5" a="1"/>
  <c r="T2388" i="5" s="1"/>
  <c r="T2386" i="5" a="1"/>
  <c r="T2386" i="5" s="1"/>
  <c r="T2376" i="5" a="1"/>
  <c r="T2376" i="5" s="1"/>
  <c r="T2368" i="5" a="1"/>
  <c r="T2368" i="5" s="1"/>
  <c r="T2177" i="5" a="1"/>
  <c r="T2177" i="5" s="1"/>
  <c r="V413" i="18" s="1"/>
  <c r="T1182" i="5" a="1"/>
  <c r="T1182" i="5" s="1"/>
  <c r="V411" i="18" s="1"/>
  <c r="T2324" i="5" a="1"/>
  <c r="T2324" i="5" s="1"/>
  <c r="T1172" i="5" a="1"/>
  <c r="T1172" i="5" s="1"/>
  <c r="T578" i="5" a="1"/>
  <c r="T578" i="5" s="1"/>
  <c r="T4056" i="5" a="1"/>
  <c r="T4056" i="5" s="1"/>
  <c r="T5019" i="5" a="1"/>
  <c r="T5019" i="5" s="1"/>
  <c r="V371" i="18" s="1"/>
  <c r="X371" i="18" s="1"/>
  <c r="T5008" i="5" a="1"/>
  <c r="T5008" i="5" s="1"/>
  <c r="T5004" i="5" a="1"/>
  <c r="T5004" i="5" s="1"/>
  <c r="T4992" i="5" a="1"/>
  <c r="T4992" i="5" s="1"/>
  <c r="T2711" i="5" a="1"/>
  <c r="T2711" i="5" s="1"/>
  <c r="T1788" i="5" a="1"/>
  <c r="T1788" i="5" s="1"/>
  <c r="T1785" i="5" a="1"/>
  <c r="T1785" i="5" s="1"/>
  <c r="T1783" i="5" a="1"/>
  <c r="T1783" i="5" s="1"/>
  <c r="V327" i="18" s="1"/>
  <c r="T39" i="5" a="1"/>
  <c r="T39" i="5" s="1"/>
  <c r="T2703" i="5" a="1"/>
  <c r="T2703" i="5" s="1"/>
  <c r="T1744" i="5" a="1"/>
  <c r="T1744" i="5" s="1"/>
  <c r="T1419" i="5" a="1"/>
  <c r="T1419" i="5" s="1"/>
  <c r="T1307" i="5" a="1"/>
  <c r="T1307" i="5" s="1"/>
  <c r="T610" i="5" a="1"/>
  <c r="T610" i="5" s="1"/>
  <c r="V250" i="18" s="1"/>
  <c r="T604" i="5" a="1"/>
  <c r="T604" i="5" s="1"/>
  <c r="T1185" i="5" a="1"/>
  <c r="T1185" i="5" s="1"/>
  <c r="T438" i="5" a="1"/>
  <c r="T438" i="5" s="1"/>
  <c r="T6060" i="5" a="1"/>
  <c r="T6060" i="5" s="1"/>
  <c r="T1740" i="5" a="1"/>
  <c r="T1740" i="5" s="1"/>
  <c r="T435" i="5" a="1"/>
  <c r="T435" i="5" s="1"/>
  <c r="T185" i="5" a="1"/>
  <c r="T185" i="5" s="1"/>
  <c r="T177" i="5" a="1"/>
  <c r="T177" i="5" s="1"/>
  <c r="T124" i="5" a="1"/>
  <c r="T124" i="5" s="1"/>
  <c r="T99" i="5" a="1"/>
  <c r="T99" i="5" s="1"/>
  <c r="T4993" i="5" a="1"/>
  <c r="T4993" i="5" s="1"/>
  <c r="T2557" i="5" a="1"/>
  <c r="T2557" i="5" s="1"/>
  <c r="T434" i="5" a="1"/>
  <c r="T434" i="5" s="1"/>
  <c r="T547" i="5" a="1"/>
  <c r="T547" i="5" s="1"/>
  <c r="T93" i="5" a="1"/>
  <c r="T93" i="5" s="1"/>
  <c r="T75" i="5" a="1"/>
  <c r="T75" i="5" s="1"/>
  <c r="T72" i="5" a="1"/>
  <c r="T72" i="5" s="1"/>
  <c r="T1656" i="5" a="1"/>
  <c r="T1656" i="5" s="1"/>
  <c r="V129" i="18" s="1"/>
  <c r="X129" i="18" s="1"/>
  <c r="T677" i="5" a="1"/>
  <c r="T677" i="5" s="1"/>
  <c r="T4867" i="5" a="1"/>
  <c r="T4867" i="5" s="1"/>
  <c r="T983" i="5" a="1"/>
  <c r="T983" i="5" s="1"/>
  <c r="T944" i="5" a="1"/>
  <c r="T944" i="5" s="1"/>
  <c r="T682" i="5" a="1"/>
  <c r="T682" i="5" s="1"/>
  <c r="V95" i="18" s="1"/>
  <c r="T562" i="5" a="1"/>
  <c r="T562" i="5" s="1"/>
  <c r="T568" i="5" a="1"/>
  <c r="T568" i="5" s="1"/>
  <c r="T558" i="5" a="1"/>
  <c r="T558" i="5" s="1"/>
  <c r="T555" i="5" a="1"/>
  <c r="T555" i="5" s="1"/>
  <c r="V85" i="18" s="1"/>
  <c r="X85" i="18" s="1"/>
  <c r="T21" i="5" a="1"/>
  <c r="T21" i="5" s="1"/>
  <c r="V70" i="18" s="1"/>
  <c r="X70" i="18" s="1"/>
  <c r="T10" i="5" a="1"/>
  <c r="T10" i="5" s="1"/>
  <c r="T5081" i="5" a="1"/>
  <c r="T5081" i="5" s="1"/>
  <c r="T254" i="5" a="1"/>
  <c r="T254" i="5" s="1"/>
  <c r="I463" i="18"/>
  <c r="I456" i="18"/>
  <c r="I16" i="18"/>
  <c r="I458" i="18"/>
  <c r="I15" i="18"/>
  <c r="I440" i="18"/>
  <c r="I410" i="18"/>
  <c r="I400" i="18"/>
  <c r="I299" i="18"/>
  <c r="I289" i="18"/>
  <c r="I280" i="18"/>
  <c r="I246" i="18"/>
  <c r="I238" i="18"/>
  <c r="I235" i="18"/>
  <c r="I224" i="18"/>
  <c r="I213" i="18"/>
  <c r="I174" i="18"/>
  <c r="I161" i="18"/>
  <c r="I158" i="18"/>
  <c r="I155" i="18"/>
  <c r="I148" i="18"/>
  <c r="I141" i="18"/>
  <c r="I121" i="18"/>
  <c r="I110" i="18"/>
  <c r="I91" i="18"/>
  <c r="I72" i="18"/>
  <c r="I41" i="18"/>
  <c r="I462" i="18"/>
  <c r="I277" i="18"/>
  <c r="I255" i="18"/>
  <c r="I234" i="18"/>
  <c r="I231" i="18"/>
  <c r="I171" i="18"/>
  <c r="I88" i="18"/>
  <c r="I71" i="18"/>
  <c r="I307" i="18"/>
  <c r="I217" i="18"/>
  <c r="I199" i="18"/>
  <c r="I193" i="18"/>
  <c r="I127" i="18"/>
  <c r="I117" i="18"/>
  <c r="I79" i="18"/>
  <c r="I455" i="18"/>
  <c r="I398" i="18"/>
  <c r="I263" i="18"/>
  <c r="I233" i="18"/>
  <c r="I230" i="18"/>
  <c r="I170" i="18"/>
  <c r="I167" i="18"/>
  <c r="I164" i="18"/>
  <c r="I119" i="18"/>
  <c r="I108" i="18"/>
  <c r="I87" i="18"/>
  <c r="I443" i="18"/>
  <c r="I403" i="18"/>
  <c r="I270" i="18"/>
  <c r="I241" i="18"/>
  <c r="I189" i="18"/>
  <c r="I187" i="18"/>
  <c r="I116" i="18"/>
  <c r="I102" i="18"/>
  <c r="I80" i="18"/>
  <c r="I78" i="18"/>
  <c r="I32" i="18"/>
  <c r="I461" i="18"/>
  <c r="I453" i="18"/>
  <c r="I430" i="18"/>
  <c r="I420" i="18"/>
  <c r="I388" i="18"/>
  <c r="I383" i="18"/>
  <c r="I362" i="18"/>
  <c r="I350" i="18"/>
  <c r="I341" i="18"/>
  <c r="I335" i="18"/>
  <c r="I328" i="18"/>
  <c r="I301" i="18"/>
  <c r="I278" i="18"/>
  <c r="I251" i="18"/>
  <c r="I249" i="18"/>
  <c r="I221" i="18"/>
  <c r="I184" i="18"/>
  <c r="I172" i="18"/>
  <c r="I138" i="18"/>
  <c r="I131" i="18"/>
  <c r="I113" i="18"/>
  <c r="I97" i="18"/>
  <c r="I74" i="18"/>
  <c r="I64" i="18"/>
  <c r="I44" i="18"/>
  <c r="I23" i="18"/>
  <c r="I450" i="18"/>
  <c r="I447" i="18"/>
  <c r="I433" i="18"/>
  <c r="I425" i="18"/>
  <c r="I417" i="18"/>
  <c r="I407" i="18"/>
  <c r="I405" i="18"/>
  <c r="I397" i="18"/>
  <c r="I385" i="18"/>
  <c r="I367" i="18"/>
  <c r="I365" i="18"/>
  <c r="I353" i="18"/>
  <c r="I345" i="18"/>
  <c r="I319" i="18"/>
  <c r="I311" i="18"/>
  <c r="I308" i="18"/>
  <c r="I296" i="18"/>
  <c r="I294" i="18"/>
  <c r="I275" i="18"/>
  <c r="I262" i="18"/>
  <c r="I253" i="18"/>
  <c r="I243" i="18"/>
  <c r="I229" i="18"/>
  <c r="I218" i="18"/>
  <c r="I194" i="18"/>
  <c r="I191" i="18"/>
  <c r="I169" i="18"/>
  <c r="I163" i="18"/>
  <c r="I145" i="18"/>
  <c r="I128" i="18"/>
  <c r="I126" i="18"/>
  <c r="I118" i="18"/>
  <c r="I107" i="18"/>
  <c r="I94" i="18"/>
  <c r="I84" i="18"/>
  <c r="I69" i="18"/>
  <c r="I61" i="18"/>
  <c r="I59" i="18"/>
  <c r="I56" i="18"/>
  <c r="I34" i="18"/>
  <c r="I28" i="18"/>
  <c r="I459" i="18"/>
  <c r="I442" i="18"/>
  <c r="I438" i="18"/>
  <c r="I428" i="18"/>
  <c r="I422" i="18"/>
  <c r="I414" i="18"/>
  <c r="I412" i="18"/>
  <c r="I402" i="18"/>
  <c r="I392" i="18"/>
  <c r="I390" i="18"/>
  <c r="I375" i="18"/>
  <c r="I370" i="18"/>
  <c r="I360" i="18"/>
  <c r="I358" i="18"/>
  <c r="I356" i="18"/>
  <c r="I348" i="18"/>
  <c r="I339" i="18"/>
  <c r="I337" i="18"/>
  <c r="I332" i="18"/>
  <c r="I330" i="18"/>
  <c r="I326" i="18"/>
  <c r="I324" i="18"/>
  <c r="I305" i="18"/>
  <c r="I303" i="18"/>
  <c r="I291" i="18"/>
  <c r="I286" i="18"/>
  <c r="I272" i="18"/>
  <c r="I240" i="18"/>
  <c r="I226" i="18"/>
  <c r="I215" i="18"/>
  <c r="I186" i="18"/>
  <c r="I133" i="18"/>
  <c r="I123" i="18"/>
  <c r="I115" i="18"/>
  <c r="I104" i="18"/>
  <c r="I101" i="18"/>
  <c r="I99" i="18"/>
  <c r="I81" i="18"/>
  <c r="I77" i="18"/>
  <c r="I66" i="18"/>
  <c r="I50" i="18"/>
  <c r="I25" i="18"/>
  <c r="I454" i="18"/>
  <c r="I452" i="18"/>
  <c r="I431" i="18"/>
  <c r="I419" i="18"/>
  <c r="I409" i="18"/>
  <c r="I399" i="18"/>
  <c r="I387" i="18"/>
  <c r="I363" i="18"/>
  <c r="I351" i="18"/>
  <c r="I342" i="18"/>
  <c r="I298" i="18"/>
  <c r="I258" i="18"/>
  <c r="I248" i="18"/>
  <c r="I237" i="18"/>
  <c r="I220" i="18"/>
  <c r="I212" i="18"/>
  <c r="I176" i="18"/>
  <c r="I173" i="18"/>
  <c r="I165" i="18"/>
  <c r="I160" i="18"/>
  <c r="I157" i="18"/>
  <c r="I150" i="18"/>
  <c r="I147" i="18"/>
  <c r="I142" i="18"/>
  <c r="I130" i="18"/>
  <c r="I120" i="18"/>
  <c r="I109" i="18"/>
  <c r="I96" i="18"/>
  <c r="I90" i="18"/>
  <c r="I86" i="18"/>
  <c r="I73" i="18"/>
  <c r="I63" i="18"/>
  <c r="I54" i="18"/>
  <c r="I46" i="18"/>
  <c r="I40" i="18"/>
  <c r="I22" i="18"/>
  <c r="I446" i="18"/>
  <c r="I444" i="18"/>
  <c r="I436" i="18"/>
  <c r="I434" i="18"/>
  <c r="I426" i="18"/>
  <c r="I424" i="18"/>
  <c r="I416" i="18"/>
  <c r="I404" i="18"/>
  <c r="I396" i="18"/>
  <c r="I394" i="18"/>
  <c r="I368" i="18"/>
  <c r="I366" i="18"/>
  <c r="I354" i="18"/>
  <c r="I346" i="18"/>
  <c r="I318" i="18"/>
  <c r="I313" i="18"/>
  <c r="I310" i="18"/>
  <c r="I295" i="18"/>
  <c r="I293" i="18"/>
  <c r="I274" i="18"/>
  <c r="I242" i="18"/>
  <c r="I228" i="18"/>
  <c r="I206" i="18"/>
  <c r="I190" i="18"/>
  <c r="I188" i="18"/>
  <c r="I135" i="18"/>
  <c r="I125" i="18"/>
  <c r="I106" i="18"/>
  <c r="I83" i="18"/>
  <c r="I75" i="18"/>
  <c r="I68" i="18"/>
  <c r="I60" i="18"/>
  <c r="I33" i="18"/>
  <c r="I30" i="18"/>
  <c r="I27" i="18"/>
  <c r="I13" i="18"/>
  <c r="I460" i="18"/>
  <c r="I441" i="18"/>
  <c r="I439" i="18"/>
  <c r="I429" i="18"/>
  <c r="I421" i="18"/>
  <c r="I413" i="18"/>
  <c r="I411" i="18"/>
  <c r="I401" i="18"/>
  <c r="I389" i="18"/>
  <c r="I377" i="18"/>
  <c r="I371" i="18"/>
  <c r="I361" i="18"/>
  <c r="I357" i="18"/>
  <c r="I349" i="18"/>
  <c r="I340" i="18"/>
  <c r="I336" i="18"/>
  <c r="I331" i="18"/>
  <c r="I329" i="18"/>
  <c r="I327" i="18"/>
  <c r="I323" i="18"/>
  <c r="I304" i="18"/>
  <c r="I302" i="18"/>
  <c r="I300" i="18"/>
  <c r="I290" i="18"/>
  <c r="I281" i="18"/>
  <c r="I279" i="18"/>
  <c r="I250" i="18"/>
  <c r="I239" i="18"/>
  <c r="I225" i="18"/>
  <c r="I222" i="18"/>
  <c r="I214" i="18"/>
  <c r="I202" i="18"/>
  <c r="I185" i="18"/>
  <c r="I162" i="18"/>
  <c r="I139" i="18"/>
  <c r="I137" i="18"/>
  <c r="I132" i="18"/>
  <c r="I122" i="18"/>
  <c r="I114" i="18"/>
  <c r="I111" i="18"/>
  <c r="I100" i="18"/>
  <c r="I98" i="18"/>
  <c r="I65" i="18"/>
  <c r="I51" i="18"/>
  <c r="I42" i="18"/>
  <c r="I24" i="18"/>
  <c r="I451" i="18"/>
  <c r="I448" i="18"/>
  <c r="I432" i="18"/>
  <c r="I418" i="18"/>
  <c r="I408" i="18"/>
  <c r="I406" i="18"/>
  <c r="I386" i="18"/>
  <c r="I364" i="18"/>
  <c r="I352" i="18"/>
  <c r="I343" i="18"/>
  <c r="I320" i="18"/>
  <c r="I297" i="18"/>
  <c r="I276" i="18"/>
  <c r="I260" i="18"/>
  <c r="I257" i="18"/>
  <c r="I254" i="18"/>
  <c r="I244" i="18"/>
  <c r="I219" i="18"/>
  <c r="I211" i="18"/>
  <c r="I195" i="18"/>
  <c r="I146" i="18"/>
  <c r="I143" i="18"/>
  <c r="I129" i="18"/>
  <c r="I95" i="18"/>
  <c r="I89" i="18"/>
  <c r="I85" i="18"/>
  <c r="I70" i="18"/>
  <c r="I62" i="18"/>
  <c r="I57" i="18"/>
  <c r="I55" i="18"/>
  <c r="I53" i="18"/>
  <c r="I35" i="18"/>
  <c r="I445" i="18"/>
  <c r="I437" i="18"/>
  <c r="I435" i="18"/>
  <c r="I427" i="18"/>
  <c r="I423" i="18"/>
  <c r="I415" i="18"/>
  <c r="I395" i="18"/>
  <c r="I393" i="18"/>
  <c r="I391" i="18"/>
  <c r="I369" i="18"/>
  <c r="I359" i="18"/>
  <c r="I355" i="18"/>
  <c r="I347" i="18"/>
  <c r="I338" i="18"/>
  <c r="I333" i="18"/>
  <c r="I325" i="18"/>
  <c r="I314" i="18"/>
  <c r="I306" i="18"/>
  <c r="I292" i="18"/>
  <c r="I287" i="18"/>
  <c r="I273" i="18"/>
  <c r="I227" i="18"/>
  <c r="I216" i="18"/>
  <c r="I207" i="18"/>
  <c r="I198" i="18"/>
  <c r="I134" i="18"/>
  <c r="I124" i="18"/>
  <c r="I105" i="18"/>
  <c r="I82" i="18"/>
  <c r="I76" i="18"/>
  <c r="I67" i="18"/>
  <c r="I26" i="18"/>
  <c r="I12" i="18"/>
  <c r="M383" i="18"/>
  <c r="P383" i="18" s="1"/>
  <c r="M16" i="18"/>
  <c r="P16" i="18" s="1"/>
  <c r="M455" i="18"/>
  <c r="P455" i="18" s="1"/>
  <c r="M371" i="18"/>
  <c r="P371" i="18" s="1"/>
  <c r="M352" i="18"/>
  <c r="P352" i="18" s="1"/>
  <c r="M176" i="18"/>
  <c r="M434" i="18"/>
  <c r="P434" i="18" s="1"/>
  <c r="Q339" i="18"/>
  <c r="M141" i="18"/>
  <c r="M363" i="18"/>
  <c r="P363" i="18" s="1"/>
  <c r="M370" i="18"/>
  <c r="P370" i="18" s="1"/>
  <c r="Q82" i="18"/>
  <c r="Q412" i="18"/>
  <c r="M327" i="18"/>
  <c r="P327" i="18" s="1"/>
  <c r="Q360" i="18"/>
  <c r="Q118" i="18"/>
  <c r="Q460" i="18"/>
  <c r="U460" i="18" s="1"/>
  <c r="Q239" i="18"/>
  <c r="U239" i="18" s="1"/>
  <c r="Q44" i="18"/>
  <c r="U44" i="18" s="1"/>
  <c r="Q414" i="18"/>
  <c r="Q410" i="18"/>
  <c r="Q298" i="18"/>
  <c r="Q431" i="18"/>
  <c r="Q408" i="18"/>
  <c r="Q303" i="18"/>
  <c r="Q128" i="18"/>
  <c r="U128" i="18" s="1"/>
  <c r="Q345" i="18"/>
  <c r="U345" i="18" s="1"/>
  <c r="Q276" i="18"/>
  <c r="Q111" i="18"/>
  <c r="Q350" i="18"/>
  <c r="Q323" i="18"/>
  <c r="Q79" i="18"/>
  <c r="Q12" i="18"/>
  <c r="Q462" i="18"/>
  <c r="Q424" i="18"/>
  <c r="M330" i="18"/>
  <c r="P330" i="18" s="1"/>
  <c r="Q301" i="18"/>
  <c r="Q290" i="18"/>
  <c r="Q302" i="18"/>
  <c r="Q453" i="18"/>
  <c r="Q377" i="18"/>
  <c r="M354" i="18"/>
  <c r="P354" i="18" s="1"/>
  <c r="Q351" i="18"/>
  <c r="Q307" i="18"/>
  <c r="U307" i="18" s="1"/>
  <c r="Q396" i="18"/>
  <c r="Q352" i="18"/>
  <c r="Q340" i="18"/>
  <c r="Q305" i="18"/>
  <c r="U305" i="18" s="1"/>
  <c r="Q456" i="18"/>
  <c r="Q455" i="18"/>
  <c r="U455" i="18" s="1"/>
  <c r="Q448" i="18"/>
  <c r="Q406" i="18"/>
  <c r="Q400" i="18"/>
  <c r="Q397" i="18"/>
  <c r="U397" i="18" s="1"/>
  <c r="M394" i="18"/>
  <c r="Q391" i="18"/>
  <c r="M360" i="18"/>
  <c r="P360" i="18" s="1"/>
  <c r="M314" i="18"/>
  <c r="P314" i="18" s="1"/>
  <c r="Q306" i="18"/>
  <c r="Q281" i="18"/>
  <c r="Q459" i="18"/>
  <c r="U459" i="18" s="1"/>
  <c r="Q457" i="18"/>
  <c r="M339" i="18"/>
  <c r="M303" i="18"/>
  <c r="P303" i="18" s="1"/>
  <c r="Q297" i="18"/>
  <c r="Q296" i="18"/>
  <c r="Q358" i="18"/>
  <c r="Q277" i="18"/>
  <c r="U277" i="18" s="1"/>
  <c r="Q368" i="18"/>
  <c r="Q367" i="18"/>
  <c r="Q359" i="18"/>
  <c r="Q242" i="18"/>
  <c r="Q214" i="18"/>
  <c r="Q195" i="18"/>
  <c r="M188" i="18"/>
  <c r="P188" i="18" s="1"/>
  <c r="Q172" i="18"/>
  <c r="Q161" i="18"/>
  <c r="U161" i="18" s="1"/>
  <c r="Q123" i="18"/>
  <c r="U123" i="18" s="1"/>
  <c r="Q80" i="18"/>
  <c r="Q243" i="18"/>
  <c r="Q176" i="18"/>
  <c r="Q162" i="18"/>
  <c r="Q101" i="18"/>
  <c r="U101" i="18" s="1"/>
  <c r="Q95" i="18"/>
  <c r="U95" i="18" s="1"/>
  <c r="Q86" i="18"/>
  <c r="Q83" i="18"/>
  <c r="Q274" i="18"/>
  <c r="Q253" i="18"/>
  <c r="U253" i="18" s="1"/>
  <c r="Q133" i="18"/>
  <c r="Q106" i="18"/>
  <c r="Q102" i="18"/>
  <c r="Q87" i="18"/>
  <c r="M79" i="18"/>
  <c r="P79" i="18" s="1"/>
  <c r="Q227" i="18"/>
  <c r="Q255" i="18"/>
  <c r="Q148" i="18"/>
  <c r="Q137" i="18"/>
  <c r="Q127" i="18"/>
  <c r="Q186" i="18"/>
  <c r="Q211" i="18"/>
  <c r="Q60" i="18"/>
  <c r="Q190" i="18"/>
  <c r="Q120" i="18"/>
  <c r="Q90" i="18"/>
  <c r="Q440" i="18"/>
  <c r="Q386" i="18"/>
  <c r="Q348" i="18"/>
  <c r="Q463" i="18"/>
  <c r="Q450" i="18"/>
  <c r="Q447" i="18"/>
  <c r="U447" i="18" s="1"/>
  <c r="Q355" i="18"/>
  <c r="Q439" i="18"/>
  <c r="U439" i="18" s="1"/>
  <c r="Q432" i="18"/>
  <c r="M427" i="18"/>
  <c r="P427" i="18" s="1"/>
  <c r="M426" i="18"/>
  <c r="P426" i="18" s="1"/>
  <c r="Q407" i="18"/>
  <c r="U407" i="18" s="1"/>
  <c r="Q405" i="18"/>
  <c r="Q399" i="18"/>
  <c r="Q331" i="18"/>
  <c r="Q392" i="18"/>
  <c r="M439" i="18"/>
  <c r="P439" i="18" s="1"/>
  <c r="Q423" i="18"/>
  <c r="Q413" i="18"/>
  <c r="Q347" i="18"/>
  <c r="M338" i="18"/>
  <c r="P338" i="18" s="1"/>
  <c r="Q401" i="18"/>
  <c r="M461" i="18"/>
  <c r="P461" i="18" s="1"/>
  <c r="M460" i="18"/>
  <c r="P460" i="18" s="1"/>
  <c r="Q445" i="18"/>
  <c r="Q393" i="18"/>
  <c r="M359" i="18"/>
  <c r="P359" i="18" s="1"/>
  <c r="Q327" i="18"/>
  <c r="Q286" i="18"/>
  <c r="Q257" i="18"/>
  <c r="Q189" i="18"/>
  <c r="Q160" i="18"/>
  <c r="Q114" i="18"/>
  <c r="Q84" i="18"/>
  <c r="Q81" i="18"/>
  <c r="Q78" i="18"/>
  <c r="Q55" i="18"/>
  <c r="U55" i="18" s="1"/>
  <c r="Q418" i="18"/>
  <c r="Q404" i="18"/>
  <c r="Q385" i="18"/>
  <c r="M355" i="18"/>
  <c r="P355" i="18" s="1"/>
  <c r="M353" i="18"/>
  <c r="P353" i="18" s="1"/>
  <c r="M351" i="18"/>
  <c r="P351" i="18" s="1"/>
  <c r="M346" i="18"/>
  <c r="P346" i="18" s="1"/>
  <c r="Q329" i="18"/>
  <c r="M325" i="18"/>
  <c r="P325" i="18" s="1"/>
  <c r="Q289" i="18"/>
  <c r="Q287" i="18"/>
  <c r="M279" i="18"/>
  <c r="P279" i="18" s="1"/>
  <c r="M251" i="18"/>
  <c r="P251" i="18" s="1"/>
  <c r="Q249" i="18"/>
  <c r="Q230" i="18"/>
  <c r="Q219" i="18"/>
  <c r="Q213" i="18"/>
  <c r="U213" i="18" s="1"/>
  <c r="Q198" i="18"/>
  <c r="Q184" i="18"/>
  <c r="Q158" i="18"/>
  <c r="Q132" i="18"/>
  <c r="M126" i="18"/>
  <c r="P126" i="18" s="1"/>
  <c r="Q119" i="18"/>
  <c r="U119" i="18" s="1"/>
  <c r="M75" i="18"/>
  <c r="P75" i="18" s="1"/>
  <c r="Q336" i="18"/>
  <c r="Q330" i="18"/>
  <c r="Q273" i="18"/>
  <c r="Q235" i="18"/>
  <c r="Q231" i="18"/>
  <c r="Q164" i="18"/>
  <c r="Q147" i="18"/>
  <c r="U147" i="18" s="1"/>
  <c r="Q143" i="18"/>
  <c r="Q122" i="18"/>
  <c r="Q89" i="18"/>
  <c r="Q23" i="18"/>
  <c r="Q319" i="18"/>
  <c r="U319" i="18" s="1"/>
  <c r="Q233" i="18"/>
  <c r="U233" i="18" s="1"/>
  <c r="Q220" i="18"/>
  <c r="Q206" i="18"/>
  <c r="Q207" i="18"/>
  <c r="M86" i="18"/>
  <c r="P86" i="18" s="1"/>
  <c r="Q74" i="18"/>
  <c r="Q70" i="18"/>
  <c r="Q343" i="18"/>
  <c r="Q294" i="18"/>
  <c r="Q293" i="18"/>
  <c r="U293" i="18" s="1"/>
  <c r="Q278" i="18"/>
  <c r="Q138" i="18"/>
  <c r="Q135" i="18"/>
  <c r="U135" i="18" s="1"/>
  <c r="Q110" i="18"/>
  <c r="Q94" i="18"/>
  <c r="Q72" i="18"/>
  <c r="Q71" i="18"/>
  <c r="Q28" i="18"/>
  <c r="Q328" i="18"/>
  <c r="U328" i="18" s="1"/>
  <c r="Q324" i="18"/>
  <c r="Q251" i="18"/>
  <c r="Q155" i="18"/>
  <c r="M135" i="18"/>
  <c r="Q98" i="18"/>
  <c r="Q75" i="18"/>
  <c r="Q62" i="18"/>
  <c r="Q437" i="18"/>
  <c r="M462" i="18"/>
  <c r="Q454" i="18"/>
  <c r="Q452" i="18"/>
  <c r="Q446" i="18"/>
  <c r="Q444" i="18"/>
  <c r="Q438" i="18"/>
  <c r="Q436" i="18"/>
  <c r="U436" i="18" s="1"/>
  <c r="Q430" i="18"/>
  <c r="Q428" i="18"/>
  <c r="Q422" i="18"/>
  <c r="Q420" i="18"/>
  <c r="M459" i="18"/>
  <c r="P459" i="18" s="1"/>
  <c r="M453" i="18"/>
  <c r="P453" i="18" s="1"/>
  <c r="M438" i="18"/>
  <c r="P438" i="18" s="1"/>
  <c r="M437" i="18"/>
  <c r="P437" i="18" s="1"/>
  <c r="M430" i="18"/>
  <c r="P430" i="18" s="1"/>
  <c r="M429" i="18"/>
  <c r="P429" i="18" s="1"/>
  <c r="Q441" i="18"/>
  <c r="U441" i="18" s="1"/>
  <c r="Q433" i="18"/>
  <c r="Q425" i="18"/>
  <c r="M458" i="18"/>
  <c r="Q442" i="18"/>
  <c r="Q458" i="18"/>
  <c r="Q434" i="18"/>
  <c r="Q389" i="18"/>
  <c r="U389" i="18" s="1"/>
  <c r="Q388" i="18"/>
  <c r="Q426" i="18"/>
  <c r="M463" i="18"/>
  <c r="Q461" i="18"/>
  <c r="M457" i="18"/>
  <c r="P457" i="18" s="1"/>
  <c r="M456" i="18"/>
  <c r="P456" i="18" s="1"/>
  <c r="Q451" i="18"/>
  <c r="Q443" i="18"/>
  <c r="Q435" i="18"/>
  <c r="Q427" i="18"/>
  <c r="M425" i="18"/>
  <c r="P425" i="18" s="1"/>
  <c r="Q419" i="18"/>
  <c r="Q416" i="18"/>
  <c r="Q398" i="18"/>
  <c r="Q394" i="18"/>
  <c r="Q390" i="18"/>
  <c r="Q429" i="18"/>
  <c r="Q421" i="18"/>
  <c r="Q417" i="18"/>
  <c r="Q415" i="18"/>
  <c r="Q411" i="18"/>
  <c r="Q403" i="18"/>
  <c r="Q387" i="18"/>
  <c r="Q371" i="18"/>
  <c r="M365" i="18"/>
  <c r="P365" i="18" s="1"/>
  <c r="M364" i="18"/>
  <c r="P364" i="18" s="1"/>
  <c r="Q354" i="18"/>
  <c r="Q338" i="18"/>
  <c r="Q325" i="18"/>
  <c r="Q320" i="18"/>
  <c r="Q314" i="18"/>
  <c r="Q313" i="18"/>
  <c r="U313" i="18" s="1"/>
  <c r="M300" i="18"/>
  <c r="P300" i="18" s="1"/>
  <c r="Q300" i="18"/>
  <c r="Q299" i="18"/>
  <c r="Q280" i="18"/>
  <c r="Q262" i="18"/>
  <c r="Q260" i="18"/>
  <c r="Q258" i="18"/>
  <c r="U258" i="18" s="1"/>
  <c r="Q225" i="18"/>
  <c r="U225" i="18" s="1"/>
  <c r="Q221" i="18"/>
  <c r="M362" i="18"/>
  <c r="P362" i="18" s="1"/>
  <c r="Q353" i="18"/>
  <c r="M347" i="18"/>
  <c r="P347" i="18" s="1"/>
  <c r="Q337" i="18"/>
  <c r="M326" i="18"/>
  <c r="P326" i="18" s="1"/>
  <c r="Q311" i="18"/>
  <c r="Q308" i="18"/>
  <c r="M287" i="18"/>
  <c r="P287" i="18" s="1"/>
  <c r="Q272" i="18"/>
  <c r="Q263" i="18"/>
  <c r="Q254" i="18"/>
  <c r="Q250" i="18"/>
  <c r="Q246" i="18"/>
  <c r="Q244" i="18"/>
  <c r="Q226" i="18"/>
  <c r="Q369" i="18"/>
  <c r="U369" i="18" s="1"/>
  <c r="Q357" i="18"/>
  <c r="Q342" i="18"/>
  <c r="Q335" i="18"/>
  <c r="Q332" i="18"/>
  <c r="Q318" i="18"/>
  <c r="Q234" i="18"/>
  <c r="Q229" i="18"/>
  <c r="Q383" i="18"/>
  <c r="Q370" i="18"/>
  <c r="Q346" i="18"/>
  <c r="Q333" i="18"/>
  <c r="Q292" i="18"/>
  <c r="Q248" i="18"/>
  <c r="Q395" i="18"/>
  <c r="Q363" i="18"/>
  <c r="Q304" i="18"/>
  <c r="Q295" i="18"/>
  <c r="U295" i="18" s="1"/>
  <c r="Q291" i="18"/>
  <c r="M250" i="18"/>
  <c r="P250" i="18" s="1"/>
  <c r="Q365" i="18"/>
  <c r="U365" i="18" s="1"/>
  <c r="Q356" i="18"/>
  <c r="M333" i="18"/>
  <c r="Q326" i="18"/>
  <c r="Q174" i="18"/>
  <c r="Q366" i="18"/>
  <c r="Q364" i="18"/>
  <c r="Q361" i="18"/>
  <c r="Q187" i="18"/>
  <c r="Q375" i="18"/>
  <c r="Q362" i="18"/>
  <c r="M340" i="18"/>
  <c r="P340" i="18" s="1"/>
  <c r="Q310" i="18"/>
  <c r="Q279" i="18"/>
  <c r="Q275" i="18"/>
  <c r="Q270" i="18"/>
  <c r="Q241" i="18"/>
  <c r="Q238" i="18"/>
  <c r="Q224" i="18"/>
  <c r="Q222" i="18"/>
  <c r="Q216" i="18"/>
  <c r="Q215" i="18"/>
  <c r="Q202" i="18"/>
  <c r="Q199" i="18"/>
  <c r="Q173" i="18"/>
  <c r="Q171" i="18"/>
  <c r="Q167" i="18"/>
  <c r="Q150" i="18"/>
  <c r="Q130" i="18"/>
  <c r="Q77" i="18"/>
  <c r="Q25" i="18"/>
  <c r="Q22" i="18"/>
  <c r="Q13" i="18"/>
  <c r="Q146" i="18"/>
  <c r="Q145" i="18"/>
  <c r="Q115" i="18"/>
  <c r="Q67" i="18"/>
  <c r="Q65" i="18"/>
  <c r="Q61" i="18"/>
  <c r="Q59" i="18"/>
  <c r="Q53" i="18"/>
  <c r="Q51" i="18"/>
  <c r="Q35" i="18"/>
  <c r="Q27" i="18"/>
  <c r="Q26" i="18"/>
  <c r="Q24" i="18"/>
  <c r="M15" i="18"/>
  <c r="P15" i="18" s="1"/>
  <c r="Q139" i="18"/>
  <c r="Q116" i="18"/>
  <c r="Q113" i="18"/>
  <c r="Q107" i="18"/>
  <c r="Q104" i="18"/>
  <c r="U104" i="18" s="1"/>
  <c r="M76" i="18"/>
  <c r="P76" i="18" s="1"/>
  <c r="Q66" i="18"/>
  <c r="Q64" i="18"/>
  <c r="Q57" i="18"/>
  <c r="Q41" i="18"/>
  <c r="Q33" i="18"/>
  <c r="Q30" i="18"/>
  <c r="Q218" i="18"/>
  <c r="Q217" i="18"/>
  <c r="M206" i="18"/>
  <c r="P206" i="18" s="1"/>
  <c r="Q194" i="18"/>
  <c r="Q193" i="18"/>
  <c r="U193" i="18" s="1"/>
  <c r="Q170" i="18"/>
  <c r="Q169" i="18"/>
  <c r="Q141" i="18"/>
  <c r="Q117" i="18"/>
  <c r="U117" i="18" s="1"/>
  <c r="Q108" i="18"/>
  <c r="Q105" i="18"/>
  <c r="Q99" i="18"/>
  <c r="U99" i="18" s="1"/>
  <c r="Q96" i="18"/>
  <c r="Q56" i="18"/>
  <c r="Q50" i="18"/>
  <c r="Q42" i="18"/>
  <c r="Q40" i="18"/>
  <c r="Q34" i="18"/>
  <c r="Q32" i="18"/>
  <c r="Q212" i="18"/>
  <c r="Q191" i="18"/>
  <c r="Q188" i="18"/>
  <c r="Q157" i="18"/>
  <c r="Q142" i="18"/>
  <c r="Q109" i="18"/>
  <c r="Q100" i="18"/>
  <c r="Q97" i="18"/>
  <c r="Q91" i="18"/>
  <c r="Q88" i="18"/>
  <c r="M54" i="18"/>
  <c r="P54" i="18" s="1"/>
  <c r="M50" i="18"/>
  <c r="P50" i="18" s="1"/>
  <c r="Q15" i="18"/>
  <c r="Q131" i="18"/>
  <c r="Q68" i="18"/>
  <c r="Q228" i="18"/>
  <c r="Q165" i="18"/>
  <c r="Q163" i="18"/>
  <c r="M137" i="18"/>
  <c r="P137" i="18" s="1"/>
  <c r="Q134" i="18"/>
  <c r="Q129" i="18"/>
  <c r="Q126" i="18"/>
  <c r="Q125" i="18"/>
  <c r="Q121" i="18"/>
  <c r="M88" i="18"/>
  <c r="Q85" i="18"/>
  <c r="Q76" i="18"/>
  <c r="Q73" i="18"/>
  <c r="Q63" i="18"/>
  <c r="Q54" i="18"/>
  <c r="U54" i="18" s="1"/>
  <c r="Q46" i="18"/>
  <c r="U46" i="18" s="1"/>
  <c r="Q16" i="18"/>
  <c r="Q402" i="18"/>
  <c r="Q409" i="18"/>
  <c r="M356" i="18"/>
  <c r="Q349" i="18"/>
  <c r="Q341" i="18"/>
  <c r="M348" i="18"/>
  <c r="Q237" i="18"/>
  <c r="Q240" i="18"/>
  <c r="Q185" i="18"/>
  <c r="Q124" i="18"/>
  <c r="Q69" i="18"/>
  <c r="D464" i="18"/>
  <c r="V104" i="18" l="1"/>
  <c r="V50" i="18"/>
  <c r="X50" i="18" s="1"/>
  <c r="V445" i="18"/>
  <c r="V134" i="18"/>
  <c r="V80" i="18"/>
  <c r="V416" i="18"/>
  <c r="V107" i="18"/>
  <c r="V331" i="18"/>
  <c r="V146" i="18"/>
  <c r="V57" i="18"/>
  <c r="V191" i="18"/>
  <c r="X191" i="18" s="1"/>
  <c r="V441" i="18"/>
  <c r="V244" i="18"/>
  <c r="V56" i="18"/>
  <c r="V370" i="18"/>
  <c r="X370" i="18" s="1"/>
  <c r="V356" i="18"/>
  <c r="X356" i="18" s="1"/>
  <c r="V450" i="18"/>
  <c r="V367" i="18"/>
  <c r="X367" i="18" s="1"/>
  <c r="V308" i="18"/>
  <c r="V369" i="18"/>
  <c r="V453" i="18"/>
  <c r="X453" i="18" s="1"/>
  <c r="V206" i="18"/>
  <c r="X206" i="18" s="1"/>
  <c r="V188" i="18"/>
  <c r="V135" i="18"/>
  <c r="V172" i="18"/>
  <c r="V142" i="18"/>
  <c r="V22" i="18"/>
  <c r="V452" i="18"/>
  <c r="V110" i="18"/>
  <c r="X94" i="18"/>
  <c r="W4555" i="5"/>
  <c r="W88" i="18"/>
  <c r="X395" i="18"/>
  <c r="X242" i="18"/>
  <c r="X388" i="18"/>
  <c r="V349" i="18"/>
  <c r="X349" i="18" s="1"/>
  <c r="V360" i="18"/>
  <c r="V298" i="18"/>
  <c r="X298" i="18" s="1"/>
  <c r="V207" i="18"/>
  <c r="V184" i="18"/>
  <c r="X184" i="18" s="1"/>
  <c r="V421" i="18"/>
  <c r="V341" i="18"/>
  <c r="V257" i="18"/>
  <c r="V295" i="18"/>
  <c r="V438" i="18"/>
  <c r="X274" i="18" s="1"/>
  <c r="V430" i="18"/>
  <c r="V77" i="18"/>
  <c r="X126" i="18" s="1"/>
  <c r="V361" i="18"/>
  <c r="V436" i="18"/>
  <c r="V431" i="18"/>
  <c r="V221" i="18"/>
  <c r="V426" i="18"/>
  <c r="V25" i="18"/>
  <c r="V306" i="18"/>
  <c r="X306" i="18" s="1"/>
  <c r="V89" i="18"/>
  <c r="V446" i="18"/>
  <c r="V399" i="18"/>
  <c r="V358" i="18"/>
  <c r="X358" i="18" s="1"/>
  <c r="V97" i="18"/>
  <c r="X97" i="18" s="1"/>
  <c r="V125" i="18"/>
  <c r="V90" i="18"/>
  <c r="V123" i="18"/>
  <c r="V12" i="18"/>
  <c r="V451" i="18"/>
  <c r="V425" i="18"/>
  <c r="V339" i="18"/>
  <c r="V143" i="18"/>
  <c r="V433" i="18"/>
  <c r="V428" i="18"/>
  <c r="V340" i="18"/>
  <c r="X99" i="18" s="1"/>
  <c r="V318" i="18"/>
  <c r="V61" i="18"/>
  <c r="V345" i="18"/>
  <c r="V357" i="18"/>
  <c r="V424" i="18"/>
  <c r="V294" i="18"/>
  <c r="X294" i="18" s="1"/>
  <c r="V74" i="18"/>
  <c r="X74" i="18" s="1"/>
  <c r="V435" i="18"/>
  <c r="V365" i="18"/>
  <c r="V301" i="18"/>
  <c r="X106" i="18" s="1"/>
  <c r="V437" i="18"/>
  <c r="V444" i="18"/>
  <c r="V75" i="18"/>
  <c r="X75" i="18" s="1"/>
  <c r="V23" i="18"/>
  <c r="V333" i="18"/>
  <c r="V76" i="18"/>
  <c r="V338" i="18"/>
  <c r="V363" i="18"/>
  <c r="X363" i="18" s="1"/>
  <c r="V347" i="18"/>
  <c r="V297" i="18"/>
  <c r="X297" i="18" s="1"/>
  <c r="V429" i="18"/>
  <c r="V439" i="18"/>
  <c r="V145" i="18"/>
  <c r="X145" i="18" s="1"/>
  <c r="V350" i="18"/>
  <c r="V355" i="18"/>
  <c r="V362" i="18"/>
  <c r="V359" i="18"/>
  <c r="V423" i="18"/>
  <c r="V343" i="18"/>
  <c r="V418" i="18"/>
  <c r="X243" i="18" s="1"/>
  <c r="V422" i="18"/>
  <c r="V44" i="18"/>
  <c r="V427" i="18"/>
  <c r="V352" i="18"/>
  <c r="X352" i="18" s="1"/>
  <c r="V432" i="18"/>
  <c r="V434" i="18"/>
  <c r="V353" i="18"/>
  <c r="V64" i="18"/>
  <c r="V364" i="18"/>
  <c r="V120" i="18"/>
  <c r="X120" i="18" s="1"/>
  <c r="V277" i="18"/>
  <c r="X277" i="18" s="1"/>
  <c r="V117" i="18"/>
  <c r="V115" i="18"/>
  <c r="X115" i="18" s="1"/>
  <c r="V72" i="18"/>
  <c r="X72" i="18" s="1"/>
  <c r="V78" i="18"/>
  <c r="V116" i="18"/>
  <c r="X116" i="18" s="1"/>
  <c r="V91" i="18"/>
  <c r="X91" i="18" s="1"/>
  <c r="V141" i="18"/>
  <c r="X348" i="18" s="1"/>
  <c r="V161" i="18"/>
  <c r="V235" i="18"/>
  <c r="V185" i="18"/>
  <c r="X185" i="18" s="1"/>
  <c r="V234" i="18"/>
  <c r="V79" i="18"/>
  <c r="V190" i="18"/>
  <c r="X190" i="18" s="1"/>
  <c r="V118" i="18"/>
  <c r="X118" i="18" s="1"/>
  <c r="V443" i="18"/>
  <c r="V121" i="18"/>
  <c r="X121" i="18" s="1"/>
  <c r="V155" i="18"/>
  <c r="X155" i="18" s="1"/>
  <c r="V102" i="18"/>
  <c r="X102" i="18" s="1"/>
  <c r="V329" i="18"/>
  <c r="V87" i="18"/>
  <c r="X87" i="18" s="1"/>
  <c r="V114" i="18"/>
  <c r="X114" i="18" s="1"/>
  <c r="V171" i="18"/>
  <c r="U72" i="5"/>
  <c r="W72" i="5" s="1"/>
  <c r="U932" i="5"/>
  <c r="W932" i="5" s="1"/>
  <c r="U1177" i="5"/>
  <c r="W1177" i="5" s="1"/>
  <c r="U3855" i="5"/>
  <c r="W3855" i="5" s="1"/>
  <c r="U4919" i="5"/>
  <c r="W4919" i="5" s="1"/>
  <c r="U445" i="5"/>
  <c r="W445" i="5" s="1"/>
  <c r="U5008" i="5"/>
  <c r="W5008" i="5" s="1"/>
  <c r="U2376" i="5"/>
  <c r="W2376" i="5" s="1"/>
  <c r="U5084" i="5"/>
  <c r="W5084" i="5" s="1"/>
  <c r="U3964" i="5"/>
  <c r="W3964" i="5" s="1"/>
  <c r="U1175" i="5"/>
  <c r="W1175" i="5" s="1"/>
  <c r="U241" i="5"/>
  <c r="W241" i="5" s="1"/>
  <c r="U681" i="5"/>
  <c r="W681" i="5" s="1"/>
  <c r="U671" i="5"/>
  <c r="W671" i="5" s="1"/>
  <c r="U4574" i="5"/>
  <c r="W4574" i="5" s="1"/>
  <c r="U506" i="5"/>
  <c r="W506" i="5" s="1"/>
  <c r="U181" i="5"/>
  <c r="W181" i="5" s="1"/>
  <c r="U2318" i="5"/>
  <c r="W2318" i="5" s="1"/>
  <c r="U5080" i="5"/>
  <c r="W5080" i="5" s="1"/>
  <c r="U688" i="5"/>
  <c r="W688" i="5" s="1"/>
  <c r="U1176" i="5"/>
  <c r="W1176" i="5" s="1"/>
  <c r="U263" i="5"/>
  <c r="W263" i="5" s="1"/>
  <c r="U113" i="5"/>
  <c r="W113" i="5" s="1"/>
  <c r="U2712" i="5"/>
  <c r="W2712" i="5" s="1"/>
  <c r="U2370" i="5"/>
  <c r="W2370" i="5" s="1"/>
  <c r="U1179" i="5"/>
  <c r="W1179" i="5" s="1"/>
  <c r="U5331" i="5"/>
  <c r="W5331" i="5" s="1"/>
  <c r="U610" i="5"/>
  <c r="W610" i="5" s="1"/>
  <c r="U1783" i="5"/>
  <c r="W1783" i="5" s="1"/>
  <c r="U2386" i="5"/>
  <c r="W2386" i="5" s="1"/>
  <c r="U28" i="5"/>
  <c r="W28" i="5" s="1"/>
  <c r="U172" i="5"/>
  <c r="W172" i="5" s="1"/>
  <c r="U4534" i="5"/>
  <c r="W4534" i="5" s="1"/>
  <c r="U2320" i="5"/>
  <c r="W2320" i="5" s="1"/>
  <c r="U2455" i="5"/>
  <c r="W2455" i="5" s="1"/>
  <c r="U2378" i="5"/>
  <c r="W2378" i="5" s="1"/>
  <c r="U741" i="5"/>
  <c r="W741" i="5" s="1"/>
  <c r="U1782" i="5"/>
  <c r="W1782" i="5" s="1"/>
  <c r="U2369" i="5"/>
  <c r="W2369" i="5" s="1"/>
  <c r="U449" i="5"/>
  <c r="W449" i="5" s="1"/>
  <c r="U1178" i="5"/>
  <c r="W1178" i="5" s="1"/>
  <c r="U12" i="5"/>
  <c r="W12" i="5" s="1"/>
  <c r="U187" i="5"/>
  <c r="W187" i="5" s="1"/>
  <c r="U4995" i="5"/>
  <c r="W4995" i="5" s="1"/>
  <c r="U2319" i="5"/>
  <c r="W2319" i="5" s="1"/>
  <c r="U1196" i="5"/>
  <c r="W1196" i="5" s="1"/>
  <c r="U1735" i="5"/>
  <c r="W1735" i="5" s="1"/>
  <c r="U2374" i="5"/>
  <c r="W2374" i="5" s="1"/>
  <c r="U10" i="5"/>
  <c r="W10" i="5" s="1"/>
  <c r="U124" i="5"/>
  <c r="W124" i="5" s="1"/>
  <c r="U2454" i="5"/>
  <c r="W2454" i="5" s="1"/>
  <c r="U4575" i="5"/>
  <c r="W4575" i="5" s="1"/>
  <c r="U91" i="5"/>
  <c r="W91" i="5" s="1"/>
  <c r="U1307" i="5"/>
  <c r="W1307" i="5" s="1"/>
  <c r="U4056" i="5"/>
  <c r="W4056" i="5" s="1"/>
  <c r="U2388" i="5"/>
  <c r="W2388" i="5" s="1"/>
  <c r="U198" i="5"/>
  <c r="W198" i="5" s="1"/>
  <c r="U432" i="5"/>
  <c r="W432" i="5" s="1"/>
  <c r="U2371" i="5"/>
  <c r="W2371" i="5" s="1"/>
  <c r="U102" i="5"/>
  <c r="W102" i="5" s="1"/>
  <c r="U2713" i="5"/>
  <c r="W2713" i="5" s="1"/>
  <c r="U4551" i="5"/>
  <c r="W4551" i="5" s="1"/>
  <c r="U746" i="5"/>
  <c r="W746" i="5" s="1"/>
  <c r="U446" i="5"/>
  <c r="W446" i="5" s="1"/>
  <c r="U1786" i="5"/>
  <c r="W1786" i="5" s="1"/>
  <c r="U5017" i="5"/>
  <c r="W5017" i="5" s="1"/>
  <c r="U2375" i="5"/>
  <c r="W2375" i="5" s="1"/>
  <c r="U9" i="5"/>
  <c r="W9" i="5" s="1"/>
  <c r="U74" i="5"/>
  <c r="W74" i="5" s="1"/>
  <c r="U2716" i="5"/>
  <c r="W2716" i="5" s="1"/>
  <c r="U2321" i="5"/>
  <c r="W2321" i="5" s="1"/>
  <c r="U197" i="5"/>
  <c r="W197" i="5" s="1"/>
  <c r="U609" i="5"/>
  <c r="W609" i="5" s="1"/>
  <c r="U199" i="5"/>
  <c r="W199" i="5" s="1"/>
  <c r="U431" i="5"/>
  <c r="W431" i="5" s="1"/>
  <c r="U1188" i="5"/>
  <c r="W1188" i="5" s="1"/>
  <c r="U1051" i="5"/>
  <c r="W1051" i="5" s="1"/>
  <c r="U2382" i="5"/>
  <c r="W2382" i="5" s="1"/>
  <c r="U21" i="5"/>
  <c r="W21" i="5" s="1"/>
  <c r="U4544" i="5"/>
  <c r="W4544" i="5" s="1"/>
  <c r="U2379" i="5"/>
  <c r="W2379" i="5" s="1"/>
  <c r="U742" i="5"/>
  <c r="W742" i="5" s="1"/>
  <c r="U1419" i="5"/>
  <c r="W1419" i="5" s="1"/>
  <c r="U1788" i="5"/>
  <c r="W1788" i="5" s="1"/>
  <c r="U578" i="5"/>
  <c r="U503" i="5"/>
  <c r="W503" i="5" s="1"/>
  <c r="U448" i="5"/>
  <c r="W448" i="5" s="1"/>
  <c r="U2373" i="5"/>
  <c r="W2373" i="5" s="1"/>
  <c r="U105" i="5"/>
  <c r="W105" i="5" s="1"/>
  <c r="U1050" i="5"/>
  <c r="W1050" i="5" s="1"/>
  <c r="U1187" i="5"/>
  <c r="W1187" i="5" s="1"/>
  <c r="U1789" i="5"/>
  <c r="W1789" i="5" s="1"/>
  <c r="U2385" i="5"/>
  <c r="W2385" i="5" s="1"/>
  <c r="U29" i="5"/>
  <c r="W29" i="5" s="1"/>
  <c r="U4999" i="5"/>
  <c r="W4999" i="5" s="1"/>
  <c r="U2372" i="5"/>
  <c r="W2372" i="5" s="1"/>
  <c r="U684" i="5"/>
  <c r="W684" i="5" s="1"/>
  <c r="U611" i="5"/>
  <c r="W611" i="5" s="1"/>
  <c r="U5361" i="5"/>
  <c r="W5361" i="5" s="1"/>
  <c r="U177" i="5"/>
  <c r="W177" i="5" s="1"/>
  <c r="U2249" i="5"/>
  <c r="W2249" i="5" s="1"/>
  <c r="U2887" i="5"/>
  <c r="W2887" i="5" s="1"/>
  <c r="U2384" i="5"/>
  <c r="W2384" i="5" s="1"/>
  <c r="U555" i="5"/>
  <c r="W555" i="5" s="1"/>
  <c r="U185" i="5"/>
  <c r="W185" i="5" s="1"/>
  <c r="U2714" i="5"/>
  <c r="W2714" i="5" s="1"/>
  <c r="U1744" i="5"/>
  <c r="W1744" i="5" s="1"/>
  <c r="U233" i="5"/>
  <c r="W233" i="5" s="1"/>
  <c r="U1052" i="5"/>
  <c r="W1052" i="5" s="1"/>
  <c r="U1189" i="5"/>
  <c r="W1189" i="5" s="1"/>
  <c r="U5013" i="5"/>
  <c r="W5013" i="5" s="1"/>
  <c r="U2381" i="5"/>
  <c r="W2381" i="5" s="1"/>
  <c r="U11" i="5"/>
  <c r="W11" i="5" s="1"/>
  <c r="U178" i="5"/>
  <c r="W178" i="5" s="1"/>
  <c r="U244" i="5"/>
  <c r="W244" i="5" s="1"/>
  <c r="U1161" i="5"/>
  <c r="W1161" i="5" s="1"/>
  <c r="U794" i="5"/>
  <c r="W794" i="5" s="1"/>
  <c r="U1191" i="5"/>
  <c r="W1191" i="5" s="1"/>
  <c r="U2380" i="5"/>
  <c r="W2380" i="5" s="1"/>
  <c r="U569" i="5"/>
  <c r="W569" i="5" s="1"/>
  <c r="U1306" i="5"/>
  <c r="W1306" i="5" s="1"/>
  <c r="U577" i="5"/>
  <c r="W577" i="5" s="1"/>
  <c r="U2718" i="5"/>
  <c r="W2718" i="5" s="1"/>
  <c r="U1162" i="5"/>
  <c r="W1162" i="5" s="1"/>
  <c r="U2392" i="5"/>
  <c r="W2392" i="5" s="1"/>
  <c r="U562" i="5"/>
  <c r="W562" i="5" s="1"/>
  <c r="U604" i="5"/>
  <c r="W604" i="5" s="1"/>
  <c r="U4997" i="5"/>
  <c r="W4997" i="5" s="1"/>
  <c r="U4550" i="5"/>
  <c r="W4550" i="5" s="1"/>
  <c r="U2711" i="5"/>
  <c r="W2711" i="5" s="1"/>
  <c r="U1182" i="5"/>
  <c r="W1182" i="5" s="1"/>
  <c r="U246" i="5"/>
  <c r="W246" i="5" s="1"/>
  <c r="U687" i="5"/>
  <c r="W687" i="5" s="1"/>
  <c r="U2450" i="5"/>
  <c r="W2450" i="5" s="1"/>
  <c r="U2383" i="5"/>
  <c r="W2383" i="5" s="1"/>
  <c r="U33" i="5"/>
  <c r="W33" i="5" s="1"/>
  <c r="U186" i="5"/>
  <c r="W186" i="5" s="1"/>
  <c r="U498" i="5"/>
  <c r="W498" i="5" s="1"/>
  <c r="U235" i="5"/>
  <c r="W235" i="5" s="1"/>
  <c r="U984" i="5"/>
  <c r="W984" i="5" s="1"/>
  <c r="U2710" i="5"/>
  <c r="W2710" i="5" s="1"/>
  <c r="U1163" i="5"/>
  <c r="W1163" i="5" s="1"/>
  <c r="U683" i="5"/>
  <c r="W683" i="5" s="1"/>
  <c r="U120" i="5"/>
  <c r="W120" i="5" s="1"/>
  <c r="U2451" i="5"/>
  <c r="W2451" i="5" s="1"/>
  <c r="U1658" i="5"/>
  <c r="W1658" i="5" s="1"/>
  <c r="U2882" i="5"/>
  <c r="W2882" i="5" s="1"/>
  <c r="U2367" i="5"/>
  <c r="W2367" i="5" s="1"/>
  <c r="U5081" i="5"/>
  <c r="W5081" i="5" s="1"/>
  <c r="U75" i="5"/>
  <c r="W75" i="5" s="1"/>
  <c r="U685" i="5"/>
  <c r="W685" i="5" s="1"/>
  <c r="U1781" i="5"/>
  <c r="W1781" i="5" s="1"/>
  <c r="U1164" i="5"/>
  <c r="W1164" i="5" s="1"/>
  <c r="U254" i="5"/>
  <c r="W254" i="5" s="1"/>
  <c r="U682" i="5"/>
  <c r="W682" i="5" s="1"/>
  <c r="U614" i="5"/>
  <c r="W614" i="5" s="1"/>
  <c r="U243" i="5"/>
  <c r="W243" i="5" s="1"/>
  <c r="U2177" i="5"/>
  <c r="W2177" i="5" s="1"/>
  <c r="U249" i="5"/>
  <c r="W249" i="5" s="1"/>
  <c r="U2452" i="5"/>
  <c r="W2452" i="5" s="1"/>
  <c r="U1165" i="5"/>
  <c r="W1165" i="5" s="1"/>
  <c r="U2391" i="5"/>
  <c r="W2391" i="5" s="1"/>
  <c r="U556" i="5"/>
  <c r="W556" i="5" s="1"/>
  <c r="U443" i="5"/>
  <c r="W443" i="5" s="1"/>
  <c r="U1170" i="5"/>
  <c r="W1170" i="5" s="1"/>
  <c r="U2248" i="5"/>
  <c r="W2248" i="5" s="1"/>
  <c r="U2720" i="5"/>
  <c r="W2720" i="5" s="1"/>
  <c r="U1173" i="5"/>
  <c r="W1173" i="5" s="1"/>
  <c r="U247" i="5"/>
  <c r="W247" i="5" s="1"/>
  <c r="U1071" i="5"/>
  <c r="W1071" i="5" s="1"/>
  <c r="U2453" i="5"/>
  <c r="W2453" i="5" s="1"/>
  <c r="U500" i="5"/>
  <c r="W500" i="5" s="1"/>
  <c r="U4327" i="5"/>
  <c r="W4327" i="5" s="1"/>
  <c r="U1784" i="5"/>
  <c r="W1784" i="5" s="1"/>
  <c r="U2377" i="5"/>
  <c r="W2377" i="5" s="1"/>
  <c r="U2709" i="5"/>
  <c r="W2709" i="5" s="1"/>
  <c r="U505" i="5"/>
  <c r="W505" i="5" s="1"/>
  <c r="U2449" i="5"/>
  <c r="W2449" i="5" s="1"/>
  <c r="U232" i="5"/>
  <c r="W232" i="5" s="1"/>
  <c r="U245" i="5"/>
  <c r="W245" i="5" s="1"/>
  <c r="U173" i="5"/>
  <c r="W173" i="5" s="1"/>
  <c r="U27" i="5"/>
  <c r="W27" i="5" s="1"/>
  <c r="U182" i="5"/>
  <c r="W182" i="5" s="1"/>
  <c r="U2704" i="5"/>
  <c r="W2704" i="5" s="1"/>
  <c r="U1166" i="5"/>
  <c r="W1166" i="5" s="1"/>
  <c r="U670" i="5"/>
  <c r="W670" i="5" s="1"/>
  <c r="U499" i="5"/>
  <c r="W499" i="5" s="1"/>
  <c r="U261" i="5"/>
  <c r="W261" i="5" s="1"/>
  <c r="U1894" i="5"/>
  <c r="W1894" i="5" s="1"/>
  <c r="U191" i="5"/>
  <c r="W191" i="5" s="1"/>
  <c r="U5004" i="5"/>
  <c r="W5004" i="5" s="1"/>
  <c r="U2368" i="5"/>
  <c r="W2368" i="5" s="1"/>
  <c r="U252" i="5"/>
  <c r="W252" i="5" s="1"/>
  <c r="U117" i="5"/>
  <c r="W117" i="5" s="1"/>
  <c r="U1167" i="5"/>
  <c r="W1167" i="5" s="1"/>
  <c r="U2393" i="5"/>
  <c r="W2393" i="5" s="1"/>
  <c r="U563" i="5"/>
  <c r="W563" i="5" s="1"/>
  <c r="U608" i="5"/>
  <c r="W608" i="5" s="1"/>
  <c r="U1180" i="5"/>
  <c r="W1180" i="5" s="1"/>
  <c r="U200" i="5"/>
  <c r="W200" i="5" s="1"/>
  <c r="U2886" i="5"/>
  <c r="W2886" i="5" s="1"/>
  <c r="U1183" i="5"/>
  <c r="W1183" i="5" s="1"/>
  <c r="U242" i="5"/>
  <c r="W242" i="5" s="1"/>
  <c r="U101" i="5"/>
  <c r="W101" i="5" s="1"/>
  <c r="U2706" i="5"/>
  <c r="W2706" i="5" s="1"/>
  <c r="U4552" i="5"/>
  <c r="W4552" i="5" s="1"/>
  <c r="U16" i="5"/>
  <c r="W16" i="5" s="1"/>
  <c r="U259" i="5"/>
  <c r="W259" i="5" s="1"/>
  <c r="U3854" i="5"/>
  <c r="W3854" i="5" s="1"/>
  <c r="U1583" i="5"/>
  <c r="W1583" i="5" s="1"/>
  <c r="U5074" i="5"/>
  <c r="W5074" i="5" s="1"/>
  <c r="U2445" i="5"/>
  <c r="W2445" i="5" s="1"/>
  <c r="U4920" i="5"/>
  <c r="W4920" i="5" s="1"/>
  <c r="U945" i="5"/>
  <c r="W945" i="5" s="1"/>
  <c r="U430" i="5"/>
  <c r="W430" i="5" s="1"/>
  <c r="U251" i="5"/>
  <c r="W251" i="5" s="1"/>
  <c r="U5070" i="5"/>
  <c r="W5070" i="5" s="1"/>
  <c r="U5085" i="5"/>
  <c r="W5085" i="5" s="1"/>
  <c r="U1421" i="5"/>
  <c r="W1421" i="5" s="1"/>
  <c r="U1014" i="5"/>
  <c r="W1014" i="5" s="1"/>
  <c r="U4536" i="5"/>
  <c r="W4536" i="5" s="1"/>
  <c r="U99" i="5"/>
  <c r="W99" i="5" s="1"/>
  <c r="U4886" i="5"/>
  <c r="W4886" i="5" s="1"/>
  <c r="U566" i="5"/>
  <c r="W566" i="5" s="1"/>
  <c r="U4883" i="5"/>
  <c r="W4883" i="5" s="1"/>
  <c r="U436" i="5"/>
  <c r="W436" i="5" s="1"/>
  <c r="U1777" i="5"/>
  <c r="W1777" i="5" s="1"/>
  <c r="U564" i="5"/>
  <c r="W564" i="5" s="1"/>
  <c r="U988" i="5"/>
  <c r="W988" i="5" s="1"/>
  <c r="U3161" i="5"/>
  <c r="W3161" i="5" s="1"/>
  <c r="U103" i="5"/>
  <c r="W103" i="5" s="1"/>
  <c r="U935" i="5"/>
  <c r="W935" i="5" s="1"/>
  <c r="U3163" i="5"/>
  <c r="W3163" i="5" s="1"/>
  <c r="U2562" i="5"/>
  <c r="W2562" i="5" s="1"/>
  <c r="U4918" i="5"/>
  <c r="W4918" i="5" s="1"/>
  <c r="U690" i="5"/>
  <c r="W690" i="5" s="1"/>
  <c r="U1785" i="5"/>
  <c r="W1785" i="5" s="1"/>
  <c r="U265" i="5"/>
  <c r="W265" i="5" s="1"/>
  <c r="U1585" i="5"/>
  <c r="W1585" i="5" s="1"/>
  <c r="U4868" i="5"/>
  <c r="W4868" i="5" s="1"/>
  <c r="U4884" i="5"/>
  <c r="W4884" i="5" s="1"/>
  <c r="U678" i="5"/>
  <c r="W678" i="5" s="1"/>
  <c r="U4887" i="5"/>
  <c r="W4887" i="5" s="1"/>
  <c r="U613" i="5"/>
  <c r="W613" i="5" s="1"/>
  <c r="U1192" i="5"/>
  <c r="W1192" i="5" s="1"/>
  <c r="U2457" i="5"/>
  <c r="W2457" i="5" s="1"/>
  <c r="U5018" i="5"/>
  <c r="W5018" i="5" s="1"/>
  <c r="U557" i="5"/>
  <c r="W557" i="5" s="1"/>
  <c r="U1174" i="5"/>
  <c r="W1174" i="5" s="1"/>
  <c r="U2326" i="5"/>
  <c r="W2326" i="5" s="1"/>
  <c r="U1740" i="5"/>
  <c r="W1740" i="5" s="1"/>
  <c r="U1780" i="5"/>
  <c r="W1780" i="5" s="1"/>
  <c r="U439" i="5"/>
  <c r="W439" i="5" s="1"/>
  <c r="U4547" i="5"/>
  <c r="W4547" i="5" s="1"/>
  <c r="U943" i="5"/>
  <c r="W943" i="5" s="1"/>
  <c r="U985" i="5"/>
  <c r="W985" i="5" s="1"/>
  <c r="U179" i="5"/>
  <c r="W179" i="5" s="1"/>
  <c r="U744" i="5"/>
  <c r="W744" i="5" s="1"/>
  <c r="U1171" i="5"/>
  <c r="W1171" i="5" s="1"/>
  <c r="U2323" i="5"/>
  <c r="W2323" i="5" s="1"/>
  <c r="U114" i="5"/>
  <c r="W114" i="5" s="1"/>
  <c r="U6063" i="5"/>
  <c r="W6063" i="5" s="1"/>
  <c r="U934" i="5"/>
  <c r="W934" i="5" s="1"/>
  <c r="U2559" i="5"/>
  <c r="W2559" i="5" s="1"/>
  <c r="U504" i="5"/>
  <c r="W504" i="5" s="1"/>
  <c r="U560" i="5"/>
  <c r="W560" i="5" s="1"/>
  <c r="U2390" i="5"/>
  <c r="W2390" i="5" s="1"/>
  <c r="U438" i="5"/>
  <c r="W438" i="5" s="1"/>
  <c r="U1185" i="5"/>
  <c r="W1185" i="5" s="1"/>
  <c r="U6060" i="5"/>
  <c r="W6060" i="5" s="1"/>
  <c r="U940" i="5"/>
  <c r="W940" i="5" s="1"/>
  <c r="U686" i="5"/>
  <c r="W686" i="5" s="1"/>
  <c r="U567" i="5"/>
  <c r="W567" i="5" s="1"/>
  <c r="U679" i="5"/>
  <c r="W679" i="5" s="1"/>
  <c r="U190" i="5"/>
  <c r="W190" i="5" s="1"/>
  <c r="U442" i="5"/>
  <c r="W442" i="5" s="1"/>
  <c r="U4572" i="5"/>
  <c r="W4572" i="5" s="1"/>
  <c r="U1181" i="5"/>
  <c r="W1181" i="5" s="1"/>
  <c r="U615" i="5"/>
  <c r="W615" i="5" s="1"/>
  <c r="U616" i="5"/>
  <c r="W616" i="5" s="1"/>
  <c r="U617" i="5"/>
  <c r="W617" i="5" s="1"/>
  <c r="U689" i="5"/>
  <c r="W689" i="5" s="1"/>
  <c r="U4580" i="5"/>
  <c r="W4580" i="5" s="1"/>
  <c r="U168" i="5"/>
  <c r="W168" i="5" s="1"/>
  <c r="U1172" i="5"/>
  <c r="W1172" i="5" s="1"/>
  <c r="U2324" i="5"/>
  <c r="W2324" i="5" s="1"/>
  <c r="U581" i="5"/>
  <c r="W581" i="5" s="1"/>
  <c r="U4879" i="5"/>
  <c r="W4879" i="5" s="1"/>
  <c r="U4872" i="5"/>
  <c r="W4872" i="5" s="1"/>
  <c r="U1734" i="5"/>
  <c r="W1734" i="5" s="1"/>
  <c r="U6057" i="5"/>
  <c r="W6057" i="5" s="1"/>
  <c r="U2389" i="5"/>
  <c r="W2389" i="5" s="1"/>
  <c r="U1787" i="5"/>
  <c r="W1787" i="5" s="1"/>
  <c r="U5071" i="5"/>
  <c r="W5071" i="5" s="1"/>
  <c r="U98" i="5"/>
  <c r="W98" i="5" s="1"/>
  <c r="U579" i="5"/>
  <c r="W579" i="5" s="1"/>
  <c r="U674" i="5"/>
  <c r="W674" i="5" s="1"/>
  <c r="U4874" i="5"/>
  <c r="W4874" i="5" s="1"/>
  <c r="U558" i="5"/>
  <c r="W558" i="5" s="1"/>
  <c r="U568" i="5"/>
  <c r="W568" i="5" s="1"/>
  <c r="U2564" i="5"/>
  <c r="W2564" i="5" s="1"/>
  <c r="U938" i="5"/>
  <c r="W938" i="5" s="1"/>
  <c r="U1190" i="5"/>
  <c r="W1190" i="5" s="1"/>
  <c r="U183" i="5"/>
  <c r="W183" i="5" s="1"/>
  <c r="U668" i="5"/>
  <c r="W668" i="5" s="1"/>
  <c r="U6056" i="5"/>
  <c r="W6056" i="5" s="1"/>
  <c r="U4882" i="5"/>
  <c r="W4882" i="5" s="1"/>
  <c r="U1195" i="5"/>
  <c r="W1195" i="5" s="1"/>
  <c r="U440" i="5"/>
  <c r="W440" i="5" s="1"/>
  <c r="U2387" i="5"/>
  <c r="W2387" i="5" s="1"/>
  <c r="U580" i="5"/>
  <c r="W580" i="5" s="1"/>
  <c r="U4878" i="5"/>
  <c r="W4878" i="5" s="1"/>
  <c r="U180" i="5"/>
  <c r="W180" i="5" s="1"/>
  <c r="U745" i="5"/>
  <c r="W745" i="5" s="1"/>
  <c r="U76" i="5"/>
  <c r="W76" i="5" s="1"/>
  <c r="U3578" i="5"/>
  <c r="W3578" i="5" s="1"/>
  <c r="U1303" i="5"/>
  <c r="W1303" i="5" s="1"/>
  <c r="U2456" i="5"/>
  <c r="W2456" i="5" s="1"/>
  <c r="U4869" i="5"/>
  <c r="W4869" i="5" s="1"/>
  <c r="U582" i="5"/>
  <c r="W582" i="5" s="1"/>
  <c r="U4880" i="5"/>
  <c r="W4880" i="5" s="1"/>
  <c r="U983" i="5"/>
  <c r="W983" i="5" s="1"/>
  <c r="U944" i="5"/>
  <c r="W944" i="5" s="1"/>
  <c r="U1169" i="5"/>
  <c r="W1169" i="5" s="1"/>
  <c r="U2322" i="5"/>
  <c r="W2322" i="5" s="1"/>
  <c r="U4541" i="5"/>
  <c r="W4541" i="5" s="1"/>
  <c r="U1305" i="5"/>
  <c r="W1305" i="5" s="1"/>
  <c r="U2708" i="5"/>
  <c r="W2708" i="5" s="1"/>
  <c r="U77" i="5"/>
  <c r="W77" i="5" s="1"/>
  <c r="U444" i="5"/>
  <c r="W444" i="5" s="1"/>
  <c r="U3159" i="5"/>
  <c r="W3159" i="5" s="1"/>
  <c r="U987" i="5"/>
  <c r="W987" i="5" s="1"/>
  <c r="U4941" i="5"/>
  <c r="W4941" i="5" s="1"/>
  <c r="U942" i="5"/>
  <c r="W942" i="5" s="1"/>
  <c r="U680" i="5"/>
  <c r="W680" i="5" s="1"/>
  <c r="U986" i="5"/>
  <c r="W986" i="5" s="1"/>
  <c r="U1418" i="5"/>
  <c r="W1418" i="5" s="1"/>
  <c r="U79" i="5"/>
  <c r="W79" i="5" s="1"/>
  <c r="U1776" i="5"/>
  <c r="W1776" i="5" s="1"/>
  <c r="U1070" i="5"/>
  <c r="W1070" i="5" s="1"/>
  <c r="U939" i="5"/>
  <c r="W939" i="5" s="1"/>
  <c r="U116" i="5"/>
  <c r="W116" i="5" s="1"/>
  <c r="U1193" i="5"/>
  <c r="W1193" i="5" s="1"/>
  <c r="U4546" i="5"/>
  <c r="W4546" i="5" s="1"/>
  <c r="U6065" i="5"/>
  <c r="W6065" i="5" s="1"/>
  <c r="U677" i="5"/>
  <c r="W677" i="5" s="1"/>
  <c r="U4867" i="5"/>
  <c r="W4867" i="5" s="1"/>
  <c r="U196" i="5"/>
  <c r="W196" i="5" s="1"/>
  <c r="U31" i="5"/>
  <c r="W31" i="5" s="1"/>
  <c r="U84" i="5"/>
  <c r="W84" i="5" s="1"/>
  <c r="U5405" i="5"/>
  <c r="W5405" i="5" s="1"/>
  <c r="U3330" i="5"/>
  <c r="W3330" i="5" s="1"/>
  <c r="U3961" i="5"/>
  <c r="W3961" i="5" s="1"/>
  <c r="U1736" i="5"/>
  <c r="W1736" i="5" s="1"/>
  <c r="U4539" i="5"/>
  <c r="W4539" i="5" s="1"/>
  <c r="U5406" i="5"/>
  <c r="W5406" i="5" s="1"/>
  <c r="U115" i="5"/>
  <c r="W115" i="5" s="1"/>
  <c r="U4545" i="5"/>
  <c r="W4545" i="5" s="1"/>
  <c r="U6064" i="5"/>
  <c r="W6064" i="5" s="1"/>
  <c r="U253" i="5"/>
  <c r="W253" i="5" s="1"/>
  <c r="U676" i="5"/>
  <c r="W676" i="5" s="1"/>
  <c r="U4875" i="5"/>
  <c r="W4875" i="5" s="1"/>
  <c r="U184" i="5"/>
  <c r="W184" i="5" s="1"/>
  <c r="U4573" i="5"/>
  <c r="W4573" i="5" s="1"/>
  <c r="U2325" i="5"/>
  <c r="W2325" i="5" s="1"/>
  <c r="U1168" i="5"/>
  <c r="W1168" i="5" s="1"/>
  <c r="U937" i="5"/>
  <c r="W937" i="5" s="1"/>
  <c r="U547" i="5"/>
  <c r="W547" i="5" s="1"/>
  <c r="U93" i="5"/>
  <c r="W93" i="5" s="1"/>
  <c r="U501" i="5"/>
  <c r="W501" i="5" s="1"/>
  <c r="U559" i="5"/>
  <c r="W559" i="5" s="1"/>
  <c r="U3853" i="5"/>
  <c r="W3853" i="5" s="1"/>
  <c r="U260" i="5"/>
  <c r="W260" i="5" s="1"/>
  <c r="U1584" i="5"/>
  <c r="W1584" i="5" s="1"/>
  <c r="U5075" i="5"/>
  <c r="W5075" i="5" s="1"/>
  <c r="U1737" i="5"/>
  <c r="W1737" i="5" s="1"/>
  <c r="U4126" i="5"/>
  <c r="W4126" i="5" s="1"/>
  <c r="U1415" i="5"/>
  <c r="W1415" i="5" s="1"/>
  <c r="U2703" i="5"/>
  <c r="W2703" i="5" s="1"/>
  <c r="U119" i="5"/>
  <c r="W119" i="5" s="1"/>
  <c r="U1194" i="5"/>
  <c r="W1194" i="5" s="1"/>
  <c r="U89" i="5"/>
  <c r="U5407" i="5"/>
  <c r="W5407" i="5" s="1"/>
  <c r="U6058" i="5"/>
  <c r="W6058" i="5" s="1"/>
  <c r="U6059" i="5"/>
  <c r="W6059" i="5" s="1"/>
  <c r="U433" i="5"/>
  <c r="W433" i="5" s="1"/>
  <c r="U1738" i="5"/>
  <c r="W1738" i="5" s="1"/>
  <c r="U447" i="5"/>
  <c r="W447" i="5" s="1"/>
  <c r="U2557" i="5"/>
  <c r="W2557" i="5" s="1"/>
  <c r="U434" i="5"/>
  <c r="W434" i="5" s="1"/>
  <c r="U675" i="5"/>
  <c r="W675" i="5" s="1"/>
  <c r="U4881" i="5"/>
  <c r="W4881" i="5" s="1"/>
  <c r="U100" i="5"/>
  <c r="W100" i="5" s="1"/>
  <c r="U1416" i="5"/>
  <c r="W1416" i="5" s="1"/>
  <c r="U22" i="5"/>
  <c r="W22" i="5" s="1"/>
  <c r="U32" i="5"/>
  <c r="W32" i="5" s="1"/>
  <c r="U90" i="5"/>
  <c r="U3162" i="5"/>
  <c r="W3162" i="5" s="1"/>
  <c r="U97" i="18"/>
  <c r="U85" i="18"/>
  <c r="U456" i="18"/>
  <c r="U324" i="18"/>
  <c r="U75" i="18"/>
  <c r="U164" i="18"/>
  <c r="U383" i="18"/>
  <c r="U301" i="18"/>
  <c r="U396" i="18"/>
  <c r="U377" i="18"/>
  <c r="U263" i="18"/>
  <c r="U338" i="18"/>
  <c r="U120" i="18"/>
  <c r="U116" i="18"/>
  <c r="U215" i="18"/>
  <c r="U59" i="18"/>
  <c r="U77" i="18"/>
  <c r="U187" i="18"/>
  <c r="U173" i="18"/>
  <c r="U125" i="18"/>
  <c r="U32" i="18"/>
  <c r="U303" i="18"/>
  <c r="U83" i="18"/>
  <c r="U395" i="18"/>
  <c r="U105" i="18"/>
  <c r="U22" i="18"/>
  <c r="U402" i="18"/>
  <c r="U133" i="18"/>
  <c r="U79" i="18"/>
  <c r="U206" i="18"/>
  <c r="U463" i="18"/>
  <c r="U228" i="18"/>
  <c r="U405" i="18"/>
  <c r="U189" i="18"/>
  <c r="U212" i="18"/>
  <c r="U229" i="18"/>
  <c r="U81" i="18"/>
  <c r="U413" i="18"/>
  <c r="U257" i="18"/>
  <c r="U217" i="18"/>
  <c r="U91" i="18"/>
  <c r="U385" i="18"/>
  <c r="U132" i="18"/>
  <c r="U387" i="18"/>
  <c r="U219" i="18"/>
  <c r="U254" i="18"/>
  <c r="U391" i="18"/>
  <c r="U71" i="18"/>
  <c r="U124" i="18"/>
  <c r="U109" i="18"/>
  <c r="U437" i="18"/>
  <c r="U335" i="18"/>
  <c r="U64" i="18"/>
  <c r="U89" i="18"/>
  <c r="U244" i="18"/>
  <c r="U12" i="18"/>
  <c r="U359" i="18"/>
  <c r="U121" i="18"/>
  <c r="U273" i="18"/>
  <c r="U246" i="18"/>
  <c r="U425" i="18"/>
  <c r="U111" i="18"/>
  <c r="U421" i="18"/>
  <c r="U185" i="18"/>
  <c r="U353" i="18"/>
  <c r="U279" i="18"/>
  <c r="U145" i="18"/>
  <c r="U331" i="18"/>
  <c r="U281" i="18"/>
  <c r="P462" i="18"/>
  <c r="U62" i="18"/>
  <c r="U388" i="18"/>
  <c r="U392" i="18"/>
  <c r="U255" i="18"/>
  <c r="U74" i="18"/>
  <c r="U433" i="18"/>
  <c r="U349" i="18"/>
  <c r="P176" i="18"/>
  <c r="P339" i="18"/>
  <c r="U404" i="18"/>
  <c r="U332" i="18"/>
  <c r="U249" i="18"/>
  <c r="P88" i="18"/>
  <c r="U220" i="18"/>
  <c r="U401" i="18"/>
  <c r="U115" i="18"/>
  <c r="U199" i="18"/>
  <c r="U355" i="18"/>
  <c r="U139" i="18"/>
  <c r="U231" i="18"/>
  <c r="U238" i="18"/>
  <c r="U221" i="18"/>
  <c r="U108" i="18"/>
  <c r="U80" i="18"/>
  <c r="U100" i="18"/>
  <c r="U216" i="18"/>
  <c r="P463" i="18"/>
  <c r="U34" i="18"/>
  <c r="P141" i="18"/>
  <c r="U361" i="18"/>
  <c r="U251" i="18"/>
  <c r="U169" i="18"/>
  <c r="P135" i="18"/>
  <c r="P458" i="18"/>
  <c r="U107" i="18"/>
  <c r="U129" i="18"/>
  <c r="U375" i="18"/>
  <c r="U137" i="18"/>
  <c r="U88" i="18"/>
  <c r="U351" i="18"/>
  <c r="U63" i="18"/>
  <c r="U141" i="18"/>
  <c r="U242" i="18"/>
  <c r="U127" i="18"/>
  <c r="U30" i="18"/>
  <c r="U28" i="18"/>
  <c r="U417" i="18"/>
  <c r="U191" i="18"/>
  <c r="U87" i="18"/>
  <c r="U298" i="18"/>
  <c r="U445" i="18"/>
  <c r="U420" i="18"/>
  <c r="U299" i="18"/>
  <c r="U250" i="18"/>
  <c r="U163" i="18"/>
  <c r="U357" i="18"/>
  <c r="U241" i="18"/>
  <c r="U155" i="18"/>
  <c r="U143" i="18"/>
  <c r="U406" i="18"/>
  <c r="U211" i="18"/>
  <c r="U243" i="18"/>
  <c r="U340" i="18"/>
  <c r="U195" i="18"/>
  <c r="P394" i="18"/>
  <c r="U367" i="18"/>
  <c r="U297" i="18"/>
  <c r="P333" i="18"/>
  <c r="U227" i="18"/>
  <c r="U287" i="18"/>
  <c r="U347" i="18"/>
  <c r="U157" i="18"/>
  <c r="U51" i="18"/>
  <c r="U165" i="18"/>
  <c r="U40" i="18"/>
  <c r="U371" i="18"/>
  <c r="U363" i="18"/>
  <c r="U311" i="18"/>
  <c r="U50" i="18"/>
  <c r="U291" i="18"/>
  <c r="U67" i="18"/>
  <c r="U167" i="18"/>
  <c r="U222" i="18"/>
  <c r="U275" i="18"/>
  <c r="U16" i="18"/>
  <c r="U24" i="18"/>
  <c r="U113" i="18"/>
  <c r="U237" i="18"/>
  <c r="U409" i="18"/>
  <c r="P348" i="18"/>
  <c r="P356" i="18"/>
  <c r="U15" i="18"/>
  <c r="U56" i="18"/>
  <c r="U70" i="18"/>
  <c r="U60" i="18"/>
  <c r="U289" i="18"/>
  <c r="U68" i="18"/>
  <c r="U66" i="18"/>
  <c r="U35" i="18"/>
  <c r="U330" i="18"/>
  <c r="U72" i="18"/>
  <c r="U446" i="18"/>
  <c r="U414" i="18"/>
  <c r="U427" i="18"/>
  <c r="U411" i="18"/>
  <c r="U423" i="18"/>
  <c r="U360" i="18"/>
  <c r="U370" i="18"/>
  <c r="U329" i="18"/>
  <c r="U364" i="18"/>
  <c r="U327" i="18"/>
  <c r="U278" i="18"/>
  <c r="U270" i="18"/>
  <c r="U198" i="18"/>
  <c r="U174" i="18"/>
  <c r="U61" i="18"/>
  <c r="U33" i="18"/>
  <c r="U442" i="18"/>
  <c r="U424" i="18"/>
  <c r="U431" i="18"/>
  <c r="U416" i="18"/>
  <c r="U393" i="18"/>
  <c r="U408" i="18"/>
  <c r="U358" i="18"/>
  <c r="U342" i="18"/>
  <c r="U274" i="18"/>
  <c r="U314" i="18"/>
  <c r="U300" i="18"/>
  <c r="U234" i="18"/>
  <c r="U190" i="18"/>
  <c r="U102" i="18"/>
  <c r="U122" i="18"/>
  <c r="U82" i="18"/>
  <c r="U94" i="18"/>
  <c r="U57" i="18"/>
  <c r="U96" i="18"/>
  <c r="U25" i="18"/>
  <c r="U438" i="18"/>
  <c r="U461" i="18"/>
  <c r="U429" i="18"/>
  <c r="U435" i="18"/>
  <c r="U415" i="18"/>
  <c r="U326" i="18"/>
  <c r="U272" i="18"/>
  <c r="U188" i="18"/>
  <c r="U172" i="18"/>
  <c r="U53" i="18"/>
  <c r="U148" i="18"/>
  <c r="U42" i="18"/>
  <c r="U434" i="18"/>
  <c r="U452" i="18"/>
  <c r="U443" i="18"/>
  <c r="U428" i="18"/>
  <c r="U432" i="18"/>
  <c r="U400" i="18"/>
  <c r="U362" i="18"/>
  <c r="U356" i="18"/>
  <c r="U341" i="18"/>
  <c r="U304" i="18"/>
  <c r="U333" i="18"/>
  <c r="U276" i="18"/>
  <c r="U290" i="18"/>
  <c r="U248" i="18"/>
  <c r="U202" i="18"/>
  <c r="U207" i="18"/>
  <c r="U230" i="18"/>
  <c r="U176" i="18"/>
  <c r="U171" i="18"/>
  <c r="U184" i="18"/>
  <c r="U142" i="18"/>
  <c r="U41" i="18"/>
  <c r="U23" i="18"/>
  <c r="U13" i="18"/>
  <c r="U462" i="18"/>
  <c r="U430" i="18"/>
  <c r="U457" i="18"/>
  <c r="U440" i="18"/>
  <c r="U444" i="18"/>
  <c r="U451" i="18"/>
  <c r="U399" i="18"/>
  <c r="U320" i="18"/>
  <c r="U339" i="18"/>
  <c r="U280" i="18"/>
  <c r="U308" i="18"/>
  <c r="U262" i="18"/>
  <c r="U224" i="18"/>
  <c r="U214" i="18"/>
  <c r="U150" i="18"/>
  <c r="U86" i="18"/>
  <c r="U110" i="18"/>
  <c r="U78" i="18"/>
  <c r="U130" i="18"/>
  <c r="U27" i="18"/>
  <c r="U458" i="18"/>
  <c r="U426" i="18"/>
  <c r="U453" i="18"/>
  <c r="U448" i="18"/>
  <c r="U366" i="18"/>
  <c r="U350" i="18"/>
  <c r="U368" i="18"/>
  <c r="U337" i="18"/>
  <c r="U310" i="18"/>
  <c r="U343" i="18"/>
  <c r="U302" i="18"/>
  <c r="U292" i="18"/>
  <c r="U226" i="18"/>
  <c r="U194" i="18"/>
  <c r="U218" i="18"/>
  <c r="U240" i="18"/>
  <c r="U160" i="18"/>
  <c r="U126" i="18"/>
  <c r="U118" i="18"/>
  <c r="U131" i="18"/>
  <c r="U114" i="18"/>
  <c r="U98" i="18"/>
  <c r="U73" i="18"/>
  <c r="U84" i="18"/>
  <c r="U454" i="18"/>
  <c r="U422" i="18"/>
  <c r="U419" i="18"/>
  <c r="U390" i="18"/>
  <c r="U403" i="18"/>
  <c r="U354" i="18"/>
  <c r="U348" i="18"/>
  <c r="U352" i="18"/>
  <c r="U336" i="18"/>
  <c r="U296" i="18"/>
  <c r="U323" i="18"/>
  <c r="U294" i="18"/>
  <c r="U235" i="18"/>
  <c r="U170" i="18"/>
  <c r="U138" i="18"/>
  <c r="U134" i="18"/>
  <c r="U162" i="18"/>
  <c r="U146" i="18"/>
  <c r="U158" i="18"/>
  <c r="U69" i="18"/>
  <c r="U26" i="18"/>
  <c r="U450" i="18"/>
  <c r="U418" i="18"/>
  <c r="U410" i="18"/>
  <c r="U412" i="18"/>
  <c r="U398" i="18"/>
  <c r="U394" i="18"/>
  <c r="U386" i="18"/>
  <c r="U346" i="18"/>
  <c r="U318" i="18"/>
  <c r="U325" i="18"/>
  <c r="U286" i="18"/>
  <c r="U306" i="18"/>
  <c r="U260" i="18"/>
  <c r="U186" i="18"/>
  <c r="U65" i="18"/>
  <c r="U106" i="18"/>
  <c r="U90" i="18"/>
  <c r="U76" i="18"/>
  <c r="X104" i="18" l="1"/>
  <c r="X244" i="18"/>
  <c r="X331" i="18"/>
  <c r="W89" i="5"/>
  <c r="W90" i="5"/>
  <c r="W578" i="5"/>
  <c r="W462" i="18"/>
  <c r="X426" i="18"/>
  <c r="X295" i="18"/>
  <c r="X188" i="18"/>
  <c r="X339" i="18"/>
  <c r="X107" i="18"/>
  <c r="X301" i="18"/>
  <c r="X88" i="18"/>
  <c r="X332" i="18"/>
  <c r="X318" i="18"/>
  <c r="Y88" i="18"/>
  <c r="AA88" i="18"/>
  <c r="X142" i="18"/>
  <c r="X207" i="18"/>
  <c r="X228" i="18"/>
  <c r="X272" i="18"/>
  <c r="X333" i="18"/>
  <c r="X162" i="18"/>
  <c r="X132" i="18"/>
  <c r="X64" i="18"/>
  <c r="X125" i="18"/>
  <c r="X413" i="18"/>
  <c r="X325" i="18"/>
  <c r="X134" i="18"/>
  <c r="X135" i="18"/>
  <c r="X275" i="18"/>
  <c r="W72" i="18"/>
  <c r="Y72" i="18" s="1"/>
  <c r="W118" i="18"/>
  <c r="Y118" i="18" s="1"/>
  <c r="W121" i="18"/>
  <c r="Y121" i="18" s="1"/>
  <c r="W277" i="18"/>
  <c r="Y277" i="18" s="1"/>
  <c r="W87" i="18"/>
  <c r="Y87" i="18" s="1"/>
  <c r="W117" i="18"/>
  <c r="W94" i="18"/>
  <c r="W388" i="18"/>
  <c r="W106" i="18"/>
  <c r="W97" i="18"/>
  <c r="W272" i="18"/>
  <c r="W242" i="18"/>
  <c r="W70" i="18"/>
  <c r="W74" i="18"/>
  <c r="W75" i="18"/>
  <c r="W64" i="18"/>
  <c r="W99" i="18"/>
  <c r="W184" i="18"/>
  <c r="W348" i="18"/>
  <c r="W295" i="18"/>
  <c r="W278" i="18"/>
  <c r="W425" i="18"/>
  <c r="W104" i="18"/>
  <c r="W101" i="18"/>
  <c r="W371" i="18"/>
  <c r="W55" i="18"/>
  <c r="Y55" i="18" s="1"/>
  <c r="W453" i="18"/>
  <c r="W257" i="18"/>
  <c r="W301" i="18"/>
  <c r="W339" i="18"/>
  <c r="W244" i="18"/>
  <c r="W306" i="18"/>
  <c r="W298" i="18"/>
  <c r="W361" i="18"/>
  <c r="W421" i="18"/>
  <c r="W125" i="18"/>
  <c r="W134" i="18"/>
  <c r="W163" i="18"/>
  <c r="W331" i="18"/>
  <c r="W145" i="18"/>
  <c r="W243" i="18"/>
  <c r="W165" i="18"/>
  <c r="W185" i="18"/>
  <c r="W248" i="18"/>
  <c r="W53" i="18"/>
  <c r="W50" i="18"/>
  <c r="W61" i="18"/>
  <c r="W162" i="18"/>
  <c r="W59" i="18"/>
  <c r="W139" i="18"/>
  <c r="W126" i="18"/>
  <c r="W137" i="18"/>
  <c r="W395" i="18"/>
  <c r="W325" i="18"/>
  <c r="W367" i="18"/>
  <c r="W275" i="18"/>
  <c r="W54" i="18"/>
  <c r="W318" i="18"/>
  <c r="W190" i="18"/>
  <c r="W294" i="18"/>
  <c r="Y294" i="18" s="1"/>
  <c r="W314" i="18"/>
  <c r="Y314" i="18" s="1"/>
  <c r="W84" i="18"/>
  <c r="W426" i="18"/>
  <c r="Y426" i="18" s="1"/>
  <c r="W370" i="18"/>
  <c r="Y370" i="18" s="1"/>
  <c r="W297" i="18"/>
  <c r="Y297" i="18" s="1"/>
  <c r="W206" i="18"/>
  <c r="W423" i="18"/>
  <c r="Y423" i="18" s="1"/>
  <c r="W115" i="18"/>
  <c r="W91" i="18"/>
  <c r="W191" i="18"/>
  <c r="W300" i="18"/>
  <c r="W274" i="18"/>
  <c r="W85" i="18"/>
  <c r="W332" i="18"/>
  <c r="W228" i="18"/>
  <c r="W221" i="18"/>
  <c r="U606" i="5"/>
  <c r="W606" i="5" s="1"/>
  <c r="U435" i="5"/>
  <c r="W435" i="5" s="1"/>
  <c r="U39" i="5"/>
  <c r="W39" i="5" s="1"/>
  <c r="U1657" i="5"/>
  <c r="W1657" i="5" s="1"/>
  <c r="U1258" i="5"/>
  <c r="W1258" i="5" s="1"/>
  <c r="U188" i="5"/>
  <c r="W188" i="5" s="1"/>
  <c r="U502" i="5"/>
  <c r="W502" i="5" s="1"/>
  <c r="U1742" i="5"/>
  <c r="W1742" i="5" s="1"/>
  <c r="U25" i="5"/>
  <c r="W25" i="5" s="1"/>
  <c r="U3639" i="5"/>
  <c r="W3639" i="5" s="1"/>
  <c r="U4873" i="5"/>
  <c r="W4873" i="5" s="1"/>
  <c r="U122" i="5"/>
  <c r="W122" i="5" s="1"/>
  <c r="U15" i="5"/>
  <c r="W15" i="5" s="1"/>
  <c r="F144" i="18"/>
  <c r="F177" i="18"/>
  <c r="F58" i="18"/>
  <c r="F312" i="18"/>
  <c r="E3" i="10"/>
  <c r="L19" i="10"/>
  <c r="L20" i="10"/>
  <c r="L21" i="10"/>
  <c r="L22" i="10"/>
  <c r="L23" i="10"/>
  <c r="L24" i="10"/>
  <c r="L25" i="10"/>
  <c r="L26" i="10"/>
  <c r="F315" i="18"/>
  <c r="F265" i="18"/>
  <c r="L441" i="18"/>
  <c r="K441" i="18"/>
  <c r="L392" i="18"/>
  <c r="K392" i="18"/>
  <c r="L146" i="18"/>
  <c r="K146" i="18"/>
  <c r="L446" i="18"/>
  <c r="K446" i="18"/>
  <c r="L421" i="18"/>
  <c r="K421" i="18"/>
  <c r="L258" i="18"/>
  <c r="K258" i="18"/>
  <c r="L361" i="18"/>
  <c r="K361" i="18"/>
  <c r="L412" i="18"/>
  <c r="K412" i="18"/>
  <c r="L391" i="18"/>
  <c r="K391" i="18"/>
  <c r="L342" i="18"/>
  <c r="K342" i="18"/>
  <c r="L432" i="18"/>
  <c r="K432" i="18"/>
  <c r="H172" i="18"/>
  <c r="H262" i="18"/>
  <c r="H259" i="18"/>
  <c r="L454" i="18"/>
  <c r="K454" i="18"/>
  <c r="L55" i="18"/>
  <c r="K55" i="18"/>
  <c r="L80" i="18"/>
  <c r="K80" i="18"/>
  <c r="L350" i="18"/>
  <c r="K350" i="18"/>
  <c r="L72" i="18"/>
  <c r="K72" i="18"/>
  <c r="L313" i="18"/>
  <c r="K313" i="18"/>
  <c r="L341" i="18"/>
  <c r="K341" i="18"/>
  <c r="L444" i="18"/>
  <c r="K444" i="18"/>
  <c r="L99" i="18"/>
  <c r="K99" i="18"/>
  <c r="L345" i="18"/>
  <c r="K345" i="18"/>
  <c r="L368" i="18"/>
  <c r="K368" i="18"/>
  <c r="L428" i="18"/>
  <c r="K428" i="18"/>
  <c r="L59" i="18"/>
  <c r="K59" i="18"/>
  <c r="L436" i="18"/>
  <c r="K436" i="18"/>
  <c r="Q8142" i="5"/>
  <c r="K8291" i="5"/>
  <c r="L8291" i="5"/>
  <c r="Q8291" i="5"/>
  <c r="R8291" i="5"/>
  <c r="K8182" i="5"/>
  <c r="R8182" i="5"/>
  <c r="K8192" i="5"/>
  <c r="R8192" i="5"/>
  <c r="K8211" i="5"/>
  <c r="R8211" i="5"/>
  <c r="K8212" i="5"/>
  <c r="R8212" i="5"/>
  <c r="K8292" i="5"/>
  <c r="L8292" i="5"/>
  <c r="Q8292" i="5"/>
  <c r="R8292" i="5"/>
  <c r="K8293" i="5"/>
  <c r="L8293" i="5"/>
  <c r="Q8293" i="5"/>
  <c r="R8293" i="5"/>
  <c r="K8294" i="5"/>
  <c r="L8294" i="5"/>
  <c r="Q8294" i="5"/>
  <c r="R8294" i="5"/>
  <c r="K8295" i="5"/>
  <c r="L8295" i="5"/>
  <c r="Q8295" i="5"/>
  <c r="R8295" i="5"/>
  <c r="K8296" i="5"/>
  <c r="L8296" i="5"/>
  <c r="Q8296" i="5"/>
  <c r="R8296" i="5"/>
  <c r="K8297" i="5"/>
  <c r="L8297" i="5"/>
  <c r="Q8297" i="5"/>
  <c r="R8297" i="5"/>
  <c r="K8298" i="5"/>
  <c r="L8298" i="5"/>
  <c r="Q8298" i="5"/>
  <c r="R8298" i="5"/>
  <c r="K8299" i="5"/>
  <c r="L8299" i="5"/>
  <c r="Q8299" i="5"/>
  <c r="R8299" i="5"/>
  <c r="K8300" i="5"/>
  <c r="L8300" i="5"/>
  <c r="Q8300" i="5"/>
  <c r="R8300" i="5"/>
  <c r="K8301" i="5"/>
  <c r="L8301" i="5"/>
  <c r="Q8301" i="5"/>
  <c r="R8301" i="5"/>
  <c r="K8302" i="5"/>
  <c r="L8302" i="5"/>
  <c r="Q8302" i="5"/>
  <c r="R8302" i="5"/>
  <c r="K8303" i="5"/>
  <c r="L8303" i="5"/>
  <c r="Q8303" i="5"/>
  <c r="R8303" i="5"/>
  <c r="K8304" i="5"/>
  <c r="L8304" i="5"/>
  <c r="Q8304" i="5"/>
  <c r="R8304" i="5"/>
  <c r="K8305" i="5"/>
  <c r="L8305" i="5"/>
  <c r="Q8305" i="5"/>
  <c r="R8305" i="5"/>
  <c r="K8306" i="5"/>
  <c r="L8306" i="5"/>
  <c r="Q8306" i="5"/>
  <c r="R8306" i="5"/>
  <c r="K8307" i="5"/>
  <c r="L8307" i="5"/>
  <c r="Q8307" i="5"/>
  <c r="R8307" i="5"/>
  <c r="K8308" i="5"/>
  <c r="L8308" i="5"/>
  <c r="Q8308" i="5"/>
  <c r="R8308" i="5"/>
  <c r="K8309" i="5"/>
  <c r="R8309" i="5"/>
  <c r="Q8310" i="5"/>
  <c r="K8311" i="5"/>
  <c r="L8311" i="5"/>
  <c r="Q8311" i="5"/>
  <c r="R8311" i="5"/>
  <c r="K8312" i="5"/>
  <c r="L8312" i="5"/>
  <c r="Q8312" i="5"/>
  <c r="R8312" i="5"/>
  <c r="K8313" i="5"/>
  <c r="L8313" i="5"/>
  <c r="Q8313" i="5"/>
  <c r="R8313" i="5"/>
  <c r="K8314" i="5"/>
  <c r="L8314" i="5"/>
  <c r="Q8314" i="5"/>
  <c r="R8314" i="5"/>
  <c r="K8315" i="5"/>
  <c r="L8315" i="5"/>
  <c r="Q8315" i="5"/>
  <c r="R8315" i="5"/>
  <c r="K8316" i="5"/>
  <c r="L8316" i="5"/>
  <c r="Q8316" i="5"/>
  <c r="R8316" i="5"/>
  <c r="K8317" i="5"/>
  <c r="L8317" i="5"/>
  <c r="Q8317" i="5"/>
  <c r="R8317" i="5"/>
  <c r="K8318" i="5"/>
  <c r="L8318" i="5"/>
  <c r="Q8318" i="5"/>
  <c r="R8318" i="5"/>
  <c r="K8319" i="5"/>
  <c r="L8319" i="5"/>
  <c r="Q8319" i="5"/>
  <c r="R8319" i="5"/>
  <c r="K8320" i="5"/>
  <c r="L8320" i="5"/>
  <c r="Q8320" i="5"/>
  <c r="R8320" i="5"/>
  <c r="K8321" i="5"/>
  <c r="L8321" i="5"/>
  <c r="Q8321" i="5"/>
  <c r="R8321" i="5"/>
  <c r="K8322" i="5"/>
  <c r="L8322" i="5"/>
  <c r="Q8322" i="5"/>
  <c r="R8322" i="5"/>
  <c r="K8323" i="5"/>
  <c r="L8323" i="5"/>
  <c r="Q8323" i="5"/>
  <c r="R8323" i="5"/>
  <c r="K8324" i="5"/>
  <c r="L8324" i="5"/>
  <c r="Q8324" i="5"/>
  <c r="R8324" i="5"/>
  <c r="K8325" i="5"/>
  <c r="L8325" i="5"/>
  <c r="Q8325" i="5"/>
  <c r="R8325" i="5"/>
  <c r="K8326" i="5"/>
  <c r="L8326" i="5"/>
  <c r="Q8326" i="5"/>
  <c r="R8326" i="5"/>
  <c r="K8327" i="5"/>
  <c r="L8327" i="5"/>
  <c r="Q8327" i="5"/>
  <c r="R8327" i="5"/>
  <c r="K8328" i="5"/>
  <c r="L8328" i="5"/>
  <c r="Q8328" i="5"/>
  <c r="R8328" i="5"/>
  <c r="K8329" i="5"/>
  <c r="L8329" i="5"/>
  <c r="Q8329" i="5"/>
  <c r="R8329" i="5"/>
  <c r="K8330" i="5"/>
  <c r="L8330" i="5"/>
  <c r="Q8330" i="5"/>
  <c r="R8330" i="5"/>
  <c r="K8331" i="5"/>
  <c r="L8331" i="5"/>
  <c r="Q8331" i="5"/>
  <c r="R8331" i="5"/>
  <c r="K8332" i="5"/>
  <c r="L8332" i="5"/>
  <c r="Q8332" i="5"/>
  <c r="R8332" i="5"/>
  <c r="K8333" i="5"/>
  <c r="L8333" i="5"/>
  <c r="Q8333" i="5"/>
  <c r="R8333" i="5"/>
  <c r="K8334" i="5"/>
  <c r="L8334" i="5"/>
  <c r="Q8334" i="5"/>
  <c r="R8334" i="5"/>
  <c r="K8335" i="5"/>
  <c r="L8335" i="5"/>
  <c r="Q8335" i="5"/>
  <c r="R8335" i="5"/>
  <c r="K8336" i="5"/>
  <c r="L8336" i="5"/>
  <c r="Q8336" i="5"/>
  <c r="R8336" i="5"/>
  <c r="K8337" i="5"/>
  <c r="L8337" i="5"/>
  <c r="Q8337" i="5"/>
  <c r="R8337" i="5"/>
  <c r="K8338" i="5"/>
  <c r="L8338" i="5"/>
  <c r="Q8338" i="5"/>
  <c r="R8338" i="5"/>
  <c r="K8339" i="5"/>
  <c r="L8339" i="5"/>
  <c r="Q8339" i="5"/>
  <c r="R8339" i="5"/>
  <c r="K8340" i="5"/>
  <c r="L8340" i="5"/>
  <c r="Q8340" i="5"/>
  <c r="R8340" i="5"/>
  <c r="K8341" i="5"/>
  <c r="L8341" i="5"/>
  <c r="Q8341" i="5"/>
  <c r="R8341" i="5"/>
  <c r="K8342" i="5"/>
  <c r="L8342" i="5"/>
  <c r="Q8342" i="5"/>
  <c r="R8342" i="5"/>
  <c r="K8343" i="5"/>
  <c r="L8343" i="5"/>
  <c r="Q8343" i="5"/>
  <c r="R8343" i="5"/>
  <c r="K8344" i="5"/>
  <c r="L8344" i="5"/>
  <c r="Q8344" i="5"/>
  <c r="R8344" i="5"/>
  <c r="K8345" i="5"/>
  <c r="L8345" i="5"/>
  <c r="Q8345" i="5"/>
  <c r="R8345" i="5"/>
  <c r="K8346" i="5"/>
  <c r="L8346" i="5"/>
  <c r="Q8346" i="5"/>
  <c r="R8346" i="5"/>
  <c r="K8347" i="5"/>
  <c r="L8347" i="5"/>
  <c r="Q8347" i="5"/>
  <c r="R8347" i="5"/>
  <c r="K8348" i="5"/>
  <c r="L8348" i="5"/>
  <c r="Q8348" i="5"/>
  <c r="R8348" i="5"/>
  <c r="K8349" i="5"/>
  <c r="L8349" i="5"/>
  <c r="Q8349" i="5"/>
  <c r="R8349" i="5"/>
  <c r="K8350" i="5"/>
  <c r="L8350" i="5"/>
  <c r="Q8350" i="5"/>
  <c r="R8350" i="5"/>
  <c r="K8351" i="5"/>
  <c r="L8351" i="5"/>
  <c r="Q8351" i="5"/>
  <c r="R8351" i="5"/>
  <c r="K8352" i="5"/>
  <c r="L8352" i="5"/>
  <c r="Q8352" i="5"/>
  <c r="R8352" i="5"/>
  <c r="K8353" i="5"/>
  <c r="L8353" i="5"/>
  <c r="Q8353" i="5"/>
  <c r="R8353" i="5"/>
  <c r="K8354" i="5"/>
  <c r="L8354" i="5"/>
  <c r="Q8354" i="5"/>
  <c r="R8354" i="5"/>
  <c r="K8355" i="5"/>
  <c r="L8355" i="5"/>
  <c r="Q8355" i="5"/>
  <c r="R8355" i="5"/>
  <c r="K8356" i="5"/>
  <c r="L8356" i="5"/>
  <c r="Q8356" i="5"/>
  <c r="R8356" i="5"/>
  <c r="K8357" i="5"/>
  <c r="L8357" i="5"/>
  <c r="Q8357" i="5"/>
  <c r="R8357" i="5"/>
  <c r="K8358" i="5"/>
  <c r="L8358" i="5"/>
  <c r="Q8358" i="5"/>
  <c r="R8358" i="5"/>
  <c r="K8359" i="5"/>
  <c r="L8359" i="5"/>
  <c r="Q8359" i="5"/>
  <c r="R8359" i="5"/>
  <c r="K8360" i="5"/>
  <c r="L8360" i="5"/>
  <c r="Q8360" i="5"/>
  <c r="R8360" i="5"/>
  <c r="K8361" i="5"/>
  <c r="L8361" i="5"/>
  <c r="Q8361" i="5"/>
  <c r="R8361" i="5"/>
  <c r="K8362" i="5"/>
  <c r="L8362" i="5"/>
  <c r="Q8362" i="5"/>
  <c r="R8362" i="5"/>
  <c r="K8363" i="5"/>
  <c r="L8363" i="5"/>
  <c r="Q8363" i="5"/>
  <c r="R8363" i="5"/>
  <c r="K8364" i="5"/>
  <c r="L8364" i="5"/>
  <c r="Q8364" i="5"/>
  <c r="R8364" i="5"/>
  <c r="K8365" i="5"/>
  <c r="L8365" i="5"/>
  <c r="Q8365" i="5"/>
  <c r="R8365" i="5"/>
  <c r="K8366" i="5"/>
  <c r="L8366" i="5"/>
  <c r="Q8366" i="5"/>
  <c r="R8366" i="5"/>
  <c r="K8367" i="5"/>
  <c r="L8367" i="5"/>
  <c r="Q8367" i="5"/>
  <c r="R8367" i="5"/>
  <c r="K8368" i="5"/>
  <c r="L8368" i="5"/>
  <c r="Q8368" i="5"/>
  <c r="R8368" i="5"/>
  <c r="K8369" i="5"/>
  <c r="L8369" i="5"/>
  <c r="Q8369" i="5"/>
  <c r="R8369" i="5"/>
  <c r="K8370" i="5"/>
  <c r="L8370" i="5"/>
  <c r="Q8370" i="5"/>
  <c r="R8370" i="5"/>
  <c r="K8371" i="5"/>
  <c r="L8371" i="5"/>
  <c r="Q8371" i="5"/>
  <c r="R8371" i="5"/>
  <c r="K8372" i="5"/>
  <c r="L8372" i="5"/>
  <c r="Q8372" i="5"/>
  <c r="R8372" i="5"/>
  <c r="K8373" i="5"/>
  <c r="L8373" i="5"/>
  <c r="Q8373" i="5"/>
  <c r="R8373" i="5"/>
  <c r="K8374" i="5"/>
  <c r="L8374" i="5"/>
  <c r="Q8374" i="5"/>
  <c r="R8374" i="5"/>
  <c r="K8375" i="5"/>
  <c r="L8375" i="5"/>
  <c r="Q8375" i="5"/>
  <c r="R8375" i="5"/>
  <c r="K8376" i="5"/>
  <c r="L8376" i="5"/>
  <c r="Q8376" i="5"/>
  <c r="R8376" i="5"/>
  <c r="K8377" i="5"/>
  <c r="L8377" i="5"/>
  <c r="Q8377" i="5"/>
  <c r="R8377" i="5"/>
  <c r="K8378" i="5"/>
  <c r="L8378" i="5"/>
  <c r="Q8378" i="5"/>
  <c r="R8378" i="5"/>
  <c r="K8379" i="5"/>
  <c r="L8379" i="5"/>
  <c r="Q8379" i="5"/>
  <c r="R8379" i="5"/>
  <c r="K8380" i="5"/>
  <c r="L8380" i="5"/>
  <c r="Q8380" i="5"/>
  <c r="R8380" i="5"/>
  <c r="K8381" i="5"/>
  <c r="L8381" i="5"/>
  <c r="Q8381" i="5"/>
  <c r="R8381" i="5"/>
  <c r="K8382" i="5"/>
  <c r="L8382" i="5"/>
  <c r="Q8382" i="5"/>
  <c r="R8382" i="5"/>
  <c r="K8383" i="5"/>
  <c r="L8383" i="5"/>
  <c r="Q8383" i="5"/>
  <c r="R8383" i="5"/>
  <c r="K8384" i="5"/>
  <c r="L8384" i="5"/>
  <c r="Q8384" i="5"/>
  <c r="R8384" i="5"/>
  <c r="K8385" i="5"/>
  <c r="L8385" i="5"/>
  <c r="Q8385" i="5"/>
  <c r="R8385" i="5"/>
  <c r="K8386" i="5"/>
  <c r="L8386" i="5"/>
  <c r="Q8386" i="5"/>
  <c r="R8386" i="5"/>
  <c r="K8387" i="5"/>
  <c r="L8387" i="5"/>
  <c r="Q8387" i="5"/>
  <c r="R8387" i="5"/>
  <c r="K8388" i="5"/>
  <c r="L8388" i="5"/>
  <c r="Q8388" i="5"/>
  <c r="R8388" i="5"/>
  <c r="K8389" i="5"/>
  <c r="L8389" i="5"/>
  <c r="Q8389" i="5"/>
  <c r="R8389" i="5"/>
  <c r="K8390" i="5"/>
  <c r="L8390" i="5"/>
  <c r="Q8390" i="5"/>
  <c r="R8390" i="5"/>
  <c r="K8391" i="5"/>
  <c r="L8391" i="5"/>
  <c r="Q8391" i="5"/>
  <c r="R8391" i="5"/>
  <c r="K8392" i="5"/>
  <c r="L8392" i="5"/>
  <c r="Q8392" i="5"/>
  <c r="R8392" i="5"/>
  <c r="K8393" i="5"/>
  <c r="L8393" i="5"/>
  <c r="Q8393" i="5"/>
  <c r="R8393" i="5"/>
  <c r="K8394" i="5"/>
  <c r="L8394" i="5"/>
  <c r="Q8394" i="5"/>
  <c r="R8394" i="5"/>
  <c r="K8395" i="5"/>
  <c r="L8395" i="5"/>
  <c r="Q8395" i="5"/>
  <c r="R8395" i="5"/>
  <c r="K8396" i="5"/>
  <c r="L8396" i="5"/>
  <c r="Q8396" i="5"/>
  <c r="R8396" i="5"/>
  <c r="K8397" i="5"/>
  <c r="L8397" i="5"/>
  <c r="Q8397" i="5"/>
  <c r="R8397" i="5"/>
  <c r="K8398" i="5"/>
  <c r="L8398" i="5"/>
  <c r="Q8398" i="5"/>
  <c r="R8398" i="5"/>
  <c r="K8399" i="5"/>
  <c r="L8399" i="5"/>
  <c r="Q8399" i="5"/>
  <c r="R8399" i="5"/>
  <c r="K8400" i="5"/>
  <c r="L8400" i="5"/>
  <c r="Q8400" i="5"/>
  <c r="R8400" i="5"/>
  <c r="K8401" i="5"/>
  <c r="L8401" i="5"/>
  <c r="Q8401" i="5"/>
  <c r="R8401" i="5"/>
  <c r="K8402" i="5"/>
  <c r="L8402" i="5"/>
  <c r="Q8402" i="5"/>
  <c r="R8402" i="5"/>
  <c r="K8403" i="5"/>
  <c r="L8403" i="5"/>
  <c r="Q8403" i="5"/>
  <c r="R8403" i="5"/>
  <c r="K8404" i="5"/>
  <c r="L8404" i="5"/>
  <c r="Q8404" i="5"/>
  <c r="R8404" i="5"/>
  <c r="K8405" i="5"/>
  <c r="L8405" i="5"/>
  <c r="Q8405" i="5"/>
  <c r="R8405" i="5"/>
  <c r="K8406" i="5"/>
  <c r="L8406" i="5"/>
  <c r="Q8406" i="5"/>
  <c r="R8406" i="5"/>
  <c r="K8407" i="5"/>
  <c r="L8407" i="5"/>
  <c r="Q8407" i="5"/>
  <c r="R8407" i="5"/>
  <c r="K8408" i="5"/>
  <c r="L8408" i="5"/>
  <c r="Q8408" i="5"/>
  <c r="R8408" i="5"/>
  <c r="K8409" i="5"/>
  <c r="L8409" i="5"/>
  <c r="Q8409" i="5"/>
  <c r="R8409" i="5"/>
  <c r="K8410" i="5"/>
  <c r="L8410" i="5"/>
  <c r="Q8410" i="5"/>
  <c r="R8410" i="5"/>
  <c r="K8411" i="5"/>
  <c r="L8411" i="5"/>
  <c r="Q8411" i="5"/>
  <c r="R8411" i="5"/>
  <c r="K8412" i="5"/>
  <c r="L8412" i="5"/>
  <c r="Q8412" i="5"/>
  <c r="R8412" i="5"/>
  <c r="K8413" i="5"/>
  <c r="L8413" i="5"/>
  <c r="Q8413" i="5"/>
  <c r="R8413" i="5"/>
  <c r="K8414" i="5"/>
  <c r="L8414" i="5"/>
  <c r="Q8414" i="5"/>
  <c r="R8414" i="5"/>
  <c r="K8415" i="5"/>
  <c r="L8415" i="5"/>
  <c r="Q8415" i="5"/>
  <c r="R8415" i="5"/>
  <c r="K8416" i="5"/>
  <c r="L8416" i="5"/>
  <c r="Q8416" i="5"/>
  <c r="R8416" i="5"/>
  <c r="K8417" i="5"/>
  <c r="L8417" i="5"/>
  <c r="Q8417" i="5"/>
  <c r="R8417" i="5"/>
  <c r="K8418" i="5"/>
  <c r="L8418" i="5"/>
  <c r="Q8418" i="5"/>
  <c r="R8418" i="5"/>
  <c r="K8419" i="5"/>
  <c r="L8419" i="5"/>
  <c r="Q8419" i="5"/>
  <c r="R8419" i="5"/>
  <c r="K8420" i="5"/>
  <c r="L8420" i="5"/>
  <c r="Q8420" i="5"/>
  <c r="R8420" i="5"/>
  <c r="K8421" i="5"/>
  <c r="L8421" i="5"/>
  <c r="Q8421" i="5"/>
  <c r="R8421" i="5"/>
  <c r="K8422" i="5"/>
  <c r="L8422" i="5"/>
  <c r="Q8422" i="5"/>
  <c r="R8422" i="5"/>
  <c r="K8423" i="5"/>
  <c r="L8423" i="5"/>
  <c r="Q8423" i="5"/>
  <c r="R8423" i="5"/>
  <c r="K8424" i="5"/>
  <c r="L8424" i="5"/>
  <c r="Q8424" i="5"/>
  <c r="R8424" i="5"/>
  <c r="K8425" i="5"/>
  <c r="L8425" i="5"/>
  <c r="Q8425" i="5"/>
  <c r="R8425" i="5"/>
  <c r="K8426" i="5"/>
  <c r="L8426" i="5"/>
  <c r="Q8426" i="5"/>
  <c r="R8426" i="5"/>
  <c r="K8427" i="5"/>
  <c r="L8427" i="5"/>
  <c r="Q8427" i="5"/>
  <c r="R8427" i="5"/>
  <c r="K8428" i="5"/>
  <c r="L8428" i="5"/>
  <c r="Q8428" i="5"/>
  <c r="R8428" i="5"/>
  <c r="K8429" i="5"/>
  <c r="L8429" i="5"/>
  <c r="Q8429" i="5"/>
  <c r="R8429" i="5"/>
  <c r="K8430" i="5"/>
  <c r="L8430" i="5"/>
  <c r="Q8430" i="5"/>
  <c r="R8430" i="5"/>
  <c r="K8431" i="5"/>
  <c r="L8431" i="5"/>
  <c r="Q8431" i="5"/>
  <c r="R8431" i="5"/>
  <c r="K8432" i="5"/>
  <c r="L8432" i="5"/>
  <c r="Q8432" i="5"/>
  <c r="R8432" i="5"/>
  <c r="K8433" i="5"/>
  <c r="L8433" i="5"/>
  <c r="Q8433" i="5"/>
  <c r="R8433" i="5"/>
  <c r="K8434" i="5"/>
  <c r="L8434" i="5"/>
  <c r="Q8434" i="5"/>
  <c r="R8434" i="5"/>
  <c r="K8435" i="5"/>
  <c r="L8435" i="5"/>
  <c r="Q8435" i="5"/>
  <c r="R8435" i="5"/>
  <c r="K8436" i="5"/>
  <c r="L8436" i="5"/>
  <c r="Q8436" i="5"/>
  <c r="R8436" i="5"/>
  <c r="K8437" i="5"/>
  <c r="L8437" i="5"/>
  <c r="Q8437" i="5"/>
  <c r="R8437" i="5"/>
  <c r="K8438" i="5"/>
  <c r="L8438" i="5"/>
  <c r="Q8438" i="5"/>
  <c r="R8438" i="5"/>
  <c r="K8439" i="5"/>
  <c r="L8439" i="5"/>
  <c r="Q8439" i="5"/>
  <c r="R8439" i="5"/>
  <c r="K8440" i="5"/>
  <c r="L8440" i="5"/>
  <c r="Q8440" i="5"/>
  <c r="R8440" i="5"/>
  <c r="K8441" i="5"/>
  <c r="L8441" i="5"/>
  <c r="Q8441" i="5"/>
  <c r="R8441" i="5"/>
  <c r="K8442" i="5"/>
  <c r="L8442" i="5"/>
  <c r="Q8442" i="5"/>
  <c r="R8442" i="5"/>
  <c r="K8443" i="5"/>
  <c r="L8443" i="5"/>
  <c r="Q8443" i="5"/>
  <c r="R8443" i="5"/>
  <c r="K8444" i="5"/>
  <c r="L8444" i="5"/>
  <c r="Q8444" i="5"/>
  <c r="R8444" i="5"/>
  <c r="K8445" i="5"/>
  <c r="L8445" i="5"/>
  <c r="Q8445" i="5"/>
  <c r="R8445" i="5"/>
  <c r="K8446" i="5"/>
  <c r="L8446" i="5"/>
  <c r="Q8446" i="5"/>
  <c r="R8446" i="5"/>
  <c r="K8447" i="5"/>
  <c r="L8447" i="5"/>
  <c r="Q8447" i="5"/>
  <c r="R8447" i="5"/>
  <c r="K8448" i="5"/>
  <c r="L8448" i="5"/>
  <c r="Q8448" i="5"/>
  <c r="R8448" i="5"/>
  <c r="K8449" i="5"/>
  <c r="L8449" i="5"/>
  <c r="Q8449" i="5"/>
  <c r="R8449" i="5"/>
  <c r="K8450" i="5"/>
  <c r="L8450" i="5"/>
  <c r="Q8450" i="5"/>
  <c r="R8450" i="5"/>
  <c r="K8451" i="5"/>
  <c r="L8451" i="5"/>
  <c r="Q8451" i="5"/>
  <c r="R8451" i="5"/>
  <c r="K8452" i="5"/>
  <c r="L8452" i="5"/>
  <c r="Q8452" i="5"/>
  <c r="R8452" i="5"/>
  <c r="K8453" i="5"/>
  <c r="L8453" i="5"/>
  <c r="Q8453" i="5"/>
  <c r="R8453" i="5"/>
  <c r="K8454" i="5"/>
  <c r="L8454" i="5"/>
  <c r="Q8454" i="5"/>
  <c r="R8454" i="5"/>
  <c r="K8455" i="5"/>
  <c r="L8455" i="5"/>
  <c r="Q8455" i="5"/>
  <c r="R8455" i="5"/>
  <c r="K8456" i="5"/>
  <c r="L8456" i="5"/>
  <c r="Q8456" i="5"/>
  <c r="R8456" i="5"/>
  <c r="K8457" i="5"/>
  <c r="L8457" i="5"/>
  <c r="Q8457" i="5"/>
  <c r="R8457" i="5"/>
  <c r="K8458" i="5"/>
  <c r="L8458" i="5"/>
  <c r="Q8458" i="5"/>
  <c r="R8458" i="5"/>
  <c r="K8459" i="5"/>
  <c r="L8459" i="5"/>
  <c r="Q8459" i="5"/>
  <c r="R8459" i="5"/>
  <c r="K8460" i="5"/>
  <c r="L8460" i="5"/>
  <c r="Q8460" i="5"/>
  <c r="R8460" i="5"/>
  <c r="K8461" i="5"/>
  <c r="L8461" i="5"/>
  <c r="Q8461" i="5"/>
  <c r="R8461" i="5"/>
  <c r="K8462" i="5"/>
  <c r="L8462" i="5"/>
  <c r="Q8462" i="5"/>
  <c r="R8462" i="5"/>
  <c r="K8463" i="5"/>
  <c r="L8463" i="5"/>
  <c r="Q8463" i="5"/>
  <c r="R8463" i="5"/>
  <c r="K8464" i="5"/>
  <c r="L8464" i="5"/>
  <c r="Q8464" i="5"/>
  <c r="R8464" i="5"/>
  <c r="K8465" i="5"/>
  <c r="L8465" i="5"/>
  <c r="Q8465" i="5"/>
  <c r="R8465" i="5"/>
  <c r="K8466" i="5"/>
  <c r="L8466" i="5"/>
  <c r="Q8466" i="5"/>
  <c r="R8466" i="5"/>
  <c r="K8467" i="5"/>
  <c r="L8467" i="5"/>
  <c r="Q8467" i="5"/>
  <c r="R8467" i="5"/>
  <c r="K8468" i="5"/>
  <c r="L8468" i="5"/>
  <c r="Q8468" i="5"/>
  <c r="R8468" i="5"/>
  <c r="K8469" i="5"/>
  <c r="L8469" i="5"/>
  <c r="Q8469" i="5"/>
  <c r="R8469" i="5"/>
  <c r="K8470" i="5"/>
  <c r="L8470" i="5"/>
  <c r="Q8470" i="5"/>
  <c r="R8470" i="5"/>
  <c r="K8471" i="5"/>
  <c r="L8471" i="5"/>
  <c r="Q8471" i="5"/>
  <c r="R8471" i="5"/>
  <c r="K8472" i="5"/>
  <c r="L8472" i="5"/>
  <c r="Q8472" i="5"/>
  <c r="R8472" i="5"/>
  <c r="K8473" i="5"/>
  <c r="L8473" i="5"/>
  <c r="Q8473" i="5"/>
  <c r="R8473" i="5"/>
  <c r="K8474" i="5"/>
  <c r="L8474" i="5"/>
  <c r="Q8474" i="5"/>
  <c r="R8474" i="5"/>
  <c r="K8475" i="5"/>
  <c r="L8475" i="5"/>
  <c r="Q8475" i="5"/>
  <c r="R8475" i="5"/>
  <c r="K8476" i="5"/>
  <c r="L8476" i="5"/>
  <c r="Q8476" i="5"/>
  <c r="R8476" i="5"/>
  <c r="K8477" i="5"/>
  <c r="L8477" i="5"/>
  <c r="Q8477" i="5"/>
  <c r="R8477" i="5"/>
  <c r="K8478" i="5"/>
  <c r="L8478" i="5"/>
  <c r="Q8478" i="5"/>
  <c r="R8478" i="5"/>
  <c r="K8479" i="5"/>
  <c r="L8479" i="5"/>
  <c r="Q8479" i="5"/>
  <c r="R8479" i="5"/>
  <c r="K8480" i="5"/>
  <c r="L8480" i="5"/>
  <c r="Q8480" i="5"/>
  <c r="R8480" i="5"/>
  <c r="K8481" i="5"/>
  <c r="L8481" i="5"/>
  <c r="Q8481" i="5"/>
  <c r="R8481" i="5"/>
  <c r="K8482" i="5"/>
  <c r="L8482" i="5"/>
  <c r="Q8482" i="5"/>
  <c r="R8482" i="5"/>
  <c r="K8483" i="5"/>
  <c r="L8483" i="5"/>
  <c r="Q8483" i="5"/>
  <c r="R8483" i="5"/>
  <c r="K8484" i="5"/>
  <c r="L8484" i="5"/>
  <c r="Q8484" i="5"/>
  <c r="R8484" i="5"/>
  <c r="K8485" i="5"/>
  <c r="L8485" i="5"/>
  <c r="Q8485" i="5"/>
  <c r="R8485" i="5"/>
  <c r="K8486" i="5"/>
  <c r="L8486" i="5"/>
  <c r="Q8486" i="5"/>
  <c r="R8486" i="5"/>
  <c r="K8487" i="5"/>
  <c r="L8487" i="5"/>
  <c r="Q8487" i="5"/>
  <c r="R8487" i="5"/>
  <c r="K8488" i="5"/>
  <c r="L8488" i="5"/>
  <c r="Q8488" i="5"/>
  <c r="R8488" i="5"/>
  <c r="K8489" i="5"/>
  <c r="L8489" i="5"/>
  <c r="Q8489" i="5"/>
  <c r="R8489" i="5"/>
  <c r="K8490" i="5"/>
  <c r="L8490" i="5"/>
  <c r="Q8490" i="5"/>
  <c r="R8490" i="5"/>
  <c r="K8491" i="5"/>
  <c r="L8491" i="5"/>
  <c r="Q8491" i="5"/>
  <c r="R8491" i="5"/>
  <c r="K8492" i="5"/>
  <c r="L8492" i="5"/>
  <c r="Q8492" i="5"/>
  <c r="R8492" i="5"/>
  <c r="K8493" i="5"/>
  <c r="L8493" i="5"/>
  <c r="Q8493" i="5"/>
  <c r="R8493" i="5"/>
  <c r="K8494" i="5"/>
  <c r="L8494" i="5"/>
  <c r="Q8494" i="5"/>
  <c r="R8494" i="5"/>
  <c r="K8495" i="5"/>
  <c r="L8495" i="5"/>
  <c r="Q8495" i="5"/>
  <c r="R8495" i="5"/>
  <c r="K8496" i="5"/>
  <c r="L8496" i="5"/>
  <c r="Q8496" i="5"/>
  <c r="R8496" i="5"/>
  <c r="K8497" i="5"/>
  <c r="L8497" i="5"/>
  <c r="Q8497" i="5"/>
  <c r="R8497" i="5"/>
  <c r="K8498" i="5"/>
  <c r="L8498" i="5"/>
  <c r="Q8498" i="5"/>
  <c r="R8498" i="5"/>
  <c r="K8499" i="5"/>
  <c r="L8499" i="5"/>
  <c r="Q8499" i="5"/>
  <c r="R8499" i="5"/>
  <c r="K8500" i="5"/>
  <c r="L8500" i="5"/>
  <c r="Q8500" i="5"/>
  <c r="R8500" i="5"/>
  <c r="K8501" i="5"/>
  <c r="L8501" i="5"/>
  <c r="Q8501" i="5"/>
  <c r="R8501" i="5"/>
  <c r="K8502" i="5"/>
  <c r="L8502" i="5"/>
  <c r="Q8502" i="5"/>
  <c r="R8502" i="5"/>
  <c r="K8503" i="5"/>
  <c r="L8503" i="5"/>
  <c r="Q8503" i="5"/>
  <c r="R8503" i="5"/>
  <c r="K8504" i="5"/>
  <c r="L8504" i="5"/>
  <c r="Q8504" i="5"/>
  <c r="R8504" i="5"/>
  <c r="K8505" i="5"/>
  <c r="L8505" i="5"/>
  <c r="Q8505" i="5"/>
  <c r="R8505" i="5"/>
  <c r="K8506" i="5"/>
  <c r="L8506" i="5"/>
  <c r="Q8506" i="5"/>
  <c r="R8506" i="5"/>
  <c r="K8507" i="5"/>
  <c r="L8507" i="5"/>
  <c r="Q8507" i="5"/>
  <c r="R8507" i="5"/>
  <c r="K8508" i="5"/>
  <c r="L8508" i="5"/>
  <c r="Q8508" i="5"/>
  <c r="R8508" i="5"/>
  <c r="K8509" i="5"/>
  <c r="L8509" i="5"/>
  <c r="Q8509" i="5"/>
  <c r="R8509" i="5"/>
  <c r="K8510" i="5"/>
  <c r="L8510" i="5"/>
  <c r="Q8510" i="5"/>
  <c r="R8510" i="5"/>
  <c r="K8511" i="5"/>
  <c r="L8511" i="5"/>
  <c r="Q8511" i="5"/>
  <c r="R8511" i="5"/>
  <c r="K8512" i="5"/>
  <c r="L8512" i="5"/>
  <c r="Q8512" i="5"/>
  <c r="R8512" i="5"/>
  <c r="K8513" i="5"/>
  <c r="L8513" i="5"/>
  <c r="Q8513" i="5"/>
  <c r="R8513" i="5"/>
  <c r="K8514" i="5"/>
  <c r="L8514" i="5"/>
  <c r="Q8514" i="5"/>
  <c r="R8514" i="5"/>
  <c r="K8515" i="5"/>
  <c r="L8515" i="5"/>
  <c r="Q8515" i="5"/>
  <c r="R8515" i="5"/>
  <c r="K8516" i="5"/>
  <c r="L8516" i="5"/>
  <c r="Q8516" i="5"/>
  <c r="R8516" i="5"/>
  <c r="K8517" i="5"/>
  <c r="L8517" i="5"/>
  <c r="Q8517" i="5"/>
  <c r="R8517" i="5"/>
  <c r="K8518" i="5"/>
  <c r="L8518" i="5"/>
  <c r="Q8518" i="5"/>
  <c r="R8518" i="5"/>
  <c r="K8519" i="5"/>
  <c r="L8519" i="5"/>
  <c r="Q8519" i="5"/>
  <c r="R8519" i="5"/>
  <c r="K8520" i="5"/>
  <c r="L8520" i="5"/>
  <c r="Q8520" i="5"/>
  <c r="R8520" i="5"/>
  <c r="K8521" i="5"/>
  <c r="L8521" i="5"/>
  <c r="Q8521" i="5"/>
  <c r="R8521" i="5"/>
  <c r="K8522" i="5"/>
  <c r="L8522" i="5"/>
  <c r="Q8522" i="5"/>
  <c r="R8522" i="5"/>
  <c r="K8523" i="5"/>
  <c r="L8523" i="5"/>
  <c r="Q8523" i="5"/>
  <c r="R8523" i="5"/>
  <c r="K8524" i="5"/>
  <c r="L8524" i="5"/>
  <c r="Q8524" i="5"/>
  <c r="R8524" i="5"/>
  <c r="K8525" i="5"/>
  <c r="L8525" i="5"/>
  <c r="Q8525" i="5"/>
  <c r="R8525" i="5"/>
  <c r="K8526" i="5"/>
  <c r="L8526" i="5"/>
  <c r="Q8526" i="5"/>
  <c r="R8526" i="5"/>
  <c r="K8527" i="5"/>
  <c r="L8527" i="5"/>
  <c r="Q8527" i="5"/>
  <c r="R8527" i="5"/>
  <c r="K8528" i="5"/>
  <c r="L8528" i="5"/>
  <c r="Q8528" i="5"/>
  <c r="R8528" i="5"/>
  <c r="K8529" i="5"/>
  <c r="L8529" i="5"/>
  <c r="Q8529" i="5"/>
  <c r="R8529" i="5"/>
  <c r="K8530" i="5"/>
  <c r="L8530" i="5"/>
  <c r="Q8530" i="5"/>
  <c r="R8530" i="5"/>
  <c r="K8531" i="5"/>
  <c r="L8531" i="5"/>
  <c r="Q8531" i="5"/>
  <c r="R8531" i="5"/>
  <c r="K8532" i="5"/>
  <c r="L8532" i="5"/>
  <c r="Q8532" i="5"/>
  <c r="R8532" i="5"/>
  <c r="K8533" i="5"/>
  <c r="L8533" i="5"/>
  <c r="Q8533" i="5"/>
  <c r="R8533" i="5"/>
  <c r="K8534" i="5"/>
  <c r="L8534" i="5"/>
  <c r="Q8534" i="5"/>
  <c r="R8534" i="5"/>
  <c r="K8535" i="5"/>
  <c r="L8535" i="5"/>
  <c r="Q8535" i="5"/>
  <c r="R8535" i="5"/>
  <c r="K8536" i="5"/>
  <c r="L8536" i="5"/>
  <c r="Q8536" i="5"/>
  <c r="R8536" i="5"/>
  <c r="K8537" i="5"/>
  <c r="L8537" i="5"/>
  <c r="Q8537" i="5"/>
  <c r="R8537" i="5"/>
  <c r="K8538" i="5"/>
  <c r="L8538" i="5"/>
  <c r="Q8538" i="5"/>
  <c r="R8538" i="5"/>
  <c r="K8539" i="5"/>
  <c r="L8539" i="5"/>
  <c r="Q8539" i="5"/>
  <c r="R8539" i="5"/>
  <c r="K8540" i="5"/>
  <c r="L8540" i="5"/>
  <c r="Q8540" i="5"/>
  <c r="R8540" i="5"/>
  <c r="K8541" i="5"/>
  <c r="L8541" i="5"/>
  <c r="Q8541" i="5"/>
  <c r="R8541" i="5"/>
  <c r="K8542" i="5"/>
  <c r="L8542" i="5"/>
  <c r="Q8542" i="5"/>
  <c r="R8542" i="5"/>
  <c r="K8543" i="5"/>
  <c r="L8543" i="5"/>
  <c r="Q8543" i="5"/>
  <c r="R8543" i="5"/>
  <c r="K8544" i="5"/>
  <c r="L8544" i="5"/>
  <c r="Q8544" i="5"/>
  <c r="R8544" i="5"/>
  <c r="K8545" i="5"/>
  <c r="L8545" i="5"/>
  <c r="Q8545" i="5"/>
  <c r="R8545" i="5"/>
  <c r="K8546" i="5"/>
  <c r="L8546" i="5"/>
  <c r="Q8546" i="5"/>
  <c r="R8546" i="5"/>
  <c r="K8547" i="5"/>
  <c r="L8547" i="5"/>
  <c r="Q8547" i="5"/>
  <c r="R8547" i="5"/>
  <c r="K8548" i="5"/>
  <c r="L8548" i="5"/>
  <c r="Q8548" i="5"/>
  <c r="R8548" i="5"/>
  <c r="K8549" i="5"/>
  <c r="L8549" i="5"/>
  <c r="Q8549" i="5"/>
  <c r="R8549" i="5"/>
  <c r="K8550" i="5"/>
  <c r="L8550" i="5"/>
  <c r="Q8550" i="5"/>
  <c r="R8550" i="5"/>
  <c r="K8551" i="5"/>
  <c r="L8551" i="5"/>
  <c r="Q8551" i="5"/>
  <c r="R8551" i="5"/>
  <c r="K8552" i="5"/>
  <c r="L8552" i="5"/>
  <c r="Q8552" i="5"/>
  <c r="R8552" i="5"/>
  <c r="K8553" i="5"/>
  <c r="L8553" i="5"/>
  <c r="Q8553" i="5"/>
  <c r="R8553" i="5"/>
  <c r="K8554" i="5"/>
  <c r="L8554" i="5"/>
  <c r="Q8554" i="5"/>
  <c r="R8554" i="5"/>
  <c r="K8555" i="5"/>
  <c r="L8555" i="5"/>
  <c r="Q8555" i="5"/>
  <c r="R8555" i="5"/>
  <c r="K8556" i="5"/>
  <c r="L8556" i="5"/>
  <c r="Q8556" i="5"/>
  <c r="R8556" i="5"/>
  <c r="K8557" i="5"/>
  <c r="L8557" i="5"/>
  <c r="Q8557" i="5"/>
  <c r="R8557" i="5"/>
  <c r="K8558" i="5"/>
  <c r="L8558" i="5"/>
  <c r="Q8558" i="5"/>
  <c r="R8558" i="5"/>
  <c r="K8559" i="5"/>
  <c r="L8559" i="5"/>
  <c r="Q8559" i="5"/>
  <c r="R8559" i="5"/>
  <c r="K8560" i="5"/>
  <c r="L8560" i="5"/>
  <c r="Q8560" i="5"/>
  <c r="R8560" i="5"/>
  <c r="K8561" i="5"/>
  <c r="L8561" i="5"/>
  <c r="Q8561" i="5"/>
  <c r="R8561" i="5"/>
  <c r="K8562" i="5"/>
  <c r="L8562" i="5"/>
  <c r="Q8562" i="5"/>
  <c r="R8562" i="5"/>
  <c r="K8563" i="5"/>
  <c r="L8563" i="5"/>
  <c r="Q8563" i="5"/>
  <c r="R8563" i="5"/>
  <c r="K8564" i="5"/>
  <c r="L8564" i="5"/>
  <c r="Q8564" i="5"/>
  <c r="R8564" i="5"/>
  <c r="K8565" i="5"/>
  <c r="L8565" i="5"/>
  <c r="Q8565" i="5"/>
  <c r="R8565" i="5"/>
  <c r="K8566" i="5"/>
  <c r="L8566" i="5"/>
  <c r="Q8566" i="5"/>
  <c r="R8566" i="5"/>
  <c r="K8567" i="5"/>
  <c r="L8567" i="5"/>
  <c r="Q8567" i="5"/>
  <c r="R8567" i="5"/>
  <c r="K8568" i="5"/>
  <c r="L8568" i="5"/>
  <c r="Q8568" i="5"/>
  <c r="R8568" i="5"/>
  <c r="K8569" i="5"/>
  <c r="L8569" i="5"/>
  <c r="Q8569" i="5"/>
  <c r="R8569" i="5"/>
  <c r="K8570" i="5"/>
  <c r="L8570" i="5"/>
  <c r="Q8570" i="5"/>
  <c r="R8570" i="5"/>
  <c r="K8571" i="5"/>
  <c r="L8571" i="5"/>
  <c r="Q8571" i="5"/>
  <c r="R8571" i="5"/>
  <c r="K8572" i="5"/>
  <c r="L8572" i="5"/>
  <c r="Q8572" i="5"/>
  <c r="R8572" i="5"/>
  <c r="K8573" i="5"/>
  <c r="L8573" i="5"/>
  <c r="Q8573" i="5"/>
  <c r="R8573" i="5"/>
  <c r="K8574" i="5"/>
  <c r="L8574" i="5"/>
  <c r="Q8574" i="5"/>
  <c r="R8574" i="5"/>
  <c r="K8575" i="5"/>
  <c r="L8575" i="5"/>
  <c r="Q8575" i="5"/>
  <c r="R8575" i="5"/>
  <c r="K8576" i="5"/>
  <c r="L8576" i="5"/>
  <c r="Q8576" i="5"/>
  <c r="R8576" i="5"/>
  <c r="K8577" i="5"/>
  <c r="L8577" i="5"/>
  <c r="Q8577" i="5"/>
  <c r="R8577" i="5"/>
  <c r="K8578" i="5"/>
  <c r="L8578" i="5"/>
  <c r="Q8578" i="5"/>
  <c r="R8578" i="5"/>
  <c r="K8579" i="5"/>
  <c r="L8579" i="5"/>
  <c r="Q8579" i="5"/>
  <c r="R8579" i="5"/>
  <c r="K8580" i="5"/>
  <c r="L8580" i="5"/>
  <c r="Q8580" i="5"/>
  <c r="R8580" i="5"/>
  <c r="K8581" i="5"/>
  <c r="L8581" i="5"/>
  <c r="Q8581" i="5"/>
  <c r="R8581" i="5"/>
  <c r="K8582" i="5"/>
  <c r="L8582" i="5"/>
  <c r="Q8582" i="5"/>
  <c r="R8582" i="5"/>
  <c r="K8583" i="5"/>
  <c r="L8583" i="5"/>
  <c r="Q8583" i="5"/>
  <c r="R8583" i="5"/>
  <c r="K8584" i="5"/>
  <c r="L8584" i="5"/>
  <c r="Q8584" i="5"/>
  <c r="R8584" i="5"/>
  <c r="K8585" i="5"/>
  <c r="L8585" i="5"/>
  <c r="Q8585" i="5"/>
  <c r="R8585" i="5"/>
  <c r="K8586" i="5"/>
  <c r="L8586" i="5"/>
  <c r="Q8586" i="5"/>
  <c r="R8586" i="5"/>
  <c r="K8587" i="5"/>
  <c r="L8587" i="5"/>
  <c r="Q8587" i="5"/>
  <c r="R8587" i="5"/>
  <c r="K8588" i="5"/>
  <c r="L8588" i="5"/>
  <c r="Q8588" i="5"/>
  <c r="R8588" i="5"/>
  <c r="K8589" i="5"/>
  <c r="L8589" i="5"/>
  <c r="Q8589" i="5"/>
  <c r="R8589" i="5"/>
  <c r="K8590" i="5"/>
  <c r="L8590" i="5"/>
  <c r="Q8590" i="5"/>
  <c r="R8590" i="5"/>
  <c r="K8591" i="5"/>
  <c r="L8591" i="5"/>
  <c r="Q8591" i="5"/>
  <c r="R8591" i="5"/>
  <c r="K8592" i="5"/>
  <c r="L8592" i="5"/>
  <c r="Q8592" i="5"/>
  <c r="R8592" i="5"/>
  <c r="K8593" i="5"/>
  <c r="L8593" i="5"/>
  <c r="Q8593" i="5"/>
  <c r="R8593" i="5"/>
  <c r="K8594" i="5"/>
  <c r="L8594" i="5"/>
  <c r="Q8594" i="5"/>
  <c r="R8594" i="5"/>
  <c r="K8595" i="5"/>
  <c r="L8595" i="5"/>
  <c r="Q8595" i="5"/>
  <c r="R8595" i="5"/>
  <c r="K8596" i="5"/>
  <c r="L8596" i="5"/>
  <c r="Q8596" i="5"/>
  <c r="R8596" i="5"/>
  <c r="K8597" i="5"/>
  <c r="L8597" i="5"/>
  <c r="Q8597" i="5"/>
  <c r="R8597" i="5"/>
  <c r="K8598" i="5"/>
  <c r="L8598" i="5"/>
  <c r="Q8598" i="5"/>
  <c r="R8598" i="5"/>
  <c r="K8599" i="5"/>
  <c r="L8599" i="5"/>
  <c r="Q8599" i="5"/>
  <c r="R8599" i="5"/>
  <c r="K8600" i="5"/>
  <c r="L8600" i="5"/>
  <c r="Q8600" i="5"/>
  <c r="R8600" i="5"/>
  <c r="K8601" i="5"/>
  <c r="L8601" i="5"/>
  <c r="Q8601" i="5"/>
  <c r="R8601" i="5"/>
  <c r="K8602" i="5"/>
  <c r="L8602" i="5"/>
  <c r="Q8602" i="5"/>
  <c r="R8602" i="5"/>
  <c r="K8603" i="5"/>
  <c r="L8603" i="5"/>
  <c r="Q8603" i="5"/>
  <c r="R8603" i="5"/>
  <c r="K8604" i="5"/>
  <c r="L8604" i="5"/>
  <c r="Q8604" i="5"/>
  <c r="R8604" i="5"/>
  <c r="K8605" i="5"/>
  <c r="L8605" i="5"/>
  <c r="Q8605" i="5"/>
  <c r="R8605" i="5"/>
  <c r="K8606" i="5"/>
  <c r="L8606" i="5"/>
  <c r="Q8606" i="5"/>
  <c r="R8606" i="5"/>
  <c r="K8607" i="5"/>
  <c r="L8607" i="5"/>
  <c r="Q8607" i="5"/>
  <c r="R8607" i="5"/>
  <c r="K8608" i="5"/>
  <c r="L8608" i="5"/>
  <c r="Q8608" i="5"/>
  <c r="R8608" i="5"/>
  <c r="K8609" i="5"/>
  <c r="L8609" i="5"/>
  <c r="Q8609" i="5"/>
  <c r="R8609" i="5"/>
  <c r="K8610" i="5"/>
  <c r="L8610" i="5"/>
  <c r="Q8610" i="5"/>
  <c r="R8610" i="5"/>
  <c r="K8611" i="5"/>
  <c r="L8611" i="5"/>
  <c r="Q8611" i="5"/>
  <c r="R8611" i="5"/>
  <c r="K8612" i="5"/>
  <c r="L8612" i="5"/>
  <c r="Q8612" i="5"/>
  <c r="R8612" i="5"/>
  <c r="K8613" i="5"/>
  <c r="L8613" i="5"/>
  <c r="Q8613" i="5"/>
  <c r="R8613" i="5"/>
  <c r="K8614" i="5"/>
  <c r="L8614" i="5"/>
  <c r="Q8614" i="5"/>
  <c r="R8614" i="5"/>
  <c r="K8615" i="5"/>
  <c r="L8615" i="5"/>
  <c r="Q8615" i="5"/>
  <c r="R8615" i="5"/>
  <c r="K8616" i="5"/>
  <c r="L8616" i="5"/>
  <c r="Q8616" i="5"/>
  <c r="R8616" i="5"/>
  <c r="K8617" i="5"/>
  <c r="L8617" i="5"/>
  <c r="Q8617" i="5"/>
  <c r="R8617" i="5"/>
  <c r="K8618" i="5"/>
  <c r="L8618" i="5"/>
  <c r="Q8618" i="5"/>
  <c r="R8618" i="5"/>
  <c r="K8619" i="5"/>
  <c r="L8619" i="5"/>
  <c r="Q8619" i="5"/>
  <c r="R8619" i="5"/>
  <c r="K8620" i="5"/>
  <c r="L8620" i="5"/>
  <c r="Q8620" i="5"/>
  <c r="R8620" i="5"/>
  <c r="K8621" i="5"/>
  <c r="L8621" i="5"/>
  <c r="Q8621" i="5"/>
  <c r="R8621" i="5"/>
  <c r="K8622" i="5"/>
  <c r="L8622" i="5"/>
  <c r="Q8622" i="5"/>
  <c r="R8622" i="5"/>
  <c r="K8623" i="5"/>
  <c r="L8623" i="5"/>
  <c r="Q8623" i="5"/>
  <c r="R8623" i="5"/>
  <c r="K8624" i="5"/>
  <c r="L8624" i="5"/>
  <c r="Q8624" i="5"/>
  <c r="R8624" i="5"/>
  <c r="K8625" i="5"/>
  <c r="L8625" i="5"/>
  <c r="Q8625" i="5"/>
  <c r="R8625" i="5"/>
  <c r="K8626" i="5"/>
  <c r="L8626" i="5"/>
  <c r="Q8626" i="5"/>
  <c r="R8626" i="5"/>
  <c r="K8627" i="5"/>
  <c r="L8627" i="5"/>
  <c r="Q8627" i="5"/>
  <c r="R8627" i="5"/>
  <c r="K8628" i="5"/>
  <c r="L8628" i="5"/>
  <c r="Q8628" i="5"/>
  <c r="R8628" i="5"/>
  <c r="K8629" i="5"/>
  <c r="L8629" i="5"/>
  <c r="Q8629" i="5"/>
  <c r="R8629" i="5"/>
  <c r="K8630" i="5"/>
  <c r="L8630" i="5"/>
  <c r="Q8630" i="5"/>
  <c r="R8630" i="5"/>
  <c r="K8631" i="5"/>
  <c r="L8631" i="5"/>
  <c r="Q8631" i="5"/>
  <c r="R8631" i="5"/>
  <c r="K8632" i="5"/>
  <c r="L8632" i="5"/>
  <c r="Q8632" i="5"/>
  <c r="R8632" i="5"/>
  <c r="K8633" i="5"/>
  <c r="L8633" i="5"/>
  <c r="Q8633" i="5"/>
  <c r="R8633" i="5"/>
  <c r="K8634" i="5"/>
  <c r="L8634" i="5"/>
  <c r="Q8634" i="5"/>
  <c r="R8634" i="5"/>
  <c r="K8635" i="5"/>
  <c r="L8635" i="5"/>
  <c r="Q8635" i="5"/>
  <c r="R8635" i="5"/>
  <c r="K8636" i="5"/>
  <c r="L8636" i="5"/>
  <c r="Q8636" i="5"/>
  <c r="R8636" i="5"/>
  <c r="K8637" i="5"/>
  <c r="L8637" i="5"/>
  <c r="Q8637" i="5"/>
  <c r="R8637" i="5"/>
  <c r="K8638" i="5"/>
  <c r="L8638" i="5"/>
  <c r="Q8638" i="5"/>
  <c r="R8638" i="5"/>
  <c r="K8639" i="5"/>
  <c r="L8639" i="5"/>
  <c r="Q8639" i="5"/>
  <c r="R8639" i="5"/>
  <c r="K8640" i="5"/>
  <c r="L8640" i="5"/>
  <c r="Q8640" i="5"/>
  <c r="R8640" i="5"/>
  <c r="K8641" i="5"/>
  <c r="L8641" i="5"/>
  <c r="Q8641" i="5"/>
  <c r="R8641" i="5"/>
  <c r="K8642" i="5"/>
  <c r="L8642" i="5"/>
  <c r="Q8642" i="5"/>
  <c r="R8642" i="5"/>
  <c r="K8643" i="5"/>
  <c r="L8643" i="5"/>
  <c r="Q8643" i="5"/>
  <c r="R8643" i="5"/>
  <c r="K8644" i="5"/>
  <c r="L8644" i="5"/>
  <c r="Q8644" i="5"/>
  <c r="R8644" i="5"/>
  <c r="K8645" i="5"/>
  <c r="L8645" i="5"/>
  <c r="Q8645" i="5"/>
  <c r="R8645" i="5"/>
  <c r="K8646" i="5"/>
  <c r="L8646" i="5"/>
  <c r="Q8646" i="5"/>
  <c r="R8646" i="5"/>
  <c r="K8647" i="5"/>
  <c r="L8647" i="5"/>
  <c r="Q8647" i="5"/>
  <c r="R8647" i="5"/>
  <c r="K8648" i="5"/>
  <c r="L8648" i="5"/>
  <c r="Q8648" i="5"/>
  <c r="R8648" i="5"/>
  <c r="K8649" i="5"/>
  <c r="L8649" i="5"/>
  <c r="Q8649" i="5"/>
  <c r="R8649" i="5"/>
  <c r="K8650" i="5"/>
  <c r="L8650" i="5"/>
  <c r="Q8650" i="5"/>
  <c r="R8650" i="5"/>
  <c r="K8651" i="5"/>
  <c r="L8651" i="5"/>
  <c r="Q8651" i="5"/>
  <c r="R8651" i="5"/>
  <c r="K8652" i="5"/>
  <c r="L8652" i="5"/>
  <c r="Q8652" i="5"/>
  <c r="R8652" i="5"/>
  <c r="K8653" i="5"/>
  <c r="L8653" i="5"/>
  <c r="Q8653" i="5"/>
  <c r="R8653" i="5"/>
  <c r="K8654" i="5"/>
  <c r="L8654" i="5"/>
  <c r="Q8654" i="5"/>
  <c r="R8654" i="5"/>
  <c r="K8655" i="5"/>
  <c r="L8655" i="5"/>
  <c r="Q8655" i="5"/>
  <c r="R8655" i="5"/>
  <c r="K8656" i="5"/>
  <c r="L8656" i="5"/>
  <c r="Q8656" i="5"/>
  <c r="R8656" i="5"/>
  <c r="K8657" i="5"/>
  <c r="L8657" i="5"/>
  <c r="Q8657" i="5"/>
  <c r="R8657" i="5"/>
  <c r="K8658" i="5"/>
  <c r="L8658" i="5"/>
  <c r="Q8658" i="5"/>
  <c r="R8658" i="5"/>
  <c r="K8659" i="5"/>
  <c r="L8659" i="5"/>
  <c r="Q8659" i="5"/>
  <c r="R8659" i="5"/>
  <c r="K8660" i="5"/>
  <c r="L8660" i="5"/>
  <c r="Q8660" i="5"/>
  <c r="R8660" i="5"/>
  <c r="K8661" i="5"/>
  <c r="L8661" i="5"/>
  <c r="Q8661" i="5"/>
  <c r="R8661" i="5"/>
  <c r="K8662" i="5"/>
  <c r="L8662" i="5"/>
  <c r="Q8662" i="5"/>
  <c r="R8662" i="5"/>
  <c r="K8663" i="5"/>
  <c r="L8663" i="5"/>
  <c r="Q8663" i="5"/>
  <c r="R8663" i="5"/>
  <c r="K8664" i="5"/>
  <c r="L8664" i="5"/>
  <c r="Q8664" i="5"/>
  <c r="R8664" i="5"/>
  <c r="K8665" i="5"/>
  <c r="L8665" i="5"/>
  <c r="Q8665" i="5"/>
  <c r="R8665" i="5"/>
  <c r="K8666" i="5"/>
  <c r="L8666" i="5"/>
  <c r="Q8666" i="5"/>
  <c r="R8666" i="5"/>
  <c r="K8667" i="5"/>
  <c r="L8667" i="5"/>
  <c r="Q8667" i="5"/>
  <c r="R8667" i="5"/>
  <c r="K8668" i="5"/>
  <c r="L8668" i="5"/>
  <c r="Q8668" i="5"/>
  <c r="R8668" i="5"/>
  <c r="K8669" i="5"/>
  <c r="L8669" i="5"/>
  <c r="Q8669" i="5"/>
  <c r="R8669" i="5"/>
  <c r="K8670" i="5"/>
  <c r="L8670" i="5"/>
  <c r="Q8670" i="5"/>
  <c r="R8670" i="5"/>
  <c r="K8671" i="5"/>
  <c r="L8671" i="5"/>
  <c r="Q8671" i="5"/>
  <c r="R8671" i="5"/>
  <c r="K8672" i="5"/>
  <c r="L8672" i="5"/>
  <c r="Q8672" i="5"/>
  <c r="R8672" i="5"/>
  <c r="K8673" i="5"/>
  <c r="L8673" i="5"/>
  <c r="Q8673" i="5"/>
  <c r="R8673" i="5"/>
  <c r="K8674" i="5"/>
  <c r="L8674" i="5"/>
  <c r="Q8674" i="5"/>
  <c r="R8674" i="5"/>
  <c r="K8675" i="5"/>
  <c r="L8675" i="5"/>
  <c r="Q8675" i="5"/>
  <c r="R8675" i="5"/>
  <c r="K8676" i="5"/>
  <c r="L8676" i="5"/>
  <c r="Q8676" i="5"/>
  <c r="R8676" i="5"/>
  <c r="K8677" i="5"/>
  <c r="L8677" i="5"/>
  <c r="Q8677" i="5"/>
  <c r="R8677" i="5"/>
  <c r="K8678" i="5"/>
  <c r="L8678" i="5"/>
  <c r="Q8678" i="5"/>
  <c r="R8678" i="5"/>
  <c r="K8679" i="5"/>
  <c r="L8679" i="5"/>
  <c r="Q8679" i="5"/>
  <c r="R8679" i="5"/>
  <c r="K8680" i="5"/>
  <c r="L8680" i="5"/>
  <c r="Q8680" i="5"/>
  <c r="R8680" i="5"/>
  <c r="K8681" i="5"/>
  <c r="L8681" i="5"/>
  <c r="Q8681" i="5"/>
  <c r="R8681" i="5"/>
  <c r="K8682" i="5"/>
  <c r="L8682" i="5"/>
  <c r="Q8682" i="5"/>
  <c r="R8682" i="5"/>
  <c r="K8683" i="5"/>
  <c r="L8683" i="5"/>
  <c r="Q8683" i="5"/>
  <c r="R8683" i="5"/>
  <c r="K8684" i="5"/>
  <c r="L8684" i="5"/>
  <c r="Q8684" i="5"/>
  <c r="R8684" i="5"/>
  <c r="K8685" i="5"/>
  <c r="L8685" i="5"/>
  <c r="Q8685" i="5"/>
  <c r="R8685" i="5"/>
  <c r="K8686" i="5"/>
  <c r="L8686" i="5"/>
  <c r="Q8686" i="5"/>
  <c r="R8686" i="5"/>
  <c r="K8687" i="5"/>
  <c r="L8687" i="5"/>
  <c r="Q8687" i="5"/>
  <c r="R8687" i="5"/>
  <c r="K8688" i="5"/>
  <c r="L8688" i="5"/>
  <c r="Q8688" i="5"/>
  <c r="R8688" i="5"/>
  <c r="K8689" i="5"/>
  <c r="L8689" i="5"/>
  <c r="Q8689" i="5"/>
  <c r="R8689" i="5"/>
  <c r="K8690" i="5"/>
  <c r="L8690" i="5"/>
  <c r="Q8690" i="5"/>
  <c r="R8690" i="5"/>
  <c r="K8691" i="5"/>
  <c r="L8691" i="5"/>
  <c r="Q8691" i="5"/>
  <c r="R8691" i="5"/>
  <c r="K8692" i="5"/>
  <c r="L8692" i="5"/>
  <c r="Q8692" i="5"/>
  <c r="R8692" i="5"/>
  <c r="K8693" i="5"/>
  <c r="L8693" i="5"/>
  <c r="Q8693" i="5"/>
  <c r="R8693" i="5"/>
  <c r="K8694" i="5"/>
  <c r="L8694" i="5"/>
  <c r="Q8694" i="5"/>
  <c r="R8694" i="5"/>
  <c r="K8695" i="5"/>
  <c r="L8695" i="5"/>
  <c r="Q8695" i="5"/>
  <c r="R8695" i="5"/>
  <c r="K8696" i="5"/>
  <c r="L8696" i="5"/>
  <c r="Q8696" i="5"/>
  <c r="R8696" i="5"/>
  <c r="K8697" i="5"/>
  <c r="L8697" i="5"/>
  <c r="Q8697" i="5"/>
  <c r="R8697" i="5"/>
  <c r="K8698" i="5"/>
  <c r="L8698" i="5"/>
  <c r="Q8698" i="5"/>
  <c r="R8698" i="5"/>
  <c r="K8699" i="5"/>
  <c r="L8699" i="5"/>
  <c r="Q8699" i="5"/>
  <c r="R8699" i="5"/>
  <c r="K8700" i="5"/>
  <c r="L8700" i="5"/>
  <c r="Q8700" i="5"/>
  <c r="R8700" i="5"/>
  <c r="K8701" i="5"/>
  <c r="L8701" i="5"/>
  <c r="Q8701" i="5"/>
  <c r="R8701" i="5"/>
  <c r="K8702" i="5"/>
  <c r="L8702" i="5"/>
  <c r="Q8702" i="5"/>
  <c r="R8702" i="5"/>
  <c r="K8703" i="5"/>
  <c r="L8703" i="5"/>
  <c r="Q8703" i="5"/>
  <c r="R8703" i="5"/>
  <c r="K8704" i="5"/>
  <c r="L8704" i="5"/>
  <c r="Q8704" i="5"/>
  <c r="R8704" i="5"/>
  <c r="K8705" i="5"/>
  <c r="L8705" i="5"/>
  <c r="Q8705" i="5"/>
  <c r="R8705" i="5"/>
  <c r="K8706" i="5"/>
  <c r="L8706" i="5"/>
  <c r="Q8706" i="5"/>
  <c r="R8706" i="5"/>
  <c r="K8707" i="5"/>
  <c r="L8707" i="5"/>
  <c r="Q8707" i="5"/>
  <c r="R8707" i="5"/>
  <c r="K8708" i="5"/>
  <c r="L8708" i="5"/>
  <c r="Q8708" i="5"/>
  <c r="R8708" i="5"/>
  <c r="K8709" i="5"/>
  <c r="L8709" i="5"/>
  <c r="Q8709" i="5"/>
  <c r="R8709" i="5"/>
  <c r="K8710" i="5"/>
  <c r="L8710" i="5"/>
  <c r="Q8710" i="5"/>
  <c r="R8710" i="5"/>
  <c r="K8711" i="5"/>
  <c r="L8711" i="5"/>
  <c r="Q8711" i="5"/>
  <c r="R8711" i="5"/>
  <c r="K8712" i="5"/>
  <c r="L8712" i="5"/>
  <c r="Q8712" i="5"/>
  <c r="R8712" i="5"/>
  <c r="K8713" i="5"/>
  <c r="L8713" i="5"/>
  <c r="Q8713" i="5"/>
  <c r="R8713" i="5"/>
  <c r="K8714" i="5"/>
  <c r="L8714" i="5"/>
  <c r="Q8714" i="5"/>
  <c r="R8714" i="5"/>
  <c r="K8715" i="5"/>
  <c r="L8715" i="5"/>
  <c r="Q8715" i="5"/>
  <c r="R8715" i="5"/>
  <c r="K8716" i="5"/>
  <c r="L8716" i="5"/>
  <c r="Q8716" i="5"/>
  <c r="R8716" i="5"/>
  <c r="K8717" i="5"/>
  <c r="L8717" i="5"/>
  <c r="Q8717" i="5"/>
  <c r="R8717" i="5"/>
  <c r="K8718" i="5"/>
  <c r="L8718" i="5"/>
  <c r="Q8718" i="5"/>
  <c r="R8718" i="5"/>
  <c r="K8719" i="5"/>
  <c r="L8719" i="5"/>
  <c r="Q8719" i="5"/>
  <c r="R8719" i="5"/>
  <c r="K8720" i="5"/>
  <c r="L8720" i="5"/>
  <c r="Q8720" i="5"/>
  <c r="R8720" i="5"/>
  <c r="K8721" i="5"/>
  <c r="L8721" i="5"/>
  <c r="Q8721" i="5"/>
  <c r="R8721" i="5"/>
  <c r="K8722" i="5"/>
  <c r="L8722" i="5"/>
  <c r="Q8722" i="5"/>
  <c r="R8722" i="5"/>
  <c r="K8723" i="5"/>
  <c r="L8723" i="5"/>
  <c r="Q8723" i="5"/>
  <c r="R8723" i="5"/>
  <c r="K8724" i="5"/>
  <c r="L8724" i="5"/>
  <c r="Q8724" i="5"/>
  <c r="R8724" i="5"/>
  <c r="K8725" i="5"/>
  <c r="L8725" i="5"/>
  <c r="Q8725" i="5"/>
  <c r="R8725" i="5"/>
  <c r="K8726" i="5"/>
  <c r="L8726" i="5"/>
  <c r="Q8726" i="5"/>
  <c r="R8726" i="5"/>
  <c r="K8727" i="5"/>
  <c r="L8727" i="5"/>
  <c r="Q8727" i="5"/>
  <c r="R8727" i="5"/>
  <c r="K8728" i="5"/>
  <c r="L8728" i="5"/>
  <c r="Q8728" i="5"/>
  <c r="R8728" i="5"/>
  <c r="K8729" i="5"/>
  <c r="L8729" i="5"/>
  <c r="Q8729" i="5"/>
  <c r="R8729" i="5"/>
  <c r="K8730" i="5"/>
  <c r="L8730" i="5"/>
  <c r="Q8730" i="5"/>
  <c r="R8730" i="5"/>
  <c r="K8731" i="5"/>
  <c r="L8731" i="5"/>
  <c r="Q8731" i="5"/>
  <c r="R8731" i="5"/>
  <c r="K8732" i="5"/>
  <c r="L8732" i="5"/>
  <c r="Q8732" i="5"/>
  <c r="R8732" i="5"/>
  <c r="K8733" i="5"/>
  <c r="L8733" i="5"/>
  <c r="Q8733" i="5"/>
  <c r="R8733" i="5"/>
  <c r="K8734" i="5"/>
  <c r="L8734" i="5"/>
  <c r="Q8734" i="5"/>
  <c r="R8734" i="5"/>
  <c r="K8735" i="5"/>
  <c r="L8735" i="5"/>
  <c r="Q8735" i="5"/>
  <c r="R8735" i="5"/>
  <c r="K8736" i="5"/>
  <c r="L8736" i="5"/>
  <c r="Q8736" i="5"/>
  <c r="R8736" i="5"/>
  <c r="K8737" i="5"/>
  <c r="L8737" i="5"/>
  <c r="Q8737" i="5"/>
  <c r="R8737" i="5"/>
  <c r="K8738" i="5"/>
  <c r="L8738" i="5"/>
  <c r="Q8738" i="5"/>
  <c r="R8738" i="5"/>
  <c r="K8739" i="5"/>
  <c r="L8739" i="5"/>
  <c r="Q8739" i="5"/>
  <c r="R8739" i="5"/>
  <c r="K8740" i="5"/>
  <c r="L8740" i="5"/>
  <c r="Q8740" i="5"/>
  <c r="R8740" i="5"/>
  <c r="K8741" i="5"/>
  <c r="L8741" i="5"/>
  <c r="Q8741" i="5"/>
  <c r="R8741" i="5"/>
  <c r="K8742" i="5"/>
  <c r="L8742" i="5"/>
  <c r="Q8742" i="5"/>
  <c r="R8742" i="5"/>
  <c r="K8743" i="5"/>
  <c r="L8743" i="5"/>
  <c r="Q8743" i="5"/>
  <c r="R8743" i="5"/>
  <c r="K8744" i="5"/>
  <c r="L8744" i="5"/>
  <c r="Q8744" i="5"/>
  <c r="R8744" i="5"/>
  <c r="K8745" i="5"/>
  <c r="L8745" i="5"/>
  <c r="Q8745" i="5"/>
  <c r="R8745" i="5"/>
  <c r="K8746" i="5"/>
  <c r="L8746" i="5"/>
  <c r="Q8746" i="5"/>
  <c r="R8746" i="5"/>
  <c r="K8747" i="5"/>
  <c r="L8747" i="5"/>
  <c r="Q8747" i="5"/>
  <c r="R8747" i="5"/>
  <c r="K8748" i="5"/>
  <c r="L8748" i="5"/>
  <c r="Q8748" i="5"/>
  <c r="R8748" i="5"/>
  <c r="K8749" i="5"/>
  <c r="L8749" i="5"/>
  <c r="Q8749" i="5"/>
  <c r="R8749" i="5"/>
  <c r="K8750" i="5"/>
  <c r="L8750" i="5"/>
  <c r="Q8750" i="5"/>
  <c r="R8750" i="5"/>
  <c r="K8751" i="5"/>
  <c r="L8751" i="5"/>
  <c r="Q8751" i="5"/>
  <c r="R8751" i="5"/>
  <c r="K8752" i="5"/>
  <c r="L8752" i="5"/>
  <c r="Q8752" i="5"/>
  <c r="R8752" i="5"/>
  <c r="K8753" i="5"/>
  <c r="L8753" i="5"/>
  <c r="Q8753" i="5"/>
  <c r="R8753" i="5"/>
  <c r="K8754" i="5"/>
  <c r="L8754" i="5"/>
  <c r="Q8754" i="5"/>
  <c r="R8754" i="5"/>
  <c r="K8755" i="5"/>
  <c r="L8755" i="5"/>
  <c r="Q8755" i="5"/>
  <c r="R8755" i="5"/>
  <c r="K8756" i="5"/>
  <c r="L8756" i="5"/>
  <c r="Q8756" i="5"/>
  <c r="R8756" i="5"/>
  <c r="K8757" i="5"/>
  <c r="L8757" i="5"/>
  <c r="Q8757" i="5"/>
  <c r="R8757" i="5"/>
  <c r="K8758" i="5"/>
  <c r="L8758" i="5"/>
  <c r="Q8758" i="5"/>
  <c r="R8758" i="5"/>
  <c r="K8759" i="5"/>
  <c r="L8759" i="5"/>
  <c r="Q8759" i="5"/>
  <c r="R8759" i="5"/>
  <c r="K8760" i="5"/>
  <c r="L8760" i="5"/>
  <c r="Q8760" i="5"/>
  <c r="R8760" i="5"/>
  <c r="K8761" i="5"/>
  <c r="L8761" i="5"/>
  <c r="Q8761" i="5"/>
  <c r="R8761" i="5"/>
  <c r="K8762" i="5"/>
  <c r="L8762" i="5"/>
  <c r="Q8762" i="5"/>
  <c r="R8762" i="5"/>
  <c r="K8763" i="5"/>
  <c r="L8763" i="5"/>
  <c r="Q8763" i="5"/>
  <c r="R8763" i="5"/>
  <c r="K8764" i="5"/>
  <c r="L8764" i="5"/>
  <c r="Q8764" i="5"/>
  <c r="R8764" i="5"/>
  <c r="K8765" i="5"/>
  <c r="L8765" i="5"/>
  <c r="Q8765" i="5"/>
  <c r="R8765" i="5"/>
  <c r="K8766" i="5"/>
  <c r="L8766" i="5"/>
  <c r="Q8766" i="5"/>
  <c r="R8766" i="5"/>
  <c r="K8767" i="5"/>
  <c r="L8767" i="5"/>
  <c r="Q8767" i="5"/>
  <c r="R8767" i="5"/>
  <c r="K8768" i="5"/>
  <c r="L8768" i="5"/>
  <c r="Q8768" i="5"/>
  <c r="R8768" i="5"/>
  <c r="K8769" i="5"/>
  <c r="L8769" i="5"/>
  <c r="Q8769" i="5"/>
  <c r="R8769" i="5"/>
  <c r="K8770" i="5"/>
  <c r="L8770" i="5"/>
  <c r="Q8770" i="5"/>
  <c r="R8770" i="5"/>
  <c r="K8771" i="5"/>
  <c r="L8771" i="5"/>
  <c r="Q8771" i="5"/>
  <c r="R8771" i="5"/>
  <c r="K8772" i="5"/>
  <c r="L8772" i="5"/>
  <c r="Q8772" i="5"/>
  <c r="R8772" i="5"/>
  <c r="K8773" i="5"/>
  <c r="L8773" i="5"/>
  <c r="Q8773" i="5"/>
  <c r="R8773" i="5"/>
  <c r="K8774" i="5"/>
  <c r="L8774" i="5"/>
  <c r="Q8774" i="5"/>
  <c r="R8774" i="5"/>
  <c r="K8775" i="5"/>
  <c r="L8775" i="5"/>
  <c r="Q8775" i="5"/>
  <c r="R8775" i="5"/>
  <c r="K8776" i="5"/>
  <c r="L8776" i="5"/>
  <c r="Q8776" i="5"/>
  <c r="R8776" i="5"/>
  <c r="K8777" i="5"/>
  <c r="L8777" i="5"/>
  <c r="Q8777" i="5"/>
  <c r="R8777" i="5"/>
  <c r="K8778" i="5"/>
  <c r="L8778" i="5"/>
  <c r="Q8778" i="5"/>
  <c r="R8778" i="5"/>
  <c r="K8779" i="5"/>
  <c r="L8779" i="5"/>
  <c r="Q8779" i="5"/>
  <c r="R8779" i="5"/>
  <c r="K8780" i="5"/>
  <c r="L8780" i="5"/>
  <c r="Q8780" i="5"/>
  <c r="R8780" i="5"/>
  <c r="K8781" i="5"/>
  <c r="L8781" i="5"/>
  <c r="Q8781" i="5"/>
  <c r="R8781" i="5"/>
  <c r="K8782" i="5"/>
  <c r="L8782" i="5"/>
  <c r="Q8782" i="5"/>
  <c r="R8782" i="5"/>
  <c r="K8783" i="5"/>
  <c r="L8783" i="5"/>
  <c r="Q8783" i="5"/>
  <c r="R8783" i="5"/>
  <c r="K8784" i="5"/>
  <c r="L8784" i="5"/>
  <c r="Q8784" i="5"/>
  <c r="R8784" i="5"/>
  <c r="K8785" i="5"/>
  <c r="L8785" i="5"/>
  <c r="Q8785" i="5"/>
  <c r="R8785" i="5"/>
  <c r="K8786" i="5"/>
  <c r="L8786" i="5"/>
  <c r="Q8786" i="5"/>
  <c r="R8786" i="5"/>
  <c r="K8787" i="5"/>
  <c r="L8787" i="5"/>
  <c r="Q8787" i="5"/>
  <c r="R8787" i="5"/>
  <c r="K8788" i="5"/>
  <c r="L8788" i="5"/>
  <c r="Q8788" i="5"/>
  <c r="R8788" i="5"/>
  <c r="K8789" i="5"/>
  <c r="L8789" i="5"/>
  <c r="Q8789" i="5"/>
  <c r="R8789" i="5"/>
  <c r="K8790" i="5"/>
  <c r="L8790" i="5"/>
  <c r="Q8790" i="5"/>
  <c r="R8790" i="5"/>
  <c r="K8791" i="5"/>
  <c r="L8791" i="5"/>
  <c r="Q8791" i="5"/>
  <c r="R8791" i="5"/>
  <c r="K8792" i="5"/>
  <c r="L8792" i="5"/>
  <c r="Q8792" i="5"/>
  <c r="R8792" i="5"/>
  <c r="K8793" i="5"/>
  <c r="L8793" i="5"/>
  <c r="Q8793" i="5"/>
  <c r="R8793" i="5"/>
  <c r="K8794" i="5"/>
  <c r="L8794" i="5"/>
  <c r="Q8794" i="5"/>
  <c r="R8794" i="5"/>
  <c r="K8795" i="5"/>
  <c r="L8795" i="5"/>
  <c r="Q8795" i="5"/>
  <c r="R8795" i="5"/>
  <c r="K8796" i="5"/>
  <c r="L8796" i="5"/>
  <c r="Q8796" i="5"/>
  <c r="R8796" i="5"/>
  <c r="K8797" i="5"/>
  <c r="L8797" i="5"/>
  <c r="Q8797" i="5"/>
  <c r="R8797" i="5"/>
  <c r="K8798" i="5"/>
  <c r="L8798" i="5"/>
  <c r="Q8798" i="5"/>
  <c r="R8798" i="5"/>
  <c r="K8799" i="5"/>
  <c r="L8799" i="5"/>
  <c r="Q8799" i="5"/>
  <c r="R8799" i="5"/>
  <c r="K8800" i="5"/>
  <c r="L8800" i="5"/>
  <c r="Q8800" i="5"/>
  <c r="R8800" i="5"/>
  <c r="K8801" i="5"/>
  <c r="L8801" i="5"/>
  <c r="Q8801" i="5"/>
  <c r="R8801" i="5"/>
  <c r="K8802" i="5"/>
  <c r="L8802" i="5"/>
  <c r="Q8802" i="5"/>
  <c r="R8802" i="5"/>
  <c r="K8803" i="5"/>
  <c r="L8803" i="5"/>
  <c r="Q8803" i="5"/>
  <c r="R8803" i="5"/>
  <c r="K8804" i="5"/>
  <c r="L8804" i="5"/>
  <c r="Q8804" i="5"/>
  <c r="R8804" i="5"/>
  <c r="K8805" i="5"/>
  <c r="L8805" i="5"/>
  <c r="Q8805" i="5"/>
  <c r="R8805" i="5"/>
  <c r="K8806" i="5"/>
  <c r="L8806" i="5"/>
  <c r="Q8806" i="5"/>
  <c r="R8806" i="5"/>
  <c r="K8807" i="5"/>
  <c r="L8807" i="5"/>
  <c r="Q8807" i="5"/>
  <c r="R8807" i="5"/>
  <c r="K8808" i="5"/>
  <c r="L8808" i="5"/>
  <c r="Q8808" i="5"/>
  <c r="R8808" i="5"/>
  <c r="K8809" i="5"/>
  <c r="L8809" i="5"/>
  <c r="Q8809" i="5"/>
  <c r="R8809" i="5"/>
  <c r="K8810" i="5"/>
  <c r="L8810" i="5"/>
  <c r="Q8810" i="5"/>
  <c r="R8810" i="5"/>
  <c r="K8811" i="5"/>
  <c r="L8811" i="5"/>
  <c r="Q8811" i="5"/>
  <c r="R8811" i="5"/>
  <c r="K8812" i="5"/>
  <c r="L8812" i="5"/>
  <c r="Q8812" i="5"/>
  <c r="R8812" i="5"/>
  <c r="K8813" i="5"/>
  <c r="L8813" i="5"/>
  <c r="Q8813" i="5"/>
  <c r="R8813" i="5"/>
  <c r="K8814" i="5"/>
  <c r="L8814" i="5"/>
  <c r="Q8814" i="5"/>
  <c r="R8814" i="5"/>
  <c r="K8815" i="5"/>
  <c r="L8815" i="5"/>
  <c r="Q8815" i="5"/>
  <c r="R8815" i="5"/>
  <c r="K8816" i="5"/>
  <c r="L8816" i="5"/>
  <c r="Q8816" i="5"/>
  <c r="R8816" i="5"/>
  <c r="K8817" i="5"/>
  <c r="L8817" i="5"/>
  <c r="Q8817" i="5"/>
  <c r="R8817" i="5"/>
  <c r="K8818" i="5"/>
  <c r="L8818" i="5"/>
  <c r="Q8818" i="5"/>
  <c r="R8818" i="5"/>
  <c r="K8819" i="5"/>
  <c r="L8819" i="5"/>
  <c r="Q8819" i="5"/>
  <c r="R8819" i="5"/>
  <c r="K8820" i="5"/>
  <c r="L8820" i="5"/>
  <c r="Q8820" i="5"/>
  <c r="R8820" i="5"/>
  <c r="K8821" i="5"/>
  <c r="L8821" i="5"/>
  <c r="Q8821" i="5"/>
  <c r="R8821" i="5"/>
  <c r="K8822" i="5"/>
  <c r="L8822" i="5"/>
  <c r="Q8822" i="5"/>
  <c r="R8822" i="5"/>
  <c r="K8823" i="5"/>
  <c r="L8823" i="5"/>
  <c r="Q8823" i="5"/>
  <c r="R8823" i="5"/>
  <c r="K8824" i="5"/>
  <c r="L8824" i="5"/>
  <c r="Q8824" i="5"/>
  <c r="R8824" i="5"/>
  <c r="K8825" i="5"/>
  <c r="L8825" i="5"/>
  <c r="Q8825" i="5"/>
  <c r="R8825" i="5"/>
  <c r="K8826" i="5"/>
  <c r="L8826" i="5"/>
  <c r="Q8826" i="5"/>
  <c r="R8826" i="5"/>
  <c r="K8827" i="5"/>
  <c r="L8827" i="5"/>
  <c r="Q8827" i="5"/>
  <c r="R8827" i="5"/>
  <c r="K8828" i="5"/>
  <c r="L8828" i="5"/>
  <c r="Q8828" i="5"/>
  <c r="R8828" i="5"/>
  <c r="K8829" i="5"/>
  <c r="L8829" i="5"/>
  <c r="Q8829" i="5"/>
  <c r="R8829" i="5"/>
  <c r="K8830" i="5"/>
  <c r="L8830" i="5"/>
  <c r="Q8830" i="5"/>
  <c r="R8830" i="5"/>
  <c r="K8831" i="5"/>
  <c r="L8831" i="5"/>
  <c r="Q8831" i="5"/>
  <c r="R8831" i="5"/>
  <c r="K8832" i="5"/>
  <c r="L8832" i="5"/>
  <c r="Q8832" i="5"/>
  <c r="R8832" i="5"/>
  <c r="K8833" i="5"/>
  <c r="L8833" i="5"/>
  <c r="Q8833" i="5"/>
  <c r="R8833" i="5"/>
  <c r="K8834" i="5"/>
  <c r="L8834" i="5"/>
  <c r="Q8834" i="5"/>
  <c r="R8834" i="5"/>
  <c r="K8835" i="5"/>
  <c r="L8835" i="5"/>
  <c r="Q8835" i="5"/>
  <c r="R8835" i="5"/>
  <c r="K8836" i="5"/>
  <c r="L8836" i="5"/>
  <c r="Q8836" i="5"/>
  <c r="R8836" i="5"/>
  <c r="K8837" i="5"/>
  <c r="L8837" i="5"/>
  <c r="Q8837" i="5"/>
  <c r="R8837" i="5"/>
  <c r="K8838" i="5"/>
  <c r="L8838" i="5"/>
  <c r="Q8838" i="5"/>
  <c r="R8838" i="5"/>
  <c r="K8839" i="5"/>
  <c r="L8839" i="5"/>
  <c r="Q8839" i="5"/>
  <c r="R8839" i="5"/>
  <c r="K8840" i="5"/>
  <c r="L8840" i="5"/>
  <c r="Q8840" i="5"/>
  <c r="R8840" i="5"/>
  <c r="K8841" i="5"/>
  <c r="L8841" i="5"/>
  <c r="Q8841" i="5"/>
  <c r="R8841" i="5"/>
  <c r="K8842" i="5"/>
  <c r="L8842" i="5"/>
  <c r="Q8842" i="5"/>
  <c r="R8842" i="5"/>
  <c r="K8843" i="5"/>
  <c r="L8843" i="5"/>
  <c r="Q8843" i="5"/>
  <c r="R8843" i="5"/>
  <c r="K8844" i="5"/>
  <c r="L8844" i="5"/>
  <c r="Q8844" i="5"/>
  <c r="R8844" i="5"/>
  <c r="K8845" i="5"/>
  <c r="L8845" i="5"/>
  <c r="Q8845" i="5"/>
  <c r="R8845" i="5"/>
  <c r="K8846" i="5"/>
  <c r="L8846" i="5"/>
  <c r="Q8846" i="5"/>
  <c r="R8846" i="5"/>
  <c r="K8847" i="5"/>
  <c r="L8847" i="5"/>
  <c r="Q8847" i="5"/>
  <c r="R8847" i="5"/>
  <c r="K8848" i="5"/>
  <c r="L8848" i="5"/>
  <c r="Q8848" i="5"/>
  <c r="R8848" i="5"/>
  <c r="K8849" i="5"/>
  <c r="L8849" i="5"/>
  <c r="Q8849" i="5"/>
  <c r="R8849" i="5"/>
  <c r="K8850" i="5"/>
  <c r="L8850" i="5"/>
  <c r="Q8850" i="5"/>
  <c r="R8850" i="5"/>
  <c r="K8851" i="5"/>
  <c r="L8851" i="5"/>
  <c r="Q8851" i="5"/>
  <c r="R8851" i="5"/>
  <c r="K8852" i="5"/>
  <c r="L8852" i="5"/>
  <c r="Q8852" i="5"/>
  <c r="R8852" i="5"/>
  <c r="K8853" i="5"/>
  <c r="L8853" i="5"/>
  <c r="Q8853" i="5"/>
  <c r="R8853" i="5"/>
  <c r="K8854" i="5"/>
  <c r="L8854" i="5"/>
  <c r="Q8854" i="5"/>
  <c r="R8854" i="5"/>
  <c r="K8855" i="5"/>
  <c r="L8855" i="5"/>
  <c r="Q8855" i="5"/>
  <c r="R8855" i="5"/>
  <c r="K8856" i="5"/>
  <c r="L8856" i="5"/>
  <c r="Q8856" i="5"/>
  <c r="R8856" i="5"/>
  <c r="K8857" i="5"/>
  <c r="L8857" i="5"/>
  <c r="Q8857" i="5"/>
  <c r="R8857" i="5"/>
  <c r="K8858" i="5"/>
  <c r="L8858" i="5"/>
  <c r="Q8858" i="5"/>
  <c r="R8858" i="5"/>
  <c r="K8859" i="5"/>
  <c r="L8859" i="5"/>
  <c r="Q8859" i="5"/>
  <c r="R8859" i="5"/>
  <c r="K8860" i="5"/>
  <c r="L8860" i="5"/>
  <c r="Q8860" i="5"/>
  <c r="R8860" i="5"/>
  <c r="K8861" i="5"/>
  <c r="L8861" i="5"/>
  <c r="Q8861" i="5"/>
  <c r="R8861" i="5"/>
  <c r="K8862" i="5"/>
  <c r="L8862" i="5"/>
  <c r="Q8862" i="5"/>
  <c r="R8862" i="5"/>
  <c r="K8863" i="5"/>
  <c r="L8863" i="5"/>
  <c r="Q8863" i="5"/>
  <c r="R8863" i="5"/>
  <c r="K8864" i="5"/>
  <c r="L8864" i="5"/>
  <c r="Q8864" i="5"/>
  <c r="R8864" i="5"/>
  <c r="K8865" i="5"/>
  <c r="L8865" i="5"/>
  <c r="Q8865" i="5"/>
  <c r="R8865" i="5"/>
  <c r="K8866" i="5"/>
  <c r="L8866" i="5"/>
  <c r="Q8866" i="5"/>
  <c r="R8866" i="5"/>
  <c r="K8867" i="5"/>
  <c r="L8867" i="5"/>
  <c r="Q8867" i="5"/>
  <c r="R8867" i="5"/>
  <c r="K8868" i="5"/>
  <c r="L8868" i="5"/>
  <c r="Q8868" i="5"/>
  <c r="R8868" i="5"/>
  <c r="K8869" i="5"/>
  <c r="L8869" i="5"/>
  <c r="Q8869" i="5"/>
  <c r="R8869" i="5"/>
  <c r="K8870" i="5"/>
  <c r="L8870" i="5"/>
  <c r="Q8870" i="5"/>
  <c r="R8870" i="5"/>
  <c r="K8871" i="5"/>
  <c r="L8871" i="5"/>
  <c r="Q8871" i="5"/>
  <c r="R8871" i="5"/>
  <c r="K8872" i="5"/>
  <c r="L8872" i="5"/>
  <c r="Q8872" i="5"/>
  <c r="R8872" i="5"/>
  <c r="K8873" i="5"/>
  <c r="L8873" i="5"/>
  <c r="Q8873" i="5"/>
  <c r="R8873" i="5"/>
  <c r="K8874" i="5"/>
  <c r="L8874" i="5"/>
  <c r="Q8874" i="5"/>
  <c r="R8874" i="5"/>
  <c r="K8875" i="5"/>
  <c r="L8875" i="5"/>
  <c r="Q8875" i="5"/>
  <c r="R8875" i="5"/>
  <c r="K8876" i="5"/>
  <c r="L8876" i="5"/>
  <c r="Q8876" i="5"/>
  <c r="R8876" i="5"/>
  <c r="K8877" i="5"/>
  <c r="L8877" i="5"/>
  <c r="Q8877" i="5"/>
  <c r="R8877" i="5"/>
  <c r="K8878" i="5"/>
  <c r="L8878" i="5"/>
  <c r="Q8878" i="5"/>
  <c r="R8878" i="5"/>
  <c r="K8879" i="5"/>
  <c r="L8879" i="5"/>
  <c r="Q8879" i="5"/>
  <c r="R8879" i="5"/>
  <c r="K8880" i="5"/>
  <c r="L8880" i="5"/>
  <c r="Q8880" i="5"/>
  <c r="R8880" i="5"/>
  <c r="K8881" i="5"/>
  <c r="L8881" i="5"/>
  <c r="Q8881" i="5"/>
  <c r="R8881" i="5"/>
  <c r="K8882" i="5"/>
  <c r="L8882" i="5"/>
  <c r="Q8882" i="5"/>
  <c r="R8882" i="5"/>
  <c r="K8883" i="5"/>
  <c r="L8883" i="5"/>
  <c r="Q8883" i="5"/>
  <c r="R8883" i="5"/>
  <c r="K8884" i="5"/>
  <c r="L8884" i="5"/>
  <c r="Q8884" i="5"/>
  <c r="R8884" i="5"/>
  <c r="K8885" i="5"/>
  <c r="L8885" i="5"/>
  <c r="Q8885" i="5"/>
  <c r="R8885" i="5"/>
  <c r="K8886" i="5"/>
  <c r="L8886" i="5"/>
  <c r="Q8886" i="5"/>
  <c r="R8886" i="5"/>
  <c r="K8887" i="5"/>
  <c r="L8887" i="5"/>
  <c r="Q8887" i="5"/>
  <c r="R8887" i="5"/>
  <c r="K8888" i="5"/>
  <c r="L8888" i="5"/>
  <c r="Q8888" i="5"/>
  <c r="R8888" i="5"/>
  <c r="K8889" i="5"/>
  <c r="L8889" i="5"/>
  <c r="Q8889" i="5"/>
  <c r="R8889" i="5"/>
  <c r="K8890" i="5"/>
  <c r="L8890" i="5"/>
  <c r="Q8890" i="5"/>
  <c r="R8890" i="5"/>
  <c r="K8891" i="5"/>
  <c r="L8891" i="5"/>
  <c r="Q8891" i="5"/>
  <c r="R8891" i="5"/>
  <c r="K8892" i="5"/>
  <c r="L8892" i="5"/>
  <c r="Q8892" i="5"/>
  <c r="R8892" i="5"/>
  <c r="K8893" i="5"/>
  <c r="L8893" i="5"/>
  <c r="Q8893" i="5"/>
  <c r="R8893" i="5"/>
  <c r="K8894" i="5"/>
  <c r="L8894" i="5"/>
  <c r="Q8894" i="5"/>
  <c r="R8894" i="5"/>
  <c r="K8895" i="5"/>
  <c r="L8895" i="5"/>
  <c r="Q8895" i="5"/>
  <c r="R8895" i="5"/>
  <c r="K8896" i="5"/>
  <c r="L8896" i="5"/>
  <c r="Q8896" i="5"/>
  <c r="R8896" i="5"/>
  <c r="K8897" i="5"/>
  <c r="L8897" i="5"/>
  <c r="Q8897" i="5"/>
  <c r="R8897" i="5"/>
  <c r="K8898" i="5"/>
  <c r="L8898" i="5"/>
  <c r="Q8898" i="5"/>
  <c r="R8898" i="5"/>
  <c r="K8899" i="5"/>
  <c r="L8899" i="5"/>
  <c r="Q8899" i="5"/>
  <c r="R8899" i="5"/>
  <c r="K8900" i="5"/>
  <c r="L8900" i="5"/>
  <c r="Q8900" i="5"/>
  <c r="R8900" i="5"/>
  <c r="K8901" i="5"/>
  <c r="L8901" i="5"/>
  <c r="Q8901" i="5"/>
  <c r="R8901" i="5"/>
  <c r="K8902" i="5"/>
  <c r="L8902" i="5"/>
  <c r="Q8902" i="5"/>
  <c r="R8902" i="5"/>
  <c r="K8903" i="5"/>
  <c r="L8903" i="5"/>
  <c r="Q8903" i="5"/>
  <c r="R8903" i="5"/>
  <c r="K8904" i="5"/>
  <c r="L8904" i="5"/>
  <c r="Q8904" i="5"/>
  <c r="R8904" i="5"/>
  <c r="K8905" i="5"/>
  <c r="L8905" i="5"/>
  <c r="Q8905" i="5"/>
  <c r="R8905" i="5"/>
  <c r="K8906" i="5"/>
  <c r="L8906" i="5"/>
  <c r="Q8906" i="5"/>
  <c r="R8906" i="5"/>
  <c r="K8907" i="5"/>
  <c r="L8907" i="5"/>
  <c r="Q8907" i="5"/>
  <c r="R8907" i="5"/>
  <c r="K8908" i="5"/>
  <c r="L8908" i="5"/>
  <c r="Q8908" i="5"/>
  <c r="R8908" i="5"/>
  <c r="K8909" i="5"/>
  <c r="L8909" i="5"/>
  <c r="Q8909" i="5"/>
  <c r="R8909" i="5"/>
  <c r="K8910" i="5"/>
  <c r="L8910" i="5"/>
  <c r="Q8910" i="5"/>
  <c r="R8910" i="5"/>
  <c r="K8911" i="5"/>
  <c r="L8911" i="5"/>
  <c r="Q8911" i="5"/>
  <c r="R8911" i="5"/>
  <c r="K8912" i="5"/>
  <c r="L8912" i="5"/>
  <c r="Q8912" i="5"/>
  <c r="R8912" i="5"/>
  <c r="K8913" i="5"/>
  <c r="L8913" i="5"/>
  <c r="Q8913" i="5"/>
  <c r="R8913" i="5"/>
  <c r="K8914" i="5"/>
  <c r="L8914" i="5"/>
  <c r="Q8914" i="5"/>
  <c r="R8914" i="5"/>
  <c r="K8915" i="5"/>
  <c r="L8915" i="5"/>
  <c r="Q8915" i="5"/>
  <c r="R8915" i="5"/>
  <c r="K8916" i="5"/>
  <c r="L8916" i="5"/>
  <c r="Q8916" i="5"/>
  <c r="R8916" i="5"/>
  <c r="K8917" i="5"/>
  <c r="L8917" i="5"/>
  <c r="Q8917" i="5"/>
  <c r="R8917" i="5"/>
  <c r="K8918" i="5"/>
  <c r="L8918" i="5"/>
  <c r="Q8918" i="5"/>
  <c r="R8918" i="5"/>
  <c r="K8919" i="5"/>
  <c r="L8919" i="5"/>
  <c r="Q8919" i="5"/>
  <c r="R8919" i="5"/>
  <c r="K8920" i="5"/>
  <c r="L8920" i="5"/>
  <c r="Q8920" i="5"/>
  <c r="R8920" i="5"/>
  <c r="K8921" i="5"/>
  <c r="L8921" i="5"/>
  <c r="Q8921" i="5"/>
  <c r="R8921" i="5"/>
  <c r="K8922" i="5"/>
  <c r="L8922" i="5"/>
  <c r="Q8922" i="5"/>
  <c r="R8922" i="5"/>
  <c r="K8923" i="5"/>
  <c r="L8923" i="5"/>
  <c r="Q8923" i="5"/>
  <c r="R8923" i="5"/>
  <c r="K8924" i="5"/>
  <c r="L8924" i="5"/>
  <c r="Q8924" i="5"/>
  <c r="R8924" i="5"/>
  <c r="K8925" i="5"/>
  <c r="L8925" i="5"/>
  <c r="Q8925" i="5"/>
  <c r="R8925" i="5"/>
  <c r="K8926" i="5"/>
  <c r="L8926" i="5"/>
  <c r="Q8926" i="5"/>
  <c r="R8926" i="5"/>
  <c r="K8927" i="5"/>
  <c r="L8927" i="5"/>
  <c r="Q8927" i="5"/>
  <c r="R8927" i="5"/>
  <c r="K8928" i="5"/>
  <c r="L8928" i="5"/>
  <c r="Q8928" i="5"/>
  <c r="R8928" i="5"/>
  <c r="K8929" i="5"/>
  <c r="L8929" i="5"/>
  <c r="Q8929" i="5"/>
  <c r="R8929" i="5"/>
  <c r="K8930" i="5"/>
  <c r="L8930" i="5"/>
  <c r="Q8930" i="5"/>
  <c r="R8930" i="5"/>
  <c r="K8931" i="5"/>
  <c r="L8931" i="5"/>
  <c r="Q8931" i="5"/>
  <c r="R8931" i="5"/>
  <c r="K8932" i="5"/>
  <c r="L8932" i="5"/>
  <c r="Q8932" i="5"/>
  <c r="R8932" i="5"/>
  <c r="K8933" i="5"/>
  <c r="L8933" i="5"/>
  <c r="Q8933" i="5"/>
  <c r="R8933" i="5"/>
  <c r="K8934" i="5"/>
  <c r="L8934" i="5"/>
  <c r="Q8934" i="5"/>
  <c r="R8934" i="5"/>
  <c r="K8935" i="5"/>
  <c r="L8935" i="5"/>
  <c r="Q8935" i="5"/>
  <c r="R8935" i="5"/>
  <c r="K8936" i="5"/>
  <c r="L8936" i="5"/>
  <c r="Q8936" i="5"/>
  <c r="R8936" i="5"/>
  <c r="K8937" i="5"/>
  <c r="L8937" i="5"/>
  <c r="Q8937" i="5"/>
  <c r="R8937" i="5"/>
  <c r="K8938" i="5"/>
  <c r="L8938" i="5"/>
  <c r="Q8938" i="5"/>
  <c r="R8938" i="5"/>
  <c r="K8939" i="5"/>
  <c r="L8939" i="5"/>
  <c r="Q8939" i="5"/>
  <c r="R8939" i="5"/>
  <c r="K8940" i="5"/>
  <c r="L8940" i="5"/>
  <c r="Q8940" i="5"/>
  <c r="R8940" i="5"/>
  <c r="K8941" i="5"/>
  <c r="L8941" i="5"/>
  <c r="Q8941" i="5"/>
  <c r="R8941" i="5"/>
  <c r="K8942" i="5"/>
  <c r="L8942" i="5"/>
  <c r="Q8942" i="5"/>
  <c r="R8942" i="5"/>
  <c r="K8943" i="5"/>
  <c r="L8943" i="5"/>
  <c r="Q8943" i="5"/>
  <c r="R8943" i="5"/>
  <c r="K8944" i="5"/>
  <c r="L8944" i="5"/>
  <c r="Q8944" i="5"/>
  <c r="R8944" i="5"/>
  <c r="K8945" i="5"/>
  <c r="L8945" i="5"/>
  <c r="Q8945" i="5"/>
  <c r="R8945" i="5"/>
  <c r="K8946" i="5"/>
  <c r="L8946" i="5"/>
  <c r="Q8946" i="5"/>
  <c r="R8946" i="5"/>
  <c r="K8947" i="5"/>
  <c r="L8947" i="5"/>
  <c r="Q8947" i="5"/>
  <c r="R8947" i="5"/>
  <c r="K8948" i="5"/>
  <c r="L8948" i="5"/>
  <c r="Q8948" i="5"/>
  <c r="R8948" i="5"/>
  <c r="K8949" i="5"/>
  <c r="L8949" i="5"/>
  <c r="Q8949" i="5"/>
  <c r="R8949" i="5"/>
  <c r="K8950" i="5"/>
  <c r="L8950" i="5"/>
  <c r="Q8950" i="5"/>
  <c r="R8950" i="5"/>
  <c r="K8951" i="5"/>
  <c r="L8951" i="5"/>
  <c r="Q8951" i="5"/>
  <c r="R8951" i="5"/>
  <c r="K8952" i="5"/>
  <c r="L8952" i="5"/>
  <c r="Q8952" i="5"/>
  <c r="R8952" i="5"/>
  <c r="K8953" i="5"/>
  <c r="L8953" i="5"/>
  <c r="Q8953" i="5"/>
  <c r="R8953" i="5"/>
  <c r="K8954" i="5"/>
  <c r="L8954" i="5"/>
  <c r="Q8954" i="5"/>
  <c r="R8954" i="5"/>
  <c r="K8955" i="5"/>
  <c r="L8955" i="5"/>
  <c r="Q8955" i="5"/>
  <c r="R8955" i="5"/>
  <c r="K8956" i="5"/>
  <c r="L8956" i="5"/>
  <c r="Q8956" i="5"/>
  <c r="R8956" i="5"/>
  <c r="K8957" i="5"/>
  <c r="L8957" i="5"/>
  <c r="Q8957" i="5"/>
  <c r="R8957" i="5"/>
  <c r="K8958" i="5"/>
  <c r="L8958" i="5"/>
  <c r="Q8958" i="5"/>
  <c r="R8958" i="5"/>
  <c r="K8959" i="5"/>
  <c r="L8959" i="5"/>
  <c r="Q8959" i="5"/>
  <c r="R8959" i="5"/>
  <c r="K8960" i="5"/>
  <c r="L8960" i="5"/>
  <c r="Q8960" i="5"/>
  <c r="R8960" i="5"/>
  <c r="K8961" i="5"/>
  <c r="L8961" i="5"/>
  <c r="Q8961" i="5"/>
  <c r="R8961" i="5"/>
  <c r="K8962" i="5"/>
  <c r="L8962" i="5"/>
  <c r="Q8962" i="5"/>
  <c r="R8962" i="5"/>
  <c r="K8963" i="5"/>
  <c r="L8963" i="5"/>
  <c r="Q8963" i="5"/>
  <c r="R8963" i="5"/>
  <c r="K8964" i="5"/>
  <c r="L8964" i="5"/>
  <c r="Q8964" i="5"/>
  <c r="R8964" i="5"/>
  <c r="K8965" i="5"/>
  <c r="L8965" i="5"/>
  <c r="Q8965" i="5"/>
  <c r="R8965" i="5"/>
  <c r="K8966" i="5"/>
  <c r="L8966" i="5"/>
  <c r="Q8966" i="5"/>
  <c r="R8966" i="5"/>
  <c r="K8967" i="5"/>
  <c r="L8967" i="5"/>
  <c r="Q8967" i="5"/>
  <c r="R8967" i="5"/>
  <c r="K8968" i="5"/>
  <c r="L8968" i="5"/>
  <c r="Q8968" i="5"/>
  <c r="R8968" i="5"/>
  <c r="K8969" i="5"/>
  <c r="L8969" i="5"/>
  <c r="Q8969" i="5"/>
  <c r="R8969" i="5"/>
  <c r="K8970" i="5"/>
  <c r="L8970" i="5"/>
  <c r="Q8970" i="5"/>
  <c r="R8970" i="5"/>
  <c r="K8971" i="5"/>
  <c r="L8971" i="5"/>
  <c r="Q8971" i="5"/>
  <c r="R8971" i="5"/>
  <c r="K8972" i="5"/>
  <c r="L8972" i="5"/>
  <c r="Q8972" i="5"/>
  <c r="R8972" i="5"/>
  <c r="K8973" i="5"/>
  <c r="L8973" i="5"/>
  <c r="Q8973" i="5"/>
  <c r="R8973" i="5"/>
  <c r="K8974" i="5"/>
  <c r="L8974" i="5"/>
  <c r="Q8974" i="5"/>
  <c r="R8974" i="5"/>
  <c r="K8975" i="5"/>
  <c r="L8975" i="5"/>
  <c r="Q8975" i="5"/>
  <c r="R8975" i="5"/>
  <c r="K8976" i="5"/>
  <c r="L8976" i="5"/>
  <c r="Q8976" i="5"/>
  <c r="R8976" i="5"/>
  <c r="K8977" i="5"/>
  <c r="L8977" i="5"/>
  <c r="Q8977" i="5"/>
  <c r="R8977" i="5"/>
  <c r="K8978" i="5"/>
  <c r="L8978" i="5"/>
  <c r="Q8978" i="5"/>
  <c r="R8978" i="5"/>
  <c r="K8979" i="5"/>
  <c r="L8979" i="5"/>
  <c r="Q8979" i="5"/>
  <c r="R8979" i="5"/>
  <c r="K8980" i="5"/>
  <c r="L8980" i="5"/>
  <c r="Q8980" i="5"/>
  <c r="R8980" i="5"/>
  <c r="K8981" i="5"/>
  <c r="L8981" i="5"/>
  <c r="Q8981" i="5"/>
  <c r="R8981" i="5"/>
  <c r="K8982" i="5"/>
  <c r="L8982" i="5"/>
  <c r="Q8982" i="5"/>
  <c r="R8982" i="5"/>
  <c r="K8983" i="5"/>
  <c r="L8983" i="5"/>
  <c r="Q8983" i="5"/>
  <c r="R8983" i="5"/>
  <c r="K8984" i="5"/>
  <c r="L8984" i="5"/>
  <c r="Q8984" i="5"/>
  <c r="R8984" i="5"/>
  <c r="K8985" i="5"/>
  <c r="L8985" i="5"/>
  <c r="Q8985" i="5"/>
  <c r="R8985" i="5"/>
  <c r="K8986" i="5"/>
  <c r="L8986" i="5"/>
  <c r="Q8986" i="5"/>
  <c r="R8986" i="5"/>
  <c r="K8987" i="5"/>
  <c r="L8987" i="5"/>
  <c r="Q8987" i="5"/>
  <c r="R8987" i="5"/>
  <c r="K8988" i="5"/>
  <c r="L8988" i="5"/>
  <c r="Q8988" i="5"/>
  <c r="R8988" i="5"/>
  <c r="K8989" i="5"/>
  <c r="L8989" i="5"/>
  <c r="Q8989" i="5"/>
  <c r="R8989" i="5"/>
  <c r="K8990" i="5"/>
  <c r="L8990" i="5"/>
  <c r="Q8990" i="5"/>
  <c r="R8990" i="5"/>
  <c r="K8991" i="5"/>
  <c r="L8991" i="5"/>
  <c r="Q8991" i="5"/>
  <c r="R8991" i="5"/>
  <c r="K8992" i="5"/>
  <c r="L8992" i="5"/>
  <c r="Q8992" i="5"/>
  <c r="R8992" i="5"/>
  <c r="K8993" i="5"/>
  <c r="L8993" i="5"/>
  <c r="Q8993" i="5"/>
  <c r="R8993" i="5"/>
  <c r="K8994" i="5"/>
  <c r="L8994" i="5"/>
  <c r="Q8994" i="5"/>
  <c r="R8994" i="5"/>
  <c r="K8995" i="5"/>
  <c r="L8995" i="5"/>
  <c r="Q8995" i="5"/>
  <c r="R8995" i="5"/>
  <c r="K8996" i="5"/>
  <c r="L8996" i="5"/>
  <c r="Q8996" i="5"/>
  <c r="R8996" i="5"/>
  <c r="K8997" i="5"/>
  <c r="L8997" i="5"/>
  <c r="Q8997" i="5"/>
  <c r="R8997" i="5"/>
  <c r="K8998" i="5"/>
  <c r="L8998" i="5"/>
  <c r="Q8998" i="5"/>
  <c r="R8998" i="5"/>
  <c r="K8999" i="5"/>
  <c r="L8999" i="5"/>
  <c r="Q8999" i="5"/>
  <c r="R8999" i="5"/>
  <c r="K9000" i="5"/>
  <c r="L9000" i="5"/>
  <c r="Q9000" i="5"/>
  <c r="R9000" i="5"/>
  <c r="K9001" i="5"/>
  <c r="L9001" i="5"/>
  <c r="Q9001" i="5"/>
  <c r="R9001" i="5"/>
  <c r="K9002" i="5"/>
  <c r="L9002" i="5"/>
  <c r="Q9002" i="5"/>
  <c r="R9002" i="5"/>
  <c r="K9003" i="5"/>
  <c r="L9003" i="5"/>
  <c r="Q9003" i="5"/>
  <c r="R9003" i="5"/>
  <c r="K9004" i="5"/>
  <c r="L9004" i="5"/>
  <c r="Q9004" i="5"/>
  <c r="R9004" i="5"/>
  <c r="K9005" i="5"/>
  <c r="L9005" i="5"/>
  <c r="Q9005" i="5"/>
  <c r="R9005" i="5"/>
  <c r="K9006" i="5"/>
  <c r="L9006" i="5"/>
  <c r="Q9006" i="5"/>
  <c r="R9006" i="5"/>
  <c r="K9007" i="5"/>
  <c r="L9007" i="5"/>
  <c r="Q9007" i="5"/>
  <c r="R9007" i="5"/>
  <c r="K9008" i="5"/>
  <c r="L9008" i="5"/>
  <c r="Q9008" i="5"/>
  <c r="R9008" i="5"/>
  <c r="K9009" i="5"/>
  <c r="L9009" i="5"/>
  <c r="Q9009" i="5"/>
  <c r="R9009" i="5"/>
  <c r="K9010" i="5"/>
  <c r="L9010" i="5"/>
  <c r="Q9010" i="5"/>
  <c r="R9010" i="5"/>
  <c r="K9011" i="5"/>
  <c r="L9011" i="5"/>
  <c r="Q9011" i="5"/>
  <c r="R9011" i="5"/>
  <c r="K9012" i="5"/>
  <c r="L9012" i="5"/>
  <c r="Q9012" i="5"/>
  <c r="R9012" i="5"/>
  <c r="K9013" i="5"/>
  <c r="L9013" i="5"/>
  <c r="Q9013" i="5"/>
  <c r="R9013" i="5"/>
  <c r="K9014" i="5"/>
  <c r="L9014" i="5"/>
  <c r="Q9014" i="5"/>
  <c r="R9014" i="5"/>
  <c r="K9015" i="5"/>
  <c r="L9015" i="5"/>
  <c r="Q9015" i="5"/>
  <c r="R9015" i="5"/>
  <c r="K9016" i="5"/>
  <c r="L9016" i="5"/>
  <c r="Q9016" i="5"/>
  <c r="R9016" i="5"/>
  <c r="K9017" i="5"/>
  <c r="L9017" i="5"/>
  <c r="Q9017" i="5"/>
  <c r="R9017" i="5"/>
  <c r="K9018" i="5"/>
  <c r="L9018" i="5"/>
  <c r="Q9018" i="5"/>
  <c r="R9018" i="5"/>
  <c r="K9019" i="5"/>
  <c r="L9019" i="5"/>
  <c r="Q9019" i="5"/>
  <c r="R9019" i="5"/>
  <c r="K9020" i="5"/>
  <c r="L9020" i="5"/>
  <c r="Q9020" i="5"/>
  <c r="R9020" i="5"/>
  <c r="K9021" i="5"/>
  <c r="L9021" i="5"/>
  <c r="Q9021" i="5"/>
  <c r="R9021" i="5"/>
  <c r="K9022" i="5"/>
  <c r="L9022" i="5"/>
  <c r="Q9022" i="5"/>
  <c r="R9022" i="5"/>
  <c r="K9023" i="5"/>
  <c r="L9023" i="5"/>
  <c r="Q9023" i="5"/>
  <c r="R9023" i="5"/>
  <c r="K9024" i="5"/>
  <c r="L9024" i="5"/>
  <c r="Q9024" i="5"/>
  <c r="R9024" i="5"/>
  <c r="K9025" i="5"/>
  <c r="L9025" i="5"/>
  <c r="Q9025" i="5"/>
  <c r="R9025" i="5"/>
  <c r="K9026" i="5"/>
  <c r="L9026" i="5"/>
  <c r="Q9026" i="5"/>
  <c r="R9026" i="5"/>
  <c r="K9027" i="5"/>
  <c r="L9027" i="5"/>
  <c r="Q9027" i="5"/>
  <c r="R9027" i="5"/>
  <c r="K9028" i="5"/>
  <c r="L9028" i="5"/>
  <c r="Q9028" i="5"/>
  <c r="R9028" i="5"/>
  <c r="K9029" i="5"/>
  <c r="L9029" i="5"/>
  <c r="Q9029" i="5"/>
  <c r="R9029" i="5"/>
  <c r="K9030" i="5"/>
  <c r="L9030" i="5"/>
  <c r="Q9030" i="5"/>
  <c r="R9030" i="5"/>
  <c r="K9031" i="5"/>
  <c r="L9031" i="5"/>
  <c r="Q9031" i="5"/>
  <c r="R9031" i="5"/>
  <c r="K9032" i="5"/>
  <c r="L9032" i="5"/>
  <c r="Q9032" i="5"/>
  <c r="R9032" i="5"/>
  <c r="K9033" i="5"/>
  <c r="L9033" i="5"/>
  <c r="Q9033" i="5"/>
  <c r="R9033" i="5"/>
  <c r="K9034" i="5"/>
  <c r="L9034" i="5"/>
  <c r="Q9034" i="5"/>
  <c r="R9034" i="5"/>
  <c r="K9035" i="5"/>
  <c r="L9035" i="5"/>
  <c r="Q9035" i="5"/>
  <c r="R9035" i="5"/>
  <c r="K9036" i="5"/>
  <c r="L9036" i="5"/>
  <c r="Q9036" i="5"/>
  <c r="R9036" i="5"/>
  <c r="K9037" i="5"/>
  <c r="L9037" i="5"/>
  <c r="Q9037" i="5"/>
  <c r="R9037" i="5"/>
  <c r="K9038" i="5"/>
  <c r="L9038" i="5"/>
  <c r="Q9038" i="5"/>
  <c r="R9038" i="5"/>
  <c r="K9039" i="5"/>
  <c r="L9039" i="5"/>
  <c r="Q9039" i="5"/>
  <c r="R9039" i="5"/>
  <c r="K9040" i="5"/>
  <c r="L9040" i="5"/>
  <c r="Q9040" i="5"/>
  <c r="R9040" i="5"/>
  <c r="K9041" i="5"/>
  <c r="L9041" i="5"/>
  <c r="Q9041" i="5"/>
  <c r="R9041" i="5"/>
  <c r="K9042" i="5"/>
  <c r="L9042" i="5"/>
  <c r="Q9042" i="5"/>
  <c r="R9042" i="5"/>
  <c r="K9043" i="5"/>
  <c r="L9043" i="5"/>
  <c r="Q9043" i="5"/>
  <c r="R9043" i="5"/>
  <c r="K9044" i="5"/>
  <c r="L9044" i="5"/>
  <c r="Q9044" i="5"/>
  <c r="R9044" i="5"/>
  <c r="K9045" i="5"/>
  <c r="L9045" i="5"/>
  <c r="Q9045" i="5"/>
  <c r="R9045" i="5"/>
  <c r="K9046" i="5"/>
  <c r="L9046" i="5"/>
  <c r="Q9046" i="5"/>
  <c r="R9046" i="5"/>
  <c r="K9047" i="5"/>
  <c r="L9047" i="5"/>
  <c r="Q9047" i="5"/>
  <c r="R9047" i="5"/>
  <c r="K9048" i="5"/>
  <c r="L9048" i="5"/>
  <c r="Q9048" i="5"/>
  <c r="R9048" i="5"/>
  <c r="K9049" i="5"/>
  <c r="L9049" i="5"/>
  <c r="Q9049" i="5"/>
  <c r="R9049" i="5"/>
  <c r="K9050" i="5"/>
  <c r="L9050" i="5"/>
  <c r="Q9050" i="5"/>
  <c r="R9050" i="5"/>
  <c r="K9051" i="5"/>
  <c r="L9051" i="5"/>
  <c r="Q9051" i="5"/>
  <c r="R9051" i="5"/>
  <c r="K9052" i="5"/>
  <c r="L9052" i="5"/>
  <c r="Q9052" i="5"/>
  <c r="R9052" i="5"/>
  <c r="K9053" i="5"/>
  <c r="L9053" i="5"/>
  <c r="Q9053" i="5"/>
  <c r="R9053" i="5"/>
  <c r="K9054" i="5"/>
  <c r="L9054" i="5"/>
  <c r="Q9054" i="5"/>
  <c r="R9054" i="5"/>
  <c r="K9055" i="5"/>
  <c r="L9055" i="5"/>
  <c r="Q9055" i="5"/>
  <c r="R9055" i="5"/>
  <c r="K9056" i="5"/>
  <c r="L9056" i="5"/>
  <c r="Q9056" i="5"/>
  <c r="R9056" i="5"/>
  <c r="K9057" i="5"/>
  <c r="L9057" i="5"/>
  <c r="Q9057" i="5"/>
  <c r="R9057" i="5"/>
  <c r="K9058" i="5"/>
  <c r="L9058" i="5"/>
  <c r="Q9058" i="5"/>
  <c r="R9058" i="5"/>
  <c r="K9059" i="5"/>
  <c r="L9059" i="5"/>
  <c r="Q9059" i="5"/>
  <c r="R9059" i="5"/>
  <c r="K9060" i="5"/>
  <c r="L9060" i="5"/>
  <c r="Q9060" i="5"/>
  <c r="R9060" i="5"/>
  <c r="K9061" i="5"/>
  <c r="L9061" i="5"/>
  <c r="Q9061" i="5"/>
  <c r="R9061" i="5"/>
  <c r="K9062" i="5"/>
  <c r="L9062" i="5"/>
  <c r="Q9062" i="5"/>
  <c r="R9062" i="5"/>
  <c r="K9063" i="5"/>
  <c r="L9063" i="5"/>
  <c r="Q9063" i="5"/>
  <c r="R9063" i="5"/>
  <c r="K9064" i="5"/>
  <c r="L9064" i="5"/>
  <c r="Q9064" i="5"/>
  <c r="R9064" i="5"/>
  <c r="K9065" i="5"/>
  <c r="L9065" i="5"/>
  <c r="Q9065" i="5"/>
  <c r="R9065" i="5"/>
  <c r="K9066" i="5"/>
  <c r="L9066" i="5"/>
  <c r="Q9066" i="5"/>
  <c r="R9066" i="5"/>
  <c r="K9067" i="5"/>
  <c r="L9067" i="5"/>
  <c r="Q9067" i="5"/>
  <c r="R9067" i="5"/>
  <c r="K9068" i="5"/>
  <c r="L9068" i="5"/>
  <c r="Q9068" i="5"/>
  <c r="R9068" i="5"/>
  <c r="K9069" i="5"/>
  <c r="L9069" i="5"/>
  <c r="Q9069" i="5"/>
  <c r="R9069" i="5"/>
  <c r="K9070" i="5"/>
  <c r="L9070" i="5"/>
  <c r="Q9070" i="5"/>
  <c r="R9070" i="5"/>
  <c r="K9071" i="5"/>
  <c r="L9071" i="5"/>
  <c r="Q9071" i="5"/>
  <c r="R9071" i="5"/>
  <c r="K9072" i="5"/>
  <c r="L9072" i="5"/>
  <c r="Q9072" i="5"/>
  <c r="R9072" i="5"/>
  <c r="K9073" i="5"/>
  <c r="L9073" i="5"/>
  <c r="Q9073" i="5"/>
  <c r="R9073" i="5"/>
  <c r="K9074" i="5"/>
  <c r="L9074" i="5"/>
  <c r="Q9074" i="5"/>
  <c r="R9074" i="5"/>
  <c r="K9075" i="5"/>
  <c r="L9075" i="5"/>
  <c r="Q9075" i="5"/>
  <c r="R9075" i="5"/>
  <c r="K9076" i="5"/>
  <c r="L9076" i="5"/>
  <c r="Q9076" i="5"/>
  <c r="R9076" i="5"/>
  <c r="K9077" i="5"/>
  <c r="L9077" i="5"/>
  <c r="Q9077" i="5"/>
  <c r="R9077" i="5"/>
  <c r="K9078" i="5"/>
  <c r="L9078" i="5"/>
  <c r="Q9078" i="5"/>
  <c r="R9078" i="5"/>
  <c r="K9079" i="5"/>
  <c r="L9079" i="5"/>
  <c r="Q9079" i="5"/>
  <c r="R9079" i="5"/>
  <c r="K9080" i="5"/>
  <c r="L9080" i="5"/>
  <c r="Q9080" i="5"/>
  <c r="R9080" i="5"/>
  <c r="K9081" i="5"/>
  <c r="L9081" i="5"/>
  <c r="Q9081" i="5"/>
  <c r="R9081" i="5"/>
  <c r="K9082" i="5"/>
  <c r="L9082" i="5"/>
  <c r="Q9082" i="5"/>
  <c r="R9082" i="5"/>
  <c r="K9083" i="5"/>
  <c r="L9083" i="5"/>
  <c r="Q9083" i="5"/>
  <c r="R9083" i="5"/>
  <c r="K9084" i="5"/>
  <c r="L9084" i="5"/>
  <c r="Q9084" i="5"/>
  <c r="R9084" i="5"/>
  <c r="K9085" i="5"/>
  <c r="L9085" i="5"/>
  <c r="Q9085" i="5"/>
  <c r="R9085" i="5"/>
  <c r="K9086" i="5"/>
  <c r="L9086" i="5"/>
  <c r="Q9086" i="5"/>
  <c r="R9086" i="5"/>
  <c r="K9087" i="5"/>
  <c r="L9087" i="5"/>
  <c r="Q9087" i="5"/>
  <c r="R9087" i="5"/>
  <c r="K9088" i="5"/>
  <c r="L9088" i="5"/>
  <c r="Q9088" i="5"/>
  <c r="R9088" i="5"/>
  <c r="K9089" i="5"/>
  <c r="L9089" i="5"/>
  <c r="Q9089" i="5"/>
  <c r="R9089" i="5"/>
  <c r="K9090" i="5"/>
  <c r="L9090" i="5"/>
  <c r="Q9090" i="5"/>
  <c r="R9090" i="5"/>
  <c r="K9091" i="5"/>
  <c r="L9091" i="5"/>
  <c r="Q9091" i="5"/>
  <c r="R9091" i="5"/>
  <c r="K9092" i="5"/>
  <c r="L9092" i="5"/>
  <c r="Q9092" i="5"/>
  <c r="R9092" i="5"/>
  <c r="K9093" i="5"/>
  <c r="L9093" i="5"/>
  <c r="Q9093" i="5"/>
  <c r="R9093" i="5"/>
  <c r="K9094" i="5"/>
  <c r="L9094" i="5"/>
  <c r="Q9094" i="5"/>
  <c r="R9094" i="5"/>
  <c r="K9095" i="5"/>
  <c r="L9095" i="5"/>
  <c r="Q9095" i="5"/>
  <c r="R9095" i="5"/>
  <c r="K9096" i="5"/>
  <c r="L9096" i="5"/>
  <c r="Q9096" i="5"/>
  <c r="R9096" i="5"/>
  <c r="K9097" i="5"/>
  <c r="L9097" i="5"/>
  <c r="Q9097" i="5"/>
  <c r="R9097" i="5"/>
  <c r="K9098" i="5"/>
  <c r="L9098" i="5"/>
  <c r="Q9098" i="5"/>
  <c r="R9098" i="5"/>
  <c r="K9099" i="5"/>
  <c r="L9099" i="5"/>
  <c r="Q9099" i="5"/>
  <c r="R9099" i="5"/>
  <c r="K9100" i="5"/>
  <c r="L9100" i="5"/>
  <c r="Q9100" i="5"/>
  <c r="R9100" i="5"/>
  <c r="K9101" i="5"/>
  <c r="L9101" i="5"/>
  <c r="Q9101" i="5"/>
  <c r="R9101" i="5"/>
  <c r="K9102" i="5"/>
  <c r="L9102" i="5"/>
  <c r="Q9102" i="5"/>
  <c r="R9102" i="5"/>
  <c r="K9103" i="5"/>
  <c r="L9103" i="5"/>
  <c r="Q9103" i="5"/>
  <c r="R9103" i="5"/>
  <c r="K9104" i="5"/>
  <c r="L9104" i="5"/>
  <c r="Q9104" i="5"/>
  <c r="R9104" i="5"/>
  <c r="K9105" i="5"/>
  <c r="L9105" i="5"/>
  <c r="Q9105" i="5"/>
  <c r="R9105" i="5"/>
  <c r="K9106" i="5"/>
  <c r="L9106" i="5"/>
  <c r="Q9106" i="5"/>
  <c r="R9106" i="5"/>
  <c r="K9107" i="5"/>
  <c r="L9107" i="5"/>
  <c r="Q9107" i="5"/>
  <c r="R9107" i="5"/>
  <c r="K9108" i="5"/>
  <c r="L9108" i="5"/>
  <c r="Q9108" i="5"/>
  <c r="R9108" i="5"/>
  <c r="K9109" i="5"/>
  <c r="L9109" i="5"/>
  <c r="Q9109" i="5"/>
  <c r="R9109" i="5"/>
  <c r="K9110" i="5"/>
  <c r="L9110" i="5"/>
  <c r="Q9110" i="5"/>
  <c r="R9110" i="5"/>
  <c r="K9111" i="5"/>
  <c r="L9111" i="5"/>
  <c r="Q9111" i="5"/>
  <c r="R9111" i="5"/>
  <c r="K9112" i="5"/>
  <c r="L9112" i="5"/>
  <c r="Q9112" i="5"/>
  <c r="R9112" i="5"/>
  <c r="K9113" i="5"/>
  <c r="L9113" i="5"/>
  <c r="Q9113" i="5"/>
  <c r="R9113" i="5"/>
  <c r="K9114" i="5"/>
  <c r="L9114" i="5"/>
  <c r="Q9114" i="5"/>
  <c r="R9114" i="5"/>
  <c r="K9115" i="5"/>
  <c r="L9115" i="5"/>
  <c r="Q9115" i="5"/>
  <c r="R9115" i="5"/>
  <c r="K9116" i="5"/>
  <c r="L9116" i="5"/>
  <c r="Q9116" i="5"/>
  <c r="R9116" i="5"/>
  <c r="K9117" i="5"/>
  <c r="L9117" i="5"/>
  <c r="Q9117" i="5"/>
  <c r="R9117" i="5"/>
  <c r="K9118" i="5"/>
  <c r="L9118" i="5"/>
  <c r="Q9118" i="5"/>
  <c r="R9118" i="5"/>
  <c r="K9119" i="5"/>
  <c r="L9119" i="5"/>
  <c r="Q9119" i="5"/>
  <c r="R9119" i="5"/>
  <c r="K9120" i="5"/>
  <c r="L9120" i="5"/>
  <c r="Q9120" i="5"/>
  <c r="R9120" i="5"/>
  <c r="K9121" i="5"/>
  <c r="L9121" i="5"/>
  <c r="Q9121" i="5"/>
  <c r="R9121" i="5"/>
  <c r="K9122" i="5"/>
  <c r="L9122" i="5"/>
  <c r="Q9122" i="5"/>
  <c r="R9122" i="5"/>
  <c r="K9123" i="5"/>
  <c r="L9123" i="5"/>
  <c r="Q9123" i="5"/>
  <c r="R9123" i="5"/>
  <c r="K9124" i="5"/>
  <c r="L9124" i="5"/>
  <c r="Q9124" i="5"/>
  <c r="R9124" i="5"/>
  <c r="K9125" i="5"/>
  <c r="L9125" i="5"/>
  <c r="Q9125" i="5"/>
  <c r="R9125" i="5"/>
  <c r="K9126" i="5"/>
  <c r="L9126" i="5"/>
  <c r="Q9126" i="5"/>
  <c r="R9126" i="5"/>
  <c r="K9127" i="5"/>
  <c r="L9127" i="5"/>
  <c r="Q9127" i="5"/>
  <c r="R9127" i="5"/>
  <c r="K9128" i="5"/>
  <c r="L9128" i="5"/>
  <c r="Q9128" i="5"/>
  <c r="R9128" i="5"/>
  <c r="K9129" i="5"/>
  <c r="L9129" i="5"/>
  <c r="Q9129" i="5"/>
  <c r="R9129" i="5"/>
  <c r="K9130" i="5"/>
  <c r="L9130" i="5"/>
  <c r="Q9130" i="5"/>
  <c r="R9130" i="5"/>
  <c r="K9131" i="5"/>
  <c r="L9131" i="5"/>
  <c r="Q9131" i="5"/>
  <c r="R9131" i="5"/>
  <c r="K9132" i="5"/>
  <c r="L9132" i="5"/>
  <c r="Q9132" i="5"/>
  <c r="R9132" i="5"/>
  <c r="K9133" i="5"/>
  <c r="L9133" i="5"/>
  <c r="Q9133" i="5"/>
  <c r="R9133" i="5"/>
  <c r="K9134" i="5"/>
  <c r="L9134" i="5"/>
  <c r="Q9134" i="5"/>
  <c r="R9134" i="5"/>
  <c r="K9135" i="5"/>
  <c r="L9135" i="5"/>
  <c r="Q9135" i="5"/>
  <c r="R9135" i="5"/>
  <c r="K9136" i="5"/>
  <c r="L9136" i="5"/>
  <c r="Q9136" i="5"/>
  <c r="R9136" i="5"/>
  <c r="K9137" i="5"/>
  <c r="L9137" i="5"/>
  <c r="Q9137" i="5"/>
  <c r="R9137" i="5"/>
  <c r="K9138" i="5"/>
  <c r="L9138" i="5"/>
  <c r="Q9138" i="5"/>
  <c r="R9138" i="5"/>
  <c r="K9139" i="5"/>
  <c r="L9139" i="5"/>
  <c r="Q9139" i="5"/>
  <c r="R9139" i="5"/>
  <c r="K9140" i="5"/>
  <c r="L9140" i="5"/>
  <c r="Q9140" i="5"/>
  <c r="R9140" i="5"/>
  <c r="K9141" i="5"/>
  <c r="L9141" i="5"/>
  <c r="Q9141" i="5"/>
  <c r="R9141" i="5"/>
  <c r="K9142" i="5"/>
  <c r="L9142" i="5"/>
  <c r="Q9142" i="5"/>
  <c r="R9142" i="5"/>
  <c r="K9143" i="5"/>
  <c r="L9143" i="5"/>
  <c r="Q9143" i="5"/>
  <c r="R9143" i="5"/>
  <c r="K9144" i="5"/>
  <c r="L9144" i="5"/>
  <c r="Q9144" i="5"/>
  <c r="R9144" i="5"/>
  <c r="K9145" i="5"/>
  <c r="L9145" i="5"/>
  <c r="Q9145" i="5"/>
  <c r="R9145" i="5"/>
  <c r="K9146" i="5"/>
  <c r="L9146" i="5"/>
  <c r="Q9146" i="5"/>
  <c r="R9146" i="5"/>
  <c r="K9147" i="5"/>
  <c r="L9147" i="5"/>
  <c r="Q9147" i="5"/>
  <c r="R9147" i="5"/>
  <c r="K9148" i="5"/>
  <c r="L9148" i="5"/>
  <c r="Q9148" i="5"/>
  <c r="R9148" i="5"/>
  <c r="K9149" i="5"/>
  <c r="L9149" i="5"/>
  <c r="Q9149" i="5"/>
  <c r="R9149" i="5"/>
  <c r="K9150" i="5"/>
  <c r="L9150" i="5"/>
  <c r="Q9150" i="5"/>
  <c r="R9150" i="5"/>
  <c r="K9151" i="5"/>
  <c r="L9151" i="5"/>
  <c r="Q9151" i="5"/>
  <c r="R9151" i="5"/>
  <c r="K9152" i="5"/>
  <c r="L9152" i="5"/>
  <c r="Q9152" i="5"/>
  <c r="R9152" i="5"/>
  <c r="K9153" i="5"/>
  <c r="L9153" i="5"/>
  <c r="Q9153" i="5"/>
  <c r="R9153" i="5"/>
  <c r="K9154" i="5"/>
  <c r="L9154" i="5"/>
  <c r="Q9154" i="5"/>
  <c r="R9154" i="5"/>
  <c r="K9155" i="5"/>
  <c r="L9155" i="5"/>
  <c r="Q9155" i="5"/>
  <c r="R9155" i="5"/>
  <c r="K9156" i="5"/>
  <c r="L9156" i="5"/>
  <c r="Q9156" i="5"/>
  <c r="R9156" i="5"/>
  <c r="K9157" i="5"/>
  <c r="L9157" i="5"/>
  <c r="Q9157" i="5"/>
  <c r="R9157" i="5"/>
  <c r="K9158" i="5"/>
  <c r="L9158" i="5"/>
  <c r="Q9158" i="5"/>
  <c r="R9158" i="5"/>
  <c r="K9159" i="5"/>
  <c r="L9159" i="5"/>
  <c r="Q9159" i="5"/>
  <c r="R9159" i="5"/>
  <c r="K9160" i="5"/>
  <c r="L9160" i="5"/>
  <c r="Q9160" i="5"/>
  <c r="R9160" i="5"/>
  <c r="K9161" i="5"/>
  <c r="L9161" i="5"/>
  <c r="Q9161" i="5"/>
  <c r="R9161" i="5"/>
  <c r="K9162" i="5"/>
  <c r="L9162" i="5"/>
  <c r="Q9162" i="5"/>
  <c r="R9162" i="5"/>
  <c r="K9163" i="5"/>
  <c r="L9163" i="5"/>
  <c r="Q9163" i="5"/>
  <c r="R9163" i="5"/>
  <c r="K9164" i="5"/>
  <c r="L9164" i="5"/>
  <c r="Q9164" i="5"/>
  <c r="R9164" i="5"/>
  <c r="K9165" i="5"/>
  <c r="L9165" i="5"/>
  <c r="Q9165" i="5"/>
  <c r="R9165" i="5"/>
  <c r="K9166" i="5"/>
  <c r="L9166" i="5"/>
  <c r="Q9166" i="5"/>
  <c r="R9166" i="5"/>
  <c r="K9167" i="5"/>
  <c r="L9167" i="5"/>
  <c r="Q9167" i="5"/>
  <c r="R9167" i="5"/>
  <c r="K9168" i="5"/>
  <c r="L9168" i="5"/>
  <c r="Q9168" i="5"/>
  <c r="R9168" i="5"/>
  <c r="K9169" i="5"/>
  <c r="L9169" i="5"/>
  <c r="Q9169" i="5"/>
  <c r="R9169" i="5"/>
  <c r="K9170" i="5"/>
  <c r="L9170" i="5"/>
  <c r="Q9170" i="5"/>
  <c r="R9170" i="5"/>
  <c r="K9171" i="5"/>
  <c r="L9171" i="5"/>
  <c r="Q9171" i="5"/>
  <c r="R9171" i="5"/>
  <c r="K9172" i="5"/>
  <c r="L9172" i="5"/>
  <c r="Q9172" i="5"/>
  <c r="R9172" i="5"/>
  <c r="K9173" i="5"/>
  <c r="L9173" i="5"/>
  <c r="Q9173" i="5"/>
  <c r="R9173" i="5"/>
  <c r="K9174" i="5"/>
  <c r="L9174" i="5"/>
  <c r="Q9174" i="5"/>
  <c r="R9174" i="5"/>
  <c r="K9175" i="5"/>
  <c r="L9175" i="5"/>
  <c r="Q9175" i="5"/>
  <c r="R9175" i="5"/>
  <c r="K9176" i="5"/>
  <c r="L9176" i="5"/>
  <c r="Q9176" i="5"/>
  <c r="R9176" i="5"/>
  <c r="K9177" i="5"/>
  <c r="L9177" i="5"/>
  <c r="Q9177" i="5"/>
  <c r="R9177" i="5"/>
  <c r="K9178" i="5"/>
  <c r="L9178" i="5"/>
  <c r="Q9178" i="5"/>
  <c r="R9178" i="5"/>
  <c r="K9179" i="5"/>
  <c r="L9179" i="5"/>
  <c r="Q9179" i="5"/>
  <c r="R9179" i="5"/>
  <c r="K9180" i="5"/>
  <c r="L9180" i="5"/>
  <c r="Q9180" i="5"/>
  <c r="R9180" i="5"/>
  <c r="K9181" i="5"/>
  <c r="L9181" i="5"/>
  <c r="Q9181" i="5"/>
  <c r="R9181" i="5"/>
  <c r="K9182" i="5"/>
  <c r="L9182" i="5"/>
  <c r="Q9182" i="5"/>
  <c r="R9182" i="5"/>
  <c r="K9183" i="5"/>
  <c r="L9183" i="5"/>
  <c r="Q9183" i="5"/>
  <c r="R9183" i="5"/>
  <c r="K9184" i="5"/>
  <c r="L9184" i="5"/>
  <c r="Q9184" i="5"/>
  <c r="R9184" i="5"/>
  <c r="K9185" i="5"/>
  <c r="L9185" i="5"/>
  <c r="Q9185" i="5"/>
  <c r="R9185" i="5"/>
  <c r="K9186" i="5"/>
  <c r="L9186" i="5"/>
  <c r="Q9186" i="5"/>
  <c r="R9186" i="5"/>
  <c r="K9187" i="5"/>
  <c r="L9187" i="5"/>
  <c r="Q9187" i="5"/>
  <c r="R9187" i="5"/>
  <c r="K9188" i="5"/>
  <c r="L9188" i="5"/>
  <c r="Q9188" i="5"/>
  <c r="R9188" i="5"/>
  <c r="K9189" i="5"/>
  <c r="L9189" i="5"/>
  <c r="Q9189" i="5"/>
  <c r="R9189" i="5"/>
  <c r="K9190" i="5"/>
  <c r="L9190" i="5"/>
  <c r="Q9190" i="5"/>
  <c r="R9190" i="5"/>
  <c r="K9191" i="5"/>
  <c r="L9191" i="5"/>
  <c r="Q9191" i="5"/>
  <c r="R9191" i="5"/>
  <c r="K9192" i="5"/>
  <c r="L9192" i="5"/>
  <c r="Q9192" i="5"/>
  <c r="R9192" i="5"/>
  <c r="K9193" i="5"/>
  <c r="L9193" i="5"/>
  <c r="Q9193" i="5"/>
  <c r="R9193" i="5"/>
  <c r="K9194" i="5"/>
  <c r="L9194" i="5"/>
  <c r="Q9194" i="5"/>
  <c r="R9194" i="5"/>
  <c r="K9195" i="5"/>
  <c r="L9195" i="5"/>
  <c r="Q9195" i="5"/>
  <c r="R9195" i="5"/>
  <c r="K9196" i="5"/>
  <c r="L9196" i="5"/>
  <c r="Q9196" i="5"/>
  <c r="R9196" i="5"/>
  <c r="K9197" i="5"/>
  <c r="L9197" i="5"/>
  <c r="Q9197" i="5"/>
  <c r="R9197" i="5"/>
  <c r="K9198" i="5"/>
  <c r="L9198" i="5"/>
  <c r="Q9198" i="5"/>
  <c r="R9198" i="5"/>
  <c r="K9199" i="5"/>
  <c r="L9199" i="5"/>
  <c r="Q9199" i="5"/>
  <c r="R9199" i="5"/>
  <c r="K9200" i="5"/>
  <c r="L9200" i="5"/>
  <c r="Q9200" i="5"/>
  <c r="R9200" i="5"/>
  <c r="K9201" i="5"/>
  <c r="L9201" i="5"/>
  <c r="Q9201" i="5"/>
  <c r="R9201" i="5"/>
  <c r="K9202" i="5"/>
  <c r="L9202" i="5"/>
  <c r="Q9202" i="5"/>
  <c r="R9202" i="5"/>
  <c r="K9203" i="5"/>
  <c r="L9203" i="5"/>
  <c r="Q9203" i="5"/>
  <c r="R9203" i="5"/>
  <c r="K9204" i="5"/>
  <c r="L9204" i="5"/>
  <c r="Q9204" i="5"/>
  <c r="R9204" i="5"/>
  <c r="K9205" i="5"/>
  <c r="L9205" i="5"/>
  <c r="Q9205" i="5"/>
  <c r="R9205" i="5"/>
  <c r="K9206" i="5"/>
  <c r="L9206" i="5"/>
  <c r="Q9206" i="5"/>
  <c r="R9206" i="5"/>
  <c r="K9207" i="5"/>
  <c r="L9207" i="5"/>
  <c r="Q9207" i="5"/>
  <c r="R9207" i="5"/>
  <c r="K9208" i="5"/>
  <c r="L9208" i="5"/>
  <c r="Q9208" i="5"/>
  <c r="R9208" i="5"/>
  <c r="K9209" i="5"/>
  <c r="L9209" i="5"/>
  <c r="Q9209" i="5"/>
  <c r="R9209" i="5"/>
  <c r="K9210" i="5"/>
  <c r="L9210" i="5"/>
  <c r="Q9210" i="5"/>
  <c r="R9210" i="5"/>
  <c r="K9211" i="5"/>
  <c r="L9211" i="5"/>
  <c r="Q9211" i="5"/>
  <c r="R9211" i="5"/>
  <c r="K9212" i="5"/>
  <c r="L9212" i="5"/>
  <c r="Q9212" i="5"/>
  <c r="R9212" i="5"/>
  <c r="K9213" i="5"/>
  <c r="L9213" i="5"/>
  <c r="Q9213" i="5"/>
  <c r="R9213" i="5"/>
  <c r="K9214" i="5"/>
  <c r="L9214" i="5"/>
  <c r="Q9214" i="5"/>
  <c r="R9214" i="5"/>
  <c r="K9215" i="5"/>
  <c r="L9215" i="5"/>
  <c r="Q9215" i="5"/>
  <c r="R9215" i="5"/>
  <c r="K9216" i="5"/>
  <c r="L9216" i="5"/>
  <c r="Q9216" i="5"/>
  <c r="R9216" i="5"/>
  <c r="K9217" i="5"/>
  <c r="L9217" i="5"/>
  <c r="Q9217" i="5"/>
  <c r="R9217" i="5"/>
  <c r="K9218" i="5"/>
  <c r="L9218" i="5"/>
  <c r="Q9218" i="5"/>
  <c r="R9218" i="5"/>
  <c r="K9219" i="5"/>
  <c r="L9219" i="5"/>
  <c r="Q9219" i="5"/>
  <c r="R9219" i="5"/>
  <c r="K9220" i="5"/>
  <c r="L9220" i="5"/>
  <c r="Q9220" i="5"/>
  <c r="R9220" i="5"/>
  <c r="K9221" i="5"/>
  <c r="L9221" i="5"/>
  <c r="Q9221" i="5"/>
  <c r="R9221" i="5"/>
  <c r="K9222" i="5"/>
  <c r="L9222" i="5"/>
  <c r="Q9222" i="5"/>
  <c r="R9222" i="5"/>
  <c r="K9223" i="5"/>
  <c r="L9223" i="5"/>
  <c r="Q9223" i="5"/>
  <c r="R9223" i="5"/>
  <c r="K9224" i="5"/>
  <c r="L9224" i="5"/>
  <c r="Q9224" i="5"/>
  <c r="R9224" i="5"/>
  <c r="K9225" i="5"/>
  <c r="L9225" i="5"/>
  <c r="Q9225" i="5"/>
  <c r="R9225" i="5"/>
  <c r="K9226" i="5"/>
  <c r="L9226" i="5"/>
  <c r="Q9226" i="5"/>
  <c r="R9226" i="5"/>
  <c r="K9227" i="5"/>
  <c r="L9227" i="5"/>
  <c r="Q9227" i="5"/>
  <c r="R9227" i="5"/>
  <c r="K9228" i="5"/>
  <c r="L9228" i="5"/>
  <c r="Q9228" i="5"/>
  <c r="R9228" i="5"/>
  <c r="K9229" i="5"/>
  <c r="L9229" i="5"/>
  <c r="Q9229" i="5"/>
  <c r="R9229" i="5"/>
  <c r="K9230" i="5"/>
  <c r="L9230" i="5"/>
  <c r="Q9230" i="5"/>
  <c r="R9230" i="5"/>
  <c r="K9231" i="5"/>
  <c r="L9231" i="5"/>
  <c r="Q9231" i="5"/>
  <c r="R9231" i="5"/>
  <c r="K9232" i="5"/>
  <c r="L9232" i="5"/>
  <c r="Q9232" i="5"/>
  <c r="R9232" i="5"/>
  <c r="K9233" i="5"/>
  <c r="L9233" i="5"/>
  <c r="Q9233" i="5"/>
  <c r="R9233" i="5"/>
  <c r="K9234" i="5"/>
  <c r="L9234" i="5"/>
  <c r="Q9234" i="5"/>
  <c r="R9234" i="5"/>
  <c r="K9235" i="5"/>
  <c r="L9235" i="5"/>
  <c r="Q9235" i="5"/>
  <c r="R9235" i="5"/>
  <c r="K9236" i="5"/>
  <c r="L9236" i="5"/>
  <c r="Q9236" i="5"/>
  <c r="R9236" i="5"/>
  <c r="K9237" i="5"/>
  <c r="L9237" i="5"/>
  <c r="Q9237" i="5"/>
  <c r="R9237" i="5"/>
  <c r="K9238" i="5"/>
  <c r="L9238" i="5"/>
  <c r="Q9238" i="5"/>
  <c r="R9238" i="5"/>
  <c r="K9239" i="5"/>
  <c r="L9239" i="5"/>
  <c r="Q9239" i="5"/>
  <c r="R9239" i="5"/>
  <c r="K9240" i="5"/>
  <c r="L9240" i="5"/>
  <c r="Q9240" i="5"/>
  <c r="R9240" i="5"/>
  <c r="K9241" i="5"/>
  <c r="L9241" i="5"/>
  <c r="Q9241" i="5"/>
  <c r="R9241" i="5"/>
  <c r="K9242" i="5"/>
  <c r="L9242" i="5"/>
  <c r="Q9242" i="5"/>
  <c r="R9242" i="5"/>
  <c r="K9243" i="5"/>
  <c r="L9243" i="5"/>
  <c r="Q9243" i="5"/>
  <c r="R9243" i="5"/>
  <c r="K9244" i="5"/>
  <c r="L9244" i="5"/>
  <c r="Q9244" i="5"/>
  <c r="R9244" i="5"/>
  <c r="K9245" i="5"/>
  <c r="L9245" i="5"/>
  <c r="Q9245" i="5"/>
  <c r="R9245" i="5"/>
  <c r="K9246" i="5"/>
  <c r="L9246" i="5"/>
  <c r="Q9246" i="5"/>
  <c r="R9246" i="5"/>
  <c r="K9247" i="5"/>
  <c r="L9247" i="5"/>
  <c r="Q9247" i="5"/>
  <c r="R9247" i="5"/>
  <c r="K9248" i="5"/>
  <c r="L9248" i="5"/>
  <c r="Q9248" i="5"/>
  <c r="R9248" i="5"/>
  <c r="K9249" i="5"/>
  <c r="L9249" i="5"/>
  <c r="Q9249" i="5"/>
  <c r="R9249" i="5"/>
  <c r="K9250" i="5"/>
  <c r="L9250" i="5"/>
  <c r="Q9250" i="5"/>
  <c r="R9250" i="5"/>
  <c r="K9251" i="5"/>
  <c r="L9251" i="5"/>
  <c r="Q9251" i="5"/>
  <c r="R9251" i="5"/>
  <c r="K9252" i="5"/>
  <c r="L9252" i="5"/>
  <c r="Q9252" i="5"/>
  <c r="R9252" i="5"/>
  <c r="K9253" i="5"/>
  <c r="L9253" i="5"/>
  <c r="Q9253" i="5"/>
  <c r="R9253" i="5"/>
  <c r="K9254" i="5"/>
  <c r="L9254" i="5"/>
  <c r="Q9254" i="5"/>
  <c r="R9254" i="5"/>
  <c r="K9255" i="5"/>
  <c r="L9255" i="5"/>
  <c r="Q9255" i="5"/>
  <c r="R9255" i="5"/>
  <c r="K9256" i="5"/>
  <c r="L9256" i="5"/>
  <c r="Q9256" i="5"/>
  <c r="R9256" i="5"/>
  <c r="K9257" i="5"/>
  <c r="L9257" i="5"/>
  <c r="Q9257" i="5"/>
  <c r="R9257" i="5"/>
  <c r="K9258" i="5"/>
  <c r="L9258" i="5"/>
  <c r="Q9258" i="5"/>
  <c r="R9258" i="5"/>
  <c r="K9259" i="5"/>
  <c r="L9259" i="5"/>
  <c r="Q9259" i="5"/>
  <c r="R9259" i="5"/>
  <c r="K9260" i="5"/>
  <c r="L9260" i="5"/>
  <c r="Q9260" i="5"/>
  <c r="R9260" i="5"/>
  <c r="K9261" i="5"/>
  <c r="L9261" i="5"/>
  <c r="Q9261" i="5"/>
  <c r="R9261" i="5"/>
  <c r="K9262" i="5"/>
  <c r="L9262" i="5"/>
  <c r="Q9262" i="5"/>
  <c r="R9262" i="5"/>
  <c r="K9263" i="5"/>
  <c r="L9263" i="5"/>
  <c r="Q9263" i="5"/>
  <c r="R9263" i="5"/>
  <c r="K9264" i="5"/>
  <c r="L9264" i="5"/>
  <c r="Q9264" i="5"/>
  <c r="R9264" i="5"/>
  <c r="K9265" i="5"/>
  <c r="L9265" i="5"/>
  <c r="Q9265" i="5"/>
  <c r="R9265" i="5"/>
  <c r="K9266" i="5"/>
  <c r="L9266" i="5"/>
  <c r="Q9266" i="5"/>
  <c r="R9266" i="5"/>
  <c r="K9267" i="5"/>
  <c r="L9267" i="5"/>
  <c r="Q9267" i="5"/>
  <c r="R9267" i="5"/>
  <c r="K9268" i="5"/>
  <c r="L9268" i="5"/>
  <c r="Q9268" i="5"/>
  <c r="R9268" i="5"/>
  <c r="K9269" i="5"/>
  <c r="L9269" i="5"/>
  <c r="Q9269" i="5"/>
  <c r="R9269" i="5"/>
  <c r="K9270" i="5"/>
  <c r="L9270" i="5"/>
  <c r="Q9270" i="5"/>
  <c r="R9270" i="5"/>
  <c r="K9271" i="5"/>
  <c r="L9271" i="5"/>
  <c r="Q9271" i="5"/>
  <c r="R9271" i="5"/>
  <c r="K9272" i="5"/>
  <c r="L9272" i="5"/>
  <c r="Q9272" i="5"/>
  <c r="R9272" i="5"/>
  <c r="K9273" i="5"/>
  <c r="L9273" i="5"/>
  <c r="Q9273" i="5"/>
  <c r="R9273" i="5"/>
  <c r="K9274" i="5"/>
  <c r="L9274" i="5"/>
  <c r="Q9274" i="5"/>
  <c r="R9274" i="5"/>
  <c r="K9275" i="5"/>
  <c r="L9275" i="5"/>
  <c r="Q9275" i="5"/>
  <c r="R9275" i="5"/>
  <c r="K9276" i="5"/>
  <c r="L9276" i="5"/>
  <c r="Q9276" i="5"/>
  <c r="R9276" i="5"/>
  <c r="K9277" i="5"/>
  <c r="L9277" i="5"/>
  <c r="Q9277" i="5"/>
  <c r="R9277" i="5"/>
  <c r="K9278" i="5"/>
  <c r="L9278" i="5"/>
  <c r="Q9278" i="5"/>
  <c r="R9278" i="5"/>
  <c r="K9279" i="5"/>
  <c r="L9279" i="5"/>
  <c r="Q9279" i="5"/>
  <c r="R9279" i="5"/>
  <c r="K9280" i="5"/>
  <c r="L9280" i="5"/>
  <c r="Q9280" i="5"/>
  <c r="R9280" i="5"/>
  <c r="K9281" i="5"/>
  <c r="L9281" i="5"/>
  <c r="Q9281" i="5"/>
  <c r="R9281" i="5"/>
  <c r="K9282" i="5"/>
  <c r="L9282" i="5"/>
  <c r="Q9282" i="5"/>
  <c r="R9282" i="5"/>
  <c r="K9283" i="5"/>
  <c r="L9283" i="5"/>
  <c r="Q9283" i="5"/>
  <c r="R9283" i="5"/>
  <c r="K9284" i="5"/>
  <c r="L9284" i="5"/>
  <c r="Q9284" i="5"/>
  <c r="R9284" i="5"/>
  <c r="K9285" i="5"/>
  <c r="L9285" i="5"/>
  <c r="Q9285" i="5"/>
  <c r="R9285" i="5"/>
  <c r="K9286" i="5"/>
  <c r="L9286" i="5"/>
  <c r="Q9286" i="5"/>
  <c r="R9286" i="5"/>
  <c r="K9287" i="5"/>
  <c r="L9287" i="5"/>
  <c r="Q9287" i="5"/>
  <c r="R9287" i="5"/>
  <c r="K9288" i="5"/>
  <c r="L9288" i="5"/>
  <c r="Q9288" i="5"/>
  <c r="R9288" i="5"/>
  <c r="K9289" i="5"/>
  <c r="L9289" i="5"/>
  <c r="Q9289" i="5"/>
  <c r="R9289" i="5"/>
  <c r="K9290" i="5"/>
  <c r="L9290" i="5"/>
  <c r="Q9290" i="5"/>
  <c r="R9290" i="5"/>
  <c r="K9291" i="5"/>
  <c r="L9291" i="5"/>
  <c r="Q9291" i="5"/>
  <c r="R9291" i="5"/>
  <c r="K9292" i="5"/>
  <c r="L9292" i="5"/>
  <c r="Q9292" i="5"/>
  <c r="R9292" i="5"/>
  <c r="K9293" i="5"/>
  <c r="L9293" i="5"/>
  <c r="Q9293" i="5"/>
  <c r="R9293" i="5"/>
  <c r="K9294" i="5"/>
  <c r="L9294" i="5"/>
  <c r="Q9294" i="5"/>
  <c r="R9294" i="5"/>
  <c r="K9295" i="5"/>
  <c r="L9295" i="5"/>
  <c r="Q9295" i="5"/>
  <c r="R9295" i="5"/>
  <c r="K9296" i="5"/>
  <c r="L9296" i="5"/>
  <c r="Q9296" i="5"/>
  <c r="R9296" i="5"/>
  <c r="K9297" i="5"/>
  <c r="L9297" i="5"/>
  <c r="Q9297" i="5"/>
  <c r="R9297" i="5"/>
  <c r="K9298" i="5"/>
  <c r="L9298" i="5"/>
  <c r="Q9298" i="5"/>
  <c r="R9298" i="5"/>
  <c r="K9299" i="5"/>
  <c r="L9299" i="5"/>
  <c r="Q9299" i="5"/>
  <c r="R9299" i="5"/>
  <c r="K9300" i="5"/>
  <c r="L9300" i="5"/>
  <c r="Q9300" i="5"/>
  <c r="R9300" i="5"/>
  <c r="K9301" i="5"/>
  <c r="L9301" i="5"/>
  <c r="Q9301" i="5"/>
  <c r="R9301" i="5"/>
  <c r="K9302" i="5"/>
  <c r="L9302" i="5"/>
  <c r="Q9302" i="5"/>
  <c r="R9302" i="5"/>
  <c r="K9303" i="5"/>
  <c r="L9303" i="5"/>
  <c r="Q9303" i="5"/>
  <c r="R9303" i="5"/>
  <c r="K9304" i="5"/>
  <c r="L9304" i="5"/>
  <c r="Q9304" i="5"/>
  <c r="R9304" i="5"/>
  <c r="K9305" i="5"/>
  <c r="L9305" i="5"/>
  <c r="Q9305" i="5"/>
  <c r="R9305" i="5"/>
  <c r="K9306" i="5"/>
  <c r="L9306" i="5"/>
  <c r="Q9306" i="5"/>
  <c r="R9306" i="5"/>
  <c r="K9307" i="5"/>
  <c r="L9307" i="5"/>
  <c r="Q9307" i="5"/>
  <c r="R9307" i="5"/>
  <c r="K9308" i="5"/>
  <c r="L9308" i="5"/>
  <c r="Q9308" i="5"/>
  <c r="R9308" i="5"/>
  <c r="K9309" i="5"/>
  <c r="L9309" i="5"/>
  <c r="Q9309" i="5"/>
  <c r="R9309" i="5"/>
  <c r="K9310" i="5"/>
  <c r="L9310" i="5"/>
  <c r="Q9310" i="5"/>
  <c r="R9310" i="5"/>
  <c r="K9311" i="5"/>
  <c r="L9311" i="5"/>
  <c r="Q9311" i="5"/>
  <c r="R9311" i="5"/>
  <c r="K9312" i="5"/>
  <c r="L9312" i="5"/>
  <c r="Q9312" i="5"/>
  <c r="R9312" i="5"/>
  <c r="K9313" i="5"/>
  <c r="L9313" i="5"/>
  <c r="Q9313" i="5"/>
  <c r="R9313" i="5"/>
  <c r="K9314" i="5"/>
  <c r="L9314" i="5"/>
  <c r="Q9314" i="5"/>
  <c r="R9314" i="5"/>
  <c r="K9315" i="5"/>
  <c r="L9315" i="5"/>
  <c r="Q9315" i="5"/>
  <c r="R9315" i="5"/>
  <c r="K9316" i="5"/>
  <c r="L9316" i="5"/>
  <c r="Q9316" i="5"/>
  <c r="R9316" i="5"/>
  <c r="K9317" i="5"/>
  <c r="L9317" i="5"/>
  <c r="Q9317" i="5"/>
  <c r="R9317" i="5"/>
  <c r="K9318" i="5"/>
  <c r="L9318" i="5"/>
  <c r="Q9318" i="5"/>
  <c r="R9318" i="5"/>
  <c r="K9319" i="5"/>
  <c r="L9319" i="5"/>
  <c r="Q9319" i="5"/>
  <c r="R9319" i="5"/>
  <c r="K9320" i="5"/>
  <c r="L9320" i="5"/>
  <c r="Q9320" i="5"/>
  <c r="R9320" i="5"/>
  <c r="K9321" i="5"/>
  <c r="L9321" i="5"/>
  <c r="Q9321" i="5"/>
  <c r="R9321" i="5"/>
  <c r="K9322" i="5"/>
  <c r="L9322" i="5"/>
  <c r="Q9322" i="5"/>
  <c r="R9322" i="5"/>
  <c r="K9323" i="5"/>
  <c r="L9323" i="5"/>
  <c r="Q9323" i="5"/>
  <c r="R9323" i="5"/>
  <c r="K9324" i="5"/>
  <c r="L9324" i="5"/>
  <c r="Q9324" i="5"/>
  <c r="R9324" i="5"/>
  <c r="K9325" i="5"/>
  <c r="L9325" i="5"/>
  <c r="Q9325" i="5"/>
  <c r="R9325" i="5"/>
  <c r="K9326" i="5"/>
  <c r="L9326" i="5"/>
  <c r="Q9326" i="5"/>
  <c r="R9326" i="5"/>
  <c r="K9327" i="5"/>
  <c r="L9327" i="5"/>
  <c r="Q9327" i="5"/>
  <c r="R9327" i="5"/>
  <c r="K9328" i="5"/>
  <c r="L9328" i="5"/>
  <c r="Q9328" i="5"/>
  <c r="R9328" i="5"/>
  <c r="K9329" i="5"/>
  <c r="L9329" i="5"/>
  <c r="Q9329" i="5"/>
  <c r="R9329" i="5"/>
  <c r="K9330" i="5"/>
  <c r="L9330" i="5"/>
  <c r="Q9330" i="5"/>
  <c r="R9330" i="5"/>
  <c r="K9331" i="5"/>
  <c r="L9331" i="5"/>
  <c r="Q9331" i="5"/>
  <c r="R9331" i="5"/>
  <c r="K9332" i="5"/>
  <c r="L9332" i="5"/>
  <c r="Q9332" i="5"/>
  <c r="R9332" i="5"/>
  <c r="K9333" i="5"/>
  <c r="L9333" i="5"/>
  <c r="Q9333" i="5"/>
  <c r="R9333" i="5"/>
  <c r="K9334" i="5"/>
  <c r="L9334" i="5"/>
  <c r="Q9334" i="5"/>
  <c r="R9334" i="5"/>
  <c r="K9335" i="5"/>
  <c r="L9335" i="5"/>
  <c r="Q9335" i="5"/>
  <c r="R9335" i="5"/>
  <c r="K9336" i="5"/>
  <c r="L9336" i="5"/>
  <c r="Q9336" i="5"/>
  <c r="R9336" i="5"/>
  <c r="K9337" i="5"/>
  <c r="L9337" i="5"/>
  <c r="Q9337" i="5"/>
  <c r="R9337" i="5"/>
  <c r="K9338" i="5"/>
  <c r="L9338" i="5"/>
  <c r="Q9338" i="5"/>
  <c r="R9338" i="5"/>
  <c r="K9339" i="5"/>
  <c r="L9339" i="5"/>
  <c r="Q9339" i="5"/>
  <c r="R9339" i="5"/>
  <c r="K9340" i="5"/>
  <c r="L9340" i="5"/>
  <c r="Q9340" i="5"/>
  <c r="R9340" i="5"/>
  <c r="K9341" i="5"/>
  <c r="L9341" i="5"/>
  <c r="Q9341" i="5"/>
  <c r="R9341" i="5"/>
  <c r="K9342" i="5"/>
  <c r="L9342" i="5"/>
  <c r="Q9342" i="5"/>
  <c r="R9342" i="5"/>
  <c r="K9343" i="5"/>
  <c r="L9343" i="5"/>
  <c r="Q9343" i="5"/>
  <c r="R9343" i="5"/>
  <c r="K9344" i="5"/>
  <c r="L9344" i="5"/>
  <c r="Q9344" i="5"/>
  <c r="R9344" i="5"/>
  <c r="K9345" i="5"/>
  <c r="L9345" i="5"/>
  <c r="Q9345" i="5"/>
  <c r="R9345" i="5"/>
  <c r="K9346" i="5"/>
  <c r="L9346" i="5"/>
  <c r="Q9346" i="5"/>
  <c r="R9346" i="5"/>
  <c r="K9347" i="5"/>
  <c r="L9347" i="5"/>
  <c r="Q9347" i="5"/>
  <c r="R9347" i="5"/>
  <c r="K9348" i="5"/>
  <c r="L9348" i="5"/>
  <c r="Q9348" i="5"/>
  <c r="R9348" i="5"/>
  <c r="K9349" i="5"/>
  <c r="L9349" i="5"/>
  <c r="Q9349" i="5"/>
  <c r="R9349" i="5"/>
  <c r="K9350" i="5"/>
  <c r="L9350" i="5"/>
  <c r="Q9350" i="5"/>
  <c r="R9350" i="5"/>
  <c r="K9351" i="5"/>
  <c r="L9351" i="5"/>
  <c r="Q9351" i="5"/>
  <c r="R9351" i="5"/>
  <c r="K9352" i="5"/>
  <c r="L9352" i="5"/>
  <c r="Q9352" i="5"/>
  <c r="R9352" i="5"/>
  <c r="K9353" i="5"/>
  <c r="L9353" i="5"/>
  <c r="Q9353" i="5"/>
  <c r="R9353" i="5"/>
  <c r="K9354" i="5"/>
  <c r="L9354" i="5"/>
  <c r="Q9354" i="5"/>
  <c r="R9354" i="5"/>
  <c r="K9355" i="5"/>
  <c r="L9355" i="5"/>
  <c r="Q9355" i="5"/>
  <c r="R9355" i="5"/>
  <c r="K9356" i="5"/>
  <c r="L9356" i="5"/>
  <c r="Q9356" i="5"/>
  <c r="R9356" i="5"/>
  <c r="K9357" i="5"/>
  <c r="L9357" i="5"/>
  <c r="Q9357" i="5"/>
  <c r="R9357" i="5"/>
  <c r="K9358" i="5"/>
  <c r="L9358" i="5"/>
  <c r="Q9358" i="5"/>
  <c r="R9358" i="5"/>
  <c r="K9359" i="5"/>
  <c r="L9359" i="5"/>
  <c r="Q9359" i="5"/>
  <c r="R9359" i="5"/>
  <c r="K9360" i="5"/>
  <c r="L9360" i="5"/>
  <c r="Q9360" i="5"/>
  <c r="R9360" i="5"/>
  <c r="K9361" i="5"/>
  <c r="L9361" i="5"/>
  <c r="Q9361" i="5"/>
  <c r="R9361" i="5"/>
  <c r="K9362" i="5"/>
  <c r="L9362" i="5"/>
  <c r="Q9362" i="5"/>
  <c r="R9362" i="5"/>
  <c r="K9363" i="5"/>
  <c r="L9363" i="5"/>
  <c r="Q9363" i="5"/>
  <c r="R9363" i="5"/>
  <c r="K9364" i="5"/>
  <c r="L9364" i="5"/>
  <c r="Q9364" i="5"/>
  <c r="R9364" i="5"/>
  <c r="K9365" i="5"/>
  <c r="L9365" i="5"/>
  <c r="Q9365" i="5"/>
  <c r="R9365" i="5"/>
  <c r="K9366" i="5"/>
  <c r="L9366" i="5"/>
  <c r="Q9366" i="5"/>
  <c r="R9366" i="5"/>
  <c r="K9367" i="5"/>
  <c r="L9367" i="5"/>
  <c r="Q9367" i="5"/>
  <c r="R9367" i="5"/>
  <c r="K9368" i="5"/>
  <c r="L9368" i="5"/>
  <c r="Q9368" i="5"/>
  <c r="R9368" i="5"/>
  <c r="K9369" i="5"/>
  <c r="L9369" i="5"/>
  <c r="Q9369" i="5"/>
  <c r="R9369" i="5"/>
  <c r="K9370" i="5"/>
  <c r="L9370" i="5"/>
  <c r="Q9370" i="5"/>
  <c r="R9370" i="5"/>
  <c r="K9371" i="5"/>
  <c r="L9371" i="5"/>
  <c r="Q9371" i="5"/>
  <c r="R9371" i="5"/>
  <c r="K9372" i="5"/>
  <c r="L9372" i="5"/>
  <c r="Q9372" i="5"/>
  <c r="R9372" i="5"/>
  <c r="K9373" i="5"/>
  <c r="L9373" i="5"/>
  <c r="Q9373" i="5"/>
  <c r="R9373" i="5"/>
  <c r="K9374" i="5"/>
  <c r="L9374" i="5"/>
  <c r="Q9374" i="5"/>
  <c r="R9374" i="5"/>
  <c r="K9375" i="5"/>
  <c r="L9375" i="5"/>
  <c r="Q9375" i="5"/>
  <c r="R9375" i="5"/>
  <c r="K9376" i="5"/>
  <c r="L9376" i="5"/>
  <c r="Q9376" i="5"/>
  <c r="R9376" i="5"/>
  <c r="K9377" i="5"/>
  <c r="L9377" i="5"/>
  <c r="Q9377" i="5"/>
  <c r="R9377" i="5"/>
  <c r="K9378" i="5"/>
  <c r="L9378" i="5"/>
  <c r="Q9378" i="5"/>
  <c r="R9378" i="5"/>
  <c r="K9379" i="5"/>
  <c r="L9379" i="5"/>
  <c r="Q9379" i="5"/>
  <c r="R9379" i="5"/>
  <c r="K9380" i="5"/>
  <c r="L9380" i="5"/>
  <c r="Q9380" i="5"/>
  <c r="R9380" i="5"/>
  <c r="K9381" i="5"/>
  <c r="L9381" i="5"/>
  <c r="Q9381" i="5"/>
  <c r="R9381" i="5"/>
  <c r="K9382" i="5"/>
  <c r="L9382" i="5"/>
  <c r="Q9382" i="5"/>
  <c r="R9382" i="5"/>
  <c r="K9383" i="5"/>
  <c r="L9383" i="5"/>
  <c r="Q9383" i="5"/>
  <c r="R9383" i="5"/>
  <c r="K9384" i="5"/>
  <c r="L9384" i="5"/>
  <c r="Q9384" i="5"/>
  <c r="R9384" i="5"/>
  <c r="K9385" i="5"/>
  <c r="L9385" i="5"/>
  <c r="Q9385" i="5"/>
  <c r="R9385" i="5"/>
  <c r="K9386" i="5"/>
  <c r="L9386" i="5"/>
  <c r="Q9386" i="5"/>
  <c r="R9386" i="5"/>
  <c r="K9387" i="5"/>
  <c r="L9387" i="5"/>
  <c r="Q9387" i="5"/>
  <c r="R9387" i="5"/>
  <c r="K9388" i="5"/>
  <c r="L9388" i="5"/>
  <c r="Q9388" i="5"/>
  <c r="R9388" i="5"/>
  <c r="K9389" i="5"/>
  <c r="L9389" i="5"/>
  <c r="Q9389" i="5"/>
  <c r="R9389" i="5"/>
  <c r="K9390" i="5"/>
  <c r="L9390" i="5"/>
  <c r="Q9390" i="5"/>
  <c r="R9390" i="5"/>
  <c r="K9391" i="5"/>
  <c r="L9391" i="5"/>
  <c r="Q9391" i="5"/>
  <c r="R9391" i="5"/>
  <c r="K9392" i="5"/>
  <c r="L9392" i="5"/>
  <c r="Q9392" i="5"/>
  <c r="R9392" i="5"/>
  <c r="K9393" i="5"/>
  <c r="L9393" i="5"/>
  <c r="Q9393" i="5"/>
  <c r="R9393" i="5"/>
  <c r="K9394" i="5"/>
  <c r="L9394" i="5"/>
  <c r="Q9394" i="5"/>
  <c r="R9394" i="5"/>
  <c r="K9395" i="5"/>
  <c r="L9395" i="5"/>
  <c r="Q9395" i="5"/>
  <c r="R9395" i="5"/>
  <c r="K9396" i="5"/>
  <c r="L9396" i="5"/>
  <c r="Q9396" i="5"/>
  <c r="R9396" i="5"/>
  <c r="K9397" i="5"/>
  <c r="L9397" i="5"/>
  <c r="Q9397" i="5"/>
  <c r="R9397" i="5"/>
  <c r="K9398" i="5"/>
  <c r="L9398" i="5"/>
  <c r="Q9398" i="5"/>
  <c r="R9398" i="5"/>
  <c r="K9399" i="5"/>
  <c r="L9399" i="5"/>
  <c r="Q9399" i="5"/>
  <c r="R9399" i="5"/>
  <c r="K9400" i="5"/>
  <c r="L9400" i="5"/>
  <c r="Q9400" i="5"/>
  <c r="R9400" i="5"/>
  <c r="K9401" i="5"/>
  <c r="L9401" i="5"/>
  <c r="Q9401" i="5"/>
  <c r="R9401" i="5"/>
  <c r="K9402" i="5"/>
  <c r="L9402" i="5"/>
  <c r="Q9402" i="5"/>
  <c r="R9402" i="5"/>
  <c r="K9403" i="5"/>
  <c r="L9403" i="5"/>
  <c r="Q9403" i="5"/>
  <c r="R9403" i="5"/>
  <c r="K9404" i="5"/>
  <c r="L9404" i="5"/>
  <c r="Q9404" i="5"/>
  <c r="R9404" i="5"/>
  <c r="K9405" i="5"/>
  <c r="L9405" i="5"/>
  <c r="Q9405" i="5"/>
  <c r="R9405" i="5"/>
  <c r="K9406" i="5"/>
  <c r="L9406" i="5"/>
  <c r="Q9406" i="5"/>
  <c r="R9406" i="5"/>
  <c r="K9407" i="5"/>
  <c r="L9407" i="5"/>
  <c r="Q9407" i="5"/>
  <c r="R9407" i="5"/>
  <c r="K9408" i="5"/>
  <c r="L9408" i="5"/>
  <c r="Q9408" i="5"/>
  <c r="R9408" i="5"/>
  <c r="K9409" i="5"/>
  <c r="L9409" i="5"/>
  <c r="Q9409" i="5"/>
  <c r="R9409" i="5"/>
  <c r="K9410" i="5"/>
  <c r="L9410" i="5"/>
  <c r="Q9410" i="5"/>
  <c r="R9410" i="5"/>
  <c r="K9411" i="5"/>
  <c r="L9411" i="5"/>
  <c r="Q9411" i="5"/>
  <c r="R9411" i="5"/>
  <c r="K9412" i="5"/>
  <c r="L9412" i="5"/>
  <c r="Q9412" i="5"/>
  <c r="R9412" i="5"/>
  <c r="K9413" i="5"/>
  <c r="L9413" i="5"/>
  <c r="Q9413" i="5"/>
  <c r="R9413" i="5"/>
  <c r="K9414" i="5"/>
  <c r="L9414" i="5"/>
  <c r="Q9414" i="5"/>
  <c r="R9414" i="5"/>
  <c r="K9415" i="5"/>
  <c r="L9415" i="5"/>
  <c r="Q9415" i="5"/>
  <c r="R9415" i="5"/>
  <c r="K9416" i="5"/>
  <c r="L9416" i="5"/>
  <c r="Q9416" i="5"/>
  <c r="R9416" i="5"/>
  <c r="K9417" i="5"/>
  <c r="L9417" i="5"/>
  <c r="Q9417" i="5"/>
  <c r="R9417" i="5"/>
  <c r="K9418" i="5"/>
  <c r="L9418" i="5"/>
  <c r="Q9418" i="5"/>
  <c r="R9418" i="5"/>
  <c r="K9419" i="5"/>
  <c r="L9419" i="5"/>
  <c r="Q9419" i="5"/>
  <c r="R9419" i="5"/>
  <c r="K9420" i="5"/>
  <c r="L9420" i="5"/>
  <c r="Q9420" i="5"/>
  <c r="R9420" i="5"/>
  <c r="K9421" i="5"/>
  <c r="L9421" i="5"/>
  <c r="Q9421" i="5"/>
  <c r="R9421" i="5"/>
  <c r="K9422" i="5"/>
  <c r="L9422" i="5"/>
  <c r="Q9422" i="5"/>
  <c r="R9422" i="5"/>
  <c r="K9423" i="5"/>
  <c r="L9423" i="5"/>
  <c r="Q9423" i="5"/>
  <c r="R9423" i="5"/>
  <c r="K9424" i="5"/>
  <c r="L9424" i="5"/>
  <c r="Q9424" i="5"/>
  <c r="R9424" i="5"/>
  <c r="K9425" i="5"/>
  <c r="L9425" i="5"/>
  <c r="Q9425" i="5"/>
  <c r="R9425" i="5"/>
  <c r="K9426" i="5"/>
  <c r="L9426" i="5"/>
  <c r="Q9426" i="5"/>
  <c r="R9426" i="5"/>
  <c r="K9427" i="5"/>
  <c r="L9427" i="5"/>
  <c r="Q9427" i="5"/>
  <c r="R9427" i="5"/>
  <c r="K9428" i="5"/>
  <c r="L9428" i="5"/>
  <c r="Q9428" i="5"/>
  <c r="R9428" i="5"/>
  <c r="K9429" i="5"/>
  <c r="L9429" i="5"/>
  <c r="Q9429" i="5"/>
  <c r="R9429" i="5"/>
  <c r="K9430" i="5"/>
  <c r="L9430" i="5"/>
  <c r="Q9430" i="5"/>
  <c r="R9430" i="5"/>
  <c r="K9431" i="5"/>
  <c r="L9431" i="5"/>
  <c r="Q9431" i="5"/>
  <c r="R9431" i="5"/>
  <c r="K9432" i="5"/>
  <c r="L9432" i="5"/>
  <c r="Q9432" i="5"/>
  <c r="R9432" i="5"/>
  <c r="K9433" i="5"/>
  <c r="L9433" i="5"/>
  <c r="Q9433" i="5"/>
  <c r="R9433" i="5"/>
  <c r="K9434" i="5"/>
  <c r="L9434" i="5"/>
  <c r="Q9434" i="5"/>
  <c r="R9434" i="5"/>
  <c r="K9435" i="5"/>
  <c r="L9435" i="5"/>
  <c r="Q9435" i="5"/>
  <c r="R9435" i="5"/>
  <c r="K9436" i="5"/>
  <c r="L9436" i="5"/>
  <c r="Q9436" i="5"/>
  <c r="R9436" i="5"/>
  <c r="K9437" i="5"/>
  <c r="L9437" i="5"/>
  <c r="Q9437" i="5"/>
  <c r="R9437" i="5"/>
  <c r="K9438" i="5"/>
  <c r="L9438" i="5"/>
  <c r="Q9438" i="5"/>
  <c r="R9438" i="5"/>
  <c r="K9439" i="5"/>
  <c r="L9439" i="5"/>
  <c r="Q9439" i="5"/>
  <c r="R9439" i="5"/>
  <c r="K9440" i="5"/>
  <c r="L9440" i="5"/>
  <c r="Q9440" i="5"/>
  <c r="R9440" i="5"/>
  <c r="K9441" i="5"/>
  <c r="L9441" i="5"/>
  <c r="Q9441" i="5"/>
  <c r="R9441" i="5"/>
  <c r="K9442" i="5"/>
  <c r="L9442" i="5"/>
  <c r="Q9442" i="5"/>
  <c r="R9442" i="5"/>
  <c r="K9443" i="5"/>
  <c r="L9443" i="5"/>
  <c r="Q9443" i="5"/>
  <c r="R9443" i="5"/>
  <c r="K9444" i="5"/>
  <c r="L9444" i="5"/>
  <c r="Q9444" i="5"/>
  <c r="R9444" i="5"/>
  <c r="K9445" i="5"/>
  <c r="L9445" i="5"/>
  <c r="Q9445" i="5"/>
  <c r="R9445" i="5"/>
  <c r="K9446" i="5"/>
  <c r="L9446" i="5"/>
  <c r="Q9446" i="5"/>
  <c r="R9446" i="5"/>
  <c r="K9447" i="5"/>
  <c r="L9447" i="5"/>
  <c r="Q9447" i="5"/>
  <c r="R9447" i="5"/>
  <c r="K9448" i="5"/>
  <c r="L9448" i="5"/>
  <c r="Q9448" i="5"/>
  <c r="R9448" i="5"/>
  <c r="K9449" i="5"/>
  <c r="L9449" i="5"/>
  <c r="Q9449" i="5"/>
  <c r="R9449" i="5"/>
  <c r="K9450" i="5"/>
  <c r="L9450" i="5"/>
  <c r="Q9450" i="5"/>
  <c r="R9450" i="5"/>
  <c r="K9451" i="5"/>
  <c r="L9451" i="5"/>
  <c r="Q9451" i="5"/>
  <c r="R9451" i="5"/>
  <c r="K9452" i="5"/>
  <c r="L9452" i="5"/>
  <c r="Q9452" i="5"/>
  <c r="R9452" i="5"/>
  <c r="K9453" i="5"/>
  <c r="L9453" i="5"/>
  <c r="Q9453" i="5"/>
  <c r="R9453" i="5"/>
  <c r="K9454" i="5"/>
  <c r="L9454" i="5"/>
  <c r="Q9454" i="5"/>
  <c r="R9454" i="5"/>
  <c r="K9455" i="5"/>
  <c r="L9455" i="5"/>
  <c r="Q9455" i="5"/>
  <c r="R9455" i="5"/>
  <c r="K9456" i="5"/>
  <c r="L9456" i="5"/>
  <c r="Q9456" i="5"/>
  <c r="R9456" i="5"/>
  <c r="K9457" i="5"/>
  <c r="L9457" i="5"/>
  <c r="Q9457" i="5"/>
  <c r="R9457" i="5"/>
  <c r="K9458" i="5"/>
  <c r="L9458" i="5"/>
  <c r="Q9458" i="5"/>
  <c r="R9458" i="5"/>
  <c r="K9459" i="5"/>
  <c r="L9459" i="5"/>
  <c r="Q9459" i="5"/>
  <c r="R9459" i="5"/>
  <c r="K9460" i="5"/>
  <c r="L9460" i="5"/>
  <c r="Q9460" i="5"/>
  <c r="R9460" i="5"/>
  <c r="K9461" i="5"/>
  <c r="L9461" i="5"/>
  <c r="Q9461" i="5"/>
  <c r="R9461" i="5"/>
  <c r="K9462" i="5"/>
  <c r="L9462" i="5"/>
  <c r="Q9462" i="5"/>
  <c r="R9462" i="5"/>
  <c r="K9463" i="5"/>
  <c r="L9463" i="5"/>
  <c r="Q9463" i="5"/>
  <c r="R9463" i="5"/>
  <c r="K9464" i="5"/>
  <c r="L9464" i="5"/>
  <c r="Q9464" i="5"/>
  <c r="R9464" i="5"/>
  <c r="K9465" i="5"/>
  <c r="L9465" i="5"/>
  <c r="Q9465" i="5"/>
  <c r="R9465" i="5"/>
  <c r="K9466" i="5"/>
  <c r="L9466" i="5"/>
  <c r="Q9466" i="5"/>
  <c r="R9466" i="5"/>
  <c r="K9467" i="5"/>
  <c r="L9467" i="5"/>
  <c r="Q9467" i="5"/>
  <c r="R9467" i="5"/>
  <c r="K9468" i="5"/>
  <c r="L9468" i="5"/>
  <c r="Q9468" i="5"/>
  <c r="R9468" i="5"/>
  <c r="K9469" i="5"/>
  <c r="L9469" i="5"/>
  <c r="Q9469" i="5"/>
  <c r="R9469" i="5"/>
  <c r="K9470" i="5"/>
  <c r="L9470" i="5"/>
  <c r="Q9470" i="5"/>
  <c r="R9470" i="5"/>
  <c r="K9471" i="5"/>
  <c r="L9471" i="5"/>
  <c r="Q9471" i="5"/>
  <c r="R9471" i="5"/>
  <c r="K9472" i="5"/>
  <c r="L9472" i="5"/>
  <c r="Q9472" i="5"/>
  <c r="R9472" i="5"/>
  <c r="K9473" i="5"/>
  <c r="L9473" i="5"/>
  <c r="Q9473" i="5"/>
  <c r="R9473" i="5"/>
  <c r="K9474" i="5"/>
  <c r="L9474" i="5"/>
  <c r="Q9474" i="5"/>
  <c r="R9474" i="5"/>
  <c r="K9475" i="5"/>
  <c r="L9475" i="5"/>
  <c r="Q9475" i="5"/>
  <c r="R9475" i="5"/>
  <c r="K9476" i="5"/>
  <c r="L9476" i="5"/>
  <c r="Q9476" i="5"/>
  <c r="R9476" i="5"/>
  <c r="K9477" i="5"/>
  <c r="L9477" i="5"/>
  <c r="Q9477" i="5"/>
  <c r="R9477" i="5"/>
  <c r="K9478" i="5"/>
  <c r="L9478" i="5"/>
  <c r="Q9478" i="5"/>
  <c r="R9478" i="5"/>
  <c r="K9479" i="5"/>
  <c r="L9479" i="5"/>
  <c r="Q9479" i="5"/>
  <c r="R9479" i="5"/>
  <c r="K9480" i="5"/>
  <c r="L9480" i="5"/>
  <c r="Q9480" i="5"/>
  <c r="R9480" i="5"/>
  <c r="K9481" i="5"/>
  <c r="L9481" i="5"/>
  <c r="Q9481" i="5"/>
  <c r="R9481" i="5"/>
  <c r="K9482" i="5"/>
  <c r="L9482" i="5"/>
  <c r="Q9482" i="5"/>
  <c r="R9482" i="5"/>
  <c r="K9483" i="5"/>
  <c r="L9483" i="5"/>
  <c r="Q9483" i="5"/>
  <c r="R9483" i="5"/>
  <c r="K9484" i="5"/>
  <c r="L9484" i="5"/>
  <c r="Q9484" i="5"/>
  <c r="R9484" i="5"/>
  <c r="K9485" i="5"/>
  <c r="L9485" i="5"/>
  <c r="Q9485" i="5"/>
  <c r="R9485" i="5"/>
  <c r="K9486" i="5"/>
  <c r="L9486" i="5"/>
  <c r="Q9486" i="5"/>
  <c r="R9486" i="5"/>
  <c r="K9487" i="5"/>
  <c r="L9487" i="5"/>
  <c r="Q9487" i="5"/>
  <c r="R9487" i="5"/>
  <c r="K9488" i="5"/>
  <c r="L9488" i="5"/>
  <c r="Q9488" i="5"/>
  <c r="R9488" i="5"/>
  <c r="K9489" i="5"/>
  <c r="L9489" i="5"/>
  <c r="Q9489" i="5"/>
  <c r="R9489" i="5"/>
  <c r="K9490" i="5"/>
  <c r="L9490" i="5"/>
  <c r="Q9490" i="5"/>
  <c r="R9490" i="5"/>
  <c r="K9491" i="5"/>
  <c r="L9491" i="5"/>
  <c r="Q9491" i="5"/>
  <c r="R9491" i="5"/>
  <c r="K9492" i="5"/>
  <c r="L9492" i="5"/>
  <c r="Q9492" i="5"/>
  <c r="R9492" i="5"/>
  <c r="K9493" i="5"/>
  <c r="L9493" i="5"/>
  <c r="Q9493" i="5"/>
  <c r="R9493" i="5"/>
  <c r="K9494" i="5"/>
  <c r="L9494" i="5"/>
  <c r="Q9494" i="5"/>
  <c r="R9494" i="5"/>
  <c r="K9495" i="5"/>
  <c r="L9495" i="5"/>
  <c r="Q9495" i="5"/>
  <c r="R9495" i="5"/>
  <c r="K9496" i="5"/>
  <c r="L9496" i="5"/>
  <c r="Q9496" i="5"/>
  <c r="R9496" i="5"/>
  <c r="K9497" i="5"/>
  <c r="L9497" i="5"/>
  <c r="Q9497" i="5"/>
  <c r="R9497" i="5"/>
  <c r="K9498" i="5"/>
  <c r="L9498" i="5"/>
  <c r="Q9498" i="5"/>
  <c r="R9498" i="5"/>
  <c r="K9499" i="5"/>
  <c r="L9499" i="5"/>
  <c r="Q9499" i="5"/>
  <c r="R9499" i="5"/>
  <c r="K9500" i="5"/>
  <c r="L9500" i="5"/>
  <c r="Q9500" i="5"/>
  <c r="R9500" i="5"/>
  <c r="K9501" i="5"/>
  <c r="L9501" i="5"/>
  <c r="Q9501" i="5"/>
  <c r="R9501" i="5"/>
  <c r="K9502" i="5"/>
  <c r="L9502" i="5"/>
  <c r="Q9502" i="5"/>
  <c r="R9502" i="5"/>
  <c r="K9503" i="5"/>
  <c r="L9503" i="5"/>
  <c r="Q9503" i="5"/>
  <c r="R9503" i="5"/>
  <c r="K9504" i="5"/>
  <c r="L9504" i="5"/>
  <c r="Q9504" i="5"/>
  <c r="R9504" i="5"/>
  <c r="K9505" i="5"/>
  <c r="L9505" i="5"/>
  <c r="Q9505" i="5"/>
  <c r="R9505" i="5"/>
  <c r="K9506" i="5"/>
  <c r="L9506" i="5"/>
  <c r="Q9506" i="5"/>
  <c r="R9506" i="5"/>
  <c r="K9507" i="5"/>
  <c r="L9507" i="5"/>
  <c r="Q9507" i="5"/>
  <c r="R9507" i="5"/>
  <c r="K9508" i="5"/>
  <c r="L9508" i="5"/>
  <c r="Q9508" i="5"/>
  <c r="R9508" i="5"/>
  <c r="K9509" i="5"/>
  <c r="L9509" i="5"/>
  <c r="Q9509" i="5"/>
  <c r="R9509" i="5"/>
  <c r="K9510" i="5"/>
  <c r="L9510" i="5"/>
  <c r="Q9510" i="5"/>
  <c r="R9510" i="5"/>
  <c r="K9511" i="5"/>
  <c r="L9511" i="5"/>
  <c r="Q9511" i="5"/>
  <c r="R9511" i="5"/>
  <c r="K9512" i="5"/>
  <c r="L9512" i="5"/>
  <c r="Q9512" i="5"/>
  <c r="R9512" i="5"/>
  <c r="K9513" i="5"/>
  <c r="L9513" i="5"/>
  <c r="Q9513" i="5"/>
  <c r="R9513" i="5"/>
  <c r="K9514" i="5"/>
  <c r="L9514" i="5"/>
  <c r="Q9514" i="5"/>
  <c r="R9514" i="5"/>
  <c r="K9515" i="5"/>
  <c r="L9515" i="5"/>
  <c r="Q9515" i="5"/>
  <c r="R9515" i="5"/>
  <c r="K9516" i="5"/>
  <c r="L9516" i="5"/>
  <c r="Q9516" i="5"/>
  <c r="R9516" i="5"/>
  <c r="K9517" i="5"/>
  <c r="L9517" i="5"/>
  <c r="Q9517" i="5"/>
  <c r="R9517" i="5"/>
  <c r="K9518" i="5"/>
  <c r="L9518" i="5"/>
  <c r="Q9518" i="5"/>
  <c r="R9518" i="5"/>
  <c r="K9519" i="5"/>
  <c r="L9519" i="5"/>
  <c r="Q9519" i="5"/>
  <c r="R9519" i="5"/>
  <c r="K9520" i="5"/>
  <c r="L9520" i="5"/>
  <c r="Q9520" i="5"/>
  <c r="R9520" i="5"/>
  <c r="K9521" i="5"/>
  <c r="L9521" i="5"/>
  <c r="Q9521" i="5"/>
  <c r="R9521" i="5"/>
  <c r="K9522" i="5"/>
  <c r="L9522" i="5"/>
  <c r="Q9522" i="5"/>
  <c r="R9522" i="5"/>
  <c r="K9523" i="5"/>
  <c r="L9523" i="5"/>
  <c r="Q9523" i="5"/>
  <c r="R9523" i="5"/>
  <c r="K9524" i="5"/>
  <c r="L9524" i="5"/>
  <c r="Q9524" i="5"/>
  <c r="R9524" i="5"/>
  <c r="K9525" i="5"/>
  <c r="L9525" i="5"/>
  <c r="Q9525" i="5"/>
  <c r="R9525" i="5"/>
  <c r="K9526" i="5"/>
  <c r="L9526" i="5"/>
  <c r="Q9526" i="5"/>
  <c r="R9526" i="5"/>
  <c r="K9527" i="5"/>
  <c r="L9527" i="5"/>
  <c r="Q9527" i="5"/>
  <c r="R9527" i="5"/>
  <c r="K9528" i="5"/>
  <c r="L9528" i="5"/>
  <c r="Q9528" i="5"/>
  <c r="R9528" i="5"/>
  <c r="K9529" i="5"/>
  <c r="L9529" i="5"/>
  <c r="Q9529" i="5"/>
  <c r="R9529" i="5"/>
  <c r="K9530" i="5"/>
  <c r="L9530" i="5"/>
  <c r="Q9530" i="5"/>
  <c r="R9530" i="5"/>
  <c r="K9531" i="5"/>
  <c r="L9531" i="5"/>
  <c r="Q9531" i="5"/>
  <c r="R9531" i="5"/>
  <c r="K9532" i="5"/>
  <c r="L9532" i="5"/>
  <c r="Q9532" i="5"/>
  <c r="R9532" i="5"/>
  <c r="K9533" i="5"/>
  <c r="L9533" i="5"/>
  <c r="Q9533" i="5"/>
  <c r="R9533" i="5"/>
  <c r="K9534" i="5"/>
  <c r="L9534" i="5"/>
  <c r="Q9534" i="5"/>
  <c r="R9534" i="5"/>
  <c r="K9535" i="5"/>
  <c r="L9535" i="5"/>
  <c r="Q9535" i="5"/>
  <c r="R9535" i="5"/>
  <c r="K9536" i="5"/>
  <c r="L9536" i="5"/>
  <c r="Q9536" i="5"/>
  <c r="R9536" i="5"/>
  <c r="K9537" i="5"/>
  <c r="L9537" i="5"/>
  <c r="Q9537" i="5"/>
  <c r="R9537" i="5"/>
  <c r="K9538" i="5"/>
  <c r="L9538" i="5"/>
  <c r="Q9538" i="5"/>
  <c r="R9538" i="5"/>
  <c r="K9539" i="5"/>
  <c r="L9539" i="5"/>
  <c r="Q9539" i="5"/>
  <c r="R9539" i="5"/>
  <c r="K9540" i="5"/>
  <c r="L9540" i="5"/>
  <c r="Q9540" i="5"/>
  <c r="R9540" i="5"/>
  <c r="K9541" i="5"/>
  <c r="L9541" i="5"/>
  <c r="Q9541" i="5"/>
  <c r="R9541" i="5"/>
  <c r="K9542" i="5"/>
  <c r="L9542" i="5"/>
  <c r="Q9542" i="5"/>
  <c r="R9542" i="5"/>
  <c r="K9543" i="5"/>
  <c r="L9543" i="5"/>
  <c r="Q9543" i="5"/>
  <c r="R9543" i="5"/>
  <c r="K9544" i="5"/>
  <c r="L9544" i="5"/>
  <c r="Q9544" i="5"/>
  <c r="R9544" i="5"/>
  <c r="K9545" i="5"/>
  <c r="L9545" i="5"/>
  <c r="Q9545" i="5"/>
  <c r="R9545" i="5"/>
  <c r="K9546" i="5"/>
  <c r="L9546" i="5"/>
  <c r="Q9546" i="5"/>
  <c r="R9546" i="5"/>
  <c r="K9547" i="5"/>
  <c r="L9547" i="5"/>
  <c r="Q9547" i="5"/>
  <c r="R9547" i="5"/>
  <c r="K9548" i="5"/>
  <c r="L9548" i="5"/>
  <c r="Q9548" i="5"/>
  <c r="R9548" i="5"/>
  <c r="K9549" i="5"/>
  <c r="L9549" i="5"/>
  <c r="Q9549" i="5"/>
  <c r="R9549" i="5"/>
  <c r="K9550" i="5"/>
  <c r="L9550" i="5"/>
  <c r="Q9550" i="5"/>
  <c r="R9550" i="5"/>
  <c r="K9551" i="5"/>
  <c r="L9551" i="5"/>
  <c r="Q9551" i="5"/>
  <c r="R9551" i="5"/>
  <c r="K9552" i="5"/>
  <c r="L9552" i="5"/>
  <c r="Q9552" i="5"/>
  <c r="R9552" i="5"/>
  <c r="K9553" i="5"/>
  <c r="L9553" i="5"/>
  <c r="Q9553" i="5"/>
  <c r="R9553" i="5"/>
  <c r="K9554" i="5"/>
  <c r="L9554" i="5"/>
  <c r="Q9554" i="5"/>
  <c r="R9554" i="5"/>
  <c r="K9555" i="5"/>
  <c r="L9555" i="5"/>
  <c r="Q9555" i="5"/>
  <c r="R9555" i="5"/>
  <c r="K9556" i="5"/>
  <c r="L9556" i="5"/>
  <c r="Q9556" i="5"/>
  <c r="R9556" i="5"/>
  <c r="K9557" i="5"/>
  <c r="L9557" i="5"/>
  <c r="Q9557" i="5"/>
  <c r="R9557" i="5"/>
  <c r="K9558" i="5"/>
  <c r="L9558" i="5"/>
  <c r="Q9558" i="5"/>
  <c r="R9558" i="5"/>
  <c r="K9559" i="5"/>
  <c r="L9559" i="5"/>
  <c r="Q9559" i="5"/>
  <c r="R9559" i="5"/>
  <c r="K9560" i="5"/>
  <c r="L9560" i="5"/>
  <c r="Q9560" i="5"/>
  <c r="R9560" i="5"/>
  <c r="K9561" i="5"/>
  <c r="L9561" i="5"/>
  <c r="Q9561" i="5"/>
  <c r="R9561" i="5"/>
  <c r="K9562" i="5"/>
  <c r="L9562" i="5"/>
  <c r="Q9562" i="5"/>
  <c r="R9562" i="5"/>
  <c r="K9563" i="5"/>
  <c r="L9563" i="5"/>
  <c r="Q9563" i="5"/>
  <c r="R9563" i="5"/>
  <c r="K9564" i="5"/>
  <c r="L9564" i="5"/>
  <c r="Q9564" i="5"/>
  <c r="R9564" i="5"/>
  <c r="K9565" i="5"/>
  <c r="L9565" i="5"/>
  <c r="Q9565" i="5"/>
  <c r="R9565" i="5"/>
  <c r="K9566" i="5"/>
  <c r="L9566" i="5"/>
  <c r="Q9566" i="5"/>
  <c r="R9566" i="5"/>
  <c r="K9567" i="5"/>
  <c r="L9567" i="5"/>
  <c r="Q9567" i="5"/>
  <c r="R9567" i="5"/>
  <c r="K9568" i="5"/>
  <c r="L9568" i="5"/>
  <c r="Q9568" i="5"/>
  <c r="R9568" i="5"/>
  <c r="K9569" i="5"/>
  <c r="L9569" i="5"/>
  <c r="Q9569" i="5"/>
  <c r="R9569" i="5"/>
  <c r="K9570" i="5"/>
  <c r="L9570" i="5"/>
  <c r="Q9570" i="5"/>
  <c r="R9570" i="5"/>
  <c r="K9571" i="5"/>
  <c r="L9571" i="5"/>
  <c r="Q9571" i="5"/>
  <c r="R9571" i="5"/>
  <c r="K9572" i="5"/>
  <c r="L9572" i="5"/>
  <c r="Q9572" i="5"/>
  <c r="R9572" i="5"/>
  <c r="K9573" i="5"/>
  <c r="L9573" i="5"/>
  <c r="Q9573" i="5"/>
  <c r="R9573" i="5"/>
  <c r="K9574" i="5"/>
  <c r="L9574" i="5"/>
  <c r="Q9574" i="5"/>
  <c r="R9574" i="5"/>
  <c r="K9575" i="5"/>
  <c r="L9575" i="5"/>
  <c r="Q9575" i="5"/>
  <c r="R9575" i="5"/>
  <c r="K9576" i="5"/>
  <c r="L9576" i="5"/>
  <c r="Q9576" i="5"/>
  <c r="R9576" i="5"/>
  <c r="K9577" i="5"/>
  <c r="L9577" i="5"/>
  <c r="Q9577" i="5"/>
  <c r="R9577" i="5"/>
  <c r="K9578" i="5"/>
  <c r="L9578" i="5"/>
  <c r="Q9578" i="5"/>
  <c r="R9578" i="5"/>
  <c r="K9579" i="5"/>
  <c r="L9579" i="5"/>
  <c r="Q9579" i="5"/>
  <c r="R9579" i="5"/>
  <c r="K9580" i="5"/>
  <c r="L9580" i="5"/>
  <c r="Q9580" i="5"/>
  <c r="R9580" i="5"/>
  <c r="K9581" i="5"/>
  <c r="L9581" i="5"/>
  <c r="Q9581" i="5"/>
  <c r="R9581" i="5"/>
  <c r="K9582" i="5"/>
  <c r="L9582" i="5"/>
  <c r="Q9582" i="5"/>
  <c r="R9582" i="5"/>
  <c r="K9583" i="5"/>
  <c r="L9583" i="5"/>
  <c r="Q9583" i="5"/>
  <c r="R9583" i="5"/>
  <c r="K9584" i="5"/>
  <c r="L9584" i="5"/>
  <c r="Q9584" i="5"/>
  <c r="R9584" i="5"/>
  <c r="K9585" i="5"/>
  <c r="L9585" i="5"/>
  <c r="Q9585" i="5"/>
  <c r="R9585" i="5"/>
  <c r="K9586" i="5"/>
  <c r="L9586" i="5"/>
  <c r="Q9586" i="5"/>
  <c r="R9586" i="5"/>
  <c r="K9587" i="5"/>
  <c r="L9587" i="5"/>
  <c r="Q9587" i="5"/>
  <c r="R9587" i="5"/>
  <c r="K9588" i="5"/>
  <c r="L9588" i="5"/>
  <c r="Q9588" i="5"/>
  <c r="R9588" i="5"/>
  <c r="K9589" i="5"/>
  <c r="L9589" i="5"/>
  <c r="Q9589" i="5"/>
  <c r="R9589" i="5"/>
  <c r="K9590" i="5"/>
  <c r="L9590" i="5"/>
  <c r="Q9590" i="5"/>
  <c r="R9590" i="5"/>
  <c r="K9591" i="5"/>
  <c r="L9591" i="5"/>
  <c r="Q9591" i="5"/>
  <c r="R9591" i="5"/>
  <c r="K9592" i="5"/>
  <c r="L9592" i="5"/>
  <c r="Q9592" i="5"/>
  <c r="R9592" i="5"/>
  <c r="K9593" i="5"/>
  <c r="L9593" i="5"/>
  <c r="Q9593" i="5"/>
  <c r="R9593" i="5"/>
  <c r="K9594" i="5"/>
  <c r="L9594" i="5"/>
  <c r="Q9594" i="5"/>
  <c r="R9594" i="5"/>
  <c r="K9595" i="5"/>
  <c r="L9595" i="5"/>
  <c r="Q9595" i="5"/>
  <c r="R9595" i="5"/>
  <c r="K9596" i="5"/>
  <c r="L9596" i="5"/>
  <c r="Q9596" i="5"/>
  <c r="R9596" i="5"/>
  <c r="K9597" i="5"/>
  <c r="L9597" i="5"/>
  <c r="Q9597" i="5"/>
  <c r="R9597" i="5"/>
  <c r="K9598" i="5"/>
  <c r="L9598" i="5"/>
  <c r="Q9598" i="5"/>
  <c r="R9598" i="5"/>
  <c r="K9599" i="5"/>
  <c r="L9599" i="5"/>
  <c r="Q9599" i="5"/>
  <c r="R9599" i="5"/>
  <c r="K9600" i="5"/>
  <c r="L9600" i="5"/>
  <c r="Q9600" i="5"/>
  <c r="R9600" i="5"/>
  <c r="K9601" i="5"/>
  <c r="L9601" i="5"/>
  <c r="Q9601" i="5"/>
  <c r="R9601" i="5"/>
  <c r="K9602" i="5"/>
  <c r="L9602" i="5"/>
  <c r="Q9602" i="5"/>
  <c r="R9602" i="5"/>
  <c r="K9603" i="5"/>
  <c r="L9603" i="5"/>
  <c r="Q9603" i="5"/>
  <c r="R9603" i="5"/>
  <c r="K9604" i="5"/>
  <c r="L9604" i="5"/>
  <c r="Q9604" i="5"/>
  <c r="R9604" i="5"/>
  <c r="K9605" i="5"/>
  <c r="L9605" i="5"/>
  <c r="Q9605" i="5"/>
  <c r="R9605" i="5"/>
  <c r="K9606" i="5"/>
  <c r="L9606" i="5"/>
  <c r="Q9606" i="5"/>
  <c r="R9606" i="5"/>
  <c r="K9607" i="5"/>
  <c r="L9607" i="5"/>
  <c r="Q9607" i="5"/>
  <c r="R9607" i="5"/>
  <c r="K9608" i="5"/>
  <c r="L9608" i="5"/>
  <c r="Q9608" i="5"/>
  <c r="R9608" i="5"/>
  <c r="K9609" i="5"/>
  <c r="L9609" i="5"/>
  <c r="Q9609" i="5"/>
  <c r="R9609" i="5"/>
  <c r="K9610" i="5"/>
  <c r="L9610" i="5"/>
  <c r="Q9610" i="5"/>
  <c r="R9610" i="5"/>
  <c r="K9611" i="5"/>
  <c r="L9611" i="5"/>
  <c r="Q9611" i="5"/>
  <c r="R9611" i="5"/>
  <c r="K9612" i="5"/>
  <c r="L9612" i="5"/>
  <c r="Q9612" i="5"/>
  <c r="R9612" i="5"/>
  <c r="K9613" i="5"/>
  <c r="L9613" i="5"/>
  <c r="Q9613" i="5"/>
  <c r="R9613" i="5"/>
  <c r="K9614" i="5"/>
  <c r="L9614" i="5"/>
  <c r="Q9614" i="5"/>
  <c r="R9614" i="5"/>
  <c r="K9615" i="5"/>
  <c r="L9615" i="5"/>
  <c r="Q9615" i="5"/>
  <c r="R9615" i="5"/>
  <c r="K9616" i="5"/>
  <c r="L9616" i="5"/>
  <c r="Q9616" i="5"/>
  <c r="R9616" i="5"/>
  <c r="K9617" i="5"/>
  <c r="L9617" i="5"/>
  <c r="Q9617" i="5"/>
  <c r="R9617" i="5"/>
  <c r="K9618" i="5"/>
  <c r="L9618" i="5"/>
  <c r="Q9618" i="5"/>
  <c r="R9618" i="5"/>
  <c r="K9619" i="5"/>
  <c r="L9619" i="5"/>
  <c r="Q9619" i="5"/>
  <c r="R9619" i="5"/>
  <c r="K9620" i="5"/>
  <c r="L9620" i="5"/>
  <c r="Q9620" i="5"/>
  <c r="R9620" i="5"/>
  <c r="K9621" i="5"/>
  <c r="L9621" i="5"/>
  <c r="Q9621" i="5"/>
  <c r="R9621" i="5"/>
  <c r="K9622" i="5"/>
  <c r="L9622" i="5"/>
  <c r="Q9622" i="5"/>
  <c r="R9622" i="5"/>
  <c r="K9623" i="5"/>
  <c r="L9623" i="5"/>
  <c r="Q9623" i="5"/>
  <c r="R9623" i="5"/>
  <c r="K9624" i="5"/>
  <c r="L9624" i="5"/>
  <c r="Q9624" i="5"/>
  <c r="R9624" i="5"/>
  <c r="K9625" i="5"/>
  <c r="L9625" i="5"/>
  <c r="Q9625" i="5"/>
  <c r="R9625" i="5"/>
  <c r="K9626" i="5"/>
  <c r="L9626" i="5"/>
  <c r="Q9626" i="5"/>
  <c r="R9626" i="5"/>
  <c r="K9627" i="5"/>
  <c r="L9627" i="5"/>
  <c r="Q9627" i="5"/>
  <c r="R9627" i="5"/>
  <c r="K9628" i="5"/>
  <c r="L9628" i="5"/>
  <c r="Q9628" i="5"/>
  <c r="R9628" i="5"/>
  <c r="K9629" i="5"/>
  <c r="L9629" i="5"/>
  <c r="Q9629" i="5"/>
  <c r="R9629" i="5"/>
  <c r="K9630" i="5"/>
  <c r="L9630" i="5"/>
  <c r="Q9630" i="5"/>
  <c r="R9630" i="5"/>
  <c r="K9631" i="5"/>
  <c r="L9631" i="5"/>
  <c r="Q9631" i="5"/>
  <c r="R9631" i="5"/>
  <c r="K9632" i="5"/>
  <c r="L9632" i="5"/>
  <c r="Q9632" i="5"/>
  <c r="R9632" i="5"/>
  <c r="K9633" i="5"/>
  <c r="L9633" i="5"/>
  <c r="Q9633" i="5"/>
  <c r="R9633" i="5"/>
  <c r="K9634" i="5"/>
  <c r="L9634" i="5"/>
  <c r="Q9634" i="5"/>
  <c r="R9634" i="5"/>
  <c r="K9635" i="5"/>
  <c r="L9635" i="5"/>
  <c r="Q9635" i="5"/>
  <c r="R9635" i="5"/>
  <c r="K9636" i="5"/>
  <c r="L9636" i="5"/>
  <c r="Q9636" i="5"/>
  <c r="R9636" i="5"/>
  <c r="K9637" i="5"/>
  <c r="L9637" i="5"/>
  <c r="Q9637" i="5"/>
  <c r="R9637" i="5"/>
  <c r="K9638" i="5"/>
  <c r="L9638" i="5"/>
  <c r="Q9638" i="5"/>
  <c r="R9638" i="5"/>
  <c r="K9639" i="5"/>
  <c r="L9639" i="5"/>
  <c r="Q9639" i="5"/>
  <c r="R9639" i="5"/>
  <c r="K9640" i="5"/>
  <c r="L9640" i="5"/>
  <c r="Q9640" i="5"/>
  <c r="R9640" i="5"/>
  <c r="K9641" i="5"/>
  <c r="L9641" i="5"/>
  <c r="Q9641" i="5"/>
  <c r="R9641" i="5"/>
  <c r="K9642" i="5"/>
  <c r="L9642" i="5"/>
  <c r="Q9642" i="5"/>
  <c r="R9642" i="5"/>
  <c r="K9643" i="5"/>
  <c r="L9643" i="5"/>
  <c r="Q9643" i="5"/>
  <c r="R9643" i="5"/>
  <c r="K9644" i="5"/>
  <c r="L9644" i="5"/>
  <c r="Q9644" i="5"/>
  <c r="R9644" i="5"/>
  <c r="K9645" i="5"/>
  <c r="L9645" i="5"/>
  <c r="Q9645" i="5"/>
  <c r="R9645" i="5"/>
  <c r="K9646" i="5"/>
  <c r="L9646" i="5"/>
  <c r="Q9646" i="5"/>
  <c r="R9646" i="5"/>
  <c r="K9647" i="5"/>
  <c r="L9647" i="5"/>
  <c r="Q9647" i="5"/>
  <c r="R9647" i="5"/>
  <c r="K9648" i="5"/>
  <c r="L9648" i="5"/>
  <c r="Q9648" i="5"/>
  <c r="R9648" i="5"/>
  <c r="K9649" i="5"/>
  <c r="L9649" i="5"/>
  <c r="Q9649" i="5"/>
  <c r="R9649" i="5"/>
  <c r="K9650" i="5"/>
  <c r="L9650" i="5"/>
  <c r="Q9650" i="5"/>
  <c r="R9650" i="5"/>
  <c r="K9651" i="5"/>
  <c r="L9651" i="5"/>
  <c r="Q9651" i="5"/>
  <c r="R9651" i="5"/>
  <c r="K9652" i="5"/>
  <c r="L9652" i="5"/>
  <c r="Q9652" i="5"/>
  <c r="R9652" i="5"/>
  <c r="K9653" i="5"/>
  <c r="L9653" i="5"/>
  <c r="Q9653" i="5"/>
  <c r="R9653" i="5"/>
  <c r="K9654" i="5"/>
  <c r="L9654" i="5"/>
  <c r="Q9654" i="5"/>
  <c r="R9654" i="5"/>
  <c r="K9655" i="5"/>
  <c r="L9655" i="5"/>
  <c r="Q9655" i="5"/>
  <c r="R9655" i="5"/>
  <c r="K9656" i="5"/>
  <c r="L9656" i="5"/>
  <c r="Q9656" i="5"/>
  <c r="R9656" i="5"/>
  <c r="K9657" i="5"/>
  <c r="L9657" i="5"/>
  <c r="Q9657" i="5"/>
  <c r="R9657" i="5"/>
  <c r="K9658" i="5"/>
  <c r="L9658" i="5"/>
  <c r="Q9658" i="5"/>
  <c r="R9658" i="5"/>
  <c r="K9659" i="5"/>
  <c r="L9659" i="5"/>
  <c r="Q9659" i="5"/>
  <c r="R9659" i="5"/>
  <c r="K9660" i="5"/>
  <c r="L9660" i="5"/>
  <c r="Q9660" i="5"/>
  <c r="R9660" i="5"/>
  <c r="K9661" i="5"/>
  <c r="L9661" i="5"/>
  <c r="Q9661" i="5"/>
  <c r="R9661" i="5"/>
  <c r="K9662" i="5"/>
  <c r="L9662" i="5"/>
  <c r="Q9662" i="5"/>
  <c r="R9662" i="5"/>
  <c r="K9663" i="5"/>
  <c r="L9663" i="5"/>
  <c r="Q9663" i="5"/>
  <c r="R9663" i="5"/>
  <c r="K9664" i="5"/>
  <c r="L9664" i="5"/>
  <c r="Q9664" i="5"/>
  <c r="R9664" i="5"/>
  <c r="K9665" i="5"/>
  <c r="L9665" i="5"/>
  <c r="Q9665" i="5"/>
  <c r="R9665" i="5"/>
  <c r="K9666" i="5"/>
  <c r="L9666" i="5"/>
  <c r="Q9666" i="5"/>
  <c r="R9666" i="5"/>
  <c r="K9667" i="5"/>
  <c r="L9667" i="5"/>
  <c r="Q9667" i="5"/>
  <c r="R9667" i="5"/>
  <c r="K9668" i="5"/>
  <c r="L9668" i="5"/>
  <c r="Q9668" i="5"/>
  <c r="R9668" i="5"/>
  <c r="K9669" i="5"/>
  <c r="L9669" i="5"/>
  <c r="Q9669" i="5"/>
  <c r="R9669" i="5"/>
  <c r="K9670" i="5"/>
  <c r="L9670" i="5"/>
  <c r="Q9670" i="5"/>
  <c r="R9670" i="5"/>
  <c r="K9671" i="5"/>
  <c r="L9671" i="5"/>
  <c r="Q9671" i="5"/>
  <c r="R9671" i="5"/>
  <c r="K9672" i="5"/>
  <c r="L9672" i="5"/>
  <c r="Q9672" i="5"/>
  <c r="R9672" i="5"/>
  <c r="K9673" i="5"/>
  <c r="L9673" i="5"/>
  <c r="Q9673" i="5"/>
  <c r="R9673" i="5"/>
  <c r="K9674" i="5"/>
  <c r="L9674" i="5"/>
  <c r="Q9674" i="5"/>
  <c r="R9674" i="5"/>
  <c r="K9675" i="5"/>
  <c r="L9675" i="5"/>
  <c r="Q9675" i="5"/>
  <c r="R9675" i="5"/>
  <c r="K9676" i="5"/>
  <c r="L9676" i="5"/>
  <c r="Q9676" i="5"/>
  <c r="R9676" i="5"/>
  <c r="K9677" i="5"/>
  <c r="L9677" i="5"/>
  <c r="Q9677" i="5"/>
  <c r="R9677" i="5"/>
  <c r="K9678" i="5"/>
  <c r="L9678" i="5"/>
  <c r="Q9678" i="5"/>
  <c r="R9678" i="5"/>
  <c r="K9679" i="5"/>
  <c r="L9679" i="5"/>
  <c r="Q9679" i="5"/>
  <c r="R9679" i="5"/>
  <c r="K9680" i="5"/>
  <c r="L9680" i="5"/>
  <c r="Q9680" i="5"/>
  <c r="R9680" i="5"/>
  <c r="K9681" i="5"/>
  <c r="L9681" i="5"/>
  <c r="Q9681" i="5"/>
  <c r="R9681" i="5"/>
  <c r="K9682" i="5"/>
  <c r="L9682" i="5"/>
  <c r="Q9682" i="5"/>
  <c r="R9682" i="5"/>
  <c r="K9683" i="5"/>
  <c r="L9683" i="5"/>
  <c r="Q9683" i="5"/>
  <c r="R9683" i="5"/>
  <c r="K9684" i="5"/>
  <c r="L9684" i="5"/>
  <c r="Q9684" i="5"/>
  <c r="R9684" i="5"/>
  <c r="K9685" i="5"/>
  <c r="L9685" i="5"/>
  <c r="Q9685" i="5"/>
  <c r="R9685" i="5"/>
  <c r="K9686" i="5"/>
  <c r="L9686" i="5"/>
  <c r="Q9686" i="5"/>
  <c r="R9686" i="5"/>
  <c r="K9687" i="5"/>
  <c r="L9687" i="5"/>
  <c r="Q9687" i="5"/>
  <c r="R9687" i="5"/>
  <c r="K9688" i="5"/>
  <c r="L9688" i="5"/>
  <c r="Q9688" i="5"/>
  <c r="R9688" i="5"/>
  <c r="K9689" i="5"/>
  <c r="L9689" i="5"/>
  <c r="Q9689" i="5"/>
  <c r="R9689" i="5"/>
  <c r="K9690" i="5"/>
  <c r="L9690" i="5"/>
  <c r="Q9690" i="5"/>
  <c r="R9690" i="5"/>
  <c r="K9691" i="5"/>
  <c r="L9691" i="5"/>
  <c r="Q9691" i="5"/>
  <c r="R9691" i="5"/>
  <c r="K9692" i="5"/>
  <c r="L9692" i="5"/>
  <c r="Q9692" i="5"/>
  <c r="R9692" i="5"/>
  <c r="K9693" i="5"/>
  <c r="L9693" i="5"/>
  <c r="Q9693" i="5"/>
  <c r="R9693" i="5"/>
  <c r="K9694" i="5"/>
  <c r="L9694" i="5"/>
  <c r="Q9694" i="5"/>
  <c r="R9694" i="5"/>
  <c r="K9695" i="5"/>
  <c r="L9695" i="5"/>
  <c r="Q9695" i="5"/>
  <c r="R9695" i="5"/>
  <c r="K9696" i="5"/>
  <c r="L9696" i="5"/>
  <c r="Q9696" i="5"/>
  <c r="R9696" i="5"/>
  <c r="K9697" i="5"/>
  <c r="L9697" i="5"/>
  <c r="Q9697" i="5"/>
  <c r="R9697" i="5"/>
  <c r="K9698" i="5"/>
  <c r="L9698" i="5"/>
  <c r="Q9698" i="5"/>
  <c r="R9698" i="5"/>
  <c r="K9699" i="5"/>
  <c r="L9699" i="5"/>
  <c r="Q9699" i="5"/>
  <c r="R9699" i="5"/>
  <c r="K9700" i="5"/>
  <c r="L9700" i="5"/>
  <c r="Q9700" i="5"/>
  <c r="R9700" i="5"/>
  <c r="K9701" i="5"/>
  <c r="L9701" i="5"/>
  <c r="Q9701" i="5"/>
  <c r="R9701" i="5"/>
  <c r="K9702" i="5"/>
  <c r="L9702" i="5"/>
  <c r="Q9702" i="5"/>
  <c r="R9702" i="5"/>
  <c r="K9703" i="5"/>
  <c r="L9703" i="5"/>
  <c r="Q9703" i="5"/>
  <c r="R9703" i="5"/>
  <c r="K9704" i="5"/>
  <c r="L9704" i="5"/>
  <c r="Q9704" i="5"/>
  <c r="R9704" i="5"/>
  <c r="K9705" i="5"/>
  <c r="L9705" i="5"/>
  <c r="Q9705" i="5"/>
  <c r="R9705" i="5"/>
  <c r="K9706" i="5"/>
  <c r="L9706" i="5"/>
  <c r="Q9706" i="5"/>
  <c r="R9706" i="5"/>
  <c r="K9707" i="5"/>
  <c r="L9707" i="5"/>
  <c r="Q9707" i="5"/>
  <c r="R9707" i="5"/>
  <c r="K9708" i="5"/>
  <c r="L9708" i="5"/>
  <c r="Q9708" i="5"/>
  <c r="R9708" i="5"/>
  <c r="K9709" i="5"/>
  <c r="L9709" i="5"/>
  <c r="Q9709" i="5"/>
  <c r="R9709" i="5"/>
  <c r="K9710" i="5"/>
  <c r="L9710" i="5"/>
  <c r="Q9710" i="5"/>
  <c r="R9710" i="5"/>
  <c r="K9711" i="5"/>
  <c r="L9711" i="5"/>
  <c r="Q9711" i="5"/>
  <c r="R9711" i="5"/>
  <c r="K9712" i="5"/>
  <c r="L9712" i="5"/>
  <c r="Q9712" i="5"/>
  <c r="R9712" i="5"/>
  <c r="K9713" i="5"/>
  <c r="L9713" i="5"/>
  <c r="Q9713" i="5"/>
  <c r="R9713" i="5"/>
  <c r="K9714" i="5"/>
  <c r="L9714" i="5"/>
  <c r="Q9714" i="5"/>
  <c r="R9714" i="5"/>
  <c r="K9715" i="5"/>
  <c r="L9715" i="5"/>
  <c r="Q9715" i="5"/>
  <c r="R9715" i="5"/>
  <c r="K9716" i="5"/>
  <c r="L9716" i="5"/>
  <c r="Q9716" i="5"/>
  <c r="R9716" i="5"/>
  <c r="K9717" i="5"/>
  <c r="L9717" i="5"/>
  <c r="Q9717" i="5"/>
  <c r="R9717" i="5"/>
  <c r="K9718" i="5"/>
  <c r="L9718" i="5"/>
  <c r="Q9718" i="5"/>
  <c r="R9718" i="5"/>
  <c r="K9719" i="5"/>
  <c r="L9719" i="5"/>
  <c r="Q9719" i="5"/>
  <c r="R9719" i="5"/>
  <c r="K9720" i="5"/>
  <c r="L9720" i="5"/>
  <c r="Q9720" i="5"/>
  <c r="R9720" i="5"/>
  <c r="K9721" i="5"/>
  <c r="L9721" i="5"/>
  <c r="Q9721" i="5"/>
  <c r="R9721" i="5"/>
  <c r="K9722" i="5"/>
  <c r="L9722" i="5"/>
  <c r="Q9722" i="5"/>
  <c r="R9722" i="5"/>
  <c r="K9723" i="5"/>
  <c r="L9723" i="5"/>
  <c r="Q9723" i="5"/>
  <c r="R9723" i="5"/>
  <c r="K9724" i="5"/>
  <c r="L9724" i="5"/>
  <c r="Q9724" i="5"/>
  <c r="R9724" i="5"/>
  <c r="K9725" i="5"/>
  <c r="L9725" i="5"/>
  <c r="Q9725" i="5"/>
  <c r="R9725" i="5"/>
  <c r="K9726" i="5"/>
  <c r="L9726" i="5"/>
  <c r="Q9726" i="5"/>
  <c r="R9726" i="5"/>
  <c r="K9727" i="5"/>
  <c r="L9727" i="5"/>
  <c r="Q9727" i="5"/>
  <c r="R9727" i="5"/>
  <c r="K9728" i="5"/>
  <c r="L9728" i="5"/>
  <c r="Q9728" i="5"/>
  <c r="R9728" i="5"/>
  <c r="K9729" i="5"/>
  <c r="L9729" i="5"/>
  <c r="Q9729" i="5"/>
  <c r="R9729" i="5"/>
  <c r="K9730" i="5"/>
  <c r="L9730" i="5"/>
  <c r="Q9730" i="5"/>
  <c r="R9730" i="5"/>
  <c r="K9731" i="5"/>
  <c r="L9731" i="5"/>
  <c r="Q9731" i="5"/>
  <c r="R9731" i="5"/>
  <c r="K9732" i="5"/>
  <c r="L9732" i="5"/>
  <c r="Q9732" i="5"/>
  <c r="R9732" i="5"/>
  <c r="K9733" i="5"/>
  <c r="L9733" i="5"/>
  <c r="Q9733" i="5"/>
  <c r="R9733" i="5"/>
  <c r="K9734" i="5"/>
  <c r="L9734" i="5"/>
  <c r="Q9734" i="5"/>
  <c r="R9734" i="5"/>
  <c r="K9735" i="5"/>
  <c r="L9735" i="5"/>
  <c r="Q9735" i="5"/>
  <c r="R9735" i="5"/>
  <c r="K9736" i="5"/>
  <c r="L9736" i="5"/>
  <c r="Q9736" i="5"/>
  <c r="R9736" i="5"/>
  <c r="K9737" i="5"/>
  <c r="L9737" i="5"/>
  <c r="Q9737" i="5"/>
  <c r="R9737" i="5"/>
  <c r="K9738" i="5"/>
  <c r="L9738" i="5"/>
  <c r="Q9738" i="5"/>
  <c r="R9738" i="5"/>
  <c r="K9739" i="5"/>
  <c r="L9739" i="5"/>
  <c r="Q9739" i="5"/>
  <c r="R9739" i="5"/>
  <c r="K9740" i="5"/>
  <c r="L9740" i="5"/>
  <c r="Q9740" i="5"/>
  <c r="R9740" i="5"/>
  <c r="K9741" i="5"/>
  <c r="L9741" i="5"/>
  <c r="Q9741" i="5"/>
  <c r="R9741" i="5"/>
  <c r="K9742" i="5"/>
  <c r="L9742" i="5"/>
  <c r="Q9742" i="5"/>
  <c r="R9742" i="5"/>
  <c r="K9743" i="5"/>
  <c r="L9743" i="5"/>
  <c r="Q9743" i="5"/>
  <c r="R9743" i="5"/>
  <c r="K9744" i="5"/>
  <c r="L9744" i="5"/>
  <c r="Q9744" i="5"/>
  <c r="R9744" i="5"/>
  <c r="K9745" i="5"/>
  <c r="L9745" i="5"/>
  <c r="Q9745" i="5"/>
  <c r="R9745" i="5"/>
  <c r="K9746" i="5"/>
  <c r="L9746" i="5"/>
  <c r="Q9746" i="5"/>
  <c r="R9746" i="5"/>
  <c r="K9747" i="5"/>
  <c r="L9747" i="5"/>
  <c r="Q9747" i="5"/>
  <c r="R9747" i="5"/>
  <c r="K9748" i="5"/>
  <c r="L9748" i="5"/>
  <c r="Q9748" i="5"/>
  <c r="R9748" i="5"/>
  <c r="K9749" i="5"/>
  <c r="L9749" i="5"/>
  <c r="Q9749" i="5"/>
  <c r="R9749" i="5"/>
  <c r="K9750" i="5"/>
  <c r="L9750" i="5"/>
  <c r="Q9750" i="5"/>
  <c r="R9750" i="5"/>
  <c r="K9751" i="5"/>
  <c r="L9751" i="5"/>
  <c r="Q9751" i="5"/>
  <c r="R9751" i="5"/>
  <c r="K9752" i="5"/>
  <c r="L9752" i="5"/>
  <c r="Q9752" i="5"/>
  <c r="R9752" i="5"/>
  <c r="K9753" i="5"/>
  <c r="L9753" i="5"/>
  <c r="Q9753" i="5"/>
  <c r="R9753" i="5"/>
  <c r="K9754" i="5"/>
  <c r="L9754" i="5"/>
  <c r="Q9754" i="5"/>
  <c r="R9754" i="5"/>
  <c r="K9755" i="5"/>
  <c r="L9755" i="5"/>
  <c r="Q9755" i="5"/>
  <c r="R9755" i="5"/>
  <c r="K9756" i="5"/>
  <c r="L9756" i="5"/>
  <c r="Q9756" i="5"/>
  <c r="R9756" i="5"/>
  <c r="K9757" i="5"/>
  <c r="L9757" i="5"/>
  <c r="Q9757" i="5"/>
  <c r="R9757" i="5"/>
  <c r="K9758" i="5"/>
  <c r="L9758" i="5"/>
  <c r="Q9758" i="5"/>
  <c r="R9758" i="5"/>
  <c r="K9759" i="5"/>
  <c r="L9759" i="5"/>
  <c r="Q9759" i="5"/>
  <c r="R9759" i="5"/>
  <c r="K9760" i="5"/>
  <c r="L9760" i="5"/>
  <c r="Q9760" i="5"/>
  <c r="R9760" i="5"/>
  <c r="K9761" i="5"/>
  <c r="L9761" i="5"/>
  <c r="Q9761" i="5"/>
  <c r="R9761" i="5"/>
  <c r="K9762" i="5"/>
  <c r="L9762" i="5"/>
  <c r="Q9762" i="5"/>
  <c r="R9762" i="5"/>
  <c r="K9763" i="5"/>
  <c r="L9763" i="5"/>
  <c r="Q9763" i="5"/>
  <c r="R9763" i="5"/>
  <c r="K9764" i="5"/>
  <c r="L9764" i="5"/>
  <c r="Q9764" i="5"/>
  <c r="R9764" i="5"/>
  <c r="K9765" i="5"/>
  <c r="L9765" i="5"/>
  <c r="Q9765" i="5"/>
  <c r="R9765" i="5"/>
  <c r="K9766" i="5"/>
  <c r="L9766" i="5"/>
  <c r="Q9766" i="5"/>
  <c r="R9766" i="5"/>
  <c r="K9767" i="5"/>
  <c r="L9767" i="5"/>
  <c r="Q9767" i="5"/>
  <c r="R9767" i="5"/>
  <c r="K9768" i="5"/>
  <c r="L9768" i="5"/>
  <c r="Q9768" i="5"/>
  <c r="R9768" i="5"/>
  <c r="K9769" i="5"/>
  <c r="L9769" i="5"/>
  <c r="Q9769" i="5"/>
  <c r="R9769" i="5"/>
  <c r="K9770" i="5"/>
  <c r="L9770" i="5"/>
  <c r="Q9770" i="5"/>
  <c r="R9770" i="5"/>
  <c r="K9771" i="5"/>
  <c r="L9771" i="5"/>
  <c r="Q9771" i="5"/>
  <c r="R9771" i="5"/>
  <c r="K9772" i="5"/>
  <c r="L9772" i="5"/>
  <c r="Q9772" i="5"/>
  <c r="R9772" i="5"/>
  <c r="K9773" i="5"/>
  <c r="L9773" i="5"/>
  <c r="Q9773" i="5"/>
  <c r="R9773" i="5"/>
  <c r="K9774" i="5"/>
  <c r="L9774" i="5"/>
  <c r="Q9774" i="5"/>
  <c r="R9774" i="5"/>
  <c r="K9775" i="5"/>
  <c r="L9775" i="5"/>
  <c r="Q9775" i="5"/>
  <c r="R9775" i="5"/>
  <c r="K9776" i="5"/>
  <c r="L9776" i="5"/>
  <c r="Q9776" i="5"/>
  <c r="R9776" i="5"/>
  <c r="K9777" i="5"/>
  <c r="L9777" i="5"/>
  <c r="Q9777" i="5"/>
  <c r="R9777" i="5"/>
  <c r="K9778" i="5"/>
  <c r="L9778" i="5"/>
  <c r="Q9778" i="5"/>
  <c r="R9778" i="5"/>
  <c r="K9779" i="5"/>
  <c r="L9779" i="5"/>
  <c r="Q9779" i="5"/>
  <c r="R9779" i="5"/>
  <c r="K9780" i="5"/>
  <c r="L9780" i="5"/>
  <c r="Q9780" i="5"/>
  <c r="R9780" i="5"/>
  <c r="K9781" i="5"/>
  <c r="L9781" i="5"/>
  <c r="Q9781" i="5"/>
  <c r="R9781" i="5"/>
  <c r="K9782" i="5"/>
  <c r="L9782" i="5"/>
  <c r="Q9782" i="5"/>
  <c r="R9782" i="5"/>
  <c r="K9783" i="5"/>
  <c r="L9783" i="5"/>
  <c r="Q9783" i="5"/>
  <c r="R9783" i="5"/>
  <c r="K9784" i="5"/>
  <c r="L9784" i="5"/>
  <c r="Q9784" i="5"/>
  <c r="R9784" i="5"/>
  <c r="K9785" i="5"/>
  <c r="L9785" i="5"/>
  <c r="Q9785" i="5"/>
  <c r="R9785" i="5"/>
  <c r="K9786" i="5"/>
  <c r="L9786" i="5"/>
  <c r="Q9786" i="5"/>
  <c r="R9786" i="5"/>
  <c r="K9787" i="5"/>
  <c r="L9787" i="5"/>
  <c r="Q9787" i="5"/>
  <c r="R9787" i="5"/>
  <c r="K9788" i="5"/>
  <c r="L9788" i="5"/>
  <c r="Q9788" i="5"/>
  <c r="R9788" i="5"/>
  <c r="K9789" i="5"/>
  <c r="L9789" i="5"/>
  <c r="Q9789" i="5"/>
  <c r="R9789" i="5"/>
  <c r="K9790" i="5"/>
  <c r="L9790" i="5"/>
  <c r="Q9790" i="5"/>
  <c r="R9790" i="5"/>
  <c r="K9791" i="5"/>
  <c r="L9791" i="5"/>
  <c r="Q9791" i="5"/>
  <c r="R9791" i="5"/>
  <c r="K9792" i="5"/>
  <c r="L9792" i="5"/>
  <c r="Q9792" i="5"/>
  <c r="R9792" i="5"/>
  <c r="K9793" i="5"/>
  <c r="L9793" i="5"/>
  <c r="Q9793" i="5"/>
  <c r="R9793" i="5"/>
  <c r="K9794" i="5"/>
  <c r="L9794" i="5"/>
  <c r="Q9794" i="5"/>
  <c r="R9794" i="5"/>
  <c r="K9795" i="5"/>
  <c r="L9795" i="5"/>
  <c r="Q9795" i="5"/>
  <c r="R9795" i="5"/>
  <c r="K9796" i="5"/>
  <c r="L9796" i="5"/>
  <c r="Q9796" i="5"/>
  <c r="R9796" i="5"/>
  <c r="K9797" i="5"/>
  <c r="L9797" i="5"/>
  <c r="Q9797" i="5"/>
  <c r="R9797" i="5"/>
  <c r="K9798" i="5"/>
  <c r="L9798" i="5"/>
  <c r="Q9798" i="5"/>
  <c r="R9798" i="5"/>
  <c r="K9799" i="5"/>
  <c r="L9799" i="5"/>
  <c r="Q9799" i="5"/>
  <c r="R9799" i="5"/>
  <c r="K9800" i="5"/>
  <c r="L9800" i="5"/>
  <c r="Q9800" i="5"/>
  <c r="R9800" i="5"/>
  <c r="K9801" i="5"/>
  <c r="L9801" i="5"/>
  <c r="Q9801" i="5"/>
  <c r="R9801" i="5"/>
  <c r="K9802" i="5"/>
  <c r="L9802" i="5"/>
  <c r="Q9802" i="5"/>
  <c r="R9802" i="5"/>
  <c r="K9803" i="5"/>
  <c r="L9803" i="5"/>
  <c r="Q9803" i="5"/>
  <c r="R9803" i="5"/>
  <c r="K9804" i="5"/>
  <c r="L9804" i="5"/>
  <c r="Q9804" i="5"/>
  <c r="R9804" i="5"/>
  <c r="K9805" i="5"/>
  <c r="L9805" i="5"/>
  <c r="Q9805" i="5"/>
  <c r="R9805" i="5"/>
  <c r="K9806" i="5"/>
  <c r="L9806" i="5"/>
  <c r="Q9806" i="5"/>
  <c r="R9806" i="5"/>
  <c r="K9807" i="5"/>
  <c r="L9807" i="5"/>
  <c r="Q9807" i="5"/>
  <c r="R9807" i="5"/>
  <c r="K9808" i="5"/>
  <c r="L9808" i="5"/>
  <c r="Q9808" i="5"/>
  <c r="R9808" i="5"/>
  <c r="K9809" i="5"/>
  <c r="L9809" i="5"/>
  <c r="Q9809" i="5"/>
  <c r="R9809" i="5"/>
  <c r="K9810" i="5"/>
  <c r="L9810" i="5"/>
  <c r="Q9810" i="5"/>
  <c r="R9810" i="5"/>
  <c r="K9811" i="5"/>
  <c r="L9811" i="5"/>
  <c r="Q9811" i="5"/>
  <c r="R9811" i="5"/>
  <c r="K9812" i="5"/>
  <c r="L9812" i="5"/>
  <c r="Q9812" i="5"/>
  <c r="R9812" i="5"/>
  <c r="K9813" i="5"/>
  <c r="L9813" i="5"/>
  <c r="Q9813" i="5"/>
  <c r="R9813" i="5"/>
  <c r="K9814" i="5"/>
  <c r="L9814" i="5"/>
  <c r="Q9814" i="5"/>
  <c r="R9814" i="5"/>
  <c r="K9815" i="5"/>
  <c r="L9815" i="5"/>
  <c r="Q9815" i="5"/>
  <c r="R9815" i="5"/>
  <c r="K9816" i="5"/>
  <c r="L9816" i="5"/>
  <c r="Q9816" i="5"/>
  <c r="R9816" i="5"/>
  <c r="K9817" i="5"/>
  <c r="L9817" i="5"/>
  <c r="Q9817" i="5"/>
  <c r="R9817" i="5"/>
  <c r="K9818" i="5"/>
  <c r="L9818" i="5"/>
  <c r="Q9818" i="5"/>
  <c r="R9818" i="5"/>
  <c r="K9819" i="5"/>
  <c r="L9819" i="5"/>
  <c r="Q9819" i="5"/>
  <c r="R9819" i="5"/>
  <c r="K9820" i="5"/>
  <c r="L9820" i="5"/>
  <c r="Q9820" i="5"/>
  <c r="R9820" i="5"/>
  <c r="K9821" i="5"/>
  <c r="L9821" i="5"/>
  <c r="Q9821" i="5"/>
  <c r="R9821" i="5"/>
  <c r="K9822" i="5"/>
  <c r="L9822" i="5"/>
  <c r="Q9822" i="5"/>
  <c r="R9822" i="5"/>
  <c r="K9823" i="5"/>
  <c r="L9823" i="5"/>
  <c r="Q9823" i="5"/>
  <c r="R9823" i="5"/>
  <c r="K9824" i="5"/>
  <c r="L9824" i="5"/>
  <c r="Q9824" i="5"/>
  <c r="R9824" i="5"/>
  <c r="K9825" i="5"/>
  <c r="L9825" i="5"/>
  <c r="Q9825" i="5"/>
  <c r="R9825" i="5"/>
  <c r="K9826" i="5"/>
  <c r="L9826" i="5"/>
  <c r="Q9826" i="5"/>
  <c r="R9826" i="5"/>
  <c r="K9827" i="5"/>
  <c r="L9827" i="5"/>
  <c r="Q9827" i="5"/>
  <c r="R9827" i="5"/>
  <c r="K9828" i="5"/>
  <c r="L9828" i="5"/>
  <c r="Q9828" i="5"/>
  <c r="R9828" i="5"/>
  <c r="K9829" i="5"/>
  <c r="L9829" i="5"/>
  <c r="Q9829" i="5"/>
  <c r="R9829" i="5"/>
  <c r="K9830" i="5"/>
  <c r="L9830" i="5"/>
  <c r="Q9830" i="5"/>
  <c r="R9830" i="5"/>
  <c r="K9831" i="5"/>
  <c r="L9831" i="5"/>
  <c r="Q9831" i="5"/>
  <c r="R9831" i="5"/>
  <c r="K9832" i="5"/>
  <c r="L9832" i="5"/>
  <c r="Q9832" i="5"/>
  <c r="R9832" i="5"/>
  <c r="K9833" i="5"/>
  <c r="L9833" i="5"/>
  <c r="Q9833" i="5"/>
  <c r="R9833" i="5"/>
  <c r="K9834" i="5"/>
  <c r="L9834" i="5"/>
  <c r="Q9834" i="5"/>
  <c r="R9834" i="5"/>
  <c r="K9835" i="5"/>
  <c r="L9835" i="5"/>
  <c r="Q9835" i="5"/>
  <c r="R9835" i="5"/>
  <c r="K9836" i="5"/>
  <c r="L9836" i="5"/>
  <c r="Q9836" i="5"/>
  <c r="R9836" i="5"/>
  <c r="K9837" i="5"/>
  <c r="L9837" i="5"/>
  <c r="Q9837" i="5"/>
  <c r="R9837" i="5"/>
  <c r="K9838" i="5"/>
  <c r="L9838" i="5"/>
  <c r="Q9838" i="5"/>
  <c r="R9838" i="5"/>
  <c r="K9839" i="5"/>
  <c r="L9839" i="5"/>
  <c r="Q9839" i="5"/>
  <c r="R9839" i="5"/>
  <c r="K9840" i="5"/>
  <c r="L9840" i="5"/>
  <c r="Q9840" i="5"/>
  <c r="R9840" i="5"/>
  <c r="K9841" i="5"/>
  <c r="L9841" i="5"/>
  <c r="Q9841" i="5"/>
  <c r="R9841" i="5"/>
  <c r="K9842" i="5"/>
  <c r="L9842" i="5"/>
  <c r="Q9842" i="5"/>
  <c r="R9842" i="5"/>
  <c r="K9843" i="5"/>
  <c r="L9843" i="5"/>
  <c r="Q9843" i="5"/>
  <c r="R9843" i="5"/>
  <c r="K9844" i="5"/>
  <c r="L9844" i="5"/>
  <c r="Q9844" i="5"/>
  <c r="R9844" i="5"/>
  <c r="K9845" i="5"/>
  <c r="L9845" i="5"/>
  <c r="Q9845" i="5"/>
  <c r="R9845" i="5"/>
  <c r="K9846" i="5"/>
  <c r="L9846" i="5"/>
  <c r="Q9846" i="5"/>
  <c r="R9846" i="5"/>
  <c r="K9847" i="5"/>
  <c r="L9847" i="5"/>
  <c r="Q9847" i="5"/>
  <c r="R9847" i="5"/>
  <c r="K9848" i="5"/>
  <c r="L9848" i="5"/>
  <c r="Q9848" i="5"/>
  <c r="R9848" i="5"/>
  <c r="K9849" i="5"/>
  <c r="L9849" i="5"/>
  <c r="Q9849" i="5"/>
  <c r="R9849" i="5"/>
  <c r="K9850" i="5"/>
  <c r="L9850" i="5"/>
  <c r="Q9850" i="5"/>
  <c r="R9850" i="5"/>
  <c r="K9851" i="5"/>
  <c r="L9851" i="5"/>
  <c r="Q9851" i="5"/>
  <c r="R9851" i="5"/>
  <c r="K9852" i="5"/>
  <c r="L9852" i="5"/>
  <c r="Q9852" i="5"/>
  <c r="R9852" i="5"/>
  <c r="K9853" i="5"/>
  <c r="L9853" i="5"/>
  <c r="Q9853" i="5"/>
  <c r="R9853" i="5"/>
  <c r="K9854" i="5"/>
  <c r="L9854" i="5"/>
  <c r="Q9854" i="5"/>
  <c r="R9854" i="5"/>
  <c r="K9855" i="5"/>
  <c r="L9855" i="5"/>
  <c r="Q9855" i="5"/>
  <c r="R9855" i="5"/>
  <c r="K9856" i="5"/>
  <c r="L9856" i="5"/>
  <c r="Q9856" i="5"/>
  <c r="R9856" i="5"/>
  <c r="K9857" i="5"/>
  <c r="L9857" i="5"/>
  <c r="Q9857" i="5"/>
  <c r="R9857" i="5"/>
  <c r="K9858" i="5"/>
  <c r="L9858" i="5"/>
  <c r="Q9858" i="5"/>
  <c r="R9858" i="5"/>
  <c r="K9859" i="5"/>
  <c r="L9859" i="5"/>
  <c r="Q9859" i="5"/>
  <c r="R9859" i="5"/>
  <c r="K9860" i="5"/>
  <c r="L9860" i="5"/>
  <c r="Q9860" i="5"/>
  <c r="R9860" i="5"/>
  <c r="K9861" i="5"/>
  <c r="L9861" i="5"/>
  <c r="Q9861" i="5"/>
  <c r="R9861" i="5"/>
  <c r="K9862" i="5"/>
  <c r="L9862" i="5"/>
  <c r="Q9862" i="5"/>
  <c r="R9862" i="5"/>
  <c r="K9863" i="5"/>
  <c r="L9863" i="5"/>
  <c r="Q9863" i="5"/>
  <c r="R9863" i="5"/>
  <c r="K9864" i="5"/>
  <c r="L9864" i="5"/>
  <c r="Q9864" i="5"/>
  <c r="R9864" i="5"/>
  <c r="K9865" i="5"/>
  <c r="L9865" i="5"/>
  <c r="Q9865" i="5"/>
  <c r="R9865" i="5"/>
  <c r="K9866" i="5"/>
  <c r="L9866" i="5"/>
  <c r="Q9866" i="5"/>
  <c r="R9866" i="5"/>
  <c r="K9867" i="5"/>
  <c r="L9867" i="5"/>
  <c r="Q9867" i="5"/>
  <c r="R9867" i="5"/>
  <c r="K9868" i="5"/>
  <c r="L9868" i="5"/>
  <c r="Q9868" i="5"/>
  <c r="R9868" i="5"/>
  <c r="K9869" i="5"/>
  <c r="L9869" i="5"/>
  <c r="Q9869" i="5"/>
  <c r="R9869" i="5"/>
  <c r="K9870" i="5"/>
  <c r="L9870" i="5"/>
  <c r="Q9870" i="5"/>
  <c r="R9870" i="5"/>
  <c r="K9871" i="5"/>
  <c r="L9871" i="5"/>
  <c r="Q9871" i="5"/>
  <c r="R9871" i="5"/>
  <c r="K9872" i="5"/>
  <c r="L9872" i="5"/>
  <c r="Q9872" i="5"/>
  <c r="R9872" i="5"/>
  <c r="K9873" i="5"/>
  <c r="L9873" i="5"/>
  <c r="Q9873" i="5"/>
  <c r="R9873" i="5"/>
  <c r="K9874" i="5"/>
  <c r="L9874" i="5"/>
  <c r="Q9874" i="5"/>
  <c r="R9874" i="5"/>
  <c r="K9875" i="5"/>
  <c r="L9875" i="5"/>
  <c r="Q9875" i="5"/>
  <c r="R9875" i="5"/>
  <c r="K9876" i="5"/>
  <c r="L9876" i="5"/>
  <c r="Q9876" i="5"/>
  <c r="R9876" i="5"/>
  <c r="K9877" i="5"/>
  <c r="L9877" i="5"/>
  <c r="Q9877" i="5"/>
  <c r="R9877" i="5"/>
  <c r="K9878" i="5"/>
  <c r="L9878" i="5"/>
  <c r="Q9878" i="5"/>
  <c r="R9878" i="5"/>
  <c r="K9879" i="5"/>
  <c r="L9879" i="5"/>
  <c r="Q9879" i="5"/>
  <c r="R9879" i="5"/>
  <c r="K9880" i="5"/>
  <c r="L9880" i="5"/>
  <c r="Q9880" i="5"/>
  <c r="R9880" i="5"/>
  <c r="K9881" i="5"/>
  <c r="L9881" i="5"/>
  <c r="Q9881" i="5"/>
  <c r="R9881" i="5"/>
  <c r="K9882" i="5"/>
  <c r="L9882" i="5"/>
  <c r="Q9882" i="5"/>
  <c r="R9882" i="5"/>
  <c r="K9883" i="5"/>
  <c r="L9883" i="5"/>
  <c r="Q9883" i="5"/>
  <c r="R9883" i="5"/>
  <c r="K9884" i="5"/>
  <c r="L9884" i="5"/>
  <c r="Q9884" i="5"/>
  <c r="R9884" i="5"/>
  <c r="K9885" i="5"/>
  <c r="L9885" i="5"/>
  <c r="Q9885" i="5"/>
  <c r="R9885" i="5"/>
  <c r="K9886" i="5"/>
  <c r="L9886" i="5"/>
  <c r="Q9886" i="5"/>
  <c r="R9886" i="5"/>
  <c r="K9887" i="5"/>
  <c r="L9887" i="5"/>
  <c r="Q9887" i="5"/>
  <c r="R9887" i="5"/>
  <c r="K9888" i="5"/>
  <c r="L9888" i="5"/>
  <c r="Q9888" i="5"/>
  <c r="R9888" i="5"/>
  <c r="K9889" i="5"/>
  <c r="L9889" i="5"/>
  <c r="Q9889" i="5"/>
  <c r="R9889" i="5"/>
  <c r="K9890" i="5"/>
  <c r="L9890" i="5"/>
  <c r="Q9890" i="5"/>
  <c r="R9890" i="5"/>
  <c r="K9891" i="5"/>
  <c r="L9891" i="5"/>
  <c r="Q9891" i="5"/>
  <c r="R9891" i="5"/>
  <c r="K9892" i="5"/>
  <c r="L9892" i="5"/>
  <c r="Q9892" i="5"/>
  <c r="R9892" i="5"/>
  <c r="K9893" i="5"/>
  <c r="L9893" i="5"/>
  <c r="Q9893" i="5"/>
  <c r="R9893" i="5"/>
  <c r="K9894" i="5"/>
  <c r="L9894" i="5"/>
  <c r="Q9894" i="5"/>
  <c r="R9894" i="5"/>
  <c r="K9895" i="5"/>
  <c r="L9895" i="5"/>
  <c r="Q9895" i="5"/>
  <c r="R9895" i="5"/>
  <c r="K9896" i="5"/>
  <c r="L9896" i="5"/>
  <c r="Q9896" i="5"/>
  <c r="R9896" i="5"/>
  <c r="K9897" i="5"/>
  <c r="L9897" i="5"/>
  <c r="Q9897" i="5"/>
  <c r="R9897" i="5"/>
  <c r="K9898" i="5"/>
  <c r="L9898" i="5"/>
  <c r="Q9898" i="5"/>
  <c r="R9898" i="5"/>
  <c r="K9899" i="5"/>
  <c r="L9899" i="5"/>
  <c r="Q9899" i="5"/>
  <c r="R9899" i="5"/>
  <c r="K9900" i="5"/>
  <c r="L9900" i="5"/>
  <c r="Q9900" i="5"/>
  <c r="R9900" i="5"/>
  <c r="K9901" i="5"/>
  <c r="L9901" i="5"/>
  <c r="Q9901" i="5"/>
  <c r="R9901" i="5"/>
  <c r="K9902" i="5"/>
  <c r="L9902" i="5"/>
  <c r="Q9902" i="5"/>
  <c r="R9902" i="5"/>
  <c r="K9903" i="5"/>
  <c r="L9903" i="5"/>
  <c r="Q9903" i="5"/>
  <c r="R9903" i="5"/>
  <c r="K9904" i="5"/>
  <c r="L9904" i="5"/>
  <c r="Q9904" i="5"/>
  <c r="R9904" i="5"/>
  <c r="K9905" i="5"/>
  <c r="L9905" i="5"/>
  <c r="Q9905" i="5"/>
  <c r="R9905" i="5"/>
  <c r="K9906" i="5"/>
  <c r="L9906" i="5"/>
  <c r="Q9906" i="5"/>
  <c r="R9906" i="5"/>
  <c r="K9907" i="5"/>
  <c r="L9907" i="5"/>
  <c r="Q9907" i="5"/>
  <c r="R9907" i="5"/>
  <c r="K9908" i="5"/>
  <c r="L9908" i="5"/>
  <c r="Q9908" i="5"/>
  <c r="R9908" i="5"/>
  <c r="K9909" i="5"/>
  <c r="L9909" i="5"/>
  <c r="Q9909" i="5"/>
  <c r="R9909" i="5"/>
  <c r="K9910" i="5"/>
  <c r="L9910" i="5"/>
  <c r="Q9910" i="5"/>
  <c r="R9910" i="5"/>
  <c r="K9911" i="5"/>
  <c r="L9911" i="5"/>
  <c r="Q9911" i="5"/>
  <c r="R9911" i="5"/>
  <c r="K9912" i="5"/>
  <c r="L9912" i="5"/>
  <c r="Q9912" i="5"/>
  <c r="R9912" i="5"/>
  <c r="K9913" i="5"/>
  <c r="L9913" i="5"/>
  <c r="Q9913" i="5"/>
  <c r="R9913" i="5"/>
  <c r="K9914" i="5"/>
  <c r="L9914" i="5"/>
  <c r="Q9914" i="5"/>
  <c r="R9914" i="5"/>
  <c r="K9915" i="5"/>
  <c r="L9915" i="5"/>
  <c r="Q9915" i="5"/>
  <c r="R9915" i="5"/>
  <c r="K9916" i="5"/>
  <c r="L9916" i="5"/>
  <c r="Q9916" i="5"/>
  <c r="R9916" i="5"/>
  <c r="K9917" i="5"/>
  <c r="L9917" i="5"/>
  <c r="Q9917" i="5"/>
  <c r="R9917" i="5"/>
  <c r="K9918" i="5"/>
  <c r="L9918" i="5"/>
  <c r="Q9918" i="5"/>
  <c r="R9918" i="5"/>
  <c r="K9919" i="5"/>
  <c r="L9919" i="5"/>
  <c r="Q9919" i="5"/>
  <c r="R9919" i="5"/>
  <c r="K9920" i="5"/>
  <c r="L9920" i="5"/>
  <c r="Q9920" i="5"/>
  <c r="R9920" i="5"/>
  <c r="K9921" i="5"/>
  <c r="L9921" i="5"/>
  <c r="Q9921" i="5"/>
  <c r="R9921" i="5"/>
  <c r="K9922" i="5"/>
  <c r="L9922" i="5"/>
  <c r="Q9922" i="5"/>
  <c r="R9922" i="5"/>
  <c r="K9923" i="5"/>
  <c r="L9923" i="5"/>
  <c r="Q9923" i="5"/>
  <c r="R9923" i="5"/>
  <c r="K9924" i="5"/>
  <c r="L9924" i="5"/>
  <c r="Q9924" i="5"/>
  <c r="R9924" i="5"/>
  <c r="K9925" i="5"/>
  <c r="L9925" i="5"/>
  <c r="Q9925" i="5"/>
  <c r="R9925" i="5"/>
  <c r="K9926" i="5"/>
  <c r="L9926" i="5"/>
  <c r="Q9926" i="5"/>
  <c r="R9926" i="5"/>
  <c r="K9927" i="5"/>
  <c r="L9927" i="5"/>
  <c r="Q9927" i="5"/>
  <c r="R9927" i="5"/>
  <c r="K9928" i="5"/>
  <c r="L9928" i="5"/>
  <c r="Q9928" i="5"/>
  <c r="R9928" i="5"/>
  <c r="K9929" i="5"/>
  <c r="L9929" i="5"/>
  <c r="Q9929" i="5"/>
  <c r="R9929" i="5"/>
  <c r="K9930" i="5"/>
  <c r="L9930" i="5"/>
  <c r="Q9930" i="5"/>
  <c r="R9930" i="5"/>
  <c r="K9931" i="5"/>
  <c r="L9931" i="5"/>
  <c r="Q9931" i="5"/>
  <c r="R9931" i="5"/>
  <c r="K9932" i="5"/>
  <c r="L9932" i="5"/>
  <c r="Q9932" i="5"/>
  <c r="R9932" i="5"/>
  <c r="K9933" i="5"/>
  <c r="L9933" i="5"/>
  <c r="Q9933" i="5"/>
  <c r="R9933" i="5"/>
  <c r="K9934" i="5"/>
  <c r="L9934" i="5"/>
  <c r="Q9934" i="5"/>
  <c r="R9934" i="5"/>
  <c r="K9935" i="5"/>
  <c r="L9935" i="5"/>
  <c r="Q9935" i="5"/>
  <c r="R9935" i="5"/>
  <c r="K9936" i="5"/>
  <c r="L9936" i="5"/>
  <c r="Q9936" i="5"/>
  <c r="R9936" i="5"/>
  <c r="K9937" i="5"/>
  <c r="L9937" i="5"/>
  <c r="Q9937" i="5"/>
  <c r="R9937" i="5"/>
  <c r="K9938" i="5"/>
  <c r="L9938" i="5"/>
  <c r="Q9938" i="5"/>
  <c r="R9938" i="5"/>
  <c r="K9939" i="5"/>
  <c r="L9939" i="5"/>
  <c r="Q9939" i="5"/>
  <c r="R9939" i="5"/>
  <c r="K9940" i="5"/>
  <c r="L9940" i="5"/>
  <c r="Q9940" i="5"/>
  <c r="R9940" i="5"/>
  <c r="K9941" i="5"/>
  <c r="L9941" i="5"/>
  <c r="Q9941" i="5"/>
  <c r="R9941" i="5"/>
  <c r="K9942" i="5"/>
  <c r="L9942" i="5"/>
  <c r="Q9942" i="5"/>
  <c r="R9942" i="5"/>
  <c r="K9943" i="5"/>
  <c r="L9943" i="5"/>
  <c r="Q9943" i="5"/>
  <c r="R9943" i="5"/>
  <c r="K9944" i="5"/>
  <c r="L9944" i="5"/>
  <c r="Q9944" i="5"/>
  <c r="R9944" i="5"/>
  <c r="K9945" i="5"/>
  <c r="L9945" i="5"/>
  <c r="Q9945" i="5"/>
  <c r="R9945" i="5"/>
  <c r="K9946" i="5"/>
  <c r="L9946" i="5"/>
  <c r="Q9946" i="5"/>
  <c r="R9946" i="5"/>
  <c r="K9947" i="5"/>
  <c r="L9947" i="5"/>
  <c r="Q9947" i="5"/>
  <c r="R9947" i="5"/>
  <c r="K9948" i="5"/>
  <c r="L9948" i="5"/>
  <c r="Q9948" i="5"/>
  <c r="R9948" i="5"/>
  <c r="K9949" i="5"/>
  <c r="L9949" i="5"/>
  <c r="Q9949" i="5"/>
  <c r="R9949" i="5"/>
  <c r="K9950" i="5"/>
  <c r="L9950" i="5"/>
  <c r="Q9950" i="5"/>
  <c r="R9950" i="5"/>
  <c r="K9951" i="5"/>
  <c r="L9951" i="5"/>
  <c r="Q9951" i="5"/>
  <c r="R9951" i="5"/>
  <c r="K9952" i="5"/>
  <c r="L9952" i="5"/>
  <c r="Q9952" i="5"/>
  <c r="R9952" i="5"/>
  <c r="K9953" i="5"/>
  <c r="L9953" i="5"/>
  <c r="Q9953" i="5"/>
  <c r="R9953" i="5"/>
  <c r="K9954" i="5"/>
  <c r="L9954" i="5"/>
  <c r="Q9954" i="5"/>
  <c r="R9954" i="5"/>
  <c r="K9955" i="5"/>
  <c r="L9955" i="5"/>
  <c r="Q9955" i="5"/>
  <c r="R9955" i="5"/>
  <c r="K9956" i="5"/>
  <c r="L9956" i="5"/>
  <c r="Q9956" i="5"/>
  <c r="R9956" i="5"/>
  <c r="K9957" i="5"/>
  <c r="L9957" i="5"/>
  <c r="Q9957" i="5"/>
  <c r="R9957" i="5"/>
  <c r="K9958" i="5"/>
  <c r="L9958" i="5"/>
  <c r="Q9958" i="5"/>
  <c r="R9958" i="5"/>
  <c r="K9959" i="5"/>
  <c r="L9959" i="5"/>
  <c r="Q9959" i="5"/>
  <c r="R9959" i="5"/>
  <c r="K9960" i="5"/>
  <c r="L9960" i="5"/>
  <c r="Q9960" i="5"/>
  <c r="R9960" i="5"/>
  <c r="K9961" i="5"/>
  <c r="L9961" i="5"/>
  <c r="Q9961" i="5"/>
  <c r="R9961" i="5"/>
  <c r="K9962" i="5"/>
  <c r="L9962" i="5"/>
  <c r="Q9962" i="5"/>
  <c r="R9962" i="5"/>
  <c r="K9963" i="5"/>
  <c r="L9963" i="5"/>
  <c r="Q9963" i="5"/>
  <c r="R9963" i="5"/>
  <c r="K9964" i="5"/>
  <c r="L9964" i="5"/>
  <c r="Q9964" i="5"/>
  <c r="R9964" i="5"/>
  <c r="K9965" i="5"/>
  <c r="L9965" i="5"/>
  <c r="Q9965" i="5"/>
  <c r="R9965" i="5"/>
  <c r="K9966" i="5"/>
  <c r="L9966" i="5"/>
  <c r="Q9966" i="5"/>
  <c r="R9966" i="5"/>
  <c r="K9967" i="5"/>
  <c r="L9967" i="5"/>
  <c r="Q9967" i="5"/>
  <c r="R9967" i="5"/>
  <c r="K9968" i="5"/>
  <c r="L9968" i="5"/>
  <c r="Q9968" i="5"/>
  <c r="R9968" i="5"/>
  <c r="K9969" i="5"/>
  <c r="L9969" i="5"/>
  <c r="Q9969" i="5"/>
  <c r="R9969" i="5"/>
  <c r="K9970" i="5"/>
  <c r="L9970" i="5"/>
  <c r="Q9970" i="5"/>
  <c r="R9970" i="5"/>
  <c r="K9971" i="5"/>
  <c r="L9971" i="5"/>
  <c r="Q9971" i="5"/>
  <c r="R9971" i="5"/>
  <c r="K9972" i="5"/>
  <c r="L9972" i="5"/>
  <c r="Q9972" i="5"/>
  <c r="R9972" i="5"/>
  <c r="K9973" i="5"/>
  <c r="L9973" i="5"/>
  <c r="Q9973" i="5"/>
  <c r="R9973" i="5"/>
  <c r="K9974" i="5"/>
  <c r="L9974" i="5"/>
  <c r="Q9974" i="5"/>
  <c r="R9974" i="5"/>
  <c r="K9975" i="5"/>
  <c r="L9975" i="5"/>
  <c r="Q9975" i="5"/>
  <c r="R9975" i="5"/>
  <c r="K9976" i="5"/>
  <c r="L9976" i="5"/>
  <c r="Q9976" i="5"/>
  <c r="R9976" i="5"/>
  <c r="K9977" i="5"/>
  <c r="L9977" i="5"/>
  <c r="Q9977" i="5"/>
  <c r="R9977" i="5"/>
  <c r="K9978" i="5"/>
  <c r="L9978" i="5"/>
  <c r="Q9978" i="5"/>
  <c r="R9978" i="5"/>
  <c r="K9979" i="5"/>
  <c r="L9979" i="5"/>
  <c r="Q9979" i="5"/>
  <c r="R9979" i="5"/>
  <c r="K9980" i="5"/>
  <c r="L9980" i="5"/>
  <c r="Q9980" i="5"/>
  <c r="R9980" i="5"/>
  <c r="K9981" i="5"/>
  <c r="L9981" i="5"/>
  <c r="Q9981" i="5"/>
  <c r="R9981" i="5"/>
  <c r="K9982" i="5"/>
  <c r="L9982" i="5"/>
  <c r="Q9982" i="5"/>
  <c r="R9982" i="5"/>
  <c r="K9983" i="5"/>
  <c r="L9983" i="5"/>
  <c r="Q9983" i="5"/>
  <c r="R9983" i="5"/>
  <c r="K9984" i="5"/>
  <c r="L9984" i="5"/>
  <c r="Q9984" i="5"/>
  <c r="R9984" i="5"/>
  <c r="K9985" i="5"/>
  <c r="L9985" i="5"/>
  <c r="Q9985" i="5"/>
  <c r="R9985" i="5"/>
  <c r="K9986" i="5"/>
  <c r="L9986" i="5"/>
  <c r="Q9986" i="5"/>
  <c r="R9986" i="5"/>
  <c r="K9987" i="5"/>
  <c r="L9987" i="5"/>
  <c r="Q9987" i="5"/>
  <c r="R9987" i="5"/>
  <c r="K9988" i="5"/>
  <c r="L9988" i="5"/>
  <c r="Q9988" i="5"/>
  <c r="R9988" i="5"/>
  <c r="K9989" i="5"/>
  <c r="L9989" i="5"/>
  <c r="Q9989" i="5"/>
  <c r="R9989" i="5"/>
  <c r="K9990" i="5"/>
  <c r="L9990" i="5"/>
  <c r="Q9990" i="5"/>
  <c r="R9990" i="5"/>
  <c r="K9991" i="5"/>
  <c r="L9991" i="5"/>
  <c r="Q9991" i="5"/>
  <c r="R9991" i="5"/>
  <c r="K9992" i="5"/>
  <c r="L9992" i="5"/>
  <c r="Q9992" i="5"/>
  <c r="R9992" i="5"/>
  <c r="K9993" i="5"/>
  <c r="L9993" i="5"/>
  <c r="Q9993" i="5"/>
  <c r="R9993" i="5"/>
  <c r="K9994" i="5"/>
  <c r="L9994" i="5"/>
  <c r="Q9994" i="5"/>
  <c r="R9994" i="5"/>
  <c r="K9995" i="5"/>
  <c r="L9995" i="5"/>
  <c r="Q9995" i="5"/>
  <c r="R9995" i="5"/>
  <c r="K9996" i="5"/>
  <c r="L9996" i="5"/>
  <c r="Q9996" i="5"/>
  <c r="R9996" i="5"/>
  <c r="K9997" i="5"/>
  <c r="L9997" i="5"/>
  <c r="Q9997" i="5"/>
  <c r="R9997" i="5"/>
  <c r="K9998" i="5"/>
  <c r="L9998" i="5"/>
  <c r="Q9998" i="5"/>
  <c r="R9998" i="5"/>
  <c r="K9999" i="5"/>
  <c r="L9999" i="5"/>
  <c r="Q9999" i="5"/>
  <c r="R9999" i="5"/>
  <c r="K10000" i="5"/>
  <c r="L10000" i="5"/>
  <c r="Q10000" i="5"/>
  <c r="R10000" i="5"/>
  <c r="K10001" i="5"/>
  <c r="L10001" i="5"/>
  <c r="Q10001" i="5"/>
  <c r="R10001" i="5"/>
  <c r="K10002" i="5"/>
  <c r="L10002" i="5"/>
  <c r="Q10002" i="5"/>
  <c r="R10002" i="5"/>
  <c r="K10003" i="5"/>
  <c r="L10003" i="5"/>
  <c r="Q10003" i="5"/>
  <c r="R10003" i="5"/>
  <c r="K10004" i="5"/>
  <c r="L10004" i="5"/>
  <c r="Q10004" i="5"/>
  <c r="R10004" i="5"/>
  <c r="K10005" i="5"/>
  <c r="L10005" i="5"/>
  <c r="Q10005" i="5"/>
  <c r="R10005" i="5"/>
  <c r="K10006" i="5"/>
  <c r="L10006" i="5"/>
  <c r="Q10006" i="5"/>
  <c r="R10006" i="5"/>
  <c r="K10007" i="5"/>
  <c r="L10007" i="5"/>
  <c r="Q10007" i="5"/>
  <c r="R10007" i="5"/>
  <c r="K10008" i="5"/>
  <c r="L10008" i="5"/>
  <c r="Q10008" i="5"/>
  <c r="R10008" i="5"/>
  <c r="K10009" i="5"/>
  <c r="L10009" i="5"/>
  <c r="Q10009" i="5"/>
  <c r="R10009" i="5"/>
  <c r="K10010" i="5"/>
  <c r="L10010" i="5"/>
  <c r="Q10010" i="5"/>
  <c r="R10010" i="5"/>
  <c r="K10011" i="5"/>
  <c r="L10011" i="5"/>
  <c r="Q10011" i="5"/>
  <c r="R10011" i="5"/>
  <c r="K10012" i="5"/>
  <c r="L10012" i="5"/>
  <c r="Q10012" i="5"/>
  <c r="R10012" i="5"/>
  <c r="K10013" i="5"/>
  <c r="L10013" i="5"/>
  <c r="Q10013" i="5"/>
  <c r="R10013" i="5"/>
  <c r="K10014" i="5"/>
  <c r="L10014" i="5"/>
  <c r="Q10014" i="5"/>
  <c r="R10014" i="5"/>
  <c r="K10015" i="5"/>
  <c r="L10015" i="5"/>
  <c r="Q10015" i="5"/>
  <c r="R10015" i="5"/>
  <c r="K10016" i="5"/>
  <c r="L10016" i="5"/>
  <c r="Q10016" i="5"/>
  <c r="R10016" i="5"/>
  <c r="K10017" i="5"/>
  <c r="L10017" i="5"/>
  <c r="Q10017" i="5"/>
  <c r="R10017" i="5"/>
  <c r="K10018" i="5"/>
  <c r="L10018" i="5"/>
  <c r="Q10018" i="5"/>
  <c r="R10018" i="5"/>
  <c r="K10019" i="5"/>
  <c r="L10019" i="5"/>
  <c r="Q10019" i="5"/>
  <c r="R10019" i="5"/>
  <c r="K10020" i="5"/>
  <c r="L10020" i="5"/>
  <c r="Q10020" i="5"/>
  <c r="R10020" i="5"/>
  <c r="K10021" i="5"/>
  <c r="L10021" i="5"/>
  <c r="Q10021" i="5"/>
  <c r="R10021" i="5"/>
  <c r="K10022" i="5"/>
  <c r="L10022" i="5"/>
  <c r="Q10022" i="5"/>
  <c r="R10022" i="5"/>
  <c r="K10023" i="5"/>
  <c r="L10023" i="5"/>
  <c r="Q10023" i="5"/>
  <c r="R10023" i="5"/>
  <c r="K10024" i="5"/>
  <c r="L10024" i="5"/>
  <c r="Q10024" i="5"/>
  <c r="R10024" i="5"/>
  <c r="K10025" i="5"/>
  <c r="L10025" i="5"/>
  <c r="Q10025" i="5"/>
  <c r="R10025" i="5"/>
  <c r="K10026" i="5"/>
  <c r="L10026" i="5"/>
  <c r="Q10026" i="5"/>
  <c r="R10026" i="5"/>
  <c r="K10027" i="5"/>
  <c r="L10027" i="5"/>
  <c r="Q10027" i="5"/>
  <c r="R10027" i="5"/>
  <c r="K10028" i="5"/>
  <c r="L10028" i="5"/>
  <c r="Q10028" i="5"/>
  <c r="R10028" i="5"/>
  <c r="K10029" i="5"/>
  <c r="L10029" i="5"/>
  <c r="Q10029" i="5"/>
  <c r="R10029" i="5"/>
  <c r="K10030" i="5"/>
  <c r="L10030" i="5"/>
  <c r="Q10030" i="5"/>
  <c r="R10030" i="5"/>
  <c r="K10031" i="5"/>
  <c r="L10031" i="5"/>
  <c r="Q10031" i="5"/>
  <c r="R10031" i="5"/>
  <c r="K10032" i="5"/>
  <c r="L10032" i="5"/>
  <c r="Q10032" i="5"/>
  <c r="R10032" i="5"/>
  <c r="K10033" i="5"/>
  <c r="L10033" i="5"/>
  <c r="Q10033" i="5"/>
  <c r="R10033" i="5"/>
  <c r="K10034" i="5"/>
  <c r="L10034" i="5"/>
  <c r="Q10034" i="5"/>
  <c r="R10034" i="5"/>
  <c r="K10035" i="5"/>
  <c r="L10035" i="5"/>
  <c r="Q10035" i="5"/>
  <c r="R10035" i="5"/>
  <c r="K10036" i="5"/>
  <c r="L10036" i="5"/>
  <c r="Q10036" i="5"/>
  <c r="R10036" i="5"/>
  <c r="K10037" i="5"/>
  <c r="L10037" i="5"/>
  <c r="Q10037" i="5"/>
  <c r="R10037" i="5"/>
  <c r="K10038" i="5"/>
  <c r="L10038" i="5"/>
  <c r="Q10038" i="5"/>
  <c r="R10038" i="5"/>
  <c r="K10039" i="5"/>
  <c r="L10039" i="5"/>
  <c r="Q10039" i="5"/>
  <c r="R10039" i="5"/>
  <c r="K10040" i="5"/>
  <c r="L10040" i="5"/>
  <c r="Q10040" i="5"/>
  <c r="R10040" i="5"/>
  <c r="K10041" i="5"/>
  <c r="L10041" i="5"/>
  <c r="Q10041" i="5"/>
  <c r="R10041" i="5"/>
  <c r="K10042" i="5"/>
  <c r="L10042" i="5"/>
  <c r="Q10042" i="5"/>
  <c r="R10042" i="5"/>
  <c r="K10043" i="5"/>
  <c r="L10043" i="5"/>
  <c r="Q10043" i="5"/>
  <c r="R10043" i="5"/>
  <c r="K10044" i="5"/>
  <c r="L10044" i="5"/>
  <c r="Q10044" i="5"/>
  <c r="R10044" i="5"/>
  <c r="K10045" i="5"/>
  <c r="L10045" i="5"/>
  <c r="Q10045" i="5"/>
  <c r="R10045" i="5"/>
  <c r="K10046" i="5"/>
  <c r="L10046" i="5"/>
  <c r="Q10046" i="5"/>
  <c r="R10046" i="5"/>
  <c r="K10047" i="5"/>
  <c r="L10047" i="5"/>
  <c r="Q10047" i="5"/>
  <c r="R10047" i="5"/>
  <c r="K10048" i="5"/>
  <c r="L10048" i="5"/>
  <c r="Q10048" i="5"/>
  <c r="R10048" i="5"/>
  <c r="K10049" i="5"/>
  <c r="L10049" i="5"/>
  <c r="Q10049" i="5"/>
  <c r="R10049" i="5"/>
  <c r="K10050" i="5"/>
  <c r="L10050" i="5"/>
  <c r="Q10050" i="5"/>
  <c r="R10050" i="5"/>
  <c r="K10051" i="5"/>
  <c r="L10051" i="5"/>
  <c r="Q10051" i="5"/>
  <c r="R10051" i="5"/>
  <c r="K10052" i="5"/>
  <c r="L10052" i="5"/>
  <c r="Q10052" i="5"/>
  <c r="R10052" i="5"/>
  <c r="K10053" i="5"/>
  <c r="L10053" i="5"/>
  <c r="Q10053" i="5"/>
  <c r="R10053" i="5"/>
  <c r="K10054" i="5"/>
  <c r="L10054" i="5"/>
  <c r="Q10054" i="5"/>
  <c r="R10054" i="5"/>
  <c r="K10055" i="5"/>
  <c r="L10055" i="5"/>
  <c r="Q10055" i="5"/>
  <c r="R10055" i="5"/>
  <c r="K10056" i="5"/>
  <c r="L10056" i="5"/>
  <c r="Q10056" i="5"/>
  <c r="R10056" i="5"/>
  <c r="K10057" i="5"/>
  <c r="L10057" i="5"/>
  <c r="Q10057" i="5"/>
  <c r="R10057" i="5"/>
  <c r="K10058" i="5"/>
  <c r="L10058" i="5"/>
  <c r="Q10058" i="5"/>
  <c r="R10058" i="5"/>
  <c r="K10059" i="5"/>
  <c r="L10059" i="5"/>
  <c r="Q10059" i="5"/>
  <c r="R10059" i="5"/>
  <c r="K10060" i="5"/>
  <c r="L10060" i="5"/>
  <c r="Q10060" i="5"/>
  <c r="R10060" i="5"/>
  <c r="K10061" i="5"/>
  <c r="L10061" i="5"/>
  <c r="Q10061" i="5"/>
  <c r="R10061" i="5"/>
  <c r="K10062" i="5"/>
  <c r="L10062" i="5"/>
  <c r="Q10062" i="5"/>
  <c r="R10062" i="5"/>
  <c r="K10063" i="5"/>
  <c r="L10063" i="5"/>
  <c r="Q10063" i="5"/>
  <c r="R10063" i="5"/>
  <c r="K10064" i="5"/>
  <c r="L10064" i="5"/>
  <c r="Q10064" i="5"/>
  <c r="R10064" i="5"/>
  <c r="K10065" i="5"/>
  <c r="L10065" i="5"/>
  <c r="Q10065" i="5"/>
  <c r="R10065" i="5"/>
  <c r="K10066" i="5"/>
  <c r="L10066" i="5"/>
  <c r="Q10066" i="5"/>
  <c r="R10066" i="5"/>
  <c r="K10067" i="5"/>
  <c r="L10067" i="5"/>
  <c r="Q10067" i="5"/>
  <c r="R10067" i="5"/>
  <c r="K10068" i="5"/>
  <c r="L10068" i="5"/>
  <c r="Q10068" i="5"/>
  <c r="R10068" i="5"/>
  <c r="K10069" i="5"/>
  <c r="L10069" i="5"/>
  <c r="Q10069" i="5"/>
  <c r="R10069" i="5"/>
  <c r="K10070" i="5"/>
  <c r="L10070" i="5"/>
  <c r="Q10070" i="5"/>
  <c r="R10070" i="5"/>
  <c r="K10071" i="5"/>
  <c r="L10071" i="5"/>
  <c r="Q10071" i="5"/>
  <c r="R10071" i="5"/>
  <c r="K10072" i="5"/>
  <c r="L10072" i="5"/>
  <c r="Q10072" i="5"/>
  <c r="R10072" i="5"/>
  <c r="K10073" i="5"/>
  <c r="L10073" i="5"/>
  <c r="Q10073" i="5"/>
  <c r="R10073" i="5"/>
  <c r="K10074" i="5"/>
  <c r="L10074" i="5"/>
  <c r="Q10074" i="5"/>
  <c r="R10074" i="5"/>
  <c r="K10075" i="5"/>
  <c r="L10075" i="5"/>
  <c r="Q10075" i="5"/>
  <c r="R10075" i="5"/>
  <c r="K10076" i="5"/>
  <c r="L10076" i="5"/>
  <c r="Q10076" i="5"/>
  <c r="R10076" i="5"/>
  <c r="K10077" i="5"/>
  <c r="L10077" i="5"/>
  <c r="Q10077" i="5"/>
  <c r="R10077" i="5"/>
  <c r="K10078" i="5"/>
  <c r="L10078" i="5"/>
  <c r="Q10078" i="5"/>
  <c r="R10078" i="5"/>
  <c r="K10079" i="5"/>
  <c r="L10079" i="5"/>
  <c r="Q10079" i="5"/>
  <c r="R10079" i="5"/>
  <c r="K10080" i="5"/>
  <c r="L10080" i="5"/>
  <c r="Q10080" i="5"/>
  <c r="R10080" i="5"/>
  <c r="K10081" i="5"/>
  <c r="L10081" i="5"/>
  <c r="Q10081" i="5"/>
  <c r="R10081" i="5"/>
  <c r="K10082" i="5"/>
  <c r="L10082" i="5"/>
  <c r="Q10082" i="5"/>
  <c r="R10082" i="5"/>
  <c r="K10083" i="5"/>
  <c r="L10083" i="5"/>
  <c r="Q10083" i="5"/>
  <c r="R10083" i="5"/>
  <c r="K10084" i="5"/>
  <c r="L10084" i="5"/>
  <c r="Q10084" i="5"/>
  <c r="R10084" i="5"/>
  <c r="K10085" i="5"/>
  <c r="L10085" i="5"/>
  <c r="Q10085" i="5"/>
  <c r="R10085" i="5"/>
  <c r="K10086" i="5"/>
  <c r="L10086" i="5"/>
  <c r="Q10086" i="5"/>
  <c r="R10086" i="5"/>
  <c r="K10087" i="5"/>
  <c r="L10087" i="5"/>
  <c r="Q10087" i="5"/>
  <c r="R10087" i="5"/>
  <c r="K10088" i="5"/>
  <c r="L10088" i="5"/>
  <c r="Q10088" i="5"/>
  <c r="R10088" i="5"/>
  <c r="K10089" i="5"/>
  <c r="L10089" i="5"/>
  <c r="Q10089" i="5"/>
  <c r="R10089" i="5"/>
  <c r="K10090" i="5"/>
  <c r="L10090" i="5"/>
  <c r="Q10090" i="5"/>
  <c r="R10090" i="5"/>
  <c r="K10091" i="5"/>
  <c r="L10091" i="5"/>
  <c r="Q10091" i="5"/>
  <c r="R10091" i="5"/>
  <c r="K10092" i="5"/>
  <c r="L10092" i="5"/>
  <c r="Q10092" i="5"/>
  <c r="R10092" i="5"/>
  <c r="K10093" i="5"/>
  <c r="L10093" i="5"/>
  <c r="Q10093" i="5"/>
  <c r="R10093" i="5"/>
  <c r="K10094" i="5"/>
  <c r="L10094" i="5"/>
  <c r="Q10094" i="5"/>
  <c r="R10094" i="5"/>
  <c r="K10095" i="5"/>
  <c r="L10095" i="5"/>
  <c r="Q10095" i="5"/>
  <c r="R10095" i="5"/>
  <c r="K10096" i="5"/>
  <c r="L10096" i="5"/>
  <c r="Q10096" i="5"/>
  <c r="R10096" i="5"/>
  <c r="K10097" i="5"/>
  <c r="L10097" i="5"/>
  <c r="Q10097" i="5"/>
  <c r="R10097" i="5"/>
  <c r="K10098" i="5"/>
  <c r="L10098" i="5"/>
  <c r="Q10098" i="5"/>
  <c r="R10098" i="5"/>
  <c r="K10099" i="5"/>
  <c r="L10099" i="5"/>
  <c r="Q10099" i="5"/>
  <c r="R10099" i="5"/>
  <c r="K10100" i="5"/>
  <c r="L10100" i="5"/>
  <c r="Q10100" i="5"/>
  <c r="R10100" i="5"/>
  <c r="K10101" i="5"/>
  <c r="L10101" i="5"/>
  <c r="Q10101" i="5"/>
  <c r="R10101" i="5"/>
  <c r="K10102" i="5"/>
  <c r="L10102" i="5"/>
  <c r="Q10102" i="5"/>
  <c r="R10102" i="5"/>
  <c r="K10103" i="5"/>
  <c r="L10103" i="5"/>
  <c r="Q10103" i="5"/>
  <c r="R10103" i="5"/>
  <c r="K10104" i="5"/>
  <c r="L10104" i="5"/>
  <c r="Q10104" i="5"/>
  <c r="R10104" i="5"/>
  <c r="K10105" i="5"/>
  <c r="L10105" i="5"/>
  <c r="Q10105" i="5"/>
  <c r="R10105" i="5"/>
  <c r="K10106" i="5"/>
  <c r="L10106" i="5"/>
  <c r="Q10106" i="5"/>
  <c r="R10106" i="5"/>
  <c r="K10107" i="5"/>
  <c r="L10107" i="5"/>
  <c r="Q10107" i="5"/>
  <c r="R10107" i="5"/>
  <c r="K10108" i="5"/>
  <c r="L10108" i="5"/>
  <c r="Q10108" i="5"/>
  <c r="R10108" i="5"/>
  <c r="K10109" i="5"/>
  <c r="L10109" i="5"/>
  <c r="Q10109" i="5"/>
  <c r="R10109" i="5"/>
  <c r="K10110" i="5"/>
  <c r="L10110" i="5"/>
  <c r="Q10110" i="5"/>
  <c r="R10110" i="5"/>
  <c r="K10111" i="5"/>
  <c r="L10111" i="5"/>
  <c r="Q10111" i="5"/>
  <c r="R10111" i="5"/>
  <c r="K10112" i="5"/>
  <c r="L10112" i="5"/>
  <c r="Q10112" i="5"/>
  <c r="R10112" i="5"/>
  <c r="K10113" i="5"/>
  <c r="L10113" i="5"/>
  <c r="Q10113" i="5"/>
  <c r="R10113" i="5"/>
  <c r="K10114" i="5"/>
  <c r="L10114" i="5"/>
  <c r="Q10114" i="5"/>
  <c r="R10114" i="5"/>
  <c r="K10115" i="5"/>
  <c r="L10115" i="5"/>
  <c r="Q10115" i="5"/>
  <c r="R10115" i="5"/>
  <c r="K10116" i="5"/>
  <c r="L10116" i="5"/>
  <c r="Q10116" i="5"/>
  <c r="R10116" i="5"/>
  <c r="K10117" i="5"/>
  <c r="L10117" i="5"/>
  <c r="Q10117" i="5"/>
  <c r="R10117" i="5"/>
  <c r="K10118" i="5"/>
  <c r="L10118" i="5"/>
  <c r="Q10118" i="5"/>
  <c r="R10118" i="5"/>
  <c r="K10119" i="5"/>
  <c r="L10119" i="5"/>
  <c r="Q10119" i="5"/>
  <c r="R10119" i="5"/>
  <c r="K10120" i="5"/>
  <c r="L10120" i="5"/>
  <c r="Q10120" i="5"/>
  <c r="R10120" i="5"/>
  <c r="K10121" i="5"/>
  <c r="L10121" i="5"/>
  <c r="Q10121" i="5"/>
  <c r="R10121" i="5"/>
  <c r="K10122" i="5"/>
  <c r="L10122" i="5"/>
  <c r="Q10122" i="5"/>
  <c r="R10122" i="5"/>
  <c r="K10123" i="5"/>
  <c r="L10123" i="5"/>
  <c r="Q10123" i="5"/>
  <c r="R10123" i="5"/>
  <c r="K10124" i="5"/>
  <c r="L10124" i="5"/>
  <c r="Q10124" i="5"/>
  <c r="R10124" i="5"/>
  <c r="K10125" i="5"/>
  <c r="L10125" i="5"/>
  <c r="Q10125" i="5"/>
  <c r="R10125" i="5"/>
  <c r="K10126" i="5"/>
  <c r="L10126" i="5"/>
  <c r="Q10126" i="5"/>
  <c r="R10126" i="5"/>
  <c r="K10127" i="5"/>
  <c r="L10127" i="5"/>
  <c r="Q10127" i="5"/>
  <c r="R10127" i="5"/>
  <c r="K10128" i="5"/>
  <c r="L10128" i="5"/>
  <c r="Q10128" i="5"/>
  <c r="R10128" i="5"/>
  <c r="K10129" i="5"/>
  <c r="L10129" i="5"/>
  <c r="Q10129" i="5"/>
  <c r="R10129" i="5"/>
  <c r="K10130" i="5"/>
  <c r="L10130" i="5"/>
  <c r="Q10130" i="5"/>
  <c r="R10130" i="5"/>
  <c r="K10131" i="5"/>
  <c r="L10131" i="5"/>
  <c r="Q10131" i="5"/>
  <c r="R10131" i="5"/>
  <c r="K10132" i="5"/>
  <c r="L10132" i="5"/>
  <c r="Q10132" i="5"/>
  <c r="R10132" i="5"/>
  <c r="K10133" i="5"/>
  <c r="L10133" i="5"/>
  <c r="Q10133" i="5"/>
  <c r="R10133" i="5"/>
  <c r="K10134" i="5"/>
  <c r="L10134" i="5"/>
  <c r="Q10134" i="5"/>
  <c r="R10134" i="5"/>
  <c r="K10135" i="5"/>
  <c r="L10135" i="5"/>
  <c r="Q10135" i="5"/>
  <c r="R10135" i="5"/>
  <c r="K10136" i="5"/>
  <c r="L10136" i="5"/>
  <c r="Q10136" i="5"/>
  <c r="R10136" i="5"/>
  <c r="K10137" i="5"/>
  <c r="L10137" i="5"/>
  <c r="Q10137" i="5"/>
  <c r="R10137" i="5"/>
  <c r="K10138" i="5"/>
  <c r="L10138" i="5"/>
  <c r="Q10138" i="5"/>
  <c r="R10138" i="5"/>
  <c r="K10139" i="5"/>
  <c r="L10139" i="5"/>
  <c r="Q10139" i="5"/>
  <c r="R10139" i="5"/>
  <c r="K10140" i="5"/>
  <c r="L10140" i="5"/>
  <c r="Q10140" i="5"/>
  <c r="R10140" i="5"/>
  <c r="K10141" i="5"/>
  <c r="L10141" i="5"/>
  <c r="Q10141" i="5"/>
  <c r="R10141" i="5"/>
  <c r="K10142" i="5"/>
  <c r="L10142" i="5"/>
  <c r="Q10142" i="5"/>
  <c r="R10142" i="5"/>
  <c r="K10143" i="5"/>
  <c r="L10143" i="5"/>
  <c r="Q10143" i="5"/>
  <c r="R10143" i="5"/>
  <c r="K10144" i="5"/>
  <c r="L10144" i="5"/>
  <c r="Q10144" i="5"/>
  <c r="R10144" i="5"/>
  <c r="K10145" i="5"/>
  <c r="L10145" i="5"/>
  <c r="Q10145" i="5"/>
  <c r="R10145" i="5"/>
  <c r="K10146" i="5"/>
  <c r="L10146" i="5"/>
  <c r="Q10146" i="5"/>
  <c r="R10146" i="5"/>
  <c r="K10147" i="5"/>
  <c r="L10147" i="5"/>
  <c r="Q10147" i="5"/>
  <c r="R10147" i="5"/>
  <c r="K10148" i="5"/>
  <c r="L10148" i="5"/>
  <c r="Q10148" i="5"/>
  <c r="R10148" i="5"/>
  <c r="K10149" i="5"/>
  <c r="L10149" i="5"/>
  <c r="Q10149" i="5"/>
  <c r="R10149" i="5"/>
  <c r="K10150" i="5"/>
  <c r="L10150" i="5"/>
  <c r="Q10150" i="5"/>
  <c r="R10150" i="5"/>
  <c r="K10151" i="5"/>
  <c r="L10151" i="5"/>
  <c r="Q10151" i="5"/>
  <c r="R10151" i="5"/>
  <c r="K10152" i="5"/>
  <c r="L10152" i="5"/>
  <c r="Q10152" i="5"/>
  <c r="R10152" i="5"/>
  <c r="K10153" i="5"/>
  <c r="L10153" i="5"/>
  <c r="Q10153" i="5"/>
  <c r="R10153" i="5"/>
  <c r="K10154" i="5"/>
  <c r="L10154" i="5"/>
  <c r="Q10154" i="5"/>
  <c r="R10154" i="5"/>
  <c r="K10155" i="5"/>
  <c r="L10155" i="5"/>
  <c r="Q10155" i="5"/>
  <c r="R10155" i="5"/>
  <c r="K10156" i="5"/>
  <c r="L10156" i="5"/>
  <c r="Q10156" i="5"/>
  <c r="R10156" i="5"/>
  <c r="K10157" i="5"/>
  <c r="L10157" i="5"/>
  <c r="Q10157" i="5"/>
  <c r="R10157" i="5"/>
  <c r="K10158" i="5"/>
  <c r="L10158" i="5"/>
  <c r="Q10158" i="5"/>
  <c r="R10158" i="5"/>
  <c r="K10159" i="5"/>
  <c r="L10159" i="5"/>
  <c r="Q10159" i="5"/>
  <c r="R10159" i="5"/>
  <c r="K10160" i="5"/>
  <c r="L10160" i="5"/>
  <c r="Q10160" i="5"/>
  <c r="R10160" i="5"/>
  <c r="K10161" i="5"/>
  <c r="L10161" i="5"/>
  <c r="Q10161" i="5"/>
  <c r="R10161" i="5"/>
  <c r="K10162" i="5"/>
  <c r="L10162" i="5"/>
  <c r="Q10162" i="5"/>
  <c r="R10162" i="5"/>
  <c r="K10163" i="5"/>
  <c r="L10163" i="5"/>
  <c r="Q10163" i="5"/>
  <c r="R10163" i="5"/>
  <c r="K10164" i="5"/>
  <c r="L10164" i="5"/>
  <c r="Q10164" i="5"/>
  <c r="R10164" i="5"/>
  <c r="K10165" i="5"/>
  <c r="L10165" i="5"/>
  <c r="Q10165" i="5"/>
  <c r="R10165" i="5"/>
  <c r="K10166" i="5"/>
  <c r="L10166" i="5"/>
  <c r="Q10166" i="5"/>
  <c r="R10166" i="5"/>
  <c r="K10167" i="5"/>
  <c r="L10167" i="5"/>
  <c r="Q10167" i="5"/>
  <c r="R10167" i="5"/>
  <c r="K10168" i="5"/>
  <c r="L10168" i="5"/>
  <c r="Q10168" i="5"/>
  <c r="R10168" i="5"/>
  <c r="K10169" i="5"/>
  <c r="L10169" i="5"/>
  <c r="Q10169" i="5"/>
  <c r="R10169" i="5"/>
  <c r="K10170" i="5"/>
  <c r="L10170" i="5"/>
  <c r="Q10170" i="5"/>
  <c r="R10170" i="5"/>
  <c r="F140" i="18"/>
  <c r="I141" i="2"/>
  <c r="L141" i="2" s="1"/>
  <c r="I142" i="2"/>
  <c r="L142" i="2" s="1"/>
  <c r="I53" i="2"/>
  <c r="M436" i="18" l="1"/>
  <c r="P436" i="18" s="1"/>
  <c r="L406" i="18"/>
  <c r="K406" i="18"/>
  <c r="K294" i="18"/>
  <c r="L294" i="18"/>
  <c r="M341" i="18"/>
  <c r="P341" i="18" s="1"/>
  <c r="L349" i="18"/>
  <c r="M99" i="18"/>
  <c r="P99" i="18" s="1"/>
  <c r="M59" i="18"/>
  <c r="P59" i="18" s="1"/>
  <c r="K142" i="18"/>
  <c r="L142" i="18"/>
  <c r="L367" i="18"/>
  <c r="K418" i="18"/>
  <c r="L418" i="18"/>
  <c r="K349" i="18"/>
  <c r="K367" i="18"/>
  <c r="L431" i="18"/>
  <c r="K431" i="18"/>
  <c r="M368" i="18"/>
  <c r="P368" i="18" s="1"/>
  <c r="M444" i="18"/>
  <c r="P444" i="18" s="1"/>
  <c r="L369" i="18"/>
  <c r="K369" i="18"/>
  <c r="L162" i="18"/>
  <c r="M428" i="18"/>
  <c r="P428" i="18" s="1"/>
  <c r="M345" i="18"/>
  <c r="P345" i="18" s="1"/>
  <c r="L320" i="18"/>
  <c r="K320" i="18"/>
  <c r="K53" i="18"/>
  <c r="L53" i="18"/>
  <c r="K51" i="18"/>
  <c r="W413" i="18"/>
  <c r="AA413" i="18" s="1"/>
  <c r="AA462" i="18"/>
  <c r="Y462" i="18"/>
  <c r="W132" i="18"/>
  <c r="Y132" i="18" s="1"/>
  <c r="M313" i="18"/>
  <c r="P313" i="18" s="1"/>
  <c r="M72" i="18"/>
  <c r="P72" i="18" s="1"/>
  <c r="L51" i="18"/>
  <c r="T6719" i="5" a="1"/>
  <c r="T6719" i="5" s="1"/>
  <c r="U6719" i="5" s="1"/>
  <c r="W6719" i="5" s="1"/>
  <c r="T6477" i="5" a="1"/>
  <c r="T6477" i="5" s="1"/>
  <c r="U6477" i="5" s="1"/>
  <c r="W6477" i="5" s="1"/>
  <c r="M350" i="18"/>
  <c r="P350" i="18" s="1"/>
  <c r="M80" i="18"/>
  <c r="P80" i="18" s="1"/>
  <c r="M55" i="18"/>
  <c r="P55" i="18" s="1"/>
  <c r="AA277" i="18"/>
  <c r="V4890" i="5"/>
  <c r="U4890" i="5"/>
  <c r="V4893" i="5"/>
  <c r="U4893" i="5"/>
  <c r="V5030" i="5"/>
  <c r="U5030" i="5"/>
  <c r="V5126" i="5"/>
  <c r="U5126" i="5"/>
  <c r="T5000" i="5" a="1"/>
  <c r="T5000" i="5" s="1"/>
  <c r="V354" i="18" s="1"/>
  <c r="X354" i="18" s="1"/>
  <c r="T3984" i="5" a="1"/>
  <c r="T3984" i="5" s="1"/>
  <c r="U3984" i="5" s="1"/>
  <c r="T10170" i="5" a="1"/>
  <c r="T10170" i="5" s="1"/>
  <c r="U10170" i="5" s="1"/>
  <c r="W10170" i="5" s="1"/>
  <c r="T5092" i="5" a="1"/>
  <c r="T5092" i="5" s="1"/>
  <c r="U5092" i="5" s="1"/>
  <c r="T5909" i="5" a="1"/>
  <c r="T5909" i="5" s="1"/>
  <c r="U5909" i="5" s="1"/>
  <c r="W5909" i="5" s="1"/>
  <c r="T5380" i="5" a="1"/>
  <c r="T5380" i="5" s="1"/>
  <c r="T5992" i="5" a="1"/>
  <c r="T5992" i="5" s="1"/>
  <c r="T151" i="5" a="1"/>
  <c r="T151" i="5" s="1"/>
  <c r="U151" i="5" s="1"/>
  <c r="T3694" i="5" a="1"/>
  <c r="T3694" i="5" s="1"/>
  <c r="U3694" i="5" s="1"/>
  <c r="W3694" i="5" s="1"/>
  <c r="T4136" i="5" a="1"/>
  <c r="T4136" i="5" s="1"/>
  <c r="T5377" i="5" a="1"/>
  <c r="T5377" i="5" s="1"/>
  <c r="U5377" i="5" s="1"/>
  <c r="W5377" i="5" s="1"/>
  <c r="T5453" i="5" a="1"/>
  <c r="T5453" i="5" s="1"/>
  <c r="U5453" i="5" s="1"/>
  <c r="W5453" i="5" s="1"/>
  <c r="T6026" i="5" a="1"/>
  <c r="T6026" i="5" s="1"/>
  <c r="U6026" i="5" s="1"/>
  <c r="W6026" i="5" s="1"/>
  <c r="T5368" i="5" a="1"/>
  <c r="T5368" i="5" s="1"/>
  <c r="U5368" i="5" s="1"/>
  <c r="W5368" i="5" s="1"/>
  <c r="T118" i="5" a="1"/>
  <c r="T118" i="5" s="1"/>
  <c r="U118" i="5" s="1"/>
  <c r="W118" i="5" s="1"/>
  <c r="T3661" i="5" a="1"/>
  <c r="T3661" i="5" s="1"/>
  <c r="W120" i="18"/>
  <c r="Y120" i="18" s="1"/>
  <c r="L318" i="18"/>
  <c r="M454" i="18"/>
  <c r="P454" i="18" s="1"/>
  <c r="H179" i="18"/>
  <c r="H244" i="18"/>
  <c r="Y244" i="18" s="1"/>
  <c r="H189" i="18"/>
  <c r="H280" i="18"/>
  <c r="K435" i="18"/>
  <c r="L435" i="18"/>
  <c r="M432" i="18"/>
  <c r="P432" i="18" s="1"/>
  <c r="K358" i="18"/>
  <c r="L358" i="18"/>
  <c r="AA121" i="18"/>
  <c r="M342" i="18"/>
  <c r="P342" i="18" s="1"/>
  <c r="V5116" i="5"/>
  <c r="U5116" i="5"/>
  <c r="V4885" i="5"/>
  <c r="U4885" i="5"/>
  <c r="W116" i="18" s="1"/>
  <c r="Y116" i="18" s="1"/>
  <c r="V4888" i="5"/>
  <c r="Z127" i="18" s="1"/>
  <c r="U4888" i="5"/>
  <c r="K172" i="18"/>
  <c r="K433" i="18"/>
  <c r="L172" i="18"/>
  <c r="L433" i="18"/>
  <c r="K56" i="18"/>
  <c r="L56" i="18"/>
  <c r="M391" i="18"/>
  <c r="P391" i="18" s="1"/>
  <c r="M412" i="18"/>
  <c r="P412" i="18" s="1"/>
  <c r="M361" i="18"/>
  <c r="P361" i="18" s="1"/>
  <c r="AA72" i="18"/>
  <c r="AA87" i="18"/>
  <c r="AA118" i="18"/>
  <c r="T106" i="5" a="1"/>
  <c r="T106" i="5" s="1"/>
  <c r="T5332" i="5" a="1"/>
  <c r="T5332" i="5" s="1"/>
  <c r="T4125" i="5" a="1"/>
  <c r="T4125" i="5" s="1"/>
  <c r="T5404" i="5" a="1"/>
  <c r="T5404" i="5" s="1"/>
  <c r="T1007" i="5" a="1"/>
  <c r="T1007" i="5" s="1"/>
  <c r="T4991" i="5" a="1"/>
  <c r="T4991" i="5" s="1"/>
  <c r="T73" i="5" a="1"/>
  <c r="T73" i="5" s="1"/>
  <c r="AA297" i="18"/>
  <c r="AA423" i="18"/>
  <c r="AA426" i="18"/>
  <c r="AA367" i="18"/>
  <c r="Y367" i="18"/>
  <c r="AA243" i="18"/>
  <c r="Y243" i="18"/>
  <c r="AA163" i="18"/>
  <c r="Y163" i="18"/>
  <c r="AA257" i="18"/>
  <c r="Y257" i="18"/>
  <c r="AA55" i="18"/>
  <c r="AA425" i="18"/>
  <c r="Y425" i="18"/>
  <c r="AA64" i="18"/>
  <c r="Y64" i="18"/>
  <c r="AA97" i="18"/>
  <c r="Y97" i="18"/>
  <c r="AA332" i="18"/>
  <c r="Y332" i="18"/>
  <c r="AA191" i="18"/>
  <c r="Y191" i="18"/>
  <c r="AA206" i="18"/>
  <c r="AA325" i="18"/>
  <c r="AA162" i="18"/>
  <c r="Y162" i="18"/>
  <c r="AA134" i="18"/>
  <c r="Y134" i="18"/>
  <c r="AA298" i="18"/>
  <c r="Y298" i="18"/>
  <c r="AA339" i="18"/>
  <c r="Y339" i="18"/>
  <c r="AA221" i="18"/>
  <c r="Y221" i="18"/>
  <c r="AA370" i="18"/>
  <c r="AA84" i="18"/>
  <c r="AA294" i="18"/>
  <c r="AA190" i="18"/>
  <c r="Y190" i="18"/>
  <c r="AA137" i="18"/>
  <c r="Y137" i="18"/>
  <c r="AA301" i="18"/>
  <c r="Y301" i="18"/>
  <c r="AA295" i="18"/>
  <c r="Y295" i="18"/>
  <c r="AA75" i="18"/>
  <c r="Y75" i="18"/>
  <c r="AA106" i="18"/>
  <c r="Y106" i="18"/>
  <c r="AA85" i="18"/>
  <c r="Y85" i="18"/>
  <c r="AA91" i="18"/>
  <c r="Y91" i="18"/>
  <c r="AA61" i="18"/>
  <c r="Y61" i="18"/>
  <c r="AA306" i="18"/>
  <c r="Y306" i="18"/>
  <c r="AA453" i="18"/>
  <c r="Y453" i="18"/>
  <c r="AA101" i="18"/>
  <c r="Y101" i="18"/>
  <c r="AA348" i="18"/>
  <c r="Y348" i="18"/>
  <c r="AA228" i="18"/>
  <c r="Y228" i="18"/>
  <c r="AA274" i="18"/>
  <c r="Y274" i="18"/>
  <c r="AA314" i="18"/>
  <c r="AA275" i="18"/>
  <c r="Y275" i="18"/>
  <c r="AA126" i="18"/>
  <c r="Y126" i="18"/>
  <c r="AA145" i="18"/>
  <c r="Y145" i="18"/>
  <c r="AA278" i="18"/>
  <c r="Y278" i="18"/>
  <c r="AA74" i="18"/>
  <c r="Y74" i="18"/>
  <c r="AA388" i="18"/>
  <c r="Y388" i="18"/>
  <c r="AA139" i="18"/>
  <c r="Y139" i="18"/>
  <c r="AA53" i="18"/>
  <c r="Y53" i="18"/>
  <c r="AA185" i="18"/>
  <c r="Y185" i="18"/>
  <c r="AA361" i="18"/>
  <c r="Y361" i="18"/>
  <c r="AA184" i="18"/>
  <c r="Y184" i="18"/>
  <c r="AA70" i="18"/>
  <c r="Y70" i="18"/>
  <c r="AA395" i="18"/>
  <c r="Y395" i="18"/>
  <c r="AA50" i="18"/>
  <c r="AA331" i="18"/>
  <c r="Y331" i="18"/>
  <c r="AA125" i="18"/>
  <c r="Y125" i="18"/>
  <c r="AA371" i="18"/>
  <c r="Y371" i="18"/>
  <c r="AA242" i="18"/>
  <c r="Y242" i="18"/>
  <c r="AA300" i="18"/>
  <c r="AA115" i="18"/>
  <c r="Y115" i="18"/>
  <c r="AA318" i="18"/>
  <c r="Y318" i="18"/>
  <c r="AA54" i="18"/>
  <c r="Y54" i="18"/>
  <c r="AA59" i="18"/>
  <c r="AA248" i="18"/>
  <c r="Y248" i="18"/>
  <c r="AA165" i="18"/>
  <c r="Y165" i="18"/>
  <c r="AA421" i="18"/>
  <c r="Y421" i="18"/>
  <c r="AA244" i="18"/>
  <c r="AA104" i="18"/>
  <c r="Y104" i="18"/>
  <c r="AA99" i="18"/>
  <c r="Y99" i="18"/>
  <c r="AA272" i="18"/>
  <c r="Y272" i="18"/>
  <c r="AA94" i="18"/>
  <c r="Y94" i="18"/>
  <c r="AA117" i="18"/>
  <c r="Y117" i="18"/>
  <c r="I58" i="18"/>
  <c r="I177" i="18"/>
  <c r="I315" i="18"/>
  <c r="I312" i="18"/>
  <c r="I140" i="18"/>
  <c r="I265" i="18"/>
  <c r="I144" i="18"/>
  <c r="Q58" i="18"/>
  <c r="U58" i="18" s="1"/>
  <c r="Q177" i="18"/>
  <c r="U177" i="18" s="1"/>
  <c r="Q315" i="18"/>
  <c r="U315" i="18" s="1"/>
  <c r="Q312" i="18"/>
  <c r="U312" i="18" s="1"/>
  <c r="Q140" i="18"/>
  <c r="U140" i="18" s="1"/>
  <c r="Q265" i="18"/>
  <c r="U265" i="18" s="1"/>
  <c r="Q144" i="18"/>
  <c r="U144" i="18" s="1"/>
  <c r="L60" i="18"/>
  <c r="K60" i="18"/>
  <c r="K227" i="18"/>
  <c r="L227" i="18"/>
  <c r="K177" i="18"/>
  <c r="L177" i="18"/>
  <c r="M258" i="18"/>
  <c r="P258" i="18" s="1"/>
  <c r="M421" i="18"/>
  <c r="P421" i="18" s="1"/>
  <c r="K452" i="18"/>
  <c r="L452" i="18"/>
  <c r="K73" i="18"/>
  <c r="L73" i="18"/>
  <c r="L58" i="18"/>
  <c r="K58" i="18"/>
  <c r="M446" i="18"/>
  <c r="P446" i="18" s="1"/>
  <c r="K308" i="18"/>
  <c r="L308" i="18"/>
  <c r="M146" i="18"/>
  <c r="M392" i="18"/>
  <c r="P392" i="18" s="1"/>
  <c r="M441" i="18"/>
  <c r="P441" i="18" s="1"/>
  <c r="M406" i="18" l="1"/>
  <c r="P406" i="18" s="1"/>
  <c r="M294" i="18"/>
  <c r="P294" i="18" s="1"/>
  <c r="AA132" i="18"/>
  <c r="M349" i="18"/>
  <c r="P349" i="18" s="1"/>
  <c r="M418" i="18"/>
  <c r="M142" i="18"/>
  <c r="P142" i="18" s="1"/>
  <c r="M367" i="18"/>
  <c r="P367" i="18" s="1"/>
  <c r="M431" i="18"/>
  <c r="P431" i="18" s="1"/>
  <c r="M369" i="18"/>
  <c r="P369" i="18" s="1"/>
  <c r="M320" i="18"/>
  <c r="P320" i="18" s="1"/>
  <c r="M53" i="18"/>
  <c r="P53" i="18" s="1"/>
  <c r="Y413" i="18"/>
  <c r="M51" i="18"/>
  <c r="P51" i="18" s="1"/>
  <c r="W3984" i="5"/>
  <c r="W151" i="5"/>
  <c r="W176" i="18"/>
  <c r="W5092" i="5"/>
  <c r="U5992" i="5"/>
  <c r="W4890" i="5"/>
  <c r="W5126" i="5"/>
  <c r="W5030" i="5"/>
  <c r="W4893" i="5"/>
  <c r="U3661" i="5"/>
  <c r="W319" i="18" s="1"/>
  <c r="V96" i="18"/>
  <c r="Z116" i="18"/>
  <c r="AA116" i="18" s="1"/>
  <c r="Z46" i="18"/>
  <c r="U4136" i="5"/>
  <c r="V279" i="18"/>
  <c r="V177" i="18"/>
  <c r="AA120" i="18"/>
  <c r="M56" i="18"/>
  <c r="P56" i="18" s="1"/>
  <c r="V144" i="18"/>
  <c r="X144" i="18" s="1"/>
  <c r="V24" i="18"/>
  <c r="Z142" i="18"/>
  <c r="Z285" i="18"/>
  <c r="M358" i="18"/>
  <c r="P358" i="18" s="1"/>
  <c r="M435" i="18"/>
  <c r="P435" i="18" s="1"/>
  <c r="W4888" i="5"/>
  <c r="W4885" i="5"/>
  <c r="W5116" i="5"/>
  <c r="W142" i="18"/>
  <c r="M433" i="18"/>
  <c r="P433" i="18" s="1"/>
  <c r="M172" i="18"/>
  <c r="P172" i="18" s="1"/>
  <c r="U106" i="5"/>
  <c r="W106" i="5" s="1"/>
  <c r="U73" i="5"/>
  <c r="W251" i="18" s="1"/>
  <c r="U4991" i="5"/>
  <c r="W4991" i="5" s="1"/>
  <c r="U1007" i="5"/>
  <c r="U5404" i="5"/>
  <c r="W5404" i="5" s="1"/>
  <c r="U4125" i="5"/>
  <c r="W4125" i="5" s="1"/>
  <c r="M60" i="18"/>
  <c r="P60" i="18" s="1"/>
  <c r="M227" i="18"/>
  <c r="P227" i="18" s="1"/>
  <c r="M177" i="18"/>
  <c r="P177" i="18" s="1"/>
  <c r="M452" i="18"/>
  <c r="P452" i="18" s="1"/>
  <c r="M73" i="18"/>
  <c r="P73" i="18" s="1"/>
  <c r="M58" i="18"/>
  <c r="P418" i="18"/>
  <c r="M308" i="18"/>
  <c r="P146" i="18"/>
  <c r="F4" i="18"/>
  <c r="F384" i="18"/>
  <c r="D3" i="10"/>
  <c r="E8" i="10"/>
  <c r="G53" i="2"/>
  <c r="G54" i="2"/>
  <c r="G55" i="2"/>
  <c r="G56" i="2"/>
  <c r="G57" i="2"/>
  <c r="G58" i="2"/>
  <c r="G59" i="2"/>
  <c r="G60" i="2"/>
  <c r="L53" i="2"/>
  <c r="I54" i="2"/>
  <c r="L54" i="2" s="1"/>
  <c r="I55" i="2"/>
  <c r="L55" i="2" s="1"/>
  <c r="I56" i="2"/>
  <c r="L56" i="2" s="1"/>
  <c r="I57" i="2"/>
  <c r="L57" i="2" s="1"/>
  <c r="I58" i="2"/>
  <c r="L58" i="2" s="1"/>
  <c r="I59" i="2"/>
  <c r="L59" i="2" s="1"/>
  <c r="I60" i="2"/>
  <c r="L60" i="2" s="1"/>
  <c r="E4" i="10"/>
  <c r="I362" i="2"/>
  <c r="L362" i="2" s="1"/>
  <c r="I363" i="2"/>
  <c r="L363" i="2" s="1"/>
  <c r="I364" i="2"/>
  <c r="L364" i="2" s="1"/>
  <c r="I365" i="2"/>
  <c r="L365" i="2" s="1"/>
  <c r="I366" i="2"/>
  <c r="L366" i="2" s="1"/>
  <c r="I367" i="2"/>
  <c r="L367" i="2" s="1"/>
  <c r="I368" i="2"/>
  <c r="L368" i="2" s="1"/>
  <c r="I369" i="2"/>
  <c r="L369" i="2" s="1"/>
  <c r="I349" i="2"/>
  <c r="L349" i="2" s="1"/>
  <c r="I350" i="2"/>
  <c r="L350" i="2" s="1"/>
  <c r="I351" i="2"/>
  <c r="L351" i="2" s="1"/>
  <c r="I352" i="2"/>
  <c r="L352" i="2" s="1"/>
  <c r="I353" i="2"/>
  <c r="L353" i="2" s="1"/>
  <c r="I354" i="2"/>
  <c r="L354" i="2" s="1"/>
  <c r="I355" i="2"/>
  <c r="L355" i="2" s="1"/>
  <c r="I356" i="2"/>
  <c r="L356" i="2" s="1"/>
  <c r="I357" i="2"/>
  <c r="L357" i="2" s="1"/>
  <c r="I358" i="2"/>
  <c r="L358" i="2" s="1"/>
  <c r="I359" i="2"/>
  <c r="L359" i="2" s="1"/>
  <c r="I360" i="2"/>
  <c r="L360" i="2" s="1"/>
  <c r="I361" i="2"/>
  <c r="L361" i="2" s="1"/>
  <c r="I370" i="2"/>
  <c r="L370" i="2" s="1"/>
  <c r="I371" i="2"/>
  <c r="L371" i="2" s="1"/>
  <c r="V5381" i="5"/>
  <c r="V5380" i="5"/>
  <c r="X24" i="18" l="1"/>
  <c r="X251" i="18"/>
  <c r="Y251" i="18"/>
  <c r="AA251" i="18"/>
  <c r="AA319" i="18"/>
  <c r="Y319" i="18"/>
  <c r="Y176" i="18"/>
  <c r="AA176" i="18"/>
  <c r="X176" i="18"/>
  <c r="X425" i="18"/>
  <c r="W1007" i="5"/>
  <c r="W5992" i="5"/>
  <c r="U5021" i="5"/>
  <c r="W207" i="18" s="1"/>
  <c r="V5021" i="5"/>
  <c r="V5378" i="5"/>
  <c r="U5378" i="5"/>
  <c r="V5009" i="5"/>
  <c r="U5009" i="5"/>
  <c r="V5003" i="5"/>
  <c r="U5003" i="5"/>
  <c r="V5020" i="5"/>
  <c r="U5020" i="5"/>
  <c r="V5014" i="5"/>
  <c r="U5014" i="5"/>
  <c r="V5015" i="5"/>
  <c r="U5015" i="5"/>
  <c r="V5002" i="5"/>
  <c r="U5002" i="5"/>
  <c r="V5019" i="5"/>
  <c r="U5019" i="5"/>
  <c r="V5016" i="5"/>
  <c r="U5016" i="5"/>
  <c r="U5380" i="5"/>
  <c r="W3661" i="5"/>
  <c r="T5408" i="5" a="1"/>
  <c r="T5408" i="5" s="1"/>
  <c r="U5408" i="5" s="1"/>
  <c r="T6000" i="5" a="1"/>
  <c r="T6000" i="5" s="1"/>
  <c r="W4136" i="5"/>
  <c r="T5900" i="5" a="1"/>
  <c r="T5900" i="5" s="1"/>
  <c r="U5900" i="5" s="1"/>
  <c r="W5900" i="5" s="1"/>
  <c r="T3612" i="5" a="1"/>
  <c r="T3612" i="5" s="1"/>
  <c r="U3612" i="5" s="1"/>
  <c r="W3612" i="5" s="1"/>
  <c r="W73" i="5"/>
  <c r="W24" i="18"/>
  <c r="T54" i="5" a="1"/>
  <c r="T54" i="5" s="1"/>
  <c r="U54" i="5" s="1"/>
  <c r="T5083" i="5" a="1"/>
  <c r="T5083" i="5" s="1"/>
  <c r="V5333" i="5"/>
  <c r="Z11" i="18" s="1"/>
  <c r="V5001" i="5"/>
  <c r="U5001" i="5"/>
  <c r="V5006" i="5"/>
  <c r="Z123" i="18" s="1"/>
  <c r="U5006" i="5"/>
  <c r="W188" i="18" s="1"/>
  <c r="F232" i="18"/>
  <c r="V4992" i="5"/>
  <c r="Z14" i="18" s="1"/>
  <c r="U4992" i="5"/>
  <c r="V5007" i="5"/>
  <c r="U5007" i="5"/>
  <c r="V4993" i="5"/>
  <c r="Z245" i="18" s="1"/>
  <c r="U4993" i="5"/>
  <c r="V5010" i="5"/>
  <c r="U5010" i="5"/>
  <c r="V5330" i="5"/>
  <c r="Z19" i="18" s="1"/>
  <c r="U5330" i="5"/>
  <c r="V5332" i="5"/>
  <c r="V4994" i="5"/>
  <c r="U4994" i="5"/>
  <c r="V5011" i="5"/>
  <c r="U5011" i="5"/>
  <c r="W356" i="18" s="1"/>
  <c r="Y356" i="18" s="1"/>
  <c r="U5332" i="5"/>
  <c r="Y142" i="18"/>
  <c r="AA142" i="18"/>
  <c r="V5005" i="5"/>
  <c r="U5005" i="5"/>
  <c r="V4996" i="5"/>
  <c r="V5012" i="5"/>
  <c r="Z155" i="18" s="1"/>
  <c r="U5012" i="5"/>
  <c r="W155" i="18" s="1"/>
  <c r="Y155" i="18" s="1"/>
  <c r="V5000" i="5"/>
  <c r="Z205" i="18" s="1"/>
  <c r="U5000" i="5"/>
  <c r="W394" i="18" s="1"/>
  <c r="T1778" i="5" a="1"/>
  <c r="T1778" i="5" s="1"/>
  <c r="T5360" i="5" a="1"/>
  <c r="T5360" i="5" s="1"/>
  <c r="T224" i="5" a="1"/>
  <c r="T224" i="5" s="1"/>
  <c r="T5073" i="5" a="1"/>
  <c r="T5073" i="5" s="1"/>
  <c r="V324" i="18" s="1"/>
  <c r="W144" i="18"/>
  <c r="F382" i="18"/>
  <c r="I4" i="18"/>
  <c r="I384" i="18"/>
  <c r="Q4" i="18"/>
  <c r="U4" i="18" s="1"/>
  <c r="Q384" i="18"/>
  <c r="U384" i="18" s="1"/>
  <c r="P58" i="18"/>
  <c r="P308" i="18"/>
  <c r="F17" i="18"/>
  <c r="T8129" i="5" s="1" a="1"/>
  <c r="T8129" i="5" s="1"/>
  <c r="U8129" i="5" s="1"/>
  <c r="W8129" i="5" s="1"/>
  <c r="F52" i="18"/>
  <c r="F317" i="18"/>
  <c r="G52" i="2"/>
  <c r="I52" i="2"/>
  <c r="F344" i="18"/>
  <c r="E24" i="12"/>
  <c r="I137" i="2"/>
  <c r="L137" i="2" s="1"/>
  <c r="I138" i="2"/>
  <c r="L138" i="2" s="1"/>
  <c r="I139" i="2"/>
  <c r="L139" i="2" s="1"/>
  <c r="L140" i="2"/>
  <c r="F149" i="18"/>
  <c r="T8302" i="5" s="1" a="1"/>
  <c r="T8302" i="5" s="1"/>
  <c r="U8302" i="5" s="1"/>
  <c r="W8302" i="5" s="1"/>
  <c r="T6002" i="5" l="1" a="1"/>
  <c r="T6002" i="5" s="1"/>
  <c r="U6002" i="5" s="1"/>
  <c r="W6002" i="5" s="1"/>
  <c r="AA394" i="18"/>
  <c r="Y394" i="18"/>
  <c r="W89" i="18"/>
  <c r="W54" i="5"/>
  <c r="AA207" i="18"/>
  <c r="Y207" i="18"/>
  <c r="W5408" i="5"/>
  <c r="W386" i="18"/>
  <c r="AA188" i="18"/>
  <c r="Y188" i="18"/>
  <c r="W5380" i="5"/>
  <c r="W411" i="18"/>
  <c r="T6718" i="5" a="1"/>
  <c r="T6718" i="5" s="1"/>
  <c r="T6476" i="5" a="1"/>
  <c r="T6476" i="5" s="1"/>
  <c r="U6476" i="5" s="1"/>
  <c r="W6476" i="5" s="1"/>
  <c r="U6000" i="5"/>
  <c r="W353" i="18" s="1"/>
  <c r="V98" i="18"/>
  <c r="W5016" i="5"/>
  <c r="W5014" i="5"/>
  <c r="W5015" i="5"/>
  <c r="W5009" i="5"/>
  <c r="W5378" i="5"/>
  <c r="W5002" i="5"/>
  <c r="W5003" i="5"/>
  <c r="V4950" i="5"/>
  <c r="U4950" i="5"/>
  <c r="V4951" i="5"/>
  <c r="U4951" i="5"/>
  <c r="V4952" i="5"/>
  <c r="U4952" i="5"/>
  <c r="W5019" i="5"/>
  <c r="W5020" i="5"/>
  <c r="Z103" i="18"/>
  <c r="W5021" i="5"/>
  <c r="Z363" i="18"/>
  <c r="Z148" i="18"/>
  <c r="Z337" i="18"/>
  <c r="V384" i="18"/>
  <c r="V281" i="18"/>
  <c r="X281" i="18" s="1"/>
  <c r="Z358" i="18"/>
  <c r="Z8" i="18"/>
  <c r="W352" i="18"/>
  <c r="Y352" i="18" s="1"/>
  <c r="T3666" i="5" a="1"/>
  <c r="T3666" i="5" s="1"/>
  <c r="U3666" i="5" s="1"/>
  <c r="W3666" i="5" s="1"/>
  <c r="T5561" i="5" a="1"/>
  <c r="T5561" i="5" s="1"/>
  <c r="U5561" i="5" s="1"/>
  <c r="W5561" i="5" s="1"/>
  <c r="T5082" i="5" a="1"/>
  <c r="T5082" i="5" s="1"/>
  <c r="U5082" i="5" s="1"/>
  <c r="T5899" i="5" a="1"/>
  <c r="T5899" i="5" s="1"/>
  <c r="U5899" i="5" s="1"/>
  <c r="W5899" i="5" s="1"/>
  <c r="T66" i="5" a="1"/>
  <c r="T66" i="5" s="1"/>
  <c r="U66" i="5" s="1"/>
  <c r="W66" i="5" s="1"/>
  <c r="T3624" i="5" a="1"/>
  <c r="T3624" i="5" s="1"/>
  <c r="U3624" i="5" s="1"/>
  <c r="W3624" i="5" s="1"/>
  <c r="T4780" i="5" a="1"/>
  <c r="T4780" i="5" s="1"/>
  <c r="U4780" i="5" s="1"/>
  <c r="W4780" i="5" s="1"/>
  <c r="T4540" i="5" a="1"/>
  <c r="T4540" i="5" s="1"/>
  <c r="U4540" i="5" s="1"/>
  <c r="T5559" i="5" a="1"/>
  <c r="T5559" i="5" s="1"/>
  <c r="U5559" i="5" s="1"/>
  <c r="W5559" i="5" s="1"/>
  <c r="T2717" i="5" a="1"/>
  <c r="T2717" i="5" s="1"/>
  <c r="U2717" i="5" s="1"/>
  <c r="W2717" i="5" s="1"/>
  <c r="T4810" i="5" a="1"/>
  <c r="T4810" i="5" s="1"/>
  <c r="U4810" i="5" s="1"/>
  <c r="W4810" i="5" s="1"/>
  <c r="AA155" i="18"/>
  <c r="I232" i="18"/>
  <c r="T4360" i="5" a="1"/>
  <c r="T4360" i="5" s="1"/>
  <c r="U4360" i="5" s="1"/>
  <c r="W4360" i="5" s="1"/>
  <c r="T3799" i="5" a="1"/>
  <c r="T3799" i="5" s="1"/>
  <c r="U3799" i="5" s="1"/>
  <c r="W3799" i="5" s="1"/>
  <c r="Z365" i="18"/>
  <c r="Z253" i="18"/>
  <c r="Z349" i="18"/>
  <c r="Z9" i="18"/>
  <c r="Z223" i="18"/>
  <c r="V58" i="18"/>
  <c r="T5362" i="5" a="1"/>
  <c r="T5362" i="5" s="1"/>
  <c r="T5410" i="5" a="1"/>
  <c r="T5410" i="5" s="1"/>
  <c r="U5410" i="5" s="1"/>
  <c r="W5410" i="5" s="1"/>
  <c r="Z364" i="18"/>
  <c r="Z356" i="18"/>
  <c r="AA356" i="18" s="1"/>
  <c r="Z351" i="18"/>
  <c r="Z376" i="18"/>
  <c r="V59" i="18"/>
  <c r="U5083" i="5"/>
  <c r="W5083" i="5" s="1"/>
  <c r="Z150" i="18"/>
  <c r="Z3" i="18"/>
  <c r="E3" i="18" s="1"/>
  <c r="Z140" i="18"/>
  <c r="Z40" i="18"/>
  <c r="Z170" i="18"/>
  <c r="Z6" i="18"/>
  <c r="Z359" i="18"/>
  <c r="Z352" i="18"/>
  <c r="AA24" i="18"/>
  <c r="Y24" i="18"/>
  <c r="Z354" i="18"/>
  <c r="Z265" i="18"/>
  <c r="Z360" i="18"/>
  <c r="Z226" i="18"/>
  <c r="T123" i="5" a="1"/>
  <c r="T123" i="5" s="1"/>
  <c r="U123" i="5" s="1"/>
  <c r="W123" i="5" s="1"/>
  <c r="T4542" i="5" a="1"/>
  <c r="T4542" i="5" s="1"/>
  <c r="Z138" i="18"/>
  <c r="Z246" i="18"/>
  <c r="Z355" i="18"/>
  <c r="T437" i="5" a="1"/>
  <c r="T437" i="5" s="1"/>
  <c r="U437" i="5" s="1"/>
  <c r="Q232" i="18"/>
  <c r="U232" i="18" s="1"/>
  <c r="F14" i="18"/>
  <c r="W5332" i="5"/>
  <c r="W5005" i="5"/>
  <c r="W358" i="18"/>
  <c r="Y358" i="18" s="1"/>
  <c r="W4993" i="5"/>
  <c r="W5006" i="5"/>
  <c r="W5000" i="5"/>
  <c r="W354" i="18"/>
  <c r="Y354" i="18" s="1"/>
  <c r="W5007" i="5"/>
  <c r="V4943" i="5"/>
  <c r="Z136" i="18" s="1"/>
  <c r="U4943" i="5"/>
  <c r="W4994" i="5"/>
  <c r="W5330" i="5"/>
  <c r="W5001" i="5"/>
  <c r="V4942" i="5"/>
  <c r="U4942" i="5"/>
  <c r="W5012" i="5"/>
  <c r="W4992" i="5"/>
  <c r="W5011" i="5"/>
  <c r="V4944" i="5"/>
  <c r="Z263" i="18" s="1"/>
  <c r="U4944" i="5"/>
  <c r="W351" i="18"/>
  <c r="Y351" i="18" s="1"/>
  <c r="W5010" i="5"/>
  <c r="W363" i="18"/>
  <c r="T5072" i="5" a="1"/>
  <c r="T5072" i="5" s="1"/>
  <c r="T2715" i="5" a="1"/>
  <c r="T2715" i="5" s="1"/>
  <c r="T236" i="5" a="1"/>
  <c r="T236" i="5" s="1"/>
  <c r="V225" i="18" s="1"/>
  <c r="T2640" i="5" a="1"/>
  <c r="T2640" i="5" s="1"/>
  <c r="T4535" i="5" a="1"/>
  <c r="T4535" i="5" s="1"/>
  <c r="T4537" i="5" a="1"/>
  <c r="T4537" i="5" s="1"/>
  <c r="V326" i="18" s="1"/>
  <c r="X326" i="18" s="1"/>
  <c r="AA144" i="18"/>
  <c r="Y144" i="18"/>
  <c r="I382" i="18"/>
  <c r="U5360" i="5"/>
  <c r="Q382" i="18"/>
  <c r="U382" i="18" s="1"/>
  <c r="U1778" i="5"/>
  <c r="W1778" i="5" s="1"/>
  <c r="U224" i="5"/>
  <c r="U5073" i="5"/>
  <c r="W5073" i="5" s="1"/>
  <c r="I317" i="18"/>
  <c r="I17" i="18"/>
  <c r="I149" i="18"/>
  <c r="I52" i="18"/>
  <c r="I344" i="18"/>
  <c r="Q149" i="18"/>
  <c r="U149" i="18" s="1"/>
  <c r="Q52" i="18"/>
  <c r="U52" i="18" s="1"/>
  <c r="Q17" i="18"/>
  <c r="U17" i="18" s="1"/>
  <c r="Q344" i="18"/>
  <c r="U344" i="18" s="1"/>
  <c r="Q317" i="18"/>
  <c r="U317" i="18" s="1"/>
  <c r="T3622" i="5" l="1" a="1"/>
  <c r="T3622" i="5" s="1"/>
  <c r="U3622" i="5" s="1"/>
  <c r="W3622" i="5" s="1"/>
  <c r="X353" i="18"/>
  <c r="W5082" i="5"/>
  <c r="X386" i="18"/>
  <c r="Y353" i="18"/>
  <c r="AA353" i="18"/>
  <c r="Y386" i="18"/>
  <c r="AA386" i="18"/>
  <c r="AA89" i="18"/>
  <c r="Y89" i="18"/>
  <c r="W4540" i="5"/>
  <c r="W390" i="18"/>
  <c r="X89" i="18"/>
  <c r="Y411" i="18"/>
  <c r="AA411" i="18"/>
  <c r="W437" i="5"/>
  <c r="W4950" i="5"/>
  <c r="W6000" i="5"/>
  <c r="W98" i="18"/>
  <c r="U6718" i="5"/>
  <c r="V170" i="18"/>
  <c r="X170" i="18" s="1"/>
  <c r="AA352" i="18"/>
  <c r="W4952" i="5"/>
  <c r="W4951" i="5"/>
  <c r="W5360" i="5"/>
  <c r="W281" i="18"/>
  <c r="V317" i="18"/>
  <c r="Z440" i="18"/>
  <c r="Z201" i="18"/>
  <c r="W224" i="5"/>
  <c r="Z442" i="18"/>
  <c r="Z443" i="18"/>
  <c r="Z38" i="18"/>
  <c r="V344" i="18"/>
  <c r="V342" i="18"/>
  <c r="V319" i="18"/>
  <c r="U4542" i="5"/>
  <c r="W4542" i="5" s="1"/>
  <c r="T64" i="5" a="1"/>
  <c r="T64" i="5" s="1"/>
  <c r="U64" i="5" s="1"/>
  <c r="W64" i="5" s="1"/>
  <c r="V382" i="18"/>
  <c r="X382" i="18" s="1"/>
  <c r="Q14" i="18"/>
  <c r="U14" i="18" s="1"/>
  <c r="I14" i="18"/>
  <c r="AA354" i="18"/>
  <c r="W4943" i="5"/>
  <c r="W4944" i="5"/>
  <c r="AA358" i="18"/>
  <c r="W4942" i="5"/>
  <c r="AA351" i="18"/>
  <c r="AA363" i="18"/>
  <c r="U5362" i="5"/>
  <c r="W5362" i="5" s="1"/>
  <c r="U5072" i="5"/>
  <c r="U4535" i="5"/>
  <c r="W4535" i="5" s="1"/>
  <c r="U2715" i="5"/>
  <c r="W124" i="18" s="1"/>
  <c r="U4537" i="5"/>
  <c r="U236" i="5"/>
  <c r="F316" i="18" l="1"/>
  <c r="Q316" i="18" s="1"/>
  <c r="U316" i="18" s="1"/>
  <c r="X319" i="18"/>
  <c r="X61" i="18"/>
  <c r="X342" i="18"/>
  <c r="X124" i="18"/>
  <c r="X317" i="18"/>
  <c r="X390" i="18"/>
  <c r="Y124" i="18"/>
  <c r="AA124" i="18"/>
  <c r="Y390" i="18"/>
  <c r="AA390" i="18"/>
  <c r="W6718" i="5"/>
  <c r="W170" i="18"/>
  <c r="Y98" i="18"/>
  <c r="AA98" i="18"/>
  <c r="T6031" i="5" a="1"/>
  <c r="T6031" i="5" s="1"/>
  <c r="T5374" i="5" a="1"/>
  <c r="T5374" i="5" s="1"/>
  <c r="U5374" i="5" s="1"/>
  <c r="W5374" i="5" s="1"/>
  <c r="Y281" i="18"/>
  <c r="AA281" i="18"/>
  <c r="W4537" i="5"/>
  <c r="W326" i="18"/>
  <c r="AA326" i="18" s="1"/>
  <c r="T5458" i="5" a="1"/>
  <c r="T5458" i="5" s="1"/>
  <c r="U5458" i="5" s="1"/>
  <c r="W5458" i="5" s="1"/>
  <c r="W236" i="5"/>
  <c r="W2715" i="5"/>
  <c r="W5072" i="5"/>
  <c r="T4129" i="5" a="1"/>
  <c r="T4129" i="5" s="1"/>
  <c r="V226" i="18" s="1"/>
  <c r="T5409" i="5" a="1"/>
  <c r="T5409" i="5" s="1"/>
  <c r="V383" i="18" s="1"/>
  <c r="W317" i="18"/>
  <c r="W382" i="18"/>
  <c r="F379" i="18"/>
  <c r="I316" i="18" l="1"/>
  <c r="T5340" i="5" a="1"/>
  <c r="T5340" i="5" s="1"/>
  <c r="U5340" i="5" s="1"/>
  <c r="W5340" i="5" s="1"/>
  <c r="X383" i="18"/>
  <c r="X429" i="18"/>
  <c r="W258" i="18"/>
  <c r="Y170" i="18"/>
  <c r="AA170" i="18"/>
  <c r="U6031" i="5"/>
  <c r="V60" i="18"/>
  <c r="T4058" i="5" a="1"/>
  <c r="T4058" i="5" s="1"/>
  <c r="AA382" i="18"/>
  <c r="Y382" i="18"/>
  <c r="AA317" i="18"/>
  <c r="Y317" i="18"/>
  <c r="U4129" i="5"/>
  <c r="U5409" i="5"/>
  <c r="W429" i="18" s="1"/>
  <c r="I379" i="18"/>
  <c r="Q379" i="18"/>
  <c r="U379" i="18" s="1"/>
  <c r="F334" i="18"/>
  <c r="G317" i="2"/>
  <c r="G318" i="2"/>
  <c r="G319" i="2"/>
  <c r="G320" i="2"/>
  <c r="Y429" i="18" l="1"/>
  <c r="AA429" i="18"/>
  <c r="Y258" i="18"/>
  <c r="AA258" i="18"/>
  <c r="X101" i="18"/>
  <c r="W6031" i="5"/>
  <c r="T2707" i="5" a="1"/>
  <c r="T2707" i="5" s="1"/>
  <c r="U2707" i="5" s="1"/>
  <c r="W2707" i="5" s="1"/>
  <c r="T4800" i="5" a="1"/>
  <c r="T4800" i="5" s="1"/>
  <c r="U4800" i="5" s="1"/>
  <c r="W4800" i="5" s="1"/>
  <c r="V336" i="18"/>
  <c r="W5409" i="5"/>
  <c r="W383" i="18"/>
  <c r="W4129" i="5"/>
  <c r="T2705" i="5" a="1"/>
  <c r="T2705" i="5" s="1"/>
  <c r="U4058" i="5"/>
  <c r="I334" i="18"/>
  <c r="Q334" i="18"/>
  <c r="U334" i="18" s="1"/>
  <c r="I317" i="2"/>
  <c r="L317" i="2" s="1"/>
  <c r="I318" i="2"/>
  <c r="L318" i="2" s="1"/>
  <c r="I319" i="2"/>
  <c r="L319" i="2" s="1"/>
  <c r="I320" i="2"/>
  <c r="L320" i="2" s="1"/>
  <c r="W4058" i="5" l="1"/>
  <c r="Y383" i="18"/>
  <c r="AA383" i="18"/>
  <c r="U2705" i="5"/>
  <c r="W424" i="18" s="1"/>
  <c r="F380" i="18"/>
  <c r="F31" i="18"/>
  <c r="I51" i="2"/>
  <c r="G419" i="2"/>
  <c r="I419" i="2"/>
  <c r="L419" i="2" s="1"/>
  <c r="G418" i="2"/>
  <c r="I418" i="2"/>
  <c r="L418" i="2" s="1"/>
  <c r="R52" i="6"/>
  <c r="F321" i="18"/>
  <c r="T4254" i="5" l="1" a="1"/>
  <c r="T4254" i="5" s="1"/>
  <c r="U4254" i="5" s="1"/>
  <c r="W4254" i="5" s="1"/>
  <c r="T6475" i="5" a="1"/>
  <c r="T6475" i="5" s="1"/>
  <c r="U6475" i="5" s="1"/>
  <c r="W6475" i="5" s="1"/>
  <c r="Y424" i="18"/>
  <c r="AA424" i="18"/>
  <c r="T3606" i="5" a="1"/>
  <c r="T3606" i="5" s="1"/>
  <c r="U3606" i="5" s="1"/>
  <c r="W3606" i="5" s="1"/>
  <c r="T6717" i="5" a="1"/>
  <c r="T6717" i="5" s="1"/>
  <c r="U6717" i="5" s="1"/>
  <c r="W6717" i="5" s="1"/>
  <c r="T4063" i="5" a="1"/>
  <c r="T4063" i="5" s="1"/>
  <c r="T5341" i="5" a="1"/>
  <c r="T5341" i="5" s="1"/>
  <c r="U5341" i="5" s="1"/>
  <c r="W5341" i="5" s="1"/>
  <c r="W2705" i="5"/>
  <c r="T37" i="5" a="1"/>
  <c r="T37" i="5" s="1"/>
  <c r="T250" i="5" a="1"/>
  <c r="T250" i="5" s="1"/>
  <c r="T1592" i="5" a="1"/>
  <c r="T1592" i="5" s="1"/>
  <c r="V290" i="18" s="1"/>
  <c r="I31" i="18"/>
  <c r="I380" i="18"/>
  <c r="I321" i="18"/>
  <c r="Q31" i="18"/>
  <c r="U31" i="18" s="1"/>
  <c r="Q380" i="18"/>
  <c r="U380" i="18" s="1"/>
  <c r="Q321" i="18"/>
  <c r="U321" i="18" s="1"/>
  <c r="F381" i="18"/>
  <c r="L4" i="10"/>
  <c r="L5" i="10"/>
  <c r="L6" i="10"/>
  <c r="L7" i="10"/>
  <c r="L15" i="10"/>
  <c r="L16" i="10"/>
  <c r="L17" i="10"/>
  <c r="L18" i="10"/>
  <c r="L27" i="10"/>
  <c r="L3" i="10"/>
  <c r="F378" i="18"/>
  <c r="V4253" i="5"/>
  <c r="I377" i="2"/>
  <c r="L377" i="2" s="1"/>
  <c r="I378" i="2"/>
  <c r="L378" i="2" s="1"/>
  <c r="G376" i="2"/>
  <c r="G377" i="2"/>
  <c r="G378" i="2"/>
  <c r="G379" i="2"/>
  <c r="G380" i="2"/>
  <c r="G381" i="2"/>
  <c r="I381" i="2"/>
  <c r="L381" i="2" s="1"/>
  <c r="I382" i="2"/>
  <c r="L382" i="2" s="1"/>
  <c r="I383" i="2"/>
  <c r="L383" i="2" s="1"/>
  <c r="I384" i="2"/>
  <c r="L384" i="2" s="1"/>
  <c r="I376" i="2"/>
  <c r="L376" i="2" s="1"/>
  <c r="I379" i="2"/>
  <c r="L379" i="2" s="1"/>
  <c r="G316" i="2"/>
  <c r="I316" i="2"/>
  <c r="L316" i="2" s="1"/>
  <c r="G314" i="2"/>
  <c r="G313" i="2"/>
  <c r="F376" i="18" l="1"/>
  <c r="T4059" i="5" s="1" a="1"/>
  <c r="T4059" i="5" s="1"/>
  <c r="U4059" i="5" s="1"/>
  <c r="T5339" i="5" a="1"/>
  <c r="T5339" i="5" s="1"/>
  <c r="U5339" i="5" s="1"/>
  <c r="W5339" i="5" s="1"/>
  <c r="X290" i="18"/>
  <c r="X225" i="18"/>
  <c r="V380" i="18"/>
  <c r="V402" i="18"/>
  <c r="T4064" i="5" a="1"/>
  <c r="T4064" i="5" s="1"/>
  <c r="T5342" i="5" a="1"/>
  <c r="T5342" i="5" s="1"/>
  <c r="U5342" i="5" s="1"/>
  <c r="W5342" i="5" s="1"/>
  <c r="T4996" i="5" a="1"/>
  <c r="T4996" i="5" s="1"/>
  <c r="U4996" i="5" s="1"/>
  <c r="W4996" i="5" s="1"/>
  <c r="T5840" i="5" a="1"/>
  <c r="T5840" i="5" s="1"/>
  <c r="U5840" i="5" s="1"/>
  <c r="W5840" i="5" s="1"/>
  <c r="T5337" i="5" a="1"/>
  <c r="T5337" i="5" s="1"/>
  <c r="U5337" i="5" s="1"/>
  <c r="W5337" i="5" s="1"/>
  <c r="U4063" i="5"/>
  <c r="V406" i="18"/>
  <c r="V351" i="18"/>
  <c r="X351" i="18" s="1"/>
  <c r="V4248" i="5"/>
  <c r="Z37" i="18" s="1"/>
  <c r="T4060" i="5" a="1"/>
  <c r="T4060" i="5" s="1"/>
  <c r="T4988" i="5" a="1"/>
  <c r="T4988" i="5" s="1"/>
  <c r="T4055" i="5" a="1"/>
  <c r="T4055" i="5" s="1"/>
  <c r="V398" i="18" s="1"/>
  <c r="T4057" i="5" a="1"/>
  <c r="T4057" i="5" s="1"/>
  <c r="U37" i="5"/>
  <c r="W37" i="5" s="1"/>
  <c r="U1592" i="5"/>
  <c r="U250" i="5"/>
  <c r="W250" i="5" s="1"/>
  <c r="I381" i="18"/>
  <c r="I378" i="18"/>
  <c r="Q378" i="18"/>
  <c r="U378" i="18" s="1"/>
  <c r="Q381" i="18"/>
  <c r="U381" i="18" s="1"/>
  <c r="L28" i="10"/>
  <c r="F39" i="18"/>
  <c r="G310" i="2"/>
  <c r="G311" i="2"/>
  <c r="G312" i="2"/>
  <c r="I310" i="2"/>
  <c r="L310" i="2" s="1"/>
  <c r="I311" i="2"/>
  <c r="L311" i="2" s="1"/>
  <c r="I312" i="2"/>
  <c r="L312" i="2" s="1"/>
  <c r="I313" i="2"/>
  <c r="L313" i="2" s="1"/>
  <c r="I314" i="2"/>
  <c r="L314" i="2" s="1"/>
  <c r="I376" i="18" l="1"/>
  <c r="Q376" i="18"/>
  <c r="U376" i="18" s="1"/>
  <c r="W81" i="18"/>
  <c r="T4782" i="5" a="1"/>
  <c r="T4782" i="5" s="1"/>
  <c r="T5235" i="5" a="1"/>
  <c r="T5235" i="5" s="1"/>
  <c r="T4250" i="5" a="1"/>
  <c r="T4250" i="5" s="1"/>
  <c r="U4250" i="5" s="1"/>
  <c r="W4250" i="5" s="1"/>
  <c r="T3646" i="5" a="1"/>
  <c r="T3646" i="5" s="1"/>
  <c r="U3646" i="5" s="1"/>
  <c r="W3646" i="5" s="1"/>
  <c r="W4063" i="5"/>
  <c r="W406" i="18"/>
  <c r="U4064" i="5"/>
  <c r="W341" i="18" s="1"/>
  <c r="W1592" i="5"/>
  <c r="W290" i="18"/>
  <c r="W4059" i="5"/>
  <c r="Z130" i="18"/>
  <c r="Z48" i="18"/>
  <c r="T3863" i="5" a="1"/>
  <c r="T3863" i="5" s="1"/>
  <c r="U3863" i="5" s="1"/>
  <c r="W3863" i="5" s="1"/>
  <c r="T2644" i="5" a="1"/>
  <c r="T2644" i="5" s="1"/>
  <c r="U2644" i="5" s="1"/>
  <c r="W2644" i="5" s="1"/>
  <c r="V381" i="18"/>
  <c r="T2642" i="5" a="1"/>
  <c r="T2642" i="5" s="1"/>
  <c r="T1588" i="5" a="1"/>
  <c r="T1588" i="5" s="1"/>
  <c r="T258" i="5" a="1"/>
  <c r="T258" i="5" s="1"/>
  <c r="U4060" i="5"/>
  <c r="U4057" i="5"/>
  <c r="U4988" i="5"/>
  <c r="W4988" i="5" s="1"/>
  <c r="U4055" i="5"/>
  <c r="I39" i="18"/>
  <c r="Q39" i="18"/>
  <c r="U39" i="18" s="1"/>
  <c r="X341" i="18" l="1"/>
  <c r="Y341" i="18"/>
  <c r="AA341" i="18"/>
  <c r="Y81" i="18"/>
  <c r="AA81" i="18"/>
  <c r="U5235" i="5"/>
  <c r="V254" i="18"/>
  <c r="U4782" i="5"/>
  <c r="V149" i="18"/>
  <c r="W4055" i="5"/>
  <c r="W4064" i="5"/>
  <c r="AA290" i="18"/>
  <c r="Y290" i="18"/>
  <c r="Y406" i="18"/>
  <c r="AA406" i="18"/>
  <c r="W4057" i="5"/>
  <c r="W4060" i="5"/>
  <c r="U1588" i="5"/>
  <c r="W1588" i="5" s="1"/>
  <c r="U258" i="5"/>
  <c r="W258" i="5" s="1"/>
  <c r="U2642" i="5"/>
  <c r="V3580" i="5"/>
  <c r="F204" i="18"/>
  <c r="V3581" i="5" l="1"/>
  <c r="U3581" i="5"/>
  <c r="W4782" i="5"/>
  <c r="W5235" i="5"/>
  <c r="T215" i="5" a="1"/>
  <c r="T215" i="5" s="1"/>
  <c r="U215" i="5" s="1"/>
  <c r="T3722" i="5" a="1"/>
  <c r="T3722" i="5" s="1"/>
  <c r="U3722" i="5" s="1"/>
  <c r="W3722" i="5" s="1"/>
  <c r="W2642" i="5"/>
  <c r="V3577" i="5"/>
  <c r="U3577" i="5"/>
  <c r="V3576" i="5"/>
  <c r="Z122" i="18" s="1"/>
  <c r="U3576" i="5"/>
  <c r="I204" i="18"/>
  <c r="Q204" i="18"/>
  <c r="U204" i="18" s="1"/>
  <c r="F47" i="18"/>
  <c r="W215" i="5" l="1"/>
  <c r="W428" i="18"/>
  <c r="W3581" i="5"/>
  <c r="T96" i="5" a="1"/>
  <c r="T96" i="5" s="1"/>
  <c r="U96" i="5" s="1"/>
  <c r="T3654" i="5" a="1"/>
  <c r="T3654" i="5" s="1"/>
  <c r="W3576" i="5"/>
  <c r="W3577" i="5"/>
  <c r="T266" i="5" a="1"/>
  <c r="T266" i="5" s="1"/>
  <c r="I47" i="18"/>
  <c r="Q47" i="18"/>
  <c r="U47" i="18" s="1"/>
  <c r="W96" i="5" l="1"/>
  <c r="AA428" i="18"/>
  <c r="Y428" i="18"/>
  <c r="U3654" i="5"/>
  <c r="W149" i="18" s="1"/>
  <c r="AA149" i="18" s="1"/>
  <c r="V335" i="18"/>
  <c r="V376" i="18"/>
  <c r="U266" i="5"/>
  <c r="F256" i="18"/>
  <c r="T3886" i="5" l="1" a="1"/>
  <c r="T3886" i="5" s="1"/>
  <c r="U3886" i="5" s="1"/>
  <c r="W3886" i="5" s="1"/>
  <c r="X376" i="18"/>
  <c r="X81" i="18"/>
  <c r="X149" i="18"/>
  <c r="W376" i="18"/>
  <c r="AA376" i="18" s="1"/>
  <c r="W44" i="18"/>
  <c r="AA44" i="18" s="1"/>
  <c r="W3654" i="5"/>
  <c r="W266" i="5"/>
  <c r="T669" i="5" a="1"/>
  <c r="T669" i="5" s="1"/>
  <c r="I256" i="18"/>
  <c r="Q256" i="18"/>
  <c r="U256" i="18" s="1"/>
  <c r="F309" i="18"/>
  <c r="F36" i="18"/>
  <c r="F209" i="18"/>
  <c r="T7556" i="5" s="1" a="1"/>
  <c r="T7556" i="5" s="1"/>
  <c r="U7556" i="5" s="1"/>
  <c r="W7556" i="5" s="1"/>
  <c r="G303" i="2"/>
  <c r="G304" i="2"/>
  <c r="G305" i="2"/>
  <c r="G306" i="2"/>
  <c r="G307" i="2"/>
  <c r="G308" i="2"/>
  <c r="T3643" i="5" l="1" a="1"/>
  <c r="T3643" i="5" s="1"/>
  <c r="U3643" i="5" s="1"/>
  <c r="W3643" i="5" s="1"/>
  <c r="Y376" i="18"/>
  <c r="V3637" i="5"/>
  <c r="V3641" i="5"/>
  <c r="Z247" i="18"/>
  <c r="Z30" i="18"/>
  <c r="V186" i="18"/>
  <c r="X186" i="18" s="1"/>
  <c r="T5274" i="5" a="1"/>
  <c r="T5274" i="5" s="1"/>
  <c r="U5274" i="5" s="1"/>
  <c r="W5274" i="5" s="1"/>
  <c r="T5157" i="5" a="1"/>
  <c r="T5157" i="5" s="1"/>
  <c r="U5157" i="5" s="1"/>
  <c r="W5157" i="5" s="1"/>
  <c r="T220" i="5" a="1"/>
  <c r="T220" i="5" s="1"/>
  <c r="U220" i="5" s="1"/>
  <c r="W220" i="5" s="1"/>
  <c r="T3727" i="5" a="1"/>
  <c r="T3727" i="5" s="1"/>
  <c r="U3727" i="5" s="1"/>
  <c r="W3727" i="5" s="1"/>
  <c r="T3642" i="5" a="1"/>
  <c r="T3642" i="5" s="1"/>
  <c r="T3970" i="5" a="1"/>
  <c r="T3970" i="5" s="1"/>
  <c r="U3970" i="5" s="1"/>
  <c r="W3970" i="5" s="1"/>
  <c r="T255" i="5" a="1"/>
  <c r="T255" i="5" s="1"/>
  <c r="T3966" i="5" a="1"/>
  <c r="T3966" i="5" s="1"/>
  <c r="T3638" i="5" a="1"/>
  <c r="T3638" i="5" s="1"/>
  <c r="T175" i="5" a="1"/>
  <c r="T175" i="5" s="1"/>
  <c r="U669" i="5"/>
  <c r="W16" i="18" s="1"/>
  <c r="I36" i="18"/>
  <c r="I309" i="18"/>
  <c r="I209" i="18"/>
  <c r="Q209" i="18"/>
  <c r="U209" i="18" s="1"/>
  <c r="Q36" i="18"/>
  <c r="U36" i="18" s="1"/>
  <c r="Q309" i="18"/>
  <c r="U309" i="18" s="1"/>
  <c r="AA16" i="18" l="1"/>
  <c r="Y16" i="18"/>
  <c r="W669" i="5"/>
  <c r="W186" i="18"/>
  <c r="U3642" i="5"/>
  <c r="V35" i="18"/>
  <c r="U175" i="5"/>
  <c r="W175" i="5" s="1"/>
  <c r="U255" i="5"/>
  <c r="W255" i="5" s="1"/>
  <c r="U3966" i="5"/>
  <c r="U3638" i="5"/>
  <c r="W3638" i="5" s="1"/>
  <c r="X35" i="18" l="1"/>
  <c r="X84" i="18"/>
  <c r="W3642" i="5"/>
  <c r="W35" i="18"/>
  <c r="AA35" i="18" s="1"/>
  <c r="Y186" i="18"/>
  <c r="AA186" i="18"/>
  <c r="W3966" i="5"/>
  <c r="F374" i="18"/>
  <c r="T4675" i="5" l="1" a="1"/>
  <c r="T4675" i="5" s="1"/>
  <c r="U4675" i="5" s="1"/>
  <c r="W4675" i="5" s="1"/>
  <c r="I374" i="18"/>
  <c r="Q374" i="18"/>
  <c r="U374" i="18" s="1"/>
  <c r="I302" i="2"/>
  <c r="I303" i="2"/>
  <c r="I304" i="2"/>
  <c r="I305" i="2"/>
  <c r="I306" i="2"/>
  <c r="I301" i="2"/>
  <c r="F151" i="18" l="1"/>
  <c r="T7550" i="5" l="1" a="1"/>
  <c r="T7550" i="5" s="1"/>
  <c r="U7550" i="5" s="1"/>
  <c r="W7550" i="5" s="1"/>
  <c r="T7873" i="5" a="1"/>
  <c r="T7873" i="5" s="1"/>
  <c r="U7873" i="5" s="1"/>
  <c r="W7873" i="5" s="1"/>
  <c r="T7863" i="5" a="1"/>
  <c r="T7863" i="5" s="1"/>
  <c r="U7863" i="5" s="1"/>
  <c r="W7863" i="5" s="1"/>
  <c r="T5266" i="5" a="1"/>
  <c r="T5266" i="5" s="1"/>
  <c r="U5266" i="5" s="1"/>
  <c r="W5266" i="5" s="1"/>
  <c r="T3668" i="5" a="1"/>
  <c r="T3668" i="5" s="1"/>
  <c r="T4861" i="5" a="1"/>
  <c r="T4861" i="5" s="1"/>
  <c r="U4861" i="5" s="1"/>
  <c r="W4861" i="5" s="1"/>
  <c r="T5119" i="5" a="1"/>
  <c r="T5119" i="5" s="1"/>
  <c r="U5119" i="5" s="1"/>
  <c r="W5119" i="5" s="1"/>
  <c r="T5596" i="5" a="1"/>
  <c r="T5596" i="5" s="1"/>
  <c r="T4582" i="5" a="1"/>
  <c r="T4582" i="5" s="1"/>
  <c r="U4582" i="5" s="1"/>
  <c r="W4582" i="5" s="1"/>
  <c r="T3583" i="5" a="1"/>
  <c r="T3583" i="5" s="1"/>
  <c r="U3583" i="5" s="1"/>
  <c r="W3583" i="5" s="1"/>
  <c r="T2883" i="5" a="1"/>
  <c r="T2883" i="5" s="1"/>
  <c r="T3962" i="5" a="1"/>
  <c r="T3962" i="5" s="1"/>
  <c r="U3962" i="5" s="1"/>
  <c r="W3962" i="5" s="1"/>
  <c r="T80" i="5" a="1"/>
  <c r="T80" i="5" s="1"/>
  <c r="T2879" i="5" a="1"/>
  <c r="T2879" i="5" s="1"/>
  <c r="T3959" i="5" a="1"/>
  <c r="T3959" i="5" s="1"/>
  <c r="V189" i="18" s="1"/>
  <c r="T3579" i="5" a="1"/>
  <c r="T3579" i="5" s="1"/>
  <c r="T4577" i="5" a="1"/>
  <c r="T4577" i="5" s="1"/>
  <c r="I151" i="18"/>
  <c r="Q151" i="18"/>
  <c r="U151" i="18" s="1"/>
  <c r="F245" i="18"/>
  <c r="F252" i="18"/>
  <c r="F259" i="18"/>
  <c r="T8307" i="5" s="1" a="1"/>
  <c r="T8307" i="5" s="1"/>
  <c r="U8307" i="5" s="1"/>
  <c r="W8307" i="5" s="1"/>
  <c r="T6091" i="5" l="1" a="1"/>
  <c r="T6091" i="5" s="1"/>
  <c r="U6091" i="5" s="1"/>
  <c r="W6091" i="5" s="1"/>
  <c r="X189" i="18"/>
  <c r="X361" i="18"/>
  <c r="U5596" i="5"/>
  <c r="W95" i="18" s="1"/>
  <c r="V366" i="18"/>
  <c r="U3668" i="5"/>
  <c r="V209" i="18"/>
  <c r="X209" i="18" s="1"/>
  <c r="T3866" i="5" a="1"/>
  <c r="T3866" i="5" s="1"/>
  <c r="U3866" i="5" s="1"/>
  <c r="W3866" i="5" s="1"/>
  <c r="T5036" i="5" a="1"/>
  <c r="T5036" i="5" s="1"/>
  <c r="U5036" i="5" s="1"/>
  <c r="W5036" i="5" s="1"/>
  <c r="T2721" i="5" a="1"/>
  <c r="T2721" i="5" s="1"/>
  <c r="U2721" i="5" s="1"/>
  <c r="W2721" i="5" s="1"/>
  <c r="T4814" i="5" a="1"/>
  <c r="T4814" i="5" s="1"/>
  <c r="U4814" i="5" s="1"/>
  <c r="W4814" i="5" s="1"/>
  <c r="T3873" i="5" a="1"/>
  <c r="T3873" i="5" s="1"/>
  <c r="U3873" i="5" s="1"/>
  <c r="W3873" i="5" s="1"/>
  <c r="T3890" i="5" a="1"/>
  <c r="T3890" i="5" s="1"/>
  <c r="T4963" i="5" a="1"/>
  <c r="T4963" i="5" s="1"/>
  <c r="U4963" i="5" s="1"/>
  <c r="W4963" i="5" s="1"/>
  <c r="T6355" i="5" a="1"/>
  <c r="T6355" i="5" s="1"/>
  <c r="U6355" i="5" s="1"/>
  <c r="V232" i="18"/>
  <c r="T3168" i="5" a="1"/>
  <c r="T3168" i="5" s="1"/>
  <c r="U3168" i="5" s="1"/>
  <c r="W3168" i="5" s="1"/>
  <c r="V302" i="18"/>
  <c r="U2883" i="5"/>
  <c r="W2883" i="5" s="1"/>
  <c r="T605" i="5" a="1"/>
  <c r="T605" i="5" s="1"/>
  <c r="T3328" i="5" a="1"/>
  <c r="T3328" i="5" s="1"/>
  <c r="T673" i="5" a="1"/>
  <c r="T673" i="5" s="1"/>
  <c r="T6067" i="5" a="1"/>
  <c r="T6067" i="5" s="1"/>
  <c r="V227" i="18" s="1"/>
  <c r="T2719" i="5" a="1"/>
  <c r="T2719" i="5" s="1"/>
  <c r="V346" i="18" s="1"/>
  <c r="X346" i="18" s="1"/>
  <c r="T612" i="5" a="1"/>
  <c r="T612" i="5" s="1"/>
  <c r="Q245" i="18"/>
  <c r="U245" i="18" s="1"/>
  <c r="I245" i="18"/>
  <c r="U3579" i="5"/>
  <c r="W3579" i="5" s="1"/>
  <c r="U2879" i="5"/>
  <c r="W2879" i="5" s="1"/>
  <c r="U3959" i="5"/>
  <c r="U80" i="5"/>
  <c r="W392" i="18" s="1"/>
  <c r="U4577" i="5"/>
  <c r="I259" i="18"/>
  <c r="I252" i="18"/>
  <c r="Q259" i="18"/>
  <c r="U259" i="18" s="1"/>
  <c r="Q252" i="18"/>
  <c r="U252" i="18" s="1"/>
  <c r="I1230" i="2"/>
  <c r="L1230" i="2" s="1"/>
  <c r="G1230" i="2"/>
  <c r="I1229" i="2"/>
  <c r="L1229" i="2" s="1"/>
  <c r="G1229" i="2"/>
  <c r="I1228" i="2"/>
  <c r="L1228" i="2" s="1"/>
  <c r="G1228" i="2"/>
  <c r="I1227" i="2"/>
  <c r="L1227" i="2" s="1"/>
  <c r="G1227" i="2"/>
  <c r="I1226" i="2"/>
  <c r="L1226" i="2" s="1"/>
  <c r="G1226" i="2"/>
  <c r="I1225" i="2"/>
  <c r="L1225" i="2" s="1"/>
  <c r="G1225" i="2"/>
  <c r="I1224" i="2"/>
  <c r="L1224" i="2" s="1"/>
  <c r="G1224" i="2"/>
  <c r="I1223" i="2"/>
  <c r="L1223" i="2" s="1"/>
  <c r="G1223" i="2"/>
  <c r="I1222" i="2"/>
  <c r="L1222" i="2" s="1"/>
  <c r="G1222" i="2"/>
  <c r="I1221" i="2"/>
  <c r="L1221" i="2" s="1"/>
  <c r="G1221" i="2"/>
  <c r="I1220" i="2"/>
  <c r="L1220" i="2" s="1"/>
  <c r="G1220" i="2"/>
  <c r="I1219" i="2"/>
  <c r="L1219" i="2" s="1"/>
  <c r="G1219" i="2"/>
  <c r="I1218" i="2"/>
  <c r="L1218" i="2" s="1"/>
  <c r="G1218" i="2"/>
  <c r="I1217" i="2"/>
  <c r="L1217" i="2" s="1"/>
  <c r="G1217" i="2"/>
  <c r="I1216" i="2"/>
  <c r="L1216" i="2" s="1"/>
  <c r="G1216" i="2"/>
  <c r="I1215" i="2"/>
  <c r="L1215" i="2" s="1"/>
  <c r="G1215" i="2"/>
  <c r="I1214" i="2"/>
  <c r="L1214" i="2" s="1"/>
  <c r="G1214" i="2"/>
  <c r="I1213" i="2"/>
  <c r="L1213" i="2" s="1"/>
  <c r="G1213" i="2"/>
  <c r="I1212" i="2"/>
  <c r="L1212" i="2" s="1"/>
  <c r="G1212" i="2"/>
  <c r="I1211" i="2"/>
  <c r="L1211" i="2" s="1"/>
  <c r="G1211" i="2"/>
  <c r="I1210" i="2"/>
  <c r="L1210" i="2" s="1"/>
  <c r="G1210" i="2"/>
  <c r="I1209" i="2"/>
  <c r="L1209" i="2" s="1"/>
  <c r="G1209" i="2"/>
  <c r="I1208" i="2"/>
  <c r="L1208" i="2" s="1"/>
  <c r="G1208" i="2"/>
  <c r="I1207" i="2"/>
  <c r="L1207" i="2" s="1"/>
  <c r="G1207" i="2"/>
  <c r="I1206" i="2"/>
  <c r="L1206" i="2" s="1"/>
  <c r="G1206" i="2"/>
  <c r="I1205" i="2"/>
  <c r="L1205" i="2" s="1"/>
  <c r="G1205" i="2"/>
  <c r="I1204" i="2"/>
  <c r="L1204" i="2" s="1"/>
  <c r="G1204" i="2"/>
  <c r="I1203" i="2"/>
  <c r="L1203" i="2" s="1"/>
  <c r="G1203" i="2"/>
  <c r="I1202" i="2"/>
  <c r="L1202" i="2" s="1"/>
  <c r="G1202" i="2"/>
  <c r="I1201" i="2"/>
  <c r="L1201" i="2" s="1"/>
  <c r="G1201" i="2"/>
  <c r="I1200" i="2"/>
  <c r="L1200" i="2" s="1"/>
  <c r="G1200" i="2"/>
  <c r="I1199" i="2"/>
  <c r="L1199" i="2" s="1"/>
  <c r="G1199" i="2"/>
  <c r="I1198" i="2"/>
  <c r="L1198" i="2" s="1"/>
  <c r="G1198" i="2"/>
  <c r="I1197" i="2"/>
  <c r="L1197" i="2" s="1"/>
  <c r="G1197" i="2"/>
  <c r="I1196" i="2"/>
  <c r="L1196" i="2" s="1"/>
  <c r="G1196" i="2"/>
  <c r="I1195" i="2"/>
  <c r="L1195" i="2" s="1"/>
  <c r="G1195" i="2"/>
  <c r="I1194" i="2"/>
  <c r="L1194" i="2" s="1"/>
  <c r="G1194" i="2"/>
  <c r="I1193" i="2"/>
  <c r="L1193" i="2" s="1"/>
  <c r="G1193" i="2"/>
  <c r="I1192" i="2"/>
  <c r="L1192" i="2" s="1"/>
  <c r="G1192" i="2"/>
  <c r="I1191" i="2"/>
  <c r="L1191" i="2" s="1"/>
  <c r="G1191" i="2"/>
  <c r="I1190" i="2"/>
  <c r="L1190" i="2" s="1"/>
  <c r="G1190" i="2"/>
  <c r="I1189" i="2"/>
  <c r="L1189" i="2" s="1"/>
  <c r="G1189" i="2"/>
  <c r="I1188" i="2"/>
  <c r="L1188" i="2" s="1"/>
  <c r="G1188" i="2"/>
  <c r="I1187" i="2"/>
  <c r="L1187" i="2" s="1"/>
  <c r="G1187" i="2"/>
  <c r="I1186" i="2"/>
  <c r="L1186" i="2" s="1"/>
  <c r="G1186" i="2"/>
  <c r="I1185" i="2"/>
  <c r="L1185" i="2" s="1"/>
  <c r="G1185" i="2"/>
  <c r="I1184" i="2"/>
  <c r="L1184" i="2" s="1"/>
  <c r="G1184" i="2"/>
  <c r="I1183" i="2"/>
  <c r="L1183" i="2" s="1"/>
  <c r="G1183" i="2"/>
  <c r="I1182" i="2"/>
  <c r="L1182" i="2" s="1"/>
  <c r="G1182" i="2"/>
  <c r="I1181" i="2"/>
  <c r="L1181" i="2" s="1"/>
  <c r="G1181" i="2"/>
  <c r="I1180" i="2"/>
  <c r="L1180" i="2" s="1"/>
  <c r="G1180" i="2"/>
  <c r="I1179" i="2"/>
  <c r="L1179" i="2" s="1"/>
  <c r="G1179" i="2"/>
  <c r="I1178" i="2"/>
  <c r="L1178" i="2" s="1"/>
  <c r="G1178" i="2"/>
  <c r="I1177" i="2"/>
  <c r="L1177" i="2" s="1"/>
  <c r="G1177" i="2"/>
  <c r="I1176" i="2"/>
  <c r="L1176" i="2" s="1"/>
  <c r="G1176" i="2"/>
  <c r="I1175" i="2"/>
  <c r="L1175" i="2" s="1"/>
  <c r="G1175" i="2"/>
  <c r="I1174" i="2"/>
  <c r="L1174" i="2" s="1"/>
  <c r="G1174" i="2"/>
  <c r="I1173" i="2"/>
  <c r="L1173" i="2" s="1"/>
  <c r="G1173" i="2"/>
  <c r="I1172" i="2"/>
  <c r="L1172" i="2" s="1"/>
  <c r="G1172" i="2"/>
  <c r="I1171" i="2"/>
  <c r="L1171" i="2" s="1"/>
  <c r="G1171" i="2"/>
  <c r="I1170" i="2"/>
  <c r="L1170" i="2" s="1"/>
  <c r="G1170" i="2"/>
  <c r="I1169" i="2"/>
  <c r="L1169" i="2" s="1"/>
  <c r="G1169" i="2"/>
  <c r="I1168" i="2"/>
  <c r="L1168" i="2" s="1"/>
  <c r="G1168" i="2"/>
  <c r="I1167" i="2"/>
  <c r="L1167" i="2" s="1"/>
  <c r="G1167" i="2"/>
  <c r="I1166" i="2"/>
  <c r="L1166" i="2" s="1"/>
  <c r="G1166" i="2"/>
  <c r="I1165" i="2"/>
  <c r="L1165" i="2" s="1"/>
  <c r="G1165" i="2"/>
  <c r="I1164" i="2"/>
  <c r="L1164" i="2" s="1"/>
  <c r="G1164" i="2"/>
  <c r="I1163" i="2"/>
  <c r="L1163" i="2" s="1"/>
  <c r="G1163" i="2"/>
  <c r="I1162" i="2"/>
  <c r="L1162" i="2" s="1"/>
  <c r="G1162" i="2"/>
  <c r="I1161" i="2"/>
  <c r="L1161" i="2" s="1"/>
  <c r="G1161" i="2"/>
  <c r="I1160" i="2"/>
  <c r="L1160" i="2" s="1"/>
  <c r="G1160" i="2"/>
  <c r="I1159" i="2"/>
  <c r="L1159" i="2" s="1"/>
  <c r="G1159" i="2"/>
  <c r="I1158" i="2"/>
  <c r="L1158" i="2" s="1"/>
  <c r="G1158" i="2"/>
  <c r="I1157" i="2"/>
  <c r="L1157" i="2" s="1"/>
  <c r="G1157" i="2"/>
  <c r="I1156" i="2"/>
  <c r="L1156" i="2" s="1"/>
  <c r="G1156" i="2"/>
  <c r="I1155" i="2"/>
  <c r="L1155" i="2" s="1"/>
  <c r="G1155" i="2"/>
  <c r="I1154" i="2"/>
  <c r="L1154" i="2" s="1"/>
  <c r="G1154" i="2"/>
  <c r="I1153" i="2"/>
  <c r="L1153" i="2" s="1"/>
  <c r="G1153" i="2"/>
  <c r="I1152" i="2"/>
  <c r="L1152" i="2" s="1"/>
  <c r="G1152" i="2"/>
  <c r="I1151" i="2"/>
  <c r="L1151" i="2" s="1"/>
  <c r="G1151" i="2"/>
  <c r="I1150" i="2"/>
  <c r="L1150" i="2" s="1"/>
  <c r="G1150" i="2"/>
  <c r="I1149" i="2"/>
  <c r="L1149" i="2" s="1"/>
  <c r="G1149" i="2"/>
  <c r="I1148" i="2"/>
  <c r="L1148" i="2" s="1"/>
  <c r="G1148" i="2"/>
  <c r="I1147" i="2"/>
  <c r="L1147" i="2" s="1"/>
  <c r="G1147" i="2"/>
  <c r="I1146" i="2"/>
  <c r="L1146" i="2" s="1"/>
  <c r="G1146" i="2"/>
  <c r="I1145" i="2"/>
  <c r="L1145" i="2" s="1"/>
  <c r="G1145" i="2"/>
  <c r="I1144" i="2"/>
  <c r="L1144" i="2" s="1"/>
  <c r="G1144" i="2"/>
  <c r="I1143" i="2"/>
  <c r="L1143" i="2" s="1"/>
  <c r="G1143" i="2"/>
  <c r="I1142" i="2"/>
  <c r="L1142" i="2" s="1"/>
  <c r="G1142" i="2"/>
  <c r="I1141" i="2"/>
  <c r="L1141" i="2" s="1"/>
  <c r="G1141" i="2"/>
  <c r="I1140" i="2"/>
  <c r="L1140" i="2" s="1"/>
  <c r="G1140" i="2"/>
  <c r="I1139" i="2"/>
  <c r="L1139" i="2" s="1"/>
  <c r="G1139" i="2"/>
  <c r="I1138" i="2"/>
  <c r="L1138" i="2" s="1"/>
  <c r="G1138" i="2"/>
  <c r="I1137" i="2"/>
  <c r="L1137" i="2" s="1"/>
  <c r="G1137" i="2"/>
  <c r="I1136" i="2"/>
  <c r="L1136" i="2" s="1"/>
  <c r="G1136" i="2"/>
  <c r="I1135" i="2"/>
  <c r="L1135" i="2" s="1"/>
  <c r="G1135" i="2"/>
  <c r="I1134" i="2"/>
  <c r="L1134" i="2" s="1"/>
  <c r="G1134" i="2"/>
  <c r="I1133" i="2"/>
  <c r="L1133" i="2" s="1"/>
  <c r="G1133" i="2"/>
  <c r="I1132" i="2"/>
  <c r="L1132" i="2" s="1"/>
  <c r="G1132" i="2"/>
  <c r="I1131" i="2"/>
  <c r="L1131" i="2" s="1"/>
  <c r="G1131" i="2"/>
  <c r="I1130" i="2"/>
  <c r="L1130" i="2" s="1"/>
  <c r="G1130" i="2"/>
  <c r="I1129" i="2"/>
  <c r="L1129" i="2" s="1"/>
  <c r="G1129" i="2"/>
  <c r="I1128" i="2"/>
  <c r="L1128" i="2" s="1"/>
  <c r="G1128" i="2"/>
  <c r="I1127" i="2"/>
  <c r="L1127" i="2" s="1"/>
  <c r="G1127" i="2"/>
  <c r="I1126" i="2"/>
  <c r="L1126" i="2" s="1"/>
  <c r="G1126" i="2"/>
  <c r="I1125" i="2"/>
  <c r="L1125" i="2" s="1"/>
  <c r="G1125" i="2"/>
  <c r="I1124" i="2"/>
  <c r="L1124" i="2" s="1"/>
  <c r="G1124" i="2"/>
  <c r="I1123" i="2"/>
  <c r="L1123" i="2" s="1"/>
  <c r="G1123" i="2"/>
  <c r="I1122" i="2"/>
  <c r="L1122" i="2" s="1"/>
  <c r="G1122" i="2"/>
  <c r="I1121" i="2"/>
  <c r="L1121" i="2" s="1"/>
  <c r="G1121" i="2"/>
  <c r="I1120" i="2"/>
  <c r="L1120" i="2" s="1"/>
  <c r="G1120" i="2"/>
  <c r="I1119" i="2"/>
  <c r="L1119" i="2" s="1"/>
  <c r="G1119" i="2"/>
  <c r="I1118" i="2"/>
  <c r="L1118" i="2" s="1"/>
  <c r="G1118" i="2"/>
  <c r="I1117" i="2"/>
  <c r="L1117" i="2" s="1"/>
  <c r="G1117" i="2"/>
  <c r="I1116" i="2"/>
  <c r="L1116" i="2" s="1"/>
  <c r="G1116" i="2"/>
  <c r="I1115" i="2"/>
  <c r="L1115" i="2" s="1"/>
  <c r="G1115" i="2"/>
  <c r="I1114" i="2"/>
  <c r="L1114" i="2" s="1"/>
  <c r="G1114" i="2"/>
  <c r="I1113" i="2"/>
  <c r="L1113" i="2" s="1"/>
  <c r="G1113" i="2"/>
  <c r="I1112" i="2"/>
  <c r="L1112" i="2" s="1"/>
  <c r="G1112" i="2"/>
  <c r="I1111" i="2"/>
  <c r="L1111" i="2" s="1"/>
  <c r="G1111" i="2"/>
  <c r="I1110" i="2"/>
  <c r="L1110" i="2" s="1"/>
  <c r="G1110" i="2"/>
  <c r="I1109" i="2"/>
  <c r="L1109" i="2" s="1"/>
  <c r="G1109" i="2"/>
  <c r="I1108" i="2"/>
  <c r="L1108" i="2" s="1"/>
  <c r="G1108" i="2"/>
  <c r="I1107" i="2"/>
  <c r="L1107" i="2" s="1"/>
  <c r="G1107" i="2"/>
  <c r="I1106" i="2"/>
  <c r="L1106" i="2" s="1"/>
  <c r="G1106" i="2"/>
  <c r="I1105" i="2"/>
  <c r="L1105" i="2" s="1"/>
  <c r="G1105" i="2"/>
  <c r="I1104" i="2"/>
  <c r="L1104" i="2" s="1"/>
  <c r="G1104" i="2"/>
  <c r="I1103" i="2"/>
  <c r="L1103" i="2" s="1"/>
  <c r="G1103" i="2"/>
  <c r="I1102" i="2"/>
  <c r="L1102" i="2" s="1"/>
  <c r="G1102" i="2"/>
  <c r="I1101" i="2"/>
  <c r="L1101" i="2" s="1"/>
  <c r="G1101" i="2"/>
  <c r="I1100" i="2"/>
  <c r="L1100" i="2" s="1"/>
  <c r="G1100" i="2"/>
  <c r="I1099" i="2"/>
  <c r="L1099" i="2" s="1"/>
  <c r="G1099" i="2"/>
  <c r="I1098" i="2"/>
  <c r="L1098" i="2" s="1"/>
  <c r="G1098" i="2"/>
  <c r="I1097" i="2"/>
  <c r="L1097" i="2" s="1"/>
  <c r="G1097" i="2"/>
  <c r="I1096" i="2"/>
  <c r="L1096" i="2" s="1"/>
  <c r="G1096" i="2"/>
  <c r="I1095" i="2"/>
  <c r="L1095" i="2" s="1"/>
  <c r="G1095" i="2"/>
  <c r="I1094" i="2"/>
  <c r="L1094" i="2" s="1"/>
  <c r="G1094" i="2"/>
  <c r="I1093" i="2"/>
  <c r="L1093" i="2" s="1"/>
  <c r="G1093" i="2"/>
  <c r="I1092" i="2"/>
  <c r="L1092" i="2" s="1"/>
  <c r="G1092" i="2"/>
  <c r="I1091" i="2"/>
  <c r="L1091" i="2" s="1"/>
  <c r="G1091" i="2"/>
  <c r="I1090" i="2"/>
  <c r="L1090" i="2" s="1"/>
  <c r="G1090" i="2"/>
  <c r="I1089" i="2"/>
  <c r="L1089" i="2" s="1"/>
  <c r="G1089" i="2"/>
  <c r="I1088" i="2"/>
  <c r="L1088" i="2" s="1"/>
  <c r="G1088" i="2"/>
  <c r="I1087" i="2"/>
  <c r="L1087" i="2" s="1"/>
  <c r="G1087" i="2"/>
  <c r="I1086" i="2"/>
  <c r="L1086" i="2" s="1"/>
  <c r="G1086" i="2"/>
  <c r="I1085" i="2"/>
  <c r="L1085" i="2" s="1"/>
  <c r="G1085" i="2"/>
  <c r="I1084" i="2"/>
  <c r="L1084" i="2" s="1"/>
  <c r="G1084" i="2"/>
  <c r="I1083" i="2"/>
  <c r="L1083" i="2" s="1"/>
  <c r="G1083" i="2"/>
  <c r="I1082" i="2"/>
  <c r="L1082" i="2" s="1"/>
  <c r="G1082" i="2"/>
  <c r="I1081" i="2"/>
  <c r="L1081" i="2" s="1"/>
  <c r="G1081" i="2"/>
  <c r="I1080" i="2"/>
  <c r="L1080" i="2" s="1"/>
  <c r="G1080" i="2"/>
  <c r="I1079" i="2"/>
  <c r="L1079" i="2" s="1"/>
  <c r="G1079" i="2"/>
  <c r="I1078" i="2"/>
  <c r="L1078" i="2" s="1"/>
  <c r="G1078" i="2"/>
  <c r="I1077" i="2"/>
  <c r="L1077" i="2" s="1"/>
  <c r="G1077" i="2"/>
  <c r="I1076" i="2"/>
  <c r="L1076" i="2" s="1"/>
  <c r="G1076" i="2"/>
  <c r="I1075" i="2"/>
  <c r="L1075" i="2" s="1"/>
  <c r="G1075" i="2"/>
  <c r="I1074" i="2"/>
  <c r="L1074" i="2" s="1"/>
  <c r="G1074" i="2"/>
  <c r="I1073" i="2"/>
  <c r="L1073" i="2" s="1"/>
  <c r="G1073" i="2"/>
  <c r="I1072" i="2"/>
  <c r="L1072" i="2" s="1"/>
  <c r="G1072" i="2"/>
  <c r="I1071" i="2"/>
  <c r="L1071" i="2" s="1"/>
  <c r="G1071" i="2"/>
  <c r="I1070" i="2"/>
  <c r="L1070" i="2" s="1"/>
  <c r="G1070" i="2"/>
  <c r="I1069" i="2"/>
  <c r="L1069" i="2" s="1"/>
  <c r="G1069" i="2"/>
  <c r="I1068" i="2"/>
  <c r="L1068" i="2" s="1"/>
  <c r="G1068" i="2"/>
  <c r="I1067" i="2"/>
  <c r="L1067" i="2" s="1"/>
  <c r="G1067" i="2"/>
  <c r="I1066" i="2"/>
  <c r="L1066" i="2" s="1"/>
  <c r="G1066" i="2"/>
  <c r="I1065" i="2"/>
  <c r="L1065" i="2" s="1"/>
  <c r="G1065" i="2"/>
  <c r="I1064" i="2"/>
  <c r="L1064" i="2" s="1"/>
  <c r="G1064" i="2"/>
  <c r="I1063" i="2"/>
  <c r="L1063" i="2" s="1"/>
  <c r="G1063" i="2"/>
  <c r="I1062" i="2"/>
  <c r="L1062" i="2" s="1"/>
  <c r="G1062" i="2"/>
  <c r="I1061" i="2"/>
  <c r="L1061" i="2" s="1"/>
  <c r="G1061" i="2"/>
  <c r="I1060" i="2"/>
  <c r="L1060" i="2" s="1"/>
  <c r="G1060" i="2"/>
  <c r="I1059" i="2"/>
  <c r="L1059" i="2" s="1"/>
  <c r="G1059" i="2"/>
  <c r="I1058" i="2"/>
  <c r="L1058" i="2" s="1"/>
  <c r="G1058" i="2"/>
  <c r="I1057" i="2"/>
  <c r="L1057" i="2" s="1"/>
  <c r="G1057" i="2"/>
  <c r="I1056" i="2"/>
  <c r="L1056" i="2" s="1"/>
  <c r="G1056" i="2"/>
  <c r="I1055" i="2"/>
  <c r="L1055" i="2" s="1"/>
  <c r="G1055" i="2"/>
  <c r="I1054" i="2"/>
  <c r="L1054" i="2" s="1"/>
  <c r="G1054" i="2"/>
  <c r="I1053" i="2"/>
  <c r="L1053" i="2" s="1"/>
  <c r="G1053" i="2"/>
  <c r="I1052" i="2"/>
  <c r="L1052" i="2" s="1"/>
  <c r="G1052" i="2"/>
  <c r="I1051" i="2"/>
  <c r="L1051" i="2" s="1"/>
  <c r="G1051" i="2"/>
  <c r="I1050" i="2"/>
  <c r="L1050" i="2" s="1"/>
  <c r="G1050" i="2"/>
  <c r="I1049" i="2"/>
  <c r="L1049" i="2" s="1"/>
  <c r="G1049" i="2"/>
  <c r="I1048" i="2"/>
  <c r="L1048" i="2" s="1"/>
  <c r="G1048" i="2"/>
  <c r="I1047" i="2"/>
  <c r="L1047" i="2" s="1"/>
  <c r="G1047" i="2"/>
  <c r="I1046" i="2"/>
  <c r="L1046" i="2" s="1"/>
  <c r="G1046" i="2"/>
  <c r="I1045" i="2"/>
  <c r="L1045" i="2" s="1"/>
  <c r="G1045" i="2"/>
  <c r="I1044" i="2"/>
  <c r="L1044" i="2" s="1"/>
  <c r="G1044" i="2"/>
  <c r="I1043" i="2"/>
  <c r="L1043" i="2" s="1"/>
  <c r="G1043" i="2"/>
  <c r="I1042" i="2"/>
  <c r="L1042" i="2" s="1"/>
  <c r="G1042" i="2"/>
  <c r="I1041" i="2"/>
  <c r="L1041" i="2" s="1"/>
  <c r="G1041" i="2"/>
  <c r="I1040" i="2"/>
  <c r="L1040" i="2" s="1"/>
  <c r="G1040" i="2"/>
  <c r="I1039" i="2"/>
  <c r="L1039" i="2" s="1"/>
  <c r="G1039" i="2"/>
  <c r="I1038" i="2"/>
  <c r="L1038" i="2" s="1"/>
  <c r="G1038" i="2"/>
  <c r="I1037" i="2"/>
  <c r="L1037" i="2" s="1"/>
  <c r="G1037" i="2"/>
  <c r="I1036" i="2"/>
  <c r="L1036" i="2" s="1"/>
  <c r="G1036" i="2"/>
  <c r="I1035" i="2"/>
  <c r="L1035" i="2" s="1"/>
  <c r="G1035" i="2"/>
  <c r="I1034" i="2"/>
  <c r="L1034" i="2" s="1"/>
  <c r="G1034" i="2"/>
  <c r="I1033" i="2"/>
  <c r="L1033" i="2" s="1"/>
  <c r="G1033" i="2"/>
  <c r="I1032" i="2"/>
  <c r="L1032" i="2" s="1"/>
  <c r="G1032" i="2"/>
  <c r="I1031" i="2"/>
  <c r="L1031" i="2" s="1"/>
  <c r="G1031" i="2"/>
  <c r="I1030" i="2"/>
  <c r="L1030" i="2" s="1"/>
  <c r="G1030" i="2"/>
  <c r="I1029" i="2"/>
  <c r="L1029" i="2" s="1"/>
  <c r="G1029" i="2"/>
  <c r="I1028" i="2"/>
  <c r="L1028" i="2" s="1"/>
  <c r="G1028" i="2"/>
  <c r="I1027" i="2"/>
  <c r="L1027" i="2" s="1"/>
  <c r="G1027" i="2"/>
  <c r="I1026" i="2"/>
  <c r="L1026" i="2" s="1"/>
  <c r="G1026" i="2"/>
  <c r="I1025" i="2"/>
  <c r="L1025" i="2" s="1"/>
  <c r="G1025" i="2"/>
  <c r="I1024" i="2"/>
  <c r="L1024" i="2" s="1"/>
  <c r="G1024" i="2"/>
  <c r="I1023" i="2"/>
  <c r="L1023" i="2" s="1"/>
  <c r="G1023" i="2"/>
  <c r="I1022" i="2"/>
  <c r="L1022" i="2" s="1"/>
  <c r="G1022" i="2"/>
  <c r="I1021" i="2"/>
  <c r="L1021" i="2" s="1"/>
  <c r="G1021" i="2"/>
  <c r="I1020" i="2"/>
  <c r="L1020" i="2" s="1"/>
  <c r="G1020" i="2"/>
  <c r="I1019" i="2"/>
  <c r="L1019" i="2" s="1"/>
  <c r="G1019" i="2"/>
  <c r="I1018" i="2"/>
  <c r="L1018" i="2" s="1"/>
  <c r="G1018" i="2"/>
  <c r="I1017" i="2"/>
  <c r="L1017" i="2" s="1"/>
  <c r="G1017" i="2"/>
  <c r="I1016" i="2"/>
  <c r="L1016" i="2" s="1"/>
  <c r="G1016" i="2"/>
  <c r="I1015" i="2"/>
  <c r="L1015" i="2" s="1"/>
  <c r="G1015" i="2"/>
  <c r="I1014" i="2"/>
  <c r="L1014" i="2" s="1"/>
  <c r="G1014" i="2"/>
  <c r="I1013" i="2"/>
  <c r="L1013" i="2" s="1"/>
  <c r="G1013" i="2"/>
  <c r="I1012" i="2"/>
  <c r="L1012" i="2" s="1"/>
  <c r="G1012" i="2"/>
  <c r="I1011" i="2"/>
  <c r="L1011" i="2" s="1"/>
  <c r="G1011" i="2"/>
  <c r="I1010" i="2"/>
  <c r="L1010" i="2" s="1"/>
  <c r="G1010" i="2"/>
  <c r="I1009" i="2"/>
  <c r="L1009" i="2" s="1"/>
  <c r="G1009" i="2"/>
  <c r="I1008" i="2"/>
  <c r="L1008" i="2" s="1"/>
  <c r="G1008" i="2"/>
  <c r="I1007" i="2"/>
  <c r="L1007" i="2" s="1"/>
  <c r="G1007" i="2"/>
  <c r="I1006" i="2"/>
  <c r="L1006" i="2" s="1"/>
  <c r="G1006" i="2"/>
  <c r="I1005" i="2"/>
  <c r="L1005" i="2" s="1"/>
  <c r="G1005" i="2"/>
  <c r="I1004" i="2"/>
  <c r="L1004" i="2" s="1"/>
  <c r="G1004" i="2"/>
  <c r="I1003" i="2"/>
  <c r="L1003" i="2" s="1"/>
  <c r="G1003" i="2"/>
  <c r="I1002" i="2"/>
  <c r="L1002" i="2" s="1"/>
  <c r="G1002" i="2"/>
  <c r="I1001" i="2"/>
  <c r="L1001" i="2" s="1"/>
  <c r="G1001" i="2"/>
  <c r="I1000" i="2"/>
  <c r="L1000" i="2" s="1"/>
  <c r="G1000" i="2"/>
  <c r="I999" i="2"/>
  <c r="L999" i="2" s="1"/>
  <c r="G999" i="2"/>
  <c r="I998" i="2"/>
  <c r="L998" i="2" s="1"/>
  <c r="G998" i="2"/>
  <c r="I997" i="2"/>
  <c r="L997" i="2" s="1"/>
  <c r="G997" i="2"/>
  <c r="I996" i="2"/>
  <c r="L996" i="2" s="1"/>
  <c r="G996" i="2"/>
  <c r="I995" i="2"/>
  <c r="L995" i="2" s="1"/>
  <c r="G995" i="2"/>
  <c r="I994" i="2"/>
  <c r="L994" i="2" s="1"/>
  <c r="G994" i="2"/>
  <c r="I993" i="2"/>
  <c r="L993" i="2" s="1"/>
  <c r="G993" i="2"/>
  <c r="I992" i="2"/>
  <c r="L992" i="2" s="1"/>
  <c r="G992" i="2"/>
  <c r="I991" i="2"/>
  <c r="L991" i="2" s="1"/>
  <c r="G991" i="2"/>
  <c r="I990" i="2"/>
  <c r="L990" i="2" s="1"/>
  <c r="G990" i="2"/>
  <c r="I989" i="2"/>
  <c r="L989" i="2" s="1"/>
  <c r="G989" i="2"/>
  <c r="I988" i="2"/>
  <c r="L988" i="2" s="1"/>
  <c r="G988" i="2"/>
  <c r="I987" i="2"/>
  <c r="L987" i="2" s="1"/>
  <c r="G987" i="2"/>
  <c r="I986" i="2"/>
  <c r="L986" i="2" s="1"/>
  <c r="G986" i="2"/>
  <c r="I985" i="2"/>
  <c r="L985" i="2" s="1"/>
  <c r="G985" i="2"/>
  <c r="I984" i="2"/>
  <c r="L984" i="2" s="1"/>
  <c r="G984" i="2"/>
  <c r="I983" i="2"/>
  <c r="L983" i="2" s="1"/>
  <c r="G983" i="2"/>
  <c r="I982" i="2"/>
  <c r="L982" i="2" s="1"/>
  <c r="G982" i="2"/>
  <c r="I981" i="2"/>
  <c r="L981" i="2" s="1"/>
  <c r="G981" i="2"/>
  <c r="I980" i="2"/>
  <c r="L980" i="2" s="1"/>
  <c r="G980" i="2"/>
  <c r="I979" i="2"/>
  <c r="L979" i="2" s="1"/>
  <c r="G979" i="2"/>
  <c r="I978" i="2"/>
  <c r="L978" i="2" s="1"/>
  <c r="G978" i="2"/>
  <c r="I977" i="2"/>
  <c r="L977" i="2" s="1"/>
  <c r="G977" i="2"/>
  <c r="I976" i="2"/>
  <c r="L976" i="2" s="1"/>
  <c r="G976" i="2"/>
  <c r="I975" i="2"/>
  <c r="L975" i="2" s="1"/>
  <c r="G975" i="2"/>
  <c r="I974" i="2"/>
  <c r="L974" i="2" s="1"/>
  <c r="G974" i="2"/>
  <c r="I973" i="2"/>
  <c r="L973" i="2" s="1"/>
  <c r="G973" i="2"/>
  <c r="I972" i="2"/>
  <c r="L972" i="2" s="1"/>
  <c r="G972" i="2"/>
  <c r="I971" i="2"/>
  <c r="L971" i="2" s="1"/>
  <c r="G971" i="2"/>
  <c r="I970" i="2"/>
  <c r="L970" i="2" s="1"/>
  <c r="G970" i="2"/>
  <c r="I969" i="2"/>
  <c r="L969" i="2" s="1"/>
  <c r="G969" i="2"/>
  <c r="I968" i="2"/>
  <c r="L968" i="2" s="1"/>
  <c r="G968" i="2"/>
  <c r="I967" i="2"/>
  <c r="L967" i="2" s="1"/>
  <c r="G967" i="2"/>
  <c r="I966" i="2"/>
  <c r="L966" i="2" s="1"/>
  <c r="G966" i="2"/>
  <c r="I965" i="2"/>
  <c r="L965" i="2" s="1"/>
  <c r="G965" i="2"/>
  <c r="I964" i="2"/>
  <c r="L964" i="2" s="1"/>
  <c r="G964" i="2"/>
  <c r="I963" i="2"/>
  <c r="L963" i="2" s="1"/>
  <c r="G963" i="2"/>
  <c r="I962" i="2"/>
  <c r="L962" i="2" s="1"/>
  <c r="G962" i="2"/>
  <c r="I961" i="2"/>
  <c r="L961" i="2" s="1"/>
  <c r="G961" i="2"/>
  <c r="I960" i="2"/>
  <c r="L960" i="2" s="1"/>
  <c r="G960" i="2"/>
  <c r="I959" i="2"/>
  <c r="L959" i="2" s="1"/>
  <c r="G959" i="2"/>
  <c r="I958" i="2"/>
  <c r="L958" i="2" s="1"/>
  <c r="G958" i="2"/>
  <c r="I957" i="2"/>
  <c r="L957" i="2" s="1"/>
  <c r="G957" i="2"/>
  <c r="I956" i="2"/>
  <c r="L956" i="2" s="1"/>
  <c r="G956" i="2"/>
  <c r="I955" i="2"/>
  <c r="L955" i="2" s="1"/>
  <c r="G955" i="2"/>
  <c r="I954" i="2"/>
  <c r="L954" i="2" s="1"/>
  <c r="G954" i="2"/>
  <c r="I953" i="2"/>
  <c r="L953" i="2" s="1"/>
  <c r="G953" i="2"/>
  <c r="I952" i="2"/>
  <c r="L952" i="2" s="1"/>
  <c r="G952" i="2"/>
  <c r="I951" i="2"/>
  <c r="L951" i="2" s="1"/>
  <c r="G951" i="2"/>
  <c r="I950" i="2"/>
  <c r="L950" i="2" s="1"/>
  <c r="G950" i="2"/>
  <c r="I949" i="2"/>
  <c r="L949" i="2" s="1"/>
  <c r="G949" i="2"/>
  <c r="I948" i="2"/>
  <c r="L948" i="2" s="1"/>
  <c r="G948" i="2"/>
  <c r="I947" i="2"/>
  <c r="L947" i="2" s="1"/>
  <c r="G947" i="2"/>
  <c r="I946" i="2"/>
  <c r="L946" i="2" s="1"/>
  <c r="G946" i="2"/>
  <c r="I945" i="2"/>
  <c r="L945" i="2" s="1"/>
  <c r="G945" i="2"/>
  <c r="I944" i="2"/>
  <c r="L944" i="2" s="1"/>
  <c r="G944" i="2"/>
  <c r="I943" i="2"/>
  <c r="L943" i="2" s="1"/>
  <c r="G943" i="2"/>
  <c r="I942" i="2"/>
  <c r="L942" i="2" s="1"/>
  <c r="G942" i="2"/>
  <c r="I941" i="2"/>
  <c r="L941" i="2" s="1"/>
  <c r="G941" i="2"/>
  <c r="I940" i="2"/>
  <c r="L940" i="2" s="1"/>
  <c r="G940" i="2"/>
  <c r="I939" i="2"/>
  <c r="L939" i="2" s="1"/>
  <c r="G939" i="2"/>
  <c r="I938" i="2"/>
  <c r="L938" i="2" s="1"/>
  <c r="G938" i="2"/>
  <c r="I937" i="2"/>
  <c r="L937" i="2" s="1"/>
  <c r="G937" i="2"/>
  <c r="I936" i="2"/>
  <c r="L936" i="2" s="1"/>
  <c r="G936" i="2"/>
  <c r="I935" i="2"/>
  <c r="L935" i="2" s="1"/>
  <c r="G935" i="2"/>
  <c r="I934" i="2"/>
  <c r="L934" i="2" s="1"/>
  <c r="G934" i="2"/>
  <c r="I933" i="2"/>
  <c r="L933" i="2" s="1"/>
  <c r="G933" i="2"/>
  <c r="I932" i="2"/>
  <c r="L932" i="2" s="1"/>
  <c r="G932" i="2"/>
  <c r="I931" i="2"/>
  <c r="L931" i="2" s="1"/>
  <c r="G931" i="2"/>
  <c r="I930" i="2"/>
  <c r="L930" i="2" s="1"/>
  <c r="G930" i="2"/>
  <c r="I929" i="2"/>
  <c r="L929" i="2" s="1"/>
  <c r="G929" i="2"/>
  <c r="I928" i="2"/>
  <c r="L928" i="2" s="1"/>
  <c r="G928" i="2"/>
  <c r="I927" i="2"/>
  <c r="L927" i="2" s="1"/>
  <c r="G927" i="2"/>
  <c r="I926" i="2"/>
  <c r="L926" i="2" s="1"/>
  <c r="G926" i="2"/>
  <c r="I925" i="2"/>
  <c r="L925" i="2" s="1"/>
  <c r="G925" i="2"/>
  <c r="I924" i="2"/>
  <c r="L924" i="2" s="1"/>
  <c r="G924" i="2"/>
  <c r="I923" i="2"/>
  <c r="L923" i="2" s="1"/>
  <c r="G923" i="2"/>
  <c r="I922" i="2"/>
  <c r="L922" i="2" s="1"/>
  <c r="G922" i="2"/>
  <c r="I921" i="2"/>
  <c r="L921" i="2" s="1"/>
  <c r="G921" i="2"/>
  <c r="I920" i="2"/>
  <c r="L920" i="2" s="1"/>
  <c r="G920" i="2"/>
  <c r="I919" i="2"/>
  <c r="L919" i="2" s="1"/>
  <c r="G919" i="2"/>
  <c r="I918" i="2"/>
  <c r="L918" i="2" s="1"/>
  <c r="G918" i="2"/>
  <c r="I917" i="2"/>
  <c r="L917" i="2" s="1"/>
  <c r="G917" i="2"/>
  <c r="I916" i="2"/>
  <c r="L916" i="2" s="1"/>
  <c r="G916" i="2"/>
  <c r="I915" i="2"/>
  <c r="L915" i="2" s="1"/>
  <c r="G915" i="2"/>
  <c r="I914" i="2"/>
  <c r="L914" i="2" s="1"/>
  <c r="G914" i="2"/>
  <c r="I913" i="2"/>
  <c r="L913" i="2" s="1"/>
  <c r="G913" i="2"/>
  <c r="I912" i="2"/>
  <c r="L912" i="2" s="1"/>
  <c r="G912" i="2"/>
  <c r="I911" i="2"/>
  <c r="L911" i="2" s="1"/>
  <c r="G911" i="2"/>
  <c r="I910" i="2"/>
  <c r="L910" i="2" s="1"/>
  <c r="G910" i="2"/>
  <c r="I909" i="2"/>
  <c r="L909" i="2" s="1"/>
  <c r="G909" i="2"/>
  <c r="I908" i="2"/>
  <c r="L908" i="2" s="1"/>
  <c r="G908" i="2"/>
  <c r="I907" i="2"/>
  <c r="L907" i="2" s="1"/>
  <c r="G907" i="2"/>
  <c r="I906" i="2"/>
  <c r="L906" i="2" s="1"/>
  <c r="G906" i="2"/>
  <c r="I905" i="2"/>
  <c r="L905" i="2" s="1"/>
  <c r="G905" i="2"/>
  <c r="I904" i="2"/>
  <c r="L904" i="2" s="1"/>
  <c r="G904" i="2"/>
  <c r="I903" i="2"/>
  <c r="L903" i="2" s="1"/>
  <c r="G903" i="2"/>
  <c r="I902" i="2"/>
  <c r="L902" i="2" s="1"/>
  <c r="G902" i="2"/>
  <c r="I901" i="2"/>
  <c r="L901" i="2" s="1"/>
  <c r="G901" i="2"/>
  <c r="I900" i="2"/>
  <c r="L900" i="2" s="1"/>
  <c r="G900" i="2"/>
  <c r="I899" i="2"/>
  <c r="L899" i="2" s="1"/>
  <c r="G899" i="2"/>
  <c r="I898" i="2"/>
  <c r="L898" i="2" s="1"/>
  <c r="G898" i="2"/>
  <c r="I897" i="2"/>
  <c r="L897" i="2" s="1"/>
  <c r="G897" i="2"/>
  <c r="I896" i="2"/>
  <c r="L896" i="2" s="1"/>
  <c r="G896" i="2"/>
  <c r="I895" i="2"/>
  <c r="L895" i="2" s="1"/>
  <c r="G895" i="2"/>
  <c r="I894" i="2"/>
  <c r="L894" i="2" s="1"/>
  <c r="G894" i="2"/>
  <c r="I893" i="2"/>
  <c r="L893" i="2" s="1"/>
  <c r="G893" i="2"/>
  <c r="I892" i="2"/>
  <c r="L892" i="2" s="1"/>
  <c r="G892" i="2"/>
  <c r="I891" i="2"/>
  <c r="L891" i="2" s="1"/>
  <c r="G891" i="2"/>
  <c r="I890" i="2"/>
  <c r="L890" i="2" s="1"/>
  <c r="G890" i="2"/>
  <c r="I889" i="2"/>
  <c r="L889" i="2" s="1"/>
  <c r="G889" i="2"/>
  <c r="I888" i="2"/>
  <c r="L888" i="2" s="1"/>
  <c r="G888" i="2"/>
  <c r="I887" i="2"/>
  <c r="L887" i="2" s="1"/>
  <c r="G887" i="2"/>
  <c r="I886" i="2"/>
  <c r="L886" i="2" s="1"/>
  <c r="G886" i="2"/>
  <c r="I885" i="2"/>
  <c r="L885" i="2" s="1"/>
  <c r="G885" i="2"/>
  <c r="I884" i="2"/>
  <c r="L884" i="2" s="1"/>
  <c r="G884" i="2"/>
  <c r="I883" i="2"/>
  <c r="L883" i="2" s="1"/>
  <c r="G883" i="2"/>
  <c r="I882" i="2"/>
  <c r="L882" i="2" s="1"/>
  <c r="G882" i="2"/>
  <c r="I881" i="2"/>
  <c r="L881" i="2" s="1"/>
  <c r="G881" i="2"/>
  <c r="I880" i="2"/>
  <c r="L880" i="2" s="1"/>
  <c r="G880" i="2"/>
  <c r="I879" i="2"/>
  <c r="L879" i="2" s="1"/>
  <c r="G879" i="2"/>
  <c r="I878" i="2"/>
  <c r="L878" i="2" s="1"/>
  <c r="G878" i="2"/>
  <c r="I877" i="2"/>
  <c r="L877" i="2" s="1"/>
  <c r="G877" i="2"/>
  <c r="I876" i="2"/>
  <c r="L876" i="2" s="1"/>
  <c r="G876" i="2"/>
  <c r="I875" i="2"/>
  <c r="L875" i="2" s="1"/>
  <c r="G875" i="2"/>
  <c r="I874" i="2"/>
  <c r="L874" i="2" s="1"/>
  <c r="G874" i="2"/>
  <c r="I873" i="2"/>
  <c r="L873" i="2" s="1"/>
  <c r="G873" i="2"/>
  <c r="I872" i="2"/>
  <c r="L872" i="2" s="1"/>
  <c r="G872" i="2"/>
  <c r="I871" i="2"/>
  <c r="L871" i="2" s="1"/>
  <c r="G871" i="2"/>
  <c r="I870" i="2"/>
  <c r="L870" i="2" s="1"/>
  <c r="G870" i="2"/>
  <c r="I869" i="2"/>
  <c r="L869" i="2" s="1"/>
  <c r="G869" i="2"/>
  <c r="I868" i="2"/>
  <c r="L868" i="2" s="1"/>
  <c r="G868" i="2"/>
  <c r="I867" i="2"/>
  <c r="L867" i="2" s="1"/>
  <c r="G867" i="2"/>
  <c r="I866" i="2"/>
  <c r="L866" i="2" s="1"/>
  <c r="G866" i="2"/>
  <c r="I865" i="2"/>
  <c r="L865" i="2" s="1"/>
  <c r="G865" i="2"/>
  <c r="I864" i="2"/>
  <c r="L864" i="2" s="1"/>
  <c r="G864" i="2"/>
  <c r="I863" i="2"/>
  <c r="L863" i="2" s="1"/>
  <c r="G863" i="2"/>
  <c r="I862" i="2"/>
  <c r="L862" i="2" s="1"/>
  <c r="G862" i="2"/>
  <c r="I861" i="2"/>
  <c r="L861" i="2" s="1"/>
  <c r="G861" i="2"/>
  <c r="I860" i="2"/>
  <c r="L860" i="2" s="1"/>
  <c r="G860" i="2"/>
  <c r="I859" i="2"/>
  <c r="L859" i="2" s="1"/>
  <c r="G859" i="2"/>
  <c r="I858" i="2"/>
  <c r="L858" i="2" s="1"/>
  <c r="G858" i="2"/>
  <c r="I857" i="2"/>
  <c r="L857" i="2" s="1"/>
  <c r="G857" i="2"/>
  <c r="I856" i="2"/>
  <c r="L856" i="2" s="1"/>
  <c r="G856" i="2"/>
  <c r="I855" i="2"/>
  <c r="L855" i="2" s="1"/>
  <c r="G855" i="2"/>
  <c r="I854" i="2"/>
  <c r="L854" i="2" s="1"/>
  <c r="G854" i="2"/>
  <c r="I853" i="2"/>
  <c r="L853" i="2" s="1"/>
  <c r="G853" i="2"/>
  <c r="I852" i="2"/>
  <c r="L852" i="2" s="1"/>
  <c r="G852" i="2"/>
  <c r="I851" i="2"/>
  <c r="L851" i="2" s="1"/>
  <c r="G851" i="2"/>
  <c r="I850" i="2"/>
  <c r="L850" i="2" s="1"/>
  <c r="G850" i="2"/>
  <c r="I849" i="2"/>
  <c r="L849" i="2" s="1"/>
  <c r="G849" i="2"/>
  <c r="I848" i="2"/>
  <c r="L848" i="2" s="1"/>
  <c r="G848" i="2"/>
  <c r="I847" i="2"/>
  <c r="L847" i="2" s="1"/>
  <c r="G847" i="2"/>
  <c r="I846" i="2"/>
  <c r="L846" i="2" s="1"/>
  <c r="G846" i="2"/>
  <c r="I845" i="2"/>
  <c r="L845" i="2" s="1"/>
  <c r="G845" i="2"/>
  <c r="I844" i="2"/>
  <c r="L844" i="2" s="1"/>
  <c r="G844" i="2"/>
  <c r="I843" i="2"/>
  <c r="L843" i="2" s="1"/>
  <c r="G843" i="2"/>
  <c r="I842" i="2"/>
  <c r="L842" i="2" s="1"/>
  <c r="G842" i="2"/>
  <c r="I841" i="2"/>
  <c r="L841" i="2" s="1"/>
  <c r="G841" i="2"/>
  <c r="I840" i="2"/>
  <c r="L840" i="2" s="1"/>
  <c r="G840" i="2"/>
  <c r="I839" i="2"/>
  <c r="L839" i="2" s="1"/>
  <c r="G839" i="2"/>
  <c r="I838" i="2"/>
  <c r="L838" i="2" s="1"/>
  <c r="G838" i="2"/>
  <c r="I837" i="2"/>
  <c r="L837" i="2" s="1"/>
  <c r="G837" i="2"/>
  <c r="I836" i="2"/>
  <c r="L836" i="2" s="1"/>
  <c r="G836" i="2"/>
  <c r="I835" i="2"/>
  <c r="L835" i="2" s="1"/>
  <c r="G835" i="2"/>
  <c r="I834" i="2"/>
  <c r="L834" i="2" s="1"/>
  <c r="G834" i="2"/>
  <c r="I833" i="2"/>
  <c r="L833" i="2" s="1"/>
  <c r="G833" i="2"/>
  <c r="I832" i="2"/>
  <c r="L832" i="2" s="1"/>
  <c r="G832" i="2"/>
  <c r="I831" i="2"/>
  <c r="L831" i="2" s="1"/>
  <c r="G831" i="2"/>
  <c r="I830" i="2"/>
  <c r="L830" i="2" s="1"/>
  <c r="G830" i="2"/>
  <c r="I829" i="2"/>
  <c r="L829" i="2" s="1"/>
  <c r="G829" i="2"/>
  <c r="I828" i="2"/>
  <c r="L828" i="2" s="1"/>
  <c r="G828" i="2"/>
  <c r="I827" i="2"/>
  <c r="L827" i="2" s="1"/>
  <c r="G827" i="2"/>
  <c r="I826" i="2"/>
  <c r="L826" i="2" s="1"/>
  <c r="G826" i="2"/>
  <c r="I825" i="2"/>
  <c r="L825" i="2" s="1"/>
  <c r="G825" i="2"/>
  <c r="I824" i="2"/>
  <c r="L824" i="2" s="1"/>
  <c r="G824" i="2"/>
  <c r="I823" i="2"/>
  <c r="L823" i="2" s="1"/>
  <c r="G823" i="2"/>
  <c r="I822" i="2"/>
  <c r="L822" i="2" s="1"/>
  <c r="G822" i="2"/>
  <c r="I821" i="2"/>
  <c r="L821" i="2" s="1"/>
  <c r="G821" i="2"/>
  <c r="I820" i="2"/>
  <c r="L820" i="2" s="1"/>
  <c r="G820" i="2"/>
  <c r="I819" i="2"/>
  <c r="L819" i="2" s="1"/>
  <c r="G819" i="2"/>
  <c r="I818" i="2"/>
  <c r="L818" i="2" s="1"/>
  <c r="G818" i="2"/>
  <c r="I817" i="2"/>
  <c r="L817" i="2" s="1"/>
  <c r="G817" i="2"/>
  <c r="I816" i="2"/>
  <c r="L816" i="2" s="1"/>
  <c r="G816" i="2"/>
  <c r="I815" i="2"/>
  <c r="L815" i="2" s="1"/>
  <c r="G815" i="2"/>
  <c r="I814" i="2"/>
  <c r="L814" i="2" s="1"/>
  <c r="G814" i="2"/>
  <c r="I813" i="2"/>
  <c r="L813" i="2" s="1"/>
  <c r="G813" i="2"/>
  <c r="I812" i="2"/>
  <c r="L812" i="2" s="1"/>
  <c r="G812" i="2"/>
  <c r="I811" i="2"/>
  <c r="L811" i="2" s="1"/>
  <c r="G811" i="2"/>
  <c r="I810" i="2"/>
  <c r="L810" i="2" s="1"/>
  <c r="G810" i="2"/>
  <c r="I809" i="2"/>
  <c r="L809" i="2" s="1"/>
  <c r="G809" i="2"/>
  <c r="I808" i="2"/>
  <c r="L808" i="2" s="1"/>
  <c r="G808" i="2"/>
  <c r="I807" i="2"/>
  <c r="L807" i="2" s="1"/>
  <c r="G807" i="2"/>
  <c r="I806" i="2"/>
  <c r="L806" i="2" s="1"/>
  <c r="G806" i="2"/>
  <c r="I805" i="2"/>
  <c r="L805" i="2" s="1"/>
  <c r="G805" i="2"/>
  <c r="I804" i="2"/>
  <c r="L804" i="2" s="1"/>
  <c r="G804" i="2"/>
  <c r="I803" i="2"/>
  <c r="L803" i="2" s="1"/>
  <c r="G803" i="2"/>
  <c r="I802" i="2"/>
  <c r="L802" i="2" s="1"/>
  <c r="G802" i="2"/>
  <c r="I801" i="2"/>
  <c r="L801" i="2" s="1"/>
  <c r="G801" i="2"/>
  <c r="I800" i="2"/>
  <c r="L800" i="2" s="1"/>
  <c r="G800" i="2"/>
  <c r="I799" i="2"/>
  <c r="L799" i="2" s="1"/>
  <c r="G799" i="2"/>
  <c r="I798" i="2"/>
  <c r="L798" i="2" s="1"/>
  <c r="G798" i="2"/>
  <c r="I797" i="2"/>
  <c r="L797" i="2" s="1"/>
  <c r="G797" i="2"/>
  <c r="I796" i="2"/>
  <c r="L796" i="2" s="1"/>
  <c r="G796" i="2"/>
  <c r="I795" i="2"/>
  <c r="L795" i="2" s="1"/>
  <c r="G795" i="2"/>
  <c r="I794" i="2"/>
  <c r="L794" i="2" s="1"/>
  <c r="G794" i="2"/>
  <c r="I793" i="2"/>
  <c r="L793" i="2" s="1"/>
  <c r="G793" i="2"/>
  <c r="I792" i="2"/>
  <c r="L792" i="2" s="1"/>
  <c r="G792" i="2"/>
  <c r="I791" i="2"/>
  <c r="L791" i="2" s="1"/>
  <c r="G791" i="2"/>
  <c r="I790" i="2"/>
  <c r="L790" i="2" s="1"/>
  <c r="G790" i="2"/>
  <c r="I789" i="2"/>
  <c r="L789" i="2" s="1"/>
  <c r="G789" i="2"/>
  <c r="I788" i="2"/>
  <c r="L788" i="2" s="1"/>
  <c r="G788" i="2"/>
  <c r="I787" i="2"/>
  <c r="L787" i="2" s="1"/>
  <c r="G787" i="2"/>
  <c r="I786" i="2"/>
  <c r="L786" i="2" s="1"/>
  <c r="G786" i="2"/>
  <c r="I785" i="2"/>
  <c r="L785" i="2" s="1"/>
  <c r="G785" i="2"/>
  <c r="I784" i="2"/>
  <c r="L784" i="2" s="1"/>
  <c r="G784" i="2"/>
  <c r="I783" i="2"/>
  <c r="L783" i="2" s="1"/>
  <c r="G783" i="2"/>
  <c r="I782" i="2"/>
  <c r="L782" i="2" s="1"/>
  <c r="G782" i="2"/>
  <c r="I781" i="2"/>
  <c r="L781" i="2" s="1"/>
  <c r="G781" i="2"/>
  <c r="I780" i="2"/>
  <c r="L780" i="2" s="1"/>
  <c r="G780" i="2"/>
  <c r="I779" i="2"/>
  <c r="L779" i="2" s="1"/>
  <c r="G779" i="2"/>
  <c r="I778" i="2"/>
  <c r="L778" i="2" s="1"/>
  <c r="G778" i="2"/>
  <c r="I777" i="2"/>
  <c r="L777" i="2" s="1"/>
  <c r="G777" i="2"/>
  <c r="I776" i="2"/>
  <c r="L776" i="2" s="1"/>
  <c r="G776" i="2"/>
  <c r="I775" i="2"/>
  <c r="L775" i="2" s="1"/>
  <c r="G775" i="2"/>
  <c r="I774" i="2"/>
  <c r="L774" i="2" s="1"/>
  <c r="G774" i="2"/>
  <c r="I773" i="2"/>
  <c r="L773" i="2" s="1"/>
  <c r="G773" i="2"/>
  <c r="I772" i="2"/>
  <c r="L772" i="2" s="1"/>
  <c r="G772" i="2"/>
  <c r="I771" i="2"/>
  <c r="L771" i="2" s="1"/>
  <c r="G771" i="2"/>
  <c r="I770" i="2"/>
  <c r="L770" i="2" s="1"/>
  <c r="G770" i="2"/>
  <c r="I769" i="2"/>
  <c r="L769" i="2" s="1"/>
  <c r="G769" i="2"/>
  <c r="I768" i="2"/>
  <c r="L768" i="2" s="1"/>
  <c r="G768" i="2"/>
  <c r="I767" i="2"/>
  <c r="L767" i="2" s="1"/>
  <c r="G767" i="2"/>
  <c r="I766" i="2"/>
  <c r="L766" i="2" s="1"/>
  <c r="G766" i="2"/>
  <c r="I765" i="2"/>
  <c r="L765" i="2" s="1"/>
  <c r="G765" i="2"/>
  <c r="I764" i="2"/>
  <c r="L764" i="2" s="1"/>
  <c r="G764" i="2"/>
  <c r="I763" i="2"/>
  <c r="L763" i="2" s="1"/>
  <c r="G763" i="2"/>
  <c r="I762" i="2"/>
  <c r="L762" i="2" s="1"/>
  <c r="G762" i="2"/>
  <c r="I761" i="2"/>
  <c r="L761" i="2" s="1"/>
  <c r="G761" i="2"/>
  <c r="I760" i="2"/>
  <c r="L760" i="2" s="1"/>
  <c r="G760" i="2"/>
  <c r="I759" i="2"/>
  <c r="L759" i="2" s="1"/>
  <c r="G759" i="2"/>
  <c r="I758" i="2"/>
  <c r="L758" i="2" s="1"/>
  <c r="G758" i="2"/>
  <c r="I757" i="2"/>
  <c r="L757" i="2" s="1"/>
  <c r="G757" i="2"/>
  <c r="I756" i="2"/>
  <c r="L756" i="2" s="1"/>
  <c r="G756" i="2"/>
  <c r="I755" i="2"/>
  <c r="L755" i="2" s="1"/>
  <c r="G755" i="2"/>
  <c r="I754" i="2"/>
  <c r="L754" i="2" s="1"/>
  <c r="G754" i="2"/>
  <c r="I753" i="2"/>
  <c r="L753" i="2" s="1"/>
  <c r="G753" i="2"/>
  <c r="I752" i="2"/>
  <c r="L752" i="2" s="1"/>
  <c r="G752" i="2"/>
  <c r="I751" i="2"/>
  <c r="L751" i="2" s="1"/>
  <c r="G751" i="2"/>
  <c r="I750" i="2"/>
  <c r="L750" i="2" s="1"/>
  <c r="G750" i="2"/>
  <c r="I749" i="2"/>
  <c r="L749" i="2" s="1"/>
  <c r="G749" i="2"/>
  <c r="I748" i="2"/>
  <c r="L748" i="2" s="1"/>
  <c r="G748" i="2"/>
  <c r="I747" i="2"/>
  <c r="L747" i="2" s="1"/>
  <c r="G747" i="2"/>
  <c r="I746" i="2"/>
  <c r="L746" i="2" s="1"/>
  <c r="G746" i="2"/>
  <c r="I745" i="2"/>
  <c r="L745" i="2" s="1"/>
  <c r="G745" i="2"/>
  <c r="I744" i="2"/>
  <c r="L744" i="2" s="1"/>
  <c r="G744" i="2"/>
  <c r="I743" i="2"/>
  <c r="L743" i="2" s="1"/>
  <c r="G743" i="2"/>
  <c r="I742" i="2"/>
  <c r="L742" i="2" s="1"/>
  <c r="G742" i="2"/>
  <c r="I741" i="2"/>
  <c r="L741" i="2" s="1"/>
  <c r="G741" i="2"/>
  <c r="I740" i="2"/>
  <c r="L740" i="2" s="1"/>
  <c r="G740" i="2"/>
  <c r="I739" i="2"/>
  <c r="L739" i="2" s="1"/>
  <c r="G739" i="2"/>
  <c r="I738" i="2"/>
  <c r="L738" i="2" s="1"/>
  <c r="G738" i="2"/>
  <c r="I737" i="2"/>
  <c r="L737" i="2" s="1"/>
  <c r="G737" i="2"/>
  <c r="I736" i="2"/>
  <c r="L736" i="2" s="1"/>
  <c r="G736" i="2"/>
  <c r="I735" i="2"/>
  <c r="L735" i="2" s="1"/>
  <c r="G735" i="2"/>
  <c r="I734" i="2"/>
  <c r="L734" i="2" s="1"/>
  <c r="G734" i="2"/>
  <c r="I733" i="2"/>
  <c r="L733" i="2" s="1"/>
  <c r="G733" i="2"/>
  <c r="I732" i="2"/>
  <c r="L732" i="2" s="1"/>
  <c r="G732" i="2"/>
  <c r="I731" i="2"/>
  <c r="L731" i="2" s="1"/>
  <c r="G731" i="2"/>
  <c r="I730" i="2"/>
  <c r="L730" i="2" s="1"/>
  <c r="G730" i="2"/>
  <c r="I729" i="2"/>
  <c r="L729" i="2" s="1"/>
  <c r="G729" i="2"/>
  <c r="I728" i="2"/>
  <c r="L728" i="2" s="1"/>
  <c r="G728" i="2"/>
  <c r="I727" i="2"/>
  <c r="L727" i="2" s="1"/>
  <c r="G727" i="2"/>
  <c r="I726" i="2"/>
  <c r="L726" i="2" s="1"/>
  <c r="G726" i="2"/>
  <c r="I725" i="2"/>
  <c r="L725" i="2" s="1"/>
  <c r="G725" i="2"/>
  <c r="I724" i="2"/>
  <c r="L724" i="2" s="1"/>
  <c r="G724" i="2"/>
  <c r="I723" i="2"/>
  <c r="L723" i="2" s="1"/>
  <c r="G723" i="2"/>
  <c r="I722" i="2"/>
  <c r="L722" i="2" s="1"/>
  <c r="G722" i="2"/>
  <c r="I721" i="2"/>
  <c r="L721" i="2" s="1"/>
  <c r="G721" i="2"/>
  <c r="I720" i="2"/>
  <c r="L720" i="2" s="1"/>
  <c r="G720" i="2"/>
  <c r="I719" i="2"/>
  <c r="L719" i="2" s="1"/>
  <c r="G719" i="2"/>
  <c r="I718" i="2"/>
  <c r="L718" i="2" s="1"/>
  <c r="G718" i="2"/>
  <c r="I717" i="2"/>
  <c r="L717" i="2" s="1"/>
  <c r="G717" i="2"/>
  <c r="I716" i="2"/>
  <c r="L716" i="2" s="1"/>
  <c r="G716" i="2"/>
  <c r="I715" i="2"/>
  <c r="L715" i="2" s="1"/>
  <c r="G715" i="2"/>
  <c r="I714" i="2"/>
  <c r="L714" i="2" s="1"/>
  <c r="G714" i="2"/>
  <c r="I713" i="2"/>
  <c r="L713" i="2" s="1"/>
  <c r="G713" i="2"/>
  <c r="I712" i="2"/>
  <c r="L712" i="2" s="1"/>
  <c r="G712" i="2"/>
  <c r="I711" i="2"/>
  <c r="L711" i="2" s="1"/>
  <c r="G711" i="2"/>
  <c r="I710" i="2"/>
  <c r="L710" i="2" s="1"/>
  <c r="G710" i="2"/>
  <c r="I709" i="2"/>
  <c r="L709" i="2" s="1"/>
  <c r="G709" i="2"/>
  <c r="I708" i="2"/>
  <c r="L708" i="2" s="1"/>
  <c r="G708" i="2"/>
  <c r="I707" i="2"/>
  <c r="L707" i="2" s="1"/>
  <c r="G707" i="2"/>
  <c r="I706" i="2"/>
  <c r="L706" i="2" s="1"/>
  <c r="G706" i="2"/>
  <c r="I705" i="2"/>
  <c r="L705" i="2" s="1"/>
  <c r="G705" i="2"/>
  <c r="I704" i="2"/>
  <c r="L704" i="2" s="1"/>
  <c r="G704" i="2"/>
  <c r="I703" i="2"/>
  <c r="L703" i="2" s="1"/>
  <c r="G703" i="2"/>
  <c r="I702" i="2"/>
  <c r="L702" i="2" s="1"/>
  <c r="G702" i="2"/>
  <c r="I701" i="2"/>
  <c r="L701" i="2" s="1"/>
  <c r="G701" i="2"/>
  <c r="I700" i="2"/>
  <c r="L700" i="2" s="1"/>
  <c r="G700" i="2"/>
  <c r="I699" i="2"/>
  <c r="L699" i="2" s="1"/>
  <c r="G699" i="2"/>
  <c r="I698" i="2"/>
  <c r="L698" i="2" s="1"/>
  <c r="G698" i="2"/>
  <c r="I697" i="2"/>
  <c r="L697" i="2" s="1"/>
  <c r="G697" i="2"/>
  <c r="I696" i="2"/>
  <c r="L696" i="2" s="1"/>
  <c r="G696" i="2"/>
  <c r="I695" i="2"/>
  <c r="L695" i="2" s="1"/>
  <c r="G695" i="2"/>
  <c r="I694" i="2"/>
  <c r="L694" i="2" s="1"/>
  <c r="G694" i="2"/>
  <c r="I693" i="2"/>
  <c r="L693" i="2" s="1"/>
  <c r="G693" i="2"/>
  <c r="I692" i="2"/>
  <c r="L692" i="2" s="1"/>
  <c r="G692" i="2"/>
  <c r="I691" i="2"/>
  <c r="L691" i="2" s="1"/>
  <c r="G691" i="2"/>
  <c r="I690" i="2"/>
  <c r="L690" i="2" s="1"/>
  <c r="G690" i="2"/>
  <c r="I689" i="2"/>
  <c r="L689" i="2" s="1"/>
  <c r="G689" i="2"/>
  <c r="I688" i="2"/>
  <c r="L688" i="2" s="1"/>
  <c r="G688" i="2"/>
  <c r="I687" i="2"/>
  <c r="L687" i="2" s="1"/>
  <c r="G687" i="2"/>
  <c r="I686" i="2"/>
  <c r="L686" i="2" s="1"/>
  <c r="G686" i="2"/>
  <c r="I685" i="2"/>
  <c r="L685" i="2" s="1"/>
  <c r="G685" i="2"/>
  <c r="I684" i="2"/>
  <c r="L684" i="2" s="1"/>
  <c r="G684" i="2"/>
  <c r="I683" i="2"/>
  <c r="L683" i="2" s="1"/>
  <c r="G683" i="2"/>
  <c r="I682" i="2"/>
  <c r="L682" i="2" s="1"/>
  <c r="G682" i="2"/>
  <c r="I681" i="2"/>
  <c r="L681" i="2" s="1"/>
  <c r="G681" i="2"/>
  <c r="I680" i="2"/>
  <c r="L680" i="2" s="1"/>
  <c r="G680" i="2"/>
  <c r="I679" i="2"/>
  <c r="L679" i="2" s="1"/>
  <c r="G679" i="2"/>
  <c r="I678" i="2"/>
  <c r="L678" i="2" s="1"/>
  <c r="G678" i="2"/>
  <c r="I677" i="2"/>
  <c r="L677" i="2" s="1"/>
  <c r="G677" i="2"/>
  <c r="I676" i="2"/>
  <c r="L676" i="2" s="1"/>
  <c r="G676" i="2"/>
  <c r="I675" i="2"/>
  <c r="L675" i="2" s="1"/>
  <c r="G675" i="2"/>
  <c r="I674" i="2"/>
  <c r="L674" i="2" s="1"/>
  <c r="G674" i="2"/>
  <c r="I673" i="2"/>
  <c r="L673" i="2" s="1"/>
  <c r="G673" i="2"/>
  <c r="I672" i="2"/>
  <c r="L672" i="2" s="1"/>
  <c r="G672" i="2"/>
  <c r="I671" i="2"/>
  <c r="L671" i="2" s="1"/>
  <c r="G671" i="2"/>
  <c r="I670" i="2"/>
  <c r="L670" i="2" s="1"/>
  <c r="G670" i="2"/>
  <c r="I669" i="2"/>
  <c r="L669" i="2" s="1"/>
  <c r="G669" i="2"/>
  <c r="I668" i="2"/>
  <c r="L668" i="2" s="1"/>
  <c r="G668" i="2"/>
  <c r="I667" i="2"/>
  <c r="L667" i="2" s="1"/>
  <c r="G667" i="2"/>
  <c r="I666" i="2"/>
  <c r="L666" i="2" s="1"/>
  <c r="G666" i="2"/>
  <c r="I665" i="2"/>
  <c r="L665" i="2" s="1"/>
  <c r="G665" i="2"/>
  <c r="I664" i="2"/>
  <c r="L664" i="2" s="1"/>
  <c r="G664" i="2"/>
  <c r="I663" i="2"/>
  <c r="L663" i="2" s="1"/>
  <c r="G663" i="2"/>
  <c r="I662" i="2"/>
  <c r="L662" i="2" s="1"/>
  <c r="G662" i="2"/>
  <c r="I661" i="2"/>
  <c r="L661" i="2" s="1"/>
  <c r="G661" i="2"/>
  <c r="I660" i="2"/>
  <c r="L660" i="2" s="1"/>
  <c r="G660" i="2"/>
  <c r="I659" i="2"/>
  <c r="L659" i="2" s="1"/>
  <c r="G659" i="2"/>
  <c r="I658" i="2"/>
  <c r="L658" i="2" s="1"/>
  <c r="G658" i="2"/>
  <c r="I657" i="2"/>
  <c r="L657" i="2" s="1"/>
  <c r="G657" i="2"/>
  <c r="I656" i="2"/>
  <c r="L656" i="2" s="1"/>
  <c r="G656" i="2"/>
  <c r="I655" i="2"/>
  <c r="L655" i="2" s="1"/>
  <c r="G655" i="2"/>
  <c r="I654" i="2"/>
  <c r="L654" i="2" s="1"/>
  <c r="G654" i="2"/>
  <c r="I653" i="2"/>
  <c r="L653" i="2" s="1"/>
  <c r="G653" i="2"/>
  <c r="I652" i="2"/>
  <c r="L652" i="2" s="1"/>
  <c r="G652" i="2"/>
  <c r="I651" i="2"/>
  <c r="L651" i="2" s="1"/>
  <c r="G651" i="2"/>
  <c r="I650" i="2"/>
  <c r="L650" i="2" s="1"/>
  <c r="G650" i="2"/>
  <c r="I649" i="2"/>
  <c r="L649" i="2" s="1"/>
  <c r="G649" i="2"/>
  <c r="I648" i="2"/>
  <c r="L648" i="2" s="1"/>
  <c r="G648" i="2"/>
  <c r="I647" i="2"/>
  <c r="L647" i="2" s="1"/>
  <c r="G647" i="2"/>
  <c r="I646" i="2"/>
  <c r="L646" i="2" s="1"/>
  <c r="G646" i="2"/>
  <c r="I645" i="2"/>
  <c r="L645" i="2" s="1"/>
  <c r="G645" i="2"/>
  <c r="I644" i="2"/>
  <c r="L644" i="2" s="1"/>
  <c r="G644" i="2"/>
  <c r="I643" i="2"/>
  <c r="L643" i="2" s="1"/>
  <c r="G643" i="2"/>
  <c r="I642" i="2"/>
  <c r="L642" i="2" s="1"/>
  <c r="G642" i="2"/>
  <c r="I641" i="2"/>
  <c r="L641" i="2" s="1"/>
  <c r="G641" i="2"/>
  <c r="I640" i="2"/>
  <c r="L640" i="2" s="1"/>
  <c r="G640" i="2"/>
  <c r="I639" i="2"/>
  <c r="L639" i="2" s="1"/>
  <c r="G639" i="2"/>
  <c r="I638" i="2"/>
  <c r="L638" i="2" s="1"/>
  <c r="G638" i="2"/>
  <c r="I637" i="2"/>
  <c r="L637" i="2" s="1"/>
  <c r="G637" i="2"/>
  <c r="I636" i="2"/>
  <c r="L636" i="2" s="1"/>
  <c r="G636" i="2"/>
  <c r="I635" i="2"/>
  <c r="L635" i="2" s="1"/>
  <c r="G635" i="2"/>
  <c r="I634" i="2"/>
  <c r="L634" i="2" s="1"/>
  <c r="G634" i="2"/>
  <c r="I633" i="2"/>
  <c r="L633" i="2" s="1"/>
  <c r="G633" i="2"/>
  <c r="I632" i="2"/>
  <c r="L632" i="2" s="1"/>
  <c r="G632" i="2"/>
  <c r="I631" i="2"/>
  <c r="L631" i="2" s="1"/>
  <c r="G631" i="2"/>
  <c r="I630" i="2"/>
  <c r="L630" i="2" s="1"/>
  <c r="G630" i="2"/>
  <c r="I629" i="2"/>
  <c r="L629" i="2" s="1"/>
  <c r="G629" i="2"/>
  <c r="I628" i="2"/>
  <c r="L628" i="2" s="1"/>
  <c r="G628" i="2"/>
  <c r="I627" i="2"/>
  <c r="L627" i="2" s="1"/>
  <c r="G627" i="2"/>
  <c r="I626" i="2"/>
  <c r="L626" i="2" s="1"/>
  <c r="G626" i="2"/>
  <c r="I625" i="2"/>
  <c r="L625" i="2" s="1"/>
  <c r="G625" i="2"/>
  <c r="I624" i="2"/>
  <c r="L624" i="2" s="1"/>
  <c r="G624" i="2"/>
  <c r="I623" i="2"/>
  <c r="L623" i="2" s="1"/>
  <c r="G623" i="2"/>
  <c r="I622" i="2"/>
  <c r="L622" i="2" s="1"/>
  <c r="G622" i="2"/>
  <c r="I621" i="2"/>
  <c r="L621" i="2" s="1"/>
  <c r="G621" i="2"/>
  <c r="I620" i="2"/>
  <c r="L620" i="2" s="1"/>
  <c r="G620" i="2"/>
  <c r="I619" i="2"/>
  <c r="L619" i="2" s="1"/>
  <c r="G619" i="2"/>
  <c r="I618" i="2"/>
  <c r="L618" i="2" s="1"/>
  <c r="G618" i="2"/>
  <c r="I617" i="2"/>
  <c r="L617" i="2" s="1"/>
  <c r="G617" i="2"/>
  <c r="I616" i="2"/>
  <c r="L616" i="2" s="1"/>
  <c r="G616" i="2"/>
  <c r="I615" i="2"/>
  <c r="L615" i="2" s="1"/>
  <c r="G615" i="2"/>
  <c r="I614" i="2"/>
  <c r="L614" i="2" s="1"/>
  <c r="G614" i="2"/>
  <c r="I613" i="2"/>
  <c r="L613" i="2" s="1"/>
  <c r="G613" i="2"/>
  <c r="I612" i="2"/>
  <c r="L612" i="2" s="1"/>
  <c r="G612" i="2"/>
  <c r="I611" i="2"/>
  <c r="L611" i="2" s="1"/>
  <c r="G611" i="2"/>
  <c r="I610" i="2"/>
  <c r="L610" i="2" s="1"/>
  <c r="G610" i="2"/>
  <c r="I609" i="2"/>
  <c r="L609" i="2" s="1"/>
  <c r="G609" i="2"/>
  <c r="I608" i="2"/>
  <c r="L608" i="2" s="1"/>
  <c r="G608" i="2"/>
  <c r="I607" i="2"/>
  <c r="L607" i="2" s="1"/>
  <c r="G607" i="2"/>
  <c r="I606" i="2"/>
  <c r="L606" i="2" s="1"/>
  <c r="G606" i="2"/>
  <c r="I605" i="2"/>
  <c r="L605" i="2" s="1"/>
  <c r="G605" i="2"/>
  <c r="I604" i="2"/>
  <c r="L604" i="2" s="1"/>
  <c r="G604" i="2"/>
  <c r="I603" i="2"/>
  <c r="L603" i="2" s="1"/>
  <c r="G603" i="2"/>
  <c r="I602" i="2"/>
  <c r="L602" i="2" s="1"/>
  <c r="G602" i="2"/>
  <c r="I601" i="2"/>
  <c r="L601" i="2" s="1"/>
  <c r="G601" i="2"/>
  <c r="I600" i="2"/>
  <c r="L600" i="2" s="1"/>
  <c r="G600" i="2"/>
  <c r="I599" i="2"/>
  <c r="L599" i="2" s="1"/>
  <c r="G599" i="2"/>
  <c r="I598" i="2"/>
  <c r="L598" i="2" s="1"/>
  <c r="G598" i="2"/>
  <c r="I597" i="2"/>
  <c r="L597" i="2" s="1"/>
  <c r="G597" i="2"/>
  <c r="I596" i="2"/>
  <c r="L596" i="2" s="1"/>
  <c r="G596" i="2"/>
  <c r="I595" i="2"/>
  <c r="L595" i="2" s="1"/>
  <c r="G595" i="2"/>
  <c r="I594" i="2"/>
  <c r="L594" i="2" s="1"/>
  <c r="G594" i="2"/>
  <c r="I593" i="2"/>
  <c r="L593" i="2" s="1"/>
  <c r="G593" i="2"/>
  <c r="I592" i="2"/>
  <c r="L592" i="2" s="1"/>
  <c r="G592" i="2"/>
  <c r="I591" i="2"/>
  <c r="L591" i="2" s="1"/>
  <c r="G591" i="2"/>
  <c r="I590" i="2"/>
  <c r="L590" i="2" s="1"/>
  <c r="G590" i="2"/>
  <c r="I589" i="2"/>
  <c r="L589" i="2" s="1"/>
  <c r="G589" i="2"/>
  <c r="I588" i="2"/>
  <c r="L588" i="2" s="1"/>
  <c r="G588" i="2"/>
  <c r="I587" i="2"/>
  <c r="L587" i="2" s="1"/>
  <c r="G587" i="2"/>
  <c r="I586" i="2"/>
  <c r="L586" i="2" s="1"/>
  <c r="G586" i="2"/>
  <c r="I585" i="2"/>
  <c r="L585" i="2" s="1"/>
  <c r="G585" i="2"/>
  <c r="I584" i="2"/>
  <c r="L584" i="2" s="1"/>
  <c r="G584" i="2"/>
  <c r="I583" i="2"/>
  <c r="L583" i="2" s="1"/>
  <c r="G583" i="2"/>
  <c r="I582" i="2"/>
  <c r="L582" i="2" s="1"/>
  <c r="G582" i="2"/>
  <c r="I581" i="2"/>
  <c r="L581" i="2" s="1"/>
  <c r="G581" i="2"/>
  <c r="I580" i="2"/>
  <c r="L580" i="2" s="1"/>
  <c r="G580" i="2"/>
  <c r="I579" i="2"/>
  <c r="L579" i="2" s="1"/>
  <c r="G579" i="2"/>
  <c r="I578" i="2"/>
  <c r="L578" i="2" s="1"/>
  <c r="G578" i="2"/>
  <c r="I577" i="2"/>
  <c r="L577" i="2" s="1"/>
  <c r="G577" i="2"/>
  <c r="I576" i="2"/>
  <c r="L576" i="2" s="1"/>
  <c r="G576" i="2"/>
  <c r="I575" i="2"/>
  <c r="L575" i="2" s="1"/>
  <c r="G575" i="2"/>
  <c r="I574" i="2"/>
  <c r="L574" i="2" s="1"/>
  <c r="G574" i="2"/>
  <c r="I573" i="2"/>
  <c r="L573" i="2" s="1"/>
  <c r="G573" i="2"/>
  <c r="I572" i="2"/>
  <c r="L572" i="2" s="1"/>
  <c r="G572" i="2"/>
  <c r="I571" i="2"/>
  <c r="L571" i="2" s="1"/>
  <c r="G571" i="2"/>
  <c r="I570" i="2"/>
  <c r="L570" i="2" s="1"/>
  <c r="G570" i="2"/>
  <c r="I569" i="2"/>
  <c r="L569" i="2" s="1"/>
  <c r="G569" i="2"/>
  <c r="I568" i="2"/>
  <c r="L568" i="2" s="1"/>
  <c r="G568" i="2"/>
  <c r="I567" i="2"/>
  <c r="L567" i="2" s="1"/>
  <c r="G567" i="2"/>
  <c r="I566" i="2"/>
  <c r="L566" i="2" s="1"/>
  <c r="G566" i="2"/>
  <c r="I565" i="2"/>
  <c r="L565" i="2" s="1"/>
  <c r="G565" i="2"/>
  <c r="I564" i="2"/>
  <c r="L564" i="2" s="1"/>
  <c r="G564" i="2"/>
  <c r="I563" i="2"/>
  <c r="L563" i="2" s="1"/>
  <c r="G563" i="2"/>
  <c r="I562" i="2"/>
  <c r="L562" i="2" s="1"/>
  <c r="G562" i="2"/>
  <c r="I561" i="2"/>
  <c r="L561" i="2" s="1"/>
  <c r="G561" i="2"/>
  <c r="I560" i="2"/>
  <c r="L560" i="2" s="1"/>
  <c r="G560" i="2"/>
  <c r="I559" i="2"/>
  <c r="L559" i="2" s="1"/>
  <c r="G559" i="2"/>
  <c r="I558" i="2"/>
  <c r="L558" i="2" s="1"/>
  <c r="G558" i="2"/>
  <c r="I557" i="2"/>
  <c r="L557" i="2" s="1"/>
  <c r="G557" i="2"/>
  <c r="I556" i="2"/>
  <c r="L556" i="2" s="1"/>
  <c r="G556" i="2"/>
  <c r="I555" i="2"/>
  <c r="L555" i="2" s="1"/>
  <c r="G555" i="2"/>
  <c r="I554" i="2"/>
  <c r="L554" i="2" s="1"/>
  <c r="G554" i="2"/>
  <c r="I553" i="2"/>
  <c r="L553" i="2" s="1"/>
  <c r="G553" i="2"/>
  <c r="I552" i="2"/>
  <c r="L552" i="2" s="1"/>
  <c r="G552" i="2"/>
  <c r="I551" i="2"/>
  <c r="L551" i="2" s="1"/>
  <c r="G551" i="2"/>
  <c r="I550" i="2"/>
  <c r="L550" i="2" s="1"/>
  <c r="G550" i="2"/>
  <c r="I549" i="2"/>
  <c r="L549" i="2" s="1"/>
  <c r="G549" i="2"/>
  <c r="I548" i="2"/>
  <c r="L548" i="2" s="1"/>
  <c r="G548" i="2"/>
  <c r="I547" i="2"/>
  <c r="L547" i="2" s="1"/>
  <c r="G547" i="2"/>
  <c r="I546" i="2"/>
  <c r="L546" i="2" s="1"/>
  <c r="G546" i="2"/>
  <c r="I545" i="2"/>
  <c r="L545" i="2" s="1"/>
  <c r="G545" i="2"/>
  <c r="I544" i="2"/>
  <c r="L544" i="2" s="1"/>
  <c r="G544" i="2"/>
  <c r="I543" i="2"/>
  <c r="L543" i="2" s="1"/>
  <c r="G543" i="2"/>
  <c r="I542" i="2"/>
  <c r="L542" i="2" s="1"/>
  <c r="G542" i="2"/>
  <c r="I541" i="2"/>
  <c r="L541" i="2" s="1"/>
  <c r="G541" i="2"/>
  <c r="I540" i="2"/>
  <c r="L540" i="2" s="1"/>
  <c r="G540" i="2"/>
  <c r="I539" i="2"/>
  <c r="L539" i="2" s="1"/>
  <c r="G539" i="2"/>
  <c r="I538" i="2"/>
  <c r="L538" i="2" s="1"/>
  <c r="G538" i="2"/>
  <c r="I537" i="2"/>
  <c r="L537" i="2" s="1"/>
  <c r="G537" i="2"/>
  <c r="I536" i="2"/>
  <c r="L536" i="2" s="1"/>
  <c r="G536" i="2"/>
  <c r="I535" i="2"/>
  <c r="L535" i="2" s="1"/>
  <c r="G535" i="2"/>
  <c r="I534" i="2"/>
  <c r="L534" i="2" s="1"/>
  <c r="G534" i="2"/>
  <c r="I533" i="2"/>
  <c r="L533" i="2" s="1"/>
  <c r="G533" i="2"/>
  <c r="I532" i="2"/>
  <c r="L532" i="2" s="1"/>
  <c r="G532" i="2"/>
  <c r="I531" i="2"/>
  <c r="L531" i="2" s="1"/>
  <c r="G531" i="2"/>
  <c r="I530" i="2"/>
  <c r="L530" i="2" s="1"/>
  <c r="G530" i="2"/>
  <c r="I529" i="2"/>
  <c r="L529" i="2" s="1"/>
  <c r="G529" i="2"/>
  <c r="I528" i="2"/>
  <c r="L528" i="2" s="1"/>
  <c r="G528" i="2"/>
  <c r="I527" i="2"/>
  <c r="L527" i="2" s="1"/>
  <c r="G527" i="2"/>
  <c r="I526" i="2"/>
  <c r="L526" i="2" s="1"/>
  <c r="G526" i="2"/>
  <c r="I525" i="2"/>
  <c r="L525" i="2" s="1"/>
  <c r="G525" i="2"/>
  <c r="I524" i="2"/>
  <c r="L524" i="2" s="1"/>
  <c r="G524" i="2"/>
  <c r="I523" i="2"/>
  <c r="L523" i="2" s="1"/>
  <c r="G523" i="2"/>
  <c r="I522" i="2"/>
  <c r="L522" i="2" s="1"/>
  <c r="G522" i="2"/>
  <c r="I521" i="2"/>
  <c r="L521" i="2" s="1"/>
  <c r="G521" i="2"/>
  <c r="I520" i="2"/>
  <c r="L520" i="2" s="1"/>
  <c r="G520" i="2"/>
  <c r="I519" i="2"/>
  <c r="L519" i="2" s="1"/>
  <c r="G519" i="2"/>
  <c r="I518" i="2"/>
  <c r="L518" i="2" s="1"/>
  <c r="G518" i="2"/>
  <c r="I517" i="2"/>
  <c r="L517" i="2" s="1"/>
  <c r="G517" i="2"/>
  <c r="I516" i="2"/>
  <c r="L516" i="2" s="1"/>
  <c r="G516" i="2"/>
  <c r="I515" i="2"/>
  <c r="L515" i="2" s="1"/>
  <c r="G515" i="2"/>
  <c r="I514" i="2"/>
  <c r="L514" i="2" s="1"/>
  <c r="G514" i="2"/>
  <c r="I513" i="2"/>
  <c r="L513" i="2" s="1"/>
  <c r="G513" i="2"/>
  <c r="I512" i="2"/>
  <c r="L512" i="2" s="1"/>
  <c r="G512" i="2"/>
  <c r="I511" i="2"/>
  <c r="L511" i="2" s="1"/>
  <c r="G511" i="2"/>
  <c r="I510" i="2"/>
  <c r="L510" i="2" s="1"/>
  <c r="G510" i="2"/>
  <c r="I509" i="2"/>
  <c r="L509" i="2" s="1"/>
  <c r="G509" i="2"/>
  <c r="I508" i="2"/>
  <c r="L508" i="2" s="1"/>
  <c r="G508" i="2"/>
  <c r="I507" i="2"/>
  <c r="L507" i="2" s="1"/>
  <c r="G507" i="2"/>
  <c r="I506" i="2"/>
  <c r="L506" i="2" s="1"/>
  <c r="G506" i="2"/>
  <c r="I505" i="2"/>
  <c r="L505" i="2" s="1"/>
  <c r="G505" i="2"/>
  <c r="I504" i="2"/>
  <c r="L504" i="2" s="1"/>
  <c r="G504" i="2"/>
  <c r="I503" i="2"/>
  <c r="L503" i="2" s="1"/>
  <c r="G503" i="2"/>
  <c r="I502" i="2"/>
  <c r="L502" i="2" s="1"/>
  <c r="G502" i="2"/>
  <c r="I501" i="2"/>
  <c r="L501" i="2" s="1"/>
  <c r="G501" i="2"/>
  <c r="I500" i="2"/>
  <c r="L500" i="2" s="1"/>
  <c r="G500" i="2"/>
  <c r="I499" i="2"/>
  <c r="L499" i="2" s="1"/>
  <c r="G499" i="2"/>
  <c r="I498" i="2"/>
  <c r="L498" i="2" s="1"/>
  <c r="G498" i="2"/>
  <c r="I497" i="2"/>
  <c r="L497" i="2" s="1"/>
  <c r="G497" i="2"/>
  <c r="I496" i="2"/>
  <c r="L496" i="2" s="1"/>
  <c r="G496" i="2"/>
  <c r="I495" i="2"/>
  <c r="L495" i="2" s="1"/>
  <c r="G495" i="2"/>
  <c r="I494" i="2"/>
  <c r="L494" i="2" s="1"/>
  <c r="G494" i="2"/>
  <c r="I493" i="2"/>
  <c r="L493" i="2" s="1"/>
  <c r="G493" i="2"/>
  <c r="I492" i="2"/>
  <c r="L492" i="2" s="1"/>
  <c r="G492" i="2"/>
  <c r="I491" i="2"/>
  <c r="L491" i="2" s="1"/>
  <c r="G491" i="2"/>
  <c r="I490" i="2"/>
  <c r="L490" i="2" s="1"/>
  <c r="G490" i="2"/>
  <c r="I489" i="2"/>
  <c r="L489" i="2" s="1"/>
  <c r="G489" i="2"/>
  <c r="I488" i="2"/>
  <c r="L488" i="2" s="1"/>
  <c r="G488" i="2"/>
  <c r="I487" i="2"/>
  <c r="L487" i="2" s="1"/>
  <c r="G487" i="2"/>
  <c r="I486" i="2"/>
  <c r="L486" i="2" s="1"/>
  <c r="G486" i="2"/>
  <c r="I485" i="2"/>
  <c r="L485" i="2" s="1"/>
  <c r="G485" i="2"/>
  <c r="I484" i="2"/>
  <c r="L484" i="2" s="1"/>
  <c r="G484" i="2"/>
  <c r="I483" i="2"/>
  <c r="L483" i="2" s="1"/>
  <c r="G483" i="2"/>
  <c r="I482" i="2"/>
  <c r="L482" i="2" s="1"/>
  <c r="G482" i="2"/>
  <c r="I481" i="2"/>
  <c r="L481" i="2" s="1"/>
  <c r="G481" i="2"/>
  <c r="I480" i="2"/>
  <c r="L480" i="2" s="1"/>
  <c r="G480" i="2"/>
  <c r="I479" i="2"/>
  <c r="L479" i="2" s="1"/>
  <c r="G479" i="2"/>
  <c r="I478" i="2"/>
  <c r="L478" i="2" s="1"/>
  <c r="G478" i="2"/>
  <c r="I477" i="2"/>
  <c r="L477" i="2" s="1"/>
  <c r="G477" i="2"/>
  <c r="I476" i="2"/>
  <c r="L476" i="2" s="1"/>
  <c r="G476" i="2"/>
  <c r="I475" i="2"/>
  <c r="L475" i="2" s="1"/>
  <c r="G475" i="2"/>
  <c r="I474" i="2"/>
  <c r="L474" i="2" s="1"/>
  <c r="G474" i="2"/>
  <c r="I473" i="2"/>
  <c r="L473" i="2" s="1"/>
  <c r="G473" i="2"/>
  <c r="I472" i="2"/>
  <c r="L472" i="2" s="1"/>
  <c r="G472" i="2"/>
  <c r="I471" i="2"/>
  <c r="L471" i="2" s="1"/>
  <c r="G471" i="2"/>
  <c r="I470" i="2"/>
  <c r="L470" i="2" s="1"/>
  <c r="G470" i="2"/>
  <c r="I469" i="2"/>
  <c r="L469" i="2" s="1"/>
  <c r="G469" i="2"/>
  <c r="I468" i="2"/>
  <c r="L468" i="2" s="1"/>
  <c r="G468" i="2"/>
  <c r="I467" i="2"/>
  <c r="L467" i="2" s="1"/>
  <c r="G467" i="2"/>
  <c r="I466" i="2"/>
  <c r="L466" i="2" s="1"/>
  <c r="G466" i="2"/>
  <c r="I465" i="2"/>
  <c r="L465" i="2" s="1"/>
  <c r="G465" i="2"/>
  <c r="I464" i="2"/>
  <c r="L464" i="2" s="1"/>
  <c r="G464" i="2"/>
  <c r="L463" i="2"/>
  <c r="L462" i="2"/>
  <c r="L461" i="2"/>
  <c r="L460" i="2"/>
  <c r="L459" i="2"/>
  <c r="G459" i="2"/>
  <c r="L458" i="2"/>
  <c r="G458" i="2"/>
  <c r="I457" i="2"/>
  <c r="L457" i="2" s="1"/>
  <c r="G457" i="2"/>
  <c r="I456" i="2"/>
  <c r="L456" i="2" s="1"/>
  <c r="G456" i="2"/>
  <c r="I455" i="2"/>
  <c r="L455" i="2" s="1"/>
  <c r="G455" i="2"/>
  <c r="I454" i="2"/>
  <c r="L454" i="2" s="1"/>
  <c r="G454" i="2"/>
  <c r="I453" i="2"/>
  <c r="L453" i="2" s="1"/>
  <c r="G453" i="2"/>
  <c r="I452" i="2"/>
  <c r="L452" i="2" s="1"/>
  <c r="G452" i="2"/>
  <c r="I451" i="2"/>
  <c r="L451" i="2" s="1"/>
  <c r="G451" i="2"/>
  <c r="I450" i="2"/>
  <c r="L450" i="2" s="1"/>
  <c r="G450" i="2"/>
  <c r="F449" i="2"/>
  <c r="I449" i="2" s="1"/>
  <c r="L449" i="2" s="1"/>
  <c r="F448" i="2"/>
  <c r="G448" i="2" s="1"/>
  <c r="F447" i="2"/>
  <c r="I447" i="2" s="1"/>
  <c r="L447" i="2" s="1"/>
  <c r="I446" i="2"/>
  <c r="L446" i="2" s="1"/>
  <c r="G446" i="2"/>
  <c r="I445" i="2"/>
  <c r="L445" i="2" s="1"/>
  <c r="G445" i="2"/>
  <c r="I444" i="2"/>
  <c r="L444" i="2" s="1"/>
  <c r="G444" i="2"/>
  <c r="I443" i="2"/>
  <c r="L443" i="2" s="1"/>
  <c r="G443" i="2"/>
  <c r="I442" i="2"/>
  <c r="L442" i="2" s="1"/>
  <c r="G442" i="2"/>
  <c r="I441" i="2"/>
  <c r="L441" i="2" s="1"/>
  <c r="G441" i="2"/>
  <c r="I440" i="2"/>
  <c r="L440" i="2" s="1"/>
  <c r="G440" i="2"/>
  <c r="I439" i="2"/>
  <c r="L439" i="2" s="1"/>
  <c r="G439" i="2"/>
  <c r="I438" i="2"/>
  <c r="L438" i="2" s="1"/>
  <c r="G438" i="2"/>
  <c r="I437" i="2"/>
  <c r="L437" i="2" s="1"/>
  <c r="G437" i="2"/>
  <c r="I436" i="2"/>
  <c r="L436" i="2" s="1"/>
  <c r="G436" i="2"/>
  <c r="I435" i="2"/>
  <c r="L435" i="2" s="1"/>
  <c r="G435" i="2"/>
  <c r="I434" i="2"/>
  <c r="L434" i="2" s="1"/>
  <c r="G434" i="2"/>
  <c r="I433" i="2"/>
  <c r="L433" i="2" s="1"/>
  <c r="G433" i="2"/>
  <c r="I432" i="2"/>
  <c r="L432" i="2" s="1"/>
  <c r="G432" i="2"/>
  <c r="I431" i="2"/>
  <c r="L431" i="2" s="1"/>
  <c r="G431" i="2"/>
  <c r="I430" i="2"/>
  <c r="L430" i="2" s="1"/>
  <c r="G430" i="2"/>
  <c r="I429" i="2"/>
  <c r="L429" i="2" s="1"/>
  <c r="G429" i="2"/>
  <c r="I428" i="2"/>
  <c r="L428" i="2" s="1"/>
  <c r="G428" i="2"/>
  <c r="I427" i="2"/>
  <c r="L427" i="2" s="1"/>
  <c r="G427" i="2"/>
  <c r="I426" i="2"/>
  <c r="L426" i="2" s="1"/>
  <c r="G426" i="2"/>
  <c r="I425" i="2"/>
  <c r="L425" i="2" s="1"/>
  <c r="G425" i="2"/>
  <c r="I424" i="2"/>
  <c r="L424" i="2" s="1"/>
  <c r="G424" i="2"/>
  <c r="I423" i="2"/>
  <c r="L423" i="2" s="1"/>
  <c r="G423" i="2"/>
  <c r="I422" i="2"/>
  <c r="L422" i="2" s="1"/>
  <c r="G422" i="2"/>
  <c r="I421" i="2"/>
  <c r="L421" i="2" s="1"/>
  <c r="G421" i="2"/>
  <c r="I420" i="2"/>
  <c r="L420" i="2" s="1"/>
  <c r="G420" i="2"/>
  <c r="I417" i="2"/>
  <c r="L417" i="2" s="1"/>
  <c r="G417" i="2"/>
  <c r="I416" i="2"/>
  <c r="L416" i="2" s="1"/>
  <c r="G416" i="2"/>
  <c r="I415" i="2"/>
  <c r="L415" i="2" s="1"/>
  <c r="G415" i="2"/>
  <c r="I414" i="2"/>
  <c r="L414" i="2" s="1"/>
  <c r="G414" i="2"/>
  <c r="F413" i="2"/>
  <c r="I413" i="2" s="1"/>
  <c r="L413" i="2" s="1"/>
  <c r="F412" i="2"/>
  <c r="G412" i="2" s="1"/>
  <c r="F411" i="2"/>
  <c r="G411" i="2" s="1"/>
  <c r="I410" i="2"/>
  <c r="L410" i="2" s="1"/>
  <c r="G410" i="2"/>
  <c r="I409" i="2"/>
  <c r="L409" i="2" s="1"/>
  <c r="G409" i="2"/>
  <c r="I408" i="2"/>
  <c r="L408" i="2" s="1"/>
  <c r="G408" i="2"/>
  <c r="I407" i="2"/>
  <c r="L407" i="2" s="1"/>
  <c r="G407" i="2"/>
  <c r="I406" i="2"/>
  <c r="L406" i="2" s="1"/>
  <c r="G406" i="2"/>
  <c r="I405" i="2"/>
  <c r="L405" i="2" s="1"/>
  <c r="G405" i="2"/>
  <c r="I404" i="2"/>
  <c r="L404" i="2" s="1"/>
  <c r="G404" i="2"/>
  <c r="I403" i="2"/>
  <c r="L403" i="2" s="1"/>
  <c r="G403" i="2"/>
  <c r="I402" i="2"/>
  <c r="L402" i="2" s="1"/>
  <c r="G402" i="2"/>
  <c r="I401" i="2"/>
  <c r="L401" i="2" s="1"/>
  <c r="G401" i="2"/>
  <c r="I400" i="2"/>
  <c r="L400" i="2" s="1"/>
  <c r="G400" i="2"/>
  <c r="I399" i="2"/>
  <c r="L399" i="2" s="1"/>
  <c r="G399" i="2"/>
  <c r="I398" i="2"/>
  <c r="L398" i="2" s="1"/>
  <c r="G398" i="2"/>
  <c r="I397" i="2"/>
  <c r="L397" i="2" s="1"/>
  <c r="G397" i="2"/>
  <c r="I396" i="2"/>
  <c r="L396" i="2" s="1"/>
  <c r="G396" i="2"/>
  <c r="I395" i="2"/>
  <c r="L395" i="2" s="1"/>
  <c r="G395" i="2"/>
  <c r="I394" i="2"/>
  <c r="L394" i="2" s="1"/>
  <c r="G394" i="2"/>
  <c r="I393" i="2"/>
  <c r="L393" i="2" s="1"/>
  <c r="G393" i="2"/>
  <c r="I392" i="2"/>
  <c r="L392" i="2" s="1"/>
  <c r="G392" i="2"/>
  <c r="I391" i="2"/>
  <c r="L391" i="2" s="1"/>
  <c r="G391" i="2"/>
  <c r="I390" i="2"/>
  <c r="L390" i="2" s="1"/>
  <c r="G390" i="2"/>
  <c r="I389" i="2"/>
  <c r="L389" i="2" s="1"/>
  <c r="G389" i="2"/>
  <c r="I388" i="2"/>
  <c r="L388" i="2" s="1"/>
  <c r="G388" i="2"/>
  <c r="I387" i="2"/>
  <c r="L387" i="2" s="1"/>
  <c r="G387" i="2"/>
  <c r="I386" i="2"/>
  <c r="L386" i="2" s="1"/>
  <c r="G386" i="2"/>
  <c r="I385" i="2"/>
  <c r="L385" i="2" s="1"/>
  <c r="G385" i="2"/>
  <c r="I380" i="2"/>
  <c r="L380" i="2" s="1"/>
  <c r="I375" i="2"/>
  <c r="L375" i="2" s="1"/>
  <c r="G375" i="2"/>
  <c r="I374" i="2"/>
  <c r="L374" i="2" s="1"/>
  <c r="G374" i="2"/>
  <c r="I373" i="2"/>
  <c r="L373" i="2" s="1"/>
  <c r="G373" i="2"/>
  <c r="I372" i="2"/>
  <c r="L372" i="2" s="1"/>
  <c r="G372" i="2"/>
  <c r="F348" i="2"/>
  <c r="G348" i="2" s="1"/>
  <c r="F347" i="2"/>
  <c r="G347" i="2" s="1"/>
  <c r="F346" i="2"/>
  <c r="I346" i="2" s="1"/>
  <c r="L346" i="2" s="1"/>
  <c r="F345" i="2"/>
  <c r="G345" i="2" s="1"/>
  <c r="I344" i="2"/>
  <c r="L344" i="2" s="1"/>
  <c r="G344" i="2"/>
  <c r="F343" i="2"/>
  <c r="I343" i="2" s="1"/>
  <c r="L343" i="2" s="1"/>
  <c r="F342" i="2"/>
  <c r="G342" i="2" s="1"/>
  <c r="F341" i="2"/>
  <c r="I341" i="2" s="1"/>
  <c r="L341" i="2" s="1"/>
  <c r="F340" i="2"/>
  <c r="G340" i="2" s="1"/>
  <c r="F339" i="2"/>
  <c r="I339" i="2" s="1"/>
  <c r="L339" i="2" s="1"/>
  <c r="F338" i="2"/>
  <c r="I338" i="2" s="1"/>
  <c r="L338" i="2" s="1"/>
  <c r="F337" i="2"/>
  <c r="I337" i="2" s="1"/>
  <c r="L337" i="2" s="1"/>
  <c r="F336" i="2"/>
  <c r="G336" i="2" s="1"/>
  <c r="F335" i="2"/>
  <c r="I335" i="2" s="1"/>
  <c r="L335" i="2" s="1"/>
  <c r="F334" i="2"/>
  <c r="G334" i="2" s="1"/>
  <c r="F333" i="2"/>
  <c r="I333" i="2" s="1"/>
  <c r="L333" i="2" s="1"/>
  <c r="I332" i="2"/>
  <c r="L332" i="2" s="1"/>
  <c r="G332" i="2"/>
  <c r="F331" i="2"/>
  <c r="I331" i="2" s="1"/>
  <c r="L331" i="2" s="1"/>
  <c r="F330" i="2"/>
  <c r="I330" i="2" s="1"/>
  <c r="L330" i="2" s="1"/>
  <c r="F329" i="2"/>
  <c r="G329" i="2" s="1"/>
  <c r="F328" i="2"/>
  <c r="I328" i="2" s="1"/>
  <c r="L328" i="2" s="1"/>
  <c r="F327" i="2"/>
  <c r="I327" i="2" s="1"/>
  <c r="L327" i="2" s="1"/>
  <c r="I326" i="2"/>
  <c r="L326" i="2" s="1"/>
  <c r="G326" i="2"/>
  <c r="I325" i="2"/>
  <c r="L325" i="2" s="1"/>
  <c r="G325" i="2"/>
  <c r="F324" i="2"/>
  <c r="I324" i="2" s="1"/>
  <c r="L324" i="2" s="1"/>
  <c r="I323" i="2"/>
  <c r="L323" i="2" s="1"/>
  <c r="G323" i="2"/>
  <c r="F322" i="2"/>
  <c r="G322" i="2" s="1"/>
  <c r="I321" i="2"/>
  <c r="L321" i="2" s="1"/>
  <c r="G321" i="2"/>
  <c r="I315" i="2"/>
  <c r="L315" i="2" s="1"/>
  <c r="G315" i="2"/>
  <c r="I309" i="2"/>
  <c r="L309" i="2" s="1"/>
  <c r="G309" i="2"/>
  <c r="I308" i="2"/>
  <c r="L308" i="2" s="1"/>
  <c r="I307" i="2"/>
  <c r="L307" i="2" s="1"/>
  <c r="L306" i="2"/>
  <c r="L305" i="2"/>
  <c r="L304" i="2"/>
  <c r="L303" i="2"/>
  <c r="L302" i="2"/>
  <c r="G302" i="2"/>
  <c r="L301" i="2"/>
  <c r="G301" i="2"/>
  <c r="I300" i="2"/>
  <c r="L300" i="2" s="1"/>
  <c r="G300" i="2"/>
  <c r="I299" i="2"/>
  <c r="L299" i="2" s="1"/>
  <c r="G299" i="2"/>
  <c r="I298" i="2"/>
  <c r="L298" i="2" s="1"/>
  <c r="G298" i="2"/>
  <c r="I297" i="2"/>
  <c r="L297" i="2" s="1"/>
  <c r="G297" i="2"/>
  <c r="I296" i="2"/>
  <c r="L296" i="2" s="1"/>
  <c r="G296" i="2"/>
  <c r="I295" i="2"/>
  <c r="L295" i="2" s="1"/>
  <c r="G295" i="2"/>
  <c r="I294" i="2"/>
  <c r="L294" i="2" s="1"/>
  <c r="G294" i="2"/>
  <c r="I293" i="2"/>
  <c r="L293" i="2" s="1"/>
  <c r="G293" i="2"/>
  <c r="I292" i="2"/>
  <c r="L292" i="2" s="1"/>
  <c r="G292" i="2"/>
  <c r="I291" i="2"/>
  <c r="L291" i="2" s="1"/>
  <c r="G291" i="2"/>
  <c r="I290" i="2"/>
  <c r="L290" i="2" s="1"/>
  <c r="G290" i="2"/>
  <c r="I289" i="2"/>
  <c r="L289" i="2" s="1"/>
  <c r="G289" i="2"/>
  <c r="I288" i="2"/>
  <c r="L288" i="2" s="1"/>
  <c r="G288" i="2"/>
  <c r="I287" i="2"/>
  <c r="L287" i="2" s="1"/>
  <c r="G287" i="2"/>
  <c r="I286" i="2"/>
  <c r="L286" i="2" s="1"/>
  <c r="G286" i="2"/>
  <c r="I285" i="2"/>
  <c r="L285" i="2" s="1"/>
  <c r="G285" i="2"/>
  <c r="I284" i="2"/>
  <c r="L284" i="2" s="1"/>
  <c r="G284" i="2"/>
  <c r="I283" i="2"/>
  <c r="L283" i="2" s="1"/>
  <c r="G283" i="2"/>
  <c r="I282" i="2"/>
  <c r="L282" i="2" s="1"/>
  <c r="G282" i="2"/>
  <c r="I281" i="2"/>
  <c r="L281" i="2" s="1"/>
  <c r="G281" i="2"/>
  <c r="I280" i="2"/>
  <c r="L280" i="2" s="1"/>
  <c r="G280" i="2"/>
  <c r="I279" i="2"/>
  <c r="L279" i="2" s="1"/>
  <c r="G279" i="2"/>
  <c r="I278" i="2"/>
  <c r="L278" i="2" s="1"/>
  <c r="G278" i="2"/>
  <c r="I277" i="2"/>
  <c r="L277" i="2" s="1"/>
  <c r="G277" i="2"/>
  <c r="I276" i="2"/>
  <c r="L276" i="2" s="1"/>
  <c r="G276" i="2"/>
  <c r="I275" i="2"/>
  <c r="L275" i="2" s="1"/>
  <c r="G275" i="2"/>
  <c r="I274" i="2"/>
  <c r="L274" i="2" s="1"/>
  <c r="G274" i="2"/>
  <c r="I273" i="2"/>
  <c r="L273" i="2" s="1"/>
  <c r="G273" i="2"/>
  <c r="I272" i="2"/>
  <c r="L272" i="2" s="1"/>
  <c r="G272" i="2"/>
  <c r="I271" i="2"/>
  <c r="L271" i="2" s="1"/>
  <c r="G271" i="2"/>
  <c r="I270" i="2"/>
  <c r="L270" i="2" s="1"/>
  <c r="G270" i="2"/>
  <c r="I269" i="2"/>
  <c r="L269" i="2" s="1"/>
  <c r="G269" i="2"/>
  <c r="I268" i="2"/>
  <c r="L268" i="2" s="1"/>
  <c r="G268" i="2"/>
  <c r="I267" i="2"/>
  <c r="L267" i="2" s="1"/>
  <c r="G267" i="2"/>
  <c r="I266" i="2"/>
  <c r="L266" i="2" s="1"/>
  <c r="G266" i="2"/>
  <c r="I265" i="2"/>
  <c r="L265" i="2" s="1"/>
  <c r="G265" i="2"/>
  <c r="I264" i="2"/>
  <c r="L264" i="2" s="1"/>
  <c r="G264" i="2"/>
  <c r="I263" i="2"/>
  <c r="L263" i="2" s="1"/>
  <c r="G263" i="2"/>
  <c r="I262" i="2"/>
  <c r="L262" i="2" s="1"/>
  <c r="G262" i="2"/>
  <c r="I261" i="2"/>
  <c r="L261" i="2" s="1"/>
  <c r="G261" i="2"/>
  <c r="I260" i="2"/>
  <c r="L260" i="2" s="1"/>
  <c r="G260" i="2"/>
  <c r="I259" i="2"/>
  <c r="L259" i="2" s="1"/>
  <c r="G259" i="2"/>
  <c r="I258" i="2"/>
  <c r="L258" i="2" s="1"/>
  <c r="G258" i="2"/>
  <c r="I257" i="2"/>
  <c r="L257" i="2" s="1"/>
  <c r="G257" i="2"/>
  <c r="I256" i="2"/>
  <c r="L256" i="2" s="1"/>
  <c r="G256" i="2"/>
  <c r="L255" i="2"/>
  <c r="G255" i="2"/>
  <c r="I254" i="2"/>
  <c r="L254" i="2" s="1"/>
  <c r="G254" i="2"/>
  <c r="I253" i="2"/>
  <c r="L253" i="2" s="1"/>
  <c r="G253" i="2"/>
  <c r="I252" i="2"/>
  <c r="L252" i="2" s="1"/>
  <c r="G252" i="2"/>
  <c r="I251" i="2"/>
  <c r="L251" i="2" s="1"/>
  <c r="G251" i="2"/>
  <c r="I250" i="2"/>
  <c r="L250" i="2" s="1"/>
  <c r="G250" i="2"/>
  <c r="I249" i="2"/>
  <c r="L249" i="2" s="1"/>
  <c r="G249" i="2"/>
  <c r="I248" i="2"/>
  <c r="L248" i="2" s="1"/>
  <c r="G248" i="2"/>
  <c r="I247" i="2"/>
  <c r="L247" i="2" s="1"/>
  <c r="I246" i="2"/>
  <c r="L246" i="2" s="1"/>
  <c r="I245" i="2"/>
  <c r="L245" i="2" s="1"/>
  <c r="I244" i="2"/>
  <c r="L244" i="2" s="1"/>
  <c r="G244" i="2"/>
  <c r="G243" i="2"/>
  <c r="I243" i="2" s="1"/>
  <c r="L243" i="2" s="1"/>
  <c r="G242" i="2"/>
  <c r="I242" i="2" s="1"/>
  <c r="L242" i="2" s="1"/>
  <c r="G241" i="2"/>
  <c r="I241" i="2" s="1"/>
  <c r="L241" i="2" s="1"/>
  <c r="G240" i="2"/>
  <c r="I240" i="2" s="1"/>
  <c r="L240" i="2" s="1"/>
  <c r="G239" i="2"/>
  <c r="I239" i="2" s="1"/>
  <c r="L239" i="2" s="1"/>
  <c r="G238" i="2"/>
  <c r="I238" i="2" s="1"/>
  <c r="L238" i="2" s="1"/>
  <c r="G237" i="2"/>
  <c r="I237" i="2" s="1"/>
  <c r="L237" i="2" s="1"/>
  <c r="I236" i="2"/>
  <c r="L236" i="2" s="1"/>
  <c r="G236" i="2"/>
  <c r="I235" i="2"/>
  <c r="L235" i="2" s="1"/>
  <c r="G235" i="2"/>
  <c r="I234" i="2"/>
  <c r="L234" i="2" s="1"/>
  <c r="G234" i="2"/>
  <c r="I233" i="2"/>
  <c r="L233" i="2" s="1"/>
  <c r="G233" i="2"/>
  <c r="I232" i="2"/>
  <c r="L232" i="2" s="1"/>
  <c r="G232" i="2"/>
  <c r="I231" i="2"/>
  <c r="L231" i="2" s="1"/>
  <c r="G231" i="2"/>
  <c r="I230" i="2"/>
  <c r="L230" i="2" s="1"/>
  <c r="G230" i="2"/>
  <c r="I229" i="2"/>
  <c r="L229" i="2" s="1"/>
  <c r="G229" i="2"/>
  <c r="I228" i="2"/>
  <c r="L228" i="2" s="1"/>
  <c r="G228" i="2"/>
  <c r="I227" i="2"/>
  <c r="L227" i="2" s="1"/>
  <c r="G227" i="2"/>
  <c r="I226" i="2"/>
  <c r="L226" i="2" s="1"/>
  <c r="G226" i="2"/>
  <c r="I225" i="2"/>
  <c r="L225" i="2" s="1"/>
  <c r="G225" i="2"/>
  <c r="I224" i="2"/>
  <c r="L224" i="2" s="1"/>
  <c r="G224" i="2"/>
  <c r="I223" i="2"/>
  <c r="L223" i="2" s="1"/>
  <c r="G223" i="2"/>
  <c r="I222" i="2"/>
  <c r="L222" i="2" s="1"/>
  <c r="G222" i="2"/>
  <c r="I221" i="2"/>
  <c r="L221" i="2" s="1"/>
  <c r="G221" i="2"/>
  <c r="I220" i="2"/>
  <c r="L220" i="2" s="1"/>
  <c r="G220" i="2"/>
  <c r="I219" i="2"/>
  <c r="L219" i="2" s="1"/>
  <c r="G219" i="2"/>
  <c r="I218" i="2"/>
  <c r="L218" i="2" s="1"/>
  <c r="G218" i="2"/>
  <c r="I217" i="2"/>
  <c r="L217" i="2" s="1"/>
  <c r="G217" i="2"/>
  <c r="I216" i="2"/>
  <c r="L216" i="2" s="1"/>
  <c r="G216" i="2"/>
  <c r="I215" i="2"/>
  <c r="L215" i="2" s="1"/>
  <c r="G215" i="2"/>
  <c r="I214" i="2"/>
  <c r="L214" i="2" s="1"/>
  <c r="G214" i="2"/>
  <c r="I213" i="2"/>
  <c r="L213" i="2" s="1"/>
  <c r="G213" i="2"/>
  <c r="I212" i="2"/>
  <c r="L212" i="2" s="1"/>
  <c r="G212" i="2"/>
  <c r="I211" i="2"/>
  <c r="L211" i="2" s="1"/>
  <c r="G211" i="2"/>
  <c r="I210" i="2"/>
  <c r="L210" i="2" s="1"/>
  <c r="G210" i="2"/>
  <c r="I209" i="2"/>
  <c r="L209" i="2" s="1"/>
  <c r="G209" i="2"/>
  <c r="I208" i="2"/>
  <c r="L208" i="2" s="1"/>
  <c r="G208" i="2"/>
  <c r="I207" i="2"/>
  <c r="L207" i="2" s="1"/>
  <c r="G207" i="2"/>
  <c r="I206" i="2"/>
  <c r="L206" i="2" s="1"/>
  <c r="G206" i="2"/>
  <c r="I205" i="2"/>
  <c r="L205" i="2" s="1"/>
  <c r="G205" i="2"/>
  <c r="I204" i="2"/>
  <c r="L204" i="2" s="1"/>
  <c r="G204" i="2"/>
  <c r="I203" i="2"/>
  <c r="L203" i="2" s="1"/>
  <c r="G203" i="2"/>
  <c r="I202" i="2"/>
  <c r="L202" i="2" s="1"/>
  <c r="G202" i="2"/>
  <c r="I201" i="2"/>
  <c r="L201" i="2" s="1"/>
  <c r="G201" i="2"/>
  <c r="I200" i="2"/>
  <c r="L200" i="2" s="1"/>
  <c r="G200" i="2"/>
  <c r="I199" i="2"/>
  <c r="L199" i="2" s="1"/>
  <c r="G199" i="2"/>
  <c r="I198" i="2"/>
  <c r="L198" i="2" s="1"/>
  <c r="G198" i="2"/>
  <c r="I197" i="2"/>
  <c r="L197" i="2" s="1"/>
  <c r="G197" i="2"/>
  <c r="I196" i="2"/>
  <c r="L196" i="2" s="1"/>
  <c r="G196" i="2"/>
  <c r="I195" i="2"/>
  <c r="L195" i="2" s="1"/>
  <c r="G195" i="2"/>
  <c r="I194" i="2"/>
  <c r="L194" i="2" s="1"/>
  <c r="G194" i="2"/>
  <c r="I193" i="2"/>
  <c r="L193" i="2" s="1"/>
  <c r="G193" i="2"/>
  <c r="I192" i="2"/>
  <c r="L192" i="2" s="1"/>
  <c r="G192" i="2"/>
  <c r="I191" i="2"/>
  <c r="L191" i="2" s="1"/>
  <c r="G191" i="2"/>
  <c r="I190" i="2"/>
  <c r="L190" i="2" s="1"/>
  <c r="G190" i="2"/>
  <c r="I189" i="2"/>
  <c r="L189" i="2" s="1"/>
  <c r="G189" i="2"/>
  <c r="I188" i="2"/>
  <c r="L188" i="2" s="1"/>
  <c r="G188" i="2"/>
  <c r="I187" i="2"/>
  <c r="L187" i="2" s="1"/>
  <c r="G187" i="2"/>
  <c r="I186" i="2"/>
  <c r="L186" i="2" s="1"/>
  <c r="G186" i="2"/>
  <c r="I185" i="2"/>
  <c r="L185" i="2" s="1"/>
  <c r="G185" i="2"/>
  <c r="I184" i="2"/>
  <c r="L184" i="2" s="1"/>
  <c r="G184" i="2"/>
  <c r="I183" i="2"/>
  <c r="L183" i="2" s="1"/>
  <c r="G183" i="2"/>
  <c r="I182" i="2"/>
  <c r="L182" i="2" s="1"/>
  <c r="G182" i="2"/>
  <c r="I181" i="2"/>
  <c r="L181" i="2" s="1"/>
  <c r="G181" i="2"/>
  <c r="I180" i="2"/>
  <c r="L180" i="2" s="1"/>
  <c r="G180" i="2"/>
  <c r="I179" i="2"/>
  <c r="L179" i="2" s="1"/>
  <c r="G179" i="2"/>
  <c r="I178" i="2"/>
  <c r="L178" i="2" s="1"/>
  <c r="G178" i="2"/>
  <c r="I177" i="2"/>
  <c r="L177" i="2" s="1"/>
  <c r="G177" i="2"/>
  <c r="I176" i="2"/>
  <c r="L176" i="2" s="1"/>
  <c r="G176" i="2"/>
  <c r="I175" i="2"/>
  <c r="L175" i="2" s="1"/>
  <c r="G175" i="2"/>
  <c r="I174" i="2"/>
  <c r="L174" i="2" s="1"/>
  <c r="G174" i="2"/>
  <c r="I173" i="2"/>
  <c r="L173" i="2" s="1"/>
  <c r="G173" i="2"/>
  <c r="I172" i="2"/>
  <c r="L172" i="2" s="1"/>
  <c r="G172" i="2"/>
  <c r="I171" i="2"/>
  <c r="L171" i="2" s="1"/>
  <c r="G171" i="2"/>
  <c r="I170" i="2"/>
  <c r="L170" i="2" s="1"/>
  <c r="G170" i="2"/>
  <c r="I169" i="2"/>
  <c r="L169" i="2" s="1"/>
  <c r="G169" i="2"/>
  <c r="I168" i="2"/>
  <c r="L168" i="2" s="1"/>
  <c r="G168" i="2"/>
  <c r="I167" i="2"/>
  <c r="L167" i="2" s="1"/>
  <c r="G167" i="2"/>
  <c r="L166" i="2"/>
  <c r="G166" i="2"/>
  <c r="I165" i="2"/>
  <c r="L165" i="2" s="1"/>
  <c r="G165" i="2"/>
  <c r="I164" i="2"/>
  <c r="L164" i="2" s="1"/>
  <c r="G164" i="2"/>
  <c r="I163" i="2"/>
  <c r="L163" i="2" s="1"/>
  <c r="G163" i="2"/>
  <c r="I162" i="2"/>
  <c r="L162" i="2" s="1"/>
  <c r="G162" i="2"/>
  <c r="I161" i="2"/>
  <c r="L161" i="2" s="1"/>
  <c r="G161" i="2"/>
  <c r="I160" i="2"/>
  <c r="L160" i="2" s="1"/>
  <c r="G160" i="2"/>
  <c r="I159" i="2"/>
  <c r="L159" i="2" s="1"/>
  <c r="G159" i="2"/>
  <c r="I158" i="2"/>
  <c r="L158" i="2" s="1"/>
  <c r="G158" i="2"/>
  <c r="I157" i="2"/>
  <c r="L157" i="2" s="1"/>
  <c r="G157" i="2"/>
  <c r="I156" i="2"/>
  <c r="L156" i="2" s="1"/>
  <c r="G156" i="2"/>
  <c r="I155" i="2"/>
  <c r="L155" i="2" s="1"/>
  <c r="G155" i="2"/>
  <c r="I154" i="2"/>
  <c r="L154" i="2" s="1"/>
  <c r="G154" i="2"/>
  <c r="I153" i="2"/>
  <c r="L153" i="2" s="1"/>
  <c r="G153" i="2"/>
  <c r="I152" i="2"/>
  <c r="L152" i="2" s="1"/>
  <c r="G152" i="2"/>
  <c r="I151" i="2"/>
  <c r="L151" i="2" s="1"/>
  <c r="G151" i="2"/>
  <c r="I150" i="2"/>
  <c r="L150" i="2" s="1"/>
  <c r="G150" i="2"/>
  <c r="I149" i="2"/>
  <c r="L149" i="2" s="1"/>
  <c r="G149" i="2"/>
  <c r="I148" i="2"/>
  <c r="L148" i="2" s="1"/>
  <c r="G148" i="2"/>
  <c r="I147" i="2"/>
  <c r="L147" i="2" s="1"/>
  <c r="G147" i="2"/>
  <c r="I146" i="2"/>
  <c r="L146" i="2" s="1"/>
  <c r="G146" i="2"/>
  <c r="I145" i="2"/>
  <c r="L145" i="2" s="1"/>
  <c r="G145" i="2"/>
  <c r="I144" i="2"/>
  <c r="L144" i="2" s="1"/>
  <c r="G144" i="2"/>
  <c r="I143" i="2"/>
  <c r="L143" i="2" s="1"/>
  <c r="G143" i="2"/>
  <c r="I136" i="2"/>
  <c r="L136" i="2" s="1"/>
  <c r="G136" i="2"/>
  <c r="F135" i="2"/>
  <c r="I135" i="2" s="1"/>
  <c r="L135" i="2" s="1"/>
  <c r="I134" i="2"/>
  <c r="L134" i="2" s="1"/>
  <c r="G134" i="2"/>
  <c r="F133" i="2"/>
  <c r="G133" i="2" s="1"/>
  <c r="I132" i="2"/>
  <c r="L132" i="2" s="1"/>
  <c r="G132" i="2"/>
  <c r="I131" i="2"/>
  <c r="L131" i="2" s="1"/>
  <c r="G131" i="2"/>
  <c r="I130" i="2"/>
  <c r="L130" i="2" s="1"/>
  <c r="G130" i="2"/>
  <c r="F129" i="2"/>
  <c r="G129" i="2" s="1"/>
  <c r="I128" i="2"/>
  <c r="L128" i="2" s="1"/>
  <c r="G128" i="2"/>
  <c r="F127" i="2"/>
  <c r="I127" i="2" s="1"/>
  <c r="L127" i="2" s="1"/>
  <c r="I126" i="2"/>
  <c r="L126" i="2" s="1"/>
  <c r="G126" i="2"/>
  <c r="I125" i="2"/>
  <c r="L125" i="2" s="1"/>
  <c r="G125" i="2"/>
  <c r="I124" i="2"/>
  <c r="L124" i="2" s="1"/>
  <c r="G124" i="2"/>
  <c r="I123" i="2"/>
  <c r="L123" i="2" s="1"/>
  <c r="G123" i="2"/>
  <c r="I122" i="2"/>
  <c r="L122" i="2" s="1"/>
  <c r="G122" i="2"/>
  <c r="I121" i="2"/>
  <c r="L121" i="2" s="1"/>
  <c r="G121" i="2"/>
  <c r="I120" i="2"/>
  <c r="L120" i="2" s="1"/>
  <c r="G120" i="2"/>
  <c r="I119" i="2"/>
  <c r="L119" i="2" s="1"/>
  <c r="G119" i="2"/>
  <c r="F118" i="2"/>
  <c r="G118" i="2" s="1"/>
  <c r="F117" i="2"/>
  <c r="G117" i="2" s="1"/>
  <c r="F116" i="2"/>
  <c r="I116" i="2" s="1"/>
  <c r="L116" i="2" s="1"/>
  <c r="F115" i="2"/>
  <c r="I115" i="2" s="1"/>
  <c r="L115" i="2" s="1"/>
  <c r="F114" i="2"/>
  <c r="I114" i="2" s="1"/>
  <c r="L114" i="2" s="1"/>
  <c r="F113" i="2"/>
  <c r="G113" i="2" s="1"/>
  <c r="I112" i="2"/>
  <c r="L112" i="2" s="1"/>
  <c r="G112" i="2"/>
  <c r="I111" i="2"/>
  <c r="L111" i="2" s="1"/>
  <c r="G111" i="2"/>
  <c r="I110" i="2"/>
  <c r="L110" i="2" s="1"/>
  <c r="G110" i="2"/>
  <c r="I109" i="2"/>
  <c r="L109" i="2" s="1"/>
  <c r="G109" i="2"/>
  <c r="I108" i="2"/>
  <c r="L108" i="2" s="1"/>
  <c r="G108" i="2"/>
  <c r="I107" i="2"/>
  <c r="L107" i="2" s="1"/>
  <c r="G107" i="2"/>
  <c r="I106" i="2"/>
  <c r="L106" i="2" s="1"/>
  <c r="G106" i="2"/>
  <c r="I105" i="2"/>
  <c r="L105" i="2" s="1"/>
  <c r="G105" i="2"/>
  <c r="I104" i="2"/>
  <c r="L104" i="2" s="1"/>
  <c r="G104" i="2"/>
  <c r="I103" i="2"/>
  <c r="L103" i="2" s="1"/>
  <c r="G103" i="2"/>
  <c r="F102" i="2"/>
  <c r="I102" i="2" s="1"/>
  <c r="L102" i="2" s="1"/>
  <c r="I101" i="2"/>
  <c r="L101" i="2" s="1"/>
  <c r="G101" i="2"/>
  <c r="F100" i="2"/>
  <c r="I99" i="2"/>
  <c r="L99" i="2" s="1"/>
  <c r="G99" i="2"/>
  <c r="I98" i="2"/>
  <c r="L98" i="2" s="1"/>
  <c r="G98" i="2"/>
  <c r="I97" i="2"/>
  <c r="L97" i="2" s="1"/>
  <c r="G97" i="2"/>
  <c r="I96" i="2"/>
  <c r="L96" i="2" s="1"/>
  <c r="G96" i="2"/>
  <c r="I95" i="2"/>
  <c r="L95" i="2" s="1"/>
  <c r="G95" i="2"/>
  <c r="I94" i="2"/>
  <c r="L94" i="2" s="1"/>
  <c r="G94" i="2"/>
  <c r="I93" i="2"/>
  <c r="L93" i="2" s="1"/>
  <c r="G93" i="2"/>
  <c r="I92" i="2"/>
  <c r="L92" i="2" s="1"/>
  <c r="G92" i="2"/>
  <c r="I91" i="2"/>
  <c r="L91" i="2" s="1"/>
  <c r="G91" i="2"/>
  <c r="I90" i="2"/>
  <c r="L90" i="2" s="1"/>
  <c r="G90" i="2"/>
  <c r="I89" i="2"/>
  <c r="L89" i="2" s="1"/>
  <c r="G89" i="2"/>
  <c r="I88" i="2"/>
  <c r="L88" i="2" s="1"/>
  <c r="G88" i="2"/>
  <c r="I87" i="2"/>
  <c r="L87" i="2" s="1"/>
  <c r="G87" i="2"/>
  <c r="I86" i="2"/>
  <c r="L86" i="2" s="1"/>
  <c r="G86" i="2"/>
  <c r="I85" i="2"/>
  <c r="L85" i="2" s="1"/>
  <c r="G85" i="2"/>
  <c r="I84" i="2"/>
  <c r="L84" i="2" s="1"/>
  <c r="G84" i="2"/>
  <c r="I83" i="2"/>
  <c r="L83" i="2" s="1"/>
  <c r="G83" i="2"/>
  <c r="I82" i="2"/>
  <c r="L82" i="2" s="1"/>
  <c r="G82" i="2"/>
  <c r="I81" i="2"/>
  <c r="L81" i="2" s="1"/>
  <c r="G81" i="2"/>
  <c r="I80" i="2"/>
  <c r="L80" i="2" s="1"/>
  <c r="G80" i="2"/>
  <c r="I79" i="2"/>
  <c r="L79" i="2" s="1"/>
  <c r="G79" i="2"/>
  <c r="I78" i="2"/>
  <c r="L78" i="2" s="1"/>
  <c r="G78" i="2"/>
  <c r="I77" i="2"/>
  <c r="L77" i="2" s="1"/>
  <c r="G77" i="2"/>
  <c r="I76" i="2"/>
  <c r="L76" i="2" s="1"/>
  <c r="G76" i="2"/>
  <c r="I75" i="2"/>
  <c r="L75" i="2" s="1"/>
  <c r="G75" i="2"/>
  <c r="I74" i="2"/>
  <c r="L74" i="2" s="1"/>
  <c r="G74" i="2"/>
  <c r="I73" i="2"/>
  <c r="L73" i="2" s="1"/>
  <c r="G73" i="2"/>
  <c r="I72" i="2"/>
  <c r="L72" i="2" s="1"/>
  <c r="G72" i="2"/>
  <c r="I71" i="2"/>
  <c r="L71" i="2" s="1"/>
  <c r="G71" i="2"/>
  <c r="I70" i="2"/>
  <c r="L70" i="2" s="1"/>
  <c r="G70" i="2"/>
  <c r="I69" i="2"/>
  <c r="L69" i="2" s="1"/>
  <c r="G69" i="2"/>
  <c r="I68" i="2"/>
  <c r="L68" i="2" s="1"/>
  <c r="G68" i="2"/>
  <c r="I67" i="2"/>
  <c r="L67" i="2" s="1"/>
  <c r="G67" i="2"/>
  <c r="I66" i="2"/>
  <c r="L66" i="2" s="1"/>
  <c r="G66" i="2"/>
  <c r="I65" i="2"/>
  <c r="L65" i="2" s="1"/>
  <c r="G65" i="2"/>
  <c r="I64" i="2"/>
  <c r="L64" i="2" s="1"/>
  <c r="G64" i="2"/>
  <c r="I63" i="2"/>
  <c r="L63" i="2" s="1"/>
  <c r="G63" i="2"/>
  <c r="I62" i="2"/>
  <c r="L62" i="2" s="1"/>
  <c r="G62" i="2"/>
  <c r="I61" i="2"/>
  <c r="L61" i="2" s="1"/>
  <c r="G61" i="2"/>
  <c r="L52" i="2"/>
  <c r="L51" i="2"/>
  <c r="I50" i="2"/>
  <c r="L50" i="2" s="1"/>
  <c r="I49" i="2"/>
  <c r="L49" i="2" s="1"/>
  <c r="I48" i="2"/>
  <c r="L48" i="2" s="1"/>
  <c r="I47" i="2"/>
  <c r="L47" i="2" s="1"/>
  <c r="I46" i="2"/>
  <c r="L46" i="2" s="1"/>
  <c r="I45" i="2"/>
  <c r="L45" i="2" s="1"/>
  <c r="I44" i="2"/>
  <c r="L44" i="2" s="1"/>
  <c r="I43" i="2"/>
  <c r="L43" i="2" s="1"/>
  <c r="I42" i="2"/>
  <c r="L42" i="2" s="1"/>
  <c r="I41" i="2"/>
  <c r="L41" i="2" s="1"/>
  <c r="I40" i="2"/>
  <c r="L40" i="2" s="1"/>
  <c r="I39" i="2"/>
  <c r="L39" i="2" s="1"/>
  <c r="I38" i="2"/>
  <c r="L38" i="2" s="1"/>
  <c r="I37" i="2"/>
  <c r="L37" i="2" s="1"/>
  <c r="I36" i="2"/>
  <c r="L36" i="2" s="1"/>
  <c r="I35" i="2"/>
  <c r="L35" i="2" s="1"/>
  <c r="I34" i="2"/>
  <c r="L34" i="2" s="1"/>
  <c r="I33" i="2"/>
  <c r="L33" i="2" s="1"/>
  <c r="I32" i="2"/>
  <c r="L32" i="2" s="1"/>
  <c r="I31" i="2"/>
  <c r="L31" i="2" s="1"/>
  <c r="I30" i="2"/>
  <c r="L30" i="2" s="1"/>
  <c r="I29" i="2"/>
  <c r="L29" i="2" s="1"/>
  <c r="I28" i="2"/>
  <c r="L28" i="2" s="1"/>
  <c r="I27" i="2"/>
  <c r="L27" i="2" s="1"/>
  <c r="I26" i="2"/>
  <c r="L26" i="2" s="1"/>
  <c r="I25" i="2"/>
  <c r="L25" i="2" s="1"/>
  <c r="I24" i="2"/>
  <c r="L24" i="2" s="1"/>
  <c r="I23" i="2"/>
  <c r="L23" i="2" s="1"/>
  <c r="I22" i="2"/>
  <c r="L22" i="2" s="1"/>
  <c r="I21" i="2"/>
  <c r="L21" i="2" s="1"/>
  <c r="I20" i="2"/>
  <c r="L20" i="2" s="1"/>
  <c r="I19" i="2"/>
  <c r="L19" i="2" s="1"/>
  <c r="I18" i="2"/>
  <c r="L18" i="2" s="1"/>
  <c r="I17" i="2"/>
  <c r="L17" i="2" s="1"/>
  <c r="I16" i="2"/>
  <c r="L16" i="2" s="1"/>
  <c r="I15" i="2"/>
  <c r="L15" i="2" s="1"/>
  <c r="I14" i="2"/>
  <c r="L14" i="2" s="1"/>
  <c r="J13" i="2"/>
  <c r="I13" i="2"/>
  <c r="I12" i="2"/>
  <c r="L12" i="2" s="1"/>
  <c r="I11" i="2"/>
  <c r="L11" i="2" s="1"/>
  <c r="I10" i="2"/>
  <c r="L10" i="2" s="1"/>
  <c r="I9" i="2"/>
  <c r="L9" i="2" s="1"/>
  <c r="I8" i="2"/>
  <c r="L8" i="2" s="1"/>
  <c r="I7" i="2"/>
  <c r="L7" i="2" s="1"/>
  <c r="I6" i="2"/>
  <c r="L6" i="2" s="1"/>
  <c r="I5" i="2"/>
  <c r="L5" i="2" s="1"/>
  <c r="I4" i="2"/>
  <c r="L4" i="2" s="1"/>
  <c r="I3" i="2"/>
  <c r="L3" i="2" s="1"/>
  <c r="I2" i="2"/>
  <c r="L2" i="2" s="1"/>
  <c r="F271" i="18"/>
  <c r="X232" i="18" l="1"/>
  <c r="X258" i="18"/>
  <c r="W6355" i="5"/>
  <c r="W381" i="18"/>
  <c r="X98" i="18"/>
  <c r="X366" i="18"/>
  <c r="X95" i="18"/>
  <c r="AA95" i="18"/>
  <c r="Y95" i="18"/>
  <c r="W232" i="18"/>
  <c r="Y232" i="18" s="1"/>
  <c r="W302" i="18"/>
  <c r="Y392" i="18"/>
  <c r="AA392" i="18"/>
  <c r="W3668" i="5"/>
  <c r="W209" i="18"/>
  <c r="U3890" i="5"/>
  <c r="V440" i="18"/>
  <c r="X440" i="18" s="1"/>
  <c r="W5596" i="5"/>
  <c r="W366" i="18"/>
  <c r="T4071" i="5" a="1"/>
  <c r="T4071" i="5" s="1"/>
  <c r="T4737" i="5" a="1"/>
  <c r="T4737" i="5" s="1"/>
  <c r="T5372" i="5" a="1"/>
  <c r="T5372" i="5" s="1"/>
  <c r="U5372" i="5" s="1"/>
  <c r="W5372" i="5" s="1"/>
  <c r="W3959" i="5"/>
  <c r="W189" i="18"/>
  <c r="T2560" i="5" a="1"/>
  <c r="T2560" i="5" s="1"/>
  <c r="U2560" i="5" s="1"/>
  <c r="W2560" i="5" s="1"/>
  <c r="T4131" i="5" a="1"/>
  <c r="T4131" i="5" s="1"/>
  <c r="V255" i="18" s="1"/>
  <c r="W80" i="5"/>
  <c r="W4577" i="5"/>
  <c r="T2558" i="5" a="1"/>
  <c r="T2558" i="5" s="1"/>
  <c r="T1186" i="5" a="1"/>
  <c r="T1186" i="5" s="1"/>
  <c r="V224" i="18" s="1"/>
  <c r="X224" i="18" s="1"/>
  <c r="T4127" i="5" a="1"/>
  <c r="T4127" i="5" s="1"/>
  <c r="V252" i="18"/>
  <c r="X252" i="18" s="1"/>
  <c r="U605" i="5"/>
  <c r="W605" i="5" s="1"/>
  <c r="U3328" i="5"/>
  <c r="W3328" i="5" s="1"/>
  <c r="U673" i="5"/>
  <c r="U6067" i="5"/>
  <c r="W273" i="18" s="1"/>
  <c r="U612" i="5"/>
  <c r="W612" i="5" s="1"/>
  <c r="U2719" i="5"/>
  <c r="I271" i="18"/>
  <c r="Q271" i="18"/>
  <c r="U271" i="18" s="1"/>
  <c r="I322" i="2"/>
  <c r="L322" i="2" s="1"/>
  <c r="I329" i="2"/>
  <c r="L329" i="2" s="1"/>
  <c r="G339" i="2"/>
  <c r="I129" i="2"/>
  <c r="L129" i="2" s="1"/>
  <c r="G337" i="2"/>
  <c r="I118" i="2"/>
  <c r="L118" i="2" s="1"/>
  <c r="I113" i="2"/>
  <c r="L113" i="2" s="1"/>
  <c r="G135" i="2"/>
  <c r="G330" i="2"/>
  <c r="G346" i="2"/>
  <c r="G413" i="2"/>
  <c r="G341" i="2"/>
  <c r="I347" i="2"/>
  <c r="L347" i="2" s="1"/>
  <c r="I412" i="2"/>
  <c r="L412" i="2" s="1"/>
  <c r="G333" i="2"/>
  <c r="G447" i="2"/>
  <c r="G331" i="2"/>
  <c r="G102" i="2"/>
  <c r="G114" i="2"/>
  <c r="I117" i="2"/>
  <c r="L117" i="2" s="1"/>
  <c r="G324" i="2"/>
  <c r="I342" i="2"/>
  <c r="L342" i="2" s="1"/>
  <c r="G449" i="2"/>
  <c r="G328" i="2"/>
  <c r="L13" i="2"/>
  <c r="G116" i="2"/>
  <c r="I348" i="2"/>
  <c r="L348" i="2" s="1"/>
  <c r="I448" i="2"/>
  <c r="L448" i="2" s="1"/>
  <c r="I100" i="2"/>
  <c r="L100" i="2" s="1"/>
  <c r="G100" i="2"/>
  <c r="I133" i="2"/>
  <c r="L133" i="2" s="1"/>
  <c r="G327" i="2"/>
  <c r="I334" i="2"/>
  <c r="L334" i="2" s="1"/>
  <c r="G338" i="2"/>
  <c r="I340" i="2"/>
  <c r="L340" i="2" s="1"/>
  <c r="G115" i="2"/>
  <c r="G335" i="2"/>
  <c r="G127" i="2"/>
  <c r="G343" i="2"/>
  <c r="I345" i="2"/>
  <c r="L345" i="2" s="1"/>
  <c r="I411" i="2"/>
  <c r="L411" i="2" s="1"/>
  <c r="I336" i="2"/>
  <c r="L336" i="2" s="1"/>
  <c r="F48" i="18"/>
  <c r="F21" i="18"/>
  <c r="F449" i="18"/>
  <c r="T4253" i="5" l="1" a="1"/>
  <c r="T4253" i="5" s="1"/>
  <c r="T4779" i="5" a="1"/>
  <c r="T4779" i="5" s="1"/>
  <c r="U4779" i="5" s="1"/>
  <c r="W4779" i="5" s="1"/>
  <c r="AA232" i="18"/>
  <c r="W673" i="5"/>
  <c r="X421" i="18"/>
  <c r="Y302" i="18"/>
  <c r="AA302" i="18"/>
  <c r="AA381" i="18"/>
  <c r="Y381" i="18"/>
  <c r="X324" i="18"/>
  <c r="Y273" i="18"/>
  <c r="AA273" i="18"/>
  <c r="V2791" i="5"/>
  <c r="Z20" i="18" s="1"/>
  <c r="V2793" i="5"/>
  <c r="Z112" i="18" s="1"/>
  <c r="U4737" i="5"/>
  <c r="W391" i="18" s="1"/>
  <c r="V127" i="18"/>
  <c r="U4071" i="5"/>
  <c r="V82" i="18"/>
  <c r="X82" i="18" s="1"/>
  <c r="Y366" i="18"/>
  <c r="AA366" i="18"/>
  <c r="W3890" i="5"/>
  <c r="W440" i="18"/>
  <c r="AA209" i="18"/>
  <c r="Y209" i="18"/>
  <c r="T70" i="5" a="1"/>
  <c r="T70" i="5" s="1"/>
  <c r="U70" i="5" s="1"/>
  <c r="T3628" i="5" a="1"/>
  <c r="T3628" i="5" s="1"/>
  <c r="U3628" i="5" s="1"/>
  <c r="W3628" i="5" s="1"/>
  <c r="AA189" i="18"/>
  <c r="Y189" i="18"/>
  <c r="W2719" i="5"/>
  <c r="W346" i="18"/>
  <c r="Z261" i="18"/>
  <c r="W6067" i="5"/>
  <c r="U4131" i="5"/>
  <c r="T1591" i="5" a="1"/>
  <c r="T1591" i="5" s="1"/>
  <c r="T2639" i="5" a="1"/>
  <c r="T2639" i="5" s="1"/>
  <c r="T240" i="5" a="1"/>
  <c r="T240" i="5" s="1"/>
  <c r="V271" i="18"/>
  <c r="W252" i="18"/>
  <c r="U2558" i="5"/>
  <c r="W2558" i="5" s="1"/>
  <c r="U4127" i="5"/>
  <c r="U1186" i="5"/>
  <c r="W380" i="18" s="1"/>
  <c r="I48" i="18"/>
  <c r="I449" i="18"/>
  <c r="I21" i="18"/>
  <c r="Q21" i="18"/>
  <c r="U21" i="18" s="1"/>
  <c r="Q449" i="18"/>
  <c r="U449" i="18" s="1"/>
  <c r="Q48" i="18"/>
  <c r="U48" i="18" s="1"/>
  <c r="U4253" i="5" l="1"/>
  <c r="W4253" i="5" s="1"/>
  <c r="V130" i="18"/>
  <c r="X130" i="18" s="1"/>
  <c r="Y380" i="18"/>
  <c r="AA380" i="18"/>
  <c r="W70" i="5"/>
  <c r="W329" i="18"/>
  <c r="X271" i="18"/>
  <c r="X380" i="18"/>
  <c r="X127" i="18"/>
  <c r="X391" i="18"/>
  <c r="Y391" i="18"/>
  <c r="AA391" i="18"/>
  <c r="W130" i="18"/>
  <c r="W4071" i="5"/>
  <c r="W82" i="18"/>
  <c r="Y440" i="18"/>
  <c r="AA440" i="18"/>
  <c r="W4737" i="5"/>
  <c r="W127" i="18"/>
  <c r="W1186" i="5"/>
  <c r="W224" i="18"/>
  <c r="W4131" i="5"/>
  <c r="AA346" i="18"/>
  <c r="Y346" i="18"/>
  <c r="W4127" i="5"/>
  <c r="V448" i="18"/>
  <c r="AA252" i="18"/>
  <c r="Y252" i="18"/>
  <c r="W271" i="18"/>
  <c r="U240" i="5"/>
  <c r="W240" i="5" s="1"/>
  <c r="U1591" i="5"/>
  <c r="W1591" i="5" s="1"/>
  <c r="F136" i="18"/>
  <c r="F288" i="18"/>
  <c r="F154" i="18"/>
  <c r="T4338" i="5" l="1" a="1"/>
  <c r="T4338" i="5" s="1"/>
  <c r="U4338" i="5" s="1"/>
  <c r="W4338" i="5" s="1"/>
  <c r="X456" i="18"/>
  <c r="Y329" i="18"/>
  <c r="AA329" i="18"/>
  <c r="V2640" i="5"/>
  <c r="U2640" i="5"/>
  <c r="V2639" i="5"/>
  <c r="V2641" i="5"/>
  <c r="Z449" i="18" s="1"/>
  <c r="Y82" i="18"/>
  <c r="AA82" i="18"/>
  <c r="Y127" i="18"/>
  <c r="AA127" i="18"/>
  <c r="Y130" i="18"/>
  <c r="AA130" i="18"/>
  <c r="T6005" i="5" a="1"/>
  <c r="T6005" i="5" s="1"/>
  <c r="T6006" i="5" a="1"/>
  <c r="T6006" i="5" s="1"/>
  <c r="U6006" i="5" s="1"/>
  <c r="W6006" i="5" s="1"/>
  <c r="T4617" i="5" a="1"/>
  <c r="T4617" i="5" s="1"/>
  <c r="U4617" i="5" s="1"/>
  <c r="W4617" i="5" s="1"/>
  <c r="T5420" i="5" a="1"/>
  <c r="T5420" i="5" s="1"/>
  <c r="Z36" i="18"/>
  <c r="Y224" i="18"/>
  <c r="AA224" i="18"/>
  <c r="T5841" i="5" a="1"/>
  <c r="T5841" i="5" s="1"/>
  <c r="U5841" i="5" s="1"/>
  <c r="W5841" i="5" s="1"/>
  <c r="T3671" i="5" a="1"/>
  <c r="T3671" i="5" s="1"/>
  <c r="U3671" i="5" s="1"/>
  <c r="W3671" i="5" s="1"/>
  <c r="T4998" i="5" a="1"/>
  <c r="T4998" i="5" s="1"/>
  <c r="U4998" i="5" s="1"/>
  <c r="W4998" i="5" s="1"/>
  <c r="T128" i="5" a="1"/>
  <c r="T128" i="5" s="1"/>
  <c r="U128" i="5" s="1"/>
  <c r="T2315" i="5" a="1"/>
  <c r="T2315" i="5" s="1"/>
  <c r="U2315" i="5" s="1"/>
  <c r="T5414" i="5" a="1"/>
  <c r="T5414" i="5" s="1"/>
  <c r="U5414" i="5" s="1"/>
  <c r="W5414" i="5" s="1"/>
  <c r="T4222" i="5" a="1"/>
  <c r="T4222" i="5" s="1"/>
  <c r="U4222" i="5" s="1"/>
  <c r="W4222" i="5" s="1"/>
  <c r="T5413" i="5" a="1"/>
  <c r="T5413" i="5" s="1"/>
  <c r="U5413" i="5" s="1"/>
  <c r="W5413" i="5" s="1"/>
  <c r="V2637" i="5"/>
  <c r="Z169" i="18" s="1"/>
  <c r="U2637" i="5"/>
  <c r="W412" i="18" s="1"/>
  <c r="U2639" i="5"/>
  <c r="V2638" i="5"/>
  <c r="U2638" i="5"/>
  <c r="T83" i="5" a="1"/>
  <c r="T83" i="5" s="1"/>
  <c r="T4990" i="5" a="1"/>
  <c r="T4990" i="5" s="1"/>
  <c r="T1741" i="5" a="1"/>
  <c r="T1741" i="5" s="1"/>
  <c r="T2313" i="5" a="1"/>
  <c r="T2313" i="5" s="1"/>
  <c r="T4217" i="5" a="1"/>
  <c r="T4217" i="5" s="1"/>
  <c r="T5365" i="5" a="1"/>
  <c r="T5365" i="5" s="1"/>
  <c r="T5366" i="5" a="1"/>
  <c r="T5366" i="5" s="1"/>
  <c r="AA271" i="18"/>
  <c r="Y271" i="18"/>
  <c r="I154" i="18"/>
  <c r="I136" i="18"/>
  <c r="I288" i="18"/>
  <c r="Q154" i="18"/>
  <c r="U154" i="18" s="1"/>
  <c r="Q136" i="18"/>
  <c r="U136" i="18" s="1"/>
  <c r="Q288" i="18"/>
  <c r="U288" i="18" s="1"/>
  <c r="W2639" i="5" l="1"/>
  <c r="W456" i="18"/>
  <c r="W128" i="5"/>
  <c r="W2315" i="5"/>
  <c r="Y412" i="18"/>
  <c r="AA412" i="18"/>
  <c r="V2252" i="5"/>
  <c r="U2252" i="5"/>
  <c r="W349" i="18" s="1"/>
  <c r="W2640" i="5"/>
  <c r="U5420" i="5"/>
  <c r="W433" i="18" s="1"/>
  <c r="V52" i="18"/>
  <c r="U6005" i="5"/>
  <c r="W6005" i="5" s="1"/>
  <c r="V133" i="18"/>
  <c r="X133" i="18" s="1"/>
  <c r="Z447" i="18"/>
  <c r="Z151" i="18"/>
  <c r="V288" i="18"/>
  <c r="X288" i="18" s="1"/>
  <c r="V69" i="18"/>
  <c r="X69" i="18" s="1"/>
  <c r="V21" i="18"/>
  <c r="Z448" i="18"/>
  <c r="Z167" i="18"/>
  <c r="V2250" i="5"/>
  <c r="Z2" i="18" s="1"/>
  <c r="E2" i="18" s="1"/>
  <c r="U2250" i="5"/>
  <c r="W133" i="18" s="1"/>
  <c r="Y133" i="18" s="1"/>
  <c r="W2638" i="5"/>
  <c r="W2637" i="5"/>
  <c r="U1741" i="5"/>
  <c r="U4217" i="5"/>
  <c r="U2313" i="5"/>
  <c r="U5365" i="5"/>
  <c r="W454" i="18" s="1"/>
  <c r="U5366" i="5"/>
  <c r="W5366" i="5" s="1"/>
  <c r="U83" i="5"/>
  <c r="U4990" i="5"/>
  <c r="W21" i="18" s="1"/>
  <c r="AA21" i="18" s="1"/>
  <c r="F373" i="18"/>
  <c r="T7500" i="5" s="1" a="1"/>
  <c r="T7500" i="5" s="1"/>
  <c r="U7500" i="5" s="1"/>
  <c r="W7500" i="5" s="1"/>
  <c r="F175" i="18"/>
  <c r="F168" i="18"/>
  <c r="F372" i="18"/>
  <c r="F180" i="18"/>
  <c r="F29" i="18"/>
  <c r="F196" i="18"/>
  <c r="T7498" i="5" l="1" a="1"/>
  <c r="T7498" i="5" s="1"/>
  <c r="U7498" i="5" s="1"/>
  <c r="W7498" i="5" s="1"/>
  <c r="T7499" i="5" a="1"/>
  <c r="T7499" i="5" s="1"/>
  <c r="U7499" i="5" s="1"/>
  <c r="W7499" i="5" s="1"/>
  <c r="T7496" i="5" a="1"/>
  <c r="T7496" i="5" s="1"/>
  <c r="U7496" i="5" s="1"/>
  <c r="W7496" i="5" s="1"/>
  <c r="T7497" i="5" a="1"/>
  <c r="T7497" i="5" s="1"/>
  <c r="U7497" i="5" s="1"/>
  <c r="W7497" i="5" s="1"/>
  <c r="Y454" i="18"/>
  <c r="AA454" i="18"/>
  <c r="X433" i="18"/>
  <c r="X329" i="18"/>
  <c r="Y433" i="18"/>
  <c r="AA433" i="18"/>
  <c r="Y349" i="18"/>
  <c r="AA349" i="18"/>
  <c r="AA456" i="18"/>
  <c r="Y456" i="18"/>
  <c r="T6726" i="5" a="1"/>
  <c r="T6726" i="5" s="1"/>
  <c r="U6726" i="5" s="1"/>
  <c r="W6726" i="5" s="1"/>
  <c r="T6484" i="5" a="1"/>
  <c r="T6484" i="5" s="1"/>
  <c r="U6484" i="5" s="1"/>
  <c r="W6484" i="5" s="1"/>
  <c r="W2252" i="5"/>
  <c r="F282" i="18"/>
  <c r="T3169" i="5" s="1" a="1"/>
  <c r="T3169" i="5" s="1"/>
  <c r="W5420" i="5"/>
  <c r="W52" i="18"/>
  <c r="T2443" i="5" a="1"/>
  <c r="T2443" i="5" s="1"/>
  <c r="U2443" i="5" s="1"/>
  <c r="T4677" i="5" a="1"/>
  <c r="T4677" i="5" s="1"/>
  <c r="U4677" i="5" s="1"/>
  <c r="W4677" i="5" s="1"/>
  <c r="T2440" i="5" a="1"/>
  <c r="T2440" i="5" s="1"/>
  <c r="U2440" i="5" s="1"/>
  <c r="T4674" i="5" a="1"/>
  <c r="T4674" i="5" s="1"/>
  <c r="T4172" i="5" a="1"/>
  <c r="T4172" i="5" s="1"/>
  <c r="U4172" i="5" s="1"/>
  <c r="W4172" i="5" s="1"/>
  <c r="T4964" i="5" a="1"/>
  <c r="T4964" i="5" s="1"/>
  <c r="U4964" i="5" s="1"/>
  <c r="W4964" i="5" s="1"/>
  <c r="W1741" i="5"/>
  <c r="T78" i="5" a="1"/>
  <c r="T78" i="5" s="1"/>
  <c r="U78" i="5" s="1"/>
  <c r="T3636" i="5" a="1"/>
  <c r="T3636" i="5" s="1"/>
  <c r="U3636" i="5" s="1"/>
  <c r="W3636" i="5" s="1"/>
  <c r="T142" i="5" a="1"/>
  <c r="T142" i="5" s="1"/>
  <c r="U142" i="5" s="1"/>
  <c r="W142" i="5" s="1"/>
  <c r="T3685" i="5" a="1"/>
  <c r="T3685" i="5" s="1"/>
  <c r="U3685" i="5" s="1"/>
  <c r="T149" i="5" a="1"/>
  <c r="T149" i="5" s="1"/>
  <c r="U149" i="5" s="1"/>
  <c r="W149" i="5" s="1"/>
  <c r="T3692" i="5" a="1"/>
  <c r="T3692" i="5" s="1"/>
  <c r="U3692" i="5" s="1"/>
  <c r="W3692" i="5" s="1"/>
  <c r="T170" i="5" a="1"/>
  <c r="T170" i="5" s="1"/>
  <c r="U170" i="5" s="1"/>
  <c r="T3713" i="5" a="1"/>
  <c r="T3713" i="5" s="1"/>
  <c r="U3713" i="5" s="1"/>
  <c r="W3713" i="5" s="1"/>
  <c r="T3697" i="5" a="1"/>
  <c r="T3697" i="5" s="1"/>
  <c r="T5373" i="5" a="1"/>
  <c r="T5373" i="5" s="1"/>
  <c r="U5373" i="5" s="1"/>
  <c r="W5373" i="5" s="1"/>
  <c r="W83" i="5"/>
  <c r="V204" i="18"/>
  <c r="W4990" i="5"/>
  <c r="W69" i="18"/>
  <c r="W5365" i="5"/>
  <c r="W2313" i="5"/>
  <c r="Z135" i="18"/>
  <c r="Z133" i="18"/>
  <c r="AA133" i="18" s="1"/>
  <c r="W4217" i="5"/>
  <c r="T154" i="5" a="1"/>
  <c r="T154" i="5" s="1"/>
  <c r="U154" i="5" s="1"/>
  <c r="W154" i="5" s="1"/>
  <c r="T4132" i="5" a="1"/>
  <c r="T4132" i="5" s="1"/>
  <c r="W2250" i="5"/>
  <c r="W135" i="18"/>
  <c r="Y135" i="18" s="1"/>
  <c r="T109" i="5" a="1"/>
  <c r="T109" i="5" s="1"/>
  <c r="V68" i="18" s="1"/>
  <c r="T4128" i="5" a="1"/>
  <c r="T4128" i="5" s="1"/>
  <c r="V280" i="18" s="1"/>
  <c r="T125" i="5" a="1"/>
  <c r="T125" i="5" s="1"/>
  <c r="T2441" i="5" a="1"/>
  <c r="T2441" i="5" s="1"/>
  <c r="T248" i="5" a="1"/>
  <c r="T248" i="5" s="1"/>
  <c r="T97" i="5" a="1"/>
  <c r="T97" i="5" s="1"/>
  <c r="T104" i="5" a="1"/>
  <c r="T104" i="5" s="1"/>
  <c r="T3165" i="5" a="1"/>
  <c r="T3165" i="5" s="1"/>
  <c r="V174" i="18" s="1"/>
  <c r="W288" i="18"/>
  <c r="I372" i="18"/>
  <c r="I196" i="18"/>
  <c r="I180" i="18"/>
  <c r="I29" i="18"/>
  <c r="I168" i="18"/>
  <c r="I175" i="18"/>
  <c r="I373" i="18"/>
  <c r="Q372" i="18"/>
  <c r="U372" i="18" s="1"/>
  <c r="Q180" i="18"/>
  <c r="U180" i="18" s="1"/>
  <c r="Q196" i="18"/>
  <c r="U196" i="18" s="1"/>
  <c r="Q29" i="18"/>
  <c r="U29" i="18" s="1"/>
  <c r="Q168" i="18"/>
  <c r="U168" i="18" s="1"/>
  <c r="Q175" i="18"/>
  <c r="U175" i="18" s="1"/>
  <c r="Q373" i="18"/>
  <c r="U373" i="18" s="1"/>
  <c r="F322" i="18"/>
  <c r="F159" i="18"/>
  <c r="F208" i="18"/>
  <c r="F200" i="18"/>
  <c r="F49" i="18"/>
  <c r="T8127" i="5" s="1" a="1"/>
  <c r="T8127" i="5" s="1"/>
  <c r="F43" i="18"/>
  <c r="F9" i="18"/>
  <c r="F38" i="18"/>
  <c r="T7875" i="5" l="1" a="1"/>
  <c r="T7875" i="5" s="1"/>
  <c r="U7875" i="5" s="1"/>
  <c r="W7875" i="5" s="1"/>
  <c r="T8304" i="5" a="1"/>
  <c r="T8304" i="5" s="1"/>
  <c r="U8304" i="5" s="1"/>
  <c r="W8304" i="5" s="1"/>
  <c r="U8127" i="5"/>
  <c r="W8127" i="5" s="1"/>
  <c r="V194" i="18"/>
  <c r="T7698" i="5" a="1"/>
  <c r="T7698" i="5" s="1"/>
  <c r="U7698" i="5" s="1"/>
  <c r="W7698" i="5" s="1"/>
  <c r="T3607" i="5" a="1"/>
  <c r="T3607" i="5" s="1"/>
  <c r="U3607" i="5" s="1"/>
  <c r="W3607" i="5" s="1"/>
  <c r="T4255" i="5" a="1"/>
  <c r="T4255" i="5" s="1"/>
  <c r="T1420" i="5" a="1"/>
  <c r="T1420" i="5" s="1"/>
  <c r="I282" i="18"/>
  <c r="Q282" i="18"/>
  <c r="U282" i="18" s="1"/>
  <c r="W3685" i="5"/>
  <c r="W255" i="18"/>
  <c r="W2440" i="5"/>
  <c r="X350" i="18"/>
  <c r="W78" i="5"/>
  <c r="W369" i="18"/>
  <c r="X280" i="18"/>
  <c r="X56" i="18"/>
  <c r="X68" i="18"/>
  <c r="W2443" i="5"/>
  <c r="W170" i="5"/>
  <c r="W86" i="18"/>
  <c r="X428" i="18"/>
  <c r="U4674" i="5"/>
  <c r="W335" i="18" s="1"/>
  <c r="V442" i="18"/>
  <c r="U3697" i="5"/>
  <c r="AA52" i="18"/>
  <c r="Y52" i="18"/>
  <c r="U3169" i="5"/>
  <c r="T4783" i="5" a="1"/>
  <c r="T4783" i="5" s="1"/>
  <c r="U4783" i="5" s="1"/>
  <c r="W4783" i="5" s="1"/>
  <c r="T5233" i="5" a="1"/>
  <c r="T5233" i="5" s="1"/>
  <c r="U5233" i="5" s="1"/>
  <c r="W5233" i="5" s="1"/>
  <c r="T4249" i="5" a="1"/>
  <c r="T4249" i="5" s="1"/>
  <c r="U4249" i="5" s="1"/>
  <c r="W4249" i="5" s="1"/>
  <c r="T3645" i="5" a="1"/>
  <c r="T3645" i="5" s="1"/>
  <c r="U3645" i="5" s="1"/>
  <c r="W3645" i="5" s="1"/>
  <c r="T219" i="5" a="1"/>
  <c r="T219" i="5" s="1"/>
  <c r="U219" i="5" s="1"/>
  <c r="W219" i="5" s="1"/>
  <c r="T3726" i="5" a="1"/>
  <c r="T3726" i="5" s="1"/>
  <c r="U3726" i="5" s="1"/>
  <c r="W3726" i="5" s="1"/>
  <c r="T4133" i="5" a="1"/>
  <c r="T4133" i="5" s="1"/>
  <c r="T5895" i="5" a="1"/>
  <c r="T5895" i="5" s="1"/>
  <c r="U5895" i="5" s="1"/>
  <c r="W5895" i="5" s="1"/>
  <c r="T3617" i="5" a="1"/>
  <c r="T3617" i="5" s="1"/>
  <c r="U3617" i="5" s="1"/>
  <c r="W3617" i="5" s="1"/>
  <c r="T92" i="5" a="1"/>
  <c r="T92" i="5" s="1"/>
  <c r="U92" i="5" s="1"/>
  <c r="T3650" i="5" a="1"/>
  <c r="T3650" i="5" s="1"/>
  <c r="T211" i="5" a="1"/>
  <c r="T211" i="5" s="1"/>
  <c r="U211" i="5" s="1"/>
  <c r="W211" i="5" s="1"/>
  <c r="T4671" i="5" a="1"/>
  <c r="T4671" i="5" s="1"/>
  <c r="U4671" i="5" s="1"/>
  <c r="T3718" i="5" a="1"/>
  <c r="T3718" i="5" s="1"/>
  <c r="U3718" i="5" s="1"/>
  <c r="W3718" i="5" s="1"/>
  <c r="T133" i="5" a="1"/>
  <c r="T133" i="5" s="1"/>
  <c r="U133" i="5" s="1"/>
  <c r="T3676" i="5" a="1"/>
  <c r="T3676" i="5" s="1"/>
  <c r="U3676" i="5" s="1"/>
  <c r="W3676" i="5" s="1"/>
  <c r="T59" i="5" a="1"/>
  <c r="T59" i="5" s="1"/>
  <c r="U59" i="5" s="1"/>
  <c r="T5078" i="5" a="1"/>
  <c r="T5078" i="5" s="1"/>
  <c r="V163" i="18"/>
  <c r="X163" i="18" s="1"/>
  <c r="V196" i="18"/>
  <c r="U4132" i="5"/>
  <c r="W4132" i="5" s="1"/>
  <c r="T2645" i="5" a="1"/>
  <c r="T2645" i="5" s="1"/>
  <c r="U2645" i="5" s="1"/>
  <c r="W2645" i="5" s="1"/>
  <c r="T3861" i="5" a="1"/>
  <c r="T3861" i="5" s="1"/>
  <c r="U3861" i="5" s="1"/>
  <c r="W3861" i="5" s="1"/>
  <c r="T87" i="5" a="1"/>
  <c r="T87" i="5" s="1"/>
  <c r="U87" i="5" s="1"/>
  <c r="V175" i="18"/>
  <c r="X175" i="18" s="1"/>
  <c r="V62" i="18"/>
  <c r="AA69" i="18"/>
  <c r="Y69" i="18"/>
  <c r="AA135" i="18"/>
  <c r="T1304" i="5" a="1"/>
  <c r="T1304" i="5" s="1"/>
  <c r="V323" i="18" s="1"/>
  <c r="T174" i="5" a="1"/>
  <c r="T174" i="5" s="1"/>
  <c r="T1587" i="5" a="1"/>
  <c r="T1587" i="5" s="1"/>
  <c r="V128" i="18" s="1"/>
  <c r="T257" i="5" a="1"/>
  <c r="T257" i="5" s="1"/>
  <c r="T3857" i="5" a="1"/>
  <c r="T3857" i="5" s="1"/>
  <c r="T229" i="5" a="1"/>
  <c r="T229" i="5" s="1"/>
  <c r="V218" i="18" s="1"/>
  <c r="T5068" i="5" a="1"/>
  <c r="T5068" i="5" s="1"/>
  <c r="T262" i="5" a="1"/>
  <c r="T262" i="5" s="1"/>
  <c r="T1593" i="5" a="1"/>
  <c r="T1593" i="5" s="1"/>
  <c r="T88" i="5" a="1"/>
  <c r="T88" i="5" s="1"/>
  <c r="T2435" i="5" a="1"/>
  <c r="T2435" i="5" s="1"/>
  <c r="T38" i="5" a="1"/>
  <c r="T38" i="5" s="1"/>
  <c r="V322" i="18" s="1"/>
  <c r="X322" i="18" s="1"/>
  <c r="AA288" i="18"/>
  <c r="Y288" i="18"/>
  <c r="V180" i="18"/>
  <c r="U125" i="5"/>
  <c r="U2441" i="5"/>
  <c r="U104" i="5"/>
  <c r="W25" i="18" s="1"/>
  <c r="U97" i="5"/>
  <c r="W97" i="5" s="1"/>
  <c r="U248" i="5"/>
  <c r="W248" i="5" s="1"/>
  <c r="U3165" i="5"/>
  <c r="W350" i="18" s="1"/>
  <c r="U109" i="5"/>
  <c r="U4128" i="5"/>
  <c r="W56" i="18" s="1"/>
  <c r="I322" i="18"/>
  <c r="I159" i="18"/>
  <c r="I200" i="18"/>
  <c r="I208" i="18"/>
  <c r="I49" i="18"/>
  <c r="I38" i="18"/>
  <c r="I9" i="18"/>
  <c r="I43" i="18"/>
  <c r="Q159" i="18"/>
  <c r="U159" i="18" s="1"/>
  <c r="Q322" i="18"/>
  <c r="U322" i="18" s="1"/>
  <c r="Q200" i="18"/>
  <c r="U200" i="18" s="1"/>
  <c r="Q208" i="18"/>
  <c r="U208" i="18" s="1"/>
  <c r="Q49" i="18"/>
  <c r="U49" i="18" s="1"/>
  <c r="Q38" i="18"/>
  <c r="U38" i="18" s="1"/>
  <c r="Q9" i="18"/>
  <c r="U9" i="18" s="1"/>
  <c r="Q43" i="18"/>
  <c r="U43" i="18" s="1"/>
  <c r="F7" i="18"/>
  <c r="T8124" i="5" s="1" a="1"/>
  <c r="T8124" i="5" s="1"/>
  <c r="F266" i="18"/>
  <c r="F203" i="18"/>
  <c r="T8308" i="5" s="1" a="1"/>
  <c r="T8308" i="5" s="1"/>
  <c r="U8308" i="5" s="1"/>
  <c r="W8308" i="5" s="1"/>
  <c r="F201" i="18"/>
  <c r="T8303" i="5" s="1" a="1"/>
  <c r="T8303" i="5" s="1"/>
  <c r="U8303" i="5" s="1"/>
  <c r="W8303" i="5" s="1"/>
  <c r="F166" i="18"/>
  <c r="T7884" i="5" l="1" a="1"/>
  <c r="T7884" i="5" s="1"/>
  <c r="U7884" i="5" s="1"/>
  <c r="W7884" i="5" s="1"/>
  <c r="T7892" i="5" a="1"/>
  <c r="T7892" i="5" s="1"/>
  <c r="U7892" i="5" s="1"/>
  <c r="W7892" i="5" s="1"/>
  <c r="T7830" i="5" a="1"/>
  <c r="T7830" i="5" s="1"/>
  <c r="U7830" i="5" s="1"/>
  <c r="W7830" i="5" s="1"/>
  <c r="U8124" i="5"/>
  <c r="V385" i="18"/>
  <c r="V29" i="18"/>
  <c r="X29" i="18" s="1"/>
  <c r="F19" i="18"/>
  <c r="T68" i="5" s="1" a="1"/>
  <c r="T68" i="5" s="1"/>
  <c r="T7883" i="5" a="1"/>
  <c r="T7883" i="5" s="1"/>
  <c r="U7883" i="5" s="1"/>
  <c r="W7883" i="5" s="1"/>
  <c r="T7822" i="5" a="1"/>
  <c r="T7822" i="5" s="1"/>
  <c r="U7822" i="5" s="1"/>
  <c r="W7822" i="5" s="1"/>
  <c r="T7821" i="5" a="1"/>
  <c r="T7821" i="5" s="1"/>
  <c r="T7882" i="5" a="1"/>
  <c r="T7882" i="5" s="1"/>
  <c r="U7882" i="5" s="1"/>
  <c r="W7882" i="5" s="1"/>
  <c r="T7695" i="5" a="1"/>
  <c r="T7695" i="5" s="1"/>
  <c r="U7695" i="5" s="1"/>
  <c r="W7695" i="5" s="1"/>
  <c r="T7857" i="5" a="1"/>
  <c r="T7857" i="5" s="1"/>
  <c r="U7857" i="5" s="1"/>
  <c r="W7857" i="5" s="1"/>
  <c r="U4255" i="5"/>
  <c r="W96" i="18" s="1"/>
  <c r="V311" i="18"/>
  <c r="V282" i="18"/>
  <c r="U1420" i="5"/>
  <c r="W1420" i="5" s="1"/>
  <c r="Y350" i="18"/>
  <c r="AA350" i="18"/>
  <c r="X286" i="18"/>
  <c r="X196" i="18"/>
  <c r="X86" i="18"/>
  <c r="W92" i="5"/>
  <c r="Y86" i="18"/>
  <c r="AA86" i="18"/>
  <c r="AA369" i="18"/>
  <c r="Y369" i="18"/>
  <c r="W286" i="18"/>
  <c r="X218" i="18"/>
  <c r="X362" i="18"/>
  <c r="W133" i="5"/>
  <c r="W249" i="18"/>
  <c r="X335" i="18"/>
  <c r="X62" i="18"/>
  <c r="X25" i="18"/>
  <c r="Y335" i="18"/>
  <c r="AA335" i="18"/>
  <c r="X369" i="18"/>
  <c r="AA25" i="18"/>
  <c r="Y25" i="18"/>
  <c r="X128" i="18"/>
  <c r="W87" i="5"/>
  <c r="W4671" i="5"/>
  <c r="X96" i="18"/>
  <c r="Y255" i="18"/>
  <c r="AA255" i="18"/>
  <c r="AA56" i="18"/>
  <c r="Y56" i="18"/>
  <c r="X424" i="18"/>
  <c r="W59" i="5"/>
  <c r="U3650" i="5"/>
  <c r="W355" i="18" s="1"/>
  <c r="V407" i="18"/>
  <c r="U4133" i="5"/>
  <c r="W336" i="18" s="1"/>
  <c r="V316" i="18"/>
  <c r="W3697" i="5"/>
  <c r="W4674" i="5"/>
  <c r="T3626" i="5" a="1"/>
  <c r="T3626" i="5" s="1"/>
  <c r="U3626" i="5" s="1"/>
  <c r="W3626" i="5" s="1"/>
  <c r="T4251" i="5" a="1"/>
  <c r="T4251" i="5" s="1"/>
  <c r="U4251" i="5" s="1"/>
  <c r="W4251" i="5" s="1"/>
  <c r="T214" i="5" a="1"/>
  <c r="T214" i="5" s="1"/>
  <c r="U214" i="5" s="1"/>
  <c r="W214" i="5" s="1"/>
  <c r="T3721" i="5" a="1"/>
  <c r="T3721" i="5" s="1"/>
  <c r="U3721" i="5" s="1"/>
  <c r="W3721" i="5" s="1"/>
  <c r="T5562" i="5" a="1"/>
  <c r="T5562" i="5" s="1"/>
  <c r="U5562" i="5" s="1"/>
  <c r="W5562" i="5" s="1"/>
  <c r="T3586" i="5" a="1"/>
  <c r="T3586" i="5" s="1"/>
  <c r="U3586" i="5" s="1"/>
  <c r="W3586" i="5" s="1"/>
  <c r="T5122" i="5" a="1"/>
  <c r="T5122" i="5" s="1"/>
  <c r="U5122" i="5" s="1"/>
  <c r="W5122" i="5" s="1"/>
  <c r="T3985" i="5" a="1"/>
  <c r="T3985" i="5" s="1"/>
  <c r="U3985" i="5" s="1"/>
  <c r="W3985" i="5" s="1"/>
  <c r="V222" i="18"/>
  <c r="X222" i="18" s="1"/>
  <c r="T140" i="5" a="1"/>
  <c r="T140" i="5" s="1"/>
  <c r="U140" i="5" s="1"/>
  <c r="W140" i="5" s="1"/>
  <c r="T3683" i="5" a="1"/>
  <c r="T3683" i="5" s="1"/>
  <c r="U3683" i="5" s="1"/>
  <c r="W3683" i="5" s="1"/>
  <c r="W3169" i="5"/>
  <c r="T212" i="5" a="1"/>
  <c r="T212" i="5" s="1"/>
  <c r="U212" i="5" s="1"/>
  <c r="W212" i="5" s="1"/>
  <c r="T3719" i="5" a="1"/>
  <c r="T3719" i="5" s="1"/>
  <c r="U3719" i="5" s="1"/>
  <c r="W3719" i="5" s="1"/>
  <c r="T57" i="5" a="1"/>
  <c r="T57" i="5" s="1"/>
  <c r="T3615" i="5" a="1"/>
  <c r="T3615" i="5" s="1"/>
  <c r="U3615" i="5" s="1"/>
  <c r="W3615" i="5" s="1"/>
  <c r="V159" i="18"/>
  <c r="W109" i="5"/>
  <c r="W68" i="18"/>
  <c r="W125" i="5"/>
  <c r="W3165" i="5"/>
  <c r="V54" i="18"/>
  <c r="X54" i="18" s="1"/>
  <c r="U5078" i="5"/>
  <c r="W5078" i="5" s="1"/>
  <c r="W104" i="5"/>
  <c r="W62" i="18"/>
  <c r="W4128" i="5"/>
  <c r="W280" i="18"/>
  <c r="W2441" i="5"/>
  <c r="V1775" i="5"/>
  <c r="U1775" i="5"/>
  <c r="T95" i="5" a="1"/>
  <c r="T95" i="5" s="1"/>
  <c r="T167" i="5" a="1"/>
  <c r="T167" i="5" s="1"/>
  <c r="T227" i="5" a="1"/>
  <c r="T227" i="5" s="1"/>
  <c r="T169" i="5" a="1"/>
  <c r="T169" i="5" s="1"/>
  <c r="V195" i="18" s="1"/>
  <c r="X195" i="18" s="1"/>
  <c r="T4538" i="5" a="1"/>
  <c r="T4538" i="5" s="1"/>
  <c r="V400" i="18" s="1"/>
  <c r="T1008" i="5" a="1"/>
  <c r="T1008" i="5" s="1"/>
  <c r="V49" i="18" s="1"/>
  <c r="T3582" i="5" a="1"/>
  <c r="T3582" i="5" s="1"/>
  <c r="T1589" i="5" a="1"/>
  <c r="T1589" i="5" s="1"/>
  <c r="T238" i="5" a="1"/>
  <c r="T238" i="5" s="1"/>
  <c r="W175" i="18"/>
  <c r="W196" i="18"/>
  <c r="W29" i="18"/>
  <c r="U88" i="5"/>
  <c r="U1593" i="5"/>
  <c r="W364" i="18" s="1"/>
  <c r="U38" i="5"/>
  <c r="W38" i="5" s="1"/>
  <c r="U262" i="5"/>
  <c r="W262" i="5" s="1"/>
  <c r="U174" i="5"/>
  <c r="W174" i="5" s="1"/>
  <c r="U1304" i="5"/>
  <c r="U2435" i="5"/>
  <c r="W399" i="18" s="1"/>
  <c r="U1587" i="5"/>
  <c r="W1587" i="5" s="1"/>
  <c r="U3857" i="5"/>
  <c r="W3857" i="5" s="1"/>
  <c r="U257" i="5"/>
  <c r="W257" i="5" s="1"/>
  <c r="U5068" i="5"/>
  <c r="W5068" i="5" s="1"/>
  <c r="U229" i="5"/>
  <c r="W362" i="18" s="1"/>
  <c r="I266" i="18"/>
  <c r="I166" i="18"/>
  <c r="I7" i="18"/>
  <c r="I201" i="18"/>
  <c r="I203" i="18"/>
  <c r="Q7" i="18"/>
  <c r="U7" i="18" s="1"/>
  <c r="Q266" i="18"/>
  <c r="U266" i="18" s="1"/>
  <c r="Q203" i="18"/>
  <c r="U203" i="18" s="1"/>
  <c r="Q166" i="18"/>
  <c r="U166" i="18" s="1"/>
  <c r="Q201" i="18"/>
  <c r="U201" i="18" s="1"/>
  <c r="F247" i="18"/>
  <c r="K162" i="18"/>
  <c r="M162" i="18" s="1"/>
  <c r="F112" i="18"/>
  <c r="T8197" i="5" s="1" a="1"/>
  <c r="T8197" i="5" s="1"/>
  <c r="U8197" i="5" s="1"/>
  <c r="W8197" i="5" s="1"/>
  <c r="U1836" i="5"/>
  <c r="W333" i="18" s="1"/>
  <c r="U1829" i="5"/>
  <c r="F93" i="18"/>
  <c r="F236" i="18"/>
  <c r="F10" i="18"/>
  <c r="F3" i="18"/>
  <c r="F284" i="18"/>
  <c r="T8200" i="5" l="1" a="1"/>
  <c r="T8200" i="5" s="1"/>
  <c r="U8200" i="5" s="1"/>
  <c r="T8194" i="5" a="1"/>
  <c r="T8194" i="5" s="1"/>
  <c r="U8194" i="5" s="1"/>
  <c r="W8194" i="5" s="1"/>
  <c r="V111" i="18"/>
  <c r="X111" i="18" s="1"/>
  <c r="W8124" i="5"/>
  <c r="W385" i="18"/>
  <c r="U7821" i="5"/>
  <c r="V305" i="18"/>
  <c r="X305" i="18" s="1"/>
  <c r="I19" i="18"/>
  <c r="Q19" i="18"/>
  <c r="U19" i="18" s="1"/>
  <c r="W282" i="18"/>
  <c r="AA282" i="18" s="1"/>
  <c r="W4255" i="5"/>
  <c r="AA96" i="18"/>
  <c r="Y96" i="18"/>
  <c r="T6502" i="5" a="1"/>
  <c r="T6502" i="5" s="1"/>
  <c r="U6502" i="5" s="1"/>
  <c r="W6502" i="5" s="1"/>
  <c r="T60" i="5" a="1"/>
  <c r="T60" i="5" s="1"/>
  <c r="U60" i="5" s="1"/>
  <c r="W60" i="5" s="1"/>
  <c r="T6086" i="5" a="1"/>
  <c r="T6086" i="5" s="1"/>
  <c r="U6086" i="5" s="1"/>
  <c r="W6086" i="5" s="1"/>
  <c r="Y364" i="18"/>
  <c r="AA364" i="18"/>
  <c r="X159" i="18"/>
  <c r="X249" i="18"/>
  <c r="X407" i="18"/>
  <c r="X355" i="18"/>
  <c r="Y355" i="18"/>
  <c r="AA355" i="18"/>
  <c r="AA286" i="18"/>
  <c r="Y286" i="18"/>
  <c r="X364" i="18"/>
  <c r="Y399" i="18"/>
  <c r="AA399" i="18"/>
  <c r="X400" i="18"/>
  <c r="X406" i="18"/>
  <c r="X316" i="18"/>
  <c r="X336" i="18"/>
  <c r="W446" i="18"/>
  <c r="Y336" i="18"/>
  <c r="AA336" i="18"/>
  <c r="Y249" i="18"/>
  <c r="AA249" i="18"/>
  <c r="Y333" i="18"/>
  <c r="AA333" i="18"/>
  <c r="Y362" i="18"/>
  <c r="AA362" i="18"/>
  <c r="W4133" i="5"/>
  <c r="W316" i="18"/>
  <c r="W3650" i="5"/>
  <c r="W407" i="18"/>
  <c r="T3611" i="5" a="1"/>
  <c r="T3611" i="5" s="1"/>
  <c r="U3611" i="5" s="1"/>
  <c r="T5896" i="5" a="1"/>
  <c r="T5896" i="5" s="1"/>
  <c r="U5896" i="5" s="1"/>
  <c r="W5896" i="5" s="1"/>
  <c r="T4959" i="5" a="1"/>
  <c r="T4959" i="5" s="1"/>
  <c r="U4959" i="5" s="1"/>
  <c r="W4959" i="5" s="1"/>
  <c r="T5267" i="5" a="1"/>
  <c r="T5267" i="5" s="1"/>
  <c r="T5037" i="5" a="1"/>
  <c r="T5037" i="5" s="1"/>
  <c r="U5037" i="5" s="1"/>
  <c r="W5037" i="5" s="1"/>
  <c r="T5156" i="5" a="1"/>
  <c r="T5156" i="5" s="1"/>
  <c r="T3868" i="5" a="1"/>
  <c r="T3868" i="5" s="1"/>
  <c r="U3868" i="5" s="1"/>
  <c r="W3868" i="5" s="1"/>
  <c r="T4069" i="5" a="1"/>
  <c r="T4069" i="5" s="1"/>
  <c r="T6526" i="5" a="1"/>
  <c r="T6526" i="5" s="1"/>
  <c r="U6526" i="5" s="1"/>
  <c r="W6526" i="5" s="1"/>
  <c r="W1593" i="5"/>
  <c r="W222" i="18"/>
  <c r="Z324" i="18"/>
  <c r="Z41" i="18"/>
  <c r="T5076" i="5" a="1"/>
  <c r="T5076" i="5" s="1"/>
  <c r="U5076" i="5" s="1"/>
  <c r="W5076" i="5" s="1"/>
  <c r="T4244" i="5" a="1"/>
  <c r="T4244" i="5" s="1"/>
  <c r="T5893" i="5" a="1"/>
  <c r="T5893" i="5" s="1"/>
  <c r="U5893" i="5" s="1"/>
  <c r="W5893" i="5" s="1"/>
  <c r="T3803" i="5" a="1"/>
  <c r="T3803" i="5" s="1"/>
  <c r="T4137" i="5" a="1"/>
  <c r="T4137" i="5" s="1"/>
  <c r="U4137" i="5" s="1"/>
  <c r="T4838" i="5" a="1"/>
  <c r="T4838" i="5" s="1"/>
  <c r="T5600" i="5" a="1"/>
  <c r="T5600" i="5" s="1"/>
  <c r="U5600" i="5" s="1"/>
  <c r="W5600" i="5" s="1"/>
  <c r="T3833" i="5" a="1"/>
  <c r="T3833" i="5" s="1"/>
  <c r="U3833" i="5" s="1"/>
  <c r="U57" i="5"/>
  <c r="W330" i="18" s="1"/>
  <c r="V167" i="18"/>
  <c r="T4006" i="5" a="1"/>
  <c r="T4006" i="5" s="1"/>
  <c r="U4006" i="5" s="1"/>
  <c r="W4006" i="5" s="1"/>
  <c r="T3945" i="5" a="1"/>
  <c r="T3945" i="5" s="1"/>
  <c r="T3947" i="5" a="1"/>
  <c r="T3947" i="5" s="1"/>
  <c r="U3947" i="5" s="1"/>
  <c r="W3947" i="5" s="1"/>
  <c r="T4004" i="5" a="1"/>
  <c r="T4004" i="5" s="1"/>
  <c r="W1304" i="5"/>
  <c r="T6350" i="5" a="1"/>
  <c r="T6350" i="5" s="1"/>
  <c r="U6350" i="5" s="1"/>
  <c r="W6350" i="5" s="1"/>
  <c r="T5276" i="5" a="1"/>
  <c r="T5276" i="5" s="1"/>
  <c r="U5276" i="5" s="1"/>
  <c r="W5276" i="5" s="1"/>
  <c r="T4692" i="5" a="1"/>
  <c r="T4692" i="5" s="1"/>
  <c r="U4692" i="5" s="1"/>
  <c r="T4235" i="5" a="1"/>
  <c r="T4235" i="5" s="1"/>
  <c r="U4235" i="5" s="1"/>
  <c r="W4235" i="5" s="1"/>
  <c r="U68" i="5"/>
  <c r="W88" i="5"/>
  <c r="T4590" i="5" a="1"/>
  <c r="T4590" i="5" s="1"/>
  <c r="T2793" i="5" a="1"/>
  <c r="T2793" i="5" s="1"/>
  <c r="U2793" i="5" s="1"/>
  <c r="W2793" i="5" s="1"/>
  <c r="W2435" i="5"/>
  <c r="T2461" i="5" a="1"/>
  <c r="T2461" i="5" s="1"/>
  <c r="T3972" i="5" a="1"/>
  <c r="T3972" i="5" s="1"/>
  <c r="U3972" i="5" s="1"/>
  <c r="W3972" i="5" s="1"/>
  <c r="W229" i="5"/>
  <c r="W218" i="18"/>
  <c r="V216" i="18"/>
  <c r="AA280" i="18"/>
  <c r="Y280" i="18"/>
  <c r="T53" i="5" a="1"/>
  <c r="T53" i="5" s="1"/>
  <c r="U53" i="5" s="1"/>
  <c r="T5079" i="5" a="1"/>
  <c r="T5079" i="5" s="1"/>
  <c r="T6491" i="5" a="1"/>
  <c r="T6491" i="5" s="1"/>
  <c r="T6486" i="5" a="1"/>
  <c r="T6486" i="5" s="1"/>
  <c r="U6486" i="5" s="1"/>
  <c r="W6486" i="5" s="1"/>
  <c r="T3641" i="5" a="1"/>
  <c r="T3641" i="5" s="1"/>
  <c r="U3641" i="5" s="1"/>
  <c r="W3641" i="5" s="1"/>
  <c r="T3963" i="5" a="1"/>
  <c r="T3963" i="5" s="1"/>
  <c r="T3164" i="5" a="1"/>
  <c r="T3164" i="5" s="1"/>
  <c r="U3164" i="5" s="1"/>
  <c r="W3164" i="5" s="1"/>
  <c r="AA62" i="18"/>
  <c r="AA68" i="18"/>
  <c r="Y68" i="18"/>
  <c r="V1656" i="5"/>
  <c r="U1656" i="5"/>
  <c r="W1829" i="5"/>
  <c r="W102" i="18"/>
  <c r="W1836" i="5"/>
  <c r="W114" i="18"/>
  <c r="W1775" i="5"/>
  <c r="W324" i="18"/>
  <c r="Y324" i="18" s="1"/>
  <c r="T441" i="5" a="1"/>
  <c r="T441" i="5" s="1"/>
  <c r="T1308" i="5" a="1"/>
  <c r="T1308" i="5" s="1"/>
  <c r="T1582" i="5" a="1"/>
  <c r="T1582" i="5" s="1"/>
  <c r="T5066" i="5" a="1"/>
  <c r="T5066" i="5" s="1"/>
  <c r="T2791" i="5" a="1"/>
  <c r="T2791" i="5" s="1"/>
  <c r="U2791" i="5" s="1"/>
  <c r="W2791" i="5" s="1"/>
  <c r="T554" i="5" a="1"/>
  <c r="T554" i="5" s="1"/>
  <c r="T4585" i="5" a="1"/>
  <c r="T4585" i="5" s="1"/>
  <c r="T1564" i="5" a="1"/>
  <c r="T1564" i="5" s="1"/>
  <c r="T2459" i="5" a="1"/>
  <c r="T2459" i="5" s="1"/>
  <c r="V253" i="18" s="1"/>
  <c r="T6062" i="5" a="1"/>
  <c r="T6062" i="5" s="1"/>
  <c r="T3968" i="5" a="1"/>
  <c r="T3968" i="5" s="1"/>
  <c r="V313" i="18" s="1"/>
  <c r="T795" i="5" a="1"/>
  <c r="T795" i="5" s="1"/>
  <c r="T797" i="5" a="1"/>
  <c r="T797" i="5" s="1"/>
  <c r="T1054" i="5" a="1"/>
  <c r="T1054" i="5" s="1"/>
  <c r="T1056" i="5" a="1"/>
  <c r="T1056" i="5" s="1"/>
  <c r="T223" i="5" a="1"/>
  <c r="T223" i="5" s="1"/>
  <c r="V212" i="18" s="1"/>
  <c r="T5069" i="5" a="1"/>
  <c r="T5069" i="5" s="1"/>
  <c r="V415" i="18" s="1"/>
  <c r="T230" i="5" a="1"/>
  <c r="T230" i="5" s="1"/>
  <c r="T607" i="5" a="1"/>
  <c r="T607" i="5" s="1"/>
  <c r="T1184" i="5" a="1"/>
  <c r="T1184" i="5" s="1"/>
  <c r="T3329" i="5" a="1"/>
  <c r="T3329" i="5" s="1"/>
  <c r="T3637" i="5" a="1"/>
  <c r="T3637" i="5" s="1"/>
  <c r="T3960" i="5" a="1"/>
  <c r="T3960" i="5" s="1"/>
  <c r="V263" i="18" s="1"/>
  <c r="T3160" i="5" a="1"/>
  <c r="T3160" i="5" s="1"/>
  <c r="AA196" i="18"/>
  <c r="Y196" i="18"/>
  <c r="AA29" i="18"/>
  <c r="Y29" i="18"/>
  <c r="AA175" i="18"/>
  <c r="Y175" i="18"/>
  <c r="W322" i="18"/>
  <c r="W159" i="18"/>
  <c r="U227" i="5"/>
  <c r="W239" i="18" s="1"/>
  <c r="U95" i="5"/>
  <c r="U167" i="5"/>
  <c r="W368" i="18" s="1"/>
  <c r="U169" i="5"/>
  <c r="W198" i="18" s="1"/>
  <c r="U4538" i="5"/>
  <c r="U1589" i="5"/>
  <c r="W1589" i="5" s="1"/>
  <c r="U238" i="5"/>
  <c r="W238" i="5" s="1"/>
  <c r="U1008" i="5"/>
  <c r="W1008" i="5" s="1"/>
  <c r="U3582" i="5"/>
  <c r="W3582" i="5" s="1"/>
  <c r="I247" i="18"/>
  <c r="I236" i="18"/>
  <c r="I93" i="18"/>
  <c r="I284" i="18"/>
  <c r="I3" i="18"/>
  <c r="I10" i="18"/>
  <c r="Q112" i="18"/>
  <c r="U112" i="18" s="1"/>
  <c r="I112" i="18"/>
  <c r="Q3" i="18"/>
  <c r="U3" i="18" s="1"/>
  <c r="Q236" i="18"/>
  <c r="U236" i="18" s="1"/>
  <c r="Q10" i="18"/>
  <c r="U10" i="18" s="1"/>
  <c r="Q93" i="18"/>
  <c r="U93" i="18" s="1"/>
  <c r="Q247" i="18"/>
  <c r="U247" i="18" s="1"/>
  <c r="Q284" i="18"/>
  <c r="U284" i="18" s="1"/>
  <c r="P162" i="18"/>
  <c r="F183" i="18"/>
  <c r="F261" i="18"/>
  <c r="F197" i="18"/>
  <c r="T7559" i="5" l="1" a="1"/>
  <c r="T7559" i="5" s="1"/>
  <c r="U7559" i="5" s="1"/>
  <c r="W7559" i="5" s="1"/>
  <c r="T8305" i="5" a="1"/>
  <c r="T8305" i="5" s="1"/>
  <c r="U8305" i="5" s="1"/>
  <c r="W8305" i="5" s="1"/>
  <c r="W8200" i="5"/>
  <c r="W111" i="18"/>
  <c r="W7821" i="5"/>
  <c r="W305" i="18"/>
  <c r="Y385" i="18"/>
  <c r="AA385" i="18"/>
  <c r="Y282" i="18"/>
  <c r="T7557" i="5" a="1"/>
  <c r="T7557" i="5" s="1"/>
  <c r="U7557" i="5" s="1"/>
  <c r="W7557" i="5" s="1"/>
  <c r="T7558" i="5" a="1"/>
  <c r="T7558" i="5" s="1"/>
  <c r="U7558" i="5" s="1"/>
  <c r="W7558" i="5" s="1"/>
  <c r="U3945" i="5"/>
  <c r="W372" i="18" s="1"/>
  <c r="V372" i="18"/>
  <c r="X372" i="18" s="1"/>
  <c r="W4137" i="5"/>
  <c r="X415" i="18"/>
  <c r="X422" i="18"/>
  <c r="X313" i="18"/>
  <c r="X311" i="18"/>
  <c r="W53" i="5"/>
  <c r="W80" i="18"/>
  <c r="W107" i="18"/>
  <c r="Y107" i="18" s="1"/>
  <c r="W342" i="18"/>
  <c r="W4692" i="5"/>
  <c r="W23" i="18"/>
  <c r="X253" i="18"/>
  <c r="X194" i="18"/>
  <c r="X412" i="18"/>
  <c r="W3833" i="5"/>
  <c r="W436" i="18"/>
  <c r="X216" i="18"/>
  <c r="X239" i="18"/>
  <c r="AA330" i="18"/>
  <c r="Y330" i="18"/>
  <c r="AA368" i="18"/>
  <c r="Y368" i="18"/>
  <c r="X323" i="18"/>
  <c r="X212" i="18"/>
  <c r="X340" i="18"/>
  <c r="Y239" i="18"/>
  <c r="AA239" i="18"/>
  <c r="X80" i="18"/>
  <c r="Y446" i="18"/>
  <c r="AA446" i="18"/>
  <c r="V201" i="18"/>
  <c r="U4244" i="5"/>
  <c r="V321" i="18"/>
  <c r="X321" i="18" s="1"/>
  <c r="U5156" i="5"/>
  <c r="W227" i="18" s="1"/>
  <c r="V334" i="18"/>
  <c r="U5267" i="5"/>
  <c r="W123" i="18" s="1"/>
  <c r="V259" i="18"/>
  <c r="U4004" i="5"/>
  <c r="U4838" i="5"/>
  <c r="W58" i="18" s="1"/>
  <c r="V296" i="18"/>
  <c r="U3803" i="5"/>
  <c r="V150" i="18"/>
  <c r="W3611" i="5"/>
  <c r="AA316" i="18"/>
  <c r="Y316" i="18"/>
  <c r="U4069" i="5"/>
  <c r="W180" i="18" s="1"/>
  <c r="V292" i="18"/>
  <c r="Y407" i="18"/>
  <c r="AA407" i="18"/>
  <c r="AA198" i="18"/>
  <c r="Y198" i="18"/>
  <c r="T3990" i="5" a="1"/>
  <c r="T3990" i="5" s="1"/>
  <c r="U3990" i="5" s="1"/>
  <c r="W3990" i="5" s="1"/>
  <c r="T3714" i="5" a="1"/>
  <c r="T3714" i="5" s="1"/>
  <c r="U3714" i="5" s="1"/>
  <c r="W3714" i="5" s="1"/>
  <c r="T5040" i="5" a="1"/>
  <c r="T5040" i="5" s="1"/>
  <c r="U5040" i="5" s="1"/>
  <c r="W5040" i="5" s="1"/>
  <c r="T5572" i="5" a="1"/>
  <c r="T5572" i="5" s="1"/>
  <c r="U5572" i="5" s="1"/>
  <c r="W5572" i="5" s="1"/>
  <c r="T4870" i="5" a="1"/>
  <c r="T4870" i="5" s="1"/>
  <c r="U4870" i="5" s="1"/>
  <c r="W4870" i="5" s="1"/>
  <c r="V240" i="18"/>
  <c r="X240" i="18" s="1"/>
  <c r="W57" i="5"/>
  <c r="W167" i="18"/>
  <c r="Z129" i="18"/>
  <c r="Z107" i="18"/>
  <c r="T2438" i="5" a="1"/>
  <c r="T2438" i="5" s="1"/>
  <c r="U2438" i="5" s="1"/>
  <c r="T4672" i="5" a="1"/>
  <c r="T4672" i="5" s="1"/>
  <c r="T3955" i="5" a="1"/>
  <c r="T3955" i="5" s="1"/>
  <c r="U3955" i="5" s="1"/>
  <c r="W3955" i="5" s="1"/>
  <c r="T157" i="5" a="1"/>
  <c r="T157" i="5" s="1"/>
  <c r="U157" i="5" s="1"/>
  <c r="T3700" i="5" a="1"/>
  <c r="T3700" i="5" s="1"/>
  <c r="U3700" i="5" s="1"/>
  <c r="W3700" i="5" s="1"/>
  <c r="U2461" i="5"/>
  <c r="W4538" i="5"/>
  <c r="W400" i="18"/>
  <c r="U4590" i="5"/>
  <c r="V265" i="18"/>
  <c r="W68" i="5"/>
  <c r="AA222" i="18"/>
  <c r="W95" i="5"/>
  <c r="V55" i="18"/>
  <c r="X55" i="18" s="1"/>
  <c r="U5079" i="5"/>
  <c r="W5079" i="5" s="1"/>
  <c r="Y218" i="18"/>
  <c r="AA218" i="18"/>
  <c r="U3963" i="5"/>
  <c r="W3963" i="5" s="1"/>
  <c r="V10" i="18"/>
  <c r="V219" i="18"/>
  <c r="X219" i="18" s="1"/>
  <c r="U4585" i="5"/>
  <c r="U6491" i="5"/>
  <c r="W227" i="5"/>
  <c r="W216" i="18"/>
  <c r="W169" i="5"/>
  <c r="W195" i="18"/>
  <c r="T3336" i="5" a="1"/>
  <c r="T3336" i="5" s="1"/>
  <c r="U3336" i="5" s="1"/>
  <c r="W3336" i="5" s="1"/>
  <c r="T2892" i="5" a="1"/>
  <c r="T2892" i="5" s="1"/>
  <c r="U2892" i="5" s="1"/>
  <c r="W2892" i="5" s="1"/>
  <c r="T4553" i="5" a="1"/>
  <c r="T4553" i="5" s="1"/>
  <c r="W167" i="5"/>
  <c r="AA324" i="18"/>
  <c r="Y114" i="18"/>
  <c r="AA114" i="18"/>
  <c r="Y102" i="18"/>
  <c r="AA102" i="18"/>
  <c r="W1656" i="5"/>
  <c r="W129" i="18"/>
  <c r="Y129" i="18" s="1"/>
  <c r="T1013" i="5" a="1"/>
  <c r="T1013" i="5" s="1"/>
  <c r="T2888" i="5" a="1"/>
  <c r="T2888" i="5" s="1"/>
  <c r="V236" i="18" s="1"/>
  <c r="T3332" i="5" a="1"/>
  <c r="T3332" i="5" s="1"/>
  <c r="U554" i="5"/>
  <c r="T933" i="5" a="1"/>
  <c r="T933" i="5" s="1"/>
  <c r="V119" i="18" s="1"/>
  <c r="T112" i="5" a="1"/>
  <c r="T112" i="5" s="1"/>
  <c r="AA159" i="18"/>
  <c r="Y159" i="18"/>
  <c r="AA322" i="18"/>
  <c r="Y322" i="18"/>
  <c r="V93" i="18"/>
  <c r="W201" i="18"/>
  <c r="U230" i="5"/>
  <c r="U3329" i="5"/>
  <c r="W3329" i="5" s="1"/>
  <c r="U607" i="5"/>
  <c r="U3637" i="5"/>
  <c r="U1184" i="5"/>
  <c r="U3960" i="5"/>
  <c r="W3960" i="5" s="1"/>
  <c r="U3160" i="5"/>
  <c r="W240" i="18" s="1"/>
  <c r="U5069" i="5"/>
  <c r="W422" i="18" s="1"/>
  <c r="U223" i="5"/>
  <c r="W340" i="18" s="1"/>
  <c r="U2459" i="5"/>
  <c r="W194" i="18" s="1"/>
  <c r="U1564" i="5"/>
  <c r="W1564" i="5" s="1"/>
  <c r="U3968" i="5"/>
  <c r="W311" i="18" s="1"/>
  <c r="U6062" i="5"/>
  <c r="U795" i="5"/>
  <c r="U797" i="5"/>
  <c r="W797" i="5" s="1"/>
  <c r="U1054" i="5"/>
  <c r="W1054" i="5" s="1"/>
  <c r="U1056" i="5"/>
  <c r="W1056" i="5" s="1"/>
  <c r="U1308" i="5"/>
  <c r="W1308" i="5" s="1"/>
  <c r="U1582" i="5"/>
  <c r="W1582" i="5" s="1"/>
  <c r="U441" i="5"/>
  <c r="U5066" i="5"/>
  <c r="W5066" i="5" s="1"/>
  <c r="I261" i="18"/>
  <c r="I197" i="18"/>
  <c r="I183" i="18"/>
  <c r="Q197" i="18"/>
  <c r="U197" i="18" s="1"/>
  <c r="Q261" i="18"/>
  <c r="U261" i="18" s="1"/>
  <c r="Q183" i="18"/>
  <c r="U183" i="18" s="1"/>
  <c r="L89" i="18"/>
  <c r="L124" i="18"/>
  <c r="L220" i="18"/>
  <c r="L195" i="18"/>
  <c r="L196" i="18"/>
  <c r="L275" i="18"/>
  <c r="L385" i="18"/>
  <c r="L328" i="18"/>
  <c r="L413" i="18"/>
  <c r="L405" i="18"/>
  <c r="L70" i="18"/>
  <c r="L301" i="18"/>
  <c r="L423" i="18"/>
  <c r="L305" i="18"/>
  <c r="L447" i="18"/>
  <c r="L96" i="18"/>
  <c r="L407" i="18"/>
  <c r="L336" i="18"/>
  <c r="L422" i="18"/>
  <c r="L408" i="18"/>
  <c r="L101" i="18"/>
  <c r="L82" i="18"/>
  <c r="L295" i="18"/>
  <c r="L297" i="18"/>
  <c r="L332" i="18"/>
  <c r="L450" i="18"/>
  <c r="L343" i="18"/>
  <c r="L118" i="18"/>
  <c r="L306" i="18"/>
  <c r="L424" i="18"/>
  <c r="L319" i="18"/>
  <c r="L414" i="18"/>
  <c r="L420" i="18"/>
  <c r="L377" i="18"/>
  <c r="L445" i="18"/>
  <c r="L24" i="18"/>
  <c r="L411" i="18"/>
  <c r="L344" i="18"/>
  <c r="L384" i="18"/>
  <c r="L357" i="18"/>
  <c r="L81" i="18"/>
  <c r="L366" i="18"/>
  <c r="L331" i="18"/>
  <c r="L139" i="18"/>
  <c r="L57" i="18"/>
  <c r="F267" i="18"/>
  <c r="F283" i="18"/>
  <c r="T7615" i="5" s="1" a="1"/>
  <c r="T7615" i="5" s="1"/>
  <c r="U7615" i="5" s="1"/>
  <c r="W7615" i="5" s="1"/>
  <c r="F285" i="18"/>
  <c r="F268" i="18"/>
  <c r="F45" i="18"/>
  <c r="F152" i="18"/>
  <c r="T8301" i="5" s="1" a="1"/>
  <c r="T8301" i="5" s="1"/>
  <c r="U8301" i="5" s="1"/>
  <c r="W8301" i="5" s="1"/>
  <c r="F11" i="18"/>
  <c r="F103" i="18"/>
  <c r="T7877" i="5" s="1" a="1"/>
  <c r="T7877" i="5" s="1"/>
  <c r="U7877" i="5" s="1"/>
  <c r="W7877" i="5" s="1"/>
  <c r="F178" i="18"/>
  <c r="F156" i="18"/>
  <c r="F269" i="18"/>
  <c r="F181" i="18"/>
  <c r="J28" i="10"/>
  <c r="AA111" i="18" l="1"/>
  <c r="Y111" i="18"/>
  <c r="T7865" i="5" a="1"/>
  <c r="T7865" i="5" s="1"/>
  <c r="U7865" i="5" s="1"/>
  <c r="W7865" i="5" s="1"/>
  <c r="T7874" i="5" a="1"/>
  <c r="T7874" i="5" s="1"/>
  <c r="U7874" i="5" s="1"/>
  <c r="W7874" i="5" s="1"/>
  <c r="AA305" i="18"/>
  <c r="Y305" i="18"/>
  <c r="T8125" i="5" a="1"/>
  <c r="T8125" i="5" s="1"/>
  <c r="U8125" i="5" s="1"/>
  <c r="W8125" i="5" s="1"/>
  <c r="T7696" i="5" a="1"/>
  <c r="T7696" i="5" s="1"/>
  <c r="U7696" i="5" s="1"/>
  <c r="W7696" i="5" s="1"/>
  <c r="T7869" i="5" a="1"/>
  <c r="T7869" i="5" s="1"/>
  <c r="U7869" i="5" s="1"/>
  <c r="W7869" i="5" s="1"/>
  <c r="W3945" i="5"/>
  <c r="T7613" i="5" a="1"/>
  <c r="T7613" i="5" s="1"/>
  <c r="T7614" i="5" a="1"/>
  <c r="T7614" i="5" s="1"/>
  <c r="U7614" i="5" s="1"/>
  <c r="W7614" i="5" s="1"/>
  <c r="T7864" i="5" a="1"/>
  <c r="T7864" i="5" s="1"/>
  <c r="U7864" i="5" s="1"/>
  <c r="W7864" i="5" s="1"/>
  <c r="T7700" i="5" a="1"/>
  <c r="T7700" i="5" s="1"/>
  <c r="AA107" i="18"/>
  <c r="T3988" i="5" a="1"/>
  <c r="T3988" i="5" s="1"/>
  <c r="U3988" i="5" s="1"/>
  <c r="W3988" i="5" s="1"/>
  <c r="T6474" i="5" a="1"/>
  <c r="T6474" i="5" s="1"/>
  <c r="U6474" i="5" s="1"/>
  <c r="W6474" i="5" s="1"/>
  <c r="T3989" i="5" a="1"/>
  <c r="T3989" i="5" s="1"/>
  <c r="X292" i="18"/>
  <c r="X180" i="18"/>
  <c r="AA58" i="18"/>
  <c r="Y58" i="18"/>
  <c r="AA436" i="18"/>
  <c r="Y436" i="18"/>
  <c r="Y23" i="18"/>
  <c r="AA23" i="18"/>
  <c r="W450" i="18"/>
  <c r="X93" i="18"/>
  <c r="X77" i="18"/>
  <c r="X119" i="18"/>
  <c r="X255" i="18"/>
  <c r="W795" i="5"/>
  <c r="W77" i="18"/>
  <c r="W554" i="5"/>
  <c r="Y180" i="18"/>
  <c r="AA180" i="18"/>
  <c r="AA422" i="18"/>
  <c r="Y422" i="18"/>
  <c r="W6062" i="5"/>
  <c r="W452" i="18"/>
  <c r="X259" i="18"/>
  <c r="X123" i="18"/>
  <c r="AA342" i="18"/>
  <c r="Y342" i="18"/>
  <c r="W441" i="5"/>
  <c r="W461" i="18"/>
  <c r="Y311" i="18"/>
  <c r="AA311" i="18"/>
  <c r="X236" i="18"/>
  <c r="X461" i="18"/>
  <c r="Y123" i="18"/>
  <c r="AA123" i="18"/>
  <c r="W157" i="5"/>
  <c r="W90" i="18"/>
  <c r="X334" i="18"/>
  <c r="X227" i="18"/>
  <c r="AA194" i="18"/>
  <c r="Y194" i="18"/>
  <c r="X265" i="18"/>
  <c r="X394" i="18"/>
  <c r="Y227" i="18"/>
  <c r="AA227" i="18"/>
  <c r="Y340" i="18"/>
  <c r="AA340" i="18"/>
  <c r="AA80" i="18"/>
  <c r="Y80" i="18"/>
  <c r="X296" i="18"/>
  <c r="X58" i="18"/>
  <c r="F179" i="18"/>
  <c r="V183" i="18"/>
  <c r="V246" i="18"/>
  <c r="X246" i="18" s="1"/>
  <c r="W4004" i="5"/>
  <c r="W5267" i="5"/>
  <c r="W259" i="18"/>
  <c r="W3803" i="5"/>
  <c r="W5156" i="5"/>
  <c r="W334" i="18"/>
  <c r="W4069" i="5"/>
  <c r="W292" i="18"/>
  <c r="W4838" i="5"/>
  <c r="W296" i="18"/>
  <c r="W4244" i="5"/>
  <c r="W321" i="18"/>
  <c r="U4672" i="5"/>
  <c r="W359" i="18" s="1"/>
  <c r="V414" i="18"/>
  <c r="T3335" i="5" a="1"/>
  <c r="T3335" i="5" s="1"/>
  <c r="U3335" i="5" s="1"/>
  <c r="W3335" i="5" s="1"/>
  <c r="T3986" i="5" a="1"/>
  <c r="T3986" i="5" s="1"/>
  <c r="U3986" i="5" s="1"/>
  <c r="W3986" i="5" s="1"/>
  <c r="T5039" i="5" a="1"/>
  <c r="T5039" i="5" s="1"/>
  <c r="U5039" i="5" s="1"/>
  <c r="W5039" i="5" s="1"/>
  <c r="T4169" i="5" a="1"/>
  <c r="T4169" i="5" s="1"/>
  <c r="U4169" i="5" s="1"/>
  <c r="W4169" i="5" s="1"/>
  <c r="AA372" i="18"/>
  <c r="Y372" i="18"/>
  <c r="W2438" i="5"/>
  <c r="AA240" i="18"/>
  <c r="Y240" i="18"/>
  <c r="W4590" i="5"/>
  <c r="W265" i="18"/>
  <c r="T94" i="5" a="1"/>
  <c r="T94" i="5" s="1"/>
  <c r="U94" i="5" s="1"/>
  <c r="T3652" i="5" a="1"/>
  <c r="T3652" i="5" s="1"/>
  <c r="T152" i="5" a="1"/>
  <c r="T152" i="5" s="1"/>
  <c r="U152" i="5" s="1"/>
  <c r="T3695" i="5" a="1"/>
  <c r="T3695" i="5" s="1"/>
  <c r="U3695" i="5" s="1"/>
  <c r="V260" i="18"/>
  <c r="Y400" i="18"/>
  <c r="AA400" i="18"/>
  <c r="T130" i="5" a="1"/>
  <c r="T130" i="5" s="1"/>
  <c r="U130" i="5" s="1"/>
  <c r="T3673" i="5" a="1"/>
  <c r="T3673" i="5" s="1"/>
  <c r="U3673" i="5" s="1"/>
  <c r="W3673" i="5" s="1"/>
  <c r="T4065" i="5" a="1"/>
  <c r="T4065" i="5" s="1"/>
  <c r="T4670" i="5" a="1"/>
  <c r="T4670" i="5" s="1"/>
  <c r="T4237" i="5" a="1"/>
  <c r="T4237" i="5" s="1"/>
  <c r="T5343" i="5" a="1"/>
  <c r="T5343" i="5" s="1"/>
  <c r="U5343" i="5" s="1"/>
  <c r="W5343" i="5" s="1"/>
  <c r="T3788" i="5" a="1"/>
  <c r="T3788" i="5" s="1"/>
  <c r="U3788" i="5" s="1"/>
  <c r="T4673" i="5" a="1"/>
  <c r="T4673" i="5" s="1"/>
  <c r="T5344" i="5" a="1"/>
  <c r="T5344" i="5" s="1"/>
  <c r="U5344" i="5" s="1"/>
  <c r="W5344" i="5" s="1"/>
  <c r="T4003" i="5" a="1"/>
  <c r="T4003" i="5" s="1"/>
  <c r="U4003" i="5" s="1"/>
  <c r="W4003" i="5" s="1"/>
  <c r="W1184" i="5"/>
  <c r="T3696" i="5" a="1"/>
  <c r="T3696" i="5" s="1"/>
  <c r="U3696" i="5" s="1"/>
  <c r="W3696" i="5" s="1"/>
  <c r="T3958" i="5" a="1"/>
  <c r="T3958" i="5" s="1"/>
  <c r="U3958" i="5" s="1"/>
  <c r="W3958" i="5" s="1"/>
  <c r="T6349" i="5" a="1"/>
  <c r="T6349" i="5" s="1"/>
  <c r="T4340" i="5" a="1"/>
  <c r="T4340" i="5" s="1"/>
  <c r="U4340" i="5" s="1"/>
  <c r="W4340" i="5" s="1"/>
  <c r="T5269" i="5" a="1"/>
  <c r="T5269" i="5" s="1"/>
  <c r="U5269" i="5" s="1"/>
  <c r="W5269" i="5" s="1"/>
  <c r="T4740" i="5" a="1"/>
  <c r="T4740" i="5" s="1"/>
  <c r="T3619" i="5" a="1"/>
  <c r="T3619" i="5" s="1"/>
  <c r="T5231" i="5" a="1"/>
  <c r="T5231" i="5" s="1"/>
  <c r="U5231" i="5" s="1"/>
  <c r="W5231" i="5" s="1"/>
  <c r="W3637" i="5"/>
  <c r="T4742" i="5" a="1"/>
  <c r="T4742" i="5" s="1"/>
  <c r="U4742" i="5" s="1"/>
  <c r="W4742" i="5" s="1"/>
  <c r="T5598" i="5" a="1"/>
  <c r="T5598" i="5" s="1"/>
  <c r="U5598" i="5" s="1"/>
  <c r="W5598" i="5" s="1"/>
  <c r="T3698" i="5" a="1"/>
  <c r="T3698" i="5" s="1"/>
  <c r="T3889" i="5" a="1"/>
  <c r="T3889" i="5" s="1"/>
  <c r="T4862" i="5" a="1"/>
  <c r="T4862" i="5" s="1"/>
  <c r="T5120" i="5" a="1"/>
  <c r="T5120" i="5" s="1"/>
  <c r="U5120" i="5" s="1"/>
  <c r="W5120" i="5" s="1"/>
  <c r="T5597" i="5" a="1"/>
  <c r="T5597" i="5" s="1"/>
  <c r="T3669" i="5" a="1"/>
  <c r="T3669" i="5" s="1"/>
  <c r="U3669" i="5" s="1"/>
  <c r="W3669" i="5" s="1"/>
  <c r="T5275" i="5" a="1"/>
  <c r="T5275" i="5" s="1"/>
  <c r="U5275" i="5" s="1"/>
  <c r="W5275" i="5" s="1"/>
  <c r="T4691" i="5" a="1"/>
  <c r="T4691" i="5" s="1"/>
  <c r="U4691" i="5" s="1"/>
  <c r="W4691" i="5" s="1"/>
  <c r="T4234" i="5" a="1"/>
  <c r="T4234" i="5" s="1"/>
  <c r="U4234" i="5" s="1"/>
  <c r="W4234" i="5" s="1"/>
  <c r="W607" i="5"/>
  <c r="W2461" i="5"/>
  <c r="Y167" i="18"/>
  <c r="AA167" i="18"/>
  <c r="V165" i="18"/>
  <c r="W3160" i="5"/>
  <c r="W246" i="18"/>
  <c r="T2436" i="5" a="1"/>
  <c r="T2436" i="5" s="1"/>
  <c r="U2436" i="5" s="1"/>
  <c r="W2436" i="5" s="1"/>
  <c r="W6491" i="5"/>
  <c r="T4066" i="5" a="1"/>
  <c r="T4066" i="5" s="1"/>
  <c r="T2439" i="5" a="1"/>
  <c r="T2439" i="5" s="1"/>
  <c r="AA195" i="18"/>
  <c r="Y195" i="18"/>
  <c r="T6084" i="5" a="1"/>
  <c r="T6084" i="5" s="1"/>
  <c r="T61" i="5" a="1"/>
  <c r="T61" i="5" s="1"/>
  <c r="U61" i="5" s="1"/>
  <c r="T3859" i="5" a="1"/>
  <c r="T3859" i="5" s="1"/>
  <c r="U3859" i="5" s="1"/>
  <c r="W3859" i="5" s="1"/>
  <c r="W3968" i="5"/>
  <c r="W313" i="18"/>
  <c r="W4585" i="5"/>
  <c r="T155" i="5" a="1"/>
  <c r="T155" i="5" s="1"/>
  <c r="U155" i="5" s="1"/>
  <c r="T4584" i="5" a="1"/>
  <c r="T4584" i="5" s="1"/>
  <c r="U4584" i="5" s="1"/>
  <c r="W4584" i="5" s="1"/>
  <c r="T2565" i="5" a="1"/>
  <c r="T2565" i="5" s="1"/>
  <c r="T4583" i="5" a="1"/>
  <c r="T4583" i="5" s="1"/>
  <c r="T2884" i="5" a="1"/>
  <c r="T2884" i="5" s="1"/>
  <c r="V241" i="18" s="1"/>
  <c r="X241" i="18" s="1"/>
  <c r="T2460" i="5" a="1"/>
  <c r="T2460" i="5" s="1"/>
  <c r="U2460" i="5" s="1"/>
  <c r="W2460" i="5" s="1"/>
  <c r="T3971" i="5" a="1"/>
  <c r="T3971" i="5" s="1"/>
  <c r="U3971" i="5" s="1"/>
  <c r="W3971" i="5" s="1"/>
  <c r="AA216" i="18"/>
  <c r="Y216" i="18"/>
  <c r="W2459" i="5"/>
  <c r="W253" i="18"/>
  <c r="W223" i="5"/>
  <c r="W212" i="18"/>
  <c r="W230" i="5"/>
  <c r="W219" i="18"/>
  <c r="W5069" i="5"/>
  <c r="W415" i="18"/>
  <c r="T126" i="5" a="1"/>
  <c r="T126" i="5" s="1"/>
  <c r="U126" i="5" s="1"/>
  <c r="W126" i="5" s="1"/>
  <c r="V454" i="18"/>
  <c r="U4553" i="5"/>
  <c r="W4553" i="5" s="1"/>
  <c r="V1655" i="5"/>
  <c r="U1655" i="5"/>
  <c r="AA129" i="18"/>
  <c r="Y14" i="21"/>
  <c r="W93" i="18"/>
  <c r="Y93" i="18" s="1"/>
  <c r="T1012" i="5" a="1"/>
  <c r="T1012" i="5" s="1"/>
  <c r="V269" i="18" s="1"/>
  <c r="X269" i="18" s="1"/>
  <c r="T2561" i="5" a="1"/>
  <c r="T2561" i="5" s="1"/>
  <c r="T108" i="5" a="1"/>
  <c r="T108" i="5" s="1"/>
  <c r="V67" i="18" s="1"/>
  <c r="X67" i="18" s="1"/>
  <c r="T6061" i="5" a="1"/>
  <c r="T6061" i="5" s="1"/>
  <c r="V13" i="18" s="1"/>
  <c r="X13" i="18" s="1"/>
  <c r="V199" i="18"/>
  <c r="X199" i="18" s="1"/>
  <c r="T81" i="5" a="1"/>
  <c r="T81" i="5" s="1"/>
  <c r="T2880" i="5" a="1"/>
  <c r="T2880" i="5" s="1"/>
  <c r="T3580" i="5" a="1"/>
  <c r="T3580" i="5" s="1"/>
  <c r="V122" i="18" s="1"/>
  <c r="T4578" i="5" a="1"/>
  <c r="T4578" i="5" s="1"/>
  <c r="V397" i="18" s="1"/>
  <c r="T231" i="5" a="1"/>
  <c r="T231" i="5" s="1"/>
  <c r="V220" i="18" s="1"/>
  <c r="T672" i="5" a="1"/>
  <c r="T672" i="5" s="1"/>
  <c r="V42" i="18" s="1"/>
  <c r="T110" i="5" a="1"/>
  <c r="T110" i="5" s="1"/>
  <c r="V66" i="18" s="1"/>
  <c r="T4579" i="5" a="1"/>
  <c r="T4579" i="5" s="1"/>
  <c r="V419" i="18" s="1"/>
  <c r="T2458" i="5" a="1"/>
  <c r="T2458" i="5" s="1"/>
  <c r="T1563" i="5" a="1"/>
  <c r="T1563" i="5" s="1"/>
  <c r="T3967" i="5" a="1"/>
  <c r="T3967" i="5" s="1"/>
  <c r="T1417" i="5" a="1"/>
  <c r="T1417" i="5" s="1"/>
  <c r="T1009" i="5" a="1"/>
  <c r="T1009" i="5" s="1"/>
  <c r="T3331" i="5" a="1"/>
  <c r="T3331" i="5" s="1"/>
  <c r="T264" i="5" a="1"/>
  <c r="T264" i="5" s="1"/>
  <c r="T85" i="5" a="1"/>
  <c r="T85" i="5" s="1"/>
  <c r="T1011" i="5" a="1"/>
  <c r="T1011" i="5" s="1"/>
  <c r="T107" i="5" a="1"/>
  <c r="T107" i="5" s="1"/>
  <c r="T418" i="5" a="1"/>
  <c r="T418" i="5" s="1"/>
  <c r="T1566" i="5" a="1"/>
  <c r="T1566" i="5" s="1"/>
  <c r="T2434" i="5" a="1"/>
  <c r="T2434" i="5" s="1"/>
  <c r="T4061" i="5" a="1"/>
  <c r="T4061" i="5" s="1"/>
  <c r="T1053" i="5" a="1"/>
  <c r="T1053" i="5" s="1"/>
  <c r="T2437" i="5" a="1"/>
  <c r="T2437" i="5" s="1"/>
  <c r="T4062" i="5" a="1"/>
  <c r="T4062" i="5" s="1"/>
  <c r="AA201" i="18"/>
  <c r="U112" i="5"/>
  <c r="W112" i="5" s="1"/>
  <c r="F210" i="18"/>
  <c r="U1013" i="5"/>
  <c r="W1013" i="5" s="1"/>
  <c r="U3332" i="5"/>
  <c r="W260" i="18" s="1"/>
  <c r="U2888" i="5"/>
  <c r="W236" i="18" s="1"/>
  <c r="Y236" i="18" s="1"/>
  <c r="U933" i="5"/>
  <c r="L228" i="18"/>
  <c r="I103" i="18"/>
  <c r="I181" i="18"/>
  <c r="I152" i="18"/>
  <c r="I283" i="18"/>
  <c r="I11" i="18"/>
  <c r="I267" i="18"/>
  <c r="I45" i="18"/>
  <c r="I269" i="18"/>
  <c r="I268" i="18"/>
  <c r="I156" i="18"/>
  <c r="I178" i="18"/>
  <c r="I285" i="18"/>
  <c r="Q11" i="18"/>
  <c r="U11" i="18" s="1"/>
  <c r="Q152" i="18"/>
  <c r="U152" i="18" s="1"/>
  <c r="Q181" i="18"/>
  <c r="U181" i="18" s="1"/>
  <c r="Q283" i="18"/>
  <c r="U283" i="18" s="1"/>
  <c r="Q267" i="18"/>
  <c r="U267" i="18" s="1"/>
  <c r="Q45" i="18"/>
  <c r="U45" i="18" s="1"/>
  <c r="Q268" i="18"/>
  <c r="U268" i="18" s="1"/>
  <c r="Q269" i="18"/>
  <c r="U269" i="18" s="1"/>
  <c r="Q178" i="18"/>
  <c r="U178" i="18" s="1"/>
  <c r="Q285" i="18"/>
  <c r="U285" i="18" s="1"/>
  <c r="Q156" i="18"/>
  <c r="U156" i="18" s="1"/>
  <c r="Q103" i="18"/>
  <c r="U103" i="18" s="1"/>
  <c r="L245" i="18"/>
  <c r="L140" i="18"/>
  <c r="L296" i="18"/>
  <c r="L315" i="18"/>
  <c r="L52" i="18"/>
  <c r="L117" i="18"/>
  <c r="L129" i="18"/>
  <c r="L316" i="18"/>
  <c r="L292" i="18"/>
  <c r="L317" i="18"/>
  <c r="L419" i="18"/>
  <c r="L116" i="18"/>
  <c r="L69" i="18"/>
  <c r="L448" i="18"/>
  <c r="L449" i="18"/>
  <c r="L373" i="18"/>
  <c r="L278" i="18"/>
  <c r="L159" i="18"/>
  <c r="L324" i="18"/>
  <c r="L398" i="18"/>
  <c r="L442" i="18"/>
  <c r="L132" i="18"/>
  <c r="L309" i="18"/>
  <c r="L302" i="18"/>
  <c r="L221" i="18"/>
  <c r="L298" i="18"/>
  <c r="L274" i="18"/>
  <c r="L273" i="18"/>
  <c r="L410" i="18"/>
  <c r="L120" i="18"/>
  <c r="L183" i="18"/>
  <c r="L293" i="18"/>
  <c r="L440" i="18"/>
  <c r="L280" i="18"/>
  <c r="L134" i="18"/>
  <c r="L299" i="18"/>
  <c r="L136" i="18"/>
  <c r="L372" i="18"/>
  <c r="L105" i="18"/>
  <c r="L161" i="18"/>
  <c r="L329" i="18"/>
  <c r="L48" i="18"/>
  <c r="L138" i="18"/>
  <c r="L149" i="18"/>
  <c r="L380" i="18"/>
  <c r="L133" i="18"/>
  <c r="L282" i="18"/>
  <c r="L290" i="18"/>
  <c r="L276" i="18"/>
  <c r="L104" i="18"/>
  <c r="L289" i="18"/>
  <c r="L242" i="18"/>
  <c r="L400" i="18"/>
  <c r="L334" i="18"/>
  <c r="L376" i="18"/>
  <c r="L311" i="18"/>
  <c r="L335" i="18"/>
  <c r="L417" i="18"/>
  <c r="L130" i="18"/>
  <c r="L288" i="18"/>
  <c r="L387" i="18"/>
  <c r="L131" i="18"/>
  <c r="L388" i="18"/>
  <c r="L127" i="18"/>
  <c r="L97" i="18"/>
  <c r="L451" i="18"/>
  <c r="L379" i="18"/>
  <c r="L307" i="18"/>
  <c r="L404" i="18"/>
  <c r="L374" i="18"/>
  <c r="L291" i="18"/>
  <c r="L49" i="18"/>
  <c r="L125" i="18"/>
  <c r="L378" i="18"/>
  <c r="L443" i="18"/>
  <c r="L286" i="18"/>
  <c r="L98" i="18"/>
  <c r="L415" i="18"/>
  <c r="L409" i="18"/>
  <c r="L102" i="18"/>
  <c r="L382" i="18"/>
  <c r="L381" i="18"/>
  <c r="L312" i="18"/>
  <c r="L310" i="18"/>
  <c r="L396" i="18"/>
  <c r="L207" i="18"/>
  <c r="L304" i="18"/>
  <c r="L375" i="18"/>
  <c r="L416" i="18"/>
  <c r="L106" i="18"/>
  <c r="F92" i="18"/>
  <c r="F264" i="18"/>
  <c r="T7555" i="5" l="1" a="1"/>
  <c r="T7555" i="5" s="1"/>
  <c r="U7555" i="5" s="1"/>
  <c r="W7555" i="5" s="1"/>
  <c r="T8306" i="5" a="1"/>
  <c r="T8306" i="5" s="1"/>
  <c r="U8306" i="5" s="1"/>
  <c r="W8306" i="5" s="1"/>
  <c r="U7700" i="5"/>
  <c r="V17" i="18"/>
  <c r="X17" i="18" s="1"/>
  <c r="V202" i="18"/>
  <c r="X202" i="18" s="1"/>
  <c r="V261" i="18"/>
  <c r="X261" i="18" s="1"/>
  <c r="T7554" i="5" a="1"/>
  <c r="T7554" i="5" s="1"/>
  <c r="U7554" i="5" s="1"/>
  <c r="W7554" i="5" s="1"/>
  <c r="V315" i="18"/>
  <c r="X315" i="18" s="1"/>
  <c r="U7613" i="5"/>
  <c r="V276" i="18"/>
  <c r="X276" i="18" s="1"/>
  <c r="U3989" i="5"/>
  <c r="W398" i="18" s="1"/>
  <c r="AA398" i="18" s="1"/>
  <c r="V109" i="18"/>
  <c r="X109" i="18" s="1"/>
  <c r="T6085" i="5" a="1"/>
  <c r="T6085" i="5" s="1"/>
  <c r="U6085" i="5" s="1"/>
  <c r="W6085" i="5" s="1"/>
  <c r="T153" i="5" a="1"/>
  <c r="T153" i="5" s="1"/>
  <c r="U153" i="5" s="1"/>
  <c r="W153" i="5" s="1"/>
  <c r="T936" i="5" a="1"/>
  <c r="T936" i="5" s="1"/>
  <c r="U936" i="5" s="1"/>
  <c r="T1743" i="5" a="1"/>
  <c r="T1743" i="5" s="1"/>
  <c r="U1743" i="5" s="1"/>
  <c r="T2563" i="5" a="1"/>
  <c r="T2563" i="5" s="1"/>
  <c r="U2563" i="5" s="1"/>
  <c r="W2563" i="5" s="1"/>
  <c r="I179" i="18"/>
  <c r="Q179" i="18"/>
  <c r="U179" i="18" s="1"/>
  <c r="V32" i="18"/>
  <c r="X32" i="18" s="1"/>
  <c r="X446" i="18"/>
  <c r="X398" i="18"/>
  <c r="W344" i="18"/>
  <c r="X42" i="18"/>
  <c r="X23" i="18"/>
  <c r="W3788" i="5"/>
  <c r="W15" i="18"/>
  <c r="W155" i="5"/>
  <c r="X165" i="18"/>
  <c r="X423" i="18"/>
  <c r="X260" i="18"/>
  <c r="X52" i="18"/>
  <c r="X397" i="18"/>
  <c r="X402" i="18"/>
  <c r="W3695" i="5"/>
  <c r="X438" i="18"/>
  <c r="W152" i="5"/>
  <c r="W79" i="18"/>
  <c r="X414" i="18"/>
  <c r="X359" i="18"/>
  <c r="Y90" i="18"/>
  <c r="AA90" i="18"/>
  <c r="X110" i="18"/>
  <c r="Y359" i="18"/>
  <c r="AA359" i="18"/>
  <c r="AA452" i="18"/>
  <c r="Y452" i="18"/>
  <c r="AA450" i="18"/>
  <c r="Y450" i="18"/>
  <c r="X419" i="18"/>
  <c r="X143" i="18"/>
  <c r="X435" i="18"/>
  <c r="X454" i="18"/>
  <c r="X117" i="18"/>
  <c r="W94" i="5"/>
  <c r="W365" i="18"/>
  <c r="X183" i="18"/>
  <c r="X90" i="18"/>
  <c r="X344" i="18"/>
  <c r="X66" i="18"/>
  <c r="X360" i="18"/>
  <c r="W61" i="5"/>
  <c r="W439" i="18"/>
  <c r="W130" i="5"/>
  <c r="W76" i="18"/>
  <c r="AA461" i="18"/>
  <c r="Y461" i="18"/>
  <c r="Y77" i="18"/>
  <c r="AA77" i="18"/>
  <c r="U6084" i="5"/>
  <c r="W171" i="18" s="1"/>
  <c r="V233" i="18"/>
  <c r="V47" i="18"/>
  <c r="V245" i="18"/>
  <c r="AA93" i="18"/>
  <c r="U6349" i="5"/>
  <c r="V158" i="18"/>
  <c r="AA321" i="18"/>
  <c r="U5597" i="5"/>
  <c r="W357" i="18" s="1"/>
  <c r="V213" i="18"/>
  <c r="U4237" i="5"/>
  <c r="W78" i="18" s="1"/>
  <c r="V312" i="18"/>
  <c r="AA296" i="18"/>
  <c r="Y296" i="18"/>
  <c r="U4670" i="5"/>
  <c r="W22" i="18" s="1"/>
  <c r="V30" i="18"/>
  <c r="U4862" i="5"/>
  <c r="W254" i="18" s="1"/>
  <c r="V417" i="18"/>
  <c r="U3619" i="5"/>
  <c r="V375" i="18"/>
  <c r="X375" i="18" s="1"/>
  <c r="AA292" i="18"/>
  <c r="Y292" i="18"/>
  <c r="AA259" i="18"/>
  <c r="Y259" i="18"/>
  <c r="U3889" i="5"/>
  <c r="W57" i="18" s="1"/>
  <c r="V293" i="18"/>
  <c r="U4740" i="5"/>
  <c r="V420" i="18"/>
  <c r="U3652" i="5"/>
  <c r="V168" i="18"/>
  <c r="X168" i="18" s="1"/>
  <c r="U3698" i="5"/>
  <c r="W141" i="18" s="1"/>
  <c r="V299" i="18"/>
  <c r="AA334" i="18"/>
  <c r="Y334" i="18"/>
  <c r="U4673" i="5"/>
  <c r="W4672" i="5"/>
  <c r="Y265" i="18"/>
  <c r="AA265" i="18"/>
  <c r="V105" i="18"/>
  <c r="V403" i="18"/>
  <c r="T3983" i="5" a="1"/>
  <c r="T3983" i="5" s="1"/>
  <c r="U3983" i="5" s="1"/>
  <c r="W3983" i="5" s="1"/>
  <c r="T4839" i="5" a="1"/>
  <c r="T4839" i="5" s="1"/>
  <c r="T5371" i="5" a="1"/>
  <c r="T5371" i="5" s="1"/>
  <c r="U4066" i="5"/>
  <c r="V409" i="18"/>
  <c r="T3946" i="5" a="1"/>
  <c r="T3946" i="5" s="1"/>
  <c r="U3946" i="5" s="1"/>
  <c r="T4005" i="5" a="1"/>
  <c r="T4005" i="5" s="1"/>
  <c r="U4005" i="5" s="1"/>
  <c r="W4005" i="5" s="1"/>
  <c r="AA260" i="18"/>
  <c r="Y260" i="18"/>
  <c r="V238" i="18"/>
  <c r="X238" i="18" s="1"/>
  <c r="V262" i="18"/>
  <c r="U4583" i="5"/>
  <c r="V157" i="18"/>
  <c r="X157" i="18" s="1"/>
  <c r="V379" i="18"/>
  <c r="V405" i="18"/>
  <c r="X405" i="18" s="1"/>
  <c r="V164" i="18"/>
  <c r="V337" i="18"/>
  <c r="V148" i="18"/>
  <c r="X148" i="18" s="1"/>
  <c r="T3728" i="5" a="1"/>
  <c r="T3728" i="5" s="1"/>
  <c r="U3728" i="5" s="1"/>
  <c r="W3728" i="5" s="1"/>
  <c r="T4863" i="5" a="1"/>
  <c r="T4863" i="5" s="1"/>
  <c r="V291" i="18"/>
  <c r="X291" i="18" s="1"/>
  <c r="U4065" i="5"/>
  <c r="V408" i="18"/>
  <c r="V404" i="18"/>
  <c r="X404" i="18" s="1"/>
  <c r="Z128" i="18"/>
  <c r="Z202" i="18"/>
  <c r="W933" i="5"/>
  <c r="W119" i="18"/>
  <c r="V154" i="18"/>
  <c r="V140" i="18"/>
  <c r="AA415" i="18"/>
  <c r="Y415" i="18"/>
  <c r="V303" i="18"/>
  <c r="X303" i="18" s="1"/>
  <c r="U2884" i="5"/>
  <c r="V300" i="18"/>
  <c r="U2565" i="5"/>
  <c r="T4130" i="5" a="1"/>
  <c r="T4130" i="5" s="1"/>
  <c r="T2794" i="5" a="1"/>
  <c r="T2794" i="5" s="1"/>
  <c r="U2794" i="5" s="1"/>
  <c r="W2794" i="5" s="1"/>
  <c r="T221" i="5" a="1"/>
  <c r="T221" i="5" s="1"/>
  <c r="U221" i="5" s="1"/>
  <c r="T2885" i="5" a="1"/>
  <c r="T2885" i="5" s="1"/>
  <c r="Y246" i="18"/>
  <c r="AA246" i="18"/>
  <c r="W2888" i="5"/>
  <c r="W303" i="18"/>
  <c r="W3332" i="5"/>
  <c r="W245" i="18"/>
  <c r="V178" i="18"/>
  <c r="Y219" i="18"/>
  <c r="AA219" i="18"/>
  <c r="V156" i="18"/>
  <c r="V36" i="18"/>
  <c r="AA212" i="18"/>
  <c r="Y212" i="18"/>
  <c r="Y253" i="18"/>
  <c r="AA253" i="18"/>
  <c r="Y313" i="18"/>
  <c r="AA313" i="18"/>
  <c r="U2439" i="5"/>
  <c r="W2439" i="5" s="1"/>
  <c r="V267" i="18"/>
  <c r="W1655" i="5"/>
  <c r="W128" i="18"/>
  <c r="Y128" i="18" s="1"/>
  <c r="Q210" i="18"/>
  <c r="U210" i="18" s="1"/>
  <c r="T176" i="5" a="1"/>
  <c r="T176" i="5" s="1"/>
  <c r="V4" i="18" s="1"/>
  <c r="T2881" i="5" a="1"/>
  <c r="T2881" i="5" s="1"/>
  <c r="U2881" i="5" s="1"/>
  <c r="W2881" i="5" s="1"/>
  <c r="T1006" i="5" a="1"/>
  <c r="T1006" i="5" s="1"/>
  <c r="V3" i="18" s="1"/>
  <c r="T2792" i="5" a="1"/>
  <c r="T2792" i="5" s="1"/>
  <c r="T796" i="5" a="1"/>
  <c r="T796" i="5" s="1"/>
  <c r="T1055" i="5" a="1"/>
  <c r="T1055" i="5" s="1"/>
  <c r="AA236" i="18"/>
  <c r="V181" i="18"/>
  <c r="X181" i="18" s="1"/>
  <c r="V103" i="18"/>
  <c r="V283" i="18"/>
  <c r="W183" i="18"/>
  <c r="I210" i="18"/>
  <c r="U1011" i="5"/>
  <c r="U1012" i="5"/>
  <c r="W1012" i="5" s="1"/>
  <c r="U264" i="5"/>
  <c r="U107" i="5"/>
  <c r="U85" i="5"/>
  <c r="W437" i="18" s="1"/>
  <c r="U108" i="5"/>
  <c r="U2561" i="5"/>
  <c r="U6061" i="5"/>
  <c r="W414" i="18" s="1"/>
  <c r="U1053" i="5"/>
  <c r="U2437" i="5"/>
  <c r="U4062" i="5"/>
  <c r="U3331" i="5"/>
  <c r="W3331" i="5" s="1"/>
  <c r="U1009" i="5"/>
  <c r="U1417" i="5"/>
  <c r="W1417" i="5" s="1"/>
  <c r="U1566" i="5"/>
  <c r="W1566" i="5" s="1"/>
  <c r="U4061" i="5"/>
  <c r="U418" i="5"/>
  <c r="W418" i="5" s="1"/>
  <c r="U2434" i="5"/>
  <c r="W403" i="18" s="1"/>
  <c r="U231" i="5"/>
  <c r="U1563" i="5"/>
  <c r="W235" i="18" s="1"/>
  <c r="U3967" i="5"/>
  <c r="U2458" i="5"/>
  <c r="U3580" i="5"/>
  <c r="W438" i="18" s="1"/>
  <c r="U2880" i="5"/>
  <c r="W2880" i="5" s="1"/>
  <c r="U81" i="5"/>
  <c r="W435" i="18" s="1"/>
  <c r="U4578" i="5"/>
  <c r="W402" i="18" s="1"/>
  <c r="U110" i="5"/>
  <c r="W360" i="18" s="1"/>
  <c r="U672" i="5"/>
  <c r="W14" i="18" s="1"/>
  <c r="U4579" i="5"/>
  <c r="W143" i="18" s="1"/>
  <c r="I92" i="18"/>
  <c r="I264" i="18"/>
  <c r="Q264" i="18"/>
  <c r="U264" i="18" s="1"/>
  <c r="Q92" i="18"/>
  <c r="U92" i="18" s="1"/>
  <c r="F153" i="18"/>
  <c r="F205" i="18"/>
  <c r="F20" i="18"/>
  <c r="W7700" i="5" l="1"/>
  <c r="W17" i="18"/>
  <c r="F182" i="18"/>
  <c r="T7876" i="5" s="1" a="1"/>
  <c r="T7876" i="5" s="1"/>
  <c r="U7876" i="5" s="1"/>
  <c r="W7876" i="5" s="1"/>
  <c r="Y8" i="21" a="1"/>
  <c r="Y8" i="21" s="1"/>
  <c r="I2" i="21" a="1"/>
  <c r="I2" i="21" s="1"/>
  <c r="W315" i="18"/>
  <c r="W7613" i="5"/>
  <c r="W276" i="18"/>
  <c r="W109" i="18"/>
  <c r="AA109" i="18" s="1"/>
  <c r="W3989" i="5"/>
  <c r="T7699" i="5" a="1"/>
  <c r="T7699" i="5" s="1"/>
  <c r="U7699" i="5" s="1"/>
  <c r="W7699" i="5" s="1"/>
  <c r="T7866" i="5" a="1"/>
  <c r="T7866" i="5" s="1"/>
  <c r="Y398" i="18"/>
  <c r="AA14" i="18"/>
  <c r="Y14" i="18"/>
  <c r="Y435" i="18"/>
  <c r="AA435" i="18"/>
  <c r="W1053" i="5"/>
  <c r="W387" i="18"/>
  <c r="W202" i="18"/>
  <c r="X164" i="18"/>
  <c r="X399" i="18"/>
  <c r="X403" i="18"/>
  <c r="X385" i="18"/>
  <c r="Y57" i="18"/>
  <c r="AA57" i="18"/>
  <c r="AA254" i="18"/>
  <c r="Y254" i="18"/>
  <c r="Y78" i="18"/>
  <c r="AA78" i="18"/>
  <c r="X245" i="18"/>
  <c r="X299" i="18"/>
  <c r="X141" i="18"/>
  <c r="X213" i="18"/>
  <c r="X357" i="18"/>
  <c r="X47" i="18"/>
  <c r="X15" i="18"/>
  <c r="AA76" i="18"/>
  <c r="Y76" i="18"/>
  <c r="X220" i="18"/>
  <c r="X178" i="18"/>
  <c r="X79" i="18"/>
  <c r="W221" i="5"/>
  <c r="X416" i="18"/>
  <c r="W3946" i="5"/>
  <c r="W443" i="18"/>
  <c r="AA141" i="18"/>
  <c r="Y141" i="18"/>
  <c r="Y357" i="18"/>
  <c r="AA357" i="18"/>
  <c r="X171" i="18"/>
  <c r="X409" i="18"/>
  <c r="X257" i="18"/>
  <c r="X30" i="18"/>
  <c r="X22" i="18"/>
  <c r="Y171" i="18"/>
  <c r="AA171" i="18"/>
  <c r="AA439" i="18"/>
  <c r="Y439" i="18"/>
  <c r="X140" i="18"/>
  <c r="X411" i="18"/>
  <c r="AA22" i="18"/>
  <c r="Y365" i="18"/>
  <c r="AA365" i="18"/>
  <c r="W404" i="18"/>
  <c r="X3" i="18"/>
  <c r="X450" i="18"/>
  <c r="X154" i="18"/>
  <c r="X452" i="18"/>
  <c r="X262" i="18"/>
  <c r="X441" i="18"/>
  <c r="X420" i="18"/>
  <c r="X263" i="18"/>
  <c r="X158" i="18"/>
  <c r="X167" i="18"/>
  <c r="Y79" i="18"/>
  <c r="AA79" i="18"/>
  <c r="AA438" i="18"/>
  <c r="Y438" i="18"/>
  <c r="W441" i="18"/>
  <c r="W1011" i="5"/>
  <c r="W110" i="18"/>
  <c r="W238" i="18"/>
  <c r="W1009" i="5"/>
  <c r="W234" i="18"/>
  <c r="X267" i="18"/>
  <c r="X234" i="18"/>
  <c r="X36" i="18"/>
  <c r="X437" i="18"/>
  <c r="Y360" i="18"/>
  <c r="AA360" i="18"/>
  <c r="W261" i="18"/>
  <c r="Y261" i="18" s="1"/>
  <c r="X156" i="18"/>
  <c r="X76" i="18"/>
  <c r="W405" i="18"/>
  <c r="W416" i="18"/>
  <c r="Y437" i="18"/>
  <c r="AA437" i="18"/>
  <c r="X283" i="18"/>
  <c r="X235" i="18"/>
  <c r="X300" i="18"/>
  <c r="X59" i="18"/>
  <c r="AA143" i="18"/>
  <c r="Y143" i="18"/>
  <c r="Y235" i="18"/>
  <c r="AA235" i="18"/>
  <c r="AA402" i="18"/>
  <c r="Y402" i="18"/>
  <c r="X387" i="18"/>
  <c r="X4" i="18"/>
  <c r="X434" i="18"/>
  <c r="X337" i="18"/>
  <c r="X221" i="18"/>
  <c r="X293" i="18"/>
  <c r="X57" i="18"/>
  <c r="X254" i="18"/>
  <c r="X312" i="18"/>
  <c r="X78" i="18"/>
  <c r="AA15" i="18"/>
  <c r="Y15" i="18"/>
  <c r="Y344" i="18"/>
  <c r="AA344" i="18"/>
  <c r="T6723" i="5" a="1"/>
  <c r="T6723" i="5" s="1"/>
  <c r="U6723" i="5" s="1"/>
  <c r="W6723" i="5" s="1"/>
  <c r="T6481" i="5" a="1"/>
  <c r="T6481" i="5" s="1"/>
  <c r="U6481" i="5" s="1"/>
  <c r="W6481" i="5" s="1"/>
  <c r="W140" i="18"/>
  <c r="W13" i="18"/>
  <c r="W6084" i="5"/>
  <c r="W233" i="18"/>
  <c r="Z464" i="18"/>
  <c r="U4839" i="5"/>
  <c r="W287" i="18" s="1"/>
  <c r="V230" i="18"/>
  <c r="W4862" i="5"/>
  <c r="W4237" i="5"/>
  <c r="W312" i="18"/>
  <c r="Y414" i="18"/>
  <c r="AA414" i="18"/>
  <c r="W3698" i="5"/>
  <c r="W299" i="18"/>
  <c r="U4863" i="5"/>
  <c r="W347" i="18" s="1"/>
  <c r="V377" i="18"/>
  <c r="W3652" i="5"/>
  <c r="W168" i="18"/>
  <c r="W5597" i="5"/>
  <c r="W213" i="18"/>
  <c r="W4670" i="5"/>
  <c r="W30" i="18"/>
  <c r="AA30" i="18" s="1"/>
  <c r="W4673" i="5"/>
  <c r="W4740" i="5"/>
  <c r="W420" i="18"/>
  <c r="W3619" i="5"/>
  <c r="W375" i="18"/>
  <c r="AA375" i="18" s="1"/>
  <c r="U5371" i="5"/>
  <c r="W427" i="18" s="1"/>
  <c r="V270" i="18"/>
  <c r="W3889" i="5"/>
  <c r="W293" i="18"/>
  <c r="W6349" i="5"/>
  <c r="W158" i="18"/>
  <c r="T69" i="5" a="1"/>
  <c r="T69" i="5" s="1"/>
  <c r="U69" i="5" s="1"/>
  <c r="T3627" i="5" a="1"/>
  <c r="T3627" i="5" s="1"/>
  <c r="T4252" i="5" a="1"/>
  <c r="T4252" i="5" s="1"/>
  <c r="U4252" i="5" s="1"/>
  <c r="W4252" i="5" s="1"/>
  <c r="AA119" i="18"/>
  <c r="Y119" i="18"/>
  <c r="U4130" i="5"/>
  <c r="V193" i="18"/>
  <c r="W2884" i="5"/>
  <c r="W241" i="18"/>
  <c r="W199" i="18"/>
  <c r="W2565" i="5"/>
  <c r="T216" i="5" a="1"/>
  <c r="T216" i="5" s="1"/>
  <c r="U216" i="5" s="1"/>
  <c r="T4336" i="5" a="1"/>
  <c r="T4336" i="5" s="1"/>
  <c r="U4336" i="5" s="1"/>
  <c r="W4336" i="5" s="1"/>
  <c r="T3723" i="5" a="1"/>
  <c r="T3723" i="5" s="1"/>
  <c r="W672" i="5"/>
  <c r="W42" i="18"/>
  <c r="T127" i="5" a="1"/>
  <c r="T127" i="5" s="1"/>
  <c r="U127" i="5" s="1"/>
  <c r="T4361" i="5" a="1"/>
  <c r="T4361" i="5" s="1"/>
  <c r="T3670" i="5" a="1"/>
  <c r="T3670" i="5" s="1"/>
  <c r="W1563" i="5"/>
  <c r="W164" i="18"/>
  <c r="W936" i="5"/>
  <c r="W47" i="18"/>
  <c r="W1743" i="5"/>
  <c r="W337" i="18"/>
  <c r="W148" i="18"/>
  <c r="W4583" i="5"/>
  <c r="W157" i="18"/>
  <c r="W4065" i="5"/>
  <c r="W408" i="18"/>
  <c r="T5273" i="5" a="1"/>
  <c r="T5273" i="5" s="1"/>
  <c r="U5273" i="5" s="1"/>
  <c r="W5273" i="5" s="1"/>
  <c r="T5567" i="5" a="1"/>
  <c r="T5567" i="5" s="1"/>
  <c r="T3699" i="5" a="1"/>
  <c r="T3699" i="5" s="1"/>
  <c r="U3699" i="5" s="1"/>
  <c r="W3699" i="5" s="1"/>
  <c r="T3987" i="5" a="1"/>
  <c r="T3987" i="5" s="1"/>
  <c r="Y403" i="18"/>
  <c r="AA403" i="18"/>
  <c r="W4066" i="5"/>
  <c r="W409" i="18"/>
  <c r="U176" i="5"/>
  <c r="U2885" i="5"/>
  <c r="W2885" i="5" s="1"/>
  <c r="T156" i="5" a="1"/>
  <c r="T156" i="5" s="1"/>
  <c r="U156" i="5" s="1"/>
  <c r="T3969" i="5" a="1"/>
  <c r="T3969" i="5" s="1"/>
  <c r="V256" i="18" s="1"/>
  <c r="T4548" i="5" a="1"/>
  <c r="T4548" i="5" s="1"/>
  <c r="U4548" i="5" s="1"/>
  <c r="W4548" i="5" s="1"/>
  <c r="W81" i="5"/>
  <c r="W32" i="18"/>
  <c r="W2434" i="5"/>
  <c r="W2437" i="5"/>
  <c r="AA245" i="18"/>
  <c r="Y245" i="18"/>
  <c r="W85" i="5"/>
  <c r="W36" i="18"/>
  <c r="W3580" i="5"/>
  <c r="W4061" i="5"/>
  <c r="W6061" i="5"/>
  <c r="W154" i="18"/>
  <c r="W107" i="5"/>
  <c r="AA303" i="18"/>
  <c r="Y303" i="18"/>
  <c r="W4578" i="5"/>
  <c r="W397" i="18"/>
  <c r="W4062" i="5"/>
  <c r="W379" i="18"/>
  <c r="W108" i="5"/>
  <c r="W67" i="18"/>
  <c r="W3967" i="5"/>
  <c r="W2561" i="5"/>
  <c r="W262" i="18"/>
  <c r="W231" i="5"/>
  <c r="W220" i="18"/>
  <c r="W4579" i="5"/>
  <c r="W419" i="18"/>
  <c r="W2458" i="5"/>
  <c r="W291" i="18"/>
  <c r="W264" i="5"/>
  <c r="V198" i="18"/>
  <c r="W110" i="5"/>
  <c r="W66" i="18"/>
  <c r="AA128" i="18"/>
  <c r="T239" i="5" a="1"/>
  <c r="T239" i="5" s="1"/>
  <c r="T1590" i="5" a="1"/>
  <c r="T1590" i="5" s="1"/>
  <c r="T82" i="5" a="1"/>
  <c r="T82" i="5" s="1"/>
  <c r="V33" i="18" s="1"/>
  <c r="X33" i="18" s="1"/>
  <c r="T1779" i="5" a="1"/>
  <c r="T1779" i="5" s="1"/>
  <c r="T1739" i="5" a="1"/>
  <c r="T1739" i="5" s="1"/>
  <c r="V31" i="18" s="1"/>
  <c r="T171" i="5" a="1"/>
  <c r="T171" i="5" s="1"/>
  <c r="V208" i="18" s="1"/>
  <c r="X208" i="18" s="1"/>
  <c r="T111" i="5" a="1"/>
  <c r="T111" i="5" s="1"/>
  <c r="T1010" i="5" a="1"/>
  <c r="T1010" i="5" s="1"/>
  <c r="T3965" i="5" a="1"/>
  <c r="T3965" i="5" s="1"/>
  <c r="T4543" i="5" a="1"/>
  <c r="T4543" i="5" s="1"/>
  <c r="AA183" i="18"/>
  <c r="Y183" i="18"/>
  <c r="AA261" i="18"/>
  <c r="W156" i="18"/>
  <c r="W178" i="18"/>
  <c r="V210" i="18"/>
  <c r="W181" i="18"/>
  <c r="W283" i="18"/>
  <c r="W267" i="18"/>
  <c r="W269" i="18"/>
  <c r="V264" i="18"/>
  <c r="V92" i="18"/>
  <c r="F2" i="18"/>
  <c r="U1006" i="5"/>
  <c r="U2792" i="5"/>
  <c r="W417" i="18" s="1"/>
  <c r="U796" i="5"/>
  <c r="U1055" i="5"/>
  <c r="W1055" i="5" s="1"/>
  <c r="I153" i="18"/>
  <c r="I182" i="18"/>
  <c r="I20" i="18"/>
  <c r="I205" i="18"/>
  <c r="Q153" i="18"/>
  <c r="U153" i="18" s="1"/>
  <c r="Q182" i="18"/>
  <c r="U182" i="18" s="1"/>
  <c r="Q205" i="18"/>
  <c r="U205" i="18" s="1"/>
  <c r="Q20" i="18"/>
  <c r="U20" i="18" s="1"/>
  <c r="F18" i="18"/>
  <c r="F8" i="18"/>
  <c r="T8126" i="5" l="1" a="1"/>
  <c r="T8126" i="5" s="1"/>
  <c r="U8126" i="5" s="1"/>
  <c r="W8126" i="5" s="1"/>
  <c r="T7697" i="5" a="1"/>
  <c r="T7697" i="5" s="1"/>
  <c r="U7697" i="5" s="1"/>
  <c r="W7697" i="5" s="1"/>
  <c r="AA17" i="18"/>
  <c r="Y17" i="18"/>
  <c r="U7866" i="5"/>
  <c r="V268" i="18"/>
  <c r="X268" i="18" s="1"/>
  <c r="T7867" i="5" a="1"/>
  <c r="T7867" i="5" s="1"/>
  <c r="U7867" i="5" s="1"/>
  <c r="W7867" i="5" s="1"/>
  <c r="T7868" i="5" a="1"/>
  <c r="T7868" i="5" s="1"/>
  <c r="AA315" i="18"/>
  <c r="Y315" i="18"/>
  <c r="Y109" i="18"/>
  <c r="AA276" i="18"/>
  <c r="Y276" i="18"/>
  <c r="Y404" i="18"/>
  <c r="AA404" i="18"/>
  <c r="Y202" i="18"/>
  <c r="AA202" i="18"/>
  <c r="Y238" i="18"/>
  <c r="AA238" i="18"/>
  <c r="Y405" i="18"/>
  <c r="AA405" i="18"/>
  <c r="AA140" i="18"/>
  <c r="Y140" i="18"/>
  <c r="W796" i="5"/>
  <c r="W12" i="18"/>
  <c r="AA12" i="18" s="1"/>
  <c r="W418" i="18"/>
  <c r="X198" i="18"/>
  <c r="X44" i="18"/>
  <c r="W216" i="5"/>
  <c r="X270" i="18"/>
  <c r="X427" i="18"/>
  <c r="Y110" i="18"/>
  <c r="AA110" i="18"/>
  <c r="AA443" i="18"/>
  <c r="W127" i="5"/>
  <c r="X193" i="18"/>
  <c r="X368" i="18"/>
  <c r="W69" i="5"/>
  <c r="Y427" i="18"/>
  <c r="AA427" i="18"/>
  <c r="AA416" i="18"/>
  <c r="Y416" i="18"/>
  <c r="Y441" i="18"/>
  <c r="AA441" i="18"/>
  <c r="X256" i="18"/>
  <c r="X16" i="18"/>
  <c r="AA287" i="18"/>
  <c r="Y287" i="18"/>
  <c r="X417" i="18"/>
  <c r="W156" i="5"/>
  <c r="AA234" i="18"/>
  <c r="Y234" i="18"/>
  <c r="W161" i="18"/>
  <c r="X377" i="18"/>
  <c r="X347" i="18"/>
  <c r="X210" i="18"/>
  <c r="X161" i="18"/>
  <c r="X92" i="18"/>
  <c r="X12" i="18"/>
  <c r="X230" i="18"/>
  <c r="X287" i="18"/>
  <c r="X264" i="18"/>
  <c r="X418" i="18"/>
  <c r="X392" i="18"/>
  <c r="W176" i="5"/>
  <c r="W434" i="18"/>
  <c r="AA347" i="18"/>
  <c r="Y347" i="18"/>
  <c r="Y387" i="18"/>
  <c r="AA387" i="18"/>
  <c r="Y233" i="18"/>
  <c r="AA233" i="18"/>
  <c r="AA13" i="18"/>
  <c r="Y13" i="18"/>
  <c r="W210" i="18"/>
  <c r="Y210" i="18" s="1"/>
  <c r="W4" i="18"/>
  <c r="V309" i="18"/>
  <c r="X309" i="18" s="1"/>
  <c r="U3627" i="5"/>
  <c r="W460" i="18" s="1"/>
  <c r="V447" i="18"/>
  <c r="U3987" i="5"/>
  <c r="W150" i="18" s="1"/>
  <c r="AA150" i="18" s="1"/>
  <c r="V237" i="18"/>
  <c r="W5371" i="5"/>
  <c r="W270" i="18"/>
  <c r="AA312" i="18"/>
  <c r="Y312" i="18"/>
  <c r="W4863" i="5"/>
  <c r="W377" i="18"/>
  <c r="U5567" i="5"/>
  <c r="W279" i="18" s="1"/>
  <c r="V396" i="18"/>
  <c r="Y213" i="18"/>
  <c r="AA213" i="18"/>
  <c r="Y417" i="18"/>
  <c r="AA417" i="18"/>
  <c r="U3723" i="5"/>
  <c r="W448" i="18" s="1"/>
  <c r="V38" i="18"/>
  <c r="AA158" i="18"/>
  <c r="Y158" i="18"/>
  <c r="Y420" i="18"/>
  <c r="AA420" i="18"/>
  <c r="U3670" i="5"/>
  <c r="W338" i="18" s="1"/>
  <c r="V401" i="18"/>
  <c r="Y168" i="18"/>
  <c r="AA168" i="18"/>
  <c r="Y299" i="18"/>
  <c r="AA299" i="18"/>
  <c r="U4361" i="5"/>
  <c r="W100" i="18" s="1"/>
  <c r="V310" i="18"/>
  <c r="AA293" i="18"/>
  <c r="Y293" i="18"/>
  <c r="W4839" i="5"/>
  <c r="W230" i="18"/>
  <c r="Y148" i="18"/>
  <c r="AA148" i="18"/>
  <c r="AA409" i="18"/>
  <c r="Y409" i="18"/>
  <c r="Y337" i="18"/>
  <c r="AA337" i="18"/>
  <c r="V179" i="18"/>
  <c r="V108" i="18"/>
  <c r="V71" i="18"/>
  <c r="V34" i="18"/>
  <c r="T5232" i="5" a="1"/>
  <c r="T5232" i="5" s="1"/>
  <c r="T3616" i="5" a="1"/>
  <c r="T3616" i="5" s="1"/>
  <c r="AA241" i="18"/>
  <c r="Y241" i="18"/>
  <c r="W2792" i="5"/>
  <c r="W309" i="18"/>
  <c r="T3610" i="5" a="1"/>
  <c r="T3610" i="5" s="1"/>
  <c r="T4781" i="5" a="1"/>
  <c r="T4781" i="5" s="1"/>
  <c r="U4781" i="5" s="1"/>
  <c r="T67" i="5" a="1"/>
  <c r="T67" i="5" s="1"/>
  <c r="U67" i="5" s="1"/>
  <c r="T3625" i="5" a="1"/>
  <c r="T3625" i="5" s="1"/>
  <c r="U3625" i="5" s="1"/>
  <c r="AA47" i="18"/>
  <c r="Y47" i="18"/>
  <c r="AA199" i="18"/>
  <c r="Y199" i="18"/>
  <c r="W1006" i="5"/>
  <c r="W3" i="18"/>
  <c r="AA408" i="18"/>
  <c r="Y408" i="18"/>
  <c r="AA157" i="18"/>
  <c r="Y157" i="18"/>
  <c r="Y42" i="18"/>
  <c r="AA42" i="18"/>
  <c r="W4130" i="5"/>
  <c r="W193" i="18"/>
  <c r="Y164" i="18"/>
  <c r="AA164" i="18"/>
  <c r="Y220" i="18"/>
  <c r="AA220" i="18"/>
  <c r="AA379" i="18"/>
  <c r="Y379" i="18"/>
  <c r="AA154" i="18"/>
  <c r="Y154" i="18"/>
  <c r="Y32" i="18"/>
  <c r="AA32" i="18"/>
  <c r="V314" i="18"/>
  <c r="U3969" i="5"/>
  <c r="Y397" i="18"/>
  <c r="AA397" i="18"/>
  <c r="Y291" i="18"/>
  <c r="AA291" i="18"/>
  <c r="AA262" i="18"/>
  <c r="T58" i="5" a="1"/>
  <c r="T58" i="5" s="1"/>
  <c r="T3860" i="5" a="1"/>
  <c r="T3860" i="5" s="1"/>
  <c r="AA66" i="18"/>
  <c r="Y66" i="18"/>
  <c r="Y419" i="18"/>
  <c r="AA419" i="18"/>
  <c r="AA67" i="18"/>
  <c r="Y67" i="18"/>
  <c r="AA36" i="18"/>
  <c r="Y36" i="18"/>
  <c r="T52" i="5" a="1"/>
  <c r="T52" i="5" s="1"/>
  <c r="U52" i="5" s="1"/>
  <c r="T2643" i="5" a="1"/>
  <c r="T2643" i="5" s="1"/>
  <c r="U2643" i="5" s="1"/>
  <c r="W2643" i="5" s="1"/>
  <c r="T237" i="5" a="1"/>
  <c r="T237" i="5" s="1"/>
  <c r="T222" i="5" a="1"/>
  <c r="T222" i="5" s="1"/>
  <c r="V389" i="18" s="1"/>
  <c r="T2641" i="5" a="1"/>
  <c r="T2641" i="5" s="1"/>
  <c r="V169" i="18" s="1"/>
  <c r="T228" i="5" a="1"/>
  <c r="T228" i="5" s="1"/>
  <c r="T3856" i="5" a="1"/>
  <c r="T3856" i="5" s="1"/>
  <c r="AA156" i="18"/>
  <c r="Y156" i="18"/>
  <c r="AA267" i="18"/>
  <c r="Y267" i="18"/>
  <c r="AA283" i="18"/>
  <c r="Y283" i="18"/>
  <c r="AA181" i="18"/>
  <c r="Y181" i="18"/>
  <c r="AA269" i="18"/>
  <c r="Y269" i="18"/>
  <c r="AA178" i="18"/>
  <c r="Y178" i="18"/>
  <c r="W92" i="18"/>
  <c r="W264" i="18"/>
  <c r="V20" i="18"/>
  <c r="V153" i="18"/>
  <c r="Q2" i="18"/>
  <c r="U2" i="18" s="1"/>
  <c r="I2" i="18"/>
  <c r="U1590" i="5"/>
  <c r="W1590" i="5" s="1"/>
  <c r="U239" i="5"/>
  <c r="U3965" i="5"/>
  <c r="U4543" i="5"/>
  <c r="W442" i="18" s="1"/>
  <c r="U111" i="5"/>
  <c r="U1010" i="5"/>
  <c r="W1010" i="5" s="1"/>
  <c r="U1779" i="5"/>
  <c r="W1779" i="5" s="1"/>
  <c r="U82" i="5"/>
  <c r="U171" i="5"/>
  <c r="U1739" i="5"/>
  <c r="I8" i="18"/>
  <c r="I18" i="18"/>
  <c r="Q8" i="18"/>
  <c r="U8" i="18" s="1"/>
  <c r="Q18" i="18"/>
  <c r="U18" i="18" s="1"/>
  <c r="F37" i="18"/>
  <c r="F6" i="18"/>
  <c r="F223" i="18"/>
  <c r="T7553" i="5" s="1" a="1"/>
  <c r="T7553" i="5" s="1"/>
  <c r="U7553" i="5" s="1"/>
  <c r="W7553" i="5" s="1"/>
  <c r="F192" i="18"/>
  <c r="U7868" i="5" l="1"/>
  <c r="V307" i="18"/>
  <c r="X307" i="18" s="1"/>
  <c r="V200" i="18"/>
  <c r="X200" i="18" s="1"/>
  <c r="W200" i="18"/>
  <c r="V182" i="18"/>
  <c r="W7866" i="5"/>
  <c r="W268" i="18"/>
  <c r="F5" i="18"/>
  <c r="Q5" i="18" s="1"/>
  <c r="T7551" i="5" a="1"/>
  <c r="T7551" i="5" s="1"/>
  <c r="V9" i="18" s="1"/>
  <c r="T7552" i="5" a="1"/>
  <c r="T7552" i="5" s="1"/>
  <c r="U7552" i="5" s="1"/>
  <c r="W7552" i="5" s="1"/>
  <c r="T6090" i="5" a="1"/>
  <c r="T6090" i="5" s="1"/>
  <c r="U6090" i="5" s="1"/>
  <c r="W6090" i="5" s="1"/>
  <c r="Y4" i="18"/>
  <c r="AA4" i="18"/>
  <c r="X71" i="18"/>
  <c r="X250" i="18"/>
  <c r="X310" i="18"/>
  <c r="X100" i="18"/>
  <c r="W384" i="18"/>
  <c r="Y442" i="18"/>
  <c r="AA442" i="18"/>
  <c r="X108" i="18"/>
  <c r="X233" i="18"/>
  <c r="Y100" i="18"/>
  <c r="AA100" i="18"/>
  <c r="W146" i="18"/>
  <c r="X146" i="18"/>
  <c r="X396" i="18"/>
  <c r="X279" i="18"/>
  <c r="X237" i="18"/>
  <c r="X150" i="18"/>
  <c r="W34" i="18"/>
  <c r="AA34" i="18" s="1"/>
  <c r="W250" i="18"/>
  <c r="AA279" i="18"/>
  <c r="Y279" i="18"/>
  <c r="X38" i="18"/>
  <c r="X448" i="18"/>
  <c r="X460" i="18"/>
  <c r="W174" i="18"/>
  <c r="Y418" i="18"/>
  <c r="AA418" i="18"/>
  <c r="X169" i="18"/>
  <c r="X436" i="18"/>
  <c r="W52" i="5"/>
  <c r="W457" i="18"/>
  <c r="X314" i="18"/>
  <c r="X282" i="18"/>
  <c r="W3625" i="5"/>
  <c r="W444" i="18"/>
  <c r="Y448" i="18"/>
  <c r="AA448" i="18"/>
  <c r="AA460" i="18"/>
  <c r="Y460" i="18"/>
  <c r="X179" i="18"/>
  <c r="X83" i="18"/>
  <c r="X389" i="18"/>
  <c r="X462" i="18"/>
  <c r="W67" i="5"/>
  <c r="W345" i="18"/>
  <c r="X338" i="18"/>
  <c r="X20" i="18"/>
  <c r="X384" i="18"/>
  <c r="W108" i="18"/>
  <c r="Y108" i="18" s="1"/>
  <c r="W83" i="18"/>
  <c r="W208" i="18"/>
  <c r="AA208" i="18" s="1"/>
  <c r="X153" i="18"/>
  <c r="X174" i="18"/>
  <c r="W4781" i="5"/>
  <c r="X34" i="18"/>
  <c r="X201" i="18"/>
  <c r="Y338" i="18"/>
  <c r="AA338" i="18"/>
  <c r="AA434" i="18"/>
  <c r="Y434" i="18"/>
  <c r="Y161" i="18"/>
  <c r="AA161" i="18"/>
  <c r="AA210" i="18"/>
  <c r="U3616" i="5"/>
  <c r="V374" i="18"/>
  <c r="X374" i="18" s="1"/>
  <c r="W4361" i="5"/>
  <c r="W310" i="18"/>
  <c r="Y270" i="18"/>
  <c r="AA270" i="18"/>
  <c r="U5232" i="5"/>
  <c r="V26" i="18"/>
  <c r="W5567" i="5"/>
  <c r="W396" i="18"/>
  <c r="AA230" i="18"/>
  <c r="Y230" i="18"/>
  <c r="Y377" i="18"/>
  <c r="AA377" i="18"/>
  <c r="W3987" i="5"/>
  <c r="W237" i="18"/>
  <c r="W3723" i="5"/>
  <c r="W38" i="18"/>
  <c r="U3610" i="5"/>
  <c r="W430" i="18" s="1"/>
  <c r="V229" i="18"/>
  <c r="W3627" i="5"/>
  <c r="W3670" i="5"/>
  <c r="W401" i="18"/>
  <c r="U3860" i="5"/>
  <c r="V160" i="18"/>
  <c r="X160" i="18" s="1"/>
  <c r="W3969" i="5"/>
  <c r="W256" i="18"/>
  <c r="AA309" i="18"/>
  <c r="Y309" i="18"/>
  <c r="T56" i="5" a="1"/>
  <c r="T56" i="5" s="1"/>
  <c r="T3614" i="5" a="1"/>
  <c r="T3614" i="5" s="1"/>
  <c r="U3614" i="5" s="1"/>
  <c r="W1739" i="5"/>
  <c r="W31" i="18"/>
  <c r="T5234" i="5" a="1"/>
  <c r="T5234" i="5" s="1"/>
  <c r="T3644" i="5" a="1"/>
  <c r="T3644" i="5" s="1"/>
  <c r="U3644" i="5" s="1"/>
  <c r="T4248" i="5" a="1"/>
  <c r="T4248" i="5" s="1"/>
  <c r="T5894" i="5" a="1"/>
  <c r="T5894" i="5" s="1"/>
  <c r="V205" i="18" s="1"/>
  <c r="T3613" i="5" a="1"/>
  <c r="T3613" i="5" s="1"/>
  <c r="U3613" i="5" s="1"/>
  <c r="AA193" i="18"/>
  <c r="Y193" i="18"/>
  <c r="U58" i="5"/>
  <c r="V39" i="18"/>
  <c r="AA3" i="18"/>
  <c r="Y3" i="18"/>
  <c r="T5124" i="5" a="1"/>
  <c r="T5124" i="5" s="1"/>
  <c r="T3709" i="5" a="1"/>
  <c r="T3709" i="5" s="1"/>
  <c r="U3709" i="5" s="1"/>
  <c r="W3709" i="5" s="1"/>
  <c r="T6354" i="5" a="1"/>
  <c r="T6354" i="5" s="1"/>
  <c r="T4138" i="5" a="1"/>
  <c r="T4138" i="5" s="1"/>
  <c r="T5041" i="5" a="1"/>
  <c r="T5041" i="5" s="1"/>
  <c r="T5573" i="5" a="1"/>
  <c r="T5573" i="5" s="1"/>
  <c r="U5573" i="5" s="1"/>
  <c r="W5573" i="5" s="1"/>
  <c r="T3741" i="5" a="1"/>
  <c r="T3741" i="5" s="1"/>
  <c r="T5993" i="5" a="1"/>
  <c r="T5993" i="5" s="1"/>
  <c r="T4093" i="5" a="1"/>
  <c r="T4093" i="5" s="1"/>
  <c r="U4093" i="5" s="1"/>
  <c r="W4093" i="5" s="1"/>
  <c r="T4871" i="5" a="1"/>
  <c r="T4871" i="5" s="1"/>
  <c r="U4871" i="5" s="1"/>
  <c r="W4871" i="5" s="1"/>
  <c r="V217" i="18"/>
  <c r="X217" i="18" s="1"/>
  <c r="U2641" i="5"/>
  <c r="V449" i="18"/>
  <c r="W111" i="5"/>
  <c r="U222" i="5"/>
  <c r="V211" i="18"/>
  <c r="T3862" i="5" a="1"/>
  <c r="T3862" i="5" s="1"/>
  <c r="T86" i="5" a="1"/>
  <c r="T86" i="5" s="1"/>
  <c r="U86" i="5" s="1"/>
  <c r="W171" i="5"/>
  <c r="T6089" i="5" a="1"/>
  <c r="T6089" i="5" s="1"/>
  <c r="T3588" i="5" a="1"/>
  <c r="T3588" i="5" s="1"/>
  <c r="U3588" i="5" s="1"/>
  <c r="W3588" i="5" s="1"/>
  <c r="T166" i="5" a="1"/>
  <c r="T166" i="5" s="1"/>
  <c r="W4543" i="5"/>
  <c r="V18" i="18"/>
  <c r="V166" i="18"/>
  <c r="W239" i="5"/>
  <c r="W71" i="18"/>
  <c r="T2893" i="5" a="1"/>
  <c r="T2893" i="5" s="1"/>
  <c r="T3337" i="5" a="1"/>
  <c r="T3337" i="5" s="1"/>
  <c r="T4554" i="5" a="1"/>
  <c r="T4554" i="5" s="1"/>
  <c r="U4554" i="5" s="1"/>
  <c r="W4554" i="5" s="1"/>
  <c r="T5381" i="5" a="1"/>
  <c r="T5381" i="5" s="1"/>
  <c r="U5381" i="5" s="1"/>
  <c r="W5381" i="5" s="1"/>
  <c r="T234" i="5" a="1"/>
  <c r="T234" i="5" s="1"/>
  <c r="W3965" i="5"/>
  <c r="W179" i="18"/>
  <c r="W82" i="5"/>
  <c r="W33" i="18"/>
  <c r="Y200" i="18"/>
  <c r="AA200" i="18"/>
  <c r="U1480" i="5"/>
  <c r="E136" i="18" a="1"/>
  <c r="E136" i="18" s="1"/>
  <c r="W20" i="18"/>
  <c r="Y20" i="18" s="1"/>
  <c r="T225" i="5" a="1"/>
  <c r="T225" i="5" s="1"/>
  <c r="V214" i="18" s="1"/>
  <c r="T5067" i="5" a="1"/>
  <c r="T5067" i="5" s="1"/>
  <c r="T121" i="5" a="1"/>
  <c r="T121" i="5" s="1"/>
  <c r="V147" i="18" s="1"/>
  <c r="T6066" i="5" a="1"/>
  <c r="T6066" i="5" s="1"/>
  <c r="T3584" i="5" a="1"/>
  <c r="T3584" i="5" s="1"/>
  <c r="T226" i="5" a="1"/>
  <c r="T226" i="5" s="1"/>
  <c r="V285" i="18" s="1"/>
  <c r="X285" i="18" s="1"/>
  <c r="T2889" i="5" a="1"/>
  <c r="T2889" i="5" s="1"/>
  <c r="T1309" i="5" a="1"/>
  <c r="T1309" i="5" s="1"/>
  <c r="V7" i="18" s="1"/>
  <c r="T1223" i="5" a="1"/>
  <c r="T1223" i="5" s="1"/>
  <c r="T189" i="5" a="1"/>
  <c r="T189" i="5" s="1"/>
  <c r="V63" i="18" s="1"/>
  <c r="X63" i="18" s="1"/>
  <c r="T5333" i="5" a="1"/>
  <c r="T5333" i="5" s="1"/>
  <c r="T3333" i="5" a="1"/>
  <c r="T3333" i="5" s="1"/>
  <c r="V247" i="18" s="1"/>
  <c r="T4549" i="5" a="1"/>
  <c r="T4549" i="5" s="1"/>
  <c r="V320" i="18" s="1"/>
  <c r="T256" i="5" a="1"/>
  <c r="T256" i="5" s="1"/>
  <c r="T1586" i="5" a="1"/>
  <c r="T1586" i="5" s="1"/>
  <c r="V410" i="18" s="1"/>
  <c r="T3858" i="5" a="1"/>
  <c r="T3858" i="5" s="1"/>
  <c r="V51" i="18" s="1"/>
  <c r="AA264" i="18"/>
  <c r="Y264" i="18"/>
  <c r="AA92" i="18"/>
  <c r="Y92" i="18"/>
  <c r="W2" i="18"/>
  <c r="W153" i="18"/>
  <c r="V2" i="18"/>
  <c r="W182" i="18"/>
  <c r="U237" i="5"/>
  <c r="W10" i="18" s="1"/>
  <c r="AA10" i="18" s="1"/>
  <c r="E387" i="18" a="1"/>
  <c r="E387" i="18" s="1"/>
  <c r="U228" i="5"/>
  <c r="U3856" i="5"/>
  <c r="I223" i="18"/>
  <c r="I6" i="18"/>
  <c r="I37" i="18"/>
  <c r="I192" i="18"/>
  <c r="Q37" i="18"/>
  <c r="Q192" i="18"/>
  <c r="U192" i="18" s="1"/>
  <c r="Q223" i="18"/>
  <c r="Q6" i="18"/>
  <c r="E5" i="18" a="1"/>
  <c r="E5" i="18" s="1"/>
  <c r="E13" i="18" a="1"/>
  <c r="E13" i="18" s="1"/>
  <c r="E17" i="18" a="1"/>
  <c r="E17" i="18" s="1"/>
  <c r="E25" i="18" a="1"/>
  <c r="E25" i="18" s="1"/>
  <c r="E33" i="18" a="1"/>
  <c r="E33" i="18" s="1"/>
  <c r="E41" i="18" a="1"/>
  <c r="E41" i="18" s="1"/>
  <c r="E49" i="18" a="1"/>
  <c r="E49" i="18" s="1"/>
  <c r="E53" i="18" a="1"/>
  <c r="E53" i="18" s="1"/>
  <c r="E67" i="18" a="1"/>
  <c r="E67" i="18" s="1"/>
  <c r="E73" i="18" a="1"/>
  <c r="E73" i="18" s="1"/>
  <c r="E84" i="18" a="1"/>
  <c r="E84" i="18" s="1"/>
  <c r="E96" i="18" a="1"/>
  <c r="E96" i="18" s="1"/>
  <c r="E102" i="18" a="1"/>
  <c r="E102" i="18" s="1"/>
  <c r="E110" i="18" a="1"/>
  <c r="E110" i="18" s="1"/>
  <c r="E118" i="18" a="1"/>
  <c r="E118" i="18" s="1"/>
  <c r="E126" i="18" a="1"/>
  <c r="E126" i="18" s="1"/>
  <c r="E132" i="18" a="1"/>
  <c r="E132" i="18" s="1"/>
  <c r="E142" i="18" a="1"/>
  <c r="E142" i="18" s="1"/>
  <c r="E148" i="18" a="1"/>
  <c r="E148" i="18" s="1"/>
  <c r="E156" i="18" a="1"/>
  <c r="E156" i="18" s="1"/>
  <c r="E167" i="18" a="1"/>
  <c r="E167" i="18" s="1"/>
  <c r="E173" i="18" a="1"/>
  <c r="E173" i="18" s="1"/>
  <c r="E179" i="18" a="1"/>
  <c r="E179" i="18" s="1"/>
  <c r="E187" i="18" a="1"/>
  <c r="E187" i="18" s="1"/>
  <c r="E193" i="18" a="1"/>
  <c r="E193" i="18" s="1"/>
  <c r="E201" i="18" a="1"/>
  <c r="E201" i="18" s="1"/>
  <c r="E207" i="18" a="1"/>
  <c r="E207" i="18" s="1"/>
  <c r="E215" i="18" a="1"/>
  <c r="E215" i="18" s="1"/>
  <c r="E223" i="18" a="1"/>
  <c r="E223" i="18" s="1"/>
  <c r="E229" i="18" a="1"/>
  <c r="E229" i="18" s="1"/>
  <c r="E237" i="18" a="1"/>
  <c r="E237" i="18" s="1"/>
  <c r="E245" i="18" a="1"/>
  <c r="E245" i="18" s="1"/>
  <c r="E251" i="18" a="1"/>
  <c r="E251" i="18" s="1"/>
  <c r="E257" i="18" a="1"/>
  <c r="E257" i="18" s="1"/>
  <c r="E263" i="18" a="1"/>
  <c r="E263" i="18" s="1"/>
  <c r="E271" i="18" a="1"/>
  <c r="E271" i="18" s="1"/>
  <c r="E279" i="18" a="1"/>
  <c r="E279" i="18" s="1"/>
  <c r="E285" i="18" a="1"/>
  <c r="E285" i="18" s="1"/>
  <c r="E10" i="18" a="1"/>
  <c r="E10" i="18" s="1"/>
  <c r="E16" i="18" a="1"/>
  <c r="E16" i="18" s="1"/>
  <c r="E22" i="18" a="1"/>
  <c r="E22" i="18" s="1"/>
  <c r="E30" i="18" a="1"/>
  <c r="E30" i="18" s="1"/>
  <c r="E38" i="18" a="1"/>
  <c r="E38" i="18" s="1"/>
  <c r="E46" i="18" a="1"/>
  <c r="E46" i="18" s="1"/>
  <c r="E64" i="18" a="1"/>
  <c r="E64" i="18" s="1"/>
  <c r="E72" i="18" a="1"/>
  <c r="E72" i="18" s="1"/>
  <c r="E77" i="18" a="1"/>
  <c r="E77" i="18" s="1"/>
  <c r="E81" i="18" a="1"/>
  <c r="E81" i="18" s="1"/>
  <c r="E87" i="18" a="1"/>
  <c r="E87" i="18" s="1"/>
  <c r="E93" i="18" a="1"/>
  <c r="E93" i="18" s="1"/>
  <c r="E107" i="18" a="1"/>
  <c r="E107" i="18" s="1"/>
  <c r="E115" i="18" a="1"/>
  <c r="E115" i="18" s="1"/>
  <c r="E123" i="18" a="1"/>
  <c r="E123" i="18" s="1"/>
  <c r="E129" i="18" a="1"/>
  <c r="E129" i="18" s="1"/>
  <c r="E141" i="18" a="1"/>
  <c r="E141" i="18" s="1"/>
  <c r="E145" i="18" a="1"/>
  <c r="E145" i="18" s="1"/>
  <c r="E153" i="18" a="1"/>
  <c r="E153" i="18" s="1"/>
  <c r="E161" i="18" a="1"/>
  <c r="E161" i="18" s="1"/>
  <c r="E164" i="18" a="1"/>
  <c r="E164" i="18" s="1"/>
  <c r="E172" i="18" a="1"/>
  <c r="E172" i="18" s="1"/>
  <c r="E184" i="18" a="1"/>
  <c r="E184" i="18" s="1"/>
  <c r="E190" i="18" a="1"/>
  <c r="E190" i="18" s="1"/>
  <c r="E198" i="18" a="1"/>
  <c r="E198" i="18" s="1"/>
  <c r="E206" i="18" a="1"/>
  <c r="E206" i="18" s="1"/>
  <c r="E212" i="18" a="1"/>
  <c r="E212" i="18" s="1"/>
  <c r="E220" i="18" a="1"/>
  <c r="E220" i="18" s="1"/>
  <c r="E234" i="18" a="1"/>
  <c r="E234" i="18" s="1"/>
  <c r="E242" i="18" a="1"/>
  <c r="E242" i="18" s="1"/>
  <c r="E250" i="18" a="1"/>
  <c r="E250" i="18" s="1"/>
  <c r="E254" i="18" a="1"/>
  <c r="E254" i="18" s="1"/>
  <c r="E260" i="18" a="1"/>
  <c r="E260" i="18" s="1"/>
  <c r="E268" i="18" a="1"/>
  <c r="E268" i="18" s="1"/>
  <c r="E276" i="18" a="1"/>
  <c r="E276" i="18" s="1"/>
  <c r="E282" i="18" a="1"/>
  <c r="E282" i="18" s="1"/>
  <c r="E7" i="18" a="1"/>
  <c r="E7" i="18" s="1"/>
  <c r="E15" i="18" a="1"/>
  <c r="E15" i="18" s="1"/>
  <c r="E19" i="18" a="1"/>
  <c r="E19" i="18" s="1"/>
  <c r="E27" i="18" a="1"/>
  <c r="E27" i="18" s="1"/>
  <c r="E35" i="18" a="1"/>
  <c r="E35" i="18" s="1"/>
  <c r="E43" i="18" a="1"/>
  <c r="E43" i="18" s="1"/>
  <c r="E57" i="18" a="1"/>
  <c r="E57" i="18" s="1"/>
  <c r="E61" i="18" a="1"/>
  <c r="E61" i="18" s="1"/>
  <c r="E69" i="18" a="1"/>
  <c r="E69" i="18" s="1"/>
  <c r="E76" i="18" a="1"/>
  <c r="E76" i="18" s="1"/>
  <c r="E80" i="18" a="1"/>
  <c r="E80" i="18" s="1"/>
  <c r="E86" i="18" a="1"/>
  <c r="E86" i="18" s="1"/>
  <c r="E90" i="18" a="1"/>
  <c r="E90" i="18" s="1"/>
  <c r="E98" i="18" a="1"/>
  <c r="E98" i="18" s="1"/>
  <c r="E104" i="18" a="1"/>
  <c r="E104" i="18" s="1"/>
  <c r="E112" i="18" a="1"/>
  <c r="E112" i="18" s="1"/>
  <c r="E120" i="18" a="1"/>
  <c r="E120" i="18" s="1"/>
  <c r="E134" i="18" a="1"/>
  <c r="E134" i="18" s="1"/>
  <c r="E138" i="18" a="1"/>
  <c r="E138" i="18" s="1"/>
  <c r="E150" i="18" a="1"/>
  <c r="E150" i="18" s="1"/>
  <c r="E158" i="18" a="1"/>
  <c r="E158" i="18" s="1"/>
  <c r="E169" i="18" a="1"/>
  <c r="E169" i="18" s="1"/>
  <c r="E175" i="18" a="1"/>
  <c r="E175" i="18" s="1"/>
  <c r="E181" i="18" a="1"/>
  <c r="E181" i="18" s="1"/>
  <c r="E195" i="18" a="1"/>
  <c r="E195" i="18" s="1"/>
  <c r="E203" i="18" a="1"/>
  <c r="E203" i="18" s="1"/>
  <c r="E209" i="18" a="1"/>
  <c r="E209" i="18" s="1"/>
  <c r="E217" i="18" a="1"/>
  <c r="E217" i="18" s="1"/>
  <c r="E225" i="18" a="1"/>
  <c r="E225" i="18" s="1"/>
  <c r="E231" i="18" a="1"/>
  <c r="E231" i="18" s="1"/>
  <c r="E239" i="18" a="1"/>
  <c r="E239" i="18" s="1"/>
  <c r="E247" i="18" a="1"/>
  <c r="E247" i="18" s="1"/>
  <c r="E265" i="18" a="1"/>
  <c r="E265" i="18" s="1"/>
  <c r="E273" i="18" a="1"/>
  <c r="E273" i="18" s="1"/>
  <c r="E287" i="18" a="1"/>
  <c r="E287" i="18" s="1"/>
  <c r="E293" i="18" a="1"/>
  <c r="E293" i="18" s="1"/>
  <c r="E299" i="18" a="1"/>
  <c r="E299" i="18" s="1"/>
  <c r="E4" i="18" a="1"/>
  <c r="E4" i="18" s="1"/>
  <c r="E12" i="18" a="1"/>
  <c r="E12" i="18" s="1"/>
  <c r="E24" i="18" a="1"/>
  <c r="E24" i="18" s="1"/>
  <c r="E32" i="18" a="1"/>
  <c r="E32" i="18" s="1"/>
  <c r="E40" i="18" a="1"/>
  <c r="E40" i="18" s="1"/>
  <c r="E48" i="18" a="1"/>
  <c r="E48" i="18" s="1"/>
  <c r="E52" i="18" a="1"/>
  <c r="E52" i="18" s="1"/>
  <c r="E56" i="18" a="1"/>
  <c r="E56" i="18" s="1"/>
  <c r="E60" i="18" a="1"/>
  <c r="E60" i="18" s="1"/>
  <c r="E66" i="18" a="1"/>
  <c r="E66" i="18" s="1"/>
  <c r="E75" i="18" a="1"/>
  <c r="E75" i="18" s="1"/>
  <c r="E79" i="18" a="1"/>
  <c r="E79" i="18" s="1"/>
  <c r="E83" i="18" a="1"/>
  <c r="E83" i="18" s="1"/>
  <c r="E95" i="18" a="1"/>
  <c r="E95" i="18" s="1"/>
  <c r="E101" i="18" a="1"/>
  <c r="E101" i="18" s="1"/>
  <c r="E109" i="18" a="1"/>
  <c r="E109" i="18" s="1"/>
  <c r="E117" i="18" a="1"/>
  <c r="E117" i="18" s="1"/>
  <c r="E125" i="18" a="1"/>
  <c r="E125" i="18" s="1"/>
  <c r="E131" i="18" a="1"/>
  <c r="E131" i="18" s="1"/>
  <c r="E137" i="18" a="1"/>
  <c r="E137" i="18" s="1"/>
  <c r="E147" i="18" a="1"/>
  <c r="E147" i="18" s="1"/>
  <c r="E155" i="18" a="1"/>
  <c r="E155" i="18" s="1"/>
  <c r="E166" i="18" a="1"/>
  <c r="E166" i="18" s="1"/>
  <c r="E178" i="18" a="1"/>
  <c r="E178" i="18" s="1"/>
  <c r="E186" i="18" a="1"/>
  <c r="E186" i="18" s="1"/>
  <c r="E192" i="18" a="1"/>
  <c r="E192" i="18" s="1"/>
  <c r="E200" i="18" a="1"/>
  <c r="E200" i="18" s="1"/>
  <c r="E214" i="18" a="1"/>
  <c r="E214" i="18" s="1"/>
  <c r="E222" i="18" a="1"/>
  <c r="E222" i="18" s="1"/>
  <c r="E228" i="18" a="1"/>
  <c r="E228" i="18" s="1"/>
  <c r="E236" i="18" a="1"/>
  <c r="E236" i="18" s="1"/>
  <c r="E244" i="18" a="1"/>
  <c r="E244" i="18" s="1"/>
  <c r="E256" i="18" a="1"/>
  <c r="E256" i="18" s="1"/>
  <c r="E262" i="18" a="1"/>
  <c r="E262" i="18" s="1"/>
  <c r="E270" i="18" a="1"/>
  <c r="E270" i="18" s="1"/>
  <c r="E278" i="18" a="1"/>
  <c r="E278" i="18" s="1"/>
  <c r="E9" i="18" a="1"/>
  <c r="E9" i="18" s="1"/>
  <c r="E21" i="18" a="1"/>
  <c r="E21" i="18" s="1"/>
  <c r="E29" i="18" a="1"/>
  <c r="E29" i="18" s="1"/>
  <c r="E37" i="18" a="1"/>
  <c r="E37" i="18" s="1"/>
  <c r="E45" i="18" a="1"/>
  <c r="E45" i="18" s="1"/>
  <c r="E51" i="18" a="1"/>
  <c r="E51" i="18" s="1"/>
  <c r="E55" i="18" a="1"/>
  <c r="E55" i="18" s="1"/>
  <c r="E59" i="18" a="1"/>
  <c r="E59" i="18" s="1"/>
  <c r="E63" i="18" a="1"/>
  <c r="E63" i="18" s="1"/>
  <c r="E71" i="18" a="1"/>
  <c r="E71" i="18" s="1"/>
  <c r="E92" i="18" a="1"/>
  <c r="E92" i="18" s="1"/>
  <c r="E106" i="18" a="1"/>
  <c r="E106" i="18" s="1"/>
  <c r="E114" i="18" a="1"/>
  <c r="E114" i="18" s="1"/>
  <c r="E122" i="18" a="1"/>
  <c r="E122" i="18" s="1"/>
  <c r="E128" i="18" a="1"/>
  <c r="E128" i="18" s="1"/>
  <c r="E140" i="18" a="1"/>
  <c r="E140" i="18" s="1"/>
  <c r="E144" i="18" a="1"/>
  <c r="E144" i="18" s="1"/>
  <c r="E152" i="18" a="1"/>
  <c r="E152" i="18" s="1"/>
  <c r="E160" i="18" a="1"/>
  <c r="E160" i="18" s="1"/>
  <c r="E163" i="18" a="1"/>
  <c r="E163" i="18" s="1"/>
  <c r="E171" i="18" a="1"/>
  <c r="E171" i="18" s="1"/>
  <c r="E183" i="18" a="1"/>
  <c r="E183" i="18" s="1"/>
  <c r="E189" i="18" a="1"/>
  <c r="E189" i="18" s="1"/>
  <c r="E197" i="18" a="1"/>
  <c r="E197" i="18" s="1"/>
  <c r="E205" i="18" a="1"/>
  <c r="E205" i="18" s="1"/>
  <c r="E211" i="18" a="1"/>
  <c r="E211" i="18" s="1"/>
  <c r="E219" i="18" a="1"/>
  <c r="E219" i="18" s="1"/>
  <c r="E227" i="18" a="1"/>
  <c r="E227" i="18" s="1"/>
  <c r="E233" i="18" a="1"/>
  <c r="E233" i="18" s="1"/>
  <c r="E241" i="18" a="1"/>
  <c r="E241" i="18" s="1"/>
  <c r="E249" i="18" a="1"/>
  <c r="E249" i="18" s="1"/>
  <c r="E253" i="18" a="1"/>
  <c r="E253" i="18" s="1"/>
  <c r="E259" i="18" a="1"/>
  <c r="E259" i="18" s="1"/>
  <c r="E267" i="18" a="1"/>
  <c r="E267" i="18" s="1"/>
  <c r="E275" i="18" a="1"/>
  <c r="E275" i="18" s="1"/>
  <c r="E281" i="18" a="1"/>
  <c r="E281" i="18" s="1"/>
  <c r="E6" i="18" a="1"/>
  <c r="E6" i="18" s="1"/>
  <c r="E14" i="18" a="1"/>
  <c r="E14" i="18" s="1"/>
  <c r="E18" i="18" a="1"/>
  <c r="E18" i="18" s="1"/>
  <c r="E26" i="18" a="1"/>
  <c r="E26" i="18" s="1"/>
  <c r="E34" i="18" a="1"/>
  <c r="E34" i="18" s="1"/>
  <c r="E42" i="18" a="1"/>
  <c r="E42" i="18" s="1"/>
  <c r="E50" i="18" a="1"/>
  <c r="E50" i="18" s="1"/>
  <c r="E54" i="18" a="1"/>
  <c r="E54" i="18" s="1"/>
  <c r="E68" i="18" a="1"/>
  <c r="E68" i="18" s="1"/>
  <c r="E74" i="18" a="1"/>
  <c r="E74" i="18" s="1"/>
  <c r="E85" i="18" a="1"/>
  <c r="E85" i="18" s="1"/>
  <c r="E89" i="18" a="1"/>
  <c r="E89" i="18" s="1"/>
  <c r="E97" i="18" a="1"/>
  <c r="E97" i="18" s="1"/>
  <c r="E103" i="18" a="1"/>
  <c r="E103" i="18" s="1"/>
  <c r="E111" i="18" a="1"/>
  <c r="E111" i="18" s="1"/>
  <c r="E119" i="18" a="1"/>
  <c r="E119" i="18" s="1"/>
  <c r="E133" i="18" a="1"/>
  <c r="E133" i="18" s="1"/>
  <c r="E149" i="18" a="1"/>
  <c r="E149" i="18" s="1"/>
  <c r="E157" i="18" a="1"/>
  <c r="E157" i="18" s="1"/>
  <c r="E168" i="18" a="1"/>
  <c r="E168" i="18" s="1"/>
  <c r="E174" i="18" a="1"/>
  <c r="E174" i="18" s="1"/>
  <c r="E180" i="18" a="1"/>
  <c r="E180" i="18" s="1"/>
  <c r="E188" i="18" a="1"/>
  <c r="E188" i="18" s="1"/>
  <c r="E194" i="18" a="1"/>
  <c r="E194" i="18" s="1"/>
  <c r="E202" i="18" a="1"/>
  <c r="E202" i="18" s="1"/>
  <c r="E208" i="18" a="1"/>
  <c r="E208" i="18" s="1"/>
  <c r="E216" i="18" a="1"/>
  <c r="E216" i="18" s="1"/>
  <c r="E224" i="18" a="1"/>
  <c r="E224" i="18" s="1"/>
  <c r="E230" i="18" a="1"/>
  <c r="E230" i="18" s="1"/>
  <c r="E238" i="18" a="1"/>
  <c r="E238" i="18" s="1"/>
  <c r="E246" i="18" a="1"/>
  <c r="E246" i="18" s="1"/>
  <c r="E258" i="18" a="1"/>
  <c r="E258" i="18" s="1"/>
  <c r="E264" i="18" a="1"/>
  <c r="E264" i="18" s="1"/>
  <c r="E272" i="18" a="1"/>
  <c r="E272" i="18" s="1"/>
  <c r="E286" i="18" a="1"/>
  <c r="E286" i="18" s="1"/>
  <c r="E292" i="18" a="1"/>
  <c r="E292" i="18" s="1"/>
  <c r="E11" i="18" a="1"/>
  <c r="E11" i="18" s="1"/>
  <c r="E23" i="18" a="1"/>
  <c r="E23" i="18" s="1"/>
  <c r="E31" i="18" a="1"/>
  <c r="E31" i="18" s="1"/>
  <c r="E39" i="18" a="1"/>
  <c r="E39" i="18" s="1"/>
  <c r="E47" i="18" a="1"/>
  <c r="E47" i="18" s="1"/>
  <c r="E65" i="18" a="1"/>
  <c r="E65" i="18" s="1"/>
  <c r="E78" i="18" a="1"/>
  <c r="E78" i="18" s="1"/>
  <c r="E82" i="18" a="1"/>
  <c r="E82" i="18" s="1"/>
  <c r="E88" i="18" a="1"/>
  <c r="E88" i="18" s="1"/>
  <c r="E94" i="18" a="1"/>
  <c r="E94" i="18" s="1"/>
  <c r="E100" i="18" a="1"/>
  <c r="E100" i="18" s="1"/>
  <c r="E108" i="18" a="1"/>
  <c r="E108" i="18" s="1"/>
  <c r="E116" i="18" a="1"/>
  <c r="E116" i="18" s="1"/>
  <c r="E124" i="18" a="1"/>
  <c r="E124" i="18" s="1"/>
  <c r="E130" i="18" a="1"/>
  <c r="E130" i="18" s="1"/>
  <c r="E146" i="18" a="1"/>
  <c r="E146" i="18" s="1"/>
  <c r="E154" i="18" a="1"/>
  <c r="E154" i="18" s="1"/>
  <c r="E162" i="18" a="1"/>
  <c r="E162" i="18" s="1"/>
  <c r="E165" i="18" a="1"/>
  <c r="E165" i="18" s="1"/>
  <c r="E177" i="18" a="1"/>
  <c r="E177" i="18" s="1"/>
  <c r="E185" i="18" a="1"/>
  <c r="E185" i="18" s="1"/>
  <c r="E191" i="18" a="1"/>
  <c r="E191" i="18" s="1"/>
  <c r="E199" i="18" a="1"/>
  <c r="E199" i="18" s="1"/>
  <c r="E213" i="18" a="1"/>
  <c r="E213" i="18" s="1"/>
  <c r="E221" i="18" a="1"/>
  <c r="E221" i="18" s="1"/>
  <c r="E235" i="18" a="1"/>
  <c r="E235" i="18" s="1"/>
  <c r="E243" i="18" a="1"/>
  <c r="E243" i="18" s="1"/>
  <c r="E255" i="18" a="1"/>
  <c r="E255" i="18" s="1"/>
  <c r="E261" i="18" a="1"/>
  <c r="E261" i="18" s="1"/>
  <c r="E269" i="18" a="1"/>
  <c r="E269" i="18" s="1"/>
  <c r="E277" i="18" a="1"/>
  <c r="E277" i="18" s="1"/>
  <c r="E283" i="18" a="1"/>
  <c r="E283" i="18" s="1"/>
  <c r="E289" i="18" a="1"/>
  <c r="E289" i="18" s="1"/>
  <c r="E8" i="18" a="1"/>
  <c r="E8" i="18" s="1"/>
  <c r="E20" i="18" a="1"/>
  <c r="E20" i="18" s="1"/>
  <c r="E28" i="18" a="1"/>
  <c r="E28" i="18" s="1"/>
  <c r="E36" i="18" a="1"/>
  <c r="E36" i="18" s="1"/>
  <c r="E44" i="18" a="1"/>
  <c r="E44" i="18" s="1"/>
  <c r="E58" i="18" a="1"/>
  <c r="E58" i="18" s="1"/>
  <c r="E62" i="18" a="1"/>
  <c r="E62" i="18" s="1"/>
  <c r="E70" i="18" a="1"/>
  <c r="E70" i="18" s="1"/>
  <c r="E91" i="18" a="1"/>
  <c r="E91" i="18" s="1"/>
  <c r="E99" i="18" a="1"/>
  <c r="E99" i="18" s="1"/>
  <c r="E105" i="18" a="1"/>
  <c r="E105" i="18" s="1"/>
  <c r="E113" i="18" a="1"/>
  <c r="E113" i="18" s="1"/>
  <c r="E121" i="18" a="1"/>
  <c r="E121" i="18" s="1"/>
  <c r="E127" i="18" a="1"/>
  <c r="E127" i="18" s="1"/>
  <c r="E135" i="18" a="1"/>
  <c r="E135" i="18" s="1"/>
  <c r="E139" i="18" a="1"/>
  <c r="E139" i="18" s="1"/>
  <c r="E143" i="18" a="1"/>
  <c r="E143" i="18" s="1"/>
  <c r="E151" i="18" a="1"/>
  <c r="E151" i="18" s="1"/>
  <c r="E159" i="18" a="1"/>
  <c r="E159" i="18" s="1"/>
  <c r="E170" i="18" a="1"/>
  <c r="E170" i="18" s="1"/>
  <c r="E176" i="18" a="1"/>
  <c r="E176" i="18" s="1"/>
  <c r="E182" i="18" a="1"/>
  <c r="E182" i="18" s="1"/>
  <c r="E196" i="18" a="1"/>
  <c r="E196" i="18" s="1"/>
  <c r="E204" i="18" a="1"/>
  <c r="E204" i="18" s="1"/>
  <c r="E210" i="18" a="1"/>
  <c r="E210" i="18" s="1"/>
  <c r="E218" i="18" a="1"/>
  <c r="E218" i="18" s="1"/>
  <c r="E226" i="18" a="1"/>
  <c r="E226" i="18" s="1"/>
  <c r="E232" i="18" a="1"/>
  <c r="E232" i="18" s="1"/>
  <c r="E240" i="18" a="1"/>
  <c r="E240" i="18" s="1"/>
  <c r="E248" i="18" a="1"/>
  <c r="E248" i="18" s="1"/>
  <c r="E252" i="18" a="1"/>
  <c r="E252" i="18" s="1"/>
  <c r="E266" i="18" a="1"/>
  <c r="E266" i="18" s="1"/>
  <c r="E274" i="18" a="1"/>
  <c r="E274" i="18" s="1"/>
  <c r="E280" i="18" a="1"/>
  <c r="E280" i="18" s="1"/>
  <c r="E294" i="18" a="1"/>
  <c r="E294" i="18" s="1"/>
  <c r="E300" i="18" a="1"/>
  <c r="E300" i="18" s="1"/>
  <c r="E295" i="18" a="1"/>
  <c r="E295" i="18" s="1"/>
  <c r="E303" i="18" a="1"/>
  <c r="E303" i="18" s="1"/>
  <c r="E309" i="18" a="1"/>
  <c r="E309" i="18" s="1"/>
  <c r="E329" i="18" a="1"/>
  <c r="E329" i="18" s="1"/>
  <c r="E339" i="18" a="1"/>
  <c r="E339" i="18" s="1"/>
  <c r="E351" i="18" a="1"/>
  <c r="E351" i="18" s="1"/>
  <c r="E365" i="18" a="1"/>
  <c r="E365" i="18" s="1"/>
  <c r="E371" i="18" a="1"/>
  <c r="E371" i="18" s="1"/>
  <c r="E377" i="18" a="1"/>
  <c r="E377" i="18" s="1"/>
  <c r="E391" i="18" a="1"/>
  <c r="E391" i="18" s="1"/>
  <c r="E395" i="18" a="1"/>
  <c r="E395" i="18" s="1"/>
  <c r="E403" i="18" a="1"/>
  <c r="E403" i="18" s="1"/>
  <c r="E409" i="18" a="1"/>
  <c r="E409" i="18" s="1"/>
  <c r="E415" i="18" a="1"/>
  <c r="E415" i="18" s="1"/>
  <c r="E429" i="18" a="1"/>
  <c r="E429" i="18" s="1"/>
  <c r="E441" i="18" a="1"/>
  <c r="E441" i="18" s="1"/>
  <c r="E447" i="18" a="1"/>
  <c r="E447" i="18" s="1"/>
  <c r="E459" i="18" a="1"/>
  <c r="E459" i="18" s="1"/>
  <c r="E457" i="18" a="1"/>
  <c r="E457" i="18" s="1"/>
  <c r="E306" i="18" a="1"/>
  <c r="E306" i="18" s="1"/>
  <c r="E318" i="18" a="1"/>
  <c r="E318" i="18" s="1"/>
  <c r="E324" i="18" a="1"/>
  <c r="E324" i="18" s="1"/>
  <c r="E332" i="18" a="1"/>
  <c r="E332" i="18" s="1"/>
  <c r="E338" i="18" a="1"/>
  <c r="E338" i="18" s="1"/>
  <c r="E344" i="18" a="1"/>
  <c r="E344" i="18" s="1"/>
  <c r="E350" i="18" a="1"/>
  <c r="E350" i="18" s="1"/>
  <c r="E364" i="18" a="1"/>
  <c r="E364" i="18" s="1"/>
  <c r="E370" i="18" a="1"/>
  <c r="E370" i="18" s="1"/>
  <c r="E374" i="18" a="1"/>
  <c r="E374" i="18" s="1"/>
  <c r="E382" i="18" a="1"/>
  <c r="E382" i="18" s="1"/>
  <c r="E388" i="18" a="1"/>
  <c r="E388" i="18" s="1"/>
  <c r="E394" i="18" a="1"/>
  <c r="E394" i="18" s="1"/>
  <c r="E400" i="18" a="1"/>
  <c r="E400" i="18" s="1"/>
  <c r="E420" i="18" a="1"/>
  <c r="E420" i="18" s="1"/>
  <c r="E428" i="18" a="1"/>
  <c r="E428" i="18" s="1"/>
  <c r="E452" i="18" a="1"/>
  <c r="E452" i="18" s="1"/>
  <c r="E458" i="18" a="1"/>
  <c r="E458" i="18" s="1"/>
  <c r="E290" i="18" a="1"/>
  <c r="E290" i="18" s="1"/>
  <c r="E297" i="18" a="1"/>
  <c r="E297" i="18" s="1"/>
  <c r="E311" i="18" a="1"/>
  <c r="E311" i="18" s="1"/>
  <c r="E315" i="18" a="1"/>
  <c r="E315" i="18" s="1"/>
  <c r="E321" i="18" a="1"/>
  <c r="E321" i="18" s="1"/>
  <c r="E335" i="18" a="1"/>
  <c r="E335" i="18" s="1"/>
  <c r="E349" i="18" a="1"/>
  <c r="E349" i="18" s="1"/>
  <c r="E357" i="18" a="1"/>
  <c r="E357" i="18" s="1"/>
  <c r="E363" i="18" a="1"/>
  <c r="E363" i="18" s="1"/>
  <c r="E369" i="18" a="1"/>
  <c r="E369" i="18" s="1"/>
  <c r="E379" i="18" a="1"/>
  <c r="E379" i="18" s="1"/>
  <c r="E385" i="18" a="1"/>
  <c r="E385" i="18" s="1"/>
  <c r="E397" i="18" a="1"/>
  <c r="E397" i="18" s="1"/>
  <c r="E405" i="18" a="1"/>
  <c r="E405" i="18" s="1"/>
  <c r="E411" i="18" a="1"/>
  <c r="E411" i="18" s="1"/>
  <c r="E417" i="18" a="1"/>
  <c r="E417" i="18" s="1"/>
  <c r="E423" i="18" a="1"/>
  <c r="E423" i="18" s="1"/>
  <c r="E427" i="18" a="1"/>
  <c r="E427" i="18" s="1"/>
  <c r="E435" i="18" a="1"/>
  <c r="E435" i="18" s="1"/>
  <c r="E443" i="18" a="1"/>
  <c r="E443" i="18" s="1"/>
  <c r="E449" i="18" a="1"/>
  <c r="E449" i="18" s="1"/>
  <c r="E284" i="18" a="1"/>
  <c r="E284" i="18" s="1"/>
  <c r="E288" i="18" a="1"/>
  <c r="E288" i="18" s="1"/>
  <c r="E302" i="18" a="1"/>
  <c r="E302" i="18" s="1"/>
  <c r="E308" i="18" a="1"/>
  <c r="E308" i="18" s="1"/>
  <c r="E314" i="18" a="1"/>
  <c r="E314" i="18" s="1"/>
  <c r="E320" i="18" a="1"/>
  <c r="E320" i="18" s="1"/>
  <c r="E328" i="18" a="1"/>
  <c r="E328" i="18" s="1"/>
  <c r="E348" i="18" a="1"/>
  <c r="E348" i="18" s="1"/>
  <c r="E356" i="18" a="1"/>
  <c r="E356" i="18" s="1"/>
  <c r="E362" i="18" a="1"/>
  <c r="E362" i="18" s="1"/>
  <c r="E368" i="18" a="1"/>
  <c r="E368" i="18" s="1"/>
  <c r="E376" i="18" a="1"/>
  <c r="E376" i="18" s="1"/>
  <c r="E390" i="18" a="1"/>
  <c r="E390" i="18" s="1"/>
  <c r="E402" i="18" a="1"/>
  <c r="E402" i="18" s="1"/>
  <c r="E408" i="18" a="1"/>
  <c r="E408" i="18" s="1"/>
  <c r="E414" i="18" a="1"/>
  <c r="E414" i="18" s="1"/>
  <c r="E426" i="18" a="1"/>
  <c r="E426" i="18" s="1"/>
  <c r="E434" i="18" a="1"/>
  <c r="E434" i="18" s="1"/>
  <c r="E440" i="18" a="1"/>
  <c r="E440" i="18" s="1"/>
  <c r="E446" i="18" a="1"/>
  <c r="E446" i="18" s="1"/>
  <c r="E456" i="18" a="1"/>
  <c r="E456" i="18" s="1"/>
  <c r="E463" i="18" a="1"/>
  <c r="E463" i="18" s="1"/>
  <c r="E305" i="18" a="1"/>
  <c r="E305" i="18" s="1"/>
  <c r="E313" i="18" a="1"/>
  <c r="E313" i="18" s="1"/>
  <c r="E317" i="18" a="1"/>
  <c r="E317" i="18" s="1"/>
  <c r="E323" i="18" a="1"/>
  <c r="E323" i="18" s="1"/>
  <c r="E327" i="18" a="1"/>
  <c r="E327" i="18" s="1"/>
  <c r="E331" i="18" a="1"/>
  <c r="E331" i="18" s="1"/>
  <c r="E337" i="18" a="1"/>
  <c r="E337" i="18" s="1"/>
  <c r="E343" i="18" a="1"/>
  <c r="E343" i="18" s="1"/>
  <c r="E347" i="18" a="1"/>
  <c r="E347" i="18" s="1"/>
  <c r="E355" i="18" a="1"/>
  <c r="E355" i="18" s="1"/>
  <c r="E361" i="18" a="1"/>
  <c r="E361" i="18" s="1"/>
  <c r="E367" i="18" a="1"/>
  <c r="E367" i="18" s="1"/>
  <c r="E373" i="18" a="1"/>
  <c r="E373" i="18" s="1"/>
  <c r="E381" i="18" a="1"/>
  <c r="E381" i="18" s="1"/>
  <c r="E393" i="18" a="1"/>
  <c r="E393" i="18" s="1"/>
  <c r="E399" i="18" a="1"/>
  <c r="E399" i="18" s="1"/>
  <c r="E419" i="18" a="1"/>
  <c r="E419" i="18" s="1"/>
  <c r="E425" i="18" a="1"/>
  <c r="E425" i="18" s="1"/>
  <c r="E433" i="18" a="1"/>
  <c r="E433" i="18" s="1"/>
  <c r="E439" i="18" a="1"/>
  <c r="E439" i="18" s="1"/>
  <c r="E451" i="18" a="1"/>
  <c r="E451" i="18" s="1"/>
  <c r="E455" i="18" a="1"/>
  <c r="E455" i="18" s="1"/>
  <c r="E296" i="18" a="1"/>
  <c r="E296" i="18" s="1"/>
  <c r="E310" i="18" a="1"/>
  <c r="E310" i="18" s="1"/>
  <c r="E326" i="18" a="1"/>
  <c r="E326" i="18" s="1"/>
  <c r="E330" i="18" a="1"/>
  <c r="E330" i="18" s="1"/>
  <c r="E334" i="18" a="1"/>
  <c r="E334" i="18" s="1"/>
  <c r="E342" i="18" a="1"/>
  <c r="E342" i="18" s="1"/>
  <c r="E346" i="18" a="1"/>
  <c r="E346" i="18" s="1"/>
  <c r="E354" i="18" a="1"/>
  <c r="E354" i="18" s="1"/>
  <c r="E360" i="18" a="1"/>
  <c r="E360" i="18" s="1"/>
  <c r="E378" i="18" a="1"/>
  <c r="E378" i="18" s="1"/>
  <c r="E384" i="18" a="1"/>
  <c r="E384" i="18" s="1"/>
  <c r="E396" i="18" a="1"/>
  <c r="E396" i="18" s="1"/>
  <c r="E404" i="18" a="1"/>
  <c r="E404" i="18" s="1"/>
  <c r="E410" i="18" a="1"/>
  <c r="E410" i="18" s="1"/>
  <c r="E416" i="18" a="1"/>
  <c r="E416" i="18" s="1"/>
  <c r="E422" i="18" a="1"/>
  <c r="E422" i="18" s="1"/>
  <c r="E432" i="18" a="1"/>
  <c r="E432" i="18" s="1"/>
  <c r="E438" i="18" a="1"/>
  <c r="E438" i="18" s="1"/>
  <c r="E442" i="18" a="1"/>
  <c r="E442" i="18" s="1"/>
  <c r="E448" i="18" a="1"/>
  <c r="E448" i="18" s="1"/>
  <c r="E454" i="18" a="1"/>
  <c r="E454" i="18" s="1"/>
  <c r="E462" i="18" a="1"/>
  <c r="E462" i="18" s="1"/>
  <c r="E460" i="18" a="1"/>
  <c r="E460" i="18" s="1"/>
  <c r="E291" i="18" a="1"/>
  <c r="E291" i="18" s="1"/>
  <c r="E301" i="18" a="1"/>
  <c r="E301" i="18" s="1"/>
  <c r="E307" i="18" a="1"/>
  <c r="E307" i="18" s="1"/>
  <c r="E319" i="18" a="1"/>
  <c r="E319" i="18" s="1"/>
  <c r="E325" i="18" a="1"/>
  <c r="E325" i="18" s="1"/>
  <c r="E333" i="18" a="1"/>
  <c r="E333" i="18" s="1"/>
  <c r="E341" i="18" a="1"/>
  <c r="E341" i="18" s="1"/>
  <c r="E345" i="18" a="1"/>
  <c r="E345" i="18" s="1"/>
  <c r="E353" i="18" a="1"/>
  <c r="E353" i="18" s="1"/>
  <c r="E359" i="18" a="1"/>
  <c r="E359" i="18" s="1"/>
  <c r="E375" i="18" a="1"/>
  <c r="E375" i="18" s="1"/>
  <c r="E383" i="18" a="1"/>
  <c r="E383" i="18" s="1"/>
  <c r="E389" i="18" a="1"/>
  <c r="E389" i="18" s="1"/>
  <c r="E401" i="18" a="1"/>
  <c r="E401" i="18" s="1"/>
  <c r="E407" i="18" a="1"/>
  <c r="E407" i="18" s="1"/>
  <c r="E413" i="18" a="1"/>
  <c r="E413" i="18" s="1"/>
  <c r="E421" i="18" a="1"/>
  <c r="E421" i="18" s="1"/>
  <c r="E431" i="18" a="1"/>
  <c r="E431" i="18" s="1"/>
  <c r="E437" i="18" a="1"/>
  <c r="E437" i="18" s="1"/>
  <c r="E445" i="18" a="1"/>
  <c r="E445" i="18" s="1"/>
  <c r="E453" i="18" a="1"/>
  <c r="E453" i="18" s="1"/>
  <c r="E461" i="18" a="1"/>
  <c r="E461" i="18" s="1"/>
  <c r="E298" i="18" a="1"/>
  <c r="E298" i="18" s="1"/>
  <c r="E304" i="18" a="1"/>
  <c r="E304" i="18" s="1"/>
  <c r="E312" i="18" a="1"/>
  <c r="E312" i="18" s="1"/>
  <c r="E316" i="18" a="1"/>
  <c r="E316" i="18" s="1"/>
  <c r="E322" i="18" a="1"/>
  <c r="E322" i="18" s="1"/>
  <c r="E336" i="18" a="1"/>
  <c r="E336" i="18" s="1"/>
  <c r="E340" i="18" a="1"/>
  <c r="E340" i="18" s="1"/>
  <c r="E352" i="18" a="1"/>
  <c r="E352" i="18" s="1"/>
  <c r="E358" i="18" a="1"/>
  <c r="E358" i="18" s="1"/>
  <c r="E366" i="18" a="1"/>
  <c r="E366" i="18" s="1"/>
  <c r="E372" i="18" a="1"/>
  <c r="E372" i="18" s="1"/>
  <c r="E380" i="18" a="1"/>
  <c r="E380" i="18" s="1"/>
  <c r="E386" i="18" a="1"/>
  <c r="E386" i="18" s="1"/>
  <c r="E392" i="18" a="1"/>
  <c r="E392" i="18" s="1"/>
  <c r="E398" i="18" a="1"/>
  <c r="E398" i="18" s="1"/>
  <c r="E406" i="18" a="1"/>
  <c r="E406" i="18" s="1"/>
  <c r="E412" i="18" a="1"/>
  <c r="E412" i="18" s="1"/>
  <c r="E418" i="18" a="1"/>
  <c r="E418" i="18" s="1"/>
  <c r="E424" i="18" a="1"/>
  <c r="E424" i="18" s="1"/>
  <c r="E430" i="18" a="1"/>
  <c r="E430" i="18" s="1"/>
  <c r="E436" i="18" a="1"/>
  <c r="E436" i="18" s="1"/>
  <c r="E444" i="18" a="1"/>
  <c r="E444" i="18" s="1"/>
  <c r="E450" i="18" a="1"/>
  <c r="E450" i="18" s="1"/>
  <c r="L403" i="18"/>
  <c r="L401" i="18"/>
  <c r="L399" i="18"/>
  <c r="L241" i="18"/>
  <c r="L119" i="18"/>
  <c r="L322" i="18"/>
  <c r="L272" i="18"/>
  <c r="L115" i="18"/>
  <c r="L281" i="18"/>
  <c r="L395" i="18"/>
  <c r="L22" i="18"/>
  <c r="L271" i="18"/>
  <c r="L231" i="18"/>
  <c r="L109" i="18"/>
  <c r="L170" i="18"/>
  <c r="W7868" i="5" l="1"/>
  <c r="W307" i="18"/>
  <c r="AA307" i="18" s="1"/>
  <c r="AA268" i="18"/>
  <c r="Y268" i="18"/>
  <c r="I5" i="18"/>
  <c r="T5077" i="5" a="1"/>
  <c r="T5077" i="5" s="1"/>
  <c r="U5077" i="5" s="1"/>
  <c r="W445" i="18" s="1"/>
  <c r="F464" i="18"/>
  <c r="T55" i="5" a="1"/>
  <c r="T55" i="5" s="1"/>
  <c r="U55" i="5" s="1"/>
  <c r="W55" i="5" s="1"/>
  <c r="U7551" i="5"/>
  <c r="V151" i="18"/>
  <c r="X151" i="18" s="1"/>
  <c r="V136" i="18"/>
  <c r="X136" i="18" s="1"/>
  <c r="V373" i="18"/>
  <c r="X373" i="18" s="1"/>
  <c r="AA108" i="18"/>
  <c r="X147" i="18"/>
  <c r="X172" i="18"/>
  <c r="X18" i="18"/>
  <c r="X345" i="18"/>
  <c r="X122" i="18"/>
  <c r="AA384" i="18"/>
  <c r="Y384" i="18"/>
  <c r="X327" i="18"/>
  <c r="W389" i="18"/>
  <c r="Y389" i="18" s="1"/>
  <c r="W122" i="18"/>
  <c r="W3644" i="5"/>
  <c r="W113" i="18"/>
  <c r="X26" i="18"/>
  <c r="Y83" i="18"/>
  <c r="AA83" i="18"/>
  <c r="AA444" i="18"/>
  <c r="Y444" i="18"/>
  <c r="X214" i="18"/>
  <c r="X328" i="18"/>
  <c r="X39" i="18"/>
  <c r="X443" i="18"/>
  <c r="X51" i="18"/>
  <c r="X451" i="18"/>
  <c r="X7" i="18"/>
  <c r="X330" i="18"/>
  <c r="X449" i="18"/>
  <c r="X463" i="18"/>
  <c r="Y174" i="18"/>
  <c r="AA174" i="18"/>
  <c r="Y250" i="18"/>
  <c r="AA250" i="18"/>
  <c r="AA146" i="18"/>
  <c r="Y146" i="18"/>
  <c r="X2" i="18"/>
  <c r="X457" i="18"/>
  <c r="X410" i="18"/>
  <c r="X302" i="18"/>
  <c r="X113" i="18"/>
  <c r="W169" i="18"/>
  <c r="W463" i="18"/>
  <c r="W3614" i="5"/>
  <c r="W455" i="18"/>
  <c r="Y208" i="18"/>
  <c r="X430" i="18"/>
  <c r="Y457" i="18"/>
  <c r="AA457" i="18"/>
  <c r="X320" i="18"/>
  <c r="X177" i="18"/>
  <c r="W86" i="5"/>
  <c r="W3613" i="5"/>
  <c r="AA430" i="18"/>
  <c r="Y430" i="18"/>
  <c r="X247" i="18"/>
  <c r="X49" i="18"/>
  <c r="W225" i="18"/>
  <c r="AA225" i="18" s="1"/>
  <c r="W323" i="18"/>
  <c r="X166" i="18"/>
  <c r="X10" i="18"/>
  <c r="X205" i="18"/>
  <c r="X204" i="18"/>
  <c r="AA345" i="18"/>
  <c r="Y345" i="18"/>
  <c r="U6089" i="5"/>
  <c r="V187" i="18"/>
  <c r="X187" i="18" s="1"/>
  <c r="V8" i="18"/>
  <c r="R192" i="18"/>
  <c r="U3741" i="5"/>
  <c r="W226" i="18" s="1"/>
  <c r="V231" i="18"/>
  <c r="Y401" i="18"/>
  <c r="AA401" i="18"/>
  <c r="AA237" i="18"/>
  <c r="Y237" i="18"/>
  <c r="U5234" i="5"/>
  <c r="W105" i="18" s="1"/>
  <c r="V27" i="18"/>
  <c r="W5232" i="5"/>
  <c r="U5041" i="5"/>
  <c r="W432" i="18" s="1"/>
  <c r="V112" i="18"/>
  <c r="U4138" i="5"/>
  <c r="W431" i="18" s="1"/>
  <c r="V43" i="18"/>
  <c r="U6354" i="5"/>
  <c r="V131" i="18"/>
  <c r="AA310" i="18"/>
  <c r="Y310" i="18"/>
  <c r="W3610" i="5"/>
  <c r="W229" i="18"/>
  <c r="U5124" i="5"/>
  <c r="W173" i="18" s="1"/>
  <c r="V378" i="18"/>
  <c r="U5894" i="5"/>
  <c r="V45" i="18"/>
  <c r="AA38" i="18"/>
  <c r="Y38" i="18"/>
  <c r="AA396" i="18"/>
  <c r="Y396" i="18"/>
  <c r="U5993" i="5"/>
  <c r="W327" i="18" s="1"/>
  <c r="V284" i="18"/>
  <c r="U4248" i="5"/>
  <c r="V48" i="18"/>
  <c r="X48" i="18" s="1"/>
  <c r="W3616" i="5"/>
  <c r="W374" i="18"/>
  <c r="V152" i="18"/>
  <c r="X152" i="18" s="1"/>
  <c r="V65" i="18"/>
  <c r="X65" i="18" s="1"/>
  <c r="U2893" i="5"/>
  <c r="V28" i="18"/>
  <c r="AA256" i="18"/>
  <c r="Y256" i="18"/>
  <c r="V289" i="18"/>
  <c r="V138" i="18"/>
  <c r="X138" i="18" s="1"/>
  <c r="V41" i="18"/>
  <c r="V11" i="18"/>
  <c r="W58" i="5"/>
  <c r="W39" i="18"/>
  <c r="AA39" i="18" s="1"/>
  <c r="AA31" i="18"/>
  <c r="Y31" i="18"/>
  <c r="W3860" i="5"/>
  <c r="W160" i="18"/>
  <c r="U3862" i="5"/>
  <c r="V203" i="18"/>
  <c r="U56" i="5"/>
  <c r="W308" i="18" s="1"/>
  <c r="V46" i="18"/>
  <c r="V304" i="18"/>
  <c r="V266" i="18"/>
  <c r="V197" i="18"/>
  <c r="V73" i="18"/>
  <c r="U3337" i="5"/>
  <c r="V19" i="18"/>
  <c r="U166" i="5"/>
  <c r="W343" i="18" s="1"/>
  <c r="V40" i="18"/>
  <c r="AA20" i="18"/>
  <c r="W3856" i="5"/>
  <c r="AA33" i="18"/>
  <c r="Y33" i="18"/>
  <c r="W228" i="5"/>
  <c r="W217" i="18"/>
  <c r="V6" i="18"/>
  <c r="V215" i="18"/>
  <c r="V53" i="18"/>
  <c r="X53" i="18" s="1"/>
  <c r="W222" i="5"/>
  <c r="W211" i="18"/>
  <c r="W237" i="5"/>
  <c r="W166" i="18"/>
  <c r="AA179" i="18"/>
  <c r="Y179" i="18"/>
  <c r="Y71" i="18"/>
  <c r="AA71" i="18"/>
  <c r="V14" i="18"/>
  <c r="U234" i="5"/>
  <c r="W2641" i="5"/>
  <c r="W449" i="18"/>
  <c r="W1480" i="5"/>
  <c r="W263" i="18"/>
  <c r="R6" i="18"/>
  <c r="R223" i="18"/>
  <c r="R37" i="18"/>
  <c r="U6" i="18"/>
  <c r="U223" i="18"/>
  <c r="U37" i="18"/>
  <c r="AA153" i="18"/>
  <c r="Y153" i="18"/>
  <c r="AA2" i="18"/>
  <c r="Y2" i="18"/>
  <c r="AA182" i="18"/>
  <c r="Y182" i="18"/>
  <c r="V192" i="18"/>
  <c r="V37" i="18"/>
  <c r="W18" i="18"/>
  <c r="V223" i="18"/>
  <c r="U226" i="5"/>
  <c r="U121" i="5"/>
  <c r="W172" i="18" s="1"/>
  <c r="U3584" i="5"/>
  <c r="W65" i="18" s="1"/>
  <c r="U6066" i="5"/>
  <c r="W138" i="18" s="1"/>
  <c r="U225" i="5"/>
  <c r="W328" i="18" s="1"/>
  <c r="U5067" i="5"/>
  <c r="W5067" i="5" s="1"/>
  <c r="U256" i="5"/>
  <c r="U3858" i="5"/>
  <c r="W451" i="18" s="1"/>
  <c r="U1586" i="5"/>
  <c r="W458" i="18" s="1"/>
  <c r="U4549" i="5"/>
  <c r="W177" i="18" s="1"/>
  <c r="U189" i="5"/>
  <c r="W26" i="18" s="1"/>
  <c r="U1309" i="5"/>
  <c r="U5333" i="5"/>
  <c r="W459" i="18" s="1"/>
  <c r="U1223" i="5"/>
  <c r="W1223" i="5" s="1"/>
  <c r="U3333" i="5"/>
  <c r="W49" i="18" s="1"/>
  <c r="U2889" i="5"/>
  <c r="L113" i="18"/>
  <c r="S430" i="18"/>
  <c r="J430" i="18"/>
  <c r="R430" i="18"/>
  <c r="J398" i="18"/>
  <c r="S398" i="18"/>
  <c r="R398" i="18"/>
  <c r="J372" i="18"/>
  <c r="S372" i="18"/>
  <c r="R372" i="18"/>
  <c r="S461" i="18"/>
  <c r="J461" i="18"/>
  <c r="R461" i="18"/>
  <c r="S431" i="18"/>
  <c r="J431" i="18"/>
  <c r="R431" i="18"/>
  <c r="J401" i="18"/>
  <c r="S401" i="18"/>
  <c r="R401" i="18"/>
  <c r="J359" i="18"/>
  <c r="S359" i="18"/>
  <c r="R359" i="18"/>
  <c r="J325" i="18"/>
  <c r="S325" i="18"/>
  <c r="R325" i="18"/>
  <c r="J354" i="18"/>
  <c r="S354" i="18"/>
  <c r="R354" i="18"/>
  <c r="J347" i="18"/>
  <c r="S347" i="18"/>
  <c r="R347" i="18"/>
  <c r="J408" i="18"/>
  <c r="S408" i="18"/>
  <c r="R408" i="18"/>
  <c r="J385" i="18"/>
  <c r="S385" i="18"/>
  <c r="R385" i="18"/>
  <c r="J357" i="18"/>
  <c r="S357" i="18"/>
  <c r="R357" i="18"/>
  <c r="J290" i="18"/>
  <c r="S290" i="18"/>
  <c r="R290" i="18"/>
  <c r="J394" i="18"/>
  <c r="S394" i="18"/>
  <c r="R394" i="18"/>
  <c r="J364" i="18"/>
  <c r="S364" i="18"/>
  <c r="R364" i="18"/>
  <c r="J395" i="18"/>
  <c r="S395" i="18"/>
  <c r="R395" i="18"/>
  <c r="J300" i="18"/>
  <c r="S300" i="18"/>
  <c r="R300" i="18"/>
  <c r="J232" i="18"/>
  <c r="S232" i="18"/>
  <c r="R232" i="18"/>
  <c r="J204" i="18"/>
  <c r="S204" i="18"/>
  <c r="R204" i="18"/>
  <c r="S170" i="18"/>
  <c r="J170" i="18"/>
  <c r="R170" i="18"/>
  <c r="J113" i="18"/>
  <c r="S113" i="18"/>
  <c r="R113" i="18"/>
  <c r="J191" i="18"/>
  <c r="S191" i="18"/>
  <c r="R191" i="18"/>
  <c r="S39" i="18"/>
  <c r="J39" i="18"/>
  <c r="R39" i="18"/>
  <c r="S3" i="18"/>
  <c r="J3" i="18"/>
  <c r="R3" i="18"/>
  <c r="J258" i="18"/>
  <c r="S258" i="18"/>
  <c r="R258" i="18"/>
  <c r="J224" i="18"/>
  <c r="S224" i="18"/>
  <c r="R224" i="18"/>
  <c r="J194" i="18"/>
  <c r="S194" i="18"/>
  <c r="R194" i="18"/>
  <c r="J119" i="18"/>
  <c r="S119" i="18"/>
  <c r="R119" i="18"/>
  <c r="J89" i="18"/>
  <c r="S89" i="18"/>
  <c r="R89" i="18"/>
  <c r="S259" i="18"/>
  <c r="J259" i="18"/>
  <c r="R259" i="18"/>
  <c r="J233" i="18"/>
  <c r="S233" i="18"/>
  <c r="R233" i="18"/>
  <c r="J71" i="18"/>
  <c r="S71" i="18"/>
  <c r="R71" i="18"/>
  <c r="J9" i="18"/>
  <c r="S9" i="18"/>
  <c r="R9" i="18"/>
  <c r="J222" i="18"/>
  <c r="S222" i="18"/>
  <c r="R222" i="18"/>
  <c r="J155" i="18"/>
  <c r="S155" i="18"/>
  <c r="R155" i="18"/>
  <c r="J125" i="18"/>
  <c r="S125" i="18"/>
  <c r="R125" i="18"/>
  <c r="J95" i="18"/>
  <c r="S95" i="18"/>
  <c r="R95" i="18"/>
  <c r="J60" i="18"/>
  <c r="S60" i="18"/>
  <c r="R60" i="18"/>
  <c r="J4" i="18"/>
  <c r="S4" i="18"/>
  <c r="R4" i="18"/>
  <c r="J231" i="18"/>
  <c r="S231" i="18"/>
  <c r="R231" i="18"/>
  <c r="J203" i="18"/>
  <c r="S203" i="18"/>
  <c r="R203" i="18"/>
  <c r="J169" i="18"/>
  <c r="S169" i="18"/>
  <c r="R169" i="18"/>
  <c r="J104" i="18"/>
  <c r="S104" i="18"/>
  <c r="R104" i="18"/>
  <c r="J7" i="18"/>
  <c r="S7" i="18"/>
  <c r="R7" i="18"/>
  <c r="J220" i="18"/>
  <c r="S220" i="18"/>
  <c r="R220" i="18"/>
  <c r="J93" i="18"/>
  <c r="S93" i="18"/>
  <c r="R93" i="18"/>
  <c r="J245" i="18"/>
  <c r="S245" i="18"/>
  <c r="R245" i="18"/>
  <c r="J215" i="18"/>
  <c r="S215" i="18"/>
  <c r="R215" i="18"/>
  <c r="S187" i="18"/>
  <c r="J187" i="18"/>
  <c r="R187" i="18"/>
  <c r="J156" i="18"/>
  <c r="S156" i="18"/>
  <c r="R156" i="18"/>
  <c r="J118" i="18"/>
  <c r="S118" i="18"/>
  <c r="R118" i="18"/>
  <c r="S340" i="18"/>
  <c r="J340" i="18"/>
  <c r="R340" i="18"/>
  <c r="J316" i="18"/>
  <c r="S316" i="18"/>
  <c r="R316" i="18"/>
  <c r="S291" i="18"/>
  <c r="J291" i="18"/>
  <c r="R291" i="18"/>
  <c r="S442" i="18"/>
  <c r="J442" i="18"/>
  <c r="R442" i="18"/>
  <c r="J416" i="18"/>
  <c r="S416" i="18"/>
  <c r="R416" i="18"/>
  <c r="J384" i="18"/>
  <c r="S384" i="18"/>
  <c r="R384" i="18"/>
  <c r="J451" i="18"/>
  <c r="S451" i="18"/>
  <c r="R451" i="18"/>
  <c r="S399" i="18"/>
  <c r="J399" i="18"/>
  <c r="R399" i="18"/>
  <c r="S373" i="18"/>
  <c r="J373" i="18"/>
  <c r="R373" i="18"/>
  <c r="J323" i="18"/>
  <c r="S323" i="18"/>
  <c r="R323" i="18"/>
  <c r="E464" i="18"/>
  <c r="J2" i="18"/>
  <c r="S2" i="18"/>
  <c r="R2" i="18"/>
  <c r="J440" i="18"/>
  <c r="S440" i="18"/>
  <c r="R440" i="18"/>
  <c r="J368" i="18"/>
  <c r="S368" i="18"/>
  <c r="R368" i="18"/>
  <c r="S328" i="18"/>
  <c r="J328" i="18"/>
  <c r="R328" i="18"/>
  <c r="S288" i="18"/>
  <c r="J288" i="18"/>
  <c r="R288" i="18"/>
  <c r="J435" i="18"/>
  <c r="S435" i="18"/>
  <c r="R435" i="18"/>
  <c r="S411" i="18"/>
  <c r="J411" i="18"/>
  <c r="R411" i="18"/>
  <c r="J315" i="18"/>
  <c r="S315" i="18"/>
  <c r="R315" i="18"/>
  <c r="J428" i="18"/>
  <c r="S428" i="18"/>
  <c r="R428" i="18"/>
  <c r="S332" i="18"/>
  <c r="J332" i="18"/>
  <c r="R332" i="18"/>
  <c r="S391" i="18"/>
  <c r="J391" i="18"/>
  <c r="R391" i="18"/>
  <c r="J351" i="18"/>
  <c r="S351" i="18"/>
  <c r="R351" i="18"/>
  <c r="S294" i="18"/>
  <c r="J294" i="18"/>
  <c r="R294" i="18"/>
  <c r="J139" i="18"/>
  <c r="S139" i="18"/>
  <c r="R139" i="18"/>
  <c r="J62" i="18"/>
  <c r="S62" i="18"/>
  <c r="R62" i="18"/>
  <c r="J36" i="18"/>
  <c r="S36" i="18"/>
  <c r="R36" i="18"/>
  <c r="J289" i="18"/>
  <c r="S289" i="18"/>
  <c r="R289" i="18"/>
  <c r="J261" i="18"/>
  <c r="S261" i="18"/>
  <c r="R261" i="18"/>
  <c r="J154" i="18"/>
  <c r="S154" i="18"/>
  <c r="R154" i="18"/>
  <c r="J124" i="18"/>
  <c r="S124" i="18"/>
  <c r="R124" i="18"/>
  <c r="S94" i="18"/>
  <c r="J94" i="18"/>
  <c r="R94" i="18"/>
  <c r="S65" i="18"/>
  <c r="J65" i="18"/>
  <c r="R65" i="18"/>
  <c r="J292" i="18"/>
  <c r="S292" i="18"/>
  <c r="R292" i="18"/>
  <c r="S188" i="18"/>
  <c r="J188" i="18"/>
  <c r="R188" i="18"/>
  <c r="S157" i="18"/>
  <c r="J157" i="18"/>
  <c r="R157" i="18"/>
  <c r="J26" i="18"/>
  <c r="S26" i="18"/>
  <c r="R26" i="18"/>
  <c r="J227" i="18"/>
  <c r="S227" i="18"/>
  <c r="R227" i="18"/>
  <c r="J197" i="18"/>
  <c r="S197" i="18"/>
  <c r="R197" i="18"/>
  <c r="S163" i="18"/>
  <c r="J163" i="18"/>
  <c r="R163" i="18"/>
  <c r="S140" i="18"/>
  <c r="J140" i="18"/>
  <c r="R140" i="18"/>
  <c r="J106" i="18"/>
  <c r="S106" i="18"/>
  <c r="R106" i="18"/>
  <c r="S37" i="18"/>
  <c r="J37" i="18"/>
  <c r="J278" i="18"/>
  <c r="S278" i="18"/>
  <c r="R278" i="18"/>
  <c r="J186" i="18"/>
  <c r="S186" i="18"/>
  <c r="R186" i="18"/>
  <c r="J56" i="18"/>
  <c r="S56" i="18"/>
  <c r="R56" i="18"/>
  <c r="J32" i="18"/>
  <c r="S32" i="18"/>
  <c r="R32" i="18"/>
  <c r="S299" i="18"/>
  <c r="J299" i="18"/>
  <c r="R299" i="18"/>
  <c r="J265" i="18"/>
  <c r="S265" i="18"/>
  <c r="R265" i="18"/>
  <c r="J134" i="18"/>
  <c r="S134" i="18"/>
  <c r="R134" i="18"/>
  <c r="S69" i="18"/>
  <c r="J69" i="18"/>
  <c r="R69" i="18"/>
  <c r="S35" i="18"/>
  <c r="J35" i="18"/>
  <c r="R35" i="18"/>
  <c r="J282" i="18"/>
  <c r="S282" i="18"/>
  <c r="R282" i="18"/>
  <c r="J254" i="18"/>
  <c r="S254" i="18"/>
  <c r="R254" i="18"/>
  <c r="J184" i="18"/>
  <c r="S184" i="18"/>
  <c r="R184" i="18"/>
  <c r="S153" i="18"/>
  <c r="J153" i="18"/>
  <c r="R153" i="18"/>
  <c r="S123" i="18"/>
  <c r="J123" i="18"/>
  <c r="R123" i="18"/>
  <c r="J64" i="18"/>
  <c r="S64" i="18"/>
  <c r="R64" i="18"/>
  <c r="S22" i="18"/>
  <c r="J22" i="18"/>
  <c r="R22" i="18"/>
  <c r="J271" i="18"/>
  <c r="S271" i="18"/>
  <c r="R271" i="18"/>
  <c r="J84" i="18"/>
  <c r="S84" i="18"/>
  <c r="R84" i="18"/>
  <c r="J49" i="18"/>
  <c r="S49" i="18"/>
  <c r="R49" i="18"/>
  <c r="S17" i="18"/>
  <c r="J17" i="18"/>
  <c r="R17" i="18"/>
  <c r="J424" i="18"/>
  <c r="S424" i="18"/>
  <c r="R424" i="18"/>
  <c r="J392" i="18"/>
  <c r="S392" i="18"/>
  <c r="R392" i="18"/>
  <c r="J366" i="18"/>
  <c r="S366" i="18"/>
  <c r="R366" i="18"/>
  <c r="J453" i="18"/>
  <c r="S453" i="18"/>
  <c r="R453" i="18"/>
  <c r="J421" i="18"/>
  <c r="S421" i="18"/>
  <c r="R421" i="18"/>
  <c r="J389" i="18"/>
  <c r="S389" i="18"/>
  <c r="R389" i="18"/>
  <c r="J353" i="18"/>
  <c r="S353" i="18"/>
  <c r="R353" i="18"/>
  <c r="J319" i="18"/>
  <c r="S319" i="18"/>
  <c r="R319" i="18"/>
  <c r="J460" i="18"/>
  <c r="S460" i="18"/>
  <c r="R460" i="18"/>
  <c r="J438" i="18"/>
  <c r="S438" i="18"/>
  <c r="R438" i="18"/>
  <c r="S346" i="18"/>
  <c r="J346" i="18"/>
  <c r="R346" i="18"/>
  <c r="S439" i="18"/>
  <c r="J439" i="18"/>
  <c r="R439" i="18"/>
  <c r="J343" i="18"/>
  <c r="S343" i="18"/>
  <c r="R343" i="18"/>
  <c r="J463" i="18"/>
  <c r="S463" i="18"/>
  <c r="R463" i="18"/>
  <c r="J434" i="18"/>
  <c r="S434" i="18"/>
  <c r="R434" i="18"/>
  <c r="J402" i="18"/>
  <c r="S402" i="18"/>
  <c r="R402" i="18"/>
  <c r="J320" i="18"/>
  <c r="S320" i="18"/>
  <c r="R320" i="18"/>
  <c r="J284" i="18"/>
  <c r="S284" i="18"/>
  <c r="R284" i="18"/>
  <c r="J379" i="18"/>
  <c r="S379" i="18"/>
  <c r="R379" i="18"/>
  <c r="S349" i="18"/>
  <c r="J349" i="18"/>
  <c r="R349" i="18"/>
  <c r="S388" i="18"/>
  <c r="J388" i="18"/>
  <c r="R388" i="18"/>
  <c r="S447" i="18"/>
  <c r="J447" i="18"/>
  <c r="R447" i="18"/>
  <c r="J415" i="18"/>
  <c r="S415" i="18"/>
  <c r="R415" i="18"/>
  <c r="S309" i="18"/>
  <c r="J309" i="18"/>
  <c r="R309" i="18"/>
  <c r="J252" i="18"/>
  <c r="S252" i="18"/>
  <c r="R252" i="18"/>
  <c r="J226" i="18"/>
  <c r="S226" i="18"/>
  <c r="R226" i="18"/>
  <c r="J196" i="18"/>
  <c r="S196" i="18"/>
  <c r="R196" i="18"/>
  <c r="S135" i="18"/>
  <c r="J135" i="18"/>
  <c r="R135" i="18"/>
  <c r="J105" i="18"/>
  <c r="S105" i="18"/>
  <c r="R105" i="18"/>
  <c r="J221" i="18"/>
  <c r="S221" i="18"/>
  <c r="R221" i="18"/>
  <c r="J185" i="18"/>
  <c r="S185" i="18"/>
  <c r="R185" i="18"/>
  <c r="J88" i="18"/>
  <c r="S88" i="18"/>
  <c r="R88" i="18"/>
  <c r="S31" i="18"/>
  <c r="J31" i="18"/>
  <c r="R31" i="18"/>
  <c r="S246" i="18"/>
  <c r="J246" i="18"/>
  <c r="R246" i="18"/>
  <c r="J216" i="18"/>
  <c r="S216" i="18"/>
  <c r="R216" i="18"/>
  <c r="J111" i="18"/>
  <c r="S111" i="18"/>
  <c r="R111" i="18"/>
  <c r="J85" i="18"/>
  <c r="S85" i="18"/>
  <c r="R85" i="18"/>
  <c r="J54" i="18"/>
  <c r="S54" i="18"/>
  <c r="R54" i="18"/>
  <c r="J281" i="18"/>
  <c r="S281" i="18"/>
  <c r="R281" i="18"/>
  <c r="J253" i="18"/>
  <c r="S253" i="18"/>
  <c r="R253" i="18"/>
  <c r="J63" i="18"/>
  <c r="S63" i="18"/>
  <c r="R63" i="18"/>
  <c r="S244" i="18"/>
  <c r="J244" i="18"/>
  <c r="R244" i="18"/>
  <c r="J214" i="18"/>
  <c r="S214" i="18"/>
  <c r="R214" i="18"/>
  <c r="J147" i="18"/>
  <c r="S147" i="18"/>
  <c r="R147" i="18"/>
  <c r="S117" i="18"/>
  <c r="J117" i="18"/>
  <c r="R117" i="18"/>
  <c r="S83" i="18"/>
  <c r="J83" i="18"/>
  <c r="R83" i="18"/>
  <c r="S225" i="18"/>
  <c r="J225" i="18"/>
  <c r="R225" i="18"/>
  <c r="J195" i="18"/>
  <c r="S195" i="18"/>
  <c r="R195" i="18"/>
  <c r="S158" i="18"/>
  <c r="J158" i="18"/>
  <c r="R158" i="18"/>
  <c r="J98" i="18"/>
  <c r="S98" i="18"/>
  <c r="R98" i="18"/>
  <c r="S250" i="18"/>
  <c r="J250" i="18"/>
  <c r="R250" i="18"/>
  <c r="S212" i="18"/>
  <c r="J212" i="18"/>
  <c r="R212" i="18"/>
  <c r="J87" i="18"/>
  <c r="S87" i="18"/>
  <c r="R87" i="18"/>
  <c r="J16" i="18"/>
  <c r="S16" i="18"/>
  <c r="R16" i="18"/>
  <c r="S237" i="18"/>
  <c r="J237" i="18"/>
  <c r="R237" i="18"/>
  <c r="J207" i="18"/>
  <c r="S207" i="18"/>
  <c r="R207" i="18"/>
  <c r="J179" i="18"/>
  <c r="S179" i="18"/>
  <c r="R179" i="18"/>
  <c r="J148" i="18"/>
  <c r="S148" i="18"/>
  <c r="R148" i="18"/>
  <c r="S110" i="18"/>
  <c r="J110" i="18"/>
  <c r="R110" i="18"/>
  <c r="J450" i="18"/>
  <c r="S450" i="18"/>
  <c r="R450" i="18"/>
  <c r="J336" i="18"/>
  <c r="S336" i="18"/>
  <c r="R336" i="18"/>
  <c r="J312" i="18"/>
  <c r="S312" i="18"/>
  <c r="R312" i="18"/>
  <c r="S383" i="18"/>
  <c r="J383" i="18"/>
  <c r="R383" i="18"/>
  <c r="J462" i="18"/>
  <c r="S462" i="18"/>
  <c r="R462" i="18"/>
  <c r="J410" i="18"/>
  <c r="S410" i="18"/>
  <c r="R410" i="18"/>
  <c r="J378" i="18"/>
  <c r="S378" i="18"/>
  <c r="R378" i="18"/>
  <c r="J342" i="18"/>
  <c r="S342" i="18"/>
  <c r="R342" i="18"/>
  <c r="S310" i="18"/>
  <c r="J310" i="18"/>
  <c r="R310" i="18"/>
  <c r="S433" i="18"/>
  <c r="J433" i="18"/>
  <c r="R433" i="18"/>
  <c r="J393" i="18"/>
  <c r="S393" i="18"/>
  <c r="R393" i="18"/>
  <c r="S367" i="18"/>
  <c r="J367" i="18"/>
  <c r="R367" i="18"/>
  <c r="J317" i="18"/>
  <c r="S317" i="18"/>
  <c r="R317" i="18"/>
  <c r="J362" i="18"/>
  <c r="S362" i="18"/>
  <c r="R362" i="18"/>
  <c r="S314" i="18"/>
  <c r="J314" i="18"/>
  <c r="R314" i="18"/>
  <c r="J427" i="18"/>
  <c r="S427" i="18"/>
  <c r="R427" i="18"/>
  <c r="S405" i="18"/>
  <c r="J405" i="18"/>
  <c r="R405" i="18"/>
  <c r="J311" i="18"/>
  <c r="S311" i="18"/>
  <c r="R311" i="18"/>
  <c r="S458" i="18"/>
  <c r="J458" i="18"/>
  <c r="R458" i="18"/>
  <c r="J420" i="18"/>
  <c r="S420" i="18"/>
  <c r="R420" i="18"/>
  <c r="S350" i="18"/>
  <c r="J350" i="18"/>
  <c r="R350" i="18"/>
  <c r="J324" i="18"/>
  <c r="S324" i="18"/>
  <c r="R324" i="18"/>
  <c r="J303" i="18"/>
  <c r="S303" i="18"/>
  <c r="R303" i="18"/>
  <c r="J280" i="18"/>
  <c r="S280" i="18"/>
  <c r="R280" i="18"/>
  <c r="S159" i="18"/>
  <c r="J159" i="18"/>
  <c r="R159" i="18"/>
  <c r="S99" i="18"/>
  <c r="J99" i="18"/>
  <c r="R99" i="18"/>
  <c r="J58" i="18"/>
  <c r="S58" i="18"/>
  <c r="R58" i="18"/>
  <c r="J28" i="18"/>
  <c r="S28" i="18"/>
  <c r="R28" i="18"/>
  <c r="S283" i="18"/>
  <c r="J283" i="18"/>
  <c r="R283" i="18"/>
  <c r="J255" i="18"/>
  <c r="S255" i="18"/>
  <c r="R255" i="18"/>
  <c r="J146" i="18"/>
  <c r="S146" i="18"/>
  <c r="R146" i="18"/>
  <c r="J116" i="18"/>
  <c r="S116" i="18"/>
  <c r="R116" i="18"/>
  <c r="J286" i="18"/>
  <c r="S286" i="18"/>
  <c r="R286" i="18"/>
  <c r="S180" i="18"/>
  <c r="J180" i="18"/>
  <c r="R180" i="18"/>
  <c r="S149" i="18"/>
  <c r="J149" i="18"/>
  <c r="R149" i="18"/>
  <c r="J50" i="18"/>
  <c r="S50" i="18"/>
  <c r="R50" i="18"/>
  <c r="S18" i="18"/>
  <c r="J18" i="18"/>
  <c r="R18" i="18"/>
  <c r="J219" i="18"/>
  <c r="S219" i="18"/>
  <c r="R219" i="18"/>
  <c r="J189" i="18"/>
  <c r="S189" i="18"/>
  <c r="R189" i="18"/>
  <c r="J160" i="18"/>
  <c r="S160" i="18"/>
  <c r="R160" i="18"/>
  <c r="J128" i="18"/>
  <c r="S128" i="18"/>
  <c r="R128" i="18"/>
  <c r="S92" i="18"/>
  <c r="J92" i="18"/>
  <c r="R92" i="18"/>
  <c r="S59" i="18"/>
  <c r="J59" i="18"/>
  <c r="R59" i="18"/>
  <c r="J29" i="18"/>
  <c r="S29" i="18"/>
  <c r="R29" i="18"/>
  <c r="J270" i="18"/>
  <c r="S270" i="18"/>
  <c r="R270" i="18"/>
  <c r="S178" i="18"/>
  <c r="J178" i="18"/>
  <c r="R178" i="18"/>
  <c r="J79" i="18"/>
  <c r="S79" i="18"/>
  <c r="R79" i="18"/>
  <c r="J52" i="18"/>
  <c r="S52" i="18"/>
  <c r="R52" i="18"/>
  <c r="J24" i="18"/>
  <c r="S24" i="18"/>
  <c r="R24" i="18"/>
  <c r="J293" i="18"/>
  <c r="S293" i="18"/>
  <c r="R293" i="18"/>
  <c r="S61" i="18"/>
  <c r="J61" i="18"/>
  <c r="R61" i="18"/>
  <c r="S27" i="18"/>
  <c r="J27" i="18"/>
  <c r="R27" i="18"/>
  <c r="J276" i="18"/>
  <c r="S276" i="18"/>
  <c r="R276" i="18"/>
  <c r="S206" i="18"/>
  <c r="J206" i="18"/>
  <c r="R206" i="18"/>
  <c r="J172" i="18"/>
  <c r="S172" i="18"/>
  <c r="R172" i="18"/>
  <c r="J145" i="18"/>
  <c r="S145" i="18"/>
  <c r="R145" i="18"/>
  <c r="J115" i="18"/>
  <c r="S115" i="18"/>
  <c r="R115" i="18"/>
  <c r="J46" i="18"/>
  <c r="S46" i="18"/>
  <c r="R46" i="18"/>
  <c r="S263" i="18"/>
  <c r="J263" i="18"/>
  <c r="R263" i="18"/>
  <c r="J142" i="18"/>
  <c r="S142" i="18"/>
  <c r="R142" i="18"/>
  <c r="J73" i="18"/>
  <c r="S73" i="18"/>
  <c r="R73" i="18"/>
  <c r="J41" i="18"/>
  <c r="S41" i="18"/>
  <c r="R41" i="18"/>
  <c r="J13" i="18"/>
  <c r="S13" i="18"/>
  <c r="R13" i="18"/>
  <c r="J444" i="18"/>
  <c r="S444" i="18"/>
  <c r="R444" i="18"/>
  <c r="S418" i="18"/>
  <c r="J418" i="18"/>
  <c r="R418" i="18"/>
  <c r="S386" i="18"/>
  <c r="J386" i="18"/>
  <c r="R386" i="18"/>
  <c r="J358" i="18"/>
  <c r="S358" i="18"/>
  <c r="R358" i="18"/>
  <c r="J445" i="18"/>
  <c r="S445" i="18"/>
  <c r="R445" i="18"/>
  <c r="S413" i="18"/>
  <c r="J413" i="18"/>
  <c r="R413" i="18"/>
  <c r="J345" i="18"/>
  <c r="S345" i="18"/>
  <c r="R345" i="18"/>
  <c r="J432" i="18"/>
  <c r="S432" i="18"/>
  <c r="R432" i="18"/>
  <c r="S337" i="18"/>
  <c r="J337" i="18"/>
  <c r="R337" i="18"/>
  <c r="J313" i="18"/>
  <c r="S313" i="18"/>
  <c r="R313" i="18"/>
  <c r="S426" i="18"/>
  <c r="J426" i="18"/>
  <c r="R426" i="18"/>
  <c r="J356" i="18"/>
  <c r="S356" i="18"/>
  <c r="R356" i="18"/>
  <c r="S369" i="18"/>
  <c r="J369" i="18"/>
  <c r="R369" i="18"/>
  <c r="J382" i="18"/>
  <c r="S382" i="18"/>
  <c r="R382" i="18"/>
  <c r="S441" i="18"/>
  <c r="J441" i="18"/>
  <c r="R441" i="18"/>
  <c r="S409" i="18"/>
  <c r="J409" i="18"/>
  <c r="R409" i="18"/>
  <c r="J377" i="18"/>
  <c r="S377" i="18"/>
  <c r="R377" i="18"/>
  <c r="J339" i="18"/>
  <c r="S339" i="18"/>
  <c r="R339" i="18"/>
  <c r="J248" i="18"/>
  <c r="S248" i="18"/>
  <c r="R248" i="18"/>
  <c r="J218" i="18"/>
  <c r="S218" i="18"/>
  <c r="R218" i="18"/>
  <c r="J127" i="18"/>
  <c r="S127" i="18"/>
  <c r="R127" i="18"/>
  <c r="J213" i="18"/>
  <c r="S213" i="18"/>
  <c r="R213" i="18"/>
  <c r="S177" i="18"/>
  <c r="J177" i="18"/>
  <c r="R177" i="18"/>
  <c r="J82" i="18"/>
  <c r="S82" i="18"/>
  <c r="R82" i="18"/>
  <c r="J23" i="18"/>
  <c r="S23" i="18"/>
  <c r="R23" i="18"/>
  <c r="S238" i="18"/>
  <c r="J238" i="18"/>
  <c r="R238" i="18"/>
  <c r="S208" i="18"/>
  <c r="J208" i="18"/>
  <c r="R208" i="18"/>
  <c r="S103" i="18"/>
  <c r="J103" i="18"/>
  <c r="R103" i="18"/>
  <c r="S275" i="18"/>
  <c r="J275" i="18"/>
  <c r="R275" i="18"/>
  <c r="J249" i="18"/>
  <c r="S249" i="18"/>
  <c r="R249" i="18"/>
  <c r="S55" i="18"/>
  <c r="J55" i="18"/>
  <c r="R55" i="18"/>
  <c r="S236" i="18"/>
  <c r="J236" i="18"/>
  <c r="R236" i="18"/>
  <c r="S137" i="18"/>
  <c r="J137" i="18"/>
  <c r="R137" i="18"/>
  <c r="J109" i="18"/>
  <c r="S109" i="18"/>
  <c r="R109" i="18"/>
  <c r="J75" i="18"/>
  <c r="S75" i="18"/>
  <c r="R75" i="18"/>
  <c r="S287" i="18"/>
  <c r="J287" i="18"/>
  <c r="R287" i="18"/>
  <c r="J247" i="18"/>
  <c r="S247" i="18"/>
  <c r="R247" i="18"/>
  <c r="S217" i="18"/>
  <c r="J217" i="18"/>
  <c r="R217" i="18"/>
  <c r="J181" i="18"/>
  <c r="S181" i="18"/>
  <c r="R181" i="18"/>
  <c r="J150" i="18"/>
  <c r="S150" i="18"/>
  <c r="R150" i="18"/>
  <c r="J120" i="18"/>
  <c r="S120" i="18"/>
  <c r="R120" i="18"/>
  <c r="S90" i="18"/>
  <c r="J90" i="18"/>
  <c r="R90" i="18"/>
  <c r="S242" i="18"/>
  <c r="J242" i="18"/>
  <c r="R242" i="18"/>
  <c r="S141" i="18"/>
  <c r="J141" i="18"/>
  <c r="R141" i="18"/>
  <c r="J81" i="18"/>
  <c r="S81" i="18"/>
  <c r="R81" i="18"/>
  <c r="S10" i="18"/>
  <c r="J10" i="18"/>
  <c r="R10" i="18"/>
  <c r="J229" i="18"/>
  <c r="S229" i="18"/>
  <c r="R229" i="18"/>
  <c r="S201" i="18"/>
  <c r="J201" i="18"/>
  <c r="R201" i="18"/>
  <c r="S173" i="18"/>
  <c r="J173" i="18"/>
  <c r="R173" i="18"/>
  <c r="S102" i="18"/>
  <c r="J102" i="18"/>
  <c r="R102" i="18"/>
  <c r="J412" i="18"/>
  <c r="S412" i="18"/>
  <c r="R412" i="18"/>
  <c r="S375" i="18"/>
  <c r="J375" i="18"/>
  <c r="R375" i="18"/>
  <c r="S341" i="18"/>
  <c r="J341" i="18"/>
  <c r="R341" i="18"/>
  <c r="J307" i="18"/>
  <c r="S307" i="18"/>
  <c r="R307" i="18"/>
  <c r="J454" i="18"/>
  <c r="S454" i="18"/>
  <c r="R454" i="18"/>
  <c r="J404" i="18"/>
  <c r="S404" i="18"/>
  <c r="R404" i="18"/>
  <c r="J334" i="18"/>
  <c r="S334" i="18"/>
  <c r="R334" i="18"/>
  <c r="J296" i="18"/>
  <c r="S296" i="18"/>
  <c r="R296" i="18"/>
  <c r="S425" i="18"/>
  <c r="J425" i="18"/>
  <c r="R425" i="18"/>
  <c r="S387" i="18"/>
  <c r="J387" i="18"/>
  <c r="R387" i="18"/>
  <c r="J361" i="18"/>
  <c r="S361" i="18"/>
  <c r="R361" i="18"/>
  <c r="J456" i="18"/>
  <c r="S456" i="18"/>
  <c r="R456" i="18"/>
  <c r="J390" i="18"/>
  <c r="S390" i="18"/>
  <c r="R390" i="18"/>
  <c r="S308" i="18"/>
  <c r="J308" i="18"/>
  <c r="R308" i="18"/>
  <c r="S449" i="18"/>
  <c r="J449" i="18"/>
  <c r="R449" i="18"/>
  <c r="S423" i="18"/>
  <c r="J423" i="18"/>
  <c r="R423" i="18"/>
  <c r="J397" i="18"/>
  <c r="S397" i="18"/>
  <c r="R397" i="18"/>
  <c r="J335" i="18"/>
  <c r="S335" i="18"/>
  <c r="R335" i="18"/>
  <c r="J452" i="18"/>
  <c r="S452" i="18"/>
  <c r="R452" i="18"/>
  <c r="S344" i="18"/>
  <c r="J344" i="18"/>
  <c r="R344" i="18"/>
  <c r="J318" i="18"/>
  <c r="S318" i="18"/>
  <c r="R318" i="18"/>
  <c r="J457" i="18"/>
  <c r="S457" i="18"/>
  <c r="R457" i="18"/>
  <c r="J371" i="18"/>
  <c r="S371" i="18"/>
  <c r="R371" i="18"/>
  <c r="J295" i="18"/>
  <c r="S295" i="18"/>
  <c r="R295" i="18"/>
  <c r="J274" i="18"/>
  <c r="S274" i="18"/>
  <c r="R274" i="18"/>
  <c r="S182" i="18"/>
  <c r="J182" i="18"/>
  <c r="R182" i="18"/>
  <c r="J151" i="18"/>
  <c r="S151" i="18"/>
  <c r="R151" i="18"/>
  <c r="J91" i="18"/>
  <c r="S91" i="18"/>
  <c r="R91" i="18"/>
  <c r="J20" i="18"/>
  <c r="S20" i="18"/>
  <c r="R20" i="18"/>
  <c r="J277" i="18"/>
  <c r="S277" i="18"/>
  <c r="R277" i="18"/>
  <c r="J243" i="18"/>
  <c r="S243" i="18"/>
  <c r="R243" i="18"/>
  <c r="S136" i="18"/>
  <c r="J136" i="18"/>
  <c r="R136" i="18"/>
  <c r="S108" i="18"/>
  <c r="J108" i="18"/>
  <c r="R108" i="18"/>
  <c r="J272" i="18"/>
  <c r="S272" i="18"/>
  <c r="R272" i="18"/>
  <c r="J174" i="18"/>
  <c r="S174" i="18"/>
  <c r="R174" i="18"/>
  <c r="J74" i="18"/>
  <c r="S74" i="18"/>
  <c r="R74" i="18"/>
  <c r="S42" i="18"/>
  <c r="J42" i="18"/>
  <c r="R42" i="18"/>
  <c r="J14" i="18"/>
  <c r="S14" i="18"/>
  <c r="R14" i="18"/>
  <c r="J211" i="18"/>
  <c r="S211" i="18"/>
  <c r="R211" i="18"/>
  <c r="S183" i="18"/>
  <c r="J183" i="18"/>
  <c r="R183" i="18"/>
  <c r="J152" i="18"/>
  <c r="S152" i="18"/>
  <c r="R152" i="18"/>
  <c r="J122" i="18"/>
  <c r="S122" i="18"/>
  <c r="R122" i="18"/>
  <c r="J51" i="18"/>
  <c r="S51" i="18"/>
  <c r="R51" i="18"/>
  <c r="J21" i="18"/>
  <c r="S21" i="18"/>
  <c r="R21" i="18"/>
  <c r="J262" i="18"/>
  <c r="S262" i="18"/>
  <c r="R262" i="18"/>
  <c r="J200" i="18"/>
  <c r="S200" i="18"/>
  <c r="R200" i="18"/>
  <c r="J48" i="18"/>
  <c r="S48" i="18"/>
  <c r="R48" i="18"/>
  <c r="S86" i="18"/>
  <c r="J86" i="18"/>
  <c r="R86" i="18"/>
  <c r="J57" i="18"/>
  <c r="S57" i="18"/>
  <c r="R57" i="18"/>
  <c r="S19" i="18"/>
  <c r="J19" i="18"/>
  <c r="R19" i="18"/>
  <c r="J268" i="18"/>
  <c r="S268" i="18"/>
  <c r="R268" i="18"/>
  <c r="S198" i="18"/>
  <c r="J198" i="18"/>
  <c r="R198" i="18"/>
  <c r="S164" i="18"/>
  <c r="J164" i="18"/>
  <c r="R164" i="18"/>
  <c r="J107" i="18"/>
  <c r="S107" i="18"/>
  <c r="R107" i="18"/>
  <c r="J38" i="18"/>
  <c r="S38" i="18"/>
  <c r="R38" i="18"/>
  <c r="J257" i="18"/>
  <c r="S257" i="18"/>
  <c r="R257" i="18"/>
  <c r="J132" i="18"/>
  <c r="S132" i="18"/>
  <c r="R132" i="18"/>
  <c r="J67" i="18"/>
  <c r="S67" i="18"/>
  <c r="R67" i="18"/>
  <c r="J33" i="18"/>
  <c r="S33" i="18"/>
  <c r="R33" i="18"/>
  <c r="J5" i="18"/>
  <c r="S5" i="18"/>
  <c r="L191" i="18"/>
  <c r="J304" i="18"/>
  <c r="S304" i="18"/>
  <c r="R304" i="18"/>
  <c r="J436" i="18"/>
  <c r="S436" i="18"/>
  <c r="R436" i="18"/>
  <c r="J406" i="18"/>
  <c r="S406" i="18"/>
  <c r="R406" i="18"/>
  <c r="S380" i="18"/>
  <c r="J380" i="18"/>
  <c r="R380" i="18"/>
  <c r="S352" i="18"/>
  <c r="J352" i="18"/>
  <c r="R352" i="18"/>
  <c r="J298" i="18"/>
  <c r="S298" i="18"/>
  <c r="R298" i="18"/>
  <c r="J437" i="18"/>
  <c r="S437" i="18"/>
  <c r="R437" i="18"/>
  <c r="J407" i="18"/>
  <c r="S407" i="18"/>
  <c r="R407" i="18"/>
  <c r="J333" i="18"/>
  <c r="S333" i="18"/>
  <c r="R333" i="18"/>
  <c r="J360" i="18"/>
  <c r="S360" i="18"/>
  <c r="R360" i="18"/>
  <c r="S330" i="18"/>
  <c r="J330" i="18"/>
  <c r="R330" i="18"/>
  <c r="J355" i="18"/>
  <c r="S355" i="18"/>
  <c r="R355" i="18"/>
  <c r="J331" i="18"/>
  <c r="S331" i="18"/>
  <c r="R331" i="18"/>
  <c r="J305" i="18"/>
  <c r="S305" i="18"/>
  <c r="R305" i="18"/>
  <c r="J414" i="18"/>
  <c r="S414" i="18"/>
  <c r="R414" i="18"/>
  <c r="S348" i="18"/>
  <c r="J348" i="18"/>
  <c r="R348" i="18"/>
  <c r="J363" i="18"/>
  <c r="S363" i="18"/>
  <c r="R363" i="18"/>
  <c r="J374" i="18"/>
  <c r="S374" i="18"/>
  <c r="R374" i="18"/>
  <c r="J403" i="18"/>
  <c r="S403" i="18"/>
  <c r="R403" i="18"/>
  <c r="J365" i="18"/>
  <c r="S365" i="18"/>
  <c r="R365" i="18"/>
  <c r="S240" i="18"/>
  <c r="J240" i="18"/>
  <c r="R240" i="18"/>
  <c r="J210" i="18"/>
  <c r="S210" i="18"/>
  <c r="R210" i="18"/>
  <c r="J176" i="18"/>
  <c r="S176" i="18"/>
  <c r="R176" i="18"/>
  <c r="S121" i="18"/>
  <c r="J121" i="18"/>
  <c r="R121" i="18"/>
  <c r="J199" i="18"/>
  <c r="S199" i="18"/>
  <c r="R199" i="18"/>
  <c r="S165" i="18"/>
  <c r="J165" i="18"/>
  <c r="R165" i="18"/>
  <c r="S78" i="18"/>
  <c r="J78" i="18"/>
  <c r="R78" i="18"/>
  <c r="S47" i="18"/>
  <c r="J47" i="18"/>
  <c r="R47" i="18"/>
  <c r="J11" i="18"/>
  <c r="S11" i="18"/>
  <c r="R11" i="18"/>
  <c r="J230" i="18"/>
  <c r="S230" i="18"/>
  <c r="R230" i="18"/>
  <c r="J202" i="18"/>
  <c r="S202" i="18"/>
  <c r="R202" i="18"/>
  <c r="J133" i="18"/>
  <c r="S133" i="18"/>
  <c r="R133" i="18"/>
  <c r="J97" i="18"/>
  <c r="S97" i="18"/>
  <c r="R97" i="18"/>
  <c r="S267" i="18"/>
  <c r="J267" i="18"/>
  <c r="R267" i="18"/>
  <c r="J241" i="18"/>
  <c r="S241" i="18"/>
  <c r="R241" i="18"/>
  <c r="J228" i="18"/>
  <c r="S228" i="18"/>
  <c r="R228" i="18"/>
  <c r="S166" i="18"/>
  <c r="J166" i="18"/>
  <c r="R166" i="18"/>
  <c r="J131" i="18"/>
  <c r="S131" i="18"/>
  <c r="R131" i="18"/>
  <c r="J101" i="18"/>
  <c r="S101" i="18"/>
  <c r="R101" i="18"/>
  <c r="S12" i="18"/>
  <c r="J12" i="18"/>
  <c r="R12" i="18"/>
  <c r="S239" i="18"/>
  <c r="J239" i="18"/>
  <c r="R239" i="18"/>
  <c r="S209" i="18"/>
  <c r="J209" i="18"/>
  <c r="R209" i="18"/>
  <c r="J175" i="18"/>
  <c r="S175" i="18"/>
  <c r="R175" i="18"/>
  <c r="J112" i="18"/>
  <c r="S112" i="18"/>
  <c r="R112" i="18"/>
  <c r="S80" i="18"/>
  <c r="J80" i="18"/>
  <c r="R80" i="18"/>
  <c r="J15" i="18"/>
  <c r="S15" i="18"/>
  <c r="R15" i="18"/>
  <c r="J234" i="18"/>
  <c r="S234" i="18"/>
  <c r="R234" i="18"/>
  <c r="S77" i="18"/>
  <c r="J77" i="18"/>
  <c r="R77" i="18"/>
  <c r="J285" i="18"/>
  <c r="S285" i="18"/>
  <c r="R285" i="18"/>
  <c r="S251" i="18"/>
  <c r="J251" i="18"/>
  <c r="R251" i="18"/>
  <c r="J223" i="18"/>
  <c r="S223" i="18"/>
  <c r="S193" i="18"/>
  <c r="J193" i="18"/>
  <c r="R193" i="18"/>
  <c r="J167" i="18"/>
  <c r="S167" i="18"/>
  <c r="R167" i="18"/>
  <c r="J126" i="18"/>
  <c r="S126" i="18"/>
  <c r="R126" i="18"/>
  <c r="J96" i="18"/>
  <c r="S96" i="18"/>
  <c r="R96" i="18"/>
  <c r="S322" i="18"/>
  <c r="J322" i="18"/>
  <c r="R322" i="18"/>
  <c r="S301" i="18"/>
  <c r="J301" i="18"/>
  <c r="R301" i="18"/>
  <c r="J448" i="18"/>
  <c r="S448" i="18"/>
  <c r="R448" i="18"/>
  <c r="J422" i="18"/>
  <c r="S422" i="18"/>
  <c r="R422" i="18"/>
  <c r="J396" i="18"/>
  <c r="S396" i="18"/>
  <c r="R396" i="18"/>
  <c r="J326" i="18"/>
  <c r="S326" i="18"/>
  <c r="R326" i="18"/>
  <c r="S455" i="18"/>
  <c r="J455" i="18"/>
  <c r="R455" i="18"/>
  <c r="J419" i="18"/>
  <c r="S419" i="18"/>
  <c r="R419" i="18"/>
  <c r="S381" i="18"/>
  <c r="J381" i="18"/>
  <c r="R381" i="18"/>
  <c r="J327" i="18"/>
  <c r="S327" i="18"/>
  <c r="R327" i="18"/>
  <c r="S446" i="18"/>
  <c r="J446" i="18"/>
  <c r="R446" i="18"/>
  <c r="J376" i="18"/>
  <c r="S376" i="18"/>
  <c r="R376" i="18"/>
  <c r="J302" i="18"/>
  <c r="S302" i="18"/>
  <c r="R302" i="18"/>
  <c r="J443" i="18"/>
  <c r="S443" i="18"/>
  <c r="R443" i="18"/>
  <c r="J417" i="18"/>
  <c r="S417" i="18"/>
  <c r="R417" i="18"/>
  <c r="J321" i="18"/>
  <c r="S321" i="18"/>
  <c r="R321" i="18"/>
  <c r="S297" i="18"/>
  <c r="J297" i="18"/>
  <c r="R297" i="18"/>
  <c r="J400" i="18"/>
  <c r="S400" i="18"/>
  <c r="R400" i="18"/>
  <c r="J370" i="18"/>
  <c r="S370" i="18"/>
  <c r="R370" i="18"/>
  <c r="S338" i="18"/>
  <c r="J338" i="18"/>
  <c r="R338" i="18"/>
  <c r="S306" i="18"/>
  <c r="J306" i="18"/>
  <c r="R306" i="18"/>
  <c r="J459" i="18"/>
  <c r="S459" i="18"/>
  <c r="R459" i="18"/>
  <c r="S429" i="18"/>
  <c r="J429" i="18"/>
  <c r="R429" i="18"/>
  <c r="J329" i="18"/>
  <c r="S329" i="18"/>
  <c r="R329" i="18"/>
  <c r="J266" i="18"/>
  <c r="S266" i="18"/>
  <c r="R266" i="18"/>
  <c r="J143" i="18"/>
  <c r="S143" i="18"/>
  <c r="R143" i="18"/>
  <c r="S70" i="18"/>
  <c r="J70" i="18"/>
  <c r="R70" i="18"/>
  <c r="J44" i="18"/>
  <c r="S44" i="18"/>
  <c r="R44" i="18"/>
  <c r="J8" i="18"/>
  <c r="S8" i="18"/>
  <c r="R8" i="18"/>
  <c r="J269" i="18"/>
  <c r="S269" i="18"/>
  <c r="R269" i="18"/>
  <c r="J235" i="18"/>
  <c r="S235" i="18"/>
  <c r="R235" i="18"/>
  <c r="J162" i="18"/>
  <c r="S162" i="18"/>
  <c r="R162" i="18"/>
  <c r="S130" i="18"/>
  <c r="J130" i="18"/>
  <c r="R130" i="18"/>
  <c r="J100" i="18"/>
  <c r="S100" i="18"/>
  <c r="R100" i="18"/>
  <c r="S264" i="18"/>
  <c r="J264" i="18"/>
  <c r="R264" i="18"/>
  <c r="J168" i="18"/>
  <c r="S168" i="18"/>
  <c r="R168" i="18"/>
  <c r="J68" i="18"/>
  <c r="S68" i="18"/>
  <c r="R68" i="18"/>
  <c r="S34" i="18"/>
  <c r="J34" i="18"/>
  <c r="R34" i="18"/>
  <c r="S6" i="18"/>
  <c r="J6" i="18"/>
  <c r="J205" i="18"/>
  <c r="S205" i="18"/>
  <c r="R205" i="18"/>
  <c r="J171" i="18"/>
  <c r="S171" i="18"/>
  <c r="R171" i="18"/>
  <c r="J144" i="18"/>
  <c r="S144" i="18"/>
  <c r="R144" i="18"/>
  <c r="J114" i="18"/>
  <c r="S114" i="18"/>
  <c r="R114" i="18"/>
  <c r="J45" i="18"/>
  <c r="S45" i="18"/>
  <c r="R45" i="18"/>
  <c r="J256" i="18"/>
  <c r="S256" i="18"/>
  <c r="R256" i="18"/>
  <c r="J192" i="18"/>
  <c r="S192" i="18"/>
  <c r="J66" i="18"/>
  <c r="S66" i="18"/>
  <c r="R66" i="18"/>
  <c r="J40" i="18"/>
  <c r="S40" i="18"/>
  <c r="R40" i="18"/>
  <c r="S273" i="18"/>
  <c r="J273" i="18"/>
  <c r="R273" i="18"/>
  <c r="J138" i="18"/>
  <c r="S138" i="18"/>
  <c r="R138" i="18"/>
  <c r="J76" i="18"/>
  <c r="S76" i="18"/>
  <c r="R76" i="18"/>
  <c r="S43" i="18"/>
  <c r="J43" i="18"/>
  <c r="R43" i="18"/>
  <c r="S260" i="18"/>
  <c r="J260" i="18"/>
  <c r="R260" i="18"/>
  <c r="J190" i="18"/>
  <c r="S190" i="18"/>
  <c r="R190" i="18"/>
  <c r="J161" i="18"/>
  <c r="S161" i="18"/>
  <c r="R161" i="18"/>
  <c r="J129" i="18"/>
  <c r="S129" i="18"/>
  <c r="R129" i="18"/>
  <c r="J72" i="18"/>
  <c r="S72" i="18"/>
  <c r="R72" i="18"/>
  <c r="J30" i="18"/>
  <c r="S30" i="18"/>
  <c r="R30" i="18"/>
  <c r="J279" i="18"/>
  <c r="S279" i="18"/>
  <c r="R279" i="18"/>
  <c r="S53" i="18"/>
  <c r="J53" i="18"/>
  <c r="R53" i="18"/>
  <c r="J25" i="18"/>
  <c r="S25" i="18"/>
  <c r="R25" i="18"/>
  <c r="R5" i="18"/>
  <c r="U5" i="18"/>
  <c r="Q464" i="18"/>
  <c r="L249" i="18"/>
  <c r="L205" i="18"/>
  <c r="L283" i="18"/>
  <c r="L277" i="18"/>
  <c r="L230" i="18"/>
  <c r="L284" i="18"/>
  <c r="L402" i="18"/>
  <c r="L128" i="18"/>
  <c r="L61" i="18"/>
  <c r="L64" i="18"/>
  <c r="L33" i="18"/>
  <c r="L165" i="18"/>
  <c r="L213" i="18"/>
  <c r="L212" i="18"/>
  <c r="L214" i="18"/>
  <c r="L84" i="18"/>
  <c r="L243" i="18"/>
  <c r="L173" i="18"/>
  <c r="L28" i="18"/>
  <c r="L246" i="18"/>
  <c r="L253" i="18"/>
  <c r="L185" i="18"/>
  <c r="L187" i="18"/>
  <c r="L175" i="18"/>
  <c r="L184" i="18"/>
  <c r="L204" i="18"/>
  <c r="L78" i="18"/>
  <c r="L29" i="18"/>
  <c r="L252" i="18"/>
  <c r="L21" i="18"/>
  <c r="L85" i="18"/>
  <c r="L257" i="18"/>
  <c r="L87" i="18"/>
  <c r="L94" i="18"/>
  <c r="L95" i="18"/>
  <c r="L111" i="18"/>
  <c r="L83" i="18"/>
  <c r="L114" i="18"/>
  <c r="L226" i="18"/>
  <c r="L122" i="18"/>
  <c r="L30" i="18"/>
  <c r="L269" i="18"/>
  <c r="L123" i="18"/>
  <c r="L285" i="18"/>
  <c r="L268" i="18"/>
  <c r="L266" i="18"/>
  <c r="L13" i="18"/>
  <c r="L168" i="18"/>
  <c r="L393" i="18"/>
  <c r="L100" i="18"/>
  <c r="L77" i="18"/>
  <c r="L110" i="18"/>
  <c r="L108" i="18"/>
  <c r="L144" i="18"/>
  <c r="L397" i="18"/>
  <c r="L248" i="18"/>
  <c r="L270" i="18"/>
  <c r="L255" i="18"/>
  <c r="L386" i="18"/>
  <c r="L103" i="18"/>
  <c r="L390" i="18"/>
  <c r="L107" i="18"/>
  <c r="K61" i="18"/>
  <c r="H149" i="18"/>
  <c r="H206" i="18"/>
  <c r="Y206" i="18" s="1"/>
  <c r="K212" i="18"/>
  <c r="K173" i="18"/>
  <c r="K85" i="18"/>
  <c r="K95" i="18"/>
  <c r="K100" i="18"/>
  <c r="K77" i="18"/>
  <c r="K110" i="18"/>
  <c r="K74" i="18"/>
  <c r="M74" i="18" s="1"/>
  <c r="H150" i="18"/>
  <c r="H215" i="18"/>
  <c r="K89" i="18"/>
  <c r="M89" i="18" s="1"/>
  <c r="K124" i="18"/>
  <c r="M124" i="18" s="1"/>
  <c r="K220" i="18"/>
  <c r="M220" i="18" s="1"/>
  <c r="H325" i="18"/>
  <c r="H326" i="18"/>
  <c r="Y326" i="18" s="1"/>
  <c r="K195" i="18"/>
  <c r="M195" i="18" s="1"/>
  <c r="K196" i="18"/>
  <c r="M196" i="18" s="1"/>
  <c r="K275" i="18"/>
  <c r="M275" i="18" s="1"/>
  <c r="K385" i="18"/>
  <c r="M385" i="18" s="1"/>
  <c r="H300" i="18"/>
  <c r="K328" i="18"/>
  <c r="M328" i="18" s="1"/>
  <c r="K413" i="18"/>
  <c r="M413" i="18" s="1"/>
  <c r="K405" i="18"/>
  <c r="M405" i="18" s="1"/>
  <c r="K70" i="18"/>
  <c r="M70" i="18" s="1"/>
  <c r="K301" i="18"/>
  <c r="M301" i="18" s="1"/>
  <c r="K423" i="18"/>
  <c r="M423" i="18" s="1"/>
  <c r="K305" i="18"/>
  <c r="M305" i="18" s="1"/>
  <c r="K447" i="18"/>
  <c r="M447" i="18" s="1"/>
  <c r="H50" i="18"/>
  <c r="H44" i="18"/>
  <c r="H28" i="18"/>
  <c r="Y21" i="18" s="1"/>
  <c r="H12" i="18"/>
  <c r="H35" i="18"/>
  <c r="H30" i="18"/>
  <c r="H34" i="18"/>
  <c r="K96" i="18"/>
  <c r="M96" i="18" s="1"/>
  <c r="K407" i="18"/>
  <c r="M407" i="18" s="1"/>
  <c r="K336" i="18"/>
  <c r="M336" i="18" s="1"/>
  <c r="K422" i="18"/>
  <c r="M422" i="18" s="1"/>
  <c r="K408" i="18"/>
  <c r="M408" i="18" s="1"/>
  <c r="K101" i="18"/>
  <c r="M101" i="18" s="1"/>
  <c r="K82" i="18"/>
  <c r="M82" i="18" s="1"/>
  <c r="K295" i="18"/>
  <c r="M295" i="18" s="1"/>
  <c r="K297" i="18"/>
  <c r="M297" i="18" s="1"/>
  <c r="K332" i="18"/>
  <c r="M332" i="18" s="1"/>
  <c r="H375" i="18"/>
  <c r="Y375" i="18" s="1"/>
  <c r="K450" i="18"/>
  <c r="M450" i="18" s="1"/>
  <c r="K343" i="18"/>
  <c r="M343" i="18" s="1"/>
  <c r="K118" i="18"/>
  <c r="M118" i="18" s="1"/>
  <c r="K306" i="18"/>
  <c r="M306" i="18" s="1"/>
  <c r="H39" i="18"/>
  <c r="Y443" i="18" s="1"/>
  <c r="K424" i="18"/>
  <c r="M424" i="18" s="1"/>
  <c r="K319" i="18"/>
  <c r="M319" i="18" s="1"/>
  <c r="K414" i="18"/>
  <c r="M414" i="18" s="1"/>
  <c r="K420" i="18"/>
  <c r="M420" i="18" s="1"/>
  <c r="K318" i="18"/>
  <c r="M318" i="18" s="1"/>
  <c r="K377" i="18"/>
  <c r="M377" i="18" s="1"/>
  <c r="K445" i="18"/>
  <c r="M445" i="18" s="1"/>
  <c r="K344" i="18"/>
  <c r="M344" i="18" s="1"/>
  <c r="K384" i="18"/>
  <c r="M384" i="18" s="1"/>
  <c r="K357" i="18"/>
  <c r="M357" i="18" s="1"/>
  <c r="K81" i="18"/>
  <c r="M81" i="18" s="1"/>
  <c r="K366" i="18"/>
  <c r="M366" i="18" s="1"/>
  <c r="K139" i="18"/>
  <c r="M139" i="18" s="1"/>
  <c r="K57" i="18"/>
  <c r="M57" i="18" s="1"/>
  <c r="E18" i="10"/>
  <c r="D18" i="10"/>
  <c r="V5" i="18" l="1"/>
  <c r="X5" i="18" s="1"/>
  <c r="W7551" i="5"/>
  <c r="W151" i="18"/>
  <c r="AA169" i="18"/>
  <c r="Y169" i="18"/>
  <c r="AA389" i="18"/>
  <c r="Y225" i="18"/>
  <c r="AA458" i="18"/>
  <c r="Y458" i="18"/>
  <c r="Y445" i="18"/>
  <c r="AA445" i="18"/>
  <c r="Y459" i="18"/>
  <c r="AA459" i="18"/>
  <c r="Y30" i="18"/>
  <c r="Y22" i="18"/>
  <c r="Y325" i="18"/>
  <c r="Y62" i="18"/>
  <c r="X6" i="18"/>
  <c r="X308" i="18"/>
  <c r="AA343" i="18"/>
  <c r="Y343" i="18"/>
  <c r="X304" i="18"/>
  <c r="X60" i="18"/>
  <c r="X289" i="18"/>
  <c r="X273" i="18"/>
  <c r="Y432" i="18"/>
  <c r="AA432" i="18"/>
  <c r="Y34" i="18"/>
  <c r="Y201" i="18"/>
  <c r="Y150" i="18"/>
  <c r="Y262" i="18"/>
  <c r="Y177" i="18"/>
  <c r="AA177" i="18"/>
  <c r="Y172" i="18"/>
  <c r="AA172" i="18"/>
  <c r="W234" i="5"/>
  <c r="W393" i="18"/>
  <c r="X19" i="18"/>
  <c r="X408" i="18"/>
  <c r="X46" i="18"/>
  <c r="X444" i="18"/>
  <c r="X45" i="18"/>
  <c r="X365" i="18"/>
  <c r="X131" i="18"/>
  <c r="X381" i="18"/>
  <c r="X231" i="18"/>
  <c r="X226" i="18"/>
  <c r="Y455" i="18"/>
  <c r="AA455" i="18"/>
  <c r="W205" i="18"/>
  <c r="W204" i="18"/>
  <c r="Y226" i="18"/>
  <c r="AA226" i="18"/>
  <c r="AA463" i="18"/>
  <c r="Y463" i="18"/>
  <c r="X211" i="18"/>
  <c r="Y308" i="18"/>
  <c r="AA308" i="18"/>
  <c r="Y35" i="18"/>
  <c r="Y84" i="18"/>
  <c r="W266" i="18"/>
  <c r="W60" i="18"/>
  <c r="AA451" i="18"/>
  <c r="Y451" i="18"/>
  <c r="X223" i="18"/>
  <c r="X393" i="18"/>
  <c r="X73" i="18"/>
  <c r="X31" i="18"/>
  <c r="X203" i="18"/>
  <c r="X442" i="18"/>
  <c r="X11" i="18"/>
  <c r="X439" i="18"/>
  <c r="X28" i="18"/>
  <c r="X21" i="18"/>
  <c r="X284" i="18"/>
  <c r="X379" i="18"/>
  <c r="X378" i="18"/>
  <c r="X173" i="18"/>
  <c r="X43" i="18"/>
  <c r="X431" i="18"/>
  <c r="X27" i="18"/>
  <c r="X105" i="18"/>
  <c r="W285" i="18"/>
  <c r="W9" i="18"/>
  <c r="Y12" i="18"/>
  <c r="Y363" i="18"/>
  <c r="AA49" i="18"/>
  <c r="Y49" i="18"/>
  <c r="W73" i="18"/>
  <c r="Y73" i="18" s="1"/>
  <c r="W103" i="18"/>
  <c r="X197" i="18"/>
  <c r="X103" i="18"/>
  <c r="X41" i="18"/>
  <c r="X459" i="18"/>
  <c r="AA327" i="18"/>
  <c r="Y327" i="18"/>
  <c r="AA173" i="18"/>
  <c r="Y173" i="18"/>
  <c r="Y431" i="18"/>
  <c r="AA431" i="18"/>
  <c r="Y105" i="18"/>
  <c r="AA105" i="18"/>
  <c r="X8" i="18"/>
  <c r="X447" i="18"/>
  <c r="Y113" i="18"/>
  <c r="AA113" i="18"/>
  <c r="X14" i="18"/>
  <c r="X401" i="18"/>
  <c r="Y149" i="18"/>
  <c r="Y321" i="18"/>
  <c r="X37" i="18"/>
  <c r="X458" i="18"/>
  <c r="Y323" i="18"/>
  <c r="AA323" i="18"/>
  <c r="Y44" i="18"/>
  <c r="Y222" i="18"/>
  <c r="Y300" i="18"/>
  <c r="Y59" i="18"/>
  <c r="AA328" i="18"/>
  <c r="Y328" i="18"/>
  <c r="X192" i="18"/>
  <c r="X343" i="18"/>
  <c r="X445" i="18"/>
  <c r="Y122" i="18"/>
  <c r="AA122" i="18"/>
  <c r="Y50" i="18"/>
  <c r="Y307" i="18"/>
  <c r="X215" i="18"/>
  <c r="X9" i="18"/>
  <c r="X40" i="18"/>
  <c r="X455" i="18"/>
  <c r="X266" i="18"/>
  <c r="X182" i="18"/>
  <c r="X112" i="18"/>
  <c r="X432" i="18"/>
  <c r="X229" i="18"/>
  <c r="W447" i="18"/>
  <c r="W6089" i="5"/>
  <c r="W187" i="18"/>
  <c r="Y39" i="18"/>
  <c r="W5993" i="5"/>
  <c r="W284" i="18"/>
  <c r="W5124" i="5"/>
  <c r="W378" i="18"/>
  <c r="W4138" i="5"/>
  <c r="W43" i="18"/>
  <c r="W5234" i="5"/>
  <c r="W27" i="18"/>
  <c r="Y229" i="18"/>
  <c r="AA229" i="18"/>
  <c r="AA374" i="18"/>
  <c r="Y374" i="18"/>
  <c r="W5041" i="5"/>
  <c r="W112" i="18"/>
  <c r="Y26" i="18"/>
  <c r="AA26" i="18"/>
  <c r="W4248" i="5"/>
  <c r="W48" i="18"/>
  <c r="W5894" i="5"/>
  <c r="W45" i="18"/>
  <c r="W6354" i="5"/>
  <c r="W131" i="18"/>
  <c r="W3741" i="5"/>
  <c r="W231" i="18"/>
  <c r="W5077" i="5"/>
  <c r="W373" i="18"/>
  <c r="W5333" i="5"/>
  <c r="W11" i="18"/>
  <c r="W3337" i="5"/>
  <c r="W19" i="18"/>
  <c r="W1309" i="5"/>
  <c r="W7" i="18"/>
  <c r="Y138" i="18"/>
  <c r="AA138" i="18"/>
  <c r="W56" i="5"/>
  <c r="W46" i="18"/>
  <c r="AA65" i="18"/>
  <c r="Y65" i="18"/>
  <c r="W3862" i="5"/>
  <c r="W203" i="18"/>
  <c r="W2893" i="5"/>
  <c r="W28" i="18"/>
  <c r="AA28" i="18" s="1"/>
  <c r="W1586" i="5"/>
  <c r="W410" i="18"/>
  <c r="AA160" i="18"/>
  <c r="Y160" i="18"/>
  <c r="W166" i="5"/>
  <c r="W40" i="18"/>
  <c r="W136" i="18"/>
  <c r="W225" i="5"/>
  <c r="W214" i="18"/>
  <c r="W8" i="18"/>
  <c r="AA8" i="18" s="1"/>
  <c r="Y211" i="18"/>
  <c r="AA211" i="18"/>
  <c r="Y217" i="18"/>
  <c r="AA217" i="18"/>
  <c r="W6066" i="5"/>
  <c r="W289" i="18"/>
  <c r="W189" i="5"/>
  <c r="W63" i="18"/>
  <c r="W3584" i="5"/>
  <c r="W152" i="18"/>
  <c r="W4549" i="5"/>
  <c r="W320" i="18"/>
  <c r="W121" i="5"/>
  <c r="W147" i="18"/>
  <c r="AA449" i="18"/>
  <c r="Y449" i="18"/>
  <c r="W226" i="5"/>
  <c r="W215" i="18"/>
  <c r="AA215" i="18" s="1"/>
  <c r="W2889" i="5"/>
  <c r="W304" i="18"/>
  <c r="W3858" i="5"/>
  <c r="W51" i="18"/>
  <c r="W3333" i="5"/>
  <c r="W247" i="18"/>
  <c r="W256" i="5"/>
  <c r="W197" i="18"/>
  <c r="AA166" i="18"/>
  <c r="Y166" i="18"/>
  <c r="W41" i="18"/>
  <c r="H10" i="18"/>
  <c r="Y10" i="18" s="1"/>
  <c r="Y12" i="21"/>
  <c r="AA263" i="18"/>
  <c r="Y263" i="18"/>
  <c r="Y9" i="21"/>
  <c r="Y10" i="21" s="1"/>
  <c r="AA18" i="18"/>
  <c r="W6" i="18"/>
  <c r="W37" i="18"/>
  <c r="W5" i="18"/>
  <c r="W223" i="18"/>
  <c r="W192" i="18"/>
  <c r="K65" i="18"/>
  <c r="L91" i="18"/>
  <c r="B5" i="21" a="1"/>
  <c r="N162" i="18"/>
  <c r="O162" i="18"/>
  <c r="N365" i="18"/>
  <c r="O365" i="18"/>
  <c r="O355" i="18"/>
  <c r="N355" i="18"/>
  <c r="O55" i="18"/>
  <c r="N55" i="18"/>
  <c r="O177" i="18"/>
  <c r="N177" i="18"/>
  <c r="O339" i="18"/>
  <c r="N339" i="18"/>
  <c r="O441" i="18"/>
  <c r="N441" i="18"/>
  <c r="O313" i="18"/>
  <c r="N313" i="18"/>
  <c r="N206" i="18"/>
  <c r="O206" i="18"/>
  <c r="N453" i="18"/>
  <c r="O453" i="18"/>
  <c r="O279" i="18"/>
  <c r="N279" i="18"/>
  <c r="N76" i="18"/>
  <c r="O76" i="18"/>
  <c r="N363" i="18"/>
  <c r="O363" i="18"/>
  <c r="O333" i="18"/>
  <c r="N333" i="18"/>
  <c r="N454" i="18"/>
  <c r="O454" i="18"/>
  <c r="N141" i="18"/>
  <c r="O141" i="18"/>
  <c r="O287" i="18"/>
  <c r="N287" i="18"/>
  <c r="O345" i="18"/>
  <c r="N345" i="18"/>
  <c r="O59" i="18"/>
  <c r="N59" i="18"/>
  <c r="O458" i="18"/>
  <c r="N458" i="18"/>
  <c r="O362" i="18"/>
  <c r="N362" i="18"/>
  <c r="O320" i="18"/>
  <c r="N320" i="18"/>
  <c r="O460" i="18"/>
  <c r="N460" i="18"/>
  <c r="N429" i="18"/>
  <c r="O429" i="18"/>
  <c r="O327" i="18"/>
  <c r="N327" i="18"/>
  <c r="N455" i="18"/>
  <c r="O455" i="18"/>
  <c r="O15" i="18"/>
  <c r="N15" i="18"/>
  <c r="O330" i="18"/>
  <c r="N330" i="18"/>
  <c r="O137" i="18"/>
  <c r="N137" i="18"/>
  <c r="O356" i="18"/>
  <c r="N356" i="18"/>
  <c r="O358" i="18"/>
  <c r="N358" i="18"/>
  <c r="N58" i="18"/>
  <c r="O58" i="18"/>
  <c r="O16" i="18"/>
  <c r="N16" i="18"/>
  <c r="O250" i="18"/>
  <c r="N250" i="18"/>
  <c r="O54" i="18"/>
  <c r="N54" i="18"/>
  <c r="O463" i="18"/>
  <c r="N463" i="18"/>
  <c r="N346" i="18"/>
  <c r="O346" i="18"/>
  <c r="R464" i="18"/>
  <c r="O340" i="18"/>
  <c r="N340" i="18"/>
  <c r="N364" i="18"/>
  <c r="O364" i="18"/>
  <c r="O325" i="18"/>
  <c r="N325" i="18"/>
  <c r="N431" i="18"/>
  <c r="O431" i="18"/>
  <c r="O338" i="18"/>
  <c r="N338" i="18"/>
  <c r="O126" i="18"/>
  <c r="N126" i="18"/>
  <c r="O348" i="18"/>
  <c r="N348" i="18"/>
  <c r="N406" i="18"/>
  <c r="O406" i="18"/>
  <c r="N371" i="18"/>
  <c r="O371" i="18"/>
  <c r="N444" i="18"/>
  <c r="O444" i="18"/>
  <c r="N350" i="18"/>
  <c r="O350" i="18"/>
  <c r="N427" i="18"/>
  <c r="O427" i="18"/>
  <c r="N342" i="18"/>
  <c r="O342" i="18"/>
  <c r="O351" i="18"/>
  <c r="N351" i="18"/>
  <c r="S464" i="18"/>
  <c r="O80" i="18"/>
  <c r="N80" i="18"/>
  <c r="N352" i="18"/>
  <c r="O352" i="18"/>
  <c r="O456" i="18"/>
  <c r="N456" i="18"/>
  <c r="N425" i="18"/>
  <c r="O425" i="18"/>
  <c r="O426" i="18"/>
  <c r="N426" i="18"/>
  <c r="O73" i="18"/>
  <c r="N73" i="18"/>
  <c r="O99" i="18"/>
  <c r="N99" i="18"/>
  <c r="N433" i="18"/>
  <c r="O433" i="18"/>
  <c r="N462" i="18"/>
  <c r="O462" i="18"/>
  <c r="O88" i="18"/>
  <c r="N88" i="18"/>
  <c r="N428" i="18"/>
  <c r="O428" i="18"/>
  <c r="J464" i="18"/>
  <c r="O258" i="18"/>
  <c r="N258" i="18"/>
  <c r="N300" i="18"/>
  <c r="O300" i="18"/>
  <c r="O347" i="18"/>
  <c r="N347" i="18"/>
  <c r="O53" i="18"/>
  <c r="N53" i="18"/>
  <c r="N251" i="18"/>
  <c r="O251" i="18"/>
  <c r="O308" i="18"/>
  <c r="N308" i="18"/>
  <c r="N412" i="18"/>
  <c r="O412" i="18"/>
  <c r="N75" i="18"/>
  <c r="O75" i="18"/>
  <c r="N314" i="18"/>
  <c r="O314" i="18"/>
  <c r="O421" i="18"/>
  <c r="N421" i="18"/>
  <c r="N391" i="18"/>
  <c r="O391" i="18"/>
  <c r="N435" i="18"/>
  <c r="O435" i="18"/>
  <c r="O60" i="18"/>
  <c r="N60" i="18"/>
  <c r="N394" i="18"/>
  <c r="O394" i="18"/>
  <c r="N359" i="18"/>
  <c r="O359" i="18"/>
  <c r="O461" i="18"/>
  <c r="N461" i="18"/>
  <c r="N459" i="18"/>
  <c r="O459" i="18"/>
  <c r="O446" i="18"/>
  <c r="N446" i="18"/>
  <c r="N326" i="18"/>
  <c r="O326" i="18"/>
  <c r="O360" i="18"/>
  <c r="N360" i="18"/>
  <c r="O436" i="18"/>
  <c r="N436" i="18"/>
  <c r="N457" i="18"/>
  <c r="O457" i="18"/>
  <c r="O341" i="18"/>
  <c r="N341" i="18"/>
  <c r="O369" i="18"/>
  <c r="N369" i="18"/>
  <c r="O432" i="18"/>
  <c r="N432" i="18"/>
  <c r="O172" i="18"/>
  <c r="N172" i="18"/>
  <c r="O79" i="18"/>
  <c r="N79" i="18"/>
  <c r="N146" i="18"/>
  <c r="O146" i="18"/>
  <c r="O303" i="18"/>
  <c r="N303" i="18"/>
  <c r="O367" i="18"/>
  <c r="N367" i="18"/>
  <c r="O383" i="18"/>
  <c r="N383" i="18"/>
  <c r="N438" i="18"/>
  <c r="O438" i="18"/>
  <c r="O392" i="18"/>
  <c r="N392" i="18"/>
  <c r="O227" i="18"/>
  <c r="N227" i="18"/>
  <c r="N188" i="18"/>
  <c r="O188" i="18"/>
  <c r="O368" i="18"/>
  <c r="N368" i="18"/>
  <c r="N430" i="18"/>
  <c r="O430" i="18"/>
  <c r="O72" i="18"/>
  <c r="N72" i="18"/>
  <c r="O370" i="18"/>
  <c r="N370" i="18"/>
  <c r="N176" i="18"/>
  <c r="O176" i="18"/>
  <c r="N437" i="18"/>
  <c r="O437" i="18"/>
  <c r="N86" i="18"/>
  <c r="O86" i="18"/>
  <c r="N51" i="18"/>
  <c r="O51" i="18"/>
  <c r="O452" i="18"/>
  <c r="N452" i="18"/>
  <c r="N361" i="18"/>
  <c r="O361" i="18"/>
  <c r="O418" i="18"/>
  <c r="N418" i="18"/>
  <c r="N142" i="18"/>
  <c r="O142" i="18"/>
  <c r="N50" i="18"/>
  <c r="O50" i="18"/>
  <c r="O135" i="18"/>
  <c r="N135" i="18"/>
  <c r="O349" i="18"/>
  <c r="N349" i="18"/>
  <c r="N434" i="18"/>
  <c r="O434" i="18"/>
  <c r="O439" i="18"/>
  <c r="N439" i="18"/>
  <c r="N353" i="18"/>
  <c r="O353" i="18"/>
  <c r="N56" i="18"/>
  <c r="O56" i="18"/>
  <c r="N294" i="18"/>
  <c r="O294" i="18"/>
  <c r="N354" i="18"/>
  <c r="O354" i="18"/>
  <c r="M212" i="18"/>
  <c r="P212" i="18" s="1"/>
  <c r="K138" i="18"/>
  <c r="M138" i="18" s="1"/>
  <c r="O138" i="18" s="1"/>
  <c r="K239" i="18"/>
  <c r="L239" i="18"/>
  <c r="L186" i="18"/>
  <c r="M61" i="18"/>
  <c r="P61" i="18" s="1"/>
  <c r="M77" i="18"/>
  <c r="N77" i="18" s="1"/>
  <c r="M85" i="18"/>
  <c r="P85" i="18" s="1"/>
  <c r="M100" i="18"/>
  <c r="O100" i="18" s="1"/>
  <c r="M173" i="18"/>
  <c r="P173" i="18" s="1"/>
  <c r="M95" i="18"/>
  <c r="N95" i="18" s="1"/>
  <c r="K331" i="18"/>
  <c r="M331" i="18" s="1"/>
  <c r="P331" i="18" s="1"/>
  <c r="K149" i="18"/>
  <c r="M149" i="18" s="1"/>
  <c r="P149" i="18" s="1"/>
  <c r="K411" i="18"/>
  <c r="M411" i="18" s="1"/>
  <c r="P411" i="18" s="1"/>
  <c r="K290" i="18"/>
  <c r="M290" i="18" s="1"/>
  <c r="N290" i="18" s="1"/>
  <c r="K272" i="18"/>
  <c r="M272" i="18" s="1"/>
  <c r="O272" i="18" s="1"/>
  <c r="L263" i="18"/>
  <c r="K315" i="18"/>
  <c r="M315" i="18" s="1"/>
  <c r="P315" i="18" s="1"/>
  <c r="K129" i="18"/>
  <c r="M129" i="18" s="1"/>
  <c r="N129" i="18" s="1"/>
  <c r="L323" i="18"/>
  <c r="K98" i="18"/>
  <c r="M98" i="18" s="1"/>
  <c r="P98" i="18" s="1"/>
  <c r="K317" i="18"/>
  <c r="M317" i="18" s="1"/>
  <c r="O317" i="18" s="1"/>
  <c r="K312" i="18"/>
  <c r="M312" i="18" s="1"/>
  <c r="O312" i="18" s="1"/>
  <c r="K387" i="18"/>
  <c r="M387" i="18" s="1"/>
  <c r="N387" i="18" s="1"/>
  <c r="K388" i="18"/>
  <c r="M388" i="18" s="1"/>
  <c r="N388" i="18" s="1"/>
  <c r="M110" i="18"/>
  <c r="P110" i="18" s="1"/>
  <c r="L216" i="18"/>
  <c r="K133" i="18"/>
  <c r="M133" i="18" s="1"/>
  <c r="P133" i="18" s="1"/>
  <c r="K417" i="18"/>
  <c r="M417" i="18" s="1"/>
  <c r="P417" i="18" s="1"/>
  <c r="K130" i="18"/>
  <c r="M130" i="18" s="1"/>
  <c r="P130" i="18" s="1"/>
  <c r="K298" i="18"/>
  <c r="M298" i="18" s="1"/>
  <c r="O298" i="18" s="1"/>
  <c r="K161" i="18"/>
  <c r="M161" i="18" s="1"/>
  <c r="O161" i="18" s="1"/>
  <c r="K109" i="18"/>
  <c r="M109" i="18" s="1"/>
  <c r="N109" i="18" s="1"/>
  <c r="P81" i="18"/>
  <c r="O81" i="18"/>
  <c r="N81" i="18"/>
  <c r="P332" i="18"/>
  <c r="O332" i="18"/>
  <c r="N332" i="18"/>
  <c r="K307" i="18"/>
  <c r="M307" i="18" s="1"/>
  <c r="K316" i="18"/>
  <c r="M316" i="18" s="1"/>
  <c r="P318" i="18"/>
  <c r="O318" i="18"/>
  <c r="N318" i="18"/>
  <c r="P118" i="18"/>
  <c r="O118" i="18"/>
  <c r="N118" i="18"/>
  <c r="K442" i="18"/>
  <c r="M442" i="18" s="1"/>
  <c r="K286" i="18"/>
  <c r="M286" i="18" s="1"/>
  <c r="K404" i="18"/>
  <c r="M404" i="18" s="1"/>
  <c r="P328" i="18"/>
  <c r="N328" i="18"/>
  <c r="O328" i="18"/>
  <c r="K274" i="18"/>
  <c r="M274" i="18" s="1"/>
  <c r="K291" i="18"/>
  <c r="M291" i="18" s="1"/>
  <c r="K105" i="18"/>
  <c r="M105" i="18" s="1"/>
  <c r="K329" i="18"/>
  <c r="M329" i="18" s="1"/>
  <c r="K398" i="18"/>
  <c r="M398" i="18" s="1"/>
  <c r="K183" i="18"/>
  <c r="M183" i="18" s="1"/>
  <c r="K115" i="18"/>
  <c r="M115" i="18" s="1"/>
  <c r="K283" i="18"/>
  <c r="M283" i="18" s="1"/>
  <c r="K399" i="18"/>
  <c r="M399" i="18" s="1"/>
  <c r="K191" i="18"/>
  <c r="M191" i="18" s="1"/>
  <c r="K255" i="18"/>
  <c r="M255" i="18" s="1"/>
  <c r="K262" i="18"/>
  <c r="K78" i="18"/>
  <c r="M78" i="18" s="1"/>
  <c r="K204" i="18"/>
  <c r="M204" i="18" s="1"/>
  <c r="K41" i="18"/>
  <c r="K34" i="18"/>
  <c r="K14" i="18"/>
  <c r="K143" i="18"/>
  <c r="K202" i="18"/>
  <c r="K180" i="18"/>
  <c r="K154" i="18"/>
  <c r="K165" i="18"/>
  <c r="M165" i="18" s="1"/>
  <c r="K10" i="18"/>
  <c r="K32" i="18"/>
  <c r="K23" i="18"/>
  <c r="L240" i="18"/>
  <c r="L150" i="18"/>
  <c r="L92" i="18"/>
  <c r="L234" i="18"/>
  <c r="L211" i="18"/>
  <c r="L12" i="18"/>
  <c r="L189" i="18"/>
  <c r="L167" i="18"/>
  <c r="L217" i="18"/>
  <c r="L158" i="18"/>
  <c r="L202" i="18"/>
  <c r="L180" i="18"/>
  <c r="L37" i="18"/>
  <c r="L164" i="18"/>
  <c r="L43" i="18"/>
  <c r="L31" i="18"/>
  <c r="L71" i="18"/>
  <c r="N57" i="18"/>
  <c r="O57" i="18"/>
  <c r="P57" i="18"/>
  <c r="P319" i="18"/>
  <c r="O319" i="18"/>
  <c r="N319" i="18"/>
  <c r="P424" i="18"/>
  <c r="O424" i="18"/>
  <c r="N424" i="18"/>
  <c r="P306" i="18"/>
  <c r="O306" i="18"/>
  <c r="N306" i="18"/>
  <c r="P450" i="18"/>
  <c r="O450" i="18"/>
  <c r="N450" i="18"/>
  <c r="K311" i="18"/>
  <c r="M311" i="18" s="1"/>
  <c r="P82" i="18"/>
  <c r="O82" i="18"/>
  <c r="N82" i="18"/>
  <c r="K396" i="18"/>
  <c r="M396" i="18" s="1"/>
  <c r="K304" i="18"/>
  <c r="M304" i="18" s="1"/>
  <c r="K415" i="18"/>
  <c r="M415" i="18" s="1"/>
  <c r="K276" i="18"/>
  <c r="M276" i="18" s="1"/>
  <c r="K289" i="18"/>
  <c r="M289" i="18" s="1"/>
  <c r="K410" i="18"/>
  <c r="M410" i="18" s="1"/>
  <c r="K120" i="18"/>
  <c r="M120" i="18" s="1"/>
  <c r="K231" i="18"/>
  <c r="M231" i="18" s="1"/>
  <c r="K322" i="18"/>
  <c r="M322" i="18" s="1"/>
  <c r="K119" i="18"/>
  <c r="M119" i="18" s="1"/>
  <c r="K402" i="18"/>
  <c r="M402" i="18" s="1"/>
  <c r="K401" i="18"/>
  <c r="M401" i="18" s="1"/>
  <c r="K403" i="18"/>
  <c r="M403" i="18" s="1"/>
  <c r="K270" i="18"/>
  <c r="M270" i="18" s="1"/>
  <c r="K13" i="18"/>
  <c r="M13" i="18" s="1"/>
  <c r="K240" i="18"/>
  <c r="K123" i="18"/>
  <c r="M123" i="18" s="1"/>
  <c r="K323" i="18"/>
  <c r="K150" i="18"/>
  <c r="K92" i="18"/>
  <c r="K21" i="18"/>
  <c r="M21" i="18" s="1"/>
  <c r="K234" i="18"/>
  <c r="K184" i="18"/>
  <c r="M184" i="18" s="1"/>
  <c r="K185" i="18"/>
  <c r="M185" i="18" s="1"/>
  <c r="K211" i="18"/>
  <c r="K12" i="18"/>
  <c r="K189" i="18"/>
  <c r="K167" i="18"/>
  <c r="K217" i="18"/>
  <c r="K158" i="18"/>
  <c r="K33" i="18"/>
  <c r="M33" i="18" s="1"/>
  <c r="K43" i="18"/>
  <c r="K31" i="18"/>
  <c r="K166" i="18"/>
  <c r="K26" i="18"/>
  <c r="K42" i="18"/>
  <c r="L264" i="18"/>
  <c r="L90" i="18"/>
  <c r="L265" i="18"/>
  <c r="L260" i="18"/>
  <c r="L229" i="18"/>
  <c r="L259" i="18"/>
  <c r="L25" i="18"/>
  <c r="L389" i="18"/>
  <c r="L235" i="18"/>
  <c r="L223" i="18"/>
  <c r="L209" i="18"/>
  <c r="L154" i="18"/>
  <c r="L219" i="18"/>
  <c r="L9" i="18"/>
  <c r="L7" i="18"/>
  <c r="L63" i="18"/>
  <c r="L4" i="18"/>
  <c r="L62" i="18"/>
  <c r="L20" i="18"/>
  <c r="L68" i="18"/>
  <c r="P344" i="18"/>
  <c r="O344" i="18"/>
  <c r="N344" i="18"/>
  <c r="P357" i="18"/>
  <c r="N357" i="18"/>
  <c r="O357" i="18"/>
  <c r="N384" i="18"/>
  <c r="P384" i="18"/>
  <c r="O384" i="18"/>
  <c r="P407" i="18"/>
  <c r="O407" i="18"/>
  <c r="N407" i="18"/>
  <c r="O96" i="18"/>
  <c r="P96" i="18"/>
  <c r="N96" i="18"/>
  <c r="K207" i="18"/>
  <c r="M207" i="18" s="1"/>
  <c r="K448" i="18"/>
  <c r="M448" i="18" s="1"/>
  <c r="K375" i="18"/>
  <c r="M375" i="18" s="1"/>
  <c r="K228" i="18"/>
  <c r="M228" i="18" s="1"/>
  <c r="K416" i="18"/>
  <c r="M416" i="18" s="1"/>
  <c r="K131" i="18"/>
  <c r="M131" i="18" s="1"/>
  <c r="K49" i="18"/>
  <c r="M49" i="18" s="1"/>
  <c r="N220" i="18"/>
  <c r="O220" i="18"/>
  <c r="P220" i="18"/>
  <c r="K48" i="18"/>
  <c r="M48" i="18" s="1"/>
  <c r="K395" i="18"/>
  <c r="M395" i="18" s="1"/>
  <c r="K170" i="18"/>
  <c r="M170" i="18" s="1"/>
  <c r="K106" i="18"/>
  <c r="M106" i="18" s="1"/>
  <c r="K248" i="18"/>
  <c r="M248" i="18" s="1"/>
  <c r="K266" i="18"/>
  <c r="M266" i="18" s="1"/>
  <c r="K269" i="18"/>
  <c r="M269" i="18" s="1"/>
  <c r="K263" i="18"/>
  <c r="K264" i="18"/>
  <c r="K90" i="18"/>
  <c r="K265" i="18"/>
  <c r="K260" i="18"/>
  <c r="K83" i="18"/>
  <c r="M83" i="18" s="1"/>
  <c r="K229" i="18"/>
  <c r="K252" i="18"/>
  <c r="M252" i="18" s="1"/>
  <c r="K259" i="18"/>
  <c r="K253" i="18"/>
  <c r="M253" i="18" s="1"/>
  <c r="K25" i="18"/>
  <c r="K389" i="18"/>
  <c r="K235" i="18"/>
  <c r="K223" i="18"/>
  <c r="K209" i="18"/>
  <c r="K208" i="18"/>
  <c r="K194" i="18"/>
  <c r="K38" i="18"/>
  <c r="K219" i="18"/>
  <c r="K9" i="18"/>
  <c r="K7" i="18"/>
  <c r="K64" i="18"/>
  <c r="M64" i="18" s="1"/>
  <c r="K3" i="18"/>
  <c r="K47" i="18"/>
  <c r="L244" i="18"/>
  <c r="L238" i="18"/>
  <c r="L153" i="18"/>
  <c r="L35" i="18"/>
  <c r="L208" i="18"/>
  <c r="L194" i="18"/>
  <c r="L198" i="18"/>
  <c r="L201" i="18"/>
  <c r="L2" i="18"/>
  <c r="L6" i="18"/>
  <c r="L27" i="18"/>
  <c r="L19" i="18"/>
  <c r="L67" i="18"/>
  <c r="N377" i="18"/>
  <c r="O377" i="18"/>
  <c r="P377" i="18"/>
  <c r="K419" i="18"/>
  <c r="M419" i="18" s="1"/>
  <c r="N343" i="18"/>
  <c r="O343" i="18"/>
  <c r="P343" i="18"/>
  <c r="K381" i="18"/>
  <c r="M381" i="18" s="1"/>
  <c r="K376" i="18"/>
  <c r="M376" i="18" s="1"/>
  <c r="P297" i="18"/>
  <c r="O297" i="18"/>
  <c r="N297" i="18"/>
  <c r="K443" i="18"/>
  <c r="M443" i="18" s="1"/>
  <c r="P408" i="18"/>
  <c r="O408" i="18"/>
  <c r="N408" i="18"/>
  <c r="K132" i="18"/>
  <c r="M132" i="18" s="1"/>
  <c r="K309" i="18"/>
  <c r="M309" i="18" s="1"/>
  <c r="K116" i="18"/>
  <c r="M116" i="18" s="1"/>
  <c r="N305" i="18"/>
  <c r="P305" i="18"/>
  <c r="O305" i="18"/>
  <c r="O423" i="18"/>
  <c r="P423" i="18"/>
  <c r="N423" i="18"/>
  <c r="K69" i="18"/>
  <c r="M69" i="18" s="1"/>
  <c r="K221" i="18"/>
  <c r="M221" i="18" s="1"/>
  <c r="K288" i="18"/>
  <c r="M288" i="18" s="1"/>
  <c r="K112" i="18"/>
  <c r="K409" i="18"/>
  <c r="M409" i="18" s="1"/>
  <c r="K242" i="18"/>
  <c r="M242" i="18" s="1"/>
  <c r="K97" i="18"/>
  <c r="M97" i="18" s="1"/>
  <c r="K271" i="18"/>
  <c r="M271" i="18" s="1"/>
  <c r="K281" i="18"/>
  <c r="M281" i="18" s="1"/>
  <c r="K128" i="18"/>
  <c r="M128" i="18" s="1"/>
  <c r="K218" i="18"/>
  <c r="K397" i="18"/>
  <c r="M397" i="18" s="1"/>
  <c r="K122" i="18"/>
  <c r="M122" i="18" s="1"/>
  <c r="K244" i="18"/>
  <c r="K238" i="18"/>
  <c r="K153" i="18"/>
  <c r="K35" i="18"/>
  <c r="K213" i="18"/>
  <c r="M213" i="18" s="1"/>
  <c r="K36" i="18"/>
  <c r="K5" i="18"/>
  <c r="K198" i="18"/>
  <c r="K201" i="18"/>
  <c r="K46" i="18"/>
  <c r="L148" i="18"/>
  <c r="L337" i="18"/>
  <c r="L93" i="18"/>
  <c r="L232" i="18"/>
  <c r="L237" i="18"/>
  <c r="L215" i="18"/>
  <c r="L247" i="18"/>
  <c r="L17" i="18"/>
  <c r="L38" i="18"/>
  <c r="L181" i="18"/>
  <c r="L261" i="18"/>
  <c r="L182" i="18"/>
  <c r="L39" i="18"/>
  <c r="L45" i="18"/>
  <c r="L66" i="18"/>
  <c r="L23" i="18"/>
  <c r="K382" i="18"/>
  <c r="M382" i="18" s="1"/>
  <c r="O414" i="18"/>
  <c r="P414" i="18"/>
  <c r="N414" i="18"/>
  <c r="K379" i="18"/>
  <c r="M379" i="18" s="1"/>
  <c r="O295" i="18"/>
  <c r="P295" i="18"/>
  <c r="N295" i="18"/>
  <c r="K310" i="18"/>
  <c r="M310" i="18" s="1"/>
  <c r="O101" i="18"/>
  <c r="P101" i="18"/>
  <c r="N101" i="18"/>
  <c r="K292" i="18"/>
  <c r="M292" i="18" s="1"/>
  <c r="N447" i="18"/>
  <c r="P447" i="18"/>
  <c r="O447" i="18"/>
  <c r="K302" i="18"/>
  <c r="M302" i="18" s="1"/>
  <c r="K440" i="18"/>
  <c r="M440" i="18" s="1"/>
  <c r="K299" i="18"/>
  <c r="M299" i="18" s="1"/>
  <c r="K374" i="18"/>
  <c r="M374" i="18" s="1"/>
  <c r="K373" i="18"/>
  <c r="M373" i="18" s="1"/>
  <c r="P195" i="18"/>
  <c r="O195" i="18"/>
  <c r="N195" i="18"/>
  <c r="K104" i="18"/>
  <c r="M104" i="18" s="1"/>
  <c r="K400" i="18"/>
  <c r="M400" i="18" s="1"/>
  <c r="K127" i="18"/>
  <c r="M127" i="18" s="1"/>
  <c r="K205" i="18"/>
  <c r="M205" i="18" s="1"/>
  <c r="K24" i="18"/>
  <c r="M24" i="18" s="1"/>
  <c r="K108" i="18"/>
  <c r="M108" i="18" s="1"/>
  <c r="K285" i="18"/>
  <c r="M285" i="18" s="1"/>
  <c r="K148" i="18"/>
  <c r="K337" i="18"/>
  <c r="K91" i="18"/>
  <c r="M91" i="18" s="1"/>
  <c r="K111" i="18"/>
  <c r="M111" i="18" s="1"/>
  <c r="K93" i="18"/>
  <c r="K232" i="18"/>
  <c r="K29" i="18"/>
  <c r="M29" i="18" s="1"/>
  <c r="K237" i="18"/>
  <c r="K215" i="18"/>
  <c r="K247" i="18"/>
  <c r="K28" i="18"/>
  <c r="M28" i="18" s="1"/>
  <c r="K243" i="18"/>
  <c r="M243" i="18" s="1"/>
  <c r="K84" i="18"/>
  <c r="M84" i="18" s="1"/>
  <c r="K214" i="18"/>
  <c r="M214" i="18" s="1"/>
  <c r="K17" i="18"/>
  <c r="K200" i="18"/>
  <c r="K222" i="18"/>
  <c r="K224" i="18"/>
  <c r="K181" i="18"/>
  <c r="K261" i="18"/>
  <c r="K182" i="18"/>
  <c r="K63" i="18"/>
  <c r="K4" i="18"/>
  <c r="K27" i="18"/>
  <c r="K40" i="18"/>
  <c r="L218" i="18"/>
  <c r="L199" i="18"/>
  <c r="L256" i="18"/>
  <c r="L174" i="18"/>
  <c r="L321" i="18"/>
  <c r="L155" i="18"/>
  <c r="L18" i="18"/>
  <c r="L200" i="18"/>
  <c r="L222" i="18"/>
  <c r="L36" i="18"/>
  <c r="L5" i="18"/>
  <c r="L147" i="18"/>
  <c r="L157" i="18"/>
  <c r="L8" i="18"/>
  <c r="L42" i="18"/>
  <c r="L65" i="18"/>
  <c r="O445" i="18"/>
  <c r="P445" i="18"/>
  <c r="N445" i="18"/>
  <c r="O139" i="18"/>
  <c r="P139" i="18"/>
  <c r="N139" i="18"/>
  <c r="K52" i="18"/>
  <c r="M52" i="18" s="1"/>
  <c r="K296" i="18"/>
  <c r="M296" i="18" s="1"/>
  <c r="K334" i="18"/>
  <c r="M334" i="18" s="1"/>
  <c r="K378" i="18"/>
  <c r="M378" i="18" s="1"/>
  <c r="K117" i="18"/>
  <c r="M117" i="18" s="1"/>
  <c r="K293" i="18"/>
  <c r="M293" i="18" s="1"/>
  <c r="O301" i="18"/>
  <c r="P301" i="18"/>
  <c r="N301" i="18"/>
  <c r="O413" i="18"/>
  <c r="P413" i="18"/>
  <c r="N413" i="18"/>
  <c r="K134" i="18"/>
  <c r="M134" i="18" s="1"/>
  <c r="P385" i="18"/>
  <c r="O385" i="18"/>
  <c r="N385" i="18"/>
  <c r="P275" i="18"/>
  <c r="N275" i="18"/>
  <c r="O275" i="18"/>
  <c r="K159" i="18"/>
  <c r="M159" i="18" s="1"/>
  <c r="K125" i="18"/>
  <c r="M125" i="18" s="1"/>
  <c r="N124" i="18"/>
  <c r="P124" i="18"/>
  <c r="O124" i="18"/>
  <c r="K102" i="18"/>
  <c r="M102" i="18" s="1"/>
  <c r="K245" i="18"/>
  <c r="M245" i="18" s="1"/>
  <c r="K277" i="18"/>
  <c r="M277" i="18" s="1"/>
  <c r="K249" i="18"/>
  <c r="M249" i="18" s="1"/>
  <c r="K393" i="18"/>
  <c r="M393" i="18" s="1"/>
  <c r="K30" i="18"/>
  <c r="M30" i="18" s="1"/>
  <c r="K87" i="18"/>
  <c r="M87" i="18" s="1"/>
  <c r="K199" i="18"/>
  <c r="K256" i="18"/>
  <c r="K246" i="18"/>
  <c r="M246" i="18" s="1"/>
  <c r="K174" i="18"/>
  <c r="K321" i="18"/>
  <c r="K155" i="18"/>
  <c r="K18" i="18"/>
  <c r="K11" i="18"/>
  <c r="K169" i="18"/>
  <c r="K147" i="18"/>
  <c r="K157" i="18"/>
  <c r="K2" i="18"/>
  <c r="K6" i="18"/>
  <c r="K71" i="18"/>
  <c r="L267" i="18"/>
  <c r="L254" i="18"/>
  <c r="L44" i="18"/>
  <c r="L171" i="18"/>
  <c r="L121" i="18"/>
  <c r="L163" i="18"/>
  <c r="L210" i="18"/>
  <c r="L236" i="18"/>
  <c r="L11" i="18"/>
  <c r="L224" i="18"/>
  <c r="L156" i="18"/>
  <c r="L151" i="18"/>
  <c r="L166" i="18"/>
  <c r="L47" i="18"/>
  <c r="K140" i="18"/>
  <c r="M140" i="18" s="1"/>
  <c r="P420" i="18"/>
  <c r="N420" i="18"/>
  <c r="O420" i="18"/>
  <c r="K451" i="18"/>
  <c r="M451" i="18" s="1"/>
  <c r="K380" i="18"/>
  <c r="M380" i="18" s="1"/>
  <c r="O422" i="18"/>
  <c r="P422" i="18"/>
  <c r="N422" i="18"/>
  <c r="K335" i="18"/>
  <c r="M335" i="18" s="1"/>
  <c r="N405" i="18"/>
  <c r="O405" i="18"/>
  <c r="P405" i="18"/>
  <c r="K280" i="18"/>
  <c r="M280" i="18" s="1"/>
  <c r="K136" i="18"/>
  <c r="M136" i="18" s="1"/>
  <c r="K282" i="18"/>
  <c r="M282" i="18" s="1"/>
  <c r="K372" i="18"/>
  <c r="M372" i="18" s="1"/>
  <c r="K278" i="18"/>
  <c r="M278" i="18" s="1"/>
  <c r="K324" i="18"/>
  <c r="M324" i="18" s="1"/>
  <c r="K22" i="18"/>
  <c r="M22" i="18" s="1"/>
  <c r="K230" i="18"/>
  <c r="M230" i="18" s="1"/>
  <c r="K241" i="18"/>
  <c r="M241" i="18" s="1"/>
  <c r="K113" i="18"/>
  <c r="M113" i="18" s="1"/>
  <c r="K390" i="18"/>
  <c r="M390" i="18" s="1"/>
  <c r="K144" i="18"/>
  <c r="M144" i="18" s="1"/>
  <c r="K168" i="18"/>
  <c r="M168" i="18" s="1"/>
  <c r="K267" i="18"/>
  <c r="K254" i="18"/>
  <c r="K44" i="18"/>
  <c r="K171" i="18"/>
  <c r="K226" i="18"/>
  <c r="M226" i="18" s="1"/>
  <c r="K121" i="18"/>
  <c r="K163" i="18"/>
  <c r="K210" i="18"/>
  <c r="K236" i="18"/>
  <c r="K216" i="18"/>
  <c r="K160" i="18"/>
  <c r="K156" i="18"/>
  <c r="K151" i="18"/>
  <c r="K39" i="18"/>
  <c r="K45" i="18"/>
  <c r="K62" i="18"/>
  <c r="K20" i="18"/>
  <c r="K68" i="18"/>
  <c r="L145" i="18"/>
  <c r="L190" i="18"/>
  <c r="L233" i="18"/>
  <c r="L192" i="18"/>
  <c r="L225" i="18"/>
  <c r="L178" i="18"/>
  <c r="L169" i="18"/>
  <c r="L179" i="18"/>
  <c r="L152" i="18"/>
  <c r="L193" i="18"/>
  <c r="L197" i="18"/>
  <c r="L26" i="18"/>
  <c r="L46" i="18"/>
  <c r="O366" i="18"/>
  <c r="P366" i="18"/>
  <c r="N366" i="18"/>
  <c r="P336" i="18"/>
  <c r="O336" i="18"/>
  <c r="N336" i="18"/>
  <c r="P70" i="18"/>
  <c r="O70" i="18"/>
  <c r="N70" i="18"/>
  <c r="K449" i="18"/>
  <c r="M449" i="18" s="1"/>
  <c r="P196" i="18"/>
  <c r="N196" i="18"/>
  <c r="O196" i="18"/>
  <c r="K273" i="18"/>
  <c r="M273" i="18" s="1"/>
  <c r="P89" i="18"/>
  <c r="O89" i="18"/>
  <c r="N89" i="18"/>
  <c r="K284" i="18"/>
  <c r="M284" i="18" s="1"/>
  <c r="K107" i="18"/>
  <c r="M107" i="18" s="1"/>
  <c r="P74" i="18"/>
  <c r="N74" i="18"/>
  <c r="O74" i="18"/>
  <c r="K103" i="18"/>
  <c r="M103" i="18" s="1"/>
  <c r="K386" i="18"/>
  <c r="M386" i="18" s="1"/>
  <c r="K145" i="18"/>
  <c r="K268" i="18"/>
  <c r="M268" i="18" s="1"/>
  <c r="K190" i="18"/>
  <c r="K233" i="18"/>
  <c r="K114" i="18"/>
  <c r="M114" i="18" s="1"/>
  <c r="K94" i="18"/>
  <c r="M94" i="18" s="1"/>
  <c r="K257" i="18"/>
  <c r="M257" i="18" s="1"/>
  <c r="K192" i="18"/>
  <c r="K175" i="18"/>
  <c r="M175" i="18" s="1"/>
  <c r="K187" i="18"/>
  <c r="M187" i="18" s="1"/>
  <c r="K186" i="18"/>
  <c r="K225" i="18"/>
  <c r="K178" i="18"/>
  <c r="K66" i="18"/>
  <c r="K203" i="18"/>
  <c r="K37" i="18"/>
  <c r="K164" i="18"/>
  <c r="K179" i="18"/>
  <c r="K152" i="18"/>
  <c r="K193" i="18"/>
  <c r="K197" i="18"/>
  <c r="K8" i="18"/>
  <c r="K19" i="18"/>
  <c r="K67" i="18"/>
  <c r="L262" i="18"/>
  <c r="L112" i="18"/>
  <c r="L41" i="18"/>
  <c r="L34" i="18"/>
  <c r="L14" i="18"/>
  <c r="L143" i="18"/>
  <c r="L203" i="18"/>
  <c r="L160" i="18"/>
  <c r="L10" i="18"/>
  <c r="L32" i="18"/>
  <c r="L3" i="18"/>
  <c r="L40" i="18"/>
  <c r="S2" i="5"/>
  <c r="T115" i="21" l="1"/>
  <c r="T118" i="21"/>
  <c r="T126" i="21"/>
  <c r="U126" i="21" s="1"/>
  <c r="T134" i="21"/>
  <c r="T142" i="21"/>
  <c r="T150" i="21"/>
  <c r="U150" i="21" s="1"/>
  <c r="T158" i="21"/>
  <c r="T166" i="21"/>
  <c r="U166" i="21" s="1"/>
  <c r="T119" i="21"/>
  <c r="U119" i="21" s="1"/>
  <c r="T127" i="21"/>
  <c r="T135" i="21"/>
  <c r="U135" i="21" s="1"/>
  <c r="T143" i="21"/>
  <c r="T151" i="21"/>
  <c r="T159" i="21"/>
  <c r="T167" i="21"/>
  <c r="T120" i="21"/>
  <c r="U120" i="21" s="1"/>
  <c r="T128" i="21"/>
  <c r="U128" i="21" s="1"/>
  <c r="T136" i="21"/>
  <c r="T144" i="21"/>
  <c r="U144" i="21" s="1"/>
  <c r="T152" i="21"/>
  <c r="T160" i="21"/>
  <c r="T121" i="21"/>
  <c r="U121" i="21" s="1"/>
  <c r="T129" i="21"/>
  <c r="T137" i="21"/>
  <c r="U137" i="21" s="1"/>
  <c r="T145" i="21"/>
  <c r="U145" i="21" s="1"/>
  <c r="T153" i="21"/>
  <c r="T161" i="21"/>
  <c r="U161" i="21" s="1"/>
  <c r="T122" i="21"/>
  <c r="T130" i="21"/>
  <c r="T138" i="21"/>
  <c r="U138" i="21" s="1"/>
  <c r="T146" i="21"/>
  <c r="T154" i="21"/>
  <c r="U154" i="21" s="1"/>
  <c r="T162" i="21"/>
  <c r="U162" i="21" s="1"/>
  <c r="T123" i="21"/>
  <c r="T131" i="21"/>
  <c r="U131" i="21" s="1"/>
  <c r="T139" i="21"/>
  <c r="T147" i="21"/>
  <c r="T155" i="21"/>
  <c r="T163" i="21"/>
  <c r="T116" i="21"/>
  <c r="U116" i="21" s="1"/>
  <c r="T124" i="21"/>
  <c r="U124" i="21" s="1"/>
  <c r="T132" i="21"/>
  <c r="T140" i="21"/>
  <c r="U140" i="21" s="1"/>
  <c r="T148" i="21"/>
  <c r="T156" i="21"/>
  <c r="T164" i="21"/>
  <c r="T117" i="21"/>
  <c r="T125" i="21"/>
  <c r="U125" i="21" s="1"/>
  <c r="T133" i="21"/>
  <c r="U133" i="21" s="1"/>
  <c r="T141" i="21"/>
  <c r="T149" i="21"/>
  <c r="U149" i="21" s="1"/>
  <c r="T157" i="21"/>
  <c r="T165" i="21"/>
  <c r="T44" i="21"/>
  <c r="U44" i="21" s="1"/>
  <c r="T52" i="21"/>
  <c r="T60" i="21"/>
  <c r="U60" i="21" s="1"/>
  <c r="T68" i="21"/>
  <c r="U68" i="21" s="1"/>
  <c r="T76" i="21"/>
  <c r="U76" i="21" s="1"/>
  <c r="T84" i="21"/>
  <c r="U84" i="21" s="1"/>
  <c r="T92" i="21"/>
  <c r="T100" i="21"/>
  <c r="U100" i="21" s="1"/>
  <c r="T108" i="21"/>
  <c r="U108" i="21" s="1"/>
  <c r="T75" i="21"/>
  <c r="T45" i="21"/>
  <c r="U45" i="21" s="1"/>
  <c r="T53" i="21"/>
  <c r="U53" i="21" s="1"/>
  <c r="T61" i="21"/>
  <c r="T69" i="21"/>
  <c r="U69" i="21" s="1"/>
  <c r="T77" i="21"/>
  <c r="T85" i="21"/>
  <c r="U85" i="21" s="1"/>
  <c r="T93" i="21"/>
  <c r="U93" i="21" s="1"/>
  <c r="T101" i="21"/>
  <c r="T109" i="21"/>
  <c r="U109" i="21" s="1"/>
  <c r="T46" i="21"/>
  <c r="U46" i="21" s="1"/>
  <c r="T54" i="21"/>
  <c r="U54" i="21" s="1"/>
  <c r="T62" i="21"/>
  <c r="U62" i="21" s="1"/>
  <c r="T70" i="21"/>
  <c r="T78" i="21"/>
  <c r="U78" i="21" s="1"/>
  <c r="T86" i="21"/>
  <c r="U86" i="21" s="1"/>
  <c r="T94" i="21"/>
  <c r="T102" i="21"/>
  <c r="U102" i="21" s="1"/>
  <c r="T110" i="21"/>
  <c r="T67" i="21"/>
  <c r="U67" i="21" s="1"/>
  <c r="T99" i="21"/>
  <c r="U99" i="21" s="1"/>
  <c r="T47" i="21"/>
  <c r="T55" i="21"/>
  <c r="U55" i="21" s="1"/>
  <c r="T63" i="21"/>
  <c r="U63" i="21" s="1"/>
  <c r="T71" i="21"/>
  <c r="T79" i="21"/>
  <c r="U79" i="21" s="1"/>
  <c r="T87" i="21"/>
  <c r="U87" i="21" s="1"/>
  <c r="T95" i="21"/>
  <c r="U95" i="21" s="1"/>
  <c r="T103" i="21"/>
  <c r="U103" i="21" s="1"/>
  <c r="T111" i="21"/>
  <c r="T91" i="21"/>
  <c r="U91" i="21" s="1"/>
  <c r="T48" i="21"/>
  <c r="U48" i="21" s="1"/>
  <c r="T56" i="21"/>
  <c r="T64" i="21"/>
  <c r="U64" i="21" s="1"/>
  <c r="T72" i="21"/>
  <c r="U72" i="21" s="1"/>
  <c r="T80" i="21"/>
  <c r="U80" i="21" s="1"/>
  <c r="T88" i="21"/>
  <c r="U88" i="21" s="1"/>
  <c r="T96" i="21"/>
  <c r="T104" i="21"/>
  <c r="U104" i="21" s="1"/>
  <c r="T112" i="21"/>
  <c r="T51" i="21"/>
  <c r="T49" i="21"/>
  <c r="U49" i="21" s="1"/>
  <c r="T57" i="21"/>
  <c r="U57" i="21" s="1"/>
  <c r="T65" i="21"/>
  <c r="T73" i="21"/>
  <c r="U73" i="21" s="1"/>
  <c r="T81" i="21"/>
  <c r="T89" i="21"/>
  <c r="U89" i="21" s="1"/>
  <c r="T97" i="21"/>
  <c r="T105" i="21"/>
  <c r="T113" i="21"/>
  <c r="U113" i="21" s="1"/>
  <c r="T59" i="21"/>
  <c r="U59" i="21" s="1"/>
  <c r="T107" i="21"/>
  <c r="U107" i="21" s="1"/>
  <c r="T50" i="21"/>
  <c r="U50" i="21" s="1"/>
  <c r="T58" i="21"/>
  <c r="T66" i="21"/>
  <c r="U66" i="21" s="1"/>
  <c r="T74" i="21"/>
  <c r="U74" i="21" s="1"/>
  <c r="T82" i="21"/>
  <c r="T90" i="21"/>
  <c r="U90" i="21" s="1"/>
  <c r="T98" i="21"/>
  <c r="U98" i="21" s="1"/>
  <c r="T106" i="21"/>
  <c r="U106" i="21" s="1"/>
  <c r="T114" i="21"/>
  <c r="U114" i="21" s="1"/>
  <c r="T83" i="21"/>
  <c r="T40" i="21"/>
  <c r="U40" i="21" s="1"/>
  <c r="T41" i="21"/>
  <c r="U41" i="21" s="1"/>
  <c r="T42" i="21"/>
  <c r="U42" i="21" s="1"/>
  <c r="T43" i="21"/>
  <c r="U43" i="21" s="1"/>
  <c r="T25" i="21"/>
  <c r="U25" i="21" s="1"/>
  <c r="T33" i="21"/>
  <c r="U33" i="21" s="1"/>
  <c r="T26" i="21"/>
  <c r="U26" i="21" s="1"/>
  <c r="T34" i="21"/>
  <c r="U34" i="21" s="1"/>
  <c r="T27" i="21"/>
  <c r="U27" i="21" s="1"/>
  <c r="T35" i="21"/>
  <c r="U35" i="21" s="1"/>
  <c r="T28" i="21"/>
  <c r="U28" i="21" s="1"/>
  <c r="T36" i="21"/>
  <c r="U36" i="21" s="1"/>
  <c r="T29" i="21"/>
  <c r="U29" i="21" s="1"/>
  <c r="T37" i="21"/>
  <c r="U37" i="21" s="1"/>
  <c r="T30" i="21"/>
  <c r="U30" i="21" s="1"/>
  <c r="T38" i="21"/>
  <c r="U38" i="21" s="1"/>
  <c r="T31" i="21"/>
  <c r="U31" i="21" s="1"/>
  <c r="T39" i="21"/>
  <c r="U39" i="21" s="1"/>
  <c r="T32" i="21"/>
  <c r="U32" i="21" s="1"/>
  <c r="T14" i="21"/>
  <c r="U14" i="21" s="1"/>
  <c r="T22" i="21"/>
  <c r="U22" i="21" s="1"/>
  <c r="T15" i="21"/>
  <c r="U15" i="21" s="1"/>
  <c r="T23" i="21"/>
  <c r="U23" i="21" s="1"/>
  <c r="T16" i="21"/>
  <c r="U16" i="21" s="1"/>
  <c r="T24" i="21"/>
  <c r="U24" i="21" s="1"/>
  <c r="T17" i="21"/>
  <c r="U17" i="21" s="1"/>
  <c r="T18" i="21"/>
  <c r="U18" i="21" s="1"/>
  <c r="T19" i="21"/>
  <c r="U19" i="21" s="1"/>
  <c r="T20" i="21"/>
  <c r="U20" i="21" s="1"/>
  <c r="T21" i="21"/>
  <c r="U21" i="21" s="1"/>
  <c r="T11" i="21"/>
  <c r="U11" i="21" s="1"/>
  <c r="T12" i="21"/>
  <c r="U12" i="21" s="1"/>
  <c r="T13" i="21"/>
  <c r="U13" i="21" s="1"/>
  <c r="T8" i="21"/>
  <c r="T9" i="21"/>
  <c r="U9" i="21" s="1"/>
  <c r="T10" i="21"/>
  <c r="U10" i="21" s="1"/>
  <c r="T5" i="21"/>
  <c r="T6" i="21"/>
  <c r="T7" i="21"/>
  <c r="AA151" i="18"/>
  <c r="Y151" i="18"/>
  <c r="AA266" i="18"/>
  <c r="Y266" i="18"/>
  <c r="AA285" i="18"/>
  <c r="Y285" i="18"/>
  <c r="U282" i="21"/>
  <c r="U283" i="21"/>
  <c r="U284" i="21"/>
  <c r="U285" i="21"/>
  <c r="U286" i="21"/>
  <c r="U287" i="21"/>
  <c r="U288" i="21"/>
  <c r="U289" i="21"/>
  <c r="U290" i="21"/>
  <c r="U291" i="21"/>
  <c r="U292" i="21"/>
  <c r="U293" i="21"/>
  <c r="U294" i="21"/>
  <c r="U295" i="21"/>
  <c r="U296" i="21"/>
  <c r="U297" i="21"/>
  <c r="U298" i="21"/>
  <c r="U299" i="21"/>
  <c r="U300" i="21"/>
  <c r="U301" i="21"/>
  <c r="U302" i="21"/>
  <c r="U303" i="21"/>
  <c r="U304" i="21"/>
  <c r="U305" i="21"/>
  <c r="U306" i="21"/>
  <c r="U307" i="21"/>
  <c r="U308" i="21"/>
  <c r="U309" i="21"/>
  <c r="U310" i="21"/>
  <c r="U311" i="21"/>
  <c r="U312" i="21"/>
  <c r="U313" i="21"/>
  <c r="U314" i="21"/>
  <c r="U315" i="21"/>
  <c r="U316" i="21"/>
  <c r="U317" i="21"/>
  <c r="U318" i="21"/>
  <c r="U319" i="21"/>
  <c r="U320" i="21"/>
  <c r="U321" i="21"/>
  <c r="U322" i="21"/>
  <c r="U323" i="21"/>
  <c r="U324" i="21"/>
  <c r="U325" i="21"/>
  <c r="U326" i="21"/>
  <c r="U327" i="21"/>
  <c r="U328" i="21"/>
  <c r="U329" i="21"/>
  <c r="U330" i="21"/>
  <c r="U331" i="21"/>
  <c r="U332" i="21"/>
  <c r="U333" i="21"/>
  <c r="U334" i="21"/>
  <c r="U335" i="21"/>
  <c r="U336" i="21"/>
  <c r="U337" i="21"/>
  <c r="U338" i="21"/>
  <c r="U339" i="21"/>
  <c r="U340" i="21"/>
  <c r="U341" i="21"/>
  <c r="U342" i="21"/>
  <c r="U343" i="21"/>
  <c r="U344" i="21"/>
  <c r="U345" i="21"/>
  <c r="U346" i="21"/>
  <c r="U347" i="21"/>
  <c r="U348" i="21"/>
  <c r="U349" i="21"/>
  <c r="U350" i="21"/>
  <c r="U351" i="21"/>
  <c r="U352" i="21"/>
  <c r="U353" i="21"/>
  <c r="U354" i="21"/>
  <c r="U355" i="21"/>
  <c r="U356" i="21"/>
  <c r="U357" i="21"/>
  <c r="U358" i="21"/>
  <c r="U359" i="21"/>
  <c r="U360" i="21"/>
  <c r="U361" i="21"/>
  <c r="U362" i="21"/>
  <c r="U363" i="21"/>
  <c r="U364" i="21"/>
  <c r="U365" i="21"/>
  <c r="U366" i="21"/>
  <c r="U367" i="21"/>
  <c r="U368" i="21"/>
  <c r="U369" i="21"/>
  <c r="U370" i="21"/>
  <c r="U371" i="21"/>
  <c r="U372" i="21"/>
  <c r="U373" i="21"/>
  <c r="U374" i="21"/>
  <c r="U375" i="21"/>
  <c r="U376" i="21"/>
  <c r="U377" i="21"/>
  <c r="U378" i="21"/>
  <c r="U379" i="21"/>
  <c r="U380" i="21"/>
  <c r="U381" i="21"/>
  <c r="U382" i="21"/>
  <c r="U383" i="21"/>
  <c r="U384" i="21"/>
  <c r="U385" i="21"/>
  <c r="U386" i="21"/>
  <c r="U387" i="21"/>
  <c r="U388" i="21"/>
  <c r="U389" i="21"/>
  <c r="U390" i="21"/>
  <c r="U391" i="21"/>
  <c r="U392" i="21"/>
  <c r="U393" i="21"/>
  <c r="U394" i="21"/>
  <c r="U395" i="21"/>
  <c r="U396" i="21"/>
  <c r="U397" i="21"/>
  <c r="U398" i="21"/>
  <c r="U399" i="21"/>
  <c r="U400" i="21"/>
  <c r="U401" i="21"/>
  <c r="U402" i="21"/>
  <c r="U403" i="21"/>
  <c r="U404" i="21"/>
  <c r="U405" i="21"/>
  <c r="U406" i="21"/>
  <c r="U407" i="21"/>
  <c r="U408" i="21"/>
  <c r="U409" i="21"/>
  <c r="U410" i="21"/>
  <c r="U411" i="21"/>
  <c r="U412" i="21"/>
  <c r="U413" i="21"/>
  <c r="U414" i="21"/>
  <c r="U415" i="21"/>
  <c r="U416" i="21"/>
  <c r="U417" i="21"/>
  <c r="U418" i="21"/>
  <c r="U419" i="21"/>
  <c r="U420" i="21"/>
  <c r="U421" i="21"/>
  <c r="U422" i="21"/>
  <c r="U423" i="21"/>
  <c r="U424" i="21"/>
  <c r="U425" i="21"/>
  <c r="U426" i="21"/>
  <c r="U427" i="21"/>
  <c r="U428" i="21"/>
  <c r="U429" i="21"/>
  <c r="U430" i="21"/>
  <c r="U431" i="21"/>
  <c r="U432" i="21"/>
  <c r="U433" i="21"/>
  <c r="U434" i="21"/>
  <c r="U435" i="21"/>
  <c r="U436" i="21"/>
  <c r="U437" i="21"/>
  <c r="U438" i="21"/>
  <c r="U439" i="21"/>
  <c r="U440" i="21"/>
  <c r="U441" i="21"/>
  <c r="U442" i="21"/>
  <c r="U443" i="21"/>
  <c r="U444" i="21"/>
  <c r="U445" i="21"/>
  <c r="U446" i="21"/>
  <c r="U447" i="21"/>
  <c r="U448" i="21"/>
  <c r="U449" i="21"/>
  <c r="U450" i="21"/>
  <c r="U451" i="21"/>
  <c r="U452" i="21"/>
  <c r="U453" i="21"/>
  <c r="U454" i="21"/>
  <c r="U455" i="21"/>
  <c r="U456" i="21"/>
  <c r="U457" i="21"/>
  <c r="U458" i="21"/>
  <c r="U459" i="21"/>
  <c r="U460" i="21"/>
  <c r="U461" i="21"/>
  <c r="U462" i="21"/>
  <c r="U463" i="21"/>
  <c r="U464" i="21"/>
  <c r="U465" i="21"/>
  <c r="U466" i="21"/>
  <c r="U467" i="21"/>
  <c r="U468" i="21"/>
  <c r="U469" i="21"/>
  <c r="U470" i="21"/>
  <c r="U471" i="21"/>
  <c r="U472" i="21"/>
  <c r="U473" i="21"/>
  <c r="U474" i="21"/>
  <c r="U475" i="21"/>
  <c r="U476" i="21"/>
  <c r="U477" i="21"/>
  <c r="U478" i="21"/>
  <c r="U479" i="21"/>
  <c r="U480" i="21"/>
  <c r="U481" i="21"/>
  <c r="U482" i="21"/>
  <c r="U483" i="21"/>
  <c r="U484" i="21"/>
  <c r="U485" i="21"/>
  <c r="U486" i="21"/>
  <c r="U487" i="21"/>
  <c r="U488" i="21"/>
  <c r="U489" i="21"/>
  <c r="U490" i="21"/>
  <c r="U491" i="21"/>
  <c r="U492" i="21"/>
  <c r="U493" i="21"/>
  <c r="U494" i="21"/>
  <c r="U495" i="21"/>
  <c r="U496" i="21"/>
  <c r="U497" i="21"/>
  <c r="U498" i="21"/>
  <c r="U499" i="21"/>
  <c r="U500" i="21"/>
  <c r="U501" i="21"/>
  <c r="U502" i="21"/>
  <c r="U503" i="21"/>
  <c r="U504" i="21"/>
  <c r="U505" i="21"/>
  <c r="U506" i="21"/>
  <c r="U507" i="21"/>
  <c r="U508" i="21"/>
  <c r="U509" i="21"/>
  <c r="U510" i="21"/>
  <c r="U511" i="21"/>
  <c r="U512" i="21"/>
  <c r="U513" i="21"/>
  <c r="U514" i="21"/>
  <c r="U515" i="21"/>
  <c r="U516" i="21"/>
  <c r="U517" i="21"/>
  <c r="U518" i="21"/>
  <c r="U519" i="21"/>
  <c r="U520" i="21"/>
  <c r="U521" i="21"/>
  <c r="U522" i="21"/>
  <c r="U523" i="21"/>
  <c r="U524" i="21"/>
  <c r="U525" i="21"/>
  <c r="U526" i="21"/>
  <c r="U527" i="21"/>
  <c r="U528" i="21"/>
  <c r="U529" i="21"/>
  <c r="U530" i="21"/>
  <c r="U531" i="21"/>
  <c r="U532" i="21"/>
  <c r="U533" i="21"/>
  <c r="U534" i="21"/>
  <c r="U535" i="21"/>
  <c r="U536" i="21"/>
  <c r="U537" i="21"/>
  <c r="U538" i="21"/>
  <c r="U539" i="21"/>
  <c r="U540" i="21"/>
  <c r="U541" i="21"/>
  <c r="U542" i="21"/>
  <c r="U543" i="21"/>
  <c r="U544" i="21"/>
  <c r="U545" i="21"/>
  <c r="U546" i="21"/>
  <c r="U547" i="21"/>
  <c r="U548" i="21"/>
  <c r="U549" i="21"/>
  <c r="U550" i="21"/>
  <c r="U551" i="21"/>
  <c r="U552" i="21"/>
  <c r="U553" i="21"/>
  <c r="U554" i="21"/>
  <c r="U555" i="21"/>
  <c r="U556" i="21"/>
  <c r="U557" i="21"/>
  <c r="U558" i="21"/>
  <c r="U559" i="21"/>
  <c r="U560" i="21"/>
  <c r="U561" i="21"/>
  <c r="U562" i="21"/>
  <c r="U563" i="21"/>
  <c r="U564" i="21"/>
  <c r="U565" i="21"/>
  <c r="U566" i="21"/>
  <c r="U567" i="21"/>
  <c r="U568" i="21"/>
  <c r="U569" i="21"/>
  <c r="U570" i="21"/>
  <c r="U571" i="21"/>
  <c r="U572" i="21"/>
  <c r="U573" i="21"/>
  <c r="U574" i="21"/>
  <c r="U575" i="21"/>
  <c r="U576" i="21"/>
  <c r="U577" i="21"/>
  <c r="U578" i="21"/>
  <c r="U579" i="21"/>
  <c r="U580" i="21"/>
  <c r="U581" i="21"/>
  <c r="U582" i="21"/>
  <c r="U583" i="21"/>
  <c r="U584" i="21"/>
  <c r="U585" i="21"/>
  <c r="U586" i="21"/>
  <c r="U587" i="21"/>
  <c r="U588" i="21"/>
  <c r="V282" i="21"/>
  <c r="V283" i="21"/>
  <c r="V284" i="21"/>
  <c r="V285" i="21"/>
  <c r="V286" i="21"/>
  <c r="V287" i="21"/>
  <c r="V288" i="21"/>
  <c r="V289" i="21"/>
  <c r="V290" i="21"/>
  <c r="V291" i="21"/>
  <c r="V292" i="21"/>
  <c r="V293" i="21"/>
  <c r="V294" i="21"/>
  <c r="V295" i="21"/>
  <c r="V296" i="21"/>
  <c r="V297" i="21"/>
  <c r="V298" i="21"/>
  <c r="V299" i="21"/>
  <c r="V300" i="21"/>
  <c r="V301" i="21"/>
  <c r="V302" i="21"/>
  <c r="V303" i="21"/>
  <c r="V304" i="21"/>
  <c r="V305" i="21"/>
  <c r="V306" i="21"/>
  <c r="V307" i="21"/>
  <c r="V308" i="21"/>
  <c r="V309" i="21"/>
  <c r="V310" i="21"/>
  <c r="V311" i="21"/>
  <c r="V312" i="21"/>
  <c r="V313" i="21"/>
  <c r="V314" i="21"/>
  <c r="V315" i="21"/>
  <c r="V316" i="21"/>
  <c r="V317" i="21"/>
  <c r="V318" i="21"/>
  <c r="V319" i="21"/>
  <c r="V320" i="21"/>
  <c r="V321" i="21"/>
  <c r="V322" i="21"/>
  <c r="V323" i="21"/>
  <c r="V324" i="21"/>
  <c r="V325" i="21"/>
  <c r="V326" i="21"/>
  <c r="V327" i="21"/>
  <c r="V328" i="21"/>
  <c r="V329" i="21"/>
  <c r="V330" i="21"/>
  <c r="V331" i="21"/>
  <c r="V332" i="21"/>
  <c r="V333" i="21"/>
  <c r="V334" i="21"/>
  <c r="V335" i="21"/>
  <c r="V336" i="21"/>
  <c r="V337" i="21"/>
  <c r="V338" i="21"/>
  <c r="V339" i="21"/>
  <c r="V340" i="21"/>
  <c r="V341" i="21"/>
  <c r="V342" i="21"/>
  <c r="V343" i="21"/>
  <c r="V344" i="21"/>
  <c r="V345" i="21"/>
  <c r="V346" i="21"/>
  <c r="V347" i="21"/>
  <c r="V348" i="21"/>
  <c r="V349" i="21"/>
  <c r="V350" i="21"/>
  <c r="V351" i="21"/>
  <c r="V352" i="21"/>
  <c r="V353" i="21"/>
  <c r="V354" i="21"/>
  <c r="V355" i="21"/>
  <c r="V356" i="21"/>
  <c r="V357" i="21"/>
  <c r="V358" i="21"/>
  <c r="V359" i="21"/>
  <c r="V360" i="21"/>
  <c r="V361" i="21"/>
  <c r="V362" i="21"/>
  <c r="V363" i="21"/>
  <c r="V364" i="21"/>
  <c r="V365" i="21"/>
  <c r="V366" i="21"/>
  <c r="V367" i="21"/>
  <c r="V368" i="21"/>
  <c r="V369" i="21"/>
  <c r="V370" i="21"/>
  <c r="V371" i="21"/>
  <c r="V372" i="21"/>
  <c r="V373" i="21"/>
  <c r="V374" i="21"/>
  <c r="V375" i="21"/>
  <c r="V376" i="21"/>
  <c r="V377" i="21"/>
  <c r="V378" i="21"/>
  <c r="V379" i="21"/>
  <c r="V380" i="21"/>
  <c r="V381" i="21"/>
  <c r="V382" i="21"/>
  <c r="V383" i="21"/>
  <c r="V384" i="21"/>
  <c r="V385" i="21"/>
  <c r="V386" i="21"/>
  <c r="V387" i="21"/>
  <c r="V388" i="21"/>
  <c r="V389" i="21"/>
  <c r="V390" i="21"/>
  <c r="V391" i="21"/>
  <c r="V392" i="21"/>
  <c r="V393" i="21"/>
  <c r="V394" i="21"/>
  <c r="V395" i="21"/>
  <c r="V396" i="21"/>
  <c r="V397" i="21"/>
  <c r="V398" i="21"/>
  <c r="V399" i="21"/>
  <c r="V400" i="21"/>
  <c r="V401" i="21"/>
  <c r="V402" i="21"/>
  <c r="V403" i="21"/>
  <c r="V404" i="21"/>
  <c r="V405" i="21"/>
  <c r="V406" i="21"/>
  <c r="V407" i="21"/>
  <c r="V408" i="21"/>
  <c r="V409" i="21"/>
  <c r="V410" i="21"/>
  <c r="V411" i="21"/>
  <c r="V412" i="21"/>
  <c r="V413" i="21"/>
  <c r="V414" i="21"/>
  <c r="V415" i="21"/>
  <c r="V416" i="21"/>
  <c r="V417" i="21"/>
  <c r="V418" i="21"/>
  <c r="V419" i="21"/>
  <c r="V420" i="21"/>
  <c r="V421" i="21"/>
  <c r="V422" i="21"/>
  <c r="V423" i="21"/>
  <c r="V424" i="21"/>
  <c r="V425" i="21"/>
  <c r="V426" i="21"/>
  <c r="V427" i="21"/>
  <c r="V428" i="21"/>
  <c r="V429" i="21"/>
  <c r="V430" i="21"/>
  <c r="V431" i="21"/>
  <c r="V432" i="21"/>
  <c r="V433" i="21"/>
  <c r="V434" i="21"/>
  <c r="V435" i="21"/>
  <c r="V436" i="21"/>
  <c r="V437" i="21"/>
  <c r="V438" i="21"/>
  <c r="V439" i="21"/>
  <c r="V440" i="21"/>
  <c r="V441" i="21"/>
  <c r="V442" i="21"/>
  <c r="V443" i="21"/>
  <c r="V444" i="21"/>
  <c r="V445" i="21"/>
  <c r="V446" i="21"/>
  <c r="V447" i="21"/>
  <c r="V448" i="21"/>
  <c r="V449" i="21"/>
  <c r="V450" i="21"/>
  <c r="V451" i="21"/>
  <c r="V452" i="21"/>
  <c r="V453" i="21"/>
  <c r="V454" i="21"/>
  <c r="V455" i="21"/>
  <c r="V456" i="21"/>
  <c r="V457" i="21"/>
  <c r="V458" i="21"/>
  <c r="V459" i="21"/>
  <c r="V460" i="21"/>
  <c r="V461" i="21"/>
  <c r="V462" i="21"/>
  <c r="V463" i="21"/>
  <c r="V464" i="21"/>
  <c r="V465" i="21"/>
  <c r="V466" i="21"/>
  <c r="V467" i="21"/>
  <c r="V468" i="21"/>
  <c r="V469" i="21"/>
  <c r="V470" i="21"/>
  <c r="V471" i="21"/>
  <c r="V472" i="21"/>
  <c r="V473" i="21"/>
  <c r="V474" i="21"/>
  <c r="V475" i="21"/>
  <c r="V476" i="21"/>
  <c r="V477" i="21"/>
  <c r="V478" i="21"/>
  <c r="V479" i="21"/>
  <c r="V480" i="21"/>
  <c r="V481" i="21"/>
  <c r="V482" i="21"/>
  <c r="V483" i="21"/>
  <c r="V484" i="21"/>
  <c r="V485" i="21"/>
  <c r="V486" i="21"/>
  <c r="V487" i="21"/>
  <c r="V488" i="21"/>
  <c r="V489" i="21"/>
  <c r="V490" i="21"/>
  <c r="V491" i="21"/>
  <c r="V492" i="21"/>
  <c r="V493" i="21"/>
  <c r="V494" i="21"/>
  <c r="V495" i="21"/>
  <c r="V496" i="21"/>
  <c r="V497" i="21"/>
  <c r="V498" i="21"/>
  <c r="V499" i="21"/>
  <c r="V500" i="21"/>
  <c r="V501" i="21"/>
  <c r="V502" i="21"/>
  <c r="V503" i="21"/>
  <c r="V504" i="21"/>
  <c r="V505" i="21"/>
  <c r="V506" i="21"/>
  <c r="V507" i="21"/>
  <c r="V508" i="21"/>
  <c r="V509" i="21"/>
  <c r="V510" i="21"/>
  <c r="V511" i="21"/>
  <c r="V512" i="21"/>
  <c r="V513" i="21"/>
  <c r="V514" i="21"/>
  <c r="V515" i="21"/>
  <c r="V516" i="21"/>
  <c r="V517" i="21"/>
  <c r="V518" i="21"/>
  <c r="V519" i="21"/>
  <c r="V520" i="21"/>
  <c r="V521" i="21"/>
  <c r="V522" i="21"/>
  <c r="V523" i="21"/>
  <c r="V524" i="21"/>
  <c r="V525" i="21"/>
  <c r="V526" i="21"/>
  <c r="V527" i="21"/>
  <c r="V528" i="21"/>
  <c r="V529" i="21"/>
  <c r="V530" i="21"/>
  <c r="V531" i="21"/>
  <c r="V532" i="21"/>
  <c r="V533" i="21"/>
  <c r="V534" i="21"/>
  <c r="V535" i="21"/>
  <c r="V536" i="21"/>
  <c r="V537" i="21"/>
  <c r="V538" i="21"/>
  <c r="V539" i="21"/>
  <c r="V540" i="21"/>
  <c r="V541" i="21"/>
  <c r="V542" i="21"/>
  <c r="V543" i="21"/>
  <c r="V544" i="21"/>
  <c r="V545" i="21"/>
  <c r="V546" i="21"/>
  <c r="V547" i="21"/>
  <c r="V548" i="21"/>
  <c r="V549" i="21"/>
  <c r="V550" i="21"/>
  <c r="V551" i="21"/>
  <c r="V552" i="21"/>
  <c r="V553" i="21"/>
  <c r="V554" i="21"/>
  <c r="V555" i="21"/>
  <c r="V556" i="21"/>
  <c r="V557" i="21"/>
  <c r="V558" i="21"/>
  <c r="V559" i="21"/>
  <c r="V560" i="21"/>
  <c r="V561" i="21"/>
  <c r="V562" i="21"/>
  <c r="V563" i="21"/>
  <c r="V564" i="21"/>
  <c r="V565" i="21"/>
  <c r="V566" i="21"/>
  <c r="V567" i="21"/>
  <c r="V568" i="21"/>
  <c r="V569" i="21"/>
  <c r="V570" i="21"/>
  <c r="V571" i="21"/>
  <c r="V572" i="21"/>
  <c r="V573" i="21"/>
  <c r="V574" i="21"/>
  <c r="V575" i="21"/>
  <c r="V576" i="21"/>
  <c r="V577" i="21"/>
  <c r="V578" i="21"/>
  <c r="V579" i="21"/>
  <c r="V580" i="21"/>
  <c r="V581" i="21"/>
  <c r="V582" i="21"/>
  <c r="V583" i="21"/>
  <c r="V584" i="21"/>
  <c r="V585" i="21"/>
  <c r="V586" i="21"/>
  <c r="V587" i="21"/>
  <c r="V588" i="21"/>
  <c r="Y18" i="18"/>
  <c r="Y447" i="18"/>
  <c r="AA447" i="18"/>
  <c r="Y60" i="18"/>
  <c r="AA60" i="18"/>
  <c r="Y103" i="18"/>
  <c r="AA103" i="18"/>
  <c r="Y9" i="18"/>
  <c r="AA9" i="18"/>
  <c r="AA393" i="18"/>
  <c r="Y393" i="18"/>
  <c r="AA73" i="18"/>
  <c r="AA204" i="18"/>
  <c r="Y204" i="18"/>
  <c r="Y205" i="18"/>
  <c r="AA205" i="18"/>
  <c r="Y187" i="18"/>
  <c r="AA187" i="18"/>
  <c r="Y8" i="18"/>
  <c r="AA27" i="18"/>
  <c r="Y27" i="18"/>
  <c r="AA45" i="18"/>
  <c r="Y45" i="18"/>
  <c r="AA112" i="18"/>
  <c r="Y112" i="18"/>
  <c r="AA43" i="18"/>
  <c r="Y43" i="18"/>
  <c r="AA48" i="18"/>
  <c r="Y48" i="18"/>
  <c r="Y231" i="18"/>
  <c r="AA231" i="18"/>
  <c r="AA378" i="18"/>
  <c r="Y378" i="18"/>
  <c r="AA284" i="18"/>
  <c r="Y284" i="18"/>
  <c r="Y131" i="18"/>
  <c r="AA131" i="18"/>
  <c r="Y40" i="18"/>
  <c r="AA40" i="18"/>
  <c r="AA46" i="18"/>
  <c r="Y46" i="18"/>
  <c r="Y19" i="18"/>
  <c r="AA19" i="18"/>
  <c r="Y373" i="18"/>
  <c r="AA373" i="18"/>
  <c r="AA410" i="18"/>
  <c r="Y410" i="18"/>
  <c r="AA11" i="18"/>
  <c r="Y11" i="18"/>
  <c r="AA7" i="18"/>
  <c r="Y7" i="18"/>
  <c r="AA136" i="18"/>
  <c r="Y136" i="18"/>
  <c r="AA203" i="18"/>
  <c r="Y203" i="18"/>
  <c r="Y28" i="18"/>
  <c r="Y247" i="18"/>
  <c r="AA247" i="18"/>
  <c r="AA147" i="18"/>
  <c r="Y147" i="18"/>
  <c r="AA63" i="18"/>
  <c r="Y63" i="18"/>
  <c r="AA320" i="18"/>
  <c r="Y320" i="18"/>
  <c r="Y41" i="18"/>
  <c r="AA41" i="18"/>
  <c r="AA51" i="18"/>
  <c r="Y51" i="18"/>
  <c r="Y215" i="18"/>
  <c r="AA289" i="18"/>
  <c r="Y289" i="18"/>
  <c r="AA214" i="18"/>
  <c r="Y214" i="18"/>
  <c r="AA304" i="18"/>
  <c r="Y304" i="18"/>
  <c r="Y197" i="18"/>
  <c r="AA197" i="18"/>
  <c r="Y152" i="18"/>
  <c r="AA152" i="18"/>
  <c r="U281" i="21"/>
  <c r="V281" i="21"/>
  <c r="U280" i="21"/>
  <c r="V280" i="21"/>
  <c r="U141" i="21"/>
  <c r="U157" i="21"/>
  <c r="U165" i="21"/>
  <c r="U173" i="21"/>
  <c r="U181" i="21"/>
  <c r="U189" i="21"/>
  <c r="U197" i="21"/>
  <c r="U205" i="21"/>
  <c r="U213" i="21"/>
  <c r="U221" i="21"/>
  <c r="U229" i="21"/>
  <c r="U237" i="21"/>
  <c r="U245" i="21"/>
  <c r="U253" i="21"/>
  <c r="U261" i="21"/>
  <c r="U269" i="21"/>
  <c r="U277" i="21"/>
  <c r="V125" i="21"/>
  <c r="V133" i="21"/>
  <c r="V141" i="21"/>
  <c r="V149" i="21"/>
  <c r="V157" i="21"/>
  <c r="V165" i="21"/>
  <c r="V173" i="21"/>
  <c r="V181" i="21"/>
  <c r="V189" i="21"/>
  <c r="V197" i="21"/>
  <c r="V205" i="21"/>
  <c r="V213" i="21"/>
  <c r="V221" i="21"/>
  <c r="V229" i="21"/>
  <c r="V237" i="21"/>
  <c r="V245" i="21"/>
  <c r="V253" i="21"/>
  <c r="V261" i="21"/>
  <c r="V269" i="21"/>
  <c r="V277" i="21"/>
  <c r="U134" i="21"/>
  <c r="U142" i="21"/>
  <c r="U158" i="21"/>
  <c r="U174" i="21"/>
  <c r="U182" i="21"/>
  <c r="U190" i="21"/>
  <c r="U198" i="21"/>
  <c r="U206" i="21"/>
  <c r="U214" i="21"/>
  <c r="U222" i="21"/>
  <c r="U230" i="21"/>
  <c r="U238" i="21"/>
  <c r="U246" i="21"/>
  <c r="U254" i="21"/>
  <c r="U262" i="21"/>
  <c r="U270" i="21"/>
  <c r="U278" i="21"/>
  <c r="V126" i="21"/>
  <c r="V134" i="21"/>
  <c r="V142" i="21"/>
  <c r="V150" i="21"/>
  <c r="V158" i="21"/>
  <c r="V166" i="21"/>
  <c r="V174" i="21"/>
  <c r="V182" i="21"/>
  <c r="V190" i="21"/>
  <c r="V198" i="21"/>
  <c r="V206" i="21"/>
  <c r="V214" i="21"/>
  <c r="V222" i="21"/>
  <c r="V230" i="21"/>
  <c r="V238" i="21"/>
  <c r="V246" i="21"/>
  <c r="V254" i="21"/>
  <c r="V262" i="21"/>
  <c r="V270" i="21"/>
  <c r="V278" i="21"/>
  <c r="U127" i="21"/>
  <c r="U143" i="21"/>
  <c r="U151" i="21"/>
  <c r="U159" i="21"/>
  <c r="U167" i="21"/>
  <c r="U175" i="21"/>
  <c r="U183" i="21"/>
  <c r="U191" i="21"/>
  <c r="U199" i="21"/>
  <c r="U207" i="21"/>
  <c r="U215" i="21"/>
  <c r="U223" i="21"/>
  <c r="U231" i="21"/>
  <c r="U239" i="21"/>
  <c r="U247" i="21"/>
  <c r="U255" i="21"/>
  <c r="U263" i="21"/>
  <c r="U271" i="21"/>
  <c r="U279" i="21"/>
  <c r="V127" i="21"/>
  <c r="V135" i="21"/>
  <c r="V143" i="21"/>
  <c r="V151" i="21"/>
  <c r="V159" i="21"/>
  <c r="V167" i="21"/>
  <c r="V175" i="21"/>
  <c r="V183" i="21"/>
  <c r="V191" i="21"/>
  <c r="V199" i="21"/>
  <c r="V207" i="21"/>
  <c r="V215" i="21"/>
  <c r="V223" i="21"/>
  <c r="V231" i="21"/>
  <c r="V239" i="21"/>
  <c r="V247" i="21"/>
  <c r="V255" i="21"/>
  <c r="V263" i="21"/>
  <c r="V271" i="21"/>
  <c r="V279" i="21"/>
  <c r="U136" i="21"/>
  <c r="U152" i="21"/>
  <c r="U160" i="21"/>
  <c r="U168" i="21"/>
  <c r="U176" i="21"/>
  <c r="U184" i="21"/>
  <c r="U192" i="21"/>
  <c r="U200" i="21"/>
  <c r="U208" i="21"/>
  <c r="U216" i="21"/>
  <c r="U224" i="21"/>
  <c r="U232" i="21"/>
  <c r="U240" i="21"/>
  <c r="U248" i="21"/>
  <c r="U256" i="21"/>
  <c r="U264" i="21"/>
  <c r="U272" i="21"/>
  <c r="V128" i="21"/>
  <c r="V136" i="21"/>
  <c r="V144" i="21"/>
  <c r="V152" i="21"/>
  <c r="V160" i="21"/>
  <c r="V168" i="21"/>
  <c r="V176" i="21"/>
  <c r="V184" i="21"/>
  <c r="V192" i="21"/>
  <c r="V200" i="21"/>
  <c r="V208" i="21"/>
  <c r="V216" i="21"/>
  <c r="V224" i="21"/>
  <c r="V232" i="21"/>
  <c r="V240" i="21"/>
  <c r="V248" i="21"/>
  <c r="V256" i="21"/>
  <c r="V264" i="21"/>
  <c r="V272" i="21"/>
  <c r="U129" i="21"/>
  <c r="U153" i="21"/>
  <c r="U169" i="21"/>
  <c r="U177" i="21"/>
  <c r="U185" i="21"/>
  <c r="U193" i="21"/>
  <c r="U201" i="21"/>
  <c r="U209" i="21"/>
  <c r="U217" i="21"/>
  <c r="U225" i="21"/>
  <c r="U233" i="21"/>
  <c r="U241" i="21"/>
  <c r="U249" i="21"/>
  <c r="U257" i="21"/>
  <c r="U265" i="21"/>
  <c r="U273" i="21"/>
  <c r="V121" i="21"/>
  <c r="V129" i="21"/>
  <c r="V137" i="21"/>
  <c r="V145" i="21"/>
  <c r="V153" i="21"/>
  <c r="V161" i="21"/>
  <c r="V169" i="21"/>
  <c r="V177" i="21"/>
  <c r="V185" i="21"/>
  <c r="V193" i="21"/>
  <c r="V201" i="21"/>
  <c r="V209" i="21"/>
  <c r="V217" i="21"/>
  <c r="V225" i="21"/>
  <c r="V233" i="21"/>
  <c r="V241" i="21"/>
  <c r="V249" i="21"/>
  <c r="V257" i="21"/>
  <c r="V265" i="21"/>
  <c r="V273" i="21"/>
  <c r="U122" i="21"/>
  <c r="U130" i="21"/>
  <c r="U146" i="21"/>
  <c r="U170" i="21"/>
  <c r="U178" i="21"/>
  <c r="U186" i="21"/>
  <c r="U194" i="21"/>
  <c r="U202" i="21"/>
  <c r="U210" i="21"/>
  <c r="U218" i="21"/>
  <c r="U226" i="21"/>
  <c r="U234" i="21"/>
  <c r="U242" i="21"/>
  <c r="U250" i="21"/>
  <c r="U258" i="21"/>
  <c r="U266" i="21"/>
  <c r="U274" i="21"/>
  <c r="V122" i="21"/>
  <c r="V130" i="21"/>
  <c r="V138" i="21"/>
  <c r="V146" i="21"/>
  <c r="V154" i="21"/>
  <c r="V162" i="21"/>
  <c r="V170" i="21"/>
  <c r="V178" i="21"/>
  <c r="V186" i="21"/>
  <c r="V194" i="21"/>
  <c r="V202" i="21"/>
  <c r="V210" i="21"/>
  <c r="V218" i="21"/>
  <c r="V226" i="21"/>
  <c r="V234" i="21"/>
  <c r="V242" i="21"/>
  <c r="V250" i="21"/>
  <c r="V258" i="21"/>
  <c r="V266" i="21"/>
  <c r="V274" i="21"/>
  <c r="U123" i="21"/>
  <c r="U139" i="21"/>
  <c r="U147" i="21"/>
  <c r="U155" i="21"/>
  <c r="U163" i="21"/>
  <c r="U171" i="21"/>
  <c r="U179" i="21"/>
  <c r="U187" i="21"/>
  <c r="U195" i="21"/>
  <c r="U203" i="21"/>
  <c r="U211" i="21"/>
  <c r="U219" i="21"/>
  <c r="U227" i="21"/>
  <c r="U235" i="21"/>
  <c r="U243" i="21"/>
  <c r="U251" i="21"/>
  <c r="U259" i="21"/>
  <c r="U267" i="21"/>
  <c r="U275" i="21"/>
  <c r="V123" i="21"/>
  <c r="V131" i="21"/>
  <c r="V139" i="21"/>
  <c r="V147" i="21"/>
  <c r="V155" i="21"/>
  <c r="V163" i="21"/>
  <c r="V171" i="21"/>
  <c r="V179" i="21"/>
  <c r="V187" i="21"/>
  <c r="V195" i="21"/>
  <c r="V203" i="21"/>
  <c r="V211" i="21"/>
  <c r="V219" i="21"/>
  <c r="V227" i="21"/>
  <c r="V235" i="21"/>
  <c r="V243" i="21"/>
  <c r="V251" i="21"/>
  <c r="V259" i="21"/>
  <c r="V267" i="21"/>
  <c r="V275" i="21"/>
  <c r="U132" i="21"/>
  <c r="U148" i="21"/>
  <c r="U156" i="21"/>
  <c r="U164" i="21"/>
  <c r="U172" i="21"/>
  <c r="U180" i="21"/>
  <c r="U188" i="21"/>
  <c r="U196" i="21"/>
  <c r="U204" i="21"/>
  <c r="U212" i="21"/>
  <c r="U220" i="21"/>
  <c r="U228" i="21"/>
  <c r="U236" i="21"/>
  <c r="U244" i="21"/>
  <c r="U252" i="21"/>
  <c r="U260" i="21"/>
  <c r="U268" i="21"/>
  <c r="U276" i="21"/>
  <c r="V124" i="21"/>
  <c r="V132" i="21"/>
  <c r="V140" i="21"/>
  <c r="V148" i="21"/>
  <c r="V156" i="21"/>
  <c r="V164" i="21"/>
  <c r="V172" i="21"/>
  <c r="V180" i="21"/>
  <c r="V188" i="21"/>
  <c r="V196" i="21"/>
  <c r="V204" i="21"/>
  <c r="V212" i="21"/>
  <c r="V220" i="21"/>
  <c r="V228" i="21"/>
  <c r="V236" i="21"/>
  <c r="V244" i="21"/>
  <c r="V252" i="21"/>
  <c r="V260" i="21"/>
  <c r="V268" i="21"/>
  <c r="V276" i="21"/>
  <c r="M186" i="18"/>
  <c r="N186" i="18" s="1"/>
  <c r="N61" i="18"/>
  <c r="O61" i="18"/>
  <c r="M65" i="18"/>
  <c r="N65" i="18" s="1"/>
  <c r="U92" i="21"/>
  <c r="V79" i="21"/>
  <c r="V87" i="21"/>
  <c r="V95" i="21"/>
  <c r="V103" i="21"/>
  <c r="V111" i="21"/>
  <c r="V119" i="21"/>
  <c r="U101" i="21"/>
  <c r="U117" i="21"/>
  <c r="V80" i="21"/>
  <c r="V88" i="21"/>
  <c r="V96" i="21"/>
  <c r="V104" i="21"/>
  <c r="V112" i="21"/>
  <c r="V120" i="21"/>
  <c r="U94" i="21"/>
  <c r="U110" i="21"/>
  <c r="U118" i="21"/>
  <c r="V81" i="21"/>
  <c r="V89" i="21"/>
  <c r="V97" i="21"/>
  <c r="V105" i="21"/>
  <c r="V113" i="21"/>
  <c r="U111" i="21"/>
  <c r="V82" i="21"/>
  <c r="V90" i="21"/>
  <c r="V98" i="21"/>
  <c r="V106" i="21"/>
  <c r="V114" i="21"/>
  <c r="U96" i="21"/>
  <c r="U112" i="21"/>
  <c r="V83" i="21"/>
  <c r="V91" i="21"/>
  <c r="V99" i="21"/>
  <c r="V107" i="21"/>
  <c r="V115" i="21"/>
  <c r="U81" i="21"/>
  <c r="U97" i="21"/>
  <c r="U105" i="21"/>
  <c r="V84" i="21"/>
  <c r="V92" i="21"/>
  <c r="V100" i="21"/>
  <c r="V108" i="21"/>
  <c r="V116" i="21"/>
  <c r="U82" i="21"/>
  <c r="V85" i="21"/>
  <c r="V93" i="21"/>
  <c r="V101" i="21"/>
  <c r="V109" i="21"/>
  <c r="V117" i="21"/>
  <c r="U83" i="21"/>
  <c r="U115" i="21"/>
  <c r="V86" i="21"/>
  <c r="V94" i="21"/>
  <c r="V102" i="21"/>
  <c r="V110" i="21"/>
  <c r="V118" i="21"/>
  <c r="U58" i="21"/>
  <c r="V40" i="21"/>
  <c r="V48" i="21"/>
  <c r="V56" i="21"/>
  <c r="V64" i="21"/>
  <c r="V72" i="21"/>
  <c r="V53" i="21"/>
  <c r="V54" i="21"/>
  <c r="V62" i="21"/>
  <c r="V78" i="21"/>
  <c r="U51" i="21"/>
  <c r="U75" i="21"/>
  <c r="V41" i="21"/>
  <c r="V49" i="21"/>
  <c r="V57" i="21"/>
  <c r="V65" i="21"/>
  <c r="V73" i="21"/>
  <c r="V45" i="21"/>
  <c r="V61" i="21"/>
  <c r="V69" i="21"/>
  <c r="V38" i="21"/>
  <c r="V70" i="21"/>
  <c r="U52" i="21"/>
  <c r="V34" i="21"/>
  <c r="V42" i="21"/>
  <c r="V50" i="21"/>
  <c r="V58" i="21"/>
  <c r="V66" i="21"/>
  <c r="V74" i="21"/>
  <c r="V35" i="21"/>
  <c r="V43" i="21"/>
  <c r="V51" i="21"/>
  <c r="V59" i="21"/>
  <c r="V67" i="21"/>
  <c r="V75" i="21"/>
  <c r="V36" i="21"/>
  <c r="V44" i="21"/>
  <c r="V52" i="21"/>
  <c r="V60" i="21"/>
  <c r="V68" i="21"/>
  <c r="V76" i="21"/>
  <c r="U61" i="21"/>
  <c r="U77" i="21"/>
  <c r="U70" i="21"/>
  <c r="V37" i="21"/>
  <c r="V77" i="21"/>
  <c r="V46" i="21"/>
  <c r="U47" i="21"/>
  <c r="U71" i="21"/>
  <c r="U56" i="21"/>
  <c r="U65" i="21"/>
  <c r="V39" i="21"/>
  <c r="V47" i="21"/>
  <c r="V55" i="21"/>
  <c r="V63" i="21"/>
  <c r="V71" i="21"/>
  <c r="V10" i="21"/>
  <c r="V18" i="21"/>
  <c r="V26" i="21"/>
  <c r="V12" i="21"/>
  <c r="V20" i="21"/>
  <c r="V28" i="21"/>
  <c r="V13" i="21"/>
  <c r="V21" i="21"/>
  <c r="V29" i="21"/>
  <c r="V5" i="21"/>
  <c r="V6" i="21"/>
  <c r="V14" i="21"/>
  <c r="V22" i="21"/>
  <c r="V30" i="21"/>
  <c r="V27" i="21"/>
  <c r="V7" i="21"/>
  <c r="V15" i="21"/>
  <c r="V23" i="21"/>
  <c r="V31" i="21"/>
  <c r="V8" i="21"/>
  <c r="V16" i="21"/>
  <c r="V24" i="21"/>
  <c r="V32" i="21"/>
  <c r="V11" i="21"/>
  <c r="V9" i="21"/>
  <c r="V17" i="21"/>
  <c r="V25" i="21"/>
  <c r="V33" i="21"/>
  <c r="V19" i="21"/>
  <c r="AA223" i="18"/>
  <c r="Y223" i="18"/>
  <c r="AA5" i="18"/>
  <c r="Y5" i="18"/>
  <c r="AA37" i="18"/>
  <c r="Y37" i="18"/>
  <c r="AA6" i="18"/>
  <c r="Y6" i="18"/>
  <c r="AA192" i="18"/>
  <c r="Y192" i="18"/>
  <c r="B5" i="21"/>
  <c r="N138" i="18"/>
  <c r="P138" i="18"/>
  <c r="N212" i="18"/>
  <c r="M63" i="18"/>
  <c r="P63" i="18" s="1"/>
  <c r="M6" i="18"/>
  <c r="N6" i="18" s="1"/>
  <c r="O212" i="18"/>
  <c r="N161" i="18"/>
  <c r="P161" i="18"/>
  <c r="O387" i="18"/>
  <c r="P387" i="18"/>
  <c r="P272" i="18"/>
  <c r="M174" i="18"/>
  <c r="N174" i="18" s="1"/>
  <c r="N298" i="18"/>
  <c r="M164" i="18"/>
  <c r="N164" i="18" s="1"/>
  <c r="N100" i="18"/>
  <c r="M37" i="18"/>
  <c r="N37" i="18" s="1"/>
  <c r="P100" i="18"/>
  <c r="O85" i="18"/>
  <c r="N85" i="18"/>
  <c r="M4" i="18"/>
  <c r="N4" i="18" s="1"/>
  <c r="M211" i="18"/>
  <c r="P211" i="18" s="1"/>
  <c r="O110" i="18"/>
  <c r="M239" i="18"/>
  <c r="O239" i="18" s="1"/>
  <c r="M12" i="18"/>
  <c r="O12" i="18" s="1"/>
  <c r="N110" i="18"/>
  <c r="N173" i="18"/>
  <c r="O173" i="18"/>
  <c r="O315" i="18"/>
  <c r="N315" i="18"/>
  <c r="N317" i="18"/>
  <c r="M8" i="18"/>
  <c r="O8" i="18" s="1"/>
  <c r="O77" i="18"/>
  <c r="N312" i="18"/>
  <c r="P290" i="18"/>
  <c r="P77" i="18"/>
  <c r="P312" i="18"/>
  <c r="P298" i="18"/>
  <c r="M259" i="18"/>
  <c r="P259" i="18" s="1"/>
  <c r="O133" i="18"/>
  <c r="N133" i="18"/>
  <c r="M216" i="18"/>
  <c r="N216" i="18" s="1"/>
  <c r="M66" i="18"/>
  <c r="O66" i="18" s="1"/>
  <c r="O95" i="18"/>
  <c r="O417" i="18"/>
  <c r="N417" i="18"/>
  <c r="M71" i="18"/>
  <c r="P71" i="18" s="1"/>
  <c r="M19" i="18"/>
  <c r="P19" i="18" s="1"/>
  <c r="M68" i="18"/>
  <c r="O68" i="18" s="1"/>
  <c r="O98" i="18"/>
  <c r="N149" i="18"/>
  <c r="O149" i="18"/>
  <c r="N98" i="18"/>
  <c r="M25" i="18"/>
  <c r="P25" i="18" s="1"/>
  <c r="N331" i="18"/>
  <c r="M323" i="18"/>
  <c r="N323" i="18" s="1"/>
  <c r="O331" i="18"/>
  <c r="P95" i="18"/>
  <c r="O129" i="18"/>
  <c r="M171" i="18"/>
  <c r="N171" i="18" s="1"/>
  <c r="P129" i="18"/>
  <c r="M238" i="18"/>
  <c r="O238" i="18" s="1"/>
  <c r="M233" i="18"/>
  <c r="N233" i="18" s="1"/>
  <c r="N411" i="18"/>
  <c r="O411" i="18"/>
  <c r="M67" i="18"/>
  <c r="P67" i="18" s="1"/>
  <c r="O130" i="18"/>
  <c r="N130" i="18"/>
  <c r="M62" i="18"/>
  <c r="P62" i="18" s="1"/>
  <c r="P317" i="18"/>
  <c r="M181" i="18"/>
  <c r="N181" i="18" s="1"/>
  <c r="M39" i="18"/>
  <c r="N39" i="18" s="1"/>
  <c r="M256" i="18"/>
  <c r="N256" i="18" s="1"/>
  <c r="M229" i="18"/>
  <c r="P229" i="18" s="1"/>
  <c r="M225" i="18"/>
  <c r="O225" i="18" s="1"/>
  <c r="P388" i="18"/>
  <c r="M263" i="18"/>
  <c r="P263" i="18" s="1"/>
  <c r="M237" i="18"/>
  <c r="O237" i="18" s="1"/>
  <c r="M219" i="18"/>
  <c r="P219" i="18" s="1"/>
  <c r="M201" i="18"/>
  <c r="O201" i="18" s="1"/>
  <c r="M148" i="18"/>
  <c r="P148" i="18" s="1"/>
  <c r="O290" i="18"/>
  <c r="M217" i="18"/>
  <c r="N217" i="18" s="1"/>
  <c r="M264" i="18"/>
  <c r="N264" i="18" s="1"/>
  <c r="M151" i="18"/>
  <c r="N151" i="18" s="1"/>
  <c r="M215" i="18"/>
  <c r="P215" i="18" s="1"/>
  <c r="M45" i="18"/>
  <c r="O45" i="18" s="1"/>
  <c r="M244" i="18"/>
  <c r="P244" i="18" s="1"/>
  <c r="M321" i="18"/>
  <c r="P321" i="18" s="1"/>
  <c r="M222" i="18"/>
  <c r="N222" i="18" s="1"/>
  <c r="O109" i="18"/>
  <c r="P109" i="18"/>
  <c r="M20" i="18"/>
  <c r="P20" i="18" s="1"/>
  <c r="M93" i="18"/>
  <c r="P93" i="18" s="1"/>
  <c r="M261" i="18"/>
  <c r="O261" i="18" s="1"/>
  <c r="M18" i="18"/>
  <c r="P18" i="18" s="1"/>
  <c r="M194" i="18"/>
  <c r="P194" i="18" s="1"/>
  <c r="M265" i="18"/>
  <c r="P265" i="18" s="1"/>
  <c r="M145" i="18"/>
  <c r="P145" i="18" s="1"/>
  <c r="O388" i="18"/>
  <c r="M92" i="18"/>
  <c r="P92" i="18" s="1"/>
  <c r="M209" i="18"/>
  <c r="P209" i="18" s="1"/>
  <c r="M192" i="18"/>
  <c r="O192" i="18" s="1"/>
  <c r="M31" i="18"/>
  <c r="P31" i="18" s="1"/>
  <c r="M167" i="18"/>
  <c r="N167" i="18" s="1"/>
  <c r="M189" i="18"/>
  <c r="N189" i="18" s="1"/>
  <c r="M7" i="18"/>
  <c r="O7" i="18" s="1"/>
  <c r="M247" i="18"/>
  <c r="P247" i="18" s="1"/>
  <c r="M389" i="18"/>
  <c r="P389" i="18" s="1"/>
  <c r="N272" i="18"/>
  <c r="M202" i="18"/>
  <c r="N202" i="18" s="1"/>
  <c r="M158" i="18"/>
  <c r="O158" i="18" s="1"/>
  <c r="M156" i="18"/>
  <c r="N156" i="18" s="1"/>
  <c r="M150" i="18"/>
  <c r="P150" i="18" s="1"/>
  <c r="M44" i="18"/>
  <c r="O44" i="18" s="1"/>
  <c r="M27" i="18"/>
  <c r="O27" i="18" s="1"/>
  <c r="M17" i="18"/>
  <c r="N17" i="18" s="1"/>
  <c r="M254" i="18"/>
  <c r="P254" i="18" s="1"/>
  <c r="M157" i="18"/>
  <c r="O157" i="18" s="1"/>
  <c r="M35" i="18"/>
  <c r="P35" i="18" s="1"/>
  <c r="M234" i="18"/>
  <c r="P234" i="18" s="1"/>
  <c r="M155" i="18"/>
  <c r="P155" i="18" s="1"/>
  <c r="M337" i="18"/>
  <c r="N337" i="18" s="1"/>
  <c r="M90" i="18"/>
  <c r="O90" i="18" s="1"/>
  <c r="M223" i="18"/>
  <c r="P223" i="18" s="1"/>
  <c r="M208" i="18"/>
  <c r="P208" i="18" s="1"/>
  <c r="M182" i="18"/>
  <c r="O182" i="18" s="1"/>
  <c r="M260" i="18"/>
  <c r="P260" i="18" s="1"/>
  <c r="M198" i="18"/>
  <c r="P198" i="18" s="1"/>
  <c r="M197" i="18"/>
  <c r="O197" i="18" s="1"/>
  <c r="M178" i="18"/>
  <c r="O178" i="18" s="1"/>
  <c r="M236" i="18"/>
  <c r="P236" i="18" s="1"/>
  <c r="M267" i="18"/>
  <c r="P267" i="18" s="1"/>
  <c r="M147" i="18"/>
  <c r="N147" i="18" s="1"/>
  <c r="M153" i="18"/>
  <c r="P153" i="18" s="1"/>
  <c r="M240" i="18"/>
  <c r="O240" i="18" s="1"/>
  <c r="M193" i="18"/>
  <c r="P193" i="18" s="1"/>
  <c r="M210" i="18"/>
  <c r="P210" i="18" s="1"/>
  <c r="O226" i="18"/>
  <c r="P226" i="18"/>
  <c r="N226" i="18"/>
  <c r="P257" i="18"/>
  <c r="N257" i="18"/>
  <c r="O257" i="18"/>
  <c r="P144" i="18"/>
  <c r="N144" i="18"/>
  <c r="O144" i="18"/>
  <c r="N175" i="18"/>
  <c r="O175" i="18"/>
  <c r="P175" i="18"/>
  <c r="P449" i="18"/>
  <c r="N449" i="18"/>
  <c r="O449" i="18"/>
  <c r="M121" i="18"/>
  <c r="P324" i="18"/>
  <c r="N324" i="18"/>
  <c r="O324" i="18"/>
  <c r="M11" i="18"/>
  <c r="P246" i="18"/>
  <c r="N246" i="18"/>
  <c r="O246" i="18"/>
  <c r="P125" i="18"/>
  <c r="O125" i="18"/>
  <c r="N125" i="18"/>
  <c r="P134" i="18"/>
  <c r="O134" i="18"/>
  <c r="N134" i="18"/>
  <c r="O117" i="18"/>
  <c r="P117" i="18"/>
  <c r="N117" i="18"/>
  <c r="P84" i="18"/>
  <c r="O84" i="18"/>
  <c r="N84" i="18"/>
  <c r="P205" i="18"/>
  <c r="O205" i="18"/>
  <c r="N205" i="18"/>
  <c r="P440" i="18"/>
  <c r="O440" i="18"/>
  <c r="N440" i="18"/>
  <c r="O379" i="18"/>
  <c r="P379" i="18"/>
  <c r="N379" i="18"/>
  <c r="M46" i="18"/>
  <c r="P128" i="18"/>
  <c r="N128" i="18"/>
  <c r="O128" i="18"/>
  <c r="P83" i="18"/>
  <c r="N83" i="18"/>
  <c r="O83" i="18"/>
  <c r="N248" i="18"/>
  <c r="O248" i="18"/>
  <c r="P248" i="18"/>
  <c r="N49" i="18"/>
  <c r="O49" i="18"/>
  <c r="P49" i="18"/>
  <c r="P448" i="18"/>
  <c r="N448" i="18"/>
  <c r="O448" i="18"/>
  <c r="M42" i="18"/>
  <c r="O33" i="18"/>
  <c r="P33" i="18"/>
  <c r="N33" i="18"/>
  <c r="P184" i="18"/>
  <c r="O184" i="18"/>
  <c r="N184" i="18"/>
  <c r="P13" i="18"/>
  <c r="O13" i="18"/>
  <c r="N13" i="18"/>
  <c r="O311" i="18"/>
  <c r="N311" i="18"/>
  <c r="P311" i="18"/>
  <c r="N183" i="18"/>
  <c r="O183" i="18"/>
  <c r="P183" i="18"/>
  <c r="N107" i="18"/>
  <c r="P107" i="18"/>
  <c r="O107" i="18"/>
  <c r="P278" i="18"/>
  <c r="N278" i="18"/>
  <c r="O278" i="18"/>
  <c r="P335" i="18"/>
  <c r="O335" i="18"/>
  <c r="N335" i="18"/>
  <c r="P249" i="18"/>
  <c r="O249" i="18"/>
  <c r="N249" i="18"/>
  <c r="N159" i="18"/>
  <c r="O159" i="18"/>
  <c r="P159" i="18"/>
  <c r="N378" i="18"/>
  <c r="O378" i="18"/>
  <c r="P378" i="18"/>
  <c r="N243" i="18"/>
  <c r="O243" i="18"/>
  <c r="P243" i="18"/>
  <c r="N111" i="18"/>
  <c r="O111" i="18"/>
  <c r="P111" i="18"/>
  <c r="N127" i="18"/>
  <c r="O127" i="18"/>
  <c r="P127" i="18"/>
  <c r="P302" i="18"/>
  <c r="O302" i="18"/>
  <c r="N302" i="18"/>
  <c r="P310" i="18"/>
  <c r="O310" i="18"/>
  <c r="N310" i="18"/>
  <c r="P281" i="18"/>
  <c r="N281" i="18"/>
  <c r="O281" i="18"/>
  <c r="O443" i="18"/>
  <c r="P443" i="18"/>
  <c r="N443" i="18"/>
  <c r="M38" i="18"/>
  <c r="P253" i="18"/>
  <c r="O253" i="18"/>
  <c r="N253" i="18"/>
  <c r="P106" i="18"/>
  <c r="N106" i="18"/>
  <c r="O106" i="18"/>
  <c r="N131" i="18"/>
  <c r="O131" i="18"/>
  <c r="P131" i="18"/>
  <c r="P207" i="18"/>
  <c r="O207" i="18"/>
  <c r="N207" i="18"/>
  <c r="M26" i="18"/>
  <c r="P270" i="18"/>
  <c r="N270" i="18"/>
  <c r="O270" i="18"/>
  <c r="M143" i="18"/>
  <c r="P398" i="18"/>
  <c r="N398" i="18"/>
  <c r="O398" i="18"/>
  <c r="N404" i="18"/>
  <c r="O404" i="18"/>
  <c r="P404" i="18"/>
  <c r="M203" i="18"/>
  <c r="O284" i="18"/>
  <c r="P284" i="18"/>
  <c r="N284" i="18"/>
  <c r="O372" i="18"/>
  <c r="P372" i="18"/>
  <c r="N372" i="18"/>
  <c r="N140" i="18"/>
  <c r="O140" i="18"/>
  <c r="P140" i="18"/>
  <c r="N277" i="18"/>
  <c r="O277" i="18"/>
  <c r="P277" i="18"/>
  <c r="P334" i="18"/>
  <c r="O334" i="18"/>
  <c r="N334" i="18"/>
  <c r="M199" i="18"/>
  <c r="N28" i="18"/>
  <c r="P28" i="18"/>
  <c r="O28" i="18"/>
  <c r="P91" i="18"/>
  <c r="O91" i="18"/>
  <c r="N91" i="18"/>
  <c r="P400" i="18"/>
  <c r="O400" i="18"/>
  <c r="N400" i="18"/>
  <c r="P373" i="18"/>
  <c r="N373" i="18"/>
  <c r="O373" i="18"/>
  <c r="P271" i="18"/>
  <c r="O271" i="18"/>
  <c r="N271" i="18"/>
  <c r="N419" i="18"/>
  <c r="O419" i="18"/>
  <c r="P419" i="18"/>
  <c r="N170" i="18"/>
  <c r="O170" i="18"/>
  <c r="P170" i="18"/>
  <c r="O416" i="18"/>
  <c r="P416" i="18"/>
  <c r="N416" i="18"/>
  <c r="P21" i="18"/>
  <c r="O21" i="18"/>
  <c r="N21" i="18"/>
  <c r="P403" i="18"/>
  <c r="O403" i="18"/>
  <c r="N403" i="18"/>
  <c r="P231" i="18"/>
  <c r="O231" i="18"/>
  <c r="N231" i="18"/>
  <c r="O415" i="18"/>
  <c r="N415" i="18"/>
  <c r="P415" i="18"/>
  <c r="M23" i="18"/>
  <c r="M14" i="18"/>
  <c r="M262" i="18"/>
  <c r="P329" i="18"/>
  <c r="N329" i="18"/>
  <c r="O329" i="18"/>
  <c r="P286" i="18"/>
  <c r="N286" i="18"/>
  <c r="O286" i="18"/>
  <c r="O316" i="18"/>
  <c r="P316" i="18"/>
  <c r="N316" i="18"/>
  <c r="P94" i="18"/>
  <c r="N94" i="18"/>
  <c r="O94" i="18"/>
  <c r="M160" i="18"/>
  <c r="P390" i="18"/>
  <c r="N390" i="18"/>
  <c r="O390" i="18"/>
  <c r="O282" i="18"/>
  <c r="P282" i="18"/>
  <c r="N282" i="18"/>
  <c r="P87" i="18"/>
  <c r="O87" i="18"/>
  <c r="N87" i="18"/>
  <c r="N245" i="18"/>
  <c r="P245" i="18"/>
  <c r="O245" i="18"/>
  <c r="M224" i="18"/>
  <c r="M5" i="18"/>
  <c r="P97" i="18"/>
  <c r="N97" i="18"/>
  <c r="O97" i="18"/>
  <c r="O221" i="18"/>
  <c r="P221" i="18"/>
  <c r="N221" i="18"/>
  <c r="N116" i="18"/>
  <c r="P116" i="18"/>
  <c r="O116" i="18"/>
  <c r="M47" i="18"/>
  <c r="O252" i="18"/>
  <c r="P252" i="18"/>
  <c r="N252" i="18"/>
  <c r="P395" i="18"/>
  <c r="O395" i="18"/>
  <c r="N395" i="18"/>
  <c r="P228" i="18"/>
  <c r="N228" i="18"/>
  <c r="O228" i="18"/>
  <c r="P401" i="18"/>
  <c r="N401" i="18"/>
  <c r="O401" i="18"/>
  <c r="N120" i="18"/>
  <c r="O120" i="18"/>
  <c r="P120" i="18"/>
  <c r="O304" i="18"/>
  <c r="P304" i="18"/>
  <c r="N304" i="18"/>
  <c r="M32" i="18"/>
  <c r="M34" i="18"/>
  <c r="P255" i="18"/>
  <c r="O255" i="18"/>
  <c r="N255" i="18"/>
  <c r="P105" i="18"/>
  <c r="N105" i="18"/>
  <c r="O105" i="18"/>
  <c r="O442" i="18"/>
  <c r="P442" i="18"/>
  <c r="N442" i="18"/>
  <c r="P113" i="18"/>
  <c r="O113" i="18"/>
  <c r="N113" i="18"/>
  <c r="P136" i="18"/>
  <c r="N136" i="18"/>
  <c r="O136" i="18"/>
  <c r="M2" i="18"/>
  <c r="K464" i="18"/>
  <c r="N30" i="18"/>
  <c r="O30" i="18"/>
  <c r="P30" i="18"/>
  <c r="P102" i="18"/>
  <c r="O102" i="18"/>
  <c r="N102" i="18"/>
  <c r="O296" i="18"/>
  <c r="N296" i="18"/>
  <c r="P296" i="18"/>
  <c r="M40" i="18"/>
  <c r="M36" i="18"/>
  <c r="O242" i="18"/>
  <c r="N242" i="18"/>
  <c r="P242" i="18"/>
  <c r="N69" i="18"/>
  <c r="O69" i="18"/>
  <c r="P69" i="18"/>
  <c r="P309" i="18"/>
  <c r="N309" i="18"/>
  <c r="O309" i="18"/>
  <c r="M3" i="18"/>
  <c r="N48" i="18"/>
  <c r="O48" i="18"/>
  <c r="P48" i="18"/>
  <c r="P375" i="18"/>
  <c r="O375" i="18"/>
  <c r="N375" i="18"/>
  <c r="P402" i="18"/>
  <c r="N402" i="18"/>
  <c r="O402" i="18"/>
  <c r="N410" i="18"/>
  <c r="O410" i="18"/>
  <c r="P410" i="18"/>
  <c r="P396" i="18"/>
  <c r="N396" i="18"/>
  <c r="O396" i="18"/>
  <c r="M10" i="18"/>
  <c r="M41" i="18"/>
  <c r="O191" i="18"/>
  <c r="N191" i="18"/>
  <c r="P191" i="18"/>
  <c r="P291" i="18"/>
  <c r="O291" i="18"/>
  <c r="N291" i="18"/>
  <c r="O103" i="18"/>
  <c r="P103" i="18"/>
  <c r="N103" i="18"/>
  <c r="P241" i="18"/>
  <c r="O241" i="18"/>
  <c r="N241" i="18"/>
  <c r="O280" i="18"/>
  <c r="P280" i="18"/>
  <c r="N280" i="18"/>
  <c r="N380" i="18"/>
  <c r="O380" i="18"/>
  <c r="P380" i="18"/>
  <c r="N393" i="18"/>
  <c r="O393" i="18"/>
  <c r="P393" i="18"/>
  <c r="P52" i="18"/>
  <c r="N52" i="18"/>
  <c r="O52" i="18"/>
  <c r="M200" i="18"/>
  <c r="N285" i="18"/>
  <c r="O285" i="18"/>
  <c r="P285" i="18"/>
  <c r="P292" i="18"/>
  <c r="N292" i="18"/>
  <c r="O292" i="18"/>
  <c r="P213" i="18"/>
  <c r="N213" i="18"/>
  <c r="O213" i="18"/>
  <c r="O122" i="18"/>
  <c r="P122" i="18"/>
  <c r="N122" i="18"/>
  <c r="P409" i="18"/>
  <c r="O409" i="18"/>
  <c r="N409" i="18"/>
  <c r="P132" i="18"/>
  <c r="O132" i="18"/>
  <c r="N132" i="18"/>
  <c r="O376" i="18"/>
  <c r="P376" i="18"/>
  <c r="N376" i="18"/>
  <c r="M166" i="18"/>
  <c r="P119" i="18"/>
  <c r="O119" i="18"/>
  <c r="N119" i="18"/>
  <c r="P289" i="18"/>
  <c r="O289" i="18"/>
  <c r="N289" i="18"/>
  <c r="P165" i="18"/>
  <c r="N165" i="18"/>
  <c r="O165" i="18"/>
  <c r="P204" i="18"/>
  <c r="O204" i="18"/>
  <c r="N204" i="18"/>
  <c r="P399" i="18"/>
  <c r="N399" i="18"/>
  <c r="O399" i="18"/>
  <c r="O274" i="18"/>
  <c r="P274" i="18"/>
  <c r="N274" i="18"/>
  <c r="O114" i="18"/>
  <c r="P114" i="18"/>
  <c r="N114" i="18"/>
  <c r="O273" i="18"/>
  <c r="P273" i="18"/>
  <c r="N273" i="18"/>
  <c r="M152" i="18"/>
  <c r="M190" i="18"/>
  <c r="P168" i="18"/>
  <c r="O168" i="18"/>
  <c r="N168" i="18"/>
  <c r="O230" i="18"/>
  <c r="P230" i="18"/>
  <c r="N230" i="18"/>
  <c r="P451" i="18"/>
  <c r="N451" i="18"/>
  <c r="O451" i="18"/>
  <c r="O29" i="18"/>
  <c r="P29" i="18"/>
  <c r="N29" i="18"/>
  <c r="O108" i="18"/>
  <c r="P108" i="18"/>
  <c r="N108" i="18"/>
  <c r="P104" i="18"/>
  <c r="N104" i="18"/>
  <c r="O104" i="18"/>
  <c r="P374" i="18"/>
  <c r="N374" i="18"/>
  <c r="O374" i="18"/>
  <c r="P397" i="18"/>
  <c r="N397" i="18"/>
  <c r="O397" i="18"/>
  <c r="M112" i="18"/>
  <c r="O381" i="18"/>
  <c r="P381" i="18"/>
  <c r="N381" i="18"/>
  <c r="O269" i="18"/>
  <c r="P269" i="18"/>
  <c r="N269" i="18"/>
  <c r="P123" i="18"/>
  <c r="N123" i="18"/>
  <c r="O123" i="18"/>
  <c r="O322" i="18"/>
  <c r="P322" i="18"/>
  <c r="N322" i="18"/>
  <c r="P276" i="18"/>
  <c r="N276" i="18"/>
  <c r="O276" i="18"/>
  <c r="M154" i="18"/>
  <c r="P78" i="18"/>
  <c r="O78" i="18"/>
  <c r="N78" i="18"/>
  <c r="N283" i="18"/>
  <c r="O283" i="18"/>
  <c r="P283" i="18"/>
  <c r="P307" i="18"/>
  <c r="O307" i="18"/>
  <c r="N307" i="18"/>
  <c r="N386" i="18"/>
  <c r="O386" i="18"/>
  <c r="P386" i="18"/>
  <c r="N64" i="18"/>
  <c r="O64" i="18"/>
  <c r="P64" i="18"/>
  <c r="M179" i="18"/>
  <c r="P187" i="18"/>
  <c r="O187" i="18"/>
  <c r="N187" i="18"/>
  <c r="P268" i="18"/>
  <c r="N268" i="18"/>
  <c r="O268" i="18"/>
  <c r="M163" i="18"/>
  <c r="P22" i="18"/>
  <c r="O22" i="18"/>
  <c r="N22" i="18"/>
  <c r="M169" i="18"/>
  <c r="O293" i="18"/>
  <c r="P293" i="18"/>
  <c r="N293" i="18"/>
  <c r="P214" i="18"/>
  <c r="N214" i="18"/>
  <c r="O214" i="18"/>
  <c r="M232" i="18"/>
  <c r="N24" i="18"/>
  <c r="O24" i="18"/>
  <c r="P24" i="18"/>
  <c r="P299" i="18"/>
  <c r="N299" i="18"/>
  <c r="O299" i="18"/>
  <c r="P382" i="18"/>
  <c r="N382" i="18"/>
  <c r="O382" i="18"/>
  <c r="M218" i="18"/>
  <c r="N288" i="18"/>
  <c r="O288" i="18"/>
  <c r="P288" i="18"/>
  <c r="M9" i="18"/>
  <c r="P266" i="18"/>
  <c r="O266" i="18"/>
  <c r="N266" i="18"/>
  <c r="M235" i="18"/>
  <c r="M43" i="18"/>
  <c r="P185" i="18"/>
  <c r="N185" i="18"/>
  <c r="O185" i="18"/>
  <c r="M180" i="18"/>
  <c r="N115" i="18"/>
  <c r="O115" i="18"/>
  <c r="P115" i="18"/>
  <c r="F7" i="10"/>
  <c r="F8" i="10"/>
  <c r="F9" i="10"/>
  <c r="F10" i="10"/>
  <c r="F11" i="10"/>
  <c r="F12" i="10"/>
  <c r="F13" i="10"/>
  <c r="F14" i="10"/>
  <c r="F15" i="10"/>
  <c r="F16" i="10"/>
  <c r="F17" i="10"/>
  <c r="Y15" i="21" l="1"/>
  <c r="P186" i="18"/>
  <c r="W20" i="21"/>
  <c r="O186" i="18"/>
  <c r="P164" i="18"/>
  <c r="W11" i="21"/>
  <c r="P65" i="18"/>
  <c r="O65" i="18"/>
  <c r="W12" i="21"/>
  <c r="W47" i="21"/>
  <c r="W42" i="21"/>
  <c r="W35" i="21"/>
  <c r="W9" i="21"/>
  <c r="W14" i="21"/>
  <c r="W25" i="21"/>
  <c r="W17" i="21"/>
  <c r="W70" i="21"/>
  <c r="W13" i="21"/>
  <c r="W31" i="21"/>
  <c r="W27" i="21"/>
  <c r="W19" i="21"/>
  <c r="W16" i="21"/>
  <c r="W22" i="21"/>
  <c r="W68" i="21"/>
  <c r="W51" i="21"/>
  <c r="W34" i="21"/>
  <c r="W57" i="21"/>
  <c r="W64" i="21"/>
  <c r="W86" i="21"/>
  <c r="W101" i="21"/>
  <c r="W116" i="21"/>
  <c r="W90" i="21"/>
  <c r="W113" i="21"/>
  <c r="W95" i="21"/>
  <c r="W60" i="21"/>
  <c r="W43" i="21"/>
  <c r="W49" i="21"/>
  <c r="W56" i="21"/>
  <c r="W93" i="21"/>
  <c r="W108" i="21"/>
  <c r="W82" i="21"/>
  <c r="W105" i="21"/>
  <c r="W87" i="21"/>
  <c r="W26" i="21"/>
  <c r="W71" i="21"/>
  <c r="W52" i="21"/>
  <c r="W38" i="21"/>
  <c r="W41" i="21"/>
  <c r="W48" i="21"/>
  <c r="W85" i="21"/>
  <c r="W100" i="21"/>
  <c r="W115" i="21"/>
  <c r="W97" i="21"/>
  <c r="W120" i="21"/>
  <c r="W79" i="21"/>
  <c r="W33" i="21"/>
  <c r="W23" i="21"/>
  <c r="W18" i="21"/>
  <c r="W63" i="21"/>
  <c r="W44" i="21"/>
  <c r="W74" i="21"/>
  <c r="W69" i="21"/>
  <c r="W78" i="21"/>
  <c r="W40" i="21"/>
  <c r="W92" i="21"/>
  <c r="W107" i="21"/>
  <c r="W89" i="21"/>
  <c r="W112" i="21"/>
  <c r="W15" i="21"/>
  <c r="W29" i="21"/>
  <c r="W10" i="21"/>
  <c r="W55" i="21"/>
  <c r="W46" i="21"/>
  <c r="W36" i="21"/>
  <c r="W66" i="21"/>
  <c r="W61" i="21"/>
  <c r="W62" i="21"/>
  <c r="W118" i="21"/>
  <c r="W84" i="21"/>
  <c r="W99" i="21"/>
  <c r="W81" i="21"/>
  <c r="W104" i="21"/>
  <c r="W21" i="21"/>
  <c r="W77" i="21"/>
  <c r="W75" i="21"/>
  <c r="W58" i="21"/>
  <c r="W45" i="21"/>
  <c r="W54" i="21"/>
  <c r="W110" i="21"/>
  <c r="W91" i="21"/>
  <c r="W114" i="21"/>
  <c r="W96" i="21"/>
  <c r="W119" i="21"/>
  <c r="W32" i="21"/>
  <c r="W39" i="21"/>
  <c r="W37" i="21"/>
  <c r="W67" i="21"/>
  <c r="W50" i="21"/>
  <c r="W73" i="21"/>
  <c r="W53" i="21"/>
  <c r="W102" i="21"/>
  <c r="W117" i="21"/>
  <c r="W83" i="21"/>
  <c r="W106" i="21"/>
  <c r="W88" i="21"/>
  <c r="W111" i="21"/>
  <c r="W24" i="21"/>
  <c r="W30" i="21"/>
  <c r="W28" i="21"/>
  <c r="W76" i="21"/>
  <c r="W59" i="21"/>
  <c r="W65" i="21"/>
  <c r="W72" i="21"/>
  <c r="W94" i="21"/>
  <c r="W109" i="21"/>
  <c r="W98" i="21"/>
  <c r="W80" i="21"/>
  <c r="W103" i="21"/>
  <c r="Y6" i="21"/>
  <c r="Y7" i="21" s="1"/>
  <c r="U5" i="21"/>
  <c r="W5" i="21" s="1"/>
  <c r="U6" i="21"/>
  <c r="W6" i="21" s="1"/>
  <c r="U7" i="21"/>
  <c r="W7" i="21" s="1"/>
  <c r="U8" i="21"/>
  <c r="W8" i="21" s="1"/>
  <c r="Y464" i="18"/>
  <c r="AA464" i="18"/>
  <c r="O6" i="18"/>
  <c r="P6" i="18"/>
  <c r="O63" i="18"/>
  <c r="N63" i="18"/>
  <c r="N12" i="18"/>
  <c r="P12" i="18"/>
  <c r="P7" i="18"/>
  <c r="P174" i="18"/>
  <c r="N8" i="18"/>
  <c r="P216" i="18"/>
  <c r="O174" i="18"/>
  <c r="O164" i="18"/>
  <c r="N178" i="18"/>
  <c r="P37" i="18"/>
  <c r="O37" i="18"/>
  <c r="P178" i="18"/>
  <c r="N7" i="18"/>
  <c r="P225" i="18"/>
  <c r="P66" i="18"/>
  <c r="N66" i="18"/>
  <c r="N225" i="18"/>
  <c r="O216" i="18"/>
  <c r="P222" i="18"/>
  <c r="P4" i="18"/>
  <c r="N239" i="18"/>
  <c r="O4" i="18"/>
  <c r="P239" i="18"/>
  <c r="O211" i="18"/>
  <c r="N211" i="18"/>
  <c r="P8" i="18"/>
  <c r="O259" i="18"/>
  <c r="N259" i="18"/>
  <c r="O71" i="18"/>
  <c r="N71" i="18"/>
  <c r="N19" i="18"/>
  <c r="N68" i="18"/>
  <c r="P68" i="18"/>
  <c r="O321" i="18"/>
  <c r="P189" i="18"/>
  <c r="O210" i="18"/>
  <c r="O19" i="18"/>
  <c r="P217" i="18"/>
  <c r="N25" i="18"/>
  <c r="O25" i="18"/>
  <c r="O39" i="18"/>
  <c r="O323" i="18"/>
  <c r="P323" i="18"/>
  <c r="N210" i="18"/>
  <c r="N197" i="18"/>
  <c r="O189" i="18"/>
  <c r="N229" i="18"/>
  <c r="O222" i="18"/>
  <c r="P197" i="18"/>
  <c r="O229" i="18"/>
  <c r="O150" i="18"/>
  <c r="N150" i="18"/>
  <c r="O263" i="18"/>
  <c r="N321" i="18"/>
  <c r="O193" i="18"/>
  <c r="N148" i="18"/>
  <c r="P171" i="18"/>
  <c r="O171" i="18"/>
  <c r="P238" i="18"/>
  <c r="O233" i="18"/>
  <c r="P233" i="18"/>
  <c r="O148" i="18"/>
  <c r="O17" i="18"/>
  <c r="O389" i="18"/>
  <c r="O20" i="18"/>
  <c r="P181" i="18"/>
  <c r="O181" i="18"/>
  <c r="O256" i="18"/>
  <c r="N238" i="18"/>
  <c r="N198" i="18"/>
  <c r="O219" i="18"/>
  <c r="P167" i="18"/>
  <c r="P39" i="18"/>
  <c r="N240" i="18"/>
  <c r="P240" i="18"/>
  <c r="O35" i="18"/>
  <c r="O244" i="18"/>
  <c r="N201" i="18"/>
  <c r="O31" i="18"/>
  <c r="N35" i="18"/>
  <c r="N244" i="18"/>
  <c r="P201" i="18"/>
  <c r="N31" i="18"/>
  <c r="N389" i="18"/>
  <c r="P17" i="18"/>
  <c r="O62" i="18"/>
  <c r="N263" i="18"/>
  <c r="N20" i="18"/>
  <c r="N62" i="18"/>
  <c r="O223" i="18"/>
  <c r="O217" i="18"/>
  <c r="O264" i="18"/>
  <c r="P256" i="18"/>
  <c r="N92" i="18"/>
  <c r="O155" i="18"/>
  <c r="N155" i="18"/>
  <c r="N67" i="18"/>
  <c r="O92" i="18"/>
  <c r="P337" i="18"/>
  <c r="N267" i="18"/>
  <c r="N223" i="18"/>
  <c r="O267" i="18"/>
  <c r="O67" i="18"/>
  <c r="O209" i="18"/>
  <c r="P237" i="18"/>
  <c r="P264" i="18"/>
  <c r="P202" i="18"/>
  <c r="P261" i="18"/>
  <c r="P151" i="18"/>
  <c r="O147" i="18"/>
  <c r="N237" i="18"/>
  <c r="N209" i="18"/>
  <c r="N208" i="18"/>
  <c r="O215" i="18"/>
  <c r="N215" i="18"/>
  <c r="O202" i="18"/>
  <c r="N45" i="18"/>
  <c r="N157" i="18"/>
  <c r="P45" i="18"/>
  <c r="P157" i="18"/>
  <c r="O151" i="18"/>
  <c r="N153" i="18"/>
  <c r="O153" i="18"/>
  <c r="N219" i="18"/>
  <c r="N182" i="18"/>
  <c r="O337" i="18"/>
  <c r="P158" i="18"/>
  <c r="N44" i="18"/>
  <c r="P44" i="18"/>
  <c r="O265" i="18"/>
  <c r="N265" i="18"/>
  <c r="O145" i="18"/>
  <c r="N145" i="18"/>
  <c r="P192" i="18"/>
  <c r="N18" i="18"/>
  <c r="N192" i="18"/>
  <c r="N158" i="18"/>
  <c r="O18" i="18"/>
  <c r="N261" i="18"/>
  <c r="N93" i="18"/>
  <c r="O93" i="18"/>
  <c r="N193" i="18"/>
  <c r="O194" i="18"/>
  <c r="O198" i="18"/>
  <c r="P156" i="18"/>
  <c r="O234" i="18"/>
  <c r="O156" i="18"/>
  <c r="N234" i="18"/>
  <c r="O167" i="18"/>
  <c r="N194" i="18"/>
  <c r="O208" i="18"/>
  <c r="P147" i="18"/>
  <c r="N254" i="18"/>
  <c r="O254" i="18"/>
  <c r="N90" i="18"/>
  <c r="O247" i="18"/>
  <c r="P90" i="18"/>
  <c r="N27" i="18"/>
  <c r="N236" i="18"/>
  <c r="P27" i="18"/>
  <c r="O236" i="18"/>
  <c r="N247" i="18"/>
  <c r="N260" i="18"/>
  <c r="O260" i="18"/>
  <c r="P182" i="18"/>
  <c r="N180" i="18"/>
  <c r="O180" i="18"/>
  <c r="P180" i="18"/>
  <c r="N169" i="18"/>
  <c r="O169" i="18"/>
  <c r="P169" i="18"/>
  <c r="N36" i="18"/>
  <c r="P36" i="18"/>
  <c r="O36" i="18"/>
  <c r="O5" i="18"/>
  <c r="P5" i="18"/>
  <c r="N5" i="18"/>
  <c r="P203" i="18"/>
  <c r="N203" i="18"/>
  <c r="O203" i="18"/>
  <c r="N42" i="18"/>
  <c r="O42" i="18"/>
  <c r="P42" i="18"/>
  <c r="P11" i="18"/>
  <c r="N11" i="18"/>
  <c r="O11" i="18"/>
  <c r="P154" i="18"/>
  <c r="O154" i="18"/>
  <c r="N154" i="18"/>
  <c r="P152" i="18"/>
  <c r="N152" i="18"/>
  <c r="O152" i="18"/>
  <c r="N26" i="18"/>
  <c r="O26" i="18"/>
  <c r="P26" i="18"/>
  <c r="P38" i="18"/>
  <c r="O38" i="18"/>
  <c r="N38" i="18"/>
  <c r="P46" i="18"/>
  <c r="O46" i="18"/>
  <c r="N46" i="18"/>
  <c r="P163" i="18"/>
  <c r="O163" i="18"/>
  <c r="N163" i="18"/>
  <c r="N43" i="18"/>
  <c r="O43" i="18"/>
  <c r="P43" i="18"/>
  <c r="P9" i="18"/>
  <c r="N9" i="18"/>
  <c r="O9" i="18"/>
  <c r="N112" i="18"/>
  <c r="O112" i="18"/>
  <c r="P112" i="18"/>
  <c r="P200" i="18"/>
  <c r="N200" i="18"/>
  <c r="O200" i="18"/>
  <c r="N40" i="18"/>
  <c r="O40" i="18"/>
  <c r="P40" i="18"/>
  <c r="N235" i="18"/>
  <c r="O235" i="18"/>
  <c r="P235" i="18"/>
  <c r="P232" i="18"/>
  <c r="N232" i="18"/>
  <c r="O232" i="18"/>
  <c r="P166" i="18"/>
  <c r="N166" i="18"/>
  <c r="O166" i="18"/>
  <c r="P41" i="18"/>
  <c r="N41" i="18"/>
  <c r="O41" i="18"/>
  <c r="P3" i="18"/>
  <c r="O3" i="18"/>
  <c r="N3" i="18"/>
  <c r="P262" i="18"/>
  <c r="N262" i="18"/>
  <c r="O262" i="18"/>
  <c r="P14" i="18"/>
  <c r="O14" i="18"/>
  <c r="N14" i="18"/>
  <c r="P199" i="18"/>
  <c r="N199" i="18"/>
  <c r="O199" i="18"/>
  <c r="P121" i="18"/>
  <c r="N121" i="18"/>
  <c r="O121" i="18"/>
  <c r="O190" i="18"/>
  <c r="P190" i="18"/>
  <c r="N190" i="18"/>
  <c r="O2" i="18"/>
  <c r="N2" i="18"/>
  <c r="P2" i="18"/>
  <c r="P160" i="18"/>
  <c r="N160" i="18"/>
  <c r="O160" i="18"/>
  <c r="P23" i="18"/>
  <c r="N23" i="18"/>
  <c r="O23" i="18"/>
  <c r="P10" i="18"/>
  <c r="N10" i="18"/>
  <c r="O10" i="18"/>
  <c r="P218" i="18"/>
  <c r="O218" i="18"/>
  <c r="N218" i="18"/>
  <c r="N179" i="18"/>
  <c r="O179" i="18"/>
  <c r="P179" i="18"/>
  <c r="N34" i="18"/>
  <c r="O34" i="18"/>
  <c r="P34" i="18"/>
  <c r="O47" i="18"/>
  <c r="N47" i="18"/>
  <c r="P47" i="18"/>
  <c r="O32" i="18"/>
  <c r="P32" i="18"/>
  <c r="N32" i="18"/>
  <c r="P224" i="18"/>
  <c r="N224" i="18"/>
  <c r="O224" i="18"/>
  <c r="N143" i="18"/>
  <c r="O143" i="18"/>
  <c r="P143" i="18"/>
  <c r="F4" i="10"/>
  <c r="F5" i="10"/>
  <c r="F6" i="10"/>
  <c r="F3" i="10"/>
  <c r="Y16" i="21" l="1"/>
  <c r="P464" i="18"/>
  <c r="F18" i="10"/>
  <c r="F156" i="6" l="1"/>
  <c r="J2" i="6" s="1"/>
  <c r="L464" i="18" l="1"/>
  <c r="M464" i="18" l="1"/>
  <c r="O464" i="18" s="1"/>
  <c r="N464" i="18"/>
  <c r="S3" i="5"/>
  <c r="S4" i="5" s="1"/>
  <c r="S5" i="5" s="1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4" i="5" s="1"/>
  <c r="S115" i="5" s="1"/>
  <c r="S116" i="5" s="1"/>
  <c r="S117" i="5" s="1"/>
  <c r="S118" i="5" s="1"/>
  <c r="S119" i="5" s="1"/>
  <c r="S120" i="5" s="1"/>
  <c r="S121" i="5" s="1"/>
  <c r="S122" i="5" s="1"/>
  <c r="S123" i="5" s="1"/>
  <c r="S124" i="5" s="1"/>
  <c r="S125" i="5" s="1"/>
  <c r="S126" i="5" s="1"/>
  <c r="S127" i="5" s="1"/>
  <c r="S128" i="5" s="1"/>
  <c r="S129" i="5" s="1"/>
  <c r="S130" i="5" s="1"/>
  <c r="S131" i="5" s="1"/>
  <c r="S132" i="5" s="1"/>
  <c r="S133" i="5" s="1"/>
  <c r="S134" i="5" s="1"/>
  <c r="S135" i="5" s="1"/>
  <c r="S136" i="5" s="1"/>
  <c r="S137" i="5" s="1"/>
  <c r="S138" i="5" s="1"/>
  <c r="S139" i="5" s="1"/>
  <c r="S140" i="5" s="1"/>
  <c r="S141" i="5" s="1"/>
  <c r="S142" i="5" s="1"/>
  <c r="S143" i="5" s="1"/>
  <c r="S144" i="5" s="1"/>
  <c r="S145" i="5" s="1"/>
  <c r="S146" i="5" s="1"/>
  <c r="S147" i="5" s="1"/>
  <c r="S148" i="5" s="1"/>
  <c r="S149" i="5" s="1"/>
  <c r="S150" i="5" s="1"/>
  <c r="S151" i="5" s="1"/>
  <c r="S152" i="5" s="1"/>
  <c r="S153" i="5" s="1"/>
  <c r="S154" i="5" s="1"/>
  <c r="S155" i="5" s="1"/>
  <c r="S156" i="5" s="1"/>
  <c r="S157" i="5" s="1"/>
  <c r="S158" i="5" s="1"/>
  <c r="S159" i="5" s="1"/>
  <c r="S160" i="5" s="1"/>
  <c r="S161" i="5" s="1"/>
  <c r="S162" i="5" s="1"/>
  <c r="S163" i="5" s="1"/>
  <c r="S164" i="5" s="1"/>
  <c r="S165" i="5" s="1"/>
  <c r="S166" i="5" s="1"/>
  <c r="S167" i="5" s="1"/>
  <c r="S168" i="5" s="1"/>
  <c r="S169" i="5" s="1"/>
  <c r="S170" i="5" s="1"/>
  <c r="S171" i="5" s="1"/>
  <c r="S172" i="5" s="1"/>
  <c r="S173" i="5" s="1"/>
  <c r="S174" i="5" s="1"/>
  <c r="S175" i="5" s="1"/>
  <c r="S176" i="5" s="1"/>
  <c r="S177" i="5" s="1"/>
  <c r="S178" i="5" s="1"/>
  <c r="S179" i="5" s="1"/>
  <c r="S180" i="5" s="1"/>
  <c r="S181" i="5" s="1"/>
  <c r="S182" i="5" s="1"/>
  <c r="S183" i="5" s="1"/>
  <c r="S184" i="5" s="1"/>
  <c r="S185" i="5" s="1"/>
  <c r="S186" i="5" s="1"/>
  <c r="S187" i="5" s="1"/>
  <c r="S188" i="5" s="1"/>
  <c r="S189" i="5" s="1"/>
  <c r="S190" i="5" s="1"/>
  <c r="S191" i="5" s="1"/>
  <c r="S192" i="5" s="1"/>
  <c r="S193" i="5" s="1"/>
  <c r="S194" i="5" s="1"/>
  <c r="S195" i="5" s="1"/>
  <c r="S196" i="5" s="1"/>
  <c r="S197" i="5" s="1"/>
  <c r="S198" i="5" s="1"/>
  <c r="S199" i="5" s="1"/>
  <c r="S200" i="5" s="1"/>
  <c r="S201" i="5" s="1"/>
  <c r="S202" i="5" s="1"/>
  <c r="S203" i="5" s="1"/>
  <c r="S204" i="5" s="1"/>
  <c r="S205" i="5" s="1"/>
  <c r="S206" i="5" s="1"/>
  <c r="S207" i="5" s="1"/>
  <c r="S208" i="5" s="1"/>
  <c r="S209" i="5" s="1"/>
  <c r="S210" i="5" s="1"/>
  <c r="S211" i="5" s="1"/>
  <c r="S212" i="5" s="1"/>
  <c r="S213" i="5" s="1"/>
  <c r="S214" i="5" s="1"/>
  <c r="S215" i="5" s="1"/>
  <c r="S216" i="5" s="1"/>
  <c r="S217" i="5" s="1"/>
  <c r="S218" i="5" s="1"/>
  <c r="S219" i="5" s="1"/>
  <c r="S220" i="5" s="1"/>
  <c r="S221" i="5" s="1"/>
  <c r="S222" i="5" s="1"/>
  <c r="S223" i="5" s="1"/>
  <c r="S224" i="5" s="1"/>
  <c r="S225" i="5" s="1"/>
  <c r="S226" i="5" s="1"/>
  <c r="S227" i="5" s="1"/>
  <c r="S228" i="5" s="1"/>
  <c r="S229" i="5" s="1"/>
  <c r="S230" i="5" s="1"/>
  <c r="S231" i="5" s="1"/>
  <c r="S232" i="5" s="1"/>
  <c r="S233" i="5" s="1"/>
  <c r="S234" i="5" s="1"/>
  <c r="S235" i="5" s="1"/>
  <c r="S236" i="5" s="1"/>
  <c r="S237" i="5" s="1"/>
  <c r="S238" i="5" s="1"/>
  <c r="S239" i="5" s="1"/>
  <c r="S240" i="5" s="1"/>
  <c r="S241" i="5" s="1"/>
  <c r="S242" i="5" s="1"/>
  <c r="S243" i="5" s="1"/>
  <c r="S244" i="5" s="1"/>
  <c r="S245" i="5" s="1"/>
  <c r="S246" i="5" s="1"/>
  <c r="S247" i="5" s="1"/>
  <c r="S248" i="5" s="1"/>
  <c r="S249" i="5" s="1"/>
  <c r="S250" i="5" s="1"/>
  <c r="S251" i="5" s="1"/>
  <c r="S252" i="5" s="1"/>
  <c r="S253" i="5" s="1"/>
  <c r="S254" i="5" s="1"/>
  <c r="S255" i="5" s="1"/>
  <c r="S256" i="5" s="1"/>
  <c r="S257" i="5" s="1"/>
  <c r="S258" i="5" s="1"/>
  <c r="S259" i="5" s="1"/>
  <c r="S260" i="5" s="1"/>
  <c r="S261" i="5" s="1"/>
  <c r="S262" i="5" s="1"/>
  <c r="S263" i="5" s="1"/>
  <c r="S264" i="5" s="1"/>
  <c r="S265" i="5" s="1"/>
  <c r="S266" i="5" s="1"/>
  <c r="S267" i="5" s="1"/>
  <c r="S268" i="5" s="1"/>
  <c r="S269" i="5" s="1"/>
  <c r="S270" i="5" s="1"/>
  <c r="S271" i="5" s="1"/>
  <c r="S272" i="5" s="1"/>
  <c r="S273" i="5" s="1"/>
  <c r="S274" i="5" s="1"/>
  <c r="S275" i="5" s="1"/>
  <c r="S276" i="5" s="1"/>
  <c r="S277" i="5" s="1"/>
  <c r="S278" i="5" s="1"/>
  <c r="S279" i="5" s="1"/>
  <c r="S280" i="5" s="1"/>
  <c r="S281" i="5" s="1"/>
  <c r="S282" i="5" s="1"/>
  <c r="S283" i="5" s="1"/>
  <c r="S284" i="5" s="1"/>
  <c r="S285" i="5" s="1"/>
  <c r="S286" i="5" s="1"/>
  <c r="S287" i="5" s="1"/>
  <c r="S288" i="5" s="1"/>
  <c r="S289" i="5" s="1"/>
  <c r="S290" i="5" s="1"/>
  <c r="S291" i="5" s="1"/>
  <c r="S292" i="5" s="1"/>
  <c r="S293" i="5" s="1"/>
  <c r="S294" i="5" s="1"/>
  <c r="S295" i="5" s="1"/>
  <c r="S296" i="5" s="1"/>
  <c r="S297" i="5" s="1"/>
  <c r="S298" i="5" s="1"/>
  <c r="S299" i="5" s="1"/>
  <c r="S300" i="5" s="1"/>
  <c r="S301" i="5" s="1"/>
  <c r="S302" i="5" s="1"/>
  <c r="S303" i="5" s="1"/>
  <c r="S304" i="5" s="1"/>
  <c r="S305" i="5" s="1"/>
  <c r="S306" i="5" s="1"/>
  <c r="S307" i="5" s="1"/>
  <c r="S308" i="5" s="1"/>
  <c r="S309" i="5" s="1"/>
  <c r="S310" i="5" s="1"/>
  <c r="S311" i="5" s="1"/>
  <c r="S312" i="5" s="1"/>
  <c r="S313" i="5" s="1"/>
  <c r="S314" i="5" s="1"/>
  <c r="S315" i="5" s="1"/>
  <c r="S316" i="5" s="1"/>
  <c r="S317" i="5" s="1"/>
  <c r="S318" i="5" s="1"/>
  <c r="S319" i="5" s="1"/>
  <c r="S320" i="5" s="1"/>
  <c r="S321" i="5" s="1"/>
  <c r="S322" i="5" s="1"/>
  <c r="S323" i="5" s="1"/>
  <c r="S324" i="5" s="1"/>
  <c r="S325" i="5" s="1"/>
  <c r="S326" i="5" s="1"/>
  <c r="S327" i="5" s="1"/>
  <c r="S328" i="5" s="1"/>
  <c r="S329" i="5" s="1"/>
  <c r="S330" i="5" s="1"/>
  <c r="S331" i="5" s="1"/>
  <c r="S332" i="5" s="1"/>
  <c r="S333" i="5" s="1"/>
  <c r="S334" i="5" s="1"/>
  <c r="S335" i="5" s="1"/>
  <c r="S336" i="5" s="1"/>
  <c r="S337" i="5" s="1"/>
  <c r="S338" i="5" s="1"/>
  <c r="S339" i="5" s="1"/>
  <c r="S340" i="5" s="1"/>
  <c r="S341" i="5" s="1"/>
  <c r="S342" i="5" s="1"/>
  <c r="S343" i="5" s="1"/>
  <c r="S344" i="5" s="1"/>
  <c r="S345" i="5" s="1"/>
  <c r="S346" i="5" s="1"/>
  <c r="S347" i="5" s="1"/>
  <c r="S348" i="5" s="1"/>
  <c r="S349" i="5" s="1"/>
  <c r="S350" i="5" s="1"/>
  <c r="S351" i="5" s="1"/>
  <c r="S352" i="5" s="1"/>
  <c r="S353" i="5" s="1"/>
  <c r="S354" i="5" s="1"/>
  <c r="S355" i="5" s="1"/>
  <c r="S356" i="5" s="1"/>
  <c r="S357" i="5" s="1"/>
  <c r="S358" i="5" s="1"/>
  <c r="S359" i="5" s="1"/>
  <c r="S360" i="5" s="1"/>
  <c r="S361" i="5" s="1"/>
  <c r="S362" i="5" s="1"/>
  <c r="S363" i="5" s="1"/>
  <c r="S364" i="5" s="1"/>
  <c r="S365" i="5" s="1"/>
  <c r="S366" i="5" s="1"/>
  <c r="S367" i="5" s="1"/>
  <c r="S368" i="5" s="1"/>
  <c r="S369" i="5" s="1"/>
  <c r="S370" i="5" s="1"/>
  <c r="S371" i="5" s="1"/>
  <c r="S372" i="5" s="1"/>
  <c r="S373" i="5" s="1"/>
  <c r="S374" i="5" s="1"/>
  <c r="S375" i="5" s="1"/>
  <c r="S376" i="5" s="1"/>
  <c r="S377" i="5" s="1"/>
  <c r="S378" i="5" s="1"/>
  <c r="S379" i="5" s="1"/>
  <c r="S380" i="5" s="1"/>
  <c r="S381" i="5" s="1"/>
  <c r="S382" i="5" s="1"/>
  <c r="S383" i="5" s="1"/>
  <c r="S384" i="5" s="1"/>
  <c r="S385" i="5" s="1"/>
  <c r="S386" i="5" s="1"/>
  <c r="S387" i="5" s="1"/>
  <c r="S388" i="5" s="1"/>
  <c r="S389" i="5" s="1"/>
  <c r="S390" i="5" s="1"/>
  <c r="S391" i="5" s="1"/>
  <c r="S392" i="5" s="1"/>
  <c r="S393" i="5" s="1"/>
  <c r="S394" i="5" s="1"/>
  <c r="S395" i="5" s="1"/>
  <c r="S396" i="5" s="1"/>
  <c r="S397" i="5" s="1"/>
  <c r="S398" i="5" s="1"/>
  <c r="S399" i="5" s="1"/>
  <c r="S400" i="5" s="1"/>
  <c r="S401" i="5" s="1"/>
  <c r="S402" i="5" s="1"/>
  <c r="S403" i="5" s="1"/>
  <c r="S404" i="5" s="1"/>
  <c r="S405" i="5" s="1"/>
  <c r="S406" i="5" s="1"/>
  <c r="S407" i="5" s="1"/>
  <c r="S408" i="5" s="1"/>
  <c r="S409" i="5" s="1"/>
  <c r="S410" i="5" s="1"/>
  <c r="S411" i="5" s="1"/>
  <c r="S412" i="5" s="1"/>
  <c r="S413" i="5" s="1"/>
  <c r="S414" i="5" s="1"/>
  <c r="S415" i="5" s="1"/>
  <c r="S416" i="5" s="1"/>
  <c r="S417" i="5" s="1"/>
  <c r="S418" i="5" s="1"/>
  <c r="S419" i="5" s="1"/>
  <c r="S420" i="5" s="1"/>
  <c r="S421" i="5" s="1"/>
  <c r="S422" i="5" s="1"/>
  <c r="S423" i="5" s="1"/>
  <c r="S424" i="5" s="1"/>
  <c r="S425" i="5" s="1"/>
  <c r="S426" i="5" s="1"/>
  <c r="S427" i="5" s="1"/>
  <c r="S428" i="5" s="1"/>
  <c r="S429" i="5" s="1"/>
  <c r="S430" i="5" s="1"/>
  <c r="S431" i="5" s="1"/>
  <c r="S432" i="5" s="1"/>
  <c r="S433" i="5" s="1"/>
  <c r="S434" i="5" s="1"/>
  <c r="S435" i="5" s="1"/>
  <c r="S436" i="5" s="1"/>
  <c r="S437" i="5" s="1"/>
  <c r="S438" i="5" s="1"/>
  <c r="S439" i="5" s="1"/>
  <c r="S440" i="5" s="1"/>
  <c r="S441" i="5" s="1"/>
  <c r="S442" i="5" s="1"/>
  <c r="S443" i="5" s="1"/>
  <c r="S444" i="5" s="1"/>
  <c r="S445" i="5" s="1"/>
  <c r="S446" i="5" s="1"/>
  <c r="S447" i="5" s="1"/>
  <c r="S448" i="5" s="1"/>
  <c r="S449" i="5" s="1"/>
  <c r="S450" i="5" s="1"/>
  <c r="S451" i="5" s="1"/>
  <c r="S452" i="5" s="1"/>
  <c r="S453" i="5" s="1"/>
  <c r="S454" i="5" s="1"/>
  <c r="S455" i="5" s="1"/>
  <c r="S456" i="5" s="1"/>
  <c r="S457" i="5" s="1"/>
  <c r="S458" i="5" s="1"/>
  <c r="S459" i="5" s="1"/>
  <c r="S460" i="5" s="1"/>
  <c r="S461" i="5" s="1"/>
  <c r="S462" i="5" s="1"/>
  <c r="S463" i="5" s="1"/>
  <c r="S464" i="5" s="1"/>
  <c r="S465" i="5" s="1"/>
  <c r="S466" i="5" s="1"/>
  <c r="S467" i="5" s="1"/>
  <c r="S468" i="5" s="1"/>
  <c r="S469" i="5" s="1"/>
  <c r="S470" i="5" s="1"/>
  <c r="S471" i="5" s="1"/>
  <c r="S472" i="5" s="1"/>
  <c r="S473" i="5" s="1"/>
  <c r="S474" i="5" s="1"/>
  <c r="S475" i="5" s="1"/>
  <c r="S476" i="5" s="1"/>
  <c r="S477" i="5" s="1"/>
  <c r="S478" i="5" s="1"/>
  <c r="S479" i="5" s="1"/>
  <c r="S480" i="5" s="1"/>
  <c r="S481" i="5" s="1"/>
  <c r="S482" i="5" s="1"/>
  <c r="S483" i="5" s="1"/>
  <c r="S484" i="5" s="1"/>
  <c r="S485" i="5" s="1"/>
  <c r="S486" i="5" s="1"/>
  <c r="S487" i="5" s="1"/>
  <c r="S488" i="5" s="1"/>
  <c r="S489" i="5" s="1"/>
  <c r="S490" i="5" s="1"/>
  <c r="S491" i="5" s="1"/>
  <c r="S492" i="5" s="1"/>
  <c r="S493" i="5" s="1"/>
  <c r="S494" i="5" s="1"/>
  <c r="S495" i="5" s="1"/>
  <c r="S496" i="5" s="1"/>
  <c r="S497" i="5" s="1"/>
  <c r="S498" i="5" s="1"/>
  <c r="S499" i="5" s="1"/>
  <c r="S500" i="5" s="1"/>
  <c r="S501" i="5" s="1"/>
  <c r="S502" i="5" s="1"/>
  <c r="S503" i="5" s="1"/>
  <c r="S504" i="5" s="1"/>
  <c r="S505" i="5" s="1"/>
  <c r="S506" i="5" s="1"/>
  <c r="S507" i="5" s="1"/>
  <c r="S508" i="5" s="1"/>
  <c r="S509" i="5" s="1"/>
  <c r="S510" i="5" s="1"/>
  <c r="S511" i="5" s="1"/>
  <c r="S512" i="5" s="1"/>
  <c r="S513" i="5" s="1"/>
  <c r="S514" i="5" s="1"/>
  <c r="S515" i="5" s="1"/>
  <c r="S516" i="5" s="1"/>
  <c r="S517" i="5" s="1"/>
  <c r="S518" i="5" s="1"/>
  <c r="S519" i="5" s="1"/>
  <c r="S520" i="5" s="1"/>
  <c r="S521" i="5" s="1"/>
  <c r="S522" i="5" s="1"/>
  <c r="S523" i="5" s="1"/>
  <c r="S524" i="5" s="1"/>
  <c r="S525" i="5" s="1"/>
  <c r="S526" i="5" s="1"/>
  <c r="S527" i="5" s="1"/>
  <c r="S528" i="5" s="1"/>
  <c r="S529" i="5" s="1"/>
  <c r="S530" i="5" s="1"/>
  <c r="S531" i="5" s="1"/>
  <c r="S532" i="5" s="1"/>
  <c r="S533" i="5" s="1"/>
  <c r="S534" i="5" s="1"/>
  <c r="S535" i="5" s="1"/>
  <c r="S536" i="5" s="1"/>
  <c r="S537" i="5" s="1"/>
  <c r="S538" i="5" s="1"/>
  <c r="S539" i="5" s="1"/>
  <c r="S540" i="5" s="1"/>
  <c r="S541" i="5" s="1"/>
  <c r="S542" i="5" s="1"/>
  <c r="S543" i="5" s="1"/>
  <c r="S544" i="5" s="1"/>
  <c r="S545" i="5" s="1"/>
  <c r="S546" i="5" s="1"/>
  <c r="S547" i="5" s="1"/>
  <c r="S548" i="5" s="1"/>
  <c r="S549" i="5" s="1"/>
  <c r="S550" i="5" s="1"/>
  <c r="S551" i="5" s="1"/>
  <c r="S552" i="5" s="1"/>
  <c r="S553" i="5" s="1"/>
  <c r="S554" i="5" s="1"/>
  <c r="S555" i="5" s="1"/>
  <c r="S556" i="5" s="1"/>
  <c r="S557" i="5" s="1"/>
  <c r="S558" i="5" s="1"/>
  <c r="S559" i="5" s="1"/>
  <c r="S560" i="5" s="1"/>
  <c r="S561" i="5" s="1"/>
  <c r="S562" i="5" s="1"/>
  <c r="S563" i="5" s="1"/>
  <c r="S564" i="5" s="1"/>
  <c r="S565" i="5" s="1"/>
  <c r="S566" i="5" s="1"/>
  <c r="S567" i="5" s="1"/>
  <c r="S568" i="5" s="1"/>
  <c r="S569" i="5" s="1"/>
  <c r="S570" i="5" s="1"/>
  <c r="S571" i="5" s="1"/>
  <c r="S572" i="5" s="1"/>
  <c r="S573" i="5" s="1"/>
  <c r="S574" i="5" s="1"/>
  <c r="S575" i="5" s="1"/>
  <c r="S576" i="5" s="1"/>
  <c r="S577" i="5" s="1"/>
  <c r="S578" i="5" s="1"/>
  <c r="S579" i="5" s="1"/>
  <c r="S580" i="5" s="1"/>
  <c r="S581" i="5" s="1"/>
  <c r="S582" i="5" s="1"/>
  <c r="S583" i="5" s="1"/>
  <c r="S584" i="5" s="1"/>
  <c r="S585" i="5" s="1"/>
  <c r="S586" i="5" s="1"/>
  <c r="S587" i="5" s="1"/>
  <c r="S588" i="5" s="1"/>
  <c r="S589" i="5" s="1"/>
  <c r="S590" i="5" s="1"/>
  <c r="S591" i="5" s="1"/>
  <c r="S592" i="5" s="1"/>
  <c r="S593" i="5" s="1"/>
  <c r="S594" i="5" s="1"/>
  <c r="S595" i="5" s="1"/>
  <c r="S596" i="5" s="1"/>
  <c r="S597" i="5" s="1"/>
  <c r="S598" i="5" s="1"/>
  <c r="S599" i="5" s="1"/>
  <c r="S600" i="5" s="1"/>
  <c r="S601" i="5" s="1"/>
  <c r="S602" i="5" s="1"/>
  <c r="S603" i="5" s="1"/>
  <c r="S604" i="5" s="1"/>
  <c r="S605" i="5" s="1"/>
  <c r="S606" i="5" s="1"/>
  <c r="S607" i="5" s="1"/>
  <c r="S608" i="5" s="1"/>
  <c r="S609" i="5" s="1"/>
  <c r="S610" i="5" s="1"/>
  <c r="S611" i="5" s="1"/>
  <c r="S612" i="5" s="1"/>
  <c r="S613" i="5" s="1"/>
  <c r="S614" i="5" s="1"/>
  <c r="S615" i="5" s="1"/>
  <c r="S616" i="5" s="1"/>
  <c r="S617" i="5" s="1"/>
  <c r="S618" i="5" s="1"/>
  <c r="S619" i="5" s="1"/>
  <c r="S620" i="5" s="1"/>
  <c r="S621" i="5" s="1"/>
  <c r="S622" i="5" s="1"/>
  <c r="S623" i="5" s="1"/>
  <c r="S624" i="5" s="1"/>
  <c r="S625" i="5" s="1"/>
  <c r="S626" i="5" s="1"/>
  <c r="S627" i="5" s="1"/>
  <c r="S628" i="5" s="1"/>
  <c r="S629" i="5" s="1"/>
  <c r="S630" i="5" s="1"/>
  <c r="S631" i="5" s="1"/>
  <c r="S632" i="5" s="1"/>
  <c r="S633" i="5" s="1"/>
  <c r="S634" i="5" s="1"/>
  <c r="S635" i="5" s="1"/>
  <c r="S636" i="5" s="1"/>
  <c r="S637" i="5" s="1"/>
  <c r="S638" i="5" s="1"/>
  <c r="S639" i="5" s="1"/>
  <c r="S640" i="5" s="1"/>
  <c r="S641" i="5" s="1"/>
  <c r="S642" i="5" s="1"/>
  <c r="S643" i="5" s="1"/>
  <c r="S644" i="5" s="1"/>
  <c r="S645" i="5" s="1"/>
  <c r="S646" i="5" s="1"/>
  <c r="S647" i="5" s="1"/>
  <c r="S648" i="5" s="1"/>
  <c r="S649" i="5" s="1"/>
  <c r="S650" i="5" s="1"/>
  <c r="S651" i="5" s="1"/>
  <c r="S652" i="5" s="1"/>
  <c r="S653" i="5" s="1"/>
  <c r="S654" i="5" s="1"/>
  <c r="S655" i="5" s="1"/>
  <c r="S656" i="5" s="1"/>
  <c r="S657" i="5" s="1"/>
  <c r="S658" i="5" s="1"/>
  <c r="S659" i="5" s="1"/>
  <c r="S660" i="5" s="1"/>
  <c r="S661" i="5" s="1"/>
  <c r="S662" i="5" s="1"/>
  <c r="S663" i="5" s="1"/>
  <c r="S664" i="5" s="1"/>
  <c r="S665" i="5" s="1"/>
  <c r="S666" i="5" s="1"/>
  <c r="S667" i="5" s="1"/>
  <c r="S668" i="5" s="1"/>
  <c r="S669" i="5" s="1"/>
  <c r="S670" i="5" s="1"/>
  <c r="S671" i="5" s="1"/>
  <c r="S672" i="5" s="1"/>
  <c r="S673" i="5" s="1"/>
  <c r="S674" i="5" s="1"/>
  <c r="S675" i="5" s="1"/>
  <c r="S676" i="5" s="1"/>
  <c r="S677" i="5" s="1"/>
  <c r="S678" i="5" s="1"/>
  <c r="S679" i="5" s="1"/>
  <c r="S680" i="5" s="1"/>
  <c r="S681" i="5" s="1"/>
  <c r="S682" i="5" s="1"/>
  <c r="S683" i="5" s="1"/>
  <c r="S684" i="5" s="1"/>
  <c r="S685" i="5" s="1"/>
  <c r="S686" i="5" s="1"/>
  <c r="S687" i="5" s="1"/>
  <c r="S688" i="5" s="1"/>
  <c r="S689" i="5" s="1"/>
  <c r="S690" i="5" s="1"/>
  <c r="S691" i="5" s="1"/>
  <c r="S692" i="5" s="1"/>
  <c r="S693" i="5" s="1"/>
  <c r="S694" i="5" s="1"/>
  <c r="S695" i="5" s="1"/>
  <c r="S696" i="5" s="1"/>
  <c r="S697" i="5" s="1"/>
  <c r="S698" i="5" s="1"/>
  <c r="S699" i="5" s="1"/>
  <c r="S700" i="5" s="1"/>
  <c r="S701" i="5" s="1"/>
  <c r="S702" i="5" s="1"/>
  <c r="S703" i="5" s="1"/>
  <c r="S704" i="5" s="1"/>
  <c r="S705" i="5" s="1"/>
  <c r="S706" i="5" s="1"/>
  <c r="S707" i="5" s="1"/>
  <c r="S708" i="5" s="1"/>
  <c r="S709" i="5" s="1"/>
  <c r="S710" i="5" s="1"/>
  <c r="S711" i="5" s="1"/>
  <c r="S712" i="5" s="1"/>
  <c r="S713" i="5" s="1"/>
  <c r="S714" i="5" s="1"/>
  <c r="S715" i="5" s="1"/>
  <c r="S716" i="5" s="1"/>
  <c r="S717" i="5" s="1"/>
  <c r="S718" i="5" s="1"/>
  <c r="S719" i="5" s="1"/>
  <c r="S720" i="5" s="1"/>
  <c r="S721" i="5" s="1"/>
  <c r="S722" i="5" s="1"/>
  <c r="S723" i="5" s="1"/>
  <c r="S724" i="5" s="1"/>
  <c r="S725" i="5" s="1"/>
  <c r="S726" i="5" s="1"/>
  <c r="S727" i="5" s="1"/>
  <c r="S728" i="5" s="1"/>
  <c r="S729" i="5" s="1"/>
  <c r="S730" i="5" s="1"/>
  <c r="S731" i="5" s="1"/>
  <c r="S732" i="5" s="1"/>
  <c r="S733" i="5" s="1"/>
  <c r="S734" i="5" s="1"/>
  <c r="S735" i="5" s="1"/>
  <c r="S736" i="5" s="1"/>
  <c r="S737" i="5" s="1"/>
  <c r="S738" i="5" s="1"/>
  <c r="S739" i="5" s="1"/>
  <c r="S740" i="5" s="1"/>
  <c r="S741" i="5" s="1"/>
  <c r="S742" i="5" s="1"/>
  <c r="S743" i="5" s="1"/>
  <c r="S744" i="5" s="1"/>
  <c r="S745" i="5" s="1"/>
  <c r="S746" i="5" s="1"/>
  <c r="S747" i="5" s="1"/>
  <c r="S748" i="5" s="1"/>
  <c r="S749" i="5" s="1"/>
  <c r="S750" i="5" s="1"/>
  <c r="S751" i="5" s="1"/>
  <c r="S752" i="5" s="1"/>
  <c r="S753" i="5" s="1"/>
  <c r="S754" i="5" s="1"/>
  <c r="S755" i="5" s="1"/>
  <c r="S756" i="5" s="1"/>
  <c r="S757" i="5" s="1"/>
  <c r="S758" i="5" s="1"/>
  <c r="S759" i="5" s="1"/>
  <c r="S760" i="5" s="1"/>
  <c r="S761" i="5" s="1"/>
  <c r="S762" i="5" s="1"/>
  <c r="S763" i="5" s="1"/>
  <c r="S764" i="5" s="1"/>
  <c r="S765" i="5" s="1"/>
  <c r="S766" i="5" s="1"/>
  <c r="S767" i="5" s="1"/>
  <c r="S768" i="5" s="1"/>
  <c r="S769" i="5" s="1"/>
  <c r="S770" i="5" s="1"/>
  <c r="S771" i="5" s="1"/>
  <c r="S772" i="5" s="1"/>
  <c r="S773" i="5" s="1"/>
  <c r="S774" i="5" s="1"/>
  <c r="S775" i="5" s="1"/>
  <c r="S776" i="5" s="1"/>
  <c r="S777" i="5" s="1"/>
  <c r="S778" i="5" s="1"/>
  <c r="S779" i="5" s="1"/>
  <c r="S780" i="5" s="1"/>
  <c r="S781" i="5" s="1"/>
  <c r="S782" i="5" s="1"/>
  <c r="S783" i="5" s="1"/>
  <c r="S784" i="5" s="1"/>
  <c r="S785" i="5" s="1"/>
  <c r="S786" i="5" s="1"/>
  <c r="S787" i="5" s="1"/>
  <c r="S788" i="5" s="1"/>
  <c r="S789" i="5" s="1"/>
  <c r="S790" i="5" s="1"/>
  <c r="S791" i="5" s="1"/>
  <c r="S792" i="5" s="1"/>
  <c r="S793" i="5" s="1"/>
  <c r="S794" i="5" s="1"/>
  <c r="S795" i="5" s="1"/>
  <c r="S796" i="5" s="1"/>
  <c r="S797" i="5" s="1"/>
  <c r="S798" i="5" s="1"/>
  <c r="S799" i="5" s="1"/>
  <c r="S800" i="5" s="1"/>
  <c r="S801" i="5" s="1"/>
  <c r="S802" i="5" s="1"/>
  <c r="S803" i="5" s="1"/>
  <c r="S804" i="5" s="1"/>
  <c r="S805" i="5" s="1"/>
  <c r="S806" i="5" s="1"/>
  <c r="S807" i="5" s="1"/>
  <c r="S808" i="5" s="1"/>
  <c r="S809" i="5" s="1"/>
  <c r="S810" i="5" s="1"/>
  <c r="S811" i="5" s="1"/>
  <c r="S812" i="5" s="1"/>
  <c r="S813" i="5" s="1"/>
  <c r="S814" i="5" s="1"/>
  <c r="S815" i="5" s="1"/>
  <c r="S816" i="5" s="1"/>
  <c r="S817" i="5" s="1"/>
  <c r="S818" i="5" s="1"/>
  <c r="S819" i="5" s="1"/>
  <c r="S820" i="5" s="1"/>
  <c r="S821" i="5" s="1"/>
  <c r="S822" i="5" s="1"/>
  <c r="S823" i="5" s="1"/>
  <c r="S824" i="5" s="1"/>
  <c r="S825" i="5" s="1"/>
  <c r="S826" i="5" s="1"/>
  <c r="S827" i="5" s="1"/>
  <c r="S828" i="5" s="1"/>
  <c r="S829" i="5" s="1"/>
  <c r="S830" i="5" s="1"/>
  <c r="S831" i="5" s="1"/>
  <c r="S832" i="5" s="1"/>
  <c r="S833" i="5" s="1"/>
  <c r="S834" i="5" s="1"/>
  <c r="S835" i="5" s="1"/>
  <c r="S836" i="5" s="1"/>
  <c r="S837" i="5" s="1"/>
  <c r="S838" i="5" s="1"/>
  <c r="S839" i="5" s="1"/>
  <c r="S840" i="5" s="1"/>
  <c r="S841" i="5" s="1"/>
  <c r="S842" i="5" s="1"/>
  <c r="S843" i="5" s="1"/>
  <c r="S844" i="5" s="1"/>
  <c r="S845" i="5" s="1"/>
  <c r="S846" i="5" s="1"/>
  <c r="S847" i="5" s="1"/>
  <c r="S848" i="5" s="1"/>
  <c r="S849" i="5" s="1"/>
  <c r="S850" i="5" s="1"/>
  <c r="S851" i="5" s="1"/>
  <c r="S852" i="5" s="1"/>
  <c r="S853" i="5" s="1"/>
  <c r="S854" i="5" s="1"/>
  <c r="S855" i="5" s="1"/>
  <c r="S856" i="5" s="1"/>
  <c r="S857" i="5" s="1"/>
  <c r="S858" i="5" s="1"/>
  <c r="S859" i="5" s="1"/>
  <c r="S860" i="5" s="1"/>
  <c r="S861" i="5" s="1"/>
  <c r="S862" i="5" s="1"/>
  <c r="S863" i="5" s="1"/>
  <c r="S864" i="5" s="1"/>
  <c r="S865" i="5" s="1"/>
  <c r="S866" i="5" s="1"/>
  <c r="S867" i="5" s="1"/>
  <c r="S868" i="5" s="1"/>
  <c r="S869" i="5" s="1"/>
  <c r="S870" i="5" s="1"/>
  <c r="S871" i="5" s="1"/>
  <c r="S872" i="5" s="1"/>
  <c r="S873" i="5" s="1"/>
  <c r="S874" i="5" s="1"/>
  <c r="S875" i="5" s="1"/>
  <c r="S876" i="5" s="1"/>
  <c r="S877" i="5" s="1"/>
  <c r="S878" i="5" s="1"/>
  <c r="S879" i="5" s="1"/>
  <c r="S880" i="5" s="1"/>
  <c r="S881" i="5" s="1"/>
  <c r="S882" i="5" s="1"/>
  <c r="S883" i="5" s="1"/>
  <c r="S884" i="5" s="1"/>
  <c r="S885" i="5" s="1"/>
  <c r="S886" i="5" s="1"/>
  <c r="S887" i="5" s="1"/>
  <c r="S888" i="5" s="1"/>
  <c r="S889" i="5" s="1"/>
  <c r="S890" i="5" s="1"/>
  <c r="S891" i="5" s="1"/>
  <c r="S892" i="5" s="1"/>
  <c r="S893" i="5" s="1"/>
  <c r="S894" i="5" s="1"/>
  <c r="S895" i="5" s="1"/>
  <c r="S896" i="5" s="1"/>
  <c r="S897" i="5" s="1"/>
  <c r="S898" i="5" s="1"/>
  <c r="S899" i="5" s="1"/>
  <c r="S900" i="5" s="1"/>
  <c r="S901" i="5" s="1"/>
  <c r="S902" i="5" s="1"/>
  <c r="S903" i="5" s="1"/>
  <c r="S904" i="5" s="1"/>
  <c r="S905" i="5" s="1"/>
  <c r="S906" i="5" s="1"/>
  <c r="S907" i="5" s="1"/>
  <c r="S908" i="5" s="1"/>
  <c r="S909" i="5" s="1"/>
  <c r="S910" i="5" s="1"/>
  <c r="S911" i="5" s="1"/>
  <c r="S912" i="5" s="1"/>
  <c r="S913" i="5" s="1"/>
  <c r="S914" i="5" s="1"/>
  <c r="S915" i="5" s="1"/>
  <c r="S916" i="5" s="1"/>
  <c r="S917" i="5" s="1"/>
  <c r="S918" i="5" s="1"/>
  <c r="S919" i="5" s="1"/>
  <c r="S920" i="5" s="1"/>
  <c r="S921" i="5" s="1"/>
  <c r="S922" i="5" s="1"/>
  <c r="S923" i="5" s="1"/>
  <c r="S924" i="5" s="1"/>
  <c r="S925" i="5" s="1"/>
  <c r="S926" i="5" s="1"/>
  <c r="S927" i="5" s="1"/>
  <c r="S928" i="5" s="1"/>
  <c r="S929" i="5" s="1"/>
  <c r="S930" i="5" s="1"/>
  <c r="S931" i="5" s="1"/>
  <c r="S932" i="5" s="1"/>
  <c r="S933" i="5" s="1"/>
  <c r="S934" i="5" s="1"/>
  <c r="S935" i="5" s="1"/>
  <c r="S936" i="5" s="1"/>
  <c r="S937" i="5" s="1"/>
  <c r="S938" i="5" s="1"/>
  <c r="S939" i="5" s="1"/>
  <c r="S940" i="5" s="1"/>
  <c r="S941" i="5" s="1"/>
  <c r="S942" i="5" s="1"/>
  <c r="S943" i="5" s="1"/>
  <c r="S944" i="5" s="1"/>
  <c r="S945" i="5" s="1"/>
  <c r="S946" i="5" s="1"/>
  <c r="S947" i="5" s="1"/>
  <c r="S948" i="5" s="1"/>
  <c r="S949" i="5" s="1"/>
  <c r="S950" i="5" s="1"/>
  <c r="S951" i="5" s="1"/>
  <c r="S952" i="5" s="1"/>
  <c r="S953" i="5" s="1"/>
  <c r="S954" i="5" s="1"/>
  <c r="S955" i="5" s="1"/>
  <c r="S956" i="5" s="1"/>
  <c r="S957" i="5" s="1"/>
  <c r="S958" i="5" s="1"/>
  <c r="S959" i="5" s="1"/>
  <c r="S960" i="5" s="1"/>
  <c r="S961" i="5" s="1"/>
  <c r="S962" i="5" s="1"/>
  <c r="S963" i="5" s="1"/>
  <c r="S964" i="5" s="1"/>
  <c r="S965" i="5" s="1"/>
  <c r="S966" i="5" s="1"/>
  <c r="S967" i="5" s="1"/>
  <c r="S968" i="5" s="1"/>
  <c r="S969" i="5" s="1"/>
  <c r="S970" i="5" s="1"/>
  <c r="S971" i="5" s="1"/>
  <c r="S972" i="5" s="1"/>
  <c r="S973" i="5" s="1"/>
  <c r="S974" i="5" s="1"/>
  <c r="S975" i="5" s="1"/>
  <c r="S976" i="5" s="1"/>
  <c r="S977" i="5" s="1"/>
  <c r="S978" i="5" s="1"/>
  <c r="S979" i="5" s="1"/>
  <c r="S980" i="5" s="1"/>
  <c r="S981" i="5" s="1"/>
  <c r="S982" i="5" s="1"/>
  <c r="S983" i="5" s="1"/>
  <c r="S984" i="5" s="1"/>
  <c r="S985" i="5" s="1"/>
  <c r="S986" i="5" s="1"/>
  <c r="S987" i="5" s="1"/>
  <c r="S988" i="5" s="1"/>
  <c r="S989" i="5" s="1"/>
  <c r="S990" i="5" s="1"/>
  <c r="S991" i="5" s="1"/>
  <c r="S992" i="5" s="1"/>
  <c r="S993" i="5" s="1"/>
  <c r="S994" i="5" s="1"/>
  <c r="S995" i="5" s="1"/>
  <c r="S996" i="5" s="1"/>
  <c r="S997" i="5" s="1"/>
  <c r="S998" i="5" s="1"/>
  <c r="S999" i="5" s="1"/>
  <c r="S1000" i="5" s="1"/>
  <c r="S1001" i="5" s="1"/>
  <c r="S1002" i="5" s="1"/>
  <c r="S1003" i="5" s="1"/>
  <c r="S1004" i="5" s="1"/>
  <c r="S1005" i="5" s="1"/>
  <c r="S1006" i="5" s="1"/>
  <c r="S1007" i="5" s="1"/>
  <c r="S1008" i="5" s="1"/>
  <c r="S1009" i="5" s="1"/>
  <c r="S1010" i="5" s="1"/>
  <c r="S1011" i="5" s="1"/>
  <c r="S1012" i="5" s="1"/>
  <c r="S1013" i="5" s="1"/>
  <c r="S1014" i="5" s="1"/>
  <c r="S1015" i="5" s="1"/>
  <c r="S1016" i="5" s="1"/>
  <c r="S1017" i="5" s="1"/>
  <c r="S1018" i="5" s="1"/>
  <c r="S1019" i="5" s="1"/>
  <c r="S1020" i="5" s="1"/>
  <c r="S1021" i="5" s="1"/>
  <c r="S1022" i="5" s="1"/>
  <c r="S1023" i="5" s="1"/>
  <c r="S1024" i="5" s="1"/>
  <c r="S1025" i="5" s="1"/>
  <c r="S1026" i="5" s="1"/>
  <c r="S1027" i="5" s="1"/>
  <c r="S1028" i="5" s="1"/>
  <c r="S1029" i="5" s="1"/>
  <c r="S1030" i="5" s="1"/>
  <c r="S1031" i="5" s="1"/>
  <c r="S1032" i="5" s="1"/>
  <c r="S1033" i="5" s="1"/>
  <c r="S1034" i="5" s="1"/>
  <c r="S1035" i="5" s="1"/>
  <c r="S1036" i="5" s="1"/>
  <c r="S1037" i="5" s="1"/>
  <c r="S1038" i="5" s="1"/>
  <c r="S1039" i="5" s="1"/>
  <c r="S1040" i="5" s="1"/>
  <c r="S1041" i="5" s="1"/>
  <c r="S1042" i="5" s="1"/>
  <c r="S1043" i="5" s="1"/>
  <c r="S1044" i="5" s="1"/>
  <c r="S1045" i="5" s="1"/>
  <c r="S1046" i="5" s="1"/>
  <c r="S1047" i="5" s="1"/>
  <c r="S1048" i="5" s="1"/>
  <c r="S1049" i="5" s="1"/>
  <c r="S1050" i="5" s="1"/>
  <c r="S1051" i="5" s="1"/>
  <c r="S1052" i="5" s="1"/>
  <c r="S1053" i="5" s="1"/>
  <c r="S1054" i="5" s="1"/>
  <c r="S1055" i="5" s="1"/>
  <c r="S1056" i="5" s="1"/>
  <c r="S1057" i="5" s="1"/>
  <c r="S1058" i="5" s="1"/>
  <c r="S1059" i="5" s="1"/>
  <c r="S1060" i="5" s="1"/>
  <c r="S1061" i="5" s="1"/>
  <c r="S1062" i="5" s="1"/>
  <c r="S1063" i="5" s="1"/>
  <c r="S1064" i="5" s="1"/>
  <c r="S1065" i="5" s="1"/>
  <c r="S1066" i="5" s="1"/>
  <c r="S1067" i="5" s="1"/>
  <c r="S1068" i="5" s="1"/>
  <c r="S1069" i="5" s="1"/>
  <c r="S1070" i="5" s="1"/>
  <c r="S1071" i="5" s="1"/>
  <c r="S1072" i="5" s="1"/>
  <c r="S1073" i="5" s="1"/>
  <c r="S1074" i="5" s="1"/>
  <c r="S1075" i="5" s="1"/>
  <c r="S1076" i="5" s="1"/>
  <c r="S1077" i="5" s="1"/>
  <c r="S1078" i="5" s="1"/>
  <c r="S1079" i="5" s="1"/>
  <c r="S1080" i="5" s="1"/>
  <c r="S1081" i="5" s="1"/>
  <c r="S1082" i="5" s="1"/>
  <c r="S1083" i="5" s="1"/>
  <c r="S1084" i="5" s="1"/>
  <c r="S1085" i="5" s="1"/>
  <c r="S1086" i="5" s="1"/>
  <c r="S1087" i="5" s="1"/>
  <c r="S1088" i="5" s="1"/>
  <c r="S1089" i="5" s="1"/>
  <c r="S1090" i="5" s="1"/>
  <c r="S1091" i="5" s="1"/>
  <c r="S1092" i="5" s="1"/>
  <c r="S1093" i="5" s="1"/>
  <c r="S1094" i="5" s="1"/>
  <c r="S1095" i="5" s="1"/>
  <c r="S1096" i="5" s="1"/>
  <c r="S1097" i="5" s="1"/>
  <c r="S1098" i="5" s="1"/>
  <c r="S1099" i="5" s="1"/>
  <c r="S1100" i="5" s="1"/>
  <c r="S1101" i="5" s="1"/>
  <c r="S1102" i="5" s="1"/>
  <c r="S1103" i="5" s="1"/>
  <c r="S1104" i="5" s="1"/>
  <c r="S1105" i="5" s="1"/>
  <c r="S1106" i="5" s="1"/>
  <c r="S1107" i="5" s="1"/>
  <c r="S1108" i="5" s="1"/>
  <c r="S1109" i="5" s="1"/>
  <c r="S1110" i="5" s="1"/>
  <c r="S1111" i="5" s="1"/>
  <c r="S1112" i="5" s="1"/>
  <c r="S1113" i="5" s="1"/>
  <c r="S1114" i="5" s="1"/>
  <c r="S1115" i="5" s="1"/>
  <c r="S1116" i="5" s="1"/>
  <c r="S1117" i="5" s="1"/>
  <c r="S1118" i="5" s="1"/>
  <c r="S1119" i="5" s="1"/>
  <c r="S1120" i="5" s="1"/>
  <c r="S1121" i="5" s="1"/>
  <c r="S1122" i="5" s="1"/>
  <c r="S1123" i="5" s="1"/>
  <c r="S1124" i="5" s="1"/>
  <c r="S1125" i="5" s="1"/>
  <c r="S1126" i="5" s="1"/>
  <c r="S1127" i="5" s="1"/>
  <c r="S1128" i="5" s="1"/>
  <c r="S1129" i="5" s="1"/>
  <c r="S1130" i="5" s="1"/>
  <c r="S1131" i="5" s="1"/>
  <c r="S1132" i="5" s="1"/>
  <c r="S1133" i="5" s="1"/>
  <c r="S1134" i="5" s="1"/>
  <c r="S1135" i="5" s="1"/>
  <c r="S1136" i="5" s="1"/>
  <c r="S1137" i="5" s="1"/>
  <c r="S1138" i="5" s="1"/>
  <c r="S1139" i="5" s="1"/>
  <c r="S1140" i="5" s="1"/>
  <c r="S1141" i="5" s="1"/>
  <c r="S1142" i="5" s="1"/>
  <c r="S1143" i="5" s="1"/>
  <c r="S1144" i="5" s="1"/>
  <c r="S1145" i="5" s="1"/>
  <c r="S1146" i="5" s="1"/>
  <c r="S1147" i="5" s="1"/>
  <c r="S1148" i="5" s="1"/>
  <c r="S1149" i="5" s="1"/>
  <c r="S1150" i="5" s="1"/>
  <c r="S1151" i="5" s="1"/>
  <c r="S1152" i="5" s="1"/>
  <c r="S1153" i="5" s="1"/>
  <c r="S1154" i="5" s="1"/>
  <c r="S1155" i="5" s="1"/>
  <c r="S1156" i="5" s="1"/>
  <c r="S1157" i="5" s="1"/>
  <c r="S1158" i="5" s="1"/>
  <c r="S1159" i="5" s="1"/>
  <c r="S1160" i="5" s="1"/>
  <c r="S1161" i="5" s="1"/>
  <c r="S1162" i="5" s="1"/>
  <c r="S1163" i="5" s="1"/>
  <c r="S1164" i="5" s="1"/>
  <c r="S1165" i="5" s="1"/>
  <c r="S1166" i="5" s="1"/>
  <c r="S1167" i="5" s="1"/>
  <c r="S1168" i="5" s="1"/>
  <c r="S1169" i="5" s="1"/>
  <c r="S1170" i="5" s="1"/>
  <c r="S1171" i="5" s="1"/>
  <c r="S1172" i="5" s="1"/>
  <c r="S1173" i="5" s="1"/>
  <c r="S1174" i="5" s="1"/>
  <c r="S1175" i="5" s="1"/>
  <c r="S1176" i="5" s="1"/>
  <c r="S1177" i="5" s="1"/>
  <c r="S1178" i="5" s="1"/>
  <c r="S1179" i="5" s="1"/>
  <c r="S1180" i="5" s="1"/>
  <c r="S1181" i="5" s="1"/>
  <c r="S1182" i="5" s="1"/>
  <c r="S1183" i="5" s="1"/>
  <c r="S1184" i="5" s="1"/>
  <c r="S1185" i="5" s="1"/>
  <c r="S1186" i="5" s="1"/>
  <c r="S1187" i="5" s="1"/>
  <c r="S1188" i="5" s="1"/>
  <c r="S1189" i="5" s="1"/>
  <c r="S1190" i="5" s="1"/>
  <c r="S1191" i="5" s="1"/>
  <c r="S1192" i="5" s="1"/>
  <c r="S1193" i="5" s="1"/>
  <c r="S1194" i="5" s="1"/>
  <c r="S1195" i="5" s="1"/>
  <c r="S1196" i="5" s="1"/>
  <c r="S1197" i="5" s="1"/>
  <c r="S1198" i="5" s="1"/>
  <c r="S1199" i="5" s="1"/>
  <c r="S1200" i="5" s="1"/>
  <c r="S1201" i="5" s="1"/>
  <c r="S1202" i="5" s="1"/>
  <c r="S1203" i="5" s="1"/>
  <c r="S1204" i="5" s="1"/>
  <c r="S1205" i="5" s="1"/>
  <c r="S1206" i="5" s="1"/>
  <c r="S1207" i="5" s="1"/>
  <c r="S1208" i="5" s="1"/>
  <c r="S1209" i="5" s="1"/>
  <c r="S1210" i="5" s="1"/>
  <c r="S1211" i="5" s="1"/>
  <c r="S1212" i="5" s="1"/>
  <c r="S1213" i="5" s="1"/>
  <c r="S1214" i="5" s="1"/>
  <c r="S1215" i="5" s="1"/>
  <c r="S1216" i="5" s="1"/>
  <c r="S1217" i="5" s="1"/>
  <c r="S1218" i="5" s="1"/>
  <c r="S1219" i="5" s="1"/>
  <c r="S1220" i="5" s="1"/>
  <c r="S1221" i="5" s="1"/>
  <c r="S1222" i="5" s="1"/>
  <c r="S1223" i="5" s="1"/>
  <c r="S1224" i="5" s="1"/>
  <c r="S1225" i="5" s="1"/>
  <c r="S1226" i="5" s="1"/>
  <c r="S1227" i="5" s="1"/>
  <c r="S1228" i="5" s="1"/>
  <c r="S1229" i="5" s="1"/>
  <c r="S1230" i="5" s="1"/>
  <c r="S1231" i="5" s="1"/>
  <c r="S1232" i="5" s="1"/>
  <c r="S1233" i="5" s="1"/>
  <c r="S1234" i="5" s="1"/>
  <c r="S1235" i="5" s="1"/>
  <c r="S1236" i="5" s="1"/>
  <c r="S1237" i="5" s="1"/>
  <c r="S1238" i="5" s="1"/>
  <c r="S1239" i="5" s="1"/>
  <c r="S1240" i="5" s="1"/>
  <c r="S1241" i="5" s="1"/>
  <c r="S1242" i="5" s="1"/>
  <c r="S1243" i="5" s="1"/>
  <c r="S1244" i="5" s="1"/>
  <c r="S1245" i="5" s="1"/>
  <c r="S1246" i="5" s="1"/>
  <c r="S1247" i="5" s="1"/>
  <c r="S1248" i="5" s="1"/>
  <c r="S1249" i="5" s="1"/>
  <c r="S1250" i="5" s="1"/>
  <c r="S1251" i="5" s="1"/>
  <c r="S1252" i="5" s="1"/>
  <c r="S1253" i="5" s="1"/>
  <c r="S1254" i="5" s="1"/>
  <c r="S1255" i="5" s="1"/>
  <c r="S1256" i="5" s="1"/>
  <c r="S1257" i="5" s="1"/>
  <c r="S1258" i="5" s="1"/>
  <c r="S1259" i="5" s="1"/>
  <c r="S1260" i="5" s="1"/>
  <c r="S1261" i="5" s="1"/>
  <c r="S1262" i="5" s="1"/>
  <c r="S1263" i="5" s="1"/>
  <c r="S1264" i="5" s="1"/>
  <c r="S1265" i="5" s="1"/>
  <c r="S1266" i="5" s="1"/>
  <c r="S1267" i="5" s="1"/>
  <c r="S1268" i="5" s="1"/>
  <c r="S1269" i="5" s="1"/>
  <c r="S1270" i="5" s="1"/>
  <c r="S1271" i="5" s="1"/>
  <c r="S1272" i="5" s="1"/>
  <c r="S1273" i="5" s="1"/>
  <c r="S1274" i="5" s="1"/>
  <c r="S1275" i="5" s="1"/>
  <c r="S1276" i="5" s="1"/>
  <c r="S1277" i="5" s="1"/>
  <c r="S1278" i="5" s="1"/>
  <c r="S1279" i="5" s="1"/>
  <c r="S1280" i="5" s="1"/>
  <c r="S1281" i="5" s="1"/>
  <c r="S1282" i="5" s="1"/>
  <c r="S1283" i="5" s="1"/>
  <c r="S1284" i="5" s="1"/>
  <c r="S1285" i="5" s="1"/>
  <c r="S1286" i="5" s="1"/>
  <c r="S1287" i="5" s="1"/>
  <c r="S1288" i="5" s="1"/>
  <c r="S1289" i="5" s="1"/>
  <c r="S1290" i="5" s="1"/>
  <c r="S1291" i="5" s="1"/>
  <c r="S1292" i="5" s="1"/>
  <c r="S1293" i="5" s="1"/>
  <c r="S1294" i="5" s="1"/>
  <c r="S1295" i="5" s="1"/>
  <c r="S1296" i="5" s="1"/>
  <c r="S1297" i="5" s="1"/>
  <c r="S1298" i="5" s="1"/>
  <c r="S1299" i="5" s="1"/>
  <c r="S1300" i="5" s="1"/>
  <c r="S1301" i="5" s="1"/>
  <c r="S1302" i="5" s="1"/>
  <c r="S1303" i="5" s="1"/>
  <c r="S1304" i="5" s="1"/>
  <c r="S1305" i="5" s="1"/>
  <c r="S1306" i="5" s="1"/>
  <c r="S1307" i="5" s="1"/>
  <c r="S1308" i="5" s="1"/>
  <c r="S1309" i="5" s="1"/>
  <c r="S1310" i="5" s="1"/>
  <c r="S1311" i="5" s="1"/>
  <c r="S1312" i="5" s="1"/>
  <c r="S1313" i="5" s="1"/>
  <c r="S1314" i="5" s="1"/>
  <c r="S1315" i="5" s="1"/>
  <c r="S1316" i="5" s="1"/>
  <c r="S1317" i="5" s="1"/>
  <c r="S1318" i="5" s="1"/>
  <c r="S1319" i="5" s="1"/>
  <c r="S1320" i="5" s="1"/>
  <c r="S1321" i="5" s="1"/>
  <c r="S1322" i="5" s="1"/>
  <c r="S1323" i="5" s="1"/>
  <c r="S1324" i="5" s="1"/>
  <c r="S1325" i="5" s="1"/>
  <c r="S1326" i="5" s="1"/>
  <c r="S1327" i="5" s="1"/>
  <c r="S1328" i="5" s="1"/>
  <c r="S1329" i="5" s="1"/>
  <c r="S1330" i="5" s="1"/>
  <c r="S1331" i="5" s="1"/>
  <c r="S1332" i="5" s="1"/>
  <c r="S1333" i="5" s="1"/>
  <c r="S1334" i="5" s="1"/>
  <c r="S1335" i="5" s="1"/>
  <c r="S1336" i="5" s="1"/>
  <c r="S1337" i="5" s="1"/>
  <c r="S1338" i="5" s="1"/>
  <c r="S1339" i="5" s="1"/>
  <c r="S1340" i="5" s="1"/>
  <c r="S1341" i="5" s="1"/>
  <c r="S1342" i="5" s="1"/>
  <c r="S1343" i="5" s="1"/>
  <c r="S1344" i="5" s="1"/>
  <c r="S1345" i="5" s="1"/>
  <c r="S1346" i="5" s="1"/>
  <c r="S1347" i="5" s="1"/>
  <c r="S1348" i="5" s="1"/>
  <c r="S1349" i="5" s="1"/>
  <c r="S1350" i="5" s="1"/>
  <c r="S1351" i="5" s="1"/>
  <c r="S1352" i="5" s="1"/>
  <c r="S1353" i="5" s="1"/>
  <c r="S1354" i="5" s="1"/>
  <c r="S1355" i="5" s="1"/>
  <c r="S1356" i="5" s="1"/>
  <c r="S1357" i="5" s="1"/>
  <c r="S1358" i="5" s="1"/>
  <c r="S1359" i="5" s="1"/>
  <c r="S1360" i="5" s="1"/>
  <c r="S1361" i="5" s="1"/>
  <c r="S1362" i="5" s="1"/>
  <c r="S1363" i="5" s="1"/>
  <c r="S1364" i="5" s="1"/>
  <c r="S1365" i="5" s="1"/>
  <c r="S1366" i="5" s="1"/>
  <c r="S1367" i="5" s="1"/>
  <c r="S1368" i="5" s="1"/>
  <c r="S1369" i="5" s="1"/>
  <c r="S1370" i="5" s="1"/>
  <c r="S1371" i="5" s="1"/>
  <c r="S1372" i="5" s="1"/>
  <c r="S1373" i="5" s="1"/>
  <c r="S1374" i="5" s="1"/>
  <c r="S1375" i="5" s="1"/>
  <c r="S1376" i="5" s="1"/>
  <c r="S1377" i="5" s="1"/>
  <c r="S1378" i="5" s="1"/>
  <c r="S1379" i="5" s="1"/>
  <c r="S1380" i="5" s="1"/>
  <c r="S1381" i="5" s="1"/>
  <c r="S1382" i="5" s="1"/>
  <c r="S1383" i="5" s="1"/>
  <c r="S1384" i="5" s="1"/>
  <c r="S1385" i="5" s="1"/>
  <c r="S1386" i="5" s="1"/>
  <c r="S1387" i="5" s="1"/>
  <c r="S1388" i="5" s="1"/>
  <c r="S1389" i="5" s="1"/>
  <c r="S1390" i="5" s="1"/>
  <c r="S1391" i="5" s="1"/>
  <c r="S1392" i="5" s="1"/>
  <c r="S1393" i="5" s="1"/>
  <c r="S1394" i="5" s="1"/>
  <c r="S1395" i="5" s="1"/>
  <c r="S1396" i="5" s="1"/>
  <c r="S1397" i="5" s="1"/>
  <c r="S1398" i="5" s="1"/>
  <c r="S1399" i="5" s="1"/>
  <c r="S1400" i="5" s="1"/>
  <c r="S1401" i="5" s="1"/>
  <c r="S1402" i="5" s="1"/>
  <c r="S1403" i="5" s="1"/>
  <c r="S1404" i="5" s="1"/>
  <c r="S1405" i="5" s="1"/>
  <c r="S1406" i="5" s="1"/>
  <c r="S1407" i="5" s="1"/>
  <c r="S1408" i="5" s="1"/>
  <c r="S1409" i="5" s="1"/>
  <c r="S1410" i="5" s="1"/>
  <c r="S1411" i="5" s="1"/>
  <c r="S1412" i="5" s="1"/>
  <c r="S1413" i="5" s="1"/>
  <c r="S1414" i="5" s="1"/>
  <c r="S1415" i="5" s="1"/>
  <c r="S1416" i="5" s="1"/>
  <c r="S1417" i="5" s="1"/>
  <c r="S1418" i="5" s="1"/>
  <c r="S1419" i="5" s="1"/>
  <c r="S1420" i="5" s="1"/>
  <c r="S1421" i="5" s="1"/>
  <c r="S1422" i="5" s="1"/>
  <c r="S1423" i="5" s="1"/>
  <c r="S1424" i="5" s="1"/>
  <c r="S1425" i="5" s="1"/>
  <c r="S1426" i="5" s="1"/>
  <c r="S1427" i="5" s="1"/>
  <c r="S1428" i="5" s="1"/>
  <c r="S1429" i="5" s="1"/>
  <c r="S1430" i="5" s="1"/>
  <c r="S1431" i="5" s="1"/>
  <c r="S1432" i="5" s="1"/>
  <c r="S1433" i="5" s="1"/>
  <c r="S1434" i="5" s="1"/>
  <c r="S1435" i="5" s="1"/>
  <c r="S1436" i="5" s="1"/>
  <c r="S1437" i="5" s="1"/>
  <c r="S1438" i="5" s="1"/>
  <c r="S1439" i="5" s="1"/>
  <c r="S1440" i="5" s="1"/>
  <c r="S1441" i="5" s="1"/>
  <c r="S1442" i="5" s="1"/>
  <c r="S1443" i="5" s="1"/>
  <c r="S1444" i="5" s="1"/>
  <c r="S1445" i="5" s="1"/>
  <c r="S1446" i="5" s="1"/>
  <c r="S1447" i="5" s="1"/>
  <c r="S1448" i="5" s="1"/>
  <c r="S1449" i="5" s="1"/>
  <c r="S1450" i="5" s="1"/>
  <c r="S1451" i="5" s="1"/>
  <c r="S1452" i="5" s="1"/>
  <c r="S1453" i="5" s="1"/>
  <c r="S1454" i="5" s="1"/>
  <c r="S1455" i="5" s="1"/>
  <c r="S1456" i="5" s="1"/>
  <c r="S1457" i="5" s="1"/>
  <c r="S1458" i="5" s="1"/>
  <c r="S1459" i="5" s="1"/>
  <c r="S1460" i="5" s="1"/>
  <c r="S1461" i="5" s="1"/>
  <c r="S1462" i="5" s="1"/>
  <c r="S1463" i="5" s="1"/>
  <c r="S1464" i="5" s="1"/>
  <c r="S1465" i="5" s="1"/>
  <c r="S1466" i="5" s="1"/>
  <c r="S1467" i="5" s="1"/>
  <c r="S1468" i="5" s="1"/>
  <c r="S1469" i="5" s="1"/>
  <c r="S1470" i="5" s="1"/>
  <c r="S1471" i="5" s="1"/>
  <c r="S1472" i="5" s="1"/>
  <c r="S1473" i="5" s="1"/>
  <c r="S1474" i="5" s="1"/>
  <c r="S1475" i="5" s="1"/>
  <c r="S1476" i="5" s="1"/>
  <c r="S1477" i="5" s="1"/>
  <c r="S1478" i="5" s="1"/>
  <c r="S1479" i="5" s="1"/>
  <c r="S1480" i="5" s="1"/>
  <c r="S1481" i="5" s="1"/>
  <c r="S1482" i="5" s="1"/>
  <c r="S1483" i="5" s="1"/>
  <c r="S1484" i="5" s="1"/>
  <c r="S1485" i="5" s="1"/>
  <c r="S1486" i="5" s="1"/>
  <c r="S1487" i="5" s="1"/>
  <c r="S1488" i="5" s="1"/>
  <c r="S1489" i="5" s="1"/>
  <c r="S1490" i="5" s="1"/>
  <c r="S1491" i="5" s="1"/>
  <c r="S1492" i="5" s="1"/>
  <c r="S1493" i="5" s="1"/>
  <c r="S1494" i="5" s="1"/>
  <c r="S1495" i="5" s="1"/>
  <c r="S1496" i="5" s="1"/>
  <c r="S1497" i="5" s="1"/>
  <c r="S1498" i="5" s="1"/>
  <c r="S1499" i="5" s="1"/>
  <c r="S1500" i="5" s="1"/>
  <c r="S1501" i="5" s="1"/>
  <c r="S1502" i="5" s="1"/>
  <c r="S1503" i="5" s="1"/>
  <c r="S1504" i="5" s="1"/>
  <c r="S1505" i="5" s="1"/>
  <c r="S1506" i="5" s="1"/>
  <c r="S1507" i="5" s="1"/>
  <c r="S1508" i="5" s="1"/>
  <c r="S1509" i="5" s="1"/>
  <c r="S1510" i="5" s="1"/>
  <c r="S1511" i="5" s="1"/>
  <c r="S1512" i="5" s="1"/>
  <c r="S1513" i="5" s="1"/>
  <c r="S1514" i="5" s="1"/>
  <c r="S1515" i="5" s="1"/>
  <c r="S1516" i="5" s="1"/>
  <c r="S1517" i="5" s="1"/>
  <c r="S1518" i="5" s="1"/>
  <c r="S1519" i="5" s="1"/>
  <c r="S1520" i="5" s="1"/>
  <c r="S1521" i="5" s="1"/>
  <c r="S1522" i="5" s="1"/>
  <c r="S1523" i="5" s="1"/>
  <c r="S1524" i="5" s="1"/>
  <c r="S1525" i="5" s="1"/>
  <c r="S1526" i="5" s="1"/>
  <c r="S1527" i="5" s="1"/>
  <c r="S1528" i="5" s="1"/>
  <c r="S1529" i="5" s="1"/>
  <c r="S1530" i="5" s="1"/>
  <c r="S1531" i="5" s="1"/>
  <c r="S1532" i="5" s="1"/>
  <c r="S1533" i="5" s="1"/>
  <c r="S1534" i="5" s="1"/>
  <c r="S1535" i="5" s="1"/>
  <c r="S1536" i="5" s="1"/>
  <c r="S1537" i="5" s="1"/>
  <c r="S1538" i="5" s="1"/>
  <c r="S1539" i="5" s="1"/>
  <c r="S1540" i="5" s="1"/>
  <c r="S1541" i="5" s="1"/>
  <c r="S1542" i="5" s="1"/>
  <c r="S1543" i="5" s="1"/>
  <c r="S1544" i="5" s="1"/>
  <c r="S1545" i="5" s="1"/>
  <c r="S1546" i="5" s="1"/>
  <c r="S1547" i="5" s="1"/>
  <c r="S1548" i="5" s="1"/>
  <c r="S1549" i="5" s="1"/>
  <c r="S1550" i="5" s="1"/>
  <c r="S1551" i="5" s="1"/>
  <c r="S1552" i="5" s="1"/>
  <c r="S1553" i="5" s="1"/>
  <c r="S1554" i="5" s="1"/>
  <c r="S1555" i="5" s="1"/>
  <c r="S1556" i="5" s="1"/>
  <c r="S1557" i="5" s="1"/>
  <c r="S1558" i="5" s="1"/>
  <c r="S1559" i="5" s="1"/>
  <c r="S1560" i="5" s="1"/>
  <c r="S1561" i="5" s="1"/>
  <c r="S1562" i="5" s="1"/>
  <c r="S1563" i="5" s="1"/>
  <c r="S1564" i="5" s="1"/>
  <c r="S1565" i="5" s="1"/>
  <c r="S1566" i="5" s="1"/>
  <c r="S1567" i="5" s="1"/>
  <c r="S1568" i="5" s="1"/>
  <c r="S1569" i="5" s="1"/>
  <c r="S1570" i="5" s="1"/>
  <c r="S1571" i="5" s="1"/>
  <c r="S1572" i="5" s="1"/>
  <c r="S1573" i="5" s="1"/>
  <c r="S1574" i="5" s="1"/>
  <c r="S1575" i="5" s="1"/>
  <c r="S1576" i="5" s="1"/>
  <c r="S1577" i="5" s="1"/>
  <c r="S1578" i="5" s="1"/>
  <c r="S1579" i="5" s="1"/>
  <c r="S1580" i="5" s="1"/>
  <c r="S1581" i="5" s="1"/>
  <c r="S1582" i="5" s="1"/>
  <c r="S1583" i="5" s="1"/>
  <c r="S1584" i="5" s="1"/>
  <c r="S1585" i="5" s="1"/>
  <c r="S1586" i="5" s="1"/>
  <c r="S1587" i="5" s="1"/>
  <c r="S1588" i="5" s="1"/>
  <c r="S1589" i="5" s="1"/>
  <c r="S1590" i="5" s="1"/>
  <c r="S1591" i="5" s="1"/>
  <c r="S1592" i="5" s="1"/>
  <c r="S1593" i="5" s="1"/>
  <c r="S1594" i="5" s="1"/>
  <c r="S1595" i="5" s="1"/>
  <c r="S1596" i="5" s="1"/>
  <c r="S1597" i="5" s="1"/>
  <c r="S1598" i="5" s="1"/>
  <c r="S1599" i="5" s="1"/>
  <c r="S1600" i="5" s="1"/>
  <c r="S1601" i="5" s="1"/>
  <c r="S1602" i="5" s="1"/>
  <c r="S1603" i="5" s="1"/>
  <c r="S1604" i="5" s="1"/>
  <c r="S1605" i="5" s="1"/>
  <c r="S1606" i="5" s="1"/>
  <c r="S1607" i="5" s="1"/>
  <c r="S1608" i="5" s="1"/>
  <c r="S1609" i="5" s="1"/>
  <c r="S1610" i="5" s="1"/>
  <c r="S1611" i="5" s="1"/>
  <c r="S1612" i="5" s="1"/>
  <c r="S1613" i="5" s="1"/>
  <c r="S1614" i="5" s="1"/>
  <c r="S1615" i="5" s="1"/>
  <c r="S1616" i="5" s="1"/>
  <c r="S1617" i="5" s="1"/>
  <c r="S1618" i="5" s="1"/>
  <c r="S1619" i="5" s="1"/>
  <c r="S1620" i="5" s="1"/>
  <c r="S1621" i="5" s="1"/>
  <c r="S1622" i="5" s="1"/>
  <c r="S1623" i="5" s="1"/>
  <c r="S1624" i="5" s="1"/>
  <c r="S1625" i="5" s="1"/>
  <c r="S1626" i="5" s="1"/>
  <c r="S1627" i="5" s="1"/>
  <c r="S1628" i="5" s="1"/>
  <c r="S1629" i="5" s="1"/>
  <c r="S1630" i="5" s="1"/>
  <c r="S1631" i="5" s="1"/>
  <c r="S1632" i="5" s="1"/>
  <c r="S1633" i="5" s="1"/>
  <c r="S1634" i="5" s="1"/>
  <c r="S1635" i="5" s="1"/>
  <c r="S1636" i="5" s="1"/>
  <c r="S1637" i="5" s="1"/>
  <c r="S1638" i="5" s="1"/>
  <c r="S1639" i="5" s="1"/>
  <c r="S1640" i="5" s="1"/>
  <c r="S1641" i="5" s="1"/>
  <c r="S1642" i="5" s="1"/>
  <c r="S1643" i="5" s="1"/>
  <c r="S1644" i="5" s="1"/>
  <c r="S1645" i="5" s="1"/>
  <c r="S1646" i="5" s="1"/>
  <c r="S1647" i="5" s="1"/>
  <c r="S1648" i="5" s="1"/>
  <c r="S1649" i="5" s="1"/>
  <c r="S1650" i="5" s="1"/>
  <c r="S1651" i="5" s="1"/>
  <c r="S1652" i="5" s="1"/>
  <c r="S1653" i="5" s="1"/>
  <c r="S1654" i="5" s="1"/>
  <c r="S1655" i="5" s="1"/>
  <c r="S1656" i="5" s="1"/>
  <c r="S1657" i="5" s="1"/>
  <c r="S1658" i="5" s="1"/>
  <c r="S1659" i="5" s="1"/>
  <c r="S1660" i="5" s="1"/>
  <c r="S1661" i="5" s="1"/>
  <c r="S1662" i="5" s="1"/>
  <c r="S1663" i="5" s="1"/>
  <c r="S1664" i="5" s="1"/>
  <c r="S1665" i="5" s="1"/>
  <c r="S1666" i="5" s="1"/>
  <c r="S1667" i="5" s="1"/>
  <c r="S1668" i="5" s="1"/>
  <c r="S1669" i="5" s="1"/>
  <c r="S1670" i="5" s="1"/>
  <c r="S1671" i="5" s="1"/>
  <c r="S1672" i="5" s="1"/>
  <c r="S1673" i="5" s="1"/>
  <c r="S1674" i="5" s="1"/>
  <c r="S1675" i="5" s="1"/>
  <c r="S1676" i="5" s="1"/>
  <c r="S1677" i="5" s="1"/>
  <c r="S1678" i="5" s="1"/>
  <c r="S1679" i="5" s="1"/>
  <c r="S1680" i="5" s="1"/>
  <c r="S1681" i="5" s="1"/>
  <c r="S1682" i="5" s="1"/>
  <c r="S1683" i="5" s="1"/>
  <c r="S1684" i="5" s="1"/>
  <c r="S1685" i="5" s="1"/>
  <c r="S1686" i="5" s="1"/>
  <c r="S1687" i="5" s="1"/>
  <c r="S1688" i="5" s="1"/>
  <c r="S1689" i="5" s="1"/>
  <c r="S1690" i="5" s="1"/>
  <c r="S1691" i="5" s="1"/>
  <c r="S1692" i="5" s="1"/>
  <c r="S1693" i="5" s="1"/>
  <c r="S1694" i="5" s="1"/>
  <c r="S1695" i="5" s="1"/>
  <c r="S1696" i="5" s="1"/>
  <c r="S1697" i="5" s="1"/>
  <c r="S1698" i="5" s="1"/>
  <c r="S1699" i="5" s="1"/>
  <c r="S1700" i="5" s="1"/>
  <c r="S1701" i="5" s="1"/>
  <c r="S1702" i="5" s="1"/>
  <c r="S1703" i="5" s="1"/>
  <c r="S1704" i="5" s="1"/>
  <c r="S1705" i="5" s="1"/>
  <c r="S1706" i="5" s="1"/>
  <c r="S1707" i="5" s="1"/>
  <c r="S1708" i="5" s="1"/>
  <c r="S1709" i="5" s="1"/>
  <c r="S1710" i="5" s="1"/>
  <c r="S1711" i="5" s="1"/>
  <c r="S1712" i="5" s="1"/>
  <c r="S1713" i="5" s="1"/>
  <c r="S1714" i="5" s="1"/>
  <c r="S1715" i="5" s="1"/>
  <c r="S1716" i="5" s="1"/>
  <c r="S1717" i="5" s="1"/>
  <c r="S1718" i="5" s="1"/>
  <c r="S1719" i="5" s="1"/>
  <c r="S1720" i="5" s="1"/>
  <c r="S1721" i="5" s="1"/>
  <c r="S1722" i="5" s="1"/>
  <c r="S1723" i="5" s="1"/>
  <c r="S1724" i="5" s="1"/>
  <c r="S1725" i="5" s="1"/>
  <c r="S1726" i="5" s="1"/>
  <c r="S1727" i="5" s="1"/>
  <c r="S1728" i="5" s="1"/>
  <c r="S1729" i="5" s="1"/>
  <c r="S1730" i="5" s="1"/>
  <c r="S1731" i="5" s="1"/>
  <c r="S1732" i="5" s="1"/>
  <c r="S1733" i="5" s="1"/>
  <c r="S1734" i="5" s="1"/>
  <c r="S1735" i="5" s="1"/>
  <c r="S1736" i="5" s="1"/>
  <c r="S1737" i="5" s="1"/>
  <c r="S1738" i="5" s="1"/>
  <c r="S1739" i="5" s="1"/>
  <c r="S1740" i="5" s="1"/>
  <c r="S1741" i="5" s="1"/>
  <c r="S1742" i="5" s="1"/>
  <c r="S1743" i="5" s="1"/>
  <c r="S1744" i="5" s="1"/>
  <c r="S1745" i="5" s="1"/>
  <c r="S1746" i="5" s="1"/>
  <c r="S1747" i="5" s="1"/>
  <c r="S1748" i="5" s="1"/>
  <c r="S1749" i="5" s="1"/>
  <c r="S1750" i="5" s="1"/>
  <c r="S1751" i="5" s="1"/>
  <c r="S1752" i="5" s="1"/>
  <c r="S1753" i="5" s="1"/>
  <c r="S1754" i="5" s="1"/>
  <c r="S1755" i="5" s="1"/>
  <c r="S1756" i="5" s="1"/>
  <c r="S1757" i="5" s="1"/>
  <c r="S1758" i="5" s="1"/>
  <c r="S1759" i="5" s="1"/>
  <c r="S1760" i="5" s="1"/>
  <c r="S1761" i="5" s="1"/>
  <c r="S1762" i="5" s="1"/>
  <c r="S1763" i="5" s="1"/>
  <c r="S1764" i="5" s="1"/>
  <c r="S1765" i="5" s="1"/>
  <c r="S1766" i="5" s="1"/>
  <c r="S1767" i="5" s="1"/>
  <c r="S1768" i="5" s="1"/>
  <c r="S1769" i="5" s="1"/>
  <c r="S1770" i="5" s="1"/>
  <c r="S1771" i="5" s="1"/>
  <c r="S1772" i="5" s="1"/>
  <c r="S1773" i="5" s="1"/>
  <c r="S1774" i="5" s="1"/>
  <c r="S1775" i="5" s="1"/>
  <c r="S1776" i="5" s="1"/>
  <c r="S1777" i="5" s="1"/>
  <c r="S1778" i="5" s="1"/>
  <c r="S1779" i="5" s="1"/>
  <c r="S1780" i="5" s="1"/>
  <c r="S1781" i="5" s="1"/>
  <c r="S1782" i="5" s="1"/>
  <c r="S1783" i="5" s="1"/>
  <c r="S1784" i="5" s="1"/>
  <c r="S1785" i="5" s="1"/>
  <c r="S1786" i="5" s="1"/>
  <c r="S1787" i="5" s="1"/>
  <c r="S1788" i="5" s="1"/>
  <c r="S1789" i="5" s="1"/>
  <c r="S1790" i="5" s="1"/>
  <c r="S1791" i="5" s="1"/>
  <c r="S1792" i="5" s="1"/>
  <c r="S1793" i="5" s="1"/>
  <c r="S1794" i="5" s="1"/>
  <c r="S1795" i="5" s="1"/>
  <c r="S1796" i="5" s="1"/>
  <c r="S1797" i="5" s="1"/>
  <c r="S1798" i="5" s="1"/>
  <c r="S1799" i="5" s="1"/>
  <c r="S1800" i="5" s="1"/>
  <c r="S1801" i="5" s="1"/>
  <c r="S1802" i="5" s="1"/>
  <c r="S1803" i="5" s="1"/>
  <c r="S1804" i="5" s="1"/>
  <c r="S1805" i="5" s="1"/>
  <c r="S1806" i="5" s="1"/>
  <c r="S1807" i="5" s="1"/>
  <c r="S1808" i="5" s="1"/>
  <c r="S1809" i="5" s="1"/>
  <c r="S1810" i="5" s="1"/>
  <c r="S1811" i="5" s="1"/>
  <c r="S1812" i="5" s="1"/>
  <c r="S1813" i="5" s="1"/>
  <c r="S1814" i="5" s="1"/>
  <c r="S1815" i="5" s="1"/>
  <c r="S1816" i="5" s="1"/>
  <c r="S1817" i="5" s="1"/>
  <c r="S1818" i="5" s="1"/>
  <c r="S1819" i="5" s="1"/>
  <c r="S1820" i="5" s="1"/>
  <c r="S1821" i="5" s="1"/>
  <c r="S1822" i="5" s="1"/>
  <c r="S1823" i="5" s="1"/>
  <c r="S1824" i="5" s="1"/>
  <c r="S1825" i="5" s="1"/>
  <c r="S1826" i="5" s="1"/>
  <c r="S1827" i="5" s="1"/>
  <c r="S1828" i="5" s="1"/>
  <c r="S1829" i="5" s="1"/>
  <c r="S1830" i="5" s="1"/>
  <c r="S1831" i="5" s="1"/>
  <c r="S1832" i="5" s="1"/>
  <c r="S1833" i="5" s="1"/>
  <c r="S1834" i="5" s="1"/>
  <c r="S1835" i="5" s="1"/>
  <c r="S1836" i="5" s="1"/>
  <c r="S1837" i="5" s="1"/>
  <c r="S1838" i="5" s="1"/>
  <c r="S1839" i="5" s="1"/>
  <c r="S1840" i="5" s="1"/>
  <c r="S1841" i="5" s="1"/>
  <c r="S1842" i="5" s="1"/>
  <c r="S1843" i="5" s="1"/>
  <c r="S1844" i="5" s="1"/>
  <c r="S1845" i="5" s="1"/>
  <c r="S1846" i="5" s="1"/>
  <c r="S1847" i="5" s="1"/>
  <c r="S1848" i="5" s="1"/>
  <c r="S1849" i="5" s="1"/>
  <c r="S1850" i="5" s="1"/>
  <c r="S1851" i="5" s="1"/>
  <c r="S1852" i="5" s="1"/>
  <c r="S1853" i="5" s="1"/>
  <c r="S1854" i="5" s="1"/>
  <c r="S1855" i="5" s="1"/>
  <c r="S1856" i="5" s="1"/>
  <c r="S1857" i="5" s="1"/>
  <c r="S1858" i="5" s="1"/>
  <c r="S1859" i="5" s="1"/>
  <c r="S1860" i="5" s="1"/>
  <c r="S1861" i="5" s="1"/>
  <c r="S1862" i="5" s="1"/>
  <c r="S1863" i="5" s="1"/>
  <c r="S1864" i="5" s="1"/>
  <c r="S1865" i="5" s="1"/>
  <c r="S1866" i="5" s="1"/>
  <c r="S1867" i="5" s="1"/>
  <c r="S1868" i="5" s="1"/>
  <c r="S1869" i="5" s="1"/>
  <c r="S1870" i="5" s="1"/>
  <c r="S1871" i="5" s="1"/>
  <c r="S1872" i="5" s="1"/>
  <c r="S1873" i="5" s="1"/>
  <c r="S1874" i="5" s="1"/>
  <c r="S1875" i="5" s="1"/>
  <c r="S1876" i="5" s="1"/>
  <c r="S1877" i="5" s="1"/>
  <c r="S1878" i="5" s="1"/>
  <c r="S1879" i="5" s="1"/>
  <c r="S1880" i="5" s="1"/>
  <c r="S1881" i="5" s="1"/>
  <c r="S1882" i="5" s="1"/>
  <c r="S1883" i="5" s="1"/>
  <c r="S1884" i="5" s="1"/>
  <c r="S1885" i="5" s="1"/>
  <c r="S1886" i="5" s="1"/>
  <c r="S1887" i="5" s="1"/>
  <c r="S1888" i="5" s="1"/>
  <c r="S1889" i="5" s="1"/>
  <c r="S1890" i="5" s="1"/>
  <c r="S1891" i="5" s="1"/>
  <c r="S1892" i="5" s="1"/>
  <c r="S1893" i="5" s="1"/>
  <c r="S1894" i="5" s="1"/>
  <c r="S1895" i="5" s="1"/>
  <c r="S1896" i="5" s="1"/>
  <c r="S1897" i="5" s="1"/>
  <c r="S1898" i="5" s="1"/>
  <c r="S1899" i="5" s="1"/>
  <c r="S1900" i="5" s="1"/>
  <c r="S1901" i="5" s="1"/>
  <c r="S1902" i="5" s="1"/>
  <c r="S1903" i="5" s="1"/>
  <c r="S1904" i="5" s="1"/>
  <c r="S1905" i="5" s="1"/>
  <c r="S1906" i="5" s="1"/>
  <c r="S1907" i="5" s="1"/>
  <c r="S1908" i="5" s="1"/>
  <c r="S1909" i="5" s="1"/>
  <c r="S1910" i="5" s="1"/>
  <c r="S1911" i="5" s="1"/>
  <c r="S1912" i="5" s="1"/>
  <c r="S1913" i="5" s="1"/>
  <c r="S1914" i="5" s="1"/>
  <c r="S1915" i="5" s="1"/>
  <c r="S1916" i="5" s="1"/>
  <c r="S1917" i="5" s="1"/>
  <c r="S1918" i="5" s="1"/>
  <c r="S1919" i="5" s="1"/>
  <c r="S1920" i="5" s="1"/>
  <c r="S1921" i="5" s="1"/>
  <c r="S1922" i="5" s="1"/>
  <c r="S1923" i="5" s="1"/>
  <c r="S1924" i="5" s="1"/>
  <c r="S1925" i="5" s="1"/>
  <c r="S1926" i="5" s="1"/>
  <c r="S1927" i="5" s="1"/>
  <c r="S1928" i="5" s="1"/>
  <c r="S1929" i="5" s="1"/>
  <c r="S1930" i="5" s="1"/>
  <c r="S1931" i="5" s="1"/>
  <c r="S1932" i="5" s="1"/>
  <c r="S1933" i="5" s="1"/>
  <c r="S1934" i="5" s="1"/>
  <c r="S1935" i="5" s="1"/>
  <c r="S1936" i="5" s="1"/>
  <c r="S1937" i="5" s="1"/>
  <c r="S1938" i="5" s="1"/>
  <c r="S1939" i="5" s="1"/>
  <c r="S1940" i="5" s="1"/>
  <c r="S1941" i="5" s="1"/>
  <c r="S1942" i="5" s="1"/>
  <c r="S1943" i="5" s="1"/>
  <c r="S1944" i="5" s="1"/>
  <c r="S1945" i="5" s="1"/>
  <c r="S1946" i="5" s="1"/>
  <c r="S1947" i="5" s="1"/>
  <c r="S1948" i="5" s="1"/>
  <c r="S1949" i="5" s="1"/>
  <c r="S1950" i="5" s="1"/>
  <c r="S1951" i="5" s="1"/>
  <c r="S1952" i="5" s="1"/>
  <c r="S1953" i="5" s="1"/>
  <c r="S1954" i="5" s="1"/>
  <c r="S1955" i="5" s="1"/>
  <c r="S1956" i="5" s="1"/>
  <c r="S1957" i="5" s="1"/>
  <c r="S1958" i="5" s="1"/>
  <c r="S1959" i="5" s="1"/>
  <c r="S1960" i="5" s="1"/>
  <c r="S1961" i="5" s="1"/>
  <c r="S1962" i="5" s="1"/>
  <c r="S1963" i="5" s="1"/>
  <c r="S1964" i="5" s="1"/>
  <c r="S1965" i="5" s="1"/>
  <c r="S1966" i="5" s="1"/>
  <c r="S1967" i="5" s="1"/>
  <c r="S1968" i="5" s="1"/>
  <c r="S1969" i="5" s="1"/>
  <c r="S1970" i="5" s="1"/>
  <c r="S1971" i="5" s="1"/>
  <c r="S1972" i="5" s="1"/>
  <c r="S1973" i="5" s="1"/>
  <c r="S1974" i="5" s="1"/>
  <c r="S1975" i="5" s="1"/>
  <c r="S1976" i="5" s="1"/>
  <c r="S1977" i="5" s="1"/>
  <c r="S1978" i="5" s="1"/>
  <c r="S1979" i="5" s="1"/>
  <c r="S1980" i="5" s="1"/>
  <c r="S1981" i="5" s="1"/>
  <c r="S1982" i="5" s="1"/>
  <c r="S1983" i="5" s="1"/>
  <c r="S1984" i="5" s="1"/>
  <c r="S1985" i="5" s="1"/>
  <c r="S1986" i="5" s="1"/>
  <c r="S1987" i="5" s="1"/>
  <c r="S1988" i="5" s="1"/>
  <c r="S1989" i="5" s="1"/>
  <c r="S1990" i="5" s="1"/>
  <c r="S1991" i="5" s="1"/>
  <c r="S1992" i="5" s="1"/>
  <c r="S1993" i="5" s="1"/>
  <c r="S1994" i="5" s="1"/>
  <c r="S1995" i="5" s="1"/>
  <c r="S1996" i="5" s="1"/>
  <c r="S1997" i="5" s="1"/>
  <c r="S1998" i="5" s="1"/>
  <c r="S1999" i="5" s="1"/>
  <c r="S2000" i="5" s="1"/>
  <c r="S2001" i="5" s="1"/>
  <c r="S2002" i="5" s="1"/>
  <c r="S2003" i="5" s="1"/>
  <c r="S2004" i="5" s="1"/>
  <c r="S2005" i="5" s="1"/>
  <c r="S2006" i="5" s="1"/>
  <c r="S2007" i="5" s="1"/>
  <c r="S2008" i="5" s="1"/>
  <c r="S2009" i="5" s="1"/>
  <c r="S2010" i="5" s="1"/>
  <c r="S2011" i="5" s="1"/>
  <c r="S2012" i="5" s="1"/>
  <c r="S2013" i="5" s="1"/>
  <c r="S2014" i="5" s="1"/>
  <c r="S2015" i="5" s="1"/>
  <c r="S2016" i="5" s="1"/>
  <c r="S2017" i="5" s="1"/>
  <c r="S2018" i="5" s="1"/>
  <c r="S2019" i="5" s="1"/>
  <c r="S2020" i="5" s="1"/>
  <c r="S2021" i="5" s="1"/>
  <c r="S2022" i="5" s="1"/>
  <c r="S2023" i="5" s="1"/>
  <c r="S2024" i="5" s="1"/>
  <c r="S2025" i="5" s="1"/>
  <c r="S2026" i="5" s="1"/>
  <c r="S2027" i="5" s="1"/>
  <c r="S2028" i="5" s="1"/>
  <c r="S2029" i="5" s="1"/>
  <c r="S2030" i="5" s="1"/>
  <c r="S2031" i="5" s="1"/>
  <c r="S2032" i="5" s="1"/>
  <c r="S2033" i="5" s="1"/>
  <c r="S2034" i="5" s="1"/>
  <c r="S2035" i="5" s="1"/>
  <c r="S2036" i="5" s="1"/>
  <c r="S2037" i="5" s="1"/>
  <c r="S2038" i="5" s="1"/>
  <c r="S2039" i="5" s="1"/>
  <c r="S2040" i="5" s="1"/>
  <c r="S2041" i="5" s="1"/>
  <c r="S2042" i="5" s="1"/>
  <c r="S2043" i="5" s="1"/>
  <c r="S2044" i="5" s="1"/>
  <c r="S2045" i="5" s="1"/>
  <c r="S2046" i="5" s="1"/>
  <c r="S2047" i="5" s="1"/>
  <c r="S2048" i="5" s="1"/>
  <c r="S2049" i="5" s="1"/>
  <c r="S2050" i="5" s="1"/>
  <c r="S2051" i="5" s="1"/>
  <c r="S2052" i="5" s="1"/>
  <c r="S2053" i="5" s="1"/>
  <c r="S2054" i="5" s="1"/>
  <c r="S2055" i="5" s="1"/>
  <c r="S2056" i="5" s="1"/>
  <c r="S2057" i="5" s="1"/>
  <c r="S2058" i="5" s="1"/>
  <c r="S2059" i="5" s="1"/>
  <c r="S2060" i="5" s="1"/>
  <c r="S2061" i="5" s="1"/>
  <c r="S2062" i="5" s="1"/>
  <c r="S2063" i="5" s="1"/>
  <c r="S2064" i="5" s="1"/>
  <c r="S2065" i="5" s="1"/>
  <c r="S2066" i="5" s="1"/>
  <c r="S2067" i="5" s="1"/>
  <c r="S2068" i="5" s="1"/>
  <c r="S2069" i="5" s="1"/>
  <c r="S2070" i="5" s="1"/>
  <c r="S2071" i="5" s="1"/>
  <c r="S2072" i="5" s="1"/>
  <c r="S2073" i="5" s="1"/>
  <c r="S2074" i="5" s="1"/>
  <c r="S2075" i="5" s="1"/>
  <c r="S2076" i="5" s="1"/>
  <c r="S2077" i="5" s="1"/>
  <c r="S2078" i="5" s="1"/>
  <c r="S2079" i="5" s="1"/>
  <c r="S2080" i="5" s="1"/>
  <c r="S2081" i="5" s="1"/>
  <c r="S2082" i="5" s="1"/>
  <c r="S2083" i="5" s="1"/>
  <c r="S2084" i="5" s="1"/>
  <c r="S2085" i="5" s="1"/>
  <c r="S2086" i="5" s="1"/>
  <c r="S2087" i="5" s="1"/>
  <c r="S2088" i="5" s="1"/>
  <c r="S2089" i="5" s="1"/>
  <c r="S2090" i="5" s="1"/>
  <c r="S2091" i="5" s="1"/>
  <c r="S2092" i="5" s="1"/>
  <c r="S2093" i="5" s="1"/>
  <c r="S2094" i="5" s="1"/>
  <c r="S2095" i="5" s="1"/>
  <c r="S2096" i="5" s="1"/>
  <c r="S2097" i="5" s="1"/>
  <c r="S2098" i="5" s="1"/>
  <c r="S2099" i="5" s="1"/>
  <c r="S2100" i="5" s="1"/>
  <c r="S2101" i="5" s="1"/>
  <c r="S2102" i="5" s="1"/>
  <c r="S2103" i="5" s="1"/>
  <c r="S2104" i="5" s="1"/>
  <c r="S2105" i="5" s="1"/>
  <c r="S2106" i="5" s="1"/>
  <c r="S2107" i="5" s="1"/>
  <c r="S2108" i="5" s="1"/>
  <c r="S2109" i="5" s="1"/>
  <c r="S2110" i="5" s="1"/>
  <c r="S2111" i="5" s="1"/>
  <c r="S2112" i="5" s="1"/>
  <c r="S2113" i="5" s="1"/>
  <c r="S2114" i="5" s="1"/>
  <c r="S2115" i="5" s="1"/>
  <c r="S2116" i="5" s="1"/>
  <c r="S2117" i="5" s="1"/>
  <c r="S2118" i="5" s="1"/>
  <c r="S2119" i="5" s="1"/>
  <c r="S2120" i="5" s="1"/>
  <c r="S2121" i="5" s="1"/>
  <c r="S2122" i="5" s="1"/>
  <c r="S2123" i="5" s="1"/>
  <c r="S2124" i="5" s="1"/>
  <c r="S2125" i="5" s="1"/>
  <c r="S2126" i="5" s="1"/>
  <c r="S2127" i="5" s="1"/>
  <c r="S2128" i="5" s="1"/>
  <c r="S2129" i="5" s="1"/>
  <c r="S2130" i="5" s="1"/>
  <c r="S2131" i="5" s="1"/>
  <c r="S2132" i="5" s="1"/>
  <c r="S2133" i="5" s="1"/>
  <c r="S2134" i="5" s="1"/>
  <c r="S2135" i="5" s="1"/>
  <c r="S2136" i="5" s="1"/>
  <c r="S2137" i="5" s="1"/>
  <c r="S2138" i="5" s="1"/>
  <c r="S2139" i="5" s="1"/>
  <c r="S2140" i="5" s="1"/>
  <c r="S2141" i="5" s="1"/>
  <c r="S2142" i="5" s="1"/>
  <c r="S2143" i="5" s="1"/>
  <c r="S2144" i="5" s="1"/>
  <c r="S2145" i="5" s="1"/>
  <c r="S2146" i="5" s="1"/>
  <c r="S2147" i="5" s="1"/>
  <c r="S2148" i="5" s="1"/>
  <c r="S2149" i="5" s="1"/>
  <c r="S2150" i="5" s="1"/>
  <c r="S2151" i="5" s="1"/>
  <c r="S2152" i="5" s="1"/>
  <c r="S2153" i="5" s="1"/>
  <c r="S2154" i="5" s="1"/>
  <c r="S2155" i="5" s="1"/>
  <c r="S2156" i="5" s="1"/>
  <c r="S2157" i="5" s="1"/>
  <c r="S2158" i="5" s="1"/>
  <c r="S2159" i="5" s="1"/>
  <c r="S2160" i="5" s="1"/>
  <c r="S2161" i="5" s="1"/>
  <c r="S2162" i="5" s="1"/>
  <c r="S2163" i="5" s="1"/>
  <c r="S2164" i="5" s="1"/>
  <c r="S2165" i="5" s="1"/>
  <c r="S2166" i="5" s="1"/>
  <c r="S2167" i="5" s="1"/>
  <c r="S2168" i="5" s="1"/>
  <c r="S2169" i="5" s="1"/>
  <c r="S2170" i="5" s="1"/>
  <c r="S2171" i="5" s="1"/>
  <c r="S2172" i="5" s="1"/>
  <c r="S2173" i="5" s="1"/>
  <c r="S2174" i="5" s="1"/>
  <c r="S2175" i="5" s="1"/>
  <c r="S2176" i="5" s="1"/>
  <c r="S2177" i="5" s="1"/>
  <c r="S2178" i="5" s="1"/>
  <c r="S2179" i="5" s="1"/>
  <c r="S2180" i="5" s="1"/>
  <c r="S2181" i="5" s="1"/>
  <c r="S2182" i="5" s="1"/>
  <c r="S2183" i="5" s="1"/>
  <c r="S2184" i="5" s="1"/>
  <c r="S2185" i="5" s="1"/>
  <c r="S2186" i="5" s="1"/>
  <c r="S2187" i="5" s="1"/>
  <c r="S2188" i="5" s="1"/>
  <c r="S2189" i="5" s="1"/>
  <c r="S2190" i="5" s="1"/>
  <c r="S2191" i="5" s="1"/>
  <c r="S2192" i="5" s="1"/>
  <c r="S2193" i="5" s="1"/>
  <c r="S2194" i="5" s="1"/>
  <c r="S2195" i="5" s="1"/>
  <c r="S2196" i="5" s="1"/>
  <c r="S2197" i="5" s="1"/>
  <c r="S2198" i="5" s="1"/>
  <c r="S2199" i="5" s="1"/>
  <c r="S2200" i="5" s="1"/>
  <c r="S2201" i="5" s="1"/>
  <c r="S2202" i="5" s="1"/>
  <c r="S2203" i="5" s="1"/>
  <c r="S2204" i="5" s="1"/>
  <c r="S2205" i="5" s="1"/>
  <c r="S2206" i="5" s="1"/>
  <c r="S2207" i="5" s="1"/>
  <c r="S2208" i="5" s="1"/>
  <c r="S2209" i="5" s="1"/>
  <c r="S2210" i="5" s="1"/>
  <c r="S2211" i="5" s="1"/>
  <c r="S2212" i="5" s="1"/>
  <c r="S2213" i="5" s="1"/>
  <c r="S2214" i="5" s="1"/>
  <c r="S2215" i="5" s="1"/>
  <c r="S2216" i="5" s="1"/>
  <c r="S2217" i="5" s="1"/>
  <c r="S2218" i="5" s="1"/>
  <c r="S2219" i="5" s="1"/>
  <c r="S2220" i="5" s="1"/>
  <c r="S2221" i="5" s="1"/>
  <c r="S2222" i="5" s="1"/>
  <c r="S2223" i="5" s="1"/>
  <c r="S2224" i="5" s="1"/>
  <c r="S2225" i="5" s="1"/>
  <c r="S2226" i="5" s="1"/>
  <c r="S2227" i="5" s="1"/>
  <c r="S2228" i="5" s="1"/>
  <c r="S2229" i="5" s="1"/>
  <c r="S2230" i="5" s="1"/>
  <c r="S2231" i="5" s="1"/>
  <c r="S2232" i="5" s="1"/>
  <c r="S2233" i="5" s="1"/>
  <c r="S2234" i="5" s="1"/>
  <c r="S2235" i="5" s="1"/>
  <c r="S2236" i="5" s="1"/>
  <c r="S2237" i="5" s="1"/>
  <c r="S2238" i="5" s="1"/>
  <c r="S2239" i="5" s="1"/>
  <c r="S2240" i="5" s="1"/>
  <c r="S2241" i="5" s="1"/>
  <c r="S2242" i="5" s="1"/>
  <c r="S2243" i="5" s="1"/>
  <c r="S2244" i="5" s="1"/>
  <c r="S2245" i="5" s="1"/>
  <c r="S2246" i="5" s="1"/>
  <c r="S2247" i="5" s="1"/>
  <c r="S2248" i="5" s="1"/>
  <c r="S2249" i="5" s="1"/>
  <c r="S2250" i="5" s="1"/>
  <c r="S2251" i="5" s="1"/>
  <c r="S2252" i="5" s="1"/>
  <c r="S2253" i="5" s="1"/>
  <c r="S2254" i="5" s="1"/>
  <c r="S2255" i="5" s="1"/>
  <c r="S2256" i="5" s="1"/>
  <c r="S2257" i="5" s="1"/>
  <c r="S2258" i="5" s="1"/>
  <c r="S2259" i="5" s="1"/>
  <c r="S2260" i="5" s="1"/>
  <c r="S2261" i="5" s="1"/>
  <c r="S2262" i="5" s="1"/>
  <c r="S2263" i="5" s="1"/>
  <c r="S2264" i="5" s="1"/>
  <c r="S2265" i="5" s="1"/>
  <c r="S2266" i="5" s="1"/>
  <c r="S2267" i="5" s="1"/>
  <c r="S2268" i="5" s="1"/>
  <c r="S2269" i="5" s="1"/>
  <c r="S2270" i="5" s="1"/>
  <c r="S2271" i="5" s="1"/>
  <c r="S2272" i="5" s="1"/>
  <c r="S2273" i="5" s="1"/>
  <c r="S2274" i="5" s="1"/>
  <c r="S2275" i="5" s="1"/>
  <c r="S2276" i="5" s="1"/>
  <c r="S2277" i="5" s="1"/>
  <c r="S2278" i="5" s="1"/>
  <c r="S2279" i="5" s="1"/>
  <c r="S2280" i="5" s="1"/>
  <c r="S2281" i="5" s="1"/>
  <c r="S2282" i="5" s="1"/>
  <c r="S2283" i="5" s="1"/>
  <c r="S2284" i="5" s="1"/>
  <c r="S2285" i="5" s="1"/>
  <c r="S2286" i="5" s="1"/>
  <c r="S2287" i="5" s="1"/>
  <c r="S2288" i="5" s="1"/>
  <c r="S2289" i="5" s="1"/>
  <c r="S2290" i="5" s="1"/>
  <c r="S2291" i="5" s="1"/>
  <c r="S2292" i="5" s="1"/>
  <c r="S2293" i="5" s="1"/>
  <c r="S2294" i="5" s="1"/>
  <c r="S2295" i="5" s="1"/>
  <c r="S2296" i="5" s="1"/>
  <c r="S2297" i="5" s="1"/>
  <c r="S2298" i="5" s="1"/>
  <c r="S2299" i="5" s="1"/>
  <c r="S2300" i="5" s="1"/>
  <c r="S2301" i="5" s="1"/>
  <c r="S2302" i="5" s="1"/>
  <c r="S2303" i="5" s="1"/>
  <c r="S2304" i="5" s="1"/>
  <c r="S2305" i="5" s="1"/>
  <c r="S2306" i="5" s="1"/>
  <c r="S2307" i="5" s="1"/>
  <c r="S2308" i="5" s="1"/>
  <c r="S2309" i="5" s="1"/>
  <c r="S2310" i="5" s="1"/>
  <c r="S2311" i="5" s="1"/>
  <c r="S2312" i="5" s="1"/>
  <c r="S2313" i="5" s="1"/>
  <c r="S2314" i="5" s="1"/>
  <c r="S2315" i="5" s="1"/>
  <c r="S2316" i="5" s="1"/>
  <c r="S2317" i="5" s="1"/>
  <c r="S2318" i="5" s="1"/>
  <c r="S2319" i="5" s="1"/>
  <c r="S2320" i="5" s="1"/>
  <c r="S2321" i="5" s="1"/>
  <c r="S2322" i="5" s="1"/>
  <c r="S2323" i="5" s="1"/>
  <c r="S2324" i="5" s="1"/>
  <c r="S2325" i="5" s="1"/>
  <c r="S2326" i="5" s="1"/>
  <c r="S2327" i="5" s="1"/>
  <c r="S2328" i="5" s="1"/>
  <c r="S2329" i="5" s="1"/>
  <c r="S2330" i="5" s="1"/>
  <c r="S2331" i="5" s="1"/>
  <c r="S2332" i="5" s="1"/>
  <c r="S2333" i="5" s="1"/>
  <c r="S2334" i="5" s="1"/>
  <c r="S2335" i="5" s="1"/>
  <c r="S2336" i="5" s="1"/>
  <c r="S2337" i="5" s="1"/>
  <c r="S2338" i="5" s="1"/>
  <c r="S2339" i="5" s="1"/>
  <c r="S2340" i="5" s="1"/>
  <c r="S2341" i="5" s="1"/>
  <c r="S2342" i="5" s="1"/>
  <c r="S2343" i="5" s="1"/>
  <c r="S2344" i="5" s="1"/>
  <c r="S2345" i="5" s="1"/>
  <c r="S2346" i="5" s="1"/>
  <c r="S2347" i="5" s="1"/>
  <c r="S2348" i="5" s="1"/>
  <c r="S2349" i="5" s="1"/>
  <c r="S2350" i="5" s="1"/>
  <c r="S2351" i="5" s="1"/>
  <c r="S2352" i="5" s="1"/>
  <c r="S2353" i="5" s="1"/>
  <c r="S2354" i="5" s="1"/>
  <c r="S2355" i="5" s="1"/>
  <c r="S2356" i="5" s="1"/>
  <c r="S2357" i="5" s="1"/>
  <c r="S2358" i="5" s="1"/>
  <c r="S2359" i="5" s="1"/>
  <c r="S2360" i="5" s="1"/>
  <c r="S2361" i="5" s="1"/>
  <c r="S2362" i="5" s="1"/>
  <c r="S2363" i="5" s="1"/>
  <c r="S2364" i="5" s="1"/>
  <c r="S2365" i="5" s="1"/>
  <c r="S2366" i="5" s="1"/>
  <c r="S2367" i="5" s="1"/>
  <c r="S2368" i="5" s="1"/>
  <c r="S2369" i="5" s="1"/>
  <c r="S2370" i="5" s="1"/>
  <c r="S2371" i="5" s="1"/>
  <c r="S2372" i="5" s="1"/>
  <c r="S2373" i="5" s="1"/>
  <c r="S2374" i="5" s="1"/>
  <c r="S2375" i="5" s="1"/>
  <c r="S2376" i="5" s="1"/>
  <c r="S2377" i="5" s="1"/>
  <c r="S2378" i="5" s="1"/>
  <c r="S2379" i="5" s="1"/>
  <c r="S2380" i="5" s="1"/>
  <c r="S2381" i="5" s="1"/>
  <c r="S2382" i="5" s="1"/>
  <c r="S2383" i="5" s="1"/>
  <c r="S2384" i="5" s="1"/>
  <c r="S2385" i="5" s="1"/>
  <c r="S2386" i="5" s="1"/>
  <c r="S2387" i="5" s="1"/>
  <c r="S2388" i="5" s="1"/>
  <c r="S2389" i="5" s="1"/>
  <c r="S2390" i="5" s="1"/>
  <c r="S2391" i="5" s="1"/>
  <c r="S2392" i="5" s="1"/>
  <c r="S2393" i="5" s="1"/>
  <c r="S2394" i="5" s="1"/>
  <c r="S2395" i="5" s="1"/>
  <c r="S2396" i="5" s="1"/>
  <c r="S2397" i="5" s="1"/>
  <c r="S2398" i="5" s="1"/>
  <c r="S2399" i="5" s="1"/>
  <c r="S2400" i="5" s="1"/>
  <c r="S2401" i="5" s="1"/>
  <c r="S2402" i="5" s="1"/>
  <c r="S2403" i="5" s="1"/>
  <c r="S2404" i="5" s="1"/>
  <c r="S2405" i="5" s="1"/>
  <c r="S2406" i="5" s="1"/>
  <c r="S2407" i="5" s="1"/>
  <c r="S2408" i="5" s="1"/>
  <c r="S2409" i="5" s="1"/>
  <c r="S2410" i="5" s="1"/>
  <c r="S2411" i="5" s="1"/>
  <c r="S2412" i="5" s="1"/>
  <c r="S2413" i="5" s="1"/>
  <c r="S2414" i="5" s="1"/>
  <c r="S2415" i="5" s="1"/>
  <c r="S2416" i="5" s="1"/>
  <c r="S2417" i="5" s="1"/>
  <c r="S2418" i="5" s="1"/>
  <c r="S2419" i="5" s="1"/>
  <c r="S2420" i="5" s="1"/>
  <c r="S2421" i="5" s="1"/>
  <c r="S2422" i="5" s="1"/>
  <c r="S2423" i="5" s="1"/>
  <c r="S2424" i="5" s="1"/>
  <c r="S2425" i="5" s="1"/>
  <c r="S2426" i="5" s="1"/>
  <c r="S2427" i="5" s="1"/>
  <c r="S2428" i="5" s="1"/>
  <c r="S2429" i="5" s="1"/>
  <c r="S2430" i="5" s="1"/>
  <c r="S2431" i="5" s="1"/>
  <c r="S2432" i="5" s="1"/>
  <c r="S2433" i="5" s="1"/>
  <c r="S2434" i="5" s="1"/>
  <c r="S2435" i="5" s="1"/>
  <c r="S2436" i="5" s="1"/>
  <c r="S2437" i="5" s="1"/>
  <c r="S2438" i="5" s="1"/>
  <c r="S2439" i="5" s="1"/>
  <c r="S2440" i="5" s="1"/>
  <c r="S2441" i="5" s="1"/>
  <c r="S2442" i="5" s="1"/>
  <c r="S2443" i="5" s="1"/>
  <c r="S2444" i="5" s="1"/>
  <c r="S2445" i="5" s="1"/>
  <c r="S2446" i="5" s="1"/>
  <c r="S2447" i="5" s="1"/>
  <c r="S2448" i="5" s="1"/>
  <c r="S2449" i="5" s="1"/>
  <c r="S2450" i="5" s="1"/>
  <c r="S2451" i="5" s="1"/>
  <c r="S2452" i="5" s="1"/>
  <c r="S2453" i="5" s="1"/>
  <c r="S2454" i="5" s="1"/>
  <c r="S2455" i="5" s="1"/>
  <c r="S2456" i="5" s="1"/>
  <c r="S2457" i="5" s="1"/>
  <c r="S2458" i="5" s="1"/>
  <c r="S2459" i="5" s="1"/>
  <c r="S2460" i="5" s="1"/>
  <c r="S2461" i="5" s="1"/>
  <c r="S2462" i="5" s="1"/>
  <c r="S2463" i="5" s="1"/>
  <c r="S2464" i="5" s="1"/>
  <c r="S2465" i="5" s="1"/>
  <c r="S2466" i="5" s="1"/>
  <c r="S2467" i="5" s="1"/>
  <c r="S2468" i="5" s="1"/>
  <c r="S2469" i="5" s="1"/>
  <c r="S2470" i="5" s="1"/>
  <c r="S2471" i="5" s="1"/>
  <c r="S2472" i="5" s="1"/>
  <c r="S2473" i="5" s="1"/>
  <c r="S2474" i="5" s="1"/>
  <c r="S2475" i="5" s="1"/>
  <c r="S2476" i="5" s="1"/>
  <c r="S2477" i="5" s="1"/>
  <c r="S2478" i="5" s="1"/>
  <c r="S2479" i="5" s="1"/>
  <c r="S2480" i="5" s="1"/>
  <c r="S2481" i="5" s="1"/>
  <c r="S2482" i="5" s="1"/>
  <c r="S2483" i="5" s="1"/>
  <c r="S2484" i="5" s="1"/>
  <c r="S2485" i="5" s="1"/>
  <c r="S2486" i="5" s="1"/>
  <c r="S2487" i="5" s="1"/>
  <c r="S2488" i="5" s="1"/>
  <c r="S2489" i="5" s="1"/>
  <c r="S2490" i="5" s="1"/>
  <c r="S2491" i="5" s="1"/>
  <c r="S2492" i="5" s="1"/>
  <c r="S2493" i="5" s="1"/>
  <c r="S2494" i="5" s="1"/>
  <c r="S2495" i="5" s="1"/>
  <c r="S2496" i="5" s="1"/>
  <c r="S2497" i="5" s="1"/>
  <c r="S2498" i="5" s="1"/>
  <c r="S2499" i="5" s="1"/>
  <c r="S2500" i="5" s="1"/>
  <c r="S2501" i="5" s="1"/>
  <c r="S2502" i="5" s="1"/>
  <c r="S2503" i="5" s="1"/>
  <c r="S2504" i="5" s="1"/>
  <c r="S2505" i="5" s="1"/>
  <c r="S2506" i="5" s="1"/>
  <c r="S2507" i="5" s="1"/>
  <c r="S2508" i="5" s="1"/>
  <c r="S2509" i="5" s="1"/>
  <c r="S2510" i="5" s="1"/>
  <c r="S2511" i="5" s="1"/>
  <c r="S2512" i="5" s="1"/>
  <c r="S2513" i="5" s="1"/>
  <c r="S2514" i="5" s="1"/>
  <c r="S2515" i="5" s="1"/>
  <c r="S2516" i="5" s="1"/>
  <c r="S2517" i="5" s="1"/>
  <c r="S2518" i="5" s="1"/>
  <c r="S2519" i="5" s="1"/>
  <c r="S2520" i="5" s="1"/>
  <c r="S2521" i="5" s="1"/>
  <c r="S2522" i="5" s="1"/>
  <c r="S2523" i="5" s="1"/>
  <c r="S2524" i="5" s="1"/>
  <c r="S2525" i="5" s="1"/>
  <c r="S2526" i="5" s="1"/>
  <c r="S2527" i="5" s="1"/>
  <c r="S2528" i="5" s="1"/>
  <c r="S2529" i="5" s="1"/>
  <c r="S2530" i="5" s="1"/>
  <c r="S2531" i="5" s="1"/>
  <c r="S2532" i="5" s="1"/>
  <c r="S2533" i="5" s="1"/>
  <c r="S2534" i="5" s="1"/>
  <c r="S2535" i="5" s="1"/>
  <c r="S2536" i="5" s="1"/>
  <c r="S2537" i="5" s="1"/>
  <c r="S2538" i="5" s="1"/>
  <c r="S2539" i="5" s="1"/>
  <c r="S2540" i="5" s="1"/>
  <c r="S2541" i="5" s="1"/>
  <c r="S2542" i="5" s="1"/>
  <c r="S2543" i="5" s="1"/>
  <c r="S2544" i="5" s="1"/>
  <c r="S2545" i="5" s="1"/>
  <c r="S2546" i="5" s="1"/>
  <c r="S2547" i="5" s="1"/>
  <c r="S2548" i="5" s="1"/>
  <c r="S2549" i="5" s="1"/>
  <c r="S2550" i="5" s="1"/>
  <c r="S2551" i="5" s="1"/>
  <c r="S2552" i="5" s="1"/>
  <c r="S2553" i="5" s="1"/>
  <c r="S2554" i="5" s="1"/>
  <c r="S2555" i="5" s="1"/>
  <c r="S2556" i="5" s="1"/>
  <c r="S2557" i="5" s="1"/>
  <c r="S2558" i="5" s="1"/>
  <c r="S2559" i="5" s="1"/>
  <c r="S2560" i="5" s="1"/>
  <c r="S2561" i="5" s="1"/>
  <c r="S2562" i="5" s="1"/>
  <c r="S2563" i="5" s="1"/>
  <c r="S2564" i="5" s="1"/>
  <c r="S2565" i="5" s="1"/>
  <c r="S2566" i="5" s="1"/>
  <c r="S2567" i="5" s="1"/>
  <c r="S2568" i="5" s="1"/>
  <c r="S2569" i="5" s="1"/>
  <c r="S2570" i="5" s="1"/>
  <c r="S2571" i="5" s="1"/>
  <c r="S2572" i="5" s="1"/>
  <c r="S2573" i="5" s="1"/>
  <c r="S2574" i="5" s="1"/>
  <c r="S2575" i="5" s="1"/>
  <c r="S2576" i="5" s="1"/>
  <c r="S2577" i="5" s="1"/>
  <c r="S2578" i="5" s="1"/>
  <c r="S2579" i="5" s="1"/>
  <c r="S2580" i="5" s="1"/>
  <c r="S2581" i="5" s="1"/>
  <c r="S2582" i="5" s="1"/>
  <c r="S2583" i="5" s="1"/>
  <c r="S2584" i="5" s="1"/>
  <c r="S2585" i="5" s="1"/>
  <c r="S2586" i="5" s="1"/>
  <c r="S2587" i="5" s="1"/>
  <c r="S2588" i="5" s="1"/>
  <c r="S2589" i="5" s="1"/>
  <c r="S2590" i="5" s="1"/>
  <c r="S2591" i="5" s="1"/>
  <c r="S2592" i="5" s="1"/>
  <c r="S2593" i="5" s="1"/>
  <c r="S2594" i="5" s="1"/>
  <c r="S2595" i="5" s="1"/>
  <c r="S2596" i="5" s="1"/>
  <c r="S2597" i="5" s="1"/>
  <c r="S2598" i="5" s="1"/>
  <c r="S2599" i="5" s="1"/>
  <c r="S2600" i="5" s="1"/>
  <c r="S2601" i="5" s="1"/>
  <c r="S2602" i="5" s="1"/>
  <c r="S2603" i="5" s="1"/>
  <c r="S2604" i="5" s="1"/>
  <c r="S2605" i="5" s="1"/>
  <c r="S2606" i="5" s="1"/>
  <c r="S2607" i="5" s="1"/>
  <c r="S2608" i="5" s="1"/>
  <c r="S2609" i="5" s="1"/>
  <c r="S2610" i="5" s="1"/>
  <c r="S2611" i="5" s="1"/>
  <c r="S2612" i="5" s="1"/>
  <c r="S2613" i="5" s="1"/>
  <c r="S2614" i="5" s="1"/>
  <c r="S2615" i="5" s="1"/>
  <c r="S2616" i="5" s="1"/>
  <c r="S2617" i="5" s="1"/>
  <c r="S2618" i="5" s="1"/>
  <c r="S2619" i="5" s="1"/>
  <c r="S2620" i="5" s="1"/>
  <c r="S2621" i="5" s="1"/>
  <c r="S2622" i="5" s="1"/>
  <c r="S2623" i="5" s="1"/>
  <c r="S2624" i="5" s="1"/>
  <c r="S2625" i="5" s="1"/>
  <c r="S2626" i="5" s="1"/>
  <c r="S2627" i="5" s="1"/>
  <c r="S2628" i="5" s="1"/>
  <c r="S2629" i="5" s="1"/>
  <c r="S2630" i="5" s="1"/>
  <c r="S2631" i="5" s="1"/>
  <c r="S2632" i="5" s="1"/>
  <c r="S2633" i="5" s="1"/>
  <c r="S2634" i="5" s="1"/>
  <c r="S2635" i="5" s="1"/>
  <c r="S2636" i="5" s="1"/>
  <c r="S2637" i="5" s="1"/>
  <c r="S2638" i="5" s="1"/>
  <c r="S2639" i="5" s="1"/>
  <c r="S2640" i="5" s="1"/>
  <c r="S2641" i="5" s="1"/>
  <c r="S2642" i="5" s="1"/>
  <c r="S2643" i="5" s="1"/>
  <c r="S2644" i="5" s="1"/>
  <c r="S2645" i="5" s="1"/>
  <c r="S2646" i="5" s="1"/>
  <c r="S2647" i="5" s="1"/>
  <c r="S2648" i="5" s="1"/>
  <c r="S2649" i="5" s="1"/>
  <c r="S2650" i="5" s="1"/>
  <c r="S2651" i="5" s="1"/>
  <c r="S2652" i="5" s="1"/>
  <c r="S2653" i="5" s="1"/>
  <c r="S2654" i="5" s="1"/>
  <c r="S2655" i="5" s="1"/>
  <c r="S2656" i="5" s="1"/>
  <c r="S2657" i="5" s="1"/>
  <c r="S2658" i="5" s="1"/>
  <c r="S2659" i="5" s="1"/>
  <c r="S2660" i="5" s="1"/>
  <c r="S2661" i="5" s="1"/>
  <c r="S2662" i="5" s="1"/>
  <c r="S2663" i="5" s="1"/>
  <c r="S2664" i="5" s="1"/>
  <c r="S2665" i="5" s="1"/>
  <c r="S2666" i="5" s="1"/>
  <c r="S2667" i="5" s="1"/>
  <c r="S2668" i="5" s="1"/>
  <c r="S2669" i="5" s="1"/>
  <c r="S2670" i="5" s="1"/>
  <c r="S2671" i="5" s="1"/>
  <c r="S2672" i="5" s="1"/>
  <c r="S2673" i="5" s="1"/>
  <c r="S2674" i="5" s="1"/>
  <c r="S2675" i="5" s="1"/>
  <c r="S2676" i="5" s="1"/>
  <c r="S2677" i="5" s="1"/>
  <c r="S2678" i="5" s="1"/>
  <c r="S2679" i="5" s="1"/>
  <c r="S2680" i="5" s="1"/>
  <c r="S2681" i="5" s="1"/>
  <c r="S2682" i="5" s="1"/>
  <c r="S2683" i="5" s="1"/>
  <c r="S2684" i="5" s="1"/>
  <c r="S2685" i="5" s="1"/>
  <c r="S2686" i="5" s="1"/>
  <c r="S2687" i="5" s="1"/>
  <c r="S2688" i="5" s="1"/>
  <c r="S2689" i="5" s="1"/>
  <c r="S2690" i="5" s="1"/>
  <c r="S2691" i="5" s="1"/>
  <c r="S2692" i="5" s="1"/>
  <c r="S2693" i="5" s="1"/>
  <c r="S2694" i="5" s="1"/>
  <c r="S2695" i="5" s="1"/>
  <c r="S2696" i="5" s="1"/>
  <c r="S2697" i="5" s="1"/>
  <c r="S2698" i="5" s="1"/>
  <c r="S2699" i="5" s="1"/>
  <c r="S2700" i="5" s="1"/>
  <c r="S2701" i="5" s="1"/>
  <c r="S2702" i="5" s="1"/>
  <c r="S2703" i="5" s="1"/>
  <c r="S2704" i="5" s="1"/>
  <c r="S2705" i="5" s="1"/>
  <c r="S2706" i="5" s="1"/>
  <c r="S2707" i="5" s="1"/>
  <c r="S2708" i="5" s="1"/>
  <c r="S2709" i="5" s="1"/>
  <c r="S2710" i="5" s="1"/>
  <c r="S2711" i="5" s="1"/>
  <c r="S2712" i="5" s="1"/>
  <c r="S2713" i="5" s="1"/>
  <c r="S2714" i="5" s="1"/>
  <c r="S2715" i="5" s="1"/>
  <c r="S2716" i="5" s="1"/>
  <c r="S2717" i="5" s="1"/>
  <c r="S2718" i="5" s="1"/>
  <c r="S2719" i="5" s="1"/>
  <c r="S2720" i="5" s="1"/>
  <c r="S2721" i="5" s="1"/>
  <c r="S2722" i="5" s="1"/>
  <c r="S2723" i="5" s="1"/>
  <c r="S2724" i="5" s="1"/>
  <c r="S2725" i="5" s="1"/>
  <c r="S2726" i="5" s="1"/>
  <c r="S2727" i="5" s="1"/>
  <c r="S2728" i="5" s="1"/>
  <c r="S2729" i="5" s="1"/>
  <c r="S2730" i="5" s="1"/>
  <c r="S2731" i="5" s="1"/>
  <c r="S2732" i="5" s="1"/>
  <c r="S2733" i="5" s="1"/>
  <c r="S2734" i="5" s="1"/>
  <c r="S2735" i="5" s="1"/>
  <c r="S2736" i="5" s="1"/>
  <c r="S2737" i="5" s="1"/>
  <c r="S2738" i="5" s="1"/>
  <c r="S2739" i="5" s="1"/>
  <c r="S2740" i="5" s="1"/>
  <c r="S2741" i="5" s="1"/>
  <c r="S2742" i="5" s="1"/>
  <c r="S2743" i="5" s="1"/>
  <c r="S2744" i="5" s="1"/>
  <c r="S2745" i="5" s="1"/>
  <c r="S2746" i="5" s="1"/>
  <c r="S2747" i="5" s="1"/>
  <c r="S2748" i="5" s="1"/>
  <c r="S2749" i="5" s="1"/>
  <c r="S2750" i="5" s="1"/>
  <c r="S2751" i="5" s="1"/>
  <c r="S2752" i="5" s="1"/>
  <c r="S2753" i="5" s="1"/>
  <c r="S2754" i="5" s="1"/>
  <c r="S2755" i="5" s="1"/>
  <c r="S2756" i="5" s="1"/>
  <c r="S2757" i="5" s="1"/>
  <c r="S2758" i="5" s="1"/>
  <c r="S2759" i="5" s="1"/>
  <c r="S2760" i="5" s="1"/>
  <c r="S2761" i="5" s="1"/>
  <c r="S2762" i="5" s="1"/>
  <c r="S2763" i="5" s="1"/>
  <c r="S2764" i="5" s="1"/>
  <c r="S2765" i="5" s="1"/>
  <c r="S2766" i="5" s="1"/>
  <c r="S2767" i="5" s="1"/>
  <c r="S2768" i="5" s="1"/>
  <c r="S2769" i="5" s="1"/>
  <c r="S2770" i="5" s="1"/>
  <c r="S2771" i="5" s="1"/>
  <c r="S2772" i="5" s="1"/>
  <c r="S2773" i="5" s="1"/>
  <c r="S2774" i="5" s="1"/>
  <c r="S2775" i="5" s="1"/>
  <c r="S2776" i="5" s="1"/>
  <c r="S2777" i="5" s="1"/>
  <c r="S2778" i="5" s="1"/>
  <c r="S2779" i="5" s="1"/>
  <c r="S2780" i="5" s="1"/>
  <c r="S2781" i="5" s="1"/>
  <c r="S2782" i="5" s="1"/>
  <c r="S2783" i="5" s="1"/>
  <c r="S2784" i="5" s="1"/>
  <c r="S2785" i="5" s="1"/>
  <c r="S2786" i="5" s="1"/>
  <c r="S2787" i="5" s="1"/>
  <c r="S2788" i="5" s="1"/>
  <c r="S2789" i="5" s="1"/>
  <c r="S2790" i="5" s="1"/>
  <c r="S2791" i="5" s="1"/>
  <c r="S2792" i="5" s="1"/>
  <c r="S2793" i="5" s="1"/>
  <c r="S2794" i="5" s="1"/>
  <c r="S2795" i="5" s="1"/>
  <c r="S2796" i="5" s="1"/>
  <c r="S2797" i="5" s="1"/>
  <c r="S2798" i="5" s="1"/>
  <c r="S2799" i="5" s="1"/>
  <c r="S2800" i="5" s="1"/>
  <c r="S2801" i="5" s="1"/>
  <c r="S2802" i="5" s="1"/>
  <c r="S2803" i="5" s="1"/>
  <c r="S2804" i="5" s="1"/>
  <c r="S2805" i="5" s="1"/>
  <c r="S2806" i="5" s="1"/>
  <c r="S2807" i="5" s="1"/>
  <c r="S2808" i="5" s="1"/>
  <c r="S2809" i="5" s="1"/>
  <c r="S2810" i="5" s="1"/>
  <c r="S2811" i="5" s="1"/>
  <c r="S2812" i="5" s="1"/>
  <c r="S2813" i="5" s="1"/>
  <c r="S2814" i="5" s="1"/>
  <c r="S2815" i="5" s="1"/>
  <c r="S2816" i="5" s="1"/>
  <c r="S2817" i="5" s="1"/>
  <c r="S2818" i="5" s="1"/>
  <c r="S2819" i="5" s="1"/>
  <c r="S2820" i="5" s="1"/>
  <c r="S2821" i="5" s="1"/>
  <c r="S2822" i="5" s="1"/>
  <c r="S2823" i="5" s="1"/>
  <c r="S2824" i="5" s="1"/>
  <c r="S2825" i="5" s="1"/>
  <c r="S2826" i="5" s="1"/>
  <c r="S2827" i="5" s="1"/>
  <c r="S2828" i="5" s="1"/>
  <c r="S2829" i="5" s="1"/>
  <c r="S2830" i="5" s="1"/>
  <c r="S2831" i="5" s="1"/>
  <c r="S2832" i="5" s="1"/>
  <c r="S2833" i="5" s="1"/>
  <c r="S2834" i="5" s="1"/>
  <c r="S2835" i="5" s="1"/>
  <c r="S2836" i="5" s="1"/>
  <c r="S2837" i="5" s="1"/>
  <c r="S2838" i="5" s="1"/>
  <c r="S2839" i="5" s="1"/>
  <c r="S2840" i="5" s="1"/>
  <c r="S2841" i="5" s="1"/>
  <c r="S2842" i="5" s="1"/>
  <c r="S2843" i="5" s="1"/>
  <c r="S2844" i="5" s="1"/>
  <c r="S2845" i="5" s="1"/>
  <c r="S2846" i="5" s="1"/>
  <c r="S2847" i="5" s="1"/>
  <c r="S2848" i="5" s="1"/>
  <c r="S2849" i="5" s="1"/>
  <c r="S2850" i="5" s="1"/>
  <c r="S2851" i="5" s="1"/>
  <c r="S2852" i="5" s="1"/>
  <c r="S2853" i="5" s="1"/>
  <c r="S2854" i="5" s="1"/>
  <c r="S2855" i="5" s="1"/>
  <c r="S2856" i="5" s="1"/>
  <c r="S2857" i="5" s="1"/>
  <c r="S2858" i="5" s="1"/>
  <c r="S2859" i="5" s="1"/>
  <c r="S2860" i="5" s="1"/>
  <c r="S2861" i="5" s="1"/>
  <c r="S2862" i="5" s="1"/>
  <c r="S2863" i="5" s="1"/>
  <c r="S2864" i="5" s="1"/>
  <c r="S2865" i="5" s="1"/>
  <c r="S2866" i="5" s="1"/>
  <c r="S2867" i="5" s="1"/>
  <c r="S2868" i="5" s="1"/>
  <c r="S2869" i="5" s="1"/>
  <c r="S2870" i="5" s="1"/>
  <c r="S2871" i="5" s="1"/>
  <c r="S2872" i="5" s="1"/>
  <c r="S2873" i="5" s="1"/>
  <c r="S2874" i="5" s="1"/>
  <c r="S2875" i="5" s="1"/>
  <c r="S2876" i="5" s="1"/>
  <c r="S2877" i="5" s="1"/>
  <c r="S2878" i="5" s="1"/>
  <c r="S2879" i="5" s="1"/>
  <c r="S2880" i="5" s="1"/>
  <c r="S2881" i="5" s="1"/>
  <c r="S2882" i="5" s="1"/>
  <c r="S2883" i="5" s="1"/>
  <c r="S2884" i="5" s="1"/>
  <c r="S2885" i="5" s="1"/>
  <c r="S2886" i="5" s="1"/>
  <c r="S2887" i="5" s="1"/>
  <c r="S2888" i="5" s="1"/>
  <c r="S2889" i="5" s="1"/>
  <c r="S2890" i="5" s="1"/>
  <c r="S2891" i="5" s="1"/>
  <c r="S2892" i="5" s="1"/>
  <c r="S2893" i="5" s="1"/>
  <c r="S2894" i="5" s="1"/>
  <c r="S2895" i="5" s="1"/>
  <c r="S2896" i="5" s="1"/>
  <c r="S2897" i="5" s="1"/>
  <c r="S2898" i="5" s="1"/>
  <c r="S2899" i="5" s="1"/>
  <c r="S2900" i="5" s="1"/>
  <c r="S2901" i="5" s="1"/>
  <c r="S2902" i="5" s="1"/>
  <c r="S2903" i="5" s="1"/>
  <c r="S2904" i="5" s="1"/>
  <c r="S2905" i="5" s="1"/>
  <c r="S2906" i="5" s="1"/>
  <c r="S2907" i="5" s="1"/>
  <c r="S2908" i="5" s="1"/>
  <c r="S2909" i="5" s="1"/>
  <c r="S2910" i="5" s="1"/>
  <c r="S2911" i="5" s="1"/>
  <c r="S2912" i="5" s="1"/>
  <c r="S2913" i="5" s="1"/>
  <c r="S2914" i="5" s="1"/>
  <c r="S2915" i="5" s="1"/>
  <c r="S2916" i="5" s="1"/>
  <c r="S2917" i="5" s="1"/>
  <c r="S2918" i="5" s="1"/>
  <c r="S2919" i="5" s="1"/>
  <c r="S2920" i="5" s="1"/>
  <c r="S2921" i="5" s="1"/>
  <c r="S2922" i="5" s="1"/>
  <c r="S2923" i="5" s="1"/>
  <c r="S2924" i="5" s="1"/>
  <c r="S2925" i="5" s="1"/>
  <c r="S2926" i="5" s="1"/>
  <c r="S2927" i="5" s="1"/>
  <c r="S2928" i="5" s="1"/>
  <c r="S2929" i="5" s="1"/>
  <c r="S2930" i="5" s="1"/>
  <c r="S2931" i="5" s="1"/>
  <c r="S2932" i="5" s="1"/>
  <c r="S2933" i="5" s="1"/>
  <c r="S2934" i="5" s="1"/>
  <c r="S2935" i="5" s="1"/>
  <c r="S2936" i="5" s="1"/>
  <c r="S2937" i="5" s="1"/>
  <c r="S2938" i="5" s="1"/>
  <c r="S2939" i="5" s="1"/>
  <c r="S2940" i="5" s="1"/>
  <c r="S2941" i="5" s="1"/>
  <c r="S2942" i="5" s="1"/>
  <c r="S2943" i="5" s="1"/>
  <c r="S2944" i="5" s="1"/>
  <c r="S2945" i="5" s="1"/>
  <c r="S2946" i="5" s="1"/>
  <c r="S2947" i="5" s="1"/>
  <c r="S2948" i="5" s="1"/>
  <c r="S2949" i="5" s="1"/>
  <c r="S2950" i="5" s="1"/>
  <c r="S2951" i="5" s="1"/>
  <c r="S2952" i="5" s="1"/>
  <c r="S2953" i="5" s="1"/>
  <c r="S2954" i="5" s="1"/>
  <c r="S2955" i="5" s="1"/>
  <c r="S2956" i="5" s="1"/>
  <c r="S2957" i="5" s="1"/>
  <c r="S2958" i="5" s="1"/>
  <c r="S2959" i="5" s="1"/>
  <c r="S2960" i="5" s="1"/>
  <c r="S2961" i="5" s="1"/>
  <c r="S2962" i="5" s="1"/>
  <c r="S2963" i="5" s="1"/>
  <c r="S2964" i="5" s="1"/>
  <c r="S2965" i="5" s="1"/>
  <c r="S2966" i="5" s="1"/>
  <c r="S2967" i="5" s="1"/>
  <c r="S2968" i="5" s="1"/>
  <c r="S2969" i="5" s="1"/>
  <c r="S2970" i="5" s="1"/>
  <c r="S2971" i="5" s="1"/>
  <c r="S2972" i="5" s="1"/>
  <c r="S2973" i="5" s="1"/>
  <c r="S2974" i="5" s="1"/>
  <c r="S2975" i="5" s="1"/>
  <c r="S2976" i="5" s="1"/>
  <c r="S2977" i="5" s="1"/>
  <c r="S2978" i="5" s="1"/>
  <c r="S2979" i="5" s="1"/>
  <c r="S2980" i="5" s="1"/>
  <c r="S2981" i="5" s="1"/>
  <c r="S2982" i="5" s="1"/>
  <c r="S2983" i="5" s="1"/>
  <c r="S2984" i="5" s="1"/>
  <c r="S2985" i="5" s="1"/>
  <c r="S2986" i="5" s="1"/>
  <c r="S2987" i="5" s="1"/>
  <c r="S2988" i="5" s="1"/>
  <c r="S2989" i="5" s="1"/>
  <c r="S2990" i="5" s="1"/>
  <c r="S2991" i="5" s="1"/>
  <c r="S2992" i="5" s="1"/>
  <c r="S2993" i="5" s="1"/>
  <c r="S2994" i="5" s="1"/>
  <c r="S2995" i="5" s="1"/>
  <c r="S2996" i="5" s="1"/>
  <c r="S2997" i="5" s="1"/>
  <c r="S2998" i="5" s="1"/>
  <c r="S2999" i="5" s="1"/>
  <c r="S3000" i="5" s="1"/>
  <c r="S3001" i="5" s="1"/>
  <c r="S3002" i="5" s="1"/>
  <c r="S3003" i="5" s="1"/>
  <c r="S3004" i="5" s="1"/>
  <c r="S3005" i="5" s="1"/>
  <c r="S3006" i="5" s="1"/>
  <c r="S3007" i="5" s="1"/>
  <c r="S3008" i="5" s="1"/>
  <c r="S3009" i="5" s="1"/>
  <c r="S3010" i="5" s="1"/>
  <c r="S3011" i="5" s="1"/>
  <c r="S3012" i="5" s="1"/>
  <c r="S3013" i="5" s="1"/>
  <c r="S3014" i="5" s="1"/>
  <c r="S3015" i="5" s="1"/>
  <c r="S3016" i="5" s="1"/>
  <c r="S3017" i="5" s="1"/>
  <c r="S3018" i="5" s="1"/>
  <c r="S3019" i="5" s="1"/>
  <c r="S3020" i="5" s="1"/>
  <c r="S3021" i="5" s="1"/>
  <c r="S3022" i="5" s="1"/>
  <c r="S3023" i="5" s="1"/>
  <c r="S3024" i="5" s="1"/>
  <c r="S3025" i="5" s="1"/>
  <c r="S3026" i="5" s="1"/>
  <c r="S3027" i="5" s="1"/>
  <c r="S3028" i="5" s="1"/>
  <c r="S3029" i="5" s="1"/>
  <c r="S3030" i="5" s="1"/>
  <c r="S3031" i="5" s="1"/>
  <c r="S3032" i="5" s="1"/>
  <c r="S3033" i="5" s="1"/>
  <c r="S3034" i="5" s="1"/>
  <c r="S3035" i="5" s="1"/>
  <c r="S3036" i="5" s="1"/>
  <c r="S3037" i="5" s="1"/>
  <c r="S3038" i="5" s="1"/>
  <c r="S3039" i="5" s="1"/>
  <c r="S3040" i="5" s="1"/>
  <c r="S3041" i="5" s="1"/>
  <c r="S3042" i="5" s="1"/>
  <c r="S3043" i="5" s="1"/>
  <c r="S3044" i="5" s="1"/>
  <c r="S3045" i="5" s="1"/>
  <c r="S3046" i="5" s="1"/>
  <c r="S3047" i="5" s="1"/>
  <c r="S3048" i="5" s="1"/>
  <c r="S3049" i="5" s="1"/>
  <c r="S3050" i="5" s="1"/>
  <c r="S3051" i="5" s="1"/>
  <c r="S3052" i="5" s="1"/>
  <c r="S3053" i="5" s="1"/>
  <c r="S3054" i="5" s="1"/>
  <c r="S3055" i="5" s="1"/>
  <c r="S3056" i="5" s="1"/>
  <c r="S3057" i="5" s="1"/>
  <c r="S3058" i="5" s="1"/>
  <c r="S3059" i="5" s="1"/>
  <c r="S3060" i="5" s="1"/>
  <c r="S3061" i="5" s="1"/>
  <c r="S3062" i="5" s="1"/>
  <c r="S3063" i="5" s="1"/>
  <c r="S3064" i="5" s="1"/>
  <c r="S3065" i="5" s="1"/>
  <c r="S3066" i="5" s="1"/>
  <c r="S3067" i="5" s="1"/>
  <c r="S3068" i="5" s="1"/>
  <c r="S3069" i="5" s="1"/>
  <c r="S3070" i="5" s="1"/>
  <c r="S3071" i="5" s="1"/>
  <c r="S3072" i="5" s="1"/>
  <c r="S3073" i="5" s="1"/>
  <c r="S3074" i="5" s="1"/>
  <c r="S3075" i="5" s="1"/>
  <c r="S3076" i="5" s="1"/>
  <c r="S3077" i="5" s="1"/>
  <c r="S3078" i="5" s="1"/>
  <c r="S3079" i="5" s="1"/>
  <c r="S3080" i="5" s="1"/>
  <c r="S3081" i="5" s="1"/>
  <c r="S3082" i="5" s="1"/>
  <c r="S3083" i="5" s="1"/>
  <c r="S3084" i="5" s="1"/>
  <c r="S3085" i="5" s="1"/>
  <c r="S3086" i="5" s="1"/>
  <c r="S3087" i="5" s="1"/>
  <c r="S3088" i="5" s="1"/>
  <c r="S3089" i="5" s="1"/>
  <c r="S3090" i="5" s="1"/>
  <c r="S3091" i="5" s="1"/>
  <c r="S3092" i="5" s="1"/>
  <c r="S3093" i="5" s="1"/>
  <c r="S3094" i="5" s="1"/>
  <c r="S3095" i="5" s="1"/>
  <c r="S3096" i="5" s="1"/>
  <c r="S3097" i="5" s="1"/>
  <c r="S3098" i="5" s="1"/>
  <c r="S3099" i="5" s="1"/>
  <c r="S3100" i="5" s="1"/>
  <c r="S3101" i="5" s="1"/>
  <c r="S3102" i="5" s="1"/>
  <c r="S3103" i="5" s="1"/>
  <c r="S3104" i="5" s="1"/>
  <c r="S3105" i="5" s="1"/>
  <c r="S3106" i="5" s="1"/>
  <c r="S3107" i="5" s="1"/>
  <c r="S3108" i="5" s="1"/>
  <c r="S3109" i="5" s="1"/>
  <c r="S3110" i="5" s="1"/>
  <c r="S3111" i="5" s="1"/>
  <c r="S3112" i="5" s="1"/>
  <c r="S3113" i="5" s="1"/>
  <c r="S3114" i="5" s="1"/>
  <c r="S3115" i="5" s="1"/>
  <c r="S3116" i="5" s="1"/>
  <c r="S3117" i="5" s="1"/>
  <c r="S3118" i="5" s="1"/>
  <c r="S3119" i="5" s="1"/>
  <c r="S3120" i="5" s="1"/>
  <c r="S3121" i="5" s="1"/>
  <c r="S3122" i="5" s="1"/>
  <c r="S3123" i="5" s="1"/>
  <c r="S3124" i="5" s="1"/>
  <c r="S3125" i="5" s="1"/>
  <c r="S3126" i="5" s="1"/>
  <c r="S3127" i="5" s="1"/>
  <c r="S3128" i="5" s="1"/>
  <c r="S3129" i="5" s="1"/>
  <c r="S3130" i="5" s="1"/>
  <c r="S3131" i="5" s="1"/>
  <c r="S3132" i="5" s="1"/>
  <c r="S3133" i="5" s="1"/>
  <c r="S3134" i="5" s="1"/>
  <c r="S3135" i="5" s="1"/>
  <c r="S3136" i="5" s="1"/>
  <c r="S3137" i="5" s="1"/>
  <c r="S3138" i="5" s="1"/>
  <c r="S3139" i="5" s="1"/>
  <c r="S3140" i="5" s="1"/>
  <c r="S3141" i="5" s="1"/>
  <c r="S3142" i="5" s="1"/>
  <c r="S3143" i="5" s="1"/>
  <c r="S3144" i="5" s="1"/>
  <c r="S3145" i="5" s="1"/>
  <c r="S3146" i="5" s="1"/>
  <c r="S3147" i="5" s="1"/>
  <c r="S3148" i="5" s="1"/>
  <c r="S3149" i="5" s="1"/>
  <c r="S3150" i="5" s="1"/>
  <c r="S3151" i="5" s="1"/>
  <c r="S3152" i="5" s="1"/>
  <c r="S3153" i="5" s="1"/>
  <c r="S3154" i="5" s="1"/>
  <c r="S3155" i="5" s="1"/>
  <c r="S3156" i="5" s="1"/>
  <c r="S3157" i="5" s="1"/>
  <c r="S3158" i="5" s="1"/>
  <c r="S3159" i="5" s="1"/>
  <c r="S3160" i="5" s="1"/>
  <c r="S3161" i="5" s="1"/>
  <c r="S3162" i="5" s="1"/>
  <c r="S3163" i="5" s="1"/>
  <c r="S3164" i="5" s="1"/>
  <c r="S3165" i="5" s="1"/>
  <c r="S3166" i="5" s="1"/>
  <c r="S3167" i="5" s="1"/>
  <c r="S3168" i="5" s="1"/>
  <c r="S3169" i="5" s="1"/>
  <c r="S3170" i="5" s="1"/>
  <c r="S3171" i="5" s="1"/>
  <c r="S3172" i="5" s="1"/>
  <c r="S3173" i="5" s="1"/>
  <c r="S3174" i="5" s="1"/>
  <c r="S3175" i="5" s="1"/>
  <c r="S3176" i="5" s="1"/>
  <c r="S3177" i="5" s="1"/>
  <c r="S3178" i="5" s="1"/>
  <c r="S3179" i="5" s="1"/>
  <c r="S3180" i="5" s="1"/>
  <c r="S3181" i="5" s="1"/>
  <c r="S3182" i="5" s="1"/>
  <c r="S3183" i="5" s="1"/>
  <c r="S3184" i="5" s="1"/>
  <c r="S3185" i="5" s="1"/>
  <c r="S3186" i="5" s="1"/>
  <c r="S3187" i="5" s="1"/>
  <c r="S3188" i="5" s="1"/>
  <c r="S3189" i="5" s="1"/>
  <c r="S3190" i="5" s="1"/>
  <c r="S3191" i="5" s="1"/>
  <c r="S3192" i="5" s="1"/>
  <c r="S3193" i="5" s="1"/>
  <c r="S3194" i="5" s="1"/>
  <c r="S3195" i="5" s="1"/>
  <c r="S3196" i="5" s="1"/>
  <c r="S3197" i="5" s="1"/>
  <c r="S3198" i="5" s="1"/>
  <c r="S3199" i="5" s="1"/>
  <c r="S3200" i="5" s="1"/>
  <c r="S3201" i="5" s="1"/>
  <c r="S3202" i="5" s="1"/>
  <c r="S3203" i="5" s="1"/>
  <c r="S3204" i="5" s="1"/>
  <c r="S3205" i="5" s="1"/>
  <c r="S3206" i="5" s="1"/>
  <c r="S3207" i="5" s="1"/>
  <c r="S3208" i="5" s="1"/>
  <c r="S3209" i="5" s="1"/>
  <c r="S3210" i="5" s="1"/>
  <c r="S3211" i="5" s="1"/>
  <c r="S3212" i="5" s="1"/>
  <c r="S3213" i="5" s="1"/>
  <c r="S3214" i="5" s="1"/>
  <c r="S3215" i="5" s="1"/>
  <c r="S3216" i="5" s="1"/>
  <c r="S3217" i="5" s="1"/>
  <c r="S3218" i="5" s="1"/>
  <c r="S3219" i="5" s="1"/>
  <c r="S3220" i="5" s="1"/>
  <c r="S3221" i="5" s="1"/>
  <c r="S3222" i="5" s="1"/>
  <c r="S3223" i="5" s="1"/>
  <c r="S3224" i="5" s="1"/>
  <c r="S3225" i="5" s="1"/>
  <c r="S3226" i="5" s="1"/>
  <c r="S3227" i="5" s="1"/>
  <c r="S3228" i="5" s="1"/>
  <c r="S3229" i="5" s="1"/>
  <c r="S3230" i="5" s="1"/>
  <c r="S3231" i="5" s="1"/>
  <c r="S3232" i="5" s="1"/>
  <c r="S3233" i="5" s="1"/>
  <c r="S3234" i="5" s="1"/>
  <c r="S3235" i="5" s="1"/>
  <c r="S3236" i="5" s="1"/>
  <c r="S3237" i="5" s="1"/>
  <c r="S3238" i="5" s="1"/>
  <c r="S3239" i="5" s="1"/>
  <c r="S3240" i="5" s="1"/>
  <c r="S3241" i="5" s="1"/>
  <c r="S3242" i="5" s="1"/>
  <c r="S3243" i="5" s="1"/>
  <c r="S3244" i="5" s="1"/>
  <c r="S3245" i="5" s="1"/>
  <c r="S3246" i="5" s="1"/>
  <c r="S3247" i="5" s="1"/>
  <c r="S3248" i="5" s="1"/>
  <c r="S3249" i="5" s="1"/>
  <c r="S3250" i="5" s="1"/>
  <c r="S3251" i="5" s="1"/>
  <c r="S3252" i="5" s="1"/>
  <c r="S3253" i="5" s="1"/>
  <c r="S3254" i="5" s="1"/>
  <c r="S3255" i="5" s="1"/>
  <c r="S3256" i="5" s="1"/>
  <c r="S3257" i="5" s="1"/>
  <c r="S3258" i="5" s="1"/>
  <c r="S3259" i="5" s="1"/>
  <c r="S3260" i="5" s="1"/>
  <c r="S3261" i="5" s="1"/>
  <c r="S3262" i="5" s="1"/>
  <c r="S3263" i="5" s="1"/>
  <c r="S3264" i="5" s="1"/>
  <c r="S3265" i="5" s="1"/>
  <c r="S3266" i="5" s="1"/>
  <c r="S3267" i="5" s="1"/>
  <c r="S3268" i="5" s="1"/>
  <c r="S3269" i="5" s="1"/>
  <c r="S3270" i="5" s="1"/>
  <c r="S3271" i="5" s="1"/>
  <c r="S3272" i="5" s="1"/>
  <c r="S3273" i="5" s="1"/>
  <c r="S3274" i="5" s="1"/>
  <c r="S3275" i="5" s="1"/>
  <c r="S3276" i="5" s="1"/>
  <c r="S3277" i="5" s="1"/>
  <c r="S3278" i="5" s="1"/>
  <c r="S3279" i="5" s="1"/>
  <c r="S3280" i="5" s="1"/>
  <c r="S3281" i="5" s="1"/>
  <c r="S3282" i="5" s="1"/>
  <c r="S3283" i="5" s="1"/>
  <c r="S3284" i="5" s="1"/>
  <c r="S3285" i="5" s="1"/>
  <c r="S3286" i="5" s="1"/>
  <c r="S3287" i="5" s="1"/>
  <c r="S3288" i="5" s="1"/>
  <c r="S3289" i="5" s="1"/>
  <c r="S3290" i="5" s="1"/>
  <c r="S3291" i="5" s="1"/>
  <c r="S3292" i="5" s="1"/>
  <c r="S3293" i="5" s="1"/>
  <c r="S3294" i="5" s="1"/>
  <c r="S3295" i="5" s="1"/>
  <c r="S3296" i="5" s="1"/>
  <c r="S3297" i="5" s="1"/>
  <c r="S3298" i="5" s="1"/>
  <c r="S3299" i="5" s="1"/>
  <c r="S3300" i="5" s="1"/>
  <c r="S3301" i="5" s="1"/>
  <c r="S3302" i="5" s="1"/>
  <c r="S3303" i="5" s="1"/>
  <c r="S3304" i="5" s="1"/>
  <c r="S3305" i="5" s="1"/>
  <c r="S3306" i="5" s="1"/>
  <c r="S3307" i="5" s="1"/>
  <c r="S3308" i="5" s="1"/>
  <c r="S3309" i="5" s="1"/>
  <c r="S3310" i="5" s="1"/>
  <c r="S3311" i="5" s="1"/>
  <c r="S3312" i="5" s="1"/>
  <c r="S3313" i="5" s="1"/>
  <c r="S3314" i="5" s="1"/>
  <c r="S3315" i="5" s="1"/>
  <c r="S3316" i="5" s="1"/>
  <c r="S3317" i="5" s="1"/>
  <c r="S3318" i="5" s="1"/>
  <c r="S3319" i="5" s="1"/>
  <c r="S3320" i="5" s="1"/>
  <c r="S3321" i="5" s="1"/>
  <c r="S3322" i="5" s="1"/>
  <c r="S3323" i="5" s="1"/>
  <c r="S3324" i="5" s="1"/>
  <c r="S3325" i="5" s="1"/>
  <c r="S3326" i="5" s="1"/>
  <c r="S3327" i="5" s="1"/>
  <c r="S3328" i="5" s="1"/>
  <c r="S3329" i="5" s="1"/>
  <c r="S3330" i="5" s="1"/>
  <c r="S3331" i="5" s="1"/>
  <c r="S3332" i="5" s="1"/>
  <c r="S3333" i="5" s="1"/>
  <c r="S3334" i="5" s="1"/>
  <c r="S3335" i="5" s="1"/>
  <c r="S3336" i="5" s="1"/>
  <c r="S3337" i="5" s="1"/>
  <c r="S3338" i="5" s="1"/>
  <c r="S3339" i="5" s="1"/>
  <c r="S3340" i="5" s="1"/>
  <c r="S3341" i="5" s="1"/>
  <c r="S3342" i="5" s="1"/>
  <c r="S3343" i="5" s="1"/>
  <c r="S3344" i="5" s="1"/>
  <c r="S3345" i="5" s="1"/>
  <c r="S3346" i="5" s="1"/>
  <c r="S3347" i="5" s="1"/>
  <c r="S3348" i="5" s="1"/>
  <c r="S3349" i="5" s="1"/>
  <c r="S3350" i="5" s="1"/>
  <c r="S3351" i="5" s="1"/>
  <c r="S3352" i="5" s="1"/>
  <c r="S3353" i="5" s="1"/>
  <c r="S3354" i="5" s="1"/>
  <c r="S3355" i="5" s="1"/>
  <c r="S3356" i="5" s="1"/>
  <c r="S3357" i="5" s="1"/>
  <c r="S3358" i="5" s="1"/>
  <c r="S3359" i="5" s="1"/>
  <c r="S3360" i="5" s="1"/>
  <c r="S3361" i="5" s="1"/>
  <c r="S3362" i="5" s="1"/>
  <c r="S3363" i="5" s="1"/>
  <c r="S3364" i="5" s="1"/>
  <c r="S3365" i="5" s="1"/>
  <c r="S3366" i="5" s="1"/>
  <c r="S3367" i="5" s="1"/>
  <c r="S3368" i="5" s="1"/>
  <c r="S3369" i="5" s="1"/>
  <c r="S3370" i="5" s="1"/>
  <c r="S3371" i="5" s="1"/>
  <c r="S3372" i="5" s="1"/>
  <c r="S3373" i="5" s="1"/>
  <c r="S3374" i="5" s="1"/>
  <c r="S3375" i="5" s="1"/>
  <c r="S3376" i="5" s="1"/>
  <c r="S3377" i="5" s="1"/>
  <c r="S3378" i="5" s="1"/>
  <c r="S3379" i="5" s="1"/>
  <c r="S3380" i="5" s="1"/>
  <c r="S3381" i="5" s="1"/>
  <c r="S3382" i="5" s="1"/>
  <c r="S3383" i="5" s="1"/>
  <c r="S3384" i="5" s="1"/>
  <c r="S3385" i="5" s="1"/>
  <c r="S3386" i="5" s="1"/>
  <c r="S3387" i="5" s="1"/>
  <c r="S3388" i="5" s="1"/>
  <c r="S3389" i="5" s="1"/>
  <c r="S3390" i="5" s="1"/>
  <c r="S3391" i="5" s="1"/>
  <c r="S3392" i="5" s="1"/>
  <c r="S3393" i="5" s="1"/>
  <c r="S3394" i="5" s="1"/>
  <c r="S3395" i="5" s="1"/>
  <c r="S3396" i="5" s="1"/>
  <c r="S3397" i="5" s="1"/>
  <c r="S3398" i="5" s="1"/>
  <c r="S3399" i="5" s="1"/>
  <c r="S3400" i="5" s="1"/>
  <c r="S3401" i="5" s="1"/>
  <c r="S3402" i="5" s="1"/>
  <c r="S3403" i="5" s="1"/>
  <c r="S3404" i="5" s="1"/>
  <c r="S3405" i="5" s="1"/>
  <c r="S3406" i="5" s="1"/>
  <c r="S3407" i="5" s="1"/>
  <c r="S3408" i="5" s="1"/>
  <c r="S3409" i="5" s="1"/>
  <c r="S3410" i="5" s="1"/>
  <c r="S3411" i="5" s="1"/>
  <c r="S3412" i="5" s="1"/>
  <c r="S3413" i="5" s="1"/>
  <c r="S3414" i="5" s="1"/>
  <c r="S3415" i="5" s="1"/>
  <c r="S3416" i="5" s="1"/>
  <c r="S3417" i="5" s="1"/>
  <c r="S3418" i="5" s="1"/>
  <c r="S3419" i="5" s="1"/>
  <c r="S3420" i="5" s="1"/>
  <c r="S3421" i="5" s="1"/>
  <c r="S3422" i="5" s="1"/>
  <c r="S3423" i="5" s="1"/>
  <c r="S3424" i="5" s="1"/>
  <c r="S3425" i="5" s="1"/>
  <c r="S3426" i="5" s="1"/>
  <c r="S3427" i="5" s="1"/>
  <c r="S3428" i="5" s="1"/>
  <c r="S3429" i="5" s="1"/>
  <c r="S3430" i="5" s="1"/>
  <c r="S3431" i="5" s="1"/>
  <c r="S3432" i="5" s="1"/>
  <c r="S3433" i="5" s="1"/>
  <c r="S3434" i="5" s="1"/>
  <c r="S3435" i="5" s="1"/>
  <c r="S3436" i="5" s="1"/>
  <c r="S3437" i="5" s="1"/>
  <c r="S3438" i="5" s="1"/>
  <c r="S3439" i="5" s="1"/>
  <c r="S3440" i="5" s="1"/>
  <c r="S3441" i="5" s="1"/>
  <c r="S3442" i="5" s="1"/>
  <c r="S3443" i="5" s="1"/>
  <c r="S3444" i="5" s="1"/>
  <c r="S3445" i="5" s="1"/>
  <c r="S3446" i="5" s="1"/>
  <c r="S3447" i="5" s="1"/>
  <c r="S3448" i="5" s="1"/>
  <c r="S3449" i="5" s="1"/>
  <c r="S3450" i="5" s="1"/>
  <c r="S3451" i="5" s="1"/>
  <c r="S3452" i="5" s="1"/>
  <c r="S3453" i="5" s="1"/>
  <c r="S3454" i="5" s="1"/>
  <c r="S3455" i="5" s="1"/>
  <c r="S3456" i="5" s="1"/>
  <c r="S3457" i="5" s="1"/>
  <c r="S3458" i="5" s="1"/>
  <c r="S3459" i="5" s="1"/>
  <c r="S3460" i="5" s="1"/>
  <c r="S3461" i="5" s="1"/>
  <c r="S3462" i="5" s="1"/>
  <c r="S3463" i="5" s="1"/>
  <c r="S3464" i="5" s="1"/>
  <c r="S3465" i="5" s="1"/>
  <c r="S3466" i="5" s="1"/>
  <c r="S3467" i="5" s="1"/>
  <c r="S3468" i="5" s="1"/>
  <c r="S3469" i="5" s="1"/>
  <c r="S3470" i="5" s="1"/>
  <c r="S3471" i="5" s="1"/>
  <c r="S3472" i="5" s="1"/>
  <c r="S3473" i="5" s="1"/>
  <c r="S3474" i="5" s="1"/>
  <c r="S3475" i="5" s="1"/>
  <c r="S3476" i="5" s="1"/>
  <c r="S3477" i="5" s="1"/>
  <c r="S3478" i="5" s="1"/>
  <c r="S3479" i="5" s="1"/>
  <c r="S3480" i="5" s="1"/>
  <c r="S3481" i="5" s="1"/>
  <c r="S3482" i="5" s="1"/>
  <c r="S3483" i="5" s="1"/>
  <c r="S3484" i="5" s="1"/>
  <c r="S3485" i="5" s="1"/>
  <c r="S3486" i="5" s="1"/>
  <c r="S3487" i="5" s="1"/>
  <c r="S3488" i="5" s="1"/>
  <c r="S3489" i="5" s="1"/>
  <c r="S3490" i="5" s="1"/>
  <c r="S3491" i="5" s="1"/>
  <c r="S3492" i="5" s="1"/>
  <c r="S3493" i="5" s="1"/>
  <c r="S3494" i="5" s="1"/>
  <c r="S3495" i="5" s="1"/>
  <c r="S3496" i="5" s="1"/>
  <c r="S3497" i="5" s="1"/>
  <c r="S3498" i="5" s="1"/>
  <c r="S3499" i="5" s="1"/>
  <c r="S3500" i="5" s="1"/>
  <c r="S3501" i="5" s="1"/>
  <c r="S3502" i="5" s="1"/>
  <c r="S3503" i="5" s="1"/>
  <c r="S3504" i="5" s="1"/>
  <c r="S3505" i="5" s="1"/>
  <c r="S3506" i="5" s="1"/>
  <c r="S3507" i="5" s="1"/>
  <c r="S3508" i="5" s="1"/>
  <c r="S3509" i="5" s="1"/>
  <c r="S3510" i="5" s="1"/>
  <c r="S3511" i="5" s="1"/>
  <c r="S3512" i="5" s="1"/>
  <c r="S3513" i="5" s="1"/>
  <c r="S3514" i="5" s="1"/>
  <c r="S3515" i="5" s="1"/>
  <c r="S3516" i="5" s="1"/>
  <c r="S3517" i="5" s="1"/>
  <c r="S3518" i="5" s="1"/>
  <c r="S3519" i="5" s="1"/>
  <c r="S3520" i="5" s="1"/>
  <c r="S3521" i="5" s="1"/>
  <c r="S3522" i="5" s="1"/>
  <c r="S3523" i="5" s="1"/>
  <c r="S3524" i="5" s="1"/>
  <c r="S3525" i="5" s="1"/>
  <c r="S3526" i="5" s="1"/>
  <c r="S3527" i="5" s="1"/>
  <c r="S3528" i="5" s="1"/>
  <c r="S3529" i="5" s="1"/>
  <c r="S3530" i="5" s="1"/>
  <c r="S3531" i="5" s="1"/>
  <c r="S3532" i="5" s="1"/>
  <c r="S3533" i="5" s="1"/>
  <c r="S3534" i="5" s="1"/>
  <c r="S3535" i="5" s="1"/>
  <c r="S3536" i="5" s="1"/>
  <c r="S3537" i="5" s="1"/>
  <c r="S3538" i="5" s="1"/>
  <c r="S3539" i="5" s="1"/>
  <c r="S3540" i="5" s="1"/>
  <c r="S3541" i="5" s="1"/>
  <c r="S3542" i="5" s="1"/>
  <c r="S3543" i="5" s="1"/>
  <c r="S3544" i="5" s="1"/>
  <c r="S3545" i="5" s="1"/>
  <c r="S3546" i="5" s="1"/>
  <c r="S3547" i="5" s="1"/>
  <c r="S3548" i="5" s="1"/>
  <c r="S3549" i="5" s="1"/>
  <c r="S3550" i="5" s="1"/>
  <c r="S3551" i="5" s="1"/>
  <c r="S3552" i="5" s="1"/>
  <c r="S3553" i="5" s="1"/>
  <c r="S3554" i="5" s="1"/>
  <c r="S3555" i="5" s="1"/>
  <c r="S3556" i="5" s="1"/>
  <c r="S3557" i="5" s="1"/>
  <c r="S3558" i="5" s="1"/>
  <c r="S3559" i="5" s="1"/>
  <c r="S3560" i="5" s="1"/>
  <c r="S3561" i="5" s="1"/>
  <c r="S3562" i="5" s="1"/>
  <c r="S3563" i="5" s="1"/>
  <c r="S3564" i="5" s="1"/>
  <c r="S3565" i="5" s="1"/>
  <c r="S3566" i="5" s="1"/>
  <c r="S3567" i="5" s="1"/>
  <c r="S3568" i="5" s="1"/>
  <c r="S3569" i="5" s="1"/>
  <c r="S3570" i="5" s="1"/>
  <c r="S3571" i="5" s="1"/>
  <c r="S3572" i="5" s="1"/>
  <c r="S3573" i="5" s="1"/>
  <c r="S3574" i="5" s="1"/>
  <c r="S3575" i="5" s="1"/>
  <c r="S3576" i="5" s="1"/>
  <c r="S3577" i="5" s="1"/>
  <c r="S3578" i="5" s="1"/>
  <c r="S3579" i="5" s="1"/>
  <c r="S3580" i="5" s="1"/>
  <c r="S3581" i="5" s="1"/>
  <c r="S3582" i="5" s="1"/>
  <c r="S3583" i="5" s="1"/>
  <c r="S3584" i="5" s="1"/>
  <c r="S3585" i="5" s="1"/>
  <c r="S3586" i="5" s="1"/>
  <c r="S3587" i="5" s="1"/>
  <c r="S3588" i="5" s="1"/>
  <c r="S3589" i="5" s="1"/>
  <c r="S3590" i="5" s="1"/>
  <c r="S3591" i="5" s="1"/>
  <c r="S3592" i="5" s="1"/>
  <c r="S3593" i="5" s="1"/>
  <c r="S3594" i="5" s="1"/>
  <c r="S3595" i="5" s="1"/>
  <c r="S3596" i="5" s="1"/>
  <c r="S3597" i="5" s="1"/>
  <c r="S3598" i="5" s="1"/>
  <c r="S3599" i="5" s="1"/>
  <c r="S3600" i="5" s="1"/>
  <c r="S3601" i="5" s="1"/>
  <c r="S3602" i="5" s="1"/>
  <c r="S3603" i="5" s="1"/>
  <c r="S3604" i="5" s="1"/>
  <c r="S3605" i="5" s="1"/>
  <c r="S3606" i="5" s="1"/>
  <c r="S3607" i="5" s="1"/>
  <c r="S3608" i="5" s="1"/>
  <c r="S3609" i="5" s="1"/>
  <c r="S3610" i="5" s="1"/>
  <c r="S3611" i="5" s="1"/>
  <c r="S3612" i="5" s="1"/>
  <c r="S3613" i="5" s="1"/>
  <c r="S3614" i="5" s="1"/>
  <c r="S3615" i="5" s="1"/>
  <c r="S3616" i="5" s="1"/>
  <c r="S3617" i="5" s="1"/>
  <c r="S3618" i="5" s="1"/>
  <c r="S3619" i="5" s="1"/>
  <c r="S3620" i="5" s="1"/>
  <c r="S3621" i="5" s="1"/>
  <c r="S3622" i="5" s="1"/>
  <c r="S3623" i="5" s="1"/>
  <c r="S3624" i="5" s="1"/>
  <c r="S3625" i="5" s="1"/>
  <c r="S3626" i="5" s="1"/>
  <c r="S3627" i="5" s="1"/>
  <c r="S3628" i="5" s="1"/>
  <c r="S3629" i="5" s="1"/>
  <c r="S3630" i="5" s="1"/>
  <c r="S3631" i="5" s="1"/>
  <c r="S3632" i="5" s="1"/>
  <c r="S3633" i="5" s="1"/>
  <c r="S3634" i="5" s="1"/>
  <c r="S3635" i="5" s="1"/>
  <c r="S3636" i="5" s="1"/>
  <c r="S3637" i="5" s="1"/>
  <c r="S3638" i="5" s="1"/>
  <c r="S3639" i="5" s="1"/>
  <c r="S3640" i="5" s="1"/>
  <c r="S3641" i="5" s="1"/>
  <c r="S3642" i="5" s="1"/>
  <c r="S3643" i="5" s="1"/>
  <c r="S3644" i="5" s="1"/>
  <c r="S3645" i="5" s="1"/>
  <c r="S3646" i="5" s="1"/>
  <c r="S3647" i="5" s="1"/>
  <c r="S3648" i="5" s="1"/>
  <c r="S3649" i="5" s="1"/>
  <c r="S3650" i="5" s="1"/>
  <c r="S3651" i="5" s="1"/>
  <c r="S3652" i="5" s="1"/>
  <c r="S3653" i="5" s="1"/>
  <c r="S3654" i="5" s="1"/>
  <c r="S3655" i="5" s="1"/>
  <c r="S3656" i="5" s="1"/>
  <c r="S3657" i="5" s="1"/>
  <c r="S3658" i="5" s="1"/>
  <c r="S3659" i="5" s="1"/>
  <c r="S3660" i="5" s="1"/>
  <c r="S3661" i="5" s="1"/>
  <c r="S3662" i="5" s="1"/>
  <c r="S3663" i="5" s="1"/>
  <c r="S3664" i="5" s="1"/>
  <c r="S3665" i="5" s="1"/>
  <c r="S3666" i="5" s="1"/>
  <c r="S3667" i="5" s="1"/>
  <c r="S3668" i="5" s="1"/>
  <c r="S3669" i="5" s="1"/>
  <c r="S3670" i="5" s="1"/>
  <c r="S3671" i="5" s="1"/>
  <c r="S3672" i="5" s="1"/>
  <c r="S3673" i="5" s="1"/>
  <c r="S3674" i="5" s="1"/>
  <c r="S3675" i="5" s="1"/>
  <c r="S3676" i="5" s="1"/>
  <c r="S3677" i="5" s="1"/>
  <c r="S3678" i="5" s="1"/>
  <c r="S3679" i="5" s="1"/>
  <c r="S3680" i="5" s="1"/>
  <c r="S3681" i="5" s="1"/>
  <c r="S3682" i="5" s="1"/>
  <c r="S3683" i="5" s="1"/>
  <c r="S3684" i="5" s="1"/>
  <c r="S3685" i="5" s="1"/>
  <c r="S3686" i="5" s="1"/>
  <c r="S3687" i="5" s="1"/>
  <c r="S3688" i="5" s="1"/>
  <c r="S3689" i="5" s="1"/>
  <c r="S3690" i="5" s="1"/>
  <c r="S3691" i="5" s="1"/>
  <c r="S3692" i="5" s="1"/>
  <c r="S3693" i="5" s="1"/>
  <c r="S3694" i="5" s="1"/>
  <c r="S3695" i="5" s="1"/>
  <c r="S3696" i="5" s="1"/>
  <c r="S3697" i="5" s="1"/>
  <c r="S3698" i="5" s="1"/>
  <c r="S3699" i="5" s="1"/>
  <c r="S3700" i="5" s="1"/>
  <c r="S3701" i="5" s="1"/>
  <c r="S3702" i="5" s="1"/>
  <c r="S3703" i="5" s="1"/>
  <c r="S3704" i="5" s="1"/>
  <c r="S3705" i="5" s="1"/>
  <c r="S3706" i="5" s="1"/>
  <c r="S3707" i="5" s="1"/>
  <c r="S3708" i="5" s="1"/>
  <c r="S3709" i="5" s="1"/>
  <c r="S3710" i="5" s="1"/>
  <c r="S3711" i="5" s="1"/>
  <c r="S3712" i="5" s="1"/>
  <c r="S3713" i="5" s="1"/>
  <c r="S3714" i="5" s="1"/>
  <c r="S3715" i="5" s="1"/>
  <c r="S3716" i="5" s="1"/>
  <c r="S3717" i="5" s="1"/>
  <c r="S3718" i="5" s="1"/>
  <c r="S3719" i="5" s="1"/>
  <c r="S3720" i="5" s="1"/>
  <c r="S3721" i="5" s="1"/>
  <c r="S3722" i="5" s="1"/>
  <c r="S3723" i="5" s="1"/>
  <c r="S3724" i="5" s="1"/>
  <c r="S3725" i="5" s="1"/>
  <c r="S3726" i="5" s="1"/>
  <c r="S3727" i="5" s="1"/>
  <c r="S3728" i="5" s="1"/>
  <c r="S3729" i="5" s="1"/>
  <c r="S3730" i="5" s="1"/>
  <c r="S3731" i="5" s="1"/>
  <c r="S3732" i="5" s="1"/>
  <c r="S3733" i="5" s="1"/>
  <c r="S3734" i="5" s="1"/>
  <c r="S3735" i="5" s="1"/>
  <c r="S3736" i="5" s="1"/>
  <c r="S3737" i="5" s="1"/>
  <c r="S3738" i="5" s="1"/>
  <c r="S3739" i="5" s="1"/>
  <c r="S3740" i="5" s="1"/>
  <c r="S3741" i="5" s="1"/>
  <c r="S3742" i="5" s="1"/>
  <c r="S3743" i="5" s="1"/>
  <c r="S3744" i="5" s="1"/>
  <c r="S3745" i="5" s="1"/>
  <c r="S3746" i="5" s="1"/>
  <c r="S3747" i="5" s="1"/>
  <c r="S3748" i="5" s="1"/>
  <c r="S3749" i="5" s="1"/>
  <c r="S3750" i="5" s="1"/>
  <c r="S3751" i="5" s="1"/>
  <c r="S3752" i="5" s="1"/>
  <c r="S3753" i="5" s="1"/>
  <c r="S3754" i="5" s="1"/>
  <c r="S3755" i="5" s="1"/>
  <c r="S3756" i="5" s="1"/>
  <c r="S3757" i="5" s="1"/>
  <c r="S3758" i="5" s="1"/>
  <c r="S3759" i="5" s="1"/>
  <c r="S3760" i="5" s="1"/>
  <c r="S3761" i="5" s="1"/>
  <c r="S3762" i="5" s="1"/>
  <c r="S3763" i="5" s="1"/>
  <c r="S3764" i="5" s="1"/>
  <c r="S3765" i="5" s="1"/>
  <c r="S3766" i="5" s="1"/>
  <c r="S3767" i="5" s="1"/>
  <c r="S3768" i="5" s="1"/>
  <c r="S3769" i="5" s="1"/>
  <c r="S3770" i="5" s="1"/>
  <c r="S3771" i="5" s="1"/>
  <c r="S3772" i="5" s="1"/>
  <c r="S3773" i="5" s="1"/>
  <c r="S3774" i="5" s="1"/>
  <c r="S3775" i="5" s="1"/>
  <c r="S3776" i="5" s="1"/>
  <c r="S3777" i="5" s="1"/>
  <c r="S3778" i="5" s="1"/>
  <c r="S3779" i="5" s="1"/>
  <c r="S3780" i="5" s="1"/>
  <c r="S3781" i="5" s="1"/>
  <c r="S3782" i="5" s="1"/>
  <c r="S3783" i="5" s="1"/>
  <c r="S3784" i="5" s="1"/>
  <c r="S3785" i="5" s="1"/>
  <c r="S3786" i="5" s="1"/>
  <c r="S3787" i="5" s="1"/>
  <c r="S3788" i="5" s="1"/>
  <c r="S3789" i="5" s="1"/>
  <c r="S3790" i="5" s="1"/>
  <c r="S3791" i="5" s="1"/>
  <c r="S3792" i="5" s="1"/>
  <c r="S3793" i="5" s="1"/>
  <c r="S3794" i="5" s="1"/>
  <c r="S3795" i="5" s="1"/>
  <c r="S3796" i="5" s="1"/>
  <c r="S3797" i="5" s="1"/>
  <c r="S3798" i="5" s="1"/>
  <c r="S3799" i="5" s="1"/>
  <c r="S3800" i="5" s="1"/>
  <c r="S3801" i="5" s="1"/>
  <c r="S3802" i="5" s="1"/>
  <c r="S3803" i="5" s="1"/>
  <c r="S3804" i="5" s="1"/>
  <c r="S3805" i="5" s="1"/>
  <c r="S3806" i="5" s="1"/>
  <c r="S3807" i="5" s="1"/>
  <c r="S3808" i="5" s="1"/>
  <c r="S3809" i="5" s="1"/>
  <c r="S3810" i="5" s="1"/>
  <c r="S3811" i="5" s="1"/>
  <c r="S3812" i="5" s="1"/>
  <c r="S3813" i="5" s="1"/>
  <c r="S3814" i="5" s="1"/>
  <c r="S3815" i="5" s="1"/>
  <c r="S3816" i="5" s="1"/>
  <c r="S3817" i="5" s="1"/>
  <c r="S3818" i="5" s="1"/>
  <c r="S3819" i="5" s="1"/>
  <c r="S3820" i="5" s="1"/>
  <c r="S3821" i="5" s="1"/>
  <c r="S3822" i="5" s="1"/>
  <c r="S3823" i="5" s="1"/>
  <c r="S3824" i="5" s="1"/>
  <c r="S3825" i="5" s="1"/>
  <c r="S3826" i="5" s="1"/>
  <c r="S3827" i="5" s="1"/>
  <c r="S3828" i="5" s="1"/>
  <c r="S3829" i="5" s="1"/>
  <c r="S3830" i="5" s="1"/>
  <c r="S3831" i="5" s="1"/>
  <c r="S3832" i="5" s="1"/>
  <c r="S3833" i="5" s="1"/>
  <c r="S3834" i="5" s="1"/>
  <c r="S3835" i="5" s="1"/>
  <c r="S3836" i="5" s="1"/>
  <c r="S3837" i="5" s="1"/>
  <c r="S3838" i="5" s="1"/>
  <c r="S3839" i="5" s="1"/>
  <c r="S3840" i="5" s="1"/>
  <c r="S3841" i="5" s="1"/>
  <c r="S3842" i="5" s="1"/>
  <c r="S3843" i="5" s="1"/>
  <c r="S3844" i="5" s="1"/>
  <c r="S3845" i="5" s="1"/>
  <c r="S3846" i="5" s="1"/>
  <c r="S3847" i="5" s="1"/>
  <c r="S3848" i="5" s="1"/>
  <c r="S3849" i="5" s="1"/>
  <c r="S3850" i="5" s="1"/>
  <c r="S3851" i="5" s="1"/>
  <c r="S3852" i="5" s="1"/>
  <c r="S3853" i="5" s="1"/>
  <c r="S3854" i="5" s="1"/>
  <c r="S3855" i="5" s="1"/>
  <c r="S3856" i="5" s="1"/>
  <c r="S3857" i="5" s="1"/>
  <c r="S3858" i="5" s="1"/>
  <c r="S3859" i="5" s="1"/>
  <c r="S3860" i="5" s="1"/>
  <c r="S3861" i="5" s="1"/>
  <c r="S3862" i="5" s="1"/>
  <c r="S3863" i="5" s="1"/>
  <c r="S3864" i="5" s="1"/>
  <c r="S3865" i="5" s="1"/>
  <c r="S3866" i="5" s="1"/>
  <c r="S3867" i="5" s="1"/>
  <c r="S3868" i="5" s="1"/>
  <c r="S3869" i="5" s="1"/>
  <c r="S3870" i="5" s="1"/>
  <c r="S3871" i="5" s="1"/>
  <c r="S3872" i="5" s="1"/>
  <c r="S3873" i="5" s="1"/>
  <c r="S3874" i="5" s="1"/>
  <c r="S3875" i="5" s="1"/>
  <c r="S3876" i="5" s="1"/>
  <c r="S3877" i="5" s="1"/>
  <c r="S3878" i="5" s="1"/>
  <c r="S3879" i="5" s="1"/>
  <c r="S3880" i="5" s="1"/>
  <c r="S3881" i="5" s="1"/>
  <c r="S3882" i="5" s="1"/>
  <c r="S3883" i="5" s="1"/>
  <c r="S3884" i="5" s="1"/>
  <c r="S3885" i="5" s="1"/>
  <c r="S3886" i="5" s="1"/>
  <c r="S3887" i="5" s="1"/>
  <c r="S3888" i="5" s="1"/>
  <c r="S3889" i="5" s="1"/>
  <c r="S3890" i="5" s="1"/>
  <c r="S3891" i="5" s="1"/>
  <c r="S3892" i="5" s="1"/>
  <c r="S3893" i="5" s="1"/>
  <c r="S3894" i="5" s="1"/>
  <c r="S3895" i="5" s="1"/>
  <c r="S3896" i="5" s="1"/>
  <c r="S3897" i="5" s="1"/>
  <c r="S3898" i="5" s="1"/>
  <c r="S3899" i="5" s="1"/>
  <c r="S3900" i="5" s="1"/>
  <c r="S3901" i="5" s="1"/>
  <c r="S3902" i="5" s="1"/>
  <c r="S3903" i="5" s="1"/>
  <c r="S3904" i="5" s="1"/>
  <c r="S3905" i="5" s="1"/>
  <c r="S3906" i="5" s="1"/>
  <c r="S3907" i="5" s="1"/>
  <c r="S3908" i="5" s="1"/>
  <c r="S3909" i="5" s="1"/>
  <c r="S3910" i="5" s="1"/>
  <c r="S3911" i="5" s="1"/>
  <c r="S3912" i="5" s="1"/>
  <c r="S3913" i="5" s="1"/>
  <c r="S3914" i="5" s="1"/>
  <c r="S3915" i="5" s="1"/>
  <c r="S3916" i="5" s="1"/>
  <c r="S3917" i="5" s="1"/>
  <c r="S3918" i="5" s="1"/>
  <c r="S3919" i="5" s="1"/>
  <c r="S3920" i="5" s="1"/>
  <c r="S3921" i="5" s="1"/>
  <c r="S3922" i="5" s="1"/>
  <c r="S3923" i="5" s="1"/>
  <c r="S3924" i="5" s="1"/>
  <c r="S3925" i="5" s="1"/>
  <c r="S3926" i="5" s="1"/>
  <c r="S3927" i="5" s="1"/>
  <c r="S3928" i="5" s="1"/>
  <c r="S3929" i="5" s="1"/>
  <c r="S3930" i="5" s="1"/>
  <c r="S3931" i="5" s="1"/>
  <c r="S3932" i="5" s="1"/>
  <c r="S3933" i="5" s="1"/>
  <c r="S3934" i="5" s="1"/>
  <c r="S3935" i="5" s="1"/>
  <c r="S3936" i="5" s="1"/>
  <c r="S3937" i="5" s="1"/>
  <c r="S3938" i="5" s="1"/>
  <c r="S3939" i="5" s="1"/>
  <c r="S3940" i="5" s="1"/>
  <c r="S3941" i="5" s="1"/>
  <c r="S3942" i="5" s="1"/>
  <c r="S3943" i="5" s="1"/>
  <c r="S3944" i="5" s="1"/>
  <c r="S3945" i="5" s="1"/>
  <c r="S3946" i="5" s="1"/>
  <c r="S3947" i="5" s="1"/>
  <c r="S3948" i="5" s="1"/>
  <c r="S3949" i="5" s="1"/>
  <c r="S3950" i="5" s="1"/>
  <c r="S3951" i="5" s="1"/>
  <c r="S3952" i="5" s="1"/>
  <c r="S3953" i="5" s="1"/>
  <c r="S3954" i="5" s="1"/>
  <c r="S3955" i="5" s="1"/>
  <c r="S3956" i="5" s="1"/>
  <c r="S3957" i="5" s="1"/>
  <c r="S3958" i="5" s="1"/>
  <c r="S3959" i="5" s="1"/>
  <c r="S3960" i="5" s="1"/>
  <c r="S3961" i="5" s="1"/>
  <c r="S3962" i="5" s="1"/>
  <c r="S3963" i="5" s="1"/>
  <c r="S3964" i="5" s="1"/>
  <c r="S3965" i="5" s="1"/>
  <c r="S3966" i="5" s="1"/>
  <c r="S3967" i="5" s="1"/>
  <c r="S3968" i="5" s="1"/>
  <c r="S3969" i="5" s="1"/>
  <c r="S3970" i="5" s="1"/>
  <c r="S3971" i="5" s="1"/>
  <c r="S3972" i="5" s="1"/>
  <c r="S3973" i="5" s="1"/>
  <c r="S3974" i="5" s="1"/>
  <c r="S3975" i="5" s="1"/>
  <c r="S3976" i="5" s="1"/>
  <c r="S3977" i="5" s="1"/>
  <c r="S3978" i="5" s="1"/>
  <c r="S3979" i="5" s="1"/>
  <c r="S3980" i="5" s="1"/>
  <c r="S3981" i="5" s="1"/>
  <c r="S3982" i="5" s="1"/>
  <c r="S3983" i="5" s="1"/>
  <c r="S3984" i="5" s="1"/>
  <c r="S3985" i="5" s="1"/>
  <c r="S3986" i="5" s="1"/>
  <c r="S3987" i="5" s="1"/>
  <c r="S3988" i="5" s="1"/>
  <c r="S3989" i="5" s="1"/>
  <c r="S3990" i="5" s="1"/>
  <c r="S3991" i="5" s="1"/>
  <c r="S3992" i="5" s="1"/>
  <c r="S3993" i="5" s="1"/>
  <c r="S3994" i="5" s="1"/>
  <c r="S3995" i="5" s="1"/>
  <c r="S3996" i="5" s="1"/>
  <c r="S3997" i="5" s="1"/>
  <c r="S3998" i="5" s="1"/>
  <c r="S3999" i="5" s="1"/>
  <c r="S4000" i="5" s="1"/>
  <c r="S4001" i="5" s="1"/>
  <c r="S4002" i="5" s="1"/>
  <c r="S4003" i="5" s="1"/>
  <c r="S4004" i="5" s="1"/>
  <c r="S4005" i="5" s="1"/>
  <c r="S4006" i="5" s="1"/>
  <c r="S4007" i="5" s="1"/>
  <c r="S4008" i="5" s="1"/>
  <c r="S4009" i="5" s="1"/>
  <c r="S4010" i="5" s="1"/>
  <c r="S4011" i="5" s="1"/>
  <c r="S4012" i="5" s="1"/>
  <c r="S4013" i="5" s="1"/>
  <c r="S4014" i="5" s="1"/>
  <c r="S4015" i="5" s="1"/>
  <c r="S4016" i="5" s="1"/>
  <c r="S4017" i="5" s="1"/>
  <c r="S4018" i="5" s="1"/>
  <c r="S4019" i="5" s="1"/>
  <c r="S4020" i="5" s="1"/>
  <c r="S4021" i="5" s="1"/>
  <c r="S4022" i="5" s="1"/>
  <c r="S4023" i="5" s="1"/>
  <c r="S4024" i="5" s="1"/>
  <c r="S4025" i="5" s="1"/>
  <c r="S4026" i="5" s="1"/>
  <c r="S4027" i="5" s="1"/>
  <c r="S4028" i="5" s="1"/>
  <c r="S4029" i="5" s="1"/>
  <c r="S4030" i="5" s="1"/>
  <c r="S4031" i="5" s="1"/>
  <c r="S4032" i="5" s="1"/>
  <c r="S4033" i="5" s="1"/>
  <c r="S4034" i="5" s="1"/>
  <c r="S4035" i="5" s="1"/>
  <c r="S4036" i="5" s="1"/>
  <c r="S4037" i="5" s="1"/>
  <c r="S4038" i="5" s="1"/>
  <c r="S4039" i="5" s="1"/>
  <c r="S4040" i="5" s="1"/>
  <c r="S4041" i="5" s="1"/>
  <c r="S4042" i="5" s="1"/>
  <c r="S4043" i="5" s="1"/>
  <c r="S4044" i="5" s="1"/>
  <c r="S4045" i="5" s="1"/>
  <c r="S4046" i="5" s="1"/>
  <c r="S4047" i="5" s="1"/>
  <c r="S4048" i="5" s="1"/>
  <c r="S4049" i="5" s="1"/>
  <c r="S4050" i="5" s="1"/>
  <c r="S4051" i="5" s="1"/>
  <c r="S4052" i="5" s="1"/>
  <c r="S4053" i="5" s="1"/>
  <c r="S4054" i="5" s="1"/>
  <c r="S4055" i="5" s="1"/>
  <c r="S4056" i="5" s="1"/>
  <c r="S4057" i="5" s="1"/>
  <c r="S4058" i="5" s="1"/>
  <c r="S4059" i="5" s="1"/>
  <c r="S4060" i="5" s="1"/>
  <c r="S4061" i="5" s="1"/>
  <c r="S4062" i="5" s="1"/>
  <c r="S4063" i="5" s="1"/>
  <c r="S4064" i="5" s="1"/>
  <c r="S4065" i="5" s="1"/>
  <c r="S4066" i="5" s="1"/>
  <c r="S4067" i="5" s="1"/>
  <c r="S4068" i="5" s="1"/>
  <c r="S4069" i="5" s="1"/>
  <c r="S4070" i="5" s="1"/>
  <c r="S4071" i="5" s="1"/>
  <c r="S4072" i="5" s="1"/>
  <c r="S4073" i="5" s="1"/>
  <c r="S4074" i="5" s="1"/>
  <c r="S4075" i="5" s="1"/>
  <c r="S4076" i="5" s="1"/>
  <c r="S4077" i="5" s="1"/>
  <c r="S4078" i="5" s="1"/>
  <c r="S4079" i="5" s="1"/>
  <c r="S4080" i="5" s="1"/>
  <c r="S4081" i="5" s="1"/>
  <c r="S4082" i="5" s="1"/>
  <c r="S4083" i="5" s="1"/>
  <c r="S4084" i="5" s="1"/>
  <c r="S4085" i="5" s="1"/>
  <c r="S4086" i="5" s="1"/>
  <c r="S4087" i="5" s="1"/>
  <c r="S4088" i="5" s="1"/>
  <c r="S4089" i="5" s="1"/>
  <c r="S4090" i="5" s="1"/>
  <c r="S4091" i="5" s="1"/>
  <c r="S4092" i="5" s="1"/>
  <c r="S4093" i="5" s="1"/>
  <c r="S4094" i="5" s="1"/>
  <c r="S4095" i="5" s="1"/>
  <c r="S4096" i="5" s="1"/>
  <c r="S4097" i="5" s="1"/>
  <c r="S4098" i="5" s="1"/>
  <c r="S4099" i="5" s="1"/>
  <c r="S4100" i="5" s="1"/>
  <c r="S4101" i="5" s="1"/>
  <c r="S4102" i="5" s="1"/>
  <c r="S4103" i="5" s="1"/>
  <c r="S4104" i="5" s="1"/>
  <c r="S4105" i="5" s="1"/>
  <c r="S4106" i="5" s="1"/>
  <c r="S4107" i="5" s="1"/>
  <c r="S4108" i="5" s="1"/>
  <c r="S4109" i="5" s="1"/>
  <c r="S4110" i="5" s="1"/>
  <c r="S4111" i="5" s="1"/>
  <c r="S4112" i="5" s="1"/>
  <c r="S4113" i="5" s="1"/>
  <c r="S4114" i="5" s="1"/>
  <c r="S4115" i="5" s="1"/>
  <c r="S4116" i="5" s="1"/>
  <c r="S4117" i="5" s="1"/>
  <c r="S4118" i="5" s="1"/>
  <c r="S4119" i="5" s="1"/>
  <c r="S4120" i="5" s="1"/>
  <c r="S4121" i="5" s="1"/>
  <c r="S4122" i="5" s="1"/>
  <c r="S4123" i="5" s="1"/>
  <c r="S4124" i="5" s="1"/>
  <c r="S4125" i="5" s="1"/>
  <c r="S4126" i="5" s="1"/>
  <c r="S4127" i="5" s="1"/>
  <c r="S4128" i="5" s="1"/>
  <c r="S4129" i="5" s="1"/>
  <c r="S4130" i="5" s="1"/>
  <c r="S4131" i="5" s="1"/>
  <c r="S4132" i="5" s="1"/>
  <c r="S4133" i="5" s="1"/>
  <c r="S4134" i="5" s="1"/>
  <c r="S4135" i="5" s="1"/>
  <c r="S4136" i="5" s="1"/>
  <c r="S4137" i="5" s="1"/>
  <c r="S4138" i="5" s="1"/>
  <c r="S4139" i="5" s="1"/>
  <c r="S4140" i="5" s="1"/>
  <c r="S4141" i="5" s="1"/>
  <c r="S4142" i="5" s="1"/>
  <c r="S4143" i="5" s="1"/>
  <c r="S4144" i="5" s="1"/>
  <c r="S4145" i="5" s="1"/>
  <c r="S4146" i="5" s="1"/>
  <c r="S4147" i="5" s="1"/>
  <c r="S4148" i="5" s="1"/>
  <c r="S4149" i="5" s="1"/>
  <c r="S4150" i="5" s="1"/>
  <c r="S4151" i="5" s="1"/>
  <c r="S4152" i="5" s="1"/>
  <c r="S4153" i="5" s="1"/>
  <c r="S4154" i="5" s="1"/>
  <c r="S4155" i="5" s="1"/>
  <c r="S4156" i="5" s="1"/>
  <c r="S4157" i="5" s="1"/>
  <c r="S4158" i="5" s="1"/>
  <c r="S4159" i="5" s="1"/>
  <c r="S4160" i="5" s="1"/>
  <c r="S4161" i="5" s="1"/>
  <c r="S4162" i="5" s="1"/>
  <c r="S4163" i="5" s="1"/>
  <c r="S4164" i="5" s="1"/>
  <c r="S4165" i="5" s="1"/>
  <c r="S4166" i="5" s="1"/>
  <c r="S4167" i="5" s="1"/>
  <c r="S4168" i="5" s="1"/>
  <c r="S4169" i="5" s="1"/>
  <c r="S4170" i="5" s="1"/>
  <c r="S4171" i="5" s="1"/>
  <c r="S4172" i="5" s="1"/>
  <c r="S4173" i="5" s="1"/>
  <c r="S4174" i="5" s="1"/>
  <c r="S4175" i="5" s="1"/>
  <c r="S4176" i="5" s="1"/>
  <c r="S4177" i="5" s="1"/>
  <c r="S4178" i="5" s="1"/>
  <c r="S4179" i="5" s="1"/>
  <c r="S4180" i="5" s="1"/>
  <c r="S4181" i="5" s="1"/>
  <c r="S4182" i="5" s="1"/>
  <c r="S4183" i="5" s="1"/>
  <c r="S4184" i="5" s="1"/>
  <c r="S4185" i="5" s="1"/>
  <c r="S4186" i="5" s="1"/>
  <c r="S4187" i="5" s="1"/>
  <c r="S4188" i="5" s="1"/>
  <c r="S4189" i="5" s="1"/>
  <c r="S4190" i="5" s="1"/>
  <c r="S4191" i="5" s="1"/>
  <c r="S4192" i="5" s="1"/>
  <c r="S4193" i="5" s="1"/>
  <c r="S4194" i="5" s="1"/>
  <c r="S4195" i="5" s="1"/>
  <c r="S4196" i="5" s="1"/>
  <c r="S4197" i="5" s="1"/>
  <c r="S4198" i="5" s="1"/>
  <c r="S4199" i="5" s="1"/>
  <c r="S4200" i="5" s="1"/>
  <c r="S4201" i="5" s="1"/>
  <c r="S4202" i="5" s="1"/>
  <c r="S4203" i="5" s="1"/>
  <c r="S4204" i="5" s="1"/>
  <c r="S4205" i="5" s="1"/>
  <c r="S4206" i="5" s="1"/>
  <c r="S4207" i="5" s="1"/>
  <c r="S4208" i="5" s="1"/>
  <c r="S4209" i="5" s="1"/>
  <c r="S4210" i="5" s="1"/>
  <c r="S4211" i="5" s="1"/>
  <c r="S4212" i="5" s="1"/>
  <c r="S4213" i="5" s="1"/>
  <c r="S4214" i="5" s="1"/>
  <c r="S4215" i="5" s="1"/>
  <c r="S4216" i="5" s="1"/>
  <c r="S4217" i="5" s="1"/>
  <c r="S4218" i="5" s="1"/>
  <c r="S4219" i="5" s="1"/>
  <c r="S4220" i="5" s="1"/>
  <c r="S4221" i="5" s="1"/>
  <c r="S4222" i="5" s="1"/>
  <c r="S4223" i="5" s="1"/>
  <c r="S4224" i="5" s="1"/>
  <c r="S4225" i="5" s="1"/>
  <c r="S4226" i="5" s="1"/>
  <c r="S4227" i="5" s="1"/>
  <c r="S4228" i="5" s="1"/>
  <c r="S4229" i="5" s="1"/>
  <c r="S4230" i="5" s="1"/>
  <c r="S4231" i="5" s="1"/>
  <c r="S4232" i="5" s="1"/>
  <c r="S4233" i="5" s="1"/>
  <c r="S4234" i="5" s="1"/>
  <c r="S4235" i="5" s="1"/>
  <c r="S4236" i="5" s="1"/>
  <c r="S4237" i="5" s="1"/>
  <c r="S4238" i="5" s="1"/>
  <c r="S4239" i="5" s="1"/>
  <c r="S4240" i="5" s="1"/>
  <c r="S4241" i="5" s="1"/>
  <c r="S4242" i="5" s="1"/>
  <c r="S4243" i="5" s="1"/>
  <c r="S4244" i="5" s="1"/>
  <c r="S4245" i="5" s="1"/>
  <c r="S4246" i="5" s="1"/>
  <c r="S4247" i="5" s="1"/>
  <c r="S4248" i="5" s="1"/>
  <c r="S4249" i="5" s="1"/>
  <c r="S4250" i="5" s="1"/>
  <c r="S4251" i="5" s="1"/>
  <c r="S4252" i="5" s="1"/>
  <c r="S4253" i="5" s="1"/>
  <c r="S4254" i="5" s="1"/>
  <c r="S4255" i="5" s="1"/>
  <c r="S4256" i="5" s="1"/>
  <c r="S4257" i="5" s="1"/>
  <c r="S4258" i="5" s="1"/>
  <c r="S4259" i="5" s="1"/>
  <c r="S4260" i="5" s="1"/>
  <c r="S4261" i="5" s="1"/>
  <c r="S4262" i="5" s="1"/>
  <c r="S4263" i="5" s="1"/>
  <c r="S4264" i="5" s="1"/>
  <c r="S4265" i="5" s="1"/>
  <c r="S4266" i="5" s="1"/>
  <c r="S4267" i="5" s="1"/>
  <c r="S4268" i="5" s="1"/>
  <c r="S4269" i="5" s="1"/>
  <c r="S4270" i="5" s="1"/>
  <c r="S4271" i="5" s="1"/>
  <c r="S4272" i="5" s="1"/>
  <c r="S4273" i="5" s="1"/>
  <c r="S4274" i="5" s="1"/>
  <c r="S4275" i="5" s="1"/>
  <c r="S4276" i="5" s="1"/>
  <c r="S4277" i="5" s="1"/>
  <c r="S4278" i="5" s="1"/>
  <c r="S4279" i="5" s="1"/>
  <c r="S4280" i="5" s="1"/>
  <c r="S4281" i="5" s="1"/>
  <c r="S4282" i="5" s="1"/>
  <c r="S4283" i="5" s="1"/>
  <c r="S4284" i="5" s="1"/>
  <c r="S4285" i="5" s="1"/>
  <c r="S4286" i="5" s="1"/>
  <c r="S4287" i="5" s="1"/>
  <c r="S4288" i="5" s="1"/>
  <c r="S4289" i="5" s="1"/>
  <c r="S4290" i="5" s="1"/>
  <c r="S4291" i="5" s="1"/>
  <c r="S4292" i="5" s="1"/>
  <c r="S4293" i="5" s="1"/>
  <c r="S4294" i="5" s="1"/>
  <c r="S4295" i="5" s="1"/>
  <c r="S4296" i="5" s="1"/>
  <c r="S4297" i="5" s="1"/>
  <c r="S4298" i="5" s="1"/>
  <c r="S4299" i="5" s="1"/>
  <c r="S4300" i="5" s="1"/>
  <c r="S4301" i="5" s="1"/>
  <c r="S4302" i="5" s="1"/>
  <c r="S4303" i="5" s="1"/>
  <c r="S4304" i="5" s="1"/>
  <c r="S4305" i="5" s="1"/>
  <c r="S4306" i="5" s="1"/>
  <c r="S4307" i="5" s="1"/>
  <c r="S4308" i="5" s="1"/>
  <c r="S4309" i="5" s="1"/>
  <c r="S4310" i="5" s="1"/>
  <c r="S4311" i="5" s="1"/>
  <c r="S4312" i="5" s="1"/>
  <c r="S4313" i="5" s="1"/>
  <c r="S4314" i="5" s="1"/>
  <c r="S4315" i="5" s="1"/>
  <c r="S4316" i="5" s="1"/>
  <c r="S4317" i="5" s="1"/>
  <c r="S4318" i="5" s="1"/>
  <c r="S4319" i="5" s="1"/>
  <c r="S4320" i="5" s="1"/>
  <c r="S4321" i="5" s="1"/>
  <c r="S4322" i="5" s="1"/>
  <c r="S4323" i="5" s="1"/>
  <c r="S4324" i="5" s="1"/>
  <c r="S4325" i="5" s="1"/>
  <c r="S4326" i="5" s="1"/>
  <c r="S4327" i="5" s="1"/>
  <c r="S4328" i="5" s="1"/>
  <c r="S4329" i="5" s="1"/>
  <c r="S4330" i="5" s="1"/>
  <c r="S4331" i="5" s="1"/>
  <c r="S4332" i="5" s="1"/>
  <c r="S4333" i="5" s="1"/>
  <c r="S4334" i="5" s="1"/>
  <c r="S4335" i="5" s="1"/>
  <c r="S4336" i="5" s="1"/>
  <c r="S4337" i="5" s="1"/>
  <c r="S4338" i="5" s="1"/>
  <c r="S4339" i="5" s="1"/>
  <c r="S4340" i="5" s="1"/>
  <c r="S4341" i="5" s="1"/>
  <c r="S4342" i="5" s="1"/>
  <c r="S4343" i="5" s="1"/>
  <c r="S4344" i="5" s="1"/>
  <c r="S4345" i="5" s="1"/>
  <c r="S4346" i="5" s="1"/>
  <c r="S4347" i="5" s="1"/>
  <c r="S4348" i="5" s="1"/>
  <c r="S4349" i="5" s="1"/>
  <c r="S4350" i="5" s="1"/>
  <c r="S4351" i="5" s="1"/>
  <c r="S4352" i="5" s="1"/>
  <c r="S4353" i="5" s="1"/>
  <c r="S4354" i="5" s="1"/>
  <c r="S4355" i="5" s="1"/>
  <c r="S4356" i="5" s="1"/>
  <c r="S4357" i="5" s="1"/>
  <c r="S4358" i="5" s="1"/>
  <c r="S4359" i="5" s="1"/>
  <c r="S4360" i="5" s="1"/>
  <c r="S4361" i="5" s="1"/>
  <c r="S4362" i="5" s="1"/>
  <c r="S4363" i="5" s="1"/>
  <c r="S4364" i="5" s="1"/>
  <c r="S4365" i="5" s="1"/>
  <c r="S4366" i="5" s="1"/>
  <c r="S4367" i="5" s="1"/>
  <c r="S4368" i="5" s="1"/>
  <c r="S4369" i="5" s="1"/>
  <c r="S4370" i="5" s="1"/>
  <c r="S4371" i="5" s="1"/>
  <c r="S4372" i="5" s="1"/>
  <c r="S4373" i="5" s="1"/>
  <c r="S4374" i="5" s="1"/>
  <c r="S4375" i="5" s="1"/>
  <c r="S4376" i="5" s="1"/>
  <c r="S4377" i="5" s="1"/>
  <c r="S4378" i="5" s="1"/>
  <c r="S4379" i="5" s="1"/>
  <c r="S4380" i="5" s="1"/>
  <c r="S4381" i="5" s="1"/>
  <c r="S4382" i="5" s="1"/>
  <c r="S4383" i="5" s="1"/>
  <c r="S4384" i="5" s="1"/>
  <c r="S4385" i="5" s="1"/>
  <c r="S4386" i="5" s="1"/>
  <c r="S4387" i="5" s="1"/>
  <c r="S4388" i="5" s="1"/>
  <c r="S4389" i="5" s="1"/>
  <c r="S4390" i="5" s="1"/>
  <c r="S4391" i="5" s="1"/>
  <c r="S4392" i="5" s="1"/>
  <c r="S4393" i="5" s="1"/>
  <c r="S4394" i="5" s="1"/>
  <c r="S4395" i="5" s="1"/>
  <c r="S4396" i="5" s="1"/>
  <c r="S4397" i="5" s="1"/>
  <c r="S4398" i="5" s="1"/>
  <c r="S4399" i="5" s="1"/>
  <c r="S4400" i="5" s="1"/>
  <c r="S4401" i="5" s="1"/>
  <c r="S4402" i="5" s="1"/>
  <c r="S4403" i="5" s="1"/>
  <c r="S4404" i="5" s="1"/>
  <c r="S4405" i="5" s="1"/>
  <c r="S4406" i="5" s="1"/>
  <c r="S4407" i="5" s="1"/>
  <c r="S4408" i="5" s="1"/>
  <c r="S4409" i="5" s="1"/>
  <c r="S4410" i="5" s="1"/>
  <c r="S4411" i="5" s="1"/>
  <c r="S4412" i="5" s="1"/>
  <c r="S4413" i="5" s="1"/>
  <c r="S4414" i="5" s="1"/>
  <c r="S4415" i="5" s="1"/>
  <c r="S4416" i="5" s="1"/>
  <c r="S4417" i="5" s="1"/>
  <c r="S4418" i="5" s="1"/>
  <c r="S4419" i="5" s="1"/>
  <c r="S4420" i="5" s="1"/>
  <c r="S4421" i="5" s="1"/>
  <c r="S4422" i="5" s="1"/>
  <c r="S4423" i="5" s="1"/>
  <c r="S4424" i="5" s="1"/>
  <c r="S4425" i="5" s="1"/>
  <c r="S4426" i="5" s="1"/>
  <c r="S4427" i="5" s="1"/>
  <c r="S4428" i="5" s="1"/>
  <c r="S4429" i="5" s="1"/>
  <c r="S4430" i="5" s="1"/>
  <c r="S4431" i="5" s="1"/>
  <c r="S4432" i="5" s="1"/>
  <c r="S4433" i="5" s="1"/>
  <c r="S4434" i="5" s="1"/>
  <c r="S4435" i="5" s="1"/>
  <c r="S4436" i="5" s="1"/>
  <c r="S4437" i="5" s="1"/>
  <c r="S4438" i="5" s="1"/>
  <c r="S4439" i="5" s="1"/>
  <c r="S4440" i="5" s="1"/>
  <c r="S4441" i="5" s="1"/>
  <c r="S4442" i="5" s="1"/>
  <c r="S4443" i="5" s="1"/>
  <c r="S4444" i="5" s="1"/>
  <c r="S4445" i="5" s="1"/>
  <c r="S4446" i="5" s="1"/>
  <c r="S4447" i="5" s="1"/>
  <c r="S4448" i="5" s="1"/>
  <c r="S4449" i="5" s="1"/>
  <c r="S4450" i="5" s="1"/>
  <c r="S4451" i="5" s="1"/>
  <c r="S4452" i="5" s="1"/>
  <c r="S4453" i="5" s="1"/>
  <c r="S4454" i="5" s="1"/>
  <c r="S4455" i="5" s="1"/>
  <c r="S4456" i="5" s="1"/>
  <c r="S4457" i="5" s="1"/>
  <c r="S4458" i="5" s="1"/>
  <c r="S4459" i="5" s="1"/>
  <c r="S4460" i="5" s="1"/>
  <c r="S4461" i="5" s="1"/>
  <c r="S4462" i="5" s="1"/>
  <c r="S4463" i="5" s="1"/>
  <c r="S4464" i="5" s="1"/>
  <c r="S4465" i="5" s="1"/>
  <c r="S4466" i="5" s="1"/>
  <c r="S4467" i="5" s="1"/>
  <c r="S4468" i="5" s="1"/>
  <c r="S4469" i="5" s="1"/>
  <c r="S4470" i="5" s="1"/>
  <c r="S4471" i="5" s="1"/>
  <c r="S4472" i="5" s="1"/>
  <c r="S4473" i="5" s="1"/>
  <c r="S4474" i="5" s="1"/>
  <c r="S4475" i="5" s="1"/>
  <c r="S4476" i="5" s="1"/>
  <c r="S4477" i="5" s="1"/>
  <c r="S4478" i="5" s="1"/>
  <c r="S4479" i="5" s="1"/>
  <c r="S4480" i="5" s="1"/>
  <c r="S4481" i="5" s="1"/>
  <c r="S4482" i="5" s="1"/>
  <c r="S4483" i="5" s="1"/>
  <c r="S4484" i="5" s="1"/>
  <c r="S4485" i="5" s="1"/>
  <c r="S4486" i="5" s="1"/>
  <c r="S4487" i="5" s="1"/>
  <c r="S4488" i="5" s="1"/>
  <c r="S4489" i="5" s="1"/>
  <c r="S4490" i="5" s="1"/>
  <c r="S4491" i="5" s="1"/>
  <c r="S4492" i="5" s="1"/>
  <c r="S4493" i="5" s="1"/>
  <c r="S4494" i="5" s="1"/>
  <c r="S4495" i="5" s="1"/>
  <c r="S4496" i="5" s="1"/>
  <c r="S4497" i="5" s="1"/>
  <c r="S4498" i="5" s="1"/>
  <c r="S4499" i="5" s="1"/>
  <c r="S4500" i="5" s="1"/>
  <c r="S4501" i="5" s="1"/>
  <c r="S4502" i="5" s="1"/>
  <c r="S4503" i="5" s="1"/>
  <c r="S4504" i="5" s="1"/>
  <c r="S4505" i="5" s="1"/>
  <c r="S4506" i="5" s="1"/>
  <c r="S4507" i="5" s="1"/>
  <c r="S4508" i="5" s="1"/>
  <c r="S4509" i="5" s="1"/>
  <c r="S4510" i="5" s="1"/>
  <c r="S4511" i="5" s="1"/>
  <c r="S4512" i="5" s="1"/>
  <c r="S4513" i="5" s="1"/>
  <c r="S4514" i="5" s="1"/>
  <c r="S4515" i="5" s="1"/>
  <c r="S4516" i="5" s="1"/>
  <c r="S4517" i="5" s="1"/>
  <c r="S4518" i="5" s="1"/>
  <c r="S4519" i="5" s="1"/>
  <c r="S4520" i="5" s="1"/>
  <c r="S4521" i="5" s="1"/>
  <c r="S4522" i="5" s="1"/>
  <c r="S4523" i="5" s="1"/>
  <c r="S4524" i="5" s="1"/>
  <c r="S4525" i="5" s="1"/>
  <c r="S4526" i="5" s="1"/>
  <c r="S4527" i="5" s="1"/>
  <c r="S4528" i="5" s="1"/>
  <c r="S4529" i="5" s="1"/>
  <c r="S4530" i="5" s="1"/>
  <c r="S4531" i="5" s="1"/>
  <c r="S4532" i="5" s="1"/>
  <c r="S4533" i="5" s="1"/>
  <c r="S4534" i="5" s="1"/>
  <c r="S4535" i="5" s="1"/>
  <c r="S4536" i="5" s="1"/>
  <c r="S4537" i="5" s="1"/>
  <c r="S4538" i="5" s="1"/>
  <c r="S4539" i="5" s="1"/>
  <c r="S4540" i="5" s="1"/>
  <c r="S4541" i="5" s="1"/>
  <c r="S4542" i="5" s="1"/>
  <c r="S4543" i="5" s="1"/>
  <c r="S4544" i="5" s="1"/>
  <c r="S4545" i="5" s="1"/>
  <c r="S4546" i="5" s="1"/>
  <c r="S4547" i="5" s="1"/>
  <c r="S4548" i="5" s="1"/>
  <c r="S4549" i="5" s="1"/>
  <c r="S4550" i="5" s="1"/>
  <c r="S4551" i="5" s="1"/>
  <c r="S4552" i="5" s="1"/>
  <c r="S4553" i="5" s="1"/>
  <c r="S4554" i="5" s="1"/>
  <c r="S4555" i="5" s="1"/>
  <c r="S4556" i="5" s="1"/>
  <c r="S4557" i="5" s="1"/>
  <c r="S4558" i="5" s="1"/>
  <c r="S4559" i="5" s="1"/>
  <c r="S4560" i="5" s="1"/>
  <c r="S4561" i="5" s="1"/>
  <c r="S4562" i="5" s="1"/>
  <c r="S4563" i="5" s="1"/>
  <c r="S4564" i="5" s="1"/>
  <c r="S4565" i="5" s="1"/>
  <c r="S4566" i="5" s="1"/>
  <c r="S4567" i="5" s="1"/>
  <c r="S4568" i="5" s="1"/>
  <c r="S4569" i="5" s="1"/>
  <c r="S4570" i="5" s="1"/>
  <c r="S4571" i="5" s="1"/>
  <c r="S4572" i="5" s="1"/>
  <c r="S4573" i="5" s="1"/>
  <c r="S4574" i="5" s="1"/>
  <c r="S4575" i="5" s="1"/>
  <c r="S4576" i="5" s="1"/>
  <c r="S4577" i="5" s="1"/>
  <c r="S4578" i="5" s="1"/>
  <c r="S4579" i="5" s="1"/>
  <c r="S4580" i="5" s="1"/>
  <c r="S4581" i="5" s="1"/>
  <c r="S4582" i="5" s="1"/>
  <c r="S4583" i="5" s="1"/>
  <c r="S4584" i="5" s="1"/>
  <c r="S4585" i="5" s="1"/>
  <c r="S4586" i="5" s="1"/>
  <c r="S4587" i="5" s="1"/>
  <c r="S4588" i="5" s="1"/>
  <c r="S4589" i="5" s="1"/>
  <c r="S4590" i="5" s="1"/>
  <c r="S4591" i="5" s="1"/>
  <c r="S4592" i="5" s="1"/>
  <c r="S4593" i="5" s="1"/>
  <c r="S4594" i="5" s="1"/>
  <c r="S4595" i="5" s="1"/>
  <c r="S4596" i="5" s="1"/>
  <c r="S4597" i="5" s="1"/>
  <c r="S4598" i="5" s="1"/>
  <c r="S4599" i="5" s="1"/>
  <c r="S4600" i="5" s="1"/>
  <c r="S4601" i="5" s="1"/>
  <c r="S4602" i="5" s="1"/>
  <c r="S4603" i="5" s="1"/>
  <c r="S4604" i="5" s="1"/>
  <c r="S4605" i="5" s="1"/>
  <c r="S4606" i="5" s="1"/>
  <c r="S4607" i="5" s="1"/>
  <c r="S4608" i="5" s="1"/>
  <c r="S4609" i="5" s="1"/>
  <c r="S4610" i="5" s="1"/>
  <c r="S4611" i="5" s="1"/>
  <c r="S4612" i="5" s="1"/>
  <c r="S4613" i="5" s="1"/>
  <c r="S4614" i="5" s="1"/>
  <c r="S4615" i="5" s="1"/>
  <c r="S4616" i="5" s="1"/>
  <c r="S4617" i="5" s="1"/>
  <c r="S4618" i="5" s="1"/>
  <c r="S4619" i="5" s="1"/>
  <c r="S4620" i="5" s="1"/>
  <c r="S4621" i="5" s="1"/>
  <c r="S4622" i="5" s="1"/>
  <c r="S4623" i="5" s="1"/>
  <c r="S4624" i="5" s="1"/>
  <c r="S4625" i="5" s="1"/>
  <c r="S4626" i="5" s="1"/>
  <c r="S4627" i="5" s="1"/>
  <c r="S4628" i="5" s="1"/>
  <c r="S4629" i="5" s="1"/>
  <c r="S4630" i="5" s="1"/>
  <c r="S4631" i="5" s="1"/>
  <c r="S4632" i="5" s="1"/>
  <c r="S4633" i="5" s="1"/>
  <c r="S4634" i="5" s="1"/>
  <c r="S4635" i="5" s="1"/>
  <c r="S4636" i="5" s="1"/>
  <c r="S4637" i="5" s="1"/>
  <c r="S4638" i="5" s="1"/>
  <c r="S4639" i="5" s="1"/>
  <c r="S4640" i="5" s="1"/>
  <c r="S4641" i="5" s="1"/>
  <c r="S4642" i="5" s="1"/>
  <c r="S4643" i="5" s="1"/>
  <c r="S4644" i="5" s="1"/>
  <c r="S4645" i="5" s="1"/>
  <c r="S4646" i="5" s="1"/>
  <c r="S4647" i="5" s="1"/>
  <c r="S4648" i="5" s="1"/>
  <c r="S4649" i="5" s="1"/>
  <c r="S4650" i="5" s="1"/>
  <c r="S4651" i="5" s="1"/>
  <c r="S4652" i="5" s="1"/>
  <c r="S4653" i="5" s="1"/>
  <c r="S4654" i="5" s="1"/>
  <c r="S4655" i="5" s="1"/>
  <c r="S4656" i="5" s="1"/>
  <c r="S4657" i="5" s="1"/>
  <c r="S4658" i="5" s="1"/>
  <c r="S4659" i="5" s="1"/>
  <c r="S4660" i="5" s="1"/>
  <c r="S4661" i="5" s="1"/>
  <c r="S4662" i="5" s="1"/>
  <c r="S4663" i="5" s="1"/>
  <c r="S4664" i="5" s="1"/>
  <c r="S4665" i="5" s="1"/>
  <c r="S4666" i="5" s="1"/>
  <c r="S4667" i="5" s="1"/>
  <c r="S4668" i="5" s="1"/>
  <c r="S4669" i="5" s="1"/>
  <c r="S4670" i="5" s="1"/>
  <c r="S4671" i="5" s="1"/>
  <c r="S4672" i="5" s="1"/>
  <c r="S4673" i="5" s="1"/>
  <c r="S4674" i="5" s="1"/>
  <c r="S4675" i="5" s="1"/>
  <c r="S4676" i="5" s="1"/>
  <c r="S4677" i="5" s="1"/>
  <c r="S4678" i="5" s="1"/>
  <c r="S4679" i="5" s="1"/>
  <c r="S4680" i="5" s="1"/>
  <c r="S4681" i="5" s="1"/>
  <c r="S4682" i="5" s="1"/>
  <c r="S4683" i="5" s="1"/>
  <c r="S4684" i="5" s="1"/>
  <c r="S4685" i="5" s="1"/>
  <c r="S4686" i="5" s="1"/>
  <c r="S4687" i="5" s="1"/>
  <c r="S4688" i="5" s="1"/>
  <c r="S4689" i="5" s="1"/>
  <c r="S4690" i="5" s="1"/>
  <c r="S4691" i="5" s="1"/>
  <c r="S4692" i="5" s="1"/>
  <c r="S4693" i="5" s="1"/>
  <c r="S4694" i="5" s="1"/>
  <c r="S4695" i="5" s="1"/>
  <c r="S4696" i="5" s="1"/>
  <c r="S4697" i="5" s="1"/>
  <c r="S4698" i="5" s="1"/>
  <c r="S4699" i="5" s="1"/>
  <c r="S4700" i="5" s="1"/>
  <c r="S4701" i="5" s="1"/>
  <c r="S4702" i="5" s="1"/>
  <c r="S4703" i="5" s="1"/>
  <c r="S4704" i="5" s="1"/>
  <c r="S4705" i="5" s="1"/>
  <c r="S4706" i="5" s="1"/>
  <c r="S4707" i="5" s="1"/>
  <c r="S4708" i="5" s="1"/>
  <c r="S4709" i="5" s="1"/>
  <c r="S4710" i="5" s="1"/>
  <c r="S4711" i="5" s="1"/>
  <c r="S4712" i="5" s="1"/>
  <c r="S4713" i="5" s="1"/>
  <c r="S4714" i="5" s="1"/>
  <c r="S4715" i="5" s="1"/>
  <c r="S4716" i="5" s="1"/>
  <c r="S4717" i="5" s="1"/>
  <c r="S4718" i="5" s="1"/>
  <c r="S4719" i="5" s="1"/>
  <c r="S4720" i="5" s="1"/>
  <c r="S4721" i="5" s="1"/>
  <c r="S4722" i="5" s="1"/>
  <c r="S4723" i="5" s="1"/>
  <c r="S4724" i="5" s="1"/>
  <c r="S4725" i="5" s="1"/>
  <c r="S4726" i="5" s="1"/>
  <c r="S4727" i="5" s="1"/>
  <c r="S4728" i="5" s="1"/>
  <c r="S4729" i="5" s="1"/>
  <c r="S4730" i="5" s="1"/>
  <c r="S4731" i="5" s="1"/>
  <c r="S4732" i="5" s="1"/>
  <c r="S4733" i="5" s="1"/>
  <c r="S4734" i="5" s="1"/>
  <c r="S4735" i="5" s="1"/>
  <c r="S4736" i="5" s="1"/>
  <c r="S4737" i="5" s="1"/>
  <c r="S4738" i="5" s="1"/>
  <c r="S4739" i="5" s="1"/>
  <c r="S4740" i="5" s="1"/>
  <c r="S4741" i="5" s="1"/>
  <c r="S4742" i="5" s="1"/>
  <c r="S4743" i="5" s="1"/>
  <c r="S4744" i="5" s="1"/>
  <c r="S4745" i="5" s="1"/>
  <c r="S4746" i="5" s="1"/>
  <c r="S4747" i="5" s="1"/>
  <c r="S4748" i="5" s="1"/>
  <c r="S4749" i="5" s="1"/>
  <c r="S4750" i="5" s="1"/>
  <c r="S4751" i="5" s="1"/>
  <c r="S4752" i="5" s="1"/>
  <c r="S4753" i="5" s="1"/>
  <c r="S4754" i="5" s="1"/>
  <c r="S4755" i="5" s="1"/>
  <c r="S4756" i="5" s="1"/>
  <c r="S4757" i="5" s="1"/>
  <c r="S4758" i="5" s="1"/>
  <c r="S4759" i="5" s="1"/>
  <c r="S4760" i="5" s="1"/>
  <c r="S4761" i="5" s="1"/>
  <c r="S4762" i="5" s="1"/>
  <c r="S4763" i="5" s="1"/>
  <c r="S4764" i="5" s="1"/>
  <c r="S4765" i="5" s="1"/>
  <c r="S4766" i="5" s="1"/>
  <c r="S4767" i="5" s="1"/>
  <c r="S4768" i="5" s="1"/>
  <c r="S4769" i="5" s="1"/>
  <c r="S4770" i="5" s="1"/>
  <c r="S4771" i="5" s="1"/>
  <c r="S4772" i="5" s="1"/>
  <c r="S4773" i="5" s="1"/>
  <c r="S4774" i="5" s="1"/>
  <c r="S4775" i="5" s="1"/>
  <c r="S4776" i="5" s="1"/>
  <c r="S4777" i="5" s="1"/>
  <c r="S4778" i="5" s="1"/>
  <c r="S4779" i="5" s="1"/>
  <c r="S4780" i="5" s="1"/>
  <c r="S4781" i="5" s="1"/>
  <c r="S4782" i="5" s="1"/>
  <c r="S4783" i="5" s="1"/>
  <c r="S4784" i="5" s="1"/>
  <c r="S4785" i="5" s="1"/>
  <c r="S4786" i="5" s="1"/>
  <c r="S4787" i="5" s="1"/>
  <c r="S4788" i="5" s="1"/>
  <c r="S4789" i="5" s="1"/>
  <c r="S4790" i="5" s="1"/>
  <c r="S4791" i="5" s="1"/>
  <c r="S4792" i="5" s="1"/>
  <c r="S4793" i="5" s="1"/>
  <c r="S4794" i="5" s="1"/>
  <c r="S4795" i="5" s="1"/>
  <c r="S4796" i="5" s="1"/>
  <c r="S4797" i="5" s="1"/>
  <c r="S4798" i="5" s="1"/>
  <c r="S4799" i="5" s="1"/>
  <c r="S4800" i="5" s="1"/>
  <c r="S4801" i="5" s="1"/>
  <c r="S4802" i="5" s="1"/>
  <c r="S4803" i="5" s="1"/>
  <c r="S4804" i="5" s="1"/>
  <c r="S4805" i="5" s="1"/>
  <c r="S4806" i="5" s="1"/>
  <c r="S4807" i="5" s="1"/>
  <c r="S4808" i="5" s="1"/>
  <c r="S4809" i="5" s="1"/>
  <c r="S4810" i="5" s="1"/>
  <c r="S4811" i="5" s="1"/>
  <c r="S4812" i="5" s="1"/>
  <c r="S4813" i="5" s="1"/>
  <c r="S4814" i="5" s="1"/>
  <c r="S4815" i="5" s="1"/>
  <c r="S4816" i="5" s="1"/>
  <c r="S4817" i="5" s="1"/>
  <c r="S4818" i="5" s="1"/>
  <c r="S4819" i="5" s="1"/>
  <c r="S4820" i="5" s="1"/>
  <c r="S4821" i="5" s="1"/>
  <c r="S4822" i="5" s="1"/>
  <c r="S4823" i="5" s="1"/>
  <c r="S4824" i="5" s="1"/>
  <c r="S4825" i="5" s="1"/>
  <c r="S4826" i="5" s="1"/>
  <c r="S4827" i="5" s="1"/>
  <c r="S4828" i="5" s="1"/>
  <c r="S4829" i="5" s="1"/>
  <c r="S4830" i="5" s="1"/>
  <c r="S4831" i="5" s="1"/>
  <c r="S4832" i="5" s="1"/>
  <c r="S4833" i="5" s="1"/>
  <c r="S4834" i="5" s="1"/>
  <c r="S4835" i="5" s="1"/>
  <c r="S4836" i="5" s="1"/>
  <c r="S4837" i="5" s="1"/>
  <c r="S4838" i="5" s="1"/>
  <c r="S4839" i="5" s="1"/>
  <c r="S4840" i="5" s="1"/>
  <c r="S4841" i="5" s="1"/>
  <c r="S4842" i="5" s="1"/>
  <c r="S4843" i="5" s="1"/>
  <c r="S4844" i="5" s="1"/>
  <c r="S4845" i="5" s="1"/>
  <c r="S4846" i="5" s="1"/>
  <c r="S4847" i="5" s="1"/>
  <c r="S4848" i="5" s="1"/>
  <c r="S4849" i="5" s="1"/>
  <c r="S4850" i="5" s="1"/>
  <c r="S4851" i="5" s="1"/>
  <c r="S4852" i="5" s="1"/>
  <c r="S4853" i="5" s="1"/>
  <c r="S4854" i="5" s="1"/>
  <c r="S4855" i="5" s="1"/>
  <c r="S4856" i="5" s="1"/>
  <c r="S4857" i="5" s="1"/>
  <c r="S4858" i="5" s="1"/>
  <c r="S4859" i="5" s="1"/>
  <c r="S4860" i="5" s="1"/>
  <c r="S4861" i="5" s="1"/>
  <c r="S4862" i="5" s="1"/>
  <c r="S4863" i="5" s="1"/>
  <c r="S4864" i="5" s="1"/>
  <c r="S4865" i="5" s="1"/>
  <c r="S4866" i="5" s="1"/>
  <c r="S4867" i="5" s="1"/>
  <c r="S4868" i="5" s="1"/>
  <c r="S4869" i="5" s="1"/>
  <c r="S4870" i="5" s="1"/>
  <c r="S4871" i="5" s="1"/>
  <c r="S4872" i="5" s="1"/>
  <c r="S4873" i="5" s="1"/>
  <c r="S4874" i="5" s="1"/>
  <c r="S4875" i="5" s="1"/>
  <c r="S4876" i="5" s="1"/>
  <c r="S4877" i="5" s="1"/>
  <c r="S4878" i="5" s="1"/>
  <c r="S4879" i="5" s="1"/>
  <c r="S4880" i="5" s="1"/>
  <c r="S4881" i="5" s="1"/>
  <c r="S4882" i="5" s="1"/>
  <c r="S4883" i="5" s="1"/>
  <c r="S4884" i="5" s="1"/>
  <c r="S4885" i="5" s="1"/>
  <c r="S4886" i="5" s="1"/>
  <c r="S4887" i="5" s="1"/>
  <c r="S4888" i="5" s="1"/>
  <c r="S4889" i="5" s="1"/>
  <c r="S4890" i="5" s="1"/>
  <c r="S4891" i="5" s="1"/>
  <c r="S4892" i="5" s="1"/>
  <c r="S4893" i="5" s="1"/>
  <c r="S4894" i="5" s="1"/>
  <c r="S4895" i="5" s="1"/>
  <c r="S4896" i="5" s="1"/>
  <c r="S4897" i="5" s="1"/>
  <c r="S4898" i="5" s="1"/>
  <c r="S4899" i="5" s="1"/>
  <c r="S4900" i="5" s="1"/>
  <c r="S4901" i="5" s="1"/>
  <c r="S4902" i="5" s="1"/>
  <c r="S4903" i="5" s="1"/>
  <c r="S4904" i="5" s="1"/>
  <c r="S4905" i="5" s="1"/>
  <c r="S4906" i="5" s="1"/>
  <c r="S4907" i="5" s="1"/>
  <c r="S4908" i="5" s="1"/>
  <c r="S4909" i="5" s="1"/>
  <c r="S4910" i="5" s="1"/>
  <c r="S4911" i="5" s="1"/>
  <c r="S4912" i="5" s="1"/>
  <c r="S4913" i="5" s="1"/>
  <c r="S4914" i="5" s="1"/>
  <c r="S4915" i="5" s="1"/>
  <c r="S4916" i="5" s="1"/>
  <c r="S4917" i="5" s="1"/>
  <c r="S4918" i="5" s="1"/>
  <c r="S4919" i="5" s="1"/>
  <c r="S4920" i="5" s="1"/>
  <c r="S4921" i="5" s="1"/>
  <c r="S4922" i="5" s="1"/>
  <c r="S4923" i="5" s="1"/>
  <c r="S4924" i="5" s="1"/>
  <c r="S4925" i="5" s="1"/>
  <c r="S4926" i="5" s="1"/>
  <c r="S4927" i="5" s="1"/>
  <c r="S4928" i="5" s="1"/>
  <c r="S4929" i="5" s="1"/>
  <c r="S4930" i="5" s="1"/>
  <c r="S4931" i="5" s="1"/>
  <c r="S4932" i="5" s="1"/>
  <c r="S4933" i="5" s="1"/>
  <c r="S4934" i="5" s="1"/>
  <c r="S4935" i="5" s="1"/>
  <c r="S4936" i="5" s="1"/>
  <c r="S4937" i="5" s="1"/>
  <c r="S4938" i="5" s="1"/>
  <c r="S4939" i="5" s="1"/>
  <c r="S4940" i="5" s="1"/>
  <c r="S4941" i="5" s="1"/>
  <c r="S4942" i="5" s="1"/>
  <c r="S4943" i="5" s="1"/>
  <c r="S4944" i="5" s="1"/>
  <c r="S4945" i="5" s="1"/>
  <c r="S4946" i="5" s="1"/>
  <c r="S4947" i="5" s="1"/>
  <c r="S4948" i="5" s="1"/>
  <c r="S4949" i="5" s="1"/>
  <c r="S4950" i="5" s="1"/>
  <c r="S4951" i="5" s="1"/>
  <c r="S4952" i="5" s="1"/>
  <c r="S4953" i="5" s="1"/>
  <c r="S4954" i="5" s="1"/>
  <c r="S4955" i="5" s="1"/>
  <c r="S4956" i="5" s="1"/>
  <c r="S4957" i="5" s="1"/>
  <c r="S4958" i="5" s="1"/>
  <c r="S4959" i="5" s="1"/>
  <c r="S4960" i="5" s="1"/>
  <c r="S4961" i="5" s="1"/>
  <c r="S4962" i="5" s="1"/>
  <c r="S4963" i="5" s="1"/>
  <c r="S4964" i="5" s="1"/>
  <c r="S4965" i="5" s="1"/>
  <c r="S4966" i="5" s="1"/>
  <c r="S4967" i="5" s="1"/>
  <c r="S4968" i="5" s="1"/>
  <c r="S4969" i="5" s="1"/>
  <c r="S4970" i="5" s="1"/>
  <c r="S4971" i="5" s="1"/>
  <c r="S4972" i="5" s="1"/>
  <c r="S4973" i="5" s="1"/>
  <c r="S4974" i="5" s="1"/>
  <c r="S4975" i="5" s="1"/>
  <c r="S4976" i="5" s="1"/>
  <c r="S4977" i="5" s="1"/>
  <c r="S4978" i="5" s="1"/>
  <c r="S4979" i="5" s="1"/>
  <c r="S4980" i="5" s="1"/>
  <c r="S4981" i="5" s="1"/>
  <c r="S4982" i="5" s="1"/>
  <c r="S4983" i="5" s="1"/>
  <c r="S4984" i="5" s="1"/>
  <c r="S4985" i="5" s="1"/>
  <c r="S4986" i="5" s="1"/>
  <c r="S4987" i="5" s="1"/>
  <c r="S4988" i="5" s="1"/>
  <c r="S4989" i="5" s="1"/>
  <c r="S4990" i="5" s="1"/>
  <c r="S4991" i="5" s="1"/>
  <c r="S4992" i="5" s="1"/>
  <c r="S4993" i="5" s="1"/>
  <c r="S4994" i="5" s="1"/>
  <c r="S4995" i="5" s="1"/>
  <c r="S4996" i="5" s="1"/>
  <c r="S4997" i="5" s="1"/>
  <c r="S4998" i="5" s="1"/>
  <c r="S4999" i="5" s="1"/>
  <c r="S5000" i="5" s="1"/>
  <c r="S5001" i="5" s="1"/>
  <c r="S5002" i="5" s="1"/>
  <c r="S5003" i="5" s="1"/>
  <c r="S5004" i="5" s="1"/>
  <c r="S5005" i="5" s="1"/>
  <c r="S5006" i="5" s="1"/>
  <c r="S5007" i="5" s="1"/>
  <c r="S5008" i="5" s="1"/>
  <c r="S5009" i="5" s="1"/>
  <c r="S5010" i="5" s="1"/>
  <c r="S5011" i="5" s="1"/>
  <c r="S5012" i="5" s="1"/>
  <c r="S5013" i="5" s="1"/>
  <c r="S5014" i="5" s="1"/>
  <c r="S5015" i="5" s="1"/>
  <c r="S5016" i="5" s="1"/>
  <c r="S5017" i="5" s="1"/>
  <c r="S5018" i="5" s="1"/>
  <c r="S5019" i="5" s="1"/>
  <c r="S5020" i="5" s="1"/>
  <c r="S5021" i="5" s="1"/>
  <c r="S5022" i="5" s="1"/>
  <c r="S5023" i="5" s="1"/>
  <c r="S5024" i="5" s="1"/>
  <c r="S5025" i="5" s="1"/>
  <c r="S5026" i="5" s="1"/>
  <c r="S5027" i="5" s="1"/>
  <c r="S5028" i="5" s="1"/>
  <c r="S5029" i="5" s="1"/>
  <c r="S5030" i="5" s="1"/>
  <c r="S5031" i="5" s="1"/>
  <c r="S5032" i="5" s="1"/>
  <c r="S5033" i="5" s="1"/>
  <c r="S5034" i="5" s="1"/>
  <c r="S5035" i="5" s="1"/>
  <c r="S5036" i="5" s="1"/>
  <c r="S5037" i="5" s="1"/>
  <c r="S5038" i="5" s="1"/>
  <c r="S5039" i="5" s="1"/>
  <c r="S5040" i="5" s="1"/>
  <c r="S5041" i="5" s="1"/>
  <c r="S5042" i="5" s="1"/>
  <c r="S5043" i="5" s="1"/>
  <c r="S5044" i="5" s="1"/>
  <c r="S5045" i="5" s="1"/>
  <c r="S5046" i="5" s="1"/>
  <c r="S5047" i="5" s="1"/>
  <c r="S5048" i="5" s="1"/>
  <c r="S5049" i="5" s="1"/>
  <c r="S5050" i="5" s="1"/>
  <c r="S5051" i="5" s="1"/>
  <c r="S5052" i="5" s="1"/>
  <c r="S5053" i="5" s="1"/>
  <c r="S5054" i="5" s="1"/>
  <c r="S5055" i="5" s="1"/>
  <c r="S5056" i="5" s="1"/>
  <c r="S5057" i="5" s="1"/>
  <c r="S5058" i="5" s="1"/>
  <c r="S5059" i="5" s="1"/>
  <c r="S5060" i="5" s="1"/>
  <c r="S5061" i="5" s="1"/>
  <c r="S5062" i="5" s="1"/>
  <c r="S5063" i="5" s="1"/>
  <c r="S5064" i="5" s="1"/>
  <c r="S5065" i="5" s="1"/>
  <c r="S5066" i="5" s="1"/>
  <c r="S5067" i="5" s="1"/>
  <c r="S5068" i="5" s="1"/>
  <c r="S5069" i="5" s="1"/>
  <c r="S5070" i="5" s="1"/>
  <c r="S5071" i="5" s="1"/>
  <c r="S5072" i="5" s="1"/>
  <c r="S5073" i="5" s="1"/>
  <c r="S5074" i="5" s="1"/>
  <c r="S5075" i="5" s="1"/>
  <c r="S5076" i="5" s="1"/>
  <c r="S5077" i="5" s="1"/>
  <c r="S5078" i="5" s="1"/>
  <c r="S5079" i="5" s="1"/>
  <c r="S5080" i="5" s="1"/>
  <c r="S5081" i="5" s="1"/>
  <c r="S5082" i="5" s="1"/>
  <c r="S5083" i="5" s="1"/>
  <c r="S5084" i="5" s="1"/>
  <c r="S5085" i="5" s="1"/>
  <c r="S5086" i="5" s="1"/>
  <c r="S5087" i="5" s="1"/>
  <c r="S5088" i="5" s="1"/>
  <c r="S5089" i="5" s="1"/>
  <c r="S5090" i="5" s="1"/>
  <c r="S5091" i="5" s="1"/>
  <c r="S5092" i="5" s="1"/>
  <c r="S5093" i="5" s="1"/>
  <c r="S5094" i="5" s="1"/>
  <c r="S5095" i="5" s="1"/>
  <c r="S5096" i="5" s="1"/>
  <c r="S5097" i="5" s="1"/>
  <c r="S5098" i="5" s="1"/>
  <c r="S5099" i="5" s="1"/>
  <c r="S5100" i="5" s="1"/>
  <c r="S5101" i="5" s="1"/>
  <c r="S5102" i="5" s="1"/>
  <c r="S5103" i="5" s="1"/>
  <c r="S5104" i="5" s="1"/>
  <c r="S5105" i="5" s="1"/>
  <c r="S5106" i="5" s="1"/>
  <c r="S5107" i="5" s="1"/>
  <c r="S5108" i="5" s="1"/>
  <c r="S5109" i="5" s="1"/>
  <c r="S5110" i="5" s="1"/>
  <c r="S5111" i="5" s="1"/>
  <c r="S5112" i="5" s="1"/>
  <c r="S5113" i="5" s="1"/>
  <c r="S5114" i="5" s="1"/>
  <c r="S5115" i="5" s="1"/>
  <c r="S5116" i="5" s="1"/>
  <c r="S5117" i="5" s="1"/>
  <c r="S5118" i="5" s="1"/>
  <c r="S5119" i="5" s="1"/>
  <c r="S5120" i="5" s="1"/>
  <c r="S5121" i="5" s="1"/>
  <c r="S5122" i="5" s="1"/>
  <c r="S5123" i="5" s="1"/>
  <c r="S5124" i="5" s="1"/>
  <c r="S5125" i="5" s="1"/>
  <c r="S5126" i="5" s="1"/>
  <c r="S5127" i="5" s="1"/>
  <c r="S5128" i="5" s="1"/>
  <c r="S5129" i="5" s="1"/>
  <c r="S5130" i="5" s="1"/>
  <c r="S5131" i="5" s="1"/>
  <c r="S5132" i="5" s="1"/>
  <c r="S5133" i="5" s="1"/>
  <c r="S5134" i="5" s="1"/>
  <c r="S5135" i="5" s="1"/>
  <c r="S5136" i="5" s="1"/>
  <c r="S5137" i="5" s="1"/>
  <c r="S5138" i="5" s="1"/>
  <c r="S5139" i="5" s="1"/>
  <c r="S5140" i="5" s="1"/>
  <c r="S5141" i="5" s="1"/>
  <c r="S5142" i="5" s="1"/>
  <c r="S5143" i="5" s="1"/>
  <c r="S5144" i="5" s="1"/>
  <c r="S5145" i="5" s="1"/>
  <c r="S5146" i="5" s="1"/>
  <c r="S5147" i="5" s="1"/>
  <c r="S5148" i="5" s="1"/>
  <c r="S5149" i="5" s="1"/>
  <c r="S5150" i="5" s="1"/>
  <c r="S5151" i="5" s="1"/>
  <c r="S5152" i="5" s="1"/>
  <c r="S5153" i="5" s="1"/>
  <c r="S5154" i="5" s="1"/>
  <c r="S5155" i="5" s="1"/>
  <c r="S5156" i="5" s="1"/>
  <c r="S5157" i="5" s="1"/>
  <c r="S5158" i="5" s="1"/>
  <c r="S5159" i="5" s="1"/>
  <c r="S5160" i="5" s="1"/>
  <c r="S5161" i="5" s="1"/>
  <c r="S5162" i="5" s="1"/>
  <c r="S5163" i="5" s="1"/>
  <c r="S5164" i="5" s="1"/>
  <c r="S5165" i="5" s="1"/>
  <c r="S5166" i="5" s="1"/>
  <c r="S5167" i="5" s="1"/>
  <c r="S5168" i="5" s="1"/>
  <c r="S5169" i="5" s="1"/>
  <c r="S5170" i="5" s="1"/>
  <c r="S5171" i="5" s="1"/>
  <c r="S5172" i="5" s="1"/>
  <c r="S5173" i="5" s="1"/>
  <c r="S5174" i="5" s="1"/>
  <c r="S5175" i="5" s="1"/>
  <c r="S5176" i="5" s="1"/>
  <c r="S5177" i="5" s="1"/>
  <c r="S5178" i="5" s="1"/>
  <c r="S5179" i="5" s="1"/>
  <c r="S5180" i="5" s="1"/>
  <c r="S5181" i="5" s="1"/>
  <c r="S5182" i="5" s="1"/>
  <c r="S5183" i="5" s="1"/>
  <c r="S5184" i="5" s="1"/>
  <c r="S5185" i="5" s="1"/>
  <c r="S5186" i="5" s="1"/>
  <c r="S5187" i="5" s="1"/>
  <c r="S5188" i="5" s="1"/>
  <c r="S5189" i="5" s="1"/>
  <c r="S5190" i="5" s="1"/>
  <c r="S5191" i="5" s="1"/>
  <c r="S5192" i="5" s="1"/>
  <c r="S5193" i="5" s="1"/>
  <c r="S5194" i="5" s="1"/>
  <c r="S5195" i="5" s="1"/>
  <c r="S5196" i="5" s="1"/>
  <c r="S5197" i="5" s="1"/>
  <c r="S5198" i="5" s="1"/>
  <c r="S5199" i="5" s="1"/>
  <c r="S5200" i="5" s="1"/>
  <c r="S5201" i="5" s="1"/>
  <c r="S5202" i="5" s="1"/>
  <c r="S5203" i="5" s="1"/>
  <c r="S5204" i="5" s="1"/>
  <c r="S5205" i="5" s="1"/>
  <c r="S5206" i="5" s="1"/>
  <c r="S5207" i="5" s="1"/>
  <c r="S5208" i="5" s="1"/>
  <c r="S5209" i="5" s="1"/>
  <c r="S5210" i="5" s="1"/>
  <c r="S5211" i="5" s="1"/>
  <c r="S5212" i="5" s="1"/>
  <c r="S5213" i="5" s="1"/>
  <c r="S5214" i="5" s="1"/>
  <c r="S5215" i="5" s="1"/>
  <c r="S5216" i="5" s="1"/>
  <c r="S5217" i="5" s="1"/>
  <c r="S5218" i="5" s="1"/>
  <c r="S5219" i="5" s="1"/>
  <c r="S5220" i="5" s="1"/>
  <c r="S5221" i="5" s="1"/>
  <c r="S5222" i="5" s="1"/>
  <c r="S5223" i="5" s="1"/>
  <c r="S5224" i="5" s="1"/>
  <c r="S5225" i="5" s="1"/>
  <c r="S5226" i="5" s="1"/>
  <c r="S5227" i="5" s="1"/>
  <c r="S5228" i="5" s="1"/>
  <c r="S5229" i="5" s="1"/>
  <c r="S5230" i="5" s="1"/>
  <c r="S5231" i="5" s="1"/>
  <c r="S5232" i="5" s="1"/>
  <c r="S5233" i="5" s="1"/>
  <c r="S5234" i="5" s="1"/>
  <c r="S5235" i="5" s="1"/>
  <c r="S5236" i="5" s="1"/>
  <c r="S5237" i="5" s="1"/>
  <c r="S5238" i="5" s="1"/>
  <c r="S5239" i="5" s="1"/>
  <c r="S5240" i="5" s="1"/>
  <c r="S5241" i="5" s="1"/>
  <c r="S5242" i="5" s="1"/>
  <c r="S5243" i="5" s="1"/>
  <c r="S5244" i="5" s="1"/>
  <c r="S5245" i="5" s="1"/>
  <c r="S5246" i="5" s="1"/>
  <c r="S5247" i="5" s="1"/>
  <c r="S5248" i="5" s="1"/>
  <c r="S5249" i="5" s="1"/>
  <c r="S5250" i="5" s="1"/>
  <c r="S5251" i="5" s="1"/>
  <c r="S5252" i="5" s="1"/>
  <c r="S5253" i="5" s="1"/>
  <c r="S5254" i="5" s="1"/>
  <c r="S5255" i="5" s="1"/>
  <c r="S5256" i="5" s="1"/>
  <c r="S5257" i="5" s="1"/>
  <c r="S5258" i="5" s="1"/>
  <c r="S5259" i="5" s="1"/>
  <c r="S5260" i="5" s="1"/>
  <c r="S5261" i="5" s="1"/>
  <c r="S5262" i="5" s="1"/>
  <c r="S5263" i="5" s="1"/>
  <c r="S5264" i="5" s="1"/>
  <c r="S5265" i="5" s="1"/>
  <c r="S5266" i="5" s="1"/>
  <c r="S5267" i="5" s="1"/>
  <c r="S5268" i="5" s="1"/>
  <c r="S5269" i="5" s="1"/>
  <c r="S5270" i="5" s="1"/>
  <c r="S5271" i="5" s="1"/>
  <c r="S5272" i="5" s="1"/>
  <c r="S5273" i="5" s="1"/>
  <c r="S5274" i="5" s="1"/>
  <c r="S5275" i="5" s="1"/>
  <c r="S5276" i="5" s="1"/>
  <c r="S5277" i="5" s="1"/>
  <c r="S5278" i="5" s="1"/>
  <c r="S5279" i="5" s="1"/>
  <c r="S5280" i="5" s="1"/>
  <c r="S5281" i="5" s="1"/>
  <c r="S5282" i="5" s="1"/>
  <c r="S5283" i="5" s="1"/>
  <c r="S5284" i="5" s="1"/>
  <c r="S5285" i="5" s="1"/>
  <c r="S5286" i="5" s="1"/>
  <c r="S5287" i="5" s="1"/>
  <c r="S5288" i="5" s="1"/>
  <c r="S5289" i="5" s="1"/>
  <c r="S5290" i="5" s="1"/>
  <c r="S5291" i="5" s="1"/>
  <c r="S5292" i="5" s="1"/>
  <c r="S5293" i="5" s="1"/>
  <c r="S5294" i="5" s="1"/>
  <c r="S5295" i="5" s="1"/>
  <c r="S5296" i="5" s="1"/>
  <c r="S5297" i="5" s="1"/>
  <c r="S5298" i="5" s="1"/>
  <c r="S5299" i="5" s="1"/>
  <c r="S5300" i="5" s="1"/>
  <c r="S5301" i="5" s="1"/>
  <c r="S5302" i="5" s="1"/>
  <c r="S5303" i="5" s="1"/>
  <c r="S5304" i="5" s="1"/>
  <c r="S5305" i="5" s="1"/>
  <c r="S5306" i="5" s="1"/>
  <c r="S5307" i="5" s="1"/>
  <c r="S5308" i="5" s="1"/>
  <c r="S5309" i="5" s="1"/>
  <c r="S5310" i="5" s="1"/>
  <c r="S5311" i="5" s="1"/>
  <c r="S5312" i="5" s="1"/>
  <c r="S5313" i="5" s="1"/>
  <c r="S5314" i="5" s="1"/>
  <c r="S5315" i="5" s="1"/>
  <c r="S5316" i="5" s="1"/>
  <c r="S5317" i="5" s="1"/>
  <c r="S5318" i="5" s="1"/>
  <c r="S5319" i="5" s="1"/>
  <c r="S5320" i="5" s="1"/>
  <c r="S5321" i="5" s="1"/>
  <c r="S5322" i="5" s="1"/>
  <c r="S5323" i="5" s="1"/>
  <c r="S5324" i="5" s="1"/>
  <c r="S5325" i="5" s="1"/>
  <c r="S5326" i="5" s="1"/>
  <c r="S5327" i="5" s="1"/>
  <c r="S5328" i="5" s="1"/>
  <c r="S5329" i="5" s="1"/>
  <c r="S5330" i="5" s="1"/>
  <c r="S5331" i="5" s="1"/>
  <c r="S5332" i="5" s="1"/>
  <c r="S5333" i="5" s="1"/>
  <c r="S5334" i="5" s="1"/>
  <c r="S5335" i="5" s="1"/>
  <c r="S5336" i="5" s="1"/>
  <c r="S5337" i="5" s="1"/>
  <c r="S5338" i="5" s="1"/>
  <c r="S5339" i="5" s="1"/>
  <c r="S5340" i="5" s="1"/>
  <c r="S5341" i="5" s="1"/>
  <c r="S5342" i="5" s="1"/>
  <c r="S5343" i="5" s="1"/>
  <c r="S5344" i="5" s="1"/>
  <c r="S5345" i="5" s="1"/>
  <c r="S5346" i="5" s="1"/>
  <c r="S5347" i="5" s="1"/>
  <c r="S5348" i="5" s="1"/>
  <c r="S5349" i="5" s="1"/>
  <c r="S5350" i="5" s="1"/>
  <c r="S5351" i="5" s="1"/>
  <c r="S5352" i="5" s="1"/>
  <c r="S5353" i="5" s="1"/>
  <c r="S5354" i="5" s="1"/>
  <c r="S5355" i="5" s="1"/>
  <c r="S5356" i="5" s="1"/>
  <c r="S5357" i="5" s="1"/>
  <c r="S5358" i="5" s="1"/>
  <c r="S5359" i="5" s="1"/>
  <c r="S5360" i="5" s="1"/>
  <c r="S5361" i="5" s="1"/>
  <c r="S5362" i="5" s="1"/>
  <c r="S5363" i="5" s="1"/>
  <c r="S5364" i="5" s="1"/>
  <c r="S5365" i="5" s="1"/>
  <c r="S5366" i="5" s="1"/>
  <c r="S5367" i="5" s="1"/>
  <c r="S5368" i="5" s="1"/>
  <c r="S5369" i="5" s="1"/>
  <c r="S5370" i="5" s="1"/>
  <c r="S5371" i="5" s="1"/>
  <c r="S5372" i="5" s="1"/>
  <c r="S5373" i="5" s="1"/>
  <c r="S5374" i="5" s="1"/>
  <c r="S5375" i="5" s="1"/>
  <c r="S5376" i="5" s="1"/>
  <c r="S5377" i="5" s="1"/>
  <c r="S5378" i="5" s="1"/>
  <c r="S5379" i="5" s="1"/>
  <c r="S5380" i="5" s="1"/>
  <c r="S5381" i="5" s="1"/>
  <c r="S5382" i="5" s="1"/>
  <c r="S5383" i="5" s="1"/>
  <c r="S5384" i="5" s="1"/>
  <c r="S5385" i="5" s="1"/>
  <c r="S5386" i="5" s="1"/>
  <c r="S5387" i="5" s="1"/>
  <c r="S5388" i="5" s="1"/>
  <c r="S5389" i="5" s="1"/>
  <c r="S5390" i="5" s="1"/>
  <c r="S5391" i="5" s="1"/>
  <c r="S5392" i="5" s="1"/>
  <c r="S5393" i="5" s="1"/>
  <c r="S5394" i="5" s="1"/>
  <c r="S5395" i="5" s="1"/>
  <c r="S5396" i="5" s="1"/>
  <c r="S5397" i="5" s="1"/>
  <c r="S5398" i="5" s="1"/>
  <c r="S5399" i="5" s="1"/>
  <c r="S5400" i="5" s="1"/>
  <c r="S5401" i="5" s="1"/>
  <c r="S5402" i="5" s="1"/>
  <c r="S5403" i="5" s="1"/>
  <c r="S5404" i="5" s="1"/>
  <c r="S5405" i="5" s="1"/>
  <c r="S5406" i="5" s="1"/>
  <c r="S5407" i="5" s="1"/>
  <c r="S5408" i="5" s="1"/>
  <c r="S5409" i="5" s="1"/>
  <c r="S5410" i="5" s="1"/>
  <c r="S5411" i="5" s="1"/>
  <c r="S5412" i="5" s="1"/>
  <c r="S5413" i="5" s="1"/>
  <c r="S5414" i="5" s="1"/>
  <c r="S5415" i="5" s="1"/>
  <c r="S5416" i="5" s="1"/>
  <c r="S5417" i="5" s="1"/>
  <c r="S5418" i="5" s="1"/>
  <c r="S5419" i="5" s="1"/>
  <c r="S5420" i="5" s="1"/>
  <c r="S5421" i="5" s="1"/>
  <c r="S5422" i="5" s="1"/>
  <c r="S5423" i="5" s="1"/>
  <c r="S5424" i="5" s="1"/>
  <c r="S5425" i="5" s="1"/>
  <c r="S5426" i="5" s="1"/>
  <c r="S5427" i="5" s="1"/>
  <c r="S5428" i="5" s="1"/>
  <c r="S5429" i="5" s="1"/>
  <c r="S5430" i="5" s="1"/>
  <c r="S5431" i="5" s="1"/>
  <c r="S5432" i="5" s="1"/>
  <c r="S5433" i="5" s="1"/>
  <c r="S5434" i="5" s="1"/>
  <c r="S5435" i="5" s="1"/>
  <c r="S5436" i="5" s="1"/>
  <c r="S5437" i="5" s="1"/>
  <c r="S5438" i="5" s="1"/>
  <c r="S5439" i="5" s="1"/>
  <c r="S5440" i="5" s="1"/>
  <c r="S5441" i="5" s="1"/>
  <c r="S5442" i="5" s="1"/>
  <c r="S5443" i="5" s="1"/>
  <c r="S5444" i="5" s="1"/>
  <c r="S5445" i="5" s="1"/>
  <c r="S5446" i="5" s="1"/>
  <c r="S5447" i="5" s="1"/>
  <c r="S5448" i="5" s="1"/>
  <c r="S5449" i="5" s="1"/>
  <c r="S5450" i="5" s="1"/>
  <c r="S5451" i="5" s="1"/>
  <c r="S5452" i="5" s="1"/>
  <c r="S5453" i="5" s="1"/>
  <c r="S5454" i="5" s="1"/>
  <c r="S5455" i="5" s="1"/>
  <c r="S5456" i="5" s="1"/>
  <c r="S5457" i="5" s="1"/>
  <c r="S5458" i="5" s="1"/>
  <c r="S5459" i="5" s="1"/>
  <c r="S5460" i="5" s="1"/>
  <c r="S5461" i="5" s="1"/>
  <c r="S5462" i="5" s="1"/>
  <c r="S5463" i="5" s="1"/>
  <c r="S5464" i="5" s="1"/>
  <c r="S5465" i="5" s="1"/>
  <c r="S5466" i="5" s="1"/>
  <c r="S5467" i="5" s="1"/>
  <c r="S5468" i="5" s="1"/>
  <c r="S5469" i="5" s="1"/>
  <c r="S5470" i="5" s="1"/>
  <c r="S5471" i="5" s="1"/>
  <c r="S5472" i="5" s="1"/>
  <c r="S5473" i="5" s="1"/>
  <c r="S5474" i="5" s="1"/>
  <c r="S5475" i="5" s="1"/>
  <c r="S5476" i="5" s="1"/>
  <c r="S5477" i="5" s="1"/>
  <c r="S5478" i="5" s="1"/>
  <c r="S5479" i="5" s="1"/>
  <c r="S5480" i="5" s="1"/>
  <c r="S5481" i="5" s="1"/>
  <c r="S5482" i="5" s="1"/>
  <c r="S5483" i="5" s="1"/>
  <c r="S5484" i="5" s="1"/>
  <c r="S5485" i="5" s="1"/>
  <c r="S5486" i="5" s="1"/>
  <c r="S5487" i="5" s="1"/>
  <c r="S5488" i="5" s="1"/>
  <c r="S5489" i="5" s="1"/>
  <c r="S5490" i="5" s="1"/>
  <c r="S5491" i="5" s="1"/>
  <c r="S5492" i="5" s="1"/>
  <c r="S5493" i="5" s="1"/>
  <c r="S5494" i="5" s="1"/>
  <c r="S5495" i="5" s="1"/>
  <c r="S5496" i="5" s="1"/>
  <c r="S5497" i="5" s="1"/>
  <c r="S5498" i="5" s="1"/>
  <c r="S5499" i="5" s="1"/>
  <c r="S5500" i="5" s="1"/>
  <c r="S5501" i="5" s="1"/>
  <c r="S5502" i="5" s="1"/>
  <c r="S5503" i="5" s="1"/>
  <c r="S5504" i="5" s="1"/>
  <c r="S5505" i="5" s="1"/>
  <c r="S5506" i="5" s="1"/>
  <c r="S5507" i="5" s="1"/>
  <c r="S5508" i="5" s="1"/>
  <c r="S5509" i="5" s="1"/>
  <c r="S5510" i="5" s="1"/>
  <c r="S5511" i="5" s="1"/>
  <c r="S5512" i="5" s="1"/>
  <c r="S5513" i="5" s="1"/>
  <c r="S5514" i="5" s="1"/>
  <c r="S5515" i="5" s="1"/>
  <c r="S5516" i="5" s="1"/>
  <c r="S5517" i="5" s="1"/>
  <c r="S5518" i="5" s="1"/>
  <c r="S5519" i="5" s="1"/>
  <c r="S5520" i="5" s="1"/>
  <c r="S5521" i="5" s="1"/>
  <c r="S5522" i="5" s="1"/>
  <c r="S5523" i="5" s="1"/>
  <c r="S5524" i="5" s="1"/>
  <c r="S5525" i="5" s="1"/>
  <c r="S5526" i="5" s="1"/>
  <c r="S5527" i="5" s="1"/>
  <c r="S5528" i="5" s="1"/>
  <c r="S5529" i="5" s="1"/>
  <c r="S5530" i="5" s="1"/>
  <c r="S5531" i="5" s="1"/>
  <c r="S5532" i="5" s="1"/>
  <c r="S5533" i="5" s="1"/>
  <c r="S5534" i="5" s="1"/>
  <c r="S5535" i="5" s="1"/>
  <c r="S5536" i="5" s="1"/>
  <c r="S5537" i="5" s="1"/>
  <c r="S5538" i="5" s="1"/>
  <c r="S5539" i="5" s="1"/>
  <c r="S5540" i="5" s="1"/>
  <c r="S5541" i="5" s="1"/>
  <c r="S5542" i="5" s="1"/>
  <c r="S5543" i="5" s="1"/>
  <c r="S5544" i="5" s="1"/>
  <c r="S5545" i="5" s="1"/>
  <c r="S5546" i="5" s="1"/>
  <c r="S5547" i="5" s="1"/>
  <c r="S5548" i="5" s="1"/>
  <c r="S5549" i="5" s="1"/>
  <c r="S5550" i="5" s="1"/>
  <c r="S5551" i="5" s="1"/>
  <c r="S5552" i="5" s="1"/>
  <c r="S5553" i="5" s="1"/>
  <c r="S5554" i="5" s="1"/>
  <c r="S5555" i="5" s="1"/>
  <c r="S5556" i="5" s="1"/>
  <c r="S5557" i="5" s="1"/>
  <c r="S5558" i="5" s="1"/>
  <c r="S5559" i="5" s="1"/>
  <c r="S5560" i="5" s="1"/>
  <c r="S5561" i="5" s="1"/>
  <c r="S5562" i="5" s="1"/>
  <c r="S5563" i="5" s="1"/>
  <c r="S5564" i="5" s="1"/>
  <c r="S5565" i="5" s="1"/>
  <c r="S5566" i="5" s="1"/>
  <c r="S5567" i="5" s="1"/>
  <c r="S5568" i="5" s="1"/>
  <c r="S5569" i="5" s="1"/>
  <c r="S5570" i="5" s="1"/>
  <c r="S5571" i="5" s="1"/>
  <c r="S5572" i="5" s="1"/>
  <c r="S5573" i="5" s="1"/>
  <c r="S5574" i="5" s="1"/>
  <c r="S5575" i="5" s="1"/>
  <c r="S5576" i="5" s="1"/>
  <c r="S5577" i="5" s="1"/>
  <c r="S5578" i="5" s="1"/>
  <c r="S5579" i="5" s="1"/>
  <c r="S5580" i="5" s="1"/>
  <c r="S5581" i="5" s="1"/>
  <c r="S5582" i="5" s="1"/>
  <c r="S5583" i="5" s="1"/>
  <c r="S5584" i="5" s="1"/>
  <c r="S5585" i="5" s="1"/>
  <c r="S5586" i="5" s="1"/>
  <c r="S5587" i="5" s="1"/>
  <c r="S5588" i="5" s="1"/>
  <c r="S5589" i="5" s="1"/>
  <c r="S5590" i="5" s="1"/>
  <c r="S5591" i="5" s="1"/>
  <c r="S5592" i="5" s="1"/>
  <c r="S5593" i="5" s="1"/>
  <c r="S5594" i="5" s="1"/>
  <c r="S5595" i="5" s="1"/>
  <c r="S5596" i="5" s="1"/>
  <c r="S5597" i="5" s="1"/>
  <c r="S5598" i="5" s="1"/>
  <c r="S5599" i="5" s="1"/>
  <c r="S5600" i="5" s="1"/>
  <c r="S5601" i="5" s="1"/>
  <c r="S5602" i="5" s="1"/>
  <c r="S5603" i="5" s="1"/>
  <c r="S5604" i="5" s="1"/>
  <c r="S5605" i="5" s="1"/>
  <c r="S5606" i="5" s="1"/>
  <c r="S5607" i="5" s="1"/>
  <c r="S5608" i="5" s="1"/>
  <c r="S5609" i="5" s="1"/>
  <c r="S5610" i="5" s="1"/>
  <c r="S5611" i="5" s="1"/>
  <c r="S5612" i="5" s="1"/>
  <c r="S5613" i="5" s="1"/>
  <c r="S5614" i="5" s="1"/>
  <c r="S5615" i="5" s="1"/>
  <c r="S5616" i="5" s="1"/>
  <c r="S5617" i="5" s="1"/>
  <c r="S5618" i="5" s="1"/>
  <c r="S5619" i="5" s="1"/>
  <c r="S5620" i="5" s="1"/>
  <c r="S5621" i="5" s="1"/>
  <c r="S5622" i="5" s="1"/>
  <c r="S5623" i="5" s="1"/>
  <c r="S5624" i="5" s="1"/>
  <c r="S5625" i="5" s="1"/>
  <c r="S5626" i="5" s="1"/>
  <c r="S5627" i="5" s="1"/>
  <c r="S5628" i="5" s="1"/>
  <c r="S5629" i="5" s="1"/>
  <c r="S5630" i="5" s="1"/>
  <c r="S5631" i="5" s="1"/>
  <c r="S5632" i="5" s="1"/>
  <c r="S5633" i="5" s="1"/>
  <c r="S5634" i="5" s="1"/>
  <c r="S5635" i="5" s="1"/>
  <c r="S5636" i="5" s="1"/>
  <c r="S5637" i="5" s="1"/>
  <c r="S5638" i="5" s="1"/>
  <c r="S5639" i="5" s="1"/>
  <c r="S5640" i="5" s="1"/>
  <c r="S5641" i="5" s="1"/>
  <c r="S5642" i="5" s="1"/>
  <c r="S5643" i="5" s="1"/>
  <c r="S5644" i="5" s="1"/>
  <c r="S5645" i="5" s="1"/>
  <c r="S5646" i="5" s="1"/>
  <c r="S5647" i="5" s="1"/>
  <c r="S5648" i="5" s="1"/>
  <c r="S5649" i="5" s="1"/>
  <c r="S5650" i="5" s="1"/>
  <c r="S5651" i="5" s="1"/>
  <c r="S5652" i="5" s="1"/>
  <c r="S5653" i="5" s="1"/>
  <c r="S5654" i="5" s="1"/>
  <c r="S5655" i="5" s="1"/>
  <c r="S5656" i="5" s="1"/>
  <c r="S5657" i="5" s="1"/>
  <c r="S5658" i="5" s="1"/>
  <c r="S5659" i="5" s="1"/>
  <c r="S5660" i="5" s="1"/>
  <c r="S5661" i="5" s="1"/>
  <c r="S5662" i="5" s="1"/>
  <c r="S5663" i="5" s="1"/>
  <c r="S5664" i="5" s="1"/>
  <c r="S5665" i="5" s="1"/>
  <c r="S5666" i="5" s="1"/>
  <c r="S5667" i="5" s="1"/>
  <c r="S5668" i="5" s="1"/>
  <c r="S5669" i="5" s="1"/>
  <c r="S5670" i="5" s="1"/>
  <c r="S5671" i="5" s="1"/>
  <c r="S5672" i="5" s="1"/>
  <c r="S5673" i="5" s="1"/>
  <c r="S5674" i="5" s="1"/>
  <c r="S5675" i="5" s="1"/>
  <c r="S5676" i="5" s="1"/>
  <c r="S5677" i="5" s="1"/>
  <c r="S5678" i="5" s="1"/>
  <c r="S5679" i="5" s="1"/>
  <c r="S5680" i="5" s="1"/>
  <c r="S5681" i="5" s="1"/>
  <c r="S5682" i="5" s="1"/>
  <c r="S5683" i="5" s="1"/>
  <c r="S5684" i="5" s="1"/>
  <c r="S5685" i="5" s="1"/>
  <c r="S5686" i="5" s="1"/>
  <c r="S5687" i="5" s="1"/>
  <c r="S5688" i="5" s="1"/>
  <c r="S5689" i="5" s="1"/>
  <c r="S5690" i="5" s="1"/>
  <c r="S5691" i="5" s="1"/>
  <c r="S5692" i="5" s="1"/>
  <c r="S5693" i="5" s="1"/>
  <c r="S5694" i="5" s="1"/>
  <c r="S5695" i="5" s="1"/>
  <c r="S5696" i="5" s="1"/>
  <c r="S5697" i="5" s="1"/>
  <c r="S5698" i="5" s="1"/>
  <c r="S5699" i="5" s="1"/>
  <c r="S5700" i="5" s="1"/>
  <c r="S5701" i="5" s="1"/>
  <c r="S5702" i="5" s="1"/>
  <c r="S5703" i="5" s="1"/>
  <c r="S5704" i="5" s="1"/>
  <c r="S5705" i="5" s="1"/>
  <c r="S5706" i="5" s="1"/>
  <c r="S5707" i="5" s="1"/>
  <c r="S5708" i="5" s="1"/>
  <c r="S5709" i="5" s="1"/>
  <c r="S5710" i="5" s="1"/>
  <c r="S5711" i="5" s="1"/>
  <c r="S5712" i="5" s="1"/>
  <c r="S5713" i="5" s="1"/>
  <c r="S5714" i="5" s="1"/>
  <c r="S5715" i="5" s="1"/>
  <c r="S5716" i="5" s="1"/>
  <c r="S5717" i="5" s="1"/>
  <c r="S5718" i="5" s="1"/>
  <c r="S5719" i="5" s="1"/>
  <c r="S5720" i="5" s="1"/>
  <c r="S5721" i="5" s="1"/>
  <c r="S5722" i="5" s="1"/>
  <c r="S5723" i="5" s="1"/>
  <c r="S5724" i="5" s="1"/>
  <c r="S5725" i="5" s="1"/>
  <c r="S5726" i="5" s="1"/>
  <c r="S5727" i="5" s="1"/>
  <c r="S5728" i="5" s="1"/>
  <c r="S5729" i="5" s="1"/>
  <c r="S5730" i="5" s="1"/>
  <c r="S5731" i="5" s="1"/>
  <c r="S5732" i="5" s="1"/>
  <c r="S5733" i="5" s="1"/>
  <c r="S5734" i="5" s="1"/>
  <c r="S5735" i="5" s="1"/>
  <c r="S5736" i="5" s="1"/>
  <c r="S5737" i="5" s="1"/>
  <c r="S5738" i="5" s="1"/>
  <c r="S5739" i="5" s="1"/>
  <c r="S5740" i="5" s="1"/>
  <c r="S5741" i="5" s="1"/>
  <c r="S5742" i="5" s="1"/>
  <c r="S5743" i="5" s="1"/>
  <c r="S5744" i="5" s="1"/>
  <c r="S5745" i="5" s="1"/>
  <c r="S5746" i="5" s="1"/>
  <c r="S5747" i="5" s="1"/>
  <c r="S5748" i="5" s="1"/>
  <c r="S5749" i="5" s="1"/>
  <c r="S5750" i="5" s="1"/>
  <c r="S5751" i="5" s="1"/>
  <c r="S5752" i="5" s="1"/>
  <c r="S5753" i="5" s="1"/>
  <c r="S5754" i="5" s="1"/>
  <c r="S5755" i="5" s="1"/>
  <c r="S5756" i="5" s="1"/>
  <c r="S5757" i="5" s="1"/>
  <c r="S5758" i="5" s="1"/>
  <c r="S5759" i="5" s="1"/>
  <c r="S5760" i="5" s="1"/>
  <c r="S5761" i="5" s="1"/>
  <c r="S5762" i="5" s="1"/>
  <c r="S5763" i="5" s="1"/>
  <c r="S5764" i="5" s="1"/>
  <c r="S5765" i="5" s="1"/>
  <c r="S5766" i="5" s="1"/>
  <c r="S5767" i="5" s="1"/>
  <c r="S5768" i="5" s="1"/>
  <c r="S5769" i="5" s="1"/>
  <c r="S5770" i="5" s="1"/>
  <c r="S5771" i="5" s="1"/>
  <c r="S5772" i="5" s="1"/>
  <c r="S5773" i="5" s="1"/>
  <c r="S5774" i="5" s="1"/>
  <c r="S5775" i="5" s="1"/>
  <c r="S5776" i="5" s="1"/>
  <c r="S5777" i="5" s="1"/>
  <c r="S5778" i="5" s="1"/>
  <c r="S5779" i="5" s="1"/>
  <c r="S5780" i="5" s="1"/>
  <c r="S5781" i="5" s="1"/>
  <c r="S5782" i="5" s="1"/>
  <c r="S5783" i="5" s="1"/>
  <c r="S5784" i="5" s="1"/>
  <c r="S5785" i="5" s="1"/>
  <c r="S5786" i="5" s="1"/>
  <c r="S5787" i="5" s="1"/>
  <c r="S5788" i="5" s="1"/>
  <c r="S5789" i="5" s="1"/>
  <c r="S5790" i="5" s="1"/>
  <c r="S5791" i="5" s="1"/>
  <c r="S5792" i="5" s="1"/>
  <c r="S5793" i="5" s="1"/>
  <c r="S5794" i="5" s="1"/>
  <c r="S5795" i="5" s="1"/>
  <c r="S5796" i="5" s="1"/>
  <c r="S5797" i="5" s="1"/>
  <c r="S5798" i="5" s="1"/>
  <c r="S5799" i="5" s="1"/>
  <c r="S5800" i="5" s="1"/>
  <c r="S5801" i="5" s="1"/>
  <c r="S5802" i="5" s="1"/>
  <c r="S5803" i="5" s="1"/>
  <c r="S5804" i="5" s="1"/>
  <c r="S5805" i="5" s="1"/>
  <c r="S5806" i="5" s="1"/>
  <c r="S5807" i="5" s="1"/>
  <c r="S5808" i="5" s="1"/>
  <c r="S5809" i="5" s="1"/>
  <c r="S5810" i="5" s="1"/>
  <c r="S5811" i="5" s="1"/>
  <c r="S5812" i="5" s="1"/>
  <c r="S5813" i="5" s="1"/>
  <c r="S5814" i="5" s="1"/>
  <c r="S5815" i="5" s="1"/>
  <c r="S5816" i="5" s="1"/>
  <c r="S5817" i="5" s="1"/>
  <c r="S5818" i="5" s="1"/>
  <c r="S5819" i="5" s="1"/>
  <c r="S5820" i="5" s="1"/>
  <c r="S5821" i="5" s="1"/>
  <c r="S5822" i="5" s="1"/>
  <c r="S5823" i="5" s="1"/>
  <c r="S5824" i="5" s="1"/>
  <c r="S5825" i="5" s="1"/>
  <c r="S5826" i="5" s="1"/>
  <c r="S5827" i="5" s="1"/>
  <c r="S5828" i="5" s="1"/>
  <c r="S5829" i="5" s="1"/>
  <c r="S5830" i="5" s="1"/>
  <c r="S5831" i="5" s="1"/>
  <c r="S5832" i="5" s="1"/>
  <c r="S5833" i="5" s="1"/>
  <c r="S5834" i="5" s="1"/>
  <c r="S5835" i="5" s="1"/>
  <c r="S5836" i="5" s="1"/>
  <c r="S5837" i="5" s="1"/>
  <c r="S5838" i="5" s="1"/>
  <c r="S5839" i="5" s="1"/>
  <c r="S5840" i="5" s="1"/>
  <c r="S5841" i="5" s="1"/>
  <c r="S5842" i="5" s="1"/>
  <c r="S5843" i="5" s="1"/>
  <c r="S5844" i="5" s="1"/>
  <c r="S5845" i="5" s="1"/>
  <c r="S5846" i="5" s="1"/>
  <c r="S5847" i="5" s="1"/>
  <c r="S5848" i="5" s="1"/>
  <c r="S5849" i="5" s="1"/>
  <c r="S5850" i="5" s="1"/>
  <c r="S5851" i="5" s="1"/>
  <c r="S5852" i="5" s="1"/>
  <c r="S5853" i="5" s="1"/>
  <c r="S5854" i="5" s="1"/>
  <c r="S5855" i="5" s="1"/>
  <c r="S5856" i="5" s="1"/>
  <c r="S5857" i="5" s="1"/>
  <c r="S5858" i="5" s="1"/>
  <c r="S5859" i="5" s="1"/>
  <c r="S5860" i="5" s="1"/>
  <c r="S5861" i="5" s="1"/>
  <c r="S5862" i="5" s="1"/>
  <c r="S5863" i="5" s="1"/>
  <c r="S5864" i="5" s="1"/>
  <c r="S5865" i="5" s="1"/>
  <c r="S5866" i="5" s="1"/>
  <c r="S5867" i="5" s="1"/>
  <c r="S5868" i="5" s="1"/>
  <c r="S5869" i="5" s="1"/>
  <c r="S5870" i="5" s="1"/>
  <c r="S5871" i="5" s="1"/>
  <c r="S5872" i="5" s="1"/>
  <c r="S5873" i="5" s="1"/>
  <c r="S5874" i="5" s="1"/>
  <c r="S5875" i="5" s="1"/>
  <c r="S5876" i="5" s="1"/>
  <c r="S5877" i="5" s="1"/>
  <c r="S5878" i="5" s="1"/>
  <c r="S5879" i="5" s="1"/>
  <c r="S5880" i="5" s="1"/>
  <c r="S5881" i="5" s="1"/>
  <c r="S5882" i="5" s="1"/>
  <c r="S5883" i="5" s="1"/>
  <c r="S5884" i="5" s="1"/>
  <c r="S5885" i="5" s="1"/>
  <c r="S5886" i="5" s="1"/>
  <c r="S5887" i="5" s="1"/>
  <c r="S5888" i="5" s="1"/>
  <c r="S5889" i="5" s="1"/>
  <c r="S5890" i="5" s="1"/>
  <c r="S5891" i="5" s="1"/>
  <c r="S5892" i="5" s="1"/>
  <c r="S5893" i="5" s="1"/>
  <c r="S5894" i="5" s="1"/>
  <c r="S5895" i="5" s="1"/>
  <c r="S5896" i="5" s="1"/>
  <c r="S5897" i="5" s="1"/>
  <c r="S5898" i="5" s="1"/>
  <c r="S5899" i="5" s="1"/>
  <c r="S5900" i="5" s="1"/>
  <c r="S5901" i="5" s="1"/>
  <c r="S5902" i="5" s="1"/>
  <c r="S5903" i="5" s="1"/>
  <c r="S5904" i="5" s="1"/>
  <c r="S5905" i="5" s="1"/>
  <c r="S5906" i="5" s="1"/>
  <c r="S5907" i="5" s="1"/>
  <c r="S5908" i="5" s="1"/>
  <c r="S5909" i="5" s="1"/>
  <c r="S5910" i="5" s="1"/>
  <c r="S5911" i="5" s="1"/>
  <c r="S5912" i="5" s="1"/>
  <c r="S5913" i="5" s="1"/>
  <c r="S5914" i="5" s="1"/>
  <c r="S5915" i="5" s="1"/>
  <c r="S5916" i="5" s="1"/>
  <c r="S5917" i="5" s="1"/>
  <c r="S5918" i="5" s="1"/>
  <c r="S5919" i="5" s="1"/>
  <c r="S5920" i="5" s="1"/>
  <c r="S5921" i="5" s="1"/>
  <c r="S5922" i="5" s="1"/>
  <c r="S5923" i="5" s="1"/>
  <c r="S5924" i="5" s="1"/>
  <c r="S5925" i="5" s="1"/>
  <c r="S5926" i="5" s="1"/>
  <c r="S5927" i="5" s="1"/>
  <c r="S5928" i="5" s="1"/>
  <c r="S5929" i="5" s="1"/>
  <c r="S5930" i="5" s="1"/>
  <c r="S5931" i="5" s="1"/>
  <c r="S5932" i="5" s="1"/>
  <c r="S5933" i="5" s="1"/>
  <c r="S5934" i="5" s="1"/>
  <c r="S5935" i="5" s="1"/>
  <c r="S5936" i="5" s="1"/>
  <c r="S5937" i="5" s="1"/>
  <c r="S5938" i="5" s="1"/>
  <c r="S5939" i="5" s="1"/>
  <c r="S5940" i="5" s="1"/>
  <c r="S5941" i="5" s="1"/>
  <c r="S5942" i="5" s="1"/>
  <c r="S5943" i="5" s="1"/>
  <c r="S5944" i="5" s="1"/>
  <c r="S5945" i="5" s="1"/>
  <c r="S5946" i="5" s="1"/>
  <c r="S5947" i="5" s="1"/>
  <c r="S5948" i="5" s="1"/>
  <c r="S5949" i="5" s="1"/>
  <c r="S5950" i="5" s="1"/>
  <c r="S5951" i="5" s="1"/>
  <c r="S5952" i="5" s="1"/>
  <c r="S5953" i="5" s="1"/>
  <c r="S5954" i="5" s="1"/>
  <c r="S5955" i="5" s="1"/>
  <c r="S5956" i="5" s="1"/>
  <c r="S5957" i="5" s="1"/>
  <c r="S5958" i="5" s="1"/>
  <c r="S5959" i="5" s="1"/>
  <c r="S5960" i="5" s="1"/>
  <c r="S5961" i="5" s="1"/>
  <c r="S5962" i="5" s="1"/>
  <c r="S5963" i="5" s="1"/>
  <c r="S5964" i="5" s="1"/>
  <c r="S5965" i="5" s="1"/>
  <c r="S5966" i="5" s="1"/>
  <c r="S5967" i="5" s="1"/>
  <c r="S5968" i="5" s="1"/>
  <c r="S5969" i="5" s="1"/>
  <c r="S5970" i="5" s="1"/>
  <c r="S5971" i="5" s="1"/>
  <c r="S5972" i="5" s="1"/>
  <c r="S5973" i="5" s="1"/>
  <c r="S5974" i="5" s="1"/>
  <c r="S5975" i="5" s="1"/>
  <c r="S5976" i="5" s="1"/>
  <c r="S5977" i="5" s="1"/>
  <c r="S5978" i="5" s="1"/>
  <c r="S5979" i="5" s="1"/>
  <c r="S5980" i="5" s="1"/>
  <c r="S5981" i="5" s="1"/>
  <c r="S5982" i="5" s="1"/>
  <c r="S5983" i="5" s="1"/>
  <c r="S5984" i="5" s="1"/>
  <c r="S5985" i="5" s="1"/>
  <c r="S5986" i="5" s="1"/>
  <c r="S5987" i="5" s="1"/>
  <c r="S5988" i="5" s="1"/>
  <c r="S5989" i="5" s="1"/>
  <c r="S5990" i="5" s="1"/>
  <c r="S5991" i="5" s="1"/>
  <c r="S5992" i="5" s="1"/>
  <c r="S5993" i="5" s="1"/>
  <c r="S5994" i="5" s="1"/>
  <c r="S5995" i="5" s="1"/>
  <c r="S5996" i="5" s="1"/>
  <c r="S5997" i="5" s="1"/>
  <c r="S5998" i="5" s="1"/>
  <c r="S5999" i="5" s="1"/>
  <c r="S6000" i="5" s="1"/>
  <c r="S6001" i="5" s="1"/>
  <c r="S6002" i="5" s="1"/>
  <c r="S6003" i="5" s="1"/>
  <c r="S6004" i="5" s="1"/>
  <c r="S6005" i="5" s="1"/>
  <c r="S6006" i="5" s="1"/>
  <c r="S6007" i="5" s="1"/>
  <c r="S6008" i="5" s="1"/>
  <c r="S6009" i="5" s="1"/>
  <c r="S6010" i="5" s="1"/>
  <c r="S6011" i="5" s="1"/>
  <c r="S6012" i="5" s="1"/>
  <c r="S6013" i="5" s="1"/>
  <c r="S6014" i="5" s="1"/>
  <c r="S6015" i="5" s="1"/>
  <c r="S6016" i="5" s="1"/>
  <c r="S6017" i="5" s="1"/>
  <c r="S6018" i="5" s="1"/>
  <c r="S6019" i="5" s="1"/>
  <c r="S6020" i="5" s="1"/>
  <c r="S6021" i="5" s="1"/>
  <c r="S6022" i="5" s="1"/>
  <c r="S6023" i="5" s="1"/>
  <c r="S6024" i="5" s="1"/>
  <c r="S6025" i="5" s="1"/>
  <c r="S6026" i="5" s="1"/>
  <c r="S6027" i="5" s="1"/>
  <c r="S6028" i="5" s="1"/>
  <c r="S6029" i="5" s="1"/>
  <c r="S6030" i="5" s="1"/>
  <c r="S6031" i="5" s="1"/>
  <c r="S6032" i="5" s="1"/>
  <c r="S6033" i="5" s="1"/>
  <c r="S6034" i="5" s="1"/>
  <c r="S6035" i="5" s="1"/>
  <c r="S6036" i="5" s="1"/>
  <c r="S6037" i="5" s="1"/>
  <c r="S6038" i="5" s="1"/>
  <c r="S6039" i="5" s="1"/>
  <c r="S6040" i="5" s="1"/>
  <c r="S6041" i="5" s="1"/>
  <c r="S6042" i="5" s="1"/>
  <c r="S6043" i="5" s="1"/>
  <c r="S6044" i="5" s="1"/>
  <c r="S6045" i="5" s="1"/>
  <c r="S6046" i="5" s="1"/>
  <c r="S6047" i="5" s="1"/>
  <c r="S6048" i="5" s="1"/>
  <c r="S6049" i="5" s="1"/>
  <c r="S6050" i="5" s="1"/>
  <c r="S6051" i="5" s="1"/>
  <c r="S6052" i="5" s="1"/>
  <c r="S6053" i="5" s="1"/>
  <c r="S6054" i="5" s="1"/>
  <c r="S6055" i="5" s="1"/>
  <c r="S6056" i="5" s="1"/>
  <c r="S6057" i="5" s="1"/>
  <c r="S6058" i="5" s="1"/>
  <c r="S6059" i="5" s="1"/>
  <c r="S6060" i="5" s="1"/>
  <c r="S6061" i="5" s="1"/>
  <c r="S6062" i="5" s="1"/>
  <c r="S6063" i="5" s="1"/>
  <c r="S6064" i="5" s="1"/>
  <c r="S6065" i="5" s="1"/>
  <c r="S6066" i="5" s="1"/>
  <c r="S6067" i="5" s="1"/>
  <c r="S6068" i="5" s="1"/>
  <c r="S6069" i="5" s="1"/>
  <c r="S6070" i="5" s="1"/>
  <c r="S6071" i="5" s="1"/>
  <c r="S6072" i="5" s="1"/>
  <c r="S6073" i="5" s="1"/>
  <c r="S6074" i="5" s="1"/>
  <c r="S6075" i="5" s="1"/>
  <c r="S6076" i="5" s="1"/>
  <c r="S6077" i="5" s="1"/>
  <c r="S6078" i="5" s="1"/>
  <c r="S6079" i="5" s="1"/>
  <c r="S6080" i="5" s="1"/>
  <c r="S6081" i="5" s="1"/>
  <c r="S6082" i="5" s="1"/>
  <c r="S6083" i="5" s="1"/>
  <c r="S6084" i="5" s="1"/>
  <c r="S6085" i="5" s="1"/>
  <c r="S6086" i="5" s="1"/>
  <c r="S6087" i="5" s="1"/>
  <c r="S6088" i="5" s="1"/>
  <c r="S6089" i="5" s="1"/>
  <c r="S6090" i="5" s="1"/>
  <c r="S6091" i="5" s="1"/>
  <c r="S6092" i="5" s="1"/>
  <c r="S6093" i="5" s="1"/>
  <c r="S6094" i="5" s="1"/>
  <c r="S6095" i="5" s="1"/>
  <c r="S6096" i="5" s="1"/>
  <c r="S6097" i="5" s="1"/>
  <c r="S6098" i="5" s="1"/>
  <c r="S6099" i="5" s="1"/>
  <c r="S6100" i="5" s="1"/>
  <c r="S6101" i="5" s="1"/>
  <c r="S6102" i="5" s="1"/>
  <c r="S6103" i="5" s="1"/>
  <c r="S6104" i="5" s="1"/>
  <c r="S6105" i="5" s="1"/>
  <c r="S6106" i="5" s="1"/>
  <c r="S6107" i="5" s="1"/>
  <c r="S6108" i="5" s="1"/>
  <c r="S6109" i="5" s="1"/>
  <c r="S6110" i="5" s="1"/>
  <c r="S6111" i="5" s="1"/>
  <c r="S6112" i="5" s="1"/>
  <c r="S6113" i="5" s="1"/>
  <c r="S6114" i="5" s="1"/>
  <c r="S6115" i="5" s="1"/>
  <c r="S6116" i="5" s="1"/>
  <c r="S6117" i="5" s="1"/>
  <c r="S6118" i="5" s="1"/>
  <c r="S6119" i="5" s="1"/>
  <c r="S6120" i="5" s="1"/>
  <c r="S6121" i="5" s="1"/>
  <c r="S6122" i="5" s="1"/>
  <c r="S6123" i="5" s="1"/>
  <c r="S6124" i="5" s="1"/>
  <c r="S6125" i="5" s="1"/>
  <c r="S6126" i="5" s="1"/>
  <c r="S6127" i="5" s="1"/>
  <c r="S6128" i="5" s="1"/>
  <c r="S6129" i="5" s="1"/>
  <c r="S6130" i="5" s="1"/>
  <c r="S6131" i="5" s="1"/>
  <c r="S6132" i="5" s="1"/>
  <c r="S6133" i="5" s="1"/>
  <c r="S6134" i="5" s="1"/>
  <c r="S6135" i="5" s="1"/>
  <c r="S6136" i="5" s="1"/>
  <c r="S6137" i="5" s="1"/>
  <c r="S6138" i="5" s="1"/>
  <c r="S6139" i="5" s="1"/>
  <c r="S6140" i="5" s="1"/>
  <c r="S6141" i="5" s="1"/>
  <c r="S6142" i="5" s="1"/>
  <c r="S6143" i="5" s="1"/>
  <c r="S6144" i="5" s="1"/>
  <c r="S6145" i="5" s="1"/>
  <c r="S6146" i="5" s="1"/>
  <c r="S6147" i="5" s="1"/>
  <c r="S6148" i="5" s="1"/>
  <c r="S6149" i="5" s="1"/>
  <c r="S6150" i="5" s="1"/>
  <c r="S6151" i="5" s="1"/>
  <c r="S6152" i="5" s="1"/>
  <c r="S6153" i="5" s="1"/>
  <c r="S6154" i="5" s="1"/>
  <c r="S6155" i="5" s="1"/>
  <c r="S6156" i="5" s="1"/>
  <c r="S6157" i="5" s="1"/>
  <c r="S6158" i="5" s="1"/>
  <c r="S6159" i="5" s="1"/>
  <c r="S6160" i="5" s="1"/>
  <c r="S6161" i="5" s="1"/>
  <c r="S6162" i="5" s="1"/>
  <c r="S6163" i="5" s="1"/>
  <c r="S6164" i="5" s="1"/>
  <c r="S6165" i="5" s="1"/>
  <c r="S6166" i="5" s="1"/>
  <c r="S6167" i="5" s="1"/>
  <c r="S6168" i="5" s="1"/>
  <c r="S6169" i="5" s="1"/>
  <c r="S6170" i="5" s="1"/>
  <c r="S6171" i="5" s="1"/>
  <c r="S6172" i="5" s="1"/>
  <c r="S6173" i="5" s="1"/>
  <c r="S6174" i="5" s="1"/>
  <c r="S6175" i="5" s="1"/>
  <c r="S6176" i="5" s="1"/>
  <c r="S6177" i="5" s="1"/>
  <c r="S6178" i="5" s="1"/>
  <c r="S6179" i="5" s="1"/>
  <c r="S6180" i="5" s="1"/>
  <c r="S6181" i="5" s="1"/>
  <c r="S6182" i="5" s="1"/>
  <c r="S6183" i="5" s="1"/>
  <c r="S6184" i="5" s="1"/>
  <c r="S6185" i="5" s="1"/>
  <c r="S6186" i="5" s="1"/>
  <c r="S6187" i="5" s="1"/>
  <c r="S6188" i="5" s="1"/>
  <c r="S6189" i="5" s="1"/>
  <c r="S6190" i="5" s="1"/>
  <c r="S6191" i="5" s="1"/>
  <c r="S6192" i="5" s="1"/>
  <c r="S6193" i="5" s="1"/>
  <c r="S6194" i="5" s="1"/>
  <c r="S6195" i="5" s="1"/>
  <c r="S6196" i="5" s="1"/>
  <c r="S6197" i="5" s="1"/>
  <c r="S6198" i="5" s="1"/>
  <c r="S6199" i="5" s="1"/>
  <c r="S6200" i="5" s="1"/>
  <c r="S6201" i="5" s="1"/>
  <c r="S6202" i="5" s="1"/>
  <c r="S6203" i="5" s="1"/>
  <c r="S6204" i="5" s="1"/>
  <c r="S6205" i="5" s="1"/>
  <c r="S6206" i="5" s="1"/>
  <c r="S6207" i="5" s="1"/>
  <c r="S6208" i="5" s="1"/>
  <c r="S6209" i="5" s="1"/>
  <c r="S6210" i="5" s="1"/>
  <c r="S6211" i="5" s="1"/>
  <c r="S6212" i="5" s="1"/>
  <c r="S6213" i="5" s="1"/>
  <c r="S6214" i="5" s="1"/>
  <c r="S6215" i="5" s="1"/>
  <c r="S6216" i="5" s="1"/>
  <c r="S6217" i="5" s="1"/>
  <c r="S6218" i="5" s="1"/>
  <c r="S6219" i="5" s="1"/>
  <c r="S6220" i="5" s="1"/>
  <c r="S6221" i="5" s="1"/>
  <c r="S6222" i="5" s="1"/>
  <c r="S6223" i="5" s="1"/>
  <c r="S6224" i="5" s="1"/>
  <c r="S6225" i="5" s="1"/>
  <c r="S6226" i="5" s="1"/>
  <c r="S6227" i="5" s="1"/>
  <c r="S6228" i="5" s="1"/>
  <c r="S6229" i="5" s="1"/>
  <c r="S6230" i="5" s="1"/>
  <c r="S6231" i="5" s="1"/>
  <c r="S6232" i="5" s="1"/>
  <c r="S6233" i="5" s="1"/>
  <c r="S6234" i="5" s="1"/>
  <c r="S6235" i="5" s="1"/>
  <c r="S6236" i="5" s="1"/>
  <c r="S6237" i="5" s="1"/>
  <c r="S6238" i="5" s="1"/>
  <c r="S6239" i="5" s="1"/>
  <c r="S6240" i="5" s="1"/>
  <c r="S6241" i="5" s="1"/>
  <c r="S6242" i="5" s="1"/>
  <c r="S6243" i="5" s="1"/>
  <c r="S6244" i="5" s="1"/>
  <c r="S6245" i="5" s="1"/>
  <c r="S6246" i="5" s="1"/>
  <c r="S6247" i="5" s="1"/>
  <c r="S6248" i="5" s="1"/>
  <c r="S6249" i="5" s="1"/>
  <c r="S6250" i="5" s="1"/>
  <c r="S6251" i="5" s="1"/>
  <c r="S6252" i="5" s="1"/>
  <c r="S6253" i="5" s="1"/>
  <c r="S6254" i="5" s="1"/>
  <c r="S6255" i="5" s="1"/>
  <c r="S6256" i="5" s="1"/>
  <c r="S6257" i="5" s="1"/>
  <c r="S6258" i="5" s="1"/>
  <c r="S6259" i="5" s="1"/>
  <c r="S6260" i="5" s="1"/>
  <c r="S6261" i="5" s="1"/>
  <c r="S6262" i="5" s="1"/>
  <c r="S6263" i="5" s="1"/>
  <c r="S6264" i="5" s="1"/>
  <c r="S6265" i="5" s="1"/>
  <c r="S6266" i="5" s="1"/>
  <c r="S6267" i="5" s="1"/>
  <c r="S6268" i="5" s="1"/>
  <c r="S6269" i="5" s="1"/>
  <c r="S6270" i="5" s="1"/>
  <c r="S6271" i="5" s="1"/>
  <c r="S6272" i="5" s="1"/>
  <c r="S6273" i="5" s="1"/>
  <c r="S6274" i="5" s="1"/>
  <c r="S6275" i="5" s="1"/>
  <c r="S6276" i="5" s="1"/>
  <c r="S6277" i="5" s="1"/>
  <c r="S6278" i="5" s="1"/>
  <c r="S6279" i="5" s="1"/>
  <c r="S6280" i="5" s="1"/>
  <c r="S6281" i="5" s="1"/>
  <c r="S6282" i="5" s="1"/>
  <c r="S6283" i="5" s="1"/>
  <c r="S6284" i="5" s="1"/>
  <c r="S6285" i="5" s="1"/>
  <c r="S6286" i="5" s="1"/>
  <c r="S6287" i="5" s="1"/>
  <c r="S6288" i="5" s="1"/>
  <c r="S6289" i="5" s="1"/>
  <c r="S6290" i="5" s="1"/>
  <c r="S6291" i="5" s="1"/>
  <c r="S6292" i="5" s="1"/>
  <c r="S6293" i="5" s="1"/>
  <c r="S6294" i="5" s="1"/>
  <c r="S6295" i="5" s="1"/>
  <c r="S6296" i="5" s="1"/>
  <c r="S6297" i="5" s="1"/>
  <c r="S6298" i="5" s="1"/>
  <c r="S6299" i="5" s="1"/>
  <c r="S6300" i="5" s="1"/>
  <c r="S6301" i="5" s="1"/>
  <c r="S6302" i="5" s="1"/>
  <c r="S6303" i="5" s="1"/>
  <c r="S6304" i="5" s="1"/>
  <c r="S6305" i="5" s="1"/>
  <c r="S6306" i="5" s="1"/>
  <c r="S6307" i="5" s="1"/>
  <c r="S6308" i="5" s="1"/>
  <c r="S6309" i="5" s="1"/>
  <c r="S6310" i="5" s="1"/>
  <c r="S6311" i="5" s="1"/>
  <c r="S6312" i="5" s="1"/>
  <c r="S6313" i="5" s="1"/>
  <c r="S6314" i="5" s="1"/>
  <c r="S6315" i="5" s="1"/>
  <c r="S6316" i="5" s="1"/>
  <c r="S6317" i="5" s="1"/>
  <c r="S6318" i="5" s="1"/>
  <c r="S6319" i="5" s="1"/>
  <c r="S6320" i="5" s="1"/>
  <c r="S6321" i="5" s="1"/>
  <c r="S6322" i="5" s="1"/>
  <c r="S6323" i="5" s="1"/>
  <c r="S6324" i="5" s="1"/>
  <c r="S6325" i="5" s="1"/>
  <c r="S6326" i="5" s="1"/>
  <c r="S6327" i="5" s="1"/>
  <c r="S6328" i="5" s="1"/>
  <c r="S6329" i="5" s="1"/>
  <c r="S6330" i="5" s="1"/>
  <c r="S6331" i="5" s="1"/>
  <c r="S6332" i="5" s="1"/>
  <c r="S6333" i="5" s="1"/>
  <c r="S6334" i="5" s="1"/>
  <c r="S6335" i="5" s="1"/>
  <c r="S6336" i="5" s="1"/>
  <c r="S6337" i="5" s="1"/>
  <c r="S6338" i="5" s="1"/>
  <c r="S6339" i="5" s="1"/>
  <c r="S6340" i="5" s="1"/>
  <c r="S6341" i="5" s="1"/>
  <c r="S6342" i="5" s="1"/>
  <c r="S6343" i="5" s="1"/>
  <c r="S6344" i="5" s="1"/>
  <c r="S6345" i="5" s="1"/>
  <c r="S6346" i="5" s="1"/>
  <c r="S6347" i="5" s="1"/>
  <c r="S6348" i="5" s="1"/>
  <c r="S6349" i="5" s="1"/>
  <c r="S6350" i="5" s="1"/>
  <c r="S6351" i="5" s="1"/>
  <c r="S6352" i="5" s="1"/>
  <c r="S6353" i="5" s="1"/>
  <c r="S6354" i="5" s="1"/>
  <c r="S6355" i="5" s="1"/>
  <c r="S6356" i="5" s="1"/>
  <c r="S6357" i="5" s="1"/>
  <c r="S6358" i="5" s="1"/>
  <c r="S6359" i="5" s="1"/>
  <c r="S6360" i="5" s="1"/>
  <c r="S6361" i="5" s="1"/>
  <c r="S6362" i="5" s="1"/>
  <c r="S6363" i="5" s="1"/>
  <c r="S6364" i="5" s="1"/>
  <c r="S6365" i="5" s="1"/>
  <c r="S6366" i="5" s="1"/>
  <c r="S6367" i="5" s="1"/>
  <c r="S6368" i="5" s="1"/>
  <c r="S6369" i="5" s="1"/>
  <c r="S6370" i="5" s="1"/>
  <c r="S6371" i="5" s="1"/>
  <c r="S6372" i="5" s="1"/>
  <c r="S6373" i="5" s="1"/>
  <c r="S6374" i="5" s="1"/>
  <c r="S6375" i="5" s="1"/>
  <c r="S6376" i="5" s="1"/>
  <c r="S6377" i="5" s="1"/>
  <c r="S6378" i="5" s="1"/>
  <c r="S6379" i="5" s="1"/>
  <c r="S6380" i="5" s="1"/>
  <c r="S6381" i="5" s="1"/>
  <c r="S6382" i="5" s="1"/>
  <c r="S6383" i="5" s="1"/>
  <c r="S6384" i="5" s="1"/>
  <c r="S6385" i="5" s="1"/>
  <c r="S6386" i="5" s="1"/>
  <c r="S6387" i="5" s="1"/>
  <c r="S6388" i="5" s="1"/>
  <c r="S6389" i="5" s="1"/>
  <c r="S6390" i="5" s="1"/>
  <c r="S6391" i="5" s="1"/>
  <c r="S6392" i="5" s="1"/>
  <c r="S6393" i="5" s="1"/>
  <c r="S6394" i="5" s="1"/>
  <c r="S6395" i="5" s="1"/>
  <c r="S6396" i="5" s="1"/>
  <c r="S6397" i="5" s="1"/>
  <c r="S6398" i="5" s="1"/>
  <c r="S6399" i="5" s="1"/>
  <c r="S6400" i="5" s="1"/>
  <c r="S6401" i="5" s="1"/>
  <c r="S6402" i="5" s="1"/>
  <c r="S6403" i="5" s="1"/>
  <c r="S6404" i="5" s="1"/>
  <c r="S6405" i="5" s="1"/>
  <c r="S6406" i="5" s="1"/>
  <c r="S6407" i="5" s="1"/>
  <c r="S6408" i="5" s="1"/>
  <c r="S6409" i="5" s="1"/>
  <c r="S6410" i="5" s="1"/>
  <c r="S6411" i="5" s="1"/>
  <c r="S6412" i="5" s="1"/>
  <c r="S6413" i="5" s="1"/>
  <c r="S6414" i="5" s="1"/>
  <c r="S6415" i="5" s="1"/>
  <c r="S6416" i="5" s="1"/>
  <c r="S6417" i="5" s="1"/>
  <c r="S6418" i="5" s="1"/>
  <c r="S6419" i="5" s="1"/>
  <c r="S6420" i="5" s="1"/>
  <c r="S6421" i="5" s="1"/>
  <c r="S6422" i="5" s="1"/>
  <c r="S6423" i="5" s="1"/>
  <c r="S6424" i="5" s="1"/>
  <c r="S6425" i="5" s="1"/>
  <c r="S6426" i="5" s="1"/>
  <c r="S6427" i="5" s="1"/>
  <c r="S6428" i="5" s="1"/>
  <c r="S6429" i="5" s="1"/>
  <c r="S6430" i="5" s="1"/>
  <c r="S6431" i="5" s="1"/>
  <c r="S6432" i="5" s="1"/>
  <c r="S6433" i="5" s="1"/>
  <c r="S6434" i="5" s="1"/>
  <c r="S6435" i="5" s="1"/>
  <c r="S6436" i="5" s="1"/>
  <c r="S6437" i="5" s="1"/>
  <c r="S6438" i="5" s="1"/>
  <c r="S6439" i="5" s="1"/>
  <c r="S6440" i="5" s="1"/>
  <c r="S6441" i="5" s="1"/>
  <c r="S6442" i="5" s="1"/>
  <c r="S6443" i="5" s="1"/>
  <c r="S6444" i="5" s="1"/>
  <c r="S6445" i="5" s="1"/>
  <c r="S6446" i="5" s="1"/>
  <c r="S6447" i="5" s="1"/>
  <c r="S6448" i="5" s="1"/>
  <c r="S6449" i="5" s="1"/>
  <c r="S6450" i="5" s="1"/>
  <c r="S6451" i="5" s="1"/>
  <c r="S6452" i="5" s="1"/>
  <c r="S6453" i="5" s="1"/>
  <c r="S6454" i="5" s="1"/>
  <c r="S6455" i="5" s="1"/>
  <c r="S6456" i="5" s="1"/>
  <c r="S6457" i="5" s="1"/>
  <c r="S6458" i="5" s="1"/>
  <c r="S6459" i="5" s="1"/>
  <c r="S6460" i="5" s="1"/>
  <c r="S6461" i="5" s="1"/>
  <c r="S6462" i="5" s="1"/>
  <c r="S6463" i="5" s="1"/>
  <c r="S6464" i="5" s="1"/>
  <c r="S6465" i="5" s="1"/>
  <c r="S6466" i="5" s="1"/>
  <c r="S6467" i="5" s="1"/>
  <c r="S6468" i="5" s="1"/>
  <c r="S6469" i="5" s="1"/>
  <c r="S6470" i="5" s="1"/>
  <c r="S6471" i="5" s="1"/>
  <c r="S6472" i="5" s="1"/>
  <c r="S6473" i="5" s="1"/>
  <c r="S6474" i="5" s="1"/>
  <c r="S6475" i="5" s="1"/>
  <c r="S6476" i="5" s="1"/>
  <c r="S6477" i="5" s="1"/>
  <c r="S6478" i="5" s="1"/>
  <c r="S6479" i="5" s="1"/>
  <c r="S6480" i="5" s="1"/>
  <c r="S6481" i="5" s="1"/>
  <c r="S6482" i="5" s="1"/>
  <c r="S6483" i="5" s="1"/>
  <c r="S6484" i="5" s="1"/>
  <c r="S6485" i="5" s="1"/>
  <c r="S6486" i="5" s="1"/>
  <c r="S6487" i="5" s="1"/>
  <c r="S6488" i="5" s="1"/>
  <c r="S6489" i="5" s="1"/>
  <c r="S6490" i="5" s="1"/>
  <c r="S6491" i="5" s="1"/>
  <c r="S6492" i="5" s="1"/>
  <c r="S6493" i="5" s="1"/>
  <c r="S6494" i="5" s="1"/>
  <c r="S6495" i="5" s="1"/>
  <c r="S6496" i="5" s="1"/>
  <c r="S6497" i="5" s="1"/>
  <c r="S6498" i="5" s="1"/>
  <c r="S6499" i="5" s="1"/>
  <c r="S6500" i="5" s="1"/>
  <c r="S6501" i="5" s="1"/>
  <c r="S6502" i="5" s="1"/>
  <c r="S6503" i="5" s="1"/>
  <c r="S6504" i="5" s="1"/>
  <c r="S6505" i="5" s="1"/>
  <c r="S6506" i="5" s="1"/>
  <c r="S6507" i="5" s="1"/>
  <c r="S6508" i="5" s="1"/>
  <c r="S6509" i="5" s="1"/>
  <c r="S6510" i="5" s="1"/>
  <c r="S6511" i="5" s="1"/>
  <c r="S6512" i="5" s="1"/>
  <c r="S6513" i="5" s="1"/>
  <c r="S6514" i="5" s="1"/>
  <c r="S6515" i="5" s="1"/>
  <c r="S6516" i="5" s="1"/>
  <c r="S6517" i="5" s="1"/>
  <c r="S6518" i="5" s="1"/>
  <c r="S6519" i="5" s="1"/>
  <c r="S6520" i="5" s="1"/>
  <c r="S6521" i="5" s="1"/>
  <c r="S6522" i="5" s="1"/>
  <c r="S6523" i="5" s="1"/>
  <c r="S6524" i="5" s="1"/>
  <c r="S6525" i="5" s="1"/>
  <c r="S6526" i="5" s="1"/>
  <c r="S6527" i="5" s="1"/>
  <c r="S6528" i="5" s="1"/>
  <c r="S6529" i="5" s="1"/>
  <c r="S6530" i="5" s="1"/>
  <c r="S6531" i="5" s="1"/>
  <c r="S6532" i="5" s="1"/>
  <c r="S6533" i="5" s="1"/>
  <c r="S6534" i="5" s="1"/>
  <c r="S6535" i="5" s="1"/>
  <c r="S6536" i="5" s="1"/>
  <c r="S6537" i="5" s="1"/>
  <c r="S6538" i="5" s="1"/>
  <c r="S6539" i="5" s="1"/>
  <c r="S6540" i="5" s="1"/>
  <c r="S6541" i="5" s="1"/>
  <c r="S6542" i="5" s="1"/>
  <c r="S6543" i="5" s="1"/>
  <c r="S6544" i="5" s="1"/>
  <c r="S6545" i="5" s="1"/>
  <c r="S6546" i="5" s="1"/>
  <c r="S6547" i="5" s="1"/>
  <c r="S6548" i="5" s="1"/>
  <c r="S6549" i="5" s="1"/>
  <c r="S6550" i="5" s="1"/>
  <c r="S6551" i="5" s="1"/>
  <c r="S6552" i="5" s="1"/>
  <c r="S6553" i="5" s="1"/>
  <c r="S6554" i="5" s="1"/>
  <c r="S6555" i="5" s="1"/>
  <c r="S6556" i="5" s="1"/>
  <c r="S6557" i="5" s="1"/>
  <c r="S6558" i="5" s="1"/>
  <c r="S6559" i="5" s="1"/>
  <c r="S6560" i="5" s="1"/>
  <c r="S6561" i="5" s="1"/>
  <c r="S6562" i="5" s="1"/>
  <c r="S6563" i="5" s="1"/>
  <c r="S6564" i="5" s="1"/>
  <c r="S6565" i="5" s="1"/>
  <c r="S6566" i="5" s="1"/>
  <c r="S6567" i="5" s="1"/>
  <c r="S6568" i="5" s="1"/>
  <c r="S6569" i="5" s="1"/>
  <c r="S6570" i="5" s="1"/>
  <c r="S6571" i="5" s="1"/>
  <c r="S6572" i="5" s="1"/>
  <c r="S6573" i="5" s="1"/>
  <c r="S6574" i="5" s="1"/>
  <c r="S6575" i="5" s="1"/>
  <c r="S6576" i="5" s="1"/>
  <c r="S6577" i="5" s="1"/>
  <c r="S6578" i="5" s="1"/>
  <c r="S6579" i="5" s="1"/>
  <c r="S6580" i="5" s="1"/>
  <c r="S6581" i="5" s="1"/>
  <c r="S6582" i="5" s="1"/>
  <c r="S6583" i="5" s="1"/>
  <c r="S6584" i="5" s="1"/>
  <c r="S6585" i="5" s="1"/>
  <c r="S6586" i="5" s="1"/>
  <c r="S6587" i="5" s="1"/>
  <c r="S6588" i="5" s="1"/>
  <c r="S6589" i="5" s="1"/>
  <c r="S6590" i="5" s="1"/>
  <c r="S6591" i="5" s="1"/>
  <c r="S6592" i="5" s="1"/>
  <c r="S6593" i="5" s="1"/>
  <c r="S6594" i="5" s="1"/>
  <c r="S6595" i="5" s="1"/>
  <c r="S6596" i="5" s="1"/>
  <c r="S6597" i="5" s="1"/>
  <c r="S6598" i="5" s="1"/>
  <c r="S6599" i="5" s="1"/>
  <c r="S6600" i="5" s="1"/>
  <c r="S6601" i="5" s="1"/>
  <c r="S6602" i="5" s="1"/>
  <c r="S6603" i="5" s="1"/>
  <c r="S6604" i="5" s="1"/>
  <c r="S6605" i="5" s="1"/>
  <c r="S6606" i="5" s="1"/>
  <c r="S6607" i="5" s="1"/>
  <c r="S6608" i="5" s="1"/>
  <c r="S6609" i="5" s="1"/>
  <c r="S6610" i="5" s="1"/>
  <c r="S6611" i="5" s="1"/>
  <c r="S6612" i="5" s="1"/>
  <c r="S6613" i="5" s="1"/>
  <c r="S6614" i="5" s="1"/>
  <c r="S6615" i="5" s="1"/>
  <c r="S6616" i="5" s="1"/>
  <c r="S6617" i="5" s="1"/>
  <c r="S6618" i="5" s="1"/>
  <c r="S6619" i="5" s="1"/>
  <c r="S6620" i="5" s="1"/>
  <c r="S6621" i="5" s="1"/>
  <c r="S6622" i="5" s="1"/>
  <c r="S6623" i="5" s="1"/>
  <c r="S6624" i="5" s="1"/>
  <c r="S6625" i="5" s="1"/>
  <c r="S6626" i="5" s="1"/>
  <c r="S6627" i="5" s="1"/>
  <c r="S6628" i="5" s="1"/>
  <c r="S6629" i="5" s="1"/>
  <c r="S6630" i="5" s="1"/>
  <c r="S6631" i="5" s="1"/>
  <c r="S6632" i="5" s="1"/>
  <c r="S6633" i="5" s="1"/>
  <c r="S6634" i="5" s="1"/>
  <c r="S6635" i="5" s="1"/>
  <c r="S6636" i="5" s="1"/>
  <c r="S6637" i="5" s="1"/>
  <c r="S6638" i="5" s="1"/>
  <c r="S6639" i="5" s="1"/>
  <c r="S6640" i="5" s="1"/>
  <c r="S6641" i="5" s="1"/>
  <c r="S6642" i="5" s="1"/>
  <c r="S6643" i="5" s="1"/>
  <c r="S6644" i="5" s="1"/>
  <c r="S6645" i="5" s="1"/>
  <c r="S6646" i="5" s="1"/>
  <c r="S6647" i="5" s="1"/>
  <c r="S6648" i="5" s="1"/>
  <c r="S6649" i="5" s="1"/>
  <c r="S6650" i="5" s="1"/>
  <c r="S6651" i="5" s="1"/>
  <c r="S6652" i="5" s="1"/>
  <c r="S6653" i="5" s="1"/>
  <c r="S6654" i="5" s="1"/>
  <c r="S6655" i="5" s="1"/>
  <c r="S6656" i="5" s="1"/>
  <c r="S6657" i="5" s="1"/>
  <c r="S6658" i="5" s="1"/>
  <c r="S6659" i="5" s="1"/>
  <c r="S6660" i="5" s="1"/>
  <c r="S6661" i="5" s="1"/>
  <c r="S6662" i="5" s="1"/>
  <c r="S6663" i="5" s="1"/>
  <c r="S6664" i="5" s="1"/>
  <c r="S6665" i="5" s="1"/>
  <c r="S6666" i="5" s="1"/>
  <c r="S6667" i="5" s="1"/>
  <c r="S6668" i="5" s="1"/>
  <c r="S6669" i="5" s="1"/>
  <c r="S6670" i="5" s="1"/>
  <c r="S6671" i="5" s="1"/>
  <c r="S6672" i="5" s="1"/>
  <c r="S6673" i="5" s="1"/>
  <c r="S6674" i="5" s="1"/>
  <c r="S6675" i="5" s="1"/>
  <c r="S6676" i="5" s="1"/>
  <c r="S6677" i="5" s="1"/>
  <c r="S6678" i="5" s="1"/>
  <c r="S6679" i="5" s="1"/>
  <c r="S6680" i="5" s="1"/>
  <c r="S6681" i="5" s="1"/>
  <c r="S6682" i="5" s="1"/>
  <c r="S6683" i="5" s="1"/>
  <c r="S6684" i="5" s="1"/>
  <c r="S6685" i="5" s="1"/>
  <c r="S6686" i="5" s="1"/>
  <c r="S6687" i="5" s="1"/>
  <c r="S6688" i="5" s="1"/>
  <c r="S6689" i="5" s="1"/>
  <c r="S6690" i="5" s="1"/>
  <c r="S6691" i="5" s="1"/>
  <c r="S6692" i="5" s="1"/>
  <c r="S6693" i="5" s="1"/>
  <c r="S6694" i="5" s="1"/>
  <c r="S6695" i="5" s="1"/>
  <c r="S6696" i="5" s="1"/>
  <c r="S6697" i="5" s="1"/>
  <c r="S6698" i="5" s="1"/>
  <c r="S6699" i="5" s="1"/>
  <c r="S6700" i="5" s="1"/>
  <c r="S6701" i="5" s="1"/>
  <c r="S6702" i="5" s="1"/>
  <c r="S6703" i="5" s="1"/>
  <c r="S6704" i="5" s="1"/>
  <c r="S6705" i="5" s="1"/>
  <c r="S6706" i="5" s="1"/>
  <c r="S6707" i="5" s="1"/>
  <c r="S6708" i="5" s="1"/>
  <c r="S6709" i="5" s="1"/>
  <c r="S6710" i="5" s="1"/>
  <c r="S6711" i="5" s="1"/>
  <c r="S6712" i="5" s="1"/>
  <c r="S6713" i="5" s="1"/>
  <c r="S6714" i="5" s="1"/>
  <c r="S6715" i="5" s="1"/>
  <c r="S6716" i="5" s="1"/>
  <c r="S6717" i="5" s="1"/>
  <c r="S6718" i="5" s="1"/>
  <c r="S6719" i="5" s="1"/>
  <c r="S6720" i="5" s="1"/>
  <c r="S6721" i="5" s="1"/>
  <c r="S6722" i="5" s="1"/>
  <c r="S6723" i="5" s="1"/>
  <c r="S6724" i="5" s="1"/>
  <c r="S6725" i="5" s="1"/>
  <c r="S6726" i="5" s="1"/>
  <c r="S6727" i="5" s="1"/>
  <c r="S6728" i="5" s="1"/>
  <c r="S6729" i="5" s="1"/>
  <c r="S6730" i="5" s="1"/>
  <c r="S6731" i="5" s="1"/>
  <c r="S6732" i="5" s="1"/>
  <c r="S6733" i="5" s="1"/>
  <c r="S6734" i="5" s="1"/>
  <c r="S6735" i="5" s="1"/>
  <c r="S6736" i="5" s="1"/>
  <c r="S6737" i="5" s="1"/>
  <c r="S6738" i="5" s="1"/>
  <c r="S6739" i="5" s="1"/>
  <c r="S6740" i="5" s="1"/>
  <c r="S6741" i="5" s="1"/>
  <c r="S6742" i="5" s="1"/>
  <c r="S6743" i="5" s="1"/>
  <c r="S6744" i="5" s="1"/>
  <c r="S6745" i="5" s="1"/>
  <c r="S6746" i="5" s="1"/>
  <c r="S6747" i="5" s="1"/>
  <c r="S6748" i="5" s="1"/>
  <c r="S6749" i="5" s="1"/>
  <c r="S6750" i="5" s="1"/>
  <c r="S6751" i="5" s="1"/>
  <c r="S6752" i="5" s="1"/>
  <c r="S6753" i="5" s="1"/>
  <c r="S6754" i="5" s="1"/>
  <c r="S6755" i="5" s="1"/>
  <c r="S6756" i="5" s="1"/>
  <c r="S6757" i="5" s="1"/>
  <c r="S6758" i="5" s="1"/>
  <c r="S6759" i="5" s="1"/>
  <c r="S6760" i="5" s="1"/>
  <c r="S6761" i="5" s="1"/>
  <c r="S6762" i="5" s="1"/>
  <c r="S6763" i="5" s="1"/>
  <c r="S6764" i="5" s="1"/>
  <c r="S6765" i="5" s="1"/>
  <c r="S6766" i="5" s="1"/>
  <c r="S6767" i="5" s="1"/>
  <c r="S6768" i="5" s="1"/>
  <c r="S6769" i="5" s="1"/>
  <c r="S6770" i="5" s="1"/>
  <c r="S6771" i="5" s="1"/>
  <c r="S6772" i="5" s="1"/>
  <c r="S6773" i="5" s="1"/>
  <c r="S6774" i="5" s="1"/>
  <c r="S6775" i="5" s="1"/>
  <c r="S6776" i="5" s="1"/>
  <c r="S6777" i="5" s="1"/>
  <c r="S6778" i="5" s="1"/>
  <c r="S6779" i="5" s="1"/>
  <c r="S6780" i="5" s="1"/>
  <c r="S6781" i="5" s="1"/>
  <c r="S6782" i="5" s="1"/>
  <c r="S6783" i="5" s="1"/>
  <c r="S6784" i="5" s="1"/>
  <c r="S6785" i="5" s="1"/>
  <c r="S6786" i="5" s="1"/>
  <c r="S6787" i="5" s="1"/>
  <c r="S6788" i="5" s="1"/>
  <c r="S6789" i="5" s="1"/>
  <c r="S6790" i="5" s="1"/>
  <c r="S6791" i="5" s="1"/>
  <c r="S6792" i="5" s="1"/>
  <c r="S6793" i="5" s="1"/>
  <c r="S6794" i="5" s="1"/>
  <c r="S6795" i="5" s="1"/>
  <c r="S6796" i="5" s="1"/>
  <c r="S6797" i="5" s="1"/>
  <c r="S6798" i="5" s="1"/>
  <c r="S6799" i="5" s="1"/>
  <c r="S6800" i="5" s="1"/>
  <c r="S6801" i="5" s="1"/>
  <c r="S6802" i="5" s="1"/>
  <c r="S6803" i="5" s="1"/>
  <c r="S6804" i="5" s="1"/>
  <c r="S6805" i="5" s="1"/>
  <c r="S6806" i="5" s="1"/>
  <c r="S6807" i="5" s="1"/>
  <c r="S6808" i="5" s="1"/>
  <c r="S6809" i="5" s="1"/>
  <c r="S6810" i="5" s="1"/>
  <c r="S6811" i="5" s="1"/>
  <c r="S6812" i="5" s="1"/>
  <c r="S6813" i="5" s="1"/>
  <c r="S6814" i="5" s="1"/>
  <c r="S6815" i="5" s="1"/>
  <c r="S6816" i="5" s="1"/>
  <c r="S6817" i="5" s="1"/>
  <c r="S6818" i="5" s="1"/>
  <c r="S6819" i="5" s="1"/>
  <c r="S6820" i="5" s="1"/>
  <c r="S6821" i="5" s="1"/>
  <c r="S6822" i="5" s="1"/>
  <c r="S6823" i="5" s="1"/>
  <c r="S6824" i="5" s="1"/>
  <c r="S6825" i="5" s="1"/>
  <c r="S6826" i="5" s="1"/>
  <c r="S6827" i="5" s="1"/>
  <c r="S6828" i="5" s="1"/>
  <c r="S6829" i="5" s="1"/>
  <c r="S6830" i="5" s="1"/>
  <c r="S6831" i="5" s="1"/>
  <c r="S6832" i="5" s="1"/>
  <c r="S6833" i="5" s="1"/>
  <c r="S6834" i="5" s="1"/>
  <c r="S6835" i="5" s="1"/>
  <c r="S6836" i="5" s="1"/>
  <c r="S6837" i="5" s="1"/>
  <c r="S6838" i="5" s="1"/>
  <c r="S6839" i="5" s="1"/>
  <c r="S6840" i="5" s="1"/>
  <c r="S6841" i="5" s="1"/>
  <c r="S6842" i="5" s="1"/>
  <c r="S6843" i="5" s="1"/>
  <c r="S6844" i="5" s="1"/>
  <c r="S6845" i="5" s="1"/>
  <c r="S6846" i="5" s="1"/>
  <c r="S6847" i="5" s="1"/>
  <c r="S6848" i="5" s="1"/>
  <c r="S6849" i="5" s="1"/>
  <c r="S6850" i="5" s="1"/>
  <c r="S6851" i="5" s="1"/>
  <c r="S6852" i="5" s="1"/>
  <c r="S6853" i="5" s="1"/>
  <c r="S6854" i="5" s="1"/>
  <c r="S6855" i="5" s="1"/>
  <c r="S6856" i="5" s="1"/>
  <c r="S6857" i="5" s="1"/>
  <c r="S6858" i="5" s="1"/>
  <c r="S6859" i="5" s="1"/>
  <c r="S6860" i="5" s="1"/>
  <c r="S6861" i="5" s="1"/>
  <c r="S6862" i="5" s="1"/>
  <c r="S6863" i="5" s="1"/>
  <c r="S6864" i="5" s="1"/>
  <c r="S6865" i="5" s="1"/>
  <c r="S6866" i="5" s="1"/>
  <c r="S6867" i="5" s="1"/>
  <c r="S6868" i="5" s="1"/>
  <c r="S6869" i="5" s="1"/>
  <c r="S6870" i="5" s="1"/>
  <c r="S6871" i="5" s="1"/>
  <c r="S6872" i="5" s="1"/>
  <c r="S6873" i="5" s="1"/>
  <c r="S6874" i="5" s="1"/>
  <c r="S6875" i="5" s="1"/>
  <c r="S6876" i="5" s="1"/>
  <c r="S6877" i="5" s="1"/>
  <c r="S6878" i="5" s="1"/>
  <c r="S6879" i="5" s="1"/>
  <c r="S6880" i="5" s="1"/>
  <c r="S6881" i="5" s="1"/>
  <c r="S6882" i="5" s="1"/>
  <c r="S6883" i="5" s="1"/>
  <c r="S6884" i="5" s="1"/>
  <c r="S6885" i="5" s="1"/>
  <c r="S6886" i="5" s="1"/>
  <c r="S6887" i="5" s="1"/>
  <c r="S6888" i="5" s="1"/>
  <c r="S6889" i="5" s="1"/>
  <c r="S6890" i="5" s="1"/>
  <c r="S6891" i="5" s="1"/>
  <c r="S6892" i="5" s="1"/>
  <c r="S6893" i="5" s="1"/>
  <c r="S6894" i="5" s="1"/>
  <c r="S6895" i="5" s="1"/>
  <c r="S6896" i="5" s="1"/>
  <c r="S6897" i="5" s="1"/>
  <c r="S6898" i="5" s="1"/>
  <c r="S6899" i="5" s="1"/>
  <c r="S6900" i="5" s="1"/>
  <c r="S6901" i="5" s="1"/>
  <c r="S6902" i="5" s="1"/>
  <c r="S6903" i="5" s="1"/>
  <c r="S6904" i="5" s="1"/>
  <c r="S6905" i="5" s="1"/>
  <c r="S6906" i="5" s="1"/>
  <c r="S6907" i="5" s="1"/>
  <c r="S6908" i="5" s="1"/>
  <c r="S6909" i="5" s="1"/>
  <c r="S6910" i="5" s="1"/>
  <c r="S6911" i="5" s="1"/>
  <c r="S6912" i="5" s="1"/>
  <c r="S6913" i="5" s="1"/>
  <c r="S6914" i="5" s="1"/>
  <c r="S6915" i="5" s="1"/>
  <c r="S6916" i="5" s="1"/>
  <c r="S6917" i="5" s="1"/>
  <c r="S6918" i="5" s="1"/>
  <c r="S6919" i="5" s="1"/>
  <c r="S6920" i="5" s="1"/>
  <c r="S6921" i="5" s="1"/>
  <c r="S6922" i="5" s="1"/>
  <c r="S6923" i="5" s="1"/>
  <c r="S6924" i="5" s="1"/>
  <c r="S6925" i="5" s="1"/>
  <c r="S6926" i="5" s="1"/>
  <c r="S6927" i="5" s="1"/>
  <c r="S6928" i="5" s="1"/>
  <c r="S6929" i="5" s="1"/>
  <c r="S6930" i="5" s="1"/>
  <c r="S6931" i="5" s="1"/>
  <c r="S6932" i="5" s="1"/>
  <c r="S6933" i="5" s="1"/>
  <c r="S6934" i="5" s="1"/>
  <c r="S6935" i="5" s="1"/>
  <c r="S6936" i="5" s="1"/>
  <c r="S6937" i="5" s="1"/>
  <c r="S6938" i="5" s="1"/>
  <c r="S6939" i="5" s="1"/>
  <c r="S6940" i="5" s="1"/>
  <c r="S6941" i="5" s="1"/>
  <c r="S6942" i="5" s="1"/>
  <c r="S6943" i="5" s="1"/>
  <c r="S6944" i="5" s="1"/>
  <c r="S6945" i="5" s="1"/>
  <c r="S6946" i="5" s="1"/>
  <c r="S6947" i="5" s="1"/>
  <c r="S6948" i="5" s="1"/>
  <c r="S6949" i="5" s="1"/>
  <c r="S6950" i="5" s="1"/>
  <c r="S6951" i="5" s="1"/>
  <c r="S6952" i="5" s="1"/>
  <c r="S6953" i="5" s="1"/>
  <c r="S6954" i="5" s="1"/>
  <c r="S6955" i="5" s="1"/>
  <c r="S6956" i="5" s="1"/>
  <c r="S6957" i="5" s="1"/>
  <c r="S6958" i="5" s="1"/>
  <c r="S6959" i="5" s="1"/>
  <c r="S6960" i="5" s="1"/>
  <c r="S6961" i="5" s="1"/>
  <c r="S6962" i="5" s="1"/>
  <c r="S6963" i="5" s="1"/>
  <c r="S6964" i="5" s="1"/>
  <c r="S6965" i="5" s="1"/>
  <c r="S6966" i="5" s="1"/>
  <c r="S6967" i="5" s="1"/>
  <c r="S6968" i="5" s="1"/>
  <c r="S6969" i="5" s="1"/>
  <c r="S6970" i="5" s="1"/>
  <c r="S6971" i="5" s="1"/>
  <c r="S6972" i="5" s="1"/>
  <c r="S6973" i="5" s="1"/>
  <c r="S6974" i="5" s="1"/>
  <c r="S6975" i="5" s="1"/>
  <c r="S6976" i="5" s="1"/>
  <c r="S6977" i="5" s="1"/>
  <c r="S6978" i="5" s="1"/>
  <c r="S6979" i="5" s="1"/>
  <c r="S6980" i="5" s="1"/>
  <c r="S6981" i="5" s="1"/>
  <c r="S6982" i="5" s="1"/>
  <c r="S6983" i="5" s="1"/>
  <c r="S6984" i="5" s="1"/>
  <c r="S6985" i="5" s="1"/>
  <c r="S6986" i="5" s="1"/>
  <c r="S6987" i="5" s="1"/>
  <c r="S6988" i="5" s="1"/>
  <c r="S6989" i="5" s="1"/>
  <c r="S6990" i="5" s="1"/>
  <c r="S6991" i="5" s="1"/>
  <c r="S6992" i="5" s="1"/>
  <c r="S6993" i="5" s="1"/>
  <c r="S6994" i="5" s="1"/>
  <c r="S6995" i="5" s="1"/>
  <c r="S6996" i="5" s="1"/>
  <c r="S6997" i="5" s="1"/>
  <c r="S6998" i="5" s="1"/>
  <c r="S6999" i="5" s="1"/>
  <c r="S7000" i="5" s="1"/>
  <c r="S7001" i="5" s="1"/>
  <c r="S7002" i="5" s="1"/>
  <c r="S7003" i="5" s="1"/>
  <c r="S7004" i="5" s="1"/>
  <c r="S7005" i="5" s="1"/>
  <c r="S7006" i="5" s="1"/>
  <c r="S7007" i="5" s="1"/>
  <c r="S7008" i="5" s="1"/>
  <c r="S7009" i="5" s="1"/>
  <c r="S7010" i="5" s="1"/>
  <c r="S7011" i="5" s="1"/>
  <c r="S7012" i="5" s="1"/>
  <c r="S7013" i="5" s="1"/>
  <c r="S7014" i="5" s="1"/>
  <c r="S7015" i="5" s="1"/>
  <c r="S7016" i="5" s="1"/>
  <c r="S7017" i="5" s="1"/>
  <c r="S7018" i="5" s="1"/>
  <c r="S7019" i="5" s="1"/>
  <c r="S7020" i="5" s="1"/>
  <c r="S7021" i="5" s="1"/>
  <c r="S7022" i="5" s="1"/>
  <c r="S7023" i="5" s="1"/>
  <c r="S7024" i="5" s="1"/>
  <c r="S7025" i="5" s="1"/>
  <c r="S7026" i="5" s="1"/>
  <c r="S7027" i="5" s="1"/>
  <c r="S7028" i="5" s="1"/>
  <c r="S7029" i="5" s="1"/>
  <c r="S7030" i="5" s="1"/>
  <c r="S7031" i="5" s="1"/>
  <c r="S7032" i="5" s="1"/>
  <c r="S7033" i="5" s="1"/>
  <c r="S7034" i="5" s="1"/>
  <c r="S7035" i="5" s="1"/>
  <c r="S7036" i="5" s="1"/>
  <c r="S7037" i="5" s="1"/>
  <c r="S7038" i="5" s="1"/>
  <c r="S7039" i="5" s="1"/>
  <c r="S7040" i="5" s="1"/>
  <c r="S7041" i="5" s="1"/>
  <c r="S7042" i="5" s="1"/>
  <c r="S7043" i="5" s="1"/>
  <c r="S7044" i="5" s="1"/>
  <c r="S7045" i="5" s="1"/>
  <c r="S7046" i="5" s="1"/>
  <c r="S7047" i="5" s="1"/>
  <c r="S7048" i="5" s="1"/>
  <c r="S7049" i="5" s="1"/>
  <c r="S7050" i="5" s="1"/>
  <c r="S7051" i="5" s="1"/>
  <c r="S7052" i="5" s="1"/>
  <c r="S7053" i="5" s="1"/>
  <c r="S7054" i="5" s="1"/>
  <c r="S7055" i="5" s="1"/>
  <c r="S7056" i="5" s="1"/>
  <c r="S7057" i="5" s="1"/>
  <c r="S7058" i="5" s="1"/>
  <c r="S7059" i="5" s="1"/>
  <c r="S7060" i="5" s="1"/>
  <c r="S7061" i="5" s="1"/>
  <c r="S7062" i="5" s="1"/>
  <c r="S7063" i="5" s="1"/>
  <c r="S7064" i="5" s="1"/>
  <c r="S7065" i="5" s="1"/>
  <c r="S7066" i="5" s="1"/>
  <c r="S7067" i="5" s="1"/>
  <c r="S7068" i="5" s="1"/>
  <c r="S7069" i="5" s="1"/>
  <c r="S7070" i="5" s="1"/>
  <c r="S7071" i="5" s="1"/>
  <c r="S7072" i="5" s="1"/>
  <c r="S7073" i="5" s="1"/>
  <c r="S7074" i="5" s="1"/>
  <c r="S7075" i="5" s="1"/>
  <c r="S7076" i="5" s="1"/>
  <c r="S7077" i="5" s="1"/>
  <c r="S7078" i="5" s="1"/>
  <c r="S7079" i="5" s="1"/>
  <c r="S7080" i="5" s="1"/>
  <c r="S7081" i="5" s="1"/>
  <c r="S7082" i="5" s="1"/>
  <c r="S7083" i="5" s="1"/>
  <c r="S7084" i="5" s="1"/>
  <c r="S7085" i="5" s="1"/>
  <c r="S7086" i="5" s="1"/>
  <c r="S7087" i="5" s="1"/>
  <c r="S7088" i="5" s="1"/>
  <c r="S7089" i="5" s="1"/>
  <c r="S7090" i="5" s="1"/>
  <c r="S7091" i="5" s="1"/>
  <c r="S7092" i="5" s="1"/>
  <c r="S7093" i="5" s="1"/>
  <c r="S7094" i="5" s="1"/>
  <c r="S7095" i="5" s="1"/>
  <c r="S7096" i="5" s="1"/>
  <c r="S7097" i="5" s="1"/>
  <c r="S7098" i="5" s="1"/>
  <c r="S7099" i="5" s="1"/>
  <c r="S7100" i="5" s="1"/>
  <c r="S7101" i="5" s="1"/>
  <c r="S7102" i="5" s="1"/>
  <c r="S7103" i="5" s="1"/>
  <c r="S7104" i="5" s="1"/>
  <c r="S7105" i="5" s="1"/>
  <c r="S7106" i="5" s="1"/>
  <c r="S7107" i="5" s="1"/>
  <c r="S7108" i="5" s="1"/>
  <c r="S7109" i="5" s="1"/>
  <c r="S7110" i="5" s="1"/>
  <c r="S7111" i="5" s="1"/>
  <c r="S7112" i="5" s="1"/>
  <c r="S7113" i="5" s="1"/>
  <c r="S7114" i="5" s="1"/>
  <c r="S7115" i="5" s="1"/>
  <c r="S7116" i="5" s="1"/>
  <c r="S7117" i="5" s="1"/>
  <c r="S7118" i="5" s="1"/>
  <c r="S7119" i="5" s="1"/>
  <c r="S7120" i="5" s="1"/>
  <c r="S7121" i="5" s="1"/>
  <c r="S7122" i="5" s="1"/>
  <c r="S7123" i="5" s="1"/>
  <c r="S7124" i="5" s="1"/>
  <c r="S7125" i="5" s="1"/>
  <c r="S7126" i="5" s="1"/>
  <c r="S7127" i="5" s="1"/>
  <c r="S7128" i="5" s="1"/>
  <c r="S7129" i="5" s="1"/>
  <c r="S7130" i="5" s="1"/>
  <c r="S7131" i="5" s="1"/>
  <c r="S7132" i="5" s="1"/>
  <c r="S7133" i="5" s="1"/>
  <c r="S7134" i="5" s="1"/>
  <c r="S7135" i="5" s="1"/>
  <c r="S7136" i="5" s="1"/>
  <c r="S7137" i="5" s="1"/>
  <c r="S7138" i="5" s="1"/>
  <c r="S7139" i="5" s="1"/>
  <c r="S7140" i="5" s="1"/>
  <c r="S7141" i="5" s="1"/>
  <c r="S7142" i="5" s="1"/>
  <c r="S7143" i="5" s="1"/>
  <c r="S7144" i="5" s="1"/>
  <c r="S7145" i="5" s="1"/>
  <c r="S7146" i="5" s="1"/>
  <c r="S7147" i="5" s="1"/>
  <c r="S7148" i="5" s="1"/>
  <c r="S7149" i="5" s="1"/>
  <c r="S7150" i="5" s="1"/>
  <c r="S7151" i="5" s="1"/>
  <c r="S7152" i="5" s="1"/>
  <c r="S7153" i="5" s="1"/>
  <c r="S7154" i="5" s="1"/>
  <c r="S7155" i="5" s="1"/>
  <c r="S7156" i="5" s="1"/>
  <c r="S7157" i="5" s="1"/>
  <c r="S7158" i="5" s="1"/>
  <c r="S7159" i="5" s="1"/>
  <c r="S7160" i="5" s="1"/>
  <c r="S7161" i="5" s="1"/>
  <c r="S7162" i="5" s="1"/>
  <c r="S7163" i="5" s="1"/>
  <c r="S7164" i="5" s="1"/>
  <c r="S7165" i="5" s="1"/>
  <c r="S7166" i="5" s="1"/>
  <c r="S7167" i="5" s="1"/>
  <c r="S7168" i="5" s="1"/>
  <c r="S7169" i="5" s="1"/>
  <c r="S7170" i="5" s="1"/>
  <c r="S7171" i="5" s="1"/>
  <c r="S7172" i="5" s="1"/>
  <c r="S7173" i="5" s="1"/>
  <c r="S7174" i="5" s="1"/>
  <c r="S7175" i="5" s="1"/>
  <c r="S7176" i="5" s="1"/>
  <c r="S7177" i="5" s="1"/>
  <c r="S7178" i="5" s="1"/>
  <c r="S7179" i="5" s="1"/>
  <c r="S7180" i="5" s="1"/>
  <c r="S7181" i="5" s="1"/>
  <c r="S7182" i="5" s="1"/>
  <c r="S7183" i="5" s="1"/>
  <c r="S7184" i="5" s="1"/>
  <c r="S7185" i="5" s="1"/>
  <c r="S7186" i="5" s="1"/>
  <c r="S7187" i="5" s="1"/>
  <c r="S7188" i="5" s="1"/>
  <c r="S7189" i="5" s="1"/>
  <c r="S7190" i="5" s="1"/>
  <c r="S7191" i="5" s="1"/>
  <c r="S7192" i="5" s="1"/>
  <c r="S7193" i="5" s="1"/>
  <c r="S7194" i="5" s="1"/>
  <c r="S7195" i="5" s="1"/>
  <c r="S7196" i="5" s="1"/>
  <c r="S7197" i="5" s="1"/>
  <c r="S7198" i="5" s="1"/>
  <c r="S7199" i="5" s="1"/>
  <c r="S7200" i="5" s="1"/>
  <c r="S7201" i="5" s="1"/>
  <c r="S7202" i="5" s="1"/>
  <c r="S7203" i="5" s="1"/>
  <c r="S7204" i="5" s="1"/>
  <c r="S7205" i="5" s="1"/>
  <c r="S7206" i="5" s="1"/>
  <c r="S7207" i="5" s="1"/>
  <c r="S7208" i="5" s="1"/>
  <c r="S7209" i="5" s="1"/>
  <c r="S7210" i="5" s="1"/>
  <c r="S7211" i="5" s="1"/>
  <c r="S7212" i="5" s="1"/>
  <c r="S7213" i="5" s="1"/>
  <c r="S7214" i="5" s="1"/>
  <c r="S7215" i="5" s="1"/>
  <c r="S7216" i="5" s="1"/>
  <c r="S7217" i="5" s="1"/>
  <c r="S7218" i="5" s="1"/>
  <c r="S7219" i="5" s="1"/>
  <c r="S7220" i="5" s="1"/>
  <c r="S7221" i="5" s="1"/>
  <c r="S7222" i="5" s="1"/>
  <c r="S7223" i="5" s="1"/>
  <c r="S7224" i="5" s="1"/>
  <c r="S7225" i="5" s="1"/>
  <c r="S7226" i="5" s="1"/>
  <c r="S7227" i="5" s="1"/>
  <c r="S7228" i="5" s="1"/>
  <c r="S7229" i="5" s="1"/>
  <c r="S7230" i="5" s="1"/>
  <c r="S7231" i="5" s="1"/>
  <c r="S7232" i="5" s="1"/>
  <c r="S7233" i="5" s="1"/>
  <c r="S7234" i="5" s="1"/>
  <c r="S7235" i="5" s="1"/>
  <c r="S7236" i="5" s="1"/>
  <c r="S7237" i="5" s="1"/>
  <c r="S7238" i="5" s="1"/>
  <c r="S7239" i="5" s="1"/>
  <c r="S7240" i="5" s="1"/>
  <c r="S7241" i="5" s="1"/>
  <c r="S7242" i="5" s="1"/>
  <c r="S7243" i="5" s="1"/>
  <c r="S7244" i="5" s="1"/>
  <c r="S7245" i="5" s="1"/>
  <c r="S7246" i="5" s="1"/>
  <c r="S7247" i="5" s="1"/>
  <c r="S7248" i="5" s="1"/>
  <c r="S7249" i="5" s="1"/>
  <c r="S7250" i="5" s="1"/>
  <c r="S7251" i="5" s="1"/>
  <c r="S7252" i="5" s="1"/>
  <c r="S7253" i="5" s="1"/>
  <c r="S7254" i="5" s="1"/>
  <c r="S7255" i="5" s="1"/>
  <c r="S7256" i="5" s="1"/>
  <c r="S7257" i="5" s="1"/>
  <c r="S7258" i="5" s="1"/>
  <c r="S7259" i="5" s="1"/>
  <c r="S7260" i="5" s="1"/>
  <c r="S7261" i="5" s="1"/>
  <c r="S7262" i="5" s="1"/>
  <c r="S7263" i="5" s="1"/>
  <c r="S7264" i="5" s="1"/>
  <c r="S7265" i="5" s="1"/>
  <c r="S7266" i="5" s="1"/>
  <c r="S7267" i="5" s="1"/>
  <c r="S7268" i="5" s="1"/>
  <c r="S7269" i="5" s="1"/>
  <c r="S7270" i="5" s="1"/>
  <c r="S7271" i="5" s="1"/>
  <c r="S7272" i="5" s="1"/>
  <c r="S7273" i="5" s="1"/>
  <c r="S7274" i="5" s="1"/>
  <c r="S7275" i="5" s="1"/>
  <c r="S7276" i="5" s="1"/>
  <c r="S7277" i="5" s="1"/>
  <c r="S7278" i="5" s="1"/>
  <c r="S7279" i="5" s="1"/>
  <c r="S7280" i="5" s="1"/>
  <c r="S7281" i="5" s="1"/>
  <c r="S7282" i="5" s="1"/>
  <c r="S7283" i="5" s="1"/>
  <c r="S7284" i="5" s="1"/>
  <c r="S7285" i="5" s="1"/>
  <c r="S7286" i="5" s="1"/>
  <c r="S7287" i="5" s="1"/>
  <c r="S7288" i="5" s="1"/>
  <c r="S7289" i="5" s="1"/>
  <c r="S7290" i="5" s="1"/>
  <c r="S7291" i="5" s="1"/>
  <c r="S7292" i="5" s="1"/>
  <c r="S7293" i="5" s="1"/>
  <c r="S7294" i="5" s="1"/>
  <c r="S7295" i="5" s="1"/>
  <c r="S7296" i="5" s="1"/>
  <c r="S7297" i="5" s="1"/>
  <c r="S7298" i="5" s="1"/>
  <c r="S7299" i="5" s="1"/>
  <c r="S7300" i="5" s="1"/>
  <c r="S7301" i="5" s="1"/>
  <c r="S7302" i="5" s="1"/>
  <c r="S7303" i="5" s="1"/>
  <c r="S7304" i="5" s="1"/>
  <c r="S7305" i="5" s="1"/>
  <c r="S7306" i="5" s="1"/>
  <c r="S7307" i="5" s="1"/>
  <c r="S7308" i="5" s="1"/>
  <c r="S7309" i="5" s="1"/>
  <c r="S7310" i="5" s="1"/>
  <c r="S7311" i="5" s="1"/>
  <c r="S7312" i="5" s="1"/>
  <c r="S7313" i="5" s="1"/>
  <c r="S7314" i="5" s="1"/>
  <c r="S7315" i="5" s="1"/>
  <c r="S7316" i="5" s="1"/>
  <c r="S7317" i="5" s="1"/>
  <c r="S7318" i="5" s="1"/>
  <c r="S7319" i="5" s="1"/>
  <c r="S7320" i="5" s="1"/>
  <c r="S7321" i="5" s="1"/>
  <c r="S7322" i="5" s="1"/>
  <c r="S7323" i="5" s="1"/>
  <c r="S7324" i="5" s="1"/>
  <c r="S7325" i="5" s="1"/>
  <c r="S7326" i="5" s="1"/>
  <c r="S7327" i="5" s="1"/>
  <c r="S7328" i="5" s="1"/>
  <c r="S7329" i="5" s="1"/>
  <c r="S7330" i="5" s="1"/>
  <c r="S7331" i="5" s="1"/>
  <c r="S7332" i="5" s="1"/>
  <c r="S7333" i="5" s="1"/>
  <c r="S7334" i="5" s="1"/>
  <c r="S7335" i="5" s="1"/>
  <c r="S7336" i="5" s="1"/>
  <c r="S7337" i="5" s="1"/>
  <c r="S7338" i="5" s="1"/>
  <c r="S7339" i="5" s="1"/>
  <c r="S7340" i="5" s="1"/>
  <c r="S7341" i="5" s="1"/>
  <c r="S7342" i="5" s="1"/>
  <c r="S7343" i="5" s="1"/>
  <c r="S7344" i="5" s="1"/>
  <c r="S7345" i="5" s="1"/>
  <c r="S7346" i="5" s="1"/>
  <c r="S7347" i="5" s="1"/>
  <c r="S7348" i="5" s="1"/>
  <c r="S7349" i="5" s="1"/>
  <c r="S7350" i="5" s="1"/>
  <c r="S7351" i="5" s="1"/>
  <c r="S7352" i="5" s="1"/>
  <c r="S7353" i="5" s="1"/>
  <c r="S7354" i="5" s="1"/>
  <c r="S7355" i="5" s="1"/>
  <c r="S7356" i="5" s="1"/>
  <c r="S7357" i="5" s="1"/>
  <c r="S7358" i="5" s="1"/>
  <c r="S7359" i="5" s="1"/>
  <c r="S7360" i="5" s="1"/>
  <c r="S7361" i="5" s="1"/>
  <c r="S7362" i="5" s="1"/>
  <c r="S7363" i="5" s="1"/>
  <c r="S7364" i="5" s="1"/>
  <c r="S7365" i="5" s="1"/>
  <c r="S7366" i="5" s="1"/>
  <c r="S7367" i="5" s="1"/>
  <c r="S7368" i="5" s="1"/>
  <c r="S7369" i="5" s="1"/>
  <c r="S7370" i="5" s="1"/>
  <c r="S7371" i="5" s="1"/>
  <c r="S7372" i="5" s="1"/>
  <c r="S7373" i="5" s="1"/>
  <c r="S7374" i="5" s="1"/>
  <c r="S7375" i="5" s="1"/>
  <c r="S7376" i="5" s="1"/>
  <c r="S7377" i="5" s="1"/>
  <c r="S7378" i="5" s="1"/>
  <c r="S7379" i="5" s="1"/>
  <c r="S7380" i="5" s="1"/>
  <c r="S7381" i="5" s="1"/>
  <c r="S7382" i="5" s="1"/>
  <c r="S7383" i="5" s="1"/>
  <c r="S7384" i="5" s="1"/>
  <c r="S7385" i="5" s="1"/>
  <c r="S7386" i="5" s="1"/>
  <c r="S7387" i="5" s="1"/>
  <c r="S7388" i="5" s="1"/>
  <c r="S7389" i="5" s="1"/>
  <c r="S7390" i="5" s="1"/>
  <c r="S7391" i="5" s="1"/>
  <c r="S7392" i="5" s="1"/>
  <c r="S7393" i="5" s="1"/>
  <c r="S7394" i="5" s="1"/>
  <c r="S7395" i="5" s="1"/>
  <c r="S7396" i="5" s="1"/>
  <c r="S7397" i="5" s="1"/>
  <c r="S7398" i="5" s="1"/>
  <c r="S7399" i="5" s="1"/>
  <c r="S7400" i="5" s="1"/>
  <c r="S7401" i="5" s="1"/>
  <c r="S7402" i="5" s="1"/>
  <c r="S7403" i="5" s="1"/>
  <c r="S7404" i="5" s="1"/>
  <c r="S7405" i="5" s="1"/>
  <c r="S7406" i="5" s="1"/>
  <c r="S7407" i="5" s="1"/>
  <c r="S7408" i="5" s="1"/>
  <c r="S7409" i="5" s="1"/>
  <c r="S7410" i="5" s="1"/>
  <c r="S7411" i="5" s="1"/>
  <c r="S7412" i="5" s="1"/>
  <c r="S7413" i="5" s="1"/>
  <c r="S7414" i="5" s="1"/>
  <c r="S7415" i="5" s="1"/>
  <c r="S7416" i="5" s="1"/>
  <c r="S7417" i="5" s="1"/>
  <c r="S7418" i="5" s="1"/>
  <c r="S7419" i="5" s="1"/>
  <c r="S7420" i="5" s="1"/>
  <c r="S7421" i="5" s="1"/>
  <c r="S7422" i="5" s="1"/>
  <c r="S7423" i="5" s="1"/>
  <c r="S7424" i="5" s="1"/>
  <c r="S7425" i="5" s="1"/>
  <c r="S7426" i="5" s="1"/>
  <c r="S7427" i="5" s="1"/>
  <c r="S7428" i="5" s="1"/>
  <c r="S7429" i="5" s="1"/>
  <c r="S7430" i="5" s="1"/>
  <c r="S7431" i="5" s="1"/>
  <c r="S7432" i="5" s="1"/>
  <c r="S7433" i="5" s="1"/>
  <c r="S7434" i="5" s="1"/>
  <c r="S7435" i="5" s="1"/>
  <c r="S7436" i="5" s="1"/>
  <c r="S7437" i="5" s="1"/>
  <c r="S7438" i="5" s="1"/>
  <c r="S7439" i="5" s="1"/>
  <c r="S7440" i="5" s="1"/>
  <c r="S7441" i="5" s="1"/>
  <c r="S7442" i="5" s="1"/>
  <c r="S7443" i="5" s="1"/>
  <c r="S7444" i="5" s="1"/>
  <c r="S7445" i="5" s="1"/>
  <c r="S7446" i="5" s="1"/>
  <c r="S7447" i="5" s="1"/>
  <c r="S7448" i="5" s="1"/>
  <c r="S7449" i="5" s="1"/>
  <c r="S7450" i="5" s="1"/>
  <c r="S7451" i="5" s="1"/>
  <c r="S7452" i="5" s="1"/>
  <c r="S7453" i="5" s="1"/>
  <c r="S7454" i="5" s="1"/>
  <c r="S7455" i="5" s="1"/>
  <c r="S7456" i="5" s="1"/>
  <c r="S7457" i="5" s="1"/>
  <c r="S7458" i="5" s="1"/>
  <c r="S7459" i="5" s="1"/>
  <c r="S7460" i="5" s="1"/>
  <c r="S7461" i="5" s="1"/>
  <c r="S7462" i="5" s="1"/>
  <c r="S7463" i="5" s="1"/>
  <c r="S7464" i="5" s="1"/>
  <c r="S7465" i="5" s="1"/>
  <c r="S7466" i="5" s="1"/>
  <c r="S7467" i="5" s="1"/>
  <c r="S7468" i="5" s="1"/>
  <c r="S7469" i="5" s="1"/>
  <c r="S7470" i="5" s="1"/>
  <c r="S7471" i="5" s="1"/>
  <c r="S7472" i="5" s="1"/>
  <c r="S7473" i="5" s="1"/>
  <c r="S7474" i="5" s="1"/>
  <c r="S7475" i="5" s="1"/>
  <c r="S7476" i="5" s="1"/>
  <c r="S7477" i="5" s="1"/>
  <c r="S7478" i="5" s="1"/>
  <c r="S7479" i="5" s="1"/>
  <c r="S7480" i="5" s="1"/>
  <c r="S7481" i="5" s="1"/>
  <c r="S7482" i="5" s="1"/>
  <c r="S7483" i="5" s="1"/>
  <c r="S7484" i="5" s="1"/>
  <c r="S7485" i="5" s="1"/>
  <c r="S7486" i="5" s="1"/>
  <c r="S7487" i="5" s="1"/>
  <c r="S7488" i="5" s="1"/>
  <c r="S7489" i="5" s="1"/>
  <c r="S7490" i="5" s="1"/>
  <c r="S7491" i="5" s="1"/>
  <c r="S7492" i="5" s="1"/>
  <c r="S7493" i="5" s="1"/>
  <c r="S7494" i="5" s="1"/>
  <c r="S7495" i="5" s="1"/>
  <c r="S7496" i="5" s="1"/>
  <c r="S7497" i="5" s="1"/>
  <c r="S7498" i="5" s="1"/>
  <c r="S7499" i="5" s="1"/>
  <c r="S7500" i="5" s="1"/>
  <c r="S7501" i="5" s="1"/>
  <c r="S7502" i="5" s="1"/>
  <c r="S7503" i="5" s="1"/>
  <c r="S7504" i="5" s="1"/>
  <c r="S7505" i="5" s="1"/>
  <c r="S7506" i="5" s="1"/>
  <c r="S7507" i="5" s="1"/>
  <c r="S7508" i="5" s="1"/>
  <c r="S7509" i="5" s="1"/>
  <c r="S7510" i="5" s="1"/>
  <c r="S7511" i="5" s="1"/>
  <c r="S7512" i="5" s="1"/>
  <c r="S7513" i="5" s="1"/>
  <c r="S7514" i="5" s="1"/>
  <c r="S7515" i="5" s="1"/>
  <c r="S7516" i="5" s="1"/>
  <c r="S7517" i="5" s="1"/>
  <c r="S7518" i="5" s="1"/>
  <c r="S7519" i="5" s="1"/>
  <c r="S7520" i="5" s="1"/>
  <c r="S7521" i="5" s="1"/>
  <c r="S7522" i="5" s="1"/>
  <c r="S7523" i="5" s="1"/>
  <c r="S7524" i="5" s="1"/>
  <c r="S7525" i="5" s="1"/>
  <c r="S7526" i="5" s="1"/>
  <c r="S7527" i="5" s="1"/>
  <c r="S7528" i="5" s="1"/>
  <c r="S7529" i="5" s="1"/>
  <c r="S7530" i="5" s="1"/>
  <c r="S7531" i="5" s="1"/>
  <c r="S7532" i="5" s="1"/>
  <c r="S7533" i="5" s="1"/>
  <c r="S7534" i="5" s="1"/>
  <c r="S7535" i="5" s="1"/>
  <c r="S7536" i="5" s="1"/>
  <c r="S7537" i="5" s="1"/>
  <c r="S7538" i="5" s="1"/>
  <c r="S7539" i="5" s="1"/>
  <c r="S7540" i="5" s="1"/>
  <c r="S7541" i="5" s="1"/>
  <c r="S7542" i="5" s="1"/>
  <c r="S7543" i="5" s="1"/>
  <c r="S7544" i="5" s="1"/>
  <c r="S7545" i="5" s="1"/>
  <c r="S7546" i="5" s="1"/>
  <c r="S7547" i="5" s="1"/>
  <c r="S7548" i="5" s="1"/>
  <c r="S7549" i="5" s="1"/>
  <c r="S7550" i="5" s="1"/>
  <c r="S7551" i="5" s="1"/>
  <c r="S7552" i="5" s="1"/>
  <c r="S7553" i="5" s="1"/>
  <c r="S7554" i="5" s="1"/>
  <c r="S7555" i="5" s="1"/>
  <c r="S7556" i="5" s="1"/>
  <c r="S7557" i="5" s="1"/>
  <c r="S7558" i="5" s="1"/>
  <c r="S7559" i="5" s="1"/>
  <c r="S7560" i="5" s="1"/>
  <c r="S7561" i="5" s="1"/>
  <c r="S7562" i="5" s="1"/>
  <c r="S7563" i="5" s="1"/>
  <c r="S7564" i="5" s="1"/>
  <c r="S7565" i="5" s="1"/>
  <c r="S7566" i="5" s="1"/>
  <c r="S7567" i="5" s="1"/>
  <c r="S7568" i="5" s="1"/>
  <c r="S7569" i="5" s="1"/>
  <c r="S7570" i="5" s="1"/>
  <c r="S7571" i="5" s="1"/>
  <c r="S7572" i="5" s="1"/>
  <c r="S7573" i="5" s="1"/>
  <c r="S7574" i="5" s="1"/>
  <c r="S7575" i="5" s="1"/>
  <c r="S7576" i="5" s="1"/>
  <c r="S7577" i="5" s="1"/>
  <c r="S7578" i="5" s="1"/>
  <c r="S7579" i="5" s="1"/>
  <c r="S7580" i="5" s="1"/>
  <c r="S7581" i="5" s="1"/>
  <c r="S7582" i="5" s="1"/>
  <c r="S7583" i="5" s="1"/>
  <c r="S7584" i="5" s="1"/>
  <c r="S7585" i="5" s="1"/>
  <c r="S7586" i="5" s="1"/>
  <c r="S7587" i="5" s="1"/>
  <c r="S7588" i="5" s="1"/>
  <c r="S7589" i="5" s="1"/>
  <c r="S7590" i="5" s="1"/>
  <c r="S7591" i="5" s="1"/>
  <c r="S7592" i="5" s="1"/>
  <c r="S7593" i="5" s="1"/>
  <c r="S7594" i="5" s="1"/>
  <c r="S7595" i="5" s="1"/>
  <c r="S7596" i="5" s="1"/>
  <c r="S7597" i="5" s="1"/>
  <c r="S7598" i="5" s="1"/>
  <c r="S7599" i="5" s="1"/>
  <c r="S7600" i="5" s="1"/>
  <c r="S7601" i="5" s="1"/>
  <c r="S7602" i="5" s="1"/>
  <c r="S7603" i="5" s="1"/>
  <c r="S7604" i="5" s="1"/>
  <c r="S7605" i="5" s="1"/>
  <c r="S7606" i="5" s="1"/>
  <c r="S7607" i="5" s="1"/>
  <c r="S7608" i="5" s="1"/>
  <c r="S7609" i="5" s="1"/>
  <c r="S7610" i="5" s="1"/>
  <c r="S7611" i="5" s="1"/>
  <c r="S7612" i="5" s="1"/>
  <c r="S7613" i="5" s="1"/>
  <c r="S7614" i="5" s="1"/>
  <c r="S7615" i="5" s="1"/>
  <c r="S7616" i="5" s="1"/>
  <c r="S7617" i="5" s="1"/>
  <c r="S7618" i="5" s="1"/>
  <c r="S7619" i="5" s="1"/>
  <c r="S7620" i="5" s="1"/>
  <c r="S7621" i="5" s="1"/>
  <c r="S7622" i="5" s="1"/>
  <c r="S7623" i="5" s="1"/>
  <c r="S7624" i="5" s="1"/>
  <c r="S7625" i="5" s="1"/>
  <c r="S7626" i="5" s="1"/>
  <c r="S7627" i="5" s="1"/>
  <c r="S7628" i="5" s="1"/>
  <c r="S7629" i="5" s="1"/>
  <c r="S7630" i="5" s="1"/>
  <c r="S7631" i="5" s="1"/>
  <c r="S7632" i="5" s="1"/>
  <c r="S7633" i="5" s="1"/>
  <c r="S7634" i="5" s="1"/>
  <c r="S7635" i="5" s="1"/>
  <c r="S7636" i="5" s="1"/>
  <c r="S7637" i="5" s="1"/>
  <c r="S7638" i="5" s="1"/>
  <c r="S7639" i="5" s="1"/>
  <c r="S7640" i="5" s="1"/>
  <c r="S7641" i="5" s="1"/>
  <c r="S7642" i="5" s="1"/>
  <c r="S7643" i="5" s="1"/>
  <c r="S7644" i="5" s="1"/>
  <c r="S7645" i="5" s="1"/>
  <c r="S7646" i="5" s="1"/>
  <c r="S7647" i="5" s="1"/>
  <c r="S7648" i="5" s="1"/>
  <c r="S7649" i="5" s="1"/>
  <c r="S7650" i="5" s="1"/>
  <c r="S7651" i="5" s="1"/>
  <c r="S7652" i="5" s="1"/>
  <c r="S7653" i="5" s="1"/>
  <c r="S7654" i="5" s="1"/>
  <c r="S7655" i="5" s="1"/>
  <c r="S7656" i="5" s="1"/>
  <c r="S7657" i="5" s="1"/>
  <c r="S7658" i="5" s="1"/>
  <c r="S7659" i="5" s="1"/>
  <c r="S7660" i="5" s="1"/>
  <c r="S7661" i="5" s="1"/>
  <c r="S7662" i="5" s="1"/>
  <c r="S7663" i="5" s="1"/>
  <c r="S7664" i="5" s="1"/>
  <c r="S7665" i="5" s="1"/>
  <c r="S7666" i="5" s="1"/>
  <c r="S7667" i="5" s="1"/>
  <c r="S7668" i="5" s="1"/>
  <c r="S7669" i="5" s="1"/>
  <c r="S7670" i="5" s="1"/>
  <c r="S7671" i="5" s="1"/>
  <c r="S7672" i="5" s="1"/>
  <c r="S7673" i="5" s="1"/>
  <c r="S7674" i="5" s="1"/>
  <c r="S7675" i="5" s="1"/>
  <c r="S7676" i="5" s="1"/>
  <c r="S7677" i="5" s="1"/>
  <c r="S7678" i="5" s="1"/>
  <c r="S7679" i="5" s="1"/>
  <c r="S7680" i="5" s="1"/>
  <c r="S7681" i="5" s="1"/>
  <c r="S7682" i="5" s="1"/>
  <c r="S7683" i="5" s="1"/>
  <c r="S7684" i="5" s="1"/>
  <c r="S7685" i="5" s="1"/>
  <c r="S7686" i="5" s="1"/>
  <c r="S7687" i="5" s="1"/>
  <c r="S7688" i="5" s="1"/>
  <c r="S7689" i="5" s="1"/>
  <c r="S7690" i="5" s="1"/>
  <c r="S7691" i="5" s="1"/>
  <c r="S7692" i="5" s="1"/>
  <c r="S7693" i="5" s="1"/>
  <c r="S7694" i="5" s="1"/>
  <c r="S7695" i="5" s="1"/>
  <c r="S7696" i="5" s="1"/>
  <c r="S7697" i="5" s="1"/>
  <c r="S7698" i="5" s="1"/>
  <c r="S7699" i="5" s="1"/>
  <c r="S7700" i="5" s="1"/>
  <c r="S7701" i="5" s="1"/>
  <c r="S7702" i="5" s="1"/>
  <c r="S7703" i="5" s="1"/>
  <c r="S7704" i="5" s="1"/>
  <c r="S7705" i="5" s="1"/>
  <c r="S7706" i="5" s="1"/>
  <c r="S7707" i="5" s="1"/>
  <c r="S7708" i="5" s="1"/>
  <c r="S7709" i="5" s="1"/>
  <c r="S7710" i="5" s="1"/>
  <c r="S7711" i="5" s="1"/>
  <c r="S7712" i="5" s="1"/>
  <c r="S7713" i="5" s="1"/>
  <c r="S7714" i="5" s="1"/>
  <c r="S7715" i="5" s="1"/>
  <c r="S7716" i="5" s="1"/>
  <c r="S7717" i="5" s="1"/>
  <c r="S7718" i="5" s="1"/>
  <c r="S7719" i="5" s="1"/>
  <c r="S7720" i="5" s="1"/>
  <c r="S7721" i="5" s="1"/>
  <c r="S7722" i="5" s="1"/>
  <c r="S7723" i="5" s="1"/>
  <c r="S7724" i="5" s="1"/>
  <c r="S7725" i="5" s="1"/>
  <c r="S7726" i="5" s="1"/>
  <c r="S7727" i="5" s="1"/>
  <c r="S7728" i="5" s="1"/>
  <c r="S7729" i="5" s="1"/>
  <c r="S7730" i="5" s="1"/>
  <c r="S7731" i="5" s="1"/>
  <c r="S7732" i="5" s="1"/>
  <c r="S7733" i="5" s="1"/>
  <c r="S7734" i="5" s="1"/>
  <c r="S7735" i="5" s="1"/>
  <c r="S7736" i="5" s="1"/>
  <c r="S7737" i="5" s="1"/>
  <c r="S7738" i="5" s="1"/>
  <c r="S7739" i="5" s="1"/>
  <c r="S7740" i="5" s="1"/>
  <c r="S7741" i="5" s="1"/>
  <c r="S7742" i="5" s="1"/>
  <c r="S7743" i="5" s="1"/>
  <c r="S7744" i="5" s="1"/>
  <c r="S7745" i="5" s="1"/>
  <c r="S7746" i="5" s="1"/>
  <c r="S7747" i="5" s="1"/>
  <c r="S7748" i="5" s="1"/>
  <c r="S7749" i="5" s="1"/>
  <c r="S7750" i="5" s="1"/>
  <c r="S7751" i="5" s="1"/>
  <c r="S7752" i="5" s="1"/>
  <c r="S7753" i="5" s="1"/>
  <c r="S7754" i="5" s="1"/>
  <c r="S7755" i="5" s="1"/>
  <c r="S7756" i="5" s="1"/>
  <c r="S7757" i="5" s="1"/>
  <c r="S7758" i="5" s="1"/>
  <c r="S7759" i="5" s="1"/>
  <c r="S7760" i="5" s="1"/>
  <c r="S7761" i="5" s="1"/>
  <c r="S7762" i="5" s="1"/>
  <c r="S7763" i="5" s="1"/>
  <c r="S7764" i="5" s="1"/>
  <c r="S7765" i="5" s="1"/>
  <c r="S7766" i="5" s="1"/>
  <c r="S7767" i="5" s="1"/>
  <c r="S7768" i="5" s="1"/>
  <c r="S7769" i="5" s="1"/>
  <c r="S7770" i="5" s="1"/>
  <c r="S7771" i="5" s="1"/>
  <c r="S7772" i="5" s="1"/>
  <c r="S7773" i="5" s="1"/>
  <c r="S7774" i="5" s="1"/>
  <c r="S7775" i="5" s="1"/>
  <c r="S7776" i="5" s="1"/>
  <c r="S7777" i="5" s="1"/>
  <c r="S7778" i="5" s="1"/>
  <c r="S7779" i="5" s="1"/>
  <c r="S7780" i="5" s="1"/>
  <c r="S7781" i="5" s="1"/>
  <c r="S7782" i="5" s="1"/>
  <c r="S7783" i="5" s="1"/>
  <c r="S7784" i="5" s="1"/>
  <c r="S7785" i="5" s="1"/>
  <c r="S7786" i="5" s="1"/>
  <c r="S7787" i="5" s="1"/>
  <c r="S7788" i="5" s="1"/>
  <c r="S7789" i="5" s="1"/>
  <c r="S7790" i="5" s="1"/>
  <c r="S7791" i="5" s="1"/>
  <c r="S7792" i="5" s="1"/>
  <c r="S7793" i="5" s="1"/>
  <c r="S7794" i="5" s="1"/>
  <c r="S7795" i="5" s="1"/>
  <c r="S7796" i="5" s="1"/>
  <c r="S7797" i="5" s="1"/>
  <c r="S7798" i="5" s="1"/>
  <c r="S7799" i="5" s="1"/>
  <c r="S7800" i="5" s="1"/>
  <c r="S7801" i="5" s="1"/>
  <c r="S7802" i="5" s="1"/>
  <c r="S7803" i="5" s="1"/>
  <c r="S7804" i="5" s="1"/>
  <c r="S7805" i="5" s="1"/>
  <c r="S7806" i="5" s="1"/>
  <c r="S7807" i="5" s="1"/>
  <c r="S7808" i="5" s="1"/>
  <c r="S7809" i="5" s="1"/>
  <c r="S7810" i="5" s="1"/>
  <c r="S7811" i="5" s="1"/>
  <c r="S7812" i="5" s="1"/>
  <c r="S7813" i="5" s="1"/>
  <c r="S7814" i="5" s="1"/>
  <c r="S7815" i="5" s="1"/>
  <c r="S7816" i="5" s="1"/>
  <c r="S7817" i="5" s="1"/>
  <c r="S7818" i="5" s="1"/>
  <c r="S7819" i="5" s="1"/>
  <c r="S7820" i="5" s="1"/>
  <c r="S7821" i="5" s="1"/>
  <c r="S7822" i="5" s="1"/>
  <c r="S7823" i="5" s="1"/>
  <c r="S7824" i="5" s="1"/>
  <c r="S7825" i="5" s="1"/>
  <c r="S7826" i="5" s="1"/>
  <c r="S7827" i="5" s="1"/>
  <c r="S7828" i="5" s="1"/>
  <c r="S7829" i="5" s="1"/>
  <c r="S7830" i="5" s="1"/>
  <c r="S7831" i="5" s="1"/>
  <c r="S7832" i="5" s="1"/>
  <c r="S7833" i="5" s="1"/>
  <c r="S7834" i="5" s="1"/>
  <c r="S7835" i="5" s="1"/>
  <c r="S7836" i="5" s="1"/>
  <c r="S7837" i="5" s="1"/>
  <c r="S7838" i="5" s="1"/>
  <c r="S7839" i="5" s="1"/>
  <c r="S7840" i="5" s="1"/>
  <c r="S7841" i="5" s="1"/>
  <c r="S7842" i="5" s="1"/>
  <c r="S7843" i="5" s="1"/>
  <c r="S7844" i="5" s="1"/>
  <c r="S7845" i="5" s="1"/>
  <c r="S7846" i="5" s="1"/>
  <c r="S7847" i="5" s="1"/>
  <c r="S7848" i="5" s="1"/>
  <c r="S7849" i="5" s="1"/>
  <c r="S7850" i="5" s="1"/>
  <c r="S7851" i="5" s="1"/>
  <c r="S7852" i="5" s="1"/>
  <c r="S7853" i="5" s="1"/>
  <c r="S7854" i="5" s="1"/>
  <c r="S7855" i="5" s="1"/>
  <c r="S7856" i="5" s="1"/>
  <c r="S7857" i="5" s="1"/>
  <c r="S7858" i="5" s="1"/>
  <c r="S7859" i="5" s="1"/>
  <c r="S7860" i="5" s="1"/>
  <c r="S7861" i="5" s="1"/>
  <c r="S7862" i="5" s="1"/>
  <c r="S7863" i="5" s="1"/>
  <c r="S7864" i="5" s="1"/>
  <c r="S7865" i="5" s="1"/>
  <c r="S7866" i="5" s="1"/>
  <c r="S7867" i="5" s="1"/>
  <c r="S7868" i="5" s="1"/>
  <c r="S7869" i="5" s="1"/>
  <c r="S7870" i="5" s="1"/>
  <c r="S7871" i="5" s="1"/>
  <c r="S7872" i="5" s="1"/>
  <c r="S7873" i="5" s="1"/>
  <c r="S7874" i="5" s="1"/>
  <c r="S7875" i="5" s="1"/>
  <c r="S7876" i="5" s="1"/>
  <c r="S7877" i="5" s="1"/>
  <c r="S7878" i="5" s="1"/>
  <c r="S7879" i="5" s="1"/>
  <c r="S7880" i="5" s="1"/>
  <c r="S7881" i="5" s="1"/>
  <c r="S7882" i="5" s="1"/>
  <c r="S7883" i="5" s="1"/>
  <c r="S7884" i="5" s="1"/>
  <c r="S7885" i="5" s="1"/>
  <c r="S7886" i="5" s="1"/>
  <c r="S7887" i="5" s="1"/>
  <c r="S7888" i="5" s="1"/>
  <c r="S7889" i="5" s="1"/>
  <c r="S7890" i="5" s="1"/>
  <c r="S7891" i="5" s="1"/>
  <c r="S7892" i="5" s="1"/>
  <c r="S7893" i="5" s="1"/>
  <c r="S7894" i="5" s="1"/>
  <c r="S7895" i="5" s="1"/>
  <c r="S7896" i="5" s="1"/>
  <c r="S7897" i="5" s="1"/>
  <c r="S7898" i="5" s="1"/>
  <c r="S7899" i="5" s="1"/>
  <c r="S7900" i="5" s="1"/>
  <c r="S7901" i="5" s="1"/>
  <c r="S7902" i="5" s="1"/>
  <c r="S7903" i="5" s="1"/>
  <c r="S7904" i="5" s="1"/>
  <c r="S7905" i="5" s="1"/>
  <c r="S7906" i="5" s="1"/>
  <c r="S7907" i="5" s="1"/>
  <c r="S7908" i="5" s="1"/>
  <c r="S7909" i="5" s="1"/>
  <c r="S7910" i="5" s="1"/>
  <c r="S7911" i="5" s="1"/>
  <c r="S7912" i="5" s="1"/>
  <c r="S7913" i="5" s="1"/>
  <c r="S7914" i="5" s="1"/>
  <c r="S7915" i="5" s="1"/>
  <c r="S7916" i="5" s="1"/>
  <c r="S7917" i="5" s="1"/>
  <c r="S7918" i="5" s="1"/>
  <c r="S7919" i="5" s="1"/>
  <c r="S7920" i="5" s="1"/>
  <c r="S7921" i="5" s="1"/>
  <c r="S7922" i="5" s="1"/>
  <c r="S7923" i="5" s="1"/>
  <c r="S7924" i="5" s="1"/>
  <c r="S7925" i="5" s="1"/>
  <c r="S7926" i="5" s="1"/>
  <c r="S7927" i="5" s="1"/>
  <c r="S7928" i="5" s="1"/>
  <c r="S7929" i="5" s="1"/>
  <c r="S7930" i="5" s="1"/>
  <c r="S7931" i="5" s="1"/>
  <c r="S7932" i="5" s="1"/>
  <c r="S7933" i="5" s="1"/>
  <c r="S7934" i="5" s="1"/>
  <c r="S7935" i="5" s="1"/>
  <c r="S7936" i="5" s="1"/>
  <c r="S7937" i="5" s="1"/>
  <c r="S7938" i="5" s="1"/>
  <c r="S7939" i="5" s="1"/>
  <c r="S7940" i="5" s="1"/>
  <c r="S7941" i="5" s="1"/>
  <c r="S7942" i="5" s="1"/>
  <c r="S7943" i="5" s="1"/>
  <c r="S7944" i="5" s="1"/>
  <c r="S7945" i="5" s="1"/>
  <c r="S7946" i="5" s="1"/>
  <c r="S7947" i="5" s="1"/>
  <c r="S7948" i="5" s="1"/>
  <c r="S7949" i="5" s="1"/>
  <c r="S7950" i="5" s="1"/>
  <c r="S7951" i="5" s="1"/>
  <c r="S7952" i="5" s="1"/>
  <c r="S7953" i="5" s="1"/>
  <c r="S7954" i="5" s="1"/>
  <c r="S7955" i="5" s="1"/>
  <c r="S7956" i="5" s="1"/>
  <c r="S7957" i="5" s="1"/>
  <c r="S7958" i="5" s="1"/>
  <c r="S7959" i="5" s="1"/>
  <c r="S7960" i="5" s="1"/>
  <c r="S7961" i="5" s="1"/>
  <c r="S7962" i="5" s="1"/>
  <c r="S7963" i="5" s="1"/>
  <c r="S7964" i="5" s="1"/>
  <c r="S7965" i="5" s="1"/>
  <c r="S7966" i="5" s="1"/>
  <c r="S7967" i="5" s="1"/>
  <c r="S7968" i="5" s="1"/>
  <c r="S7969" i="5" s="1"/>
  <c r="S7970" i="5" s="1"/>
  <c r="S7971" i="5" s="1"/>
  <c r="S7972" i="5" s="1"/>
  <c r="S7973" i="5" s="1"/>
  <c r="S7974" i="5" s="1"/>
  <c r="S7975" i="5" s="1"/>
  <c r="S7976" i="5" s="1"/>
  <c r="S7977" i="5" s="1"/>
  <c r="S7978" i="5" s="1"/>
  <c r="S7979" i="5" s="1"/>
  <c r="S7980" i="5" s="1"/>
  <c r="S7981" i="5" s="1"/>
  <c r="S7982" i="5" s="1"/>
  <c r="S7983" i="5" s="1"/>
  <c r="S7984" i="5" s="1"/>
  <c r="S7985" i="5" s="1"/>
  <c r="S7986" i="5" s="1"/>
  <c r="S7987" i="5" s="1"/>
  <c r="S7988" i="5" s="1"/>
  <c r="S7989" i="5" s="1"/>
  <c r="S7990" i="5" s="1"/>
  <c r="S7991" i="5" s="1"/>
  <c r="S7992" i="5" s="1"/>
  <c r="S7993" i="5" s="1"/>
  <c r="S7994" i="5" s="1"/>
  <c r="S7995" i="5" s="1"/>
  <c r="S7996" i="5" s="1"/>
  <c r="S7997" i="5" s="1"/>
  <c r="S7998" i="5" s="1"/>
  <c r="S7999" i="5" s="1"/>
  <c r="S8000" i="5" s="1"/>
  <c r="S8001" i="5" s="1"/>
  <c r="S8002" i="5" s="1"/>
  <c r="S8003" i="5" s="1"/>
  <c r="S8004" i="5" s="1"/>
  <c r="S8005" i="5" s="1"/>
  <c r="S8006" i="5" s="1"/>
  <c r="S8007" i="5" s="1"/>
  <c r="S8008" i="5" s="1"/>
  <c r="S8009" i="5" s="1"/>
  <c r="S8010" i="5" s="1"/>
  <c r="S8011" i="5" s="1"/>
  <c r="S8012" i="5" s="1"/>
  <c r="S8013" i="5" s="1"/>
  <c r="S8014" i="5" s="1"/>
  <c r="S8015" i="5" s="1"/>
  <c r="S8016" i="5" s="1"/>
  <c r="S8017" i="5" s="1"/>
  <c r="S8018" i="5" s="1"/>
  <c r="S8019" i="5" s="1"/>
  <c r="S8020" i="5" s="1"/>
  <c r="S8021" i="5" s="1"/>
  <c r="S8022" i="5" s="1"/>
  <c r="S8023" i="5" s="1"/>
  <c r="S8024" i="5" s="1"/>
  <c r="S8025" i="5" s="1"/>
  <c r="S8026" i="5" s="1"/>
  <c r="S8027" i="5" s="1"/>
  <c r="S8028" i="5" s="1"/>
  <c r="S8029" i="5" s="1"/>
  <c r="S8030" i="5" s="1"/>
  <c r="S8031" i="5" s="1"/>
  <c r="S8032" i="5" s="1"/>
  <c r="S8033" i="5" s="1"/>
  <c r="S8034" i="5" s="1"/>
  <c r="S8035" i="5" s="1"/>
  <c r="S8036" i="5" s="1"/>
  <c r="S8037" i="5" s="1"/>
  <c r="S8038" i="5" s="1"/>
  <c r="S8039" i="5" s="1"/>
  <c r="S8040" i="5" s="1"/>
  <c r="S8041" i="5" s="1"/>
  <c r="S8042" i="5" s="1"/>
  <c r="S8043" i="5" s="1"/>
  <c r="S8044" i="5" s="1"/>
  <c r="S8045" i="5" s="1"/>
  <c r="S8046" i="5" s="1"/>
  <c r="S8047" i="5" s="1"/>
  <c r="S8048" i="5" s="1"/>
  <c r="S8049" i="5" s="1"/>
  <c r="S8050" i="5" s="1"/>
  <c r="S8051" i="5" s="1"/>
  <c r="S8052" i="5" s="1"/>
  <c r="S8053" i="5" s="1"/>
  <c r="S8054" i="5" s="1"/>
  <c r="S8055" i="5" s="1"/>
  <c r="S8056" i="5" s="1"/>
  <c r="S8057" i="5" s="1"/>
  <c r="S8058" i="5" s="1"/>
  <c r="S8059" i="5" s="1"/>
  <c r="S8060" i="5" s="1"/>
  <c r="S8061" i="5" s="1"/>
  <c r="S8062" i="5" s="1"/>
  <c r="S8063" i="5" s="1"/>
  <c r="S8064" i="5" s="1"/>
  <c r="S8065" i="5" s="1"/>
  <c r="S8066" i="5" s="1"/>
  <c r="S8067" i="5" s="1"/>
  <c r="S8068" i="5" s="1"/>
  <c r="S8069" i="5" s="1"/>
  <c r="S8070" i="5" s="1"/>
  <c r="S8071" i="5" s="1"/>
  <c r="S8072" i="5" s="1"/>
  <c r="S8073" i="5" s="1"/>
  <c r="S8074" i="5" s="1"/>
  <c r="S8075" i="5" s="1"/>
  <c r="S8076" i="5" s="1"/>
  <c r="S8077" i="5" s="1"/>
  <c r="S8078" i="5" s="1"/>
  <c r="S8079" i="5" s="1"/>
  <c r="S8080" i="5" s="1"/>
  <c r="S8081" i="5" s="1"/>
  <c r="S8082" i="5" s="1"/>
  <c r="S8083" i="5" s="1"/>
  <c r="S8084" i="5" s="1"/>
  <c r="S8085" i="5" s="1"/>
  <c r="S8086" i="5" s="1"/>
  <c r="S8087" i="5" s="1"/>
  <c r="S8088" i="5" s="1"/>
  <c r="S8089" i="5" s="1"/>
  <c r="S8090" i="5" s="1"/>
  <c r="S8091" i="5" s="1"/>
  <c r="S8092" i="5" s="1"/>
  <c r="S8093" i="5" s="1"/>
  <c r="S8094" i="5" s="1"/>
  <c r="S8095" i="5" s="1"/>
  <c r="S8096" i="5" s="1"/>
  <c r="S8097" i="5" s="1"/>
  <c r="S8098" i="5" s="1"/>
  <c r="S8099" i="5" s="1"/>
  <c r="S8100" i="5" s="1"/>
  <c r="S8101" i="5" s="1"/>
  <c r="S8102" i="5" s="1"/>
  <c r="S8103" i="5" s="1"/>
  <c r="S8104" i="5" s="1"/>
  <c r="S8105" i="5" s="1"/>
  <c r="S8106" i="5" s="1"/>
  <c r="S8107" i="5" s="1"/>
  <c r="S8108" i="5" s="1"/>
  <c r="S8109" i="5" s="1"/>
  <c r="S8110" i="5" s="1"/>
  <c r="S8111" i="5" s="1"/>
  <c r="S8112" i="5" s="1"/>
  <c r="S8113" i="5" s="1"/>
  <c r="S8114" i="5" s="1"/>
  <c r="S8115" i="5" s="1"/>
  <c r="S8116" i="5" s="1"/>
  <c r="S8117" i="5" s="1"/>
  <c r="S8118" i="5" s="1"/>
  <c r="S8119" i="5" s="1"/>
  <c r="S8120" i="5" s="1"/>
  <c r="S8121" i="5" s="1"/>
  <c r="S8122" i="5" s="1"/>
  <c r="S8123" i="5" s="1"/>
  <c r="S8124" i="5" s="1"/>
  <c r="S8125" i="5" s="1"/>
  <c r="S8126" i="5" s="1"/>
  <c r="S8127" i="5" s="1"/>
  <c r="S8128" i="5" s="1"/>
  <c r="S8129" i="5" s="1"/>
  <c r="S8130" i="5" s="1"/>
  <c r="S8131" i="5" s="1"/>
  <c r="S8132" i="5" s="1"/>
  <c r="S8133" i="5" s="1"/>
  <c r="S8134" i="5" s="1"/>
  <c r="S8135" i="5" s="1"/>
  <c r="S8136" i="5" s="1"/>
  <c r="S8137" i="5" s="1"/>
  <c r="S8138" i="5" s="1"/>
  <c r="S8139" i="5" s="1"/>
  <c r="S8140" i="5" s="1"/>
  <c r="S8141" i="5" s="1"/>
  <c r="S8142" i="5" s="1"/>
  <c r="S8143" i="5" s="1"/>
  <c r="S8144" i="5" s="1"/>
  <c r="S8145" i="5" s="1"/>
  <c r="S8146" i="5" s="1"/>
  <c r="S8147" i="5" s="1"/>
  <c r="S8148" i="5" s="1"/>
  <c r="S8149" i="5" s="1"/>
  <c r="S8150" i="5" s="1"/>
  <c r="S8151" i="5" s="1"/>
  <c r="S8152" i="5" s="1"/>
  <c r="S8153" i="5" s="1"/>
  <c r="S8154" i="5" s="1"/>
  <c r="S8155" i="5" s="1"/>
  <c r="S8156" i="5" s="1"/>
  <c r="S8157" i="5" s="1"/>
  <c r="S8158" i="5" s="1"/>
  <c r="S8159" i="5" s="1"/>
  <c r="S8160" i="5" s="1"/>
  <c r="S8161" i="5" s="1"/>
  <c r="S8162" i="5" s="1"/>
  <c r="S8163" i="5" s="1"/>
  <c r="S8164" i="5" s="1"/>
  <c r="S8165" i="5" s="1"/>
  <c r="S8166" i="5" s="1"/>
  <c r="S8167" i="5" s="1"/>
  <c r="S8168" i="5" s="1"/>
  <c r="S8169" i="5" s="1"/>
  <c r="S8170" i="5" s="1"/>
  <c r="S8171" i="5" s="1"/>
  <c r="S8172" i="5" s="1"/>
  <c r="S8173" i="5" s="1"/>
  <c r="S8174" i="5" s="1"/>
  <c r="S8175" i="5" s="1"/>
  <c r="S8176" i="5" s="1"/>
  <c r="S8177" i="5" s="1"/>
  <c r="S8178" i="5" s="1"/>
  <c r="S8179" i="5" s="1"/>
  <c r="S8180" i="5" s="1"/>
  <c r="S8181" i="5" s="1"/>
  <c r="S8182" i="5" s="1"/>
  <c r="S8183" i="5" s="1"/>
  <c r="S8184" i="5" s="1"/>
  <c r="S8185" i="5" s="1"/>
  <c r="S8186" i="5" s="1"/>
  <c r="S8187" i="5" s="1"/>
  <c r="S8188" i="5" s="1"/>
  <c r="S8189" i="5" s="1"/>
  <c r="S8190" i="5" s="1"/>
  <c r="S8191" i="5" s="1"/>
  <c r="S8192" i="5" s="1"/>
  <c r="S8193" i="5" s="1"/>
  <c r="S8194" i="5" s="1"/>
  <c r="S8195" i="5" s="1"/>
  <c r="S8196" i="5" s="1"/>
  <c r="S8197" i="5" s="1"/>
  <c r="S8198" i="5" s="1"/>
  <c r="S8199" i="5" s="1"/>
  <c r="S8200" i="5" s="1"/>
  <c r="S8201" i="5" s="1"/>
  <c r="S8202" i="5" s="1"/>
  <c r="S8203" i="5" s="1"/>
  <c r="S8204" i="5" s="1"/>
  <c r="S8205" i="5" s="1"/>
  <c r="S8206" i="5" s="1"/>
  <c r="S8207" i="5" s="1"/>
  <c r="S8208" i="5" s="1"/>
  <c r="S8209" i="5" s="1"/>
  <c r="S8210" i="5" s="1"/>
  <c r="S8211" i="5" s="1"/>
  <c r="S8212" i="5" s="1"/>
  <c r="S8213" i="5" s="1"/>
  <c r="S8214" i="5" s="1"/>
  <c r="S8215" i="5" s="1"/>
  <c r="S8216" i="5" s="1"/>
  <c r="S8217" i="5" s="1"/>
  <c r="S8218" i="5" s="1"/>
  <c r="S8219" i="5" s="1"/>
  <c r="S8220" i="5" s="1"/>
  <c r="S8221" i="5" s="1"/>
  <c r="S8222" i="5" s="1"/>
  <c r="S8223" i="5" s="1"/>
  <c r="S8224" i="5" s="1"/>
  <c r="S8225" i="5" s="1"/>
  <c r="S8226" i="5" s="1"/>
  <c r="S8227" i="5" s="1"/>
  <c r="S8228" i="5" s="1"/>
  <c r="S8229" i="5" s="1"/>
  <c r="S8230" i="5" s="1"/>
  <c r="S8231" i="5" s="1"/>
  <c r="S8232" i="5" s="1"/>
  <c r="S8233" i="5" s="1"/>
  <c r="S8234" i="5" s="1"/>
  <c r="S8235" i="5" s="1"/>
  <c r="S8236" i="5" s="1"/>
  <c r="S8237" i="5" s="1"/>
  <c r="S8238" i="5" s="1"/>
  <c r="S8239" i="5" s="1"/>
  <c r="S8240" i="5" s="1"/>
  <c r="S8241" i="5" s="1"/>
  <c r="S8242" i="5" s="1"/>
  <c r="S8243" i="5" s="1"/>
  <c r="S8244" i="5" s="1"/>
  <c r="S8245" i="5" s="1"/>
  <c r="S8246" i="5" s="1"/>
  <c r="S8247" i="5" s="1"/>
  <c r="S8248" i="5" s="1"/>
  <c r="S8249" i="5" s="1"/>
  <c r="S8250" i="5" s="1"/>
  <c r="S8251" i="5" s="1"/>
  <c r="S8252" i="5" s="1"/>
  <c r="S8253" i="5" s="1"/>
  <c r="S8254" i="5" s="1"/>
  <c r="S8255" i="5" s="1"/>
  <c r="S8256" i="5" s="1"/>
  <c r="S8257" i="5" s="1"/>
  <c r="S8258" i="5" s="1"/>
  <c r="S8259" i="5" s="1"/>
  <c r="S8260" i="5" s="1"/>
  <c r="S8261" i="5" s="1"/>
  <c r="S8262" i="5" s="1"/>
  <c r="S8263" i="5" s="1"/>
  <c r="S8264" i="5" s="1"/>
  <c r="S8265" i="5" s="1"/>
  <c r="S8266" i="5" s="1"/>
  <c r="S8267" i="5" s="1"/>
  <c r="S8268" i="5" s="1"/>
  <c r="S8269" i="5" s="1"/>
  <c r="S8270" i="5" s="1"/>
  <c r="S8271" i="5" s="1"/>
  <c r="S8272" i="5" s="1"/>
  <c r="S8273" i="5" s="1"/>
  <c r="S8274" i="5" s="1"/>
  <c r="S8275" i="5" s="1"/>
  <c r="S8276" i="5" s="1"/>
  <c r="S8277" i="5" s="1"/>
  <c r="S8278" i="5" s="1"/>
  <c r="S8279" i="5" s="1"/>
  <c r="S8280" i="5" s="1"/>
  <c r="S8281" i="5" s="1"/>
  <c r="S8282" i="5" s="1"/>
  <c r="S8283" i="5" s="1"/>
  <c r="S8284" i="5" s="1"/>
  <c r="S8285" i="5" s="1"/>
  <c r="S8286" i="5" s="1"/>
  <c r="S8287" i="5" s="1"/>
  <c r="S8288" i="5" s="1"/>
  <c r="S8289" i="5" s="1"/>
  <c r="S8290" i="5" s="1"/>
  <c r="S8291" i="5" s="1"/>
  <c r="S8292" i="5" s="1"/>
  <c r="S8293" i="5" s="1"/>
  <c r="S8294" i="5" s="1"/>
  <c r="S8295" i="5" s="1"/>
  <c r="S8296" i="5" s="1"/>
  <c r="S8297" i="5" s="1"/>
  <c r="S8298" i="5" s="1"/>
  <c r="S8299" i="5" s="1"/>
  <c r="S8300" i="5" s="1"/>
  <c r="S8301" i="5" s="1"/>
  <c r="S8302" i="5" s="1"/>
  <c r="S8303" i="5" s="1"/>
  <c r="S8304" i="5" s="1"/>
  <c r="S8305" i="5" s="1"/>
  <c r="S8306" i="5" s="1"/>
  <c r="S8307" i="5" s="1"/>
  <c r="S8308" i="5" s="1"/>
  <c r="S8309" i="5" s="1"/>
  <c r="S8310" i="5" s="1"/>
  <c r="S8311" i="5" s="1"/>
  <c r="S8312" i="5" s="1"/>
  <c r="S8313" i="5" s="1"/>
  <c r="S8314" i="5" s="1"/>
  <c r="S8315" i="5" s="1"/>
  <c r="S8316" i="5" s="1"/>
  <c r="S8317" i="5" s="1"/>
  <c r="S8318" i="5" s="1"/>
  <c r="S8319" i="5" s="1"/>
  <c r="S8320" i="5" s="1"/>
  <c r="S8321" i="5" s="1"/>
  <c r="S8322" i="5" s="1"/>
  <c r="S8323" i="5" s="1"/>
  <c r="S8324" i="5" s="1"/>
  <c r="S8325" i="5" s="1"/>
  <c r="S8326" i="5" s="1"/>
  <c r="S8327" i="5" s="1"/>
  <c r="S8328" i="5" s="1"/>
  <c r="S8329" i="5" s="1"/>
  <c r="S8330" i="5" s="1"/>
  <c r="S8331" i="5" s="1"/>
  <c r="S8332" i="5" s="1"/>
  <c r="S8333" i="5" s="1"/>
  <c r="S8334" i="5" s="1"/>
  <c r="S8335" i="5" s="1"/>
  <c r="S8336" i="5" s="1"/>
  <c r="S8337" i="5" s="1"/>
  <c r="S8338" i="5" s="1"/>
  <c r="S8339" i="5" s="1"/>
  <c r="S8340" i="5" s="1"/>
  <c r="S8341" i="5" s="1"/>
  <c r="S8342" i="5" s="1"/>
  <c r="S8343" i="5" s="1"/>
  <c r="S8344" i="5" s="1"/>
  <c r="S8345" i="5" s="1"/>
  <c r="S8346" i="5" s="1"/>
  <c r="S8347" i="5" s="1"/>
  <c r="S8348" i="5" s="1"/>
  <c r="S8349" i="5" s="1"/>
  <c r="S8350" i="5" s="1"/>
  <c r="S8351" i="5" s="1"/>
  <c r="S8352" i="5" s="1"/>
  <c r="S8353" i="5" s="1"/>
  <c r="S8354" i="5" s="1"/>
  <c r="S8355" i="5" s="1"/>
  <c r="S8356" i="5" s="1"/>
  <c r="S8357" i="5" s="1"/>
  <c r="S8358" i="5" s="1"/>
  <c r="S8359" i="5" s="1"/>
  <c r="S8360" i="5" s="1"/>
  <c r="S8361" i="5" s="1"/>
  <c r="S8362" i="5" s="1"/>
  <c r="S8363" i="5" s="1"/>
  <c r="S8364" i="5" s="1"/>
  <c r="S8365" i="5" s="1"/>
  <c r="S8366" i="5" s="1"/>
  <c r="S8367" i="5" s="1"/>
  <c r="S8368" i="5" s="1"/>
  <c r="S8369" i="5" s="1"/>
  <c r="S8370" i="5" s="1"/>
  <c r="S8371" i="5" s="1"/>
  <c r="S8372" i="5" s="1"/>
  <c r="S8373" i="5" s="1"/>
  <c r="S8374" i="5" s="1"/>
  <c r="S8375" i="5" s="1"/>
  <c r="S8376" i="5" s="1"/>
  <c r="S8377" i="5" s="1"/>
  <c r="S8378" i="5" s="1"/>
  <c r="S8379" i="5" s="1"/>
  <c r="S8380" i="5" s="1"/>
  <c r="S8381" i="5" s="1"/>
  <c r="S8382" i="5" s="1"/>
  <c r="S8383" i="5" s="1"/>
  <c r="S8384" i="5" s="1"/>
  <c r="S8385" i="5" s="1"/>
  <c r="S8386" i="5" s="1"/>
  <c r="S8387" i="5" s="1"/>
  <c r="S8388" i="5" s="1"/>
  <c r="S8389" i="5" s="1"/>
  <c r="S8390" i="5" s="1"/>
  <c r="S8391" i="5" s="1"/>
  <c r="S8392" i="5" s="1"/>
  <c r="S8393" i="5" s="1"/>
  <c r="S8394" i="5" s="1"/>
  <c r="S8395" i="5" s="1"/>
  <c r="S8396" i="5" s="1"/>
  <c r="S8397" i="5" s="1"/>
  <c r="S8398" i="5" s="1"/>
  <c r="S8399" i="5" s="1"/>
  <c r="S8400" i="5" s="1"/>
  <c r="S8401" i="5" s="1"/>
  <c r="S8402" i="5" s="1"/>
  <c r="S8403" i="5" s="1"/>
  <c r="S8404" i="5" s="1"/>
  <c r="S8405" i="5" s="1"/>
  <c r="S8406" i="5" s="1"/>
  <c r="S8407" i="5" s="1"/>
  <c r="S8408" i="5" s="1"/>
  <c r="S8409" i="5" s="1"/>
  <c r="S8410" i="5" s="1"/>
  <c r="S8411" i="5" s="1"/>
  <c r="S8412" i="5" s="1"/>
  <c r="S8413" i="5" s="1"/>
  <c r="S8414" i="5" s="1"/>
  <c r="S8415" i="5" s="1"/>
  <c r="S8416" i="5" s="1"/>
  <c r="S8417" i="5" s="1"/>
  <c r="S8418" i="5" s="1"/>
  <c r="S8419" i="5" s="1"/>
  <c r="S8420" i="5" s="1"/>
  <c r="S8421" i="5" s="1"/>
  <c r="S8422" i="5" s="1"/>
  <c r="S8423" i="5" s="1"/>
  <c r="S8424" i="5" s="1"/>
  <c r="S8425" i="5" s="1"/>
  <c r="S8426" i="5" s="1"/>
  <c r="S8427" i="5" s="1"/>
  <c r="S8428" i="5" s="1"/>
  <c r="S8429" i="5" s="1"/>
  <c r="S8430" i="5" s="1"/>
  <c r="S8431" i="5" s="1"/>
  <c r="S8432" i="5" s="1"/>
  <c r="S8433" i="5" s="1"/>
  <c r="S8434" i="5" s="1"/>
  <c r="S8435" i="5" s="1"/>
  <c r="S8436" i="5" s="1"/>
  <c r="S8437" i="5" s="1"/>
  <c r="S8438" i="5" s="1"/>
  <c r="S8439" i="5" s="1"/>
  <c r="S8440" i="5" s="1"/>
  <c r="S8441" i="5" s="1"/>
  <c r="S8442" i="5" s="1"/>
  <c r="S8443" i="5" s="1"/>
  <c r="S8444" i="5" s="1"/>
  <c r="S8445" i="5" s="1"/>
  <c r="S8446" i="5" s="1"/>
  <c r="S8447" i="5" s="1"/>
  <c r="S8448" i="5" s="1"/>
  <c r="S8449" i="5" s="1"/>
  <c r="S8450" i="5" s="1"/>
  <c r="S8451" i="5" s="1"/>
  <c r="S8452" i="5" s="1"/>
  <c r="S8453" i="5" s="1"/>
  <c r="S8454" i="5" s="1"/>
  <c r="S8455" i="5" s="1"/>
  <c r="S8456" i="5" s="1"/>
  <c r="S8457" i="5" s="1"/>
  <c r="S8458" i="5" s="1"/>
  <c r="S8459" i="5" s="1"/>
  <c r="S8460" i="5" s="1"/>
  <c r="S8461" i="5" s="1"/>
  <c r="S8462" i="5" s="1"/>
  <c r="S8463" i="5" s="1"/>
  <c r="S8464" i="5" s="1"/>
  <c r="S8465" i="5" s="1"/>
  <c r="S8466" i="5" s="1"/>
  <c r="S8467" i="5" s="1"/>
  <c r="S8468" i="5" s="1"/>
  <c r="S8469" i="5" s="1"/>
  <c r="S8470" i="5" s="1"/>
  <c r="S8471" i="5" s="1"/>
  <c r="S8472" i="5" s="1"/>
  <c r="S8473" i="5" s="1"/>
  <c r="S8474" i="5" s="1"/>
  <c r="S8475" i="5" s="1"/>
  <c r="S8476" i="5" s="1"/>
  <c r="S8477" i="5" s="1"/>
  <c r="S8478" i="5" s="1"/>
  <c r="S8479" i="5" s="1"/>
  <c r="S8480" i="5" s="1"/>
  <c r="S8481" i="5" s="1"/>
  <c r="S8482" i="5" s="1"/>
  <c r="S8483" i="5" s="1"/>
  <c r="S8484" i="5" s="1"/>
  <c r="S8485" i="5" s="1"/>
  <c r="S8486" i="5" s="1"/>
  <c r="S8487" i="5" s="1"/>
  <c r="S8488" i="5" s="1"/>
  <c r="S8489" i="5" s="1"/>
  <c r="S8490" i="5" s="1"/>
  <c r="S8491" i="5" s="1"/>
  <c r="S8492" i="5" s="1"/>
  <c r="S8493" i="5" s="1"/>
  <c r="S8494" i="5" s="1"/>
  <c r="S8495" i="5" s="1"/>
  <c r="S8496" i="5" s="1"/>
  <c r="S8497" i="5" s="1"/>
  <c r="S8498" i="5" s="1"/>
  <c r="S8499" i="5" s="1"/>
  <c r="S8500" i="5" s="1"/>
  <c r="S8501" i="5" s="1"/>
  <c r="S8502" i="5" s="1"/>
  <c r="S8503" i="5" s="1"/>
  <c r="S8504" i="5" s="1"/>
  <c r="S8505" i="5" s="1"/>
  <c r="S8506" i="5" s="1"/>
  <c r="S8507" i="5" s="1"/>
  <c r="S8508" i="5" s="1"/>
  <c r="S8509" i="5" s="1"/>
  <c r="S8510" i="5" s="1"/>
  <c r="S8511" i="5" s="1"/>
  <c r="S8512" i="5" s="1"/>
  <c r="S8513" i="5" s="1"/>
  <c r="S8514" i="5" s="1"/>
  <c r="S8515" i="5" s="1"/>
  <c r="S8516" i="5" s="1"/>
  <c r="S8517" i="5" s="1"/>
  <c r="S8518" i="5" s="1"/>
  <c r="S8519" i="5" s="1"/>
  <c r="S8520" i="5" s="1"/>
  <c r="S8521" i="5" s="1"/>
  <c r="S8522" i="5" s="1"/>
  <c r="S8523" i="5" s="1"/>
  <c r="S8524" i="5" s="1"/>
  <c r="S8525" i="5" s="1"/>
  <c r="S8526" i="5" s="1"/>
  <c r="S8527" i="5" s="1"/>
  <c r="S8528" i="5" s="1"/>
  <c r="S8529" i="5" s="1"/>
  <c r="S8530" i="5" s="1"/>
  <c r="S8531" i="5" s="1"/>
  <c r="S8532" i="5" s="1"/>
  <c r="S8533" i="5" s="1"/>
  <c r="S8534" i="5" s="1"/>
  <c r="S8535" i="5" s="1"/>
  <c r="S8536" i="5" s="1"/>
  <c r="S8537" i="5" s="1"/>
  <c r="S8538" i="5" s="1"/>
  <c r="S8539" i="5" s="1"/>
  <c r="S8540" i="5" s="1"/>
  <c r="S8541" i="5" s="1"/>
  <c r="S8542" i="5" s="1"/>
  <c r="S8543" i="5" s="1"/>
  <c r="S8544" i="5" s="1"/>
  <c r="S8545" i="5" s="1"/>
  <c r="S8546" i="5" s="1"/>
  <c r="S8547" i="5" s="1"/>
  <c r="S8548" i="5" s="1"/>
  <c r="S8549" i="5" s="1"/>
  <c r="S8550" i="5" s="1"/>
  <c r="S8551" i="5" s="1"/>
  <c r="S8552" i="5" s="1"/>
  <c r="S8553" i="5" s="1"/>
  <c r="S8554" i="5" s="1"/>
  <c r="S8555" i="5" s="1"/>
  <c r="S8556" i="5" s="1"/>
  <c r="S8557" i="5" s="1"/>
  <c r="S8558" i="5" s="1"/>
  <c r="S8559" i="5" s="1"/>
  <c r="S8560" i="5" s="1"/>
  <c r="S8561" i="5" s="1"/>
  <c r="S8562" i="5" s="1"/>
  <c r="S8563" i="5" s="1"/>
  <c r="S8564" i="5" s="1"/>
  <c r="S8565" i="5" s="1"/>
  <c r="S8566" i="5" s="1"/>
  <c r="S8567" i="5" s="1"/>
  <c r="S8568" i="5" s="1"/>
  <c r="S8569" i="5" s="1"/>
  <c r="S8570" i="5" s="1"/>
  <c r="S8571" i="5" s="1"/>
  <c r="S8572" i="5" s="1"/>
  <c r="S8573" i="5" s="1"/>
  <c r="S8574" i="5" s="1"/>
  <c r="S8575" i="5" s="1"/>
  <c r="S8576" i="5" s="1"/>
  <c r="S8577" i="5" s="1"/>
  <c r="S8578" i="5" s="1"/>
  <c r="S8579" i="5" s="1"/>
  <c r="S8580" i="5" s="1"/>
  <c r="S8581" i="5" s="1"/>
  <c r="S8582" i="5" s="1"/>
  <c r="S8583" i="5" s="1"/>
  <c r="S8584" i="5" s="1"/>
  <c r="S8585" i="5" s="1"/>
  <c r="S8586" i="5" s="1"/>
  <c r="S8587" i="5" s="1"/>
  <c r="S8588" i="5" s="1"/>
  <c r="S8589" i="5" s="1"/>
  <c r="S8590" i="5" s="1"/>
  <c r="S8591" i="5" s="1"/>
  <c r="S8592" i="5" s="1"/>
  <c r="S8593" i="5" s="1"/>
  <c r="S8594" i="5" s="1"/>
  <c r="S8595" i="5" s="1"/>
  <c r="S8596" i="5" s="1"/>
  <c r="S8597" i="5" s="1"/>
  <c r="S8598" i="5" s="1"/>
  <c r="S8599" i="5" s="1"/>
  <c r="S8600" i="5" s="1"/>
  <c r="S8601" i="5" s="1"/>
  <c r="S8602" i="5" s="1"/>
  <c r="S8603" i="5" s="1"/>
  <c r="S8604" i="5" s="1"/>
  <c r="S8605" i="5" s="1"/>
  <c r="S8606" i="5" s="1"/>
  <c r="S8607" i="5" s="1"/>
  <c r="S8608" i="5" s="1"/>
  <c r="S8609" i="5" s="1"/>
  <c r="S8610" i="5" s="1"/>
  <c r="S8611" i="5" s="1"/>
  <c r="S8612" i="5" s="1"/>
  <c r="S8613" i="5" s="1"/>
  <c r="S8614" i="5" s="1"/>
  <c r="S8615" i="5" s="1"/>
  <c r="S8616" i="5" s="1"/>
  <c r="S8617" i="5" s="1"/>
  <c r="S8618" i="5" s="1"/>
  <c r="S8619" i="5" s="1"/>
  <c r="S8620" i="5" s="1"/>
  <c r="S8621" i="5" s="1"/>
  <c r="S8622" i="5" s="1"/>
  <c r="S8623" i="5" s="1"/>
  <c r="S8624" i="5" s="1"/>
  <c r="S8625" i="5" s="1"/>
  <c r="S8626" i="5" s="1"/>
  <c r="S8627" i="5" s="1"/>
  <c r="S8628" i="5" s="1"/>
  <c r="S8629" i="5" s="1"/>
  <c r="S8630" i="5" s="1"/>
  <c r="S8631" i="5" s="1"/>
  <c r="S8632" i="5" s="1"/>
  <c r="S8633" i="5" s="1"/>
  <c r="S8634" i="5" s="1"/>
  <c r="S8635" i="5" s="1"/>
  <c r="S8636" i="5" s="1"/>
  <c r="S8637" i="5" s="1"/>
  <c r="S8638" i="5" s="1"/>
  <c r="S8639" i="5" s="1"/>
  <c r="S8640" i="5" s="1"/>
  <c r="S8641" i="5" s="1"/>
  <c r="S8642" i="5" s="1"/>
  <c r="S8643" i="5" s="1"/>
  <c r="S8644" i="5" s="1"/>
  <c r="S8645" i="5" s="1"/>
  <c r="S8646" i="5" s="1"/>
  <c r="S8647" i="5" s="1"/>
  <c r="S8648" i="5" s="1"/>
  <c r="S8649" i="5" s="1"/>
  <c r="S8650" i="5" s="1"/>
  <c r="S8651" i="5" s="1"/>
  <c r="S8652" i="5" s="1"/>
  <c r="S8653" i="5" s="1"/>
  <c r="S8654" i="5" s="1"/>
  <c r="S8655" i="5" s="1"/>
  <c r="S8656" i="5" s="1"/>
  <c r="S8657" i="5" s="1"/>
  <c r="S8658" i="5" s="1"/>
  <c r="S8659" i="5" s="1"/>
  <c r="S8660" i="5" s="1"/>
  <c r="S8661" i="5" s="1"/>
  <c r="S8662" i="5" s="1"/>
  <c r="S8663" i="5" s="1"/>
  <c r="S8664" i="5" s="1"/>
  <c r="S8665" i="5" s="1"/>
  <c r="S8666" i="5" s="1"/>
  <c r="S8667" i="5" s="1"/>
  <c r="S8668" i="5" s="1"/>
  <c r="S8669" i="5" s="1"/>
  <c r="S8670" i="5" s="1"/>
  <c r="S8671" i="5" s="1"/>
  <c r="S8672" i="5" s="1"/>
  <c r="S8673" i="5" s="1"/>
  <c r="S8674" i="5" s="1"/>
  <c r="S8675" i="5" s="1"/>
  <c r="S8676" i="5" s="1"/>
  <c r="S8677" i="5" s="1"/>
  <c r="S8678" i="5" s="1"/>
  <c r="S8679" i="5" s="1"/>
  <c r="S8680" i="5" s="1"/>
  <c r="S8681" i="5" s="1"/>
  <c r="S8682" i="5" s="1"/>
  <c r="S8683" i="5" s="1"/>
  <c r="S8684" i="5" s="1"/>
  <c r="S8685" i="5" s="1"/>
  <c r="S8686" i="5" s="1"/>
  <c r="S8687" i="5" s="1"/>
  <c r="S8688" i="5" s="1"/>
  <c r="S8689" i="5" s="1"/>
  <c r="S8690" i="5" s="1"/>
  <c r="S8691" i="5" s="1"/>
  <c r="S8692" i="5" s="1"/>
  <c r="S8693" i="5" s="1"/>
  <c r="S8694" i="5" s="1"/>
  <c r="S8695" i="5" s="1"/>
  <c r="S8696" i="5" s="1"/>
  <c r="S8697" i="5" s="1"/>
  <c r="S8698" i="5" s="1"/>
  <c r="S8699" i="5" s="1"/>
  <c r="S8700" i="5" s="1"/>
  <c r="S8701" i="5" s="1"/>
  <c r="S8702" i="5" s="1"/>
  <c r="S8703" i="5" s="1"/>
  <c r="S8704" i="5" s="1"/>
  <c r="S8705" i="5" s="1"/>
  <c r="S8706" i="5" s="1"/>
  <c r="S8707" i="5" s="1"/>
  <c r="S8708" i="5" s="1"/>
  <c r="S8709" i="5" s="1"/>
  <c r="S8710" i="5" s="1"/>
  <c r="S8711" i="5" s="1"/>
  <c r="S8712" i="5" s="1"/>
  <c r="S8713" i="5" s="1"/>
  <c r="S8714" i="5" s="1"/>
  <c r="S8715" i="5" s="1"/>
  <c r="S8716" i="5" s="1"/>
  <c r="S8717" i="5" s="1"/>
  <c r="S8718" i="5" s="1"/>
  <c r="S8719" i="5" s="1"/>
  <c r="S8720" i="5" s="1"/>
  <c r="S8721" i="5" s="1"/>
  <c r="S8722" i="5" s="1"/>
  <c r="S8723" i="5" s="1"/>
  <c r="S8724" i="5" s="1"/>
  <c r="S8725" i="5" s="1"/>
  <c r="S8726" i="5" s="1"/>
  <c r="S8727" i="5" s="1"/>
  <c r="S8728" i="5" s="1"/>
  <c r="S8729" i="5" s="1"/>
  <c r="S8730" i="5" s="1"/>
  <c r="S8731" i="5" s="1"/>
  <c r="S8732" i="5" s="1"/>
  <c r="S8733" i="5" s="1"/>
  <c r="S8734" i="5" s="1"/>
  <c r="S8735" i="5" s="1"/>
  <c r="S8736" i="5" s="1"/>
  <c r="S8737" i="5" s="1"/>
  <c r="S8738" i="5" s="1"/>
  <c r="S8739" i="5" s="1"/>
  <c r="S8740" i="5" s="1"/>
  <c r="S8741" i="5" s="1"/>
  <c r="S8742" i="5" s="1"/>
  <c r="S8743" i="5" s="1"/>
  <c r="S8744" i="5" s="1"/>
  <c r="S8745" i="5" s="1"/>
  <c r="S8746" i="5" s="1"/>
  <c r="S8747" i="5" s="1"/>
  <c r="S8748" i="5" s="1"/>
  <c r="S8749" i="5" s="1"/>
  <c r="S8750" i="5" s="1"/>
  <c r="S8751" i="5" s="1"/>
  <c r="S8752" i="5" s="1"/>
  <c r="S8753" i="5" s="1"/>
  <c r="S8754" i="5" s="1"/>
  <c r="S8755" i="5" s="1"/>
  <c r="S8756" i="5" s="1"/>
  <c r="S8757" i="5" s="1"/>
  <c r="S8758" i="5" s="1"/>
  <c r="S8759" i="5" s="1"/>
  <c r="S8760" i="5" s="1"/>
  <c r="S8761" i="5" s="1"/>
  <c r="S8762" i="5" s="1"/>
  <c r="S8763" i="5" s="1"/>
  <c r="S8764" i="5" s="1"/>
  <c r="S8765" i="5" s="1"/>
  <c r="S8766" i="5" s="1"/>
  <c r="S8767" i="5" s="1"/>
  <c r="S8768" i="5" s="1"/>
  <c r="S8769" i="5" s="1"/>
  <c r="S8770" i="5" s="1"/>
  <c r="S8771" i="5" s="1"/>
  <c r="S8772" i="5" s="1"/>
  <c r="S8773" i="5" s="1"/>
  <c r="S8774" i="5" s="1"/>
  <c r="S8775" i="5" s="1"/>
  <c r="S8776" i="5" s="1"/>
  <c r="S8777" i="5" s="1"/>
  <c r="S8778" i="5" s="1"/>
  <c r="S8779" i="5" s="1"/>
  <c r="S8780" i="5" s="1"/>
  <c r="S8781" i="5" s="1"/>
  <c r="S8782" i="5" s="1"/>
  <c r="S8783" i="5" s="1"/>
  <c r="S8784" i="5" s="1"/>
  <c r="S8785" i="5" s="1"/>
  <c r="S8786" i="5" s="1"/>
  <c r="S8787" i="5" s="1"/>
  <c r="S8788" i="5" s="1"/>
  <c r="S8789" i="5" s="1"/>
  <c r="S8790" i="5" s="1"/>
  <c r="S8791" i="5" s="1"/>
  <c r="S8792" i="5" s="1"/>
  <c r="S8793" i="5" s="1"/>
  <c r="S8794" i="5" s="1"/>
  <c r="S8795" i="5" s="1"/>
  <c r="S8796" i="5" s="1"/>
  <c r="S8797" i="5" s="1"/>
  <c r="S8798" i="5" s="1"/>
  <c r="S8799" i="5" s="1"/>
  <c r="S8800" i="5" s="1"/>
  <c r="S8801" i="5" s="1"/>
  <c r="S8802" i="5" s="1"/>
  <c r="S8803" i="5" s="1"/>
  <c r="S8804" i="5" s="1"/>
  <c r="S8805" i="5" s="1"/>
  <c r="S8806" i="5" s="1"/>
  <c r="S8807" i="5" s="1"/>
  <c r="S8808" i="5" s="1"/>
  <c r="S8809" i="5" s="1"/>
  <c r="S8810" i="5" s="1"/>
  <c r="S8811" i="5" s="1"/>
  <c r="S8812" i="5" s="1"/>
  <c r="S8813" i="5" s="1"/>
  <c r="S8814" i="5" s="1"/>
  <c r="S8815" i="5" s="1"/>
  <c r="S8816" i="5" s="1"/>
  <c r="S8817" i="5" s="1"/>
  <c r="S8818" i="5" s="1"/>
  <c r="S8819" i="5" s="1"/>
  <c r="S8820" i="5" s="1"/>
  <c r="S8821" i="5" s="1"/>
  <c r="S8822" i="5" s="1"/>
  <c r="S8823" i="5" s="1"/>
  <c r="S8824" i="5" s="1"/>
  <c r="S8825" i="5" s="1"/>
  <c r="S8826" i="5" s="1"/>
  <c r="S8827" i="5" s="1"/>
  <c r="S8828" i="5" s="1"/>
  <c r="S8829" i="5" s="1"/>
  <c r="S8830" i="5" s="1"/>
  <c r="S8831" i="5" s="1"/>
  <c r="S8832" i="5" s="1"/>
  <c r="S8833" i="5" s="1"/>
  <c r="S8834" i="5" s="1"/>
  <c r="S8835" i="5" s="1"/>
  <c r="S8836" i="5" s="1"/>
  <c r="S8837" i="5" s="1"/>
  <c r="S8838" i="5" s="1"/>
  <c r="S8839" i="5" s="1"/>
  <c r="S8840" i="5" s="1"/>
  <c r="S8841" i="5" s="1"/>
  <c r="S8842" i="5" s="1"/>
  <c r="S8843" i="5" s="1"/>
  <c r="S8844" i="5" s="1"/>
  <c r="S8845" i="5" s="1"/>
  <c r="S8846" i="5" s="1"/>
  <c r="S8847" i="5" s="1"/>
  <c r="S8848" i="5" s="1"/>
  <c r="S8849" i="5" s="1"/>
  <c r="S8850" i="5" s="1"/>
  <c r="S8851" i="5" s="1"/>
  <c r="S8852" i="5" s="1"/>
  <c r="S8853" i="5" s="1"/>
  <c r="S8854" i="5" s="1"/>
  <c r="S8855" i="5" s="1"/>
  <c r="S8856" i="5" s="1"/>
  <c r="S8857" i="5" s="1"/>
  <c r="S8858" i="5" s="1"/>
  <c r="S8859" i="5" s="1"/>
  <c r="S8860" i="5" s="1"/>
  <c r="S8861" i="5" s="1"/>
  <c r="S8862" i="5" s="1"/>
  <c r="S8863" i="5" s="1"/>
  <c r="S8864" i="5" s="1"/>
  <c r="S8865" i="5" s="1"/>
  <c r="S8866" i="5" s="1"/>
  <c r="S8867" i="5" s="1"/>
  <c r="S8868" i="5" s="1"/>
  <c r="S8869" i="5" s="1"/>
  <c r="S8870" i="5" s="1"/>
  <c r="S8871" i="5" s="1"/>
  <c r="S8872" i="5" s="1"/>
  <c r="S8873" i="5" s="1"/>
  <c r="S8874" i="5" s="1"/>
  <c r="S8875" i="5" s="1"/>
  <c r="S8876" i="5" s="1"/>
  <c r="S8877" i="5" s="1"/>
  <c r="S8878" i="5" s="1"/>
  <c r="S8879" i="5" s="1"/>
  <c r="S8880" i="5" s="1"/>
  <c r="S8881" i="5" s="1"/>
  <c r="S8882" i="5" s="1"/>
  <c r="S8883" i="5" s="1"/>
  <c r="S8884" i="5" s="1"/>
  <c r="S8885" i="5" s="1"/>
  <c r="S8886" i="5" s="1"/>
  <c r="S8887" i="5" s="1"/>
  <c r="S8888" i="5" s="1"/>
  <c r="S8889" i="5" s="1"/>
  <c r="S8890" i="5" s="1"/>
  <c r="S8891" i="5" s="1"/>
  <c r="S8892" i="5" s="1"/>
  <c r="S8893" i="5" s="1"/>
  <c r="S8894" i="5" s="1"/>
  <c r="S8895" i="5" s="1"/>
  <c r="S8896" i="5" s="1"/>
  <c r="S8897" i="5" s="1"/>
  <c r="S8898" i="5" s="1"/>
  <c r="S8899" i="5" s="1"/>
  <c r="S8900" i="5" s="1"/>
  <c r="S8901" i="5" s="1"/>
  <c r="S8902" i="5" s="1"/>
  <c r="S8903" i="5" s="1"/>
  <c r="S8904" i="5" s="1"/>
  <c r="S8905" i="5" s="1"/>
  <c r="S8906" i="5" s="1"/>
  <c r="S8907" i="5" s="1"/>
  <c r="S8908" i="5" s="1"/>
  <c r="S8909" i="5" s="1"/>
  <c r="S8910" i="5" s="1"/>
  <c r="S8911" i="5" s="1"/>
  <c r="S8912" i="5" s="1"/>
  <c r="S8913" i="5" s="1"/>
  <c r="S8914" i="5" s="1"/>
  <c r="S8915" i="5" s="1"/>
  <c r="S8916" i="5" s="1"/>
  <c r="S8917" i="5" s="1"/>
  <c r="S8918" i="5" s="1"/>
  <c r="S8919" i="5" s="1"/>
  <c r="S8920" i="5" s="1"/>
  <c r="S8921" i="5" s="1"/>
  <c r="S8922" i="5" s="1"/>
  <c r="S8923" i="5" s="1"/>
  <c r="S8924" i="5" s="1"/>
  <c r="S8925" i="5" s="1"/>
  <c r="S8926" i="5" s="1"/>
  <c r="S8927" i="5" s="1"/>
  <c r="S8928" i="5" s="1"/>
  <c r="S8929" i="5" s="1"/>
  <c r="S8930" i="5" s="1"/>
  <c r="S8931" i="5" s="1"/>
  <c r="S8932" i="5" s="1"/>
  <c r="S8933" i="5" s="1"/>
  <c r="S8934" i="5" s="1"/>
  <c r="S8935" i="5" s="1"/>
  <c r="S8936" i="5" s="1"/>
  <c r="S8937" i="5" s="1"/>
  <c r="S8938" i="5" s="1"/>
  <c r="S8939" i="5" s="1"/>
  <c r="S8940" i="5" s="1"/>
  <c r="S8941" i="5" s="1"/>
  <c r="S8942" i="5" s="1"/>
  <c r="S8943" i="5" s="1"/>
  <c r="S8944" i="5" s="1"/>
  <c r="S8945" i="5" s="1"/>
  <c r="S8946" i="5" s="1"/>
  <c r="S8947" i="5" s="1"/>
  <c r="S8948" i="5" s="1"/>
  <c r="S8949" i="5" s="1"/>
  <c r="S8950" i="5" s="1"/>
  <c r="S8951" i="5" s="1"/>
  <c r="S8952" i="5" s="1"/>
  <c r="S8953" i="5" s="1"/>
  <c r="S8954" i="5" s="1"/>
  <c r="S8955" i="5" s="1"/>
  <c r="S8956" i="5" s="1"/>
  <c r="S8957" i="5" s="1"/>
  <c r="S8958" i="5" s="1"/>
  <c r="S8959" i="5" s="1"/>
  <c r="S8960" i="5" s="1"/>
  <c r="S8961" i="5" s="1"/>
  <c r="S8962" i="5" s="1"/>
  <c r="S8963" i="5" s="1"/>
  <c r="S8964" i="5" s="1"/>
  <c r="S8965" i="5" s="1"/>
  <c r="S8966" i="5" s="1"/>
  <c r="S8967" i="5" s="1"/>
  <c r="S8968" i="5" s="1"/>
  <c r="S8969" i="5" s="1"/>
  <c r="S8970" i="5" s="1"/>
  <c r="S8971" i="5" s="1"/>
  <c r="S8972" i="5" s="1"/>
  <c r="S8973" i="5" s="1"/>
  <c r="S8974" i="5" s="1"/>
  <c r="S8975" i="5" s="1"/>
  <c r="S8976" i="5" s="1"/>
  <c r="S8977" i="5" s="1"/>
  <c r="S8978" i="5" s="1"/>
  <c r="S8979" i="5" s="1"/>
  <c r="S8980" i="5" s="1"/>
  <c r="S8981" i="5" s="1"/>
  <c r="S8982" i="5" s="1"/>
  <c r="S8983" i="5" s="1"/>
  <c r="S8984" i="5" s="1"/>
  <c r="S8985" i="5" s="1"/>
  <c r="S8986" i="5" s="1"/>
  <c r="S8987" i="5" s="1"/>
  <c r="S8988" i="5" s="1"/>
  <c r="S8989" i="5" s="1"/>
  <c r="S8990" i="5" s="1"/>
  <c r="S8991" i="5" s="1"/>
  <c r="S8992" i="5" s="1"/>
  <c r="S8993" i="5" s="1"/>
  <c r="S8994" i="5" s="1"/>
  <c r="S8995" i="5" s="1"/>
  <c r="S8996" i="5" s="1"/>
  <c r="S8997" i="5" s="1"/>
  <c r="S8998" i="5" s="1"/>
  <c r="S8999" i="5" s="1"/>
  <c r="S9000" i="5" s="1"/>
  <c r="S9001" i="5" s="1"/>
  <c r="S9002" i="5" s="1"/>
  <c r="S9003" i="5" s="1"/>
  <c r="S9004" i="5" s="1"/>
  <c r="S9005" i="5" s="1"/>
  <c r="S9006" i="5" s="1"/>
  <c r="S9007" i="5" s="1"/>
  <c r="S9008" i="5" s="1"/>
  <c r="S9009" i="5" s="1"/>
  <c r="S9010" i="5" s="1"/>
  <c r="S9011" i="5" s="1"/>
  <c r="S9012" i="5" s="1"/>
  <c r="S9013" i="5" s="1"/>
  <c r="S9014" i="5" s="1"/>
  <c r="S9015" i="5" s="1"/>
  <c r="S9016" i="5" s="1"/>
  <c r="S9017" i="5" s="1"/>
  <c r="S9018" i="5" s="1"/>
  <c r="S9019" i="5" s="1"/>
  <c r="S9020" i="5" s="1"/>
  <c r="S9021" i="5" s="1"/>
  <c r="S9022" i="5" s="1"/>
  <c r="S9023" i="5" s="1"/>
  <c r="S9024" i="5" s="1"/>
  <c r="S9025" i="5" s="1"/>
  <c r="S9026" i="5" s="1"/>
  <c r="S9027" i="5" s="1"/>
  <c r="S9028" i="5" s="1"/>
  <c r="S9029" i="5" s="1"/>
  <c r="S9030" i="5" s="1"/>
  <c r="S9031" i="5" s="1"/>
  <c r="S9032" i="5" s="1"/>
  <c r="S9033" i="5" s="1"/>
  <c r="S9034" i="5" s="1"/>
  <c r="S9035" i="5" s="1"/>
  <c r="S9036" i="5" s="1"/>
  <c r="S9037" i="5" s="1"/>
  <c r="S9038" i="5" s="1"/>
  <c r="S9039" i="5" s="1"/>
  <c r="S9040" i="5" s="1"/>
  <c r="S9041" i="5" s="1"/>
  <c r="S9042" i="5" s="1"/>
  <c r="S9043" i="5" s="1"/>
  <c r="S9044" i="5" s="1"/>
  <c r="S9045" i="5" s="1"/>
  <c r="S9046" i="5" s="1"/>
  <c r="S9047" i="5" s="1"/>
  <c r="S9048" i="5" s="1"/>
  <c r="S9049" i="5" s="1"/>
  <c r="S9050" i="5" s="1"/>
  <c r="S9051" i="5" s="1"/>
  <c r="S9052" i="5" s="1"/>
  <c r="S9053" i="5" s="1"/>
  <c r="S9054" i="5" s="1"/>
  <c r="S9055" i="5" s="1"/>
  <c r="S9056" i="5" s="1"/>
  <c r="S9057" i="5" s="1"/>
  <c r="S9058" i="5" s="1"/>
  <c r="S9059" i="5" s="1"/>
  <c r="S9060" i="5" s="1"/>
  <c r="S9061" i="5" s="1"/>
  <c r="S9062" i="5" s="1"/>
  <c r="S9063" i="5" s="1"/>
  <c r="S9064" i="5" s="1"/>
  <c r="S9065" i="5" s="1"/>
  <c r="S9066" i="5" s="1"/>
  <c r="S9067" i="5" s="1"/>
  <c r="S9068" i="5" s="1"/>
  <c r="S9069" i="5" s="1"/>
  <c r="S9070" i="5" s="1"/>
  <c r="S9071" i="5" s="1"/>
  <c r="S9072" i="5" s="1"/>
  <c r="S9073" i="5" s="1"/>
  <c r="S9074" i="5" s="1"/>
  <c r="S9075" i="5" s="1"/>
  <c r="S9076" i="5" s="1"/>
  <c r="S9077" i="5" s="1"/>
  <c r="S9078" i="5" s="1"/>
  <c r="S9079" i="5" s="1"/>
  <c r="S9080" i="5" s="1"/>
  <c r="S9081" i="5" s="1"/>
  <c r="S9082" i="5" s="1"/>
  <c r="S9083" i="5" s="1"/>
  <c r="S9084" i="5" s="1"/>
  <c r="S9085" i="5" s="1"/>
  <c r="S9086" i="5" s="1"/>
  <c r="S9087" i="5" s="1"/>
  <c r="S9088" i="5" s="1"/>
  <c r="S9089" i="5" s="1"/>
  <c r="S9090" i="5" s="1"/>
  <c r="S9091" i="5" s="1"/>
  <c r="S9092" i="5" s="1"/>
  <c r="S9093" i="5" s="1"/>
  <c r="S9094" i="5" s="1"/>
  <c r="S9095" i="5" s="1"/>
  <c r="S9096" i="5" s="1"/>
  <c r="S9097" i="5" s="1"/>
  <c r="S9098" i="5" s="1"/>
  <c r="S9099" i="5" s="1"/>
  <c r="S9100" i="5" s="1"/>
  <c r="S9101" i="5" s="1"/>
  <c r="S9102" i="5" s="1"/>
  <c r="S9103" i="5" s="1"/>
  <c r="S9104" i="5" s="1"/>
  <c r="S9105" i="5" s="1"/>
  <c r="S9106" i="5" s="1"/>
  <c r="S9107" i="5" s="1"/>
  <c r="S9108" i="5" s="1"/>
  <c r="S9109" i="5" s="1"/>
  <c r="S9110" i="5" s="1"/>
  <c r="S9111" i="5" s="1"/>
  <c r="S9112" i="5" s="1"/>
  <c r="S9113" i="5" s="1"/>
  <c r="S9114" i="5" s="1"/>
  <c r="S9115" i="5" s="1"/>
  <c r="S9116" i="5" s="1"/>
  <c r="S9117" i="5" s="1"/>
  <c r="S9118" i="5" s="1"/>
  <c r="S9119" i="5" s="1"/>
  <c r="S9120" i="5" s="1"/>
  <c r="S9121" i="5" s="1"/>
  <c r="S9122" i="5" s="1"/>
  <c r="S9123" i="5" s="1"/>
  <c r="S9124" i="5" s="1"/>
  <c r="S9125" i="5" s="1"/>
  <c r="S9126" i="5" s="1"/>
  <c r="S9127" i="5" s="1"/>
  <c r="S9128" i="5" s="1"/>
  <c r="S9129" i="5" s="1"/>
  <c r="S9130" i="5" s="1"/>
  <c r="S9131" i="5" s="1"/>
  <c r="S9132" i="5" s="1"/>
  <c r="S9133" i="5" s="1"/>
  <c r="S9134" i="5" s="1"/>
  <c r="S9135" i="5" s="1"/>
  <c r="S9136" i="5" s="1"/>
  <c r="S9137" i="5" s="1"/>
  <c r="S9138" i="5" s="1"/>
  <c r="S9139" i="5" s="1"/>
  <c r="S9140" i="5" s="1"/>
  <c r="S9141" i="5" s="1"/>
  <c r="S9142" i="5" s="1"/>
  <c r="S9143" i="5" s="1"/>
  <c r="S9144" i="5" s="1"/>
  <c r="S9145" i="5" s="1"/>
  <c r="S9146" i="5" s="1"/>
  <c r="S9147" i="5" s="1"/>
  <c r="S9148" i="5" s="1"/>
  <c r="S9149" i="5" s="1"/>
  <c r="S9150" i="5" s="1"/>
  <c r="S9151" i="5" s="1"/>
  <c r="S9152" i="5" s="1"/>
  <c r="S9153" i="5" s="1"/>
  <c r="S9154" i="5" s="1"/>
  <c r="S9155" i="5" s="1"/>
  <c r="S9156" i="5" s="1"/>
  <c r="S9157" i="5" s="1"/>
  <c r="S9158" i="5" s="1"/>
  <c r="S9159" i="5" s="1"/>
  <c r="S9160" i="5" s="1"/>
  <c r="S9161" i="5" s="1"/>
  <c r="S9162" i="5" s="1"/>
  <c r="S9163" i="5" s="1"/>
  <c r="S9164" i="5" s="1"/>
  <c r="S9165" i="5" s="1"/>
  <c r="S9166" i="5" s="1"/>
  <c r="S9167" i="5" s="1"/>
  <c r="S9168" i="5" s="1"/>
  <c r="S9169" i="5" s="1"/>
  <c r="S9170" i="5" s="1"/>
  <c r="S9171" i="5" s="1"/>
  <c r="S9172" i="5" s="1"/>
  <c r="S9173" i="5" s="1"/>
  <c r="S9174" i="5" s="1"/>
  <c r="S9175" i="5" s="1"/>
  <c r="S9176" i="5" s="1"/>
  <c r="S9177" i="5" s="1"/>
  <c r="S9178" i="5" s="1"/>
  <c r="S9179" i="5" s="1"/>
  <c r="S9180" i="5" s="1"/>
  <c r="S9181" i="5" s="1"/>
  <c r="S9182" i="5" s="1"/>
  <c r="S9183" i="5" s="1"/>
  <c r="S9184" i="5" s="1"/>
  <c r="S9185" i="5" s="1"/>
  <c r="S9186" i="5" s="1"/>
  <c r="S9187" i="5" s="1"/>
  <c r="S9188" i="5" s="1"/>
  <c r="S9189" i="5" s="1"/>
  <c r="S9190" i="5" s="1"/>
  <c r="S9191" i="5" s="1"/>
  <c r="S9192" i="5" s="1"/>
  <c r="S9193" i="5" s="1"/>
  <c r="S9194" i="5" s="1"/>
  <c r="S9195" i="5" s="1"/>
  <c r="S9196" i="5" s="1"/>
  <c r="S9197" i="5" s="1"/>
  <c r="S9198" i="5" s="1"/>
  <c r="S9199" i="5" s="1"/>
  <c r="S9200" i="5" s="1"/>
  <c r="S9201" i="5" s="1"/>
  <c r="S9202" i="5" s="1"/>
  <c r="S9203" i="5" s="1"/>
  <c r="S9204" i="5" s="1"/>
  <c r="S9205" i="5" s="1"/>
  <c r="S9206" i="5" s="1"/>
  <c r="S9207" i="5" s="1"/>
  <c r="S9208" i="5" s="1"/>
  <c r="S9209" i="5" s="1"/>
  <c r="S9210" i="5" s="1"/>
  <c r="S9211" i="5" s="1"/>
  <c r="S9212" i="5" s="1"/>
  <c r="S9213" i="5" s="1"/>
  <c r="S9214" i="5" s="1"/>
  <c r="S9215" i="5" s="1"/>
  <c r="S9216" i="5" s="1"/>
  <c r="S9217" i="5" s="1"/>
  <c r="S9218" i="5" s="1"/>
  <c r="S9219" i="5" s="1"/>
  <c r="S9220" i="5" s="1"/>
  <c r="S9221" i="5" s="1"/>
  <c r="S9222" i="5" s="1"/>
  <c r="S9223" i="5" s="1"/>
  <c r="S9224" i="5" s="1"/>
  <c r="S9225" i="5" s="1"/>
  <c r="S9226" i="5" s="1"/>
  <c r="S9227" i="5" s="1"/>
  <c r="S9228" i="5" s="1"/>
  <c r="S9229" i="5" s="1"/>
  <c r="S9230" i="5" s="1"/>
  <c r="S9231" i="5" s="1"/>
  <c r="S9232" i="5" s="1"/>
  <c r="S9233" i="5" s="1"/>
  <c r="S9234" i="5" s="1"/>
  <c r="S9235" i="5" s="1"/>
  <c r="S9236" i="5" s="1"/>
  <c r="S9237" i="5" s="1"/>
  <c r="S9238" i="5" s="1"/>
  <c r="S9239" i="5" s="1"/>
  <c r="S9240" i="5" s="1"/>
  <c r="S9241" i="5" s="1"/>
  <c r="S9242" i="5" s="1"/>
  <c r="S9243" i="5" s="1"/>
  <c r="S9244" i="5" s="1"/>
  <c r="S9245" i="5" s="1"/>
  <c r="S9246" i="5" s="1"/>
  <c r="S9247" i="5" s="1"/>
  <c r="S9248" i="5" s="1"/>
  <c r="S9249" i="5" s="1"/>
  <c r="S9250" i="5" s="1"/>
  <c r="S9251" i="5" s="1"/>
  <c r="S9252" i="5" s="1"/>
  <c r="S9253" i="5" s="1"/>
  <c r="S9254" i="5" s="1"/>
  <c r="S9255" i="5" s="1"/>
  <c r="S9256" i="5" s="1"/>
  <c r="S9257" i="5" s="1"/>
  <c r="S9258" i="5" s="1"/>
  <c r="S9259" i="5" s="1"/>
  <c r="S9260" i="5" s="1"/>
  <c r="S9261" i="5" s="1"/>
  <c r="S9262" i="5" s="1"/>
  <c r="S9263" i="5" s="1"/>
  <c r="S9264" i="5" s="1"/>
  <c r="S9265" i="5" s="1"/>
  <c r="S9266" i="5" s="1"/>
  <c r="S9267" i="5" s="1"/>
  <c r="S9268" i="5" s="1"/>
  <c r="S9269" i="5" s="1"/>
  <c r="S9270" i="5" s="1"/>
  <c r="S9271" i="5" s="1"/>
  <c r="S9272" i="5" s="1"/>
  <c r="S9273" i="5" s="1"/>
  <c r="S9274" i="5" s="1"/>
  <c r="S9275" i="5" s="1"/>
  <c r="S9276" i="5" s="1"/>
  <c r="S9277" i="5" s="1"/>
  <c r="S9278" i="5" s="1"/>
  <c r="S9279" i="5" s="1"/>
  <c r="S9280" i="5" s="1"/>
  <c r="S9281" i="5" s="1"/>
  <c r="S9282" i="5" s="1"/>
  <c r="S9283" i="5" s="1"/>
  <c r="S9284" i="5" s="1"/>
  <c r="S9285" i="5" s="1"/>
  <c r="S9286" i="5" s="1"/>
  <c r="S9287" i="5" s="1"/>
  <c r="S9288" i="5" s="1"/>
  <c r="S9289" i="5" s="1"/>
  <c r="S9290" i="5" s="1"/>
  <c r="S9291" i="5" s="1"/>
  <c r="S9292" i="5" s="1"/>
  <c r="S9293" i="5" s="1"/>
  <c r="S9294" i="5" s="1"/>
  <c r="S9295" i="5" s="1"/>
  <c r="S9296" i="5" s="1"/>
  <c r="S9297" i="5" s="1"/>
  <c r="S9298" i="5" s="1"/>
  <c r="S9299" i="5" s="1"/>
  <c r="S9300" i="5" s="1"/>
  <c r="S9301" i="5" s="1"/>
  <c r="S9302" i="5" s="1"/>
  <c r="S9303" i="5" s="1"/>
  <c r="S9304" i="5" s="1"/>
  <c r="S9305" i="5" s="1"/>
  <c r="S9306" i="5" s="1"/>
  <c r="S9307" i="5" s="1"/>
  <c r="S9308" i="5" s="1"/>
  <c r="S9309" i="5" s="1"/>
  <c r="S9310" i="5" s="1"/>
  <c r="S9311" i="5" s="1"/>
  <c r="S9312" i="5" s="1"/>
  <c r="S9313" i="5" s="1"/>
  <c r="S9314" i="5" s="1"/>
  <c r="S9315" i="5" s="1"/>
  <c r="S9316" i="5" s="1"/>
  <c r="S9317" i="5" s="1"/>
  <c r="S9318" i="5" s="1"/>
  <c r="S9319" i="5" s="1"/>
  <c r="S9320" i="5" s="1"/>
  <c r="S9321" i="5" s="1"/>
  <c r="S9322" i="5" s="1"/>
  <c r="S9323" i="5" s="1"/>
  <c r="S9324" i="5" s="1"/>
  <c r="S9325" i="5" s="1"/>
  <c r="S9326" i="5" s="1"/>
  <c r="S9327" i="5" s="1"/>
  <c r="S9328" i="5" s="1"/>
  <c r="S9329" i="5" s="1"/>
  <c r="S9330" i="5" s="1"/>
  <c r="S9331" i="5" s="1"/>
  <c r="S9332" i="5" s="1"/>
  <c r="S9333" i="5" s="1"/>
  <c r="S9334" i="5" s="1"/>
  <c r="S9335" i="5" s="1"/>
  <c r="S9336" i="5" s="1"/>
  <c r="S9337" i="5" s="1"/>
  <c r="S9338" i="5" s="1"/>
  <c r="S9339" i="5" s="1"/>
  <c r="S9340" i="5" s="1"/>
  <c r="S9341" i="5" s="1"/>
  <c r="S9342" i="5" s="1"/>
  <c r="S9343" i="5" s="1"/>
  <c r="S9344" i="5" s="1"/>
  <c r="S9345" i="5" s="1"/>
  <c r="S9346" i="5" s="1"/>
  <c r="S9347" i="5" s="1"/>
  <c r="S9348" i="5" s="1"/>
  <c r="S9349" i="5" s="1"/>
  <c r="S9350" i="5" s="1"/>
  <c r="S9351" i="5" s="1"/>
  <c r="S9352" i="5" s="1"/>
  <c r="S9353" i="5" s="1"/>
  <c r="S9354" i="5" s="1"/>
  <c r="S9355" i="5" s="1"/>
  <c r="S9356" i="5" s="1"/>
  <c r="S9357" i="5" s="1"/>
  <c r="S9358" i="5" s="1"/>
  <c r="S9359" i="5" s="1"/>
  <c r="S9360" i="5" s="1"/>
  <c r="S9361" i="5" s="1"/>
  <c r="S9362" i="5" s="1"/>
  <c r="S9363" i="5" s="1"/>
  <c r="S9364" i="5" s="1"/>
  <c r="S9365" i="5" s="1"/>
  <c r="S9366" i="5" s="1"/>
  <c r="S9367" i="5" s="1"/>
  <c r="S9368" i="5" s="1"/>
  <c r="S9369" i="5" s="1"/>
  <c r="S9370" i="5" s="1"/>
  <c r="S9371" i="5" s="1"/>
  <c r="S9372" i="5" s="1"/>
  <c r="S9373" i="5" s="1"/>
  <c r="S9374" i="5" s="1"/>
  <c r="S9375" i="5" s="1"/>
  <c r="S9376" i="5" s="1"/>
  <c r="S9377" i="5" s="1"/>
  <c r="S9378" i="5" s="1"/>
  <c r="S9379" i="5" s="1"/>
  <c r="S9380" i="5" s="1"/>
  <c r="S9381" i="5" s="1"/>
  <c r="S9382" i="5" s="1"/>
  <c r="S9383" i="5" s="1"/>
  <c r="S9384" i="5" s="1"/>
  <c r="S9385" i="5" s="1"/>
  <c r="S9386" i="5" s="1"/>
  <c r="S9387" i="5" s="1"/>
  <c r="S9388" i="5" s="1"/>
  <c r="S9389" i="5" s="1"/>
  <c r="S9390" i="5" s="1"/>
  <c r="S9391" i="5" s="1"/>
  <c r="S9392" i="5" s="1"/>
  <c r="S9393" i="5" s="1"/>
  <c r="S9394" i="5" s="1"/>
  <c r="S9395" i="5" s="1"/>
  <c r="S9396" i="5" s="1"/>
  <c r="S9397" i="5" s="1"/>
  <c r="S9398" i="5" s="1"/>
  <c r="S9399" i="5" s="1"/>
  <c r="S9400" i="5" s="1"/>
  <c r="S9401" i="5" s="1"/>
  <c r="S9402" i="5" s="1"/>
  <c r="S9403" i="5" s="1"/>
  <c r="S9404" i="5" s="1"/>
  <c r="S9405" i="5" s="1"/>
  <c r="S9406" i="5" s="1"/>
  <c r="S9407" i="5" s="1"/>
  <c r="S9408" i="5" s="1"/>
  <c r="S9409" i="5" s="1"/>
  <c r="S9410" i="5" s="1"/>
  <c r="S9411" i="5" s="1"/>
  <c r="S9412" i="5" s="1"/>
  <c r="S9413" i="5" s="1"/>
  <c r="S9414" i="5" s="1"/>
  <c r="S9415" i="5" s="1"/>
  <c r="S9416" i="5" s="1"/>
  <c r="S9417" i="5" s="1"/>
  <c r="S9418" i="5" s="1"/>
  <c r="S9419" i="5" s="1"/>
  <c r="S9420" i="5" s="1"/>
  <c r="S9421" i="5" s="1"/>
  <c r="S9422" i="5" s="1"/>
  <c r="S9423" i="5" s="1"/>
  <c r="S9424" i="5" s="1"/>
  <c r="S9425" i="5" s="1"/>
  <c r="S9426" i="5" s="1"/>
  <c r="S9427" i="5" s="1"/>
  <c r="S9428" i="5" s="1"/>
  <c r="S9429" i="5" s="1"/>
  <c r="S9430" i="5" s="1"/>
  <c r="S9431" i="5" s="1"/>
  <c r="S9432" i="5" s="1"/>
  <c r="S9433" i="5" s="1"/>
  <c r="S9434" i="5" s="1"/>
  <c r="S9435" i="5" s="1"/>
  <c r="S9436" i="5" s="1"/>
  <c r="S9437" i="5" s="1"/>
  <c r="S9438" i="5" s="1"/>
  <c r="S9439" i="5" s="1"/>
  <c r="S9440" i="5" s="1"/>
  <c r="S9441" i="5" s="1"/>
  <c r="S9442" i="5" s="1"/>
  <c r="S9443" i="5" s="1"/>
  <c r="S9444" i="5" s="1"/>
  <c r="S9445" i="5" s="1"/>
  <c r="S9446" i="5" s="1"/>
  <c r="S9447" i="5" s="1"/>
  <c r="S9448" i="5" s="1"/>
  <c r="S9449" i="5" s="1"/>
  <c r="S9450" i="5" s="1"/>
  <c r="S9451" i="5" s="1"/>
  <c r="S9452" i="5" s="1"/>
  <c r="S9453" i="5" s="1"/>
  <c r="S9454" i="5" s="1"/>
  <c r="S9455" i="5" s="1"/>
  <c r="S9456" i="5" s="1"/>
  <c r="S9457" i="5" s="1"/>
  <c r="S9458" i="5" s="1"/>
  <c r="S9459" i="5" s="1"/>
  <c r="S9460" i="5" s="1"/>
  <c r="S9461" i="5" s="1"/>
  <c r="S9462" i="5" s="1"/>
  <c r="S9463" i="5" s="1"/>
  <c r="S9464" i="5" s="1"/>
  <c r="S9465" i="5" s="1"/>
  <c r="S9466" i="5" s="1"/>
  <c r="S9467" i="5" s="1"/>
  <c r="S9468" i="5" s="1"/>
  <c r="S9469" i="5" s="1"/>
  <c r="S9470" i="5" s="1"/>
  <c r="S9471" i="5" s="1"/>
  <c r="S9472" i="5" s="1"/>
  <c r="S9473" i="5" s="1"/>
  <c r="S9474" i="5" s="1"/>
  <c r="S9475" i="5" s="1"/>
  <c r="S9476" i="5" s="1"/>
  <c r="S9477" i="5" s="1"/>
  <c r="S9478" i="5" s="1"/>
  <c r="S9479" i="5" s="1"/>
  <c r="S9480" i="5" s="1"/>
  <c r="S9481" i="5" s="1"/>
  <c r="S9482" i="5" s="1"/>
  <c r="S9483" i="5" s="1"/>
  <c r="S9484" i="5" s="1"/>
  <c r="S9485" i="5" s="1"/>
  <c r="S9486" i="5" s="1"/>
  <c r="S9487" i="5" s="1"/>
  <c r="S9488" i="5" s="1"/>
  <c r="S9489" i="5" s="1"/>
  <c r="S9490" i="5" s="1"/>
  <c r="S9491" i="5" s="1"/>
  <c r="S9492" i="5" s="1"/>
  <c r="S9493" i="5" s="1"/>
  <c r="S9494" i="5" s="1"/>
  <c r="S9495" i="5" s="1"/>
  <c r="S9496" i="5" s="1"/>
  <c r="S9497" i="5" s="1"/>
  <c r="S9498" i="5" s="1"/>
  <c r="S9499" i="5" s="1"/>
  <c r="S9500" i="5" s="1"/>
  <c r="S9501" i="5" s="1"/>
  <c r="S9502" i="5" s="1"/>
  <c r="S9503" i="5" s="1"/>
  <c r="S9504" i="5" s="1"/>
  <c r="S9505" i="5" s="1"/>
  <c r="S9506" i="5" s="1"/>
  <c r="S9507" i="5" s="1"/>
  <c r="S9508" i="5" s="1"/>
  <c r="S9509" i="5" s="1"/>
  <c r="S9510" i="5" s="1"/>
  <c r="S9511" i="5" s="1"/>
  <c r="S9512" i="5" s="1"/>
  <c r="S9513" i="5" s="1"/>
  <c r="S9514" i="5" s="1"/>
  <c r="S9515" i="5" s="1"/>
  <c r="S9516" i="5" s="1"/>
  <c r="S9517" i="5" s="1"/>
  <c r="S9518" i="5" s="1"/>
  <c r="S9519" i="5" s="1"/>
  <c r="S9520" i="5" s="1"/>
  <c r="S9521" i="5" s="1"/>
  <c r="S9522" i="5" s="1"/>
  <c r="S9523" i="5" s="1"/>
  <c r="S9524" i="5" s="1"/>
  <c r="S9525" i="5" s="1"/>
  <c r="S9526" i="5" s="1"/>
  <c r="S9527" i="5" s="1"/>
  <c r="S9528" i="5" s="1"/>
  <c r="S9529" i="5" s="1"/>
  <c r="S9530" i="5" s="1"/>
  <c r="S9531" i="5" s="1"/>
  <c r="S9532" i="5" s="1"/>
  <c r="S9533" i="5" s="1"/>
  <c r="S9534" i="5" s="1"/>
  <c r="S9535" i="5" s="1"/>
  <c r="S9536" i="5" s="1"/>
  <c r="S9537" i="5" s="1"/>
  <c r="S9538" i="5" s="1"/>
  <c r="S9539" i="5" s="1"/>
  <c r="S9540" i="5" s="1"/>
  <c r="S9541" i="5" s="1"/>
  <c r="S9542" i="5" s="1"/>
  <c r="S9543" i="5" s="1"/>
  <c r="S9544" i="5" s="1"/>
  <c r="S9545" i="5" s="1"/>
  <c r="S9546" i="5" s="1"/>
  <c r="S9547" i="5" s="1"/>
  <c r="S9548" i="5" s="1"/>
  <c r="S9549" i="5" s="1"/>
  <c r="S9550" i="5" s="1"/>
  <c r="S9551" i="5" s="1"/>
  <c r="S9552" i="5" s="1"/>
  <c r="S9553" i="5" s="1"/>
  <c r="S9554" i="5" s="1"/>
  <c r="S9555" i="5" s="1"/>
  <c r="S9556" i="5" s="1"/>
  <c r="S9557" i="5" s="1"/>
  <c r="S9558" i="5" s="1"/>
  <c r="S9559" i="5" s="1"/>
  <c r="S9560" i="5" s="1"/>
  <c r="S9561" i="5" s="1"/>
  <c r="S9562" i="5" s="1"/>
  <c r="S9563" i="5" s="1"/>
  <c r="S9564" i="5" s="1"/>
  <c r="S9565" i="5" s="1"/>
  <c r="S9566" i="5" s="1"/>
  <c r="S9567" i="5" s="1"/>
  <c r="S9568" i="5" s="1"/>
  <c r="S9569" i="5" s="1"/>
  <c r="S9570" i="5" s="1"/>
  <c r="S9571" i="5" s="1"/>
  <c r="S9572" i="5" s="1"/>
  <c r="S9573" i="5" s="1"/>
  <c r="S9574" i="5" s="1"/>
  <c r="S9575" i="5" s="1"/>
  <c r="S9576" i="5" s="1"/>
  <c r="S9577" i="5" s="1"/>
  <c r="S9578" i="5" s="1"/>
  <c r="S9579" i="5" s="1"/>
  <c r="S9580" i="5" s="1"/>
  <c r="S9581" i="5" s="1"/>
  <c r="S9582" i="5" s="1"/>
  <c r="S9583" i="5" s="1"/>
  <c r="S9584" i="5" s="1"/>
  <c r="S9585" i="5" s="1"/>
  <c r="S9586" i="5" s="1"/>
  <c r="S9587" i="5" s="1"/>
  <c r="S9588" i="5" s="1"/>
  <c r="S9589" i="5" s="1"/>
  <c r="S9590" i="5" s="1"/>
  <c r="S9591" i="5" s="1"/>
  <c r="S9592" i="5" s="1"/>
  <c r="S9593" i="5" s="1"/>
  <c r="S9594" i="5" s="1"/>
  <c r="S9595" i="5" s="1"/>
  <c r="S9596" i="5" s="1"/>
  <c r="S9597" i="5" s="1"/>
  <c r="S9598" i="5" s="1"/>
  <c r="S9599" i="5" s="1"/>
  <c r="S9600" i="5" s="1"/>
  <c r="S9601" i="5" s="1"/>
  <c r="S9602" i="5" s="1"/>
  <c r="S9603" i="5" s="1"/>
  <c r="S9604" i="5" s="1"/>
  <c r="S9605" i="5" s="1"/>
  <c r="S9606" i="5" s="1"/>
  <c r="S9607" i="5" s="1"/>
  <c r="S9608" i="5" s="1"/>
  <c r="S9609" i="5" s="1"/>
  <c r="S9610" i="5" s="1"/>
  <c r="S9611" i="5" s="1"/>
  <c r="S9612" i="5" s="1"/>
  <c r="S9613" i="5" s="1"/>
  <c r="S9614" i="5" s="1"/>
  <c r="S9615" i="5" s="1"/>
  <c r="S9616" i="5" s="1"/>
  <c r="S9617" i="5" s="1"/>
  <c r="S9618" i="5" s="1"/>
  <c r="S9619" i="5" s="1"/>
  <c r="S9620" i="5" s="1"/>
  <c r="S9621" i="5" s="1"/>
  <c r="S9622" i="5" s="1"/>
  <c r="S9623" i="5" s="1"/>
  <c r="S9624" i="5" s="1"/>
  <c r="S9625" i="5" s="1"/>
  <c r="S9626" i="5" s="1"/>
  <c r="S9627" i="5" s="1"/>
  <c r="S9628" i="5" s="1"/>
  <c r="S9629" i="5" s="1"/>
  <c r="S9630" i="5" s="1"/>
  <c r="S9631" i="5" s="1"/>
  <c r="S9632" i="5" s="1"/>
  <c r="S9633" i="5" s="1"/>
  <c r="S9634" i="5" s="1"/>
  <c r="S9635" i="5" s="1"/>
  <c r="S9636" i="5" s="1"/>
  <c r="S9637" i="5" s="1"/>
  <c r="S9638" i="5" s="1"/>
  <c r="S9639" i="5" s="1"/>
  <c r="S9640" i="5" s="1"/>
  <c r="S9641" i="5" s="1"/>
  <c r="S9642" i="5" s="1"/>
  <c r="S9643" i="5" s="1"/>
  <c r="S9644" i="5" s="1"/>
  <c r="S9645" i="5" s="1"/>
  <c r="S9646" i="5" s="1"/>
  <c r="S9647" i="5" s="1"/>
  <c r="S9648" i="5" s="1"/>
  <c r="S9649" i="5" s="1"/>
  <c r="S9650" i="5" s="1"/>
  <c r="S9651" i="5" s="1"/>
  <c r="S9652" i="5" s="1"/>
  <c r="S9653" i="5" s="1"/>
  <c r="S9654" i="5" s="1"/>
  <c r="S9655" i="5" s="1"/>
  <c r="S9656" i="5" s="1"/>
  <c r="S9657" i="5" s="1"/>
  <c r="S9658" i="5" s="1"/>
  <c r="S9659" i="5" s="1"/>
  <c r="S9660" i="5" s="1"/>
  <c r="S9661" i="5" s="1"/>
  <c r="S9662" i="5" s="1"/>
  <c r="S9663" i="5" s="1"/>
  <c r="S9664" i="5" s="1"/>
  <c r="S9665" i="5" s="1"/>
  <c r="S9666" i="5" s="1"/>
  <c r="S9667" i="5" s="1"/>
  <c r="S9668" i="5" s="1"/>
  <c r="S9669" i="5" s="1"/>
  <c r="S9670" i="5" s="1"/>
  <c r="S9671" i="5" s="1"/>
  <c r="S9672" i="5" s="1"/>
  <c r="S9673" i="5" s="1"/>
  <c r="S9674" i="5" s="1"/>
  <c r="S9675" i="5" s="1"/>
  <c r="S9676" i="5" s="1"/>
  <c r="S9677" i="5" s="1"/>
  <c r="S9678" i="5" s="1"/>
  <c r="S9679" i="5" s="1"/>
  <c r="S9680" i="5" s="1"/>
  <c r="S9681" i="5" s="1"/>
  <c r="S9682" i="5" s="1"/>
  <c r="S9683" i="5" s="1"/>
  <c r="S9684" i="5" s="1"/>
  <c r="S9685" i="5" s="1"/>
  <c r="S9686" i="5" s="1"/>
  <c r="S9687" i="5" s="1"/>
  <c r="S9688" i="5" s="1"/>
  <c r="S9689" i="5" s="1"/>
  <c r="S9690" i="5" s="1"/>
  <c r="S9691" i="5" s="1"/>
  <c r="S9692" i="5" s="1"/>
  <c r="S9693" i="5" s="1"/>
  <c r="S9694" i="5" s="1"/>
  <c r="S9695" i="5" s="1"/>
  <c r="S9696" i="5" s="1"/>
  <c r="S9697" i="5" s="1"/>
  <c r="S9698" i="5" s="1"/>
  <c r="S9699" i="5" s="1"/>
  <c r="S9700" i="5" s="1"/>
  <c r="S9701" i="5" s="1"/>
  <c r="S9702" i="5" s="1"/>
  <c r="S9703" i="5" s="1"/>
  <c r="S9704" i="5" s="1"/>
  <c r="S9705" i="5" s="1"/>
  <c r="S9706" i="5" s="1"/>
  <c r="S9707" i="5" s="1"/>
  <c r="S9708" i="5" s="1"/>
  <c r="S9709" i="5" s="1"/>
  <c r="S9710" i="5" s="1"/>
  <c r="S9711" i="5" s="1"/>
  <c r="S9712" i="5" s="1"/>
  <c r="S9713" i="5" s="1"/>
  <c r="S9714" i="5" s="1"/>
  <c r="S9715" i="5" s="1"/>
  <c r="S9716" i="5" s="1"/>
  <c r="S9717" i="5" s="1"/>
  <c r="S9718" i="5" s="1"/>
  <c r="S9719" i="5" s="1"/>
  <c r="S9720" i="5" s="1"/>
  <c r="S9721" i="5" s="1"/>
  <c r="S9722" i="5" s="1"/>
  <c r="S9723" i="5" s="1"/>
  <c r="S9724" i="5" s="1"/>
  <c r="S9725" i="5" s="1"/>
  <c r="S9726" i="5" s="1"/>
  <c r="S9727" i="5" s="1"/>
  <c r="S9728" i="5" s="1"/>
  <c r="S9729" i="5" s="1"/>
  <c r="S9730" i="5" s="1"/>
  <c r="S9731" i="5" s="1"/>
  <c r="S9732" i="5" s="1"/>
  <c r="S9733" i="5" s="1"/>
  <c r="S9734" i="5" s="1"/>
  <c r="S9735" i="5" s="1"/>
  <c r="S9736" i="5" s="1"/>
  <c r="S9737" i="5" s="1"/>
  <c r="S9738" i="5" s="1"/>
  <c r="S9739" i="5" s="1"/>
  <c r="S9740" i="5" s="1"/>
  <c r="S9741" i="5" s="1"/>
  <c r="S9742" i="5" s="1"/>
  <c r="S9743" i="5" s="1"/>
  <c r="S9744" i="5" s="1"/>
  <c r="S9745" i="5" s="1"/>
  <c r="S9746" i="5" s="1"/>
  <c r="S9747" i="5" s="1"/>
  <c r="S9748" i="5" s="1"/>
  <c r="S9749" i="5" s="1"/>
  <c r="S9750" i="5" s="1"/>
  <c r="S9751" i="5" s="1"/>
  <c r="S9752" i="5" s="1"/>
  <c r="S9753" i="5" s="1"/>
  <c r="S9754" i="5" s="1"/>
  <c r="S9755" i="5" s="1"/>
  <c r="S9756" i="5" s="1"/>
  <c r="S9757" i="5" s="1"/>
  <c r="S9758" i="5" s="1"/>
  <c r="S9759" i="5" s="1"/>
  <c r="S9760" i="5" s="1"/>
  <c r="S9761" i="5" s="1"/>
  <c r="S9762" i="5" s="1"/>
  <c r="S9763" i="5" s="1"/>
  <c r="S9764" i="5" s="1"/>
  <c r="S9765" i="5" s="1"/>
  <c r="S9766" i="5" s="1"/>
  <c r="S9767" i="5" s="1"/>
  <c r="S9768" i="5" s="1"/>
  <c r="S9769" i="5" s="1"/>
  <c r="S9770" i="5" s="1"/>
  <c r="S9771" i="5" s="1"/>
  <c r="S9772" i="5" s="1"/>
  <c r="S9773" i="5" s="1"/>
  <c r="S9774" i="5" s="1"/>
  <c r="S9775" i="5" s="1"/>
  <c r="S9776" i="5" s="1"/>
  <c r="S9777" i="5" s="1"/>
  <c r="S9778" i="5" s="1"/>
  <c r="S9779" i="5" s="1"/>
  <c r="S9780" i="5" s="1"/>
  <c r="S9781" i="5" s="1"/>
  <c r="S9782" i="5" s="1"/>
  <c r="S9783" i="5" s="1"/>
  <c r="S9784" i="5" s="1"/>
  <c r="S9785" i="5" s="1"/>
  <c r="S9786" i="5" s="1"/>
  <c r="S9787" i="5" s="1"/>
  <c r="S9788" i="5" s="1"/>
  <c r="S9789" i="5" s="1"/>
  <c r="S9790" i="5" s="1"/>
  <c r="S9791" i="5" s="1"/>
  <c r="S9792" i="5" s="1"/>
  <c r="S9793" i="5" s="1"/>
  <c r="S9794" i="5" s="1"/>
  <c r="S9795" i="5" s="1"/>
  <c r="S9796" i="5" s="1"/>
  <c r="S9797" i="5" s="1"/>
  <c r="S9798" i="5" s="1"/>
  <c r="S9799" i="5" s="1"/>
  <c r="S9800" i="5" s="1"/>
  <c r="S9801" i="5" s="1"/>
  <c r="S9802" i="5" s="1"/>
  <c r="S9803" i="5" s="1"/>
  <c r="S9804" i="5" s="1"/>
  <c r="S9805" i="5" s="1"/>
  <c r="S9806" i="5" s="1"/>
  <c r="S9807" i="5" s="1"/>
  <c r="S9808" i="5" s="1"/>
  <c r="S9809" i="5" s="1"/>
  <c r="S9810" i="5" s="1"/>
  <c r="S9811" i="5" s="1"/>
  <c r="S9812" i="5" s="1"/>
  <c r="S9813" i="5" s="1"/>
  <c r="S9814" i="5" s="1"/>
  <c r="S9815" i="5" s="1"/>
  <c r="S9816" i="5" s="1"/>
  <c r="S9817" i="5" s="1"/>
  <c r="S9818" i="5" s="1"/>
  <c r="S9819" i="5" s="1"/>
  <c r="S9820" i="5" s="1"/>
  <c r="S9821" i="5" s="1"/>
  <c r="S9822" i="5" s="1"/>
  <c r="S9823" i="5" s="1"/>
  <c r="S9824" i="5" s="1"/>
  <c r="S9825" i="5" s="1"/>
  <c r="S9826" i="5" s="1"/>
  <c r="S9827" i="5" s="1"/>
  <c r="S9828" i="5" s="1"/>
  <c r="S9829" i="5" s="1"/>
  <c r="S9830" i="5" s="1"/>
  <c r="S9831" i="5" s="1"/>
  <c r="S9832" i="5" s="1"/>
  <c r="S9833" i="5" s="1"/>
  <c r="S9834" i="5" s="1"/>
  <c r="S9835" i="5" s="1"/>
  <c r="S9836" i="5" s="1"/>
  <c r="S9837" i="5" s="1"/>
  <c r="S9838" i="5" s="1"/>
  <c r="S9839" i="5" s="1"/>
  <c r="S9840" i="5" s="1"/>
  <c r="S9841" i="5" s="1"/>
  <c r="S9842" i="5" s="1"/>
  <c r="S9843" i="5" s="1"/>
  <c r="S9844" i="5" s="1"/>
  <c r="S9845" i="5" s="1"/>
  <c r="S9846" i="5" s="1"/>
  <c r="S9847" i="5" s="1"/>
  <c r="S9848" i="5" s="1"/>
  <c r="S9849" i="5" s="1"/>
  <c r="S9850" i="5" s="1"/>
  <c r="S9851" i="5" s="1"/>
  <c r="S9852" i="5" s="1"/>
  <c r="S9853" i="5" s="1"/>
  <c r="S9854" i="5" s="1"/>
  <c r="S9855" i="5" s="1"/>
  <c r="S9856" i="5" s="1"/>
  <c r="S9857" i="5" s="1"/>
  <c r="S9858" i="5" s="1"/>
  <c r="S9859" i="5" s="1"/>
  <c r="S9860" i="5" s="1"/>
  <c r="S9861" i="5" s="1"/>
  <c r="S9862" i="5" s="1"/>
  <c r="S9863" i="5" s="1"/>
  <c r="S9864" i="5" s="1"/>
  <c r="S9865" i="5" s="1"/>
  <c r="S9866" i="5" s="1"/>
  <c r="S9867" i="5" s="1"/>
  <c r="S9868" i="5" s="1"/>
  <c r="S9869" i="5" s="1"/>
  <c r="S9870" i="5" s="1"/>
  <c r="S9871" i="5" s="1"/>
  <c r="S9872" i="5" s="1"/>
  <c r="S9873" i="5" s="1"/>
  <c r="S9874" i="5" s="1"/>
  <c r="S9875" i="5" s="1"/>
  <c r="S9876" i="5" s="1"/>
  <c r="S9877" i="5" s="1"/>
  <c r="S9878" i="5" s="1"/>
  <c r="S9879" i="5" s="1"/>
  <c r="S9880" i="5" s="1"/>
  <c r="S9881" i="5" s="1"/>
  <c r="S9882" i="5" s="1"/>
  <c r="S9883" i="5" s="1"/>
  <c r="S9884" i="5" s="1"/>
  <c r="S9885" i="5" s="1"/>
  <c r="S9886" i="5" s="1"/>
  <c r="S9887" i="5" s="1"/>
  <c r="S9888" i="5" s="1"/>
  <c r="S9889" i="5" s="1"/>
  <c r="S9890" i="5" s="1"/>
  <c r="S9891" i="5" s="1"/>
  <c r="S9892" i="5" s="1"/>
  <c r="S9893" i="5" s="1"/>
  <c r="S9894" i="5" s="1"/>
  <c r="S9895" i="5" s="1"/>
  <c r="S9896" i="5" s="1"/>
  <c r="S9897" i="5" s="1"/>
  <c r="S9898" i="5" s="1"/>
  <c r="S9899" i="5" s="1"/>
  <c r="S9900" i="5" s="1"/>
  <c r="S9901" i="5" s="1"/>
  <c r="S9902" i="5" s="1"/>
  <c r="S9903" i="5" s="1"/>
  <c r="S9904" i="5" s="1"/>
  <c r="S9905" i="5" s="1"/>
  <c r="S9906" i="5" s="1"/>
  <c r="S9907" i="5" s="1"/>
  <c r="S9908" i="5" s="1"/>
  <c r="S9909" i="5" s="1"/>
  <c r="S9910" i="5" s="1"/>
  <c r="S9911" i="5" s="1"/>
  <c r="S9912" i="5" s="1"/>
  <c r="S9913" i="5" s="1"/>
  <c r="S9914" i="5" s="1"/>
  <c r="S9915" i="5" s="1"/>
  <c r="S9916" i="5" s="1"/>
  <c r="S9917" i="5" s="1"/>
  <c r="S9918" i="5" s="1"/>
  <c r="S9919" i="5" s="1"/>
  <c r="S9920" i="5" s="1"/>
  <c r="S9921" i="5" s="1"/>
  <c r="S9922" i="5" s="1"/>
  <c r="S9923" i="5" s="1"/>
  <c r="S9924" i="5" s="1"/>
  <c r="S9925" i="5" s="1"/>
  <c r="S9926" i="5" s="1"/>
  <c r="S9927" i="5" s="1"/>
  <c r="S9928" i="5" s="1"/>
  <c r="S9929" i="5" s="1"/>
  <c r="S9930" i="5" s="1"/>
  <c r="S9931" i="5" s="1"/>
  <c r="S9932" i="5" s="1"/>
  <c r="S9933" i="5" s="1"/>
  <c r="S9934" i="5" s="1"/>
  <c r="S9935" i="5" s="1"/>
  <c r="S9936" i="5" s="1"/>
  <c r="S9937" i="5" s="1"/>
  <c r="S9938" i="5" s="1"/>
  <c r="S9939" i="5" s="1"/>
  <c r="S9940" i="5" s="1"/>
  <c r="S9941" i="5" s="1"/>
  <c r="S9942" i="5" s="1"/>
  <c r="S9943" i="5" s="1"/>
  <c r="S9944" i="5" s="1"/>
  <c r="S9945" i="5" s="1"/>
  <c r="S9946" i="5" s="1"/>
  <c r="S9947" i="5" s="1"/>
  <c r="S9948" i="5" s="1"/>
  <c r="S9949" i="5" s="1"/>
  <c r="S9950" i="5" s="1"/>
  <c r="S9951" i="5" s="1"/>
  <c r="S9952" i="5" s="1"/>
  <c r="S9953" i="5" s="1"/>
  <c r="S9954" i="5" s="1"/>
  <c r="S9955" i="5" s="1"/>
  <c r="S9956" i="5" s="1"/>
  <c r="S9957" i="5" s="1"/>
  <c r="S9958" i="5" s="1"/>
  <c r="S9959" i="5" s="1"/>
  <c r="S9960" i="5" s="1"/>
  <c r="S9961" i="5" s="1"/>
  <c r="S9962" i="5" s="1"/>
  <c r="S9963" i="5" s="1"/>
  <c r="S9964" i="5" s="1"/>
  <c r="S9965" i="5" s="1"/>
  <c r="S9966" i="5" s="1"/>
  <c r="S9967" i="5" s="1"/>
  <c r="S9968" i="5" s="1"/>
  <c r="S9969" i="5" s="1"/>
  <c r="S9970" i="5" s="1"/>
  <c r="S9971" i="5" s="1"/>
  <c r="S9972" i="5" s="1"/>
  <c r="S9973" i="5" s="1"/>
  <c r="S9974" i="5" s="1"/>
  <c r="S9975" i="5" s="1"/>
  <c r="S9976" i="5" s="1"/>
  <c r="S9977" i="5" s="1"/>
  <c r="S9978" i="5" s="1"/>
  <c r="S9979" i="5" s="1"/>
  <c r="S9980" i="5" s="1"/>
  <c r="S9981" i="5" s="1"/>
  <c r="S9982" i="5" s="1"/>
  <c r="S9983" i="5" s="1"/>
  <c r="S9984" i="5" s="1"/>
  <c r="S9985" i="5" s="1"/>
  <c r="S9986" i="5" s="1"/>
  <c r="S9987" i="5" s="1"/>
  <c r="S9988" i="5" s="1"/>
  <c r="S9989" i="5" s="1"/>
  <c r="S9990" i="5" s="1"/>
  <c r="S9991" i="5" s="1"/>
  <c r="S9992" i="5" s="1"/>
  <c r="S9993" i="5" s="1"/>
  <c r="S9994" i="5" s="1"/>
  <c r="S9995" i="5" s="1"/>
  <c r="S9996" i="5" s="1"/>
  <c r="S9997" i="5" s="1"/>
  <c r="S9998" i="5" s="1"/>
  <c r="S9999" i="5" s="1"/>
  <c r="S10000" i="5" s="1"/>
  <c r="S10001" i="5" s="1"/>
  <c r="S10002" i="5" s="1"/>
  <c r="S10003" i="5" s="1"/>
  <c r="S10004" i="5" s="1"/>
  <c r="S10005" i="5" s="1"/>
  <c r="S10006" i="5" s="1"/>
  <c r="S10007" i="5" s="1"/>
  <c r="S10008" i="5" s="1"/>
  <c r="S10009" i="5" s="1"/>
  <c r="S10010" i="5" s="1"/>
  <c r="S10011" i="5" s="1"/>
  <c r="S10012" i="5" s="1"/>
  <c r="S10013" i="5" s="1"/>
  <c r="S10014" i="5" s="1"/>
  <c r="S10015" i="5" s="1"/>
  <c r="S10016" i="5" s="1"/>
  <c r="S10017" i="5" s="1"/>
  <c r="S10018" i="5" s="1"/>
  <c r="S10019" i="5" s="1"/>
  <c r="S10020" i="5" s="1"/>
  <c r="S10021" i="5" s="1"/>
  <c r="S10022" i="5" s="1"/>
  <c r="S10023" i="5" s="1"/>
  <c r="S10024" i="5" s="1"/>
  <c r="S10025" i="5" s="1"/>
  <c r="S10026" i="5" s="1"/>
  <c r="S10027" i="5" s="1"/>
  <c r="S10028" i="5" s="1"/>
  <c r="S10029" i="5" s="1"/>
  <c r="S10030" i="5" s="1"/>
  <c r="S10031" i="5" s="1"/>
  <c r="S10032" i="5" s="1"/>
  <c r="S10033" i="5" s="1"/>
  <c r="S10034" i="5" s="1"/>
  <c r="S10035" i="5" s="1"/>
  <c r="S10036" i="5" s="1"/>
  <c r="S10037" i="5" s="1"/>
  <c r="S10038" i="5" s="1"/>
  <c r="S10039" i="5" s="1"/>
  <c r="S10040" i="5" s="1"/>
  <c r="S10041" i="5" s="1"/>
  <c r="S10042" i="5" s="1"/>
  <c r="S10043" i="5" s="1"/>
  <c r="S10044" i="5" s="1"/>
  <c r="S10045" i="5" s="1"/>
  <c r="S10046" i="5" s="1"/>
  <c r="S10047" i="5" s="1"/>
  <c r="S10048" i="5" s="1"/>
  <c r="S10049" i="5" s="1"/>
  <c r="S10050" i="5" s="1"/>
  <c r="S10051" i="5" s="1"/>
  <c r="S10052" i="5" s="1"/>
  <c r="S10053" i="5" s="1"/>
  <c r="S10054" i="5" s="1"/>
  <c r="S10055" i="5" s="1"/>
  <c r="S10056" i="5" s="1"/>
  <c r="S10057" i="5" s="1"/>
  <c r="S10058" i="5" s="1"/>
  <c r="S10059" i="5" s="1"/>
  <c r="S10060" i="5" s="1"/>
  <c r="S10061" i="5" s="1"/>
  <c r="S10062" i="5" s="1"/>
  <c r="S10063" i="5" s="1"/>
  <c r="S10064" i="5" s="1"/>
  <c r="S10065" i="5" s="1"/>
  <c r="S10066" i="5" s="1"/>
  <c r="S10067" i="5" s="1"/>
  <c r="S10068" i="5" s="1"/>
  <c r="S10069" i="5" s="1"/>
  <c r="S10070" i="5" s="1"/>
  <c r="S10071" i="5" s="1"/>
  <c r="S10072" i="5" s="1"/>
  <c r="S10073" i="5" s="1"/>
  <c r="S10074" i="5" s="1"/>
  <c r="S10075" i="5" s="1"/>
  <c r="S10076" i="5" s="1"/>
  <c r="S10077" i="5" s="1"/>
  <c r="S10078" i="5" s="1"/>
  <c r="S10079" i="5" s="1"/>
  <c r="S10080" i="5" s="1"/>
  <c r="S10081" i="5" s="1"/>
  <c r="S10082" i="5" s="1"/>
  <c r="S10083" i="5" s="1"/>
  <c r="S10084" i="5" s="1"/>
  <c r="S10085" i="5" s="1"/>
  <c r="S10086" i="5" s="1"/>
  <c r="S10087" i="5" s="1"/>
  <c r="S10088" i="5" s="1"/>
  <c r="S10089" i="5" s="1"/>
  <c r="S10090" i="5" s="1"/>
  <c r="S10091" i="5" s="1"/>
  <c r="S10092" i="5" s="1"/>
  <c r="S10093" i="5" s="1"/>
  <c r="S10094" i="5" s="1"/>
  <c r="S10095" i="5" s="1"/>
  <c r="S10096" i="5" s="1"/>
  <c r="S10097" i="5" s="1"/>
  <c r="S10098" i="5" s="1"/>
  <c r="S10099" i="5" s="1"/>
  <c r="S10100" i="5" s="1"/>
  <c r="S10101" i="5" s="1"/>
  <c r="S10102" i="5" s="1"/>
  <c r="S10103" i="5" s="1"/>
  <c r="S10104" i="5" s="1"/>
  <c r="S10105" i="5" s="1"/>
  <c r="S10106" i="5" s="1"/>
  <c r="S10107" i="5" s="1"/>
  <c r="S10108" i="5" s="1"/>
  <c r="S10109" i="5" s="1"/>
  <c r="S10110" i="5" s="1"/>
  <c r="S10111" i="5" s="1"/>
  <c r="S10112" i="5" s="1"/>
  <c r="S10113" i="5" s="1"/>
  <c r="S10114" i="5" s="1"/>
  <c r="S10115" i="5" s="1"/>
  <c r="S10116" i="5" s="1"/>
  <c r="S10117" i="5" s="1"/>
  <c r="S10118" i="5" s="1"/>
  <c r="S10119" i="5" s="1"/>
  <c r="S10120" i="5" s="1"/>
  <c r="S10121" i="5" s="1"/>
  <c r="S10122" i="5" s="1"/>
  <c r="S10123" i="5" s="1"/>
  <c r="S10124" i="5" s="1"/>
  <c r="S10125" i="5" s="1"/>
  <c r="S10126" i="5" s="1"/>
  <c r="S10127" i="5" s="1"/>
  <c r="S10128" i="5" s="1"/>
  <c r="S10129" i="5" s="1"/>
  <c r="S10130" i="5" s="1"/>
  <c r="S10131" i="5" s="1"/>
  <c r="S10132" i="5" s="1"/>
  <c r="S10133" i="5" s="1"/>
  <c r="S10134" i="5" s="1"/>
  <c r="S10135" i="5" s="1"/>
  <c r="S10136" i="5" s="1"/>
  <c r="S10137" i="5" s="1"/>
  <c r="S10138" i="5" s="1"/>
  <c r="S10139" i="5" s="1"/>
  <c r="S10140" i="5" s="1"/>
  <c r="S10141" i="5" s="1"/>
  <c r="S10142" i="5" s="1"/>
  <c r="S10143" i="5" s="1"/>
  <c r="S10144" i="5" s="1"/>
  <c r="S10145" i="5" s="1"/>
  <c r="S10146" i="5" s="1"/>
  <c r="S10147" i="5" s="1"/>
  <c r="S10148" i="5" s="1"/>
  <c r="S10149" i="5" s="1"/>
  <c r="S10150" i="5" s="1"/>
  <c r="S10151" i="5" s="1"/>
  <c r="S10152" i="5" s="1"/>
  <c r="S10153" i="5" s="1"/>
  <c r="S10154" i="5" s="1"/>
  <c r="S10155" i="5" s="1"/>
  <c r="S10156" i="5" s="1"/>
  <c r="S10157" i="5" s="1"/>
  <c r="S10158" i="5" s="1"/>
  <c r="S10159" i="5" s="1"/>
  <c r="S10160" i="5" s="1"/>
  <c r="S10161" i="5" s="1"/>
  <c r="S10162" i="5" s="1"/>
  <c r="S10163" i="5" s="1"/>
  <c r="S10164" i="5" s="1"/>
  <c r="S10165" i="5" s="1"/>
  <c r="S10166" i="5" s="1"/>
  <c r="S10167" i="5" s="1"/>
  <c r="S10168" i="5" s="1"/>
  <c r="S10169" i="5" s="1"/>
  <c r="S10170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D835ED-BBE3-449A-8B38-6F9B37B40ED7}" keepAlive="1" name="Sorgu - Table001 (Page 1)" description="Çalışma kitabındaki 'Table001 (Page 1)' sorgusuna yönelik bağlantı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096DC83B-DBAD-4A69-AE43-89D740382ED9}" keepAlive="1" name="Sorgu - Table001 (Page 1) (2)" description="Çalışma kitabındaki 'Table001 (Page 1) (2)' sorgusuna yönelik bağlantı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3" xr16:uid="{876071F3-C43B-4EE9-8ACC-348485D2095A}" keepAlive="1" name="Sorgu - Table001 (Page 1) (3)" description="Çalışma kitabındaki 'Table001 (Page 1) (3)' sorgusuna yönelik bağlantı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4" xr16:uid="{7123303B-A211-456F-9499-C8761E8BFD91}" keepAlive="1" name="Sorgu - Table001 (Page 1) (4)" description="Çalışma kitabındaki 'Table001 (Page 1) (4)' sorgusuna yönelik bağlantı." type="5" refreshedVersion="8" background="1" saveData="1">
    <dbPr connection="Provider=Microsoft.Mashup.OleDb.1;Data Source=$Workbook$;Location=&quot;Table001 (Page 1) (4)&quot;;Extended Properties=&quot;&quot;" command="SELECT * FROM [Table001 (Page 1) (4)]"/>
  </connection>
  <connection id="5" xr16:uid="{EFBE18D1-5802-4C87-A594-79AF333B6E12}" keepAlive="1" name="Sorgu - Table001 (Page 1) (5)" description="Çalışma kitabındaki 'Table001 (Page 1) (5)' sorgusuna yönelik bağlantı." type="5" refreshedVersion="8" background="1" saveData="1">
    <dbPr connection="Provider=Microsoft.Mashup.OleDb.1;Data Source=$Workbook$;Location=&quot;Table001 (Page 1) (5)&quot;;Extended Properties=&quot;&quot;" command="SELECT * FROM [Table001 (Page 1) (5)]"/>
  </connection>
  <connection id="6" xr16:uid="{AA2F9D7D-F342-4E32-B48B-5E298D8B9F13}" keepAlive="1" name="Sorgu - Table001 (Page 1) (6)" description="Çalışma kitabındaki 'Table001 (Page 1) (6)' sorgusuna yönelik bağlantı." type="5" refreshedVersion="8" background="1" saveData="1">
    <dbPr connection="Provider=Microsoft.Mashup.OleDb.1;Data Source=$Workbook$;Location=&quot;Table001 (Page 1) (6)&quot;;Extended Properties=&quot;&quot;" command="SELECT * FROM [Table001 (Page 1) (6)]"/>
  </connection>
  <connection id="7" xr16:uid="{683009F1-5AA8-4B29-8E44-21E86610CC36}" keepAlive="1" name="Sorgu - TFKDOKUM pdf" description="Çalışma kitabındaki 'TFKDOKUM pdf' sorgusuna yönelik bağlantı." type="5" refreshedVersion="0" background="1">
    <dbPr connection="Provider=Microsoft.Mashup.OleDb.1;Data Source=$Workbook$;Location=&quot;TFKDOKUM pdf&quot;;Extended Properties=&quot;&quot;" command="SELECT * FROM [TFKDOKUM pdf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<sst xmlns="http://schemas.openxmlformats.org/spreadsheetml/2006/main" count="47799" uniqueCount="3946">
  <si>
    <t>ALINMA TARİHİ</t>
  </si>
  <si>
    <t>TEDARİK</t>
  </si>
  <si>
    <t>ÜRÜN</t>
  </si>
  <si>
    <t>MENŞEİ</t>
  </si>
  <si>
    <t>T.E.T.T./S.K.T.</t>
  </si>
  <si>
    <t>İŞLETME KAYIT NO</t>
  </si>
  <si>
    <t>FİRMA ADI</t>
  </si>
  <si>
    <t>ADRESİ</t>
  </si>
  <si>
    <t>TÜDAB</t>
  </si>
  <si>
    <t>MEBRUM HURMA (MEDİNE HURMA DUBLE)</t>
  </si>
  <si>
    <t>SUUDİ ARABİSTAN</t>
  </si>
  <si>
    <t>TR-34-K-144663</t>
  </si>
  <si>
    <t>ANADOLU KURUYEMİŞ VE GIDA PAZ. LTD.</t>
  </si>
  <si>
    <t>MAHMUTBEY MH. İSTOÇ 22. YOL 21. ADA NO:2 BAĞCILAR/İSTANBUL</t>
  </si>
  <si>
    <t>MEDJOOL HURMA - (KUDÜS HURMASI JUMBO)</t>
  </si>
  <si>
    <t>?</t>
  </si>
  <si>
    <t>SOUTHERNCROSS</t>
  </si>
  <si>
    <t>GÜNEY AFRİKA</t>
  </si>
  <si>
    <t>KAVRULMUŞ BADEM</t>
  </si>
  <si>
    <t>TÜDAB?</t>
  </si>
  <si>
    <t>FINDIK İÇİ KAVRULMUŞ (FINDIK BULANCAK)</t>
  </si>
  <si>
    <t>TÜRKİYE</t>
  </si>
  <si>
    <t>TR-34-K-138502</t>
  </si>
  <si>
    <t>TÜDAB GIDA SAN.TİC. A.Ş.</t>
  </si>
  <si>
    <t>İSTOÇ TİCARET MRK. 19 . ADA NO:108-114 BAĞCILAR İSTANBUL</t>
  </si>
  <si>
    <t>LEBLEBİ ŞEKERİ</t>
  </si>
  <si>
    <t>TR-20-K-021980</t>
  </si>
  <si>
    <t>GENÇ KURUYEMİŞ LTD. ŞİT.</t>
  </si>
  <si>
    <t>AŞAĞI MH. 3007 SK. 7. BLOK NO:2-8 C SERİNHİSAR - DENİZLİ</t>
  </si>
  <si>
    <t>SARI LEBLEBİ</t>
  </si>
  <si>
    <t>TR-43-K-011401</t>
  </si>
  <si>
    <t>KORKMAZLAR GIDA VE TAŞIMACILIK A.Ş.</t>
  </si>
  <si>
    <t>ÇUKURKÖY MAH. LEBLEBİCİLER SANAYİ KÜME EVLERİ NO:2 TAVŞANLI- KÜTAHYA</t>
  </si>
  <si>
    <t>KURU ÜZÜM</t>
  </si>
  <si>
    <t>TR-45-K-021984</t>
  </si>
  <si>
    <t>UFUK ŞENGÜN TARIM ÜRÜNLERİ İÇ VE DIŞ TİC. SANAYİ LTD</t>
  </si>
  <si>
    <t>Koldere Mahallesi Cengiz Ergün Cd, A Blok Sk. No:4/1, Saruhanlı/Manisa</t>
  </si>
  <si>
    <t>ÇITIR LEBLEBİ</t>
  </si>
  <si>
    <t>TR-20-K-002161</t>
  </si>
  <si>
    <t>BADEM</t>
  </si>
  <si>
    <t>TR-34-K-014403</t>
  </si>
  <si>
    <t>ÇAMDALI KURUYEMİŞ</t>
  </si>
  <si>
    <t>MERKEZ MH. YEŞİL ZÜMRÜT SK. NO:27 G.O. PAŞA/İSTANBUL</t>
  </si>
  <si>
    <t>KAVRULMUŞ KABUKLU ANTEP FISTIK</t>
  </si>
  <si>
    <t>TR-27-K-005728</t>
  </si>
  <si>
    <t>DEMKAR NUTS GIDA LTD. ŞTİ.</t>
  </si>
  <si>
    <t>Burak Mah. 0617 Nolu Cad. No:24 Şehitkamil/Gaziantep</t>
  </si>
  <si>
    <t>DERME KURU KAYISI - JUMBO</t>
  </si>
  <si>
    <t>TR-44-K-000490</t>
  </si>
  <si>
    <t>BİRDEM GIDA SAN. TİC. A.Ş.</t>
  </si>
  <si>
    <t>1. OSB MAH. 13. CAD. NO:8 YEŞİLYURT/MALATYA</t>
  </si>
  <si>
    <t>KURU İNCİR</t>
  </si>
  <si>
    <t>NBN 2,5 KG İNCİR ?</t>
  </si>
  <si>
    <t>DAĞ İNCİRİ</t>
  </si>
  <si>
    <t>TR-09-K-030024</t>
  </si>
  <si>
    <t>KUDA ORGANİK</t>
  </si>
  <si>
    <t>MESUDİYE MAHALLESİ ATATÜRK CD. NO:90 GERMENCİK / AYDIN</t>
  </si>
  <si>
    <t>HİMALAYA TUZU</t>
  </si>
  <si>
    <t>TR34-K-138502</t>
  </si>
  <si>
    <t>PAPATYA</t>
  </si>
  <si>
    <t>KARANFİL</t>
  </si>
  <si>
    <t>ENDONEZYA</t>
  </si>
  <si>
    <t>CHİA TOHUMU</t>
  </si>
  <si>
    <t>PERU</t>
  </si>
  <si>
    <t>TR-09-K-000338</t>
  </si>
  <si>
    <t>GE MA GIDA TİCARET LTD - BAHARATEVİM (AMBALAJ:  GÜN GIDA LTD.)</t>
  </si>
  <si>
    <t>NAZİLLİ/AYDIN</t>
  </si>
  <si>
    <t>ANTEP</t>
  </si>
  <si>
    <t>SUSAM SOYULMUŞ</t>
  </si>
  <si>
    <t>HİNDİSTAN CEVİZİ İRİ</t>
  </si>
  <si>
    <t>STRİK ASİT (LİMON TUZU İNCE)</t>
  </si>
  <si>
    <t>TR-01-K-030114</t>
  </si>
  <si>
    <t>TEKZİM TARIMSAL KİMYA A.Ş.</t>
  </si>
  <si>
    <t>HACI SABANCI ORG. SAN. BÖL. İSTİKLAL CD. NO:20 SARIÇAM/ADANA</t>
  </si>
  <si>
    <t>MOR REYHAN</t>
  </si>
  <si>
    <t>HİBİSKÜS</t>
  </si>
  <si>
    <t>ZENCEFİL TANE</t>
  </si>
  <si>
    <t>TR-27-K-004229</t>
  </si>
  <si>
    <t>YALÇINTAT GIDA SAN. LTD.</t>
  </si>
  <si>
    <t>GATEM TOPTANCILAR SİTESİ MAVİ ADA 3. BLOK NO:1 ŞEHİTKAMİL/GAZİANTEP</t>
  </si>
  <si>
    <t>HAS EVLİK PUL BİBER</t>
  </si>
  <si>
    <t>TR-79-K-000888</t>
  </si>
  <si>
    <t>HERBİTAT BAHARAT</t>
  </si>
  <si>
    <t>HASANCELİ KÖYÜ NO:192 MUSABEYLİ/KİLİS</t>
  </si>
  <si>
    <t>EVLİK PUL BİBER</t>
  </si>
  <si>
    <t>İPEK PUL BİBER</t>
  </si>
  <si>
    <t>TR-79-K-001063</t>
  </si>
  <si>
    <t>DAĞCIOĞLU BAHARAT LTD.</t>
  </si>
  <si>
    <t>HASANCELİ KÖYÜ NO: 311 MUSABEYLİ/KİLİS</t>
  </si>
  <si>
    <t>TÜRK KAHVESİ</t>
  </si>
  <si>
    <t>KIRMIZI SUSAM</t>
  </si>
  <si>
    <t>KEKİK LÜX</t>
  </si>
  <si>
    <t>SUMAK</t>
  </si>
  <si>
    <t>KÖRİ</t>
  </si>
  <si>
    <t>KÖFTE BAHARATI</t>
  </si>
  <si>
    <t>KİMYON</t>
  </si>
  <si>
    <t>İSOT</t>
  </si>
  <si>
    <t>ACI TOZ BİBER</t>
  </si>
  <si>
    <t>ZENCEFİL TOZ</t>
  </si>
  <si>
    <t>ÇÖREK OTU</t>
  </si>
  <si>
    <t>SURİYE</t>
  </si>
  <si>
    <t>K.KODU</t>
  </si>
  <si>
    <t>CİNSİ</t>
  </si>
  <si>
    <t>TEMİZLİK GİDERLERİ</t>
  </si>
  <si>
    <t>MUTFAK GİDERLERİ</t>
  </si>
  <si>
    <t>BİNA BAKIM ONARIM</t>
  </si>
  <si>
    <t>DEMİRBAŞ</t>
  </si>
  <si>
    <t>YOL GİDERLERİ</t>
  </si>
  <si>
    <t>KİRA GİDERLERİ</t>
  </si>
  <si>
    <t>DEPOZİTO GİDERLERİ</t>
  </si>
  <si>
    <t>DIŞARIDAN SAĞLANAN FAYDA VE HİZMETLER</t>
  </si>
  <si>
    <t>GİDER SAYILAN DEMİRBAŞ</t>
  </si>
  <si>
    <t>AMBALAJ GİDERLERİ</t>
  </si>
  <si>
    <t>MUHASEBE GİDERLERİ</t>
  </si>
  <si>
    <t>İSKONTO GİDERLERİ</t>
  </si>
  <si>
    <t>SERMAYE</t>
  </si>
  <si>
    <t>İSKONTO GELİRLERİ</t>
  </si>
  <si>
    <t>S.KODU</t>
  </si>
  <si>
    <t>MİKTAR</t>
  </si>
  <si>
    <t>BİRİM</t>
  </si>
  <si>
    <t>FİYAT</t>
  </si>
  <si>
    <t>TUTAR</t>
  </si>
  <si>
    <t>Sütun2</t>
  </si>
  <si>
    <t>SATIŞ FİYATI</t>
  </si>
  <si>
    <t>firma</t>
  </si>
  <si>
    <t>BAHARAT</t>
  </si>
  <si>
    <t>KARABİBER ÇEKİLMİŞ</t>
  </si>
  <si>
    <t>KG</t>
  </si>
  <si>
    <t>antep</t>
  </si>
  <si>
    <t>KİMYON ÇEKİLMİŞ</t>
  </si>
  <si>
    <t>KÖFTE BAHARATI (YEDİTÜRLÜ)</t>
  </si>
  <si>
    <t>NANE İRİ</t>
  </si>
  <si>
    <t>İPEK BİBER</t>
  </si>
  <si>
    <t>EVLİK BİBER</t>
  </si>
  <si>
    <t>HİNDİSTAN CEVİZİ ( İRİ )</t>
  </si>
  <si>
    <t>TUZ</t>
  </si>
  <si>
    <t>LİMONTUZU TOZ</t>
  </si>
  <si>
    <t>LİMONTUZU PARCA</t>
  </si>
  <si>
    <t>KAHVE</t>
  </si>
  <si>
    <t>SÜTTOZU (KAHVE KREMASI)</t>
  </si>
  <si>
    <t>ZERDEÇAL TOZ</t>
  </si>
  <si>
    <t>KORİ (TAVUK BAHARATI)</t>
  </si>
  <si>
    <t>ÖZ</t>
  </si>
  <si>
    <t>NATTE LEZZET SOSU 980 GR</t>
  </si>
  <si>
    <t>ADET</t>
  </si>
  <si>
    <t xml:space="preserve">NATTE LEZZET SOSU 500 GR (NAR EKŞİSİ) </t>
  </si>
  <si>
    <t>LİMONSOSU 1 KG</t>
  </si>
  <si>
    <t>KAFFKA MENENGİÇ KAHVESİ 150 GR</t>
  </si>
  <si>
    <t>KAFFKA OSMANLI KAHVESİ 150 GR</t>
  </si>
  <si>
    <t>KAFFKA DİBEK KAHVESİ 150 GR</t>
  </si>
  <si>
    <t>HASPİR</t>
  </si>
  <si>
    <t>ZAHTER</t>
  </si>
  <si>
    <t>SUSAM</t>
  </si>
  <si>
    <t>SUSAM KIRMIZI</t>
  </si>
  <si>
    <t>ÇÖREKOTU</t>
  </si>
  <si>
    <t>SALÇA</t>
  </si>
  <si>
    <t>SALÇA ACI (EV YAPIMI)</t>
  </si>
  <si>
    <t>SALÇA TATLI (EV YAPIMI)</t>
  </si>
  <si>
    <t>DOMATES SALÇASI</t>
  </si>
  <si>
    <t>KURUTMALIK</t>
  </si>
  <si>
    <t>DOLMALIK KURU PATLICAN</t>
  </si>
  <si>
    <t>DOLMALIK SARI BİBER</t>
  </si>
  <si>
    <t>DOLMALIK KURU KABAK</t>
  </si>
  <si>
    <t>HASEVLİK</t>
  </si>
  <si>
    <t>BAKLİYAT</t>
  </si>
  <si>
    <t>ÇAM FISTIĞI (DOLMALIK YER FISTIĞI)</t>
  </si>
  <si>
    <t>YENİBAHAR TOZ</t>
  </si>
  <si>
    <t>DOLMALIK KURU ACI BİBER</t>
  </si>
  <si>
    <t>DOLMALIK KURU TATLI KIRMIZI BİBER</t>
  </si>
  <si>
    <t>ORMANÖZÜ SUMAKLI NAR EKŞİSİ 250 ml</t>
  </si>
  <si>
    <t>SİRKE</t>
  </si>
  <si>
    <t>ORMANÖZÜ ORGANİK ALIÇ SİRKESİ 500 ml</t>
  </si>
  <si>
    <t>ORMANÖZÜ ORGANİK ÜZÜM SİRKESİ 500 ml</t>
  </si>
  <si>
    <t>ORMANÖZÜ ORGANİK YABAN ELMASI SİRKESİ 500 ml</t>
  </si>
  <si>
    <t>ÇAY</t>
  </si>
  <si>
    <t>ÇAYKUR TİRYAKİ 1 KG</t>
  </si>
  <si>
    <t>tedarik</t>
  </si>
  <si>
    <t>BAKIM</t>
  </si>
  <si>
    <t>ARKO EL VÜCUT KREMİ 150 ml</t>
  </si>
  <si>
    <t>SEYİDOĞLU TAHİN 550 g</t>
  </si>
  <si>
    <t>SEYİDOĞLU PEKMEZ 700 g</t>
  </si>
  <si>
    <t>ETİ LİFALİF 950 GR YULAF EZMESİ</t>
  </si>
  <si>
    <t>YENİGÜN HARNUP PEKMEZİ 1.250 GR</t>
  </si>
  <si>
    <t>ZÜBER FINDIK EZMESİ 315 G</t>
  </si>
  <si>
    <t>FİSKOBİRLİK FINDIK EZMESİ 300 GR</t>
  </si>
  <si>
    <t>KAHVE DÜNYASI FİLTRE KAHVE 250 GR</t>
  </si>
  <si>
    <t>MARA BIBERIYE LAVANTA SAC YAGI 100 ml</t>
  </si>
  <si>
    <t>ADAÇAYI DEMET</t>
  </si>
  <si>
    <t>ufuk abi</t>
  </si>
  <si>
    <t>ADAÇAYI SIYIRMA</t>
  </si>
  <si>
    <t>ALTIN OTU SIYIRMA</t>
  </si>
  <si>
    <t>ASLAN PENÇESİ</t>
  </si>
  <si>
    <t>AÇLIK OTU</t>
  </si>
  <si>
    <t>BİBERİYE</t>
  </si>
  <si>
    <t>CEVİZ KELEBEK (ŞİLİ)</t>
  </si>
  <si>
    <t>CİVAN PERÇEMİ</t>
  </si>
  <si>
    <t>AYÇEKİRDEĞİ DAKOTA TUZLU EKSTRA</t>
  </si>
  <si>
    <t>AYÇEKİRDEĞİ DAKOTA TUZSUZ EKSTRA</t>
  </si>
  <si>
    <t>DEFNE YAPRAĞI</t>
  </si>
  <si>
    <t>DERME GÜN KURUSU KAYISI JUMBO</t>
  </si>
  <si>
    <t>DOMATES KURUSU</t>
  </si>
  <si>
    <t>DUT KURUSU LÜX ELAZIĞ</t>
  </si>
  <si>
    <t>GÜNAYDIN KAYA TUZU İNCE</t>
  </si>
  <si>
    <t>GÜNAYDIN KAYA TUZU İRİ</t>
  </si>
  <si>
    <t>HATMİ ÇİÇEĞİ</t>
  </si>
  <si>
    <t>HAŞİROĞLU TARHANA CİPS</t>
  </si>
  <si>
    <t>HAŞİROĞLU TARHANA ÇEREZLİK</t>
  </si>
  <si>
    <t>HİMALAYA TUZU PEMBE GRANÜL</t>
  </si>
  <si>
    <t>HİMALAYA TUZU PEMBE ÖĞÜTÜLMÜŞ</t>
  </si>
  <si>
    <t>IHLAMUR YAPRAK</t>
  </si>
  <si>
    <t>IHLAMUR ÇİÇEK EKSTRA</t>
  </si>
  <si>
    <t>KABUKLU CEVİZ (ŞİLİ)</t>
  </si>
  <si>
    <t>KAKAO</t>
  </si>
  <si>
    <t>KARABAŞ OTU</t>
  </si>
  <si>
    <t>KARNIYARIK TOHUMU</t>
  </si>
  <si>
    <t>KAYSERİ PAZARI ŞEKERSİZ 1000 ML - GİLABURU</t>
  </si>
  <si>
    <t>KUŞBURNU</t>
  </si>
  <si>
    <t>LAVANTA</t>
  </si>
  <si>
    <t>LOBAS SAF NAR EKŞİSİ 1 KG</t>
  </si>
  <si>
    <t>LİMON MELİSA</t>
  </si>
  <si>
    <t>MEYAN LİF</t>
  </si>
  <si>
    <t>MISIR PÜSKÜLÜ</t>
  </si>
  <si>
    <t>NBN 2,5 KG İNCİR</t>
  </si>
  <si>
    <t>NBN DAĞ İNCİRİ</t>
  </si>
  <si>
    <t>REZENE</t>
  </si>
  <si>
    <t>SEYHAN ÜZÜM ÖZEL</t>
  </si>
  <si>
    <t>SOSLU MISIR YERLİ</t>
  </si>
  <si>
    <t>SİNAMEKİ</t>
  </si>
  <si>
    <t>TOMBUL KESE ORGANİK 500 GR</t>
  </si>
  <si>
    <t>TOMBUL KESE 500 GR ACI</t>
  </si>
  <si>
    <t>TOMBUL KESE 500 GR SEBZELİ TARHANA</t>
  </si>
  <si>
    <t>TOMBUL KESE 500 GR TATLI</t>
  </si>
  <si>
    <t>TOMBUL TARHANA ORGANİK BEBE 500 GR</t>
  </si>
  <si>
    <t>TÜDAB ANDIZ PEKMEZİ 450 GR</t>
  </si>
  <si>
    <t>TÜDAB HARNUP PEKMEZİ 800 GR (KEÇİBOYNUZU)</t>
  </si>
  <si>
    <t>TÜDAB HARNUP ÖZÜ 680 GR (KEÇİBOYNUZU)</t>
  </si>
  <si>
    <t>TÜDAB KEÇİ BOYNUZU (DÖKME)</t>
  </si>
  <si>
    <t>YENİ MAHSÜL PAPATYA</t>
  </si>
  <si>
    <t>YEŞİL ÇAY YAPRAK</t>
  </si>
  <si>
    <t>ZERDEÇAL TANE</t>
  </si>
  <si>
    <t>ZEYTİN YAPRAĞI</t>
  </si>
  <si>
    <t>İRİ BEYAZ KABAK ÇEKİRDEĞİ - NEVŞEHİR</t>
  </si>
  <si>
    <t>İRİ KABAK ÇEKİRDEĞİ TUZSUZ (KAVRULMUŞ)</t>
  </si>
  <si>
    <t>ŞENAY ÇAM KOZALAĞI PEKMEZİ 800 G</t>
  </si>
  <si>
    <t>BADEM KAVRULMUŞ</t>
  </si>
  <si>
    <t xml:space="preserve">BADEM ÇİĞ </t>
  </si>
  <si>
    <t>DEMKAR TURUNCU PAKET ANTEP FISTIĞI</t>
  </si>
  <si>
    <t>FINDIK BULACAK (13-15)</t>
  </si>
  <si>
    <t>FINDIK İÇİ ÇİĞ</t>
  </si>
  <si>
    <t>HAYIT TOHUMU</t>
  </si>
  <si>
    <t>KAJU KAVRULMUŞ 180 LİK</t>
  </si>
  <si>
    <t>KUDÜS HURMASI JUMBO</t>
  </si>
  <si>
    <t>LEBLEBİ SARI ÖZEL LÜX ÇITIR</t>
  </si>
  <si>
    <t>LEBLEBİ ÇİFTE SARI</t>
  </si>
  <si>
    <t>LEBLEBİ ŞEKER LÜX</t>
  </si>
  <si>
    <t>MATCHA BROMELAİN DETOX ÇAYI</t>
  </si>
  <si>
    <t>MATCHA DETOX ÇAYI</t>
  </si>
  <si>
    <t>MATCHA KAYISI VE YEŞİL ÇAYLI DETOX ÇAYI</t>
  </si>
  <si>
    <t>MEDİNE HURMA DUBLE</t>
  </si>
  <si>
    <t>MİNDİVAN ATOM ÇAYI</t>
  </si>
  <si>
    <t>NAHİTA ALIÇ SİRKESİ 500 ML</t>
  </si>
  <si>
    <t>NAHİTA DETOKS SİRKESİ 500 ML</t>
  </si>
  <si>
    <t>NAHİTA ELMA SİRKESİ 500 ML</t>
  </si>
  <si>
    <t>NAHİTA GÜL SİRKESİ</t>
  </si>
  <si>
    <t>NAHİTA ÜZÜM SİRKESİ</t>
  </si>
  <si>
    <t>TÜDAB KIŞ ÇAYI 200 GR</t>
  </si>
  <si>
    <t>İZMİR ÜZÜMÜ</t>
  </si>
  <si>
    <t>ŞENAY SUMAK EKŞİSİ 600 GR</t>
  </si>
  <si>
    <t>ŞENAY ÇAM KOZALAĞI ŞURUBU 650 GR</t>
  </si>
  <si>
    <t>KİNOA DÖKME</t>
  </si>
  <si>
    <t>ÇEBELİZADE NİOLİ YAĞI 20 ML</t>
  </si>
  <si>
    <t>TARİH</t>
  </si>
  <si>
    <t>BORÇLAR</t>
  </si>
  <si>
    <t>BORÇ</t>
  </si>
  <si>
    <t>ÖDENEN</t>
  </si>
  <si>
    <t>KALAN</t>
  </si>
  <si>
    <t>ALACAKLAR</t>
  </si>
  <si>
    <t>ALACAK</t>
  </si>
  <si>
    <t>TAHSİLAT</t>
  </si>
  <si>
    <t>UFUK ABİ</t>
  </si>
  <si>
    <t>TÜRÜ</t>
  </si>
  <si>
    <t>HİZMET</t>
  </si>
  <si>
    <t>FT NO</t>
  </si>
  <si>
    <t>AÇIKLAMA</t>
  </si>
  <si>
    <t>N/K</t>
  </si>
  <si>
    <t>GİDER</t>
  </si>
  <si>
    <t>BAKİYE</t>
  </si>
  <si>
    <t>SR00000000001</t>
  </si>
  <si>
    <t>SERMAYE GİRİŞİ</t>
  </si>
  <si>
    <t>NAKİT</t>
  </si>
  <si>
    <t>GIB2025000000006</t>
  </si>
  <si>
    <t>META PARTNERS GAYRİMENKUL LTD. - EMLAKÇI HİZMET BEDELİ</t>
  </si>
  <si>
    <t>1 KİRA , 1 DEPOZİTO</t>
  </si>
  <si>
    <t xml:space="preserve"> OZD2025000000037</t>
  </si>
  <si>
    <t>ADAN ÖZDEMİR İNŞAAT LTD.ŞTİ. - BOYA MALZEMELERİ</t>
  </si>
  <si>
    <t>TEŞHİR RAFLARI - KARANİ BEY</t>
  </si>
  <si>
    <t>NAKLİYECİ MURAT - TEŞHİR RAFLARI</t>
  </si>
  <si>
    <t>BAYRAKLAR NALBURİYE - RAMAZAN BAYRAK - RAF AYAKLARI</t>
  </si>
  <si>
    <t>MAL ALIMI</t>
  </si>
  <si>
    <t>TK TARIM KREDİ PAZ A.Ş.</t>
  </si>
  <si>
    <t>AE02025004359393</t>
  </si>
  <si>
    <t>BİM A.Ş - TEMİZLİK MALZ</t>
  </si>
  <si>
    <t>AE02025004367607</t>
  </si>
  <si>
    <t>BİM A.Ş - KAĞIT HAVLU - TUV. KAĞIDI</t>
  </si>
  <si>
    <t>CARİ</t>
  </si>
  <si>
    <t>AE02025004413238</t>
  </si>
  <si>
    <t>BİM A.Ş</t>
  </si>
  <si>
    <t>AE02025004420874</t>
  </si>
  <si>
    <t>AFA2025000001602</t>
  </si>
  <si>
    <t>AFİLİ AMBALAJ TİC.LTD. - DÜKKAN TEMİZLİK ALETLERİ</t>
  </si>
  <si>
    <t>AE02025004429542</t>
  </si>
  <si>
    <t>BİM A.Ş. - SU 2 ADET</t>
  </si>
  <si>
    <t>OZD2025000000038</t>
  </si>
  <si>
    <t>AE02025004500326</t>
  </si>
  <si>
    <t>BİM A.Ş. - TEMİZLİK MALZ.</t>
  </si>
  <si>
    <t>AE02025004541835</t>
  </si>
  <si>
    <t>BİM A.Ş.</t>
  </si>
  <si>
    <t>HA12025000009098</t>
  </si>
  <si>
    <t>N11 - YILDIRIM ELEKTRİK - 2 ADET KAPI KİLİDİ</t>
  </si>
  <si>
    <t>TABELACI İLK PEŞİNAT</t>
  </si>
  <si>
    <t>AE02025004571779</t>
  </si>
  <si>
    <t>BİM A.Ş. - ÇAY BARDAĞI</t>
  </si>
  <si>
    <t>A101 A.Ş.</t>
  </si>
  <si>
    <t>TYF2025000123250</t>
  </si>
  <si>
    <t>TRENDYOL - AYDIN ÇEVRE DANIŞMANLIK LTD. - TERAZİ</t>
  </si>
  <si>
    <t>IOA2025000377401</t>
  </si>
  <si>
    <t>PAZARAMA - Altınkılıçlar Kahve A.Ş. - KAHVE DÜNYASI</t>
  </si>
  <si>
    <t>KAV2025000001470</t>
  </si>
  <si>
    <t>TRENDYOL - MT OFİS KIRTASİYE - RAF ETİKETİ - 400 MİCRON PVC 38x100 100 ADET</t>
  </si>
  <si>
    <t>YK02025000001397</t>
  </si>
  <si>
    <t>HEPSİBURADA - YAZARKASAMPOS ELEKTRONİK LTD. - YAZARKASA POS CİHAZI</t>
  </si>
  <si>
    <t>TABELACI KALAN</t>
  </si>
  <si>
    <t>BHR2025000009930</t>
  </si>
  <si>
    <t>GE MA GIDA TİCARET LTD - BAHARATEVİM</t>
  </si>
  <si>
    <t>MAL SATIŞI</t>
  </si>
  <si>
    <t>ST00000000001</t>
  </si>
  <si>
    <t>SATIŞ</t>
  </si>
  <si>
    <t>ST00000000002</t>
  </si>
  <si>
    <t xml:space="preserve">SATIŞ </t>
  </si>
  <si>
    <t>HÜSNÜ YILMAZ - BAHARAT KOVALARI - 20 ADET</t>
  </si>
  <si>
    <t>BAHARAT KOVALARI - NAKLİYE</t>
  </si>
  <si>
    <t>AFA2025000001709</t>
  </si>
  <si>
    <t>AFİLİ AMBALAJ TİC.LTD. - BAKKALİYE - MARKET - POŞETLERİ</t>
  </si>
  <si>
    <t>AFA2025000001710</t>
  </si>
  <si>
    <t>ST00000000003</t>
  </si>
  <si>
    <t>ST00000000004</t>
  </si>
  <si>
    <t>ST00000000005</t>
  </si>
  <si>
    <t>ST00000000006</t>
  </si>
  <si>
    <t>TRENDYOL - EDA DOĞAN - XPRİNTER XP-470B - BARKOD YAZICISI</t>
  </si>
  <si>
    <t>FT00000000002</t>
  </si>
  <si>
    <t>TÜDAB A.Ş.</t>
  </si>
  <si>
    <t>ST00000000007</t>
  </si>
  <si>
    <t>ST00000000008</t>
  </si>
  <si>
    <t>ST00000000009</t>
  </si>
  <si>
    <t>ST00000000010</t>
  </si>
  <si>
    <t>ST00000000011</t>
  </si>
  <si>
    <t>ST00000000035</t>
  </si>
  <si>
    <t>FT00000000003</t>
  </si>
  <si>
    <t>ST00000000012</t>
  </si>
  <si>
    <t>ST00000000013</t>
  </si>
  <si>
    <t>AE02025004760510</t>
  </si>
  <si>
    <t>ST00000000014</t>
  </si>
  <si>
    <t>ST00000000015</t>
  </si>
  <si>
    <t>ST00000000016</t>
  </si>
  <si>
    <t>ST00000000017</t>
  </si>
  <si>
    <t>ST00000000018</t>
  </si>
  <si>
    <t>NALBUR - TABELA KABLO - KABLO BANDI</t>
  </si>
  <si>
    <t>İNAN MUHASEBE</t>
  </si>
  <si>
    <t>ST00000000019</t>
  </si>
  <si>
    <t>ST00000000020</t>
  </si>
  <si>
    <t>ST00000000021</t>
  </si>
  <si>
    <t>ST00000000022</t>
  </si>
  <si>
    <t>ST00000000023</t>
  </si>
  <si>
    <t>ST00000000024</t>
  </si>
  <si>
    <t>ST00000000025</t>
  </si>
  <si>
    <t>ST00000000026</t>
  </si>
  <si>
    <t>ST00000000027</t>
  </si>
  <si>
    <t>ST00000000028</t>
  </si>
  <si>
    <t>ST00000000029</t>
  </si>
  <si>
    <t>ST00000000030</t>
  </si>
  <si>
    <t>POS</t>
  </si>
  <si>
    <t>ST00000000031</t>
  </si>
  <si>
    <t>ST00000000032</t>
  </si>
  <si>
    <t>ST00000000033</t>
  </si>
  <si>
    <t>ST00000000034</t>
  </si>
  <si>
    <t>ST00000000036</t>
  </si>
  <si>
    <t>ST00000000037</t>
  </si>
  <si>
    <t>ST00000000038</t>
  </si>
  <si>
    <t>ST00000000039</t>
  </si>
  <si>
    <t>ST00000000040</t>
  </si>
  <si>
    <t>ST00000000041</t>
  </si>
  <si>
    <t>ST00000000044</t>
  </si>
  <si>
    <t>ST00000000045</t>
  </si>
  <si>
    <t>ST00000000042</t>
  </si>
  <si>
    <t>ST00000000043</t>
  </si>
  <si>
    <t>ST00000000046</t>
  </si>
  <si>
    <t>ST00000000047</t>
  </si>
  <si>
    <t>ST00000000048</t>
  </si>
  <si>
    <t>ST00000000049</t>
  </si>
  <si>
    <t>ST00000000050</t>
  </si>
  <si>
    <t>ST00000000051</t>
  </si>
  <si>
    <t>KAMERA SİSTEMİ - VOLKAN KAYA</t>
  </si>
  <si>
    <t>ST00000000052</t>
  </si>
  <si>
    <t>ST00000000053</t>
  </si>
  <si>
    <t>ST00000000054</t>
  </si>
  <si>
    <t>ST00000000055</t>
  </si>
  <si>
    <t>ST00000000056</t>
  </si>
  <si>
    <t>ST00000000057</t>
  </si>
  <si>
    <t>ST00000000058</t>
  </si>
  <si>
    <t>ST00000000059</t>
  </si>
  <si>
    <t>ST00000000060</t>
  </si>
  <si>
    <t>ST00000000061</t>
  </si>
  <si>
    <t>ST00000000062</t>
  </si>
  <si>
    <t>ST00000000063</t>
  </si>
  <si>
    <t>ST00000000064</t>
  </si>
  <si>
    <t>ST00000000065</t>
  </si>
  <si>
    <t>ST00000000066</t>
  </si>
  <si>
    <t>ST00000000067</t>
  </si>
  <si>
    <t>GRAM</t>
  </si>
  <si>
    <t>TOPLAM FİYAT</t>
  </si>
  <si>
    <t>TOPLAM KASA BAKİYE</t>
  </si>
  <si>
    <t>Satır Etiketleri</t>
  </si>
  <si>
    <t>Genel Toplam</t>
  </si>
  <si>
    <t>KARABİBER</t>
  </si>
  <si>
    <t>NANE</t>
  </si>
  <si>
    <t>LİMONTUZU PARÇA</t>
  </si>
  <si>
    <t>SÜTTOZU</t>
  </si>
  <si>
    <t>ÇAM FISTIĞI</t>
  </si>
  <si>
    <t>YENİBAHAR</t>
  </si>
  <si>
    <t>TR-01-K-01-0689</t>
  </si>
  <si>
    <t>ASLAN YAĞ GIDA LTD.ŞTİ</t>
  </si>
  <si>
    <t>SARIHAMZALI MH. 47007 SK. NO : 48/A SEYHAN / ADANA</t>
  </si>
  <si>
    <t xml:space="preserve">POLONYA? </t>
  </si>
  <si>
    <t>SARAY MH. AKGÜL SK. NO:1/22 ÜMRANİYE/İSTANBUL</t>
  </si>
  <si>
    <t>ŞMS KOPUZ GIDA A.Ş.</t>
  </si>
  <si>
    <t>GE MA</t>
  </si>
  <si>
    <t>ST00000000068</t>
  </si>
  <si>
    <t>ST00000000069</t>
  </si>
  <si>
    <t>ST00000000070</t>
  </si>
  <si>
    <t>SATIŞ - TOPTAN</t>
  </si>
  <si>
    <t>ST00000000071</t>
  </si>
  <si>
    <t>ST00000000072</t>
  </si>
  <si>
    <t>ST00000000073</t>
  </si>
  <si>
    <t>NİJERYA</t>
  </si>
  <si>
    <t>VİETNAM</t>
  </si>
  <si>
    <t>İRAN</t>
  </si>
  <si>
    <t>ÇİN</t>
  </si>
  <si>
    <t>BREZİLYA</t>
  </si>
  <si>
    <t>SUDAN</t>
  </si>
  <si>
    <t>HİNDİSTAN</t>
  </si>
  <si>
    <t>MEKSİKA</t>
  </si>
  <si>
    <t>ST00000000074</t>
  </si>
  <si>
    <t>ST00000000075</t>
  </si>
  <si>
    <t>ST00000000076</t>
  </si>
  <si>
    <t>ST00000000077</t>
  </si>
  <si>
    <t>FİTOZEN İNGİLİZ KARBONATI 200 GR</t>
  </si>
  <si>
    <t>FİTOZEN İNGİLİZ TUZU 200 GR</t>
  </si>
  <si>
    <t>KARABİBER TANE</t>
  </si>
  <si>
    <t>KARBONAT</t>
  </si>
  <si>
    <t>KETEN TOHUMU</t>
  </si>
  <si>
    <t>KONTES HAMAM OTU - TÜY DÖKÜCÜ</t>
  </si>
  <si>
    <t>WARITEX KABAK LİFİ ELDİVEN</t>
  </si>
  <si>
    <t>WARITEX ÇİFT TARAFLI KABAK LİFİ</t>
  </si>
  <si>
    <t>TOZ BİBER - TATLI</t>
  </si>
  <si>
    <t>ŞİFAVER ALOE VERA HATAY SABUNU</t>
  </si>
  <si>
    <t>ŞİFAVER BITTIM HATAY SABUNU</t>
  </si>
  <si>
    <t>ŞİFAVER DEFNE GARLI HATAY SABUNU</t>
  </si>
  <si>
    <t>ŞİFAVER GÜL HATAY SABUNU</t>
  </si>
  <si>
    <t>ŞİFAVER KÜKÜRTLÜ HATAY SABUNU</t>
  </si>
  <si>
    <t>ŞİFAVER KİL HATAY SABUNU</t>
  </si>
  <si>
    <t>ŞİFAVER ZEYTİNYAĞLI HATAY SABUNU</t>
  </si>
  <si>
    <t>ST00000000078</t>
  </si>
  <si>
    <t>ST00000000079</t>
  </si>
  <si>
    <t>ST00000000080</t>
  </si>
  <si>
    <t>ST00000000081</t>
  </si>
  <si>
    <t>ST00000000082</t>
  </si>
  <si>
    <t>ST00000000083</t>
  </si>
  <si>
    <t>ST00000000084</t>
  </si>
  <si>
    <t>ST00000000085</t>
  </si>
  <si>
    <t>ST00000000086</t>
  </si>
  <si>
    <t>ST00000000087</t>
  </si>
  <si>
    <t>ST00000000088</t>
  </si>
  <si>
    <t>ST00000000089</t>
  </si>
  <si>
    <t>KAJU - TB</t>
  </si>
  <si>
    <t>KURUYEMİŞ</t>
  </si>
  <si>
    <t>Kas</t>
  </si>
  <si>
    <t>HAM KABAK LİFİ İŞLENMEMİŞ</t>
  </si>
  <si>
    <t>FT00000000004</t>
  </si>
  <si>
    <t>ST00000000090</t>
  </si>
  <si>
    <t>BİOBLAS KERATİN KOLAJEN SAÇ BAKIM YAĞI 100 ML</t>
  </si>
  <si>
    <t>BİOBLAS ARGAN SAÇ BAKIM YAĞI 100 ML</t>
  </si>
  <si>
    <t>BİOBLAS KERATİN KOLAJEN SIVI SAÇ KREMİ 200 ML</t>
  </si>
  <si>
    <t>BİOBLAS ARGAN SIVI SAÇ KREMİ 200 ML</t>
  </si>
  <si>
    <t xml:space="preserve">BİOBLAS SAÇ DÖKÜLMESİNE KARŞI BİTKİSEL ŞAMPUAN 1000 ML - YEŞİL </t>
  </si>
  <si>
    <t>ST00000000091</t>
  </si>
  <si>
    <t>ST00000000092</t>
  </si>
  <si>
    <t>UNİ BABY BEBEK ŞAMPUANI 900 ML</t>
  </si>
  <si>
    <t>ST00000000093</t>
  </si>
  <si>
    <t>HAKMAR MAĞAZACILIK LTD.</t>
  </si>
  <si>
    <t>URBAN CARE EXPERT BİOTİN VE KAFEİN DÖKÜLME KARŞITI ŞAMPUAN&amp;TONİK SET-VEGAN</t>
  </si>
  <si>
    <t>URBAN CARE BİOTİN&amp;KERATİN DÖKÜLMEYE EĞİLİMLİ SAÇLARA ÖZEL ŞAMPUAN-VEGAN-450 ML</t>
  </si>
  <si>
    <t>URBAN CARE INTENSE KERATİN 450 ML SÜLFATSIZ ŞAMPUAN</t>
  </si>
  <si>
    <t>MARA BIBERIYE LAVANTA SAC YAGI 100 ML</t>
  </si>
  <si>
    <t>BİOBLAS BOTANİC OİLS 360 ML SARIMSAKLI SAÇ DÖKÜLMESİNE KARŞI ŞAMPUAN</t>
  </si>
  <si>
    <t>BİOBLAS BOTANİC OİLS ARGAN YAĞLI 360 ML SAÇ DÖKÜLMESİNE KARŞI ŞAMPUAN</t>
  </si>
  <si>
    <t>BİOBLAS SİYAH SARIMSAKLI 1000 ML SAÇ DÖKÜLMESİNE KARŞI ŞAMPUAN - SİYAH</t>
  </si>
  <si>
    <t>BİOBLAS COLLAGEN VE KERATİN DÖKÜLME KARŞITI 250 ML DURULANMAYAN SAÇ KREMİ</t>
  </si>
  <si>
    <t>HUNCA CARE AT KESTANESİ KREMİ 500 ML</t>
  </si>
  <si>
    <t>ST00000000094</t>
  </si>
  <si>
    <t>ST00000000095</t>
  </si>
  <si>
    <t>GELİR BİRİM FİYATI</t>
  </si>
  <si>
    <t>GİDER BİRİM FİYATI</t>
  </si>
  <si>
    <t>GELİR ADET/KG</t>
  </si>
  <si>
    <t>GİDER ADET/KG</t>
  </si>
  <si>
    <t>orhan hoca</t>
  </si>
  <si>
    <t>ge ma</t>
  </si>
  <si>
    <t>ARZEN TOROS NANESİ 20 ML (NANE YAĞI)</t>
  </si>
  <si>
    <t>AKİKSİR HİNDİSTAN CEVİZİ YAĞI 150 GR</t>
  </si>
  <si>
    <t>BİOBLAS ŞEKİLLENDİRİCİ ONARICI KREM 250 ML</t>
  </si>
  <si>
    <t>BİOBLAS BOTANİCS OİL ARGAN YAĞLI SAÇ KREMİ  250 ML</t>
  </si>
  <si>
    <t>TABİB LOKMAN ALABALIK YAĞI 100 ML</t>
  </si>
  <si>
    <t>ORHAN HOCA</t>
  </si>
  <si>
    <t>UMUT ŞİFA KUYRUK YAĞI 100 ML</t>
  </si>
  <si>
    <t>ÇUBUK TARÇIN</t>
  </si>
  <si>
    <t>TOZ TARÇIN</t>
  </si>
  <si>
    <t>ST00000000096</t>
  </si>
  <si>
    <t>ST00000000097</t>
  </si>
  <si>
    <t>SÜTTOZU (KAHVE KREMASI) 100 GR</t>
  </si>
  <si>
    <t>SÜTTOZU (KAHVE KREMASI) 200 GR</t>
  </si>
  <si>
    <t>HİBİSKUS</t>
  </si>
  <si>
    <t>CHİA TOHUMU DÖKME</t>
  </si>
  <si>
    <t>ST00000000098</t>
  </si>
  <si>
    <t>ST00000000099</t>
  </si>
  <si>
    <t>TR-27-K-001589</t>
  </si>
  <si>
    <t>YALÇINKAYA BİBER BAHARAT LTD.</t>
  </si>
  <si>
    <t>ERENLER MAH. GAZİANTEP BULVARI NO:125 İSLAHİYE / GAZİANTEP</t>
  </si>
  <si>
    <t>SATIŞ TÜRÜ</t>
  </si>
  <si>
    <t>KİLO</t>
  </si>
  <si>
    <t>PAKET</t>
  </si>
  <si>
    <t>BAĞ</t>
  </si>
  <si>
    <t>BİTKİ</t>
  </si>
  <si>
    <t>YÖRESEL ÜRÜN</t>
  </si>
  <si>
    <t>AKTAR</t>
  </si>
  <si>
    <t>YAĞLAR</t>
  </si>
  <si>
    <t>ST00000000100</t>
  </si>
  <si>
    <t>ST00000000101</t>
  </si>
  <si>
    <t>ST00000000102</t>
  </si>
  <si>
    <t>ST00000000103</t>
  </si>
  <si>
    <t>ST00000000104</t>
  </si>
  <si>
    <t>MACUN KIRMIZI</t>
  </si>
  <si>
    <t>MACUN VİP</t>
  </si>
  <si>
    <t>MACUN</t>
  </si>
  <si>
    <t>ST00000000105</t>
  </si>
  <si>
    <t>ST00000000106</t>
  </si>
  <si>
    <t>FT00000000005</t>
  </si>
  <si>
    <t>HARUN ADANA</t>
  </si>
  <si>
    <t>ST00000000107</t>
  </si>
  <si>
    <t>ST00000000108</t>
  </si>
  <si>
    <t>ST00000000109</t>
  </si>
  <si>
    <t>ST00000000110</t>
  </si>
  <si>
    <t>ST00000000111</t>
  </si>
  <si>
    <t>ST00000000112</t>
  </si>
  <si>
    <t>ST00000000113</t>
  </si>
  <si>
    <t>ST00000000114</t>
  </si>
  <si>
    <t>ST00000000115</t>
  </si>
  <si>
    <t>ST00000000116</t>
  </si>
  <si>
    <t>ST00000000117</t>
  </si>
  <si>
    <t>ST00000000118</t>
  </si>
  <si>
    <t>ST00000000119</t>
  </si>
  <si>
    <t>ST00000000120</t>
  </si>
  <si>
    <t>ST00000000121</t>
  </si>
  <si>
    <t>ST00000000122</t>
  </si>
  <si>
    <t>ST00000000123</t>
  </si>
  <si>
    <t>ST00000000124</t>
  </si>
  <si>
    <t>ST00000000125</t>
  </si>
  <si>
    <t>ST00000000126</t>
  </si>
  <si>
    <t>ST00000000127</t>
  </si>
  <si>
    <t>ST00000000128</t>
  </si>
  <si>
    <t>ST00000000129</t>
  </si>
  <si>
    <t>ST00000000130</t>
  </si>
  <si>
    <t>ST00000000131</t>
  </si>
  <si>
    <t>ST00000000132</t>
  </si>
  <si>
    <t>ST00000000133</t>
  </si>
  <si>
    <t>ST00000000134</t>
  </si>
  <si>
    <t>ST00000000135</t>
  </si>
  <si>
    <t>YALÇINKAYA ACI BİBER SALÇASI</t>
  </si>
  <si>
    <t>YALÇINKAYA TATLI BİBER SALÇASI</t>
  </si>
  <si>
    <t>YALÇINKAYA DOMATES SALÇASI</t>
  </si>
  <si>
    <t>TÜDAB ACUR TURŞUSU</t>
  </si>
  <si>
    <t>KİRAZ SAPI</t>
  </si>
  <si>
    <t>PUDRA ŞEKERİ</t>
  </si>
  <si>
    <t>TÜDAB TURŞU BİBER</t>
  </si>
  <si>
    <t>HİNT KINASI KAHVERENGİ (TEKLİ SATILACAK - 6 ADET)</t>
  </si>
  <si>
    <t>HİNT KINASI KESTANE  (TEKLİ SATILACAK - 6 ADET)</t>
  </si>
  <si>
    <t>HİNT KINASI KIZIL  (TEKLİ SATILACAK - 6 ADET)</t>
  </si>
  <si>
    <t>HİNT KINASI SARI  (TEKLİ SATILACAK - 6 ADET)</t>
  </si>
  <si>
    <t>PASTANE</t>
  </si>
  <si>
    <t>BİZİM YAPRAK 1 LİK</t>
  </si>
  <si>
    <t>CEVİZLİ SUCUK ATOM (SARI)</t>
  </si>
  <si>
    <t>KINA TÜP KIZIL</t>
  </si>
  <si>
    <t>KINA TÜP SİYAH</t>
  </si>
  <si>
    <t>ÖZBEK ÜZÜMÜ</t>
  </si>
  <si>
    <t>FT00000000006</t>
  </si>
  <si>
    <t>FT00000000007</t>
  </si>
  <si>
    <t>ST00000000136</t>
  </si>
  <si>
    <t>ST00000000137</t>
  </si>
  <si>
    <t>ST00000000138</t>
  </si>
  <si>
    <t>ST00000000139</t>
  </si>
  <si>
    <t>ST00000000140</t>
  </si>
  <si>
    <t>ST00000000141</t>
  </si>
  <si>
    <t>ST00000000142</t>
  </si>
  <si>
    <t>ST00000000143</t>
  </si>
  <si>
    <t>ST00000000144</t>
  </si>
  <si>
    <t>ST00000000145</t>
  </si>
  <si>
    <t>ST00000000146</t>
  </si>
  <si>
    <t>ST00000000147</t>
  </si>
  <si>
    <t>ST00000000148</t>
  </si>
  <si>
    <t>ST00000000149</t>
  </si>
  <si>
    <t>ST00000000150</t>
  </si>
  <si>
    <t>LOKUM SADE - TB</t>
  </si>
  <si>
    <t>LOKUM KARIŞIK - TB</t>
  </si>
  <si>
    <t>ST00000000151</t>
  </si>
  <si>
    <t>ST00000000152</t>
  </si>
  <si>
    <t>ST00000000153</t>
  </si>
  <si>
    <t>ST00000000154</t>
  </si>
  <si>
    <t>ST00000000155</t>
  </si>
  <si>
    <t>ST00000000156</t>
  </si>
  <si>
    <t>ST00000000157</t>
  </si>
  <si>
    <t>ST00000000158</t>
  </si>
  <si>
    <t>ST00000000159</t>
  </si>
  <si>
    <t>ST00000000160</t>
  </si>
  <si>
    <t>ST00000000161</t>
  </si>
  <si>
    <t>ST00000000162</t>
  </si>
  <si>
    <t>ST00000000163</t>
  </si>
  <si>
    <t>KARIŞIK KURUYEMİŞ</t>
  </si>
  <si>
    <t>TÜDAB TURŞU 4.500 GR</t>
  </si>
  <si>
    <t>ST00000000164</t>
  </si>
  <si>
    <t>ST00000000165</t>
  </si>
  <si>
    <t>ST00000000166</t>
  </si>
  <si>
    <t>ST00000000167</t>
  </si>
  <si>
    <t>ST00000000168</t>
  </si>
  <si>
    <t>ST00000000169</t>
  </si>
  <si>
    <t>ST00000000170</t>
  </si>
  <si>
    <t>ST00000000171</t>
  </si>
  <si>
    <t>ST00000000172</t>
  </si>
  <si>
    <t>ST00000000173</t>
  </si>
  <si>
    <t>ST00000000174</t>
  </si>
  <si>
    <t>GENÇLEBİ ÇAKILTAŞI DRAJE</t>
  </si>
  <si>
    <t>KAJU 240 LIK EKSTRA</t>
  </si>
  <si>
    <t>LAHANA TURŞUSU 5 KG</t>
  </si>
  <si>
    <t>ST00000000175</t>
  </si>
  <si>
    <t>TÜDAB KARIŞIK TURŞU</t>
  </si>
  <si>
    <t>ST00000000176</t>
  </si>
  <si>
    <t>ST00000000177</t>
  </si>
  <si>
    <t>ST00000000178</t>
  </si>
  <si>
    <t>ST00000000179</t>
  </si>
  <si>
    <t>ST00000000180</t>
  </si>
  <si>
    <t>ST00000000181</t>
  </si>
  <si>
    <t>ST00000000182</t>
  </si>
  <si>
    <t>MAL İADE</t>
  </si>
  <si>
    <t>IA00000000001</t>
  </si>
  <si>
    <t>IA00000000002</t>
  </si>
  <si>
    <t>ST00000000183</t>
  </si>
  <si>
    <t>ST00000000184</t>
  </si>
  <si>
    <t>EAR2025000015</t>
  </si>
  <si>
    <t>INT20250000003522</t>
  </si>
  <si>
    <t>YLC2025000000101</t>
  </si>
  <si>
    <t>YALÇINTAT BAHARAT GIDA SAN</t>
  </si>
  <si>
    <t>üretim</t>
  </si>
  <si>
    <t>ST00000000185</t>
  </si>
  <si>
    <t>ST00000000186</t>
  </si>
  <si>
    <t>ST00000000187</t>
  </si>
  <si>
    <t>YOL GİDERİ - BELEDİYE RUHSAT İŞLERİ</t>
  </si>
  <si>
    <t>VERGİ VE HARÇLAR</t>
  </si>
  <si>
    <t>BELEDİYE - TABELA VERGİSİ</t>
  </si>
  <si>
    <t>BELEDİYE - ÇTV</t>
  </si>
  <si>
    <t>TATBAK MAĞAZA LTD.</t>
  </si>
  <si>
    <t>ST00000000188</t>
  </si>
  <si>
    <t>ST00000000189</t>
  </si>
  <si>
    <t>KINA RGS DÖKME</t>
  </si>
  <si>
    <t>ST00000000190</t>
  </si>
  <si>
    <t>ST00000000191</t>
  </si>
  <si>
    <t>ST00000000192</t>
  </si>
  <si>
    <t>ST00000000193</t>
  </si>
  <si>
    <t>ST00000000194</t>
  </si>
  <si>
    <t>ST00000000195</t>
  </si>
  <si>
    <t>ST00000000196</t>
  </si>
  <si>
    <t>ST00000000197</t>
  </si>
  <si>
    <t>ST00000000198</t>
  </si>
  <si>
    <t>ST00000000199</t>
  </si>
  <si>
    <t>CEVİZLİ SUCUK ATOM (ESMER)</t>
  </si>
  <si>
    <t>LEBLEBİ ŞEKER RENKLİ</t>
  </si>
  <si>
    <t>PATLAK MISIR</t>
  </si>
  <si>
    <t>TUZLU FISTIK DUBLE</t>
  </si>
  <si>
    <t>TUZSUZ FISTIK 1 NO</t>
  </si>
  <si>
    <t>BUĞDAY NİŞASTASI</t>
  </si>
  <si>
    <t>FT00000000008</t>
  </si>
  <si>
    <t>KAJUN BAHARATI - CAJUN SEASONING 1000 GR</t>
  </si>
  <si>
    <t>LEBLEBİ ŞEKERİ - REKLİ</t>
  </si>
  <si>
    <t>KABAK ÇEKİRDEĞİ - NEVŞEHİR</t>
  </si>
  <si>
    <t>TR-46-K-015522</t>
  </si>
  <si>
    <t>SAVAŞ ABAKAY GIDA LTD.</t>
  </si>
  <si>
    <t>KARACASU KARAZİYARET MAH. 81004. SK. NO:10/B DULKADİROĞLU/K.MARAŞ</t>
  </si>
  <si>
    <t>TR-34-K-135574</t>
  </si>
  <si>
    <t>ER SA GIDA KURUYEMİŞ</t>
  </si>
  <si>
    <t>İKİTELLİ OSB SEFAKÖY SAN. SİT. 16. BLOK NOç15/16 BAŞAKŞEHİR/İSTANBUL</t>
  </si>
  <si>
    <t>TR-20-K-001833</t>
  </si>
  <si>
    <t>TR-34-K-089145</t>
  </si>
  <si>
    <t>MNA NUT KURUYEMİŞÇİLİK LTD.</t>
  </si>
  <si>
    <t>KOCATEPE MAH. MEGA CENTER GIDA SİTESİ C-7 BLOK NO:57 BAYRAMPAŞA / İST</t>
  </si>
  <si>
    <t>ST00000000200</t>
  </si>
  <si>
    <t>SARIBELEN IŞGIN KÖKÜ SİRKESİ 500 ML</t>
  </si>
  <si>
    <t>ZÜHRE ANA KİDS OMEGA 3 BALIK YAĞI ŞURUBU 150 ML</t>
  </si>
  <si>
    <t>NUTRAXİN MAGNEZYUM COMPLEX 60 TABLET 125 MG</t>
  </si>
  <si>
    <t>NUTRAXİN BROMELAİN 500 MG 60 TABLET</t>
  </si>
  <si>
    <t>NUTRAXİN BROMELAİN FORTE 750 MG 60 TABLET</t>
  </si>
  <si>
    <t>İCOLLAGEN KOLAJEN VE PROBİYOTİK 60 TABLET</t>
  </si>
  <si>
    <t>COLLAGEN FORTE PLATİNUM OMEGA 3 90 SOFT JEL</t>
  </si>
  <si>
    <t>ÇİNKOPAST PORTAKALLI PASTİL 12 ADET</t>
  </si>
  <si>
    <t>CLASY CARE AYAK VE TOPUK ÇATLAK KREMİ 100 ML</t>
  </si>
  <si>
    <t>ORNATE KARINCA YUMURTASI TÜY DÖKÜCÜ KREM 150 ML</t>
  </si>
  <si>
    <t>ZÜHRE ANA L-CARNİTİNE DESTEKLİ FORM MACUNU - 240 GR</t>
  </si>
  <si>
    <t>ERBATAB MAGNEZYUM 3 LÜ FORM (BİSGLİSİNAT, SİTRAT, MALAT) &amp; VİTAMİN B2 , B3 , B6 - 60 KAPSÜL</t>
  </si>
  <si>
    <t>ERBATAB VİTAMİN B12- FOLİK ASİT B9-METİLKOBALAMİN-METİLFOLAT</t>
  </si>
  <si>
    <t>ERBATAB LUGOL İYOT %2 SIVI TAKVİYE 20 ML TİROİD FONKSİYONUNU DESTEKLEYEN FORMÜL</t>
  </si>
  <si>
    <t>ERBATAB VİTAMİN D3 K2 2'Sİ 1 ARADA DAMLA - D3K2</t>
  </si>
  <si>
    <t>ERBATAB VİTAMİN D3 KİDS 20 ML 400 IU DAMLA</t>
  </si>
  <si>
    <t>ERBATAB DEMİR VİTAMİN 30 KAPSÜL</t>
  </si>
  <si>
    <t>AÇIK KAYISI İRİ (SARI)</t>
  </si>
  <si>
    <t>DENİZ TAHİNLİ PİŞMANİYE</t>
  </si>
  <si>
    <t>DENİZ ÇİKOLATA KAPLAMALI PİŞMANİYE</t>
  </si>
  <si>
    <t>DENİZ VANİLYALI PİŞMANİYE</t>
  </si>
  <si>
    <t>ST00000000201</t>
  </si>
  <si>
    <t>ST00000000202</t>
  </si>
  <si>
    <t>ST00000000203</t>
  </si>
  <si>
    <t>ST00000000204</t>
  </si>
  <si>
    <t>ST00000000205</t>
  </si>
  <si>
    <t>ST00000000206</t>
  </si>
  <si>
    <t>FT00000000009</t>
  </si>
  <si>
    <t>FT00000000010</t>
  </si>
  <si>
    <t>FT00000000011</t>
  </si>
  <si>
    <t>FT00000000012</t>
  </si>
  <si>
    <t>HB</t>
  </si>
  <si>
    <t>KIRTASİYE GİDERİ</t>
  </si>
  <si>
    <t>FT00000000013</t>
  </si>
  <si>
    <t>HB-MT OFİS KIRTASİYE - RAF ETİKETİ - 400 MİCRON PVC 38x100 100 ADET</t>
  </si>
  <si>
    <t>FT00000000014</t>
  </si>
  <si>
    <t>TR-PACHTECH 30 CM POŞET AĞZI KAPAMA YAPIŞTIRMA MAKİNASI</t>
  </si>
  <si>
    <t>ZÜHRE ANA KOZALAK MACUNU - ÇAM KOZALAĞI 240 GR</t>
  </si>
  <si>
    <t>ZÜHRE ANA PROPOLİS MACUNU 240 GR</t>
  </si>
  <si>
    <t>ZÜHRE ANA KARADUT ÖZÜ 670 GR</t>
  </si>
  <si>
    <t>ZÜHRE ANA BROMELAİN ANANAS İÇEREN DETOX ŞURUBU 250 ML</t>
  </si>
  <si>
    <t>FT00000000015</t>
  </si>
  <si>
    <t>TR</t>
  </si>
  <si>
    <t>FT00000000016</t>
  </si>
  <si>
    <t>ZÜHRE ANA SULTAN MACUNU 240 GR</t>
  </si>
  <si>
    <t>ZÜHRE ANA DİYABETİK KOZALAK MACUNU - ÇAM KOZALAĞI 240 GR</t>
  </si>
  <si>
    <t>BALPARMAK YAYLA VE OVA ÇİÇEK BALI 850 GR</t>
  </si>
  <si>
    <t>FT00000000017</t>
  </si>
  <si>
    <t>FT00000000018</t>
  </si>
  <si>
    <t>FT00000000019</t>
  </si>
  <si>
    <t>FT00000000020</t>
  </si>
  <si>
    <t>FT00000000021</t>
  </si>
  <si>
    <t>TR - RULO ETİKETLER</t>
  </si>
  <si>
    <t>HAPPY LİFE NAR EKŞİSİ 250 ML</t>
  </si>
  <si>
    <t>TOPLAM</t>
  </si>
  <si>
    <t>ZÜHRE ANA IŞGIN SİRKESİ 500 ML</t>
  </si>
  <si>
    <t>ZÜHRE ANA ANANAS SİRKESİ 500 ML</t>
  </si>
  <si>
    <t>ZÜHRE ANA HURMA ÖZÜ 350 GR</t>
  </si>
  <si>
    <t>FT00000000022</t>
  </si>
  <si>
    <t>FT00000000023</t>
  </si>
  <si>
    <t>FT00000000024</t>
  </si>
  <si>
    <t>TR - KARGO BEDELİ</t>
  </si>
  <si>
    <t>FT00000000025</t>
  </si>
  <si>
    <t>FT00000000026</t>
  </si>
  <si>
    <t>FT00000000027</t>
  </si>
  <si>
    <t>FT00000000028</t>
  </si>
  <si>
    <t>FT00000000029</t>
  </si>
  <si>
    <t>FT00000000030</t>
  </si>
  <si>
    <t>FT00000000031</t>
  </si>
  <si>
    <t>ST00000000207</t>
  </si>
  <si>
    <t>ST00000000208</t>
  </si>
  <si>
    <t>ST00000000209</t>
  </si>
  <si>
    <t>ST00000000210</t>
  </si>
  <si>
    <t>ST00000000211</t>
  </si>
  <si>
    <t>ST00000000212</t>
  </si>
  <si>
    <t>ST00000000213</t>
  </si>
  <si>
    <t>ST00000000214</t>
  </si>
  <si>
    <t>ST00000000215</t>
  </si>
  <si>
    <t>ST00000000216</t>
  </si>
  <si>
    <t>ST00000000217</t>
  </si>
  <si>
    <t>ST00000000218</t>
  </si>
  <si>
    <t>BİM</t>
  </si>
  <si>
    <t>HAKMAR</t>
  </si>
  <si>
    <t>07-09 STOPAJ</t>
  </si>
  <si>
    <t>N11</t>
  </si>
  <si>
    <t>ZÜHRE ANA KİDS ARI SÜTÜ PEKMEZ BAL MACUN 240 GR</t>
  </si>
  <si>
    <t>FT00000000032</t>
  </si>
  <si>
    <t>FT00000000033</t>
  </si>
  <si>
    <t>FT00000000034</t>
  </si>
  <si>
    <t>FT00000000035</t>
  </si>
  <si>
    <t>FT00000000036</t>
  </si>
  <si>
    <t>FT00000000037</t>
  </si>
  <si>
    <t>TB</t>
  </si>
  <si>
    <t>05374336509 - MAHALLE</t>
  </si>
  <si>
    <t>ST00000000219</t>
  </si>
  <si>
    <t>ST00000000220</t>
  </si>
  <si>
    <t>ST00000000221</t>
  </si>
  <si>
    <t>ST00000000222</t>
  </si>
  <si>
    <t>ST00000000223</t>
  </si>
  <si>
    <t>ST00000000224</t>
  </si>
  <si>
    <t>ST00000000225</t>
  </si>
  <si>
    <t>ST00000000226</t>
  </si>
  <si>
    <t>ST00000000227</t>
  </si>
  <si>
    <t>ST00000000228</t>
  </si>
  <si>
    <t>GÜLSUYU LÜKS</t>
  </si>
  <si>
    <t>ÇÖREKOTU YAĞI 250 CC</t>
  </si>
  <si>
    <t>ÜZÜM ÇEKİRDEĞİ YAĞI 50 CC</t>
  </si>
  <si>
    <t>KETEN TOHUMU YAĞI 50 CC</t>
  </si>
  <si>
    <t>GLİSERİN 50 CC</t>
  </si>
  <si>
    <t>ÇAM TEREBENTİN 50 CC</t>
  </si>
  <si>
    <t>SUSAM YAĞI 50 CC</t>
  </si>
  <si>
    <t>ÇÖREKOTU YAĞI 50 CC</t>
  </si>
  <si>
    <t>KANTARON YAĞI 50 CC</t>
  </si>
  <si>
    <t>TATLI BADEM YAĞI 50 CC</t>
  </si>
  <si>
    <t>KEKİK YAĞI 10 CC</t>
  </si>
  <si>
    <t>LAVANTA YAĞI 10 CC</t>
  </si>
  <si>
    <t>KARANFİL YAĞI 10 CC</t>
  </si>
  <si>
    <t>BİBERİYE YAĞI 10 CC</t>
  </si>
  <si>
    <t>NANE YAĞI 10 CC</t>
  </si>
  <si>
    <t>ÇAY AĞACI YAĞI 10 CC</t>
  </si>
  <si>
    <t>OKALİPTUS YAĞI 10 CC</t>
  </si>
  <si>
    <t>ADA ÇAYI YAĞI (ACI ELMA YAĞI) 10 CC</t>
  </si>
  <si>
    <t>LİMON YAĞI 20 CC</t>
  </si>
  <si>
    <t>HİNDİSTAN CEVİZİ YAĞI 20 CC</t>
  </si>
  <si>
    <t>HİNT YAĞI 50 CC</t>
  </si>
  <si>
    <t>GENÇAY BAHARAT - İSMAİL MAHMUT GENÇAY</t>
  </si>
  <si>
    <t>harun</t>
  </si>
  <si>
    <t>ST00000000229</t>
  </si>
  <si>
    <t>ST00000000230</t>
  </si>
  <si>
    <t>KUŞBURNU - KIRMIZI</t>
  </si>
  <si>
    <t>ST00000000231</t>
  </si>
  <si>
    <t>DERMA KABAK YÜZ &amp; BANYO LİFİ</t>
  </si>
  <si>
    <t>MİX NANE LİMON ÇAYI</t>
  </si>
  <si>
    <t xml:space="preserve">NAHİTA SUMAK EKŞİSİ </t>
  </si>
  <si>
    <t>FT00000000053</t>
  </si>
  <si>
    <t>FT00000000054</t>
  </si>
  <si>
    <t>ST00000000232</t>
  </si>
  <si>
    <t>ST00000000233</t>
  </si>
  <si>
    <t>ST00000000234</t>
  </si>
  <si>
    <t>YUVARLAMA</t>
  </si>
  <si>
    <t>FARK</t>
  </si>
  <si>
    <t>ST00000000235</t>
  </si>
  <si>
    <t>ST00000000236</t>
  </si>
  <si>
    <t>İSMİ</t>
  </si>
  <si>
    <t>YALÇINTAT BAHARAT GIDA LTD.</t>
  </si>
  <si>
    <t>MEHMET DAŞDEMİR - K.K.</t>
  </si>
  <si>
    <t>ST00000000237</t>
  </si>
  <si>
    <t>ST00000000238</t>
  </si>
  <si>
    <t>ST00000000239</t>
  </si>
  <si>
    <t>ST00000000240</t>
  </si>
  <si>
    <t>ST00000000241</t>
  </si>
  <si>
    <t>ST00000000242</t>
  </si>
  <si>
    <t>ST00000000243</t>
  </si>
  <si>
    <t>ST00000000244</t>
  </si>
  <si>
    <t>ST00000000245</t>
  </si>
  <si>
    <t>ST00000000246</t>
  </si>
  <si>
    <t>ST00000000247</t>
  </si>
  <si>
    <t>ST00000000248</t>
  </si>
  <si>
    <t>ST00000000249</t>
  </si>
  <si>
    <t>ST00000000250</t>
  </si>
  <si>
    <t>ST00000000251</t>
  </si>
  <si>
    <t>ST00000000252</t>
  </si>
  <si>
    <t>ST00000000253</t>
  </si>
  <si>
    <t>ST00000000254</t>
  </si>
  <si>
    <t>ST00000000255</t>
  </si>
  <si>
    <t>ST00000000256</t>
  </si>
  <si>
    <t>ST00000000257</t>
  </si>
  <si>
    <t>ST00000000258</t>
  </si>
  <si>
    <t>ST00000000259</t>
  </si>
  <si>
    <t>ST00000000260</t>
  </si>
  <si>
    <t>ST00000000261</t>
  </si>
  <si>
    <t>ST00000000262</t>
  </si>
  <si>
    <t>ST00000000263</t>
  </si>
  <si>
    <t>ST00000000264</t>
  </si>
  <si>
    <t>ST00000000265</t>
  </si>
  <si>
    <t>ST00000000266</t>
  </si>
  <si>
    <t>ST00000000267</t>
  </si>
  <si>
    <t>ST00000000268</t>
  </si>
  <si>
    <t>ST00000000269</t>
  </si>
  <si>
    <t>ST00000000270</t>
  </si>
  <si>
    <t>ST00000000271</t>
  </si>
  <si>
    <t>MISIR UNU</t>
  </si>
  <si>
    <t>TÜDAB DUT PEKMEZİ 800 GR</t>
  </si>
  <si>
    <t>TÜDAB ÜZÜM PEKMEZİ 800 GR</t>
  </si>
  <si>
    <t>ST00000000272</t>
  </si>
  <si>
    <t>ST00000000273</t>
  </si>
  <si>
    <t>ST00000000274</t>
  </si>
  <si>
    <t>ST00000000275</t>
  </si>
  <si>
    <t>ST00000000276</t>
  </si>
  <si>
    <t>ST00000000277</t>
  </si>
  <si>
    <t>ST00000000278</t>
  </si>
  <si>
    <t>ST00000000279</t>
  </si>
  <si>
    <t>ST00000000280</t>
  </si>
  <si>
    <t>ST00000000281</t>
  </si>
  <si>
    <t>ST00000000282</t>
  </si>
  <si>
    <t>ST00000000283</t>
  </si>
  <si>
    <t>ST00000000284</t>
  </si>
  <si>
    <t>ST00000000285</t>
  </si>
  <si>
    <t>FT00000000055</t>
  </si>
  <si>
    <t>ST00000000286</t>
  </si>
  <si>
    <t>TALA KARINCA YUMURTASI YAĞI 20 ML</t>
  </si>
  <si>
    <t>FT00000000056</t>
  </si>
  <si>
    <t>BİRİM ADET/KG</t>
  </si>
  <si>
    <t>BİRİM FİYAT/TL</t>
  </si>
  <si>
    <t>CARİ 
ALACAK</t>
  </si>
  <si>
    <t>CARİ 
BORÇ</t>
  </si>
  <si>
    <t>CARİ ÖDEME</t>
  </si>
  <si>
    <t>TÜDAB A.Ş. - ÖDEME</t>
  </si>
  <si>
    <t>GENÇAY BAHARAT - ÖDEME</t>
  </si>
  <si>
    <t>KREDİ KARTI ÖDEME</t>
  </si>
  <si>
    <t>TFK-POS</t>
  </si>
  <si>
    <t>Toplam CARİ 
BORÇ</t>
  </si>
  <si>
    <t>Toplam CARİ 
ALACAK</t>
  </si>
  <si>
    <t>KASA 
GİRİŞ</t>
  </si>
  <si>
    <t>KASA 
ÇIKIŞ</t>
  </si>
  <si>
    <t>Toplam KASA 
GİRİŞ</t>
  </si>
  <si>
    <t>Toplam KASA 
ÇIKIŞ</t>
  </si>
  <si>
    <t>MUHTELİF MÜŞTERİ</t>
  </si>
  <si>
    <t>ST00000000287</t>
  </si>
  <si>
    <t>ST00000000288</t>
  </si>
  <si>
    <t>ST00000000289</t>
  </si>
  <si>
    <t>ST00000000290</t>
  </si>
  <si>
    <t>ST00000000291</t>
  </si>
  <si>
    <t>ST00000000292</t>
  </si>
  <si>
    <t>ST00000000293</t>
  </si>
  <si>
    <t>ST00000000294</t>
  </si>
  <si>
    <t>ST00000000295</t>
  </si>
  <si>
    <t>ST00000000296</t>
  </si>
  <si>
    <t>ST00000000297</t>
  </si>
  <si>
    <t>ST00000000298</t>
  </si>
  <si>
    <t>ST00000000299</t>
  </si>
  <si>
    <t>ST00000000300</t>
  </si>
  <si>
    <t>FATURA GİDERLERİ</t>
  </si>
  <si>
    <t>ELEKTRİK FATURASI - EYLÜL</t>
  </si>
  <si>
    <t>ELEKTRİK FATURASI - EKİM</t>
  </si>
  <si>
    <t>POS ÇÖZÜMÜ</t>
  </si>
  <si>
    <t>KDV ÖDEME - ON NUMARA</t>
  </si>
  <si>
    <t>GEÇİCİ VERGİ ÖDEME - ON NUMARA</t>
  </si>
  <si>
    <t>ST00000000301</t>
  </si>
  <si>
    <t>ST00000000302</t>
  </si>
  <si>
    <t>ST00000000303</t>
  </si>
  <si>
    <t>ST00000000304</t>
  </si>
  <si>
    <t>ST00000000305</t>
  </si>
  <si>
    <t>ST00000000306</t>
  </si>
  <si>
    <t>ST00000000307</t>
  </si>
  <si>
    <t>ST00000000308</t>
  </si>
  <si>
    <t>ST00000000309</t>
  </si>
  <si>
    <t>SATIŞ - ADM</t>
  </si>
  <si>
    <t>ST00000000310</t>
  </si>
  <si>
    <t>ST00000000311</t>
  </si>
  <si>
    <t>ST00000000312</t>
  </si>
  <si>
    <t>ST00000000313</t>
  </si>
  <si>
    <t>ST00000000314</t>
  </si>
  <si>
    <t>ST00000000315</t>
  </si>
  <si>
    <t>ST00000000316</t>
  </si>
  <si>
    <t>ST00000000317</t>
  </si>
  <si>
    <t>ST00000000318</t>
  </si>
  <si>
    <t>ST00000000319</t>
  </si>
  <si>
    <t>ST00000000320</t>
  </si>
  <si>
    <t>ST00000000321</t>
  </si>
  <si>
    <t>ST00000000322</t>
  </si>
  <si>
    <t>ST00000000323</t>
  </si>
  <si>
    <t>ST00000000324</t>
  </si>
  <si>
    <t>Eki</t>
  </si>
  <si>
    <t>BALTEK PROPOLİS EKSTRESİ 35 ML</t>
  </si>
  <si>
    <t>TÜDAB ZEYTİNYAĞLI KUDRET NARI</t>
  </si>
  <si>
    <t>İĞDE ÇEKİRDEĞİ TOZU</t>
  </si>
  <si>
    <t>FT00000000057</t>
  </si>
  <si>
    <t>ST00000000325</t>
  </si>
  <si>
    <t>ST00000000326</t>
  </si>
  <si>
    <t>ST00000000327</t>
  </si>
  <si>
    <t>ST00000000328</t>
  </si>
  <si>
    <t>ST00000000329</t>
  </si>
  <si>
    <t>ST00000000330</t>
  </si>
  <si>
    <t>ST00000000331</t>
  </si>
  <si>
    <t>ST00000000332</t>
  </si>
  <si>
    <t>ST00000000333</t>
  </si>
  <si>
    <t>ST00000000334</t>
  </si>
  <si>
    <t>ST00000000335</t>
  </si>
  <si>
    <t>ST00000000336</t>
  </si>
  <si>
    <t>ST00000000337</t>
  </si>
  <si>
    <t>ST00000000338</t>
  </si>
  <si>
    <t>ST00000000339</t>
  </si>
  <si>
    <t>ST00000000340</t>
  </si>
  <si>
    <t>ST00000000341</t>
  </si>
  <si>
    <t>ST00000000342</t>
  </si>
  <si>
    <t>ST00000000343</t>
  </si>
  <si>
    <t>ST00000000344</t>
  </si>
  <si>
    <t>ST00000000345</t>
  </si>
  <si>
    <t>ST00000000346</t>
  </si>
  <si>
    <t>ST00000000347</t>
  </si>
  <si>
    <t>ST00000000348</t>
  </si>
  <si>
    <t>ST00000000349</t>
  </si>
  <si>
    <t>ST00000000350</t>
  </si>
  <si>
    <t>ST00000000351</t>
  </si>
  <si>
    <t>ST00000000352</t>
  </si>
  <si>
    <t>ST00000000353</t>
  </si>
  <si>
    <t>ST00000000354</t>
  </si>
  <si>
    <t>ST00000000355</t>
  </si>
  <si>
    <t>ST00000000356</t>
  </si>
  <si>
    <t>ST00000000357</t>
  </si>
  <si>
    <t>ST00000000358</t>
  </si>
  <si>
    <t>ST00000000359</t>
  </si>
  <si>
    <t>ST00000000360</t>
  </si>
  <si>
    <t>ST00000000361</t>
  </si>
  <si>
    <t>ST00000000362</t>
  </si>
  <si>
    <t>ST00000000363</t>
  </si>
  <si>
    <t>ST00000000364</t>
  </si>
  <si>
    <t>ST00000000365</t>
  </si>
  <si>
    <t>ST00000000366</t>
  </si>
  <si>
    <t>ST00000000367</t>
  </si>
  <si>
    <t>ST00000000368</t>
  </si>
  <si>
    <t>KÖFTELİK BULGUR</t>
  </si>
  <si>
    <t>PİLAVLIK BULGUR</t>
  </si>
  <si>
    <t>ST00000000369</t>
  </si>
  <si>
    <t>FT00000000058</t>
  </si>
  <si>
    <t>GELİR</t>
  </si>
  <si>
    <t>TÜDAB A.Ş. - İSKONTO GELİRİ</t>
  </si>
  <si>
    <t>ST00000000370</t>
  </si>
  <si>
    <t>ST00000000371</t>
  </si>
  <si>
    <t>ST00000000372</t>
  </si>
  <si>
    <t>ST00000000373</t>
  </si>
  <si>
    <t>ST00000000374</t>
  </si>
  <si>
    <t>ST00000000375</t>
  </si>
  <si>
    <t>ST00000000376</t>
  </si>
  <si>
    <t>ST00000000377</t>
  </si>
  <si>
    <t>ST00000000378</t>
  </si>
  <si>
    <t>ST00000000379</t>
  </si>
  <si>
    <t>EKİPLER YANGIN GÜVENLİK LTD. - YANGIN TÜPÜ</t>
  </si>
  <si>
    <t>YAĞMUR OFSET - KARTVİZİT</t>
  </si>
  <si>
    <t>KABUKLU CEVİZ (YERLİ)</t>
  </si>
  <si>
    <t>FT00000000059</t>
  </si>
  <si>
    <t>FT00000000060</t>
  </si>
  <si>
    <t>BALIKESİR - ÖMER</t>
  </si>
  <si>
    <t>FT00000000061</t>
  </si>
  <si>
    <t>ST00000000380</t>
  </si>
  <si>
    <t>ST00000000381</t>
  </si>
  <si>
    <t>ST00000000382</t>
  </si>
  <si>
    <t>ST00000000383</t>
  </si>
  <si>
    <t>ST00000000384</t>
  </si>
  <si>
    <t>ST00000000385</t>
  </si>
  <si>
    <t>ST00000000386</t>
  </si>
  <si>
    <t>ST00000000387</t>
  </si>
  <si>
    <t>ST00000000388</t>
  </si>
  <si>
    <t>ST00000000389</t>
  </si>
  <si>
    <t>ST00000000390</t>
  </si>
  <si>
    <t>ST00000000391</t>
  </si>
  <si>
    <t>ST00000000392</t>
  </si>
  <si>
    <t>ST00000000393</t>
  </si>
  <si>
    <t>KIRKLİLİT OTU</t>
  </si>
  <si>
    <t>ZEYTİN YAPĞRAĞI</t>
  </si>
  <si>
    <t>KİNOA</t>
  </si>
  <si>
    <t>ST00000000394</t>
  </si>
  <si>
    <t>ST00000000395</t>
  </si>
  <si>
    <t>ST00000000396</t>
  </si>
  <si>
    <t>Ara</t>
  </si>
  <si>
    <t>ST00000000397</t>
  </si>
  <si>
    <t>ST00000000398</t>
  </si>
  <si>
    <t>ST00000000399</t>
  </si>
  <si>
    <t>ST00000000400</t>
  </si>
  <si>
    <t>BİLAVLIK BULGUR</t>
  </si>
  <si>
    <t>ST00000000401</t>
  </si>
  <si>
    <t>ST00000000402</t>
  </si>
  <si>
    <t>ST00000000403</t>
  </si>
  <si>
    <t>ST00000000404</t>
  </si>
  <si>
    <t>ST00000000405</t>
  </si>
  <si>
    <t>ST00000000406</t>
  </si>
  <si>
    <t>ST00000000407</t>
  </si>
  <si>
    <t>ST00000000408</t>
  </si>
  <si>
    <t>ST00000000409</t>
  </si>
  <si>
    <t>ST00000000410</t>
  </si>
  <si>
    <t>ST00000000411</t>
  </si>
  <si>
    <t>ST00000000412</t>
  </si>
  <si>
    <t>ST00000000413</t>
  </si>
  <si>
    <t>ST00000000414</t>
  </si>
  <si>
    <t>ST00000000415</t>
  </si>
  <si>
    <t>ST00000000416</t>
  </si>
  <si>
    <t>ST00000000417</t>
  </si>
  <si>
    <t>ST00000000418</t>
  </si>
  <si>
    <t>ST00000000420</t>
  </si>
  <si>
    <t>ST00000000421</t>
  </si>
  <si>
    <t>ST00000000422</t>
  </si>
  <si>
    <t>ST00000000423</t>
  </si>
  <si>
    <t>ST00000000424</t>
  </si>
  <si>
    <t>ST00000000425</t>
  </si>
  <si>
    <t>ST00000000426</t>
  </si>
  <si>
    <t>ST00000000427</t>
  </si>
  <si>
    <t>ST00000000428</t>
  </si>
  <si>
    <t>ST00000000429</t>
  </si>
  <si>
    <t>ST00000000430</t>
  </si>
  <si>
    <t>ST00000000431</t>
  </si>
  <si>
    <t>ST00000000432</t>
  </si>
  <si>
    <t>ST00000000433</t>
  </si>
  <si>
    <t>ST00000000434</t>
  </si>
  <si>
    <t>ST00000000435</t>
  </si>
  <si>
    <t>ST00000000436</t>
  </si>
  <si>
    <t>ST00000000437</t>
  </si>
  <si>
    <t>ST00000000438</t>
  </si>
  <si>
    <t>ST00000000439</t>
  </si>
  <si>
    <t>ST00000000440</t>
  </si>
  <si>
    <t>ST00000000441</t>
  </si>
  <si>
    <t>ST00000000442</t>
  </si>
  <si>
    <t>ST00000000443</t>
  </si>
  <si>
    <t>ST00000000444</t>
  </si>
  <si>
    <t>ST00000000445</t>
  </si>
  <si>
    <t>ST00000000446</t>
  </si>
  <si>
    <t>ST00000000447</t>
  </si>
  <si>
    <t>ST00000000448</t>
  </si>
  <si>
    <t>ST00000000449</t>
  </si>
  <si>
    <t>ÇAVUŞOĞLU ÜZÜM PEKMEZİ 1000 GR</t>
  </si>
  <si>
    <t>ST00000000450</t>
  </si>
  <si>
    <t>ST00000000451</t>
  </si>
  <si>
    <t>ST00000000452</t>
  </si>
  <si>
    <t>ST00000000453</t>
  </si>
  <si>
    <t>ST00000000454</t>
  </si>
  <si>
    <t>EMBEAUTY KOLEJAN VE KERATİN SAÇ DÖKÜLMESİNE KARŞI ONARICI DOLGUNLAŞTIRICI ŞAMPUAN 400 ML</t>
  </si>
  <si>
    <t>HARMANA HİNDİBA KAHVESİ 150G 1 AYLIK 60 KULLANIM</t>
  </si>
  <si>
    <t>ST00000000455</t>
  </si>
  <si>
    <t>ST00000000456</t>
  </si>
  <si>
    <t>ST00000000457</t>
  </si>
  <si>
    <t>ST00000000458</t>
  </si>
  <si>
    <t>ST00000000459</t>
  </si>
  <si>
    <t>ST00000000460</t>
  </si>
  <si>
    <t>ST00000000461</t>
  </si>
  <si>
    <t>ST00000000463</t>
  </si>
  <si>
    <t>ST00000000464</t>
  </si>
  <si>
    <t>ST00000000465</t>
  </si>
  <si>
    <t>ST00000000466</t>
  </si>
  <si>
    <t>SATIŞ - ADM2</t>
  </si>
  <si>
    <t>FORTEM AĞRI KESİCİ KREM</t>
  </si>
  <si>
    <t>FORTEM TABLET</t>
  </si>
  <si>
    <t>KİMYON TANE</t>
  </si>
  <si>
    <t>MİGREN TAŞI (MENTHO BOX)</t>
  </si>
  <si>
    <t>TİLAKS ÇAYI</t>
  </si>
  <si>
    <t>FT00000000062</t>
  </si>
  <si>
    <t>FT00000000063</t>
  </si>
  <si>
    <t>FT00000000064</t>
  </si>
  <si>
    <t>FT00000000065</t>
  </si>
  <si>
    <t>FT00000000066</t>
  </si>
  <si>
    <t>SUMAK TANE EKŞİLİ</t>
  </si>
  <si>
    <t>KIRMIZI PUL BİBER TATLI</t>
  </si>
  <si>
    <t>FT00000000067</t>
  </si>
  <si>
    <t>ST00000000467</t>
  </si>
  <si>
    <t>ST00000000468</t>
  </si>
  <si>
    <t>ST00000000469</t>
  </si>
  <si>
    <t>ST00000000470</t>
  </si>
  <si>
    <t>ST00000000471</t>
  </si>
  <si>
    <t>ST00000000472</t>
  </si>
  <si>
    <t>ST00000000473</t>
  </si>
  <si>
    <t>ST00000000474</t>
  </si>
  <si>
    <t>ST00000000475</t>
  </si>
  <si>
    <t>ST00000000476</t>
  </si>
  <si>
    <t>ST00000000477</t>
  </si>
  <si>
    <t>ST00000000478</t>
  </si>
  <si>
    <t>ST00000000479</t>
  </si>
  <si>
    <t>ST00000000480</t>
  </si>
  <si>
    <t>ST00000000481</t>
  </si>
  <si>
    <t>ST00000000482</t>
  </si>
  <si>
    <t>ST00000000483</t>
  </si>
  <si>
    <t>ST00000000484</t>
  </si>
  <si>
    <t>ST00000000485</t>
  </si>
  <si>
    <t>ST00000000486</t>
  </si>
  <si>
    <t>ST00000000487</t>
  </si>
  <si>
    <t>ST00000000488</t>
  </si>
  <si>
    <t>ST00000000489</t>
  </si>
  <si>
    <t>AKGÜNLÜK BAHUR</t>
  </si>
  <si>
    <t>DAĞ İNCİRİ - BE</t>
  </si>
  <si>
    <t>DAĞ İNCİRİ KÜÇÜK - BE</t>
  </si>
  <si>
    <t>SHİFFA HOME ZEYTİNYAĞLI KUDRET NARI 600 MG 10 SOFTJEL KAPSÜL</t>
  </si>
  <si>
    <t>AKSU VİTAL KUDRET NARI EKSTRATLI MACUN 300 GR</t>
  </si>
  <si>
    <t>AKSU VİTAL GİNSENG EKSTRATLI MACUN 300 GR</t>
  </si>
  <si>
    <t>SHİFFA HOME PROCBA ARI SÜTÜ PROPOLİS EKİNEZYA EKSTRESİ ŞURUP 100 ML</t>
  </si>
  <si>
    <t>BAMYA TOHUMU</t>
  </si>
  <si>
    <t>ANASON</t>
  </si>
  <si>
    <t>ST00000000490</t>
  </si>
  <si>
    <t>ST00000000491</t>
  </si>
  <si>
    <t>ST00000000492</t>
  </si>
  <si>
    <t>ST00000000493</t>
  </si>
  <si>
    <t>ST00000000494</t>
  </si>
  <si>
    <t>ST00000000495</t>
  </si>
  <si>
    <t>ST00000000496</t>
  </si>
  <si>
    <t>ST00000000497</t>
  </si>
  <si>
    <t>ST00000000498</t>
  </si>
  <si>
    <t>ST00000000499</t>
  </si>
  <si>
    <t>ST00000000500</t>
  </si>
  <si>
    <t>ST00000000501</t>
  </si>
  <si>
    <t>ST00000000502</t>
  </si>
  <si>
    <t>ST00000000503</t>
  </si>
  <si>
    <t>ST00000000504</t>
  </si>
  <si>
    <t>ST00000000505</t>
  </si>
  <si>
    <t>ST00000000506</t>
  </si>
  <si>
    <t>BENZİN</t>
  </si>
  <si>
    <t>ORNATE KARINCA YUMURTASI 20 ML</t>
  </si>
  <si>
    <t>BİM - KUMTEL ISITICI</t>
  </si>
  <si>
    <t>KDV ÖDEME</t>
  </si>
  <si>
    <t>DAMGA VERGİSİ - YENİ KİRA KONTRATI</t>
  </si>
  <si>
    <t>ST00000000507</t>
  </si>
  <si>
    <t>ST00000000508</t>
  </si>
  <si>
    <t>ST00000000509</t>
  </si>
  <si>
    <t>ST00000000510</t>
  </si>
  <si>
    <t>ST00000000511</t>
  </si>
  <si>
    <t>ST00000000512</t>
  </si>
  <si>
    <t>ST00000000513</t>
  </si>
  <si>
    <t>ST00000000514</t>
  </si>
  <si>
    <t>ST00000000515</t>
  </si>
  <si>
    <t>ST00000000516</t>
  </si>
  <si>
    <t>ST00000000517</t>
  </si>
  <si>
    <t>ST00000000518</t>
  </si>
  <si>
    <t>ST00000000519</t>
  </si>
  <si>
    <t>ST00000000520</t>
  </si>
  <si>
    <t>ST00000000521</t>
  </si>
  <si>
    <t>ST00000000522</t>
  </si>
  <si>
    <t>ST00000000523</t>
  </si>
  <si>
    <t>ST00000000524</t>
  </si>
  <si>
    <t>ST00000000525</t>
  </si>
  <si>
    <t>ST00000000526</t>
  </si>
  <si>
    <t>ST00000000527</t>
  </si>
  <si>
    <t>ST00000000528</t>
  </si>
  <si>
    <t>ST00000000529</t>
  </si>
  <si>
    <t>ST00000000530</t>
  </si>
  <si>
    <t>ST00000000531</t>
  </si>
  <si>
    <t>ST00000000532</t>
  </si>
  <si>
    <t>ST00000000533</t>
  </si>
  <si>
    <t>ST00000000534</t>
  </si>
  <si>
    <t>ST00000000535</t>
  </si>
  <si>
    <t>ST00000000536</t>
  </si>
  <si>
    <t>ST00000000537</t>
  </si>
  <si>
    <t>ST00000000538</t>
  </si>
  <si>
    <t>ST00000000539</t>
  </si>
  <si>
    <t>ST00000000540</t>
  </si>
  <si>
    <t>ST00000000541</t>
  </si>
  <si>
    <t>ST00000000542</t>
  </si>
  <si>
    <t>ST00000000543</t>
  </si>
  <si>
    <t>ST00000000544</t>
  </si>
  <si>
    <t>ST00000000545</t>
  </si>
  <si>
    <t>ST00000000546</t>
  </si>
  <si>
    <t>ST00000000547</t>
  </si>
  <si>
    <t>ANTEP SEVKİYAT</t>
  </si>
  <si>
    <t>ST00000000548</t>
  </si>
  <si>
    <t>ST00000000549</t>
  </si>
  <si>
    <t>GE-MA GIDA TİCARET LTD.ŞTİ.</t>
  </si>
  <si>
    <t>GEMA GIDA - İADE</t>
  </si>
  <si>
    <t>ST00000000550</t>
  </si>
  <si>
    <t>ST00000000551</t>
  </si>
  <si>
    <t>ST00000000552</t>
  </si>
  <si>
    <t>ST00000000553</t>
  </si>
  <si>
    <t>ST00000000554</t>
  </si>
  <si>
    <t>ST00000000555</t>
  </si>
  <si>
    <t>ST00000000556</t>
  </si>
  <si>
    <t>ST00000000557</t>
  </si>
  <si>
    <t>ST00000000558</t>
  </si>
  <si>
    <t>ST00000000559</t>
  </si>
  <si>
    <t>ST00000000560</t>
  </si>
  <si>
    <t>ST00000000561</t>
  </si>
  <si>
    <t>ST00000000562</t>
  </si>
  <si>
    <t>ST00000000563</t>
  </si>
  <si>
    <t>ST00000000564</t>
  </si>
  <si>
    <t>ST00000000565</t>
  </si>
  <si>
    <t>KABAK ÇEKİRDEĞİ YAĞI 50 CC</t>
  </si>
  <si>
    <t>ARGAN YAĞI 10 CC</t>
  </si>
  <si>
    <t>ARDIÇ YAĞI 20 CC</t>
  </si>
  <si>
    <t>ST00000000566</t>
  </si>
  <si>
    <t>ST00000000567</t>
  </si>
  <si>
    <t>ST00000000568</t>
  </si>
  <si>
    <t>ST00000000569</t>
  </si>
  <si>
    <t>ST00000000570</t>
  </si>
  <si>
    <t>ST00000000571</t>
  </si>
  <si>
    <t>ST00000000572</t>
  </si>
  <si>
    <t>ST00000000573</t>
  </si>
  <si>
    <t>YALÇINTAT - ÖDEME</t>
  </si>
  <si>
    <t>TÜDAB - ÖDEME</t>
  </si>
  <si>
    <t>İBRAHİM ÜNLÜ - ÖDEME</t>
  </si>
  <si>
    <t>ST00000000574</t>
  </si>
  <si>
    <t>ST00000000575</t>
  </si>
  <si>
    <t>ST00000000576</t>
  </si>
  <si>
    <t>ST00000000577</t>
  </si>
  <si>
    <t>ST00000000578</t>
  </si>
  <si>
    <t>ST00000000579</t>
  </si>
  <si>
    <t>ST00000000580</t>
  </si>
  <si>
    <t>ST00000000581</t>
  </si>
  <si>
    <t>ST00000000582</t>
  </si>
  <si>
    <t>ST00000000583</t>
  </si>
  <si>
    <t>ST00000000584</t>
  </si>
  <si>
    <t>ST00000000585</t>
  </si>
  <si>
    <t>ST00000000586</t>
  </si>
  <si>
    <t>ST00000000587</t>
  </si>
  <si>
    <t>ST00000000588</t>
  </si>
  <si>
    <t>ST00000000589</t>
  </si>
  <si>
    <t>ST00000000590</t>
  </si>
  <si>
    <t>ST00000000591</t>
  </si>
  <si>
    <t>ST00000000592</t>
  </si>
  <si>
    <t>ST00000000593</t>
  </si>
  <si>
    <t>ST00000000594</t>
  </si>
  <si>
    <t>ST00000000595</t>
  </si>
  <si>
    <t>ST00000000596</t>
  </si>
  <si>
    <t>ST00000000597</t>
  </si>
  <si>
    <t>ST00000000598</t>
  </si>
  <si>
    <t>ST00000000599</t>
  </si>
  <si>
    <t>ST00000000600</t>
  </si>
  <si>
    <t>ST00000000601</t>
  </si>
  <si>
    <t>ST00000000602</t>
  </si>
  <si>
    <t>ST00000000603</t>
  </si>
  <si>
    <t>ST00000000604</t>
  </si>
  <si>
    <t>ST00000000605</t>
  </si>
  <si>
    <t>ST00000000606</t>
  </si>
  <si>
    <t>ST00000000607</t>
  </si>
  <si>
    <t>ST00000000608</t>
  </si>
  <si>
    <t>ST00000000609</t>
  </si>
  <si>
    <t>ST00000000610</t>
  </si>
  <si>
    <t xml:space="preserve">Toplam CARİ </t>
  </si>
  <si>
    <t>ST00000000611</t>
  </si>
  <si>
    <t>ST00000000612</t>
  </si>
  <si>
    <t>ST00000000613</t>
  </si>
  <si>
    <t>ST00000000614</t>
  </si>
  <si>
    <t>ST00000000615</t>
  </si>
  <si>
    <t>AGARTA DİŞ MACUNU</t>
  </si>
  <si>
    <t>AGARTA DİŞ MACUNU - ÇOCUK</t>
  </si>
  <si>
    <t>TARIM KOOP</t>
  </si>
  <si>
    <t>K.K.</t>
  </si>
  <si>
    <t>ZÜHRE ANA ENGİNAR MACUNU</t>
  </si>
  <si>
    <t>ST00000000616</t>
  </si>
  <si>
    <t>ST00000000617</t>
  </si>
  <si>
    <t>ST00000000618</t>
  </si>
  <si>
    <t>ST00000000619</t>
  </si>
  <si>
    <t>NADİR ÇARŞI-SAKLAMA KABI</t>
  </si>
  <si>
    <t>MANİSA YAPRAK 5 KG</t>
  </si>
  <si>
    <t>AFİLİ AMBALAJ - AMBALAJ GİDERİ</t>
  </si>
  <si>
    <t>AFA2025000002065</t>
  </si>
  <si>
    <t>AFA2025000002026</t>
  </si>
  <si>
    <t>AFA2025000001958</t>
  </si>
  <si>
    <t>NADİR ÇARŞI-SAKLAMA KABI - 5 BÜYÜK</t>
  </si>
  <si>
    <t>NADİR ÇARŞI - KÜREK - 3 TANE</t>
  </si>
  <si>
    <t>ST00000000620</t>
  </si>
  <si>
    <t>ST00000000621</t>
  </si>
  <si>
    <t>ST00000000622</t>
  </si>
  <si>
    <t>ST00000000623</t>
  </si>
  <si>
    <t>ST00000000624</t>
  </si>
  <si>
    <t>ST00000000625</t>
  </si>
  <si>
    <t>ST00000000626</t>
  </si>
  <si>
    <t>ST00000000627</t>
  </si>
  <si>
    <t>ST00000000628</t>
  </si>
  <si>
    <t>A101</t>
  </si>
  <si>
    <t>ST00000000629</t>
  </si>
  <si>
    <t>ST00000000630</t>
  </si>
  <si>
    <t>ST00000000631</t>
  </si>
  <si>
    <t>ST00000000632</t>
  </si>
  <si>
    <t>İNCİR KÜÇÜK</t>
  </si>
  <si>
    <t>SERBEND</t>
  </si>
  <si>
    <t>DUT KURUSU ESMER</t>
  </si>
  <si>
    <t>KUDÜS HURMASI</t>
  </si>
  <si>
    <t>SERBEND HURMA</t>
  </si>
  <si>
    <t>SUL2025000000028</t>
  </si>
  <si>
    <t>gençay</t>
  </si>
  <si>
    <t>GENÇAY ALIÇ SİRKESİ 500 CC</t>
  </si>
  <si>
    <t>GENÇAY ELMA SİRKESİ 500 CC</t>
  </si>
  <si>
    <t>GENÇAY KEÇİ BOYNUZU ÖZÜ 675 GR</t>
  </si>
  <si>
    <t>GENÇAY NAR EKŞİSİ 330 GR</t>
  </si>
  <si>
    <t>NAHİTA NAR EKŞİSİ 250 ML</t>
  </si>
  <si>
    <t>FT00000000068</t>
  </si>
  <si>
    <t>FT00000000069</t>
  </si>
  <si>
    <t>MECİTEFENDİ ÇAM TEREBENTİN ŞAMPUANI 400 ML</t>
  </si>
  <si>
    <t>MECİTEFENDİ ISIRGAN ŞAMPUANI 400 ML</t>
  </si>
  <si>
    <t>MECİTEFENDİ BİBERİYE ŞAMPUANI 400 ML</t>
  </si>
  <si>
    <t>MECİTEFENDİ ARDIÇ KATRANI ŞAMPUAN 400 ML</t>
  </si>
  <si>
    <t>MECİTEFENDİ LAVANTA ŞAMPUANI 400 ML</t>
  </si>
  <si>
    <t>MECİTEFENDİ ZEYTİN ŞAMPUAN 400 ML</t>
  </si>
  <si>
    <t>MECİTEFENDİ SARIMSAK ŞAMPUAN 400 ML</t>
  </si>
  <si>
    <t>MECİTEFENDİ BAL ŞAMPUANI 400 ML</t>
  </si>
  <si>
    <t>MECİTEFENDİ DEFNE ŞAMPUANI 400 ML</t>
  </si>
  <si>
    <t>MECİTEFENDİ ORGANİK ARGAN YAĞLI ŞAMPUAN 400 ML</t>
  </si>
  <si>
    <t>MECİTEFENDİ % 100 DOĞAL KAŞ KİRPİK BAKIM YAĞI</t>
  </si>
  <si>
    <t>HİNDİSTAN CEVİZİ YAĞI 150 ML</t>
  </si>
  <si>
    <t>MECİTEFENDİ AT KESTANESİ ÖZLÜ MASAJ KREMİ (90 ML)</t>
  </si>
  <si>
    <t>MECİTEFENDİ MASAJ KREMİ 175 ML</t>
  </si>
  <si>
    <t>MECİTEFENDİ LANOLİN KREMİ (30ML)</t>
  </si>
  <si>
    <t>MECİTEFENDİ AT KESTANESİ ÖZLÜ GÖZ ÇEVRESİ KREMİ (15 ml.)</t>
  </si>
  <si>
    <t>BİBERİYE SUYU SAÇ TONİĞİ (11 BİTKİ EKSTRAKLI) 150 ml</t>
  </si>
  <si>
    <t>BİBERİYE SAÇ BAKIM SERUMU (E-VİTAMİNLİ) 50 ml</t>
  </si>
  <si>
    <t>MECİTEFENDİ BİBERİYE ŞAMPUANI 150 ML</t>
  </si>
  <si>
    <t>PAPATYA SUYU SAÇ TONİĞİ 150 ml</t>
  </si>
  <si>
    <t>LG ENGİNAR SUYU 1 LT</t>
  </si>
  <si>
    <t>LG KEKİK SUYU 1 LT</t>
  </si>
  <si>
    <t>MECİTEFENDİ MİSVAK ÖZLÜ DOĞAL DİŞ MACUNU 75 ml</t>
  </si>
  <si>
    <t>MECİTEFENDİ AKTİF KARBONLU DOĞAL DİŞ MACUNU 75 ml</t>
  </si>
  <si>
    <t>MECİTEFENDİ DOĞAL DUDAK BALMI 15 ml</t>
  </si>
  <si>
    <t>MECİTEFENDİ DOĞAL KİL MASKE-YOSUN (200 ml.)</t>
  </si>
  <si>
    <t>MECİTEFENDİ AYNI SEFA KREMİ 30 ML</t>
  </si>
  <si>
    <t>mecitefendi</t>
  </si>
  <si>
    <t>NAHİTA KOZALAK ŞURUBU 500 ML</t>
  </si>
  <si>
    <t>ST00000000633</t>
  </si>
  <si>
    <t>ST00000000634</t>
  </si>
  <si>
    <t>ST00000000635</t>
  </si>
  <si>
    <t>ST00000000636</t>
  </si>
  <si>
    <t>ST00000000637</t>
  </si>
  <si>
    <t>ST00000000638</t>
  </si>
  <si>
    <t>ST00000000639</t>
  </si>
  <si>
    <t>ST00000000640</t>
  </si>
  <si>
    <t>ST00000000641</t>
  </si>
  <si>
    <t>ST00000000642</t>
  </si>
  <si>
    <t>ST00000000643</t>
  </si>
  <si>
    <t>ST00000000644</t>
  </si>
  <si>
    <t>ST00000000645</t>
  </si>
  <si>
    <t>ST00000000646</t>
  </si>
  <si>
    <t>ST00000000647</t>
  </si>
  <si>
    <t>ST00000000648</t>
  </si>
  <si>
    <t>ST00000000649</t>
  </si>
  <si>
    <t>ST00000000650</t>
  </si>
  <si>
    <t>ST00000000651</t>
  </si>
  <si>
    <t>ST00000000652</t>
  </si>
  <si>
    <t>ST00000000653</t>
  </si>
  <si>
    <t>ST00000000654</t>
  </si>
  <si>
    <t>AŞURELİK BUĞAY İZMİR</t>
  </si>
  <si>
    <t>KABAK LİFLİ ALOEVERA SABUN</t>
  </si>
  <si>
    <t>KABAK LİFLİ KEÇİ SÜTÜ BALLI SABUN</t>
  </si>
  <si>
    <t>KABAK LİFLİ EŞEK SÜTÜ BALLI SABUN</t>
  </si>
  <si>
    <t>KABAK LİFLİ ÇAM ARDIÇ SABUN</t>
  </si>
  <si>
    <t>KABAK LİFLİ PİRİNÇ SABUN</t>
  </si>
  <si>
    <t>KUŞ ÜZÜMÜ</t>
  </si>
  <si>
    <t>FT00000000070</t>
  </si>
  <si>
    <t>ST00000000655</t>
  </si>
  <si>
    <t>ST00000000656</t>
  </si>
  <si>
    <t>ST00000000657</t>
  </si>
  <si>
    <t>ST00000000658</t>
  </si>
  <si>
    <t>CARİ ÖDEME - MD-KUVEYT</t>
  </si>
  <si>
    <t>ST00000000659</t>
  </si>
  <si>
    <t>TR-09-K-035853</t>
  </si>
  <si>
    <t>EGE İNCİ TARIM GIDA LTD.</t>
  </si>
  <si>
    <t>YENİ SANAYİ MAH. 517. SK. BLOK NO:18 NAZİLLİ/AYDIN</t>
  </si>
  <si>
    <t>MEDJOOL HURMASI - KUDÜS HURMASI</t>
  </si>
  <si>
    <t>ÜRDÜN</t>
  </si>
  <si>
    <t>SIMA DATES GIDA ITHALAT LTD.</t>
  </si>
  <si>
    <t>KOCATEPE MH. MEGA CENTER YAĞ İSKELESİ CD. C 40 BLOK 7C/401 BAYRAMPAŞA/İST</t>
  </si>
  <si>
    <t>RUŞUR TAŞI</t>
  </si>
  <si>
    <t>YAŞ ZENCEFİL</t>
  </si>
  <si>
    <t>ST00000000660</t>
  </si>
  <si>
    <t>ST00000000661</t>
  </si>
  <si>
    <t>ST00000000662</t>
  </si>
  <si>
    <t>ST00000000663</t>
  </si>
  <si>
    <t>ST00000000664</t>
  </si>
  <si>
    <t>ST00000000665</t>
  </si>
  <si>
    <t>ST00000000666</t>
  </si>
  <si>
    <t>ST00000000667</t>
  </si>
  <si>
    <t>ST00000000668</t>
  </si>
  <si>
    <t>ST00000000669</t>
  </si>
  <si>
    <t>ST00000000670</t>
  </si>
  <si>
    <t>ST00000000671</t>
  </si>
  <si>
    <t>ST00000000672</t>
  </si>
  <si>
    <t>ST00000000673</t>
  </si>
  <si>
    <t>ST00000000674</t>
  </si>
  <si>
    <t>ST00000000675</t>
  </si>
  <si>
    <t>ST00000000676</t>
  </si>
  <si>
    <t>ST00000000677</t>
  </si>
  <si>
    <t>FTR202500000448</t>
  </si>
  <si>
    <t>MECİTEFENDİ</t>
  </si>
  <si>
    <t>ST00000000678</t>
  </si>
  <si>
    <t>ÜRETİM</t>
  </si>
  <si>
    <t>ÜRETİM ÇIKIŞ</t>
  </si>
  <si>
    <t>KARIŞIK KURUYEMİŞ - ÜRETİM</t>
  </si>
  <si>
    <t>ÜRETİM GİRİŞ</t>
  </si>
  <si>
    <t>ORHAN ABLAK HOCA</t>
  </si>
  <si>
    <t>ST00000000679</t>
  </si>
  <si>
    <t>ST00000000680</t>
  </si>
  <si>
    <t>ST00000000681</t>
  </si>
  <si>
    <t>ST00000000682</t>
  </si>
  <si>
    <t>ST00000000683</t>
  </si>
  <si>
    <t>ST00000000684</t>
  </si>
  <si>
    <t>ST00000000685</t>
  </si>
  <si>
    <t>ST00000000686</t>
  </si>
  <si>
    <t>ST00000000687</t>
  </si>
  <si>
    <t>ST00000000688</t>
  </si>
  <si>
    <t>ST00000000689</t>
  </si>
  <si>
    <t>ST00000000690</t>
  </si>
  <si>
    <t>ST00000000691</t>
  </si>
  <si>
    <t>ST00000000692</t>
  </si>
  <si>
    <t>ST00000000693</t>
  </si>
  <si>
    <t>ST00000000694</t>
  </si>
  <si>
    <t>ST00000000695</t>
  </si>
  <si>
    <t>ST00000000696</t>
  </si>
  <si>
    <t>ST00000000697</t>
  </si>
  <si>
    <t>ST00000000698</t>
  </si>
  <si>
    <t>ST00000000699</t>
  </si>
  <si>
    <t>ST00000000700</t>
  </si>
  <si>
    <t>ST00000000701</t>
  </si>
  <si>
    <t>ST00000000702</t>
  </si>
  <si>
    <t>ST00000000703</t>
  </si>
  <si>
    <t>ST00000000704</t>
  </si>
  <si>
    <t>ST00000000705</t>
  </si>
  <si>
    <t>ST00000000706</t>
  </si>
  <si>
    <t>EL-RUHA ÇAY 800 GR</t>
  </si>
  <si>
    <t>EL-RUHA ÇAY 400 GR</t>
  </si>
  <si>
    <t>EL-RUHA ÇAY (AÇIK)</t>
  </si>
  <si>
    <t>KIRKKLİK OTU (AT KUYRUĞU)</t>
  </si>
  <si>
    <t>ST00000000707</t>
  </si>
  <si>
    <t>ANTEP - NAKLİYE</t>
  </si>
  <si>
    <t>EL-RUHA ÇAY</t>
  </si>
  <si>
    <t>SERMAYE - BORÇ</t>
  </si>
  <si>
    <t>ST00000000708</t>
  </si>
  <si>
    <t>ST00000000709</t>
  </si>
  <si>
    <t>ST00000000710</t>
  </si>
  <si>
    <t>ST00000000711</t>
  </si>
  <si>
    <t>ST00000000712</t>
  </si>
  <si>
    <t>ST00000000713</t>
  </si>
  <si>
    <t>ST00000000714</t>
  </si>
  <si>
    <t>ST00000000715</t>
  </si>
  <si>
    <t>ST00000000716</t>
  </si>
  <si>
    <t>ST00000000717</t>
  </si>
  <si>
    <t>ST00000000718</t>
  </si>
  <si>
    <t>ST00000000719</t>
  </si>
  <si>
    <t>ST00000000720</t>
  </si>
  <si>
    <t>ST00000000721</t>
  </si>
  <si>
    <t>ST00000000722</t>
  </si>
  <si>
    <t>ST00000000723</t>
  </si>
  <si>
    <t>ST00000000724</t>
  </si>
  <si>
    <t>ST00000000725</t>
  </si>
  <si>
    <t>ST00000000726</t>
  </si>
  <si>
    <t>ST00000000727</t>
  </si>
  <si>
    <t>ST00000000728</t>
  </si>
  <si>
    <t>ST00000000729</t>
  </si>
  <si>
    <t>ST00000000730</t>
  </si>
  <si>
    <t>ST00000000731</t>
  </si>
  <si>
    <t>ST00000000732</t>
  </si>
  <si>
    <t>ST00000000733</t>
  </si>
  <si>
    <t>ST00000000734</t>
  </si>
  <si>
    <t>ST00000000735</t>
  </si>
  <si>
    <t>ST00000000736</t>
  </si>
  <si>
    <t>ST00000000737</t>
  </si>
  <si>
    <t>ST00000000738</t>
  </si>
  <si>
    <t>ST00000000739</t>
  </si>
  <si>
    <t>Oca</t>
  </si>
  <si>
    <t>Eyl</t>
  </si>
  <si>
    <t>ST00000000740</t>
  </si>
  <si>
    <t>ST00000000741</t>
  </si>
  <si>
    <t>ST00000000742</t>
  </si>
  <si>
    <t>ST00000000743</t>
  </si>
  <si>
    <t>ST00000000744</t>
  </si>
  <si>
    <t>ST00000000745</t>
  </si>
  <si>
    <t>ST00000000746</t>
  </si>
  <si>
    <t>ST00000000747</t>
  </si>
  <si>
    <t>ST00000000748</t>
  </si>
  <si>
    <t>ST00000000749</t>
  </si>
  <si>
    <t>ST00000000750</t>
  </si>
  <si>
    <t>ST00000000751</t>
  </si>
  <si>
    <t>ST00000000752</t>
  </si>
  <si>
    <t>ST00000000753</t>
  </si>
  <si>
    <t>ST00000000754</t>
  </si>
  <si>
    <t>ST00000000755</t>
  </si>
  <si>
    <t>ST00000000756</t>
  </si>
  <si>
    <t>ST00000000757</t>
  </si>
  <si>
    <t>ST00000000758</t>
  </si>
  <si>
    <t>ST00000000759</t>
  </si>
  <si>
    <t>ST00000000760</t>
  </si>
  <si>
    <t>ST00000000761</t>
  </si>
  <si>
    <t>ST00000000762</t>
  </si>
  <si>
    <t>ST00000000763</t>
  </si>
  <si>
    <t>ST00000000764</t>
  </si>
  <si>
    <t>ST00000000765</t>
  </si>
  <si>
    <t>ST00000000766</t>
  </si>
  <si>
    <t>ST00000000767</t>
  </si>
  <si>
    <t>ST00000000768</t>
  </si>
  <si>
    <t>ST00000000769</t>
  </si>
  <si>
    <t>ST00000000770</t>
  </si>
  <si>
    <t>ST00000000771</t>
  </si>
  <si>
    <t>ST00000000772</t>
  </si>
  <si>
    <t>ST00000000773</t>
  </si>
  <si>
    <t>ST00000000774</t>
  </si>
  <si>
    <t>ST00000000775</t>
  </si>
  <si>
    <t>ST00000000776</t>
  </si>
  <si>
    <t>ST00000000777</t>
  </si>
  <si>
    <t>ST00000000778</t>
  </si>
  <si>
    <t>ST00000000779</t>
  </si>
  <si>
    <t>ST00000000780</t>
  </si>
  <si>
    <t>ST00000000781</t>
  </si>
  <si>
    <t>ST00000000782</t>
  </si>
  <si>
    <t>ST00000000783</t>
  </si>
  <si>
    <t>ST00000000784</t>
  </si>
  <si>
    <t>ST00000000785</t>
  </si>
  <si>
    <t>ST00000000786</t>
  </si>
  <si>
    <t>ST00000000787</t>
  </si>
  <si>
    <t>ST00000000788</t>
  </si>
  <si>
    <t>ST00000000789</t>
  </si>
  <si>
    <t>ST00000000790</t>
  </si>
  <si>
    <t>ST00000000791</t>
  </si>
  <si>
    <t>ST00000000792</t>
  </si>
  <si>
    <t>ST00000000793</t>
  </si>
  <si>
    <t>ST00000000794</t>
  </si>
  <si>
    <t>ST00000000795</t>
  </si>
  <si>
    <t>ST00000000796</t>
  </si>
  <si>
    <t>ST00000000797</t>
  </si>
  <si>
    <t>ST00000000798</t>
  </si>
  <si>
    <t>ST00000000799</t>
  </si>
  <si>
    <t>ST00000000800</t>
  </si>
  <si>
    <t>ST00000000801</t>
  </si>
  <si>
    <t>SATIŞ - SİBEL</t>
  </si>
  <si>
    <t>SATIŞ - LEYLA</t>
  </si>
  <si>
    <t>SATIŞ - FADİME</t>
  </si>
  <si>
    <t>SATIŞ - TEYZE</t>
  </si>
  <si>
    <t>SATIŞ - ANNE</t>
  </si>
  <si>
    <t>ST00000000802</t>
  </si>
  <si>
    <t>ST00000000803</t>
  </si>
  <si>
    <t>SATIŞ - ANNE - EMANET</t>
  </si>
  <si>
    <t>ST00000000804</t>
  </si>
  <si>
    <t>ST00000000805</t>
  </si>
  <si>
    <t>ST00000000806</t>
  </si>
  <si>
    <t>ST00000000807</t>
  </si>
  <si>
    <t>ST00000000808</t>
  </si>
  <si>
    <t>ST00000000809</t>
  </si>
  <si>
    <t>ST00000000810</t>
  </si>
  <si>
    <t>ST00000000811</t>
  </si>
  <si>
    <t>MS 01 DERMA BEBEK BANYO ELDİVENİ</t>
  </si>
  <si>
    <t>MS 02 DERMA ÖRME BANYO &amp; YÜZ LİFİ</t>
  </si>
  <si>
    <t>ST00000000812</t>
  </si>
  <si>
    <t>ST00000000813</t>
  </si>
  <si>
    <t>ST00000000814</t>
  </si>
  <si>
    <t>ST00000000815</t>
  </si>
  <si>
    <t>ST00000000816</t>
  </si>
  <si>
    <t>ST00000000817</t>
  </si>
  <si>
    <t>ST00000000818</t>
  </si>
  <si>
    <t>ST00000000819</t>
  </si>
  <si>
    <t>ST00000000820</t>
  </si>
  <si>
    <t>ST00000000821</t>
  </si>
  <si>
    <t>ST00000000822</t>
  </si>
  <si>
    <t>ST00000000823</t>
  </si>
  <si>
    <t>ST00000000824</t>
  </si>
  <si>
    <t>MANİSA YAPRAK DÖKME</t>
  </si>
  <si>
    <t>MS 05 DERMA RENKLİ BANYO ELDİVEN</t>
  </si>
  <si>
    <t>MS 09 DERMA ÖRME SOPALI SIRT LİFİ</t>
  </si>
  <si>
    <t>MS 12 DERMA KABAK İPLİ KEMER</t>
  </si>
  <si>
    <t>MS 32 DERMA BAMBU YÜZ TEMİZLEME</t>
  </si>
  <si>
    <t>DEVE DİKENİ TOHUMU</t>
  </si>
  <si>
    <t>ISIRGAN YAPRAĞI</t>
  </si>
  <si>
    <t>KARAHALİLE</t>
  </si>
  <si>
    <t>SARIHALİLE</t>
  </si>
  <si>
    <t>DUL AVRAT OTU</t>
  </si>
  <si>
    <t>MAYDANOZ TOHUMU</t>
  </si>
  <si>
    <t>HARDAL TOHUMU</t>
  </si>
  <si>
    <t>ÇAM SAKIZI</t>
  </si>
  <si>
    <t>ÇOBAN ÇÖKERTEN</t>
  </si>
  <si>
    <t>KARAHİNDİBA YAPRAK</t>
  </si>
  <si>
    <t>ÇOBAN ÇANTASI</t>
  </si>
  <si>
    <t>AVAKADO YAPRAĞI</t>
  </si>
  <si>
    <t>ŞAHTERE OTU</t>
  </si>
  <si>
    <t>ACI PELİN OTU</t>
  </si>
  <si>
    <t>TOZ HAVLICAN</t>
  </si>
  <si>
    <t>ST00000000825</t>
  </si>
  <si>
    <t>ST00000000826</t>
  </si>
  <si>
    <t>ST00000000827</t>
  </si>
  <si>
    <t>ST00000000828</t>
  </si>
  <si>
    <t>ST00000000829</t>
  </si>
  <si>
    <t>ST00000000830</t>
  </si>
  <si>
    <t>ST00000000831</t>
  </si>
  <si>
    <t>ST00000000832</t>
  </si>
  <si>
    <t>ST00000000833</t>
  </si>
  <si>
    <t>ST00000000834</t>
  </si>
  <si>
    <t>BHR202600000023</t>
  </si>
  <si>
    <t>GE MA GIDA TİCARET LTD</t>
  </si>
  <si>
    <t>ST00000000835</t>
  </si>
  <si>
    <t>ST00000000836</t>
  </si>
  <si>
    <t>ST00000000837</t>
  </si>
  <si>
    <t>ST00000000838</t>
  </si>
  <si>
    <t>ST00000000839</t>
  </si>
  <si>
    <t>ST00000000840</t>
  </si>
  <si>
    <t>ST00000000841</t>
  </si>
  <si>
    <t>ST00000000842</t>
  </si>
  <si>
    <t>ST00000000843</t>
  </si>
  <si>
    <t>ST00000000844</t>
  </si>
  <si>
    <t>ST00000000845</t>
  </si>
  <si>
    <t>ST00000000846</t>
  </si>
  <si>
    <t>ST00000000847</t>
  </si>
  <si>
    <t>ST00000000848</t>
  </si>
  <si>
    <t>ST00000000849</t>
  </si>
  <si>
    <t>ST00000000850</t>
  </si>
  <si>
    <t>ST00000000851</t>
  </si>
  <si>
    <t>ST00000000852</t>
  </si>
  <si>
    <t>ST00000000853</t>
  </si>
  <si>
    <t>ST00000000854</t>
  </si>
  <si>
    <t>ST00000000855</t>
  </si>
  <si>
    <t>ST00000000856</t>
  </si>
  <si>
    <t>ST00000000857</t>
  </si>
  <si>
    <t>ST00000000858</t>
  </si>
  <si>
    <t>SATIŞ - NİHAT</t>
  </si>
  <si>
    <t>TAKVİYE</t>
  </si>
  <si>
    <t>ST00000000859</t>
  </si>
  <si>
    <t>ST00000000860</t>
  </si>
  <si>
    <t>ST00000000861</t>
  </si>
  <si>
    <t>ST00000000862</t>
  </si>
  <si>
    <t>ST00000000863</t>
  </si>
  <si>
    <t>ST00000000864</t>
  </si>
  <si>
    <t>ST00000000865</t>
  </si>
  <si>
    <t>ST00000000866</t>
  </si>
  <si>
    <t>ST00000000867</t>
  </si>
  <si>
    <t>ST00000000868</t>
  </si>
  <si>
    <t>ST00000000869</t>
  </si>
  <si>
    <t>ST00000000870</t>
  </si>
  <si>
    <t>ST00000000871</t>
  </si>
  <si>
    <t>ST00000000872</t>
  </si>
  <si>
    <t>ST00000000873</t>
  </si>
  <si>
    <t>ST00000000874</t>
  </si>
  <si>
    <t>ST00000000875</t>
  </si>
  <si>
    <t>ST00000000876</t>
  </si>
  <si>
    <t>ST00000000877</t>
  </si>
  <si>
    <t>ST00000000878</t>
  </si>
  <si>
    <t>ST00000000879</t>
  </si>
  <si>
    <t>ST00000000880</t>
  </si>
  <si>
    <t>ST00000000881</t>
  </si>
  <si>
    <t>ST00000000882</t>
  </si>
  <si>
    <t>SATIŞ - MÜMİNE</t>
  </si>
  <si>
    <t>ST00000000883</t>
  </si>
  <si>
    <t>ST00000000884</t>
  </si>
  <si>
    <t>ST00000000885</t>
  </si>
  <si>
    <t>ST00000000886</t>
  </si>
  <si>
    <t>ST00000000887</t>
  </si>
  <si>
    <t>ST00000000888</t>
  </si>
  <si>
    <t>ST00000000889</t>
  </si>
  <si>
    <t>ST00000000890</t>
  </si>
  <si>
    <t>ST00000000891</t>
  </si>
  <si>
    <t>ST00000000892</t>
  </si>
  <si>
    <t>ST00000000893</t>
  </si>
  <si>
    <t>ST00000000894</t>
  </si>
  <si>
    <t>ST00000000895</t>
  </si>
  <si>
    <t>ST00000000896</t>
  </si>
  <si>
    <t>ST00000000897</t>
  </si>
  <si>
    <t>ST00000000898</t>
  </si>
  <si>
    <t>ST00000000899</t>
  </si>
  <si>
    <t>ST00000000900</t>
  </si>
  <si>
    <t>ST00000000901</t>
  </si>
  <si>
    <t>ST00000000902</t>
  </si>
  <si>
    <t>ST00000000903</t>
  </si>
  <si>
    <t>ST00000000904</t>
  </si>
  <si>
    <t>ST00000000905</t>
  </si>
  <si>
    <t>ST00000000906</t>
  </si>
  <si>
    <t>MUHASEBE GİDERİ ÖDEME</t>
  </si>
  <si>
    <t>ST00000000907</t>
  </si>
  <si>
    <t>ST00000000908</t>
  </si>
  <si>
    <t>ST00000000909</t>
  </si>
  <si>
    <t>ST00000000910</t>
  </si>
  <si>
    <t>ST00000000911</t>
  </si>
  <si>
    <t>ST00000000912</t>
  </si>
  <si>
    <t>ST00000000913</t>
  </si>
  <si>
    <t>ST00000000914</t>
  </si>
  <si>
    <t>ST00000000915</t>
  </si>
  <si>
    <t>ST00000000916</t>
  </si>
  <si>
    <t>ST00000000917</t>
  </si>
  <si>
    <t>ST00000000918</t>
  </si>
  <si>
    <t>ST00000000919</t>
  </si>
  <si>
    <t>ST00000000920</t>
  </si>
  <si>
    <t>ST00000000921</t>
  </si>
  <si>
    <t>ST00000000922</t>
  </si>
  <si>
    <t>ST00000000923</t>
  </si>
  <si>
    <t>ST00000000924</t>
  </si>
  <si>
    <t>ST00000000925</t>
  </si>
  <si>
    <t>ST00000000926</t>
  </si>
  <si>
    <t>ST00000000927</t>
  </si>
  <si>
    <t>ST00000000928</t>
  </si>
  <si>
    <t>ST00000000929</t>
  </si>
  <si>
    <t>ST00000000930</t>
  </si>
  <si>
    <t>ST00000000931</t>
  </si>
  <si>
    <t>ST00000000932</t>
  </si>
  <si>
    <t>ST00000000933</t>
  </si>
  <si>
    <t>ST00000000934</t>
  </si>
  <si>
    <t>ST00000000935</t>
  </si>
  <si>
    <t>SATIŞ - NECAT</t>
  </si>
  <si>
    <t>SATIŞ - HÜLYA</t>
  </si>
  <si>
    <t>ST00000000936</t>
  </si>
  <si>
    <t>SATIŞ - TÜLAY</t>
  </si>
  <si>
    <t>ST00000000937</t>
  </si>
  <si>
    <t>SATIŞ - ZAKARİYE</t>
  </si>
  <si>
    <t>ST00000000938</t>
  </si>
  <si>
    <t>ST00000000939</t>
  </si>
  <si>
    <t>ST00000000940</t>
  </si>
  <si>
    <t>SERBEND HURMA - CARİ ÖDEME - MD-KUVEYT</t>
  </si>
  <si>
    <t>TÜDAB A.Ş. - CARİ ÖDEME</t>
  </si>
  <si>
    <t>YALÇINTAT - CARİ ÖDEME</t>
  </si>
  <si>
    <t>ST00000000941</t>
  </si>
  <si>
    <t>ST00000000942</t>
  </si>
  <si>
    <t>ST00000000943</t>
  </si>
  <si>
    <t>ST00000000944</t>
  </si>
  <si>
    <t>ST00000000945</t>
  </si>
  <si>
    <t>ST00000000946</t>
  </si>
  <si>
    <t>ST00000000947</t>
  </si>
  <si>
    <t>ST00000000948</t>
  </si>
  <si>
    <t>ST00000000949</t>
  </si>
  <si>
    <t>ST00000000950</t>
  </si>
  <si>
    <t>ST00000000951</t>
  </si>
  <si>
    <t>ST00000000952</t>
  </si>
  <si>
    <t>ST00000000953</t>
  </si>
  <si>
    <t>ST00000000954</t>
  </si>
  <si>
    <t>ST00000000955</t>
  </si>
  <si>
    <t>ST00000000956</t>
  </si>
  <si>
    <t>ST00000000957</t>
  </si>
  <si>
    <t>ST00000000958</t>
  </si>
  <si>
    <t>ST00000000959</t>
  </si>
  <si>
    <t>ST00000000960</t>
  </si>
  <si>
    <t>YAŞAR SIĞI - EL RUHA ÇAY ÖDEME</t>
  </si>
  <si>
    <t>ST00000000961</t>
  </si>
  <si>
    <t>ST00000000962</t>
  </si>
  <si>
    <t>ST00000000963</t>
  </si>
  <si>
    <t>ST00000000964</t>
  </si>
  <si>
    <t>ST00000000965</t>
  </si>
  <si>
    <t>ST00000000966</t>
  </si>
  <si>
    <t>ST00000000967</t>
  </si>
  <si>
    <t>ST00000000968</t>
  </si>
  <si>
    <t>ST00000000969</t>
  </si>
  <si>
    <t>ST00000000970</t>
  </si>
  <si>
    <t>ST00000000971</t>
  </si>
  <si>
    <t>BANKA GİDERLERİ</t>
  </si>
  <si>
    <t>POS YILLIK GİDERİ</t>
  </si>
  <si>
    <t>ST00000000972</t>
  </si>
  <si>
    <t>ST00000000973</t>
  </si>
  <si>
    <t>ST00000000974</t>
  </si>
  <si>
    <t>ST00000000975</t>
  </si>
  <si>
    <t>ST00000000976</t>
  </si>
  <si>
    <t>ST00000000977</t>
  </si>
  <si>
    <t>ST00000000978</t>
  </si>
  <si>
    <t>ST00000000979</t>
  </si>
  <si>
    <t>ST00000000980</t>
  </si>
  <si>
    <t>ST00000000981</t>
  </si>
  <si>
    <t>ST00000000982</t>
  </si>
  <si>
    <t>ST00000000983</t>
  </si>
  <si>
    <t>ST00000000984</t>
  </si>
  <si>
    <t>ST00000000985</t>
  </si>
  <si>
    <t>ST00000000986</t>
  </si>
  <si>
    <t>ST00000000987</t>
  </si>
  <si>
    <t>ST00000000988</t>
  </si>
  <si>
    <t>ST00000000989</t>
  </si>
  <si>
    <t>ST00000000990</t>
  </si>
  <si>
    <t>ST00000000991</t>
  </si>
  <si>
    <t>ST00000000992</t>
  </si>
  <si>
    <t>ST00000000993</t>
  </si>
  <si>
    <t>ST00000000994</t>
  </si>
  <si>
    <t>ST00000000995</t>
  </si>
  <si>
    <t>ST00000000996</t>
  </si>
  <si>
    <t>ST00000000997</t>
  </si>
  <si>
    <t>ST00000000998</t>
  </si>
  <si>
    <t>ST00000000999</t>
  </si>
  <si>
    <t>ST00000001000</t>
  </si>
  <si>
    <t>ST00000001001</t>
  </si>
  <si>
    <t>ST00000001002</t>
  </si>
  <si>
    <t>ST00000001003</t>
  </si>
  <si>
    <t>ST00000001004</t>
  </si>
  <si>
    <t>ST00000001005</t>
  </si>
  <si>
    <t>ST00000001006</t>
  </si>
  <si>
    <t>ST00000001007</t>
  </si>
  <si>
    <t>ST00000001008</t>
  </si>
  <si>
    <t>ST00000001009</t>
  </si>
  <si>
    <t>ST00000001010</t>
  </si>
  <si>
    <t>ST00000001011</t>
  </si>
  <si>
    <t>ST00000001012</t>
  </si>
  <si>
    <t>ST00000001013</t>
  </si>
  <si>
    <t>ST00000001014</t>
  </si>
  <si>
    <t>ST00000001015</t>
  </si>
  <si>
    <t>ST00000001016</t>
  </si>
  <si>
    <t>ST00000001017</t>
  </si>
  <si>
    <t>ST00000001018</t>
  </si>
  <si>
    <t>ST00000001019</t>
  </si>
  <si>
    <t>ST00000001020</t>
  </si>
  <si>
    <t>ST00000001021</t>
  </si>
  <si>
    <t>ST00000001022</t>
  </si>
  <si>
    <t>ST00000001023</t>
  </si>
  <si>
    <t>ST00000001024</t>
  </si>
  <si>
    <t>ST00000001025</t>
  </si>
  <si>
    <t>MS 11 DERMA KABAK HAVLU ELDİVEN</t>
  </si>
  <si>
    <t>ST00000001026</t>
  </si>
  <si>
    <t>ST00000001027</t>
  </si>
  <si>
    <t>ST00000001028</t>
  </si>
  <si>
    <t>ST00000001029</t>
  </si>
  <si>
    <t>ST00000001030</t>
  </si>
  <si>
    <t>ST00000001031</t>
  </si>
  <si>
    <t>ST00000001032</t>
  </si>
  <si>
    <t>ST00000001033</t>
  </si>
  <si>
    <t>ST00000001034</t>
  </si>
  <si>
    <t>ST00000001035</t>
  </si>
  <si>
    <t>SATIŞ - OĞUZ</t>
  </si>
  <si>
    <t>ST00000001036</t>
  </si>
  <si>
    <t>SATIŞ - STOK DÜZELTME</t>
  </si>
  <si>
    <t>STOPAJ ÖDEME - ON NUMARA</t>
  </si>
  <si>
    <t>ST00000001037</t>
  </si>
  <si>
    <t>ST00000001038</t>
  </si>
  <si>
    <t>ST00000001039</t>
  </si>
  <si>
    <t>ST00000001040</t>
  </si>
  <si>
    <t>ST00000001041</t>
  </si>
  <si>
    <t>ST00000001042</t>
  </si>
  <si>
    <t>ST00000001043</t>
  </si>
  <si>
    <t>ST00000001044</t>
  </si>
  <si>
    <t>GÜLŞAH SAHLEP AROMALI İÇECEK</t>
  </si>
  <si>
    <t>TÜDAB A.Ş. - İADELER</t>
  </si>
  <si>
    <t>SUSAM SİMİTLİK</t>
  </si>
  <si>
    <t>DURMUŞOĞULLARI KATI PEKMEZ TAHTA 700 GR</t>
  </si>
  <si>
    <t>ST00000001045</t>
  </si>
  <si>
    <t>ST00000001046</t>
  </si>
  <si>
    <t>ST00000001047</t>
  </si>
  <si>
    <t>ST00000001048</t>
  </si>
  <si>
    <t>ST00000001049</t>
  </si>
  <si>
    <t>ST00000001050</t>
  </si>
  <si>
    <t>ST00000001051</t>
  </si>
  <si>
    <t>ST00000001052</t>
  </si>
  <si>
    <t>ST00000001053</t>
  </si>
  <si>
    <t>ST00000001054</t>
  </si>
  <si>
    <t>ST00000001055</t>
  </si>
  <si>
    <t>ST00000001056</t>
  </si>
  <si>
    <t>ST00000001057</t>
  </si>
  <si>
    <t>SATIŞ - SUAT</t>
  </si>
  <si>
    <t>ST00000001058</t>
  </si>
  <si>
    <t>ST00000001059</t>
  </si>
  <si>
    <t>ST00000001060</t>
  </si>
  <si>
    <t>ST00000001061</t>
  </si>
  <si>
    <t>ST00000001062</t>
  </si>
  <si>
    <t>ST00000001063</t>
  </si>
  <si>
    <t>ST00000001064</t>
  </si>
  <si>
    <t>ST00000001065</t>
  </si>
  <si>
    <t>ST00000001066</t>
  </si>
  <si>
    <t>ST00000001067</t>
  </si>
  <si>
    <t>ST00000001068</t>
  </si>
  <si>
    <t>Şub</t>
  </si>
  <si>
    <t>SATIŞ - FADİME YENGE</t>
  </si>
  <si>
    <t>SATIŞ - ANNE EMANET</t>
  </si>
  <si>
    <t>SATIŞ - ANNE SİPARİŞ</t>
  </si>
  <si>
    <t>SATIŞ - ZÜBEYDE</t>
  </si>
  <si>
    <t>ST00000001069</t>
  </si>
  <si>
    <t>ST00000001070</t>
  </si>
  <si>
    <t>ST00000001071</t>
  </si>
  <si>
    <t>ST00000001072</t>
  </si>
  <si>
    <t>ST00000001073</t>
  </si>
  <si>
    <t>ST00000001074</t>
  </si>
  <si>
    <t>ST00000001075</t>
  </si>
  <si>
    <t>ST00000001076</t>
  </si>
  <si>
    <t>ST00000001077</t>
  </si>
  <si>
    <t>ST00000001078</t>
  </si>
  <si>
    <t>ST00000001079</t>
  </si>
  <si>
    <t>ST00000001080</t>
  </si>
  <si>
    <t>ST00000001081</t>
  </si>
  <si>
    <t>ST00000001082</t>
  </si>
  <si>
    <t>ST00000001083</t>
  </si>
  <si>
    <t>ST00000001084</t>
  </si>
  <si>
    <t>ST00000001085</t>
  </si>
  <si>
    <t>SATIŞ - MMT</t>
  </si>
  <si>
    <t>BE</t>
  </si>
  <si>
    <t>ST00000001086</t>
  </si>
  <si>
    <t>ST00000001087</t>
  </si>
  <si>
    <t>ST00000001088</t>
  </si>
  <si>
    <t>ST00000001089</t>
  </si>
  <si>
    <t>ST00000001090</t>
  </si>
  <si>
    <t>ST00000001091</t>
  </si>
  <si>
    <t>ST00000001092</t>
  </si>
  <si>
    <t>ST00000001093</t>
  </si>
  <si>
    <t>ST00000001094</t>
  </si>
  <si>
    <t>ST00000001095</t>
  </si>
  <si>
    <t>ST00000001096</t>
  </si>
  <si>
    <t>ST00000001097</t>
  </si>
  <si>
    <t>ST00000001098</t>
  </si>
  <si>
    <t>ST00000001099</t>
  </si>
  <si>
    <t>ST00000001100</t>
  </si>
  <si>
    <t>ST00000001101</t>
  </si>
  <si>
    <t>ST00000001102</t>
  </si>
  <si>
    <t>ST00000001103</t>
  </si>
  <si>
    <t>ST00000001104</t>
  </si>
  <si>
    <t>ST00000001105</t>
  </si>
  <si>
    <t>ST00000001106</t>
  </si>
  <si>
    <t>ST00000001107</t>
  </si>
  <si>
    <t>ST00000001108</t>
  </si>
  <si>
    <t>ST00000001109</t>
  </si>
  <si>
    <t>SATIŞ - ŞÜKRULLAH</t>
  </si>
  <si>
    <t>SATIŞ - AYDIN</t>
  </si>
  <si>
    <t>ST00000001110</t>
  </si>
  <si>
    <t>SATIŞ - TOPTAN - MÜMİNE</t>
  </si>
  <si>
    <t>ST00000001111</t>
  </si>
  <si>
    <t>ST00000001112</t>
  </si>
  <si>
    <t>ST00000001113</t>
  </si>
  <si>
    <t>ST00000001114</t>
  </si>
  <si>
    <t>ST00000001115</t>
  </si>
  <si>
    <t>ST00000001116</t>
  </si>
  <si>
    <t>ST00000001117</t>
  </si>
  <si>
    <t>ST00000001118</t>
  </si>
  <si>
    <t>ST00000001119</t>
  </si>
  <si>
    <t>ST00000001120</t>
  </si>
  <si>
    <t>ST00000001121</t>
  </si>
  <si>
    <t>POS BAKIM ÜCRETİ</t>
  </si>
  <si>
    <t>ST00000001122</t>
  </si>
  <si>
    <t>ST00000001123</t>
  </si>
  <si>
    <t>ST00000001124</t>
  </si>
  <si>
    <t>ST00000001125</t>
  </si>
  <si>
    <t>ST00000001126</t>
  </si>
  <si>
    <t>ST00000001127</t>
  </si>
  <si>
    <t>ST00000001128</t>
  </si>
  <si>
    <t>ST00000001129</t>
  </si>
  <si>
    <t>ST00000001130</t>
  </si>
  <si>
    <t>ST00000001131</t>
  </si>
  <si>
    <t>ST00000001132</t>
  </si>
  <si>
    <t>ST00000001133</t>
  </si>
  <si>
    <t>ST00000001134</t>
  </si>
  <si>
    <t>ST00000001135</t>
  </si>
  <si>
    <t>ST00000001136</t>
  </si>
  <si>
    <t>ST00000001137</t>
  </si>
  <si>
    <t>ST00000001138</t>
  </si>
  <si>
    <t>ST00000001139</t>
  </si>
  <si>
    <t>ST00000001140</t>
  </si>
  <si>
    <t>ST00000001141</t>
  </si>
  <si>
    <t>ST00000001142</t>
  </si>
  <si>
    <t>ST00000001143</t>
  </si>
  <si>
    <t>TR-20-K-010756</t>
  </si>
  <si>
    <t>ST00000001144</t>
  </si>
  <si>
    <t>ST00000001145</t>
  </si>
  <si>
    <t>ST00000001146</t>
  </si>
  <si>
    <t>ST00000001147</t>
  </si>
  <si>
    <t>ST00000001148</t>
  </si>
  <si>
    <t>ST00000001149</t>
  </si>
  <si>
    <t>ST00000001150</t>
  </si>
  <si>
    <t>ST00000001151</t>
  </si>
  <si>
    <t>ST00000001152</t>
  </si>
  <si>
    <t>ST00000001153</t>
  </si>
  <si>
    <t>ST00000001154</t>
  </si>
  <si>
    <t>ST00000001155</t>
  </si>
  <si>
    <t>ST00000001156</t>
  </si>
  <si>
    <t>ST00000001157</t>
  </si>
  <si>
    <t>ST00000001158</t>
  </si>
  <si>
    <t>ST00000001159</t>
  </si>
  <si>
    <t>ST00000001160</t>
  </si>
  <si>
    <t>ST00000001161</t>
  </si>
  <si>
    <t>ST00000001162</t>
  </si>
  <si>
    <t>ST00000001163</t>
  </si>
  <si>
    <t>ST00000001164</t>
  </si>
  <si>
    <t>ST00000001165</t>
  </si>
  <si>
    <t>ST00000001166</t>
  </si>
  <si>
    <t>ST00000001167</t>
  </si>
  <si>
    <t>ST00000001168</t>
  </si>
  <si>
    <t>ST00000001169</t>
  </si>
  <si>
    <t>ST00000001170</t>
  </si>
  <si>
    <t>ST00000001171</t>
  </si>
  <si>
    <t>ST00000001172</t>
  </si>
  <si>
    <t>ST00000001173</t>
  </si>
  <si>
    <t>ST00000001174</t>
  </si>
  <si>
    <t>ST00000001175</t>
  </si>
  <si>
    <t>ST00000001176</t>
  </si>
  <si>
    <t>ST00000001177</t>
  </si>
  <si>
    <t>ST00000001178</t>
  </si>
  <si>
    <t>ST00000001179</t>
  </si>
  <si>
    <t>ST00000001180</t>
  </si>
  <si>
    <t>ST00000001181</t>
  </si>
  <si>
    <t>ST00000001182</t>
  </si>
  <si>
    <t>ST00000001183</t>
  </si>
  <si>
    <t>ST00000001184</t>
  </si>
  <si>
    <t>ST00000001185</t>
  </si>
  <si>
    <t>ST00000001186</t>
  </si>
  <si>
    <t>ST00000001187</t>
  </si>
  <si>
    <t>ST00000001188</t>
  </si>
  <si>
    <t>ST00000001189</t>
  </si>
  <si>
    <t>ST00000001190</t>
  </si>
  <si>
    <t>ST00000001191</t>
  </si>
  <si>
    <t>ST00000001192</t>
  </si>
  <si>
    <t>ST00000001193</t>
  </si>
  <si>
    <t>ST00000001194</t>
  </si>
  <si>
    <t>ST00000001195</t>
  </si>
  <si>
    <t>ST00000001196</t>
  </si>
  <si>
    <t>ST00000001197</t>
  </si>
  <si>
    <t>ST00000001198</t>
  </si>
  <si>
    <t>ST00000001199</t>
  </si>
  <si>
    <t>ST00000001200</t>
  </si>
  <si>
    <t>ST00000001201</t>
  </si>
  <si>
    <t>ST00000001202</t>
  </si>
  <si>
    <t>ST00000001203</t>
  </si>
  <si>
    <t>ST00000001204</t>
  </si>
  <si>
    <t>ST00000001205</t>
  </si>
  <si>
    <t>ST00000001206</t>
  </si>
  <si>
    <t>ST00000001207</t>
  </si>
  <si>
    <t>ST00000001208</t>
  </si>
  <si>
    <t>ST00000001209</t>
  </si>
  <si>
    <t>D</t>
  </si>
  <si>
    <t>ST00000001210</t>
  </si>
  <si>
    <t>ST00000001211</t>
  </si>
  <si>
    <t>ST00000001212</t>
  </si>
  <si>
    <t>ST00000001213</t>
  </si>
  <si>
    <t>ST00000001214</t>
  </si>
  <si>
    <t>ST00000001215</t>
  </si>
  <si>
    <t>ST00000001216</t>
  </si>
  <si>
    <t>ST00000001217</t>
  </si>
  <si>
    <t>ST00000001218</t>
  </si>
  <si>
    <t>YEDİ TÜRLÜ BAHARAT  (LUXURY CHEF)</t>
  </si>
  <si>
    <t>ÇİĞ KABAK ÇEKİRDEĞİ</t>
  </si>
  <si>
    <t>ST00000001219</t>
  </si>
  <si>
    <t>ST00000001220</t>
  </si>
  <si>
    <t>ST00000001221</t>
  </si>
  <si>
    <t>ST00000001222</t>
  </si>
  <si>
    <t>ST00000001223</t>
  </si>
  <si>
    <t>ST00000001224</t>
  </si>
  <si>
    <t>ST00000001225</t>
  </si>
  <si>
    <t>ST00000001226</t>
  </si>
  <si>
    <t>ST00000001227</t>
  </si>
  <si>
    <t>ST00000001228</t>
  </si>
  <si>
    <t>ST00000001229</t>
  </si>
  <si>
    <t>ST00000001230</t>
  </si>
  <si>
    <t>ST00000001231</t>
  </si>
  <si>
    <t>ST00000001232</t>
  </si>
  <si>
    <t>ST00000001233</t>
  </si>
  <si>
    <t>ST00000001234</t>
  </si>
  <si>
    <t>ST00000001235</t>
  </si>
  <si>
    <t>ST00000001236</t>
  </si>
  <si>
    <t>ST00000001237</t>
  </si>
  <si>
    <t>ST00000001238</t>
  </si>
  <si>
    <t>ST00000001239</t>
  </si>
  <si>
    <t>ST00000001240</t>
  </si>
  <si>
    <t>ST00000001241</t>
  </si>
  <si>
    <t>ST00000001242</t>
  </si>
  <si>
    <t>ST00000001243</t>
  </si>
  <si>
    <t>ST00000001244</t>
  </si>
  <si>
    <t>ST00000001245</t>
  </si>
  <si>
    <t>SATIŞ -TOPTAN - ŞÜKRÜ</t>
  </si>
  <si>
    <t>ST00000001246</t>
  </si>
  <si>
    <t>MİSVAK KUTULU (HOLDER)</t>
  </si>
  <si>
    <t>NAHİTA ELMALI ENGİNAR SİRKESİ</t>
  </si>
  <si>
    <t>FASILA İYOT DAMLASI</t>
  </si>
  <si>
    <t>ESMER BULGUR (AKIN)</t>
  </si>
  <si>
    <t>KİTEL BULGUR (SEFER)</t>
  </si>
  <si>
    <t>MUHASEBE GİDERİ</t>
  </si>
  <si>
    <t>POS ÇÖZÜMÜ - GEÇİCİ VERGİ - ON NUMARA</t>
  </si>
  <si>
    <t>MISIR PREMİUM MEDİUM HURMA</t>
  </si>
  <si>
    <t>SEFAVİ HURMA</t>
  </si>
  <si>
    <t>SOGAY HURMA</t>
  </si>
  <si>
    <t>ACVE SARI</t>
  </si>
  <si>
    <t>MEBRUM HURMA (3'LÜK)</t>
  </si>
  <si>
    <t>MEBRUM HURMA 2 (5'LİK)</t>
  </si>
  <si>
    <t>MEBRUM HURMA - SİYAH</t>
  </si>
  <si>
    <t>SERBEND HURMA - İADE</t>
  </si>
  <si>
    <t>SERBEND HURMA - ÖDEME</t>
  </si>
  <si>
    <t>MANİSA YAPRAK ALIMI - 1 KOVA</t>
  </si>
  <si>
    <t>ANTEP MALZEME NAKLİYESİ</t>
  </si>
  <si>
    <t>ST00000001247</t>
  </si>
  <si>
    <t>ST00000001248</t>
  </si>
  <si>
    <t>ST00000001249</t>
  </si>
  <si>
    <t>ST00000001250</t>
  </si>
  <si>
    <t>ST00000001251</t>
  </si>
  <si>
    <t>ST00000001252</t>
  </si>
  <si>
    <t>ST00000001253</t>
  </si>
  <si>
    <t>ST00000001254</t>
  </si>
  <si>
    <t>ST00000001255</t>
  </si>
  <si>
    <t>UYUZ İLACI</t>
  </si>
  <si>
    <t>ST00000001256</t>
  </si>
  <si>
    <t>ST00000001257</t>
  </si>
  <si>
    <t>ST00000001258</t>
  </si>
  <si>
    <t>ST00000001259</t>
  </si>
  <si>
    <t>ST00000001260</t>
  </si>
  <si>
    <t>ST00000001261</t>
  </si>
  <si>
    <t>ST00000001262</t>
  </si>
  <si>
    <t>ST00000001263</t>
  </si>
  <si>
    <t>ST00000001264</t>
  </si>
  <si>
    <t>ST00000001265</t>
  </si>
  <si>
    <t>ST00000001266</t>
  </si>
  <si>
    <t>ST00000001267</t>
  </si>
  <si>
    <t>ST00000001268</t>
  </si>
  <si>
    <t>ST00000001269</t>
  </si>
  <si>
    <t>ST00000001270</t>
  </si>
  <si>
    <t>ST00000001271</t>
  </si>
  <si>
    <t>ST00000001272</t>
  </si>
  <si>
    <t>SATIŞ - ZAKİYE</t>
  </si>
  <si>
    <t>SATIŞ - PINAR</t>
  </si>
  <si>
    <t>ST00000001273</t>
  </si>
  <si>
    <t>ST00000001274</t>
  </si>
  <si>
    <t>ST00000001275</t>
  </si>
  <si>
    <t>ST00000001276</t>
  </si>
  <si>
    <t>ST00000001277</t>
  </si>
  <si>
    <t>ST00000001278</t>
  </si>
  <si>
    <t>ST00000001279</t>
  </si>
  <si>
    <t>ST00000001280</t>
  </si>
  <si>
    <t>ST00000001281</t>
  </si>
  <si>
    <t>ST00000001282</t>
  </si>
  <si>
    <t>ST00000001283</t>
  </si>
  <si>
    <t>ST00000001284</t>
  </si>
  <si>
    <t>ST00000001285</t>
  </si>
  <si>
    <t>ST00000001286</t>
  </si>
  <si>
    <t>ST00000001287</t>
  </si>
  <si>
    <t>ST00000001288</t>
  </si>
  <si>
    <t>ST00000001289</t>
  </si>
  <si>
    <t>ST00000001290</t>
  </si>
  <si>
    <t>ST00000001291</t>
  </si>
  <si>
    <t>ST00000001292</t>
  </si>
  <si>
    <t>ST00000001293</t>
  </si>
  <si>
    <t>ST00000001294</t>
  </si>
  <si>
    <t>ST00000001295</t>
  </si>
  <si>
    <t>ST00000001296</t>
  </si>
  <si>
    <t>ST00000001297</t>
  </si>
  <si>
    <t>ST00000001298</t>
  </si>
  <si>
    <t>ST00000001299</t>
  </si>
  <si>
    <t>ST00000001300</t>
  </si>
  <si>
    <t>ST00000001301</t>
  </si>
  <si>
    <t>ST00000001302</t>
  </si>
  <si>
    <t>ST00000001303</t>
  </si>
  <si>
    <t>ST00000001304</t>
  </si>
  <si>
    <t>ST00000001305</t>
  </si>
  <si>
    <t>ST00000001306</t>
  </si>
  <si>
    <t>ST00000001307</t>
  </si>
  <si>
    <t>ST00000001308</t>
  </si>
  <si>
    <t>ST00000001309</t>
  </si>
  <si>
    <t>ST00000001310</t>
  </si>
  <si>
    <t>ST00000001311</t>
  </si>
  <si>
    <t>ST00000001312</t>
  </si>
  <si>
    <t>ST00000001313</t>
  </si>
  <si>
    <t>ST00000001314</t>
  </si>
  <si>
    <t>GENCAY</t>
  </si>
  <si>
    <t>ST00000001315</t>
  </si>
  <si>
    <t>ST00000001316</t>
  </si>
  <si>
    <t>ST00000001317</t>
  </si>
  <si>
    <t>ST00000001318</t>
  </si>
  <si>
    <t>ST00000001319</t>
  </si>
  <si>
    <t>ST00000001320</t>
  </si>
  <si>
    <t>ST00000001321</t>
  </si>
  <si>
    <t>ST00000001322</t>
  </si>
  <si>
    <t>ST00000001323</t>
  </si>
  <si>
    <t>ST00000001324</t>
  </si>
  <si>
    <t>ST00000001325</t>
  </si>
  <si>
    <t>ST00000001326</t>
  </si>
  <si>
    <t>ST00000001327</t>
  </si>
  <si>
    <t>ST00000001328</t>
  </si>
  <si>
    <t>ST00000001329</t>
  </si>
  <si>
    <t>ST00000001330</t>
  </si>
  <si>
    <t>ST00000001331</t>
  </si>
  <si>
    <t>ST00000001332</t>
  </si>
  <si>
    <t>ST00000001333</t>
  </si>
  <si>
    <t>ST00000001334</t>
  </si>
  <si>
    <t>ST00000001335</t>
  </si>
  <si>
    <t>ST00000001336</t>
  </si>
  <si>
    <t>ST00000001337</t>
  </si>
  <si>
    <t>ST00000001338</t>
  </si>
  <si>
    <t>ST00000001339</t>
  </si>
  <si>
    <t>ST00000001340</t>
  </si>
  <si>
    <t>ST00000001341</t>
  </si>
  <si>
    <t>ST00000001342</t>
  </si>
  <si>
    <t>ST00000001343</t>
  </si>
  <si>
    <t>ST00000001344</t>
  </si>
  <si>
    <t>ST00000001345</t>
  </si>
  <si>
    <t>ST00000001346</t>
  </si>
  <si>
    <t>ST00000001347</t>
  </si>
  <si>
    <t>AT KESTANESİ YAĞI 50 CC</t>
  </si>
  <si>
    <t>GENÇAY VAZELİN 100 ML</t>
  </si>
  <si>
    <t>APO ECZACI</t>
  </si>
  <si>
    <t>SUMAK ÖZEL</t>
  </si>
  <si>
    <t>YALÇINTAT BAHARAT LTD.</t>
  </si>
  <si>
    <t>YALÇINTAT - SALÇA İADELERİ</t>
  </si>
  <si>
    <t>GENÇAY BAHARAT</t>
  </si>
  <si>
    <t>ST00000001348</t>
  </si>
  <si>
    <t>ST00000001349</t>
  </si>
  <si>
    <t>ST00000001350</t>
  </si>
  <si>
    <t>ST00000001351</t>
  </si>
  <si>
    <t>ST00000001352</t>
  </si>
  <si>
    <t>ST00000001353</t>
  </si>
  <si>
    <t>ST00000001354</t>
  </si>
  <si>
    <t>ST00000001355</t>
  </si>
  <si>
    <t>ST00000001356</t>
  </si>
  <si>
    <t>ST00000001357</t>
  </si>
  <si>
    <t>ST00000001358</t>
  </si>
  <si>
    <t>ST00000001359</t>
  </si>
  <si>
    <t>ST00000001360</t>
  </si>
  <si>
    <t>ST00000001361</t>
  </si>
  <si>
    <t>ST00000001362</t>
  </si>
  <si>
    <t>ST00000001363</t>
  </si>
  <si>
    <t>ST00000001364</t>
  </si>
  <si>
    <t>ST00000001365</t>
  </si>
  <si>
    <t>ST00000001366</t>
  </si>
  <si>
    <t>ST00000001367</t>
  </si>
  <si>
    <t>ST00000001368</t>
  </si>
  <si>
    <t>ST00000001369</t>
  </si>
  <si>
    <t>ST00000001370</t>
  </si>
  <si>
    <t>ST00000001371</t>
  </si>
  <si>
    <t>ST00000001372</t>
  </si>
  <si>
    <t>ST00000001373</t>
  </si>
  <si>
    <t>GÜNGÖR 5 LT SU</t>
  </si>
  <si>
    <t>ABANT 5 LT SU</t>
  </si>
  <si>
    <t>GÜNGÖR 1500 ML SU</t>
  </si>
  <si>
    <t>GÜNGÖR 500 ML SU</t>
  </si>
  <si>
    <t>SALÇA TATLI</t>
  </si>
  <si>
    <t>FT00000000071</t>
  </si>
  <si>
    <t>SUCU MAL ALIMI</t>
  </si>
  <si>
    <t>SATIŞ - BAHAR</t>
  </si>
  <si>
    <t>BOZ ANTEP FISTIK İÇİ</t>
  </si>
  <si>
    <t>BOZ ANTEP FISTIK ÖĞÜTÜLMÜŞ</t>
  </si>
  <si>
    <t>MİNDİVAN ÇÖREK OTU YAĞI KAPSÜL</t>
  </si>
  <si>
    <t>TATBUL İNCE PİLAVLIK BULGUR</t>
  </si>
  <si>
    <t>AFİLLİ AMBALAJ - KÜÇÜK ATLET POŞET</t>
  </si>
  <si>
    <t>YALÇINTAT CARİ ÖDEME</t>
  </si>
  <si>
    <t>YALÇINTAT - NAKLİYE YANSITMASI</t>
  </si>
  <si>
    <t>ST00000001374</t>
  </si>
  <si>
    <t>ST00000001375</t>
  </si>
  <si>
    <t>ST00000001376</t>
  </si>
  <si>
    <t>ST00000001377</t>
  </si>
  <si>
    <t>ST00000001378</t>
  </si>
  <si>
    <t>ST00000001379</t>
  </si>
  <si>
    <t>ST00000001380</t>
  </si>
  <si>
    <t>ST00000001381</t>
  </si>
  <si>
    <t>ST00000001382</t>
  </si>
  <si>
    <t>ST00000001383</t>
  </si>
  <si>
    <t>ST00000001384</t>
  </si>
  <si>
    <t>ST00000001385</t>
  </si>
  <si>
    <t>ST00000001386</t>
  </si>
  <si>
    <t>ST00000001387</t>
  </si>
  <si>
    <t>ST00000001388</t>
  </si>
  <si>
    <t>ST00000001389</t>
  </si>
  <si>
    <t>ST00000001390</t>
  </si>
  <si>
    <t>SALÇA İADELERİ İÇİN ARAÇ BENZİN</t>
  </si>
  <si>
    <t>ST00000001391</t>
  </si>
  <si>
    <t>ST00000001392</t>
  </si>
  <si>
    <t>ST00000001393</t>
  </si>
  <si>
    <t>ST00000001394</t>
  </si>
  <si>
    <t>ST00000001395</t>
  </si>
  <si>
    <t>ST00000001396</t>
  </si>
  <si>
    <t>ST00000001397</t>
  </si>
  <si>
    <t>ST00000001398</t>
  </si>
  <si>
    <t>ST00000001399</t>
  </si>
  <si>
    <t>ST00000001400</t>
  </si>
  <si>
    <t>ST00000001401</t>
  </si>
  <si>
    <t>ST00000001402</t>
  </si>
  <si>
    <t>ST00000001403</t>
  </si>
  <si>
    <t>ST00000001404</t>
  </si>
  <si>
    <t>ST00000001405</t>
  </si>
  <si>
    <t>ST00000001406</t>
  </si>
  <si>
    <t>SATIŞ - PAKET ÜRETİM</t>
  </si>
  <si>
    <t>ST00000001407</t>
  </si>
  <si>
    <t>DİĞER GELİRLER</t>
  </si>
  <si>
    <t>SATIŞ - PAKET ÜRETİM - POŞET PARASI</t>
  </si>
  <si>
    <t>SATIŞ - PAKET ÜRETİM - PAKETLEME PARASI</t>
  </si>
  <si>
    <t>SATIŞ - PAKET ÜRETİM - İŞÇİLİK</t>
  </si>
  <si>
    <t>ST00000001408</t>
  </si>
  <si>
    <t>ST00000001409</t>
  </si>
  <si>
    <t>ST00000001410</t>
  </si>
  <si>
    <t>ST00000001411</t>
  </si>
  <si>
    <t>ST00000001412</t>
  </si>
  <si>
    <t>ST00000001413</t>
  </si>
  <si>
    <t>ST00000001414</t>
  </si>
  <si>
    <t>ST00000001415</t>
  </si>
  <si>
    <t>ST00000001416</t>
  </si>
  <si>
    <t>ST00000001417</t>
  </si>
  <si>
    <t>ST00000001418</t>
  </si>
  <si>
    <t>ST00000001419</t>
  </si>
  <si>
    <t>ST00000001420</t>
  </si>
  <si>
    <t>ST00000001421</t>
  </si>
  <si>
    <t>ST00000001422</t>
  </si>
  <si>
    <t>HANİFE DİVLEK</t>
  </si>
  <si>
    <t>CARİ TAHSİLAT</t>
  </si>
  <si>
    <t>HANİFE DİVELEK - TFK ÖDEME</t>
  </si>
  <si>
    <t>Mar</t>
  </si>
  <si>
    <t xml:space="preserve">CARİ Toplam CARİ </t>
  </si>
  <si>
    <t>MÜMİNE ÇELİKEL</t>
  </si>
  <si>
    <t>MÜMİNE ÇELİKEL - ELDEN ÖDEME</t>
  </si>
  <si>
    <t>CARİ AYRINTILI</t>
  </si>
  <si>
    <t>TÜRE GÖRE GİRİŞ ÇIKIŞLAR</t>
  </si>
  <si>
    <t>ST00000001423</t>
  </si>
  <si>
    <t>ST00000001424</t>
  </si>
  <si>
    <t>ST00000001425</t>
  </si>
  <si>
    <t>ST00000001426</t>
  </si>
  <si>
    <t>ST00000001427</t>
  </si>
  <si>
    <t>ST00000001428</t>
  </si>
  <si>
    <t>ST00000001429</t>
  </si>
  <si>
    <t>ST00000001430</t>
  </si>
  <si>
    <t>ST00000001431</t>
  </si>
  <si>
    <t>ST00000001432</t>
  </si>
  <si>
    <t>ST00000001433</t>
  </si>
  <si>
    <t>ST00000001434</t>
  </si>
  <si>
    <t>ST00000001435</t>
  </si>
  <si>
    <t>ST00000001436</t>
  </si>
  <si>
    <t>ST00000001437</t>
  </si>
  <si>
    <t>ST00000001438</t>
  </si>
  <si>
    <t>ST00000001439</t>
  </si>
  <si>
    <t>ST00000001440</t>
  </si>
  <si>
    <t>ST00000001441</t>
  </si>
  <si>
    <t>ST00000001442</t>
  </si>
  <si>
    <t>ST00000001443</t>
  </si>
  <si>
    <t>ST00000001444</t>
  </si>
  <si>
    <t>ST00000001445</t>
  </si>
  <si>
    <t>ST00000001446</t>
  </si>
  <si>
    <t>ST00000001447</t>
  </si>
  <si>
    <t>ST00000001448</t>
  </si>
  <si>
    <t>ST00000001449</t>
  </si>
  <si>
    <t>ST00000001450</t>
  </si>
  <si>
    <t>ST00000001451</t>
  </si>
  <si>
    <t>NEVANTAT KURUYEMİŞ</t>
  </si>
  <si>
    <t>NEVANTAT KURUYEMİŞ - ÖDEME</t>
  </si>
  <si>
    <t>ST00000001452</t>
  </si>
  <si>
    <t>ST00000001453</t>
  </si>
  <si>
    <t>ST00000001454</t>
  </si>
  <si>
    <t>ST00000001455</t>
  </si>
  <si>
    <t>ST00000001456</t>
  </si>
  <si>
    <t>ST00000001457</t>
  </si>
  <si>
    <t>YALÇINTAT - CARİ ÖDEME (ANNE ZEKAT)</t>
  </si>
  <si>
    <t>ST00000001458</t>
  </si>
  <si>
    <t>ST00000001459</t>
  </si>
  <si>
    <t>ST00000001460</t>
  </si>
  <si>
    <t>ST00000001461</t>
  </si>
  <si>
    <t>ST00000001462</t>
  </si>
  <si>
    <t>ST00000001463</t>
  </si>
  <si>
    <t>ST00000001464</t>
  </si>
  <si>
    <t>ST00000001465</t>
  </si>
  <si>
    <t>ST00000001466</t>
  </si>
  <si>
    <t>ST00000001467</t>
  </si>
  <si>
    <t>ST00000001468</t>
  </si>
  <si>
    <t>ST00000001469</t>
  </si>
  <si>
    <t>ST00000001470</t>
  </si>
  <si>
    <t>ST00000001471</t>
  </si>
  <si>
    <t>ST00000001472</t>
  </si>
  <si>
    <t>ST00000001473</t>
  </si>
  <si>
    <t>ST00000001474</t>
  </si>
  <si>
    <t>ST00000001475</t>
  </si>
  <si>
    <t>ST00000001476</t>
  </si>
  <si>
    <t>ST00000001477</t>
  </si>
  <si>
    <t>ST00000001478</t>
  </si>
  <si>
    <t>ST00000001479</t>
  </si>
  <si>
    <t>HANİFE DİVLEK - TAHSİLAT -TFK</t>
  </si>
  <si>
    <t>ST00000001480</t>
  </si>
  <si>
    <t>ST00000001481</t>
  </si>
  <si>
    <t>ST00000001482</t>
  </si>
  <si>
    <t>ST00000001483</t>
  </si>
  <si>
    <t>HERTAT</t>
  </si>
  <si>
    <t>HERTAT TAHSİLAT NAKİT</t>
  </si>
  <si>
    <t>SATIŞ - TOPTAN - HERTAT</t>
  </si>
  <si>
    <t>ST00000001484</t>
  </si>
  <si>
    <t>ST00000001485</t>
  </si>
  <si>
    <t>ST00000001486</t>
  </si>
  <si>
    <t>ST00000001487</t>
  </si>
  <si>
    <t>ST00000001488</t>
  </si>
  <si>
    <t>ST00000001489</t>
  </si>
  <si>
    <t>ST00000001490</t>
  </si>
  <si>
    <t>ST00000001491</t>
  </si>
  <si>
    <t>ST00000001492</t>
  </si>
  <si>
    <t>ST00000001493</t>
  </si>
  <si>
    <t>ST00000001494</t>
  </si>
  <si>
    <t>ST00000001495</t>
  </si>
  <si>
    <t>ST00000001496</t>
  </si>
  <si>
    <t>ST00000001497</t>
  </si>
  <si>
    <t>ST00000001498</t>
  </si>
  <si>
    <t>ST00000001499</t>
  </si>
  <si>
    <t>ST00000001500</t>
  </si>
  <si>
    <t>SATIŞ - TOPTAN - MÜMİNE ÇELİKEL</t>
  </si>
  <si>
    <t>SATIŞ - 125 TL EKSİK ALINDI</t>
  </si>
  <si>
    <t>SATIŞ - ARABALI ADAM BORÇ</t>
  </si>
  <si>
    <t>TALA YILAN YAĞI 20 ML</t>
  </si>
  <si>
    <t>ST00000001501</t>
  </si>
  <si>
    <t>ST00000001502</t>
  </si>
  <si>
    <t>ST00000001503</t>
  </si>
  <si>
    <t>ST00000001504</t>
  </si>
  <si>
    <t>ST00000001505</t>
  </si>
  <si>
    <t>ST00000001506</t>
  </si>
  <si>
    <t>ST00000001507</t>
  </si>
  <si>
    <t>ST00000001508</t>
  </si>
  <si>
    <t>ST00000001509</t>
  </si>
  <si>
    <t>ST00000001510</t>
  </si>
  <si>
    <t>ST00000001511</t>
  </si>
  <si>
    <t>RAF BURADA - AKSİYON SEPET+TELLİ RAF - HAYRİ SEVENCAN</t>
  </si>
  <si>
    <t>SU</t>
  </si>
  <si>
    <t>SATIŞ - NECAT - MAHALLE</t>
  </si>
  <si>
    <t>MÜMİNE ÇELİKEL TAHSİLAT</t>
  </si>
  <si>
    <t>ST00000001512</t>
  </si>
  <si>
    <t>ST00000001513</t>
  </si>
  <si>
    <t>ST00000001514</t>
  </si>
  <si>
    <t>ST00000001515</t>
  </si>
  <si>
    <t>ST00000001516</t>
  </si>
  <si>
    <t>ST00000001517</t>
  </si>
  <si>
    <t>ST00000001518</t>
  </si>
  <si>
    <t>ST00000001519</t>
  </si>
  <si>
    <t>ST00000001520</t>
  </si>
  <si>
    <t>ST00000001521</t>
  </si>
  <si>
    <t>ST00000001522</t>
  </si>
  <si>
    <t>ST00000001523</t>
  </si>
  <si>
    <t>ST00000001524</t>
  </si>
  <si>
    <t>ST00000001525</t>
  </si>
  <si>
    <t>ST00000001526</t>
  </si>
  <si>
    <t>ST00000001527</t>
  </si>
  <si>
    <t>ST00000001528</t>
  </si>
  <si>
    <t>ST00000001529</t>
  </si>
  <si>
    <t>ST00000001530</t>
  </si>
  <si>
    <t>ST00000001531</t>
  </si>
  <si>
    <t>ST00000001532</t>
  </si>
  <si>
    <t>ST00000001533</t>
  </si>
  <si>
    <t>ST00000001534</t>
  </si>
  <si>
    <t>ST00000001535</t>
  </si>
  <si>
    <t>FTR202600000127</t>
  </si>
  <si>
    <t>MECİT EFENDİ - MY LİFE</t>
  </si>
  <si>
    <t>FTR202600000128</t>
  </si>
  <si>
    <t>ST00000001536</t>
  </si>
  <si>
    <t>ST00000001537</t>
  </si>
  <si>
    <t>ST00000001538</t>
  </si>
  <si>
    <t>ST00000001539</t>
  </si>
  <si>
    <t>ST00000001540</t>
  </si>
  <si>
    <t>ATOM PUL BİBER ÇOK ACI</t>
  </si>
  <si>
    <t>ST00000001541</t>
  </si>
  <si>
    <t>ST00000001542</t>
  </si>
  <si>
    <t>ST00000001543</t>
  </si>
  <si>
    <t>ST00000001544</t>
  </si>
  <si>
    <t>ST00000001545</t>
  </si>
  <si>
    <t>ST00000001546</t>
  </si>
  <si>
    <t>ST00000001547</t>
  </si>
  <si>
    <t>ST00000001548</t>
  </si>
  <si>
    <t>ST00000001549</t>
  </si>
  <si>
    <t>ST00000001550</t>
  </si>
  <si>
    <t>ST00000001551</t>
  </si>
  <si>
    <t>ST00000001552</t>
  </si>
  <si>
    <t>ST00000001554</t>
  </si>
  <si>
    <t>ST00000001555</t>
  </si>
  <si>
    <t>ST00000001556</t>
  </si>
  <si>
    <t>ST00000001557</t>
  </si>
  <si>
    <t>ST00000001558</t>
  </si>
  <si>
    <t>ST00000001559</t>
  </si>
  <si>
    <t>ST00000001560</t>
  </si>
  <si>
    <t>ST00000001561</t>
  </si>
  <si>
    <t>ST00000001562</t>
  </si>
  <si>
    <t>ST00000001563</t>
  </si>
  <si>
    <t>ST00000001564</t>
  </si>
  <si>
    <t>ST00000001565</t>
  </si>
  <si>
    <t>ST00000001566</t>
  </si>
  <si>
    <t>ST00000001567</t>
  </si>
  <si>
    <t>ST00000001568</t>
  </si>
  <si>
    <t>ST00000001569</t>
  </si>
  <si>
    <t>ST00000001570</t>
  </si>
  <si>
    <t>ST00000001571</t>
  </si>
  <si>
    <t>ST00000001572</t>
  </si>
  <si>
    <t>MEBRUM HURMA  NO 1</t>
  </si>
  <si>
    <t>MEBRUM HURMA NO 2</t>
  </si>
  <si>
    <t>SELÇUK</t>
  </si>
  <si>
    <t>MEŞRUK HURMA NO 1</t>
  </si>
  <si>
    <t>ST00000001573</t>
  </si>
  <si>
    <t>ST00000001574</t>
  </si>
  <si>
    <t>SATIŞ - ÖZNUR</t>
  </si>
  <si>
    <t>ST00000001575</t>
  </si>
  <si>
    <t>ST00000001576</t>
  </si>
  <si>
    <t>ST00000001577</t>
  </si>
  <si>
    <t>ST00000001578</t>
  </si>
  <si>
    <t>ST00000001579</t>
  </si>
  <si>
    <t>ST00000001580</t>
  </si>
  <si>
    <t>ST00000001581</t>
  </si>
  <si>
    <t>ST00000001582</t>
  </si>
  <si>
    <t>ST00000001583</t>
  </si>
  <si>
    <t>ST00000001584</t>
  </si>
  <si>
    <t>ST00000001585</t>
  </si>
  <si>
    <t>ST00000001586</t>
  </si>
  <si>
    <t>ST00000001587</t>
  </si>
  <si>
    <t>ST00000001588</t>
  </si>
  <si>
    <t>ST00000001589</t>
  </si>
  <si>
    <t>ST00000001590</t>
  </si>
  <si>
    <t>ST00000001591</t>
  </si>
  <si>
    <t>ST00000001592</t>
  </si>
  <si>
    <t>ST00000001593</t>
  </si>
  <si>
    <t>ST00000001594</t>
  </si>
  <si>
    <t>ST00000001595</t>
  </si>
  <si>
    <t>ST00000001596</t>
  </si>
  <si>
    <t>ST00000001597</t>
  </si>
  <si>
    <t>ST00000001598</t>
  </si>
  <si>
    <t>ST00000001599</t>
  </si>
  <si>
    <t>ST00000001600</t>
  </si>
  <si>
    <t>ST00000001601</t>
  </si>
  <si>
    <t>ST00000001602</t>
  </si>
  <si>
    <t>ST00000001603</t>
  </si>
  <si>
    <t>ST00000001604</t>
  </si>
  <si>
    <t>ST00000001605</t>
  </si>
  <si>
    <t>ST00000001606</t>
  </si>
  <si>
    <t>ST00000001607</t>
  </si>
  <si>
    <t>ERASLAN LAHMACUN PİDE</t>
  </si>
  <si>
    <t>SATIŞ - TOPTAN - ERASLAN LAHMACUN PİDE</t>
  </si>
  <si>
    <t>ÖMRÜM VANİLYALI GOFRET 450 GR</t>
  </si>
  <si>
    <t>ÖMRÜM KAKAOLU GOFRET 450 GR</t>
  </si>
  <si>
    <t>NTA2026000000094</t>
  </si>
  <si>
    <t>ÜZÜM SİYAH KİLİS</t>
  </si>
  <si>
    <t>NEVANTAT</t>
  </si>
  <si>
    <t>SELÇUK GIDA LTD.</t>
  </si>
  <si>
    <t>SELÇUK GIDA</t>
  </si>
  <si>
    <t>SELÇUK GIDA - NAKİT ÖDEME</t>
  </si>
  <si>
    <t>HANİFE DİVLEK - TFK ÖDEME</t>
  </si>
  <si>
    <t>FESLEĞEN</t>
  </si>
  <si>
    <t>SHİFFA HOME SIVI PROPOLİS EKSTRESİ 20 ML</t>
  </si>
  <si>
    <t>COSMETİC EMZİREN ANNE KREMİ 30 GR</t>
  </si>
  <si>
    <t>GÜNBAK AZ TUZLU SOYA SOSU 750 ML</t>
  </si>
  <si>
    <t>SHİFFA HOME ÇÖREKOTU YAĞI 1000 MG 100 SOFTJEL KAPSÜL</t>
  </si>
  <si>
    <t>BALEN FERROFAN BİTKİSEL EKSTRESİ İÇEREN TAKVİYE EDİCİ GIDA 150 ML</t>
  </si>
  <si>
    <t>AKSU VİTAL D3 VİTAMİN 650 MG 60 SOFTJEL KAPSÜL</t>
  </si>
  <si>
    <t>GÜNBAK SOYA SOSU 750 ML</t>
  </si>
  <si>
    <t>GÜNBAK 3Ü1 ARADA SADE KUTU 40 ADET</t>
  </si>
  <si>
    <t>TANE MAHLEP</t>
  </si>
  <si>
    <t>SHİFFA HOME KEDİOTU KÖKÜ VALERİAN ROOT 40,2 GR 60 KAPSÜL</t>
  </si>
  <si>
    <t>AKSU VİTAL C VİTAMİNİ 75 GR 60 KAPSÜL</t>
  </si>
  <si>
    <t>SHİFFA HOME ÇİNKO PİKOLİNAT 500 MG 60 KAPSÜL</t>
  </si>
  <si>
    <t>SHİFFA HOME SARI KANTARON 33,6 GR 60 KAPSÜL</t>
  </si>
  <si>
    <t>SHİFFA HOME PROPOLİS 28,2 GR 60 KAPSÜL</t>
  </si>
  <si>
    <t>SHİFFA HOME SARI KANTARONLU KEDRET NARI 134 GR 100 SOFTJEL KAPSÜL</t>
  </si>
  <si>
    <t>BALEN BAL KABAĞI ÇEKİRDEĞİ YAĞI 1380 MG 100 YUMUŞAK KAPSÜL</t>
  </si>
  <si>
    <t>COSMECİT PİRİNÇ PROTEİNLİ &amp; BEYAZLATICI SABUN 120 GR</t>
  </si>
  <si>
    <t>COSMECİT KÜKÜRTLÜ SABUN 120 GR</t>
  </si>
  <si>
    <t>COSMECİT KEÇİ SÜTÜ SABUNU 120 GR</t>
  </si>
  <si>
    <t>BALEN GİNKGO BİLOBA 600 MG 60 TABLET</t>
  </si>
  <si>
    <t>COSMECİT KOLAJENLİ SABUN 120 GR</t>
  </si>
  <si>
    <t>GALETA UNU</t>
  </si>
  <si>
    <t>BHR2026000002366</t>
  </si>
  <si>
    <t>ANDIZ PEKMEZİ</t>
  </si>
  <si>
    <t>KUŞBURNU SİYAH</t>
  </si>
  <si>
    <t>ACUR TURŞUSU</t>
  </si>
  <si>
    <t>LAHANA TURŞUSU</t>
  </si>
  <si>
    <t>POS ÇÖZÜMÜ - ON NUMARA TÜDAB ÖDEME</t>
  </si>
  <si>
    <t>ST00000001608</t>
  </si>
  <si>
    <t>PASTA SÜSÜ</t>
  </si>
  <si>
    <t>KENDİR TOHUMU (ÇETENE ÇEDENE KENEVİR TOHMU)</t>
  </si>
  <si>
    <t>MUSKAT TANE (HİNT CEVİZİ)</t>
  </si>
  <si>
    <t>KİŞNİŞ TANE</t>
  </si>
  <si>
    <t>SIKMA ANTEP TARHANA</t>
  </si>
  <si>
    <t>POLAT ŞEKERİ (NÖBET ŞEKERİ)</t>
  </si>
  <si>
    <t>HAŞHAŞ MAVİ</t>
  </si>
  <si>
    <t>DAMLA ÇİKOLATA</t>
  </si>
  <si>
    <t>SELÇUK GIDA - MMT KUVEYT GÖNDERİLEN</t>
  </si>
  <si>
    <t>MÜMİNE ÇELİKEL - GÜLO KUVEYT GELEN</t>
  </si>
  <si>
    <t>YALÇINTAT BAHARAT</t>
  </si>
  <si>
    <t>ST00000001609</t>
  </si>
  <si>
    <t>SATIŞ - TOPTAN - HANİFE DİVLEK</t>
  </si>
  <si>
    <t>ST00000001610</t>
  </si>
  <si>
    <t>ST00000001611</t>
  </si>
  <si>
    <t>ST00000001612</t>
  </si>
  <si>
    <t>ST00000001613</t>
  </si>
  <si>
    <t>ST00000001614</t>
  </si>
  <si>
    <t>ST00000001615</t>
  </si>
  <si>
    <t>ST00000001616</t>
  </si>
  <si>
    <t>ST00000001617</t>
  </si>
  <si>
    <t>ST00000001618</t>
  </si>
  <si>
    <t>ST00000001619</t>
  </si>
  <si>
    <t>ST00000001620</t>
  </si>
  <si>
    <t>ST00000001621</t>
  </si>
  <si>
    <t>ST00000001622</t>
  </si>
  <si>
    <t>ST00000001623</t>
  </si>
  <si>
    <t>ST00000001624</t>
  </si>
  <si>
    <t>ST00000001625</t>
  </si>
  <si>
    <t>ST00000001626</t>
  </si>
  <si>
    <t>ST00000001627</t>
  </si>
  <si>
    <t>ST00000001628</t>
  </si>
  <si>
    <t>ST00000001629</t>
  </si>
  <si>
    <t>ST00000001630</t>
  </si>
  <si>
    <t>ST00000001631</t>
  </si>
  <si>
    <t>ST00000001632</t>
  </si>
  <si>
    <t>ST00000001633</t>
  </si>
  <si>
    <t>ESNAF VE SANATKARLAR ODA KAYIT ÜCRETİ</t>
  </si>
  <si>
    <t>KDV ÖDEME - ON NUMARA KART İLE</t>
  </si>
  <si>
    <t xml:space="preserve">POS ÇÖZÜMÜ - ON NUMARA - NEVANTAT </t>
  </si>
  <si>
    <t>POS ÇÖZÜMÜ - ON NUMARA - GİDER</t>
  </si>
  <si>
    <t>ST00000001634</t>
  </si>
  <si>
    <t>ST00000001635</t>
  </si>
  <si>
    <t>ST00000001636</t>
  </si>
  <si>
    <t>ST00000001637</t>
  </si>
  <si>
    <t>ST00000001638</t>
  </si>
  <si>
    <t>ST00000001639</t>
  </si>
  <si>
    <t>ST00000001640</t>
  </si>
  <si>
    <t>YALÇINTAT BAHARAT - ÖDEME</t>
  </si>
  <si>
    <t>SERMAYE - GERİ ÖDEME</t>
  </si>
  <si>
    <t>ST00000001641</t>
  </si>
  <si>
    <t>ST00000001642</t>
  </si>
  <si>
    <t>ST00000001643</t>
  </si>
  <si>
    <t>ST00000001644</t>
  </si>
  <si>
    <t>ST00000001645</t>
  </si>
  <si>
    <t>ST00000001646</t>
  </si>
  <si>
    <t>ST00000001647</t>
  </si>
  <si>
    <t>ST00000001648</t>
  </si>
  <si>
    <t>ST00000001649</t>
  </si>
  <si>
    <t>ST00000001650</t>
  </si>
  <si>
    <t>ST00000001651</t>
  </si>
  <si>
    <t>ST00000001652</t>
  </si>
  <si>
    <t>ST00000001653</t>
  </si>
  <si>
    <t>ST00000001654</t>
  </si>
  <si>
    <t>ST00000001655</t>
  </si>
  <si>
    <t>ST00000001656</t>
  </si>
  <si>
    <t>ST00000001657</t>
  </si>
  <si>
    <t>FT00000000072</t>
  </si>
  <si>
    <t>FT00000000073</t>
  </si>
  <si>
    <t>FT00000000074</t>
  </si>
  <si>
    <t>ERBATAB METİKOBALAMİN B12 SPREY 10 ML</t>
  </si>
  <si>
    <t>FT00000000075</t>
  </si>
  <si>
    <t>FT00000000076</t>
  </si>
  <si>
    <t>TR - 40X58 ETİKET</t>
  </si>
  <si>
    <t>TR - POŞET YAPIŞTIRICI TEL &amp; TEFLON 5 ADET</t>
  </si>
  <si>
    <t>FT00000000077</t>
  </si>
  <si>
    <t>FT00000000078</t>
  </si>
  <si>
    <t>FT00000000079</t>
  </si>
  <si>
    <t>FT00000000080</t>
  </si>
  <si>
    <t>FT00000000081</t>
  </si>
  <si>
    <t>FT00000000082</t>
  </si>
  <si>
    <t>PEINEILI GİNSENG KUVVET BİTKİSEL KARIŞIMLI MACUN</t>
  </si>
  <si>
    <t>FT00000000083</t>
  </si>
  <si>
    <t>FT00000000084</t>
  </si>
  <si>
    <t>FT00000000085</t>
  </si>
  <si>
    <t>FT00000000086</t>
  </si>
  <si>
    <t>FT00000000087</t>
  </si>
  <si>
    <t>FT00000000088</t>
  </si>
  <si>
    <t>ST00000001658</t>
  </si>
  <si>
    <t>ST00000001659</t>
  </si>
  <si>
    <t>ST00000001660</t>
  </si>
  <si>
    <t>ST00000001661</t>
  </si>
  <si>
    <t>ST00000001662</t>
  </si>
  <si>
    <t>ST00000001663</t>
  </si>
  <si>
    <t>ST00000001664</t>
  </si>
  <si>
    <t>ST00000001665</t>
  </si>
  <si>
    <t>ST00000001666</t>
  </si>
  <si>
    <t>ST00000001667</t>
  </si>
  <si>
    <t>ST00000001668</t>
  </si>
  <si>
    <t>ST00000001669</t>
  </si>
  <si>
    <t>ST00000001670</t>
  </si>
  <si>
    <t>ST00000001671</t>
  </si>
  <si>
    <t>ST00000001672</t>
  </si>
  <si>
    <t>ST00000001673</t>
  </si>
  <si>
    <t>ST00000001674</t>
  </si>
  <si>
    <t>ST00000001675</t>
  </si>
  <si>
    <t>ST00000001676</t>
  </si>
  <si>
    <t>SATIŞ - ZEKAT</t>
  </si>
  <si>
    <t>ST00000001677</t>
  </si>
  <si>
    <t>ST00000001678</t>
  </si>
  <si>
    <t>ST00000001679</t>
  </si>
  <si>
    <t>ST00000001680</t>
  </si>
  <si>
    <t>ST00000001681</t>
  </si>
  <si>
    <t>ST00000001682</t>
  </si>
  <si>
    <t>ST00000001683</t>
  </si>
  <si>
    <t>ST00000001684</t>
  </si>
  <si>
    <t>ST00000001685</t>
  </si>
  <si>
    <t>ST00000001686</t>
  </si>
  <si>
    <t>ST00000001687</t>
  </si>
  <si>
    <t>ST00000001688</t>
  </si>
  <si>
    <t>ST00000001689</t>
  </si>
  <si>
    <t>ST00000001690</t>
  </si>
  <si>
    <t>ST00000001691</t>
  </si>
  <si>
    <t>ST00000001692</t>
  </si>
  <si>
    <t>ST00000001693</t>
  </si>
  <si>
    <t>ST00000001694</t>
  </si>
  <si>
    <t>ST00000001695</t>
  </si>
  <si>
    <t>ST00000001696</t>
  </si>
  <si>
    <t>SATIŞ - EMRE</t>
  </si>
  <si>
    <t>ST00000001698</t>
  </si>
  <si>
    <t>ST00000001699</t>
  </si>
  <si>
    <t>ST00000001700</t>
  </si>
  <si>
    <t>ST00000001701</t>
  </si>
  <si>
    <t>ST00000001702</t>
  </si>
  <si>
    <t>ST00000001703</t>
  </si>
  <si>
    <t>ST00000001704</t>
  </si>
  <si>
    <t>ST00000001705</t>
  </si>
  <si>
    <t>ST00000001706</t>
  </si>
  <si>
    <t>ST00000001707</t>
  </si>
  <si>
    <t>SATIŞ - TUĞBA</t>
  </si>
  <si>
    <t>ST00000001708</t>
  </si>
  <si>
    <t>HİCRAN BOZKURT - YAPRAK ALIMI - MMT KUVEYT</t>
  </si>
  <si>
    <t>HİCRAN BOZKURT - YAPRAK ALIMI - GÜLO KUVEYT</t>
  </si>
  <si>
    <t>SALÇA ÜSTÜ TEZGAH</t>
  </si>
  <si>
    <t>ST00000001709</t>
  </si>
  <si>
    <t>ST00000001710</t>
  </si>
  <si>
    <t>ST00000001711</t>
  </si>
  <si>
    <t>ST00000001712</t>
  </si>
  <si>
    <t>ST00000001713</t>
  </si>
  <si>
    <t>ST00000001714</t>
  </si>
  <si>
    <t>ST00000001715</t>
  </si>
  <si>
    <t>ST00000001716</t>
  </si>
  <si>
    <t>ST00000001717</t>
  </si>
  <si>
    <t>ST00000001718</t>
  </si>
  <si>
    <t>ST00000001719</t>
  </si>
  <si>
    <t>ST00000001720</t>
  </si>
  <si>
    <t>ST00000001721</t>
  </si>
  <si>
    <t>SATIŞ - SEVDA</t>
  </si>
  <si>
    <t>SATIŞ - ÖZLEM</t>
  </si>
  <si>
    <t>KÜÇÜK HASSAS TARTI</t>
  </si>
  <si>
    <t>ESNAF SANATKARLAR FAALİYET BELGESİ</t>
  </si>
  <si>
    <t>ST00000001722</t>
  </si>
  <si>
    <t>ST00000001723</t>
  </si>
  <si>
    <t>ST00000001724</t>
  </si>
  <si>
    <t>ST00000001725</t>
  </si>
  <si>
    <t>ST00000001726</t>
  </si>
  <si>
    <t>ST00000001727</t>
  </si>
  <si>
    <t>ST00000001728</t>
  </si>
  <si>
    <t>ST00000001729</t>
  </si>
  <si>
    <t>ST00000001730</t>
  </si>
  <si>
    <t>ST00000001731</t>
  </si>
  <si>
    <t>ST00000001732</t>
  </si>
  <si>
    <t>ST00000001733</t>
  </si>
  <si>
    <t>ST00000001734</t>
  </si>
  <si>
    <t>ST00000001735</t>
  </si>
  <si>
    <t>ST00000001736</t>
  </si>
  <si>
    <t>ST00000001737</t>
  </si>
  <si>
    <t>ST00000001738</t>
  </si>
  <si>
    <t>ST00000001739</t>
  </si>
  <si>
    <t>ST00000001740</t>
  </si>
  <si>
    <t>ST00000001741</t>
  </si>
  <si>
    <t>ST00000001742</t>
  </si>
  <si>
    <t>ST00000001743</t>
  </si>
  <si>
    <t>ST00000001744</t>
  </si>
  <si>
    <t>ST00000001745</t>
  </si>
  <si>
    <t>ST00000001746</t>
  </si>
  <si>
    <t>ST00000001747</t>
  </si>
  <si>
    <t>ST00000001748</t>
  </si>
  <si>
    <t>ST00000001749</t>
  </si>
  <si>
    <t>ST00000001750</t>
  </si>
  <si>
    <t>ST00000001751</t>
  </si>
  <si>
    <t>ST00000001752</t>
  </si>
  <si>
    <t>ST00000001753</t>
  </si>
  <si>
    <t>ST00000001754</t>
  </si>
  <si>
    <t>ST00000001755</t>
  </si>
  <si>
    <t>ST00000001756</t>
  </si>
  <si>
    <t>ST00000001757</t>
  </si>
  <si>
    <t>ST00000001758</t>
  </si>
  <si>
    <t>ST00000001759</t>
  </si>
  <si>
    <t>ST00000001760</t>
  </si>
  <si>
    <t>ST00000001761</t>
  </si>
  <si>
    <t>SATIŞ - STOK DÜZELTME - MMT</t>
  </si>
  <si>
    <t>ALIM BİRİM</t>
  </si>
  <si>
    <t>ALIM FİYAT</t>
  </si>
  <si>
    <t>SATIŞ BİRİM</t>
  </si>
  <si>
    <t>ALIŞ İADE BİRİM</t>
  </si>
  <si>
    <t>MALİYET</t>
  </si>
  <si>
    <t>NAKİT SATIŞ</t>
  </si>
  <si>
    <t>POS SATIŞ</t>
  </si>
  <si>
    <t>TOPLAM SATIŞ</t>
  </si>
  <si>
    <t>KAR TL</t>
  </si>
  <si>
    <t>ORAN</t>
  </si>
  <si>
    <t>ORTALAMA SATIŞ FİYATI</t>
  </si>
  <si>
    <t>KALAN STOK</t>
  </si>
  <si>
    <t>KALAN STOK DEĞERİ</t>
  </si>
  <si>
    <t>TÜM MAL ALIŞLAR</t>
  </si>
  <si>
    <t>STOK SAYIM</t>
  </si>
  <si>
    <t>EKSİK / FAZLA</t>
  </si>
  <si>
    <t>ST00000001762</t>
  </si>
  <si>
    <t>ST00000001763</t>
  </si>
  <si>
    <t>ST00000001764</t>
  </si>
  <si>
    <t>ST00000001765</t>
  </si>
  <si>
    <t>SATIŞ - RESUL</t>
  </si>
  <si>
    <t>ST00000001766</t>
  </si>
  <si>
    <t>ST00000001767</t>
  </si>
  <si>
    <t>ST00000001768</t>
  </si>
  <si>
    <t>ST00000001769</t>
  </si>
  <si>
    <t>ST00000001770</t>
  </si>
  <si>
    <t>ST00000001771</t>
  </si>
  <si>
    <t>ST00000001772</t>
  </si>
  <si>
    <t>ST00000001773</t>
  </si>
  <si>
    <t>ST00000001774</t>
  </si>
  <si>
    <t>ST00000001775</t>
  </si>
  <si>
    <t>ST00000001776</t>
  </si>
  <si>
    <t>ST00000001777</t>
  </si>
  <si>
    <t>ST00000001778</t>
  </si>
  <si>
    <t>ON NUMARA POS ÇÖZÜMÜ - ELEKTRİK FATURA</t>
  </si>
  <si>
    <t>ON NUMARA POS ÇÖZÜMÜ - ELEKTRİK TEMİNAT GİDERİ</t>
  </si>
  <si>
    <t>ON NUMARA POS ÇÖZÜMÜ - BELEDİYE RUHSAT</t>
  </si>
  <si>
    <t>ON NUMARA POS ÇÖZÜMÜ - GENÇAY ÖDEME</t>
  </si>
  <si>
    <t>ON NUMARA POS ÇÖZÜMÜ - YILLIK GELİR VERGİSİ</t>
  </si>
  <si>
    <t>ON NUMARA POS ÇÖZÜMÜ - EK KART ÜCRETİ</t>
  </si>
  <si>
    <t>ST00000001779</t>
  </si>
  <si>
    <t>ST00000001780</t>
  </si>
  <si>
    <t>ST00000001781</t>
  </si>
  <si>
    <t>ST00000001782</t>
  </si>
  <si>
    <t>ST00000001783</t>
  </si>
  <si>
    <t>ST00000001784</t>
  </si>
  <si>
    <t>ST00000001785</t>
  </si>
  <si>
    <t>ST00000001786</t>
  </si>
  <si>
    <t>ST00000001787</t>
  </si>
  <si>
    <t>ST00000001788</t>
  </si>
  <si>
    <t>ST00000001789</t>
  </si>
  <si>
    <t>ST00000001790</t>
  </si>
  <si>
    <t>Nis</t>
  </si>
  <si>
    <t>ST00000001791</t>
  </si>
  <si>
    <t>ST00000001792</t>
  </si>
  <si>
    <t>ST00000001793</t>
  </si>
  <si>
    <t>ST00000001794</t>
  </si>
  <si>
    <t>ST00000001795</t>
  </si>
  <si>
    <t>ST00000001796</t>
  </si>
  <si>
    <t>ST00000001797</t>
  </si>
  <si>
    <t>ST00000001798</t>
  </si>
  <si>
    <t>ST00000001799</t>
  </si>
  <si>
    <t>ST00000001800</t>
  </si>
  <si>
    <t>ST00000001801</t>
  </si>
  <si>
    <t>ST00000001802</t>
  </si>
  <si>
    <t>ST00000001803</t>
  </si>
  <si>
    <t>ST00000001804</t>
  </si>
  <si>
    <t>ST00000001805</t>
  </si>
  <si>
    <t>ST00000001806</t>
  </si>
  <si>
    <t>ST00000001807</t>
  </si>
  <si>
    <t>ST00000001808</t>
  </si>
  <si>
    <t>ST00000001809</t>
  </si>
  <si>
    <t>ST00000001810</t>
  </si>
  <si>
    <t>ST00000001811</t>
  </si>
  <si>
    <t>ST00000001812</t>
  </si>
  <si>
    <t>ST00000001813</t>
  </si>
  <si>
    <t>ST00000001814</t>
  </si>
  <si>
    <t>ST00000001815</t>
  </si>
  <si>
    <t>ST00000001816</t>
  </si>
  <si>
    <t>ST00000001817</t>
  </si>
  <si>
    <t>ST00000001818</t>
  </si>
  <si>
    <t>SU FATURASI ÖDEME - TFK</t>
  </si>
  <si>
    <t>ST00000001819</t>
  </si>
  <si>
    <t>ST00000001820</t>
  </si>
  <si>
    <t>ST00000001821</t>
  </si>
  <si>
    <t>ANTEP FISTIĞI</t>
  </si>
  <si>
    <t>ST00000001822</t>
  </si>
  <si>
    <t>ST00000001823</t>
  </si>
  <si>
    <t>ST00000001824</t>
  </si>
  <si>
    <t>ST00000001825</t>
  </si>
  <si>
    <t>ST00000001826</t>
  </si>
  <si>
    <t>ST00000001827</t>
  </si>
  <si>
    <t>ST00000001828</t>
  </si>
  <si>
    <t>ST00000001829</t>
  </si>
  <si>
    <t>ST00000001830</t>
  </si>
  <si>
    <t>ST00000001831</t>
  </si>
  <si>
    <t>ST00000001832</t>
  </si>
  <si>
    <t>ST00000001833</t>
  </si>
  <si>
    <t>ST00000001834</t>
  </si>
  <si>
    <t>ST00000001835</t>
  </si>
  <si>
    <t>ST00000001836</t>
  </si>
  <si>
    <t>ST00000001837</t>
  </si>
  <si>
    <t>ST00000001838</t>
  </si>
  <si>
    <t>ST00000001839</t>
  </si>
  <si>
    <t>ST00000001840</t>
  </si>
  <si>
    <t>ST00000001841</t>
  </si>
  <si>
    <t>ST00000001843</t>
  </si>
  <si>
    <t>ST00000001844</t>
  </si>
  <si>
    <t>ST00000001845</t>
  </si>
  <si>
    <t>ST00000001846</t>
  </si>
  <si>
    <t>ST00000001847</t>
  </si>
  <si>
    <t>ST00000001848</t>
  </si>
  <si>
    <t>ST00000001849</t>
  </si>
  <si>
    <t>ST00000001850</t>
  </si>
  <si>
    <t>ST00000001851</t>
  </si>
  <si>
    <t>ST00000001852</t>
  </si>
  <si>
    <t>ST00000001853</t>
  </si>
  <si>
    <t>ST00000001854</t>
  </si>
  <si>
    <t>ST00000001855</t>
  </si>
  <si>
    <t>ST00000001856</t>
  </si>
  <si>
    <t>ST00000001857</t>
  </si>
  <si>
    <t>ST00000001858</t>
  </si>
  <si>
    <t>ST00000001859</t>
  </si>
  <si>
    <t>ST00000001860</t>
  </si>
  <si>
    <t>ST00000001861</t>
  </si>
  <si>
    <t>ST00000001862</t>
  </si>
  <si>
    <t>ST00000001863</t>
  </si>
  <si>
    <t>ST00000001864</t>
  </si>
  <si>
    <t>TOPLAM ÇIKIŞ</t>
  </si>
  <si>
    <t>TOPLAM MAL ALIŞ (BRİM/KG)</t>
  </si>
  <si>
    <t>TARİH BAZLI KALAN STOK</t>
  </si>
  <si>
    <t>TARİH BAZLI KALAN STOK TUTARI</t>
  </si>
  <si>
    <t>TOPLAM ÇIKIŞ BİRİM</t>
  </si>
  <si>
    <t>TOPLAM MAL ALIMI</t>
  </si>
  <si>
    <t>toplam mal alımı</t>
  </si>
  <si>
    <t>satılan malın maliyeti</t>
  </si>
  <si>
    <t>alış iade toplam</t>
  </si>
  <si>
    <t>(iade öncesi) kalan stok birim</t>
  </si>
  <si>
    <t>(iade öncesi) kalan stok tl</t>
  </si>
  <si>
    <t>(iade sonrası) kalan stok birim</t>
  </si>
  <si>
    <t>(iade sonrası) kalan stok tl</t>
  </si>
  <si>
    <t>TOPLAM SATIŞ ÇIKIŞI BİRİM</t>
  </si>
  <si>
    <t>TOPLAM İADE ÇIKIŞI BİRİM</t>
  </si>
  <si>
    <t>TOPLAM ÜRETİM ÇIKIŞI BİRİM</t>
  </si>
  <si>
    <t>TOPLAM SATIŞ TL</t>
  </si>
  <si>
    <t>TOPLAM İADE ÇIKIŞI TL</t>
  </si>
  <si>
    <t>TOPLAM MAL ALIŞ (BRİM/TL)</t>
  </si>
  <si>
    <t>ORTALAMA ALIŞ FİYATI</t>
  </si>
  <si>
    <t>TOPLAM ÜRETİM ÇIKIŞI TL</t>
  </si>
  <si>
    <t>KALAN STOK BİRİM</t>
  </si>
  <si>
    <t>KALAN STOK TL</t>
  </si>
  <si>
    <t>ST00000001865</t>
  </si>
  <si>
    <t>ST00000001866</t>
  </si>
  <si>
    <t>ST00000001867</t>
  </si>
  <si>
    <t>ST00000001868</t>
  </si>
  <si>
    <t>ST00000001869</t>
  </si>
  <si>
    <t>ST00000001870</t>
  </si>
  <si>
    <t>ST00000001871</t>
  </si>
  <si>
    <t>ST00000001872</t>
  </si>
  <si>
    <t>ST00000001873</t>
  </si>
  <si>
    <t>ST00000001874</t>
  </si>
  <si>
    <t>ST00000001875</t>
  </si>
  <si>
    <t>ST00000001876</t>
  </si>
  <si>
    <t>ST00000001877</t>
  </si>
  <si>
    <t>ST00000001878</t>
  </si>
  <si>
    <t>ST00000001879</t>
  </si>
  <si>
    <t>ST00000001880</t>
  </si>
  <si>
    <t>ST00000001881</t>
  </si>
  <si>
    <t>ST00000001882</t>
  </si>
  <si>
    <t>ST00000001883</t>
  </si>
  <si>
    <t>ST00000001884</t>
  </si>
  <si>
    <t>ST00000001885</t>
  </si>
  <si>
    <t>ST00000001886</t>
  </si>
  <si>
    <t>ST00000001887</t>
  </si>
  <si>
    <t>ST00000001888</t>
  </si>
  <si>
    <t>ST00000001889</t>
  </si>
  <si>
    <t>ST00000001890</t>
  </si>
  <si>
    <t>ST00000001891</t>
  </si>
  <si>
    <t>ST00000001892</t>
  </si>
  <si>
    <t>ST00000001893</t>
  </si>
  <si>
    <t>ST00000001894</t>
  </si>
  <si>
    <t>ST00000001895</t>
  </si>
  <si>
    <t>ST00000001896</t>
  </si>
  <si>
    <t>ST00000001897</t>
  </si>
  <si>
    <t>ST00000001898</t>
  </si>
  <si>
    <t>ST00000001899</t>
  </si>
  <si>
    <t>ST00000001900</t>
  </si>
  <si>
    <t>ST00000001901</t>
  </si>
  <si>
    <t>ST00000001902</t>
  </si>
  <si>
    <t>ST00000001903</t>
  </si>
  <si>
    <t>ST00000001904</t>
  </si>
  <si>
    <t>ST00000001905</t>
  </si>
  <si>
    <t>ST00000001906</t>
  </si>
  <si>
    <t>ST00000001907</t>
  </si>
  <si>
    <t>ST00000001908</t>
  </si>
  <si>
    <t>ST00000001909</t>
  </si>
  <si>
    <t>ST00000001910</t>
  </si>
  <si>
    <t>ST00000001911</t>
  </si>
  <si>
    <t>ST00000001912</t>
  </si>
  <si>
    <t>ST00000001913</t>
  </si>
  <si>
    <t>ST00000001914</t>
  </si>
  <si>
    <t>MMT KREDİ KARTI ÖDEME</t>
  </si>
  <si>
    <t>SERMAYE - MMT ALIŞVERİŞLERİN DÜŞÜMÜ</t>
  </si>
  <si>
    <t>ST00000001915</t>
  </si>
  <si>
    <t>ST00000001916</t>
  </si>
  <si>
    <t>ST00000001917</t>
  </si>
  <si>
    <t>ST00000001918</t>
  </si>
  <si>
    <t>ST00000001919</t>
  </si>
  <si>
    <t>ST00000001920</t>
  </si>
  <si>
    <t>ST00000001921</t>
  </si>
  <si>
    <t>ST00000001922</t>
  </si>
  <si>
    <t>ST00000001923</t>
  </si>
  <si>
    <t>ST00000001924</t>
  </si>
  <si>
    <t>ST00000001925</t>
  </si>
  <si>
    <t>ST00000001926</t>
  </si>
  <si>
    <t>ST00000001927</t>
  </si>
  <si>
    <t>ST00000001928</t>
  </si>
  <si>
    <t>ST00000001929</t>
  </si>
  <si>
    <t>ST00000001930</t>
  </si>
  <si>
    <t>ST00000001931</t>
  </si>
  <si>
    <t>ST00000001932</t>
  </si>
  <si>
    <t>ST00000001933</t>
  </si>
  <si>
    <t>ST00000001934</t>
  </si>
  <si>
    <t>SATIŞ - ROJBIN</t>
  </si>
  <si>
    <t>PEMA AMBALAJ - ATLET POŞET</t>
  </si>
  <si>
    <t>ST00000001935</t>
  </si>
  <si>
    <t>ST00000001936</t>
  </si>
  <si>
    <t>ST00000001938</t>
  </si>
  <si>
    <t>ST00000001937</t>
  </si>
  <si>
    <t>ST00000001939</t>
  </si>
  <si>
    <t>ST00000001940</t>
  </si>
  <si>
    <t>ST00000001941</t>
  </si>
  <si>
    <t>SATIŞ -MMT</t>
  </si>
  <si>
    <t>ST00000001942</t>
  </si>
  <si>
    <t>ST00000001943</t>
  </si>
  <si>
    <t>ST00000001944</t>
  </si>
  <si>
    <t>ST00000001945</t>
  </si>
  <si>
    <t>ST00000001946</t>
  </si>
  <si>
    <t>ST00000001947</t>
  </si>
  <si>
    <t>ST00000001948</t>
  </si>
  <si>
    <t>ST00000001949</t>
  </si>
  <si>
    <t>ST00000001950</t>
  </si>
  <si>
    <t>ST00000001951</t>
  </si>
  <si>
    <t>ST00000001952</t>
  </si>
  <si>
    <t>ST00000001953</t>
  </si>
  <si>
    <t>ST00000001954</t>
  </si>
  <si>
    <t>ST00000001955</t>
  </si>
  <si>
    <t>ST00000001956</t>
  </si>
  <si>
    <t>ST00000001957</t>
  </si>
  <si>
    <t>ST00000001958</t>
  </si>
  <si>
    <t>ST00000001959</t>
  </si>
  <si>
    <t>ST00000001960</t>
  </si>
  <si>
    <t>ST00000001961</t>
  </si>
  <si>
    <t>ST00000001962</t>
  </si>
  <si>
    <t>ST00000001963</t>
  </si>
  <si>
    <t>ST00000001964</t>
  </si>
  <si>
    <t>ST00000001965</t>
  </si>
  <si>
    <t>ST00000001966</t>
  </si>
  <si>
    <t>ST00000001967</t>
  </si>
  <si>
    <t>ST00000001968</t>
  </si>
  <si>
    <t>ST00000001969</t>
  </si>
  <si>
    <t>ST00000001970</t>
  </si>
  <si>
    <t>ST00000001971</t>
  </si>
  <si>
    <t>ST00000001972</t>
  </si>
  <si>
    <t>ST00000001973</t>
  </si>
  <si>
    <t>ST00000001974</t>
  </si>
  <si>
    <t>ST00000001975</t>
  </si>
  <si>
    <t>ST00000001976</t>
  </si>
  <si>
    <t>ST00000001977</t>
  </si>
  <si>
    <t>ST00000001978</t>
  </si>
  <si>
    <t>ST00000001979</t>
  </si>
  <si>
    <t>ST00000001980</t>
  </si>
  <si>
    <t>ST00000001981</t>
  </si>
  <si>
    <t>ST00000001982</t>
  </si>
  <si>
    <t>ST00000001983</t>
  </si>
  <si>
    <t>ST00000001984</t>
  </si>
  <si>
    <t>ST00000001985</t>
  </si>
  <si>
    <t>ST00000001986</t>
  </si>
  <si>
    <t>ST00000001987</t>
  </si>
  <si>
    <t>ST00000001988</t>
  </si>
  <si>
    <t>ST00000001989</t>
  </si>
  <si>
    <t>HARDAL TOHUMU - SİYAH</t>
  </si>
  <si>
    <t>el-ruha</t>
  </si>
  <si>
    <t>apo</t>
  </si>
  <si>
    <t>sucu</t>
  </si>
  <si>
    <t>ST00000001990</t>
  </si>
  <si>
    <t>ST00000001991</t>
  </si>
  <si>
    <t>ST00000001992</t>
  </si>
  <si>
    <t>ST00000001993</t>
  </si>
  <si>
    <t>ST00000001994</t>
  </si>
  <si>
    <t>ST00000001995</t>
  </si>
  <si>
    <t>ST00000001996</t>
  </si>
  <si>
    <t>ST00000001997</t>
  </si>
  <si>
    <t>ST00000001998</t>
  </si>
  <si>
    <t>ST00000001999</t>
  </si>
  <si>
    <t>ST00000002000</t>
  </si>
  <si>
    <t>SATIŞ - MAHALLE FATİH</t>
  </si>
  <si>
    <t>DURMUŞOĞULLARI KATI PEKMEZ</t>
  </si>
  <si>
    <t>SATIŞ - SAADET</t>
  </si>
  <si>
    <t>CEVİZ 1 KG</t>
  </si>
  <si>
    <t>MAL ALIMI - ATAYOLU AKTAR - NAKİT</t>
  </si>
  <si>
    <t>KÜÇÜK JELETİN POŞETLER - PEMA</t>
  </si>
  <si>
    <t>DURMUŞOĞULLARI - KATI PEKMEZ - TFK</t>
  </si>
  <si>
    <t>SATIŞ - TOPTAN - DÜKKANA ABLA</t>
  </si>
  <si>
    <t>SATIŞ - FADİME - İADE - ANNE EMANET</t>
  </si>
  <si>
    <t>ST00000002001</t>
  </si>
  <si>
    <t>ST00000002002</t>
  </si>
  <si>
    <t>GÜLFİYE KUVEYT GÖNDERİLEN</t>
  </si>
  <si>
    <t>ST00000002003</t>
  </si>
  <si>
    <t>ST00000002004</t>
  </si>
  <si>
    <t>ST00000002005</t>
  </si>
  <si>
    <t>ST00000002006</t>
  </si>
  <si>
    <t>ST00000002007</t>
  </si>
  <si>
    <t>ST00000002008</t>
  </si>
  <si>
    <t>ST00000002009</t>
  </si>
  <si>
    <t>ST00000002010</t>
  </si>
  <si>
    <t>ST00000002011</t>
  </si>
  <si>
    <t>ST00000002012</t>
  </si>
  <si>
    <t>ST00000002013</t>
  </si>
  <si>
    <t>ST00000002014</t>
  </si>
  <si>
    <t>DURMUŞOĞULLARI - KATI PEKMEZ - KARGO</t>
  </si>
  <si>
    <t>DURMUŞOĞULLARI - KATI PEKMEZ - MAL ALIMI</t>
  </si>
  <si>
    <t>ST00000002015</t>
  </si>
  <si>
    <t>ST00000002016</t>
  </si>
  <si>
    <t>ST00000002017</t>
  </si>
  <si>
    <t>ST00000002018</t>
  </si>
  <si>
    <t>ST00000002019</t>
  </si>
  <si>
    <t>ST00000002020</t>
  </si>
  <si>
    <t>ST00000002021</t>
  </si>
  <si>
    <t>ST00000002022</t>
  </si>
  <si>
    <t>ST00000002023</t>
  </si>
  <si>
    <t>ST00000002024</t>
  </si>
  <si>
    <t>ST00000002025</t>
  </si>
  <si>
    <t>ST00000002026</t>
  </si>
  <si>
    <t>ST00000002027</t>
  </si>
  <si>
    <t>ST00000002028</t>
  </si>
  <si>
    <t>ST00000002029</t>
  </si>
  <si>
    <t>ST00000002030</t>
  </si>
  <si>
    <t>ST00000002031</t>
  </si>
  <si>
    <t>ST00000002032</t>
  </si>
  <si>
    <t>ST00000002033</t>
  </si>
  <si>
    <t>ST00000002034</t>
  </si>
  <si>
    <t>ST00000002035</t>
  </si>
  <si>
    <t>ST00000002036</t>
  </si>
  <si>
    <t>ST00000002037</t>
  </si>
  <si>
    <t>ST00000002038</t>
  </si>
  <si>
    <t>ST00000002039</t>
  </si>
  <si>
    <t>ST00000002040</t>
  </si>
  <si>
    <t>ST00000002041</t>
  </si>
  <si>
    <t>ST00000002042</t>
  </si>
  <si>
    <t>ST00000002043</t>
  </si>
  <si>
    <t>ST00000002044</t>
  </si>
  <si>
    <t>ST00000002045</t>
  </si>
  <si>
    <t>ST00000002046</t>
  </si>
  <si>
    <t>ST00000002047</t>
  </si>
  <si>
    <t>NAHİTA IŞGIN SİRKESİ</t>
  </si>
  <si>
    <t>TÜDAB A.Ş. - İADE</t>
  </si>
  <si>
    <t>ADET/KG</t>
  </si>
  <si>
    <t>BİRİM FİYAT</t>
  </si>
  <si>
    <t>G.TOPLAM</t>
  </si>
  <si>
    <t>İADELER</t>
  </si>
  <si>
    <t>TÜDAB A.Ş - CARİ ÖDEME - ON NUMARA KREDİ KARTI</t>
  </si>
  <si>
    <t>ST00000002048</t>
  </si>
  <si>
    <t>HARMANA BEFORM - HİNDİBA SİRKESİ 250 ML</t>
  </si>
  <si>
    <t>TOZ BİBER - ACI</t>
  </si>
  <si>
    <t>ST00000002049</t>
  </si>
  <si>
    <t>ST00000002050</t>
  </si>
  <si>
    <t>ST00000002051</t>
  </si>
  <si>
    <t>ST00000002052</t>
  </si>
  <si>
    <t>ST00000002053</t>
  </si>
  <si>
    <t>ST00000002054</t>
  </si>
  <si>
    <t>ST00000002055</t>
  </si>
  <si>
    <t>ST00000002056</t>
  </si>
  <si>
    <t>ST00000002057</t>
  </si>
  <si>
    <t>ST00000002058</t>
  </si>
  <si>
    <t>ST00000002059</t>
  </si>
  <si>
    <t>ST00000002060</t>
  </si>
  <si>
    <t>ST00000002061</t>
  </si>
  <si>
    <t>ST00000002062</t>
  </si>
  <si>
    <t>ST00000002063</t>
  </si>
  <si>
    <t>ST00000002064</t>
  </si>
  <si>
    <t>ST00000002065</t>
  </si>
  <si>
    <t>ST00000002066</t>
  </si>
  <si>
    <t>ON NUMARA POS ÇÖZÜMÜ - ELEKTRİK FATURASI</t>
  </si>
  <si>
    <t>ST00000002067</t>
  </si>
  <si>
    <t>ST00000002068</t>
  </si>
  <si>
    <t>ST00000002069</t>
  </si>
  <si>
    <t>ST00000002070</t>
  </si>
  <si>
    <t>ST00000002071</t>
  </si>
  <si>
    <t>ST00000002072</t>
  </si>
  <si>
    <t>ST00000002073</t>
  </si>
  <si>
    <t>ST00000002074</t>
  </si>
  <si>
    <t>ST00000002075</t>
  </si>
  <si>
    <t>ST00000002076</t>
  </si>
  <si>
    <t>ST00000002077</t>
  </si>
  <si>
    <t>ST00000002078</t>
  </si>
  <si>
    <t>ST00000002079</t>
  </si>
  <si>
    <t>ST00000002080</t>
  </si>
  <si>
    <t>ST00000002081</t>
  </si>
  <si>
    <t>ST00000002082</t>
  </si>
  <si>
    <t>ST00000002083</t>
  </si>
  <si>
    <t>ST00000002084</t>
  </si>
  <si>
    <t>ST00000002085</t>
  </si>
  <si>
    <t>ST00000002086</t>
  </si>
  <si>
    <t>ST00000002087</t>
  </si>
  <si>
    <t>ST00000002088</t>
  </si>
  <si>
    <t>ST00000002089</t>
  </si>
  <si>
    <t>ST00000002090</t>
  </si>
  <si>
    <t>ST00000002091</t>
  </si>
  <si>
    <t>ST00000002092</t>
  </si>
  <si>
    <t>ST00000002093</t>
  </si>
  <si>
    <t>ST00000002094</t>
  </si>
  <si>
    <t>ST00000002095</t>
  </si>
  <si>
    <t>ST00000002096</t>
  </si>
  <si>
    <t>AKGÜNLÜK</t>
  </si>
  <si>
    <t>ST00000002097</t>
  </si>
  <si>
    <t>ST00000002098</t>
  </si>
  <si>
    <t>ST00000002099</t>
  </si>
  <si>
    <t>ST00000002100</t>
  </si>
  <si>
    <t>ST00000002101</t>
  </si>
  <si>
    <t>ST00000002102</t>
  </si>
  <si>
    <t>ST00000002103</t>
  </si>
  <si>
    <t>ST00000002104</t>
  </si>
  <si>
    <t>ST00000002105</t>
  </si>
  <si>
    <t>ST00000002106</t>
  </si>
  <si>
    <t>ST00000002107</t>
  </si>
  <si>
    <t>ST00000002108</t>
  </si>
  <si>
    <t>ST00000002109</t>
  </si>
  <si>
    <t>ST00000002110</t>
  </si>
  <si>
    <t>ST00000002111</t>
  </si>
  <si>
    <t>ST00000002112</t>
  </si>
  <si>
    <t>ST00000002113</t>
  </si>
  <si>
    <t>ST00000002114</t>
  </si>
  <si>
    <t>ST00000002115</t>
  </si>
  <si>
    <t>ST00000002116</t>
  </si>
  <si>
    <t>ST00000002117</t>
  </si>
  <si>
    <t>ST00000002118</t>
  </si>
  <si>
    <t>ST00000002119</t>
  </si>
  <si>
    <t>ST00000002120</t>
  </si>
  <si>
    <t>ST00000002121</t>
  </si>
  <si>
    <t>ST00000002122</t>
  </si>
  <si>
    <t>ST00000002123</t>
  </si>
  <si>
    <t>ST00000002124</t>
  </si>
  <si>
    <t>ST00000002125</t>
  </si>
  <si>
    <t>ST00000002126</t>
  </si>
  <si>
    <t>DEEPSEA DEO STİCK 60 GR (TER ÖNLEME)</t>
  </si>
  <si>
    <t>BHR2026000003917</t>
  </si>
  <si>
    <t>GE MA GIDA LTD. ŞTİ.</t>
  </si>
  <si>
    <t>01/2026 - 03/2026 STP ÖDEME</t>
  </si>
  <si>
    <t>ST00000002127</t>
  </si>
  <si>
    <t>ST00000002128</t>
  </si>
  <si>
    <t>ST00000002129</t>
  </si>
  <si>
    <t>ST00000002130</t>
  </si>
  <si>
    <t>May</t>
  </si>
  <si>
    <t>HANİFE DİVLEK - TFK TAHSİLAT</t>
  </si>
  <si>
    <t>ST00000002131</t>
  </si>
  <si>
    <t>ST00000002132</t>
  </si>
  <si>
    <t>ST00000002133</t>
  </si>
  <si>
    <t>ST00000002134</t>
  </si>
  <si>
    <t>ST00000002135</t>
  </si>
  <si>
    <t>ST00000002136</t>
  </si>
  <si>
    <t>ST00000002137</t>
  </si>
  <si>
    <t>ST00000002138</t>
  </si>
  <si>
    <t>ON NUMARA POS ÇÖZÜMÜ İSKİ</t>
  </si>
  <si>
    <t>ON NUMARA POS ÇÖZÜMÜ KDV</t>
  </si>
  <si>
    <t>KDV ÖDEME - 02/2026 DNM - MMT K.K.</t>
  </si>
  <si>
    <t>KİRA GİDERİ - 2026/05</t>
  </si>
  <si>
    <t>KİRA GİDERİ - 2026/04</t>
  </si>
  <si>
    <t>KİRA GİDERİ - 2026/03</t>
  </si>
  <si>
    <t>KİRA GİDERİ - 2026/02</t>
  </si>
  <si>
    <t>KİRA GİDERİ - 2026/01</t>
  </si>
  <si>
    <t>KİRA GİDERİ - 2025/12</t>
  </si>
  <si>
    <t>KİRA GİDERİ - 2025/11</t>
  </si>
  <si>
    <t>ST00000002139</t>
  </si>
  <si>
    <t>ST00000002140</t>
  </si>
  <si>
    <t>ST00000002141</t>
  </si>
  <si>
    <t>ST00000002142</t>
  </si>
  <si>
    <t>ST00000002143</t>
  </si>
  <si>
    <t>ST00000002144</t>
  </si>
  <si>
    <t>ST00000002145</t>
  </si>
  <si>
    <t>ST00000002146</t>
  </si>
  <si>
    <t>SARMA - TELEFONLU KIZ</t>
  </si>
  <si>
    <t>ST00000002147</t>
  </si>
  <si>
    <t>ST00000002148</t>
  </si>
  <si>
    <t>ST00000002149</t>
  </si>
  <si>
    <t>ST00000002150</t>
  </si>
  <si>
    <t>ST00000002151</t>
  </si>
  <si>
    <t>VAZELİN</t>
  </si>
  <si>
    <t>KABAK ÇEKİRDEĞİ YAĞI BÜYÜK</t>
  </si>
  <si>
    <t>DAMLA SAKIZI</t>
  </si>
  <si>
    <t>NAR EKİŞİSİ</t>
  </si>
  <si>
    <t>HİNT YAĞI</t>
  </si>
  <si>
    <t>NANE YAĞI</t>
  </si>
  <si>
    <t>KARANFİL YAĞI</t>
  </si>
  <si>
    <t>UDİ HİNDİ?</t>
  </si>
  <si>
    <t>CEVİZ</t>
  </si>
  <si>
    <t>TANE SUMAK - 10 KG</t>
  </si>
  <si>
    <t>KAYISI</t>
  </si>
  <si>
    <t>DUT</t>
  </si>
  <si>
    <t>ST00000002152</t>
  </si>
  <si>
    <t>ST00000002153</t>
  </si>
  <si>
    <t>ST00000002154</t>
  </si>
  <si>
    <t>ST00000002155</t>
  </si>
  <si>
    <t>ST00000002156</t>
  </si>
  <si>
    <t>ST00000002157</t>
  </si>
  <si>
    <t>ST00000002158</t>
  </si>
  <si>
    <t>ST00000002159</t>
  </si>
  <si>
    <t>ST00000002160</t>
  </si>
  <si>
    <t>ST00000002161</t>
  </si>
  <si>
    <t>ST00000002162</t>
  </si>
  <si>
    <t>ST00000002163</t>
  </si>
  <si>
    <t>ST00000002164</t>
  </si>
  <si>
    <t>ST00000002165</t>
  </si>
  <si>
    <t>ST00000002166</t>
  </si>
  <si>
    <t>ST00000002167</t>
  </si>
  <si>
    <t>ST00000002168</t>
  </si>
  <si>
    <t>ST00000002169</t>
  </si>
  <si>
    <t>ST00000002170</t>
  </si>
  <si>
    <t>ST00000002171</t>
  </si>
  <si>
    <t>ST00000002172</t>
  </si>
  <si>
    <t>ST00000002173</t>
  </si>
  <si>
    <t>ST00000002174</t>
  </si>
  <si>
    <t>ST00000002175</t>
  </si>
  <si>
    <t>ST00000002176</t>
  </si>
  <si>
    <t>ST00000002177</t>
  </si>
  <si>
    <t>ST00000002178</t>
  </si>
  <si>
    <t>ST00000002179</t>
  </si>
  <si>
    <t>ST00000002180</t>
  </si>
  <si>
    <t>ST00000002181</t>
  </si>
  <si>
    <t>ST00000002182</t>
  </si>
  <si>
    <t>ST00000002183</t>
  </si>
  <si>
    <t>ST00000002184</t>
  </si>
  <si>
    <t>ST00000002185</t>
  </si>
  <si>
    <t>ST00000002186</t>
  </si>
  <si>
    <t>ST00000002187</t>
  </si>
  <si>
    <t>ST00000002188</t>
  </si>
  <si>
    <t>ST00000002189</t>
  </si>
  <si>
    <t>ST00000002190</t>
  </si>
  <si>
    <t>ST00000002191</t>
  </si>
  <si>
    <t>ST00000002192</t>
  </si>
  <si>
    <t>ST00000002193</t>
  </si>
  <si>
    <t>ST00000002194</t>
  </si>
  <si>
    <t>ST00000002195</t>
  </si>
  <si>
    <t>ST00000002196</t>
  </si>
  <si>
    <t>ST00000002197</t>
  </si>
  <si>
    <t>ST00000002198</t>
  </si>
  <si>
    <t>ST00000002199</t>
  </si>
  <si>
    <t>ST00000002200</t>
  </si>
  <si>
    <t>ST00000002201</t>
  </si>
  <si>
    <t>ST00000002202</t>
  </si>
  <si>
    <t>ST00000002203</t>
  </si>
  <si>
    <t>ST00000002204</t>
  </si>
  <si>
    <t>ST00000002205</t>
  </si>
  <si>
    <t>ST00000002206</t>
  </si>
  <si>
    <t>ST00000002207</t>
  </si>
  <si>
    <t>ST00000002208</t>
  </si>
  <si>
    <t>ST00000002209</t>
  </si>
  <si>
    <t>ST00000002210</t>
  </si>
  <si>
    <t>ST00000002211</t>
  </si>
  <si>
    <t>ST00000002212</t>
  </si>
  <si>
    <t>ST00000002213</t>
  </si>
  <si>
    <t>ST00000002214</t>
  </si>
  <si>
    <t>ST00000002215</t>
  </si>
  <si>
    <t>ST00000002216</t>
  </si>
  <si>
    <t>ST00000002217</t>
  </si>
  <si>
    <t>ST00000002218</t>
  </si>
  <si>
    <t>ST00000002219</t>
  </si>
  <si>
    <t>ST00000002220</t>
  </si>
  <si>
    <t>ST00000002221</t>
  </si>
  <si>
    <t>ST00000002222</t>
  </si>
  <si>
    <t>ST00000002223</t>
  </si>
  <si>
    <t>ST00000002224</t>
  </si>
  <si>
    <t>ST00000002225</t>
  </si>
  <si>
    <t>YALÇINTAT ÖDEME - TFK</t>
  </si>
  <si>
    <t>İBRAHİM ÜNLÜ MUHASEBE GİDERİ - NİSAN/MAYIS</t>
  </si>
  <si>
    <t>JAPON LİF</t>
  </si>
  <si>
    <t>ST00000002226</t>
  </si>
  <si>
    <t>ST00000002227</t>
  </si>
  <si>
    <t>KÜÇÜK BEYAZ KABAK ÇEKİRDEĞİ - NEVŞEHİR</t>
  </si>
  <si>
    <t>KÜÇÜK BEYAZ ÇİĞ KABAK ÇEKİRDEĞİ - NEVŞEHİR</t>
  </si>
  <si>
    <t>AŞURELİK BUĞDAY İZMİR</t>
  </si>
  <si>
    <t>ST00000002228</t>
  </si>
  <si>
    <t>SATIŞ - MAHALLE HOCASI</t>
  </si>
  <si>
    <t>ST00000002229</t>
  </si>
  <si>
    <t>ST00000002230</t>
  </si>
  <si>
    <t>ST00000002231</t>
  </si>
  <si>
    <t>ST00000002232</t>
  </si>
  <si>
    <t>ST00000002233</t>
  </si>
  <si>
    <t>ST00000002234</t>
  </si>
  <si>
    <t>ST00000002235</t>
  </si>
  <si>
    <t>ST00000002236</t>
  </si>
  <si>
    <t>ST00000002237</t>
  </si>
  <si>
    <t>ST00000002238</t>
  </si>
  <si>
    <t>ST00000002239</t>
  </si>
  <si>
    <t>ST00000002240</t>
  </si>
  <si>
    <t>ST00000002241</t>
  </si>
  <si>
    <t>ST00000002242</t>
  </si>
  <si>
    <t>ST00000002243</t>
  </si>
  <si>
    <t>ST00000002244</t>
  </si>
  <si>
    <t>ST00000002245</t>
  </si>
  <si>
    <t>ST00000002246</t>
  </si>
  <si>
    <t>ST00000002247</t>
  </si>
  <si>
    <t>ST00000002248</t>
  </si>
  <si>
    <t>ST00000002249</t>
  </si>
  <si>
    <t>SATIŞ - HEDİYE</t>
  </si>
  <si>
    <t>ST00000002250</t>
  </si>
  <si>
    <t>ST00000002251</t>
  </si>
  <si>
    <t>SATIŞ - SEYİT</t>
  </si>
  <si>
    <t>ST00000002252</t>
  </si>
  <si>
    <t>SATIŞ - SEYİT KOMŞUSU</t>
  </si>
  <si>
    <t>ST00000002253</t>
  </si>
  <si>
    <t>ST00000002254</t>
  </si>
  <si>
    <t>ST00000002255</t>
  </si>
  <si>
    <t>ST00000002256</t>
  </si>
  <si>
    <t>SATIŞ - KADER</t>
  </si>
  <si>
    <t>SATIŞ - RABİA</t>
  </si>
  <si>
    <t>ST00000002257</t>
  </si>
  <si>
    <t>ST00000002258</t>
  </si>
  <si>
    <t>ST00000002259</t>
  </si>
  <si>
    <t>ST00000002260</t>
  </si>
  <si>
    <t>ST00000002261</t>
  </si>
  <si>
    <t>ST00000002262</t>
  </si>
  <si>
    <t>ST00000002263</t>
  </si>
  <si>
    <t>ST00000002264</t>
  </si>
  <si>
    <t>ST00000002265</t>
  </si>
  <si>
    <t>ST00000002266</t>
  </si>
  <si>
    <t>ST00000002267</t>
  </si>
  <si>
    <t>ST00000002268</t>
  </si>
  <si>
    <t>ST00000002269</t>
  </si>
  <si>
    <t>ST00000002270</t>
  </si>
  <si>
    <t>ST00000002271</t>
  </si>
  <si>
    <t>ST00000002272</t>
  </si>
  <si>
    <t>ST00000002273</t>
  </si>
  <si>
    <t>ST00000002274</t>
  </si>
  <si>
    <t>ST00000002275</t>
  </si>
  <si>
    <t>ST00000002276</t>
  </si>
  <si>
    <t>ST00000002277</t>
  </si>
  <si>
    <t>ST00000002278</t>
  </si>
  <si>
    <t>ST00000002279</t>
  </si>
  <si>
    <t>ST00000002280</t>
  </si>
  <si>
    <t>ST00000002281</t>
  </si>
  <si>
    <t>ST00000002282</t>
  </si>
  <si>
    <t>ST00000002283</t>
  </si>
  <si>
    <t>ST00000002284</t>
  </si>
  <si>
    <t>ST00000002285</t>
  </si>
  <si>
    <t>ST00000002286</t>
  </si>
  <si>
    <t>ST00000002287</t>
  </si>
  <si>
    <t>ST00000002288</t>
  </si>
  <si>
    <t>ST00000002289</t>
  </si>
  <si>
    <t>ST00000002290</t>
  </si>
  <si>
    <t>ST00000002291</t>
  </si>
  <si>
    <t>ST00000002292</t>
  </si>
  <si>
    <t>ST00000002293</t>
  </si>
  <si>
    <t>ST00000002294</t>
  </si>
  <si>
    <t>ST00000002295</t>
  </si>
  <si>
    <t>ST00000002296</t>
  </si>
  <si>
    <t>ST00000002297</t>
  </si>
  <si>
    <t>ST00000002298</t>
  </si>
  <si>
    <t>ST00000002299</t>
  </si>
  <si>
    <t>ST00000002300</t>
  </si>
  <si>
    <t>ST00000002301</t>
  </si>
  <si>
    <t>ST00000002302</t>
  </si>
  <si>
    <t>ST00000002303</t>
  </si>
  <si>
    <t>ON NUMARA POS ÇÖZÜMÜ - GEÇİCİ VERGİ</t>
  </si>
  <si>
    <t>ST00000002304</t>
  </si>
  <si>
    <t>ST00000002305</t>
  </si>
  <si>
    <t>ST00000002306</t>
  </si>
  <si>
    <t>ST00000002307</t>
  </si>
  <si>
    <t>ST00000002308</t>
  </si>
  <si>
    <t>ST00000002309</t>
  </si>
  <si>
    <t>ST00000002310</t>
  </si>
  <si>
    <t>TEDARİK - SEYYAR</t>
  </si>
  <si>
    <t>ST00000002311</t>
  </si>
  <si>
    <t>ST00000002313</t>
  </si>
  <si>
    <t>ST00000002314</t>
  </si>
  <si>
    <t>ST00000002315</t>
  </si>
  <si>
    <t>ST00000002316</t>
  </si>
  <si>
    <t>ST00000002317</t>
  </si>
  <si>
    <t>ST00000002318</t>
  </si>
  <si>
    <t>ST00000002319</t>
  </si>
  <si>
    <t>SATIŞ - TOPTAN - KÖŞE LOKANTA</t>
  </si>
  <si>
    <t>ST00000002320</t>
  </si>
  <si>
    <t>ST00000002321</t>
  </si>
  <si>
    <t>ST00000002322</t>
  </si>
  <si>
    <t>ST00000002323</t>
  </si>
  <si>
    <t>ST00000002324</t>
  </si>
  <si>
    <t>ST00000002325</t>
  </si>
  <si>
    <t>ST00000002326</t>
  </si>
  <si>
    <t>ST00000002327</t>
  </si>
  <si>
    <t>ST00000002328</t>
  </si>
  <si>
    <t>ST00000002329</t>
  </si>
  <si>
    <t>ST00000002330</t>
  </si>
  <si>
    <t>ST00000002331</t>
  </si>
  <si>
    <t>ST00000002332</t>
  </si>
  <si>
    <t>ST00000002333</t>
  </si>
  <si>
    <t>ST00000002334</t>
  </si>
  <si>
    <t>ST00000002335</t>
  </si>
  <si>
    <t>ST00000002336</t>
  </si>
  <si>
    <t>ST00000002337</t>
  </si>
  <si>
    <t>ST00000002338</t>
  </si>
  <si>
    <t>ST00000002339</t>
  </si>
  <si>
    <t>ST00000002340</t>
  </si>
  <si>
    <t>ST00000002341</t>
  </si>
  <si>
    <t>ST00000002342</t>
  </si>
  <si>
    <t>ST00000002343</t>
  </si>
  <si>
    <t>ST00000002344</t>
  </si>
  <si>
    <t>ST00000002345</t>
  </si>
  <si>
    <t>ST00000002346</t>
  </si>
  <si>
    <t>ST00000002347</t>
  </si>
  <si>
    <t>ST00000002348</t>
  </si>
  <si>
    <t>ST00000002349</t>
  </si>
  <si>
    <t>ST00000002350</t>
  </si>
  <si>
    <t>ST00000002351</t>
  </si>
  <si>
    <t>TARHANA</t>
  </si>
  <si>
    <t>ST00000002352</t>
  </si>
  <si>
    <t>ST00000002353</t>
  </si>
  <si>
    <t>ST00000002354</t>
  </si>
  <si>
    <t>ST00000002355</t>
  </si>
  <si>
    <t>ST00000002356</t>
  </si>
  <si>
    <t>ST00000002357</t>
  </si>
  <si>
    <t>ST00000002358</t>
  </si>
  <si>
    <t>ST00000002359</t>
  </si>
  <si>
    <t>ST00000002360</t>
  </si>
  <si>
    <t>ST00000002361</t>
  </si>
  <si>
    <t>ST00000002362</t>
  </si>
  <si>
    <t>ST00000002363</t>
  </si>
  <si>
    <t>ST00000002364</t>
  </si>
  <si>
    <t>ST00000002365</t>
  </si>
  <si>
    <t>ST00000002366</t>
  </si>
  <si>
    <t>ST00000002367</t>
  </si>
  <si>
    <t>ST00000002368</t>
  </si>
  <si>
    <t>ST00000002369</t>
  </si>
  <si>
    <t>ST00000002370</t>
  </si>
  <si>
    <t>ST00000002371</t>
  </si>
  <si>
    <t>ST00000002372</t>
  </si>
  <si>
    <t>ST00000002373</t>
  </si>
  <si>
    <t>ST00000002374</t>
  </si>
  <si>
    <t>HANİFE DİVLEK - CARİ TAHSİLAT - GÜLO KUVEYT</t>
  </si>
  <si>
    <t>ST00000002375</t>
  </si>
  <si>
    <t>ST00000002376</t>
  </si>
  <si>
    <t>ST00000002377</t>
  </si>
  <si>
    <t>ST00000002378</t>
  </si>
  <si>
    <t>ST00000002379</t>
  </si>
  <si>
    <t>ON NUMARA POS ÇÖZÜMÜ - ELEKTRİK</t>
  </si>
  <si>
    <t>ON NUMARA POS ÇÖZÜMÜ - SU</t>
  </si>
  <si>
    <t>ON NUMARA POS ÇÖZÜMÜ - KDV</t>
  </si>
  <si>
    <t>Haz</t>
  </si>
  <si>
    <t>KİRA GİDERİ - HAZİRAN</t>
  </si>
  <si>
    <t>ST00000002380</t>
  </si>
  <si>
    <t>ST00000002381</t>
  </si>
  <si>
    <t>ST00000002382</t>
  </si>
  <si>
    <t>ST00000002383</t>
  </si>
  <si>
    <t>ST00000002384</t>
  </si>
  <si>
    <t>ST00000002385</t>
  </si>
  <si>
    <t>ST00000002386</t>
  </si>
  <si>
    <t>ST00000002387</t>
  </si>
  <si>
    <t>ST00000002388</t>
  </si>
  <si>
    <t>ST00000002389</t>
  </si>
  <si>
    <t>ST00000002390</t>
  </si>
  <si>
    <t>ST00000002391</t>
  </si>
  <si>
    <t>ST00000002392</t>
  </si>
  <si>
    <t>SATIŞ - TOPTAN - MAHALLE ABLA</t>
  </si>
  <si>
    <t>ST00000002393</t>
  </si>
  <si>
    <t>ST00000002394</t>
  </si>
  <si>
    <t>ST00000002395</t>
  </si>
  <si>
    <t>ST00000002396</t>
  </si>
  <si>
    <t>ST00000002397</t>
  </si>
  <si>
    <t>ST00000002398</t>
  </si>
  <si>
    <t>ST00000002399</t>
  </si>
  <si>
    <t>ST00000002400</t>
  </si>
  <si>
    <t>ST00000002401</t>
  </si>
  <si>
    <t>ST00000002402</t>
  </si>
  <si>
    <t>ST00000002403</t>
  </si>
  <si>
    <t>ST00000002404</t>
  </si>
  <si>
    <t>ST00000002405</t>
  </si>
  <si>
    <t>ST00000002406</t>
  </si>
  <si>
    <t>ST00000002407</t>
  </si>
  <si>
    <t>ST00000002408</t>
  </si>
  <si>
    <t>ST00000002409</t>
  </si>
  <si>
    <t>ST00000002410</t>
  </si>
  <si>
    <t>ST00000002411</t>
  </si>
  <si>
    <t>ST00000002412</t>
  </si>
  <si>
    <t>ST00000002413</t>
  </si>
  <si>
    <t>ST00000002414</t>
  </si>
  <si>
    <t>ST00000002415</t>
  </si>
  <si>
    <t>ST00000002416</t>
  </si>
  <si>
    <t>YILMAZ KARDEŞLER GIDA LTD - MAL ALIMI</t>
  </si>
  <si>
    <t>ON NUMARA POS ÇÖZÜMÜ - YILMAZ KARDEŞLER</t>
  </si>
  <si>
    <t>YILMAZ KARDEŞLER GIDA LTD.</t>
  </si>
  <si>
    <t>5250 ONNUMARA KART - 4000 NAKİT</t>
  </si>
  <si>
    <t>NEVANTAT MAL ALIMI</t>
  </si>
  <si>
    <t>ON NUMARA POS ÇÖZÜMÜ - NEVANTAT - MEHMET GALİP SARIGÜL</t>
  </si>
  <si>
    <t>ST00000002417</t>
  </si>
  <si>
    <t>ST00000002418</t>
  </si>
  <si>
    <t>ST00000002419</t>
  </si>
  <si>
    <t>ST00000002420</t>
  </si>
  <si>
    <t>ST00000002421</t>
  </si>
  <si>
    <t>ST00000002422</t>
  </si>
  <si>
    <t>ST00000002423</t>
  </si>
  <si>
    <t>ST00000002424</t>
  </si>
  <si>
    <t>ST00000002425</t>
  </si>
  <si>
    <t>ST00000002426</t>
  </si>
  <si>
    <t>ST00000002427</t>
  </si>
  <si>
    <t>ST00000002428</t>
  </si>
  <si>
    <t>ST00000002429</t>
  </si>
  <si>
    <t>ST00000002430</t>
  </si>
  <si>
    <t>ST00000002431</t>
  </si>
  <si>
    <t>SATIŞ - 90 ALDIK 230 KALDI</t>
  </si>
  <si>
    <t>MALLE ABLA (LAZ)</t>
  </si>
  <si>
    <t>ST00000002432</t>
  </si>
  <si>
    <t>ST00000002433</t>
  </si>
  <si>
    <t>ST00000002434</t>
  </si>
  <si>
    <t>ST00000002435</t>
  </si>
  <si>
    <t>ST00000002436</t>
  </si>
  <si>
    <t>ST00000002437</t>
  </si>
  <si>
    <t>ST00000002438</t>
  </si>
  <si>
    <t>ST00000002439</t>
  </si>
  <si>
    <t>ST00000002440</t>
  </si>
  <si>
    <t>ST00000002441</t>
  </si>
  <si>
    <t>ST00000002442</t>
  </si>
  <si>
    <t>ST00000002443</t>
  </si>
  <si>
    <t>ST00000002444</t>
  </si>
  <si>
    <t>ST00000002445</t>
  </si>
  <si>
    <t>ST00000002446</t>
  </si>
  <si>
    <t>ST00000002447</t>
  </si>
  <si>
    <t>ST00000002448</t>
  </si>
  <si>
    <t>SATIŞ - EMRE AYCİBİN</t>
  </si>
  <si>
    <t>MÜMİNE</t>
  </si>
  <si>
    <t>ST00000002450</t>
  </si>
  <si>
    <t>FİRE GİDERLERİ</t>
  </si>
  <si>
    <t>KARAHİNDİBA - FİRE GİDERİ</t>
  </si>
  <si>
    <t>JAJOBA</t>
  </si>
  <si>
    <t>ST00000002451</t>
  </si>
  <si>
    <t>ST00000002452</t>
  </si>
  <si>
    <t>ST00000002453</t>
  </si>
  <si>
    <t>ST00000002454</t>
  </si>
  <si>
    <t>ST00000002455</t>
  </si>
  <si>
    <t>ST00000002456</t>
  </si>
  <si>
    <t>ST00000002457</t>
  </si>
  <si>
    <t>ST00000002458</t>
  </si>
  <si>
    <t>ST00000002459</t>
  </si>
  <si>
    <t>ST00000002460</t>
  </si>
  <si>
    <t>ST00000002461</t>
  </si>
  <si>
    <t>ST00000002462</t>
  </si>
  <si>
    <t>ST00000002463</t>
  </si>
  <si>
    <t>ST00000002464</t>
  </si>
  <si>
    <t>ST00000002465</t>
  </si>
  <si>
    <t>ST00000002466</t>
  </si>
  <si>
    <t>ST00000002467</t>
  </si>
  <si>
    <t>ST00000002468</t>
  </si>
  <si>
    <t>ST00000002469</t>
  </si>
  <si>
    <t>SATIŞ - TOPTAN - SEMERKAND ABLA</t>
  </si>
  <si>
    <t>SATIŞ - TOPTAN - ERASLAN LAHMACUN</t>
  </si>
  <si>
    <t>ST00000002470</t>
  </si>
  <si>
    <t>ST00000002471</t>
  </si>
  <si>
    <t>ST00000002472</t>
  </si>
  <si>
    <t>ST00000002473</t>
  </si>
  <si>
    <t>ST00000002474</t>
  </si>
  <si>
    <t>ST00000002475</t>
  </si>
  <si>
    <t>ST00000002476</t>
  </si>
  <si>
    <t>ST00000002477</t>
  </si>
  <si>
    <t>ST00000002478</t>
  </si>
  <si>
    <t>ST00000002479</t>
  </si>
  <si>
    <t>ST00000002480</t>
  </si>
  <si>
    <t>ST00000002481</t>
  </si>
  <si>
    <t>ST00000002482</t>
  </si>
  <si>
    <t>ST00000002483</t>
  </si>
  <si>
    <t>TARIM KOOPERATİF</t>
  </si>
  <si>
    <t>NTA2026000000223</t>
  </si>
  <si>
    <t>MAHALLE HOCA</t>
  </si>
  <si>
    <t>ST00000002484</t>
  </si>
  <si>
    <t>ST00000002485</t>
  </si>
  <si>
    <t>ST00000002486</t>
  </si>
  <si>
    <t>ST00000002487</t>
  </si>
  <si>
    <t>ST00000002488</t>
  </si>
  <si>
    <t>ST00000002489</t>
  </si>
  <si>
    <t>ST00000002490</t>
  </si>
  <si>
    <t>ST00000002491</t>
  </si>
  <si>
    <t>ST00000002492</t>
  </si>
  <si>
    <t>ST00000002493</t>
  </si>
  <si>
    <t>ST00000002494</t>
  </si>
  <si>
    <t>ST00000002495</t>
  </si>
  <si>
    <t>ST00000002496</t>
  </si>
  <si>
    <t>SUMAK 50 YOLLANDI</t>
  </si>
  <si>
    <t>ST00000002497</t>
  </si>
  <si>
    <t>ST00000002498</t>
  </si>
  <si>
    <t>ST00000002499</t>
  </si>
  <si>
    <t>ST00000002500</t>
  </si>
  <si>
    <t>ST00000002501</t>
  </si>
  <si>
    <t>ST00000002502</t>
  </si>
  <si>
    <t>ST00000002503</t>
  </si>
  <si>
    <t>ST00000002504</t>
  </si>
  <si>
    <t>ST00000002505</t>
  </si>
  <si>
    <t>ST00000002506</t>
  </si>
  <si>
    <t>ST00000002507</t>
  </si>
  <si>
    <t>ST00000002508</t>
  </si>
  <si>
    <t>SATIŞ - GÖKÇEBEY TAVUKÇULUK</t>
  </si>
  <si>
    <t>ST00000002509</t>
  </si>
  <si>
    <t>ST00000002510</t>
  </si>
  <si>
    <t>ST00000002511</t>
  </si>
  <si>
    <t>ST00000002512</t>
  </si>
  <si>
    <t>ST00000002513</t>
  </si>
  <si>
    <t>ST00000002514</t>
  </si>
  <si>
    <t>ST00000002515</t>
  </si>
  <si>
    <t>ST00000002516</t>
  </si>
  <si>
    <t>ST00000002517</t>
  </si>
  <si>
    <t>ST00000002518</t>
  </si>
  <si>
    <t>ST00000002519</t>
  </si>
  <si>
    <t>ST00000002520</t>
  </si>
  <si>
    <t>ST00000002521</t>
  </si>
  <si>
    <t>ST00000002522</t>
  </si>
  <si>
    <t>ST00000002523</t>
  </si>
  <si>
    <t>ST00000002524</t>
  </si>
  <si>
    <t>ST00000002525</t>
  </si>
  <si>
    <t>ST00000002526</t>
  </si>
  <si>
    <t>ST00000002527</t>
  </si>
  <si>
    <t>ST00000002528</t>
  </si>
  <si>
    <t>ST00000002529</t>
  </si>
  <si>
    <t>ST00000002530</t>
  </si>
  <si>
    <t>ST00000002531</t>
  </si>
  <si>
    <t>ST00000002532</t>
  </si>
  <si>
    <t>ST00000002533</t>
  </si>
  <si>
    <t>ST00000002534</t>
  </si>
  <si>
    <t>ST00000002535</t>
  </si>
  <si>
    <t>ST00000002536</t>
  </si>
  <si>
    <t>ST00000002537</t>
  </si>
  <si>
    <t>ST00000002538</t>
  </si>
  <si>
    <t>ST00000002539</t>
  </si>
  <si>
    <t>ST00000002540</t>
  </si>
  <si>
    <t>ST00000002541</t>
  </si>
  <si>
    <t>ST00000002542</t>
  </si>
  <si>
    <t>ST00000002543</t>
  </si>
  <si>
    <t>ST00000002544</t>
  </si>
  <si>
    <t>ST00000002545</t>
  </si>
  <si>
    <t>ST00000002546</t>
  </si>
  <si>
    <t>ST00000002547</t>
  </si>
  <si>
    <t>ST00000002548</t>
  </si>
  <si>
    <t>ANTEP NAKLİYE - MMT KUVEYT - ERAY DENİZ</t>
  </si>
  <si>
    <t>MEHMET DAŞDEMİR - K.K. ÖDEME</t>
  </si>
  <si>
    <t>YALÇINTAT BAHARAT - TFK EFT</t>
  </si>
  <si>
    <t>MUHASEBE ÜCRETİ ÖDEME</t>
  </si>
  <si>
    <t>300 TL JELETİN POŞET (KG 190) - 75 HIŞIR POŞET 1 ADET</t>
  </si>
  <si>
    <t>ST00000002549</t>
  </si>
  <si>
    <t>ST00000002550</t>
  </si>
  <si>
    <t>ST00000002551</t>
  </si>
  <si>
    <t>ST00000002552</t>
  </si>
  <si>
    <t>ST00000002553</t>
  </si>
  <si>
    <t>ST00000002554</t>
  </si>
  <si>
    <t>ST00000002555</t>
  </si>
  <si>
    <t>ST00000002556</t>
  </si>
  <si>
    <t>ST00000002557</t>
  </si>
  <si>
    <t>ST00000002558</t>
  </si>
  <si>
    <t>SUAT</t>
  </si>
  <si>
    <t>TATBAK LTD</t>
  </si>
  <si>
    <t>ST00000002559</t>
  </si>
  <si>
    <t>ST00000002560</t>
  </si>
  <si>
    <t>ST00000002561</t>
  </si>
  <si>
    <t>ST00000002562</t>
  </si>
  <si>
    <t>ST00000002563</t>
  </si>
  <si>
    <t>ST00000002564</t>
  </si>
  <si>
    <t>ST00000002565</t>
  </si>
  <si>
    <t>ST00000002566</t>
  </si>
  <si>
    <t>ST00000002567</t>
  </si>
  <si>
    <t>ST00000002568</t>
  </si>
  <si>
    <t>ST00000002569</t>
  </si>
  <si>
    <t>ST00000002570</t>
  </si>
  <si>
    <t>ST00000002571</t>
  </si>
  <si>
    <t>ST00000002572</t>
  </si>
  <si>
    <t>ST00000002573</t>
  </si>
  <si>
    <t>ST00000002574</t>
  </si>
  <si>
    <t>ST00000002575</t>
  </si>
  <si>
    <t>ST00000002576</t>
  </si>
  <si>
    <t>ST00000002577</t>
  </si>
  <si>
    <t>HÜLYA</t>
  </si>
  <si>
    <t>2 VERMİŞTİ - 2 YENİ ALDI</t>
  </si>
  <si>
    <t>ST00000002578</t>
  </si>
  <si>
    <t>ST00000002579</t>
  </si>
  <si>
    <t>ST00000002580</t>
  </si>
  <si>
    <t>ST00000002581</t>
  </si>
  <si>
    <t>ST00000002582</t>
  </si>
  <si>
    <t>ST00000002583</t>
  </si>
  <si>
    <t>ST00000002584</t>
  </si>
  <si>
    <t>ST00000002585</t>
  </si>
  <si>
    <t>ST00000002586</t>
  </si>
  <si>
    <t>ST00000002587</t>
  </si>
  <si>
    <t>ST00000002588</t>
  </si>
  <si>
    <t>ST00000002589</t>
  </si>
  <si>
    <t>ST00000002590</t>
  </si>
  <si>
    <t>ST00000002591</t>
  </si>
  <si>
    <t>ST00000002592</t>
  </si>
  <si>
    <t>ST00000002593</t>
  </si>
  <si>
    <t>ST00000002594</t>
  </si>
  <si>
    <t>ST00000002595</t>
  </si>
  <si>
    <t>ST00000002596</t>
  </si>
  <si>
    <t>ST00000002597</t>
  </si>
  <si>
    <t>ST00000002598</t>
  </si>
  <si>
    <t>ST00000002599</t>
  </si>
  <si>
    <t>SATIŞ - TOPTAN - CAN IZGARA</t>
  </si>
  <si>
    <t>SATIŞ - TOPTAN - MÜŞTERİ</t>
  </si>
  <si>
    <t>ST00000002600</t>
  </si>
  <si>
    <t>ST00000002601</t>
  </si>
  <si>
    <t>ST00000002602</t>
  </si>
  <si>
    <t>ST00000002603</t>
  </si>
  <si>
    <t>ST00000002604</t>
  </si>
  <si>
    <t>ST00000002605</t>
  </si>
  <si>
    <t>ST00000002606</t>
  </si>
  <si>
    <t>ST00000002607</t>
  </si>
  <si>
    <t>ST00000002608</t>
  </si>
  <si>
    <t>ST00000002609</t>
  </si>
  <si>
    <t>ST00000002610</t>
  </si>
  <si>
    <t>ST00000002611</t>
  </si>
  <si>
    <t>Tem</t>
  </si>
  <si>
    <t>(boş)</t>
  </si>
  <si>
    <t>KABAK ÇEKİRDEĞİ ÇİĞ (3KG)</t>
  </si>
  <si>
    <t>KABAK ÇEKİRDEĞİ KAVRULMUŞ (5 KG)</t>
  </si>
  <si>
    <t>AY ÇEKİRDEĞİ TUZSUZ (5KG)</t>
  </si>
  <si>
    <t>ÖZBEK ÜZÜMÜ (5KG)</t>
  </si>
  <si>
    <t>ÇİĞ BADEM</t>
  </si>
  <si>
    <t>KARDEŞLER</t>
  </si>
  <si>
    <t>İNCİR</t>
  </si>
  <si>
    <t>CEVİZ İÇİ</t>
  </si>
  <si>
    <t>KABAK</t>
  </si>
  <si>
    <t>PAPYA</t>
  </si>
  <si>
    <t>PATLICAN</t>
  </si>
  <si>
    <t>BULGUR (PİLAVLIK) ÇUVAL</t>
  </si>
  <si>
    <t>ST00000002612</t>
  </si>
  <si>
    <t>ST00000002613</t>
  </si>
  <si>
    <t>ST00000002614</t>
  </si>
  <si>
    <t>ST00000002615</t>
  </si>
  <si>
    <t>ST00000002616</t>
  </si>
  <si>
    <t>ST00000002617</t>
  </si>
  <si>
    <t xml:space="preserve">SATIŞ - ZEKAT </t>
  </si>
  <si>
    <t>SATIŞ - TOPTAN - ATAŞEHİR - BİRLİK KASAP</t>
  </si>
  <si>
    <t>SATIŞ - NURCAN</t>
  </si>
  <si>
    <t>NURCAN</t>
  </si>
  <si>
    <t>KİRA GİDERİ</t>
  </si>
  <si>
    <t>ON NUMARA POS ÇÖZÜMÜ - İSKİ</t>
  </si>
  <si>
    <t>SATIŞ - ZEKAT - 150 VERDİ- 150 ZEKAT</t>
  </si>
  <si>
    <t>SATIŞ - 33 TL BORÇLUYUZ. 400 DEN OLMALIYDI</t>
  </si>
  <si>
    <t>ST00000002618</t>
  </si>
  <si>
    <t>ST00000002619</t>
  </si>
  <si>
    <t>ST00000002620</t>
  </si>
  <si>
    <t>ST00000002621</t>
  </si>
  <si>
    <t>ST00000002622</t>
  </si>
  <si>
    <t>ST00000002623</t>
  </si>
  <si>
    <t>ST00000002624</t>
  </si>
  <si>
    <t>ST00000002625</t>
  </si>
  <si>
    <t>ST00000002626</t>
  </si>
  <si>
    <t>ST00000002627</t>
  </si>
  <si>
    <t>ST00000002628</t>
  </si>
  <si>
    <t>ST00000002629</t>
  </si>
  <si>
    <t>ST00000002630</t>
  </si>
  <si>
    <t>ST00000002631</t>
  </si>
  <si>
    <t>ST00000002632</t>
  </si>
  <si>
    <t>ST00000002633</t>
  </si>
  <si>
    <t>ST00000002634</t>
  </si>
  <si>
    <t>ST00000002635</t>
  </si>
  <si>
    <t>ST00000002636</t>
  </si>
  <si>
    <t>ST00000002637</t>
  </si>
  <si>
    <t>ST00000002638</t>
  </si>
  <si>
    <t>ST00000002639</t>
  </si>
  <si>
    <t>ST00000002640</t>
  </si>
  <si>
    <t>YAĞLI YAPRAK BİBER</t>
  </si>
  <si>
    <t>yalçıntat</t>
  </si>
  <si>
    <t>KUVEYTTÜRK EFT - ORHAN ABLAK HOCA</t>
  </si>
  <si>
    <t>ST00000002641</t>
  </si>
  <si>
    <t>ST00000002642</t>
  </si>
  <si>
    <t>ST00000002643</t>
  </si>
  <si>
    <t>ST00000002644</t>
  </si>
  <si>
    <t>ST00000002645</t>
  </si>
  <si>
    <t>ST00000002646</t>
  </si>
  <si>
    <t>ST00000002647</t>
  </si>
  <si>
    <t>ST00000002648</t>
  </si>
  <si>
    <t>ST00000002649</t>
  </si>
  <si>
    <t>ST00000002650</t>
  </si>
  <si>
    <t>ST00000002651</t>
  </si>
  <si>
    <t>ST00000002652</t>
  </si>
  <si>
    <t>ST00000002653</t>
  </si>
  <si>
    <t>ST00000002654</t>
  </si>
  <si>
    <t>ST00000002655</t>
  </si>
  <si>
    <t>ST00000002656</t>
  </si>
  <si>
    <t>ST00000002657</t>
  </si>
  <si>
    <t>ST00000002658</t>
  </si>
  <si>
    <t>ST00000002659</t>
  </si>
  <si>
    <t>ST00000002660</t>
  </si>
  <si>
    <t>ST00000002661</t>
  </si>
  <si>
    <t>KINA ÇEREZİ - ÇITIRLI - 5'Lİ LÜKS KARIŞIK</t>
  </si>
  <si>
    <t>ST00000002662</t>
  </si>
  <si>
    <t>ST00000002663</t>
  </si>
  <si>
    <t>SATIŞ - ÇEREZ POŞETİ</t>
  </si>
  <si>
    <t>ST00000002664</t>
  </si>
  <si>
    <t>ON NUMARA POS - YILMAZ KARDEŞLER MAL ALIMI</t>
  </si>
  <si>
    <t>ON NUMARA POS -  PEMA POŞET ALIMI</t>
  </si>
  <si>
    <t>ST00000002665</t>
  </si>
  <si>
    <t>ST00000002666</t>
  </si>
  <si>
    <t>ST00000002667</t>
  </si>
  <si>
    <t>SATIŞ - NURSEN - 300 VERDİ 186 BORÇ</t>
  </si>
  <si>
    <t>SATIŞ - ÖZLEM - 85 VERDİ - 35 BORÇ</t>
  </si>
  <si>
    <t>ST00000002668</t>
  </si>
  <si>
    <t>ST00000002669</t>
  </si>
  <si>
    <t>ST00000002670</t>
  </si>
  <si>
    <t>ST00000002671</t>
  </si>
  <si>
    <t>ON NUMARA POS - NEVANTAT MAL ALIMI</t>
  </si>
  <si>
    <t>ST00000002672</t>
  </si>
  <si>
    <t>ST00000002673</t>
  </si>
  <si>
    <t>ST00000002674</t>
  </si>
  <si>
    <t>ST00000002675</t>
  </si>
  <si>
    <t>ST00000002676</t>
  </si>
  <si>
    <t>ST00000002677</t>
  </si>
  <si>
    <t>ST00000002678</t>
  </si>
  <si>
    <t>ST00000002679</t>
  </si>
  <si>
    <t>ST00000002680</t>
  </si>
  <si>
    <t>ST00000002681</t>
  </si>
  <si>
    <t>ST00000002682</t>
  </si>
  <si>
    <t>SATIŞ - MMT - DERGAH</t>
  </si>
  <si>
    <t>ST00000002683</t>
  </si>
  <si>
    <t>ST00000002684</t>
  </si>
  <si>
    <t>ST00000002685</t>
  </si>
  <si>
    <t>ST00000002686</t>
  </si>
  <si>
    <t>ST00000002687</t>
  </si>
  <si>
    <t>ST00000002688</t>
  </si>
  <si>
    <t>ST00000002689</t>
  </si>
  <si>
    <t>ST00000002690</t>
  </si>
  <si>
    <t>ST00000002691</t>
  </si>
  <si>
    <t>FİRE GİDERLERİ - KÜÇÜK BEYAZ ÇİĞ KABAK ÇEKİRDEĞİ - NEVŞEHİR</t>
  </si>
  <si>
    <t>FİRE GİDERLERİ - BOZ ANTEP FISTIK ÖĞÜTÜLMÜŞ</t>
  </si>
  <si>
    <t>ST00000002692</t>
  </si>
  <si>
    <t>ST00000002693</t>
  </si>
  <si>
    <t>ST00000002694</t>
  </si>
  <si>
    <t>ST00000002695</t>
  </si>
  <si>
    <t>KUVEYT K.K. ÖDEME</t>
  </si>
  <si>
    <t>ST00000002696</t>
  </si>
  <si>
    <t>SATIŞ - TOPTAN - TADIM ZURNA DÜRÜM</t>
  </si>
  <si>
    <t>ST00000002697</t>
  </si>
  <si>
    <t>SATIŞ - MMT - FİRE</t>
  </si>
  <si>
    <t>NTA20260000000259</t>
  </si>
  <si>
    <t>ON NUMARA POS ÇÖZÜMÜ - NEVANTAT ÖDEME</t>
  </si>
  <si>
    <t>26.Eyl</t>
  </si>
  <si>
    <t>27.Eyl</t>
  </si>
  <si>
    <t>29.Eyl</t>
  </si>
  <si>
    <t>FİRE</t>
  </si>
  <si>
    <t>BORÇ DEKONTU</t>
  </si>
  <si>
    <t>ALACAK DEKONTU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</si>
</sst>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#,##0.00_ ;[Red]\-#,##0.00\ "/>
    <numFmt numFmtId="167" formatCode="dd/mm/yy;@"/>
  </numFmts>
  <fonts count="13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162"/>
      <scheme val="minor"/>
    </font>
    <font>
      <b/>
      <sz val="14"/>
      <color theme="0"/>
      <name val="Aptos Narrow"/>
      <family val="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b/>
      <sz val="11"/>
      <color rgb="FFFF0000"/>
      <name val="Aptos Narrow"/>
      <family val="2"/>
      <scheme val="minor"/>
    </font>
    <font>
      <sz val="11"/>
      <color theme="6"/>
      <name val="Aptos Narrow"/>
      <family val="2"/>
      <charset val="16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7" fillId="7" borderId="0" applyNumberFormat="0" applyBorder="0" applyAlignment="0" applyProtection="0"/>
    <xf numFmtId="43" fontId="3" fillId="0" borderId="0" applyFont="0" applyFill="0" applyBorder="0" applyAlignment="0" applyProtection="0"/>
  </cellStyleXfs>
  <cellXfs count="121">
    <xf numFmtId="0" fontId="0" fillId="0" borderId="0" xfId="0"/>
    <xf numFmtId="0" fontId="2" fillId="2" borderId="1" xfId="0" applyFont="1" applyFill="1" applyBorder="1" applyAlignment="1">
      <alignment horizontal="center"/>
    </xf>
    <xf numFmtId="4" fontId="0" fillId="0" borderId="0" xfId="0" applyNumberFormat="1"/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0" xfId="0" applyFont="1" applyFill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3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 applyAlignment="1">
      <alignment horizontal="center" wrapText="1"/>
    </xf>
    <xf numFmtId="43" fontId="0" fillId="0" borderId="0" xfId="1" applyFont="1"/>
    <xf numFmtId="43" fontId="2" fillId="2" borderId="1" xfId="1" applyFont="1" applyFill="1" applyBorder="1" applyAlignment="1">
      <alignment horizontal="center" wrapText="1"/>
    </xf>
    <xf numFmtId="43" fontId="0" fillId="0" borderId="1" xfId="1" applyFont="1" applyBorder="1"/>
    <xf numFmtId="43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3" fontId="0" fillId="0" borderId="1" xfId="0" applyNumberFormat="1" applyBorder="1"/>
    <xf numFmtId="0" fontId="0" fillId="0" borderId="2" xfId="0" applyBorder="1"/>
    <xf numFmtId="0" fontId="0" fillId="4" borderId="1" xfId="0" applyFill="1" applyBorder="1"/>
    <xf numFmtId="0" fontId="5" fillId="0" borderId="0" xfId="0" applyFont="1"/>
    <xf numFmtId="0" fontId="4" fillId="0" borderId="1" xfId="0" applyFont="1" applyBorder="1"/>
    <xf numFmtId="0" fontId="6" fillId="5" borderId="1" xfId="0" applyFont="1" applyFill="1" applyBorder="1" applyAlignment="1">
      <alignment horizontal="center" vertical="center"/>
    </xf>
    <xf numFmtId="0" fontId="4" fillId="0" borderId="0" xfId="0" applyFont="1"/>
    <xf numFmtId="0" fontId="0" fillId="6" borderId="1" xfId="0" applyFill="1" applyBorder="1"/>
    <xf numFmtId="4" fontId="0" fillId="6" borderId="1" xfId="0" applyNumberFormat="1" applyFill="1" applyBorder="1"/>
    <xf numFmtId="164" fontId="0" fillId="0" borderId="0" xfId="1" applyNumberFormat="1" applyFont="1"/>
    <xf numFmtId="43" fontId="4" fillId="0" borderId="0" xfId="0" applyNumberFormat="1" applyFont="1"/>
    <xf numFmtId="43" fontId="0" fillId="0" borderId="1" xfId="1" applyFont="1" applyFill="1" applyBorder="1"/>
    <xf numFmtId="12" fontId="0" fillId="0" borderId="1" xfId="1" applyNumberFormat="1" applyFont="1" applyFill="1" applyBorder="1"/>
    <xf numFmtId="14" fontId="7" fillId="7" borderId="1" xfId="2" applyNumberFormat="1" applyBorder="1"/>
    <xf numFmtId="0" fontId="7" fillId="7" borderId="1" xfId="2" applyBorder="1"/>
    <xf numFmtId="43" fontId="7" fillId="7" borderId="1" xfId="2" applyNumberFormat="1" applyBorder="1"/>
    <xf numFmtId="4" fontId="7" fillId="7" borderId="1" xfId="2" applyNumberFormat="1" applyBorder="1"/>
    <xf numFmtId="14" fontId="8" fillId="0" borderId="1" xfId="0" applyNumberFormat="1" applyFont="1" applyBorder="1"/>
    <xf numFmtId="0" fontId="8" fillId="0" borderId="1" xfId="0" applyFont="1" applyBorder="1"/>
    <xf numFmtId="43" fontId="8" fillId="0" borderId="1" xfId="1" applyFont="1" applyBorder="1"/>
    <xf numFmtId="4" fontId="8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43" fontId="5" fillId="0" borderId="1" xfId="1" applyFont="1" applyBorder="1"/>
    <xf numFmtId="4" fontId="5" fillId="0" borderId="1" xfId="0" applyNumberFormat="1" applyFont="1" applyBorder="1"/>
    <xf numFmtId="43" fontId="0" fillId="0" borderId="0" xfId="1" applyFont="1" applyBorder="1"/>
    <xf numFmtId="3" fontId="0" fillId="0" borderId="0" xfId="0" applyNumberFormat="1"/>
    <xf numFmtId="3" fontId="5" fillId="0" borderId="0" xfId="0" applyNumberFormat="1" applyFont="1"/>
    <xf numFmtId="165" fontId="0" fillId="0" borderId="0" xfId="1" applyNumberFormat="1" applyFont="1"/>
    <xf numFmtId="164" fontId="0" fillId="0" borderId="0" xfId="0" applyNumberFormat="1"/>
    <xf numFmtId="0" fontId="0" fillId="0" borderId="3" xfId="0" applyBorder="1"/>
    <xf numFmtId="0" fontId="4" fillId="0" borderId="0" xfId="0" applyFont="1" applyAlignment="1">
      <alignment horizontal="center"/>
    </xf>
    <xf numFmtId="166" fontId="4" fillId="0" borderId="1" xfId="1" applyNumberFormat="1" applyFont="1" applyBorder="1"/>
    <xf numFmtId="12" fontId="0" fillId="0" borderId="1" xfId="1" applyNumberFormat="1" applyFont="1" applyBorder="1"/>
    <xf numFmtId="0" fontId="8" fillId="0" borderId="0" xfId="0" applyFont="1"/>
    <xf numFmtId="0" fontId="10" fillId="0" borderId="1" xfId="0" applyFont="1" applyBorder="1"/>
    <xf numFmtId="4" fontId="2" fillId="2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5" xfId="0" applyNumberFormat="1" applyFont="1" applyFill="1" applyBorder="1" applyAlignment="1">
      <alignment horizontal="center" vertical="center" wrapText="1"/>
    </xf>
    <xf numFmtId="4" fontId="2" fillId="2" borderId="0" xfId="0" applyNumberFormat="1" applyFont="1" applyFill="1" applyAlignment="1">
      <alignment horizontal="center" vertical="center" wrapText="1"/>
    </xf>
    <xf numFmtId="10" fontId="0" fillId="0" borderId="1" xfId="0" applyNumberFormat="1" applyBorder="1"/>
    <xf numFmtId="4" fontId="4" fillId="0" borderId="0" xfId="0" applyNumberFormat="1" applyFont="1"/>
    <xf numFmtId="10" fontId="4" fillId="0" borderId="1" xfId="0" applyNumberFormat="1" applyFont="1" applyBorder="1"/>
    <xf numFmtId="10" fontId="0" fillId="0" borderId="0" xfId="0" applyNumberFormat="1"/>
    <xf numFmtId="0" fontId="0" fillId="8" borderId="1" xfId="0" applyFill="1" applyBorder="1"/>
    <xf numFmtId="0" fontId="0" fillId="9" borderId="1" xfId="0" applyFill="1" applyBorder="1"/>
    <xf numFmtId="0" fontId="5" fillId="9" borderId="1" xfId="0" applyFont="1" applyFill="1" applyBorder="1"/>
    <xf numFmtId="167" fontId="0" fillId="0" borderId="0" xfId="0" applyNumberFormat="1"/>
    <xf numFmtId="0" fontId="0" fillId="0" borderId="0" xfId="0" applyAlignment="1">
      <alignment wrapText="1"/>
    </xf>
    <xf numFmtId="4" fontId="2" fillId="2" borderId="0" xfId="1" applyNumberFormat="1" applyFont="1" applyFill="1" applyBorder="1" applyAlignment="1">
      <alignment horizontal="center" wrapText="1"/>
    </xf>
    <xf numFmtId="4" fontId="2" fillId="2" borderId="2" xfId="0" applyNumberFormat="1" applyFont="1" applyFill="1" applyBorder="1" applyAlignment="1">
      <alignment horizontal="center" wrapText="1"/>
    </xf>
    <xf numFmtId="0" fontId="0" fillId="10" borderId="1" xfId="0" applyFill="1" applyBorder="1"/>
    <xf numFmtId="4" fontId="0" fillId="10" borderId="1" xfId="0" applyNumberFormat="1" applyFill="1" applyBorder="1"/>
    <xf numFmtId="10" fontId="0" fillId="10" borderId="1" xfId="0" applyNumberFormat="1" applyFill="1" applyBorder="1"/>
    <xf numFmtId="0" fontId="0" fillId="10" borderId="0" xfId="0" applyFill="1"/>
    <xf numFmtId="4" fontId="0" fillId="10" borderId="0" xfId="0" applyNumberFormat="1" applyFill="1"/>
    <xf numFmtId="167" fontId="2" fillId="2" borderId="6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wrapText="1"/>
    </xf>
    <xf numFmtId="43" fontId="2" fillId="2" borderId="6" xfId="1" applyFont="1" applyFill="1" applyBorder="1" applyAlignment="1">
      <alignment horizontal="center" wrapText="1"/>
    </xf>
    <xf numFmtId="4" fontId="2" fillId="2" borderId="6" xfId="0" applyNumberFormat="1" applyFont="1" applyFill="1" applyBorder="1" applyAlignment="1">
      <alignment horizontal="center" wrapText="1"/>
    </xf>
    <xf numFmtId="4" fontId="2" fillId="2" borderId="6" xfId="1" applyNumberFormat="1" applyFont="1" applyFill="1" applyBorder="1" applyAlignment="1">
      <alignment horizontal="center" wrapText="1"/>
    </xf>
    <xf numFmtId="167" fontId="0" fillId="0" borderId="1" xfId="0" applyNumberFormat="1" applyBorder="1"/>
    <xf numFmtId="4" fontId="12" fillId="11" borderId="1" xfId="0" applyNumberFormat="1" applyFont="1" applyFill="1" applyBorder="1"/>
    <xf numFmtId="4" fontId="12" fillId="12" borderId="1" xfId="0" applyNumberFormat="1" applyFont="1" applyFill="1" applyBorder="1"/>
    <xf numFmtId="43" fontId="11" fillId="11" borderId="1" xfId="1" applyFont="1" applyFill="1" applyBorder="1" applyAlignment="1">
      <alignment horizontal="left" wrapText="1"/>
    </xf>
    <xf numFmtId="43" fontId="11" fillId="12" borderId="1" xfId="1" applyFont="1" applyFill="1" applyBorder="1" applyAlignment="1">
      <alignment horizontal="left" wrapText="1"/>
    </xf>
    <xf numFmtId="43" fontId="11" fillId="13" borderId="1" xfId="1" applyFont="1" applyFill="1" applyBorder="1" applyAlignment="1">
      <alignment horizontal="left" wrapText="1"/>
    </xf>
    <xf numFmtId="4" fontId="12" fillId="13" borderId="1" xfId="0" applyNumberFormat="1" applyFont="1" applyFill="1" applyBorder="1"/>
    <xf numFmtId="43" fontId="2" fillId="5" borderId="1" xfId="1" applyFont="1" applyFill="1" applyBorder="1" applyAlignment="1">
      <alignment horizontal="left" wrapText="1"/>
    </xf>
    <xf numFmtId="4" fontId="2" fillId="5" borderId="1" xfId="0" applyNumberFormat="1" applyFont="1" applyFill="1" applyBorder="1"/>
    <xf numFmtId="4" fontId="0" fillId="14" borderId="1" xfId="0" applyNumberFormat="1" applyFill="1" applyBorder="1"/>
    <xf numFmtId="13" fontId="0" fillId="0" borderId="0" xfId="1" applyNumberFormat="1" applyFont="1"/>
    <xf numFmtId="166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43" fontId="0" fillId="4" borderId="1" xfId="1" applyFont="1" applyFill="1" applyBorder="1"/>
    <xf numFmtId="43" fontId="5" fillId="4" borderId="1" xfId="1" applyFont="1" applyFill="1" applyBorder="1"/>
    <xf numFmtId="43" fontId="0" fillId="8" borderId="1" xfId="1" applyFont="1" applyFill="1" applyBorder="1"/>
    <xf numFmtId="43" fontId="0" fillId="15" borderId="1" xfId="1" applyFont="1" applyFill="1" applyBorder="1"/>
    <xf numFmtId="43" fontId="0" fillId="15" borderId="3" xfId="1" applyFont="1" applyFill="1" applyBorder="1"/>
    <xf numFmtId="43" fontId="5" fillId="15" borderId="1" xfId="1" applyFont="1" applyFill="1" applyBorder="1"/>
    <xf numFmtId="43" fontId="0" fillId="16" borderId="1" xfId="1" applyFont="1" applyFill="1" applyBorder="1"/>
    <xf numFmtId="43" fontId="0" fillId="17" borderId="1" xfId="1" applyFont="1" applyFill="1" applyBorder="1"/>
    <xf numFmtId="166" fontId="4" fillId="0" borderId="4" xfId="1" applyNumberFormat="1" applyFont="1" applyBorder="1" applyAlignment="1">
      <alignment horizontal="center"/>
    </xf>
    <xf numFmtId="4" fontId="0" fillId="4" borderId="1" xfId="0" applyNumberFormat="1" applyFill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3" fontId="0" fillId="18" borderId="1" xfId="1" applyFont="1" applyFill="1" applyBorder="1"/>
    <xf numFmtId="43" fontId="0" fillId="6" borderId="1" xfId="1" applyFont="1" applyFill="1" applyBorder="1"/>
    <xf numFmtId="43" fontId="0" fillId="19" borderId="1" xfId="1" applyFont="1" applyFill="1" applyBorder="1"/>
    <xf numFmtId="4" fontId="5" fillId="4" borderId="1" xfId="0" applyNumberFormat="1" applyFont="1" applyFill="1" applyBorder="1"/>
    <xf numFmtId="0" fontId="0" fillId="0" borderId="0" xfId="0" applyAlignment="1">
      <alignment horizontal="left" indent="3"/>
    </xf>
    <xf numFmtId="0" fontId="2" fillId="5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</cellXfs>
  <cellStyles count="4">
    <cellStyle name="Kötü" xfId="2" builtinId="27"/>
    <cellStyle name="Normal" xfId="0" builtinId="0"/>
    <cellStyle name="Virgül" xfId="1" builtinId="3"/>
    <cellStyle name="Virgül 2" xfId="3" xr:uid="{3F872003-49A5-437C-BD0A-AE709C63A9B0}"/>
  </cellStyles>
  <dxfs count="52"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" refreshedDate="46184.819717592596" createdVersion="8" refreshedVersion="8" minRefreshableVersion="3" recordCount="10187" xr:uid="{BFEA3BAE-540C-489B-B1C7-B3158CA96CBC}">
  <cacheSource type="worksheet">
    <worksheetSource ref="A1:S995478" sheet="KASA"/>
  </cacheSource>
  <cacheFields count="19">
    <cacheField name="TARİH" numFmtId="0">
      <sharedItems containsNonDate="0" containsDate="1" containsString="0" containsBlank="1" minDate="2025-09-25T00:00:00" maxDate="2026-06-12T00:00:00"/>
    </cacheField>
    <cacheField name="TÜRÜ" numFmtId="0">
      <sharedItems containsBlank="1" count="15">
        <s v="SERMAYE"/>
        <s v="GİDER"/>
        <s v="DEMİRBAŞ"/>
        <s v="MAL ALIMI"/>
        <s v="MAL SATIŞI"/>
        <s v="GELİR"/>
        <s v="MAL İADE"/>
        <s v="CARİ ÖDEME"/>
        <s v="ÜRETİM ÇIKIŞ"/>
        <s v="ÜRETİM GİRİŞ"/>
        <s v="POS ÇÖZÜMÜ"/>
        <s v="CARİ TAHSİLAT"/>
        <s v="MAL ALIŞI"/>
        <s v="POS"/>
        <m/>
      </sharedItems>
    </cacheField>
    <cacheField name="ÜRÜN" numFmtId="0">
      <sharedItems containsBlank="1"/>
    </cacheField>
    <cacheField name="HİZMET" numFmtId="0">
      <sharedItems containsBlank="1"/>
    </cacheField>
    <cacheField name="CARİ" numFmtId="0">
      <sharedItems containsBlank="1" count="21">
        <s v="SERMAYE"/>
        <m/>
        <s v="MEHMET DAŞDEMİR - K.K."/>
        <s v="YALÇINTAT BAHARAT GIDA LTD."/>
        <s v="TÜDAB A.Ş."/>
        <s v="TFK-POS"/>
        <s v="ORHAN ABLAK HOCA"/>
        <s v="HARUN ADANA"/>
        <s v="GENÇAY BAHARAT - İSMAİL MAHMUT GENÇAY"/>
        <s v="SERBEND HURMA"/>
        <s v="EL-RUHA ÇAY"/>
        <s v="HANİFE DİVLEK"/>
        <s v="NEVANTAT KURUYEMİŞ"/>
        <s v="MÜMİNE ÇELİKEL"/>
        <s v="HERTAT"/>
        <s v="MUHTELİF MÜŞTERİ"/>
        <s v="SELÇUK GIDA LTD."/>
        <s v="DURMUŞOĞULLARI KATI PEKMEZ"/>
        <s v="YILMAZ KARDEŞLER GIDA LTD."/>
        <s v="ERASLAN LAHMACUN PİDE" u="1"/>
        <s v="GE-MA GIDA TİCARET LTD.ŞTİ." u="1"/>
      </sharedItems>
    </cacheField>
    <cacheField name="FT NO" numFmtId="0">
      <sharedItems containsBlank="1" containsMixedTypes="1" containsNumber="1" containsInteger="1" minValue="1" maxValue="5477432"/>
    </cacheField>
    <cacheField name="AÇIKLAMA" numFmtId="0">
      <sharedItems containsBlank="1"/>
    </cacheField>
    <cacheField name="N/K" numFmtId="0">
      <sharedItems containsBlank="1"/>
    </cacheField>
    <cacheField name="BİRİM ADET/KG" numFmtId="0">
      <sharedItems containsString="0" containsBlank="1" containsNumber="1" minValue="1.7187500000000001E-2" maxValue="336.04"/>
    </cacheField>
    <cacheField name="BİRİM FİYAT/TL" numFmtId="0">
      <sharedItems containsString="0" containsBlank="1" containsNumber="1" minValue="0" maxValue="264000"/>
    </cacheField>
    <cacheField name="CARİ _x000a_BORÇ" numFmtId="0">
      <sharedItems containsString="0" containsBlank="1" containsNumber="1" minValue="0" maxValue="63800"/>
    </cacheField>
    <cacheField name="CARİ _x000a_ALACAK" numFmtId="0">
      <sharedItems containsString="0" containsBlank="1" containsNumber="1" minValue="0" maxValue="264000"/>
    </cacheField>
    <cacheField name="GELİR ADET/KG" numFmtId="0">
      <sharedItems containsString="0" containsBlank="1" containsNumber="1" minValue="0" maxValue="10035"/>
    </cacheField>
    <cacheField name="GİDER ADET/KG" numFmtId="0">
      <sharedItems containsString="0" containsBlank="1" containsNumber="1" minValue="0" maxValue="42049.46"/>
    </cacheField>
    <cacheField name="GELİR BİRİM FİYATI" numFmtId="0">
      <sharedItems containsString="0" containsBlank="1" containsNumber="1" minValue="-10288.138239847995" maxValue="27949.413"/>
    </cacheField>
    <cacheField name="GİDER BİRİM FİYATI" numFmtId="0">
      <sharedItems containsString="0" containsBlank="1" containsNumber="1" minValue="0" maxValue="50000"/>
    </cacheField>
    <cacheField name="KASA _x000a_GİRİŞ" numFmtId="0">
      <sharedItems containsString="0" containsBlank="1" containsNumber="1" minValue="0" maxValue="264000"/>
    </cacheField>
    <cacheField name="KASA _x000a_ÇIKIŞ" numFmtId="0">
      <sharedItems containsString="0" containsBlank="1" containsNumber="1" minValue="0" maxValue="63800"/>
    </cacheField>
    <cacheField name="BAKİYE" numFmtId="0">
      <sharedItems containsString="0" containsBlank="1" containsNumber="1" minValue="3170.5346351520002" maxValue="26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" refreshedDate="46222.554875694441" createdVersion="8" refreshedVersion="8" minRefreshableVersion="3" recordCount="10183" xr:uid="{D3E3BB6A-5ED3-4E2A-A0A2-CB835BEE94C2}">
  <cacheSource type="worksheet">
    <worksheetSource ref="A1:S155496" sheet="KASA"/>
  </cacheSource>
  <cacheFields count="21">
    <cacheField name="TARİH" numFmtId="0">
      <sharedItems containsNonDate="0" containsDate="1" containsString="0" containsBlank="1" minDate="2025-09-25T00:00:00" maxDate="2026-07-20T00:00:00" count="285">
        <d v="2025-09-25T00:00:00"/>
        <d v="2025-09-26T00:00:00"/>
        <d v="2025-09-27T00:00:00"/>
        <d v="2025-09-29T00:00:00"/>
        <d v="2025-10-02T00:00:00"/>
        <d v="2025-10-03T00:00:00"/>
        <d v="2025-10-04T00:00:00"/>
        <d v="2025-10-07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m/>
      </sharedItems>
      <fieldGroup par="20"/>
    </cacheField>
    <cacheField name="TÜRÜ" numFmtId="0">
      <sharedItems containsBlank="1" count="15">
        <s v="SERMAYE"/>
        <s v="GİDER"/>
        <s v="DEMİRBAŞ"/>
        <s v="MAL ALIMI"/>
        <s v="MAL SATIŞI"/>
        <s v="GELİR"/>
        <s v="MAL İADE"/>
        <s v="CARİ ÖDEME"/>
        <s v="ÜRETİM ÇIKIŞ"/>
        <s v="ÜRETİM GİRİŞ"/>
        <s v="POS ÇÖZÜMÜ"/>
        <s v="CARİ TAHSİLAT"/>
        <m/>
        <s v="POS" u="1"/>
        <s v="MAL ALIŞI" u="1"/>
      </sharedItems>
    </cacheField>
    <cacheField name="ÜRÜN" numFmtId="0">
      <sharedItems containsBlank="1" count="465">
        <m/>
        <s v="ORMANÖZÜ SUMAKLI NAR EKŞİSİ 250 ml"/>
        <s v="ORMANÖZÜ ORGANİK ALIÇ SİRKESİ 500 ml"/>
        <s v="ORMANÖZÜ ORGANİK ÜZÜM SİRKESİ 500 ml"/>
        <s v="ORMANÖZÜ ORGANİK YABAN ELMASI SİRKESİ 500 ml"/>
        <s v="ÇAYKUR TİRYAKİ 1 KG"/>
        <s v="YENİGÜN HARNUP PEKMEZİ 1.250 GR"/>
        <s v="ZÜBER FINDIK EZMESİ 315 G"/>
        <s v="ARKO EL VÜCUT KREMİ 150 ml"/>
        <s v="SEYİDOĞLU TAHİN 550 g"/>
        <s v="SEYİDOĞLU PEKMEZ 700 g"/>
        <s v="ETİ LİFALİF 950 GR YULAF EZMESİ"/>
        <s v="FİSKOBİRLİK FINDIK EZMESİ 300 GR"/>
        <s v="KAHVE DÜNYASI FİLTRE KAHVE 250 GR"/>
        <s v="CHİA TOHUMU DÖKME"/>
        <s v="KİNOA DÖKME"/>
        <s v="ÇEBELİZADE NİOLİ YAĞI 20 ML"/>
        <s v="NATTE LEZZET SOSU 500 GR (NAR EKŞİSİ) "/>
        <s v="DOLMALIK KURU PATLICAN"/>
        <s v="DOLMALIK KURU ACI BİBER"/>
        <s v="DOLMALIK KURU TATLI KIRMIZI BİBER"/>
        <s v="DOLMALIK KURU KABAK"/>
        <s v="ZENCEFİL TOZ"/>
        <s v="ZERDEÇAL TOZ"/>
        <s v="KARABİBER ÇEKİLMİŞ"/>
        <s v="KİMYON ÇEKİLMİŞ"/>
        <s v="KÖFTE BAHARATI (YEDİTÜRLÜ)"/>
        <s v="NANE İRİ"/>
        <s v="SUMAK"/>
        <s v="KEKİK LÜX"/>
        <s v="İPEK BİBER"/>
        <s v="İSOT"/>
        <s v="TOZ BİBER - ACI"/>
        <s v="EVLİK BİBER"/>
        <s v="HİNDİSTAN CEVİZİ ( İRİ )"/>
        <s v="LİMONTUZU TOZ"/>
        <s v="LİMONTUZU PARCA"/>
        <s v="SÜTTOZU (KAHVE KREMASI)"/>
        <s v="TÜRK KAHVESİ"/>
        <s v="ZENCEFİL TANE"/>
        <s v="KORİ (TAVUK BAHARATI)"/>
        <s v="NATTE LEZZET SOSU 980 GR"/>
        <s v="LİMONSOSU 1 KG"/>
        <s v="KAFFKA MENENGİÇ KAHVESİ 150 GR"/>
        <s v="KAFFKA OSMANLI KAHVESİ 150 GR"/>
        <s v="KAFFKA DİBEK KAHVESİ 150 GR"/>
        <s v="HASPİR"/>
        <s v="ZAHTER"/>
        <s v="MOR REYHAN"/>
        <s v="HİBİSKUS"/>
        <s v="ÇUBUK TARÇIN"/>
        <s v="TOZ TARÇIN"/>
        <s v="SUSAM"/>
        <s v="SUSAM KIRMIZI"/>
        <s v="ÇÖREKOTU"/>
        <s v="SALÇA ACI (EV YAPIMI)"/>
        <s v="SALÇA TATLI (EV YAPIMI)"/>
        <s v="DOMATES SALÇASI"/>
        <s v="DOLMALIK SARI BİBER"/>
        <s v="HASEVLİK"/>
        <s v="ÇAM FISTIĞI (DOLMALIK YER FISTIĞI)"/>
        <s v="YENİBAHAR TOZ"/>
        <s v="ADAÇAYI DEMET"/>
        <s v="ADAÇAYI SIYIRMA"/>
        <s v="ALTIN OTU SIYIRMA"/>
        <s v="ASLAN PENÇESİ"/>
        <s v="AÇLIK OTU"/>
        <s v="BİBERİYE"/>
        <s v="CEVİZ KELEBEK (ŞİLİ)"/>
        <s v="CİVAN PERÇEMİ"/>
        <s v="AYÇEKİRDEĞİ DAKOTA TUZLU EKSTRA"/>
        <s v="AYÇEKİRDEĞİ DAKOTA TUZSUZ EKSTRA"/>
        <s v="DEFNE YAPRAĞI"/>
        <s v="DERME GÜN KURUSU KAYISI JUMBO"/>
        <s v="DOMATES KURUSU"/>
        <s v="DUT KURUSU LÜX ELAZIĞ"/>
        <s v="GÜNAYDIN KAYA TUZU İNCE"/>
        <s v="GÜNAYDIN KAYA TUZU İRİ"/>
        <s v="HATMİ ÇİÇEĞİ"/>
        <s v="HAŞİROĞLU TARHANA CİPS"/>
        <s v="HAŞİROĞLU TARHANA ÇEREZLİK"/>
        <s v="HİMALAYA TUZU PEMBE GRANÜL"/>
        <s v="HİMALAYA TUZU PEMBE ÖĞÜTÜLMÜŞ"/>
        <s v="IHLAMUR YAPRAK"/>
        <s v="IHLAMUR ÇİÇEK EKSTRA"/>
        <s v="KABUKLU CEVİZ (ŞİLİ)"/>
        <s v="KAKAO"/>
        <s v="KARABAŞ OTU"/>
        <s v="KARANFİL"/>
        <s v="KARNIYARIK TOHUMU"/>
        <s v="KAYSERİ PAZARI ŞEKERSİZ 1000 ML - GİLABURU"/>
        <s v="KUŞBURNU"/>
        <s v="LAVANTA"/>
        <s v="LOBAS SAF NAR EKŞİSİ 1 KG"/>
        <s v="LİMON MELİSA"/>
        <s v="MEYAN LİF"/>
        <s v="MISIR PÜSKÜLÜ"/>
        <s v="NBN 2,5 KG İNCİR"/>
        <s v="NBN DAĞ İNCİRİ"/>
        <s v="REZENE"/>
        <s v="SEYHAN ÜZÜM ÖZEL"/>
        <s v="SOSLU MISIR YERLİ"/>
        <s v="SİNAMEKİ"/>
        <s v="TOMBUL KESE ORGANİK 500 GR"/>
        <s v="TOMBUL KESE 500 GR ACI"/>
        <s v="TOMBUL KESE 500 GR SEBZELİ TARHANA"/>
        <s v="TOMBUL KESE 500 GR TATLI"/>
        <s v="TOMBUL TARHANA ORGANİK BEBE 500 GR"/>
        <s v="TÜDAB ANDIZ PEKMEZİ 450 GR"/>
        <s v="TÜDAB HARNUP PEKMEZİ 800 GR (KEÇİBOYNUZU)"/>
        <s v="TÜDAB HARNUP ÖZÜ 680 GR (KEÇİBOYNUZU)"/>
        <s v="TÜDAB KEÇİ BOYNUZU (DÖKME)"/>
        <s v="YENİ MAHSÜL PAPATYA"/>
        <s v="YEŞİL ÇAY YAPRAK"/>
        <s v="ZERDEÇAL TANE"/>
        <s v="ZEYTİN YAPRAĞI"/>
        <s v="İRİ BEYAZ KABAK ÇEKİRDEĞİ - NEVŞEHİR"/>
        <s v="İRİ KABAK ÇEKİRDEĞİ TUZSUZ (KAVRULMUŞ)"/>
        <s v="ŞENAY ÇAM KOZALAĞI PEKMEZİ 800 G"/>
        <s v="BADEM KAVRULMUŞ"/>
        <s v="BADEM ÇİĞ "/>
        <s v="DEMKAR TURUNCU PAKET ANTEP FISTIĞI"/>
        <s v="FINDIK BULACAK (13-15)"/>
        <s v="FINDIK İÇİ ÇİĞ"/>
        <s v="HAYIT TOHUMU"/>
        <s v="KAJU KAVRULMUŞ 180 LİK"/>
        <s v="KIRKKLİK OTU (AT KUYRUĞU)"/>
        <s v="KUDÜS HURMASI JUMBO"/>
        <s v="LEBLEBİ SARI ÖZEL LÜX ÇITIR"/>
        <s v="LEBLEBİ ÇİFTE SARI"/>
        <s v="LEBLEBİ ŞEKER LÜX"/>
        <s v="MATCHA BROMELAİN DETOX ÇAYI"/>
        <s v="MATCHA DETOX ÇAYI"/>
        <s v="MATCHA KAYISI VE YEŞİL ÇAYLI DETOX ÇAYI"/>
        <s v="MEDİNE HURMA DUBLE"/>
        <s v="MİNDİVAN ATOM ÇAYI"/>
        <s v="NAHİTA ALIÇ SİRKESİ 500 ML"/>
        <s v="NAHİTA DETOKS SİRKESİ 500 ML"/>
        <s v="NAHİTA ELMA SİRKESİ 500 ML"/>
        <s v="NAHİTA GÜL SİRKESİ"/>
        <s v="NAHİTA ÜZÜM SİRKESİ"/>
        <s v="TÜDAB KIŞ ÇAYI 200 GR"/>
        <s v="İZMİR ÜZÜMÜ"/>
        <s v="ŞENAY SUMAK EKŞİSİ 600 GR"/>
        <s v="ŞENAY ÇAM KOZALAĞI ŞURUBU 650 GR"/>
        <s v="URBAN CARE EXPERT BİOTİN VE KAFEİN DÖKÜLME KARŞITI ŞAMPUAN&amp;TONİK SET-VEGAN"/>
        <s v="URBAN CARE BİOTİN&amp;KERATİN DÖKÜLMEYE EĞİLİMLİ SAÇLARA ÖZEL ŞAMPUAN-VEGAN-450 ML"/>
        <s v="URBAN CARE INTENSE KERATİN 450 ML SÜLFATSIZ ŞAMPUAN"/>
        <s v="MARA BIBERIYE LAVANTA SAC YAGI 100 ml"/>
        <s v="KAJU 240 LIK EKSTRA"/>
        <s v="KABUKLU CEVİZ (YERLİ)"/>
        <s v="KAJUN BAHARATI - CAJUN SEASONING 1000 GR"/>
        <s v="FİTOZEN İNGİLİZ KARBONATI 200 GR"/>
        <s v="FİTOZEN İNGİLİZ TUZU 200 GR"/>
        <s v="HAM KABAK LİFİ İŞLENMEMİŞ"/>
        <s v="KARABİBER TANE"/>
        <s v="KARBONAT"/>
        <s v="KETEN TOHUMU"/>
        <s v="KONTES HAMAM OTU - TÜY DÖKÜCÜ"/>
        <s v="WARITEX KABAK LİFİ ELDİVEN"/>
        <s v="WARITEX ÇİFT TARAFLI KABAK LİFİ"/>
        <s v="TOZ BİBER - TATLI"/>
        <s v="ŞİFAVER ALOE VERA HATAY SABUNU"/>
        <s v="ŞİFAVER BITTIM HATAY SABUNU"/>
        <s v="ŞİFAVER DEFNE GARLI HATAY SABUNU"/>
        <s v="ŞİFAVER GÜL HATAY SABUNU"/>
        <s v="ŞİFAVER KÜKÜRTLÜ HATAY SABUNU"/>
        <s v="ŞİFAVER KİL HATAY SABUNU"/>
        <s v="ŞİFAVER ZEYTİNYAĞLI HATAY SABUNU"/>
        <s v="KAJU - TB"/>
        <s v="UMUT ŞİFA KUYRUK YAĞI 100 ML"/>
        <s v="TABİB LOKMAN ALABALIK YAĞI 100 ML"/>
        <s v="ARZEN TOROS NANESİ 20 ML (NANE YAĞI)"/>
        <s v="BİOBLAS KERATİN KOLAJEN SIVI SAÇ KREMİ 200 ML"/>
        <s v="BİOBLAS SAÇ DÖKÜLMESİNE KARŞI BİTKİSEL ŞAMPUAN 1000 ML - YEŞİL "/>
        <s v="UNİ BABY BEBEK ŞAMPUANI 900 ML"/>
        <s v="BİOBLAS ARGAN SIVI SAÇ KREMİ 200 ML"/>
        <s v="BİOBLAS KERATİN KOLAJEN SAÇ BAKIM YAĞI 100 ML"/>
        <s v="BİOBLAS ARGAN SAÇ BAKIM YAĞI 100 ML"/>
        <s v="KARIŞIK KURUYEMİŞ"/>
        <s v="BİOBLAS BOTANİC OİLS 360 ML SARIMSAKLI SAÇ DÖKÜLMESİNE KARŞI ŞAMPUAN"/>
        <s v="BİOBLAS BOTANİC OİLS ARGAN YAĞLI 360 ML SAÇ DÖKÜLMESİNE KARŞI ŞAMPUAN"/>
        <s v="BİOBLAS SİYAH SARIMSAKLI 1000 ML SAÇ DÖKÜLMESİNE KARŞI ŞAMPUAN - SİYAH"/>
        <s v="BİOBLAS COLLAGEN VE KERATİN DÖKÜLME KARŞITI 250 ML DURULANMAYAN SAÇ KREMİ"/>
        <s v="BİOBLAS BOTANİCS OİL ARGAN YAĞLI SAÇ KREMİ  250 ML"/>
        <s v="AKİKSİR HİNDİSTAN CEVİZİ YAĞI 150 GR"/>
        <s v="HUNCA CARE AT KESTANESİ KREMİ 500 ML"/>
        <s v="ZÜHRE ANA KİDS ARI SÜTÜ PEKMEZ BAL MACUN 240 GR"/>
        <s v="ZÜHRE ANA KARADUT ÖZÜ 670 GR"/>
        <s v="ZÜHRE ANA L-CARNİTİNE DESTEKLİ FORM MACUNU - 240 GR"/>
        <s v="MACUN KIRMIZI"/>
        <s v="MACUN VİP"/>
        <s v="ERBATAB MAGNEZYUM 3 LÜ FORM (BİSGLİSİNAT, SİTRAT, MALAT) &amp; VİTAMİN B2 , B3 , B6 - 60 KAPSÜL"/>
        <s v="ERBATAB VİTAMİN B12- FOLİK ASİT B9-METİLKOBALAMİN-METİLFOLAT"/>
        <s v="ERBATAB LUGOL İYOT %2 SIVI TAKVİYE 20 ML TİROİD FONKSİYONUNU DESTEKLEYEN FORMÜL"/>
        <s v="ERBATAB VİTAMİN D3 K2 2'Sİ 1 ARADA DAMLA - D3K2"/>
        <s v="TÜDAB ACUR TURŞUSU"/>
        <s v="YALÇINKAYA ACI BİBER SALÇASI"/>
        <s v="YALÇINKAYA TATLI BİBER SALÇASI"/>
        <s v="YALÇINKAYA DOMATES SALÇASI"/>
        <s v="HİNT KINASI KAHVERENGİ (TEKLİ SATILACAK - 6 ADET)"/>
        <s v="HİNT KINASI KESTANE  (TEKLİ SATILACAK - 6 ADET)"/>
        <s v="HİNT KINASI KIZIL  (TEKLİ SATILACAK - 6 ADET)"/>
        <s v="HİNT KINASI SARI  (TEKLİ SATILACAK - 6 ADET)"/>
        <s v="KİRAZ SAPI"/>
        <s v="PUDRA ŞEKERİ"/>
        <s v="TÜDAB TURŞU BİBER"/>
        <s v="BALPARMAK YAYLA VE OVA ÇİÇEK BALI 850 GR"/>
        <s v="BİZİM YAPRAK 1 LİK"/>
        <s v="CEVİZLİ SUCUK ATOM (SARI)"/>
        <s v="KINA TÜP KIZIL"/>
        <s v="KINA TÜP SİYAH"/>
        <s v="ÖZBEK ÜZÜMÜ"/>
        <s v="ERBATAB VİTAMİN D3 KİDS 20 ML 400 IU DAMLA"/>
        <s v="ERBATAB DEMİR VİTAMİN 30 KAPSÜL"/>
        <s v="ZÜHRE ANA KOZALAK MACUNU - ÇAM KOZALAĞI 240 GR"/>
        <s v="ZÜHRE ANA PROPOLİS MACUNU 240 GR"/>
        <s v="ZÜHRE ANA BROMELAİN ANANAS İÇEREN DETOX ŞURUBU 250 ML"/>
        <s v="NUTRAXİN BROMELAİN FORTE 750 MG 60 TABLET"/>
        <s v="NUTRAXİN BROMELAİN 500 MG 60 TABLET"/>
        <s v="NUTRAXİN MAGNEZYUM COMPLEX 60 TABLET 125 MG"/>
        <s v="İCOLLAGEN KOLAJEN VE PROBİYOTİK 60 TABLET"/>
        <s v="ZÜHRE ANA KİDS OMEGA 3 BALIK YAĞI ŞURUBU 150 ML"/>
        <s v="ZÜHRE ANA SULTAN MACUNU 240 GR"/>
        <s v="ZÜHRE ANA DİYABETİK KOZALAK MACUNU - ÇAM KOZALAĞI 240 GR"/>
        <s v="COLLAGEN FORTE PLATİNUM OMEGA 3 90 SOFT JEL"/>
        <s v="ORNATE KARINCA YUMURTASI TÜY DÖKÜCÜ KREM 150 ML"/>
        <s v="ÇİNKOPAST PORTAKALLI PASTİL 12 ADET"/>
        <s v="CLASY CARE AYAK VE TOPUK ÇATLAK KREMİ 100 ML"/>
        <s v="LOKUM KARIŞIK - TB"/>
        <s v="LOKUM SADE - TB"/>
        <s v="GENÇLEBİ ÇAKILTAŞI DRAJE"/>
        <s v="LAHANA TURŞUSU 5 KG"/>
        <s v="TÜDAB KARIŞIK TURŞU"/>
        <s v="ZÜHRE ANA HURMA ÖZÜ 350 GR"/>
        <s v="ZÜHRE ANA IŞGIN SİRKESİ 500 ML"/>
        <s v="ZÜHRE ANA ANANAS SİRKESİ 500 ML"/>
        <s v="SARIBELEN IŞGIN KÖKÜ SİRKESİ 500 ML"/>
        <s v="CEVİZLİ SUCUK ATOM (ESMER)"/>
        <s v="KINA RGS DÖKME"/>
        <s v="LEBLEBİ ŞEKER RENKLİ"/>
        <s v="PATLAK MISIR"/>
        <s v="TUZLU FISTIK DUBLE"/>
        <s v="TUZSUZ FISTIK 1 NO"/>
        <s v="BUĞDAY NİŞASTASI"/>
        <s v="DENİZ TAHİNLİ PİŞMANİYE"/>
        <s v="DENİZ ÇİKOLATA KAPLAMALI PİŞMANİYE"/>
        <s v="DENİZ VANİLYALI PİŞMANİYE"/>
        <s v="AÇIK KAYISI İRİ (SARI)"/>
        <s v="HAPPY LİFE NAR EKŞİSİ 250 ML"/>
        <s v="GÜLSUYU LÜKS"/>
        <s v="ÇÖREKOTU YAĞI 250 CC"/>
        <s v="ÜZÜM ÇEKİRDEĞİ YAĞI 50 CC"/>
        <s v="KETEN TOHUMU YAĞI 50 CC"/>
        <s v="GLİSERİN 50 CC"/>
        <s v="ÇAM TEREBENTİN 50 CC"/>
        <s v="SUSAM YAĞI 50 CC"/>
        <s v="ÇÖREKOTU YAĞI 50 CC"/>
        <s v="KANTARON YAĞI 50 CC"/>
        <s v="TATLI BADEM YAĞI 50 CC"/>
        <s v="KEKİK YAĞI 10 CC"/>
        <s v="LAVANTA YAĞI 10 CC"/>
        <s v="KARANFİL YAĞI 10 CC"/>
        <s v="BİBERİYE YAĞI 10 CC"/>
        <s v="NANE YAĞI 10 CC"/>
        <s v="ÇAY AĞACI YAĞI 10 CC"/>
        <s v="OKALİPTUS YAĞI 10 CC"/>
        <s v="ADA ÇAYI YAĞI (ACI ELMA YAĞI) 10 CC"/>
        <s v="LİMON YAĞI 20 CC"/>
        <s v="HİNDİSTAN CEVİZİ YAĞI 20 CC"/>
        <s v="HİNT YAĞI 50 CC"/>
        <s v="KABAK ÇEKİRDEĞİ YAĞI 50 CC"/>
        <s v="ARGAN YAĞI 10 CC"/>
        <s v="KUŞBURNU - KIRMIZI"/>
        <s v="DERMA KABAK YÜZ &amp; BANYO LİFİ"/>
        <s v="MS 11 DERMA KABAK HAVLU ELDİVEN"/>
        <s v="MİX NANE LİMON ÇAYI"/>
        <s v="NAHİTA SUMAK EKŞİSİ "/>
        <s v="NAHİTA NAR EKŞİSİ 250 ML"/>
        <s v="TALA KARINCA YUMURTASI YAĞI 20 ML"/>
        <s v="MISIR UNU"/>
        <s v="TÜDAB DUT PEKMEZİ 800 GR"/>
        <s v="TÜDAB ÜZÜM PEKMEZİ 800 GR"/>
        <s v="BALTEK PROPOLİS EKSTRESİ 35 ML"/>
        <s v="TÜDAB ZEYTİNYAĞLI KUDRET NARI"/>
        <s v="İĞDE ÇEKİRDEĞİ TOZU"/>
        <s v="KÖFTELİK BULGUR"/>
        <s v="PİLAVLIK BULGUR"/>
        <s v="SUMAK TANE EKŞİLİ"/>
        <s v="KIRMIZI PUL BİBER TATLI"/>
        <s v="ÇAVUŞOĞLU ÜZÜM PEKMEZİ 1000 GR"/>
        <s v="EMBEAUTY KOLEJAN VE KERATİN SAÇ DÖKÜLMESİNE KARŞI ONARICI DOLGUNLAŞTIRICI ŞAMPUAN 400 ML"/>
        <s v="HARMANA HİNDİBA KAHVESİ 150G 1 AYLIK 60 KULLANIM"/>
        <s v="FORTEM AĞRI KESİCİ KREM"/>
        <s v="FORTEM TABLET"/>
        <s v="KİMYON TANE"/>
        <s v="MİGREN TAŞI (MENTHO BOX)"/>
        <s v="TİLAKS ÇAYI"/>
        <s v="AKGÜNLÜK BAHUR"/>
        <s v="DAĞ İNCİRİ - BE"/>
        <s v="DAĞ İNCİRİ KÜÇÜK - BE"/>
        <s v="SHİFFA HOME ZEYTİNYAĞLI KUDRET NARI 600 MG 10 SOFTJEL KAPSÜL"/>
        <s v="AKSU VİTAL KUDRET NARI EKSTRATLI MACUN 300 GR"/>
        <s v="AKSU VİTAL GİNSENG EKSTRATLI MACUN 300 GR"/>
        <s v="SHİFFA HOME PROCBA ARI SÜTÜ PROPOLİS EKİNEZYA EKSTRESİ ŞURUP 100 ML"/>
        <s v="BAMYA TOHUMU"/>
        <s v="ANASON"/>
        <s v="ORNATE KARINCA YUMURTASI 20 ML"/>
        <s v="ARDIÇ YAĞI 20 CC"/>
        <s v="AGARTA DİŞ MACUNU"/>
        <s v="AGARTA DİŞ MACUNU - ÇOCUK"/>
        <s v="ZÜHRE ANA ENGİNAR MACUNU"/>
        <s v="MANİSA YAPRAK DÖKME"/>
        <s v="GENÇAY ALIÇ SİRKESİ 500 CC"/>
        <s v="GENÇAY ELMA SİRKESİ 500 CC"/>
        <s v="GENÇAY KEÇİ BOYNUZU ÖZÜ 675 GR"/>
        <s v="GENÇAY NAR EKŞİSİ 330 GR"/>
        <s v="MECİTEFENDİ BİBERİYE ŞAMPUANI 400 ML"/>
        <s v="MECİTEFENDİ ARDIÇ KATRANI ŞAMPUAN 400 ML"/>
        <s v="MECİTEFENDİ ÇAM TEREBENTİN ŞAMPUANI 400 ML"/>
        <s v="MECİTEFENDİ ISIRGAN ŞAMPUANI 400 ML"/>
        <s v="MECİTEFENDİ LAVANTA ŞAMPUANI 400 ML"/>
        <s v="MECİTEFENDİ ZEYTİN ŞAMPUAN 400 ML"/>
        <s v="MECİTEFENDİ SARIMSAK ŞAMPUAN 400 ML"/>
        <s v="MECİTEFENDİ BAL ŞAMPUANI 400 ML"/>
        <s v="MECİTEFENDİ DEFNE ŞAMPUANI 400 ML"/>
        <s v="MECİTEFENDİ ORGANİK ARGAN YAĞLI ŞAMPUAN 400 ML"/>
        <s v="MECİTEFENDİ % 100 DOĞAL KAŞ KİRPİK BAKIM YAĞI"/>
        <s v="HİNDİSTAN CEVİZİ YAĞI 150 ML"/>
        <s v="MECİTEFENDİ AT KESTANESİ ÖZLÜ MASAJ KREMİ (90 ML)"/>
        <s v="MECİTEFENDİ MASAJ KREMİ 175 ML"/>
        <s v="MECİTEFENDİ LANOLİN KREMİ (30ML)"/>
        <s v="MECİTEFENDİ AT KESTANESİ ÖZLÜ GÖZ ÇEVRESİ KREMİ (15 ml.)"/>
        <s v="BİBERİYE SUYU SAÇ TONİĞİ (11 BİTKİ EKSTRAKLI) 150 ml"/>
        <s v="BİBERİYE SAÇ BAKIM SERUMU (E-VİTAMİNLİ) 50 ml"/>
        <s v="MECİTEFENDİ BİBERİYE ŞAMPUANI 150 ML"/>
        <s v="PAPATYA SUYU SAÇ TONİĞİ 150 ml"/>
        <s v="LG ENGİNAR SUYU 1 LT"/>
        <s v="LG KEKİK SUYU 1 LT"/>
        <s v="MECİTEFENDİ MİSVAK ÖZLÜ DOĞAL DİŞ MACUNU 75 ml"/>
        <s v="MECİTEFENDİ AKTİF KARBONLU DOĞAL DİŞ MACUNU 75 ml"/>
        <s v="MECİTEFENDİ DOĞAL DUDAK BALMI 15 ml"/>
        <s v="MECİTEFENDİ DOĞAL KİL MASKE-YOSUN (200 ml.)"/>
        <s v="MECİTEFENDİ AYNI SEFA KREMİ 30 ML"/>
        <s v="DUT KURUSU ESMER"/>
        <s v="KUDÜS HURMASI"/>
        <s v="MEBRUM HURMA - SİYAH"/>
        <s v="İNCİR KÜÇÜK"/>
        <s v="AŞURELİK BUĞDAY İZMİR"/>
        <s v="KABAK LİFLİ ALOEVERA SABUN"/>
        <s v="KABAK LİFLİ EŞEK SÜTÜ BALLI SABUN"/>
        <s v="KABAK LİFLİ KEÇİ SÜTÜ BALLI SABUN"/>
        <s v="KABAK LİFLİ PİRİNÇ SABUN"/>
        <s v="KABAK LİFLİ ÇAM ARDIÇ SABUN"/>
        <s v="KUŞ ÜZÜMÜ"/>
        <s v="NAHİTA KOZALAK ŞURUBU 500 ML"/>
        <s v="RUŞUR TAŞI"/>
        <s v="YAŞ ZENCEFİL"/>
        <s v="EL-RUHA ÇAY 400 GR"/>
        <s v="EL-RUHA ÇAY 800 GR"/>
        <s v="EL-RUHA ÇAY (AÇIK)"/>
        <s v="DEVE DİKENİ TOHUMU"/>
        <s v="ISIRGAN YAPRAĞI"/>
        <s v="KARAHALİLE"/>
        <s v="SARIHALİLE"/>
        <s v="DUL AVRAT OTU"/>
        <s v="MAYDANOZ TOHUMU"/>
        <s v="HARDAL TOHUMU"/>
        <s v="ÇAM SAKIZI"/>
        <s v="ÇOBAN ÇÖKERTEN"/>
        <s v="KARAHİNDİBA YAPRAK"/>
        <s v="ÇOBAN ÇANTASI"/>
        <s v="AVAKADO YAPRAĞI"/>
        <s v="ŞAHTERE OTU"/>
        <s v="ACI PELİN OTU"/>
        <s v="TOZ HAVLICAN"/>
        <s v="MS 01 DERMA BEBEK BANYO ELDİVENİ"/>
        <s v="MS 02 DERMA ÖRME BANYO &amp; YÜZ LİFİ"/>
        <s v="MS 05 DERMA RENKLİ BANYO ELDİVEN"/>
        <s v="MS 09 DERMA ÖRME SOPALI SIRT LİFİ"/>
        <s v="MS 12 DERMA KABAK İPLİ KEMER"/>
        <s v="MS 32 DERMA BAMBU YÜZ TEMİZLEME"/>
        <s v="GÜLŞAH SAHLEP AROMALI İÇECEK"/>
        <s v="SUSAM SİMİTLİK"/>
        <s v="DURMUŞOĞULLARI KATI PEKMEZ TAHTA 700 GR"/>
        <s v="SUMAK ÖZEL"/>
        <s v="MİSVAK KUTULU (HOLDER)"/>
        <s v="NAHİTA ELMALI ENGİNAR SİRKESİ"/>
        <s v="FASILA İYOT DAMLASI"/>
        <s v="MISIR PREMİUM MEDİUM HURMA"/>
        <s v="MEBRUM HURMA (3'LÜK)"/>
        <s v="MEBRUM HURMA 2 (5'LİK)"/>
        <s v="SEFAVİ HURMA"/>
        <s v="SOGAY HURMA"/>
        <s v="ACVE SARI"/>
        <s v="ESMER BULGUR (AKIN)"/>
        <s v="KİTEL BULGUR (SEFER)"/>
        <s v="YEDİ TÜRLÜ BAHARAT  (LUXURY CHEF)"/>
        <s v="ÇİĞ KABAK ÇEKİRDEĞİ"/>
        <s v="UYUZ İLACI"/>
        <s v="BOZ ANTEP FISTIK ÖĞÜTÜLMÜŞ"/>
        <s v="BOZ ANTEP FISTIK İÇİ"/>
        <s v="MİNDİVAN ÇÖREK OTU YAĞI KAPSÜL"/>
        <s v="TATBUL İNCE PİLAVLIK BULGUR"/>
        <s v="GÜNGÖR 5 LT SU"/>
        <s v="ABANT 5 LT SU"/>
        <s v="GÜNGÖR 1500 ML SU"/>
        <s v="GÜNGÖR 500 ML SU"/>
        <s v="GENÇAY VAZELİN 100 ML"/>
        <s v="AT KESTANESİ YAĞI 50 CC"/>
        <s v="ERBATAB METİKOBALAMİN B12 SPREY 10 ML"/>
        <s v="TALA YILAN YAĞI 20 ML"/>
        <s v="FESLEĞEN"/>
        <s v="SHİFFA HOME SIVI PROPOLİS EKSTRESİ 20 ML"/>
        <s v="COSMETİC EMZİREN ANNE KREMİ 30 GR"/>
        <s v="GÜNBAK AZ TUZLU SOYA SOSU 750 ML"/>
        <s v="SHİFFA HOME ÇÖREKOTU YAĞI 1000 MG 100 SOFTJEL KAPSÜL"/>
        <s v="BALEN FERROFAN BİTKİSEL EKSTRESİ İÇEREN TAKVİYE EDİCİ GIDA 150 ML"/>
        <s v="AKSU VİTAL D3 VİTAMİN 650 MG 60 SOFTJEL KAPSÜL"/>
        <s v="GÜNBAK SOYA SOSU 750 ML"/>
        <s v="GÜNBAK 3Ü1 ARADA SADE KUTU 40 ADET"/>
        <s v="TANE MAHLEP"/>
        <s v="SHİFFA HOME KEDİOTU KÖKÜ VALERİAN ROOT 40,2 GR 60 KAPSÜL"/>
        <s v="AKSU VİTAL C VİTAMİNİ 75 GR 60 KAPSÜL"/>
        <s v="SHİFFA HOME ÇİNKO PİKOLİNAT 500 MG 60 KAPSÜL"/>
        <s v="SHİFFA HOME SARI KANTARON 33,6 GR 60 KAPSÜL"/>
        <s v="SHİFFA HOME PROPOLİS 28,2 GR 60 KAPSÜL"/>
        <s v="SHİFFA HOME SARI KANTARONLU KEDRET NARI 134 GR 100 SOFTJEL KAPSÜL"/>
        <s v="BALEN BAL KABAĞI ÇEKİRDEĞİ YAĞI 1380 MG 100 YUMUŞAK KAPSÜL"/>
        <s v="COSMECİT PİRİNÇ PROTEİNLİ &amp; BEYAZLATICI SABUN 120 GR"/>
        <s v="COSMECİT KOLAJENLİ SABUN 120 GR"/>
        <s v="COSMECİT KÜKÜRTLÜ SABUN 120 GR"/>
        <s v="COSMECİT KEÇİ SÜTÜ SABUNU 120 GR"/>
        <s v="GALETA UNU"/>
        <s v="BALEN GİNKGO BİLOBA 600 MG 60 TABLET"/>
        <s v="ATOM PUL BİBER ÇOK ACI"/>
        <s v="PASTA SÜSÜ"/>
        <s v="KENDİR TOHUMU (ÇETENE ÇEDENE KENEVİR TOHMU)"/>
        <s v="MUSKAT TANE (HİNT CEVİZİ)"/>
        <s v="KİŞNİŞ TANE"/>
        <s v="SIKMA ANTEP TARHANA"/>
        <s v="POLAT ŞEKERİ (NÖBET ŞEKERİ)"/>
        <s v="HAŞHAŞ MAVİ"/>
        <s v="DAMLA ÇİKOLATA"/>
        <s v="PEINEILI GİNSENG KUVVET BİTKİSEL KARIŞIMLI MACUN"/>
        <s v="ÖMRÜM VANİLYALI GOFRET 450 GR"/>
        <s v="MEBRUM HURMA  NO 1"/>
        <s v="MEŞRUK HURMA NO 1"/>
        <s v="ÖMRÜM KAKAOLU GOFRET 450 GR"/>
        <s v="ÜZÜM SİYAH KİLİS"/>
        <s v="MEBRUM HURMA NO 2"/>
        <s v="HARMANA BEFORM - HİNDİBA SİRKESİ 250 ML"/>
        <s v="HARDAL TOHUMU - SİYAH"/>
        <s v="DEEPSEA DEO STİCK 60 GR (TER ÖNLEME)"/>
        <s v="NAHİTA IŞGIN SİRKESİ"/>
        <s v="JAPON LİF"/>
        <s v="KÜÇÜK BEYAZ KABAK ÇEKİRDEĞİ - NEVŞEHİR"/>
        <s v="KÜÇÜK BEYAZ ÇİĞ KABAK ÇEKİRDEĞİ - NEVŞEHİR"/>
        <s v="YAĞLI YAPRAK BİBER"/>
        <s v="KINA ÇEREZİ - ÇITIRLI - 5'Lİ LÜKS KARIŞIK"/>
        <s v="KAYISI 2. KALİTE" u="1"/>
        <s v="AŞURELİK BUĞAY İZMİR" u="1"/>
        <s v="TOZ BİBER" u="1"/>
        <s v="KIRKLİK OTU (AT KUYRUĞU)" u="1"/>
        <s v="NAHİTA NAR EKŞİSİ" u="1"/>
      </sharedItems>
    </cacheField>
    <cacheField name="HİZMET" numFmtId="0">
      <sharedItems containsBlank="1" count="19">
        <m/>
        <s v="DIŞARIDAN SAĞLANAN FAYDA VE HİZMETLER"/>
        <s v="KİRA GİDERLERİ"/>
        <s v="BİNA BAKIM ONARIM"/>
        <s v="DEMİRBAŞ"/>
        <s v="YOL GİDERLERİ"/>
        <s v="GİDER SAYILAN DEMİRBAŞ"/>
        <s v="TEMİZLİK GİDERLERİ"/>
        <s v="MUTFAK GİDERLERİ"/>
        <s v="İSKONTO GİDERLERİ"/>
        <s v="AMBALAJ GİDERLERİ"/>
        <s v="İSKONTO GELİRLERİ"/>
        <s v="MUHASEBE GİDERLERİ"/>
        <s v="VERGİ VE HARÇLAR"/>
        <s v="KIRTASİYE GİDERİ"/>
        <s v="FATURA GİDERLERİ"/>
        <s v="BANKA GİDERLERİ"/>
        <s v="DİĞER GELİRLER"/>
        <s v="FİRE GİDERLERİ"/>
      </sharedItems>
    </cacheField>
    <cacheField name="CARİ" numFmtId="0">
      <sharedItems containsBlank="1" count="19">
        <s v="SERMAYE"/>
        <m/>
        <s v="MEHMET DAŞDEMİR - K.K."/>
        <s v="YALÇINTAT BAHARAT GIDA LTD."/>
        <s v="TÜDAB A.Ş."/>
        <s v="TFK-POS"/>
        <s v="ORHAN ABLAK HOCA"/>
        <s v="HARUN ADANA"/>
        <s v="GENÇAY BAHARAT - İSMAİL MAHMUT GENÇAY"/>
        <s v="SERBEND HURMA"/>
        <s v="EL-RUHA ÇAY"/>
        <s v="HANİFE DİVLEK"/>
        <s v="NEVANTAT KURUYEMİŞ"/>
        <s v="MÜMİNE ÇELİKEL"/>
        <s v="HERTAT"/>
        <s v="SELÇUK GIDA LTD."/>
        <s v="MUHTELİF MÜŞTERİ"/>
        <s v="DURMUŞOĞULLARI KATI PEKMEZ"/>
        <s v="YILMAZ KARDEŞLER GIDA LTD."/>
      </sharedItems>
    </cacheField>
    <cacheField name="FT NO" numFmtId="0">
      <sharedItems containsBlank="1" containsMixedTypes="1" containsNumber="1" containsInteger="1" minValue="0" maxValue="5477432" count="2844">
        <s v="SR00000000001"/>
        <s v="GIB2025000000006"/>
        <m/>
        <s v=" OZD2025000000037"/>
        <n v="8"/>
        <n v="102"/>
        <s v="AE02025004359393"/>
        <s v="AE02025004367607"/>
        <s v="AE02025004413238"/>
        <s v="AE02025004420874"/>
        <s v="AFA2025000001602"/>
        <s v="AE02025004429542"/>
        <s v="OZD2025000000038"/>
        <s v="AE02025004500326"/>
        <s v="AE02025004541835"/>
        <s v="HA12025000009098"/>
        <s v="AE02025004571779"/>
        <n v="830073"/>
        <s v="TYF2025000123250"/>
        <n v="850234"/>
        <s v="IOA2025000377401"/>
        <s v="KAV2025000001470"/>
        <s v="YK02025000001397"/>
        <s v="BHR2025000009930"/>
        <s v="ST00000000001"/>
        <s v="ST00000000002"/>
        <s v="YLC2025000000101"/>
        <s v="EAR2025000015"/>
        <s v="AFA2025000001709"/>
        <s v="AFA2025000001710"/>
        <s v="INT20250000003522"/>
        <s v="ST00000000003"/>
        <s v="ST00000000004"/>
        <s v="ST00000000005"/>
        <s v="ST00000000006"/>
        <s v="FT00000000002"/>
        <s v="ST00000000007"/>
        <s v="ST00000000008"/>
        <s v="ST00000000009"/>
        <s v="ST00000000010"/>
        <s v="ST00000000011"/>
        <s v="ST00000000035"/>
        <s v="FT00000000003"/>
        <s v="ST00000000012"/>
        <s v="ST00000000013"/>
        <n v="48"/>
        <s v="AE02025004760510"/>
        <s v="ST00000000014"/>
        <s v="ST00000000015"/>
        <s v="ST00000000016"/>
        <s v="ST00000000017"/>
        <s v="ST00000000018"/>
        <s v="ST00000000019"/>
        <s v="ST00000000020"/>
        <s v="ST00000000021"/>
        <s v="IA00000000001"/>
        <s v="IA00000000002"/>
        <s v="ST00000000022"/>
        <s v="ST00000000023"/>
        <s v="ST00000000024"/>
        <s v="ST00000000025"/>
        <s v="ST00000000026"/>
        <s v="ST00000000027"/>
        <s v="ST00000000028"/>
        <s v="ST00000000029"/>
        <s v="ST00000000030"/>
        <s v="ST00000000031"/>
        <s v="ST00000000032"/>
        <s v="ST00000000033"/>
        <s v="ST00000000034"/>
        <s v="ST00000000036"/>
        <s v="ST00000000037"/>
        <s v="ST00000000038"/>
        <s v="ST00000000039"/>
        <s v="ST00000000040"/>
        <s v="ST00000000041"/>
        <s v="ST00000000044"/>
        <s v="ST00000000045"/>
        <s v="ST00000000042"/>
        <s v="ST00000000043"/>
        <s v="ST00000000046"/>
        <s v="ST00000000047"/>
        <s v="ST00000000048"/>
        <s v="ST00000000049"/>
        <s v="ST00000000050"/>
        <s v="ST00000000051"/>
        <s v="ST00000000052"/>
        <s v="ST00000000053"/>
        <s v="ST00000000054"/>
        <s v="ST00000000055"/>
        <s v="ST00000000056"/>
        <s v="ST00000000057"/>
        <s v="ST00000000058"/>
        <s v="ST00000000059"/>
        <s v="ST00000000060"/>
        <s v="ST00000000061"/>
        <s v="ST00000000062"/>
        <s v="ST00000000063"/>
        <s v="ST00000000064"/>
        <s v="ST00000000065"/>
        <s v="ST00000000066"/>
        <s v="ST00000000067"/>
        <s v="FT00000000061"/>
        <s v="ST00000000068"/>
        <s v="ST00000000069"/>
        <s v="ST00000000070"/>
        <s v="ST00000000071"/>
        <s v="ST00000000072"/>
        <s v="ST00000000073"/>
        <s v="FT00000000004"/>
        <s v="ST00000000074"/>
        <s v="ST00000000075"/>
        <s v="ST00000000076"/>
        <s v="ST00000000077"/>
        <s v="ST00000000078"/>
        <s v="ST00000000079"/>
        <s v="ST00000000080"/>
        <s v="ST00000000081"/>
        <s v="ST00000000082"/>
        <s v="ST00000000083"/>
        <n v="14"/>
        <s v="ST00000000084"/>
        <s v="ST00000000085"/>
        <s v="ST00000000086"/>
        <s v="ST00000000087"/>
        <s v="ST00000000088"/>
        <s v="ST00000000089"/>
        <s v="ST00000000090"/>
        <s v="ST00000000091"/>
        <s v="ST00000000092"/>
        <s v="ST00000000093"/>
        <s v="ST00000000679"/>
        <s v="ST00000000680"/>
        <s v="ST00000000681"/>
        <n v="259"/>
        <s v="FT00000000014"/>
        <s v="FT00000000036"/>
        <s v="FT00000000037"/>
        <n v="46"/>
        <s v="FT00000000009"/>
        <s v="ST00000000094"/>
        <s v="ST00000000095"/>
        <s v="ST00000000096"/>
        <s v="ST00000000097"/>
        <s v="FT00000000005"/>
        <s v="FT00000000010"/>
        <s v="FT00000000011"/>
        <s v="ST00000000098"/>
        <s v="ST00000000099"/>
        <s v="ST00000000100"/>
        <s v="ST00000000101"/>
        <s v="ST00000000102"/>
        <s v="ST00000000103"/>
        <s v="ST00000000104"/>
        <s v="ST00000000105"/>
        <s v="ST00000000106"/>
        <s v="ST00000000107"/>
        <s v="FT00000000006"/>
        <s v="FT00000000033"/>
        <s v="FT00000000034"/>
        <s v="FT00000000035"/>
        <s v="ST00000000108"/>
        <s v="ST00000000109"/>
        <s v="ST00000000110"/>
        <s v="ST00000000111"/>
        <s v="ST00000000112"/>
        <s v="ST00000000113"/>
        <s v="ST00000000114"/>
        <s v="ST00000000115"/>
        <s v="ST00000000116"/>
        <s v="ST00000000117"/>
        <s v="ST00000000118"/>
        <s v="ST00000000119"/>
        <s v="ST00000000120"/>
        <s v="ST00000000121"/>
        <s v="ST00000000184"/>
        <s v="FT00000000007"/>
        <s v="FT00000000012"/>
        <s v="FT00000000015"/>
        <s v="FT00000000016"/>
        <s v="FT00000000017"/>
        <s v="FT00000000018"/>
        <s v="FT00000000019"/>
        <s v="FT00000000020"/>
        <s v="ST00000000122"/>
        <s v="ST00000000123"/>
        <s v="ST00000000124"/>
        <s v="ST00000000125"/>
        <s v="ST00000000126"/>
        <s v="ST00000000127"/>
        <s v="ST00000000128"/>
        <s v="ST00000000129"/>
        <s v="ST00000000130"/>
        <s v="ST00000000131"/>
        <s v="ST00000000132"/>
        <s v="ST00000000133"/>
        <s v="ST00000000134"/>
        <s v="ST00000000135"/>
        <s v="ST00000000136"/>
        <s v="ST00000000137"/>
        <s v="ST00000000138"/>
        <s v="ST00000000139"/>
        <s v="ST00000000140"/>
        <s v="ST00000000141"/>
        <s v="ST00000000142"/>
        <s v="FT00000000021"/>
        <s v="FT00000000022"/>
        <s v="FT00000000023"/>
        <s v="ST00000000143"/>
        <s v="ST00000000144"/>
        <s v="ST00000000145"/>
        <s v="ST00000000147"/>
        <s v="ST00000000148"/>
        <s v="ST00000000149"/>
        <s v="ST00000000150"/>
        <n v="1"/>
        <s v="ST00000000146"/>
        <s v="ST00000000151"/>
        <s v="ST00000000152"/>
        <s v="ST00000000153"/>
        <s v="ST00000000154"/>
        <s v="ST00000000155"/>
        <s v="ST00000000156"/>
        <s v="ST00000000157"/>
        <s v="ST00000000158"/>
        <s v="ST00000000159"/>
        <s v="ST00000000160"/>
        <s v="ST00000000161"/>
        <s v="ST00000000162"/>
        <s v="ST00000000163"/>
        <s v="FT00000000013"/>
        <s v="FT00000000024"/>
        <s v="FT00000000025"/>
        <s v="ST00000000164"/>
        <s v="ST00000000165"/>
        <s v="ST00000000166"/>
        <s v="ST00000000167"/>
        <s v="ST00000000168"/>
        <s v="ST00000000169"/>
        <s v="ST00000000170"/>
        <s v="ST00000000171"/>
        <s v="ST00000000172"/>
        <s v="ST00000000173"/>
        <s v="ST00000000174"/>
        <n v="40"/>
        <s v="FT00000000026"/>
        <s v="FT00000000027"/>
        <s v="FT00000000028"/>
        <s v="FT00000000029"/>
        <s v="FT00000000032"/>
        <s v="ST00000000175"/>
        <s v="ST00000000176"/>
        <s v="ST00000000177"/>
        <s v="ST00000000178"/>
        <s v="ST00000000179"/>
        <s v="ST00000000180"/>
        <s v="ST00000000181"/>
        <s v="ST00000000182"/>
        <s v="ST00000000183"/>
        <s v="FT00000000008"/>
        <s v="ST00000000185"/>
        <s v="ST00000000186"/>
        <s v="ST00000000187"/>
        <s v="ST00000000188"/>
        <s v="ST00000000189"/>
        <s v="ST00000000190"/>
        <s v="ST00000000191"/>
        <s v="ST00000000192"/>
        <s v="ST00000000193"/>
        <s v="ST00000000194"/>
        <s v="ST00000000195"/>
        <s v="ST00000000196"/>
        <s v="ST00000000197"/>
        <s v="ST00000000198"/>
        <s v="ST00000000199"/>
        <s v="ST00000000200"/>
        <s v="ST00000000201"/>
        <s v="ST00000000202"/>
        <s v="ST00000000203"/>
        <s v="ST00000000204"/>
        <s v="ST00000000205"/>
        <s v="ST00000000206"/>
        <s v="FT00000000030"/>
        <s v="FT00000000031"/>
        <s v="ST00000000207"/>
        <s v="ST00000000208"/>
        <s v="ST00000000209"/>
        <s v="ST00000000210"/>
        <s v="ST00000000211"/>
        <s v="ST00000000212"/>
        <s v="ST00000000213"/>
        <s v="ST00000000214"/>
        <s v="ST00000000215"/>
        <s v="ST00000000216"/>
        <s v="ST00000000217"/>
        <s v="ST00000000218"/>
        <s v="FT00000000053"/>
        <s v="ST00000000219"/>
        <s v="ST00000000220"/>
        <s v="ST00000000221"/>
        <s v="ST00000000222"/>
        <s v="ST00000000223"/>
        <s v="ST00000000224"/>
        <s v="ST00000000225"/>
        <s v="ST00000000226"/>
        <s v="ST00000000227"/>
        <s v="ST00000000228"/>
        <s v="FT00000000054"/>
        <s v="ST00000000229"/>
        <s v="ST00000000230"/>
        <s v="ST00000000231"/>
        <s v="ST00000000232"/>
        <s v="ST00000000233"/>
        <s v="ST00000000234"/>
        <s v="ST00000000235"/>
        <s v="ST00000000236"/>
        <s v="FT00000000056"/>
        <s v="ST00000000237"/>
        <s v="ST00000000238"/>
        <s v="ST00000000239"/>
        <s v="ST00000000240"/>
        <s v="ST00000000241"/>
        <s v="ST00000000242"/>
        <s v="ST00000000243"/>
        <s v="ST00000000244"/>
        <s v="ST00000000245"/>
        <s v="ST00000000246"/>
        <s v="ST00000000247"/>
        <s v="ST00000000248"/>
        <s v="ST00000000249"/>
        <s v="ST00000000250"/>
        <s v="ST00000000251"/>
        <s v="ST00000000252"/>
        <s v="ST00000000253"/>
        <s v="ST00000000254"/>
        <s v="ST00000000270"/>
        <s v="FT00000000055"/>
        <s v="ST00000000255"/>
        <s v="ST00000000256"/>
        <s v="ST00000000257"/>
        <s v="ST00000000258"/>
        <s v="ST00000000259"/>
        <s v="ST00000000260"/>
        <s v="ST00000000261"/>
        <s v="ST00000000262"/>
        <s v="ST00000000263"/>
        <s v="ST00000000264"/>
        <s v="ST00000000265"/>
        <s v="ST00000000266"/>
        <s v="ST00000000267"/>
        <s v="ST00000000268"/>
        <s v="ST00000000269"/>
        <s v="ST00000000271"/>
        <s v="ST00000000272"/>
        <s v="ST00000000273"/>
        <s v="ST00000000274"/>
        <s v="ST00000000275"/>
        <s v="ST00000000276"/>
        <s v="ST00000000277"/>
        <s v="ST00000000278"/>
        <s v="ST00000000279"/>
        <s v="ST00000000280"/>
        <s v="ST00000000281"/>
        <s v="ST00000000282"/>
        <s v="ST00000000283"/>
        <s v="ST00000000284"/>
        <s v="ST00000000285"/>
        <s v="ST00000000286"/>
        <s v="ST00000000287"/>
        <s v="ST00000000288"/>
        <s v="ST00000000289"/>
        <s v="ST00000000290"/>
        <s v="ST00000000291"/>
        <s v="ST00000000292"/>
        <s v="ST00000000293"/>
        <s v="ST00000000294"/>
        <s v="ST00000000295"/>
        <s v="ST00000000296"/>
        <s v="AFA2025000001958"/>
        <s v="FT00000000057"/>
        <s v="ST00000000297"/>
        <s v="ST00000000298"/>
        <s v="ST00000000299"/>
        <s v="ST00000000300"/>
        <s v="ST00000000301"/>
        <s v="ST00000000302"/>
        <s v="ST00000000303"/>
        <s v="ST00000000304"/>
        <s v="ST00000000305"/>
        <s v="ST00000000306"/>
        <s v="ST00000000307"/>
        <s v="ST00000000308"/>
        <s v="ST00000000309"/>
        <s v="ST00000000310"/>
        <s v="ST00000000311"/>
        <s v="ST00000000312"/>
        <s v="ST00000000313"/>
        <s v="ST00000000314"/>
        <s v="ST00000000315"/>
        <s v="ST00000000316"/>
        <s v="ST00000000317"/>
        <s v="ST00000000318"/>
        <s v="ST00000000319"/>
        <s v="ST00000000320"/>
        <s v="ST00000000321"/>
        <s v="ST00000000322"/>
        <s v="ST00000000323"/>
        <s v="ST00000000324"/>
        <s v="ST00000000325"/>
        <s v="ST00000000326"/>
        <s v="ST00000000327"/>
        <s v="ST00000000328"/>
        <s v="ST00000000329"/>
        <s v="ST00000000330"/>
        <s v="ST00000000331"/>
        <s v="ST00000000332"/>
        <s v="ST00000000333"/>
        <s v="ST00000000334"/>
        <s v="ST00000000335"/>
        <s v="ST00000000336"/>
        <s v="ST00000000337"/>
        <s v="ST00000000338"/>
        <s v="ST00000000339"/>
        <s v="ST00000000340"/>
        <s v="ST00000000341"/>
        <s v="ST00000000805"/>
        <s v="ST00000000342"/>
        <s v="ST00000000343"/>
        <s v="ST00000000344"/>
        <s v="ST00000000345"/>
        <s v="ST00000000346"/>
        <s v="ST00000000347"/>
        <s v="ST00000000348"/>
        <s v="ST00000000349"/>
        <s v="ST00000000350"/>
        <s v="ST00000000351"/>
        <s v="ST00000000352"/>
        <s v="ST00000000353"/>
        <s v="ST00000000354"/>
        <s v="ST00000000355"/>
        <s v="ST00000000356"/>
        <s v="FT00000000058"/>
        <s v="FT00000000059"/>
        <s v="FT00000000060"/>
        <s v="ST00000000357"/>
        <s v="ST00000000358"/>
        <s v="ST00000000359"/>
        <s v="ST00000000360"/>
        <s v="ST00000000361"/>
        <s v="ST00000000362"/>
        <s v="ST00000000363"/>
        <s v="ST00000000364"/>
        <s v="ST00000000365"/>
        <s v="ST00000000366"/>
        <s v="ST00000000367"/>
        <s v="ST00000000368"/>
        <s v="FT00000000067"/>
        <s v="ST00000000369"/>
        <s v="ST00000000370"/>
        <s v="ST00000000371"/>
        <s v="ST00000000372"/>
        <s v="ST00000000373"/>
        <s v="ST00000000374"/>
        <s v="ST00000000375"/>
        <s v="ST00000000376"/>
        <s v="ST00000000377"/>
        <s v="ST00000000378"/>
        <s v="ST00000000379"/>
        <s v="ST00000000380"/>
        <s v="ST00000000381"/>
        <s v="ST00000000382"/>
        <s v="ST00000000383"/>
        <s v="ST00000000384"/>
        <s v="ST00000000385"/>
        <s v="ST00000000386"/>
        <s v="ST00000000387"/>
        <s v="ST00000000388"/>
        <s v="ST00000000389"/>
        <s v="ST00000000390"/>
        <s v="ST00000000391"/>
        <s v="ST00000000392"/>
        <s v="ST00000000393"/>
        <s v="FT00000000062"/>
        <s v="FT00000000063"/>
        <s v="FT00000000064"/>
        <s v="FT00000000065"/>
        <s v="ST00000000394"/>
        <s v="ST00000000395"/>
        <s v="ST00000000396"/>
        <s v="ST00000000397"/>
        <s v="ST00000000398"/>
        <s v="ST00000000399"/>
        <s v="ST00000000400"/>
        <s v="ST00000000401"/>
        <s v="ST00000000402"/>
        <s v="ST00000000403"/>
        <s v="ST00000000404"/>
        <s v="ST00000000405"/>
        <s v="ST00000000406"/>
        <s v="ST00000000407"/>
        <s v="ST00000000408"/>
        <s v="ST00000000409"/>
        <s v="ST00000000410"/>
        <s v="ST00000000411"/>
        <s v="ST00000000412"/>
        <s v="ST00000000413"/>
        <s v="ST00000000414"/>
        <s v="ST00000000415"/>
        <s v="ST00000000416"/>
        <s v="ST00000000417"/>
        <s v="ST00000000418"/>
        <s v="ST00000000420"/>
        <s v="ST00000000421"/>
        <s v="ST00000000422"/>
        <s v="ST00000000423"/>
        <s v="ST00000000424"/>
        <s v="FT00000000066"/>
        <s v="ST00000000425"/>
        <s v="ST00000000426"/>
        <s v="ST00000000427"/>
        <s v="ST00000000428"/>
        <s v="ST00000000429"/>
        <s v="ST00000000430"/>
        <s v="ST00000000431"/>
        <s v="ST00000000432"/>
        <s v="ST00000000548"/>
        <s v="ST00000000433"/>
        <s v="ST00000000434"/>
        <s v="ST00000000435"/>
        <s v="ST00000000436"/>
        <s v="ST00000000437"/>
        <s v="ST00000000438"/>
        <s v="ST00000000439"/>
        <s v="ST00000000440"/>
        <s v="ST00000000441"/>
        <s v="ST00000000442"/>
        <s v="ST00000000443"/>
        <s v="ST00000000444"/>
        <s v="ST00000000445"/>
        <s v="ST00000000446"/>
        <s v="ST00000000447"/>
        <s v="ST00000000448"/>
        <s v="ST00000000449"/>
        <s v="ST00000000450"/>
        <s v="ST00000000451"/>
        <s v="ST00000000452"/>
        <s v="ST00000000453"/>
        <s v="ST00000000454"/>
        <s v="ST00000000547"/>
        <s v="AFA2025000002026"/>
        <s v="ST00000000455"/>
        <s v="ST00000000456"/>
        <s v="ST00000000457"/>
        <s v="ST00000000458"/>
        <s v="ST00000000459"/>
        <s v="ST00000000460"/>
        <s v="ST00000000461"/>
        <s v="ST00000000463"/>
        <s v="ST00000000464"/>
        <s v="ST00000000465"/>
        <s v="ST00000000466"/>
        <s v="ST00000000467"/>
        <s v="ST00000000468"/>
        <s v="ST00000000469"/>
        <s v="ST00000000470"/>
        <s v="ST00000000471"/>
        <s v="ST00000000472"/>
        <s v="ST00000000473"/>
        <s v="ST00000000474"/>
        <s v="ST00000000475"/>
        <s v="ST00000000476"/>
        <s v="ST00000000477"/>
        <s v="ST00000000478"/>
        <s v="ST00000000479"/>
        <s v="ST00000000480"/>
        <s v="ST00000000481"/>
        <s v="ST00000000482"/>
        <s v="ST00000000483"/>
        <s v="ST00000000484"/>
        <s v="ST00000000485"/>
        <s v="ST00000000486"/>
        <s v="ST00000000487"/>
        <s v="ST00000000488"/>
        <s v="ST00000000489"/>
        <n v="2"/>
        <s v="ST00000000490"/>
        <s v="ST00000000491"/>
        <s v="ST00000000492"/>
        <s v="ST00000000493"/>
        <s v="ST00000000494"/>
        <s v="ST00000000495"/>
        <s v="ST00000000496"/>
        <s v="ST00000000497"/>
        <s v="ST00000000498"/>
        <s v="ST00000000499"/>
        <s v="ST00000000500"/>
        <s v="ST00000000501"/>
        <s v="ST00000000502"/>
        <s v="ST00000000503"/>
        <s v="ST00000000504"/>
        <s v="ST00000000505"/>
        <s v="ST00000000506"/>
        <s v="ST00000000657"/>
        <s v="ST00000000507"/>
        <s v="ST00000000508"/>
        <s v="ST00000000509"/>
        <s v="ST00000000510"/>
        <s v="ST00000000511"/>
        <s v="ST00000000512"/>
        <s v="ST00000000513"/>
        <s v="ST00000000514"/>
        <s v="ST00000000515"/>
        <s v="ST00000000516"/>
        <s v="ST00000000517"/>
        <s v="AFA2025000002065"/>
        <s v="ST00000000518"/>
        <s v="ST00000000519"/>
        <s v="ST00000000520"/>
        <s v="ST00000000521"/>
        <s v="ST00000000522"/>
        <s v="ST00000000523"/>
        <s v="ST00000000524"/>
        <s v="ST00000000525"/>
        <s v="ST00000000526"/>
        <s v="ST00000000527"/>
        <s v="ST00000000528"/>
        <s v="ST00000000529"/>
        <s v="ST00000000530"/>
        <s v="ST00000000531"/>
        <s v="ST00000000532"/>
        <s v="ST00000000533"/>
        <s v="ST00000000534"/>
        <s v="ST00000000535"/>
        <s v="ST00000000536"/>
        <s v="ST00000000537"/>
        <s v="ST00000000538"/>
        <s v="ST00000000539"/>
        <s v="ST00000000540"/>
        <s v="ST00000000541"/>
        <s v="ST00000000542"/>
        <s v="ST00000000543"/>
        <s v="ST00000000544"/>
        <s v="ST00000000545"/>
        <s v="ST00000000546"/>
        <s v="ST00000000549"/>
        <s v="ST00000000550"/>
        <s v="ST00000000551"/>
        <s v="ST00000000558"/>
        <s v="ST00000000559"/>
        <s v="ST00000000560"/>
        <s v="ST00000000561"/>
        <s v="ST00000000562"/>
        <s v="ST00000000563"/>
        <s v="ST00000000564"/>
        <s v="ST00000000552"/>
        <s v="ST00000000553"/>
        <s v="ST00000000554"/>
        <s v="ST00000000555"/>
        <s v="ST00000000556"/>
        <s v="ST00000000557"/>
        <s v="ST00000000565"/>
        <s v="ST00000000658"/>
        <s v="FT00000000068"/>
        <s v="ST00000000566"/>
        <s v="ST00000000567"/>
        <s v="ST00000000570"/>
        <s v="ST00000000571"/>
        <s v="ST00000000572"/>
        <s v="ST00000000573"/>
        <s v="ST00000000568"/>
        <s v="ST00000000569"/>
        <s v="ST00000000574"/>
        <s v="ST00000000575"/>
        <s v="ST00000000576"/>
        <s v="ST00000000577"/>
        <s v="ST00000000578"/>
        <s v="ST00000000579"/>
        <s v="ST00000000580"/>
        <s v="ST00000000581"/>
        <s v="ST00000000582"/>
        <s v="ST00000000583"/>
        <s v="ST00000000584"/>
        <s v="ST00000000585"/>
        <s v="ST00000000586"/>
        <s v="ST00000000587"/>
        <s v="ST00000000588"/>
        <s v="ST00000000589"/>
        <s v="ST00000000590"/>
        <s v="ST00000000591"/>
        <s v="ST00000000592"/>
        <s v="ST00000000593"/>
        <s v="ST00000000594"/>
        <s v="ST00000000595"/>
        <s v="ST00000000596"/>
        <s v="ST00000000597"/>
        <s v="ST00000000598"/>
        <s v="ST00000000599"/>
        <s v="ST00000000600"/>
        <s v="ST00000000601"/>
        <s v="ST00000000602"/>
        <s v="ST00000000603"/>
        <s v="ST00000000604"/>
        <s v="ST00000000605"/>
        <s v="ST00000000606"/>
        <s v="ST00000000607"/>
        <s v="ST00000000608"/>
        <s v="ST00000000609"/>
        <s v="ST00000000610"/>
        <s v="FT00000000069"/>
        <s v="ST00000000611"/>
        <s v="ST00000000612"/>
        <s v="ST00000000613"/>
        <s v="ST00000000614"/>
        <s v="ST00000000615"/>
        <s v="ST00000000616"/>
        <s v="ST00000000617"/>
        <s v="ST00000000618"/>
        <s v="ST00000000619"/>
        <s v="FTR202500000448"/>
        <s v="ST00000000620"/>
        <s v="ST00000000621"/>
        <s v="ST00000000622"/>
        <s v="ST00000000623"/>
        <s v="ST00000000624"/>
        <s v="ST00000000625"/>
        <s v="ST00000000626"/>
        <s v="ST00000000627"/>
        <s v="ST00000000628"/>
        <s v="ST00000000629"/>
        <s v="SUL2025000000028"/>
        <s v="FT00000000070"/>
        <s v="ST00000000630"/>
        <s v="ST00000000631"/>
        <s v="ST00000000632"/>
        <s v="ST00000000633"/>
        <s v="ST00000000634"/>
        <s v="ST00000000635"/>
        <s v="ST00000000636"/>
        <s v="ST00000000637"/>
        <s v="ST00000000638"/>
        <s v="ST00000000639"/>
        <s v="ST00000000640"/>
        <s v="ST00000000641"/>
        <s v="ST00000000642"/>
        <s v="ST00000000643"/>
        <s v="ST00000000644"/>
        <s v="ST00000000645"/>
        <s v="ST00000000646"/>
        <s v="ST00000000647"/>
        <s v="ST00000000648"/>
        <s v="ST00000000649"/>
        <s v="ST00000000650"/>
        <s v="ST00000000651"/>
        <s v="ST00000000652"/>
        <s v="ST00000000653"/>
        <s v="ST00000000654"/>
        <s v="ST00000000655"/>
        <s v="ST00000000656"/>
        <s v="ST00000000659"/>
        <s v="ST00000000660"/>
        <s v="ST00000000661"/>
        <s v="ST00000000662"/>
        <s v="ST00000000663"/>
        <s v="ST00000000664"/>
        <s v="ST00000000665"/>
        <s v="ST00000000666"/>
        <s v="ST00000000667"/>
        <s v="ST00000000668"/>
        <s v="ST00000000669"/>
        <s v="ST00000000670"/>
        <s v="ST00000000671"/>
        <s v="ST00000000672"/>
        <s v="ST00000000673"/>
        <s v="ST00000000674"/>
        <s v="ST00000000675"/>
        <s v="ST00000000676"/>
        <s v="ST00000000677"/>
        <s v="ST00000000678"/>
        <s v="ST00000000682"/>
        <s v="ST00000000683"/>
        <s v="ST00000000684"/>
        <s v="ST00000000685"/>
        <s v="ST00000000686"/>
        <s v="ST00000000687"/>
        <s v="ST00000000688"/>
        <s v="ST00000000689"/>
        <s v="ST00000000690"/>
        <s v="ST00000000691"/>
        <s v="ST00000000692"/>
        <s v="ST00000000693"/>
        <s v="ST00000000694"/>
        <s v="ST00000000695"/>
        <s v="ST00000000696"/>
        <s v="ST00000000697"/>
        <s v="ST00000000698"/>
        <s v="ST00000000699"/>
        <s v="ST00000000700"/>
        <s v="ST00000000701"/>
        <s v="ST00000000702"/>
        <s v="ST00000000703"/>
        <s v="ST00000000704"/>
        <s v="ST00000000705"/>
        <s v="ST00000000706"/>
        <s v="ST00000000707"/>
        <s v="ST00000000708"/>
        <s v="ST00000000709"/>
        <s v="ST00000000710"/>
        <s v="ST00000000711"/>
        <s v="ST00000000712"/>
        <s v="ST00000000713"/>
        <s v="ST00000000714"/>
        <s v="ST00000000715"/>
        <s v="ST00000000716"/>
        <s v="ST00000000717"/>
        <s v="ST00000000718"/>
        <s v="ST00000000719"/>
        <s v="ST00000000720"/>
        <s v="ST00000000721"/>
        <s v="ST00000000722"/>
        <s v="ST00000000723"/>
        <s v="ST00000000724"/>
        <s v="ST00000000725"/>
        <s v="ST00000000726"/>
        <s v="ST00000000727"/>
        <s v="ST00000000728"/>
        <s v="ST00000000729"/>
        <s v="ST00000000730"/>
        <s v="ST00000000731"/>
        <s v="BHR202600000023"/>
        <s v="ST00000000732"/>
        <s v="ST00000000733"/>
        <s v="ST00000000734"/>
        <s v="ST00000000735"/>
        <s v="ST00000000736"/>
        <s v="ST00000000737"/>
        <s v="ST00000000738"/>
        <s v="ST00000000739"/>
        <s v="ST00000000740"/>
        <s v="ST00000000741"/>
        <s v="ST00000000742"/>
        <s v="ST00000000743"/>
        <s v="ST00000000744"/>
        <s v="ST00000000745"/>
        <s v="ST00000000746"/>
        <s v="ST00000000747"/>
        <s v="ST00000000748"/>
        <s v="ST00000000749"/>
        <s v="ST00000000750"/>
        <s v="ST00000000751"/>
        <s v="ST00000000752"/>
        <s v="ST00000000753"/>
        <s v="ST00000000754"/>
        <s v="ST00000000755"/>
        <s v="ST00000000756"/>
        <s v="ST00000000757"/>
        <s v="ST00000000758"/>
        <s v="ST00000000759"/>
        <s v="ST00000000760"/>
        <s v="ST00000000761"/>
        <s v="ST00000000762"/>
        <s v="ST00000000763"/>
        <s v="ST00000000764"/>
        <s v="ST00000000765"/>
        <s v="ST00000000766"/>
        <s v="ST00000000767"/>
        <s v="ST00000000768"/>
        <s v="ST00000000769"/>
        <s v="ST00000000770"/>
        <s v="ST00000000771"/>
        <s v="ST00000000772"/>
        <s v="ST00000000784"/>
        <s v="ST00000000785"/>
        <s v="ST00000000773"/>
        <s v="ST00000000774"/>
        <s v="ST00000000775"/>
        <s v="ST00000000776"/>
        <s v="ST00000000777"/>
        <s v="ST00000000778"/>
        <s v="ST00000000779"/>
        <s v="ST00000000780"/>
        <s v="ST00000000781"/>
        <s v="ST00000000782"/>
        <s v="ST00000000783"/>
        <n v="995518"/>
        <s v="ST00000000786"/>
        <s v="ST00000000787"/>
        <s v="ST00000000788"/>
        <s v="ST00000000789"/>
        <s v="ST00000000790"/>
        <s v="ST00000000791"/>
        <s v="ST00000000792"/>
        <s v="ST00000000793"/>
        <s v="ST00000000794"/>
        <s v="ST00000000795"/>
        <s v="ST00000000796"/>
        <s v="ST00000000797"/>
        <s v="ST00000000798"/>
        <s v="ST00000000799"/>
        <s v="ST00000000800"/>
        <s v="ST00000000801"/>
        <s v="ST00000000802"/>
        <s v="ST00000000803"/>
        <s v="ST00000000804"/>
        <s v="D"/>
        <s v="ST00000000806"/>
        <s v="ST00000000807"/>
        <s v="ST00000000808"/>
        <s v="ST00000000809"/>
        <s v="ST00000000810"/>
        <s v="ST00000000811"/>
        <s v="ST00000000812"/>
        <s v="ST00000000813"/>
        <s v="ST00000000814"/>
        <s v="ST00000000815"/>
        <s v="ST00000000816"/>
        <s v="ST00000000817"/>
        <s v="ST00000000818"/>
        <s v="ST00000000819"/>
        <s v="ST00000000820"/>
        <s v="ST00000000821"/>
        <s v="ST00000000822"/>
        <s v="ST00000000823"/>
        <s v="ST00000000824"/>
        <s v="ST00000000825"/>
        <s v="ST00000000826"/>
        <s v="ST00000000827"/>
        <s v="ST00000000828"/>
        <s v="ST00000000829"/>
        <s v="ST00000000830"/>
        <s v="ST00000000831"/>
        <s v="ST00000000832"/>
        <s v="ST00000000833"/>
        <s v="ST00000000834"/>
        <s v="ST00000000835"/>
        <s v="ST00000000836"/>
        <s v="ST00000000837"/>
        <s v="ST00000000838"/>
        <s v="ST00000000839"/>
        <s v="ST00000000840"/>
        <s v="ST00000000841"/>
        <s v="ST00000000842"/>
        <s v="ST00000000843"/>
        <s v="ST00000000844"/>
        <s v="ST00000000845"/>
        <s v="ST00000000846"/>
        <s v="ST00000000847"/>
        <s v="ST00000000848"/>
        <s v="ST00000000849"/>
        <s v="ST00000000850"/>
        <s v="ST00000000851"/>
        <s v="ST00000000852"/>
        <s v="ST00000000853"/>
        <s v="ST00000000854"/>
        <s v="ST00000000855"/>
        <s v="ST00000000856"/>
        <s v="ST00000000857"/>
        <s v="ST00000000858"/>
        <s v="ST00000000859"/>
        <s v="ST00000000860"/>
        <s v="ST00000000861"/>
        <s v="ST00000000862"/>
        <s v="ST00000000863"/>
        <s v="ST00000000864"/>
        <s v="ST00000000865"/>
        <s v="ST00000000866"/>
        <s v="ST00000000867"/>
        <s v="ST00000000868"/>
        <s v="ST00000000869"/>
        <s v="ST00000000870"/>
        <s v="ST00000000871"/>
        <s v="ST00000000872"/>
        <s v="ST00000000873"/>
        <s v="ST00000000874"/>
        <s v="ST00000000875"/>
        <s v="ST00000000876"/>
        <s v="ST00000000877"/>
        <s v="ST00000000878"/>
        <s v="ST00000000879"/>
        <s v="ST00000000880"/>
        <s v="ST00000000881"/>
        <s v="ST00000000882"/>
        <n v="996144"/>
        <s v="ST00000000883"/>
        <s v="ST00000000884"/>
        <s v="ST00000000885"/>
        <s v="ST00000000886"/>
        <s v="ST00000000887"/>
        <s v="ST00000000888"/>
        <s v="ST00000000889"/>
        <s v="ST00000000890"/>
        <s v="ST00000000891"/>
        <s v="ST00000000892"/>
        <s v="ST00000000893"/>
        <s v="ST00000000894"/>
        <s v="ST00000000895"/>
        <s v="ST00000000896"/>
        <s v="ST00000000897"/>
        <s v="ST00000000898"/>
        <s v="ST00000000899"/>
        <s v="ST00000000900"/>
        <s v="ST00000000901"/>
        <s v="ST00000000902"/>
        <s v="ST00000000903"/>
        <s v="ST00000000904"/>
        <s v="ST00000000905"/>
        <s v="ST00000000906"/>
        <s v="ST00000000907"/>
        <s v="ST00000000908"/>
        <s v="ST00000000909"/>
        <s v="ST00000000910"/>
        <s v="ST00000000911"/>
        <s v="ST00000000912"/>
        <s v="ST00000000913"/>
        <s v="ST00000000914"/>
        <s v="ST00000000915"/>
        <s v="ST00000000916"/>
        <s v="ST00000000917"/>
        <s v="ST00000000918"/>
        <s v="ST00000000919"/>
        <s v="ST00000000920"/>
        <s v="ST00000000921"/>
        <s v="ST00000000922"/>
        <s v="ST00000000923"/>
        <s v="ST00000000924"/>
        <s v="ST00000000925"/>
        <s v="ST00000000926"/>
        <s v="ST00000000927"/>
        <s v="ST00000000928"/>
        <s v="ST00000000929"/>
        <s v="ST00000000930"/>
        <s v="ST00000000931"/>
        <s v="ST00000000932"/>
        <s v="ST00000000933"/>
        <s v="ST00000000934"/>
        <s v="ST00000000935"/>
        <s v="ST00000000936"/>
        <s v="ST00000000937"/>
        <s v="ST00000000938"/>
        <s v="ST00000000939"/>
        <s v="ST00000000940"/>
        <s v="ST00000000941"/>
        <s v="ST00000000942"/>
        <s v="ST00000000943"/>
        <s v="ST00000000944"/>
        <s v="ST00000000945"/>
        <s v="ST00000000946"/>
        <s v="ST00000000947"/>
        <s v="ST00000000948"/>
        <s v="ST00000000949"/>
        <n v="996500"/>
        <s v="ST00000000950"/>
        <s v="ST00000000951"/>
        <s v="ST00000000952"/>
        <s v="ST00000000953"/>
        <s v="ST00000000954"/>
        <s v="ST00000000955"/>
        <s v="ST00000000956"/>
        <s v="ST00000000957"/>
        <s v="ST00000000958"/>
        <s v="ST00000000959"/>
        <s v="ST00000000960"/>
        <s v="ST00000000961"/>
        <s v="ST00000000962"/>
        <s v="ST00000000963"/>
        <s v="ST00000000964"/>
        <s v="ST00000000965"/>
        <s v="ST00000000966"/>
        <s v="ST00000000967"/>
        <s v="ST00000000968"/>
        <s v="ST00000000969"/>
        <s v="ST00000000970"/>
        <s v="ST00000000971"/>
        <s v="ST00000000972"/>
        <s v="ST00000000973"/>
        <s v="ST00000000974"/>
        <s v="ST00000000975"/>
        <s v="ST00000000976"/>
        <s v="ST00000000977"/>
        <s v="ST00000000978"/>
        <s v="ST00000000979"/>
        <s v="ST00000000980"/>
        <s v="ST00000000981"/>
        <s v="ST00000000982"/>
        <s v="ST00000000983"/>
        <s v="ST00000000984"/>
        <s v="ST00000000985"/>
        <s v="ST00000000986"/>
        <s v="ST00000000987"/>
        <s v="ST00000000988"/>
        <s v="ST00000000989"/>
        <s v="ST00000000990"/>
        <s v="ST00000000991"/>
        <s v="ST00000000992"/>
        <s v="ST00000000993"/>
        <s v="ST00000000994"/>
        <s v="ST00000000995"/>
        <s v="ST00000000996"/>
        <s v="ST00000000997"/>
        <s v="ST00000000998"/>
        <s v="ST00000000999"/>
        <s v="ST00000001000"/>
        <s v="ST00000001001"/>
        <s v="ST00000001002"/>
        <s v="ST00000001003"/>
        <s v="ST00000001004"/>
        <s v="ST00000001005"/>
        <s v="ST00000001006"/>
        <s v="ST00000001007"/>
        <s v="ST00000001008"/>
        <s v="ST00000001009"/>
        <s v="ST00000001010"/>
        <s v="ST00000001011"/>
        <s v="ST00000001012"/>
        <s v="ST00000001013"/>
        <s v="ST00000001014"/>
        <s v="ST00000001015"/>
        <s v="ST00000001016"/>
        <s v="ST00000001017"/>
        <s v="ST00000001018"/>
        <s v="ST00000001019"/>
        <s v="ST00000001020"/>
        <s v="ST00000001021"/>
        <s v="ST00000001022"/>
        <s v="ST00000001023"/>
        <s v="ST00000001024"/>
        <s v="ST00000001025"/>
        <s v="ST00000001057"/>
        <n v="997058"/>
        <n v="5477425"/>
        <n v="5477426"/>
        <n v="5477427"/>
        <n v="5477428"/>
        <n v="5477429"/>
        <n v="5477430"/>
        <n v="5477431"/>
        <n v="5477432"/>
        <s v="ST00000001026"/>
        <s v="ST00000001027"/>
        <s v="ST00000001028"/>
        <s v="ST00000001029"/>
        <s v="ST00000001030"/>
        <s v="ST00000001031"/>
        <s v="ST00000001032"/>
        <s v="ST00000001033"/>
        <s v="ST00000001034"/>
        <s v="ST00000001035"/>
        <s v="ST00000001036"/>
        <s v="ST00000001037"/>
        <s v="ST00000001038"/>
        <s v="ST00000001039"/>
        <s v="ST00000001040"/>
        <s v="ST00000001041"/>
        <s v="ST00000001042"/>
        <s v="ST00000001043"/>
        <s v="ST00000001044"/>
        <n v="997217"/>
        <s v="ST00000001051"/>
        <s v="ST00000001052"/>
        <s v="ST00000001053"/>
        <s v="ST00000001054"/>
        <s v="ST00000001055"/>
        <s v="ST00000001056"/>
        <s v="ST00000001045"/>
        <s v="ST00000001046"/>
        <s v="ST00000001047"/>
        <s v="ST00000001048"/>
        <s v="ST00000001049"/>
        <s v="ST00000001050"/>
        <s v="ST00000001058"/>
        <s v="ST00000001059"/>
        <s v="ST00000001060"/>
        <s v="ST00000001061"/>
        <s v="ST00000001062"/>
        <s v="ST00000001063"/>
        <s v="ST00000001064"/>
        <s v="ST00000001065"/>
        <s v="ST00000001066"/>
        <s v="ST00000001067"/>
        <s v="ST00000001068"/>
        <s v="ST00000001069"/>
        <s v="ST00000001070"/>
        <s v="ST00000001071"/>
        <s v="ST00000001072"/>
        <s v="ST00000001073"/>
        <s v="ST00000001074"/>
        <s v="ST00000001075"/>
        <s v="ST00000001076"/>
        <s v="ST00000001077"/>
        <s v="ST00000001078"/>
        <s v="ST00000001079"/>
        <s v="ST00000001080"/>
        <s v="ST00000001081"/>
        <s v="ST00000001082"/>
        <s v="ST00000001083"/>
        <s v="ST00000001084"/>
        <s v="ST00000001085"/>
        <s v="ST00000001086"/>
        <s v="ST00000001087"/>
        <s v="ST00000001088"/>
        <s v="ST00000001089"/>
        <s v="ST00000001090"/>
        <s v="ST00000001091"/>
        <s v="ST00000001092"/>
        <s v="ST00000001093"/>
        <s v="ST00000001094"/>
        <s v="ST00000001095"/>
        <s v="ST00000001096"/>
        <s v="ST00000001097"/>
        <s v="ST00000001098"/>
        <s v="ST00000001099"/>
        <s v="ST00000001100"/>
        <s v="ST00000001101"/>
        <s v="ST00000001102"/>
        <s v="ST00000001103"/>
        <s v="ST00000001104"/>
        <s v="ST00000001105"/>
        <s v="ST00000001106"/>
        <s v="ST00000001107"/>
        <s v="ST00000001108"/>
        <s v="ST00000001109"/>
        <s v="ST00000001110"/>
        <s v="ST00000001111"/>
        <s v="ST00000001112"/>
        <s v="ST00000001113"/>
        <s v="ST00000001114"/>
        <s v="ST00000001115"/>
        <s v="ST00000001116"/>
        <s v="ST00000001117"/>
        <s v="ST00000001118"/>
        <s v="ST00000001119"/>
        <s v="ST00000001120"/>
        <s v="ST00000001121"/>
        <n v="2253"/>
        <s v="ST00000001122"/>
        <s v="ST00000001123"/>
        <s v="ST00000001124"/>
        <s v="ST00000001125"/>
        <s v="ST00000001126"/>
        <s v="ST00000001127"/>
        <s v="ST00000001128"/>
        <s v="ST00000001129"/>
        <s v="ST00000001130"/>
        <s v="ST00000001131"/>
        <s v="ST00000001132"/>
        <s v="ST00000001133"/>
        <s v="ST00000001134"/>
        <s v="ST00000001135"/>
        <s v="ST00000001136"/>
        <s v="ST00000001137"/>
        <s v="ST00000001138"/>
        <s v="ST00000001139"/>
        <s v="ST00000001140"/>
        <s v="ST00000001141"/>
        <s v="ST00000001142"/>
        <s v="ST00000001143"/>
        <s v="ST00000001144"/>
        <s v="ST00000001145"/>
        <s v="ST00000001146"/>
        <s v="ST00000001147"/>
        <s v="ST00000001148"/>
        <s v="ST00000001149"/>
        <s v="ST00000001150"/>
        <s v="ST00000001151"/>
        <s v="ST00000001152"/>
        <s v="ST00000001153"/>
        <s v="ST00000001154"/>
        <s v="ST00000001155"/>
        <s v="ST00000001156"/>
        <n v="997832"/>
        <s v="ST00000001157"/>
        <s v="ST00000001158"/>
        <s v="ST00000001159"/>
        <s v="ST00000001160"/>
        <s v="ST00000001161"/>
        <s v="ST00000001162"/>
        <s v="ST00000001163"/>
        <s v="ST00000001164"/>
        <s v="ST00000001165"/>
        <s v="ST00000001166"/>
        <s v="ST00000001167"/>
        <s v="ST00000001168"/>
        <s v="ST00000001169"/>
        <s v="ST00000001170"/>
        <s v="ST00000001171"/>
        <s v="ST00000001172"/>
        <s v="ST00000001173"/>
        <s v="ST00000001174"/>
        <s v="ST00000001175"/>
        <s v="ST00000001176"/>
        <s v="ST00000001177"/>
        <s v="ST00000001178"/>
        <s v="ST00000001245"/>
        <s v="ST00000001179"/>
        <s v="ST00000001180"/>
        <s v="ST00000001181"/>
        <s v="ST00000001182"/>
        <s v="ST00000001183"/>
        <s v="ST00000001184"/>
        <s v="ST00000001185"/>
        <s v="ST00000001186"/>
        <s v="ST00000001187"/>
        <s v="ST00000001188"/>
        <s v="ST00000001189"/>
        <s v="ST00000001190"/>
        <s v="ST00000001191"/>
        <s v="ST00000001192"/>
        <s v="ST00000001193"/>
        <s v="ST00000001194"/>
        <s v="ST00000001195"/>
        <s v="ST00000001196"/>
        <s v="ST00000001197"/>
        <s v="ST00000001198"/>
        <s v="ST00000001199"/>
        <s v="ST00000001200"/>
        <s v="ST00000001201"/>
        <s v="ST00000001202"/>
        <s v="ST00000001203"/>
        <s v="ST00000001204"/>
        <s v="ST00000001205"/>
        <s v="ST00000001206"/>
        <s v="ST00000001207"/>
        <s v="ST00000001208"/>
        <s v="ST00000001209"/>
        <n v="998258"/>
        <s v="ST00000001210"/>
        <s v="ST00000001211"/>
        <s v="ST00000001212"/>
        <s v="ST00000001213"/>
        <s v="ST00000001214"/>
        <s v="ST00000001215"/>
        <s v="ST00000001216"/>
        <s v="ST00000001217"/>
        <s v="ST00000001218"/>
        <s v="ST00000001219"/>
        <s v="ST00000001220"/>
        <s v="ST00000001221"/>
        <s v="ST00000001222"/>
        <s v="ST00000001223"/>
        <s v="ST00000001224"/>
        <s v="ST00000001225"/>
        <s v="ST00000001226"/>
        <s v="ST00000001227"/>
        <s v="ST00000001228"/>
        <s v="ST00000001229"/>
        <s v="ST00000001230"/>
        <s v="ST00000001231"/>
        <s v="ST00000001232"/>
        <s v="ST00000001233"/>
        <s v="ST00000001234"/>
        <s v="ST00000001235"/>
        <s v="ST00000001236"/>
        <s v="ST00000001237"/>
        <s v="ST00000001238"/>
        <s v="ST00000001239"/>
        <s v="ST00000001240"/>
        <s v="ST00000001241"/>
        <s v="ST00000001242"/>
        <s v="ST00000001243"/>
        <s v="ST00000001244"/>
        <s v="ST00000001246"/>
        <s v="ST00000001247"/>
        <s v="ST00000001248"/>
        <s v="ST00000001249"/>
        <s v="ST00000001250"/>
        <s v="ST00000001251"/>
        <s v="ST00000001252"/>
        <s v="ST00000001253"/>
        <s v="ST00000001254"/>
        <s v="ST00000001255"/>
        <s v="ST00000001256"/>
        <s v="ST00000001257"/>
        <s v="ST00000001258"/>
        <s v="ST00000001259"/>
        <s v="ST00000001260"/>
        <s v="ST00000001261"/>
        <s v="ST00000001262"/>
        <s v="ST00000001263"/>
        <s v="ST00000001264"/>
        <s v="ST00000001265"/>
        <s v="ST00000001266"/>
        <s v="ST00000001267"/>
        <s v="ST00000001268"/>
        <s v="ST00000001269"/>
        <s v="ST00000001270"/>
        <s v="ST00000001271"/>
        <s v="ST00000001272"/>
        <s v="ST00000001273"/>
        <s v="ST00000001274"/>
        <s v="ST00000001275"/>
        <s v="ST00000001276"/>
        <s v="ST00000001277"/>
        <s v="ST00000001278"/>
        <s v="ST00000001279"/>
        <s v="ST00000001280"/>
        <s v="ST00000001281"/>
        <s v="ST00000001282"/>
        <s v="ST00000001283"/>
        <s v="ST00000001284"/>
        <s v="ST00000001285"/>
        <s v="ST00000001286"/>
        <s v="ST00000001287"/>
        <s v="ST00000001288"/>
        <s v="ST00000001289"/>
        <s v="ST00000001290"/>
        <s v="ST00000001291"/>
        <s v="ST00000001292"/>
        <s v="ST00000001293"/>
        <s v="ST00000001294"/>
        <s v="ST00000001295"/>
        <s v="ST00000001296"/>
        <s v="ST00000001297"/>
        <s v="ST00000001298"/>
        <s v="ST00000001299"/>
        <s v="ST00000001300"/>
        <s v="ST00000001301"/>
        <s v="ST00000001302"/>
        <s v="ST00000001303"/>
        <s v="ST00000001304"/>
        <s v="ST00000001305"/>
        <s v="ST00000001306"/>
        <s v="ST00000001307"/>
        <s v="ST00000001308"/>
        <s v="ST00000001309"/>
        <s v="ST00000001310"/>
        <s v="ST00000001311"/>
        <s v="ST00000001312"/>
        <s v="ST00000001313"/>
        <s v="ST00000001314"/>
        <s v="ST00000001315"/>
        <s v="ST00000001316"/>
        <s v="ST00000001317"/>
        <s v="ST00000001318"/>
        <s v="ST00000001319"/>
        <s v="ST00000001320"/>
        <s v="ST00000001321"/>
        <s v="ST00000001322"/>
        <s v="ST00000001323"/>
        <s v="ST00000001324"/>
        <s v="ST00000001325"/>
        <s v="ST00000001326"/>
        <s v="ST00000001327"/>
        <s v="ST00000001328"/>
        <s v="ST00000001329"/>
        <s v="ST00000001330"/>
        <s v="ST00000001331"/>
        <s v="ST00000001332"/>
        <s v="ST00000001333"/>
        <s v="ST00000001334"/>
        <s v="ST00000001335"/>
        <s v="ST00000001336"/>
        <s v="ST00000001337"/>
        <s v="ST00000001338"/>
        <s v="ST00000001339"/>
        <s v="ST00000001470"/>
        <s v="ST00000001340"/>
        <s v="ST00000001341"/>
        <s v="ST00000001342"/>
        <s v="ST00000001343"/>
        <s v="ST00000001344"/>
        <s v="ST00000001345"/>
        <s v="ST00000001346"/>
        <s v="ST00000001347"/>
        <n v="998909"/>
        <s v="FT00000000071"/>
        <s v="ST00000001348"/>
        <s v="ST00000001349"/>
        <s v="ST00000001350"/>
        <s v="ST00000001351"/>
        <s v="ST00000001352"/>
        <s v="ST00000001353"/>
        <s v="ST00000001354"/>
        <s v="ST00000001355"/>
        <s v="ST00000001356"/>
        <s v="ST00000001357"/>
        <s v="ST00000001358"/>
        <s v="ST00000001359"/>
        <s v="ST00000001360"/>
        <s v="ST00000001361"/>
        <s v="ST00000001362"/>
        <s v="ST00000001363"/>
        <s v="ST00000001364"/>
        <s v="ST00000001365"/>
        <s v="ST00000001366"/>
        <s v="ST00000001367"/>
        <s v="ST00000001368"/>
        <s v="ST00000001369"/>
        <s v="ST00000001370"/>
        <s v="ST00000001371"/>
        <s v="ST00000001372"/>
        <s v="ST00000001373"/>
        <s v="ST00000001391"/>
        <s v="ST00000001374"/>
        <s v="ST00000001375"/>
        <s v="ST00000001376"/>
        <s v="ST00000001377"/>
        <s v="ST00000001378"/>
        <s v="ST00000001379"/>
        <s v="ST00000001380"/>
        <s v="ST00000001381"/>
        <s v="ST00000001382"/>
        <s v="ST00000001383"/>
        <s v="ST00000001384"/>
        <s v="ST00000001385"/>
        <s v="ST00000001386"/>
        <s v="ST00000001387"/>
        <s v="ST00000001388"/>
        <s v="ST00000001389"/>
        <s v="ST00000001390"/>
        <s v="ST00000001392"/>
        <s v="ST00000001393"/>
        <s v="ST00000001394"/>
        <s v="ST00000001395"/>
        <s v="ST00000001396"/>
        <s v="ST00000001397"/>
        <s v="ST00000001398"/>
        <s v="ST00000001399"/>
        <s v="ST00000001400"/>
        <s v="ST00000001401"/>
        <s v="ST00000001402"/>
        <s v="ST00000001403"/>
        <s v="ST00000001404"/>
        <s v="ST00000001405"/>
        <s v="ST00000001406"/>
        <s v="ST00000001407"/>
        <s v="ST00000001422"/>
        <s v="ST00000001408"/>
        <s v="ST00000001409"/>
        <s v="ST00000001410"/>
        <s v="ST00000001411"/>
        <s v="ST00000001412"/>
        <s v="ST00000001413"/>
        <s v="ST00000001414"/>
        <s v="ST00000001415"/>
        <s v="ST00000001416"/>
        <s v="ST00000001417"/>
        <s v="ST00000001418"/>
        <s v="ST00000001419"/>
        <s v="ST00000001420"/>
        <s v="ST00000001421"/>
        <s v="ST00000001424"/>
        <s v="ST00000001425"/>
        <s v="ST00000001426"/>
        <s v="ST00000001427"/>
        <s v="ST00000001428"/>
        <s v="ST00000001429"/>
        <s v="ST00000001430"/>
        <s v="ST00000001431"/>
        <s v="ST00000001432"/>
        <s v="ST00000001433"/>
        <s v="ST00000001434"/>
        <s v="ST00000001435"/>
        <s v="ST00000001423"/>
        <s v="ST00000001436"/>
        <s v="ST00000001437"/>
        <s v="ST00000001438"/>
        <s v="ST00000001439"/>
        <s v="ST00000001440"/>
        <s v="ST00000001441"/>
        <s v="ST00000001442"/>
        <s v="ST00000001443"/>
        <s v="ST00000001444"/>
        <s v="ST00000001445"/>
        <s v="ST00000001446"/>
        <s v="ST00000001447"/>
        <s v="ST00000001448"/>
        <s v="ST00000001449"/>
        <s v="ST00000001450"/>
        <s v="ST00000001451"/>
        <s v="ST00000001452"/>
        <s v="ST00000001453"/>
        <s v="ST00000001454"/>
        <s v="ST00000001455"/>
        <s v="ST00000001456"/>
        <s v="ST00000001457"/>
        <s v="FT00000000072"/>
        <s v="FT00000000073"/>
        <s v="FT00000000074"/>
        <s v="FT00000000075"/>
        <s v="FT00000000076"/>
        <s v="FT00000000077"/>
        <s v="FT00000000078"/>
        <s v="FT00000000085"/>
        <s v="FT00000000086"/>
        <s v="FT00000000087"/>
        <s v="ST00000001458"/>
        <s v="ST00000001459"/>
        <s v="ST00000001460"/>
        <s v="ST00000001461"/>
        <s v="ST00000001462"/>
        <s v="ST00000001463"/>
        <s v="ST00000001464"/>
        <s v="ST00000001465"/>
        <s v="ST00000001466"/>
        <s v="ST00000001467"/>
        <s v="ST00000001468"/>
        <s v="ST00000001469"/>
        <s v="FT00000000079"/>
        <s v="FT00000000080"/>
        <s v="FT00000000081"/>
        <s v="ST00000001471"/>
        <s v="ST00000001472"/>
        <s v="ST00000001473"/>
        <s v="ST00000001474"/>
        <s v="ST00000001475"/>
        <s v="ST00000001476"/>
        <s v="ST00000001477"/>
        <s v="ST00000001478"/>
        <s v="ST00000001479"/>
        <s v="FT00000000082"/>
        <s v="FTR202600000127"/>
        <s v="ST00000001480"/>
        <s v="ST00000001481"/>
        <s v="ST00000001482"/>
        <s v="ST00000001483"/>
        <s v="ST00000001484"/>
        <s v="ST00000001485"/>
        <s v="ST00000001486"/>
        <s v="ST00000001487"/>
        <s v="ST00000001488"/>
        <s v="ST00000001489"/>
        <s v="ST00000001490"/>
        <s v="ST00000001491"/>
        <s v="ST00000001492"/>
        <s v="ST00000001493"/>
        <s v="ST00000001494"/>
        <s v="ST00000001495"/>
        <s v="ST00000001496"/>
        <s v="ST00000001497"/>
        <s v="ST00000001498"/>
        <s v="ST00000001499"/>
        <s v="BHR2026000002366"/>
        <s v="FT00000000083"/>
        <s v="FT00000000088"/>
        <s v="ST00000001500"/>
        <n v="4248"/>
        <s v="ST00000001501"/>
        <s v="ST00000001502"/>
        <s v="ST00000001503"/>
        <s v="ST00000001504"/>
        <s v="ST00000001505"/>
        <s v="ST00000001506"/>
        <s v="ST00000001507"/>
        <s v="FT00000000084"/>
        <s v="ST00000001508"/>
        <s v="ST00000001509"/>
        <s v="ST00000001510"/>
        <s v="ST00000001511"/>
        <s v="ST00000001512"/>
        <s v="ST00000001513"/>
        <s v="ST00000001514"/>
        <s v="ST00000001515"/>
        <s v="ST00000001516"/>
        <s v="ST00000001517"/>
        <s v="ST00000001518"/>
        <s v="ST00000001519"/>
        <s v="ST00000001520"/>
        <s v="ST00000001521"/>
        <s v="ST00000001522"/>
        <s v="ST00000001523"/>
        <s v="ST00000001524"/>
        <s v="ST00000001525"/>
        <s v="ST00000001526"/>
        <s v="ST00000001527"/>
        <s v="ST00000001528"/>
        <s v="ST00000001529"/>
        <s v="ST00000001530"/>
        <s v="ST00000001531"/>
        <s v="ST00000001532"/>
        <s v="ST00000001533"/>
        <s v="ST00000001534"/>
        <s v="ST00000001535"/>
        <s v="ST00000001536"/>
        <s v="ST00000001537"/>
        <s v="ST00000001538"/>
        <s v="ST00000001539"/>
        <s v="ST00000001540"/>
        <s v="FTR202600000128"/>
        <s v="ST00000001541"/>
        <s v="ST00000001542"/>
        <s v="ST00000001543"/>
        <s v="ST00000001544"/>
        <s v="ST00000001545"/>
        <s v="ST00000001546"/>
        <s v="ST00000001547"/>
        <s v="ST00000001548"/>
        <s v="ST00000001549"/>
        <s v="ST00000001550"/>
        <s v="ST00000001551"/>
        <s v="ST00000001552"/>
        <s v="ST00000001554"/>
        <s v="ST00000001555"/>
        <s v="ST00000001556"/>
        <s v="ST00000001557"/>
        <s v="ST00000001558"/>
        <s v="ST00000001559"/>
        <s v="ST00000001575"/>
        <s v="ST00000001761"/>
        <s v="NTA2026000000094"/>
        <s v="ST00000001560"/>
        <s v="ST00000001561"/>
        <s v="ST00000001562"/>
        <s v="ST00000001563"/>
        <s v="ST00000001564"/>
        <s v="ST00000001565"/>
        <s v="ST00000001566"/>
        <s v="ST00000001567"/>
        <s v="ST00000001568"/>
        <s v="ST00000001569"/>
        <s v="ST00000001570"/>
        <s v="ST00000001571"/>
        <s v="ST00000001572"/>
        <s v="ST00000001573"/>
        <s v="ST00000001574"/>
        <s v="ST00000001576"/>
        <s v="ST00000001577"/>
        <s v="ST00000001578"/>
        <s v="ST00000001579"/>
        <s v="ST00000001580"/>
        <s v="ST00000001581"/>
        <s v="ST00000001582"/>
        <s v="ST00000001583"/>
        <s v="ST00000001584"/>
        <s v="ST00000001585"/>
        <s v="ST00000001586"/>
        <s v="ST00000001587"/>
        <s v="ST00000001588"/>
        <s v="ST00000001589"/>
        <s v="ST00000001590"/>
        <s v="ST00000001591"/>
        <s v="ST00000001592"/>
        <s v="ST00000001593"/>
        <s v="ST00000001594"/>
        <s v="ST00000001595"/>
        <s v="ST00000001596"/>
        <s v="ST00000001597"/>
        <s v="ST00000001598"/>
        <n v="1000206"/>
        <s v="ST00000001599"/>
        <s v="ST00000001600"/>
        <s v="ST00000001601"/>
        <s v="ST00000001602"/>
        <s v="ST00000001603"/>
        <s v="ST00000001604"/>
        <s v="ST00000001605"/>
        <s v="ST00000001606"/>
        <s v="ST00000001607"/>
        <s v="ST00000001608"/>
        <s v="ST00000001609"/>
        <s v="ST00000001610"/>
        <s v="ST00000001611"/>
        <s v="ST00000001612"/>
        <s v="ST00000001613"/>
        <s v="ST00000001614"/>
        <s v="ST00000001615"/>
        <s v="ST00000001616"/>
        <s v="ST00000001617"/>
        <s v="ST00000001618"/>
        <s v="ST00000001619"/>
        <s v="ST00000001620"/>
        <s v="ST00000001621"/>
        <s v="ST00000001622"/>
        <s v="ST00000001623"/>
        <s v="ST00000001624"/>
        <s v="ST00000001625"/>
        <s v="ST00000001626"/>
        <s v="ST00000001627"/>
        <s v="ST00000001628"/>
        <s v="ST00000001629"/>
        <s v="ST00000001630"/>
        <s v="ST00000001631"/>
        <s v="ST00000001632"/>
        <s v="ST00000001633"/>
        <s v="ST00000001634"/>
        <s v="ST00000001635"/>
        <s v="ST00000001636"/>
        <s v="ST00000001637"/>
        <s v="ST00000001638"/>
        <s v="ST00000001639"/>
        <s v="ST00000001640"/>
        <s v="ST00000001641"/>
        <s v="ST00000001642"/>
        <s v="ST00000001643"/>
        <s v="ST00000001644"/>
        <s v="ST00000001645"/>
        <s v="ST00000001646"/>
        <s v="ST00000001647"/>
        <s v="ST00000001648"/>
        <s v="ST00000001649"/>
        <s v="ST00000001650"/>
        <s v="ST00000001651"/>
        <s v="ST00000001652"/>
        <s v="ST00000001653"/>
        <s v="ST00000001654"/>
        <s v="ST00000001655"/>
        <s v="ST00000001656"/>
        <s v="ST00000001657"/>
        <s v="ST00000001658"/>
        <s v="ST00000001659"/>
        <s v="ST00000001660"/>
        <s v="ST00000001661"/>
        <s v="ST00000001662"/>
        <s v="ST00000001663"/>
        <s v="ST00000001664"/>
        <s v="ST00000001665"/>
        <s v="ST00000001666"/>
        <s v="ST00000001667"/>
        <s v="ST00000001668"/>
        <s v="ST00000001669"/>
        <s v="ST00000001670"/>
        <s v="ST00000001671"/>
        <s v="ST00000001672"/>
        <s v="ST00000001673"/>
        <s v="ST00000001674"/>
        <s v="ST00000001675"/>
        <s v="ST00000001676"/>
        <s v="ST00000001677"/>
        <s v="ST00000001678"/>
        <s v="ST00000001679"/>
        <s v="ST00000001680"/>
        <s v="ST00000001681"/>
        <s v="ST00000001682"/>
        <s v="ST00000001683"/>
        <s v="ST00000001684"/>
        <s v="ST00000001685"/>
        <s v="ST00000001686"/>
        <s v="ST00000001687"/>
        <s v="ST00000001688"/>
        <s v="ST00000001689"/>
        <s v="ST00000001690"/>
        <s v="ST00000001691"/>
        <s v="ST00000001692"/>
        <s v="ST00000001693"/>
        <s v="ST00000001694"/>
        <s v="ST00000001695"/>
        <s v="ST00000001696"/>
        <s v="ST00000001698"/>
        <s v="ST00000001699"/>
        <s v="ST00000001700"/>
        <s v="ST00000001701"/>
        <s v="ST00000001702"/>
        <s v="ST00000001703"/>
        <s v="ST00000001704"/>
        <s v="ST00000001705"/>
        <s v="ST00000001706"/>
        <s v="ST00000001707"/>
        <s v="ST00000001708"/>
        <s v="ST00000001709"/>
        <s v="ST00000001710"/>
        <s v="ST00000001711"/>
        <s v="ST00000001712"/>
        <s v="ST00000001713"/>
        <s v="ST00000001714"/>
        <s v="ST00000001715"/>
        <s v="ST00000001716"/>
        <s v="ST00000001717"/>
        <s v="ST00000001718"/>
        <s v="ST00000001719"/>
        <s v="ST00000001720"/>
        <s v="ST00000001721"/>
        <s v="ST00000001722"/>
        <s v="ST00000001723"/>
        <s v="ST00000001724"/>
        <s v="ST00000001725"/>
        <s v="ST00000001726"/>
        <s v="ST00000001727"/>
        <s v="ST00000001728"/>
        <s v="ST00000001729"/>
        <s v="ST00000001730"/>
        <s v="ST00000001731"/>
        <s v="ST00000001732"/>
        <s v="ST00000001733"/>
        <s v="ST00000001734"/>
        <s v="ST00000001735"/>
        <s v="ST00000001736"/>
        <s v="ST00000001737"/>
        <s v="ST00000001738"/>
        <s v="ST00000001739"/>
        <s v="ST00000001740"/>
        <s v="ST00000001741"/>
        <s v="ST00000001742"/>
        <s v="ST00000001743"/>
        <s v="ST00000001744"/>
        <s v="ST00000001745"/>
        <s v="ST00000001746"/>
        <s v="ST00000001747"/>
        <s v="ST00000001748"/>
        <s v="ST00000001749"/>
        <s v="ST00000001750"/>
        <s v="ST00000001751"/>
        <s v="ST00000001752"/>
        <s v="ST00000001753"/>
        <s v="ST00000001754"/>
        <s v="ST00000001755"/>
        <s v="ST00000001756"/>
        <s v="ST00000001757"/>
        <s v="ST00000001758"/>
        <s v="ST00000001759"/>
        <s v="ST00000001760"/>
        <s v="ST00000001762"/>
        <s v="ST00000001763"/>
        <s v="ST00000001764"/>
        <s v="ST00000001765"/>
        <s v="ST00000001766"/>
        <s v="ST00000001767"/>
        <s v="ST00000001768"/>
        <s v="ST00000001769"/>
        <s v="ST00000001770"/>
        <s v="ST00000001771"/>
        <s v="ST00000001772"/>
        <s v="ST00000001773"/>
        <s v="ST00000001774"/>
        <s v="ST00000001775"/>
        <s v="ST00000001776"/>
        <s v="ST00000001777"/>
        <s v="ST00000001778"/>
        <s v="ST00000001779"/>
        <s v="ST00000001780"/>
        <s v="ST00000001781"/>
        <s v="ST00000001782"/>
        <s v="ST00000001783"/>
        <s v="ST00000001784"/>
        <s v="ST00000001785"/>
        <s v="ST00000001786"/>
        <s v="ST00000001787"/>
        <s v="ST00000001788"/>
        <s v="ST00000001789"/>
        <s v="ST00000001790"/>
        <s v="ST00000001791"/>
        <s v="ST00000001792"/>
        <s v="ST00000001793"/>
        <s v="ST00000001794"/>
        <s v="ST00000001795"/>
        <s v="ST00000001796"/>
        <s v="ST00000001797"/>
        <s v="ST00000001798"/>
        <s v="ST00000001799"/>
        <s v="ST00000001800"/>
        <s v="ST00000001801"/>
        <s v="ST00000001802"/>
        <s v="ST00000001803"/>
        <s v="ST00000001804"/>
        <s v="ST00000001805"/>
        <s v="ST00000001806"/>
        <s v="ST00000001807"/>
        <s v="ST00000001808"/>
        <s v="ST00000001809"/>
        <s v="ST00000001810"/>
        <s v="ST00000001811"/>
        <s v="ST00000001812"/>
        <s v="ST00000001813"/>
        <s v="ST00000001814"/>
        <s v="ST00000001815"/>
        <s v="ST00000001816"/>
        <s v="ST00000001817"/>
        <s v="ST00000001818"/>
        <s v="ST00000001819"/>
        <s v="ST00000001820"/>
        <s v="ST00000001821"/>
        <s v="ST00000001822"/>
        <s v="ST00000001823"/>
        <s v="ST00000001824"/>
        <s v="ST00000001825"/>
        <s v="ST00000001826"/>
        <s v="ST00000001827"/>
        <s v="ST00000001828"/>
        <s v="ST00000001829"/>
        <s v="ST00000001830"/>
        <s v="ST00000001831"/>
        <s v="ST00000001832"/>
        <s v="ST00000001833"/>
        <s v="ST00000001834"/>
        <s v="ST00000001835"/>
        <s v="ST00000001836"/>
        <s v="ST00000001837"/>
        <s v="ST00000001838"/>
        <s v="ST00000001839"/>
        <s v="ST00000001840"/>
        <s v="ST00000001841"/>
        <s v="ST00000001843"/>
        <s v="ST00000001844"/>
        <s v="ST00000001845"/>
        <s v="ST00000001846"/>
        <s v="ST00000001847"/>
        <s v="ST00000001848"/>
        <s v="ST00000001849"/>
        <s v="ST00000001850"/>
        <s v="ST00000001851"/>
        <s v="ST00000001852"/>
        <s v="ST00000001853"/>
        <n v="1001726"/>
        <s v="ST00000001854"/>
        <s v="ST00000001855"/>
        <s v="ST00000001856"/>
        <s v="ST00000001857"/>
        <s v="ST00000001858"/>
        <s v="ST00000001859"/>
        <s v="ST00000001860"/>
        <s v="ST00000001861"/>
        <s v="ST00000001862"/>
        <s v="ST00000001863"/>
        <s v="ST00000001864"/>
        <s v="ST00000001865"/>
        <s v="ST00000001866"/>
        <s v="ST00000001867"/>
        <s v="ST00000001868"/>
        <s v="ST00000001869"/>
        <s v="ST00000001870"/>
        <s v="ST00000001871"/>
        <s v="ST00000001872"/>
        <s v="ST00000001873"/>
        <s v="ST00000001874"/>
        <s v="ST00000001875"/>
        <s v="ST00000001876"/>
        <s v="ST00000001877"/>
        <s v="ST00000001878"/>
        <s v="ST00000001879"/>
        <s v="ST00000001880"/>
        <s v="ST00000001881"/>
        <s v="ST00000001882"/>
        <s v="ST00000001883"/>
        <s v="ST00000001884"/>
        <s v="ST00000001885"/>
        <s v="ST00000001886"/>
        <s v="ST00000001887"/>
        <s v="ST00000001888"/>
        <s v="ST00000001889"/>
        <s v="ST00000001890"/>
        <s v="ST00000001891"/>
        <s v="ST00000001892"/>
        <s v="ST00000001893"/>
        <s v="ST00000001894"/>
        <s v="ST00000001895"/>
        <s v="ST00000001896"/>
        <s v="ST00000001897"/>
        <s v="ST00000001898"/>
        <s v="ST00000001899"/>
        <s v="ST00000001900"/>
        <s v="ST00000001901"/>
        <s v="ST00000001902"/>
        <s v="ST00000001903"/>
        <s v="ST00000001904"/>
        <s v="ST00000001905"/>
        <s v="ST00000001906"/>
        <s v="ST00000001907"/>
        <s v="ST00000001908"/>
        <s v="ST00000001909"/>
        <s v="ST00000001910"/>
        <s v="ST00000001911"/>
        <s v="ST00000001912"/>
        <s v="ST00000001913"/>
        <s v="ST00000001914"/>
        <s v="ST00000001915"/>
        <s v="ST00000001916"/>
        <s v="ST00000001917"/>
        <s v="ST00000001918"/>
        <s v="ST00000001919"/>
        <s v="ST00000001920"/>
        <s v="ST00000001921"/>
        <s v="ST00000001922"/>
        <s v="ST00000001923"/>
        <s v="ST00000001924"/>
        <s v="ST00000001925"/>
        <s v="ST00000001926"/>
        <s v="ST00000001927"/>
        <s v="ST00000001928"/>
        <s v="ST00000001929"/>
        <s v="ST00000001930"/>
        <s v="ST00000001931"/>
        <s v="ST00000001932"/>
        <s v="ST00000001933"/>
        <s v="ST00000001934"/>
        <s v="ST00000001935"/>
        <s v="ST00000001936"/>
        <s v="ST00000001937"/>
        <s v="ST00000001938"/>
        <s v="ST00000001939"/>
        <s v="ST00000001940"/>
        <s v="ST00000001941"/>
        <s v="ST00000001942"/>
        <s v="ST00000001943"/>
        <s v="ST00000001944"/>
        <s v="ST00000001945"/>
        <s v="ST00000001946"/>
        <s v="ST00000001947"/>
        <s v="ST00000001948"/>
        <s v="ST00000001949"/>
        <s v="ST00000001950"/>
        <s v="ST00000001951"/>
        <s v="ST00000001952"/>
        <s v="ST00000001953"/>
        <s v="ST00000001954"/>
        <s v="ST00000001955"/>
        <s v="ST00000001956"/>
        <s v="ST00000001957"/>
        <s v="ST00000001958"/>
        <s v="ST00000001959"/>
        <s v="ST00000001960"/>
        <s v="ST00000001961"/>
        <s v="ST00000001962"/>
        <s v="ST00000001963"/>
        <s v="ST00000001964"/>
        <s v="ST00000001965"/>
        <s v="ST00000001966"/>
        <s v="ST00000001967"/>
        <s v="ST00000001968"/>
        <s v="ST00000001969"/>
        <s v="ST00000001970"/>
        <s v="ST00000001971"/>
        <s v="ST00000001972"/>
        <s v="ST00000001973"/>
        <s v="ST00000001974"/>
        <s v="ST00000001975"/>
        <s v="ST00000001976"/>
        <s v="ST00000001977"/>
        <s v="ST00000001978"/>
        <s v="ST00000001979"/>
        <s v="ST00000001980"/>
        <s v="ST00000001981"/>
        <s v="ST00000001982"/>
        <s v="ST00000001983"/>
        <s v="ST00000001984"/>
        <s v="ST00000001985"/>
        <s v="ST00000001986"/>
        <s v="ST00000001987"/>
        <s v="ST00000001988"/>
        <s v="ST00000001989"/>
        <s v="ST00000001990"/>
        <s v="ST00000001991"/>
        <s v="ST00000001992"/>
        <s v="ST00000001993"/>
        <s v="ST00000001994"/>
        <s v="ST00000001995"/>
        <s v="ST00000001996"/>
        <s v="ST00000001997"/>
        <s v="ST00000001998"/>
        <s v="ST00000001999"/>
        <s v="ST00000002000"/>
        <s v="ST00000002001"/>
        <s v="ST00000002002"/>
        <s v="ST00000002003"/>
        <s v="ST00000002004"/>
        <s v="ST00000002005"/>
        <s v="ST00000002006"/>
        <s v="ST00000002007"/>
        <s v="ST00000002008"/>
        <s v="ST00000002009"/>
        <s v="ST00000002010"/>
        <s v="ST00000002011"/>
        <s v="ST00000002012"/>
        <s v="ST00000002013"/>
        <s v="ST00000002014"/>
        <s v="ST00000002015"/>
        <s v="ST00000002016"/>
        <s v="ST00000002017"/>
        <s v="ST00000002018"/>
        <s v="ST00000002019"/>
        <s v="ST00000002020"/>
        <s v="ST00000002021"/>
        <s v="ST00000002022"/>
        <s v="BHR2026000003917"/>
        <s v="ST00000002023"/>
        <s v="ST00000002024"/>
        <s v="ST00000002025"/>
        <s v="ST00000002026"/>
        <s v="ST00000002027"/>
        <s v="ST00000002028"/>
        <s v="ST00000002029"/>
        <s v="ST00000002030"/>
        <s v="ST00000002031"/>
        <s v="ST00000002032"/>
        <n v="1002752"/>
        <s v="ST00000002033"/>
        <s v="ST00000002034"/>
        <s v="ST00000002035"/>
        <s v="ST00000002036"/>
        <s v="ST00000002037"/>
        <s v="ST00000002038"/>
        <s v="ST00000002039"/>
        <s v="ST00000002040"/>
        <s v="ST00000002041"/>
        <s v="ST00000002042"/>
        <s v="ST00000002043"/>
        <s v="ST00000002044"/>
        <s v="ST00000002045"/>
        <s v="ST00000002046"/>
        <s v="ST00000002047"/>
        <s v="ST00000002048"/>
        <s v="ST00000002049"/>
        <s v="ST00000002050"/>
        <s v="ST00000002051"/>
        <s v="ST00000002052"/>
        <s v="ST00000002053"/>
        <s v="ST00000002054"/>
        <s v="ST00000002055"/>
        <s v="ST00000002056"/>
        <s v="ST00000002057"/>
        <s v="ST00000002058"/>
        <s v="ST00000002059"/>
        <s v="ST00000002060"/>
        <s v="ST00000002061"/>
        <s v="ST00000002062"/>
        <s v="ST00000002063"/>
        <s v="ST00000002064"/>
        <s v="ST00000002065"/>
        <s v="ST00000002066"/>
        <s v="ST00000002067"/>
        <s v="ST00000002068"/>
        <s v="ST00000002069"/>
        <s v="ST00000002070"/>
        <s v="ST00000002071"/>
        <s v="ST00000002072"/>
        <s v="ST00000002073"/>
        <s v="ST00000002074"/>
        <s v="ST00000002075"/>
        <s v="ST00000002076"/>
        <s v="ST00000002077"/>
        <s v="ST00000002078"/>
        <s v="ST00000002079"/>
        <s v="ST00000002080"/>
        <s v="ST00000002081"/>
        <s v="ST00000002082"/>
        <s v="ST00000002083"/>
        <s v="ST00000002084"/>
        <s v="ST00000002085"/>
        <s v="ST00000002086"/>
        <s v="ST00000002087"/>
        <s v="ST00000002088"/>
        <s v="ST00000002089"/>
        <s v="ST00000002090"/>
        <s v="ST00000002091"/>
        <s v="ST00000002092"/>
        <s v="ST00000002093"/>
        <s v="ST00000002094"/>
        <s v="ST00000002095"/>
        <s v="ST00000002096"/>
        <s v="ST00000002097"/>
        <s v="ST00000002098"/>
        <s v="ST00000002099"/>
        <s v="ST00000002100"/>
        <s v="ST00000002101"/>
        <s v="ST00000002102"/>
        <s v="ST00000002103"/>
        <s v="ST00000002104"/>
        <s v="ST00000002105"/>
        <s v="ST00000002106"/>
        <s v="ST00000002107"/>
        <s v="ST00000002108"/>
        <s v="ST00000002109"/>
        <s v="ST00000002110"/>
        <s v="ST00000002111"/>
        <s v="ST00000002112"/>
        <s v="ST00000002113"/>
        <s v="ST00000002114"/>
        <s v="ST00000002115"/>
        <s v="ST00000002116"/>
        <s v="ST00000002117"/>
        <s v="ST00000002118"/>
        <s v="ST00000002119"/>
        <s v="ST00000002120"/>
        <s v="ST00000002121"/>
        <s v="ST00000002122"/>
        <s v="ST00000002123"/>
        <s v="ST00000002124"/>
        <s v="ST00000002125"/>
        <s v="ST00000002126"/>
        <s v="ST00000002127"/>
        <s v="ST00000002128"/>
        <s v="ST00000002129"/>
        <s v="ST00000002130"/>
        <s v="ST00000002131"/>
        <s v="ST00000002132"/>
        <s v="ST00000002133"/>
        <s v="ST00000002134"/>
        <s v="ST00000002135"/>
        <s v="ST00000002136"/>
        <s v="ST00000002137"/>
        <s v="ST00000002138"/>
        <n v="1003408"/>
        <s v="ST00000002139"/>
        <s v="ST00000002140"/>
        <s v="ST00000002141"/>
        <s v="ST00000002142"/>
        <s v="ST00000002143"/>
        <s v="ST00000002144"/>
        <s v="ST00000002145"/>
        <s v="ST00000002146"/>
        <s v="ST00000002147"/>
        <s v="ST00000002148"/>
        <s v="ST00000002149"/>
        <s v="ST00000002150"/>
        <s v="ST00000002151"/>
        <s v="ST00000002152"/>
        <s v="ST00000002153"/>
        <s v="ST00000002154"/>
        <s v="ST00000002155"/>
        <s v="ST00000002156"/>
        <s v="ST00000002157"/>
        <s v="ST00000002158"/>
        <s v="ST00000002159"/>
        <s v="ST00000002160"/>
        <s v="ST00000002161"/>
        <s v="ST00000002162"/>
        <s v="ST00000002163"/>
        <s v="ST00000002164"/>
        <s v="ST00000002165"/>
        <s v="ST00000002166"/>
        <s v="ST00000002167"/>
        <s v="ST00000002168"/>
        <s v="ST00000002169"/>
        <s v="ST00000002170"/>
        <s v="ST00000002171"/>
        <s v="ST00000002172"/>
        <s v="ST00000002173"/>
        <s v="ST00000002174"/>
        <s v="ST00000002175"/>
        <s v="ST00000002176"/>
        <s v="ST00000002177"/>
        <s v="ST00000002178"/>
        <s v="ST00000002179"/>
        <s v="ST00000002180"/>
        <s v="ST00000002181"/>
        <s v="ST00000002182"/>
        <s v="ST00000002183"/>
        <s v="ST00000002184"/>
        <s v="ST00000002185"/>
        <s v="ST00000002186"/>
        <s v="ST00000002187"/>
        <s v="ST00000002188"/>
        <s v="ST00000002189"/>
        <s v="ST00000002190"/>
        <s v="ST00000002191"/>
        <s v="ST00000002192"/>
        <s v="ST00000002193"/>
        <s v="ST00000002194"/>
        <s v="ST00000002195"/>
        <s v="ST00000002196"/>
        <s v="ST00000002197"/>
        <s v="ST00000002198"/>
        <s v="ST00000002199"/>
        <s v="ST00000002200"/>
        <s v="ST00000002201"/>
        <s v="ST00000002202"/>
        <s v="ST00000002203"/>
        <s v="ST00000002204"/>
        <s v="ST00000002205"/>
        <s v="ST00000002206"/>
        <s v="ST00000002207"/>
        <s v="ST00000002208"/>
        <s v="ST00000002209"/>
        <s v="ST00000002210"/>
        <s v="ST00000002211"/>
        <s v="ST00000002212"/>
        <s v="ST00000002213"/>
        <s v="ST00000002214"/>
        <s v="ST00000002215"/>
        <s v="ST00000002216"/>
        <s v="ST00000002217"/>
        <s v="ST00000002218"/>
        <s v="ST00000002219"/>
        <s v="ST00000002220"/>
        <s v="ST00000002221"/>
        <s v="ST00000002222"/>
        <s v="ST00000002223"/>
        <s v="ST00000002224"/>
        <s v="ST00000002225"/>
        <s v="ST00000002226"/>
        <s v="ST00000002227"/>
        <s v="ST00000002228"/>
        <s v="ST00000002229"/>
        <s v="ST00000002230"/>
        <s v="ST00000002231"/>
        <s v="ST00000002232"/>
        <s v="ST00000002233"/>
        <s v="ST00000002234"/>
        <s v="ST00000002235"/>
        <s v="ST00000002236"/>
        <s v="ST00000002237"/>
        <s v="ST00000002238"/>
        <s v="ST00000002239"/>
        <s v="ST00000002240"/>
        <s v="ST00000002241"/>
        <s v="ST00000002242"/>
        <s v="ST00000002243"/>
        <s v="ST00000002244"/>
        <s v="ST00000002245"/>
        <s v="ST00000002246"/>
        <s v="ST00000002247"/>
        <s v="ST00000002248"/>
        <s v="ST00000002249"/>
        <s v="ST00000002250"/>
        <s v="ST00000002251"/>
        <s v="ST00000002252"/>
        <s v="ST00000002253"/>
        <s v="ST00000002254"/>
        <s v="ST00000002255"/>
        <s v="ST00000002256"/>
        <s v="ST00000002257"/>
        <s v="ST00000002258"/>
        <s v="ST00000002259"/>
        <s v="ST00000002260"/>
        <s v="ST00000002261"/>
        <s v="ST00000002262"/>
        <s v="ST00000002263"/>
        <s v="ST00000002264"/>
        <s v="ST00000002265"/>
        <s v="ST00000002266"/>
        <s v="ST00000002267"/>
        <s v="ST00000002268"/>
        <s v="ST00000002269"/>
        <s v="ST00000002270"/>
        <s v="ST00000002271"/>
        <s v="ST00000002272"/>
        <s v="ST00000002273"/>
        <s v="ST00000002274"/>
        <s v="ST00000002275"/>
        <s v="ST00000002276"/>
        <s v="ST00000002277"/>
        <s v="ST00000002278"/>
        <s v="ST00000002279"/>
        <s v="ST00000002280"/>
        <s v="ST00000002281"/>
        <s v="ST00000002282"/>
        <s v="ST00000002283"/>
        <s v="ST00000002284"/>
        <s v="ST00000002285"/>
        <s v="ST00000002286"/>
        <s v="ST00000002287"/>
        <s v="ST00000002288"/>
        <s v="ST00000002289"/>
        <s v="ST00000002290"/>
        <s v="ST00000002291"/>
        <s v="ST00000002292"/>
        <s v="ST00000002293"/>
        <s v="ST00000002294"/>
        <s v="ST00000002295"/>
        <s v="ST00000002296"/>
        <s v="ST00000002297"/>
        <s v="ST00000002298"/>
        <s v="ST00000002299"/>
        <s v="ST00000002300"/>
        <s v="ST00000002301"/>
        <s v="ST00000002302"/>
        <s v="ST00000002303"/>
        <s v="ST00000002304"/>
        <s v="ST00000002305"/>
        <s v="ST00000002306"/>
        <s v="ST00000002307"/>
        <s v="ST00000002308"/>
        <s v="ST00000002309"/>
        <s v="ST00000002310"/>
        <s v="ST00000002311"/>
        <s v="ST00000002313"/>
        <s v="ST00000002314"/>
        <s v="ST00000002315"/>
        <s v="ST00000002316"/>
        <s v="ST00000002317"/>
        <s v="ST00000002318"/>
        <s v="ST00000002319"/>
        <s v="ST00000002320"/>
        <s v="ST00000002321"/>
        <s v="ST00000002322"/>
        <s v="ST00000002323"/>
        <s v="ST00000002324"/>
        <s v="ST00000002325"/>
        <s v="ST00000002326"/>
        <s v="ST00000002327"/>
        <s v="ST00000002328"/>
        <s v="ST00000002329"/>
        <s v="ST00000002330"/>
        <s v="ST00000002331"/>
        <s v="ST00000002332"/>
        <s v="ST00000002333"/>
        <s v="ST00000002334"/>
        <s v="ST00000002335"/>
        <s v="ST00000002336"/>
        <s v="ST00000002337"/>
        <s v="ST00000002338"/>
        <s v="ST00000002339"/>
        <s v="ST00000002340"/>
        <s v="ST00000002341"/>
        <s v="ST00000002342"/>
        <s v="ST00000002343"/>
        <s v="ST00000002344"/>
        <s v="ST00000002345"/>
        <s v="ST00000002346"/>
        <s v="ST00000002347"/>
        <s v="ST00000002348"/>
        <s v="ST00000002349"/>
        <s v="ST00000002350"/>
        <s v="ST00000002351"/>
        <s v="ST00000002352"/>
        <s v="ST00000002353"/>
        <s v="ST00000002354"/>
        <s v="ST00000002355"/>
        <s v="ST00000002356"/>
        <s v="ST00000002357"/>
        <s v="ST00000002358"/>
        <s v="ST00000002359"/>
        <s v="ST00000002360"/>
        <s v="ST00000002361"/>
        <s v="ST00000002362"/>
        <s v="ST00000002363"/>
        <s v="ST00000002364"/>
        <s v="ST00000002365"/>
        <s v="ST00000002366"/>
        <s v="ST00000002367"/>
        <s v="ST00000002368"/>
        <s v="ST00000002369"/>
        <s v="ST00000002370"/>
        <s v="ST00000002371"/>
        <s v="ST00000002372"/>
        <s v="ST00000002373"/>
        <s v="ST00000002374"/>
        <s v="ST00000002375"/>
        <s v="ST00000002376"/>
        <s v="ST00000002377"/>
        <s v="ST00000002378"/>
        <s v="ST00000002379"/>
        <s v="ST00000002380"/>
        <s v="ST00000002381"/>
        <s v="ST00000002382"/>
        <s v="ST00000002383"/>
        <s v="ST00000002384"/>
        <s v="ST00000002385"/>
        <s v="ST00000002386"/>
        <s v="ST00000002387"/>
        <s v="ST00000002388"/>
        <s v="ST00000002389"/>
        <s v="ST00000002390"/>
        <s v="ST00000002391"/>
        <s v="ST00000002392"/>
        <s v="ST00000002393"/>
        <s v="ST00000002394"/>
        <s v="ST00000002395"/>
        <s v="ST00000002396"/>
        <s v="ST00000002397"/>
        <s v="ST00000002398"/>
        <s v="ST00000002399"/>
        <s v="ST00000002400"/>
        <s v="ST00000002401"/>
        <n v="26"/>
        <s v="ST00000002402"/>
        <s v="ST00000002403"/>
        <s v="ST00000002404"/>
        <s v="ST00000002405"/>
        <s v="ST00000002406"/>
        <s v="ST00000002407"/>
        <s v="ST00000002408"/>
        <s v="ST00000002409"/>
        <s v="ST00000002410"/>
        <s v="ST00000002411"/>
        <s v="ST00000002412"/>
        <s v="ST00000002413"/>
        <s v="ST00000002414"/>
        <s v="ST00000002415"/>
        <s v="ST00000002416"/>
        <s v="ST00000002417"/>
        <s v="ST00000002418"/>
        <s v="ST00000002419"/>
        <s v="ST00000002420"/>
        <s v="ST00000002421"/>
        <s v="ST00000002422"/>
        <s v="ST00000002423"/>
        <s v="ST00000002424"/>
        <s v="ST00000002425"/>
        <s v="ST00000002426"/>
        <s v="ST00000002427"/>
        <s v="ST00000002428"/>
        <s v="ST00000002429"/>
        <s v="ST00000002430"/>
        <s v="ST00000002431"/>
        <s v="ST00000002432"/>
        <s v="ST00000002433"/>
        <s v="ST00000002434"/>
        <s v="ST00000002435"/>
        <s v="ST00000002436"/>
        <s v="ST00000002437"/>
        <s v="ST00000002438"/>
        <s v="ST00000002439"/>
        <s v="ST00000002440"/>
        <s v="ST00000002441"/>
        <s v="ST00000002442"/>
        <n v="1005550"/>
        <s v="ST00000002443"/>
        <s v="ST00000002444"/>
        <s v="ST00000002445"/>
        <s v="ST00000002446"/>
        <s v="ST00000002447"/>
        <s v="ST00000002448"/>
        <s v="ST00000002450"/>
        <s v="ST00000002451"/>
        <s v="ST00000002452"/>
        <s v="ST00000002453"/>
        <s v="ST00000002454"/>
        <s v="ST00000002455"/>
        <s v="ST00000002456"/>
        <s v="ST00000002457"/>
        <s v="ST00000002458"/>
        <s v="ST00000002459"/>
        <s v="ST00000002460"/>
        <s v="ST00000002461"/>
        <s v="ST00000002462"/>
        <s v="ST00000002463"/>
        <s v="ST00000002464"/>
        <s v="ST00000002465"/>
        <s v="ST00000002466"/>
        <s v="ST00000002467"/>
        <s v="ST00000002468"/>
        <s v="ST00000002469"/>
        <s v="ST00000002470"/>
        <s v="ST00000002471"/>
        <s v="ST00000002472"/>
        <s v="ST00000002473"/>
        <s v="ST00000002474"/>
        <s v="ST00000002475"/>
        <s v="ST00000002476"/>
        <s v="ST00000002477"/>
        <s v="ST00000002478"/>
        <n v="10429"/>
        <s v="ST00000002479"/>
        <s v="ST00000002480"/>
        <s v="ST00000002481"/>
        <s v="ST00000002482"/>
        <s v="ST00000002483"/>
        <s v="ST00000002484"/>
        <s v="ST00000002485"/>
        <s v="ST00000002486"/>
        <s v="ST00000002487"/>
        <s v="ST00000002488"/>
        <s v="ST00000002489"/>
        <s v="ST00000002490"/>
        <s v="ST00000002491"/>
        <s v="ST00000002492"/>
        <s v="ST00000002493"/>
        <s v="ST00000002494"/>
        <s v="ST00000002495"/>
        <s v="ST00000002496"/>
        <s v="ST00000002497"/>
        <s v="ST00000002498"/>
        <s v="ST00000002499"/>
        <s v="ST00000002500"/>
        <s v="ST00000002501"/>
        <s v="ST00000002502"/>
        <s v="ST00000002503"/>
        <s v="ST00000002504"/>
        <s v="ST00000002505"/>
        <s v="ST00000002506"/>
        <s v="ST00000002507"/>
        <s v="ST00000002509"/>
        <s v="ST00000002510"/>
        <s v="ST00000002511"/>
        <s v="ST00000002512"/>
        <s v="ST00000002513"/>
        <s v="ST00000002514"/>
        <s v="ST00000002515"/>
        <s v="ST00000002516"/>
        <s v="ST00000002517"/>
        <s v="ST00000002518"/>
        <s v="ST00000002519"/>
        <s v="ST00000002520"/>
        <s v="ST00000002521"/>
        <s v="ST00000002522"/>
        <s v="ST00000002508"/>
        <n v="1605"/>
        <s v="ST00000002523"/>
        <s v="ST00000002524"/>
        <s v="ST00000002525"/>
        <s v="ST00000002526"/>
        <s v="ST00000002527"/>
        <s v="ST00000002528"/>
        <s v="ST00000002529"/>
        <s v="ST00000002530"/>
        <s v="ST00000002531"/>
        <s v="ST00000002532"/>
        <s v="ST00000002533"/>
        <s v="ST00000002534"/>
        <s v="ST00000002535"/>
        <s v="ST00000002536"/>
        <s v="ST00000002537"/>
        <s v="ST00000002538"/>
        <s v="NTA2026000000223"/>
        <s v="ST00000002539"/>
        <s v="ST00000002540"/>
        <s v="ST00000002541"/>
        <s v="ST00000002542"/>
        <s v="ST00000002543"/>
        <s v="ST00000002544"/>
        <s v="ST00000002545"/>
        <n v="1608"/>
        <s v="ST00000002546"/>
        <s v="ST00000002547"/>
        <s v="ST00000002548"/>
        <s v="ST00000002549"/>
        <s v="ST00000002550"/>
        <s v="ST00000002551"/>
        <s v="ST00000002552"/>
        <s v="ST00000002553"/>
        <s v="ST00000002554"/>
        <s v="ST00000002555"/>
        <s v="ST00000002556"/>
        <s v="ST00000002557"/>
        <s v="ST00000002558"/>
        <s v="ST00000002559"/>
        <s v="ST00000002560"/>
        <s v="ST00000002561"/>
        <s v="ST00000002562"/>
        <s v="ST00000002563"/>
        <s v="ST00000002564"/>
        <s v="ST00000002565"/>
        <s v="ST00000002566"/>
        <s v="ST00000002567"/>
        <s v="ST00000002568"/>
        <s v="ST00000002569"/>
        <s v="ST00000002570"/>
        <s v="ST00000002571"/>
        <s v="ST00000002572"/>
        <s v="ST00000002573"/>
        <s v="ST00000002574"/>
        <s v="ST00000002575"/>
        <s v="ST00000002576"/>
        <s v="ST00000002577"/>
        <s v="ST00000002578"/>
        <s v="ST00000002579"/>
        <s v="ST00000002580"/>
        <s v="ST00000002581"/>
        <s v="ST00000002582"/>
        <s v="ST00000002583"/>
        <s v="ST00000002584"/>
        <s v="ST00000002585"/>
        <s v="ST00000002586"/>
        <s v="ST00000002587"/>
        <n v="19"/>
        <s v="ST00000002588"/>
        <s v="ST00000002589"/>
        <s v="ST00000002590"/>
        <s v="ST00000002591"/>
        <s v="ST00000002592"/>
        <s v="ST00000002593"/>
        <s v="ST00000002594"/>
        <s v="ST00000002595"/>
        <s v="ST00000002596"/>
        <s v="ST00000002597"/>
        <s v="ST00000002598"/>
        <s v="ST00000002599"/>
        <s v="ST00000002600"/>
        <s v="ST00000002601"/>
        <s v="ST00000002602"/>
        <s v="ST00000002603"/>
        <s v="ST00000002604"/>
        <s v="ST00000002605"/>
        <s v="ST00000002606"/>
        <s v="ST00000002607"/>
        <s v="ST00000002608"/>
        <s v="ST00000002609"/>
        <s v="ST00000002610"/>
        <s v="ST00000002611"/>
        <s v="ST00000002612"/>
        <s v="ST00000002613"/>
        <s v="ST00000002614"/>
        <s v="ST00000002615"/>
        <s v="ST00000002616"/>
        <s v="ST00000002617"/>
        <s v="ST00000002618"/>
        <s v="ST00000002619"/>
        <s v="ST00000002620"/>
        <s v="ST00000002621"/>
        <s v="ST00000002622"/>
        <s v="ST00000002623"/>
        <s v="ST00000002624"/>
        <s v="ST00000002625"/>
        <s v="ST00000002626"/>
        <s v="ST00000002627"/>
        <s v="ST00000002628"/>
        <s v="ST00000002629"/>
        <s v="ST00000002630"/>
        <s v="ST00000002631"/>
        <s v="ST00000002632"/>
        <s v="ST00000002633"/>
        <s v="ST00000002634"/>
        <s v="ST00000002635"/>
        <s v="ST00000002636"/>
        <s v="ST00000002637"/>
        <s v="ST00000002638"/>
        <s v="ST00000002639"/>
        <s v="ST00000002640"/>
        <s v="ST00000002641"/>
        <s v="ST00000002642"/>
        <s v="ST00000002643"/>
        <s v="ST00000002644"/>
        <s v="ST00000002645"/>
        <s v="ST00000002646"/>
        <s v="ST00000002647"/>
        <s v="ST00000002648"/>
        <s v="ST00000002649"/>
        <s v="ST00000002650"/>
        <s v="ST00000002651"/>
        <s v="ST00000002652"/>
        <s v="ST00000002653"/>
        <s v="ST00000002654"/>
        <s v="ST00000002655"/>
        <s v="ST00000002656"/>
        <s v="ST00000002657"/>
        <s v="ST00000002658"/>
        <s v="ST00000002659"/>
        <s v="ST00000002660"/>
        <s v="ST00000002661"/>
        <n v="0"/>
        <s v="ST00000002662"/>
        <s v="ST00000002663"/>
        <s v="ST00000002664"/>
        <s v="ST00000002665"/>
        <s v="ST00000002666"/>
        <s v="ST00000002667"/>
        <s v="ST00000002668"/>
        <s v="ST00000002669"/>
        <s v="ST00000002670"/>
        <s v="ST00000002671"/>
        <s v="ST00000002672"/>
        <s v="ST00000002673"/>
        <s v="ST00000002674"/>
        <s v="ST00000002675"/>
        <s v="ST00000002676"/>
        <s v="ST00000002677"/>
        <s v="ST00000002678"/>
        <s v="ST00000002679"/>
        <s v="ST00000002680"/>
        <s v="ST00000002681"/>
        <s v="ST00000002682"/>
        <s v="ST00000002683"/>
        <s v="ST00000002684"/>
        <s v="ST00000002685"/>
        <s v="ST00000002686"/>
        <s v="ST00000002687"/>
        <s v="ST00000002688"/>
        <s v="ST00000002689"/>
        <s v="ST00000002690"/>
        <s v="ST00000002691"/>
        <s v="ST00000002692"/>
        <s v="ST00000002693"/>
        <s v="ST00000002694"/>
        <s v="ST00000002695"/>
        <s v="ST00000002696"/>
        <s v="ST00000002697"/>
        <s v="NTA20260000000259"/>
      </sharedItems>
    </cacheField>
    <cacheField name="AÇIKLAMA" numFmtId="0">
      <sharedItems containsBlank="1" count="317">
        <s v="SERMAYE GİRİŞİ"/>
        <s v="META PARTNERS GAYRİMENKUL LTD. - EMLAKÇI HİZMET BEDELİ"/>
        <s v="1 KİRA , 1 DEPOZİTO"/>
        <s v="ADAN ÖZDEMİR İNŞAAT LTD.ŞTİ. - BOYA MALZEMELERİ"/>
        <s v="TEŞHİR RAFLARI - KARANİ BEY"/>
        <s v="NAKLİYECİ MURAT - TEŞHİR RAFLARI"/>
        <s v="BAYRAKLAR NALBURİYE - RAMAZAN BAYRAK - RAF AYAKLARI"/>
        <s v="TK TARIM KREDİ PAZ A.Ş."/>
        <s v="BİM A.Ş - TEMİZLİK MALZ"/>
        <s v="BİM A.Ş - KAĞIT HAVLU - TUV. KAĞIDI"/>
        <s v="BİM A.Ş"/>
        <s v="AFİLİ AMBALAJ TİC.LTD. - DÜKKAN TEMİZLİK ALETLERİ"/>
        <s v="BİM A.Ş. - SU 2 ADET"/>
        <s v="BİM A.Ş. - TEMİZLİK MALZ."/>
        <s v="BİM A.Ş."/>
        <s v="N11 - YILDIRIM ELEKTRİK - 2 ADET KAPI KİLİDİ"/>
        <s v="TABELACI İLK PEŞİNAT"/>
        <s v="BİM A.Ş. - ÇAY BARDAĞI"/>
        <s v="A101 A.Ş."/>
        <s v="TRENDYOL - AYDIN ÇEVRE DANIŞMANLIK LTD. - TERAZİ"/>
        <s v="PAZARAMA - Altınkılıçlar Kahve A.Ş. - KAHVE DÜNYASI"/>
        <s v="TRENDYOL - MT OFİS KIRTASİYE - RAF ETİKETİ - 400 MİCRON PVC 38x100 100 ADET"/>
        <s v="HEPSİBURADA - YAZARKASAMPOS ELEKTRONİK LTD. - YAZARKASA POS CİHAZI"/>
        <s v="TABELACI KALAN"/>
        <s v="GE MA GIDA TİCARET LTD - BAHARATEVİM"/>
        <s v="SATIŞ"/>
        <s v="SATIŞ "/>
        <s v="YALÇINTAT BAHARAT GIDA SAN"/>
        <s v="HÜSNÜ YILMAZ - BAHARAT KOVALARI - 20 ADET"/>
        <s v="BAHARAT KOVALARI - NAKLİYE"/>
        <s v="AFİLİ AMBALAJ TİC.LTD. - BAKKALİYE - MARKET - POŞETLERİ"/>
        <s v="TRENDYOL - EDA DOĞAN - XPRİNTER XP-470B - BARKOD YAZICISI"/>
        <s v="TÜDAB A.Ş."/>
        <s v="NALBUR - TABELA KABLO - KABLO BANDI"/>
        <s v="İNAN MUHASEBE"/>
        <s v="SATIŞ - TOPTAN"/>
        <s v="KAMERA SİSTEMİ - VOLKAN KAYA"/>
        <s v="KDV ÖDEME"/>
        <s v="BALIKESİR - ÖMER"/>
        <s v="TÜDAB A.Ş. - ÖDEME"/>
        <s v="ORHAN ABLAK HOCA"/>
        <s v="HAKMAR MAĞAZACILIK LTD."/>
        <s v="05374336509 - MAHALLE"/>
        <s v="KİRA GİDERİ - 2025/11"/>
        <s v="07-09 STOPAJ"/>
        <s v="KARIŞIK KURUYEMİŞ - ÜRETİM"/>
        <s v="TR-PACHTECH 30 CM POŞET AĞZI KAPAMA YAPIŞTIRMA MAKİNASI"/>
        <s v="HB"/>
        <s v="HARUN ADANA"/>
        <s v="N11"/>
        <s v="TR"/>
        <s v="TR - RULO ETİKETLER"/>
        <s v="TR - KARGO BEDELİ"/>
        <s v="TATBAK MAĞAZA LTD."/>
        <s v="HB-MT OFİS KIRTASİYE - RAF ETİKETİ - 400 MİCRON PVC 38x100 100 ADET"/>
        <s v="KREDİ KARTI ÖDEME"/>
        <s v="EKİPLER YANGIN GÜVENLİK LTD. - YANGIN TÜPÜ"/>
        <s v="YOL GİDERİ - BELEDİYE RUHSAT İŞLERİ"/>
        <s v="BELEDİYE - TABELA VERGİSİ"/>
        <s v="BELEDİYE - ÇTV"/>
        <s v="TB"/>
        <s v="BİM"/>
        <s v="HAKMAR"/>
        <s v="POS ÇÖZÜMÜ"/>
        <s v="GEÇİCİ VERGİ ÖDEME - ON NUMARA"/>
        <s v="GENÇAY BAHARAT - İSMAİL MAHMUT GENÇAY"/>
        <s v="GENÇAY BAHARAT - ÖDEME"/>
        <s v="MUHASEBE GİDERİ ÖDEME"/>
        <s v="SATIŞ - ADM"/>
        <s v="AFİLİ AMBALAJ - AMBALAJ GİDERİ"/>
        <s v="ELEKTRİK FATURASI - EYLÜL"/>
        <s v="ELEKTRİK FATURASI - EKİM"/>
        <s v="KDV ÖDEME - ON NUMARA"/>
        <s v="TÜDAB A.Ş. - İSKONTO GELİRİ"/>
        <s v="YAĞMUR OFSET - KARTVİZİT"/>
        <s v="DAMGA VERGİSİ - YENİ KİRA KONTRATI"/>
        <s v="KİRA GİDERİ - 2025/12"/>
        <s v="YALÇINTAT - ÖDEME"/>
        <s v="ANTEP SEVKİYAT"/>
        <s v="TÜDAB A.Ş. - İADE"/>
        <s v="SATIŞ - ADM2"/>
        <s v="BENZİN"/>
        <s v="BİM - KUMTEL ISITICI"/>
        <s v="GEMA GIDA - İADE"/>
        <s v="TÜDAB - ÖDEME"/>
        <s v="İBRAHİM ÜNLÜ - ÖDEME"/>
        <s v="NADİR ÇARŞI-SAKLAMA KABI"/>
        <s v="TARIM KOOP"/>
        <s v="MANİSA YAPRAK 5 KG"/>
        <s v="MECİTEFENDİ"/>
        <s v="SERBEND HURMA"/>
        <s v="NADİR ÇARŞI-SAKLAMA KABI - 5 BÜYÜK"/>
        <s v="NADİR ÇARŞI - KÜREK - 3 TANE"/>
        <s v="RAF BURADA - AKSİYON SEPET+TELLİ RAF - HAYRİ SEVENCAN"/>
        <s v="A101"/>
        <s v="SERMAYE - BORÇ"/>
        <s v="CARİ ÖDEME - MD-KUVEYT"/>
        <s v="POS YILLIK GİDERİ"/>
        <s v="POS BAKIM ÜCRETİ"/>
        <s v="ANTEP - NAKLİYE"/>
        <s v="EL-RUHA ÇAY"/>
        <s v="GE MA GIDA TİCARET LTD"/>
        <s v="SERBEND HURMA - CARİ ÖDEME - MD-KUVEYT"/>
        <s v="KİRA GİDERİ - 2026/01"/>
        <s v="TÜDAB A.Ş. - CARİ ÖDEME"/>
        <s v="YALÇINTAT - CARİ ÖDEME"/>
        <s v="SATIŞ - SİBEL"/>
        <s v="SATIŞ - LEYLA"/>
        <s v="SATIŞ - TEYZE"/>
        <s v="SATIŞ - FADİME"/>
        <s v="SATIŞ - ANNE"/>
        <s v="SATIŞ - ANNE - EMANET"/>
        <s v="SATIŞ - NİHAT"/>
        <s v="SATIŞ - MÜMİNE"/>
        <s v="SATIŞ - NECAT"/>
        <s v="SATIŞ - HÜLYA"/>
        <s v="SATIŞ - TÜLAY"/>
        <s v="SATIŞ - ZAKARİYE"/>
        <s v="YAŞAR SIĞI - EL RUHA ÇAY ÖDEME"/>
        <s v="SATIŞ - OĞUZ"/>
        <s v="SATIŞ - SUAT"/>
        <s v="STOPAJ ÖDEME - ON NUMARA"/>
        <s v="TÜDAB A.Ş. - İADELER"/>
        <s v="SATIŞ - STOK DÜZELTME"/>
        <s v="SATIŞ - FADİME YENGE"/>
        <s v="SATIŞ - ANNE SİPARİŞ"/>
        <s v="SATIŞ - ANNE EMANET"/>
        <s v="SATIŞ - ZÜBEYDE"/>
        <s v="KİRA GİDERİ - 2026/02"/>
        <s v="SATIŞ - MMT"/>
        <s v="SATIŞ - AYDIN"/>
        <s v="SATIŞ - ŞÜKRULLAH"/>
        <s v="SATIŞ - TOPTAN - MÜMİNE"/>
        <s v="YALÇINTAT BAHARAT LTD."/>
        <s v="SATIŞ -TOPTAN - ŞÜKRÜ"/>
        <s v="SERBEND HURMA - İADE"/>
        <s v="ANTEP MALZEME NAKLİYESİ"/>
        <s v="SERBEND HURMA - ÖDEME"/>
        <s v="MANİSA YAPRAK ALIMI - 1 KOVA"/>
        <s v="MUHASEBE GİDERİ"/>
        <s v="POS ÇÖZÜMÜ - GEÇİCİ VERGİ - ON NUMARA"/>
        <s v="SATIŞ - PINAR"/>
        <s v="SATIŞ - ZAKİYE"/>
        <s v="YALÇINTAT - SALÇA İADELERİ"/>
        <s v="APO ECZACI"/>
        <s v="SUCU MAL ALIMI"/>
        <s v="GENÇAY BAHARAT"/>
        <s v="YALÇINTAT CARİ ÖDEME"/>
        <s v="NEVANTAT KURUYEMİŞ"/>
        <s v="NEVANTAT KURUYEMİŞ - ÖDEME"/>
        <s v="SATIŞ - BAHAR"/>
        <s v="AFİLLİ AMBALAJ - KÜÇÜK ATLET POŞET"/>
        <s v="YALÇINTAT - NAKLİYE YANSITMASI"/>
        <s v="SALÇA İADELERİ İÇİN ARAÇ BENZİN"/>
        <s v="SATIŞ - PAKET ÜRETİM"/>
        <s v="SATIŞ - PAKET ÜRETİM - POŞET PARASI"/>
        <s v="SATIŞ - PAKET ÜRETİM - PAKETLEME PARASI"/>
        <s v="SATIŞ - PAKET ÜRETİM - İŞÇİLİK"/>
        <s v="MÜMİNE ÇELİKEL - ELDEN ÖDEME"/>
        <s v="HANİFE DİVELEK - TFK ÖDEME"/>
        <s v="POS ÇÖZÜMÜ - ON NUMARA - GİDER"/>
        <s v="KİRA GİDERİ - 2026/03"/>
        <s v="KDV ÖDEME - ON NUMARA KART İLE"/>
        <s v="TR - 40X58 ETİKET"/>
        <s v="TR - POŞET YAPIŞTIRICI TEL &amp; TEFLON 5 ADET"/>
        <s v="YALÇINTAT - CARİ ÖDEME (ANNE ZEKAT)"/>
        <s v="HANİFE DİVLEK - TAHSİLAT -TFK"/>
        <s v="SERMAYE - GERİ ÖDEME"/>
        <s v="MECİT EFENDİ - MY LİFE"/>
        <s v="SATIŞ - TOPTAN - HERTAT"/>
        <s v="HERTAT TAHSİLAT NAKİT"/>
        <s v="SATIŞ - TOPTAN - MÜMİNE ÇELİKEL"/>
        <s v="SATIŞ - 125 TL EKSİK ALINDI"/>
        <s v="SATIŞ - ARABALI ADAM BORÇ"/>
        <s v="YALÇINTAT BAHARAT"/>
        <s v="HANİFE DİVLEK - TFK ÖDEME"/>
        <s v="SATIŞ - NECAT - MAHALLE"/>
        <s v="MÜMİNE ÇELİKEL TAHSİLAT"/>
        <s v="SU FATURASI ÖDEME - TFK"/>
        <s v="SATIŞ - STOK DÜZELTME - MMT"/>
        <s v="SATIŞ - ÖZNUR"/>
        <s v="POS ÇÖZÜMÜ - ON NUMARA - NEVANTAT "/>
        <s v="SELÇUK GIDA"/>
        <s v="SELÇUK GIDA - NAKİT ÖDEME"/>
        <s v="HİCRAN BOZKURT - YAPRAK ALIMI - MMT KUVEYT"/>
        <s v="HİCRAN BOZKURT - YAPRAK ALIMI - GÜLO KUVEYT"/>
        <s v="ESNAF VE SANATKARLAR ODA KAYIT ÜCRETİ"/>
        <s v="SATIŞ - TOPTAN - ERASLAN LAHMACUN PİDE"/>
        <s v="POS ÇÖZÜMÜ - ON NUMARA TÜDAB ÖDEME"/>
        <s v="SATIŞ - TOPTAN - HANİFE DİVLEK"/>
        <s v="SELÇUK GIDA - MMT KUVEYT GÖNDERİLEN"/>
        <s v="MÜMİNE ÇELİKEL - GÜLO KUVEYT GELEN"/>
        <s v="YALÇINTAT BAHARAT - ÖDEME"/>
        <s v="ON NUMARA POS ÇÖZÜMÜ - ELEKTRİK FATURA"/>
        <s v="SATIŞ - ZEKAT"/>
        <s v="SATIŞ - FADİME - İADE - ANNE EMANET"/>
        <s v="SATIŞ - TUĞBA"/>
        <s v="SATIŞ - SEVDA"/>
        <s v="SATIŞ - ÖZLEM"/>
        <s v="SALÇA ÜSTÜ TEZGAH"/>
        <s v="ON NUMARA POS ÇÖZÜMÜ - ELEKTRİK TEMİNAT GİDERİ"/>
        <s v="KÜÇÜK HASSAS TARTI"/>
        <s v="ESNAF SANATKARLAR FAALİYET BELGESİ"/>
        <s v="ON NUMARA POS ÇÖZÜMÜ - BELEDİYE RUHSAT"/>
        <s v="ON NUMARA POS ÇÖZÜMÜ - GENÇAY ÖDEME"/>
        <s v="ON NUMARA POS ÇÖZÜMÜ - EK KART ÜCRETİ"/>
        <s v="SATIŞ - RESUL"/>
        <s v="ON NUMARA POS ÇÖZÜMÜ - YILLIK GELİR VERGİSİ"/>
        <s v="KİRA GİDERİ - 2026/04"/>
        <s v="SERMAYE - MMT ALIŞVERİŞLERİN DÜŞÜMÜ"/>
        <s v="MMT KREDİ KARTI ÖDEME"/>
        <s v="PEMA AMBALAJ - ATLET POŞET"/>
        <s v="SATIŞ - ROJBIN"/>
        <s v="SATIŞ -MMT"/>
        <s v="SATIŞ - TOPTAN - DÜKKANA ABLA"/>
        <s v="GÜLFİYE KUVEYT GÖNDERİLEN"/>
        <s v="SATIŞ - SAADET"/>
        <s v="SATIŞ - MAHALLE FATİH"/>
        <s v="DURMUŞOĞULLARI - KATI PEKMEZ - TFK"/>
        <s v="MAL ALIMI - ATAYOLU AKTAR - NAKİT"/>
        <s v="KÜÇÜK JELETİN POŞETLER - PEMA"/>
        <s v="SATIŞ - EMRE"/>
        <s v="DURMUŞOĞULLARI - KATI PEKMEZ - KARGO"/>
        <s v="DURMUŞOĞULLARI - KATI PEKMEZ - MAL ALIMI"/>
        <s v="ON NUMARA POS ÇÖZÜMÜ - ELEKTRİK FATURASI"/>
        <s v="01/2026 - 03/2026 STP ÖDEME"/>
        <s v="GE MA GIDA LTD. ŞTİ."/>
        <s v="TÜDAB A.Ş - CARİ ÖDEME - ON NUMARA KREDİ KARTI"/>
        <s v="SATIŞ - TOPTAN - SEMERKAND ABLA"/>
        <s v="ON NUMARA POS ÇÖZÜMÜ KDV"/>
        <s v="ON NUMARA POS ÇÖZÜMÜ İSKİ"/>
        <s v="HANİFE DİVLEK - TFK TAHSİLAT"/>
        <s v="KİRA GİDERİ - 2026/05"/>
        <s v="KDV ÖDEME - 02/2026 DNM - MMT K.K."/>
        <s v="SATIŞ - MAHALLE HOCASI"/>
        <s v="SATIŞ - HEDİYE"/>
        <s v="YALÇINTAT ÖDEME - TFK"/>
        <s v="İBRAHİM ÜNLÜ MUHASEBE GİDERİ - NİSAN/MAYIS"/>
        <s v="SATIŞ - SEYİT"/>
        <s v="SATIŞ - SEYİT KOMŞUSU"/>
        <s v="SATIŞ - KADER"/>
        <s v="SATIŞ - RABİA"/>
        <s v="TEDARİK - SEYYAR"/>
        <s v="ON NUMARA POS ÇÖZÜMÜ - GEÇİCİ VERGİ"/>
        <s v="SATIŞ - TOPTAN - KÖŞE LOKANTA"/>
        <s v="ON NUMARA POS ÇÖZÜMÜ - ELEKTRİK"/>
        <s v="ON NUMARA POS ÇÖZÜMÜ - SU"/>
        <s v="HANİFE DİVLEK - CARİ TAHSİLAT - GÜLO KUVEYT"/>
        <s v="ON NUMARA POS ÇÖZÜMÜ - KDV"/>
        <s v="KİRA GİDERİ - HAZİRAN"/>
        <s v="SATIŞ - TOPTAN - MAHALLE ABLA"/>
        <s v="YILMAZ KARDEŞLER GIDA LTD - MAL ALIMI"/>
        <s v="ON NUMARA POS ÇÖZÜMÜ - YILMAZ KARDEŞLER"/>
        <s v="5250 ONNUMARA KART - 4000 NAKİT"/>
        <s v="NEVANTAT MAL ALIMI"/>
        <s v="ON NUMARA POS ÇÖZÜMÜ - NEVANTAT - MEHMET GALİP SARIGÜL"/>
        <s v="SATIŞ - 90 ALDIK 230 KALDI"/>
        <s v="MEHMET DAŞDEMİR - K.K. ÖDEME"/>
        <s v="SATIŞ - TOPTAN - ERASLAN LAHMACUN"/>
        <s v="KARAHİNDİBA - FİRE GİDERİ"/>
        <s v="YALÇINTAT BAHARAT GIDA LTD."/>
        <s v="SATIŞ - TOPTAN - ATAŞEHİR - BİRLİK KASAP"/>
        <s v="ANTEP NAKLİYE - MMT KUVEYT - ERAY DENİZ"/>
        <s v="SATIŞ - GÖKÇEBEY TAVUKÇULUK"/>
        <s v="YALÇINTAT BAHARAT - TFK EFT"/>
        <s v="TARIM KOOPERATİF"/>
        <s v="300 TL JELETİN POŞET (KG 190) - 75 HIŞIR POŞET 1 ADET"/>
        <s v="MUHASEBE ÜCRETİ ÖDEME"/>
        <s v="ON NUMARA POS ÇÖZÜMÜ - İSKİ"/>
        <s v="TATBAK LTD"/>
        <s v="SATIŞ - TOPTAN - CAN IZGARA"/>
        <s v="SATIŞ - TOPTAN - MÜŞTERİ"/>
        <s v="KİRA GİDERİ"/>
        <s v="SATIŞ - NURCAN"/>
        <s v="SATIŞ - ZEKAT "/>
        <s v="SATIŞ - ZEKAT - 150 VERDİ- 150 ZEKAT"/>
        <s v="SATIŞ - 33 TL BORÇLUYUZ. 400 DEN OLMALIYDI"/>
        <s v="SATIŞ - EMRE AYCİBİN"/>
        <s v="KUVEYTTÜRK EFT - ORHAN ABLAK HOCA"/>
        <s v="KUVEYT K.K. ÖDEME"/>
        <s v="ON NUMARA POS - YILMAZ KARDEŞLER MAL ALIMI"/>
        <s v="ON NUMARA POS -  PEMA POŞET ALIMI"/>
        <s v="ON NUMARA POS - NEVANTAT MAL ALIMI"/>
        <s v="SATIŞ - ÇEREZ POŞETİ"/>
        <s v="SATIŞ - NURSEN - 300 VERDİ 186 BORÇ"/>
        <s v="SATIŞ - ÖZLEM - 85 VERDİ - 35 BORÇ"/>
        <s v="SATIŞ - MMT - DERGAH"/>
        <s v="FİRE GİDERLERİ"/>
        <s v="FİRE GİDERLERİ - KÜÇÜK BEYAZ ÇİĞ KABAK ÇEKİRDEĞİ - NEVŞEHİR"/>
        <s v="FİRE GİDERLERİ - BOZ ANTEP FISTIK ÖĞÜTÜLMÜŞ"/>
        <s v="SATIŞ - TOPTAN - TADIM ZURNA DÜRÜM"/>
        <s v="SATIŞ - MMT - FİRE"/>
        <s v="ON NUMARA POS ÇÖZÜMÜ - NEVANTAT ÖDEME"/>
        <m/>
        <s v="YILMAZ KARDEŞLER MAL ALIMI" u="1"/>
        <s v="PEMA TEDARİK AMBALAJ" u="1"/>
        <s v="SATIŞ - TOPTAN - ÜST TAVUKÇU" u="1"/>
        <s v="SATIŞ - TOPTAN - SEMERKAND EV" u="1"/>
        <s v="KİRA GİDERİ - KASIM" u="1"/>
        <s v="KİRA" u="1"/>
        <s v="OCAK AYI KİRASI" u="1"/>
        <s v="KİRA GİDERİ - ŞUBAT" u="1"/>
        <s v="KİRA GİDERİ - MART" u="1"/>
        <s v="SATIŞ - TOPTAN - ABLA" u="1"/>
        <s v="MAL ALIMI - DURMUŞOĞULLARI - KATI PEKMEZ - TFK" u="1"/>
        <s v="SERMAYE - MMT ALIŞVERİŞLERİ DÜŞÜMÜ" u="1"/>
        <s v="SU FATURASI ÖDEME" u="1"/>
        <s v="SATIŞ - 100 TL FAZLA İSE YARISI" u="1"/>
        <s v="GEÇİCİ VERGİ" u="1"/>
        <s v="TEMİZLİK GİDERİ" u="1"/>
        <s v="NEVANTAT - 10 NUMARA KART İLE ÖDEME" u="1"/>
        <s v="ONNUMARA POS ÇÖZÜMÜ - ELEKTRİK TEMİNAT GİDERİ" u="1"/>
        <s v="ELEKTRİK TEMİNAT GİDERİ" u="1"/>
        <s v="ONNUMARA POS ÇÖZÜMÜ - ELEKTRİK FATURA" u="1"/>
        <s v="ELEKTRİK FATURASI" u="1"/>
        <s v="ONNUMARA POS ÇÖZÜMÜ - BELEDİYE RUHSAT" u="1"/>
        <s v="ONNUMARA POS ÇÖZÜMÜ - GENÇAY ÖDEME" u="1"/>
      </sharedItems>
    </cacheField>
    <cacheField name="N/K" numFmtId="0">
      <sharedItems containsBlank="1"/>
    </cacheField>
    <cacheField name="BİRİM ADET/KG" numFmtId="0">
      <sharedItems containsString="0" containsBlank="1" containsNumber="1" minValue="1.7187500000000001E-2" maxValue="336.04"/>
    </cacheField>
    <cacheField name="BİRİM FİYAT/TL" numFmtId="0">
      <sharedItems containsString="0" containsBlank="1" containsNumber="1" minValue="0" maxValue="264000"/>
    </cacheField>
    <cacheField name="CARİ _x000a_BORÇ" numFmtId="0">
      <sharedItems containsString="0" containsBlank="1" containsNumber="1" minValue="0" maxValue="63800"/>
    </cacheField>
    <cacheField name="CARİ _x000a_ALACAK" numFmtId="0">
      <sharedItems containsString="0" containsBlank="1" containsNumber="1" minValue="0" maxValue="264000"/>
    </cacheField>
    <cacheField name="GELİR ADET/KG" numFmtId="0">
      <sharedItems containsString="0" containsBlank="1" containsNumber="1" minValue="0" maxValue="10035"/>
    </cacheField>
    <cacheField name="GİDER ADET/KG" numFmtId="0">
      <sharedItems containsString="0" containsBlank="1" containsNumber="1" minValue="0" maxValue="42049.46"/>
    </cacheField>
    <cacheField name="GELİR BİRİM FİYATI" numFmtId="0">
      <sharedItems containsString="0" containsBlank="1" containsNumber="1" minValue="-10288.138239847995" maxValue="27949.413"/>
    </cacheField>
    <cacheField name="GİDER BİRİM FİYATI" numFmtId="0">
      <sharedItems containsString="0" containsBlank="1" containsNumber="1" minValue="0" maxValue="50000"/>
    </cacheField>
    <cacheField name="KASA _x000a_GİRİŞ" numFmtId="0">
      <sharedItems containsString="0" containsBlank="1" containsNumber="1" minValue="0" maxValue="264000"/>
    </cacheField>
    <cacheField name="KASA _x000a_ÇIKIŞ" numFmtId="0">
      <sharedItems containsString="0" containsBlank="1" containsNumber="1" minValue="0" maxValue="63800"/>
    </cacheField>
    <cacheField name="BAKİYE" numFmtId="0">
      <sharedItems containsString="0" containsBlank="1" containsNumber="1" minValue="3002.2653579548423" maxValue="264000"/>
    </cacheField>
    <cacheField name="Gün (TARİH)" numFmtId="0" databaseField="0">
      <fieldGroup base="0">
        <rangePr groupBy="days" startDate="2025-09-25T00:00:00" endDate="2026-07-20T00:00:00"/>
        <groupItems count="368">
          <s v="&lt;25.09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0.07.2026"/>
        </groupItems>
      </fieldGroup>
    </cacheField>
    <cacheField name="Ay (TARİH)" numFmtId="0" databaseField="0">
      <fieldGroup base="0">
        <rangePr groupBy="months" startDate="2025-09-25T00:00:00" endDate="2026-07-20T00:00:00"/>
        <groupItems count="14">
          <s v="&lt;25.09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0.07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87">
  <r>
    <d v="2025-09-25T00:00:00"/>
    <x v="0"/>
    <m/>
    <m/>
    <x v="0"/>
    <s v="SR00000000001"/>
    <s v="SERMAYE GİRİŞİ"/>
    <s v="NAKİT"/>
    <n v="1"/>
    <n v="264000"/>
    <m/>
    <n v="264000"/>
    <n v="0"/>
    <n v="0"/>
    <n v="1"/>
    <m/>
    <n v="264000"/>
    <n v="0"/>
    <n v="264000"/>
  </r>
  <r>
    <d v="2025-09-26T00:00:00"/>
    <x v="1"/>
    <m/>
    <s v="DIŞARIDAN SAĞLANAN FAYDA VE HİZMETLER"/>
    <x v="1"/>
    <s v="GIB2025000000006"/>
    <s v="META PARTNERS GAYRİMENKUL LTD. - EMLAKÇI HİZMET BEDELİ"/>
    <s v="NAKİT"/>
    <n v="1"/>
    <n v="24000"/>
    <n v="0"/>
    <n v="0"/>
    <n v="0"/>
    <n v="1"/>
    <m/>
    <n v="24000"/>
    <n v="0"/>
    <n v="24000"/>
    <n v="240000"/>
  </r>
  <r>
    <d v="2025-09-26T00:00:00"/>
    <x v="1"/>
    <m/>
    <s v="KİRA GİDERLERİ"/>
    <x v="1"/>
    <m/>
    <s v="1 KİRA , 1 DEPOZİTO"/>
    <s v="NAKİT"/>
    <n v="1"/>
    <n v="44000"/>
    <n v="0"/>
    <n v="0"/>
    <n v="0"/>
    <n v="1"/>
    <m/>
    <n v="44000"/>
    <n v="0"/>
    <n v="44000"/>
    <n v="196000"/>
  </r>
  <r>
    <d v="2025-09-27T00:00:00"/>
    <x v="1"/>
    <m/>
    <s v="BİNA BAKIM ONARIM"/>
    <x v="2"/>
    <s v=" OZD2025000000037"/>
    <s v="ADAN ÖZDEMİR İNŞAAT LTD.ŞTİ. - BOYA MALZEMELERİ"/>
    <s v="K.K."/>
    <n v="1"/>
    <n v="3900"/>
    <n v="0"/>
    <n v="3900"/>
    <n v="0"/>
    <n v="1"/>
    <m/>
    <n v="3900"/>
    <n v="0"/>
    <n v="0"/>
    <n v="196000"/>
  </r>
  <r>
    <d v="2025-09-27T00:00:00"/>
    <x v="2"/>
    <m/>
    <s v="DEMİRBAŞ"/>
    <x v="1"/>
    <m/>
    <s v="TEŞHİR RAFLARI - KARANİ BEY"/>
    <s v="NAKİT"/>
    <n v="1"/>
    <n v="50000"/>
    <n v="0"/>
    <n v="0"/>
    <n v="0"/>
    <n v="1"/>
    <m/>
    <n v="50000"/>
    <n v="0"/>
    <n v="50000"/>
    <n v="146000"/>
  </r>
  <r>
    <d v="2025-09-27T00:00:00"/>
    <x v="1"/>
    <m/>
    <s v="YOL GİDERLERİ"/>
    <x v="1"/>
    <m/>
    <s v="NAKLİYECİ MURAT - TEŞHİR RAFLARI"/>
    <s v="NAKİT"/>
    <n v="1"/>
    <n v="7500"/>
    <n v="0"/>
    <n v="0"/>
    <n v="0"/>
    <n v="1"/>
    <m/>
    <n v="7500"/>
    <n v="0"/>
    <n v="7500"/>
    <n v="138500"/>
  </r>
  <r>
    <d v="2025-09-29T00:00:00"/>
    <x v="1"/>
    <m/>
    <s v="GİDER SAYILAN DEMİRBAŞ"/>
    <x v="2"/>
    <n v="8"/>
    <s v="BAYRAKLAR NALBURİYE - RAMAZAN BAYRAK - RAF AYAKLARI"/>
    <s v="K.K."/>
    <n v="1"/>
    <n v="220"/>
    <n v="0"/>
    <n v="220"/>
    <n v="0"/>
    <n v="1"/>
    <m/>
    <n v="220"/>
    <n v="0"/>
    <n v="0"/>
    <n v="138500"/>
  </r>
  <r>
    <d v="2025-09-29T00:00:00"/>
    <x v="3"/>
    <s v="ORMANÖZÜ SUMAKLI NAR EKŞİSİ 250 ml"/>
    <m/>
    <x v="2"/>
    <n v="102"/>
    <s v="TK TARIM KREDİ PAZ A.Ş."/>
    <s v="K.K."/>
    <n v="3"/>
    <n v="99.899999999999991"/>
    <n v="0"/>
    <n v="299.7"/>
    <n v="0"/>
    <n v="3"/>
    <m/>
    <n v="99.899999999999991"/>
    <n v="0"/>
    <n v="0"/>
    <n v="138500"/>
  </r>
  <r>
    <d v="2025-09-29T00:00:00"/>
    <x v="3"/>
    <s v="ORMANÖZÜ ORGANİK ALIÇ SİRKESİ 500 ml"/>
    <m/>
    <x v="2"/>
    <n v="102"/>
    <s v="TK TARIM KREDİ PAZ A.Ş."/>
    <s v="K.K."/>
    <n v="3"/>
    <n v="79.899999999999991"/>
    <n v="0"/>
    <n v="239.7"/>
    <m/>
    <n v="3"/>
    <m/>
    <n v="79.899999999999991"/>
    <n v="0"/>
    <n v="0"/>
    <n v="138500"/>
  </r>
  <r>
    <d v="2025-09-29T00:00:00"/>
    <x v="3"/>
    <s v="ORMANÖZÜ ORGANİK ÜZÜM SİRKESİ 500 ml"/>
    <m/>
    <x v="2"/>
    <n v="102"/>
    <s v="TK TARIM KREDİ PAZ A.Ş."/>
    <s v="K.K."/>
    <n v="3"/>
    <n v="75"/>
    <n v="0"/>
    <n v="225"/>
    <m/>
    <n v="3"/>
    <m/>
    <n v="75"/>
    <n v="0"/>
    <n v="0"/>
    <n v="138500"/>
  </r>
  <r>
    <d v="2025-09-29T00:00:00"/>
    <x v="3"/>
    <s v="ORMANÖZÜ ORGANİK YABAN ELMASI SİRKESİ 500 ml"/>
    <m/>
    <x v="2"/>
    <n v="102"/>
    <s v="TK TARIM KREDİ PAZ A.Ş."/>
    <s v="K.K."/>
    <n v="4"/>
    <n v="79.900000000000006"/>
    <n v="0"/>
    <n v="319.60000000000002"/>
    <m/>
    <n v="4"/>
    <m/>
    <n v="79.900000000000006"/>
    <n v="0"/>
    <n v="0"/>
    <n v="138500"/>
  </r>
  <r>
    <d v="2025-09-29T00:00:00"/>
    <x v="1"/>
    <m/>
    <s v="TEMİZLİK GİDERLERİ"/>
    <x v="2"/>
    <s v="AE02025004359393"/>
    <s v="BİM A.Ş - TEMİZLİK MALZ"/>
    <s v="K.K."/>
    <n v="1"/>
    <n v="102"/>
    <n v="0"/>
    <n v="102"/>
    <m/>
    <n v="1"/>
    <m/>
    <n v="102"/>
    <n v="0"/>
    <n v="0"/>
    <n v="138500"/>
  </r>
  <r>
    <d v="2025-09-29T00:00:00"/>
    <x v="1"/>
    <m/>
    <s v="TEMİZLİK GİDERLERİ"/>
    <x v="2"/>
    <s v="AE02025004367607"/>
    <s v="BİM A.Ş - KAĞIT HAVLU - TUV. KAĞIDI"/>
    <s v="K.K."/>
    <n v="1"/>
    <n v="228"/>
    <n v="0"/>
    <n v="228"/>
    <m/>
    <n v="1"/>
    <m/>
    <n v="228"/>
    <n v="0"/>
    <n v="0"/>
    <n v="138500"/>
  </r>
  <r>
    <d v="2025-10-02T00:00:00"/>
    <x v="3"/>
    <s v="ÇAYKUR TİRYAKİ 1 KG"/>
    <m/>
    <x v="2"/>
    <s v="AE02025004413238"/>
    <s v="BİM A.Ş"/>
    <s v="K.K."/>
    <n v="5"/>
    <n v="199"/>
    <n v="0"/>
    <n v="995"/>
    <m/>
    <n v="5"/>
    <m/>
    <n v="199"/>
    <n v="0"/>
    <n v="0"/>
    <n v="138500"/>
  </r>
  <r>
    <d v="2025-10-02T00:00:00"/>
    <x v="3"/>
    <s v="ÇAYKUR TİRYAKİ 1 KG"/>
    <m/>
    <x v="2"/>
    <s v="AE02025004420874"/>
    <s v="BİM A.Ş"/>
    <s v="K.K."/>
    <n v="5"/>
    <n v="199"/>
    <n v="0"/>
    <n v="995"/>
    <m/>
    <n v="5"/>
    <m/>
    <n v="199"/>
    <n v="0"/>
    <n v="0"/>
    <n v="138500"/>
  </r>
  <r>
    <d v="2025-10-02T00:00:00"/>
    <x v="1"/>
    <m/>
    <s v="GİDER SAYILAN DEMİRBAŞ"/>
    <x v="2"/>
    <s v="AFA2025000001602"/>
    <s v="AFİLİ AMBALAJ TİC.LTD. - DÜKKAN TEMİZLİK ALETLERİ"/>
    <s v="K.K."/>
    <n v="1"/>
    <n v="1175"/>
    <n v="0"/>
    <n v="1175"/>
    <m/>
    <n v="1"/>
    <m/>
    <n v="1175"/>
    <n v="0"/>
    <n v="0"/>
    <n v="138500"/>
  </r>
  <r>
    <d v="2025-10-03T00:00:00"/>
    <x v="1"/>
    <m/>
    <s v="MUTFAK GİDERLERİ"/>
    <x v="2"/>
    <s v="AE02025004429542"/>
    <s v="BİM A.Ş. - SU 2 ADET"/>
    <s v="K.K."/>
    <n v="1"/>
    <n v="52"/>
    <n v="0"/>
    <n v="52"/>
    <m/>
    <n v="1"/>
    <m/>
    <n v="52"/>
    <n v="0"/>
    <n v="0"/>
    <n v="138500"/>
  </r>
  <r>
    <d v="2025-10-04T00:00:00"/>
    <x v="1"/>
    <m/>
    <s v="BİNA BAKIM ONARIM"/>
    <x v="2"/>
    <s v="OZD2025000000038"/>
    <s v="ADAN ÖZDEMİR İNŞAAT LTD.ŞTİ. - BOYA MALZEMELERİ"/>
    <s v="K.K."/>
    <n v="1"/>
    <n v="1000"/>
    <n v="0"/>
    <n v="1000"/>
    <m/>
    <n v="1"/>
    <m/>
    <n v="1000"/>
    <n v="0"/>
    <n v="0"/>
    <n v="138500"/>
  </r>
  <r>
    <d v="2025-10-07T00:00:00"/>
    <x v="1"/>
    <m/>
    <s v="TEMİZLİK GİDERLERİ"/>
    <x v="2"/>
    <s v="AE02025004500326"/>
    <s v="BİM A.Ş. - TEMİZLİK MALZ."/>
    <s v="K.K."/>
    <n v="1"/>
    <n v="131.5"/>
    <n v="0"/>
    <n v="131.5"/>
    <m/>
    <n v="1"/>
    <m/>
    <n v="131.5"/>
    <n v="0"/>
    <n v="0"/>
    <n v="138500"/>
  </r>
  <r>
    <d v="2025-10-09T00:00:00"/>
    <x v="3"/>
    <s v="YENİGÜN HARNUP PEKMEZİ 1.250 GR"/>
    <m/>
    <x v="2"/>
    <s v="AE02025004541835"/>
    <s v="BİM A.Ş."/>
    <s v="K.K."/>
    <n v="1"/>
    <n v="125"/>
    <n v="0"/>
    <n v="125"/>
    <m/>
    <n v="1"/>
    <m/>
    <n v="125"/>
    <n v="0"/>
    <n v="0"/>
    <n v="138500"/>
  </r>
  <r>
    <d v="2025-10-09T00:00:00"/>
    <x v="3"/>
    <s v="ZÜBER FINDIK EZMESİ 315 G"/>
    <m/>
    <x v="2"/>
    <s v="AE02025004541835"/>
    <s v="BİM A.Ş."/>
    <s v="K.K."/>
    <n v="3"/>
    <n v="175"/>
    <n v="0"/>
    <n v="525"/>
    <m/>
    <n v="3"/>
    <m/>
    <n v="175"/>
    <n v="0"/>
    <n v="0"/>
    <n v="138500"/>
  </r>
  <r>
    <d v="2025-10-10T00:00:00"/>
    <x v="1"/>
    <m/>
    <s v="GİDER SAYILAN DEMİRBAŞ"/>
    <x v="2"/>
    <s v="HA12025000009098"/>
    <s v="N11 - YILDIRIM ELEKTRİK - 2 ADET KAPI KİLİDİ"/>
    <s v="K.K."/>
    <n v="1"/>
    <n v="1061.5"/>
    <n v="0"/>
    <n v="1061.5"/>
    <m/>
    <n v="1"/>
    <m/>
    <n v="1061.5"/>
    <n v="0"/>
    <n v="0"/>
    <n v="138500"/>
  </r>
  <r>
    <d v="2025-10-10T00:00:00"/>
    <x v="2"/>
    <m/>
    <s v="DEMİRBAŞ"/>
    <x v="1"/>
    <m/>
    <s v="TABELACI İLK PEŞİNAT"/>
    <s v="NAKİT"/>
    <n v="1"/>
    <n v="8000"/>
    <n v="0"/>
    <n v="0"/>
    <m/>
    <n v="1"/>
    <m/>
    <n v="8000"/>
    <n v="0"/>
    <n v="8000"/>
    <n v="130500"/>
  </r>
  <r>
    <d v="2025-10-11T00:00:00"/>
    <x v="3"/>
    <s v="ARKO EL VÜCUT KREMİ 150 ml"/>
    <m/>
    <x v="2"/>
    <s v="AE02025004571779"/>
    <s v="BİM A.Ş."/>
    <s v="K.K."/>
    <n v="7"/>
    <n v="53.5"/>
    <n v="0"/>
    <n v="374.5"/>
    <m/>
    <n v="7"/>
    <m/>
    <n v="53.5"/>
    <n v="0"/>
    <n v="0"/>
    <n v="130500"/>
  </r>
  <r>
    <d v="2025-10-11T00:00:00"/>
    <x v="1"/>
    <m/>
    <s v="GİDER SAYILAN DEMİRBAŞ"/>
    <x v="2"/>
    <s v="AE02025004571779"/>
    <s v="BİM A.Ş. - ÇAY BARDAĞI"/>
    <s v="K.K."/>
    <n v="1"/>
    <n v="64"/>
    <n v="0"/>
    <n v="64"/>
    <m/>
    <n v="1"/>
    <m/>
    <n v="64"/>
    <n v="0"/>
    <n v="0"/>
    <n v="130500"/>
  </r>
  <r>
    <d v="2025-10-13T00:00:00"/>
    <x v="3"/>
    <s v="SEYİDOĞLU TAHİN 550 g"/>
    <m/>
    <x v="2"/>
    <n v="830073"/>
    <s v="A101 A.Ş."/>
    <s v="K.K."/>
    <n v="12"/>
    <n v="90"/>
    <n v="0"/>
    <n v="1080"/>
    <m/>
    <n v="12"/>
    <m/>
    <n v="90"/>
    <n v="0"/>
    <n v="0"/>
    <n v="130500"/>
  </r>
  <r>
    <d v="2025-10-13T00:00:00"/>
    <x v="3"/>
    <s v="SEYİDOĞLU PEKMEZ 700 g"/>
    <m/>
    <x v="2"/>
    <n v="830073"/>
    <s v="A101 A.Ş."/>
    <s v="K.K."/>
    <n v="12"/>
    <n v="95"/>
    <n v="0"/>
    <n v="1140"/>
    <m/>
    <n v="12"/>
    <m/>
    <n v="95"/>
    <n v="0"/>
    <n v="0"/>
    <n v="130500"/>
  </r>
  <r>
    <d v="2025-10-13T00:00:00"/>
    <x v="3"/>
    <s v="ETİ LİFALİF 950 GR YULAF EZMESİ"/>
    <m/>
    <x v="2"/>
    <n v="830073"/>
    <s v="A101 A.Ş."/>
    <s v="K.K."/>
    <n v="6"/>
    <n v="75"/>
    <n v="0"/>
    <n v="450"/>
    <m/>
    <n v="6"/>
    <m/>
    <n v="75"/>
    <n v="0"/>
    <n v="0"/>
    <n v="130500"/>
  </r>
  <r>
    <d v="2025-10-13T00:00:00"/>
    <x v="2"/>
    <m/>
    <s v="DEMİRBAŞ"/>
    <x v="2"/>
    <s v="TYF2025000123250"/>
    <s v="TRENDYOL - AYDIN ÇEVRE DANIŞMANLIK LTD. - TERAZİ"/>
    <s v="K.K."/>
    <n v="1"/>
    <n v="815"/>
    <n v="0"/>
    <n v="815"/>
    <m/>
    <n v="1"/>
    <m/>
    <n v="815"/>
    <n v="0"/>
    <n v="0"/>
    <n v="130500"/>
  </r>
  <r>
    <d v="2025-10-14T00:00:00"/>
    <x v="3"/>
    <s v="FİSKOBİRLİK FINDIK EZMESİ 300 GR"/>
    <m/>
    <x v="2"/>
    <n v="850234"/>
    <s v="A101 A.Ş."/>
    <s v="K.K."/>
    <n v="5"/>
    <n v="159"/>
    <n v="0"/>
    <n v="795"/>
    <m/>
    <n v="5"/>
    <m/>
    <n v="159"/>
    <n v="0"/>
    <n v="0"/>
    <n v="130500"/>
  </r>
  <r>
    <d v="2025-10-14T00:00:00"/>
    <x v="3"/>
    <s v="ZÜBER FINDIK EZMESİ 315 G"/>
    <m/>
    <x v="2"/>
    <n v="850234"/>
    <s v="A101 A.Ş."/>
    <s v="K.K."/>
    <n v="1"/>
    <n v="155"/>
    <n v="0"/>
    <n v="155"/>
    <m/>
    <n v="1"/>
    <m/>
    <n v="155"/>
    <n v="0"/>
    <n v="0"/>
    <n v="130500"/>
  </r>
  <r>
    <d v="2025-10-14T00:00:00"/>
    <x v="3"/>
    <s v="KAHVE DÜNYASI FİLTRE KAHVE 250 GR"/>
    <m/>
    <x v="2"/>
    <s v="IOA2025000377401"/>
    <s v="PAZARAMA - Altınkılıçlar Kahve A.Ş. - KAHVE DÜNYASI"/>
    <s v="K.K."/>
    <n v="4"/>
    <n v="146.25"/>
    <n v="0"/>
    <n v="585"/>
    <m/>
    <n v="4"/>
    <m/>
    <n v="146.25"/>
    <n v="0"/>
    <n v="0"/>
    <n v="130500"/>
  </r>
  <r>
    <d v="2025-10-14T00:00:00"/>
    <x v="1"/>
    <m/>
    <s v="GİDER SAYILAN DEMİRBAŞ"/>
    <x v="2"/>
    <s v="KAV2025000001470"/>
    <s v="TRENDYOL - MT OFİS KIRTASİYE - RAF ETİKETİ - 400 MİCRON PVC 38x100 100 ADET"/>
    <s v="K.K."/>
    <n v="1"/>
    <n v="429.98"/>
    <n v="0"/>
    <n v="429.98"/>
    <m/>
    <n v="1"/>
    <m/>
    <n v="429.98"/>
    <n v="0"/>
    <n v="0"/>
    <n v="130500"/>
  </r>
  <r>
    <d v="2025-10-14T00:00:00"/>
    <x v="2"/>
    <m/>
    <s v="DEMİRBAŞ"/>
    <x v="2"/>
    <s v="YK02025000001397"/>
    <s v="HEPSİBURADA - YAZARKASAMPOS ELEKTRONİK LTD. - YAZARKASA POS CİHAZI"/>
    <s v="K.K."/>
    <n v="1"/>
    <n v="6399"/>
    <n v="0"/>
    <n v="6399"/>
    <m/>
    <n v="1"/>
    <m/>
    <n v="6399"/>
    <n v="0"/>
    <n v="0"/>
    <n v="130500"/>
  </r>
  <r>
    <d v="2025-10-15T00:00:00"/>
    <x v="2"/>
    <m/>
    <s v="DEMİRBAŞ"/>
    <x v="1"/>
    <m/>
    <s v="TABELACI KALAN"/>
    <s v="NAKİT"/>
    <n v="1"/>
    <n v="8000"/>
    <n v="0"/>
    <n v="0"/>
    <m/>
    <n v="1"/>
    <m/>
    <n v="8000"/>
    <n v="0"/>
    <n v="8000"/>
    <n v="122500"/>
  </r>
  <r>
    <d v="2025-10-16T00:00:00"/>
    <x v="3"/>
    <s v="CHİA TOHUMU DÖKME"/>
    <m/>
    <x v="2"/>
    <s v="BHR2025000009930"/>
    <s v="GE MA GIDA TİCARET LTD - BAHARATEVİM"/>
    <s v="K.K."/>
    <n v="10"/>
    <n v="160"/>
    <n v="0"/>
    <n v="1600"/>
    <m/>
    <n v="10"/>
    <m/>
    <n v="160"/>
    <n v="0"/>
    <n v="0"/>
    <n v="122500"/>
  </r>
  <r>
    <d v="2025-10-16T00:00:00"/>
    <x v="3"/>
    <s v="KİNOA DÖKME"/>
    <m/>
    <x v="2"/>
    <s v="BHR2025000009930"/>
    <s v="GE MA GIDA TİCARET LTD - BAHARATEVİM"/>
    <s v="K.K."/>
    <n v="5"/>
    <n v="133"/>
    <n v="0"/>
    <n v="665"/>
    <m/>
    <n v="5"/>
    <m/>
    <n v="133"/>
    <n v="0"/>
    <n v="0"/>
    <n v="122500"/>
  </r>
  <r>
    <d v="2025-10-16T00:00:00"/>
    <x v="3"/>
    <s v="ÇEBELİZADE NİOLİ YAĞI 20 ML"/>
    <m/>
    <x v="2"/>
    <s v="BHR2025000009930"/>
    <s v="GE MA GIDA TİCARET LTD - BAHARATEVİM"/>
    <s v="K.K."/>
    <n v="6"/>
    <n v="80"/>
    <n v="0"/>
    <n v="480"/>
    <m/>
    <n v="6"/>
    <m/>
    <n v="80"/>
    <n v="0"/>
    <n v="0"/>
    <n v="122500"/>
  </r>
  <r>
    <d v="2025-10-16T00:00:00"/>
    <x v="4"/>
    <s v="ÇAYKUR TİRYAKİ 1 KG"/>
    <m/>
    <x v="1"/>
    <s v="ST00000000001"/>
    <s v="SATIŞ"/>
    <s v="NAKİT"/>
    <n v="1"/>
    <n v="250"/>
    <n v="0"/>
    <n v="0"/>
    <n v="1"/>
    <m/>
    <n v="250"/>
    <m/>
    <n v="250"/>
    <n v="0"/>
    <n v="122750"/>
  </r>
  <r>
    <d v="2025-10-16T00:00:00"/>
    <x v="4"/>
    <s v="NATTE LEZZET SOSU 500 GR (NAR EKŞİSİ) "/>
    <m/>
    <x v="1"/>
    <s v="ST00000000001"/>
    <s v="SATIŞ"/>
    <s v="NAKİT"/>
    <n v="1"/>
    <n v="50"/>
    <n v="0"/>
    <n v="0"/>
    <n v="1"/>
    <m/>
    <n v="50"/>
    <m/>
    <n v="50"/>
    <n v="0"/>
    <n v="122800"/>
  </r>
  <r>
    <d v="2025-10-16T00:00:00"/>
    <x v="4"/>
    <s v="SEYİDOĞLU TAHİN 550 g"/>
    <m/>
    <x v="1"/>
    <s v="ST00000000001"/>
    <s v="SATIŞ"/>
    <s v="NAKİT"/>
    <n v="1"/>
    <n v="160"/>
    <n v="0"/>
    <n v="0"/>
    <n v="1"/>
    <m/>
    <n v="160"/>
    <m/>
    <n v="160"/>
    <n v="0"/>
    <n v="122960"/>
  </r>
  <r>
    <d v="2025-10-16T00:00:00"/>
    <x v="4"/>
    <s v="SEYİDOĞLU PEKMEZ 700 g"/>
    <m/>
    <x v="1"/>
    <s v="ST00000000001"/>
    <s v="SATIŞ"/>
    <s v="NAKİT"/>
    <n v="1"/>
    <n v="170"/>
    <n v="0"/>
    <n v="0"/>
    <n v="1"/>
    <m/>
    <n v="170"/>
    <m/>
    <n v="170"/>
    <n v="0"/>
    <n v="123130"/>
  </r>
  <r>
    <d v="2025-10-16T00:00:00"/>
    <x v="4"/>
    <s v="FİSKOBİRLİK FINDIK EZMESİ 300 GR"/>
    <m/>
    <x v="1"/>
    <s v="ST00000000001"/>
    <s v="SATIŞ"/>
    <s v="NAKİT"/>
    <n v="1"/>
    <n v="220"/>
    <n v="0"/>
    <n v="0"/>
    <n v="1"/>
    <m/>
    <n v="220"/>
    <m/>
    <n v="220"/>
    <n v="0"/>
    <n v="123350"/>
  </r>
  <r>
    <d v="2025-10-16T00:00:00"/>
    <x v="4"/>
    <s v="DOLMALIK KURU PATLICAN"/>
    <m/>
    <x v="1"/>
    <s v="ST00000000001"/>
    <s v="SATIŞ"/>
    <s v="NAKİT"/>
    <n v="1"/>
    <n v="230"/>
    <n v="0"/>
    <n v="0"/>
    <n v="1"/>
    <m/>
    <n v="230"/>
    <m/>
    <n v="230"/>
    <n v="0"/>
    <n v="123580"/>
  </r>
  <r>
    <d v="2025-10-16T00:00:00"/>
    <x v="4"/>
    <s v="DOLMALIK KURU ACI BİBER"/>
    <m/>
    <x v="1"/>
    <s v="ST00000000001"/>
    <s v="SATIŞ"/>
    <s v="NAKİT"/>
    <n v="1"/>
    <n v="200"/>
    <n v="0"/>
    <n v="0"/>
    <n v="1"/>
    <m/>
    <n v="200"/>
    <m/>
    <n v="200"/>
    <n v="0"/>
    <n v="123780"/>
  </r>
  <r>
    <d v="2025-10-16T00:00:00"/>
    <x v="4"/>
    <s v="DOLMALIK KURU TATLI KIRMIZI BİBER"/>
    <m/>
    <x v="1"/>
    <s v="ST00000000001"/>
    <s v="SATIŞ"/>
    <s v="NAKİT"/>
    <n v="1"/>
    <n v="200"/>
    <n v="0"/>
    <n v="0"/>
    <n v="1"/>
    <m/>
    <n v="200"/>
    <m/>
    <n v="200"/>
    <n v="0"/>
    <n v="123980"/>
  </r>
  <r>
    <d v="2025-10-16T00:00:00"/>
    <x v="4"/>
    <s v="DOLMALIK KURU KABAK"/>
    <m/>
    <x v="1"/>
    <s v="ST00000000001"/>
    <s v="SATIŞ"/>
    <s v="NAKİT"/>
    <n v="1"/>
    <n v="260"/>
    <n v="0"/>
    <n v="0"/>
    <n v="1"/>
    <m/>
    <n v="260"/>
    <m/>
    <n v="260"/>
    <n v="0"/>
    <n v="124240"/>
  </r>
  <r>
    <d v="2025-10-16T00:00:00"/>
    <x v="1"/>
    <m/>
    <s v="İSKONTO GİDERLERİ"/>
    <x v="1"/>
    <s v="ST00000000001"/>
    <s v="SATIŞ"/>
    <s v="NAKİT"/>
    <n v="1"/>
    <n v="34"/>
    <n v="0"/>
    <n v="0"/>
    <m/>
    <n v="1"/>
    <m/>
    <n v="34"/>
    <n v="0"/>
    <n v="34"/>
    <n v="124206"/>
  </r>
  <r>
    <d v="2025-10-16T00:00:00"/>
    <x v="4"/>
    <s v="ZENCEFİL TOZ"/>
    <m/>
    <x v="1"/>
    <s v="ST00000000002"/>
    <s v="SATIŞ "/>
    <s v="NAKİT"/>
    <n v="0.35"/>
    <n v="260"/>
    <n v="0"/>
    <n v="0"/>
    <n v="0.35"/>
    <m/>
    <n v="260"/>
    <m/>
    <n v="91"/>
    <n v="0"/>
    <n v="124297"/>
  </r>
  <r>
    <d v="2025-10-16T00:00:00"/>
    <x v="4"/>
    <s v="ZERDEÇAL TOZ"/>
    <m/>
    <x v="1"/>
    <s v="ST00000000002"/>
    <s v="SATIŞ"/>
    <s v="NAKİT"/>
    <n v="0.35"/>
    <n v="230"/>
    <n v="0"/>
    <n v="0"/>
    <n v="0.35"/>
    <m/>
    <n v="230"/>
    <m/>
    <n v="80.5"/>
    <n v="0"/>
    <n v="124377.5"/>
  </r>
  <r>
    <d v="2025-10-16T00:00:00"/>
    <x v="3"/>
    <s v="KARABİBER ÇEKİLMİŞ"/>
    <m/>
    <x v="3"/>
    <s v="YLC2025000000101"/>
    <s v="YALÇINTAT BAHARAT GIDA SAN"/>
    <s v="CARİ"/>
    <n v="25"/>
    <n v="320"/>
    <n v="0"/>
    <n v="8000"/>
    <m/>
    <n v="25"/>
    <m/>
    <n v="320"/>
    <n v="0"/>
    <n v="0"/>
    <n v="124377.5"/>
  </r>
  <r>
    <d v="2025-10-16T00:00:00"/>
    <x v="3"/>
    <s v="KİMYON ÇEKİLMİŞ"/>
    <m/>
    <x v="3"/>
    <s v="YLC2025000000101"/>
    <s v="YALÇINTAT BAHARAT GIDA SAN"/>
    <s v="CARİ"/>
    <n v="25"/>
    <n v="170"/>
    <n v="0"/>
    <n v="4250"/>
    <m/>
    <n v="25"/>
    <m/>
    <n v="170"/>
    <n v="0"/>
    <n v="0"/>
    <n v="124377.5"/>
  </r>
  <r>
    <d v="2025-10-16T00:00:00"/>
    <x v="3"/>
    <s v="KÖFTE BAHARATI (YEDİTÜRLÜ)"/>
    <m/>
    <x v="3"/>
    <s v="YLC2025000000101"/>
    <s v="YALÇINTAT BAHARAT GIDA SAN"/>
    <s v="CARİ"/>
    <n v="10"/>
    <n v="180"/>
    <n v="0"/>
    <n v="1800"/>
    <m/>
    <n v="10"/>
    <m/>
    <n v="180"/>
    <n v="0"/>
    <n v="0"/>
    <n v="124377.5"/>
  </r>
  <r>
    <d v="2025-10-16T00:00:00"/>
    <x v="3"/>
    <s v="NANE İRİ"/>
    <m/>
    <x v="3"/>
    <s v="YLC2025000000101"/>
    <s v="YALÇINTAT BAHARAT GIDA SAN"/>
    <s v="CARİ"/>
    <n v="25"/>
    <n v="125"/>
    <n v="0"/>
    <n v="3125"/>
    <m/>
    <n v="25"/>
    <m/>
    <n v="125"/>
    <n v="0"/>
    <n v="0"/>
    <n v="124377.5"/>
  </r>
  <r>
    <d v="2025-10-16T00:00:00"/>
    <x v="3"/>
    <s v="SUMAK"/>
    <m/>
    <x v="3"/>
    <s v="YLC2025000000101"/>
    <s v="YALÇINTAT BAHARAT GIDA SAN"/>
    <s v="CARİ"/>
    <n v="25"/>
    <n v="200"/>
    <n v="0"/>
    <n v="5000"/>
    <m/>
    <n v="25"/>
    <m/>
    <n v="200"/>
    <n v="0"/>
    <n v="0"/>
    <n v="124377.5"/>
  </r>
  <r>
    <d v="2025-10-16T00:00:00"/>
    <x v="3"/>
    <s v="KEKİK LÜX"/>
    <m/>
    <x v="3"/>
    <s v="YLC2025000000101"/>
    <s v="YALÇINTAT BAHARAT GIDA SAN"/>
    <s v="CARİ"/>
    <n v="10"/>
    <n v="420"/>
    <n v="0"/>
    <n v="4200"/>
    <m/>
    <n v="10"/>
    <m/>
    <n v="420"/>
    <n v="0"/>
    <n v="0"/>
    <n v="124377.5"/>
  </r>
  <r>
    <d v="2025-10-16T00:00:00"/>
    <x v="3"/>
    <s v="İPEK BİBER"/>
    <m/>
    <x v="3"/>
    <s v="YLC2025000000101"/>
    <s v="YALÇINTAT BAHARAT GIDA SAN"/>
    <s v="CARİ"/>
    <n v="25"/>
    <n v="250"/>
    <n v="0"/>
    <n v="6250"/>
    <m/>
    <n v="25"/>
    <m/>
    <n v="250"/>
    <n v="0"/>
    <n v="0"/>
    <n v="124377.5"/>
  </r>
  <r>
    <d v="2025-10-16T00:00:00"/>
    <x v="3"/>
    <s v="İSOT"/>
    <m/>
    <x v="3"/>
    <s v="YLC2025000000101"/>
    <s v="YALÇINTAT BAHARAT GIDA SAN"/>
    <s v="CARİ"/>
    <n v="25"/>
    <n v="180"/>
    <n v="0"/>
    <n v="4500"/>
    <m/>
    <n v="25"/>
    <m/>
    <n v="180"/>
    <n v="0"/>
    <n v="0"/>
    <n v="124377.5"/>
  </r>
  <r>
    <d v="2025-10-16T00:00:00"/>
    <x v="3"/>
    <s v="TOZ BİBER - ACI"/>
    <m/>
    <x v="3"/>
    <s v="YLC2025000000101"/>
    <s v="YALÇINTAT BAHARAT GIDA SAN"/>
    <s v="CARİ"/>
    <n v="25"/>
    <n v="160"/>
    <n v="0"/>
    <n v="4000"/>
    <m/>
    <n v="25"/>
    <m/>
    <n v="160"/>
    <n v="0"/>
    <n v="0"/>
    <n v="124377.5"/>
  </r>
  <r>
    <d v="2025-10-16T00:00:00"/>
    <x v="3"/>
    <s v="EVLİK BİBER"/>
    <m/>
    <x v="3"/>
    <s v="YLC2025000000101"/>
    <s v="YALÇINTAT BAHARAT GIDA SAN"/>
    <s v="CARİ"/>
    <n v="25"/>
    <n v="180"/>
    <n v="0"/>
    <n v="4500"/>
    <m/>
    <n v="25"/>
    <m/>
    <n v="180"/>
    <n v="0"/>
    <n v="0"/>
    <n v="124377.5"/>
  </r>
  <r>
    <d v="2025-10-16T00:00:00"/>
    <x v="3"/>
    <s v="HİNDİSTAN CEVİZİ ( İRİ )"/>
    <m/>
    <x v="3"/>
    <s v="YLC2025000000101"/>
    <s v="YALÇINTAT BAHARAT GIDA SAN"/>
    <s v="CARİ"/>
    <n v="25"/>
    <n v="150"/>
    <n v="0"/>
    <n v="3750"/>
    <m/>
    <n v="25"/>
    <m/>
    <n v="150"/>
    <n v="0"/>
    <n v="0"/>
    <n v="124377.5"/>
  </r>
  <r>
    <d v="2025-10-16T00:00:00"/>
    <x v="3"/>
    <s v="LİMONTUZU TOZ"/>
    <m/>
    <x v="3"/>
    <s v="YLC2025000000101"/>
    <s v="YALÇINTAT BAHARAT GIDA SAN"/>
    <s v="CARİ"/>
    <n v="25"/>
    <n v="70"/>
    <n v="0"/>
    <n v="1750"/>
    <m/>
    <n v="25"/>
    <m/>
    <n v="70"/>
    <n v="0"/>
    <n v="0"/>
    <n v="124377.5"/>
  </r>
  <r>
    <d v="2025-10-16T00:00:00"/>
    <x v="3"/>
    <s v="LİMONTUZU PARCA"/>
    <m/>
    <x v="3"/>
    <s v="YLC2025000000101"/>
    <s v="YALÇINTAT BAHARAT GIDA SAN"/>
    <s v="CARİ"/>
    <n v="25"/>
    <n v="80"/>
    <n v="0"/>
    <n v="2000"/>
    <m/>
    <n v="25"/>
    <m/>
    <n v="80"/>
    <n v="0"/>
    <n v="0"/>
    <n v="124377.5"/>
  </r>
  <r>
    <d v="2025-10-16T00:00:00"/>
    <x v="3"/>
    <s v="SÜTTOZU (KAHVE KREMASI)"/>
    <m/>
    <x v="3"/>
    <s v="YLC2025000000101"/>
    <s v="YALÇINTAT BAHARAT GIDA SAN"/>
    <s v="CARİ"/>
    <n v="25"/>
    <n v="115"/>
    <n v="0"/>
    <n v="2875"/>
    <m/>
    <n v="25"/>
    <m/>
    <n v="115"/>
    <n v="0"/>
    <n v="0"/>
    <n v="124377.5"/>
  </r>
  <r>
    <d v="2025-10-16T00:00:00"/>
    <x v="3"/>
    <s v="TÜRK KAHVESİ"/>
    <m/>
    <x v="3"/>
    <s v="YLC2025000000101"/>
    <s v="YALÇINTAT BAHARAT GIDA SAN"/>
    <s v="CARİ"/>
    <n v="5"/>
    <n v="440"/>
    <n v="0"/>
    <n v="2200"/>
    <m/>
    <n v="5"/>
    <m/>
    <n v="440"/>
    <n v="0"/>
    <n v="0"/>
    <n v="124377.5"/>
  </r>
  <r>
    <d v="2025-10-16T00:00:00"/>
    <x v="3"/>
    <s v="ZENCEFİL TANE"/>
    <m/>
    <x v="3"/>
    <s v="YLC2025000000101"/>
    <s v="YALÇINTAT BAHARAT GIDA SAN"/>
    <s v="CARİ"/>
    <n v="5"/>
    <n v="190"/>
    <n v="0"/>
    <n v="950"/>
    <m/>
    <n v="5"/>
    <m/>
    <n v="190"/>
    <n v="0"/>
    <n v="0"/>
    <n v="124377.5"/>
  </r>
  <r>
    <d v="2025-10-16T00:00:00"/>
    <x v="3"/>
    <s v="ZENCEFİL TOZ"/>
    <m/>
    <x v="3"/>
    <s v="YLC2025000000101"/>
    <s v="YALÇINTAT BAHARAT GIDA SAN"/>
    <s v="CARİ"/>
    <n v="5"/>
    <n v="180"/>
    <n v="0"/>
    <n v="900"/>
    <m/>
    <n v="5"/>
    <m/>
    <n v="180"/>
    <n v="0"/>
    <n v="0"/>
    <n v="124377.5"/>
  </r>
  <r>
    <d v="2025-10-16T00:00:00"/>
    <x v="3"/>
    <s v="ZERDEÇAL TOZ"/>
    <m/>
    <x v="3"/>
    <s v="YLC2025000000101"/>
    <s v="YALÇINTAT BAHARAT GIDA SAN"/>
    <s v="CARİ"/>
    <n v="10"/>
    <n v="125"/>
    <n v="0"/>
    <n v="1250"/>
    <m/>
    <n v="10"/>
    <m/>
    <n v="125"/>
    <n v="0"/>
    <n v="0"/>
    <n v="124377.5"/>
  </r>
  <r>
    <d v="2025-10-16T00:00:00"/>
    <x v="3"/>
    <s v="KORİ (TAVUK BAHARATI)"/>
    <m/>
    <x v="3"/>
    <s v="YLC2025000000101"/>
    <s v="YALÇINTAT BAHARAT GIDA SAN"/>
    <s v="CARİ"/>
    <n v="10"/>
    <n v="70"/>
    <n v="0"/>
    <n v="700"/>
    <m/>
    <n v="10"/>
    <m/>
    <n v="70"/>
    <n v="0"/>
    <n v="0"/>
    <n v="124377.5"/>
  </r>
  <r>
    <d v="2025-10-16T00:00:00"/>
    <x v="3"/>
    <s v="NATTE LEZZET SOSU 980 GR"/>
    <m/>
    <x v="3"/>
    <s v="YLC2025000000101"/>
    <s v="YALÇINTAT BAHARAT GIDA SAN"/>
    <s v="CARİ"/>
    <n v="12"/>
    <n v="42"/>
    <n v="0"/>
    <n v="504"/>
    <m/>
    <n v="12"/>
    <m/>
    <n v="42"/>
    <n v="0"/>
    <n v="0"/>
    <n v="124377.5"/>
  </r>
  <r>
    <d v="2025-10-16T00:00:00"/>
    <x v="3"/>
    <s v="NATTE LEZZET SOSU 500 GR (NAR EKŞİSİ) "/>
    <m/>
    <x v="3"/>
    <s v="YLC2025000000101"/>
    <s v="YALÇINTAT BAHARAT GIDA SAN"/>
    <s v="CARİ"/>
    <n v="24"/>
    <n v="21"/>
    <n v="0"/>
    <n v="504"/>
    <m/>
    <n v="24"/>
    <m/>
    <n v="21"/>
    <n v="0"/>
    <n v="0"/>
    <n v="124377.5"/>
  </r>
  <r>
    <d v="2025-10-16T00:00:00"/>
    <x v="3"/>
    <s v="LİMONSOSU 1 KG"/>
    <m/>
    <x v="3"/>
    <s v="YLC2025000000101"/>
    <s v="YALÇINTAT BAHARAT GIDA SAN"/>
    <s v="CARİ"/>
    <n v="12"/>
    <n v="40"/>
    <n v="0"/>
    <n v="480"/>
    <m/>
    <n v="12"/>
    <m/>
    <n v="40"/>
    <n v="0"/>
    <n v="0"/>
    <n v="124377.5"/>
  </r>
  <r>
    <d v="2025-10-16T00:00:00"/>
    <x v="3"/>
    <s v="KAFFKA MENENGİÇ KAHVESİ 150 GR"/>
    <m/>
    <x v="3"/>
    <s v="YLC2025000000101"/>
    <s v="YALÇINTAT BAHARAT GIDA SAN"/>
    <s v="CARİ"/>
    <n v="24"/>
    <n v="35"/>
    <n v="0"/>
    <n v="840"/>
    <m/>
    <n v="24"/>
    <m/>
    <n v="35"/>
    <n v="0"/>
    <n v="0"/>
    <n v="124377.5"/>
  </r>
  <r>
    <d v="2025-10-16T00:00:00"/>
    <x v="3"/>
    <s v="KAFFKA OSMANLI KAHVESİ 150 GR"/>
    <m/>
    <x v="3"/>
    <s v="YLC2025000000101"/>
    <s v="YALÇINTAT BAHARAT GIDA SAN"/>
    <s v="CARİ"/>
    <n v="24"/>
    <n v="35"/>
    <n v="0"/>
    <n v="840"/>
    <m/>
    <n v="24"/>
    <m/>
    <n v="35"/>
    <n v="0"/>
    <n v="0"/>
    <n v="124377.5"/>
  </r>
  <r>
    <d v="2025-10-16T00:00:00"/>
    <x v="3"/>
    <s v="KAFFKA DİBEK KAHVESİ 150 GR"/>
    <m/>
    <x v="3"/>
    <s v="YLC2025000000101"/>
    <s v="YALÇINTAT BAHARAT GIDA SAN"/>
    <s v="CARİ"/>
    <n v="24"/>
    <n v="35"/>
    <n v="0"/>
    <n v="840"/>
    <m/>
    <n v="24"/>
    <m/>
    <n v="35"/>
    <n v="0"/>
    <n v="0"/>
    <n v="124377.5"/>
  </r>
  <r>
    <d v="2025-10-16T00:00:00"/>
    <x v="3"/>
    <s v="HASPİR"/>
    <m/>
    <x v="3"/>
    <s v="YLC2025000000101"/>
    <s v="YALÇINTAT BAHARAT GIDA SAN"/>
    <s v="CARİ"/>
    <n v="2"/>
    <n v="550"/>
    <n v="0"/>
    <n v="1100"/>
    <m/>
    <n v="2"/>
    <m/>
    <n v="550"/>
    <n v="0"/>
    <n v="0"/>
    <n v="124377.5"/>
  </r>
  <r>
    <d v="2025-10-16T00:00:00"/>
    <x v="3"/>
    <s v="ZAHTER"/>
    <m/>
    <x v="3"/>
    <s v="YLC2025000000101"/>
    <s v="YALÇINTAT BAHARAT GIDA SAN"/>
    <s v="CARİ"/>
    <n v="5"/>
    <n v="200"/>
    <n v="0"/>
    <n v="1000"/>
    <m/>
    <n v="5"/>
    <m/>
    <n v="200"/>
    <n v="0"/>
    <n v="0"/>
    <n v="124377.5"/>
  </r>
  <r>
    <d v="2025-10-16T00:00:00"/>
    <x v="3"/>
    <s v="MOR REYHAN"/>
    <m/>
    <x v="3"/>
    <s v="YLC2025000000101"/>
    <s v="YALÇINTAT BAHARAT GIDA SAN"/>
    <s v="CARİ"/>
    <n v="2"/>
    <n v="500"/>
    <n v="0"/>
    <n v="1000"/>
    <m/>
    <n v="2"/>
    <m/>
    <n v="500"/>
    <n v="0"/>
    <n v="0"/>
    <n v="124377.5"/>
  </r>
  <r>
    <d v="2025-10-16T00:00:00"/>
    <x v="3"/>
    <s v="HİBİSKUS"/>
    <m/>
    <x v="3"/>
    <s v="YLC2025000000101"/>
    <s v="YALÇINTAT BAHARAT GIDA SAN"/>
    <s v="CARİ"/>
    <n v="5"/>
    <n v="125"/>
    <n v="0"/>
    <n v="625"/>
    <m/>
    <n v="5"/>
    <m/>
    <n v="125"/>
    <n v="0"/>
    <n v="0"/>
    <n v="124377.5"/>
  </r>
  <r>
    <d v="2025-10-16T00:00:00"/>
    <x v="3"/>
    <s v="ÇUBUK TARÇIN"/>
    <m/>
    <x v="3"/>
    <s v="YLC2025000000101"/>
    <s v="YALÇINTAT BAHARAT GIDA SAN"/>
    <s v="CARİ"/>
    <n v="10"/>
    <n v="220"/>
    <n v="0"/>
    <n v="2200"/>
    <m/>
    <n v="10"/>
    <m/>
    <n v="220"/>
    <n v="0"/>
    <n v="0"/>
    <n v="124377.5"/>
  </r>
  <r>
    <d v="2025-10-16T00:00:00"/>
    <x v="3"/>
    <s v="TOZ TARÇIN"/>
    <m/>
    <x v="3"/>
    <s v="YLC2025000000101"/>
    <s v="YALÇINTAT BAHARAT GIDA SAN"/>
    <s v="CARİ"/>
    <n v="10"/>
    <n v="125"/>
    <n v="0"/>
    <n v="1250"/>
    <m/>
    <n v="10"/>
    <m/>
    <n v="125"/>
    <n v="0"/>
    <n v="0"/>
    <n v="124377.5"/>
  </r>
  <r>
    <d v="2025-10-16T00:00:00"/>
    <x v="3"/>
    <s v="SUSAM"/>
    <m/>
    <x v="3"/>
    <s v="YLC2025000000101"/>
    <s v="YALÇINTAT BAHARAT GIDA SAN"/>
    <s v="CARİ"/>
    <n v="25"/>
    <n v="80"/>
    <n v="0"/>
    <n v="2000"/>
    <m/>
    <n v="25"/>
    <m/>
    <n v="80"/>
    <n v="0"/>
    <n v="0"/>
    <n v="124377.5"/>
  </r>
  <r>
    <d v="2025-10-16T00:00:00"/>
    <x v="3"/>
    <s v="SUSAM KIRMIZI"/>
    <m/>
    <x v="3"/>
    <s v="YLC2025000000101"/>
    <s v="YALÇINTAT BAHARAT GIDA SAN"/>
    <s v="CARİ"/>
    <n v="10"/>
    <n v="70"/>
    <n v="0"/>
    <n v="700"/>
    <m/>
    <n v="10"/>
    <m/>
    <n v="70"/>
    <n v="0"/>
    <n v="0"/>
    <n v="124377.5"/>
  </r>
  <r>
    <d v="2025-10-16T00:00:00"/>
    <x v="3"/>
    <s v="ÇÖREKOTU"/>
    <m/>
    <x v="3"/>
    <s v="YLC2025000000101"/>
    <s v="YALÇINTAT BAHARAT GIDA SAN"/>
    <s v="CARİ"/>
    <n v="25"/>
    <n v="150"/>
    <n v="0"/>
    <n v="3750"/>
    <m/>
    <n v="25"/>
    <m/>
    <n v="150"/>
    <n v="0"/>
    <n v="0"/>
    <n v="124377.5"/>
  </r>
  <r>
    <d v="2025-10-16T00:00:00"/>
    <x v="3"/>
    <s v="SALÇA ACI (EV YAPIMI)"/>
    <m/>
    <x v="3"/>
    <s v="YLC2025000000101"/>
    <s v="YALÇINTAT BAHARAT GIDA SAN"/>
    <s v="CARİ"/>
    <n v="38.700000000000003"/>
    <n v="98.191199999999995"/>
    <n v="0"/>
    <n v="3799.99944"/>
    <m/>
    <n v="40"/>
    <m/>
    <n v="95"/>
    <n v="0"/>
    <n v="0"/>
    <n v="124377.5"/>
  </r>
  <r>
    <d v="2025-10-16T00:00:00"/>
    <x v="3"/>
    <s v="SALÇA TATLI (EV YAPIMI)"/>
    <m/>
    <x v="3"/>
    <s v="YLC2025000000101"/>
    <s v="YALÇINTAT BAHARAT GIDA SAN"/>
    <s v="CARİ"/>
    <n v="38.700000000000003"/>
    <n v="98.191199999999995"/>
    <n v="0"/>
    <n v="3799.99944"/>
    <m/>
    <n v="40"/>
    <m/>
    <n v="95"/>
    <n v="0"/>
    <n v="0"/>
    <n v="124377.5"/>
  </r>
  <r>
    <d v="2025-10-16T00:00:00"/>
    <x v="3"/>
    <s v="DOMATES SALÇASI"/>
    <m/>
    <x v="3"/>
    <s v="YLC2025000000101"/>
    <s v="YALÇINTAT BAHARAT GIDA SAN"/>
    <s v="CARİ"/>
    <n v="38.700000000000003"/>
    <n v="67.183400000000006"/>
    <n v="0"/>
    <n v="2599.9975800000002"/>
    <m/>
    <n v="40"/>
    <m/>
    <n v="65"/>
    <n v="0"/>
    <n v="0"/>
    <n v="124377.5"/>
  </r>
  <r>
    <d v="2025-10-16T00:00:00"/>
    <x v="3"/>
    <s v="DOLMALIK KURU PATLICAN"/>
    <m/>
    <x v="3"/>
    <s v="YLC2025000000101"/>
    <s v="YALÇINTAT BAHARAT GIDA SAN"/>
    <s v="CARİ"/>
    <n v="100"/>
    <n v="150"/>
    <n v="0"/>
    <n v="15000"/>
    <m/>
    <n v="100"/>
    <m/>
    <n v="150"/>
    <n v="0"/>
    <n v="0"/>
    <n v="124377.5"/>
  </r>
  <r>
    <d v="2025-10-16T00:00:00"/>
    <x v="3"/>
    <s v="DOLMALIK SARI BİBER"/>
    <m/>
    <x v="3"/>
    <s v="YLC2025000000101"/>
    <s v="YALÇINTAT BAHARAT GIDA SAN"/>
    <s v="CARİ"/>
    <n v="60"/>
    <n v="130"/>
    <n v="0"/>
    <n v="7800"/>
    <m/>
    <n v="60"/>
    <m/>
    <n v="130"/>
    <n v="0"/>
    <n v="0"/>
    <n v="124377.5"/>
  </r>
  <r>
    <d v="2025-10-16T00:00:00"/>
    <x v="3"/>
    <s v="DOLMALIK KURU KABAK"/>
    <m/>
    <x v="3"/>
    <s v="YLC2025000000101"/>
    <s v="YALÇINTAT BAHARAT GIDA SAN"/>
    <s v="CARİ"/>
    <n v="40"/>
    <n v="175"/>
    <n v="0"/>
    <n v="7000"/>
    <m/>
    <n v="40"/>
    <m/>
    <n v="175"/>
    <n v="0"/>
    <n v="0"/>
    <n v="124377.5"/>
  </r>
  <r>
    <d v="2025-10-16T00:00:00"/>
    <x v="3"/>
    <s v="HASEVLİK"/>
    <m/>
    <x v="3"/>
    <s v="YLC2025000000101"/>
    <s v="YALÇINTAT BAHARAT GIDA SAN"/>
    <s v="CARİ"/>
    <n v="25"/>
    <n v="210"/>
    <n v="0"/>
    <n v="5250"/>
    <m/>
    <n v="25"/>
    <m/>
    <n v="210"/>
    <n v="0"/>
    <n v="0"/>
    <n v="124377.5"/>
  </r>
  <r>
    <d v="2025-10-16T00:00:00"/>
    <x v="3"/>
    <s v="ÇAM FISTIĞI (DOLMALIK YER FISTIĞI)"/>
    <m/>
    <x v="3"/>
    <s v="YLC2025000000101"/>
    <s v="YALÇINTAT BAHARAT GIDA SAN"/>
    <s v="CARİ"/>
    <n v="10"/>
    <n v="125"/>
    <n v="0"/>
    <n v="1250"/>
    <m/>
    <n v="10"/>
    <m/>
    <n v="125"/>
    <n v="0"/>
    <n v="0"/>
    <n v="124377.5"/>
  </r>
  <r>
    <d v="2025-10-16T00:00:00"/>
    <x v="3"/>
    <s v="YENİBAHAR TOZ"/>
    <m/>
    <x v="3"/>
    <s v="YLC2025000000101"/>
    <s v="YALÇINTAT BAHARAT GIDA SAN"/>
    <s v="CARİ"/>
    <n v="5"/>
    <n v="425"/>
    <n v="0"/>
    <n v="2125"/>
    <m/>
    <n v="5"/>
    <m/>
    <n v="425"/>
    <n v="0"/>
    <n v="0"/>
    <n v="124377.5"/>
  </r>
  <r>
    <d v="2025-10-16T00:00:00"/>
    <x v="3"/>
    <s v="DOLMALIK KURU ACI BİBER"/>
    <m/>
    <x v="3"/>
    <s v="YLC2025000000101"/>
    <s v="YALÇINTAT BAHARAT GIDA SAN"/>
    <s v="CARİ"/>
    <n v="40"/>
    <n v="125"/>
    <n v="0"/>
    <n v="5000"/>
    <m/>
    <n v="40"/>
    <m/>
    <n v="125"/>
    <n v="0"/>
    <n v="0"/>
    <n v="124377.5"/>
  </r>
  <r>
    <d v="2025-10-16T00:00:00"/>
    <x v="3"/>
    <s v="DOLMALIK KURU TATLI KIRMIZI BİBER"/>
    <m/>
    <x v="3"/>
    <s v="YLC2025000000101"/>
    <s v="YALÇINTAT BAHARAT GIDA SAN"/>
    <s v="CARİ"/>
    <n v="40"/>
    <n v="110"/>
    <n v="0"/>
    <n v="4400"/>
    <m/>
    <n v="40"/>
    <m/>
    <n v="110"/>
    <n v="0"/>
    <n v="0"/>
    <n v="124377.5"/>
  </r>
  <r>
    <d v="2025-10-17T00:00:00"/>
    <x v="2"/>
    <m/>
    <s v="DEMİRBAŞ"/>
    <x v="1"/>
    <s v="EAR2025000015"/>
    <s v="HÜSNÜ YILMAZ - BAHARAT KOVALARI - 20 ADET"/>
    <s v="NAKİT"/>
    <n v="1"/>
    <n v="19200"/>
    <n v="0"/>
    <n v="0"/>
    <m/>
    <n v="1"/>
    <m/>
    <n v="19200"/>
    <n v="0"/>
    <n v="19200"/>
    <n v="105177.5"/>
  </r>
  <r>
    <d v="2025-10-17T00:00:00"/>
    <x v="1"/>
    <m/>
    <s v="YOL GİDERLERİ"/>
    <x v="1"/>
    <m/>
    <s v="BAHARAT KOVALARI - NAKLİYE"/>
    <s v="NAKİT"/>
    <n v="1"/>
    <n v="2500"/>
    <n v="0"/>
    <n v="0"/>
    <m/>
    <n v="1"/>
    <m/>
    <n v="2500"/>
    <n v="0"/>
    <n v="2500"/>
    <n v="102677.5"/>
  </r>
  <r>
    <d v="2025-10-18T00:00:00"/>
    <x v="1"/>
    <m/>
    <s v="AMBALAJ GİDERLERİ"/>
    <x v="2"/>
    <s v="AFA2025000001709"/>
    <s v="AFİLİ AMBALAJ TİC.LTD. - BAKKALİYE - MARKET - POŞETLERİ"/>
    <s v="K.K."/>
    <n v="1"/>
    <n v="2539.64"/>
    <n v="0"/>
    <n v="2539.64"/>
    <m/>
    <n v="1"/>
    <m/>
    <n v="2539.64"/>
    <n v="0"/>
    <n v="0"/>
    <n v="102677.5"/>
  </r>
  <r>
    <d v="2025-10-18T00:00:00"/>
    <x v="1"/>
    <m/>
    <s v="AMBALAJ GİDERLERİ"/>
    <x v="2"/>
    <s v="AFA2025000001710"/>
    <s v="AFİLİ AMBALAJ TİC.LTD. - BAKKALİYE - MARKET - POŞETLERİ"/>
    <s v="K.K."/>
    <n v="1"/>
    <n v="3260.36"/>
    <n v="0"/>
    <n v="3260.36"/>
    <m/>
    <n v="1"/>
    <m/>
    <n v="3260.36"/>
    <n v="0"/>
    <n v="0"/>
    <n v="102677.5"/>
  </r>
  <r>
    <d v="2025-10-18T00:00:00"/>
    <x v="2"/>
    <m/>
    <s v="DEMİRBAŞ"/>
    <x v="2"/>
    <s v="INT20250000003522"/>
    <s v="TRENDYOL - EDA DOĞAN - XPRİNTER XP-470B - BARKOD YAZICISI"/>
    <s v="K.K."/>
    <n v="1"/>
    <n v="3790"/>
    <n v="0"/>
    <n v="3790"/>
    <m/>
    <n v="1"/>
    <m/>
    <n v="3790"/>
    <n v="0"/>
    <n v="0"/>
    <n v="102677.5"/>
  </r>
  <r>
    <d v="2025-10-18T00:00:00"/>
    <x v="4"/>
    <s v="ZERDEÇAL TOZ"/>
    <m/>
    <x v="1"/>
    <s v="ST00000000003"/>
    <s v="SATIŞ"/>
    <s v="NAKİT"/>
    <n v="0.14000000000000001"/>
    <n v="250"/>
    <n v="0"/>
    <n v="0"/>
    <n v="0.14000000000000001"/>
    <m/>
    <n v="250"/>
    <m/>
    <n v="35"/>
    <n v="0"/>
    <n v="102712.5"/>
  </r>
  <r>
    <d v="2025-10-18T00:00:00"/>
    <x v="4"/>
    <s v="ZENCEFİL TOZ"/>
    <m/>
    <x v="1"/>
    <s v="ST00000000003"/>
    <s v="SATIŞ"/>
    <s v="NAKİT"/>
    <n v="0.14000000000000001"/>
    <n v="290"/>
    <n v="0"/>
    <n v="0"/>
    <n v="0.14000000000000001"/>
    <m/>
    <n v="290"/>
    <m/>
    <n v="40.6"/>
    <n v="0"/>
    <n v="102753.1"/>
  </r>
  <r>
    <d v="2025-10-18T00:00:00"/>
    <x v="4"/>
    <s v="ORMANÖZÜ ORGANİK ALIÇ SİRKESİ 500 ml"/>
    <m/>
    <x v="1"/>
    <s v="ST00000000003"/>
    <s v="SATIŞ"/>
    <s v="NAKİT"/>
    <n v="1"/>
    <n v="110"/>
    <n v="0"/>
    <n v="0"/>
    <n v="1"/>
    <m/>
    <n v="110"/>
    <m/>
    <n v="110"/>
    <n v="0"/>
    <n v="102863.1"/>
  </r>
  <r>
    <d v="2025-10-18T00:00:00"/>
    <x v="4"/>
    <s v="FİSKOBİRLİK FINDIK EZMESİ 300 GR"/>
    <m/>
    <x v="1"/>
    <s v="ST00000000003"/>
    <s v="SATIŞ"/>
    <s v="NAKİT"/>
    <n v="1"/>
    <n v="220"/>
    <n v="0"/>
    <n v="0"/>
    <n v="1"/>
    <m/>
    <n v="220"/>
    <m/>
    <n v="220"/>
    <n v="0"/>
    <n v="103083.1"/>
  </r>
  <r>
    <d v="2025-10-18T00:00:00"/>
    <x v="5"/>
    <m/>
    <s v="İSKONTO GELİRLERİ"/>
    <x v="1"/>
    <s v="ST00000000003"/>
    <s v="SATIŞ"/>
    <s v="NAKİT"/>
    <n v="1"/>
    <n v="594.4"/>
    <n v="0"/>
    <n v="0"/>
    <n v="1"/>
    <m/>
    <n v="594.4"/>
    <m/>
    <n v="594.4"/>
    <n v="0"/>
    <n v="103677.5"/>
  </r>
  <r>
    <d v="2025-10-18T00:00:00"/>
    <x v="4"/>
    <s v="ÇAYKUR TİRYAKİ 1 KG"/>
    <m/>
    <x v="1"/>
    <s v="ST00000000004"/>
    <s v="SATIŞ"/>
    <s v="NAKİT"/>
    <n v="1"/>
    <n v="250"/>
    <n v="0"/>
    <n v="0"/>
    <n v="1"/>
    <m/>
    <n v="250"/>
    <m/>
    <n v="250"/>
    <n v="0"/>
    <n v="103927.5"/>
  </r>
  <r>
    <d v="2025-10-18T00:00:00"/>
    <x v="4"/>
    <s v="SEYİDOĞLU TAHİN 550 g"/>
    <m/>
    <x v="1"/>
    <s v="ST00000000004"/>
    <s v="SATIŞ"/>
    <s v="NAKİT"/>
    <n v="1"/>
    <n v="160"/>
    <n v="0"/>
    <n v="0"/>
    <n v="1"/>
    <m/>
    <n v="160"/>
    <m/>
    <n v="160"/>
    <n v="0"/>
    <n v="104087.5"/>
  </r>
  <r>
    <d v="2025-10-18T00:00:00"/>
    <x v="4"/>
    <s v="SEYİDOĞLU PEKMEZ 700 g"/>
    <m/>
    <x v="1"/>
    <s v="ST00000000004"/>
    <s v="SATIŞ"/>
    <s v="NAKİT"/>
    <n v="1"/>
    <n v="170"/>
    <n v="0"/>
    <n v="0"/>
    <n v="1"/>
    <m/>
    <n v="170"/>
    <m/>
    <n v="170"/>
    <n v="0"/>
    <n v="104257.5"/>
  </r>
  <r>
    <d v="2025-10-18T00:00:00"/>
    <x v="4"/>
    <s v="ARKO EL VÜCUT KREMİ 150 ml"/>
    <m/>
    <x v="1"/>
    <s v="ST00000000004"/>
    <s v="SATIŞ"/>
    <s v="NAKİT"/>
    <n v="1"/>
    <n v="90"/>
    <n v="0"/>
    <n v="0"/>
    <n v="1"/>
    <m/>
    <n v="90"/>
    <m/>
    <n v="90"/>
    <n v="0"/>
    <n v="104347.5"/>
  </r>
  <r>
    <d v="2025-10-18T00:00:00"/>
    <x v="4"/>
    <s v="KAFFKA DİBEK KAHVESİ 150 GR"/>
    <m/>
    <x v="1"/>
    <s v="ST00000000004"/>
    <s v="SATIŞ"/>
    <s v="NAKİT"/>
    <n v="2"/>
    <n v="50"/>
    <n v="0"/>
    <n v="0"/>
    <n v="2"/>
    <m/>
    <n v="50"/>
    <m/>
    <n v="100"/>
    <n v="0"/>
    <n v="104447.5"/>
  </r>
  <r>
    <d v="2025-10-18T00:00:00"/>
    <x v="5"/>
    <m/>
    <s v="İSKONTO GELİRLERİ"/>
    <x v="1"/>
    <s v="ST00000000004"/>
    <s v="SATIŞ"/>
    <s v="NAKİT"/>
    <n v="1"/>
    <n v="230"/>
    <n v="0"/>
    <n v="0"/>
    <n v="1"/>
    <m/>
    <n v="230"/>
    <m/>
    <n v="230"/>
    <n v="0"/>
    <n v="104677.5"/>
  </r>
  <r>
    <d v="2025-10-18T00:00:00"/>
    <x v="4"/>
    <s v="DOLMALIK KURU PATLICAN"/>
    <m/>
    <x v="1"/>
    <s v="ST00000000005"/>
    <s v="SATIŞ"/>
    <s v="NAKİT"/>
    <n v="1"/>
    <n v="240"/>
    <n v="0"/>
    <n v="0"/>
    <n v="1"/>
    <m/>
    <n v="240"/>
    <m/>
    <n v="240"/>
    <n v="0"/>
    <n v="104917.5"/>
  </r>
  <r>
    <d v="2025-10-18T00:00:00"/>
    <x v="4"/>
    <s v="DOLMALIK KURU ACI BİBER"/>
    <m/>
    <x v="1"/>
    <s v="ST00000000005"/>
    <s v="SATIŞ"/>
    <s v="NAKİT"/>
    <n v="1"/>
    <n v="200"/>
    <n v="0"/>
    <n v="0"/>
    <n v="1"/>
    <m/>
    <n v="200"/>
    <m/>
    <n v="200"/>
    <n v="0"/>
    <n v="105117.5"/>
  </r>
  <r>
    <d v="2025-10-18T00:00:00"/>
    <x v="4"/>
    <s v="KAFFKA OSMANLI KAHVESİ 150 GR"/>
    <m/>
    <x v="1"/>
    <s v="ST00000000006"/>
    <s v="SATIŞ"/>
    <s v="NAKİT"/>
    <n v="1"/>
    <n v="50"/>
    <n v="0"/>
    <n v="0"/>
    <n v="1"/>
    <m/>
    <n v="50"/>
    <m/>
    <n v="50"/>
    <n v="0"/>
    <n v="105167.5"/>
  </r>
  <r>
    <d v="2025-10-18T00:00:00"/>
    <x v="4"/>
    <s v="NATTE LEZZET SOSU 500 GR (NAR EKŞİSİ) "/>
    <m/>
    <x v="1"/>
    <s v="ST00000000006"/>
    <s v="SATIŞ"/>
    <s v="NAKİT"/>
    <n v="1"/>
    <n v="50"/>
    <n v="0"/>
    <n v="0"/>
    <n v="1"/>
    <m/>
    <n v="50"/>
    <m/>
    <n v="50"/>
    <n v="0"/>
    <n v="105217.5"/>
  </r>
  <r>
    <d v="2025-10-20T00:00:00"/>
    <x v="3"/>
    <s v="ADAÇAYI DEMET"/>
    <m/>
    <x v="4"/>
    <s v="FT00000000002"/>
    <s v="TÜDAB A.Ş."/>
    <s v="CARİ"/>
    <n v="10"/>
    <n v="20"/>
    <n v="0"/>
    <n v="200"/>
    <m/>
    <n v="10"/>
    <m/>
    <n v="20"/>
    <n v="0"/>
    <n v="0"/>
    <n v="105217.5"/>
  </r>
  <r>
    <d v="2025-10-20T00:00:00"/>
    <x v="3"/>
    <s v="ADAÇAYI SIYIRMA"/>
    <m/>
    <x v="4"/>
    <s v="FT00000000002"/>
    <s v="TÜDAB A.Ş."/>
    <s v="CARİ"/>
    <n v="1"/>
    <n v="245"/>
    <n v="0"/>
    <n v="245"/>
    <m/>
    <n v="1"/>
    <m/>
    <n v="245"/>
    <n v="0"/>
    <n v="0"/>
    <n v="105217.5"/>
  </r>
  <r>
    <d v="2025-10-20T00:00:00"/>
    <x v="3"/>
    <s v="ALTIN OTU SIYIRMA"/>
    <m/>
    <x v="4"/>
    <s v="FT00000000002"/>
    <s v="TÜDAB A.Ş."/>
    <s v="CARİ"/>
    <n v="1"/>
    <n v="590"/>
    <n v="0"/>
    <n v="590"/>
    <m/>
    <n v="1"/>
    <m/>
    <n v="590"/>
    <n v="0"/>
    <n v="0"/>
    <n v="105217.5"/>
  </r>
  <r>
    <d v="2025-10-20T00:00:00"/>
    <x v="3"/>
    <s v="ASLAN PENÇESİ"/>
    <m/>
    <x v="4"/>
    <s v="FT00000000002"/>
    <s v="TÜDAB A.Ş."/>
    <s v="CARİ"/>
    <n v="1"/>
    <n v="95"/>
    <n v="0"/>
    <n v="95"/>
    <m/>
    <n v="1"/>
    <m/>
    <n v="95"/>
    <n v="0"/>
    <n v="0"/>
    <n v="105217.5"/>
  </r>
  <r>
    <d v="2025-10-20T00:00:00"/>
    <x v="3"/>
    <s v="AÇLIK OTU"/>
    <m/>
    <x v="4"/>
    <s v="FT00000000002"/>
    <s v="TÜDAB A.Ş."/>
    <s v="CARİ"/>
    <n v="1"/>
    <n v="85"/>
    <n v="0"/>
    <n v="85"/>
    <m/>
    <n v="1"/>
    <m/>
    <n v="85"/>
    <n v="0"/>
    <n v="0"/>
    <n v="105217.5"/>
  </r>
  <r>
    <d v="2025-10-20T00:00:00"/>
    <x v="3"/>
    <s v="BİBERİYE"/>
    <m/>
    <x v="4"/>
    <s v="FT00000000002"/>
    <s v="TÜDAB A.Ş."/>
    <s v="CARİ"/>
    <n v="1"/>
    <n v="200"/>
    <n v="0"/>
    <n v="200"/>
    <m/>
    <n v="1"/>
    <m/>
    <n v="200"/>
    <n v="0"/>
    <n v="0"/>
    <n v="105217.5"/>
  </r>
  <r>
    <d v="2025-10-20T00:00:00"/>
    <x v="3"/>
    <s v="CEVİZ KELEBEK (ŞİLİ)"/>
    <m/>
    <x v="4"/>
    <s v="FT00000000002"/>
    <s v="TÜDAB A.Ş."/>
    <s v="CARİ"/>
    <n v="5"/>
    <n v="570"/>
    <n v="0"/>
    <n v="2850"/>
    <m/>
    <n v="5"/>
    <m/>
    <n v="570"/>
    <n v="0"/>
    <n v="0"/>
    <n v="105217.5"/>
  </r>
  <r>
    <d v="2025-10-20T00:00:00"/>
    <x v="3"/>
    <s v="CİVAN PERÇEMİ"/>
    <m/>
    <x v="4"/>
    <s v="FT00000000002"/>
    <s v="TÜDAB A.Ş."/>
    <s v="CARİ"/>
    <n v="1"/>
    <n v="295"/>
    <n v="0"/>
    <n v="295"/>
    <m/>
    <n v="1"/>
    <m/>
    <n v="295"/>
    <n v="0"/>
    <n v="0"/>
    <n v="105217.5"/>
  </r>
  <r>
    <d v="2025-10-20T00:00:00"/>
    <x v="3"/>
    <s v="AYÇEKİRDEĞİ DAKOTA TUZLU EKSTRA"/>
    <m/>
    <x v="4"/>
    <s v="FT00000000002"/>
    <s v="TÜDAB A.Ş."/>
    <s v="CARİ"/>
    <n v="5"/>
    <n v="130"/>
    <n v="0"/>
    <n v="650"/>
    <m/>
    <n v="5"/>
    <m/>
    <n v="130"/>
    <n v="0"/>
    <n v="0"/>
    <n v="105217.5"/>
  </r>
  <r>
    <d v="2025-10-20T00:00:00"/>
    <x v="3"/>
    <s v="AYÇEKİRDEĞİ DAKOTA TUZSUZ EKSTRA"/>
    <m/>
    <x v="4"/>
    <s v="FT00000000002"/>
    <s v="TÜDAB A.Ş."/>
    <s v="CARİ"/>
    <n v="5"/>
    <n v="140"/>
    <n v="0"/>
    <n v="700"/>
    <m/>
    <n v="5"/>
    <m/>
    <n v="140"/>
    <n v="0"/>
    <n v="0"/>
    <n v="105217.5"/>
  </r>
  <r>
    <d v="2025-10-20T00:00:00"/>
    <x v="3"/>
    <s v="DEFNE YAPRAĞI"/>
    <m/>
    <x v="4"/>
    <s v="FT00000000002"/>
    <s v="TÜDAB A.Ş."/>
    <s v="CARİ"/>
    <n v="1"/>
    <n v="200"/>
    <n v="0"/>
    <n v="200"/>
    <m/>
    <n v="1"/>
    <m/>
    <n v="200"/>
    <n v="0"/>
    <n v="0"/>
    <n v="105217.5"/>
  </r>
  <r>
    <d v="2025-10-20T00:00:00"/>
    <x v="3"/>
    <s v="DERME GÜN KURUSU KAYISI JUMBO"/>
    <m/>
    <x v="4"/>
    <s v="FT00000000002"/>
    <s v="TÜDAB A.Ş."/>
    <s v="CARİ"/>
    <n v="5"/>
    <n v="850"/>
    <n v="0"/>
    <n v="4250"/>
    <m/>
    <n v="5"/>
    <m/>
    <n v="850"/>
    <n v="0"/>
    <n v="0"/>
    <n v="105217.5"/>
  </r>
  <r>
    <d v="2025-10-20T00:00:00"/>
    <x v="3"/>
    <s v="DOMATES KURUSU"/>
    <m/>
    <x v="4"/>
    <s v="FT00000000002"/>
    <s v="TÜDAB A.Ş."/>
    <s v="CARİ"/>
    <n v="5"/>
    <n v="195"/>
    <n v="0"/>
    <n v="975"/>
    <m/>
    <n v="5"/>
    <m/>
    <n v="195"/>
    <n v="0"/>
    <n v="0"/>
    <n v="105217.5"/>
  </r>
  <r>
    <d v="2025-10-20T00:00:00"/>
    <x v="3"/>
    <s v="DUT KURUSU LÜX ELAZIĞ"/>
    <m/>
    <x v="4"/>
    <s v="FT00000000002"/>
    <s v="TÜDAB A.Ş."/>
    <s v="CARİ"/>
    <n v="5"/>
    <n v="620"/>
    <n v="0"/>
    <n v="3100"/>
    <m/>
    <n v="5"/>
    <m/>
    <n v="620"/>
    <n v="0"/>
    <n v="0"/>
    <n v="105217.5"/>
  </r>
  <r>
    <d v="2025-10-20T00:00:00"/>
    <x v="3"/>
    <s v="GÜNAYDIN KAYA TUZU İNCE"/>
    <m/>
    <x v="4"/>
    <s v="FT00000000002"/>
    <s v="TÜDAB A.Ş."/>
    <s v="CARİ"/>
    <n v="10"/>
    <n v="15"/>
    <n v="0"/>
    <n v="150"/>
    <m/>
    <n v="10"/>
    <m/>
    <n v="15"/>
    <n v="0"/>
    <n v="0"/>
    <n v="105217.5"/>
  </r>
  <r>
    <d v="2025-10-20T00:00:00"/>
    <x v="3"/>
    <s v="GÜNAYDIN KAYA TUZU İRİ"/>
    <m/>
    <x v="4"/>
    <s v="FT00000000002"/>
    <s v="TÜDAB A.Ş."/>
    <s v="CARİ"/>
    <n v="10"/>
    <n v="15"/>
    <n v="0"/>
    <n v="150"/>
    <m/>
    <n v="10"/>
    <m/>
    <n v="15"/>
    <n v="0"/>
    <n v="0"/>
    <n v="105217.5"/>
  </r>
  <r>
    <d v="2025-10-20T00:00:00"/>
    <x v="3"/>
    <s v="HATMİ ÇİÇEĞİ"/>
    <m/>
    <x v="4"/>
    <s v="FT00000000002"/>
    <s v="TÜDAB A.Ş."/>
    <s v="CARİ"/>
    <n v="1"/>
    <n v="550"/>
    <n v="0"/>
    <n v="550"/>
    <m/>
    <n v="1"/>
    <m/>
    <n v="550"/>
    <n v="0"/>
    <n v="0"/>
    <n v="105217.5"/>
  </r>
  <r>
    <d v="2025-10-20T00:00:00"/>
    <x v="3"/>
    <s v="HAŞİROĞLU TARHANA CİPS"/>
    <m/>
    <x v="4"/>
    <s v="FT00000000002"/>
    <s v="TÜDAB A.Ş."/>
    <s v="CARİ"/>
    <n v="5"/>
    <n v="205"/>
    <n v="0"/>
    <n v="1025"/>
    <m/>
    <n v="5"/>
    <m/>
    <n v="205"/>
    <n v="0"/>
    <n v="0"/>
    <n v="105217.5"/>
  </r>
  <r>
    <d v="2025-10-20T00:00:00"/>
    <x v="3"/>
    <s v="HAŞİROĞLU TARHANA ÇEREZLİK"/>
    <m/>
    <x v="4"/>
    <s v="FT00000000002"/>
    <s v="TÜDAB A.Ş."/>
    <s v="CARİ"/>
    <n v="5"/>
    <n v="185"/>
    <n v="0"/>
    <n v="925"/>
    <m/>
    <n v="5"/>
    <m/>
    <n v="185"/>
    <n v="0"/>
    <n v="0"/>
    <n v="105217.5"/>
  </r>
  <r>
    <d v="2025-10-20T00:00:00"/>
    <x v="3"/>
    <s v="HİMALAYA TUZU PEMBE GRANÜL"/>
    <m/>
    <x v="4"/>
    <s v="FT00000000002"/>
    <s v="TÜDAB A.Ş."/>
    <s v="CARİ"/>
    <n v="10"/>
    <n v="26"/>
    <n v="0"/>
    <n v="260"/>
    <m/>
    <n v="10"/>
    <m/>
    <n v="26"/>
    <n v="0"/>
    <n v="0"/>
    <n v="105217.5"/>
  </r>
  <r>
    <d v="2025-10-20T00:00:00"/>
    <x v="3"/>
    <s v="HİMALAYA TUZU PEMBE ÖĞÜTÜLMÜŞ"/>
    <m/>
    <x v="4"/>
    <s v="FT00000000002"/>
    <s v="TÜDAB A.Ş."/>
    <s v="CARİ"/>
    <n v="10"/>
    <n v="26"/>
    <n v="0"/>
    <n v="260"/>
    <m/>
    <n v="10"/>
    <m/>
    <n v="26"/>
    <n v="0"/>
    <n v="0"/>
    <n v="105217.5"/>
  </r>
  <r>
    <d v="2025-10-20T00:00:00"/>
    <x v="3"/>
    <s v="IHLAMUR YAPRAK"/>
    <m/>
    <x v="4"/>
    <s v="FT00000000002"/>
    <s v="TÜDAB A.Ş."/>
    <s v="CARİ"/>
    <n v="1"/>
    <n v="1250"/>
    <n v="0"/>
    <n v="1250"/>
    <m/>
    <n v="1"/>
    <m/>
    <n v="1250"/>
    <n v="0"/>
    <n v="0"/>
    <n v="105217.5"/>
  </r>
  <r>
    <d v="2025-10-20T00:00:00"/>
    <x v="3"/>
    <s v="IHLAMUR ÇİÇEK EKSTRA"/>
    <m/>
    <x v="4"/>
    <s v="FT00000000002"/>
    <s v="TÜDAB A.Ş."/>
    <s v="CARİ"/>
    <n v="1"/>
    <n v="2250"/>
    <n v="0"/>
    <n v="2250"/>
    <m/>
    <n v="1"/>
    <m/>
    <n v="2250"/>
    <n v="0"/>
    <n v="0"/>
    <n v="105217.5"/>
  </r>
  <r>
    <d v="2025-10-20T00:00:00"/>
    <x v="3"/>
    <s v="KABUKLU CEVİZ (ŞİLİ)"/>
    <m/>
    <x v="4"/>
    <s v="FT00000000002"/>
    <s v="TÜDAB A.Ş."/>
    <s v="CARİ"/>
    <n v="25"/>
    <n v="240"/>
    <n v="0"/>
    <n v="6000"/>
    <m/>
    <n v="25"/>
    <m/>
    <n v="240"/>
    <n v="0"/>
    <n v="0"/>
    <n v="105217.5"/>
  </r>
  <r>
    <d v="2025-10-20T00:00:00"/>
    <x v="3"/>
    <s v="KAKAO"/>
    <m/>
    <x v="4"/>
    <s v="FT00000000002"/>
    <s v="TÜDAB A.Ş."/>
    <s v="CARİ"/>
    <n v="1"/>
    <n v="275"/>
    <n v="0"/>
    <n v="275"/>
    <m/>
    <n v="1"/>
    <m/>
    <n v="275"/>
    <n v="0"/>
    <n v="0"/>
    <n v="105217.5"/>
  </r>
  <r>
    <d v="2025-10-20T00:00:00"/>
    <x v="3"/>
    <s v="KARABAŞ OTU"/>
    <m/>
    <x v="4"/>
    <s v="FT00000000002"/>
    <s v="TÜDAB A.Ş."/>
    <s v="CARİ"/>
    <n v="1"/>
    <n v="300"/>
    <n v="0"/>
    <n v="300"/>
    <m/>
    <n v="1"/>
    <m/>
    <n v="300"/>
    <n v="0"/>
    <n v="0"/>
    <n v="105217.5"/>
  </r>
  <r>
    <d v="2025-10-20T00:00:00"/>
    <x v="3"/>
    <s v="KARANFİL"/>
    <m/>
    <x v="4"/>
    <s v="FT00000000002"/>
    <s v="TÜDAB A.Ş."/>
    <s v="CARİ"/>
    <n v="1"/>
    <n v="570"/>
    <n v="0"/>
    <n v="570"/>
    <m/>
    <n v="1"/>
    <m/>
    <n v="570"/>
    <n v="0"/>
    <n v="0"/>
    <n v="105217.5"/>
  </r>
  <r>
    <d v="2025-10-20T00:00:00"/>
    <x v="3"/>
    <s v="KARNIYARIK TOHUMU"/>
    <m/>
    <x v="4"/>
    <s v="FT00000000002"/>
    <s v="TÜDAB A.Ş."/>
    <s v="CARİ"/>
    <n v="1"/>
    <n v="230"/>
    <n v="0"/>
    <n v="230"/>
    <m/>
    <n v="1"/>
    <m/>
    <n v="230"/>
    <n v="0"/>
    <n v="0"/>
    <n v="105217.5"/>
  </r>
  <r>
    <d v="2025-10-20T00:00:00"/>
    <x v="3"/>
    <s v="KAYSERİ PAZARI ŞEKERSİZ 1000 ML - GİLABURU"/>
    <m/>
    <x v="4"/>
    <s v="FT00000000002"/>
    <s v="TÜDAB A.Ş."/>
    <s v="CARİ"/>
    <n v="5"/>
    <n v="125"/>
    <n v="0"/>
    <n v="625"/>
    <m/>
    <n v="5"/>
    <m/>
    <n v="125"/>
    <n v="0"/>
    <n v="0"/>
    <n v="105217.5"/>
  </r>
  <r>
    <d v="2025-10-20T00:00:00"/>
    <x v="3"/>
    <s v="KUŞBURNU"/>
    <m/>
    <x v="4"/>
    <s v="FT00000000002"/>
    <s v="TÜDAB A.Ş."/>
    <s v="CARİ"/>
    <n v="3"/>
    <n v="65"/>
    <n v="0"/>
    <n v="195"/>
    <m/>
    <n v="3"/>
    <m/>
    <n v="65"/>
    <n v="0"/>
    <n v="0"/>
    <n v="105217.5"/>
  </r>
  <r>
    <d v="2025-10-20T00:00:00"/>
    <x v="3"/>
    <s v="LAVANTA"/>
    <m/>
    <x v="4"/>
    <s v="FT00000000002"/>
    <s v="TÜDAB A.Ş."/>
    <s v="CARİ"/>
    <n v="1"/>
    <n v="165"/>
    <n v="0"/>
    <n v="165"/>
    <m/>
    <n v="1"/>
    <m/>
    <n v="165"/>
    <n v="0"/>
    <n v="0"/>
    <n v="105217.5"/>
  </r>
  <r>
    <d v="2025-10-20T00:00:00"/>
    <x v="3"/>
    <s v="LOBAS SAF NAR EKŞİSİ 1 KG"/>
    <m/>
    <x v="4"/>
    <s v="FT00000000002"/>
    <s v="TÜDAB A.Ş."/>
    <s v="CARİ"/>
    <n v="5"/>
    <n v="225"/>
    <n v="0"/>
    <n v="1125"/>
    <m/>
    <n v="5"/>
    <m/>
    <n v="225"/>
    <n v="0"/>
    <n v="0"/>
    <n v="105217.5"/>
  </r>
  <r>
    <d v="2025-10-20T00:00:00"/>
    <x v="3"/>
    <s v="LİMON MELİSA"/>
    <m/>
    <x v="4"/>
    <s v="FT00000000002"/>
    <s v="TÜDAB A.Ş."/>
    <s v="CARİ"/>
    <n v="1"/>
    <n v="1000"/>
    <n v="0"/>
    <n v="1000"/>
    <m/>
    <n v="1"/>
    <m/>
    <n v="1000"/>
    <n v="0"/>
    <n v="0"/>
    <n v="105217.5"/>
  </r>
  <r>
    <d v="2025-10-20T00:00:00"/>
    <x v="3"/>
    <s v="MEYAN LİF"/>
    <m/>
    <x v="4"/>
    <s v="FT00000000002"/>
    <s v="TÜDAB A.Ş."/>
    <s v="CARİ"/>
    <n v="1"/>
    <n v="180"/>
    <n v="0"/>
    <n v="180"/>
    <m/>
    <n v="1"/>
    <m/>
    <n v="180"/>
    <n v="0"/>
    <n v="0"/>
    <n v="105217.5"/>
  </r>
  <r>
    <d v="2025-10-20T00:00:00"/>
    <x v="3"/>
    <s v="MISIR PÜSKÜLÜ"/>
    <m/>
    <x v="4"/>
    <s v="FT00000000002"/>
    <s v="TÜDAB A.Ş."/>
    <s v="CARİ"/>
    <n v="1"/>
    <n v="265"/>
    <n v="0"/>
    <n v="265"/>
    <m/>
    <n v="1"/>
    <m/>
    <n v="265"/>
    <n v="0"/>
    <n v="0"/>
    <n v="105217.5"/>
  </r>
  <r>
    <d v="2025-10-20T00:00:00"/>
    <x v="3"/>
    <s v="NBN 2,5 KG İNCİR"/>
    <m/>
    <x v="4"/>
    <s v="FT00000000002"/>
    <s v="TÜDAB A.Ş."/>
    <s v="CARİ"/>
    <n v="5"/>
    <n v="450"/>
    <n v="0"/>
    <n v="2250"/>
    <m/>
    <n v="5"/>
    <m/>
    <n v="450"/>
    <n v="0"/>
    <n v="0"/>
    <n v="105217.5"/>
  </r>
  <r>
    <d v="2025-10-20T00:00:00"/>
    <x v="3"/>
    <s v="NBN DAĞ İNCİRİ"/>
    <m/>
    <x v="4"/>
    <s v="FT00000000002"/>
    <s v="TÜDAB A.Ş."/>
    <s v="CARİ"/>
    <n v="5"/>
    <n v="550"/>
    <n v="0"/>
    <n v="2750"/>
    <m/>
    <n v="5"/>
    <m/>
    <n v="550"/>
    <n v="0"/>
    <n v="0"/>
    <n v="105217.5"/>
  </r>
  <r>
    <d v="2025-10-20T00:00:00"/>
    <x v="3"/>
    <s v="REZENE"/>
    <m/>
    <x v="4"/>
    <s v="FT00000000002"/>
    <s v="TÜDAB A.Ş."/>
    <s v="CARİ"/>
    <n v="2"/>
    <n v="130"/>
    <n v="0"/>
    <n v="260"/>
    <m/>
    <n v="2"/>
    <m/>
    <n v="130"/>
    <n v="0"/>
    <n v="0"/>
    <n v="105217.5"/>
  </r>
  <r>
    <d v="2025-10-20T00:00:00"/>
    <x v="3"/>
    <s v="SEYHAN ÜZÜM ÖZEL"/>
    <m/>
    <x v="4"/>
    <s v="FT00000000002"/>
    <s v="TÜDAB A.Ş."/>
    <s v="CARİ"/>
    <n v="5"/>
    <n v="500"/>
    <n v="0"/>
    <n v="2500"/>
    <m/>
    <n v="5"/>
    <m/>
    <n v="500"/>
    <n v="0"/>
    <n v="0"/>
    <n v="105217.5"/>
  </r>
  <r>
    <d v="2025-10-20T00:00:00"/>
    <x v="3"/>
    <s v="SOSLU MISIR YERLİ"/>
    <m/>
    <x v="4"/>
    <s v="FT00000000002"/>
    <s v="TÜDAB A.Ş."/>
    <s v="CARİ"/>
    <n v="5"/>
    <n v="110"/>
    <n v="0"/>
    <n v="550"/>
    <m/>
    <n v="5"/>
    <m/>
    <n v="110"/>
    <n v="0"/>
    <n v="0"/>
    <n v="105217.5"/>
  </r>
  <r>
    <d v="2025-10-20T00:00:00"/>
    <x v="3"/>
    <s v="SİNAMEKİ"/>
    <m/>
    <x v="4"/>
    <s v="FT00000000002"/>
    <s v="TÜDAB A.Ş."/>
    <s v="CARİ"/>
    <n v="1"/>
    <n v="75"/>
    <n v="0"/>
    <n v="75"/>
    <m/>
    <n v="1"/>
    <m/>
    <n v="75"/>
    <n v="0"/>
    <n v="0"/>
    <n v="105217.5"/>
  </r>
  <r>
    <d v="2025-10-20T00:00:00"/>
    <x v="3"/>
    <s v="TOMBUL KESE ORGANİK 500 GR"/>
    <m/>
    <x v="4"/>
    <s v="FT00000000002"/>
    <s v="TÜDAB A.Ş."/>
    <s v="CARİ"/>
    <n v="5"/>
    <n v="170"/>
    <n v="0"/>
    <n v="850"/>
    <m/>
    <n v="5"/>
    <m/>
    <n v="170"/>
    <n v="0"/>
    <n v="0"/>
    <n v="105217.5"/>
  </r>
  <r>
    <d v="2025-10-20T00:00:00"/>
    <x v="3"/>
    <s v="TOMBUL KESE 500 GR ACI"/>
    <m/>
    <x v="4"/>
    <s v="FT00000000002"/>
    <s v="TÜDAB A.Ş."/>
    <s v="CARİ"/>
    <n v="5"/>
    <n v="135"/>
    <n v="0"/>
    <n v="675"/>
    <m/>
    <n v="5"/>
    <m/>
    <n v="135"/>
    <n v="0"/>
    <n v="0"/>
    <n v="105217.5"/>
  </r>
  <r>
    <d v="2025-10-20T00:00:00"/>
    <x v="3"/>
    <s v="TOMBUL KESE 500 GR SEBZELİ TARHANA"/>
    <m/>
    <x v="4"/>
    <s v="FT00000000002"/>
    <s v="TÜDAB A.Ş."/>
    <s v="CARİ"/>
    <n v="5"/>
    <n v="135"/>
    <n v="0"/>
    <n v="675"/>
    <m/>
    <n v="5"/>
    <m/>
    <n v="135"/>
    <n v="0"/>
    <n v="0"/>
    <n v="105217.5"/>
  </r>
  <r>
    <d v="2025-10-20T00:00:00"/>
    <x v="3"/>
    <s v="TOMBUL KESE 500 GR TATLI"/>
    <m/>
    <x v="4"/>
    <s v="FT00000000002"/>
    <s v="TÜDAB A.Ş."/>
    <s v="CARİ"/>
    <n v="5"/>
    <n v="135"/>
    <n v="0"/>
    <n v="675"/>
    <m/>
    <n v="5"/>
    <m/>
    <n v="135"/>
    <n v="0"/>
    <n v="0"/>
    <n v="105217.5"/>
  </r>
  <r>
    <d v="2025-10-20T00:00:00"/>
    <x v="3"/>
    <s v="TOMBUL TARHANA ORGANİK BEBE 500 GR"/>
    <m/>
    <x v="4"/>
    <s v="FT00000000002"/>
    <s v="TÜDAB A.Ş."/>
    <s v="CARİ"/>
    <n v="5"/>
    <n v="170"/>
    <n v="0"/>
    <n v="850"/>
    <m/>
    <n v="5"/>
    <m/>
    <n v="170"/>
    <n v="0"/>
    <n v="0"/>
    <n v="105217.5"/>
  </r>
  <r>
    <d v="2025-10-20T00:00:00"/>
    <x v="3"/>
    <s v="TÜDAB ANDIZ PEKMEZİ 450 GR"/>
    <m/>
    <x v="4"/>
    <s v="FT00000000002"/>
    <s v="TÜDAB A.Ş."/>
    <s v="CARİ"/>
    <n v="5"/>
    <n v="95"/>
    <n v="0"/>
    <n v="475"/>
    <m/>
    <n v="5"/>
    <m/>
    <n v="95"/>
    <n v="0"/>
    <n v="0"/>
    <n v="105217.5"/>
  </r>
  <r>
    <d v="2025-10-20T00:00:00"/>
    <x v="3"/>
    <s v="TÜDAB HARNUP PEKMEZİ 800 GR (KEÇİBOYNUZU)"/>
    <m/>
    <x v="4"/>
    <s v="FT00000000002"/>
    <s v="TÜDAB A.Ş."/>
    <s v="CARİ"/>
    <n v="5"/>
    <n v="90"/>
    <n v="0"/>
    <n v="450"/>
    <m/>
    <n v="5"/>
    <m/>
    <n v="90"/>
    <n v="0"/>
    <n v="0"/>
    <n v="105217.5"/>
  </r>
  <r>
    <d v="2025-10-20T00:00:00"/>
    <x v="3"/>
    <s v="TÜDAB HARNUP ÖZÜ 680 GR (KEÇİBOYNUZU)"/>
    <m/>
    <x v="4"/>
    <s v="FT00000000002"/>
    <s v="TÜDAB A.Ş."/>
    <s v="CARİ"/>
    <n v="5"/>
    <n v="100"/>
    <n v="0"/>
    <n v="500"/>
    <m/>
    <n v="5"/>
    <m/>
    <n v="100"/>
    <n v="0"/>
    <n v="0"/>
    <n v="105217.5"/>
  </r>
  <r>
    <d v="2025-10-20T00:00:00"/>
    <x v="3"/>
    <s v="TÜDAB KEÇİ BOYNUZU (DÖKME)"/>
    <m/>
    <x v="4"/>
    <s v="FT00000000002"/>
    <s v="TÜDAB A.Ş."/>
    <s v="CARİ"/>
    <n v="5"/>
    <n v="140"/>
    <n v="0"/>
    <n v="700"/>
    <m/>
    <n v="5"/>
    <m/>
    <n v="140"/>
    <n v="0"/>
    <n v="0"/>
    <n v="105217.5"/>
  </r>
  <r>
    <d v="2025-10-20T00:00:00"/>
    <x v="3"/>
    <s v="YENİ MAHSÜL PAPATYA"/>
    <m/>
    <x v="4"/>
    <s v="FT00000000002"/>
    <s v="TÜDAB A.Ş."/>
    <s v="CARİ"/>
    <n v="1"/>
    <n v="750"/>
    <n v="0"/>
    <n v="750"/>
    <m/>
    <n v="1"/>
    <m/>
    <n v="750"/>
    <n v="0"/>
    <n v="0"/>
    <n v="105217.5"/>
  </r>
  <r>
    <d v="2025-10-20T00:00:00"/>
    <x v="3"/>
    <s v="YEŞİL ÇAY YAPRAK"/>
    <m/>
    <x v="4"/>
    <s v="FT00000000002"/>
    <s v="TÜDAB A.Ş."/>
    <s v="CARİ"/>
    <n v="1"/>
    <n v="270"/>
    <n v="0"/>
    <n v="270"/>
    <m/>
    <n v="1"/>
    <m/>
    <n v="270"/>
    <n v="0"/>
    <n v="0"/>
    <n v="105217.5"/>
  </r>
  <r>
    <d v="2025-10-20T00:00:00"/>
    <x v="3"/>
    <s v="ZERDEÇAL TANE"/>
    <m/>
    <x v="4"/>
    <s v="FT00000000002"/>
    <s v="TÜDAB A.Ş."/>
    <s v="CARİ"/>
    <n v="1"/>
    <n v="160"/>
    <n v="0"/>
    <n v="160"/>
    <m/>
    <n v="1"/>
    <m/>
    <n v="160"/>
    <n v="0"/>
    <n v="0"/>
    <n v="105217.5"/>
  </r>
  <r>
    <d v="2025-10-20T00:00:00"/>
    <x v="3"/>
    <s v="ZEYTİN YAPRAĞI"/>
    <m/>
    <x v="4"/>
    <s v="FT00000000002"/>
    <s v="TÜDAB A.Ş."/>
    <s v="CARİ"/>
    <n v="1"/>
    <n v="40"/>
    <n v="0"/>
    <n v="40"/>
    <m/>
    <n v="1"/>
    <m/>
    <n v="40"/>
    <n v="0"/>
    <n v="0"/>
    <n v="105217.5"/>
  </r>
  <r>
    <d v="2025-10-20T00:00:00"/>
    <x v="3"/>
    <s v="İRİ BEYAZ KABAK ÇEKİRDEĞİ - NEVŞEHİR"/>
    <m/>
    <x v="4"/>
    <s v="FT00000000002"/>
    <s v="TÜDAB A.Ş."/>
    <s v="CARİ"/>
    <n v="5"/>
    <n v="265"/>
    <n v="0"/>
    <n v="1325"/>
    <m/>
    <n v="5"/>
    <m/>
    <n v="265"/>
    <n v="0"/>
    <n v="0"/>
    <n v="105217.5"/>
  </r>
  <r>
    <d v="2025-10-20T00:00:00"/>
    <x v="3"/>
    <s v="İRİ KABAK ÇEKİRDEĞİ TUZSUZ (KAVRULMUŞ)"/>
    <m/>
    <x v="4"/>
    <s v="FT00000000002"/>
    <s v="TÜDAB A.Ş."/>
    <s v="CARİ"/>
    <n v="5"/>
    <n v="275"/>
    <n v="0"/>
    <n v="1375"/>
    <m/>
    <n v="5"/>
    <m/>
    <n v="275"/>
    <n v="0"/>
    <n v="0"/>
    <n v="105217.5"/>
  </r>
  <r>
    <d v="2025-10-20T00:00:00"/>
    <x v="3"/>
    <s v="ŞENAY ÇAM KOZALAĞI PEKMEZİ 800 G"/>
    <m/>
    <x v="4"/>
    <s v="FT00000000002"/>
    <s v="TÜDAB A.Ş."/>
    <s v="CARİ"/>
    <n v="5"/>
    <n v="95"/>
    <n v="0"/>
    <n v="475"/>
    <m/>
    <n v="5"/>
    <m/>
    <n v="95"/>
    <n v="0"/>
    <n v="0"/>
    <n v="105217.5"/>
  </r>
  <r>
    <d v="2025-10-20T00:00:00"/>
    <x v="4"/>
    <s v="YENİBAHAR TOZ"/>
    <m/>
    <x v="1"/>
    <s v="ST00000000007"/>
    <s v="SATIŞ"/>
    <s v="NAKİT"/>
    <n v="0.05"/>
    <n v="770"/>
    <n v="0"/>
    <n v="0"/>
    <n v="0.05"/>
    <m/>
    <n v="770"/>
    <m/>
    <n v="38.5"/>
    <n v="0"/>
    <n v="105256"/>
  </r>
  <r>
    <d v="2025-10-20T00:00:00"/>
    <x v="4"/>
    <s v="SUMAK"/>
    <m/>
    <x v="1"/>
    <s v="ST00000000007"/>
    <s v="SATIŞ"/>
    <s v="NAKİT"/>
    <n v="0.05"/>
    <n v="360"/>
    <n v="0"/>
    <n v="0"/>
    <n v="0.05"/>
    <m/>
    <n v="360"/>
    <m/>
    <n v="18"/>
    <n v="0"/>
    <n v="105274"/>
  </r>
  <r>
    <d v="2025-10-20T00:00:00"/>
    <x v="4"/>
    <s v="KÖFTE BAHARATI (YEDİTÜRLÜ)"/>
    <m/>
    <x v="1"/>
    <s v="ST00000000007"/>
    <s v="SATIŞ"/>
    <s v="NAKİT"/>
    <n v="0.05"/>
    <n v="330"/>
    <n v="0"/>
    <n v="0"/>
    <n v="0.05"/>
    <m/>
    <n v="330"/>
    <m/>
    <n v="16.5"/>
    <n v="0"/>
    <n v="105290.5"/>
  </r>
  <r>
    <d v="2025-10-20T00:00:00"/>
    <x v="4"/>
    <s v="ZERDEÇAL TOZ"/>
    <m/>
    <x v="1"/>
    <s v="ST00000000007"/>
    <s v="SATIŞ"/>
    <s v="NAKİT"/>
    <n v="0.05"/>
    <n v="250"/>
    <n v="0"/>
    <n v="0"/>
    <n v="0.05"/>
    <m/>
    <n v="250"/>
    <m/>
    <n v="12.5"/>
    <n v="0"/>
    <n v="105303"/>
  </r>
  <r>
    <d v="2025-10-20T00:00:00"/>
    <x v="4"/>
    <s v="KİMYON ÇEKİLMİŞ"/>
    <m/>
    <x v="1"/>
    <s v="ST00000000007"/>
    <s v="SATIŞ"/>
    <s v="NAKİT"/>
    <n v="0.05"/>
    <n v="310"/>
    <n v="0"/>
    <n v="0"/>
    <n v="0.05"/>
    <m/>
    <n v="310"/>
    <m/>
    <n v="15.5"/>
    <n v="0"/>
    <n v="105318.5"/>
  </r>
  <r>
    <d v="2025-10-20T00:00:00"/>
    <x v="4"/>
    <s v="ORMANÖZÜ SUMAKLI NAR EKŞİSİ 250 ml"/>
    <m/>
    <x v="1"/>
    <s v="ST00000000007"/>
    <s v="SATIŞ"/>
    <s v="NAKİT"/>
    <n v="2"/>
    <n v="130"/>
    <n v="0"/>
    <n v="0"/>
    <n v="2"/>
    <m/>
    <n v="130"/>
    <m/>
    <n v="260"/>
    <n v="0"/>
    <n v="105578.5"/>
  </r>
  <r>
    <d v="2025-10-20T00:00:00"/>
    <x v="1"/>
    <m/>
    <s v="İSKONTO GİDERLERİ"/>
    <x v="1"/>
    <s v="ST00000000007"/>
    <s v="SATIŞ"/>
    <s v="NAKİT"/>
    <n v="1"/>
    <n v="11"/>
    <n v="0"/>
    <n v="0"/>
    <m/>
    <n v="1"/>
    <m/>
    <n v="11"/>
    <n v="0"/>
    <n v="11"/>
    <n v="105567.5"/>
  </r>
  <r>
    <d v="2025-10-20T00:00:00"/>
    <x v="4"/>
    <s v="İPEK BİBER"/>
    <m/>
    <x v="1"/>
    <s v="ST00000000008"/>
    <s v="SATIŞ"/>
    <s v="NAKİT"/>
    <n v="0.9"/>
    <n v="450"/>
    <n v="0"/>
    <n v="0"/>
    <n v="0.9"/>
    <m/>
    <n v="450"/>
    <m/>
    <n v="405"/>
    <n v="0"/>
    <n v="105972.5"/>
  </r>
  <r>
    <d v="2025-10-20T00:00:00"/>
    <x v="4"/>
    <s v="DOMATES SALÇASI"/>
    <m/>
    <x v="1"/>
    <s v="ST00000000008"/>
    <s v="SATIŞ"/>
    <s v="NAKİT"/>
    <n v="1"/>
    <n v="125"/>
    <n v="0"/>
    <n v="0"/>
    <n v="1"/>
    <m/>
    <n v="125"/>
    <m/>
    <n v="125"/>
    <n v="0"/>
    <n v="106097.5"/>
  </r>
  <r>
    <d v="2025-10-20T00:00:00"/>
    <x v="4"/>
    <s v="KARABİBER ÇEKİLMİŞ"/>
    <m/>
    <x v="1"/>
    <s v="ST00000000008"/>
    <s v="SATIŞ"/>
    <s v="NAKİT"/>
    <n v="0.26600000000000001"/>
    <n v="580"/>
    <n v="0"/>
    <n v="0"/>
    <n v="0.26600000000000001"/>
    <m/>
    <n v="580"/>
    <m/>
    <n v="154.28"/>
    <n v="0"/>
    <n v="106251.78"/>
  </r>
  <r>
    <d v="2025-10-20T00:00:00"/>
    <x v="4"/>
    <s v="ORMANÖZÜ ORGANİK ÜZÜM SİRKESİ 500 ml"/>
    <m/>
    <x v="1"/>
    <s v="ST00000000008"/>
    <s v="SATIŞ"/>
    <s v="NAKİT"/>
    <n v="1"/>
    <n v="105"/>
    <n v="0"/>
    <n v="0"/>
    <n v="1"/>
    <m/>
    <n v="105"/>
    <m/>
    <n v="105"/>
    <n v="0"/>
    <n v="106356.78"/>
  </r>
  <r>
    <d v="2025-10-20T00:00:00"/>
    <x v="4"/>
    <s v="ORMANÖZÜ ORGANİK ALIÇ SİRKESİ 500 ml"/>
    <m/>
    <x v="1"/>
    <s v="ST00000000008"/>
    <s v="SATIŞ"/>
    <s v="NAKİT"/>
    <n v="1"/>
    <n v="110"/>
    <n v="0"/>
    <n v="0"/>
    <n v="1"/>
    <m/>
    <n v="110"/>
    <m/>
    <n v="110"/>
    <n v="0"/>
    <n v="106466.78"/>
  </r>
  <r>
    <d v="2025-10-20T00:00:00"/>
    <x v="4"/>
    <s v="ORMANÖZÜ ORGANİK YABAN ELMASI SİRKESİ 500 ml"/>
    <m/>
    <x v="1"/>
    <s v="ST00000000008"/>
    <s v="SATIŞ"/>
    <s v="NAKİT"/>
    <n v="1"/>
    <n v="110"/>
    <n v="0"/>
    <n v="0"/>
    <n v="1"/>
    <m/>
    <n v="110"/>
    <m/>
    <n v="110"/>
    <n v="0"/>
    <n v="106576.78"/>
  </r>
  <r>
    <d v="2025-10-20T00:00:00"/>
    <x v="5"/>
    <m/>
    <s v="İSKONTO GELİRLERİ"/>
    <x v="1"/>
    <s v="ST00000000008"/>
    <s v="SATIŞ"/>
    <s v="NAKİT"/>
    <n v="1"/>
    <n v="90.72"/>
    <n v="0"/>
    <n v="0"/>
    <n v="1"/>
    <m/>
    <n v="90.72"/>
    <m/>
    <n v="90.72"/>
    <n v="0"/>
    <n v="106667.5"/>
  </r>
  <r>
    <d v="2025-10-20T00:00:00"/>
    <x v="4"/>
    <s v="KABUKLU CEVİZ (ŞİLİ)"/>
    <m/>
    <x v="1"/>
    <s v="ST00000000009"/>
    <s v="SATIŞ"/>
    <s v="NAKİT"/>
    <n v="1.37"/>
    <n v="300"/>
    <n v="0"/>
    <n v="0"/>
    <n v="1.37"/>
    <m/>
    <n v="300"/>
    <m/>
    <n v="411.00000000000006"/>
    <n v="0"/>
    <n v="107078.5"/>
  </r>
  <r>
    <d v="2025-10-20T00:00:00"/>
    <x v="4"/>
    <s v="ORMANÖZÜ ORGANİK ÜZÜM SİRKESİ 500 ml"/>
    <m/>
    <x v="1"/>
    <s v="ST00000000009"/>
    <s v="SATIŞ"/>
    <s v="NAKİT"/>
    <n v="1"/>
    <n v="105"/>
    <n v="0"/>
    <n v="0"/>
    <n v="1"/>
    <m/>
    <n v="105"/>
    <m/>
    <n v="105"/>
    <n v="0"/>
    <n v="107183.5"/>
  </r>
  <r>
    <d v="2025-10-20T00:00:00"/>
    <x v="4"/>
    <s v="DOLMALIK KURU KABAK"/>
    <m/>
    <x v="1"/>
    <s v="ST00000000010"/>
    <s v="SATIŞ"/>
    <s v="NAKİT"/>
    <n v="1"/>
    <n v="260"/>
    <n v="0"/>
    <n v="0"/>
    <n v="1"/>
    <m/>
    <n v="260"/>
    <m/>
    <n v="260"/>
    <n v="0"/>
    <n v="107443.5"/>
  </r>
  <r>
    <d v="2025-10-20T00:00:00"/>
    <x v="4"/>
    <s v="DOLMALIK KURU PATLICAN"/>
    <m/>
    <x v="1"/>
    <s v="ST00000000010"/>
    <s v="SATIŞ"/>
    <s v="NAKİT"/>
    <n v="1"/>
    <n v="240"/>
    <n v="0"/>
    <n v="0"/>
    <n v="1"/>
    <m/>
    <n v="240"/>
    <m/>
    <n v="240"/>
    <n v="0"/>
    <n v="107683.5"/>
  </r>
  <r>
    <d v="2025-10-20T00:00:00"/>
    <x v="4"/>
    <s v="DOLMALIK KURU ACI BİBER"/>
    <m/>
    <x v="1"/>
    <s v="ST00000000010"/>
    <s v="SATIŞ"/>
    <s v="NAKİT"/>
    <n v="1"/>
    <n v="200"/>
    <n v="0"/>
    <n v="0"/>
    <n v="1"/>
    <m/>
    <n v="200"/>
    <m/>
    <n v="200"/>
    <n v="0"/>
    <n v="107883.5"/>
  </r>
  <r>
    <d v="2025-10-20T00:00:00"/>
    <x v="4"/>
    <s v="KARABİBER ÇEKİLMİŞ"/>
    <m/>
    <x v="1"/>
    <s v="ST00000000011"/>
    <s v="SATIŞ"/>
    <s v="NAKİT"/>
    <n v="0.156"/>
    <n v="580"/>
    <n v="0"/>
    <n v="0"/>
    <n v="0.156"/>
    <m/>
    <n v="580"/>
    <m/>
    <n v="90.48"/>
    <n v="0"/>
    <n v="107973.98"/>
  </r>
  <r>
    <d v="2025-10-20T00:00:00"/>
    <x v="4"/>
    <s v="KİMYON ÇEKİLMİŞ"/>
    <m/>
    <x v="1"/>
    <s v="ST00000000011"/>
    <s v="SATIŞ"/>
    <s v="NAKİT"/>
    <n v="0.1"/>
    <n v="310"/>
    <n v="0"/>
    <n v="0"/>
    <n v="0.1"/>
    <m/>
    <n v="310"/>
    <m/>
    <n v="31"/>
    <n v="0"/>
    <n v="108004.98"/>
  </r>
  <r>
    <d v="2025-10-20T00:00:00"/>
    <x v="4"/>
    <s v="KEKİK LÜX"/>
    <m/>
    <x v="1"/>
    <s v="ST00000000011"/>
    <s v="SATIŞ"/>
    <s v="NAKİT"/>
    <n v="5.2999999999999999E-2"/>
    <n v="760"/>
    <n v="0"/>
    <n v="0"/>
    <n v="5.2999999999999999E-2"/>
    <m/>
    <n v="760"/>
    <m/>
    <n v="40.28"/>
    <n v="0"/>
    <n v="108045.26"/>
  </r>
  <r>
    <d v="2025-10-20T00:00:00"/>
    <x v="4"/>
    <s v="HİBİSKUS"/>
    <m/>
    <x v="1"/>
    <s v="ST00000000011"/>
    <s v="SATIŞ"/>
    <s v="NAKİT"/>
    <n v="0.124"/>
    <n v="240"/>
    <n v="0"/>
    <n v="0"/>
    <n v="0.124"/>
    <m/>
    <n v="240"/>
    <m/>
    <n v="29.759999999999998"/>
    <n v="0"/>
    <n v="108075.01999999999"/>
  </r>
  <r>
    <d v="2025-10-20T00:00:00"/>
    <x v="4"/>
    <s v="ÇUBUK TARÇIN"/>
    <m/>
    <x v="1"/>
    <s v="ST00000000011"/>
    <s v="SATIŞ"/>
    <s v="NAKİT"/>
    <n v="0.04"/>
    <n v="420"/>
    <n v="0"/>
    <n v="0"/>
    <n v="0.04"/>
    <m/>
    <n v="420"/>
    <m/>
    <n v="16.8"/>
    <n v="0"/>
    <n v="108091.81999999999"/>
  </r>
  <r>
    <d v="2025-10-20T00:00:00"/>
    <x v="4"/>
    <s v="İRİ BEYAZ KABAK ÇEKİRDEĞİ - NEVŞEHİR"/>
    <m/>
    <x v="1"/>
    <s v="ST00000000011"/>
    <s v="SATIŞ"/>
    <s v="NAKİT"/>
    <n v="0.34399999999999997"/>
    <n v="350"/>
    <n v="0"/>
    <n v="0"/>
    <n v="0.34399999999999997"/>
    <m/>
    <n v="350"/>
    <m/>
    <n v="120.39999999999999"/>
    <n v="0"/>
    <n v="108212.21999999999"/>
  </r>
  <r>
    <d v="2025-10-20T00:00:00"/>
    <x v="4"/>
    <s v="AYÇEKİRDEĞİ DAKOTA TUZLU EKSTRA"/>
    <m/>
    <x v="1"/>
    <s v="ST00000000011"/>
    <s v="SATIŞ"/>
    <s v="NAKİT"/>
    <n v="0.39800000000000002"/>
    <n v="180"/>
    <n v="0"/>
    <n v="0"/>
    <n v="0.39800000000000002"/>
    <m/>
    <n v="180"/>
    <m/>
    <n v="71.64"/>
    <n v="0"/>
    <n v="108283.85999999999"/>
  </r>
  <r>
    <d v="2025-10-20T00:00:00"/>
    <x v="4"/>
    <s v="GÜNAYDIN KAYA TUZU İNCE"/>
    <m/>
    <x v="1"/>
    <s v="ST00000000011"/>
    <s v="SATIŞ"/>
    <s v="NAKİT"/>
    <n v="0.5"/>
    <n v="80"/>
    <n v="0"/>
    <n v="0"/>
    <n v="0.5"/>
    <m/>
    <n v="80"/>
    <m/>
    <n v="40"/>
    <n v="0"/>
    <n v="108323.85999999999"/>
  </r>
  <r>
    <d v="2025-10-20T00:00:00"/>
    <x v="4"/>
    <s v="SOSLU MISIR YERLİ"/>
    <m/>
    <x v="1"/>
    <s v="ST00000000011"/>
    <s v="SATIŞ"/>
    <s v="NAKİT"/>
    <n v="0.22"/>
    <n v="150"/>
    <n v="0"/>
    <n v="0"/>
    <n v="0.22"/>
    <m/>
    <n v="150"/>
    <m/>
    <n v="33"/>
    <n v="0"/>
    <n v="108356.85999999999"/>
  </r>
  <r>
    <d v="2025-10-20T00:00:00"/>
    <x v="4"/>
    <s v="KARABİBER ÇEKİLMİŞ"/>
    <m/>
    <x v="1"/>
    <s v="ST00000000035"/>
    <s v="SATIŞ"/>
    <s v="NAKİT"/>
    <n v="0.17299999999999999"/>
    <n v="580"/>
    <n v="0"/>
    <n v="0"/>
    <n v="0.17299999999999999"/>
    <m/>
    <n v="580"/>
    <m/>
    <n v="100.33999999999999"/>
    <n v="0"/>
    <n v="108457.19999999998"/>
  </r>
  <r>
    <d v="2025-10-20T00:00:00"/>
    <x v="4"/>
    <s v="İSOT"/>
    <m/>
    <x v="1"/>
    <s v="ST00000000035"/>
    <s v="SATIŞ"/>
    <s v="NAKİT"/>
    <n v="0.182"/>
    <n v="330"/>
    <n v="0"/>
    <n v="0"/>
    <n v="0.182"/>
    <m/>
    <n v="330"/>
    <m/>
    <n v="60.059999999999995"/>
    <n v="0"/>
    <n v="108517.25999999998"/>
  </r>
  <r>
    <d v="2025-10-20T00:00:00"/>
    <x v="4"/>
    <s v="HASEVLİK"/>
    <m/>
    <x v="1"/>
    <s v="ST00000000035"/>
    <s v="SATIŞ"/>
    <s v="NAKİT"/>
    <n v="0.28299999999999997"/>
    <n v="340"/>
    <n v="0"/>
    <n v="0"/>
    <n v="0.28299999999999997"/>
    <m/>
    <n v="340"/>
    <m/>
    <n v="96.219999999999985"/>
    <n v="0"/>
    <n v="108613.47999999998"/>
  </r>
  <r>
    <d v="2025-10-20T00:00:00"/>
    <x v="4"/>
    <s v="TOZ BİBER - ACI"/>
    <m/>
    <x v="1"/>
    <s v="ST00000000035"/>
    <s v="SATIŞ"/>
    <s v="NAKİT"/>
    <n v="0.2"/>
    <n v="290"/>
    <n v="0"/>
    <n v="0"/>
    <n v="0.2"/>
    <m/>
    <n v="290"/>
    <m/>
    <n v="58"/>
    <n v="0"/>
    <n v="108671.47999999998"/>
  </r>
  <r>
    <d v="2025-10-20T00:00:00"/>
    <x v="4"/>
    <s v="YENİ MAHSÜL PAPATYA"/>
    <m/>
    <x v="1"/>
    <s v="ST00000000035"/>
    <s v="SATIŞ"/>
    <s v="NAKİT"/>
    <n v="2.7E-2"/>
    <n v="1500"/>
    <n v="0"/>
    <n v="0"/>
    <n v="2.7E-2"/>
    <m/>
    <n v="1500"/>
    <m/>
    <n v="40.5"/>
    <n v="0"/>
    <n v="108711.97999999998"/>
  </r>
  <r>
    <d v="2025-10-20T00:00:00"/>
    <x v="4"/>
    <s v="HİBİSKUS"/>
    <m/>
    <x v="1"/>
    <s v="ST00000000035"/>
    <s v="SATIŞ"/>
    <s v="NAKİT"/>
    <n v="0.14000000000000001"/>
    <n v="375"/>
    <n v="0"/>
    <n v="0"/>
    <n v="0.14000000000000001"/>
    <m/>
    <n v="375"/>
    <m/>
    <n v="52.500000000000007"/>
    <n v="0"/>
    <n v="108764.47999999998"/>
  </r>
  <r>
    <d v="2025-10-20T00:00:00"/>
    <x v="4"/>
    <s v="DOLMALIK KURU PATLICAN"/>
    <m/>
    <x v="1"/>
    <s v="ST00000000035"/>
    <s v="SATIŞ"/>
    <s v="NAKİT"/>
    <n v="1"/>
    <n v="240"/>
    <n v="0"/>
    <n v="0"/>
    <n v="1"/>
    <m/>
    <n v="240"/>
    <m/>
    <n v="240"/>
    <n v="0"/>
    <n v="109004.47999999998"/>
  </r>
  <r>
    <d v="2025-10-20T00:00:00"/>
    <x v="4"/>
    <s v="ORMANÖZÜ ORGANİK ÜZÜM SİRKESİ 500 ml"/>
    <m/>
    <x v="1"/>
    <s v="ST00000000035"/>
    <s v="SATIŞ"/>
    <s v="NAKİT"/>
    <n v="1"/>
    <n v="110"/>
    <n v="0"/>
    <n v="0"/>
    <n v="1"/>
    <m/>
    <n v="110"/>
    <m/>
    <n v="110"/>
    <n v="0"/>
    <n v="109114.47999999998"/>
  </r>
  <r>
    <d v="2025-10-20T00:00:00"/>
    <x v="4"/>
    <s v="ORMANÖZÜ ORGANİK ALIÇ SİRKESİ 500 ml"/>
    <m/>
    <x v="1"/>
    <s v="ST00000000035"/>
    <s v="SATIŞ"/>
    <s v="NAKİT"/>
    <n v="1"/>
    <n v="110"/>
    <n v="0"/>
    <n v="0"/>
    <n v="1"/>
    <m/>
    <n v="110"/>
    <m/>
    <n v="110"/>
    <n v="0"/>
    <n v="109224.47999999998"/>
  </r>
  <r>
    <d v="2025-10-21T00:00:00"/>
    <x v="3"/>
    <s v="BADEM KAVRULMUŞ"/>
    <m/>
    <x v="4"/>
    <s v="FT00000000003"/>
    <s v="TÜDAB A.Ş."/>
    <s v="CARİ"/>
    <n v="5"/>
    <n v="495"/>
    <n v="0"/>
    <n v="2475"/>
    <m/>
    <n v="5"/>
    <m/>
    <n v="495"/>
    <n v="0"/>
    <n v="0"/>
    <n v="109224.47999999998"/>
  </r>
  <r>
    <d v="2025-10-21T00:00:00"/>
    <x v="3"/>
    <s v="BADEM ÇİĞ "/>
    <m/>
    <x v="4"/>
    <s v="FT00000000003"/>
    <s v="TÜDAB A.Ş."/>
    <s v="CARİ"/>
    <n v="5"/>
    <n v="475"/>
    <n v="0"/>
    <n v="2375"/>
    <m/>
    <n v="5"/>
    <m/>
    <n v="475"/>
    <n v="0"/>
    <n v="0"/>
    <n v="109224.47999999998"/>
  </r>
  <r>
    <d v="2025-10-21T00:00:00"/>
    <x v="3"/>
    <s v="DEMKAR TURUNCU PAKET ANTEP FISTIĞI"/>
    <m/>
    <x v="4"/>
    <s v="FT00000000003"/>
    <s v="TÜDAB A.Ş."/>
    <s v="CARİ"/>
    <n v="4"/>
    <n v="1150"/>
    <n v="0"/>
    <n v="4600"/>
    <m/>
    <n v="4"/>
    <m/>
    <n v="1150"/>
    <n v="0"/>
    <n v="0"/>
    <n v="109224.47999999998"/>
  </r>
  <r>
    <d v="2025-10-21T00:00:00"/>
    <x v="3"/>
    <s v="FINDIK BULACAK (13-15)"/>
    <m/>
    <x v="4"/>
    <s v="FT00000000003"/>
    <s v="TÜDAB A.Ş."/>
    <s v="CARİ"/>
    <n v="5"/>
    <n v="1050"/>
    <n v="0"/>
    <n v="5250"/>
    <m/>
    <n v="5"/>
    <m/>
    <n v="1050"/>
    <n v="0"/>
    <n v="0"/>
    <n v="109224.47999999998"/>
  </r>
  <r>
    <d v="2025-10-21T00:00:00"/>
    <x v="3"/>
    <s v="FINDIK İÇİ ÇİĞ"/>
    <m/>
    <x v="4"/>
    <s v="FT00000000003"/>
    <s v="TÜDAB A.Ş."/>
    <s v="CARİ"/>
    <n v="5"/>
    <n v="900"/>
    <n v="0"/>
    <n v="4500"/>
    <m/>
    <n v="5"/>
    <m/>
    <n v="900"/>
    <n v="0"/>
    <n v="0"/>
    <n v="109224.47999999998"/>
  </r>
  <r>
    <d v="2025-10-21T00:00:00"/>
    <x v="3"/>
    <s v="HAYIT TOHUMU"/>
    <m/>
    <x v="4"/>
    <s v="FT00000000003"/>
    <s v="TÜDAB A.Ş."/>
    <s v="CARİ"/>
    <n v="1"/>
    <n v="150"/>
    <n v="0"/>
    <n v="150"/>
    <m/>
    <n v="1"/>
    <m/>
    <n v="150"/>
    <n v="0"/>
    <n v="0"/>
    <n v="109224.47999999998"/>
  </r>
  <r>
    <d v="2025-10-21T00:00:00"/>
    <x v="3"/>
    <s v="KAJU KAVRULMUŞ 180 LİK"/>
    <m/>
    <x v="4"/>
    <s v="FT00000000003"/>
    <s v="TÜDAB A.Ş."/>
    <s v="CARİ"/>
    <n v="5"/>
    <n v="500"/>
    <n v="0"/>
    <n v="2500"/>
    <m/>
    <n v="5"/>
    <m/>
    <n v="500"/>
    <n v="0"/>
    <n v="0"/>
    <n v="109224.47999999998"/>
  </r>
  <r>
    <d v="2025-10-21T00:00:00"/>
    <x v="3"/>
    <s v="KIRKKLİK OTU (AT KUYRUĞU)"/>
    <m/>
    <x v="4"/>
    <s v="FT00000000003"/>
    <s v="TÜDAB A.Ş."/>
    <s v="CARİ"/>
    <n v="1"/>
    <n v="180"/>
    <n v="0"/>
    <n v="180"/>
    <m/>
    <n v="1"/>
    <m/>
    <n v="180"/>
    <n v="0"/>
    <n v="0"/>
    <n v="109224.47999999998"/>
  </r>
  <r>
    <d v="2025-10-21T00:00:00"/>
    <x v="3"/>
    <s v="KUDÜS HURMASI JUMBO"/>
    <m/>
    <x v="4"/>
    <s v="FT00000000003"/>
    <s v="TÜDAB A.Ş."/>
    <s v="CARİ"/>
    <n v="5"/>
    <n v="510"/>
    <n v="0"/>
    <n v="2550"/>
    <m/>
    <n v="5"/>
    <m/>
    <n v="510"/>
    <n v="0"/>
    <n v="0"/>
    <n v="109224.47999999998"/>
  </r>
  <r>
    <d v="2025-10-21T00:00:00"/>
    <x v="3"/>
    <s v="LEBLEBİ SARI ÖZEL LÜX ÇITIR"/>
    <m/>
    <x v="4"/>
    <s v="FT00000000003"/>
    <s v="TÜDAB A.Ş."/>
    <s v="CARİ"/>
    <n v="5"/>
    <n v="120"/>
    <n v="0"/>
    <n v="600"/>
    <m/>
    <n v="5"/>
    <m/>
    <n v="120"/>
    <n v="0"/>
    <n v="0"/>
    <n v="109224.47999999998"/>
  </r>
  <r>
    <d v="2025-10-21T00:00:00"/>
    <x v="3"/>
    <s v="LEBLEBİ ÇİFTE SARI"/>
    <m/>
    <x v="4"/>
    <s v="FT00000000003"/>
    <s v="TÜDAB A.Ş."/>
    <s v="CARİ"/>
    <n v="5"/>
    <n v="155"/>
    <n v="0"/>
    <n v="775"/>
    <m/>
    <n v="5"/>
    <m/>
    <n v="155"/>
    <n v="0"/>
    <n v="0"/>
    <n v="109224.47999999998"/>
  </r>
  <r>
    <d v="2025-10-21T00:00:00"/>
    <x v="3"/>
    <s v="LEBLEBİ ŞEKER LÜX"/>
    <m/>
    <x v="4"/>
    <s v="FT00000000003"/>
    <s v="TÜDAB A.Ş."/>
    <s v="CARİ"/>
    <n v="5"/>
    <n v="115"/>
    <n v="0"/>
    <n v="575"/>
    <m/>
    <n v="5"/>
    <m/>
    <n v="115"/>
    <n v="0"/>
    <n v="0"/>
    <n v="109224.47999999998"/>
  </r>
  <r>
    <d v="2025-10-21T00:00:00"/>
    <x v="3"/>
    <s v="MATCHA BROMELAİN DETOX ÇAYI"/>
    <m/>
    <x v="4"/>
    <s v="FT00000000003"/>
    <s v="TÜDAB A.Ş."/>
    <s v="CARİ"/>
    <n v="5"/>
    <n v="150"/>
    <n v="0"/>
    <n v="750"/>
    <m/>
    <n v="5"/>
    <m/>
    <n v="150"/>
    <n v="0"/>
    <n v="0"/>
    <n v="109224.47999999998"/>
  </r>
  <r>
    <d v="2025-10-21T00:00:00"/>
    <x v="3"/>
    <s v="MATCHA DETOX ÇAYI"/>
    <m/>
    <x v="4"/>
    <s v="FT00000000003"/>
    <s v="TÜDAB A.Ş."/>
    <s v="CARİ"/>
    <n v="5"/>
    <n v="150"/>
    <n v="0"/>
    <n v="750"/>
    <m/>
    <n v="5"/>
    <m/>
    <n v="150"/>
    <n v="0"/>
    <n v="0"/>
    <n v="109224.47999999998"/>
  </r>
  <r>
    <d v="2025-10-21T00:00:00"/>
    <x v="3"/>
    <s v="MATCHA KAYISI VE YEŞİL ÇAYLI DETOX ÇAYI"/>
    <m/>
    <x v="4"/>
    <s v="FT00000000003"/>
    <s v="TÜDAB A.Ş."/>
    <s v="CARİ"/>
    <n v="5"/>
    <n v="150"/>
    <n v="0"/>
    <n v="750"/>
    <m/>
    <n v="5"/>
    <m/>
    <n v="150"/>
    <n v="0"/>
    <n v="0"/>
    <n v="109224.47999999998"/>
  </r>
  <r>
    <d v="2025-10-21T00:00:00"/>
    <x v="3"/>
    <s v="MEDİNE HURMA DUBLE"/>
    <m/>
    <x v="4"/>
    <s v="FT00000000003"/>
    <s v="TÜDAB A.Ş."/>
    <s v="CARİ"/>
    <n v="5"/>
    <n v="470"/>
    <n v="0"/>
    <n v="2350"/>
    <m/>
    <n v="5"/>
    <m/>
    <n v="470"/>
    <n v="0"/>
    <n v="0"/>
    <n v="109224.47999999998"/>
  </r>
  <r>
    <d v="2025-10-21T00:00:00"/>
    <x v="3"/>
    <s v="MİNDİVAN ATOM ÇAYI"/>
    <m/>
    <x v="4"/>
    <s v="FT00000000003"/>
    <s v="TÜDAB A.Ş."/>
    <s v="CARİ"/>
    <n v="12"/>
    <n v="42"/>
    <n v="0"/>
    <n v="504"/>
    <m/>
    <n v="12"/>
    <m/>
    <n v="42"/>
    <n v="0"/>
    <n v="0"/>
    <n v="109224.47999999998"/>
  </r>
  <r>
    <d v="2025-10-21T00:00:00"/>
    <x v="3"/>
    <s v="NAHİTA ALIÇ SİRKESİ 500 ML"/>
    <m/>
    <x v="4"/>
    <s v="FT00000000003"/>
    <s v="TÜDAB A.Ş."/>
    <s v="CARİ"/>
    <n v="5"/>
    <n v="90"/>
    <n v="0"/>
    <n v="450"/>
    <m/>
    <n v="5"/>
    <m/>
    <n v="90"/>
    <n v="0"/>
    <n v="0"/>
    <n v="109224.47999999998"/>
  </r>
  <r>
    <d v="2025-10-21T00:00:00"/>
    <x v="3"/>
    <s v="NAHİTA DETOKS SİRKESİ 500 ML"/>
    <m/>
    <x v="4"/>
    <s v="FT00000000003"/>
    <s v="TÜDAB A.Ş."/>
    <s v="CARİ"/>
    <n v="5"/>
    <n v="105"/>
    <n v="0"/>
    <n v="525"/>
    <m/>
    <n v="5"/>
    <m/>
    <n v="105"/>
    <n v="0"/>
    <n v="0"/>
    <n v="109224.47999999998"/>
  </r>
  <r>
    <d v="2025-10-21T00:00:00"/>
    <x v="3"/>
    <s v="NAHİTA ELMA SİRKESİ 500 ML"/>
    <m/>
    <x v="4"/>
    <s v="FT00000000003"/>
    <s v="TÜDAB A.Ş."/>
    <s v="CARİ"/>
    <n v="5"/>
    <n v="90"/>
    <n v="0"/>
    <n v="450"/>
    <m/>
    <n v="5"/>
    <m/>
    <n v="90"/>
    <n v="0"/>
    <n v="0"/>
    <n v="109224.47999999998"/>
  </r>
  <r>
    <d v="2025-10-21T00:00:00"/>
    <x v="3"/>
    <s v="NAHİTA GÜL SİRKESİ"/>
    <m/>
    <x v="4"/>
    <s v="FT00000000003"/>
    <s v="TÜDAB A.Ş."/>
    <s v="CARİ"/>
    <n v="5"/>
    <n v="105"/>
    <n v="0"/>
    <n v="525"/>
    <m/>
    <n v="5"/>
    <m/>
    <n v="105"/>
    <n v="0"/>
    <n v="0"/>
    <n v="109224.47999999998"/>
  </r>
  <r>
    <d v="2025-10-21T00:00:00"/>
    <x v="3"/>
    <s v="NAHİTA ÜZÜM SİRKESİ"/>
    <m/>
    <x v="4"/>
    <s v="FT00000000003"/>
    <s v="TÜDAB A.Ş."/>
    <s v="CARİ"/>
    <n v="5"/>
    <n v="90"/>
    <n v="0"/>
    <n v="450"/>
    <m/>
    <n v="5"/>
    <m/>
    <n v="90"/>
    <n v="0"/>
    <n v="0"/>
    <n v="109224.47999999998"/>
  </r>
  <r>
    <d v="2025-10-21T00:00:00"/>
    <x v="3"/>
    <s v="TÜDAB KIŞ ÇAYI 200 GR"/>
    <m/>
    <x v="4"/>
    <s v="FT00000000003"/>
    <s v="TÜDAB A.Ş."/>
    <s v="CARİ"/>
    <n v="15"/>
    <n v="48"/>
    <n v="0"/>
    <n v="720"/>
    <m/>
    <n v="15"/>
    <m/>
    <n v="48"/>
    <n v="0"/>
    <n v="0"/>
    <n v="109224.47999999998"/>
  </r>
  <r>
    <d v="2025-10-21T00:00:00"/>
    <x v="3"/>
    <s v="İZMİR ÜZÜMÜ"/>
    <m/>
    <x v="4"/>
    <s v="FT00000000003"/>
    <s v="TÜDAB A.Ş."/>
    <s v="CARİ"/>
    <n v="5"/>
    <n v="170"/>
    <n v="0"/>
    <n v="850"/>
    <m/>
    <n v="5"/>
    <m/>
    <n v="170"/>
    <n v="0"/>
    <n v="0"/>
    <n v="109224.47999999998"/>
  </r>
  <r>
    <d v="2025-10-21T00:00:00"/>
    <x v="3"/>
    <s v="ŞENAY SUMAK EKŞİSİ 600 GR"/>
    <m/>
    <x v="4"/>
    <s v="FT00000000003"/>
    <s v="TÜDAB A.Ş."/>
    <s v="CARİ"/>
    <n v="3"/>
    <n v="110"/>
    <n v="0"/>
    <n v="330"/>
    <m/>
    <n v="3"/>
    <m/>
    <n v="110"/>
    <n v="0"/>
    <n v="0"/>
    <n v="109224.47999999998"/>
  </r>
  <r>
    <d v="2025-10-21T00:00:00"/>
    <x v="3"/>
    <s v="ŞENAY ÇAM KOZALAĞI ŞURUBU 650 GR"/>
    <m/>
    <x v="4"/>
    <s v="FT00000000003"/>
    <s v="TÜDAB A.Ş."/>
    <s v="CARİ"/>
    <n v="5"/>
    <n v="75"/>
    <n v="0"/>
    <n v="375"/>
    <m/>
    <n v="5"/>
    <m/>
    <n v="75"/>
    <n v="0"/>
    <n v="0"/>
    <n v="109224.47999999998"/>
  </r>
  <r>
    <d v="2025-10-21T00:00:00"/>
    <x v="4"/>
    <s v="KABUKLU CEVİZ (ŞİLİ)"/>
    <m/>
    <x v="1"/>
    <s v="ST00000000012"/>
    <s v="SATIŞ"/>
    <s v="NAKİT"/>
    <n v="1.3"/>
    <n v="300"/>
    <n v="0"/>
    <n v="0"/>
    <n v="1.3"/>
    <m/>
    <n v="300"/>
    <m/>
    <n v="390"/>
    <n v="0"/>
    <n v="109614.47999999998"/>
  </r>
  <r>
    <d v="2025-10-21T00:00:00"/>
    <x v="4"/>
    <s v="AYÇEKİRDEĞİ DAKOTA TUZSUZ EKSTRA"/>
    <m/>
    <x v="1"/>
    <s v="ST00000000012"/>
    <s v="SATIŞ"/>
    <s v="NAKİT"/>
    <n v="0.28399999999999997"/>
    <n v="180"/>
    <n v="0"/>
    <n v="0"/>
    <n v="0.28399999999999997"/>
    <m/>
    <n v="180"/>
    <m/>
    <n v="51.12"/>
    <n v="0"/>
    <n v="109665.59999999998"/>
  </r>
  <r>
    <d v="2025-10-21T00:00:00"/>
    <x v="4"/>
    <s v="FİSKOBİRLİK FINDIK EZMESİ 300 GR"/>
    <m/>
    <x v="1"/>
    <s v="ST00000000012"/>
    <s v="SATIŞ"/>
    <s v="NAKİT"/>
    <n v="1"/>
    <n v="220"/>
    <n v="0"/>
    <n v="0"/>
    <n v="1"/>
    <m/>
    <n v="220"/>
    <m/>
    <n v="220"/>
    <n v="0"/>
    <n v="109885.59999999998"/>
  </r>
  <r>
    <d v="2025-10-21T00:00:00"/>
    <x v="4"/>
    <s v="AYÇEKİRDEĞİ DAKOTA TUZLU EKSTRA"/>
    <m/>
    <x v="1"/>
    <s v="ST00000000013"/>
    <s v="SATIŞ"/>
    <s v="NAKİT"/>
    <n v="0.5"/>
    <n v="180"/>
    <n v="0"/>
    <n v="0"/>
    <n v="0.5"/>
    <m/>
    <n v="180"/>
    <m/>
    <n v="90"/>
    <n v="0"/>
    <n v="109975.59999999998"/>
  </r>
  <r>
    <d v="2025-10-22T00:00:00"/>
    <x v="3"/>
    <s v="FİSKOBİRLİK FINDIK EZMESİ 300 GR"/>
    <m/>
    <x v="2"/>
    <n v="48"/>
    <s v="A101 A.Ş."/>
    <s v="K.K."/>
    <n v="2"/>
    <n v="159"/>
    <n v="0"/>
    <n v="318"/>
    <m/>
    <n v="2"/>
    <m/>
    <n v="159"/>
    <n v="0"/>
    <n v="0"/>
    <n v="109975.59999999998"/>
  </r>
  <r>
    <d v="2025-10-22T00:00:00"/>
    <x v="3"/>
    <s v="URBAN CARE EXPERT BİOTİN VE KAFEİN DÖKÜLME KARŞITI ŞAMPUAN&amp;TONİK SET-VEGAN"/>
    <m/>
    <x v="2"/>
    <s v="AE02025004760510"/>
    <s v="BİM A.Ş."/>
    <s v="K.K."/>
    <n v="2"/>
    <n v="199"/>
    <n v="0"/>
    <n v="398"/>
    <m/>
    <n v="2"/>
    <m/>
    <n v="199"/>
    <n v="0"/>
    <n v="0"/>
    <n v="109975.59999999998"/>
  </r>
  <r>
    <d v="2025-10-22T00:00:00"/>
    <x v="3"/>
    <s v="URBAN CARE BİOTİN&amp;KERATİN DÖKÜLMEYE EĞİLİMLİ SAÇLARA ÖZEL ŞAMPUAN-VEGAN-450 ML"/>
    <m/>
    <x v="2"/>
    <s v="AE02025004760510"/>
    <s v="BİM A.Ş."/>
    <s v="K.K."/>
    <n v="2"/>
    <n v="119"/>
    <n v="0"/>
    <n v="238"/>
    <m/>
    <n v="2"/>
    <m/>
    <n v="119"/>
    <n v="0"/>
    <n v="0"/>
    <n v="109975.59999999998"/>
  </r>
  <r>
    <d v="2025-10-22T00:00:00"/>
    <x v="3"/>
    <s v="URBAN CARE INTENSE KERATİN 450 ML SÜLFATSIZ ŞAMPUAN"/>
    <m/>
    <x v="2"/>
    <s v="AE02025004760510"/>
    <s v="BİM A.Ş."/>
    <s v="K.K."/>
    <n v="2"/>
    <n v="119"/>
    <n v="0"/>
    <n v="238"/>
    <m/>
    <n v="2"/>
    <m/>
    <n v="119"/>
    <n v="0"/>
    <n v="0"/>
    <n v="109975.59999999998"/>
  </r>
  <r>
    <d v="2025-10-22T00:00:00"/>
    <x v="3"/>
    <s v="MARA BIBERIYE LAVANTA SAC YAGI 100 ml"/>
    <m/>
    <x v="2"/>
    <s v="AE02025004760510"/>
    <s v="BİM A.Ş."/>
    <s v="K.K."/>
    <n v="2"/>
    <n v="109"/>
    <n v="0"/>
    <n v="218"/>
    <m/>
    <n v="2"/>
    <m/>
    <n v="109"/>
    <n v="0"/>
    <n v="0"/>
    <n v="109975.59999999998"/>
  </r>
  <r>
    <d v="2025-10-22T00:00:00"/>
    <x v="4"/>
    <s v="HASEVLİK"/>
    <m/>
    <x v="1"/>
    <s v="ST00000000014"/>
    <s v="SATIŞ"/>
    <s v="NAKİT"/>
    <n v="0.53"/>
    <n v="340"/>
    <n v="0"/>
    <n v="0"/>
    <n v="0.53"/>
    <m/>
    <n v="340"/>
    <m/>
    <n v="180.20000000000002"/>
    <n v="0"/>
    <n v="110155.79999999997"/>
  </r>
  <r>
    <d v="2025-10-22T00:00:00"/>
    <x v="4"/>
    <s v="KABUKLU CEVİZ (ŞİLİ)"/>
    <m/>
    <x v="1"/>
    <s v="ST00000000015"/>
    <s v="SATIŞ"/>
    <s v="NAKİT"/>
    <n v="2"/>
    <n v="300"/>
    <n v="0"/>
    <n v="0"/>
    <n v="2"/>
    <m/>
    <n v="300"/>
    <m/>
    <n v="600"/>
    <n v="0"/>
    <n v="110755.79999999997"/>
  </r>
  <r>
    <d v="2025-10-22T00:00:00"/>
    <x v="4"/>
    <s v="AÇLIK OTU"/>
    <m/>
    <x v="1"/>
    <s v="ST00000000016"/>
    <s v="SATIŞ"/>
    <s v="NAKİT"/>
    <n v="0.37"/>
    <n v="270"/>
    <n v="0"/>
    <n v="0"/>
    <n v="0.37"/>
    <m/>
    <n v="270"/>
    <m/>
    <n v="99.9"/>
    <n v="0"/>
    <n v="110855.69999999997"/>
  </r>
  <r>
    <d v="2025-10-22T00:00:00"/>
    <x v="4"/>
    <s v="KAJU 240 LIK EKSTRA"/>
    <m/>
    <x v="1"/>
    <s v="ST00000000017"/>
    <s v="SATIŞ"/>
    <s v="NAKİT"/>
    <n v="0.125"/>
    <n v="650"/>
    <n v="0"/>
    <n v="0"/>
    <n v="0.125"/>
    <m/>
    <n v="650"/>
    <m/>
    <n v="81.25"/>
    <n v="0"/>
    <n v="110936.94999999997"/>
  </r>
  <r>
    <d v="2025-10-22T00:00:00"/>
    <x v="4"/>
    <s v="BADEM ÇİĞ "/>
    <m/>
    <x v="1"/>
    <s v="ST00000000018"/>
    <s v="SATIŞ"/>
    <s v="NAKİT"/>
    <n v="0.125"/>
    <n v="650"/>
    <n v="0"/>
    <n v="0"/>
    <n v="0.125"/>
    <m/>
    <n v="650"/>
    <m/>
    <n v="81.25"/>
    <n v="0"/>
    <n v="111018.19999999997"/>
  </r>
  <r>
    <d v="2025-10-22T00:00:00"/>
    <x v="1"/>
    <m/>
    <s v="BİNA BAKIM ONARIM"/>
    <x v="1"/>
    <m/>
    <s v="NALBUR - TABELA KABLO - KABLO BANDI"/>
    <s v="NAKİT"/>
    <n v="1"/>
    <n v="550"/>
    <n v="0"/>
    <n v="0"/>
    <m/>
    <n v="1"/>
    <m/>
    <n v="550"/>
    <n v="0"/>
    <n v="550"/>
    <n v="110468.19999999997"/>
  </r>
  <r>
    <d v="2025-10-22T00:00:00"/>
    <x v="1"/>
    <m/>
    <s v="MUHASEBE GİDERLERİ"/>
    <x v="1"/>
    <m/>
    <s v="İNAN MUHASEBE"/>
    <s v="NAKİT"/>
    <n v="1"/>
    <n v="1500"/>
    <n v="0"/>
    <n v="0"/>
    <m/>
    <n v="1"/>
    <m/>
    <n v="1500"/>
    <n v="0"/>
    <n v="1500"/>
    <n v="108968.19999999997"/>
  </r>
  <r>
    <d v="2025-10-23T00:00:00"/>
    <x v="4"/>
    <s v="HASEVLİK"/>
    <m/>
    <x v="1"/>
    <s v="ST00000000019"/>
    <s v="SATIŞ"/>
    <s v="NAKİT"/>
    <n v="0.59"/>
    <n v="340"/>
    <n v="0"/>
    <n v="0"/>
    <n v="0.59"/>
    <m/>
    <n v="340"/>
    <m/>
    <n v="200.6"/>
    <n v="0"/>
    <n v="109168.79999999997"/>
  </r>
  <r>
    <d v="2025-10-23T00:00:00"/>
    <x v="4"/>
    <s v="NBN DAĞ İNCİRİ"/>
    <m/>
    <x v="1"/>
    <s v="ST00000000019"/>
    <s v="SATIŞ"/>
    <s v="NAKİT"/>
    <n v="1"/>
    <n v="700"/>
    <n v="0"/>
    <n v="0"/>
    <n v="1"/>
    <m/>
    <n v="700"/>
    <m/>
    <n v="700"/>
    <n v="0"/>
    <n v="109868.79999999997"/>
  </r>
  <r>
    <d v="2025-10-23T00:00:00"/>
    <x v="4"/>
    <s v="DUT KURUSU LÜX ELAZIĞ"/>
    <m/>
    <x v="1"/>
    <s v="ST00000000019"/>
    <s v="SATIŞ"/>
    <s v="NAKİT"/>
    <n v="1"/>
    <n v="800"/>
    <n v="0"/>
    <n v="0"/>
    <n v="1"/>
    <m/>
    <n v="800"/>
    <m/>
    <n v="800"/>
    <n v="0"/>
    <n v="110668.79999999997"/>
  </r>
  <r>
    <d v="2025-10-23T00:00:00"/>
    <x v="4"/>
    <s v="İRİ BEYAZ KABAK ÇEKİRDEĞİ - NEVŞEHİR"/>
    <m/>
    <x v="1"/>
    <s v="ST00000000019"/>
    <s v="SATIŞ"/>
    <s v="NAKİT"/>
    <n v="1"/>
    <n v="350"/>
    <n v="0"/>
    <n v="0"/>
    <n v="1"/>
    <m/>
    <n v="350"/>
    <m/>
    <n v="350"/>
    <n v="0"/>
    <n v="111018.79999999997"/>
  </r>
  <r>
    <d v="2025-10-23T00:00:00"/>
    <x v="4"/>
    <s v="SEYHAN ÜZÜM ÖZEL"/>
    <m/>
    <x v="1"/>
    <s v="ST00000000019"/>
    <s v="SATIŞ"/>
    <s v="NAKİT"/>
    <n v="1"/>
    <n v="650"/>
    <n v="0"/>
    <n v="0"/>
    <n v="1"/>
    <m/>
    <n v="650"/>
    <m/>
    <n v="650"/>
    <n v="0"/>
    <n v="111668.79999999997"/>
  </r>
  <r>
    <d v="2025-10-23T00:00:00"/>
    <x v="4"/>
    <s v="DOMATES SALÇASI"/>
    <m/>
    <x v="1"/>
    <s v="ST00000000019"/>
    <s v="SATIŞ"/>
    <s v="NAKİT"/>
    <n v="2"/>
    <n v="125"/>
    <n v="0"/>
    <n v="0"/>
    <n v="2"/>
    <m/>
    <n v="125"/>
    <m/>
    <n v="250"/>
    <n v="0"/>
    <n v="111918.79999999997"/>
  </r>
  <r>
    <d v="2025-10-23T00:00:00"/>
    <x v="4"/>
    <s v="NAHİTA ELMA SİRKESİ 500 ML"/>
    <m/>
    <x v="1"/>
    <s v="ST00000000019"/>
    <s v="SATIŞ"/>
    <s v="NAKİT"/>
    <n v="1"/>
    <n v="160"/>
    <n v="0"/>
    <n v="0"/>
    <n v="1"/>
    <m/>
    <n v="160"/>
    <m/>
    <n v="160"/>
    <n v="0"/>
    <n v="112078.79999999997"/>
  </r>
  <r>
    <d v="2025-10-23T00:00:00"/>
    <x v="4"/>
    <s v="KABUKLU CEVİZ (ŞİLİ)"/>
    <m/>
    <x v="1"/>
    <s v="ST00000000019"/>
    <s v="SATIŞ"/>
    <s v="NAKİT"/>
    <n v="1"/>
    <n v="300"/>
    <n v="0"/>
    <n v="0"/>
    <n v="1"/>
    <m/>
    <n v="300"/>
    <m/>
    <n v="300"/>
    <n v="0"/>
    <n v="112378.79999999997"/>
  </r>
  <r>
    <d v="2025-10-23T00:00:00"/>
    <x v="4"/>
    <s v="SOSLU MISIR YERLİ"/>
    <m/>
    <x v="1"/>
    <s v="ST00000000019"/>
    <s v="SATIŞ"/>
    <s v="NAKİT"/>
    <n v="0.23499999999999999"/>
    <n v="150"/>
    <n v="0"/>
    <n v="0"/>
    <n v="0.23499999999999999"/>
    <m/>
    <n v="150"/>
    <m/>
    <n v="35.25"/>
    <n v="0"/>
    <n v="112414.04999999997"/>
  </r>
  <r>
    <d v="2025-10-23T00:00:00"/>
    <x v="1"/>
    <m/>
    <s v="İSKONTO GİDERLERİ"/>
    <x v="1"/>
    <s v="ST00000000019"/>
    <s v="SATIŞ"/>
    <s v="NAKİT"/>
    <n v="1"/>
    <n v="45.25"/>
    <n v="0"/>
    <n v="0"/>
    <m/>
    <n v="1"/>
    <m/>
    <n v="45.25"/>
    <n v="0"/>
    <n v="45.25"/>
    <n v="112368.79999999997"/>
  </r>
  <r>
    <d v="2025-10-23T00:00:00"/>
    <x v="4"/>
    <s v="DOLMALIK KURU ACI BİBER"/>
    <m/>
    <x v="1"/>
    <s v="ST00000000020"/>
    <s v="SATIŞ"/>
    <s v="NAKİT"/>
    <n v="1"/>
    <n v="200"/>
    <n v="0"/>
    <n v="0"/>
    <n v="1"/>
    <m/>
    <n v="200"/>
    <m/>
    <n v="200"/>
    <n v="0"/>
    <n v="112568.79999999997"/>
  </r>
  <r>
    <d v="2025-10-23T00:00:00"/>
    <x v="4"/>
    <s v="DOLMALIK KURU PATLICAN"/>
    <m/>
    <x v="1"/>
    <s v="ST00000000020"/>
    <s v="SATIŞ"/>
    <s v="NAKİT"/>
    <n v="1"/>
    <n v="240"/>
    <n v="0"/>
    <n v="0"/>
    <n v="1"/>
    <m/>
    <n v="240"/>
    <m/>
    <n v="240"/>
    <n v="0"/>
    <n v="112808.79999999997"/>
  </r>
  <r>
    <d v="2025-10-23T00:00:00"/>
    <x v="4"/>
    <s v="AYÇEKİRDEĞİ DAKOTA TUZSUZ EKSTRA"/>
    <m/>
    <x v="1"/>
    <s v="ST00000000021"/>
    <s v="SATIŞ"/>
    <s v="NAKİT"/>
    <n v="0.17"/>
    <n v="180"/>
    <n v="0"/>
    <n v="0"/>
    <n v="0.17"/>
    <m/>
    <n v="180"/>
    <m/>
    <n v="30.6"/>
    <n v="0"/>
    <n v="112839.39999999998"/>
  </r>
  <r>
    <d v="2025-10-23T00:00:00"/>
    <x v="4"/>
    <s v="İRİ KABAK ÇEKİRDEĞİ TUZSUZ (KAVRULMUŞ)"/>
    <m/>
    <x v="1"/>
    <s v="ST00000000021"/>
    <s v="SATIŞ"/>
    <s v="NAKİT"/>
    <n v="0.17"/>
    <n v="350"/>
    <n v="0"/>
    <n v="0"/>
    <n v="0.17"/>
    <m/>
    <n v="350"/>
    <m/>
    <n v="59.500000000000007"/>
    <n v="0"/>
    <n v="112898.89999999998"/>
  </r>
  <r>
    <d v="2025-10-24T00:00:00"/>
    <x v="6"/>
    <s v="CEVİZ KELEBEK (ŞİLİ)"/>
    <m/>
    <x v="4"/>
    <s v="IA00000000001"/>
    <s v="TÜDAB A.Ş."/>
    <s v="CARİ"/>
    <n v="5"/>
    <n v="570"/>
    <n v="2850"/>
    <n v="0"/>
    <n v="5"/>
    <m/>
    <n v="570"/>
    <m/>
    <n v="0"/>
    <n v="0"/>
    <n v="112898.89999999998"/>
  </r>
  <r>
    <d v="2025-10-24T00:00:00"/>
    <x v="6"/>
    <s v="KAJU KAVRULMUŞ 180 LİK"/>
    <m/>
    <x v="4"/>
    <s v="IA00000000002"/>
    <s v="TÜDAB A.Ş."/>
    <s v="CARİ"/>
    <n v="5"/>
    <n v="500"/>
    <n v="2500"/>
    <n v="0"/>
    <n v="5"/>
    <m/>
    <n v="500"/>
    <m/>
    <n v="0"/>
    <n v="0"/>
    <n v="112898.89999999998"/>
  </r>
  <r>
    <d v="2025-10-24T00:00:00"/>
    <x v="4"/>
    <s v="NANE İRİ"/>
    <m/>
    <x v="1"/>
    <s v="ST00000000022"/>
    <s v="SATIŞ"/>
    <s v="NAKİT"/>
    <n v="0.44"/>
    <n v="230"/>
    <n v="0"/>
    <n v="0"/>
    <n v="0.44"/>
    <m/>
    <n v="230"/>
    <m/>
    <n v="101.2"/>
    <n v="0"/>
    <n v="113000.09999999998"/>
  </r>
  <r>
    <d v="2025-10-24T00:00:00"/>
    <x v="4"/>
    <s v="KEKİK LÜX"/>
    <m/>
    <x v="1"/>
    <s v="ST00000000022"/>
    <s v="SATIŞ"/>
    <s v="NAKİT"/>
    <n v="0.13200000000000001"/>
    <n v="760"/>
    <n v="0"/>
    <n v="0"/>
    <n v="0.13200000000000001"/>
    <m/>
    <n v="760"/>
    <m/>
    <n v="100.32000000000001"/>
    <n v="0"/>
    <n v="113100.41999999998"/>
  </r>
  <r>
    <d v="2025-10-24T00:00:00"/>
    <x v="4"/>
    <s v="TOZ TARÇIN"/>
    <m/>
    <x v="1"/>
    <s v="ST00000000023"/>
    <s v="SATIŞ"/>
    <s v="NAKİT"/>
    <n v="0.21"/>
    <n v="240"/>
    <n v="0"/>
    <n v="0"/>
    <n v="0.21"/>
    <m/>
    <n v="240"/>
    <m/>
    <n v="50.4"/>
    <n v="0"/>
    <n v="113150.81999999998"/>
  </r>
  <r>
    <d v="2025-10-24T00:00:00"/>
    <x v="4"/>
    <s v="KABUKLU CEVİZ (ŞİLİ)"/>
    <m/>
    <x v="1"/>
    <s v="ST00000000024"/>
    <s v="SATIŞ"/>
    <s v="NAKİT"/>
    <n v="0.66700000000000004"/>
    <n v="300"/>
    <n v="0"/>
    <n v="0"/>
    <n v="0.66700000000000004"/>
    <m/>
    <n v="300"/>
    <m/>
    <n v="200.10000000000002"/>
    <n v="0"/>
    <n v="113350.91999999998"/>
  </r>
  <r>
    <d v="2025-10-24T00:00:00"/>
    <x v="4"/>
    <s v="DOLMALIK KURU PATLICAN"/>
    <m/>
    <x v="1"/>
    <s v="ST00000000025"/>
    <s v="SATIŞ"/>
    <s v="NAKİT"/>
    <n v="1"/>
    <n v="240"/>
    <n v="0"/>
    <n v="0"/>
    <n v="1"/>
    <m/>
    <n v="240"/>
    <m/>
    <n v="240"/>
    <n v="0"/>
    <n v="113590.91999999998"/>
  </r>
  <r>
    <d v="2025-10-24T00:00:00"/>
    <x v="4"/>
    <s v="DOLMALIK KURU ACI BİBER"/>
    <m/>
    <x v="1"/>
    <s v="ST00000000025"/>
    <s v="SATIŞ"/>
    <s v="NAKİT"/>
    <n v="1"/>
    <n v="200"/>
    <n v="0"/>
    <n v="0"/>
    <n v="1"/>
    <m/>
    <n v="200"/>
    <m/>
    <n v="200"/>
    <n v="0"/>
    <n v="113790.91999999998"/>
  </r>
  <r>
    <d v="2025-10-24T00:00:00"/>
    <x v="4"/>
    <s v="KARANFİL"/>
    <m/>
    <x v="1"/>
    <s v="ST00000000025"/>
    <s v="SATIŞ"/>
    <s v="NAKİT"/>
    <n v="0.04"/>
    <n v="1140"/>
    <n v="0"/>
    <n v="0"/>
    <n v="0.04"/>
    <m/>
    <n v="1140"/>
    <m/>
    <n v="45.6"/>
    <n v="0"/>
    <n v="113836.51999999999"/>
  </r>
  <r>
    <d v="2025-10-24T00:00:00"/>
    <x v="4"/>
    <s v="SEYHAN ÜZÜM ÖZEL"/>
    <m/>
    <x v="1"/>
    <s v="ST00000000025"/>
    <s v="SATIŞ"/>
    <s v="NAKİT"/>
    <n v="0.188"/>
    <n v="650"/>
    <n v="0"/>
    <n v="0"/>
    <n v="0.188"/>
    <m/>
    <n v="650"/>
    <m/>
    <n v="122.2"/>
    <n v="0"/>
    <n v="113958.71999999999"/>
  </r>
  <r>
    <d v="2025-10-24T00:00:00"/>
    <x v="4"/>
    <s v="DUT KURUSU LÜX ELAZIĞ"/>
    <m/>
    <x v="1"/>
    <s v="ST00000000025"/>
    <s v="SATIŞ"/>
    <s v="NAKİT"/>
    <n v="0.2"/>
    <n v="800"/>
    <n v="0"/>
    <n v="0"/>
    <n v="0.2"/>
    <m/>
    <n v="800"/>
    <m/>
    <n v="160"/>
    <n v="0"/>
    <n v="114118.71999999999"/>
  </r>
  <r>
    <d v="2025-10-24T00:00:00"/>
    <x v="4"/>
    <s v="İRİ BEYAZ KABAK ÇEKİRDEĞİ - NEVŞEHİR"/>
    <m/>
    <x v="1"/>
    <s v="ST00000000025"/>
    <s v="SATIŞ"/>
    <s v="NAKİT"/>
    <n v="0.17599999999999999"/>
    <n v="350"/>
    <n v="0"/>
    <n v="0"/>
    <n v="0.17599999999999999"/>
    <m/>
    <n v="350"/>
    <m/>
    <n v="61.599999999999994"/>
    <n v="0"/>
    <n v="114180.31999999999"/>
  </r>
  <r>
    <d v="2025-10-24T00:00:00"/>
    <x v="1"/>
    <m/>
    <s v="İSKONTO GİDERLERİ"/>
    <x v="1"/>
    <s v="ST00000000025"/>
    <s v="SATIŞ"/>
    <s v="NAKİT"/>
    <n v="1"/>
    <n v="29.4"/>
    <n v="0"/>
    <n v="0"/>
    <m/>
    <n v="1"/>
    <m/>
    <n v="29.4"/>
    <n v="0"/>
    <n v="29.4"/>
    <n v="114150.92"/>
  </r>
  <r>
    <d v="2025-10-24T00:00:00"/>
    <x v="4"/>
    <s v="IHLAMUR ÇİÇEK EKSTRA"/>
    <m/>
    <x v="1"/>
    <s v="ST00000000026"/>
    <s v="SATIŞ"/>
    <s v="NAKİT"/>
    <n v="0.04"/>
    <n v="3000"/>
    <n v="0"/>
    <n v="0"/>
    <n v="0.04"/>
    <m/>
    <n v="3000"/>
    <m/>
    <n v="120"/>
    <n v="0"/>
    <n v="114270.92"/>
  </r>
  <r>
    <d v="2025-10-24T00:00:00"/>
    <x v="4"/>
    <s v="IHLAMUR YAPRAK"/>
    <m/>
    <x v="1"/>
    <s v="ST00000000026"/>
    <s v="SATIŞ"/>
    <s v="NAKİT"/>
    <n v="5.6000000000000001E-2"/>
    <n v="2000"/>
    <n v="0"/>
    <n v="0"/>
    <n v="5.6000000000000001E-2"/>
    <m/>
    <n v="2000"/>
    <m/>
    <n v="112"/>
    <n v="0"/>
    <n v="114382.92"/>
  </r>
  <r>
    <d v="2025-10-24T00:00:00"/>
    <x v="4"/>
    <s v="KAFFKA DİBEK KAHVESİ 150 GR"/>
    <m/>
    <x v="1"/>
    <s v="ST00000000026"/>
    <s v="SATIŞ"/>
    <s v="NAKİT"/>
    <n v="1"/>
    <n v="65"/>
    <n v="0"/>
    <n v="0"/>
    <n v="1"/>
    <m/>
    <n v="65"/>
    <m/>
    <n v="65"/>
    <n v="0"/>
    <n v="114447.92"/>
  </r>
  <r>
    <d v="2025-10-24T00:00:00"/>
    <x v="4"/>
    <s v="KABUKLU CEVİZ (ŞİLİ)"/>
    <m/>
    <x v="1"/>
    <s v="ST00000000027"/>
    <s v="SATIŞ"/>
    <s v="NAKİT"/>
    <n v="1"/>
    <n v="300"/>
    <n v="0"/>
    <n v="0"/>
    <n v="1"/>
    <m/>
    <n v="300"/>
    <m/>
    <n v="300"/>
    <n v="0"/>
    <n v="114747.92"/>
  </r>
  <r>
    <d v="2025-10-24T00:00:00"/>
    <x v="4"/>
    <s v="SEYHAN ÜZÜM ÖZEL"/>
    <m/>
    <x v="1"/>
    <s v="ST00000000027"/>
    <s v="SATIŞ"/>
    <s v="NAKİT"/>
    <n v="0.156"/>
    <n v="650"/>
    <n v="0"/>
    <n v="0"/>
    <n v="0.156"/>
    <m/>
    <n v="650"/>
    <m/>
    <n v="101.4"/>
    <n v="0"/>
    <n v="114849.31999999999"/>
  </r>
  <r>
    <d v="2025-10-24T00:00:00"/>
    <x v="4"/>
    <s v="ÇÖREKOTU"/>
    <m/>
    <x v="1"/>
    <s v="ST00000000028"/>
    <s v="SATIŞ"/>
    <s v="NAKİT"/>
    <n v="0.17499999999999999"/>
    <n v="290"/>
    <n v="0"/>
    <n v="0"/>
    <n v="0.17499999999999999"/>
    <m/>
    <n v="290"/>
    <m/>
    <n v="50.75"/>
    <n v="0"/>
    <n v="114900.06999999999"/>
  </r>
  <r>
    <d v="2025-10-25T00:00:00"/>
    <x v="4"/>
    <s v="SALÇA TATLI (EV YAPIMI)"/>
    <m/>
    <x v="1"/>
    <s v="ST00000000029"/>
    <s v="SATIŞ"/>
    <s v="NAKİT"/>
    <n v="1.2"/>
    <n v="180"/>
    <n v="0"/>
    <n v="0"/>
    <n v="1.2"/>
    <m/>
    <n v="180"/>
    <m/>
    <n v="216"/>
    <n v="0"/>
    <n v="115116.06999999999"/>
  </r>
  <r>
    <d v="2025-10-25T00:00:00"/>
    <x v="4"/>
    <s v="EVLİK BİBER"/>
    <m/>
    <x v="5"/>
    <s v="ST00000000030"/>
    <s v="SATIŞ"/>
    <s v="POS"/>
    <n v="0.222"/>
    <n v="340"/>
    <n v="75.48"/>
    <n v="0"/>
    <n v="0.222"/>
    <m/>
    <n v="340"/>
    <m/>
    <n v="0"/>
    <n v="0"/>
    <n v="115116.06999999999"/>
  </r>
  <r>
    <d v="2025-10-25T00:00:00"/>
    <x v="4"/>
    <s v="DERME GÜN KURUSU KAYISI JUMBO"/>
    <m/>
    <x v="5"/>
    <s v="ST00000000031"/>
    <s v="SATIŞ"/>
    <s v="POS"/>
    <n v="0.11"/>
    <n v="930"/>
    <n v="102.3"/>
    <n v="0"/>
    <n v="0.11"/>
    <m/>
    <n v="930"/>
    <m/>
    <n v="0"/>
    <n v="0"/>
    <n v="115116.06999999999"/>
  </r>
  <r>
    <d v="2025-10-25T00:00:00"/>
    <x v="4"/>
    <s v="SOSLU MISIR YERLİ"/>
    <m/>
    <x v="1"/>
    <s v="ST00000000032"/>
    <s v="SATIŞ"/>
    <s v="NAKİT"/>
    <n v="0.2"/>
    <n v="150"/>
    <n v="0"/>
    <n v="0"/>
    <n v="0.2"/>
    <m/>
    <n v="150"/>
    <m/>
    <n v="30"/>
    <n v="0"/>
    <n v="115146.06999999999"/>
  </r>
  <r>
    <d v="2025-10-25T00:00:00"/>
    <x v="4"/>
    <s v="HAŞİROĞLU TARHANA CİPS"/>
    <m/>
    <x v="1"/>
    <s v="ST00000000032"/>
    <s v="SATIŞ"/>
    <s v="NAKİT"/>
    <n v="1"/>
    <n v="290"/>
    <n v="0"/>
    <n v="0"/>
    <n v="1"/>
    <m/>
    <n v="290"/>
    <m/>
    <n v="290"/>
    <n v="0"/>
    <n v="115436.06999999999"/>
  </r>
  <r>
    <d v="2025-10-25T00:00:00"/>
    <x v="4"/>
    <s v="KAFFKA DİBEK KAHVESİ 150 GR"/>
    <m/>
    <x v="1"/>
    <s v="ST00000000032"/>
    <s v="SATIŞ"/>
    <s v="NAKİT"/>
    <n v="1"/>
    <n v="65"/>
    <n v="0"/>
    <n v="0"/>
    <n v="1"/>
    <m/>
    <n v="65"/>
    <m/>
    <n v="65"/>
    <n v="0"/>
    <n v="115501.06999999999"/>
  </r>
  <r>
    <d v="2025-10-25T00:00:00"/>
    <x v="4"/>
    <s v="ŞENAY SUMAK EKŞİSİ 600 GR"/>
    <m/>
    <x v="1"/>
    <s v="ST00000000032"/>
    <s v="SATIŞ"/>
    <s v="NAKİT"/>
    <n v="1"/>
    <n v="140"/>
    <n v="0"/>
    <n v="0"/>
    <n v="1"/>
    <m/>
    <n v="140"/>
    <m/>
    <n v="140"/>
    <n v="0"/>
    <n v="115641.06999999999"/>
  </r>
  <r>
    <d v="2025-10-25T00:00:00"/>
    <x v="4"/>
    <s v="YENİBAHAR TOZ"/>
    <m/>
    <x v="1"/>
    <s v="ST00000000032"/>
    <s v="SATIŞ"/>
    <s v="NAKİT"/>
    <n v="0.17199999999999999"/>
    <n v="770"/>
    <n v="0"/>
    <n v="0"/>
    <n v="0.17199999999999999"/>
    <m/>
    <n v="770"/>
    <m/>
    <n v="132.44"/>
    <n v="0"/>
    <n v="115773.51"/>
  </r>
  <r>
    <d v="2025-10-25T00:00:00"/>
    <x v="4"/>
    <s v="KÖFTE BAHARATI (YEDİTÜRLÜ)"/>
    <m/>
    <x v="1"/>
    <s v="ST00000000032"/>
    <s v="SATIŞ"/>
    <s v="NAKİT"/>
    <n v="0.12"/>
    <n v="330"/>
    <n v="0"/>
    <n v="0"/>
    <n v="0.12"/>
    <m/>
    <n v="330"/>
    <m/>
    <n v="39.6"/>
    <n v="0"/>
    <n v="115813.11"/>
  </r>
  <r>
    <d v="2025-10-25T00:00:00"/>
    <x v="4"/>
    <s v="ZENCEFİL TOZ"/>
    <m/>
    <x v="1"/>
    <s v="ST00000000032"/>
    <s v="SATIŞ"/>
    <s v="NAKİT"/>
    <n v="6.4000000000000001E-2"/>
    <n v="290"/>
    <n v="0"/>
    <n v="0"/>
    <n v="6.4000000000000001E-2"/>
    <m/>
    <n v="290"/>
    <m/>
    <n v="18.559999999999999"/>
    <n v="0"/>
    <n v="115831.67"/>
  </r>
  <r>
    <d v="2025-10-25T00:00:00"/>
    <x v="4"/>
    <s v="HİBİSKUS"/>
    <m/>
    <x v="1"/>
    <s v="ST00000000032"/>
    <s v="SATIŞ"/>
    <s v="NAKİT"/>
    <n v="0.50800000000000001"/>
    <n v="375"/>
    <n v="0"/>
    <n v="0"/>
    <n v="0.50800000000000001"/>
    <m/>
    <n v="375"/>
    <m/>
    <n v="190.5"/>
    <n v="0"/>
    <n v="116022.17"/>
  </r>
  <r>
    <d v="2025-10-25T00:00:00"/>
    <x v="4"/>
    <s v="SALÇA ACI (EV YAPIMI)"/>
    <m/>
    <x v="1"/>
    <s v="ST00000000032"/>
    <s v="SATIŞ"/>
    <s v="NAKİT"/>
    <n v="0.85199999999999998"/>
    <n v="180"/>
    <n v="0"/>
    <n v="0"/>
    <n v="0.85199999999999998"/>
    <m/>
    <n v="180"/>
    <m/>
    <n v="153.35999999999999"/>
    <n v="0"/>
    <n v="116175.53"/>
  </r>
  <r>
    <d v="2025-10-25T00:00:00"/>
    <x v="4"/>
    <s v="DOMATES SALÇASI"/>
    <m/>
    <x v="1"/>
    <s v="ST00000000032"/>
    <s v="SATIŞ"/>
    <s v="NAKİT"/>
    <n v="0.98399999999999999"/>
    <n v="125"/>
    <n v="0"/>
    <n v="0"/>
    <n v="0.98399999999999999"/>
    <m/>
    <n v="125"/>
    <m/>
    <n v="123"/>
    <n v="0"/>
    <n v="116298.53"/>
  </r>
  <r>
    <d v="2025-10-25T00:00:00"/>
    <x v="4"/>
    <s v="DOLMALIK KURU PATLICAN"/>
    <m/>
    <x v="1"/>
    <s v="ST00000000032"/>
    <s v="SATIŞ"/>
    <s v="NAKİT"/>
    <n v="1"/>
    <n v="240"/>
    <n v="0"/>
    <n v="0"/>
    <n v="1"/>
    <m/>
    <n v="240"/>
    <m/>
    <n v="240"/>
    <n v="0"/>
    <n v="116538.53"/>
  </r>
  <r>
    <d v="2025-10-25T00:00:00"/>
    <x v="4"/>
    <s v="DOLMALIK KURU ACI BİBER"/>
    <m/>
    <x v="1"/>
    <s v="ST00000000032"/>
    <s v="SATIŞ"/>
    <s v="NAKİT"/>
    <n v="1"/>
    <n v="200"/>
    <n v="0"/>
    <n v="0"/>
    <n v="1"/>
    <m/>
    <n v="200"/>
    <m/>
    <n v="200"/>
    <n v="0"/>
    <n v="116738.53"/>
  </r>
  <r>
    <d v="2025-10-25T00:00:00"/>
    <x v="4"/>
    <s v="DOLMALIK KURU KABAK"/>
    <m/>
    <x v="1"/>
    <s v="ST00000000032"/>
    <s v="SATIŞ"/>
    <s v="NAKİT"/>
    <n v="1"/>
    <n v="260"/>
    <n v="0"/>
    <n v="0"/>
    <n v="1"/>
    <m/>
    <n v="260"/>
    <m/>
    <n v="260"/>
    <n v="0"/>
    <n v="116998.53"/>
  </r>
  <r>
    <d v="2025-10-25T00:00:00"/>
    <x v="5"/>
    <m/>
    <s v="İSKONTO GELİRLERİ"/>
    <x v="1"/>
    <s v="ST00000000032"/>
    <s v="SATIŞ"/>
    <s v="NAKİT"/>
    <n v="1"/>
    <n v="320"/>
    <n v="0"/>
    <n v="0"/>
    <n v="1"/>
    <m/>
    <n v="320"/>
    <m/>
    <n v="320"/>
    <n v="0"/>
    <n v="117318.53"/>
  </r>
  <r>
    <d v="2025-10-25T00:00:00"/>
    <x v="4"/>
    <s v="DOMATES SALÇASI"/>
    <m/>
    <x v="1"/>
    <s v="ST00000000033"/>
    <s v="SATIŞ"/>
    <s v="NAKİT"/>
    <n v="0.71599999999999997"/>
    <n v="125"/>
    <n v="0"/>
    <n v="0"/>
    <n v="0.71599999999999997"/>
    <m/>
    <n v="125"/>
    <m/>
    <n v="89.5"/>
    <n v="0"/>
    <n v="117408.03"/>
  </r>
  <r>
    <d v="2025-10-25T00:00:00"/>
    <x v="4"/>
    <s v="SALÇA ACI (EV YAPIMI)"/>
    <m/>
    <x v="1"/>
    <s v="ST00000000033"/>
    <s v="SATIŞ"/>
    <s v="NAKİT"/>
    <n v="0.68400000000000005"/>
    <n v="180"/>
    <n v="0"/>
    <n v="0"/>
    <n v="0.68400000000000005"/>
    <m/>
    <n v="180"/>
    <m/>
    <n v="123.12"/>
    <n v="0"/>
    <n v="117531.15"/>
  </r>
  <r>
    <d v="2025-10-25T00:00:00"/>
    <x v="4"/>
    <s v="DOMATES SALÇASI"/>
    <m/>
    <x v="1"/>
    <s v="ST00000000034"/>
    <s v="SATIŞ"/>
    <s v="NAKİT"/>
    <n v="0.65"/>
    <n v="125"/>
    <n v="0"/>
    <n v="0"/>
    <n v="0.65"/>
    <m/>
    <n v="125"/>
    <m/>
    <n v="81.25"/>
    <n v="0"/>
    <n v="117612.4"/>
  </r>
  <r>
    <d v="2025-10-25T00:00:00"/>
    <x v="4"/>
    <s v="DOLMALIK KURU ACI BİBER"/>
    <m/>
    <x v="1"/>
    <s v="ST00000000034"/>
    <s v="SATIŞ"/>
    <s v="NAKİT"/>
    <n v="1"/>
    <n v="200"/>
    <n v="0"/>
    <n v="0"/>
    <n v="1"/>
    <m/>
    <n v="200"/>
    <m/>
    <n v="200"/>
    <n v="0"/>
    <n v="117812.4"/>
  </r>
  <r>
    <d v="2025-10-25T00:00:00"/>
    <x v="4"/>
    <s v="MİNDİVAN ATOM ÇAYI"/>
    <m/>
    <x v="5"/>
    <s v="ST00000000036"/>
    <s v="SATIŞ"/>
    <s v="POS"/>
    <n v="2"/>
    <n v="100"/>
    <n v="200"/>
    <n v="0"/>
    <n v="2"/>
    <m/>
    <n v="100"/>
    <m/>
    <n v="0"/>
    <n v="0"/>
    <n v="117812.4"/>
  </r>
  <r>
    <d v="2025-10-26T00:00:00"/>
    <x v="4"/>
    <s v="EVLİK BİBER"/>
    <m/>
    <x v="1"/>
    <s v="ST00000000037"/>
    <s v="SATIŞ"/>
    <s v="NAKİT"/>
    <n v="0.186"/>
    <n v="360"/>
    <n v="0"/>
    <n v="0"/>
    <n v="0.186"/>
    <m/>
    <n v="360"/>
    <m/>
    <n v="66.959999999999994"/>
    <n v="0"/>
    <n v="117879.36"/>
  </r>
  <r>
    <d v="2025-10-26T00:00:00"/>
    <x v="4"/>
    <s v="KARANFİL"/>
    <m/>
    <x v="5"/>
    <s v="ST00000000038"/>
    <s v="SATIŞ"/>
    <s v="POS"/>
    <n v="0.05"/>
    <n v="1100"/>
    <n v="55"/>
    <n v="0"/>
    <n v="0.05"/>
    <m/>
    <n v="1100"/>
    <m/>
    <n v="0"/>
    <n v="0"/>
    <n v="117879.36"/>
  </r>
  <r>
    <d v="2025-10-26T00:00:00"/>
    <x v="4"/>
    <s v="HİBİSKUS"/>
    <m/>
    <x v="5"/>
    <s v="ST00000000038"/>
    <s v="SATIŞ"/>
    <s v="POS"/>
    <n v="0.1"/>
    <n v="625"/>
    <n v="62.5"/>
    <n v="0"/>
    <n v="0.1"/>
    <m/>
    <n v="625"/>
    <m/>
    <n v="0"/>
    <n v="0"/>
    <n v="117879.36"/>
  </r>
  <r>
    <d v="2025-10-26T00:00:00"/>
    <x v="4"/>
    <s v="YEŞİL ÇAY YAPRAK"/>
    <m/>
    <x v="1"/>
    <s v="ST00000000039"/>
    <s v="SATIŞ"/>
    <s v="NAKİT"/>
    <n v="0.254"/>
    <n v="810"/>
    <n v="0"/>
    <n v="0"/>
    <n v="0.254"/>
    <m/>
    <n v="810"/>
    <m/>
    <n v="205.74"/>
    <n v="0"/>
    <n v="118085.1"/>
  </r>
  <r>
    <d v="2025-10-26T00:00:00"/>
    <x v="4"/>
    <s v="ÇUBUK TARÇIN"/>
    <m/>
    <x v="1"/>
    <s v="ST00000000039"/>
    <s v="SATIŞ"/>
    <s v="NAKİT"/>
    <n v="0.26200000000000001"/>
    <n v="660"/>
    <n v="0"/>
    <n v="0"/>
    <n v="0.26200000000000001"/>
    <m/>
    <n v="660"/>
    <m/>
    <n v="172.92000000000002"/>
    <n v="0"/>
    <n v="118258.02"/>
  </r>
  <r>
    <d v="2025-10-26T00:00:00"/>
    <x v="4"/>
    <s v="REZENE"/>
    <m/>
    <x v="1"/>
    <s v="ST00000000039"/>
    <s v="SATIŞ"/>
    <s v="NAKİT"/>
    <n v="0.27800000000000002"/>
    <n v="450"/>
    <n v="0"/>
    <n v="0"/>
    <n v="0.27800000000000002"/>
    <m/>
    <n v="450"/>
    <m/>
    <n v="125.10000000000001"/>
    <n v="0"/>
    <n v="118383.12000000001"/>
  </r>
  <r>
    <d v="2025-10-26T00:00:00"/>
    <x v="4"/>
    <s v="HİBİSKUS"/>
    <m/>
    <x v="1"/>
    <s v="ST00000000039"/>
    <s v="SATIŞ"/>
    <s v="NAKİT"/>
    <n v="0.5"/>
    <n v="625"/>
    <n v="0"/>
    <n v="0"/>
    <n v="0.5"/>
    <m/>
    <n v="625"/>
    <m/>
    <n v="312.5"/>
    <n v="0"/>
    <n v="118695.62000000001"/>
  </r>
  <r>
    <d v="2025-10-26T00:00:00"/>
    <x v="1"/>
    <m/>
    <s v="İSKONTO GİDERLERİ"/>
    <x v="1"/>
    <s v="ST00000000039"/>
    <s v="SATIŞ"/>
    <s v="NAKİT"/>
    <n v="1"/>
    <n v="16.260000000000002"/>
    <n v="0"/>
    <n v="0"/>
    <m/>
    <n v="1"/>
    <m/>
    <n v="16.260000000000002"/>
    <n v="0"/>
    <n v="16.260000000000002"/>
    <n v="118679.36000000002"/>
  </r>
  <r>
    <d v="2025-10-26T00:00:00"/>
    <x v="4"/>
    <s v="IHLAMUR YAPRAK"/>
    <m/>
    <x v="1"/>
    <s v="ST00000000040"/>
    <s v="SATIŞ"/>
    <s v="NAKİT"/>
    <n v="0.05"/>
    <n v="2500"/>
    <n v="0"/>
    <n v="0"/>
    <n v="0.05"/>
    <m/>
    <n v="2500"/>
    <m/>
    <n v="125"/>
    <n v="0"/>
    <n v="118804.36000000002"/>
  </r>
  <r>
    <d v="2025-10-26T00:00:00"/>
    <x v="4"/>
    <s v="TÜDAB KIŞ ÇAYI 200 GR"/>
    <m/>
    <x v="1"/>
    <s v="ST00000000040"/>
    <s v="SATIŞ"/>
    <s v="NAKİT"/>
    <n v="1"/>
    <n v="140"/>
    <n v="0"/>
    <n v="0"/>
    <n v="1"/>
    <m/>
    <n v="140"/>
    <m/>
    <n v="140"/>
    <n v="0"/>
    <n v="118944.36000000002"/>
  </r>
  <r>
    <d v="2025-10-26T00:00:00"/>
    <x v="4"/>
    <s v="MATCHA DETOX ÇAYI"/>
    <m/>
    <x v="1"/>
    <s v="ST00000000040"/>
    <s v="SATIŞ"/>
    <s v="NAKİT"/>
    <n v="1"/>
    <n v="270"/>
    <n v="0"/>
    <n v="0"/>
    <n v="1"/>
    <m/>
    <n v="270"/>
    <m/>
    <n v="270"/>
    <n v="0"/>
    <n v="119214.36000000002"/>
  </r>
  <r>
    <d v="2025-10-26T00:00:00"/>
    <x v="4"/>
    <s v="KUDÜS HURMASI JUMBO"/>
    <m/>
    <x v="1"/>
    <s v="ST00000000040"/>
    <s v="SATIŞ"/>
    <s v="NAKİT"/>
    <n v="0.376"/>
    <n v="670"/>
    <n v="0"/>
    <n v="0"/>
    <n v="0.376"/>
    <m/>
    <n v="670"/>
    <m/>
    <n v="251.92"/>
    <n v="0"/>
    <n v="119466.28000000001"/>
  </r>
  <r>
    <d v="2025-10-26T00:00:00"/>
    <x v="4"/>
    <s v="SEYHAN ÜZÜM ÖZEL"/>
    <m/>
    <x v="1"/>
    <s v="ST00000000040"/>
    <s v="SATIŞ"/>
    <s v="NAKİT"/>
    <n v="0.41199999999999998"/>
    <n v="650"/>
    <n v="0"/>
    <n v="0"/>
    <n v="0.41199999999999998"/>
    <m/>
    <n v="650"/>
    <m/>
    <n v="267.8"/>
    <n v="0"/>
    <n v="119734.08000000002"/>
  </r>
  <r>
    <d v="2025-10-26T00:00:00"/>
    <x v="4"/>
    <s v="DEMKAR TURUNCU PAKET ANTEP FISTIĞI"/>
    <m/>
    <x v="1"/>
    <s v="ST00000000040"/>
    <s v="SATIŞ"/>
    <s v="NAKİT"/>
    <n v="0.43"/>
    <n v="1250"/>
    <n v="0"/>
    <n v="0"/>
    <n v="0.43"/>
    <m/>
    <n v="1250"/>
    <m/>
    <n v="537.5"/>
    <n v="0"/>
    <n v="120271.58000000002"/>
  </r>
  <r>
    <d v="2025-10-26T00:00:00"/>
    <x v="4"/>
    <s v="FINDIK BULACAK (13-15)"/>
    <m/>
    <x v="1"/>
    <s v="ST00000000040"/>
    <s v="SATIŞ"/>
    <s v="NAKİT"/>
    <n v="0.312"/>
    <n v="1150"/>
    <n v="0"/>
    <n v="0"/>
    <n v="0.312"/>
    <m/>
    <n v="1150"/>
    <m/>
    <n v="358.8"/>
    <n v="0"/>
    <n v="120630.38000000002"/>
  </r>
  <r>
    <d v="2025-10-26T00:00:00"/>
    <x v="4"/>
    <s v="DERME GÜN KURUSU KAYISI JUMBO"/>
    <m/>
    <x v="1"/>
    <s v="ST00000000040"/>
    <s v="SATIŞ"/>
    <s v="NAKİT"/>
    <n v="0.47"/>
    <n v="930"/>
    <n v="0"/>
    <n v="0"/>
    <n v="0.47"/>
    <m/>
    <n v="930"/>
    <m/>
    <n v="437.09999999999997"/>
    <n v="0"/>
    <n v="121067.48000000003"/>
  </r>
  <r>
    <d v="2025-10-26T00:00:00"/>
    <x v="4"/>
    <s v="NBN DAĞ İNCİRİ"/>
    <m/>
    <x v="1"/>
    <s v="ST00000000040"/>
    <s v="SATIŞ"/>
    <s v="NAKİT"/>
    <n v="0.56999999999999995"/>
    <n v="700"/>
    <n v="0"/>
    <n v="0"/>
    <n v="0.56999999999999995"/>
    <m/>
    <n v="700"/>
    <m/>
    <n v="398.99999999999994"/>
    <n v="0"/>
    <n v="121466.48000000003"/>
  </r>
  <r>
    <d v="2025-10-26T00:00:00"/>
    <x v="4"/>
    <s v="BADEM KAVRULMUŞ"/>
    <m/>
    <x v="1"/>
    <s v="ST00000000040"/>
    <s v="SATIŞ"/>
    <s v="NAKİT"/>
    <n v="0.374"/>
    <n v="650"/>
    <n v="0"/>
    <n v="0"/>
    <n v="0.374"/>
    <m/>
    <n v="650"/>
    <m/>
    <n v="243.1"/>
    <n v="0"/>
    <n v="121709.58000000003"/>
  </r>
  <r>
    <d v="2025-10-26T00:00:00"/>
    <x v="1"/>
    <m/>
    <s v="İSKONTO GİDERLERİ"/>
    <x v="1"/>
    <s v="ST00000000040"/>
    <s v="SATIŞ"/>
    <s v="NAKİT"/>
    <n v="1"/>
    <n v="30.22"/>
    <n v="0"/>
    <n v="0"/>
    <m/>
    <n v="1"/>
    <m/>
    <n v="30.22"/>
    <n v="0"/>
    <n v="30.22"/>
    <n v="121679.36000000003"/>
  </r>
  <r>
    <d v="2025-10-26T00:00:00"/>
    <x v="4"/>
    <s v="SALÇA TATLI (EV YAPIMI)"/>
    <m/>
    <x v="1"/>
    <s v="ST00000000041"/>
    <s v="SATIŞ"/>
    <s v="NAKİT"/>
    <n v="1.0640000000000001"/>
    <n v="180"/>
    <n v="0"/>
    <n v="0"/>
    <n v="1.0640000000000001"/>
    <m/>
    <n v="180"/>
    <m/>
    <n v="191.52"/>
    <n v="0"/>
    <n v="121870.88000000003"/>
  </r>
  <r>
    <d v="2025-10-26T00:00:00"/>
    <x v="4"/>
    <s v="DOMATES SALÇASI"/>
    <m/>
    <x v="1"/>
    <s v="ST00000000041"/>
    <s v="SATIŞ"/>
    <s v="NAKİT"/>
    <n v="4.7240000000000002"/>
    <n v="130"/>
    <n v="0"/>
    <n v="0"/>
    <n v="4.7240000000000002"/>
    <m/>
    <n v="130"/>
    <m/>
    <n v="614.12"/>
    <n v="0"/>
    <n v="122485.00000000003"/>
  </r>
  <r>
    <d v="2025-10-26T00:00:00"/>
    <x v="4"/>
    <s v="ÇUBUK TARÇIN"/>
    <m/>
    <x v="1"/>
    <s v="ST00000000041"/>
    <s v="SATIŞ"/>
    <s v="NAKİT"/>
    <n v="0.2"/>
    <n v="660"/>
    <n v="0"/>
    <n v="0"/>
    <n v="0.2"/>
    <m/>
    <n v="660"/>
    <m/>
    <n v="132"/>
    <n v="0"/>
    <n v="122617.00000000003"/>
  </r>
  <r>
    <d v="2025-10-26T00:00:00"/>
    <x v="4"/>
    <s v="SOSLU MISIR YERLİ"/>
    <m/>
    <x v="1"/>
    <s v="ST00000000041"/>
    <s v="SATIŞ"/>
    <s v="NAKİT"/>
    <n v="0.32400000000000001"/>
    <n v="150"/>
    <n v="0"/>
    <n v="0"/>
    <n v="0.32400000000000001"/>
    <m/>
    <n v="150"/>
    <m/>
    <n v="48.6"/>
    <n v="0"/>
    <n v="122665.60000000003"/>
  </r>
  <r>
    <d v="2025-10-26T00:00:00"/>
    <x v="4"/>
    <s v="SEYHAN ÜZÜM ÖZEL"/>
    <m/>
    <x v="1"/>
    <s v="ST00000000041"/>
    <s v="SATIŞ"/>
    <s v="NAKİT"/>
    <n v="0.66200000000000003"/>
    <n v="650"/>
    <n v="0"/>
    <n v="0"/>
    <n v="0.66200000000000003"/>
    <m/>
    <n v="650"/>
    <m/>
    <n v="430.3"/>
    <n v="0"/>
    <n v="123095.90000000004"/>
  </r>
  <r>
    <d v="2025-10-26T00:00:00"/>
    <x v="4"/>
    <s v="DUT KURUSU LÜX ELAZIĞ"/>
    <m/>
    <x v="1"/>
    <s v="ST00000000041"/>
    <s v="SATIŞ"/>
    <s v="NAKİT"/>
    <n v="0.33200000000000002"/>
    <n v="800"/>
    <n v="0"/>
    <n v="0"/>
    <n v="0.33200000000000002"/>
    <m/>
    <n v="800"/>
    <m/>
    <n v="265.60000000000002"/>
    <n v="0"/>
    <n v="123361.50000000004"/>
  </r>
  <r>
    <d v="2025-10-26T00:00:00"/>
    <x v="4"/>
    <s v="YENİ MAHSÜL PAPATYA"/>
    <m/>
    <x v="1"/>
    <s v="ST00000000041"/>
    <s v="SATIŞ"/>
    <s v="NAKİT"/>
    <n v="0.08"/>
    <n v="2250"/>
    <n v="0"/>
    <n v="0"/>
    <n v="0.08"/>
    <m/>
    <n v="2250"/>
    <m/>
    <n v="180"/>
    <n v="0"/>
    <n v="123541.50000000004"/>
  </r>
  <r>
    <d v="2025-10-26T00:00:00"/>
    <x v="4"/>
    <s v="KARANFİL"/>
    <m/>
    <x v="1"/>
    <s v="ST00000000041"/>
    <s v="SATIŞ"/>
    <s v="NAKİT"/>
    <n v="0.05"/>
    <n v="1100"/>
    <n v="0"/>
    <n v="0"/>
    <n v="0.05"/>
    <m/>
    <n v="1100"/>
    <m/>
    <n v="55"/>
    <n v="0"/>
    <n v="123596.50000000004"/>
  </r>
  <r>
    <d v="2025-10-26T00:00:00"/>
    <x v="4"/>
    <s v="ŞENAY SUMAK EKŞİSİ 600 GR"/>
    <m/>
    <x v="1"/>
    <s v="ST00000000041"/>
    <s v="SATIŞ"/>
    <s v="NAKİT"/>
    <n v="1"/>
    <n v="190"/>
    <n v="0"/>
    <n v="0"/>
    <n v="1"/>
    <m/>
    <n v="190"/>
    <m/>
    <n v="190"/>
    <n v="0"/>
    <n v="123786.50000000004"/>
  </r>
  <r>
    <d v="2025-10-26T00:00:00"/>
    <x v="4"/>
    <s v="MİNDİVAN ATOM ÇAYI"/>
    <m/>
    <x v="1"/>
    <s v="ST00000000041"/>
    <s v="SATIŞ"/>
    <s v="NAKİT"/>
    <n v="1"/>
    <n v="100"/>
    <n v="0"/>
    <n v="0"/>
    <n v="1"/>
    <m/>
    <n v="100"/>
    <m/>
    <n v="100"/>
    <n v="0"/>
    <n v="123886.50000000004"/>
  </r>
  <r>
    <d v="2025-10-26T00:00:00"/>
    <x v="4"/>
    <s v="ÇAYKUR TİRYAKİ 1 KG"/>
    <m/>
    <x v="1"/>
    <s v="ST00000000041"/>
    <s v="SATIŞ"/>
    <s v="NAKİT"/>
    <n v="1"/>
    <n v="270"/>
    <n v="0"/>
    <n v="0"/>
    <n v="1"/>
    <m/>
    <n v="270"/>
    <m/>
    <n v="270"/>
    <n v="0"/>
    <n v="124156.50000000004"/>
  </r>
  <r>
    <d v="2025-10-26T00:00:00"/>
    <x v="4"/>
    <s v="ARKO EL VÜCUT KREMİ 150 ml"/>
    <m/>
    <x v="1"/>
    <s v="ST00000000041"/>
    <s v="SATIŞ"/>
    <s v="NAKİT"/>
    <n v="1"/>
    <n v="95"/>
    <n v="0"/>
    <n v="0"/>
    <n v="1"/>
    <m/>
    <n v="95"/>
    <m/>
    <n v="95"/>
    <n v="0"/>
    <n v="124251.50000000004"/>
  </r>
  <r>
    <d v="2025-10-26T00:00:00"/>
    <x v="5"/>
    <m/>
    <s v="İSKONTO GELİRLERİ"/>
    <x v="1"/>
    <s v="ST00000000041"/>
    <s v="SATIŞ"/>
    <s v="NAKİT"/>
    <n v="1"/>
    <n v="28"/>
    <n v="0"/>
    <n v="0"/>
    <n v="1"/>
    <m/>
    <n v="28"/>
    <m/>
    <n v="28"/>
    <n v="0"/>
    <n v="124279.50000000004"/>
  </r>
  <r>
    <d v="2025-10-26T00:00:00"/>
    <x v="4"/>
    <s v="DOLMALIK KURU PATLICAN"/>
    <m/>
    <x v="1"/>
    <s v="ST00000000041"/>
    <s v="SATIŞ"/>
    <s v="NAKİT"/>
    <n v="3"/>
    <n v="240"/>
    <n v="0"/>
    <n v="0"/>
    <n v="3"/>
    <m/>
    <n v="240"/>
    <m/>
    <n v="720"/>
    <n v="0"/>
    <n v="124999.50000000004"/>
  </r>
  <r>
    <d v="2025-10-26T00:00:00"/>
    <x v="4"/>
    <s v="DOLMALIK KURU PATLICAN"/>
    <m/>
    <x v="5"/>
    <s v="ST00000000044"/>
    <s v="SATIŞ"/>
    <s v="POS"/>
    <n v="2"/>
    <n v="240"/>
    <n v="480"/>
    <n v="0"/>
    <n v="2"/>
    <m/>
    <n v="240"/>
    <m/>
    <n v="0"/>
    <n v="0"/>
    <n v="124999.50000000004"/>
  </r>
  <r>
    <d v="2025-10-26T00:00:00"/>
    <x v="4"/>
    <s v="DOLMALIK KURU TATLI KIRMIZI BİBER"/>
    <m/>
    <x v="5"/>
    <s v="ST00000000044"/>
    <s v="SATIŞ"/>
    <s v="POS"/>
    <n v="1"/>
    <n v="200"/>
    <n v="200"/>
    <n v="0"/>
    <n v="1"/>
    <m/>
    <n v="200"/>
    <m/>
    <n v="0"/>
    <n v="0"/>
    <n v="124999.50000000004"/>
  </r>
  <r>
    <d v="2025-10-26T00:00:00"/>
    <x v="4"/>
    <s v="KAFFKA DİBEK KAHVESİ 150 GR"/>
    <m/>
    <x v="5"/>
    <s v="ST00000000044"/>
    <s v="SATIŞ"/>
    <s v="POS"/>
    <n v="1"/>
    <n v="65"/>
    <n v="65"/>
    <n v="0"/>
    <n v="1"/>
    <m/>
    <n v="65"/>
    <m/>
    <n v="0"/>
    <n v="0"/>
    <n v="124999.50000000004"/>
  </r>
  <r>
    <d v="2025-10-26T00:00:00"/>
    <x v="4"/>
    <s v="LEBLEBİ SARI ÖZEL LÜX ÇITIR"/>
    <m/>
    <x v="5"/>
    <s v="ST00000000045"/>
    <s v="SATIŞ"/>
    <s v="POS"/>
    <n v="0.48899999999999999"/>
    <n v="180"/>
    <n v="88.02"/>
    <n v="0"/>
    <n v="0.48899999999999999"/>
    <m/>
    <n v="180"/>
    <m/>
    <n v="0"/>
    <n v="0"/>
    <n v="124999.50000000004"/>
  </r>
  <r>
    <d v="2025-10-26T00:00:00"/>
    <x v="4"/>
    <s v="GÜNAYDIN KAYA TUZU İRİ"/>
    <m/>
    <x v="5"/>
    <s v="ST00000000045"/>
    <s v="SATIŞ"/>
    <s v="POS"/>
    <n v="0.5"/>
    <n v="80"/>
    <n v="40"/>
    <n v="0"/>
    <n v="0.5"/>
    <m/>
    <n v="80"/>
    <m/>
    <n v="0"/>
    <n v="0"/>
    <n v="124999.50000000004"/>
  </r>
  <r>
    <d v="2025-10-27T00:00:00"/>
    <x v="4"/>
    <s v="ADAÇAYI DEMET"/>
    <m/>
    <x v="1"/>
    <s v="ST00000000042"/>
    <s v="SATIŞ"/>
    <s v="NAKİT"/>
    <n v="1"/>
    <n v="60"/>
    <n v="0"/>
    <n v="0"/>
    <n v="1"/>
    <m/>
    <n v="60"/>
    <m/>
    <n v="60"/>
    <n v="0"/>
    <n v="125059.50000000004"/>
  </r>
  <r>
    <d v="2025-10-27T00:00:00"/>
    <x v="4"/>
    <s v="SEYHAN ÜZÜM ÖZEL"/>
    <m/>
    <x v="1"/>
    <s v="ST00000000043"/>
    <s v="SATIŞ"/>
    <s v="NAKİT"/>
    <n v="0.2"/>
    <n v="650"/>
    <n v="0"/>
    <n v="0"/>
    <n v="0.2"/>
    <m/>
    <n v="650"/>
    <m/>
    <n v="130"/>
    <n v="0"/>
    <n v="125189.50000000004"/>
  </r>
  <r>
    <d v="2025-10-27T00:00:00"/>
    <x v="4"/>
    <s v="DOMATES SALÇASI"/>
    <m/>
    <x v="1"/>
    <s v="ST00000000046"/>
    <s v="SATIŞ"/>
    <s v="NAKİT"/>
    <n v="3.798"/>
    <n v="130"/>
    <n v="0"/>
    <n v="0"/>
    <n v="3.798"/>
    <m/>
    <n v="130"/>
    <m/>
    <n v="493.74"/>
    <n v="0"/>
    <n v="125683.24000000005"/>
  </r>
  <r>
    <d v="2025-10-27T00:00:00"/>
    <x v="4"/>
    <s v="DOLMALIK KURU PATLICAN"/>
    <m/>
    <x v="1"/>
    <s v="ST00000000046"/>
    <s v="SATIŞ"/>
    <s v="NAKİT"/>
    <n v="1"/>
    <n v="240"/>
    <n v="0"/>
    <n v="0"/>
    <n v="1"/>
    <m/>
    <n v="240"/>
    <m/>
    <n v="240"/>
    <n v="0"/>
    <n v="125923.24000000005"/>
  </r>
  <r>
    <d v="2025-10-27T00:00:00"/>
    <x v="4"/>
    <s v="DOLMALIK KURU ACI BİBER"/>
    <m/>
    <x v="1"/>
    <s v="ST00000000046"/>
    <s v="SATIŞ"/>
    <s v="NAKİT"/>
    <n v="1"/>
    <n v="200"/>
    <n v="0"/>
    <n v="0"/>
    <n v="1"/>
    <m/>
    <n v="200"/>
    <m/>
    <n v="200"/>
    <n v="0"/>
    <n v="126123.24000000005"/>
  </r>
  <r>
    <d v="2025-10-27T00:00:00"/>
    <x v="4"/>
    <s v="SALÇA TATLI (EV YAPIMI)"/>
    <m/>
    <x v="1"/>
    <s v="ST00000000046"/>
    <s v="SATIŞ"/>
    <s v="NAKİT"/>
    <n v="1.24"/>
    <n v="180"/>
    <n v="0"/>
    <n v="0"/>
    <n v="1.24"/>
    <m/>
    <n v="180"/>
    <m/>
    <n v="223.2"/>
    <n v="0"/>
    <n v="126346.44000000005"/>
  </r>
  <r>
    <d v="2025-10-27T00:00:00"/>
    <x v="4"/>
    <s v="İZMİR ÜZÜMÜ"/>
    <m/>
    <x v="1"/>
    <s v="ST00000000046"/>
    <s v="SATIŞ"/>
    <s v="NAKİT"/>
    <n v="0.86799999999999999"/>
    <n v="250"/>
    <n v="0"/>
    <n v="0"/>
    <n v="0.86799999999999999"/>
    <m/>
    <n v="250"/>
    <m/>
    <n v="217"/>
    <n v="0"/>
    <n v="126563.44000000005"/>
  </r>
  <r>
    <d v="2025-10-27T00:00:00"/>
    <x v="4"/>
    <s v="DEMKAR TURUNCU PAKET ANTEP FISTIĞI"/>
    <m/>
    <x v="1"/>
    <s v="ST00000000046"/>
    <s v="SATIŞ"/>
    <s v="NAKİT"/>
    <n v="0.25600000000000001"/>
    <n v="1250"/>
    <n v="0"/>
    <n v="0"/>
    <n v="0.25600000000000001"/>
    <m/>
    <n v="1250"/>
    <m/>
    <n v="320"/>
    <n v="0"/>
    <n v="126883.44000000005"/>
  </r>
  <r>
    <d v="2025-10-27T00:00:00"/>
    <x v="4"/>
    <s v="BADEM KAVRULMUŞ"/>
    <m/>
    <x v="1"/>
    <s v="ST00000000046"/>
    <s v="SATIŞ"/>
    <s v="NAKİT"/>
    <n v="0.45600000000000002"/>
    <n v="650"/>
    <n v="0"/>
    <n v="0"/>
    <n v="0.45600000000000002"/>
    <m/>
    <n v="650"/>
    <m/>
    <n v="296.40000000000003"/>
    <n v="0"/>
    <n v="127179.84000000004"/>
  </r>
  <r>
    <d v="2025-10-27T00:00:00"/>
    <x v="4"/>
    <s v="NBN 2,5 KG İNCİR"/>
    <m/>
    <x v="1"/>
    <s v="ST00000000046"/>
    <s v="SATIŞ"/>
    <s v="NAKİT"/>
    <n v="0.50600000000000001"/>
    <n v="600"/>
    <n v="0"/>
    <n v="0"/>
    <n v="0.50600000000000001"/>
    <m/>
    <n v="600"/>
    <m/>
    <n v="303.60000000000002"/>
    <n v="0"/>
    <n v="127483.44000000005"/>
  </r>
  <r>
    <d v="2025-10-27T00:00:00"/>
    <x v="4"/>
    <s v="FINDIK BULACAK (13-15)"/>
    <m/>
    <x v="1"/>
    <s v="ST00000000046"/>
    <s v="SATIŞ"/>
    <s v="NAKİT"/>
    <n v="0.23400000000000001"/>
    <n v="1150"/>
    <n v="0"/>
    <n v="0"/>
    <n v="0.23400000000000001"/>
    <m/>
    <n v="1150"/>
    <m/>
    <n v="269.10000000000002"/>
    <n v="0"/>
    <n v="127752.54000000005"/>
  </r>
  <r>
    <d v="2025-10-27T00:00:00"/>
    <x v="4"/>
    <s v="DUT KURUSU LÜX ELAZIĞ"/>
    <m/>
    <x v="1"/>
    <s v="ST00000000046"/>
    <s v="SATIŞ"/>
    <s v="NAKİT"/>
    <n v="0.152"/>
    <n v="800"/>
    <n v="0"/>
    <n v="0"/>
    <n v="0.152"/>
    <m/>
    <n v="800"/>
    <m/>
    <n v="121.6"/>
    <n v="0"/>
    <n v="127874.14000000006"/>
  </r>
  <r>
    <d v="2025-10-27T00:00:00"/>
    <x v="4"/>
    <s v="DERME GÜN KURUSU KAYISI JUMBO"/>
    <m/>
    <x v="1"/>
    <s v="ST00000000046"/>
    <s v="SATIŞ"/>
    <s v="NAKİT"/>
    <n v="0.35599999999999998"/>
    <n v="930"/>
    <n v="0"/>
    <n v="0"/>
    <n v="0.35599999999999998"/>
    <m/>
    <n v="930"/>
    <m/>
    <n v="331.08"/>
    <n v="0"/>
    <n v="128205.22000000006"/>
  </r>
  <r>
    <d v="2025-10-27T00:00:00"/>
    <x v="4"/>
    <s v="KUDÜS HURMASI JUMBO"/>
    <m/>
    <x v="1"/>
    <s v="ST00000000046"/>
    <s v="SATIŞ"/>
    <s v="NAKİT"/>
    <n v="0.29399999999999998"/>
    <n v="670"/>
    <n v="0"/>
    <n v="0"/>
    <n v="0.29399999999999998"/>
    <m/>
    <n v="670"/>
    <m/>
    <n v="196.98"/>
    <n v="0"/>
    <n v="128402.20000000006"/>
  </r>
  <r>
    <d v="2025-10-27T00:00:00"/>
    <x v="4"/>
    <s v="SEYİDOĞLU TAHİN 550 g"/>
    <m/>
    <x v="1"/>
    <s v="ST00000000046"/>
    <s v="SATIŞ"/>
    <s v="NAKİT"/>
    <n v="1"/>
    <n v="160"/>
    <n v="0"/>
    <n v="0"/>
    <n v="1"/>
    <m/>
    <n v="160"/>
    <m/>
    <n v="160"/>
    <n v="0"/>
    <n v="128562.20000000006"/>
  </r>
  <r>
    <d v="2025-10-27T00:00:00"/>
    <x v="4"/>
    <s v="TOZ BİBER - ACI"/>
    <m/>
    <x v="1"/>
    <s v="ST00000000046"/>
    <s v="SATIŞ"/>
    <s v="NAKİT"/>
    <n v="0.18"/>
    <n v="320"/>
    <n v="0"/>
    <n v="0"/>
    <n v="0.18"/>
    <m/>
    <n v="320"/>
    <m/>
    <n v="57.599999999999994"/>
    <n v="0"/>
    <n v="128619.80000000006"/>
  </r>
  <r>
    <d v="2025-10-27T00:00:00"/>
    <x v="4"/>
    <s v="ÇUBUK TARÇIN"/>
    <m/>
    <x v="1"/>
    <s v="ST00000000046"/>
    <s v="SATIŞ"/>
    <s v="NAKİT"/>
    <n v="5.6000000000000001E-2"/>
    <n v="660"/>
    <n v="0"/>
    <n v="0"/>
    <n v="5.6000000000000001E-2"/>
    <m/>
    <n v="660"/>
    <m/>
    <n v="36.96"/>
    <n v="0"/>
    <n v="128656.76000000007"/>
  </r>
  <r>
    <d v="2025-10-27T00:00:00"/>
    <x v="4"/>
    <s v="KARABİBER ÇEKİLMİŞ"/>
    <m/>
    <x v="1"/>
    <s v="ST00000000046"/>
    <s v="SATIŞ"/>
    <s v="NAKİT"/>
    <n v="0.16600000000000001"/>
    <n v="640"/>
    <n v="0"/>
    <n v="0"/>
    <n v="0.16600000000000001"/>
    <m/>
    <n v="640"/>
    <m/>
    <n v="106.24000000000001"/>
    <n v="0"/>
    <n v="128763.00000000007"/>
  </r>
  <r>
    <d v="2025-10-27T00:00:00"/>
    <x v="4"/>
    <s v="ZERDEÇAL TOZ"/>
    <m/>
    <x v="1"/>
    <s v="ST00000000046"/>
    <s v="SATIŞ"/>
    <s v="NAKİT"/>
    <n v="7.1999999999999995E-2"/>
    <n v="250"/>
    <n v="0"/>
    <n v="0"/>
    <n v="7.1999999999999995E-2"/>
    <m/>
    <n v="250"/>
    <m/>
    <n v="18"/>
    <n v="0"/>
    <n v="128781.00000000007"/>
  </r>
  <r>
    <d v="2025-10-27T00:00:00"/>
    <x v="4"/>
    <s v="ADAÇAYI DEMET"/>
    <m/>
    <x v="1"/>
    <s v="ST00000000046"/>
    <s v="SATIŞ"/>
    <s v="NAKİT"/>
    <n v="1"/>
    <n v="60"/>
    <n v="0"/>
    <n v="0"/>
    <n v="1"/>
    <m/>
    <n v="60"/>
    <m/>
    <n v="60"/>
    <n v="0"/>
    <n v="128841.00000000007"/>
  </r>
  <r>
    <d v="2025-10-27T00:00:00"/>
    <x v="4"/>
    <s v="IHLAMUR YAPRAK"/>
    <m/>
    <x v="1"/>
    <s v="ST00000000046"/>
    <s v="SATIŞ"/>
    <s v="NAKİT"/>
    <n v="0.05"/>
    <n v="2500"/>
    <n v="0"/>
    <n v="0"/>
    <n v="0.05"/>
    <m/>
    <n v="2500"/>
    <m/>
    <n v="125"/>
    <n v="0"/>
    <n v="128966.00000000007"/>
  </r>
  <r>
    <d v="2025-10-27T00:00:00"/>
    <x v="4"/>
    <s v="SUSAM KIRMIZI"/>
    <m/>
    <x v="1"/>
    <s v="ST00000000046"/>
    <s v="SATIŞ"/>
    <s v="NAKİT"/>
    <n v="0.1"/>
    <n v="350"/>
    <n v="0"/>
    <n v="0"/>
    <n v="0.1"/>
    <m/>
    <n v="350"/>
    <m/>
    <n v="35"/>
    <n v="0"/>
    <n v="129001.00000000007"/>
  </r>
  <r>
    <d v="2025-10-27T00:00:00"/>
    <x v="4"/>
    <s v="KİMYON ÇEKİLMİŞ"/>
    <m/>
    <x v="1"/>
    <s v="ST00000000046"/>
    <s v="SATIŞ"/>
    <s v="NAKİT"/>
    <n v="7.3999999999999996E-2"/>
    <n v="390"/>
    <n v="0"/>
    <n v="0"/>
    <n v="7.3999999999999996E-2"/>
    <m/>
    <n v="390"/>
    <m/>
    <n v="28.86"/>
    <n v="0"/>
    <n v="129029.86000000007"/>
  </r>
  <r>
    <d v="2025-10-27T00:00:00"/>
    <x v="4"/>
    <s v="NAHİTA ALIÇ SİRKESİ 500 ML"/>
    <m/>
    <x v="1"/>
    <s v="ST00000000046"/>
    <s v="SATIŞ"/>
    <s v="NAKİT"/>
    <n v="1"/>
    <n v="160"/>
    <n v="0"/>
    <n v="0"/>
    <n v="1"/>
    <m/>
    <n v="160"/>
    <m/>
    <n v="160"/>
    <n v="0"/>
    <n v="129189.86000000007"/>
  </r>
  <r>
    <d v="2025-10-27T00:00:00"/>
    <x v="4"/>
    <s v="SEYHAN ÜZÜM ÖZEL"/>
    <m/>
    <x v="1"/>
    <s v="ST00000000046"/>
    <s v="SATIŞ"/>
    <s v="NAKİT"/>
    <n v="0.30599999999999999"/>
    <n v="650"/>
    <n v="0"/>
    <n v="0"/>
    <n v="0.30599999999999999"/>
    <m/>
    <n v="650"/>
    <m/>
    <n v="198.9"/>
    <n v="0"/>
    <n v="129388.76000000007"/>
  </r>
  <r>
    <d v="2025-10-27T00:00:00"/>
    <x v="4"/>
    <s v="TOZ BİBER - ACI"/>
    <m/>
    <x v="1"/>
    <s v="ST00000000046"/>
    <s v="SATIŞ"/>
    <s v="NAKİT"/>
    <n v="0.14399999999999999"/>
    <n v="320"/>
    <n v="0"/>
    <n v="0"/>
    <n v="0.14399999999999999"/>
    <m/>
    <n v="320"/>
    <m/>
    <n v="46.08"/>
    <n v="0"/>
    <n v="129434.84000000007"/>
  </r>
  <r>
    <d v="2025-10-27T00:00:00"/>
    <x v="4"/>
    <s v="ÇÖREKOTU"/>
    <m/>
    <x v="1"/>
    <s v="ST00000000046"/>
    <s v="SATIŞ"/>
    <s v="NAKİT"/>
    <n v="0.1"/>
    <n v="400"/>
    <n v="0"/>
    <n v="0"/>
    <n v="0.1"/>
    <m/>
    <n v="400"/>
    <m/>
    <n v="40"/>
    <n v="0"/>
    <n v="129474.84000000007"/>
  </r>
  <r>
    <d v="2025-10-27T00:00:00"/>
    <x v="4"/>
    <s v="ZENCEFİL TANE"/>
    <m/>
    <x v="1"/>
    <s v="ST00000000046"/>
    <s v="SATIŞ"/>
    <s v="NAKİT"/>
    <n v="0.08"/>
    <n v="380"/>
    <n v="0"/>
    <n v="0"/>
    <n v="0.08"/>
    <m/>
    <n v="380"/>
    <m/>
    <n v="30.400000000000002"/>
    <n v="0"/>
    <n v="129505.24000000006"/>
  </r>
  <r>
    <d v="2025-10-27T00:00:00"/>
    <x v="1"/>
    <m/>
    <s v="İSKONTO GİDERLERİ"/>
    <x v="1"/>
    <s v="ST00000000046"/>
    <s v="SATIŞ"/>
    <s v="NAKİT"/>
    <n v="1"/>
    <n v="15.74"/>
    <n v="0"/>
    <n v="0"/>
    <m/>
    <n v="1"/>
    <m/>
    <n v="15.74"/>
    <n v="0"/>
    <n v="15.74"/>
    <n v="129489.50000000006"/>
  </r>
  <r>
    <d v="2025-10-27T00:00:00"/>
    <x v="4"/>
    <s v="AYÇEKİRDEĞİ DAKOTA TUZSUZ EKSTRA"/>
    <m/>
    <x v="5"/>
    <s v="ST00000000047"/>
    <s v="SATIŞ"/>
    <s v="POS"/>
    <n v="0.25"/>
    <n v="180"/>
    <n v="45"/>
    <n v="0"/>
    <n v="0.25"/>
    <m/>
    <n v="180"/>
    <m/>
    <n v="0"/>
    <n v="0"/>
    <n v="129489.50000000006"/>
  </r>
  <r>
    <d v="2025-10-27T00:00:00"/>
    <x v="4"/>
    <s v="SOSLU MISIR YERLİ"/>
    <m/>
    <x v="5"/>
    <s v="ST00000000048"/>
    <s v="SATIŞ"/>
    <s v="POS"/>
    <n v="0.434"/>
    <n v="150"/>
    <n v="65.099999999999994"/>
    <n v="0"/>
    <n v="0.434"/>
    <m/>
    <n v="150"/>
    <m/>
    <n v="0"/>
    <n v="0"/>
    <n v="129489.50000000006"/>
  </r>
  <r>
    <d v="2025-10-27T00:00:00"/>
    <x v="4"/>
    <s v="KAKAO"/>
    <m/>
    <x v="1"/>
    <s v="ST00000000049"/>
    <s v="SATIŞ - TOPTAN"/>
    <s v="NAKİT"/>
    <n v="1"/>
    <n v="400"/>
    <n v="0"/>
    <n v="0"/>
    <n v="1"/>
    <m/>
    <n v="400"/>
    <m/>
    <n v="400"/>
    <n v="0"/>
    <n v="129889.50000000006"/>
  </r>
  <r>
    <d v="2025-10-27T00:00:00"/>
    <x v="4"/>
    <s v="KABUKLU CEVİZ (ŞİLİ)"/>
    <m/>
    <x v="1"/>
    <s v="ST00000000049"/>
    <s v="SATIŞ"/>
    <s v="NAKİT"/>
    <n v="0.76700000000000002"/>
    <n v="300"/>
    <n v="0"/>
    <n v="0"/>
    <n v="0.76700000000000002"/>
    <m/>
    <n v="300"/>
    <m/>
    <n v="230.1"/>
    <n v="0"/>
    <n v="130119.60000000006"/>
  </r>
  <r>
    <d v="2025-10-27T00:00:00"/>
    <x v="4"/>
    <s v="DOLMALIK KURU PATLICAN"/>
    <m/>
    <x v="5"/>
    <s v="ST00000000050"/>
    <s v="SATIŞ"/>
    <s v="POS"/>
    <n v="1"/>
    <n v="240"/>
    <n v="240"/>
    <n v="0"/>
    <n v="1"/>
    <m/>
    <n v="240"/>
    <m/>
    <n v="0"/>
    <n v="0"/>
    <n v="130119.60000000006"/>
  </r>
  <r>
    <d v="2025-10-27T00:00:00"/>
    <x v="4"/>
    <s v="DOLMALIK KURU ACI BİBER"/>
    <m/>
    <x v="5"/>
    <s v="ST00000000050"/>
    <s v="SATIŞ"/>
    <s v="POS"/>
    <n v="1"/>
    <n v="200"/>
    <n v="200"/>
    <n v="0"/>
    <n v="1"/>
    <m/>
    <n v="200"/>
    <m/>
    <n v="0"/>
    <n v="0"/>
    <n v="130119.60000000006"/>
  </r>
  <r>
    <d v="2025-10-27T00:00:00"/>
    <x v="4"/>
    <s v="DOMATES KURUSU"/>
    <m/>
    <x v="1"/>
    <s v="ST00000000051"/>
    <s v="SATIŞ"/>
    <s v="NAKİT"/>
    <n v="0.25"/>
    <n v="360"/>
    <n v="0"/>
    <n v="0"/>
    <n v="1"/>
    <m/>
    <n v="90"/>
    <m/>
    <n v="90"/>
    <n v="0"/>
    <n v="130209.60000000006"/>
  </r>
  <r>
    <d v="2025-10-27T00:00:00"/>
    <x v="2"/>
    <m/>
    <s v="DEMİRBAŞ"/>
    <x v="1"/>
    <m/>
    <s v="KAMERA SİSTEMİ - VOLKAN KAYA"/>
    <s v="NAKİT"/>
    <n v="1"/>
    <n v="10500"/>
    <n v="0"/>
    <n v="0"/>
    <m/>
    <n v="1"/>
    <m/>
    <n v="10500"/>
    <n v="0"/>
    <n v="10500"/>
    <n v="119709.60000000006"/>
  </r>
  <r>
    <d v="2025-10-27T00:00:00"/>
    <x v="1"/>
    <m/>
    <s v="VERGİ VE HARÇLAR"/>
    <x v="2"/>
    <m/>
    <s v="KDV ÖDEME"/>
    <s v="K.K."/>
    <n v="1"/>
    <n v="665"/>
    <n v="0"/>
    <n v="665"/>
    <m/>
    <m/>
    <m/>
    <m/>
    <n v="0"/>
    <n v="0"/>
    <n v="119709.60000000006"/>
  </r>
  <r>
    <d v="2025-10-28T00:00:00"/>
    <x v="4"/>
    <s v="DOLMALIK KURU PATLICAN"/>
    <m/>
    <x v="1"/>
    <s v="ST00000000052"/>
    <s v="SATIŞ"/>
    <s v="NAKİT"/>
    <n v="1"/>
    <n v="240"/>
    <n v="0"/>
    <n v="0"/>
    <n v="1"/>
    <m/>
    <n v="240"/>
    <m/>
    <n v="240"/>
    <n v="0"/>
    <n v="119949.60000000006"/>
  </r>
  <r>
    <d v="2025-10-28T00:00:00"/>
    <x v="4"/>
    <s v="DOLMALIK KURU PATLICAN"/>
    <m/>
    <x v="5"/>
    <s v="ST00000000053"/>
    <s v="SATIŞ"/>
    <s v="POS"/>
    <n v="1"/>
    <n v="240"/>
    <n v="240"/>
    <n v="0"/>
    <n v="1"/>
    <m/>
    <n v="240"/>
    <m/>
    <n v="0"/>
    <n v="0"/>
    <n v="119949.60000000006"/>
  </r>
  <r>
    <d v="2025-10-28T00:00:00"/>
    <x v="4"/>
    <s v="DOLMALIK KURU KABAK"/>
    <m/>
    <x v="5"/>
    <s v="ST00000000053"/>
    <s v="SATIŞ"/>
    <s v="POS"/>
    <n v="1"/>
    <n v="260"/>
    <n v="260"/>
    <n v="0"/>
    <n v="1"/>
    <m/>
    <n v="260"/>
    <m/>
    <n v="0"/>
    <n v="0"/>
    <n v="119949.60000000006"/>
  </r>
  <r>
    <d v="2025-10-28T00:00:00"/>
    <x v="4"/>
    <s v="ZENCEFİL TOZ"/>
    <m/>
    <x v="1"/>
    <s v="ST00000000054"/>
    <s v="SATIŞ"/>
    <s v="NAKİT"/>
    <n v="0.158"/>
    <n v="360"/>
    <n v="0"/>
    <n v="0"/>
    <n v="0.158"/>
    <m/>
    <n v="360"/>
    <m/>
    <n v="56.88"/>
    <n v="0"/>
    <n v="120006.48000000007"/>
  </r>
  <r>
    <d v="2025-10-28T00:00:00"/>
    <x v="4"/>
    <s v="ZERDEÇAL TOZ"/>
    <m/>
    <x v="1"/>
    <s v="ST00000000054"/>
    <s v="SATIŞ"/>
    <s v="NAKİT"/>
    <n v="0.19400000000000001"/>
    <n v="250"/>
    <n v="0"/>
    <n v="0"/>
    <n v="0.19400000000000001"/>
    <m/>
    <n v="250"/>
    <m/>
    <n v="48.5"/>
    <n v="0"/>
    <n v="120054.98000000007"/>
  </r>
  <r>
    <d v="2025-10-28T00:00:00"/>
    <x v="4"/>
    <s v="YENİ MAHSÜL PAPATYA"/>
    <m/>
    <x v="1"/>
    <s v="ST00000000055"/>
    <s v="SATIŞ"/>
    <s v="NAKİT"/>
    <n v="0.04"/>
    <n v="2250"/>
    <n v="0"/>
    <n v="0"/>
    <n v="0.04"/>
    <m/>
    <n v="2250"/>
    <m/>
    <n v="90"/>
    <n v="0"/>
    <n v="120144.98000000007"/>
  </r>
  <r>
    <d v="2025-10-28T00:00:00"/>
    <x v="4"/>
    <s v="ZENCEFİL TOZ"/>
    <m/>
    <x v="1"/>
    <s v="ST00000000055"/>
    <s v="SATIŞ"/>
    <s v="NAKİT"/>
    <n v="0.13"/>
    <n v="360"/>
    <n v="0"/>
    <n v="0"/>
    <n v="0.13"/>
    <m/>
    <n v="360"/>
    <m/>
    <n v="46.800000000000004"/>
    <n v="0"/>
    <n v="120191.78000000007"/>
  </r>
  <r>
    <d v="2025-10-28T00:00:00"/>
    <x v="4"/>
    <s v="ZERDEÇAL TOZ"/>
    <m/>
    <x v="1"/>
    <s v="ST00000000055"/>
    <s v="SATIŞ"/>
    <s v="NAKİT"/>
    <n v="0.13600000000000001"/>
    <n v="250"/>
    <n v="0"/>
    <n v="0"/>
    <n v="0.13600000000000001"/>
    <m/>
    <n v="250"/>
    <m/>
    <n v="34"/>
    <n v="0"/>
    <n v="120225.78000000007"/>
  </r>
  <r>
    <d v="2025-10-28T00:00:00"/>
    <x v="4"/>
    <s v="BADEM ÇİĞ "/>
    <m/>
    <x v="1"/>
    <s v="ST00000000055"/>
    <s v="SATIŞ"/>
    <s v="NAKİT"/>
    <n v="0.19400000000000001"/>
    <n v="650"/>
    <n v="0"/>
    <n v="0"/>
    <n v="0.19400000000000001"/>
    <m/>
    <n v="650"/>
    <m/>
    <n v="126.10000000000001"/>
    <n v="0"/>
    <n v="120351.88000000008"/>
  </r>
  <r>
    <d v="2025-10-28T00:00:00"/>
    <x v="4"/>
    <s v="İRİ BEYAZ KABAK ÇEKİRDEĞİ - NEVŞEHİR"/>
    <m/>
    <x v="1"/>
    <s v="ST00000000056"/>
    <s v="SATIŞ"/>
    <s v="NAKİT"/>
    <n v="0.748"/>
    <n v="350"/>
    <n v="0"/>
    <n v="0"/>
    <n v="0.748"/>
    <m/>
    <n v="350"/>
    <m/>
    <n v="261.8"/>
    <n v="0"/>
    <n v="120613.68000000008"/>
  </r>
  <r>
    <d v="2025-10-28T00:00:00"/>
    <x v="4"/>
    <s v="KABUKLU CEVİZ (ŞİLİ)"/>
    <m/>
    <x v="1"/>
    <s v="ST00000000056"/>
    <s v="SATIŞ"/>
    <s v="NAKİT"/>
    <n v="1"/>
    <n v="300"/>
    <n v="0"/>
    <n v="0"/>
    <n v="1"/>
    <m/>
    <n v="300"/>
    <m/>
    <n v="300"/>
    <n v="0"/>
    <n v="120913.68000000008"/>
  </r>
  <r>
    <d v="2025-10-28T00:00:00"/>
    <x v="4"/>
    <s v="SOSLU MISIR YERLİ"/>
    <m/>
    <x v="5"/>
    <s v="ST00000000057"/>
    <s v="SATIŞ"/>
    <s v="POS"/>
    <n v="0.14000000000000001"/>
    <n v="150"/>
    <n v="21.000000000000004"/>
    <n v="0"/>
    <n v="0.14000000000000001"/>
    <m/>
    <n v="150"/>
    <m/>
    <n v="0"/>
    <n v="0"/>
    <n v="120913.68000000008"/>
  </r>
  <r>
    <d v="2025-10-28T00:00:00"/>
    <x v="4"/>
    <s v="KARANFİL"/>
    <m/>
    <x v="5"/>
    <s v="ST00000000057"/>
    <s v="SATIŞ"/>
    <s v="POS"/>
    <n v="0.05"/>
    <n v="1100"/>
    <n v="55"/>
    <n v="0"/>
    <n v="0.05"/>
    <m/>
    <n v="1100"/>
    <m/>
    <n v="0"/>
    <n v="0"/>
    <n v="120913.68000000008"/>
  </r>
  <r>
    <d v="2025-10-28T00:00:00"/>
    <x v="4"/>
    <s v="TÜDAB KIŞ ÇAYI 200 GR"/>
    <m/>
    <x v="5"/>
    <s v="ST00000000057"/>
    <s v="SATIŞ"/>
    <s v="POS"/>
    <n v="1"/>
    <n v="140"/>
    <n v="140"/>
    <n v="0"/>
    <n v="1"/>
    <m/>
    <n v="140"/>
    <m/>
    <n v="0"/>
    <n v="0"/>
    <n v="120913.68000000008"/>
  </r>
  <r>
    <d v="2025-10-28T00:00:00"/>
    <x v="4"/>
    <s v="IHLAMUR YAPRAK"/>
    <m/>
    <x v="5"/>
    <s v="ST00000000057"/>
    <s v="SATIŞ"/>
    <s v="POS"/>
    <n v="0.05"/>
    <n v="2500"/>
    <n v="125"/>
    <n v="0"/>
    <n v="0.05"/>
    <m/>
    <n v="2500"/>
    <m/>
    <n v="0"/>
    <n v="0"/>
    <n v="120913.68000000008"/>
  </r>
  <r>
    <d v="2025-10-28T00:00:00"/>
    <x v="4"/>
    <s v="YENİ MAHSÜL PAPATYA"/>
    <m/>
    <x v="5"/>
    <s v="ST00000000057"/>
    <s v="SATIŞ"/>
    <s v="POS"/>
    <n v="0.04"/>
    <n v="2250"/>
    <n v="90"/>
    <n v="0"/>
    <n v="0.04"/>
    <m/>
    <n v="2250"/>
    <m/>
    <n v="0"/>
    <n v="0"/>
    <n v="120913.68000000008"/>
  </r>
  <r>
    <d v="2025-10-28T00:00:00"/>
    <x v="1"/>
    <m/>
    <s v="İSKONTO GİDERLERİ"/>
    <x v="1"/>
    <s v="ST00000000057"/>
    <s v="SATIŞ"/>
    <s v="NAKİT"/>
    <n v="1"/>
    <n v="30"/>
    <n v="0"/>
    <n v="0"/>
    <m/>
    <n v="1"/>
    <m/>
    <n v="30"/>
    <n v="0"/>
    <n v="30"/>
    <n v="120883.68000000008"/>
  </r>
  <r>
    <d v="2025-10-28T00:00:00"/>
    <x v="4"/>
    <s v="HASEVLİK"/>
    <m/>
    <x v="5"/>
    <s v="ST00000000058"/>
    <s v="SATIŞ"/>
    <s v="POS"/>
    <n v="0.53600000000000003"/>
    <n v="420"/>
    <n v="225.12"/>
    <n v="0"/>
    <n v="0.53600000000000003"/>
    <m/>
    <n v="420"/>
    <m/>
    <n v="0"/>
    <n v="0"/>
    <n v="120883.68000000008"/>
  </r>
  <r>
    <d v="2025-10-28T00:00:00"/>
    <x v="4"/>
    <s v="DOMATES SALÇASI"/>
    <m/>
    <x v="5"/>
    <s v="ST00000000059"/>
    <s v="SATIŞ"/>
    <s v="POS"/>
    <n v="1"/>
    <n v="130"/>
    <n v="130"/>
    <n v="0"/>
    <n v="1"/>
    <m/>
    <n v="130"/>
    <m/>
    <n v="0"/>
    <n v="0"/>
    <n v="120883.68000000008"/>
  </r>
  <r>
    <d v="2025-10-28T00:00:00"/>
    <x v="4"/>
    <s v="DOLMALIK KURU PATLICAN"/>
    <m/>
    <x v="1"/>
    <s v="ST00000000060"/>
    <s v="SATIŞ"/>
    <s v="NAKİT"/>
    <n v="2"/>
    <n v="240"/>
    <n v="0"/>
    <n v="0"/>
    <n v="2"/>
    <m/>
    <n v="240"/>
    <m/>
    <n v="480"/>
    <n v="0"/>
    <n v="121363.68000000008"/>
  </r>
  <r>
    <d v="2025-10-28T00:00:00"/>
    <x v="4"/>
    <s v="DOLMALIK KURU KABAK"/>
    <m/>
    <x v="1"/>
    <s v="ST00000000060"/>
    <s v="SATIŞ"/>
    <s v="NAKİT"/>
    <n v="1"/>
    <n v="260"/>
    <n v="0"/>
    <n v="0"/>
    <n v="1"/>
    <m/>
    <n v="260"/>
    <m/>
    <n v="260"/>
    <n v="0"/>
    <n v="121623.68000000008"/>
  </r>
  <r>
    <d v="2025-10-28T00:00:00"/>
    <x v="4"/>
    <s v="DOLMALIK KURU ACI BİBER"/>
    <m/>
    <x v="1"/>
    <s v="ST00000000060"/>
    <s v="SATIŞ"/>
    <s v="NAKİT"/>
    <n v="1"/>
    <n v="200"/>
    <n v="0"/>
    <n v="0"/>
    <n v="1"/>
    <m/>
    <n v="200"/>
    <m/>
    <n v="200"/>
    <n v="0"/>
    <n v="121823.68000000008"/>
  </r>
  <r>
    <d v="2025-10-28T00:00:00"/>
    <x v="4"/>
    <s v="DOLMALIK KURU TATLI KIRMIZI BİBER"/>
    <m/>
    <x v="1"/>
    <s v="ST00000000060"/>
    <s v="SATIŞ"/>
    <s v="NAKİT"/>
    <n v="1"/>
    <n v="200"/>
    <n v="0"/>
    <n v="0"/>
    <n v="1"/>
    <m/>
    <n v="200"/>
    <m/>
    <n v="200"/>
    <n v="0"/>
    <n v="122023.68000000008"/>
  </r>
  <r>
    <d v="2025-10-28T00:00:00"/>
    <x v="4"/>
    <s v="TÜRK KAHVESİ"/>
    <m/>
    <x v="1"/>
    <s v="ST00000000060"/>
    <s v="SATIŞ"/>
    <s v="NAKİT"/>
    <n v="0.1"/>
    <n v="650"/>
    <n v="0"/>
    <n v="0"/>
    <n v="1"/>
    <m/>
    <n v="65"/>
    <m/>
    <n v="65"/>
    <n v="0"/>
    <n v="122088.68000000008"/>
  </r>
  <r>
    <d v="2025-10-28T00:00:00"/>
    <x v="4"/>
    <s v="ŞENAY SUMAK EKŞİSİ 600 GR"/>
    <m/>
    <x v="1"/>
    <s v="ST00000000060"/>
    <s v="SATIŞ"/>
    <s v="NAKİT"/>
    <n v="1"/>
    <n v="190"/>
    <n v="0"/>
    <n v="0"/>
    <n v="1"/>
    <m/>
    <n v="190"/>
    <m/>
    <n v="190"/>
    <n v="0"/>
    <n v="122278.68000000008"/>
  </r>
  <r>
    <d v="2025-10-29T00:00:00"/>
    <x v="4"/>
    <s v="HASEVLİK"/>
    <m/>
    <x v="5"/>
    <s v="ST00000000061"/>
    <s v="SATIŞ"/>
    <s v="POS"/>
    <n v="0.441"/>
    <n v="420"/>
    <n v="185.22"/>
    <n v="0"/>
    <n v="0.441"/>
    <m/>
    <n v="420"/>
    <m/>
    <n v="0"/>
    <n v="0"/>
    <n v="122278.68000000008"/>
  </r>
  <r>
    <d v="2025-10-29T00:00:00"/>
    <x v="4"/>
    <s v="DOLMALIK KURU PATLICAN"/>
    <m/>
    <x v="5"/>
    <s v="ST00000000062"/>
    <s v="SATIŞ"/>
    <s v="POS"/>
    <n v="1"/>
    <n v="240"/>
    <n v="240"/>
    <n v="0"/>
    <n v="1"/>
    <m/>
    <n v="240"/>
    <m/>
    <n v="0"/>
    <n v="0"/>
    <n v="122278.68000000008"/>
  </r>
  <r>
    <d v="2025-10-29T00:00:00"/>
    <x v="4"/>
    <s v="TOZ BİBER - ACI"/>
    <m/>
    <x v="1"/>
    <s v="ST00000000063"/>
    <s v="SATIŞ"/>
    <s v="NAKİT"/>
    <n v="0.27100000000000002"/>
    <n v="370"/>
    <n v="0"/>
    <n v="0"/>
    <n v="0.27100000000000002"/>
    <m/>
    <n v="370"/>
    <m/>
    <n v="100.27000000000001"/>
    <n v="0"/>
    <n v="122378.95000000008"/>
  </r>
  <r>
    <d v="2025-10-29T00:00:00"/>
    <x v="4"/>
    <s v="ŞENAY ÇAM KOZALAĞI ŞURUBU 650 GR"/>
    <m/>
    <x v="5"/>
    <s v="ST00000000064"/>
    <s v="SATIŞ"/>
    <s v="POS"/>
    <n v="1"/>
    <n v="140"/>
    <n v="140"/>
    <n v="0"/>
    <n v="1"/>
    <m/>
    <n v="140"/>
    <m/>
    <n v="0"/>
    <n v="0"/>
    <n v="122378.95000000008"/>
  </r>
  <r>
    <d v="2025-10-29T00:00:00"/>
    <x v="4"/>
    <s v="TÜRK KAHVESİ"/>
    <m/>
    <x v="5"/>
    <s v="ST00000000064"/>
    <s v="SATIŞ"/>
    <s v="POS"/>
    <n v="0.1"/>
    <n v="600"/>
    <n v="60"/>
    <n v="0"/>
    <n v="1"/>
    <m/>
    <n v="60"/>
    <m/>
    <n v="0"/>
    <n v="0"/>
    <n v="122378.95000000008"/>
  </r>
  <r>
    <d v="2025-10-29T00:00:00"/>
    <x v="4"/>
    <s v="DOLMALIK KURU PATLICAN"/>
    <m/>
    <x v="5"/>
    <s v="ST00000000065"/>
    <s v="SATIŞ"/>
    <s v="POS"/>
    <n v="1"/>
    <n v="240"/>
    <n v="240"/>
    <n v="0"/>
    <n v="1"/>
    <m/>
    <n v="240"/>
    <m/>
    <n v="0"/>
    <n v="0"/>
    <n v="122378.95000000008"/>
  </r>
  <r>
    <d v="2025-10-29T00:00:00"/>
    <x v="4"/>
    <s v="AYÇEKİRDEĞİ DAKOTA TUZSUZ EKSTRA"/>
    <m/>
    <x v="5"/>
    <s v="ST00000000066"/>
    <s v="SATIŞ"/>
    <s v="POS"/>
    <n v="0.27800000000000002"/>
    <n v="180"/>
    <n v="50.040000000000006"/>
    <n v="0"/>
    <n v="0.27800000000000002"/>
    <m/>
    <n v="180"/>
    <m/>
    <n v="0"/>
    <n v="0"/>
    <n v="122378.95000000008"/>
  </r>
  <r>
    <d v="2025-10-29T00:00:00"/>
    <x v="4"/>
    <s v="AYÇEKİRDEĞİ DAKOTA TUZLU EKSTRA"/>
    <m/>
    <x v="5"/>
    <s v="ST00000000067"/>
    <s v="SATIŞ"/>
    <s v="POS"/>
    <n v="0.25800000000000001"/>
    <n v="180"/>
    <n v="46.44"/>
    <n v="0"/>
    <n v="0.25800000000000001"/>
    <m/>
    <n v="180"/>
    <m/>
    <n v="0"/>
    <n v="0"/>
    <n v="122378.95000000008"/>
  </r>
  <r>
    <d v="2025-10-29T00:00:00"/>
    <x v="4"/>
    <s v="SOSLU MISIR YERLİ"/>
    <m/>
    <x v="5"/>
    <s v="ST00000000067"/>
    <s v="SATIŞ"/>
    <s v="POS"/>
    <n v="0.14599999999999999"/>
    <n v="150"/>
    <n v="21.9"/>
    <n v="0"/>
    <n v="0.14599999999999999"/>
    <m/>
    <n v="150"/>
    <m/>
    <n v="0"/>
    <n v="0"/>
    <n v="122378.95000000008"/>
  </r>
  <r>
    <d v="2025-10-30T00:00:00"/>
    <x v="3"/>
    <s v="KABUKLU CEVİZ (YERLİ)"/>
    <m/>
    <x v="1"/>
    <s v="FT00000000061"/>
    <s v="BALIKESİR - ÖMER"/>
    <s v="NAKİT"/>
    <n v="10"/>
    <n v="200"/>
    <n v="0"/>
    <n v="0"/>
    <m/>
    <m/>
    <m/>
    <m/>
    <n v="0"/>
    <n v="2000"/>
    <n v="120378.95000000008"/>
  </r>
  <r>
    <d v="2025-10-30T00:00:00"/>
    <x v="4"/>
    <s v="KAFFKA OSMANLI KAHVESİ 150 GR"/>
    <m/>
    <x v="1"/>
    <s v="ST00000000068"/>
    <s v="SATIŞ"/>
    <s v="NAKİT"/>
    <n v="1"/>
    <n v="65"/>
    <n v="0"/>
    <n v="0"/>
    <n v="1"/>
    <m/>
    <n v="65"/>
    <m/>
    <n v="65"/>
    <n v="0"/>
    <n v="120443.95000000008"/>
  </r>
  <r>
    <d v="2025-10-30T00:00:00"/>
    <x v="4"/>
    <s v="LİMONTUZU PARCA"/>
    <m/>
    <x v="1"/>
    <s v="ST00000000068"/>
    <s v="SATIŞ"/>
    <s v="NAKİT"/>
    <n v="0.36"/>
    <n v="250"/>
    <n v="0"/>
    <n v="0"/>
    <n v="0.36"/>
    <m/>
    <n v="250"/>
    <m/>
    <n v="90"/>
    <n v="0"/>
    <n v="120533.95000000008"/>
  </r>
  <r>
    <d v="2025-10-30T00:00:00"/>
    <x v="4"/>
    <s v="AÇLIK OTU"/>
    <m/>
    <x v="1"/>
    <s v="ST00000000069"/>
    <s v="SATIŞ"/>
    <s v="NAKİT"/>
    <n v="5.5599999999999997E-2"/>
    <n v="270"/>
    <n v="0"/>
    <n v="0"/>
    <n v="5.5599999999999997E-2"/>
    <m/>
    <n v="270"/>
    <m/>
    <n v="15.011999999999999"/>
    <n v="0"/>
    <n v="120548.96200000009"/>
  </r>
  <r>
    <d v="2025-10-30T00:00:00"/>
    <x v="4"/>
    <s v="KİMYON ÇEKİLMİŞ"/>
    <m/>
    <x v="1"/>
    <s v="ST00000000070"/>
    <s v="SATIŞ - TOPTAN"/>
    <s v="NAKİT"/>
    <n v="1"/>
    <n v="220"/>
    <n v="0"/>
    <n v="0"/>
    <n v="1"/>
    <m/>
    <n v="220"/>
    <m/>
    <n v="220"/>
    <n v="0"/>
    <n v="120768.96200000009"/>
  </r>
  <r>
    <d v="2025-10-30T00:00:00"/>
    <x v="4"/>
    <s v="CHİA TOHUMU DÖKME"/>
    <m/>
    <x v="5"/>
    <s v="ST00000000071"/>
    <s v="SATIŞ"/>
    <s v="POS"/>
    <n v="0.5"/>
    <n v="240"/>
    <n v="120"/>
    <n v="0"/>
    <n v="1"/>
    <m/>
    <n v="120"/>
    <m/>
    <n v="0"/>
    <n v="0"/>
    <n v="120768.96200000009"/>
  </r>
  <r>
    <d v="2025-10-30T00:00:00"/>
    <x v="4"/>
    <s v="KARANFİL"/>
    <m/>
    <x v="5"/>
    <s v="ST00000000071"/>
    <s v="SATIŞ"/>
    <s v="POS"/>
    <n v="0.05"/>
    <n v="1100"/>
    <n v="55"/>
    <n v="0"/>
    <n v="0.05"/>
    <m/>
    <n v="1100"/>
    <m/>
    <n v="0"/>
    <n v="0"/>
    <n v="120768.96200000009"/>
  </r>
  <r>
    <d v="2025-10-30T00:00:00"/>
    <x v="4"/>
    <s v="ZERDEÇAL TOZ"/>
    <m/>
    <x v="5"/>
    <s v="ST00000000071"/>
    <s v="SATIŞ"/>
    <s v="POS"/>
    <n v="0.106"/>
    <n v="236"/>
    <n v="25.015999999999998"/>
    <n v="0"/>
    <n v="0.106"/>
    <m/>
    <n v="236"/>
    <m/>
    <n v="0"/>
    <n v="0"/>
    <n v="120768.96200000009"/>
  </r>
  <r>
    <d v="2025-10-30T00:00:00"/>
    <x v="4"/>
    <s v="EVLİK BİBER"/>
    <m/>
    <x v="1"/>
    <s v="ST00000000072"/>
    <s v="SATIŞ"/>
    <s v="NAKİT"/>
    <n v="0.12"/>
    <n v="420"/>
    <n v="0"/>
    <n v="0"/>
    <n v="0.12"/>
    <m/>
    <n v="420"/>
    <m/>
    <n v="50.4"/>
    <n v="0"/>
    <n v="120819.36200000008"/>
  </r>
  <r>
    <d v="2025-10-30T00:00:00"/>
    <x v="4"/>
    <s v="SALÇA TATLI (EV YAPIMI)"/>
    <m/>
    <x v="1"/>
    <s v="ST00000000073"/>
    <s v="SATIŞ"/>
    <s v="NAKİT"/>
    <n v="1"/>
    <n v="120"/>
    <n v="0"/>
    <n v="0"/>
    <n v="1"/>
    <m/>
    <n v="120"/>
    <m/>
    <n v="120"/>
    <n v="0"/>
    <n v="120939.36200000008"/>
  </r>
  <r>
    <d v="2025-10-30T00:00:00"/>
    <x v="4"/>
    <s v="DOMATES SALÇASI"/>
    <m/>
    <x v="1"/>
    <s v="ST00000000073"/>
    <s v="SATIŞ"/>
    <s v="NAKİT"/>
    <n v="1"/>
    <n v="180"/>
    <n v="0"/>
    <n v="0"/>
    <n v="1"/>
    <m/>
    <n v="180"/>
    <m/>
    <n v="180"/>
    <n v="0"/>
    <n v="121119.36200000008"/>
  </r>
  <r>
    <d v="2025-10-30T00:00:00"/>
    <x v="7"/>
    <m/>
    <m/>
    <x v="4"/>
    <m/>
    <s v="TÜDAB A.Ş. - ÖDEME"/>
    <s v="NAKİT"/>
    <n v="1"/>
    <n v="0"/>
    <n v="8000"/>
    <n v="0"/>
    <m/>
    <m/>
    <m/>
    <m/>
    <n v="0"/>
    <n v="8000"/>
    <n v="113119.36200000008"/>
  </r>
  <r>
    <d v="2025-10-31T00:00:00"/>
    <x v="3"/>
    <s v="KAJUN BAHARATI - CAJUN SEASONING 1000 GR"/>
    <m/>
    <x v="4"/>
    <s v="FT00000000004"/>
    <s v="TÜDAB A.Ş."/>
    <s v="CARİ"/>
    <n v="1"/>
    <n v="255"/>
    <n v="0"/>
    <n v="255"/>
    <m/>
    <n v="1"/>
    <m/>
    <n v="255"/>
    <n v="0"/>
    <n v="0"/>
    <n v="113119.36200000008"/>
  </r>
  <r>
    <d v="2025-10-31T00:00:00"/>
    <x v="3"/>
    <s v="FİTOZEN İNGİLİZ KARBONATI 200 GR"/>
    <m/>
    <x v="4"/>
    <s v="FT00000000004"/>
    <s v="TÜDAB A.Ş."/>
    <s v="CARİ"/>
    <n v="5"/>
    <n v="25"/>
    <n v="0"/>
    <n v="125"/>
    <m/>
    <n v="5"/>
    <m/>
    <n v="25"/>
    <n v="0"/>
    <n v="0"/>
    <n v="113119.36200000008"/>
  </r>
  <r>
    <d v="2025-10-31T00:00:00"/>
    <x v="3"/>
    <s v="FİTOZEN İNGİLİZ TUZU 200 GR"/>
    <m/>
    <x v="4"/>
    <s v="FT00000000004"/>
    <s v="TÜDAB A.Ş."/>
    <s v="CARİ"/>
    <n v="5"/>
    <n v="25"/>
    <n v="0"/>
    <n v="125"/>
    <m/>
    <n v="5"/>
    <m/>
    <n v="25"/>
    <n v="0"/>
    <n v="0"/>
    <n v="113119.36200000008"/>
  </r>
  <r>
    <d v="2025-10-31T00:00:00"/>
    <x v="3"/>
    <s v="HAM KABAK LİFİ İŞLENMEMİŞ"/>
    <m/>
    <x v="4"/>
    <s v="FT00000000004"/>
    <s v="TÜDAB A.Ş."/>
    <s v="CARİ"/>
    <n v="10"/>
    <n v="90"/>
    <n v="0"/>
    <n v="900"/>
    <m/>
    <n v="10"/>
    <m/>
    <n v="90"/>
    <n v="0"/>
    <n v="0"/>
    <n v="113119.36200000008"/>
  </r>
  <r>
    <d v="2025-10-31T00:00:00"/>
    <x v="3"/>
    <s v="KAKAO"/>
    <m/>
    <x v="4"/>
    <s v="FT00000000004"/>
    <s v="TÜDAB A.Ş."/>
    <s v="CARİ"/>
    <n v="1"/>
    <n v="275"/>
    <n v="0"/>
    <n v="275"/>
    <m/>
    <n v="1"/>
    <m/>
    <n v="275"/>
    <n v="0"/>
    <n v="0"/>
    <n v="113119.36200000008"/>
  </r>
  <r>
    <d v="2025-10-31T00:00:00"/>
    <x v="3"/>
    <s v="KARABİBER TANE"/>
    <m/>
    <x v="4"/>
    <s v="FT00000000004"/>
    <s v="TÜDAB A.Ş."/>
    <s v="CARİ"/>
    <n v="1"/>
    <n v="400"/>
    <n v="0"/>
    <n v="400"/>
    <m/>
    <n v="1"/>
    <m/>
    <n v="400"/>
    <n v="0"/>
    <n v="0"/>
    <n v="113119.36200000008"/>
  </r>
  <r>
    <d v="2025-10-31T00:00:00"/>
    <x v="3"/>
    <s v="KARBONAT"/>
    <m/>
    <x v="4"/>
    <s v="FT00000000004"/>
    <s v="TÜDAB A.Ş."/>
    <s v="CARİ"/>
    <n v="1"/>
    <n v="28.5"/>
    <n v="0"/>
    <n v="28.5"/>
    <m/>
    <n v="1"/>
    <m/>
    <n v="28.5"/>
    <n v="0"/>
    <n v="0"/>
    <n v="113119.36200000008"/>
  </r>
  <r>
    <d v="2025-10-31T00:00:00"/>
    <x v="3"/>
    <s v="KETEN TOHUMU"/>
    <m/>
    <x v="4"/>
    <s v="FT00000000004"/>
    <s v="TÜDAB A.Ş."/>
    <s v="CARİ"/>
    <n v="2"/>
    <n v="70"/>
    <n v="0"/>
    <n v="140"/>
    <m/>
    <n v="2"/>
    <m/>
    <n v="70"/>
    <n v="0"/>
    <n v="0"/>
    <n v="113119.36200000008"/>
  </r>
  <r>
    <d v="2025-10-31T00:00:00"/>
    <x v="3"/>
    <s v="KONTES HAMAM OTU - TÜY DÖKÜCÜ"/>
    <m/>
    <x v="4"/>
    <s v="FT00000000004"/>
    <s v="TÜDAB A.Ş."/>
    <s v="CARİ"/>
    <n v="20"/>
    <n v="6.5"/>
    <n v="0"/>
    <n v="130"/>
    <m/>
    <n v="20"/>
    <m/>
    <n v="6.5"/>
    <n v="0"/>
    <n v="0"/>
    <n v="113119.36200000008"/>
  </r>
  <r>
    <d v="2025-10-31T00:00:00"/>
    <x v="3"/>
    <s v="WARITEX KABAK LİFİ ELDİVEN"/>
    <m/>
    <x v="4"/>
    <s v="FT00000000004"/>
    <s v="TÜDAB A.Ş."/>
    <s v="CARİ"/>
    <n v="6"/>
    <n v="50"/>
    <n v="0"/>
    <n v="300"/>
    <m/>
    <n v="6"/>
    <m/>
    <n v="50"/>
    <n v="0"/>
    <n v="0"/>
    <n v="113119.36200000008"/>
  </r>
  <r>
    <d v="2025-10-31T00:00:00"/>
    <x v="3"/>
    <s v="WARITEX ÇİFT TARAFLI KABAK LİFİ"/>
    <m/>
    <x v="4"/>
    <s v="FT00000000004"/>
    <s v="TÜDAB A.Ş."/>
    <s v="CARİ"/>
    <n v="6"/>
    <n v="60"/>
    <n v="0"/>
    <n v="360"/>
    <m/>
    <n v="6"/>
    <m/>
    <n v="60"/>
    <n v="0"/>
    <n v="0"/>
    <n v="113119.36200000008"/>
  </r>
  <r>
    <d v="2025-10-31T00:00:00"/>
    <x v="3"/>
    <s v="TOZ BİBER - TATLI"/>
    <m/>
    <x v="4"/>
    <s v="FT00000000004"/>
    <s v="TÜDAB A.Ş."/>
    <s v="CARİ"/>
    <n v="5"/>
    <n v="210"/>
    <n v="0"/>
    <n v="1050"/>
    <m/>
    <n v="5"/>
    <m/>
    <n v="210"/>
    <n v="0"/>
    <n v="0"/>
    <n v="113119.36200000008"/>
  </r>
  <r>
    <d v="2025-10-31T00:00:00"/>
    <x v="3"/>
    <s v="ŞENAY SUMAK EKŞİSİ 600 GR"/>
    <m/>
    <x v="4"/>
    <s v="FT00000000004"/>
    <s v="TÜDAB A.Ş."/>
    <s v="CARİ"/>
    <n v="10"/>
    <n v="110"/>
    <n v="0"/>
    <n v="1100"/>
    <m/>
    <n v="10"/>
    <m/>
    <n v="110"/>
    <n v="0"/>
    <n v="0"/>
    <n v="113119.36200000008"/>
  </r>
  <r>
    <d v="2025-10-31T00:00:00"/>
    <x v="3"/>
    <s v="ŞİFAVER ALOE VERA HATAY SABUNU"/>
    <m/>
    <x v="4"/>
    <s v="FT00000000004"/>
    <s v="TÜDAB A.Ş."/>
    <s v="CARİ"/>
    <n v="14"/>
    <n v="21.375"/>
    <n v="0"/>
    <n v="299.25"/>
    <m/>
    <n v="1.71"/>
    <m/>
    <n v="175"/>
    <n v="0"/>
    <n v="0"/>
    <n v="113119.36200000008"/>
  </r>
  <r>
    <d v="2025-10-31T00:00:00"/>
    <x v="3"/>
    <s v="ŞİFAVER BITTIM HATAY SABUNU"/>
    <m/>
    <x v="4"/>
    <s v="FT00000000004"/>
    <s v="TÜDAB A.Ş."/>
    <s v="CARİ"/>
    <n v="14"/>
    <n v="21.625"/>
    <n v="0"/>
    <n v="302.75"/>
    <m/>
    <n v="1.73"/>
    <m/>
    <n v="175"/>
    <n v="0"/>
    <n v="0"/>
    <n v="113119.36200000008"/>
  </r>
  <r>
    <d v="2025-10-31T00:00:00"/>
    <x v="3"/>
    <s v="ŞİFAVER DEFNE GARLI HATAY SABUNU"/>
    <m/>
    <x v="4"/>
    <s v="FT00000000004"/>
    <s v="TÜDAB A.Ş."/>
    <s v="CARİ"/>
    <n v="15"/>
    <n v="21.35"/>
    <n v="0"/>
    <n v="320.25"/>
    <m/>
    <n v="1.83"/>
    <m/>
    <n v="175"/>
    <n v="0"/>
    <n v="0"/>
    <n v="113119.36200000008"/>
  </r>
  <r>
    <d v="2025-10-31T00:00:00"/>
    <x v="3"/>
    <s v="ŞİFAVER GÜL HATAY SABUNU"/>
    <m/>
    <x v="4"/>
    <s v="FT00000000004"/>
    <s v="TÜDAB A.Ş."/>
    <s v="CARİ"/>
    <n v="14"/>
    <n v="21.375"/>
    <n v="0"/>
    <n v="299.25"/>
    <m/>
    <n v="1.71"/>
    <m/>
    <n v="175"/>
    <n v="0"/>
    <n v="0"/>
    <n v="113119.36200000008"/>
  </r>
  <r>
    <d v="2025-10-31T00:00:00"/>
    <x v="3"/>
    <s v="ŞİFAVER KÜKÜRTLÜ HATAY SABUNU"/>
    <m/>
    <x v="4"/>
    <s v="FT00000000004"/>
    <s v="TÜDAB A.Ş."/>
    <s v="CARİ"/>
    <n v="15"/>
    <n v="21.35"/>
    <n v="0"/>
    <n v="320.25"/>
    <m/>
    <n v="1.83"/>
    <m/>
    <n v="175"/>
    <n v="0"/>
    <n v="0"/>
    <n v="113119.36200000008"/>
  </r>
  <r>
    <d v="2025-10-31T00:00:00"/>
    <x v="3"/>
    <s v="ŞİFAVER KİL HATAY SABUNU"/>
    <m/>
    <x v="4"/>
    <s v="FT00000000004"/>
    <s v="TÜDAB A.Ş."/>
    <s v="CARİ"/>
    <n v="13"/>
    <n v="21.134615384615383"/>
    <n v="0"/>
    <n v="274.75"/>
    <m/>
    <n v="1.57"/>
    <m/>
    <n v="175"/>
    <n v="0"/>
    <n v="0"/>
    <n v="113119.36200000008"/>
  </r>
  <r>
    <d v="2025-10-31T00:00:00"/>
    <x v="3"/>
    <s v="ŞİFAVER ZEYTİNYAĞLI HATAY SABUNU"/>
    <m/>
    <x v="4"/>
    <s v="FT00000000004"/>
    <s v="TÜDAB A.Ş."/>
    <s v="CARİ"/>
    <n v="14"/>
    <n v="21.375"/>
    <n v="0"/>
    <n v="299.25"/>
    <m/>
    <n v="1.71"/>
    <m/>
    <n v="175"/>
    <n v="0"/>
    <n v="0"/>
    <n v="113119.36200000008"/>
  </r>
  <r>
    <d v="2025-10-31T00:00:00"/>
    <x v="4"/>
    <s v="İPEK BİBER"/>
    <m/>
    <x v="1"/>
    <s v="ST00000000074"/>
    <s v="SATIŞ"/>
    <s v="NAKİT"/>
    <n v="0.04"/>
    <n v="500"/>
    <n v="0"/>
    <n v="0"/>
    <n v="0.04"/>
    <m/>
    <n v="500"/>
    <m/>
    <n v="20"/>
    <n v="0"/>
    <n v="113139.36200000008"/>
  </r>
  <r>
    <d v="2025-10-31T00:00:00"/>
    <x v="4"/>
    <s v="İSOT"/>
    <m/>
    <x v="1"/>
    <s v="ST00000000075"/>
    <s v="SATIŞ"/>
    <s v="NAKİT"/>
    <n v="8.5999999999999993E-2"/>
    <n v="380"/>
    <n v="0"/>
    <n v="0"/>
    <n v="8.5999999999999993E-2"/>
    <m/>
    <n v="380"/>
    <m/>
    <n v="32.68"/>
    <n v="0"/>
    <n v="113172.04200000007"/>
  </r>
  <r>
    <d v="2025-10-31T00:00:00"/>
    <x v="4"/>
    <s v="SUMAK"/>
    <m/>
    <x v="1"/>
    <s v="ST00000000075"/>
    <s v="SATIŞ"/>
    <s v="NAKİT"/>
    <n v="0.11600000000000001"/>
    <n v="500"/>
    <n v="0"/>
    <n v="0"/>
    <n v="0.11600000000000001"/>
    <m/>
    <n v="500"/>
    <m/>
    <n v="58"/>
    <n v="0"/>
    <n v="113230.04200000007"/>
  </r>
  <r>
    <d v="2025-10-31T00:00:00"/>
    <x v="4"/>
    <s v="NATTE LEZZET SOSU 500 GR (NAR EKŞİSİ) "/>
    <m/>
    <x v="1"/>
    <s v="ST00000000075"/>
    <s v="SATIŞ"/>
    <s v="NAKİT"/>
    <n v="1"/>
    <n v="50"/>
    <n v="0"/>
    <n v="0"/>
    <n v="1"/>
    <m/>
    <n v="50"/>
    <m/>
    <n v="50"/>
    <n v="0"/>
    <n v="113280.04200000007"/>
  </r>
  <r>
    <d v="2025-10-31T00:00:00"/>
    <x v="4"/>
    <s v="KİMYON ÇEKİLMİŞ"/>
    <m/>
    <x v="5"/>
    <s v="ST00000000076"/>
    <s v="SATIŞ"/>
    <s v="POS"/>
    <n v="0.18"/>
    <n v="390"/>
    <n v="70.2"/>
    <n v="0"/>
    <n v="0.18"/>
    <m/>
    <n v="390"/>
    <m/>
    <n v="0"/>
    <n v="0"/>
    <n v="113280.04200000007"/>
  </r>
  <r>
    <d v="2025-10-31T00:00:00"/>
    <x v="4"/>
    <s v="TOZ BİBER - ACI"/>
    <m/>
    <x v="5"/>
    <s v="ST00000000076"/>
    <s v="SATIŞ"/>
    <s v="POS"/>
    <n v="8.5999999999999993E-2"/>
    <n v="370"/>
    <n v="31.819999999999997"/>
    <n v="0"/>
    <n v="8.5999999999999993E-2"/>
    <m/>
    <n v="370"/>
    <m/>
    <n v="0"/>
    <n v="0"/>
    <n v="113280.04200000007"/>
  </r>
  <r>
    <d v="2025-10-31T00:00:00"/>
    <x v="4"/>
    <s v="MATCHA BROMELAİN DETOX ÇAYI"/>
    <m/>
    <x v="1"/>
    <s v="ST00000000077"/>
    <s v="SATIŞ"/>
    <s v="NAKİT"/>
    <n v="1"/>
    <n v="203"/>
    <n v="0"/>
    <n v="0"/>
    <n v="1"/>
    <m/>
    <n v="203"/>
    <m/>
    <n v="203"/>
    <n v="0"/>
    <n v="113483.04200000007"/>
  </r>
  <r>
    <d v="2025-10-31T00:00:00"/>
    <x v="4"/>
    <s v="MATCHA KAYISI VE YEŞİL ÇAYLI DETOX ÇAYI"/>
    <m/>
    <x v="1"/>
    <s v="ST00000000077"/>
    <s v="SATIŞ"/>
    <s v="NAKİT"/>
    <n v="1"/>
    <n v="203"/>
    <n v="0"/>
    <n v="0"/>
    <n v="1"/>
    <m/>
    <n v="203"/>
    <m/>
    <n v="203"/>
    <n v="0"/>
    <n v="113686.04200000007"/>
  </r>
  <r>
    <d v="2025-10-31T00:00:00"/>
    <x v="4"/>
    <s v="DOMATES KURUSU"/>
    <m/>
    <x v="1"/>
    <s v="ST00000000078"/>
    <s v="SATIŞ"/>
    <s v="NAKİT"/>
    <n v="0.26400000000000001"/>
    <n v="360"/>
    <n v="0"/>
    <n v="0"/>
    <n v="0.26400000000000001"/>
    <m/>
    <n v="360"/>
    <m/>
    <n v="95.04"/>
    <n v="0"/>
    <n v="113781.08200000007"/>
  </r>
  <r>
    <d v="2025-10-31T00:00:00"/>
    <x v="4"/>
    <s v="ZENCEFİL TANE"/>
    <m/>
    <x v="1"/>
    <s v="ST00000000078"/>
    <s v="SATIŞ"/>
    <s v="NAKİT"/>
    <n v="0.182"/>
    <n v="380"/>
    <n v="0"/>
    <n v="0"/>
    <n v="0.182"/>
    <m/>
    <n v="380"/>
    <m/>
    <n v="69.16"/>
    <n v="0"/>
    <n v="113850.24200000007"/>
  </r>
  <r>
    <d v="2025-10-31T00:00:00"/>
    <x v="4"/>
    <s v="KİMYON ÇEKİLMİŞ"/>
    <m/>
    <x v="1"/>
    <s v="ST00000000078"/>
    <s v="SATIŞ"/>
    <s v="NAKİT"/>
    <n v="0.13800000000000001"/>
    <n v="390"/>
    <n v="0"/>
    <n v="0"/>
    <n v="0.13800000000000001"/>
    <m/>
    <n v="390"/>
    <m/>
    <n v="53.820000000000007"/>
    <n v="0"/>
    <n v="113904.06200000008"/>
  </r>
  <r>
    <d v="2025-10-31T00:00:00"/>
    <x v="4"/>
    <s v="DOLMALIK KURU KABAK"/>
    <m/>
    <x v="1"/>
    <s v="ST00000000078"/>
    <s v="SATIŞ"/>
    <s v="NAKİT"/>
    <n v="1"/>
    <n v="260"/>
    <n v="0"/>
    <n v="0"/>
    <n v="1"/>
    <m/>
    <n v="260"/>
    <m/>
    <n v="260"/>
    <n v="0"/>
    <n v="114164.06200000008"/>
  </r>
  <r>
    <d v="2025-10-31T00:00:00"/>
    <x v="4"/>
    <s v="DOLMALIK KURU PATLICAN"/>
    <m/>
    <x v="1"/>
    <s v="ST00000000078"/>
    <s v="SATIŞ"/>
    <s v="NAKİT"/>
    <n v="1"/>
    <n v="240"/>
    <n v="0"/>
    <n v="0"/>
    <n v="1"/>
    <m/>
    <n v="240"/>
    <m/>
    <n v="240"/>
    <n v="0"/>
    <n v="114404.06200000008"/>
  </r>
  <r>
    <d v="2025-10-31T00:00:00"/>
    <x v="4"/>
    <s v="TOZ BİBER - TATLI"/>
    <m/>
    <x v="1"/>
    <s v="ST00000000078"/>
    <s v="SATIŞ"/>
    <s v="NAKİT"/>
    <n v="0.17"/>
    <n v="370"/>
    <n v="0"/>
    <n v="0"/>
    <n v="0.17"/>
    <m/>
    <n v="370"/>
    <m/>
    <n v="62.900000000000006"/>
    <n v="0"/>
    <n v="114466.96200000007"/>
  </r>
  <r>
    <d v="2025-10-31T00:00:00"/>
    <x v="4"/>
    <s v="KARABİBER ÇEKİLMİŞ"/>
    <m/>
    <x v="1"/>
    <s v="ST00000000078"/>
    <s v="SATIŞ"/>
    <s v="NAKİT"/>
    <n v="0.126"/>
    <n v="640"/>
    <n v="0"/>
    <n v="0"/>
    <n v="0.126"/>
    <m/>
    <n v="640"/>
    <m/>
    <n v="80.64"/>
    <n v="0"/>
    <n v="114547.60200000007"/>
  </r>
  <r>
    <d v="2025-10-31T00:00:00"/>
    <x v="4"/>
    <s v="KÖFTE BAHARATI (YEDİTÜRLÜ)"/>
    <m/>
    <x v="1"/>
    <s v="ST00000000078"/>
    <s v="SATIŞ"/>
    <s v="NAKİT"/>
    <n v="0.185"/>
    <n v="410"/>
    <n v="0"/>
    <n v="0"/>
    <n v="0.185"/>
    <m/>
    <n v="410"/>
    <m/>
    <n v="75.849999999999994"/>
    <n v="0"/>
    <n v="114623.45200000008"/>
  </r>
  <r>
    <d v="2025-10-31T00:00:00"/>
    <x v="4"/>
    <s v="IHLAMUR YAPRAK"/>
    <m/>
    <x v="1"/>
    <s v="ST00000000078"/>
    <s v="SATIŞ"/>
    <s v="NAKİT"/>
    <n v="0.05"/>
    <n v="2500"/>
    <n v="0"/>
    <n v="0"/>
    <n v="0.05"/>
    <m/>
    <n v="2500"/>
    <m/>
    <n v="125"/>
    <n v="0"/>
    <n v="114748.45200000008"/>
  </r>
  <r>
    <d v="2025-10-31T00:00:00"/>
    <x v="4"/>
    <s v="WARITEX ÇİFT TARAFLI KABAK LİFİ"/>
    <m/>
    <x v="1"/>
    <s v="ST00000000078"/>
    <s v="SATIŞ"/>
    <s v="NAKİT"/>
    <n v="1"/>
    <n v="90"/>
    <n v="0"/>
    <n v="0"/>
    <n v="1"/>
    <m/>
    <n v="90"/>
    <m/>
    <n v="90"/>
    <n v="0"/>
    <n v="114838.45200000008"/>
  </r>
  <r>
    <d v="2025-10-31T00:00:00"/>
    <x v="4"/>
    <s v="TÜDAB ANDIZ PEKMEZİ 450 GR"/>
    <m/>
    <x v="1"/>
    <s v="ST00000000078"/>
    <s v="SATIŞ"/>
    <s v="NAKİT"/>
    <n v="1"/>
    <n v="190"/>
    <n v="0"/>
    <n v="0"/>
    <n v="1"/>
    <m/>
    <n v="190"/>
    <m/>
    <n v="190"/>
    <n v="0"/>
    <n v="115028.45200000008"/>
  </r>
  <r>
    <d v="2025-10-31T00:00:00"/>
    <x v="4"/>
    <s v="DOLMALIK KURU TATLI KIRMIZI BİBER"/>
    <m/>
    <x v="1"/>
    <s v="ST00000000078"/>
    <s v="SATIŞ"/>
    <s v="NAKİT"/>
    <n v="1"/>
    <n v="200"/>
    <n v="0"/>
    <n v="0"/>
    <n v="1"/>
    <m/>
    <n v="200"/>
    <m/>
    <n v="200"/>
    <n v="0"/>
    <n v="115228.45200000008"/>
  </r>
  <r>
    <d v="2025-10-31T00:00:00"/>
    <x v="4"/>
    <s v="KARABİBER ÇEKİLMİŞ"/>
    <m/>
    <x v="1"/>
    <s v="ST00000000079"/>
    <s v="SATIŞ"/>
    <s v="NAKİT"/>
    <n v="0.16800000000000001"/>
    <n v="640"/>
    <n v="0"/>
    <n v="0"/>
    <n v="0.16800000000000001"/>
    <m/>
    <n v="640"/>
    <m/>
    <n v="107.52000000000001"/>
    <n v="0"/>
    <n v="115335.97200000008"/>
  </r>
  <r>
    <d v="2025-10-31T00:00:00"/>
    <x v="4"/>
    <s v="TÜRK KAHVESİ"/>
    <m/>
    <x v="1"/>
    <s v="ST00000000079"/>
    <s v="SATIŞ"/>
    <s v="NAKİT"/>
    <n v="0.1"/>
    <n v="650"/>
    <n v="0"/>
    <n v="0"/>
    <n v="0.1"/>
    <m/>
    <n v="650"/>
    <m/>
    <n v="65"/>
    <n v="0"/>
    <n v="115400.97200000008"/>
  </r>
  <r>
    <d v="2025-10-31T00:00:00"/>
    <x v="4"/>
    <s v="TÜDAB ANDIZ PEKMEZİ 450 GR"/>
    <m/>
    <x v="1"/>
    <s v="ST00000000079"/>
    <s v="SATIŞ"/>
    <s v="NAKİT"/>
    <n v="1"/>
    <n v="190"/>
    <n v="0"/>
    <n v="0"/>
    <n v="1"/>
    <m/>
    <n v="190"/>
    <m/>
    <n v="190"/>
    <n v="0"/>
    <n v="115590.97200000008"/>
  </r>
  <r>
    <d v="2025-10-31T00:00:00"/>
    <x v="4"/>
    <s v="GÜNAYDIN KAYA TUZU İNCE"/>
    <m/>
    <x v="1"/>
    <s v="ST00000000079"/>
    <s v="SATIŞ"/>
    <s v="NAKİT"/>
    <n v="0.5"/>
    <n v="80"/>
    <n v="0"/>
    <n v="0"/>
    <n v="0.5"/>
    <m/>
    <n v="80"/>
    <m/>
    <n v="40"/>
    <n v="0"/>
    <n v="115630.97200000008"/>
  </r>
  <r>
    <d v="2025-10-31T00:00:00"/>
    <x v="4"/>
    <s v="NBN DAĞ İNCİRİ"/>
    <m/>
    <x v="1"/>
    <s v="ST00000000079"/>
    <s v="SATIŞ"/>
    <s v="NAKİT"/>
    <n v="0.47199999999999998"/>
    <n v="700"/>
    <n v="0"/>
    <n v="0"/>
    <n v="0.47199999999999998"/>
    <m/>
    <n v="700"/>
    <m/>
    <n v="330.4"/>
    <n v="0"/>
    <n v="115961.37200000008"/>
  </r>
  <r>
    <d v="2025-10-31T00:00:00"/>
    <x v="4"/>
    <s v="DOLMALIK KURU PATLICAN"/>
    <m/>
    <x v="1"/>
    <s v="ST00000000080"/>
    <s v="SATIŞ"/>
    <s v="NAKİT"/>
    <n v="1"/>
    <n v="240"/>
    <n v="0"/>
    <n v="0"/>
    <n v="1"/>
    <m/>
    <n v="240"/>
    <m/>
    <n v="240"/>
    <n v="0"/>
    <n v="116201.37200000008"/>
  </r>
  <r>
    <d v="2025-10-31T00:00:00"/>
    <x v="4"/>
    <s v="DOLMALIK KURU ACI BİBER"/>
    <m/>
    <x v="1"/>
    <s v="ST00000000080"/>
    <s v="SATIŞ"/>
    <s v="NAKİT"/>
    <n v="1"/>
    <n v="200"/>
    <n v="0"/>
    <n v="0"/>
    <n v="1"/>
    <m/>
    <n v="200"/>
    <m/>
    <n v="200"/>
    <n v="0"/>
    <n v="116401.37200000008"/>
  </r>
  <r>
    <d v="2025-10-31T00:00:00"/>
    <x v="4"/>
    <s v="GÜNAYDIN KAYA TUZU İNCE"/>
    <m/>
    <x v="1"/>
    <s v="ST00000000080"/>
    <s v="SATIŞ"/>
    <s v="NAKİT"/>
    <n v="0.5"/>
    <n v="80"/>
    <n v="0"/>
    <n v="0"/>
    <n v="0.5"/>
    <m/>
    <n v="80"/>
    <m/>
    <n v="40"/>
    <n v="0"/>
    <n v="116441.37200000008"/>
  </r>
  <r>
    <d v="2025-10-31T00:00:00"/>
    <x v="4"/>
    <s v="TÜRK KAHVESİ"/>
    <m/>
    <x v="1"/>
    <s v="ST00000000080"/>
    <s v="SATIŞ"/>
    <s v="NAKİT"/>
    <n v="0.1"/>
    <n v="650"/>
    <n v="0"/>
    <n v="0"/>
    <n v="0.1"/>
    <m/>
    <n v="650"/>
    <m/>
    <n v="65"/>
    <n v="0"/>
    <n v="116506.37200000008"/>
  </r>
  <r>
    <d v="2025-10-31T00:00:00"/>
    <x v="4"/>
    <s v="KARABİBER ÇEKİLMİŞ"/>
    <m/>
    <x v="1"/>
    <s v="ST00000000080"/>
    <s v="SATIŞ"/>
    <s v="NAKİT"/>
    <n v="0.13200000000000001"/>
    <n v="640"/>
    <n v="0"/>
    <n v="0"/>
    <n v="0.13200000000000001"/>
    <m/>
    <n v="640"/>
    <m/>
    <n v="84.48"/>
    <n v="0"/>
    <n v="116590.85200000007"/>
  </r>
  <r>
    <d v="2025-10-31T00:00:00"/>
    <x v="4"/>
    <s v="İPEK BİBER"/>
    <m/>
    <x v="1"/>
    <s v="ST00000000080"/>
    <s v="SATIŞ"/>
    <s v="NAKİT"/>
    <n v="0.18"/>
    <n v="500"/>
    <n v="0"/>
    <n v="0"/>
    <n v="0.18"/>
    <m/>
    <n v="500"/>
    <m/>
    <n v="90"/>
    <n v="0"/>
    <n v="116680.85200000007"/>
  </r>
  <r>
    <d v="2025-10-31T00:00:00"/>
    <x v="4"/>
    <s v="ZENCEFİL TOZ"/>
    <m/>
    <x v="1"/>
    <s v="ST00000000080"/>
    <s v="SATIŞ"/>
    <s v="NAKİT"/>
    <n v="0.11600000000000001"/>
    <n v="360"/>
    <n v="0"/>
    <n v="0"/>
    <n v="0.11600000000000001"/>
    <m/>
    <n v="360"/>
    <m/>
    <n v="41.760000000000005"/>
    <n v="0"/>
    <n v="116722.61200000007"/>
  </r>
  <r>
    <d v="2025-10-31T00:00:00"/>
    <x v="4"/>
    <s v="ZERDEÇAL TOZ"/>
    <m/>
    <x v="1"/>
    <s v="ST00000000080"/>
    <s v="SATIŞ"/>
    <s v="NAKİT"/>
    <n v="0.128"/>
    <n v="250"/>
    <n v="0"/>
    <n v="0"/>
    <n v="0.128"/>
    <m/>
    <n v="250"/>
    <m/>
    <n v="32"/>
    <n v="0"/>
    <n v="116754.61200000007"/>
  </r>
  <r>
    <d v="2025-10-31T00:00:00"/>
    <x v="4"/>
    <s v="NANE İRİ"/>
    <m/>
    <x v="1"/>
    <s v="ST00000000080"/>
    <s v="SATIŞ"/>
    <s v="NAKİT"/>
    <n v="0.106"/>
    <n v="300"/>
    <n v="0"/>
    <n v="0"/>
    <n v="0.106"/>
    <m/>
    <n v="300"/>
    <m/>
    <n v="31.8"/>
    <n v="0"/>
    <n v="116786.41200000007"/>
  </r>
  <r>
    <d v="2025-10-31T00:00:00"/>
    <x v="4"/>
    <s v="NBN DAĞ İNCİRİ"/>
    <m/>
    <x v="1"/>
    <s v="ST00000000081"/>
    <s v="SATIŞ"/>
    <s v="NAKİT"/>
    <n v="0.60399999999999998"/>
    <n v="700"/>
    <n v="0"/>
    <n v="0"/>
    <n v="0.60399999999999998"/>
    <m/>
    <n v="700"/>
    <m/>
    <n v="422.8"/>
    <n v="0"/>
    <n v="117209.21200000007"/>
  </r>
  <r>
    <d v="2025-10-31T00:00:00"/>
    <x v="4"/>
    <s v="TÜRK KAHVESİ"/>
    <m/>
    <x v="1"/>
    <s v="ST00000000081"/>
    <s v="SATIŞ"/>
    <s v="NAKİT"/>
    <n v="0.2"/>
    <n v="650"/>
    <n v="0"/>
    <n v="0"/>
    <n v="0.2"/>
    <m/>
    <n v="650"/>
    <m/>
    <n v="130"/>
    <n v="0"/>
    <n v="117339.21200000007"/>
  </r>
  <r>
    <d v="2025-10-31T00:00:00"/>
    <x v="4"/>
    <s v="AYÇEKİRDEĞİ DAKOTA TUZLU EKSTRA"/>
    <m/>
    <x v="1"/>
    <s v="ST00000000081"/>
    <s v="SATIŞ"/>
    <s v="NAKİT"/>
    <n v="0.94"/>
    <n v="180"/>
    <n v="0"/>
    <n v="0"/>
    <n v="0.94"/>
    <m/>
    <n v="180"/>
    <m/>
    <n v="169.2"/>
    <n v="0"/>
    <n v="117508.41200000007"/>
  </r>
  <r>
    <d v="2025-10-31T00:00:00"/>
    <x v="4"/>
    <s v="İRİ BEYAZ KABAK ÇEKİRDEĞİ - NEVŞEHİR"/>
    <m/>
    <x v="1"/>
    <s v="ST00000000081"/>
    <s v="SATIŞ"/>
    <s v="NAKİT"/>
    <n v="0.434"/>
    <n v="350"/>
    <n v="0"/>
    <n v="0"/>
    <n v="0.434"/>
    <m/>
    <n v="350"/>
    <m/>
    <n v="151.9"/>
    <n v="0"/>
    <n v="117660.31200000006"/>
  </r>
  <r>
    <d v="2025-10-31T00:00:00"/>
    <x v="4"/>
    <s v="WARITEX ÇİFT TARAFLI KABAK LİFİ"/>
    <m/>
    <x v="1"/>
    <s v="ST00000000081"/>
    <s v="SATIŞ"/>
    <s v="NAKİT"/>
    <n v="2"/>
    <n v="120"/>
    <n v="0"/>
    <n v="0"/>
    <n v="2"/>
    <m/>
    <n v="120"/>
    <m/>
    <n v="240"/>
    <n v="0"/>
    <n v="117900.31200000006"/>
  </r>
  <r>
    <d v="2025-10-31T00:00:00"/>
    <x v="4"/>
    <s v="KAJU - TB"/>
    <m/>
    <x v="1"/>
    <s v="ST00000000082"/>
    <s v="SATIŞ"/>
    <s v="NAKİT"/>
    <n v="0.3"/>
    <n v="650"/>
    <n v="0"/>
    <n v="0"/>
    <n v="0.3"/>
    <m/>
    <n v="650"/>
    <m/>
    <n v="195"/>
    <n v="0"/>
    <n v="118095.31200000006"/>
  </r>
  <r>
    <d v="2025-10-31T00:00:00"/>
    <x v="4"/>
    <s v="FINDIK BULACAK (13-15)"/>
    <m/>
    <x v="1"/>
    <s v="ST00000000082"/>
    <s v="SATIŞ"/>
    <s v="NAKİT"/>
    <n v="0.2"/>
    <n v="1150"/>
    <n v="0"/>
    <n v="0"/>
    <n v="0.2"/>
    <m/>
    <n v="1150"/>
    <m/>
    <n v="230"/>
    <n v="0"/>
    <n v="118325.31200000006"/>
  </r>
  <r>
    <d v="2025-10-31T00:00:00"/>
    <x v="4"/>
    <s v="DEMKAR TURUNCU PAKET ANTEP FISTIĞI"/>
    <m/>
    <x v="1"/>
    <s v="ST00000000082"/>
    <s v="SATIŞ"/>
    <s v="NAKİT"/>
    <n v="0.2"/>
    <n v="1250"/>
    <n v="0"/>
    <n v="0"/>
    <n v="0.2"/>
    <m/>
    <n v="1250"/>
    <m/>
    <n v="250"/>
    <n v="0"/>
    <n v="118575.31200000006"/>
  </r>
  <r>
    <d v="2025-10-31T00:00:00"/>
    <x v="4"/>
    <s v="BADEM KAVRULMUŞ"/>
    <m/>
    <x v="1"/>
    <s v="ST00000000082"/>
    <s v="SATIŞ"/>
    <s v="NAKİT"/>
    <n v="0.4"/>
    <n v="650"/>
    <n v="0"/>
    <n v="0"/>
    <n v="0.4"/>
    <m/>
    <n v="650"/>
    <m/>
    <n v="260"/>
    <n v="0"/>
    <n v="118835.31200000006"/>
  </r>
  <r>
    <d v="2025-10-31T00:00:00"/>
    <x v="4"/>
    <s v="AYÇEKİRDEĞİ DAKOTA TUZLU EKSTRA"/>
    <m/>
    <x v="1"/>
    <s v="ST00000000082"/>
    <s v="SATIŞ"/>
    <s v="NAKİT"/>
    <n v="0.25"/>
    <n v="180"/>
    <n v="0"/>
    <n v="0"/>
    <n v="0.25"/>
    <m/>
    <n v="180"/>
    <m/>
    <n v="45"/>
    <n v="0"/>
    <n v="118880.31200000006"/>
  </r>
  <r>
    <d v="2025-10-31T00:00:00"/>
    <x v="4"/>
    <s v="AYÇEKİRDEĞİ DAKOTA TUZSUZ EKSTRA"/>
    <m/>
    <x v="1"/>
    <s v="ST00000000082"/>
    <s v="SATIŞ"/>
    <s v="NAKİT"/>
    <n v="0.25"/>
    <n v="180"/>
    <n v="0"/>
    <n v="0"/>
    <n v="0.25"/>
    <m/>
    <n v="180"/>
    <m/>
    <n v="45"/>
    <n v="0"/>
    <n v="118925.31200000006"/>
  </r>
  <r>
    <d v="2025-10-31T00:00:00"/>
    <x v="4"/>
    <s v="İRİ BEYAZ KABAK ÇEKİRDEĞİ - NEVŞEHİR"/>
    <m/>
    <x v="1"/>
    <s v="ST00000000082"/>
    <s v="SATIŞ"/>
    <s v="NAKİT"/>
    <n v="0.25"/>
    <n v="350"/>
    <n v="0"/>
    <n v="0"/>
    <n v="0.25"/>
    <m/>
    <n v="350"/>
    <m/>
    <n v="87.5"/>
    <n v="0"/>
    <n v="119012.81200000006"/>
  </r>
  <r>
    <d v="2025-10-31T00:00:00"/>
    <x v="4"/>
    <s v="İRİ KABAK ÇEKİRDEĞİ TUZSUZ (KAVRULMUŞ)"/>
    <m/>
    <x v="1"/>
    <s v="ST00000000082"/>
    <s v="SATIŞ"/>
    <s v="NAKİT"/>
    <n v="0.25"/>
    <n v="350"/>
    <n v="0"/>
    <n v="0"/>
    <n v="0.25"/>
    <m/>
    <n v="350"/>
    <m/>
    <n v="87.5"/>
    <n v="0"/>
    <n v="119100.31200000006"/>
  </r>
  <r>
    <d v="2025-10-31T00:00:00"/>
    <x v="4"/>
    <s v="HİBİSKUS"/>
    <m/>
    <x v="1"/>
    <s v="ST00000000083"/>
    <s v="SATIŞ"/>
    <s v="NAKİT"/>
    <n v="4.2000000000000003E-2"/>
    <n v="600"/>
    <n v="0"/>
    <n v="0"/>
    <n v="4.2000000000000003E-2"/>
    <m/>
    <n v="600"/>
    <m/>
    <n v="25.200000000000003"/>
    <n v="0"/>
    <n v="119125.51200000006"/>
  </r>
  <r>
    <d v="2025-10-31T00:00:00"/>
    <x v="3"/>
    <s v="UMUT ŞİFA KUYRUK YAĞI 100 ML"/>
    <m/>
    <x v="6"/>
    <m/>
    <s v="ORHAN ABLAK HOCA"/>
    <s v="CARİ"/>
    <n v="10"/>
    <n v="150"/>
    <n v="0"/>
    <n v="1500"/>
    <m/>
    <m/>
    <m/>
    <m/>
    <n v="0"/>
    <n v="0"/>
    <n v="119125.51200000006"/>
  </r>
  <r>
    <d v="2025-10-31T00:00:00"/>
    <x v="3"/>
    <s v="TABİB LOKMAN ALABALIK YAĞI 100 ML"/>
    <m/>
    <x v="6"/>
    <m/>
    <s v="ORHAN ABLAK HOCA"/>
    <s v="CARİ"/>
    <n v="10"/>
    <n v="150"/>
    <n v="0"/>
    <n v="1500"/>
    <m/>
    <m/>
    <m/>
    <m/>
    <n v="0"/>
    <n v="0"/>
    <n v="119125.51200000006"/>
  </r>
  <r>
    <d v="2025-10-31T00:00:00"/>
    <x v="3"/>
    <s v="ARZEN TOROS NANESİ 20 ML (NANE YAĞI)"/>
    <m/>
    <x v="6"/>
    <m/>
    <s v="ORHAN ABLAK HOCA"/>
    <s v="CARİ"/>
    <n v="10"/>
    <n v="50"/>
    <n v="0"/>
    <n v="500"/>
    <m/>
    <m/>
    <m/>
    <m/>
    <n v="0"/>
    <n v="0"/>
    <n v="119125.51200000006"/>
  </r>
  <r>
    <d v="2025-11-01T00:00:00"/>
    <x v="3"/>
    <s v="BİOBLAS KERATİN KOLAJEN SIVI SAÇ KREMİ 200 ML"/>
    <m/>
    <x v="2"/>
    <n v="14"/>
    <s v="HAKMAR MAĞAZACILIK LTD."/>
    <s v="K.K."/>
    <n v="1"/>
    <n v="109"/>
    <n v="0"/>
    <n v="109"/>
    <m/>
    <n v="1"/>
    <m/>
    <n v="109"/>
    <n v="0"/>
    <n v="0"/>
    <n v="119125.51200000006"/>
  </r>
  <r>
    <d v="2025-11-01T00:00:00"/>
    <x v="3"/>
    <s v="BİOBLAS SAÇ DÖKÜLMESİNE KARŞI BİTKİSEL ŞAMPUAN 1000 ML - YEŞİL "/>
    <m/>
    <x v="2"/>
    <n v="14"/>
    <s v="HAKMAR MAĞAZACILIK LTD."/>
    <s v="K.K."/>
    <n v="2"/>
    <n v="119"/>
    <n v="0"/>
    <n v="238"/>
    <m/>
    <n v="2"/>
    <m/>
    <n v="119"/>
    <n v="0"/>
    <n v="0"/>
    <n v="119125.51200000006"/>
  </r>
  <r>
    <d v="2025-11-01T00:00:00"/>
    <x v="3"/>
    <s v="UNİ BABY BEBEK ŞAMPUANI 900 ML"/>
    <m/>
    <x v="2"/>
    <n v="14"/>
    <s v="HAKMAR MAĞAZACILIK LTD."/>
    <s v="K.K."/>
    <n v="5"/>
    <n v="99.9"/>
    <n v="0"/>
    <n v="499.5"/>
    <m/>
    <n v="5"/>
    <m/>
    <n v="99.9"/>
    <n v="0"/>
    <n v="0"/>
    <n v="119125.51200000006"/>
  </r>
  <r>
    <d v="2025-11-01T00:00:00"/>
    <x v="3"/>
    <s v="BİOBLAS ARGAN SIVI SAÇ KREMİ 200 ML"/>
    <m/>
    <x v="2"/>
    <n v="14"/>
    <s v="HAKMAR MAĞAZACILIK LTD."/>
    <s v="K.K."/>
    <n v="1"/>
    <n v="109"/>
    <n v="0"/>
    <n v="109"/>
    <m/>
    <n v="1"/>
    <m/>
    <n v="109"/>
    <n v="0"/>
    <n v="0"/>
    <n v="119125.51200000006"/>
  </r>
  <r>
    <d v="2025-11-01T00:00:00"/>
    <x v="3"/>
    <s v="BİOBLAS KERATİN KOLAJEN SAÇ BAKIM YAĞI 100 ML"/>
    <m/>
    <x v="2"/>
    <n v="14"/>
    <s v="HAKMAR MAĞAZACILIK LTD."/>
    <s v="K.K."/>
    <n v="3"/>
    <n v="119"/>
    <n v="0"/>
    <n v="357"/>
    <m/>
    <n v="3"/>
    <m/>
    <n v="119"/>
    <n v="0"/>
    <n v="0"/>
    <n v="119125.51200000006"/>
  </r>
  <r>
    <d v="2025-11-01T00:00:00"/>
    <x v="3"/>
    <s v="BİOBLAS ARGAN SAÇ BAKIM YAĞI 100 ML"/>
    <m/>
    <x v="2"/>
    <n v="14"/>
    <s v="HAKMAR MAĞAZACILIK LTD."/>
    <s v="K.K."/>
    <n v="3"/>
    <n v="119"/>
    <n v="0"/>
    <n v="357"/>
    <m/>
    <n v="3"/>
    <m/>
    <n v="119"/>
    <n v="0"/>
    <n v="0"/>
    <n v="119125.51200000006"/>
  </r>
  <r>
    <d v="2025-11-01T00:00:00"/>
    <x v="4"/>
    <s v="SALÇA TATLI (EV YAPIMI)"/>
    <m/>
    <x v="1"/>
    <s v="ST00000000084"/>
    <s v="SATIŞ"/>
    <s v="NAKİT"/>
    <n v="1"/>
    <n v="180"/>
    <n v="0"/>
    <n v="0"/>
    <n v="1"/>
    <m/>
    <n v="180"/>
    <m/>
    <n v="180"/>
    <n v="0"/>
    <n v="119305.51200000006"/>
  </r>
  <r>
    <d v="2025-11-01T00:00:00"/>
    <x v="4"/>
    <s v="DOMATES SALÇASI"/>
    <m/>
    <x v="1"/>
    <s v="ST00000000084"/>
    <s v="SATIŞ"/>
    <s v="NAKİT"/>
    <n v="1"/>
    <n v="130"/>
    <n v="0"/>
    <n v="0"/>
    <n v="1"/>
    <m/>
    <n v="130"/>
    <m/>
    <n v="130"/>
    <n v="0"/>
    <n v="119435.51200000006"/>
  </r>
  <r>
    <d v="2025-11-01T00:00:00"/>
    <x v="4"/>
    <s v="DEFNE YAPRAĞI"/>
    <m/>
    <x v="1"/>
    <s v="ST00000000084"/>
    <s v="SATIŞ"/>
    <s v="NAKİT"/>
    <n v="0.1"/>
    <n v="1400"/>
    <n v="0"/>
    <n v="0"/>
    <n v="0.1"/>
    <m/>
    <n v="1400"/>
    <m/>
    <n v="140"/>
    <n v="0"/>
    <n v="119575.51200000006"/>
  </r>
  <r>
    <d v="2025-11-01T00:00:00"/>
    <x v="4"/>
    <s v="TÜRK KAHVESİ"/>
    <m/>
    <x v="1"/>
    <s v="ST00000000084"/>
    <s v="SATIŞ"/>
    <s v="NAKİT"/>
    <n v="0.1"/>
    <n v="650"/>
    <n v="0"/>
    <n v="0"/>
    <n v="0.1"/>
    <m/>
    <n v="650"/>
    <m/>
    <n v="65"/>
    <n v="0"/>
    <n v="119640.51200000006"/>
  </r>
  <r>
    <d v="2025-11-01T00:00:00"/>
    <x v="4"/>
    <s v="HİNDİSTAN CEVİZİ ( İRİ )"/>
    <m/>
    <x v="1"/>
    <s v="ST00000000084"/>
    <s v="SATIŞ"/>
    <s v="NAKİT"/>
    <n v="0.1"/>
    <n v="300"/>
    <n v="0"/>
    <n v="0"/>
    <n v="0.1"/>
    <m/>
    <n v="300"/>
    <m/>
    <n v="30"/>
    <n v="0"/>
    <n v="119670.51200000006"/>
  </r>
  <r>
    <d v="2025-11-01T00:00:00"/>
    <x v="4"/>
    <s v="SUSAM"/>
    <m/>
    <x v="1"/>
    <s v="ST00000000084"/>
    <s v="SATIŞ"/>
    <s v="NAKİT"/>
    <n v="0.1"/>
    <n v="400"/>
    <n v="0"/>
    <n v="0"/>
    <n v="0.1"/>
    <m/>
    <n v="400"/>
    <m/>
    <n v="40"/>
    <n v="0"/>
    <n v="119710.51200000006"/>
  </r>
  <r>
    <d v="2025-11-01T00:00:00"/>
    <x v="4"/>
    <s v="ÇÖREKOTU"/>
    <m/>
    <x v="1"/>
    <s v="ST00000000084"/>
    <s v="SATIŞ"/>
    <s v="NAKİT"/>
    <n v="0.1"/>
    <n v="400"/>
    <n v="0"/>
    <n v="0"/>
    <n v="0.1"/>
    <m/>
    <n v="400"/>
    <m/>
    <n v="40"/>
    <n v="0"/>
    <n v="119750.51200000006"/>
  </r>
  <r>
    <d v="2025-11-01T00:00:00"/>
    <x v="4"/>
    <s v="ZENCEFİL TOZ"/>
    <m/>
    <x v="1"/>
    <s v="ST00000000084"/>
    <s v="SATIŞ"/>
    <s v="NAKİT"/>
    <n v="0.12"/>
    <n v="360"/>
    <n v="0"/>
    <n v="0"/>
    <n v="0.12"/>
    <m/>
    <n v="360"/>
    <m/>
    <n v="43.199999999999996"/>
    <n v="0"/>
    <n v="119793.71200000006"/>
  </r>
  <r>
    <d v="2025-11-01T00:00:00"/>
    <x v="4"/>
    <s v="ZERDEÇAL TOZ"/>
    <m/>
    <x v="1"/>
    <s v="ST00000000084"/>
    <s v="SATIŞ"/>
    <s v="NAKİT"/>
    <n v="0.114"/>
    <n v="250"/>
    <n v="0"/>
    <n v="0"/>
    <n v="0.114"/>
    <m/>
    <n v="250"/>
    <m/>
    <n v="28.5"/>
    <n v="0"/>
    <n v="119822.21200000006"/>
  </r>
  <r>
    <d v="2025-11-01T00:00:00"/>
    <x v="4"/>
    <s v="ŞİFAVER ZEYTİNYAĞLI HATAY SABUNU"/>
    <m/>
    <x v="1"/>
    <s v="ST00000000084"/>
    <s v="SATIŞ"/>
    <s v="NAKİT"/>
    <n v="1"/>
    <n v="40"/>
    <n v="0"/>
    <n v="0"/>
    <n v="1"/>
    <m/>
    <n v="40"/>
    <m/>
    <n v="40"/>
    <n v="0"/>
    <n v="119862.21200000006"/>
  </r>
  <r>
    <d v="2025-11-01T00:00:00"/>
    <x v="4"/>
    <s v="ŞİFAVER BITTIM HATAY SABUNU"/>
    <m/>
    <x v="1"/>
    <s v="ST00000000084"/>
    <s v="SATIŞ"/>
    <s v="NAKİT"/>
    <n v="1"/>
    <n v="40"/>
    <n v="0"/>
    <n v="0"/>
    <n v="1"/>
    <m/>
    <n v="40"/>
    <m/>
    <n v="40"/>
    <n v="0"/>
    <n v="119902.21200000006"/>
  </r>
  <r>
    <d v="2025-11-01T00:00:00"/>
    <x v="4"/>
    <s v="KİMYON ÇEKİLMİŞ"/>
    <m/>
    <x v="1"/>
    <s v="ST00000000085"/>
    <s v="SATIŞ"/>
    <s v="NAKİT"/>
    <n v="0.28000000000000003"/>
    <n v="390"/>
    <n v="0"/>
    <n v="0"/>
    <n v="0.28000000000000003"/>
    <m/>
    <n v="390"/>
    <m/>
    <n v="109.20000000000002"/>
    <n v="0"/>
    <n v="120011.41200000005"/>
  </r>
  <r>
    <d v="2025-11-01T00:00:00"/>
    <x v="4"/>
    <s v="EVLİK BİBER"/>
    <m/>
    <x v="1"/>
    <s v="ST00000000085"/>
    <s v="SATIŞ"/>
    <s v="NAKİT"/>
    <n v="0.4"/>
    <n v="380"/>
    <n v="0"/>
    <n v="0"/>
    <n v="0.4"/>
    <m/>
    <n v="380"/>
    <m/>
    <n v="152"/>
    <n v="0"/>
    <n v="120163.41200000005"/>
  </r>
  <r>
    <d v="2025-11-01T00:00:00"/>
    <x v="4"/>
    <s v="ÇÖREKOTU"/>
    <m/>
    <x v="1"/>
    <s v="ST00000000085"/>
    <s v="SATIŞ"/>
    <s v="NAKİT"/>
    <n v="0.1"/>
    <n v="400"/>
    <n v="0"/>
    <n v="0"/>
    <n v="0.1"/>
    <m/>
    <n v="400"/>
    <m/>
    <n v="40"/>
    <n v="0"/>
    <n v="120203.41200000005"/>
  </r>
  <r>
    <d v="2025-11-01T00:00:00"/>
    <x v="4"/>
    <s v="DOLMALIK KURU PATLICAN"/>
    <m/>
    <x v="1"/>
    <s v="ST00000000086"/>
    <s v="SATIŞ"/>
    <s v="NAKİT"/>
    <n v="1"/>
    <n v="240"/>
    <n v="0"/>
    <n v="0"/>
    <n v="1"/>
    <m/>
    <n v="240"/>
    <m/>
    <n v="240"/>
    <n v="0"/>
    <n v="120443.41200000005"/>
  </r>
  <r>
    <d v="2025-11-01T00:00:00"/>
    <x v="4"/>
    <s v="DOMATES KURUSU"/>
    <m/>
    <x v="1"/>
    <s v="ST00000000086"/>
    <s v="SATIŞ"/>
    <s v="NAKİT"/>
    <n v="0.25"/>
    <n v="360"/>
    <n v="0"/>
    <n v="0"/>
    <n v="1"/>
    <m/>
    <n v="90"/>
    <m/>
    <n v="90"/>
    <n v="0"/>
    <n v="120533.41200000005"/>
  </r>
  <r>
    <d v="2025-11-01T00:00:00"/>
    <x v="4"/>
    <s v="CHİA TOHUMU DÖKME"/>
    <m/>
    <x v="5"/>
    <s v="ST00000000087"/>
    <s v="SATIŞ"/>
    <s v="POS"/>
    <n v="1"/>
    <n v="280"/>
    <n v="280"/>
    <n v="0"/>
    <n v="2"/>
    <m/>
    <n v="140"/>
    <m/>
    <n v="0"/>
    <n v="0"/>
    <n v="120533.41200000005"/>
  </r>
  <r>
    <d v="2025-11-01T00:00:00"/>
    <x v="4"/>
    <s v="ZENCEFİL TOZ"/>
    <m/>
    <x v="5"/>
    <s v="ST00000000087"/>
    <s v="SATIŞ"/>
    <s v="POS"/>
    <n v="0.14000000000000001"/>
    <n v="360"/>
    <n v="50.400000000000006"/>
    <n v="0"/>
    <n v="0.14000000000000001"/>
    <m/>
    <n v="360"/>
    <m/>
    <n v="0"/>
    <n v="0"/>
    <n v="120533.41200000005"/>
  </r>
  <r>
    <d v="2025-11-01T00:00:00"/>
    <x v="4"/>
    <s v="İRİ KABAK ÇEKİRDEĞİ TUZSUZ (KAVRULMUŞ)"/>
    <m/>
    <x v="1"/>
    <s v="ST00000000088"/>
    <s v="SATIŞ"/>
    <s v="NAKİT"/>
    <n v="0.30399999999999999"/>
    <n v="350"/>
    <n v="0"/>
    <n v="0"/>
    <n v="0.30399999999999999"/>
    <m/>
    <n v="350"/>
    <m/>
    <n v="106.39999999999999"/>
    <n v="0"/>
    <n v="120639.81200000005"/>
  </r>
  <r>
    <d v="2025-11-01T00:00:00"/>
    <x v="4"/>
    <s v="LEBLEBİ SARI ÖZEL LÜX ÇITIR"/>
    <m/>
    <x v="1"/>
    <s v="ST00000000088"/>
    <s v="SATIŞ"/>
    <s v="NAKİT"/>
    <n v="0.14399999999999999"/>
    <n v="190"/>
    <n v="0"/>
    <n v="0"/>
    <n v="0.14399999999999999"/>
    <m/>
    <n v="190"/>
    <m/>
    <n v="27.36"/>
    <n v="0"/>
    <n v="120667.17200000005"/>
  </r>
  <r>
    <d v="2025-11-01T00:00:00"/>
    <x v="4"/>
    <s v="LEBLEBİ ŞEKER LÜX"/>
    <m/>
    <x v="1"/>
    <s v="ST00000000088"/>
    <s v="SATIŞ"/>
    <s v="NAKİT"/>
    <n v="0.16400000000000001"/>
    <n v="190"/>
    <n v="0"/>
    <n v="0"/>
    <n v="0.16400000000000001"/>
    <m/>
    <n v="190"/>
    <m/>
    <n v="31.16"/>
    <n v="0"/>
    <n v="120698.33200000005"/>
  </r>
  <r>
    <d v="2025-11-01T00:00:00"/>
    <x v="4"/>
    <s v="BADEM KAVRULMUŞ"/>
    <m/>
    <x v="1"/>
    <s v="ST00000000088"/>
    <s v="SATIŞ"/>
    <s v="NAKİT"/>
    <n v="0.216"/>
    <n v="650"/>
    <n v="0"/>
    <n v="0"/>
    <n v="0.216"/>
    <m/>
    <n v="650"/>
    <m/>
    <n v="140.4"/>
    <n v="0"/>
    <n v="120838.73200000005"/>
  </r>
  <r>
    <d v="2025-11-01T00:00:00"/>
    <x v="4"/>
    <s v="KUDÜS HURMASI JUMBO"/>
    <m/>
    <x v="1"/>
    <s v="ST00000000088"/>
    <s v="SATIŞ"/>
    <s v="NAKİT"/>
    <n v="0.432"/>
    <n v="670"/>
    <n v="0"/>
    <n v="0"/>
    <n v="0.432"/>
    <m/>
    <n v="670"/>
    <m/>
    <n v="289.44"/>
    <n v="0"/>
    <n v="121128.17200000005"/>
  </r>
  <r>
    <d v="2025-11-01T00:00:00"/>
    <x v="4"/>
    <s v="NBN DAĞ İNCİRİ"/>
    <m/>
    <x v="1"/>
    <s v="ST00000000088"/>
    <s v="SATIŞ"/>
    <s v="NAKİT"/>
    <n v="0.38600000000000001"/>
    <n v="700"/>
    <n v="0"/>
    <n v="0"/>
    <n v="0.38600000000000001"/>
    <m/>
    <n v="700"/>
    <m/>
    <n v="270.2"/>
    <n v="0"/>
    <n v="121398.37200000005"/>
  </r>
  <r>
    <d v="2025-11-01T00:00:00"/>
    <x v="4"/>
    <s v="İSOT"/>
    <m/>
    <x v="5"/>
    <s v="ST00000000089"/>
    <s v="SATIŞ"/>
    <s v="POS"/>
    <n v="0.182"/>
    <n v="380"/>
    <n v="69.16"/>
    <n v="0"/>
    <n v="0.182"/>
    <m/>
    <n v="380"/>
    <m/>
    <n v="0"/>
    <n v="0"/>
    <n v="121398.37200000005"/>
  </r>
  <r>
    <d v="2025-11-01T00:00:00"/>
    <x v="4"/>
    <s v="TÜRK KAHVESİ"/>
    <m/>
    <x v="5"/>
    <s v="ST00000000090"/>
    <s v="SATIŞ"/>
    <s v="POS"/>
    <n v="0.2"/>
    <n v="650"/>
    <n v="130"/>
    <n v="0"/>
    <n v="0.2"/>
    <m/>
    <n v="650"/>
    <m/>
    <n v="0"/>
    <n v="0"/>
    <n v="121398.37200000005"/>
  </r>
  <r>
    <d v="2025-11-01T00:00:00"/>
    <x v="4"/>
    <s v="SUMAK"/>
    <m/>
    <x v="1"/>
    <s v="ST00000000091"/>
    <s v="SATIŞ"/>
    <s v="NAKİT"/>
    <n v="0.5"/>
    <n v="500"/>
    <n v="0"/>
    <n v="0"/>
    <n v="0.5"/>
    <m/>
    <n v="500"/>
    <m/>
    <n v="250"/>
    <n v="0"/>
    <n v="121648.37200000005"/>
  </r>
  <r>
    <d v="2025-11-01T00:00:00"/>
    <x v="4"/>
    <s v="SOSLU MISIR YERLİ"/>
    <m/>
    <x v="1"/>
    <s v="ST00000000091"/>
    <s v="SATIŞ"/>
    <s v="NAKİT"/>
    <n v="0.32"/>
    <n v="320"/>
    <n v="0"/>
    <n v="0"/>
    <n v="0.32"/>
    <m/>
    <n v="320"/>
    <m/>
    <n v="102.4"/>
    <n v="0"/>
    <n v="121750.77200000004"/>
  </r>
  <r>
    <d v="2025-11-01T00:00:00"/>
    <x v="4"/>
    <s v="NANE İRİ"/>
    <m/>
    <x v="1"/>
    <s v="ST00000000092"/>
    <s v="SATIŞ"/>
    <s v="NAKİT"/>
    <n v="6.4000000000000001E-2"/>
    <n v="300"/>
    <n v="0"/>
    <n v="0"/>
    <n v="6.4000000000000001E-2"/>
    <m/>
    <n v="300"/>
    <m/>
    <n v="19.2"/>
    <n v="0"/>
    <n v="121769.97200000004"/>
  </r>
  <r>
    <d v="2025-11-01T00:00:00"/>
    <x v="4"/>
    <s v="YENİ MAHSÜL PAPATYA"/>
    <m/>
    <x v="1"/>
    <s v="ST00000000092"/>
    <s v="SATIŞ"/>
    <s v="NAKİT"/>
    <n v="0.04"/>
    <n v="2250"/>
    <n v="0"/>
    <n v="0"/>
    <n v="0.04"/>
    <m/>
    <n v="2250"/>
    <m/>
    <n v="90"/>
    <n v="0"/>
    <n v="121859.97200000004"/>
  </r>
  <r>
    <d v="2025-11-01T00:00:00"/>
    <x v="4"/>
    <s v="HİNDİSTAN CEVİZİ ( İRİ )"/>
    <m/>
    <x v="1"/>
    <s v="ST00000000092"/>
    <s v="SATIŞ"/>
    <s v="NAKİT"/>
    <n v="0.10199999999999999"/>
    <n v="300"/>
    <n v="0"/>
    <n v="0"/>
    <n v="0.10199999999999999"/>
    <m/>
    <n v="300"/>
    <m/>
    <n v="30.599999999999998"/>
    <n v="0"/>
    <n v="121890.57200000004"/>
  </r>
  <r>
    <d v="2025-11-01T00:00:00"/>
    <x v="4"/>
    <s v="LEBLEBİ ÇİFTE SARI"/>
    <m/>
    <x v="1"/>
    <s v="ST00000000092"/>
    <s v="SATIŞ"/>
    <s v="NAKİT"/>
    <n v="0.26100000000000001"/>
    <n v="230"/>
    <n v="0"/>
    <n v="0"/>
    <n v="0.26100000000000001"/>
    <m/>
    <n v="230"/>
    <m/>
    <n v="60.03"/>
    <n v="0"/>
    <n v="121950.60200000004"/>
  </r>
  <r>
    <d v="2025-11-01T00:00:00"/>
    <x v="4"/>
    <s v="DOLMALIK KURU PATLICAN"/>
    <m/>
    <x v="5"/>
    <s v="ST00000000093"/>
    <s v="SATIŞ"/>
    <s v="POS"/>
    <n v="1"/>
    <n v="240"/>
    <n v="240"/>
    <n v="0"/>
    <n v="1"/>
    <m/>
    <n v="240"/>
    <m/>
    <n v="0"/>
    <n v="0"/>
    <n v="121950.60200000004"/>
  </r>
  <r>
    <d v="2025-11-01T00:00:00"/>
    <x v="4"/>
    <s v="DOLMALIK KURU ACI BİBER"/>
    <m/>
    <x v="5"/>
    <s v="ST00000000093"/>
    <s v="SATIŞ"/>
    <s v="POS"/>
    <n v="1"/>
    <n v="200"/>
    <n v="200"/>
    <n v="0"/>
    <n v="1"/>
    <m/>
    <n v="200"/>
    <m/>
    <n v="0"/>
    <n v="0"/>
    <n v="121950.60200000004"/>
  </r>
  <r>
    <d v="2025-11-01T00:00:00"/>
    <x v="4"/>
    <s v="LAVANTA"/>
    <m/>
    <x v="5"/>
    <s v="ST00000000093"/>
    <s v="SATIŞ"/>
    <s v="POS"/>
    <n v="9.1999999999999998E-2"/>
    <n v="330"/>
    <n v="30.36"/>
    <n v="0"/>
    <n v="9.1999999999999998E-2"/>
    <m/>
    <n v="330"/>
    <m/>
    <n v="0"/>
    <n v="0"/>
    <n v="121950.60200000004"/>
  </r>
  <r>
    <d v="2025-11-01T00:00:00"/>
    <x v="4"/>
    <s v="İZMİR ÜZÜMÜ"/>
    <m/>
    <x v="5"/>
    <s v="ST00000000093"/>
    <s v="SATIŞ"/>
    <s v="POS"/>
    <n v="0.3"/>
    <n v="250"/>
    <n v="75"/>
    <n v="0"/>
    <n v="0.3"/>
    <m/>
    <n v="250"/>
    <m/>
    <n v="0"/>
    <n v="0"/>
    <n v="121950.60200000004"/>
  </r>
  <r>
    <d v="2025-11-01T00:00:00"/>
    <x v="4"/>
    <s v="ARZEN TOROS NANESİ 20 ML (NANE YAĞI)"/>
    <m/>
    <x v="1"/>
    <s v="ST00000000679"/>
    <s v="SATIŞ"/>
    <s v="NAKİT"/>
    <n v="1"/>
    <n v="100"/>
    <n v="0"/>
    <n v="0"/>
    <m/>
    <m/>
    <m/>
    <m/>
    <n v="100"/>
    <n v="0"/>
    <n v="122050.60200000004"/>
  </r>
  <r>
    <d v="2025-11-01T00:00:00"/>
    <x v="4"/>
    <s v="UMUT ŞİFA KUYRUK YAĞI 100 ML"/>
    <m/>
    <x v="1"/>
    <s v="ST00000000680"/>
    <s v="SATIŞ"/>
    <s v="NAKİT"/>
    <n v="1"/>
    <n v="250"/>
    <n v="0"/>
    <n v="0"/>
    <m/>
    <m/>
    <m/>
    <m/>
    <n v="250"/>
    <n v="0"/>
    <n v="122300.60200000004"/>
  </r>
  <r>
    <d v="2025-11-01T00:00:00"/>
    <x v="4"/>
    <s v="KARIŞIK KURUYEMİŞ"/>
    <m/>
    <x v="1"/>
    <s v="ST00000000681"/>
    <s v="SATIŞ"/>
    <s v="NAKİT"/>
    <n v="0.25"/>
    <n v="850"/>
    <n v="0"/>
    <n v="0"/>
    <m/>
    <m/>
    <m/>
    <m/>
    <n v="212.5"/>
    <n v="0"/>
    <n v="122513.10200000004"/>
  </r>
  <r>
    <d v="2025-11-01T00:00:00"/>
    <x v="4"/>
    <s v="KAJU - TB"/>
    <m/>
    <x v="1"/>
    <s v="ST00000000681"/>
    <s v="SATIŞ"/>
    <s v="NAKİT"/>
    <n v="0.19"/>
    <n v="650"/>
    <n v="0"/>
    <n v="0"/>
    <m/>
    <m/>
    <m/>
    <m/>
    <n v="123.5"/>
    <n v="0"/>
    <n v="122636.60200000004"/>
  </r>
  <r>
    <d v="2025-11-01T00:00:00"/>
    <x v="3"/>
    <s v="IHLAMUR YAPRAK"/>
    <m/>
    <x v="1"/>
    <m/>
    <s v="05374336509 - MAHALLE"/>
    <s v="NAKİT"/>
    <n v="3.5"/>
    <n v="1000"/>
    <n v="0"/>
    <n v="0"/>
    <m/>
    <n v="3.5"/>
    <m/>
    <n v="1000"/>
    <n v="0"/>
    <n v="3500"/>
    <n v="119136.60200000004"/>
  </r>
  <r>
    <d v="2025-11-01T00:00:00"/>
    <x v="1"/>
    <m/>
    <s v="KİRA GİDERLERİ"/>
    <x v="1"/>
    <m/>
    <s v="KİRA GİDERİ - 2025/11"/>
    <s v="NAKİT"/>
    <n v="1"/>
    <n v="22000"/>
    <n v="0"/>
    <n v="0"/>
    <m/>
    <n v="1"/>
    <m/>
    <n v="22000"/>
    <n v="0"/>
    <n v="22000"/>
    <n v="97136.602000000043"/>
  </r>
  <r>
    <d v="2025-11-01T00:00:00"/>
    <x v="1"/>
    <m/>
    <s v="VERGİ VE HARÇLAR"/>
    <x v="2"/>
    <m/>
    <s v="07-09 STOPAJ"/>
    <s v="K.K."/>
    <n v="1"/>
    <n v="6337"/>
    <n v="0"/>
    <n v="6337"/>
    <m/>
    <n v="1"/>
    <m/>
    <n v="6337"/>
    <n v="0"/>
    <n v="0"/>
    <n v="97136.602000000043"/>
  </r>
  <r>
    <d v="2025-11-01T00:00:00"/>
    <x v="8"/>
    <s v="FINDIK BULACAK (13-15)"/>
    <m/>
    <x v="1"/>
    <m/>
    <s v="KARIŞIK KURUYEMİŞ - ÜRETİM"/>
    <s v="ÜRETİM"/>
    <n v="0.48"/>
    <n v="1050"/>
    <n v="0"/>
    <n v="0"/>
    <m/>
    <m/>
    <m/>
    <m/>
    <n v="504"/>
    <n v="0"/>
    <n v="97640.602000000043"/>
  </r>
  <r>
    <d v="2025-11-01T00:00:00"/>
    <x v="8"/>
    <s v="BADEM KAVRULMUŞ"/>
    <m/>
    <x v="1"/>
    <m/>
    <s v="KARIŞIK KURUYEMİŞ - ÜRETİM"/>
    <s v="ÜRETİM"/>
    <n v="0.94599999999999995"/>
    <n v="495"/>
    <n v="0"/>
    <n v="0"/>
    <m/>
    <m/>
    <m/>
    <m/>
    <n v="468.27"/>
    <n v="0"/>
    <n v="98108.872000000047"/>
  </r>
  <r>
    <d v="2025-11-01T00:00:00"/>
    <x v="8"/>
    <s v="KAJU 240 LIK EKSTRA"/>
    <m/>
    <x v="1"/>
    <m/>
    <s v="KARIŞIK KURUYEMİŞ - ÜRETİM"/>
    <s v="ÜRETİM"/>
    <n v="0.94599999999999995"/>
    <n v="435"/>
    <n v="0"/>
    <n v="0"/>
    <m/>
    <m/>
    <m/>
    <m/>
    <n v="411.51"/>
    <n v="0"/>
    <n v="98520.382000000041"/>
  </r>
  <r>
    <d v="2025-11-01T00:00:00"/>
    <x v="8"/>
    <s v="DEMKAR TURUNCU PAKET ANTEP FISTIĞI"/>
    <m/>
    <x v="1"/>
    <m/>
    <s v="KARIŞIK KURUYEMİŞ - ÜRETİM"/>
    <s v="ÜRETİM"/>
    <n v="0.48"/>
    <n v="1150"/>
    <n v="0"/>
    <n v="0"/>
    <m/>
    <m/>
    <m/>
    <m/>
    <n v="552"/>
    <n v="0"/>
    <n v="99072.382000000041"/>
  </r>
  <r>
    <d v="2025-11-01T00:00:00"/>
    <x v="9"/>
    <s v="KARIŞIK KURUYEMİŞ"/>
    <m/>
    <x v="1"/>
    <m/>
    <s v="KARIŞIK KURUYEMİŞ - ÜRETİM"/>
    <s v="ÜRETİM"/>
    <n v="2.8519999999999999"/>
    <n v="678.74447399999997"/>
    <n v="0"/>
    <n v="0"/>
    <m/>
    <m/>
    <m/>
    <m/>
    <n v="0"/>
    <n v="1935.7792398479999"/>
    <n v="97136.602760152047"/>
  </r>
  <r>
    <d v="2025-11-02T00:00:00"/>
    <x v="3"/>
    <s v="BİOBLAS BOTANİC OİLS 360 ML SARIMSAKLI SAÇ DÖKÜLMESİNE KARŞI ŞAMPUAN"/>
    <m/>
    <x v="2"/>
    <n v="259"/>
    <s v="HAKMAR MAĞAZACILIK LTD."/>
    <s v="K.K."/>
    <n v="1"/>
    <n v="89.9"/>
    <n v="0"/>
    <n v="89.9"/>
    <m/>
    <n v="1"/>
    <m/>
    <n v="89.9"/>
    <n v="0"/>
    <n v="0"/>
    <n v="97136.602760152047"/>
  </r>
  <r>
    <d v="2025-11-02T00:00:00"/>
    <x v="3"/>
    <s v="BİOBLAS BOTANİC OİLS ARGAN YAĞLI 360 ML SAÇ DÖKÜLMESİNE KARŞI ŞAMPUAN"/>
    <m/>
    <x v="2"/>
    <n v="259"/>
    <s v="HAKMAR MAĞAZACILIK LTD."/>
    <s v="K.K."/>
    <n v="1"/>
    <n v="89.9"/>
    <n v="0"/>
    <n v="89.9"/>
    <m/>
    <n v="1"/>
    <m/>
    <n v="89.9"/>
    <n v="0"/>
    <n v="0"/>
    <n v="97136.602760152047"/>
  </r>
  <r>
    <d v="2025-11-02T00:00:00"/>
    <x v="3"/>
    <s v="BİOBLAS SAÇ DÖKÜLMESİNE KARŞI BİTKİSEL ŞAMPUAN 1000 ML - YEŞİL "/>
    <m/>
    <x v="2"/>
    <n v="259"/>
    <s v="HAKMAR MAĞAZACILIK LTD."/>
    <s v="K.K."/>
    <n v="1"/>
    <n v="119"/>
    <n v="0"/>
    <n v="119"/>
    <m/>
    <n v="1"/>
    <m/>
    <n v="119"/>
    <n v="0"/>
    <n v="0"/>
    <n v="97136.602760152047"/>
  </r>
  <r>
    <d v="2025-11-02T00:00:00"/>
    <x v="3"/>
    <s v="BİOBLAS SİYAH SARIMSAKLI 1000 ML SAÇ DÖKÜLMESİNE KARŞI ŞAMPUAN - SİYAH"/>
    <m/>
    <x v="2"/>
    <n v="259"/>
    <s v="HAKMAR MAĞAZACILIK LTD."/>
    <s v="K.K."/>
    <n v="1"/>
    <n v="119"/>
    <n v="0"/>
    <n v="119"/>
    <m/>
    <n v="1"/>
    <m/>
    <n v="119"/>
    <n v="0"/>
    <n v="0"/>
    <n v="97136.602760152047"/>
  </r>
  <r>
    <d v="2025-11-02T00:00:00"/>
    <x v="3"/>
    <s v="BİOBLAS KERATİN KOLAJEN SIVI SAÇ KREMİ 200 ML"/>
    <m/>
    <x v="2"/>
    <n v="259"/>
    <s v="HAKMAR MAĞAZACILIK LTD."/>
    <s v="K.K."/>
    <n v="3"/>
    <n v="109"/>
    <n v="0"/>
    <n v="327"/>
    <m/>
    <n v="3"/>
    <m/>
    <n v="109"/>
    <n v="0"/>
    <n v="0"/>
    <n v="97136.602760152047"/>
  </r>
  <r>
    <d v="2025-11-02T00:00:00"/>
    <x v="3"/>
    <s v="BİOBLAS ARGAN SIVI SAÇ KREMİ 200 ML"/>
    <m/>
    <x v="2"/>
    <n v="259"/>
    <s v="HAKMAR MAĞAZACILIK LTD."/>
    <s v="K.K."/>
    <n v="3"/>
    <n v="109"/>
    <n v="0"/>
    <n v="327"/>
    <m/>
    <n v="3"/>
    <m/>
    <n v="109"/>
    <n v="0"/>
    <n v="0"/>
    <n v="97136.602760152047"/>
  </r>
  <r>
    <d v="2025-11-02T00:00:00"/>
    <x v="3"/>
    <s v="BİOBLAS COLLAGEN VE KERATİN DÖKÜLME KARŞITI 250 ML DURULANMAYAN SAÇ KREMİ"/>
    <m/>
    <x v="2"/>
    <n v="259"/>
    <s v="HAKMAR MAĞAZACILIK LTD."/>
    <s v="K.K."/>
    <n v="3"/>
    <n v="129"/>
    <n v="0"/>
    <n v="387"/>
    <m/>
    <n v="3"/>
    <m/>
    <n v="129"/>
    <n v="0"/>
    <n v="0"/>
    <n v="97136.602760152047"/>
  </r>
  <r>
    <d v="2025-11-02T00:00:00"/>
    <x v="3"/>
    <s v="BİOBLAS BOTANİCS OİL ARGAN YAĞLI SAÇ KREMİ  250 ML"/>
    <m/>
    <x v="2"/>
    <n v="259"/>
    <s v="HAKMAR MAĞAZACILIK LTD."/>
    <s v="K.K."/>
    <n v="1"/>
    <n v="129"/>
    <n v="0"/>
    <n v="129"/>
    <m/>
    <n v="1"/>
    <m/>
    <n v="129"/>
    <n v="0"/>
    <n v="0"/>
    <n v="97136.602760152047"/>
  </r>
  <r>
    <d v="2025-11-02T00:00:00"/>
    <x v="3"/>
    <s v="AKİKSİR HİNDİSTAN CEVİZİ YAĞI 150 GR"/>
    <m/>
    <x v="2"/>
    <n v="259"/>
    <s v="HAKMAR MAĞAZACILIK LTD."/>
    <s v="K.K."/>
    <n v="5"/>
    <n v="69.900000000000006"/>
    <n v="0"/>
    <n v="349.5"/>
    <m/>
    <n v="5"/>
    <m/>
    <n v="69.900000000000006"/>
    <n v="0"/>
    <n v="0"/>
    <n v="97136.602760152047"/>
  </r>
  <r>
    <d v="2025-11-02T00:00:00"/>
    <x v="3"/>
    <s v="HUNCA CARE AT KESTANESİ KREMİ 500 ML"/>
    <m/>
    <x v="2"/>
    <n v="259"/>
    <s v="HAKMAR MAĞAZACILIK LTD."/>
    <s v="K.K."/>
    <n v="2"/>
    <n v="69.900000000000006"/>
    <n v="0"/>
    <n v="139.80000000000001"/>
    <m/>
    <n v="2"/>
    <m/>
    <n v="69.900000000000006"/>
    <n v="0"/>
    <n v="0"/>
    <n v="97136.602760152047"/>
  </r>
  <r>
    <d v="2025-11-02T00:00:00"/>
    <x v="2"/>
    <m/>
    <s v="DEMİRBAŞ"/>
    <x v="2"/>
    <s v="FT00000000014"/>
    <s v="TR-PACHTECH 30 CM POŞET AĞZI KAPAMA YAPIŞTIRMA MAKİNASI"/>
    <s v="K.K."/>
    <n v="1"/>
    <n v="1099"/>
    <n v="0"/>
    <n v="1099"/>
    <m/>
    <n v="1"/>
    <m/>
    <n v="1099"/>
    <n v="0"/>
    <n v="0"/>
    <n v="97136.602760152047"/>
  </r>
  <r>
    <d v="2025-11-02T00:00:00"/>
    <x v="3"/>
    <s v="ZÜHRE ANA KİDS ARI SÜTÜ PEKMEZ BAL MACUN 240 GR"/>
    <m/>
    <x v="2"/>
    <s v="FT00000000036"/>
    <s v="HB"/>
    <s v="K.K."/>
    <n v="6"/>
    <n v="145.33000000000001"/>
    <n v="0"/>
    <n v="871.98"/>
    <m/>
    <n v="6"/>
    <m/>
    <n v="145.33000000000001"/>
    <n v="0"/>
    <n v="0"/>
    <n v="97136.602760152047"/>
  </r>
  <r>
    <d v="2025-11-02T00:00:00"/>
    <x v="3"/>
    <s v="ZÜHRE ANA KARADUT ÖZÜ 670 GR"/>
    <m/>
    <x v="2"/>
    <s v="FT00000000037"/>
    <s v="HB"/>
    <s v="K.K."/>
    <n v="6"/>
    <n v="140"/>
    <n v="0"/>
    <n v="840"/>
    <m/>
    <n v="6"/>
    <m/>
    <n v="140"/>
    <n v="0"/>
    <n v="0"/>
    <n v="97136.602760152047"/>
  </r>
  <r>
    <d v="2025-11-03T00:00:00"/>
    <x v="3"/>
    <s v="BİOBLAS SİYAH SARIMSAKLI 1000 ML SAÇ DÖKÜLMESİNE KARŞI ŞAMPUAN - SİYAH"/>
    <m/>
    <x v="2"/>
    <n v="46"/>
    <s v="HAKMAR MAĞAZACILIK LTD."/>
    <s v="K.K."/>
    <n v="3"/>
    <n v="119"/>
    <n v="0"/>
    <n v="357"/>
    <m/>
    <n v="3"/>
    <m/>
    <n v="119"/>
    <n v="0"/>
    <n v="0"/>
    <n v="97136.602760152047"/>
  </r>
  <r>
    <d v="2025-11-03T00:00:00"/>
    <x v="3"/>
    <s v="ZÜHRE ANA L-CARNİTİNE DESTEKLİ FORM MACUNU - 240 GR"/>
    <m/>
    <x v="2"/>
    <s v="FT00000000009"/>
    <s v="HB"/>
    <s v="K.K."/>
    <n v="6"/>
    <n v="132.11666666666667"/>
    <n v="0"/>
    <n v="792.7"/>
    <m/>
    <n v="6"/>
    <m/>
    <n v="132.11666666666667"/>
    <n v="0"/>
    <n v="0"/>
    <n v="97136.602760152047"/>
  </r>
  <r>
    <d v="2025-11-03T00:00:00"/>
    <x v="4"/>
    <s v="KARABİBER ÇEKİLMİŞ"/>
    <m/>
    <x v="1"/>
    <s v="ST00000000094"/>
    <s v="SATIŞ"/>
    <s v="NAKİT"/>
    <n v="7.9000000000000001E-2"/>
    <n v="640"/>
    <n v="0"/>
    <n v="0"/>
    <n v="7.9000000000000001E-2"/>
    <m/>
    <n v="640"/>
    <m/>
    <n v="50.56"/>
    <n v="0"/>
    <n v="97187.162760152045"/>
  </r>
  <r>
    <d v="2025-11-03T00:00:00"/>
    <x v="4"/>
    <s v="NANE İRİ"/>
    <m/>
    <x v="1"/>
    <s v="ST00000000094"/>
    <s v="SATIŞ"/>
    <s v="NAKİT"/>
    <n v="0.17"/>
    <n v="300"/>
    <n v="0"/>
    <n v="0"/>
    <n v="0.17"/>
    <m/>
    <n v="300"/>
    <m/>
    <n v="51.000000000000007"/>
    <n v="0"/>
    <n v="97238.162760152045"/>
  </r>
  <r>
    <d v="2025-11-03T00:00:00"/>
    <x v="4"/>
    <s v="KEKİK LÜX"/>
    <m/>
    <x v="1"/>
    <s v="ST00000000095"/>
    <s v="SATIŞ"/>
    <s v="NAKİT"/>
    <n v="0.1"/>
    <n v="750"/>
    <n v="0"/>
    <n v="0"/>
    <n v="0.1"/>
    <m/>
    <n v="750"/>
    <m/>
    <n v="75"/>
    <n v="0"/>
    <n v="97313.162760152045"/>
  </r>
  <r>
    <d v="2025-11-03T00:00:00"/>
    <x v="4"/>
    <s v="SALÇA ACI (EV YAPIMI)"/>
    <m/>
    <x v="1"/>
    <s v="ST00000000095"/>
    <s v="SATIŞ"/>
    <s v="NAKİT"/>
    <n v="0.56000000000000005"/>
    <n v="180"/>
    <n v="0"/>
    <n v="0"/>
    <n v="0.56000000000000005"/>
    <m/>
    <n v="180"/>
    <m/>
    <n v="100.80000000000001"/>
    <n v="0"/>
    <n v="97413.962760152048"/>
  </r>
  <r>
    <d v="2025-11-03T00:00:00"/>
    <x v="4"/>
    <s v="KARABİBER ÇEKİLMİŞ"/>
    <m/>
    <x v="1"/>
    <s v="ST00000000095"/>
    <s v="SATIŞ"/>
    <s v="NAKİT"/>
    <n v="7.9000000000000001E-2"/>
    <n v="640"/>
    <n v="0"/>
    <n v="0"/>
    <n v="7.9000000000000001E-2"/>
    <m/>
    <n v="640"/>
    <m/>
    <n v="50.56"/>
    <n v="0"/>
    <n v="97464.522760152046"/>
  </r>
  <r>
    <d v="2025-11-03T00:00:00"/>
    <x v="4"/>
    <s v="NANE İRİ"/>
    <m/>
    <x v="1"/>
    <s v="ST00000000096"/>
    <s v="SATIŞ"/>
    <s v="NAKİT"/>
    <n v="0.1"/>
    <n v="300"/>
    <n v="0"/>
    <n v="0"/>
    <n v="0.1"/>
    <m/>
    <n v="300"/>
    <m/>
    <n v="30"/>
    <n v="0"/>
    <n v="97494.522760152046"/>
  </r>
  <r>
    <d v="2025-11-03T00:00:00"/>
    <x v="4"/>
    <s v="DOLMALIK KURU PATLICAN"/>
    <m/>
    <x v="1"/>
    <s v="ST00000000097"/>
    <s v="SATIŞ"/>
    <s v="NAKİT"/>
    <n v="1"/>
    <n v="240"/>
    <n v="0"/>
    <n v="0"/>
    <n v="1"/>
    <m/>
    <n v="240"/>
    <m/>
    <n v="240"/>
    <n v="0"/>
    <n v="97734.522760152046"/>
  </r>
  <r>
    <d v="2025-11-04T00:00:00"/>
    <x v="3"/>
    <s v="MACUN KIRMIZI"/>
    <m/>
    <x v="7"/>
    <s v="FT00000000005"/>
    <s v="HARUN ADANA"/>
    <s v="CARİ"/>
    <n v="50"/>
    <n v="150"/>
    <n v="0"/>
    <n v="7500"/>
    <m/>
    <n v="50"/>
    <m/>
    <n v="150"/>
    <n v="0"/>
    <n v="0"/>
    <n v="97734.522760152046"/>
  </r>
  <r>
    <d v="2025-11-04T00:00:00"/>
    <x v="3"/>
    <s v="MACUN VİP"/>
    <m/>
    <x v="7"/>
    <s v="FT00000000005"/>
    <s v="HARUN ADANA"/>
    <s v="CARİ"/>
    <n v="50"/>
    <n v="300"/>
    <n v="0"/>
    <n v="15000"/>
    <m/>
    <n v="50"/>
    <m/>
    <n v="300"/>
    <n v="0"/>
    <n v="0"/>
    <n v="97734.522760152046"/>
  </r>
  <r>
    <d v="2025-11-04T00:00:00"/>
    <x v="3"/>
    <s v="ERBATAB MAGNEZYUM 3 LÜ FORM (BİSGLİSİNAT, SİTRAT, MALAT) &amp; VİTAMİN B2 , B3 , B6 - 60 KAPSÜL"/>
    <m/>
    <x v="2"/>
    <s v="FT00000000010"/>
    <s v="HB"/>
    <s v="K.K."/>
    <n v="2"/>
    <n v="225"/>
    <n v="0"/>
    <n v="450"/>
    <m/>
    <n v="2"/>
    <m/>
    <n v="225"/>
    <n v="0"/>
    <n v="0"/>
    <n v="97734.522760152046"/>
  </r>
  <r>
    <d v="2025-11-04T00:00:00"/>
    <x v="3"/>
    <s v="ERBATAB VİTAMİN B12- FOLİK ASİT B9-METİLKOBALAMİN-METİLFOLAT"/>
    <m/>
    <x v="2"/>
    <s v="FT00000000011"/>
    <s v="HB"/>
    <s v="K.K."/>
    <n v="2"/>
    <n v="145.32499999999999"/>
    <n v="0"/>
    <n v="290.64999999999998"/>
    <m/>
    <n v="2"/>
    <m/>
    <n v="145.32499999999999"/>
    <n v="0"/>
    <n v="0"/>
    <n v="97734.522760152046"/>
  </r>
  <r>
    <d v="2025-11-04T00:00:00"/>
    <x v="3"/>
    <s v="ERBATAB LUGOL İYOT %2 SIVI TAKVİYE 20 ML TİROİD FONKSİYONUNU DESTEKLEYEN FORMÜL"/>
    <m/>
    <x v="2"/>
    <s v="FT00000000011"/>
    <s v="HB"/>
    <s v="K.K."/>
    <n v="2"/>
    <n v="179.35"/>
    <n v="0"/>
    <n v="358.7"/>
    <m/>
    <n v="2"/>
    <m/>
    <n v="179.35"/>
    <n v="0"/>
    <n v="0"/>
    <n v="97734.522760152046"/>
  </r>
  <r>
    <d v="2025-11-04T00:00:00"/>
    <x v="3"/>
    <s v="ERBATAB VİTAMİN D3 K2 2'Sİ 1 ARADA DAMLA - D3K2"/>
    <m/>
    <x v="2"/>
    <s v="FT00000000011"/>
    <s v="HB"/>
    <s v="K.K."/>
    <n v="2"/>
    <n v="145.32499999999999"/>
    <n v="0"/>
    <n v="290.64999999999998"/>
    <m/>
    <n v="2"/>
    <m/>
    <n v="145.32499999999999"/>
    <n v="0"/>
    <n v="0"/>
    <n v="97734.522760152046"/>
  </r>
  <r>
    <d v="2025-11-04T00:00:00"/>
    <x v="4"/>
    <s v="DOLMALIK KURU TATLI KIRMIZI BİBER"/>
    <m/>
    <x v="1"/>
    <s v="ST00000000098"/>
    <s v="SATIŞ"/>
    <s v="NAKİT"/>
    <n v="1"/>
    <n v="200"/>
    <n v="0"/>
    <n v="0"/>
    <n v="1"/>
    <m/>
    <n v="200"/>
    <m/>
    <n v="200"/>
    <n v="0"/>
    <n v="97934.522760152046"/>
  </r>
  <r>
    <d v="2025-11-04T00:00:00"/>
    <x v="4"/>
    <s v="DOMATES SALÇASI"/>
    <m/>
    <x v="1"/>
    <s v="ST00000000098"/>
    <s v="SATIŞ"/>
    <s v="NAKİT"/>
    <n v="1"/>
    <n v="130"/>
    <n v="0"/>
    <n v="0"/>
    <n v="1"/>
    <m/>
    <n v="130"/>
    <m/>
    <n v="130"/>
    <n v="0"/>
    <n v="98064.522760152046"/>
  </r>
  <r>
    <d v="2025-11-04T00:00:00"/>
    <x v="4"/>
    <s v="DOLMALIK KURU KABAK"/>
    <m/>
    <x v="5"/>
    <s v="ST00000000099"/>
    <s v="SATIŞ"/>
    <s v="POS"/>
    <n v="1"/>
    <n v="260"/>
    <n v="260"/>
    <n v="0"/>
    <n v="1"/>
    <m/>
    <n v="260"/>
    <m/>
    <n v="0"/>
    <n v="0"/>
    <n v="98064.522760152046"/>
  </r>
  <r>
    <d v="2025-11-04T00:00:00"/>
    <x v="4"/>
    <s v="TOMBUL KESE 500 GR SEBZELİ TARHANA"/>
    <m/>
    <x v="1"/>
    <s v="ST00000000100"/>
    <s v="SATIŞ"/>
    <s v="NAKİT"/>
    <n v="1"/>
    <n v="260"/>
    <n v="0"/>
    <n v="0"/>
    <n v="1"/>
    <m/>
    <n v="260"/>
    <m/>
    <n v="260"/>
    <n v="0"/>
    <n v="98324.522760152046"/>
  </r>
  <r>
    <d v="2025-11-04T00:00:00"/>
    <x v="4"/>
    <s v="ZENCEFİL TOZ"/>
    <m/>
    <x v="1"/>
    <s v="ST00000000100"/>
    <s v="SATIŞ"/>
    <s v="NAKİT"/>
    <n v="0.14000000000000001"/>
    <n v="360"/>
    <n v="0"/>
    <n v="0"/>
    <n v="0.14000000000000001"/>
    <m/>
    <n v="360"/>
    <m/>
    <n v="50.400000000000006"/>
    <n v="0"/>
    <n v="98374.92276015204"/>
  </r>
  <r>
    <d v="2025-11-04T00:00:00"/>
    <x v="4"/>
    <s v="SEYHAN ÜZÜM ÖZEL"/>
    <m/>
    <x v="1"/>
    <s v="ST00000000101"/>
    <s v="SATIŞ"/>
    <s v="NAKİT"/>
    <n v="0.34"/>
    <n v="650"/>
    <n v="0"/>
    <n v="0"/>
    <n v="0.34"/>
    <m/>
    <n v="650"/>
    <m/>
    <n v="221.00000000000003"/>
    <n v="0"/>
    <n v="98595.92276015204"/>
  </r>
  <r>
    <d v="2025-11-04T00:00:00"/>
    <x v="4"/>
    <s v="DOLMALIK KURU PATLICAN"/>
    <m/>
    <x v="5"/>
    <s v="ST00000000102"/>
    <s v="SATIŞ"/>
    <s v="POS"/>
    <n v="2"/>
    <n v="240"/>
    <n v="480"/>
    <n v="0"/>
    <n v="2"/>
    <m/>
    <n v="240"/>
    <m/>
    <n v="0"/>
    <n v="0"/>
    <n v="98595.92276015204"/>
  </r>
  <r>
    <d v="2025-11-04T00:00:00"/>
    <x v="4"/>
    <s v="İRİ BEYAZ KABAK ÇEKİRDEĞİ - NEVŞEHİR"/>
    <m/>
    <x v="5"/>
    <s v="ST00000000102"/>
    <s v="SATIŞ"/>
    <s v="POS"/>
    <n v="0.41"/>
    <n v="350"/>
    <n v="143.5"/>
    <n v="0"/>
    <n v="0.41"/>
    <m/>
    <n v="350"/>
    <m/>
    <n v="0"/>
    <n v="0"/>
    <n v="98595.92276015204"/>
  </r>
  <r>
    <d v="2025-11-04T00:00:00"/>
    <x v="4"/>
    <s v="DEFNE YAPRAĞI"/>
    <m/>
    <x v="5"/>
    <s v="ST00000000102"/>
    <s v="SATIŞ"/>
    <s v="POS"/>
    <n v="4.3999999999999997E-2"/>
    <n v="1400"/>
    <n v="61.599999999999994"/>
    <n v="0"/>
    <n v="4.3999999999999997E-2"/>
    <m/>
    <n v="1400"/>
    <m/>
    <n v="0"/>
    <n v="0"/>
    <n v="98595.92276015204"/>
  </r>
  <r>
    <d v="2025-11-04T00:00:00"/>
    <x v="4"/>
    <s v="İZMİR ÜZÜMÜ"/>
    <m/>
    <x v="5"/>
    <s v="ST00000000102"/>
    <s v="SATIŞ"/>
    <s v="POS"/>
    <n v="0.51800000000000002"/>
    <n v="250"/>
    <n v="129.5"/>
    <n v="0"/>
    <n v="0.51800000000000002"/>
    <m/>
    <n v="250"/>
    <m/>
    <n v="0"/>
    <n v="0"/>
    <n v="98595.92276015204"/>
  </r>
  <r>
    <d v="2025-11-04T00:00:00"/>
    <x v="4"/>
    <s v="IHLAMUR YAPRAK"/>
    <m/>
    <x v="5"/>
    <s v="ST00000000102"/>
    <s v="SATIŞ"/>
    <s v="POS"/>
    <n v="0.05"/>
    <n v="2600"/>
    <n v="130"/>
    <n v="0"/>
    <n v="1"/>
    <m/>
    <n v="130"/>
    <m/>
    <n v="0"/>
    <n v="0"/>
    <n v="98595.92276015204"/>
  </r>
  <r>
    <d v="2025-11-04T00:00:00"/>
    <x v="4"/>
    <s v="SALÇA TATLI (EV YAPIMI)"/>
    <m/>
    <x v="1"/>
    <s v="ST00000000103"/>
    <s v="SATIŞ"/>
    <s v="NAKİT"/>
    <n v="0.27800000000000002"/>
    <n v="180"/>
    <n v="0"/>
    <n v="0"/>
    <n v="0.27800000000000002"/>
    <m/>
    <n v="180"/>
    <m/>
    <n v="50.040000000000006"/>
    <n v="0"/>
    <n v="98645.962760152033"/>
  </r>
  <r>
    <d v="2025-11-04T00:00:00"/>
    <x v="4"/>
    <s v="HAŞİROĞLU TARHANA CİPS"/>
    <m/>
    <x v="5"/>
    <s v="ST00000000103"/>
    <s v="SATIŞ"/>
    <s v="POS"/>
    <n v="1"/>
    <n v="250"/>
    <n v="250"/>
    <n v="0"/>
    <n v="1"/>
    <m/>
    <n v="250"/>
    <m/>
    <n v="0"/>
    <n v="0"/>
    <n v="98645.962760152033"/>
  </r>
  <r>
    <d v="2025-11-04T00:00:00"/>
    <x v="4"/>
    <s v="DEMKAR TURUNCU PAKET ANTEP FISTIĞI"/>
    <m/>
    <x v="5"/>
    <s v="ST00000000104"/>
    <s v="SATIŞ"/>
    <s v="POS"/>
    <n v="0.13400000000000001"/>
    <n v="1250"/>
    <n v="167.5"/>
    <n v="0"/>
    <n v="0.13400000000000001"/>
    <m/>
    <n v="1250"/>
    <m/>
    <n v="0"/>
    <n v="0"/>
    <n v="98645.962760152033"/>
  </r>
  <r>
    <d v="2025-11-04T00:00:00"/>
    <x v="4"/>
    <s v="FINDIK BULACAK (13-15)"/>
    <m/>
    <x v="5"/>
    <s v="ST00000000104"/>
    <s v="SATIŞ"/>
    <s v="POS"/>
    <n v="0.08"/>
    <n v="1150"/>
    <n v="92"/>
    <n v="0"/>
    <n v="0.08"/>
    <m/>
    <n v="1150"/>
    <m/>
    <n v="0"/>
    <n v="0"/>
    <n v="98645.962760152033"/>
  </r>
  <r>
    <d v="2025-11-04T00:00:00"/>
    <x v="4"/>
    <s v="BADEM KAVRULMUŞ"/>
    <m/>
    <x v="5"/>
    <s v="ST00000000104"/>
    <s v="SATIŞ"/>
    <s v="POS"/>
    <n v="8.2000000000000003E-2"/>
    <n v="650"/>
    <n v="53.300000000000004"/>
    <n v="0"/>
    <n v="8.2000000000000003E-2"/>
    <m/>
    <n v="650"/>
    <m/>
    <n v="0"/>
    <n v="0"/>
    <n v="98645.962760152033"/>
  </r>
  <r>
    <d v="2025-11-04T00:00:00"/>
    <x v="4"/>
    <s v="MACUN VİP"/>
    <m/>
    <x v="1"/>
    <s v="ST00000000105"/>
    <s v="SATIŞ"/>
    <s v="NAKİT"/>
    <n v="2"/>
    <n v="600"/>
    <n v="0"/>
    <n v="0"/>
    <n v="2"/>
    <m/>
    <n v="600"/>
    <m/>
    <n v="1200"/>
    <n v="0"/>
    <n v="99845.962760152033"/>
  </r>
  <r>
    <d v="2025-11-04T00:00:00"/>
    <x v="4"/>
    <s v="EVLİK BİBER"/>
    <m/>
    <x v="1"/>
    <s v="ST00000000106"/>
    <s v="SATIŞ"/>
    <s v="NAKİT"/>
    <n v="1"/>
    <n v="380"/>
    <n v="0"/>
    <n v="0"/>
    <n v="1"/>
    <m/>
    <n v="380"/>
    <m/>
    <n v="380"/>
    <n v="0"/>
    <n v="100225.96276015203"/>
  </r>
  <r>
    <d v="2025-11-04T00:00:00"/>
    <x v="4"/>
    <s v="NBN 2,5 KG İNCİR"/>
    <m/>
    <x v="1"/>
    <s v="ST00000000106"/>
    <s v="SATIŞ"/>
    <s v="NAKİT"/>
    <n v="0.2"/>
    <n v="600"/>
    <n v="0"/>
    <n v="0"/>
    <n v="0.2"/>
    <m/>
    <n v="600"/>
    <m/>
    <n v="120"/>
    <n v="0"/>
    <n v="100345.96276015203"/>
  </r>
  <r>
    <d v="2025-11-04T00:00:00"/>
    <x v="4"/>
    <s v="KABUKLU CEVİZ (ŞİLİ)"/>
    <m/>
    <x v="1"/>
    <s v="ST00000000107"/>
    <s v="SATIŞ"/>
    <s v="NAKİT"/>
    <n v="1"/>
    <n v="300"/>
    <n v="0"/>
    <n v="0"/>
    <n v="1"/>
    <m/>
    <n v="300"/>
    <m/>
    <n v="300"/>
    <n v="0"/>
    <n v="100645.96276015203"/>
  </r>
  <r>
    <d v="2025-11-04T00:00:00"/>
    <x v="7"/>
    <m/>
    <m/>
    <x v="4"/>
    <m/>
    <s v="TÜDAB A.Ş. - ÖDEME"/>
    <s v="NAKİT"/>
    <n v="1"/>
    <n v="0"/>
    <n v="10000"/>
    <n v="0"/>
    <m/>
    <m/>
    <m/>
    <m/>
    <n v="0"/>
    <n v="10000"/>
    <n v="90645.962760152033"/>
  </r>
  <r>
    <d v="2025-11-05T00:00:00"/>
    <x v="3"/>
    <s v="TÜDAB ACUR TURŞUSU"/>
    <m/>
    <x v="4"/>
    <s v="FT00000000006"/>
    <s v="TÜDAB A.Ş."/>
    <s v="CARİ"/>
    <n v="20"/>
    <n v="235"/>
    <n v="0"/>
    <n v="4700"/>
    <m/>
    <n v="20"/>
    <m/>
    <n v="235"/>
    <n v="0"/>
    <n v="0"/>
    <n v="90645.962760152033"/>
  </r>
  <r>
    <d v="2025-11-05T00:00:00"/>
    <x v="3"/>
    <s v="YALÇINKAYA ACI BİBER SALÇASI"/>
    <m/>
    <x v="4"/>
    <s v="FT00000000006"/>
    <s v="TÜDAB A.Ş."/>
    <s v="CARİ"/>
    <n v="19.350000000000001"/>
    <n v="93.023255813953483"/>
    <n v="0"/>
    <n v="1800"/>
    <m/>
    <n v="19.350000000000001"/>
    <m/>
    <n v="93.023255813953483"/>
    <n v="0"/>
    <n v="0"/>
    <n v="90645.962760152033"/>
  </r>
  <r>
    <d v="2025-11-05T00:00:00"/>
    <x v="3"/>
    <s v="YALÇINKAYA TATLI BİBER SALÇASI"/>
    <m/>
    <x v="4"/>
    <s v="FT00000000006"/>
    <s v="TÜDAB A.Ş."/>
    <s v="CARİ"/>
    <n v="19.350000000000001"/>
    <n v="93.02"/>
    <n v="0"/>
    <n v="1799.9370000000001"/>
    <m/>
    <n v="19.350000000000001"/>
    <m/>
    <n v="93.02"/>
    <n v="0"/>
    <n v="0"/>
    <n v="90645.962760152033"/>
  </r>
  <r>
    <d v="2025-11-05T00:00:00"/>
    <x v="3"/>
    <s v="YALÇINKAYA DOMATES SALÇASI"/>
    <m/>
    <x v="4"/>
    <s v="FT00000000006"/>
    <s v="TÜDAB A.Ş."/>
    <s v="CARİ"/>
    <n v="19.350000000000001"/>
    <n v="64.599999999999994"/>
    <n v="0"/>
    <n v="1250.01"/>
    <m/>
    <n v="19.350000000000001"/>
    <m/>
    <n v="64.599999999999994"/>
    <n v="0"/>
    <n v="0"/>
    <n v="90645.962760152033"/>
  </r>
  <r>
    <d v="2025-11-05T00:00:00"/>
    <x v="3"/>
    <s v="HİNT KINASI KAHVERENGİ (TEKLİ SATILACAK - 6 ADET)"/>
    <m/>
    <x v="4"/>
    <s v="FT00000000006"/>
    <s v="TÜDAB A.Ş."/>
    <s v="CARİ"/>
    <n v="12"/>
    <n v="18.332999999999998"/>
    <n v="0"/>
    <n v="219.99599999999998"/>
    <m/>
    <n v="2"/>
    <m/>
    <n v="110"/>
    <n v="0"/>
    <n v="0"/>
    <n v="90645.962760152033"/>
  </r>
  <r>
    <d v="2025-11-05T00:00:00"/>
    <x v="3"/>
    <s v="HİNT KINASI KESTANE  (TEKLİ SATILACAK - 6 ADET)"/>
    <m/>
    <x v="4"/>
    <s v="FT00000000006"/>
    <s v="TÜDAB A.Ş."/>
    <s v="CARİ"/>
    <n v="6"/>
    <n v="18.332999999999998"/>
    <n v="0"/>
    <n v="109.99799999999999"/>
    <m/>
    <n v="1"/>
    <m/>
    <n v="110"/>
    <n v="0"/>
    <n v="0"/>
    <n v="90645.962760152033"/>
  </r>
  <r>
    <d v="2025-11-05T00:00:00"/>
    <x v="3"/>
    <s v="HİNT KINASI KIZIL  (TEKLİ SATILACAK - 6 ADET)"/>
    <m/>
    <x v="4"/>
    <s v="FT00000000006"/>
    <s v="TÜDAB A.Ş."/>
    <s v="CARİ"/>
    <n v="12"/>
    <n v="18.332999999999998"/>
    <n v="0"/>
    <n v="219.99599999999998"/>
    <m/>
    <n v="2"/>
    <m/>
    <n v="110"/>
    <n v="0"/>
    <n v="0"/>
    <n v="90645.962760152033"/>
  </r>
  <r>
    <d v="2025-11-05T00:00:00"/>
    <x v="3"/>
    <s v="HİNT KINASI SARI  (TEKLİ SATILACAK - 6 ADET)"/>
    <m/>
    <x v="4"/>
    <s v="FT00000000006"/>
    <s v="TÜDAB A.Ş."/>
    <s v="CARİ"/>
    <n v="6"/>
    <n v="18.332999999999998"/>
    <n v="0"/>
    <n v="109.99799999999999"/>
    <m/>
    <n v="1"/>
    <m/>
    <n v="110"/>
    <n v="0"/>
    <n v="0"/>
    <n v="90645.962760152033"/>
  </r>
  <r>
    <d v="2025-11-05T00:00:00"/>
    <x v="3"/>
    <s v="KİRAZ SAPI"/>
    <m/>
    <x v="4"/>
    <s v="FT00000000006"/>
    <s v="TÜDAB A.Ş."/>
    <s v="CARİ"/>
    <n v="1"/>
    <n v="395"/>
    <n v="0"/>
    <n v="395"/>
    <m/>
    <n v="1"/>
    <m/>
    <n v="395"/>
    <n v="0"/>
    <n v="0"/>
    <n v="90645.962760152033"/>
  </r>
  <r>
    <d v="2025-11-05T00:00:00"/>
    <x v="3"/>
    <s v="PUDRA ŞEKERİ"/>
    <m/>
    <x v="4"/>
    <s v="FT00000000006"/>
    <s v="TÜDAB A.Ş."/>
    <s v="CARİ"/>
    <n v="5"/>
    <n v="52"/>
    <n v="0"/>
    <n v="260"/>
    <m/>
    <n v="5"/>
    <m/>
    <n v="52"/>
    <n v="0"/>
    <n v="0"/>
    <n v="90645.962760152033"/>
  </r>
  <r>
    <d v="2025-11-05T00:00:00"/>
    <x v="3"/>
    <s v="TÜDAB TURŞU BİBER"/>
    <m/>
    <x v="4"/>
    <s v="FT00000000006"/>
    <s v="TÜDAB A.Ş."/>
    <s v="CARİ"/>
    <n v="20"/>
    <n v="235"/>
    <n v="0"/>
    <n v="4700"/>
    <m/>
    <n v="20"/>
    <m/>
    <n v="235"/>
    <n v="0"/>
    <n v="0"/>
    <n v="90645.962760152033"/>
  </r>
  <r>
    <d v="2025-11-05T00:00:00"/>
    <x v="3"/>
    <s v="BALPARMAK YAYLA VE OVA ÇİÇEK BALI 850 GR"/>
    <m/>
    <x v="2"/>
    <s v="FT00000000033"/>
    <s v="N11"/>
    <s v="K.K."/>
    <n v="2"/>
    <n v="346.16500000000002"/>
    <n v="0"/>
    <n v="692.33"/>
    <m/>
    <n v="2"/>
    <m/>
    <n v="346.16500000000002"/>
    <n v="0"/>
    <n v="0"/>
    <n v="90645.962760152033"/>
  </r>
  <r>
    <d v="2025-11-05T00:00:00"/>
    <x v="3"/>
    <s v="BALPARMAK YAYLA VE OVA ÇİÇEK BALI 850 GR"/>
    <m/>
    <x v="2"/>
    <s v="FT00000000034"/>
    <s v="N11"/>
    <s v="K.K."/>
    <n v="2"/>
    <n v="346.16500000000002"/>
    <n v="0"/>
    <n v="692.33"/>
    <m/>
    <n v="2"/>
    <m/>
    <n v="346.16500000000002"/>
    <n v="0"/>
    <n v="0"/>
    <n v="90645.962760152033"/>
  </r>
  <r>
    <d v="2025-11-05T00:00:00"/>
    <x v="3"/>
    <s v="BALPARMAK YAYLA VE OVA ÇİÇEK BALI 850 GR"/>
    <m/>
    <x v="2"/>
    <s v="FT00000000035"/>
    <s v="N11"/>
    <s v="K.K."/>
    <n v="2"/>
    <n v="346.16500000000002"/>
    <n v="0"/>
    <n v="692.33"/>
    <m/>
    <n v="2"/>
    <m/>
    <n v="346.16500000000002"/>
    <n v="0"/>
    <n v="0"/>
    <n v="90645.962760152033"/>
  </r>
  <r>
    <d v="2025-11-05T00:00:00"/>
    <x v="4"/>
    <s v="KABUKLU CEVİZ (ŞİLİ)"/>
    <m/>
    <x v="1"/>
    <s v="ST00000000108"/>
    <s v="SATIŞ"/>
    <s v="NAKİT"/>
    <n v="0.67"/>
    <n v="300"/>
    <n v="0"/>
    <n v="0"/>
    <n v="0.67"/>
    <m/>
    <n v="300"/>
    <m/>
    <n v="201"/>
    <n v="0"/>
    <n v="90846.962760152033"/>
  </r>
  <r>
    <d v="2025-11-05T00:00:00"/>
    <x v="4"/>
    <s v="KARANFİL"/>
    <m/>
    <x v="1"/>
    <s v="ST00000000108"/>
    <s v="SATIŞ"/>
    <s v="NAKİT"/>
    <n v="4.5449999999999997E-2"/>
    <n v="1100"/>
    <n v="0"/>
    <n v="0"/>
    <n v="1"/>
    <m/>
    <n v="50"/>
    <m/>
    <n v="49.994999999999997"/>
    <n v="0"/>
    <n v="90896.957760152029"/>
  </r>
  <r>
    <d v="2025-11-05T00:00:00"/>
    <x v="4"/>
    <s v="KARABİBER ÇEKİLMİŞ"/>
    <m/>
    <x v="1"/>
    <s v="ST00000000109"/>
    <s v="SATIŞ"/>
    <s v="NAKİT"/>
    <n v="0.2"/>
    <n v="640"/>
    <n v="0"/>
    <n v="0"/>
    <n v="0.2"/>
    <m/>
    <n v="640"/>
    <m/>
    <n v="128"/>
    <n v="0"/>
    <n v="91024.957760152029"/>
  </r>
  <r>
    <d v="2025-11-05T00:00:00"/>
    <x v="4"/>
    <s v="HASEVLİK"/>
    <m/>
    <x v="1"/>
    <s v="ST00000000109"/>
    <s v="SATIŞ"/>
    <s v="NAKİT"/>
    <n v="0.2"/>
    <n v="420"/>
    <n v="0"/>
    <n v="0"/>
    <n v="0.2"/>
    <m/>
    <n v="420"/>
    <m/>
    <n v="84"/>
    <n v="0"/>
    <n v="91108.957760152029"/>
  </r>
  <r>
    <d v="2025-11-05T00:00:00"/>
    <x v="4"/>
    <s v="ZERDEÇAL TOZ"/>
    <m/>
    <x v="1"/>
    <s v="ST00000000110"/>
    <s v="SATIŞ"/>
    <s v="NAKİT"/>
    <n v="8.7999999999999995E-2"/>
    <n v="250"/>
    <n v="0"/>
    <n v="0"/>
    <n v="8.7999999999999995E-2"/>
    <m/>
    <n v="250"/>
    <m/>
    <n v="22"/>
    <n v="0"/>
    <n v="91130.957760152029"/>
  </r>
  <r>
    <d v="2025-11-05T00:00:00"/>
    <x v="4"/>
    <s v="NANE İRİ"/>
    <m/>
    <x v="1"/>
    <s v="ST00000000110"/>
    <s v="SATIŞ"/>
    <s v="NAKİT"/>
    <n v="4.3400000000000001E-2"/>
    <n v="300"/>
    <n v="0"/>
    <n v="0"/>
    <n v="4.3400000000000001E-2"/>
    <m/>
    <n v="300"/>
    <m/>
    <n v="13.02"/>
    <n v="0"/>
    <n v="91143.977760152033"/>
  </r>
  <r>
    <d v="2025-11-05T00:00:00"/>
    <x v="4"/>
    <s v="KEKİK LÜX"/>
    <m/>
    <x v="1"/>
    <s v="ST00000000110"/>
    <s v="SATIŞ"/>
    <s v="NAKİT"/>
    <n v="0.04"/>
    <n v="760"/>
    <n v="0"/>
    <n v="0"/>
    <n v="0.04"/>
    <m/>
    <n v="760"/>
    <m/>
    <n v="30.400000000000002"/>
    <n v="0"/>
    <n v="91174.377760152027"/>
  </r>
  <r>
    <d v="2025-11-05T00:00:00"/>
    <x v="4"/>
    <s v="KAFFKA DİBEK KAHVESİ 150 GR"/>
    <m/>
    <x v="1"/>
    <s v="ST00000000110"/>
    <s v="SATIŞ"/>
    <s v="NAKİT"/>
    <n v="1"/>
    <n v="65"/>
    <n v="0"/>
    <n v="0"/>
    <n v="1"/>
    <m/>
    <n v="65"/>
    <m/>
    <n v="65"/>
    <n v="0"/>
    <n v="91239.377760152027"/>
  </r>
  <r>
    <d v="2025-11-05T00:00:00"/>
    <x v="4"/>
    <s v="ÇUBUK TARÇIN"/>
    <m/>
    <x v="1"/>
    <s v="ST00000000111"/>
    <s v="SATIŞ"/>
    <s v="NAKİT"/>
    <n v="0.1"/>
    <n v="650"/>
    <n v="0"/>
    <n v="0"/>
    <n v="1"/>
    <m/>
    <n v="65"/>
    <m/>
    <n v="65"/>
    <n v="0"/>
    <n v="91304.377760152027"/>
  </r>
  <r>
    <d v="2025-11-05T00:00:00"/>
    <x v="4"/>
    <s v="SALÇA ACI (EV YAPIMI)"/>
    <m/>
    <x v="5"/>
    <s v="ST00000000112"/>
    <s v="SATIŞ"/>
    <s v="POS"/>
    <n v="1.1120000000000001"/>
    <n v="180"/>
    <n v="200.16000000000003"/>
    <n v="0"/>
    <n v="1.1120000000000001"/>
    <m/>
    <n v="180"/>
    <m/>
    <n v="0"/>
    <n v="0"/>
    <n v="91304.377760152027"/>
  </r>
  <r>
    <d v="2025-11-05T00:00:00"/>
    <x v="4"/>
    <s v="SEYHAN ÜZÜM ÖZEL"/>
    <m/>
    <x v="5"/>
    <s v="ST00000000112"/>
    <s v="SATIŞ"/>
    <s v="POS"/>
    <n v="0.309"/>
    <n v="650"/>
    <n v="200.85"/>
    <n v="0"/>
    <n v="0.309"/>
    <m/>
    <n v="650"/>
    <m/>
    <n v="0"/>
    <n v="0"/>
    <n v="91304.377760152027"/>
  </r>
  <r>
    <d v="2025-11-05T00:00:00"/>
    <x v="4"/>
    <s v="SALÇA ACI (EV YAPIMI)"/>
    <m/>
    <x v="1"/>
    <s v="ST00000000113"/>
    <s v="SATIŞ"/>
    <s v="NAKİT"/>
    <n v="1.1120000000000001"/>
    <n v="180"/>
    <n v="0"/>
    <n v="0"/>
    <n v="1.1120000000000001"/>
    <m/>
    <n v="180"/>
    <m/>
    <n v="200.16000000000003"/>
    <n v="0"/>
    <n v="91504.53776015203"/>
  </r>
  <r>
    <d v="2025-11-05T00:00:00"/>
    <x v="4"/>
    <s v="HASPİR"/>
    <m/>
    <x v="1"/>
    <s v="ST00000000114"/>
    <s v="SATIŞ"/>
    <s v="NAKİT"/>
    <n v="2.5000000000000001E-2"/>
    <n v="2000"/>
    <n v="0"/>
    <n v="0"/>
    <n v="1"/>
    <m/>
    <n v="50"/>
    <m/>
    <n v="50"/>
    <n v="0"/>
    <n v="91554.53776015203"/>
  </r>
  <r>
    <d v="2025-11-05T00:00:00"/>
    <x v="4"/>
    <s v="DOLMALIK KURU PATLICAN"/>
    <m/>
    <x v="1"/>
    <s v="ST00000000115"/>
    <s v="SATIŞ"/>
    <s v="NAKİT"/>
    <n v="1"/>
    <n v="240"/>
    <n v="0"/>
    <n v="0"/>
    <n v="1"/>
    <m/>
    <n v="240"/>
    <m/>
    <n v="240"/>
    <n v="0"/>
    <n v="91794.53776015203"/>
  </r>
  <r>
    <d v="2025-11-05T00:00:00"/>
    <x v="4"/>
    <s v="ŞİFAVER BITTIM HATAY SABUNU"/>
    <m/>
    <x v="1"/>
    <s v="ST00000000116"/>
    <s v="SATIŞ"/>
    <s v="NAKİT"/>
    <n v="1"/>
    <n v="40"/>
    <n v="0"/>
    <n v="0"/>
    <n v="1"/>
    <m/>
    <n v="40"/>
    <m/>
    <n v="40"/>
    <n v="0"/>
    <n v="91834.53776015203"/>
  </r>
  <r>
    <d v="2025-11-05T00:00:00"/>
    <x v="4"/>
    <s v="KABUKLU CEVİZ (ŞİLİ)"/>
    <m/>
    <x v="1"/>
    <s v="ST00000000117"/>
    <s v="SATIŞ"/>
    <s v="NAKİT"/>
    <n v="1"/>
    <n v="300"/>
    <n v="0"/>
    <n v="0"/>
    <n v="1"/>
    <m/>
    <n v="300"/>
    <m/>
    <n v="300"/>
    <n v="0"/>
    <n v="92134.53776015203"/>
  </r>
  <r>
    <d v="2025-11-05T00:00:00"/>
    <x v="4"/>
    <s v="SALÇA ACI (EV YAPIMI)"/>
    <m/>
    <x v="1"/>
    <s v="ST00000000117"/>
    <s v="SATIŞ"/>
    <s v="NAKİT"/>
    <n v="1"/>
    <n v="180"/>
    <n v="0"/>
    <n v="0"/>
    <n v="1"/>
    <m/>
    <n v="180"/>
    <m/>
    <n v="180"/>
    <n v="0"/>
    <n v="92314.53776015203"/>
  </r>
  <r>
    <d v="2025-11-05T00:00:00"/>
    <x v="4"/>
    <s v="SALÇA TATLI (EV YAPIMI)"/>
    <m/>
    <x v="1"/>
    <s v="ST00000000117"/>
    <s v="SATIŞ"/>
    <s v="NAKİT"/>
    <n v="1"/>
    <n v="180"/>
    <n v="0"/>
    <n v="0"/>
    <n v="1"/>
    <m/>
    <n v="180"/>
    <m/>
    <n v="180"/>
    <n v="0"/>
    <n v="92494.53776015203"/>
  </r>
  <r>
    <d v="2025-11-05T00:00:00"/>
    <x v="4"/>
    <s v="DOMATES SALÇASI"/>
    <m/>
    <x v="1"/>
    <s v="ST00000000117"/>
    <s v="SATIŞ"/>
    <s v="NAKİT"/>
    <n v="1.032"/>
    <n v="130"/>
    <n v="0"/>
    <n v="0"/>
    <n v="1.032"/>
    <m/>
    <n v="130"/>
    <m/>
    <n v="134.16"/>
    <n v="0"/>
    <n v="92628.697760152034"/>
  </r>
  <r>
    <d v="2025-11-05T00:00:00"/>
    <x v="4"/>
    <s v="LOBAS SAF NAR EKŞİSİ 1 KG"/>
    <m/>
    <x v="1"/>
    <s v="ST00000000117"/>
    <s v="SATIŞ"/>
    <s v="NAKİT"/>
    <n v="1"/>
    <n v="295"/>
    <n v="0"/>
    <n v="0"/>
    <n v="1"/>
    <m/>
    <n v="295"/>
    <m/>
    <n v="295"/>
    <n v="0"/>
    <n v="92923.697760152034"/>
  </r>
  <r>
    <d v="2025-11-05T00:00:00"/>
    <x v="4"/>
    <s v="SEYİDOĞLU TAHİN 550 g"/>
    <m/>
    <x v="1"/>
    <s v="ST00000000117"/>
    <s v="SATIŞ"/>
    <s v="NAKİT"/>
    <n v="1"/>
    <n v="160"/>
    <n v="0"/>
    <n v="0"/>
    <n v="1"/>
    <m/>
    <n v="160"/>
    <m/>
    <n v="160"/>
    <n v="0"/>
    <n v="93083.697760152034"/>
  </r>
  <r>
    <d v="2025-11-05T00:00:00"/>
    <x v="4"/>
    <s v="KUDÜS HURMASI JUMBO"/>
    <m/>
    <x v="1"/>
    <s v="ST00000000117"/>
    <s v="SATIŞ"/>
    <s v="NAKİT"/>
    <n v="0.76800000000000002"/>
    <n v="670"/>
    <n v="0"/>
    <n v="0"/>
    <n v="0.76800000000000002"/>
    <m/>
    <n v="670"/>
    <m/>
    <n v="514.56000000000006"/>
    <n v="0"/>
    <n v="93598.257760152032"/>
  </r>
  <r>
    <d v="2025-11-05T00:00:00"/>
    <x v="4"/>
    <s v="AYÇEKİRDEĞİ DAKOTA TUZSUZ EKSTRA"/>
    <m/>
    <x v="1"/>
    <s v="ST00000000117"/>
    <s v="SATIŞ"/>
    <s v="NAKİT"/>
    <n v="0.51"/>
    <n v="180"/>
    <n v="0"/>
    <n v="0"/>
    <n v="0.51"/>
    <m/>
    <n v="180"/>
    <m/>
    <n v="91.8"/>
    <n v="0"/>
    <n v="93690.057760152034"/>
  </r>
  <r>
    <d v="2025-11-05T00:00:00"/>
    <x v="4"/>
    <s v="SEYHAN ÜZÜM ÖZEL"/>
    <m/>
    <x v="1"/>
    <s v="ST00000000117"/>
    <s v="SATIŞ"/>
    <s v="NAKİT"/>
    <n v="0.57799999999999996"/>
    <n v="650"/>
    <n v="0"/>
    <n v="0"/>
    <n v="0.57799999999999996"/>
    <m/>
    <n v="650"/>
    <m/>
    <n v="375.7"/>
    <n v="0"/>
    <n v="94065.757760152032"/>
  </r>
  <r>
    <d v="2025-11-05T00:00:00"/>
    <x v="4"/>
    <s v="ÇUBUK TARÇIN"/>
    <m/>
    <x v="1"/>
    <s v="ST00000000117"/>
    <s v="SATIŞ"/>
    <s v="NAKİT"/>
    <n v="0.1"/>
    <n v="650"/>
    <n v="0"/>
    <n v="0"/>
    <n v="1"/>
    <m/>
    <n v="65"/>
    <m/>
    <n v="65"/>
    <n v="0"/>
    <n v="94130.757760152032"/>
  </r>
  <r>
    <d v="2025-11-05T00:00:00"/>
    <x v="4"/>
    <s v="FİSKOBİRLİK FINDIK EZMESİ 300 GR"/>
    <m/>
    <x v="1"/>
    <s v="ST00000000117"/>
    <s v="SATIŞ"/>
    <s v="NAKİT"/>
    <n v="1"/>
    <n v="220"/>
    <n v="0"/>
    <n v="0"/>
    <n v="1"/>
    <m/>
    <n v="220"/>
    <m/>
    <n v="220"/>
    <n v="0"/>
    <n v="94350.757760152032"/>
  </r>
  <r>
    <d v="2025-11-05T00:00:00"/>
    <x v="4"/>
    <s v="İRİ KABAK ÇEKİRDEĞİ TUZSUZ (KAVRULMUŞ)"/>
    <m/>
    <x v="1"/>
    <s v="ST00000000117"/>
    <s v="SATIŞ"/>
    <s v="NAKİT"/>
    <n v="0.51800000000000002"/>
    <n v="350"/>
    <n v="0"/>
    <n v="0"/>
    <n v="0.51800000000000002"/>
    <m/>
    <n v="350"/>
    <m/>
    <n v="181.3"/>
    <n v="0"/>
    <n v="94532.057760152034"/>
  </r>
  <r>
    <d v="2025-11-05T00:00:00"/>
    <x v="4"/>
    <s v="İZMİR ÜZÜMÜ"/>
    <m/>
    <x v="1"/>
    <s v="ST00000000117"/>
    <s v="SATIŞ"/>
    <s v="NAKİT"/>
    <n v="0.55800000000000005"/>
    <n v="250"/>
    <n v="0"/>
    <n v="0"/>
    <n v="0.55800000000000005"/>
    <m/>
    <n v="250"/>
    <m/>
    <n v="139.5"/>
    <n v="0"/>
    <n v="94671.557760152034"/>
  </r>
  <r>
    <d v="2025-11-05T00:00:00"/>
    <x v="4"/>
    <s v="LEBLEBİ ÇİFTE SARI"/>
    <m/>
    <x v="1"/>
    <s v="ST00000000117"/>
    <s v="SATIŞ"/>
    <s v="NAKİT"/>
    <n v="0.51200000000000001"/>
    <n v="230"/>
    <n v="0"/>
    <n v="0"/>
    <n v="0.51200000000000001"/>
    <m/>
    <n v="230"/>
    <m/>
    <n v="117.76"/>
    <n v="0"/>
    <n v="94789.317760152029"/>
  </r>
  <r>
    <d v="2025-11-05T00:00:00"/>
    <x v="4"/>
    <s v="DOLMALIK KURU PATLICAN"/>
    <m/>
    <x v="5"/>
    <s v="ST00000000118"/>
    <s v="SATIŞ"/>
    <s v="POS"/>
    <n v="1"/>
    <n v="240"/>
    <n v="240"/>
    <n v="0"/>
    <n v="1"/>
    <m/>
    <n v="240"/>
    <m/>
    <n v="0"/>
    <n v="0"/>
    <n v="94789.317760152029"/>
  </r>
  <r>
    <d v="2025-11-05T00:00:00"/>
    <x v="4"/>
    <s v="DOLMALIK KURU TATLI KIRMIZI BİBER"/>
    <m/>
    <x v="5"/>
    <s v="ST00000000118"/>
    <s v="SATIŞ"/>
    <s v="POS"/>
    <n v="1"/>
    <n v="200"/>
    <n v="200"/>
    <n v="0"/>
    <n v="1"/>
    <m/>
    <n v="200"/>
    <m/>
    <n v="0"/>
    <n v="0"/>
    <n v="94789.317760152029"/>
  </r>
  <r>
    <d v="2025-11-05T00:00:00"/>
    <x v="4"/>
    <s v="DOLMALIK KURU PATLICAN"/>
    <m/>
    <x v="5"/>
    <s v="ST00000000119"/>
    <s v="SATIŞ"/>
    <s v="POS"/>
    <n v="2"/>
    <n v="240"/>
    <n v="480"/>
    <n v="0"/>
    <n v="2"/>
    <m/>
    <n v="240"/>
    <m/>
    <n v="0"/>
    <n v="0"/>
    <n v="94789.317760152029"/>
  </r>
  <r>
    <d v="2025-11-05T00:00:00"/>
    <x v="4"/>
    <s v="DOLMALIK KURU TATLI KIRMIZI BİBER"/>
    <m/>
    <x v="5"/>
    <s v="ST00000000119"/>
    <s v="SATIŞ"/>
    <s v="POS"/>
    <n v="2"/>
    <n v="200"/>
    <n v="400"/>
    <n v="0"/>
    <n v="2"/>
    <m/>
    <n v="200"/>
    <m/>
    <n v="0"/>
    <n v="0"/>
    <n v="94789.317760152029"/>
  </r>
  <r>
    <d v="2025-11-05T00:00:00"/>
    <x v="4"/>
    <s v="ÇAYKUR TİRYAKİ 1 KG"/>
    <m/>
    <x v="1"/>
    <s v="ST00000000120"/>
    <s v="SATIŞ"/>
    <s v="NAKİT"/>
    <n v="2"/>
    <n v="270"/>
    <n v="0"/>
    <n v="0"/>
    <n v="2"/>
    <m/>
    <n v="270"/>
    <m/>
    <n v="540"/>
    <n v="0"/>
    <n v="95329.317760152029"/>
  </r>
  <r>
    <d v="2025-11-05T00:00:00"/>
    <x v="4"/>
    <s v="İRİ BEYAZ KABAK ÇEKİRDEĞİ - NEVŞEHİR"/>
    <m/>
    <x v="1"/>
    <s v="ST00000000120"/>
    <s v="SATIŞ"/>
    <s v="NAKİT"/>
    <n v="0.36599999999999999"/>
    <n v="350"/>
    <n v="0"/>
    <n v="0"/>
    <n v="0.36599999999999999"/>
    <m/>
    <n v="350"/>
    <m/>
    <n v="128.1"/>
    <n v="0"/>
    <n v="95457.417760152035"/>
  </r>
  <r>
    <d v="2025-11-05T00:00:00"/>
    <x v="4"/>
    <s v="NBN 2,5 KG İNCİR"/>
    <m/>
    <x v="1"/>
    <s v="ST00000000120"/>
    <s v="SATIŞ"/>
    <s v="NAKİT"/>
    <n v="0.34399999999999997"/>
    <n v="600"/>
    <n v="0"/>
    <n v="0"/>
    <n v="0.34399999999999997"/>
    <m/>
    <n v="600"/>
    <m/>
    <n v="206.39999999999998"/>
    <n v="0"/>
    <n v="95663.817760152029"/>
  </r>
  <r>
    <d v="2025-11-05T00:00:00"/>
    <x v="4"/>
    <s v="KARANFİL"/>
    <m/>
    <x v="1"/>
    <s v="ST00000000120"/>
    <s v="SATIŞ"/>
    <s v="NAKİT"/>
    <n v="5.4550000000000001E-2"/>
    <n v="1100"/>
    <n v="0"/>
    <n v="0"/>
    <n v="1"/>
    <m/>
    <n v="60"/>
    <m/>
    <n v="60.005000000000003"/>
    <n v="0"/>
    <n v="95723.822760152034"/>
  </r>
  <r>
    <d v="2025-11-05T00:00:00"/>
    <x v="4"/>
    <s v="TÜRK KAHVESİ"/>
    <m/>
    <x v="1"/>
    <s v="ST00000000120"/>
    <s v="SATIŞ"/>
    <s v="NAKİT"/>
    <n v="0.1"/>
    <n v="650"/>
    <n v="0"/>
    <n v="0"/>
    <n v="1"/>
    <m/>
    <n v="65"/>
    <m/>
    <n v="65"/>
    <n v="0"/>
    <n v="95788.822760152034"/>
  </r>
  <r>
    <d v="2025-11-05T00:00:00"/>
    <x v="4"/>
    <s v="KAFFKA MENENGİÇ KAHVESİ 150 GR"/>
    <m/>
    <x v="1"/>
    <s v="ST00000000120"/>
    <s v="SATIŞ"/>
    <s v="NAKİT"/>
    <n v="1"/>
    <n v="65"/>
    <n v="0"/>
    <n v="0"/>
    <n v="1"/>
    <m/>
    <n v="65"/>
    <m/>
    <n v="65"/>
    <n v="0"/>
    <n v="95853.822760152034"/>
  </r>
  <r>
    <d v="2025-11-05T00:00:00"/>
    <x v="4"/>
    <s v="SEYHAN ÜZÜM ÖZEL"/>
    <m/>
    <x v="1"/>
    <s v="ST00000000120"/>
    <s v="SATIŞ"/>
    <s v="NAKİT"/>
    <n v="0.32600000000000001"/>
    <n v="650"/>
    <n v="0"/>
    <n v="0"/>
    <n v="0.32600000000000001"/>
    <m/>
    <n v="650"/>
    <m/>
    <n v="211.9"/>
    <n v="0"/>
    <n v="96065.722760152028"/>
  </r>
  <r>
    <d v="2025-11-05T00:00:00"/>
    <x v="4"/>
    <s v="TÜDAB KIŞ ÇAYI 200 GR"/>
    <m/>
    <x v="1"/>
    <s v="ST00000000120"/>
    <s v="SATIŞ"/>
    <s v="NAKİT"/>
    <n v="1"/>
    <n v="140"/>
    <n v="0"/>
    <n v="0"/>
    <n v="1"/>
    <m/>
    <n v="140"/>
    <m/>
    <n v="140"/>
    <n v="0"/>
    <n v="96205.722760152028"/>
  </r>
  <r>
    <d v="2025-11-05T00:00:00"/>
    <x v="4"/>
    <s v="DEMKAR TURUNCU PAKET ANTEP FISTIĞI"/>
    <m/>
    <x v="1"/>
    <s v="ST00000000120"/>
    <s v="SATIŞ"/>
    <s v="NAKİT"/>
    <n v="0.16400000000000001"/>
    <n v="1250"/>
    <n v="0"/>
    <n v="0"/>
    <n v="0.16400000000000001"/>
    <m/>
    <n v="1250"/>
    <m/>
    <n v="205"/>
    <n v="0"/>
    <n v="96410.722760152028"/>
  </r>
  <r>
    <d v="2025-11-05T00:00:00"/>
    <x v="4"/>
    <s v="DOLMALIK KURU PATLICAN"/>
    <m/>
    <x v="1"/>
    <s v="ST00000000121"/>
    <s v="SATIŞ"/>
    <s v="NAKİT"/>
    <n v="1"/>
    <n v="240"/>
    <n v="0"/>
    <n v="0"/>
    <n v="1"/>
    <m/>
    <n v="240"/>
    <m/>
    <n v="240"/>
    <n v="0"/>
    <n v="96650.722760152028"/>
  </r>
  <r>
    <d v="2025-11-05T00:00:00"/>
    <x v="4"/>
    <s v="YALÇINKAYA TATLI BİBER SALÇASI"/>
    <m/>
    <x v="1"/>
    <s v="ST00000000184"/>
    <s v="SATIŞ - TOPTAN"/>
    <s v="NAKİT"/>
    <n v="19.350000000000001"/>
    <n v="125"/>
    <n v="0"/>
    <n v="0"/>
    <n v="20"/>
    <m/>
    <n v="125"/>
    <m/>
    <n v="2418.75"/>
    <n v="0"/>
    <n v="99069.472760152028"/>
  </r>
  <r>
    <d v="2025-11-05T00:00:00"/>
    <x v="4"/>
    <s v="YALÇINKAYA DOMATES SALÇASI"/>
    <m/>
    <x v="1"/>
    <s v="ST00000000184"/>
    <s v="SATIŞ - TOPTAN"/>
    <s v="NAKİT"/>
    <n v="19.350000000000001"/>
    <n v="85"/>
    <n v="0"/>
    <n v="0"/>
    <n v="20"/>
    <m/>
    <n v="85"/>
    <m/>
    <n v="1644.7500000000002"/>
    <n v="0"/>
    <n v="100714.22276015203"/>
  </r>
  <r>
    <d v="2025-11-05T00:00:00"/>
    <x v="4"/>
    <s v="SUSAM"/>
    <m/>
    <x v="1"/>
    <s v="ST00000000184"/>
    <s v="SATIŞ - TOPTAN"/>
    <s v="NAKİT"/>
    <n v="5"/>
    <n v="100"/>
    <n v="0"/>
    <n v="0"/>
    <n v="5"/>
    <m/>
    <n v="100"/>
    <m/>
    <n v="500"/>
    <n v="0"/>
    <n v="101214.22276015203"/>
  </r>
  <r>
    <d v="2025-11-05T00:00:00"/>
    <x v="4"/>
    <s v="PUDRA ŞEKERİ"/>
    <m/>
    <x v="1"/>
    <s v="ST00000000184"/>
    <s v="SATIŞ - TOPTAN"/>
    <s v="NAKİT"/>
    <n v="5"/>
    <n v="65"/>
    <n v="0"/>
    <n v="0"/>
    <n v="5"/>
    <m/>
    <n v="65"/>
    <m/>
    <n v="325"/>
    <n v="0"/>
    <n v="101539.22276015203"/>
  </r>
  <r>
    <d v="2025-11-05T00:00:00"/>
    <x v="4"/>
    <s v="TOMBUL KESE 500 GR ACI"/>
    <m/>
    <x v="1"/>
    <s v="ST00000000184"/>
    <s v="SATIŞ - TOPTAN"/>
    <s v="NAKİT"/>
    <n v="3"/>
    <n v="165"/>
    <n v="0"/>
    <n v="0"/>
    <n v="3"/>
    <m/>
    <n v="165"/>
    <m/>
    <n v="495"/>
    <n v="0"/>
    <n v="102034.22276015203"/>
  </r>
  <r>
    <d v="2025-11-05T00:00:00"/>
    <x v="4"/>
    <s v="TOMBUL KESE 500 GR SEBZELİ TARHANA"/>
    <m/>
    <x v="1"/>
    <s v="ST00000000184"/>
    <s v="SATIŞ - TOPTAN"/>
    <s v="NAKİT"/>
    <n v="4"/>
    <n v="165"/>
    <n v="0"/>
    <n v="0"/>
    <n v="4"/>
    <m/>
    <n v="165"/>
    <m/>
    <n v="660"/>
    <n v="0"/>
    <n v="102694.22276015203"/>
  </r>
  <r>
    <d v="2025-11-05T00:00:00"/>
    <x v="4"/>
    <s v="TOMBUL KESE 500 GR TATLI"/>
    <m/>
    <x v="1"/>
    <s v="ST00000000184"/>
    <s v="SATIŞ - TOPTAN"/>
    <s v="NAKİT"/>
    <n v="3"/>
    <n v="165"/>
    <n v="0"/>
    <n v="0"/>
    <n v="3"/>
    <m/>
    <n v="165"/>
    <m/>
    <n v="495"/>
    <n v="0"/>
    <n v="103189.22276015203"/>
  </r>
  <r>
    <d v="2025-11-06T00:00:00"/>
    <x v="3"/>
    <s v="BİZİM YAPRAK 1 LİK"/>
    <m/>
    <x v="4"/>
    <s v="FT00000000007"/>
    <s v="TÜDAB A.Ş."/>
    <s v="CARİ"/>
    <n v="18"/>
    <n v="235"/>
    <n v="0"/>
    <n v="4230"/>
    <m/>
    <n v="18"/>
    <m/>
    <n v="235"/>
    <n v="0"/>
    <n v="0"/>
    <n v="103189.22276015203"/>
  </r>
  <r>
    <d v="2025-11-06T00:00:00"/>
    <x v="3"/>
    <s v="CEVİZLİ SUCUK ATOM (SARI)"/>
    <m/>
    <x v="4"/>
    <s v="FT00000000007"/>
    <s v="TÜDAB A.Ş."/>
    <s v="CARİ"/>
    <n v="10"/>
    <n v="225"/>
    <n v="0"/>
    <n v="2250"/>
    <m/>
    <n v="10"/>
    <m/>
    <n v="225"/>
    <n v="0"/>
    <n v="0"/>
    <n v="103189.22276015203"/>
  </r>
  <r>
    <d v="2025-11-06T00:00:00"/>
    <x v="3"/>
    <s v="KINA TÜP KIZIL"/>
    <m/>
    <x v="4"/>
    <s v="FT00000000007"/>
    <s v="TÜDAB A.Ş."/>
    <s v="CARİ"/>
    <n v="12"/>
    <n v="25"/>
    <n v="0"/>
    <n v="300"/>
    <m/>
    <n v="12"/>
    <m/>
    <n v="25"/>
    <n v="0"/>
    <n v="0"/>
    <n v="103189.22276015203"/>
  </r>
  <r>
    <d v="2025-11-06T00:00:00"/>
    <x v="3"/>
    <s v="KINA TÜP SİYAH"/>
    <m/>
    <x v="4"/>
    <s v="FT00000000007"/>
    <s v="TÜDAB A.Ş."/>
    <s v="CARİ"/>
    <n v="12"/>
    <n v="25"/>
    <n v="0"/>
    <n v="300"/>
    <m/>
    <n v="12"/>
    <m/>
    <n v="25"/>
    <n v="0"/>
    <n v="0"/>
    <n v="103189.22276015203"/>
  </r>
  <r>
    <d v="2025-11-06T00:00:00"/>
    <x v="3"/>
    <s v="SEYHAN ÜZÜM ÖZEL"/>
    <m/>
    <x v="4"/>
    <s v="FT00000000007"/>
    <s v="TÜDAB A.Ş."/>
    <s v="CARİ"/>
    <n v="5"/>
    <n v="500"/>
    <n v="0"/>
    <n v="2500"/>
    <m/>
    <n v="5"/>
    <m/>
    <n v="500"/>
    <n v="0"/>
    <n v="0"/>
    <n v="103189.22276015203"/>
  </r>
  <r>
    <d v="2025-11-06T00:00:00"/>
    <x v="3"/>
    <s v="ÖZBEK ÜZÜMÜ"/>
    <m/>
    <x v="4"/>
    <s v="FT00000000007"/>
    <s v="TÜDAB A.Ş."/>
    <s v="CARİ"/>
    <n v="5"/>
    <n v="370"/>
    <n v="0"/>
    <n v="1850"/>
    <m/>
    <n v="5"/>
    <m/>
    <n v="370"/>
    <n v="0"/>
    <n v="0"/>
    <n v="103189.22276015203"/>
  </r>
  <r>
    <d v="2025-11-06T00:00:00"/>
    <x v="3"/>
    <s v="ERBATAB MAGNEZYUM 3 LÜ FORM (BİSGLİSİNAT, SİTRAT, MALAT) &amp; VİTAMİN B2 , B3 , B6 - 60 KAPSÜL"/>
    <m/>
    <x v="2"/>
    <s v="FT00000000012"/>
    <s v="HB"/>
    <s v="K.K."/>
    <n v="2"/>
    <n v="224.16"/>
    <n v="0"/>
    <n v="448.32"/>
    <m/>
    <n v="2"/>
    <m/>
    <n v="224.16"/>
    <n v="0"/>
    <n v="0"/>
    <n v="103189.22276015203"/>
  </r>
  <r>
    <d v="2025-11-06T00:00:00"/>
    <x v="3"/>
    <s v="ERBATAB VİTAMİN D3 KİDS 20 ML 400 IU DAMLA"/>
    <m/>
    <x v="2"/>
    <s v="FT00000000012"/>
    <s v="HB"/>
    <s v="K.K."/>
    <n v="2"/>
    <n v="143.30000000000001"/>
    <n v="0"/>
    <n v="286.60000000000002"/>
    <m/>
    <n v="2"/>
    <m/>
    <n v="143.30000000000001"/>
    <n v="0"/>
    <n v="0"/>
    <n v="103189.22276015203"/>
  </r>
  <r>
    <d v="2025-11-06T00:00:00"/>
    <x v="3"/>
    <s v="ERBATAB DEMİR VİTAMİN 30 KAPSÜL"/>
    <m/>
    <x v="2"/>
    <s v="FT00000000012"/>
    <s v="HB"/>
    <s v="K.K."/>
    <n v="2"/>
    <n v="147.99"/>
    <n v="0"/>
    <n v="295.98"/>
    <m/>
    <n v="2"/>
    <m/>
    <n v="147.99"/>
    <n v="0"/>
    <n v="0"/>
    <n v="103189.22276015203"/>
  </r>
  <r>
    <d v="2025-11-06T00:00:00"/>
    <x v="3"/>
    <s v="ZÜHRE ANA KOZALAK MACUNU - ÇAM KOZALAĞI 240 GR"/>
    <m/>
    <x v="2"/>
    <s v="FT00000000015"/>
    <s v="TR"/>
    <s v="K.K."/>
    <n v="5"/>
    <n v="154.9"/>
    <n v="0"/>
    <n v="774.5"/>
    <m/>
    <n v="5"/>
    <m/>
    <n v="154.9"/>
    <n v="0"/>
    <n v="0"/>
    <n v="103189.22276015203"/>
  </r>
  <r>
    <d v="2025-11-06T00:00:00"/>
    <x v="3"/>
    <s v="ZÜHRE ANA PROPOLİS MACUNU 240 GR"/>
    <m/>
    <x v="2"/>
    <s v="FT00000000016"/>
    <s v="TR"/>
    <s v="K.K."/>
    <n v="5"/>
    <n v="159.9"/>
    <n v="0"/>
    <n v="799.5"/>
    <m/>
    <n v="5"/>
    <m/>
    <n v="159.9"/>
    <n v="0"/>
    <n v="0"/>
    <n v="103189.22276015203"/>
  </r>
  <r>
    <d v="2025-11-06T00:00:00"/>
    <x v="3"/>
    <s v="ZÜHRE ANA KARADUT ÖZÜ 670 GR"/>
    <m/>
    <x v="2"/>
    <s v="FT00000000017"/>
    <s v="TR"/>
    <s v="K.K."/>
    <n v="5"/>
    <n v="148.82"/>
    <n v="0"/>
    <n v="744.09999999999991"/>
    <m/>
    <n v="5"/>
    <m/>
    <n v="148.82"/>
    <n v="0"/>
    <n v="0"/>
    <n v="103189.22276015203"/>
  </r>
  <r>
    <d v="2025-11-06T00:00:00"/>
    <x v="3"/>
    <s v="ZÜHRE ANA BROMELAİN ANANAS İÇEREN DETOX ŞURUBU 250 ML"/>
    <m/>
    <x v="2"/>
    <s v="FT00000000017"/>
    <s v="TR"/>
    <s v="K.K."/>
    <n v="4"/>
    <n v="140.97999999999999"/>
    <n v="0"/>
    <n v="563.91999999999996"/>
    <m/>
    <n v="4"/>
    <m/>
    <n v="140.97999999999999"/>
    <n v="0"/>
    <n v="0"/>
    <n v="103189.22276015203"/>
  </r>
  <r>
    <d v="2025-11-06T00:00:00"/>
    <x v="3"/>
    <s v="NUTRAXİN BROMELAİN FORTE 750 MG 60 TABLET"/>
    <m/>
    <x v="2"/>
    <s v="FT00000000018"/>
    <s v="TR"/>
    <s v="K.K."/>
    <n v="3"/>
    <n v="248.91"/>
    <n v="0"/>
    <n v="746.73"/>
    <m/>
    <n v="3"/>
    <m/>
    <n v="248.91"/>
    <n v="0"/>
    <n v="0"/>
    <n v="103189.22276015203"/>
  </r>
  <r>
    <d v="2025-11-06T00:00:00"/>
    <x v="3"/>
    <s v="NUTRAXİN BROMELAİN 500 MG 60 TABLET"/>
    <m/>
    <x v="2"/>
    <s v="FT00000000018"/>
    <s v="TR"/>
    <s v="K.K."/>
    <n v="4"/>
    <n v="158.38"/>
    <n v="0"/>
    <n v="633.52"/>
    <m/>
    <n v="4"/>
    <m/>
    <n v="158.38"/>
    <n v="0"/>
    <n v="0"/>
    <n v="103189.22276015203"/>
  </r>
  <r>
    <d v="2025-11-06T00:00:00"/>
    <x v="3"/>
    <s v="NUTRAXİN MAGNEZYUM COMPLEX 60 TABLET 125 MG"/>
    <m/>
    <x v="2"/>
    <s v="FT00000000018"/>
    <s v="TR"/>
    <s v="K.K."/>
    <n v="3"/>
    <n v="226.36"/>
    <n v="0"/>
    <n v="679.08"/>
    <m/>
    <n v="3"/>
    <m/>
    <n v="226.36"/>
    <n v="0"/>
    <n v="0"/>
    <n v="103189.22276015203"/>
  </r>
  <r>
    <d v="2025-11-06T00:00:00"/>
    <x v="3"/>
    <s v="İCOLLAGEN KOLAJEN VE PROBİYOTİK 60 TABLET"/>
    <m/>
    <x v="2"/>
    <s v="FT00000000019"/>
    <s v="TR"/>
    <s v="K.K."/>
    <n v="6"/>
    <n v="144.16999999999999"/>
    <n v="0"/>
    <n v="865.02"/>
    <m/>
    <n v="6"/>
    <m/>
    <n v="144.16999999999999"/>
    <n v="0"/>
    <n v="0"/>
    <n v="103189.22276015203"/>
  </r>
  <r>
    <d v="2025-11-06T00:00:00"/>
    <x v="3"/>
    <s v="ZÜHRE ANA KİDS OMEGA 3 BALIK YAĞI ŞURUBU 150 ML"/>
    <m/>
    <x v="2"/>
    <s v="FT00000000020"/>
    <s v="TR"/>
    <s v="K.K."/>
    <n v="5"/>
    <n v="180.11"/>
    <n v="0"/>
    <n v="900.55000000000007"/>
    <m/>
    <n v="5"/>
    <m/>
    <n v="180.11"/>
    <n v="0"/>
    <n v="0"/>
    <n v="103189.22276015203"/>
  </r>
  <r>
    <d v="2025-11-06T00:00:00"/>
    <x v="3"/>
    <s v="ZÜHRE ANA KARADUT ÖZÜ 670 GR"/>
    <m/>
    <x v="2"/>
    <s v="FT00000000020"/>
    <s v="TR"/>
    <s v="K.K."/>
    <n v="5"/>
    <n v="148.78"/>
    <n v="0"/>
    <n v="743.9"/>
    <m/>
    <n v="5"/>
    <m/>
    <n v="148.78"/>
    <n v="0"/>
    <n v="0"/>
    <n v="103189.22276015203"/>
  </r>
  <r>
    <d v="2025-11-06T00:00:00"/>
    <x v="3"/>
    <s v="ZÜHRE ANA SULTAN MACUNU 240 GR"/>
    <m/>
    <x v="2"/>
    <s v="FT00000000020"/>
    <s v="TR"/>
    <s v="K.K."/>
    <n v="4"/>
    <n v="156.61000000000001"/>
    <n v="0"/>
    <n v="626.44000000000005"/>
    <m/>
    <n v="4"/>
    <m/>
    <n v="156.61000000000001"/>
    <n v="0"/>
    <n v="0"/>
    <n v="103189.22276015203"/>
  </r>
  <r>
    <d v="2025-11-06T00:00:00"/>
    <x v="3"/>
    <s v="ZÜHRE ANA DİYABETİK KOZALAK MACUNU - ÇAM KOZALAĞI 240 GR"/>
    <m/>
    <x v="2"/>
    <s v="FT00000000020"/>
    <s v="TR"/>
    <s v="K.K."/>
    <n v="5"/>
    <n v="156.61000000000001"/>
    <n v="0"/>
    <n v="783.05000000000007"/>
    <m/>
    <n v="5"/>
    <m/>
    <n v="156.61000000000001"/>
    <n v="0"/>
    <n v="0"/>
    <n v="103189.22276015203"/>
  </r>
  <r>
    <d v="2025-11-06T00:00:00"/>
    <x v="3"/>
    <s v="BALPARMAK YAYLA VE OVA ÇİÇEK BALI 850 GR"/>
    <m/>
    <x v="2"/>
    <s v="FT00000000020"/>
    <s v="TR"/>
    <s v="K.K."/>
    <n v="3"/>
    <n v="376.24"/>
    <n v="0"/>
    <n v="1128.72"/>
    <m/>
    <n v="3"/>
    <m/>
    <n v="376.24"/>
    <n v="0"/>
    <n v="0"/>
    <n v="103189.22276015203"/>
  </r>
  <r>
    <d v="2025-11-06T00:00:00"/>
    <x v="3"/>
    <s v="COLLAGEN FORTE PLATİNUM OMEGA 3 90 SOFT JEL"/>
    <m/>
    <x v="2"/>
    <s v="FT00000000020"/>
    <s v="TR"/>
    <s v="K.K."/>
    <n v="3"/>
    <n v="232.67"/>
    <n v="0"/>
    <n v="698.01"/>
    <m/>
    <n v="3"/>
    <m/>
    <n v="232.67"/>
    <n v="0"/>
    <n v="0"/>
    <n v="103189.22276015203"/>
  </r>
  <r>
    <d v="2025-11-06T00:00:00"/>
    <x v="4"/>
    <s v="LİMON MELİSA"/>
    <m/>
    <x v="1"/>
    <s v="ST00000000122"/>
    <s v="SATIŞ"/>
    <s v="NAKİT"/>
    <n v="0.05"/>
    <n v="2000"/>
    <n v="0"/>
    <n v="0"/>
    <n v="0.05"/>
    <m/>
    <n v="2000"/>
    <m/>
    <n v="100"/>
    <n v="0"/>
    <n v="103289.22276015203"/>
  </r>
  <r>
    <d v="2025-11-06T00:00:00"/>
    <x v="4"/>
    <s v="DOLMALIK KURU KABAK"/>
    <m/>
    <x v="5"/>
    <s v="ST00000000123"/>
    <s v="SATIŞ"/>
    <s v="POS"/>
    <n v="1"/>
    <n v="260"/>
    <n v="260"/>
    <n v="0"/>
    <n v="1"/>
    <m/>
    <n v="260"/>
    <m/>
    <n v="0"/>
    <n v="0"/>
    <n v="103289.22276015203"/>
  </r>
  <r>
    <d v="2025-11-06T00:00:00"/>
    <x v="4"/>
    <s v="DUT KURUSU LÜX ELAZIĞ"/>
    <m/>
    <x v="5"/>
    <s v="ST00000000123"/>
    <s v="SATIŞ"/>
    <s v="POS"/>
    <n v="0.125"/>
    <n v="800"/>
    <n v="100"/>
    <n v="0"/>
    <n v="0.125"/>
    <m/>
    <n v="800"/>
    <m/>
    <n v="0"/>
    <n v="0"/>
    <n v="103289.22276015203"/>
  </r>
  <r>
    <d v="2025-11-06T00:00:00"/>
    <x v="4"/>
    <s v="MEDİNE HURMA DUBLE"/>
    <m/>
    <x v="1"/>
    <s v="ST00000000124"/>
    <s v="SATIŞ"/>
    <s v="NAKİT"/>
    <n v="0.16200000000000001"/>
    <n v="620"/>
    <n v="0"/>
    <n v="0"/>
    <n v="0.16200000000000001"/>
    <m/>
    <n v="620"/>
    <m/>
    <n v="100.44"/>
    <n v="0"/>
    <n v="103389.66276015203"/>
  </r>
  <r>
    <d v="2025-11-06T00:00:00"/>
    <x v="4"/>
    <s v="HİBİSKUS"/>
    <m/>
    <x v="5"/>
    <s v="ST00000000125"/>
    <s v="SATIŞ"/>
    <s v="POS"/>
    <n v="0.1"/>
    <n v="600"/>
    <n v="60"/>
    <n v="0"/>
    <n v="1"/>
    <m/>
    <n v="60"/>
    <m/>
    <n v="0"/>
    <n v="0"/>
    <n v="103389.66276015203"/>
  </r>
  <r>
    <d v="2025-11-06T00:00:00"/>
    <x v="4"/>
    <s v="KAFFKA OSMANLI KAHVESİ 150 GR"/>
    <m/>
    <x v="5"/>
    <s v="ST00000000125"/>
    <s v="SATIŞ"/>
    <s v="POS"/>
    <n v="1"/>
    <n v="65"/>
    <n v="65"/>
    <n v="0"/>
    <n v="1"/>
    <m/>
    <n v="65"/>
    <m/>
    <n v="0"/>
    <n v="0"/>
    <n v="103389.66276015203"/>
  </r>
  <r>
    <d v="2025-11-06T00:00:00"/>
    <x v="4"/>
    <s v="KABUKLU CEVİZ (ŞİLİ)"/>
    <m/>
    <x v="5"/>
    <s v="ST00000000126"/>
    <s v="SATIŞ"/>
    <s v="POS"/>
    <n v="1"/>
    <n v="300"/>
    <n v="300"/>
    <n v="0"/>
    <n v="1"/>
    <m/>
    <n v="300"/>
    <m/>
    <n v="0"/>
    <n v="0"/>
    <n v="103389.66276015203"/>
  </r>
  <r>
    <d v="2025-11-06T00:00:00"/>
    <x v="4"/>
    <s v="TOZ BİBER - TATLI"/>
    <m/>
    <x v="1"/>
    <s v="ST00000000127"/>
    <s v="SATIŞ"/>
    <s v="NAKİT"/>
    <n v="0.19400000000000001"/>
    <n v="370"/>
    <n v="0"/>
    <n v="0"/>
    <n v="0.19400000000000001"/>
    <m/>
    <n v="370"/>
    <m/>
    <n v="71.78"/>
    <n v="0"/>
    <n v="103461.44276015203"/>
  </r>
  <r>
    <d v="2025-11-06T00:00:00"/>
    <x v="4"/>
    <s v="KARABİBER ÇEKİLMİŞ"/>
    <m/>
    <x v="1"/>
    <s v="ST00000000127"/>
    <s v="SATIŞ"/>
    <s v="NAKİT"/>
    <n v="0.14799999999999999"/>
    <n v="640"/>
    <n v="0"/>
    <n v="0"/>
    <n v="0.14799999999999999"/>
    <m/>
    <n v="640"/>
    <m/>
    <n v="94.72"/>
    <n v="0"/>
    <n v="103556.16276015203"/>
  </r>
  <r>
    <d v="2025-11-06T00:00:00"/>
    <x v="4"/>
    <s v="DOLMALIK KURU PATLICAN"/>
    <m/>
    <x v="1"/>
    <s v="ST00000000128"/>
    <s v="SATIŞ"/>
    <s v="NAKİT"/>
    <n v="1"/>
    <n v="200"/>
    <n v="0"/>
    <n v="0"/>
    <n v="1"/>
    <m/>
    <n v="200"/>
    <m/>
    <n v="200"/>
    <n v="0"/>
    <n v="103756.16276015203"/>
  </r>
  <r>
    <d v="2025-11-06T00:00:00"/>
    <x v="4"/>
    <s v="İZMİR ÜZÜMÜ"/>
    <m/>
    <x v="1"/>
    <s v="ST00000000129"/>
    <s v="SATIŞ"/>
    <s v="NAKİT"/>
    <n v="1"/>
    <n v="200"/>
    <n v="0"/>
    <n v="0"/>
    <n v="1"/>
    <m/>
    <n v="200"/>
    <m/>
    <n v="200"/>
    <n v="0"/>
    <n v="103956.16276015203"/>
  </r>
  <r>
    <d v="2025-11-06T00:00:00"/>
    <x v="4"/>
    <s v="EVLİK BİBER"/>
    <m/>
    <x v="5"/>
    <s v="ST00000000130"/>
    <s v="SATIŞ"/>
    <s v="POS"/>
    <n v="0.372"/>
    <n v="420"/>
    <n v="156.24"/>
    <n v="0"/>
    <n v="0.372"/>
    <m/>
    <n v="420"/>
    <m/>
    <n v="0"/>
    <n v="0"/>
    <n v="103956.16276015203"/>
  </r>
  <r>
    <d v="2025-11-06T00:00:00"/>
    <x v="4"/>
    <s v="İRİ BEYAZ KABAK ÇEKİRDEĞİ - NEVŞEHİR"/>
    <m/>
    <x v="5"/>
    <s v="ST00000000130"/>
    <s v="SATIŞ"/>
    <s v="POS"/>
    <n v="0.25"/>
    <n v="350"/>
    <n v="87.5"/>
    <n v="0"/>
    <n v="0.25"/>
    <m/>
    <n v="350"/>
    <m/>
    <n v="0"/>
    <n v="0"/>
    <n v="103956.16276015203"/>
  </r>
  <r>
    <d v="2025-11-06T00:00:00"/>
    <x v="4"/>
    <s v="İPEK BİBER"/>
    <m/>
    <x v="5"/>
    <s v="ST00000000130"/>
    <s v="SATIŞ"/>
    <s v="POS"/>
    <n v="0.5"/>
    <n v="500"/>
    <n v="250"/>
    <n v="0"/>
    <n v="0.5"/>
    <m/>
    <n v="500"/>
    <m/>
    <n v="0"/>
    <n v="0"/>
    <n v="103956.16276015203"/>
  </r>
  <r>
    <d v="2025-11-06T00:00:00"/>
    <x v="4"/>
    <s v="DOLMALIK KURU PATLICAN"/>
    <m/>
    <x v="5"/>
    <s v="ST00000000130"/>
    <s v="SATIŞ"/>
    <s v="POS"/>
    <n v="1"/>
    <n v="240"/>
    <n v="240"/>
    <n v="0"/>
    <n v="1"/>
    <m/>
    <n v="240"/>
    <m/>
    <n v="0"/>
    <n v="0"/>
    <n v="103956.16276015203"/>
  </r>
  <r>
    <d v="2025-11-06T00:00:00"/>
    <x v="4"/>
    <s v="HİBİSKUS"/>
    <m/>
    <x v="5"/>
    <s v="ST00000000131"/>
    <s v="SATIŞ"/>
    <s v="POS"/>
    <n v="0.1"/>
    <n v="600"/>
    <n v="60"/>
    <n v="0"/>
    <n v="1"/>
    <m/>
    <n v="60"/>
    <m/>
    <n v="0"/>
    <n v="0"/>
    <n v="103956.16276015203"/>
  </r>
  <r>
    <d v="2025-11-06T00:00:00"/>
    <x v="4"/>
    <s v="FINDIK BULACAK (13-15)"/>
    <m/>
    <x v="5"/>
    <s v="ST00000000131"/>
    <s v="SATIŞ"/>
    <s v="POS"/>
    <n v="8.5000000000000006E-2"/>
    <n v="1150"/>
    <n v="97.75"/>
    <n v="0"/>
    <n v="8.5000000000000006E-2"/>
    <m/>
    <n v="1150"/>
    <m/>
    <n v="0"/>
    <n v="0"/>
    <n v="103956.16276015203"/>
  </r>
  <r>
    <d v="2025-11-06T00:00:00"/>
    <x v="4"/>
    <s v="ZENCEFİL TOZ"/>
    <m/>
    <x v="5"/>
    <s v="ST00000000132"/>
    <s v="SATIŞ"/>
    <s v="POS"/>
    <n v="0.11600000000000001"/>
    <n v="360"/>
    <n v="41.760000000000005"/>
    <n v="0"/>
    <n v="0.11600000000000001"/>
    <m/>
    <n v="360"/>
    <m/>
    <n v="0"/>
    <n v="0"/>
    <n v="103956.16276015203"/>
  </r>
  <r>
    <d v="2025-11-06T00:00:00"/>
    <x v="4"/>
    <s v="ZERDEÇAL TOZ"/>
    <m/>
    <x v="5"/>
    <s v="ST00000000132"/>
    <s v="SATIŞ"/>
    <s v="POS"/>
    <n v="0.126"/>
    <n v="250"/>
    <n v="31.5"/>
    <n v="0"/>
    <n v="0.126"/>
    <m/>
    <n v="250"/>
    <m/>
    <n v="0"/>
    <n v="0"/>
    <n v="103956.16276015203"/>
  </r>
  <r>
    <d v="2025-11-06T00:00:00"/>
    <x v="4"/>
    <s v="IHLAMUR YAPRAK"/>
    <m/>
    <x v="5"/>
    <s v="ST00000000132"/>
    <s v="SATIŞ"/>
    <s v="POS"/>
    <n v="0.05"/>
    <n v="2600"/>
    <n v="130"/>
    <n v="0"/>
    <n v="1"/>
    <m/>
    <n v="130"/>
    <m/>
    <n v="0"/>
    <n v="0"/>
    <n v="103956.16276015203"/>
  </r>
  <r>
    <d v="2025-11-06T00:00:00"/>
    <x v="4"/>
    <s v="DOLMALIK KURU PATLICAN"/>
    <m/>
    <x v="5"/>
    <s v="ST00000000132"/>
    <s v="SATIŞ"/>
    <s v="POS"/>
    <n v="1"/>
    <n v="240"/>
    <n v="240"/>
    <n v="0"/>
    <n v="1"/>
    <m/>
    <n v="240"/>
    <m/>
    <n v="0"/>
    <n v="0"/>
    <n v="103956.16276015203"/>
  </r>
  <r>
    <d v="2025-11-06T00:00:00"/>
    <x v="4"/>
    <s v="KEKİK LÜX"/>
    <m/>
    <x v="5"/>
    <s v="ST00000000132"/>
    <s v="SATIŞ"/>
    <s v="POS"/>
    <n v="4.3999999999999997E-2"/>
    <n v="760"/>
    <n v="33.44"/>
    <n v="0"/>
    <n v="4.3999999999999997E-2"/>
    <m/>
    <n v="760"/>
    <m/>
    <n v="0"/>
    <n v="0"/>
    <n v="103956.16276015203"/>
  </r>
  <r>
    <d v="2025-11-06T00:00:00"/>
    <x v="4"/>
    <s v="TOMBUL KESE ORGANİK 500 GR"/>
    <m/>
    <x v="5"/>
    <s v="ST00000000132"/>
    <s v="SATIŞ"/>
    <s v="POS"/>
    <n v="1"/>
    <n v="260"/>
    <n v="260"/>
    <n v="0"/>
    <n v="1"/>
    <m/>
    <n v="260"/>
    <m/>
    <n v="0"/>
    <n v="0"/>
    <n v="103956.16276015203"/>
  </r>
  <r>
    <d v="2025-11-06T00:00:00"/>
    <x v="4"/>
    <s v="DOMATES KURUSU"/>
    <m/>
    <x v="5"/>
    <s v="ST00000000132"/>
    <s v="SATIŞ"/>
    <s v="POS"/>
    <n v="0.25"/>
    <n v="380"/>
    <n v="95"/>
    <n v="0"/>
    <n v="1"/>
    <m/>
    <n v="95"/>
    <m/>
    <n v="0"/>
    <n v="0"/>
    <n v="103956.16276015203"/>
  </r>
  <r>
    <d v="2025-11-06T00:00:00"/>
    <x v="4"/>
    <s v="İPEK BİBER"/>
    <m/>
    <x v="1"/>
    <s v="ST00000000133"/>
    <s v="SATIŞ"/>
    <s v="NAKİT"/>
    <n v="0.2"/>
    <n v="500"/>
    <n v="0"/>
    <n v="0"/>
    <n v="0.2"/>
    <m/>
    <n v="500"/>
    <m/>
    <n v="100"/>
    <n v="0"/>
    <n v="104056.16276015203"/>
  </r>
  <r>
    <d v="2025-11-06T00:00:00"/>
    <x v="4"/>
    <s v="DOLMALIK KURU TATLI KIRMIZI BİBER"/>
    <m/>
    <x v="5"/>
    <s v="ST00000000134"/>
    <s v="SATIŞ"/>
    <s v="POS"/>
    <n v="1"/>
    <n v="200"/>
    <n v="200"/>
    <n v="0"/>
    <n v="1"/>
    <m/>
    <n v="200"/>
    <m/>
    <n v="0"/>
    <n v="0"/>
    <n v="104056.16276015203"/>
  </r>
  <r>
    <d v="2025-11-06T00:00:00"/>
    <x v="4"/>
    <s v="DOLMALIK KURU ACI BİBER"/>
    <m/>
    <x v="5"/>
    <s v="ST00000000134"/>
    <s v="SATIŞ"/>
    <s v="POS"/>
    <n v="1"/>
    <n v="200"/>
    <n v="200"/>
    <n v="0"/>
    <n v="1"/>
    <m/>
    <n v="200"/>
    <m/>
    <n v="0"/>
    <n v="0"/>
    <n v="104056.16276015203"/>
  </r>
  <r>
    <d v="2025-11-07T00:00:00"/>
    <x v="4"/>
    <s v="SALÇA ACI (EV YAPIMI)"/>
    <m/>
    <x v="5"/>
    <s v="ST00000000135"/>
    <s v="SATIŞ"/>
    <s v="POS"/>
    <n v="3.2250000000000001"/>
    <n v="180"/>
    <n v="580.5"/>
    <n v="0"/>
    <n v="3.2250000000000001"/>
    <m/>
    <n v="180"/>
    <m/>
    <n v="0"/>
    <n v="0"/>
    <n v="104056.16276015203"/>
  </r>
  <r>
    <d v="2025-11-07T00:00:00"/>
    <x v="4"/>
    <s v="HİBİSKUS"/>
    <m/>
    <x v="1"/>
    <s v="ST00000000136"/>
    <s v="SATIŞ"/>
    <s v="NAKİT"/>
    <n v="0.1"/>
    <n v="600"/>
    <n v="0"/>
    <n v="0"/>
    <n v="1"/>
    <m/>
    <n v="60"/>
    <m/>
    <n v="60"/>
    <n v="0"/>
    <n v="104116.16276015203"/>
  </r>
  <r>
    <d v="2025-11-07T00:00:00"/>
    <x v="4"/>
    <s v="ÇUBUK TARÇIN"/>
    <m/>
    <x v="1"/>
    <s v="ST00000000136"/>
    <s v="SATIŞ"/>
    <s v="NAKİT"/>
    <n v="0.1"/>
    <n v="650"/>
    <n v="0"/>
    <n v="0"/>
    <n v="1"/>
    <m/>
    <n v="65"/>
    <m/>
    <n v="65"/>
    <n v="0"/>
    <n v="104181.16276015203"/>
  </r>
  <r>
    <d v="2025-11-07T00:00:00"/>
    <x v="4"/>
    <s v="ZERDEÇAL TOZ"/>
    <m/>
    <x v="1"/>
    <s v="ST00000000136"/>
    <s v="SATIŞ"/>
    <s v="NAKİT"/>
    <n v="0.1"/>
    <n v="250"/>
    <n v="0"/>
    <n v="0"/>
    <n v="0.1"/>
    <m/>
    <n v="250"/>
    <m/>
    <n v="25"/>
    <n v="0"/>
    <n v="104206.16276015203"/>
  </r>
  <r>
    <d v="2025-11-07T00:00:00"/>
    <x v="4"/>
    <s v="SOSLU MISIR YERLİ"/>
    <m/>
    <x v="1"/>
    <s v="ST00000000136"/>
    <s v="SATIŞ"/>
    <s v="NAKİT"/>
    <n v="7.0000000000000007E-2"/>
    <n v="150"/>
    <n v="0"/>
    <n v="0"/>
    <n v="7.0000000000000007E-2"/>
    <m/>
    <n v="150"/>
    <m/>
    <n v="10.500000000000002"/>
    <n v="0"/>
    <n v="104216.66276015203"/>
  </r>
  <r>
    <d v="2025-11-07T00:00:00"/>
    <x v="4"/>
    <s v="YENİBAHAR TOZ"/>
    <m/>
    <x v="1"/>
    <s v="ST00000000137"/>
    <s v="SATIŞ"/>
    <s v="NAKİT"/>
    <n v="8.5999999999999993E-2"/>
    <n v="770"/>
    <n v="0"/>
    <n v="0"/>
    <n v="8.5999999999999993E-2"/>
    <m/>
    <n v="770"/>
    <m/>
    <n v="66.22"/>
    <n v="0"/>
    <n v="104282.88276015203"/>
  </r>
  <r>
    <d v="2025-11-07T00:00:00"/>
    <x v="4"/>
    <s v="DOMATES KURUSU"/>
    <m/>
    <x v="1"/>
    <s v="ST00000000138"/>
    <s v="SATIŞ"/>
    <s v="NAKİT"/>
    <n v="0.25"/>
    <n v="380"/>
    <n v="0"/>
    <n v="0"/>
    <n v="1"/>
    <m/>
    <n v="95"/>
    <m/>
    <n v="95"/>
    <n v="0"/>
    <n v="104377.88276015203"/>
  </r>
  <r>
    <d v="2025-11-07T00:00:00"/>
    <x v="4"/>
    <s v="KARABİBER ÇEKİLMİŞ"/>
    <m/>
    <x v="1"/>
    <s v="ST00000000139"/>
    <s v="SATIŞ"/>
    <s v="NAKİT"/>
    <n v="0.156"/>
    <n v="640"/>
    <n v="0"/>
    <n v="0"/>
    <n v="0.156"/>
    <m/>
    <n v="640"/>
    <m/>
    <n v="99.84"/>
    <n v="0"/>
    <n v="104477.72276015203"/>
  </r>
  <r>
    <d v="2025-11-07T00:00:00"/>
    <x v="4"/>
    <s v="İRİ KABAK ÇEKİRDEĞİ TUZSUZ (KAVRULMUŞ)"/>
    <m/>
    <x v="1"/>
    <s v="ST00000000140"/>
    <s v="SATIŞ"/>
    <s v="NAKİT"/>
    <n v="0.25900000000000001"/>
    <n v="350"/>
    <n v="0"/>
    <n v="0"/>
    <n v="0.25900000000000001"/>
    <m/>
    <n v="350"/>
    <m/>
    <n v="90.65"/>
    <n v="0"/>
    <n v="104568.37276015202"/>
  </r>
  <r>
    <d v="2025-11-07T00:00:00"/>
    <x v="4"/>
    <s v="KARANFİL"/>
    <m/>
    <x v="1"/>
    <s v="ST00000000140"/>
    <s v="SATIŞ"/>
    <s v="NAKİT"/>
    <n v="0.05"/>
    <n v="1100"/>
    <n v="0"/>
    <n v="0"/>
    <n v="1"/>
    <m/>
    <n v="55"/>
    <m/>
    <n v="55"/>
    <n v="0"/>
    <n v="104623.37276015202"/>
  </r>
  <r>
    <d v="2025-11-07T00:00:00"/>
    <x v="4"/>
    <s v="ÖZBEK ÜZÜMÜ"/>
    <m/>
    <x v="1"/>
    <s v="ST00000000141"/>
    <s v="SATIŞ"/>
    <s v="NAKİT"/>
    <n v="0.502"/>
    <n v="520"/>
    <n v="0"/>
    <n v="0"/>
    <n v="0.502"/>
    <m/>
    <n v="520"/>
    <m/>
    <n v="261.04000000000002"/>
    <n v="0"/>
    <n v="104884.41276015202"/>
  </r>
  <r>
    <d v="2025-11-07T00:00:00"/>
    <x v="4"/>
    <s v="KUDÜS HURMASI JUMBO"/>
    <m/>
    <x v="1"/>
    <s v="ST00000000141"/>
    <s v="SATIŞ"/>
    <s v="NAKİT"/>
    <n v="0.58799999999999997"/>
    <n v="670"/>
    <n v="0"/>
    <n v="0"/>
    <n v="0.58799999999999997"/>
    <m/>
    <n v="670"/>
    <m/>
    <n v="393.96"/>
    <n v="0"/>
    <n v="105278.37276015202"/>
  </r>
  <r>
    <d v="2025-11-07T00:00:00"/>
    <x v="4"/>
    <s v="NBN 2,5 KG İNCİR"/>
    <m/>
    <x v="1"/>
    <s v="ST00000000141"/>
    <s v="SATIŞ"/>
    <s v="NAKİT"/>
    <n v="0.36599999999999999"/>
    <n v="600"/>
    <n v="0"/>
    <n v="0"/>
    <n v="0.36599999999999999"/>
    <m/>
    <n v="600"/>
    <m/>
    <n v="219.6"/>
    <n v="0"/>
    <n v="105497.97276015203"/>
  </r>
  <r>
    <d v="2025-11-07T00:00:00"/>
    <x v="4"/>
    <s v="TÜDAB KEÇİ BOYNUZU (DÖKME)"/>
    <m/>
    <x v="1"/>
    <s v="ST00000000141"/>
    <s v="SATIŞ"/>
    <s v="NAKİT"/>
    <n v="0.19800000000000001"/>
    <n v="350"/>
    <n v="0"/>
    <n v="0"/>
    <n v="0.19800000000000001"/>
    <m/>
    <n v="350"/>
    <m/>
    <n v="69.3"/>
    <n v="0"/>
    <n v="105567.27276015203"/>
  </r>
  <r>
    <d v="2025-11-07T00:00:00"/>
    <x v="4"/>
    <s v="DERME GÜN KURUSU KAYISI JUMBO"/>
    <m/>
    <x v="1"/>
    <s v="ST00000000141"/>
    <s v="SATIŞ"/>
    <s v="NAKİT"/>
    <n v="0.39600000000000002"/>
    <n v="930"/>
    <n v="0"/>
    <n v="0"/>
    <n v="0.39600000000000002"/>
    <m/>
    <n v="930"/>
    <m/>
    <n v="368.28000000000003"/>
    <n v="0"/>
    <n v="105935.55276015203"/>
  </r>
  <r>
    <d v="2025-11-07T00:00:00"/>
    <x v="4"/>
    <s v="CEVİZLİ SUCUK ATOM (SARI)"/>
    <m/>
    <x v="1"/>
    <s v="ST00000000141"/>
    <s v="SATIŞ"/>
    <s v="NAKİT"/>
    <n v="0.47799999999999998"/>
    <n v="290"/>
    <n v="0"/>
    <n v="0"/>
    <n v="0.47799999999999998"/>
    <m/>
    <n v="290"/>
    <m/>
    <n v="138.62"/>
    <n v="0"/>
    <n v="106074.17276015203"/>
  </r>
  <r>
    <d v="2025-11-07T00:00:00"/>
    <x v="4"/>
    <s v="ŞİFAVER ALOE VERA HATAY SABUNU"/>
    <m/>
    <x v="1"/>
    <s v="ST00000000141"/>
    <s v="SATIŞ"/>
    <s v="NAKİT"/>
    <n v="1"/>
    <n v="40"/>
    <n v="0"/>
    <n v="0"/>
    <n v="1"/>
    <m/>
    <n v="40"/>
    <m/>
    <n v="40"/>
    <n v="0"/>
    <n v="106114.17276015203"/>
  </r>
  <r>
    <d v="2025-11-07T00:00:00"/>
    <x v="4"/>
    <s v="HAŞİROĞLU TARHANA CİPS"/>
    <m/>
    <x v="1"/>
    <s v="ST00000000141"/>
    <s v="SATIŞ"/>
    <s v="NAKİT"/>
    <n v="2"/>
    <n v="250"/>
    <n v="0"/>
    <n v="0"/>
    <n v="2"/>
    <m/>
    <n v="250"/>
    <m/>
    <n v="500"/>
    <n v="0"/>
    <n v="106614.17276015203"/>
  </r>
  <r>
    <d v="2025-11-07T00:00:00"/>
    <x v="4"/>
    <s v="ZERDEÇAL TOZ"/>
    <m/>
    <x v="5"/>
    <s v="ST00000000142"/>
    <s v="SATIŞ"/>
    <s v="POS"/>
    <n v="0.09"/>
    <n v="250"/>
    <n v="22.5"/>
    <n v="0"/>
    <n v="0.09"/>
    <m/>
    <n v="250"/>
    <m/>
    <n v="0"/>
    <n v="0"/>
    <n v="106614.17276015203"/>
  </r>
  <r>
    <d v="2025-11-07T00:00:00"/>
    <x v="4"/>
    <s v="EVLİK BİBER"/>
    <m/>
    <x v="5"/>
    <s v="ST00000000142"/>
    <s v="SATIŞ"/>
    <s v="POS"/>
    <n v="8.5999999999999993E-2"/>
    <n v="380"/>
    <n v="32.68"/>
    <n v="0"/>
    <n v="8.5999999999999993E-2"/>
    <m/>
    <n v="380"/>
    <m/>
    <n v="0"/>
    <n v="0"/>
    <n v="106614.17276015203"/>
  </r>
  <r>
    <d v="2025-11-07T00:00:00"/>
    <x v="4"/>
    <s v="KİMYON ÇEKİLMİŞ"/>
    <m/>
    <x v="5"/>
    <s v="ST00000000142"/>
    <s v="SATIŞ"/>
    <s v="POS"/>
    <n v="0.122"/>
    <n v="390"/>
    <n v="47.58"/>
    <n v="0"/>
    <n v="0.122"/>
    <m/>
    <n v="390"/>
    <m/>
    <n v="0"/>
    <n v="0"/>
    <n v="106614.17276015203"/>
  </r>
  <r>
    <d v="2025-11-07T00:00:00"/>
    <x v="4"/>
    <s v="KEKİK LÜX"/>
    <m/>
    <x v="5"/>
    <s v="ST00000000142"/>
    <s v="SATIŞ"/>
    <s v="POS"/>
    <n v="6.4000000000000001E-2"/>
    <n v="760"/>
    <n v="48.64"/>
    <n v="0"/>
    <n v="6.4000000000000001E-2"/>
    <m/>
    <n v="760"/>
    <m/>
    <n v="0"/>
    <n v="0"/>
    <n v="106614.17276015203"/>
  </r>
  <r>
    <d v="2025-11-08T00:00:00"/>
    <x v="1"/>
    <m/>
    <s v="KIRTASİYE GİDERİ"/>
    <x v="2"/>
    <s v="FT00000000021"/>
    <s v="TR - RULO ETİKETLER"/>
    <s v="K.K."/>
    <n v="1"/>
    <n v="373.72"/>
    <n v="0"/>
    <n v="373.72"/>
    <m/>
    <n v="1"/>
    <m/>
    <n v="373.72"/>
    <n v="0"/>
    <n v="0"/>
    <n v="106614.17276015203"/>
  </r>
  <r>
    <d v="2025-11-08T00:00:00"/>
    <x v="3"/>
    <s v="ORNATE KARINCA YUMURTASI TÜY DÖKÜCÜ KREM 150 ML"/>
    <m/>
    <x v="2"/>
    <s v="FT00000000022"/>
    <s v="TR"/>
    <s v="K.K."/>
    <n v="3"/>
    <n v="141.02000000000001"/>
    <n v="0"/>
    <n v="423.06000000000006"/>
    <m/>
    <n v="3"/>
    <m/>
    <n v="141.02000000000001"/>
    <n v="0"/>
    <n v="0"/>
    <n v="106614.17276015203"/>
  </r>
  <r>
    <d v="2025-11-08T00:00:00"/>
    <x v="3"/>
    <s v="ÇİNKOPAST PORTAKALLI PASTİL 12 ADET"/>
    <m/>
    <x v="2"/>
    <s v="FT00000000022"/>
    <s v="TR"/>
    <s v="K.K."/>
    <n v="3"/>
    <n v="56.696666666666665"/>
    <n v="0"/>
    <n v="170.09"/>
    <m/>
    <n v="3"/>
    <m/>
    <n v="56.696666666666665"/>
    <n v="0"/>
    <n v="0"/>
    <n v="106614.17276015203"/>
  </r>
  <r>
    <d v="2025-11-08T00:00:00"/>
    <x v="1"/>
    <m/>
    <s v="YOL GİDERLERİ"/>
    <x v="2"/>
    <s v="FT00000000022"/>
    <s v="TR - KARGO BEDELİ"/>
    <s v="K.K."/>
    <n v="1"/>
    <n v="44.9"/>
    <n v="0"/>
    <n v="44.9"/>
    <m/>
    <n v="1"/>
    <m/>
    <n v="44.9"/>
    <n v="0"/>
    <n v="0"/>
    <n v="106614.17276015203"/>
  </r>
  <r>
    <d v="2025-11-08T00:00:00"/>
    <x v="3"/>
    <s v="MATCHA DETOX ÇAYI"/>
    <m/>
    <x v="2"/>
    <s v="FT00000000023"/>
    <s v="TR"/>
    <s v="K.K."/>
    <n v="3"/>
    <n v="135.59"/>
    <n v="0"/>
    <n v="406.77"/>
    <m/>
    <n v="3"/>
    <m/>
    <n v="135.59"/>
    <n v="0"/>
    <n v="0"/>
    <n v="106614.17276015203"/>
  </r>
  <r>
    <d v="2025-11-08T00:00:00"/>
    <x v="3"/>
    <s v="MATCHA KAYISI VE YEŞİL ÇAYLI DETOX ÇAYI"/>
    <m/>
    <x v="2"/>
    <s v="FT00000000023"/>
    <s v="TR"/>
    <s v="K.K."/>
    <n v="3"/>
    <n v="124.17"/>
    <n v="0"/>
    <n v="372.51"/>
    <m/>
    <n v="3"/>
    <m/>
    <n v="124.17"/>
    <n v="0"/>
    <n v="0"/>
    <n v="106614.17276015203"/>
  </r>
  <r>
    <d v="2025-11-08T00:00:00"/>
    <x v="3"/>
    <s v="CLASY CARE AYAK VE TOPUK ÇATLAK KREMİ 100 ML"/>
    <m/>
    <x v="2"/>
    <s v="FT00000000023"/>
    <s v="TR"/>
    <s v="K.K."/>
    <n v="2"/>
    <n v="170.97"/>
    <n v="0"/>
    <n v="341.94"/>
    <m/>
    <n v="2"/>
    <m/>
    <n v="170.97"/>
    <n v="0"/>
    <n v="0"/>
    <n v="106614.17276015203"/>
  </r>
  <r>
    <d v="2025-11-08T00:00:00"/>
    <x v="4"/>
    <s v="SOSLU MISIR YERLİ"/>
    <m/>
    <x v="1"/>
    <s v="ST00000000143"/>
    <s v="SATIŞ"/>
    <s v="NAKİT"/>
    <n v="0.13400000000000001"/>
    <n v="150"/>
    <n v="0"/>
    <n v="0"/>
    <n v="0.13400000000000001"/>
    <m/>
    <n v="150"/>
    <m/>
    <n v="20.100000000000001"/>
    <n v="0"/>
    <n v="106634.27276015203"/>
  </r>
  <r>
    <d v="2025-11-08T00:00:00"/>
    <x v="4"/>
    <s v="LEBLEBİ ŞEKER LÜX"/>
    <m/>
    <x v="1"/>
    <s v="ST00000000143"/>
    <s v="SATIŞ"/>
    <s v="NAKİT"/>
    <n v="0.182"/>
    <n v="190"/>
    <n v="0"/>
    <n v="0"/>
    <n v="0.182"/>
    <m/>
    <n v="190"/>
    <m/>
    <n v="34.58"/>
    <n v="0"/>
    <n v="106668.85276015203"/>
  </r>
  <r>
    <d v="2025-11-08T00:00:00"/>
    <x v="4"/>
    <s v="SEYİDOĞLU TAHİN 550 g"/>
    <m/>
    <x v="1"/>
    <s v="ST00000000143"/>
    <s v="SATIŞ"/>
    <s v="NAKİT"/>
    <n v="1"/>
    <n v="160"/>
    <n v="0"/>
    <n v="0"/>
    <n v="1"/>
    <m/>
    <n v="160"/>
    <m/>
    <n v="160"/>
    <n v="0"/>
    <n v="106828.85276015203"/>
  </r>
  <r>
    <d v="2025-11-08T00:00:00"/>
    <x v="4"/>
    <s v="DOMATES SALÇASI"/>
    <m/>
    <x v="1"/>
    <s v="ST00000000143"/>
    <s v="SATIŞ"/>
    <s v="NAKİT"/>
    <n v="1.042"/>
    <n v="130"/>
    <n v="0"/>
    <n v="0"/>
    <n v="1.042"/>
    <m/>
    <n v="130"/>
    <m/>
    <n v="135.46"/>
    <n v="0"/>
    <n v="106964.31276015204"/>
  </r>
  <r>
    <d v="2025-11-08T00:00:00"/>
    <x v="4"/>
    <s v="HİNDİSTAN CEVİZİ ( İRİ )"/>
    <m/>
    <x v="1"/>
    <s v="ST00000000143"/>
    <s v="SATIŞ"/>
    <s v="NAKİT"/>
    <n v="0.1"/>
    <n v="600"/>
    <n v="0"/>
    <n v="0"/>
    <n v="1"/>
    <m/>
    <n v="60"/>
    <m/>
    <n v="60"/>
    <n v="0"/>
    <n v="107024.31276015204"/>
  </r>
  <r>
    <d v="2025-11-08T00:00:00"/>
    <x v="4"/>
    <s v="KİMYON ÇEKİLMİŞ"/>
    <m/>
    <x v="1"/>
    <s v="ST00000000144"/>
    <s v="SATIŞ"/>
    <s v="NAKİT"/>
    <n v="0.51300000000000001"/>
    <n v="390"/>
    <n v="0"/>
    <n v="0"/>
    <n v="0.51300000000000001"/>
    <m/>
    <n v="390"/>
    <m/>
    <n v="200.07"/>
    <n v="0"/>
    <n v="107224.38276015205"/>
  </r>
  <r>
    <d v="2025-11-08T00:00:00"/>
    <x v="4"/>
    <s v="KARABİBER ÇEKİLMİŞ"/>
    <m/>
    <x v="1"/>
    <s v="ST00000000144"/>
    <s v="SATIŞ"/>
    <s v="NAKİT"/>
    <n v="0.313"/>
    <n v="640"/>
    <n v="0"/>
    <n v="0"/>
    <n v="0.313"/>
    <m/>
    <n v="640"/>
    <m/>
    <n v="200.32"/>
    <n v="0"/>
    <n v="107424.70276015205"/>
  </r>
  <r>
    <d v="2025-11-08T00:00:00"/>
    <x v="4"/>
    <s v="DOLMALIK SARI BİBER"/>
    <m/>
    <x v="1"/>
    <s v="ST00000000144"/>
    <s v="SATIŞ"/>
    <s v="NAKİT"/>
    <n v="1"/>
    <n v="200"/>
    <n v="0"/>
    <n v="0"/>
    <n v="1"/>
    <m/>
    <n v="200"/>
    <m/>
    <n v="200"/>
    <n v="0"/>
    <n v="107624.70276015205"/>
  </r>
  <r>
    <d v="2025-11-08T00:00:00"/>
    <x v="4"/>
    <s v="DOMATES SALÇASI"/>
    <m/>
    <x v="1"/>
    <s v="ST00000000144"/>
    <s v="SATIŞ"/>
    <s v="NAKİT"/>
    <n v="5"/>
    <n v="180"/>
    <n v="0"/>
    <n v="0"/>
    <n v="5"/>
    <m/>
    <n v="180"/>
    <m/>
    <n v="900"/>
    <n v="0"/>
    <n v="108524.70276015205"/>
  </r>
  <r>
    <d v="2025-11-08T00:00:00"/>
    <x v="4"/>
    <s v="DOLMALIK SARI BİBER"/>
    <m/>
    <x v="1"/>
    <s v="ST00000000144"/>
    <s v="SATIŞ"/>
    <s v="NAKİT"/>
    <n v="1"/>
    <n v="200"/>
    <n v="0"/>
    <n v="0"/>
    <n v="1"/>
    <m/>
    <n v="200"/>
    <m/>
    <n v="200"/>
    <n v="0"/>
    <n v="108724.70276015205"/>
  </r>
  <r>
    <d v="2025-11-08T00:00:00"/>
    <x v="4"/>
    <s v="ŞENAY ÇAM KOZALAĞI PEKMEZİ 800 G"/>
    <m/>
    <x v="1"/>
    <s v="ST00000000144"/>
    <s v="SATIŞ"/>
    <s v="NAKİT"/>
    <n v="1"/>
    <n v="180"/>
    <n v="0"/>
    <n v="0"/>
    <n v="1"/>
    <m/>
    <n v="180"/>
    <m/>
    <n v="180"/>
    <n v="0"/>
    <n v="108904.70276015205"/>
  </r>
  <r>
    <d v="2025-11-08T00:00:00"/>
    <x v="4"/>
    <s v="LOBAS SAF NAR EKŞİSİ 1 KG"/>
    <m/>
    <x v="1"/>
    <s v="ST00000000144"/>
    <s v="SATIŞ"/>
    <s v="NAKİT"/>
    <n v="1"/>
    <n v="295"/>
    <n v="0"/>
    <n v="0"/>
    <n v="1"/>
    <m/>
    <n v="295"/>
    <m/>
    <n v="295"/>
    <n v="0"/>
    <n v="109199.70276015205"/>
  </r>
  <r>
    <d v="2025-11-08T00:00:00"/>
    <x v="4"/>
    <s v="SOSLU MISIR YERLİ"/>
    <m/>
    <x v="1"/>
    <s v="ST00000000144"/>
    <s v="SATIŞ"/>
    <s v="NAKİT"/>
    <n v="0.25800000000000001"/>
    <n v="150"/>
    <n v="0"/>
    <n v="0"/>
    <n v="0.25800000000000001"/>
    <m/>
    <n v="150"/>
    <m/>
    <n v="38.700000000000003"/>
    <n v="0"/>
    <n v="109238.40276015205"/>
  </r>
  <r>
    <d v="2025-11-08T00:00:00"/>
    <x v="4"/>
    <s v="CEVİZLİ SUCUK ATOM (SARI)"/>
    <m/>
    <x v="1"/>
    <s v="ST00000000144"/>
    <s v="SATIŞ"/>
    <s v="NAKİT"/>
    <n v="0.58399999999999996"/>
    <n v="290"/>
    <n v="0"/>
    <n v="0"/>
    <n v="0.58399999999999996"/>
    <m/>
    <n v="290"/>
    <m/>
    <n v="169.35999999999999"/>
    <n v="0"/>
    <n v="109407.76276015205"/>
  </r>
  <r>
    <d v="2025-11-08T00:00:00"/>
    <x v="4"/>
    <s v="BADEM ÇİĞ "/>
    <m/>
    <x v="1"/>
    <s v="ST00000000144"/>
    <s v="SATIŞ"/>
    <s v="NAKİT"/>
    <n v="0.50800000000000001"/>
    <n v="650"/>
    <n v="0"/>
    <n v="0"/>
    <n v="0.50800000000000001"/>
    <m/>
    <n v="650"/>
    <m/>
    <n v="330.2"/>
    <n v="0"/>
    <n v="109737.96276015205"/>
  </r>
  <r>
    <d v="2025-11-08T00:00:00"/>
    <x v="4"/>
    <s v="FINDIK İÇİ ÇİĞ"/>
    <m/>
    <x v="1"/>
    <s v="ST00000000144"/>
    <s v="SATIŞ"/>
    <s v="NAKİT"/>
    <n v="0.30599999999999999"/>
    <n v="990"/>
    <n v="0"/>
    <n v="0"/>
    <n v="0.30599999999999999"/>
    <m/>
    <n v="990"/>
    <m/>
    <n v="302.94"/>
    <n v="0"/>
    <n v="110040.90276015205"/>
  </r>
  <r>
    <d v="2025-11-08T00:00:00"/>
    <x v="4"/>
    <s v="LEBLEBİ SARI ÖZEL LÜX ÇITIR"/>
    <m/>
    <x v="1"/>
    <s v="ST00000000144"/>
    <s v="SATIŞ"/>
    <s v="NAKİT"/>
    <n v="0.3"/>
    <n v="190"/>
    <n v="0"/>
    <n v="0"/>
    <n v="0.3"/>
    <m/>
    <n v="190"/>
    <m/>
    <n v="57"/>
    <n v="0"/>
    <n v="110097.90276015205"/>
  </r>
  <r>
    <d v="2025-11-08T00:00:00"/>
    <x v="4"/>
    <s v="FİSKOBİRLİK FINDIK EZMESİ 300 GR"/>
    <m/>
    <x v="1"/>
    <s v="ST00000000144"/>
    <s v="SATIŞ"/>
    <s v="NAKİT"/>
    <n v="1"/>
    <n v="220"/>
    <n v="0"/>
    <n v="0"/>
    <n v="1"/>
    <m/>
    <n v="220"/>
    <m/>
    <n v="220"/>
    <n v="0"/>
    <n v="110317.90276015205"/>
  </r>
  <r>
    <d v="2025-11-08T00:00:00"/>
    <x v="4"/>
    <s v="TÜDAB ANDIZ PEKMEZİ 450 GR"/>
    <m/>
    <x v="1"/>
    <s v="ST00000000144"/>
    <s v="SATIŞ"/>
    <s v="NAKİT"/>
    <n v="1"/>
    <n v="190"/>
    <n v="0"/>
    <n v="0"/>
    <n v="1"/>
    <m/>
    <n v="190"/>
    <m/>
    <n v="190"/>
    <n v="0"/>
    <n v="110507.90276015205"/>
  </r>
  <r>
    <d v="2025-11-08T00:00:00"/>
    <x v="4"/>
    <s v="KABUKLU CEVİZ (ŞİLİ)"/>
    <m/>
    <x v="1"/>
    <s v="ST00000000144"/>
    <s v="SATIŞ"/>
    <s v="NAKİT"/>
    <n v="1"/>
    <n v="300"/>
    <n v="0"/>
    <n v="0"/>
    <n v="1"/>
    <m/>
    <n v="300"/>
    <m/>
    <n v="300"/>
    <n v="0"/>
    <n v="110807.90276015205"/>
  </r>
  <r>
    <d v="2025-11-08T00:00:00"/>
    <x v="4"/>
    <s v="TÜDAB ACUR TURŞUSU"/>
    <m/>
    <x v="1"/>
    <s v="ST00000000144"/>
    <s v="SATIŞ"/>
    <s v="NAKİT"/>
    <n v="1"/>
    <n v="350"/>
    <n v="0"/>
    <n v="0"/>
    <n v="1"/>
    <m/>
    <n v="350"/>
    <m/>
    <n v="350"/>
    <n v="0"/>
    <n v="111157.90276015205"/>
  </r>
  <r>
    <d v="2025-11-08T00:00:00"/>
    <x v="4"/>
    <s v="DOLMALIK KURU PATLICAN"/>
    <m/>
    <x v="1"/>
    <s v="ST00000000144"/>
    <s v="SATIŞ"/>
    <s v="NAKİT"/>
    <n v="1"/>
    <n v="240"/>
    <n v="0"/>
    <n v="0"/>
    <n v="1"/>
    <m/>
    <n v="240"/>
    <m/>
    <n v="240"/>
    <n v="0"/>
    <n v="111397.90276015205"/>
  </r>
  <r>
    <d v="2025-11-08T00:00:00"/>
    <x v="4"/>
    <s v="DOLMALIK SARI BİBER"/>
    <m/>
    <x v="1"/>
    <s v="ST00000000144"/>
    <s v="SATIŞ"/>
    <s v="NAKİT"/>
    <n v="1"/>
    <n v="200"/>
    <n v="0"/>
    <n v="0"/>
    <n v="1"/>
    <m/>
    <n v="200"/>
    <m/>
    <n v="200"/>
    <n v="0"/>
    <n v="111597.90276015205"/>
  </r>
  <r>
    <d v="2025-11-08T00:00:00"/>
    <x v="4"/>
    <s v="İPEK BİBER"/>
    <m/>
    <x v="1"/>
    <s v="ST00000000144"/>
    <s v="SATIŞ"/>
    <s v="NAKİT"/>
    <n v="0.5"/>
    <n v="500"/>
    <n v="0"/>
    <n v="0"/>
    <n v="0.5"/>
    <m/>
    <n v="500"/>
    <m/>
    <n v="250"/>
    <n v="0"/>
    <n v="111847.90276015205"/>
  </r>
  <r>
    <d v="2025-11-08T00:00:00"/>
    <x v="4"/>
    <s v="GÜNAYDIN KAYA TUZU İNCE"/>
    <m/>
    <x v="1"/>
    <s v="ST00000000144"/>
    <s v="SATIŞ"/>
    <s v="NAKİT"/>
    <n v="0.5"/>
    <n v="80"/>
    <n v="0"/>
    <n v="0"/>
    <n v="1"/>
    <m/>
    <n v="40"/>
    <m/>
    <n v="40"/>
    <n v="0"/>
    <n v="111887.90276015205"/>
  </r>
  <r>
    <d v="2025-11-08T00:00:00"/>
    <x v="4"/>
    <s v="HİMALAYA TUZU PEMBE ÖĞÜTÜLMÜŞ"/>
    <m/>
    <x v="1"/>
    <s v="ST00000000144"/>
    <s v="SATIŞ"/>
    <s v="NAKİT"/>
    <n v="0.5"/>
    <n v="140"/>
    <n v="0"/>
    <n v="0"/>
    <n v="1"/>
    <m/>
    <n v="70"/>
    <m/>
    <n v="70"/>
    <n v="0"/>
    <n v="111957.90276015205"/>
  </r>
  <r>
    <d v="2025-11-08T00:00:00"/>
    <x v="4"/>
    <s v="KEKİK LÜX"/>
    <m/>
    <x v="1"/>
    <s v="ST00000000144"/>
    <s v="SATIŞ"/>
    <s v="NAKİT"/>
    <n v="0.14000000000000001"/>
    <n v="760"/>
    <n v="0"/>
    <n v="0"/>
    <n v="0.14000000000000001"/>
    <m/>
    <n v="760"/>
    <m/>
    <n v="106.4"/>
    <n v="0"/>
    <n v="112064.30276015204"/>
  </r>
  <r>
    <d v="2025-11-08T00:00:00"/>
    <x v="4"/>
    <s v="ŞİFAVER ALOE VERA HATAY SABUNU"/>
    <m/>
    <x v="1"/>
    <s v="ST00000000144"/>
    <s v="SATIŞ"/>
    <s v="NAKİT"/>
    <n v="3"/>
    <n v="40"/>
    <n v="0"/>
    <n v="0"/>
    <n v="3"/>
    <m/>
    <n v="40"/>
    <m/>
    <n v="120"/>
    <n v="0"/>
    <n v="112184.30276015204"/>
  </r>
  <r>
    <d v="2025-11-08T00:00:00"/>
    <x v="4"/>
    <s v="ZENCEFİL TOZ"/>
    <m/>
    <x v="1"/>
    <s v="ST00000000144"/>
    <s v="SATIŞ"/>
    <s v="NAKİT"/>
    <n v="0.19600000000000001"/>
    <n v="360"/>
    <n v="0"/>
    <n v="0"/>
    <n v="0.19600000000000001"/>
    <m/>
    <n v="360"/>
    <m/>
    <n v="70.56"/>
    <n v="0"/>
    <n v="112254.86276015204"/>
  </r>
  <r>
    <d v="2025-11-08T00:00:00"/>
    <x v="4"/>
    <s v="KAFFKA OSMANLI KAHVESİ 150 GR"/>
    <m/>
    <x v="1"/>
    <s v="ST00000000144"/>
    <s v="SATIŞ"/>
    <s v="NAKİT"/>
    <n v="1"/>
    <n v="65"/>
    <n v="0"/>
    <n v="0"/>
    <n v="1"/>
    <m/>
    <n v="65"/>
    <m/>
    <n v="65"/>
    <n v="0"/>
    <n v="112319.86276015204"/>
  </r>
  <r>
    <d v="2025-11-08T00:00:00"/>
    <x v="4"/>
    <s v="HİBİSKUS"/>
    <m/>
    <x v="1"/>
    <s v="ST00000000144"/>
    <s v="SATIŞ"/>
    <s v="NAKİT"/>
    <n v="0.1"/>
    <n v="600"/>
    <n v="0"/>
    <n v="0"/>
    <n v="1"/>
    <m/>
    <n v="60"/>
    <m/>
    <n v="60"/>
    <n v="0"/>
    <n v="112379.86276015204"/>
  </r>
  <r>
    <d v="2025-11-08T00:00:00"/>
    <x v="4"/>
    <s v="BİOBLAS SAÇ DÖKÜLMESİNE KARŞI BİTKİSEL ŞAMPUAN 1000 ML - YEŞİL "/>
    <m/>
    <x v="1"/>
    <s v="ST00000000144"/>
    <s v="SATIŞ"/>
    <s v="NAKİT"/>
    <n v="1"/>
    <n v="230"/>
    <n v="0"/>
    <n v="0"/>
    <n v="1"/>
    <m/>
    <n v="230"/>
    <m/>
    <n v="230"/>
    <n v="0"/>
    <n v="112609.86276015204"/>
  </r>
  <r>
    <d v="2025-11-08T00:00:00"/>
    <x v="4"/>
    <s v="TÜDAB KIŞ ÇAYI 200 GR"/>
    <m/>
    <x v="1"/>
    <s v="ST00000000144"/>
    <s v="SATIŞ"/>
    <s v="NAKİT"/>
    <n v="1"/>
    <n v="140"/>
    <n v="0"/>
    <n v="0"/>
    <n v="1"/>
    <m/>
    <n v="140"/>
    <m/>
    <n v="140"/>
    <n v="0"/>
    <n v="112749.86276015204"/>
  </r>
  <r>
    <d v="2025-11-08T00:00:00"/>
    <x v="4"/>
    <s v="İRİ BEYAZ KABAK ÇEKİRDEĞİ - NEVŞEHİR"/>
    <m/>
    <x v="1"/>
    <s v="ST00000000144"/>
    <s v="SATIŞ"/>
    <s v="NAKİT"/>
    <n v="0.57199999999999995"/>
    <n v="350"/>
    <n v="0"/>
    <n v="0"/>
    <n v="0.57199999999999995"/>
    <m/>
    <n v="350"/>
    <m/>
    <n v="200.2"/>
    <n v="0"/>
    <n v="112950.06276015204"/>
  </r>
  <r>
    <d v="2025-11-08T00:00:00"/>
    <x v="4"/>
    <s v="SALÇA ACI (EV YAPIMI)"/>
    <m/>
    <x v="1"/>
    <s v="ST00000000144"/>
    <s v="SATIŞ"/>
    <s v="NAKİT"/>
    <n v="1.1080000000000001"/>
    <n v="180"/>
    <n v="0"/>
    <n v="0"/>
    <n v="1.1080000000000001"/>
    <m/>
    <n v="180"/>
    <m/>
    <n v="199.44000000000003"/>
    <n v="0"/>
    <n v="113149.50276015204"/>
  </r>
  <r>
    <d v="2025-11-08T00:00:00"/>
    <x v="4"/>
    <s v="ZAHTER"/>
    <m/>
    <x v="1"/>
    <s v="ST00000000144"/>
    <s v="SATIŞ"/>
    <s v="NAKİT"/>
    <n v="8.2000000000000003E-2"/>
    <n v="400"/>
    <n v="0"/>
    <n v="0"/>
    <n v="8.2000000000000003E-2"/>
    <m/>
    <n v="400"/>
    <m/>
    <n v="32.800000000000004"/>
    <n v="0"/>
    <n v="113182.30276015204"/>
  </r>
  <r>
    <d v="2025-11-08T00:00:00"/>
    <x v="4"/>
    <s v="NAHİTA ALIÇ SİRKESİ 500 ML"/>
    <m/>
    <x v="1"/>
    <s v="ST00000000145"/>
    <s v="SATIŞ"/>
    <s v="NAKİT"/>
    <n v="1"/>
    <n v="140"/>
    <n v="0"/>
    <n v="0"/>
    <n v="1"/>
    <m/>
    <n v="140"/>
    <m/>
    <n v="140"/>
    <n v="0"/>
    <n v="113322.30276015204"/>
  </r>
  <r>
    <d v="2025-11-08T00:00:00"/>
    <x v="4"/>
    <s v="YENİ MAHSÜL PAPATYA"/>
    <m/>
    <x v="1"/>
    <s v="ST00000000145"/>
    <s v="SATIŞ"/>
    <s v="NAKİT"/>
    <n v="0.04"/>
    <n v="2250"/>
    <n v="0"/>
    <n v="0"/>
    <n v="1"/>
    <m/>
    <n v="90"/>
    <m/>
    <n v="90"/>
    <n v="0"/>
    <n v="113412.30276015204"/>
  </r>
  <r>
    <d v="2025-11-08T00:00:00"/>
    <x v="4"/>
    <s v="ZERDEÇAL TOZ"/>
    <m/>
    <x v="1"/>
    <s v="ST00000000147"/>
    <s v="SATIŞ"/>
    <s v="NAKİT"/>
    <n v="0.2"/>
    <n v="250"/>
    <n v="0"/>
    <n v="0"/>
    <n v="0.2"/>
    <m/>
    <n v="250"/>
    <m/>
    <n v="50"/>
    <n v="0"/>
    <n v="113462.30276015204"/>
  </r>
  <r>
    <d v="2025-11-08T00:00:00"/>
    <x v="4"/>
    <s v="ZENCEFİL TOZ"/>
    <m/>
    <x v="1"/>
    <s v="ST00000000147"/>
    <s v="SATIŞ"/>
    <s v="NAKİT"/>
    <n v="0.14000000000000001"/>
    <n v="360"/>
    <n v="0"/>
    <n v="0"/>
    <n v="0.14000000000000001"/>
    <m/>
    <n v="360"/>
    <m/>
    <n v="50.400000000000006"/>
    <n v="0"/>
    <n v="113512.70276015204"/>
  </r>
  <r>
    <d v="2025-11-08T00:00:00"/>
    <x v="4"/>
    <s v="İZMİR ÜZÜMÜ"/>
    <m/>
    <x v="1"/>
    <s v="ST00000000147"/>
    <s v="SATIŞ"/>
    <s v="NAKİT"/>
    <n v="0.4"/>
    <n v="250"/>
    <n v="0"/>
    <n v="0"/>
    <n v="0.4"/>
    <m/>
    <n v="250"/>
    <m/>
    <n v="100"/>
    <n v="0"/>
    <n v="113612.70276015204"/>
  </r>
  <r>
    <d v="2025-11-08T00:00:00"/>
    <x v="4"/>
    <s v="ADAÇAYI DEMET"/>
    <m/>
    <x v="5"/>
    <s v="ST00000000148"/>
    <s v="SATIŞ"/>
    <s v="POS"/>
    <n v="1"/>
    <n v="60"/>
    <n v="60"/>
    <n v="0"/>
    <n v="1"/>
    <m/>
    <n v="60"/>
    <m/>
    <n v="0"/>
    <n v="0"/>
    <n v="113612.70276015204"/>
  </r>
  <r>
    <d v="2025-11-08T00:00:00"/>
    <x v="4"/>
    <s v="HİBİSKUS"/>
    <m/>
    <x v="5"/>
    <s v="ST00000000148"/>
    <s v="SATIŞ"/>
    <s v="POS"/>
    <n v="0.1"/>
    <n v="600"/>
    <n v="60"/>
    <n v="0"/>
    <n v="1"/>
    <m/>
    <n v="60"/>
    <m/>
    <n v="0"/>
    <n v="0"/>
    <n v="113612.70276015204"/>
  </r>
  <r>
    <d v="2025-11-08T00:00:00"/>
    <x v="4"/>
    <s v="DOLMALIK KURU PATLICAN"/>
    <m/>
    <x v="5"/>
    <s v="ST00000000149"/>
    <s v="SATIŞ"/>
    <s v="POS"/>
    <n v="1"/>
    <n v="240"/>
    <n v="240"/>
    <n v="0"/>
    <n v="1"/>
    <m/>
    <n v="240"/>
    <m/>
    <n v="0"/>
    <n v="0"/>
    <n v="113612.70276015204"/>
  </r>
  <r>
    <d v="2025-11-08T00:00:00"/>
    <x v="4"/>
    <s v="DOLMALIK SARI BİBER"/>
    <m/>
    <x v="5"/>
    <s v="ST00000000149"/>
    <s v="SATIŞ"/>
    <s v="POS"/>
    <n v="1"/>
    <n v="200"/>
    <n v="200"/>
    <n v="0"/>
    <n v="1"/>
    <m/>
    <n v="200"/>
    <m/>
    <n v="0"/>
    <n v="0"/>
    <n v="113612.70276015204"/>
  </r>
  <r>
    <d v="2025-11-08T00:00:00"/>
    <x v="4"/>
    <s v="KİRAZ SAPI"/>
    <m/>
    <x v="5"/>
    <s v="ST00000000149"/>
    <s v="SATIŞ"/>
    <s v="POS"/>
    <n v="0.05"/>
    <n v="800"/>
    <n v="40"/>
    <n v="0"/>
    <n v="1"/>
    <m/>
    <n v="40"/>
    <m/>
    <n v="0"/>
    <n v="0"/>
    <n v="113612.70276015204"/>
  </r>
  <r>
    <d v="2025-11-08T00:00:00"/>
    <x v="4"/>
    <s v="WARITEX KABAK LİFİ ELDİVEN"/>
    <m/>
    <x v="1"/>
    <s v="ST00000000150"/>
    <s v="SATIŞ"/>
    <s v="NAKİT"/>
    <n v="1"/>
    <n v="100"/>
    <n v="0"/>
    <n v="0"/>
    <n v="1"/>
    <m/>
    <n v="100"/>
    <m/>
    <n v="100"/>
    <n v="0"/>
    <n v="113712.70276015204"/>
  </r>
  <r>
    <d v="2025-11-09T00:00:00"/>
    <x v="3"/>
    <s v="KAJU - TB"/>
    <m/>
    <x v="2"/>
    <n v="1"/>
    <s v="TATBAK MAĞAZA LTD."/>
    <s v="K.K."/>
    <n v="1.26"/>
    <n v="595"/>
    <n v="0"/>
    <n v="749.7"/>
    <m/>
    <n v="1.26"/>
    <m/>
    <n v="595"/>
    <n v="0"/>
    <n v="0"/>
    <n v="113712.70276015204"/>
  </r>
  <r>
    <d v="2025-11-09T00:00:00"/>
    <x v="3"/>
    <s v="LOKUM KARIŞIK - TB"/>
    <m/>
    <x v="2"/>
    <n v="1"/>
    <s v="TATBAK MAĞAZA LTD."/>
    <s v="K.K."/>
    <n v="1"/>
    <n v="139.5"/>
    <n v="0"/>
    <n v="139.5"/>
    <m/>
    <n v="1"/>
    <m/>
    <n v="139.5"/>
    <n v="0"/>
    <n v="0"/>
    <n v="113712.70276015204"/>
  </r>
  <r>
    <d v="2025-11-09T00:00:00"/>
    <x v="3"/>
    <s v="LOKUM SADE - TB"/>
    <m/>
    <x v="2"/>
    <n v="1"/>
    <s v="TATBAK MAĞAZA LTD."/>
    <s v="K.K."/>
    <n v="1.06"/>
    <n v="109.5"/>
    <n v="0"/>
    <n v="116.07000000000001"/>
    <m/>
    <n v="1.06"/>
    <m/>
    <n v="109.5"/>
    <n v="0"/>
    <n v="0"/>
    <n v="113712.70276015204"/>
  </r>
  <r>
    <d v="2025-11-09T00:00:00"/>
    <x v="3"/>
    <s v="LOKUM KARIŞIK - TB"/>
    <m/>
    <x v="2"/>
    <n v="1"/>
    <s v="TATBAK MAĞAZA LTD."/>
    <s v="K.K."/>
    <n v="1.1000000000000001"/>
    <n v="139.5"/>
    <n v="0"/>
    <n v="153.45000000000002"/>
    <m/>
    <n v="1.1000000000000001"/>
    <m/>
    <n v="139.5"/>
    <n v="0"/>
    <n v="0"/>
    <n v="113712.70276015204"/>
  </r>
  <r>
    <d v="2025-11-09T00:00:00"/>
    <x v="4"/>
    <s v="TÜRK KAHVESİ"/>
    <m/>
    <x v="5"/>
    <s v="ST00000000146"/>
    <s v="SATIŞ"/>
    <s v="POS"/>
    <n v="0.1"/>
    <n v="650"/>
    <n v="65"/>
    <n v="0"/>
    <n v="1"/>
    <m/>
    <n v="65"/>
    <m/>
    <n v="0"/>
    <n v="0"/>
    <n v="113712.70276015204"/>
  </r>
  <r>
    <d v="2025-11-09T00:00:00"/>
    <x v="4"/>
    <s v="KAFFKA DİBEK KAHVESİ 150 GR"/>
    <m/>
    <x v="5"/>
    <s v="ST00000000146"/>
    <s v="SATIŞ"/>
    <s v="POS"/>
    <n v="1"/>
    <n v="65"/>
    <n v="65"/>
    <n v="0"/>
    <n v="1"/>
    <m/>
    <n v="65"/>
    <m/>
    <n v="0"/>
    <n v="0"/>
    <n v="113712.70276015204"/>
  </r>
  <r>
    <d v="2025-11-09T00:00:00"/>
    <x v="4"/>
    <s v="AYÇEKİRDEĞİ DAKOTA TUZSUZ EKSTRA"/>
    <m/>
    <x v="5"/>
    <s v="ST00000000146"/>
    <s v="SATIŞ"/>
    <s v="POS"/>
    <n v="0.58340000000000003"/>
    <n v="180"/>
    <n v="105.012"/>
    <n v="0"/>
    <n v="0.58340000000000003"/>
    <m/>
    <n v="180"/>
    <m/>
    <n v="0"/>
    <n v="0"/>
    <n v="113712.70276015204"/>
  </r>
  <r>
    <d v="2025-11-09T00:00:00"/>
    <x v="4"/>
    <s v="KARABİBER ÇEKİLMİŞ"/>
    <m/>
    <x v="1"/>
    <s v="ST00000000151"/>
    <s v="SATIŞ"/>
    <s v="NAKİT"/>
    <n v="0.122"/>
    <n v="640"/>
    <n v="0"/>
    <n v="0"/>
    <n v="0.122"/>
    <m/>
    <n v="640"/>
    <m/>
    <n v="78.08"/>
    <n v="0"/>
    <n v="113790.78276015204"/>
  </r>
  <r>
    <d v="2025-11-09T00:00:00"/>
    <x v="4"/>
    <s v="İSOT"/>
    <m/>
    <x v="1"/>
    <s v="ST00000000151"/>
    <s v="SATIŞ"/>
    <s v="NAKİT"/>
    <n v="8.7999999999999995E-2"/>
    <n v="380"/>
    <n v="0"/>
    <n v="0"/>
    <n v="8.7999999999999995E-2"/>
    <m/>
    <n v="380"/>
    <m/>
    <n v="33.44"/>
    <n v="0"/>
    <n v="113824.22276015204"/>
  </r>
  <r>
    <d v="2025-11-09T00:00:00"/>
    <x v="4"/>
    <s v="DOMATES SALÇASI"/>
    <m/>
    <x v="1"/>
    <s v="ST00000000152"/>
    <s v="SATIŞ"/>
    <s v="NAKİT"/>
    <n v="0.99399999999999999"/>
    <n v="130"/>
    <n v="0"/>
    <n v="0"/>
    <n v="0.99399999999999999"/>
    <m/>
    <n v="130"/>
    <m/>
    <n v="129.22"/>
    <n v="0"/>
    <n v="113953.44276015204"/>
  </r>
  <r>
    <d v="2025-11-09T00:00:00"/>
    <x v="4"/>
    <s v="SALÇA ACI (EV YAPIMI)"/>
    <m/>
    <x v="1"/>
    <s v="ST00000000152"/>
    <s v="SATIŞ"/>
    <s v="NAKİT"/>
    <n v="1.0760000000000001"/>
    <n v="180"/>
    <n v="0"/>
    <n v="0"/>
    <n v="1.0760000000000001"/>
    <m/>
    <n v="180"/>
    <m/>
    <n v="193.68"/>
    <n v="0"/>
    <n v="114147.12276015204"/>
  </r>
  <r>
    <d v="2025-11-09T00:00:00"/>
    <x v="4"/>
    <s v="AYÇEKİRDEĞİ DAKOTA TUZLU EKSTRA"/>
    <m/>
    <x v="1"/>
    <s v="ST00000000152"/>
    <s v="SATIŞ"/>
    <s v="NAKİT"/>
    <n v="0.29199999999999998"/>
    <n v="180"/>
    <n v="0"/>
    <n v="0"/>
    <n v="0.29199999999999998"/>
    <m/>
    <n v="180"/>
    <m/>
    <n v="52.559999999999995"/>
    <n v="0"/>
    <n v="114199.68276015203"/>
  </r>
  <r>
    <d v="2025-11-09T00:00:00"/>
    <x v="4"/>
    <s v="KETEN TOHUMU"/>
    <m/>
    <x v="1"/>
    <s v="ST00000000152"/>
    <s v="SATIŞ"/>
    <s v="NAKİT"/>
    <n v="0.1"/>
    <n v="200"/>
    <n v="0"/>
    <n v="0"/>
    <n v="1"/>
    <m/>
    <n v="20"/>
    <m/>
    <n v="20"/>
    <n v="0"/>
    <n v="114219.68276015203"/>
  </r>
  <r>
    <d v="2025-11-09T00:00:00"/>
    <x v="4"/>
    <s v="REZENE"/>
    <m/>
    <x v="1"/>
    <s v="ST00000000152"/>
    <s v="SATIŞ"/>
    <s v="NAKİT"/>
    <n v="0.1"/>
    <n v="900"/>
    <n v="0"/>
    <n v="0"/>
    <n v="1"/>
    <m/>
    <n v="90"/>
    <m/>
    <n v="90"/>
    <n v="0"/>
    <n v="114309.68276015203"/>
  </r>
  <r>
    <d v="2025-11-09T00:00:00"/>
    <x v="4"/>
    <s v="DOMATES KURUSU"/>
    <m/>
    <x v="1"/>
    <s v="ST00000000152"/>
    <s v="SATIŞ"/>
    <s v="NAKİT"/>
    <n v="0.25"/>
    <n v="380"/>
    <n v="0"/>
    <n v="0"/>
    <n v="1"/>
    <m/>
    <n v="95"/>
    <m/>
    <n v="95"/>
    <n v="0"/>
    <n v="114404.68276015203"/>
  </r>
  <r>
    <d v="2025-11-09T00:00:00"/>
    <x v="4"/>
    <s v="GÜNAYDIN KAYA TUZU İRİ"/>
    <m/>
    <x v="1"/>
    <s v="ST00000000152"/>
    <s v="SATIŞ"/>
    <s v="NAKİT"/>
    <n v="0.5"/>
    <n v="80"/>
    <n v="0"/>
    <n v="0"/>
    <n v="1"/>
    <m/>
    <n v="40"/>
    <m/>
    <n v="40"/>
    <n v="0"/>
    <n v="114444.68276015203"/>
  </r>
  <r>
    <d v="2025-11-09T00:00:00"/>
    <x v="4"/>
    <s v="LİMONTUZU PARCA"/>
    <m/>
    <x v="1"/>
    <s v="ST00000000152"/>
    <s v="SATIŞ"/>
    <s v="NAKİT"/>
    <n v="0.25"/>
    <n v="180"/>
    <n v="0"/>
    <n v="0"/>
    <n v="1"/>
    <m/>
    <n v="45"/>
    <m/>
    <n v="45"/>
    <n v="0"/>
    <n v="114489.68276015203"/>
  </r>
  <r>
    <d v="2025-11-09T00:00:00"/>
    <x v="4"/>
    <s v="BADEM KAVRULMUŞ"/>
    <m/>
    <x v="1"/>
    <s v="ST00000000152"/>
    <s v="SATIŞ"/>
    <s v="NAKİT"/>
    <n v="0.23"/>
    <n v="650"/>
    <n v="0"/>
    <n v="0"/>
    <n v="0.23"/>
    <m/>
    <n v="650"/>
    <m/>
    <n v="149.5"/>
    <n v="0"/>
    <n v="114639.18276015203"/>
  </r>
  <r>
    <d v="2025-11-09T00:00:00"/>
    <x v="4"/>
    <s v="SUSAM"/>
    <m/>
    <x v="1"/>
    <s v="ST00000000152"/>
    <s v="SATIŞ"/>
    <s v="NAKİT"/>
    <n v="0.1"/>
    <n v="400"/>
    <n v="0"/>
    <n v="0"/>
    <n v="1"/>
    <m/>
    <n v="40"/>
    <m/>
    <n v="40"/>
    <n v="0"/>
    <n v="114679.18276015203"/>
  </r>
  <r>
    <d v="2025-11-09T00:00:00"/>
    <x v="4"/>
    <s v="LEBLEBİ ŞEKER LÜX"/>
    <m/>
    <x v="1"/>
    <s v="ST00000000152"/>
    <s v="SATIŞ"/>
    <s v="NAKİT"/>
    <n v="0.22500000000000001"/>
    <n v="190"/>
    <n v="0"/>
    <n v="0"/>
    <n v="0.22500000000000001"/>
    <m/>
    <n v="190"/>
    <m/>
    <n v="42.75"/>
    <n v="0"/>
    <n v="114721.93276015203"/>
  </r>
  <r>
    <d v="2025-11-09T00:00:00"/>
    <x v="4"/>
    <s v="KARABİBER ÇEKİLMİŞ"/>
    <m/>
    <x v="1"/>
    <s v="ST00000000152"/>
    <s v="SATIŞ"/>
    <s v="NAKİT"/>
    <n v="0.12"/>
    <n v="640"/>
    <n v="0"/>
    <n v="0"/>
    <n v="0.12"/>
    <m/>
    <n v="640"/>
    <m/>
    <n v="76.8"/>
    <n v="0"/>
    <n v="114798.73276015204"/>
  </r>
  <r>
    <d v="2025-11-09T00:00:00"/>
    <x v="4"/>
    <s v="TÜDAB KEÇİ BOYNUZU (DÖKME)"/>
    <m/>
    <x v="1"/>
    <s v="ST00000000152"/>
    <s v="SATIŞ"/>
    <s v="NAKİT"/>
    <n v="8.7999999999999995E-2"/>
    <n v="350"/>
    <n v="0"/>
    <n v="0"/>
    <n v="8.7999999999999995E-2"/>
    <m/>
    <n v="350"/>
    <m/>
    <n v="30.799999999999997"/>
    <n v="0"/>
    <n v="114829.53276015204"/>
  </r>
  <r>
    <d v="2025-11-09T00:00:00"/>
    <x v="4"/>
    <s v="DUT KURUSU LÜX ELAZIĞ"/>
    <m/>
    <x v="1"/>
    <s v="ST00000000152"/>
    <s v="SATIŞ"/>
    <s v="NAKİT"/>
    <n v="0.05"/>
    <n v="800"/>
    <n v="0"/>
    <n v="0"/>
    <n v="0.05"/>
    <m/>
    <n v="800"/>
    <m/>
    <n v="40"/>
    <n v="0"/>
    <n v="114869.53276015204"/>
  </r>
  <r>
    <d v="2025-11-09T00:00:00"/>
    <x v="4"/>
    <s v="KORİ (TAVUK BAHARATI)"/>
    <m/>
    <x v="1"/>
    <s v="ST00000000152"/>
    <s v="SATIŞ"/>
    <s v="NAKİT"/>
    <n v="3.5999999999999997E-2"/>
    <n v="140"/>
    <n v="0"/>
    <n v="0"/>
    <n v="3.5999999999999997E-2"/>
    <m/>
    <n v="140"/>
    <m/>
    <n v="5.04"/>
    <n v="0"/>
    <n v="114874.57276015203"/>
  </r>
  <r>
    <d v="2025-11-09T00:00:00"/>
    <x v="4"/>
    <s v="BİOBLAS BOTANİC OİLS 360 ML SARIMSAKLI SAÇ DÖKÜLMESİNE KARŞI ŞAMPUAN"/>
    <m/>
    <x v="1"/>
    <s v="ST00000000152"/>
    <s v="SATIŞ"/>
    <s v="NAKİT"/>
    <n v="1"/>
    <n v="135"/>
    <n v="0"/>
    <n v="0"/>
    <n v="1"/>
    <m/>
    <n v="135"/>
    <m/>
    <n v="135"/>
    <n v="0"/>
    <n v="115009.57276015203"/>
  </r>
  <r>
    <d v="2025-11-09T00:00:00"/>
    <x v="4"/>
    <s v="KINA TÜP KIZIL"/>
    <m/>
    <x v="1"/>
    <s v="ST00000000152"/>
    <s v="SATIŞ"/>
    <s v="NAKİT"/>
    <n v="1"/>
    <n v="50"/>
    <n v="0"/>
    <n v="0"/>
    <n v="1"/>
    <m/>
    <n v="50"/>
    <m/>
    <n v="50"/>
    <n v="0"/>
    <n v="115059.57276015203"/>
  </r>
  <r>
    <d v="2025-11-09T00:00:00"/>
    <x v="4"/>
    <s v="TOZ BİBER - TATLI"/>
    <m/>
    <x v="1"/>
    <s v="ST00000000152"/>
    <s v="SATIŞ"/>
    <s v="NAKİT"/>
    <n v="0.05"/>
    <n v="370"/>
    <n v="0"/>
    <n v="0"/>
    <n v="0.05"/>
    <m/>
    <n v="370"/>
    <m/>
    <n v="18.5"/>
    <n v="0"/>
    <n v="115078.07276015203"/>
  </r>
  <r>
    <d v="2025-11-09T00:00:00"/>
    <x v="4"/>
    <s v="BİOBLAS SİYAH SARIMSAKLI 1000 ML SAÇ DÖKÜLMESİNE KARŞI ŞAMPUAN - SİYAH"/>
    <m/>
    <x v="1"/>
    <s v="ST00000000153"/>
    <s v="SATIŞ"/>
    <s v="NAKİT"/>
    <n v="1"/>
    <n v="230"/>
    <n v="0"/>
    <n v="0"/>
    <n v="1"/>
    <m/>
    <n v="230"/>
    <m/>
    <n v="230"/>
    <n v="0"/>
    <n v="115308.07276015203"/>
  </r>
  <r>
    <d v="2025-11-09T00:00:00"/>
    <x v="4"/>
    <s v="TÜDAB KEÇİ BOYNUZU (DÖKME)"/>
    <m/>
    <x v="1"/>
    <s v="ST00000000153"/>
    <s v="SATIŞ"/>
    <s v="NAKİT"/>
    <n v="0.14799999999999999"/>
    <n v="350"/>
    <n v="0"/>
    <n v="0"/>
    <n v="0.14799999999999999"/>
    <m/>
    <n v="350"/>
    <m/>
    <n v="51.8"/>
    <n v="0"/>
    <n v="115359.87276015204"/>
  </r>
  <r>
    <d v="2025-11-09T00:00:00"/>
    <x v="4"/>
    <s v="ŞİFAVER BITTIM HATAY SABUNU"/>
    <m/>
    <x v="1"/>
    <s v="ST00000000153"/>
    <s v="SATIŞ"/>
    <s v="NAKİT"/>
    <n v="4"/>
    <n v="40"/>
    <n v="0"/>
    <n v="0"/>
    <n v="4"/>
    <m/>
    <n v="40"/>
    <m/>
    <n v="160"/>
    <n v="0"/>
    <n v="115519.87276015204"/>
  </r>
  <r>
    <d v="2025-11-09T00:00:00"/>
    <x v="4"/>
    <s v="HAM KABAK LİFİ İŞLENMEMİŞ"/>
    <m/>
    <x v="1"/>
    <s v="ST00000000153"/>
    <s v="SATIŞ"/>
    <s v="NAKİT"/>
    <n v="1"/>
    <n v="90"/>
    <n v="0"/>
    <n v="0"/>
    <n v="1"/>
    <m/>
    <n v="90"/>
    <m/>
    <n v="90"/>
    <n v="0"/>
    <n v="115609.87276015204"/>
  </r>
  <r>
    <d v="2025-11-09T00:00:00"/>
    <x v="4"/>
    <s v="SALÇA ACI (EV YAPIMI)"/>
    <m/>
    <x v="1"/>
    <s v="ST00000000153"/>
    <s v="SATIŞ"/>
    <s v="NAKİT"/>
    <n v="2.0179999999999998"/>
    <n v="180"/>
    <n v="0"/>
    <n v="0"/>
    <n v="2.0179999999999998"/>
    <m/>
    <n v="180"/>
    <m/>
    <n v="363.23999999999995"/>
    <n v="0"/>
    <n v="115973.11276015204"/>
  </r>
  <r>
    <d v="2025-11-09T00:00:00"/>
    <x v="4"/>
    <s v="DOMATES SALÇASI"/>
    <m/>
    <x v="1"/>
    <s v="ST00000000153"/>
    <s v="SATIŞ"/>
    <s v="NAKİT"/>
    <n v="0.97799999999999998"/>
    <n v="130"/>
    <n v="0"/>
    <n v="0"/>
    <n v="0.97799999999999998"/>
    <m/>
    <n v="130"/>
    <m/>
    <n v="127.14"/>
    <n v="0"/>
    <n v="116100.25276015204"/>
  </r>
  <r>
    <d v="2025-11-09T00:00:00"/>
    <x v="4"/>
    <s v="KİMYON ÇEKİLMİŞ"/>
    <m/>
    <x v="1"/>
    <s v="ST00000000153"/>
    <s v="SATIŞ"/>
    <s v="NAKİT"/>
    <n v="0.19600000000000001"/>
    <n v="390"/>
    <n v="0"/>
    <n v="0"/>
    <n v="0.19600000000000001"/>
    <m/>
    <n v="390"/>
    <m/>
    <n v="76.44"/>
    <n v="0"/>
    <n v="116176.69276015204"/>
  </r>
  <r>
    <d v="2025-11-09T00:00:00"/>
    <x v="4"/>
    <s v="YENİBAHAR TOZ"/>
    <m/>
    <x v="1"/>
    <s v="ST00000000153"/>
    <s v="SATIŞ"/>
    <s v="NAKİT"/>
    <n v="9.1999999999999998E-2"/>
    <n v="770"/>
    <n v="0"/>
    <n v="0"/>
    <n v="9.1999999999999998E-2"/>
    <m/>
    <n v="770"/>
    <m/>
    <n v="70.84"/>
    <n v="0"/>
    <n v="116247.53276015204"/>
  </r>
  <r>
    <d v="2025-11-09T00:00:00"/>
    <x v="4"/>
    <s v="ZENCEFİL TOZ"/>
    <m/>
    <x v="1"/>
    <s v="ST00000000153"/>
    <s v="SATIŞ"/>
    <s v="NAKİT"/>
    <n v="9.6000000000000002E-2"/>
    <n v="360"/>
    <n v="0"/>
    <n v="0"/>
    <n v="9.6000000000000002E-2"/>
    <m/>
    <n v="360"/>
    <m/>
    <n v="34.56"/>
    <n v="0"/>
    <n v="116282.09276015204"/>
  </r>
  <r>
    <d v="2025-11-09T00:00:00"/>
    <x v="4"/>
    <s v="KARANFİL"/>
    <m/>
    <x v="1"/>
    <s v="ST00000000153"/>
    <s v="SATIŞ"/>
    <s v="NAKİT"/>
    <n v="5.4550000000000001E-2"/>
    <n v="1100"/>
    <n v="0"/>
    <n v="0"/>
    <n v="1"/>
    <m/>
    <n v="60"/>
    <m/>
    <n v="60.005000000000003"/>
    <n v="0"/>
    <n v="116342.09776015204"/>
  </r>
  <r>
    <d v="2025-11-09T00:00:00"/>
    <x v="4"/>
    <s v="ÇÖREKOTU"/>
    <m/>
    <x v="1"/>
    <s v="ST00000000153"/>
    <s v="SATIŞ"/>
    <s v="NAKİT"/>
    <n v="0.1"/>
    <n v="400"/>
    <n v="0"/>
    <n v="0"/>
    <n v="1"/>
    <m/>
    <n v="40"/>
    <m/>
    <n v="40"/>
    <n v="0"/>
    <n v="116382.09776015204"/>
  </r>
  <r>
    <d v="2025-11-09T00:00:00"/>
    <x v="4"/>
    <s v="KETEN TOHUMU"/>
    <m/>
    <x v="1"/>
    <s v="ST00000000153"/>
    <s v="SATIŞ"/>
    <s v="NAKİT"/>
    <n v="0.2"/>
    <n v="200"/>
    <n v="0"/>
    <n v="0"/>
    <n v="1"/>
    <m/>
    <n v="40"/>
    <m/>
    <n v="40"/>
    <n v="0"/>
    <n v="116422.09776015204"/>
  </r>
  <r>
    <d v="2025-11-09T00:00:00"/>
    <x v="4"/>
    <s v="HİMALAYA TUZU PEMBE ÖĞÜTÜLMÜŞ"/>
    <m/>
    <x v="1"/>
    <s v="ST00000000153"/>
    <s v="SATIŞ"/>
    <s v="NAKİT"/>
    <n v="2"/>
    <n v="140"/>
    <n v="0"/>
    <n v="0"/>
    <n v="4"/>
    <m/>
    <n v="70"/>
    <m/>
    <n v="280"/>
    <n v="0"/>
    <n v="116702.09776015204"/>
  </r>
  <r>
    <d v="2025-11-09T00:00:00"/>
    <x v="4"/>
    <s v="CHİA TOHUMU DÖKME"/>
    <m/>
    <x v="1"/>
    <s v="ST00000000153"/>
    <s v="SATIŞ"/>
    <s v="NAKİT"/>
    <n v="0.5"/>
    <n v="280"/>
    <n v="0"/>
    <n v="0"/>
    <n v="1"/>
    <m/>
    <n v="140"/>
    <m/>
    <n v="140"/>
    <n v="0"/>
    <n v="116842.09776015204"/>
  </r>
  <r>
    <d v="2025-11-09T00:00:00"/>
    <x v="4"/>
    <s v="İSOT"/>
    <m/>
    <x v="1"/>
    <s v="ST00000000153"/>
    <s v="SATIŞ"/>
    <s v="NAKİT"/>
    <n v="0.754"/>
    <n v="380"/>
    <n v="0"/>
    <n v="0"/>
    <n v="0.754"/>
    <m/>
    <n v="380"/>
    <m/>
    <n v="286.52"/>
    <n v="0"/>
    <n v="117128.61776015205"/>
  </r>
  <r>
    <d v="2025-11-09T00:00:00"/>
    <x v="4"/>
    <s v="YEŞİL ÇAY YAPRAK"/>
    <m/>
    <x v="1"/>
    <s v="ST00000000153"/>
    <s v="SATIŞ"/>
    <s v="NAKİT"/>
    <n v="0.1"/>
    <n v="1350"/>
    <n v="0"/>
    <n v="0"/>
    <n v="1"/>
    <m/>
    <n v="135"/>
    <m/>
    <n v="135"/>
    <n v="0"/>
    <n v="117263.61776015205"/>
  </r>
  <r>
    <d v="2025-11-09T00:00:00"/>
    <x v="4"/>
    <s v="İPEK BİBER"/>
    <m/>
    <x v="1"/>
    <s v="ST00000000153"/>
    <s v="SATIŞ"/>
    <s v="NAKİT"/>
    <n v="0.79600000000000004"/>
    <n v="500"/>
    <n v="0"/>
    <n v="0"/>
    <n v="0.79600000000000004"/>
    <m/>
    <n v="500"/>
    <m/>
    <n v="398"/>
    <n v="0"/>
    <n v="117661.61776015205"/>
  </r>
  <r>
    <d v="2025-11-09T00:00:00"/>
    <x v="4"/>
    <s v="LOBAS SAF NAR EKŞİSİ 1 KG"/>
    <m/>
    <x v="1"/>
    <s v="ST00000000153"/>
    <s v="SATIŞ"/>
    <s v="NAKİT"/>
    <n v="1"/>
    <n v="295"/>
    <n v="0"/>
    <n v="0"/>
    <n v="1"/>
    <m/>
    <n v="295"/>
    <m/>
    <n v="295"/>
    <n v="0"/>
    <n v="117956.61776015205"/>
  </r>
  <r>
    <d v="2025-11-09T00:00:00"/>
    <x v="4"/>
    <s v="İRİ BEYAZ KABAK ÇEKİRDEĞİ - NEVŞEHİR"/>
    <m/>
    <x v="1"/>
    <s v="ST00000000153"/>
    <s v="SATIŞ"/>
    <s v="NAKİT"/>
    <n v="0.28999999999999998"/>
    <n v="350"/>
    <n v="0"/>
    <n v="0"/>
    <n v="0.28999999999999998"/>
    <m/>
    <n v="350"/>
    <m/>
    <n v="101.5"/>
    <n v="0"/>
    <n v="118058.11776015205"/>
  </r>
  <r>
    <d v="2025-11-09T00:00:00"/>
    <x v="4"/>
    <s v="NANE İRİ"/>
    <m/>
    <x v="1"/>
    <s v="ST00000000153"/>
    <s v="SATIŞ"/>
    <s v="NAKİT"/>
    <n v="0.14799999999999999"/>
    <n v="400"/>
    <n v="0"/>
    <n v="0"/>
    <n v="0.14799999999999999"/>
    <m/>
    <n v="400"/>
    <m/>
    <n v="59.199999999999996"/>
    <n v="0"/>
    <n v="118117.31776015204"/>
  </r>
  <r>
    <d v="2025-11-09T00:00:00"/>
    <x v="4"/>
    <s v="LOKUM SADE - TB"/>
    <m/>
    <x v="1"/>
    <s v="ST00000000153"/>
    <s v="SATIŞ"/>
    <s v="NAKİT"/>
    <n v="0.35399999999999998"/>
    <n v="155"/>
    <n v="0"/>
    <n v="0"/>
    <n v="0.35399999999999998"/>
    <m/>
    <n v="155"/>
    <m/>
    <n v="54.87"/>
    <n v="0"/>
    <n v="118172.18776015204"/>
  </r>
  <r>
    <d v="2025-11-09T00:00:00"/>
    <x v="4"/>
    <s v="KABUKLU CEVİZ (ŞİLİ)"/>
    <m/>
    <x v="1"/>
    <s v="ST00000000153"/>
    <s v="SATIŞ"/>
    <s v="NAKİT"/>
    <n v="1.4059999999999999"/>
    <n v="290"/>
    <n v="0"/>
    <n v="0"/>
    <n v="1.4059999999999999"/>
    <m/>
    <n v="290"/>
    <m/>
    <n v="407.73999999999995"/>
    <n v="0"/>
    <n v="118579.92776015204"/>
  </r>
  <r>
    <d v="2025-11-09T00:00:00"/>
    <x v="4"/>
    <s v="NUTRAXİN MAGNEZYUM COMPLEX 60 TABLET 125 MG"/>
    <m/>
    <x v="1"/>
    <s v="ST00000000153"/>
    <s v="SATIŞ"/>
    <s v="NAKİT"/>
    <n v="1"/>
    <n v="300"/>
    <n v="0"/>
    <n v="0"/>
    <n v="1"/>
    <m/>
    <n v="300"/>
    <m/>
    <n v="300"/>
    <n v="0"/>
    <n v="118879.92776015204"/>
  </r>
  <r>
    <d v="2025-11-09T00:00:00"/>
    <x v="4"/>
    <s v="DOLMALIK KURU PATLICAN"/>
    <m/>
    <x v="1"/>
    <s v="ST00000000153"/>
    <s v="SATIŞ"/>
    <s v="NAKİT"/>
    <n v="1"/>
    <n v="240"/>
    <n v="0"/>
    <n v="0"/>
    <n v="1"/>
    <m/>
    <n v="240"/>
    <m/>
    <n v="240"/>
    <n v="0"/>
    <n v="119119.92776015204"/>
  </r>
  <r>
    <d v="2025-11-09T00:00:00"/>
    <x v="4"/>
    <s v="DOLMALIK KURU ACI BİBER"/>
    <m/>
    <x v="1"/>
    <s v="ST00000000153"/>
    <s v="SATIŞ"/>
    <s v="NAKİT"/>
    <n v="2"/>
    <n v="200"/>
    <n v="0"/>
    <n v="0"/>
    <n v="2"/>
    <m/>
    <n v="200"/>
    <m/>
    <n v="400"/>
    <n v="0"/>
    <n v="119519.92776015204"/>
  </r>
  <r>
    <d v="2025-11-09T00:00:00"/>
    <x v="4"/>
    <s v="KABUKLU CEVİZ (ŞİLİ)"/>
    <m/>
    <x v="1"/>
    <s v="ST00000000154"/>
    <s v="SATIŞ"/>
    <s v="NAKİT"/>
    <n v="1.292"/>
    <n v="290"/>
    <n v="0"/>
    <n v="0"/>
    <n v="1.292"/>
    <m/>
    <n v="290"/>
    <m/>
    <n v="374.68"/>
    <n v="0"/>
    <n v="119894.60776015204"/>
  </r>
  <r>
    <d v="2025-11-09T00:00:00"/>
    <x v="4"/>
    <s v="İZMİR ÜZÜMÜ"/>
    <m/>
    <x v="1"/>
    <s v="ST00000000154"/>
    <s v="SATIŞ"/>
    <s v="NAKİT"/>
    <n v="0.29199999999999998"/>
    <n v="250"/>
    <n v="0"/>
    <n v="0"/>
    <n v="0.29199999999999998"/>
    <m/>
    <n v="250"/>
    <m/>
    <n v="73"/>
    <n v="0"/>
    <n v="119967.60776015204"/>
  </r>
  <r>
    <d v="2025-11-09T00:00:00"/>
    <x v="4"/>
    <s v="KAFFKA OSMANLI KAHVESİ 150 GR"/>
    <m/>
    <x v="1"/>
    <s v="ST00000000154"/>
    <s v="SATIŞ"/>
    <s v="NAKİT"/>
    <n v="1"/>
    <n v="65"/>
    <n v="0"/>
    <n v="0"/>
    <n v="1"/>
    <m/>
    <n v="65"/>
    <m/>
    <n v="65"/>
    <n v="0"/>
    <n v="120032.60776015204"/>
  </r>
  <r>
    <d v="2025-11-09T00:00:00"/>
    <x v="4"/>
    <s v="SALÇA ACI (EV YAPIMI)"/>
    <m/>
    <x v="1"/>
    <s v="ST00000000154"/>
    <s v="SATIŞ"/>
    <s v="NAKİT"/>
    <n v="1.6539999999999999"/>
    <n v="180"/>
    <n v="0"/>
    <n v="0"/>
    <n v="1.6539999999999999"/>
    <m/>
    <n v="180"/>
    <m/>
    <n v="297.71999999999997"/>
    <n v="0"/>
    <n v="120330.32776015204"/>
  </r>
  <r>
    <d v="2025-11-09T00:00:00"/>
    <x v="4"/>
    <s v="ŞENAY ÇAM KOZALAĞI PEKMEZİ 800 G"/>
    <m/>
    <x v="1"/>
    <s v="ST00000000154"/>
    <s v="SATIŞ"/>
    <s v="NAKİT"/>
    <n v="1"/>
    <n v="180"/>
    <n v="0"/>
    <n v="0"/>
    <n v="1"/>
    <m/>
    <n v="180"/>
    <m/>
    <n v="180"/>
    <n v="0"/>
    <n v="120510.32776015204"/>
  </r>
  <r>
    <d v="2025-11-09T00:00:00"/>
    <x v="4"/>
    <s v="ÇÖREKOTU"/>
    <m/>
    <x v="1"/>
    <s v="ST00000000154"/>
    <s v="SATIŞ"/>
    <s v="NAKİT"/>
    <n v="0.1"/>
    <n v="400"/>
    <n v="0"/>
    <n v="0"/>
    <n v="1"/>
    <m/>
    <n v="40"/>
    <m/>
    <n v="40"/>
    <n v="0"/>
    <n v="120550.32776015204"/>
  </r>
  <r>
    <d v="2025-11-09T00:00:00"/>
    <x v="4"/>
    <s v="ÇUBUK TARÇIN"/>
    <m/>
    <x v="1"/>
    <s v="ST00000000154"/>
    <s v="SATIŞ"/>
    <s v="NAKİT"/>
    <n v="0.1"/>
    <n v="650"/>
    <n v="0"/>
    <n v="0"/>
    <n v="1"/>
    <m/>
    <n v="65"/>
    <m/>
    <n v="65"/>
    <n v="0"/>
    <n v="120615.32776015204"/>
  </r>
  <r>
    <d v="2025-11-09T00:00:00"/>
    <x v="4"/>
    <s v="KETEN TOHUMU"/>
    <m/>
    <x v="1"/>
    <s v="ST00000000154"/>
    <s v="SATIŞ"/>
    <s v="NAKİT"/>
    <n v="0.1"/>
    <n v="200"/>
    <n v="0"/>
    <n v="0"/>
    <n v="1"/>
    <m/>
    <n v="20"/>
    <m/>
    <n v="20"/>
    <n v="0"/>
    <n v="120635.32776015204"/>
  </r>
  <r>
    <d v="2025-11-09T00:00:00"/>
    <x v="4"/>
    <s v="ZERDEÇAL TOZ"/>
    <m/>
    <x v="1"/>
    <s v="ST00000000154"/>
    <s v="SATIŞ"/>
    <s v="NAKİT"/>
    <n v="0.192"/>
    <n v="250"/>
    <n v="0"/>
    <n v="0"/>
    <n v="0.192"/>
    <m/>
    <n v="250"/>
    <m/>
    <n v="48"/>
    <n v="0"/>
    <n v="120683.32776015204"/>
  </r>
  <r>
    <d v="2025-11-09T00:00:00"/>
    <x v="4"/>
    <s v="NBN 2,5 KG İNCİR"/>
    <m/>
    <x v="1"/>
    <s v="ST00000000154"/>
    <s v="SATIŞ"/>
    <s v="NAKİT"/>
    <n v="0.18"/>
    <n v="600"/>
    <n v="0"/>
    <n v="0"/>
    <n v="0.18"/>
    <m/>
    <n v="600"/>
    <m/>
    <n v="108"/>
    <n v="0"/>
    <n v="120791.32776015204"/>
  </r>
  <r>
    <d v="2025-11-09T00:00:00"/>
    <x v="4"/>
    <s v="İRİ BEYAZ KABAK ÇEKİRDEĞİ - NEVŞEHİR"/>
    <m/>
    <x v="1"/>
    <s v="ST00000000154"/>
    <s v="SATIŞ"/>
    <s v="NAKİT"/>
    <n v="0.24"/>
    <n v="350"/>
    <n v="0"/>
    <n v="0"/>
    <n v="0.24"/>
    <m/>
    <n v="350"/>
    <m/>
    <n v="84"/>
    <n v="0"/>
    <n v="120875.32776015204"/>
  </r>
  <r>
    <d v="2025-11-09T00:00:00"/>
    <x v="4"/>
    <s v="NANE İRİ"/>
    <m/>
    <x v="1"/>
    <s v="ST00000000154"/>
    <s v="SATIŞ"/>
    <s v="NAKİT"/>
    <n v="5.8000000000000003E-2"/>
    <n v="400"/>
    <n v="0"/>
    <n v="0"/>
    <n v="5.8000000000000003E-2"/>
    <m/>
    <n v="400"/>
    <m/>
    <n v="23.200000000000003"/>
    <n v="0"/>
    <n v="120898.52776015204"/>
  </r>
  <r>
    <d v="2025-11-09T00:00:00"/>
    <x v="4"/>
    <s v="KARABİBER ÇEKİLMİŞ"/>
    <m/>
    <x v="1"/>
    <s v="ST00000000154"/>
    <s v="SATIŞ"/>
    <s v="NAKİT"/>
    <n v="0.11799999999999999"/>
    <n v="640"/>
    <n v="0"/>
    <n v="0"/>
    <n v="0.11799999999999999"/>
    <m/>
    <n v="640"/>
    <m/>
    <n v="75.52"/>
    <n v="0"/>
    <n v="120974.04776015204"/>
  </r>
  <r>
    <d v="2025-11-09T00:00:00"/>
    <x v="4"/>
    <s v="TÜRK KAHVESİ"/>
    <m/>
    <x v="1"/>
    <s v="ST00000000154"/>
    <s v="SATIŞ"/>
    <s v="NAKİT"/>
    <n v="0.1"/>
    <n v="650"/>
    <n v="0"/>
    <n v="0"/>
    <n v="1"/>
    <m/>
    <n v="65"/>
    <m/>
    <n v="65"/>
    <n v="0"/>
    <n v="121039.04776015204"/>
  </r>
  <r>
    <d v="2025-11-09T00:00:00"/>
    <x v="4"/>
    <s v="TÜDAB KEÇİ BOYNUZU (DÖKME)"/>
    <m/>
    <x v="1"/>
    <s v="ST00000000154"/>
    <s v="SATIŞ"/>
    <s v="NAKİT"/>
    <n v="0.154"/>
    <n v="350"/>
    <n v="0"/>
    <n v="0"/>
    <n v="0.154"/>
    <m/>
    <n v="350"/>
    <m/>
    <n v="53.9"/>
    <n v="0"/>
    <n v="121092.94776015203"/>
  </r>
  <r>
    <d v="2025-11-09T00:00:00"/>
    <x v="4"/>
    <s v="ŞİFAVER DEFNE GARLI HATAY SABUNU"/>
    <m/>
    <x v="1"/>
    <s v="ST00000000154"/>
    <s v="SATIŞ"/>
    <s v="NAKİT"/>
    <n v="2"/>
    <n v="40"/>
    <n v="0"/>
    <n v="0"/>
    <n v="2"/>
    <m/>
    <n v="40"/>
    <m/>
    <n v="80"/>
    <n v="0"/>
    <n v="121172.94776015203"/>
  </r>
  <r>
    <d v="2025-11-09T00:00:00"/>
    <x v="4"/>
    <s v="REZENE"/>
    <m/>
    <x v="1"/>
    <s v="ST00000000154"/>
    <s v="SATIŞ"/>
    <s v="NAKİT"/>
    <n v="0.1"/>
    <n v="900"/>
    <n v="0"/>
    <n v="0"/>
    <n v="1"/>
    <m/>
    <n v="90"/>
    <m/>
    <n v="90"/>
    <n v="0"/>
    <n v="121262.94776015203"/>
  </r>
  <r>
    <d v="2025-11-09T00:00:00"/>
    <x v="4"/>
    <s v="DOLMALIK KURU PATLICAN"/>
    <m/>
    <x v="1"/>
    <s v="ST00000000155"/>
    <s v="SATIŞ"/>
    <s v="NAKİT"/>
    <n v="1"/>
    <n v="240"/>
    <n v="0"/>
    <n v="0"/>
    <n v="1"/>
    <m/>
    <n v="240"/>
    <m/>
    <n v="240"/>
    <n v="0"/>
    <n v="121502.94776015203"/>
  </r>
  <r>
    <d v="2025-11-09T00:00:00"/>
    <x v="4"/>
    <s v="KAFFKA MENENGİÇ KAHVESİ 150 GR"/>
    <m/>
    <x v="1"/>
    <s v="ST00000000155"/>
    <s v="SATIŞ"/>
    <s v="NAKİT"/>
    <n v="1"/>
    <n v="65"/>
    <n v="0"/>
    <n v="0"/>
    <n v="1"/>
    <m/>
    <n v="65"/>
    <m/>
    <n v="65"/>
    <n v="0"/>
    <n v="121567.94776015203"/>
  </r>
  <r>
    <d v="2025-11-09T00:00:00"/>
    <x v="4"/>
    <s v="KAFFKA DİBEK KAHVESİ 150 GR"/>
    <m/>
    <x v="1"/>
    <s v="ST00000000155"/>
    <s v="SATIŞ"/>
    <s v="NAKİT"/>
    <n v="1"/>
    <n v="65"/>
    <n v="0"/>
    <n v="0"/>
    <n v="1"/>
    <m/>
    <n v="65"/>
    <m/>
    <n v="65"/>
    <n v="0"/>
    <n v="121632.94776015203"/>
  </r>
  <r>
    <d v="2025-11-09T00:00:00"/>
    <x v="4"/>
    <s v="CEVİZLİ SUCUK ATOM (SARI)"/>
    <m/>
    <x v="1"/>
    <s v="ST00000000155"/>
    <s v="SATIŞ"/>
    <s v="NAKİT"/>
    <n v="0.92200000000000004"/>
    <n v="290"/>
    <n v="0"/>
    <n v="0"/>
    <n v="0.92200000000000004"/>
    <m/>
    <n v="290"/>
    <m/>
    <n v="267.38"/>
    <n v="0"/>
    <n v="121900.32776015204"/>
  </r>
  <r>
    <d v="2025-11-09T00:00:00"/>
    <x v="4"/>
    <s v="HAM KABAK LİFİ İŞLENMEMİŞ"/>
    <m/>
    <x v="1"/>
    <s v="ST00000000155"/>
    <s v="SATIŞ"/>
    <s v="NAKİT"/>
    <n v="1"/>
    <n v="90"/>
    <n v="0"/>
    <n v="0"/>
    <n v="1"/>
    <m/>
    <n v="90"/>
    <m/>
    <n v="90"/>
    <n v="0"/>
    <n v="121990.32776015204"/>
  </r>
  <r>
    <d v="2025-11-09T00:00:00"/>
    <x v="4"/>
    <s v="KABUKLU CEVİZ (ŞİLİ)"/>
    <m/>
    <x v="1"/>
    <s v="ST00000000155"/>
    <s v="SATIŞ"/>
    <s v="NAKİT"/>
    <n v="0.88800000000000001"/>
    <n v="290"/>
    <n v="0"/>
    <n v="0"/>
    <n v="0.88800000000000001"/>
    <m/>
    <n v="290"/>
    <m/>
    <n v="257.52"/>
    <n v="0"/>
    <n v="122247.84776015204"/>
  </r>
  <r>
    <d v="2025-11-09T00:00:00"/>
    <x v="4"/>
    <s v="ŞENAY ÇAM KOZALAĞI PEKMEZİ 800 G"/>
    <m/>
    <x v="1"/>
    <s v="ST00000000155"/>
    <s v="SATIŞ"/>
    <s v="NAKİT"/>
    <n v="1"/>
    <n v="180"/>
    <n v="0"/>
    <n v="0"/>
    <n v="1"/>
    <m/>
    <n v="180"/>
    <m/>
    <n v="180"/>
    <n v="0"/>
    <n v="122427.84776015204"/>
  </r>
  <r>
    <d v="2025-11-09T00:00:00"/>
    <x v="4"/>
    <s v="DOMATES SALÇASI"/>
    <m/>
    <x v="1"/>
    <s v="ST00000000155"/>
    <s v="SATIŞ"/>
    <s v="NAKİT"/>
    <n v="1.038"/>
    <n v="130"/>
    <n v="0"/>
    <n v="0"/>
    <n v="1.038"/>
    <m/>
    <n v="130"/>
    <m/>
    <n v="134.94"/>
    <n v="0"/>
    <n v="122562.78776015204"/>
  </r>
  <r>
    <d v="2025-11-09T00:00:00"/>
    <x v="4"/>
    <s v="NBN 2,5 KG İNCİR"/>
    <m/>
    <x v="1"/>
    <s v="ST00000000155"/>
    <s v="SATIŞ"/>
    <s v="NAKİT"/>
    <n v="0.48799999999999999"/>
    <n v="600"/>
    <n v="0"/>
    <n v="0"/>
    <n v="0.48799999999999999"/>
    <m/>
    <n v="600"/>
    <m/>
    <n v="292.8"/>
    <n v="0"/>
    <n v="122855.58776015205"/>
  </r>
  <r>
    <d v="2025-11-09T00:00:00"/>
    <x v="4"/>
    <s v="İRİ BEYAZ KABAK ÇEKİRDEĞİ - NEVŞEHİR"/>
    <m/>
    <x v="1"/>
    <s v="ST00000000155"/>
    <s v="SATIŞ"/>
    <s v="NAKİT"/>
    <n v="0.24399999999999999"/>
    <n v="350"/>
    <n v="0"/>
    <n v="0"/>
    <n v="0.24399999999999999"/>
    <m/>
    <n v="350"/>
    <m/>
    <n v="85.399999999999991"/>
    <n v="0"/>
    <n v="122940.98776015204"/>
  </r>
  <r>
    <d v="2025-11-09T00:00:00"/>
    <x v="4"/>
    <s v="CİVAN PERÇEMİ"/>
    <m/>
    <x v="1"/>
    <s v="ST00000000155"/>
    <s v="SATIŞ"/>
    <s v="NAKİT"/>
    <n v="3.4000000000000002E-2"/>
    <n v="1000"/>
    <n v="0"/>
    <n v="0"/>
    <n v="3.4000000000000002E-2"/>
    <m/>
    <n v="1000"/>
    <m/>
    <n v="34"/>
    <n v="0"/>
    <n v="122974.98776015204"/>
  </r>
  <r>
    <d v="2025-11-09T00:00:00"/>
    <x v="4"/>
    <s v="İSOT"/>
    <m/>
    <x v="1"/>
    <s v="ST00000000155"/>
    <s v="SATIŞ"/>
    <s v="NAKİT"/>
    <n v="0.40799999999999997"/>
    <n v="380"/>
    <n v="0"/>
    <n v="0"/>
    <n v="0.40799999999999997"/>
    <m/>
    <n v="380"/>
    <m/>
    <n v="155.04"/>
    <n v="0"/>
    <n v="123130.02776015204"/>
  </r>
  <r>
    <d v="2025-11-09T00:00:00"/>
    <x v="4"/>
    <s v="LEBLEBİ ÇİFTE SARI"/>
    <m/>
    <x v="1"/>
    <s v="ST00000000155"/>
    <s v="SATIŞ"/>
    <s v="NAKİT"/>
    <n v="0.224"/>
    <n v="230"/>
    <n v="0"/>
    <n v="0"/>
    <n v="0.224"/>
    <m/>
    <n v="230"/>
    <m/>
    <n v="51.52"/>
    <n v="0"/>
    <n v="123181.54776015204"/>
  </r>
  <r>
    <d v="2025-11-09T00:00:00"/>
    <x v="4"/>
    <s v="NANE İRİ"/>
    <m/>
    <x v="1"/>
    <s v="ST00000000155"/>
    <s v="SATIŞ"/>
    <s v="NAKİT"/>
    <n v="0.114"/>
    <n v="400"/>
    <n v="0"/>
    <n v="0"/>
    <n v="0.114"/>
    <m/>
    <n v="400"/>
    <m/>
    <n v="45.6"/>
    <n v="0"/>
    <n v="123227.14776015205"/>
  </r>
  <r>
    <d v="2025-11-09T00:00:00"/>
    <x v="4"/>
    <s v="KEKİK LÜX"/>
    <m/>
    <x v="1"/>
    <s v="ST00000000155"/>
    <s v="SATIŞ"/>
    <s v="NAKİT"/>
    <n v="6.8000000000000005E-2"/>
    <n v="760"/>
    <n v="0"/>
    <n v="0"/>
    <n v="6.8000000000000005E-2"/>
    <m/>
    <n v="760"/>
    <m/>
    <n v="51.680000000000007"/>
    <n v="0"/>
    <n v="123278.82776015204"/>
  </r>
  <r>
    <d v="2025-11-09T00:00:00"/>
    <x v="4"/>
    <s v="ZENCEFİL TOZ"/>
    <m/>
    <x v="1"/>
    <s v="ST00000000155"/>
    <s v="SATIŞ"/>
    <s v="NAKİT"/>
    <n v="7.3999999999999996E-2"/>
    <n v="360"/>
    <n v="0"/>
    <n v="0"/>
    <n v="7.3999999999999996E-2"/>
    <m/>
    <n v="360"/>
    <m/>
    <n v="26.639999999999997"/>
    <n v="0"/>
    <n v="123305.46776015204"/>
  </r>
  <r>
    <d v="2025-11-09T00:00:00"/>
    <x v="4"/>
    <s v="LİMONTUZU PARCA"/>
    <m/>
    <x v="1"/>
    <s v="ST00000000155"/>
    <s v="SATIŞ"/>
    <s v="NAKİT"/>
    <n v="0.25"/>
    <n v="190"/>
    <n v="0"/>
    <n v="0"/>
    <n v="0.25"/>
    <m/>
    <n v="190"/>
    <m/>
    <n v="47.5"/>
    <n v="0"/>
    <n v="123352.96776015204"/>
  </r>
  <r>
    <d v="2025-11-09T00:00:00"/>
    <x v="4"/>
    <s v="NUTRAXİN BROMELAİN 500 MG 60 TABLET"/>
    <m/>
    <x v="1"/>
    <s v="ST00000000155"/>
    <s v="SATIŞ"/>
    <s v="NAKİT"/>
    <n v="1"/>
    <n v="210"/>
    <n v="0"/>
    <n v="0"/>
    <n v="1"/>
    <m/>
    <n v="210"/>
    <m/>
    <n v="210"/>
    <n v="0"/>
    <n v="123562.96776015204"/>
  </r>
  <r>
    <d v="2025-11-09T00:00:00"/>
    <x v="4"/>
    <s v="ÇEBELİZADE NİOLİ YAĞI 20 ML"/>
    <m/>
    <x v="1"/>
    <s v="ST00000000155"/>
    <s v="SATIŞ"/>
    <s v="NAKİT"/>
    <n v="1"/>
    <n v="140"/>
    <n v="0"/>
    <n v="0"/>
    <n v="1"/>
    <m/>
    <n v="140"/>
    <m/>
    <n v="140"/>
    <n v="0"/>
    <n v="123702.96776015204"/>
  </r>
  <r>
    <d v="2025-11-09T00:00:00"/>
    <x v="4"/>
    <s v="ÇUBUK TARÇIN"/>
    <m/>
    <x v="1"/>
    <s v="ST00000000155"/>
    <s v="SATIŞ"/>
    <s v="NAKİT"/>
    <n v="0.1"/>
    <n v="650"/>
    <n v="0"/>
    <n v="0"/>
    <n v="1"/>
    <m/>
    <n v="65"/>
    <m/>
    <n v="65"/>
    <n v="0"/>
    <n v="123767.96776015204"/>
  </r>
  <r>
    <d v="2025-11-09T00:00:00"/>
    <x v="4"/>
    <s v="DOMATES KURUSU"/>
    <m/>
    <x v="1"/>
    <s v="ST00000000155"/>
    <s v="SATIŞ"/>
    <s v="NAKİT"/>
    <n v="0.25"/>
    <n v="380"/>
    <n v="0"/>
    <n v="0"/>
    <n v="1"/>
    <m/>
    <n v="95"/>
    <m/>
    <n v="95"/>
    <n v="0"/>
    <n v="123862.96776015204"/>
  </r>
  <r>
    <d v="2025-11-09T00:00:00"/>
    <x v="4"/>
    <s v="DOLMALIK KURU PATLICAN"/>
    <m/>
    <x v="1"/>
    <s v="ST00000000155"/>
    <s v="SATIŞ"/>
    <s v="NAKİT"/>
    <n v="1"/>
    <n v="240"/>
    <n v="0"/>
    <n v="0"/>
    <n v="1"/>
    <m/>
    <n v="240"/>
    <m/>
    <n v="240"/>
    <n v="0"/>
    <n v="124102.96776015204"/>
  </r>
  <r>
    <d v="2025-11-09T00:00:00"/>
    <x v="4"/>
    <s v="DOLMALIK KURU ACI BİBER"/>
    <m/>
    <x v="1"/>
    <s v="ST00000000155"/>
    <s v="SATIŞ"/>
    <s v="NAKİT"/>
    <n v="1"/>
    <n v="200"/>
    <n v="0"/>
    <n v="0"/>
    <n v="1"/>
    <m/>
    <n v="200"/>
    <m/>
    <n v="200"/>
    <n v="0"/>
    <n v="124302.96776015204"/>
  </r>
  <r>
    <d v="2025-11-09T00:00:00"/>
    <x v="4"/>
    <s v="DOLMALIK SARI BİBER"/>
    <m/>
    <x v="1"/>
    <s v="ST00000000155"/>
    <s v="SATIŞ"/>
    <s v="NAKİT"/>
    <n v="1"/>
    <n v="200"/>
    <n v="0"/>
    <n v="0"/>
    <n v="1"/>
    <m/>
    <n v="200"/>
    <m/>
    <n v="200"/>
    <n v="0"/>
    <n v="124502.96776015204"/>
  </r>
  <r>
    <d v="2025-11-09T00:00:00"/>
    <x v="4"/>
    <s v="İSOT"/>
    <m/>
    <x v="1"/>
    <s v="ST00000000156"/>
    <s v="SATIŞ"/>
    <s v="NAKİT"/>
    <n v="0.57399999999999995"/>
    <n v="380"/>
    <n v="0"/>
    <n v="0"/>
    <n v="0.57399999999999995"/>
    <m/>
    <n v="380"/>
    <m/>
    <n v="218.11999999999998"/>
    <n v="0"/>
    <n v="124721.08776015203"/>
  </r>
  <r>
    <d v="2025-11-09T00:00:00"/>
    <x v="4"/>
    <s v="NANE İRİ"/>
    <m/>
    <x v="1"/>
    <s v="ST00000000156"/>
    <s v="SATIŞ"/>
    <s v="NAKİT"/>
    <n v="0.16"/>
    <n v="400"/>
    <n v="0"/>
    <n v="0"/>
    <n v="0.16"/>
    <m/>
    <n v="400"/>
    <m/>
    <n v="64"/>
    <n v="0"/>
    <n v="124785.08776015203"/>
  </r>
  <r>
    <d v="2025-11-09T00:00:00"/>
    <x v="4"/>
    <s v="NANE İRİ"/>
    <m/>
    <x v="1"/>
    <s v="ST00000000156"/>
    <s v="SATIŞ"/>
    <s v="NAKİT"/>
    <n v="0.156"/>
    <n v="400"/>
    <n v="0"/>
    <n v="0"/>
    <n v="0.156"/>
    <m/>
    <n v="400"/>
    <m/>
    <n v="62.4"/>
    <n v="0"/>
    <n v="124847.48776015203"/>
  </r>
  <r>
    <d v="2025-11-09T00:00:00"/>
    <x v="4"/>
    <s v="KEKİK LÜX"/>
    <m/>
    <x v="1"/>
    <s v="ST00000000156"/>
    <s v="SATIŞ"/>
    <s v="NAKİT"/>
    <n v="5.8000000000000003E-2"/>
    <n v="760"/>
    <n v="0"/>
    <n v="0"/>
    <n v="5.8000000000000003E-2"/>
    <m/>
    <n v="760"/>
    <m/>
    <n v="44.080000000000005"/>
    <n v="0"/>
    <n v="124891.56776015203"/>
  </r>
  <r>
    <d v="2025-11-09T00:00:00"/>
    <x v="4"/>
    <s v="DOMATES KURUSU"/>
    <m/>
    <x v="1"/>
    <s v="ST00000000156"/>
    <s v="SATIŞ"/>
    <s v="NAKİT"/>
    <n v="0.25"/>
    <n v="380"/>
    <n v="0"/>
    <n v="0"/>
    <n v="1"/>
    <m/>
    <n v="95"/>
    <m/>
    <n v="95"/>
    <n v="0"/>
    <n v="124986.56776015203"/>
  </r>
  <r>
    <d v="2025-11-09T00:00:00"/>
    <x v="4"/>
    <s v="WARITEX KABAK LİFİ ELDİVEN"/>
    <m/>
    <x v="1"/>
    <s v="ST00000000156"/>
    <s v="SATIŞ"/>
    <s v="NAKİT"/>
    <n v="1"/>
    <n v="100"/>
    <n v="0"/>
    <n v="0"/>
    <n v="1"/>
    <m/>
    <n v="100"/>
    <m/>
    <n v="100"/>
    <n v="0"/>
    <n v="125086.56776015203"/>
  </r>
  <r>
    <d v="2025-11-09T00:00:00"/>
    <x v="4"/>
    <s v="CEVİZLİ SUCUK ATOM (SARI)"/>
    <m/>
    <x v="1"/>
    <s v="ST00000000156"/>
    <s v="SATIŞ"/>
    <s v="NAKİT"/>
    <n v="0.46600000000000003"/>
    <n v="290"/>
    <n v="0"/>
    <n v="0"/>
    <n v="0.46600000000000003"/>
    <m/>
    <n v="290"/>
    <m/>
    <n v="135.14000000000001"/>
    <n v="0"/>
    <n v="125221.70776015203"/>
  </r>
  <r>
    <d v="2025-11-09T00:00:00"/>
    <x v="4"/>
    <s v="LOKUM KARIŞIK - TB"/>
    <m/>
    <x v="1"/>
    <s v="ST00000000156"/>
    <s v="SATIŞ"/>
    <s v="NAKİT"/>
    <n v="0.34200000000000003"/>
    <n v="195"/>
    <n v="0"/>
    <n v="0"/>
    <n v="0.34200000000000003"/>
    <m/>
    <n v="195"/>
    <m/>
    <n v="66.690000000000012"/>
    <n v="0"/>
    <n v="125288.39776015203"/>
  </r>
  <r>
    <d v="2025-11-09T00:00:00"/>
    <x v="4"/>
    <s v="SALÇA ACI (EV YAPIMI)"/>
    <m/>
    <x v="1"/>
    <s v="ST00000000156"/>
    <s v="SATIŞ"/>
    <s v="NAKİT"/>
    <n v="0.872"/>
    <n v="180"/>
    <n v="0"/>
    <n v="0"/>
    <n v="0.872"/>
    <m/>
    <n v="180"/>
    <m/>
    <n v="156.96"/>
    <n v="0"/>
    <n v="125445.35776015204"/>
  </r>
  <r>
    <d v="2025-11-09T00:00:00"/>
    <x v="4"/>
    <s v="TOZ BİBER - TATLI"/>
    <m/>
    <x v="1"/>
    <s v="ST00000000156"/>
    <s v="SATIŞ"/>
    <s v="NAKİT"/>
    <n v="0.29799999999999999"/>
    <n v="370"/>
    <n v="0"/>
    <n v="0"/>
    <n v="0.29799999999999999"/>
    <m/>
    <n v="370"/>
    <m/>
    <n v="110.25999999999999"/>
    <n v="0"/>
    <n v="125555.61776015203"/>
  </r>
  <r>
    <d v="2025-11-09T00:00:00"/>
    <x v="4"/>
    <s v="KÖFTE BAHARATI (YEDİTÜRLÜ)"/>
    <m/>
    <x v="1"/>
    <s v="ST00000000156"/>
    <s v="SATIŞ"/>
    <s v="NAKİT"/>
    <n v="0.126"/>
    <n v="410"/>
    <n v="0"/>
    <n v="0"/>
    <n v="0.126"/>
    <m/>
    <n v="410"/>
    <m/>
    <n v="51.660000000000004"/>
    <n v="0"/>
    <n v="125607.27776015204"/>
  </r>
  <r>
    <d v="2025-11-09T00:00:00"/>
    <x v="4"/>
    <s v="SOSLU MISIR YERLİ"/>
    <m/>
    <x v="1"/>
    <s v="ST00000000156"/>
    <s v="SATIŞ"/>
    <s v="NAKİT"/>
    <n v="0.06"/>
    <n v="150"/>
    <n v="0"/>
    <n v="0"/>
    <n v="0.06"/>
    <m/>
    <n v="150"/>
    <m/>
    <n v="9"/>
    <n v="0"/>
    <n v="125616.27776015204"/>
  </r>
  <r>
    <d v="2025-11-09T00:00:00"/>
    <x v="4"/>
    <s v="ŞİFAVER DEFNE GARLI HATAY SABUNU"/>
    <m/>
    <x v="1"/>
    <s v="ST00000000156"/>
    <s v="SATIŞ"/>
    <s v="NAKİT"/>
    <n v="2"/>
    <n v="40"/>
    <n v="0"/>
    <n v="0"/>
    <n v="2"/>
    <m/>
    <n v="40"/>
    <m/>
    <n v="80"/>
    <n v="0"/>
    <n v="125696.27776015204"/>
  </r>
  <r>
    <d v="2025-11-09T00:00:00"/>
    <x v="4"/>
    <s v="ZÜHRE ANA KARADUT ÖZÜ 670 GR"/>
    <m/>
    <x v="1"/>
    <s v="ST00000000156"/>
    <s v="SATIŞ"/>
    <s v="NAKİT"/>
    <n v="1"/>
    <n v="220"/>
    <n v="0"/>
    <n v="0"/>
    <n v="1"/>
    <m/>
    <n v="220"/>
    <m/>
    <n v="220"/>
    <n v="0"/>
    <n v="125916.27776015204"/>
  </r>
  <r>
    <d v="2025-11-09T00:00:00"/>
    <x v="4"/>
    <s v="LOBAS SAF NAR EKŞİSİ 1 KG"/>
    <m/>
    <x v="1"/>
    <s v="ST00000000156"/>
    <s v="SATIŞ"/>
    <s v="NAKİT"/>
    <n v="1"/>
    <n v="295"/>
    <n v="0"/>
    <n v="0"/>
    <n v="1"/>
    <m/>
    <n v="295"/>
    <m/>
    <n v="295"/>
    <n v="0"/>
    <n v="126211.27776015204"/>
  </r>
  <r>
    <d v="2025-11-09T00:00:00"/>
    <x v="4"/>
    <s v="BALPARMAK YAYLA VE OVA ÇİÇEK BALI 850 GR"/>
    <m/>
    <x v="1"/>
    <s v="ST00000000156"/>
    <s v="SATIŞ"/>
    <s v="NAKİT"/>
    <n v="1"/>
    <n v="440"/>
    <n v="0"/>
    <n v="0"/>
    <n v="1"/>
    <m/>
    <n v="440"/>
    <m/>
    <n v="440"/>
    <n v="0"/>
    <n v="126651.27776015204"/>
  </r>
  <r>
    <d v="2025-11-09T00:00:00"/>
    <x v="4"/>
    <s v="ŞENAY ÇAM KOZALAĞI PEKMEZİ 800 G"/>
    <m/>
    <x v="1"/>
    <s v="ST00000000156"/>
    <s v="SATIŞ"/>
    <s v="NAKİT"/>
    <n v="1"/>
    <n v="180"/>
    <n v="0"/>
    <n v="0"/>
    <n v="1"/>
    <m/>
    <n v="180"/>
    <m/>
    <n v="180"/>
    <n v="0"/>
    <n v="126831.27776015204"/>
  </r>
  <r>
    <d v="2025-11-09T00:00:00"/>
    <x v="4"/>
    <s v="UNİ BABY BEBEK ŞAMPUANI 900 ML"/>
    <m/>
    <x v="1"/>
    <s v="ST00000000156"/>
    <s v="SATIŞ"/>
    <s v="NAKİT"/>
    <n v="1"/>
    <n v="149"/>
    <n v="0"/>
    <n v="0"/>
    <n v="1"/>
    <m/>
    <n v="149"/>
    <m/>
    <n v="149"/>
    <n v="0"/>
    <n v="126980.27776015204"/>
  </r>
  <r>
    <d v="2025-11-09T00:00:00"/>
    <x v="4"/>
    <s v="ARKO EL VÜCUT KREMİ 150 ml"/>
    <m/>
    <x v="1"/>
    <s v="ST00000000156"/>
    <s v="SATIŞ"/>
    <s v="NAKİT"/>
    <n v="1"/>
    <n v="95"/>
    <n v="0"/>
    <n v="0"/>
    <n v="1"/>
    <m/>
    <n v="95"/>
    <m/>
    <n v="95"/>
    <n v="0"/>
    <n v="127075.27776015204"/>
  </r>
  <r>
    <d v="2025-11-09T00:00:00"/>
    <x v="4"/>
    <s v="ÇEBELİZADE NİOLİ YAĞI 20 ML"/>
    <m/>
    <x v="1"/>
    <s v="ST00000000156"/>
    <s v="SATIŞ"/>
    <s v="NAKİT"/>
    <n v="1"/>
    <n v="140"/>
    <n v="0"/>
    <n v="0"/>
    <n v="1"/>
    <m/>
    <n v="140"/>
    <m/>
    <n v="140"/>
    <n v="0"/>
    <n v="127215.27776015204"/>
  </r>
  <r>
    <d v="2025-11-09T00:00:00"/>
    <x v="4"/>
    <s v="ERBATAB VİTAMİN B12- FOLİK ASİT B9-METİLKOBALAMİN-METİLFOLAT"/>
    <m/>
    <x v="1"/>
    <s v="ST00000000156"/>
    <s v="SATIŞ"/>
    <s v="NAKİT"/>
    <n v="1"/>
    <n v="190"/>
    <n v="0"/>
    <n v="0"/>
    <n v="1"/>
    <m/>
    <n v="190"/>
    <m/>
    <n v="190"/>
    <n v="0"/>
    <n v="127405.27776015204"/>
  </r>
  <r>
    <d v="2025-11-09T00:00:00"/>
    <x v="4"/>
    <s v="TÜDAB ACUR TURŞUSU"/>
    <m/>
    <x v="1"/>
    <s v="ST00000000156"/>
    <s v="SATIŞ"/>
    <s v="NAKİT"/>
    <n v="1"/>
    <n v="350"/>
    <n v="0"/>
    <n v="0"/>
    <n v="1"/>
    <m/>
    <n v="350"/>
    <m/>
    <n v="350"/>
    <n v="0"/>
    <n v="127755.27776015204"/>
  </r>
  <r>
    <d v="2025-11-09T00:00:00"/>
    <x v="4"/>
    <s v="KARABİBER ÇEKİLMİŞ"/>
    <m/>
    <x v="1"/>
    <s v="ST00000000157"/>
    <s v="SATIŞ"/>
    <s v="NAKİT"/>
    <n v="0.26"/>
    <n v="640"/>
    <n v="0"/>
    <n v="0"/>
    <n v="0.26"/>
    <m/>
    <n v="640"/>
    <m/>
    <n v="166.4"/>
    <n v="0"/>
    <n v="127921.67776015203"/>
  </r>
  <r>
    <d v="2025-11-09T00:00:00"/>
    <x v="4"/>
    <s v="HİNDİSTAN CEVİZİ ( İRİ )"/>
    <m/>
    <x v="1"/>
    <s v="ST00000000157"/>
    <s v="SATIŞ"/>
    <s v="NAKİT"/>
    <n v="0.1"/>
    <n v="600"/>
    <n v="0"/>
    <n v="0"/>
    <n v="1"/>
    <m/>
    <n v="60"/>
    <m/>
    <n v="60"/>
    <n v="0"/>
    <n v="127981.67776015203"/>
  </r>
  <r>
    <d v="2025-11-09T00:00:00"/>
    <x v="4"/>
    <s v="SUMAK"/>
    <m/>
    <x v="1"/>
    <s v="ST00000000157"/>
    <s v="SATIŞ"/>
    <s v="NAKİT"/>
    <n v="0.27"/>
    <n v="500"/>
    <n v="0"/>
    <n v="0"/>
    <n v="0.27"/>
    <m/>
    <n v="500"/>
    <m/>
    <n v="135"/>
    <n v="0"/>
    <n v="128116.67776015203"/>
  </r>
  <r>
    <d v="2025-11-09T00:00:00"/>
    <x v="4"/>
    <s v="İSOT"/>
    <m/>
    <x v="1"/>
    <s v="ST00000000157"/>
    <s v="SATIŞ"/>
    <s v="NAKİT"/>
    <n v="0.248"/>
    <n v="380"/>
    <n v="0"/>
    <n v="0"/>
    <n v="0.248"/>
    <m/>
    <n v="380"/>
    <m/>
    <n v="94.24"/>
    <n v="0"/>
    <n v="128210.91776015204"/>
  </r>
  <r>
    <d v="2025-11-09T00:00:00"/>
    <x v="4"/>
    <s v="SUSAM"/>
    <m/>
    <x v="1"/>
    <s v="ST00000000157"/>
    <s v="SATIŞ"/>
    <s v="NAKİT"/>
    <n v="0.1"/>
    <n v="400"/>
    <n v="0"/>
    <n v="0"/>
    <n v="1"/>
    <m/>
    <n v="40"/>
    <m/>
    <n v="40"/>
    <n v="0"/>
    <n v="128250.91776015204"/>
  </r>
  <r>
    <d v="2025-11-09T00:00:00"/>
    <x v="4"/>
    <s v="KARIŞIK KURUYEMİŞ"/>
    <m/>
    <x v="1"/>
    <s v="ST00000000157"/>
    <s v="SATIŞ"/>
    <s v="NAKİT"/>
    <n v="0.23599999999999999"/>
    <n v="850"/>
    <n v="0"/>
    <n v="0"/>
    <n v="1"/>
    <m/>
    <n v="200"/>
    <m/>
    <n v="200.6"/>
    <n v="0"/>
    <n v="128451.51776015204"/>
  </r>
  <r>
    <d v="2025-11-09T00:00:00"/>
    <x v="4"/>
    <s v="NAHİTA ALIÇ SİRKESİ 500 ML"/>
    <m/>
    <x v="1"/>
    <s v="ST00000000157"/>
    <s v="SATIŞ"/>
    <s v="NAKİT"/>
    <n v="1"/>
    <n v="140"/>
    <n v="0"/>
    <n v="0"/>
    <n v="1"/>
    <m/>
    <n v="140"/>
    <m/>
    <n v="140"/>
    <n v="0"/>
    <n v="128591.51776015204"/>
  </r>
  <r>
    <d v="2025-11-09T00:00:00"/>
    <x v="4"/>
    <s v="KAJUN BAHARATI - CAJUN SEASONING 1000 GR"/>
    <m/>
    <x v="1"/>
    <s v="ST00000000158"/>
    <s v="SATIŞ"/>
    <s v="NAKİT"/>
    <n v="0.1"/>
    <n v="750"/>
    <n v="0"/>
    <n v="0"/>
    <n v="1"/>
    <m/>
    <n v="75"/>
    <m/>
    <n v="75"/>
    <n v="0"/>
    <n v="128666.51776015204"/>
  </r>
  <r>
    <d v="2025-11-09T00:00:00"/>
    <x v="4"/>
    <s v="TÜDAB ANDIZ PEKMEZİ 450 GR"/>
    <m/>
    <x v="1"/>
    <s v="ST00000000158"/>
    <s v="SATIŞ"/>
    <s v="NAKİT"/>
    <n v="1"/>
    <n v="190"/>
    <n v="0"/>
    <n v="0"/>
    <n v="1"/>
    <m/>
    <n v="190"/>
    <m/>
    <n v="190"/>
    <n v="0"/>
    <n v="128856.51776015204"/>
  </r>
  <r>
    <d v="2025-11-09T00:00:00"/>
    <x v="4"/>
    <s v="ÇUBUK TARÇIN"/>
    <m/>
    <x v="1"/>
    <s v="ST00000000158"/>
    <s v="SATIŞ"/>
    <s v="NAKİT"/>
    <n v="0.1"/>
    <n v="650"/>
    <n v="0"/>
    <n v="0"/>
    <n v="1"/>
    <m/>
    <n v="65"/>
    <m/>
    <n v="65"/>
    <n v="0"/>
    <n v="128921.51776015204"/>
  </r>
  <r>
    <d v="2025-11-09T00:00:00"/>
    <x v="4"/>
    <s v="MACUN VİP"/>
    <m/>
    <x v="1"/>
    <s v="ST00000000158"/>
    <s v="SATIŞ"/>
    <s v="NAKİT"/>
    <n v="1"/>
    <n v="600"/>
    <n v="0"/>
    <n v="0"/>
    <n v="1"/>
    <m/>
    <n v="600"/>
    <m/>
    <n v="600"/>
    <n v="0"/>
    <n v="129521.51776015204"/>
  </r>
  <r>
    <d v="2025-11-09T00:00:00"/>
    <x v="4"/>
    <s v="EVLİK BİBER"/>
    <m/>
    <x v="5"/>
    <s v="ST00000000159"/>
    <s v="SATIŞ"/>
    <s v="POS"/>
    <n v="0.26400000000000001"/>
    <n v="420"/>
    <n v="110.88000000000001"/>
    <n v="0"/>
    <n v="0.26400000000000001"/>
    <m/>
    <n v="420"/>
    <m/>
    <n v="0"/>
    <n v="0"/>
    <n v="129521.51776015204"/>
  </r>
  <r>
    <d v="2025-11-09T00:00:00"/>
    <x v="4"/>
    <s v="ÇUBUK TARÇIN"/>
    <m/>
    <x v="5"/>
    <s v="ST00000000159"/>
    <s v="SATIŞ"/>
    <s v="POS"/>
    <n v="0.1"/>
    <n v="650"/>
    <n v="65"/>
    <n v="0"/>
    <n v="1"/>
    <m/>
    <n v="65"/>
    <m/>
    <n v="0"/>
    <n v="0"/>
    <n v="129521.51776015204"/>
  </r>
  <r>
    <d v="2025-11-09T00:00:00"/>
    <x v="4"/>
    <s v="GÜNAYDIN KAYA TUZU İRİ"/>
    <m/>
    <x v="5"/>
    <s v="ST00000000159"/>
    <s v="SATIŞ"/>
    <s v="POS"/>
    <n v="0.5"/>
    <n v="80"/>
    <n v="40"/>
    <n v="0"/>
    <n v="1"/>
    <m/>
    <n v="40"/>
    <m/>
    <n v="0"/>
    <n v="0"/>
    <n v="129521.51776015204"/>
  </r>
  <r>
    <d v="2025-11-09T00:00:00"/>
    <x v="4"/>
    <s v="DOLMALIK SARI BİBER"/>
    <m/>
    <x v="1"/>
    <s v="ST00000000160"/>
    <s v="SATIŞ"/>
    <s v="NAKİT"/>
    <n v="1"/>
    <n v="200"/>
    <n v="0"/>
    <n v="0"/>
    <n v="1"/>
    <m/>
    <n v="200"/>
    <m/>
    <n v="200"/>
    <n v="0"/>
    <n v="129721.51776015204"/>
  </r>
  <r>
    <d v="2025-11-09T00:00:00"/>
    <x v="4"/>
    <s v="EVLİK BİBER"/>
    <m/>
    <x v="1"/>
    <s v="ST00000000160"/>
    <s v="SATIŞ"/>
    <s v="NAKİT"/>
    <n v="0.316"/>
    <n v="380"/>
    <n v="0"/>
    <n v="0"/>
    <n v="0.316"/>
    <m/>
    <n v="380"/>
    <m/>
    <n v="120.08"/>
    <n v="0"/>
    <n v="129841.59776015204"/>
  </r>
  <r>
    <d v="2025-11-09T00:00:00"/>
    <x v="4"/>
    <s v="KARABİBER ÇEKİLMİŞ"/>
    <m/>
    <x v="1"/>
    <s v="ST00000000160"/>
    <s v="SATIŞ"/>
    <s v="NAKİT"/>
    <n v="8.4000000000000005E-2"/>
    <n v="640"/>
    <n v="0"/>
    <n v="0"/>
    <n v="8.4000000000000005E-2"/>
    <m/>
    <n v="640"/>
    <m/>
    <n v="53.760000000000005"/>
    <n v="0"/>
    <n v="129895.35776015204"/>
  </r>
  <r>
    <d v="2025-11-09T00:00:00"/>
    <x v="4"/>
    <s v="GÜNAYDIN KAYA TUZU İRİ"/>
    <m/>
    <x v="1"/>
    <s v="ST00000000160"/>
    <s v="SATIŞ"/>
    <s v="NAKİT"/>
    <n v="0.5"/>
    <n v="80"/>
    <n v="0"/>
    <n v="0"/>
    <n v="1"/>
    <m/>
    <n v="40"/>
    <m/>
    <n v="40"/>
    <n v="0"/>
    <n v="129935.35776015204"/>
  </r>
  <r>
    <d v="2025-11-09T00:00:00"/>
    <x v="4"/>
    <s v="DOLMALIK SARI BİBER"/>
    <m/>
    <x v="1"/>
    <s v="ST00000000161"/>
    <s v="SATIŞ"/>
    <s v="NAKİT"/>
    <n v="1"/>
    <n v="200"/>
    <n v="0"/>
    <n v="0"/>
    <n v="1"/>
    <m/>
    <n v="200"/>
    <m/>
    <n v="200"/>
    <n v="0"/>
    <n v="130135.35776015204"/>
  </r>
  <r>
    <d v="2025-11-09T00:00:00"/>
    <x v="4"/>
    <s v="DOLMALIK SARI BİBER"/>
    <m/>
    <x v="1"/>
    <s v="ST00000000162"/>
    <s v="SATIŞ"/>
    <s v="NAKİT"/>
    <n v="2"/>
    <n v="200"/>
    <n v="0"/>
    <n v="0"/>
    <n v="2"/>
    <m/>
    <n v="200"/>
    <m/>
    <n v="400"/>
    <n v="0"/>
    <n v="130535.35776015204"/>
  </r>
  <r>
    <d v="2025-11-09T00:00:00"/>
    <x v="4"/>
    <s v="LOKUM KARIŞIK - TB"/>
    <m/>
    <x v="1"/>
    <s v="ST00000000163"/>
    <s v="SATIŞ"/>
    <s v="NAKİT"/>
    <n v="0.39600000000000002"/>
    <n v="195"/>
    <n v="0"/>
    <n v="0"/>
    <n v="0.39600000000000002"/>
    <m/>
    <n v="195"/>
    <m/>
    <n v="77.22"/>
    <n v="0"/>
    <n v="130612.57776015204"/>
  </r>
  <r>
    <d v="2025-11-09T00:00:00"/>
    <x v="4"/>
    <s v="SOSLU MISIR YERLİ"/>
    <m/>
    <x v="1"/>
    <s v="ST00000000163"/>
    <s v="SATIŞ"/>
    <s v="NAKİT"/>
    <n v="0.25"/>
    <n v="150"/>
    <n v="0"/>
    <n v="0"/>
    <n v="0.25"/>
    <m/>
    <n v="150"/>
    <m/>
    <n v="37.5"/>
    <n v="0"/>
    <n v="130650.07776015204"/>
  </r>
  <r>
    <d v="2025-11-09T00:00:00"/>
    <x v="4"/>
    <s v="KABUKLU CEVİZ (ŞİLİ)"/>
    <m/>
    <x v="1"/>
    <s v="ST00000000163"/>
    <s v="SATIŞ"/>
    <s v="NAKİT"/>
    <n v="0.52200000000000002"/>
    <n v="290"/>
    <n v="0"/>
    <n v="0"/>
    <n v="0.52200000000000002"/>
    <m/>
    <n v="290"/>
    <m/>
    <n v="151.38"/>
    <n v="0"/>
    <n v="130801.45776015204"/>
  </r>
  <r>
    <d v="2025-11-10T00:00:00"/>
    <x v="3"/>
    <s v="GENÇLEBİ ÇAKILTAŞI DRAJE"/>
    <m/>
    <x v="4"/>
    <s v="FT00000000007"/>
    <s v="TÜDAB A.Ş."/>
    <s v="CARİ"/>
    <n v="5"/>
    <n v="125"/>
    <n v="0"/>
    <n v="625"/>
    <m/>
    <n v="5"/>
    <m/>
    <n v="125"/>
    <n v="0"/>
    <n v="0"/>
    <n v="130801.45776015204"/>
  </r>
  <r>
    <d v="2025-11-10T00:00:00"/>
    <x v="3"/>
    <s v="KAJU 240 LIK EKSTRA"/>
    <m/>
    <x v="4"/>
    <s v="FT00000000007"/>
    <s v="TÜDAB A.Ş."/>
    <s v="CARİ"/>
    <n v="5"/>
    <n v="435"/>
    <n v="0"/>
    <n v="2175"/>
    <m/>
    <n v="5"/>
    <m/>
    <n v="435"/>
    <n v="0"/>
    <n v="0"/>
    <n v="130801.45776015204"/>
  </r>
  <r>
    <d v="2025-11-10T00:00:00"/>
    <x v="3"/>
    <s v="LAHANA TURŞUSU 5 KG"/>
    <m/>
    <x v="4"/>
    <s v="FT00000000007"/>
    <s v="TÜDAB A.Ş."/>
    <s v="CARİ"/>
    <n v="10"/>
    <n v="205"/>
    <n v="0"/>
    <n v="2050"/>
    <m/>
    <n v="10"/>
    <m/>
    <n v="205"/>
    <n v="0"/>
    <n v="0"/>
    <n v="130801.45776015204"/>
  </r>
  <r>
    <d v="2025-11-10T00:00:00"/>
    <x v="3"/>
    <s v="LOBAS SAF NAR EKŞİSİ 1 KG"/>
    <m/>
    <x v="4"/>
    <s v="FT00000000007"/>
    <s v="TÜDAB A.Ş."/>
    <s v="CARİ"/>
    <n v="6"/>
    <n v="225"/>
    <n v="0"/>
    <n v="1350"/>
    <m/>
    <n v="6"/>
    <m/>
    <n v="225"/>
    <n v="0"/>
    <n v="0"/>
    <n v="130801.45776015204"/>
  </r>
  <r>
    <d v="2025-11-10T00:00:00"/>
    <x v="3"/>
    <s v="NBN DAĞ İNCİRİ"/>
    <m/>
    <x v="4"/>
    <s v="FT00000000007"/>
    <s v="TÜDAB A.Ş."/>
    <s v="CARİ"/>
    <n v="5"/>
    <n v="550"/>
    <n v="0"/>
    <n v="2750"/>
    <m/>
    <n v="5"/>
    <m/>
    <n v="550"/>
    <n v="0"/>
    <n v="0"/>
    <n v="130801.45776015204"/>
  </r>
  <r>
    <d v="2025-11-10T00:00:00"/>
    <x v="3"/>
    <s v="TÜDAB ANDIZ PEKMEZİ 450 GR"/>
    <m/>
    <x v="4"/>
    <s v="FT00000000007"/>
    <s v="TÜDAB A.Ş."/>
    <s v="CARİ"/>
    <n v="11"/>
    <n v="115"/>
    <n v="0"/>
    <n v="1265"/>
    <m/>
    <n v="11"/>
    <m/>
    <n v="115"/>
    <n v="0"/>
    <n v="0"/>
    <n v="130801.45776015204"/>
  </r>
  <r>
    <d v="2025-11-10T00:00:00"/>
    <x v="3"/>
    <s v="TÜDAB KARIŞIK TURŞU"/>
    <m/>
    <x v="4"/>
    <s v="FT00000000007"/>
    <s v="TÜDAB A.Ş."/>
    <s v="CARİ"/>
    <n v="10"/>
    <n v="265"/>
    <n v="0"/>
    <n v="2650"/>
    <m/>
    <n v="10"/>
    <m/>
    <n v="265"/>
    <n v="0"/>
    <n v="0"/>
    <n v="130801.45776015204"/>
  </r>
  <r>
    <d v="2025-11-10T00:00:00"/>
    <x v="3"/>
    <s v="YEŞİL ÇAY YAPRAK"/>
    <m/>
    <x v="4"/>
    <s v="FT00000000007"/>
    <s v="TÜDAB A.Ş."/>
    <s v="CARİ"/>
    <n v="1"/>
    <n v="290"/>
    <n v="0"/>
    <n v="290"/>
    <m/>
    <n v="1"/>
    <m/>
    <n v="290"/>
    <n v="0"/>
    <n v="0"/>
    <n v="130801.45776015204"/>
  </r>
  <r>
    <d v="2025-11-10T00:00:00"/>
    <x v="3"/>
    <s v="ŞENAY ÇAM KOZALAĞI PEKMEZİ 800 G"/>
    <m/>
    <x v="4"/>
    <s v="FT00000000007"/>
    <s v="TÜDAB A.Ş."/>
    <s v="CARİ"/>
    <n v="12"/>
    <n v="95"/>
    <n v="0"/>
    <n v="1140"/>
    <m/>
    <n v="12"/>
    <m/>
    <n v="95"/>
    <n v="0"/>
    <n v="0"/>
    <n v="130801.45776015204"/>
  </r>
  <r>
    <d v="2025-11-10T00:00:00"/>
    <x v="1"/>
    <m/>
    <s v="GİDER SAYILAN DEMİRBAŞ"/>
    <x v="2"/>
    <s v="FT00000000013"/>
    <s v="HB-MT OFİS KIRTASİYE - RAF ETİKETİ - 400 MİCRON PVC 38x100 100 ADET"/>
    <s v="K.K."/>
    <n v="1"/>
    <n v="450.41"/>
    <n v="0"/>
    <n v="450.41"/>
    <m/>
    <n v="1"/>
    <m/>
    <n v="450.41"/>
    <n v="0"/>
    <n v="0"/>
    <n v="130801.45776015204"/>
  </r>
  <r>
    <d v="2025-11-10T00:00:00"/>
    <x v="3"/>
    <s v="ZÜHRE ANA BROMELAİN ANANAS İÇEREN DETOX ŞURUBU 250 ML"/>
    <m/>
    <x v="2"/>
    <s v="FT00000000024"/>
    <s v="TR"/>
    <s v="K.K."/>
    <n v="5"/>
    <n v="141.9"/>
    <n v="0"/>
    <n v="709.5"/>
    <m/>
    <n v="5"/>
    <m/>
    <n v="141.9"/>
    <n v="0"/>
    <n v="0"/>
    <n v="130801.45776015204"/>
  </r>
  <r>
    <d v="2025-11-10T00:00:00"/>
    <x v="3"/>
    <s v="ZÜHRE ANA HURMA ÖZÜ 350 GR"/>
    <m/>
    <x v="2"/>
    <s v="FT00000000025"/>
    <s v="TR"/>
    <s v="K.K."/>
    <n v="1"/>
    <n v="140.77000000000001"/>
    <n v="0"/>
    <n v="140.77000000000001"/>
    <m/>
    <n v="1"/>
    <m/>
    <n v="140.77000000000001"/>
    <n v="0"/>
    <n v="0"/>
    <n v="130801.45776015204"/>
  </r>
  <r>
    <d v="2025-11-10T00:00:00"/>
    <x v="3"/>
    <s v="ZÜHRE ANA IŞGIN SİRKESİ 500 ML"/>
    <m/>
    <x v="2"/>
    <s v="FT00000000025"/>
    <s v="TR"/>
    <s v="K.K."/>
    <n v="2"/>
    <n v="140.77000000000001"/>
    <n v="0"/>
    <n v="281.54000000000002"/>
    <m/>
    <n v="2"/>
    <m/>
    <n v="140.77000000000001"/>
    <n v="0"/>
    <n v="0"/>
    <n v="130801.45776015204"/>
  </r>
  <r>
    <d v="2025-11-10T00:00:00"/>
    <x v="3"/>
    <s v="ZÜHRE ANA ANANAS SİRKESİ 500 ML"/>
    <m/>
    <x v="2"/>
    <s v="FT00000000025"/>
    <s v="TR"/>
    <s v="K.K."/>
    <n v="2"/>
    <n v="148.6"/>
    <n v="0"/>
    <n v="297.2"/>
    <m/>
    <n v="2"/>
    <m/>
    <n v="148.6"/>
    <n v="0"/>
    <n v="0"/>
    <n v="130801.45776015204"/>
  </r>
  <r>
    <d v="2025-11-10T00:00:00"/>
    <x v="4"/>
    <s v="KARABİBER ÇEKİLMİŞ"/>
    <m/>
    <x v="1"/>
    <s v="ST00000000164"/>
    <s v="SATIŞ"/>
    <s v="NAKİT"/>
    <n v="0.06"/>
    <n v="640"/>
    <n v="0"/>
    <n v="0"/>
    <n v="0.06"/>
    <m/>
    <n v="640"/>
    <m/>
    <n v="38.4"/>
    <n v="0"/>
    <n v="130839.85776015204"/>
  </r>
  <r>
    <d v="2025-11-10T00:00:00"/>
    <x v="4"/>
    <s v="EVLİK BİBER"/>
    <m/>
    <x v="1"/>
    <s v="ST00000000164"/>
    <s v="SATIŞ"/>
    <s v="NAKİT"/>
    <n v="5.1999999999999998E-2"/>
    <n v="380"/>
    <n v="0"/>
    <n v="0"/>
    <n v="5.1999999999999998E-2"/>
    <m/>
    <n v="380"/>
    <m/>
    <n v="19.759999999999998"/>
    <n v="0"/>
    <n v="130859.61776015203"/>
  </r>
  <r>
    <d v="2025-11-10T00:00:00"/>
    <x v="4"/>
    <s v="NANE İRİ"/>
    <m/>
    <x v="1"/>
    <s v="ST00000000164"/>
    <s v="SATIŞ"/>
    <s v="NAKİT"/>
    <n v="2.8000000000000001E-2"/>
    <n v="400"/>
    <n v="0"/>
    <n v="0"/>
    <n v="2.8000000000000001E-2"/>
    <m/>
    <n v="400"/>
    <m/>
    <n v="11.200000000000001"/>
    <n v="0"/>
    <n v="130870.81776015203"/>
  </r>
  <r>
    <d v="2025-11-10T00:00:00"/>
    <x v="4"/>
    <s v="KEKİK LÜX"/>
    <m/>
    <x v="1"/>
    <s v="ST00000000164"/>
    <s v="SATIŞ"/>
    <s v="NAKİT"/>
    <n v="2.4E-2"/>
    <n v="760"/>
    <n v="0"/>
    <n v="0"/>
    <n v="2.4E-2"/>
    <m/>
    <n v="760"/>
    <m/>
    <n v="18.240000000000002"/>
    <n v="0"/>
    <n v="130889.05776015203"/>
  </r>
  <r>
    <d v="2025-11-10T00:00:00"/>
    <x v="4"/>
    <s v="MEDİNE HURMA DUBLE"/>
    <m/>
    <x v="1"/>
    <s v="ST00000000165"/>
    <s v="SATIŞ"/>
    <s v="NAKİT"/>
    <n v="1"/>
    <n v="600"/>
    <n v="0"/>
    <n v="0"/>
    <n v="1"/>
    <m/>
    <n v="600"/>
    <m/>
    <n v="600"/>
    <n v="0"/>
    <n v="131489.05776015203"/>
  </r>
  <r>
    <d v="2025-11-10T00:00:00"/>
    <x v="4"/>
    <s v="NBN DAĞ İNCİRİ"/>
    <m/>
    <x v="1"/>
    <s v="ST00000000165"/>
    <s v="SATIŞ"/>
    <s v="NAKİT"/>
    <n v="1"/>
    <n v="700"/>
    <n v="0"/>
    <n v="0"/>
    <n v="1"/>
    <m/>
    <n v="700"/>
    <m/>
    <n v="700"/>
    <n v="0"/>
    <n v="132189.05776015203"/>
  </r>
  <r>
    <d v="2025-11-10T00:00:00"/>
    <x v="4"/>
    <s v="KARABİBER ÇEKİLMİŞ"/>
    <m/>
    <x v="1"/>
    <s v="ST00000000166"/>
    <s v="SATIŞ"/>
    <s v="NAKİT"/>
    <n v="0.157"/>
    <n v="640"/>
    <n v="0"/>
    <n v="0"/>
    <n v="0.157"/>
    <m/>
    <n v="640"/>
    <m/>
    <n v="100.48"/>
    <n v="0"/>
    <n v="132289.53776015204"/>
  </r>
  <r>
    <d v="2025-11-10T00:00:00"/>
    <x v="4"/>
    <s v="KEKİK LÜX"/>
    <m/>
    <x v="1"/>
    <s v="ST00000000166"/>
    <s v="SATIŞ"/>
    <s v="NAKİT"/>
    <n v="0.13500000000000001"/>
    <n v="760"/>
    <n v="0"/>
    <n v="0"/>
    <n v="0.13500000000000001"/>
    <m/>
    <n v="760"/>
    <m/>
    <n v="102.60000000000001"/>
    <n v="0"/>
    <n v="132392.13776015205"/>
  </r>
  <r>
    <d v="2025-11-10T00:00:00"/>
    <x v="4"/>
    <s v="ŞENAY SUMAK EKŞİSİ 600 GR"/>
    <m/>
    <x v="1"/>
    <s v="ST00000000166"/>
    <s v="SATIŞ"/>
    <s v="NAKİT"/>
    <n v="1"/>
    <n v="190"/>
    <n v="0"/>
    <n v="0"/>
    <n v="1"/>
    <m/>
    <n v="190"/>
    <m/>
    <n v="190"/>
    <n v="0"/>
    <n v="132582.13776015205"/>
  </r>
  <r>
    <d v="2025-11-10T00:00:00"/>
    <x v="4"/>
    <s v="DOLMALIK KURU KABAK"/>
    <m/>
    <x v="1"/>
    <s v="ST00000000166"/>
    <s v="SATIŞ"/>
    <s v="NAKİT"/>
    <n v="1"/>
    <n v="260"/>
    <n v="0"/>
    <n v="0"/>
    <n v="1"/>
    <m/>
    <n v="260"/>
    <m/>
    <n v="260"/>
    <n v="0"/>
    <n v="132842.13776015205"/>
  </r>
  <r>
    <d v="2025-11-10T00:00:00"/>
    <x v="4"/>
    <s v="KARABİBER ÇEKİLMİŞ"/>
    <m/>
    <x v="1"/>
    <s v="ST00000000167"/>
    <s v="SATIŞ"/>
    <s v="NAKİT"/>
    <n v="1"/>
    <n v="640"/>
    <n v="0"/>
    <n v="0"/>
    <n v="1"/>
    <m/>
    <n v="640"/>
    <m/>
    <n v="640"/>
    <n v="0"/>
    <n v="133482.13776015205"/>
  </r>
  <r>
    <d v="2025-11-10T00:00:00"/>
    <x v="4"/>
    <s v="TOZ BİBER - TATLI"/>
    <m/>
    <x v="1"/>
    <s v="ST00000000167"/>
    <s v="SATIŞ"/>
    <s v="NAKİT"/>
    <n v="1"/>
    <n v="370"/>
    <n v="0"/>
    <n v="0"/>
    <n v="1"/>
    <m/>
    <n v="370"/>
    <m/>
    <n v="370"/>
    <n v="0"/>
    <n v="133852.13776015205"/>
  </r>
  <r>
    <d v="2025-11-10T00:00:00"/>
    <x v="4"/>
    <s v="NANE İRİ"/>
    <m/>
    <x v="1"/>
    <s v="ST00000000167"/>
    <s v="SATIŞ"/>
    <s v="NAKİT"/>
    <n v="0.29399999999999998"/>
    <n v="400"/>
    <n v="0"/>
    <n v="0"/>
    <n v="0.29399999999999998"/>
    <m/>
    <n v="400"/>
    <m/>
    <n v="117.6"/>
    <n v="0"/>
    <n v="133969.73776015206"/>
  </r>
  <r>
    <d v="2025-11-10T00:00:00"/>
    <x v="4"/>
    <s v="ŞENAY SUMAK EKŞİSİ 600 GR"/>
    <m/>
    <x v="1"/>
    <s v="ST00000000167"/>
    <s v="SATIŞ"/>
    <s v="NAKİT"/>
    <n v="1"/>
    <n v="190"/>
    <n v="0"/>
    <n v="0"/>
    <n v="1"/>
    <m/>
    <n v="190"/>
    <m/>
    <n v="190"/>
    <n v="0"/>
    <n v="134159.73776015206"/>
  </r>
  <r>
    <d v="2025-11-10T00:00:00"/>
    <x v="4"/>
    <s v="ZÜHRE ANA KARADUT ÖZÜ 670 GR"/>
    <m/>
    <x v="1"/>
    <s v="ST00000000167"/>
    <s v="SATIŞ"/>
    <s v="NAKİT"/>
    <n v="1"/>
    <n v="220"/>
    <n v="0"/>
    <n v="0"/>
    <n v="1"/>
    <m/>
    <n v="220"/>
    <m/>
    <n v="220"/>
    <n v="0"/>
    <n v="134379.73776015206"/>
  </r>
  <r>
    <d v="2025-11-10T00:00:00"/>
    <x v="4"/>
    <s v="TOZ BİBER - TATLI"/>
    <m/>
    <x v="1"/>
    <s v="ST00000000168"/>
    <s v="SATIŞ"/>
    <s v="NAKİT"/>
    <n v="1"/>
    <n v="370"/>
    <n v="0"/>
    <n v="0"/>
    <n v="1"/>
    <m/>
    <n v="370"/>
    <m/>
    <n v="370"/>
    <n v="0"/>
    <n v="134749.73776015206"/>
  </r>
  <r>
    <d v="2025-11-10T00:00:00"/>
    <x v="4"/>
    <s v="ŞENAY SUMAK EKŞİSİ 600 GR"/>
    <m/>
    <x v="1"/>
    <s v="ST00000000168"/>
    <s v="SATIŞ"/>
    <s v="NAKİT"/>
    <n v="1"/>
    <n v="190"/>
    <n v="0"/>
    <n v="0"/>
    <n v="1"/>
    <m/>
    <n v="190"/>
    <m/>
    <n v="190"/>
    <n v="0"/>
    <n v="134939.73776015206"/>
  </r>
  <r>
    <d v="2025-11-10T00:00:00"/>
    <x v="4"/>
    <s v="KEKİK LÜX"/>
    <m/>
    <x v="1"/>
    <s v="ST00000000168"/>
    <s v="SATIŞ"/>
    <s v="NAKİT"/>
    <n v="0.21199999999999999"/>
    <n v="760"/>
    <n v="0"/>
    <n v="0"/>
    <n v="0.21199999999999999"/>
    <m/>
    <n v="760"/>
    <m/>
    <n v="161.12"/>
    <n v="0"/>
    <n v="135100.85776015205"/>
  </r>
  <r>
    <d v="2025-11-10T00:00:00"/>
    <x v="4"/>
    <s v="KAYSERİ PAZARI ŞEKERSİZ 1000 ML - GİLABURU"/>
    <m/>
    <x v="1"/>
    <s v="ST00000000168"/>
    <s v="SATIŞ"/>
    <s v="NAKİT"/>
    <n v="1"/>
    <n v="225"/>
    <n v="0"/>
    <n v="0"/>
    <n v="1"/>
    <m/>
    <n v="225"/>
    <m/>
    <n v="225"/>
    <n v="0"/>
    <n v="135325.85776015205"/>
  </r>
  <r>
    <d v="2025-11-10T00:00:00"/>
    <x v="4"/>
    <s v="LEBLEBİ ÇİFTE SARI"/>
    <m/>
    <x v="1"/>
    <s v="ST00000000169"/>
    <s v="SATIŞ"/>
    <s v="NAKİT"/>
    <n v="0.22600000000000001"/>
    <n v="230"/>
    <n v="0"/>
    <n v="0"/>
    <n v="0.22600000000000001"/>
    <m/>
    <n v="230"/>
    <m/>
    <n v="51.980000000000004"/>
    <n v="0"/>
    <n v="135377.83776015206"/>
  </r>
  <r>
    <d v="2025-11-10T00:00:00"/>
    <x v="4"/>
    <s v="LEBLEBİ ŞEKER LÜX"/>
    <m/>
    <x v="1"/>
    <s v="ST00000000169"/>
    <s v="SATIŞ"/>
    <s v="NAKİT"/>
    <n v="0.24399999999999999"/>
    <n v="190"/>
    <n v="0"/>
    <n v="0"/>
    <n v="0.24399999999999999"/>
    <m/>
    <n v="190"/>
    <m/>
    <n v="46.36"/>
    <n v="0"/>
    <n v="135424.19776015205"/>
  </r>
  <r>
    <d v="2025-11-10T00:00:00"/>
    <x v="4"/>
    <s v="KARIŞIK KURUYEMİŞ"/>
    <m/>
    <x v="1"/>
    <s v="ST00000000169"/>
    <s v="SATIŞ"/>
    <s v="NAKİT"/>
    <n v="0.23599999999999999"/>
    <n v="850"/>
    <n v="0"/>
    <n v="0"/>
    <n v="1"/>
    <m/>
    <n v="200"/>
    <m/>
    <n v="200.6"/>
    <n v="0"/>
    <n v="135624.79776015205"/>
  </r>
  <r>
    <d v="2025-11-10T00:00:00"/>
    <x v="4"/>
    <s v="SEYHAN ÜZÜM ÖZEL"/>
    <m/>
    <x v="1"/>
    <s v="ST00000000170"/>
    <s v="SATIŞ"/>
    <s v="NAKİT"/>
    <n v="0.15"/>
    <n v="670"/>
    <n v="0"/>
    <n v="0"/>
    <n v="0.15"/>
    <m/>
    <n v="670"/>
    <m/>
    <n v="100.5"/>
    <n v="0"/>
    <n v="135725.29776015205"/>
  </r>
  <r>
    <d v="2025-11-10T00:00:00"/>
    <x v="4"/>
    <s v="ŞİFAVER BITTIM HATAY SABUNU"/>
    <m/>
    <x v="5"/>
    <s v="ST00000000171"/>
    <s v="SATIŞ"/>
    <s v="POS"/>
    <n v="1"/>
    <n v="40"/>
    <n v="40"/>
    <n v="0"/>
    <n v="1"/>
    <m/>
    <n v="40"/>
    <m/>
    <n v="0"/>
    <n v="0"/>
    <n v="135725.29776015205"/>
  </r>
  <r>
    <d v="2025-11-10T00:00:00"/>
    <x v="4"/>
    <s v="KEKİK LÜX"/>
    <m/>
    <x v="5"/>
    <s v="ST00000000171"/>
    <s v="SATIŞ"/>
    <s v="POS"/>
    <n v="0.05"/>
    <n v="760"/>
    <n v="38"/>
    <n v="0"/>
    <n v="0.05"/>
    <m/>
    <n v="760"/>
    <m/>
    <n v="0"/>
    <n v="0"/>
    <n v="135725.29776015205"/>
  </r>
  <r>
    <d v="2025-11-10T00:00:00"/>
    <x v="4"/>
    <s v="CEVİZLİ SUCUK ATOM (SARI)"/>
    <m/>
    <x v="5"/>
    <s v="ST00000000172"/>
    <s v="SATIŞ"/>
    <s v="POS"/>
    <n v="0.55600000000000005"/>
    <n v="290"/>
    <n v="161.24"/>
    <n v="0"/>
    <n v="0.55600000000000005"/>
    <m/>
    <n v="290"/>
    <m/>
    <n v="0"/>
    <n v="0"/>
    <n v="135725.29776015205"/>
  </r>
  <r>
    <d v="2025-11-10T00:00:00"/>
    <x v="4"/>
    <s v="TOZ BİBER - TATLI"/>
    <m/>
    <x v="1"/>
    <s v="ST00000000172"/>
    <s v="SATIŞ"/>
    <s v="NAKİT"/>
    <n v="0.13200000000000001"/>
    <n v="380"/>
    <n v="0"/>
    <n v="0"/>
    <n v="0.13200000000000001"/>
    <m/>
    <n v="380"/>
    <m/>
    <n v="50.160000000000004"/>
    <n v="0"/>
    <n v="135775.45776015206"/>
  </r>
  <r>
    <d v="2025-11-10T00:00:00"/>
    <x v="4"/>
    <s v="DERME GÜN KURUSU KAYISI JUMBO"/>
    <m/>
    <x v="1"/>
    <s v="ST00000000173"/>
    <s v="SATIŞ"/>
    <s v="NAKİT"/>
    <n v="0.57599999999999996"/>
    <n v="930"/>
    <n v="0"/>
    <n v="0"/>
    <n v="0.57599999999999996"/>
    <m/>
    <n v="930"/>
    <m/>
    <n v="535.67999999999995"/>
    <n v="0"/>
    <n v="136311.13776015205"/>
  </r>
  <r>
    <d v="2025-11-10T00:00:00"/>
    <x v="4"/>
    <s v="CEVİZLİ SUCUK ATOM (SARI)"/>
    <m/>
    <x v="1"/>
    <s v="ST00000000173"/>
    <s v="SATIŞ"/>
    <s v="NAKİT"/>
    <n v="0.51800000000000002"/>
    <n v="290"/>
    <n v="0"/>
    <n v="0"/>
    <n v="0.51800000000000002"/>
    <m/>
    <n v="290"/>
    <m/>
    <n v="150.22"/>
    <n v="0"/>
    <n v="136461.35776015205"/>
  </r>
  <r>
    <d v="2025-11-10T00:00:00"/>
    <x v="4"/>
    <s v="ÖZBEK ÜZÜMÜ"/>
    <m/>
    <x v="1"/>
    <s v="ST00000000173"/>
    <s v="SATIŞ"/>
    <s v="NAKİT"/>
    <n v="0.51200000000000001"/>
    <n v="520"/>
    <n v="0"/>
    <n v="0"/>
    <n v="0.51200000000000001"/>
    <m/>
    <n v="520"/>
    <m/>
    <n v="266.24"/>
    <n v="0"/>
    <n v="136727.59776015204"/>
  </r>
  <r>
    <d v="2025-11-10T00:00:00"/>
    <x v="4"/>
    <s v="KARANFİL"/>
    <m/>
    <x v="1"/>
    <s v="ST00000000173"/>
    <s v="SATIŞ"/>
    <s v="NAKİT"/>
    <n v="5.4550000000000001E-2"/>
    <n v="1100"/>
    <n v="0"/>
    <n v="0"/>
    <n v="1"/>
    <m/>
    <n v="60"/>
    <m/>
    <n v="60.005000000000003"/>
    <n v="0"/>
    <n v="136787.60276015205"/>
  </r>
  <r>
    <d v="2025-11-10T00:00:00"/>
    <x v="4"/>
    <s v="İRİ KABAK ÇEKİRDEĞİ TUZSUZ (KAVRULMUŞ)"/>
    <m/>
    <x v="1"/>
    <s v="ST00000000174"/>
    <s v="SATIŞ"/>
    <s v="NAKİT"/>
    <n v="0.20399999999999999"/>
    <n v="350"/>
    <n v="0"/>
    <n v="0"/>
    <n v="0.20399999999999999"/>
    <m/>
    <n v="350"/>
    <m/>
    <n v="71.399999999999991"/>
    <n v="0"/>
    <n v="136859.00276015204"/>
  </r>
  <r>
    <d v="2025-11-10T00:00:00"/>
    <x v="4"/>
    <s v="LEBLEBİ ÇİFTE SARI"/>
    <m/>
    <x v="1"/>
    <s v="ST00000000174"/>
    <s v="SATIŞ"/>
    <s v="NAKİT"/>
    <n v="0.152"/>
    <n v="230"/>
    <n v="0"/>
    <n v="0"/>
    <n v="0.152"/>
    <m/>
    <n v="230"/>
    <m/>
    <n v="34.96"/>
    <n v="0"/>
    <n v="136893.96276015203"/>
  </r>
  <r>
    <d v="2025-11-10T00:00:00"/>
    <x v="4"/>
    <s v="İZMİR ÜZÜMÜ"/>
    <m/>
    <x v="1"/>
    <s v="ST00000000174"/>
    <s v="SATIŞ"/>
    <s v="NAKİT"/>
    <n v="0.25"/>
    <n v="250"/>
    <n v="0"/>
    <n v="0"/>
    <n v="0.25"/>
    <m/>
    <n v="250"/>
    <m/>
    <n v="62.5"/>
    <n v="0"/>
    <n v="136956.46276015203"/>
  </r>
  <r>
    <d v="2025-11-10T00:00:00"/>
    <x v="4"/>
    <s v="KABUKLU CEVİZ (ŞİLİ)"/>
    <m/>
    <x v="1"/>
    <s v="ST00000000174"/>
    <s v="SATIŞ"/>
    <s v="NAKİT"/>
    <n v="0.5"/>
    <n v="290"/>
    <n v="0"/>
    <n v="0"/>
    <n v="0.5"/>
    <m/>
    <n v="290"/>
    <m/>
    <n v="145"/>
    <n v="0"/>
    <n v="137101.46276015203"/>
  </r>
  <r>
    <d v="2025-11-10T00:00:00"/>
    <x v="7"/>
    <m/>
    <m/>
    <x v="2"/>
    <m/>
    <s v="KREDİ KARTI ÖDEME"/>
    <s v="K.K."/>
    <n v="1"/>
    <n v="0"/>
    <n v="38291.480000000003"/>
    <n v="0"/>
    <m/>
    <m/>
    <m/>
    <m/>
    <n v="0"/>
    <n v="38291.480000000003"/>
    <n v="98809.982760152023"/>
  </r>
  <r>
    <d v="2025-11-11T00:00:00"/>
    <x v="2"/>
    <m/>
    <s v="DEMİRBAŞ"/>
    <x v="1"/>
    <n v="40"/>
    <s v="EKİPLER YANGIN GÜVENLİK LTD. - YANGIN TÜPÜ"/>
    <s v="NAKİT"/>
    <n v="1"/>
    <n v="1920"/>
    <n v="0"/>
    <n v="0"/>
    <m/>
    <m/>
    <m/>
    <m/>
    <n v="0"/>
    <n v="1920"/>
    <n v="96889.982760152023"/>
  </r>
  <r>
    <d v="2025-11-11T00:00:00"/>
    <x v="3"/>
    <s v="ZÜHRE ANA IŞGIN SİRKESİ 500 ML"/>
    <m/>
    <x v="2"/>
    <s v="FT00000000026"/>
    <s v="TR"/>
    <s v="K.K."/>
    <n v="5"/>
    <n v="139.9"/>
    <n v="0"/>
    <n v="699.5"/>
    <m/>
    <n v="5"/>
    <m/>
    <n v="139.9"/>
    <n v="0"/>
    <n v="0"/>
    <n v="96889.982760152023"/>
  </r>
  <r>
    <d v="2025-11-11T00:00:00"/>
    <x v="3"/>
    <s v="SARIBELEN IŞGIN KÖKÜ SİRKESİ 500 ML"/>
    <m/>
    <x v="2"/>
    <s v="FT00000000027"/>
    <s v="TR"/>
    <s v="K.K."/>
    <n v="6"/>
    <n v="112.87"/>
    <n v="0"/>
    <n v="677.22"/>
    <m/>
    <n v="6"/>
    <m/>
    <n v="112.87"/>
    <n v="0"/>
    <n v="0"/>
    <n v="96889.982760152023"/>
  </r>
  <r>
    <d v="2025-11-11T00:00:00"/>
    <x v="3"/>
    <s v="ZÜHRE ANA HURMA ÖZÜ 350 GR"/>
    <m/>
    <x v="2"/>
    <s v="FT00000000028"/>
    <s v="TR"/>
    <s v="K.K."/>
    <n v="3"/>
    <n v="140.77000000000001"/>
    <n v="0"/>
    <n v="422.31000000000006"/>
    <m/>
    <n v="3"/>
    <m/>
    <n v="140.77000000000001"/>
    <n v="0"/>
    <n v="0"/>
    <n v="96889.982760152023"/>
  </r>
  <r>
    <d v="2025-11-11T00:00:00"/>
    <x v="3"/>
    <s v="ZÜHRE ANA BROMELAİN ANANAS İÇEREN DETOX ŞURUBU 250 ML"/>
    <m/>
    <x v="2"/>
    <s v="FT00000000028"/>
    <s v="TR"/>
    <s v="K.K."/>
    <n v="2"/>
    <n v="148.6"/>
    <n v="0"/>
    <n v="297.2"/>
    <m/>
    <n v="2"/>
    <m/>
    <n v="148.6"/>
    <n v="0"/>
    <n v="0"/>
    <n v="96889.982760152023"/>
  </r>
  <r>
    <d v="2025-11-11T00:00:00"/>
    <x v="3"/>
    <s v="ZÜHRE ANA BROMELAİN ANANAS İÇEREN DETOX ŞURUBU 250 ML"/>
    <m/>
    <x v="2"/>
    <s v="FT00000000029"/>
    <s v="TR"/>
    <s v="K.K."/>
    <n v="3"/>
    <n v="149.9"/>
    <n v="0"/>
    <n v="449.70000000000005"/>
    <m/>
    <n v="3"/>
    <m/>
    <n v="149.9"/>
    <n v="0"/>
    <n v="0"/>
    <n v="96889.982760152023"/>
  </r>
  <r>
    <d v="2025-11-11T00:00:00"/>
    <x v="3"/>
    <s v="HUNCA CARE AT KESTANESİ KREMİ 500 ML"/>
    <m/>
    <x v="2"/>
    <s v="FT00000000032"/>
    <s v="N11"/>
    <s v="K.K."/>
    <n v="6"/>
    <n v="127.36"/>
    <n v="0"/>
    <n v="764.16"/>
    <m/>
    <n v="6"/>
    <m/>
    <n v="127.36"/>
    <n v="0"/>
    <n v="0"/>
    <n v="96889.982760152023"/>
  </r>
  <r>
    <d v="2025-11-11T00:00:00"/>
    <x v="4"/>
    <s v="HİBİSKUS"/>
    <m/>
    <x v="1"/>
    <s v="ST00000000175"/>
    <s v="SATIŞ"/>
    <s v="NAKİT"/>
    <n v="0.1"/>
    <n v="600"/>
    <n v="0"/>
    <n v="0"/>
    <n v="1"/>
    <m/>
    <n v="60"/>
    <m/>
    <n v="60"/>
    <n v="0"/>
    <n v="96949.982760152023"/>
  </r>
  <r>
    <d v="2025-11-11T00:00:00"/>
    <x v="4"/>
    <s v="GÜNAYDIN KAYA TUZU İNCE"/>
    <m/>
    <x v="1"/>
    <s v="ST00000000175"/>
    <s v="SATIŞ"/>
    <s v="NAKİT"/>
    <n v="0.5"/>
    <n v="80"/>
    <n v="0"/>
    <n v="0"/>
    <n v="1"/>
    <m/>
    <n v="40"/>
    <m/>
    <n v="40"/>
    <n v="0"/>
    <n v="96989.982760152023"/>
  </r>
  <r>
    <d v="2025-11-11T00:00:00"/>
    <x v="4"/>
    <s v="CEVİZLİ SUCUK ATOM (SARI)"/>
    <m/>
    <x v="1"/>
    <s v="ST00000000175"/>
    <s v="SATIŞ"/>
    <s v="NAKİT"/>
    <n v="0.55500000000000005"/>
    <n v="290"/>
    <n v="0"/>
    <n v="0"/>
    <n v="0.55500000000000005"/>
    <m/>
    <n v="290"/>
    <m/>
    <n v="160.95000000000002"/>
    <n v="0"/>
    <n v="97150.93276015202"/>
  </r>
  <r>
    <d v="2025-11-11T00:00:00"/>
    <x v="4"/>
    <s v="SEYİDOĞLU TAHİN 550 g"/>
    <m/>
    <x v="1"/>
    <s v="ST00000000176"/>
    <s v="SATIŞ"/>
    <s v="NAKİT"/>
    <n v="1"/>
    <n v="160"/>
    <n v="0"/>
    <n v="0"/>
    <n v="1"/>
    <m/>
    <n v="160"/>
    <m/>
    <n v="160"/>
    <n v="0"/>
    <n v="97310.93276015202"/>
  </r>
  <r>
    <d v="2025-11-11T00:00:00"/>
    <x v="4"/>
    <s v="LEBLEBİ ŞEKER LÜX"/>
    <m/>
    <x v="1"/>
    <s v="ST00000000177"/>
    <s v="SATIŞ"/>
    <s v="NAKİT"/>
    <n v="0.32"/>
    <n v="190"/>
    <n v="0"/>
    <n v="0"/>
    <n v="0.32"/>
    <m/>
    <n v="190"/>
    <m/>
    <n v="60.800000000000004"/>
    <n v="0"/>
    <n v="97371.732760152023"/>
  </r>
  <r>
    <d v="2025-11-11T00:00:00"/>
    <x v="4"/>
    <s v="GENÇLEBİ ÇAKILTAŞI DRAJE"/>
    <m/>
    <x v="1"/>
    <s v="ST00000000177"/>
    <s v="SATIŞ"/>
    <s v="NAKİT"/>
    <n v="0.25"/>
    <n v="400"/>
    <n v="0"/>
    <n v="0"/>
    <n v="1"/>
    <m/>
    <n v="100"/>
    <m/>
    <n v="100"/>
    <n v="0"/>
    <n v="97471.732760152023"/>
  </r>
  <r>
    <d v="2025-11-11T00:00:00"/>
    <x v="4"/>
    <s v="DOLMALIK KURU PATLICAN"/>
    <m/>
    <x v="1"/>
    <s v="ST00000000178"/>
    <s v="SATIŞ"/>
    <s v="NAKİT"/>
    <n v="1"/>
    <n v="240"/>
    <n v="0"/>
    <n v="0"/>
    <n v="1"/>
    <m/>
    <n v="240"/>
    <m/>
    <n v="240"/>
    <n v="0"/>
    <n v="97711.732760152023"/>
  </r>
  <r>
    <d v="2025-11-11T00:00:00"/>
    <x v="4"/>
    <s v="DOLMALIK SARI BİBER"/>
    <m/>
    <x v="1"/>
    <s v="ST00000000178"/>
    <s v="SATIŞ"/>
    <s v="NAKİT"/>
    <n v="1"/>
    <n v="200"/>
    <n v="0"/>
    <n v="0"/>
    <n v="1"/>
    <m/>
    <n v="200"/>
    <m/>
    <n v="200"/>
    <n v="0"/>
    <n v="97911.732760152023"/>
  </r>
  <r>
    <d v="2025-11-11T00:00:00"/>
    <x v="4"/>
    <s v="HİNDİSTAN CEVİZİ ( İRİ )"/>
    <m/>
    <x v="1"/>
    <s v="ST00000000179"/>
    <s v="SATIŞ"/>
    <s v="NAKİT"/>
    <n v="0.1"/>
    <n v="600"/>
    <n v="0"/>
    <n v="0"/>
    <n v="1"/>
    <m/>
    <n v="60"/>
    <m/>
    <n v="60"/>
    <n v="0"/>
    <n v="97971.732760152023"/>
  </r>
  <r>
    <d v="2025-11-11T00:00:00"/>
    <x v="4"/>
    <s v="ÇAM FISTIĞI (DOLMALIK YER FISTIĞI)"/>
    <m/>
    <x v="1"/>
    <s v="ST00000000180"/>
    <s v="SATIŞ"/>
    <s v="NAKİT"/>
    <n v="0.1"/>
    <n v="250"/>
    <n v="0"/>
    <n v="0"/>
    <n v="1"/>
    <m/>
    <n v="25"/>
    <m/>
    <n v="25"/>
    <n v="0"/>
    <n v="97996.732760152023"/>
  </r>
  <r>
    <d v="2025-11-11T00:00:00"/>
    <x v="4"/>
    <s v="AYÇEKİRDEĞİ DAKOTA TUZLU EKSTRA"/>
    <m/>
    <x v="1"/>
    <s v="ST00000000181"/>
    <s v="SATIŞ"/>
    <s v="NAKİT"/>
    <n v="0.19445000000000001"/>
    <n v="180"/>
    <n v="0"/>
    <n v="0"/>
    <n v="1"/>
    <m/>
    <n v="35"/>
    <m/>
    <n v="35.001000000000005"/>
    <n v="0"/>
    <n v="98031.733760152027"/>
  </r>
  <r>
    <d v="2025-11-11T00:00:00"/>
    <x v="4"/>
    <s v="HUNCA CARE AT KESTANESİ KREMİ 500 ML"/>
    <m/>
    <x v="1"/>
    <s v="ST00000000182"/>
    <s v="SATIŞ"/>
    <s v="NAKİT"/>
    <n v="1"/>
    <n v="190"/>
    <n v="0"/>
    <n v="0"/>
    <n v="1"/>
    <m/>
    <n v="190"/>
    <m/>
    <n v="190"/>
    <n v="0"/>
    <n v="98221.733760152027"/>
  </r>
  <r>
    <d v="2025-11-11T00:00:00"/>
    <x v="4"/>
    <s v="AYÇEKİRDEĞİ DAKOTA TUZLU EKSTRA"/>
    <m/>
    <x v="5"/>
    <s v="ST00000000183"/>
    <s v="SATIŞ"/>
    <s v="POS"/>
    <n v="0.45"/>
    <n v="180"/>
    <n v="81"/>
    <n v="0"/>
    <n v="0.45"/>
    <m/>
    <n v="180"/>
    <m/>
    <n v="0"/>
    <n v="0"/>
    <n v="98221.733760152027"/>
  </r>
  <r>
    <d v="2025-11-11T00:00:00"/>
    <x v="4"/>
    <s v="İRİ KABAK ÇEKİRDEĞİ TUZSUZ (KAVRULMUŞ)"/>
    <m/>
    <x v="5"/>
    <s v="ST00000000183"/>
    <s v="SATIŞ"/>
    <s v="POS"/>
    <n v="0.38"/>
    <n v="350"/>
    <n v="133"/>
    <n v="0"/>
    <n v="0.38"/>
    <m/>
    <n v="350"/>
    <m/>
    <n v="0"/>
    <n v="0"/>
    <n v="98221.733760152027"/>
  </r>
  <r>
    <d v="2025-11-11T00:00:00"/>
    <x v="1"/>
    <m/>
    <s v="YOL GİDERLERİ"/>
    <x v="2"/>
    <m/>
    <s v="YOL GİDERİ - BELEDİYE RUHSAT İŞLERİ"/>
    <s v="K.K."/>
    <n v="1"/>
    <n v="300"/>
    <n v="0"/>
    <n v="300"/>
    <m/>
    <n v="1"/>
    <m/>
    <n v="300"/>
    <n v="0"/>
    <n v="0"/>
    <n v="98221.733760152027"/>
  </r>
  <r>
    <d v="2025-11-11T00:00:00"/>
    <x v="1"/>
    <m/>
    <s v="VERGİ VE HARÇLAR"/>
    <x v="2"/>
    <m/>
    <s v="BELEDİYE - TABELA VERGİSİ"/>
    <s v="K.K."/>
    <n v="1"/>
    <n v="562.5"/>
    <n v="0"/>
    <n v="562.5"/>
    <m/>
    <n v="1"/>
    <m/>
    <n v="562.5"/>
    <n v="0"/>
    <n v="0"/>
    <n v="98221.733760152027"/>
  </r>
  <r>
    <d v="2025-11-11T00:00:00"/>
    <x v="1"/>
    <m/>
    <s v="VERGİ VE HARÇLAR"/>
    <x v="2"/>
    <m/>
    <s v="BELEDİYE - ÇTV"/>
    <s v="K.K."/>
    <n v="1"/>
    <n v="146.22999999999999"/>
    <n v="0"/>
    <n v="146.22999999999999"/>
    <m/>
    <n v="1"/>
    <m/>
    <n v="146.22999999999999"/>
    <n v="0"/>
    <n v="0"/>
    <n v="98221.733760152027"/>
  </r>
  <r>
    <d v="2025-11-12T00:00:00"/>
    <x v="3"/>
    <s v="CEVİZLİ SUCUK ATOM (ESMER)"/>
    <m/>
    <x v="4"/>
    <s v="FT00000000008"/>
    <s v="TÜDAB A.Ş."/>
    <s v="CARİ"/>
    <n v="10"/>
    <n v="225"/>
    <n v="0"/>
    <n v="2250"/>
    <m/>
    <n v="10"/>
    <m/>
    <n v="225"/>
    <n v="0"/>
    <n v="0"/>
    <n v="98221.733760152027"/>
  </r>
  <r>
    <d v="2025-11-12T00:00:00"/>
    <x v="3"/>
    <s v="KINA RGS DÖKME"/>
    <m/>
    <x v="4"/>
    <s v="FT00000000008"/>
    <s v="TÜDAB A.Ş."/>
    <s v="CARİ"/>
    <n v="5"/>
    <n v="200"/>
    <n v="0"/>
    <n v="1000"/>
    <m/>
    <n v="5"/>
    <m/>
    <n v="200"/>
    <n v="0"/>
    <n v="0"/>
    <n v="98221.733760152027"/>
  </r>
  <r>
    <d v="2025-11-12T00:00:00"/>
    <x v="3"/>
    <s v="LEBLEBİ ŞEKER RENKLİ"/>
    <m/>
    <x v="4"/>
    <s v="FT00000000008"/>
    <s v="TÜDAB A.Ş."/>
    <s v="CARİ"/>
    <n v="5"/>
    <n v="115"/>
    <n v="0"/>
    <n v="575"/>
    <m/>
    <n v="5"/>
    <m/>
    <n v="115"/>
    <n v="0"/>
    <n v="0"/>
    <n v="98221.733760152027"/>
  </r>
  <r>
    <d v="2025-11-12T00:00:00"/>
    <x v="3"/>
    <s v="PATLAK MISIR"/>
    <m/>
    <x v="4"/>
    <s v="FT00000000008"/>
    <s v="TÜDAB A.Ş."/>
    <s v="CARİ"/>
    <n v="5"/>
    <n v="33"/>
    <n v="0"/>
    <n v="165"/>
    <m/>
    <n v="5"/>
    <m/>
    <n v="33"/>
    <n v="0"/>
    <n v="0"/>
    <n v="98221.733760152027"/>
  </r>
  <r>
    <d v="2025-11-12T00:00:00"/>
    <x v="3"/>
    <s v="SOSLU MISIR YERLİ"/>
    <m/>
    <x v="4"/>
    <s v="FT00000000008"/>
    <s v="TÜDAB A.Ş."/>
    <s v="CARİ"/>
    <n v="5"/>
    <n v="110"/>
    <n v="0"/>
    <n v="550"/>
    <m/>
    <n v="5"/>
    <m/>
    <n v="110"/>
    <n v="0"/>
    <n v="0"/>
    <n v="98221.733760152027"/>
  </r>
  <r>
    <d v="2025-11-12T00:00:00"/>
    <x v="3"/>
    <s v="TUZLU FISTIK DUBLE"/>
    <m/>
    <x v="4"/>
    <s v="FT00000000008"/>
    <s v="TÜDAB A.Ş."/>
    <s v="CARİ"/>
    <n v="5"/>
    <n v="145"/>
    <n v="0"/>
    <n v="725"/>
    <m/>
    <n v="5"/>
    <m/>
    <n v="145"/>
    <n v="0"/>
    <n v="0"/>
    <n v="98221.733760152027"/>
  </r>
  <r>
    <d v="2025-11-12T00:00:00"/>
    <x v="3"/>
    <s v="TUZSUZ FISTIK 1 NO"/>
    <m/>
    <x v="4"/>
    <s v="FT00000000008"/>
    <s v="TÜDAB A.Ş."/>
    <s v="CARİ"/>
    <n v="5"/>
    <n v="150"/>
    <n v="0"/>
    <n v="750"/>
    <m/>
    <n v="5"/>
    <m/>
    <n v="150"/>
    <n v="0"/>
    <n v="0"/>
    <n v="98221.733760152027"/>
  </r>
  <r>
    <d v="2025-11-12T00:00:00"/>
    <x v="3"/>
    <s v="İRİ BEYAZ KABAK ÇEKİRDEĞİ - NEVŞEHİR"/>
    <m/>
    <x v="4"/>
    <s v="FT00000000008"/>
    <s v="TÜDAB A.Ş."/>
    <s v="CARİ"/>
    <n v="5"/>
    <n v="290"/>
    <n v="0"/>
    <n v="1450"/>
    <m/>
    <n v="5"/>
    <m/>
    <n v="290"/>
    <n v="0"/>
    <n v="0"/>
    <n v="98221.733760152027"/>
  </r>
  <r>
    <d v="2025-11-12T00:00:00"/>
    <x v="3"/>
    <s v="BUĞDAY NİŞASTASI"/>
    <m/>
    <x v="4"/>
    <s v="FT00000000008"/>
    <s v="TÜDAB A.Ş."/>
    <s v="CARİ"/>
    <n v="5"/>
    <n v="63"/>
    <n v="0"/>
    <n v="315"/>
    <m/>
    <n v="5"/>
    <m/>
    <n v="63"/>
    <n v="0"/>
    <n v="0"/>
    <n v="98221.733760152027"/>
  </r>
  <r>
    <d v="2025-11-12T00:00:00"/>
    <x v="4"/>
    <s v="HASEVLİK"/>
    <m/>
    <x v="1"/>
    <s v="ST00000000184"/>
    <s v="SATIŞ"/>
    <s v="NAKİT"/>
    <n v="0.5"/>
    <n v="420"/>
    <n v="0"/>
    <n v="0"/>
    <n v="0.5"/>
    <m/>
    <n v="420"/>
    <m/>
    <n v="210"/>
    <n v="0"/>
    <n v="98431.733760152027"/>
  </r>
  <r>
    <d v="2025-11-12T00:00:00"/>
    <x v="4"/>
    <s v="DOLMALIK KURU PATLICAN"/>
    <m/>
    <x v="1"/>
    <s v="ST00000000185"/>
    <s v="SATIŞ"/>
    <s v="NAKİT"/>
    <n v="1"/>
    <n v="240"/>
    <n v="0"/>
    <n v="0"/>
    <n v="1"/>
    <m/>
    <n v="240"/>
    <m/>
    <n v="240"/>
    <n v="0"/>
    <n v="98671.733760152027"/>
  </r>
  <r>
    <d v="2025-11-12T00:00:00"/>
    <x v="4"/>
    <s v="TÜRK KAHVESİ"/>
    <m/>
    <x v="1"/>
    <s v="ST00000000186"/>
    <s v="SATIŞ"/>
    <s v="NAKİT"/>
    <n v="0.2"/>
    <n v="650"/>
    <n v="0"/>
    <n v="0"/>
    <n v="2"/>
    <m/>
    <n v="65"/>
    <m/>
    <n v="130"/>
    <n v="0"/>
    <n v="98801.733760152027"/>
  </r>
  <r>
    <d v="2025-11-12T00:00:00"/>
    <x v="4"/>
    <s v="NBN DAĞ İNCİRİ"/>
    <m/>
    <x v="5"/>
    <s v="ST00000000187"/>
    <s v="SATIŞ"/>
    <s v="POS"/>
    <n v="0.57199999999999995"/>
    <n v="700"/>
    <n v="400.4"/>
    <n v="0"/>
    <n v="0.57199999999999995"/>
    <m/>
    <n v="700"/>
    <m/>
    <n v="0"/>
    <n v="0"/>
    <n v="98801.733760152027"/>
  </r>
  <r>
    <d v="2025-11-12T00:00:00"/>
    <x v="4"/>
    <s v="KARABİBER ÇEKİLMİŞ"/>
    <m/>
    <x v="5"/>
    <s v="ST00000000188"/>
    <s v="SATIŞ"/>
    <s v="POS"/>
    <n v="0.23499999999999999"/>
    <n v="640"/>
    <n v="150.39999999999998"/>
    <n v="0"/>
    <n v="0.23499999999999999"/>
    <m/>
    <n v="640"/>
    <m/>
    <n v="0"/>
    <n v="0"/>
    <n v="98801.733760152027"/>
  </r>
  <r>
    <d v="2025-11-12T00:00:00"/>
    <x v="4"/>
    <s v="GENÇLEBİ ÇAKILTAŞI DRAJE"/>
    <m/>
    <x v="5"/>
    <s v="ST00000000188"/>
    <s v="SATIŞ"/>
    <s v="POS"/>
    <n v="0.25"/>
    <n v="400"/>
    <n v="100"/>
    <n v="0"/>
    <n v="1"/>
    <m/>
    <n v="100"/>
    <m/>
    <n v="0"/>
    <n v="0"/>
    <n v="98801.733760152027"/>
  </r>
  <r>
    <d v="2025-11-12T00:00:00"/>
    <x v="4"/>
    <s v="KARABİBER ÇEKİLMİŞ"/>
    <m/>
    <x v="1"/>
    <s v="ST00000000189"/>
    <s v="SATIŞ"/>
    <s v="NAKİT"/>
    <n v="0.04"/>
    <n v="640"/>
    <n v="0"/>
    <n v="0"/>
    <n v="0.04"/>
    <m/>
    <n v="640"/>
    <m/>
    <n v="25.6"/>
    <n v="0"/>
    <n v="98827.333760152032"/>
  </r>
  <r>
    <d v="2025-11-12T00:00:00"/>
    <x v="4"/>
    <s v="DOMATES SALÇASI"/>
    <m/>
    <x v="1"/>
    <s v="ST00000000189"/>
    <s v="SATIŞ"/>
    <s v="NAKİT"/>
    <n v="0.53"/>
    <n v="130"/>
    <n v="0"/>
    <n v="0"/>
    <n v="0.53"/>
    <m/>
    <n v="130"/>
    <m/>
    <n v="68.900000000000006"/>
    <n v="0"/>
    <n v="98896.233760152027"/>
  </r>
  <r>
    <d v="2025-11-12T00:00:00"/>
    <x v="4"/>
    <s v="AYÇEKİRDEĞİ DAKOTA TUZLU EKSTRA"/>
    <m/>
    <x v="1"/>
    <s v="ST00000000189"/>
    <s v="SATIŞ"/>
    <s v="NAKİT"/>
    <n v="0.32"/>
    <n v="180"/>
    <n v="0"/>
    <n v="0"/>
    <n v="0.32"/>
    <m/>
    <n v="180"/>
    <m/>
    <n v="57.6"/>
    <n v="0"/>
    <n v="98953.833760152032"/>
  </r>
  <r>
    <d v="2025-11-12T00:00:00"/>
    <x v="4"/>
    <s v="TÜRK KAHVESİ"/>
    <m/>
    <x v="1"/>
    <s v="ST00000000189"/>
    <s v="SATIŞ"/>
    <s v="NAKİT"/>
    <n v="0.1"/>
    <n v="650"/>
    <n v="0"/>
    <n v="0"/>
    <n v="1"/>
    <m/>
    <n v="65"/>
    <m/>
    <n v="65"/>
    <n v="0"/>
    <n v="99018.833760152032"/>
  </r>
  <r>
    <d v="2025-11-12T00:00:00"/>
    <x v="4"/>
    <s v="KAFFKA MENENGİÇ KAHVESİ 150 GR"/>
    <m/>
    <x v="1"/>
    <s v="ST00000000189"/>
    <s v="SATIŞ"/>
    <s v="NAKİT"/>
    <n v="1"/>
    <n v="65"/>
    <n v="0"/>
    <n v="0"/>
    <n v="1"/>
    <m/>
    <n v="65"/>
    <m/>
    <n v="65"/>
    <n v="0"/>
    <n v="99083.833760152032"/>
  </r>
  <r>
    <d v="2025-11-12T00:00:00"/>
    <x v="4"/>
    <s v="KINA RGS DÖKME"/>
    <m/>
    <x v="1"/>
    <s v="ST00000000190"/>
    <s v="SATIŞ"/>
    <s v="NAKİT"/>
    <n v="0.25"/>
    <n v="400"/>
    <n v="0"/>
    <n v="0"/>
    <n v="1"/>
    <m/>
    <n v="100"/>
    <m/>
    <n v="100"/>
    <n v="0"/>
    <n v="99183.833760152032"/>
  </r>
  <r>
    <d v="2025-11-12T00:00:00"/>
    <x v="4"/>
    <s v="DEFNE YAPRAĞI"/>
    <m/>
    <x v="1"/>
    <s v="ST00000000191"/>
    <s v="SATIŞ"/>
    <s v="NAKİT"/>
    <n v="3.5999999999999997E-2"/>
    <n v="1400"/>
    <n v="0"/>
    <n v="0"/>
    <n v="3.5999999999999997E-2"/>
    <m/>
    <n v="1400"/>
    <m/>
    <n v="50.4"/>
    <n v="0"/>
    <n v="99234.233760152027"/>
  </r>
  <r>
    <d v="2025-11-12T00:00:00"/>
    <x v="4"/>
    <s v="İPEK BİBER"/>
    <m/>
    <x v="1"/>
    <s v="ST00000000191"/>
    <s v="SATIŞ"/>
    <s v="NAKİT"/>
    <n v="0.16600000000000001"/>
    <n v="500"/>
    <n v="0"/>
    <n v="0"/>
    <n v="0.16600000000000001"/>
    <m/>
    <n v="500"/>
    <m/>
    <n v="83"/>
    <n v="0"/>
    <n v="99317.233760152027"/>
  </r>
  <r>
    <d v="2025-11-12T00:00:00"/>
    <x v="4"/>
    <s v="YENİBAHAR TOZ"/>
    <m/>
    <x v="1"/>
    <s v="ST00000000191"/>
    <s v="SATIŞ"/>
    <s v="NAKİT"/>
    <n v="9.6000000000000002E-2"/>
    <n v="770"/>
    <n v="0"/>
    <n v="0"/>
    <n v="9.6000000000000002E-2"/>
    <m/>
    <n v="770"/>
    <m/>
    <n v="73.92"/>
    <n v="0"/>
    <n v="99391.153760152025"/>
  </r>
  <r>
    <d v="2025-11-12T00:00:00"/>
    <x v="4"/>
    <s v="TÜDAB TURŞU BİBER"/>
    <m/>
    <x v="1"/>
    <s v="ST00000000191"/>
    <s v="SATIŞ"/>
    <s v="NAKİT"/>
    <n v="1"/>
    <n v="350"/>
    <n v="0"/>
    <n v="0"/>
    <n v="1"/>
    <m/>
    <n v="350"/>
    <m/>
    <n v="350"/>
    <n v="0"/>
    <n v="99741.153760152025"/>
  </r>
  <r>
    <d v="2025-11-12T00:00:00"/>
    <x v="7"/>
    <m/>
    <m/>
    <x v="4"/>
    <m/>
    <s v="TÜDAB A.Ş. - ÖDEME"/>
    <s v="NAKİT"/>
    <n v="1"/>
    <n v="0"/>
    <n v="40000"/>
    <n v="0"/>
    <m/>
    <m/>
    <m/>
    <m/>
    <n v="0"/>
    <n v="40000"/>
    <n v="59741.153760152025"/>
  </r>
  <r>
    <d v="2025-11-13T00:00:00"/>
    <x v="4"/>
    <s v="CEVİZLİ SUCUK ATOM (SARI)"/>
    <m/>
    <x v="1"/>
    <s v="ST00000000192"/>
    <s v="SATIŞ"/>
    <s v="NAKİT"/>
    <n v="0.497"/>
    <n v="290"/>
    <n v="0"/>
    <n v="0"/>
    <n v="0.497"/>
    <m/>
    <n v="290"/>
    <m/>
    <n v="144.13"/>
    <n v="0"/>
    <n v="59885.283760152022"/>
  </r>
  <r>
    <d v="2025-11-13T00:00:00"/>
    <x v="4"/>
    <s v="KAFFKA MENENGİÇ KAHVESİ 150 GR"/>
    <m/>
    <x v="1"/>
    <s v="ST00000000192"/>
    <s v="SATIŞ"/>
    <s v="NAKİT"/>
    <n v="1"/>
    <n v="65"/>
    <n v="0"/>
    <n v="0"/>
    <n v="1"/>
    <m/>
    <n v="65"/>
    <m/>
    <n v="65"/>
    <n v="0"/>
    <n v="59950.283760152022"/>
  </r>
  <r>
    <d v="2025-11-13T00:00:00"/>
    <x v="4"/>
    <s v="ZÜHRE ANA BROMELAİN ANANAS İÇEREN DETOX ŞURUBU 250 ML"/>
    <m/>
    <x v="1"/>
    <s v="ST00000000193"/>
    <s v="SATIŞ"/>
    <s v="NAKİT"/>
    <n v="1"/>
    <n v="220"/>
    <n v="0"/>
    <n v="0"/>
    <n v="1"/>
    <m/>
    <n v="220"/>
    <m/>
    <n v="220"/>
    <n v="0"/>
    <n v="60170.283760152022"/>
  </r>
  <r>
    <d v="2025-11-13T00:00:00"/>
    <x v="4"/>
    <s v="KAFFKA OSMANLI KAHVESİ 150 GR"/>
    <m/>
    <x v="1"/>
    <s v="ST00000000193"/>
    <s v="SATIŞ"/>
    <s v="NAKİT"/>
    <n v="1"/>
    <n v="65"/>
    <n v="0"/>
    <n v="0"/>
    <n v="1"/>
    <m/>
    <n v="65"/>
    <m/>
    <n v="65"/>
    <n v="0"/>
    <n v="60235.283760152022"/>
  </r>
  <r>
    <d v="2025-11-13T00:00:00"/>
    <x v="4"/>
    <s v="ŞENAY ÇAM KOZALAĞI ŞURUBU 650 GR"/>
    <m/>
    <x v="1"/>
    <s v="ST00000000193"/>
    <s v="SATIŞ"/>
    <s v="NAKİT"/>
    <n v="1"/>
    <n v="140"/>
    <n v="0"/>
    <n v="0"/>
    <n v="1"/>
    <m/>
    <n v="140"/>
    <m/>
    <n v="140"/>
    <n v="0"/>
    <n v="60375.283760152022"/>
  </r>
  <r>
    <d v="2025-11-13T00:00:00"/>
    <x v="4"/>
    <s v="HASEVLİK"/>
    <m/>
    <x v="1"/>
    <s v="ST00000000194"/>
    <s v="SATIŞ"/>
    <s v="NAKİT"/>
    <n v="0.36"/>
    <n v="420"/>
    <n v="0"/>
    <n v="0"/>
    <n v="0.36"/>
    <m/>
    <n v="420"/>
    <m/>
    <n v="151.19999999999999"/>
    <n v="0"/>
    <n v="60526.483760152019"/>
  </r>
  <r>
    <d v="2025-11-13T00:00:00"/>
    <x v="4"/>
    <s v="KONTES HAMAM OTU - TÜY DÖKÜCÜ"/>
    <m/>
    <x v="5"/>
    <s v="ST00000000195"/>
    <s v="SATIŞ"/>
    <s v="POS"/>
    <n v="6"/>
    <n v="15"/>
    <n v="90"/>
    <n v="0"/>
    <n v="6"/>
    <m/>
    <n v="15"/>
    <m/>
    <n v="0"/>
    <n v="0"/>
    <n v="60526.483760152019"/>
  </r>
  <r>
    <d v="2025-11-13T00:00:00"/>
    <x v="4"/>
    <s v="DOLMALIK KURU ACI BİBER"/>
    <m/>
    <x v="5"/>
    <s v="ST00000000195"/>
    <s v="SATIŞ"/>
    <s v="POS"/>
    <n v="1"/>
    <n v="200"/>
    <n v="200"/>
    <n v="0"/>
    <n v="1"/>
    <m/>
    <n v="200"/>
    <m/>
    <n v="0"/>
    <n v="0"/>
    <n v="60526.483760152019"/>
  </r>
  <r>
    <d v="2025-11-13T00:00:00"/>
    <x v="4"/>
    <s v="MOR REYHAN"/>
    <m/>
    <x v="5"/>
    <s v="ST00000000195"/>
    <s v="SATIŞ"/>
    <s v="POS"/>
    <n v="0.05"/>
    <n v="1500"/>
    <n v="75"/>
    <n v="0"/>
    <n v="1"/>
    <m/>
    <n v="75"/>
    <m/>
    <n v="0"/>
    <n v="0"/>
    <n v="60526.483760152019"/>
  </r>
  <r>
    <d v="2025-11-13T00:00:00"/>
    <x v="4"/>
    <s v="KONTES HAMAM OTU - TÜY DÖKÜCÜ"/>
    <m/>
    <x v="1"/>
    <s v="ST00000000196"/>
    <s v="SATIŞ"/>
    <s v="NAKİT"/>
    <n v="2"/>
    <n v="15"/>
    <n v="0"/>
    <n v="0"/>
    <n v="2"/>
    <m/>
    <n v="15"/>
    <m/>
    <n v="30"/>
    <n v="0"/>
    <n v="60556.483760152019"/>
  </r>
  <r>
    <d v="2025-11-13T00:00:00"/>
    <x v="4"/>
    <s v="ŞİFAVER BITTIM HATAY SABUNU"/>
    <m/>
    <x v="1"/>
    <s v="ST00000000196"/>
    <s v="SATIŞ"/>
    <s v="NAKİT"/>
    <n v="2"/>
    <n v="40"/>
    <n v="0"/>
    <n v="0"/>
    <n v="2"/>
    <m/>
    <n v="40"/>
    <m/>
    <n v="80"/>
    <n v="0"/>
    <n v="60636.483760152019"/>
  </r>
  <r>
    <d v="2025-11-13T00:00:00"/>
    <x v="4"/>
    <s v="AKİKSİR HİNDİSTAN CEVİZİ YAĞI 150 GR"/>
    <m/>
    <x v="1"/>
    <s v="ST00000000196"/>
    <s v="SATIŞ"/>
    <s v="NAKİT"/>
    <n v="1"/>
    <n v="190"/>
    <n v="0"/>
    <n v="0"/>
    <n v="1"/>
    <m/>
    <n v="190"/>
    <m/>
    <n v="190"/>
    <n v="0"/>
    <n v="60826.483760152019"/>
  </r>
  <r>
    <d v="2025-11-13T00:00:00"/>
    <x v="4"/>
    <s v="DOLMALIK KURU ACI BİBER"/>
    <m/>
    <x v="1"/>
    <s v="ST00000000196"/>
    <s v="SATIŞ"/>
    <s v="NAKİT"/>
    <n v="1"/>
    <n v="200"/>
    <n v="0"/>
    <n v="0"/>
    <n v="1"/>
    <m/>
    <n v="200"/>
    <m/>
    <n v="200"/>
    <n v="0"/>
    <n v="61026.483760152019"/>
  </r>
  <r>
    <d v="2025-11-13T00:00:00"/>
    <x v="4"/>
    <s v="NBN DAĞ İNCİRİ"/>
    <m/>
    <x v="1"/>
    <s v="ST00000000197"/>
    <s v="SATIŞ"/>
    <s v="NAKİT"/>
    <n v="0.67400000000000004"/>
    <n v="350"/>
    <n v="0"/>
    <n v="0"/>
    <n v="0.67400000000000004"/>
    <m/>
    <n v="350"/>
    <m/>
    <n v="235.9"/>
    <n v="0"/>
    <n v="61262.383760152021"/>
  </r>
  <r>
    <d v="2025-11-13T00:00:00"/>
    <x v="4"/>
    <s v="İRİ BEYAZ KABAK ÇEKİRDEĞİ - NEVŞEHİR"/>
    <m/>
    <x v="1"/>
    <s v="ST00000000197"/>
    <s v="SATIŞ"/>
    <s v="NAKİT"/>
    <n v="0.51800000000000002"/>
    <n v="700"/>
    <n v="0"/>
    <n v="0"/>
    <n v="0.51800000000000002"/>
    <m/>
    <n v="700"/>
    <m/>
    <n v="362.6"/>
    <n v="0"/>
    <n v="61624.983760152019"/>
  </r>
  <r>
    <d v="2025-11-13T00:00:00"/>
    <x v="4"/>
    <s v="DOLMALIK SARI BİBER"/>
    <m/>
    <x v="1"/>
    <s v="ST00000000198"/>
    <s v="SATIŞ"/>
    <s v="NAKİT"/>
    <n v="1"/>
    <n v="200"/>
    <n v="0"/>
    <n v="0"/>
    <n v="1"/>
    <m/>
    <n v="200"/>
    <m/>
    <n v="200"/>
    <n v="0"/>
    <n v="61824.983760152019"/>
  </r>
  <r>
    <d v="2025-11-13T00:00:00"/>
    <x v="4"/>
    <s v="GENÇLEBİ ÇAKILTAŞI DRAJE"/>
    <m/>
    <x v="1"/>
    <s v="ST00000000199"/>
    <s v="SATIŞ"/>
    <s v="NAKİT"/>
    <n v="0.25"/>
    <n v="400"/>
    <n v="0"/>
    <n v="0"/>
    <n v="1"/>
    <m/>
    <n v="100"/>
    <m/>
    <n v="100"/>
    <n v="0"/>
    <n v="61924.983760152019"/>
  </r>
  <r>
    <d v="2025-11-13T00:00:00"/>
    <x v="4"/>
    <s v="KAKAO"/>
    <m/>
    <x v="5"/>
    <s v="ST00000000200"/>
    <s v="SATIŞ"/>
    <s v="POS"/>
    <n v="0.24"/>
    <n v="834"/>
    <n v="200.16"/>
    <n v="0"/>
    <n v="0.24"/>
    <m/>
    <n v="834"/>
    <m/>
    <n v="0"/>
    <n v="0"/>
    <n v="61924.983760152019"/>
  </r>
  <r>
    <d v="2025-11-14T00:00:00"/>
    <x v="3"/>
    <s v="DENİZ TAHİNLİ PİŞMANİYE"/>
    <m/>
    <x v="2"/>
    <s v="FT00000000032"/>
    <s v="TB"/>
    <s v="K.K."/>
    <n v="6"/>
    <n v="59.5"/>
    <n v="0"/>
    <n v="357"/>
    <m/>
    <n v="6"/>
    <m/>
    <n v="59.5"/>
    <n v="0"/>
    <n v="0"/>
    <n v="61924.983760152019"/>
  </r>
  <r>
    <d v="2025-11-14T00:00:00"/>
    <x v="3"/>
    <s v="DENİZ ÇİKOLATA KAPLAMALI PİŞMANİYE"/>
    <m/>
    <x v="2"/>
    <s v="FT00000000032"/>
    <s v="TB"/>
    <s v="K.K."/>
    <n v="7"/>
    <n v="59.5"/>
    <n v="0"/>
    <n v="416.5"/>
    <m/>
    <n v="7"/>
    <m/>
    <n v="59.5"/>
    <n v="0"/>
    <n v="0"/>
    <n v="61924.983760152019"/>
  </r>
  <r>
    <d v="2025-11-14T00:00:00"/>
    <x v="3"/>
    <s v="DENİZ VANİLYALI PİŞMANİYE"/>
    <m/>
    <x v="2"/>
    <s v="FT00000000032"/>
    <s v="TB"/>
    <s v="K.K."/>
    <n v="6"/>
    <n v="59.5"/>
    <n v="0"/>
    <n v="357"/>
    <m/>
    <n v="6"/>
    <m/>
    <n v="59.5"/>
    <n v="0"/>
    <n v="0"/>
    <n v="61924.983760152019"/>
  </r>
  <r>
    <d v="2025-11-14T00:00:00"/>
    <x v="3"/>
    <s v="AÇIK KAYISI İRİ (SARI)"/>
    <m/>
    <x v="2"/>
    <s v="FT00000000032"/>
    <s v="TB"/>
    <s v="K.K."/>
    <n v="2.5649999999999999"/>
    <n v="595"/>
    <n v="0"/>
    <n v="1526.175"/>
    <m/>
    <n v="2.5649999999999999"/>
    <m/>
    <n v="595"/>
    <n v="0"/>
    <n v="0"/>
    <n v="61924.983760152019"/>
  </r>
  <r>
    <d v="2025-11-14T00:00:00"/>
    <x v="3"/>
    <s v="LOKUM KARIŞIK - TB"/>
    <m/>
    <x v="2"/>
    <s v="FT00000000032"/>
    <s v="TB"/>
    <s v="K.K."/>
    <n v="1.2649999999999999"/>
    <n v="139.86857699999999"/>
    <n v="0"/>
    <n v="176.93374990499998"/>
    <m/>
    <n v="1.2649999999999999"/>
    <m/>
    <n v="139.86857699999999"/>
    <n v="0"/>
    <n v="0"/>
    <n v="61924.983760152019"/>
  </r>
  <r>
    <d v="2025-11-14T00:00:00"/>
    <x v="3"/>
    <s v="LOKUM SADE - TB"/>
    <m/>
    <x v="2"/>
    <s v="FT00000000032"/>
    <s v="TB"/>
    <s v="K.K."/>
    <n v="1.25"/>
    <n v="109.776"/>
    <n v="0"/>
    <n v="137.22"/>
    <m/>
    <n v="1.25"/>
    <m/>
    <n v="109.776"/>
    <n v="0"/>
    <n v="0"/>
    <n v="61924.983760152019"/>
  </r>
  <r>
    <d v="2025-11-14T00:00:00"/>
    <x v="3"/>
    <s v="LOKUM KARIŞIK - TB"/>
    <m/>
    <x v="2"/>
    <s v="FT00000000032"/>
    <s v="TB"/>
    <s v="K.K."/>
    <n v="0.97499999999999998"/>
    <n v="139.87"/>
    <n v="0"/>
    <n v="136.37325000000001"/>
    <m/>
    <n v="0.97499999999999998"/>
    <m/>
    <n v="139.87"/>
    <n v="0"/>
    <n v="0"/>
    <n v="61924.983760152019"/>
  </r>
  <r>
    <d v="2025-11-14T00:00:00"/>
    <x v="4"/>
    <s v="KARABİBER ÇEKİLMİŞ"/>
    <m/>
    <x v="5"/>
    <s v="ST00000000201"/>
    <s v="SATIŞ"/>
    <s v="POS"/>
    <n v="9.1999999999999998E-2"/>
    <n v="640"/>
    <n v="58.879999999999995"/>
    <n v="0"/>
    <n v="9.1999999999999998E-2"/>
    <m/>
    <n v="640"/>
    <m/>
    <n v="0"/>
    <n v="0"/>
    <n v="61924.983760152019"/>
  </r>
  <r>
    <d v="2025-11-14T00:00:00"/>
    <x v="4"/>
    <s v="TOZ BİBER - TATLI"/>
    <m/>
    <x v="5"/>
    <s v="ST00000000201"/>
    <s v="SATIŞ"/>
    <s v="POS"/>
    <n v="0.21199999999999999"/>
    <n v="370"/>
    <n v="78.44"/>
    <n v="0"/>
    <n v="0.21199999999999999"/>
    <m/>
    <n v="370"/>
    <m/>
    <n v="0"/>
    <n v="0"/>
    <n v="61924.983760152019"/>
  </r>
  <r>
    <d v="2025-11-14T00:00:00"/>
    <x v="4"/>
    <s v="EVLİK BİBER"/>
    <m/>
    <x v="5"/>
    <s v="ST00000000201"/>
    <s v="SATIŞ"/>
    <s v="POS"/>
    <n v="0.17799999999999999"/>
    <n v="380"/>
    <n v="67.64"/>
    <n v="0"/>
    <n v="0.17799999999999999"/>
    <m/>
    <n v="380"/>
    <m/>
    <n v="0"/>
    <n v="0"/>
    <n v="61924.983760152019"/>
  </r>
  <r>
    <d v="2025-11-14T00:00:00"/>
    <x v="4"/>
    <s v="LOBAS SAF NAR EKŞİSİ 1 KG"/>
    <m/>
    <x v="1"/>
    <s v="ST00000000202"/>
    <s v="SATIŞ"/>
    <s v="NAKİT"/>
    <n v="1"/>
    <n v="295"/>
    <n v="0"/>
    <n v="0"/>
    <n v="1"/>
    <m/>
    <n v="295"/>
    <m/>
    <n v="295"/>
    <n v="0"/>
    <n v="62219.983760152019"/>
  </r>
  <r>
    <d v="2025-11-14T00:00:00"/>
    <x v="4"/>
    <s v="İSOT"/>
    <m/>
    <x v="5"/>
    <s v="ST00000000202"/>
    <s v="SATIŞ"/>
    <s v="POS"/>
    <n v="8.5000000000000006E-2"/>
    <n v="380"/>
    <n v="32.300000000000004"/>
    <n v="0"/>
    <n v="8.5000000000000006E-2"/>
    <m/>
    <n v="380"/>
    <m/>
    <n v="0"/>
    <n v="0"/>
    <n v="62219.983760152019"/>
  </r>
  <r>
    <d v="2025-11-14T00:00:00"/>
    <x v="4"/>
    <s v="AKİKSİR HİNDİSTAN CEVİZİ YAĞI 150 GR"/>
    <m/>
    <x v="1"/>
    <s v="ST00000000203"/>
    <s v="SATIŞ"/>
    <s v="NAKİT"/>
    <n v="1"/>
    <n v="190"/>
    <n v="0"/>
    <n v="0"/>
    <n v="1"/>
    <m/>
    <n v="190"/>
    <m/>
    <n v="190"/>
    <n v="0"/>
    <n v="62409.983760152019"/>
  </r>
  <r>
    <d v="2025-11-14T00:00:00"/>
    <x v="4"/>
    <s v="KİMYON ÇEKİLMİŞ"/>
    <m/>
    <x v="1"/>
    <s v="ST00000000203"/>
    <s v="SATIŞ"/>
    <s v="NAKİT"/>
    <n v="0.13"/>
    <n v="390"/>
    <n v="0"/>
    <n v="0"/>
    <n v="0.13"/>
    <m/>
    <n v="390"/>
    <m/>
    <n v="50.7"/>
    <n v="0"/>
    <n v="62460.683760152016"/>
  </r>
  <r>
    <d v="2025-11-14T00:00:00"/>
    <x v="4"/>
    <s v="DOLMALIK KURU KABAK"/>
    <m/>
    <x v="1"/>
    <s v="ST00000000203"/>
    <s v="SATIŞ"/>
    <s v="NAKİT"/>
    <n v="1"/>
    <n v="260"/>
    <n v="0"/>
    <n v="0"/>
    <n v="1"/>
    <m/>
    <n v="260"/>
    <m/>
    <n v="260"/>
    <n v="0"/>
    <n v="62720.683760152016"/>
  </r>
  <r>
    <d v="2025-11-14T00:00:00"/>
    <x v="4"/>
    <s v="BİBERİYE"/>
    <m/>
    <x v="1"/>
    <s v="ST00000000203"/>
    <s v="SATIŞ"/>
    <s v="NAKİT"/>
    <n v="0.14299999999999999"/>
    <n v="1400"/>
    <n v="0"/>
    <n v="0"/>
    <n v="0.14299999999999999"/>
    <m/>
    <n v="1400"/>
    <m/>
    <n v="200.2"/>
    <n v="0"/>
    <n v="62920.883760152014"/>
  </r>
  <r>
    <d v="2025-11-14T00:00:00"/>
    <x v="4"/>
    <s v="DOLMALIK KURU TATLI KIRMIZI BİBER"/>
    <m/>
    <x v="5"/>
    <s v="ST00000000204"/>
    <s v="SATIŞ"/>
    <s v="POS"/>
    <n v="1"/>
    <n v="200"/>
    <n v="200"/>
    <n v="0"/>
    <n v="1"/>
    <m/>
    <n v="200"/>
    <m/>
    <n v="0"/>
    <n v="0"/>
    <n v="62920.883760152014"/>
  </r>
  <r>
    <d v="2025-11-14T00:00:00"/>
    <x v="4"/>
    <s v="İRİ KABAK ÇEKİRDEĞİ TUZSUZ (KAVRULMUŞ)"/>
    <m/>
    <x v="1"/>
    <s v="ST00000000205"/>
    <s v="SATIŞ"/>
    <s v="NAKİT"/>
    <n v="0.28999999999999998"/>
    <n v="350"/>
    <n v="0"/>
    <n v="0"/>
    <n v="0.28999999999999998"/>
    <m/>
    <n v="350"/>
    <m/>
    <n v="101.5"/>
    <n v="0"/>
    <n v="63022.383760152014"/>
  </r>
  <r>
    <d v="2025-11-14T00:00:00"/>
    <x v="4"/>
    <s v="SEYHAN ÜZÜM ÖZEL"/>
    <m/>
    <x v="1"/>
    <s v="ST00000000205"/>
    <s v="SATIŞ"/>
    <s v="NAKİT"/>
    <n v="0.26"/>
    <n v="650"/>
    <n v="0"/>
    <n v="0"/>
    <n v="0.26"/>
    <m/>
    <n v="650"/>
    <m/>
    <n v="169"/>
    <n v="0"/>
    <n v="63191.383760152014"/>
  </r>
  <r>
    <d v="2025-11-14T00:00:00"/>
    <x v="4"/>
    <s v="KARIŞIK KURUYEMİŞ"/>
    <m/>
    <x v="5"/>
    <s v="ST00000000206"/>
    <s v="SATIŞ"/>
    <s v="POS"/>
    <n v="0.23599999999999999"/>
    <n v="850"/>
    <n v="200.6"/>
    <n v="0"/>
    <n v="1"/>
    <m/>
    <n v="200"/>
    <m/>
    <n v="0"/>
    <n v="0"/>
    <n v="63191.383760152014"/>
  </r>
  <r>
    <d v="2025-11-15T00:00:00"/>
    <x v="3"/>
    <s v="ARKO EL VÜCUT KREMİ 150 ml"/>
    <m/>
    <x v="2"/>
    <s v="FT00000000030"/>
    <s v="BİM"/>
    <s v="K.K."/>
    <n v="15"/>
    <n v="44.5"/>
    <n v="0"/>
    <n v="667.5"/>
    <m/>
    <n v="15"/>
    <m/>
    <n v="44.5"/>
    <n v="0"/>
    <n v="0"/>
    <n v="63191.383760152014"/>
  </r>
  <r>
    <d v="2025-11-15T00:00:00"/>
    <x v="3"/>
    <s v="HAPPY LİFE NAR EKŞİSİ 250 ML"/>
    <m/>
    <x v="2"/>
    <s v="FT00000000031"/>
    <s v="HAKMAR"/>
    <s v="K.K."/>
    <n v="5"/>
    <n v="79.5"/>
    <n v="0"/>
    <n v="397.5"/>
    <m/>
    <n v="5"/>
    <m/>
    <n v="79.5"/>
    <n v="0"/>
    <n v="0"/>
    <n v="63191.383760152014"/>
  </r>
  <r>
    <d v="2025-11-15T00:00:00"/>
    <x v="4"/>
    <s v="NANE İRİ"/>
    <m/>
    <x v="1"/>
    <s v="ST00000000207"/>
    <s v="SATIŞ"/>
    <s v="NAKİT"/>
    <n v="0.05"/>
    <n v="400"/>
    <n v="0"/>
    <n v="0"/>
    <n v="0.05"/>
    <m/>
    <n v="400"/>
    <m/>
    <n v="20"/>
    <n v="0"/>
    <n v="63211.383760152014"/>
  </r>
  <r>
    <d v="2025-11-15T00:00:00"/>
    <x v="4"/>
    <s v="KEKİK LÜX"/>
    <m/>
    <x v="1"/>
    <s v="ST00000000207"/>
    <s v="SATIŞ"/>
    <s v="NAKİT"/>
    <n v="2.7E-2"/>
    <n v="760"/>
    <n v="0"/>
    <n v="0"/>
    <n v="2.7E-2"/>
    <m/>
    <n v="760"/>
    <m/>
    <n v="20.52"/>
    <n v="0"/>
    <n v="63231.90376015201"/>
  </r>
  <r>
    <d v="2025-11-15T00:00:00"/>
    <x v="4"/>
    <s v="TOZ BİBER - ACI"/>
    <m/>
    <x v="1"/>
    <s v="ST00000000207"/>
    <s v="SATIŞ"/>
    <s v="NAKİT"/>
    <n v="0.16300000000000001"/>
    <n v="370"/>
    <n v="0"/>
    <n v="0"/>
    <n v="0.16300000000000001"/>
    <m/>
    <n v="370"/>
    <m/>
    <n v="60.31"/>
    <n v="0"/>
    <n v="63292.213760152008"/>
  </r>
  <r>
    <d v="2025-11-15T00:00:00"/>
    <x v="4"/>
    <s v="DOMATES SALÇASI"/>
    <m/>
    <x v="5"/>
    <s v="ST00000000208"/>
    <s v="SATIŞ"/>
    <s v="POS"/>
    <n v="0.5"/>
    <n v="130"/>
    <n v="65"/>
    <n v="0"/>
    <n v="0.5"/>
    <m/>
    <n v="130"/>
    <m/>
    <n v="0"/>
    <n v="0"/>
    <n v="63292.213760152008"/>
  </r>
  <r>
    <d v="2025-11-15T00:00:00"/>
    <x v="4"/>
    <s v="SALÇA TATLI (EV YAPIMI)"/>
    <m/>
    <x v="5"/>
    <s v="ST00000000208"/>
    <s v="SATIŞ"/>
    <s v="POS"/>
    <n v="0.5"/>
    <n v="180"/>
    <n v="90"/>
    <n v="0"/>
    <n v="0.5"/>
    <m/>
    <n v="180"/>
    <m/>
    <n v="0"/>
    <n v="0"/>
    <n v="63292.213760152008"/>
  </r>
  <r>
    <d v="2025-11-15T00:00:00"/>
    <x v="4"/>
    <s v="ÇUBUK TARÇIN"/>
    <m/>
    <x v="5"/>
    <s v="ST00000000209"/>
    <s v="SATIŞ"/>
    <s v="POS"/>
    <n v="0.1"/>
    <n v="650"/>
    <n v="65"/>
    <n v="0"/>
    <n v="1"/>
    <m/>
    <n v="65"/>
    <m/>
    <n v="0"/>
    <n v="0"/>
    <n v="63292.213760152008"/>
  </r>
  <r>
    <d v="2025-11-15T00:00:00"/>
    <x v="4"/>
    <s v="ÇÖREKOTU"/>
    <m/>
    <x v="5"/>
    <s v="ST00000000209"/>
    <s v="SATIŞ"/>
    <s v="POS"/>
    <n v="0.1"/>
    <n v="400"/>
    <n v="40"/>
    <n v="0"/>
    <n v="1"/>
    <m/>
    <n v="40"/>
    <m/>
    <n v="0"/>
    <n v="0"/>
    <n v="63292.213760152008"/>
  </r>
  <r>
    <d v="2025-11-15T00:00:00"/>
    <x v="4"/>
    <s v="DOLMALIK KURU PATLICAN"/>
    <m/>
    <x v="1"/>
    <s v="ST00000000210"/>
    <s v="SATIŞ"/>
    <s v="NAKİT"/>
    <n v="1"/>
    <n v="135"/>
    <n v="0"/>
    <n v="0"/>
    <n v="1"/>
    <m/>
    <n v="135"/>
    <m/>
    <n v="135"/>
    <n v="0"/>
    <n v="63427.213760152008"/>
  </r>
  <r>
    <d v="2025-11-15T00:00:00"/>
    <x v="4"/>
    <s v="DOMATES SALÇASI"/>
    <m/>
    <x v="1"/>
    <s v="ST00000000211"/>
    <s v="SATIŞ"/>
    <s v="NAKİT"/>
    <n v="1"/>
    <n v="130"/>
    <n v="0"/>
    <n v="0"/>
    <n v="1"/>
    <m/>
    <n v="130"/>
    <m/>
    <n v="130"/>
    <n v="0"/>
    <n v="63557.213760152008"/>
  </r>
  <r>
    <d v="2025-11-15T00:00:00"/>
    <x v="4"/>
    <s v="NANE İRİ"/>
    <m/>
    <x v="5"/>
    <s v="ST00000000212"/>
    <s v="SATIŞ"/>
    <s v="POS"/>
    <n v="5.3999999999999999E-2"/>
    <n v="400"/>
    <n v="21.6"/>
    <n v="0"/>
    <n v="5.3999999999999999E-2"/>
    <m/>
    <n v="400"/>
    <m/>
    <n v="0"/>
    <n v="0"/>
    <n v="63557.213760152008"/>
  </r>
  <r>
    <d v="2025-11-15T00:00:00"/>
    <x v="4"/>
    <s v="SUMAK"/>
    <m/>
    <x v="5"/>
    <s v="ST00000000212"/>
    <s v="SATIŞ"/>
    <s v="POS"/>
    <n v="0.13400000000000001"/>
    <n v="500"/>
    <n v="67"/>
    <n v="0"/>
    <n v="0.13400000000000001"/>
    <m/>
    <n v="500"/>
    <m/>
    <n v="0"/>
    <n v="0"/>
    <n v="63557.213760152008"/>
  </r>
  <r>
    <d v="2025-11-15T00:00:00"/>
    <x v="4"/>
    <s v="CEVİZLİ SUCUK ATOM (ESMER)"/>
    <m/>
    <x v="5"/>
    <s v="ST00000000212"/>
    <s v="SATIŞ"/>
    <s v="POS"/>
    <n v="0.35599999999999998"/>
    <n v="340"/>
    <n v="121.03999999999999"/>
    <n v="0"/>
    <n v="0.35599999999999998"/>
    <m/>
    <n v="340"/>
    <m/>
    <n v="0"/>
    <n v="0"/>
    <n v="63557.213760152008"/>
  </r>
  <r>
    <d v="2025-11-15T00:00:00"/>
    <x v="4"/>
    <s v="İPEK BİBER"/>
    <m/>
    <x v="5"/>
    <s v="ST00000000212"/>
    <s v="SATIŞ"/>
    <s v="POS"/>
    <n v="9.4E-2"/>
    <n v="500"/>
    <n v="47"/>
    <n v="0"/>
    <n v="9.4E-2"/>
    <m/>
    <n v="500"/>
    <m/>
    <n v="0"/>
    <n v="0"/>
    <n v="63557.213760152008"/>
  </r>
  <r>
    <d v="2025-11-15T00:00:00"/>
    <x v="4"/>
    <s v="ÇAM FISTIĞI (DOLMALIK YER FISTIĞI)"/>
    <m/>
    <x v="5"/>
    <s v="ST00000000212"/>
    <s v="SATIŞ"/>
    <s v="POS"/>
    <n v="0.1"/>
    <n v="250"/>
    <n v="25"/>
    <n v="0"/>
    <n v="1"/>
    <m/>
    <n v="25"/>
    <m/>
    <n v="0"/>
    <n v="0"/>
    <n v="63557.213760152008"/>
  </r>
  <r>
    <d v="2025-11-15T00:00:00"/>
    <x v="4"/>
    <s v="TÜDAB TURŞU BİBER"/>
    <m/>
    <x v="5"/>
    <s v="ST00000000212"/>
    <s v="SATIŞ"/>
    <s v="POS"/>
    <n v="0.5"/>
    <n v="350"/>
    <n v="175"/>
    <n v="0"/>
    <n v="0.5"/>
    <m/>
    <n v="350"/>
    <m/>
    <n v="0"/>
    <n v="0"/>
    <n v="63557.213760152008"/>
  </r>
  <r>
    <d v="2025-11-15T00:00:00"/>
    <x v="4"/>
    <s v="KARABİBER ÇEKİLMİŞ"/>
    <m/>
    <x v="5"/>
    <s v="ST00000000213"/>
    <s v="SATIŞ"/>
    <s v="POS"/>
    <n v="7.3999999999999996E-2"/>
    <n v="640"/>
    <n v="47.36"/>
    <n v="0"/>
    <n v="7.3999999999999996E-2"/>
    <m/>
    <n v="640"/>
    <m/>
    <n v="0"/>
    <n v="0"/>
    <n v="63557.213760152008"/>
  </r>
  <r>
    <d v="2025-11-15T00:00:00"/>
    <x v="4"/>
    <s v="DOMATES KURUSU"/>
    <m/>
    <x v="5"/>
    <s v="ST00000000213"/>
    <s v="SATIŞ"/>
    <s v="POS"/>
    <n v="0.25"/>
    <n v="380"/>
    <n v="95"/>
    <n v="0"/>
    <n v="1"/>
    <m/>
    <n v="95"/>
    <m/>
    <n v="0"/>
    <n v="0"/>
    <n v="63557.213760152008"/>
  </r>
  <r>
    <d v="2025-11-15T00:00:00"/>
    <x v="4"/>
    <s v="SUSAM KIRMIZI"/>
    <m/>
    <x v="5"/>
    <s v="ST00000000213"/>
    <s v="SATIŞ"/>
    <s v="POS"/>
    <n v="0.1"/>
    <n v="400"/>
    <n v="40"/>
    <n v="0"/>
    <n v="1"/>
    <m/>
    <n v="40"/>
    <m/>
    <n v="0"/>
    <n v="0"/>
    <n v="63557.213760152008"/>
  </r>
  <r>
    <d v="2025-11-15T00:00:00"/>
    <x v="4"/>
    <s v="CEVİZLİ SUCUK ATOM (ESMER)"/>
    <m/>
    <x v="5"/>
    <s v="ST00000000213"/>
    <s v="SATIŞ"/>
    <s v="POS"/>
    <n v="0.36599999999999999"/>
    <n v="340"/>
    <n v="124.44"/>
    <n v="0"/>
    <n v="0.36599999999999999"/>
    <m/>
    <n v="340"/>
    <m/>
    <n v="0"/>
    <n v="0"/>
    <n v="63557.213760152008"/>
  </r>
  <r>
    <d v="2025-11-15T00:00:00"/>
    <x v="4"/>
    <s v="TÜDAB TURŞU BİBER"/>
    <m/>
    <x v="5"/>
    <s v="ST00000000213"/>
    <s v="SATIŞ"/>
    <s v="POS"/>
    <n v="0.5"/>
    <n v="350"/>
    <n v="175"/>
    <n v="0"/>
    <n v="0.5"/>
    <m/>
    <n v="350"/>
    <m/>
    <n v="0"/>
    <n v="0"/>
    <n v="63557.213760152008"/>
  </r>
  <r>
    <d v="2025-11-15T00:00:00"/>
    <x v="4"/>
    <s v="DUT KURUSU LÜX ELAZIĞ"/>
    <m/>
    <x v="1"/>
    <s v="ST00000000214"/>
    <s v="SATIŞ"/>
    <s v="NAKİT"/>
    <n v="0.21299999999999999"/>
    <n v="800"/>
    <n v="0"/>
    <n v="0"/>
    <n v="0.21299999999999999"/>
    <m/>
    <n v="800"/>
    <m/>
    <n v="170.4"/>
    <n v="0"/>
    <n v="63727.613760152009"/>
  </r>
  <r>
    <d v="2025-11-15T00:00:00"/>
    <x v="4"/>
    <s v="DOLMALIK KURU TATLI KIRMIZI BİBER"/>
    <m/>
    <x v="5"/>
    <s v="ST00000000215"/>
    <s v="SATIŞ"/>
    <s v="POS"/>
    <n v="1"/>
    <n v="200"/>
    <n v="200"/>
    <n v="0"/>
    <n v="1"/>
    <m/>
    <n v="200"/>
    <m/>
    <n v="0"/>
    <n v="0"/>
    <n v="63727.613760152009"/>
  </r>
  <r>
    <d v="2025-11-15T00:00:00"/>
    <x v="4"/>
    <s v="DOLMALIK KURU PATLICAN"/>
    <m/>
    <x v="5"/>
    <s v="ST00000000215"/>
    <s v="SATIŞ"/>
    <s v="POS"/>
    <n v="1"/>
    <n v="240"/>
    <n v="240"/>
    <n v="0"/>
    <n v="1"/>
    <m/>
    <n v="240"/>
    <m/>
    <n v="0"/>
    <n v="0"/>
    <n v="63727.613760152009"/>
  </r>
  <r>
    <d v="2025-11-15T00:00:00"/>
    <x v="4"/>
    <s v="KARABİBER ÇEKİLMİŞ"/>
    <m/>
    <x v="5"/>
    <s v="ST00000000216"/>
    <s v="SATIŞ"/>
    <s v="POS"/>
    <n v="0.157"/>
    <n v="640"/>
    <n v="100.48"/>
    <n v="0"/>
    <n v="0.157"/>
    <m/>
    <n v="640"/>
    <m/>
    <n v="0"/>
    <n v="0"/>
    <n v="63727.613760152009"/>
  </r>
  <r>
    <d v="2025-11-15T00:00:00"/>
    <x v="4"/>
    <s v="DOLMALIK KURU PATLICAN"/>
    <m/>
    <x v="5"/>
    <s v="ST00000000216"/>
    <s v="SATIŞ"/>
    <s v="POS"/>
    <n v="1"/>
    <n v="240"/>
    <n v="240"/>
    <n v="0"/>
    <n v="1"/>
    <m/>
    <n v="240"/>
    <m/>
    <n v="0"/>
    <n v="0"/>
    <n v="63727.613760152009"/>
  </r>
  <r>
    <d v="2025-11-15T00:00:00"/>
    <x v="4"/>
    <s v="DOLMALIK SARI BİBER"/>
    <m/>
    <x v="5"/>
    <s v="ST00000000216"/>
    <s v="SATIŞ"/>
    <s v="POS"/>
    <n v="1"/>
    <n v="200"/>
    <n v="200"/>
    <n v="0"/>
    <n v="1"/>
    <m/>
    <n v="200"/>
    <m/>
    <n v="0"/>
    <n v="0"/>
    <n v="63727.613760152009"/>
  </r>
  <r>
    <d v="2025-11-15T00:00:00"/>
    <x v="4"/>
    <s v="DOLMALIK KURU KABAK"/>
    <m/>
    <x v="5"/>
    <s v="ST00000000216"/>
    <s v="SATIŞ"/>
    <s v="POS"/>
    <n v="1"/>
    <n v="260"/>
    <n v="260"/>
    <n v="0"/>
    <n v="1"/>
    <m/>
    <n v="260"/>
    <m/>
    <n v="0"/>
    <n v="0"/>
    <n v="63727.613760152009"/>
  </r>
  <r>
    <d v="2025-11-15T00:00:00"/>
    <x v="4"/>
    <s v="TÜDAB KARIŞIK TURŞU"/>
    <m/>
    <x v="1"/>
    <s v="ST00000000217"/>
    <s v="SATIŞ"/>
    <s v="NAKİT"/>
    <n v="1"/>
    <n v="400"/>
    <n v="0"/>
    <n v="0"/>
    <n v="1"/>
    <m/>
    <n v="400"/>
    <m/>
    <n v="400"/>
    <n v="0"/>
    <n v="64127.613760152009"/>
  </r>
  <r>
    <d v="2025-11-15T00:00:00"/>
    <x v="4"/>
    <s v="TÜDAB ACUR TURŞUSU"/>
    <m/>
    <x v="1"/>
    <s v="ST00000000217"/>
    <s v="SATIŞ"/>
    <s v="NAKİT"/>
    <n v="1"/>
    <n v="350"/>
    <n v="0"/>
    <n v="0"/>
    <n v="1"/>
    <m/>
    <n v="350"/>
    <m/>
    <n v="350"/>
    <n v="0"/>
    <n v="64477.613760152009"/>
  </r>
  <r>
    <d v="2025-11-15T00:00:00"/>
    <x v="4"/>
    <s v="SUMAK"/>
    <m/>
    <x v="5"/>
    <s v="ST00000000218"/>
    <s v="SATIŞ - TOPTAN"/>
    <s v="POS"/>
    <n v="1"/>
    <n v="300"/>
    <n v="300"/>
    <n v="0"/>
    <n v="1"/>
    <m/>
    <n v="300"/>
    <m/>
    <n v="0"/>
    <n v="0"/>
    <n v="64477.613760152009"/>
  </r>
  <r>
    <d v="2025-11-16T00:00:00"/>
    <x v="4"/>
    <s v="TÜDAB HARNUP PEKMEZİ 800 GR (KEÇİBOYNUZU)"/>
    <m/>
    <x v="5"/>
    <s v="ST00000000204"/>
    <s v="SATIŞ"/>
    <s v="POS"/>
    <n v="1"/>
    <n v="180"/>
    <n v="180"/>
    <n v="0"/>
    <n v="1"/>
    <m/>
    <n v="180"/>
    <m/>
    <n v="0"/>
    <n v="0"/>
    <n v="64477.613760152009"/>
  </r>
  <r>
    <d v="2025-11-16T00:00:00"/>
    <x v="4"/>
    <s v="SEYİDOĞLU PEKMEZ 700 g"/>
    <m/>
    <x v="5"/>
    <s v="ST00000000204"/>
    <s v="SATIŞ"/>
    <s v="POS"/>
    <n v="1"/>
    <n v="170"/>
    <n v="170"/>
    <n v="0"/>
    <n v="1"/>
    <m/>
    <n v="170"/>
    <m/>
    <n v="0"/>
    <n v="0"/>
    <n v="64477.613760152009"/>
  </r>
  <r>
    <d v="2025-11-16T00:00:00"/>
    <x v="4"/>
    <s v="IHLAMUR YAPRAK"/>
    <m/>
    <x v="5"/>
    <s v="ST00000000205"/>
    <s v="SATIŞ"/>
    <s v="POS"/>
    <n v="0.05"/>
    <n v="2600"/>
    <n v="130"/>
    <n v="0"/>
    <n v="1"/>
    <m/>
    <n v="130"/>
    <m/>
    <n v="0"/>
    <n v="0"/>
    <n v="64477.613760152009"/>
  </r>
  <r>
    <d v="2025-11-16T00:00:00"/>
    <x v="4"/>
    <s v="İZMİR ÜZÜMÜ"/>
    <m/>
    <x v="1"/>
    <s v="ST00000000206"/>
    <s v="SATIŞ"/>
    <s v="NAKİT"/>
    <n v="0.24"/>
    <n v="250"/>
    <n v="0"/>
    <n v="0"/>
    <n v="0.24"/>
    <m/>
    <n v="250"/>
    <m/>
    <n v="60"/>
    <n v="0"/>
    <n v="64537.613760152009"/>
  </r>
  <r>
    <d v="2025-11-16T00:00:00"/>
    <x v="4"/>
    <s v="FINDIK BULACAK (13-15)"/>
    <m/>
    <x v="1"/>
    <s v="ST00000000206"/>
    <s v="SATIŞ"/>
    <s v="NAKİT"/>
    <n v="0.17199999999999999"/>
    <n v="1150"/>
    <n v="0"/>
    <n v="0"/>
    <n v="0.17199999999999999"/>
    <m/>
    <n v="1150"/>
    <m/>
    <n v="197.79999999999998"/>
    <n v="0"/>
    <n v="64735.413760152012"/>
  </r>
  <r>
    <d v="2025-11-16T00:00:00"/>
    <x v="4"/>
    <s v="TUZSUZ FISTIK 1 NO"/>
    <m/>
    <x v="1"/>
    <s v="ST00000000206"/>
    <s v="SATIŞ"/>
    <s v="NAKİT"/>
    <n v="0.52200000000000002"/>
    <n v="195"/>
    <n v="0"/>
    <n v="0"/>
    <n v="0.52200000000000002"/>
    <m/>
    <n v="195"/>
    <m/>
    <n v="101.79"/>
    <n v="0"/>
    <n v="64837.203760152013"/>
  </r>
  <r>
    <d v="2025-11-16T00:00:00"/>
    <x v="4"/>
    <s v="SARIBELEN IŞGIN KÖKÜ SİRKESİ 500 ML"/>
    <m/>
    <x v="1"/>
    <s v="ST00000000206"/>
    <s v="SATIŞ"/>
    <s v="NAKİT"/>
    <n v="1"/>
    <n v="170"/>
    <n v="0"/>
    <n v="0"/>
    <n v="1"/>
    <m/>
    <n v="170"/>
    <m/>
    <n v="170"/>
    <n v="0"/>
    <n v="65007.203760152013"/>
  </r>
  <r>
    <d v="2025-11-16T00:00:00"/>
    <x v="4"/>
    <s v="İRİ KABAK ÇEKİRDEĞİ TUZSUZ (KAVRULMUŞ)"/>
    <m/>
    <x v="1"/>
    <s v="ST00000000206"/>
    <s v="SATIŞ"/>
    <s v="NAKİT"/>
    <n v="0.15"/>
    <n v="350"/>
    <n v="0"/>
    <n v="0"/>
    <n v="0.15"/>
    <m/>
    <n v="350"/>
    <m/>
    <n v="52.5"/>
    <n v="0"/>
    <n v="65059.703760152013"/>
  </r>
  <r>
    <d v="2025-11-16T00:00:00"/>
    <x v="4"/>
    <s v="AYÇEKİRDEĞİ DAKOTA TUZSUZ EKSTRA"/>
    <m/>
    <x v="1"/>
    <s v="ST00000000206"/>
    <s v="SATIŞ"/>
    <s v="NAKİT"/>
    <n v="0.192"/>
    <n v="180"/>
    <n v="0"/>
    <n v="0"/>
    <n v="0.192"/>
    <m/>
    <n v="180"/>
    <m/>
    <n v="34.56"/>
    <n v="0"/>
    <n v="65094.263760152011"/>
  </r>
  <r>
    <d v="2025-11-16T00:00:00"/>
    <x v="4"/>
    <s v="CEVİZLİ SUCUK ATOM (SARI)"/>
    <m/>
    <x v="1"/>
    <s v="ST00000000206"/>
    <s v="SATIŞ"/>
    <s v="NAKİT"/>
    <n v="0.49"/>
    <n v="290"/>
    <n v="0"/>
    <n v="0"/>
    <n v="0.49"/>
    <m/>
    <n v="290"/>
    <m/>
    <n v="142.1"/>
    <n v="0"/>
    <n v="65236.363760152009"/>
  </r>
  <r>
    <d v="2025-11-16T00:00:00"/>
    <x v="4"/>
    <s v="BİBERİYE"/>
    <m/>
    <x v="1"/>
    <s v="ST00000000207"/>
    <s v="SATIŞ"/>
    <s v="NAKİT"/>
    <n v="7.8E-2"/>
    <n v="1400"/>
    <n v="0"/>
    <n v="0"/>
    <n v="7.8E-2"/>
    <m/>
    <n v="1400"/>
    <m/>
    <n v="109.2"/>
    <n v="0"/>
    <n v="65345.563760152007"/>
  </r>
  <r>
    <d v="2025-11-16T00:00:00"/>
    <x v="4"/>
    <s v="SEYHAN ÜZÜM ÖZEL"/>
    <m/>
    <x v="1"/>
    <s v="ST00000000207"/>
    <s v="SATIŞ"/>
    <s v="NAKİT"/>
    <n v="0.216"/>
    <n v="650"/>
    <n v="0"/>
    <n v="0"/>
    <n v="0.216"/>
    <m/>
    <n v="650"/>
    <m/>
    <n v="140.4"/>
    <n v="0"/>
    <n v="65485.963760152008"/>
  </r>
  <r>
    <d v="2025-11-16T00:00:00"/>
    <x v="4"/>
    <s v="CEVİZLİ SUCUK ATOM (SARI)"/>
    <m/>
    <x v="1"/>
    <s v="ST00000000207"/>
    <s v="SATIŞ"/>
    <s v="NAKİT"/>
    <n v="0.47"/>
    <n v="290"/>
    <n v="0"/>
    <n v="0"/>
    <n v="0.47"/>
    <m/>
    <n v="290"/>
    <m/>
    <n v="136.29999999999998"/>
    <n v="0"/>
    <n v="65622.263760152011"/>
  </r>
  <r>
    <d v="2025-11-16T00:00:00"/>
    <x v="4"/>
    <s v="LOBAS SAF NAR EKŞİSİ 1 KG"/>
    <m/>
    <x v="1"/>
    <s v="ST00000000208"/>
    <s v="SATIŞ"/>
    <s v="NAKİT"/>
    <n v="1"/>
    <n v="295"/>
    <n v="0"/>
    <n v="0"/>
    <n v="1"/>
    <m/>
    <n v="295"/>
    <m/>
    <n v="295"/>
    <n v="0"/>
    <n v="65917.263760152011"/>
  </r>
  <r>
    <d v="2025-11-16T00:00:00"/>
    <x v="4"/>
    <s v="HUNCA CARE AT KESTANESİ KREMİ 500 ML"/>
    <m/>
    <x v="1"/>
    <s v="ST00000000208"/>
    <s v="SATIŞ"/>
    <s v="NAKİT"/>
    <n v="1"/>
    <n v="190"/>
    <n v="0"/>
    <n v="0"/>
    <n v="1"/>
    <m/>
    <n v="190"/>
    <m/>
    <n v="190"/>
    <n v="0"/>
    <n v="66107.263760152011"/>
  </r>
  <r>
    <d v="2025-11-16T00:00:00"/>
    <x v="4"/>
    <s v="LAHANA TURŞUSU 5 KG"/>
    <m/>
    <x v="1"/>
    <s v="ST00000000208"/>
    <s v="SATIŞ"/>
    <s v="NAKİT"/>
    <n v="1"/>
    <n v="350"/>
    <n v="0"/>
    <n v="0"/>
    <n v="1"/>
    <m/>
    <n v="350"/>
    <m/>
    <n v="350"/>
    <n v="0"/>
    <n v="66457.263760152011"/>
  </r>
  <r>
    <d v="2025-11-16T00:00:00"/>
    <x v="4"/>
    <s v="DOLMALIK KURU PATLICAN"/>
    <m/>
    <x v="1"/>
    <s v="ST00000000208"/>
    <s v="SATIŞ"/>
    <s v="NAKİT"/>
    <n v="1"/>
    <n v="240"/>
    <n v="0"/>
    <n v="0"/>
    <n v="1"/>
    <m/>
    <n v="240"/>
    <m/>
    <n v="240"/>
    <n v="0"/>
    <n v="66697.263760152011"/>
  </r>
  <r>
    <d v="2025-11-16T00:00:00"/>
    <x v="4"/>
    <s v="DOLMALIK KURU ACI BİBER"/>
    <m/>
    <x v="1"/>
    <s v="ST00000000208"/>
    <s v="SATIŞ"/>
    <s v="NAKİT"/>
    <n v="1"/>
    <n v="200"/>
    <n v="0"/>
    <n v="0"/>
    <n v="1"/>
    <m/>
    <n v="200"/>
    <m/>
    <n v="200"/>
    <n v="0"/>
    <n v="66897.263760152011"/>
  </r>
  <r>
    <d v="2025-11-16T00:00:00"/>
    <x v="4"/>
    <s v="DOLMALIK KURU TATLI KIRMIZI BİBER"/>
    <m/>
    <x v="1"/>
    <s v="ST00000000208"/>
    <s v="SATIŞ"/>
    <s v="NAKİT"/>
    <n v="1"/>
    <n v="200"/>
    <n v="0"/>
    <n v="0"/>
    <n v="1"/>
    <m/>
    <n v="200"/>
    <m/>
    <n v="200"/>
    <n v="0"/>
    <n v="67097.263760152011"/>
  </r>
  <r>
    <d v="2025-11-16T00:00:00"/>
    <x v="4"/>
    <s v="TÜDAB HARNUP PEKMEZİ 800 GR (KEÇİBOYNUZU)"/>
    <m/>
    <x v="1"/>
    <s v="ST00000000208"/>
    <s v="SATIŞ"/>
    <s v="NAKİT"/>
    <n v="1"/>
    <n v="180"/>
    <n v="0"/>
    <n v="0"/>
    <n v="1"/>
    <m/>
    <n v="180"/>
    <m/>
    <n v="180"/>
    <n v="0"/>
    <n v="67277.263760152011"/>
  </r>
  <r>
    <d v="2025-11-16T00:00:00"/>
    <x v="4"/>
    <s v="KAFFKA OSMANLI KAHVESİ 150 GR"/>
    <m/>
    <x v="1"/>
    <s v="ST00000000208"/>
    <s v="SATIŞ"/>
    <s v="NAKİT"/>
    <n v="1"/>
    <n v="65"/>
    <n v="0"/>
    <n v="0"/>
    <n v="1"/>
    <m/>
    <n v="65"/>
    <m/>
    <n v="65"/>
    <n v="0"/>
    <n v="67342.263760152011"/>
  </r>
  <r>
    <d v="2025-11-16T00:00:00"/>
    <x v="4"/>
    <s v="KETEN TOHUMU"/>
    <m/>
    <x v="1"/>
    <s v="ST00000000208"/>
    <s v="SATIŞ"/>
    <s v="NAKİT"/>
    <n v="0.2"/>
    <n v="200"/>
    <n v="0"/>
    <n v="0"/>
    <n v="2"/>
    <m/>
    <n v="20"/>
    <m/>
    <n v="40"/>
    <n v="0"/>
    <n v="67382.263760152011"/>
  </r>
  <r>
    <d v="2025-11-16T00:00:00"/>
    <x v="4"/>
    <s v="DOMATES SALÇASI"/>
    <m/>
    <x v="1"/>
    <s v="ST00000000208"/>
    <s v="SATIŞ"/>
    <s v="NAKİT"/>
    <n v="0.99399999999999999"/>
    <n v="130"/>
    <n v="0"/>
    <n v="0"/>
    <n v="0.99399999999999999"/>
    <m/>
    <n v="130"/>
    <m/>
    <n v="129.22"/>
    <n v="0"/>
    <n v="67511.483760152012"/>
  </r>
  <r>
    <d v="2025-11-16T00:00:00"/>
    <x v="4"/>
    <s v="SALÇA TATLI (EV YAPIMI)"/>
    <m/>
    <x v="1"/>
    <s v="ST00000000208"/>
    <s v="SATIŞ"/>
    <s v="NAKİT"/>
    <n v="0.59799999999999998"/>
    <n v="180"/>
    <n v="0"/>
    <n v="0"/>
    <n v="0.59799999999999998"/>
    <m/>
    <n v="180"/>
    <m/>
    <n v="107.64"/>
    <n v="0"/>
    <n v="67619.123760152012"/>
  </r>
  <r>
    <d v="2025-11-16T00:00:00"/>
    <x v="4"/>
    <s v="KARIŞIK KURUYEMİŞ"/>
    <m/>
    <x v="1"/>
    <s v="ST00000000208"/>
    <s v="SATIŞ"/>
    <s v="NAKİT"/>
    <n v="0.23599999999999999"/>
    <n v="850"/>
    <n v="0"/>
    <n v="0"/>
    <n v="0.23599999999999999"/>
    <m/>
    <n v="850"/>
    <m/>
    <n v="200.6"/>
    <n v="0"/>
    <n v="67819.723760152017"/>
  </r>
  <r>
    <d v="2025-11-16T00:00:00"/>
    <x v="4"/>
    <s v="CEVİZLİ SUCUK ATOM (ESMER)"/>
    <m/>
    <x v="1"/>
    <s v="ST00000000208"/>
    <s v="SATIŞ"/>
    <s v="NAKİT"/>
    <n v="0.51400000000000001"/>
    <n v="340"/>
    <n v="0"/>
    <n v="0"/>
    <n v="0.51400000000000001"/>
    <m/>
    <n v="340"/>
    <m/>
    <n v="174.76"/>
    <n v="0"/>
    <n v="67994.483760152012"/>
  </r>
  <r>
    <d v="2025-11-16T00:00:00"/>
    <x v="4"/>
    <s v="HİMALAYA TUZU PEMBE ÖĞÜTÜLMÜŞ"/>
    <m/>
    <x v="1"/>
    <s v="ST00000000208"/>
    <s v="SATIŞ"/>
    <s v="NAKİT"/>
    <n v="0.5"/>
    <n v="140"/>
    <n v="0"/>
    <n v="0"/>
    <n v="1"/>
    <m/>
    <n v="70"/>
    <m/>
    <n v="70"/>
    <n v="0"/>
    <n v="68064.483760152012"/>
  </r>
  <r>
    <d v="2025-11-16T00:00:00"/>
    <x v="4"/>
    <s v="DERME GÜN KURUSU KAYISI JUMBO"/>
    <m/>
    <x v="1"/>
    <s v="ST00000000208"/>
    <s v="SATIŞ"/>
    <s v="NAKİT"/>
    <n v="0.38400000000000001"/>
    <n v="930"/>
    <n v="0"/>
    <n v="0"/>
    <n v="0.38400000000000001"/>
    <m/>
    <n v="930"/>
    <m/>
    <n v="357.12"/>
    <n v="0"/>
    <n v="68421.603760152007"/>
  </r>
  <r>
    <d v="2025-11-16T00:00:00"/>
    <x v="4"/>
    <s v="TOZ BİBER - TATLI"/>
    <m/>
    <x v="1"/>
    <s v="ST00000000208"/>
    <s v="SATIŞ"/>
    <s v="NAKİT"/>
    <n v="0.192"/>
    <n v="370"/>
    <n v="0"/>
    <n v="0"/>
    <n v="0.192"/>
    <m/>
    <n v="370"/>
    <m/>
    <n v="71.040000000000006"/>
    <n v="0"/>
    <n v="68492.643760152001"/>
  </r>
  <r>
    <d v="2025-11-16T00:00:00"/>
    <x v="4"/>
    <s v="HASEVLİK"/>
    <m/>
    <x v="1"/>
    <s v="ST00000000208"/>
    <s v="SATIŞ"/>
    <s v="NAKİT"/>
    <n v="0.24199999999999999"/>
    <n v="420"/>
    <n v="0"/>
    <n v="0"/>
    <n v="0.24199999999999999"/>
    <m/>
    <n v="420"/>
    <m/>
    <n v="101.64"/>
    <n v="0"/>
    <n v="68594.283760152"/>
  </r>
  <r>
    <d v="2025-11-16T00:00:00"/>
    <x v="4"/>
    <s v="KİMYON ÇEKİLMİŞ"/>
    <m/>
    <x v="1"/>
    <s v="ST00000000208"/>
    <s v="SATIŞ"/>
    <s v="NAKİT"/>
    <n v="0.13400000000000001"/>
    <n v="390"/>
    <n v="0"/>
    <n v="0"/>
    <n v="0.13400000000000001"/>
    <m/>
    <n v="390"/>
    <m/>
    <n v="52.260000000000005"/>
    <n v="0"/>
    <n v="68646.543760151995"/>
  </r>
  <r>
    <d v="2025-11-16T00:00:00"/>
    <x v="4"/>
    <s v="ZERDEÇAL TOZ"/>
    <m/>
    <x v="1"/>
    <s v="ST00000000208"/>
    <s v="SATIŞ"/>
    <s v="NAKİT"/>
    <n v="7.5999999999999998E-2"/>
    <n v="250"/>
    <n v="0"/>
    <n v="0"/>
    <n v="7.5999999999999998E-2"/>
    <m/>
    <n v="250"/>
    <m/>
    <n v="19"/>
    <n v="0"/>
    <n v="68665.543760151995"/>
  </r>
  <r>
    <d v="2025-11-16T00:00:00"/>
    <x v="4"/>
    <s v="SUMAK"/>
    <m/>
    <x v="1"/>
    <s v="ST00000000208"/>
    <s v="SATIŞ"/>
    <s v="NAKİT"/>
    <n v="0.32400000000000001"/>
    <n v="500"/>
    <n v="0"/>
    <n v="0"/>
    <n v="0.32400000000000001"/>
    <m/>
    <n v="500"/>
    <m/>
    <n v="162"/>
    <n v="0"/>
    <n v="68827.543760151995"/>
  </r>
  <r>
    <d v="2025-11-16T00:00:00"/>
    <x v="4"/>
    <s v="NBN DAĞ İNCİRİ"/>
    <m/>
    <x v="1"/>
    <s v="ST00000000208"/>
    <s v="SATIŞ"/>
    <s v="NAKİT"/>
    <n v="0.53800000000000003"/>
    <n v="700"/>
    <n v="0"/>
    <n v="0"/>
    <n v="0.53800000000000003"/>
    <m/>
    <n v="700"/>
    <m/>
    <n v="376.6"/>
    <n v="0"/>
    <n v="69204.143760152001"/>
  </r>
  <r>
    <d v="2025-11-16T00:00:00"/>
    <x v="4"/>
    <s v="ZENCEFİL TOZ"/>
    <m/>
    <x v="1"/>
    <s v="ST00000000208"/>
    <s v="SATIŞ"/>
    <s v="NAKİT"/>
    <n v="8.5999999999999993E-2"/>
    <n v="360"/>
    <n v="0"/>
    <n v="0"/>
    <n v="8.5999999999999993E-2"/>
    <m/>
    <n v="360"/>
    <m/>
    <n v="30.959999999999997"/>
    <n v="0"/>
    <n v="69235.103760152007"/>
  </r>
  <r>
    <d v="2025-11-16T00:00:00"/>
    <x v="4"/>
    <s v="İRİ BEYAZ KABAK ÇEKİRDEĞİ - NEVŞEHİR"/>
    <m/>
    <x v="1"/>
    <s v="ST00000000208"/>
    <s v="SATIŞ"/>
    <s v="NAKİT"/>
    <n v="0.19400000000000001"/>
    <n v="350"/>
    <n v="0"/>
    <n v="0"/>
    <n v="0.19400000000000001"/>
    <m/>
    <n v="350"/>
    <m/>
    <n v="67.900000000000006"/>
    <n v="0"/>
    <n v="69303.003760152002"/>
  </r>
  <r>
    <d v="2025-11-16T00:00:00"/>
    <x v="4"/>
    <s v="SEYHAN ÜZÜM ÖZEL"/>
    <m/>
    <x v="1"/>
    <s v="ST00000000208"/>
    <s v="SATIŞ"/>
    <s v="NAKİT"/>
    <n v="0.38800000000000001"/>
    <n v="650"/>
    <n v="0"/>
    <n v="0"/>
    <n v="0.38800000000000001"/>
    <m/>
    <n v="650"/>
    <m/>
    <n v="252.20000000000002"/>
    <n v="0"/>
    <n v="69555.203760151999"/>
  </r>
  <r>
    <d v="2025-11-16T00:00:00"/>
    <x v="4"/>
    <s v="NANE İRİ"/>
    <m/>
    <x v="1"/>
    <s v="ST00000000208"/>
    <s v="SATIŞ"/>
    <s v="NAKİT"/>
    <n v="5.3999999999999999E-2"/>
    <n v="400"/>
    <n v="0"/>
    <n v="0"/>
    <n v="5.3999999999999999E-2"/>
    <m/>
    <n v="400"/>
    <m/>
    <n v="21.6"/>
    <n v="0"/>
    <n v="69576.803760152005"/>
  </r>
  <r>
    <d v="2025-11-16T00:00:00"/>
    <x v="4"/>
    <s v="KEKİK LÜX"/>
    <m/>
    <x v="1"/>
    <s v="ST00000000208"/>
    <s v="SATIŞ"/>
    <s v="NAKİT"/>
    <n v="4.3999999999999997E-2"/>
    <n v="760"/>
    <n v="0"/>
    <n v="0"/>
    <n v="4.3999999999999997E-2"/>
    <m/>
    <n v="760"/>
    <m/>
    <n v="33.44"/>
    <n v="0"/>
    <n v="69610.243760152007"/>
  </r>
  <r>
    <d v="2025-11-16T00:00:00"/>
    <x v="4"/>
    <s v="ÇÖREKOTU"/>
    <m/>
    <x v="1"/>
    <s v="ST00000000208"/>
    <s v="SATIŞ"/>
    <s v="NAKİT"/>
    <n v="0.1"/>
    <n v="400"/>
    <n v="0"/>
    <n v="0"/>
    <n v="1"/>
    <m/>
    <n v="40"/>
    <m/>
    <n v="40"/>
    <n v="0"/>
    <n v="69650.243760152007"/>
  </r>
  <r>
    <d v="2025-11-16T00:00:00"/>
    <x v="4"/>
    <s v="NAHİTA ALIÇ SİRKESİ 500 ML"/>
    <m/>
    <x v="1"/>
    <s v="ST00000000209"/>
    <s v="SATIŞ"/>
    <s v="NAKİT"/>
    <n v="1"/>
    <n v="140"/>
    <n v="0"/>
    <n v="0"/>
    <n v="1"/>
    <m/>
    <n v="140"/>
    <m/>
    <n v="140"/>
    <n v="0"/>
    <n v="69790.243760152007"/>
  </r>
  <r>
    <d v="2025-11-16T00:00:00"/>
    <x v="4"/>
    <s v="WARITEX KABAK LİFİ ELDİVEN"/>
    <m/>
    <x v="1"/>
    <s v="ST00000000210"/>
    <s v="SATIŞ"/>
    <s v="NAKİT"/>
    <n v="1"/>
    <n v="100"/>
    <n v="0"/>
    <n v="0"/>
    <n v="1"/>
    <m/>
    <n v="100"/>
    <m/>
    <n v="100"/>
    <n v="0"/>
    <n v="69890.243760152007"/>
  </r>
  <r>
    <d v="2025-11-16T00:00:00"/>
    <x v="4"/>
    <s v="LEBLEBİ SARI ÖZEL LÜX ÇITIR"/>
    <m/>
    <x v="1"/>
    <s v="ST00000000211"/>
    <s v="SATIŞ"/>
    <s v="NAKİT"/>
    <n v="0.32"/>
    <n v="190"/>
    <n v="0"/>
    <n v="0"/>
    <n v="0.32"/>
    <m/>
    <n v="190"/>
    <m/>
    <n v="60.800000000000004"/>
    <n v="0"/>
    <n v="69951.04376015201"/>
  </r>
  <r>
    <d v="2025-11-16T00:00:00"/>
    <x v="4"/>
    <s v="KABUKLU CEVİZ (YERLİ)"/>
    <m/>
    <x v="1"/>
    <s v="ST00000000211"/>
    <s v="SATIŞ"/>
    <s v="NAKİT"/>
    <n v="1"/>
    <n v="290"/>
    <n v="0"/>
    <n v="0"/>
    <n v="1"/>
    <m/>
    <n v="290"/>
    <m/>
    <n v="290"/>
    <n v="0"/>
    <n v="70241.04376015201"/>
  </r>
  <r>
    <d v="2025-11-16T00:00:00"/>
    <x v="4"/>
    <s v="HİNDİSTAN CEVİZİ ( İRİ )"/>
    <m/>
    <x v="1"/>
    <s v="ST00000000211"/>
    <s v="SATIŞ"/>
    <s v="NAKİT"/>
    <n v="0.1"/>
    <n v="600"/>
    <n v="0"/>
    <n v="0"/>
    <n v="1"/>
    <m/>
    <n v="60"/>
    <m/>
    <n v="60"/>
    <n v="0"/>
    <n v="70301.04376015201"/>
  </r>
  <r>
    <d v="2025-11-16T00:00:00"/>
    <x v="4"/>
    <s v="KINA RGS DÖKME"/>
    <m/>
    <x v="5"/>
    <s v="ST00000000212"/>
    <s v="SATIŞ"/>
    <s v="POS"/>
    <n v="1"/>
    <n v="400"/>
    <n v="400"/>
    <n v="0"/>
    <n v="1"/>
    <m/>
    <n v="400"/>
    <m/>
    <n v="0"/>
    <n v="0"/>
    <n v="70301.04376015201"/>
  </r>
  <r>
    <d v="2025-11-16T00:00:00"/>
    <x v="4"/>
    <s v="ŞİFAVER GÜL HATAY SABUNU"/>
    <m/>
    <x v="5"/>
    <s v="ST00000000212"/>
    <s v="SATIŞ"/>
    <s v="POS"/>
    <n v="1"/>
    <n v="40"/>
    <n v="40"/>
    <n v="0"/>
    <n v="1"/>
    <m/>
    <n v="40"/>
    <m/>
    <n v="0"/>
    <n v="0"/>
    <n v="70301.04376015201"/>
  </r>
  <r>
    <d v="2025-11-16T00:00:00"/>
    <x v="4"/>
    <s v="DUT KURUSU LÜX ELAZIĞ"/>
    <m/>
    <x v="5"/>
    <s v="ST00000000212"/>
    <s v="SATIŞ"/>
    <s v="POS"/>
    <n v="0.20399999999999999"/>
    <n v="800"/>
    <n v="163.19999999999999"/>
    <n v="0"/>
    <n v="0.20399999999999999"/>
    <m/>
    <n v="800"/>
    <m/>
    <n v="0"/>
    <n v="0"/>
    <n v="70301.04376015201"/>
  </r>
  <r>
    <d v="2025-11-16T00:00:00"/>
    <x v="4"/>
    <s v="TUZLU FISTIK DUBLE"/>
    <m/>
    <x v="5"/>
    <s v="ST00000000212"/>
    <s v="SATIŞ"/>
    <s v="POS"/>
    <n v="0.30399999999999999"/>
    <n v="195"/>
    <n v="59.28"/>
    <n v="0"/>
    <n v="0.30399999999999999"/>
    <m/>
    <n v="195"/>
    <m/>
    <n v="0"/>
    <n v="0"/>
    <n v="70301.04376015201"/>
  </r>
  <r>
    <d v="2025-11-16T00:00:00"/>
    <x v="4"/>
    <s v="KARABİBER ÇEKİLMİŞ"/>
    <m/>
    <x v="5"/>
    <s v="ST00000000212"/>
    <s v="SATIŞ"/>
    <s v="POS"/>
    <n v="0.224"/>
    <n v="640"/>
    <n v="143.36000000000001"/>
    <n v="0"/>
    <n v="0.224"/>
    <m/>
    <n v="640"/>
    <m/>
    <n v="0"/>
    <n v="0"/>
    <n v="70301.04376015201"/>
  </r>
  <r>
    <d v="2025-11-16T00:00:00"/>
    <x v="4"/>
    <s v="CEVİZLİ SUCUK ATOM (ESMER)"/>
    <m/>
    <x v="5"/>
    <s v="ST00000000212"/>
    <s v="SATIŞ"/>
    <s v="POS"/>
    <n v="0.45600000000000002"/>
    <n v="340"/>
    <n v="155.04"/>
    <n v="0"/>
    <n v="0.45600000000000002"/>
    <m/>
    <n v="340"/>
    <m/>
    <n v="0"/>
    <n v="0"/>
    <n v="70301.04376015201"/>
  </r>
  <r>
    <d v="2025-11-16T00:00:00"/>
    <x v="4"/>
    <s v="SALÇA ACI (EV YAPIMI)"/>
    <m/>
    <x v="5"/>
    <s v="ST00000000212"/>
    <s v="SATIŞ"/>
    <s v="POS"/>
    <n v="1.046"/>
    <n v="180"/>
    <n v="188.28"/>
    <n v="0"/>
    <n v="1.046"/>
    <m/>
    <n v="180"/>
    <m/>
    <n v="0"/>
    <n v="0"/>
    <n v="70301.04376015201"/>
  </r>
  <r>
    <d v="2025-11-16T00:00:00"/>
    <x v="4"/>
    <s v="DOMATES SALÇASI"/>
    <m/>
    <x v="5"/>
    <s v="ST00000000212"/>
    <s v="SATIŞ"/>
    <s v="POS"/>
    <n v="1.026"/>
    <n v="130"/>
    <n v="133.38"/>
    <n v="0"/>
    <n v="1.026"/>
    <m/>
    <n v="130"/>
    <m/>
    <n v="0"/>
    <n v="0"/>
    <n v="70301.04376015201"/>
  </r>
  <r>
    <d v="2025-11-16T00:00:00"/>
    <x v="4"/>
    <s v="LEBLEBİ ŞEKER RENKLİ"/>
    <m/>
    <x v="1"/>
    <s v="ST00000000212"/>
    <s v="SATIŞ"/>
    <s v="NAKİT"/>
    <n v="0.2"/>
    <n v="190"/>
    <n v="0"/>
    <n v="0"/>
    <n v="0.2"/>
    <m/>
    <n v="190"/>
    <m/>
    <n v="38"/>
    <n v="0"/>
    <n v="70339.04376015201"/>
  </r>
  <r>
    <d v="2025-11-16T00:00:00"/>
    <x v="4"/>
    <s v="SOSLU MISIR YERLİ"/>
    <m/>
    <x v="1"/>
    <s v="ST00000000212"/>
    <s v="SATIŞ"/>
    <s v="NAKİT"/>
    <n v="0.2"/>
    <n v="150"/>
    <n v="0"/>
    <n v="0"/>
    <n v="0.2"/>
    <m/>
    <n v="150"/>
    <m/>
    <n v="30"/>
    <n v="0"/>
    <n v="70369.04376015201"/>
  </r>
  <r>
    <d v="2025-11-16T00:00:00"/>
    <x v="10"/>
    <m/>
    <m/>
    <x v="5"/>
    <m/>
    <s v="POS ÇÖZÜMÜ"/>
    <s v="POS"/>
    <n v="1"/>
    <n v="100"/>
    <n v="0"/>
    <n v="100"/>
    <m/>
    <m/>
    <m/>
    <m/>
    <n v="100"/>
    <n v="0"/>
    <n v="70469.04376015201"/>
  </r>
  <r>
    <d v="2025-11-16T00:00:00"/>
    <x v="1"/>
    <m/>
    <s v="VERGİ VE HARÇLAR"/>
    <x v="1"/>
    <m/>
    <s v="GEÇİCİ VERGİ ÖDEME - ON NUMARA"/>
    <s v="NAKİT"/>
    <n v="1"/>
    <n v="912.4"/>
    <n v="0"/>
    <n v="0"/>
    <m/>
    <m/>
    <m/>
    <m/>
    <n v="0"/>
    <n v="912.4"/>
    <n v="69556.643760152016"/>
  </r>
  <r>
    <d v="2025-11-16T00:00:00"/>
    <x v="10"/>
    <m/>
    <m/>
    <x v="5"/>
    <m/>
    <s v="GEÇİCİ VERGİ ÖDEME - ON NUMARA"/>
    <s v="POS"/>
    <n v="1"/>
    <n v="912.4"/>
    <n v="0"/>
    <n v="912.4"/>
    <n v="912.4"/>
    <m/>
    <m/>
    <m/>
    <n v="912.4"/>
    <n v="0"/>
    <n v="70469.04376015201"/>
  </r>
  <r>
    <d v="2025-11-16T00:00:00"/>
    <x v="10"/>
    <m/>
    <m/>
    <x v="5"/>
    <m/>
    <s v="POS ÇÖZÜMÜ"/>
    <s v="POS"/>
    <n v="1"/>
    <n v="350"/>
    <n v="0"/>
    <n v="350"/>
    <m/>
    <m/>
    <m/>
    <m/>
    <n v="350"/>
    <n v="0"/>
    <n v="70819.04376015201"/>
  </r>
  <r>
    <d v="2025-11-17T00:00:00"/>
    <x v="3"/>
    <s v="GÜLSUYU LÜKS"/>
    <m/>
    <x v="8"/>
    <s v="FT00000000032"/>
    <s v="GENÇAY BAHARAT - İSMAİL MAHMUT GENÇAY"/>
    <s v="CARİ"/>
    <n v="12"/>
    <n v="64.8"/>
    <n v="0"/>
    <n v="777.59999999999991"/>
    <m/>
    <n v="12"/>
    <m/>
    <n v="64.8"/>
    <n v="0"/>
    <n v="0"/>
    <n v="70819.04376015201"/>
  </r>
  <r>
    <d v="2025-11-17T00:00:00"/>
    <x v="3"/>
    <s v="ÇÖREKOTU YAĞI 250 CC"/>
    <m/>
    <x v="8"/>
    <s v="FT00000000032"/>
    <s v="GENÇAY BAHARAT - İSMAİL MAHMUT GENÇAY"/>
    <s v="CARİ"/>
    <n v="6"/>
    <n v="272.7"/>
    <n v="0"/>
    <n v="1636.1999999999998"/>
    <m/>
    <n v="6"/>
    <m/>
    <n v="272.7"/>
    <n v="0"/>
    <n v="0"/>
    <n v="70819.04376015201"/>
  </r>
  <r>
    <d v="2025-11-17T00:00:00"/>
    <x v="3"/>
    <s v="ÜZÜM ÇEKİRDEĞİ YAĞI 50 CC"/>
    <m/>
    <x v="8"/>
    <s v="FT00000000032"/>
    <s v="GENÇAY BAHARAT - İSMAİL MAHMUT GENÇAY"/>
    <s v="CARİ"/>
    <n v="12"/>
    <n v="90.9"/>
    <n v="0"/>
    <n v="1090.8000000000002"/>
    <m/>
    <n v="12"/>
    <m/>
    <n v="90.9"/>
    <n v="0"/>
    <n v="0"/>
    <n v="70819.04376015201"/>
  </r>
  <r>
    <d v="2025-11-17T00:00:00"/>
    <x v="3"/>
    <s v="KETEN TOHUMU YAĞI 50 CC"/>
    <m/>
    <x v="8"/>
    <s v="FT00000000032"/>
    <s v="GENÇAY BAHARAT - İSMAİL MAHMUT GENÇAY"/>
    <s v="CARİ"/>
    <n v="12"/>
    <n v="54.54"/>
    <n v="0"/>
    <n v="654.48"/>
    <m/>
    <n v="12"/>
    <m/>
    <n v="54.54"/>
    <n v="0"/>
    <n v="0"/>
    <n v="70819.04376015201"/>
  </r>
  <r>
    <d v="2025-11-17T00:00:00"/>
    <x v="3"/>
    <s v="GLİSERİN 50 CC"/>
    <m/>
    <x v="8"/>
    <s v="FT00000000032"/>
    <s v="GENÇAY BAHARAT - İSMAİL MAHMUT GENÇAY"/>
    <s v="CARİ"/>
    <n v="12"/>
    <n v="64.8"/>
    <n v="0"/>
    <n v="777.59999999999991"/>
    <m/>
    <n v="12"/>
    <m/>
    <n v="64.8"/>
    <n v="0"/>
    <n v="0"/>
    <n v="70819.04376015201"/>
  </r>
  <r>
    <d v="2025-11-17T00:00:00"/>
    <x v="3"/>
    <s v="ÇAM TEREBENTİN 50 CC"/>
    <m/>
    <x v="8"/>
    <s v="FT00000000032"/>
    <s v="GENÇAY BAHARAT - İSMAİL MAHMUT GENÇAY"/>
    <s v="CARİ"/>
    <n v="12"/>
    <n v="64.8"/>
    <n v="0"/>
    <n v="777.59999999999991"/>
    <m/>
    <n v="12"/>
    <m/>
    <n v="64.8"/>
    <n v="0"/>
    <n v="0"/>
    <n v="70819.04376015201"/>
  </r>
  <r>
    <d v="2025-11-17T00:00:00"/>
    <x v="3"/>
    <s v="SUSAM YAĞI 50 CC"/>
    <m/>
    <x v="8"/>
    <s v="FT00000000032"/>
    <s v="GENÇAY BAHARAT - İSMAİL MAHMUT GENÇAY"/>
    <s v="CARİ"/>
    <n v="12"/>
    <n v="54.54"/>
    <n v="0"/>
    <n v="654.48"/>
    <m/>
    <n v="12"/>
    <m/>
    <n v="54.54"/>
    <n v="0"/>
    <n v="0"/>
    <n v="70819.04376015201"/>
  </r>
  <r>
    <d v="2025-11-17T00:00:00"/>
    <x v="3"/>
    <s v="ÇÖREKOTU YAĞI 50 CC"/>
    <m/>
    <x v="8"/>
    <s v="FT00000000032"/>
    <s v="GENÇAY BAHARAT - İSMAİL MAHMUT GENÇAY"/>
    <s v="CARİ"/>
    <n v="12"/>
    <n v="83.325000000000003"/>
    <n v="0"/>
    <n v="999.90000000000009"/>
    <m/>
    <n v="12"/>
    <m/>
    <n v="83.325000000000003"/>
    <n v="0"/>
    <n v="0"/>
    <n v="70819.04376015201"/>
  </r>
  <r>
    <d v="2025-11-17T00:00:00"/>
    <x v="3"/>
    <s v="KANTARON YAĞI 50 CC"/>
    <m/>
    <x v="8"/>
    <s v="FT00000000032"/>
    <s v="GENÇAY BAHARAT - İSMAİL MAHMUT GENÇAY"/>
    <s v="CARİ"/>
    <n v="12"/>
    <n v="60.6"/>
    <n v="0"/>
    <n v="727.2"/>
    <m/>
    <n v="12"/>
    <m/>
    <n v="60.6"/>
    <n v="0"/>
    <n v="0"/>
    <n v="70819.04376015201"/>
  </r>
  <r>
    <d v="2025-11-17T00:00:00"/>
    <x v="3"/>
    <s v="TATLI BADEM YAĞI 50 CC"/>
    <m/>
    <x v="8"/>
    <s v="FT00000000032"/>
    <s v="GENÇAY BAHARAT - İSMAİL MAHMUT GENÇAY"/>
    <s v="CARİ"/>
    <n v="12"/>
    <n v="60.6"/>
    <n v="0"/>
    <n v="727.2"/>
    <m/>
    <n v="12"/>
    <m/>
    <n v="60.6"/>
    <n v="0"/>
    <n v="0"/>
    <n v="70819.04376015201"/>
  </r>
  <r>
    <d v="2025-11-17T00:00:00"/>
    <x v="3"/>
    <s v="KEKİK YAĞI 10 CC"/>
    <m/>
    <x v="8"/>
    <s v="FT00000000032"/>
    <s v="GENÇAY BAHARAT - İSMAİL MAHMUT GENÇAY"/>
    <s v="CARİ"/>
    <n v="12"/>
    <n v="90"/>
    <n v="0"/>
    <n v="1080"/>
    <m/>
    <n v="12"/>
    <m/>
    <n v="90"/>
    <n v="0"/>
    <n v="0"/>
    <n v="70819.04376015201"/>
  </r>
  <r>
    <d v="2025-11-17T00:00:00"/>
    <x v="3"/>
    <s v="LAVANTA YAĞI 10 CC"/>
    <m/>
    <x v="8"/>
    <s v="FT00000000032"/>
    <s v="GENÇAY BAHARAT - İSMAİL MAHMUT GENÇAY"/>
    <s v="CARİ"/>
    <n v="12"/>
    <n v="64.8"/>
    <n v="0"/>
    <n v="777.59999999999991"/>
    <m/>
    <n v="12"/>
    <m/>
    <n v="64.8"/>
    <n v="0"/>
    <n v="0"/>
    <n v="70819.04376015201"/>
  </r>
  <r>
    <d v="2025-11-17T00:00:00"/>
    <x v="3"/>
    <s v="KARANFİL YAĞI 10 CC"/>
    <m/>
    <x v="8"/>
    <s v="FT00000000032"/>
    <s v="GENÇAY BAHARAT - İSMAİL MAHMUT GENÇAY"/>
    <s v="CARİ"/>
    <n v="12"/>
    <n v="64.8"/>
    <n v="0"/>
    <n v="777.59999999999991"/>
    <m/>
    <n v="12"/>
    <m/>
    <n v="64.8"/>
    <n v="0"/>
    <n v="0"/>
    <n v="70819.04376015201"/>
  </r>
  <r>
    <d v="2025-11-17T00:00:00"/>
    <x v="3"/>
    <s v="BİBERİYE YAĞI 10 CC"/>
    <m/>
    <x v="8"/>
    <s v="FT00000000032"/>
    <s v="GENÇAY BAHARAT - İSMAİL MAHMUT GENÇAY"/>
    <s v="CARİ"/>
    <n v="12"/>
    <n v="72"/>
    <n v="0"/>
    <n v="864"/>
    <m/>
    <n v="12"/>
    <m/>
    <n v="72"/>
    <n v="0"/>
    <n v="0"/>
    <n v="70819.04376015201"/>
  </r>
  <r>
    <d v="2025-11-17T00:00:00"/>
    <x v="3"/>
    <s v="NANE YAĞI 10 CC"/>
    <m/>
    <x v="8"/>
    <s v="FT00000000032"/>
    <s v="GENÇAY BAHARAT - İSMAİL MAHMUT GENÇAY"/>
    <s v="CARİ"/>
    <n v="12"/>
    <n v="72"/>
    <n v="0"/>
    <n v="864"/>
    <m/>
    <n v="12"/>
    <m/>
    <n v="72"/>
    <n v="0"/>
    <n v="0"/>
    <n v="70819.04376015201"/>
  </r>
  <r>
    <d v="2025-11-17T00:00:00"/>
    <x v="3"/>
    <s v="ÇAY AĞACI YAĞI 10 CC"/>
    <m/>
    <x v="8"/>
    <s v="FT00000000032"/>
    <s v="GENÇAY BAHARAT - İSMAİL MAHMUT GENÇAY"/>
    <s v="CARİ"/>
    <n v="12"/>
    <n v="64.8"/>
    <n v="0"/>
    <n v="777.59999999999991"/>
    <m/>
    <n v="12"/>
    <m/>
    <n v="64.8"/>
    <n v="0"/>
    <n v="0"/>
    <n v="70819.04376015201"/>
  </r>
  <r>
    <d v="2025-11-17T00:00:00"/>
    <x v="3"/>
    <s v="OKALİPTUS YAĞI 10 CC"/>
    <m/>
    <x v="8"/>
    <s v="FT00000000032"/>
    <s v="GENÇAY BAHARAT - İSMAİL MAHMUT GENÇAY"/>
    <s v="CARİ"/>
    <n v="12"/>
    <n v="72"/>
    <n v="0"/>
    <n v="864"/>
    <m/>
    <n v="12"/>
    <m/>
    <n v="72"/>
    <n v="0"/>
    <n v="0"/>
    <n v="70819.04376015201"/>
  </r>
  <r>
    <d v="2025-11-17T00:00:00"/>
    <x v="3"/>
    <s v="ADA ÇAYI YAĞI (ACI ELMA YAĞI) 10 CC"/>
    <m/>
    <x v="8"/>
    <s v="FT00000000032"/>
    <s v="GENÇAY BAHARAT - İSMAİL MAHMUT GENÇAY"/>
    <s v="CARİ"/>
    <n v="12"/>
    <n v="72"/>
    <n v="0"/>
    <n v="864"/>
    <m/>
    <n v="12"/>
    <m/>
    <n v="72"/>
    <n v="0"/>
    <n v="0"/>
    <n v="70819.04376015201"/>
  </r>
  <r>
    <d v="2025-11-17T00:00:00"/>
    <x v="3"/>
    <s v="LİMON YAĞI 20 CC"/>
    <m/>
    <x v="8"/>
    <s v="FT00000000032"/>
    <s v="GENÇAY BAHARAT - İSMAİL MAHMUT GENÇAY"/>
    <s v="CARİ"/>
    <n v="12"/>
    <n v="86.4"/>
    <n v="0"/>
    <n v="1036.8000000000002"/>
    <m/>
    <n v="12"/>
    <m/>
    <n v="86.4"/>
    <n v="0"/>
    <n v="0"/>
    <n v="70819.04376015201"/>
  </r>
  <r>
    <d v="2025-11-17T00:00:00"/>
    <x v="3"/>
    <s v="HİNDİSTAN CEVİZİ YAĞI 20 CC"/>
    <m/>
    <x v="8"/>
    <s v="FT00000000032"/>
    <s v="GENÇAY BAHARAT - İSMAİL MAHMUT GENÇAY"/>
    <s v="CARİ"/>
    <n v="12"/>
    <n v="54.54"/>
    <n v="0"/>
    <n v="654.48"/>
    <m/>
    <n v="12"/>
    <m/>
    <n v="54.54"/>
    <n v="0"/>
    <n v="0"/>
    <n v="70819.04376015201"/>
  </r>
  <r>
    <d v="2025-11-17T00:00:00"/>
    <x v="3"/>
    <s v="HİNT YAĞI 50 CC"/>
    <m/>
    <x v="8"/>
    <s v="FT00000000032"/>
    <s v="GENÇAY BAHARAT - İSMAİL MAHMUT GENÇAY"/>
    <s v="CARİ"/>
    <n v="12"/>
    <n v="64.8"/>
    <n v="0"/>
    <n v="777.59999999999991"/>
    <m/>
    <n v="12"/>
    <m/>
    <n v="64.8"/>
    <n v="0"/>
    <n v="0"/>
    <n v="70819.04376015201"/>
  </r>
  <r>
    <d v="2025-11-17T00:00:00"/>
    <x v="3"/>
    <s v="KABAK ÇEKİRDEĞİ YAĞI 50 CC"/>
    <m/>
    <x v="8"/>
    <s v="FT00000000032"/>
    <s v="GENÇAY BAHARAT - İSMAİL MAHMUT GENÇAY"/>
    <s v="CARİ"/>
    <n v="12"/>
    <n v="60.6"/>
    <n v="0"/>
    <n v="727.2"/>
    <m/>
    <m/>
    <m/>
    <m/>
    <n v="0"/>
    <n v="0"/>
    <n v="70819.04376015201"/>
  </r>
  <r>
    <d v="2025-11-17T00:00:00"/>
    <x v="3"/>
    <s v="ARGAN YAĞI 10 CC"/>
    <m/>
    <x v="8"/>
    <s v="FT00000000032"/>
    <s v="GENÇAY BAHARAT - İSMAİL MAHMUT GENÇAY"/>
    <s v="CARİ"/>
    <n v="12"/>
    <n v="64.8"/>
    <n v="0"/>
    <n v="777.59999999999991"/>
    <m/>
    <m/>
    <m/>
    <m/>
    <n v="0"/>
    <n v="0"/>
    <n v="70819.04376015201"/>
  </r>
  <r>
    <d v="2025-11-17T00:00:00"/>
    <x v="3"/>
    <s v="YALÇINKAYA DOMATES SALÇASI"/>
    <m/>
    <x v="4"/>
    <s v="FT00000000053"/>
    <s v="TÜDAB A.Ş."/>
    <s v="CARİ"/>
    <n v="19.350000000000001"/>
    <n v="72.349999999999994"/>
    <n v="0"/>
    <n v="1399.9725000000001"/>
    <m/>
    <n v="19.350000000000001"/>
    <m/>
    <n v="72.349999999999994"/>
    <n v="0"/>
    <n v="0"/>
    <n v="70819.04376015201"/>
  </r>
  <r>
    <d v="2025-11-17T00:00:00"/>
    <x v="3"/>
    <s v="KONTES HAMAM OTU - TÜY DÖKÜCÜ"/>
    <m/>
    <x v="4"/>
    <s v="FT00000000053"/>
    <s v="TÜDAB A.Ş."/>
    <s v="CARİ"/>
    <n v="20"/>
    <n v="6.5"/>
    <n v="0"/>
    <n v="130"/>
    <m/>
    <n v="20"/>
    <m/>
    <n v="6.5"/>
    <n v="0"/>
    <n v="0"/>
    <n v="70819.04376015201"/>
  </r>
  <r>
    <d v="2025-11-17T00:00:00"/>
    <x v="3"/>
    <s v="KUŞBURNU - KIRMIZI"/>
    <m/>
    <x v="4"/>
    <s v="FT00000000053"/>
    <s v="TÜDAB A.Ş."/>
    <s v="CARİ"/>
    <n v="2"/>
    <n v="180"/>
    <n v="0"/>
    <n v="360"/>
    <m/>
    <n v="2"/>
    <m/>
    <n v="180"/>
    <n v="0"/>
    <n v="0"/>
    <n v="70819.04376015201"/>
  </r>
  <r>
    <d v="2025-11-17T00:00:00"/>
    <x v="3"/>
    <s v="DERMA KABAK YÜZ &amp; BANYO LİFİ"/>
    <m/>
    <x v="4"/>
    <s v="FT00000000053"/>
    <s v="TÜDAB A.Ş."/>
    <s v="CARİ"/>
    <n v="5"/>
    <n v="70"/>
    <n v="0"/>
    <n v="350"/>
    <m/>
    <n v="5"/>
    <m/>
    <n v="70"/>
    <n v="0"/>
    <n v="0"/>
    <n v="70819.04376015201"/>
  </r>
  <r>
    <d v="2025-11-17T00:00:00"/>
    <x v="3"/>
    <s v="MS 11 DERMA KABAK HAVLU ELDİVEN"/>
    <m/>
    <x v="4"/>
    <s v="FT00000000053"/>
    <s v="TÜDAB A.Ş."/>
    <s v="CARİ"/>
    <n v="5"/>
    <n v="95"/>
    <n v="0"/>
    <n v="475"/>
    <m/>
    <n v="5"/>
    <m/>
    <n v="95"/>
    <n v="0"/>
    <n v="0"/>
    <n v="70819.04376015201"/>
  </r>
  <r>
    <d v="2025-11-17T00:00:00"/>
    <x v="3"/>
    <s v="MİX NANE LİMON ÇAYI"/>
    <m/>
    <x v="4"/>
    <s v="FT00000000053"/>
    <s v="TÜDAB A.Ş."/>
    <s v="CARİ"/>
    <n v="1"/>
    <n v="500"/>
    <n v="0"/>
    <n v="500"/>
    <m/>
    <n v="1"/>
    <m/>
    <n v="500"/>
    <n v="0"/>
    <n v="0"/>
    <n v="70819.04376015201"/>
  </r>
  <r>
    <d v="2025-11-17T00:00:00"/>
    <x v="3"/>
    <s v="NAHİTA ALIÇ SİRKESİ 500 ML"/>
    <m/>
    <x v="4"/>
    <s v="FT00000000053"/>
    <s v="TÜDAB A.Ş."/>
    <s v="CARİ"/>
    <n v="6"/>
    <n v="90"/>
    <n v="0"/>
    <n v="540"/>
    <m/>
    <n v="6"/>
    <m/>
    <n v="90"/>
    <n v="0"/>
    <n v="0"/>
    <n v="70819.04376015201"/>
  </r>
  <r>
    <d v="2025-11-17T00:00:00"/>
    <x v="3"/>
    <s v="NAHİTA SUMAK EKŞİSİ "/>
    <m/>
    <x v="4"/>
    <s v="FT00000000053"/>
    <s v="TÜDAB A.Ş."/>
    <s v="CARİ"/>
    <n v="6"/>
    <n v="115"/>
    <n v="0"/>
    <n v="690"/>
    <m/>
    <n v="6"/>
    <m/>
    <n v="115"/>
    <n v="0"/>
    <n v="0"/>
    <n v="70819.04376015201"/>
  </r>
  <r>
    <d v="2025-11-17T00:00:00"/>
    <x v="3"/>
    <s v="PUDRA ŞEKERİ"/>
    <m/>
    <x v="4"/>
    <s v="FT00000000053"/>
    <s v="TÜDAB A.Ş."/>
    <s v="CARİ"/>
    <n v="5"/>
    <n v="52"/>
    <n v="0"/>
    <n v="260"/>
    <m/>
    <n v="5"/>
    <m/>
    <n v="52"/>
    <n v="0"/>
    <n v="0"/>
    <n v="70819.04376015201"/>
  </r>
  <r>
    <d v="2025-11-17T00:00:00"/>
    <x v="3"/>
    <s v="TOMBUL KESE 500 GR TATLI"/>
    <m/>
    <x v="4"/>
    <s v="FT00000000053"/>
    <s v="TÜDAB A.Ş."/>
    <s v="CARİ"/>
    <n v="10"/>
    <n v="135"/>
    <n v="0"/>
    <n v="1350"/>
    <m/>
    <n v="10"/>
    <m/>
    <n v="135"/>
    <n v="0"/>
    <n v="0"/>
    <n v="70819.04376015201"/>
  </r>
  <r>
    <d v="2025-11-17T00:00:00"/>
    <x v="3"/>
    <s v="TÜDAB HARNUP PEKMEZİ 800 GR (KEÇİBOYNUZU)"/>
    <m/>
    <x v="4"/>
    <s v="FT00000000053"/>
    <s v="TÜDAB A.Ş."/>
    <s v="CARİ"/>
    <n v="6"/>
    <n v="90"/>
    <n v="0"/>
    <n v="540"/>
    <m/>
    <n v="6"/>
    <m/>
    <n v="90"/>
    <n v="0"/>
    <n v="0"/>
    <n v="70819.04376015201"/>
  </r>
  <r>
    <d v="2025-11-17T00:00:00"/>
    <x v="3"/>
    <s v="WARITEX ÇİFT TARAFLI KABAK LİFİ"/>
    <m/>
    <x v="4"/>
    <s v="FT00000000053"/>
    <s v="TÜDAB A.Ş."/>
    <s v="CARİ"/>
    <n v="12"/>
    <n v="60"/>
    <n v="0"/>
    <n v="720"/>
    <m/>
    <n v="12"/>
    <m/>
    <n v="60"/>
    <n v="0"/>
    <n v="0"/>
    <n v="70819.04376015201"/>
  </r>
  <r>
    <d v="2025-11-17T00:00:00"/>
    <x v="3"/>
    <s v="NAHİTA NAR EKŞİSİ 250 ML"/>
    <m/>
    <x v="4"/>
    <s v="FT00000000053"/>
    <s v="TÜDAB A.Ş."/>
    <s v="CARİ"/>
    <n v="6"/>
    <n v="105"/>
    <n v="0"/>
    <n v="630"/>
    <m/>
    <n v="6"/>
    <m/>
    <n v="105"/>
    <n v="0"/>
    <n v="0"/>
    <n v="70819.04376015201"/>
  </r>
  <r>
    <d v="2025-11-17T00:00:00"/>
    <x v="4"/>
    <s v="NBN 2,5 KG İNCİR"/>
    <m/>
    <x v="5"/>
    <s v="ST00000000213"/>
    <s v="SATIŞ"/>
    <s v="POS"/>
    <n v="0.45600000000000002"/>
    <n v="600"/>
    <n v="273.60000000000002"/>
    <n v="0"/>
    <n v="0.45600000000000002"/>
    <m/>
    <n v="600"/>
    <m/>
    <n v="0"/>
    <n v="0"/>
    <n v="70819.04376015201"/>
  </r>
  <r>
    <d v="2025-11-17T00:00:00"/>
    <x v="4"/>
    <s v="ÖZBEK ÜZÜMÜ"/>
    <m/>
    <x v="5"/>
    <s v="ST00000000213"/>
    <s v="SATIŞ"/>
    <s v="POS"/>
    <n v="0.38800000000000001"/>
    <n v="520"/>
    <n v="201.76000000000002"/>
    <n v="0"/>
    <n v="0.38800000000000001"/>
    <m/>
    <n v="520"/>
    <m/>
    <n v="0"/>
    <n v="0"/>
    <n v="70819.04376015201"/>
  </r>
  <r>
    <d v="2025-11-17T00:00:00"/>
    <x v="4"/>
    <s v="PATLAK MISIR"/>
    <m/>
    <x v="5"/>
    <s v="ST00000000213"/>
    <s v="SATIŞ"/>
    <s v="POS"/>
    <n v="1"/>
    <n v="60"/>
    <n v="60"/>
    <n v="0"/>
    <n v="1"/>
    <m/>
    <n v="60"/>
    <m/>
    <n v="0"/>
    <n v="0"/>
    <n v="70819.04376015201"/>
  </r>
  <r>
    <d v="2025-11-17T00:00:00"/>
    <x v="4"/>
    <s v="DUT KURUSU LÜX ELAZIĞ"/>
    <m/>
    <x v="1"/>
    <s v="ST00000000214"/>
    <s v="SATIŞ"/>
    <s v="NAKİT"/>
    <n v="0.125"/>
    <n v="800"/>
    <n v="0"/>
    <n v="0"/>
    <n v="0.125"/>
    <m/>
    <n v="800"/>
    <m/>
    <n v="100"/>
    <n v="0"/>
    <n v="70919.04376015201"/>
  </r>
  <r>
    <d v="2025-11-17T00:00:00"/>
    <x v="4"/>
    <s v="PATLAK MISIR"/>
    <m/>
    <x v="1"/>
    <s v="ST00000000215"/>
    <s v="SATIŞ"/>
    <s v="NAKİT"/>
    <n v="1"/>
    <n v="60"/>
    <n v="0"/>
    <n v="0"/>
    <n v="1"/>
    <m/>
    <n v="60"/>
    <m/>
    <n v="60"/>
    <n v="0"/>
    <n v="70979.04376015201"/>
  </r>
  <r>
    <d v="2025-11-17T00:00:00"/>
    <x v="4"/>
    <s v="DOMATES SALÇASI"/>
    <m/>
    <x v="1"/>
    <s v="ST00000000216"/>
    <s v="SATIŞ"/>
    <s v="NAKİT"/>
    <n v="5"/>
    <n v="120"/>
    <n v="0"/>
    <n v="0"/>
    <n v="5"/>
    <m/>
    <n v="120"/>
    <m/>
    <n v="600"/>
    <n v="0"/>
    <n v="71579.04376015201"/>
  </r>
  <r>
    <d v="2025-11-17T00:00:00"/>
    <x v="4"/>
    <s v="SEYHAN ÜZÜM ÖZEL"/>
    <m/>
    <x v="5"/>
    <s v="ST00000000217"/>
    <s v="SATIŞ"/>
    <s v="POS"/>
    <n v="0.46200000000000002"/>
    <n v="650"/>
    <n v="300.3"/>
    <n v="0"/>
    <n v="0.46200000000000002"/>
    <m/>
    <n v="650"/>
    <m/>
    <n v="0"/>
    <n v="0"/>
    <n v="71579.04376015201"/>
  </r>
  <r>
    <d v="2025-11-17T00:00:00"/>
    <x v="4"/>
    <s v="LİMONTUZU TOZ"/>
    <m/>
    <x v="1"/>
    <s v="ST00000000218"/>
    <s v="SATIŞ"/>
    <s v="NAKİT"/>
    <n v="0.25"/>
    <n v="180"/>
    <n v="0"/>
    <n v="0"/>
    <n v="1"/>
    <m/>
    <n v="45"/>
    <m/>
    <n v="45"/>
    <n v="0"/>
    <n v="71624.04376015201"/>
  </r>
  <r>
    <d v="2025-11-17T00:00:00"/>
    <x v="4"/>
    <s v="KARABİBER ÇEKİLMİŞ"/>
    <m/>
    <x v="1"/>
    <s v="ST00000000218"/>
    <s v="SATIŞ"/>
    <s v="NAKİT"/>
    <n v="0.08"/>
    <n v="640"/>
    <n v="0"/>
    <n v="0"/>
    <n v="0.08"/>
    <m/>
    <n v="640"/>
    <m/>
    <n v="51.2"/>
    <n v="0"/>
    <n v="71675.243760152007"/>
  </r>
  <r>
    <d v="2025-11-17T00:00:00"/>
    <x v="4"/>
    <s v="KAFFKA MENENGİÇ KAHVESİ 150 GR"/>
    <m/>
    <x v="1"/>
    <s v="ST00000000218"/>
    <s v="SATIŞ"/>
    <s v="NAKİT"/>
    <n v="1"/>
    <n v="65"/>
    <n v="0"/>
    <n v="0"/>
    <n v="1"/>
    <m/>
    <n v="65"/>
    <m/>
    <n v="65"/>
    <n v="0"/>
    <n v="71740.243760152007"/>
  </r>
  <r>
    <d v="2025-11-17T00:00:00"/>
    <x v="4"/>
    <s v="SALÇA ACI (EV YAPIMI)"/>
    <m/>
    <x v="1"/>
    <s v="ST00000000219"/>
    <s v="SATIŞ"/>
    <s v="NAKİT"/>
    <n v="0.56000000000000005"/>
    <n v="180"/>
    <n v="0"/>
    <n v="0"/>
    <n v="0.56000000000000005"/>
    <m/>
    <n v="180"/>
    <m/>
    <n v="100.80000000000001"/>
    <n v="0"/>
    <n v="71841.04376015201"/>
  </r>
  <r>
    <d v="2025-11-17T00:00:00"/>
    <x v="4"/>
    <s v="DOMATES SALÇASI"/>
    <m/>
    <x v="1"/>
    <s v="ST00000000219"/>
    <s v="SATIŞ"/>
    <s v="NAKİT"/>
    <n v="0.77"/>
    <n v="130"/>
    <n v="0"/>
    <n v="0"/>
    <n v="0.77"/>
    <m/>
    <n v="130"/>
    <m/>
    <n v="100.10000000000001"/>
    <n v="0"/>
    <n v="71941.143760152016"/>
  </r>
  <r>
    <d v="2025-11-17T00:00:00"/>
    <x v="4"/>
    <s v="LOKUM KARIŞIK - TB"/>
    <m/>
    <x v="5"/>
    <s v="ST00000000220"/>
    <s v="SATIŞ"/>
    <s v="POS"/>
    <n v="0.41399999999999998"/>
    <n v="195"/>
    <n v="80.72999999999999"/>
    <n v="0"/>
    <n v="0.41399999999999998"/>
    <m/>
    <n v="195"/>
    <m/>
    <n v="0"/>
    <n v="0"/>
    <n v="71941.143760152016"/>
  </r>
  <r>
    <d v="2025-11-17T00:00:00"/>
    <x v="4"/>
    <s v="SALÇA ACI (EV YAPIMI)"/>
    <m/>
    <x v="1"/>
    <s v="ST00000000221"/>
    <s v="SATIŞ"/>
    <s v="NAKİT"/>
    <n v="0.34"/>
    <n v="180"/>
    <n v="0"/>
    <n v="0"/>
    <n v="0.34"/>
    <m/>
    <n v="180"/>
    <m/>
    <n v="61.2"/>
    <n v="0"/>
    <n v="72002.343760152013"/>
  </r>
  <r>
    <d v="2025-11-17T00:00:00"/>
    <x v="4"/>
    <s v="DOMATES SALÇASI"/>
    <m/>
    <x v="1"/>
    <s v="ST00000000221"/>
    <s v="SATIŞ"/>
    <s v="NAKİT"/>
    <n v="0.53200000000000003"/>
    <n v="130"/>
    <n v="0"/>
    <n v="0"/>
    <n v="0.53200000000000003"/>
    <m/>
    <n v="130"/>
    <m/>
    <n v="69.16"/>
    <n v="0"/>
    <n v="72071.503760152016"/>
  </r>
  <r>
    <d v="2025-11-17T00:00:00"/>
    <x v="4"/>
    <s v="ZERDEÇAL TOZ"/>
    <m/>
    <x v="1"/>
    <s v="ST00000000222"/>
    <s v="SATIŞ"/>
    <s v="NAKİT"/>
    <n v="0.12"/>
    <n v="250"/>
    <n v="0"/>
    <n v="0"/>
    <n v="0.12"/>
    <m/>
    <n v="250"/>
    <m/>
    <n v="30"/>
    <n v="0"/>
    <n v="72101.503760152016"/>
  </r>
  <r>
    <d v="2025-11-17T00:00:00"/>
    <x v="4"/>
    <s v="DOLMALIK KURU PATLICAN"/>
    <m/>
    <x v="1"/>
    <s v="ST00000000223"/>
    <s v="SATIŞ"/>
    <s v="NAKİT"/>
    <n v="1"/>
    <n v="240"/>
    <n v="0"/>
    <n v="0"/>
    <n v="1"/>
    <m/>
    <n v="240"/>
    <m/>
    <n v="240"/>
    <n v="0"/>
    <n v="72341.503760152016"/>
  </r>
  <r>
    <d v="2025-11-17T00:00:00"/>
    <x v="4"/>
    <s v="TOZ BİBER - TATLI"/>
    <m/>
    <x v="1"/>
    <s v="ST00000000223"/>
    <s v="SATIŞ"/>
    <s v="NAKİT"/>
    <n v="0.16400000000000001"/>
    <n v="370"/>
    <n v="0"/>
    <n v="0"/>
    <n v="0.16400000000000001"/>
    <m/>
    <n v="370"/>
    <m/>
    <n v="60.68"/>
    <n v="0"/>
    <n v="72402.183760152009"/>
  </r>
  <r>
    <d v="2025-11-17T00:00:00"/>
    <x v="4"/>
    <s v="IHLAMUR YAPRAK"/>
    <m/>
    <x v="5"/>
    <s v="ST00000000224"/>
    <s v="SATIŞ"/>
    <s v="POS"/>
    <n v="0.05"/>
    <n v="2600"/>
    <n v="130"/>
    <n v="0"/>
    <n v="1"/>
    <m/>
    <n v="130"/>
    <m/>
    <n v="0"/>
    <n v="0"/>
    <n v="72402.183760152009"/>
  </r>
  <r>
    <d v="2025-11-17T00:00:00"/>
    <x v="4"/>
    <s v="BİBERİYE"/>
    <m/>
    <x v="5"/>
    <s v="ST00000000224"/>
    <s v="SATIŞ"/>
    <s v="POS"/>
    <n v="4.2000000000000003E-2"/>
    <n v="1400"/>
    <n v="58.800000000000004"/>
    <n v="0"/>
    <n v="4.2000000000000003E-2"/>
    <m/>
    <n v="1400"/>
    <m/>
    <n v="0"/>
    <n v="0"/>
    <n v="72402.183760152009"/>
  </r>
  <r>
    <d v="2025-11-17T00:00:00"/>
    <x v="4"/>
    <s v="AÇLIK OTU"/>
    <m/>
    <x v="1"/>
    <s v="ST00000000225"/>
    <s v="SATIŞ"/>
    <s v="NAKİT"/>
    <n v="0.19"/>
    <n v="270"/>
    <n v="0"/>
    <n v="0"/>
    <n v="0.19"/>
    <m/>
    <n v="270"/>
    <m/>
    <n v="51.3"/>
    <n v="0"/>
    <n v="72453.483760152012"/>
  </r>
  <r>
    <d v="2025-11-17T00:00:00"/>
    <x v="4"/>
    <s v="DUT KURUSU LÜX ELAZIĞ"/>
    <m/>
    <x v="5"/>
    <s v="ST00000000226"/>
    <s v="SATIŞ"/>
    <s v="POS"/>
    <n v="0.5"/>
    <n v="800"/>
    <n v="400"/>
    <n v="0"/>
    <n v="0.5"/>
    <m/>
    <n v="800"/>
    <m/>
    <n v="0"/>
    <n v="0"/>
    <n v="72453.483760152012"/>
  </r>
  <r>
    <d v="2025-11-17T00:00:00"/>
    <x v="4"/>
    <s v="İRİ BEYAZ KABAK ÇEKİRDEĞİ - NEVŞEHİR"/>
    <m/>
    <x v="5"/>
    <s v="ST00000000227"/>
    <s v="SATIŞ"/>
    <s v="POS"/>
    <n v="0.372"/>
    <n v="350"/>
    <n v="130.19999999999999"/>
    <n v="0"/>
    <n v="0.372"/>
    <m/>
    <n v="350"/>
    <m/>
    <n v="0"/>
    <n v="0"/>
    <n v="72453.483760152012"/>
  </r>
  <r>
    <d v="2025-11-17T00:00:00"/>
    <x v="4"/>
    <s v="ÖZBEK ÜZÜMÜ"/>
    <m/>
    <x v="5"/>
    <s v="ST00000000227"/>
    <s v="SATIŞ"/>
    <s v="POS"/>
    <n v="0.27600000000000002"/>
    <n v="520"/>
    <n v="143.52000000000001"/>
    <n v="0"/>
    <n v="0.27600000000000002"/>
    <m/>
    <n v="520"/>
    <m/>
    <n v="0"/>
    <n v="0"/>
    <n v="72453.483760152012"/>
  </r>
  <r>
    <d v="2025-11-17T00:00:00"/>
    <x v="4"/>
    <s v="CEVİZLİ SUCUK ATOM (ESMER)"/>
    <m/>
    <x v="5"/>
    <s v="ST00000000227"/>
    <s v="SATIŞ"/>
    <s v="POS"/>
    <n v="0.38500000000000001"/>
    <n v="340"/>
    <n v="130.9"/>
    <n v="0"/>
    <n v="0.38500000000000001"/>
    <m/>
    <n v="340"/>
    <m/>
    <n v="0"/>
    <n v="0"/>
    <n v="72453.483760152012"/>
  </r>
  <r>
    <d v="2025-11-17T00:00:00"/>
    <x v="4"/>
    <s v="ALTIN OTU SIYIRMA"/>
    <m/>
    <x v="1"/>
    <s v="ST00000000228"/>
    <s v="SATIŞ"/>
    <s v="NAKİT"/>
    <n v="5.7000000000000002E-2"/>
    <n v="1770"/>
    <n v="0"/>
    <n v="0"/>
    <n v="5.7000000000000002E-2"/>
    <m/>
    <n v="1770"/>
    <m/>
    <n v="100.89"/>
    <n v="0"/>
    <n v="72554.373760152012"/>
  </r>
  <r>
    <d v="2025-11-18T00:00:00"/>
    <x v="3"/>
    <s v="İZMİR ÜZÜMÜ"/>
    <m/>
    <x v="2"/>
    <s v="FT00000000054"/>
    <s v="TB"/>
    <s v="K.K."/>
    <n v="0.44800000000000001"/>
    <n v="189.5"/>
    <n v="0"/>
    <n v="84.896000000000001"/>
    <m/>
    <n v="0.44800000000000001"/>
    <m/>
    <n v="189.5"/>
    <n v="0"/>
    <n v="0"/>
    <n v="72554.373760152012"/>
  </r>
  <r>
    <d v="2025-11-18T00:00:00"/>
    <x v="4"/>
    <s v="KARABAŞ OTU"/>
    <m/>
    <x v="1"/>
    <s v="ST00000000229"/>
    <s v="SATIŞ"/>
    <s v="NAKİT"/>
    <n v="0.1"/>
    <n v="1400"/>
    <n v="0"/>
    <n v="0"/>
    <n v="0.1"/>
    <m/>
    <n v="1400"/>
    <m/>
    <n v="140"/>
    <n v="0"/>
    <n v="72694.373760152012"/>
  </r>
  <r>
    <d v="2025-11-18T00:00:00"/>
    <x v="4"/>
    <s v="KETEN TOHUMU YAĞI 50 CC"/>
    <m/>
    <x v="1"/>
    <s v="ST00000000230"/>
    <s v="SATIŞ"/>
    <s v="NAKİT"/>
    <n v="1"/>
    <n v="110"/>
    <n v="0"/>
    <n v="0"/>
    <n v="1"/>
    <m/>
    <n v="110"/>
    <m/>
    <n v="110"/>
    <n v="0"/>
    <n v="72804.373760152012"/>
  </r>
  <r>
    <d v="2025-11-18T00:00:00"/>
    <x v="4"/>
    <s v="KAJU 240 LIK EKSTRA"/>
    <m/>
    <x v="1"/>
    <s v="ST00000000231"/>
    <s v="SATIŞ"/>
    <s v="NAKİT"/>
    <n v="0.155"/>
    <n v="650"/>
    <n v="0"/>
    <n v="0"/>
    <n v="0.155"/>
    <m/>
    <n v="650"/>
    <m/>
    <n v="100.75"/>
    <n v="0"/>
    <n v="72905.123760152012"/>
  </r>
  <r>
    <d v="2025-11-18T00:00:00"/>
    <x v="4"/>
    <s v="NANE İRİ"/>
    <m/>
    <x v="1"/>
    <s v="ST00000000232"/>
    <s v="SATIŞ"/>
    <s v="NAKİT"/>
    <n v="0.1"/>
    <n v="400"/>
    <n v="0"/>
    <n v="0"/>
    <n v="0.1"/>
    <m/>
    <n v="400"/>
    <m/>
    <n v="40"/>
    <n v="0"/>
    <n v="72945.123760152012"/>
  </r>
  <r>
    <d v="2025-11-18T00:00:00"/>
    <x v="4"/>
    <s v="SALÇA TATLI (EV YAPIMI)"/>
    <m/>
    <x v="1"/>
    <s v="ST00000000232"/>
    <s v="SATIŞ"/>
    <s v="NAKİT"/>
    <n v="0.35399999999999998"/>
    <n v="180"/>
    <n v="0"/>
    <n v="0"/>
    <n v="0.35399999999999998"/>
    <m/>
    <n v="180"/>
    <m/>
    <n v="63.72"/>
    <n v="0"/>
    <n v="73008.843760152013"/>
  </r>
  <r>
    <d v="2025-11-18T00:00:00"/>
    <x v="4"/>
    <s v="DOMATES SALÇASI"/>
    <m/>
    <x v="1"/>
    <s v="ST00000000232"/>
    <s v="SATIŞ"/>
    <s v="NAKİT"/>
    <n v="0.5"/>
    <n v="130"/>
    <n v="0"/>
    <n v="0"/>
    <n v="0.5"/>
    <m/>
    <n v="130"/>
    <m/>
    <n v="65"/>
    <n v="0"/>
    <n v="73073.843760152013"/>
  </r>
  <r>
    <d v="2025-11-18T00:00:00"/>
    <x v="4"/>
    <s v="KARABİBER ÇEKİLMİŞ"/>
    <m/>
    <x v="1"/>
    <s v="ST00000000232"/>
    <s v="SATIŞ"/>
    <s v="NAKİT"/>
    <n v="7.1999999999999995E-2"/>
    <n v="640"/>
    <n v="0"/>
    <n v="0"/>
    <n v="7.1999999999999995E-2"/>
    <m/>
    <n v="640"/>
    <m/>
    <n v="46.08"/>
    <n v="0"/>
    <n v="73119.923760152014"/>
  </r>
  <r>
    <d v="2025-11-18T00:00:00"/>
    <x v="4"/>
    <s v="KİMYON ÇEKİLMİŞ"/>
    <m/>
    <x v="1"/>
    <s v="ST00000000232"/>
    <s v="SATIŞ"/>
    <s v="NAKİT"/>
    <n v="7.0000000000000007E-2"/>
    <n v="390"/>
    <n v="0"/>
    <n v="0"/>
    <n v="7.0000000000000007E-2"/>
    <m/>
    <n v="390"/>
    <m/>
    <n v="27.300000000000004"/>
    <n v="0"/>
    <n v="73147.223760152017"/>
  </r>
  <r>
    <d v="2025-11-18T00:00:00"/>
    <x v="4"/>
    <s v="İRİ BEYAZ KABAK ÇEKİRDEĞİ - NEVŞEHİR"/>
    <m/>
    <x v="1"/>
    <s v="ST00000000232"/>
    <s v="SATIŞ"/>
    <s v="NAKİT"/>
    <n v="0.57199999999999995"/>
    <n v="350"/>
    <n v="0"/>
    <n v="0"/>
    <n v="0.57199999999999995"/>
    <m/>
    <n v="350"/>
    <m/>
    <n v="200.2"/>
    <n v="0"/>
    <n v="73347.423760152014"/>
  </r>
  <r>
    <d v="2025-11-18T00:00:00"/>
    <x v="4"/>
    <s v="ZÜHRE ANA KARADUT ÖZÜ 670 GR"/>
    <m/>
    <x v="1"/>
    <s v="ST00000000232"/>
    <s v="SATIŞ"/>
    <s v="NAKİT"/>
    <n v="1"/>
    <n v="220"/>
    <n v="0"/>
    <n v="0"/>
    <n v="1"/>
    <m/>
    <n v="220"/>
    <m/>
    <n v="220"/>
    <n v="0"/>
    <n v="73567.423760152014"/>
  </r>
  <r>
    <d v="2025-11-18T00:00:00"/>
    <x v="4"/>
    <s v="İRİ BEYAZ KABAK ÇEKİRDEĞİ - NEVŞEHİR"/>
    <m/>
    <x v="5"/>
    <s v="ST00000000233"/>
    <s v="SATIŞ"/>
    <s v="POS"/>
    <n v="0.61199999999999999"/>
    <n v="350"/>
    <n v="214.2"/>
    <n v="0"/>
    <n v="0.61199999999999999"/>
    <m/>
    <n v="350"/>
    <m/>
    <n v="0"/>
    <n v="0"/>
    <n v="73567.423760152014"/>
  </r>
  <r>
    <d v="2025-11-18T00:00:00"/>
    <x v="4"/>
    <s v="KİMYON ÇEKİLMİŞ"/>
    <m/>
    <x v="5"/>
    <s v="ST00000000233"/>
    <s v="SATIŞ"/>
    <s v="POS"/>
    <n v="0.11"/>
    <n v="390"/>
    <n v="42.9"/>
    <n v="0"/>
    <n v="0.11"/>
    <m/>
    <n v="390"/>
    <m/>
    <n v="0"/>
    <n v="0"/>
    <n v="73567.423760152014"/>
  </r>
  <r>
    <d v="2025-11-18T00:00:00"/>
    <x v="4"/>
    <s v="SUMAK"/>
    <m/>
    <x v="5"/>
    <s v="ST00000000233"/>
    <s v="SATIŞ"/>
    <s v="POS"/>
    <n v="0.21"/>
    <n v="500"/>
    <n v="105"/>
    <n v="0"/>
    <n v="0.21"/>
    <m/>
    <n v="500"/>
    <m/>
    <n v="0"/>
    <n v="0"/>
    <n v="73567.423760152014"/>
  </r>
  <r>
    <d v="2025-11-18T00:00:00"/>
    <x v="4"/>
    <s v="KARABİBER ÇEKİLMİŞ"/>
    <m/>
    <x v="5"/>
    <s v="ST00000000233"/>
    <s v="SATIŞ"/>
    <s v="POS"/>
    <n v="0.09"/>
    <n v="640"/>
    <n v="57.599999999999994"/>
    <n v="0"/>
    <n v="0.09"/>
    <m/>
    <n v="640"/>
    <m/>
    <n v="0"/>
    <n v="0"/>
    <n v="73567.423760152014"/>
  </r>
  <r>
    <d v="2025-11-18T00:00:00"/>
    <x v="4"/>
    <s v="CEVİZLİ SUCUK ATOM (ESMER)"/>
    <m/>
    <x v="5"/>
    <s v="ST00000000233"/>
    <s v="SATIŞ"/>
    <s v="POS"/>
    <n v="0.42599999999999999"/>
    <n v="340"/>
    <n v="144.84"/>
    <n v="0"/>
    <n v="0.42599999999999999"/>
    <m/>
    <n v="340"/>
    <m/>
    <n v="0"/>
    <n v="0"/>
    <n v="73567.423760152014"/>
  </r>
  <r>
    <d v="2025-11-18T00:00:00"/>
    <x v="4"/>
    <s v="ŞENAY ÇAM KOZALAĞI PEKMEZİ 800 G"/>
    <m/>
    <x v="5"/>
    <s v="ST00000000233"/>
    <s v="SATIŞ"/>
    <s v="POS"/>
    <n v="1"/>
    <n v="180"/>
    <n v="180"/>
    <n v="0"/>
    <n v="1"/>
    <m/>
    <n v="180"/>
    <m/>
    <n v="0"/>
    <n v="0"/>
    <n v="73567.423760152014"/>
  </r>
  <r>
    <d v="2025-11-18T00:00:00"/>
    <x v="4"/>
    <s v="TÜDAB HARNUP PEKMEZİ 800 GR (KEÇİBOYNUZU)"/>
    <m/>
    <x v="5"/>
    <s v="ST00000000233"/>
    <s v="SATIŞ"/>
    <s v="POS"/>
    <n v="1"/>
    <n v="180"/>
    <n v="180"/>
    <n v="0"/>
    <n v="1"/>
    <m/>
    <n v="180"/>
    <m/>
    <n v="0"/>
    <n v="0"/>
    <n v="73567.423760152014"/>
  </r>
  <r>
    <d v="2025-11-18T00:00:00"/>
    <x v="4"/>
    <s v="TÜDAB ANDIZ PEKMEZİ 450 GR"/>
    <m/>
    <x v="5"/>
    <s v="ST00000000233"/>
    <s v="SATIŞ"/>
    <s v="POS"/>
    <n v="1"/>
    <n v="190"/>
    <n v="190"/>
    <n v="0"/>
    <n v="1"/>
    <m/>
    <n v="190"/>
    <m/>
    <n v="0"/>
    <n v="0"/>
    <n v="73567.423760152014"/>
  </r>
  <r>
    <d v="2025-11-18T00:00:00"/>
    <x v="4"/>
    <s v="ÇİNKOPAST PORTAKALLI PASTİL 12 ADET"/>
    <m/>
    <x v="5"/>
    <s v="ST00000000233"/>
    <s v="SATIŞ"/>
    <s v="POS"/>
    <n v="1"/>
    <n v="95"/>
    <n v="95"/>
    <n v="0"/>
    <n v="1"/>
    <m/>
    <n v="95"/>
    <m/>
    <n v="0"/>
    <n v="0"/>
    <n v="73567.423760152014"/>
  </r>
  <r>
    <d v="2025-11-18T00:00:00"/>
    <x v="4"/>
    <s v="MARA BIBERIYE LAVANTA SAC YAGI 100 ML"/>
    <m/>
    <x v="5"/>
    <s v="ST00000000233"/>
    <s v="SATIŞ"/>
    <s v="POS"/>
    <n v="1"/>
    <n v="195"/>
    <n v="195"/>
    <n v="0"/>
    <n v="1"/>
    <m/>
    <n v="195"/>
    <m/>
    <n v="0"/>
    <n v="0"/>
    <n v="73567.423760152014"/>
  </r>
  <r>
    <d v="2025-11-18T00:00:00"/>
    <x v="4"/>
    <s v="ZÜHRE ANA HURMA ÖZÜ 350 GR"/>
    <m/>
    <x v="5"/>
    <s v="ST00000000233"/>
    <s v="SATIŞ"/>
    <s v="POS"/>
    <n v="1"/>
    <n v="220"/>
    <n v="220"/>
    <n v="0"/>
    <n v="1"/>
    <m/>
    <n v="220"/>
    <m/>
    <n v="0"/>
    <n v="0"/>
    <n v="73567.423760152014"/>
  </r>
  <r>
    <d v="2025-11-18T00:00:00"/>
    <x v="4"/>
    <s v="ZÜHRE ANA IŞGIN SİRKESİ 500 ML"/>
    <m/>
    <x v="5"/>
    <s v="ST00000000233"/>
    <s v="SATIŞ"/>
    <s v="POS"/>
    <n v="1"/>
    <n v="220"/>
    <n v="220"/>
    <n v="0"/>
    <n v="1"/>
    <m/>
    <n v="220"/>
    <m/>
    <n v="0"/>
    <n v="0"/>
    <n v="73567.423760152014"/>
  </r>
  <r>
    <d v="2025-11-18T00:00:00"/>
    <x v="4"/>
    <s v="EVLİK BİBER"/>
    <m/>
    <x v="1"/>
    <s v="ST00000000234"/>
    <s v="SATIŞ"/>
    <s v="NAKİT"/>
    <n v="0.26500000000000001"/>
    <n v="380"/>
    <n v="0"/>
    <n v="0"/>
    <n v="0.26500000000000001"/>
    <m/>
    <n v="380"/>
    <m/>
    <n v="100.7"/>
    <n v="0"/>
    <n v="73668.123760152012"/>
  </r>
  <r>
    <d v="2025-11-18T00:00:00"/>
    <x v="4"/>
    <s v="KETEN TOHUMU"/>
    <m/>
    <x v="1"/>
    <s v="ST00000000235"/>
    <s v="SATIŞ"/>
    <s v="NAKİT"/>
    <n v="0.1"/>
    <n v="200"/>
    <n v="0"/>
    <n v="0"/>
    <n v="1"/>
    <m/>
    <n v="20"/>
    <m/>
    <n v="20"/>
    <n v="0"/>
    <n v="73688.123760152012"/>
  </r>
  <r>
    <d v="2025-11-18T00:00:00"/>
    <x v="4"/>
    <s v="CHİA TOHUMU DÖKME"/>
    <m/>
    <x v="1"/>
    <s v="ST00000000235"/>
    <s v="SATIŞ"/>
    <s v="NAKİT"/>
    <n v="0.5"/>
    <n v="260"/>
    <n v="0"/>
    <n v="0"/>
    <n v="1"/>
    <m/>
    <n v="130"/>
    <m/>
    <n v="130"/>
    <n v="0"/>
    <n v="73818.123760152012"/>
  </r>
  <r>
    <d v="2025-11-18T00:00:00"/>
    <x v="4"/>
    <s v="ALTIN OTU SIYIRMA"/>
    <m/>
    <x v="1"/>
    <s v="ST00000000236"/>
    <s v="SATIŞ"/>
    <s v="NAKİT"/>
    <n v="0.104"/>
    <n v="1770"/>
    <n v="0"/>
    <n v="0"/>
    <n v="0.104"/>
    <m/>
    <n v="1770"/>
    <m/>
    <n v="184.07999999999998"/>
    <n v="0"/>
    <n v="74002.203760152013"/>
  </r>
  <r>
    <d v="2025-11-18T00:00:00"/>
    <x v="4"/>
    <s v="CİVAN PERÇEMİ"/>
    <m/>
    <x v="1"/>
    <s v="ST00000000236"/>
    <s v="SATIŞ"/>
    <s v="NAKİT"/>
    <n v="0.06"/>
    <n v="1000"/>
    <n v="0"/>
    <n v="0"/>
    <n v="0.06"/>
    <m/>
    <n v="1000"/>
    <m/>
    <n v="60"/>
    <n v="0"/>
    <n v="74062.203760152013"/>
  </r>
  <r>
    <d v="2025-11-18T00:00:00"/>
    <x v="4"/>
    <s v="ADAÇAYI SIYIRMA"/>
    <m/>
    <x v="1"/>
    <s v="ST00000000236"/>
    <s v="SATIŞ"/>
    <s v="NAKİT"/>
    <n v="7.1999999999999995E-2"/>
    <n v="735"/>
    <n v="0"/>
    <n v="0"/>
    <n v="7.1999999999999995E-2"/>
    <m/>
    <n v="735"/>
    <m/>
    <n v="52.919999999999995"/>
    <n v="0"/>
    <n v="74115.123760152012"/>
  </r>
  <r>
    <d v="2025-11-18T00:00:00"/>
    <x v="4"/>
    <s v="KUDÜS HURMASI JUMBO"/>
    <m/>
    <x v="1"/>
    <s v="ST00000000236"/>
    <s v="SATIŞ"/>
    <s v="NAKİT"/>
    <n v="0.36599999999999999"/>
    <n v="670"/>
    <n v="0"/>
    <n v="0"/>
    <n v="0.36599999999999999"/>
    <m/>
    <n v="670"/>
    <m/>
    <n v="245.22"/>
    <n v="0"/>
    <n v="74360.343760152013"/>
  </r>
  <r>
    <d v="2025-11-18T00:00:00"/>
    <x v="4"/>
    <s v="KARANFİL"/>
    <m/>
    <x v="1"/>
    <s v="ST00000000236"/>
    <s v="SATIŞ"/>
    <s v="NAKİT"/>
    <n v="5.4550000000000001E-2"/>
    <n v="1100"/>
    <n v="0"/>
    <n v="0"/>
    <n v="1"/>
    <m/>
    <n v="60"/>
    <m/>
    <n v="60.005000000000003"/>
    <n v="0"/>
    <n v="74420.348760152017"/>
  </r>
  <r>
    <d v="2025-11-18T00:00:00"/>
    <x v="4"/>
    <s v="ÇÖREKOTU YAĞI 50 CC"/>
    <m/>
    <x v="1"/>
    <s v="ST00000000236"/>
    <s v="SATIŞ"/>
    <s v="NAKİT"/>
    <n v="1"/>
    <n v="170"/>
    <n v="0"/>
    <n v="0"/>
    <n v="1"/>
    <m/>
    <n v="170"/>
    <m/>
    <n v="170"/>
    <n v="0"/>
    <n v="74590.348760152017"/>
  </r>
  <r>
    <d v="2025-11-18T00:00:00"/>
    <x v="7"/>
    <m/>
    <m/>
    <x v="8"/>
    <m/>
    <s v="GENÇAY BAHARAT - ÖDEME"/>
    <s v="NAKİT"/>
    <n v="1"/>
    <n v="0"/>
    <n v="15000"/>
    <n v="0"/>
    <m/>
    <m/>
    <m/>
    <m/>
    <n v="0"/>
    <n v="15000"/>
    <n v="59590.348760152017"/>
  </r>
  <r>
    <d v="2025-11-18T00:00:00"/>
    <x v="7"/>
    <m/>
    <m/>
    <x v="4"/>
    <m/>
    <s v="TÜDAB A.Ş. - ÖDEME"/>
    <s v="NAKİT"/>
    <n v="1"/>
    <n v="0"/>
    <n v="8000"/>
    <n v="0"/>
    <m/>
    <m/>
    <m/>
    <m/>
    <n v="0"/>
    <n v="8000"/>
    <n v="51590.348760152017"/>
  </r>
  <r>
    <d v="2025-11-18T00:00:00"/>
    <x v="1"/>
    <m/>
    <s v="MUHASEBE GİDERLERİ"/>
    <x v="1"/>
    <m/>
    <s v="MUHASEBE GİDERİ ÖDEME"/>
    <s v="NAKİT"/>
    <n v="1"/>
    <n v="1500"/>
    <n v="0"/>
    <n v="0"/>
    <m/>
    <m/>
    <m/>
    <m/>
    <n v="0"/>
    <n v="1500"/>
    <n v="50090.348760152017"/>
  </r>
  <r>
    <d v="2025-11-19T00:00:00"/>
    <x v="3"/>
    <s v="TALA KARINCA YUMURTASI YAĞI 20 ML"/>
    <m/>
    <x v="2"/>
    <s v="FT00000000056"/>
    <s v="TR"/>
    <s v="K.K."/>
    <n v="8"/>
    <n v="72.3"/>
    <n v="0"/>
    <n v="578.4"/>
    <m/>
    <n v="8"/>
    <m/>
    <n v="72.3"/>
    <n v="0"/>
    <n v="0"/>
    <n v="50090.348760152017"/>
  </r>
  <r>
    <d v="2025-11-19T00:00:00"/>
    <x v="4"/>
    <s v="HİNT KINASI KAHVERENGİ (TEKLİ SATILACAK - 6 ADET)"/>
    <m/>
    <x v="1"/>
    <s v="ST00000000237"/>
    <s v="SATIŞ"/>
    <s v="NAKİT"/>
    <n v="2"/>
    <n v="35"/>
    <n v="0"/>
    <n v="0"/>
    <n v="2"/>
    <m/>
    <n v="35"/>
    <m/>
    <n v="70"/>
    <n v="0"/>
    <n v="50160.348760152017"/>
  </r>
  <r>
    <d v="2025-11-19T00:00:00"/>
    <x v="4"/>
    <s v="BUĞDAY NİŞASTASI"/>
    <m/>
    <x v="1"/>
    <s v="ST00000000238"/>
    <s v="SATIŞ"/>
    <s v="NAKİT"/>
    <n v="1"/>
    <n v="100"/>
    <n v="0"/>
    <n v="0"/>
    <n v="1"/>
    <m/>
    <n v="100"/>
    <m/>
    <n v="100"/>
    <n v="0"/>
    <n v="50260.348760152017"/>
  </r>
  <r>
    <d v="2025-11-19T00:00:00"/>
    <x v="4"/>
    <s v="KABUKLU CEVİZ (ŞİLİ)"/>
    <m/>
    <x v="1"/>
    <s v="ST00000000238"/>
    <s v="SATIŞ"/>
    <s v="NAKİT"/>
    <n v="0.33500000000000002"/>
    <n v="300"/>
    <n v="0"/>
    <n v="0"/>
    <n v="0.33500000000000002"/>
    <m/>
    <n v="300"/>
    <m/>
    <n v="100.5"/>
    <n v="0"/>
    <n v="50360.848760152017"/>
  </r>
  <r>
    <d v="2025-11-19T00:00:00"/>
    <x v="4"/>
    <s v="HİNDİSTAN CEVİZİ ( İRİ )"/>
    <m/>
    <x v="1"/>
    <s v="ST00000000238"/>
    <s v="SATIŞ"/>
    <s v="NAKİT"/>
    <n v="0.2"/>
    <n v="600"/>
    <n v="0"/>
    <n v="0"/>
    <n v="2"/>
    <m/>
    <n v="60"/>
    <m/>
    <n v="120"/>
    <n v="0"/>
    <n v="50480.848760152017"/>
  </r>
  <r>
    <d v="2025-11-19T00:00:00"/>
    <x v="4"/>
    <s v="SALÇA ACI (EV YAPIMI)"/>
    <m/>
    <x v="1"/>
    <s v="ST00000000239"/>
    <s v="SATIŞ"/>
    <s v="NAKİT"/>
    <n v="0.86199999999999999"/>
    <n v="180"/>
    <n v="0"/>
    <n v="0"/>
    <n v="0.86199999999999999"/>
    <m/>
    <n v="180"/>
    <m/>
    <n v="155.16"/>
    <n v="0"/>
    <n v="50636.008760152021"/>
  </r>
  <r>
    <d v="2025-11-19T00:00:00"/>
    <x v="4"/>
    <s v="DOMATES SALÇASI"/>
    <m/>
    <x v="1"/>
    <s v="ST00000000239"/>
    <s v="SATIŞ"/>
    <s v="NAKİT"/>
    <n v="0.89"/>
    <n v="130"/>
    <n v="0"/>
    <n v="0"/>
    <n v="0.89"/>
    <m/>
    <n v="130"/>
    <m/>
    <n v="115.7"/>
    <n v="0"/>
    <n v="50751.708760152018"/>
  </r>
  <r>
    <d v="2025-11-19T00:00:00"/>
    <x v="4"/>
    <s v="SALÇA ACI (EV YAPIMI)"/>
    <m/>
    <x v="5"/>
    <s v="ST00000000240"/>
    <s v="SATIŞ"/>
    <s v="POS"/>
    <n v="0.55600000000000005"/>
    <n v="180"/>
    <n v="100.08000000000001"/>
    <n v="0"/>
    <n v="0.55600000000000005"/>
    <m/>
    <n v="180"/>
    <m/>
    <n v="0"/>
    <n v="0"/>
    <n v="50751.708760152018"/>
  </r>
  <r>
    <d v="2025-11-19T00:00:00"/>
    <x v="4"/>
    <s v="NAHİTA DETOKS SİRKESİ 500 ML"/>
    <m/>
    <x v="5"/>
    <s v="ST00000000241"/>
    <s v="SATIŞ"/>
    <s v="POS"/>
    <n v="1"/>
    <n v="150"/>
    <n v="150"/>
    <n v="0"/>
    <n v="1"/>
    <m/>
    <n v="150"/>
    <m/>
    <n v="0"/>
    <n v="0"/>
    <n v="50751.708760152018"/>
  </r>
  <r>
    <d v="2025-11-19T00:00:00"/>
    <x v="4"/>
    <s v="GENÇLEBİ ÇAKILTAŞI DRAJE"/>
    <m/>
    <x v="5"/>
    <s v="ST00000000241"/>
    <s v="SATIŞ"/>
    <s v="POS"/>
    <n v="0.25"/>
    <n v="400"/>
    <n v="100"/>
    <n v="0"/>
    <n v="1"/>
    <m/>
    <n v="100"/>
    <m/>
    <n v="0"/>
    <n v="0"/>
    <n v="50751.708760152018"/>
  </r>
  <r>
    <d v="2025-11-19T00:00:00"/>
    <x v="4"/>
    <s v="CİVAN PERÇEMİ"/>
    <m/>
    <x v="5"/>
    <s v="ST00000000241"/>
    <s v="SATIŞ"/>
    <s v="POS"/>
    <n v="0.05"/>
    <n v="1000"/>
    <n v="50"/>
    <n v="0"/>
    <n v="0.05"/>
    <m/>
    <n v="1000"/>
    <m/>
    <n v="0"/>
    <n v="0"/>
    <n v="50751.708760152018"/>
  </r>
  <r>
    <d v="2025-11-19T00:00:00"/>
    <x v="4"/>
    <s v="ŞİFAVER GÜL HATAY SABUNU"/>
    <m/>
    <x v="5"/>
    <s v="ST00000000241"/>
    <s v="SATIŞ"/>
    <s v="POS"/>
    <n v="1"/>
    <n v="40"/>
    <n v="40"/>
    <n v="0"/>
    <n v="1"/>
    <m/>
    <n v="40"/>
    <m/>
    <n v="0"/>
    <n v="0"/>
    <n v="50751.708760152018"/>
  </r>
  <r>
    <d v="2025-11-19T00:00:00"/>
    <x v="4"/>
    <s v="CHİA TOHUMU DÖKME"/>
    <m/>
    <x v="5"/>
    <s v="ST00000000242"/>
    <s v="SATIŞ"/>
    <s v="POS"/>
    <n v="0.5"/>
    <n v="260"/>
    <n v="130"/>
    <n v="0"/>
    <n v="1"/>
    <m/>
    <n v="130"/>
    <m/>
    <n v="0"/>
    <n v="0"/>
    <n v="50751.708760152018"/>
  </r>
  <r>
    <d v="2025-11-19T00:00:00"/>
    <x v="4"/>
    <s v="NAHİTA DETOKS SİRKESİ 500 ML"/>
    <m/>
    <x v="5"/>
    <s v="ST00000000242"/>
    <s v="SATIŞ"/>
    <s v="POS"/>
    <n v="1"/>
    <n v="140"/>
    <n v="140"/>
    <n v="0"/>
    <n v="1"/>
    <m/>
    <n v="140"/>
    <m/>
    <n v="0"/>
    <n v="0"/>
    <n v="50751.708760152018"/>
  </r>
  <r>
    <d v="2025-11-19T00:00:00"/>
    <x v="4"/>
    <s v="SUMAK"/>
    <m/>
    <x v="5"/>
    <s v="ST00000000243"/>
    <s v="SATIŞ"/>
    <s v="POS"/>
    <n v="0.214"/>
    <n v="500"/>
    <n v="107"/>
    <n v="0"/>
    <n v="0.214"/>
    <m/>
    <n v="500"/>
    <m/>
    <n v="0"/>
    <n v="0"/>
    <n v="50751.708760152018"/>
  </r>
  <r>
    <d v="2025-11-19T00:00:00"/>
    <x v="4"/>
    <s v="KARABİBER ÇEKİLMİŞ"/>
    <m/>
    <x v="5"/>
    <s v="ST00000000243"/>
    <s v="SATIŞ"/>
    <s v="POS"/>
    <n v="0.21"/>
    <n v="640"/>
    <n v="134.4"/>
    <n v="0"/>
    <n v="0.21"/>
    <m/>
    <n v="640"/>
    <m/>
    <n v="0"/>
    <n v="0"/>
    <n v="50751.708760152018"/>
  </r>
  <r>
    <d v="2025-11-19T00:00:00"/>
    <x v="4"/>
    <s v="DERME GÜN KURUSU KAYISI JUMBO"/>
    <m/>
    <x v="5"/>
    <s v="ST00000000243"/>
    <s v="SATIŞ"/>
    <s v="POS"/>
    <n v="0.215"/>
    <n v="950"/>
    <n v="204.25"/>
    <n v="0"/>
    <n v="0.215"/>
    <m/>
    <n v="950"/>
    <m/>
    <n v="0"/>
    <n v="0"/>
    <n v="50751.708760152018"/>
  </r>
  <r>
    <d v="2025-11-19T00:00:00"/>
    <x v="4"/>
    <s v="GENÇLEBİ ÇAKILTAŞI DRAJE"/>
    <m/>
    <x v="5"/>
    <s v="ST00000000243"/>
    <s v="SATIŞ"/>
    <s v="POS"/>
    <n v="0.25"/>
    <n v="400"/>
    <n v="100"/>
    <n v="0"/>
    <n v="1"/>
    <m/>
    <n v="100"/>
    <m/>
    <n v="0"/>
    <n v="0"/>
    <n v="50751.708760152018"/>
  </r>
  <r>
    <d v="2025-11-19T00:00:00"/>
    <x v="4"/>
    <s v="PUDRA ŞEKERİ"/>
    <m/>
    <x v="1"/>
    <s v="ST00000000244"/>
    <s v="SATIŞ - TOPTAN"/>
    <s v="NAKİT"/>
    <n v="5"/>
    <n v="65"/>
    <n v="0"/>
    <n v="0"/>
    <n v="5"/>
    <m/>
    <n v="65"/>
    <m/>
    <n v="325"/>
    <n v="0"/>
    <n v="51076.708760152018"/>
  </r>
  <r>
    <d v="2025-11-19T00:00:00"/>
    <x v="4"/>
    <s v="TOMBUL KESE 500 GR TATLI"/>
    <m/>
    <x v="1"/>
    <s v="ST00000000244"/>
    <s v="SATIŞ - TOPTAN"/>
    <s v="NAKİT"/>
    <n v="10"/>
    <n v="165"/>
    <n v="0"/>
    <n v="0"/>
    <n v="10"/>
    <m/>
    <n v="165"/>
    <m/>
    <n v="1650"/>
    <n v="0"/>
    <n v="52726.708760152018"/>
  </r>
  <r>
    <d v="2025-11-19T00:00:00"/>
    <x v="4"/>
    <s v="SEYİDOĞLU PEKMEZ 700 g"/>
    <m/>
    <x v="1"/>
    <s v="ST00000000245"/>
    <s v="SATIŞ"/>
    <s v="NAKİT"/>
    <n v="1"/>
    <n v="170"/>
    <n v="0"/>
    <n v="0"/>
    <n v="1"/>
    <m/>
    <n v="170"/>
    <m/>
    <n v="170"/>
    <n v="0"/>
    <n v="52896.708760152018"/>
  </r>
  <r>
    <d v="2025-11-19T00:00:00"/>
    <x v="4"/>
    <s v="İPEK BİBER"/>
    <m/>
    <x v="1"/>
    <s v="ST00000000245"/>
    <s v="SATIŞ"/>
    <s v="NAKİT"/>
    <n v="0.09"/>
    <n v="500"/>
    <n v="0"/>
    <n v="0"/>
    <n v="0.09"/>
    <m/>
    <n v="500"/>
    <m/>
    <n v="45"/>
    <n v="0"/>
    <n v="52941.708760152018"/>
  </r>
  <r>
    <d v="2025-11-19T00:00:00"/>
    <x v="4"/>
    <s v="İPEK BİBER"/>
    <m/>
    <x v="5"/>
    <s v="ST00000000246"/>
    <s v="SATIŞ"/>
    <s v="POS"/>
    <n v="0.5"/>
    <n v="500"/>
    <n v="250"/>
    <n v="0"/>
    <n v="0.5"/>
    <m/>
    <n v="500"/>
    <m/>
    <n v="0"/>
    <n v="0"/>
    <n v="52941.708760152018"/>
  </r>
  <r>
    <d v="2025-11-19T00:00:00"/>
    <x v="4"/>
    <s v="MACUN VİP"/>
    <m/>
    <x v="5"/>
    <s v="ST00000000246"/>
    <s v="SATIŞ"/>
    <s v="POS"/>
    <n v="1"/>
    <n v="600"/>
    <n v="600"/>
    <n v="0"/>
    <n v="1"/>
    <m/>
    <n v="600"/>
    <m/>
    <n v="0"/>
    <n v="0"/>
    <n v="52941.708760152018"/>
  </r>
  <r>
    <d v="2025-11-20T00:00:00"/>
    <x v="4"/>
    <s v="SALÇA TATLI (EV YAPIMI)"/>
    <m/>
    <x v="5"/>
    <s v="ST00000000247"/>
    <s v="SATIŞ"/>
    <s v="POS"/>
    <n v="1.046"/>
    <n v="180"/>
    <n v="188.28"/>
    <n v="0"/>
    <n v="1.046"/>
    <m/>
    <n v="180"/>
    <m/>
    <n v="0"/>
    <n v="0"/>
    <n v="52941.708760152018"/>
  </r>
  <r>
    <d v="2025-11-20T00:00:00"/>
    <x v="4"/>
    <s v="KİMYON ÇEKİLMİŞ"/>
    <m/>
    <x v="5"/>
    <s v="ST00000000247"/>
    <s v="SATIŞ"/>
    <s v="POS"/>
    <n v="0.214"/>
    <n v="390"/>
    <n v="83.46"/>
    <n v="0"/>
    <n v="0.214"/>
    <m/>
    <n v="390"/>
    <m/>
    <n v="0"/>
    <n v="0"/>
    <n v="52941.708760152018"/>
  </r>
  <r>
    <d v="2025-11-20T00:00:00"/>
    <x v="4"/>
    <s v="SUMAK"/>
    <m/>
    <x v="5"/>
    <s v="ST00000000247"/>
    <s v="SATIŞ"/>
    <s v="POS"/>
    <n v="0.23200000000000001"/>
    <n v="500"/>
    <n v="116"/>
    <n v="0"/>
    <n v="0.23200000000000001"/>
    <m/>
    <n v="500"/>
    <m/>
    <n v="0"/>
    <n v="0"/>
    <n v="52941.708760152018"/>
  </r>
  <r>
    <d v="2025-11-20T00:00:00"/>
    <x v="4"/>
    <s v="KARABİBER ÇEKİLMİŞ"/>
    <m/>
    <x v="5"/>
    <s v="ST00000000247"/>
    <s v="SATIŞ"/>
    <s v="POS"/>
    <n v="0.17599999999999999"/>
    <n v="640"/>
    <n v="112.63999999999999"/>
    <n v="0"/>
    <n v="0.17599999999999999"/>
    <m/>
    <n v="640"/>
    <m/>
    <n v="0"/>
    <n v="0"/>
    <n v="52941.708760152018"/>
  </r>
  <r>
    <d v="2025-11-20T00:00:00"/>
    <x v="4"/>
    <s v="TOZ BİBER - TATLI"/>
    <m/>
    <x v="5"/>
    <s v="ST00000000247"/>
    <s v="SATIŞ"/>
    <s v="POS"/>
    <n v="0.316"/>
    <n v="370"/>
    <n v="116.92"/>
    <n v="0"/>
    <n v="0.316"/>
    <m/>
    <n v="370"/>
    <m/>
    <n v="0"/>
    <n v="0"/>
    <n v="52941.708760152018"/>
  </r>
  <r>
    <d v="2025-11-20T00:00:00"/>
    <x v="4"/>
    <s v="CEVİZLİ SUCUK ATOM (ESMER)"/>
    <m/>
    <x v="5"/>
    <s v="ST00000000247"/>
    <s v="SATIŞ"/>
    <s v="POS"/>
    <n v="0.35199999999999998"/>
    <n v="340"/>
    <n v="119.67999999999999"/>
    <n v="0"/>
    <n v="0.35199999999999998"/>
    <m/>
    <n v="340"/>
    <m/>
    <n v="0"/>
    <n v="0"/>
    <n v="52941.708760152018"/>
  </r>
  <r>
    <d v="2025-11-20T00:00:00"/>
    <x v="4"/>
    <s v="YALÇINKAYA DOMATES SALÇASI"/>
    <m/>
    <x v="5"/>
    <s v="ST00000000248"/>
    <s v="SATIŞ"/>
    <s v="POS"/>
    <n v="1.304"/>
    <n v="130"/>
    <n v="169.52"/>
    <n v="0"/>
    <n v="1.304"/>
    <m/>
    <n v="130"/>
    <m/>
    <n v="0"/>
    <n v="0"/>
    <n v="52941.708760152018"/>
  </r>
  <r>
    <d v="2025-11-20T00:00:00"/>
    <x v="4"/>
    <s v="DOLMALIK KURU ACI BİBER"/>
    <m/>
    <x v="1"/>
    <s v="ST00000000249"/>
    <s v="SATIŞ"/>
    <s v="NAKİT"/>
    <n v="0.5"/>
    <n v="200"/>
    <n v="0"/>
    <n v="0"/>
    <n v="0.5"/>
    <m/>
    <n v="200"/>
    <m/>
    <n v="100"/>
    <n v="0"/>
    <n v="53041.708760152018"/>
  </r>
  <r>
    <d v="2025-11-20T00:00:00"/>
    <x v="4"/>
    <s v="SEYHAN ÜZÜM ÖZEL"/>
    <m/>
    <x v="1"/>
    <s v="ST00000000250"/>
    <s v="SATIŞ"/>
    <s v="NAKİT"/>
    <n v="7.6999999999999999E-2"/>
    <n v="650"/>
    <n v="0"/>
    <n v="0"/>
    <n v="7.6999999999999999E-2"/>
    <m/>
    <n v="650"/>
    <m/>
    <n v="50.05"/>
    <n v="0"/>
    <n v="53091.758760152021"/>
  </r>
  <r>
    <d v="2025-11-20T00:00:00"/>
    <x v="4"/>
    <s v="EVLİK BİBER"/>
    <m/>
    <x v="1"/>
    <s v="ST00000000251"/>
    <s v="SATIŞ"/>
    <s v="NAKİT"/>
    <n v="0.19800000000000001"/>
    <n v="380"/>
    <n v="0"/>
    <n v="0"/>
    <n v="0.19800000000000001"/>
    <m/>
    <n v="380"/>
    <m/>
    <n v="75.240000000000009"/>
    <n v="0"/>
    <n v="53166.998760152019"/>
  </r>
  <r>
    <d v="2025-11-20T00:00:00"/>
    <x v="4"/>
    <s v="NAHİTA ELMA SİRKESİ 500 ML"/>
    <m/>
    <x v="1"/>
    <s v="ST00000000251"/>
    <s v="SATIŞ"/>
    <s v="NAKİT"/>
    <n v="1"/>
    <n v="140"/>
    <n v="0"/>
    <n v="0"/>
    <n v="1"/>
    <m/>
    <n v="140"/>
    <m/>
    <n v="140"/>
    <n v="0"/>
    <n v="53306.998760152019"/>
  </r>
  <r>
    <d v="2025-11-20T00:00:00"/>
    <x v="4"/>
    <s v="TÜRK KAHVESİ"/>
    <m/>
    <x v="1"/>
    <s v="ST00000000251"/>
    <s v="SATIŞ"/>
    <s v="NAKİT"/>
    <n v="0.1"/>
    <n v="650"/>
    <n v="0"/>
    <n v="0"/>
    <n v="1"/>
    <m/>
    <n v="65"/>
    <m/>
    <n v="65"/>
    <n v="0"/>
    <n v="53371.998760152019"/>
  </r>
  <r>
    <d v="2025-11-20T00:00:00"/>
    <x v="4"/>
    <s v="LAHANA TURŞUSU 5 KG"/>
    <m/>
    <x v="1"/>
    <s v="ST00000000251"/>
    <s v="SATIŞ"/>
    <s v="NAKİT"/>
    <n v="1"/>
    <n v="350"/>
    <n v="0"/>
    <n v="0"/>
    <n v="1"/>
    <m/>
    <n v="350"/>
    <m/>
    <n v="350"/>
    <n v="0"/>
    <n v="53721.998760152019"/>
  </r>
  <r>
    <d v="2025-11-20T00:00:00"/>
    <x v="4"/>
    <s v="İZMİR ÜZÜMÜ"/>
    <m/>
    <x v="1"/>
    <s v="ST00000000252"/>
    <s v="SATIŞ"/>
    <s v="NAKİT"/>
    <n v="0.45500000000000002"/>
    <n v="300"/>
    <n v="0"/>
    <n v="0"/>
    <n v="0.45500000000000002"/>
    <m/>
    <n v="300"/>
    <m/>
    <n v="136.5"/>
    <n v="0"/>
    <n v="53858.498760152019"/>
  </r>
  <r>
    <d v="2025-11-20T00:00:00"/>
    <x v="4"/>
    <s v="İRİ BEYAZ KABAK ÇEKİRDEĞİ - NEVŞEHİR"/>
    <m/>
    <x v="1"/>
    <s v="ST00000000252"/>
    <s v="SATIŞ"/>
    <s v="NAKİT"/>
    <n v="0.28000000000000003"/>
    <n v="360"/>
    <n v="0"/>
    <n v="0"/>
    <n v="0.28000000000000003"/>
    <m/>
    <n v="360"/>
    <m/>
    <n v="100.80000000000001"/>
    <n v="0"/>
    <n v="53959.298760152022"/>
  </r>
  <r>
    <d v="2025-11-20T00:00:00"/>
    <x v="4"/>
    <s v="NANE İRİ"/>
    <m/>
    <x v="5"/>
    <s v="ST00000000253"/>
    <s v="SATIŞ"/>
    <s v="POS"/>
    <n v="0.1"/>
    <n v="400"/>
    <n v="40"/>
    <n v="0"/>
    <n v="0.1"/>
    <m/>
    <n v="400"/>
    <m/>
    <n v="0"/>
    <n v="0"/>
    <n v="53959.298760152022"/>
  </r>
  <r>
    <d v="2025-11-20T00:00:00"/>
    <x v="4"/>
    <s v="ZENCEFİL TOZ"/>
    <m/>
    <x v="5"/>
    <s v="ST00000000253"/>
    <s v="SATIŞ"/>
    <s v="POS"/>
    <n v="0.13200000000000001"/>
    <n v="360"/>
    <n v="47.52"/>
    <n v="0"/>
    <n v="0.13200000000000001"/>
    <m/>
    <n v="360"/>
    <m/>
    <n v="0"/>
    <n v="0"/>
    <n v="53959.298760152022"/>
  </r>
  <r>
    <d v="2025-11-20T00:00:00"/>
    <x v="4"/>
    <s v="ÇUBUK TARÇIN"/>
    <m/>
    <x v="5"/>
    <s v="ST00000000253"/>
    <s v="SATIŞ"/>
    <s v="POS"/>
    <n v="0.1"/>
    <n v="650"/>
    <n v="65"/>
    <n v="0"/>
    <n v="1"/>
    <m/>
    <n v="65"/>
    <m/>
    <n v="0"/>
    <n v="0"/>
    <n v="53959.298760152022"/>
  </r>
  <r>
    <d v="2025-11-20T00:00:00"/>
    <x v="4"/>
    <s v="YENİ MAHSÜL PAPATYA"/>
    <m/>
    <x v="5"/>
    <s v="ST00000000253"/>
    <s v="SATIŞ"/>
    <s v="POS"/>
    <n v="0.04"/>
    <n v="2250"/>
    <n v="90"/>
    <n v="0"/>
    <n v="1"/>
    <m/>
    <n v="90"/>
    <m/>
    <n v="0"/>
    <n v="0"/>
    <n v="53959.298760152022"/>
  </r>
  <r>
    <d v="2025-11-20T00:00:00"/>
    <x v="4"/>
    <s v="BİZİM YAPRAK 1 LİK"/>
    <m/>
    <x v="5"/>
    <s v="ST00000000254"/>
    <s v="SATIŞ"/>
    <s v="POS"/>
    <n v="2"/>
    <n v="290"/>
    <n v="580"/>
    <n v="0"/>
    <n v="2"/>
    <m/>
    <n v="290"/>
    <m/>
    <n v="0"/>
    <n v="0"/>
    <n v="53959.298760152022"/>
  </r>
  <r>
    <d v="2025-11-20T00:00:00"/>
    <x v="4"/>
    <s v="TÜDAB TURŞU BİBER"/>
    <m/>
    <x v="1"/>
    <s v="ST00000000270"/>
    <s v="SATIŞ"/>
    <s v="NAKİT"/>
    <n v="1"/>
    <n v="350"/>
    <n v="0"/>
    <n v="0"/>
    <n v="1"/>
    <m/>
    <n v="350"/>
    <m/>
    <n v="350"/>
    <n v="0"/>
    <n v="54309.298760152022"/>
  </r>
  <r>
    <d v="2025-11-21T00:00:00"/>
    <x v="3"/>
    <s v="AÇLIK OTU"/>
    <m/>
    <x v="4"/>
    <s v="FT00000000055"/>
    <s v="TÜDAB A.Ş."/>
    <s v="CARİ"/>
    <n v="1"/>
    <n v="85"/>
    <n v="0"/>
    <n v="85"/>
    <m/>
    <n v="1"/>
    <m/>
    <n v="85"/>
    <n v="0"/>
    <n v="0"/>
    <n v="54309.298760152022"/>
  </r>
  <r>
    <d v="2025-11-21T00:00:00"/>
    <x v="3"/>
    <s v="KUDÜS HURMASI JUMBO"/>
    <m/>
    <x v="4"/>
    <s v="FT00000000055"/>
    <s v="TÜDAB A.Ş."/>
    <s v="CARİ"/>
    <n v="5"/>
    <n v="400"/>
    <n v="0"/>
    <n v="2000"/>
    <m/>
    <n v="5"/>
    <m/>
    <n v="400"/>
    <n v="0"/>
    <n v="0"/>
    <n v="54309.298760152022"/>
  </r>
  <r>
    <d v="2025-11-21T00:00:00"/>
    <x v="3"/>
    <s v="MISIR UNU"/>
    <m/>
    <x v="4"/>
    <s v="FT00000000055"/>
    <s v="TÜDAB A.Ş."/>
    <s v="CARİ"/>
    <n v="10"/>
    <n v="24.5"/>
    <n v="0"/>
    <n v="245"/>
    <m/>
    <n v="10"/>
    <m/>
    <n v="24.5"/>
    <n v="0"/>
    <n v="0"/>
    <n v="54309.298760152022"/>
  </r>
  <r>
    <d v="2025-11-21T00:00:00"/>
    <x v="3"/>
    <s v="TÜDAB DUT PEKMEZİ 800 GR"/>
    <m/>
    <x v="4"/>
    <s v="FT00000000055"/>
    <s v="TÜDAB A.Ş."/>
    <s v="CARİ"/>
    <n v="12"/>
    <n v="95"/>
    <n v="0"/>
    <n v="1140"/>
    <m/>
    <n v="12"/>
    <m/>
    <n v="95"/>
    <n v="0"/>
    <n v="0"/>
    <n v="54309.298760152022"/>
  </r>
  <r>
    <d v="2025-11-21T00:00:00"/>
    <x v="3"/>
    <s v="TÜDAB ÜZÜM PEKMEZİ 800 GR"/>
    <m/>
    <x v="4"/>
    <s v="FT00000000055"/>
    <s v="TÜDAB A.Ş."/>
    <s v="CARİ"/>
    <n v="12"/>
    <n v="145"/>
    <n v="0"/>
    <n v="1740"/>
    <m/>
    <n v="12"/>
    <m/>
    <n v="145"/>
    <n v="0"/>
    <n v="0"/>
    <n v="54309.298760152022"/>
  </r>
  <r>
    <d v="2025-11-21T00:00:00"/>
    <x v="3"/>
    <s v="TOZ BİBER - TATLI"/>
    <m/>
    <x v="4"/>
    <s v="FT00000000055"/>
    <s v="TÜDAB A.Ş."/>
    <s v="CARİ"/>
    <n v="2"/>
    <n v="210"/>
    <n v="0"/>
    <n v="420"/>
    <m/>
    <n v="2"/>
    <m/>
    <n v="210"/>
    <n v="0"/>
    <n v="0"/>
    <n v="54309.298760152022"/>
  </r>
  <r>
    <d v="2025-11-21T00:00:00"/>
    <x v="3"/>
    <s v="İZMİR ÜZÜMÜ"/>
    <m/>
    <x v="4"/>
    <s v="FT00000000055"/>
    <s v="TÜDAB A.Ş."/>
    <s v="CARİ"/>
    <n v="5"/>
    <n v="170"/>
    <n v="0"/>
    <n v="850"/>
    <m/>
    <n v="5"/>
    <m/>
    <n v="170"/>
    <n v="0"/>
    <n v="0"/>
    <n v="54309.298760152022"/>
  </r>
  <r>
    <d v="2025-11-21T00:00:00"/>
    <x v="4"/>
    <s v="NANE İRİ"/>
    <m/>
    <x v="1"/>
    <s v="ST00000000255"/>
    <s v="SATIŞ"/>
    <s v="NAKİT"/>
    <n v="0.1"/>
    <n v="400"/>
    <n v="0"/>
    <n v="0"/>
    <n v="0.1"/>
    <m/>
    <n v="400"/>
    <m/>
    <n v="40"/>
    <n v="0"/>
    <n v="54349.298760152022"/>
  </r>
  <r>
    <d v="2025-11-21T00:00:00"/>
    <x v="4"/>
    <s v="BADEM ÇİĞ "/>
    <m/>
    <x v="5"/>
    <s v="ST00000000256"/>
    <s v="SATIŞ"/>
    <s v="POS"/>
    <n v="0.23100000000000001"/>
    <n v="650"/>
    <n v="150.15"/>
    <n v="0"/>
    <n v="0.23100000000000001"/>
    <m/>
    <n v="650"/>
    <m/>
    <n v="0"/>
    <n v="0"/>
    <n v="54349.298760152022"/>
  </r>
  <r>
    <d v="2025-11-21T00:00:00"/>
    <x v="4"/>
    <s v="DOLMALIK KURU TATLI KIRMIZI BİBER"/>
    <m/>
    <x v="5"/>
    <s v="ST00000000257"/>
    <s v="SATIŞ"/>
    <s v="POS"/>
    <n v="0.5"/>
    <n v="200"/>
    <n v="100"/>
    <n v="0"/>
    <n v="0.5"/>
    <m/>
    <n v="200"/>
    <m/>
    <n v="0"/>
    <n v="0"/>
    <n v="54349.298760152022"/>
  </r>
  <r>
    <d v="2025-11-21T00:00:00"/>
    <x v="4"/>
    <s v="DOLMALIK KURU PATLICAN"/>
    <m/>
    <x v="5"/>
    <s v="ST00000000257"/>
    <s v="SATIŞ"/>
    <s v="POS"/>
    <n v="1"/>
    <n v="240"/>
    <n v="240"/>
    <n v="0"/>
    <n v="1"/>
    <m/>
    <n v="240"/>
    <m/>
    <n v="0"/>
    <n v="0"/>
    <n v="54349.298760152022"/>
  </r>
  <r>
    <d v="2025-11-21T00:00:00"/>
    <x v="4"/>
    <s v="DOLMALIK KURU TATLI KIRMIZI BİBER"/>
    <m/>
    <x v="5"/>
    <s v="ST00000000258"/>
    <s v="SATIŞ"/>
    <s v="POS"/>
    <n v="1"/>
    <n v="150"/>
    <n v="150"/>
    <n v="0"/>
    <n v="1"/>
    <m/>
    <n v="150"/>
    <m/>
    <n v="0"/>
    <n v="0"/>
    <n v="54349.298760152022"/>
  </r>
  <r>
    <d v="2025-11-21T00:00:00"/>
    <x v="4"/>
    <s v="KARANFİL"/>
    <m/>
    <x v="5"/>
    <s v="ST00000000258"/>
    <s v="SATIŞ"/>
    <s v="POS"/>
    <n v="4.5449999999999997E-2"/>
    <n v="1100"/>
    <n v="49.994999999999997"/>
    <n v="0"/>
    <n v="1"/>
    <m/>
    <n v="50"/>
    <m/>
    <n v="0"/>
    <n v="0"/>
    <n v="54349.298760152022"/>
  </r>
  <r>
    <d v="2025-11-21T00:00:00"/>
    <x v="4"/>
    <s v="İSOT"/>
    <m/>
    <x v="5"/>
    <s v="ST00000000258"/>
    <s v="SATIŞ"/>
    <s v="POS"/>
    <n v="0.13200000000000001"/>
    <n v="380"/>
    <n v="50.160000000000004"/>
    <n v="0"/>
    <n v="0.13200000000000001"/>
    <m/>
    <n v="380"/>
    <m/>
    <n v="0"/>
    <n v="0"/>
    <n v="54349.298760152022"/>
  </r>
  <r>
    <d v="2025-11-21T00:00:00"/>
    <x v="4"/>
    <s v="SALÇA TATLI (EV YAPIMI)"/>
    <m/>
    <x v="5"/>
    <s v="ST00000000259"/>
    <s v="SATIŞ"/>
    <s v="POS"/>
    <n v="0.28000000000000003"/>
    <n v="180"/>
    <n v="50.400000000000006"/>
    <n v="0"/>
    <n v="0.28000000000000003"/>
    <m/>
    <n v="180"/>
    <m/>
    <n v="0"/>
    <n v="0"/>
    <n v="54349.298760152022"/>
  </r>
  <r>
    <d v="2025-11-21T00:00:00"/>
    <x v="4"/>
    <s v="KEKİK LÜX"/>
    <m/>
    <x v="1"/>
    <s v="ST00000000259"/>
    <s v="SATIŞ"/>
    <s v="NAKİT"/>
    <n v="2.5999999999999999E-2"/>
    <n v="780"/>
    <n v="0"/>
    <n v="0"/>
    <n v="2.5999999999999999E-2"/>
    <m/>
    <n v="780"/>
    <m/>
    <n v="20.279999999999998"/>
    <n v="0"/>
    <n v="54369.578760152021"/>
  </r>
  <r>
    <d v="2025-11-21T00:00:00"/>
    <x v="4"/>
    <s v="LOKUM SADE - TB"/>
    <m/>
    <x v="1"/>
    <s v="ST00000000260"/>
    <s v="SATIŞ"/>
    <s v="NAKİT"/>
    <n v="0.318"/>
    <n v="340"/>
    <n v="0"/>
    <n v="0"/>
    <n v="0.318"/>
    <m/>
    <n v="340"/>
    <m/>
    <n v="108.12"/>
    <n v="0"/>
    <n v="54477.698760152023"/>
  </r>
  <r>
    <d v="2025-11-21T00:00:00"/>
    <x v="4"/>
    <s v="CEVİZLİ SUCUK ATOM (ESMER)"/>
    <m/>
    <x v="1"/>
    <s v="ST00000000260"/>
    <s v="SATIŞ"/>
    <s v="NAKİT"/>
    <n v="0.42"/>
    <n v="155"/>
    <n v="0"/>
    <n v="0"/>
    <n v="0.42"/>
    <m/>
    <n v="155"/>
    <m/>
    <n v="65.099999999999994"/>
    <n v="0"/>
    <n v="54542.798760152022"/>
  </r>
  <r>
    <d v="2025-11-21T00:00:00"/>
    <x v="4"/>
    <s v="NANE İRİ"/>
    <m/>
    <x v="1"/>
    <s v="ST00000000261"/>
    <s v="SATIŞ"/>
    <s v="NAKİT"/>
    <n v="0.11"/>
    <n v="400"/>
    <n v="0"/>
    <n v="0"/>
    <n v="0.11"/>
    <m/>
    <n v="400"/>
    <m/>
    <n v="44"/>
    <n v="0"/>
    <n v="54586.798760152022"/>
  </r>
  <r>
    <d v="2025-11-21T00:00:00"/>
    <x v="4"/>
    <s v="LİMONTUZU PARCA"/>
    <m/>
    <x v="1"/>
    <s v="ST00000000262"/>
    <s v="SATIŞ"/>
    <s v="NAKİT"/>
    <n v="0.25"/>
    <n v="180"/>
    <n v="0"/>
    <n v="0"/>
    <n v="1"/>
    <m/>
    <n v="45"/>
    <m/>
    <n v="45"/>
    <n v="0"/>
    <n v="54631.798760152022"/>
  </r>
  <r>
    <d v="2025-11-21T00:00:00"/>
    <x v="4"/>
    <s v="SALÇA ACI (EV YAPIMI)"/>
    <m/>
    <x v="1"/>
    <s v="ST00000000263"/>
    <s v="SATIŞ"/>
    <s v="NAKİT"/>
    <n v="0.5"/>
    <n v="180"/>
    <n v="0"/>
    <n v="0"/>
    <n v="0.5"/>
    <m/>
    <n v="180"/>
    <m/>
    <n v="90"/>
    <n v="0"/>
    <n v="54721.798760152022"/>
  </r>
  <r>
    <d v="2025-11-21T00:00:00"/>
    <x v="4"/>
    <s v="SALÇA TATLI (EV YAPIMI)"/>
    <m/>
    <x v="1"/>
    <s v="ST00000000263"/>
    <s v="SATIŞ"/>
    <s v="NAKİT"/>
    <n v="1.7250000000000001"/>
    <n v="180"/>
    <n v="0"/>
    <n v="0"/>
    <n v="2.2799999999999998"/>
    <m/>
    <n v="180"/>
    <m/>
    <n v="310.5"/>
    <n v="0"/>
    <n v="55032.298760152022"/>
  </r>
  <r>
    <d v="2025-11-21T00:00:00"/>
    <x v="4"/>
    <s v="TOZ BİBER - TATLI"/>
    <m/>
    <x v="1"/>
    <s v="ST00000000263"/>
    <s v="SATIŞ"/>
    <s v="NAKİT"/>
    <n v="0.27100000000000002"/>
    <n v="370"/>
    <n v="0"/>
    <n v="0"/>
    <n v="0.27100000000000002"/>
    <m/>
    <n v="370"/>
    <m/>
    <n v="100.27"/>
    <n v="0"/>
    <n v="55132.568760152019"/>
  </r>
  <r>
    <d v="2025-11-21T00:00:00"/>
    <x v="4"/>
    <s v="DOLMALIK SARI BİBER"/>
    <m/>
    <x v="1"/>
    <s v="ST00000000264"/>
    <s v="SATIŞ"/>
    <s v="NAKİT"/>
    <n v="1"/>
    <n v="200"/>
    <n v="0"/>
    <n v="0"/>
    <n v="1"/>
    <m/>
    <n v="200"/>
    <m/>
    <n v="200"/>
    <n v="0"/>
    <n v="55332.568760152019"/>
  </r>
  <r>
    <d v="2025-11-21T00:00:00"/>
    <x v="4"/>
    <s v="DOLMALIK KURU PATLICAN"/>
    <m/>
    <x v="1"/>
    <s v="ST00000000264"/>
    <s v="SATIŞ"/>
    <s v="NAKİT"/>
    <n v="1"/>
    <n v="200"/>
    <n v="0"/>
    <n v="0"/>
    <n v="1"/>
    <m/>
    <n v="200"/>
    <m/>
    <n v="200"/>
    <n v="0"/>
    <n v="55532.568760152019"/>
  </r>
  <r>
    <d v="2025-11-21T00:00:00"/>
    <x v="4"/>
    <s v="YENİ MAHSÜL PAPATYA"/>
    <m/>
    <x v="5"/>
    <s v="ST00000000265"/>
    <s v="SATIŞ"/>
    <s v="POS"/>
    <n v="0.04"/>
    <n v="2250"/>
    <n v="90"/>
    <n v="0"/>
    <n v="1"/>
    <m/>
    <n v="90"/>
    <m/>
    <n v="0"/>
    <n v="0"/>
    <n v="55532.568760152019"/>
  </r>
  <r>
    <d v="2025-11-21T00:00:00"/>
    <x v="4"/>
    <s v="TABİB LOKMAN ALABALIK YAĞI 100 ML"/>
    <m/>
    <x v="1"/>
    <s v="ST00000000266"/>
    <s v="SATIŞ"/>
    <s v="NAKİT"/>
    <n v="1"/>
    <n v="250"/>
    <n v="0"/>
    <n v="0"/>
    <n v="1"/>
    <m/>
    <n v="250"/>
    <m/>
    <n v="250"/>
    <n v="0"/>
    <n v="55782.568760152019"/>
  </r>
  <r>
    <d v="2025-11-21T00:00:00"/>
    <x v="4"/>
    <s v="DOLMALIK SARI BİBER"/>
    <m/>
    <x v="5"/>
    <s v="ST00000000267"/>
    <s v="SATIŞ"/>
    <s v="POS"/>
    <n v="1"/>
    <n v="200"/>
    <n v="200"/>
    <n v="0"/>
    <n v="1"/>
    <m/>
    <n v="200"/>
    <m/>
    <n v="0"/>
    <n v="0"/>
    <n v="55782.568760152019"/>
  </r>
  <r>
    <d v="2025-11-21T00:00:00"/>
    <x v="4"/>
    <s v="AÇLIK OTU"/>
    <m/>
    <x v="1"/>
    <s v="ST00000000268"/>
    <s v="SATIŞ"/>
    <s v="NAKİT"/>
    <n v="0.05"/>
    <n v="500"/>
    <n v="0"/>
    <n v="0"/>
    <n v="0.05"/>
    <m/>
    <n v="500"/>
    <m/>
    <n v="25"/>
    <n v="0"/>
    <n v="55807.568760152019"/>
  </r>
  <r>
    <d v="2025-11-21T00:00:00"/>
    <x v="4"/>
    <s v="TÜDAB ACUR TURŞUSU"/>
    <m/>
    <x v="1"/>
    <s v="ST00000000269"/>
    <s v="SATIŞ"/>
    <s v="NAKİT"/>
    <n v="1"/>
    <n v="350"/>
    <n v="0"/>
    <n v="0"/>
    <n v="1"/>
    <m/>
    <n v="350"/>
    <m/>
    <n v="350"/>
    <n v="0"/>
    <n v="56157.568760152019"/>
  </r>
  <r>
    <d v="2025-11-21T00:00:00"/>
    <x v="4"/>
    <s v="IHLAMUR YAPRAK"/>
    <m/>
    <x v="1"/>
    <s v="ST00000000269"/>
    <s v="SATIŞ"/>
    <s v="NAKİT"/>
    <n v="0.05"/>
    <n v="2600"/>
    <n v="0"/>
    <n v="0"/>
    <n v="1"/>
    <m/>
    <n v="130"/>
    <m/>
    <n v="130"/>
    <n v="0"/>
    <n v="56287.568760152019"/>
  </r>
  <r>
    <d v="2025-11-21T00:00:00"/>
    <x v="4"/>
    <s v="NAHİTA DETOKS SİRKESİ 500 ML"/>
    <m/>
    <x v="1"/>
    <s v="ST00000000271"/>
    <s v="SATIŞ"/>
    <s v="NAKİT"/>
    <n v="1"/>
    <n v="150"/>
    <n v="0"/>
    <n v="0"/>
    <n v="1"/>
    <m/>
    <n v="150"/>
    <m/>
    <n v="150"/>
    <n v="0"/>
    <n v="56437.568760152019"/>
  </r>
  <r>
    <d v="2025-11-21T00:00:00"/>
    <x v="4"/>
    <s v="KETEN TOHUMU"/>
    <m/>
    <x v="1"/>
    <s v="ST00000000271"/>
    <s v="SATIŞ"/>
    <s v="NAKİT"/>
    <n v="0.1"/>
    <n v="200"/>
    <n v="0"/>
    <n v="0"/>
    <n v="1"/>
    <m/>
    <n v="20"/>
    <m/>
    <n v="20"/>
    <n v="0"/>
    <n v="56457.568760152019"/>
  </r>
  <r>
    <d v="2025-11-21T00:00:00"/>
    <x v="10"/>
    <m/>
    <m/>
    <x v="5"/>
    <m/>
    <s v="POS ÇÖZÜMÜ"/>
    <s v="POS"/>
    <n v="1"/>
    <n v="347.6"/>
    <n v="0"/>
    <n v="347.6"/>
    <m/>
    <m/>
    <m/>
    <m/>
    <n v="347.6"/>
    <n v="0"/>
    <n v="56805.168760152017"/>
  </r>
  <r>
    <d v="2025-11-22T00:00:00"/>
    <x v="4"/>
    <s v="AÇIK KAYISI İRİ (SARI)"/>
    <m/>
    <x v="5"/>
    <s v="ST00000000272"/>
    <s v="SATIŞ"/>
    <s v="POS"/>
    <n v="0.28599999999999998"/>
    <n v="750"/>
    <n v="214.49999999999997"/>
    <n v="0"/>
    <n v="0.28599999999999998"/>
    <m/>
    <n v="750"/>
    <m/>
    <n v="0"/>
    <n v="0"/>
    <n v="56805.168760152017"/>
  </r>
  <r>
    <d v="2025-11-22T00:00:00"/>
    <x v="4"/>
    <s v="YENİ MAHSÜL PAPATYA"/>
    <m/>
    <x v="5"/>
    <s v="ST00000000272"/>
    <s v="SATIŞ"/>
    <s v="POS"/>
    <n v="0.04"/>
    <n v="2250"/>
    <n v="90"/>
    <n v="0"/>
    <n v="1"/>
    <m/>
    <n v="90"/>
    <m/>
    <n v="0"/>
    <n v="0"/>
    <n v="56805.168760152017"/>
  </r>
  <r>
    <d v="2025-11-22T00:00:00"/>
    <x v="4"/>
    <s v="HASEVLİK"/>
    <m/>
    <x v="5"/>
    <s v="ST00000000272"/>
    <s v="SATIŞ"/>
    <s v="POS"/>
    <n v="8.5999999999999993E-2"/>
    <n v="420"/>
    <n v="36.119999999999997"/>
    <n v="0"/>
    <n v="8.5999999999999993E-2"/>
    <m/>
    <n v="420"/>
    <m/>
    <n v="0"/>
    <n v="0"/>
    <n v="56805.168760152017"/>
  </r>
  <r>
    <d v="2025-11-22T00:00:00"/>
    <x v="4"/>
    <s v="NBN 2,5 KG İNCİR"/>
    <m/>
    <x v="5"/>
    <s v="ST00000000272"/>
    <s v="SATIŞ"/>
    <s v="POS"/>
    <n v="0.27"/>
    <n v="600"/>
    <n v="162"/>
    <n v="0"/>
    <n v="0.27"/>
    <m/>
    <n v="600"/>
    <m/>
    <n v="0"/>
    <n v="0"/>
    <n v="56805.168760152017"/>
  </r>
  <r>
    <d v="2025-11-22T00:00:00"/>
    <x v="4"/>
    <s v="KARIŞIK KURUYEMİŞ"/>
    <m/>
    <x v="5"/>
    <s v="ST00000000272"/>
    <s v="SATIŞ"/>
    <s v="POS"/>
    <n v="0.23599999999999999"/>
    <n v="850"/>
    <n v="200.6"/>
    <n v="0"/>
    <n v="1"/>
    <m/>
    <n v="200"/>
    <m/>
    <n v="0"/>
    <n v="0"/>
    <n v="56805.168760152017"/>
  </r>
  <r>
    <d v="2025-11-22T00:00:00"/>
    <x v="4"/>
    <s v="DOLMALIK KURU PATLICAN"/>
    <m/>
    <x v="1"/>
    <s v="ST00000000273"/>
    <s v="SATIŞ"/>
    <s v="NAKİT"/>
    <n v="0.5"/>
    <n v="220"/>
    <n v="0"/>
    <n v="0"/>
    <n v="0.5"/>
    <m/>
    <n v="220"/>
    <m/>
    <n v="110"/>
    <n v="0"/>
    <n v="56915.168760152017"/>
  </r>
  <r>
    <d v="2025-11-22T00:00:00"/>
    <x v="4"/>
    <s v="DOLMALIK KURU ACI BİBER"/>
    <m/>
    <x v="1"/>
    <s v="ST00000000273"/>
    <s v="SATIŞ"/>
    <s v="NAKİT"/>
    <n v="0.5"/>
    <n v="200"/>
    <n v="0"/>
    <n v="0"/>
    <n v="0.5"/>
    <m/>
    <n v="200"/>
    <m/>
    <n v="100"/>
    <n v="0"/>
    <n v="57015.168760152017"/>
  </r>
  <r>
    <d v="2025-11-22T00:00:00"/>
    <x v="4"/>
    <s v="DOLMALIK KURU KABAK"/>
    <m/>
    <x v="1"/>
    <s v="ST00000000273"/>
    <s v="SATIŞ"/>
    <s v="NAKİT"/>
    <n v="0.5"/>
    <n v="240"/>
    <n v="0"/>
    <n v="0"/>
    <n v="0.5"/>
    <m/>
    <n v="240"/>
    <m/>
    <n v="120"/>
    <n v="0"/>
    <n v="57135.168760152017"/>
  </r>
  <r>
    <d v="2025-11-22T00:00:00"/>
    <x v="4"/>
    <s v="URBAN CARE EXPERT BİOTİN VE KAFEİN DÖKÜLME KARŞITI ŞAMPUAN&amp;TONİK SET-VEGAN"/>
    <m/>
    <x v="1"/>
    <s v="ST00000000274"/>
    <s v="SATIŞ"/>
    <s v="NAKİT"/>
    <n v="1"/>
    <n v="295"/>
    <n v="0"/>
    <n v="0"/>
    <n v="1"/>
    <m/>
    <n v="295"/>
    <m/>
    <n v="295"/>
    <n v="0"/>
    <n v="57430.168760152017"/>
  </r>
  <r>
    <d v="2025-11-22T00:00:00"/>
    <x v="4"/>
    <s v="BİOBLAS SAÇ DÖKÜLMESİNE KARŞI BİTKİSEL ŞAMPUAN 1000 ML - YEŞİL "/>
    <m/>
    <x v="1"/>
    <s v="ST00000000274"/>
    <s v="SATIŞ"/>
    <s v="NAKİT"/>
    <n v="1"/>
    <n v="230"/>
    <n v="0"/>
    <n v="0"/>
    <n v="1"/>
    <m/>
    <n v="230"/>
    <m/>
    <n v="230"/>
    <n v="0"/>
    <n v="57660.168760152017"/>
  </r>
  <r>
    <d v="2025-11-22T00:00:00"/>
    <x v="4"/>
    <s v="SEYİDOĞLU TAHİN 550 g"/>
    <m/>
    <x v="1"/>
    <s v="ST00000000274"/>
    <s v="SATIŞ"/>
    <s v="NAKİT"/>
    <n v="1"/>
    <n v="160"/>
    <n v="0"/>
    <n v="0"/>
    <n v="1"/>
    <m/>
    <n v="160"/>
    <m/>
    <n v="160"/>
    <n v="0"/>
    <n v="57820.168760152017"/>
  </r>
  <r>
    <d v="2025-11-22T00:00:00"/>
    <x v="4"/>
    <s v="YALÇINKAYA DOMATES SALÇASI"/>
    <m/>
    <x v="1"/>
    <s v="ST00000000274"/>
    <s v="SATIŞ"/>
    <s v="NAKİT"/>
    <n v="1.242"/>
    <n v="130"/>
    <n v="0"/>
    <n v="0"/>
    <n v="1.242"/>
    <m/>
    <n v="130"/>
    <m/>
    <n v="161.46"/>
    <n v="0"/>
    <n v="57981.628760152016"/>
  </r>
  <r>
    <d v="2025-11-22T00:00:00"/>
    <x v="4"/>
    <s v="AYÇEKİRDEĞİ DAKOTA TUZSUZ EKSTRA"/>
    <m/>
    <x v="1"/>
    <s v="ST00000000274"/>
    <s v="SATIŞ"/>
    <s v="NAKİT"/>
    <n v="0.26500000000000001"/>
    <n v="190"/>
    <n v="0"/>
    <n v="0"/>
    <n v="0.26500000000000001"/>
    <m/>
    <n v="190"/>
    <m/>
    <n v="50.35"/>
    <n v="0"/>
    <n v="58031.978760152015"/>
  </r>
  <r>
    <d v="2025-11-22T00:00:00"/>
    <x v="4"/>
    <s v="DENİZ VANİLYALI PİŞMANİYE"/>
    <m/>
    <x v="1"/>
    <s v="ST00000000274"/>
    <s v="SATIŞ"/>
    <s v="NAKİT"/>
    <n v="1"/>
    <n v="90"/>
    <n v="0"/>
    <n v="0"/>
    <n v="1"/>
    <m/>
    <n v="90"/>
    <m/>
    <n v="90"/>
    <n v="0"/>
    <n v="58121.978760152015"/>
  </r>
  <r>
    <d v="2025-11-22T00:00:00"/>
    <x v="4"/>
    <s v="KABUKLU CEVİZ (ŞİLİ)"/>
    <m/>
    <x v="5"/>
    <s v="ST00000000275"/>
    <s v="SATIŞ"/>
    <s v="POS"/>
    <n v="0.69"/>
    <n v="290"/>
    <n v="200.1"/>
    <n v="0"/>
    <n v="0.69"/>
    <m/>
    <n v="290"/>
    <m/>
    <n v="0"/>
    <n v="0"/>
    <n v="58121.978760152015"/>
  </r>
  <r>
    <d v="2025-11-22T00:00:00"/>
    <x v="4"/>
    <s v="SOSLU MISIR YERLİ"/>
    <m/>
    <x v="5"/>
    <s v="ST00000000275"/>
    <s v="SATIŞ"/>
    <s v="POS"/>
    <n v="0.2"/>
    <n v="150"/>
    <n v="30"/>
    <n v="0"/>
    <n v="0.2"/>
    <m/>
    <n v="150"/>
    <m/>
    <n v="0"/>
    <n v="0"/>
    <n v="58121.978760152015"/>
  </r>
  <r>
    <d v="2025-11-22T00:00:00"/>
    <x v="4"/>
    <s v="EVLİK BİBER"/>
    <m/>
    <x v="1"/>
    <s v="ST00000000276"/>
    <s v="SATIŞ"/>
    <s v="NAKİT"/>
    <n v="0.3"/>
    <n v="380"/>
    <n v="0"/>
    <n v="0"/>
    <n v="0.3"/>
    <m/>
    <n v="380"/>
    <m/>
    <n v="114"/>
    <n v="0"/>
    <n v="58235.978760152015"/>
  </r>
  <r>
    <d v="2025-11-22T00:00:00"/>
    <x v="4"/>
    <s v="SALÇA TATLI (EV YAPIMI)"/>
    <m/>
    <x v="1"/>
    <s v="ST00000000277"/>
    <s v="SATIŞ - ADM"/>
    <s v="NAKİT"/>
    <n v="1.1499999999999999"/>
    <n v="180"/>
    <n v="0"/>
    <n v="0"/>
    <n v="1.1499999999999999"/>
    <m/>
    <n v="180"/>
    <m/>
    <n v="206.99999999999997"/>
    <n v="0"/>
    <n v="58442.978760152015"/>
  </r>
  <r>
    <d v="2025-11-22T00:00:00"/>
    <x v="4"/>
    <s v="HASEVLİK"/>
    <m/>
    <x v="1"/>
    <s v="ST00000000277"/>
    <s v="SATIŞ - ADM"/>
    <s v="NAKİT"/>
    <n v="0.20499999999999999"/>
    <n v="420"/>
    <n v="0"/>
    <n v="0"/>
    <n v="0.20499999999999999"/>
    <m/>
    <n v="420"/>
    <m/>
    <n v="86.1"/>
    <n v="0"/>
    <n v="58529.078760152013"/>
  </r>
  <r>
    <d v="2025-11-22T00:00:00"/>
    <x v="4"/>
    <s v="LİMONSOSU 1 KG"/>
    <m/>
    <x v="1"/>
    <s v="ST00000000277"/>
    <s v="SATIŞ - ADM"/>
    <s v="NAKİT"/>
    <n v="1"/>
    <n v="80"/>
    <n v="0"/>
    <n v="0"/>
    <n v="1"/>
    <m/>
    <n v="80"/>
    <m/>
    <n v="80"/>
    <n v="0"/>
    <n v="58609.078760152013"/>
  </r>
  <r>
    <d v="2025-11-22T00:00:00"/>
    <x v="4"/>
    <s v="PATLAK MISIR"/>
    <m/>
    <x v="1"/>
    <s v="ST00000000277"/>
    <s v="SATIŞ - ADM"/>
    <s v="NAKİT"/>
    <n v="1.17"/>
    <n v="60"/>
    <n v="0"/>
    <n v="0"/>
    <n v="1.17"/>
    <m/>
    <n v="60"/>
    <m/>
    <n v="70.199999999999989"/>
    <n v="0"/>
    <n v="58679.27876015201"/>
  </r>
  <r>
    <d v="2025-11-22T00:00:00"/>
    <x v="4"/>
    <s v="ŞİFAVER DEFNE GARLI HATAY SABUNU"/>
    <m/>
    <x v="1"/>
    <s v="ST00000000277"/>
    <s v="SATIŞ - ADM"/>
    <s v="NAKİT"/>
    <n v="1"/>
    <n v="40"/>
    <n v="0"/>
    <n v="0"/>
    <n v="1"/>
    <m/>
    <n v="40"/>
    <m/>
    <n v="40"/>
    <n v="0"/>
    <n v="58719.27876015201"/>
  </r>
  <r>
    <d v="2025-11-22T00:00:00"/>
    <x v="4"/>
    <s v="KONTES HAMAM OTU - TÜY DÖKÜCÜ"/>
    <m/>
    <x v="1"/>
    <s v="ST00000000278"/>
    <s v="SATIŞ"/>
    <s v="NAKİT"/>
    <n v="1"/>
    <n v="15"/>
    <n v="0"/>
    <n v="0"/>
    <n v="1"/>
    <m/>
    <n v="15"/>
    <m/>
    <n v="15"/>
    <n v="0"/>
    <n v="58734.27876015201"/>
  </r>
  <r>
    <d v="2025-11-22T00:00:00"/>
    <x v="4"/>
    <s v="TÜDAB KIŞ ÇAYI 200 GR"/>
    <m/>
    <x v="5"/>
    <s v="ST00000000279"/>
    <s v="SATIŞ"/>
    <s v="POS"/>
    <n v="1"/>
    <n v="140"/>
    <n v="140"/>
    <n v="0"/>
    <n v="1"/>
    <m/>
    <n v="140"/>
    <m/>
    <n v="0"/>
    <n v="0"/>
    <n v="58734.27876015201"/>
  </r>
  <r>
    <d v="2025-11-22T00:00:00"/>
    <x v="4"/>
    <s v="KAYSERİ PAZARI ŞEKERSİZ 1000 ML - GİLABURU"/>
    <m/>
    <x v="1"/>
    <s v="ST00000000280"/>
    <s v="SATIŞ"/>
    <s v="NAKİT"/>
    <n v="2"/>
    <n v="225"/>
    <n v="0"/>
    <n v="0"/>
    <n v="2"/>
    <m/>
    <n v="225"/>
    <m/>
    <n v="450"/>
    <n v="0"/>
    <n v="59184.27876015201"/>
  </r>
  <r>
    <d v="2025-11-22T00:00:00"/>
    <x v="4"/>
    <s v="GÜLSUYU LÜKS"/>
    <m/>
    <x v="1"/>
    <s v="ST00000000281"/>
    <s v="SATIŞ"/>
    <s v="NAKİT"/>
    <n v="1"/>
    <n v="110"/>
    <n v="0"/>
    <n v="0"/>
    <n v="1"/>
    <m/>
    <n v="110"/>
    <m/>
    <n v="110"/>
    <n v="0"/>
    <n v="59294.27876015201"/>
  </r>
  <r>
    <d v="2025-11-22T00:00:00"/>
    <x v="4"/>
    <s v="YENİ MAHSÜL PAPATYA"/>
    <m/>
    <x v="1"/>
    <s v="ST00000000281"/>
    <s v="SATIŞ"/>
    <s v="NAKİT"/>
    <n v="0.04"/>
    <n v="2250"/>
    <n v="0"/>
    <n v="0"/>
    <n v="1"/>
    <m/>
    <n v="90"/>
    <m/>
    <n v="90"/>
    <n v="0"/>
    <n v="59384.27876015201"/>
  </r>
  <r>
    <d v="2025-11-22T00:00:00"/>
    <x v="4"/>
    <s v="YENİ MAHSÜL PAPATYA"/>
    <m/>
    <x v="1"/>
    <s v="ST00000000281"/>
    <s v="SATIŞ"/>
    <s v="NAKİT"/>
    <n v="0.04"/>
    <n v="1250"/>
    <n v="0"/>
    <n v="0"/>
    <n v="1"/>
    <m/>
    <n v="50"/>
    <m/>
    <n v="50"/>
    <n v="0"/>
    <n v="59434.27876015201"/>
  </r>
  <r>
    <d v="2025-11-22T00:00:00"/>
    <x v="4"/>
    <s v="KİMYON ÇEKİLMİŞ"/>
    <m/>
    <x v="1"/>
    <s v="ST00000000282"/>
    <s v="SATIŞ"/>
    <s v="NAKİT"/>
    <n v="0.51500000000000001"/>
    <n v="390"/>
    <n v="0"/>
    <n v="0"/>
    <n v="0.51500000000000001"/>
    <m/>
    <n v="390"/>
    <m/>
    <n v="200.85"/>
    <n v="0"/>
    <n v="59635.128760152009"/>
  </r>
  <r>
    <d v="2025-11-22T00:00:00"/>
    <x v="4"/>
    <s v="KINA RGS DÖKME"/>
    <m/>
    <x v="1"/>
    <s v="ST00000000283"/>
    <s v="SATIŞ"/>
    <s v="NAKİT"/>
    <n v="0.5"/>
    <n v="400"/>
    <n v="0"/>
    <n v="0"/>
    <n v="0.5"/>
    <m/>
    <n v="400"/>
    <m/>
    <n v="200"/>
    <n v="0"/>
    <n v="59835.128760152009"/>
  </r>
  <r>
    <d v="2025-11-22T00:00:00"/>
    <x v="4"/>
    <s v="KABUKLU CEVİZ (YERLİ)"/>
    <m/>
    <x v="1"/>
    <s v="ST00000000284"/>
    <s v="SATIŞ"/>
    <s v="NAKİT"/>
    <n v="2"/>
    <n v="290"/>
    <n v="0"/>
    <n v="0"/>
    <n v="2"/>
    <m/>
    <n v="290"/>
    <m/>
    <n v="580"/>
    <n v="0"/>
    <n v="60415.128760152009"/>
  </r>
  <r>
    <d v="2025-11-22T00:00:00"/>
    <x v="4"/>
    <s v="TÜDAB KEÇİ BOYNUZU (DÖKME)"/>
    <m/>
    <x v="1"/>
    <s v="ST00000000284"/>
    <s v="SATIŞ"/>
    <s v="NAKİT"/>
    <n v="0.43"/>
    <n v="350"/>
    <n v="0"/>
    <n v="0"/>
    <n v="0.43"/>
    <m/>
    <n v="350"/>
    <m/>
    <n v="150.5"/>
    <n v="0"/>
    <n v="60565.628760152009"/>
  </r>
  <r>
    <d v="2025-11-22T00:00:00"/>
    <x v="4"/>
    <s v="SUMAK"/>
    <m/>
    <x v="1"/>
    <s v="ST00000000285"/>
    <s v="SATIŞ"/>
    <s v="NAKİT"/>
    <n v="0.154"/>
    <n v="500"/>
    <n v="0"/>
    <n v="0"/>
    <n v="0.154"/>
    <m/>
    <n v="500"/>
    <m/>
    <n v="77"/>
    <n v="0"/>
    <n v="60642.628760152009"/>
  </r>
  <r>
    <d v="2025-11-22T00:00:00"/>
    <x v="4"/>
    <s v="KARABİBER ÇEKİLMİŞ"/>
    <m/>
    <x v="1"/>
    <s v="ST00000000285"/>
    <s v="SATIŞ"/>
    <s v="NAKİT"/>
    <n v="0.128"/>
    <n v="640"/>
    <n v="0"/>
    <n v="0"/>
    <n v="0.128"/>
    <m/>
    <n v="640"/>
    <m/>
    <n v="81.92"/>
    <n v="0"/>
    <n v="60724.548760152007"/>
  </r>
  <r>
    <d v="2025-11-22T00:00:00"/>
    <x v="4"/>
    <s v="KİMYON ÇEKİLMİŞ"/>
    <m/>
    <x v="1"/>
    <s v="ST00000000285"/>
    <s v="SATIŞ"/>
    <s v="NAKİT"/>
    <n v="0.11600000000000001"/>
    <n v="390"/>
    <n v="0"/>
    <n v="0"/>
    <n v="0.11600000000000001"/>
    <m/>
    <n v="390"/>
    <m/>
    <n v="45.24"/>
    <n v="0"/>
    <n v="60769.788760152005"/>
  </r>
  <r>
    <d v="2025-11-22T00:00:00"/>
    <x v="4"/>
    <s v="GÜNAYDIN KAYA TUZU İNCE"/>
    <m/>
    <x v="1"/>
    <s v="ST00000000285"/>
    <s v="SATIŞ"/>
    <s v="NAKİT"/>
    <n v="0.5"/>
    <n v="80"/>
    <n v="0"/>
    <n v="0"/>
    <n v="1"/>
    <m/>
    <n v="40"/>
    <m/>
    <n v="40"/>
    <n v="0"/>
    <n v="60809.788760152005"/>
  </r>
  <r>
    <d v="2025-11-22T00:00:00"/>
    <x v="4"/>
    <s v="LİMONTUZU PARCA"/>
    <m/>
    <x v="1"/>
    <s v="ST00000000285"/>
    <s v="SATIŞ"/>
    <s v="NAKİT"/>
    <n v="0.25"/>
    <n v="180"/>
    <n v="0"/>
    <n v="0"/>
    <n v="1"/>
    <m/>
    <n v="45"/>
    <m/>
    <n v="45"/>
    <n v="0"/>
    <n v="60854.788760152005"/>
  </r>
  <r>
    <d v="2025-11-22T00:00:00"/>
    <x v="4"/>
    <s v="DOLMALIK SARI BİBER"/>
    <m/>
    <x v="1"/>
    <s v="ST00000000285"/>
    <s v="SATIŞ"/>
    <s v="NAKİT"/>
    <n v="1"/>
    <n v="200"/>
    <n v="0"/>
    <n v="0"/>
    <n v="1"/>
    <m/>
    <n v="200"/>
    <m/>
    <n v="200"/>
    <n v="0"/>
    <n v="61054.788760152005"/>
  </r>
  <r>
    <d v="2025-11-22T00:00:00"/>
    <x v="4"/>
    <s v="DOLMALIK KURU KABAK"/>
    <m/>
    <x v="1"/>
    <s v="ST00000000285"/>
    <s v="SATIŞ"/>
    <s v="NAKİT"/>
    <n v="0.5"/>
    <n v="260"/>
    <n v="0"/>
    <n v="0"/>
    <n v="0.5"/>
    <m/>
    <n v="260"/>
    <m/>
    <n v="130"/>
    <n v="0"/>
    <n v="61184.788760152005"/>
  </r>
  <r>
    <d v="2025-11-22T00:00:00"/>
    <x v="4"/>
    <s v="KABUKLU CEVİZ (ŞİLİ)"/>
    <m/>
    <x v="1"/>
    <s v="ST00000000285"/>
    <s v="SATIŞ"/>
    <s v="NAKİT"/>
    <n v="0.5"/>
    <n v="290"/>
    <n v="0"/>
    <n v="0"/>
    <n v="0.5"/>
    <m/>
    <n v="290"/>
    <m/>
    <n v="145"/>
    <n v="0"/>
    <n v="61329.788760152005"/>
  </r>
  <r>
    <d v="2025-11-22T00:00:00"/>
    <x v="4"/>
    <s v="HAPPY LİFE NAR EKŞİSİ 250 ML"/>
    <m/>
    <x v="1"/>
    <s v="ST00000000285"/>
    <s v="SATIŞ"/>
    <s v="NAKİT"/>
    <n v="1"/>
    <n v="125"/>
    <n v="0"/>
    <n v="0"/>
    <n v="1"/>
    <m/>
    <n v="125"/>
    <m/>
    <n v="125"/>
    <n v="0"/>
    <n v="61454.788760152005"/>
  </r>
  <r>
    <d v="2025-11-22T00:00:00"/>
    <x v="4"/>
    <s v="YALÇINKAYA DOMATES SALÇASI"/>
    <m/>
    <x v="1"/>
    <s v="ST00000000285"/>
    <s v="SATIŞ"/>
    <s v="NAKİT"/>
    <n v="1"/>
    <n v="130"/>
    <n v="0"/>
    <n v="0"/>
    <n v="1"/>
    <m/>
    <n v="130"/>
    <m/>
    <n v="130"/>
    <n v="0"/>
    <n v="61584.788760152005"/>
  </r>
  <r>
    <d v="2025-11-22T00:00:00"/>
    <x v="4"/>
    <s v="SEYHAN ÜZÜM ÖZEL"/>
    <m/>
    <x v="1"/>
    <s v="ST00000000285"/>
    <s v="SATIŞ"/>
    <s v="NAKİT"/>
    <n v="0.34799999999999998"/>
    <n v="650"/>
    <n v="0"/>
    <n v="0"/>
    <n v="0.34799999999999998"/>
    <m/>
    <n v="650"/>
    <m/>
    <n v="226.2"/>
    <n v="0"/>
    <n v="61810.988760152002"/>
  </r>
  <r>
    <d v="2025-11-22T00:00:00"/>
    <x v="4"/>
    <s v="CEVİZLİ SUCUK ATOM (ESMER)"/>
    <m/>
    <x v="1"/>
    <s v="ST00000000285"/>
    <s v="SATIŞ"/>
    <s v="NAKİT"/>
    <n v="0.44"/>
    <n v="340"/>
    <n v="0"/>
    <n v="0"/>
    <n v="0.44"/>
    <m/>
    <n v="340"/>
    <m/>
    <n v="149.6"/>
    <n v="0"/>
    <n v="61960.588760152001"/>
  </r>
  <r>
    <d v="2025-11-22T00:00:00"/>
    <x v="4"/>
    <s v="TÜRK KAHVESİ"/>
    <m/>
    <x v="1"/>
    <s v="ST00000000285"/>
    <s v="SATIŞ"/>
    <s v="NAKİT"/>
    <n v="0.1"/>
    <n v="650"/>
    <n v="0"/>
    <n v="0"/>
    <n v="1"/>
    <m/>
    <n v="65"/>
    <m/>
    <n v="65"/>
    <n v="0"/>
    <n v="62025.588760152001"/>
  </r>
  <r>
    <d v="2025-11-22T00:00:00"/>
    <x v="4"/>
    <s v="DUT KURUSU LÜX ELAZIĞ"/>
    <m/>
    <x v="1"/>
    <s v="ST00000000285"/>
    <s v="SATIŞ"/>
    <s v="NAKİT"/>
    <n v="0.12"/>
    <n v="800"/>
    <n v="0"/>
    <n v="0"/>
    <n v="0.12"/>
    <m/>
    <n v="800"/>
    <m/>
    <n v="96"/>
    <n v="0"/>
    <n v="62121.588760152001"/>
  </r>
  <r>
    <d v="2025-11-22T00:00:00"/>
    <x v="10"/>
    <m/>
    <m/>
    <x v="5"/>
    <m/>
    <s v="POS ÇÖZÜMÜ"/>
    <s v="POS"/>
    <n v="1"/>
    <n v="1915"/>
    <n v="0"/>
    <n v="1915"/>
    <m/>
    <m/>
    <m/>
    <m/>
    <n v="1915"/>
    <n v="0"/>
    <n v="64036.588760152001"/>
  </r>
  <r>
    <d v="2025-11-23T00:00:00"/>
    <x v="4"/>
    <s v="TÜDAB KARIŞIK TURŞU"/>
    <m/>
    <x v="5"/>
    <s v="ST00000000286"/>
    <s v="SATIŞ"/>
    <s v="POS"/>
    <n v="1"/>
    <n v="400"/>
    <n v="400"/>
    <n v="0"/>
    <n v="1"/>
    <m/>
    <n v="400"/>
    <m/>
    <n v="0"/>
    <n v="0"/>
    <n v="64036.588760152001"/>
  </r>
  <r>
    <d v="2025-11-23T00:00:00"/>
    <x v="4"/>
    <s v="KARNIYARIK TOHUMU"/>
    <m/>
    <x v="1"/>
    <s v="ST00000000287"/>
    <s v="SATIŞ"/>
    <s v="NAKİT"/>
    <n v="0.112"/>
    <n v="900"/>
    <n v="0"/>
    <n v="0"/>
    <m/>
    <m/>
    <m/>
    <m/>
    <n v="100.8"/>
    <n v="0"/>
    <n v="64137.388760152004"/>
  </r>
  <r>
    <d v="2025-11-23T00:00:00"/>
    <x v="4"/>
    <s v="ZERDEÇAL TOZ"/>
    <m/>
    <x v="1"/>
    <s v="ST00000000287"/>
    <s v="SATIŞ"/>
    <s v="NAKİT"/>
    <n v="0.12"/>
    <n v="250"/>
    <n v="0"/>
    <n v="0"/>
    <m/>
    <m/>
    <m/>
    <m/>
    <n v="30"/>
    <n v="0"/>
    <n v="64167.388760152004"/>
  </r>
  <r>
    <d v="2025-11-23T00:00:00"/>
    <x v="4"/>
    <s v="DOLMALIK SARI BİBER"/>
    <m/>
    <x v="5"/>
    <s v="ST00000000288"/>
    <s v="SATIŞ"/>
    <s v="POS"/>
    <n v="1"/>
    <n v="200"/>
    <n v="200"/>
    <n v="0"/>
    <m/>
    <m/>
    <m/>
    <m/>
    <n v="0"/>
    <n v="0"/>
    <n v="64167.388760152004"/>
  </r>
  <r>
    <d v="2025-11-23T00:00:00"/>
    <x v="4"/>
    <s v="DOLMALIK KURU PATLICAN"/>
    <m/>
    <x v="5"/>
    <s v="ST00000000288"/>
    <s v="SATIŞ"/>
    <s v="POS"/>
    <n v="1"/>
    <n v="240"/>
    <n v="240"/>
    <n v="0"/>
    <m/>
    <m/>
    <m/>
    <m/>
    <n v="0"/>
    <n v="0"/>
    <n v="64167.388760152004"/>
  </r>
  <r>
    <d v="2025-11-23T00:00:00"/>
    <x v="4"/>
    <s v="ÇUBUK TARÇIN"/>
    <m/>
    <x v="5"/>
    <s v="ST00000000288"/>
    <s v="SATIŞ"/>
    <s v="POS"/>
    <n v="0.1"/>
    <n v="650"/>
    <n v="65"/>
    <n v="0"/>
    <m/>
    <m/>
    <m/>
    <m/>
    <n v="0"/>
    <n v="0"/>
    <n v="64167.388760152004"/>
  </r>
  <r>
    <d v="2025-11-23T00:00:00"/>
    <x v="4"/>
    <s v="KONTES HAMAM OTU - TÜY DÖKÜCÜ"/>
    <m/>
    <x v="1"/>
    <s v="ST00000000289"/>
    <s v="SATIŞ"/>
    <s v="NAKİT"/>
    <n v="2"/>
    <n v="15"/>
    <n v="0"/>
    <n v="0"/>
    <m/>
    <m/>
    <m/>
    <m/>
    <n v="30"/>
    <n v="0"/>
    <n v="64197.388760152004"/>
  </r>
  <r>
    <d v="2025-11-23T00:00:00"/>
    <x v="4"/>
    <s v="AÇIK KAYISI İRİ (SARI)"/>
    <m/>
    <x v="1"/>
    <s v="ST00000000289"/>
    <s v="SATIŞ"/>
    <s v="NAKİT"/>
    <n v="7.0000000000000007E-2"/>
    <n v="750"/>
    <n v="0"/>
    <n v="0"/>
    <m/>
    <m/>
    <m/>
    <m/>
    <n v="52.500000000000007"/>
    <n v="0"/>
    <n v="64249.888760152004"/>
  </r>
  <r>
    <d v="2025-11-23T00:00:00"/>
    <x v="4"/>
    <s v="TÜDAB KARIŞIK TURŞU"/>
    <m/>
    <x v="5"/>
    <s v="ST00000000290"/>
    <s v="SATIŞ"/>
    <s v="POS"/>
    <n v="1"/>
    <n v="400"/>
    <n v="400"/>
    <n v="0"/>
    <m/>
    <m/>
    <m/>
    <m/>
    <n v="0"/>
    <n v="0"/>
    <n v="64249.888760152004"/>
  </r>
  <r>
    <d v="2025-11-23T00:00:00"/>
    <x v="4"/>
    <s v="KETEN TOHUMU"/>
    <m/>
    <x v="5"/>
    <s v="ST00000000290"/>
    <s v="SATIŞ"/>
    <s v="POS"/>
    <n v="0.1"/>
    <n v="200"/>
    <n v="20"/>
    <n v="0"/>
    <m/>
    <m/>
    <m/>
    <m/>
    <n v="0"/>
    <n v="0"/>
    <n v="64249.888760152004"/>
  </r>
  <r>
    <d v="2025-11-23T00:00:00"/>
    <x v="4"/>
    <s v="TÜDAB HARNUP PEKMEZİ 800 GR (KEÇİBOYNUZU)"/>
    <m/>
    <x v="5"/>
    <s v="ST00000000290"/>
    <s v="SATIŞ"/>
    <s v="POS"/>
    <n v="1"/>
    <n v="180"/>
    <n v="180"/>
    <n v="0"/>
    <m/>
    <m/>
    <m/>
    <m/>
    <n v="0"/>
    <n v="0"/>
    <n v="64249.888760152004"/>
  </r>
  <r>
    <d v="2025-11-23T00:00:00"/>
    <x v="4"/>
    <s v="NAHİTA ELMA SİRKESİ 500 ML"/>
    <m/>
    <x v="5"/>
    <s v="ST00000000290"/>
    <s v="SATIŞ"/>
    <s v="POS"/>
    <n v="1"/>
    <n v="140"/>
    <n v="140"/>
    <n v="0"/>
    <m/>
    <m/>
    <m/>
    <m/>
    <n v="0"/>
    <n v="0"/>
    <n v="64249.888760152004"/>
  </r>
  <r>
    <d v="2025-11-23T00:00:00"/>
    <x v="4"/>
    <s v="NBN DAĞ İNCİRİ"/>
    <m/>
    <x v="1"/>
    <s v="ST00000000291"/>
    <s v="SATIŞ"/>
    <s v="NAKİT"/>
    <n v="0.215"/>
    <n v="700"/>
    <n v="0"/>
    <n v="0"/>
    <m/>
    <m/>
    <m/>
    <m/>
    <n v="150.5"/>
    <n v="0"/>
    <n v="64400.388760152004"/>
  </r>
  <r>
    <d v="2025-11-23T00:00:00"/>
    <x v="4"/>
    <s v="KARABİBER ÇEKİLMİŞ"/>
    <m/>
    <x v="1"/>
    <s v="ST00000000292"/>
    <s v="SATIŞ"/>
    <s v="NAKİT"/>
    <n v="0.157"/>
    <n v="640"/>
    <n v="0"/>
    <n v="0"/>
    <m/>
    <m/>
    <m/>
    <m/>
    <n v="100.48"/>
    <n v="0"/>
    <n v="64500.868760152007"/>
  </r>
  <r>
    <d v="2025-11-23T00:00:00"/>
    <x v="4"/>
    <s v="İRİ KABAK ÇEKİRDEĞİ TUZSUZ (KAVRULMUŞ)"/>
    <m/>
    <x v="1"/>
    <s v="ST00000000292"/>
    <s v="SATIŞ"/>
    <s v="NAKİT"/>
    <n v="0.28000000000000003"/>
    <n v="360"/>
    <n v="0"/>
    <n v="0"/>
    <m/>
    <m/>
    <m/>
    <m/>
    <n v="100.80000000000001"/>
    <n v="0"/>
    <n v="64601.66876015201"/>
  </r>
  <r>
    <d v="2025-11-23T00:00:00"/>
    <x v="4"/>
    <s v="CEVİZLİ SUCUK ATOM (ESMER)"/>
    <m/>
    <x v="1"/>
    <s v="ST00000000292"/>
    <s v="SATIŞ"/>
    <s v="NAKİT"/>
    <n v="0.45800000000000002"/>
    <n v="340"/>
    <n v="0"/>
    <n v="0"/>
    <m/>
    <m/>
    <m/>
    <m/>
    <n v="155.72"/>
    <n v="0"/>
    <n v="64757.388760152011"/>
  </r>
  <r>
    <d v="2025-11-23T00:00:00"/>
    <x v="4"/>
    <s v="DEFNE YAPRAĞI"/>
    <m/>
    <x v="1"/>
    <s v="ST00000000293"/>
    <s v="SATIŞ"/>
    <s v="NAKİT"/>
    <n v="0.05"/>
    <n v="1400"/>
    <n v="0"/>
    <n v="0"/>
    <m/>
    <m/>
    <m/>
    <m/>
    <n v="70"/>
    <n v="0"/>
    <n v="64827.388760152011"/>
  </r>
  <r>
    <d v="2025-11-23T00:00:00"/>
    <x v="4"/>
    <s v="KARIŞIK KURUYEMİŞ"/>
    <m/>
    <x v="1"/>
    <s v="ST00000000294"/>
    <s v="SATIŞ"/>
    <s v="NAKİT"/>
    <n v="0.23599999999999999"/>
    <n v="850"/>
    <n v="0"/>
    <n v="0"/>
    <m/>
    <m/>
    <m/>
    <m/>
    <n v="200.6"/>
    <n v="0"/>
    <n v="65027.988760152009"/>
  </r>
  <r>
    <d v="2025-11-23T00:00:00"/>
    <x v="4"/>
    <s v="TUZLU FISTIK DUBLE"/>
    <m/>
    <x v="1"/>
    <s v="ST00000000294"/>
    <s v="SATIŞ"/>
    <s v="NAKİT"/>
    <n v="0.26"/>
    <n v="195"/>
    <n v="0"/>
    <n v="0"/>
    <m/>
    <m/>
    <m/>
    <m/>
    <n v="50.7"/>
    <n v="0"/>
    <n v="65078.688760152007"/>
  </r>
  <r>
    <d v="2025-11-23T00:00:00"/>
    <x v="4"/>
    <s v="CEVİZLİ SUCUK ATOM (ESMER)"/>
    <m/>
    <x v="1"/>
    <s v="ST00000000294"/>
    <s v="SATIŞ"/>
    <s v="NAKİT"/>
    <n v="0.439"/>
    <n v="340"/>
    <n v="0"/>
    <n v="0"/>
    <m/>
    <m/>
    <m/>
    <m/>
    <n v="149.26"/>
    <n v="0"/>
    <n v="65227.948760152009"/>
  </r>
  <r>
    <d v="2025-11-23T00:00:00"/>
    <x v="4"/>
    <s v="SOSLU MISIR YERLİ"/>
    <m/>
    <x v="1"/>
    <s v="ST00000000294"/>
    <s v="SATIŞ"/>
    <s v="NAKİT"/>
    <n v="0.27500000000000002"/>
    <n v="150"/>
    <n v="0"/>
    <n v="0"/>
    <m/>
    <m/>
    <m/>
    <m/>
    <n v="41.25"/>
    <n v="0"/>
    <n v="65269.198760152009"/>
  </r>
  <r>
    <d v="2025-11-23T00:00:00"/>
    <x v="4"/>
    <s v="HASEVLİK"/>
    <m/>
    <x v="1"/>
    <s v="ST00000000295"/>
    <s v="SATIŞ"/>
    <s v="NAKİT"/>
    <n v="0.24"/>
    <n v="420"/>
    <n v="0"/>
    <n v="0"/>
    <m/>
    <m/>
    <m/>
    <m/>
    <n v="100.8"/>
    <n v="0"/>
    <n v="65369.998760152012"/>
  </r>
  <r>
    <d v="2025-11-23T00:00:00"/>
    <x v="4"/>
    <s v="İSOT"/>
    <m/>
    <x v="1"/>
    <s v="ST00000000295"/>
    <s v="SATIŞ"/>
    <s v="NAKİT"/>
    <n v="0.26500000000000001"/>
    <n v="380"/>
    <n v="0"/>
    <n v="0"/>
    <m/>
    <m/>
    <m/>
    <m/>
    <n v="100.7"/>
    <n v="0"/>
    <n v="65470.698760152009"/>
  </r>
  <r>
    <d v="2025-11-23T00:00:00"/>
    <x v="4"/>
    <s v="IHLAMUR YAPRAK"/>
    <m/>
    <x v="1"/>
    <s v="ST00000000295"/>
    <s v="SATIŞ"/>
    <s v="NAKİT"/>
    <n v="0.05"/>
    <n v="2600"/>
    <n v="0"/>
    <n v="0"/>
    <m/>
    <m/>
    <m/>
    <m/>
    <n v="130"/>
    <n v="0"/>
    <n v="65600.698760152009"/>
  </r>
  <r>
    <d v="2025-11-23T00:00:00"/>
    <x v="4"/>
    <s v="DOLMALIK KURU ACI BİBER"/>
    <m/>
    <x v="1"/>
    <s v="ST00000000295"/>
    <s v="SATIŞ"/>
    <s v="NAKİT"/>
    <n v="1"/>
    <n v="200"/>
    <n v="0"/>
    <n v="0"/>
    <m/>
    <m/>
    <m/>
    <m/>
    <n v="200"/>
    <n v="0"/>
    <n v="65800.698760152009"/>
  </r>
  <r>
    <d v="2025-11-23T00:00:00"/>
    <x v="4"/>
    <s v="İRİ BEYAZ KABAK ÇEKİRDEĞİ - NEVŞEHİR"/>
    <m/>
    <x v="1"/>
    <s v="ST00000000296"/>
    <s v="SATIŞ"/>
    <s v="NAKİT"/>
    <n v="0.28000000000000003"/>
    <n v="360"/>
    <n v="0"/>
    <n v="0"/>
    <m/>
    <m/>
    <m/>
    <m/>
    <n v="100.80000000000001"/>
    <n v="0"/>
    <n v="65901.498760152012"/>
  </r>
  <r>
    <d v="2025-11-23T00:00:00"/>
    <x v="10"/>
    <m/>
    <m/>
    <x v="5"/>
    <m/>
    <s v="POS ÇÖZÜMÜ"/>
    <s v="POS"/>
    <n v="1"/>
    <n v="580"/>
    <n v="0"/>
    <n v="580"/>
    <m/>
    <m/>
    <m/>
    <m/>
    <n v="580"/>
    <n v="0"/>
    <n v="66481.498760152012"/>
  </r>
  <r>
    <d v="2025-11-23T00:00:00"/>
    <x v="10"/>
    <m/>
    <m/>
    <x v="5"/>
    <m/>
    <s v="POS ÇÖZÜMÜ"/>
    <s v="POS"/>
    <n v="1"/>
    <n v="400"/>
    <n v="0"/>
    <n v="400"/>
    <m/>
    <m/>
    <m/>
    <m/>
    <n v="400"/>
    <n v="0"/>
    <n v="66881.498760152012"/>
  </r>
  <r>
    <d v="2025-11-24T00:00:00"/>
    <x v="1"/>
    <m/>
    <s v="AMBALAJ GİDERLERİ"/>
    <x v="2"/>
    <s v="AFA2025000001958"/>
    <s v="AFİLİ AMBALAJ - AMBALAJ GİDERİ"/>
    <s v="K.K."/>
    <n v="1"/>
    <n v="3138"/>
    <n v="0"/>
    <n v="3138"/>
    <m/>
    <m/>
    <m/>
    <m/>
    <n v="0"/>
    <n v="0"/>
    <n v="66881.498760152012"/>
  </r>
  <r>
    <d v="2025-11-24T00:00:00"/>
    <x v="6"/>
    <s v="CİVAN PERÇEMİ"/>
    <m/>
    <x v="4"/>
    <s v="FT00000000057"/>
    <s v="TÜDAB A.Ş."/>
    <s v="CARİ"/>
    <n v="1"/>
    <n v="295"/>
    <n v="295"/>
    <n v="0"/>
    <m/>
    <m/>
    <m/>
    <m/>
    <n v="0"/>
    <n v="0"/>
    <n v="66881.498760152012"/>
  </r>
  <r>
    <d v="2025-11-24T00:00:00"/>
    <x v="6"/>
    <s v="MEDİNE HURMA DUBLE"/>
    <m/>
    <x v="4"/>
    <s v="FT00000000057"/>
    <s v="TÜDAB A.Ş."/>
    <s v="CARİ"/>
    <n v="3.37"/>
    <n v="470"/>
    <n v="1583.4"/>
    <n v="0"/>
    <m/>
    <m/>
    <m/>
    <m/>
    <n v="0"/>
    <n v="0"/>
    <n v="66881.498760152012"/>
  </r>
  <r>
    <d v="2025-11-24T00:00:00"/>
    <x v="3"/>
    <s v="BALTEK PROPOLİS EKSTRESİ 35 ML"/>
    <m/>
    <x v="4"/>
    <s v="FT00000000057"/>
    <s v="TÜDAB A.Ş."/>
    <s v="CARİ"/>
    <n v="2"/>
    <n v="95"/>
    <n v="0"/>
    <n v="190"/>
    <m/>
    <m/>
    <m/>
    <m/>
    <n v="0"/>
    <n v="0"/>
    <n v="66881.498760152012"/>
  </r>
  <r>
    <d v="2025-11-24T00:00:00"/>
    <x v="3"/>
    <s v="KAYSERİ PAZARI ŞEKERSİZ 1000 ML - GİLABURU"/>
    <m/>
    <x v="4"/>
    <s v="FT00000000057"/>
    <s v="TÜDAB A.Ş."/>
    <s v="CARİ"/>
    <n v="10"/>
    <n v="125"/>
    <n v="0"/>
    <n v="1250"/>
    <m/>
    <m/>
    <m/>
    <m/>
    <n v="0"/>
    <n v="0"/>
    <n v="66881.498760152012"/>
  </r>
  <r>
    <d v="2025-11-24T00:00:00"/>
    <x v="3"/>
    <s v="PATLAK MISIR"/>
    <m/>
    <x v="4"/>
    <s v="FT00000000057"/>
    <s v="TÜDAB A.Ş."/>
    <s v="CARİ"/>
    <n v="10"/>
    <n v="33"/>
    <n v="0"/>
    <n v="330"/>
    <m/>
    <m/>
    <m/>
    <m/>
    <n v="0"/>
    <n v="0"/>
    <n v="66881.498760152012"/>
  </r>
  <r>
    <d v="2025-11-24T00:00:00"/>
    <x v="3"/>
    <s v="TÜDAB KIŞ ÇAYI 200 GR"/>
    <m/>
    <x v="4"/>
    <s v="FT00000000057"/>
    <s v="TÜDAB A.Ş."/>
    <s v="CARİ"/>
    <n v="20"/>
    <n v="48"/>
    <n v="0"/>
    <n v="960"/>
    <m/>
    <m/>
    <m/>
    <m/>
    <n v="0"/>
    <n v="0"/>
    <n v="66881.498760152012"/>
  </r>
  <r>
    <d v="2025-11-24T00:00:00"/>
    <x v="3"/>
    <s v="TÜDAB ZEYTİNYAĞLI KUDRET NARI"/>
    <m/>
    <x v="4"/>
    <s v="FT00000000057"/>
    <s v="TÜDAB A.Ş."/>
    <s v="CARİ"/>
    <n v="6"/>
    <n v="275"/>
    <n v="0"/>
    <n v="1650"/>
    <m/>
    <m/>
    <m/>
    <m/>
    <n v="0"/>
    <n v="0"/>
    <n v="66881.498760152012"/>
  </r>
  <r>
    <d v="2025-11-24T00:00:00"/>
    <x v="3"/>
    <s v="İĞDE ÇEKİRDEĞİ TOZU"/>
    <m/>
    <x v="4"/>
    <s v="FT00000000057"/>
    <s v="TÜDAB A.Ş."/>
    <s v="CARİ"/>
    <n v="1"/>
    <n v="160"/>
    <n v="0"/>
    <n v="160"/>
    <m/>
    <m/>
    <m/>
    <m/>
    <n v="0"/>
    <n v="0"/>
    <n v="66881.498760152012"/>
  </r>
  <r>
    <d v="2025-11-24T00:00:00"/>
    <x v="3"/>
    <s v="BUĞDAY NİŞASTASI"/>
    <m/>
    <x v="4"/>
    <s v="FT00000000057"/>
    <s v="TÜDAB A.Ş."/>
    <s v="CARİ"/>
    <n v="10"/>
    <n v="63"/>
    <n v="0"/>
    <n v="630"/>
    <m/>
    <m/>
    <m/>
    <m/>
    <n v="0"/>
    <n v="0"/>
    <n v="66881.498760152012"/>
  </r>
  <r>
    <d v="2025-11-24T00:00:00"/>
    <x v="4"/>
    <s v="DOLMALIK SARI BİBER"/>
    <m/>
    <x v="5"/>
    <s v="ST00000000297"/>
    <s v="SATIŞ"/>
    <s v="POS"/>
    <n v="1"/>
    <n v="200"/>
    <n v="200"/>
    <n v="0"/>
    <m/>
    <m/>
    <m/>
    <m/>
    <n v="0"/>
    <n v="0"/>
    <n v="66881.498760152012"/>
  </r>
  <r>
    <d v="2025-11-24T00:00:00"/>
    <x v="4"/>
    <s v="DOLMALIK KURU PATLICAN"/>
    <m/>
    <x v="5"/>
    <s v="ST00000000297"/>
    <s v="SATIŞ"/>
    <s v="POS"/>
    <n v="1"/>
    <n v="240"/>
    <n v="240"/>
    <n v="0"/>
    <m/>
    <m/>
    <m/>
    <m/>
    <n v="0"/>
    <n v="0"/>
    <n v="66881.498760152012"/>
  </r>
  <r>
    <d v="2025-11-24T00:00:00"/>
    <x v="4"/>
    <s v="YEŞİL ÇAY YAPRAK"/>
    <m/>
    <x v="1"/>
    <s v="ST00000000298"/>
    <s v="SATIŞ"/>
    <s v="NAKİT"/>
    <n v="0.1"/>
    <n v="1350"/>
    <n v="0"/>
    <n v="0"/>
    <m/>
    <m/>
    <m/>
    <m/>
    <n v="135"/>
    <n v="0"/>
    <n v="67016.498760152012"/>
  </r>
  <r>
    <d v="2025-11-24T00:00:00"/>
    <x v="4"/>
    <s v="CEVİZLİ SUCUK ATOM (ESMER)"/>
    <m/>
    <x v="1"/>
    <s v="ST00000000298"/>
    <s v="SATIŞ"/>
    <s v="NAKİT"/>
    <n v="0.40600000000000003"/>
    <n v="340"/>
    <n v="0"/>
    <n v="0"/>
    <m/>
    <m/>
    <m/>
    <m/>
    <n v="138.04000000000002"/>
    <n v="0"/>
    <n v="67154.538760152005"/>
  </r>
  <r>
    <d v="2025-11-24T00:00:00"/>
    <x v="4"/>
    <s v="ZÜHRE ANA L-CARNİTİNE DESTEKLİ FORM MACUNU - 240 GR"/>
    <m/>
    <x v="1"/>
    <s v="ST00000000298"/>
    <s v="SATIŞ"/>
    <s v="NAKİT"/>
    <n v="1"/>
    <n v="220"/>
    <n v="0"/>
    <n v="0"/>
    <m/>
    <m/>
    <m/>
    <m/>
    <n v="220"/>
    <n v="0"/>
    <n v="67374.538760152005"/>
  </r>
  <r>
    <d v="2025-11-24T00:00:00"/>
    <x v="4"/>
    <s v="DOLMALIK KURU PATLICAN"/>
    <m/>
    <x v="5"/>
    <s v="ST00000000299"/>
    <s v="SATIŞ"/>
    <s v="POS"/>
    <n v="1"/>
    <n v="240"/>
    <n v="240"/>
    <n v="0"/>
    <m/>
    <m/>
    <m/>
    <m/>
    <n v="0"/>
    <n v="0"/>
    <n v="67374.538760152005"/>
  </r>
  <r>
    <d v="2025-11-24T00:00:00"/>
    <x v="4"/>
    <s v="NBN DAĞ İNCİRİ"/>
    <m/>
    <x v="5"/>
    <s v="ST00000000300"/>
    <s v="SATIŞ"/>
    <s v="POS"/>
    <n v="0.26200000000000001"/>
    <n v="700"/>
    <n v="183.4"/>
    <n v="0"/>
    <m/>
    <m/>
    <m/>
    <m/>
    <n v="0"/>
    <n v="0"/>
    <n v="67374.538760152005"/>
  </r>
  <r>
    <d v="2025-11-24T00:00:00"/>
    <x v="4"/>
    <s v="AÇIK KAYISI İRİ (SARI)"/>
    <m/>
    <x v="5"/>
    <s v="ST00000000300"/>
    <s v="SATIŞ"/>
    <s v="POS"/>
    <n v="0.25800000000000001"/>
    <n v="750"/>
    <n v="193.5"/>
    <n v="0"/>
    <m/>
    <m/>
    <m/>
    <m/>
    <n v="0"/>
    <n v="0"/>
    <n v="67374.538760152005"/>
  </r>
  <r>
    <d v="2025-11-24T00:00:00"/>
    <x v="4"/>
    <s v="ÇÖREKOTU YAĞI 50 CC"/>
    <m/>
    <x v="5"/>
    <s v="ST00000000300"/>
    <s v="SATIŞ"/>
    <s v="POS"/>
    <n v="1"/>
    <n v="130"/>
    <n v="130"/>
    <n v="0"/>
    <m/>
    <m/>
    <m/>
    <m/>
    <n v="0"/>
    <n v="0"/>
    <n v="67374.538760152005"/>
  </r>
  <r>
    <d v="2025-11-24T00:00:00"/>
    <x v="4"/>
    <s v="BİBERİYE YAĞI 10 CC"/>
    <m/>
    <x v="5"/>
    <s v="ST00000000300"/>
    <s v="SATIŞ"/>
    <s v="POS"/>
    <n v="1"/>
    <n v="145"/>
    <n v="145"/>
    <n v="0"/>
    <m/>
    <m/>
    <m/>
    <m/>
    <n v="0"/>
    <n v="0"/>
    <n v="67374.538760152005"/>
  </r>
  <r>
    <d v="2025-11-24T00:00:00"/>
    <x v="4"/>
    <s v="FINDIK BULACAK (13-15)"/>
    <m/>
    <x v="5"/>
    <s v="ST00000000300"/>
    <s v="SATIŞ"/>
    <s v="POS"/>
    <n v="0.5"/>
    <n v="1200"/>
    <n v="600"/>
    <n v="0"/>
    <m/>
    <m/>
    <m/>
    <m/>
    <n v="0"/>
    <n v="0"/>
    <n v="67374.538760152005"/>
  </r>
  <r>
    <d v="2025-11-24T00:00:00"/>
    <x v="4"/>
    <s v="KARIŞIK KURUYEMİŞ"/>
    <m/>
    <x v="5"/>
    <s v="ST00000000300"/>
    <s v="SATIŞ"/>
    <s v="POS"/>
    <n v="0.47199999999999998"/>
    <n v="850"/>
    <n v="400"/>
    <n v="0"/>
    <m/>
    <m/>
    <m/>
    <m/>
    <n v="0"/>
    <n v="0"/>
    <n v="67374.538760152005"/>
  </r>
  <r>
    <d v="2025-11-24T00:00:00"/>
    <x v="4"/>
    <s v="KAJU - TB"/>
    <m/>
    <x v="5"/>
    <s v="ST00000000300"/>
    <s v="SATIŞ"/>
    <s v="POS"/>
    <n v="0.30769999999999997"/>
    <n v="650"/>
    <n v="200.005"/>
    <n v="0"/>
    <m/>
    <m/>
    <m/>
    <m/>
    <n v="0"/>
    <n v="0"/>
    <n v="67374.538760152005"/>
  </r>
  <r>
    <d v="2025-11-24T00:00:00"/>
    <x v="4"/>
    <s v="TUZLU FISTIK DUBLE"/>
    <m/>
    <x v="5"/>
    <s v="ST00000000300"/>
    <s v="SATIŞ"/>
    <s v="POS"/>
    <n v="0.26"/>
    <n v="195"/>
    <n v="50"/>
    <n v="0"/>
    <m/>
    <m/>
    <m/>
    <m/>
    <n v="0"/>
    <n v="0"/>
    <n v="67374.538760152005"/>
  </r>
  <r>
    <d v="2025-11-24T00:00:00"/>
    <x v="4"/>
    <s v="TUZLU FISTIK DUBLE"/>
    <m/>
    <x v="5"/>
    <s v="ST00000000301"/>
    <s v="SATIŞ"/>
    <s v="POS"/>
    <n v="0.51300000000000001"/>
    <n v="195"/>
    <n v="100.035"/>
    <n v="0"/>
    <m/>
    <m/>
    <m/>
    <m/>
    <n v="0"/>
    <n v="0"/>
    <n v="67374.538760152005"/>
  </r>
  <r>
    <d v="2025-11-24T00:00:00"/>
    <x v="4"/>
    <s v="TUZSUZ FISTIK 1 NO"/>
    <m/>
    <x v="5"/>
    <s v="ST00000000301"/>
    <s v="SATIŞ"/>
    <s v="POS"/>
    <n v="0.51300000000000001"/>
    <n v="195"/>
    <n v="100.035"/>
    <n v="0"/>
    <m/>
    <m/>
    <m/>
    <m/>
    <n v="0"/>
    <n v="0"/>
    <n v="67374.538760152005"/>
  </r>
  <r>
    <d v="2025-11-24T00:00:00"/>
    <x v="4"/>
    <s v="İZMİR ÜZÜMÜ"/>
    <m/>
    <x v="5"/>
    <s v="ST00000000301"/>
    <s v="SATIŞ"/>
    <s v="POS"/>
    <n v="0.52"/>
    <n v="250"/>
    <n v="130"/>
    <n v="0"/>
    <m/>
    <m/>
    <m/>
    <m/>
    <n v="0"/>
    <n v="0"/>
    <n v="67374.538760152005"/>
  </r>
  <r>
    <d v="2025-11-24T00:00:00"/>
    <x v="4"/>
    <s v="AYÇEKİRDEĞİ DAKOTA TUZLU EKSTRA"/>
    <m/>
    <x v="5"/>
    <s v="ST00000000301"/>
    <s v="SATIŞ"/>
    <s v="POS"/>
    <n v="0.26500000000000001"/>
    <n v="190"/>
    <n v="50.35"/>
    <n v="0"/>
    <m/>
    <m/>
    <m/>
    <m/>
    <n v="0"/>
    <n v="0"/>
    <n v="67374.538760152005"/>
  </r>
  <r>
    <d v="2025-11-24T00:00:00"/>
    <x v="4"/>
    <s v="KARABİBER ÇEKİLMİŞ"/>
    <m/>
    <x v="5"/>
    <s v="ST00000000302"/>
    <s v="SATIŞ"/>
    <s v="POS"/>
    <n v="0.09"/>
    <n v="640"/>
    <n v="57.599999999999994"/>
    <n v="0"/>
    <m/>
    <m/>
    <m/>
    <m/>
    <n v="0"/>
    <n v="0"/>
    <n v="67374.538760152005"/>
  </r>
  <r>
    <d v="2025-11-24T00:00:00"/>
    <x v="4"/>
    <s v="İPEK BİBER"/>
    <m/>
    <x v="5"/>
    <s v="ST00000000302"/>
    <s v="SATIŞ"/>
    <s v="POS"/>
    <n v="7.0000000000000007E-2"/>
    <n v="500"/>
    <n v="35"/>
    <n v="0"/>
    <m/>
    <m/>
    <m/>
    <m/>
    <n v="0"/>
    <n v="0"/>
    <n v="67374.538760152005"/>
  </r>
  <r>
    <d v="2025-11-24T00:00:00"/>
    <x v="4"/>
    <s v="ÇÖREKOTU"/>
    <m/>
    <x v="5"/>
    <s v="ST00000000302"/>
    <s v="SATIŞ"/>
    <s v="POS"/>
    <n v="0.1"/>
    <n v="400"/>
    <n v="40"/>
    <n v="0"/>
    <m/>
    <m/>
    <m/>
    <m/>
    <n v="0"/>
    <n v="0"/>
    <n v="67374.538760152005"/>
  </r>
  <r>
    <d v="2025-11-24T00:00:00"/>
    <x v="4"/>
    <s v="ALTIN OTU SIYIRMA"/>
    <m/>
    <x v="5"/>
    <s v="ST00000000302"/>
    <s v="SATIŞ"/>
    <s v="POS"/>
    <n v="0.05"/>
    <n v="1770"/>
    <n v="88.5"/>
    <n v="0"/>
    <m/>
    <m/>
    <m/>
    <m/>
    <n v="0"/>
    <n v="0"/>
    <n v="67374.538760152005"/>
  </r>
  <r>
    <d v="2025-11-24T00:00:00"/>
    <x v="4"/>
    <s v="DOLMALIK KURU PATLICAN"/>
    <m/>
    <x v="5"/>
    <s v="ST00000000303"/>
    <s v="SATIŞ"/>
    <s v="POS"/>
    <n v="1"/>
    <n v="240"/>
    <n v="240"/>
    <n v="0"/>
    <m/>
    <m/>
    <m/>
    <m/>
    <n v="0"/>
    <n v="0"/>
    <n v="67374.538760152005"/>
  </r>
  <r>
    <d v="2025-11-24T00:00:00"/>
    <x v="4"/>
    <s v="TÜDAB TURŞU BİBER"/>
    <m/>
    <x v="1"/>
    <s v="ST00000000304"/>
    <s v="SATIŞ"/>
    <s v="NAKİT"/>
    <n v="1"/>
    <n v="350"/>
    <n v="0"/>
    <n v="0"/>
    <m/>
    <m/>
    <m/>
    <m/>
    <n v="350"/>
    <n v="0"/>
    <n v="67724.538760152005"/>
  </r>
  <r>
    <d v="2025-11-24T00:00:00"/>
    <x v="1"/>
    <m/>
    <s v="FATURA GİDERLERİ"/>
    <x v="1"/>
    <m/>
    <s v="ELEKTRİK FATURASI - EYLÜL"/>
    <s v="NAKİT"/>
    <n v="1"/>
    <n v="415"/>
    <n v="0"/>
    <n v="0"/>
    <m/>
    <m/>
    <m/>
    <m/>
    <n v="0"/>
    <n v="415"/>
    <n v="67309.538760152005"/>
  </r>
  <r>
    <d v="2025-11-24T00:00:00"/>
    <x v="1"/>
    <m/>
    <s v="FATURA GİDERLERİ"/>
    <x v="1"/>
    <m/>
    <s v="ELEKTRİK FATURASI - EKİM"/>
    <s v="NAKİT"/>
    <n v="1"/>
    <n v="490"/>
    <n v="0"/>
    <n v="0"/>
    <m/>
    <m/>
    <m/>
    <m/>
    <n v="0"/>
    <n v="490"/>
    <n v="66819.538760152005"/>
  </r>
  <r>
    <d v="2025-11-24T00:00:00"/>
    <x v="10"/>
    <m/>
    <m/>
    <x v="5"/>
    <m/>
    <s v="POS ÇÖZÜMÜ"/>
    <s v="POS"/>
    <n v="1"/>
    <n v="600"/>
    <n v="0"/>
    <n v="600"/>
    <m/>
    <m/>
    <m/>
    <m/>
    <n v="600"/>
    <n v="0"/>
    <n v="67419.538760152005"/>
  </r>
  <r>
    <d v="2025-11-24T00:00:00"/>
    <x v="1"/>
    <m/>
    <s v="VERGİ VE HARÇLAR"/>
    <x v="1"/>
    <m/>
    <s v="KDV ÖDEME - ON NUMARA"/>
    <s v="NAKİT"/>
    <n v="1"/>
    <n v="665"/>
    <n v="0"/>
    <n v="0"/>
    <m/>
    <m/>
    <m/>
    <m/>
    <n v="0"/>
    <n v="665"/>
    <n v="66754.538760152005"/>
  </r>
  <r>
    <d v="2025-11-24T00:00:00"/>
    <x v="10"/>
    <m/>
    <m/>
    <x v="5"/>
    <m/>
    <s v="KDV ÖDEME - ON NUMARA"/>
    <s v="POS"/>
    <n v="1"/>
    <n v="665"/>
    <n v="0"/>
    <n v="665"/>
    <n v="665"/>
    <m/>
    <m/>
    <m/>
    <n v="665"/>
    <n v="0"/>
    <n v="67419.538760152005"/>
  </r>
  <r>
    <d v="2025-11-25T00:00:00"/>
    <x v="4"/>
    <s v="WARITEX KABAK LİFİ ELDİVEN"/>
    <m/>
    <x v="5"/>
    <s v="ST00000000305"/>
    <s v="SATIŞ"/>
    <s v="POS"/>
    <n v="1"/>
    <n v="100"/>
    <n v="100"/>
    <n v="0"/>
    <m/>
    <m/>
    <m/>
    <m/>
    <n v="0"/>
    <n v="0"/>
    <n v="67419.538760152005"/>
  </r>
  <r>
    <d v="2025-11-25T00:00:00"/>
    <x v="4"/>
    <s v="DEFNE YAPRAĞI"/>
    <m/>
    <x v="5"/>
    <s v="ST00000000305"/>
    <s v="SATIŞ"/>
    <s v="POS"/>
    <n v="0.05"/>
    <n v="1400"/>
    <n v="70"/>
    <n v="0"/>
    <m/>
    <m/>
    <m/>
    <m/>
    <n v="0"/>
    <n v="0"/>
    <n v="67419.538760152005"/>
  </r>
  <r>
    <d v="2025-11-25T00:00:00"/>
    <x v="4"/>
    <s v="TÜDAB KIŞ ÇAYI 200 GR"/>
    <m/>
    <x v="5"/>
    <s v="ST00000000305"/>
    <s v="SATIŞ"/>
    <s v="POS"/>
    <n v="1"/>
    <n v="140"/>
    <n v="140"/>
    <n v="0"/>
    <m/>
    <m/>
    <m/>
    <m/>
    <n v="0"/>
    <n v="0"/>
    <n v="67419.538760152005"/>
  </r>
  <r>
    <d v="2025-11-25T00:00:00"/>
    <x v="4"/>
    <s v="NBN DAĞ İNCİRİ"/>
    <m/>
    <x v="5"/>
    <s v="ST00000000305"/>
    <s v="SATIŞ"/>
    <s v="POS"/>
    <n v="0.24399999999999999"/>
    <n v="700"/>
    <n v="170.79999999999998"/>
    <n v="0"/>
    <m/>
    <m/>
    <m/>
    <m/>
    <n v="0"/>
    <n v="0"/>
    <n v="67419.538760152005"/>
  </r>
  <r>
    <d v="2025-11-25T00:00:00"/>
    <x v="4"/>
    <s v="AÇIK KAYISI İRİ (SARI)"/>
    <m/>
    <x v="5"/>
    <s v="ST00000000305"/>
    <s v="SATIŞ"/>
    <s v="POS"/>
    <n v="0.25800000000000001"/>
    <n v="750"/>
    <n v="193.5"/>
    <n v="0"/>
    <m/>
    <m/>
    <m/>
    <m/>
    <n v="0"/>
    <n v="0"/>
    <n v="67419.538760152005"/>
  </r>
  <r>
    <d v="2025-11-25T00:00:00"/>
    <x v="4"/>
    <s v="DOMATES SALÇASI"/>
    <m/>
    <x v="5"/>
    <s v="ST00000000305"/>
    <s v="SATIŞ"/>
    <s v="POS"/>
    <n v="1.1459999999999999"/>
    <n v="130"/>
    <n v="148.97999999999999"/>
    <n v="0"/>
    <m/>
    <m/>
    <m/>
    <m/>
    <n v="0"/>
    <n v="0"/>
    <n v="67419.538760152005"/>
  </r>
  <r>
    <d v="2025-11-25T00:00:00"/>
    <x v="4"/>
    <s v="SALÇA TATLI (EV YAPIMI)"/>
    <m/>
    <x v="5"/>
    <s v="ST00000000305"/>
    <s v="SATIŞ"/>
    <s v="POS"/>
    <n v="0.60399999999999998"/>
    <n v="180"/>
    <n v="108.72"/>
    <n v="0"/>
    <m/>
    <m/>
    <m/>
    <m/>
    <n v="0"/>
    <n v="0"/>
    <n v="67419.538760152005"/>
  </r>
  <r>
    <d v="2025-11-25T00:00:00"/>
    <x v="4"/>
    <s v="ÇAM FISTIĞI (DOLMALIK YER FISTIĞI)"/>
    <m/>
    <x v="5"/>
    <s v="ST00000000305"/>
    <s v="SATIŞ"/>
    <s v="POS"/>
    <n v="0.1"/>
    <n v="250"/>
    <n v="25"/>
    <n v="0"/>
    <m/>
    <m/>
    <m/>
    <m/>
    <n v="0"/>
    <n v="0"/>
    <n v="67419.538760152005"/>
  </r>
  <r>
    <d v="2025-11-25T00:00:00"/>
    <x v="4"/>
    <s v="DOMATES SALÇASI"/>
    <m/>
    <x v="5"/>
    <s v="ST00000000306"/>
    <s v="SATIŞ"/>
    <s v="POS"/>
    <n v="1.19"/>
    <n v="130"/>
    <n v="154.69999999999999"/>
    <n v="0"/>
    <m/>
    <m/>
    <m/>
    <m/>
    <n v="0"/>
    <n v="0"/>
    <n v="67419.538760152005"/>
  </r>
  <r>
    <d v="2025-11-25T00:00:00"/>
    <x v="4"/>
    <s v="ZÜHRE ANA BROMELAİN ANANAS İÇEREN DETOX ŞURUBU 250 ML"/>
    <m/>
    <x v="5"/>
    <s v="ST00000000306"/>
    <s v="SATIŞ"/>
    <s v="POS"/>
    <n v="1"/>
    <n v="220"/>
    <n v="220"/>
    <n v="0"/>
    <m/>
    <m/>
    <m/>
    <m/>
    <n v="0"/>
    <n v="0"/>
    <n v="67419.538760152005"/>
  </r>
  <r>
    <d v="2025-11-25T00:00:00"/>
    <x v="4"/>
    <s v="ÇAM FISTIĞI (DOLMALIK YER FISTIĞI)"/>
    <m/>
    <x v="5"/>
    <s v="ST00000000306"/>
    <s v="SATIŞ"/>
    <s v="POS"/>
    <n v="0.1"/>
    <n v="250"/>
    <n v="25"/>
    <n v="0"/>
    <m/>
    <m/>
    <m/>
    <m/>
    <n v="0"/>
    <n v="0"/>
    <n v="67419.538760152005"/>
  </r>
  <r>
    <d v="2025-11-25T00:00:00"/>
    <x v="4"/>
    <s v="WARITEX KABAK LİFİ ELDİVEN"/>
    <m/>
    <x v="5"/>
    <s v="ST00000000306"/>
    <s v="SATIŞ"/>
    <s v="POS"/>
    <n v="1"/>
    <n v="100"/>
    <n v="100"/>
    <n v="0"/>
    <m/>
    <m/>
    <m/>
    <m/>
    <n v="0"/>
    <n v="0"/>
    <n v="67419.538760152005"/>
  </r>
  <r>
    <d v="2025-11-25T00:00:00"/>
    <x v="4"/>
    <s v="NAHİTA ALIÇ SİRKESİ 500 ML"/>
    <m/>
    <x v="5"/>
    <s v="ST00000000307"/>
    <s v="SATIŞ"/>
    <s v="POS"/>
    <n v="1"/>
    <n v="140"/>
    <n v="140"/>
    <n v="0"/>
    <m/>
    <m/>
    <m/>
    <m/>
    <n v="0"/>
    <n v="0"/>
    <n v="67419.538760152005"/>
  </r>
  <r>
    <d v="2025-11-25T00:00:00"/>
    <x v="4"/>
    <s v="TOZ BİBER - TATLI"/>
    <m/>
    <x v="1"/>
    <s v="ST00000000308"/>
    <s v="SATIŞ"/>
    <s v="NAKİT"/>
    <n v="0.29399999999999998"/>
    <n v="370"/>
    <n v="0"/>
    <n v="0"/>
    <m/>
    <m/>
    <m/>
    <m/>
    <n v="108.77999999999999"/>
    <n v="0"/>
    <n v="67528.318760152004"/>
  </r>
  <r>
    <d v="2025-11-25T00:00:00"/>
    <x v="4"/>
    <s v="KABUKLU CEVİZ (YERLİ)"/>
    <m/>
    <x v="1"/>
    <s v="ST00000000308"/>
    <s v="SATIŞ"/>
    <s v="NAKİT"/>
    <n v="1.03"/>
    <n v="290"/>
    <n v="0"/>
    <n v="0"/>
    <m/>
    <m/>
    <m/>
    <m/>
    <n v="298.7"/>
    <n v="0"/>
    <n v="67827.018760152001"/>
  </r>
  <r>
    <d v="2025-11-25T00:00:00"/>
    <x v="4"/>
    <s v="LAVANTA YAĞI 10 CC"/>
    <m/>
    <x v="1"/>
    <s v="ST00000000308"/>
    <s v="SATIŞ"/>
    <s v="NAKİT"/>
    <n v="1"/>
    <n v="130"/>
    <n v="0"/>
    <n v="0"/>
    <m/>
    <m/>
    <m/>
    <m/>
    <n v="130"/>
    <n v="0"/>
    <n v="67957.018760152001"/>
  </r>
  <r>
    <d v="2025-11-25T00:00:00"/>
    <x v="4"/>
    <s v="BUĞDAY NİŞASTASI"/>
    <m/>
    <x v="1"/>
    <s v="ST00000000309"/>
    <s v="SATIŞ - TOPTAN"/>
    <s v="NAKİT"/>
    <n v="5"/>
    <n v="90"/>
    <n v="0"/>
    <n v="0"/>
    <m/>
    <m/>
    <m/>
    <m/>
    <n v="450"/>
    <n v="0"/>
    <n v="68407.018760152001"/>
  </r>
  <r>
    <d v="2025-11-25T00:00:00"/>
    <x v="4"/>
    <s v="İPEK BİBER"/>
    <m/>
    <x v="1"/>
    <s v="ST00000000310"/>
    <s v="SATIŞ"/>
    <s v="NAKİT"/>
    <n v="1"/>
    <n v="500"/>
    <n v="0"/>
    <n v="0"/>
    <m/>
    <m/>
    <m/>
    <m/>
    <n v="500"/>
    <n v="0"/>
    <n v="68907.018760152001"/>
  </r>
  <r>
    <d v="2025-11-25T00:00:00"/>
    <x v="4"/>
    <s v="TOZ BİBER - TATLI"/>
    <m/>
    <x v="1"/>
    <s v="ST00000000310"/>
    <s v="SATIŞ"/>
    <s v="NAKİT"/>
    <n v="0.5"/>
    <n v="370"/>
    <n v="0"/>
    <n v="0"/>
    <m/>
    <m/>
    <m/>
    <m/>
    <n v="185"/>
    <n v="0"/>
    <n v="69092.018760152001"/>
  </r>
  <r>
    <d v="2025-11-25T00:00:00"/>
    <x v="4"/>
    <s v="KARANFİL"/>
    <m/>
    <x v="1"/>
    <s v="ST00000000310"/>
    <s v="SATIŞ"/>
    <s v="NAKİT"/>
    <n v="0.05"/>
    <n v="1200"/>
    <n v="0"/>
    <n v="0"/>
    <m/>
    <m/>
    <m/>
    <m/>
    <n v="60"/>
    <n v="0"/>
    <n v="69152.018760152001"/>
  </r>
  <r>
    <d v="2025-11-25T00:00:00"/>
    <x v="4"/>
    <s v="DOMATES SALÇASI"/>
    <m/>
    <x v="1"/>
    <s v="ST00000000310"/>
    <s v="SATIŞ"/>
    <s v="NAKİT"/>
    <n v="1.53"/>
    <n v="120"/>
    <n v="0"/>
    <n v="0"/>
    <m/>
    <m/>
    <m/>
    <m/>
    <n v="183.6"/>
    <n v="0"/>
    <n v="69335.618760152007"/>
  </r>
  <r>
    <d v="2025-11-25T00:00:00"/>
    <x v="4"/>
    <s v="SALÇA ACI (EV YAPIMI)"/>
    <m/>
    <x v="1"/>
    <s v="ST00000000310"/>
    <s v="SATIŞ"/>
    <s v="NAKİT"/>
    <n v="1.0349999999999999"/>
    <n v="166"/>
    <n v="0"/>
    <n v="0"/>
    <m/>
    <m/>
    <m/>
    <m/>
    <n v="171.80999999999997"/>
    <n v="0"/>
    <n v="69507.428760152005"/>
  </r>
  <r>
    <d v="2025-11-25T00:00:00"/>
    <x v="4"/>
    <s v="ÇUBUK TARÇIN"/>
    <m/>
    <x v="1"/>
    <s v="ST00000000311"/>
    <s v="SATIŞ"/>
    <s v="NAKİT"/>
    <n v="0.1"/>
    <n v="650"/>
    <n v="0"/>
    <n v="0"/>
    <m/>
    <m/>
    <m/>
    <m/>
    <n v="65"/>
    <n v="0"/>
    <n v="69572.428760152005"/>
  </r>
  <r>
    <d v="2025-11-25T00:00:00"/>
    <x v="4"/>
    <s v="KARANFİL"/>
    <m/>
    <x v="1"/>
    <s v="ST00000000311"/>
    <s v="SATIŞ"/>
    <s v="NAKİT"/>
    <n v="0.05"/>
    <n v="1200"/>
    <n v="0"/>
    <n v="0"/>
    <m/>
    <m/>
    <m/>
    <m/>
    <n v="60"/>
    <n v="0"/>
    <n v="69632.428760152005"/>
  </r>
  <r>
    <d v="2025-11-25T00:00:00"/>
    <x v="4"/>
    <s v="TÜDAB HARNUP ÖZÜ 680 GR (KEÇİBOYNUZU)"/>
    <m/>
    <x v="1"/>
    <s v="ST00000000312"/>
    <s v="SATIŞ"/>
    <s v="NAKİT"/>
    <n v="1"/>
    <n v="190"/>
    <n v="0"/>
    <n v="0"/>
    <m/>
    <m/>
    <m/>
    <m/>
    <n v="190"/>
    <n v="0"/>
    <n v="69822.428760152005"/>
  </r>
  <r>
    <d v="2025-11-25T00:00:00"/>
    <x v="4"/>
    <s v="DOMATES SALÇASI"/>
    <m/>
    <x v="1"/>
    <s v="ST00000000313"/>
    <s v="SATIŞ"/>
    <s v="NAKİT"/>
    <n v="1.0549999999999999"/>
    <n v="130"/>
    <n v="0"/>
    <n v="0"/>
    <m/>
    <m/>
    <m/>
    <m/>
    <n v="137.15"/>
    <n v="0"/>
    <n v="69959.578760151999"/>
  </r>
  <r>
    <d v="2025-11-25T00:00:00"/>
    <x v="4"/>
    <s v="KARABİBER ÇEKİLMİŞ"/>
    <m/>
    <x v="1"/>
    <s v="ST00000000313"/>
    <s v="SATIŞ"/>
    <s v="NAKİT"/>
    <n v="6.0999999999999999E-2"/>
    <n v="640"/>
    <n v="0"/>
    <n v="0"/>
    <m/>
    <m/>
    <m/>
    <m/>
    <n v="39.04"/>
    <n v="0"/>
    <n v="69998.618760151992"/>
  </r>
  <r>
    <d v="2025-11-25T00:00:00"/>
    <x v="4"/>
    <s v="İPEK BİBER"/>
    <m/>
    <x v="1"/>
    <s v="ST00000000313"/>
    <s v="SATIŞ"/>
    <s v="NAKİT"/>
    <n v="0.182"/>
    <n v="500"/>
    <n v="0"/>
    <n v="0"/>
    <m/>
    <m/>
    <m/>
    <m/>
    <n v="91"/>
    <n v="0"/>
    <n v="70089.618760151992"/>
  </r>
  <r>
    <d v="2025-11-25T00:00:00"/>
    <x v="4"/>
    <s v="AYÇEKİRDEĞİ DAKOTA TUZLU EKSTRA"/>
    <m/>
    <x v="1"/>
    <s v="ST00000000313"/>
    <s v="SATIŞ"/>
    <s v="NAKİT"/>
    <n v="0.26400000000000001"/>
    <n v="190"/>
    <n v="0"/>
    <n v="0"/>
    <m/>
    <m/>
    <m/>
    <m/>
    <n v="50.160000000000004"/>
    <n v="0"/>
    <n v="70139.778760151996"/>
  </r>
  <r>
    <d v="2025-11-25T00:00:00"/>
    <x v="4"/>
    <s v="TÜDAB KARIŞIK TURŞU"/>
    <m/>
    <x v="1"/>
    <s v="ST00000000313"/>
    <s v="SATIŞ"/>
    <s v="NAKİT"/>
    <n v="1"/>
    <n v="383"/>
    <n v="0"/>
    <n v="0"/>
    <m/>
    <m/>
    <m/>
    <m/>
    <n v="383"/>
    <n v="0"/>
    <n v="70522.778760151996"/>
  </r>
  <r>
    <d v="2025-11-25T00:00:00"/>
    <x v="4"/>
    <s v="TÜDAB KEÇİ BOYNUZU (DÖKME)"/>
    <m/>
    <x v="1"/>
    <s v="ST00000000314"/>
    <s v="SATIŞ"/>
    <s v="NAKİT"/>
    <n v="1.34"/>
    <n v="350"/>
    <n v="0"/>
    <n v="0"/>
    <m/>
    <m/>
    <m/>
    <m/>
    <n v="469"/>
    <n v="0"/>
    <n v="70991.778760151996"/>
  </r>
  <r>
    <d v="2025-11-25T00:00:00"/>
    <x v="4"/>
    <s v="DOLMALIK KURU ACI BİBER"/>
    <m/>
    <x v="1"/>
    <s v="ST00000000315"/>
    <s v="SATIŞ"/>
    <s v="NAKİT"/>
    <n v="1"/>
    <n v="200"/>
    <n v="0"/>
    <n v="0"/>
    <m/>
    <m/>
    <m/>
    <m/>
    <n v="200"/>
    <n v="0"/>
    <n v="71191.778760151996"/>
  </r>
  <r>
    <d v="2025-11-25T00:00:00"/>
    <x v="4"/>
    <s v="ZENCEFİL TOZ"/>
    <m/>
    <x v="1"/>
    <s v="ST00000000316"/>
    <s v="SATIŞ"/>
    <s v="NAKİT"/>
    <n v="5.6000000000000001E-2"/>
    <n v="360"/>
    <n v="0"/>
    <n v="0"/>
    <m/>
    <m/>
    <m/>
    <m/>
    <n v="20.16"/>
    <n v="0"/>
    <n v="71211.938760151999"/>
  </r>
  <r>
    <d v="2025-11-25T00:00:00"/>
    <x v="4"/>
    <s v="ÖZBEK ÜZÜMÜ"/>
    <m/>
    <x v="1"/>
    <s v="ST00000000317"/>
    <s v="SATIŞ"/>
    <s v="NAKİT"/>
    <n v="0.193"/>
    <n v="520"/>
    <n v="0"/>
    <n v="0"/>
    <m/>
    <m/>
    <m/>
    <m/>
    <n v="100.36"/>
    <n v="0"/>
    <n v="71312.298760152"/>
  </r>
  <r>
    <d v="2025-11-25T00:00:00"/>
    <x v="4"/>
    <s v="CEVİZLİ SUCUK ATOM (ESMER)"/>
    <m/>
    <x v="1"/>
    <s v="ST00000000317"/>
    <s v="SATIŞ"/>
    <s v="NAKİT"/>
    <n v="0.41199999999999998"/>
    <n v="340"/>
    <n v="0"/>
    <n v="0"/>
    <m/>
    <m/>
    <m/>
    <m/>
    <n v="140.07999999999998"/>
    <n v="0"/>
    <n v="71452.378760152002"/>
  </r>
  <r>
    <d v="2025-11-25T00:00:00"/>
    <x v="4"/>
    <s v="İZMİR ÜZÜMÜ"/>
    <m/>
    <x v="1"/>
    <s v="ST00000000318"/>
    <s v="SATIŞ"/>
    <s v="NAKİT"/>
    <n v="0.5"/>
    <n v="250"/>
    <n v="0"/>
    <n v="0"/>
    <m/>
    <m/>
    <m/>
    <m/>
    <n v="125"/>
    <n v="0"/>
    <n v="71577.378760152002"/>
  </r>
  <r>
    <d v="2025-11-25T00:00:00"/>
    <x v="4"/>
    <s v="SUMAK"/>
    <m/>
    <x v="1"/>
    <s v="ST00000000318"/>
    <s v="SATIŞ"/>
    <s v="NAKİT"/>
    <n v="0.1"/>
    <n v="500"/>
    <n v="0"/>
    <n v="0"/>
    <m/>
    <m/>
    <m/>
    <m/>
    <n v="50"/>
    <n v="0"/>
    <n v="71627.378760152002"/>
  </r>
  <r>
    <d v="2025-11-25T00:00:00"/>
    <x v="4"/>
    <s v="SALÇA ACI (EV YAPIMI)"/>
    <m/>
    <x v="1"/>
    <s v="ST00000000319"/>
    <s v="SATIŞ"/>
    <s v="NAKİT"/>
    <n v="0.6"/>
    <n v="180"/>
    <n v="0"/>
    <n v="0"/>
    <m/>
    <m/>
    <m/>
    <m/>
    <n v="108"/>
    <n v="0"/>
    <n v="71735.378760152002"/>
  </r>
  <r>
    <d v="2025-11-25T00:00:00"/>
    <x v="4"/>
    <s v="TÜDAB HARNUP ÖZÜ 680 GR (KEÇİBOYNUZU)"/>
    <m/>
    <x v="5"/>
    <s v="ST00000000320"/>
    <s v="SATIŞ"/>
    <s v="POS"/>
    <n v="1"/>
    <n v="190"/>
    <n v="190"/>
    <n v="0"/>
    <m/>
    <m/>
    <m/>
    <m/>
    <n v="0"/>
    <n v="0"/>
    <n v="71735.378760152002"/>
  </r>
  <r>
    <d v="2025-11-25T00:00:00"/>
    <x v="4"/>
    <s v="DOLMALIK KURU ACI BİBER"/>
    <m/>
    <x v="1"/>
    <s v="ST00000000321"/>
    <s v="SATIŞ"/>
    <s v="NAKİT"/>
    <n v="1"/>
    <n v="200"/>
    <n v="0"/>
    <n v="0"/>
    <m/>
    <m/>
    <m/>
    <m/>
    <n v="200"/>
    <n v="0"/>
    <n v="71935.378760152002"/>
  </r>
  <r>
    <d v="2025-11-25T00:00:00"/>
    <x v="4"/>
    <s v="DOLMALIK KURU KABAK"/>
    <m/>
    <x v="1"/>
    <s v="ST00000000322"/>
    <s v="SATIŞ"/>
    <s v="NAKİT"/>
    <n v="1"/>
    <n v="260"/>
    <n v="0"/>
    <n v="0"/>
    <m/>
    <m/>
    <m/>
    <m/>
    <n v="260"/>
    <n v="0"/>
    <n v="72195.378760152002"/>
  </r>
  <r>
    <d v="2025-11-25T00:00:00"/>
    <x v="4"/>
    <s v="NANE İRİ"/>
    <m/>
    <x v="1"/>
    <s v="ST00000000322"/>
    <s v="SATIŞ"/>
    <s v="NAKİT"/>
    <n v="7.4999999999999997E-2"/>
    <n v="400"/>
    <n v="0"/>
    <n v="0"/>
    <m/>
    <m/>
    <m/>
    <m/>
    <n v="30"/>
    <n v="0"/>
    <n v="72225.378760152002"/>
  </r>
  <r>
    <d v="2025-11-25T00:00:00"/>
    <x v="4"/>
    <s v="DEFNE YAPRAĞI"/>
    <m/>
    <x v="1"/>
    <s v="ST00000000323"/>
    <s v="SATIŞ"/>
    <s v="NAKİT"/>
    <n v="0.05"/>
    <n v="1400"/>
    <n v="0"/>
    <n v="0"/>
    <m/>
    <m/>
    <m/>
    <m/>
    <n v="70"/>
    <n v="0"/>
    <n v="72295.378760152002"/>
  </r>
  <r>
    <d v="2025-11-25T00:00:00"/>
    <x v="4"/>
    <s v="HİNT KINASI KESTANE  (TEKLİ SATILACAK - 6 ADET)"/>
    <m/>
    <x v="1"/>
    <s v="ST00000000323"/>
    <s v="SATIŞ"/>
    <s v="NAKİT"/>
    <n v="2"/>
    <n v="35"/>
    <n v="0"/>
    <n v="0"/>
    <m/>
    <m/>
    <m/>
    <m/>
    <n v="70"/>
    <n v="0"/>
    <n v="72365.378760152002"/>
  </r>
  <r>
    <d v="2025-11-25T00:00:00"/>
    <x v="4"/>
    <s v="KINA RGS DÖKME"/>
    <m/>
    <x v="1"/>
    <s v="ST00000000323"/>
    <s v="SATIŞ"/>
    <s v="NAKİT"/>
    <n v="0.25"/>
    <n v="400"/>
    <n v="0"/>
    <n v="0"/>
    <m/>
    <m/>
    <m/>
    <m/>
    <n v="100"/>
    <n v="0"/>
    <n v="72465.378760152002"/>
  </r>
  <r>
    <d v="2025-11-25T00:00:00"/>
    <x v="4"/>
    <s v="LEBLEBİ ŞEKER RENKLİ"/>
    <m/>
    <x v="1"/>
    <s v="ST00000000324"/>
    <s v="SATIŞ"/>
    <s v="NAKİT"/>
    <n v="0.53"/>
    <n v="190"/>
    <n v="0"/>
    <n v="0"/>
    <m/>
    <m/>
    <m/>
    <m/>
    <n v="100.7"/>
    <n v="0"/>
    <n v="72566.078760151999"/>
  </r>
  <r>
    <d v="2025-11-25T00:00:00"/>
    <x v="4"/>
    <s v="GENÇLEBİ ÇAKILTAŞI DRAJE"/>
    <m/>
    <x v="1"/>
    <s v="ST00000000324"/>
    <s v="SATIŞ"/>
    <s v="NAKİT"/>
    <n v="0.25"/>
    <n v="400"/>
    <n v="0"/>
    <n v="0"/>
    <m/>
    <m/>
    <m/>
    <m/>
    <n v="100"/>
    <n v="0"/>
    <n v="72666.078760151999"/>
  </r>
  <r>
    <d v="2025-11-25T00:00:00"/>
    <x v="4"/>
    <s v="KABUKLU CEVİZ (YERLİ)"/>
    <m/>
    <x v="1"/>
    <s v="ST00000000325"/>
    <s v="SATIŞ"/>
    <s v="NAKİT"/>
    <n v="1"/>
    <n v="290"/>
    <n v="0"/>
    <n v="0"/>
    <m/>
    <m/>
    <m/>
    <m/>
    <n v="290"/>
    <n v="0"/>
    <n v="72956.078760151999"/>
  </r>
  <r>
    <d v="2025-11-25T00:00:00"/>
    <x v="4"/>
    <s v="HİBİSKUS"/>
    <m/>
    <x v="1"/>
    <s v="ST00000000325"/>
    <s v="SATIŞ"/>
    <s v="NAKİT"/>
    <n v="0.1"/>
    <n v="600"/>
    <n v="0"/>
    <n v="0"/>
    <m/>
    <m/>
    <m/>
    <m/>
    <n v="60"/>
    <n v="0"/>
    <n v="73016.078760151999"/>
  </r>
  <r>
    <d v="2025-11-25T00:00:00"/>
    <x v="4"/>
    <s v="İRİ BEYAZ KABAK ÇEKİRDEĞİ - NEVŞEHİR"/>
    <m/>
    <x v="1"/>
    <s v="ST00000000325"/>
    <s v="SATIŞ"/>
    <s v="NAKİT"/>
    <n v="0.28000000000000003"/>
    <n v="360"/>
    <n v="0"/>
    <n v="0"/>
    <m/>
    <m/>
    <m/>
    <m/>
    <n v="100.80000000000001"/>
    <n v="0"/>
    <n v="73116.878760152002"/>
  </r>
  <r>
    <d v="2025-11-25T00:00:00"/>
    <x v="5"/>
    <m/>
    <s v="İSKONTO GELİRLERİ"/>
    <x v="4"/>
    <m/>
    <s v="TÜDAB A.Ş. - İSKONTO GELİRİ"/>
    <s v="CARİ"/>
    <n v="1"/>
    <n v="7926.45"/>
    <n v="7926.45"/>
    <n v="0"/>
    <m/>
    <m/>
    <m/>
    <m/>
    <n v="0"/>
    <n v="0"/>
    <n v="73116.878760152002"/>
  </r>
  <r>
    <d v="2025-11-26T00:00:00"/>
    <x v="4"/>
    <s v="KAJU - TB"/>
    <m/>
    <x v="1"/>
    <s v="ST00000000326"/>
    <s v="SATIŞ"/>
    <s v="NAKİT"/>
    <n v="0.15229999999999999"/>
    <n v="650"/>
    <n v="0"/>
    <n v="0"/>
    <m/>
    <m/>
    <m/>
    <m/>
    <n v="98.99499999999999"/>
    <n v="0"/>
    <n v="73215.873760151997"/>
  </r>
  <r>
    <d v="2025-11-26T00:00:00"/>
    <x v="4"/>
    <s v="YALÇINKAYA DOMATES SALÇASI"/>
    <m/>
    <x v="1"/>
    <s v="ST00000000326"/>
    <s v="SATIŞ"/>
    <s v="NAKİT"/>
    <n v="0.41"/>
    <n v="130"/>
    <n v="0"/>
    <n v="0"/>
    <m/>
    <m/>
    <m/>
    <m/>
    <n v="53.3"/>
    <n v="0"/>
    <n v="73269.173760152"/>
  </r>
  <r>
    <d v="2025-11-26T00:00:00"/>
    <x v="4"/>
    <s v="NANE İRİ"/>
    <m/>
    <x v="1"/>
    <s v="ST00000000326"/>
    <s v="SATIŞ"/>
    <s v="NAKİT"/>
    <n v="7.4999999999999997E-2"/>
    <n v="400"/>
    <n v="0"/>
    <n v="0"/>
    <m/>
    <m/>
    <m/>
    <m/>
    <n v="30"/>
    <n v="0"/>
    <n v="73299.173760152"/>
  </r>
  <r>
    <d v="2025-11-26T00:00:00"/>
    <x v="4"/>
    <s v="LAVANTA YAĞI 10 CC"/>
    <m/>
    <x v="5"/>
    <s v="ST00000000327"/>
    <s v="SATIŞ"/>
    <s v="POS"/>
    <n v="2"/>
    <n v="130"/>
    <n v="260"/>
    <n v="0"/>
    <m/>
    <m/>
    <m/>
    <m/>
    <n v="0"/>
    <n v="0"/>
    <n v="73299.173760152"/>
  </r>
  <r>
    <d v="2025-11-26T00:00:00"/>
    <x v="4"/>
    <s v="KARANFİL YAĞI 10 CC"/>
    <m/>
    <x v="5"/>
    <s v="ST00000000327"/>
    <s v="SATIŞ"/>
    <s v="POS"/>
    <n v="1"/>
    <n v="130"/>
    <n v="130"/>
    <n v="0"/>
    <m/>
    <m/>
    <m/>
    <m/>
    <n v="0"/>
    <n v="0"/>
    <n v="73299.173760152"/>
  </r>
  <r>
    <d v="2025-11-26T00:00:00"/>
    <x v="4"/>
    <s v="TATLI BADEM YAĞI 50 CC"/>
    <m/>
    <x v="5"/>
    <s v="ST00000000327"/>
    <s v="SATIŞ"/>
    <s v="POS"/>
    <n v="1"/>
    <n v="125"/>
    <n v="125"/>
    <n v="0"/>
    <m/>
    <m/>
    <m/>
    <m/>
    <n v="0"/>
    <n v="0"/>
    <n v="73299.173760152"/>
  </r>
  <r>
    <d v="2025-11-26T00:00:00"/>
    <x v="4"/>
    <s v="GÜNAYDIN KAYA TUZU İNCE"/>
    <m/>
    <x v="5"/>
    <s v="ST00000000327"/>
    <s v="SATIŞ"/>
    <s v="POS"/>
    <n v="1"/>
    <n v="40"/>
    <n v="40"/>
    <n v="0"/>
    <m/>
    <m/>
    <m/>
    <m/>
    <n v="0"/>
    <n v="0"/>
    <n v="73299.173760152"/>
  </r>
  <r>
    <d v="2025-11-26T00:00:00"/>
    <x v="4"/>
    <s v="KARANFİL"/>
    <m/>
    <x v="5"/>
    <s v="ST00000000327"/>
    <s v="SATIŞ"/>
    <s v="POS"/>
    <n v="0.05"/>
    <n v="1200"/>
    <n v="60"/>
    <n v="0"/>
    <m/>
    <m/>
    <m/>
    <m/>
    <n v="0"/>
    <n v="0"/>
    <n v="73299.173760152"/>
  </r>
  <r>
    <d v="2025-11-26T00:00:00"/>
    <x v="4"/>
    <s v="ÇUBUK TARÇIN"/>
    <m/>
    <x v="5"/>
    <s v="ST00000000327"/>
    <s v="SATIŞ"/>
    <s v="POS"/>
    <n v="0.1"/>
    <n v="650"/>
    <n v="65"/>
    <n v="0"/>
    <m/>
    <m/>
    <m/>
    <m/>
    <n v="0"/>
    <n v="0"/>
    <n v="73299.173760152"/>
  </r>
  <r>
    <d v="2025-11-26T00:00:00"/>
    <x v="4"/>
    <s v="İPEK BİBER"/>
    <m/>
    <x v="1"/>
    <s v="ST00000000328"/>
    <s v="SATIŞ"/>
    <s v="NAKİT"/>
    <n v="7.8E-2"/>
    <n v="500"/>
    <n v="0"/>
    <n v="0"/>
    <m/>
    <m/>
    <m/>
    <m/>
    <n v="39"/>
    <n v="0"/>
    <n v="73338.173760152"/>
  </r>
  <r>
    <d v="2025-11-26T00:00:00"/>
    <x v="4"/>
    <s v="ZENCEFİL TOZ"/>
    <m/>
    <x v="1"/>
    <s v="ST00000000328"/>
    <s v="SATIŞ"/>
    <s v="NAKİT"/>
    <n v="7.8E-2"/>
    <n v="360"/>
    <n v="0"/>
    <n v="0"/>
    <m/>
    <m/>
    <m/>
    <m/>
    <n v="28.08"/>
    <n v="0"/>
    <n v="73366.253760152002"/>
  </r>
  <r>
    <d v="2025-11-26T00:00:00"/>
    <x v="4"/>
    <s v="TOZ BİBER - TATLI"/>
    <m/>
    <x v="1"/>
    <s v="ST00000000328"/>
    <s v="SATIŞ"/>
    <s v="NAKİT"/>
    <n v="0.12"/>
    <n v="370"/>
    <n v="0"/>
    <n v="0"/>
    <m/>
    <m/>
    <m/>
    <m/>
    <n v="44.4"/>
    <n v="0"/>
    <n v="73410.653760151996"/>
  </r>
  <r>
    <d v="2025-11-26T00:00:00"/>
    <x v="4"/>
    <s v="TÜDAB KEÇİ BOYNUZU (DÖKME)"/>
    <m/>
    <x v="1"/>
    <s v="ST00000000328"/>
    <s v="SATIŞ"/>
    <s v="NAKİT"/>
    <n v="0.23200000000000001"/>
    <n v="350"/>
    <n v="0"/>
    <n v="0"/>
    <m/>
    <m/>
    <m/>
    <m/>
    <n v="81.2"/>
    <n v="0"/>
    <n v="73491.853760151993"/>
  </r>
  <r>
    <d v="2025-11-26T00:00:00"/>
    <x v="4"/>
    <s v="KETEN TOHUMU"/>
    <m/>
    <x v="1"/>
    <s v="ST00000000328"/>
    <s v="SATIŞ"/>
    <s v="NAKİT"/>
    <n v="0.1"/>
    <n v="200"/>
    <n v="0"/>
    <n v="0"/>
    <m/>
    <m/>
    <m/>
    <m/>
    <n v="20"/>
    <n v="0"/>
    <n v="73511.853760151993"/>
  </r>
  <r>
    <d v="2025-11-26T00:00:00"/>
    <x v="4"/>
    <s v="HİNDİSTAN CEVİZİ ( İRİ )"/>
    <m/>
    <x v="1"/>
    <s v="ST00000000328"/>
    <s v="SATIŞ"/>
    <s v="NAKİT"/>
    <n v="0.1"/>
    <n v="600"/>
    <n v="0"/>
    <n v="0"/>
    <m/>
    <m/>
    <m/>
    <m/>
    <n v="60"/>
    <n v="0"/>
    <n v="73571.853760151993"/>
  </r>
  <r>
    <d v="2025-11-26T00:00:00"/>
    <x v="4"/>
    <s v="LİMONTUZU PARCA"/>
    <m/>
    <x v="1"/>
    <s v="ST00000000328"/>
    <s v="SATIŞ"/>
    <s v="NAKİT"/>
    <n v="0.25"/>
    <n v="180"/>
    <n v="0"/>
    <n v="0"/>
    <m/>
    <m/>
    <m/>
    <m/>
    <n v="45"/>
    <n v="0"/>
    <n v="73616.853760151993"/>
  </r>
  <r>
    <d v="2025-11-26T00:00:00"/>
    <x v="4"/>
    <s v="CEVİZLİ SUCUK ATOM (SARI)"/>
    <m/>
    <x v="1"/>
    <s v="ST00000000328"/>
    <s v="SATIŞ"/>
    <s v="NAKİT"/>
    <n v="0.53"/>
    <n v="290"/>
    <n v="0"/>
    <n v="0"/>
    <m/>
    <m/>
    <m/>
    <m/>
    <n v="153.70000000000002"/>
    <n v="0"/>
    <n v="73770.55376015199"/>
  </r>
  <r>
    <d v="2025-11-26T00:00:00"/>
    <x v="4"/>
    <s v="ZÜHRE ANA BROMELAİN ANANAS İÇEREN DETOX ŞURUBU 250 ML"/>
    <m/>
    <x v="5"/>
    <s v="ST00000000329"/>
    <s v="SATIŞ"/>
    <s v="POS"/>
    <n v="1"/>
    <n v="220"/>
    <n v="220"/>
    <n v="0"/>
    <m/>
    <m/>
    <m/>
    <m/>
    <n v="0"/>
    <n v="0"/>
    <n v="73770.55376015199"/>
  </r>
  <r>
    <d v="2025-11-26T00:00:00"/>
    <x v="4"/>
    <s v="CEVİZLİ SUCUK ATOM (ESMER)"/>
    <m/>
    <x v="5"/>
    <s v="ST00000000330"/>
    <s v="SATIŞ"/>
    <s v="POS"/>
    <n v="0.374"/>
    <n v="340"/>
    <n v="127.16"/>
    <n v="0"/>
    <m/>
    <m/>
    <m/>
    <m/>
    <n v="0"/>
    <n v="0"/>
    <n v="73770.55376015199"/>
  </r>
  <r>
    <d v="2025-11-26T00:00:00"/>
    <x v="4"/>
    <s v="ZENCEFİL TANE"/>
    <m/>
    <x v="1"/>
    <s v="ST00000000331"/>
    <s v="SATIŞ"/>
    <s v="NAKİT"/>
    <n v="0.13200000000000001"/>
    <n v="760"/>
    <n v="0"/>
    <n v="0"/>
    <m/>
    <m/>
    <m/>
    <m/>
    <n v="100.32000000000001"/>
    <n v="0"/>
    <n v="73870.873760151997"/>
  </r>
  <r>
    <d v="2025-11-26T00:00:00"/>
    <x v="4"/>
    <s v="İPEK BİBER"/>
    <m/>
    <x v="1"/>
    <s v="ST00000000332"/>
    <s v="SATIŞ"/>
    <s v="NAKİT"/>
    <n v="0.2"/>
    <n v="500"/>
    <n v="0"/>
    <n v="0"/>
    <m/>
    <m/>
    <m/>
    <m/>
    <n v="100"/>
    <n v="0"/>
    <n v="73970.873760151997"/>
  </r>
  <r>
    <d v="2025-11-26T00:00:00"/>
    <x v="4"/>
    <s v="SALÇA TATLI (EV YAPIMI)"/>
    <m/>
    <x v="1"/>
    <s v="ST00000000333"/>
    <s v="SATIŞ"/>
    <s v="NAKİT"/>
    <n v="1"/>
    <n v="180"/>
    <n v="0"/>
    <n v="0"/>
    <m/>
    <m/>
    <m/>
    <m/>
    <n v="180"/>
    <n v="0"/>
    <n v="74150.873760151997"/>
  </r>
  <r>
    <d v="2025-11-26T00:00:00"/>
    <x v="4"/>
    <s v="ZENCEFİL TANE"/>
    <m/>
    <x v="1"/>
    <s v="ST00000000334"/>
    <s v="SATIŞ"/>
    <s v="NAKİT"/>
    <n v="0.375"/>
    <n v="400"/>
    <n v="0"/>
    <n v="0"/>
    <m/>
    <m/>
    <m/>
    <m/>
    <n v="150"/>
    <n v="0"/>
    <n v="74300.873760151997"/>
  </r>
  <r>
    <d v="2025-11-26T00:00:00"/>
    <x v="4"/>
    <s v="ŞİFAVER KÜKÜRTLÜ HATAY SABUNU"/>
    <m/>
    <x v="5"/>
    <s v="ST00000000335"/>
    <s v="SATIŞ"/>
    <s v="POS"/>
    <n v="1"/>
    <n v="40"/>
    <n v="40"/>
    <n v="0"/>
    <m/>
    <m/>
    <m/>
    <m/>
    <n v="0"/>
    <n v="0"/>
    <n v="74300.873760151997"/>
  </r>
  <r>
    <d v="2025-11-26T00:00:00"/>
    <x v="4"/>
    <s v="NBN DAĞ İNCİRİ"/>
    <m/>
    <x v="1"/>
    <s v="ST00000000336"/>
    <s v="SATIŞ"/>
    <s v="NAKİT"/>
    <n v="0.5"/>
    <n v="700"/>
    <n v="0"/>
    <n v="0"/>
    <m/>
    <m/>
    <m/>
    <m/>
    <n v="350"/>
    <n v="0"/>
    <n v="74650.873760151997"/>
  </r>
  <r>
    <d v="2025-11-26T00:00:00"/>
    <x v="4"/>
    <s v="CEVİZLİ SUCUK ATOM (ESMER)"/>
    <m/>
    <x v="1"/>
    <s v="ST00000000336"/>
    <s v="SATIŞ"/>
    <s v="NAKİT"/>
    <n v="0.46"/>
    <n v="340"/>
    <n v="0"/>
    <n v="0"/>
    <m/>
    <m/>
    <m/>
    <m/>
    <n v="156.4"/>
    <n v="0"/>
    <n v="74807.273760151991"/>
  </r>
  <r>
    <d v="2025-11-26T00:00:00"/>
    <x v="4"/>
    <s v="KEKİK LÜX"/>
    <m/>
    <x v="5"/>
    <s v="ST00000000337"/>
    <s v="SATIŞ"/>
    <s v="POS"/>
    <n v="2.63E-2"/>
    <n v="760"/>
    <n v="19.988"/>
    <n v="0"/>
    <m/>
    <m/>
    <m/>
    <m/>
    <n v="0"/>
    <n v="0"/>
    <n v="74807.273760151991"/>
  </r>
  <r>
    <d v="2025-11-26T00:00:00"/>
    <x v="4"/>
    <s v="LEBLEBİ ÇİFTE SARI"/>
    <m/>
    <x v="5"/>
    <s v="ST00000000337"/>
    <s v="SATIŞ"/>
    <s v="POS"/>
    <n v="0.21"/>
    <n v="240"/>
    <n v="50.4"/>
    <n v="0"/>
    <m/>
    <m/>
    <m/>
    <m/>
    <n v="0"/>
    <n v="0"/>
    <n v="74807.273760151991"/>
  </r>
  <r>
    <d v="2025-11-26T00:00:00"/>
    <x v="4"/>
    <s v="LİMONTUZU PARCA"/>
    <m/>
    <x v="5"/>
    <s v="ST00000000337"/>
    <s v="SATIŞ"/>
    <s v="POS"/>
    <n v="0.25"/>
    <n v="180"/>
    <n v="45"/>
    <n v="0"/>
    <m/>
    <m/>
    <m/>
    <m/>
    <n v="0"/>
    <n v="0"/>
    <n v="74807.273760151991"/>
  </r>
  <r>
    <d v="2025-11-26T00:00:00"/>
    <x v="4"/>
    <s v="GENÇLEBİ ÇAKILTAŞI DRAJE"/>
    <m/>
    <x v="1"/>
    <s v="ST00000000338"/>
    <s v="SATIŞ"/>
    <s v="NAKİT"/>
    <n v="0.25"/>
    <n v="400"/>
    <n v="0"/>
    <n v="0"/>
    <m/>
    <m/>
    <m/>
    <m/>
    <n v="100"/>
    <n v="0"/>
    <n v="74907.273760151991"/>
  </r>
  <r>
    <d v="2025-11-26T00:00:00"/>
    <x v="4"/>
    <s v="SALÇA TATLI (EV YAPIMI)"/>
    <m/>
    <x v="1"/>
    <s v="ST00000000338"/>
    <s v="SATIŞ"/>
    <s v="NAKİT"/>
    <n v="0.5"/>
    <n v="180"/>
    <n v="0"/>
    <n v="0"/>
    <m/>
    <m/>
    <m/>
    <m/>
    <n v="90"/>
    <n v="0"/>
    <n v="74997.273760151991"/>
  </r>
  <r>
    <d v="2025-11-26T00:00:00"/>
    <x v="4"/>
    <s v="KARANFİL YAĞI 10 CC"/>
    <m/>
    <x v="5"/>
    <s v="ST00000000339"/>
    <s v="SATIŞ"/>
    <s v="POS"/>
    <n v="1"/>
    <n v="130"/>
    <n v="130"/>
    <n v="0"/>
    <m/>
    <m/>
    <m/>
    <m/>
    <n v="0"/>
    <n v="0"/>
    <n v="74997.273760151991"/>
  </r>
  <r>
    <d v="2025-11-26T00:00:00"/>
    <x v="4"/>
    <s v="KARABİBER ÇEKİLMİŞ"/>
    <m/>
    <x v="1"/>
    <s v="ST00000000340"/>
    <s v="SATIŞ"/>
    <s v="NAKİT"/>
    <n v="9.4E-2"/>
    <n v="640"/>
    <n v="0"/>
    <n v="0"/>
    <m/>
    <m/>
    <m/>
    <m/>
    <n v="60.16"/>
    <n v="0"/>
    <n v="75057.433760151995"/>
  </r>
  <r>
    <d v="2025-11-26T00:00:00"/>
    <x v="4"/>
    <s v="KARANFİL"/>
    <m/>
    <x v="1"/>
    <s v="ST00000000341"/>
    <s v="SATIŞ"/>
    <s v="NAKİT"/>
    <n v="0.05"/>
    <n v="1200"/>
    <n v="0"/>
    <n v="0"/>
    <m/>
    <m/>
    <m/>
    <m/>
    <n v="60"/>
    <n v="0"/>
    <n v="75117.433760151995"/>
  </r>
  <r>
    <d v="2025-11-26T00:00:00"/>
    <x v="4"/>
    <s v="KARANFİL"/>
    <m/>
    <x v="1"/>
    <s v="ST00000000805"/>
    <s v="SATIŞ"/>
    <s v="NAKİT"/>
    <n v="0.15090000000000001"/>
    <n v="1200"/>
    <n v="0"/>
    <n v="0"/>
    <m/>
    <m/>
    <m/>
    <m/>
    <n v="181.08"/>
    <n v="0"/>
    <n v="75298.513760151996"/>
  </r>
  <r>
    <d v="2025-11-27T00:00:00"/>
    <x v="4"/>
    <s v="LEBLEBİ ÇİFTE SARI"/>
    <m/>
    <x v="5"/>
    <s v="ST00000000342"/>
    <s v="SATIŞ"/>
    <s v="POS"/>
    <n v="0.21"/>
    <n v="240"/>
    <n v="50.4"/>
    <n v="0"/>
    <m/>
    <m/>
    <m/>
    <m/>
    <n v="0"/>
    <n v="0"/>
    <n v="75298.513760151996"/>
  </r>
  <r>
    <d v="2025-11-27T00:00:00"/>
    <x v="4"/>
    <s v="TÜRK KAHVESİ"/>
    <m/>
    <x v="5"/>
    <s v="ST00000000342"/>
    <s v="SATIŞ"/>
    <s v="POS"/>
    <n v="0.1"/>
    <n v="650"/>
    <n v="65"/>
    <n v="0"/>
    <m/>
    <m/>
    <m/>
    <m/>
    <n v="0"/>
    <n v="0"/>
    <n v="75298.513760151996"/>
  </r>
  <r>
    <d v="2025-11-27T00:00:00"/>
    <x v="4"/>
    <s v="ZÜHRE ANA KOZALAK MACUNU - ÇAM KOZALAĞI 240 GR"/>
    <m/>
    <x v="5"/>
    <s v="ST00000000343"/>
    <s v="SATIŞ"/>
    <s v="POS"/>
    <n v="1"/>
    <n v="220"/>
    <n v="220"/>
    <n v="0"/>
    <m/>
    <m/>
    <m/>
    <m/>
    <n v="0"/>
    <n v="0"/>
    <n v="75298.513760151996"/>
  </r>
  <r>
    <d v="2025-11-27T00:00:00"/>
    <x v="4"/>
    <s v="TÜDAB HARNUP ÖZÜ 680 GR (KEÇİBOYNUZU)"/>
    <m/>
    <x v="5"/>
    <s v="ST00000000344"/>
    <s v="SATIŞ"/>
    <s v="POS"/>
    <n v="1"/>
    <n v="190"/>
    <n v="190"/>
    <n v="0"/>
    <m/>
    <m/>
    <m/>
    <m/>
    <n v="0"/>
    <n v="0"/>
    <n v="75298.513760151996"/>
  </r>
  <r>
    <d v="2025-11-27T00:00:00"/>
    <x v="4"/>
    <s v="KARANFİL"/>
    <m/>
    <x v="5"/>
    <s v="ST00000000344"/>
    <s v="SATIŞ"/>
    <s v="POS"/>
    <n v="0.05"/>
    <n v="1200"/>
    <n v="60"/>
    <n v="0"/>
    <m/>
    <m/>
    <m/>
    <m/>
    <n v="0"/>
    <n v="0"/>
    <n v="75298.513760151996"/>
  </r>
  <r>
    <d v="2025-11-27T00:00:00"/>
    <x v="4"/>
    <s v="WARITEX ÇİFT TARAFLI KABAK LİFİ"/>
    <m/>
    <x v="5"/>
    <s v="ST00000000344"/>
    <s v="SATIŞ"/>
    <s v="POS"/>
    <n v="1"/>
    <n v="100"/>
    <n v="100"/>
    <n v="0"/>
    <m/>
    <m/>
    <m/>
    <m/>
    <n v="0"/>
    <n v="0"/>
    <n v="75298.513760151996"/>
  </r>
  <r>
    <d v="2025-11-27T00:00:00"/>
    <x v="4"/>
    <s v="NANE İRİ"/>
    <m/>
    <x v="1"/>
    <s v="ST00000000345"/>
    <s v="SATIŞ - TOPTAN"/>
    <s v="NAKİT"/>
    <n v="0.5"/>
    <n v="300"/>
    <n v="0"/>
    <n v="0"/>
    <m/>
    <m/>
    <m/>
    <m/>
    <n v="150"/>
    <n v="0"/>
    <n v="75448.513760151996"/>
  </r>
  <r>
    <d v="2025-11-27T00:00:00"/>
    <x v="4"/>
    <s v="KİMYON ÇEKİLMİŞ"/>
    <m/>
    <x v="1"/>
    <s v="ST00000000345"/>
    <s v="SATIŞ - TOPTAN"/>
    <s v="NAKİT"/>
    <n v="0.78500000000000003"/>
    <n v="255"/>
    <n v="0"/>
    <n v="0"/>
    <m/>
    <m/>
    <m/>
    <m/>
    <n v="200.17500000000001"/>
    <n v="0"/>
    <n v="75648.688760151999"/>
  </r>
  <r>
    <d v="2025-11-27T00:00:00"/>
    <x v="4"/>
    <s v="YEŞİL ÇAY YAPRAK"/>
    <m/>
    <x v="1"/>
    <s v="ST00000000345"/>
    <s v="SATIŞ"/>
    <s v="NAKİT"/>
    <n v="0.1"/>
    <n v="1350"/>
    <n v="0"/>
    <n v="0"/>
    <m/>
    <m/>
    <m/>
    <m/>
    <n v="135"/>
    <n v="0"/>
    <n v="75783.688760151999"/>
  </r>
  <r>
    <d v="2025-11-27T00:00:00"/>
    <x v="4"/>
    <s v="NANE İRİ"/>
    <m/>
    <x v="1"/>
    <s v="ST00000000346"/>
    <s v="SATIŞ"/>
    <s v="NAKİT"/>
    <n v="7.0000000000000007E-2"/>
    <n v="400"/>
    <n v="0"/>
    <n v="0"/>
    <m/>
    <m/>
    <m/>
    <m/>
    <n v="28.000000000000004"/>
    <n v="0"/>
    <n v="75811.688760151999"/>
  </r>
  <r>
    <d v="2025-11-27T00:00:00"/>
    <x v="4"/>
    <s v="İPEK BİBER"/>
    <m/>
    <x v="1"/>
    <s v="ST00000000346"/>
    <s v="SATIŞ"/>
    <s v="NAKİT"/>
    <n v="9.6000000000000002E-2"/>
    <n v="500"/>
    <n v="0"/>
    <n v="0"/>
    <m/>
    <m/>
    <m/>
    <m/>
    <n v="48"/>
    <n v="0"/>
    <n v="75859.688760151999"/>
  </r>
  <r>
    <d v="2025-11-27T00:00:00"/>
    <x v="4"/>
    <s v="KARABİBER ÇEKİLMİŞ"/>
    <m/>
    <x v="1"/>
    <s v="ST00000000346"/>
    <s v="SATIŞ"/>
    <s v="NAKİT"/>
    <n v="5.8000000000000003E-2"/>
    <n v="640"/>
    <n v="0"/>
    <n v="0"/>
    <m/>
    <m/>
    <m/>
    <m/>
    <n v="37.120000000000005"/>
    <n v="0"/>
    <n v="75896.808760151995"/>
  </r>
  <r>
    <d v="2025-11-27T00:00:00"/>
    <x v="4"/>
    <s v="DEFNE YAPRAĞI"/>
    <m/>
    <x v="1"/>
    <s v="ST00000000346"/>
    <s v="SATIŞ"/>
    <s v="NAKİT"/>
    <n v="0.05"/>
    <n v="1400"/>
    <n v="0"/>
    <n v="0"/>
    <m/>
    <m/>
    <m/>
    <m/>
    <n v="70"/>
    <n v="0"/>
    <n v="75966.808760151995"/>
  </r>
  <r>
    <d v="2025-11-27T00:00:00"/>
    <x v="4"/>
    <s v="ZERDEÇAL TOZ"/>
    <m/>
    <x v="1"/>
    <s v="ST00000000346"/>
    <s v="SATIŞ"/>
    <s v="NAKİT"/>
    <n v="0.13600000000000001"/>
    <n v="250"/>
    <n v="0"/>
    <n v="0"/>
    <m/>
    <m/>
    <m/>
    <m/>
    <n v="34"/>
    <n v="0"/>
    <n v="76000.808760151995"/>
  </r>
  <r>
    <d v="2025-11-27T00:00:00"/>
    <x v="4"/>
    <s v="MISIR UNU"/>
    <m/>
    <x v="1"/>
    <s v="ST00000000347"/>
    <s v="SATIŞ"/>
    <s v="NAKİT"/>
    <n v="0.5"/>
    <n v="60"/>
    <n v="0"/>
    <n v="0"/>
    <m/>
    <m/>
    <m/>
    <m/>
    <n v="30"/>
    <n v="0"/>
    <n v="76030.808760151995"/>
  </r>
  <r>
    <d v="2025-11-27T00:00:00"/>
    <x v="4"/>
    <s v="HAYIT TOHUMU"/>
    <m/>
    <x v="1"/>
    <s v="ST00000000348"/>
    <s v="SATIŞ"/>
    <s v="NAKİT"/>
    <n v="0.05"/>
    <n v="900"/>
    <n v="0"/>
    <n v="0"/>
    <m/>
    <m/>
    <m/>
    <m/>
    <n v="45"/>
    <n v="0"/>
    <n v="76075.808760151995"/>
  </r>
  <r>
    <d v="2025-11-27T00:00:00"/>
    <x v="4"/>
    <s v="TALA KARINCA YUMURTASI YAĞI 20 ML"/>
    <m/>
    <x v="1"/>
    <s v="ST00000000349"/>
    <s v="SATIŞ"/>
    <s v="NAKİT"/>
    <n v="2"/>
    <n v="170"/>
    <n v="0"/>
    <n v="0"/>
    <m/>
    <m/>
    <m/>
    <m/>
    <n v="340"/>
    <n v="0"/>
    <n v="76415.808760151995"/>
  </r>
  <r>
    <d v="2025-11-27T00:00:00"/>
    <x v="4"/>
    <s v="HAYIT TOHUMU"/>
    <m/>
    <x v="1"/>
    <s v="ST00000000349"/>
    <s v="SATIŞ"/>
    <s v="NAKİT"/>
    <n v="0.1"/>
    <n v="900"/>
    <n v="0"/>
    <n v="0"/>
    <m/>
    <m/>
    <m/>
    <m/>
    <n v="90"/>
    <n v="0"/>
    <n v="76505.808760151995"/>
  </r>
  <r>
    <d v="2025-11-27T00:00:00"/>
    <x v="4"/>
    <s v="KİNOA DÖKME"/>
    <m/>
    <x v="1"/>
    <s v="ST00000000350"/>
    <s v="SATIŞ"/>
    <s v="NAKİT"/>
    <n v="0.20899999999999999"/>
    <n v="240"/>
    <n v="0"/>
    <n v="0"/>
    <m/>
    <m/>
    <m/>
    <m/>
    <n v="50.16"/>
    <n v="0"/>
    <n v="76555.968760151998"/>
  </r>
  <r>
    <d v="2025-11-27T00:00:00"/>
    <x v="4"/>
    <s v="LAHANA TURŞUSU 5 KG"/>
    <m/>
    <x v="1"/>
    <s v="ST00000000351"/>
    <s v="SATIŞ"/>
    <s v="NAKİT"/>
    <n v="1"/>
    <n v="300"/>
    <n v="0"/>
    <n v="0"/>
    <m/>
    <m/>
    <m/>
    <m/>
    <n v="300"/>
    <n v="0"/>
    <n v="76855.968760151998"/>
  </r>
  <r>
    <d v="2025-11-27T00:00:00"/>
    <x v="4"/>
    <s v="DEFNE YAPRAĞI"/>
    <m/>
    <x v="1"/>
    <s v="ST00000000352"/>
    <s v="SATIŞ"/>
    <s v="NAKİT"/>
    <n v="0.05"/>
    <n v="1400"/>
    <n v="0"/>
    <n v="0"/>
    <m/>
    <m/>
    <m/>
    <m/>
    <n v="70"/>
    <n v="0"/>
    <n v="76925.968760151998"/>
  </r>
  <r>
    <d v="2025-11-27T00:00:00"/>
    <x v="4"/>
    <s v="GÜNAYDIN KAYA TUZU İNCE"/>
    <m/>
    <x v="1"/>
    <s v="ST00000000353"/>
    <s v="SATIŞ"/>
    <s v="NAKİT"/>
    <n v="0.5"/>
    <n v="80"/>
    <n v="0"/>
    <n v="0"/>
    <m/>
    <m/>
    <m/>
    <m/>
    <n v="40"/>
    <n v="0"/>
    <n v="76965.968760151998"/>
  </r>
  <r>
    <d v="2025-11-27T00:00:00"/>
    <x v="4"/>
    <s v="IHLAMUR YAPRAK"/>
    <m/>
    <x v="5"/>
    <s v="ST00000000354"/>
    <s v="SATIŞ"/>
    <s v="POS"/>
    <n v="0.05"/>
    <n v="2600"/>
    <n v="130"/>
    <n v="0"/>
    <m/>
    <m/>
    <m/>
    <m/>
    <n v="0"/>
    <n v="0"/>
    <n v="76965.968760151998"/>
  </r>
  <r>
    <d v="2025-11-27T00:00:00"/>
    <x v="4"/>
    <s v="IHLAMUR ÇİÇEK EKSTRA"/>
    <m/>
    <x v="5"/>
    <s v="ST00000000354"/>
    <s v="SATIŞ"/>
    <s v="POS"/>
    <n v="0.04"/>
    <n v="4500"/>
    <n v="180"/>
    <n v="0"/>
    <m/>
    <m/>
    <m/>
    <m/>
    <n v="0"/>
    <n v="0"/>
    <n v="76965.968760151998"/>
  </r>
  <r>
    <d v="2025-11-27T00:00:00"/>
    <x v="4"/>
    <s v="DEMKAR TURUNCU PAKET ANTEP FISTIĞI"/>
    <m/>
    <x v="1"/>
    <s v="ST00000000355"/>
    <s v="SATIŞ"/>
    <s v="NAKİT"/>
    <n v="0.1"/>
    <n v="1250"/>
    <n v="0"/>
    <n v="0"/>
    <m/>
    <m/>
    <m/>
    <m/>
    <n v="125"/>
    <n v="0"/>
    <n v="77090.968760151998"/>
  </r>
  <r>
    <d v="2025-11-27T00:00:00"/>
    <x v="4"/>
    <s v="ÇEBELİZADE NİOLİ YAĞI 20 ML"/>
    <m/>
    <x v="5"/>
    <s v="ST00000000356"/>
    <s v="SATIŞ"/>
    <s v="POS"/>
    <n v="1"/>
    <n v="140"/>
    <n v="140"/>
    <n v="0"/>
    <m/>
    <m/>
    <m/>
    <m/>
    <n v="0"/>
    <n v="0"/>
    <n v="77090.968760151998"/>
  </r>
  <r>
    <d v="2025-11-28T00:00:00"/>
    <x v="3"/>
    <s v="KÖFTELİK BULGUR"/>
    <m/>
    <x v="4"/>
    <s v="FT00000000058"/>
    <s v="TÜDAB A.Ş."/>
    <s v="CARİ"/>
    <n v="10"/>
    <n v="37"/>
    <n v="0"/>
    <n v="370"/>
    <m/>
    <m/>
    <m/>
    <m/>
    <n v="0"/>
    <n v="0"/>
    <n v="77090.968760151998"/>
  </r>
  <r>
    <d v="2025-11-28T00:00:00"/>
    <x v="3"/>
    <s v="PİLAVLIK BULGUR"/>
    <m/>
    <x v="4"/>
    <s v="FT00000000058"/>
    <s v="TÜDAB A.Ş."/>
    <s v="CARİ"/>
    <n v="10"/>
    <n v="37"/>
    <n v="0"/>
    <n v="370"/>
    <m/>
    <m/>
    <m/>
    <m/>
    <n v="0"/>
    <n v="0"/>
    <n v="77090.968760151998"/>
  </r>
  <r>
    <d v="2025-11-28T00:00:00"/>
    <x v="1"/>
    <m/>
    <s v="KIRTASİYE GİDERİ"/>
    <x v="1"/>
    <s v="FT00000000059"/>
    <s v="YAĞMUR OFSET - KARTVİZİT"/>
    <s v="NAKİT"/>
    <n v="1"/>
    <n v="800"/>
    <n v="0"/>
    <n v="0"/>
    <m/>
    <m/>
    <m/>
    <m/>
    <n v="0"/>
    <n v="800"/>
    <n v="76290.968760151998"/>
  </r>
  <r>
    <d v="2025-11-28T00:00:00"/>
    <x v="3"/>
    <s v="KABUKLU CEVİZ (YERLİ)"/>
    <m/>
    <x v="1"/>
    <s v="FT00000000060"/>
    <s v="BALIKESİR - ÖMER"/>
    <s v="NAKİT"/>
    <n v="20"/>
    <n v="200"/>
    <n v="0"/>
    <n v="0"/>
    <m/>
    <m/>
    <m/>
    <m/>
    <n v="0"/>
    <n v="4000"/>
    <n v="72290.968760151998"/>
  </r>
  <r>
    <d v="2025-11-28T00:00:00"/>
    <x v="4"/>
    <s v="HAYIT TOHUMU"/>
    <m/>
    <x v="5"/>
    <s v="ST00000000357"/>
    <s v="SATIŞ"/>
    <s v="POS"/>
    <n v="0.1"/>
    <n v="900"/>
    <n v="90"/>
    <n v="0"/>
    <m/>
    <m/>
    <m/>
    <m/>
    <n v="0"/>
    <n v="0"/>
    <n v="72290.968760151998"/>
  </r>
  <r>
    <d v="2025-11-28T00:00:00"/>
    <x v="4"/>
    <s v="LİMONTUZU PARCA"/>
    <m/>
    <x v="1"/>
    <s v="ST00000000358"/>
    <s v="SATIŞ"/>
    <s v="NAKİT"/>
    <n v="0.25"/>
    <n v="180"/>
    <n v="0"/>
    <n v="0"/>
    <m/>
    <m/>
    <m/>
    <m/>
    <n v="45"/>
    <n v="0"/>
    <n v="72335.968760151998"/>
  </r>
  <r>
    <d v="2025-11-28T00:00:00"/>
    <x v="4"/>
    <s v="KONTES HAMAM OTU - TÜY DÖKÜCÜ"/>
    <m/>
    <x v="1"/>
    <s v="ST00000000359"/>
    <s v="SATIŞ"/>
    <s v="NAKİT"/>
    <n v="2"/>
    <n v="15"/>
    <n v="0"/>
    <n v="0"/>
    <m/>
    <m/>
    <m/>
    <m/>
    <n v="30"/>
    <n v="0"/>
    <n v="72365.968760151998"/>
  </r>
  <r>
    <d v="2025-11-28T00:00:00"/>
    <x v="4"/>
    <s v="TÜDAB KARIŞIK TURŞU"/>
    <m/>
    <x v="5"/>
    <s v="ST00000000360"/>
    <s v="SATIŞ"/>
    <s v="POS"/>
    <n v="1"/>
    <n v="350"/>
    <n v="350"/>
    <n v="0"/>
    <m/>
    <m/>
    <m/>
    <m/>
    <n v="0"/>
    <n v="0"/>
    <n v="72365.968760151998"/>
  </r>
  <r>
    <d v="2025-11-28T00:00:00"/>
    <x v="4"/>
    <s v="ZENCEFİL TOZ"/>
    <m/>
    <x v="1"/>
    <s v="ST00000000361"/>
    <s v="SATIŞ"/>
    <s v="NAKİT"/>
    <n v="0.223"/>
    <n v="360"/>
    <n v="0"/>
    <n v="0"/>
    <m/>
    <m/>
    <m/>
    <m/>
    <n v="80.28"/>
    <n v="0"/>
    <n v="72446.248760151997"/>
  </r>
  <r>
    <d v="2025-11-28T00:00:00"/>
    <x v="4"/>
    <s v="HAM KABAK LİFİ İŞLENMEMİŞ"/>
    <m/>
    <x v="1"/>
    <s v="ST00000000361"/>
    <s v="SATIŞ"/>
    <s v="NAKİT"/>
    <n v="1"/>
    <n v="180"/>
    <n v="0"/>
    <n v="0"/>
    <m/>
    <m/>
    <m/>
    <m/>
    <n v="180"/>
    <n v="0"/>
    <n v="72626.248760151997"/>
  </r>
  <r>
    <d v="2025-11-28T00:00:00"/>
    <x v="4"/>
    <s v="HİNT KINASI KESTANE  (TEKLİ SATILACAK - 6 ADET)"/>
    <m/>
    <x v="5"/>
    <s v="ST00000000362"/>
    <s v="SATIŞ"/>
    <s v="POS"/>
    <n v="4"/>
    <n v="35"/>
    <n v="140"/>
    <n v="0"/>
    <m/>
    <m/>
    <m/>
    <m/>
    <n v="0"/>
    <n v="0"/>
    <n v="72626.248760151997"/>
  </r>
  <r>
    <d v="2025-11-28T00:00:00"/>
    <x v="4"/>
    <s v="WARITEX KABAK LİFİ ELDİVEN"/>
    <m/>
    <x v="5"/>
    <s v="ST00000000363"/>
    <s v="SATIŞ"/>
    <s v="POS"/>
    <n v="1"/>
    <n v="100"/>
    <n v="100"/>
    <n v="0"/>
    <m/>
    <m/>
    <m/>
    <m/>
    <n v="0"/>
    <n v="0"/>
    <n v="72626.248760151997"/>
  </r>
  <r>
    <d v="2025-11-28T00:00:00"/>
    <x v="4"/>
    <s v="DERMA KABAK YÜZ &amp; BANYO LİFİ"/>
    <m/>
    <x v="1"/>
    <s v="ST00000000364"/>
    <s v="SATIŞ"/>
    <s v="NAKİT"/>
    <n v="2"/>
    <n v="100"/>
    <n v="0"/>
    <n v="0"/>
    <m/>
    <m/>
    <m/>
    <m/>
    <n v="200"/>
    <n v="0"/>
    <n v="72826.248760151997"/>
  </r>
  <r>
    <d v="2025-11-28T00:00:00"/>
    <x v="4"/>
    <s v="DOLMALIK KURU PATLICAN"/>
    <m/>
    <x v="5"/>
    <s v="ST00000000365"/>
    <s v="SATIŞ"/>
    <s v="POS"/>
    <n v="1"/>
    <n v="240"/>
    <n v="240"/>
    <n v="0"/>
    <m/>
    <m/>
    <m/>
    <m/>
    <n v="0"/>
    <n v="0"/>
    <n v="72826.248760151997"/>
  </r>
  <r>
    <d v="2025-11-28T00:00:00"/>
    <x v="4"/>
    <s v="KONTES HAMAM OTU - TÜY DÖKÜCÜ"/>
    <m/>
    <x v="1"/>
    <s v="ST00000000366"/>
    <s v="SATIŞ"/>
    <s v="NAKİT"/>
    <n v="2"/>
    <n v="15"/>
    <n v="0"/>
    <n v="0"/>
    <m/>
    <m/>
    <m/>
    <m/>
    <n v="30"/>
    <n v="0"/>
    <n v="72856.248760151997"/>
  </r>
  <r>
    <d v="2025-11-28T00:00:00"/>
    <x v="4"/>
    <s v="KARABİBER TANE"/>
    <m/>
    <x v="1"/>
    <s v="ST00000000367"/>
    <s v="SATIŞ"/>
    <s v="NAKİT"/>
    <n v="0.1"/>
    <n v="700"/>
    <n v="0"/>
    <n v="0"/>
    <m/>
    <m/>
    <m/>
    <m/>
    <n v="70"/>
    <n v="0"/>
    <n v="72926.248760151997"/>
  </r>
  <r>
    <d v="2025-11-28T00:00:00"/>
    <x v="4"/>
    <s v="MISIR UNU"/>
    <m/>
    <x v="1"/>
    <s v="ST00000000367"/>
    <s v="SATIŞ"/>
    <s v="NAKİT"/>
    <n v="0.5"/>
    <n v="60"/>
    <n v="0"/>
    <n v="0"/>
    <m/>
    <m/>
    <m/>
    <m/>
    <n v="30"/>
    <n v="0"/>
    <n v="72956.248760151997"/>
  </r>
  <r>
    <d v="2025-11-28T00:00:00"/>
    <x v="4"/>
    <s v="TÜDAB ACUR TURŞUSU"/>
    <m/>
    <x v="5"/>
    <s v="ST00000000368"/>
    <s v="SATIŞ"/>
    <s v="POS"/>
    <n v="1"/>
    <n v="350"/>
    <n v="350"/>
    <n v="0"/>
    <m/>
    <m/>
    <m/>
    <m/>
    <n v="0"/>
    <n v="0"/>
    <n v="72956.248760151997"/>
  </r>
  <r>
    <d v="2025-11-28T00:00:00"/>
    <x v="10"/>
    <m/>
    <m/>
    <x v="5"/>
    <m/>
    <s v="POS ÇÖZÜMÜ"/>
    <s v="POS"/>
    <n v="1"/>
    <n v="221"/>
    <n v="0"/>
    <n v="221"/>
    <m/>
    <m/>
    <m/>
    <m/>
    <n v="221"/>
    <n v="0"/>
    <n v="73177.248760151997"/>
  </r>
  <r>
    <d v="2025-11-29T00:00:00"/>
    <x v="3"/>
    <s v="TOZ BİBER - TATLI"/>
    <m/>
    <x v="3"/>
    <s v="FT00000000067"/>
    <s v="YALÇINTAT BAHARAT GIDA SAN"/>
    <s v="CARİ"/>
    <n v="50"/>
    <n v="185"/>
    <n v="0"/>
    <n v="9250"/>
    <m/>
    <m/>
    <m/>
    <m/>
    <n v="0"/>
    <n v="0"/>
    <n v="73177.248760151997"/>
  </r>
  <r>
    <d v="2025-11-29T00:00:00"/>
    <x v="3"/>
    <s v="DOLMALIK KURU PATLICAN"/>
    <m/>
    <x v="3"/>
    <s v="FT00000000067"/>
    <s v="YALÇINTAT BAHARAT GIDA SAN"/>
    <s v="CARİ"/>
    <n v="60"/>
    <n v="150"/>
    <n v="0"/>
    <n v="9000"/>
    <m/>
    <m/>
    <m/>
    <m/>
    <n v="0"/>
    <n v="0"/>
    <n v="73177.248760151997"/>
  </r>
  <r>
    <d v="2025-11-29T00:00:00"/>
    <x v="3"/>
    <s v="DOLMALIK SARI BİBER"/>
    <m/>
    <x v="3"/>
    <s v="FT00000000067"/>
    <s v="YALÇINTAT BAHARAT GIDA SAN"/>
    <s v="CARİ"/>
    <n v="60"/>
    <n v="130"/>
    <n v="0"/>
    <n v="7800"/>
    <m/>
    <m/>
    <m/>
    <m/>
    <n v="0"/>
    <n v="0"/>
    <n v="73177.248760151997"/>
  </r>
  <r>
    <d v="2025-11-29T00:00:00"/>
    <x v="3"/>
    <s v="DOLMALIK KURU ACI BİBER"/>
    <m/>
    <x v="3"/>
    <s v="FT00000000067"/>
    <s v="YALÇINTAT BAHARAT GIDA SAN"/>
    <s v="CARİ"/>
    <n v="60"/>
    <n v="125"/>
    <n v="0"/>
    <n v="7500"/>
    <m/>
    <m/>
    <m/>
    <m/>
    <n v="0"/>
    <n v="0"/>
    <n v="73177.248760151997"/>
  </r>
  <r>
    <d v="2025-11-29T00:00:00"/>
    <x v="3"/>
    <s v="SALÇA ACI (EV YAPIMI)"/>
    <m/>
    <x v="3"/>
    <s v="FT00000000067"/>
    <s v="YALÇINTAT BAHARAT GIDA SAN"/>
    <s v="CARİ"/>
    <n v="58.05"/>
    <n v="98.191199999999995"/>
    <n v="0"/>
    <n v="5699.9991599999994"/>
    <m/>
    <m/>
    <m/>
    <m/>
    <n v="0"/>
    <n v="0"/>
    <n v="73177.248760151997"/>
  </r>
  <r>
    <d v="2025-11-29T00:00:00"/>
    <x v="3"/>
    <s v="SALÇA TATLI (EV YAPIMI)"/>
    <m/>
    <x v="3"/>
    <s v="FT00000000067"/>
    <s v="YALÇINTAT BAHARAT GIDA SAN"/>
    <s v="CARİ"/>
    <n v="58.05"/>
    <n v="98.191199999999995"/>
    <n v="0"/>
    <n v="5699.9991599999994"/>
    <m/>
    <m/>
    <m/>
    <m/>
    <n v="0"/>
    <n v="0"/>
    <n v="73177.248760151997"/>
  </r>
  <r>
    <d v="2025-11-29T00:00:00"/>
    <x v="3"/>
    <s v="DOMATES SALÇASI"/>
    <m/>
    <x v="3"/>
    <s v="FT00000000067"/>
    <s v="YALÇINTAT BAHARAT GIDA SAN"/>
    <s v="CARİ"/>
    <n v="58.050000000000004"/>
    <n v="67.183400000000006"/>
    <n v="0"/>
    <n v="3899.9963700000008"/>
    <m/>
    <m/>
    <m/>
    <m/>
    <n v="0"/>
    <n v="0"/>
    <n v="73177.248760151997"/>
  </r>
  <r>
    <d v="2025-11-29T00:00:00"/>
    <x v="3"/>
    <s v="ZENCEFİL TOZ"/>
    <m/>
    <x v="3"/>
    <s v="FT00000000067"/>
    <s v="YALÇINTAT BAHARAT GIDA SAN"/>
    <s v="CARİ"/>
    <n v="10"/>
    <n v="180"/>
    <n v="0"/>
    <n v="1800"/>
    <m/>
    <m/>
    <m/>
    <m/>
    <n v="0"/>
    <n v="0"/>
    <n v="73177.248760151997"/>
  </r>
  <r>
    <d v="2025-11-29T00:00:00"/>
    <x v="3"/>
    <s v="ZERDEÇAL TOZ"/>
    <m/>
    <x v="3"/>
    <s v="FT00000000067"/>
    <s v="YALÇINTAT BAHARAT GIDA SAN"/>
    <s v="CARİ"/>
    <n v="10"/>
    <n v="125"/>
    <n v="0"/>
    <n v="1250"/>
    <m/>
    <m/>
    <m/>
    <m/>
    <n v="0"/>
    <n v="0"/>
    <n v="73177.248760151997"/>
  </r>
  <r>
    <d v="2025-11-29T00:00:00"/>
    <x v="3"/>
    <s v="SUMAK TANE EKŞİLİ"/>
    <m/>
    <x v="3"/>
    <s v="FT00000000067"/>
    <s v="YALÇINTAT BAHARAT GIDA SAN"/>
    <s v="CARİ"/>
    <n v="5"/>
    <n v="270"/>
    <n v="0"/>
    <n v="1350"/>
    <m/>
    <m/>
    <m/>
    <m/>
    <n v="0"/>
    <n v="0"/>
    <n v="73177.248760151997"/>
  </r>
  <r>
    <d v="2025-11-29T00:00:00"/>
    <x v="3"/>
    <s v="HİBİSKUS"/>
    <m/>
    <x v="3"/>
    <s v="FT00000000067"/>
    <s v="YALÇINTAT BAHARAT GIDA SAN"/>
    <s v="CARİ"/>
    <n v="10"/>
    <n v="125"/>
    <n v="0"/>
    <n v="1250"/>
    <m/>
    <m/>
    <m/>
    <m/>
    <n v="0"/>
    <n v="0"/>
    <n v="73177.248760151997"/>
  </r>
  <r>
    <d v="2025-11-29T00:00:00"/>
    <x v="3"/>
    <s v="KIRMIZI PUL BİBER TATLI"/>
    <m/>
    <x v="3"/>
    <s v="FT00000000067"/>
    <s v="YALÇINTAT BAHARAT GIDA SAN"/>
    <s v="CARİ"/>
    <n v="10"/>
    <n v="180"/>
    <n v="0"/>
    <n v="1800"/>
    <m/>
    <m/>
    <m/>
    <m/>
    <n v="0"/>
    <n v="0"/>
    <n v="73177.248760151997"/>
  </r>
  <r>
    <d v="2025-11-29T00:00:00"/>
    <x v="4"/>
    <s v="ZERDEÇAL TOZ"/>
    <m/>
    <x v="5"/>
    <s v="ST00000000369"/>
    <s v="SATIŞ"/>
    <s v="POS"/>
    <n v="0.122"/>
    <n v="250"/>
    <n v="30.5"/>
    <n v="0"/>
    <m/>
    <m/>
    <m/>
    <m/>
    <n v="0"/>
    <n v="0"/>
    <n v="73177.248760151997"/>
  </r>
  <r>
    <d v="2025-11-29T00:00:00"/>
    <x v="4"/>
    <s v="ÇUBUK TARÇIN"/>
    <m/>
    <x v="5"/>
    <s v="ST00000000369"/>
    <s v="SATIŞ"/>
    <s v="POS"/>
    <n v="0.1"/>
    <n v="650"/>
    <n v="65"/>
    <n v="0"/>
    <m/>
    <m/>
    <m/>
    <m/>
    <n v="0"/>
    <n v="0"/>
    <n v="73177.248760151997"/>
  </r>
  <r>
    <d v="2025-11-29T00:00:00"/>
    <x v="4"/>
    <s v="TÜDAB KEÇİ BOYNUZU (DÖKME)"/>
    <m/>
    <x v="5"/>
    <s v="ST00000000370"/>
    <s v="SATIŞ"/>
    <s v="POS"/>
    <n v="0.28000000000000003"/>
    <n v="350"/>
    <n v="98.000000000000014"/>
    <n v="0"/>
    <m/>
    <m/>
    <m/>
    <m/>
    <n v="0"/>
    <n v="0"/>
    <n v="73177.248760151997"/>
  </r>
  <r>
    <d v="2025-11-29T00:00:00"/>
    <x v="4"/>
    <s v="CEVİZLİ SUCUK ATOM (SARI)"/>
    <m/>
    <x v="5"/>
    <s v="ST00000000371"/>
    <s v="SATIŞ"/>
    <s v="POS"/>
    <n v="0.47"/>
    <n v="290"/>
    <n v="136.29999999999998"/>
    <n v="0"/>
    <m/>
    <m/>
    <m/>
    <m/>
    <n v="0"/>
    <n v="0"/>
    <n v="73177.248760151997"/>
  </r>
  <r>
    <d v="2025-11-29T00:00:00"/>
    <x v="4"/>
    <s v="GENÇLEBİ ÇAKILTAŞI DRAJE"/>
    <m/>
    <x v="5"/>
    <s v="ST00000000372"/>
    <s v="SATIŞ"/>
    <s v="POS"/>
    <n v="0.25"/>
    <n v="400"/>
    <n v="100"/>
    <n v="0"/>
    <m/>
    <m/>
    <m/>
    <m/>
    <n v="0"/>
    <n v="0"/>
    <n v="73177.248760151997"/>
  </r>
  <r>
    <d v="2025-11-29T00:00:00"/>
    <x v="4"/>
    <s v="LOKUM KARIŞIK - TB"/>
    <m/>
    <x v="5"/>
    <s v="ST00000000373"/>
    <s v="SATIŞ"/>
    <s v="POS"/>
    <n v="0.42"/>
    <n v="195"/>
    <n v="81.899999999999991"/>
    <n v="0"/>
    <m/>
    <m/>
    <m/>
    <m/>
    <n v="0"/>
    <n v="0"/>
    <n v="73177.248760151997"/>
  </r>
  <r>
    <d v="2025-11-29T00:00:00"/>
    <x v="4"/>
    <s v="TUZLU FISTIK DUBLE"/>
    <m/>
    <x v="5"/>
    <s v="ST00000000374"/>
    <s v="SATIŞ"/>
    <s v="POS"/>
    <n v="0.26"/>
    <n v="195"/>
    <n v="50.7"/>
    <n v="0"/>
    <m/>
    <m/>
    <m/>
    <m/>
    <n v="0"/>
    <n v="0"/>
    <n v="73177.248760151997"/>
  </r>
  <r>
    <d v="2025-11-29T00:00:00"/>
    <x v="4"/>
    <s v="KAJU - TB"/>
    <m/>
    <x v="5"/>
    <s v="ST00000000375"/>
    <s v="SATIŞ"/>
    <s v="POS"/>
    <n v="0.154"/>
    <n v="650"/>
    <n v="100.1"/>
    <n v="0"/>
    <m/>
    <m/>
    <m/>
    <m/>
    <n v="0"/>
    <n v="0"/>
    <n v="73177.248760151997"/>
  </r>
  <r>
    <d v="2025-11-29T00:00:00"/>
    <x v="4"/>
    <s v="KÖFTELİK BULGUR"/>
    <m/>
    <x v="1"/>
    <s v="ST00000000376"/>
    <s v="SATIŞ"/>
    <s v="NAKİT"/>
    <n v="0.65400000000000003"/>
    <n v="65"/>
    <n v="0"/>
    <n v="0"/>
    <m/>
    <m/>
    <m/>
    <m/>
    <n v="42.510000000000005"/>
    <n v="0"/>
    <n v="73219.758760151992"/>
  </r>
  <r>
    <d v="2025-11-29T00:00:00"/>
    <x v="4"/>
    <s v="PİLAVLIK BULGUR"/>
    <m/>
    <x v="1"/>
    <s v="ST00000000376"/>
    <s v="SATIŞ"/>
    <s v="NAKİT"/>
    <n v="0.81799999999999995"/>
    <n v="65"/>
    <n v="0"/>
    <n v="0"/>
    <m/>
    <m/>
    <m/>
    <m/>
    <n v="53.169999999999995"/>
    <n v="0"/>
    <n v="73272.92876015199"/>
  </r>
  <r>
    <d v="2025-11-29T00:00:00"/>
    <x v="4"/>
    <s v="TOZ BİBER - TATLI"/>
    <m/>
    <x v="1"/>
    <s v="ST00000000376"/>
    <s v="SATIŞ"/>
    <s v="NAKİT"/>
    <n v="0.25"/>
    <n v="370"/>
    <n v="0"/>
    <n v="0"/>
    <m/>
    <m/>
    <m/>
    <m/>
    <n v="92.5"/>
    <n v="0"/>
    <n v="73365.42876015199"/>
  </r>
  <r>
    <d v="2025-11-29T00:00:00"/>
    <x v="4"/>
    <s v="KARABİBER ÇEKİLMİŞ"/>
    <m/>
    <x v="1"/>
    <s v="ST00000000376"/>
    <s v="SATIŞ"/>
    <s v="NAKİT"/>
    <n v="8.4000000000000005E-2"/>
    <n v="640"/>
    <n v="0"/>
    <n v="0"/>
    <m/>
    <m/>
    <m/>
    <m/>
    <n v="53.760000000000005"/>
    <n v="0"/>
    <n v="73419.188760151985"/>
  </r>
  <r>
    <d v="2025-11-29T00:00:00"/>
    <x v="4"/>
    <s v="TÜDAB KEÇİ BOYNUZU (DÖKME)"/>
    <m/>
    <x v="1"/>
    <s v="ST00000000376"/>
    <s v="SATIŞ"/>
    <s v="NAKİT"/>
    <n v="0.19600000000000001"/>
    <n v="350"/>
    <n v="0"/>
    <n v="0"/>
    <m/>
    <m/>
    <m/>
    <m/>
    <n v="68.600000000000009"/>
    <n v="0"/>
    <n v="73487.788760151991"/>
  </r>
  <r>
    <d v="2025-11-29T00:00:00"/>
    <x v="4"/>
    <s v="CEVİZLİ SUCUK ATOM (ESMER)"/>
    <m/>
    <x v="1"/>
    <s v="ST00000000376"/>
    <s v="SATIŞ"/>
    <s v="NAKİT"/>
    <n v="0.376"/>
    <n v="340"/>
    <n v="0"/>
    <n v="0"/>
    <m/>
    <m/>
    <m/>
    <m/>
    <n v="127.84"/>
    <n v="0"/>
    <n v="73615.628760151987"/>
  </r>
  <r>
    <d v="2025-11-29T00:00:00"/>
    <x v="4"/>
    <s v="YEŞİL ÇAY YAPRAK"/>
    <m/>
    <x v="1"/>
    <s v="ST00000000376"/>
    <s v="SATIŞ"/>
    <s v="NAKİT"/>
    <n v="0.1"/>
    <n v="1350"/>
    <n v="0"/>
    <n v="0"/>
    <m/>
    <m/>
    <m/>
    <m/>
    <n v="135"/>
    <n v="0"/>
    <n v="73750.628760151987"/>
  </r>
  <r>
    <d v="2025-11-29T00:00:00"/>
    <x v="4"/>
    <s v="İSOT"/>
    <m/>
    <x v="1"/>
    <s v="ST00000000376"/>
    <s v="SATIŞ"/>
    <s v="NAKİT"/>
    <n v="0.14399999999999999"/>
    <n v="380"/>
    <n v="0"/>
    <n v="0"/>
    <m/>
    <m/>
    <m/>
    <m/>
    <n v="54.72"/>
    <n v="0"/>
    <n v="73805.348760151988"/>
  </r>
  <r>
    <d v="2025-11-29T00:00:00"/>
    <x v="4"/>
    <s v="YALÇINKAYA DOMATES SALÇASI"/>
    <m/>
    <x v="1"/>
    <s v="ST00000000376"/>
    <s v="SATIŞ"/>
    <s v="NAKİT"/>
    <n v="0.504"/>
    <n v="130"/>
    <n v="0"/>
    <n v="0"/>
    <m/>
    <m/>
    <m/>
    <m/>
    <n v="65.52"/>
    <n v="0"/>
    <n v="73870.868760151992"/>
  </r>
  <r>
    <d v="2025-11-29T00:00:00"/>
    <x v="4"/>
    <s v="SALÇA TATLI (EV YAPIMI)"/>
    <m/>
    <x v="1"/>
    <s v="ST00000000376"/>
    <s v="SATIŞ"/>
    <s v="NAKİT"/>
    <n v="1"/>
    <n v="180"/>
    <n v="0"/>
    <n v="0"/>
    <m/>
    <m/>
    <m/>
    <m/>
    <n v="180"/>
    <n v="0"/>
    <n v="74050.868760151992"/>
  </r>
  <r>
    <d v="2025-11-29T00:00:00"/>
    <x v="4"/>
    <s v="TÜRK KAHVESİ"/>
    <m/>
    <x v="1"/>
    <s v="ST00000000376"/>
    <s v="SATIŞ"/>
    <s v="NAKİT"/>
    <n v="0.1"/>
    <n v="650"/>
    <n v="0"/>
    <n v="0"/>
    <m/>
    <m/>
    <m/>
    <m/>
    <n v="65"/>
    <n v="0"/>
    <n v="74115.868760151992"/>
  </r>
  <r>
    <d v="2025-11-29T00:00:00"/>
    <x v="4"/>
    <s v="GÜNAYDIN KAYA TUZU İNCE"/>
    <m/>
    <x v="1"/>
    <s v="ST00000000376"/>
    <s v="SATIŞ"/>
    <s v="NAKİT"/>
    <n v="0.5"/>
    <n v="80"/>
    <n v="0"/>
    <n v="0"/>
    <m/>
    <m/>
    <m/>
    <m/>
    <n v="40"/>
    <n v="0"/>
    <n v="74155.868760151992"/>
  </r>
  <r>
    <d v="2025-11-29T00:00:00"/>
    <x v="4"/>
    <s v="KİMYON ÇEKİLMİŞ"/>
    <m/>
    <x v="1"/>
    <s v="ST00000000376"/>
    <s v="SATIŞ"/>
    <s v="NAKİT"/>
    <n v="8.7999999999999995E-2"/>
    <n v="390"/>
    <n v="0"/>
    <n v="0"/>
    <m/>
    <m/>
    <m/>
    <m/>
    <n v="34.32"/>
    <n v="0"/>
    <n v="74190.188760151999"/>
  </r>
  <r>
    <d v="2025-11-29T00:00:00"/>
    <x v="4"/>
    <s v="ZERDEÇAL TOZ"/>
    <m/>
    <x v="1"/>
    <s v="ST00000000376"/>
    <s v="SATIŞ"/>
    <s v="NAKİT"/>
    <n v="0.14000000000000001"/>
    <n v="250"/>
    <n v="0"/>
    <n v="0"/>
    <m/>
    <m/>
    <m/>
    <m/>
    <n v="35"/>
    <n v="0"/>
    <n v="74225.188760151999"/>
  </r>
  <r>
    <d v="2025-11-29T00:00:00"/>
    <x v="4"/>
    <s v="SUMAK"/>
    <m/>
    <x v="1"/>
    <s v="ST00000000376"/>
    <s v="SATIŞ"/>
    <s v="NAKİT"/>
    <n v="0.16800000000000001"/>
    <n v="500"/>
    <n v="0"/>
    <n v="0"/>
    <m/>
    <m/>
    <m/>
    <m/>
    <n v="84"/>
    <n v="0"/>
    <n v="74309.188760151999"/>
  </r>
  <r>
    <d v="2025-11-29T00:00:00"/>
    <x v="4"/>
    <s v="ZAHTER"/>
    <m/>
    <x v="1"/>
    <s v="ST00000000376"/>
    <s v="SATIŞ"/>
    <s v="NAKİT"/>
    <n v="8.7999999999999995E-2"/>
    <n v="400"/>
    <n v="0"/>
    <n v="0"/>
    <m/>
    <m/>
    <m/>
    <m/>
    <n v="35.199999999999996"/>
    <n v="0"/>
    <n v="74344.388760151996"/>
  </r>
  <r>
    <d v="2025-11-29T00:00:00"/>
    <x v="4"/>
    <s v="ERBATAB LUGOL İYOT %2 SIVI TAKVİYE 20 ML TİROİD FONKSİYONUNU DESTEKLEYEN FORMÜL"/>
    <m/>
    <x v="1"/>
    <s v="ST00000000376"/>
    <s v="SATIŞ"/>
    <s v="NAKİT"/>
    <n v="1"/>
    <n v="220"/>
    <n v="0"/>
    <n v="0"/>
    <m/>
    <m/>
    <m/>
    <m/>
    <n v="220"/>
    <n v="0"/>
    <n v="74564.388760151996"/>
  </r>
  <r>
    <d v="2025-11-29T00:00:00"/>
    <x v="4"/>
    <s v="ZENCEFİL TANE"/>
    <m/>
    <x v="1"/>
    <s v="ST00000000376"/>
    <s v="SATIŞ"/>
    <s v="NAKİT"/>
    <n v="0.13"/>
    <n v="760"/>
    <n v="0"/>
    <n v="0"/>
    <m/>
    <m/>
    <m/>
    <m/>
    <n v="98.8"/>
    <n v="0"/>
    <n v="74663.188760151999"/>
  </r>
  <r>
    <d v="2025-11-29T00:00:00"/>
    <x v="4"/>
    <s v="ŞİFAVER ZEYTİNYAĞLI HATAY SABUNU"/>
    <m/>
    <x v="1"/>
    <s v="ST00000000376"/>
    <s v="SATIŞ"/>
    <s v="NAKİT"/>
    <n v="1"/>
    <n v="40"/>
    <n v="0"/>
    <n v="0"/>
    <m/>
    <m/>
    <m/>
    <m/>
    <n v="40"/>
    <n v="0"/>
    <n v="74703.188760151999"/>
  </r>
  <r>
    <d v="2025-11-29T00:00:00"/>
    <x v="4"/>
    <s v="LAHANA TURŞUSU 5 KG"/>
    <m/>
    <x v="1"/>
    <s v="ST00000000376"/>
    <s v="SATIŞ"/>
    <s v="NAKİT"/>
    <n v="1"/>
    <n v="300"/>
    <n v="0"/>
    <n v="0"/>
    <m/>
    <m/>
    <m/>
    <m/>
    <n v="300"/>
    <n v="0"/>
    <n v="75003.188760151999"/>
  </r>
  <r>
    <d v="2025-11-29T00:00:00"/>
    <x v="4"/>
    <s v="KARABİBER ÇEKİLMİŞ"/>
    <m/>
    <x v="5"/>
    <s v="ST00000000377"/>
    <s v="SATIŞ"/>
    <s v="POS"/>
    <n v="0.140625"/>
    <n v="640"/>
    <n v="90"/>
    <n v="0"/>
    <m/>
    <m/>
    <m/>
    <m/>
    <n v="0"/>
    <n v="0"/>
    <n v="75003.188760151999"/>
  </r>
  <r>
    <d v="2025-11-29T00:00:00"/>
    <x v="4"/>
    <s v="ZENCEFİL TOZ"/>
    <m/>
    <x v="5"/>
    <s v="ST00000000377"/>
    <s v="SATIŞ"/>
    <s v="POS"/>
    <n v="0.11"/>
    <n v="360"/>
    <n v="39.6"/>
    <n v="0"/>
    <m/>
    <m/>
    <m/>
    <m/>
    <n v="0"/>
    <n v="0"/>
    <n v="75003.188760151999"/>
  </r>
  <r>
    <d v="2025-11-29T00:00:00"/>
    <x v="4"/>
    <s v="NANE İRİ"/>
    <m/>
    <x v="5"/>
    <s v="ST00000000377"/>
    <s v="SATIŞ"/>
    <s v="POS"/>
    <n v="0.125"/>
    <n v="400"/>
    <n v="50"/>
    <n v="0"/>
    <m/>
    <m/>
    <m/>
    <m/>
    <n v="0"/>
    <n v="0"/>
    <n v="75003.188760151999"/>
  </r>
  <r>
    <d v="2025-11-29T00:00:00"/>
    <x v="4"/>
    <s v="NAHİTA ELMA SİRKESİ 500 ML"/>
    <m/>
    <x v="1"/>
    <s v="ST00000000378"/>
    <s v="SATIŞ"/>
    <s v="NAKİT"/>
    <n v="1"/>
    <n v="140"/>
    <n v="0"/>
    <n v="0"/>
    <m/>
    <m/>
    <m/>
    <m/>
    <n v="140"/>
    <n v="0"/>
    <n v="75143.188760151999"/>
  </r>
  <r>
    <d v="2025-11-29T00:00:00"/>
    <x v="4"/>
    <s v="DOMATES SALÇASI"/>
    <m/>
    <x v="5"/>
    <s v="ST00000000379"/>
    <s v="SATIŞ"/>
    <s v="POS"/>
    <n v="1"/>
    <n v="130"/>
    <n v="130"/>
    <n v="0"/>
    <m/>
    <m/>
    <m/>
    <m/>
    <n v="0"/>
    <n v="0"/>
    <n v="75143.188760151999"/>
  </r>
  <r>
    <d v="2025-11-29T00:00:00"/>
    <x v="4"/>
    <s v="SOSLU MISIR YERLİ"/>
    <m/>
    <x v="5"/>
    <s v="ST00000000379"/>
    <s v="SATIŞ"/>
    <s v="POS"/>
    <n v="0.13333333333333333"/>
    <n v="150"/>
    <n v="20"/>
    <n v="0"/>
    <m/>
    <m/>
    <m/>
    <m/>
    <n v="0"/>
    <n v="0"/>
    <n v="75143.188760151999"/>
  </r>
  <r>
    <d v="2025-11-29T00:00:00"/>
    <x v="10"/>
    <m/>
    <m/>
    <x v="5"/>
    <m/>
    <s v="POS ÇÖZÜMÜ"/>
    <s v="POS"/>
    <n v="1"/>
    <n v="200"/>
    <n v="0"/>
    <n v="200"/>
    <m/>
    <m/>
    <m/>
    <m/>
    <n v="200"/>
    <n v="0"/>
    <n v="75343.188760151999"/>
  </r>
  <r>
    <d v="2025-11-29T00:00:00"/>
    <x v="1"/>
    <m/>
    <s v="VERGİ VE HARÇLAR"/>
    <x v="2"/>
    <m/>
    <s v="DAMGA VERGİSİ - YENİ KİRA KONTRATI"/>
    <s v="K.K."/>
    <n v="1"/>
    <n v="632.16999999999996"/>
    <n v="0"/>
    <n v="632.16999999999996"/>
    <m/>
    <m/>
    <m/>
    <m/>
    <n v="0"/>
    <n v="0"/>
    <n v="75343.188760151999"/>
  </r>
  <r>
    <d v="2025-11-30T00:00:00"/>
    <x v="4"/>
    <s v="KARABİBER ÇEKİLMİŞ"/>
    <m/>
    <x v="1"/>
    <s v="ST00000000380"/>
    <s v="SATIŞ"/>
    <s v="NAKİT"/>
    <n v="7.8125E-2"/>
    <n v="640"/>
    <n v="0"/>
    <n v="0"/>
    <m/>
    <m/>
    <m/>
    <m/>
    <n v="50"/>
    <n v="0"/>
    <n v="75393.188760151999"/>
  </r>
  <r>
    <d v="2025-11-30T00:00:00"/>
    <x v="4"/>
    <s v="NANE İRİ"/>
    <m/>
    <x v="1"/>
    <s v="ST00000000380"/>
    <s v="SATIŞ"/>
    <s v="NAKİT"/>
    <n v="0.125"/>
    <n v="400"/>
    <n v="0"/>
    <n v="0"/>
    <m/>
    <m/>
    <m/>
    <m/>
    <n v="50"/>
    <n v="0"/>
    <n v="75443.188760151999"/>
  </r>
  <r>
    <d v="2025-11-30T00:00:00"/>
    <x v="4"/>
    <s v="SUMAK"/>
    <m/>
    <x v="5"/>
    <s v="ST00000000381"/>
    <s v="SATIŞ"/>
    <s v="POS"/>
    <n v="0.2"/>
    <n v="500"/>
    <n v="100"/>
    <n v="0"/>
    <m/>
    <m/>
    <m/>
    <m/>
    <n v="0"/>
    <n v="0"/>
    <n v="75443.188760151999"/>
  </r>
  <r>
    <d v="2025-11-30T00:00:00"/>
    <x v="4"/>
    <s v="İPEK BİBER"/>
    <m/>
    <x v="5"/>
    <s v="ST00000000381"/>
    <s v="SATIŞ"/>
    <s v="POS"/>
    <n v="0.2"/>
    <n v="500"/>
    <n v="100"/>
    <n v="0"/>
    <m/>
    <m/>
    <m/>
    <m/>
    <n v="0"/>
    <n v="0"/>
    <n v="75443.188760151999"/>
  </r>
  <r>
    <d v="2025-11-30T00:00:00"/>
    <x v="4"/>
    <s v="DOLMALIK KURU PATLICAN"/>
    <m/>
    <x v="1"/>
    <s v="ST00000000382"/>
    <s v="SATIŞ"/>
    <s v="NAKİT"/>
    <n v="0.5"/>
    <n v="240"/>
    <n v="0"/>
    <n v="0"/>
    <m/>
    <m/>
    <m/>
    <m/>
    <n v="120"/>
    <n v="0"/>
    <n v="75563.188760151999"/>
  </r>
  <r>
    <d v="2025-11-30T00:00:00"/>
    <x v="4"/>
    <s v="DOLMALIK KURU TATLI KIRMIZI BİBER"/>
    <m/>
    <x v="1"/>
    <s v="ST00000000382"/>
    <s v="SATIŞ"/>
    <s v="NAKİT"/>
    <n v="0.5"/>
    <n v="200"/>
    <n v="0"/>
    <n v="0"/>
    <m/>
    <m/>
    <m/>
    <m/>
    <n v="100"/>
    <n v="0"/>
    <n v="75663.188760151999"/>
  </r>
  <r>
    <d v="2025-11-30T00:00:00"/>
    <x v="4"/>
    <s v="HAYIT TOHUMU"/>
    <m/>
    <x v="5"/>
    <s v="ST00000000383"/>
    <s v="SATIŞ"/>
    <s v="POS"/>
    <n v="0.1"/>
    <n v="900"/>
    <n v="90"/>
    <n v="0"/>
    <m/>
    <m/>
    <m/>
    <m/>
    <n v="0"/>
    <n v="0"/>
    <n v="75663.188760151999"/>
  </r>
  <r>
    <d v="2025-11-30T00:00:00"/>
    <x v="4"/>
    <s v="KABUKLU CEVİZ (ŞİLİ)"/>
    <m/>
    <x v="5"/>
    <s v="ST00000000383"/>
    <s v="SATIŞ"/>
    <s v="POS"/>
    <n v="0.14899999999999999"/>
    <n v="270"/>
    <n v="40.229999999999997"/>
    <n v="0"/>
    <m/>
    <m/>
    <m/>
    <m/>
    <n v="0"/>
    <n v="0"/>
    <n v="75663.188760151999"/>
  </r>
  <r>
    <d v="2025-11-30T00:00:00"/>
    <x v="4"/>
    <s v="TÜRK KAHVESİ"/>
    <m/>
    <x v="1"/>
    <s v="ST00000000384"/>
    <s v="SATIŞ"/>
    <s v="NAKİT"/>
    <n v="0.35"/>
    <n v="575"/>
    <n v="0"/>
    <n v="0"/>
    <m/>
    <m/>
    <m/>
    <m/>
    <n v="201.25"/>
    <n v="0"/>
    <n v="75864.438760151999"/>
  </r>
  <r>
    <d v="2025-11-30T00:00:00"/>
    <x v="4"/>
    <s v="TÜRK KAHVESİ"/>
    <m/>
    <x v="1"/>
    <s v="ST00000000384"/>
    <s v="SATIŞ"/>
    <s v="NAKİT"/>
    <n v="0.35"/>
    <n v="575"/>
    <n v="0"/>
    <n v="0"/>
    <m/>
    <m/>
    <m/>
    <m/>
    <n v="201.25"/>
    <n v="0"/>
    <n v="76065.688760151999"/>
  </r>
  <r>
    <d v="2025-11-30T00:00:00"/>
    <x v="4"/>
    <s v="TUZLU FISTIK DUBLE"/>
    <m/>
    <x v="1"/>
    <s v="ST00000000385"/>
    <s v="SATIŞ"/>
    <s v="NAKİT"/>
    <n v="0.51500000000000001"/>
    <n v="195"/>
    <n v="0"/>
    <n v="0"/>
    <m/>
    <m/>
    <m/>
    <m/>
    <n v="100.425"/>
    <n v="0"/>
    <n v="76166.113760152002"/>
  </r>
  <r>
    <d v="2025-11-30T00:00:00"/>
    <x v="4"/>
    <s v="DOMATES SALÇASI"/>
    <m/>
    <x v="1"/>
    <s v="ST00000000386"/>
    <s v="SATIŞ"/>
    <s v="NAKİT"/>
    <n v="1"/>
    <n v="100"/>
    <n v="0"/>
    <n v="0"/>
    <m/>
    <m/>
    <m/>
    <m/>
    <n v="100"/>
    <n v="0"/>
    <n v="76266.113760152002"/>
  </r>
  <r>
    <d v="2025-11-30T00:00:00"/>
    <x v="4"/>
    <s v="NANE İRİ"/>
    <m/>
    <x v="1"/>
    <s v="ST00000000386"/>
    <s v="SATIŞ"/>
    <s v="NAKİT"/>
    <n v="0.15"/>
    <n v="400"/>
    <n v="0"/>
    <n v="0"/>
    <m/>
    <m/>
    <m/>
    <m/>
    <n v="60"/>
    <n v="0"/>
    <n v="76326.113760152002"/>
  </r>
  <r>
    <d v="2025-11-30T00:00:00"/>
    <x v="4"/>
    <s v="TÜDAB KARIŞIK TURŞU"/>
    <m/>
    <x v="1"/>
    <s v="ST00000000387"/>
    <s v="SATIŞ"/>
    <s v="NAKİT"/>
    <n v="1"/>
    <n v="400"/>
    <n v="0"/>
    <n v="0"/>
    <m/>
    <m/>
    <m/>
    <m/>
    <n v="400"/>
    <n v="0"/>
    <n v="76726.113760152002"/>
  </r>
  <r>
    <d v="2025-11-30T00:00:00"/>
    <x v="4"/>
    <s v="CEVİZLİ SUCUK ATOM (ESMER)"/>
    <m/>
    <x v="5"/>
    <s v="ST00000000388"/>
    <s v="SATIŞ"/>
    <s v="POS"/>
    <n v="0.4"/>
    <n v="340"/>
    <n v="136"/>
    <n v="0"/>
    <m/>
    <m/>
    <m/>
    <m/>
    <n v="0"/>
    <n v="0"/>
    <n v="76726.113760152002"/>
  </r>
  <r>
    <d v="2025-11-30T00:00:00"/>
    <x v="4"/>
    <s v="TOZ TARÇIN"/>
    <m/>
    <x v="1"/>
    <s v="ST00000000389"/>
    <s v="SATIŞ"/>
    <s v="NAKİT"/>
    <n v="0.1"/>
    <n v="400"/>
    <n v="0"/>
    <n v="0"/>
    <m/>
    <m/>
    <m/>
    <m/>
    <n v="40"/>
    <n v="0"/>
    <n v="76766.113760152002"/>
  </r>
  <r>
    <d v="2025-11-30T00:00:00"/>
    <x v="4"/>
    <s v="TÜDAB ZEYTİNYAĞLI KUDRET NARI"/>
    <m/>
    <x v="1"/>
    <s v="ST00000000390"/>
    <s v="SATIŞ"/>
    <s v="NAKİT"/>
    <n v="1"/>
    <n v="390"/>
    <n v="0"/>
    <n v="0"/>
    <m/>
    <m/>
    <m/>
    <m/>
    <n v="390"/>
    <n v="0"/>
    <n v="77156.113760152002"/>
  </r>
  <r>
    <d v="2025-11-30T00:00:00"/>
    <x v="4"/>
    <s v="ÇAM TEREBENTİN 50 CC"/>
    <m/>
    <x v="1"/>
    <s v="ST00000000391"/>
    <s v="SATIŞ"/>
    <s v="NAKİT"/>
    <n v="1"/>
    <n v="130"/>
    <n v="0"/>
    <n v="0"/>
    <m/>
    <m/>
    <m/>
    <m/>
    <n v="130"/>
    <n v="0"/>
    <n v="77286.113760152002"/>
  </r>
  <r>
    <d v="2025-11-30T00:00:00"/>
    <x v="4"/>
    <s v="LOKUM SADE - TB"/>
    <m/>
    <x v="1"/>
    <s v="ST00000000391"/>
    <s v="SATIŞ"/>
    <s v="NAKİT"/>
    <n v="0.41935483870967744"/>
    <n v="155"/>
    <n v="0"/>
    <n v="0"/>
    <m/>
    <m/>
    <m/>
    <m/>
    <n v="65"/>
    <n v="0"/>
    <n v="77351.113760152002"/>
  </r>
  <r>
    <d v="2025-11-30T00:00:00"/>
    <x v="4"/>
    <s v="KETEN TOHUMU"/>
    <m/>
    <x v="5"/>
    <s v="ST00000000392"/>
    <s v="SATIŞ"/>
    <s v="POS"/>
    <n v="0.1"/>
    <n v="200"/>
    <n v="20"/>
    <n v="0"/>
    <m/>
    <m/>
    <m/>
    <m/>
    <n v="0"/>
    <n v="0"/>
    <n v="77351.113760152002"/>
  </r>
  <r>
    <d v="2025-11-30T00:00:00"/>
    <x v="4"/>
    <s v="ÖZBEK ÜZÜMÜ"/>
    <m/>
    <x v="5"/>
    <s v="ST00000000392"/>
    <s v="SATIŞ"/>
    <s v="POS"/>
    <n v="9.6199999999999994E-2"/>
    <n v="520"/>
    <n v="50.023999999999994"/>
    <n v="0"/>
    <m/>
    <m/>
    <m/>
    <m/>
    <n v="0"/>
    <n v="0"/>
    <n v="77351.113760152002"/>
  </r>
  <r>
    <d v="2025-11-30T00:00:00"/>
    <x v="4"/>
    <s v="NATTE LEZZET SOSU 980 GR"/>
    <m/>
    <x v="5"/>
    <s v="ST00000000392"/>
    <s v="SATIŞ"/>
    <s v="POS"/>
    <n v="1"/>
    <n v="100"/>
    <n v="100"/>
    <n v="0"/>
    <m/>
    <m/>
    <m/>
    <m/>
    <n v="0"/>
    <n v="0"/>
    <n v="77351.113760152002"/>
  </r>
  <r>
    <d v="2025-11-30T00:00:00"/>
    <x v="4"/>
    <s v="SALÇA TATLI (EV YAPIMI)"/>
    <m/>
    <x v="1"/>
    <s v="ST00000000393"/>
    <s v="SATIŞ"/>
    <s v="NAKİT"/>
    <n v="1"/>
    <n v="180"/>
    <n v="0"/>
    <n v="0"/>
    <m/>
    <m/>
    <m/>
    <m/>
    <n v="180"/>
    <n v="0"/>
    <n v="77531.113760152002"/>
  </r>
  <r>
    <d v="2025-11-30T00:00:00"/>
    <x v="4"/>
    <s v="DOMATES SALÇASI"/>
    <m/>
    <x v="1"/>
    <s v="ST00000000393"/>
    <s v="SATIŞ"/>
    <s v="NAKİT"/>
    <n v="1"/>
    <n v="130"/>
    <n v="0"/>
    <n v="0"/>
    <m/>
    <m/>
    <m/>
    <m/>
    <n v="130"/>
    <n v="0"/>
    <n v="77661.113760152002"/>
  </r>
  <r>
    <d v="2025-11-30T00:00:00"/>
    <x v="4"/>
    <s v="SALÇA ACI (EV YAPIMI)"/>
    <m/>
    <x v="1"/>
    <s v="ST00000000393"/>
    <s v="SATIŞ"/>
    <s v="NAKİT"/>
    <n v="0.5"/>
    <n v="180"/>
    <n v="0"/>
    <n v="0"/>
    <m/>
    <m/>
    <m/>
    <m/>
    <n v="90"/>
    <n v="0"/>
    <n v="77751.113760152002"/>
  </r>
  <r>
    <d v="2025-12-01T00:00:00"/>
    <x v="3"/>
    <s v="TALA KARINCA YUMURTASI YAĞI 20 ML"/>
    <m/>
    <x v="2"/>
    <s v="FT00000000062"/>
    <s v="TR"/>
    <s v="K.K."/>
    <n v="12"/>
    <n v="64.701666666666668"/>
    <n v="0"/>
    <n v="776.42000000000007"/>
    <m/>
    <m/>
    <m/>
    <m/>
    <n v="0"/>
    <n v="0"/>
    <n v="77751.113760152002"/>
  </r>
  <r>
    <d v="2025-12-01T00:00:00"/>
    <x v="3"/>
    <s v="ÇAVUŞOĞLU ÜZÜM PEKMEZİ 1000 GR"/>
    <m/>
    <x v="2"/>
    <s v="FT00000000063"/>
    <s v="TR"/>
    <s v="K.K."/>
    <n v="8"/>
    <n v="102.52500000000001"/>
    <n v="0"/>
    <n v="820.2"/>
    <m/>
    <m/>
    <m/>
    <m/>
    <n v="0"/>
    <n v="0"/>
    <n v="77751.113760152002"/>
  </r>
  <r>
    <d v="2025-12-01T00:00:00"/>
    <x v="3"/>
    <s v="EMBEAUTY KOLEJAN VE KERATİN SAÇ DÖKÜLMESİNE KARŞI ONARICI DOLGUNLAŞTIRICI ŞAMPUAN 400 ML"/>
    <m/>
    <x v="2"/>
    <s v="FT00000000064"/>
    <s v="TR"/>
    <s v="K.K."/>
    <n v="6"/>
    <n v="146.6"/>
    <n v="0"/>
    <n v="879.59999999999991"/>
    <m/>
    <m/>
    <m/>
    <m/>
    <n v="0"/>
    <n v="0"/>
    <n v="77751.113760152002"/>
  </r>
  <r>
    <d v="2025-12-01T00:00:00"/>
    <x v="3"/>
    <s v="HARMANA HİNDİBA KAHVESİ 150G 1 AYLIK 60 KULLANIM"/>
    <m/>
    <x v="2"/>
    <s v="FT00000000065"/>
    <s v="TR"/>
    <s v="K.K."/>
    <n v="4"/>
    <n v="168"/>
    <n v="0"/>
    <n v="672"/>
    <m/>
    <m/>
    <m/>
    <m/>
    <n v="0"/>
    <n v="0"/>
    <n v="77751.113760152002"/>
  </r>
  <r>
    <d v="2025-12-01T00:00:00"/>
    <x v="4"/>
    <s v="SEYHAN ÜZÜM ÖZEL"/>
    <m/>
    <x v="5"/>
    <s v="ST00000000394"/>
    <s v="SATIŞ"/>
    <s v="POS"/>
    <n v="0.17"/>
    <n v="650"/>
    <n v="110.50000000000001"/>
    <n v="0"/>
    <m/>
    <m/>
    <m/>
    <m/>
    <n v="0"/>
    <n v="0"/>
    <n v="77751.113760152002"/>
  </r>
  <r>
    <d v="2025-12-01T00:00:00"/>
    <x v="4"/>
    <s v="NBN DAĞ İNCİRİ"/>
    <m/>
    <x v="5"/>
    <s v="ST00000000394"/>
    <s v="SATIŞ"/>
    <s v="POS"/>
    <n v="0.316"/>
    <n v="700"/>
    <n v="221.2"/>
    <n v="0"/>
    <m/>
    <m/>
    <m/>
    <m/>
    <n v="0"/>
    <n v="0"/>
    <n v="77751.113760152002"/>
  </r>
  <r>
    <d v="2025-12-01T00:00:00"/>
    <x v="4"/>
    <s v="CEVİZLİ SUCUK ATOM (ESMER)"/>
    <m/>
    <x v="5"/>
    <s v="ST00000000394"/>
    <s v="SATIŞ"/>
    <s v="POS"/>
    <n v="0.47199999999999998"/>
    <n v="340"/>
    <n v="160.47999999999999"/>
    <n v="0"/>
    <m/>
    <m/>
    <m/>
    <m/>
    <n v="0"/>
    <n v="0"/>
    <n v="77751.113760152002"/>
  </r>
  <r>
    <d v="2025-12-01T00:00:00"/>
    <x v="4"/>
    <s v="KABUKLU CEVİZ (YERLİ)"/>
    <m/>
    <x v="5"/>
    <s v="ST00000000394"/>
    <s v="SATIŞ"/>
    <s v="POS"/>
    <n v="1"/>
    <n v="270"/>
    <n v="270"/>
    <n v="0"/>
    <m/>
    <m/>
    <m/>
    <m/>
    <n v="0"/>
    <n v="0"/>
    <n v="77751.113760152002"/>
  </r>
  <r>
    <d v="2025-12-01T00:00:00"/>
    <x v="4"/>
    <s v="KÖFTELİK BULGUR"/>
    <m/>
    <x v="1"/>
    <s v="ST00000000395"/>
    <s v="SATIŞ"/>
    <s v="NAKİT"/>
    <n v="1.385"/>
    <n v="65"/>
    <n v="0"/>
    <n v="0"/>
    <m/>
    <m/>
    <m/>
    <m/>
    <n v="90.025000000000006"/>
    <n v="0"/>
    <n v="77841.138760151996"/>
  </r>
  <r>
    <d v="2025-12-01T00:00:00"/>
    <x v="4"/>
    <s v="EVLİK BİBER"/>
    <m/>
    <x v="1"/>
    <s v="ST00000000395"/>
    <s v="SATIŞ"/>
    <s v="NAKİT"/>
    <n v="0.14299999999999999"/>
    <n v="420"/>
    <n v="0"/>
    <n v="0"/>
    <m/>
    <m/>
    <m/>
    <m/>
    <n v="60.059999999999995"/>
    <n v="0"/>
    <n v="77901.198760151994"/>
  </r>
  <r>
    <d v="2025-12-01T00:00:00"/>
    <x v="4"/>
    <s v="YEŞİL ÇAY YAPRAK"/>
    <m/>
    <x v="5"/>
    <s v="ST00000000396"/>
    <s v="SATIŞ"/>
    <s v="POS"/>
    <n v="0.1"/>
    <n v="1350"/>
    <n v="135"/>
    <n v="0"/>
    <m/>
    <m/>
    <m/>
    <m/>
    <n v="0"/>
    <n v="0"/>
    <n v="77901.198760151994"/>
  </r>
  <r>
    <d v="2025-12-01T00:00:00"/>
    <x v="4"/>
    <s v="BİZİM YAPRAK 1 LİK"/>
    <m/>
    <x v="5"/>
    <s v="ST00000000396"/>
    <s v="SATIŞ"/>
    <s v="POS"/>
    <n v="1"/>
    <n v="290"/>
    <n v="290"/>
    <n v="0"/>
    <m/>
    <m/>
    <m/>
    <m/>
    <n v="0"/>
    <n v="0"/>
    <n v="77901.198760151994"/>
  </r>
  <r>
    <d v="2025-12-01T00:00:00"/>
    <x v="4"/>
    <s v="KARABİBER TANE"/>
    <m/>
    <x v="1"/>
    <s v="ST00000000397"/>
    <s v="SATIŞ"/>
    <s v="NAKİT"/>
    <n v="0.1"/>
    <n v="700"/>
    <n v="0"/>
    <n v="0"/>
    <m/>
    <m/>
    <m/>
    <m/>
    <n v="70"/>
    <n v="0"/>
    <n v="77971.198760151994"/>
  </r>
  <r>
    <d v="2025-12-01T00:00:00"/>
    <x v="4"/>
    <s v="DEFNE YAPRAĞI"/>
    <m/>
    <x v="1"/>
    <s v="ST00000000397"/>
    <s v="SATIŞ"/>
    <s v="NAKİT"/>
    <n v="0.05"/>
    <n v="1400"/>
    <n v="0"/>
    <n v="0"/>
    <m/>
    <m/>
    <m/>
    <m/>
    <n v="70"/>
    <n v="0"/>
    <n v="78041.198760151994"/>
  </r>
  <r>
    <d v="2025-12-01T00:00:00"/>
    <x v="4"/>
    <s v="DOLMALIK KURU PATLICAN"/>
    <m/>
    <x v="5"/>
    <s v="ST00000000398"/>
    <s v="SATIŞ"/>
    <s v="POS"/>
    <n v="1"/>
    <n v="240"/>
    <n v="240"/>
    <n v="0"/>
    <m/>
    <m/>
    <m/>
    <m/>
    <n v="0"/>
    <n v="0"/>
    <n v="78041.198760151994"/>
  </r>
  <r>
    <d v="2025-12-01T00:00:00"/>
    <x v="4"/>
    <s v="DOLMALIK SARI BİBER"/>
    <m/>
    <x v="5"/>
    <s v="ST00000000398"/>
    <s v="SATIŞ"/>
    <s v="POS"/>
    <n v="1"/>
    <n v="200"/>
    <n v="200"/>
    <n v="0"/>
    <m/>
    <m/>
    <m/>
    <m/>
    <n v="0"/>
    <n v="0"/>
    <n v="78041.198760151994"/>
  </r>
  <r>
    <d v="2025-12-01T00:00:00"/>
    <x v="4"/>
    <s v="SUMAK"/>
    <m/>
    <x v="5"/>
    <s v="ST00000000398"/>
    <s v="SATIŞ"/>
    <s v="POS"/>
    <n v="0.17"/>
    <n v="500"/>
    <n v="85"/>
    <n v="0"/>
    <m/>
    <m/>
    <m/>
    <m/>
    <n v="0"/>
    <n v="0"/>
    <n v="78041.198760151994"/>
  </r>
  <r>
    <d v="2025-12-01T00:00:00"/>
    <x v="4"/>
    <s v="AYÇEKİRDEĞİ DAKOTA TUZSUZ EKSTRA"/>
    <m/>
    <x v="5"/>
    <s v="ST00000000399"/>
    <s v="SATIŞ"/>
    <s v="POS"/>
    <n v="0.26400000000000001"/>
    <n v="190"/>
    <n v="50.160000000000004"/>
    <n v="0"/>
    <m/>
    <m/>
    <m/>
    <m/>
    <n v="0"/>
    <n v="0"/>
    <n v="78041.198760151994"/>
  </r>
  <r>
    <d v="2025-12-01T00:00:00"/>
    <x v="4"/>
    <s v="HİNDİSTAN CEVİZİ ( İRİ )"/>
    <m/>
    <x v="5"/>
    <s v="ST00000000399"/>
    <s v="SATIŞ"/>
    <s v="POS"/>
    <n v="0.1"/>
    <n v="600"/>
    <n v="60"/>
    <n v="0"/>
    <m/>
    <m/>
    <m/>
    <m/>
    <n v="0"/>
    <n v="0"/>
    <n v="78041.198760151994"/>
  </r>
  <r>
    <d v="2025-12-01T00:00:00"/>
    <x v="4"/>
    <s v="HİNDİSTAN CEVİZİ ( İRİ )"/>
    <m/>
    <x v="1"/>
    <s v="ST00000000400"/>
    <s v="SATIŞ - TOPTAN"/>
    <s v="NAKİT"/>
    <n v="3"/>
    <n v="190"/>
    <n v="0"/>
    <n v="0"/>
    <m/>
    <m/>
    <m/>
    <m/>
    <n v="570"/>
    <n v="0"/>
    <n v="78611.198760151994"/>
  </r>
  <r>
    <d v="2025-12-01T00:00:00"/>
    <x v="4"/>
    <s v="ÇÖREKOTU"/>
    <m/>
    <x v="1"/>
    <s v="ST00000000400"/>
    <s v="SATIŞ - TOPTAN"/>
    <s v="NAKİT"/>
    <n v="1"/>
    <n v="190"/>
    <n v="0"/>
    <n v="0"/>
    <m/>
    <m/>
    <m/>
    <m/>
    <n v="190"/>
    <n v="0"/>
    <n v="78801.198760151994"/>
  </r>
  <r>
    <d v="2025-12-01T00:00:00"/>
    <x v="4"/>
    <s v="TOZ TARÇIN"/>
    <m/>
    <x v="1"/>
    <s v="ST00000000400"/>
    <s v="SATIŞ - TOPTAN"/>
    <s v="NAKİT"/>
    <n v="1"/>
    <n v="150"/>
    <n v="0"/>
    <n v="0"/>
    <m/>
    <m/>
    <m/>
    <m/>
    <n v="150"/>
    <n v="0"/>
    <n v="78951.198760151994"/>
  </r>
  <r>
    <d v="2025-12-01T00:00:00"/>
    <x v="10"/>
    <m/>
    <m/>
    <x v="5"/>
    <m/>
    <s v="POS ÇÖZÜMÜ"/>
    <s v="POS"/>
    <n v="1"/>
    <n v="405"/>
    <n v="0"/>
    <n v="405"/>
    <m/>
    <m/>
    <m/>
    <m/>
    <n v="405"/>
    <n v="0"/>
    <n v="79356.198760151994"/>
  </r>
  <r>
    <d v="2025-12-01T00:00:00"/>
    <x v="1"/>
    <m/>
    <s v="KİRA GİDERLERİ"/>
    <x v="1"/>
    <m/>
    <s v="KİRA GİDERİ - 2025/12"/>
    <s v="NAKİT"/>
    <n v="1"/>
    <n v="22000"/>
    <n v="0"/>
    <n v="0"/>
    <m/>
    <m/>
    <m/>
    <m/>
    <n v="0"/>
    <n v="22000"/>
    <n v="57356.198760151994"/>
  </r>
  <r>
    <d v="2025-12-02T00:00:00"/>
    <x v="4"/>
    <s v="KABUKLU CEVİZ (YERLİ)"/>
    <m/>
    <x v="1"/>
    <s v="ST00000000401"/>
    <s v="SATIŞ"/>
    <s v="NAKİT"/>
    <n v="1"/>
    <n v="290"/>
    <n v="0"/>
    <n v="0"/>
    <m/>
    <m/>
    <m/>
    <m/>
    <n v="290"/>
    <n v="0"/>
    <n v="57646.198760151994"/>
  </r>
  <r>
    <d v="2025-12-02T00:00:00"/>
    <x v="4"/>
    <s v="SUMAK"/>
    <m/>
    <x v="1"/>
    <s v="ST00000000401"/>
    <s v="SATIŞ"/>
    <s v="NAKİT"/>
    <n v="0.1"/>
    <n v="500"/>
    <n v="0"/>
    <n v="0"/>
    <m/>
    <m/>
    <m/>
    <m/>
    <n v="50"/>
    <n v="0"/>
    <n v="57696.198760151994"/>
  </r>
  <r>
    <d v="2025-12-02T00:00:00"/>
    <x v="4"/>
    <s v="HİBİSKUS"/>
    <m/>
    <x v="1"/>
    <s v="ST00000000402"/>
    <s v="SATIŞ"/>
    <s v="NAKİT"/>
    <n v="0.1"/>
    <n v="600"/>
    <n v="0"/>
    <n v="0"/>
    <m/>
    <m/>
    <m/>
    <m/>
    <n v="60"/>
    <n v="0"/>
    <n v="57756.198760151994"/>
  </r>
  <r>
    <d v="2025-12-02T00:00:00"/>
    <x v="4"/>
    <s v="SEYHAN ÜZÜM ÖZEL"/>
    <m/>
    <x v="5"/>
    <s v="ST00000000403"/>
    <s v="SATIŞ"/>
    <s v="POS"/>
    <n v="0.50461538461538458"/>
    <n v="650"/>
    <n v="328"/>
    <n v="0"/>
    <m/>
    <m/>
    <m/>
    <m/>
    <n v="0"/>
    <n v="0"/>
    <n v="57756.198760151994"/>
  </r>
  <r>
    <d v="2025-12-02T00:00:00"/>
    <x v="4"/>
    <s v="NBN DAĞ İNCİRİ"/>
    <m/>
    <x v="5"/>
    <s v="ST00000000403"/>
    <s v="SATIŞ"/>
    <s v="POS"/>
    <n v="0.51714285714285713"/>
    <n v="700"/>
    <n v="362"/>
    <n v="0"/>
    <m/>
    <m/>
    <m/>
    <m/>
    <n v="0"/>
    <n v="0"/>
    <n v="57756.198760151994"/>
  </r>
  <r>
    <d v="2025-12-02T00:00:00"/>
    <x v="4"/>
    <s v="BALPARMAK YAYLA VE OVA ÇİÇEK BALI 850 GR"/>
    <m/>
    <x v="5"/>
    <s v="ST00000000403"/>
    <s v="SATIŞ"/>
    <s v="POS"/>
    <n v="1"/>
    <n v="440"/>
    <n v="440"/>
    <n v="0"/>
    <m/>
    <m/>
    <m/>
    <m/>
    <n v="0"/>
    <n v="0"/>
    <n v="57756.198760151994"/>
  </r>
  <r>
    <d v="2025-12-02T00:00:00"/>
    <x v="4"/>
    <s v="HAM KABAK LİFİ İŞLENMEMİŞ"/>
    <m/>
    <x v="5"/>
    <s v="ST00000000404"/>
    <s v="SATIŞ"/>
    <s v="POS"/>
    <n v="1"/>
    <n v="180"/>
    <n v="180"/>
    <n v="0"/>
    <m/>
    <m/>
    <m/>
    <m/>
    <n v="0"/>
    <n v="0"/>
    <n v="57756.198760151994"/>
  </r>
  <r>
    <d v="2025-12-02T00:00:00"/>
    <x v="4"/>
    <s v="DOLMALIK SARI BİBER"/>
    <m/>
    <x v="5"/>
    <s v="ST00000000404"/>
    <s v="SATIŞ"/>
    <s v="POS"/>
    <n v="1"/>
    <n v="200"/>
    <n v="200"/>
    <n v="0"/>
    <m/>
    <m/>
    <m/>
    <m/>
    <n v="0"/>
    <n v="0"/>
    <n v="57756.198760151994"/>
  </r>
  <r>
    <d v="2025-12-02T00:00:00"/>
    <x v="4"/>
    <s v="HAYIT TOHUMU"/>
    <m/>
    <x v="1"/>
    <s v="ST00000000405"/>
    <s v="SATIŞ"/>
    <s v="NAKİT"/>
    <n v="0.1"/>
    <n v="900"/>
    <n v="0"/>
    <n v="0"/>
    <m/>
    <m/>
    <m/>
    <m/>
    <n v="90"/>
    <n v="0"/>
    <n v="57846.198760151994"/>
  </r>
  <r>
    <d v="2025-12-02T00:00:00"/>
    <x v="4"/>
    <s v="TALA KARINCA YUMURTASI YAĞI 20 ML"/>
    <m/>
    <x v="1"/>
    <s v="ST00000000406"/>
    <s v="SATIŞ"/>
    <s v="NAKİT"/>
    <n v="1"/>
    <n v="170"/>
    <n v="0"/>
    <n v="0"/>
    <m/>
    <m/>
    <m/>
    <m/>
    <n v="170"/>
    <n v="0"/>
    <n v="58016.198760151994"/>
  </r>
  <r>
    <d v="2025-12-02T00:00:00"/>
    <x v="4"/>
    <s v="KARABİBER TANE"/>
    <m/>
    <x v="1"/>
    <s v="ST00000000406"/>
    <s v="SATIŞ"/>
    <s v="NAKİT"/>
    <n v="0.1"/>
    <n v="700"/>
    <n v="0"/>
    <n v="0"/>
    <m/>
    <m/>
    <m/>
    <m/>
    <n v="70"/>
    <n v="0"/>
    <n v="58086.198760151994"/>
  </r>
  <r>
    <d v="2025-12-02T00:00:00"/>
    <x v="4"/>
    <s v="HİNDİSTAN CEVİZİ ( İRİ )"/>
    <m/>
    <x v="1"/>
    <s v="ST00000000406"/>
    <s v="SATIŞ"/>
    <s v="NAKİT"/>
    <n v="0.1"/>
    <n v="600"/>
    <n v="0"/>
    <n v="0"/>
    <m/>
    <m/>
    <m/>
    <m/>
    <n v="60"/>
    <n v="0"/>
    <n v="58146.198760151994"/>
  </r>
  <r>
    <d v="2025-12-02T00:00:00"/>
    <x v="4"/>
    <s v="TÜDAB KIŞ ÇAYI 200 GR"/>
    <m/>
    <x v="1"/>
    <s v="ST00000000406"/>
    <s v="SATIŞ"/>
    <s v="NAKİT"/>
    <n v="1"/>
    <n v="140"/>
    <n v="0"/>
    <n v="0"/>
    <m/>
    <m/>
    <m/>
    <m/>
    <n v="140"/>
    <n v="0"/>
    <n v="58286.198760151994"/>
  </r>
  <r>
    <d v="2025-12-02T00:00:00"/>
    <x v="4"/>
    <s v="TOZ BİBER - TATLI"/>
    <m/>
    <x v="1"/>
    <s v="ST00000000407"/>
    <s v="SATIŞ"/>
    <s v="NAKİT"/>
    <n v="0.114"/>
    <n v="370"/>
    <n v="0"/>
    <n v="0"/>
    <m/>
    <m/>
    <m/>
    <m/>
    <n v="42.18"/>
    <n v="0"/>
    <n v="58328.378760151994"/>
  </r>
  <r>
    <d v="2025-12-02T00:00:00"/>
    <x v="4"/>
    <s v="İSOT"/>
    <m/>
    <x v="1"/>
    <s v="ST00000000407"/>
    <s v="SATIŞ"/>
    <s v="NAKİT"/>
    <n v="0.108"/>
    <n v="380"/>
    <n v="0"/>
    <n v="0"/>
    <m/>
    <m/>
    <m/>
    <m/>
    <n v="41.04"/>
    <n v="0"/>
    <n v="58369.418760151995"/>
  </r>
  <r>
    <d v="2025-12-02T00:00:00"/>
    <x v="4"/>
    <s v="İRİ BEYAZ KABAK ÇEKİRDEĞİ - NEVŞEHİR"/>
    <m/>
    <x v="5"/>
    <s v="ST00000000407"/>
    <s v="SATIŞ"/>
    <s v="POS"/>
    <n v="0.28000000000000003"/>
    <n v="360"/>
    <n v="100.80000000000001"/>
    <n v="0"/>
    <m/>
    <m/>
    <m/>
    <m/>
    <n v="0"/>
    <n v="0"/>
    <n v="58369.418760151995"/>
  </r>
  <r>
    <d v="2025-12-02T00:00:00"/>
    <x v="4"/>
    <s v="HAYIT TOHUMU"/>
    <m/>
    <x v="5"/>
    <s v="ST00000000408"/>
    <s v="SATIŞ"/>
    <s v="POS"/>
    <n v="0.1"/>
    <n v="900"/>
    <n v="90"/>
    <n v="0"/>
    <m/>
    <m/>
    <m/>
    <m/>
    <n v="0"/>
    <n v="0"/>
    <n v="58369.418760151995"/>
  </r>
  <r>
    <d v="2025-12-02T00:00:00"/>
    <x v="4"/>
    <s v="YENİ MAHSÜL PAPATYA"/>
    <m/>
    <x v="5"/>
    <s v="ST00000000408"/>
    <s v="SATIŞ"/>
    <s v="POS"/>
    <n v="0.04"/>
    <n v="2250"/>
    <n v="90"/>
    <n v="0"/>
    <m/>
    <m/>
    <m/>
    <m/>
    <n v="0"/>
    <n v="0"/>
    <n v="58369.418760151995"/>
  </r>
  <r>
    <d v="2025-12-02T00:00:00"/>
    <x v="4"/>
    <s v="ADAÇAYI DEMET"/>
    <m/>
    <x v="5"/>
    <s v="ST00000000409"/>
    <s v="SATIŞ"/>
    <s v="POS"/>
    <n v="1"/>
    <n v="60"/>
    <n v="60"/>
    <n v="0"/>
    <m/>
    <m/>
    <m/>
    <m/>
    <n v="0"/>
    <n v="0"/>
    <n v="58369.418760151995"/>
  </r>
  <r>
    <d v="2025-12-02T00:00:00"/>
    <x v="4"/>
    <s v="İZMİR ÜZÜMÜ"/>
    <m/>
    <x v="5"/>
    <s v="ST00000000409"/>
    <s v="SATIŞ"/>
    <s v="POS"/>
    <n v="0.32"/>
    <n v="250"/>
    <n v="80"/>
    <n v="0"/>
    <m/>
    <m/>
    <m/>
    <m/>
    <n v="0"/>
    <n v="0"/>
    <n v="58369.418760151995"/>
  </r>
  <r>
    <d v="2025-12-02T00:00:00"/>
    <x v="4"/>
    <s v="LOKUM SADE - TB"/>
    <m/>
    <x v="5"/>
    <s v="ST00000000409"/>
    <s v="SATIŞ"/>
    <s v="POS"/>
    <n v="0.52258064516129032"/>
    <n v="155"/>
    <n v="81"/>
    <n v="0"/>
    <m/>
    <m/>
    <m/>
    <m/>
    <n v="0"/>
    <n v="0"/>
    <n v="58369.418760151995"/>
  </r>
  <r>
    <d v="2025-12-02T00:00:00"/>
    <x v="4"/>
    <s v="KUŞBURNU - KIRMIZI"/>
    <m/>
    <x v="5"/>
    <s v="ST00000000409"/>
    <s v="SATIŞ"/>
    <s v="POS"/>
    <n v="0.25"/>
    <n v="360"/>
    <n v="90"/>
    <n v="0"/>
    <m/>
    <m/>
    <m/>
    <m/>
    <n v="0"/>
    <n v="0"/>
    <n v="58369.418760151995"/>
  </r>
  <r>
    <d v="2025-12-02T00:00:00"/>
    <x v="4"/>
    <s v="BİZİM YAPRAK 1 LİK"/>
    <m/>
    <x v="5"/>
    <s v="ST00000000409"/>
    <s v="SATIŞ"/>
    <s v="POS"/>
    <n v="1"/>
    <n v="290"/>
    <n v="290"/>
    <n v="0"/>
    <m/>
    <m/>
    <m/>
    <m/>
    <n v="0"/>
    <n v="0"/>
    <n v="58369.418760151995"/>
  </r>
  <r>
    <d v="2025-12-02T00:00:00"/>
    <x v="4"/>
    <s v="KARBONAT"/>
    <m/>
    <x v="5"/>
    <s v="ST00000000410"/>
    <s v="SATIŞ"/>
    <s v="POS"/>
    <n v="0.25"/>
    <n v="80"/>
    <n v="20"/>
    <n v="0"/>
    <m/>
    <m/>
    <m/>
    <m/>
    <n v="0"/>
    <n v="0"/>
    <n v="58369.418760151995"/>
  </r>
  <r>
    <d v="2025-12-02T00:00:00"/>
    <x v="4"/>
    <s v="YEŞİL ÇAY YAPRAK"/>
    <m/>
    <x v="1"/>
    <s v="ST00000000411"/>
    <s v="SATIŞ"/>
    <s v="NAKİT"/>
    <n v="0.1"/>
    <n v="1350"/>
    <n v="0"/>
    <n v="0"/>
    <m/>
    <m/>
    <m/>
    <m/>
    <n v="135"/>
    <n v="0"/>
    <n v="58504.418760151995"/>
  </r>
  <r>
    <d v="2025-12-02T00:00:00"/>
    <x v="10"/>
    <m/>
    <m/>
    <x v="5"/>
    <m/>
    <s v="POS ÇÖZÜMÜ"/>
    <s v="POS"/>
    <n v="1"/>
    <n v="2130"/>
    <n v="0"/>
    <n v="2130"/>
    <m/>
    <m/>
    <m/>
    <m/>
    <n v="2130"/>
    <n v="0"/>
    <n v="60634.418760151995"/>
  </r>
  <r>
    <d v="2025-12-03T00:00:00"/>
    <x v="4"/>
    <s v="TUZSUZ FISTIK 1 NO"/>
    <m/>
    <x v="1"/>
    <s v="ST00000000412"/>
    <s v="SATIŞ"/>
    <s v="NAKİT"/>
    <n v="0.25641025641025639"/>
    <n v="195"/>
    <n v="0"/>
    <n v="0"/>
    <m/>
    <m/>
    <m/>
    <m/>
    <n v="49.999999999999993"/>
    <n v="0"/>
    <n v="60684.418760151995"/>
  </r>
  <r>
    <d v="2025-12-03T00:00:00"/>
    <x v="4"/>
    <s v="DUT KURUSU LÜX ELAZIĞ"/>
    <m/>
    <x v="5"/>
    <s v="ST00000000413"/>
    <s v="SATIŞ"/>
    <s v="POS"/>
    <n v="9.375E-2"/>
    <n v="800"/>
    <n v="75"/>
    <n v="0"/>
    <m/>
    <m/>
    <m/>
    <m/>
    <n v="0"/>
    <n v="0"/>
    <n v="60684.418760151995"/>
  </r>
  <r>
    <d v="2025-12-03T00:00:00"/>
    <x v="4"/>
    <s v="HAM KABAK LİFİ İŞLENMEMİŞ"/>
    <m/>
    <x v="5"/>
    <s v="ST00000000413"/>
    <s v="SATIŞ"/>
    <s v="POS"/>
    <n v="2"/>
    <n v="180"/>
    <n v="360"/>
    <n v="0"/>
    <m/>
    <m/>
    <m/>
    <m/>
    <n v="0"/>
    <n v="0"/>
    <n v="60684.418760151995"/>
  </r>
  <r>
    <d v="2025-12-03T00:00:00"/>
    <x v="4"/>
    <s v="IHLAMUR YAPRAK"/>
    <m/>
    <x v="5"/>
    <s v="ST00000000413"/>
    <s v="SATIŞ"/>
    <s v="POS"/>
    <n v="0.05"/>
    <n v="2600"/>
    <n v="130"/>
    <n v="0"/>
    <m/>
    <m/>
    <m/>
    <m/>
    <n v="0"/>
    <n v="0"/>
    <n v="60684.418760151995"/>
  </r>
  <r>
    <d v="2025-12-03T00:00:00"/>
    <x v="4"/>
    <s v="NBN 2,5 KG İNCİR"/>
    <m/>
    <x v="1"/>
    <s v="ST00000000414"/>
    <s v="SATIŞ"/>
    <s v="NAKİT"/>
    <n v="8.3333333333333329E-2"/>
    <n v="600"/>
    <n v="0"/>
    <n v="0"/>
    <m/>
    <m/>
    <m/>
    <m/>
    <n v="50"/>
    <n v="0"/>
    <n v="60734.418760151995"/>
  </r>
  <r>
    <d v="2025-12-03T00:00:00"/>
    <x v="4"/>
    <s v="AÇIK KAYISI İRİ (SARI)"/>
    <m/>
    <x v="1"/>
    <s v="ST00000000414"/>
    <s v="SATIŞ"/>
    <s v="NAKİT"/>
    <n v="6.6666666666666666E-2"/>
    <n v="750"/>
    <n v="0"/>
    <n v="0"/>
    <m/>
    <m/>
    <m/>
    <m/>
    <n v="50"/>
    <n v="0"/>
    <n v="60784.418760151995"/>
  </r>
  <r>
    <d v="2025-12-03T00:00:00"/>
    <x v="4"/>
    <s v="EVLİK BİBER"/>
    <m/>
    <x v="1"/>
    <s v="ST00000000414"/>
    <s v="SATIŞ"/>
    <s v="NAKİT"/>
    <n v="7.3684210526315783E-2"/>
    <n v="380"/>
    <n v="0"/>
    <n v="0"/>
    <m/>
    <m/>
    <m/>
    <m/>
    <n v="27.999999999999996"/>
    <n v="0"/>
    <n v="60812.418760151995"/>
  </r>
  <r>
    <d v="2025-12-03T00:00:00"/>
    <x v="4"/>
    <s v="DOLMALIK KURU PATLICAN"/>
    <m/>
    <x v="1"/>
    <s v="ST00000000415"/>
    <s v="SATIŞ"/>
    <s v="NAKİT"/>
    <n v="1"/>
    <n v="240"/>
    <n v="0"/>
    <n v="0"/>
    <m/>
    <m/>
    <m/>
    <m/>
    <n v="240"/>
    <n v="0"/>
    <n v="61052.418760151995"/>
  </r>
  <r>
    <d v="2025-12-03T00:00:00"/>
    <x v="4"/>
    <s v="SALÇA ACI (EV YAPIMI)"/>
    <m/>
    <x v="5"/>
    <s v="ST00000000416"/>
    <s v="SATIŞ"/>
    <s v="POS"/>
    <n v="0.5"/>
    <n v="180"/>
    <n v="90"/>
    <n v="0"/>
    <m/>
    <m/>
    <m/>
    <m/>
    <n v="0"/>
    <n v="0"/>
    <n v="61052.418760151995"/>
  </r>
  <r>
    <d v="2025-12-03T00:00:00"/>
    <x v="4"/>
    <s v="İPEK BİBER"/>
    <m/>
    <x v="5"/>
    <s v="ST00000000417"/>
    <s v="SATIŞ"/>
    <s v="POS"/>
    <n v="0.23200000000000001"/>
    <n v="500"/>
    <n v="116"/>
    <n v="0"/>
    <m/>
    <m/>
    <m/>
    <m/>
    <n v="0"/>
    <n v="0"/>
    <n v="61052.418760151995"/>
  </r>
  <r>
    <d v="2025-12-03T00:00:00"/>
    <x v="4"/>
    <s v="AYÇEKİRDEĞİ DAKOTA TUZSUZ EKSTRA"/>
    <m/>
    <x v="5"/>
    <s v="ST00000000417"/>
    <s v="SATIŞ"/>
    <s v="POS"/>
    <n v="0.18421052631578946"/>
    <n v="190"/>
    <n v="35"/>
    <n v="0"/>
    <m/>
    <m/>
    <m/>
    <m/>
    <n v="0"/>
    <n v="0"/>
    <n v="61052.418760151995"/>
  </r>
  <r>
    <d v="2025-12-03T00:00:00"/>
    <x v="4"/>
    <s v="ZÜHRE ANA L-CARNİTİNE DESTEKLİ FORM MACUNU - 240 GR"/>
    <m/>
    <x v="5"/>
    <s v="ST00000000418"/>
    <s v="SATIŞ"/>
    <s v="POS"/>
    <n v="1"/>
    <n v="220"/>
    <n v="220"/>
    <n v="0"/>
    <m/>
    <m/>
    <m/>
    <m/>
    <n v="0"/>
    <n v="0"/>
    <n v="61052.418760151995"/>
  </r>
  <r>
    <d v="2025-12-03T00:00:00"/>
    <x v="4"/>
    <s v="ÇUBUK TARÇIN"/>
    <m/>
    <x v="5"/>
    <s v="ST00000000418"/>
    <s v="SATIŞ"/>
    <s v="POS"/>
    <n v="0.1"/>
    <n v="650"/>
    <n v="65"/>
    <n v="0"/>
    <m/>
    <m/>
    <m/>
    <m/>
    <n v="0"/>
    <n v="0"/>
    <n v="61052.418760151995"/>
  </r>
  <r>
    <d v="2025-12-03T00:00:00"/>
    <x v="4"/>
    <s v="TOZ TARÇIN"/>
    <m/>
    <x v="5"/>
    <s v="ST00000000418"/>
    <s v="SATIŞ"/>
    <s v="POS"/>
    <n v="0.1"/>
    <n v="400"/>
    <n v="40"/>
    <n v="0"/>
    <m/>
    <m/>
    <m/>
    <m/>
    <n v="0"/>
    <n v="0"/>
    <n v="61052.418760151995"/>
  </r>
  <r>
    <d v="2025-12-03T00:00:00"/>
    <x v="4"/>
    <s v="KAFFKA DİBEK KAHVESİ 150 GR"/>
    <m/>
    <x v="5"/>
    <s v="ST00000000420"/>
    <s v="SATIŞ"/>
    <s v="POS"/>
    <n v="1"/>
    <n v="60"/>
    <n v="60"/>
    <n v="0"/>
    <m/>
    <m/>
    <m/>
    <m/>
    <n v="0"/>
    <n v="0"/>
    <n v="61052.418760151995"/>
  </r>
  <r>
    <d v="2025-12-03T00:00:00"/>
    <x v="4"/>
    <s v="NANE İRİ"/>
    <m/>
    <x v="5"/>
    <s v="ST00000000420"/>
    <s v="SATIŞ"/>
    <s v="POS"/>
    <n v="0.1"/>
    <n v="400"/>
    <n v="40"/>
    <n v="0"/>
    <m/>
    <m/>
    <m/>
    <m/>
    <n v="0"/>
    <n v="0"/>
    <n v="61052.418760151995"/>
  </r>
  <r>
    <d v="2025-12-03T00:00:00"/>
    <x v="4"/>
    <s v="YENİBAHAR TOZ"/>
    <m/>
    <x v="5"/>
    <s v="ST00000000420"/>
    <s v="SATIŞ"/>
    <s v="POS"/>
    <n v="0.12987012987012986"/>
    <n v="770"/>
    <n v="99.999999999999986"/>
    <n v="0"/>
    <m/>
    <m/>
    <m/>
    <m/>
    <n v="0"/>
    <n v="0"/>
    <n v="61052.418760151995"/>
  </r>
  <r>
    <d v="2025-12-03T00:00:00"/>
    <x v="4"/>
    <s v="HAYIT TOHUMU"/>
    <m/>
    <x v="5"/>
    <s v="ST00000000421"/>
    <s v="SATIŞ"/>
    <s v="POS"/>
    <n v="0.1"/>
    <n v="900"/>
    <n v="90"/>
    <n v="0"/>
    <m/>
    <m/>
    <m/>
    <m/>
    <n v="0"/>
    <n v="0"/>
    <n v="61052.418760151995"/>
  </r>
  <r>
    <d v="2025-12-03T00:00:00"/>
    <x v="4"/>
    <s v="LEBLEBİ ÇİFTE SARI"/>
    <m/>
    <x v="5"/>
    <s v="ST00000000422"/>
    <s v="SATIŞ"/>
    <s v="POS"/>
    <n v="0.20833333333333334"/>
    <n v="240"/>
    <n v="50"/>
    <n v="0"/>
    <m/>
    <m/>
    <m/>
    <m/>
    <n v="0"/>
    <n v="0"/>
    <n v="61052.418760151995"/>
  </r>
  <r>
    <d v="2025-12-03T00:00:00"/>
    <x v="4"/>
    <s v="TUZLU FISTIK DUBLE"/>
    <m/>
    <x v="5"/>
    <s v="ST00000000422"/>
    <s v="SATIŞ"/>
    <s v="POS"/>
    <n v="0.25641025641025639"/>
    <n v="195"/>
    <n v="49.999999999999993"/>
    <n v="0"/>
    <m/>
    <m/>
    <m/>
    <m/>
    <n v="0"/>
    <n v="0"/>
    <n v="61052.418760151995"/>
  </r>
  <r>
    <d v="2025-12-03T00:00:00"/>
    <x v="4"/>
    <s v="KABUKLU CEVİZ (YERLİ)"/>
    <m/>
    <x v="5"/>
    <s v="ST00000000422"/>
    <s v="SATIŞ"/>
    <s v="POS"/>
    <n v="0.44827586206896552"/>
    <n v="290"/>
    <n v="130"/>
    <n v="0"/>
    <m/>
    <m/>
    <m/>
    <m/>
    <n v="0"/>
    <n v="0"/>
    <n v="61052.418760151995"/>
  </r>
  <r>
    <d v="2025-12-03T00:00:00"/>
    <x v="4"/>
    <s v="İPEK BİBER"/>
    <m/>
    <x v="5"/>
    <s v="ST00000000423"/>
    <s v="SATIŞ"/>
    <s v="POS"/>
    <n v="0.1"/>
    <n v="500"/>
    <n v="50"/>
    <n v="0"/>
    <m/>
    <m/>
    <m/>
    <m/>
    <n v="0"/>
    <n v="0"/>
    <n v="61052.418760151995"/>
  </r>
  <r>
    <d v="2025-12-03T00:00:00"/>
    <x v="4"/>
    <s v="NANE İRİ"/>
    <m/>
    <x v="5"/>
    <s v="ST00000000423"/>
    <s v="SATIŞ"/>
    <s v="POS"/>
    <n v="0.1"/>
    <n v="400"/>
    <n v="40"/>
    <n v="0"/>
    <m/>
    <m/>
    <m/>
    <m/>
    <n v="0"/>
    <n v="0"/>
    <n v="61052.418760151995"/>
  </r>
  <r>
    <d v="2025-12-03T00:00:00"/>
    <x v="4"/>
    <s v="SOSLU MISIR YERLİ"/>
    <m/>
    <x v="5"/>
    <s v="ST00000000423"/>
    <s v="SATIŞ"/>
    <s v="POS"/>
    <n v="0.23333333333333334"/>
    <n v="150"/>
    <n v="35"/>
    <n v="0"/>
    <m/>
    <m/>
    <m/>
    <m/>
    <n v="0"/>
    <n v="0"/>
    <n v="61052.418760151995"/>
  </r>
  <r>
    <d v="2025-12-03T00:00:00"/>
    <x v="4"/>
    <s v="ZÜHRE ANA ANANAS SİRKESİ 500 ML"/>
    <m/>
    <x v="5"/>
    <s v="ST00000000423"/>
    <s v="SATIŞ"/>
    <s v="POS"/>
    <n v="1"/>
    <n v="220"/>
    <n v="220"/>
    <n v="0"/>
    <m/>
    <m/>
    <m/>
    <m/>
    <n v="0"/>
    <n v="0"/>
    <n v="61052.418760151995"/>
  </r>
  <r>
    <d v="2025-12-03T00:00:00"/>
    <x v="4"/>
    <s v="LEBLEBİ ÇİFTE SARI"/>
    <m/>
    <x v="5"/>
    <s v="ST00000000423"/>
    <s v="SATIŞ"/>
    <s v="POS"/>
    <n v="0.20833333333333334"/>
    <n v="240"/>
    <n v="50"/>
    <n v="0"/>
    <m/>
    <m/>
    <m/>
    <m/>
    <n v="0"/>
    <n v="0"/>
    <n v="61052.418760151995"/>
  </r>
  <r>
    <d v="2025-12-03T00:00:00"/>
    <x v="4"/>
    <s v="HİNDİSTAN CEVİZİ ( İRİ )"/>
    <m/>
    <x v="5"/>
    <s v="ST00000000424"/>
    <s v="SATIŞ"/>
    <s v="POS"/>
    <n v="0.2"/>
    <n v="600"/>
    <n v="120"/>
    <n v="0"/>
    <m/>
    <m/>
    <m/>
    <m/>
    <n v="0"/>
    <n v="0"/>
    <n v="61052.418760151995"/>
  </r>
  <r>
    <d v="2025-12-03T00:00:00"/>
    <x v="7"/>
    <m/>
    <m/>
    <x v="3"/>
    <m/>
    <s v="YALÇINTAT - ÖDEME"/>
    <s v="NAKİT"/>
    <n v="1"/>
    <n v="0"/>
    <n v="20000"/>
    <n v="0"/>
    <m/>
    <m/>
    <m/>
    <m/>
    <n v="0"/>
    <n v="20000"/>
    <n v="41052.418760151995"/>
  </r>
  <r>
    <d v="2025-12-03T00:00:00"/>
    <x v="10"/>
    <m/>
    <m/>
    <x v="5"/>
    <m/>
    <s v="POS ÇÖZÜMÜ"/>
    <s v="POS"/>
    <n v="1"/>
    <n v="1415"/>
    <n v="0"/>
    <n v="1415"/>
    <m/>
    <m/>
    <m/>
    <m/>
    <n v="1415"/>
    <n v="0"/>
    <n v="42467.418760151995"/>
  </r>
  <r>
    <d v="2025-12-04T00:00:00"/>
    <x v="3"/>
    <s v="FORTEM AĞRI KESİCİ KREM"/>
    <m/>
    <x v="4"/>
    <s v="FT00000000066"/>
    <s v="TÜDAB A.Ş."/>
    <s v="CARİ"/>
    <n v="3"/>
    <n v="205"/>
    <n v="0"/>
    <n v="615"/>
    <m/>
    <m/>
    <m/>
    <m/>
    <n v="0"/>
    <n v="0"/>
    <n v="42467.418760151995"/>
  </r>
  <r>
    <d v="2025-12-04T00:00:00"/>
    <x v="3"/>
    <s v="FORTEM TABLET"/>
    <m/>
    <x v="4"/>
    <s v="FT00000000066"/>
    <s v="TÜDAB A.Ş."/>
    <s v="CARİ"/>
    <n v="3"/>
    <n v="270"/>
    <n v="0"/>
    <n v="810"/>
    <m/>
    <m/>
    <m/>
    <m/>
    <n v="0"/>
    <n v="0"/>
    <n v="42467.418760151995"/>
  </r>
  <r>
    <d v="2025-12-04T00:00:00"/>
    <x v="3"/>
    <s v="GÜNAYDIN KAYA TUZU İNCE"/>
    <m/>
    <x v="4"/>
    <s v="FT00000000066"/>
    <s v="TÜDAB A.Ş."/>
    <s v="CARİ"/>
    <n v="10"/>
    <n v="15"/>
    <n v="0"/>
    <n v="150"/>
    <m/>
    <m/>
    <m/>
    <m/>
    <n v="0"/>
    <n v="0"/>
    <n v="42467.418760151995"/>
  </r>
  <r>
    <d v="2025-12-04T00:00:00"/>
    <x v="3"/>
    <s v="GÜNAYDIN KAYA TUZU İRİ"/>
    <m/>
    <x v="4"/>
    <s v="FT00000000066"/>
    <s v="TÜDAB A.Ş."/>
    <s v="CARİ"/>
    <n v="10"/>
    <n v="15"/>
    <n v="0"/>
    <n v="150"/>
    <m/>
    <m/>
    <m/>
    <m/>
    <n v="0"/>
    <n v="0"/>
    <n v="42467.418760151995"/>
  </r>
  <r>
    <d v="2025-12-04T00:00:00"/>
    <x v="3"/>
    <s v="HAM KABAK LİFİ İŞLENMEMİŞ"/>
    <m/>
    <x v="4"/>
    <s v="FT00000000066"/>
    <s v="TÜDAB A.Ş."/>
    <s v="CARİ"/>
    <n v="20"/>
    <n v="90"/>
    <n v="0"/>
    <n v="1800"/>
    <m/>
    <m/>
    <m/>
    <m/>
    <n v="0"/>
    <n v="0"/>
    <n v="42467.418760151995"/>
  </r>
  <r>
    <d v="2025-12-04T00:00:00"/>
    <x v="3"/>
    <s v="HAYIT TOHUMU"/>
    <m/>
    <x v="4"/>
    <s v="FT00000000066"/>
    <s v="TÜDAB A.Ş."/>
    <s v="CARİ"/>
    <n v="1"/>
    <n v="150"/>
    <n v="0"/>
    <n v="150"/>
    <m/>
    <m/>
    <m/>
    <m/>
    <n v="0"/>
    <n v="0"/>
    <n v="42467.418760151995"/>
  </r>
  <r>
    <d v="2025-12-04T00:00:00"/>
    <x v="3"/>
    <s v="KARABİBER TANE"/>
    <m/>
    <x v="4"/>
    <s v="FT00000000066"/>
    <s v="TÜDAB A.Ş."/>
    <s v="CARİ"/>
    <n v="1"/>
    <n v="400"/>
    <n v="0"/>
    <n v="400"/>
    <m/>
    <m/>
    <m/>
    <m/>
    <n v="0"/>
    <n v="0"/>
    <n v="42467.418760151995"/>
  </r>
  <r>
    <d v="2025-12-04T00:00:00"/>
    <x v="3"/>
    <s v="KİMYON TANE"/>
    <m/>
    <x v="4"/>
    <s v="FT00000000066"/>
    <s v="TÜDAB A.Ş."/>
    <s v="CARİ"/>
    <n v="1"/>
    <n v="245"/>
    <n v="0"/>
    <n v="245"/>
    <m/>
    <m/>
    <m/>
    <m/>
    <n v="0"/>
    <n v="0"/>
    <n v="42467.418760151995"/>
  </r>
  <r>
    <d v="2025-12-04T00:00:00"/>
    <x v="3"/>
    <s v="MİGREN TAŞI (MENTHO BOX)"/>
    <m/>
    <x v="4"/>
    <s v="FT00000000066"/>
    <s v="TÜDAB A.Ş."/>
    <s v="CARİ"/>
    <n v="6"/>
    <n v="75"/>
    <n v="0"/>
    <n v="450"/>
    <m/>
    <m/>
    <m/>
    <m/>
    <n v="0"/>
    <n v="0"/>
    <n v="42467.418760151995"/>
  </r>
  <r>
    <d v="2025-12-04T00:00:00"/>
    <x v="3"/>
    <s v="NBN DAĞ İNCİRİ"/>
    <m/>
    <x v="4"/>
    <s v="FT00000000066"/>
    <s v="TÜDAB A.Ş."/>
    <s v="CARİ"/>
    <n v="5"/>
    <n v="550"/>
    <n v="0"/>
    <n v="2750"/>
    <m/>
    <m/>
    <m/>
    <m/>
    <n v="0"/>
    <n v="0"/>
    <n v="42467.418760151995"/>
  </r>
  <r>
    <d v="2025-12-04T00:00:00"/>
    <x v="3"/>
    <s v="TİLAKS ÇAYI"/>
    <m/>
    <x v="4"/>
    <s v="FT00000000066"/>
    <s v="TÜDAB A.Ş."/>
    <s v="CARİ"/>
    <n v="6"/>
    <n v="65"/>
    <n v="0"/>
    <n v="390"/>
    <m/>
    <m/>
    <m/>
    <m/>
    <n v="0"/>
    <n v="0"/>
    <n v="42467.418760151995"/>
  </r>
  <r>
    <d v="2025-12-04T00:00:00"/>
    <x v="4"/>
    <s v="İPEK BİBER"/>
    <m/>
    <x v="1"/>
    <s v="ST00000000425"/>
    <s v="SATIŞ"/>
    <s v="NAKİT"/>
    <n v="0.33800000000000002"/>
    <n v="500"/>
    <n v="0"/>
    <n v="0"/>
    <m/>
    <m/>
    <m/>
    <m/>
    <n v="169"/>
    <n v="0"/>
    <n v="42636.418760151995"/>
  </r>
  <r>
    <d v="2025-12-04T00:00:00"/>
    <x v="4"/>
    <s v="KİMYON ÇEKİLMİŞ"/>
    <m/>
    <x v="1"/>
    <s v="ST00000000425"/>
    <s v="SATIŞ"/>
    <s v="NAKİT"/>
    <n v="0.17599999999999999"/>
    <n v="390"/>
    <n v="0"/>
    <n v="0"/>
    <m/>
    <m/>
    <m/>
    <m/>
    <n v="68.64"/>
    <n v="0"/>
    <n v="42705.058760151995"/>
  </r>
  <r>
    <d v="2025-12-04T00:00:00"/>
    <x v="4"/>
    <s v="ZAHTER"/>
    <m/>
    <x v="1"/>
    <s v="ST00000000425"/>
    <s v="SATIŞ"/>
    <s v="NAKİT"/>
    <n v="6.4000000000000001E-2"/>
    <n v="400"/>
    <n v="0"/>
    <n v="0"/>
    <m/>
    <m/>
    <m/>
    <m/>
    <n v="25.6"/>
    <n v="0"/>
    <n v="42730.658760151993"/>
  </r>
  <r>
    <d v="2025-12-04T00:00:00"/>
    <x v="4"/>
    <s v="SALÇA TATLI (EV YAPIMI)"/>
    <m/>
    <x v="1"/>
    <s v="ST00000000425"/>
    <s v="SATIŞ"/>
    <s v="NAKİT"/>
    <n v="0.5"/>
    <n v="180"/>
    <n v="0"/>
    <n v="0"/>
    <m/>
    <m/>
    <m/>
    <m/>
    <n v="90"/>
    <n v="0"/>
    <n v="42820.658760151993"/>
  </r>
  <r>
    <d v="2025-12-04T00:00:00"/>
    <x v="4"/>
    <s v="KÖFTELİK BULGUR"/>
    <m/>
    <x v="1"/>
    <s v="ST00000000426"/>
    <s v="SATIŞ"/>
    <s v="NAKİT"/>
    <n v="0.65"/>
    <n v="65"/>
    <n v="0"/>
    <n v="0"/>
    <m/>
    <m/>
    <m/>
    <m/>
    <n v="42.25"/>
    <n v="0"/>
    <n v="42862.908760151993"/>
  </r>
  <r>
    <d v="2025-12-04T00:00:00"/>
    <x v="4"/>
    <s v="PİLAVLIK BULGUR"/>
    <m/>
    <x v="1"/>
    <s v="ST00000000426"/>
    <s v="SATIŞ"/>
    <s v="NAKİT"/>
    <n v="0.65"/>
    <n v="65"/>
    <n v="0"/>
    <n v="0"/>
    <m/>
    <m/>
    <m/>
    <m/>
    <n v="42.25"/>
    <n v="0"/>
    <n v="42905.158760151993"/>
  </r>
  <r>
    <d v="2025-12-04T00:00:00"/>
    <x v="4"/>
    <s v="SALÇA TATLI (EV YAPIMI)"/>
    <m/>
    <x v="5"/>
    <s v="ST00000000427"/>
    <s v="SATIŞ"/>
    <s v="POS"/>
    <n v="0.5"/>
    <n v="180"/>
    <n v="90"/>
    <n v="0"/>
    <m/>
    <m/>
    <m/>
    <m/>
    <n v="0"/>
    <n v="0"/>
    <n v="42905.158760151993"/>
  </r>
  <r>
    <d v="2025-12-04T00:00:00"/>
    <x v="4"/>
    <s v="YALÇINKAYA ACI BİBER SALÇASI"/>
    <m/>
    <x v="5"/>
    <s v="ST00000000427"/>
    <s v="SATIŞ"/>
    <s v="POS"/>
    <n v="0.5"/>
    <n v="180"/>
    <n v="90"/>
    <n v="0"/>
    <m/>
    <m/>
    <m/>
    <m/>
    <n v="0"/>
    <n v="0"/>
    <n v="42905.158760151993"/>
  </r>
  <r>
    <d v="2025-12-04T00:00:00"/>
    <x v="4"/>
    <s v="SALÇA TATLI (EV YAPIMI)"/>
    <m/>
    <x v="5"/>
    <s v="ST00000000428"/>
    <s v="SATIŞ"/>
    <s v="POS"/>
    <n v="1"/>
    <n v="180"/>
    <n v="180"/>
    <n v="0"/>
    <m/>
    <m/>
    <m/>
    <m/>
    <n v="0"/>
    <n v="0"/>
    <n v="42905.158760151993"/>
  </r>
  <r>
    <d v="2025-12-04T00:00:00"/>
    <x v="4"/>
    <s v="YALÇINKAYA ACI BİBER SALÇASI"/>
    <m/>
    <x v="5"/>
    <s v="ST00000000428"/>
    <s v="SATIŞ"/>
    <s v="POS"/>
    <n v="1"/>
    <n v="180"/>
    <n v="180"/>
    <n v="0"/>
    <m/>
    <m/>
    <m/>
    <m/>
    <n v="0"/>
    <n v="0"/>
    <n v="42905.158760151993"/>
  </r>
  <r>
    <d v="2025-12-04T00:00:00"/>
    <x v="4"/>
    <s v="NANE İRİ"/>
    <m/>
    <x v="5"/>
    <s v="ST00000000429"/>
    <s v="SATIŞ"/>
    <s v="POS"/>
    <n v="6.8000000000000005E-2"/>
    <n v="400"/>
    <n v="27.200000000000003"/>
    <n v="0"/>
    <m/>
    <m/>
    <m/>
    <m/>
    <n v="0"/>
    <n v="0"/>
    <n v="42905.158760151993"/>
  </r>
  <r>
    <d v="2025-12-04T00:00:00"/>
    <x v="4"/>
    <s v="EVLİK BİBER"/>
    <m/>
    <x v="5"/>
    <s v="ST00000000429"/>
    <s v="SATIŞ"/>
    <s v="POS"/>
    <n v="0.224"/>
    <n v="380"/>
    <n v="85.12"/>
    <n v="0"/>
    <m/>
    <m/>
    <m/>
    <m/>
    <n v="0"/>
    <n v="0"/>
    <n v="42905.158760151993"/>
  </r>
  <r>
    <d v="2025-12-04T00:00:00"/>
    <x v="4"/>
    <s v="KARABİBER ÇEKİLMİŞ"/>
    <m/>
    <x v="5"/>
    <s v="ST00000000429"/>
    <s v="SATIŞ"/>
    <s v="POS"/>
    <n v="8.4000000000000005E-2"/>
    <n v="640"/>
    <n v="53.760000000000005"/>
    <n v="0"/>
    <m/>
    <m/>
    <m/>
    <m/>
    <n v="0"/>
    <n v="0"/>
    <n v="42905.158760151993"/>
  </r>
  <r>
    <d v="2025-12-04T00:00:00"/>
    <x v="4"/>
    <s v="SUMAK"/>
    <m/>
    <x v="5"/>
    <s v="ST00000000429"/>
    <s v="SATIŞ"/>
    <s v="POS"/>
    <n v="0.14599999999999999"/>
    <n v="500"/>
    <n v="73"/>
    <n v="0"/>
    <m/>
    <m/>
    <m/>
    <m/>
    <n v="0"/>
    <n v="0"/>
    <n v="42905.158760151993"/>
  </r>
  <r>
    <d v="2025-12-04T00:00:00"/>
    <x v="4"/>
    <s v="KEKİK LÜX"/>
    <m/>
    <x v="5"/>
    <s v="ST00000000429"/>
    <s v="SATIŞ"/>
    <s v="POS"/>
    <n v="0.04"/>
    <n v="760"/>
    <n v="30.400000000000002"/>
    <n v="0"/>
    <m/>
    <m/>
    <m/>
    <m/>
    <n v="0"/>
    <n v="0"/>
    <n v="42905.158760151993"/>
  </r>
  <r>
    <d v="2025-12-04T00:00:00"/>
    <x v="4"/>
    <s v="KİMYON ÇEKİLMİŞ"/>
    <m/>
    <x v="5"/>
    <s v="ST00000000429"/>
    <s v="SATIŞ"/>
    <s v="POS"/>
    <n v="0.17399999999999999"/>
    <n v="390"/>
    <n v="67.86"/>
    <n v="0"/>
    <m/>
    <m/>
    <m/>
    <m/>
    <n v="0"/>
    <n v="0"/>
    <n v="42905.158760151993"/>
  </r>
  <r>
    <d v="2025-12-04T00:00:00"/>
    <x v="4"/>
    <s v="İSOT"/>
    <m/>
    <x v="5"/>
    <s v="ST00000000429"/>
    <s v="SATIŞ"/>
    <s v="POS"/>
    <n v="0.14000000000000001"/>
    <n v="380"/>
    <n v="53.2"/>
    <n v="0"/>
    <m/>
    <m/>
    <m/>
    <m/>
    <n v="0"/>
    <n v="0"/>
    <n v="42905.158760151993"/>
  </r>
  <r>
    <d v="2025-12-04T00:00:00"/>
    <x v="4"/>
    <s v="NANE İRİ"/>
    <m/>
    <x v="1"/>
    <s v="ST00000000430"/>
    <s v="SATIŞ"/>
    <s v="NAKİT"/>
    <n v="6.8000000000000005E-2"/>
    <n v="400"/>
    <n v="0"/>
    <n v="0"/>
    <m/>
    <m/>
    <m/>
    <m/>
    <n v="27.200000000000003"/>
    <n v="0"/>
    <n v="42932.35876015199"/>
  </r>
  <r>
    <d v="2025-12-04T00:00:00"/>
    <x v="4"/>
    <s v="EVLİK BİBER"/>
    <m/>
    <x v="1"/>
    <s v="ST00000000430"/>
    <s v="SATIŞ"/>
    <s v="NAKİT"/>
    <n v="0.185"/>
    <n v="380"/>
    <n v="0"/>
    <n v="0"/>
    <m/>
    <m/>
    <m/>
    <m/>
    <n v="70.3"/>
    <n v="0"/>
    <n v="43002.658760151993"/>
  </r>
  <r>
    <d v="2025-12-04T00:00:00"/>
    <x v="4"/>
    <s v="KARABİBER ÇEKİLMİŞ"/>
    <m/>
    <x v="1"/>
    <s v="ST00000000430"/>
    <s v="SATIŞ"/>
    <s v="NAKİT"/>
    <n v="8.3000000000000004E-2"/>
    <n v="640"/>
    <n v="0"/>
    <n v="0"/>
    <m/>
    <m/>
    <m/>
    <m/>
    <n v="53.120000000000005"/>
    <n v="0"/>
    <n v="43055.778760151996"/>
  </r>
  <r>
    <d v="2025-12-04T00:00:00"/>
    <x v="4"/>
    <s v="PATLAK MISIR"/>
    <m/>
    <x v="1"/>
    <s v="ST00000000430"/>
    <s v="SATIŞ"/>
    <s v="NAKİT"/>
    <n v="0.83333333333333337"/>
    <n v="60"/>
    <n v="0"/>
    <n v="0"/>
    <m/>
    <m/>
    <m/>
    <m/>
    <n v="50"/>
    <n v="0"/>
    <n v="43105.778760151996"/>
  </r>
  <r>
    <d v="2025-12-04T00:00:00"/>
    <x v="4"/>
    <s v="İZMİR ÜZÜMÜ"/>
    <m/>
    <x v="5"/>
    <s v="ST00000000431"/>
    <s v="SATIŞ"/>
    <s v="POS"/>
    <n v="0.27200000000000002"/>
    <n v="250"/>
    <n v="68"/>
    <n v="0"/>
    <m/>
    <m/>
    <m/>
    <m/>
    <n v="0"/>
    <n v="0"/>
    <n v="43105.778760151996"/>
  </r>
  <r>
    <d v="2025-12-04T00:00:00"/>
    <x v="4"/>
    <s v="IHLAMUR YAPRAK"/>
    <m/>
    <x v="5"/>
    <s v="ST00000000432"/>
    <s v="SATIŞ"/>
    <s v="POS"/>
    <n v="0.05"/>
    <n v="2600"/>
    <n v="130"/>
    <n v="0"/>
    <m/>
    <m/>
    <m/>
    <m/>
    <n v="0"/>
    <n v="0"/>
    <n v="43105.778760151996"/>
  </r>
  <r>
    <d v="2025-12-04T00:00:00"/>
    <x v="4"/>
    <s v="SALÇA TATLI (EV YAPIMI)"/>
    <m/>
    <x v="5"/>
    <s v="ST00000000432"/>
    <s v="SATIŞ"/>
    <s v="POS"/>
    <n v="0.5"/>
    <n v="180"/>
    <n v="90"/>
    <n v="0"/>
    <m/>
    <m/>
    <m/>
    <m/>
    <n v="0"/>
    <n v="0"/>
    <n v="43105.778760151996"/>
  </r>
  <r>
    <d v="2025-12-04T00:00:00"/>
    <x v="4"/>
    <s v="DOLMALIK KURU PATLICAN"/>
    <m/>
    <x v="5"/>
    <s v="ST00000000432"/>
    <s v="SATIŞ"/>
    <s v="POS"/>
    <n v="1"/>
    <n v="240"/>
    <n v="240"/>
    <n v="0"/>
    <m/>
    <m/>
    <m/>
    <m/>
    <n v="0"/>
    <n v="0"/>
    <n v="43105.778760151996"/>
  </r>
  <r>
    <d v="2025-12-04T00:00:00"/>
    <x v="4"/>
    <s v="DENİZ TAHİNLİ PİŞMANİYE"/>
    <m/>
    <x v="1"/>
    <s v="ST00000000548"/>
    <s v="SATIŞ"/>
    <s v="NAKİT"/>
    <n v="1"/>
    <n v="90"/>
    <n v="0"/>
    <n v="0"/>
    <m/>
    <m/>
    <m/>
    <m/>
    <n v="90"/>
    <n v="0"/>
    <n v="43195.778760151996"/>
  </r>
  <r>
    <d v="2025-12-04T00:00:00"/>
    <x v="4"/>
    <s v="HAPPY LİFE NAR EKŞİSİ 250 ML"/>
    <m/>
    <x v="1"/>
    <s v="ST00000000548"/>
    <s v="SATIŞ"/>
    <s v="NAKİT"/>
    <n v="1"/>
    <n v="125"/>
    <n v="0"/>
    <n v="0"/>
    <m/>
    <m/>
    <m/>
    <m/>
    <n v="125"/>
    <n v="0"/>
    <n v="43320.778760151996"/>
  </r>
  <r>
    <d v="2025-12-04T00:00:00"/>
    <x v="4"/>
    <s v="İRİ BEYAZ KABAK ÇEKİRDEĞİ - NEVŞEHİR"/>
    <m/>
    <x v="1"/>
    <s v="ST00000000548"/>
    <s v="SATIŞ"/>
    <s v="NAKİT"/>
    <n v="0.17688888888888776"/>
    <n v="360"/>
    <n v="0"/>
    <n v="0"/>
    <m/>
    <m/>
    <m/>
    <m/>
    <n v="63.679999999999595"/>
    <n v="0"/>
    <n v="43384.458760151996"/>
  </r>
  <r>
    <d v="2025-12-04T00:00:00"/>
    <x v="4"/>
    <s v="İRİ KABAK ÇEKİRDEĞİ TUZSUZ (KAVRULMUŞ)"/>
    <m/>
    <x v="1"/>
    <s v="ST00000000548"/>
    <s v="SATIŞ"/>
    <s v="NAKİT"/>
    <n v="2.1950000000000003"/>
    <n v="360"/>
    <n v="0"/>
    <n v="0"/>
    <m/>
    <m/>
    <m/>
    <m/>
    <n v="790.2"/>
    <n v="0"/>
    <n v="44174.658760151993"/>
  </r>
  <r>
    <d v="2025-12-04T00:00:00"/>
    <x v="10"/>
    <m/>
    <m/>
    <x v="5"/>
    <m/>
    <s v="POS ÇÖZÜMÜ"/>
    <s v="POS"/>
    <n v="1"/>
    <n v="1840"/>
    <n v="0"/>
    <n v="1840"/>
    <m/>
    <m/>
    <m/>
    <m/>
    <n v="1840"/>
    <n v="0"/>
    <n v="46014.658760151993"/>
  </r>
  <r>
    <d v="2025-12-04T00:00:00"/>
    <x v="3"/>
    <s v="AKGÜNLÜK BAHUR"/>
    <m/>
    <x v="2"/>
    <m/>
    <s v="GE MA GIDA TİCARET LTD - BAHARATEVİM"/>
    <s v="K.K."/>
    <n v="1"/>
    <n v="585"/>
    <n v="0"/>
    <n v="585"/>
    <m/>
    <m/>
    <m/>
    <m/>
    <n v="0"/>
    <n v="0"/>
    <n v="46014.658760151993"/>
  </r>
  <r>
    <d v="2025-12-04T00:00:00"/>
    <x v="3"/>
    <s v="CİVAN PERÇEMİ"/>
    <m/>
    <x v="2"/>
    <m/>
    <s v="GE MA GIDA TİCARET LTD - BAHARATEVİM"/>
    <s v="K.K."/>
    <n v="1"/>
    <n v="280"/>
    <n v="0"/>
    <n v="280"/>
    <m/>
    <m/>
    <m/>
    <m/>
    <n v="0"/>
    <n v="0"/>
    <n v="46014.658760151993"/>
  </r>
  <r>
    <d v="2025-12-04T00:00:00"/>
    <x v="3"/>
    <s v="KARBONAT"/>
    <m/>
    <x v="2"/>
    <m/>
    <s v="GE MA GIDA TİCARET LTD - BAHARATEVİM"/>
    <s v="K.K."/>
    <n v="5"/>
    <n v="40"/>
    <n v="0"/>
    <n v="200"/>
    <m/>
    <m/>
    <m/>
    <m/>
    <n v="0"/>
    <n v="0"/>
    <n v="46014.658760151993"/>
  </r>
  <r>
    <d v="2025-12-04T00:00:00"/>
    <x v="3"/>
    <s v="KETEN TOHUMU"/>
    <m/>
    <x v="2"/>
    <m/>
    <s v="GE MA GIDA TİCARET LTD - BAHARATEVİM"/>
    <s v="K.K."/>
    <n v="5"/>
    <n v="60"/>
    <n v="0"/>
    <n v="300"/>
    <m/>
    <m/>
    <m/>
    <m/>
    <n v="0"/>
    <n v="0"/>
    <n v="46014.658760151993"/>
  </r>
  <r>
    <d v="2025-12-04T00:00:00"/>
    <x v="3"/>
    <s v="DEFNE YAPRAĞI"/>
    <m/>
    <x v="2"/>
    <m/>
    <s v="GE MA GIDA TİCARET LTD - BAHARATEVİM"/>
    <s v="K.K."/>
    <n v="1"/>
    <n v="155"/>
    <n v="0"/>
    <n v="155"/>
    <m/>
    <m/>
    <m/>
    <m/>
    <n v="0"/>
    <n v="0"/>
    <n v="46014.658760151993"/>
  </r>
  <r>
    <d v="2025-12-04T00:00:00"/>
    <x v="3"/>
    <s v="YENİ MAHSÜL PAPATYA"/>
    <m/>
    <x v="2"/>
    <m/>
    <s v="GE MA GIDA TİCARET LTD - BAHARATEVİM"/>
    <s v="K.K."/>
    <n v="1"/>
    <n v="600"/>
    <n v="0"/>
    <n v="600"/>
    <m/>
    <m/>
    <m/>
    <m/>
    <n v="0"/>
    <n v="0"/>
    <n v="46014.658760151993"/>
  </r>
  <r>
    <d v="2025-12-04T00:00:00"/>
    <x v="3"/>
    <s v="DAĞ İNCİRİ - BE"/>
    <m/>
    <x v="2"/>
    <m/>
    <s v="GE MA GIDA TİCARET LTD - BAHARATEVİM"/>
    <s v="K.K."/>
    <n v="2.5"/>
    <n v="400"/>
    <n v="0"/>
    <n v="1000"/>
    <m/>
    <m/>
    <m/>
    <m/>
    <n v="0"/>
    <n v="0"/>
    <n v="46014.658760151993"/>
  </r>
  <r>
    <d v="2025-12-04T00:00:00"/>
    <x v="3"/>
    <s v="DAĞ İNCİRİ KÜÇÜK - BE"/>
    <m/>
    <x v="2"/>
    <m/>
    <s v="GE MA GIDA TİCARET LTD - BAHARATEVİM"/>
    <s v="K.K."/>
    <n v="1"/>
    <n v="340"/>
    <n v="0"/>
    <n v="340"/>
    <m/>
    <m/>
    <m/>
    <m/>
    <n v="0"/>
    <n v="0"/>
    <n v="46014.658760151993"/>
  </r>
  <r>
    <d v="2025-12-04T00:00:00"/>
    <x v="3"/>
    <s v="SHİFFA HOME ZEYTİNYAĞLI KUDRET NARI 600 MG 10 SOFTJEL KAPSÜL"/>
    <m/>
    <x v="2"/>
    <m/>
    <s v="GE MA GIDA TİCARET LTD - BAHARATEVİM"/>
    <s v="K.K."/>
    <n v="2"/>
    <n v="217"/>
    <n v="0"/>
    <n v="434"/>
    <m/>
    <m/>
    <m/>
    <m/>
    <n v="0"/>
    <n v="0"/>
    <n v="46014.658760151993"/>
  </r>
  <r>
    <d v="2025-12-04T00:00:00"/>
    <x v="3"/>
    <s v="AKSU VİTAL KUDRET NARI EKSTRATLI MACUN 300 GR"/>
    <m/>
    <x v="2"/>
    <m/>
    <s v="GE MA GIDA TİCARET LTD - BAHARATEVİM"/>
    <s v="K.K."/>
    <n v="2"/>
    <n v="237"/>
    <n v="0"/>
    <n v="474"/>
    <m/>
    <m/>
    <m/>
    <m/>
    <n v="0"/>
    <n v="0"/>
    <n v="46014.658760151993"/>
  </r>
  <r>
    <d v="2025-12-04T00:00:00"/>
    <x v="3"/>
    <s v="AKSU VİTAL GİNSENG EKSTRATLI MACUN 300 GR"/>
    <m/>
    <x v="2"/>
    <m/>
    <s v="GE MA GIDA TİCARET LTD - BAHARATEVİM"/>
    <s v="K.K."/>
    <n v="2"/>
    <n v="210"/>
    <n v="0"/>
    <n v="420"/>
    <m/>
    <m/>
    <m/>
    <m/>
    <n v="0"/>
    <n v="0"/>
    <n v="46014.658760151993"/>
  </r>
  <r>
    <d v="2025-12-04T00:00:00"/>
    <x v="3"/>
    <s v="SHİFFA HOME PROCBA ARI SÜTÜ PROPOLİS EKİNEZYA EKSTRESİ ŞURUP 100 ML"/>
    <m/>
    <x v="2"/>
    <m/>
    <s v="GE MA GIDA TİCARET LTD - BAHARATEVİM"/>
    <s v="K.K."/>
    <n v="3"/>
    <n v="108"/>
    <n v="0"/>
    <n v="324"/>
    <m/>
    <m/>
    <m/>
    <m/>
    <n v="0"/>
    <n v="0"/>
    <n v="46014.658760151993"/>
  </r>
  <r>
    <d v="2025-12-04T00:00:00"/>
    <x v="3"/>
    <s v="KARANFİL"/>
    <m/>
    <x v="2"/>
    <m/>
    <s v="GE MA GIDA TİCARET LTD - BAHARATEVİM"/>
    <s v="K.K."/>
    <n v="1"/>
    <n v="445"/>
    <n v="0"/>
    <n v="445"/>
    <m/>
    <m/>
    <m/>
    <m/>
    <n v="0"/>
    <n v="0"/>
    <n v="46014.658760151993"/>
  </r>
  <r>
    <d v="2025-12-04T00:00:00"/>
    <x v="3"/>
    <s v="BAMYA TOHUMU"/>
    <m/>
    <x v="2"/>
    <m/>
    <s v="GE MA GIDA TİCARET LTD - BAHARATEVİM"/>
    <s v="K.K."/>
    <n v="1"/>
    <n v="125"/>
    <n v="0"/>
    <n v="125"/>
    <m/>
    <m/>
    <m/>
    <m/>
    <n v="0"/>
    <n v="0"/>
    <n v="46014.658760151993"/>
  </r>
  <r>
    <d v="2025-12-04T00:00:00"/>
    <x v="3"/>
    <s v="ANASON"/>
    <m/>
    <x v="2"/>
    <m/>
    <s v="GE MA GIDA TİCARET LTD - BAHARATEVİM"/>
    <s v="K.K."/>
    <n v="1"/>
    <n v="190"/>
    <n v="0"/>
    <n v="190"/>
    <m/>
    <m/>
    <m/>
    <m/>
    <n v="0"/>
    <n v="0"/>
    <n v="46014.658760151993"/>
  </r>
  <r>
    <d v="2025-12-04T00:00:00"/>
    <x v="1"/>
    <m/>
    <s v="YOL GİDERLERİ"/>
    <x v="1"/>
    <m/>
    <s v="ANTEP SEVKİYAT"/>
    <s v="NAKİT"/>
    <n v="1"/>
    <n v="2000"/>
    <n v="0"/>
    <n v="0"/>
    <m/>
    <m/>
    <m/>
    <m/>
    <n v="0"/>
    <n v="2000"/>
    <n v="44014.658760151993"/>
  </r>
  <r>
    <d v="2025-12-05T00:00:00"/>
    <x v="4"/>
    <s v="İRİ BEYAZ KABAK ÇEKİRDEĞİ - NEVŞEHİR"/>
    <m/>
    <x v="5"/>
    <s v="ST00000000433"/>
    <s v="SATIŞ"/>
    <s v="POS"/>
    <n v="0.27777777777777779"/>
    <n v="360"/>
    <n v="100"/>
    <n v="0"/>
    <m/>
    <m/>
    <m/>
    <m/>
    <n v="0"/>
    <n v="0"/>
    <n v="44014.658760151993"/>
  </r>
  <r>
    <d v="2025-12-05T00:00:00"/>
    <x v="4"/>
    <s v="KAJU 240 LIK EKSTRA"/>
    <m/>
    <x v="5"/>
    <s v="ST00000000433"/>
    <s v="SATIŞ"/>
    <s v="POS"/>
    <n v="0.15384615384615385"/>
    <n v="650"/>
    <n v="100"/>
    <n v="0"/>
    <m/>
    <m/>
    <m/>
    <m/>
    <n v="0"/>
    <n v="0"/>
    <n v="44014.658760151993"/>
  </r>
  <r>
    <d v="2025-12-05T00:00:00"/>
    <x v="4"/>
    <s v="SİNAMEKİ"/>
    <m/>
    <x v="5"/>
    <s v="ST00000000433"/>
    <s v="SATIŞ"/>
    <s v="POS"/>
    <n v="0.125"/>
    <n v="400"/>
    <n v="50"/>
    <n v="0"/>
    <m/>
    <m/>
    <m/>
    <m/>
    <n v="0"/>
    <n v="0"/>
    <n v="44014.658760151993"/>
  </r>
  <r>
    <d v="2025-12-05T00:00:00"/>
    <x v="4"/>
    <s v="LOKUM SADE - TB"/>
    <m/>
    <x v="1"/>
    <s v="ST00000000434"/>
    <s v="SATIŞ"/>
    <s v="NAKİT"/>
    <n v="0.4"/>
    <n v="150"/>
    <n v="0"/>
    <n v="0"/>
    <m/>
    <m/>
    <m/>
    <m/>
    <n v="60"/>
    <n v="0"/>
    <n v="44074.658760151993"/>
  </r>
  <r>
    <d v="2025-12-05T00:00:00"/>
    <x v="4"/>
    <s v="BİZİM YAPRAK 1 LİK"/>
    <m/>
    <x v="5"/>
    <s v="ST00000000435"/>
    <s v="SATIŞ"/>
    <s v="POS"/>
    <n v="1"/>
    <n v="290"/>
    <n v="290"/>
    <n v="0"/>
    <m/>
    <m/>
    <m/>
    <m/>
    <n v="0"/>
    <n v="0"/>
    <n v="44074.658760151993"/>
  </r>
  <r>
    <d v="2025-12-05T00:00:00"/>
    <x v="4"/>
    <s v="TÜDAB KIŞ ÇAYI 200 GR"/>
    <m/>
    <x v="5"/>
    <s v="ST00000000435"/>
    <s v="SATIŞ"/>
    <s v="POS"/>
    <n v="1"/>
    <n v="140"/>
    <n v="140"/>
    <n v="0"/>
    <m/>
    <m/>
    <m/>
    <m/>
    <n v="0"/>
    <n v="0"/>
    <n v="44074.658760151993"/>
  </r>
  <r>
    <d v="2025-12-05T00:00:00"/>
    <x v="4"/>
    <s v="BADEM ÇİĞ "/>
    <m/>
    <x v="1"/>
    <s v="ST00000000436"/>
    <s v="SATIŞ"/>
    <s v="NAKİT"/>
    <n v="0.23"/>
    <n v="650"/>
    <n v="0"/>
    <n v="0"/>
    <m/>
    <m/>
    <m/>
    <m/>
    <n v="149.5"/>
    <n v="0"/>
    <n v="44224.158760151993"/>
  </r>
  <r>
    <d v="2025-12-05T00:00:00"/>
    <x v="4"/>
    <s v="LEBLEBİ ÇİFTE SARI"/>
    <m/>
    <x v="1"/>
    <s v="ST00000000436"/>
    <s v="SATIŞ"/>
    <s v="NAKİT"/>
    <n v="0.2"/>
    <n v="240"/>
    <n v="0"/>
    <n v="0"/>
    <m/>
    <m/>
    <m/>
    <m/>
    <n v="48"/>
    <n v="0"/>
    <n v="44272.158760151993"/>
  </r>
  <r>
    <d v="2025-12-05T00:00:00"/>
    <x v="4"/>
    <s v="ÖZBEK ÜZÜMÜ"/>
    <m/>
    <x v="1"/>
    <s v="ST00000000436"/>
    <s v="SATIŞ"/>
    <s v="NAKİT"/>
    <n v="0.28000000000000003"/>
    <n v="520"/>
    <n v="0"/>
    <n v="0"/>
    <m/>
    <m/>
    <m/>
    <m/>
    <n v="145.60000000000002"/>
    <n v="0"/>
    <n v="44417.758760151992"/>
  </r>
  <r>
    <d v="2025-12-05T00:00:00"/>
    <x v="4"/>
    <s v="KARIŞIK KURUYEMİŞ"/>
    <m/>
    <x v="1"/>
    <s v="ST00000000436"/>
    <s v="SATIŞ"/>
    <s v="NAKİT"/>
    <n v="0.47199999999999998"/>
    <n v="850"/>
    <n v="0"/>
    <n v="0"/>
    <m/>
    <m/>
    <m/>
    <m/>
    <n v="401.2"/>
    <n v="0"/>
    <n v="44818.958760151989"/>
  </r>
  <r>
    <d v="2025-12-05T00:00:00"/>
    <x v="4"/>
    <s v="NBN DAĞ İNCİRİ"/>
    <m/>
    <x v="1"/>
    <s v="ST00000000436"/>
    <s v="SATIŞ"/>
    <s v="NAKİT"/>
    <n v="0.69299999999999995"/>
    <n v="700"/>
    <n v="0"/>
    <n v="0"/>
    <m/>
    <m/>
    <m/>
    <m/>
    <n v="485.09999999999997"/>
    <n v="0"/>
    <n v="45304.058760151987"/>
  </r>
  <r>
    <d v="2025-12-05T00:00:00"/>
    <x v="4"/>
    <s v="BİOBLAS BOTANİCS OİL ARGAN YAĞLI SAÇ KREMİ  250 ML"/>
    <m/>
    <x v="1"/>
    <s v="ST00000000437"/>
    <s v="SATIŞ"/>
    <s v="NAKİT"/>
    <n v="1"/>
    <n v="165"/>
    <n v="0"/>
    <n v="0"/>
    <m/>
    <m/>
    <m/>
    <m/>
    <n v="165"/>
    <n v="0"/>
    <n v="45469.058760151987"/>
  </r>
  <r>
    <d v="2025-12-05T00:00:00"/>
    <x v="4"/>
    <s v="ZÜHRE ANA KOZALAK MACUNU - ÇAM KOZALAĞI 240 GR"/>
    <m/>
    <x v="1"/>
    <s v="ST00000000437"/>
    <s v="SATIŞ"/>
    <s v="NAKİT"/>
    <n v="1"/>
    <n v="220"/>
    <n v="0"/>
    <n v="0"/>
    <m/>
    <m/>
    <m/>
    <m/>
    <n v="220"/>
    <n v="0"/>
    <n v="45689.058760151987"/>
  </r>
  <r>
    <d v="2025-12-05T00:00:00"/>
    <x v="4"/>
    <s v="ERBATAB MAGNEZYUM 3 LÜ FORM (BİSGLİSİNAT, SİTRAT, MALAT) &amp; VİTAMİN B2 , B3 , B6 - 60 KAPSÜL"/>
    <m/>
    <x v="1"/>
    <s v="ST00000000437"/>
    <s v="SATIŞ"/>
    <s v="NAKİT"/>
    <n v="1"/>
    <n v="265"/>
    <n v="0"/>
    <n v="0"/>
    <m/>
    <m/>
    <m/>
    <m/>
    <n v="265"/>
    <n v="0"/>
    <n v="45954.058760151987"/>
  </r>
  <r>
    <d v="2025-12-05T00:00:00"/>
    <x v="4"/>
    <s v="WARITEX ÇİFT TARAFLI KABAK LİFİ"/>
    <m/>
    <x v="1"/>
    <s v="ST00000000437"/>
    <s v="SATIŞ"/>
    <s v="NAKİT"/>
    <n v="1"/>
    <n v="120"/>
    <n v="0"/>
    <n v="0"/>
    <m/>
    <m/>
    <m/>
    <m/>
    <n v="120"/>
    <n v="0"/>
    <n v="46074.058760151987"/>
  </r>
  <r>
    <d v="2025-12-05T00:00:00"/>
    <x v="4"/>
    <s v="İCOLLAGEN KOLAJEN VE PROBİYOTİK 60 TABLET"/>
    <m/>
    <x v="1"/>
    <s v="ST00000000437"/>
    <s v="SATIŞ"/>
    <s v="NAKİT"/>
    <n v="1"/>
    <n v="280"/>
    <n v="0"/>
    <n v="0"/>
    <m/>
    <m/>
    <m/>
    <m/>
    <n v="280"/>
    <n v="0"/>
    <n v="46354.058760151987"/>
  </r>
  <r>
    <d v="2025-12-05T00:00:00"/>
    <x v="4"/>
    <s v="ÇUBUK TARÇIN"/>
    <m/>
    <x v="1"/>
    <s v="ST00000000438"/>
    <s v="SATIŞ"/>
    <s v="NAKİT"/>
    <n v="0.1"/>
    <n v="650"/>
    <n v="0"/>
    <n v="0"/>
    <m/>
    <m/>
    <m/>
    <m/>
    <n v="65"/>
    <n v="0"/>
    <n v="46419.058760151987"/>
  </r>
  <r>
    <d v="2025-12-05T00:00:00"/>
    <x v="4"/>
    <s v="BİZİM YAPRAK 1 LİK"/>
    <m/>
    <x v="1"/>
    <s v="ST00000000439"/>
    <s v="SATIŞ"/>
    <s v="NAKİT"/>
    <n v="1"/>
    <n v="290"/>
    <n v="0"/>
    <n v="0"/>
    <m/>
    <m/>
    <m/>
    <m/>
    <n v="290"/>
    <n v="0"/>
    <n v="46709.058760151987"/>
  </r>
  <r>
    <d v="2025-12-05T00:00:00"/>
    <x v="4"/>
    <s v="TOZ BİBER - ACI"/>
    <m/>
    <x v="5"/>
    <s v="ST00000000440"/>
    <s v="SATIŞ"/>
    <s v="POS"/>
    <n v="5.675675675675676E-2"/>
    <n v="370"/>
    <n v="21"/>
    <n v="0"/>
    <m/>
    <m/>
    <m/>
    <m/>
    <n v="0"/>
    <n v="0"/>
    <n v="46709.058760151987"/>
  </r>
  <r>
    <d v="2025-12-05T00:00:00"/>
    <x v="4"/>
    <s v="KİMYON ÇEKİLMİŞ"/>
    <m/>
    <x v="5"/>
    <s v="ST00000000440"/>
    <s v="SATIŞ"/>
    <s v="POS"/>
    <n v="0.11538461538461539"/>
    <n v="390"/>
    <n v="45"/>
    <n v="0"/>
    <m/>
    <m/>
    <m/>
    <m/>
    <n v="0"/>
    <n v="0"/>
    <n v="46709.058760151987"/>
  </r>
  <r>
    <d v="2025-12-05T00:00:00"/>
    <x v="4"/>
    <s v="PİLAVLIK BULGUR"/>
    <m/>
    <x v="5"/>
    <s v="ST00000000440"/>
    <s v="SATIŞ"/>
    <s v="POS"/>
    <n v="0.66153846153846152"/>
    <n v="65"/>
    <n v="43"/>
    <n v="0"/>
    <m/>
    <m/>
    <m/>
    <m/>
    <n v="0"/>
    <n v="0"/>
    <n v="46709.058760151987"/>
  </r>
  <r>
    <d v="2025-12-05T00:00:00"/>
    <x v="4"/>
    <s v="REZENE"/>
    <m/>
    <x v="5"/>
    <s v="ST00000000441"/>
    <s v="SATIŞ"/>
    <s v="POS"/>
    <n v="0.1"/>
    <n v="900"/>
    <n v="90"/>
    <n v="0"/>
    <m/>
    <m/>
    <m/>
    <m/>
    <n v="0"/>
    <n v="0"/>
    <n v="46709.058760151987"/>
  </r>
  <r>
    <d v="2025-12-05T00:00:00"/>
    <x v="4"/>
    <s v="BİZİM YAPRAK 1 LİK"/>
    <m/>
    <x v="5"/>
    <s v="ST00000000442"/>
    <s v="SATIŞ"/>
    <s v="POS"/>
    <n v="1"/>
    <n v="290"/>
    <n v="290"/>
    <n v="0"/>
    <m/>
    <m/>
    <m/>
    <m/>
    <n v="0"/>
    <n v="0"/>
    <n v="46709.058760151987"/>
  </r>
  <r>
    <d v="2025-12-05T00:00:00"/>
    <x v="4"/>
    <s v="DOLMALIK KURU PATLICAN"/>
    <m/>
    <x v="5"/>
    <s v="ST00000000442"/>
    <s v="SATIŞ"/>
    <s v="POS"/>
    <n v="1"/>
    <n v="240"/>
    <n v="240"/>
    <n v="0"/>
    <m/>
    <m/>
    <m/>
    <m/>
    <n v="0"/>
    <n v="0"/>
    <n v="46709.058760151987"/>
  </r>
  <r>
    <d v="2025-12-05T00:00:00"/>
    <x v="4"/>
    <s v="HİBİSKUS"/>
    <m/>
    <x v="5"/>
    <s v="ST00000000442"/>
    <s v="SATIŞ"/>
    <s v="POS"/>
    <n v="0.1"/>
    <n v="600"/>
    <n v="60"/>
    <n v="0"/>
    <m/>
    <m/>
    <m/>
    <m/>
    <n v="0"/>
    <n v="0"/>
    <n v="46709.058760151987"/>
  </r>
  <r>
    <d v="2025-12-05T00:00:00"/>
    <x v="4"/>
    <s v="LİMONTUZU PARCA"/>
    <m/>
    <x v="1"/>
    <s v="ST00000000443"/>
    <s v="SATIŞ"/>
    <s v="NAKİT"/>
    <n v="0.25"/>
    <n v="180"/>
    <n v="0"/>
    <n v="0"/>
    <m/>
    <m/>
    <m/>
    <m/>
    <n v="45"/>
    <n v="0"/>
    <n v="46754.058760151987"/>
  </r>
  <r>
    <d v="2025-12-05T00:00:00"/>
    <x v="4"/>
    <s v="DOLMALIK KURU PATLICAN"/>
    <m/>
    <x v="5"/>
    <s v="ST00000000444"/>
    <s v="SATIŞ"/>
    <s v="POS"/>
    <n v="0.5"/>
    <n v="240"/>
    <n v="120"/>
    <n v="0"/>
    <m/>
    <m/>
    <m/>
    <m/>
    <n v="0"/>
    <n v="0"/>
    <n v="46754.058760151987"/>
  </r>
  <r>
    <d v="2025-12-05T00:00:00"/>
    <x v="4"/>
    <s v="DOLMALIK SARI BİBER"/>
    <m/>
    <x v="5"/>
    <s v="ST00000000444"/>
    <s v="SATIŞ"/>
    <s v="POS"/>
    <n v="0.5"/>
    <n v="200"/>
    <n v="100"/>
    <n v="0"/>
    <m/>
    <m/>
    <m/>
    <m/>
    <n v="0"/>
    <n v="0"/>
    <n v="46754.058760151987"/>
  </r>
  <r>
    <d v="2025-12-05T00:00:00"/>
    <x v="4"/>
    <s v="DOLMALIK KURU PATLICAN"/>
    <m/>
    <x v="1"/>
    <s v="ST00000000445"/>
    <s v="SATIŞ"/>
    <s v="NAKİT"/>
    <n v="1"/>
    <n v="220"/>
    <n v="0"/>
    <n v="0"/>
    <m/>
    <m/>
    <m/>
    <m/>
    <n v="220"/>
    <n v="0"/>
    <n v="46974.058760151987"/>
  </r>
  <r>
    <d v="2025-12-05T00:00:00"/>
    <x v="4"/>
    <s v="KAFFKA DİBEK KAHVESİ 150 GR"/>
    <m/>
    <x v="5"/>
    <s v="ST00000000445"/>
    <s v="SATIŞ"/>
    <s v="POS"/>
    <n v="1"/>
    <n v="65"/>
    <n v="65"/>
    <n v="0"/>
    <m/>
    <m/>
    <m/>
    <m/>
    <n v="0"/>
    <n v="0"/>
    <n v="46974.058760151987"/>
  </r>
  <r>
    <d v="2025-12-05T00:00:00"/>
    <x v="4"/>
    <s v="BİZİM YAPRAK 1 LİK"/>
    <m/>
    <x v="5"/>
    <s v="ST00000000445"/>
    <s v="SATIŞ"/>
    <s v="POS"/>
    <n v="1"/>
    <n v="310"/>
    <n v="310"/>
    <n v="0"/>
    <m/>
    <m/>
    <m/>
    <m/>
    <n v="0"/>
    <n v="0"/>
    <n v="46974.058760151987"/>
  </r>
  <r>
    <d v="2025-12-05T00:00:00"/>
    <x v="4"/>
    <s v="ZÜHRE ANA KİDS OMEGA 3 BALIK YAĞI ŞURUBU 150 ML"/>
    <m/>
    <x v="1"/>
    <s v="ST00000000446"/>
    <s v="SATIŞ"/>
    <s v="NAKİT"/>
    <n v="1"/>
    <n v="280"/>
    <n v="0"/>
    <n v="0"/>
    <m/>
    <m/>
    <m/>
    <m/>
    <n v="280"/>
    <n v="0"/>
    <n v="47254.058760151987"/>
  </r>
  <r>
    <d v="2025-12-05T00:00:00"/>
    <x v="4"/>
    <s v="TOZ BİBER - TATLI"/>
    <m/>
    <x v="1"/>
    <s v="ST00000000447"/>
    <s v="SATIŞ"/>
    <s v="NAKİT"/>
    <n v="0.15405405405405406"/>
    <n v="370"/>
    <n v="0"/>
    <n v="0"/>
    <m/>
    <m/>
    <m/>
    <m/>
    <n v="57"/>
    <n v="0"/>
    <n v="47311.058760151987"/>
  </r>
  <r>
    <d v="2025-12-05T00:00:00"/>
    <x v="4"/>
    <s v="LOKUM KARIŞIK - TB"/>
    <m/>
    <x v="5"/>
    <s v="ST00000000448"/>
    <s v="SATIŞ"/>
    <s v="POS"/>
    <n v="1.0205128205128204"/>
    <n v="195"/>
    <n v="199"/>
    <n v="0"/>
    <m/>
    <m/>
    <m/>
    <m/>
    <n v="0"/>
    <n v="0"/>
    <n v="47311.058760151987"/>
  </r>
  <r>
    <d v="2025-12-05T00:00:00"/>
    <x v="4"/>
    <s v="MISIR UNU"/>
    <m/>
    <x v="5"/>
    <s v="ST00000000449"/>
    <s v="SATIŞ"/>
    <s v="POS"/>
    <n v="0.5"/>
    <n v="60"/>
    <n v="30"/>
    <n v="0"/>
    <m/>
    <m/>
    <m/>
    <m/>
    <n v="0"/>
    <n v="0"/>
    <n v="47311.058760151987"/>
  </r>
  <r>
    <d v="2025-12-05T00:00:00"/>
    <x v="4"/>
    <s v="BUĞDAY NİŞASTASI"/>
    <m/>
    <x v="5"/>
    <s v="ST00000000449"/>
    <s v="SATIŞ"/>
    <s v="POS"/>
    <n v="0.5"/>
    <n v="120"/>
    <n v="60"/>
    <n v="0"/>
    <m/>
    <m/>
    <m/>
    <m/>
    <n v="0"/>
    <n v="0"/>
    <n v="47311.058760151987"/>
  </r>
  <r>
    <d v="2025-12-05T00:00:00"/>
    <x v="4"/>
    <s v="NANE İRİ"/>
    <m/>
    <x v="5"/>
    <s v="ST00000000449"/>
    <s v="SATIŞ"/>
    <s v="POS"/>
    <n v="0.06"/>
    <n v="400"/>
    <n v="24"/>
    <n v="0"/>
    <m/>
    <m/>
    <m/>
    <m/>
    <n v="0"/>
    <n v="0"/>
    <n v="47311.058760151987"/>
  </r>
  <r>
    <d v="2025-12-05T00:00:00"/>
    <x v="4"/>
    <s v="WARITEX ÇİFT TARAFLI KABAK LİFİ"/>
    <m/>
    <x v="5"/>
    <s v="ST00000000450"/>
    <s v="SATIŞ"/>
    <s v="POS"/>
    <n v="1"/>
    <n v="120"/>
    <n v="120"/>
    <n v="0"/>
    <m/>
    <m/>
    <m/>
    <m/>
    <n v="0"/>
    <n v="0"/>
    <n v="47311.058760151987"/>
  </r>
  <r>
    <d v="2025-12-05T00:00:00"/>
    <x v="4"/>
    <s v="ERBATAB MAGNEZYUM 3 LÜ FORM (BİSGLİSİNAT, SİTRAT, MALAT) &amp; VİTAMİN B2 , B3 , B6 - 60 KAPSÜL"/>
    <m/>
    <x v="5"/>
    <s v="ST00000000450"/>
    <s v="SATIŞ"/>
    <s v="POS"/>
    <n v="1"/>
    <n v="270"/>
    <n v="270"/>
    <n v="0"/>
    <m/>
    <m/>
    <m/>
    <m/>
    <n v="0"/>
    <n v="0"/>
    <n v="47311.058760151987"/>
  </r>
  <r>
    <d v="2025-12-05T00:00:00"/>
    <x v="4"/>
    <s v="ZÜHRE ANA SULTAN MACUNU 240 GR"/>
    <m/>
    <x v="5"/>
    <s v="ST00000000450"/>
    <s v="SATIŞ"/>
    <s v="POS"/>
    <n v="1"/>
    <n v="220"/>
    <n v="220"/>
    <n v="0"/>
    <m/>
    <m/>
    <m/>
    <m/>
    <n v="0"/>
    <n v="0"/>
    <n v="47311.058760151987"/>
  </r>
  <r>
    <d v="2025-12-05T00:00:00"/>
    <x v="4"/>
    <s v="ZÜHRE ANA KİDS ARI SÜTÜ PEKMEZ BAL MACUN 240 GR"/>
    <m/>
    <x v="5"/>
    <s v="ST00000000450"/>
    <s v="SATIŞ"/>
    <s v="POS"/>
    <n v="1"/>
    <n v="220"/>
    <n v="220"/>
    <n v="0"/>
    <m/>
    <m/>
    <m/>
    <m/>
    <n v="0"/>
    <n v="0"/>
    <n v="47311.058760151987"/>
  </r>
  <r>
    <d v="2025-12-05T00:00:00"/>
    <x v="4"/>
    <s v="TALA KARINCA YUMURTASI YAĞI 20 ML"/>
    <m/>
    <x v="5"/>
    <s v="ST00000000450"/>
    <s v="SATIŞ"/>
    <s v="POS"/>
    <n v="1"/>
    <n v="150"/>
    <n v="150"/>
    <n v="0"/>
    <m/>
    <m/>
    <m/>
    <m/>
    <n v="0"/>
    <n v="0"/>
    <n v="47311.058760151987"/>
  </r>
  <r>
    <d v="2025-12-05T00:00:00"/>
    <x v="4"/>
    <s v="DERMA KABAK YÜZ &amp; BANYO LİFİ"/>
    <m/>
    <x v="5"/>
    <s v="ST00000000450"/>
    <s v="SATIŞ"/>
    <s v="POS"/>
    <n v="1"/>
    <n v="100"/>
    <n v="100"/>
    <n v="0"/>
    <m/>
    <m/>
    <m/>
    <m/>
    <n v="0"/>
    <n v="0"/>
    <n v="47311.058760151987"/>
  </r>
  <r>
    <d v="2025-12-05T00:00:00"/>
    <x v="4"/>
    <s v="DOLMALIK KURU KABAK"/>
    <m/>
    <x v="5"/>
    <s v="ST00000000451"/>
    <s v="SATIŞ"/>
    <s v="POS"/>
    <n v="1"/>
    <n v="260"/>
    <n v="260"/>
    <n v="0"/>
    <m/>
    <m/>
    <m/>
    <m/>
    <n v="0"/>
    <n v="0"/>
    <n v="47311.058760151987"/>
  </r>
  <r>
    <d v="2025-12-05T00:00:00"/>
    <x v="4"/>
    <s v="DOLMALIK KURU PATLICAN"/>
    <m/>
    <x v="5"/>
    <s v="ST00000000451"/>
    <s v="SATIŞ"/>
    <s v="POS"/>
    <n v="1"/>
    <n v="240"/>
    <n v="240"/>
    <n v="0"/>
    <m/>
    <m/>
    <m/>
    <m/>
    <n v="0"/>
    <n v="0"/>
    <n v="47311.058760151987"/>
  </r>
  <r>
    <d v="2025-12-05T00:00:00"/>
    <x v="4"/>
    <s v="ERBATAB VİTAMİN B12- FOLİK ASİT B9-METİLKOBALAMİN-METİLFOLAT"/>
    <m/>
    <x v="5"/>
    <s v="ST00000000451"/>
    <s v="SATIŞ"/>
    <s v="POS"/>
    <n v="1"/>
    <n v="172"/>
    <n v="172"/>
    <n v="0"/>
    <m/>
    <m/>
    <m/>
    <m/>
    <n v="0"/>
    <n v="0"/>
    <n v="47311.058760151987"/>
  </r>
  <r>
    <d v="2025-12-05T00:00:00"/>
    <x v="4"/>
    <s v="CEVİZLİ SUCUK ATOM (ESMER)"/>
    <m/>
    <x v="5"/>
    <s v="ST00000000451"/>
    <s v="SATIŞ"/>
    <s v="POS"/>
    <n v="0.42058823529411765"/>
    <n v="340"/>
    <n v="143"/>
    <n v="0"/>
    <m/>
    <m/>
    <m/>
    <m/>
    <n v="0"/>
    <n v="0"/>
    <n v="47311.058760151987"/>
  </r>
  <r>
    <d v="2025-12-05T00:00:00"/>
    <x v="4"/>
    <s v="KAFFKA OSMANLI KAHVESİ 150 GR"/>
    <m/>
    <x v="5"/>
    <s v="ST00000000451"/>
    <s v="SATIŞ"/>
    <s v="POS"/>
    <n v="1"/>
    <n v="65"/>
    <n v="65"/>
    <n v="0"/>
    <m/>
    <m/>
    <m/>
    <m/>
    <n v="0"/>
    <n v="0"/>
    <n v="47311.058760151987"/>
  </r>
  <r>
    <d v="2025-12-05T00:00:00"/>
    <x v="4"/>
    <s v="TALA KARINCA YUMURTASI YAĞI 20 ML"/>
    <m/>
    <x v="1"/>
    <s v="ST00000000452"/>
    <s v="SATIŞ"/>
    <s v="NAKİT"/>
    <n v="1"/>
    <n v="150"/>
    <n v="0"/>
    <n v="0"/>
    <m/>
    <m/>
    <m/>
    <m/>
    <n v="150"/>
    <n v="0"/>
    <n v="47461.058760151987"/>
  </r>
  <r>
    <d v="2025-12-05T00:00:00"/>
    <x v="4"/>
    <s v="DERMA KABAK YÜZ &amp; BANYO LİFİ"/>
    <m/>
    <x v="1"/>
    <s v="ST00000000452"/>
    <s v="SATIŞ"/>
    <s v="NAKİT"/>
    <n v="1"/>
    <n v="100"/>
    <n v="0"/>
    <n v="0"/>
    <m/>
    <m/>
    <m/>
    <m/>
    <n v="100"/>
    <n v="0"/>
    <n v="47561.058760151987"/>
  </r>
  <r>
    <d v="2025-12-05T00:00:00"/>
    <x v="4"/>
    <s v="ZÜHRE ANA ANANAS SİRKESİ 500 ML"/>
    <m/>
    <x v="1"/>
    <s v="ST00000000453"/>
    <s v="SATIŞ"/>
    <s v="NAKİT"/>
    <n v="1"/>
    <n v="200"/>
    <n v="0"/>
    <n v="0"/>
    <m/>
    <m/>
    <m/>
    <m/>
    <n v="200"/>
    <n v="0"/>
    <n v="47761.058760151987"/>
  </r>
  <r>
    <d v="2025-12-05T00:00:00"/>
    <x v="4"/>
    <s v="İRİ BEYAZ KABAK ÇEKİRDEĞİ - NEVŞEHİR"/>
    <m/>
    <x v="1"/>
    <s v="ST00000000454"/>
    <s v="SATIŞ"/>
    <s v="NAKİT"/>
    <n v="0.27777777777777779"/>
    <n v="360"/>
    <n v="0"/>
    <n v="0"/>
    <m/>
    <m/>
    <m/>
    <m/>
    <n v="100"/>
    <n v="0"/>
    <n v="47861.058760151987"/>
  </r>
  <r>
    <d v="2025-12-05T00:00:00"/>
    <x v="4"/>
    <s v="TUZLU FISTIK DUBLE"/>
    <m/>
    <x v="1"/>
    <s v="ST00000000454"/>
    <s v="SATIŞ"/>
    <s v="NAKİT"/>
    <n v="0.25641025641025639"/>
    <n v="195"/>
    <n v="0"/>
    <n v="0"/>
    <m/>
    <m/>
    <m/>
    <m/>
    <n v="49.999999999999993"/>
    <n v="0"/>
    <n v="47911.058760151987"/>
  </r>
  <r>
    <d v="2025-12-05T00:00:00"/>
    <x v="4"/>
    <s v="TUZSUZ FISTIK 1 NO"/>
    <m/>
    <x v="1"/>
    <s v="ST00000000454"/>
    <s v="SATIŞ"/>
    <s v="NAKİT"/>
    <n v="0.25641025641025639"/>
    <n v="195"/>
    <n v="0"/>
    <n v="0"/>
    <m/>
    <m/>
    <m/>
    <m/>
    <n v="49.999999999999993"/>
    <n v="0"/>
    <n v="47961.058760151987"/>
  </r>
  <r>
    <d v="2025-12-05T00:00:00"/>
    <x v="4"/>
    <s v="KARIŞIK KURUYEMİŞ"/>
    <m/>
    <x v="1"/>
    <s v="ST00000000454"/>
    <s v="SATIŞ"/>
    <s v="NAKİT"/>
    <n v="0.23529411764705882"/>
    <n v="850"/>
    <n v="0"/>
    <n v="0"/>
    <m/>
    <m/>
    <m/>
    <m/>
    <n v="200"/>
    <n v="0"/>
    <n v="48161.058760151987"/>
  </r>
  <r>
    <d v="2025-12-05T00:00:00"/>
    <x v="4"/>
    <s v="ÇEBELİZADE NİOLİ YAĞI 20 ML"/>
    <m/>
    <x v="1"/>
    <s v="ST00000000547"/>
    <s v="SATIŞ"/>
    <s v="NAKİT"/>
    <n v="2"/>
    <n v="140"/>
    <n v="0"/>
    <n v="0"/>
    <m/>
    <m/>
    <m/>
    <m/>
    <n v="280"/>
    <n v="0"/>
    <n v="48441.058760151987"/>
  </r>
  <r>
    <d v="2025-12-05T00:00:00"/>
    <x v="7"/>
    <m/>
    <m/>
    <x v="4"/>
    <m/>
    <s v="TÜDAB A.Ş. - ÖDEME"/>
    <s v="NAKİT"/>
    <n v="1"/>
    <n v="0"/>
    <n v="5000"/>
    <n v="0"/>
    <m/>
    <m/>
    <m/>
    <m/>
    <n v="0"/>
    <n v="5000"/>
    <n v="43441.058760151987"/>
  </r>
  <r>
    <d v="2025-12-05T00:00:00"/>
    <x v="10"/>
    <m/>
    <m/>
    <x v="5"/>
    <m/>
    <s v="POS ÇÖZÜMÜ"/>
    <s v="POS"/>
    <n v="1"/>
    <n v="375"/>
    <n v="0"/>
    <n v="375"/>
    <m/>
    <m/>
    <m/>
    <m/>
    <n v="375"/>
    <n v="0"/>
    <n v="43816.058760151987"/>
  </r>
  <r>
    <d v="2025-12-05T00:00:00"/>
    <x v="10"/>
    <m/>
    <m/>
    <x v="5"/>
    <m/>
    <s v="POS ÇÖZÜMÜ"/>
    <s v="POS"/>
    <n v="1"/>
    <n v="101"/>
    <n v="0"/>
    <n v="101"/>
    <m/>
    <m/>
    <m/>
    <m/>
    <n v="101"/>
    <n v="0"/>
    <n v="43917.058760151987"/>
  </r>
  <r>
    <d v="2025-12-05T00:00:00"/>
    <x v="6"/>
    <s v="TÜDAB ANDIZ PEKMEZİ 450 GR"/>
    <m/>
    <x v="4"/>
    <m/>
    <s v="TÜDAB A.Ş. - İADE"/>
    <s v="CARİ"/>
    <n v="1"/>
    <n v="115"/>
    <n v="115"/>
    <n v="0"/>
    <m/>
    <m/>
    <m/>
    <m/>
    <n v="0"/>
    <n v="0"/>
    <n v="43917.058760151987"/>
  </r>
  <r>
    <d v="2025-12-05T00:00:00"/>
    <x v="6"/>
    <s v="KUŞBURNU"/>
    <m/>
    <x v="4"/>
    <m/>
    <s v="TÜDAB A.Ş. - İADE"/>
    <s v="CARİ"/>
    <n v="3"/>
    <n v="65"/>
    <n v="195"/>
    <n v="0"/>
    <m/>
    <m/>
    <m/>
    <m/>
    <n v="0"/>
    <n v="0"/>
    <n v="43917.058760151987"/>
  </r>
  <r>
    <d v="2025-12-06T00:00:00"/>
    <x v="1"/>
    <m/>
    <s v="AMBALAJ GİDERLERİ"/>
    <x v="2"/>
    <s v="AFA2025000002026"/>
    <s v="AFİLİ AMBALAJ - AMBALAJ GİDERİ"/>
    <s v="K.K."/>
    <n v="1"/>
    <n v="8660.44"/>
    <n v="0"/>
    <n v="8660.44"/>
    <m/>
    <m/>
    <m/>
    <m/>
    <n v="0"/>
    <n v="0"/>
    <n v="43917.058760151987"/>
  </r>
  <r>
    <d v="2025-12-06T00:00:00"/>
    <x v="4"/>
    <s v="IHLAMUR YAPRAK"/>
    <m/>
    <x v="1"/>
    <s v="ST00000000455"/>
    <s v="SATIŞ"/>
    <s v="NAKİT"/>
    <n v="0.05"/>
    <n v="2600"/>
    <n v="0"/>
    <n v="0"/>
    <m/>
    <m/>
    <m/>
    <m/>
    <n v="130"/>
    <n v="0"/>
    <n v="44047.058760151987"/>
  </r>
  <r>
    <d v="2025-12-06T00:00:00"/>
    <x v="4"/>
    <s v="SALÇA TATLI (EV YAPIMI)"/>
    <m/>
    <x v="1"/>
    <s v="ST00000000455"/>
    <s v="SATIŞ"/>
    <s v="NAKİT"/>
    <n v="0.5"/>
    <n v="180"/>
    <n v="0"/>
    <n v="0"/>
    <m/>
    <m/>
    <m/>
    <m/>
    <n v="90"/>
    <n v="0"/>
    <n v="44137.058760151987"/>
  </r>
  <r>
    <d v="2025-12-06T00:00:00"/>
    <x v="4"/>
    <s v="YALÇINKAYA DOMATES SALÇASI"/>
    <m/>
    <x v="1"/>
    <s v="ST00000000455"/>
    <s v="SATIŞ"/>
    <s v="NAKİT"/>
    <n v="0.5"/>
    <n v="130"/>
    <n v="0"/>
    <n v="0"/>
    <m/>
    <m/>
    <m/>
    <m/>
    <n v="65"/>
    <n v="0"/>
    <n v="44202.058760151987"/>
  </r>
  <r>
    <d v="2025-12-06T00:00:00"/>
    <x v="4"/>
    <s v="DOLMALIK KURU PATLICAN"/>
    <m/>
    <x v="1"/>
    <s v="ST00000000455"/>
    <s v="SATIŞ"/>
    <s v="NAKİT"/>
    <n v="1"/>
    <n v="240"/>
    <n v="0"/>
    <n v="0"/>
    <m/>
    <m/>
    <m/>
    <m/>
    <n v="240"/>
    <n v="0"/>
    <n v="44442.058760151987"/>
  </r>
  <r>
    <d v="2025-12-06T00:00:00"/>
    <x v="4"/>
    <s v="HAM KABAK LİFİ İŞLENMEMİŞ"/>
    <m/>
    <x v="1"/>
    <s v="ST00000000455"/>
    <s v="SATIŞ"/>
    <s v="NAKİT"/>
    <n v="1"/>
    <n v="180"/>
    <n v="0"/>
    <n v="0"/>
    <m/>
    <m/>
    <m/>
    <m/>
    <n v="180"/>
    <n v="0"/>
    <n v="44622.058760151987"/>
  </r>
  <r>
    <d v="2025-12-06T00:00:00"/>
    <x v="4"/>
    <s v="NAHİTA ELMA SİRKESİ 500 ML"/>
    <m/>
    <x v="1"/>
    <s v="ST00000000455"/>
    <s v="SATIŞ"/>
    <s v="NAKİT"/>
    <n v="1"/>
    <n v="140"/>
    <n v="0"/>
    <n v="0"/>
    <m/>
    <m/>
    <m/>
    <m/>
    <n v="140"/>
    <n v="0"/>
    <n v="44762.058760151987"/>
  </r>
  <r>
    <d v="2025-12-06T00:00:00"/>
    <x v="4"/>
    <s v="CEVİZLİ SUCUK ATOM (ESMER)"/>
    <m/>
    <x v="1"/>
    <s v="ST00000000455"/>
    <s v="SATIŞ"/>
    <s v="NAKİT"/>
    <n v="0.46200000000000002"/>
    <n v="340"/>
    <n v="0"/>
    <n v="0"/>
    <m/>
    <m/>
    <m/>
    <m/>
    <n v="157.08000000000001"/>
    <n v="0"/>
    <n v="44919.138760151989"/>
  </r>
  <r>
    <d v="2025-12-06T00:00:00"/>
    <x v="4"/>
    <s v="GÜNAYDIN KAYA TUZU İNCE"/>
    <m/>
    <x v="1"/>
    <s v="ST00000000455"/>
    <s v="SATIŞ"/>
    <s v="NAKİT"/>
    <n v="0.5"/>
    <n v="80"/>
    <n v="0"/>
    <n v="0"/>
    <m/>
    <m/>
    <m/>
    <m/>
    <n v="40"/>
    <n v="0"/>
    <n v="44959.138760151989"/>
  </r>
  <r>
    <d v="2025-12-06T00:00:00"/>
    <x v="4"/>
    <s v="ŞİFAVER KÜKÜRTLÜ HATAY SABUNU"/>
    <m/>
    <x v="1"/>
    <s v="ST00000000455"/>
    <s v="SATIŞ"/>
    <s v="NAKİT"/>
    <n v="1"/>
    <n v="40"/>
    <n v="0"/>
    <n v="0"/>
    <m/>
    <m/>
    <m/>
    <m/>
    <n v="40"/>
    <n v="0"/>
    <n v="44999.138760151989"/>
  </r>
  <r>
    <d v="2025-12-06T00:00:00"/>
    <x v="4"/>
    <s v="ZÜHRE ANA PROPOLİS MACUNU 240 GR"/>
    <m/>
    <x v="1"/>
    <s v="ST00000000455"/>
    <s v="SATIŞ"/>
    <s v="NAKİT"/>
    <n v="1"/>
    <n v="220"/>
    <n v="0"/>
    <n v="0"/>
    <m/>
    <m/>
    <m/>
    <m/>
    <n v="220"/>
    <n v="0"/>
    <n v="45219.138760151989"/>
  </r>
  <r>
    <d v="2025-12-06T00:00:00"/>
    <x v="4"/>
    <s v="KANTARON YAĞI 50 CC"/>
    <m/>
    <x v="1"/>
    <s v="ST00000000455"/>
    <s v="SATIŞ"/>
    <s v="NAKİT"/>
    <n v="1"/>
    <n v="125"/>
    <n v="0"/>
    <n v="0"/>
    <m/>
    <m/>
    <m/>
    <m/>
    <n v="125"/>
    <n v="0"/>
    <n v="45344.138760151989"/>
  </r>
  <r>
    <d v="2025-12-06T00:00:00"/>
    <x v="4"/>
    <s v="ÇUBUK TARÇIN"/>
    <m/>
    <x v="1"/>
    <s v="ST00000000455"/>
    <s v="SATIŞ"/>
    <s v="NAKİT"/>
    <n v="0.1"/>
    <n v="650"/>
    <n v="0"/>
    <n v="0"/>
    <m/>
    <m/>
    <m/>
    <m/>
    <n v="65"/>
    <n v="0"/>
    <n v="45409.138760151989"/>
  </r>
  <r>
    <d v="2025-12-06T00:00:00"/>
    <x v="4"/>
    <s v="NUTRAXİN MAGNEZYUM COMPLEX 60 TABLET 125 MG"/>
    <m/>
    <x v="1"/>
    <s v="ST00000000455"/>
    <s v="SATIŞ"/>
    <s v="NAKİT"/>
    <n v="1"/>
    <n v="320"/>
    <n v="0"/>
    <n v="0"/>
    <m/>
    <m/>
    <m/>
    <m/>
    <n v="320"/>
    <n v="0"/>
    <n v="45729.138760151989"/>
  </r>
  <r>
    <d v="2025-12-06T00:00:00"/>
    <x v="4"/>
    <s v="GENÇLEBİ ÇAKILTAŞI DRAJE"/>
    <m/>
    <x v="1"/>
    <s v="ST00000000455"/>
    <s v="SATIŞ"/>
    <s v="NAKİT"/>
    <n v="0.25"/>
    <n v="400"/>
    <n v="0"/>
    <n v="0"/>
    <m/>
    <m/>
    <m/>
    <m/>
    <n v="100"/>
    <n v="0"/>
    <n v="45829.138760151989"/>
  </r>
  <r>
    <d v="2025-12-06T00:00:00"/>
    <x v="4"/>
    <s v="LEBLEBİ ŞEKER LÜX"/>
    <m/>
    <x v="1"/>
    <s v="ST00000000455"/>
    <s v="SATIŞ"/>
    <s v="NAKİT"/>
    <n v="0.41"/>
    <n v="190"/>
    <n v="0"/>
    <n v="0"/>
    <m/>
    <m/>
    <m/>
    <m/>
    <n v="77.899999999999991"/>
    <n v="0"/>
    <n v="45907.038760151991"/>
  </r>
  <r>
    <d v="2025-12-06T00:00:00"/>
    <x v="4"/>
    <s v="NANE İRİ"/>
    <m/>
    <x v="1"/>
    <s v="ST00000000455"/>
    <s v="SATIŞ"/>
    <s v="NAKİT"/>
    <n v="7.5999999999999998E-2"/>
    <n v="400"/>
    <n v="0"/>
    <n v="0"/>
    <m/>
    <m/>
    <m/>
    <m/>
    <n v="30.4"/>
    <n v="0"/>
    <n v="45937.438760151992"/>
  </r>
  <r>
    <d v="2025-12-06T00:00:00"/>
    <x v="4"/>
    <s v="PATLAK MISIR"/>
    <m/>
    <x v="1"/>
    <s v="ST00000000455"/>
    <s v="SATIŞ"/>
    <s v="NAKİT"/>
    <n v="0.71199999999999997"/>
    <n v="60"/>
    <n v="0"/>
    <n v="0"/>
    <m/>
    <m/>
    <m/>
    <m/>
    <n v="42.72"/>
    <n v="0"/>
    <n v="45980.158760151993"/>
  </r>
  <r>
    <d v="2025-12-06T00:00:00"/>
    <x v="4"/>
    <s v="LEBLEBİ ÇİFTE SARI"/>
    <m/>
    <x v="1"/>
    <s v="ST00000000455"/>
    <s v="SATIŞ"/>
    <s v="NAKİT"/>
    <n v="0.214"/>
    <n v="240"/>
    <n v="0"/>
    <n v="0"/>
    <m/>
    <m/>
    <m/>
    <m/>
    <n v="51.36"/>
    <n v="0"/>
    <n v="46031.518760151994"/>
  </r>
  <r>
    <d v="2025-12-06T00:00:00"/>
    <x v="4"/>
    <s v="İSOT"/>
    <m/>
    <x v="1"/>
    <s v="ST00000000455"/>
    <s v="SATIŞ"/>
    <s v="NAKİT"/>
    <n v="0.17199999999999999"/>
    <n v="380"/>
    <n v="0"/>
    <n v="0"/>
    <m/>
    <m/>
    <m/>
    <m/>
    <n v="65.36"/>
    <n v="0"/>
    <n v="46096.878760151994"/>
  </r>
  <r>
    <d v="2025-12-06T00:00:00"/>
    <x v="4"/>
    <s v="KİMYON ÇEKİLMİŞ"/>
    <m/>
    <x v="1"/>
    <s v="ST00000000455"/>
    <s v="SATIŞ"/>
    <s v="NAKİT"/>
    <n v="0.10199999999999999"/>
    <n v="390"/>
    <n v="0"/>
    <n v="0"/>
    <m/>
    <m/>
    <m/>
    <m/>
    <n v="39.779999999999994"/>
    <n v="0"/>
    <n v="46136.658760151993"/>
  </r>
  <r>
    <d v="2025-12-06T00:00:00"/>
    <x v="4"/>
    <s v="TÜRK KAHVESİ"/>
    <m/>
    <x v="1"/>
    <s v="ST00000000455"/>
    <s v="SATIŞ"/>
    <s v="NAKİT"/>
    <n v="0.1"/>
    <n v="650"/>
    <n v="0"/>
    <n v="0"/>
    <m/>
    <m/>
    <m/>
    <m/>
    <n v="65"/>
    <n v="0"/>
    <n v="46201.658760151993"/>
  </r>
  <r>
    <d v="2025-12-06T00:00:00"/>
    <x v="4"/>
    <s v="SOSLU MISIR YERLİ"/>
    <m/>
    <x v="1"/>
    <s v="ST00000000455"/>
    <s v="SATIŞ"/>
    <s v="NAKİT"/>
    <n v="0.14000000000000001"/>
    <n v="150"/>
    <n v="0"/>
    <n v="0"/>
    <m/>
    <m/>
    <m/>
    <m/>
    <n v="21.000000000000004"/>
    <n v="0"/>
    <n v="46222.658760151993"/>
  </r>
  <r>
    <d v="2025-12-06T00:00:00"/>
    <x v="4"/>
    <s v="BİZİM YAPRAK 1 LİK"/>
    <m/>
    <x v="1"/>
    <s v="ST00000000455"/>
    <s v="SATIŞ"/>
    <s v="NAKİT"/>
    <n v="1"/>
    <n v="290"/>
    <n v="0"/>
    <n v="0"/>
    <m/>
    <m/>
    <m/>
    <m/>
    <n v="290"/>
    <n v="0"/>
    <n v="46512.658760151993"/>
  </r>
  <r>
    <d v="2025-12-06T00:00:00"/>
    <x v="4"/>
    <s v="KARABİBER ÇEKİLMİŞ"/>
    <m/>
    <x v="5"/>
    <s v="ST00000000456"/>
    <s v="SATIŞ"/>
    <s v="POS"/>
    <n v="7.8125E-2"/>
    <n v="640"/>
    <n v="50"/>
    <n v="0"/>
    <m/>
    <m/>
    <m/>
    <m/>
    <n v="0"/>
    <n v="0"/>
    <n v="46512.658760151993"/>
  </r>
  <r>
    <d v="2025-12-06T00:00:00"/>
    <x v="4"/>
    <s v="EVLİK BİBER"/>
    <m/>
    <x v="5"/>
    <s v="ST00000000456"/>
    <s v="SATIŞ"/>
    <s v="POS"/>
    <n v="9.2105263157894732E-2"/>
    <n v="380"/>
    <n v="35"/>
    <n v="0"/>
    <m/>
    <m/>
    <m/>
    <m/>
    <n v="0"/>
    <n v="0"/>
    <n v="46512.658760151993"/>
  </r>
  <r>
    <d v="2025-12-06T00:00:00"/>
    <x v="4"/>
    <s v="TÜDAB HARNUP PEKMEZİ 800 GR (KEÇİBOYNUZU)"/>
    <m/>
    <x v="5"/>
    <s v="ST00000000456"/>
    <s v="SATIŞ"/>
    <s v="POS"/>
    <n v="1"/>
    <n v="180"/>
    <n v="180"/>
    <n v="0"/>
    <m/>
    <m/>
    <m/>
    <m/>
    <n v="0"/>
    <n v="0"/>
    <n v="46512.658760151993"/>
  </r>
  <r>
    <d v="2025-12-06T00:00:00"/>
    <x v="4"/>
    <s v="NBN DAĞ İNCİRİ"/>
    <m/>
    <x v="5"/>
    <s v="ST00000000457"/>
    <s v="SATIŞ"/>
    <s v="POS"/>
    <n v="0.65"/>
    <n v="700"/>
    <n v="455"/>
    <n v="0"/>
    <m/>
    <m/>
    <m/>
    <m/>
    <n v="0"/>
    <n v="0"/>
    <n v="46512.658760151993"/>
  </r>
  <r>
    <d v="2025-12-06T00:00:00"/>
    <x v="4"/>
    <s v="KABUKLU CEVİZ (YERLİ)"/>
    <m/>
    <x v="5"/>
    <s v="ST00000000457"/>
    <s v="SATIŞ"/>
    <s v="POS"/>
    <n v="1"/>
    <n v="290"/>
    <n v="290"/>
    <n v="0"/>
    <m/>
    <m/>
    <m/>
    <m/>
    <n v="0"/>
    <n v="0"/>
    <n v="46512.658760151993"/>
  </r>
  <r>
    <d v="2025-12-06T00:00:00"/>
    <x v="4"/>
    <s v="MISIR UNU"/>
    <m/>
    <x v="5"/>
    <s v="ST00000000458"/>
    <s v="SATIŞ"/>
    <s v="POS"/>
    <n v="1"/>
    <n v="60"/>
    <n v="60"/>
    <n v="0"/>
    <m/>
    <m/>
    <m/>
    <m/>
    <n v="0"/>
    <n v="0"/>
    <n v="46512.658760151993"/>
  </r>
  <r>
    <d v="2025-12-06T00:00:00"/>
    <x v="4"/>
    <s v="LEBLEBİ ÇİFTE SARI"/>
    <m/>
    <x v="1"/>
    <s v="ST00000000459"/>
    <s v="SATIŞ"/>
    <s v="NAKİT"/>
    <n v="0.20833333333333334"/>
    <n v="240"/>
    <n v="0"/>
    <n v="0"/>
    <m/>
    <m/>
    <m/>
    <m/>
    <n v="50"/>
    <n v="0"/>
    <n v="46562.658760151993"/>
  </r>
  <r>
    <d v="2025-12-06T00:00:00"/>
    <x v="4"/>
    <s v="NBN 2,5 KG İNCİR"/>
    <m/>
    <x v="1"/>
    <s v="ST00000000459"/>
    <s v="SATIŞ"/>
    <s v="NAKİT"/>
    <n v="0.21666666666666667"/>
    <n v="600"/>
    <n v="0"/>
    <n v="0"/>
    <m/>
    <m/>
    <m/>
    <m/>
    <n v="130"/>
    <n v="0"/>
    <n v="46692.658760151993"/>
  </r>
  <r>
    <d v="2025-12-06T00:00:00"/>
    <x v="4"/>
    <s v="KEKİK YAĞI 10 CC"/>
    <m/>
    <x v="1"/>
    <s v="ST00000000460"/>
    <s v="SATIŞ"/>
    <s v="NAKİT"/>
    <n v="1"/>
    <n v="180"/>
    <n v="0"/>
    <n v="0"/>
    <m/>
    <m/>
    <m/>
    <m/>
    <n v="180"/>
    <n v="0"/>
    <n v="46872.658760151993"/>
  </r>
  <r>
    <d v="2025-12-06T00:00:00"/>
    <x v="4"/>
    <s v="AKİKSİR HİNDİSTAN CEVİZİ YAĞI 150 GR"/>
    <m/>
    <x v="5"/>
    <s v="ST00000000461"/>
    <s v="SATIŞ"/>
    <s v="POS"/>
    <n v="1"/>
    <n v="190"/>
    <n v="190"/>
    <n v="0"/>
    <m/>
    <m/>
    <m/>
    <m/>
    <n v="0"/>
    <n v="0"/>
    <n v="46872.658760151993"/>
  </r>
  <r>
    <d v="2025-12-06T00:00:00"/>
    <x v="4"/>
    <s v="TOZ BİBER - TATLI"/>
    <m/>
    <x v="1"/>
    <s v="ST00000000463"/>
    <s v="SATIŞ"/>
    <s v="NAKİT"/>
    <n v="0.11621621621621622"/>
    <n v="370"/>
    <n v="0"/>
    <n v="0"/>
    <m/>
    <m/>
    <m/>
    <m/>
    <n v="43"/>
    <n v="0"/>
    <n v="46915.658760151993"/>
  </r>
  <r>
    <d v="2025-12-06T00:00:00"/>
    <x v="4"/>
    <s v="BİOBLAS ARGAN SAÇ BAKIM YAĞI 100 ML"/>
    <m/>
    <x v="1"/>
    <s v="ST00000000464"/>
    <s v="SATIŞ"/>
    <s v="NAKİT"/>
    <n v="1"/>
    <n v="200"/>
    <n v="0"/>
    <n v="0"/>
    <m/>
    <m/>
    <m/>
    <m/>
    <n v="200"/>
    <n v="0"/>
    <n v="47115.658760151993"/>
  </r>
  <r>
    <d v="2025-12-06T00:00:00"/>
    <x v="4"/>
    <s v="REZENE"/>
    <m/>
    <x v="5"/>
    <s v="ST00000000465"/>
    <s v="SATIŞ"/>
    <s v="POS"/>
    <n v="0.1"/>
    <n v="900"/>
    <n v="90"/>
    <n v="0"/>
    <m/>
    <m/>
    <m/>
    <m/>
    <n v="0"/>
    <n v="0"/>
    <n v="47115.658760151993"/>
  </r>
  <r>
    <d v="2025-12-06T00:00:00"/>
    <x v="4"/>
    <s v="KINA RGS DÖKME"/>
    <m/>
    <x v="1"/>
    <s v="ST00000000466"/>
    <s v="SATIŞ - ADM2"/>
    <s v="NAKİT"/>
    <n v="0.25"/>
    <n v="400"/>
    <n v="0"/>
    <n v="0"/>
    <m/>
    <m/>
    <m/>
    <m/>
    <n v="100"/>
    <n v="0"/>
    <n v="47215.658760151993"/>
  </r>
  <r>
    <d v="2025-12-06T00:00:00"/>
    <x v="4"/>
    <s v="HİMALAYA TUZU PEMBE GRANÜL"/>
    <m/>
    <x v="1"/>
    <s v="ST00000000466"/>
    <s v="SATIŞ - ADM2"/>
    <s v="NAKİT"/>
    <n v="0.5"/>
    <n v="140"/>
    <n v="0"/>
    <n v="0"/>
    <m/>
    <m/>
    <m/>
    <m/>
    <n v="70"/>
    <n v="0"/>
    <n v="47285.658760151993"/>
  </r>
  <r>
    <d v="2025-12-06T00:00:00"/>
    <x v="4"/>
    <s v="LİMONTUZU PARCA"/>
    <m/>
    <x v="1"/>
    <s v="ST00000000466"/>
    <s v="SATIŞ - ADM2"/>
    <s v="NAKİT"/>
    <n v="0.25"/>
    <n v="180"/>
    <n v="0"/>
    <n v="0"/>
    <m/>
    <m/>
    <m/>
    <m/>
    <n v="45"/>
    <n v="0"/>
    <n v="47330.658760151993"/>
  </r>
  <r>
    <d v="2025-12-06T00:00:00"/>
    <x v="4"/>
    <s v="DOLMALIK SARI BİBER"/>
    <m/>
    <x v="5"/>
    <s v="ST00000000467"/>
    <s v="SATIŞ"/>
    <s v="POS"/>
    <n v="1"/>
    <n v="240"/>
    <n v="240"/>
    <n v="0"/>
    <m/>
    <m/>
    <m/>
    <m/>
    <n v="0"/>
    <n v="0"/>
    <n v="47330.658760151993"/>
  </r>
  <r>
    <d v="2025-12-06T00:00:00"/>
    <x v="4"/>
    <s v="DOLMALIK KURU PATLICAN"/>
    <m/>
    <x v="5"/>
    <s v="ST00000000468"/>
    <s v="SATIŞ"/>
    <s v="POS"/>
    <n v="1"/>
    <n v="200"/>
    <n v="200"/>
    <n v="0"/>
    <m/>
    <m/>
    <m/>
    <m/>
    <n v="0"/>
    <n v="0"/>
    <n v="47330.658760151993"/>
  </r>
  <r>
    <d v="2025-12-06T00:00:00"/>
    <x v="4"/>
    <s v="LİMONTUZU PARCA"/>
    <m/>
    <x v="5"/>
    <s v="ST00000000469"/>
    <s v="SATIŞ"/>
    <s v="POS"/>
    <n v="0.25"/>
    <n v="180"/>
    <n v="45"/>
    <n v="0"/>
    <m/>
    <m/>
    <m/>
    <m/>
    <n v="0"/>
    <n v="0"/>
    <n v="47330.658760151993"/>
  </r>
  <r>
    <d v="2025-12-06T00:00:00"/>
    <x v="10"/>
    <m/>
    <m/>
    <x v="5"/>
    <m/>
    <s v="POS ÇÖZÜMÜ"/>
    <s v="POS"/>
    <n v="1"/>
    <n v="1723"/>
    <n v="0"/>
    <n v="1723"/>
    <m/>
    <m/>
    <m/>
    <m/>
    <n v="1723"/>
    <n v="0"/>
    <n v="49053.658760151993"/>
  </r>
  <r>
    <d v="2025-12-06T00:00:00"/>
    <x v="3"/>
    <s v="ORNATE KARINCA YUMURTASI 20 ML"/>
    <m/>
    <x v="2"/>
    <m/>
    <s v="TR"/>
    <s v="K.K."/>
    <n v="8"/>
    <n v="71.03"/>
    <n v="0"/>
    <n v="568.24"/>
    <m/>
    <m/>
    <m/>
    <m/>
    <n v="0"/>
    <n v="0"/>
    <n v="49053.658760151993"/>
  </r>
  <r>
    <d v="2025-12-07T00:00:00"/>
    <x v="4"/>
    <s v="ZERDEÇAL TOZ"/>
    <m/>
    <x v="5"/>
    <s v="ST00000000470"/>
    <s v="SATIŞ"/>
    <s v="POS"/>
    <n v="0.128"/>
    <n v="250"/>
    <n v="32"/>
    <n v="0"/>
    <m/>
    <m/>
    <m/>
    <m/>
    <n v="0"/>
    <n v="0"/>
    <n v="49053.658760151993"/>
  </r>
  <r>
    <d v="2025-12-07T00:00:00"/>
    <x v="4"/>
    <s v="DOLMALIK KURU PATLICAN"/>
    <m/>
    <x v="5"/>
    <s v="ST00000000470"/>
    <s v="SATIŞ"/>
    <s v="POS"/>
    <n v="1"/>
    <n v="240"/>
    <n v="240"/>
    <n v="0"/>
    <m/>
    <m/>
    <m/>
    <m/>
    <n v="0"/>
    <n v="0"/>
    <n v="49053.658760151993"/>
  </r>
  <r>
    <d v="2025-12-07T00:00:00"/>
    <x v="4"/>
    <s v="DOLMALIK SARI BİBER"/>
    <m/>
    <x v="5"/>
    <s v="ST00000000470"/>
    <s v="SATIŞ"/>
    <s v="POS"/>
    <n v="1"/>
    <n v="200"/>
    <n v="200"/>
    <n v="0"/>
    <m/>
    <m/>
    <m/>
    <m/>
    <n v="0"/>
    <n v="0"/>
    <n v="49053.658760151993"/>
  </r>
  <r>
    <d v="2025-12-07T00:00:00"/>
    <x v="4"/>
    <s v="KAFFKA DİBEK KAHVESİ 150 GR"/>
    <m/>
    <x v="5"/>
    <s v="ST00000000470"/>
    <s v="SATIŞ"/>
    <s v="POS"/>
    <n v="1"/>
    <n v="65"/>
    <n v="65"/>
    <n v="0"/>
    <m/>
    <m/>
    <m/>
    <m/>
    <n v="0"/>
    <n v="0"/>
    <n v="49053.658760151993"/>
  </r>
  <r>
    <d v="2025-12-07T00:00:00"/>
    <x v="4"/>
    <s v="DEFNE YAPRAĞI"/>
    <m/>
    <x v="5"/>
    <s v="ST00000000470"/>
    <s v="SATIŞ"/>
    <s v="POS"/>
    <n v="0.05"/>
    <n v="1400"/>
    <n v="70"/>
    <n v="0"/>
    <m/>
    <m/>
    <m/>
    <m/>
    <n v="0"/>
    <n v="0"/>
    <n v="49053.658760151993"/>
  </r>
  <r>
    <d v="2025-12-07T00:00:00"/>
    <x v="4"/>
    <s v="IHLAMUR YAPRAK"/>
    <m/>
    <x v="5"/>
    <s v="ST00000000470"/>
    <s v="SATIŞ"/>
    <s v="POS"/>
    <n v="0.05"/>
    <n v="2600"/>
    <n v="130"/>
    <n v="0"/>
    <m/>
    <m/>
    <m/>
    <m/>
    <n v="0"/>
    <n v="0"/>
    <n v="49053.658760151993"/>
  </r>
  <r>
    <d v="2025-12-07T00:00:00"/>
    <x v="4"/>
    <s v="ÇUBUK TARÇIN"/>
    <m/>
    <x v="5"/>
    <s v="ST00000000470"/>
    <s v="SATIŞ"/>
    <s v="POS"/>
    <n v="0.1"/>
    <n v="650"/>
    <n v="65"/>
    <n v="0"/>
    <m/>
    <m/>
    <m/>
    <m/>
    <n v="0"/>
    <n v="0"/>
    <n v="49053.658760151993"/>
  </r>
  <r>
    <d v="2025-12-07T00:00:00"/>
    <x v="4"/>
    <s v="TÜDAB KIŞ ÇAYI 200 GR"/>
    <m/>
    <x v="5"/>
    <s v="ST00000000470"/>
    <s v="SATIŞ"/>
    <s v="POS"/>
    <n v="1"/>
    <n v="140"/>
    <n v="140"/>
    <n v="0"/>
    <m/>
    <m/>
    <m/>
    <m/>
    <n v="0"/>
    <n v="0"/>
    <n v="49053.658760151993"/>
  </r>
  <r>
    <d v="2025-12-07T00:00:00"/>
    <x v="4"/>
    <s v="TÜDAB KIŞ ÇAYI 200 GR"/>
    <m/>
    <x v="1"/>
    <s v="ST00000000471"/>
    <s v="SATIŞ"/>
    <s v="NAKİT"/>
    <n v="1"/>
    <n v="140"/>
    <n v="0"/>
    <n v="0"/>
    <m/>
    <m/>
    <m/>
    <m/>
    <n v="140"/>
    <n v="0"/>
    <n v="49193.658760151993"/>
  </r>
  <r>
    <d v="2025-12-07T00:00:00"/>
    <x v="4"/>
    <s v="NBN DAĞ İNCİRİ"/>
    <m/>
    <x v="1"/>
    <s v="ST00000000472"/>
    <s v="SATIŞ"/>
    <s v="NAKİT"/>
    <n v="0.5"/>
    <n v="700"/>
    <n v="0"/>
    <n v="0"/>
    <m/>
    <m/>
    <m/>
    <m/>
    <n v="350"/>
    <n v="0"/>
    <n v="49543.658760151993"/>
  </r>
  <r>
    <d v="2025-12-07T00:00:00"/>
    <x v="4"/>
    <s v="KABUKLU CEVİZ (YERLİ)"/>
    <m/>
    <x v="1"/>
    <s v="ST00000000472"/>
    <s v="SATIŞ"/>
    <s v="NAKİT"/>
    <n v="1.05"/>
    <n v="290"/>
    <n v="0"/>
    <n v="0"/>
    <m/>
    <m/>
    <m/>
    <m/>
    <n v="304.5"/>
    <n v="0"/>
    <n v="49848.158760151993"/>
  </r>
  <r>
    <d v="2025-12-07T00:00:00"/>
    <x v="4"/>
    <s v="TÜRK KAHVESİ"/>
    <m/>
    <x v="1"/>
    <s v="ST00000000473"/>
    <s v="SATIŞ"/>
    <s v="NAKİT"/>
    <n v="0.3"/>
    <n v="650"/>
    <n v="0"/>
    <n v="0"/>
    <m/>
    <m/>
    <m/>
    <m/>
    <n v="195"/>
    <n v="0"/>
    <n v="50043.158760151993"/>
  </r>
  <r>
    <d v="2025-12-07T00:00:00"/>
    <x v="4"/>
    <s v="GENÇLEBİ ÇAKILTAŞI DRAJE"/>
    <m/>
    <x v="1"/>
    <s v="ST00000000473"/>
    <s v="SATIŞ"/>
    <s v="NAKİT"/>
    <n v="0.25"/>
    <n v="400"/>
    <n v="0"/>
    <n v="0"/>
    <m/>
    <m/>
    <m/>
    <m/>
    <n v="100"/>
    <n v="0"/>
    <n v="50143.158760151993"/>
  </r>
  <r>
    <d v="2025-12-07T00:00:00"/>
    <x v="4"/>
    <s v="KAJU 240 LIK EKSTRA"/>
    <m/>
    <x v="1"/>
    <s v="ST00000000473"/>
    <s v="SATIŞ"/>
    <s v="NAKİT"/>
    <n v="0.15384615384615385"/>
    <n v="650"/>
    <n v="0"/>
    <n v="0"/>
    <m/>
    <m/>
    <m/>
    <m/>
    <n v="100"/>
    <n v="0"/>
    <n v="50243.158760151993"/>
  </r>
  <r>
    <d v="2025-12-07T00:00:00"/>
    <x v="4"/>
    <s v="MACUN KIRMIZI"/>
    <m/>
    <x v="1"/>
    <s v="ST00000000474"/>
    <s v="SATIŞ"/>
    <s v="NAKİT"/>
    <n v="1"/>
    <n v="300"/>
    <n v="0"/>
    <n v="0"/>
    <m/>
    <m/>
    <m/>
    <m/>
    <n v="300"/>
    <n v="0"/>
    <n v="50543.158760151993"/>
  </r>
  <r>
    <d v="2025-12-07T00:00:00"/>
    <x v="4"/>
    <s v="İRİ BEYAZ KABAK ÇEKİRDEĞİ - NEVŞEHİR"/>
    <m/>
    <x v="1"/>
    <s v="ST00000000475"/>
    <s v="SATIŞ"/>
    <s v="NAKİT"/>
    <n v="0.27777777777777779"/>
    <n v="360"/>
    <n v="0"/>
    <n v="0"/>
    <m/>
    <m/>
    <m/>
    <m/>
    <n v="100"/>
    <n v="0"/>
    <n v="50643.158760151993"/>
  </r>
  <r>
    <d v="2025-12-07T00:00:00"/>
    <x v="4"/>
    <s v="ŞENAY ÇAM KOZALAĞI ŞURUBU 650 GR"/>
    <m/>
    <x v="5"/>
    <s v="ST00000000476"/>
    <s v="SATIŞ"/>
    <s v="POS"/>
    <n v="2"/>
    <n v="140"/>
    <n v="280"/>
    <n v="0"/>
    <m/>
    <m/>
    <m/>
    <m/>
    <n v="0"/>
    <n v="0"/>
    <n v="50643.158760151993"/>
  </r>
  <r>
    <d v="2025-12-07T00:00:00"/>
    <x v="4"/>
    <s v="ŞİFAVER GÜL HATAY SABUNU"/>
    <m/>
    <x v="5"/>
    <s v="ST00000000476"/>
    <s v="SATIŞ"/>
    <s v="POS"/>
    <n v="1"/>
    <n v="40"/>
    <n v="40"/>
    <n v="0"/>
    <m/>
    <m/>
    <m/>
    <m/>
    <n v="0"/>
    <n v="0"/>
    <n v="50643.158760151993"/>
  </r>
  <r>
    <d v="2025-12-07T00:00:00"/>
    <x v="4"/>
    <s v="DOMATES SALÇASI"/>
    <m/>
    <x v="1"/>
    <s v="ST00000000477"/>
    <s v="SATIŞ"/>
    <s v="NAKİT"/>
    <n v="2"/>
    <n v="130"/>
    <n v="0"/>
    <n v="0"/>
    <m/>
    <m/>
    <m/>
    <m/>
    <n v="260"/>
    <n v="0"/>
    <n v="50903.158760151993"/>
  </r>
  <r>
    <d v="2025-12-07T00:00:00"/>
    <x v="4"/>
    <s v="DOLMALIK SARI BİBER"/>
    <m/>
    <x v="1"/>
    <s v="ST00000000478"/>
    <s v="SATIŞ"/>
    <s v="NAKİT"/>
    <n v="2"/>
    <n v="200"/>
    <n v="0"/>
    <n v="0"/>
    <m/>
    <m/>
    <m/>
    <m/>
    <n v="400"/>
    <n v="0"/>
    <n v="51303.158760151993"/>
  </r>
  <r>
    <d v="2025-12-07T00:00:00"/>
    <x v="4"/>
    <s v="DOLMALIK KURU PATLICAN"/>
    <m/>
    <x v="1"/>
    <s v="ST00000000479"/>
    <s v="SATIŞ"/>
    <s v="NAKİT"/>
    <n v="1"/>
    <n v="200"/>
    <n v="0"/>
    <n v="0"/>
    <m/>
    <m/>
    <m/>
    <m/>
    <n v="200"/>
    <n v="0"/>
    <n v="51503.158760151993"/>
  </r>
  <r>
    <d v="2025-12-07T00:00:00"/>
    <x v="4"/>
    <s v="KİMYON ÇEKİLMİŞ"/>
    <m/>
    <x v="5"/>
    <s v="ST00000000480"/>
    <s v="SATIŞ"/>
    <s v="POS"/>
    <n v="0.13"/>
    <n v="390"/>
    <n v="50.7"/>
    <n v="0"/>
    <m/>
    <m/>
    <m/>
    <m/>
    <n v="0"/>
    <n v="0"/>
    <n v="51503.158760151993"/>
  </r>
  <r>
    <d v="2025-12-07T00:00:00"/>
    <x v="4"/>
    <s v="EVLİK BİBER"/>
    <m/>
    <x v="5"/>
    <s v="ST00000000480"/>
    <s v="SATIŞ"/>
    <s v="POS"/>
    <n v="0.13600000000000001"/>
    <n v="380"/>
    <n v="51.680000000000007"/>
    <n v="0"/>
    <m/>
    <m/>
    <m/>
    <m/>
    <n v="0"/>
    <n v="0"/>
    <n v="51503.158760151993"/>
  </r>
  <r>
    <d v="2025-12-07T00:00:00"/>
    <x v="4"/>
    <s v="KARABİBER ÇEKİLMİŞ"/>
    <m/>
    <x v="5"/>
    <s v="ST00000000480"/>
    <s v="SATIŞ"/>
    <s v="POS"/>
    <n v="0.128"/>
    <n v="640"/>
    <n v="81.92"/>
    <n v="0"/>
    <m/>
    <m/>
    <m/>
    <m/>
    <n v="0"/>
    <n v="0"/>
    <n v="51503.158760151993"/>
  </r>
  <r>
    <d v="2025-12-07T00:00:00"/>
    <x v="4"/>
    <s v="KABUKLU CEVİZ (YERLİ)"/>
    <m/>
    <x v="5"/>
    <s v="ST00000000480"/>
    <s v="SATIŞ"/>
    <s v="POS"/>
    <n v="0.36399999999999999"/>
    <n v="240"/>
    <n v="87.36"/>
    <n v="0"/>
    <m/>
    <m/>
    <m/>
    <m/>
    <n v="0"/>
    <n v="0"/>
    <n v="51503.158760151993"/>
  </r>
  <r>
    <d v="2025-12-07T00:00:00"/>
    <x v="10"/>
    <m/>
    <m/>
    <x v="5"/>
    <m/>
    <s v="POS ÇÖZÜMÜ"/>
    <s v="POS"/>
    <n v="1"/>
    <n v="245"/>
    <n v="0"/>
    <n v="245"/>
    <m/>
    <m/>
    <m/>
    <m/>
    <n v="245"/>
    <n v="0"/>
    <n v="51748.158760151993"/>
  </r>
  <r>
    <d v="2025-12-07T00:00:00"/>
    <x v="10"/>
    <m/>
    <m/>
    <x v="5"/>
    <m/>
    <s v="POS ÇÖZÜMÜ"/>
    <s v="POS"/>
    <n v="1"/>
    <n v="506"/>
    <n v="0"/>
    <n v="506"/>
    <m/>
    <m/>
    <m/>
    <m/>
    <n v="506"/>
    <n v="0"/>
    <n v="52254.158760151993"/>
  </r>
  <r>
    <d v="2025-12-08T00:00:00"/>
    <x v="4"/>
    <s v="TOZ TARÇIN"/>
    <m/>
    <x v="1"/>
    <s v="ST00000000481"/>
    <s v="SATIŞ"/>
    <s v="NAKİT"/>
    <n v="0.1"/>
    <n v="400"/>
    <n v="0"/>
    <n v="0"/>
    <m/>
    <m/>
    <m/>
    <m/>
    <n v="40"/>
    <n v="0"/>
    <n v="52294.158760151993"/>
  </r>
  <r>
    <d v="2025-12-08T00:00:00"/>
    <x v="4"/>
    <s v="ÇUBUK TARÇIN"/>
    <m/>
    <x v="1"/>
    <s v="ST00000000481"/>
    <s v="SATIŞ"/>
    <s v="NAKİT"/>
    <n v="0.1"/>
    <n v="650"/>
    <n v="0"/>
    <n v="0"/>
    <m/>
    <m/>
    <m/>
    <m/>
    <n v="65"/>
    <n v="0"/>
    <n v="52359.158760151993"/>
  </r>
  <r>
    <d v="2025-12-08T00:00:00"/>
    <x v="4"/>
    <s v="DERME GÜN KURUSU KAYISI JUMBO"/>
    <m/>
    <x v="1"/>
    <s v="ST00000000481"/>
    <s v="SATIŞ"/>
    <s v="NAKİT"/>
    <n v="0.218"/>
    <n v="950"/>
    <n v="0"/>
    <n v="0"/>
    <m/>
    <m/>
    <m/>
    <m/>
    <n v="207.1"/>
    <n v="0"/>
    <n v="52566.258760151992"/>
  </r>
  <r>
    <d v="2025-12-08T00:00:00"/>
    <x v="4"/>
    <s v="AYÇEKİRDEĞİ DAKOTA TUZSUZ EKSTRA"/>
    <m/>
    <x v="1"/>
    <s v="ST00000000481"/>
    <s v="SATIŞ"/>
    <s v="NAKİT"/>
    <n v="0.26800000000000002"/>
    <n v="190"/>
    <n v="0"/>
    <n v="0"/>
    <m/>
    <m/>
    <m/>
    <m/>
    <n v="50.92"/>
    <n v="0"/>
    <n v="52617.17876015199"/>
  </r>
  <r>
    <d v="2025-12-08T00:00:00"/>
    <x v="4"/>
    <s v="DEMKAR TURUNCU PAKET ANTEP FISTIĞI"/>
    <m/>
    <x v="1"/>
    <s v="ST00000000481"/>
    <s v="SATIŞ"/>
    <s v="NAKİT"/>
    <n v="0.10199999999999999"/>
    <n v="1250"/>
    <n v="0"/>
    <n v="0"/>
    <m/>
    <m/>
    <m/>
    <m/>
    <n v="127.49999999999999"/>
    <n v="0"/>
    <n v="52744.67876015199"/>
  </r>
  <r>
    <d v="2025-12-08T00:00:00"/>
    <x v="4"/>
    <s v="KUDÜS HURMASI JUMBO"/>
    <m/>
    <x v="1"/>
    <s v="ST00000000481"/>
    <s v="SATIŞ"/>
    <s v="NAKİT"/>
    <n v="0.30599999999999999"/>
    <n v="670"/>
    <n v="0"/>
    <n v="0"/>
    <m/>
    <m/>
    <m/>
    <m/>
    <n v="205.02"/>
    <n v="0"/>
    <n v="52949.698760151987"/>
  </r>
  <r>
    <d v="2025-12-08T00:00:00"/>
    <x v="4"/>
    <s v="KÖFTELİK BULGUR"/>
    <m/>
    <x v="1"/>
    <s v="ST00000000481"/>
    <s v="SATIŞ"/>
    <s v="NAKİT"/>
    <n v="2"/>
    <n v="65"/>
    <n v="0"/>
    <n v="0"/>
    <m/>
    <m/>
    <m/>
    <m/>
    <n v="130"/>
    <n v="0"/>
    <n v="53079.698760151987"/>
  </r>
  <r>
    <d v="2025-12-08T00:00:00"/>
    <x v="4"/>
    <s v="MISIR UNU"/>
    <m/>
    <x v="1"/>
    <s v="ST00000000481"/>
    <s v="SATIŞ"/>
    <s v="NAKİT"/>
    <n v="0.5"/>
    <n v="60"/>
    <n v="0"/>
    <n v="0"/>
    <m/>
    <m/>
    <m/>
    <m/>
    <n v="30"/>
    <n v="0"/>
    <n v="53109.698760151987"/>
  </r>
  <r>
    <d v="2025-12-08T00:00:00"/>
    <x v="4"/>
    <s v="SEYİDOĞLU TAHİN 550 g"/>
    <m/>
    <x v="1"/>
    <s v="ST00000000481"/>
    <s v="SATIŞ"/>
    <s v="NAKİT"/>
    <n v="1"/>
    <n v="160"/>
    <n v="0"/>
    <n v="0"/>
    <m/>
    <m/>
    <m/>
    <m/>
    <n v="160"/>
    <n v="0"/>
    <n v="53269.698760151987"/>
  </r>
  <r>
    <d v="2025-12-08T00:00:00"/>
    <x v="4"/>
    <s v="PATLAK MISIR"/>
    <m/>
    <x v="1"/>
    <s v="ST00000000481"/>
    <s v="SATIŞ"/>
    <s v="NAKİT"/>
    <n v="0.68600000000000005"/>
    <n v="60"/>
    <n v="0"/>
    <n v="0"/>
    <m/>
    <m/>
    <m/>
    <m/>
    <n v="41.160000000000004"/>
    <n v="0"/>
    <n v="53310.85876015199"/>
  </r>
  <r>
    <d v="2025-12-08T00:00:00"/>
    <x v="4"/>
    <s v="İPEK BİBER"/>
    <m/>
    <x v="1"/>
    <s v="ST00000000481"/>
    <s v="SATIŞ"/>
    <s v="NAKİT"/>
    <n v="0.47"/>
    <n v="500"/>
    <n v="0"/>
    <n v="0"/>
    <m/>
    <m/>
    <m/>
    <m/>
    <n v="235"/>
    <n v="0"/>
    <n v="53545.85876015199"/>
  </r>
  <r>
    <d v="2025-12-08T00:00:00"/>
    <x v="4"/>
    <s v="ÇÖREKOTU YAĞI 50 CC"/>
    <m/>
    <x v="5"/>
    <s v="ST00000000482"/>
    <s v="SATIŞ"/>
    <s v="POS"/>
    <n v="1"/>
    <n v="170"/>
    <n v="170"/>
    <n v="0"/>
    <m/>
    <m/>
    <m/>
    <m/>
    <n v="0"/>
    <n v="0"/>
    <n v="53545.85876015199"/>
  </r>
  <r>
    <d v="2025-12-08T00:00:00"/>
    <x v="4"/>
    <s v="ZENCEFİL TOZ"/>
    <m/>
    <x v="5"/>
    <s v="ST00000000483"/>
    <s v="SATIŞ"/>
    <s v="POS"/>
    <n v="0.19600000000000001"/>
    <n v="250"/>
    <n v="49"/>
    <n v="0"/>
    <m/>
    <m/>
    <m/>
    <m/>
    <n v="0"/>
    <n v="0"/>
    <n v="53545.85876015199"/>
  </r>
  <r>
    <d v="2025-12-08T00:00:00"/>
    <x v="4"/>
    <s v="ÇUBUK TARÇIN"/>
    <m/>
    <x v="5"/>
    <s v="ST00000000483"/>
    <s v="SATIŞ"/>
    <s v="POS"/>
    <n v="0.1"/>
    <n v="650"/>
    <n v="65"/>
    <n v="0"/>
    <m/>
    <m/>
    <m/>
    <m/>
    <n v="0"/>
    <n v="0"/>
    <n v="53545.85876015199"/>
  </r>
  <r>
    <d v="2025-12-08T00:00:00"/>
    <x v="4"/>
    <s v="DUT KURUSU LÜX ELAZIĞ"/>
    <m/>
    <x v="5"/>
    <s v="ST00000000483"/>
    <s v="SATIŞ"/>
    <s v="POS"/>
    <n v="0.13125000000000001"/>
    <n v="800"/>
    <n v="105"/>
    <n v="0"/>
    <m/>
    <m/>
    <m/>
    <m/>
    <n v="0"/>
    <n v="0"/>
    <n v="53545.85876015199"/>
  </r>
  <r>
    <d v="2025-12-08T00:00:00"/>
    <x v="4"/>
    <s v="EVLİK BİBER"/>
    <m/>
    <x v="5"/>
    <s v="ST00000000484"/>
    <s v="SATIŞ"/>
    <s v="POS"/>
    <n v="0.13421052631578947"/>
    <n v="380"/>
    <n v="51"/>
    <n v="0"/>
    <m/>
    <m/>
    <m/>
    <m/>
    <n v="0"/>
    <n v="0"/>
    <n v="53545.85876015199"/>
  </r>
  <r>
    <d v="2025-12-08T00:00:00"/>
    <x v="4"/>
    <s v="KARABİBER ÇEKİLMİŞ"/>
    <m/>
    <x v="5"/>
    <s v="ST00000000484"/>
    <s v="SATIŞ"/>
    <s v="POS"/>
    <n v="0.1171875"/>
    <n v="640"/>
    <n v="75"/>
    <n v="0"/>
    <m/>
    <m/>
    <m/>
    <m/>
    <n v="0"/>
    <n v="0"/>
    <n v="53545.85876015199"/>
  </r>
  <r>
    <d v="2025-12-08T00:00:00"/>
    <x v="4"/>
    <s v="TOZ BİBER - ACI"/>
    <m/>
    <x v="5"/>
    <s v="ST00000000484"/>
    <s v="SATIŞ"/>
    <s v="POS"/>
    <n v="6.2162162162162166E-2"/>
    <n v="370"/>
    <n v="23"/>
    <n v="0"/>
    <m/>
    <m/>
    <m/>
    <m/>
    <n v="0"/>
    <n v="0"/>
    <n v="53545.85876015199"/>
  </r>
  <r>
    <d v="2025-12-08T00:00:00"/>
    <x v="4"/>
    <s v="ZERDEÇAL TOZ"/>
    <m/>
    <x v="5"/>
    <s v="ST00000000484"/>
    <s v="SATIŞ"/>
    <s v="POS"/>
    <n v="4.3999999999999997E-2"/>
    <n v="250"/>
    <n v="11"/>
    <n v="0"/>
    <m/>
    <m/>
    <m/>
    <m/>
    <n v="0"/>
    <n v="0"/>
    <n v="53545.85876015199"/>
  </r>
  <r>
    <d v="2025-12-08T00:00:00"/>
    <x v="4"/>
    <s v="KARNIYARIK TOHUMU"/>
    <m/>
    <x v="5"/>
    <s v="ST00000000485"/>
    <s v="SATIŞ"/>
    <s v="POS"/>
    <n v="0.12"/>
    <n v="920"/>
    <n v="110.39999999999999"/>
    <n v="0"/>
    <m/>
    <m/>
    <m/>
    <m/>
    <n v="0"/>
    <n v="0"/>
    <n v="53545.85876015199"/>
  </r>
  <r>
    <d v="2025-12-08T00:00:00"/>
    <x v="4"/>
    <s v="CHİA TOHUMU DÖKME"/>
    <m/>
    <x v="5"/>
    <s v="ST00000000485"/>
    <s v="SATIŞ"/>
    <s v="POS"/>
    <n v="0.5"/>
    <n v="280"/>
    <n v="140"/>
    <n v="0"/>
    <m/>
    <m/>
    <m/>
    <m/>
    <n v="0"/>
    <n v="0"/>
    <n v="53545.85876015199"/>
  </r>
  <r>
    <d v="2025-12-08T00:00:00"/>
    <x v="4"/>
    <s v="KABUKLU CEVİZ (YERLİ)"/>
    <m/>
    <x v="1"/>
    <s v="ST00000000486"/>
    <s v="SATIŞ"/>
    <s v="NAKİT"/>
    <n v="0.8"/>
    <n v="250"/>
    <n v="0"/>
    <n v="0"/>
    <m/>
    <m/>
    <m/>
    <m/>
    <n v="200"/>
    <n v="0"/>
    <n v="53745.85876015199"/>
  </r>
  <r>
    <d v="2025-12-08T00:00:00"/>
    <x v="4"/>
    <s v="KEKİK LÜX"/>
    <m/>
    <x v="1"/>
    <s v="ST00000000487"/>
    <s v="SATIŞ"/>
    <s v="NAKİT"/>
    <n v="5.3999999999999999E-2"/>
    <n v="760"/>
    <n v="0"/>
    <n v="0"/>
    <m/>
    <m/>
    <m/>
    <m/>
    <n v="41.04"/>
    <n v="0"/>
    <n v="53786.898760151991"/>
  </r>
  <r>
    <d v="2025-12-08T00:00:00"/>
    <x v="4"/>
    <s v="İPEK BİBER"/>
    <m/>
    <x v="1"/>
    <s v="ST00000000487"/>
    <s v="SATIŞ"/>
    <s v="NAKİT"/>
    <n v="0.29199999999999998"/>
    <n v="500"/>
    <n v="0"/>
    <n v="0"/>
    <m/>
    <m/>
    <m/>
    <m/>
    <n v="146"/>
    <n v="0"/>
    <n v="53932.898760151991"/>
  </r>
  <r>
    <d v="2025-12-08T00:00:00"/>
    <x v="4"/>
    <s v="IHLAMUR YAPRAK"/>
    <m/>
    <x v="1"/>
    <s v="ST00000000487"/>
    <s v="SATIŞ"/>
    <s v="NAKİT"/>
    <n v="0.05"/>
    <n v="2600"/>
    <n v="0"/>
    <n v="0"/>
    <m/>
    <m/>
    <m/>
    <m/>
    <n v="130"/>
    <n v="0"/>
    <n v="54062.898760151991"/>
  </r>
  <r>
    <d v="2025-12-08T00:00:00"/>
    <x v="4"/>
    <s v="PATLAK MISIR"/>
    <m/>
    <x v="1"/>
    <s v="ST00000000487"/>
    <s v="SATIŞ"/>
    <s v="NAKİT"/>
    <n v="1"/>
    <n v="60"/>
    <n v="0"/>
    <n v="0"/>
    <m/>
    <m/>
    <m/>
    <m/>
    <n v="60"/>
    <n v="0"/>
    <n v="54122.898760151991"/>
  </r>
  <r>
    <d v="2025-12-08T00:00:00"/>
    <x v="4"/>
    <s v="GÜNAYDIN KAYA TUZU İNCE"/>
    <m/>
    <x v="1"/>
    <s v="ST00000000487"/>
    <s v="SATIŞ"/>
    <s v="NAKİT"/>
    <n v="0.5"/>
    <n v="80"/>
    <n v="0"/>
    <n v="0"/>
    <m/>
    <m/>
    <m/>
    <m/>
    <n v="40"/>
    <n v="0"/>
    <n v="54162.898760151991"/>
  </r>
  <r>
    <d v="2025-12-08T00:00:00"/>
    <x v="4"/>
    <s v="SALÇA ACI (EV YAPIMI)"/>
    <m/>
    <x v="5"/>
    <s v="ST00000000488"/>
    <s v="SATIŞ"/>
    <s v="POS"/>
    <n v="0.5"/>
    <n v="180"/>
    <n v="90"/>
    <n v="0"/>
    <m/>
    <m/>
    <m/>
    <m/>
    <n v="0"/>
    <n v="0"/>
    <n v="54162.898760151991"/>
  </r>
  <r>
    <d v="2025-12-08T00:00:00"/>
    <x v="4"/>
    <s v="NBN DAĞ İNCİRİ"/>
    <m/>
    <x v="5"/>
    <s v="ST00000000489"/>
    <s v="SATIŞ"/>
    <s v="POS"/>
    <n v="1"/>
    <n v="700"/>
    <n v="700"/>
    <n v="0"/>
    <m/>
    <m/>
    <m/>
    <m/>
    <n v="0"/>
    <n v="0"/>
    <n v="54162.898760151991"/>
  </r>
  <r>
    <d v="2025-12-08T00:00:00"/>
    <x v="10"/>
    <m/>
    <m/>
    <x v="5"/>
    <m/>
    <s v="POS ÇÖZÜMÜ"/>
    <s v="POS"/>
    <n v="1"/>
    <n v="225"/>
    <n v="0"/>
    <n v="225"/>
    <m/>
    <m/>
    <m/>
    <m/>
    <n v="225"/>
    <n v="0"/>
    <n v="54387.898760151991"/>
  </r>
  <r>
    <d v="2025-12-08T00:00:00"/>
    <x v="10"/>
    <m/>
    <m/>
    <x v="5"/>
    <m/>
    <s v="POS ÇÖZÜMÜ"/>
    <s v="POS"/>
    <n v="1"/>
    <n v="1030"/>
    <n v="0"/>
    <n v="1030"/>
    <m/>
    <m/>
    <m/>
    <m/>
    <n v="1030"/>
    <n v="0"/>
    <n v="55417.898760151991"/>
  </r>
  <r>
    <d v="2025-12-09T00:00:00"/>
    <x v="1"/>
    <m/>
    <s v="YOL GİDERLERİ"/>
    <x v="2"/>
    <n v="1"/>
    <s v="BENZİN"/>
    <s v="K.K."/>
    <n v="1"/>
    <n v="300"/>
    <n v="0"/>
    <n v="300"/>
    <m/>
    <m/>
    <m/>
    <m/>
    <n v="0"/>
    <n v="0"/>
    <n v="55417.898760151991"/>
  </r>
  <r>
    <d v="2025-12-09T00:00:00"/>
    <x v="2"/>
    <m/>
    <s v="DEMİRBAŞ"/>
    <x v="2"/>
    <n v="2"/>
    <s v="BİM - KUMTEL ISITICI"/>
    <s v="K.K."/>
    <n v="1"/>
    <n v="1850"/>
    <n v="0"/>
    <n v="1850"/>
    <m/>
    <m/>
    <m/>
    <m/>
    <n v="0"/>
    <n v="0"/>
    <n v="55417.898760151991"/>
  </r>
  <r>
    <d v="2025-12-09T00:00:00"/>
    <x v="4"/>
    <s v="ADAÇAYI DEMET"/>
    <m/>
    <x v="5"/>
    <s v="ST00000000490"/>
    <s v="SATIŞ"/>
    <s v="POS"/>
    <n v="1"/>
    <n v="60"/>
    <n v="60"/>
    <n v="0"/>
    <m/>
    <m/>
    <m/>
    <m/>
    <n v="0"/>
    <n v="0"/>
    <n v="55417.898760151991"/>
  </r>
  <r>
    <d v="2025-12-09T00:00:00"/>
    <x v="4"/>
    <s v="DOMATES SALÇASI"/>
    <m/>
    <x v="1"/>
    <s v="ST00000000491"/>
    <s v="SATIŞ"/>
    <s v="NAKİT"/>
    <n v="1"/>
    <n v="130"/>
    <n v="0"/>
    <n v="0"/>
    <m/>
    <m/>
    <m/>
    <m/>
    <n v="130"/>
    <n v="0"/>
    <n v="55547.898760151991"/>
  </r>
  <r>
    <d v="2025-12-09T00:00:00"/>
    <x v="4"/>
    <s v="ŞİFAVER KİL HATAY SABUNU"/>
    <m/>
    <x v="1"/>
    <s v="ST00000000492"/>
    <s v="SATIŞ"/>
    <s v="NAKİT"/>
    <n v="1"/>
    <n v="40"/>
    <n v="0"/>
    <n v="0"/>
    <m/>
    <m/>
    <m/>
    <m/>
    <n v="40"/>
    <n v="0"/>
    <n v="55587.898760151991"/>
  </r>
  <r>
    <d v="2025-12-09T00:00:00"/>
    <x v="4"/>
    <s v="ŞİFAVER ZEYTİNYAĞLI HATAY SABUNU"/>
    <m/>
    <x v="1"/>
    <s v="ST00000000492"/>
    <s v="SATIŞ"/>
    <s v="NAKİT"/>
    <n v="1"/>
    <n v="40"/>
    <n v="0"/>
    <n v="0"/>
    <m/>
    <m/>
    <m/>
    <m/>
    <n v="40"/>
    <n v="0"/>
    <n v="55627.898760151991"/>
  </r>
  <r>
    <d v="2025-12-09T00:00:00"/>
    <x v="4"/>
    <s v="HİNT YAĞI 50 CC"/>
    <m/>
    <x v="1"/>
    <s v="ST00000000492"/>
    <s v="SATIŞ"/>
    <s v="NAKİT"/>
    <n v="1"/>
    <n v="130"/>
    <n v="0"/>
    <n v="0"/>
    <m/>
    <m/>
    <m/>
    <m/>
    <n v="130"/>
    <n v="0"/>
    <n v="55757.898760151991"/>
  </r>
  <r>
    <d v="2025-12-09T00:00:00"/>
    <x v="4"/>
    <s v="GÜNAYDIN KAYA TUZU İNCE"/>
    <m/>
    <x v="1"/>
    <s v="ST00000000492"/>
    <s v="SATIŞ"/>
    <s v="NAKİT"/>
    <n v="1"/>
    <n v="40"/>
    <n v="0"/>
    <n v="0"/>
    <m/>
    <m/>
    <m/>
    <m/>
    <n v="40"/>
    <n v="0"/>
    <n v="55797.898760151991"/>
  </r>
  <r>
    <d v="2025-12-09T00:00:00"/>
    <x v="4"/>
    <s v="ZENCEFİL TOZ"/>
    <m/>
    <x v="1"/>
    <s v="ST00000000493"/>
    <s v="SATIŞ"/>
    <s v="NAKİT"/>
    <n v="0.1388888888888889"/>
    <n v="360"/>
    <n v="0"/>
    <n v="0"/>
    <m/>
    <m/>
    <m/>
    <m/>
    <n v="50"/>
    <n v="0"/>
    <n v="55847.898760151991"/>
  </r>
  <r>
    <d v="2025-12-09T00:00:00"/>
    <x v="4"/>
    <s v="ŞİFAVER BITTIM HATAY SABUNU"/>
    <m/>
    <x v="1"/>
    <s v="ST00000000494"/>
    <s v="SATIŞ"/>
    <s v="NAKİT"/>
    <n v="1"/>
    <n v="40"/>
    <n v="0"/>
    <n v="0"/>
    <m/>
    <m/>
    <m/>
    <m/>
    <n v="40"/>
    <n v="0"/>
    <n v="55887.898760151991"/>
  </r>
  <r>
    <d v="2025-12-09T00:00:00"/>
    <x v="4"/>
    <s v="IHLAMUR YAPRAK"/>
    <m/>
    <x v="5"/>
    <s v="ST00000000495"/>
    <s v="SATIŞ"/>
    <s v="POS"/>
    <n v="0.05"/>
    <n v="2600"/>
    <n v="130"/>
    <n v="0"/>
    <m/>
    <m/>
    <m/>
    <m/>
    <n v="0"/>
    <n v="0"/>
    <n v="55887.898760151991"/>
  </r>
  <r>
    <d v="2025-12-09T00:00:00"/>
    <x v="4"/>
    <s v="DOLMALIK KURU PATLICAN"/>
    <m/>
    <x v="5"/>
    <s v="ST00000000496"/>
    <s v="SATIŞ"/>
    <s v="POS"/>
    <n v="1"/>
    <n v="240"/>
    <n v="240"/>
    <n v="0"/>
    <m/>
    <m/>
    <m/>
    <m/>
    <n v="0"/>
    <n v="0"/>
    <n v="55887.898760151991"/>
  </r>
  <r>
    <d v="2025-12-09T00:00:00"/>
    <x v="4"/>
    <s v="DOLMALIK SARI BİBER"/>
    <m/>
    <x v="5"/>
    <s v="ST00000000496"/>
    <s v="SATIŞ"/>
    <s v="POS"/>
    <n v="1"/>
    <n v="200"/>
    <n v="200"/>
    <n v="0"/>
    <m/>
    <m/>
    <m/>
    <m/>
    <n v="0"/>
    <n v="0"/>
    <n v="55887.898760151991"/>
  </r>
  <r>
    <d v="2025-12-09T00:00:00"/>
    <x v="4"/>
    <s v="SUMAK TANE EKŞİLİ"/>
    <m/>
    <x v="5"/>
    <s v="ST00000000496"/>
    <s v="SATIŞ"/>
    <s v="POS"/>
    <n v="0.126"/>
    <n v="540"/>
    <n v="68.040000000000006"/>
    <n v="0"/>
    <m/>
    <m/>
    <m/>
    <m/>
    <n v="0"/>
    <n v="0"/>
    <n v="55887.898760151991"/>
  </r>
  <r>
    <d v="2025-12-09T00:00:00"/>
    <x v="4"/>
    <s v="KUŞBURNU - KIRMIZI"/>
    <m/>
    <x v="1"/>
    <s v="ST00000000497"/>
    <s v="SATIŞ"/>
    <s v="NAKİT"/>
    <n v="0.25"/>
    <n v="360"/>
    <n v="0"/>
    <n v="0"/>
    <m/>
    <m/>
    <m/>
    <m/>
    <n v="90"/>
    <n v="0"/>
    <n v="55977.898760151991"/>
  </r>
  <r>
    <d v="2025-12-09T00:00:00"/>
    <x v="4"/>
    <s v="İRİ BEYAZ KABAK ÇEKİRDEĞİ - NEVŞEHİR"/>
    <m/>
    <x v="1"/>
    <s v="ST00000000498"/>
    <s v="SATIŞ"/>
    <s v="NAKİT"/>
    <n v="0.27777777777777779"/>
    <n v="360"/>
    <n v="0"/>
    <n v="0"/>
    <m/>
    <m/>
    <m/>
    <m/>
    <n v="100"/>
    <n v="0"/>
    <n v="56077.898760151991"/>
  </r>
  <r>
    <d v="2025-12-09T00:00:00"/>
    <x v="4"/>
    <s v="SEYİDOĞLU TAHİN 550 g"/>
    <m/>
    <x v="1"/>
    <s v="ST00000000499"/>
    <s v="SATIŞ"/>
    <s v="NAKİT"/>
    <n v="1"/>
    <n v="160"/>
    <n v="0"/>
    <n v="0"/>
    <m/>
    <m/>
    <m/>
    <m/>
    <n v="160"/>
    <n v="0"/>
    <n v="56237.898760151991"/>
  </r>
  <r>
    <d v="2025-12-09T00:00:00"/>
    <x v="4"/>
    <s v="SEYİDOĞLU PEKMEZ 700 g"/>
    <m/>
    <x v="1"/>
    <s v="ST00000000499"/>
    <s v="SATIŞ"/>
    <s v="NAKİT"/>
    <n v="1"/>
    <n v="170"/>
    <n v="0"/>
    <n v="0"/>
    <m/>
    <m/>
    <m/>
    <m/>
    <n v="170"/>
    <n v="0"/>
    <n v="56407.898760151991"/>
  </r>
  <r>
    <d v="2025-12-09T00:00:00"/>
    <x v="4"/>
    <s v="ŞİFAVER GÜL HATAY SABUNU"/>
    <m/>
    <x v="1"/>
    <s v="ST00000000499"/>
    <s v="SATIŞ"/>
    <s v="NAKİT"/>
    <n v="1"/>
    <n v="40"/>
    <n v="0"/>
    <n v="0"/>
    <m/>
    <m/>
    <m/>
    <m/>
    <n v="40"/>
    <n v="0"/>
    <n v="56447.898760151991"/>
  </r>
  <r>
    <d v="2025-12-09T00:00:00"/>
    <x v="4"/>
    <s v="NANE İRİ"/>
    <m/>
    <x v="1"/>
    <s v="ST00000000499"/>
    <s v="SATIŞ"/>
    <s v="NAKİT"/>
    <n v="0.15"/>
    <n v="400"/>
    <n v="0"/>
    <n v="0"/>
    <m/>
    <m/>
    <m/>
    <m/>
    <n v="60"/>
    <n v="0"/>
    <n v="56507.898760151991"/>
  </r>
  <r>
    <d v="2025-12-09T00:00:00"/>
    <x v="4"/>
    <s v="TÜDAB ACUR TURŞUSU"/>
    <m/>
    <x v="1"/>
    <s v="ST00000000499"/>
    <s v="SATIŞ"/>
    <s v="NAKİT"/>
    <n v="1"/>
    <n v="350"/>
    <n v="0"/>
    <n v="0"/>
    <m/>
    <m/>
    <m/>
    <m/>
    <n v="350"/>
    <n v="0"/>
    <n v="56857.898760151991"/>
  </r>
  <r>
    <d v="2025-12-09T00:00:00"/>
    <x v="4"/>
    <s v="DOLMALIK KURU PATLICAN"/>
    <m/>
    <x v="1"/>
    <s v="ST00000000500"/>
    <s v="SATIŞ"/>
    <s v="NAKİT"/>
    <n v="3"/>
    <n v="240"/>
    <n v="0"/>
    <n v="0"/>
    <m/>
    <m/>
    <m/>
    <m/>
    <n v="720"/>
    <n v="0"/>
    <n v="57577.898760151991"/>
  </r>
  <r>
    <d v="2025-12-09T00:00:00"/>
    <x v="4"/>
    <s v="DOLMALIK SARI BİBER"/>
    <m/>
    <x v="1"/>
    <s v="ST00000000500"/>
    <s v="SATIŞ"/>
    <s v="NAKİT"/>
    <n v="2"/>
    <n v="200"/>
    <n v="0"/>
    <n v="0"/>
    <m/>
    <m/>
    <m/>
    <m/>
    <n v="400"/>
    <n v="0"/>
    <n v="57977.898760151991"/>
  </r>
  <r>
    <d v="2025-12-09T00:00:00"/>
    <x v="4"/>
    <s v="DOMATES SALÇASI"/>
    <m/>
    <x v="1"/>
    <s v="ST00000000500"/>
    <s v="SATIŞ"/>
    <s v="NAKİT"/>
    <n v="2"/>
    <n v="130"/>
    <n v="0"/>
    <n v="0"/>
    <m/>
    <m/>
    <m/>
    <m/>
    <n v="260"/>
    <n v="0"/>
    <n v="58237.898760151991"/>
  </r>
  <r>
    <d v="2025-12-09T00:00:00"/>
    <x v="4"/>
    <s v="BİZİM YAPRAK 1 LİK"/>
    <m/>
    <x v="1"/>
    <s v="ST00000000501"/>
    <s v="SATIŞ"/>
    <s v="NAKİT"/>
    <n v="1"/>
    <n v="290"/>
    <n v="0"/>
    <n v="0"/>
    <m/>
    <m/>
    <m/>
    <m/>
    <n v="290"/>
    <n v="0"/>
    <n v="58527.898760151991"/>
  </r>
  <r>
    <d v="2025-12-09T00:00:00"/>
    <x v="4"/>
    <s v="SALÇA ACI (EV YAPIMI)"/>
    <m/>
    <x v="1"/>
    <s v="ST00000000501"/>
    <s v="SATIŞ"/>
    <s v="NAKİT"/>
    <n v="0.5"/>
    <n v="200"/>
    <n v="0"/>
    <n v="0"/>
    <m/>
    <m/>
    <m/>
    <m/>
    <n v="100"/>
    <n v="0"/>
    <n v="58627.898760151991"/>
  </r>
  <r>
    <d v="2025-12-09T00:00:00"/>
    <x v="4"/>
    <s v="DOMATES SALÇASI"/>
    <m/>
    <x v="1"/>
    <s v="ST00000000502"/>
    <s v="SATIŞ"/>
    <s v="NAKİT"/>
    <n v="5"/>
    <n v="150"/>
    <n v="0"/>
    <n v="0"/>
    <m/>
    <m/>
    <m/>
    <m/>
    <n v="750"/>
    <n v="0"/>
    <n v="59377.898760151991"/>
  </r>
  <r>
    <d v="2025-12-09T00:00:00"/>
    <x v="4"/>
    <s v="KABUKLU CEVİZ (YERLİ)"/>
    <m/>
    <x v="1"/>
    <s v="ST00000000502"/>
    <s v="SATIŞ"/>
    <s v="NAKİT"/>
    <n v="2"/>
    <n v="300"/>
    <n v="0"/>
    <n v="0"/>
    <m/>
    <m/>
    <m/>
    <m/>
    <n v="600"/>
    <n v="0"/>
    <n v="59977.898760151991"/>
  </r>
  <r>
    <d v="2025-12-09T00:00:00"/>
    <x v="4"/>
    <s v="DOLMALIK KURU TATLI KIRMIZI BİBER"/>
    <m/>
    <x v="1"/>
    <s v="ST00000000503"/>
    <s v="SATIŞ"/>
    <s v="NAKİT"/>
    <n v="1"/>
    <n v="220"/>
    <n v="0"/>
    <n v="0"/>
    <m/>
    <m/>
    <m/>
    <m/>
    <n v="220"/>
    <n v="0"/>
    <n v="60197.898760151991"/>
  </r>
  <r>
    <d v="2025-12-09T00:00:00"/>
    <x v="4"/>
    <s v="YALÇINKAYA DOMATES SALÇASI"/>
    <m/>
    <x v="1"/>
    <s v="ST00000000503"/>
    <s v="SATIŞ"/>
    <s v="NAKİT"/>
    <n v="1"/>
    <n v="150"/>
    <n v="0"/>
    <n v="0"/>
    <m/>
    <m/>
    <m/>
    <m/>
    <n v="150"/>
    <n v="0"/>
    <n v="60347.898760151991"/>
  </r>
  <r>
    <d v="2025-12-09T00:00:00"/>
    <x v="4"/>
    <s v="NANE İRİ"/>
    <m/>
    <x v="1"/>
    <s v="ST00000000504"/>
    <s v="SATIŞ"/>
    <s v="NAKİT"/>
    <n v="0.23809523809523808"/>
    <n v="420"/>
    <n v="0"/>
    <n v="0"/>
    <m/>
    <m/>
    <m/>
    <m/>
    <n v="100"/>
    <n v="0"/>
    <n v="60447.898760151991"/>
  </r>
  <r>
    <d v="2025-12-09T00:00:00"/>
    <x v="4"/>
    <s v="YALÇINKAYA DOMATES SALÇASI"/>
    <m/>
    <x v="1"/>
    <s v="ST00000000504"/>
    <s v="SATIŞ"/>
    <s v="NAKİT"/>
    <n v="5"/>
    <n v="150"/>
    <n v="0"/>
    <n v="0"/>
    <m/>
    <m/>
    <m/>
    <m/>
    <n v="750"/>
    <n v="0"/>
    <n v="61197.898760151991"/>
  </r>
  <r>
    <d v="2025-12-09T00:00:00"/>
    <x v="4"/>
    <s v="SEYHAN ÜZÜM ÖZEL"/>
    <m/>
    <x v="1"/>
    <s v="ST00000000504"/>
    <s v="SATIŞ"/>
    <s v="NAKİT"/>
    <n v="0.5"/>
    <n v="800"/>
    <n v="0"/>
    <n v="0"/>
    <m/>
    <m/>
    <m/>
    <m/>
    <n v="400"/>
    <n v="0"/>
    <n v="61597.898760151991"/>
  </r>
  <r>
    <d v="2025-12-09T00:00:00"/>
    <x v="4"/>
    <s v="YALÇINKAYA DOMATES SALÇASI"/>
    <m/>
    <x v="1"/>
    <s v="ST00000000505"/>
    <s v="SATIŞ"/>
    <s v="NAKİT"/>
    <n v="3.3333333333333335"/>
    <n v="150"/>
    <n v="0"/>
    <n v="0"/>
    <m/>
    <m/>
    <m/>
    <m/>
    <n v="500"/>
    <n v="0"/>
    <n v="62097.898760151991"/>
  </r>
  <r>
    <d v="2025-12-09T00:00:00"/>
    <x v="4"/>
    <s v="SALÇA ACI (EV YAPIMI)"/>
    <m/>
    <x v="1"/>
    <s v="ST00000000505"/>
    <s v="SATIŞ"/>
    <s v="NAKİT"/>
    <n v="2.5"/>
    <n v="200"/>
    <n v="0"/>
    <n v="0"/>
    <m/>
    <m/>
    <m/>
    <m/>
    <n v="500"/>
    <n v="0"/>
    <n v="62597.898760151991"/>
  </r>
  <r>
    <d v="2025-12-09T00:00:00"/>
    <x v="4"/>
    <s v="KABUKLU CEVİZ (YERLİ)"/>
    <m/>
    <x v="1"/>
    <s v="ST00000000506"/>
    <s v="SATIŞ"/>
    <s v="NAKİT"/>
    <n v="3"/>
    <n v="300"/>
    <n v="0"/>
    <n v="0"/>
    <m/>
    <m/>
    <m/>
    <m/>
    <n v="900"/>
    <n v="0"/>
    <n v="63497.898760151991"/>
  </r>
  <r>
    <d v="2025-12-09T00:00:00"/>
    <x v="4"/>
    <s v="DOMATES SALÇASI"/>
    <m/>
    <x v="1"/>
    <s v="ST00000000657"/>
    <s v="SATIŞ"/>
    <s v="NAKİT"/>
    <n v="5"/>
    <n v="150"/>
    <n v="0"/>
    <n v="0"/>
    <m/>
    <m/>
    <m/>
    <m/>
    <n v="750"/>
    <n v="0"/>
    <n v="64247.898760151991"/>
  </r>
  <r>
    <d v="2025-12-09T00:00:00"/>
    <x v="4"/>
    <s v="SALÇA ACI (EV YAPIMI)"/>
    <m/>
    <x v="1"/>
    <s v="ST00000000657"/>
    <s v="SATIŞ"/>
    <s v="NAKİT"/>
    <n v="5"/>
    <n v="200"/>
    <n v="0"/>
    <n v="0"/>
    <m/>
    <m/>
    <m/>
    <m/>
    <n v="1000"/>
    <n v="0"/>
    <n v="65247.898760151991"/>
  </r>
  <r>
    <d v="2025-12-09T00:00:00"/>
    <x v="4"/>
    <s v="SALÇA TATLI (EV YAPIMI)"/>
    <m/>
    <x v="1"/>
    <s v="ST00000000657"/>
    <s v="SATIŞ"/>
    <s v="NAKİT"/>
    <n v="5"/>
    <n v="200"/>
    <n v="0"/>
    <n v="0"/>
    <m/>
    <m/>
    <m/>
    <m/>
    <n v="1000"/>
    <n v="0"/>
    <n v="66247.898760151991"/>
  </r>
  <r>
    <d v="2025-12-09T00:00:00"/>
    <x v="4"/>
    <s v="DOLMALIK KURU PATLICAN"/>
    <m/>
    <x v="1"/>
    <s v="ST00000000657"/>
    <s v="SATIŞ"/>
    <s v="NAKİT"/>
    <n v="5"/>
    <n v="250"/>
    <n v="0"/>
    <n v="0"/>
    <m/>
    <m/>
    <m/>
    <m/>
    <n v="1250"/>
    <n v="0"/>
    <n v="67497.898760151991"/>
  </r>
  <r>
    <d v="2025-12-09T00:00:00"/>
    <x v="4"/>
    <s v="DOLMALIK SARI BİBER"/>
    <m/>
    <x v="1"/>
    <s v="ST00000000657"/>
    <s v="SATIŞ"/>
    <s v="NAKİT"/>
    <n v="2"/>
    <n v="220"/>
    <n v="0"/>
    <n v="0"/>
    <m/>
    <m/>
    <m/>
    <m/>
    <n v="440"/>
    <n v="0"/>
    <n v="67937.898760151991"/>
  </r>
  <r>
    <d v="2025-12-09T00:00:00"/>
    <x v="4"/>
    <s v="DOLMALIK SARI BİBER"/>
    <m/>
    <x v="1"/>
    <s v="ST00000000657"/>
    <s v="SATIŞ"/>
    <s v="NAKİT"/>
    <n v="3"/>
    <n v="220"/>
    <n v="0"/>
    <n v="0"/>
    <m/>
    <m/>
    <m/>
    <m/>
    <n v="660"/>
    <n v="0"/>
    <n v="68597.898760151991"/>
  </r>
  <r>
    <d v="2025-12-09T00:00:00"/>
    <x v="4"/>
    <s v="NANE İRİ"/>
    <m/>
    <x v="1"/>
    <s v="ST00000000657"/>
    <s v="SATIŞ"/>
    <s v="NAKİT"/>
    <n v="0.59523809523809523"/>
    <n v="420"/>
    <n v="0"/>
    <n v="0"/>
    <m/>
    <m/>
    <m/>
    <m/>
    <n v="250"/>
    <n v="0"/>
    <n v="68847.898760151991"/>
  </r>
  <r>
    <d v="2025-12-09T00:00:00"/>
    <x v="10"/>
    <m/>
    <m/>
    <x v="5"/>
    <m/>
    <s v="POS ÇÖZÜMÜ"/>
    <s v="POS"/>
    <n v="1"/>
    <n v="453"/>
    <n v="0"/>
    <n v="453"/>
    <m/>
    <m/>
    <m/>
    <m/>
    <n v="453"/>
    <n v="0"/>
    <n v="69300.898760151991"/>
  </r>
  <r>
    <d v="2025-12-09T00:00:00"/>
    <x v="10"/>
    <m/>
    <m/>
    <x v="5"/>
    <m/>
    <s v="POS ÇÖZÜMÜ"/>
    <s v="POS"/>
    <n v="1"/>
    <n v="2340"/>
    <n v="0"/>
    <n v="2340"/>
    <m/>
    <m/>
    <m/>
    <m/>
    <n v="2340"/>
    <n v="0"/>
    <n v="71640.898760151991"/>
  </r>
  <r>
    <d v="2025-12-10T00:00:00"/>
    <x v="4"/>
    <s v="TOZ BİBER - TATLI"/>
    <m/>
    <x v="5"/>
    <s v="ST00000000507"/>
    <s v="SATIŞ"/>
    <s v="POS"/>
    <n v="0.14799999999999999"/>
    <n v="370"/>
    <n v="54.76"/>
    <n v="0"/>
    <m/>
    <m/>
    <m/>
    <m/>
    <n v="0"/>
    <n v="0"/>
    <n v="71640.898760151991"/>
  </r>
  <r>
    <d v="2025-12-10T00:00:00"/>
    <x v="4"/>
    <s v="KİMYON ÇEKİLMİŞ"/>
    <m/>
    <x v="5"/>
    <s v="ST00000000507"/>
    <s v="SATIŞ"/>
    <s v="POS"/>
    <n v="0.17799999999999999"/>
    <n v="390"/>
    <n v="69.42"/>
    <n v="0"/>
    <m/>
    <m/>
    <m/>
    <m/>
    <n v="0"/>
    <n v="0"/>
    <n v="71640.898760151991"/>
  </r>
  <r>
    <d v="2025-12-10T00:00:00"/>
    <x v="4"/>
    <s v="DOLMALIK KURU PATLICAN"/>
    <m/>
    <x v="5"/>
    <s v="ST00000000507"/>
    <s v="SATIŞ"/>
    <s v="POS"/>
    <n v="1"/>
    <n v="240"/>
    <n v="240"/>
    <n v="0"/>
    <m/>
    <m/>
    <m/>
    <m/>
    <n v="0"/>
    <n v="0"/>
    <n v="71640.898760151991"/>
  </r>
  <r>
    <d v="2025-12-10T00:00:00"/>
    <x v="4"/>
    <s v="DOLMALIK KURU TATLI KIRMIZI BİBER"/>
    <m/>
    <x v="5"/>
    <s v="ST00000000507"/>
    <s v="SATIŞ"/>
    <s v="POS"/>
    <n v="1"/>
    <n v="200"/>
    <n v="200"/>
    <n v="0"/>
    <m/>
    <m/>
    <m/>
    <m/>
    <n v="0"/>
    <n v="0"/>
    <n v="71640.898760151991"/>
  </r>
  <r>
    <d v="2025-12-10T00:00:00"/>
    <x v="4"/>
    <s v="ZERDEÇAL TOZ"/>
    <m/>
    <x v="5"/>
    <s v="ST00000000508"/>
    <s v="SATIŞ"/>
    <s v="POS"/>
    <n v="0.14599999999999999"/>
    <n v="250"/>
    <n v="36.5"/>
    <n v="0"/>
    <m/>
    <m/>
    <m/>
    <m/>
    <n v="0"/>
    <n v="0"/>
    <n v="71640.898760151991"/>
  </r>
  <r>
    <d v="2025-12-10T00:00:00"/>
    <x v="4"/>
    <s v="ZENCEFİL TOZ"/>
    <m/>
    <x v="5"/>
    <s v="ST00000000508"/>
    <s v="SATIŞ"/>
    <s v="POS"/>
    <n v="0.16583333333333333"/>
    <n v="360"/>
    <n v="59.7"/>
    <n v="0"/>
    <m/>
    <m/>
    <m/>
    <m/>
    <n v="0"/>
    <n v="0"/>
    <n v="71640.898760151991"/>
  </r>
  <r>
    <d v="2025-12-10T00:00:00"/>
    <x v="4"/>
    <s v="CEVİZLİ SUCUK ATOM (ESMER)"/>
    <m/>
    <x v="5"/>
    <s v="ST00000000508"/>
    <s v="SATIŞ"/>
    <s v="POS"/>
    <n v="0.35"/>
    <n v="340"/>
    <n v="118.99999999999999"/>
    <n v="0"/>
    <m/>
    <m/>
    <m/>
    <m/>
    <n v="0"/>
    <n v="0"/>
    <n v="71640.898760151991"/>
  </r>
  <r>
    <d v="2025-12-10T00:00:00"/>
    <x v="4"/>
    <s v="YALÇINKAYA DOMATES SALÇASI"/>
    <m/>
    <x v="5"/>
    <s v="ST00000000508"/>
    <s v="SATIŞ"/>
    <s v="POS"/>
    <n v="4.04"/>
    <n v="120"/>
    <n v="484.8"/>
    <n v="0"/>
    <m/>
    <m/>
    <m/>
    <m/>
    <n v="0"/>
    <n v="0"/>
    <n v="71640.898760151991"/>
  </r>
  <r>
    <d v="2025-12-10T00:00:00"/>
    <x v="4"/>
    <s v="TOZ BİBER - TATLI"/>
    <m/>
    <x v="5"/>
    <s v="ST00000000509"/>
    <s v="SATIŞ"/>
    <s v="POS"/>
    <n v="0.12162162162162163"/>
    <n v="370"/>
    <n v="45"/>
    <n v="0"/>
    <m/>
    <m/>
    <m/>
    <m/>
    <n v="0"/>
    <n v="0"/>
    <n v="71640.898760151991"/>
  </r>
  <r>
    <d v="2025-12-10T00:00:00"/>
    <x v="4"/>
    <s v="YALÇINKAYA DOMATES SALÇASI"/>
    <m/>
    <x v="5"/>
    <s v="ST00000000509"/>
    <s v="SATIŞ"/>
    <s v="POS"/>
    <n v="0.5"/>
    <n v="130"/>
    <n v="65"/>
    <n v="0"/>
    <m/>
    <m/>
    <m/>
    <m/>
    <n v="0"/>
    <n v="0"/>
    <n v="71640.898760151991"/>
  </r>
  <r>
    <d v="2025-12-10T00:00:00"/>
    <x v="4"/>
    <s v="HİMALAYA TUZU PEMBE ÖĞÜTÜLMÜŞ"/>
    <m/>
    <x v="5"/>
    <s v="ST00000000509"/>
    <s v="SATIŞ"/>
    <s v="POS"/>
    <n v="0.5"/>
    <n v="140"/>
    <n v="70"/>
    <n v="0"/>
    <m/>
    <m/>
    <m/>
    <m/>
    <n v="0"/>
    <n v="0"/>
    <n v="71640.898760151991"/>
  </r>
  <r>
    <d v="2025-12-10T00:00:00"/>
    <x v="4"/>
    <s v="KARANFİL"/>
    <m/>
    <x v="5"/>
    <s v="ST00000000509"/>
    <s v="SATIŞ"/>
    <s v="POS"/>
    <n v="0.05"/>
    <n v="1200"/>
    <n v="60"/>
    <n v="0"/>
    <m/>
    <m/>
    <m/>
    <m/>
    <n v="0"/>
    <n v="0"/>
    <n v="71640.898760151991"/>
  </r>
  <r>
    <d v="2025-12-10T00:00:00"/>
    <x v="4"/>
    <s v="SALÇA TATLI (EV YAPIMI)"/>
    <m/>
    <x v="1"/>
    <s v="ST00000000510"/>
    <s v="SATIŞ - TOPTAN"/>
    <s v="NAKİT"/>
    <n v="38.700000000000003"/>
    <n v="144.7028"/>
    <n v="0"/>
    <n v="0"/>
    <m/>
    <m/>
    <m/>
    <m/>
    <n v="5599.9983600000005"/>
    <n v="0"/>
    <n v="77240.897120151989"/>
  </r>
  <r>
    <d v="2025-12-10T00:00:00"/>
    <x v="4"/>
    <s v="SALÇA ACI (EV YAPIMI)"/>
    <m/>
    <x v="1"/>
    <s v="ST00000000511"/>
    <s v="SATIŞ"/>
    <s v="NAKİT"/>
    <n v="1"/>
    <n v="180"/>
    <n v="0"/>
    <n v="0"/>
    <m/>
    <m/>
    <m/>
    <m/>
    <n v="180"/>
    <n v="0"/>
    <n v="77420.897120151989"/>
  </r>
  <r>
    <d v="2025-12-10T00:00:00"/>
    <x v="4"/>
    <s v="SALÇA ACI (EV YAPIMI)"/>
    <m/>
    <x v="1"/>
    <s v="ST00000000512"/>
    <s v="SATIŞ"/>
    <s v="NAKİT"/>
    <n v="1"/>
    <n v="180"/>
    <n v="0"/>
    <n v="0"/>
    <m/>
    <m/>
    <m/>
    <m/>
    <n v="180"/>
    <n v="0"/>
    <n v="77600.897120151989"/>
  </r>
  <r>
    <d v="2025-12-10T00:00:00"/>
    <x v="4"/>
    <s v="KABUKLU CEVİZ (ŞİLİ)"/>
    <m/>
    <x v="1"/>
    <s v="ST00000000512"/>
    <s v="SATIŞ"/>
    <s v="NAKİT"/>
    <n v="0.2413793103448276"/>
    <n v="290"/>
    <n v="0"/>
    <n v="0"/>
    <m/>
    <m/>
    <m/>
    <m/>
    <n v="70"/>
    <n v="0"/>
    <n v="77670.897120151989"/>
  </r>
  <r>
    <d v="2025-12-10T00:00:00"/>
    <x v="4"/>
    <s v="AÇLIK OTU"/>
    <m/>
    <x v="1"/>
    <s v="ST00000000513"/>
    <s v="SATIŞ"/>
    <s v="NAKİT"/>
    <n v="0.12"/>
    <n v="417"/>
    <n v="0"/>
    <n v="0"/>
    <m/>
    <m/>
    <m/>
    <m/>
    <n v="50.04"/>
    <n v="0"/>
    <n v="77720.937120151983"/>
  </r>
  <r>
    <d v="2025-12-10T00:00:00"/>
    <x v="4"/>
    <s v="IHLAMUR YAPRAK"/>
    <m/>
    <x v="1"/>
    <s v="ST00000000514"/>
    <s v="SATIŞ"/>
    <s v="NAKİT"/>
    <n v="0.05"/>
    <n v="2600"/>
    <n v="0"/>
    <n v="0"/>
    <m/>
    <m/>
    <m/>
    <m/>
    <n v="130"/>
    <n v="0"/>
    <n v="77850.937120151983"/>
  </r>
  <r>
    <d v="2025-12-10T00:00:00"/>
    <x v="4"/>
    <s v="SEYHAN ÜZÜM ÖZEL"/>
    <m/>
    <x v="5"/>
    <s v="ST00000000515"/>
    <s v="SATIŞ"/>
    <s v="POS"/>
    <n v="0.5"/>
    <n v="650"/>
    <n v="325"/>
    <n v="0"/>
    <m/>
    <m/>
    <m/>
    <m/>
    <n v="0"/>
    <n v="0"/>
    <n v="77850.937120151983"/>
  </r>
  <r>
    <d v="2025-12-10T00:00:00"/>
    <x v="4"/>
    <s v="MACUN KIRMIZI"/>
    <m/>
    <x v="5"/>
    <s v="ST00000000516"/>
    <s v="SATIŞ"/>
    <s v="POS"/>
    <n v="1"/>
    <n v="300"/>
    <n v="300"/>
    <n v="0"/>
    <m/>
    <m/>
    <m/>
    <m/>
    <n v="0"/>
    <n v="0"/>
    <n v="77850.937120151983"/>
  </r>
  <r>
    <d v="2025-12-10T00:00:00"/>
    <x v="4"/>
    <s v="ŞENAY ÇAM KOZALAĞI PEKMEZİ 800 G"/>
    <m/>
    <x v="5"/>
    <s v="ST00000000516"/>
    <s v="SATIŞ"/>
    <s v="POS"/>
    <n v="1"/>
    <n v="180"/>
    <n v="180"/>
    <n v="0"/>
    <m/>
    <m/>
    <m/>
    <m/>
    <n v="0"/>
    <n v="0"/>
    <n v="77850.937120151983"/>
  </r>
  <r>
    <d v="2025-12-10T00:00:00"/>
    <x v="4"/>
    <s v="FINDIK BULACAK (13-15)"/>
    <m/>
    <x v="5"/>
    <s v="ST00000000516"/>
    <s v="SATIŞ"/>
    <s v="POS"/>
    <n v="8.5999999999999993E-2"/>
    <n v="1200"/>
    <n v="103.19999999999999"/>
    <n v="0"/>
    <m/>
    <m/>
    <m/>
    <m/>
    <n v="0"/>
    <n v="0"/>
    <n v="77850.937120151983"/>
  </r>
  <r>
    <d v="2025-12-10T00:00:00"/>
    <x v="4"/>
    <s v="KAJU - TB"/>
    <m/>
    <x v="5"/>
    <s v="ST00000000516"/>
    <s v="SATIŞ"/>
    <s v="POS"/>
    <n v="0.156"/>
    <n v="650"/>
    <n v="101.4"/>
    <n v="0"/>
    <m/>
    <m/>
    <m/>
    <m/>
    <n v="0"/>
    <n v="0"/>
    <n v="77850.937120151983"/>
  </r>
  <r>
    <d v="2025-12-10T00:00:00"/>
    <x v="4"/>
    <s v="CEVİZLİ SUCUK ATOM (ESMER)"/>
    <m/>
    <x v="5"/>
    <s v="ST00000000516"/>
    <s v="SATIŞ"/>
    <s v="POS"/>
    <n v="0.37"/>
    <n v="340"/>
    <n v="125.8"/>
    <n v="0"/>
    <m/>
    <m/>
    <m/>
    <m/>
    <n v="0"/>
    <n v="0"/>
    <n v="77850.937120151983"/>
  </r>
  <r>
    <d v="2025-12-10T00:00:00"/>
    <x v="4"/>
    <s v="İZMİR ÜZÜMÜ"/>
    <m/>
    <x v="5"/>
    <s v="ST00000000516"/>
    <s v="SATIŞ"/>
    <s v="POS"/>
    <n v="0.29199999999999998"/>
    <n v="250"/>
    <n v="73"/>
    <n v="0"/>
    <m/>
    <m/>
    <m/>
    <m/>
    <n v="0"/>
    <n v="0"/>
    <n v="77850.937120151983"/>
  </r>
  <r>
    <d v="2025-12-10T00:00:00"/>
    <x v="4"/>
    <s v="KARANFİL"/>
    <m/>
    <x v="5"/>
    <s v="ST00000000517"/>
    <s v="SATIŞ"/>
    <s v="POS"/>
    <n v="0.05"/>
    <n v="1200"/>
    <n v="60"/>
    <n v="0"/>
    <m/>
    <m/>
    <m/>
    <m/>
    <n v="0"/>
    <n v="0"/>
    <n v="77850.937120151983"/>
  </r>
  <r>
    <d v="2025-12-10T00:00:00"/>
    <x v="4"/>
    <s v="BALPARMAK YAYLA VE OVA ÇİÇEK BALI 850 GR"/>
    <m/>
    <x v="5"/>
    <s v="ST00000000517"/>
    <s v="SATIŞ"/>
    <s v="POS"/>
    <n v="1"/>
    <n v="440"/>
    <n v="440"/>
    <n v="0"/>
    <m/>
    <m/>
    <m/>
    <m/>
    <n v="0"/>
    <n v="0"/>
    <n v="77850.937120151983"/>
  </r>
  <r>
    <d v="2025-12-10T00:00:00"/>
    <x v="4"/>
    <s v="ZENCEFİL TOZ"/>
    <m/>
    <x v="5"/>
    <s v="ST00000000517"/>
    <s v="SATIŞ"/>
    <s v="POS"/>
    <n v="0.1388888888888889"/>
    <n v="360"/>
    <n v="50"/>
    <n v="0"/>
    <m/>
    <m/>
    <m/>
    <m/>
    <n v="0"/>
    <n v="0"/>
    <n v="77850.937120151983"/>
  </r>
  <r>
    <d v="2025-12-10T00:00:00"/>
    <x v="4"/>
    <s v="NAHİTA GÜL SİRKESİ"/>
    <m/>
    <x v="5"/>
    <s v="ST00000000517"/>
    <s v="SATIŞ"/>
    <s v="POS"/>
    <n v="1"/>
    <n v="140"/>
    <n v="140"/>
    <n v="0"/>
    <m/>
    <m/>
    <m/>
    <m/>
    <n v="0"/>
    <n v="0"/>
    <n v="77850.937120151983"/>
  </r>
  <r>
    <d v="2025-12-10T00:00:00"/>
    <x v="7"/>
    <m/>
    <m/>
    <x v="2"/>
    <m/>
    <s v="KREDİ KARTI ÖDEME"/>
    <s v="NAKİT"/>
    <n v="1"/>
    <n v="0"/>
    <n v="44186.827999904999"/>
    <n v="0"/>
    <m/>
    <m/>
    <m/>
    <m/>
    <n v="0"/>
    <n v="44186.83"/>
    <n v="33664.107120151981"/>
  </r>
  <r>
    <d v="2025-12-10T00:00:00"/>
    <x v="10"/>
    <m/>
    <m/>
    <x v="5"/>
    <m/>
    <s v="POS ÇÖZÜMÜ"/>
    <s v="POS"/>
    <n v="1"/>
    <n v="200"/>
    <n v="0"/>
    <n v="200"/>
    <m/>
    <m/>
    <m/>
    <m/>
    <n v="200"/>
    <n v="0"/>
    <n v="33864.107120151981"/>
  </r>
  <r>
    <d v="2025-12-10T00:00:00"/>
    <x v="10"/>
    <m/>
    <m/>
    <x v="5"/>
    <m/>
    <s v="POS ÇÖZÜMÜ"/>
    <s v="POS"/>
    <n v="1"/>
    <n v="620"/>
    <n v="0"/>
    <n v="620"/>
    <m/>
    <m/>
    <m/>
    <m/>
    <n v="620"/>
    <n v="0"/>
    <n v="34484.107120151981"/>
  </r>
  <r>
    <d v="2025-12-10T00:00:00"/>
    <x v="10"/>
    <m/>
    <m/>
    <x v="5"/>
    <m/>
    <s v="POS ÇÖZÜMÜ"/>
    <s v="POS"/>
    <n v="1"/>
    <n v="240"/>
    <n v="0"/>
    <n v="240"/>
    <m/>
    <m/>
    <m/>
    <m/>
    <n v="240"/>
    <n v="0"/>
    <n v="34724.107120151981"/>
  </r>
  <r>
    <d v="2025-12-11T00:00:00"/>
    <x v="1"/>
    <m/>
    <s v="AMBALAJ GİDERLERİ"/>
    <x v="2"/>
    <s v="AFA2025000002065"/>
    <s v="AFİLİ AMBALAJ - AMBALAJ GİDERİ"/>
    <s v="K.K."/>
    <n v="1"/>
    <n v="586.79999999999995"/>
    <n v="0"/>
    <n v="586.79999999999995"/>
    <m/>
    <m/>
    <m/>
    <m/>
    <n v="0"/>
    <n v="0"/>
    <n v="34724.107120151981"/>
  </r>
  <r>
    <d v="2025-12-11T00:00:00"/>
    <x v="4"/>
    <s v="ÇÖREKOTU"/>
    <m/>
    <x v="1"/>
    <s v="ST00000000518"/>
    <s v="SATIŞ"/>
    <s v="NAKİT"/>
    <n v="0.1"/>
    <n v="400"/>
    <n v="0"/>
    <n v="0"/>
    <m/>
    <m/>
    <m/>
    <m/>
    <n v="40"/>
    <n v="0"/>
    <n v="34764.107120151981"/>
  </r>
  <r>
    <d v="2025-12-11T00:00:00"/>
    <x v="4"/>
    <s v="NANE İRİ"/>
    <m/>
    <x v="1"/>
    <s v="ST00000000518"/>
    <s v="SATIŞ"/>
    <s v="NAKİT"/>
    <n v="0.08"/>
    <n v="400"/>
    <n v="0"/>
    <n v="0"/>
    <m/>
    <m/>
    <m/>
    <m/>
    <n v="32"/>
    <n v="0"/>
    <n v="34796.107120151981"/>
  </r>
  <r>
    <d v="2025-12-11T00:00:00"/>
    <x v="4"/>
    <s v="SUMAK"/>
    <m/>
    <x v="1"/>
    <s v="ST00000000518"/>
    <s v="SATIŞ"/>
    <s v="NAKİT"/>
    <n v="0.24"/>
    <n v="500"/>
    <n v="0"/>
    <n v="0"/>
    <m/>
    <m/>
    <m/>
    <m/>
    <n v="120"/>
    <n v="0"/>
    <n v="34916.107120151981"/>
  </r>
  <r>
    <d v="2025-12-11T00:00:00"/>
    <x v="4"/>
    <s v="TOZ BİBER - TATLI"/>
    <m/>
    <x v="1"/>
    <s v="ST00000000518"/>
    <s v="SATIŞ"/>
    <s v="NAKİT"/>
    <n v="0.184"/>
    <n v="370"/>
    <n v="0"/>
    <n v="0"/>
    <m/>
    <m/>
    <m/>
    <m/>
    <n v="68.08"/>
    <n v="0"/>
    <n v="34984.187120151983"/>
  </r>
  <r>
    <d v="2025-12-11T00:00:00"/>
    <x v="4"/>
    <s v="KARABİBER ÇEKİLMİŞ"/>
    <m/>
    <x v="1"/>
    <s v="ST00000000518"/>
    <s v="SATIŞ"/>
    <s v="NAKİT"/>
    <n v="0.11"/>
    <n v="640"/>
    <n v="0"/>
    <n v="0"/>
    <m/>
    <m/>
    <m/>
    <m/>
    <n v="70.400000000000006"/>
    <n v="0"/>
    <n v="35054.587120151984"/>
  </r>
  <r>
    <d v="2025-12-11T00:00:00"/>
    <x v="4"/>
    <s v="HİBİSKUS"/>
    <m/>
    <x v="1"/>
    <s v="ST00000000518"/>
    <s v="SATIŞ"/>
    <s v="NAKİT"/>
    <n v="0.1"/>
    <n v="600"/>
    <n v="0"/>
    <n v="0"/>
    <m/>
    <m/>
    <m/>
    <m/>
    <n v="60"/>
    <n v="0"/>
    <n v="35114.587120151984"/>
  </r>
  <r>
    <d v="2025-12-11T00:00:00"/>
    <x v="4"/>
    <s v="İPEK BİBER"/>
    <m/>
    <x v="1"/>
    <s v="ST00000000519"/>
    <s v="SATIŞ"/>
    <s v="NAKİT"/>
    <n v="0.17"/>
    <n v="500"/>
    <n v="0"/>
    <n v="0"/>
    <m/>
    <m/>
    <m/>
    <m/>
    <n v="85"/>
    <n v="0"/>
    <n v="35199.587120151984"/>
  </r>
  <r>
    <d v="2025-12-11T00:00:00"/>
    <x v="4"/>
    <s v="KARABİBER ÇEKİLMİŞ"/>
    <m/>
    <x v="1"/>
    <s v="ST00000000519"/>
    <s v="SATIŞ"/>
    <s v="NAKİT"/>
    <n v="0.109375"/>
    <n v="640"/>
    <n v="0"/>
    <n v="0"/>
    <m/>
    <m/>
    <m/>
    <m/>
    <n v="70"/>
    <n v="0"/>
    <n v="35269.587120151984"/>
  </r>
  <r>
    <d v="2025-12-11T00:00:00"/>
    <x v="4"/>
    <s v="ŞİFAVER KÜKÜRTLÜ HATAY SABUNU"/>
    <m/>
    <x v="1"/>
    <s v="ST00000000520"/>
    <s v="SATIŞ"/>
    <s v="NAKİT"/>
    <n v="1"/>
    <n v="40"/>
    <n v="0"/>
    <n v="0"/>
    <m/>
    <m/>
    <m/>
    <m/>
    <n v="40"/>
    <n v="0"/>
    <n v="35309.587120151984"/>
  </r>
  <r>
    <d v="2025-12-11T00:00:00"/>
    <x v="4"/>
    <s v="KETEN TOHUMU"/>
    <m/>
    <x v="1"/>
    <s v="ST00000000521"/>
    <s v="SATIŞ"/>
    <s v="NAKİT"/>
    <n v="0.1"/>
    <n v="200"/>
    <n v="0"/>
    <n v="0"/>
    <m/>
    <m/>
    <m/>
    <m/>
    <n v="20"/>
    <n v="0"/>
    <n v="35329.587120151984"/>
  </r>
  <r>
    <d v="2025-12-11T00:00:00"/>
    <x v="4"/>
    <s v="IHLAMUR YAPRAK"/>
    <m/>
    <x v="1"/>
    <s v="ST00000000522"/>
    <s v="SATIŞ"/>
    <s v="NAKİT"/>
    <n v="0.05"/>
    <n v="2600"/>
    <n v="0"/>
    <n v="0"/>
    <m/>
    <m/>
    <m/>
    <m/>
    <n v="130"/>
    <n v="0"/>
    <n v="35459.587120151984"/>
  </r>
  <r>
    <d v="2025-12-11T00:00:00"/>
    <x v="4"/>
    <s v="GENÇLEBİ ÇAKILTAŞI DRAJE"/>
    <m/>
    <x v="1"/>
    <s v="ST00000000523"/>
    <s v="SATIŞ"/>
    <s v="NAKİT"/>
    <n v="0.25"/>
    <n v="400"/>
    <n v="0"/>
    <n v="0"/>
    <m/>
    <m/>
    <m/>
    <m/>
    <n v="100"/>
    <n v="0"/>
    <n v="35559.587120151984"/>
  </r>
  <r>
    <d v="2025-12-11T00:00:00"/>
    <x v="4"/>
    <s v="KAFFKA OSMANLI KAHVESİ 150 GR"/>
    <m/>
    <x v="1"/>
    <s v="ST00000000524"/>
    <s v="SATIŞ"/>
    <s v="NAKİT"/>
    <n v="1"/>
    <n v="65"/>
    <n v="0"/>
    <n v="0"/>
    <m/>
    <m/>
    <m/>
    <m/>
    <n v="65"/>
    <n v="0"/>
    <n v="35624.587120151984"/>
  </r>
  <r>
    <d v="2025-12-11T00:00:00"/>
    <x v="4"/>
    <s v="BADEM ÇİĞ "/>
    <m/>
    <x v="5"/>
    <s v="ST00000000525"/>
    <s v="SATIŞ"/>
    <s v="POS"/>
    <n v="0.23076923076923078"/>
    <n v="650"/>
    <n v="150"/>
    <n v="0"/>
    <m/>
    <m/>
    <m/>
    <m/>
    <n v="0"/>
    <n v="0"/>
    <n v="35624.587120151984"/>
  </r>
  <r>
    <d v="2025-12-11T00:00:00"/>
    <x v="4"/>
    <s v="TÜRK KAHVESİ"/>
    <m/>
    <x v="5"/>
    <s v="ST00000000525"/>
    <s v="SATIŞ"/>
    <s v="POS"/>
    <n v="0.1"/>
    <n v="650"/>
    <n v="65"/>
    <n v="0"/>
    <m/>
    <m/>
    <m/>
    <m/>
    <n v="0"/>
    <n v="0"/>
    <n v="35624.587120151984"/>
  </r>
  <r>
    <d v="2025-12-11T00:00:00"/>
    <x v="4"/>
    <s v="KAFFKA DİBEK KAHVESİ 150 GR"/>
    <m/>
    <x v="5"/>
    <s v="ST00000000525"/>
    <s v="SATIŞ"/>
    <s v="POS"/>
    <n v="1"/>
    <n v="65"/>
    <n v="65"/>
    <n v="0"/>
    <m/>
    <m/>
    <m/>
    <m/>
    <n v="0"/>
    <n v="0"/>
    <n v="35624.587120151984"/>
  </r>
  <r>
    <d v="2025-12-11T00:00:00"/>
    <x v="4"/>
    <s v="GENÇLEBİ ÇAKILTAŞI DRAJE"/>
    <m/>
    <x v="5"/>
    <s v="ST00000000525"/>
    <s v="SATIŞ"/>
    <s v="POS"/>
    <n v="0.25"/>
    <n v="400"/>
    <n v="100"/>
    <n v="0"/>
    <m/>
    <m/>
    <m/>
    <m/>
    <n v="0"/>
    <n v="0"/>
    <n v="35624.587120151984"/>
  </r>
  <r>
    <d v="2025-12-11T00:00:00"/>
    <x v="4"/>
    <s v="LEBLEBİ ÇİFTE SARI"/>
    <m/>
    <x v="5"/>
    <s v="ST00000000526"/>
    <s v="SATIŞ"/>
    <s v="POS"/>
    <n v="0.20833333333333334"/>
    <n v="240"/>
    <n v="50"/>
    <n v="0"/>
    <m/>
    <m/>
    <m/>
    <m/>
    <n v="0"/>
    <n v="0"/>
    <n v="35624.587120151984"/>
  </r>
  <r>
    <d v="2025-12-11T00:00:00"/>
    <x v="4"/>
    <s v="TÜRK KAHVESİ"/>
    <m/>
    <x v="5"/>
    <s v="ST00000000526"/>
    <s v="SATIŞ"/>
    <s v="POS"/>
    <n v="0.1"/>
    <n v="650"/>
    <n v="65"/>
    <n v="0"/>
    <m/>
    <m/>
    <m/>
    <m/>
    <n v="0"/>
    <n v="0"/>
    <n v="35624.587120151984"/>
  </r>
  <r>
    <d v="2025-12-11T00:00:00"/>
    <x v="4"/>
    <s v="FINDIK BULACAK (13-15)"/>
    <m/>
    <x v="5"/>
    <s v="ST00000000526"/>
    <s v="SATIŞ"/>
    <s v="POS"/>
    <n v="0.16666666666666666"/>
    <n v="1200"/>
    <n v="200"/>
    <n v="0"/>
    <m/>
    <m/>
    <m/>
    <m/>
    <n v="0"/>
    <n v="0"/>
    <n v="35624.587120151984"/>
  </r>
  <r>
    <d v="2025-12-11T00:00:00"/>
    <x v="4"/>
    <s v="ÇEBELİZADE NİOLİ YAĞI 20 ML"/>
    <m/>
    <x v="5"/>
    <s v="ST00000000527"/>
    <s v="SATIŞ"/>
    <s v="POS"/>
    <n v="1"/>
    <n v="140"/>
    <n v="140"/>
    <n v="0"/>
    <m/>
    <m/>
    <m/>
    <m/>
    <n v="0"/>
    <n v="0"/>
    <n v="35624.587120151984"/>
  </r>
  <r>
    <d v="2025-12-11T00:00:00"/>
    <x v="4"/>
    <s v="DOLMALIK KURU TATLI KIRMIZI BİBER"/>
    <m/>
    <x v="5"/>
    <s v="ST00000000528"/>
    <s v="SATIŞ"/>
    <s v="POS"/>
    <n v="1"/>
    <n v="200"/>
    <n v="200"/>
    <n v="0"/>
    <m/>
    <m/>
    <m/>
    <m/>
    <n v="0"/>
    <n v="0"/>
    <n v="35624.587120151984"/>
  </r>
  <r>
    <d v="2025-12-11T00:00:00"/>
    <x v="4"/>
    <s v="SEYHAN ÜZÜM ÖZEL"/>
    <m/>
    <x v="5"/>
    <s v="ST00000000528"/>
    <s v="SATIŞ"/>
    <s v="POS"/>
    <n v="0.252"/>
    <n v="750"/>
    <n v="189"/>
    <n v="0"/>
    <m/>
    <m/>
    <m/>
    <m/>
    <n v="0"/>
    <n v="0"/>
    <n v="35624.587120151984"/>
  </r>
  <r>
    <d v="2025-12-11T00:00:00"/>
    <x v="4"/>
    <s v="ŞİFAVER BITTIM HATAY SABUNU"/>
    <m/>
    <x v="5"/>
    <s v="ST00000000528"/>
    <s v="SATIŞ"/>
    <s v="POS"/>
    <n v="1"/>
    <n v="40"/>
    <n v="40"/>
    <n v="0"/>
    <m/>
    <m/>
    <m/>
    <m/>
    <n v="0"/>
    <n v="0"/>
    <n v="35624.587120151984"/>
  </r>
  <r>
    <d v="2025-12-11T00:00:00"/>
    <x v="4"/>
    <s v="LEBLEBİ ŞEKER RENKLİ"/>
    <m/>
    <x v="5"/>
    <s v="ST00000000529"/>
    <s v="SATIŞ"/>
    <s v="POS"/>
    <n v="0.52631578947368418"/>
    <n v="190"/>
    <n v="100"/>
    <n v="0"/>
    <m/>
    <m/>
    <m/>
    <m/>
    <n v="0"/>
    <n v="0"/>
    <n v="35624.587120151984"/>
  </r>
  <r>
    <d v="2025-12-11T00:00:00"/>
    <x v="4"/>
    <s v="SOSLU MISIR YERLİ"/>
    <m/>
    <x v="5"/>
    <s v="ST00000000529"/>
    <s v="SATIŞ"/>
    <s v="POS"/>
    <n v="0.26666666666666666"/>
    <n v="150"/>
    <n v="40"/>
    <n v="0"/>
    <m/>
    <m/>
    <m/>
    <m/>
    <n v="0"/>
    <n v="0"/>
    <n v="35624.587120151984"/>
  </r>
  <r>
    <d v="2025-12-11T00:00:00"/>
    <x v="4"/>
    <s v="GENÇLEBİ ÇAKILTAŞI DRAJE"/>
    <m/>
    <x v="5"/>
    <s v="ST00000000529"/>
    <s v="SATIŞ"/>
    <s v="POS"/>
    <n v="0.25"/>
    <n v="400"/>
    <n v="100"/>
    <n v="0"/>
    <m/>
    <m/>
    <m/>
    <m/>
    <n v="0"/>
    <n v="0"/>
    <n v="35624.587120151984"/>
  </r>
  <r>
    <d v="2025-12-11T00:00:00"/>
    <x v="4"/>
    <s v="SOSLU MISIR YERLİ"/>
    <m/>
    <x v="5"/>
    <s v="ST00000000530"/>
    <s v="SATIŞ"/>
    <s v="POS"/>
    <n v="0.14666666666666667"/>
    <n v="150"/>
    <n v="22"/>
    <n v="0"/>
    <m/>
    <m/>
    <m/>
    <m/>
    <n v="0"/>
    <n v="0"/>
    <n v="35624.587120151984"/>
  </r>
  <r>
    <d v="2025-12-11T00:00:00"/>
    <x v="4"/>
    <s v="GENÇLEBİ ÇAKILTAŞI DRAJE"/>
    <m/>
    <x v="5"/>
    <s v="ST00000000530"/>
    <s v="SATIŞ"/>
    <s v="POS"/>
    <n v="0.25"/>
    <n v="400"/>
    <n v="100"/>
    <n v="0"/>
    <m/>
    <m/>
    <m/>
    <m/>
    <n v="0"/>
    <n v="0"/>
    <n v="35624.587120151984"/>
  </r>
  <r>
    <d v="2025-12-11T00:00:00"/>
    <x v="4"/>
    <s v="KAFFKA OSMANLI KAHVESİ 150 GR"/>
    <m/>
    <x v="5"/>
    <s v="ST00000000530"/>
    <s v="SATIŞ"/>
    <s v="POS"/>
    <n v="1"/>
    <n v="65"/>
    <n v="65"/>
    <n v="0"/>
    <m/>
    <m/>
    <m/>
    <m/>
    <n v="0"/>
    <n v="0"/>
    <n v="35624.587120151984"/>
  </r>
  <r>
    <d v="2025-12-11T00:00:00"/>
    <x v="4"/>
    <s v="ADAÇAYI DEMET"/>
    <m/>
    <x v="5"/>
    <s v="ST00000000531"/>
    <s v="SATIŞ"/>
    <s v="POS"/>
    <n v="1"/>
    <n v="60"/>
    <n v="60"/>
    <n v="0"/>
    <m/>
    <m/>
    <m/>
    <m/>
    <n v="0"/>
    <n v="0"/>
    <n v="35624.587120151984"/>
  </r>
  <r>
    <d v="2025-12-11T00:00:00"/>
    <x v="4"/>
    <s v="DOLMALIK KURU KABAK"/>
    <m/>
    <x v="5"/>
    <s v="ST00000000531"/>
    <s v="SATIŞ"/>
    <s v="POS"/>
    <n v="1"/>
    <n v="260"/>
    <n v="260"/>
    <n v="0"/>
    <m/>
    <m/>
    <m/>
    <m/>
    <n v="0"/>
    <n v="0"/>
    <n v="35624.587120151984"/>
  </r>
  <r>
    <d v="2025-12-11T00:00:00"/>
    <x v="4"/>
    <s v="IHLAMUR YAPRAK"/>
    <m/>
    <x v="5"/>
    <s v="ST00000000531"/>
    <s v="SATIŞ"/>
    <s v="POS"/>
    <n v="0.05"/>
    <n v="2600"/>
    <n v="130"/>
    <n v="0"/>
    <m/>
    <m/>
    <m/>
    <m/>
    <n v="0"/>
    <n v="0"/>
    <n v="35624.587120151984"/>
  </r>
  <r>
    <d v="2025-12-11T00:00:00"/>
    <x v="4"/>
    <s v="TÜDAB TURŞU BİBER"/>
    <m/>
    <x v="5"/>
    <s v="ST00000000531"/>
    <s v="SATIŞ"/>
    <s v="POS"/>
    <n v="1"/>
    <n v="300"/>
    <n v="300"/>
    <n v="0"/>
    <m/>
    <m/>
    <m/>
    <m/>
    <n v="0"/>
    <n v="0"/>
    <n v="35624.587120151984"/>
  </r>
  <r>
    <d v="2025-12-11T00:00:00"/>
    <x v="4"/>
    <s v="ZAHTER"/>
    <m/>
    <x v="5"/>
    <s v="ST00000000531"/>
    <s v="SATIŞ"/>
    <s v="POS"/>
    <n v="0.1"/>
    <n v="400"/>
    <n v="40"/>
    <n v="0"/>
    <m/>
    <m/>
    <m/>
    <m/>
    <n v="0"/>
    <n v="0"/>
    <n v="35624.587120151984"/>
  </r>
  <r>
    <d v="2025-12-11T00:00:00"/>
    <x v="4"/>
    <s v="TÜDAB KIŞ ÇAYI 200 GR"/>
    <m/>
    <x v="5"/>
    <s v="ST00000000531"/>
    <s v="SATIŞ"/>
    <s v="POS"/>
    <n v="1"/>
    <n v="110"/>
    <n v="110"/>
    <n v="0"/>
    <m/>
    <m/>
    <m/>
    <m/>
    <n v="0"/>
    <n v="0"/>
    <n v="35624.587120151984"/>
  </r>
  <r>
    <d v="2025-12-11T00:00:00"/>
    <x v="4"/>
    <s v="TÜDAB KEÇİ BOYNUZU (DÖKME)"/>
    <m/>
    <x v="1"/>
    <s v="ST00000000532"/>
    <s v="SATIŞ"/>
    <s v="NAKİT"/>
    <n v="0.2"/>
    <n v="350"/>
    <n v="0"/>
    <n v="0"/>
    <m/>
    <m/>
    <m/>
    <m/>
    <n v="70"/>
    <n v="0"/>
    <n v="35694.587120151984"/>
  </r>
  <r>
    <d v="2025-12-11T00:00:00"/>
    <x v="4"/>
    <s v="KABUKLU CEVİZ (YERLİ)"/>
    <m/>
    <x v="1"/>
    <s v="ST00000000533"/>
    <s v="SATIŞ"/>
    <s v="NAKİT"/>
    <n v="1"/>
    <n v="250"/>
    <n v="0"/>
    <n v="0"/>
    <m/>
    <m/>
    <m/>
    <m/>
    <n v="250"/>
    <n v="0"/>
    <n v="35944.587120151984"/>
  </r>
  <r>
    <d v="2025-12-11T00:00:00"/>
    <x v="4"/>
    <s v="KABUKLU CEVİZ (ŞİLİ)"/>
    <m/>
    <x v="1"/>
    <s v="ST00000000533"/>
    <s v="SATIŞ"/>
    <s v="NAKİT"/>
    <n v="1"/>
    <n v="250"/>
    <n v="0"/>
    <n v="0"/>
    <m/>
    <m/>
    <m/>
    <m/>
    <n v="250"/>
    <n v="0"/>
    <n v="36194.587120151984"/>
  </r>
  <r>
    <d v="2025-12-11T00:00:00"/>
    <x v="4"/>
    <s v="YENİ MAHSÜL PAPATYA"/>
    <m/>
    <x v="1"/>
    <s v="ST00000000533"/>
    <s v="SATIŞ"/>
    <s v="NAKİT"/>
    <n v="0.04"/>
    <n v="1250"/>
    <n v="0"/>
    <n v="0"/>
    <m/>
    <m/>
    <m/>
    <m/>
    <n v="50"/>
    <n v="0"/>
    <n v="36244.587120151984"/>
  </r>
  <r>
    <d v="2025-12-11T00:00:00"/>
    <x v="4"/>
    <s v="KABUKLU CEVİZ (YERLİ)"/>
    <m/>
    <x v="1"/>
    <s v="ST00000000534"/>
    <s v="SATIŞ"/>
    <s v="NAKİT"/>
    <n v="2.0699999999999998"/>
    <n v="290"/>
    <n v="0"/>
    <n v="0"/>
    <m/>
    <m/>
    <m/>
    <m/>
    <n v="600.29999999999995"/>
    <n v="0"/>
    <n v="36844.887120151987"/>
  </r>
  <r>
    <d v="2025-12-11T00:00:00"/>
    <x v="4"/>
    <s v="NBN DAĞ İNCİRİ"/>
    <m/>
    <x v="1"/>
    <s v="ST00000000534"/>
    <s v="SATIŞ"/>
    <s v="NAKİT"/>
    <n v="0.5"/>
    <n v="800"/>
    <n v="0"/>
    <n v="0"/>
    <m/>
    <m/>
    <m/>
    <m/>
    <n v="400"/>
    <n v="0"/>
    <n v="37244.887120151987"/>
  </r>
  <r>
    <d v="2025-12-11T00:00:00"/>
    <x v="10"/>
    <m/>
    <m/>
    <x v="5"/>
    <m/>
    <s v="POS ÇÖZÜMÜ"/>
    <s v="POS"/>
    <n v="1"/>
    <n v="1287"/>
    <n v="0"/>
    <n v="1287"/>
    <n v="240"/>
    <n v="0"/>
    <n v="27948.412999999957"/>
    <m/>
    <n v="1287"/>
    <n v="0"/>
    <n v="38531.887120151987"/>
  </r>
  <r>
    <d v="2025-12-12T00:00:00"/>
    <x v="4"/>
    <s v="YALÇINKAYA DOMATES SALÇASI"/>
    <m/>
    <x v="1"/>
    <s v="ST00000000535"/>
    <s v="SATIŞ"/>
    <s v="NAKİT"/>
    <n v="0.5"/>
    <n v="130"/>
    <n v="0"/>
    <n v="0"/>
    <m/>
    <m/>
    <m/>
    <m/>
    <n v="65"/>
    <n v="0"/>
    <n v="38596.887120151987"/>
  </r>
  <r>
    <d v="2025-12-12T00:00:00"/>
    <x v="4"/>
    <s v="KARABİBER ÇEKİLMİŞ"/>
    <m/>
    <x v="1"/>
    <s v="ST00000000535"/>
    <s v="SATIŞ"/>
    <s v="NAKİT"/>
    <n v="6.7968749999999994E-2"/>
    <n v="640"/>
    <n v="0"/>
    <n v="0"/>
    <m/>
    <m/>
    <m/>
    <m/>
    <n v="43.5"/>
    <n v="0"/>
    <n v="38640.387120151987"/>
  </r>
  <r>
    <d v="2025-12-12T00:00:00"/>
    <x v="4"/>
    <s v="KEKİK LÜX"/>
    <m/>
    <x v="1"/>
    <s v="ST00000000535"/>
    <s v="SATIŞ"/>
    <s v="NAKİT"/>
    <n v="2.6000000000000002E-2"/>
    <n v="760"/>
    <n v="0"/>
    <n v="0"/>
    <m/>
    <m/>
    <m/>
    <m/>
    <n v="19.760000000000002"/>
    <n v="0"/>
    <n v="38660.147120151989"/>
  </r>
  <r>
    <d v="2025-12-12T00:00:00"/>
    <x v="4"/>
    <s v="EVLİK BİBER"/>
    <m/>
    <x v="1"/>
    <s v="ST00000000535"/>
    <s v="SATIŞ"/>
    <s v="NAKİT"/>
    <n v="7.8947368421052627E-2"/>
    <n v="380"/>
    <n v="0"/>
    <n v="0"/>
    <m/>
    <m/>
    <m/>
    <m/>
    <n v="30"/>
    <n v="0"/>
    <n v="38690.147120151989"/>
  </r>
  <r>
    <d v="2025-12-12T00:00:00"/>
    <x v="4"/>
    <s v="TÜDAB KIŞ ÇAYI 200 GR"/>
    <m/>
    <x v="5"/>
    <s v="ST00000000536"/>
    <s v="SATIŞ"/>
    <s v="POS"/>
    <n v="1"/>
    <n v="140"/>
    <n v="140"/>
    <n v="0"/>
    <m/>
    <m/>
    <m/>
    <m/>
    <n v="0"/>
    <n v="0"/>
    <n v="38690.147120151989"/>
  </r>
  <r>
    <d v="2025-12-12T00:00:00"/>
    <x v="4"/>
    <s v="IHLAMUR YAPRAK"/>
    <m/>
    <x v="5"/>
    <s v="ST00000000536"/>
    <s v="SATIŞ"/>
    <s v="POS"/>
    <n v="0.05"/>
    <n v="2600"/>
    <n v="130"/>
    <n v="0"/>
    <m/>
    <m/>
    <m/>
    <m/>
    <n v="0"/>
    <n v="0"/>
    <n v="38690.147120151989"/>
  </r>
  <r>
    <d v="2025-12-12T00:00:00"/>
    <x v="4"/>
    <s v="MİGREN TAŞI (MENTHO BOX)"/>
    <m/>
    <x v="5"/>
    <s v="ST00000000536"/>
    <s v="SATIŞ"/>
    <s v="POS"/>
    <n v="1"/>
    <n v="125"/>
    <n v="125"/>
    <n v="0"/>
    <m/>
    <m/>
    <m/>
    <m/>
    <n v="0"/>
    <n v="0"/>
    <n v="38690.147120151989"/>
  </r>
  <r>
    <d v="2025-12-12T00:00:00"/>
    <x v="4"/>
    <s v="YENİBAHAR TOZ"/>
    <m/>
    <x v="5"/>
    <s v="ST00000000537"/>
    <s v="SATIŞ"/>
    <s v="POS"/>
    <n v="0.104"/>
    <n v="770"/>
    <n v="80.08"/>
    <n v="0"/>
    <m/>
    <m/>
    <m/>
    <m/>
    <n v="0"/>
    <n v="0"/>
    <n v="38690.147120151989"/>
  </r>
  <r>
    <d v="2025-12-12T00:00:00"/>
    <x v="4"/>
    <s v="DOLMALIK SARI BİBER"/>
    <m/>
    <x v="5"/>
    <s v="ST00000000537"/>
    <s v="SATIŞ"/>
    <s v="POS"/>
    <n v="1"/>
    <n v="200"/>
    <n v="200"/>
    <n v="0"/>
    <m/>
    <m/>
    <m/>
    <m/>
    <n v="0"/>
    <n v="0"/>
    <n v="38690.147120151989"/>
  </r>
  <r>
    <d v="2025-12-12T00:00:00"/>
    <x v="4"/>
    <s v="DOLMALIK KURU PATLICAN"/>
    <m/>
    <x v="5"/>
    <s v="ST00000000537"/>
    <s v="SATIŞ"/>
    <s v="POS"/>
    <n v="1"/>
    <n v="240"/>
    <n v="240"/>
    <n v="0"/>
    <m/>
    <m/>
    <m/>
    <m/>
    <n v="0"/>
    <n v="0"/>
    <n v="38690.147120151989"/>
  </r>
  <r>
    <d v="2025-12-12T00:00:00"/>
    <x v="4"/>
    <s v="NAHİTA DETOKS SİRKESİ 500 ML"/>
    <m/>
    <x v="5"/>
    <s v="ST00000000537"/>
    <s v="SATIŞ"/>
    <s v="POS"/>
    <n v="1"/>
    <n v="150"/>
    <n v="150"/>
    <n v="0"/>
    <m/>
    <m/>
    <m/>
    <m/>
    <n v="0"/>
    <n v="0"/>
    <n v="38690.147120151989"/>
  </r>
  <r>
    <d v="2025-12-12T00:00:00"/>
    <x v="4"/>
    <s v="YENİ MAHSÜL PAPATYA"/>
    <m/>
    <x v="5"/>
    <s v="ST00000000537"/>
    <s v="SATIŞ"/>
    <s v="POS"/>
    <n v="0.04"/>
    <n v="2050"/>
    <n v="82"/>
    <n v="0"/>
    <m/>
    <m/>
    <m/>
    <m/>
    <n v="0"/>
    <n v="0"/>
    <n v="38690.147120151989"/>
  </r>
  <r>
    <d v="2025-12-12T00:00:00"/>
    <x v="4"/>
    <s v="LİMON MELİSA"/>
    <m/>
    <x v="5"/>
    <s v="ST00000000537"/>
    <s v="SATIŞ"/>
    <s v="POS"/>
    <n v="3.5999999999999997E-2"/>
    <n v="2000"/>
    <n v="72"/>
    <n v="0"/>
    <m/>
    <m/>
    <m/>
    <m/>
    <n v="0"/>
    <n v="0"/>
    <n v="38690.147120151989"/>
  </r>
  <r>
    <d v="2025-12-12T00:00:00"/>
    <x v="4"/>
    <s v="SUMAK"/>
    <m/>
    <x v="5"/>
    <s v="ST00000000537"/>
    <s v="SATIŞ"/>
    <s v="POS"/>
    <n v="0.248"/>
    <n v="500"/>
    <n v="124"/>
    <n v="0"/>
    <m/>
    <m/>
    <m/>
    <m/>
    <n v="0"/>
    <n v="0"/>
    <n v="38690.147120151989"/>
  </r>
  <r>
    <d v="2025-12-12T00:00:00"/>
    <x v="4"/>
    <s v="HASEVLİK"/>
    <m/>
    <x v="5"/>
    <s v="ST00000000537"/>
    <s v="SATIŞ"/>
    <s v="POS"/>
    <n v="0.12"/>
    <n v="420"/>
    <n v="50.4"/>
    <n v="0"/>
    <m/>
    <m/>
    <m/>
    <m/>
    <n v="0"/>
    <n v="0"/>
    <n v="38690.147120151989"/>
  </r>
  <r>
    <d v="2025-12-12T00:00:00"/>
    <x v="4"/>
    <s v="NANE İRİ"/>
    <m/>
    <x v="5"/>
    <s v="ST00000000537"/>
    <s v="SATIŞ"/>
    <s v="POS"/>
    <n v="0.126"/>
    <n v="400"/>
    <n v="50.4"/>
    <n v="0"/>
    <m/>
    <m/>
    <m/>
    <m/>
    <n v="0"/>
    <n v="0"/>
    <n v="38690.147120151989"/>
  </r>
  <r>
    <d v="2025-12-12T00:00:00"/>
    <x v="4"/>
    <s v="TOZ BİBER - TATLI"/>
    <m/>
    <x v="5"/>
    <s v="ST00000000537"/>
    <s v="SATIŞ"/>
    <s v="POS"/>
    <n v="0.20200000000000001"/>
    <n v="370"/>
    <n v="74.740000000000009"/>
    <n v="0"/>
    <m/>
    <m/>
    <m/>
    <m/>
    <n v="0"/>
    <n v="0"/>
    <n v="38690.147120151989"/>
  </r>
  <r>
    <d v="2025-12-12T00:00:00"/>
    <x v="4"/>
    <s v="KARABİBER ÇEKİLMİŞ"/>
    <m/>
    <x v="5"/>
    <s v="ST00000000537"/>
    <s v="SATIŞ"/>
    <s v="POS"/>
    <n v="0.21199999999999999"/>
    <n v="640"/>
    <n v="135.68"/>
    <n v="0"/>
    <m/>
    <m/>
    <m/>
    <m/>
    <n v="0"/>
    <n v="0"/>
    <n v="38690.147120151989"/>
  </r>
  <r>
    <d v="2025-12-12T00:00:00"/>
    <x v="4"/>
    <s v="İSOT"/>
    <m/>
    <x v="5"/>
    <s v="ST00000000537"/>
    <s v="SATIŞ"/>
    <s v="POS"/>
    <n v="0.152"/>
    <n v="380"/>
    <n v="57.76"/>
    <n v="0"/>
    <m/>
    <m/>
    <m/>
    <m/>
    <n v="0"/>
    <n v="0"/>
    <n v="38690.147120151989"/>
  </r>
  <r>
    <d v="2025-12-12T00:00:00"/>
    <x v="4"/>
    <s v="KARABİBER TANE"/>
    <m/>
    <x v="5"/>
    <s v="ST00000000537"/>
    <s v="SATIŞ"/>
    <s v="POS"/>
    <n v="0.1"/>
    <n v="700"/>
    <n v="70"/>
    <n v="0"/>
    <m/>
    <m/>
    <m/>
    <m/>
    <n v="0"/>
    <n v="0"/>
    <n v="38690.147120151989"/>
  </r>
  <r>
    <d v="2025-12-12T00:00:00"/>
    <x v="4"/>
    <s v="KİMYON ÇEKİLMİŞ"/>
    <m/>
    <x v="5"/>
    <s v="ST00000000537"/>
    <s v="SATIŞ"/>
    <s v="POS"/>
    <n v="0.06"/>
    <n v="390"/>
    <n v="23.4"/>
    <n v="0"/>
    <m/>
    <m/>
    <m/>
    <m/>
    <n v="0"/>
    <n v="0"/>
    <n v="38690.147120151989"/>
  </r>
  <r>
    <d v="2025-12-12T00:00:00"/>
    <x v="4"/>
    <s v="KİMYON ÇEKİLMİŞ"/>
    <m/>
    <x v="5"/>
    <s v="ST00000000538"/>
    <s v="SATIŞ"/>
    <s v="POS"/>
    <n v="0.13200000000000001"/>
    <n v="390"/>
    <n v="51.480000000000004"/>
    <n v="0"/>
    <m/>
    <m/>
    <m/>
    <m/>
    <n v="0"/>
    <n v="0"/>
    <n v="38690.147120151989"/>
  </r>
  <r>
    <d v="2025-12-12T00:00:00"/>
    <x v="4"/>
    <s v="YENİBAHAR TOZ"/>
    <m/>
    <x v="5"/>
    <s v="ST00000000538"/>
    <s v="SATIŞ"/>
    <s v="POS"/>
    <n v="0.14199999999999999"/>
    <n v="711"/>
    <n v="100.96199999999999"/>
    <n v="0"/>
    <m/>
    <m/>
    <m/>
    <m/>
    <n v="0"/>
    <n v="0"/>
    <n v="38690.147120151989"/>
  </r>
  <r>
    <d v="2025-12-12T00:00:00"/>
    <x v="4"/>
    <s v="SUMAK TANE EKŞİLİ"/>
    <m/>
    <x v="5"/>
    <s v="ST00000000538"/>
    <s v="SATIŞ"/>
    <s v="POS"/>
    <n v="5.1999999999999998E-2"/>
    <n v="540"/>
    <n v="28.08"/>
    <n v="0"/>
    <m/>
    <m/>
    <m/>
    <m/>
    <n v="0"/>
    <n v="0"/>
    <n v="38690.147120151989"/>
  </r>
  <r>
    <d v="2025-12-12T00:00:00"/>
    <x v="4"/>
    <s v="DOLMALIK KURU PATLICAN"/>
    <m/>
    <x v="5"/>
    <s v="ST00000000538"/>
    <s v="SATIŞ"/>
    <s v="POS"/>
    <n v="1"/>
    <n v="240"/>
    <n v="240"/>
    <n v="0"/>
    <m/>
    <m/>
    <m/>
    <m/>
    <n v="0"/>
    <n v="0"/>
    <n v="38690.147120151989"/>
  </r>
  <r>
    <d v="2025-12-12T00:00:00"/>
    <x v="4"/>
    <s v="DOLMALIK SARI BİBER"/>
    <m/>
    <x v="5"/>
    <s v="ST00000000538"/>
    <s v="SATIŞ"/>
    <s v="POS"/>
    <n v="1"/>
    <n v="200"/>
    <n v="200"/>
    <n v="0"/>
    <m/>
    <m/>
    <m/>
    <m/>
    <n v="0"/>
    <n v="0"/>
    <n v="38690.147120151989"/>
  </r>
  <r>
    <d v="2025-12-12T00:00:00"/>
    <x v="4"/>
    <s v="KİMYON ÇEKİLMİŞ"/>
    <m/>
    <x v="1"/>
    <s v="ST00000000539"/>
    <s v="SATIŞ"/>
    <s v="NAKİT"/>
    <n v="0.11"/>
    <n v="390"/>
    <n v="0"/>
    <n v="0"/>
    <m/>
    <m/>
    <m/>
    <m/>
    <n v="42.9"/>
    <n v="0"/>
    <n v="38733.04712015199"/>
  </r>
  <r>
    <d v="2025-12-12T00:00:00"/>
    <x v="4"/>
    <s v="YENİBAHAR TOZ"/>
    <m/>
    <x v="1"/>
    <s v="ST00000000539"/>
    <s v="SATIŞ"/>
    <s v="NAKİT"/>
    <n v="0.13800000000000001"/>
    <n v="770"/>
    <n v="0"/>
    <n v="0"/>
    <m/>
    <m/>
    <m/>
    <m/>
    <n v="106.26"/>
    <n v="0"/>
    <n v="38839.307120151992"/>
  </r>
  <r>
    <d v="2025-12-12T00:00:00"/>
    <x v="4"/>
    <s v="CEVİZLİ SUCUK ATOM (SARI)"/>
    <m/>
    <x v="1"/>
    <s v="ST00000000539"/>
    <s v="SATIŞ"/>
    <s v="NAKİT"/>
    <n v="0.55200000000000005"/>
    <n v="290"/>
    <n v="0"/>
    <n v="0"/>
    <m/>
    <m/>
    <m/>
    <m/>
    <n v="160.08000000000001"/>
    <n v="0"/>
    <n v="38999.387120151994"/>
  </r>
  <r>
    <d v="2025-12-12T00:00:00"/>
    <x v="4"/>
    <s v="HİNT YAĞI 50 CC"/>
    <m/>
    <x v="5"/>
    <s v="ST00000000540"/>
    <s v="SATIŞ"/>
    <s v="POS"/>
    <n v="1"/>
    <n v="130"/>
    <n v="130"/>
    <n v="0"/>
    <m/>
    <m/>
    <m/>
    <m/>
    <n v="0"/>
    <n v="0"/>
    <n v="38999.387120151994"/>
  </r>
  <r>
    <d v="2025-12-12T00:00:00"/>
    <x v="4"/>
    <s v="ÇÖREKOTU YAĞI 50 CC"/>
    <m/>
    <x v="5"/>
    <s v="ST00000000540"/>
    <s v="SATIŞ"/>
    <s v="POS"/>
    <n v="1"/>
    <n v="170"/>
    <n v="170"/>
    <n v="0"/>
    <m/>
    <m/>
    <m/>
    <m/>
    <n v="0"/>
    <n v="0"/>
    <n v="38999.387120151994"/>
  </r>
  <r>
    <d v="2025-12-12T00:00:00"/>
    <x v="4"/>
    <s v="KUŞBURNU - KIRMIZI"/>
    <m/>
    <x v="5"/>
    <s v="ST00000000541"/>
    <s v="SATIŞ"/>
    <s v="POS"/>
    <n v="0.25"/>
    <n v="360"/>
    <n v="90"/>
    <n v="0"/>
    <m/>
    <m/>
    <m/>
    <m/>
    <n v="0"/>
    <n v="0"/>
    <n v="38999.387120151994"/>
  </r>
  <r>
    <d v="2025-12-12T00:00:00"/>
    <x v="4"/>
    <s v="KARANFİL"/>
    <m/>
    <x v="5"/>
    <s v="ST00000000541"/>
    <s v="SATIŞ"/>
    <s v="POS"/>
    <n v="0.05"/>
    <n v="1200"/>
    <n v="60"/>
    <n v="0"/>
    <m/>
    <m/>
    <m/>
    <m/>
    <n v="0"/>
    <n v="0"/>
    <n v="38999.387120151994"/>
  </r>
  <r>
    <d v="2025-12-12T00:00:00"/>
    <x v="4"/>
    <s v="DOLMALIK SARI BİBER"/>
    <m/>
    <x v="1"/>
    <s v="ST00000000542"/>
    <s v="SATIŞ"/>
    <s v="NAKİT"/>
    <n v="1"/>
    <n v="200"/>
    <n v="0"/>
    <n v="0"/>
    <m/>
    <m/>
    <m/>
    <m/>
    <n v="200"/>
    <n v="0"/>
    <n v="39199.387120151994"/>
  </r>
  <r>
    <d v="2025-12-12T00:00:00"/>
    <x v="4"/>
    <s v="DOLMALIK KURU PATLICAN"/>
    <m/>
    <x v="1"/>
    <s v="ST00000000542"/>
    <s v="SATIŞ"/>
    <s v="NAKİT"/>
    <n v="1"/>
    <n v="240"/>
    <n v="0"/>
    <n v="0"/>
    <m/>
    <m/>
    <m/>
    <m/>
    <n v="240"/>
    <n v="0"/>
    <n v="39439.387120151994"/>
  </r>
  <r>
    <d v="2025-12-12T00:00:00"/>
    <x v="4"/>
    <s v="DOLMALIK KURU PATLICAN"/>
    <m/>
    <x v="5"/>
    <s v="ST00000000543"/>
    <s v="SATIŞ"/>
    <s v="POS"/>
    <n v="1"/>
    <n v="240"/>
    <n v="240"/>
    <n v="0"/>
    <m/>
    <m/>
    <m/>
    <m/>
    <n v="0"/>
    <n v="0"/>
    <n v="39439.387120151994"/>
  </r>
  <r>
    <d v="2025-12-12T00:00:00"/>
    <x v="4"/>
    <s v="DOLMALIK KURU KABAK"/>
    <m/>
    <x v="5"/>
    <s v="ST00000000543"/>
    <s v="SATIŞ"/>
    <s v="POS"/>
    <n v="1"/>
    <n v="260"/>
    <n v="260"/>
    <n v="0"/>
    <m/>
    <m/>
    <m/>
    <m/>
    <n v="0"/>
    <n v="0"/>
    <n v="39439.387120151994"/>
  </r>
  <r>
    <d v="2025-12-12T00:00:00"/>
    <x v="4"/>
    <s v="DOLMALIK KURU TATLI KIRMIZI BİBER"/>
    <m/>
    <x v="5"/>
    <s v="ST00000000544"/>
    <s v="SATIŞ"/>
    <s v="POS"/>
    <n v="1"/>
    <n v="200"/>
    <n v="200"/>
    <n v="0"/>
    <m/>
    <m/>
    <m/>
    <m/>
    <n v="0"/>
    <n v="0"/>
    <n v="39439.387120151994"/>
  </r>
  <r>
    <d v="2025-12-12T00:00:00"/>
    <x v="4"/>
    <s v="DOLMALIK KURU PATLICAN"/>
    <m/>
    <x v="5"/>
    <s v="ST00000000544"/>
    <s v="SATIŞ"/>
    <s v="POS"/>
    <n v="1"/>
    <n v="240"/>
    <n v="240"/>
    <n v="0"/>
    <m/>
    <m/>
    <m/>
    <m/>
    <n v="0"/>
    <n v="0"/>
    <n v="39439.387120151994"/>
  </r>
  <r>
    <d v="2025-12-12T00:00:00"/>
    <x v="4"/>
    <s v="KİRAZ SAPI"/>
    <m/>
    <x v="5"/>
    <s v="ST00000000544"/>
    <s v="SATIŞ"/>
    <s v="POS"/>
    <n v="0.06"/>
    <n v="750"/>
    <n v="45"/>
    <n v="0"/>
    <m/>
    <m/>
    <m/>
    <m/>
    <n v="0"/>
    <n v="0"/>
    <n v="39439.387120151994"/>
  </r>
  <r>
    <d v="2025-12-12T00:00:00"/>
    <x v="4"/>
    <s v="ÇUBUK TARÇIN"/>
    <m/>
    <x v="5"/>
    <s v="ST00000000544"/>
    <s v="SATIŞ"/>
    <s v="POS"/>
    <n v="0.1"/>
    <n v="650"/>
    <n v="65"/>
    <n v="0"/>
    <m/>
    <m/>
    <m/>
    <m/>
    <n v="0"/>
    <n v="0"/>
    <n v="39439.387120151994"/>
  </r>
  <r>
    <d v="2025-12-12T00:00:00"/>
    <x v="4"/>
    <s v="DOLMALIK KURU PATLICAN"/>
    <m/>
    <x v="5"/>
    <s v="ST00000000545"/>
    <s v="SATIŞ"/>
    <s v="POS"/>
    <n v="1"/>
    <n v="240"/>
    <n v="240"/>
    <n v="0"/>
    <m/>
    <m/>
    <m/>
    <m/>
    <n v="0"/>
    <n v="0"/>
    <n v="39439.387120151994"/>
  </r>
  <r>
    <d v="2025-12-12T00:00:00"/>
    <x v="4"/>
    <s v="DOLMALIK SARI BİBER"/>
    <m/>
    <x v="5"/>
    <s v="ST00000000545"/>
    <s v="SATIŞ"/>
    <s v="POS"/>
    <n v="1"/>
    <n v="200"/>
    <n v="200"/>
    <n v="0"/>
    <m/>
    <m/>
    <m/>
    <m/>
    <n v="0"/>
    <n v="0"/>
    <n v="39439.387120151994"/>
  </r>
  <r>
    <d v="2025-12-12T00:00:00"/>
    <x v="4"/>
    <s v="KARANFİL"/>
    <m/>
    <x v="1"/>
    <s v="ST00000000546"/>
    <s v="SATIŞ"/>
    <s v="NAKİT"/>
    <n v="0.05"/>
    <n v="1200"/>
    <n v="0"/>
    <n v="0"/>
    <m/>
    <m/>
    <m/>
    <m/>
    <n v="60"/>
    <n v="0"/>
    <n v="39499.387120151994"/>
  </r>
  <r>
    <d v="2025-12-12T00:00:00"/>
    <x v="4"/>
    <s v="DOLMALIK KURU PATLICAN"/>
    <m/>
    <x v="5"/>
    <s v="ST00000000549"/>
    <s v="SATIŞ"/>
    <s v="POS"/>
    <n v="1"/>
    <n v="240"/>
    <n v="240"/>
    <n v="0"/>
    <m/>
    <m/>
    <m/>
    <m/>
    <n v="0"/>
    <n v="0"/>
    <n v="39499.387120151994"/>
  </r>
  <r>
    <d v="2025-12-12T00:00:00"/>
    <x v="4"/>
    <s v="ŞİFAVER GÜL HATAY SABUNU"/>
    <m/>
    <x v="1"/>
    <s v="ST00000000550"/>
    <s v="SATIŞ"/>
    <s v="NAKİT"/>
    <n v="1"/>
    <n v="40"/>
    <n v="0"/>
    <n v="0"/>
    <m/>
    <m/>
    <m/>
    <m/>
    <n v="40"/>
    <n v="0"/>
    <n v="39539.387120151994"/>
  </r>
  <r>
    <d v="2025-12-12T00:00:00"/>
    <x v="4"/>
    <s v="TÜDAB KIŞ ÇAYI 200 GR"/>
    <m/>
    <x v="1"/>
    <s v="ST00000000550"/>
    <s v="SATIŞ"/>
    <s v="NAKİT"/>
    <n v="1"/>
    <n v="130"/>
    <n v="0"/>
    <n v="0"/>
    <m/>
    <m/>
    <m/>
    <m/>
    <n v="130"/>
    <n v="0"/>
    <n v="39669.387120151994"/>
  </r>
  <r>
    <d v="2025-12-12T00:00:00"/>
    <x v="4"/>
    <s v="SALÇA ACI (EV YAPIMI)"/>
    <m/>
    <x v="1"/>
    <s v="ST00000000551"/>
    <s v="SATIŞ"/>
    <s v="NAKİT"/>
    <n v="1"/>
    <n v="180"/>
    <n v="0"/>
    <n v="0"/>
    <m/>
    <m/>
    <m/>
    <m/>
    <n v="180"/>
    <n v="0"/>
    <n v="39849.387120151994"/>
  </r>
  <r>
    <d v="2025-12-12T00:00:00"/>
    <x v="6"/>
    <s v="DAĞ İNCİRİ - BE"/>
    <m/>
    <x v="2"/>
    <m/>
    <s v="GEMA GIDA - İADE"/>
    <s v="K.K."/>
    <n v="2.5"/>
    <n v="400"/>
    <n v="1000"/>
    <n v="0"/>
    <n v="0"/>
    <n v="0"/>
    <m/>
    <m/>
    <n v="0"/>
    <n v="0"/>
    <n v="39849.387120151994"/>
  </r>
  <r>
    <d v="2025-12-12T00:00:00"/>
    <x v="6"/>
    <s v="DAĞ İNCİRİ KÜÇÜK - BE"/>
    <m/>
    <x v="2"/>
    <m/>
    <s v="GEMA GIDA - İADE"/>
    <s v="K.K."/>
    <n v="1"/>
    <n v="340"/>
    <n v="340"/>
    <n v="0"/>
    <m/>
    <m/>
    <m/>
    <m/>
    <n v="0"/>
    <n v="0"/>
    <n v="39849.387120151994"/>
  </r>
  <r>
    <d v="2025-12-12T00:00:00"/>
    <x v="10"/>
    <m/>
    <m/>
    <x v="5"/>
    <m/>
    <s v="POS ÇÖZÜMÜ"/>
    <s v="POS"/>
    <n v="1"/>
    <n v="465"/>
    <n v="0"/>
    <n v="465"/>
    <n v="240"/>
    <n v="0"/>
    <n v="27949.413"/>
    <m/>
    <n v="465"/>
    <n v="0"/>
    <n v="40314.387120151994"/>
  </r>
  <r>
    <d v="2025-12-13T00:00:00"/>
    <x v="4"/>
    <s v="DOLMALIK SARI BİBER"/>
    <m/>
    <x v="1"/>
    <s v="ST00000000558"/>
    <s v="SATIŞ"/>
    <s v="NAKİT"/>
    <n v="1"/>
    <n v="200"/>
    <n v="0"/>
    <n v="0"/>
    <m/>
    <m/>
    <m/>
    <m/>
    <n v="200"/>
    <n v="0"/>
    <n v="40514.387120151994"/>
  </r>
  <r>
    <d v="2025-12-13T00:00:00"/>
    <x v="4"/>
    <s v="DOLMALIK KURU PATLICAN"/>
    <m/>
    <x v="1"/>
    <s v="ST00000000558"/>
    <s v="SATIŞ"/>
    <s v="NAKİT"/>
    <n v="1"/>
    <n v="240"/>
    <n v="0"/>
    <n v="0"/>
    <m/>
    <m/>
    <m/>
    <m/>
    <n v="240"/>
    <n v="0"/>
    <n v="40754.387120151994"/>
  </r>
  <r>
    <d v="2025-12-13T00:00:00"/>
    <x v="4"/>
    <s v="SALÇA TATLI (EV YAPIMI)"/>
    <m/>
    <x v="1"/>
    <s v="ST00000000558"/>
    <s v="SATIŞ"/>
    <s v="NAKİT"/>
    <n v="0.33333333333333331"/>
    <n v="180"/>
    <n v="0"/>
    <n v="0"/>
    <m/>
    <m/>
    <m/>
    <m/>
    <n v="60"/>
    <n v="0"/>
    <n v="40814.387120151994"/>
  </r>
  <r>
    <d v="2025-12-13T00:00:00"/>
    <x v="4"/>
    <s v="KEKİK YAĞI 10 CC"/>
    <m/>
    <x v="5"/>
    <s v="ST00000000559"/>
    <s v="SATIŞ"/>
    <s v="POS"/>
    <n v="3"/>
    <n v="180"/>
    <n v="540"/>
    <n v="0"/>
    <m/>
    <m/>
    <m/>
    <m/>
    <n v="0"/>
    <n v="0"/>
    <n v="40814.387120151994"/>
  </r>
  <r>
    <d v="2025-12-13T00:00:00"/>
    <x v="4"/>
    <s v="TOZ TARÇIN"/>
    <m/>
    <x v="1"/>
    <s v="ST00000000560"/>
    <s v="SATIŞ"/>
    <s v="NAKİT"/>
    <n v="0.1"/>
    <n v="300"/>
    <n v="0"/>
    <n v="0"/>
    <m/>
    <m/>
    <m/>
    <m/>
    <n v="30"/>
    <n v="0"/>
    <n v="40844.387120151994"/>
  </r>
  <r>
    <d v="2025-12-13T00:00:00"/>
    <x v="4"/>
    <s v="DOLMALIK KURU PATLICAN"/>
    <m/>
    <x v="1"/>
    <s v="ST00000000561"/>
    <s v="SATIŞ"/>
    <s v="NAKİT"/>
    <n v="1"/>
    <n v="240"/>
    <n v="0"/>
    <n v="0"/>
    <m/>
    <m/>
    <m/>
    <m/>
    <n v="240"/>
    <n v="0"/>
    <n v="41084.387120151994"/>
  </r>
  <r>
    <d v="2025-12-13T00:00:00"/>
    <x v="4"/>
    <s v="DOLMALIK SARI BİBER"/>
    <m/>
    <x v="1"/>
    <s v="ST00000000561"/>
    <s v="SATIŞ"/>
    <s v="NAKİT"/>
    <n v="1"/>
    <n v="200"/>
    <n v="0"/>
    <n v="0"/>
    <m/>
    <m/>
    <m/>
    <m/>
    <n v="200"/>
    <n v="0"/>
    <n v="41284.387120151994"/>
  </r>
  <r>
    <d v="2025-12-13T00:00:00"/>
    <x v="4"/>
    <s v="İPEK BİBER"/>
    <m/>
    <x v="5"/>
    <s v="ST00000000562"/>
    <s v="SATIŞ"/>
    <s v="POS"/>
    <n v="0.13800000000000001"/>
    <n v="500"/>
    <n v="69"/>
    <n v="0"/>
    <m/>
    <m/>
    <m/>
    <m/>
    <n v="0"/>
    <n v="0"/>
    <n v="41284.387120151994"/>
  </r>
  <r>
    <d v="2025-12-13T00:00:00"/>
    <x v="4"/>
    <s v="DOMATES SALÇASI"/>
    <m/>
    <x v="5"/>
    <s v="ST00000000563"/>
    <s v="SATIŞ"/>
    <s v="POS"/>
    <n v="1"/>
    <n v="130"/>
    <n v="130"/>
    <n v="0"/>
    <m/>
    <m/>
    <m/>
    <m/>
    <n v="0"/>
    <n v="0"/>
    <n v="41284.387120151994"/>
  </r>
  <r>
    <d v="2025-12-13T00:00:00"/>
    <x v="4"/>
    <s v="SALÇA TATLI (EV YAPIMI)"/>
    <m/>
    <x v="5"/>
    <s v="ST00000000563"/>
    <s v="SATIŞ"/>
    <s v="POS"/>
    <n v="1"/>
    <n v="180"/>
    <n v="180"/>
    <n v="0"/>
    <m/>
    <m/>
    <m/>
    <m/>
    <n v="0"/>
    <n v="0"/>
    <n v="41284.387120151994"/>
  </r>
  <r>
    <d v="2025-12-13T00:00:00"/>
    <x v="4"/>
    <s v="YENİ MAHSÜL PAPATYA"/>
    <m/>
    <x v="1"/>
    <s v="ST00000000564"/>
    <s v="SATIŞ"/>
    <s v="NAKİT"/>
    <n v="0.04"/>
    <n v="2250"/>
    <n v="0"/>
    <n v="0"/>
    <m/>
    <m/>
    <m/>
    <m/>
    <n v="90"/>
    <n v="0"/>
    <n v="41374.387120151994"/>
  </r>
  <r>
    <d v="2025-12-13T00:00:00"/>
    <x v="10"/>
    <m/>
    <m/>
    <x v="5"/>
    <m/>
    <s v="POS ÇÖZÜMÜ"/>
    <s v="POS"/>
    <n v="1"/>
    <n v="255"/>
    <n v="0"/>
    <n v="255"/>
    <m/>
    <m/>
    <m/>
    <m/>
    <n v="255"/>
    <n v="0"/>
    <n v="41629.387120151994"/>
  </r>
  <r>
    <d v="2025-12-14T00:00:00"/>
    <x v="4"/>
    <s v="TÜDAB KARIŞIK TURŞU"/>
    <m/>
    <x v="1"/>
    <s v="ST00000000552"/>
    <s v="SATIŞ"/>
    <s v="NAKİT"/>
    <n v="1"/>
    <n v="400"/>
    <n v="0"/>
    <n v="0"/>
    <m/>
    <m/>
    <m/>
    <m/>
    <n v="400"/>
    <n v="0"/>
    <n v="42029.387120151994"/>
  </r>
  <r>
    <d v="2025-12-14T00:00:00"/>
    <x v="4"/>
    <s v="ŞİFAVER ZEYTİNYAĞLI HATAY SABUNU"/>
    <m/>
    <x v="1"/>
    <s v="ST00000000552"/>
    <s v="SATIŞ"/>
    <s v="NAKİT"/>
    <n v="1"/>
    <n v="40"/>
    <n v="0"/>
    <n v="0"/>
    <m/>
    <m/>
    <m/>
    <m/>
    <n v="40"/>
    <n v="0"/>
    <n v="42069.387120151994"/>
  </r>
  <r>
    <d v="2025-12-14T00:00:00"/>
    <x v="4"/>
    <s v="SEYİDOĞLU TAHİN 550 g"/>
    <m/>
    <x v="1"/>
    <s v="ST00000000553"/>
    <s v="SATIŞ"/>
    <s v="NAKİT"/>
    <n v="1"/>
    <n v="160"/>
    <n v="0"/>
    <n v="0"/>
    <m/>
    <m/>
    <m/>
    <m/>
    <n v="160"/>
    <n v="0"/>
    <n v="42229.387120151994"/>
  </r>
  <r>
    <d v="2025-12-14T00:00:00"/>
    <x v="4"/>
    <s v="SEYİDOĞLU PEKMEZ 700 g"/>
    <m/>
    <x v="1"/>
    <s v="ST00000000553"/>
    <s v="SATIŞ"/>
    <s v="NAKİT"/>
    <n v="1"/>
    <n v="170"/>
    <n v="0"/>
    <n v="0"/>
    <m/>
    <m/>
    <m/>
    <m/>
    <n v="170"/>
    <n v="0"/>
    <n v="42399.387120151994"/>
  </r>
  <r>
    <d v="2025-12-14T00:00:00"/>
    <x v="4"/>
    <s v="TALA KARINCA YUMURTASI YAĞI 20 ML"/>
    <m/>
    <x v="1"/>
    <s v="ST00000000553"/>
    <s v="SATIŞ"/>
    <s v="NAKİT"/>
    <n v="1"/>
    <n v="130"/>
    <n v="0"/>
    <n v="0"/>
    <m/>
    <m/>
    <m/>
    <m/>
    <n v="130"/>
    <n v="0"/>
    <n v="42529.387120151994"/>
  </r>
  <r>
    <d v="2025-12-14T00:00:00"/>
    <x v="4"/>
    <s v="KONTES HAMAM OTU - TÜY DÖKÜCÜ"/>
    <m/>
    <x v="1"/>
    <s v="ST00000000553"/>
    <s v="SATIŞ"/>
    <s v="NAKİT"/>
    <n v="3"/>
    <n v="15"/>
    <n v="0"/>
    <n v="0"/>
    <m/>
    <m/>
    <m/>
    <m/>
    <n v="45"/>
    <n v="0"/>
    <n v="42574.387120151994"/>
  </r>
  <r>
    <d v="2025-12-14T00:00:00"/>
    <x v="4"/>
    <s v="HUNCA CARE AT KESTANESİ KREMİ 500 ML"/>
    <m/>
    <x v="1"/>
    <s v="ST00000000553"/>
    <s v="SATIŞ"/>
    <s v="NAKİT"/>
    <n v="1"/>
    <n v="190"/>
    <n v="0"/>
    <n v="0"/>
    <m/>
    <m/>
    <m/>
    <m/>
    <n v="190"/>
    <n v="0"/>
    <n v="42764.387120151994"/>
  </r>
  <r>
    <d v="2025-12-14T00:00:00"/>
    <x v="4"/>
    <s v="IHLAMUR YAPRAK"/>
    <m/>
    <x v="1"/>
    <s v="ST00000000553"/>
    <s v="SATIŞ"/>
    <s v="NAKİT"/>
    <n v="0.05"/>
    <n v="2600"/>
    <n v="0"/>
    <n v="0"/>
    <m/>
    <m/>
    <m/>
    <m/>
    <n v="130"/>
    <n v="0"/>
    <n v="42894.387120151994"/>
  </r>
  <r>
    <d v="2025-12-14T00:00:00"/>
    <x v="4"/>
    <s v="GÜNAYDIN KAYA TUZU İNCE"/>
    <m/>
    <x v="1"/>
    <s v="ST00000000553"/>
    <s v="SATIŞ"/>
    <s v="NAKİT"/>
    <n v="0.5"/>
    <n v="80"/>
    <n v="0"/>
    <n v="0"/>
    <m/>
    <m/>
    <m/>
    <m/>
    <n v="40"/>
    <n v="0"/>
    <n v="42934.387120151994"/>
  </r>
  <r>
    <d v="2025-12-14T00:00:00"/>
    <x v="4"/>
    <s v="SUMAK"/>
    <m/>
    <x v="1"/>
    <s v="ST00000000553"/>
    <s v="SATIŞ"/>
    <s v="NAKİT"/>
    <n v="0.17199999999999999"/>
    <n v="500"/>
    <n v="0"/>
    <n v="0"/>
    <m/>
    <m/>
    <m/>
    <m/>
    <n v="86"/>
    <n v="0"/>
    <n v="43020.387120151994"/>
  </r>
  <r>
    <d v="2025-12-14T00:00:00"/>
    <x v="4"/>
    <s v="TOZ BİBER - ACI"/>
    <m/>
    <x v="1"/>
    <s v="ST00000000553"/>
    <s v="SATIŞ"/>
    <s v="NAKİT"/>
    <n v="9.1999999999999998E-2"/>
    <n v="370"/>
    <n v="0"/>
    <n v="0"/>
    <m/>
    <m/>
    <m/>
    <m/>
    <n v="34.04"/>
    <n v="0"/>
    <n v="43054.427120151995"/>
  </r>
  <r>
    <d v="2025-12-14T00:00:00"/>
    <x v="4"/>
    <s v="TOZ BİBER - TATLI"/>
    <m/>
    <x v="1"/>
    <s v="ST00000000553"/>
    <s v="SATIŞ"/>
    <s v="NAKİT"/>
    <n v="0.23599999999999999"/>
    <n v="370"/>
    <n v="0"/>
    <n v="0"/>
    <m/>
    <m/>
    <m/>
    <m/>
    <n v="87.32"/>
    <n v="0"/>
    <n v="43141.747120151995"/>
  </r>
  <r>
    <d v="2025-12-14T00:00:00"/>
    <x v="4"/>
    <s v="NANE İRİ"/>
    <m/>
    <x v="1"/>
    <s v="ST00000000553"/>
    <s v="SATIŞ"/>
    <s v="NAKİT"/>
    <n v="7.8E-2"/>
    <n v="400"/>
    <n v="0"/>
    <n v="0"/>
    <m/>
    <m/>
    <m/>
    <m/>
    <n v="31.2"/>
    <n v="0"/>
    <n v="43172.947120151992"/>
  </r>
  <r>
    <d v="2025-12-14T00:00:00"/>
    <x v="4"/>
    <s v="KEKİK LÜX"/>
    <m/>
    <x v="1"/>
    <s v="ST00000000553"/>
    <s v="SATIŞ"/>
    <s v="NAKİT"/>
    <n v="0.04"/>
    <n v="760"/>
    <n v="0"/>
    <n v="0"/>
    <m/>
    <m/>
    <m/>
    <m/>
    <n v="30.400000000000002"/>
    <n v="0"/>
    <n v="43203.347120151993"/>
  </r>
  <r>
    <d v="2025-12-14T00:00:00"/>
    <x v="4"/>
    <s v="YENİBAHAR TOZ"/>
    <m/>
    <x v="1"/>
    <s v="ST00000000553"/>
    <s v="SATIŞ"/>
    <s v="NAKİT"/>
    <n v="0.108"/>
    <n v="770"/>
    <n v="0"/>
    <n v="0"/>
    <m/>
    <m/>
    <m/>
    <m/>
    <n v="83.16"/>
    <n v="0"/>
    <n v="43286.507120151997"/>
  </r>
  <r>
    <d v="2025-12-14T00:00:00"/>
    <x v="4"/>
    <s v="KİMYON ÇEKİLMİŞ"/>
    <m/>
    <x v="1"/>
    <s v="ST00000000553"/>
    <s v="SATIŞ"/>
    <s v="NAKİT"/>
    <n v="0.10199999999999999"/>
    <n v="390"/>
    <n v="0"/>
    <n v="0"/>
    <m/>
    <m/>
    <m/>
    <m/>
    <n v="39.779999999999994"/>
    <n v="0"/>
    <n v="43326.287120151996"/>
  </r>
  <r>
    <d v="2025-12-14T00:00:00"/>
    <x v="4"/>
    <s v="CEVİZLİ SUCUK ATOM (ESMER)"/>
    <m/>
    <x v="1"/>
    <s v="ST00000000553"/>
    <s v="SATIŞ"/>
    <s v="NAKİT"/>
    <n v="0.442"/>
    <n v="340"/>
    <n v="0"/>
    <n v="0"/>
    <m/>
    <m/>
    <m/>
    <m/>
    <n v="150.28"/>
    <n v="0"/>
    <n v="43476.567120151994"/>
  </r>
  <r>
    <d v="2025-12-14T00:00:00"/>
    <x v="4"/>
    <s v="DOMATES SALÇASI"/>
    <m/>
    <x v="1"/>
    <s v="ST00000000553"/>
    <s v="SATIŞ"/>
    <s v="NAKİT"/>
    <n v="1"/>
    <n v="130"/>
    <n v="0"/>
    <n v="0"/>
    <m/>
    <m/>
    <m/>
    <m/>
    <n v="130"/>
    <n v="0"/>
    <n v="43606.567120151994"/>
  </r>
  <r>
    <d v="2025-12-14T00:00:00"/>
    <x v="4"/>
    <s v="SALÇA ACI (EV YAPIMI)"/>
    <m/>
    <x v="1"/>
    <s v="ST00000000553"/>
    <s v="SATIŞ"/>
    <s v="NAKİT"/>
    <n v="1"/>
    <n v="180"/>
    <n v="0"/>
    <n v="0"/>
    <m/>
    <m/>
    <m/>
    <m/>
    <n v="180"/>
    <n v="0"/>
    <n v="43786.567120151994"/>
  </r>
  <r>
    <d v="2025-12-14T00:00:00"/>
    <x v="4"/>
    <s v="KANTARON YAĞI 50 CC"/>
    <m/>
    <x v="5"/>
    <s v="ST00000000554"/>
    <s v="SATIŞ"/>
    <s v="POS"/>
    <n v="1"/>
    <n v="125"/>
    <n v="125"/>
    <n v="0"/>
    <m/>
    <m/>
    <m/>
    <m/>
    <n v="0"/>
    <n v="0"/>
    <n v="43786.567120151994"/>
  </r>
  <r>
    <d v="2025-12-14T00:00:00"/>
    <x v="4"/>
    <s v="KARANFİL"/>
    <m/>
    <x v="5"/>
    <s v="ST00000000554"/>
    <s v="SATIŞ"/>
    <s v="POS"/>
    <n v="0.05"/>
    <n v="1200"/>
    <n v="60"/>
    <n v="0"/>
    <m/>
    <m/>
    <m/>
    <m/>
    <n v="0"/>
    <n v="0"/>
    <n v="43786.567120151994"/>
  </r>
  <r>
    <d v="2025-12-14T00:00:00"/>
    <x v="4"/>
    <s v="PİLAVLIK BULGUR"/>
    <m/>
    <x v="5"/>
    <s v="ST00000000554"/>
    <s v="SATIŞ"/>
    <s v="POS"/>
    <n v="1.2"/>
    <n v="65"/>
    <n v="78"/>
    <n v="0"/>
    <m/>
    <m/>
    <m/>
    <m/>
    <n v="0"/>
    <n v="0"/>
    <n v="43786.567120151994"/>
  </r>
  <r>
    <d v="2025-12-14T00:00:00"/>
    <x v="4"/>
    <s v="LAHANA TURŞUSU 5 KG"/>
    <m/>
    <x v="5"/>
    <s v="ST00000000555"/>
    <s v="SATIŞ"/>
    <s v="POS"/>
    <n v="1"/>
    <n v="350"/>
    <n v="350"/>
    <n v="0"/>
    <m/>
    <m/>
    <m/>
    <m/>
    <n v="0"/>
    <n v="0"/>
    <n v="43786.567120151994"/>
  </r>
  <r>
    <d v="2025-12-14T00:00:00"/>
    <x v="4"/>
    <s v="DOLMALIK SARI BİBER"/>
    <m/>
    <x v="5"/>
    <s v="ST00000000556"/>
    <s v="SATIŞ"/>
    <s v="POS"/>
    <n v="1"/>
    <n v="200"/>
    <n v="200"/>
    <n v="0"/>
    <m/>
    <m/>
    <m/>
    <m/>
    <n v="0"/>
    <n v="0"/>
    <n v="43786.567120151994"/>
  </r>
  <r>
    <d v="2025-12-14T00:00:00"/>
    <x v="4"/>
    <s v="DOLMALIK KURU PATLICAN"/>
    <m/>
    <x v="5"/>
    <s v="ST00000000556"/>
    <s v="SATIŞ"/>
    <s v="POS"/>
    <n v="1"/>
    <n v="240"/>
    <n v="240"/>
    <n v="0"/>
    <m/>
    <m/>
    <m/>
    <m/>
    <n v="0"/>
    <n v="0"/>
    <n v="43786.567120151994"/>
  </r>
  <r>
    <d v="2025-12-14T00:00:00"/>
    <x v="4"/>
    <s v="KARANFİL"/>
    <m/>
    <x v="5"/>
    <s v="ST00000000556"/>
    <s v="SATIŞ"/>
    <s v="POS"/>
    <n v="0.05"/>
    <n v="1200"/>
    <n v="60"/>
    <n v="0"/>
    <m/>
    <m/>
    <m/>
    <m/>
    <n v="0"/>
    <n v="0"/>
    <n v="43786.567120151994"/>
  </r>
  <r>
    <d v="2025-12-14T00:00:00"/>
    <x v="4"/>
    <s v="SALÇA ACI (EV YAPIMI)"/>
    <m/>
    <x v="5"/>
    <s v="ST00000000556"/>
    <s v="SATIŞ"/>
    <s v="POS"/>
    <n v="0.5"/>
    <n v="180"/>
    <n v="90"/>
    <n v="0"/>
    <m/>
    <m/>
    <m/>
    <m/>
    <n v="0"/>
    <n v="0"/>
    <n v="43786.567120151994"/>
  </r>
  <r>
    <d v="2025-12-14T00:00:00"/>
    <x v="4"/>
    <s v="GÜNAYDIN KAYA TUZU İNCE"/>
    <m/>
    <x v="1"/>
    <s v="ST00000000557"/>
    <s v="SATIŞ"/>
    <s v="NAKİT"/>
    <n v="1"/>
    <n v="80"/>
    <n v="0"/>
    <n v="0"/>
    <m/>
    <m/>
    <m/>
    <m/>
    <n v="80"/>
    <n v="0"/>
    <n v="43866.567120151994"/>
  </r>
  <r>
    <d v="2025-12-14T00:00:00"/>
    <x v="4"/>
    <s v="DOMATES SALÇASI"/>
    <m/>
    <x v="1"/>
    <s v="ST00000000557"/>
    <s v="SATIŞ"/>
    <s v="NAKİT"/>
    <n v="1"/>
    <n v="150"/>
    <n v="0"/>
    <n v="0"/>
    <m/>
    <m/>
    <m/>
    <m/>
    <n v="150"/>
    <n v="0"/>
    <n v="44016.567120151994"/>
  </r>
  <r>
    <d v="2025-12-14T00:00:00"/>
    <x v="4"/>
    <s v="SALÇA TATLI (EV YAPIMI)"/>
    <m/>
    <x v="1"/>
    <s v="ST00000000557"/>
    <s v="SATIŞ"/>
    <s v="NAKİT"/>
    <n v="1"/>
    <n v="200"/>
    <n v="0"/>
    <n v="0"/>
    <m/>
    <m/>
    <m/>
    <m/>
    <n v="200"/>
    <n v="0"/>
    <n v="44216.567120151994"/>
  </r>
  <r>
    <d v="2025-12-14T00:00:00"/>
    <x v="4"/>
    <s v="BİZİM YAPRAK 1 LİK"/>
    <m/>
    <x v="1"/>
    <s v="ST00000000557"/>
    <s v="SATIŞ"/>
    <s v="NAKİT"/>
    <n v="1"/>
    <n v="290"/>
    <n v="0"/>
    <n v="0"/>
    <m/>
    <m/>
    <m/>
    <m/>
    <n v="290"/>
    <n v="0"/>
    <n v="44506.567120151994"/>
  </r>
  <r>
    <d v="2025-12-14T00:00:00"/>
    <x v="4"/>
    <s v="GÜNAYDIN KAYA TUZU İRİ"/>
    <m/>
    <x v="1"/>
    <s v="ST00000000565"/>
    <s v="SATIŞ"/>
    <s v="NAKİT"/>
    <n v="0.5"/>
    <n v="80"/>
    <n v="0"/>
    <n v="0"/>
    <m/>
    <m/>
    <m/>
    <m/>
    <n v="40"/>
    <n v="0"/>
    <n v="44546.567120151994"/>
  </r>
  <r>
    <d v="2025-12-14T00:00:00"/>
    <x v="4"/>
    <s v="GÜNAYDIN KAYA TUZU İNCE"/>
    <m/>
    <x v="1"/>
    <s v="ST00000000658"/>
    <s v="SATIŞ"/>
    <s v="NAKİT"/>
    <n v="1.5"/>
    <n v="80"/>
    <n v="0"/>
    <n v="0"/>
    <m/>
    <m/>
    <m/>
    <m/>
    <n v="120"/>
    <n v="0"/>
    <n v="44666.567120151994"/>
  </r>
  <r>
    <d v="2025-12-14T00:00:00"/>
    <x v="4"/>
    <s v="KEKİK LÜX"/>
    <m/>
    <x v="1"/>
    <s v="ST00000000658"/>
    <s v="SATIŞ"/>
    <s v="NAKİT"/>
    <n v="0.25641025641025639"/>
    <n v="780"/>
    <n v="0"/>
    <n v="0"/>
    <m/>
    <m/>
    <m/>
    <m/>
    <n v="199.99999999999997"/>
    <n v="0"/>
    <n v="44866.567120151994"/>
  </r>
  <r>
    <d v="2025-12-14T00:00:00"/>
    <x v="4"/>
    <s v="KARABİBER ÇEKİLMİŞ"/>
    <m/>
    <x v="1"/>
    <s v="ST00000000658"/>
    <s v="SATIŞ"/>
    <s v="NAKİT"/>
    <n v="0.30303030303030304"/>
    <n v="660"/>
    <n v="0"/>
    <n v="0"/>
    <m/>
    <m/>
    <m/>
    <m/>
    <n v="200"/>
    <n v="0"/>
    <n v="45066.567120151994"/>
  </r>
  <r>
    <d v="2025-12-14T00:00:00"/>
    <x v="4"/>
    <s v="NANE İRİ"/>
    <m/>
    <x v="1"/>
    <s v="ST00000000658"/>
    <s v="SATIŞ"/>
    <s v="NAKİT"/>
    <n v="0.59523809523809523"/>
    <n v="420"/>
    <n v="0"/>
    <n v="0"/>
    <m/>
    <m/>
    <m/>
    <m/>
    <n v="250"/>
    <n v="0"/>
    <n v="45316.567120151994"/>
  </r>
  <r>
    <d v="2025-12-14T00:00:00"/>
    <x v="4"/>
    <s v="DOMATES SALÇASI"/>
    <m/>
    <x v="1"/>
    <s v="ST00000000658"/>
    <s v="SATIŞ"/>
    <s v="NAKİT"/>
    <n v="2"/>
    <n v="150"/>
    <n v="0"/>
    <n v="0"/>
    <m/>
    <m/>
    <m/>
    <m/>
    <n v="300"/>
    <n v="0"/>
    <n v="45616.567120151994"/>
  </r>
  <r>
    <d v="2025-12-14T00:00:00"/>
    <x v="10"/>
    <m/>
    <m/>
    <x v="5"/>
    <m/>
    <s v="POS ÇÖZÜMÜ"/>
    <s v="POS"/>
    <n v="1"/>
    <n v="450"/>
    <n v="0"/>
    <n v="450"/>
    <m/>
    <m/>
    <m/>
    <m/>
    <n v="450"/>
    <n v="0"/>
    <n v="46066.567120151994"/>
  </r>
  <r>
    <d v="2025-12-14T00:00:00"/>
    <x v="10"/>
    <m/>
    <m/>
    <x v="5"/>
    <m/>
    <s v="POS ÇÖZÜMÜ"/>
    <s v="POS"/>
    <n v="1"/>
    <n v="944"/>
    <n v="0"/>
    <n v="944"/>
    <m/>
    <m/>
    <m/>
    <m/>
    <n v="944"/>
    <n v="0"/>
    <n v="47010.567120151994"/>
  </r>
  <r>
    <d v="2025-12-15T00:00:00"/>
    <x v="3"/>
    <s v="ARDIÇ YAĞI 20 CC"/>
    <m/>
    <x v="8"/>
    <s v="FT00000000068"/>
    <s v="GENÇAY BAHARAT - İSMAİL MAHMUT GENÇAY"/>
    <s v="CARİ"/>
    <n v="12"/>
    <n v="90"/>
    <n v="0"/>
    <n v="1080"/>
    <m/>
    <m/>
    <m/>
    <m/>
    <n v="0"/>
    <n v="0"/>
    <n v="47010.567120151994"/>
  </r>
  <r>
    <d v="2025-12-15T00:00:00"/>
    <x v="4"/>
    <s v="DOLMALIK KURU PATLICAN"/>
    <m/>
    <x v="5"/>
    <s v="ST00000000566"/>
    <s v="SATIŞ"/>
    <s v="POS"/>
    <n v="2"/>
    <n v="230"/>
    <n v="460"/>
    <n v="0"/>
    <m/>
    <m/>
    <m/>
    <m/>
    <n v="0"/>
    <n v="0"/>
    <n v="47010.567120151994"/>
  </r>
  <r>
    <d v="2025-12-15T00:00:00"/>
    <x v="4"/>
    <s v="DOLMALIK SARI BİBER"/>
    <m/>
    <x v="5"/>
    <s v="ST00000000566"/>
    <s v="SATIŞ"/>
    <s v="POS"/>
    <n v="1"/>
    <n v="200"/>
    <n v="200"/>
    <n v="0"/>
    <m/>
    <m/>
    <m/>
    <m/>
    <n v="0"/>
    <n v="0"/>
    <n v="47010.567120151994"/>
  </r>
  <r>
    <d v="2025-12-15T00:00:00"/>
    <x v="4"/>
    <s v="EVLİK BİBER"/>
    <m/>
    <x v="1"/>
    <s v="ST00000000567"/>
    <s v="SATIŞ"/>
    <s v="NAKİT"/>
    <n v="0.24399999999999999"/>
    <n v="380"/>
    <n v="0"/>
    <n v="0"/>
    <m/>
    <m/>
    <m/>
    <m/>
    <n v="92.72"/>
    <n v="0"/>
    <n v="47103.287120151996"/>
  </r>
  <r>
    <d v="2025-12-15T00:00:00"/>
    <x v="4"/>
    <s v="KARABİBER ÇEKİLMİŞ"/>
    <m/>
    <x v="1"/>
    <s v="ST00000000567"/>
    <s v="SATIŞ"/>
    <s v="NAKİT"/>
    <n v="0.14000000000000001"/>
    <n v="640"/>
    <n v="0"/>
    <n v="0"/>
    <m/>
    <m/>
    <m/>
    <m/>
    <n v="89.600000000000009"/>
    <n v="0"/>
    <n v="47192.887120151994"/>
  </r>
  <r>
    <d v="2025-12-15T00:00:00"/>
    <x v="4"/>
    <s v="TOZ BİBER - ACI"/>
    <m/>
    <x v="1"/>
    <s v="ST00000000567"/>
    <s v="SATIŞ"/>
    <s v="NAKİT"/>
    <n v="0.16600000000000001"/>
    <n v="370"/>
    <n v="0"/>
    <n v="0"/>
    <m/>
    <m/>
    <m/>
    <m/>
    <n v="61.42"/>
    <n v="0"/>
    <n v="47254.307120151992"/>
  </r>
  <r>
    <d v="2025-12-15T00:00:00"/>
    <x v="4"/>
    <s v="DOMATES SALÇASI"/>
    <m/>
    <x v="1"/>
    <s v="ST00000000567"/>
    <s v="SATIŞ"/>
    <s v="NAKİT"/>
    <n v="1"/>
    <n v="130"/>
    <n v="0"/>
    <n v="0"/>
    <m/>
    <m/>
    <m/>
    <m/>
    <n v="130"/>
    <n v="0"/>
    <n v="47384.307120151992"/>
  </r>
  <r>
    <d v="2025-12-15T00:00:00"/>
    <x v="4"/>
    <s v="SALÇA ACI (EV YAPIMI)"/>
    <m/>
    <x v="1"/>
    <s v="ST00000000567"/>
    <s v="SATIŞ"/>
    <s v="NAKİT"/>
    <n v="1"/>
    <n v="180"/>
    <n v="0"/>
    <n v="0"/>
    <m/>
    <m/>
    <m/>
    <m/>
    <n v="180"/>
    <n v="0"/>
    <n v="47564.307120151992"/>
  </r>
  <r>
    <d v="2025-12-15T00:00:00"/>
    <x v="4"/>
    <s v="KİMYON ÇEKİLMİŞ"/>
    <m/>
    <x v="1"/>
    <s v="ST00000000567"/>
    <s v="SATIŞ"/>
    <s v="NAKİT"/>
    <n v="0.11"/>
    <n v="390"/>
    <n v="0"/>
    <n v="0"/>
    <m/>
    <m/>
    <m/>
    <m/>
    <n v="42.9"/>
    <n v="0"/>
    <n v="47607.207120151994"/>
  </r>
  <r>
    <d v="2025-12-15T00:00:00"/>
    <x v="4"/>
    <s v="NANE İRİ"/>
    <m/>
    <x v="1"/>
    <s v="ST00000000570"/>
    <s v="SATIŞ"/>
    <s v="NAKİT"/>
    <n v="0.05"/>
    <n v="400"/>
    <n v="0"/>
    <n v="0"/>
    <m/>
    <m/>
    <m/>
    <m/>
    <n v="20"/>
    <n v="0"/>
    <n v="47627.207120151994"/>
  </r>
  <r>
    <d v="2025-12-15T00:00:00"/>
    <x v="4"/>
    <s v="LAVANTA YAĞI 10 CC"/>
    <m/>
    <x v="1"/>
    <s v="ST00000000571"/>
    <s v="SATIŞ"/>
    <s v="NAKİT"/>
    <n v="1"/>
    <n v="130"/>
    <n v="0"/>
    <n v="0"/>
    <m/>
    <m/>
    <m/>
    <m/>
    <n v="130"/>
    <n v="0"/>
    <n v="47757.207120151994"/>
  </r>
  <r>
    <d v="2025-12-15T00:00:00"/>
    <x v="4"/>
    <s v="GÜLSUYU LÜKS"/>
    <m/>
    <x v="1"/>
    <s v="ST00000000571"/>
    <s v="SATIŞ"/>
    <s v="NAKİT"/>
    <n v="1"/>
    <n v="130"/>
    <n v="0"/>
    <n v="0"/>
    <m/>
    <m/>
    <m/>
    <m/>
    <n v="130"/>
    <n v="0"/>
    <n v="47887.207120151994"/>
  </r>
  <r>
    <d v="2025-12-15T00:00:00"/>
    <x v="4"/>
    <s v="İSOT"/>
    <m/>
    <x v="1"/>
    <s v="ST00000000572"/>
    <s v="SATIŞ"/>
    <s v="NAKİT"/>
    <n v="0.14210526315789473"/>
    <n v="380"/>
    <n v="0"/>
    <n v="0"/>
    <m/>
    <m/>
    <m/>
    <m/>
    <n v="54"/>
    <n v="0"/>
    <n v="47941.207120151994"/>
  </r>
  <r>
    <d v="2025-12-15T00:00:00"/>
    <x v="4"/>
    <s v="KINA RGS DÖKME"/>
    <m/>
    <x v="1"/>
    <s v="ST00000000573"/>
    <s v="SATIŞ"/>
    <s v="NAKİT"/>
    <n v="0.25"/>
    <n v="400"/>
    <n v="0"/>
    <n v="0"/>
    <m/>
    <m/>
    <m/>
    <m/>
    <n v="100"/>
    <n v="0"/>
    <n v="48041.207120151994"/>
  </r>
  <r>
    <d v="2025-12-15T00:00:00"/>
    <x v="10"/>
    <m/>
    <m/>
    <x v="5"/>
    <m/>
    <s v="POS ÇÖZÜMÜ"/>
    <s v="POS"/>
    <n v="1"/>
    <n v="1500"/>
    <n v="0"/>
    <n v="1500"/>
    <m/>
    <m/>
    <m/>
    <m/>
    <n v="1500"/>
    <n v="0"/>
    <n v="49541.207120151994"/>
  </r>
  <r>
    <d v="2025-12-15T00:00:00"/>
    <x v="10"/>
    <m/>
    <m/>
    <x v="5"/>
    <m/>
    <s v="POS ÇÖZÜMÜ"/>
    <s v="POS"/>
    <n v="1"/>
    <n v="240"/>
    <n v="0"/>
    <n v="240"/>
    <m/>
    <m/>
    <m/>
    <m/>
    <n v="240"/>
    <n v="0"/>
    <n v="49781.207120151994"/>
  </r>
  <r>
    <d v="2025-12-16T00:00:00"/>
    <x v="4"/>
    <s v="ZAHTER"/>
    <m/>
    <x v="1"/>
    <s v="ST00000000568"/>
    <s v="SATIŞ"/>
    <s v="NAKİT"/>
    <n v="6.2E-2"/>
    <n v="400"/>
    <n v="0"/>
    <n v="0"/>
    <m/>
    <m/>
    <m/>
    <m/>
    <n v="24.8"/>
    <n v="0"/>
    <n v="49806.007120151997"/>
  </r>
  <r>
    <d v="2025-12-16T00:00:00"/>
    <x v="4"/>
    <s v="IHLAMUR YAPRAK"/>
    <m/>
    <x v="1"/>
    <s v="ST00000000568"/>
    <s v="SATIŞ"/>
    <s v="NAKİT"/>
    <n v="0.05"/>
    <n v="2600"/>
    <n v="0"/>
    <n v="0"/>
    <m/>
    <m/>
    <m/>
    <m/>
    <n v="130"/>
    <n v="0"/>
    <n v="49936.007120151997"/>
  </r>
  <r>
    <d v="2025-12-16T00:00:00"/>
    <x v="4"/>
    <s v="KARABİBER ÇEKİLMİŞ"/>
    <m/>
    <x v="1"/>
    <s v="ST00000000568"/>
    <s v="SATIŞ"/>
    <s v="NAKİT"/>
    <n v="5.6000000000000001E-2"/>
    <n v="640"/>
    <n v="0"/>
    <n v="0"/>
    <m/>
    <m/>
    <m/>
    <m/>
    <n v="35.840000000000003"/>
    <n v="0"/>
    <n v="49971.847120151993"/>
  </r>
  <r>
    <d v="2025-12-16T00:00:00"/>
    <x v="4"/>
    <s v="ZENCEFİL TOZ"/>
    <m/>
    <x v="1"/>
    <s v="ST00000000568"/>
    <s v="SATIŞ"/>
    <s v="NAKİT"/>
    <n v="0.19400000000000001"/>
    <n v="400"/>
    <n v="0"/>
    <n v="0"/>
    <m/>
    <m/>
    <m/>
    <m/>
    <n v="77.600000000000009"/>
    <n v="0"/>
    <n v="50049.447120151992"/>
  </r>
  <r>
    <d v="2025-12-16T00:00:00"/>
    <x v="4"/>
    <s v="ZERDEÇAL TOZ"/>
    <m/>
    <x v="1"/>
    <s v="ST00000000568"/>
    <s v="SATIŞ"/>
    <s v="NAKİT"/>
    <n v="0.218"/>
    <n v="300"/>
    <n v="0"/>
    <n v="0"/>
    <m/>
    <m/>
    <m/>
    <m/>
    <n v="65.400000000000006"/>
    <n v="0"/>
    <n v="50114.847120151993"/>
  </r>
  <r>
    <d v="2025-12-16T00:00:00"/>
    <x v="4"/>
    <s v="ADAÇAYI SIYIRMA"/>
    <m/>
    <x v="1"/>
    <s v="ST00000000568"/>
    <s v="SATIŞ"/>
    <s v="NAKİT"/>
    <n v="7.0000000000000007E-2"/>
    <n v="735"/>
    <n v="0"/>
    <n v="0"/>
    <m/>
    <m/>
    <m/>
    <m/>
    <n v="51.45"/>
    <n v="0"/>
    <n v="50166.29712015199"/>
  </r>
  <r>
    <d v="2025-12-16T00:00:00"/>
    <x v="4"/>
    <s v="İSOT"/>
    <m/>
    <x v="1"/>
    <s v="ST00000000569"/>
    <s v="SATIŞ"/>
    <s v="NAKİT"/>
    <n v="0.19800000000000001"/>
    <n v="380"/>
    <n v="0"/>
    <n v="0"/>
    <m/>
    <m/>
    <m/>
    <m/>
    <n v="75.240000000000009"/>
    <n v="0"/>
    <n v="50241.537120151988"/>
  </r>
  <r>
    <d v="2025-12-16T00:00:00"/>
    <x v="4"/>
    <s v="EVLİK BİBER"/>
    <m/>
    <x v="1"/>
    <s v="ST00000000569"/>
    <s v="SATIŞ"/>
    <s v="NAKİT"/>
    <n v="0.248"/>
    <n v="380"/>
    <n v="0"/>
    <n v="0"/>
    <m/>
    <m/>
    <m/>
    <m/>
    <n v="94.24"/>
    <n v="0"/>
    <n v="50335.777120151986"/>
  </r>
  <r>
    <d v="2025-12-16T00:00:00"/>
    <x v="4"/>
    <s v="KARABİBER ÇEKİLMİŞ"/>
    <m/>
    <x v="1"/>
    <s v="ST00000000570"/>
    <s v="SATIŞ"/>
    <s v="NAKİT"/>
    <n v="0.05"/>
    <n v="640"/>
    <n v="0"/>
    <n v="0"/>
    <m/>
    <m/>
    <m/>
    <m/>
    <n v="32"/>
    <n v="0"/>
    <n v="50367.777120151986"/>
  </r>
  <r>
    <d v="2025-12-16T00:00:00"/>
    <x v="4"/>
    <s v="KEKİK LÜX"/>
    <m/>
    <x v="1"/>
    <s v="ST00000000570"/>
    <s v="SATIŞ"/>
    <s v="NAKİT"/>
    <n v="0.05"/>
    <n v="760"/>
    <n v="0"/>
    <n v="0"/>
    <m/>
    <m/>
    <m/>
    <m/>
    <n v="38"/>
    <n v="0"/>
    <n v="50405.777120151986"/>
  </r>
  <r>
    <d v="2025-12-16T00:00:00"/>
    <x v="4"/>
    <s v="SUMAK"/>
    <m/>
    <x v="1"/>
    <s v="ST00000000570"/>
    <s v="SATIŞ"/>
    <s v="NAKİT"/>
    <n v="0.05"/>
    <n v="500"/>
    <n v="0"/>
    <n v="0"/>
    <m/>
    <m/>
    <m/>
    <m/>
    <n v="25"/>
    <n v="0"/>
    <n v="50430.777120151986"/>
  </r>
  <r>
    <d v="2025-12-16T00:00:00"/>
    <x v="4"/>
    <s v="İPEK BİBER"/>
    <m/>
    <x v="1"/>
    <s v="ST00000000571"/>
    <s v="SATIŞ"/>
    <s v="NAKİT"/>
    <n v="0.108"/>
    <n v="500"/>
    <n v="0"/>
    <n v="0"/>
    <m/>
    <m/>
    <m/>
    <m/>
    <n v="54"/>
    <n v="0"/>
    <n v="50484.777120151986"/>
  </r>
  <r>
    <d v="2025-12-16T00:00:00"/>
    <x v="4"/>
    <s v="İPEK BİBER"/>
    <m/>
    <x v="1"/>
    <s v="ST00000000572"/>
    <s v="SATIŞ"/>
    <s v="NAKİT"/>
    <n v="0.108"/>
    <n v="500"/>
    <n v="0"/>
    <n v="0"/>
    <m/>
    <m/>
    <m/>
    <m/>
    <n v="54"/>
    <n v="0"/>
    <n v="50538.777120151986"/>
  </r>
  <r>
    <d v="2025-12-16T00:00:00"/>
    <x v="4"/>
    <s v="BİBERİYE"/>
    <m/>
    <x v="1"/>
    <s v="ST00000000573"/>
    <s v="SATIŞ"/>
    <s v="NAKİT"/>
    <n v="0.05"/>
    <n v="1400"/>
    <n v="0"/>
    <n v="0"/>
    <m/>
    <m/>
    <m/>
    <m/>
    <n v="70"/>
    <n v="0"/>
    <n v="50608.777120151986"/>
  </r>
  <r>
    <d v="2025-12-16T00:00:00"/>
    <x v="4"/>
    <s v="AKSU VİTAL GİNSENG EKSTRATLI MACUN 300 GR"/>
    <m/>
    <x v="1"/>
    <s v="ST00000000574"/>
    <s v="SATIŞ"/>
    <s v="NAKİT"/>
    <n v="1"/>
    <n v="440"/>
    <n v="0"/>
    <n v="0"/>
    <m/>
    <m/>
    <m/>
    <m/>
    <n v="440"/>
    <n v="0"/>
    <n v="51048.777120151986"/>
  </r>
  <r>
    <d v="2025-12-16T00:00:00"/>
    <x v="4"/>
    <s v="ZÜHRE ANA PROPOLİS MACUNU 240 GR"/>
    <m/>
    <x v="1"/>
    <s v="ST00000000574"/>
    <s v="SATIŞ"/>
    <s v="NAKİT"/>
    <n v="1"/>
    <n v="210"/>
    <n v="0"/>
    <n v="0"/>
    <m/>
    <m/>
    <m/>
    <m/>
    <n v="210"/>
    <n v="0"/>
    <n v="51258.777120151986"/>
  </r>
  <r>
    <d v="2025-12-16T00:00:00"/>
    <x v="7"/>
    <m/>
    <m/>
    <x v="3"/>
    <m/>
    <s v="YALÇINTAT - ÖDEME"/>
    <s v="NAKİT"/>
    <n v="1"/>
    <n v="0"/>
    <n v="20000"/>
    <n v="0"/>
    <m/>
    <m/>
    <m/>
    <m/>
    <n v="0"/>
    <n v="20000"/>
    <n v="31258.777120151986"/>
  </r>
  <r>
    <d v="2025-12-16T00:00:00"/>
    <x v="7"/>
    <m/>
    <m/>
    <x v="4"/>
    <m/>
    <s v="TÜDAB - ÖDEME"/>
    <s v="NAKİT"/>
    <n v="1"/>
    <n v="0"/>
    <n v="10000"/>
    <n v="0"/>
    <m/>
    <m/>
    <m/>
    <m/>
    <n v="0"/>
    <n v="10000"/>
    <n v="21258.777120151986"/>
  </r>
  <r>
    <d v="2025-12-16T00:00:00"/>
    <x v="1"/>
    <m/>
    <s v="MUHASEBE GİDERLERİ"/>
    <x v="1"/>
    <m/>
    <s v="İBRAHİM ÜNLÜ - ÖDEME"/>
    <s v="NAKİT"/>
    <n v="1"/>
    <n v="1500"/>
    <n v="0"/>
    <n v="0"/>
    <m/>
    <m/>
    <m/>
    <m/>
    <n v="0"/>
    <n v="1500"/>
    <n v="19758.777120151986"/>
  </r>
  <r>
    <d v="2025-12-16T00:00:00"/>
    <x v="10"/>
    <m/>
    <m/>
    <x v="5"/>
    <m/>
    <s v="POS ÇÖZÜMÜ"/>
    <s v="POS"/>
    <n v="1"/>
    <n v="840"/>
    <n v="0"/>
    <n v="840"/>
    <m/>
    <m/>
    <m/>
    <m/>
    <n v="840"/>
    <n v="0"/>
    <n v="20598.777120151986"/>
  </r>
  <r>
    <d v="2025-12-16T00:00:00"/>
    <x v="10"/>
    <m/>
    <m/>
    <x v="5"/>
    <m/>
    <s v="POS ÇÖZÜMÜ"/>
    <s v="POS"/>
    <n v="1"/>
    <n v="330"/>
    <n v="0"/>
    <n v="330"/>
    <m/>
    <m/>
    <m/>
    <m/>
    <n v="330"/>
    <n v="0"/>
    <n v="20928.777120151986"/>
  </r>
  <r>
    <d v="2025-12-16T00:00:00"/>
    <x v="2"/>
    <m/>
    <s v="DEMİRBAŞ"/>
    <x v="2"/>
    <m/>
    <s v="NADİR ÇARŞI-SAKLAMA KABI"/>
    <s v="K.K."/>
    <n v="5"/>
    <n v="100"/>
    <n v="0"/>
    <n v="500"/>
    <m/>
    <m/>
    <m/>
    <m/>
    <n v="0"/>
    <n v="0"/>
    <n v="20928.777120151986"/>
  </r>
  <r>
    <d v="2025-12-17T00:00:00"/>
    <x v="4"/>
    <s v="TOZ BİBER - ACI"/>
    <m/>
    <x v="1"/>
    <s v="ST00000000575"/>
    <s v="SATIŞ"/>
    <s v="NAKİT"/>
    <n v="0.17399999999999999"/>
    <n v="370"/>
    <n v="0"/>
    <n v="0"/>
    <m/>
    <m/>
    <m/>
    <m/>
    <n v="64.38"/>
    <n v="0"/>
    <n v="20993.157120151987"/>
  </r>
  <r>
    <d v="2025-12-17T00:00:00"/>
    <x v="4"/>
    <s v="SUMAK"/>
    <m/>
    <x v="1"/>
    <s v="ST00000000575"/>
    <s v="SATIŞ"/>
    <s v="NAKİT"/>
    <n v="0.16800000000000001"/>
    <n v="500"/>
    <n v="0"/>
    <n v="0"/>
    <m/>
    <m/>
    <m/>
    <m/>
    <n v="84"/>
    <n v="0"/>
    <n v="21077.157120151987"/>
  </r>
  <r>
    <d v="2025-12-17T00:00:00"/>
    <x v="4"/>
    <s v="İSOT"/>
    <m/>
    <x v="1"/>
    <s v="ST00000000575"/>
    <s v="SATIŞ"/>
    <s v="NAKİT"/>
    <n v="0.14799999999999999"/>
    <n v="380"/>
    <n v="0"/>
    <n v="0"/>
    <m/>
    <m/>
    <m/>
    <m/>
    <n v="56.239999999999995"/>
    <n v="0"/>
    <n v="21133.397120151989"/>
  </r>
  <r>
    <d v="2025-12-17T00:00:00"/>
    <x v="4"/>
    <s v="SALÇA ACI (EV YAPIMI)"/>
    <m/>
    <x v="1"/>
    <s v="ST00000000575"/>
    <s v="SATIŞ"/>
    <s v="NAKİT"/>
    <n v="1"/>
    <n v="200"/>
    <n v="0"/>
    <n v="0"/>
    <m/>
    <m/>
    <m/>
    <m/>
    <n v="200"/>
    <n v="0"/>
    <n v="21333.397120151989"/>
  </r>
  <r>
    <d v="2025-12-17T00:00:00"/>
    <x v="4"/>
    <s v="SEYHAN ÜZÜM ÖZEL"/>
    <m/>
    <x v="1"/>
    <s v="ST00000000575"/>
    <s v="SATIŞ"/>
    <s v="NAKİT"/>
    <n v="0.34200000000000003"/>
    <n v="750"/>
    <n v="0"/>
    <n v="0"/>
    <m/>
    <m/>
    <m/>
    <m/>
    <n v="256.5"/>
    <n v="0"/>
    <n v="21589.897120151989"/>
  </r>
  <r>
    <d v="2025-12-17T00:00:00"/>
    <x v="4"/>
    <s v="İZMİR ÜZÜMÜ"/>
    <m/>
    <x v="1"/>
    <s v="ST00000000575"/>
    <s v="SATIŞ"/>
    <s v="NAKİT"/>
    <n v="0.36599999999999999"/>
    <n v="250"/>
    <n v="0"/>
    <n v="0"/>
    <m/>
    <m/>
    <m/>
    <m/>
    <n v="91.5"/>
    <n v="0"/>
    <n v="21681.397120151989"/>
  </r>
  <r>
    <d v="2025-12-17T00:00:00"/>
    <x v="4"/>
    <s v="LOBAS SAF NAR EKŞİSİ 1 KG"/>
    <m/>
    <x v="1"/>
    <s v="ST00000000575"/>
    <s v="SATIŞ"/>
    <s v="NAKİT"/>
    <n v="1"/>
    <n v="295"/>
    <n v="0"/>
    <n v="0"/>
    <m/>
    <m/>
    <m/>
    <m/>
    <n v="295"/>
    <n v="0"/>
    <n v="21976.397120151989"/>
  </r>
  <r>
    <d v="2025-12-17T00:00:00"/>
    <x v="4"/>
    <s v="ÇUBUK TARÇIN"/>
    <m/>
    <x v="1"/>
    <s v="ST00000000575"/>
    <s v="SATIŞ"/>
    <s v="NAKİT"/>
    <n v="0.1"/>
    <n v="650"/>
    <n v="0"/>
    <n v="0"/>
    <m/>
    <m/>
    <m/>
    <m/>
    <n v="65"/>
    <n v="0"/>
    <n v="22041.397120151989"/>
  </r>
  <r>
    <d v="2025-12-17T00:00:00"/>
    <x v="4"/>
    <s v="AKGÜNLÜK BAHUR"/>
    <m/>
    <x v="5"/>
    <s v="ST00000000576"/>
    <s v="SATIŞ"/>
    <s v="POS"/>
    <n v="0.1"/>
    <n v="1000"/>
    <n v="100"/>
    <n v="0"/>
    <m/>
    <m/>
    <m/>
    <m/>
    <n v="0"/>
    <n v="0"/>
    <n v="22041.397120151989"/>
  </r>
  <r>
    <d v="2025-12-17T00:00:00"/>
    <x v="4"/>
    <s v="ÇÖREKOTU"/>
    <m/>
    <x v="5"/>
    <s v="ST00000000576"/>
    <s v="SATIŞ"/>
    <s v="POS"/>
    <n v="0.1"/>
    <n v="400"/>
    <n v="40"/>
    <n v="0"/>
    <m/>
    <m/>
    <m/>
    <m/>
    <n v="0"/>
    <n v="0"/>
    <n v="22041.397120151989"/>
  </r>
  <r>
    <d v="2025-12-17T00:00:00"/>
    <x v="4"/>
    <s v="SUSAM"/>
    <m/>
    <x v="5"/>
    <s v="ST00000000576"/>
    <s v="SATIŞ"/>
    <s v="POS"/>
    <n v="0.1"/>
    <n v="400"/>
    <n v="40"/>
    <n v="0"/>
    <m/>
    <m/>
    <m/>
    <m/>
    <n v="0"/>
    <n v="0"/>
    <n v="22041.397120151989"/>
  </r>
  <r>
    <d v="2025-12-17T00:00:00"/>
    <x v="4"/>
    <s v="KAJUN BAHARATI - CAJUN SEASONING 1000 GR"/>
    <m/>
    <x v="5"/>
    <s v="ST00000000576"/>
    <s v="SATIŞ"/>
    <s v="POS"/>
    <n v="0.1"/>
    <n v="750"/>
    <n v="75"/>
    <n v="0"/>
    <m/>
    <m/>
    <m/>
    <m/>
    <n v="0"/>
    <n v="0"/>
    <n v="22041.397120151989"/>
  </r>
  <r>
    <d v="2025-12-17T00:00:00"/>
    <x v="4"/>
    <s v="HİNT YAĞI 50 CC"/>
    <m/>
    <x v="5"/>
    <s v="ST00000000576"/>
    <s v="SATIŞ"/>
    <s v="POS"/>
    <n v="1"/>
    <n v="130"/>
    <n v="130"/>
    <n v="0"/>
    <m/>
    <m/>
    <m/>
    <m/>
    <n v="0"/>
    <n v="0"/>
    <n v="22041.397120151989"/>
  </r>
  <r>
    <d v="2025-12-17T00:00:00"/>
    <x v="4"/>
    <s v="CEVİZLİ SUCUK ATOM (ESMER)"/>
    <m/>
    <x v="5"/>
    <s v="ST00000000576"/>
    <s v="SATIŞ"/>
    <s v="POS"/>
    <n v="0.42"/>
    <n v="340"/>
    <n v="142.79999999999998"/>
    <n v="0"/>
    <m/>
    <m/>
    <m/>
    <m/>
    <n v="0"/>
    <n v="0"/>
    <n v="22041.397120151989"/>
  </r>
  <r>
    <d v="2025-12-17T00:00:00"/>
    <x v="4"/>
    <s v="HAM KABAK LİFİ İŞLENMEMİŞ"/>
    <m/>
    <x v="5"/>
    <s v="ST00000000576"/>
    <s v="SATIŞ"/>
    <s v="POS"/>
    <n v="1"/>
    <n v="180"/>
    <n v="180"/>
    <n v="0"/>
    <m/>
    <m/>
    <m/>
    <m/>
    <n v="0"/>
    <n v="0"/>
    <n v="22041.397120151989"/>
  </r>
  <r>
    <d v="2025-12-17T00:00:00"/>
    <x v="4"/>
    <s v="TOZ BİBER - TATLI"/>
    <m/>
    <x v="1"/>
    <s v="ST00000000577"/>
    <s v="SATIŞ"/>
    <s v="NAKİT"/>
    <n v="0.10277777777777777"/>
    <n v="360"/>
    <n v="0"/>
    <n v="0"/>
    <m/>
    <m/>
    <m/>
    <m/>
    <n v="37"/>
    <n v="0"/>
    <n v="22078.397120151989"/>
  </r>
  <r>
    <d v="2025-12-17T00:00:00"/>
    <x v="4"/>
    <s v="YENİBAHAR TOZ"/>
    <m/>
    <x v="1"/>
    <s v="ST00000000577"/>
    <s v="SATIŞ"/>
    <s v="NAKİT"/>
    <n v="9.4805194805194809E-2"/>
    <n v="770"/>
    <n v="0"/>
    <n v="0"/>
    <m/>
    <m/>
    <m/>
    <m/>
    <n v="73"/>
    <n v="0"/>
    <n v="22151.397120151989"/>
  </r>
  <r>
    <d v="2025-12-17T00:00:00"/>
    <x v="4"/>
    <s v="MISIR UNU"/>
    <m/>
    <x v="5"/>
    <s v="ST00000000578"/>
    <s v="SATIŞ"/>
    <s v="POS"/>
    <n v="1"/>
    <n v="60"/>
    <n v="60"/>
    <n v="0"/>
    <m/>
    <m/>
    <m/>
    <m/>
    <n v="0"/>
    <n v="0"/>
    <n v="22151.397120151989"/>
  </r>
  <r>
    <d v="2025-12-17T00:00:00"/>
    <x v="4"/>
    <s v="KANTARON YAĞI 50 CC"/>
    <m/>
    <x v="1"/>
    <s v="ST00000000579"/>
    <s v="SATIŞ"/>
    <s v="NAKİT"/>
    <n v="1"/>
    <n v="125"/>
    <n v="0"/>
    <n v="0"/>
    <m/>
    <m/>
    <m/>
    <m/>
    <n v="125"/>
    <n v="0"/>
    <n v="22276.397120151989"/>
  </r>
  <r>
    <d v="2025-12-17T00:00:00"/>
    <x v="4"/>
    <s v="HİNT YAĞI 50 CC"/>
    <m/>
    <x v="1"/>
    <s v="ST00000000579"/>
    <s v="SATIŞ"/>
    <s v="NAKİT"/>
    <n v="1"/>
    <n v="130"/>
    <n v="0"/>
    <n v="0"/>
    <m/>
    <m/>
    <m/>
    <m/>
    <n v="130"/>
    <n v="0"/>
    <n v="22406.397120151989"/>
  </r>
  <r>
    <d v="2025-12-17T00:00:00"/>
    <x v="4"/>
    <s v="LEBLEBİ ŞEKER RENKLİ"/>
    <m/>
    <x v="1"/>
    <s v="ST00000000579"/>
    <s v="SATIŞ"/>
    <s v="NAKİT"/>
    <n v="0.21739130434782608"/>
    <n v="230"/>
    <n v="0"/>
    <n v="0"/>
    <m/>
    <m/>
    <m/>
    <m/>
    <n v="50"/>
    <n v="0"/>
    <n v="22456.397120151989"/>
  </r>
  <r>
    <d v="2025-12-17T00:00:00"/>
    <x v="4"/>
    <s v="DOLMALIK KURU KABAK"/>
    <m/>
    <x v="1"/>
    <s v="ST00000000580"/>
    <s v="SATIŞ"/>
    <s v="NAKİT"/>
    <n v="1"/>
    <n v="250"/>
    <n v="0"/>
    <n v="0"/>
    <m/>
    <m/>
    <m/>
    <m/>
    <n v="250"/>
    <n v="0"/>
    <n v="22706.397120151989"/>
  </r>
  <r>
    <d v="2025-12-17T00:00:00"/>
    <x v="4"/>
    <s v="DOLMALIK KURU PATLICAN"/>
    <m/>
    <x v="1"/>
    <s v="ST00000000580"/>
    <s v="SATIŞ"/>
    <s v="NAKİT"/>
    <n v="1"/>
    <n v="250"/>
    <n v="0"/>
    <n v="0"/>
    <m/>
    <m/>
    <m/>
    <m/>
    <n v="250"/>
    <n v="0"/>
    <n v="22956.397120151989"/>
  </r>
  <r>
    <d v="2025-12-17T00:00:00"/>
    <x v="4"/>
    <s v="ŞENAY ÇAM KOZALAĞI ŞURUBU 650 GR"/>
    <m/>
    <x v="1"/>
    <s v="ST00000000581"/>
    <s v="SATIŞ"/>
    <s v="NAKİT"/>
    <n v="1"/>
    <n v="140"/>
    <n v="0"/>
    <n v="0"/>
    <m/>
    <m/>
    <m/>
    <m/>
    <n v="140"/>
    <n v="0"/>
    <n v="23096.397120151989"/>
  </r>
  <r>
    <d v="2025-12-17T00:00:00"/>
    <x v="4"/>
    <s v="ÇÖREKOTU YAĞI 50 CC"/>
    <m/>
    <x v="1"/>
    <s v="ST00000000581"/>
    <s v="SATIŞ"/>
    <s v="NAKİT"/>
    <n v="1"/>
    <n v="170"/>
    <n v="0"/>
    <n v="0"/>
    <m/>
    <m/>
    <m/>
    <m/>
    <n v="170"/>
    <n v="0"/>
    <n v="23266.397120151989"/>
  </r>
  <r>
    <d v="2025-12-17T00:00:00"/>
    <x v="4"/>
    <s v="TALA KARINCA YUMURTASI YAĞI 20 ML"/>
    <m/>
    <x v="1"/>
    <s v="ST00000000581"/>
    <s v="SATIŞ"/>
    <s v="NAKİT"/>
    <n v="1"/>
    <n v="130"/>
    <n v="0"/>
    <n v="0"/>
    <m/>
    <m/>
    <m/>
    <m/>
    <n v="130"/>
    <n v="0"/>
    <n v="23396.397120151989"/>
  </r>
  <r>
    <d v="2025-12-17T00:00:00"/>
    <x v="4"/>
    <s v="EVLİK BİBER"/>
    <m/>
    <x v="5"/>
    <s v="ST00000000582"/>
    <s v="SATIŞ"/>
    <s v="POS"/>
    <n v="0.28421052631578947"/>
    <n v="380"/>
    <n v="108"/>
    <n v="0"/>
    <m/>
    <m/>
    <m/>
    <m/>
    <n v="0"/>
    <n v="0"/>
    <n v="23396.397120151989"/>
  </r>
  <r>
    <d v="2025-12-17T00:00:00"/>
    <x v="4"/>
    <s v="HASEVLİK"/>
    <m/>
    <x v="5"/>
    <s v="ST00000000582"/>
    <s v="SATIŞ"/>
    <s v="POS"/>
    <n v="0.21904761904761905"/>
    <n v="420"/>
    <n v="92"/>
    <n v="0"/>
    <m/>
    <m/>
    <m/>
    <m/>
    <n v="0"/>
    <n v="0"/>
    <n v="23396.397120151989"/>
  </r>
  <r>
    <d v="2025-12-17T00:00:00"/>
    <x v="4"/>
    <s v="KARANFİL"/>
    <m/>
    <x v="1"/>
    <s v="ST00000000583"/>
    <s v="SATIŞ"/>
    <s v="NAKİT"/>
    <n v="0.05"/>
    <n v="1200"/>
    <n v="0"/>
    <n v="0"/>
    <m/>
    <m/>
    <m/>
    <m/>
    <n v="60"/>
    <n v="0"/>
    <n v="23456.397120151989"/>
  </r>
  <r>
    <d v="2025-12-17T00:00:00"/>
    <x v="4"/>
    <s v="SALÇA ACI (EV YAPIMI)"/>
    <m/>
    <x v="1"/>
    <s v="ST00000000584"/>
    <s v="SATIŞ"/>
    <s v="NAKİT"/>
    <n v="1"/>
    <n v="180"/>
    <n v="0"/>
    <n v="0"/>
    <m/>
    <m/>
    <m/>
    <m/>
    <n v="180"/>
    <n v="0"/>
    <n v="23636.397120151989"/>
  </r>
  <r>
    <d v="2025-12-17T00:00:00"/>
    <x v="4"/>
    <s v="DOLMALIK SARI BİBER"/>
    <m/>
    <x v="1"/>
    <s v="ST00000000585"/>
    <s v="SATIŞ"/>
    <s v="NAKİT"/>
    <n v="1"/>
    <n v="200"/>
    <n v="0"/>
    <n v="0"/>
    <m/>
    <m/>
    <m/>
    <m/>
    <n v="200"/>
    <n v="0"/>
    <n v="23836.397120151989"/>
  </r>
  <r>
    <d v="2025-12-17T00:00:00"/>
    <x v="4"/>
    <s v="TÜDAB KARIŞIK TURŞU"/>
    <m/>
    <x v="5"/>
    <s v="ST00000000586"/>
    <s v="SATIŞ"/>
    <s v="POS"/>
    <n v="1"/>
    <n v="350"/>
    <n v="350"/>
    <n v="0"/>
    <m/>
    <m/>
    <m/>
    <m/>
    <n v="0"/>
    <n v="0"/>
    <n v="23836.397120151989"/>
  </r>
  <r>
    <d v="2025-12-17T00:00:00"/>
    <x v="4"/>
    <s v="TÜDAB ACUR TURŞUSU"/>
    <m/>
    <x v="5"/>
    <s v="ST00000000587"/>
    <s v="SATIŞ"/>
    <s v="POS"/>
    <n v="1"/>
    <n v="350"/>
    <n v="350"/>
    <n v="0"/>
    <m/>
    <m/>
    <m/>
    <m/>
    <n v="0"/>
    <n v="0"/>
    <n v="23836.397120151989"/>
  </r>
  <r>
    <d v="2025-12-17T00:00:00"/>
    <x v="3"/>
    <s v="AGARTA DİŞ MACUNU"/>
    <m/>
    <x v="2"/>
    <m/>
    <s v="TARIM KOOP"/>
    <s v="K.K."/>
    <n v="6"/>
    <n v="89"/>
    <n v="0"/>
    <n v="534"/>
    <m/>
    <m/>
    <m/>
    <m/>
    <n v="0"/>
    <n v="0"/>
    <n v="23836.397120151989"/>
  </r>
  <r>
    <d v="2025-12-17T00:00:00"/>
    <x v="3"/>
    <s v="AGARTA DİŞ MACUNU - ÇOCUK"/>
    <m/>
    <x v="2"/>
    <m/>
    <s v="TARIM KOOP"/>
    <s v="K.K."/>
    <n v="3"/>
    <n v="89"/>
    <n v="0"/>
    <n v="267"/>
    <m/>
    <m/>
    <m/>
    <m/>
    <n v="0"/>
    <n v="0"/>
    <n v="23836.397120151989"/>
  </r>
  <r>
    <d v="2025-12-17T00:00:00"/>
    <x v="3"/>
    <s v="ZÜHRE ANA ENGİNAR MACUNU"/>
    <m/>
    <x v="2"/>
    <m/>
    <s v="TR"/>
    <s v="K.K."/>
    <n v="4"/>
    <n v="166.7"/>
    <n v="0"/>
    <n v="666.8"/>
    <m/>
    <m/>
    <m/>
    <m/>
    <n v="0"/>
    <n v="0"/>
    <n v="23836.397120151989"/>
  </r>
  <r>
    <d v="2025-12-17T00:00:00"/>
    <x v="10"/>
    <m/>
    <m/>
    <x v="5"/>
    <m/>
    <s v="POS ÇÖZÜMÜ"/>
    <s v="POS"/>
    <n v="1"/>
    <n v="985"/>
    <n v="0"/>
    <n v="985"/>
    <n v="330"/>
    <m/>
    <m/>
    <m/>
    <n v="985"/>
    <n v="0"/>
    <n v="24821.397120151989"/>
  </r>
  <r>
    <d v="2025-12-17T00:00:00"/>
    <x v="10"/>
    <m/>
    <m/>
    <x v="5"/>
    <m/>
    <s v="POS ÇÖZÜMÜ"/>
    <s v="POS"/>
    <n v="1"/>
    <n v="1395"/>
    <n v="0"/>
    <n v="1395"/>
    <m/>
    <m/>
    <m/>
    <m/>
    <n v="1395"/>
    <n v="0"/>
    <n v="26216.397120151989"/>
  </r>
  <r>
    <d v="2025-12-18T00:00:00"/>
    <x v="4"/>
    <s v="HAM KABAK LİFİ İŞLENMEMİŞ"/>
    <m/>
    <x v="5"/>
    <s v="ST00000000588"/>
    <s v="SATIŞ"/>
    <s v="POS"/>
    <n v="1"/>
    <n v="180"/>
    <n v="180"/>
    <n v="0"/>
    <m/>
    <m/>
    <m/>
    <m/>
    <n v="0"/>
    <n v="0"/>
    <n v="26216.397120151989"/>
  </r>
  <r>
    <d v="2025-12-18T00:00:00"/>
    <x v="4"/>
    <s v="ÇÖREKOTU YAĞI 50 CC"/>
    <m/>
    <x v="5"/>
    <s v="ST00000000589"/>
    <s v="SATIŞ"/>
    <s v="POS"/>
    <n v="1"/>
    <n v="170"/>
    <n v="170"/>
    <n v="0"/>
    <m/>
    <m/>
    <m/>
    <m/>
    <n v="0"/>
    <n v="0"/>
    <n v="26216.397120151989"/>
  </r>
  <r>
    <d v="2025-12-18T00:00:00"/>
    <x v="4"/>
    <s v="MISIR UNU"/>
    <m/>
    <x v="1"/>
    <s v="ST00000000590"/>
    <s v="SATIŞ"/>
    <s v="NAKİT"/>
    <n v="0.5"/>
    <n v="60"/>
    <n v="0"/>
    <n v="0"/>
    <m/>
    <m/>
    <m/>
    <m/>
    <n v="30"/>
    <n v="0"/>
    <n v="26246.397120151989"/>
  </r>
  <r>
    <d v="2025-12-18T00:00:00"/>
    <x v="4"/>
    <s v="KIRMIZI PUL BİBER TATLI"/>
    <m/>
    <x v="1"/>
    <s v="ST00000000591"/>
    <s v="SATIŞ"/>
    <s v="NAKİT"/>
    <n v="0.15555555555555556"/>
    <n v="360"/>
    <n v="0"/>
    <n v="0"/>
    <m/>
    <m/>
    <m/>
    <m/>
    <n v="56"/>
    <n v="0"/>
    <n v="26302.397120151989"/>
  </r>
  <r>
    <d v="2025-12-18T00:00:00"/>
    <x v="4"/>
    <s v="ZERDEÇAL TOZ"/>
    <m/>
    <x v="1"/>
    <s v="ST00000000591"/>
    <s v="SATIŞ"/>
    <s v="NAKİT"/>
    <n v="0.16"/>
    <n v="300"/>
    <n v="0"/>
    <n v="0"/>
    <m/>
    <m/>
    <m/>
    <m/>
    <n v="48"/>
    <n v="0"/>
    <n v="26350.397120151989"/>
  </r>
  <r>
    <d v="2025-12-18T00:00:00"/>
    <x v="4"/>
    <s v="DEFNE YAPRAĞI"/>
    <m/>
    <x v="1"/>
    <s v="ST00000000592"/>
    <s v="SATIŞ"/>
    <s v="NAKİT"/>
    <n v="0.05"/>
    <n v="1400"/>
    <n v="0"/>
    <n v="0"/>
    <m/>
    <m/>
    <m/>
    <m/>
    <n v="70"/>
    <n v="0"/>
    <n v="26420.397120151989"/>
  </r>
  <r>
    <d v="2025-12-18T00:00:00"/>
    <x v="4"/>
    <s v="TÜRK KAHVESİ"/>
    <m/>
    <x v="5"/>
    <s v="ST00000000593"/>
    <s v="SATIŞ"/>
    <s v="POS"/>
    <n v="0.1"/>
    <n v="650"/>
    <n v="65"/>
    <n v="0"/>
    <m/>
    <m/>
    <m/>
    <m/>
    <n v="0"/>
    <n v="0"/>
    <n v="26420.397120151989"/>
  </r>
  <r>
    <d v="2025-12-18T00:00:00"/>
    <x v="4"/>
    <s v="KARANFİL"/>
    <m/>
    <x v="5"/>
    <s v="ST00000000593"/>
    <s v="SATIŞ"/>
    <s v="POS"/>
    <n v="0.05"/>
    <n v="1200"/>
    <n v="60"/>
    <n v="0"/>
    <m/>
    <m/>
    <m/>
    <m/>
    <n v="0"/>
    <n v="0"/>
    <n v="26420.397120151989"/>
  </r>
  <r>
    <d v="2025-12-18T00:00:00"/>
    <x v="4"/>
    <s v="TOZ BİBER - TATLI"/>
    <m/>
    <x v="5"/>
    <s v="ST00000000593"/>
    <s v="SATIŞ"/>
    <s v="POS"/>
    <n v="0.11351351351351352"/>
    <n v="370"/>
    <n v="42"/>
    <n v="0"/>
    <m/>
    <m/>
    <m/>
    <m/>
    <n v="0"/>
    <n v="0"/>
    <n v="26420.397120151989"/>
  </r>
  <r>
    <d v="2025-12-18T00:00:00"/>
    <x v="4"/>
    <s v="KETEN TOHUMU"/>
    <m/>
    <x v="5"/>
    <s v="ST00000000593"/>
    <s v="SATIŞ"/>
    <s v="POS"/>
    <n v="0.5"/>
    <n v="140"/>
    <n v="70"/>
    <n v="0"/>
    <m/>
    <m/>
    <m/>
    <m/>
    <n v="0"/>
    <n v="0"/>
    <n v="26420.397120151989"/>
  </r>
  <r>
    <d v="2025-12-18T00:00:00"/>
    <x v="4"/>
    <s v="MISIR UNU"/>
    <m/>
    <x v="1"/>
    <s v="ST00000000594"/>
    <s v="SATIŞ"/>
    <s v="NAKİT"/>
    <n v="0.5"/>
    <n v="60"/>
    <n v="0"/>
    <n v="0"/>
    <m/>
    <m/>
    <m/>
    <m/>
    <n v="30"/>
    <n v="0"/>
    <n v="26450.397120151989"/>
  </r>
  <r>
    <d v="2025-12-18T00:00:00"/>
    <x v="4"/>
    <s v="KABUKLU CEVİZ (ŞİLİ)"/>
    <m/>
    <x v="1"/>
    <s v="ST00000000595"/>
    <s v="SATIŞ"/>
    <s v="NAKİT"/>
    <n v="3"/>
    <n v="300"/>
    <n v="0"/>
    <n v="0"/>
    <m/>
    <m/>
    <m/>
    <m/>
    <n v="900"/>
    <n v="0"/>
    <n v="27350.397120151989"/>
  </r>
  <r>
    <d v="2025-12-18T00:00:00"/>
    <x v="4"/>
    <s v="BADEM KAVRULMUŞ"/>
    <m/>
    <x v="5"/>
    <s v="ST00000000596"/>
    <s v="SATIŞ"/>
    <s v="POS"/>
    <n v="0.23076923076923078"/>
    <n v="650"/>
    <n v="150"/>
    <n v="0"/>
    <m/>
    <m/>
    <m/>
    <m/>
    <n v="0"/>
    <n v="0"/>
    <n v="27350.397120151989"/>
  </r>
  <r>
    <d v="2025-12-18T00:00:00"/>
    <x v="4"/>
    <s v="IHLAMUR YAPRAK"/>
    <m/>
    <x v="5"/>
    <s v="ST00000000596"/>
    <s v="SATIŞ"/>
    <s v="POS"/>
    <n v="0.05"/>
    <n v="2600"/>
    <n v="130"/>
    <n v="0"/>
    <m/>
    <m/>
    <m/>
    <m/>
    <n v="0"/>
    <n v="0"/>
    <n v="27350.397120151989"/>
  </r>
  <r>
    <d v="2025-12-18T00:00:00"/>
    <x v="4"/>
    <s v="KUDÜS HURMASI JUMBO"/>
    <m/>
    <x v="5"/>
    <s v="ST00000000596"/>
    <s v="SATIŞ"/>
    <s v="POS"/>
    <n v="0.37462686567164177"/>
    <n v="670"/>
    <n v="251"/>
    <n v="0"/>
    <m/>
    <m/>
    <m/>
    <m/>
    <n v="0"/>
    <n v="0"/>
    <n v="27350.397120151989"/>
  </r>
  <r>
    <d v="2025-12-18T00:00:00"/>
    <x v="4"/>
    <s v="TÜDAB KIŞ ÇAYI 200 GR"/>
    <m/>
    <x v="5"/>
    <s v="ST00000000596"/>
    <s v="SATIŞ"/>
    <s v="POS"/>
    <n v="1"/>
    <n v="140"/>
    <n v="140"/>
    <n v="0"/>
    <m/>
    <m/>
    <m/>
    <m/>
    <n v="0"/>
    <n v="0"/>
    <n v="27350.397120151989"/>
  </r>
  <r>
    <d v="2025-12-18T00:00:00"/>
    <x v="4"/>
    <s v="CEVİZLİ SUCUK ATOM (ESMER)"/>
    <m/>
    <x v="5"/>
    <s v="ST00000000596"/>
    <s v="SATIŞ"/>
    <s v="POS"/>
    <n v="0.41764705882352943"/>
    <n v="340"/>
    <n v="142"/>
    <n v="0"/>
    <m/>
    <m/>
    <m/>
    <m/>
    <n v="0"/>
    <n v="0"/>
    <n v="27350.397120151989"/>
  </r>
  <r>
    <d v="2025-12-18T00:00:00"/>
    <x v="4"/>
    <s v="GÜNAYDIN KAYA TUZU İNCE"/>
    <m/>
    <x v="5"/>
    <s v="ST00000000596"/>
    <s v="SATIŞ"/>
    <s v="POS"/>
    <n v="0.5"/>
    <n v="80"/>
    <n v="40"/>
    <n v="0"/>
    <m/>
    <m/>
    <m/>
    <m/>
    <n v="0"/>
    <n v="0"/>
    <n v="27350.397120151989"/>
  </r>
  <r>
    <d v="2025-12-18T00:00:00"/>
    <x v="4"/>
    <s v="HİNDİSTAN CEVİZİ YAĞI 20 CC"/>
    <m/>
    <x v="5"/>
    <s v="ST00000000596"/>
    <s v="SATIŞ"/>
    <s v="POS"/>
    <n v="1"/>
    <n v="110"/>
    <n v="110"/>
    <n v="0"/>
    <m/>
    <m/>
    <m/>
    <m/>
    <n v="0"/>
    <n v="0"/>
    <n v="27350.397120151989"/>
  </r>
  <r>
    <d v="2025-12-18T00:00:00"/>
    <x v="4"/>
    <s v="BİBERİYE YAĞI 10 CC"/>
    <m/>
    <x v="5"/>
    <s v="ST00000000596"/>
    <s v="SATIŞ"/>
    <s v="POS"/>
    <n v="1"/>
    <n v="145"/>
    <n v="145"/>
    <n v="0"/>
    <m/>
    <m/>
    <m/>
    <m/>
    <n v="0"/>
    <n v="0"/>
    <n v="27350.397120151989"/>
  </r>
  <r>
    <d v="2025-12-18T00:00:00"/>
    <x v="10"/>
    <m/>
    <m/>
    <x v="5"/>
    <m/>
    <s v="POS ÇÖZÜMÜ"/>
    <s v="POS"/>
    <n v="1"/>
    <n v="150"/>
    <n v="0"/>
    <n v="150"/>
    <n v="330"/>
    <m/>
    <m/>
    <m/>
    <n v="150"/>
    <n v="0"/>
    <n v="27500.397120151989"/>
  </r>
  <r>
    <d v="2025-12-18T00:00:00"/>
    <x v="10"/>
    <m/>
    <m/>
    <x v="5"/>
    <m/>
    <s v="POS ÇÖZÜMÜ"/>
    <s v="POS"/>
    <n v="1"/>
    <n v="901"/>
    <n v="0"/>
    <n v="901"/>
    <n v="330"/>
    <m/>
    <m/>
    <m/>
    <n v="901"/>
    <n v="0"/>
    <n v="28401.397120151989"/>
  </r>
  <r>
    <d v="2025-12-19T00:00:00"/>
    <x v="4"/>
    <s v="BİZİM YAPRAK 1 LİK"/>
    <m/>
    <x v="1"/>
    <s v="ST00000000597"/>
    <s v="SATIŞ"/>
    <s v="NAKİT"/>
    <n v="1"/>
    <n v="290"/>
    <n v="0"/>
    <n v="0"/>
    <m/>
    <m/>
    <m/>
    <m/>
    <n v="290"/>
    <n v="0"/>
    <n v="28691.397120151989"/>
  </r>
  <r>
    <d v="2025-12-19T00:00:00"/>
    <x v="4"/>
    <s v="MISIR UNU"/>
    <m/>
    <x v="5"/>
    <s v="ST00000000598"/>
    <s v="SATIŞ"/>
    <s v="POS"/>
    <n v="1"/>
    <n v="60"/>
    <n v="60"/>
    <n v="0"/>
    <m/>
    <m/>
    <m/>
    <m/>
    <n v="0"/>
    <n v="0"/>
    <n v="28691.397120151989"/>
  </r>
  <r>
    <d v="2025-12-19T00:00:00"/>
    <x v="4"/>
    <s v="TOZ BİBER - ACI"/>
    <m/>
    <x v="5"/>
    <s v="ST00000000599"/>
    <s v="SATIŞ"/>
    <s v="POS"/>
    <n v="0.27567567567567569"/>
    <n v="370"/>
    <n v="102"/>
    <n v="0"/>
    <m/>
    <m/>
    <m/>
    <m/>
    <n v="0"/>
    <n v="0"/>
    <n v="28691.397120151989"/>
  </r>
  <r>
    <d v="2025-12-19T00:00:00"/>
    <x v="4"/>
    <s v="İZMİR ÜZÜMÜ"/>
    <m/>
    <x v="5"/>
    <s v="ST00000000599"/>
    <s v="SATIŞ"/>
    <s v="POS"/>
    <n v="0.46800000000000003"/>
    <n v="250"/>
    <n v="117"/>
    <n v="0"/>
    <m/>
    <m/>
    <m/>
    <m/>
    <n v="0"/>
    <n v="0"/>
    <n v="28691.397120151989"/>
  </r>
  <r>
    <d v="2025-12-19T00:00:00"/>
    <x v="4"/>
    <s v="HATMİ ÇİÇEĞİ"/>
    <m/>
    <x v="5"/>
    <s v="ST00000000600"/>
    <s v="SATIŞ"/>
    <s v="POS"/>
    <n v="7.571428571428572E-2"/>
    <n v="1400"/>
    <n v="106.00000000000001"/>
    <n v="0"/>
    <m/>
    <m/>
    <m/>
    <m/>
    <n v="0"/>
    <n v="0"/>
    <n v="28691.397120151989"/>
  </r>
  <r>
    <d v="2025-12-19T00:00:00"/>
    <x v="4"/>
    <s v="KINA RGS DÖKME"/>
    <m/>
    <x v="5"/>
    <s v="ST00000000601"/>
    <s v="SATIŞ"/>
    <s v="POS"/>
    <n v="0.25"/>
    <n v="400"/>
    <n v="100"/>
    <n v="0"/>
    <m/>
    <m/>
    <m/>
    <m/>
    <n v="0"/>
    <n v="0"/>
    <n v="28691.397120151989"/>
  </r>
  <r>
    <d v="2025-12-19T00:00:00"/>
    <x v="4"/>
    <s v="SEYİDOĞLU PEKMEZ 700 g"/>
    <m/>
    <x v="1"/>
    <s v="ST00000000602"/>
    <s v="SATIŞ"/>
    <s v="NAKİT"/>
    <n v="1"/>
    <n v="170"/>
    <n v="0"/>
    <n v="0"/>
    <m/>
    <m/>
    <m/>
    <m/>
    <n v="170"/>
    <n v="0"/>
    <n v="28861.397120151989"/>
  </r>
  <r>
    <d v="2025-12-19T00:00:00"/>
    <x v="4"/>
    <s v="TÜDAB TURŞU BİBER"/>
    <m/>
    <x v="1"/>
    <s v="ST00000000602"/>
    <s v="SATIŞ"/>
    <s v="NAKİT"/>
    <n v="1"/>
    <n v="350"/>
    <n v="0"/>
    <n v="0"/>
    <m/>
    <m/>
    <m/>
    <m/>
    <n v="350"/>
    <n v="0"/>
    <n v="29211.397120151989"/>
  </r>
  <r>
    <d v="2025-12-19T00:00:00"/>
    <x v="4"/>
    <s v="AÇLIK OTU"/>
    <m/>
    <x v="1"/>
    <s v="ST00000000603"/>
    <s v="SATIŞ"/>
    <s v="NAKİT"/>
    <n v="0.12"/>
    <n v="417"/>
    <n v="0"/>
    <n v="0"/>
    <m/>
    <m/>
    <m/>
    <m/>
    <n v="50.04"/>
    <n v="0"/>
    <n v="29261.43712015199"/>
  </r>
  <r>
    <d v="2025-12-19T00:00:00"/>
    <x v="4"/>
    <s v="DOLMALIK SARI BİBER"/>
    <m/>
    <x v="1"/>
    <s v="ST00000000604"/>
    <s v="SATIŞ"/>
    <s v="NAKİT"/>
    <n v="1"/>
    <n v="230"/>
    <n v="0"/>
    <n v="0"/>
    <m/>
    <m/>
    <m/>
    <m/>
    <n v="230"/>
    <n v="0"/>
    <n v="29491.43712015199"/>
  </r>
  <r>
    <d v="2025-12-19T00:00:00"/>
    <x v="4"/>
    <s v="HAŞİROĞLU TARHANA ÇEREZLİK"/>
    <m/>
    <x v="5"/>
    <s v="ST00000000605"/>
    <s v="SATIŞ"/>
    <s v="POS"/>
    <n v="1"/>
    <n v="250"/>
    <n v="250"/>
    <n v="0"/>
    <m/>
    <m/>
    <m/>
    <m/>
    <n v="0"/>
    <n v="0"/>
    <n v="29491.43712015199"/>
  </r>
  <r>
    <d v="2025-12-19T00:00:00"/>
    <x v="4"/>
    <s v="YENİBAHAR TOZ"/>
    <m/>
    <x v="5"/>
    <s v="ST00000000606"/>
    <s v="SATIŞ"/>
    <s v="POS"/>
    <n v="0.12987012987012986"/>
    <n v="770"/>
    <n v="99.999999999999986"/>
    <n v="0"/>
    <m/>
    <m/>
    <m/>
    <m/>
    <n v="0"/>
    <n v="0"/>
    <n v="29491.43712015199"/>
  </r>
  <r>
    <d v="2025-12-19T00:00:00"/>
    <x v="4"/>
    <s v="KİNOA DÖKME"/>
    <m/>
    <x v="5"/>
    <s v="ST00000000606"/>
    <s v="SATIŞ"/>
    <s v="POS"/>
    <n v="0.41666666666666669"/>
    <n v="240"/>
    <n v="100"/>
    <n v="0"/>
    <m/>
    <m/>
    <m/>
    <m/>
    <n v="0"/>
    <n v="0"/>
    <n v="29491.43712015199"/>
  </r>
  <r>
    <d v="2025-12-19T00:00:00"/>
    <x v="4"/>
    <s v="KÖFTELİK BULGUR"/>
    <m/>
    <x v="5"/>
    <s v="ST00000000607"/>
    <s v="SATIŞ"/>
    <s v="POS"/>
    <n v="1.6307692307692307"/>
    <n v="65"/>
    <n v="106"/>
    <n v="0"/>
    <m/>
    <m/>
    <m/>
    <m/>
    <n v="0"/>
    <n v="0"/>
    <n v="29491.43712015199"/>
  </r>
  <r>
    <d v="2025-12-19T00:00:00"/>
    <x v="4"/>
    <s v="HAPPY LİFE NAR EKŞİSİ 250 ML"/>
    <m/>
    <x v="5"/>
    <s v="ST00000000607"/>
    <s v="SATIŞ"/>
    <s v="POS"/>
    <n v="1"/>
    <n v="125"/>
    <n v="125"/>
    <n v="0"/>
    <m/>
    <m/>
    <m/>
    <m/>
    <n v="0"/>
    <n v="0"/>
    <n v="29491.43712015199"/>
  </r>
  <r>
    <d v="2025-12-19T00:00:00"/>
    <x v="4"/>
    <s v="TOZ BİBER - TATLI"/>
    <m/>
    <x v="1"/>
    <s v="ST00000000608"/>
    <s v="SATIŞ - TOPTAN"/>
    <s v="NAKİT"/>
    <n v="0.63492063492063489"/>
    <n v="315"/>
    <n v="0"/>
    <n v="0"/>
    <m/>
    <m/>
    <m/>
    <m/>
    <n v="200"/>
    <n v="0"/>
    <n v="29691.43712015199"/>
  </r>
  <r>
    <d v="2025-12-19T00:00:00"/>
    <x v="4"/>
    <s v="KİMYON ÇEKİLMİŞ"/>
    <m/>
    <x v="1"/>
    <s v="ST00000000608"/>
    <s v="SATIŞ - TOPTAN"/>
    <s v="NAKİT"/>
    <n v="0.98039215686274506"/>
    <n v="255"/>
    <n v="0"/>
    <n v="0"/>
    <m/>
    <m/>
    <m/>
    <m/>
    <n v="250"/>
    <n v="0"/>
    <n v="29941.43712015199"/>
  </r>
  <r>
    <d v="2025-12-19T00:00:00"/>
    <x v="4"/>
    <s v="LEBLEBİ ÇİFTE SARI"/>
    <m/>
    <x v="5"/>
    <s v="ST00000000609"/>
    <s v="SATIŞ"/>
    <s v="POS"/>
    <n v="0.41399999999999998"/>
    <n v="240"/>
    <n v="99.36"/>
    <n v="0"/>
    <m/>
    <m/>
    <m/>
    <m/>
    <n v="0"/>
    <n v="0"/>
    <n v="29941.43712015199"/>
  </r>
  <r>
    <d v="2025-12-19T00:00:00"/>
    <x v="4"/>
    <s v="FINDIK BULACAK (13-15)"/>
    <m/>
    <x v="5"/>
    <s v="ST00000000609"/>
    <s v="SATIŞ"/>
    <s v="POS"/>
    <n v="0.51600000000000001"/>
    <n v="1200"/>
    <n v="619.20000000000005"/>
    <n v="0"/>
    <m/>
    <m/>
    <m/>
    <m/>
    <n v="0"/>
    <n v="0"/>
    <n v="29941.43712015199"/>
  </r>
  <r>
    <d v="2025-12-19T00:00:00"/>
    <x v="4"/>
    <s v="BADEM ÇİĞ "/>
    <m/>
    <x v="5"/>
    <s v="ST00000000609"/>
    <s v="SATIŞ"/>
    <s v="POS"/>
    <n v="0.23200000000000001"/>
    <n v="650"/>
    <n v="150.80000000000001"/>
    <n v="0"/>
    <m/>
    <m/>
    <m/>
    <m/>
    <n v="0"/>
    <n v="0"/>
    <n v="29941.43712015199"/>
  </r>
  <r>
    <d v="2025-12-19T00:00:00"/>
    <x v="4"/>
    <s v="TUZLU FISTIK DUBLE"/>
    <m/>
    <x v="5"/>
    <s v="ST00000000609"/>
    <s v="SATIŞ"/>
    <s v="POS"/>
    <n v="0.52800000000000002"/>
    <n v="195"/>
    <n v="102.96000000000001"/>
    <n v="0"/>
    <m/>
    <m/>
    <m/>
    <m/>
    <n v="0"/>
    <n v="0"/>
    <n v="29941.43712015199"/>
  </r>
  <r>
    <d v="2025-12-19T00:00:00"/>
    <x v="4"/>
    <s v="NBN DAĞ İNCİRİ"/>
    <m/>
    <x v="5"/>
    <s v="ST00000000609"/>
    <s v="SATIŞ"/>
    <s v="POS"/>
    <n v="0.62"/>
    <n v="800"/>
    <n v="496"/>
    <n v="0"/>
    <m/>
    <m/>
    <m/>
    <m/>
    <n v="0"/>
    <n v="0"/>
    <n v="29941.43712015199"/>
  </r>
  <r>
    <d v="2025-12-19T00:00:00"/>
    <x v="4"/>
    <s v="AÇIK KAYISI İRİ (SARI)"/>
    <m/>
    <x v="5"/>
    <s v="ST00000000609"/>
    <s v="SATIŞ"/>
    <s v="POS"/>
    <n v="0.58199999999999996"/>
    <n v="750"/>
    <n v="436.49999999999994"/>
    <n v="0"/>
    <m/>
    <m/>
    <m/>
    <m/>
    <n v="0"/>
    <n v="0"/>
    <n v="29941.43712015199"/>
  </r>
  <r>
    <d v="2025-12-19T00:00:00"/>
    <x v="4"/>
    <s v="KUDÜS HURMASI JUMBO"/>
    <m/>
    <x v="5"/>
    <s v="ST00000000609"/>
    <s v="SATIŞ"/>
    <s v="POS"/>
    <n v="0.98199999999999998"/>
    <n v="670"/>
    <n v="657.93999999999994"/>
    <n v="0"/>
    <m/>
    <m/>
    <m/>
    <m/>
    <n v="0"/>
    <n v="0"/>
    <n v="29941.43712015199"/>
  </r>
  <r>
    <d v="2025-12-19T00:00:00"/>
    <x v="4"/>
    <s v="KABUKLU CEVİZ (ŞİLİ)"/>
    <m/>
    <x v="5"/>
    <s v="ST00000000609"/>
    <s v="SATIŞ"/>
    <s v="POS"/>
    <n v="0.47599999999999998"/>
    <n v="290"/>
    <n v="138.04"/>
    <n v="0"/>
    <m/>
    <m/>
    <m/>
    <m/>
    <n v="0"/>
    <n v="0"/>
    <n v="29941.43712015199"/>
  </r>
  <r>
    <d v="2025-12-19T00:00:00"/>
    <x v="4"/>
    <s v="NAHİTA NAR EKŞİSİ 250 ML"/>
    <m/>
    <x v="5"/>
    <s v="ST00000000609"/>
    <s v="SATIŞ"/>
    <s v="POS"/>
    <n v="1"/>
    <n v="160"/>
    <n v="160"/>
    <n v="0"/>
    <m/>
    <m/>
    <m/>
    <m/>
    <n v="0"/>
    <n v="0"/>
    <n v="29941.43712015199"/>
  </r>
  <r>
    <d v="2025-12-19T00:00:00"/>
    <x v="4"/>
    <s v="DENİZ ÇİKOLATA KAPLAMALI PİŞMANİYE"/>
    <m/>
    <x v="5"/>
    <s v="ST00000000609"/>
    <s v="SATIŞ"/>
    <s v="POS"/>
    <n v="1"/>
    <n v="90"/>
    <n v="90"/>
    <n v="0"/>
    <m/>
    <m/>
    <m/>
    <m/>
    <n v="0"/>
    <n v="0"/>
    <n v="29941.43712015199"/>
  </r>
  <r>
    <d v="2025-12-19T00:00:00"/>
    <x v="4"/>
    <s v="DOLMALIK KURU PATLICAN"/>
    <m/>
    <x v="5"/>
    <s v="ST00000000609"/>
    <s v="SATIŞ"/>
    <s v="POS"/>
    <n v="1"/>
    <n v="260"/>
    <n v="260"/>
    <n v="0"/>
    <m/>
    <m/>
    <m/>
    <m/>
    <n v="0"/>
    <n v="0"/>
    <n v="29941.43712015199"/>
  </r>
  <r>
    <d v="2025-12-19T00:00:00"/>
    <x v="4"/>
    <s v="DOLMALIK SARI BİBER"/>
    <m/>
    <x v="5"/>
    <s v="ST00000000609"/>
    <s v="SATIŞ"/>
    <s v="POS"/>
    <n v="1"/>
    <n v="230"/>
    <n v="230"/>
    <n v="0"/>
    <m/>
    <m/>
    <m/>
    <m/>
    <n v="0"/>
    <n v="0"/>
    <n v="29941.43712015199"/>
  </r>
  <r>
    <d v="2025-12-19T00:00:00"/>
    <x v="4"/>
    <s v="DOLMALIK SARI BİBER"/>
    <m/>
    <x v="5"/>
    <s v="ST00000000609"/>
    <s v="SATIŞ"/>
    <s v="POS"/>
    <n v="1"/>
    <n v="230"/>
    <n v="230"/>
    <n v="0"/>
    <m/>
    <m/>
    <m/>
    <m/>
    <n v="0"/>
    <n v="0"/>
    <n v="29941.43712015199"/>
  </r>
  <r>
    <d v="2025-12-19T00:00:00"/>
    <x v="4"/>
    <s v="DOMATES SALÇASI"/>
    <m/>
    <x v="5"/>
    <s v="ST00000000609"/>
    <s v="SATIŞ"/>
    <s v="POS"/>
    <n v="1"/>
    <n v="150"/>
    <n v="150"/>
    <n v="0"/>
    <m/>
    <m/>
    <m/>
    <m/>
    <n v="0"/>
    <n v="0"/>
    <n v="29941.43712015199"/>
  </r>
  <r>
    <d v="2025-12-19T00:00:00"/>
    <x v="4"/>
    <s v="DOLMALIK KURU PATLICAN"/>
    <m/>
    <x v="5"/>
    <s v="ST00000000610"/>
    <s v="SATIŞ"/>
    <s v="POS"/>
    <n v="1"/>
    <n v="220"/>
    <n v="220"/>
    <n v="0"/>
    <m/>
    <m/>
    <m/>
    <m/>
    <n v="0"/>
    <n v="0"/>
    <n v="29941.43712015199"/>
  </r>
  <r>
    <d v="2025-12-19T00:00:00"/>
    <x v="4"/>
    <s v="DOLMALIK KURU TATLI KIRMIZI BİBER"/>
    <m/>
    <x v="5"/>
    <s v="ST00000000610"/>
    <s v="SATIŞ"/>
    <s v="POS"/>
    <n v="1"/>
    <n v="200"/>
    <n v="200"/>
    <n v="0"/>
    <m/>
    <m/>
    <m/>
    <m/>
    <n v="0"/>
    <n v="0"/>
    <n v="29941.43712015199"/>
  </r>
  <r>
    <d v="2025-12-19T00:00:00"/>
    <x v="4"/>
    <s v="TİLAKS ÇAYI"/>
    <m/>
    <x v="5"/>
    <s v="ST00000000610"/>
    <s v="SATIŞ"/>
    <s v="POS"/>
    <n v="1"/>
    <n v="130"/>
    <n v="130"/>
    <n v="0"/>
    <m/>
    <m/>
    <m/>
    <m/>
    <n v="0"/>
    <n v="0"/>
    <n v="29941.43712015199"/>
  </r>
  <r>
    <d v="2025-12-19T00:00:00"/>
    <x v="4"/>
    <s v="ZÜHRE ANA BROMELAİN ANANAS İÇEREN DETOX ŞURUBU 250 ML"/>
    <m/>
    <x v="5"/>
    <s v="ST00000000610"/>
    <s v="SATIŞ"/>
    <s v="POS"/>
    <n v="1"/>
    <n v="195"/>
    <n v="195"/>
    <n v="0"/>
    <m/>
    <m/>
    <m/>
    <m/>
    <n v="0"/>
    <n v="0"/>
    <n v="29941.43712015199"/>
  </r>
  <r>
    <d v="2025-12-19T00:00:00"/>
    <x v="4"/>
    <s v="LİMONTUZU TOZ"/>
    <m/>
    <x v="5"/>
    <s v="ST00000000610"/>
    <s v="SATIŞ"/>
    <s v="POS"/>
    <n v="0.25"/>
    <n v="180"/>
    <n v="45"/>
    <n v="0"/>
    <m/>
    <m/>
    <m/>
    <m/>
    <n v="0"/>
    <n v="0"/>
    <n v="29941.43712015199"/>
  </r>
  <r>
    <d v="2025-12-19T00:00:00"/>
    <x v="4"/>
    <s v="LİMONTUZU PARCA"/>
    <m/>
    <x v="5"/>
    <s v="ST00000000610"/>
    <s v="SATIŞ"/>
    <s v="POS"/>
    <n v="0.25"/>
    <n v="180"/>
    <n v="45"/>
    <n v="0"/>
    <m/>
    <m/>
    <m/>
    <m/>
    <n v="0"/>
    <n v="0"/>
    <n v="29941.43712015199"/>
  </r>
  <r>
    <d v="2025-12-19T00:00:00"/>
    <x v="4"/>
    <s v="MOR REYHAN"/>
    <m/>
    <x v="5"/>
    <s v="ST00000000610"/>
    <s v="SATIŞ"/>
    <s v="POS"/>
    <n v="0.05"/>
    <n v="1300"/>
    <n v="65"/>
    <n v="0"/>
    <m/>
    <m/>
    <m/>
    <m/>
    <n v="0"/>
    <n v="0"/>
    <n v="29941.43712015199"/>
  </r>
  <r>
    <d v="2025-12-19T00:00:00"/>
    <x v="3"/>
    <s v="MANİSA YAPRAK DÖKME"/>
    <m/>
    <x v="2"/>
    <m/>
    <s v="MANİSA YAPRAK 5 KG"/>
    <s v="K.K."/>
    <n v="20.75"/>
    <n v="209.64"/>
    <n v="0"/>
    <n v="4350.03"/>
    <m/>
    <m/>
    <m/>
    <m/>
    <n v="0"/>
    <n v="0"/>
    <n v="29941.43712015199"/>
  </r>
  <r>
    <d v="2025-12-19T00:00:00"/>
    <x v="7"/>
    <m/>
    <m/>
    <x v="3"/>
    <m/>
    <s v="YALÇINTAT - ÖDEME"/>
    <s v="NAKİT"/>
    <n v="1"/>
    <n v="0"/>
    <n v="15000"/>
    <n v="0"/>
    <m/>
    <m/>
    <m/>
    <m/>
    <n v="0"/>
    <n v="15000"/>
    <n v="14941.43712015199"/>
  </r>
  <r>
    <d v="2025-12-19T00:00:00"/>
    <x v="7"/>
    <m/>
    <m/>
    <x v="3"/>
    <m/>
    <s v="YALÇINTAT - ÖDEME"/>
    <s v="NAKİT"/>
    <n v="1"/>
    <n v="0"/>
    <n v="10000"/>
    <n v="0"/>
    <m/>
    <m/>
    <m/>
    <m/>
    <n v="0"/>
    <n v="10000"/>
    <n v="4941.4371201519898"/>
  </r>
  <r>
    <d v="2025-12-19T00:00:00"/>
    <x v="10"/>
    <m/>
    <m/>
    <x v="5"/>
    <m/>
    <s v="POS ÇÖZÜMÜ"/>
    <s v="POS"/>
    <n v="1"/>
    <n v="1185"/>
    <n v="0"/>
    <n v="1185"/>
    <n v="330"/>
    <m/>
    <m/>
    <m/>
    <n v="1185"/>
    <n v="0"/>
    <n v="6126.4371201519898"/>
  </r>
  <r>
    <d v="2025-12-19T00:00:00"/>
    <x v="10"/>
    <m/>
    <m/>
    <x v="5"/>
    <m/>
    <s v="POS ÇÖZÜMÜ"/>
    <s v="POS"/>
    <n v="1"/>
    <n v="1"/>
    <n v="0"/>
    <n v="1000"/>
    <m/>
    <m/>
    <m/>
    <m/>
    <n v="1000"/>
    <n v="0"/>
    <n v="7126.4371201519898"/>
  </r>
  <r>
    <d v="2025-12-20T00:00:00"/>
    <x v="3"/>
    <s v="GENÇAY ALIÇ SİRKESİ 500 CC"/>
    <m/>
    <x v="8"/>
    <s v="FT00000000069"/>
    <s v="GENÇAY BAHARAT - İSMAİL MAHMUT GENÇAY"/>
    <s v="CARİ"/>
    <n v="12"/>
    <n v="81"/>
    <n v="0"/>
    <n v="972"/>
    <m/>
    <m/>
    <m/>
    <m/>
    <n v="0"/>
    <n v="0"/>
    <n v="7126.4371201519898"/>
  </r>
  <r>
    <d v="2025-12-20T00:00:00"/>
    <x v="3"/>
    <s v="GENÇAY ELMA SİRKESİ 500 CC"/>
    <m/>
    <x v="8"/>
    <s v="FT00000000069"/>
    <s v="GENÇAY BAHARAT - İSMAİL MAHMUT GENÇAY"/>
    <s v="CARİ"/>
    <n v="36"/>
    <n v="81"/>
    <n v="0"/>
    <n v="2916"/>
    <m/>
    <m/>
    <m/>
    <m/>
    <n v="0"/>
    <n v="0"/>
    <n v="7126.4371201519898"/>
  </r>
  <r>
    <d v="2025-12-20T00:00:00"/>
    <x v="3"/>
    <s v="GENÇAY KEÇİ BOYNUZU ÖZÜ 675 GR"/>
    <m/>
    <x v="8"/>
    <s v="FT00000000069"/>
    <s v="GENÇAY BAHARAT - İSMAİL MAHMUT GENÇAY"/>
    <s v="CARİ"/>
    <n v="36"/>
    <n v="126"/>
    <n v="0"/>
    <n v="4536"/>
    <m/>
    <m/>
    <m/>
    <m/>
    <n v="0"/>
    <n v="0"/>
    <n v="7126.4371201519898"/>
  </r>
  <r>
    <d v="2025-12-20T00:00:00"/>
    <x v="3"/>
    <s v="GENÇAY NAR EKŞİSİ 330 GR"/>
    <m/>
    <x v="8"/>
    <s v="FT00000000069"/>
    <s v="GENÇAY BAHARAT - İSMAİL MAHMUT GENÇAY"/>
    <s v="CARİ"/>
    <n v="12"/>
    <n v="108"/>
    <n v="0"/>
    <n v="1296"/>
    <m/>
    <m/>
    <m/>
    <m/>
    <n v="0"/>
    <n v="0"/>
    <n v="7126.4371201519898"/>
  </r>
  <r>
    <d v="2025-12-20T00:00:00"/>
    <x v="3"/>
    <s v="KANTARON YAĞI 50 CC"/>
    <m/>
    <x v="8"/>
    <s v="FT00000000069"/>
    <s v="GENÇAY BAHARAT - İSMAİL MAHMUT GENÇAY"/>
    <s v="CARİ"/>
    <n v="12"/>
    <n v="60"/>
    <n v="0"/>
    <n v="720"/>
    <m/>
    <m/>
    <m/>
    <m/>
    <n v="0"/>
    <n v="0"/>
    <n v="7126.4371201519898"/>
  </r>
  <r>
    <d v="2025-12-20T00:00:00"/>
    <x v="3"/>
    <s v="KEKİK YAĞI 10 CC"/>
    <m/>
    <x v="8"/>
    <s v="FT00000000069"/>
    <s v="GENÇAY BAHARAT - İSMAİL MAHMUT GENÇAY"/>
    <s v="CARİ"/>
    <n v="12"/>
    <n v="75"/>
    <n v="0"/>
    <n v="900"/>
    <m/>
    <m/>
    <m/>
    <m/>
    <n v="0"/>
    <n v="0"/>
    <n v="7126.4371201519898"/>
  </r>
  <r>
    <d v="2025-12-20T00:00:00"/>
    <x v="3"/>
    <s v="LAVANTA YAĞI 10 CC"/>
    <m/>
    <x v="8"/>
    <s v="FT00000000069"/>
    <s v="GENÇAY BAHARAT - İSMAİL MAHMUT GENÇAY"/>
    <s v="CARİ"/>
    <n v="12"/>
    <n v="54"/>
    <n v="0"/>
    <n v="648"/>
    <m/>
    <m/>
    <m/>
    <m/>
    <n v="0"/>
    <n v="0"/>
    <n v="7126.4371201519898"/>
  </r>
  <r>
    <d v="2025-12-20T00:00:00"/>
    <x v="3"/>
    <s v="ÇÖREKOTU YAĞI 50 CC"/>
    <m/>
    <x v="8"/>
    <s v="FT00000000069"/>
    <s v="GENÇAY BAHARAT - İSMAİL MAHMUT GENÇAY"/>
    <s v="CARİ"/>
    <n v="12"/>
    <n v="82.5"/>
    <n v="0"/>
    <n v="990"/>
    <m/>
    <m/>
    <m/>
    <m/>
    <n v="0"/>
    <n v="0"/>
    <n v="7126.4371201519898"/>
  </r>
  <r>
    <d v="2025-12-20T00:00:00"/>
    <x v="3"/>
    <s v="BİBERİYE YAĞI 10 CC"/>
    <m/>
    <x v="8"/>
    <s v="FT00000000069"/>
    <s v="GENÇAY BAHARAT - İSMAİL MAHMUT GENÇAY"/>
    <s v="CARİ"/>
    <n v="12"/>
    <n v="60"/>
    <n v="0"/>
    <n v="720"/>
    <m/>
    <m/>
    <m/>
    <m/>
    <n v="0"/>
    <n v="0"/>
    <n v="7126.4371201519898"/>
  </r>
  <r>
    <d v="2025-12-20T00:00:00"/>
    <x v="4"/>
    <s v="DUT KURUSU LÜX ELAZIĞ"/>
    <m/>
    <x v="1"/>
    <s v="ST00000000611"/>
    <s v="SATIŞ"/>
    <s v="NAKİT"/>
    <n v="0.25"/>
    <n v="800"/>
    <n v="0"/>
    <n v="0"/>
    <m/>
    <m/>
    <m/>
    <m/>
    <n v="200"/>
    <n v="0"/>
    <n v="7326.4371201519898"/>
  </r>
  <r>
    <d v="2025-12-20T00:00:00"/>
    <x v="4"/>
    <s v="TÜRK KAHVESİ"/>
    <m/>
    <x v="1"/>
    <s v="ST00000000611"/>
    <s v="SATIŞ"/>
    <s v="NAKİT"/>
    <n v="0.1"/>
    <n v="500"/>
    <n v="0"/>
    <n v="0"/>
    <m/>
    <m/>
    <m/>
    <m/>
    <n v="50"/>
    <n v="0"/>
    <n v="7376.4371201519898"/>
  </r>
  <r>
    <d v="2025-12-20T00:00:00"/>
    <x v="4"/>
    <s v="DUT KURUSU LÜX ELAZIĞ"/>
    <m/>
    <x v="5"/>
    <s v="ST00000000612"/>
    <s v="SATIŞ"/>
    <s v="POS"/>
    <n v="0.23749999999999999"/>
    <n v="800"/>
    <n v="190"/>
    <n v="0"/>
    <m/>
    <m/>
    <m/>
    <m/>
    <n v="0"/>
    <n v="0"/>
    <n v="7376.4371201519898"/>
  </r>
  <r>
    <d v="2025-12-20T00:00:00"/>
    <x v="4"/>
    <s v="KUŞBURNU - KIRMIZI"/>
    <m/>
    <x v="5"/>
    <s v="ST00000000612"/>
    <s v="SATIŞ"/>
    <s v="POS"/>
    <n v="0.25"/>
    <n v="360"/>
    <n v="90"/>
    <n v="0"/>
    <m/>
    <m/>
    <m/>
    <m/>
    <n v="0"/>
    <n v="0"/>
    <n v="7376.4371201519898"/>
  </r>
  <r>
    <d v="2025-12-20T00:00:00"/>
    <x v="4"/>
    <s v="NBN 2,5 KG İNCİR"/>
    <m/>
    <x v="1"/>
    <s v="ST00000000613"/>
    <s v="SATIŞ"/>
    <s v="NAKİT"/>
    <n v="0.48799999999999999"/>
    <n v="600"/>
    <n v="0"/>
    <n v="0"/>
    <m/>
    <m/>
    <m/>
    <m/>
    <n v="292.8"/>
    <n v="0"/>
    <n v="7669.23712015199"/>
  </r>
  <r>
    <d v="2025-12-20T00:00:00"/>
    <x v="4"/>
    <s v="ÖZBEK ÜZÜMÜ"/>
    <m/>
    <x v="1"/>
    <s v="ST00000000613"/>
    <s v="SATIŞ"/>
    <s v="NAKİT"/>
    <n v="0.29399999999999998"/>
    <n v="550"/>
    <n v="0"/>
    <n v="0"/>
    <m/>
    <m/>
    <m/>
    <m/>
    <n v="161.69999999999999"/>
    <n v="0"/>
    <n v="7830.9371201519898"/>
  </r>
  <r>
    <d v="2025-12-20T00:00:00"/>
    <x v="4"/>
    <s v="ÇAM FISTIĞI (DOLMALIK YER FISTIĞI)"/>
    <m/>
    <x v="1"/>
    <s v="ST00000000613"/>
    <s v="SATIŞ"/>
    <s v="NAKİT"/>
    <n v="0.1"/>
    <n v="250"/>
    <n v="0"/>
    <n v="0"/>
    <m/>
    <m/>
    <m/>
    <m/>
    <n v="25"/>
    <n v="0"/>
    <n v="7855.9371201519898"/>
  </r>
  <r>
    <d v="2025-12-20T00:00:00"/>
    <x v="4"/>
    <s v="FINDIK BULACAK (13-15)"/>
    <m/>
    <x v="1"/>
    <s v="ST00000000613"/>
    <s v="SATIŞ"/>
    <s v="NAKİT"/>
    <n v="0.25800000000000001"/>
    <n v="1200"/>
    <n v="0"/>
    <n v="0"/>
    <m/>
    <m/>
    <m/>
    <m/>
    <n v="309.60000000000002"/>
    <n v="0"/>
    <n v="8165.5371201519902"/>
  </r>
  <r>
    <d v="2025-12-20T00:00:00"/>
    <x v="4"/>
    <s v="İZMİR ÜZÜMÜ"/>
    <m/>
    <x v="1"/>
    <s v="ST00000000613"/>
    <s v="SATIŞ"/>
    <s v="NAKİT"/>
    <n v="0.36599999999999999"/>
    <n v="250"/>
    <n v="0"/>
    <n v="0"/>
    <m/>
    <m/>
    <m/>
    <m/>
    <n v="91.5"/>
    <n v="0"/>
    <n v="8257.0371201519902"/>
  </r>
  <r>
    <d v="2025-12-20T00:00:00"/>
    <x v="4"/>
    <s v="TOZ BİBER - ACI"/>
    <m/>
    <x v="1"/>
    <s v="ST00000000613"/>
    <s v="SATIŞ"/>
    <s v="NAKİT"/>
    <n v="0.13600000000000001"/>
    <n v="370"/>
    <n v="0"/>
    <n v="0"/>
    <m/>
    <m/>
    <m/>
    <m/>
    <n v="50.32"/>
    <n v="0"/>
    <n v="8307.3571201519899"/>
  </r>
  <r>
    <d v="2025-12-20T00:00:00"/>
    <x v="4"/>
    <s v="EVLİK BİBER"/>
    <m/>
    <x v="1"/>
    <s v="ST00000000613"/>
    <s v="SATIŞ"/>
    <s v="NAKİT"/>
    <n v="0.13200000000000001"/>
    <n v="380"/>
    <n v="0"/>
    <n v="0"/>
    <m/>
    <m/>
    <m/>
    <m/>
    <n v="50.160000000000004"/>
    <n v="0"/>
    <n v="8357.5171201519897"/>
  </r>
  <r>
    <d v="2025-12-20T00:00:00"/>
    <x v="4"/>
    <s v="KUDÜS HURMASI JUMBO"/>
    <m/>
    <x v="1"/>
    <s v="ST00000000613"/>
    <s v="SATIŞ"/>
    <s v="NAKİT"/>
    <n v="0.154"/>
    <n v="670"/>
    <n v="0"/>
    <n v="0"/>
    <m/>
    <m/>
    <m/>
    <m/>
    <n v="103.17999999999999"/>
    <n v="0"/>
    <n v="8460.69712015199"/>
  </r>
  <r>
    <d v="2025-12-20T00:00:00"/>
    <x v="4"/>
    <s v="ZERDEÇAL TOZ"/>
    <m/>
    <x v="1"/>
    <s v="ST00000000614"/>
    <s v="SATIŞ"/>
    <s v="NAKİT"/>
    <n v="0.11700000000000001"/>
    <n v="300"/>
    <n v="0"/>
    <n v="0"/>
    <m/>
    <m/>
    <m/>
    <m/>
    <n v="35.1"/>
    <n v="0"/>
    <n v="8495.7971201519904"/>
  </r>
  <r>
    <d v="2025-12-20T00:00:00"/>
    <x v="4"/>
    <s v="FINDIK İÇİ ÇİĞ"/>
    <m/>
    <x v="1"/>
    <s v="ST00000000614"/>
    <s v="SATIŞ"/>
    <s v="NAKİT"/>
    <n v="0.1"/>
    <n v="1000"/>
    <n v="0"/>
    <n v="0"/>
    <m/>
    <m/>
    <m/>
    <m/>
    <n v="100"/>
    <n v="0"/>
    <n v="8595.7971201519904"/>
  </r>
  <r>
    <d v="2025-12-20T00:00:00"/>
    <x v="4"/>
    <s v="İPEK BİBER"/>
    <m/>
    <x v="1"/>
    <s v="ST00000000615"/>
    <s v="SATIŞ"/>
    <s v="NAKİT"/>
    <n v="0.28000000000000003"/>
    <n v="500"/>
    <n v="0"/>
    <n v="0"/>
    <m/>
    <m/>
    <m/>
    <m/>
    <n v="140"/>
    <n v="0"/>
    <n v="8735.7971201519904"/>
  </r>
  <r>
    <d v="2025-12-20T00:00:00"/>
    <x v="4"/>
    <s v="TOZ BİBER - ACI"/>
    <m/>
    <x v="1"/>
    <s v="ST00000000616"/>
    <s v="SATIŞ"/>
    <s v="NAKİT"/>
    <n v="9.1999999999999998E-2"/>
    <n v="370"/>
    <n v="0"/>
    <n v="0"/>
    <m/>
    <m/>
    <m/>
    <m/>
    <n v="34.04"/>
    <n v="0"/>
    <n v="8769.8371201519913"/>
  </r>
  <r>
    <d v="2025-12-20T00:00:00"/>
    <x v="4"/>
    <s v="SUMAK"/>
    <m/>
    <x v="1"/>
    <s v="ST00000000616"/>
    <s v="SATIŞ"/>
    <s v="NAKİT"/>
    <n v="0.126"/>
    <n v="500"/>
    <n v="0"/>
    <n v="0"/>
    <m/>
    <m/>
    <m/>
    <m/>
    <n v="63"/>
    <n v="0"/>
    <n v="8832.8371201519913"/>
  </r>
  <r>
    <d v="2025-12-20T00:00:00"/>
    <x v="4"/>
    <s v="KEKİK LÜX"/>
    <m/>
    <x v="1"/>
    <s v="ST00000000616"/>
    <s v="SATIŞ"/>
    <s v="NAKİT"/>
    <n v="2.5999999999999999E-2"/>
    <n v="760"/>
    <n v="0"/>
    <n v="0"/>
    <m/>
    <m/>
    <m/>
    <m/>
    <n v="19.759999999999998"/>
    <n v="0"/>
    <n v="8852.5971201519915"/>
  </r>
  <r>
    <d v="2025-12-20T00:00:00"/>
    <x v="4"/>
    <s v="CİVAN PERÇEMİ"/>
    <m/>
    <x v="1"/>
    <s v="ST00000000616"/>
    <s v="SATIŞ"/>
    <s v="NAKİT"/>
    <n v="5.3999999999999999E-2"/>
    <n v="1000"/>
    <n v="0"/>
    <n v="0"/>
    <m/>
    <m/>
    <m/>
    <m/>
    <n v="54"/>
    <n v="0"/>
    <n v="8906.5971201519915"/>
  </r>
  <r>
    <d v="2025-12-20T00:00:00"/>
    <x v="4"/>
    <s v="LİMON MELİSA"/>
    <m/>
    <x v="1"/>
    <s v="ST00000000616"/>
    <s v="SATIŞ"/>
    <s v="NAKİT"/>
    <n v="2.4E-2"/>
    <n v="2000"/>
    <n v="0"/>
    <n v="0"/>
    <m/>
    <m/>
    <m/>
    <m/>
    <n v="48"/>
    <n v="0"/>
    <n v="8954.5971201519915"/>
  </r>
  <r>
    <d v="2025-12-20T00:00:00"/>
    <x v="4"/>
    <s v="REZENE"/>
    <m/>
    <x v="1"/>
    <s v="ST00000000616"/>
    <s v="SATIŞ"/>
    <s v="NAKİT"/>
    <n v="0.1"/>
    <n v="900"/>
    <n v="0"/>
    <n v="0"/>
    <m/>
    <m/>
    <m/>
    <m/>
    <n v="90"/>
    <n v="0"/>
    <n v="9044.5971201519915"/>
  </r>
  <r>
    <d v="2025-12-20T00:00:00"/>
    <x v="4"/>
    <s v="ZERDEÇAL TANE"/>
    <m/>
    <x v="1"/>
    <s v="ST00000000616"/>
    <s v="SATIŞ"/>
    <s v="NAKİT"/>
    <n v="9.8000000000000004E-2"/>
    <n v="420"/>
    <n v="0"/>
    <n v="0"/>
    <m/>
    <m/>
    <m/>
    <m/>
    <n v="41.160000000000004"/>
    <n v="0"/>
    <n v="9085.7571201519913"/>
  </r>
  <r>
    <d v="2025-12-20T00:00:00"/>
    <x v="4"/>
    <s v="KARNIYARIK TOHUMU"/>
    <m/>
    <x v="1"/>
    <s v="ST00000000616"/>
    <s v="SATIŞ"/>
    <s v="NAKİT"/>
    <n v="0.122"/>
    <n v="900"/>
    <n v="0"/>
    <n v="0"/>
    <m/>
    <m/>
    <m/>
    <m/>
    <n v="109.8"/>
    <n v="0"/>
    <n v="9195.5571201519906"/>
  </r>
  <r>
    <d v="2025-12-20T00:00:00"/>
    <x v="4"/>
    <s v="HARMANA HİNDİBA KAHVESİ 150G 1 AYLIK 60 KULLANIM"/>
    <m/>
    <x v="1"/>
    <s v="ST00000000616"/>
    <s v="SATIŞ"/>
    <s v="NAKİT"/>
    <n v="1"/>
    <n v="350"/>
    <n v="0"/>
    <n v="0"/>
    <m/>
    <m/>
    <m/>
    <m/>
    <n v="350"/>
    <n v="0"/>
    <n v="9545.5571201519906"/>
  </r>
  <r>
    <d v="2025-12-20T00:00:00"/>
    <x v="4"/>
    <s v="HİBİSKUS"/>
    <m/>
    <x v="1"/>
    <s v="ST00000000616"/>
    <s v="SATIŞ"/>
    <s v="NAKİT"/>
    <n v="0.1"/>
    <n v="600"/>
    <n v="0"/>
    <n v="0"/>
    <m/>
    <m/>
    <m/>
    <m/>
    <n v="60"/>
    <n v="0"/>
    <n v="9605.5571201519906"/>
  </r>
  <r>
    <d v="2025-12-20T00:00:00"/>
    <x v="4"/>
    <s v="DENİZ TAHİNLİ PİŞMANİYE"/>
    <m/>
    <x v="1"/>
    <s v="ST00000000616"/>
    <s v="SATIŞ"/>
    <s v="NAKİT"/>
    <n v="1"/>
    <n v="90"/>
    <n v="0"/>
    <n v="0"/>
    <m/>
    <m/>
    <m/>
    <m/>
    <n v="90"/>
    <n v="0"/>
    <n v="9695.5571201519906"/>
  </r>
  <r>
    <d v="2025-12-20T00:00:00"/>
    <x v="4"/>
    <s v="MİGREN TAŞI (MENTHO BOX)"/>
    <m/>
    <x v="1"/>
    <s v="ST00000000616"/>
    <s v="SATIŞ"/>
    <s v="NAKİT"/>
    <n v="1"/>
    <n v="135"/>
    <n v="0"/>
    <n v="0"/>
    <m/>
    <m/>
    <m/>
    <m/>
    <n v="135"/>
    <n v="0"/>
    <n v="9830.5571201519906"/>
  </r>
  <r>
    <d v="2025-12-20T00:00:00"/>
    <x v="4"/>
    <s v="ZENCEFİL TANE"/>
    <m/>
    <x v="1"/>
    <s v="ST00000000616"/>
    <s v="SATIŞ"/>
    <s v="NAKİT"/>
    <n v="0.08"/>
    <n v="475"/>
    <n v="0"/>
    <n v="0"/>
    <m/>
    <m/>
    <m/>
    <m/>
    <n v="38"/>
    <n v="0"/>
    <n v="9868.5571201519906"/>
  </r>
  <r>
    <d v="2025-12-20T00:00:00"/>
    <x v="4"/>
    <s v="YEŞİL ÇAY YAPRAK"/>
    <m/>
    <x v="1"/>
    <s v="ST00000000616"/>
    <s v="SATIŞ"/>
    <s v="NAKİT"/>
    <n v="0.1"/>
    <n v="1350"/>
    <n v="0"/>
    <n v="0"/>
    <m/>
    <m/>
    <m/>
    <m/>
    <n v="135"/>
    <n v="0"/>
    <n v="10003.557120151991"/>
  </r>
  <r>
    <d v="2025-12-20T00:00:00"/>
    <x v="4"/>
    <s v="ZAHTER"/>
    <m/>
    <x v="1"/>
    <s v="ST00000000616"/>
    <s v="SATIŞ"/>
    <s v="NAKİT"/>
    <n v="5.1999999999999998E-2"/>
    <n v="400"/>
    <n v="0"/>
    <n v="0"/>
    <m/>
    <m/>
    <m/>
    <m/>
    <n v="20.8"/>
    <n v="0"/>
    <n v="10024.35712015199"/>
  </r>
  <r>
    <d v="2025-12-20T00:00:00"/>
    <x v="4"/>
    <s v="ZÜHRE ANA BROMELAİN ANANAS İÇEREN DETOX ŞURUBU 250 ML"/>
    <m/>
    <x v="1"/>
    <s v="ST00000000616"/>
    <s v="SATIŞ"/>
    <s v="NAKİT"/>
    <n v="1"/>
    <n v="220"/>
    <n v="0"/>
    <n v="0"/>
    <m/>
    <m/>
    <m/>
    <m/>
    <n v="220"/>
    <n v="0"/>
    <n v="10244.35712015199"/>
  </r>
  <r>
    <d v="2025-12-20T00:00:00"/>
    <x v="4"/>
    <m/>
    <m/>
    <x v="1"/>
    <s v="ST00000000616"/>
    <s v="SATIŞ"/>
    <s v="NAKİT"/>
    <n v="1"/>
    <n v="300"/>
    <n v="0"/>
    <n v="0"/>
    <m/>
    <m/>
    <m/>
    <m/>
    <n v="300"/>
    <n v="0"/>
    <n v="10544.35712015199"/>
  </r>
  <r>
    <d v="2025-12-20T00:00:00"/>
    <x v="4"/>
    <s v="TÜDAB ANDIZ PEKMEZİ 450 GR"/>
    <m/>
    <x v="5"/>
    <s v="ST00000000617"/>
    <s v="SATIŞ"/>
    <s v="POS"/>
    <n v="1"/>
    <n v="190"/>
    <n v="190"/>
    <n v="0"/>
    <m/>
    <m/>
    <m/>
    <m/>
    <n v="0"/>
    <n v="0"/>
    <n v="10544.35712015199"/>
  </r>
  <r>
    <d v="2025-12-20T00:00:00"/>
    <x v="4"/>
    <s v="SUMAK"/>
    <m/>
    <x v="5"/>
    <s v="ST00000000617"/>
    <s v="SATIŞ"/>
    <s v="POS"/>
    <n v="0.13800000000000001"/>
    <n v="500"/>
    <n v="69"/>
    <n v="0"/>
    <m/>
    <m/>
    <m/>
    <m/>
    <n v="0"/>
    <n v="0"/>
    <n v="10544.35712015199"/>
  </r>
  <r>
    <d v="2025-12-20T00:00:00"/>
    <x v="4"/>
    <s v="ZENCEFİL TOZ"/>
    <m/>
    <x v="5"/>
    <s v="ST00000000617"/>
    <s v="SATIŞ"/>
    <s v="POS"/>
    <n v="7.8E-2"/>
    <n v="400"/>
    <n v="31.2"/>
    <n v="0"/>
    <m/>
    <m/>
    <m/>
    <m/>
    <n v="0"/>
    <n v="0"/>
    <n v="10544.35712015199"/>
  </r>
  <r>
    <d v="2025-12-20T00:00:00"/>
    <x v="4"/>
    <s v="KAFFKA DİBEK KAHVESİ 150 GR"/>
    <m/>
    <x v="5"/>
    <s v="ST00000000618"/>
    <s v="SATIŞ"/>
    <s v="POS"/>
    <n v="1"/>
    <n v="65"/>
    <n v="65"/>
    <n v="0"/>
    <m/>
    <m/>
    <m/>
    <m/>
    <n v="0"/>
    <n v="0"/>
    <n v="10544.35712015199"/>
  </r>
  <r>
    <d v="2025-12-20T00:00:00"/>
    <x v="4"/>
    <s v="TÜDAB DUT PEKMEZİ 800 GR"/>
    <m/>
    <x v="1"/>
    <s v="ST00000000619"/>
    <s v="SATIŞ"/>
    <s v="NAKİT"/>
    <n v="1"/>
    <n v="170"/>
    <n v="0"/>
    <n v="0"/>
    <m/>
    <m/>
    <m/>
    <m/>
    <n v="170"/>
    <n v="0"/>
    <n v="10714.35712015199"/>
  </r>
  <r>
    <d v="2025-12-20T00:00:00"/>
    <x v="2"/>
    <m/>
    <s v="DEMİRBAŞ"/>
    <x v="2"/>
    <m/>
    <s v="NADİR ÇARŞI-SAKLAMA KABI"/>
    <s v="K.K."/>
    <n v="12"/>
    <n v="125"/>
    <n v="0"/>
    <n v="1500"/>
    <m/>
    <m/>
    <m/>
    <m/>
    <n v="0"/>
    <n v="0"/>
    <n v="10714.35712015199"/>
  </r>
  <r>
    <d v="2025-12-20T00:00:00"/>
    <x v="10"/>
    <m/>
    <m/>
    <x v="5"/>
    <m/>
    <s v="POS ÇÖZÜMÜ"/>
    <s v="POS"/>
    <n v="1"/>
    <n v="450"/>
    <n v="0"/>
    <n v="450"/>
    <n v="330"/>
    <m/>
    <m/>
    <m/>
    <n v="450"/>
    <n v="0"/>
    <n v="11164.35712015199"/>
  </r>
  <r>
    <d v="2025-12-21T00:00:00"/>
    <x v="10"/>
    <m/>
    <m/>
    <x v="5"/>
    <m/>
    <s v="POS ÇÖZÜMÜ"/>
    <s v="POS"/>
    <n v="1"/>
    <n v="2992"/>
    <n v="0"/>
    <n v="2992"/>
    <n v="330"/>
    <m/>
    <m/>
    <m/>
    <n v="2992"/>
    <n v="0"/>
    <n v="14156.35712015199"/>
  </r>
  <r>
    <d v="2025-12-22T00:00:00"/>
    <x v="3"/>
    <s v="MECİTEFENDİ BİBERİYE ŞAMPUANI 400 ML"/>
    <m/>
    <x v="2"/>
    <s v="FTR202500000448"/>
    <s v="MECİTEFENDİ"/>
    <s v="K.K."/>
    <n v="5"/>
    <n v="118.8"/>
    <n v="0"/>
    <n v="594"/>
    <m/>
    <m/>
    <m/>
    <m/>
    <n v="0"/>
    <n v="0"/>
    <n v="14156.35712015199"/>
  </r>
  <r>
    <d v="2025-12-22T00:00:00"/>
    <x v="3"/>
    <s v="MECİTEFENDİ ARDIÇ KATRANI ŞAMPUAN 400 ML"/>
    <m/>
    <x v="2"/>
    <s v="FTR202500000448"/>
    <s v="MECİTEFENDİ"/>
    <s v="K.K."/>
    <n v="5"/>
    <n v="118.8"/>
    <n v="0"/>
    <n v="594"/>
    <m/>
    <m/>
    <m/>
    <m/>
    <n v="0"/>
    <n v="0"/>
    <n v="14156.35712015199"/>
  </r>
  <r>
    <d v="2025-12-22T00:00:00"/>
    <x v="3"/>
    <s v="MECİTEFENDİ ÇAM TEREBENTİN ŞAMPUANI 400 ML"/>
    <m/>
    <x v="2"/>
    <s v="FTR202500000448"/>
    <s v="MECİTEFENDİ"/>
    <s v="K.K."/>
    <n v="3"/>
    <n v="118.8"/>
    <n v="0"/>
    <n v="356.4"/>
    <m/>
    <m/>
    <m/>
    <m/>
    <n v="0"/>
    <n v="0"/>
    <n v="14156.35712015199"/>
  </r>
  <r>
    <d v="2025-12-22T00:00:00"/>
    <x v="3"/>
    <s v="MECİTEFENDİ ISIRGAN ŞAMPUANI 400 ML"/>
    <m/>
    <x v="2"/>
    <s v="FTR202500000448"/>
    <s v="MECİTEFENDİ"/>
    <s v="K.K."/>
    <n v="5"/>
    <n v="118.8"/>
    <n v="0"/>
    <n v="594"/>
    <m/>
    <m/>
    <m/>
    <m/>
    <n v="0"/>
    <n v="0"/>
    <n v="14156.35712015199"/>
  </r>
  <r>
    <d v="2025-12-22T00:00:00"/>
    <x v="3"/>
    <s v="MECİTEFENDİ LAVANTA ŞAMPUANI 400 ML"/>
    <m/>
    <x v="2"/>
    <s v="FTR202500000448"/>
    <s v="MECİTEFENDİ"/>
    <s v="K.K."/>
    <n v="3"/>
    <n v="106.8"/>
    <n v="0"/>
    <n v="320.39999999999998"/>
    <m/>
    <m/>
    <m/>
    <m/>
    <n v="0"/>
    <n v="0"/>
    <n v="14156.35712015199"/>
  </r>
  <r>
    <d v="2025-12-22T00:00:00"/>
    <x v="3"/>
    <s v="MECİTEFENDİ ZEYTİN ŞAMPUAN 400 ML"/>
    <m/>
    <x v="2"/>
    <s v="FTR202500000448"/>
    <s v="MECİTEFENDİ"/>
    <s v="K.K."/>
    <n v="3"/>
    <n v="106.8"/>
    <n v="0"/>
    <n v="320.39999999999998"/>
    <m/>
    <m/>
    <m/>
    <m/>
    <n v="0"/>
    <n v="0"/>
    <n v="14156.35712015199"/>
  </r>
  <r>
    <d v="2025-12-22T00:00:00"/>
    <x v="3"/>
    <s v="MECİTEFENDİ SARIMSAK ŞAMPUAN 400 ML"/>
    <m/>
    <x v="2"/>
    <s v="FTR202500000448"/>
    <s v="MECİTEFENDİ"/>
    <s v="K.K."/>
    <n v="5"/>
    <n v="111"/>
    <n v="0"/>
    <n v="555"/>
    <m/>
    <m/>
    <m/>
    <m/>
    <n v="0"/>
    <n v="0"/>
    <n v="14156.35712015199"/>
  </r>
  <r>
    <d v="2025-12-22T00:00:00"/>
    <x v="3"/>
    <s v="MECİTEFENDİ BAL ŞAMPUANI 400 ML"/>
    <m/>
    <x v="2"/>
    <s v="FTR202500000448"/>
    <s v="MECİTEFENDİ"/>
    <s v="K.K."/>
    <n v="3"/>
    <n v="118.8"/>
    <n v="0"/>
    <n v="356.4"/>
    <m/>
    <m/>
    <m/>
    <m/>
    <n v="0"/>
    <n v="0"/>
    <n v="14156.35712015199"/>
  </r>
  <r>
    <d v="2025-12-22T00:00:00"/>
    <x v="3"/>
    <s v="MECİTEFENDİ DEFNE ŞAMPUANI 400 ML"/>
    <m/>
    <x v="2"/>
    <s v="FTR202500000448"/>
    <s v="MECİTEFENDİ"/>
    <s v="K.K."/>
    <n v="3"/>
    <n v="118.8"/>
    <n v="0"/>
    <n v="356.4"/>
    <m/>
    <m/>
    <m/>
    <m/>
    <n v="0"/>
    <n v="0"/>
    <n v="14156.35712015199"/>
  </r>
  <r>
    <d v="2025-12-22T00:00:00"/>
    <x v="3"/>
    <s v="MECİTEFENDİ ORGANİK ARGAN YAĞLI ŞAMPUAN 400 ML"/>
    <m/>
    <x v="2"/>
    <s v="FTR202500000448"/>
    <s v="MECİTEFENDİ"/>
    <s v="K.K."/>
    <n v="5"/>
    <n v="118.8"/>
    <n v="0"/>
    <n v="594"/>
    <m/>
    <m/>
    <m/>
    <m/>
    <n v="0"/>
    <n v="0"/>
    <n v="14156.35712015199"/>
  </r>
  <r>
    <d v="2025-12-22T00:00:00"/>
    <x v="3"/>
    <s v="MECİTEFENDİ % 100 DOĞAL KAŞ KİRPİK BAKIM YAĞI"/>
    <m/>
    <x v="2"/>
    <s v="FTR202500000448"/>
    <s v="MECİTEFENDİ"/>
    <s v="K.K."/>
    <n v="3"/>
    <n v="142.79999999999998"/>
    <n v="0"/>
    <n v="428.4"/>
    <m/>
    <m/>
    <m/>
    <m/>
    <n v="0"/>
    <n v="0"/>
    <n v="14156.35712015199"/>
  </r>
  <r>
    <d v="2025-12-22T00:00:00"/>
    <x v="3"/>
    <s v="HİNDİSTAN CEVİZİ YAĞI 150 ML"/>
    <m/>
    <x v="2"/>
    <s v="FTR202500000448"/>
    <s v="MECİTEFENDİ"/>
    <s v="K.K."/>
    <n v="3"/>
    <n v="138"/>
    <n v="0"/>
    <n v="414"/>
    <m/>
    <m/>
    <m/>
    <m/>
    <n v="0"/>
    <n v="0"/>
    <n v="14156.35712015199"/>
  </r>
  <r>
    <d v="2025-12-22T00:00:00"/>
    <x v="3"/>
    <s v="MECİTEFENDİ AT KESTANESİ ÖZLÜ MASAJ KREMİ (90 ML)"/>
    <m/>
    <x v="2"/>
    <s v="FTR202500000448"/>
    <s v="MECİTEFENDİ"/>
    <s v="K.K."/>
    <n v="3"/>
    <n v="78"/>
    <n v="0"/>
    <n v="234"/>
    <m/>
    <m/>
    <m/>
    <m/>
    <n v="0"/>
    <n v="0"/>
    <n v="14156.35712015199"/>
  </r>
  <r>
    <d v="2025-12-22T00:00:00"/>
    <x v="3"/>
    <s v="MECİTEFENDİ MASAJ KREMİ 175 ML"/>
    <m/>
    <x v="2"/>
    <s v="FTR202500000448"/>
    <s v="MECİTEFENDİ"/>
    <s v="K.K."/>
    <n v="3"/>
    <n v="94.8"/>
    <n v="0"/>
    <n v="284.39999999999998"/>
    <m/>
    <m/>
    <m/>
    <m/>
    <n v="0"/>
    <n v="0"/>
    <n v="14156.35712015199"/>
  </r>
  <r>
    <d v="2025-12-22T00:00:00"/>
    <x v="3"/>
    <s v="MECİTEFENDİ LANOLİN KREMİ (30ML)"/>
    <m/>
    <x v="2"/>
    <s v="FTR202500000448"/>
    <s v="MECİTEFENDİ"/>
    <s v="K.K."/>
    <n v="3"/>
    <n v="118.8"/>
    <n v="0"/>
    <n v="356.4"/>
    <m/>
    <m/>
    <m/>
    <m/>
    <n v="0"/>
    <n v="0"/>
    <n v="14156.35712015199"/>
  </r>
  <r>
    <d v="2025-12-22T00:00:00"/>
    <x v="3"/>
    <s v="MECİTEFENDİ AT KESTANESİ ÖZLÜ GÖZ ÇEVRESİ KREMİ (15 ml.)"/>
    <m/>
    <x v="2"/>
    <s v="FTR202500000448"/>
    <s v="MECİTEFENDİ"/>
    <s v="K.K."/>
    <n v="3"/>
    <n v="178.79999999999998"/>
    <n v="0"/>
    <n v="536.4"/>
    <m/>
    <m/>
    <m/>
    <m/>
    <n v="0"/>
    <n v="0"/>
    <n v="14156.35712015199"/>
  </r>
  <r>
    <d v="2025-12-22T00:00:00"/>
    <x v="3"/>
    <s v="BİBERİYE SUYU SAÇ TONİĞİ (11 BİTKİ EKSTRAKLI) 150 ml"/>
    <m/>
    <x v="2"/>
    <s v="FTR202500000448"/>
    <s v="MECİTEFENDİ"/>
    <s v="K.K."/>
    <n v="5"/>
    <n v="72"/>
    <n v="0"/>
    <n v="360"/>
    <m/>
    <m/>
    <m/>
    <m/>
    <n v="0"/>
    <n v="0"/>
    <n v="14156.35712015199"/>
  </r>
  <r>
    <d v="2025-12-22T00:00:00"/>
    <x v="3"/>
    <s v="BİBERİYE SAÇ BAKIM SERUMU (E-VİTAMİNLİ) 50 ml"/>
    <m/>
    <x v="2"/>
    <s v="FTR202500000448"/>
    <s v="MECİTEFENDİ"/>
    <s v="K.K."/>
    <n v="5"/>
    <n v="87"/>
    <n v="0"/>
    <n v="435"/>
    <m/>
    <m/>
    <m/>
    <m/>
    <n v="0"/>
    <n v="0"/>
    <n v="14156.35712015199"/>
  </r>
  <r>
    <d v="2025-12-22T00:00:00"/>
    <x v="3"/>
    <s v="MECİTEFENDİ BİBERİYE ŞAMPUANI 150 ML"/>
    <m/>
    <x v="2"/>
    <s v="FTR202500000448"/>
    <s v="MECİTEFENDİ"/>
    <s v="K.K."/>
    <n v="5"/>
    <n v="75"/>
    <n v="0"/>
    <n v="375"/>
    <m/>
    <m/>
    <m/>
    <m/>
    <n v="0"/>
    <n v="0"/>
    <n v="14156.35712015199"/>
  </r>
  <r>
    <d v="2025-12-22T00:00:00"/>
    <x v="3"/>
    <s v="PAPATYA SUYU SAÇ TONİĞİ 150 ml"/>
    <m/>
    <x v="2"/>
    <s v="FTR202500000448"/>
    <s v="MECİTEFENDİ"/>
    <s v="K.K."/>
    <n v="5"/>
    <n v="60"/>
    <n v="0"/>
    <n v="300"/>
    <m/>
    <m/>
    <m/>
    <m/>
    <n v="0"/>
    <n v="0"/>
    <n v="14156.35712015199"/>
  </r>
  <r>
    <d v="2025-12-22T00:00:00"/>
    <x v="3"/>
    <s v="LG ENGİNAR SUYU 1 LT"/>
    <m/>
    <x v="2"/>
    <s v="FTR202500000448"/>
    <s v="MECİTEFENDİ"/>
    <s v="K.K."/>
    <n v="3"/>
    <n v="64.993499999999997"/>
    <n v="0"/>
    <n v="194.98050000000001"/>
    <m/>
    <m/>
    <m/>
    <m/>
    <n v="0"/>
    <n v="0"/>
    <n v="14156.35712015199"/>
  </r>
  <r>
    <d v="2025-12-22T00:00:00"/>
    <x v="3"/>
    <s v="LG KEKİK SUYU 1 LT"/>
    <m/>
    <x v="2"/>
    <s v="FTR202500000448"/>
    <s v="MECİTEFENDİ"/>
    <s v="K.K."/>
    <n v="3"/>
    <n v="39.783900000000003"/>
    <n v="0"/>
    <n v="119.35170000000001"/>
    <m/>
    <m/>
    <m/>
    <m/>
    <n v="0"/>
    <n v="0"/>
    <n v="14156.35712015199"/>
  </r>
  <r>
    <d v="2025-12-22T00:00:00"/>
    <x v="3"/>
    <s v="MECİTEFENDİ MİSVAK ÖZLÜ DOĞAL DİŞ MACUNU 75 ml"/>
    <m/>
    <x v="2"/>
    <s v="FTR202500000448"/>
    <s v="MECİTEFENDİ"/>
    <s v="K.K."/>
    <n v="5"/>
    <n v="64.900000000000006"/>
    <n v="0"/>
    <n v="324.5"/>
    <m/>
    <m/>
    <m/>
    <m/>
    <n v="0"/>
    <n v="0"/>
    <n v="14156.35712015199"/>
  </r>
  <r>
    <d v="2025-12-22T00:00:00"/>
    <x v="3"/>
    <s v="MECİTEFENDİ AKTİF KARBONLU DOĞAL DİŞ MACUNU 75 ml"/>
    <m/>
    <x v="2"/>
    <s v="FTR202500000448"/>
    <s v="MECİTEFENDİ"/>
    <s v="K.K."/>
    <n v="5"/>
    <n v="71.5"/>
    <n v="0"/>
    <n v="357.5"/>
    <m/>
    <m/>
    <m/>
    <m/>
    <n v="0"/>
    <n v="0"/>
    <n v="14156.35712015199"/>
  </r>
  <r>
    <d v="2025-12-22T00:00:00"/>
    <x v="3"/>
    <s v="MECİTEFENDİ DOĞAL DUDAK BALMI 15 ml"/>
    <m/>
    <x v="2"/>
    <s v="FTR202500000448"/>
    <s v="MECİTEFENDİ"/>
    <s v="K.K."/>
    <n v="3"/>
    <n v="78"/>
    <n v="0"/>
    <n v="234"/>
    <m/>
    <m/>
    <m/>
    <m/>
    <n v="0"/>
    <n v="0"/>
    <n v="14156.35712015199"/>
  </r>
  <r>
    <d v="2025-12-22T00:00:00"/>
    <x v="3"/>
    <s v="MECİTEFENDİ DOĞAL KİL MASKE-YOSUN (200 ml.)"/>
    <m/>
    <x v="2"/>
    <s v="FTR202500000448"/>
    <s v="MECİTEFENDİ"/>
    <s v="K.K."/>
    <n v="3"/>
    <n v="51"/>
    <n v="0"/>
    <n v="153"/>
    <m/>
    <m/>
    <m/>
    <m/>
    <n v="0"/>
    <n v="0"/>
    <n v="14156.35712015199"/>
  </r>
  <r>
    <d v="2025-12-22T00:00:00"/>
    <x v="3"/>
    <s v="MECİTEFENDİ AYNI SEFA KREMİ 30 ML"/>
    <m/>
    <x v="2"/>
    <s v="FTR202500000448"/>
    <s v="MECİTEFENDİ"/>
    <s v="K.K."/>
    <n v="5"/>
    <n v="58.8"/>
    <n v="0"/>
    <n v="294"/>
    <m/>
    <m/>
    <m/>
    <m/>
    <n v="0"/>
    <n v="0"/>
    <n v="14156.35712015199"/>
  </r>
  <r>
    <d v="2025-12-22T00:00:00"/>
    <x v="4"/>
    <s v="KARABİBER ÇEKİLMİŞ"/>
    <m/>
    <x v="1"/>
    <s v="ST00000000617"/>
    <s v="SATIŞ"/>
    <s v="NAKİT"/>
    <n v="0.11799999999999999"/>
    <n v="640"/>
    <n v="0"/>
    <n v="0"/>
    <m/>
    <m/>
    <m/>
    <m/>
    <n v="75.52"/>
    <n v="0"/>
    <n v="14231.87712015199"/>
  </r>
  <r>
    <d v="2025-12-22T00:00:00"/>
    <x v="4"/>
    <s v="NANE İRİ"/>
    <m/>
    <x v="1"/>
    <s v="ST00000000617"/>
    <s v="SATIŞ"/>
    <s v="NAKİT"/>
    <n v="0.108"/>
    <n v="400"/>
    <n v="0"/>
    <n v="0"/>
    <m/>
    <m/>
    <m/>
    <m/>
    <n v="43.2"/>
    <n v="0"/>
    <n v="14275.077120151991"/>
  </r>
  <r>
    <d v="2025-12-22T00:00:00"/>
    <x v="4"/>
    <s v="TOZ BİBER - TATLI"/>
    <m/>
    <x v="1"/>
    <s v="ST00000000617"/>
    <s v="SATIŞ"/>
    <s v="NAKİT"/>
    <n v="0.16"/>
    <n v="370"/>
    <n v="0"/>
    <n v="0"/>
    <m/>
    <m/>
    <m/>
    <m/>
    <n v="59.2"/>
    <n v="0"/>
    <n v="14334.277120151992"/>
  </r>
  <r>
    <d v="2025-12-22T00:00:00"/>
    <x v="4"/>
    <s v="İZMİR ÜZÜMÜ"/>
    <m/>
    <x v="5"/>
    <s v="ST00000000618"/>
    <s v="SATIŞ"/>
    <s v="POS"/>
    <n v="0.27400000000000002"/>
    <n v="250"/>
    <n v="68.5"/>
    <n v="0"/>
    <m/>
    <m/>
    <m/>
    <m/>
    <n v="0"/>
    <n v="0"/>
    <n v="14334.277120151992"/>
  </r>
  <r>
    <d v="2025-12-22T00:00:00"/>
    <x v="4"/>
    <s v="KARABİBER TANE"/>
    <m/>
    <x v="5"/>
    <s v="ST00000000618"/>
    <s v="SATIŞ"/>
    <s v="POS"/>
    <n v="0.1"/>
    <n v="700"/>
    <n v="70"/>
    <n v="0"/>
    <m/>
    <m/>
    <m/>
    <m/>
    <n v="0"/>
    <n v="0"/>
    <n v="14334.277120151992"/>
  </r>
  <r>
    <d v="2025-12-22T00:00:00"/>
    <x v="4"/>
    <s v="NBN DAĞ İNCİRİ"/>
    <m/>
    <x v="5"/>
    <s v="ST00000000618"/>
    <s v="SATIŞ"/>
    <s v="POS"/>
    <n v="0.32600000000000001"/>
    <n v="800"/>
    <n v="260.8"/>
    <n v="0"/>
    <m/>
    <m/>
    <m/>
    <m/>
    <n v="0"/>
    <n v="0"/>
    <n v="14334.277120151992"/>
  </r>
  <r>
    <d v="2025-12-22T00:00:00"/>
    <x v="4"/>
    <s v="TÜDAB ANDIZ PEKMEZİ 450 GR"/>
    <m/>
    <x v="5"/>
    <s v="ST00000000619"/>
    <s v="SATIŞ"/>
    <s v="POS"/>
    <n v="1"/>
    <n v="190"/>
    <n v="190"/>
    <n v="0"/>
    <m/>
    <m/>
    <m/>
    <m/>
    <n v="0"/>
    <n v="0"/>
    <n v="14334.277120151992"/>
  </r>
  <r>
    <d v="2025-12-22T00:00:00"/>
    <x v="4"/>
    <s v="ÇUBUK TARÇIN"/>
    <m/>
    <x v="5"/>
    <s v="ST00000000619"/>
    <s v="SATIŞ"/>
    <s v="POS"/>
    <n v="0.1"/>
    <n v="650"/>
    <n v="65"/>
    <n v="0"/>
    <m/>
    <m/>
    <m/>
    <m/>
    <n v="0"/>
    <n v="0"/>
    <n v="14334.277120151992"/>
  </r>
  <r>
    <d v="2025-12-22T00:00:00"/>
    <x v="4"/>
    <s v="DUT KURUSU LÜX ELAZIĞ"/>
    <m/>
    <x v="1"/>
    <s v="ST00000000620"/>
    <s v="SATIŞ"/>
    <s v="NAKİT"/>
    <n v="0.15625"/>
    <n v="800"/>
    <n v="0"/>
    <n v="0"/>
    <m/>
    <m/>
    <m/>
    <m/>
    <n v="125"/>
    <n v="0"/>
    <n v="14459.277120151992"/>
  </r>
  <r>
    <d v="2025-12-22T00:00:00"/>
    <x v="4"/>
    <s v="DOLMALIK KURU KABAK"/>
    <m/>
    <x v="1"/>
    <s v="ST00000000621"/>
    <s v="SATIŞ"/>
    <s v="NAKİT"/>
    <n v="0.5"/>
    <n v="260"/>
    <n v="0"/>
    <n v="0"/>
    <m/>
    <m/>
    <m/>
    <m/>
    <n v="130"/>
    <n v="0"/>
    <n v="14589.277120151992"/>
  </r>
  <r>
    <d v="2025-12-22T00:00:00"/>
    <x v="4"/>
    <s v="DOLMALIK SARI BİBER"/>
    <m/>
    <x v="1"/>
    <s v="ST00000000621"/>
    <s v="SATIŞ"/>
    <s v="NAKİT"/>
    <n v="0.5"/>
    <n v="230"/>
    <n v="0"/>
    <n v="0"/>
    <m/>
    <m/>
    <m/>
    <m/>
    <n v="115"/>
    <n v="0"/>
    <n v="14704.277120151992"/>
  </r>
  <r>
    <d v="2025-12-22T00:00:00"/>
    <x v="4"/>
    <s v="DOLMALIK KURU PATLICAN"/>
    <m/>
    <x v="1"/>
    <s v="ST00000000621"/>
    <s v="SATIŞ"/>
    <s v="NAKİT"/>
    <n v="1"/>
    <n v="260"/>
    <n v="0"/>
    <n v="0"/>
    <m/>
    <m/>
    <m/>
    <m/>
    <n v="260"/>
    <n v="0"/>
    <n v="14964.277120151992"/>
  </r>
  <r>
    <d v="2025-12-22T00:00:00"/>
    <x v="4"/>
    <s v="MS 11 DERMA KABAK HAVLU ELDİVEN"/>
    <m/>
    <x v="1"/>
    <s v="ST00000000621"/>
    <s v="SATIŞ"/>
    <s v="NAKİT"/>
    <n v="1"/>
    <n v="150"/>
    <n v="0"/>
    <n v="0"/>
    <m/>
    <m/>
    <m/>
    <m/>
    <n v="150"/>
    <n v="0"/>
    <n v="15114.277120151992"/>
  </r>
  <r>
    <d v="2025-12-22T00:00:00"/>
    <x v="4"/>
    <s v="KAJU 240 LIK EKSTRA"/>
    <m/>
    <x v="1"/>
    <s v="ST00000000621"/>
    <s v="SATIŞ"/>
    <s v="NAKİT"/>
    <n v="0.156"/>
    <n v="650"/>
    <n v="0"/>
    <n v="0"/>
    <m/>
    <m/>
    <m/>
    <m/>
    <n v="101.4"/>
    <n v="0"/>
    <n v="15215.677120151991"/>
  </r>
  <r>
    <d v="2025-12-22T00:00:00"/>
    <x v="4"/>
    <s v="TOZ BİBER - ACI"/>
    <m/>
    <x v="1"/>
    <s v="ST00000000621"/>
    <s v="SATIŞ"/>
    <s v="NAKİT"/>
    <n v="0.14199999999999999"/>
    <n v="370"/>
    <n v="0"/>
    <n v="0"/>
    <m/>
    <m/>
    <m/>
    <m/>
    <n v="52.539999999999992"/>
    <n v="0"/>
    <n v="15268.217120151992"/>
  </r>
  <r>
    <d v="2025-12-22T00:00:00"/>
    <x v="4"/>
    <s v="TOZ BİBER - TATLI"/>
    <m/>
    <x v="1"/>
    <s v="ST00000000621"/>
    <s v="SATIŞ"/>
    <s v="NAKİT"/>
    <n v="0.2"/>
    <n v="370"/>
    <n v="0"/>
    <n v="0"/>
    <m/>
    <m/>
    <m/>
    <m/>
    <n v="74"/>
    <n v="0"/>
    <n v="15342.217120151992"/>
  </r>
  <r>
    <d v="2025-12-22T00:00:00"/>
    <x v="4"/>
    <s v="HASEVLİK"/>
    <m/>
    <x v="1"/>
    <s v="ST00000000621"/>
    <s v="SATIŞ"/>
    <s v="NAKİT"/>
    <n v="0.11"/>
    <n v="420"/>
    <n v="0"/>
    <n v="0"/>
    <m/>
    <m/>
    <m/>
    <m/>
    <n v="46.2"/>
    <n v="0"/>
    <n v="15388.417120151993"/>
  </r>
  <r>
    <d v="2025-12-22T00:00:00"/>
    <x v="4"/>
    <s v="İZMİR ÜZÜMÜ"/>
    <m/>
    <x v="1"/>
    <s v="ST00000000621"/>
    <s v="SATIŞ"/>
    <s v="NAKİT"/>
    <n v="0.56599999999999995"/>
    <n v="250"/>
    <n v="0"/>
    <n v="0"/>
    <m/>
    <m/>
    <m/>
    <m/>
    <n v="141.5"/>
    <n v="0"/>
    <n v="15529.917120151993"/>
  </r>
  <r>
    <d v="2025-12-22T00:00:00"/>
    <x v="4"/>
    <s v="HİBİSKUS"/>
    <m/>
    <x v="1"/>
    <s v="ST00000000621"/>
    <s v="SATIŞ"/>
    <s v="NAKİT"/>
    <n v="0.1"/>
    <n v="600"/>
    <n v="0"/>
    <n v="0"/>
    <m/>
    <m/>
    <m/>
    <m/>
    <n v="60"/>
    <n v="0"/>
    <n v="15589.917120151993"/>
  </r>
  <r>
    <d v="2025-12-22T00:00:00"/>
    <x v="4"/>
    <s v="GENÇLEBİ ÇAKILTAŞI DRAJE"/>
    <m/>
    <x v="1"/>
    <s v="ST00000000621"/>
    <s v="SATIŞ"/>
    <s v="NAKİT"/>
    <n v="0.25"/>
    <n v="400"/>
    <n v="0"/>
    <n v="0"/>
    <m/>
    <m/>
    <m/>
    <m/>
    <n v="100"/>
    <n v="0"/>
    <n v="15689.917120151993"/>
  </r>
  <r>
    <d v="2025-12-22T00:00:00"/>
    <x v="4"/>
    <s v="SUSAM"/>
    <m/>
    <x v="1"/>
    <s v="ST00000000621"/>
    <s v="SATIŞ"/>
    <s v="NAKİT"/>
    <n v="0.1"/>
    <n v="400"/>
    <n v="0"/>
    <n v="0"/>
    <m/>
    <m/>
    <m/>
    <m/>
    <n v="40"/>
    <n v="0"/>
    <n v="15729.917120151993"/>
  </r>
  <r>
    <d v="2025-12-22T00:00:00"/>
    <x v="4"/>
    <s v="YENİ MAHSÜL PAPATYA"/>
    <m/>
    <x v="1"/>
    <s v="ST00000000621"/>
    <s v="SATIŞ"/>
    <s v="NAKİT"/>
    <n v="0.04"/>
    <n v="2250"/>
    <n v="0"/>
    <n v="0"/>
    <m/>
    <m/>
    <m/>
    <m/>
    <n v="90"/>
    <n v="0"/>
    <n v="15819.917120151993"/>
  </r>
  <r>
    <d v="2025-12-22T00:00:00"/>
    <x v="4"/>
    <s v="TÜDAB HARNUP PEKMEZİ 800 GR (KEÇİBOYNUZU)"/>
    <m/>
    <x v="1"/>
    <s v="ST00000000621"/>
    <s v="SATIŞ"/>
    <s v="NAKİT"/>
    <n v="1"/>
    <n v="180"/>
    <n v="0"/>
    <n v="0"/>
    <m/>
    <m/>
    <m/>
    <m/>
    <n v="180"/>
    <n v="0"/>
    <n v="15999.917120151993"/>
  </r>
  <r>
    <d v="2025-12-22T00:00:00"/>
    <x v="4"/>
    <s v="PATLAK MISIR"/>
    <m/>
    <x v="1"/>
    <s v="ST00000000622"/>
    <s v="SATIŞ"/>
    <s v="NAKİT"/>
    <n v="0.5"/>
    <n v="60"/>
    <n v="0"/>
    <n v="0"/>
    <m/>
    <m/>
    <m/>
    <m/>
    <n v="30"/>
    <n v="0"/>
    <n v="16029.917120151993"/>
  </r>
  <r>
    <d v="2025-12-22T00:00:00"/>
    <x v="4"/>
    <s v="DOLMALIK KURU TATLI KIRMIZI BİBER"/>
    <m/>
    <x v="1"/>
    <s v="ST00000000623"/>
    <s v="SATIŞ"/>
    <s v="NAKİT"/>
    <n v="1"/>
    <n v="200"/>
    <n v="0"/>
    <n v="0"/>
    <m/>
    <m/>
    <m/>
    <m/>
    <n v="200"/>
    <n v="0"/>
    <n v="16229.917120151993"/>
  </r>
  <r>
    <d v="2025-12-22T00:00:00"/>
    <x v="4"/>
    <s v="DOLMALIK KURU PATLICAN"/>
    <m/>
    <x v="1"/>
    <s v="ST00000000624"/>
    <s v="SATIŞ"/>
    <s v="NAKİT"/>
    <n v="1"/>
    <n v="260"/>
    <n v="0"/>
    <n v="0"/>
    <m/>
    <m/>
    <m/>
    <m/>
    <n v="260"/>
    <n v="0"/>
    <n v="16489.917120151993"/>
  </r>
  <r>
    <d v="2025-12-22T00:00:00"/>
    <x v="4"/>
    <s v="ZÜHRE ANA KOZALAK MACUNU - ÇAM KOZALAĞI 240 GR"/>
    <m/>
    <x v="1"/>
    <s v="ST00000000625"/>
    <s v="SATIŞ"/>
    <s v="NAKİT"/>
    <n v="1"/>
    <n v="220"/>
    <n v="0"/>
    <n v="0"/>
    <m/>
    <m/>
    <m/>
    <m/>
    <n v="220"/>
    <n v="0"/>
    <n v="16709.917120151993"/>
  </r>
  <r>
    <d v="2025-12-22T00:00:00"/>
    <x v="4"/>
    <s v="ŞİFAVER BITTIM HATAY SABUNU"/>
    <m/>
    <x v="5"/>
    <s v="ST00000000626"/>
    <s v="SATIŞ"/>
    <s v="POS"/>
    <n v="2"/>
    <n v="40"/>
    <n v="80"/>
    <n v="0"/>
    <m/>
    <m/>
    <m/>
    <m/>
    <n v="0"/>
    <n v="0"/>
    <n v="16709.917120151993"/>
  </r>
  <r>
    <d v="2025-12-22T00:00:00"/>
    <x v="4"/>
    <s v="ZEYTİN YAPRAĞI"/>
    <m/>
    <x v="1"/>
    <s v="ST00000000627"/>
    <s v="SATIŞ"/>
    <s v="NAKİT"/>
    <n v="0.125"/>
    <n v="80"/>
    <n v="0"/>
    <n v="0"/>
    <m/>
    <m/>
    <m/>
    <m/>
    <n v="10"/>
    <n v="0"/>
    <n v="16719.917120151993"/>
  </r>
  <r>
    <d v="2025-12-22T00:00:00"/>
    <x v="4"/>
    <s v="AÇIK KAYISI İRİ (SARI)"/>
    <m/>
    <x v="1"/>
    <s v="ST00000000627"/>
    <s v="SATIŞ"/>
    <s v="NAKİT"/>
    <n v="6.6666666666666666E-2"/>
    <n v="600"/>
    <n v="0"/>
    <n v="0"/>
    <m/>
    <m/>
    <m/>
    <m/>
    <n v="40"/>
    <n v="0"/>
    <n v="16759.917120151993"/>
  </r>
  <r>
    <d v="2025-12-22T00:00:00"/>
    <x v="4"/>
    <s v="DENİZ VANİLYALI PİŞMANİYE"/>
    <m/>
    <x v="1"/>
    <s v="ST00000000628"/>
    <s v="SATIŞ"/>
    <s v="NAKİT"/>
    <n v="1"/>
    <n v="90"/>
    <n v="0"/>
    <n v="0"/>
    <m/>
    <m/>
    <m/>
    <m/>
    <n v="90"/>
    <n v="0"/>
    <n v="16849.917120151993"/>
  </r>
  <r>
    <d v="2025-12-22T00:00:00"/>
    <x v="4"/>
    <s v="DENİZ ÇİKOLATA KAPLAMALI PİŞMANİYE"/>
    <m/>
    <x v="1"/>
    <s v="ST00000000628"/>
    <s v="SATIŞ"/>
    <s v="NAKİT"/>
    <n v="1"/>
    <n v="90"/>
    <n v="0"/>
    <n v="0"/>
    <m/>
    <m/>
    <m/>
    <m/>
    <n v="90"/>
    <n v="0"/>
    <n v="16939.917120151993"/>
  </r>
  <r>
    <d v="2025-12-22T00:00:00"/>
    <x v="4"/>
    <s v="REZENE"/>
    <m/>
    <x v="1"/>
    <s v="ST00000000628"/>
    <s v="SATIŞ"/>
    <s v="NAKİT"/>
    <n v="0.1"/>
    <n v="900"/>
    <n v="0"/>
    <n v="0"/>
    <m/>
    <m/>
    <m/>
    <m/>
    <n v="90"/>
    <n v="0"/>
    <n v="17029.917120151993"/>
  </r>
  <r>
    <d v="2025-12-22T00:00:00"/>
    <x v="4"/>
    <s v="HİBİSKUS"/>
    <m/>
    <x v="1"/>
    <s v="ST00000000628"/>
    <s v="SATIŞ"/>
    <s v="NAKİT"/>
    <n v="0.1"/>
    <n v="600"/>
    <n v="0"/>
    <n v="0"/>
    <m/>
    <m/>
    <m/>
    <m/>
    <n v="60"/>
    <n v="0"/>
    <n v="17089.917120151993"/>
  </r>
  <r>
    <d v="2025-12-22T00:00:00"/>
    <x v="4"/>
    <s v="LEBLEBİ ŞEKER RENKLİ"/>
    <m/>
    <x v="1"/>
    <s v="ST00000000628"/>
    <s v="SATIŞ"/>
    <s v="NAKİT"/>
    <n v="0.15"/>
    <n v="200"/>
    <n v="0"/>
    <n v="0"/>
    <m/>
    <m/>
    <m/>
    <m/>
    <n v="30"/>
    <n v="0"/>
    <n v="17119.917120151993"/>
  </r>
  <r>
    <d v="2025-12-22T00:00:00"/>
    <x v="4"/>
    <s v="AYÇEKİRDEĞİ DAKOTA TUZLU EKSTRA"/>
    <m/>
    <x v="1"/>
    <s v="ST00000000628"/>
    <s v="SATIŞ"/>
    <s v="NAKİT"/>
    <n v="0.15"/>
    <n v="180"/>
    <n v="0"/>
    <n v="0"/>
    <m/>
    <m/>
    <m/>
    <m/>
    <n v="27"/>
    <n v="0"/>
    <n v="17146.917120151993"/>
  </r>
  <r>
    <d v="2025-12-22T00:00:00"/>
    <x v="4"/>
    <s v="İZMİR ÜZÜMÜ"/>
    <m/>
    <x v="1"/>
    <s v="ST00000000629"/>
    <s v="SATIŞ"/>
    <s v="NAKİT"/>
    <n v="0.28000000000000003"/>
    <n v="250"/>
    <n v="0"/>
    <n v="0"/>
    <m/>
    <m/>
    <m/>
    <m/>
    <n v="70"/>
    <n v="0"/>
    <n v="17216.917120151993"/>
  </r>
  <r>
    <d v="2025-12-22T00:00:00"/>
    <x v="4"/>
    <s v="AYÇEKİRDEĞİ DAKOTA TUZSUZ EKSTRA"/>
    <m/>
    <x v="1"/>
    <s v="ST00000000629"/>
    <s v="SATIŞ"/>
    <s v="NAKİT"/>
    <n v="0.5"/>
    <n v="180"/>
    <n v="0"/>
    <n v="0"/>
    <m/>
    <m/>
    <m/>
    <m/>
    <n v="90"/>
    <n v="0"/>
    <n v="17306.917120151993"/>
  </r>
  <r>
    <d v="2025-12-22T00:00:00"/>
    <x v="4"/>
    <s v="DENİZ ÇİKOLATA KAPLAMALI PİŞMANİYE"/>
    <m/>
    <x v="1"/>
    <s v="ST00000000629"/>
    <s v="SATIŞ"/>
    <s v="NAKİT"/>
    <n v="1"/>
    <n v="90"/>
    <n v="0"/>
    <n v="0"/>
    <m/>
    <m/>
    <m/>
    <m/>
    <n v="90"/>
    <n v="0"/>
    <n v="17396.917120151993"/>
  </r>
  <r>
    <d v="2025-12-22T00:00:00"/>
    <x v="4"/>
    <s v="IHLAMUR YAPRAK"/>
    <m/>
    <x v="5"/>
    <s v="ST00000000629"/>
    <s v="SATIŞ"/>
    <s v="POS"/>
    <n v="0.05"/>
    <n v="2600"/>
    <n v="130"/>
    <n v="0"/>
    <m/>
    <m/>
    <m/>
    <m/>
    <n v="0"/>
    <n v="0"/>
    <n v="17396.917120151993"/>
  </r>
  <r>
    <d v="2025-12-22T00:00:00"/>
    <x v="3"/>
    <s v="KABUKLU CEVİZ (YERLİ)"/>
    <m/>
    <x v="9"/>
    <s v="SUL2025000000028"/>
    <s v="SERBEND HURMA"/>
    <s v="CARİ"/>
    <n v="75"/>
    <n v="190"/>
    <n v="0"/>
    <n v="14250"/>
    <m/>
    <m/>
    <m/>
    <m/>
    <n v="0"/>
    <n v="0"/>
    <n v="17396.917120151993"/>
  </r>
  <r>
    <d v="2025-12-22T00:00:00"/>
    <x v="3"/>
    <s v="BADEM KAVRULMUŞ"/>
    <m/>
    <x v="9"/>
    <s v="SUL2025000000028"/>
    <s v="SERBEND HURMA"/>
    <s v="CARİ"/>
    <n v="5"/>
    <n v="525"/>
    <n v="0"/>
    <n v="2625"/>
    <m/>
    <m/>
    <m/>
    <m/>
    <n v="0"/>
    <n v="0"/>
    <n v="17396.917120151993"/>
  </r>
  <r>
    <d v="2025-12-22T00:00:00"/>
    <x v="3"/>
    <s v="KAJU 240 LIK EKSTRA"/>
    <m/>
    <x v="9"/>
    <s v="SUL2025000000028"/>
    <s v="SERBEND HURMA"/>
    <s v="CARİ"/>
    <n v="5"/>
    <n v="420"/>
    <n v="0"/>
    <n v="2100"/>
    <m/>
    <m/>
    <m/>
    <m/>
    <n v="0"/>
    <n v="0"/>
    <n v="17396.917120151993"/>
  </r>
  <r>
    <d v="2025-12-22T00:00:00"/>
    <x v="3"/>
    <s v="AÇIK KAYISI İRİ (SARI)"/>
    <m/>
    <x v="9"/>
    <s v="SUL2025000000028"/>
    <s v="SERBEND HURMA"/>
    <s v="CARİ"/>
    <n v="10"/>
    <n v="460"/>
    <n v="0"/>
    <n v="4600"/>
    <m/>
    <m/>
    <m/>
    <m/>
    <n v="0"/>
    <n v="0"/>
    <n v="17396.917120151993"/>
  </r>
  <r>
    <d v="2025-12-22T00:00:00"/>
    <x v="3"/>
    <s v="DUT KURUSU ESMER"/>
    <m/>
    <x v="9"/>
    <s v="SUL2025000000028"/>
    <s v="SERBEND HURMA"/>
    <s v="CARİ"/>
    <n v="10"/>
    <n v="300"/>
    <n v="0"/>
    <n v="3000"/>
    <m/>
    <m/>
    <m/>
    <m/>
    <n v="0"/>
    <n v="0"/>
    <n v="17396.917120151993"/>
  </r>
  <r>
    <d v="2025-12-22T00:00:00"/>
    <x v="3"/>
    <s v="KUDÜS HURMASI"/>
    <m/>
    <x v="9"/>
    <s v="SUL2025000000028"/>
    <s v="SERBEND HURMA"/>
    <s v="CARİ"/>
    <n v="10"/>
    <n v="270"/>
    <n v="0"/>
    <n v="2700"/>
    <m/>
    <m/>
    <m/>
    <m/>
    <n v="0"/>
    <n v="0"/>
    <n v="17396.917120151993"/>
  </r>
  <r>
    <d v="2025-12-22T00:00:00"/>
    <x v="3"/>
    <s v="MEBRUM HURMA - SİYAH"/>
    <m/>
    <x v="9"/>
    <s v="SUL2025000000028"/>
    <s v="SERBEND HURMA"/>
    <s v="CARİ"/>
    <n v="10"/>
    <n v="310"/>
    <n v="0"/>
    <n v="3100"/>
    <m/>
    <m/>
    <m/>
    <m/>
    <n v="0"/>
    <n v="0"/>
    <n v="17396.917120151993"/>
  </r>
  <r>
    <d v="2025-12-22T00:00:00"/>
    <x v="3"/>
    <s v="İNCİR KÜÇÜK"/>
    <m/>
    <x v="9"/>
    <s v="SUL2025000000028"/>
    <s v="SERBEND HURMA"/>
    <s v="CARİ"/>
    <n v="20"/>
    <n v="380"/>
    <n v="0"/>
    <n v="7600"/>
    <m/>
    <m/>
    <m/>
    <m/>
    <n v="0"/>
    <n v="0"/>
    <n v="17396.917120151993"/>
  </r>
  <r>
    <d v="2025-12-22T00:00:00"/>
    <x v="2"/>
    <m/>
    <s v="DEMİRBAŞ"/>
    <x v="2"/>
    <m/>
    <s v="NADİR ÇARŞI-SAKLAMA KABI - 5 BÜYÜK"/>
    <s v="K.K."/>
    <n v="5"/>
    <n v="175"/>
    <n v="0"/>
    <n v="875"/>
    <m/>
    <m/>
    <m/>
    <m/>
    <n v="0"/>
    <n v="0"/>
    <n v="17396.917120151993"/>
  </r>
  <r>
    <d v="2025-12-22T00:00:00"/>
    <x v="2"/>
    <m/>
    <s v="DEMİRBAŞ"/>
    <x v="2"/>
    <m/>
    <s v="NADİR ÇARŞI - KÜREK - 3 TANE"/>
    <s v="K.K."/>
    <n v="3"/>
    <n v="12"/>
    <n v="0"/>
    <n v="36"/>
    <m/>
    <m/>
    <m/>
    <m/>
    <n v="0"/>
    <n v="0"/>
    <n v="17396.917120151993"/>
  </r>
  <r>
    <d v="2025-12-22T00:00:00"/>
    <x v="2"/>
    <m/>
    <s v="DEMİRBAŞ"/>
    <x v="1"/>
    <m/>
    <s v="RAF BURADA - AKSİYON SEPET+TELLİ RAF - HAYRİ SEVENCAN"/>
    <s v="K.K."/>
    <n v="1"/>
    <n v="5350"/>
    <n v="0"/>
    <n v="0"/>
    <m/>
    <m/>
    <m/>
    <m/>
    <n v="0"/>
    <n v="5350"/>
    <n v="12046.917120151993"/>
  </r>
  <r>
    <d v="2025-12-22T00:00:00"/>
    <x v="3"/>
    <s v="ZÜHRE ANA ANANAS SİRKESİ 500 ML"/>
    <m/>
    <x v="2"/>
    <m/>
    <s v="A101"/>
    <s v="K.K."/>
    <n v="3"/>
    <n v="165"/>
    <n v="0"/>
    <n v="495"/>
    <m/>
    <m/>
    <m/>
    <m/>
    <n v="0"/>
    <n v="0"/>
    <n v="12046.917120151993"/>
  </r>
  <r>
    <d v="2025-12-22T00:00:00"/>
    <x v="10"/>
    <m/>
    <m/>
    <x v="5"/>
    <m/>
    <s v="POS ÇÖZÜMÜ"/>
    <s v="POS"/>
    <n v="1"/>
    <n v="214"/>
    <n v="0"/>
    <n v="214"/>
    <n v="330"/>
    <m/>
    <m/>
    <m/>
    <n v="214"/>
    <n v="0"/>
    <n v="12260.917120151993"/>
  </r>
  <r>
    <d v="2025-12-22T00:00:00"/>
    <x v="10"/>
    <m/>
    <m/>
    <x v="5"/>
    <m/>
    <s v="POS ÇÖZÜMÜ"/>
    <s v="POS"/>
    <n v="1"/>
    <n v="250"/>
    <n v="0"/>
    <n v="250"/>
    <n v="330"/>
    <m/>
    <m/>
    <m/>
    <n v="250"/>
    <n v="0"/>
    <n v="12510.917120151993"/>
  </r>
  <r>
    <d v="2025-12-22T00:00:00"/>
    <x v="0"/>
    <m/>
    <m/>
    <x v="0"/>
    <m/>
    <s v="SERMAYE - BORÇ"/>
    <s v="NAKİT"/>
    <n v="1"/>
    <n v="20000"/>
    <n v="0"/>
    <n v="20000"/>
    <m/>
    <m/>
    <m/>
    <m/>
    <n v="20000"/>
    <n v="0"/>
    <n v="32510.917120151993"/>
  </r>
  <r>
    <d v="2025-12-23T00:00:00"/>
    <x v="3"/>
    <s v="AŞURELİK BUĞDAY İZMİR"/>
    <m/>
    <x v="4"/>
    <s v="FT00000000070"/>
    <s v="TÜDAB A.Ş."/>
    <s v="CARİ"/>
    <n v="10"/>
    <n v="33"/>
    <n v="0"/>
    <n v="330"/>
    <m/>
    <m/>
    <m/>
    <m/>
    <n v="0"/>
    <n v="0"/>
    <n v="32510.917120151993"/>
  </r>
  <r>
    <d v="2025-12-23T00:00:00"/>
    <x v="3"/>
    <s v="KABAK LİFLİ ALOEVERA SABUN"/>
    <m/>
    <x v="4"/>
    <s v="FT00000000070"/>
    <s v="TÜDAB A.Ş."/>
    <s v="CARİ"/>
    <n v="4"/>
    <n v="58"/>
    <n v="0"/>
    <n v="232"/>
    <m/>
    <m/>
    <m/>
    <m/>
    <n v="0"/>
    <n v="0"/>
    <n v="32510.917120151993"/>
  </r>
  <r>
    <d v="2025-12-23T00:00:00"/>
    <x v="3"/>
    <s v="KABAK LİFLİ EŞEK SÜTÜ BALLI SABUN"/>
    <m/>
    <x v="4"/>
    <s v="FT00000000070"/>
    <s v="TÜDAB A.Ş."/>
    <s v="CARİ"/>
    <n v="4"/>
    <n v="58"/>
    <n v="0"/>
    <n v="232"/>
    <m/>
    <m/>
    <m/>
    <m/>
    <n v="0"/>
    <n v="0"/>
    <n v="32510.917120151993"/>
  </r>
  <r>
    <d v="2025-12-23T00:00:00"/>
    <x v="3"/>
    <s v="KABAK LİFLİ KEÇİ SÜTÜ BALLI SABUN"/>
    <m/>
    <x v="4"/>
    <s v="FT00000000070"/>
    <s v="TÜDAB A.Ş."/>
    <s v="CARİ"/>
    <n v="4"/>
    <n v="45"/>
    <n v="0"/>
    <n v="180"/>
    <m/>
    <m/>
    <m/>
    <m/>
    <n v="0"/>
    <n v="0"/>
    <n v="32510.917120151993"/>
  </r>
  <r>
    <d v="2025-12-23T00:00:00"/>
    <x v="3"/>
    <s v="KABAK LİFLİ PİRİNÇ SABUN"/>
    <m/>
    <x v="4"/>
    <s v="FT00000000070"/>
    <s v="TÜDAB A.Ş."/>
    <s v="CARİ"/>
    <n v="4"/>
    <n v="58"/>
    <n v="0"/>
    <n v="232"/>
    <m/>
    <m/>
    <m/>
    <m/>
    <n v="0"/>
    <n v="0"/>
    <n v="32510.917120151993"/>
  </r>
  <r>
    <d v="2025-12-23T00:00:00"/>
    <x v="3"/>
    <s v="KABAK LİFLİ ÇAM ARDIÇ SABUN"/>
    <m/>
    <x v="4"/>
    <s v="FT00000000070"/>
    <s v="TÜDAB A.Ş."/>
    <s v="CARİ"/>
    <n v="4"/>
    <n v="58"/>
    <n v="0"/>
    <n v="232"/>
    <m/>
    <m/>
    <m/>
    <m/>
    <n v="0"/>
    <n v="0"/>
    <n v="32510.917120151993"/>
  </r>
  <r>
    <d v="2025-12-23T00:00:00"/>
    <x v="3"/>
    <s v="KUŞ ÜZÜMÜ"/>
    <m/>
    <x v="4"/>
    <s v="FT00000000070"/>
    <s v="TÜDAB A.Ş."/>
    <s v="CARİ"/>
    <n v="1"/>
    <n v="450"/>
    <n v="0"/>
    <n v="450"/>
    <m/>
    <m/>
    <m/>
    <m/>
    <n v="0"/>
    <n v="0"/>
    <n v="32510.917120151993"/>
  </r>
  <r>
    <d v="2025-12-23T00:00:00"/>
    <x v="3"/>
    <s v="NAHİTA KOZALAK ŞURUBU 500 ML"/>
    <m/>
    <x v="4"/>
    <s v="FT00000000070"/>
    <s v="TÜDAB A.Ş."/>
    <s v="CARİ"/>
    <n v="6"/>
    <n v="95"/>
    <n v="0"/>
    <n v="570"/>
    <m/>
    <m/>
    <m/>
    <m/>
    <n v="0"/>
    <n v="0"/>
    <n v="32510.917120151993"/>
  </r>
  <r>
    <d v="2025-12-23T00:00:00"/>
    <x v="3"/>
    <s v="PUDRA ŞEKERİ"/>
    <m/>
    <x v="4"/>
    <s v="FT00000000070"/>
    <s v="TÜDAB A.Ş."/>
    <s v="CARİ"/>
    <n v="4.92"/>
    <n v="52"/>
    <n v="0"/>
    <n v="255.84"/>
    <m/>
    <m/>
    <m/>
    <m/>
    <n v="0"/>
    <n v="0"/>
    <n v="32510.917120151993"/>
  </r>
  <r>
    <d v="2025-12-23T00:00:00"/>
    <x v="3"/>
    <s v="KÖFTELİK BULGUR"/>
    <m/>
    <x v="4"/>
    <s v="FT00000000070"/>
    <s v="TÜDAB A.Ş."/>
    <s v="CARİ"/>
    <n v="10"/>
    <n v="37"/>
    <n v="0"/>
    <n v="370"/>
    <m/>
    <m/>
    <m/>
    <m/>
    <n v="0"/>
    <n v="0"/>
    <n v="32510.917120151993"/>
  </r>
  <r>
    <d v="2025-12-23T00:00:00"/>
    <x v="3"/>
    <s v="PİLAVLIK BULGUR"/>
    <m/>
    <x v="4"/>
    <s v="FT00000000070"/>
    <s v="TÜDAB A.Ş."/>
    <s v="CARİ"/>
    <n v="10"/>
    <n v="37"/>
    <n v="0"/>
    <n v="370"/>
    <m/>
    <m/>
    <m/>
    <m/>
    <n v="0"/>
    <n v="0"/>
    <n v="32510.917120151993"/>
  </r>
  <r>
    <d v="2025-12-23T00:00:00"/>
    <x v="4"/>
    <s v="KAKAO"/>
    <m/>
    <x v="5"/>
    <s v="ST00000000630"/>
    <s v="SATIŞ"/>
    <s v="POS"/>
    <n v="0.12"/>
    <n v="817"/>
    <n v="98.039999999999992"/>
    <n v="0"/>
    <m/>
    <m/>
    <m/>
    <m/>
    <n v="0"/>
    <n v="0"/>
    <n v="32510.917120151993"/>
  </r>
  <r>
    <d v="2025-12-23T00:00:00"/>
    <x v="4"/>
    <s v="KABUKLU CEVİZ (YERLİ)"/>
    <m/>
    <x v="5"/>
    <s v="ST00000000630"/>
    <s v="SATIŞ"/>
    <s v="POS"/>
    <n v="1"/>
    <n v="250"/>
    <n v="250"/>
    <n v="0"/>
    <m/>
    <m/>
    <m/>
    <m/>
    <n v="0"/>
    <n v="0"/>
    <n v="32510.917120151993"/>
  </r>
  <r>
    <d v="2025-12-23T00:00:00"/>
    <x v="4"/>
    <s v="PİLAVLIK BULGUR"/>
    <m/>
    <x v="5"/>
    <s v="ST00000000630"/>
    <s v="SATIŞ"/>
    <s v="POS"/>
    <n v="1.1399999999999999"/>
    <n v="65"/>
    <n v="74.099999999999994"/>
    <n v="0"/>
    <m/>
    <m/>
    <m/>
    <m/>
    <n v="0"/>
    <n v="0"/>
    <n v="32510.917120151993"/>
  </r>
  <r>
    <d v="2025-12-23T00:00:00"/>
    <x v="4"/>
    <s v="ZAHTER"/>
    <m/>
    <x v="5"/>
    <s v="ST00000000630"/>
    <s v="SATIŞ"/>
    <s v="POS"/>
    <n v="5.7500000000000002E-2"/>
    <n v="400"/>
    <n v="23"/>
    <n v="0"/>
    <m/>
    <m/>
    <m/>
    <m/>
    <n v="0"/>
    <n v="0"/>
    <n v="32510.917120151993"/>
  </r>
  <r>
    <d v="2025-12-23T00:00:00"/>
    <x v="4"/>
    <s v="KARANFİL"/>
    <m/>
    <x v="1"/>
    <s v="ST00000000631"/>
    <s v="SATIŞ"/>
    <s v="NAKİT"/>
    <n v="0.05"/>
    <n v="1200"/>
    <n v="0"/>
    <n v="0"/>
    <m/>
    <m/>
    <m/>
    <m/>
    <n v="60"/>
    <n v="0"/>
    <n v="32570.917120151993"/>
  </r>
  <r>
    <d v="2025-12-23T00:00:00"/>
    <x v="4"/>
    <s v="IHLAMUR YAPRAK"/>
    <m/>
    <x v="1"/>
    <s v="ST00000000632"/>
    <s v="SATIŞ"/>
    <s v="NAKİT"/>
    <n v="0.05"/>
    <n v="2600"/>
    <n v="0"/>
    <n v="0"/>
    <m/>
    <m/>
    <m/>
    <m/>
    <n v="130"/>
    <n v="0"/>
    <n v="32700.917120151993"/>
  </r>
  <r>
    <d v="2025-12-23T00:00:00"/>
    <x v="4"/>
    <s v="HAŞİROĞLU TARHANA ÇEREZLİK"/>
    <m/>
    <x v="5"/>
    <s v="ST00000000633"/>
    <s v="SATIŞ"/>
    <s v="POS"/>
    <n v="1"/>
    <n v="250"/>
    <n v="250"/>
    <n v="0"/>
    <m/>
    <m/>
    <m/>
    <m/>
    <n v="0"/>
    <n v="0"/>
    <n v="32700.917120151993"/>
  </r>
  <r>
    <d v="2025-12-23T00:00:00"/>
    <x v="4"/>
    <s v="ZÜHRE ANA BROMELAİN ANANAS İÇEREN DETOX ŞURUBU 250 ML"/>
    <m/>
    <x v="5"/>
    <s v="ST00000000634"/>
    <s v="SATIŞ"/>
    <s v="POS"/>
    <n v="1"/>
    <n v="220"/>
    <n v="220"/>
    <n v="0"/>
    <m/>
    <m/>
    <m/>
    <m/>
    <n v="0"/>
    <n v="0"/>
    <n v="32700.917120151993"/>
  </r>
  <r>
    <d v="2025-12-23T00:00:00"/>
    <x v="4"/>
    <s v="ŞİFAVER BITTIM HATAY SABUNU"/>
    <m/>
    <x v="1"/>
    <s v="ST00000000635"/>
    <s v="SATIŞ"/>
    <s v="NAKİT"/>
    <n v="1"/>
    <n v="40"/>
    <n v="0"/>
    <n v="0"/>
    <m/>
    <m/>
    <m/>
    <m/>
    <n v="40"/>
    <n v="0"/>
    <n v="32740.917120151993"/>
  </r>
  <r>
    <d v="2025-12-23T00:00:00"/>
    <x v="4"/>
    <s v="TÜDAB KEÇİ BOYNUZU (DÖKME)"/>
    <m/>
    <x v="1"/>
    <s v="ST00000000636"/>
    <s v="SATIŞ"/>
    <s v="NAKİT"/>
    <n v="0.5"/>
    <n v="350"/>
    <n v="0"/>
    <n v="0"/>
    <m/>
    <m/>
    <m/>
    <m/>
    <n v="175"/>
    <n v="0"/>
    <n v="32915.917120151993"/>
  </r>
  <r>
    <d v="2025-12-23T00:00:00"/>
    <x v="4"/>
    <s v="İNCİR KÜÇÜK"/>
    <m/>
    <x v="1"/>
    <s v="ST00000000636"/>
    <s v="SATIŞ"/>
    <s v="NAKİT"/>
    <n v="0.5"/>
    <n v="600"/>
    <n v="0"/>
    <n v="0"/>
    <m/>
    <m/>
    <m/>
    <m/>
    <n v="300"/>
    <n v="0"/>
    <n v="33215.917120151993"/>
  </r>
  <r>
    <d v="2025-12-23T00:00:00"/>
    <x v="4"/>
    <s v="KIRMIZI PUL BİBER TATLI"/>
    <m/>
    <x v="5"/>
    <s v="ST00000000637"/>
    <s v="SATIŞ"/>
    <s v="POS"/>
    <n v="0.11282051282051282"/>
    <n v="390"/>
    <n v="44"/>
    <n v="0"/>
    <m/>
    <m/>
    <m/>
    <m/>
    <n v="0"/>
    <n v="0"/>
    <n v="33215.917120151993"/>
  </r>
  <r>
    <d v="2025-12-23T00:00:00"/>
    <x v="4"/>
    <s v="HASEVLİK"/>
    <m/>
    <x v="5"/>
    <s v="ST00000000637"/>
    <s v="SATIŞ"/>
    <s v="POS"/>
    <n v="9.7619047619047619E-2"/>
    <n v="420"/>
    <n v="41"/>
    <n v="0"/>
    <m/>
    <m/>
    <m/>
    <m/>
    <n v="0"/>
    <n v="0"/>
    <n v="33215.917120151993"/>
  </r>
  <r>
    <d v="2025-12-23T00:00:00"/>
    <x v="4"/>
    <s v="SOSLU MISIR YERLİ"/>
    <m/>
    <x v="5"/>
    <s v="ST00000000637"/>
    <s v="SATIŞ"/>
    <s v="POS"/>
    <n v="0.5"/>
    <n v="200"/>
    <n v="100"/>
    <n v="0"/>
    <m/>
    <m/>
    <m/>
    <m/>
    <n v="0"/>
    <n v="0"/>
    <n v="33215.917120151993"/>
  </r>
  <r>
    <d v="2025-12-23T00:00:00"/>
    <x v="4"/>
    <s v="SEYHAN ÜZÜM ÖZEL"/>
    <m/>
    <x v="5"/>
    <s v="ST00000000638"/>
    <s v="SATIŞ"/>
    <s v="POS"/>
    <n v="0.29333333333333333"/>
    <n v="750"/>
    <n v="220"/>
    <n v="0"/>
    <m/>
    <m/>
    <m/>
    <m/>
    <n v="0"/>
    <n v="0"/>
    <n v="33215.917120151993"/>
  </r>
  <r>
    <d v="2025-12-23T00:00:00"/>
    <x v="4"/>
    <s v="LAHANA TURŞUSU 5 KG"/>
    <m/>
    <x v="1"/>
    <s v="ST00000000639"/>
    <s v="SATIŞ"/>
    <s v="NAKİT"/>
    <n v="1"/>
    <n v="350"/>
    <n v="0"/>
    <n v="0"/>
    <m/>
    <m/>
    <m/>
    <m/>
    <n v="350"/>
    <n v="0"/>
    <n v="33565.917120151993"/>
  </r>
  <r>
    <d v="2025-12-23T00:00:00"/>
    <x v="4"/>
    <s v="ZÜHRE ANA BROMELAİN ANANAS İÇEREN DETOX ŞURUBU 250 ML"/>
    <m/>
    <x v="1"/>
    <s v="ST00000000640"/>
    <s v="SATIŞ"/>
    <s v="NAKİT"/>
    <n v="2"/>
    <n v="215"/>
    <n v="0"/>
    <n v="0"/>
    <m/>
    <m/>
    <m/>
    <m/>
    <n v="430"/>
    <n v="0"/>
    <n v="33995.917120151993"/>
  </r>
  <r>
    <d v="2025-12-23T00:00:00"/>
    <x v="4"/>
    <s v="LOBAS SAF NAR EKŞİSİ 1 KG"/>
    <m/>
    <x v="1"/>
    <s v="ST00000000641"/>
    <s v="SATIŞ"/>
    <s v="NAKİT"/>
    <n v="1"/>
    <n v="295"/>
    <n v="0"/>
    <n v="0"/>
    <m/>
    <m/>
    <m/>
    <m/>
    <n v="295"/>
    <n v="0"/>
    <n v="34290.917120151993"/>
  </r>
  <r>
    <d v="2025-12-23T00:00:00"/>
    <x v="10"/>
    <m/>
    <m/>
    <x v="5"/>
    <m/>
    <s v="POS ÇÖZÜMÜ"/>
    <s v="POS"/>
    <n v="1"/>
    <n v="940"/>
    <n v="0"/>
    <n v="940"/>
    <n v="330"/>
    <m/>
    <m/>
    <m/>
    <n v="940"/>
    <n v="0"/>
    <n v="35230.917120151993"/>
  </r>
  <r>
    <d v="2025-12-23T00:00:00"/>
    <x v="7"/>
    <m/>
    <m/>
    <x v="9"/>
    <m/>
    <s v="SERBEND HURMA"/>
    <s v="NAKİT"/>
    <n v="1"/>
    <n v="0"/>
    <n v="18331.5"/>
    <n v="0"/>
    <m/>
    <m/>
    <m/>
    <m/>
    <n v="0"/>
    <n v="18331.5"/>
    <n v="16899.417120151993"/>
  </r>
  <r>
    <d v="2025-12-24T00:00:00"/>
    <x v="4"/>
    <s v="KABUKLU CEVİZ (YERLİ)"/>
    <m/>
    <x v="5"/>
    <s v="ST00000000642"/>
    <s v="SATIŞ"/>
    <s v="POS"/>
    <n v="0.54"/>
    <n v="250"/>
    <n v="135"/>
    <n v="0"/>
    <m/>
    <m/>
    <m/>
    <m/>
    <n v="0"/>
    <n v="0"/>
    <n v="16899.417120151993"/>
  </r>
  <r>
    <d v="2025-12-24T00:00:00"/>
    <x v="4"/>
    <s v="HİNT YAĞI 50 CC"/>
    <m/>
    <x v="1"/>
    <s v="ST00000000643"/>
    <s v="SATIŞ"/>
    <s v="NAKİT"/>
    <n v="1"/>
    <n v="130"/>
    <n v="0"/>
    <n v="0"/>
    <m/>
    <m/>
    <m/>
    <m/>
    <n v="130"/>
    <n v="0"/>
    <n v="17029.417120151993"/>
  </r>
  <r>
    <d v="2025-12-24T00:00:00"/>
    <x v="4"/>
    <s v="NANE İRİ"/>
    <m/>
    <x v="1"/>
    <s v="ST00000000644"/>
    <s v="SATIŞ"/>
    <s v="NAKİT"/>
    <n v="0.09"/>
    <n v="400"/>
    <n v="0"/>
    <n v="0"/>
    <m/>
    <m/>
    <m/>
    <m/>
    <n v="36"/>
    <n v="0"/>
    <n v="17065.417120151993"/>
  </r>
  <r>
    <d v="2025-12-24T00:00:00"/>
    <x v="4"/>
    <s v="ZERDEÇAL TOZ"/>
    <m/>
    <x v="1"/>
    <s v="ST00000000644"/>
    <s v="SATIŞ"/>
    <s v="NAKİT"/>
    <n v="0.15333333333333332"/>
    <n v="300"/>
    <n v="0"/>
    <n v="0"/>
    <m/>
    <m/>
    <m/>
    <m/>
    <n v="46"/>
    <n v="0"/>
    <n v="17111.417120151993"/>
  </r>
  <r>
    <d v="2025-12-24T00:00:00"/>
    <x v="4"/>
    <s v="ZENCEFİL TOZ"/>
    <m/>
    <x v="1"/>
    <s v="ST00000000644"/>
    <s v="SATIŞ"/>
    <s v="NAKİT"/>
    <n v="0.1225"/>
    <n v="400"/>
    <n v="0"/>
    <n v="0"/>
    <m/>
    <m/>
    <m/>
    <m/>
    <n v="49"/>
    <n v="0"/>
    <n v="17160.417120151993"/>
  </r>
  <r>
    <d v="2025-12-24T00:00:00"/>
    <x v="4"/>
    <s v="NAHİTA KOZALAK ŞURUBU 500 ML"/>
    <m/>
    <x v="5"/>
    <s v="ST00000000645"/>
    <s v="SATIŞ"/>
    <s v="POS"/>
    <n v="1"/>
    <n v="170"/>
    <n v="170"/>
    <n v="0"/>
    <m/>
    <m/>
    <m/>
    <m/>
    <n v="0"/>
    <n v="0"/>
    <n v="17160.417120151993"/>
  </r>
  <r>
    <d v="2025-12-24T00:00:00"/>
    <x v="4"/>
    <s v="SALÇA TATLI (EV YAPIMI)"/>
    <m/>
    <x v="1"/>
    <s v="ST00000000646"/>
    <s v="SATIŞ"/>
    <s v="NAKİT"/>
    <n v="1"/>
    <n v="180"/>
    <n v="0"/>
    <n v="0"/>
    <m/>
    <m/>
    <m/>
    <m/>
    <n v="180"/>
    <n v="0"/>
    <n v="17340.417120151993"/>
  </r>
  <r>
    <d v="2025-12-24T00:00:00"/>
    <x v="4"/>
    <s v="İĞDE ÇEKİRDEĞİ TOZU"/>
    <m/>
    <x v="1"/>
    <s v="ST00000000646"/>
    <s v="SATIŞ"/>
    <s v="NAKİT"/>
    <n v="0.3125"/>
    <n v="320"/>
    <n v="0"/>
    <n v="0"/>
    <m/>
    <m/>
    <m/>
    <m/>
    <n v="100"/>
    <n v="0"/>
    <n v="17440.417120151993"/>
  </r>
  <r>
    <d v="2025-12-24T00:00:00"/>
    <x v="4"/>
    <s v="REZENE"/>
    <m/>
    <x v="1"/>
    <s v="ST00000000647"/>
    <s v="SATIŞ"/>
    <s v="NAKİT"/>
    <n v="5.5555555555555552E-2"/>
    <n v="900"/>
    <n v="0"/>
    <n v="0"/>
    <m/>
    <m/>
    <m/>
    <m/>
    <n v="50"/>
    <n v="0"/>
    <n v="17490.417120151993"/>
  </r>
  <r>
    <d v="2025-12-24T00:00:00"/>
    <x v="4"/>
    <s v="İNCİR KÜÇÜK"/>
    <m/>
    <x v="1"/>
    <s v="ST00000000648"/>
    <s v="SATIŞ"/>
    <s v="NAKİT"/>
    <n v="0.18070175438596492"/>
    <n v="570"/>
    <n v="0"/>
    <n v="0"/>
    <m/>
    <m/>
    <m/>
    <m/>
    <n v="103"/>
    <n v="0"/>
    <n v="17593.417120151993"/>
  </r>
  <r>
    <d v="2025-12-24T00:00:00"/>
    <x v="4"/>
    <s v="AÇIK KAYISI İRİ (SARI)"/>
    <m/>
    <x v="1"/>
    <s v="ST00000000648"/>
    <s v="SATIŞ"/>
    <s v="NAKİT"/>
    <n v="0.17391304347826086"/>
    <n v="690"/>
    <n v="0"/>
    <n v="0"/>
    <m/>
    <m/>
    <m/>
    <m/>
    <n v="120"/>
    <n v="0"/>
    <n v="17713.417120151993"/>
  </r>
  <r>
    <d v="2025-12-24T00:00:00"/>
    <x v="4"/>
    <s v="GENÇAY KEÇİ BOYNUZU ÖZÜ 675 GR"/>
    <m/>
    <x v="5"/>
    <s v="ST00000000649"/>
    <s v="SATIŞ"/>
    <s v="POS"/>
    <n v="1"/>
    <n v="195"/>
    <n v="195"/>
    <n v="0"/>
    <m/>
    <m/>
    <m/>
    <m/>
    <n v="0"/>
    <n v="0"/>
    <n v="17713.417120151993"/>
  </r>
  <r>
    <d v="2025-12-24T00:00:00"/>
    <x v="4"/>
    <s v="ZÜHRE ANA PROPOLİS MACUNU 240 GR"/>
    <m/>
    <x v="5"/>
    <s v="ST00000000649"/>
    <s v="SATIŞ"/>
    <s v="POS"/>
    <n v="1"/>
    <n v="220"/>
    <n v="220"/>
    <n v="0"/>
    <m/>
    <m/>
    <m/>
    <m/>
    <n v="0"/>
    <n v="0"/>
    <n v="17713.417120151993"/>
  </r>
  <r>
    <d v="2025-12-24T00:00:00"/>
    <x v="4"/>
    <s v="DOLMALIK KURU PATLICAN"/>
    <m/>
    <x v="5"/>
    <s v="ST00000000650"/>
    <s v="SATIŞ"/>
    <s v="POS"/>
    <n v="1"/>
    <n v="250"/>
    <n v="250"/>
    <n v="0"/>
    <m/>
    <m/>
    <m/>
    <m/>
    <n v="0"/>
    <n v="0"/>
    <n v="17713.417120151993"/>
  </r>
  <r>
    <d v="2025-12-24T00:00:00"/>
    <x v="4"/>
    <s v="DOLMALIK SARI BİBER"/>
    <m/>
    <x v="5"/>
    <s v="ST00000000650"/>
    <s v="SATIŞ"/>
    <s v="POS"/>
    <n v="1"/>
    <n v="200"/>
    <n v="200"/>
    <n v="0"/>
    <m/>
    <m/>
    <m/>
    <m/>
    <n v="0"/>
    <n v="0"/>
    <n v="17713.417120151993"/>
  </r>
  <r>
    <d v="2025-12-24T00:00:00"/>
    <x v="4"/>
    <s v="DOLMALIK SARI BİBER"/>
    <m/>
    <x v="5"/>
    <s v="ST00000000650"/>
    <s v="SATIŞ"/>
    <s v="POS"/>
    <n v="1"/>
    <n v="200"/>
    <n v="200"/>
    <n v="0"/>
    <m/>
    <m/>
    <m/>
    <m/>
    <n v="0"/>
    <n v="0"/>
    <n v="17713.417120151993"/>
  </r>
  <r>
    <d v="2025-12-24T00:00:00"/>
    <x v="4"/>
    <s v="NAHİTA NAR EKŞİSİ 250 ML"/>
    <m/>
    <x v="1"/>
    <s v="ST00000000650"/>
    <s v="SATIŞ"/>
    <s v="NAKİT"/>
    <n v="1"/>
    <n v="150"/>
    <n v="0"/>
    <n v="0"/>
    <m/>
    <m/>
    <m/>
    <m/>
    <n v="150"/>
    <n v="0"/>
    <n v="17863.417120151993"/>
  </r>
  <r>
    <d v="2025-12-24T00:00:00"/>
    <x v="4"/>
    <s v="KEKİK LÜX"/>
    <m/>
    <x v="1"/>
    <s v="ST00000000651"/>
    <s v="SATIŞ"/>
    <s v="NAKİT"/>
    <n v="3.9473684210526314E-2"/>
    <n v="760"/>
    <n v="0"/>
    <n v="0"/>
    <m/>
    <m/>
    <m/>
    <m/>
    <n v="30"/>
    <n v="0"/>
    <n v="17893.417120151993"/>
  </r>
  <r>
    <d v="2025-12-24T00:00:00"/>
    <x v="4"/>
    <s v="KAJUN BAHARATI - CAJUN SEASONING 1000 GR"/>
    <m/>
    <x v="1"/>
    <s v="ST00000000652"/>
    <s v="SATIŞ"/>
    <s v="NAKİT"/>
    <n v="0.1"/>
    <n v="750"/>
    <n v="0"/>
    <n v="0"/>
    <m/>
    <m/>
    <m/>
    <m/>
    <n v="75"/>
    <n v="0"/>
    <n v="17968.417120151993"/>
  </r>
  <r>
    <d v="2025-12-24T00:00:00"/>
    <x v="4"/>
    <s v="TÜDAB KARIŞIK TURŞU"/>
    <m/>
    <x v="1"/>
    <s v="ST00000000653"/>
    <s v="SATIŞ"/>
    <s v="NAKİT"/>
    <n v="1"/>
    <n v="400"/>
    <n v="0"/>
    <n v="0"/>
    <m/>
    <m/>
    <m/>
    <m/>
    <n v="400"/>
    <n v="0"/>
    <n v="18368.417120151993"/>
  </r>
  <r>
    <d v="2025-12-24T00:00:00"/>
    <x v="4"/>
    <s v="KIRMIZI PUL BİBER TATLI"/>
    <m/>
    <x v="1"/>
    <s v="ST00000000653"/>
    <s v="SATIŞ"/>
    <s v="NAKİT"/>
    <n v="0.20200000000000001"/>
    <n v="360"/>
    <n v="0"/>
    <n v="0"/>
    <m/>
    <m/>
    <m/>
    <m/>
    <n v="72.72"/>
    <n v="0"/>
    <n v="18441.137120151994"/>
  </r>
  <r>
    <d v="2025-12-24T00:00:00"/>
    <x v="4"/>
    <s v="TOZ TARÇIN"/>
    <m/>
    <x v="1"/>
    <s v="ST00000000653"/>
    <s v="SATIŞ"/>
    <s v="NAKİT"/>
    <n v="0.1"/>
    <n v="400"/>
    <n v="0"/>
    <n v="0"/>
    <m/>
    <m/>
    <m/>
    <m/>
    <n v="40"/>
    <n v="0"/>
    <n v="18481.137120151994"/>
  </r>
  <r>
    <d v="2025-12-24T00:00:00"/>
    <x v="4"/>
    <s v="ÇÖREKOTU"/>
    <m/>
    <x v="1"/>
    <s v="ST00000000653"/>
    <s v="SATIŞ"/>
    <s v="NAKİT"/>
    <n v="0.1"/>
    <n v="400"/>
    <n v="0"/>
    <n v="0"/>
    <m/>
    <m/>
    <m/>
    <m/>
    <n v="40"/>
    <n v="0"/>
    <n v="18521.137120151994"/>
  </r>
  <r>
    <d v="2025-12-24T00:00:00"/>
    <x v="4"/>
    <s v="KARANFİL"/>
    <m/>
    <x v="1"/>
    <s v="ST00000000653"/>
    <s v="SATIŞ"/>
    <s v="NAKİT"/>
    <n v="0.05"/>
    <n v="1200"/>
    <n v="0"/>
    <n v="0"/>
    <m/>
    <m/>
    <m/>
    <m/>
    <n v="60"/>
    <n v="0"/>
    <n v="18581.137120151994"/>
  </r>
  <r>
    <d v="2025-12-24T00:00:00"/>
    <x v="4"/>
    <s v="HİNDİSTAN CEVİZİ ( İRİ )"/>
    <m/>
    <x v="1"/>
    <s v="ST00000000653"/>
    <s v="SATIŞ"/>
    <s v="NAKİT"/>
    <n v="0.1"/>
    <n v="600"/>
    <n v="0"/>
    <n v="0"/>
    <m/>
    <m/>
    <m/>
    <m/>
    <n v="60"/>
    <n v="0"/>
    <n v="18641.137120151994"/>
  </r>
  <r>
    <d v="2025-12-24T00:00:00"/>
    <x v="4"/>
    <s v="BİZİM YAPRAK 1 LİK"/>
    <m/>
    <x v="1"/>
    <s v="ST00000000654"/>
    <s v="SATIŞ"/>
    <s v="NAKİT"/>
    <n v="1"/>
    <n v="280"/>
    <n v="0"/>
    <n v="0"/>
    <m/>
    <m/>
    <m/>
    <m/>
    <n v="280"/>
    <n v="0"/>
    <n v="18921.137120151994"/>
  </r>
  <r>
    <d v="2025-12-24T00:00:00"/>
    <x v="4"/>
    <s v="KABUKLU CEVİZ (YERLİ)"/>
    <m/>
    <x v="1"/>
    <s v="ST00000000655"/>
    <s v="SATIŞ"/>
    <s v="NAKİT"/>
    <n v="2"/>
    <n v="250"/>
    <n v="0"/>
    <n v="0"/>
    <m/>
    <m/>
    <m/>
    <m/>
    <n v="500"/>
    <n v="0"/>
    <n v="19421.137120151994"/>
  </r>
  <r>
    <d v="2025-12-24T00:00:00"/>
    <x v="4"/>
    <s v="DOMATES SALÇASI"/>
    <m/>
    <x v="1"/>
    <s v="ST00000000655"/>
    <s v="SATIŞ"/>
    <s v="NAKİT"/>
    <n v="1"/>
    <n v="150"/>
    <n v="0"/>
    <n v="0"/>
    <m/>
    <m/>
    <m/>
    <m/>
    <n v="150"/>
    <n v="0"/>
    <n v="19571.137120151994"/>
  </r>
  <r>
    <d v="2025-12-24T00:00:00"/>
    <x v="4"/>
    <s v="YENİ MAHSÜL PAPATYA"/>
    <m/>
    <x v="1"/>
    <s v="ST00000000655"/>
    <s v="SATIŞ"/>
    <s v="NAKİT"/>
    <n v="0.05"/>
    <n v="1200"/>
    <n v="0"/>
    <n v="0"/>
    <m/>
    <m/>
    <m/>
    <m/>
    <n v="60"/>
    <n v="0"/>
    <n v="19631.137120151994"/>
  </r>
  <r>
    <d v="2025-12-24T00:00:00"/>
    <x v="4"/>
    <s v="HİNDİSTAN CEVİZİ ( İRİ )"/>
    <m/>
    <x v="1"/>
    <s v="ST00000000655"/>
    <s v="SATIŞ"/>
    <s v="NAKİT"/>
    <n v="0.1"/>
    <n v="600"/>
    <n v="0"/>
    <n v="0"/>
    <m/>
    <m/>
    <m/>
    <m/>
    <n v="60"/>
    <n v="0"/>
    <n v="19691.137120151994"/>
  </r>
  <r>
    <d v="2025-12-24T00:00:00"/>
    <x v="4"/>
    <s v="KEKİK LÜX"/>
    <m/>
    <x v="1"/>
    <s v="ST00000000655"/>
    <s v="SATIŞ"/>
    <s v="NAKİT"/>
    <n v="3.9473684210526314E-2"/>
    <n v="760"/>
    <n v="0"/>
    <n v="0"/>
    <m/>
    <m/>
    <m/>
    <m/>
    <n v="30"/>
    <n v="0"/>
    <n v="19721.137120151994"/>
  </r>
  <r>
    <d v="2025-12-24T00:00:00"/>
    <x v="4"/>
    <s v="HİBİSKUS"/>
    <m/>
    <x v="1"/>
    <s v="ST00000000656"/>
    <s v="SATIŞ"/>
    <s v="NAKİT"/>
    <n v="0.1"/>
    <n v="600"/>
    <n v="0"/>
    <n v="0"/>
    <m/>
    <m/>
    <m/>
    <m/>
    <n v="60"/>
    <n v="0"/>
    <n v="19781.137120151994"/>
  </r>
  <r>
    <d v="2025-12-24T00:00:00"/>
    <x v="10"/>
    <m/>
    <m/>
    <x v="5"/>
    <m/>
    <s v="POS ÇÖZÜMÜ"/>
    <s v="POS"/>
    <n v="1"/>
    <n v="365"/>
    <n v="0"/>
    <n v="365"/>
    <n v="330"/>
    <m/>
    <m/>
    <m/>
    <n v="365"/>
    <n v="0"/>
    <n v="20146.137120151994"/>
  </r>
  <r>
    <d v="2025-12-24T00:00:00"/>
    <x v="10"/>
    <m/>
    <m/>
    <x v="5"/>
    <m/>
    <s v="POS ÇÖZÜMÜ"/>
    <s v="POS"/>
    <n v="1"/>
    <n v="639"/>
    <n v="0"/>
    <n v="639"/>
    <n v="330"/>
    <m/>
    <m/>
    <m/>
    <n v="639"/>
    <n v="0"/>
    <n v="20785.137120151994"/>
  </r>
  <r>
    <d v="2025-12-24T00:00:00"/>
    <x v="10"/>
    <m/>
    <m/>
    <x v="5"/>
    <m/>
    <s v="POS ÇÖZÜMÜ"/>
    <s v="POS"/>
    <n v="1"/>
    <n v="135"/>
    <n v="0"/>
    <n v="135"/>
    <n v="330"/>
    <m/>
    <m/>
    <m/>
    <n v="135"/>
    <n v="0"/>
    <n v="20920.137120151994"/>
  </r>
  <r>
    <d v="2025-12-25T00:00:00"/>
    <x v="4"/>
    <s v="SALÇA ACI (EV YAPIMI)"/>
    <m/>
    <x v="1"/>
    <s v="ST00000000659"/>
    <s v="SATIŞ"/>
    <s v="NAKİT"/>
    <n v="1"/>
    <n v="200"/>
    <n v="0"/>
    <n v="0"/>
    <m/>
    <m/>
    <m/>
    <m/>
    <n v="200"/>
    <n v="0"/>
    <n v="21120.137120151994"/>
  </r>
  <r>
    <d v="2025-12-25T00:00:00"/>
    <x v="4"/>
    <s v="KABUKLU CEVİZ (YERLİ)"/>
    <m/>
    <x v="5"/>
    <s v="ST00000000660"/>
    <s v="SATIŞ"/>
    <s v="POS"/>
    <n v="1"/>
    <n v="250"/>
    <n v="250"/>
    <n v="0"/>
    <m/>
    <m/>
    <m/>
    <m/>
    <n v="0"/>
    <n v="0"/>
    <n v="21120.137120151994"/>
  </r>
  <r>
    <d v="2025-12-25T00:00:00"/>
    <x v="4"/>
    <s v="AKGÜNLÜK BAHUR"/>
    <m/>
    <x v="5"/>
    <s v="ST00000000660"/>
    <s v="SATIŞ"/>
    <s v="POS"/>
    <n v="0.1"/>
    <n v="1500"/>
    <n v="150"/>
    <n v="0"/>
    <m/>
    <m/>
    <m/>
    <m/>
    <n v="0"/>
    <n v="0"/>
    <n v="21120.137120151994"/>
  </r>
  <r>
    <d v="2025-12-25T00:00:00"/>
    <x v="4"/>
    <s v="IHLAMUR YAPRAK"/>
    <m/>
    <x v="5"/>
    <s v="ST00000000661"/>
    <s v="SATIŞ"/>
    <s v="POS"/>
    <n v="0.05"/>
    <n v="2600"/>
    <n v="130"/>
    <n v="0"/>
    <m/>
    <m/>
    <m/>
    <m/>
    <n v="0"/>
    <n v="0"/>
    <n v="21120.137120151994"/>
  </r>
  <r>
    <d v="2025-12-25T00:00:00"/>
    <x v="4"/>
    <s v="ÇÖREKOTU YAĞI 50 CC"/>
    <m/>
    <x v="5"/>
    <s v="ST00000000661"/>
    <s v="SATIŞ"/>
    <s v="POS"/>
    <n v="1"/>
    <n v="170"/>
    <n v="170"/>
    <n v="0"/>
    <m/>
    <m/>
    <m/>
    <m/>
    <n v="0"/>
    <n v="0"/>
    <n v="21120.137120151994"/>
  </r>
  <r>
    <d v="2025-12-25T00:00:00"/>
    <x v="4"/>
    <s v="REZENE"/>
    <m/>
    <x v="5"/>
    <s v="ST00000000661"/>
    <s v="SATIŞ"/>
    <s v="POS"/>
    <n v="0.1"/>
    <n v="900"/>
    <n v="90"/>
    <n v="0"/>
    <m/>
    <m/>
    <m/>
    <m/>
    <n v="0"/>
    <n v="0"/>
    <n v="21120.137120151994"/>
  </r>
  <r>
    <d v="2025-12-25T00:00:00"/>
    <x v="4"/>
    <s v="İPEK BİBER"/>
    <m/>
    <x v="1"/>
    <s v="ST00000000662"/>
    <s v="SATIŞ"/>
    <s v="NAKİT"/>
    <n v="7.0000000000000007E-2"/>
    <n v="500"/>
    <n v="0"/>
    <n v="0"/>
    <m/>
    <m/>
    <m/>
    <m/>
    <n v="35"/>
    <n v="0"/>
    <n v="21155.137120151994"/>
  </r>
  <r>
    <d v="2025-12-25T00:00:00"/>
    <x v="4"/>
    <s v="KABUKLU CEVİZ (YERLİ)"/>
    <m/>
    <x v="1"/>
    <s v="ST00000000663"/>
    <s v="SATIŞ"/>
    <s v="NAKİT"/>
    <n v="1"/>
    <n v="250"/>
    <n v="0"/>
    <n v="0"/>
    <m/>
    <m/>
    <m/>
    <m/>
    <n v="250"/>
    <n v="0"/>
    <n v="21405.137120151994"/>
  </r>
  <r>
    <d v="2025-12-25T00:00:00"/>
    <x v="4"/>
    <s v="İĞDE ÇEKİRDEĞİ TOZU"/>
    <m/>
    <x v="1"/>
    <s v="ST00000000664"/>
    <s v="SATIŞ"/>
    <s v="NAKİT"/>
    <n v="0.109375"/>
    <n v="320"/>
    <n v="0"/>
    <n v="0"/>
    <m/>
    <m/>
    <m/>
    <m/>
    <n v="35"/>
    <n v="0"/>
    <n v="21440.137120151994"/>
  </r>
  <r>
    <d v="2025-12-25T00:00:00"/>
    <x v="4"/>
    <s v="İSOT"/>
    <m/>
    <x v="5"/>
    <s v="ST00000000665"/>
    <s v="SATIŞ - TOPTAN"/>
    <s v="POS"/>
    <n v="2"/>
    <n v="235"/>
    <n v="470"/>
    <n v="0"/>
    <m/>
    <m/>
    <m/>
    <m/>
    <n v="0"/>
    <n v="0"/>
    <n v="21440.137120151994"/>
  </r>
  <r>
    <d v="2025-12-25T00:00:00"/>
    <x v="4"/>
    <s v="TOZ BİBER - TATLI"/>
    <m/>
    <x v="5"/>
    <s v="ST00000000665"/>
    <s v="SATIŞ - TOPTAN"/>
    <s v="POS"/>
    <n v="3"/>
    <n v="210"/>
    <n v="630"/>
    <n v="0"/>
    <m/>
    <m/>
    <m/>
    <m/>
    <n v="0"/>
    <n v="0"/>
    <n v="21440.137120151994"/>
  </r>
  <r>
    <d v="2025-12-25T00:00:00"/>
    <x v="4"/>
    <s v="EVLİK BİBER"/>
    <m/>
    <x v="5"/>
    <s v="ST00000000665"/>
    <s v="SATIŞ - TOPTAN"/>
    <s v="POS"/>
    <n v="2"/>
    <n v="235"/>
    <n v="470"/>
    <n v="0"/>
    <m/>
    <m/>
    <m/>
    <m/>
    <n v="0"/>
    <n v="0"/>
    <n v="21440.137120151994"/>
  </r>
  <r>
    <d v="2025-12-25T00:00:00"/>
    <x v="4"/>
    <s v="GÜNAYDIN KAYA TUZU İNCE"/>
    <m/>
    <x v="1"/>
    <s v="ST00000000666"/>
    <s v="SATIŞ"/>
    <s v="NAKİT"/>
    <n v="0.5"/>
    <n v="80"/>
    <n v="0"/>
    <n v="0"/>
    <m/>
    <m/>
    <m/>
    <m/>
    <n v="40"/>
    <n v="0"/>
    <n v="21480.137120151994"/>
  </r>
  <r>
    <d v="2025-12-25T00:00:00"/>
    <x v="4"/>
    <s v="TÜDAB KARIŞIK TURŞU"/>
    <m/>
    <x v="1"/>
    <s v="ST00000000667"/>
    <s v="SATIŞ"/>
    <s v="NAKİT"/>
    <n v="1"/>
    <n v="400"/>
    <n v="0"/>
    <n v="0"/>
    <m/>
    <m/>
    <m/>
    <m/>
    <n v="400"/>
    <n v="0"/>
    <n v="21880.137120151994"/>
  </r>
  <r>
    <d v="2025-12-25T00:00:00"/>
    <x v="4"/>
    <s v="HİBİSKUS"/>
    <m/>
    <x v="1"/>
    <s v="ST00000000668"/>
    <s v="SATIŞ"/>
    <s v="NAKİT"/>
    <n v="0.1"/>
    <n v="500"/>
    <n v="0"/>
    <n v="0"/>
    <m/>
    <m/>
    <m/>
    <m/>
    <n v="50"/>
    <n v="0"/>
    <n v="21930.137120151994"/>
  </r>
  <r>
    <d v="2025-12-25T00:00:00"/>
    <x v="4"/>
    <s v="KABUKLU CEVİZ (YERLİ)"/>
    <m/>
    <x v="1"/>
    <s v="ST00000000668"/>
    <s v="SATIŞ"/>
    <s v="NAKİT"/>
    <n v="0.22"/>
    <n v="250"/>
    <n v="0"/>
    <n v="0"/>
    <m/>
    <m/>
    <m/>
    <m/>
    <n v="55"/>
    <n v="0"/>
    <n v="21985.137120151994"/>
  </r>
  <r>
    <d v="2025-12-25T00:00:00"/>
    <x v="4"/>
    <s v="KARABAŞ OTU"/>
    <m/>
    <x v="1"/>
    <s v="ST00000000669"/>
    <s v="SATIŞ"/>
    <s v="NAKİT"/>
    <n v="2.5714285714285714E-2"/>
    <n v="1400"/>
    <n v="0"/>
    <n v="0"/>
    <m/>
    <m/>
    <m/>
    <m/>
    <n v="36"/>
    <n v="0"/>
    <n v="22021.137120151994"/>
  </r>
  <r>
    <d v="2025-12-25T00:00:00"/>
    <x v="4"/>
    <s v="LİMON MELİSA"/>
    <m/>
    <x v="1"/>
    <s v="ST00000000669"/>
    <s v="SATIŞ"/>
    <s v="NAKİT"/>
    <n v="2.1999999999999999E-2"/>
    <n v="2000"/>
    <n v="0"/>
    <n v="0"/>
    <m/>
    <m/>
    <m/>
    <m/>
    <n v="44"/>
    <n v="0"/>
    <n v="22065.137120151994"/>
  </r>
  <r>
    <d v="2025-12-26T00:00:00"/>
    <x v="4"/>
    <s v="KİMYON ÇEKİLMİŞ"/>
    <m/>
    <x v="5"/>
    <s v="ST00000000670"/>
    <s v="SATIŞ"/>
    <s v="POS"/>
    <n v="0.13400000000000001"/>
    <n v="390"/>
    <n v="52.260000000000005"/>
    <n v="0"/>
    <m/>
    <m/>
    <m/>
    <m/>
    <n v="0"/>
    <n v="0"/>
    <n v="22065.137120151994"/>
  </r>
  <r>
    <d v="2025-12-26T00:00:00"/>
    <x v="4"/>
    <s v="TOZ BİBER - TATLI"/>
    <m/>
    <x v="5"/>
    <s v="ST00000000670"/>
    <s v="SATIŞ"/>
    <s v="POS"/>
    <n v="0.12"/>
    <n v="370"/>
    <n v="44.4"/>
    <n v="0"/>
    <m/>
    <m/>
    <m/>
    <m/>
    <n v="0"/>
    <n v="0"/>
    <n v="22065.137120151994"/>
  </r>
  <r>
    <d v="2025-12-26T00:00:00"/>
    <x v="4"/>
    <s v="YENİBAHAR TOZ"/>
    <m/>
    <x v="5"/>
    <s v="ST00000000670"/>
    <s v="SATIŞ"/>
    <s v="POS"/>
    <n v="0.05"/>
    <n v="770"/>
    <n v="38.5"/>
    <n v="0"/>
    <m/>
    <m/>
    <m/>
    <m/>
    <n v="0"/>
    <n v="0"/>
    <n v="22065.137120151994"/>
  </r>
  <r>
    <d v="2025-12-26T00:00:00"/>
    <x v="4"/>
    <s v="WARITEX ÇİFT TARAFLI KABAK LİFİ"/>
    <m/>
    <x v="5"/>
    <s v="ST00000000670"/>
    <s v="SATIŞ"/>
    <s v="POS"/>
    <n v="1"/>
    <n v="120"/>
    <n v="120"/>
    <n v="0"/>
    <m/>
    <m/>
    <m/>
    <m/>
    <n v="0"/>
    <n v="0"/>
    <n v="22065.137120151994"/>
  </r>
  <r>
    <d v="2025-12-26T00:00:00"/>
    <x v="4"/>
    <s v="MANİSA YAPRAK DÖKME"/>
    <m/>
    <x v="5"/>
    <s v="ST00000000670"/>
    <s v="SATIŞ"/>
    <s v="POS"/>
    <n v="0.5"/>
    <n v="400"/>
    <n v="200"/>
    <n v="0"/>
    <m/>
    <m/>
    <m/>
    <m/>
    <n v="0"/>
    <n v="0"/>
    <n v="22065.137120151994"/>
  </r>
  <r>
    <d v="2025-12-26T00:00:00"/>
    <x v="4"/>
    <s v="HİMALAYA TUZU PEMBE ÖĞÜTÜLMÜŞ"/>
    <m/>
    <x v="5"/>
    <s v="ST00000000670"/>
    <s v="SATIŞ"/>
    <s v="POS"/>
    <n v="0.5"/>
    <n v="140"/>
    <n v="70"/>
    <n v="0"/>
    <m/>
    <m/>
    <m/>
    <m/>
    <n v="0"/>
    <n v="0"/>
    <n v="22065.137120151994"/>
  </r>
  <r>
    <d v="2025-12-26T00:00:00"/>
    <x v="4"/>
    <s v="SARIBELEN IŞGIN KÖKÜ SİRKESİ 500 ML"/>
    <m/>
    <x v="5"/>
    <s v="ST00000000670"/>
    <s v="SATIŞ"/>
    <s v="POS"/>
    <n v="1"/>
    <n v="170"/>
    <n v="170"/>
    <n v="0"/>
    <m/>
    <m/>
    <m/>
    <m/>
    <n v="0"/>
    <n v="0"/>
    <n v="22065.137120151994"/>
  </r>
  <r>
    <d v="2025-12-26T00:00:00"/>
    <x v="4"/>
    <s v="SALÇA TATLI (EV YAPIMI)"/>
    <m/>
    <x v="5"/>
    <s v="ST00000000670"/>
    <s v="SATIŞ"/>
    <s v="POS"/>
    <n v="1"/>
    <n v="200"/>
    <n v="200"/>
    <n v="0"/>
    <m/>
    <m/>
    <m/>
    <m/>
    <n v="0"/>
    <n v="0"/>
    <n v="22065.137120151994"/>
  </r>
  <r>
    <d v="2025-12-26T00:00:00"/>
    <x v="4"/>
    <s v="DOMATES SALÇASI"/>
    <m/>
    <x v="5"/>
    <s v="ST00000000670"/>
    <s v="SATIŞ"/>
    <s v="POS"/>
    <n v="1"/>
    <n v="150"/>
    <n v="150"/>
    <n v="0"/>
    <m/>
    <m/>
    <m/>
    <m/>
    <n v="0"/>
    <n v="0"/>
    <n v="22065.137120151994"/>
  </r>
  <r>
    <d v="2025-12-26T00:00:00"/>
    <x v="4"/>
    <s v="TÜRK KAHVESİ"/>
    <m/>
    <x v="5"/>
    <s v="ST00000000671"/>
    <s v="SATIŞ"/>
    <s v="POS"/>
    <n v="0.1"/>
    <n v="650"/>
    <n v="65"/>
    <n v="0"/>
    <m/>
    <m/>
    <m/>
    <m/>
    <n v="0"/>
    <n v="0"/>
    <n v="22065.137120151994"/>
  </r>
  <r>
    <d v="2025-12-26T00:00:00"/>
    <x v="4"/>
    <s v="IHLAMUR YAPRAK"/>
    <m/>
    <x v="1"/>
    <s v="ST00000000672"/>
    <s v="SATIŞ"/>
    <s v="NAKİT"/>
    <n v="0.05"/>
    <n v="2600"/>
    <n v="0"/>
    <n v="0"/>
    <m/>
    <m/>
    <m/>
    <m/>
    <n v="130"/>
    <n v="0"/>
    <n v="22195.137120151994"/>
  </r>
  <r>
    <d v="2025-12-26T00:00:00"/>
    <x v="4"/>
    <s v="DOLMALIK KURU PATLICAN"/>
    <m/>
    <x v="1"/>
    <s v="ST00000000673"/>
    <s v="SATIŞ"/>
    <s v="NAKİT"/>
    <n v="1"/>
    <n v="250"/>
    <n v="0"/>
    <n v="0"/>
    <m/>
    <m/>
    <m/>
    <m/>
    <n v="250"/>
    <n v="0"/>
    <n v="22445.137120151994"/>
  </r>
  <r>
    <d v="2025-12-26T00:00:00"/>
    <x v="4"/>
    <s v="SUMAK"/>
    <m/>
    <x v="5"/>
    <s v="ST00000000674"/>
    <s v="SATIŞ"/>
    <s v="POS"/>
    <n v="9.4E-2"/>
    <n v="500"/>
    <n v="47"/>
    <n v="0"/>
    <m/>
    <m/>
    <m/>
    <m/>
    <n v="0"/>
    <n v="0"/>
    <n v="22445.137120151994"/>
  </r>
  <r>
    <d v="2025-12-26T00:00:00"/>
    <x v="4"/>
    <s v="KINA RGS DÖKME"/>
    <m/>
    <x v="5"/>
    <s v="ST00000000674"/>
    <s v="SATIŞ"/>
    <s v="POS"/>
    <n v="0.25"/>
    <n v="400"/>
    <n v="100"/>
    <n v="0"/>
    <m/>
    <m/>
    <m/>
    <m/>
    <n v="0"/>
    <n v="0"/>
    <n v="22445.137120151994"/>
  </r>
  <r>
    <d v="2025-12-26T00:00:00"/>
    <x v="4"/>
    <s v="DUT KURUSU ESMER"/>
    <m/>
    <x v="1"/>
    <s v="ST00000000675"/>
    <s v="SATIŞ"/>
    <s v="NAKİT"/>
    <n v="0.35333333333333333"/>
    <n v="450"/>
    <n v="0"/>
    <n v="0"/>
    <m/>
    <m/>
    <m/>
    <m/>
    <n v="159"/>
    <n v="0"/>
    <n v="22604.137120151994"/>
  </r>
  <r>
    <d v="2025-12-26T00:00:00"/>
    <x v="4"/>
    <s v="DOLMALIK KURU PATLICAN"/>
    <m/>
    <x v="1"/>
    <s v="ST00000000675"/>
    <s v="SATIŞ"/>
    <s v="NAKİT"/>
    <n v="1"/>
    <n v="215"/>
    <n v="0"/>
    <n v="0"/>
    <m/>
    <m/>
    <m/>
    <m/>
    <n v="215"/>
    <n v="0"/>
    <n v="22819.137120151994"/>
  </r>
  <r>
    <d v="2025-12-26T00:00:00"/>
    <x v="4"/>
    <s v="DOLMALIK KURU PATLICAN"/>
    <m/>
    <x v="5"/>
    <s v="ST00000000676"/>
    <s v="SATIŞ"/>
    <s v="POS"/>
    <n v="1"/>
    <n v="250"/>
    <n v="250"/>
    <n v="0"/>
    <m/>
    <m/>
    <m/>
    <m/>
    <n v="0"/>
    <n v="0"/>
    <n v="22819.137120151994"/>
  </r>
  <r>
    <d v="2025-12-26T00:00:00"/>
    <x v="4"/>
    <s v="AKSU VİTAL GİNSENG EKSTRATLI MACUN 300 GR"/>
    <m/>
    <x v="5"/>
    <s v="ST00000000677"/>
    <s v="SATIŞ"/>
    <s v="POS"/>
    <n v="1"/>
    <n v="440"/>
    <n v="440"/>
    <n v="0"/>
    <m/>
    <m/>
    <m/>
    <m/>
    <n v="0"/>
    <n v="0"/>
    <n v="22819.137120151994"/>
  </r>
  <r>
    <d v="2025-12-26T00:00:00"/>
    <x v="4"/>
    <s v="NBN DAĞ İNCİRİ"/>
    <m/>
    <x v="5"/>
    <s v="ST00000000677"/>
    <s v="SATIŞ"/>
    <s v="POS"/>
    <n v="0.5"/>
    <n v="800"/>
    <n v="400"/>
    <n v="0"/>
    <m/>
    <m/>
    <m/>
    <m/>
    <n v="0"/>
    <n v="0"/>
    <n v="22819.137120151994"/>
  </r>
  <r>
    <d v="2025-12-26T00:00:00"/>
    <x v="4"/>
    <s v="UMUT ŞİFA KUYRUK YAĞI 100 ML"/>
    <m/>
    <x v="5"/>
    <s v="ST00000000677"/>
    <s v="SATIŞ"/>
    <s v="POS"/>
    <n v="1"/>
    <n v="250"/>
    <n v="250"/>
    <n v="0"/>
    <m/>
    <m/>
    <m/>
    <m/>
    <n v="0"/>
    <n v="0"/>
    <n v="22819.137120151994"/>
  </r>
  <r>
    <d v="2025-12-26T00:00:00"/>
    <x v="4"/>
    <s v="KARANFİL"/>
    <m/>
    <x v="1"/>
    <s v="ST00000000678"/>
    <s v="SATIŞ"/>
    <s v="NAKİT"/>
    <n v="0.05"/>
    <n v="1200"/>
    <n v="0"/>
    <n v="0"/>
    <m/>
    <m/>
    <m/>
    <m/>
    <n v="60"/>
    <n v="0"/>
    <n v="22879.137120151994"/>
  </r>
  <r>
    <d v="2025-12-26T00:00:00"/>
    <x v="7"/>
    <m/>
    <m/>
    <x v="9"/>
    <m/>
    <s v="CARİ ÖDEME - MD-KUVEYT"/>
    <s v="NAKİT"/>
    <n v="1"/>
    <n v="0"/>
    <n v="10000"/>
    <n v="0"/>
    <m/>
    <m/>
    <m/>
    <m/>
    <n v="0"/>
    <n v="10000"/>
    <n v="12879.137120151994"/>
  </r>
  <r>
    <d v="2025-12-26T00:00:00"/>
    <x v="10"/>
    <m/>
    <m/>
    <x v="5"/>
    <m/>
    <s v="POS ÇÖZÜMÜ"/>
    <s v="POS"/>
    <n v="1"/>
    <n v="232"/>
    <n v="0"/>
    <n v="232"/>
    <n v="330"/>
    <m/>
    <m/>
    <m/>
    <n v="232"/>
    <n v="0"/>
    <n v="13111.137120151994"/>
  </r>
  <r>
    <d v="2025-12-26T00:00:00"/>
    <x v="10"/>
    <m/>
    <m/>
    <x v="5"/>
    <m/>
    <s v="POS ÇÖZÜMÜ"/>
    <s v="POS"/>
    <n v="1"/>
    <n v="1314"/>
    <n v="0"/>
    <n v="1314"/>
    <n v="330"/>
    <m/>
    <m/>
    <m/>
    <n v="1314"/>
    <n v="0"/>
    <n v="14425.137120151994"/>
  </r>
  <r>
    <d v="2025-12-26T00:00:00"/>
    <x v="3"/>
    <s v="KAKAO"/>
    <m/>
    <x v="4"/>
    <m/>
    <s v="TÜDAB A.Ş."/>
    <s v="CARİ"/>
    <n v="10"/>
    <n v="275"/>
    <n v="0"/>
    <n v="2750"/>
    <m/>
    <m/>
    <m/>
    <m/>
    <n v="0"/>
    <n v="0"/>
    <n v="14425.137120151994"/>
  </r>
  <r>
    <d v="2025-12-26T00:00:00"/>
    <x v="3"/>
    <s v="KUŞBURNU - KIRMIZI"/>
    <m/>
    <x v="4"/>
    <m/>
    <s v="TÜDAB A.Ş."/>
    <s v="CARİ"/>
    <n v="3"/>
    <n v="180"/>
    <n v="0"/>
    <n v="540"/>
    <m/>
    <m/>
    <m/>
    <m/>
    <n v="0"/>
    <n v="0"/>
    <n v="14425.137120151994"/>
  </r>
  <r>
    <d v="2025-12-26T00:00:00"/>
    <x v="3"/>
    <s v="LAHANA TURŞUSU 5 KG"/>
    <m/>
    <x v="4"/>
    <m/>
    <s v="TÜDAB A.Ş."/>
    <s v="CARİ"/>
    <n v="20"/>
    <n v="205"/>
    <n v="0"/>
    <n v="4100"/>
    <m/>
    <m/>
    <m/>
    <m/>
    <n v="0"/>
    <n v="0"/>
    <n v="14425.137120151994"/>
  </r>
  <r>
    <d v="2025-12-26T00:00:00"/>
    <x v="3"/>
    <s v="NAHİTA DETOKS SİRKESİ 500 ML"/>
    <m/>
    <x v="4"/>
    <m/>
    <s v="TÜDAB A.Ş."/>
    <s v="CARİ"/>
    <n v="6"/>
    <n v="105"/>
    <n v="0"/>
    <n v="630"/>
    <m/>
    <m/>
    <m/>
    <m/>
    <n v="0"/>
    <n v="0"/>
    <n v="14425.137120151994"/>
  </r>
  <r>
    <d v="2025-12-26T00:00:00"/>
    <x v="3"/>
    <s v="NBN DAĞ İNCİRİ"/>
    <m/>
    <x v="4"/>
    <m/>
    <s v="TÜDAB A.Ş."/>
    <s v="CARİ"/>
    <n v="5"/>
    <n v="550"/>
    <n v="0"/>
    <n v="2750"/>
    <m/>
    <m/>
    <m/>
    <m/>
    <n v="0"/>
    <n v="0"/>
    <n v="14425.137120151994"/>
  </r>
  <r>
    <d v="2025-12-26T00:00:00"/>
    <x v="3"/>
    <s v="RUŞUR TAŞI"/>
    <m/>
    <x v="4"/>
    <m/>
    <s v="TÜDAB A.Ş."/>
    <s v="CARİ"/>
    <n v="30"/>
    <n v="4.6666699999999999"/>
    <n v="0"/>
    <n v="140.0001"/>
    <m/>
    <m/>
    <m/>
    <m/>
    <n v="0"/>
    <n v="0"/>
    <n v="14425.137120151994"/>
  </r>
  <r>
    <d v="2025-12-26T00:00:00"/>
    <x v="3"/>
    <s v="SEYHAN ÜZÜM ÖZEL"/>
    <m/>
    <x v="4"/>
    <m/>
    <s v="TÜDAB A.Ş."/>
    <s v="CARİ"/>
    <n v="5"/>
    <n v="500"/>
    <n v="0"/>
    <n v="2500"/>
    <m/>
    <m/>
    <m/>
    <m/>
    <n v="0"/>
    <n v="0"/>
    <n v="14425.137120151994"/>
  </r>
  <r>
    <d v="2025-12-26T00:00:00"/>
    <x v="3"/>
    <s v="TÜDAB KARIŞIK TURŞU"/>
    <m/>
    <x v="4"/>
    <m/>
    <s v="TÜDAB A.Ş."/>
    <s v="CARİ"/>
    <n v="20"/>
    <n v="265"/>
    <n v="0"/>
    <n v="5300"/>
    <m/>
    <m/>
    <m/>
    <m/>
    <n v="0"/>
    <n v="0"/>
    <n v="14425.137120151994"/>
  </r>
  <r>
    <d v="2025-12-26T00:00:00"/>
    <x v="3"/>
    <s v="YAŞ ZENCEFİL"/>
    <m/>
    <x v="4"/>
    <m/>
    <s v="TÜDAB A.Ş."/>
    <s v="CARİ"/>
    <n v="5"/>
    <n v="160"/>
    <n v="0"/>
    <n v="800"/>
    <m/>
    <m/>
    <m/>
    <m/>
    <n v="0"/>
    <n v="0"/>
    <n v="14425.137120151994"/>
  </r>
  <r>
    <d v="2025-12-26T00:00:00"/>
    <x v="7"/>
    <m/>
    <m/>
    <x v="3"/>
    <m/>
    <s v="YALÇINTAT - ÖDEME"/>
    <s v="NAKİT"/>
    <n v="1"/>
    <n v="0"/>
    <n v="10000"/>
    <n v="0"/>
    <n v="0"/>
    <n v="10000"/>
    <m/>
    <m/>
    <n v="0"/>
    <n v="10000"/>
    <n v="4425.1371201519942"/>
  </r>
  <r>
    <d v="2025-12-26T00:00:00"/>
    <x v="1"/>
    <m/>
    <s v="BANKA GİDERLERİ"/>
    <x v="1"/>
    <m/>
    <s v="POS YILLIK GİDERİ"/>
    <s v="NAKİT"/>
    <n v="1"/>
    <n v="441"/>
    <n v="0"/>
    <n v="0"/>
    <m/>
    <m/>
    <m/>
    <m/>
    <n v="0"/>
    <n v="441"/>
    <n v="3984.1371201519942"/>
  </r>
  <r>
    <d v="2025-12-26T00:00:00"/>
    <x v="1"/>
    <m/>
    <s v="BANKA GİDERLERİ"/>
    <x v="1"/>
    <m/>
    <s v="POS BAKIM ÜCRETİ"/>
    <s v="NAKİT"/>
    <n v="1"/>
    <n v="441"/>
    <n v="0"/>
    <n v="0"/>
    <m/>
    <m/>
    <m/>
    <m/>
    <n v="0"/>
    <n v="441"/>
    <n v="3543.1371201519942"/>
  </r>
  <r>
    <d v="2025-12-27T00:00:00"/>
    <x v="4"/>
    <s v="DOLMALIK KURU PATLICAN"/>
    <m/>
    <x v="1"/>
    <s v="ST00000000682"/>
    <s v="SATIŞ"/>
    <s v="NAKİT"/>
    <n v="1"/>
    <n v="200"/>
    <n v="0"/>
    <n v="0"/>
    <m/>
    <m/>
    <m/>
    <m/>
    <n v="200"/>
    <n v="0"/>
    <n v="3743.1371201519942"/>
  </r>
  <r>
    <d v="2025-12-27T00:00:00"/>
    <x v="4"/>
    <s v="ZERDEÇAL TOZ"/>
    <m/>
    <x v="1"/>
    <s v="ST00000000683"/>
    <s v="SATIŞ"/>
    <s v="NAKİT"/>
    <n v="0.24333333333333335"/>
    <n v="300"/>
    <n v="0"/>
    <n v="0"/>
    <m/>
    <m/>
    <m/>
    <m/>
    <n v="73"/>
    <n v="0"/>
    <n v="3816.1371201519942"/>
  </r>
  <r>
    <d v="2025-12-27T00:00:00"/>
    <x v="4"/>
    <s v="SOSLU MISIR YERLİ"/>
    <m/>
    <x v="5"/>
    <s v="ST00000000684"/>
    <s v="SATIŞ"/>
    <s v="POS"/>
    <n v="0.22727272727272727"/>
    <n v="220"/>
    <n v="50"/>
    <n v="0"/>
    <m/>
    <m/>
    <m/>
    <m/>
    <n v="0"/>
    <n v="0"/>
    <n v="3816.1371201519942"/>
  </r>
  <r>
    <d v="2025-12-27T00:00:00"/>
    <x v="4"/>
    <s v="KABUKLU CEVİZ (YERLİ)"/>
    <m/>
    <x v="5"/>
    <s v="ST00000000684"/>
    <s v="SATIŞ"/>
    <s v="POS"/>
    <n v="1"/>
    <n v="250"/>
    <n v="250"/>
    <n v="0"/>
    <m/>
    <m/>
    <m/>
    <m/>
    <n v="0"/>
    <n v="0"/>
    <n v="3816.1371201519942"/>
  </r>
  <r>
    <d v="2025-12-27T00:00:00"/>
    <x v="4"/>
    <s v="PİLAVLIK BULGUR"/>
    <m/>
    <x v="5"/>
    <s v="ST00000000684"/>
    <s v="SATIŞ"/>
    <s v="POS"/>
    <n v="1.016"/>
    <n v="65"/>
    <n v="66.040000000000006"/>
    <n v="0"/>
    <m/>
    <m/>
    <m/>
    <m/>
    <n v="0"/>
    <n v="0"/>
    <n v="3816.1371201519942"/>
  </r>
  <r>
    <d v="2025-12-27T00:00:00"/>
    <x v="4"/>
    <s v="KARANFİL"/>
    <m/>
    <x v="5"/>
    <s v="ST00000000684"/>
    <s v="SATIŞ"/>
    <s v="POS"/>
    <n v="0.05"/>
    <n v="1200"/>
    <n v="60"/>
    <n v="0"/>
    <m/>
    <m/>
    <m/>
    <m/>
    <n v="0"/>
    <n v="0"/>
    <n v="3816.1371201519942"/>
  </r>
  <r>
    <d v="2025-12-27T00:00:00"/>
    <x v="4"/>
    <s v="NBN DAĞ İNCİRİ"/>
    <m/>
    <x v="5"/>
    <s v="ST00000000685"/>
    <s v="SATIŞ"/>
    <s v="POS"/>
    <n v="0.5625"/>
    <n v="800"/>
    <n v="450"/>
    <n v="0"/>
    <m/>
    <m/>
    <m/>
    <m/>
    <n v="0"/>
    <n v="0"/>
    <n v="3816.1371201519942"/>
  </r>
  <r>
    <d v="2025-12-27T00:00:00"/>
    <x v="4"/>
    <s v="AÇIK KAYISI İRİ (SARI)"/>
    <m/>
    <x v="5"/>
    <s v="ST00000000685"/>
    <s v="SATIŞ"/>
    <s v="POS"/>
    <n v="0.28985507246376813"/>
    <n v="690"/>
    <n v="200"/>
    <n v="0"/>
    <m/>
    <m/>
    <m/>
    <m/>
    <n v="0"/>
    <n v="0"/>
    <n v="3816.1371201519942"/>
  </r>
  <r>
    <d v="2025-12-27T00:00:00"/>
    <x v="4"/>
    <s v="DERME GÜN KURUSU KAYISI JUMBO"/>
    <m/>
    <x v="5"/>
    <s v="ST00000000685"/>
    <s v="SATIŞ"/>
    <s v="POS"/>
    <n v="0.21052631578947367"/>
    <n v="950"/>
    <n v="200"/>
    <n v="0"/>
    <m/>
    <m/>
    <m/>
    <m/>
    <n v="0"/>
    <n v="0"/>
    <n v="3816.1371201519942"/>
  </r>
  <r>
    <d v="2025-12-27T00:00:00"/>
    <x v="4"/>
    <s v="SEYHAN ÜZÜM ÖZEL"/>
    <m/>
    <x v="1"/>
    <s v="ST00000000685"/>
    <s v="SATIŞ"/>
    <s v="NAKİT"/>
    <n v="0.3"/>
    <n v="750"/>
    <n v="0"/>
    <n v="0"/>
    <m/>
    <m/>
    <m/>
    <m/>
    <n v="225"/>
    <n v="0"/>
    <n v="4041.1371201519942"/>
  </r>
  <r>
    <d v="2025-12-27T00:00:00"/>
    <x v="4"/>
    <s v="KİRAZ SAPI"/>
    <m/>
    <x v="1"/>
    <s v="ST00000000685"/>
    <s v="SATIŞ"/>
    <s v="NAKİT"/>
    <n v="0.04"/>
    <n v="800"/>
    <n v="0"/>
    <n v="0"/>
    <m/>
    <m/>
    <m/>
    <m/>
    <n v="32"/>
    <n v="0"/>
    <n v="4073.1371201519942"/>
  </r>
  <r>
    <d v="2025-12-27T00:00:00"/>
    <x v="4"/>
    <s v="LİMON MELİSA"/>
    <m/>
    <x v="5"/>
    <s v="ST00000000686"/>
    <s v="SATIŞ"/>
    <s v="POS"/>
    <n v="1.7500000000000002E-2"/>
    <n v="2000"/>
    <n v="35"/>
    <n v="0"/>
    <m/>
    <m/>
    <m/>
    <m/>
    <n v="0"/>
    <n v="0"/>
    <n v="4073.1371201519942"/>
  </r>
  <r>
    <d v="2025-12-27T00:00:00"/>
    <x v="4"/>
    <s v="IHLAMUR YAPRAK"/>
    <m/>
    <x v="5"/>
    <s v="ST00000000686"/>
    <s v="SATIŞ"/>
    <s v="POS"/>
    <n v="0.05"/>
    <n v="2600"/>
    <n v="130"/>
    <n v="0"/>
    <m/>
    <m/>
    <m/>
    <m/>
    <n v="0"/>
    <n v="0"/>
    <n v="4073.1371201519942"/>
  </r>
  <r>
    <d v="2025-12-27T00:00:00"/>
    <x v="4"/>
    <s v="YENİ MAHSÜL PAPATYA"/>
    <m/>
    <x v="5"/>
    <s v="ST00000000686"/>
    <s v="SATIŞ"/>
    <s v="POS"/>
    <n v="0.04"/>
    <n v="2250"/>
    <n v="90"/>
    <n v="0"/>
    <m/>
    <m/>
    <m/>
    <m/>
    <n v="0"/>
    <n v="0"/>
    <n v="4073.1371201519942"/>
  </r>
  <r>
    <d v="2025-12-27T00:00:00"/>
    <x v="4"/>
    <s v="ÇUBUK TARÇIN"/>
    <m/>
    <x v="1"/>
    <s v="ST00000000687"/>
    <s v="SATIŞ"/>
    <s v="NAKİT"/>
    <n v="0.1"/>
    <n v="650"/>
    <n v="0"/>
    <n v="0"/>
    <m/>
    <m/>
    <m/>
    <m/>
    <n v="65"/>
    <n v="0"/>
    <n v="4138.1371201519942"/>
  </r>
  <r>
    <d v="2025-12-27T00:00:00"/>
    <x v="4"/>
    <s v="KARANFİL"/>
    <m/>
    <x v="1"/>
    <s v="ST00000000687"/>
    <s v="SATIŞ"/>
    <s v="NAKİT"/>
    <n v="0.05"/>
    <n v="1200"/>
    <n v="0"/>
    <n v="0"/>
    <m/>
    <m/>
    <m/>
    <m/>
    <n v="60"/>
    <n v="0"/>
    <n v="4198.1371201519942"/>
  </r>
  <r>
    <d v="2025-12-27T00:00:00"/>
    <x v="4"/>
    <s v="KINA RGS DÖKME"/>
    <m/>
    <x v="1"/>
    <s v="ST00000000687"/>
    <s v="SATIŞ"/>
    <s v="NAKİT"/>
    <n v="0.25"/>
    <n v="400"/>
    <n v="0"/>
    <n v="0"/>
    <m/>
    <m/>
    <m/>
    <m/>
    <n v="100"/>
    <n v="0"/>
    <n v="4298.1371201519942"/>
  </r>
  <r>
    <d v="2025-12-27T00:00:00"/>
    <x v="4"/>
    <s v="KEKİK LÜX"/>
    <m/>
    <x v="1"/>
    <s v="ST00000000688"/>
    <s v="SATIŞ"/>
    <s v="NAKİT"/>
    <n v="0.05"/>
    <n v="760"/>
    <n v="0"/>
    <n v="0"/>
    <m/>
    <m/>
    <m/>
    <m/>
    <n v="38"/>
    <n v="0"/>
    <n v="4336.1371201519942"/>
  </r>
  <r>
    <d v="2025-12-27T00:00:00"/>
    <x v="4"/>
    <s v="PATLAK MISIR"/>
    <m/>
    <x v="1"/>
    <s v="ST00000000688"/>
    <s v="SATIŞ"/>
    <s v="NAKİT"/>
    <n v="0.5"/>
    <n v="60"/>
    <n v="0"/>
    <n v="0"/>
    <m/>
    <m/>
    <m/>
    <m/>
    <n v="30"/>
    <n v="0"/>
    <n v="4366.1371201519942"/>
  </r>
  <r>
    <d v="2025-12-27T00:00:00"/>
    <x v="4"/>
    <s v="KORİ (TAVUK BAHARATI)"/>
    <m/>
    <x v="1"/>
    <s v="ST00000000688"/>
    <s v="SATIŞ"/>
    <s v="NAKİT"/>
    <n v="0.106"/>
    <n v="140"/>
    <n v="0"/>
    <n v="0"/>
    <m/>
    <m/>
    <m/>
    <m/>
    <n v="14.84"/>
    <n v="0"/>
    <n v="4380.9771201519943"/>
  </r>
  <r>
    <d v="2025-12-27T00:00:00"/>
    <x v="4"/>
    <s v="TÜDAB KARIŞIK TURŞU"/>
    <m/>
    <x v="1"/>
    <s v="ST00000000688"/>
    <s v="SATIŞ"/>
    <s v="NAKİT"/>
    <n v="1"/>
    <n v="400"/>
    <n v="0"/>
    <n v="0"/>
    <m/>
    <m/>
    <m/>
    <m/>
    <n v="400"/>
    <n v="0"/>
    <n v="4780.9771201519943"/>
  </r>
  <r>
    <d v="2025-12-27T00:00:00"/>
    <x v="4"/>
    <s v="KİMYON TANE"/>
    <m/>
    <x v="1"/>
    <s v="ST00000000688"/>
    <s v="SATIŞ"/>
    <s v="NAKİT"/>
    <n v="0.05"/>
    <n v="400"/>
    <n v="0"/>
    <n v="0"/>
    <m/>
    <m/>
    <m/>
    <m/>
    <n v="20"/>
    <n v="0"/>
    <n v="4800.9771201519943"/>
  </r>
  <r>
    <d v="2025-12-27T00:00:00"/>
    <x v="4"/>
    <s v="AKGÜNLÜK BAHUR"/>
    <m/>
    <x v="1"/>
    <s v="ST00000000688"/>
    <s v="SATIŞ"/>
    <s v="NAKİT"/>
    <n v="0.1"/>
    <n v="1500"/>
    <n v="0"/>
    <n v="0"/>
    <m/>
    <m/>
    <m/>
    <m/>
    <n v="150"/>
    <n v="0"/>
    <n v="4950.9771201519943"/>
  </r>
  <r>
    <d v="2025-12-27T00:00:00"/>
    <x v="10"/>
    <m/>
    <m/>
    <x v="5"/>
    <m/>
    <s v="POS ÇÖZÜMÜ"/>
    <s v="POS"/>
    <n v="1"/>
    <n v="2035"/>
    <n v="0"/>
    <n v="2035"/>
    <m/>
    <m/>
    <m/>
    <m/>
    <n v="2035"/>
    <n v="0"/>
    <n v="6985.9771201519943"/>
  </r>
  <r>
    <d v="2025-12-27T00:00:00"/>
    <x v="10"/>
    <m/>
    <m/>
    <x v="5"/>
    <m/>
    <s v="POS ÇÖZÜMÜ"/>
    <s v="POS"/>
    <n v="1"/>
    <n v="1364"/>
    <n v="0"/>
    <n v="1364"/>
    <m/>
    <m/>
    <m/>
    <m/>
    <n v="1364"/>
    <n v="0"/>
    <n v="8349.9771201519943"/>
  </r>
  <r>
    <d v="2025-12-28T00:00:00"/>
    <x v="4"/>
    <s v="IHLAMUR YAPRAK"/>
    <m/>
    <x v="5"/>
    <s v="ST00000000689"/>
    <s v="SATIŞ"/>
    <s v="POS"/>
    <n v="0.05"/>
    <n v="2600"/>
    <n v="130"/>
    <n v="0"/>
    <m/>
    <m/>
    <m/>
    <m/>
    <n v="0"/>
    <n v="0"/>
    <n v="8349.9771201519943"/>
  </r>
  <r>
    <d v="2025-12-28T00:00:00"/>
    <x v="4"/>
    <s v="MİX NANE LİMON ÇAYI"/>
    <m/>
    <x v="5"/>
    <s v="ST00000000689"/>
    <s v="SATIŞ"/>
    <s v="POS"/>
    <n v="0.1"/>
    <n v="900"/>
    <n v="90"/>
    <n v="0"/>
    <m/>
    <m/>
    <m/>
    <m/>
    <n v="0"/>
    <n v="0"/>
    <n v="8349.9771201519943"/>
  </r>
  <r>
    <d v="2025-12-28T00:00:00"/>
    <x v="4"/>
    <s v="GENÇLEBİ ÇAKILTAŞI DRAJE"/>
    <m/>
    <x v="5"/>
    <s v="ST00000000689"/>
    <s v="SATIŞ"/>
    <s v="POS"/>
    <n v="0.25"/>
    <n v="400"/>
    <n v="100"/>
    <n v="0"/>
    <m/>
    <m/>
    <m/>
    <m/>
    <n v="0"/>
    <n v="0"/>
    <n v="8349.9771201519943"/>
  </r>
  <r>
    <d v="2025-12-28T00:00:00"/>
    <x v="4"/>
    <s v="TOZ BİBER - TATLI"/>
    <m/>
    <x v="1"/>
    <s v="ST00000000690"/>
    <s v="SATIŞ"/>
    <s v="NAKİT"/>
    <n v="0.18611111111111112"/>
    <n v="360"/>
    <n v="0"/>
    <n v="0"/>
    <m/>
    <m/>
    <m/>
    <m/>
    <n v="67"/>
    <n v="0"/>
    <n v="8416.9771201519943"/>
  </r>
  <r>
    <d v="2025-12-28T00:00:00"/>
    <x v="4"/>
    <s v="KIRMIZI PUL BİBER TATLI"/>
    <m/>
    <x v="1"/>
    <s v="ST00000000690"/>
    <s v="SATIŞ"/>
    <s v="NAKİT"/>
    <n v="0.1891891891891892"/>
    <n v="370"/>
    <n v="0"/>
    <n v="0"/>
    <m/>
    <m/>
    <m/>
    <m/>
    <n v="70"/>
    <n v="0"/>
    <n v="8486.9771201519943"/>
  </r>
  <r>
    <d v="2025-12-28T00:00:00"/>
    <x v="4"/>
    <s v="MISIR UNU"/>
    <m/>
    <x v="1"/>
    <s v="ST00000000691"/>
    <s v="SATIŞ"/>
    <s v="NAKİT"/>
    <n v="1"/>
    <n v="60"/>
    <n v="0"/>
    <n v="0"/>
    <m/>
    <m/>
    <m/>
    <m/>
    <n v="60"/>
    <n v="0"/>
    <n v="8546.9771201519943"/>
  </r>
  <r>
    <d v="2025-12-28T00:00:00"/>
    <x v="4"/>
    <s v="NBN DAĞ İNCİRİ"/>
    <m/>
    <x v="5"/>
    <s v="ST00000000692"/>
    <s v="SATIŞ"/>
    <s v="POS"/>
    <n v="0.25"/>
    <n v="800"/>
    <n v="200"/>
    <n v="0"/>
    <m/>
    <m/>
    <m/>
    <m/>
    <n v="0"/>
    <n v="0"/>
    <n v="8546.9771201519943"/>
  </r>
  <r>
    <d v="2025-12-28T00:00:00"/>
    <x v="4"/>
    <s v="DUT KURUSU ESMER"/>
    <m/>
    <x v="5"/>
    <s v="ST00000000692"/>
    <s v="SATIŞ"/>
    <s v="POS"/>
    <n v="0.21739130434782608"/>
    <n v="460"/>
    <n v="100"/>
    <n v="0"/>
    <m/>
    <m/>
    <m/>
    <m/>
    <n v="0"/>
    <n v="0"/>
    <n v="8546.9771201519943"/>
  </r>
  <r>
    <d v="2025-12-28T00:00:00"/>
    <x v="4"/>
    <s v="ZENCEFİL TOZ"/>
    <m/>
    <x v="5"/>
    <s v="ST00000000693"/>
    <s v="SATIŞ"/>
    <s v="POS"/>
    <n v="0.1545"/>
    <n v="400"/>
    <n v="61.8"/>
    <n v="0"/>
    <m/>
    <m/>
    <m/>
    <m/>
    <n v="0"/>
    <n v="0"/>
    <n v="8546.9771201519943"/>
  </r>
  <r>
    <d v="2025-12-28T00:00:00"/>
    <x v="4"/>
    <s v="ZERDEÇAL TOZ"/>
    <m/>
    <x v="5"/>
    <s v="ST00000000693"/>
    <s v="SATIŞ"/>
    <s v="POS"/>
    <n v="0.28000000000000003"/>
    <n v="280"/>
    <n v="78.400000000000006"/>
    <n v="0"/>
    <m/>
    <m/>
    <m/>
    <m/>
    <n v="0"/>
    <n v="0"/>
    <n v="8546.9771201519943"/>
  </r>
  <r>
    <d v="2025-12-28T00:00:00"/>
    <x v="4"/>
    <s v="KARANFİL"/>
    <m/>
    <x v="5"/>
    <s v="ST00000000693"/>
    <s v="SATIŞ"/>
    <s v="POS"/>
    <n v="0.05"/>
    <n v="1200"/>
    <n v="60"/>
    <n v="0"/>
    <m/>
    <m/>
    <m/>
    <m/>
    <n v="0"/>
    <n v="0"/>
    <n v="8546.9771201519943"/>
  </r>
  <r>
    <d v="2025-12-28T00:00:00"/>
    <x v="4"/>
    <s v="MANİSA YAPRAK DÖKME"/>
    <m/>
    <x v="5"/>
    <s v="ST00000000694"/>
    <s v="SATIŞ"/>
    <s v="POS"/>
    <n v="0.5"/>
    <n v="400"/>
    <n v="200"/>
    <n v="0"/>
    <m/>
    <m/>
    <m/>
    <m/>
    <n v="0"/>
    <n v="0"/>
    <n v="8546.9771201519943"/>
  </r>
  <r>
    <d v="2025-12-28T00:00:00"/>
    <x v="10"/>
    <m/>
    <m/>
    <x v="5"/>
    <m/>
    <s v="POS ÇÖZÜMÜ"/>
    <s v="POS"/>
    <n v="1"/>
    <n v="488"/>
    <n v="0"/>
    <n v="488"/>
    <m/>
    <m/>
    <m/>
    <m/>
    <n v="488"/>
    <n v="0"/>
    <n v="9034.9771201519943"/>
  </r>
  <r>
    <d v="2025-12-29T00:00:00"/>
    <x v="6"/>
    <s v="YAŞ ZENCEFİL"/>
    <m/>
    <x v="4"/>
    <s v="FT00000000057"/>
    <s v="TÜDAB A.Ş."/>
    <s v="CARİ"/>
    <n v="5"/>
    <n v="160"/>
    <n v="800"/>
    <n v="0"/>
    <m/>
    <m/>
    <m/>
    <m/>
    <n v="0"/>
    <n v="0"/>
    <n v="9034.9771201519943"/>
  </r>
  <r>
    <d v="2025-12-29T00:00:00"/>
    <x v="4"/>
    <s v="ZENCEFİL TOZ"/>
    <m/>
    <x v="1"/>
    <s v="ST00000000695"/>
    <s v="SATIŞ"/>
    <s v="NAKİT"/>
    <n v="6.6000000000000003E-2"/>
    <n v="400"/>
    <n v="0"/>
    <n v="0"/>
    <m/>
    <m/>
    <m/>
    <m/>
    <n v="26.400000000000002"/>
    <n v="0"/>
    <n v="9061.3771201519939"/>
  </r>
  <r>
    <d v="2025-12-29T00:00:00"/>
    <x v="4"/>
    <s v="ZERDEÇAL TOZ"/>
    <m/>
    <x v="1"/>
    <s v="ST00000000695"/>
    <s v="SATIŞ"/>
    <s v="NAKİT"/>
    <n v="0.112"/>
    <n v="300"/>
    <n v="0"/>
    <n v="0"/>
    <m/>
    <m/>
    <m/>
    <m/>
    <n v="33.6"/>
    <n v="0"/>
    <n v="9094.9771201519943"/>
  </r>
  <r>
    <d v="2025-12-29T00:00:00"/>
    <x v="4"/>
    <s v="NAHİTA KOZALAK ŞURUBU 500 ML"/>
    <m/>
    <x v="1"/>
    <s v="ST00000000695"/>
    <s v="SATIŞ"/>
    <s v="NAKİT"/>
    <n v="1"/>
    <n v="145"/>
    <n v="0"/>
    <n v="0"/>
    <m/>
    <m/>
    <m/>
    <m/>
    <n v="145"/>
    <n v="0"/>
    <n v="9239.9771201519943"/>
  </r>
  <r>
    <d v="2025-12-29T00:00:00"/>
    <x v="4"/>
    <s v="ÇUBUK TARÇIN"/>
    <m/>
    <x v="1"/>
    <s v="ST00000000695"/>
    <s v="SATIŞ"/>
    <s v="NAKİT"/>
    <n v="0.1"/>
    <n v="650"/>
    <n v="0"/>
    <n v="0"/>
    <m/>
    <m/>
    <m/>
    <m/>
    <n v="65"/>
    <n v="0"/>
    <n v="9304.9771201519943"/>
  </r>
  <r>
    <d v="2025-12-29T00:00:00"/>
    <x v="4"/>
    <s v="İZMİR ÜZÜMÜ"/>
    <m/>
    <x v="1"/>
    <s v="ST00000000695"/>
    <s v="SATIŞ"/>
    <s v="NAKİT"/>
    <n v="0.77400000000000002"/>
    <n v="245"/>
    <n v="0"/>
    <n v="0"/>
    <m/>
    <m/>
    <m/>
    <m/>
    <n v="189.63"/>
    <n v="0"/>
    <n v="9494.6071201519935"/>
  </r>
  <r>
    <d v="2025-12-29T00:00:00"/>
    <x v="4"/>
    <s v="KARABİBER ÇEKİLMİŞ"/>
    <m/>
    <x v="1"/>
    <s v="ST00000000695"/>
    <s v="SATIŞ"/>
    <s v="NAKİT"/>
    <n v="7.1999999999999995E-2"/>
    <n v="600"/>
    <n v="0"/>
    <n v="0"/>
    <m/>
    <m/>
    <m/>
    <m/>
    <n v="43.199999999999996"/>
    <n v="0"/>
    <n v="9537.8071201519942"/>
  </r>
  <r>
    <d v="2025-12-29T00:00:00"/>
    <x v="4"/>
    <s v="KARANFİL"/>
    <m/>
    <x v="1"/>
    <s v="ST00000000695"/>
    <s v="SATIŞ"/>
    <s v="NAKİT"/>
    <n v="0.05"/>
    <n v="1200"/>
    <n v="0"/>
    <n v="0"/>
    <m/>
    <m/>
    <m/>
    <m/>
    <n v="60"/>
    <n v="0"/>
    <n v="9597.8071201519942"/>
  </r>
  <r>
    <d v="2025-12-29T00:00:00"/>
    <x v="4"/>
    <s v="DOMATES SALÇASI"/>
    <m/>
    <x v="1"/>
    <s v="ST00000000696"/>
    <s v="SATIŞ"/>
    <s v="NAKİT"/>
    <n v="0.5"/>
    <n v="150"/>
    <n v="0"/>
    <n v="0"/>
    <m/>
    <m/>
    <m/>
    <m/>
    <n v="75"/>
    <n v="0"/>
    <n v="9672.8071201519942"/>
  </r>
  <r>
    <d v="2025-12-29T00:00:00"/>
    <x v="4"/>
    <s v="SALÇA TATLI (EV YAPIMI)"/>
    <m/>
    <x v="1"/>
    <s v="ST00000000696"/>
    <s v="SATIŞ"/>
    <s v="NAKİT"/>
    <n v="0.5"/>
    <n v="200"/>
    <n v="0"/>
    <n v="0"/>
    <m/>
    <m/>
    <m/>
    <m/>
    <n v="100"/>
    <n v="0"/>
    <n v="9772.8071201519942"/>
  </r>
  <r>
    <d v="2025-12-29T00:00:00"/>
    <x v="4"/>
    <s v="KARANFİL"/>
    <m/>
    <x v="1"/>
    <s v="ST00000000696"/>
    <s v="SATIŞ"/>
    <s v="NAKİT"/>
    <n v="0.05"/>
    <n v="1200"/>
    <n v="0"/>
    <n v="0"/>
    <m/>
    <m/>
    <m/>
    <m/>
    <n v="60"/>
    <n v="0"/>
    <n v="9832.8071201519942"/>
  </r>
  <r>
    <d v="2025-12-29T00:00:00"/>
    <x v="4"/>
    <s v="KİRAZ SAPI"/>
    <m/>
    <x v="5"/>
    <s v="ST00000000697"/>
    <s v="SATIŞ"/>
    <s v="POS"/>
    <n v="0.82599999999999996"/>
    <n v="80"/>
    <n v="66.08"/>
    <n v="0"/>
    <m/>
    <m/>
    <m/>
    <m/>
    <n v="0"/>
    <n v="0"/>
    <n v="9832.8071201519942"/>
  </r>
  <r>
    <d v="2025-12-29T00:00:00"/>
    <x v="4"/>
    <s v="ŞİFAVER KÜKÜRTLÜ HATAY SABUNU"/>
    <m/>
    <x v="5"/>
    <s v="ST00000000698"/>
    <s v="SATIŞ"/>
    <s v="POS"/>
    <n v="1"/>
    <n v="50"/>
    <n v="50"/>
    <n v="0"/>
    <m/>
    <m/>
    <m/>
    <m/>
    <n v="0"/>
    <n v="0"/>
    <n v="9832.8071201519942"/>
  </r>
  <r>
    <d v="2025-12-29T00:00:00"/>
    <x v="4"/>
    <s v="KABUKLU CEVİZ (YERLİ)"/>
    <m/>
    <x v="1"/>
    <s v="ST00000000699"/>
    <s v="SATIŞ"/>
    <s v="NAKİT"/>
    <n v="0.4"/>
    <n v="250"/>
    <n v="0"/>
    <n v="0"/>
    <m/>
    <m/>
    <m/>
    <m/>
    <n v="100"/>
    <n v="0"/>
    <n v="9932.8071201519942"/>
  </r>
  <r>
    <d v="2025-12-29T00:00:00"/>
    <x v="4"/>
    <s v="MANİSA YAPRAK DÖKME"/>
    <m/>
    <x v="5"/>
    <s v="ST00000000700"/>
    <s v="SATIŞ"/>
    <s v="POS"/>
    <n v="1.5"/>
    <n v="400"/>
    <n v="600"/>
    <n v="0"/>
    <m/>
    <m/>
    <m/>
    <m/>
    <n v="0"/>
    <n v="0"/>
    <n v="9932.8071201519942"/>
  </r>
  <r>
    <d v="2025-12-29T00:00:00"/>
    <x v="4"/>
    <s v="MANİSA YAPRAK DÖKME"/>
    <m/>
    <x v="1"/>
    <s v="ST00000000700"/>
    <s v="SATIŞ"/>
    <s v="NAKİT"/>
    <n v="0.26250000000000001"/>
    <n v="400"/>
    <n v="0"/>
    <n v="0"/>
    <m/>
    <m/>
    <m/>
    <m/>
    <n v="105"/>
    <n v="0"/>
    <n v="10037.807120151994"/>
  </r>
  <r>
    <d v="2025-12-29T00:00:00"/>
    <x v="4"/>
    <s v="TOZ BİBER - TATLI"/>
    <m/>
    <x v="5"/>
    <s v="ST00000000701"/>
    <s v="SATIŞ"/>
    <s v="POS"/>
    <n v="0.58918918918918917"/>
    <n v="370"/>
    <n v="218"/>
    <n v="0"/>
    <m/>
    <m/>
    <m/>
    <m/>
    <n v="0"/>
    <n v="0"/>
    <n v="10037.807120151994"/>
  </r>
  <r>
    <d v="2025-12-29T00:00:00"/>
    <x v="4"/>
    <s v="DOMATES SALÇASI"/>
    <m/>
    <x v="5"/>
    <s v="ST00000000701"/>
    <s v="SATIŞ"/>
    <s v="POS"/>
    <n v="2"/>
    <n v="150"/>
    <n v="300"/>
    <n v="0"/>
    <m/>
    <m/>
    <m/>
    <m/>
    <n v="0"/>
    <n v="0"/>
    <n v="10037.807120151994"/>
  </r>
  <r>
    <d v="2025-12-29T00:00:00"/>
    <x v="4"/>
    <s v="MANİSA YAPRAK DÖKME"/>
    <m/>
    <x v="5"/>
    <s v="ST00000000701"/>
    <s v="SATIŞ"/>
    <s v="POS"/>
    <n v="0.5"/>
    <n v="400"/>
    <n v="200"/>
    <n v="0"/>
    <m/>
    <m/>
    <m/>
    <m/>
    <n v="0"/>
    <n v="0"/>
    <n v="10037.807120151994"/>
  </r>
  <r>
    <d v="2025-12-29T00:00:00"/>
    <x v="4"/>
    <s v="LEBLEBİ ŞEKER RENKLİ"/>
    <m/>
    <x v="5"/>
    <s v="ST00000000701"/>
    <s v="SATIŞ"/>
    <s v="POS"/>
    <n v="0.32173913043478258"/>
    <n v="230"/>
    <n v="74"/>
    <n v="0"/>
    <m/>
    <m/>
    <m/>
    <m/>
    <n v="0"/>
    <n v="0"/>
    <n v="10037.807120151994"/>
  </r>
  <r>
    <d v="2025-12-29T00:00:00"/>
    <x v="4"/>
    <s v="İNCİR KÜÇÜK"/>
    <m/>
    <x v="5"/>
    <s v="ST00000000702"/>
    <s v="SATIŞ"/>
    <s v="POS"/>
    <n v="7.192982456140351E-2"/>
    <n v="570"/>
    <n v="41"/>
    <n v="0"/>
    <m/>
    <m/>
    <m/>
    <m/>
    <n v="0"/>
    <n v="0"/>
    <n v="10037.807120151994"/>
  </r>
  <r>
    <d v="2025-12-29T00:00:00"/>
    <x v="4"/>
    <s v="ZENCEFİL TOZ"/>
    <m/>
    <x v="1"/>
    <s v="ST00000000703"/>
    <s v="SATIŞ"/>
    <s v="NAKİT"/>
    <n v="0.11749999999999999"/>
    <n v="400"/>
    <n v="0"/>
    <n v="0"/>
    <m/>
    <m/>
    <m/>
    <m/>
    <n v="47"/>
    <n v="0"/>
    <n v="10084.807120151994"/>
  </r>
  <r>
    <d v="2025-12-29T00:00:00"/>
    <x v="4"/>
    <s v="ZERDEÇAL TOZ"/>
    <m/>
    <x v="1"/>
    <s v="ST00000000703"/>
    <s v="SATIŞ"/>
    <s v="NAKİT"/>
    <n v="0.16"/>
    <n v="300"/>
    <n v="0"/>
    <n v="0"/>
    <m/>
    <m/>
    <m/>
    <m/>
    <n v="48"/>
    <n v="0"/>
    <n v="10132.807120151994"/>
  </r>
  <r>
    <d v="2025-12-29T00:00:00"/>
    <x v="4"/>
    <s v="EVLİK BİBER"/>
    <m/>
    <x v="1"/>
    <s v="ST00000000703"/>
    <s v="SATIŞ"/>
    <s v="NAKİT"/>
    <n v="0.28947368421052633"/>
    <n v="380"/>
    <n v="0"/>
    <n v="0"/>
    <m/>
    <m/>
    <m/>
    <m/>
    <n v="110"/>
    <n v="0"/>
    <n v="10242.807120151994"/>
  </r>
  <r>
    <d v="2025-12-29T00:00:00"/>
    <x v="4"/>
    <s v="NANE İRİ"/>
    <m/>
    <x v="1"/>
    <s v="ST00000000703"/>
    <s v="SATIŞ"/>
    <s v="NAKİT"/>
    <n v="0.14000000000000001"/>
    <n v="400"/>
    <n v="0"/>
    <n v="0"/>
    <m/>
    <m/>
    <m/>
    <m/>
    <n v="56.000000000000007"/>
    <n v="0"/>
    <n v="10298.807120151994"/>
  </r>
  <r>
    <d v="2025-12-29T00:00:00"/>
    <x v="4"/>
    <s v="KEKİK LÜX"/>
    <m/>
    <x v="1"/>
    <s v="ST00000000704"/>
    <s v="SATIŞ"/>
    <s v="NAKİT"/>
    <n v="0.11710526315789474"/>
    <n v="760"/>
    <n v="0"/>
    <n v="0"/>
    <m/>
    <m/>
    <m/>
    <m/>
    <n v="89"/>
    <n v="0"/>
    <n v="10387.807120151994"/>
  </r>
  <r>
    <d v="2025-12-29T00:00:00"/>
    <x v="4"/>
    <s v="KUDÜS HURMASI"/>
    <m/>
    <x v="1"/>
    <s v="ST00000000705"/>
    <s v="SATIŞ"/>
    <s v="NAKİT"/>
    <n v="0.5"/>
    <n v="400"/>
    <n v="0"/>
    <n v="0"/>
    <m/>
    <m/>
    <m/>
    <m/>
    <n v="200"/>
    <n v="0"/>
    <n v="10587.807120151994"/>
  </r>
  <r>
    <d v="2025-12-29T00:00:00"/>
    <x v="4"/>
    <s v="PUDRA ŞEKERİ"/>
    <m/>
    <x v="1"/>
    <s v="ST00000000706"/>
    <s v="SATIŞ - TOPTAN"/>
    <s v="NAKİT"/>
    <n v="4.92"/>
    <n v="65"/>
    <n v="0"/>
    <n v="0"/>
    <m/>
    <m/>
    <m/>
    <m/>
    <n v="319.8"/>
    <n v="0"/>
    <n v="10907.607120151994"/>
  </r>
  <r>
    <d v="2025-12-29T00:00:00"/>
    <x v="4"/>
    <s v="KAKAO"/>
    <m/>
    <x v="1"/>
    <s v="ST00000000706"/>
    <s v="SATIŞ - TOPTAN"/>
    <s v="NAKİT"/>
    <n v="5"/>
    <n v="360"/>
    <n v="0"/>
    <n v="0"/>
    <m/>
    <m/>
    <m/>
    <m/>
    <n v="1800"/>
    <n v="0"/>
    <n v="12707.607120151994"/>
  </r>
  <r>
    <d v="2025-12-29T00:00:00"/>
    <x v="1"/>
    <m/>
    <s v="YOL GİDERLERİ"/>
    <x v="1"/>
    <m/>
    <s v="ANTEP - NAKLİYE"/>
    <s v="NAKİT"/>
    <n v="1"/>
    <n v="2500"/>
    <n v="0"/>
    <n v="0"/>
    <m/>
    <m/>
    <m/>
    <m/>
    <n v="0"/>
    <n v="2500"/>
    <n v="10207.607120151994"/>
  </r>
  <r>
    <d v="2025-12-29T00:00:00"/>
    <x v="3"/>
    <s v="EL-RUHA ÇAY 400 GR"/>
    <m/>
    <x v="10"/>
    <m/>
    <s v="EL-RUHA ÇAY"/>
    <s v="CARİ"/>
    <n v="48"/>
    <n v="178.41666666666666"/>
    <n v="0"/>
    <n v="8564"/>
    <m/>
    <m/>
    <m/>
    <m/>
    <n v="0"/>
    <n v="0"/>
    <n v="10207.607120151994"/>
  </r>
  <r>
    <d v="2025-12-29T00:00:00"/>
    <x v="3"/>
    <s v="EL-RUHA ÇAY 800 GR"/>
    <m/>
    <x v="10"/>
    <m/>
    <s v="EL-RUHA ÇAY"/>
    <s v="CARİ"/>
    <n v="36"/>
    <n v="356.83333333333331"/>
    <n v="0"/>
    <n v="12846"/>
    <m/>
    <m/>
    <m/>
    <m/>
    <n v="0"/>
    <n v="0"/>
    <n v="10207.607120151994"/>
  </r>
  <r>
    <d v="2025-12-29T00:00:00"/>
    <x v="3"/>
    <s v="EL-RUHA ÇAY (AÇIK)"/>
    <m/>
    <x v="10"/>
    <m/>
    <s v="EL-RUHA ÇAY"/>
    <s v="CARİ"/>
    <n v="99"/>
    <n v="428.18181818181819"/>
    <n v="0"/>
    <n v="42390"/>
    <m/>
    <m/>
    <m/>
    <m/>
    <n v="0"/>
    <n v="0"/>
    <n v="10207.607120151994"/>
  </r>
  <r>
    <d v="2025-12-29T00:00:00"/>
    <x v="3"/>
    <s v="TÜRK KAHVESİ"/>
    <m/>
    <x v="3"/>
    <m/>
    <s v="YALÇINTAT BAHARAT GIDA SAN"/>
    <s v="CARİ"/>
    <n v="5"/>
    <n v="440"/>
    <n v="0"/>
    <n v="2200"/>
    <m/>
    <m/>
    <m/>
    <m/>
    <n v="0"/>
    <n v="0"/>
    <n v="10207.607120151994"/>
  </r>
  <r>
    <d v="2025-12-29T00:00:00"/>
    <x v="3"/>
    <s v="KARABİBER ÇEKİLMİŞ"/>
    <m/>
    <x v="3"/>
    <m/>
    <s v="YALÇINTAT BAHARAT GIDA SAN"/>
    <s v="CARİ"/>
    <n v="25"/>
    <n v="340"/>
    <n v="0"/>
    <n v="8500"/>
    <m/>
    <m/>
    <m/>
    <m/>
    <n v="0"/>
    <n v="0"/>
    <n v="10207.607120151994"/>
  </r>
  <r>
    <d v="2025-12-29T00:00:00"/>
    <x v="3"/>
    <s v="DOMATES SALÇASI"/>
    <m/>
    <x v="3"/>
    <m/>
    <s v="YALÇINTAT BAHARAT GIDA SAN"/>
    <s v="CARİ"/>
    <n v="193.5"/>
    <n v="67.183440000000004"/>
    <n v="0"/>
    <n v="12999.995640000001"/>
    <m/>
    <m/>
    <m/>
    <m/>
    <n v="0"/>
    <n v="0"/>
    <n v="10207.607120151994"/>
  </r>
  <r>
    <d v="2025-12-29T00:00:00"/>
    <x v="3"/>
    <s v="SALÇA TATLI (EV YAPIMI)"/>
    <m/>
    <x v="3"/>
    <m/>
    <s v="YALÇINTAT BAHARAT GIDA SAN"/>
    <s v="CARİ"/>
    <n v="96.75"/>
    <n v="98.191199999999995"/>
    <n v="0"/>
    <n v="9499.998599999999"/>
    <m/>
    <m/>
    <m/>
    <m/>
    <n v="0"/>
    <n v="0"/>
    <n v="10207.607120151994"/>
  </r>
  <r>
    <d v="2025-12-29T00:00:00"/>
    <x v="10"/>
    <m/>
    <m/>
    <x v="5"/>
    <m/>
    <s v="POS ÇÖZÜMÜ"/>
    <s v="POS"/>
    <n v="1"/>
    <n v="1610"/>
    <n v="0"/>
    <n v="1610"/>
    <m/>
    <m/>
    <m/>
    <m/>
    <n v="1610"/>
    <n v="0"/>
    <n v="11817.607120151994"/>
  </r>
  <r>
    <d v="2025-12-29T00:00:00"/>
    <x v="10"/>
    <m/>
    <m/>
    <x v="5"/>
    <m/>
    <s v="KDV ÖDEME - ON NUMARA"/>
    <s v="POS"/>
    <n v="1"/>
    <n v="665"/>
    <n v="0"/>
    <n v="665"/>
    <m/>
    <m/>
    <m/>
    <m/>
    <n v="665"/>
    <n v="0"/>
    <n v="12482.607120151994"/>
  </r>
  <r>
    <d v="2025-12-29T00:00:00"/>
    <x v="1"/>
    <m/>
    <s v="VERGİ VE HARÇLAR"/>
    <x v="1"/>
    <m/>
    <s v="KDV ÖDEME - ON NUMARA"/>
    <s v="NAKİT"/>
    <n v="1"/>
    <n v="665"/>
    <n v="0"/>
    <n v="0"/>
    <n v="0"/>
    <n v="665"/>
    <m/>
    <m/>
    <n v="0"/>
    <n v="665"/>
    <n v="11817.607120151994"/>
  </r>
  <r>
    <d v="2025-12-30T00:00:00"/>
    <x v="4"/>
    <s v="KÖFTE BAHARATI (YEDİTÜRLÜ)"/>
    <m/>
    <x v="1"/>
    <s v="ST00000000707"/>
    <s v="SATIŞ"/>
    <s v="NAKİT"/>
    <n v="0.19"/>
    <n v="410"/>
    <n v="0"/>
    <n v="0"/>
    <m/>
    <m/>
    <m/>
    <m/>
    <n v="77.900000000000006"/>
    <n v="0"/>
    <n v="11895.507120151993"/>
  </r>
  <r>
    <d v="2025-12-30T00:00:00"/>
    <x v="4"/>
    <s v="KARABİBER ÇEKİLMİŞ"/>
    <m/>
    <x v="1"/>
    <s v="ST00000000707"/>
    <s v="SATIŞ"/>
    <s v="NAKİT"/>
    <n v="0.154"/>
    <n v="640"/>
    <n v="0"/>
    <n v="0"/>
    <m/>
    <m/>
    <m/>
    <m/>
    <n v="98.56"/>
    <n v="0"/>
    <n v="11994.067120151993"/>
  </r>
  <r>
    <d v="2025-12-30T00:00:00"/>
    <x v="4"/>
    <s v="KORİ (TAVUK BAHARATI)"/>
    <m/>
    <x v="1"/>
    <s v="ST00000000707"/>
    <s v="SATIŞ"/>
    <s v="NAKİT"/>
    <n v="0.186"/>
    <n v="140"/>
    <n v="0"/>
    <n v="0"/>
    <m/>
    <m/>
    <m/>
    <m/>
    <n v="26.04"/>
    <n v="0"/>
    <n v="12020.107120151994"/>
  </r>
  <r>
    <d v="2025-12-30T00:00:00"/>
    <x v="4"/>
    <s v="TÜDAB KIŞ ÇAYI 200 GR"/>
    <m/>
    <x v="1"/>
    <s v="ST00000000707"/>
    <s v="SATIŞ"/>
    <s v="NAKİT"/>
    <n v="1"/>
    <n v="140"/>
    <n v="0"/>
    <n v="0"/>
    <m/>
    <m/>
    <m/>
    <m/>
    <n v="140"/>
    <n v="0"/>
    <n v="12160.107120151994"/>
  </r>
  <r>
    <d v="2025-12-30T00:00:00"/>
    <x v="4"/>
    <s v="HASPİR"/>
    <m/>
    <x v="1"/>
    <s v="ST00000000707"/>
    <s v="SATIŞ"/>
    <s v="NAKİT"/>
    <n v="2.5000000000000001E-2"/>
    <n v="2000"/>
    <n v="0"/>
    <n v="0"/>
    <m/>
    <m/>
    <m/>
    <m/>
    <n v="50"/>
    <n v="0"/>
    <n v="12210.107120151994"/>
  </r>
  <r>
    <d v="2025-12-30T00:00:00"/>
    <x v="4"/>
    <s v="ZAHTER"/>
    <m/>
    <x v="1"/>
    <s v="ST00000000707"/>
    <s v="SATIŞ"/>
    <s v="NAKİT"/>
    <n v="5.3999999999999999E-2"/>
    <n v="400"/>
    <n v="0"/>
    <n v="0"/>
    <m/>
    <m/>
    <m/>
    <m/>
    <n v="21.6"/>
    <n v="0"/>
    <n v="12231.707120151994"/>
  </r>
  <r>
    <d v="2025-12-30T00:00:00"/>
    <x v="4"/>
    <s v="KEKİK LÜX"/>
    <m/>
    <x v="1"/>
    <s v="ST00000000707"/>
    <s v="SATIŞ"/>
    <s v="NAKİT"/>
    <n v="5.3999999999999999E-2"/>
    <n v="760"/>
    <n v="0"/>
    <n v="0"/>
    <m/>
    <m/>
    <m/>
    <m/>
    <n v="41.04"/>
    <n v="0"/>
    <n v="12272.747120151995"/>
  </r>
  <r>
    <d v="2025-12-30T00:00:00"/>
    <x v="4"/>
    <s v="NANE İRİ"/>
    <m/>
    <x v="1"/>
    <s v="ST00000000707"/>
    <s v="SATIŞ"/>
    <s v="NAKİT"/>
    <n v="0.126"/>
    <n v="400"/>
    <n v="0"/>
    <n v="0"/>
    <m/>
    <m/>
    <m/>
    <m/>
    <n v="50.4"/>
    <n v="0"/>
    <n v="12323.147120151994"/>
  </r>
  <r>
    <d v="2025-12-30T00:00:00"/>
    <x v="4"/>
    <s v="AÇLIK OTU"/>
    <m/>
    <x v="1"/>
    <s v="ST00000000707"/>
    <s v="SATIŞ"/>
    <s v="NAKİT"/>
    <n v="0.122"/>
    <n v="417"/>
    <n v="0"/>
    <n v="0"/>
    <m/>
    <m/>
    <m/>
    <m/>
    <n v="50.874000000000002"/>
    <n v="0"/>
    <n v="12374.021120151994"/>
  </r>
  <r>
    <d v="2025-12-30T00:00:00"/>
    <x v="4"/>
    <s v="TİLAKS ÇAYI"/>
    <m/>
    <x v="1"/>
    <s v="ST00000000707"/>
    <s v="SATIŞ"/>
    <s v="NAKİT"/>
    <n v="1"/>
    <n v="130"/>
    <n v="0"/>
    <n v="0"/>
    <m/>
    <m/>
    <m/>
    <m/>
    <n v="130"/>
    <n v="0"/>
    <n v="12504.021120151994"/>
  </r>
  <r>
    <d v="2025-12-30T00:00:00"/>
    <x v="4"/>
    <s v="EL-RUHA ÇAY (AÇIK)"/>
    <m/>
    <x v="5"/>
    <s v="ST00000000707"/>
    <s v="SATIŞ"/>
    <s v="POS"/>
    <n v="1"/>
    <n v="600"/>
    <n v="600"/>
    <n v="0"/>
    <m/>
    <m/>
    <m/>
    <m/>
    <n v="0"/>
    <n v="0"/>
    <n v="12504.021120151994"/>
  </r>
  <r>
    <d v="2025-12-30T00:00:00"/>
    <x v="4"/>
    <s v="ZERDEÇAL TOZ"/>
    <m/>
    <x v="1"/>
    <s v="ST00000000708"/>
    <s v="SATIŞ"/>
    <s v="NAKİT"/>
    <n v="0.12"/>
    <n v="300"/>
    <n v="0"/>
    <n v="0"/>
    <m/>
    <m/>
    <m/>
    <m/>
    <n v="36"/>
    <n v="0"/>
    <n v="12540.021120151994"/>
  </r>
  <r>
    <d v="2025-12-30T00:00:00"/>
    <x v="4"/>
    <s v="HİNDİSTAN CEVİZİ ( İRİ )"/>
    <m/>
    <x v="1"/>
    <s v="ST00000000709"/>
    <s v="SATIŞ"/>
    <s v="NAKİT"/>
    <n v="0.1"/>
    <n v="600"/>
    <n v="0"/>
    <n v="0"/>
    <m/>
    <m/>
    <m/>
    <m/>
    <n v="60"/>
    <n v="0"/>
    <n v="12600.021120151994"/>
  </r>
  <r>
    <d v="2025-12-30T00:00:00"/>
    <x v="4"/>
    <s v="TÜRK KAHVESİ"/>
    <m/>
    <x v="1"/>
    <s v="ST00000000709"/>
    <s v="SATIŞ"/>
    <s v="NAKİT"/>
    <n v="0.1"/>
    <n v="650"/>
    <n v="0"/>
    <n v="0"/>
    <m/>
    <m/>
    <m/>
    <m/>
    <n v="65"/>
    <n v="0"/>
    <n v="12665.021120151994"/>
  </r>
  <r>
    <d v="2025-12-30T00:00:00"/>
    <x v="4"/>
    <s v="HASEVLİK"/>
    <m/>
    <x v="1"/>
    <s v="ST00000000710"/>
    <s v="SATIŞ"/>
    <s v="NAKİT"/>
    <n v="0.189"/>
    <n v="420"/>
    <n v="0"/>
    <n v="0"/>
    <m/>
    <m/>
    <m/>
    <m/>
    <n v="79.38"/>
    <n v="0"/>
    <n v="12744.401120151993"/>
  </r>
  <r>
    <d v="2025-12-30T00:00:00"/>
    <x v="4"/>
    <s v="PİLAVLIK BULGUR"/>
    <m/>
    <x v="1"/>
    <s v="ST00000000710"/>
    <s v="SATIŞ"/>
    <s v="NAKİT"/>
    <n v="1"/>
    <n v="65"/>
    <n v="0"/>
    <n v="0"/>
    <m/>
    <m/>
    <m/>
    <m/>
    <n v="65"/>
    <n v="0"/>
    <n v="12809.401120151993"/>
  </r>
  <r>
    <d v="2025-12-30T00:00:00"/>
    <x v="4"/>
    <s v="ÇUBUK TARÇIN"/>
    <m/>
    <x v="1"/>
    <s v="ST00000000710"/>
    <s v="SATIŞ"/>
    <s v="NAKİT"/>
    <n v="0.1"/>
    <n v="650"/>
    <n v="0"/>
    <n v="0"/>
    <m/>
    <m/>
    <m/>
    <m/>
    <n v="65"/>
    <n v="0"/>
    <n v="12874.401120151993"/>
  </r>
  <r>
    <d v="2025-12-30T00:00:00"/>
    <x v="4"/>
    <s v="EL-RUHA ÇAY (AÇIK)"/>
    <m/>
    <x v="5"/>
    <s v="ST00000000711"/>
    <s v="SATIŞ"/>
    <s v="POS"/>
    <n v="1"/>
    <n v="600"/>
    <n v="600"/>
    <n v="0"/>
    <m/>
    <m/>
    <m/>
    <m/>
    <n v="0"/>
    <n v="0"/>
    <n v="12874.401120151993"/>
  </r>
  <r>
    <d v="2025-12-30T00:00:00"/>
    <x v="4"/>
    <s v="SALÇA ACI (EV YAPIMI)"/>
    <m/>
    <x v="5"/>
    <s v="ST00000000711"/>
    <s v="SATIŞ"/>
    <s v="POS"/>
    <n v="1"/>
    <n v="200"/>
    <n v="200"/>
    <n v="0"/>
    <m/>
    <m/>
    <m/>
    <m/>
    <n v="0"/>
    <n v="0"/>
    <n v="12874.401120151993"/>
  </r>
  <r>
    <d v="2025-12-30T00:00:00"/>
    <x v="4"/>
    <s v="DOMATES SALÇASI"/>
    <m/>
    <x v="5"/>
    <s v="ST00000000711"/>
    <s v="SATIŞ"/>
    <s v="POS"/>
    <n v="1"/>
    <n v="150"/>
    <n v="150"/>
    <n v="0"/>
    <m/>
    <m/>
    <m/>
    <m/>
    <n v="0"/>
    <n v="0"/>
    <n v="12874.401120151993"/>
  </r>
  <r>
    <d v="2025-12-30T00:00:00"/>
    <x v="4"/>
    <s v="EL-RUHA ÇAY (AÇIK)"/>
    <m/>
    <x v="1"/>
    <s v="ST00000000712"/>
    <s v="SATIŞ"/>
    <s v="NAKİT"/>
    <n v="1"/>
    <n v="600"/>
    <n v="0"/>
    <n v="0"/>
    <m/>
    <m/>
    <m/>
    <m/>
    <n v="600"/>
    <n v="0"/>
    <n v="13474.401120151993"/>
  </r>
  <r>
    <d v="2025-12-30T00:00:00"/>
    <x v="4"/>
    <s v="KARANFİL YAĞI 10 CC"/>
    <m/>
    <x v="1"/>
    <s v="ST00000000713"/>
    <s v="SATIŞ"/>
    <s v="NAKİT"/>
    <n v="1"/>
    <n v="100"/>
    <n v="0"/>
    <n v="0"/>
    <m/>
    <m/>
    <m/>
    <m/>
    <n v="100"/>
    <n v="0"/>
    <n v="13574.401120151993"/>
  </r>
  <r>
    <d v="2025-12-30T00:00:00"/>
    <x v="4"/>
    <s v="TOMBUL KESE 500 GR TATLI"/>
    <m/>
    <x v="1"/>
    <s v="ST00000000714"/>
    <s v="SATIŞ"/>
    <s v="NAKİT"/>
    <n v="1"/>
    <n v="200"/>
    <n v="0"/>
    <n v="0"/>
    <m/>
    <m/>
    <m/>
    <m/>
    <n v="200"/>
    <n v="0"/>
    <n v="13774.401120151993"/>
  </r>
  <r>
    <d v="2025-12-30T00:00:00"/>
    <x v="4"/>
    <s v="İPEK BİBER"/>
    <m/>
    <x v="1"/>
    <s v="ST00000000714"/>
    <s v="SATIŞ"/>
    <s v="NAKİT"/>
    <n v="0.08"/>
    <n v="500"/>
    <n v="0"/>
    <n v="0"/>
    <m/>
    <m/>
    <m/>
    <m/>
    <n v="40"/>
    <n v="0"/>
    <n v="13814.401120151993"/>
  </r>
  <r>
    <d v="2025-12-30T00:00:00"/>
    <x v="4"/>
    <s v="IHLAMUR YAPRAK"/>
    <m/>
    <x v="5"/>
    <s v="ST00000000715"/>
    <s v="SATIŞ"/>
    <s v="POS"/>
    <n v="0.05"/>
    <n v="2600"/>
    <n v="130"/>
    <n v="0"/>
    <m/>
    <m/>
    <m/>
    <m/>
    <n v="0"/>
    <n v="0"/>
    <n v="13814.401120151993"/>
  </r>
  <r>
    <d v="2025-12-30T00:00:00"/>
    <x v="4"/>
    <s v="KİMYON ÇEKİLMİŞ"/>
    <m/>
    <x v="1"/>
    <s v="ST00000000716"/>
    <s v="SATIŞ"/>
    <s v="NAKİT"/>
    <n v="0.09"/>
    <n v="390"/>
    <n v="0"/>
    <n v="0"/>
    <m/>
    <m/>
    <m/>
    <m/>
    <n v="35.1"/>
    <n v="0"/>
    <n v="13849.501120151994"/>
  </r>
  <r>
    <d v="2025-12-30T00:00:00"/>
    <x v="4"/>
    <s v="KEKİK LÜX"/>
    <m/>
    <x v="1"/>
    <s v="ST00000000717"/>
    <s v="SATIŞ"/>
    <s v="NAKİT"/>
    <n v="6.5789473684210523E-2"/>
    <n v="760"/>
    <n v="0"/>
    <n v="0"/>
    <m/>
    <m/>
    <m/>
    <m/>
    <n v="50"/>
    <n v="0"/>
    <n v="13899.501120151994"/>
  </r>
  <r>
    <d v="2025-12-30T00:00:00"/>
    <x v="4"/>
    <s v="DEMKAR TURUNCU PAKET ANTEP FISTIĞI"/>
    <m/>
    <x v="1"/>
    <s v="ST00000000718"/>
    <s v="SATIŞ"/>
    <s v="NAKİT"/>
    <n v="0.2"/>
    <n v="1250"/>
    <n v="0"/>
    <n v="0"/>
    <m/>
    <m/>
    <m/>
    <m/>
    <n v="250"/>
    <n v="0"/>
    <n v="14149.501120151994"/>
  </r>
  <r>
    <d v="2025-12-30T00:00:00"/>
    <x v="4"/>
    <s v="DOMATES SALÇASI"/>
    <m/>
    <x v="1"/>
    <s v="ST00000000719"/>
    <s v="SATIŞ"/>
    <s v="NAKİT"/>
    <n v="1"/>
    <n v="150"/>
    <n v="0"/>
    <n v="0"/>
    <m/>
    <m/>
    <m/>
    <m/>
    <n v="150"/>
    <n v="0"/>
    <n v="14299.501120151994"/>
  </r>
  <r>
    <d v="2025-12-30T00:00:00"/>
    <x v="4"/>
    <s v="SALÇA ACI (EV YAPIMI)"/>
    <m/>
    <x v="1"/>
    <s v="ST00000000720"/>
    <s v="SATIŞ"/>
    <s v="NAKİT"/>
    <n v="1"/>
    <n v="200"/>
    <n v="0"/>
    <n v="0"/>
    <m/>
    <m/>
    <m/>
    <m/>
    <n v="200"/>
    <n v="0"/>
    <n v="14499.501120151994"/>
  </r>
  <r>
    <d v="2025-12-30T00:00:00"/>
    <x v="4"/>
    <s v="FİTOZEN İNGİLİZ TUZU 200 GR"/>
    <m/>
    <x v="1"/>
    <s v="ST00000000721"/>
    <s v="SATIŞ"/>
    <s v="NAKİT"/>
    <n v="1"/>
    <n v="80"/>
    <n v="0"/>
    <n v="0"/>
    <m/>
    <m/>
    <m/>
    <m/>
    <n v="80"/>
    <n v="0"/>
    <n v="14579.501120151994"/>
  </r>
  <r>
    <d v="2025-12-30T00:00:00"/>
    <x v="4"/>
    <s v="KARNIYARIK TOHUMU"/>
    <m/>
    <x v="1"/>
    <s v="ST00000000721"/>
    <s v="SATIŞ"/>
    <s v="NAKİT"/>
    <n v="0.12"/>
    <n v="920"/>
    <n v="0"/>
    <n v="0"/>
    <m/>
    <m/>
    <m/>
    <m/>
    <n v="110.39999999999999"/>
    <n v="0"/>
    <n v="14689.901120151993"/>
  </r>
  <r>
    <d v="2025-12-30T00:00:00"/>
    <x v="4"/>
    <s v="NBN DAĞ İNCİRİ"/>
    <m/>
    <x v="1"/>
    <s v="ST00000000721"/>
    <s v="SATIŞ"/>
    <s v="NAKİT"/>
    <n v="0.13"/>
    <n v="800"/>
    <n v="0"/>
    <n v="0"/>
    <m/>
    <m/>
    <m/>
    <m/>
    <n v="104"/>
    <n v="0"/>
    <n v="14793.901120151993"/>
  </r>
  <r>
    <d v="2025-12-30T00:00:00"/>
    <x v="4"/>
    <s v="AÇIK KAYISI İRİ (SARI)"/>
    <m/>
    <x v="1"/>
    <s v="ST00000000721"/>
    <s v="SATIŞ"/>
    <s v="NAKİT"/>
    <n v="0.15"/>
    <n v="690"/>
    <n v="0"/>
    <n v="0"/>
    <m/>
    <m/>
    <m/>
    <m/>
    <n v="103.5"/>
    <n v="0"/>
    <n v="14897.401120151993"/>
  </r>
  <r>
    <d v="2025-12-30T00:00:00"/>
    <x v="4"/>
    <s v="EL-RUHA ÇAY (AÇIK)"/>
    <m/>
    <x v="1"/>
    <s v="ST00000000721"/>
    <s v="SATIŞ"/>
    <s v="NAKİT"/>
    <n v="8.4000000000000005E-2"/>
    <n v="600"/>
    <n v="0"/>
    <n v="0"/>
    <m/>
    <m/>
    <m/>
    <m/>
    <n v="50.400000000000006"/>
    <n v="0"/>
    <n v="14947.801120151993"/>
  </r>
  <r>
    <d v="2025-12-30T00:00:00"/>
    <x v="4"/>
    <s v="ŞİFAVER KÜKÜRTLÜ HATAY SABUNU"/>
    <m/>
    <x v="1"/>
    <s v="ST00000000722"/>
    <s v="SATIŞ"/>
    <s v="NAKİT"/>
    <n v="1"/>
    <n v="50"/>
    <n v="0"/>
    <n v="0"/>
    <m/>
    <m/>
    <m/>
    <m/>
    <n v="50"/>
    <n v="0"/>
    <n v="14997.801120151993"/>
  </r>
  <r>
    <d v="2025-12-30T00:00:00"/>
    <x v="4"/>
    <s v="DOLMALIK KURU PATLICAN"/>
    <m/>
    <x v="5"/>
    <s v="ST00000000722"/>
    <s v="SATIŞ"/>
    <s v="POS"/>
    <n v="1"/>
    <n v="250"/>
    <n v="250"/>
    <n v="0"/>
    <m/>
    <m/>
    <m/>
    <m/>
    <n v="0"/>
    <n v="0"/>
    <n v="14997.801120151993"/>
  </r>
  <r>
    <d v="2025-12-30T00:00:00"/>
    <x v="4"/>
    <s v="DOLMALIK SARI BİBER"/>
    <m/>
    <x v="5"/>
    <s v="ST00000000722"/>
    <s v="SATIŞ"/>
    <s v="POS"/>
    <n v="1"/>
    <n v="230"/>
    <n v="230"/>
    <n v="0"/>
    <m/>
    <m/>
    <m/>
    <m/>
    <n v="0"/>
    <n v="0"/>
    <n v="14997.801120151993"/>
  </r>
  <r>
    <d v="2025-12-30T00:00:00"/>
    <x v="4"/>
    <s v="AÇLIK OTU"/>
    <m/>
    <x v="1"/>
    <s v="ST00000000723"/>
    <s v="SATIŞ"/>
    <s v="NAKİT"/>
    <n v="0.12"/>
    <n v="420"/>
    <n v="0"/>
    <n v="0"/>
    <m/>
    <m/>
    <m/>
    <m/>
    <n v="50.4"/>
    <n v="0"/>
    <n v="15048.201120151993"/>
  </r>
  <r>
    <d v="2025-12-30T00:00:00"/>
    <x v="10"/>
    <m/>
    <m/>
    <x v="5"/>
    <m/>
    <s v="POS ÇÖZÜMÜ"/>
    <s v="POS"/>
    <n v="1"/>
    <n v="1340"/>
    <n v="0"/>
    <n v="1340"/>
    <m/>
    <m/>
    <m/>
    <m/>
    <n v="1340"/>
    <n v="0"/>
    <n v="16388.201120151993"/>
  </r>
  <r>
    <d v="2025-12-31T00:00:00"/>
    <x v="4"/>
    <s v="DOMATES SALÇASI"/>
    <m/>
    <x v="5"/>
    <s v="ST00000000724"/>
    <s v="SATIŞ"/>
    <s v="POS"/>
    <n v="1"/>
    <n v="150"/>
    <n v="150"/>
    <n v="0"/>
    <m/>
    <m/>
    <m/>
    <m/>
    <n v="0"/>
    <n v="0"/>
    <n v="16388.201120151993"/>
  </r>
  <r>
    <d v="2025-12-31T00:00:00"/>
    <x v="4"/>
    <s v="SALÇA ACI (EV YAPIMI)"/>
    <m/>
    <x v="5"/>
    <s v="ST00000000724"/>
    <s v="SATIŞ"/>
    <s v="POS"/>
    <n v="1"/>
    <n v="200"/>
    <n v="200"/>
    <n v="0"/>
    <m/>
    <m/>
    <m/>
    <m/>
    <n v="0"/>
    <n v="0"/>
    <n v="16388.201120151993"/>
  </r>
  <r>
    <d v="2025-12-31T00:00:00"/>
    <x v="4"/>
    <s v="BADEM ÇİĞ "/>
    <m/>
    <x v="1"/>
    <s v="ST00000000725"/>
    <s v="SATIŞ"/>
    <s v="NAKİT"/>
    <n v="0.16615384615384615"/>
    <n v="650"/>
    <n v="0"/>
    <n v="0"/>
    <m/>
    <m/>
    <m/>
    <m/>
    <n v="108"/>
    <n v="0"/>
    <n v="16496.201120151993"/>
  </r>
  <r>
    <d v="2025-12-31T00:00:00"/>
    <x v="4"/>
    <s v="LEBLEBİ ŞEKER RENKLİ"/>
    <m/>
    <x v="1"/>
    <s v="ST00000000725"/>
    <s v="SATIŞ"/>
    <s v="NAKİT"/>
    <n v="9.1304347826086957E-2"/>
    <n v="230"/>
    <n v="0"/>
    <n v="0"/>
    <m/>
    <m/>
    <m/>
    <m/>
    <n v="21"/>
    <n v="0"/>
    <n v="16517.201120151993"/>
  </r>
  <r>
    <d v="2025-12-31T00:00:00"/>
    <x v="4"/>
    <s v="ÇAM FISTIĞI (DOLMALIK YER FISTIĞI)"/>
    <m/>
    <x v="1"/>
    <s v="ST00000000725"/>
    <s v="SATIŞ"/>
    <s v="NAKİT"/>
    <n v="0.1"/>
    <n v="250"/>
    <n v="0"/>
    <n v="0"/>
    <m/>
    <m/>
    <m/>
    <m/>
    <n v="25"/>
    <n v="0"/>
    <n v="16542.201120151993"/>
  </r>
  <r>
    <d v="2025-12-31T00:00:00"/>
    <x v="4"/>
    <s v="DOMATES SALÇASI"/>
    <m/>
    <x v="5"/>
    <s v="ST00000000726"/>
    <s v="SATIŞ"/>
    <s v="POS"/>
    <n v="1"/>
    <n v="150"/>
    <n v="150"/>
    <n v="0"/>
    <m/>
    <m/>
    <m/>
    <m/>
    <n v="0"/>
    <n v="0"/>
    <n v="16542.201120151993"/>
  </r>
  <r>
    <d v="2025-12-31T00:00:00"/>
    <x v="4"/>
    <s v="HATMİ ÇİÇEĞİ"/>
    <m/>
    <x v="1"/>
    <s v="ST00000000727"/>
    <s v="SATIŞ"/>
    <s v="NAKİT"/>
    <n v="0.05"/>
    <n v="1400"/>
    <n v="0"/>
    <n v="0"/>
    <m/>
    <m/>
    <m/>
    <m/>
    <n v="70"/>
    <n v="0"/>
    <n v="16612.201120151993"/>
  </r>
  <r>
    <d v="2025-12-31T00:00:00"/>
    <x v="4"/>
    <s v="KABUKLU CEVİZ (YERLİ)"/>
    <m/>
    <x v="5"/>
    <s v="ST00000000728"/>
    <s v="SATIŞ"/>
    <s v="POS"/>
    <n v="1"/>
    <n v="250"/>
    <n v="250"/>
    <n v="0"/>
    <m/>
    <m/>
    <m/>
    <m/>
    <n v="0"/>
    <n v="0"/>
    <n v="16612.201120151993"/>
  </r>
  <r>
    <d v="2025-12-31T00:00:00"/>
    <x v="4"/>
    <s v="MATCHA KAYISI VE YEŞİL ÇAYLI DETOX ÇAYI"/>
    <m/>
    <x v="5"/>
    <s v="ST00000000728"/>
    <s v="SATIŞ"/>
    <s v="POS"/>
    <n v="1"/>
    <n v="190"/>
    <n v="190"/>
    <n v="0"/>
    <m/>
    <m/>
    <m/>
    <m/>
    <n v="0"/>
    <n v="0"/>
    <n v="16612.201120151993"/>
  </r>
  <r>
    <d v="2025-12-31T00:00:00"/>
    <x v="4"/>
    <s v="KABUKLU CEVİZ (YERLİ)"/>
    <m/>
    <x v="5"/>
    <s v="ST00000000729"/>
    <s v="SATIŞ"/>
    <s v="POS"/>
    <n v="0.8"/>
    <n v="250"/>
    <n v="200"/>
    <n v="0"/>
    <m/>
    <m/>
    <m/>
    <m/>
    <n v="0"/>
    <n v="0"/>
    <n v="16612.201120151993"/>
  </r>
  <r>
    <d v="2025-12-31T00:00:00"/>
    <x v="4"/>
    <s v="ZENCEFİL TOZ"/>
    <m/>
    <x v="1"/>
    <s v="ST00000000730"/>
    <s v="SATIŞ"/>
    <s v="NAKİT"/>
    <n v="0.125"/>
    <n v="400"/>
    <n v="0"/>
    <n v="0"/>
    <m/>
    <m/>
    <m/>
    <m/>
    <n v="50"/>
    <n v="0"/>
    <n v="16662.201120151993"/>
  </r>
  <r>
    <d v="2025-12-31T00:00:00"/>
    <x v="4"/>
    <s v="MİX NANE LİMON ÇAYI"/>
    <m/>
    <x v="1"/>
    <s v="ST00000000731"/>
    <s v="SATIŞ"/>
    <s v="NAKİT"/>
    <n v="0.1"/>
    <n v="900"/>
    <n v="0"/>
    <n v="0"/>
    <m/>
    <m/>
    <m/>
    <m/>
    <n v="90"/>
    <n v="0"/>
    <n v="16752.201120151993"/>
  </r>
  <r>
    <d v="2025-12-31T00:00:00"/>
    <x v="4"/>
    <s v="KARANFİL"/>
    <m/>
    <x v="1"/>
    <s v="ST00000000731"/>
    <s v="SATIŞ"/>
    <s v="NAKİT"/>
    <n v="0.05"/>
    <n v="1200"/>
    <n v="0"/>
    <n v="0"/>
    <m/>
    <m/>
    <m/>
    <m/>
    <n v="60"/>
    <n v="0"/>
    <n v="16812.201120151993"/>
  </r>
  <r>
    <d v="2025-12-31T00:00:00"/>
    <x v="4"/>
    <s v="ÇUBUK TARÇIN"/>
    <m/>
    <x v="1"/>
    <s v="ST00000000731"/>
    <s v="SATIŞ"/>
    <s v="NAKİT"/>
    <n v="0.1"/>
    <n v="600"/>
    <n v="0"/>
    <n v="0"/>
    <m/>
    <m/>
    <m/>
    <m/>
    <n v="60"/>
    <n v="0"/>
    <n v="16872.201120151993"/>
  </r>
  <r>
    <d v="2025-12-31T00:00:00"/>
    <x v="10"/>
    <m/>
    <m/>
    <x v="5"/>
    <m/>
    <s v="POS ÇÖZÜMÜ"/>
    <s v="POS"/>
    <n v="1"/>
    <n v="660"/>
    <n v="0"/>
    <n v="660"/>
    <m/>
    <m/>
    <m/>
    <m/>
    <n v="660"/>
    <n v="0"/>
    <n v="17532.201120151993"/>
  </r>
  <r>
    <d v="2025-12-31T00:00:00"/>
    <x v="10"/>
    <m/>
    <m/>
    <x v="5"/>
    <m/>
    <s v="POS ÇÖZÜMÜ"/>
    <s v="POS"/>
    <n v="1"/>
    <n v="989"/>
    <n v="0"/>
    <n v="989"/>
    <m/>
    <m/>
    <m/>
    <m/>
    <n v="989"/>
    <n v="0"/>
    <n v="18521.201120151993"/>
  </r>
  <r>
    <d v="2026-01-01T00:00:00"/>
    <x v="3"/>
    <s v="ÇEBELİZADE NİOLİ YAĞI 20 ML"/>
    <m/>
    <x v="2"/>
    <s v="BHR202600000023"/>
    <s v="GE MA GIDA TİCARET LTD"/>
    <s v="K.K."/>
    <n v="24"/>
    <n v="83"/>
    <n v="0"/>
    <n v="1992"/>
    <m/>
    <m/>
    <m/>
    <m/>
    <n v="0"/>
    <n v="0"/>
    <n v="18521.201120151993"/>
  </r>
  <r>
    <d v="2026-01-01T00:00:00"/>
    <x v="3"/>
    <s v="DEVE DİKENİ TOHUMU"/>
    <m/>
    <x v="2"/>
    <s v="BHR202600000023"/>
    <s v="GE MA GIDA TİCARET LTD"/>
    <s v="K.K."/>
    <n v="1"/>
    <n v="95"/>
    <n v="0"/>
    <n v="95"/>
    <m/>
    <m/>
    <m/>
    <m/>
    <n v="0"/>
    <n v="0"/>
    <n v="18521.201120151993"/>
  </r>
  <r>
    <d v="2026-01-01T00:00:00"/>
    <x v="3"/>
    <s v="ISIRGAN YAPRAĞI"/>
    <m/>
    <x v="2"/>
    <s v="BHR202600000023"/>
    <s v="GE MA GIDA TİCARET LTD"/>
    <s v="K.K."/>
    <n v="1"/>
    <n v="345"/>
    <n v="0"/>
    <n v="345"/>
    <m/>
    <m/>
    <m/>
    <m/>
    <n v="0"/>
    <n v="0"/>
    <n v="18521.201120151993"/>
  </r>
  <r>
    <d v="2026-01-01T00:00:00"/>
    <x v="3"/>
    <s v="KARAHALİLE"/>
    <m/>
    <x v="2"/>
    <s v="BHR202600000023"/>
    <s v="GE MA GIDA TİCARET LTD"/>
    <s v="K.K."/>
    <n v="1"/>
    <n v="245"/>
    <n v="0"/>
    <n v="245"/>
    <m/>
    <m/>
    <m/>
    <m/>
    <n v="0"/>
    <n v="0"/>
    <n v="18521.201120151993"/>
  </r>
  <r>
    <d v="2026-01-01T00:00:00"/>
    <x v="3"/>
    <s v="SARIHALİLE"/>
    <m/>
    <x v="2"/>
    <s v="BHR202600000023"/>
    <s v="GE MA GIDA TİCARET LTD"/>
    <s v="K.K."/>
    <n v="1"/>
    <n v="205"/>
    <n v="0"/>
    <n v="205"/>
    <m/>
    <m/>
    <m/>
    <m/>
    <n v="0"/>
    <n v="0"/>
    <n v="18521.201120151993"/>
  </r>
  <r>
    <d v="2026-01-01T00:00:00"/>
    <x v="3"/>
    <s v="BİBERİYE"/>
    <m/>
    <x v="2"/>
    <s v="BHR202600000023"/>
    <s v="GE MA GIDA TİCARET LTD"/>
    <s v="K.K."/>
    <n v="1"/>
    <n v="150"/>
    <n v="0"/>
    <n v="150"/>
    <m/>
    <m/>
    <m/>
    <m/>
    <n v="0"/>
    <n v="0"/>
    <n v="18521.201120151993"/>
  </r>
  <r>
    <d v="2026-01-01T00:00:00"/>
    <x v="3"/>
    <s v="DUL AVRAT OTU"/>
    <m/>
    <x v="2"/>
    <s v="BHR202600000023"/>
    <s v="GE MA GIDA TİCARET LTD"/>
    <s v="K.K."/>
    <n v="1"/>
    <n v="140"/>
    <n v="0"/>
    <n v="140"/>
    <m/>
    <m/>
    <m/>
    <m/>
    <n v="0"/>
    <n v="0"/>
    <n v="18521.201120151993"/>
  </r>
  <r>
    <d v="2026-01-01T00:00:00"/>
    <x v="3"/>
    <s v="MAYDANOZ TOHUMU"/>
    <m/>
    <x v="2"/>
    <s v="BHR202600000023"/>
    <s v="GE MA GIDA TİCARET LTD"/>
    <s v="K.K."/>
    <n v="1"/>
    <n v="270"/>
    <n v="0"/>
    <n v="270"/>
    <m/>
    <m/>
    <m/>
    <m/>
    <n v="0"/>
    <n v="0"/>
    <n v="18521.201120151993"/>
  </r>
  <r>
    <d v="2026-01-01T00:00:00"/>
    <x v="3"/>
    <s v="HARDAL TOHUMU"/>
    <m/>
    <x v="2"/>
    <s v="BHR202600000023"/>
    <s v="GE MA GIDA TİCARET LTD"/>
    <s v="K.K."/>
    <n v="1"/>
    <n v="65"/>
    <n v="0"/>
    <n v="65"/>
    <m/>
    <m/>
    <m/>
    <m/>
    <n v="0"/>
    <n v="0"/>
    <n v="18521.201120151993"/>
  </r>
  <r>
    <d v="2026-01-01T00:00:00"/>
    <x v="3"/>
    <s v="ÇAM SAKIZI"/>
    <m/>
    <x v="2"/>
    <s v="BHR202600000023"/>
    <s v="GE MA GIDA TİCARET LTD"/>
    <s v="K.K."/>
    <n v="1"/>
    <n v="195"/>
    <n v="0"/>
    <n v="195"/>
    <m/>
    <m/>
    <m/>
    <m/>
    <n v="0"/>
    <n v="0"/>
    <n v="18521.201120151993"/>
  </r>
  <r>
    <d v="2026-01-01T00:00:00"/>
    <x v="3"/>
    <s v="ÇOBAN ÇÖKERTEN"/>
    <m/>
    <x v="2"/>
    <s v="BHR202600000023"/>
    <s v="GE MA GIDA TİCARET LTD"/>
    <s v="K.K."/>
    <n v="1"/>
    <n v="115"/>
    <n v="0"/>
    <n v="115"/>
    <m/>
    <m/>
    <m/>
    <m/>
    <n v="0"/>
    <n v="0"/>
    <n v="18521.201120151993"/>
  </r>
  <r>
    <d v="2026-01-01T00:00:00"/>
    <x v="3"/>
    <s v="KARAHİNDİBA YAPRAK"/>
    <m/>
    <x v="2"/>
    <s v="BHR202600000023"/>
    <s v="GE MA GIDA TİCARET LTD"/>
    <s v="K.K."/>
    <n v="1"/>
    <n v="280"/>
    <n v="0"/>
    <n v="280"/>
    <m/>
    <m/>
    <m/>
    <m/>
    <n v="0"/>
    <n v="0"/>
    <n v="18521.201120151993"/>
  </r>
  <r>
    <d v="2026-01-01T00:00:00"/>
    <x v="3"/>
    <s v="ÇOBAN ÇANTASI"/>
    <m/>
    <x v="2"/>
    <s v="BHR202600000023"/>
    <s v="GE MA GIDA TİCARET LTD"/>
    <s v="K.K."/>
    <n v="1"/>
    <n v="280"/>
    <n v="0"/>
    <n v="280"/>
    <m/>
    <m/>
    <m/>
    <m/>
    <n v="0"/>
    <n v="0"/>
    <n v="18521.201120151993"/>
  </r>
  <r>
    <d v="2026-01-01T00:00:00"/>
    <x v="3"/>
    <s v="AVAKADO YAPRAĞI"/>
    <m/>
    <x v="2"/>
    <s v="BHR202600000023"/>
    <s v="GE MA GIDA TİCARET LTD"/>
    <s v="K.K."/>
    <n v="1"/>
    <n v="95"/>
    <n v="0"/>
    <n v="95"/>
    <m/>
    <m/>
    <m/>
    <m/>
    <n v="0"/>
    <n v="0"/>
    <n v="18521.201120151993"/>
  </r>
  <r>
    <d v="2026-01-01T00:00:00"/>
    <x v="3"/>
    <s v="ŞAHTERE OTU"/>
    <m/>
    <x v="2"/>
    <s v="BHR202600000023"/>
    <s v="GE MA GIDA TİCARET LTD"/>
    <s v="K.K."/>
    <n v="1"/>
    <n v="230"/>
    <n v="0"/>
    <n v="230"/>
    <m/>
    <m/>
    <m/>
    <m/>
    <n v="0"/>
    <n v="0"/>
    <n v="18521.201120151993"/>
  </r>
  <r>
    <d v="2026-01-01T00:00:00"/>
    <x v="3"/>
    <s v="ACI PELİN OTU"/>
    <m/>
    <x v="2"/>
    <s v="BHR202600000023"/>
    <s v="GE MA GIDA TİCARET LTD"/>
    <s v="K.K."/>
    <n v="1"/>
    <n v="220"/>
    <n v="0"/>
    <n v="220"/>
    <m/>
    <m/>
    <m/>
    <m/>
    <n v="0"/>
    <n v="0"/>
    <n v="18521.201120151993"/>
  </r>
  <r>
    <d v="2026-01-01T00:00:00"/>
    <x v="3"/>
    <s v="KİRAZ SAPI"/>
    <m/>
    <x v="2"/>
    <s v="BHR202600000023"/>
    <s v="GE MA GIDA TİCARET LTD"/>
    <s v="K.K."/>
    <n v="1"/>
    <n v="240"/>
    <n v="0"/>
    <n v="240"/>
    <m/>
    <m/>
    <m/>
    <m/>
    <n v="0"/>
    <n v="0"/>
    <n v="18521.201120151993"/>
  </r>
  <r>
    <d v="2026-01-01T00:00:00"/>
    <x v="3"/>
    <s v="TOZ HAVLICAN"/>
    <m/>
    <x v="2"/>
    <s v="BHR202600000023"/>
    <s v="GE MA GIDA TİCARET LTD"/>
    <s v="K.K."/>
    <n v="1"/>
    <n v="315"/>
    <n v="0"/>
    <n v="315"/>
    <m/>
    <m/>
    <m/>
    <m/>
    <n v="0"/>
    <n v="0"/>
    <n v="18521.201120151993"/>
  </r>
  <r>
    <d v="2026-01-01T00:00:00"/>
    <x v="3"/>
    <s v="AKSU VİTAL GİNSENG EKSTRATLI MACUN 300 GR"/>
    <m/>
    <x v="2"/>
    <s v="BHR202600000023"/>
    <s v="GE MA GIDA TİCARET LTD"/>
    <s v="K.K."/>
    <n v="2"/>
    <n v="328"/>
    <n v="0"/>
    <n v="656"/>
    <m/>
    <m/>
    <m/>
    <m/>
    <n v="0"/>
    <n v="0"/>
    <n v="18521.201120151993"/>
  </r>
  <r>
    <d v="2026-01-01T00:00:00"/>
    <x v="4"/>
    <s v="NANE İRİ"/>
    <m/>
    <x v="1"/>
    <s v="ST00000000732"/>
    <s v="SATIŞ"/>
    <s v="NAKİT"/>
    <n v="4.2000000000000003E-2"/>
    <n v="400"/>
    <n v="0"/>
    <n v="0"/>
    <m/>
    <m/>
    <m/>
    <m/>
    <n v="16.8"/>
    <n v="0"/>
    <n v="18538.001120151992"/>
  </r>
  <r>
    <d v="2026-01-01T00:00:00"/>
    <x v="4"/>
    <s v="SUMAK"/>
    <m/>
    <x v="1"/>
    <s v="ST00000000732"/>
    <s v="SATIŞ"/>
    <s v="NAKİT"/>
    <n v="0.122"/>
    <n v="500"/>
    <n v="0"/>
    <n v="0"/>
    <m/>
    <m/>
    <m/>
    <m/>
    <n v="61"/>
    <n v="0"/>
    <n v="18599.001120151992"/>
  </r>
  <r>
    <d v="2026-01-01T00:00:00"/>
    <x v="4"/>
    <s v="ZAHTER"/>
    <m/>
    <x v="1"/>
    <s v="ST00000000732"/>
    <s v="SATIŞ"/>
    <s v="NAKİT"/>
    <n v="2.8000000000000001E-2"/>
    <n v="400"/>
    <n v="0"/>
    <n v="0"/>
    <m/>
    <m/>
    <m/>
    <m/>
    <n v="11.200000000000001"/>
    <n v="0"/>
    <n v="18610.201120151993"/>
  </r>
  <r>
    <d v="2026-01-01T00:00:00"/>
    <x v="4"/>
    <s v="ÇAM FISTIĞI (DOLMALIK YER FISTIĞI)"/>
    <m/>
    <x v="1"/>
    <s v="ST00000000732"/>
    <s v="SATIŞ"/>
    <s v="NAKİT"/>
    <n v="0.1"/>
    <n v="250"/>
    <n v="0"/>
    <n v="0"/>
    <m/>
    <m/>
    <m/>
    <m/>
    <n v="25"/>
    <n v="0"/>
    <n v="18635.201120151993"/>
  </r>
  <r>
    <d v="2026-01-01T00:00:00"/>
    <x v="4"/>
    <s v="KUŞ ÜZÜMÜ"/>
    <m/>
    <x v="5"/>
    <s v="ST00000000733"/>
    <s v="SATIŞ"/>
    <s v="POS"/>
    <n v="0.1"/>
    <n v="800"/>
    <n v="80"/>
    <n v="0"/>
    <m/>
    <m/>
    <m/>
    <m/>
    <n v="0"/>
    <n v="0"/>
    <n v="18635.201120151993"/>
  </r>
  <r>
    <d v="2026-01-01T00:00:00"/>
    <x v="4"/>
    <s v="YENİBAHAR TOZ"/>
    <m/>
    <x v="5"/>
    <s v="ST00000000733"/>
    <s v="SATIŞ"/>
    <s v="POS"/>
    <n v="3.896103896103896E-2"/>
    <n v="770"/>
    <n v="30"/>
    <n v="0"/>
    <m/>
    <m/>
    <m/>
    <m/>
    <n v="0"/>
    <n v="0"/>
    <n v="18635.201120151993"/>
  </r>
  <r>
    <d v="2026-01-01T00:00:00"/>
    <x v="4"/>
    <s v="ÇAM FISTIĞI (DOLMALIK YER FISTIĞI)"/>
    <m/>
    <x v="5"/>
    <s v="ST00000000733"/>
    <s v="SATIŞ"/>
    <s v="POS"/>
    <n v="0.1"/>
    <n v="250"/>
    <n v="25"/>
    <n v="0"/>
    <m/>
    <m/>
    <m/>
    <m/>
    <n v="0"/>
    <n v="0"/>
    <n v="18635.201120151993"/>
  </r>
  <r>
    <d v="2026-01-01T00:00:00"/>
    <x v="4"/>
    <s v="KARABİBER ÇEKİLMİŞ"/>
    <m/>
    <x v="1"/>
    <s v="ST00000000734"/>
    <s v="SATIŞ"/>
    <s v="NAKİT"/>
    <n v="0.20156250000000001"/>
    <n v="640"/>
    <n v="0"/>
    <n v="0"/>
    <m/>
    <m/>
    <m/>
    <m/>
    <n v="129"/>
    <n v="0"/>
    <n v="18764.201120151993"/>
  </r>
  <r>
    <d v="2026-01-01T00:00:00"/>
    <x v="4"/>
    <s v="KİMYON ÇEKİLMİŞ"/>
    <m/>
    <x v="1"/>
    <s v="ST00000000734"/>
    <s v="SATIŞ"/>
    <s v="NAKİT"/>
    <n v="0.2"/>
    <n v="390"/>
    <n v="0"/>
    <n v="0"/>
    <m/>
    <m/>
    <m/>
    <m/>
    <n v="78"/>
    <n v="0"/>
    <n v="18842.201120151993"/>
  </r>
  <r>
    <d v="2026-01-01T00:00:00"/>
    <x v="4"/>
    <s v="TOZ BİBER - TATLI"/>
    <m/>
    <x v="1"/>
    <s v="ST00000000734"/>
    <s v="SATIŞ"/>
    <s v="NAKİT"/>
    <n v="0.21351351351351353"/>
    <n v="370"/>
    <n v="0"/>
    <n v="0"/>
    <m/>
    <m/>
    <m/>
    <m/>
    <n v="79"/>
    <n v="0"/>
    <n v="18921.201120151993"/>
  </r>
  <r>
    <d v="2026-01-01T00:00:00"/>
    <x v="4"/>
    <s v="HASEVLİK"/>
    <m/>
    <x v="1"/>
    <s v="ST00000000734"/>
    <s v="SATIŞ"/>
    <s v="NAKİT"/>
    <n v="0.25"/>
    <n v="420"/>
    <n v="0"/>
    <n v="0"/>
    <m/>
    <m/>
    <m/>
    <m/>
    <n v="105"/>
    <n v="0"/>
    <n v="19026.201120151993"/>
  </r>
  <r>
    <d v="2026-01-01T00:00:00"/>
    <x v="4"/>
    <s v="NANE İRİ"/>
    <m/>
    <x v="1"/>
    <s v="ST00000000734"/>
    <s v="SATIŞ"/>
    <s v="NAKİT"/>
    <n v="0.1075"/>
    <n v="400"/>
    <n v="0"/>
    <n v="0"/>
    <m/>
    <m/>
    <m/>
    <m/>
    <n v="43"/>
    <n v="0"/>
    <n v="19069.201120151993"/>
  </r>
  <r>
    <d v="2026-01-01T00:00:00"/>
    <x v="4"/>
    <s v="NAHİTA KOZALAK ŞURUBU 500 ML"/>
    <m/>
    <x v="5"/>
    <s v="ST00000000735"/>
    <s v="SATIŞ"/>
    <s v="POS"/>
    <n v="1"/>
    <n v="170"/>
    <n v="170"/>
    <n v="0"/>
    <m/>
    <m/>
    <m/>
    <m/>
    <n v="0"/>
    <n v="0"/>
    <n v="19069.201120151993"/>
  </r>
  <r>
    <d v="2026-01-01T00:00:00"/>
    <x v="4"/>
    <s v="TÜDAB KIŞ ÇAYI 200 GR"/>
    <m/>
    <x v="1"/>
    <s v="ST00000000736"/>
    <s v="SATIŞ"/>
    <s v="NAKİT"/>
    <n v="1"/>
    <n v="130"/>
    <n v="0"/>
    <n v="0"/>
    <m/>
    <m/>
    <m/>
    <m/>
    <n v="130"/>
    <n v="0"/>
    <n v="19199.201120151993"/>
  </r>
  <r>
    <d v="2026-01-01T00:00:00"/>
    <x v="4"/>
    <s v="NAHİTA ALIÇ SİRKESİ 500 ML"/>
    <m/>
    <x v="5"/>
    <s v="ST00000000737"/>
    <s v="SATIŞ"/>
    <s v="POS"/>
    <n v="1"/>
    <n v="140"/>
    <n v="140"/>
    <n v="0"/>
    <m/>
    <m/>
    <m/>
    <m/>
    <n v="0"/>
    <n v="0"/>
    <n v="19199.201120151993"/>
  </r>
  <r>
    <d v="2026-01-01T00:00:00"/>
    <x v="4"/>
    <s v="HAPPY LİFE NAR EKŞİSİ 250 ML"/>
    <m/>
    <x v="1"/>
    <s v="ST00000000738"/>
    <s v="SATIŞ"/>
    <s v="NAKİT"/>
    <n v="1"/>
    <n v="125"/>
    <n v="0"/>
    <n v="0"/>
    <m/>
    <m/>
    <m/>
    <m/>
    <n v="125"/>
    <n v="0"/>
    <n v="19324.201120151993"/>
  </r>
  <r>
    <d v="2026-01-01T00:00:00"/>
    <x v="4"/>
    <s v="TOZ BİBER - TATLI"/>
    <m/>
    <x v="1"/>
    <s v="ST00000000739"/>
    <s v="SATIŞ - TOPTAN"/>
    <s v="NAKİT"/>
    <n v="0.63600000000000001"/>
    <n v="300"/>
    <n v="0"/>
    <n v="0"/>
    <m/>
    <m/>
    <m/>
    <m/>
    <n v="190.8"/>
    <n v="0"/>
    <n v="19515.001120151992"/>
  </r>
  <r>
    <d v="2026-01-01T00:00:00"/>
    <x v="4"/>
    <s v="ZENCEFİL TOZ"/>
    <m/>
    <x v="1"/>
    <s v="ST00000000740"/>
    <s v="SATIŞ"/>
    <s v="NAKİT"/>
    <n v="0.12"/>
    <n v="400"/>
    <n v="0"/>
    <n v="0"/>
    <m/>
    <m/>
    <m/>
    <m/>
    <n v="48"/>
    <n v="0"/>
    <n v="19563.001120151992"/>
  </r>
  <r>
    <d v="2026-01-01T00:00:00"/>
    <x v="4"/>
    <s v="ZERDEÇAL TOZ"/>
    <m/>
    <x v="1"/>
    <s v="ST00000000740"/>
    <s v="SATIŞ"/>
    <s v="NAKİT"/>
    <n v="0.12"/>
    <n v="300"/>
    <n v="0"/>
    <n v="0"/>
    <m/>
    <m/>
    <m/>
    <m/>
    <n v="36"/>
    <n v="0"/>
    <n v="19599.001120151992"/>
  </r>
  <r>
    <d v="2026-01-01T00:00:00"/>
    <x v="4"/>
    <s v="NANE İRİ"/>
    <m/>
    <x v="1"/>
    <s v="ST00000000740"/>
    <s v="SATIŞ"/>
    <s v="NAKİT"/>
    <n v="0.06"/>
    <n v="400"/>
    <n v="0"/>
    <n v="0"/>
    <m/>
    <m/>
    <m/>
    <m/>
    <n v="24"/>
    <n v="0"/>
    <n v="19623.001120151992"/>
  </r>
  <r>
    <d v="2026-01-01T00:00:00"/>
    <x v="4"/>
    <s v="KEKİK LÜX"/>
    <m/>
    <x v="1"/>
    <s v="ST00000000740"/>
    <s v="SATIŞ"/>
    <s v="NAKİT"/>
    <n v="0.06"/>
    <n v="760"/>
    <n v="0"/>
    <n v="0"/>
    <m/>
    <m/>
    <m/>
    <m/>
    <n v="45.6"/>
    <n v="0"/>
    <n v="19668.60112015199"/>
  </r>
  <r>
    <d v="2026-01-01T00:00:00"/>
    <x v="4"/>
    <s v="YALÇINKAYA DOMATES SALÇASI"/>
    <m/>
    <x v="1"/>
    <s v="ST00000000740"/>
    <s v="SATIŞ"/>
    <s v="NAKİT"/>
    <n v="1"/>
    <n v="150"/>
    <n v="0"/>
    <n v="0"/>
    <m/>
    <m/>
    <m/>
    <m/>
    <n v="150"/>
    <n v="0"/>
    <n v="19818.60112015199"/>
  </r>
  <r>
    <d v="2026-01-01T00:00:00"/>
    <x v="4"/>
    <s v="İĞDE ÇEKİRDEĞİ TOZU"/>
    <m/>
    <x v="1"/>
    <s v="ST00000000740"/>
    <s v="SATIŞ"/>
    <s v="NAKİT"/>
    <n v="0.3125"/>
    <n v="320"/>
    <n v="0"/>
    <n v="0"/>
    <m/>
    <m/>
    <m/>
    <m/>
    <n v="100"/>
    <n v="0"/>
    <n v="19918.60112015199"/>
  </r>
  <r>
    <d v="2026-01-01T00:00:00"/>
    <x v="10"/>
    <m/>
    <m/>
    <x v="5"/>
    <m/>
    <s v="POS ÇÖZÜMÜ"/>
    <s v="POS"/>
    <n v="1"/>
    <n v="880"/>
    <n v="0"/>
    <n v="880"/>
    <n v="989"/>
    <m/>
    <m/>
    <m/>
    <n v="880"/>
    <n v="0"/>
    <n v="20798.60112015199"/>
  </r>
  <r>
    <d v="2026-01-02T00:00:00"/>
    <x v="4"/>
    <s v="KARIŞIK KURUYEMİŞ"/>
    <m/>
    <x v="1"/>
    <s v="ST00000000741"/>
    <s v="SATIŞ"/>
    <s v="NAKİT"/>
    <n v="0.2"/>
    <n v="850"/>
    <n v="0"/>
    <n v="0"/>
    <m/>
    <m/>
    <m/>
    <m/>
    <n v="170"/>
    <n v="0"/>
    <n v="20968.60112015199"/>
  </r>
  <r>
    <d v="2026-01-02T00:00:00"/>
    <x v="4"/>
    <s v="İPEK BİBER"/>
    <m/>
    <x v="5"/>
    <s v="ST00000000742"/>
    <s v="SATIŞ"/>
    <s v="POS"/>
    <n v="1"/>
    <n v="500"/>
    <n v="500"/>
    <n v="0"/>
    <m/>
    <m/>
    <m/>
    <m/>
    <n v="0"/>
    <n v="0"/>
    <n v="20968.60112015199"/>
  </r>
  <r>
    <d v="2026-01-02T00:00:00"/>
    <x v="4"/>
    <s v="LİMONTUZU TOZ"/>
    <m/>
    <x v="5"/>
    <s v="ST00000000742"/>
    <s v="SATIŞ"/>
    <s v="POS"/>
    <n v="0.25"/>
    <n v="180"/>
    <n v="45"/>
    <n v="0"/>
    <m/>
    <m/>
    <m/>
    <m/>
    <n v="0"/>
    <n v="0"/>
    <n v="20968.60112015199"/>
  </r>
  <r>
    <d v="2026-01-02T00:00:00"/>
    <x v="4"/>
    <s v="KEKİK LÜX"/>
    <m/>
    <x v="1"/>
    <s v="ST00000000743"/>
    <s v="SATIŞ"/>
    <s v="NAKİT"/>
    <n v="7.3684210526315783E-2"/>
    <n v="760"/>
    <n v="0"/>
    <n v="0"/>
    <m/>
    <m/>
    <m/>
    <m/>
    <n v="55.999999999999993"/>
    <n v="0"/>
    <n v="21024.60112015199"/>
  </r>
  <r>
    <d v="2026-01-02T00:00:00"/>
    <x v="4"/>
    <s v="İNCİR KÜÇÜK"/>
    <m/>
    <x v="1"/>
    <s v="ST00000000744"/>
    <s v="SATIŞ"/>
    <s v="NAKİT"/>
    <n v="0.13157894736842105"/>
    <n v="570"/>
    <n v="0"/>
    <n v="0"/>
    <m/>
    <m/>
    <m/>
    <m/>
    <n v="75"/>
    <n v="0"/>
    <n v="21099.60112015199"/>
  </r>
  <r>
    <d v="2026-01-02T00:00:00"/>
    <x v="4"/>
    <s v="DEMKAR TURUNCU PAKET ANTEP FISTIĞI"/>
    <m/>
    <x v="1"/>
    <s v="ST00000000744"/>
    <s v="SATIŞ"/>
    <s v="NAKİT"/>
    <n v="0.1"/>
    <n v="1250"/>
    <n v="0"/>
    <n v="0"/>
    <m/>
    <m/>
    <m/>
    <m/>
    <n v="125"/>
    <n v="0"/>
    <n v="21224.60112015199"/>
  </r>
  <r>
    <d v="2026-01-02T00:00:00"/>
    <x v="4"/>
    <s v="FINDIK BULACAK (13-15)"/>
    <m/>
    <x v="1"/>
    <s v="ST00000000744"/>
    <s v="SATIŞ"/>
    <s v="NAKİT"/>
    <n v="8.5000000000000006E-2"/>
    <n v="1200"/>
    <n v="0"/>
    <n v="0"/>
    <m/>
    <m/>
    <m/>
    <m/>
    <n v="102.00000000000001"/>
    <n v="0"/>
    <n v="21326.60112015199"/>
  </r>
  <r>
    <d v="2026-01-02T00:00:00"/>
    <x v="4"/>
    <s v="BADEM ÇİĞ "/>
    <m/>
    <x v="1"/>
    <s v="ST00000000744"/>
    <s v="SATIŞ"/>
    <s v="NAKİT"/>
    <n v="0.23200000000000001"/>
    <n v="650"/>
    <n v="0"/>
    <n v="0"/>
    <m/>
    <m/>
    <m/>
    <m/>
    <n v="150.80000000000001"/>
    <n v="0"/>
    <n v="21477.40112015199"/>
  </r>
  <r>
    <d v="2026-01-02T00:00:00"/>
    <x v="4"/>
    <s v="KABUKLU CEVİZ (YERLİ)"/>
    <m/>
    <x v="1"/>
    <s v="ST00000000745"/>
    <s v="SATIŞ"/>
    <s v="NAKİT"/>
    <n v="3.3"/>
    <n v="250"/>
    <n v="0"/>
    <n v="0"/>
    <m/>
    <m/>
    <m/>
    <m/>
    <n v="825"/>
    <n v="0"/>
    <n v="22302.40112015199"/>
  </r>
  <r>
    <d v="2026-01-02T00:00:00"/>
    <x v="4"/>
    <s v="DUT KURUSU ESMER"/>
    <m/>
    <x v="1"/>
    <s v="ST00000000746"/>
    <s v="SATIŞ"/>
    <s v="NAKİT"/>
    <n v="0.22"/>
    <n v="460"/>
    <n v="0"/>
    <n v="0"/>
    <m/>
    <m/>
    <m/>
    <m/>
    <n v="101.2"/>
    <n v="0"/>
    <n v="22403.60112015199"/>
  </r>
  <r>
    <d v="2026-01-02T00:00:00"/>
    <x v="4"/>
    <s v="KUDÜS HURMASI"/>
    <m/>
    <x v="5"/>
    <s v="ST00000000747"/>
    <s v="SATIŞ"/>
    <s v="POS"/>
    <n v="0.25"/>
    <n v="400"/>
    <n v="100"/>
    <n v="0"/>
    <m/>
    <m/>
    <m/>
    <m/>
    <n v="0"/>
    <n v="0"/>
    <n v="22403.60112015199"/>
  </r>
  <r>
    <d v="2026-01-02T00:00:00"/>
    <x v="4"/>
    <s v="TÜRK KAHVESİ"/>
    <m/>
    <x v="5"/>
    <s v="ST00000000747"/>
    <s v="SATIŞ"/>
    <s v="POS"/>
    <n v="0.2"/>
    <n v="650"/>
    <n v="130"/>
    <n v="0"/>
    <m/>
    <m/>
    <m/>
    <m/>
    <n v="0"/>
    <n v="0"/>
    <n v="22403.60112015199"/>
  </r>
  <r>
    <d v="2026-01-02T00:00:00"/>
    <x v="4"/>
    <s v="FINDIK BULACAK (13-15)"/>
    <m/>
    <x v="5"/>
    <s v="ST00000000747"/>
    <s v="SATIŞ"/>
    <s v="POS"/>
    <n v="8.5000000000000006E-2"/>
    <n v="1200"/>
    <n v="102.00000000000001"/>
    <n v="0"/>
    <m/>
    <m/>
    <m/>
    <m/>
    <n v="0"/>
    <n v="0"/>
    <n v="22403.60112015199"/>
  </r>
  <r>
    <d v="2026-01-02T00:00:00"/>
    <x v="4"/>
    <s v="DEMKAR TURUNCU PAKET ANTEP FISTIĞI"/>
    <m/>
    <x v="5"/>
    <s v="ST00000000747"/>
    <s v="SATIŞ"/>
    <s v="POS"/>
    <n v="0.1"/>
    <n v="1250"/>
    <n v="125"/>
    <n v="0"/>
    <m/>
    <m/>
    <m/>
    <m/>
    <n v="0"/>
    <n v="0"/>
    <n v="22403.60112015199"/>
  </r>
  <r>
    <d v="2026-01-02T00:00:00"/>
    <x v="4"/>
    <s v="CHİA TOHUMU DÖKME"/>
    <m/>
    <x v="1"/>
    <s v="ST00000000748"/>
    <s v="SATIŞ"/>
    <s v="NAKİT"/>
    <n v="0.5"/>
    <n v="280"/>
    <n v="0"/>
    <n v="0"/>
    <m/>
    <m/>
    <m/>
    <m/>
    <n v="140"/>
    <n v="0"/>
    <n v="22543.60112015199"/>
  </r>
  <r>
    <d v="2026-01-02T00:00:00"/>
    <x v="4"/>
    <s v="TÜRK KAHVESİ"/>
    <m/>
    <x v="1"/>
    <s v="ST00000000748"/>
    <s v="SATIŞ"/>
    <s v="NAKİT"/>
    <n v="0.1"/>
    <n v="650"/>
    <n v="0"/>
    <n v="0"/>
    <m/>
    <m/>
    <m/>
    <m/>
    <n v="65"/>
    <n v="0"/>
    <n v="22608.60112015199"/>
  </r>
  <r>
    <d v="2026-01-02T00:00:00"/>
    <x v="4"/>
    <s v="EL-RUHA ÇAY (AÇIK)"/>
    <m/>
    <x v="1"/>
    <s v="ST00000000748"/>
    <s v="SATIŞ"/>
    <s v="NAKİT"/>
    <n v="0.17"/>
    <n v="600"/>
    <n v="0"/>
    <n v="0"/>
    <m/>
    <m/>
    <m/>
    <m/>
    <n v="102.00000000000001"/>
    <n v="0"/>
    <n v="22710.60112015199"/>
  </r>
  <r>
    <d v="2026-01-02T00:00:00"/>
    <x v="4"/>
    <s v="KAJUN BAHARATI - CAJUN SEASONING 1000 GR"/>
    <m/>
    <x v="1"/>
    <s v="ST00000000748"/>
    <s v="SATIŞ"/>
    <s v="NAKİT"/>
    <n v="0.1"/>
    <n v="600"/>
    <n v="0"/>
    <n v="0"/>
    <m/>
    <m/>
    <m/>
    <m/>
    <n v="60"/>
    <n v="0"/>
    <n v="22770.60112015199"/>
  </r>
  <r>
    <d v="2026-01-02T00:00:00"/>
    <x v="4"/>
    <s v="AÇIK KAYISI İRİ (SARI)"/>
    <m/>
    <x v="1"/>
    <s v="ST00000000749"/>
    <s v="SATIŞ"/>
    <s v="NAKİT"/>
    <n v="0.52400000000000002"/>
    <n v="690"/>
    <n v="0"/>
    <n v="0"/>
    <m/>
    <m/>
    <m/>
    <m/>
    <n v="361.56"/>
    <n v="0"/>
    <n v="23132.161120151992"/>
  </r>
  <r>
    <d v="2026-01-02T00:00:00"/>
    <x v="4"/>
    <s v="İZMİR ÜZÜMÜ"/>
    <m/>
    <x v="1"/>
    <s v="ST00000000749"/>
    <s v="SATIŞ"/>
    <s v="NAKİT"/>
    <n v="0.17799999999999999"/>
    <n v="250"/>
    <n v="0"/>
    <n v="0"/>
    <m/>
    <m/>
    <m/>
    <m/>
    <n v="44.5"/>
    <n v="0"/>
    <n v="23176.661120151992"/>
  </r>
  <r>
    <d v="2026-01-02T00:00:00"/>
    <x v="4"/>
    <s v="NANE İRİ"/>
    <m/>
    <x v="1"/>
    <s v="ST00000000750"/>
    <s v="SATIŞ"/>
    <s v="NAKİT"/>
    <n v="0.25"/>
    <n v="400"/>
    <n v="0"/>
    <n v="0"/>
    <m/>
    <m/>
    <m/>
    <m/>
    <n v="100"/>
    <n v="0"/>
    <n v="23276.661120151992"/>
  </r>
  <r>
    <d v="2026-01-02T00:00:00"/>
    <x v="4"/>
    <s v="DUT KURUSU ESMER"/>
    <m/>
    <x v="5"/>
    <s v="ST00000000751"/>
    <s v="SATIŞ"/>
    <s v="POS"/>
    <n v="0.22222222222222221"/>
    <n v="450"/>
    <n v="100"/>
    <n v="0"/>
    <m/>
    <m/>
    <m/>
    <m/>
    <n v="0"/>
    <n v="0"/>
    <n v="23276.661120151992"/>
  </r>
  <r>
    <d v="2026-01-02T00:00:00"/>
    <x v="4"/>
    <s v="LİMONTUZU PARCA"/>
    <m/>
    <x v="5"/>
    <s v="ST00000000751"/>
    <s v="SATIŞ"/>
    <s v="POS"/>
    <n v="0.25"/>
    <n v="180"/>
    <n v="45"/>
    <n v="0"/>
    <m/>
    <m/>
    <m/>
    <m/>
    <n v="0"/>
    <n v="0"/>
    <n v="23276.661120151992"/>
  </r>
  <r>
    <d v="2026-01-02T00:00:00"/>
    <x v="4"/>
    <s v="KEKİK YAĞI 10 CC"/>
    <m/>
    <x v="1"/>
    <s v="ST00000000752"/>
    <s v="SATIŞ"/>
    <s v="NAKİT"/>
    <n v="1"/>
    <n v="180"/>
    <n v="0"/>
    <n v="0"/>
    <m/>
    <m/>
    <m/>
    <m/>
    <n v="180"/>
    <n v="0"/>
    <n v="23456.661120151992"/>
  </r>
  <r>
    <d v="2026-01-02T00:00:00"/>
    <x v="4"/>
    <s v="TOZ BİBER - TATLI"/>
    <m/>
    <x v="1"/>
    <s v="ST00000000753"/>
    <s v="SATIŞ"/>
    <s v="NAKİT"/>
    <n v="0.21621621621621623"/>
    <n v="370"/>
    <n v="0"/>
    <n v="0"/>
    <m/>
    <m/>
    <m/>
    <m/>
    <n v="80"/>
    <n v="0"/>
    <n v="23536.661120151992"/>
  </r>
  <r>
    <d v="2026-01-02T00:00:00"/>
    <x v="4"/>
    <s v="DOLMALIK KURU PATLICAN"/>
    <m/>
    <x v="1"/>
    <s v="ST00000000754"/>
    <s v="SATIŞ"/>
    <s v="NAKİT"/>
    <n v="1"/>
    <n v="240"/>
    <n v="0"/>
    <n v="0"/>
    <m/>
    <m/>
    <m/>
    <m/>
    <n v="240"/>
    <n v="0"/>
    <n v="23776.661120151992"/>
  </r>
  <r>
    <d v="2026-01-02T00:00:00"/>
    <x v="4"/>
    <s v="DOLMALIK SARI BİBER"/>
    <m/>
    <x v="1"/>
    <s v="ST00000000754"/>
    <s v="SATIŞ"/>
    <s v="NAKİT"/>
    <n v="1"/>
    <n v="230"/>
    <n v="0"/>
    <n v="0"/>
    <m/>
    <m/>
    <m/>
    <m/>
    <n v="230"/>
    <n v="0"/>
    <n v="24006.661120151992"/>
  </r>
  <r>
    <d v="2026-01-02T00:00:00"/>
    <x v="4"/>
    <s v="SUMAK TANE EKŞİLİ"/>
    <m/>
    <x v="1"/>
    <s v="ST00000000754"/>
    <s v="SATIŞ"/>
    <s v="NAKİT"/>
    <n v="5.6000000000000001E-2"/>
    <n v="540"/>
    <n v="0"/>
    <n v="0"/>
    <m/>
    <m/>
    <m/>
    <m/>
    <n v="30.240000000000002"/>
    <n v="0"/>
    <n v="24036.901120151993"/>
  </r>
  <r>
    <d v="2026-01-02T00:00:00"/>
    <x v="4"/>
    <s v="DENİZ TAHİNLİ PİŞMANİYE"/>
    <m/>
    <x v="5"/>
    <s v="ST00000000755"/>
    <s v="SATIŞ"/>
    <s v="POS"/>
    <n v="1"/>
    <n v="90"/>
    <n v="90"/>
    <n v="0"/>
    <m/>
    <m/>
    <m/>
    <m/>
    <n v="0"/>
    <n v="0"/>
    <n v="24036.901120151993"/>
  </r>
  <r>
    <d v="2026-01-02T00:00:00"/>
    <x v="4"/>
    <s v="KUDÜS HURMASI"/>
    <m/>
    <x v="5"/>
    <s v="ST00000000756"/>
    <s v="SATIŞ"/>
    <s v="POS"/>
    <n v="0.5"/>
    <n v="400"/>
    <n v="200"/>
    <n v="0"/>
    <m/>
    <m/>
    <m/>
    <m/>
    <n v="0"/>
    <n v="0"/>
    <n v="24036.901120151993"/>
  </r>
  <r>
    <d v="2026-01-02T00:00:00"/>
    <x v="4"/>
    <s v="YALÇINKAYA ACI BİBER SALÇASI"/>
    <m/>
    <x v="1"/>
    <s v="ST00000000757"/>
    <s v="SATIŞ"/>
    <s v="NAKİT"/>
    <n v="2.0699999999999998"/>
    <n v="200"/>
    <n v="0"/>
    <n v="0"/>
    <m/>
    <m/>
    <m/>
    <m/>
    <n v="413.99999999999994"/>
    <n v="0"/>
    <n v="24450.901120151993"/>
  </r>
  <r>
    <d v="2026-01-02T00:00:00"/>
    <x v="4"/>
    <s v="SUMAK"/>
    <m/>
    <x v="1"/>
    <s v="ST00000000757"/>
    <s v="SATIŞ"/>
    <s v="NAKİT"/>
    <n v="0.2"/>
    <n v="500"/>
    <n v="0"/>
    <n v="0"/>
    <m/>
    <m/>
    <m/>
    <m/>
    <n v="100"/>
    <n v="0"/>
    <n v="24550.901120151993"/>
  </r>
  <r>
    <d v="2026-01-02T00:00:00"/>
    <x v="4"/>
    <s v="İSOT"/>
    <m/>
    <x v="1"/>
    <s v="ST00000000757"/>
    <s v="SATIŞ"/>
    <s v="NAKİT"/>
    <n v="0.2"/>
    <n v="380"/>
    <n v="0"/>
    <n v="0"/>
    <m/>
    <m/>
    <m/>
    <m/>
    <n v="76"/>
    <n v="0"/>
    <n v="24626.901120151993"/>
  </r>
  <r>
    <d v="2026-01-02T00:00:00"/>
    <x v="4"/>
    <s v="IHLAMUR YAPRAK"/>
    <m/>
    <x v="5"/>
    <s v="ST00000000758"/>
    <s v="SATIŞ"/>
    <s v="POS"/>
    <n v="0.1"/>
    <n v="2600"/>
    <n v="260"/>
    <n v="0"/>
    <m/>
    <m/>
    <m/>
    <m/>
    <n v="0"/>
    <n v="0"/>
    <n v="24626.901120151993"/>
  </r>
  <r>
    <d v="2026-01-02T00:00:00"/>
    <x v="4"/>
    <s v="ZERDEÇAL TOZ"/>
    <m/>
    <x v="1"/>
    <s v="ST00000000759"/>
    <s v="SATIŞ"/>
    <s v="NAKİT"/>
    <n v="0.214"/>
    <n v="281"/>
    <n v="0"/>
    <n v="0"/>
    <m/>
    <m/>
    <m/>
    <m/>
    <n v="60.134"/>
    <n v="0"/>
    <n v="24687.035120151992"/>
  </r>
  <r>
    <d v="2026-01-02T00:00:00"/>
    <x v="4"/>
    <s v="AKSU VİTAL KUDRET NARI EKSTRATLI MACUN 300 GR"/>
    <m/>
    <x v="5"/>
    <s v="ST00000000760"/>
    <s v="SATIŞ"/>
    <s v="POS"/>
    <n v="1"/>
    <n v="490"/>
    <n v="490"/>
    <n v="0"/>
    <m/>
    <m/>
    <m/>
    <m/>
    <n v="0"/>
    <n v="0"/>
    <n v="24687.035120151992"/>
  </r>
  <r>
    <d v="2026-01-02T00:00:00"/>
    <x v="0"/>
    <m/>
    <m/>
    <x v="0"/>
    <m/>
    <s v="SERMAYE - BORÇ"/>
    <s v="NAKİT"/>
    <n v="1"/>
    <n v="45800"/>
    <n v="0"/>
    <n v="45800"/>
    <n v="0"/>
    <n v="10000"/>
    <m/>
    <m/>
    <n v="45800"/>
    <n v="0"/>
    <n v="70487.035120151995"/>
  </r>
  <r>
    <d v="2026-01-02T00:00:00"/>
    <x v="7"/>
    <m/>
    <m/>
    <x v="9"/>
    <m/>
    <s v="SERBEND HURMA - CARİ ÖDEME - MD-KUVEYT"/>
    <s v="NAKİT"/>
    <n v="1"/>
    <n v="0"/>
    <n v="11643.5"/>
    <n v="0"/>
    <n v="10000"/>
    <m/>
    <m/>
    <n v="0"/>
    <n v="0"/>
    <n v="11643.5"/>
    <n v="58843.535120151995"/>
  </r>
  <r>
    <d v="2026-01-02T00:00:00"/>
    <x v="1"/>
    <m/>
    <s v="KİRA GİDERLERİ"/>
    <x v="1"/>
    <m/>
    <s v="KİRA GİDERİ - 2026/01"/>
    <s v="NAKİT"/>
    <n v="1"/>
    <n v="22000"/>
    <n v="0"/>
    <n v="0"/>
    <m/>
    <m/>
    <m/>
    <n v="0"/>
    <n v="0"/>
    <n v="22000"/>
    <n v="36843.535120151995"/>
  </r>
  <r>
    <d v="2026-01-02T00:00:00"/>
    <x v="7"/>
    <m/>
    <m/>
    <x v="4"/>
    <m/>
    <s v="TÜDAB A.Ş. - CARİ ÖDEME"/>
    <s v="NAKİT"/>
    <n v="1"/>
    <n v="0"/>
    <n v="15000"/>
    <n v="0"/>
    <n v="10000"/>
    <m/>
    <m/>
    <n v="0"/>
    <n v="0"/>
    <n v="15000"/>
    <n v="21843.535120151995"/>
  </r>
  <r>
    <d v="2026-01-02T00:00:00"/>
    <x v="7"/>
    <m/>
    <m/>
    <x v="3"/>
    <m/>
    <s v="YALÇINTAT - CARİ ÖDEME"/>
    <s v="NAKİT"/>
    <n v="1"/>
    <n v="0"/>
    <n v="15000"/>
    <n v="0"/>
    <n v="10000"/>
    <m/>
    <m/>
    <n v="0"/>
    <n v="0"/>
    <n v="15000"/>
    <n v="6843.5351201519952"/>
  </r>
  <r>
    <d v="2026-01-02T00:00:00"/>
    <x v="8"/>
    <s v="DEMKAR TURUNCU PAKET ANTEP FISTIĞI"/>
    <m/>
    <x v="1"/>
    <m/>
    <s v="KARIŞIK KURUYEMİŞ - ÜRETİM"/>
    <s v="ÜRETİM"/>
    <n v="0.7"/>
    <n v="1150"/>
    <n v="0"/>
    <n v="0"/>
    <m/>
    <m/>
    <m/>
    <m/>
    <n v="804.99999999999989"/>
    <n v="0"/>
    <n v="7648.5351201519952"/>
  </r>
  <r>
    <d v="2026-01-02T00:00:00"/>
    <x v="8"/>
    <s v="FINDIK BULACAK (13-15)"/>
    <m/>
    <x v="1"/>
    <m/>
    <s v="KARIŞIK KURUYEMİŞ - ÜRETİM"/>
    <s v="ÜRETİM"/>
    <n v="0.7"/>
    <n v="1050"/>
    <n v="0"/>
    <n v="0"/>
    <m/>
    <m/>
    <m/>
    <m/>
    <n v="735"/>
    <n v="0"/>
    <n v="8383.5351201519952"/>
  </r>
  <r>
    <d v="2026-01-02T00:00:00"/>
    <x v="8"/>
    <s v="KAJU 240 LIK EKSTRA"/>
    <m/>
    <x v="1"/>
    <m/>
    <s v="KARIŞIK KURUYEMİŞ - ÜRETİM"/>
    <s v="ÜRETİM"/>
    <n v="1.4"/>
    <n v="435"/>
    <n v="0"/>
    <n v="0"/>
    <m/>
    <m/>
    <m/>
    <m/>
    <n v="609"/>
    <n v="0"/>
    <n v="8992.5351201519952"/>
  </r>
  <r>
    <d v="2026-01-02T00:00:00"/>
    <x v="8"/>
    <s v="BADEM KAVRULMUŞ"/>
    <m/>
    <x v="1"/>
    <m/>
    <s v="KARIŞIK KURUYEMİŞ - ÜRETİM"/>
    <s v="ÜRETİM"/>
    <n v="1.4"/>
    <n v="495"/>
    <n v="0"/>
    <n v="0"/>
    <m/>
    <m/>
    <m/>
    <m/>
    <n v="693"/>
    <n v="0"/>
    <n v="9685.5351201519952"/>
  </r>
  <r>
    <d v="2026-01-02T00:00:00"/>
    <x v="9"/>
    <s v="KARIŞIK KURUYEMİŞ"/>
    <m/>
    <x v="1"/>
    <m/>
    <s v="KARIŞIK KURUYEMİŞ - ÜRETİM"/>
    <s v="ÜRETİM"/>
    <n v="4.2"/>
    <n v="676.66666666666663"/>
    <n v="0"/>
    <n v="0"/>
    <m/>
    <m/>
    <m/>
    <m/>
    <n v="0"/>
    <n v="2842"/>
    <n v="6843.5351201519952"/>
  </r>
  <r>
    <d v="2026-01-02T00:00:00"/>
    <x v="3"/>
    <s v="CEVİZLİ SUCUK ATOM (ESMER)"/>
    <m/>
    <x v="4"/>
    <m/>
    <s v="TÜDAB A.Ş."/>
    <s v="CARİ"/>
    <n v="10"/>
    <n v="225"/>
    <n v="0"/>
    <n v="2250"/>
    <m/>
    <m/>
    <m/>
    <m/>
    <n v="0"/>
    <n v="0"/>
    <n v="6843.5351201519952"/>
  </r>
  <r>
    <d v="2026-01-02T00:00:00"/>
    <x v="3"/>
    <s v="KARANFİL"/>
    <m/>
    <x v="4"/>
    <m/>
    <s v="TÜDAB A.Ş."/>
    <s v="CARİ"/>
    <n v="2"/>
    <n v="570"/>
    <n v="0"/>
    <n v="1140"/>
    <m/>
    <m/>
    <m/>
    <m/>
    <n v="0"/>
    <n v="0"/>
    <n v="6843.5351201519952"/>
  </r>
  <r>
    <d v="2026-01-02T00:00:00"/>
    <x v="3"/>
    <s v="NAHİTA KOZALAK ŞURUBU 500 ML"/>
    <m/>
    <x v="4"/>
    <m/>
    <s v="TÜDAB A.Ş."/>
    <s v="CARİ"/>
    <n v="12"/>
    <n v="95"/>
    <n v="0"/>
    <n v="1140"/>
    <m/>
    <m/>
    <m/>
    <m/>
    <n v="0"/>
    <n v="0"/>
    <n v="6843.5351201519952"/>
  </r>
  <r>
    <d v="2026-01-03T00:00:00"/>
    <x v="4"/>
    <s v="MANİSA YAPRAK DÖKME"/>
    <m/>
    <x v="1"/>
    <s v="ST00000000761"/>
    <s v="SATIŞ"/>
    <s v="NAKİT"/>
    <n v="1.5"/>
    <n v="400"/>
    <n v="0"/>
    <n v="0"/>
    <m/>
    <m/>
    <m/>
    <m/>
    <n v="600"/>
    <n v="0"/>
    <n v="7443.5351201519952"/>
  </r>
  <r>
    <d v="2026-01-03T00:00:00"/>
    <x v="4"/>
    <s v="DUT KURUSU ESMER"/>
    <m/>
    <x v="1"/>
    <s v="ST00000000762"/>
    <s v="SATIŞ"/>
    <s v="NAKİT"/>
    <n v="0.10888888888888888"/>
    <n v="450"/>
    <n v="0"/>
    <n v="0"/>
    <m/>
    <m/>
    <m/>
    <m/>
    <n v="49"/>
    <n v="0"/>
    <n v="7492.5351201519952"/>
  </r>
  <r>
    <d v="2026-01-03T00:00:00"/>
    <x v="4"/>
    <s v="KABUKLU CEVİZ (YERLİ)"/>
    <m/>
    <x v="1"/>
    <s v="ST00000000763"/>
    <s v="SATIŞ"/>
    <s v="NAKİT"/>
    <n v="0.8"/>
    <n v="250"/>
    <n v="0"/>
    <n v="0"/>
    <m/>
    <m/>
    <m/>
    <m/>
    <n v="200"/>
    <n v="0"/>
    <n v="7692.5351201519952"/>
  </r>
  <r>
    <d v="2026-01-03T00:00:00"/>
    <x v="4"/>
    <s v="RUŞUR TAŞI"/>
    <m/>
    <x v="1"/>
    <s v="ST00000000763"/>
    <s v="SATIŞ"/>
    <s v="NAKİT"/>
    <n v="5"/>
    <n v="10"/>
    <n v="0"/>
    <n v="0"/>
    <m/>
    <m/>
    <m/>
    <m/>
    <n v="50"/>
    <n v="0"/>
    <n v="7742.5351201519952"/>
  </r>
  <r>
    <d v="2026-01-03T00:00:00"/>
    <x v="4"/>
    <s v="KARABİBER ÇEKİLMİŞ"/>
    <m/>
    <x v="1"/>
    <s v="ST00000000764"/>
    <s v="SATIŞ"/>
    <s v="NAKİT"/>
    <n v="0.10312499999999999"/>
    <n v="640"/>
    <n v="0"/>
    <n v="0"/>
    <m/>
    <m/>
    <m/>
    <m/>
    <n v="66"/>
    <n v="0"/>
    <n v="7808.5351201519952"/>
  </r>
  <r>
    <d v="2026-01-03T00:00:00"/>
    <x v="4"/>
    <s v="KİMYON ÇEKİLMİŞ"/>
    <m/>
    <x v="1"/>
    <s v="ST00000000764"/>
    <s v="SATIŞ"/>
    <s v="NAKİT"/>
    <n v="0.12051282051282051"/>
    <n v="390"/>
    <n v="0"/>
    <n v="0"/>
    <m/>
    <m/>
    <m/>
    <m/>
    <n v="47"/>
    <n v="0"/>
    <n v="7855.5351201519952"/>
  </r>
  <r>
    <d v="2026-01-03T00:00:00"/>
    <x v="4"/>
    <s v="KİMYON ÇEKİLMİŞ"/>
    <m/>
    <x v="1"/>
    <s v="ST00000000765"/>
    <s v="SATIŞ"/>
    <s v="NAKİT"/>
    <n v="0.12820512820512819"/>
    <n v="390"/>
    <n v="0"/>
    <n v="0"/>
    <m/>
    <m/>
    <m/>
    <m/>
    <n v="49.999999999999993"/>
    <n v="0"/>
    <n v="7905.5351201519952"/>
  </r>
  <r>
    <d v="2026-01-03T00:00:00"/>
    <x v="4"/>
    <s v="KARABİBER ÇEKİLMİŞ"/>
    <m/>
    <x v="1"/>
    <s v="ST00000000765"/>
    <s v="SATIŞ"/>
    <s v="NAKİT"/>
    <n v="0.125"/>
    <n v="640"/>
    <n v="0"/>
    <n v="0"/>
    <m/>
    <m/>
    <m/>
    <m/>
    <n v="80"/>
    <n v="0"/>
    <n v="7985.5351201519952"/>
  </r>
  <r>
    <d v="2026-01-03T00:00:00"/>
    <x v="4"/>
    <s v="HİNDİSTAN CEVİZİ YAĞI 20 CC"/>
    <m/>
    <x v="1"/>
    <s v="ST00000000766"/>
    <s v="SATIŞ"/>
    <s v="NAKİT"/>
    <n v="1"/>
    <n v="110"/>
    <n v="0"/>
    <n v="0"/>
    <m/>
    <m/>
    <m/>
    <m/>
    <n v="110"/>
    <n v="0"/>
    <n v="8095.5351201519952"/>
  </r>
  <r>
    <d v="2026-01-03T00:00:00"/>
    <x v="4"/>
    <s v="KETEN TOHUMU YAĞI 50 CC"/>
    <m/>
    <x v="5"/>
    <s v="ST00000000767"/>
    <s v="SATIŞ"/>
    <s v="POS"/>
    <n v="1"/>
    <n v="110"/>
    <n v="110"/>
    <n v="0"/>
    <m/>
    <m/>
    <m/>
    <m/>
    <n v="0"/>
    <n v="0"/>
    <n v="8095.5351201519952"/>
  </r>
  <r>
    <d v="2026-01-03T00:00:00"/>
    <x v="4"/>
    <s v="HİNT YAĞI 50 CC"/>
    <m/>
    <x v="5"/>
    <s v="ST00000000767"/>
    <s v="SATIŞ"/>
    <s v="POS"/>
    <n v="1"/>
    <n v="130"/>
    <n v="130"/>
    <n v="0"/>
    <m/>
    <m/>
    <m/>
    <m/>
    <n v="0"/>
    <n v="0"/>
    <n v="8095.5351201519952"/>
  </r>
  <r>
    <d v="2026-01-03T00:00:00"/>
    <x v="4"/>
    <s v="AÇIK KAYISI İRİ (SARI)"/>
    <m/>
    <x v="5"/>
    <s v="ST00000000768"/>
    <s v="SATIŞ"/>
    <s v="POS"/>
    <n v="0.18840579710144928"/>
    <n v="690"/>
    <n v="130"/>
    <n v="0"/>
    <m/>
    <m/>
    <m/>
    <m/>
    <n v="0"/>
    <n v="0"/>
    <n v="8095.5351201519952"/>
  </r>
  <r>
    <d v="2026-01-03T00:00:00"/>
    <x v="4"/>
    <s v="DOLMALIK SARI BİBER"/>
    <m/>
    <x v="5"/>
    <s v="ST00000000769"/>
    <s v="SATIŞ"/>
    <s v="POS"/>
    <n v="1"/>
    <n v="230"/>
    <n v="230"/>
    <n v="0"/>
    <m/>
    <m/>
    <m/>
    <m/>
    <n v="0"/>
    <n v="0"/>
    <n v="8095.5351201519952"/>
  </r>
  <r>
    <d v="2026-01-03T00:00:00"/>
    <x v="4"/>
    <s v="KABUKLU CEVİZ (YERLİ)"/>
    <m/>
    <x v="5"/>
    <s v="ST00000000769"/>
    <s v="SATIŞ"/>
    <s v="POS"/>
    <n v="0.61199999999999999"/>
    <n v="250"/>
    <n v="153"/>
    <n v="0"/>
    <m/>
    <m/>
    <m/>
    <m/>
    <n v="0"/>
    <n v="0"/>
    <n v="8095.5351201519952"/>
  </r>
  <r>
    <d v="2026-01-03T00:00:00"/>
    <x v="4"/>
    <s v="HATMİ ÇİÇEĞİ"/>
    <m/>
    <x v="5"/>
    <s v="ST00000000770"/>
    <s v="SATIŞ"/>
    <s v="POS"/>
    <n v="0.05"/>
    <n v="1400"/>
    <n v="70"/>
    <n v="0"/>
    <m/>
    <m/>
    <m/>
    <m/>
    <n v="0"/>
    <n v="0"/>
    <n v="8095.5351201519952"/>
  </r>
  <r>
    <d v="2026-01-03T00:00:00"/>
    <x v="4"/>
    <s v="GENÇLEBİ ÇAKILTAŞI DRAJE"/>
    <m/>
    <x v="5"/>
    <s v="ST00000000770"/>
    <s v="SATIŞ"/>
    <s v="POS"/>
    <n v="0.25"/>
    <n v="400"/>
    <n v="100"/>
    <n v="0"/>
    <m/>
    <m/>
    <m/>
    <m/>
    <n v="0"/>
    <n v="0"/>
    <n v="8095.5351201519952"/>
  </r>
  <r>
    <d v="2026-01-03T00:00:00"/>
    <x v="4"/>
    <s v="KARANFİL"/>
    <m/>
    <x v="5"/>
    <s v="ST00000000770"/>
    <s v="SATIŞ"/>
    <s v="POS"/>
    <n v="0.05"/>
    <n v="1200"/>
    <n v="60"/>
    <n v="0"/>
    <m/>
    <m/>
    <m/>
    <m/>
    <n v="0"/>
    <n v="0"/>
    <n v="8095.5351201519952"/>
  </r>
  <r>
    <d v="2026-01-03T00:00:00"/>
    <x v="4"/>
    <s v="RUŞUR TAŞI"/>
    <m/>
    <x v="1"/>
    <s v="ST00000000771"/>
    <s v="SATIŞ"/>
    <s v="NAKİT"/>
    <n v="2"/>
    <n v="10"/>
    <n v="0"/>
    <n v="0"/>
    <m/>
    <m/>
    <m/>
    <m/>
    <n v="20"/>
    <n v="0"/>
    <n v="8115.5351201519952"/>
  </r>
  <r>
    <d v="2026-01-03T00:00:00"/>
    <x v="4"/>
    <s v="FINDIK İÇİ ÇİĞ"/>
    <m/>
    <x v="1"/>
    <s v="ST00000000772"/>
    <s v="SATIŞ"/>
    <s v="NAKİT"/>
    <n v="0.1"/>
    <n v="1000"/>
    <n v="0"/>
    <n v="0"/>
    <m/>
    <m/>
    <m/>
    <m/>
    <n v="100"/>
    <n v="0"/>
    <n v="8215.5351201519952"/>
  </r>
  <r>
    <d v="2026-01-03T00:00:00"/>
    <x v="4"/>
    <s v="KUDÜS HURMASI"/>
    <m/>
    <x v="1"/>
    <s v="ST00000000772"/>
    <s v="SATIŞ"/>
    <s v="NAKİT"/>
    <n v="1.25"/>
    <n v="400"/>
    <n v="0"/>
    <n v="0"/>
    <m/>
    <m/>
    <m/>
    <m/>
    <n v="500"/>
    <n v="0"/>
    <n v="8715.5351201519952"/>
  </r>
  <r>
    <d v="2026-01-03T00:00:00"/>
    <x v="4"/>
    <s v="GÜLSUYU LÜKS"/>
    <m/>
    <x v="1"/>
    <s v="ST00000000772"/>
    <s v="SATIŞ"/>
    <s v="NAKİT"/>
    <n v="1"/>
    <n v="130"/>
    <n v="0"/>
    <n v="0"/>
    <m/>
    <m/>
    <m/>
    <m/>
    <n v="130"/>
    <n v="0"/>
    <n v="8845.5351201519952"/>
  </r>
  <r>
    <d v="2026-01-03T00:00:00"/>
    <x v="4"/>
    <s v="ÖZBEK ÜZÜMÜ"/>
    <m/>
    <x v="1"/>
    <s v="ST00000000772"/>
    <s v="SATIŞ"/>
    <s v="NAKİT"/>
    <n v="0.54600000000000004"/>
    <n v="550"/>
    <n v="0"/>
    <n v="0"/>
    <m/>
    <m/>
    <m/>
    <m/>
    <n v="300.3"/>
    <n v="0"/>
    <n v="9145.8351201519945"/>
  </r>
  <r>
    <d v="2026-01-03T00:00:00"/>
    <x v="4"/>
    <s v="İNCİR KÜÇÜK"/>
    <m/>
    <x v="1"/>
    <s v="ST00000000772"/>
    <s v="SATIŞ"/>
    <s v="NAKİT"/>
    <n v="1"/>
    <n v="570"/>
    <n v="0"/>
    <n v="0"/>
    <m/>
    <m/>
    <m/>
    <m/>
    <n v="570"/>
    <n v="0"/>
    <n v="9715.8351201519945"/>
  </r>
  <r>
    <d v="2026-01-03T00:00:00"/>
    <x v="4"/>
    <s v="KARIŞIK KURUYEMİŞ"/>
    <m/>
    <x v="1"/>
    <s v="ST00000000772"/>
    <s v="SATIŞ"/>
    <s v="NAKİT"/>
    <n v="0.47099999999999997"/>
    <n v="850"/>
    <n v="0"/>
    <n v="0"/>
    <m/>
    <m/>
    <m/>
    <m/>
    <n v="400.34999999999997"/>
    <n v="0"/>
    <n v="10116.185120151995"/>
  </r>
  <r>
    <d v="2026-01-03T00:00:00"/>
    <x v="4"/>
    <s v="BİOBLAS SİYAH SARIMSAKLI 1000 ML SAÇ DÖKÜLMESİNE KARŞI ŞAMPUAN - SİYAH"/>
    <m/>
    <x v="1"/>
    <s v="ST00000000772"/>
    <s v="SATIŞ"/>
    <s v="NAKİT"/>
    <n v="1"/>
    <n v="230"/>
    <n v="0"/>
    <n v="0"/>
    <m/>
    <m/>
    <m/>
    <m/>
    <n v="230"/>
    <n v="0"/>
    <n v="10346.185120151995"/>
  </r>
  <r>
    <d v="2026-01-03T00:00:00"/>
    <x v="4"/>
    <s v="EL-RUHA ÇAY (AÇIK)"/>
    <m/>
    <x v="1"/>
    <s v="ST00000000772"/>
    <s v="SATIŞ"/>
    <s v="NAKİT"/>
    <n v="1"/>
    <n v="750"/>
    <n v="0"/>
    <n v="0"/>
    <m/>
    <m/>
    <m/>
    <m/>
    <n v="750"/>
    <n v="0"/>
    <n v="11096.185120151995"/>
  </r>
  <r>
    <d v="2026-01-03T00:00:00"/>
    <x v="4"/>
    <s v="YALÇINKAYA DOMATES SALÇASI"/>
    <m/>
    <x v="1"/>
    <s v="ST00000000772"/>
    <s v="SATIŞ"/>
    <s v="NAKİT"/>
    <n v="4"/>
    <n v="150"/>
    <n v="0"/>
    <n v="0"/>
    <m/>
    <m/>
    <m/>
    <m/>
    <n v="600"/>
    <n v="0"/>
    <n v="11696.185120151995"/>
  </r>
  <r>
    <d v="2026-01-03T00:00:00"/>
    <x v="4"/>
    <s v="YALÇINKAYA TATLI BİBER SALÇASI"/>
    <m/>
    <x v="1"/>
    <s v="ST00000000772"/>
    <s v="SATIŞ"/>
    <s v="NAKİT"/>
    <n v="2"/>
    <n v="200"/>
    <n v="0"/>
    <n v="0"/>
    <m/>
    <m/>
    <m/>
    <m/>
    <n v="400"/>
    <n v="0"/>
    <n v="12096.185120151995"/>
  </r>
  <r>
    <d v="2026-01-03T00:00:00"/>
    <x v="4"/>
    <s v="TÜDAB ACUR TURŞUSU"/>
    <m/>
    <x v="5"/>
    <s v="ST00000000784"/>
    <s v="SATIŞ"/>
    <s v="POS"/>
    <n v="1"/>
    <n v="350"/>
    <n v="350"/>
    <n v="0"/>
    <m/>
    <m/>
    <m/>
    <m/>
    <n v="0"/>
    <n v="0"/>
    <n v="12096.185120151995"/>
  </r>
  <r>
    <d v="2026-01-03T00:00:00"/>
    <x v="4"/>
    <s v="TÜDAB TURŞU BİBER"/>
    <m/>
    <x v="5"/>
    <s v="ST00000000784"/>
    <s v="SATIŞ"/>
    <s v="POS"/>
    <n v="1"/>
    <n v="350"/>
    <n v="350"/>
    <n v="0"/>
    <m/>
    <m/>
    <m/>
    <m/>
    <n v="0"/>
    <n v="0"/>
    <n v="12096.185120151995"/>
  </r>
  <r>
    <d v="2026-01-03T00:00:00"/>
    <x v="4"/>
    <s v="TÜDAB TURŞU BİBER"/>
    <m/>
    <x v="5"/>
    <s v="ST00000000785"/>
    <s v="SATIŞ"/>
    <s v="POS"/>
    <n v="1"/>
    <n v="350"/>
    <n v="350"/>
    <n v="0"/>
    <m/>
    <m/>
    <m/>
    <m/>
    <n v="0"/>
    <n v="0"/>
    <n v="12096.185120151995"/>
  </r>
  <r>
    <d v="2026-01-03T00:00:00"/>
    <x v="10"/>
    <m/>
    <m/>
    <x v="5"/>
    <m/>
    <s v="POS ÇÖZÜMÜ"/>
    <s v="POS"/>
    <n v="1"/>
    <n v="285"/>
    <n v="0"/>
    <n v="285"/>
    <n v="880"/>
    <n v="0"/>
    <n v="-10288.138239847995"/>
    <m/>
    <n v="285"/>
    <n v="0"/>
    <n v="12381.185120151995"/>
  </r>
  <r>
    <d v="2026-01-03T00:00:00"/>
    <x v="10"/>
    <m/>
    <m/>
    <x v="5"/>
    <m/>
    <s v="POS ÇÖZÜMÜ"/>
    <s v="POS"/>
    <n v="1"/>
    <n v="1718"/>
    <n v="0"/>
    <n v="1718"/>
    <m/>
    <m/>
    <m/>
    <m/>
    <n v="1718"/>
    <n v="0"/>
    <n v="14099.185120151995"/>
  </r>
  <r>
    <d v="2026-01-03T00:00:00"/>
    <x v="6"/>
    <s v="TÜDAB ACUR TURŞUSU"/>
    <m/>
    <x v="4"/>
    <m/>
    <s v="TÜDAB A.Ş. - İADE"/>
    <s v="CARİ"/>
    <n v="1"/>
    <n v="235"/>
    <n v="235"/>
    <n v="0"/>
    <m/>
    <m/>
    <m/>
    <m/>
    <n v="0"/>
    <n v="0"/>
    <n v="14099.185120151995"/>
  </r>
  <r>
    <d v="2026-01-03T00:00:00"/>
    <x v="6"/>
    <s v="LAHANA TURŞUSU 5 KG"/>
    <m/>
    <x v="4"/>
    <m/>
    <s v="TÜDAB A.Ş. - İADE"/>
    <s v="CARİ"/>
    <n v="1"/>
    <n v="205"/>
    <n v="205"/>
    <n v="0"/>
    <m/>
    <m/>
    <m/>
    <m/>
    <n v="0"/>
    <n v="0"/>
    <n v="14099.185120151995"/>
  </r>
  <r>
    <d v="2026-01-04T00:00:00"/>
    <x v="4"/>
    <s v="İPEK BİBER"/>
    <m/>
    <x v="1"/>
    <s v="ST00000000773"/>
    <s v="SATIŞ"/>
    <s v="NAKİT"/>
    <n v="0.52"/>
    <n v="500"/>
    <n v="0"/>
    <n v="0"/>
    <m/>
    <m/>
    <m/>
    <m/>
    <n v="260"/>
    <n v="0"/>
    <n v="14359.185120151995"/>
  </r>
  <r>
    <d v="2026-01-04T00:00:00"/>
    <x v="4"/>
    <s v="EVLİK BİBER"/>
    <m/>
    <x v="1"/>
    <s v="ST00000000773"/>
    <s v="SATIŞ"/>
    <s v="NAKİT"/>
    <n v="0.55400000000000005"/>
    <n v="380"/>
    <n v="0"/>
    <n v="0"/>
    <m/>
    <m/>
    <m/>
    <m/>
    <n v="210.52"/>
    <n v="0"/>
    <n v="14569.705120151995"/>
  </r>
  <r>
    <d v="2026-01-04T00:00:00"/>
    <x v="4"/>
    <s v="CEVİZLİ SUCUK ATOM (SARI)"/>
    <m/>
    <x v="1"/>
    <s v="ST00000000773"/>
    <s v="SATIŞ"/>
    <s v="NAKİT"/>
    <n v="0.46400000000000002"/>
    <n v="290"/>
    <n v="0"/>
    <n v="0"/>
    <m/>
    <m/>
    <m/>
    <m/>
    <n v="134.56"/>
    <n v="0"/>
    <n v="14704.265120151995"/>
  </r>
  <r>
    <d v="2026-01-04T00:00:00"/>
    <x v="4"/>
    <s v="ÇUBUK TARÇIN"/>
    <m/>
    <x v="1"/>
    <s v="ST00000000773"/>
    <s v="SATIŞ"/>
    <s v="NAKİT"/>
    <n v="0.2"/>
    <n v="650"/>
    <n v="0"/>
    <n v="0"/>
    <m/>
    <m/>
    <m/>
    <m/>
    <n v="130"/>
    <n v="0"/>
    <n v="14834.265120151995"/>
  </r>
  <r>
    <d v="2026-01-04T00:00:00"/>
    <x v="4"/>
    <s v="KEKİK LÜX"/>
    <m/>
    <x v="1"/>
    <s v="ST00000000773"/>
    <s v="SATIŞ"/>
    <s v="NAKİT"/>
    <n v="7.5999999999999998E-2"/>
    <n v="760"/>
    <n v="0"/>
    <n v="0"/>
    <m/>
    <m/>
    <m/>
    <m/>
    <n v="57.76"/>
    <n v="0"/>
    <n v="14892.025120151995"/>
  </r>
  <r>
    <d v="2026-01-04T00:00:00"/>
    <x v="4"/>
    <s v="KEKİK LÜX"/>
    <m/>
    <x v="1"/>
    <s v="ST00000000773"/>
    <s v="SATIŞ"/>
    <s v="NAKİT"/>
    <n v="6.4000000000000001E-2"/>
    <n v="760"/>
    <n v="0"/>
    <n v="0"/>
    <m/>
    <m/>
    <m/>
    <m/>
    <n v="48.64"/>
    <n v="0"/>
    <n v="14940.665120151994"/>
  </r>
  <r>
    <d v="2026-01-04T00:00:00"/>
    <x v="4"/>
    <s v="ÇÖREKOTU"/>
    <m/>
    <x v="1"/>
    <s v="ST00000000773"/>
    <s v="SATIŞ"/>
    <s v="NAKİT"/>
    <n v="0.1"/>
    <n v="400"/>
    <n v="0"/>
    <n v="0"/>
    <m/>
    <m/>
    <m/>
    <m/>
    <n v="40"/>
    <n v="0"/>
    <n v="14980.665120151994"/>
  </r>
  <r>
    <d v="2026-01-04T00:00:00"/>
    <x v="4"/>
    <s v="SUSAM"/>
    <m/>
    <x v="1"/>
    <s v="ST00000000773"/>
    <s v="SATIŞ"/>
    <s v="NAKİT"/>
    <n v="0.1"/>
    <n v="400"/>
    <n v="0"/>
    <n v="0"/>
    <m/>
    <m/>
    <m/>
    <m/>
    <n v="40"/>
    <n v="0"/>
    <n v="15020.665120151994"/>
  </r>
  <r>
    <d v="2026-01-04T00:00:00"/>
    <x v="4"/>
    <s v="LİMONTUZU TOZ"/>
    <m/>
    <x v="1"/>
    <s v="ST00000000773"/>
    <s v="SATIŞ"/>
    <s v="NAKİT"/>
    <n v="0.25"/>
    <n v="180"/>
    <n v="0"/>
    <n v="0"/>
    <m/>
    <m/>
    <m/>
    <m/>
    <n v="45"/>
    <n v="0"/>
    <n v="15065.665120151994"/>
  </r>
  <r>
    <d v="2026-01-04T00:00:00"/>
    <x v="4"/>
    <s v="TÜRK KAHVESİ"/>
    <m/>
    <x v="1"/>
    <s v="ST00000000773"/>
    <s v="SATIŞ"/>
    <s v="NAKİT"/>
    <n v="0.1"/>
    <n v="650"/>
    <n v="0"/>
    <n v="0"/>
    <m/>
    <m/>
    <m/>
    <m/>
    <n v="65"/>
    <n v="0"/>
    <n v="15130.665120151994"/>
  </r>
  <r>
    <d v="2026-01-04T00:00:00"/>
    <x v="4"/>
    <s v="TOZ BİBER - TATLI"/>
    <m/>
    <x v="1"/>
    <s v="ST00000000773"/>
    <s v="SATIŞ"/>
    <s v="NAKİT"/>
    <n v="0.124"/>
    <n v="370"/>
    <n v="0"/>
    <n v="0"/>
    <m/>
    <m/>
    <m/>
    <m/>
    <n v="45.88"/>
    <n v="0"/>
    <n v="15176.545120151994"/>
  </r>
  <r>
    <d v="2026-01-04T00:00:00"/>
    <x v="4"/>
    <s v="TOZ BİBER - TATLI"/>
    <m/>
    <x v="1"/>
    <s v="ST00000000773"/>
    <s v="SATIŞ"/>
    <s v="NAKİT"/>
    <n v="0.186"/>
    <n v="370"/>
    <n v="0"/>
    <n v="0"/>
    <m/>
    <m/>
    <m/>
    <m/>
    <n v="68.819999999999993"/>
    <n v="0"/>
    <n v="15245.365120151993"/>
  </r>
  <r>
    <d v="2026-01-04T00:00:00"/>
    <x v="4"/>
    <s v="KAKAO"/>
    <m/>
    <x v="1"/>
    <s v="ST00000000773"/>
    <s v="SATIŞ"/>
    <s v="NAKİT"/>
    <n v="0.1"/>
    <n v="1100"/>
    <n v="0"/>
    <n v="0"/>
    <m/>
    <m/>
    <m/>
    <m/>
    <n v="110"/>
    <n v="0"/>
    <n v="15355.365120151993"/>
  </r>
  <r>
    <d v="2026-01-04T00:00:00"/>
    <x v="4"/>
    <s v="LOKUM KARIŞIK - TB"/>
    <m/>
    <x v="1"/>
    <s v="ST00000000773"/>
    <s v="SATIŞ"/>
    <s v="NAKİT"/>
    <n v="0.40600000000000003"/>
    <n v="195"/>
    <n v="0"/>
    <n v="0"/>
    <m/>
    <m/>
    <m/>
    <m/>
    <n v="79.17"/>
    <n v="0"/>
    <n v="15434.535120151993"/>
  </r>
  <r>
    <d v="2026-01-04T00:00:00"/>
    <x v="4"/>
    <s v="DENİZ VANİLYALI PİŞMANİYE"/>
    <m/>
    <x v="1"/>
    <s v="ST00000000773"/>
    <s v="SATIŞ"/>
    <s v="NAKİT"/>
    <n v="1"/>
    <n v="90"/>
    <n v="0"/>
    <n v="0"/>
    <m/>
    <m/>
    <m/>
    <m/>
    <n v="90"/>
    <n v="0"/>
    <n v="15524.535120151993"/>
  </r>
  <r>
    <d v="2026-01-04T00:00:00"/>
    <x v="4"/>
    <s v="YALÇINKAYA ACI BİBER SALÇASI"/>
    <m/>
    <x v="1"/>
    <s v="ST00000000773"/>
    <s v="SATIŞ"/>
    <s v="NAKİT"/>
    <n v="0.5"/>
    <n v="200"/>
    <n v="0"/>
    <n v="0"/>
    <m/>
    <m/>
    <m/>
    <m/>
    <n v="100"/>
    <n v="0"/>
    <n v="15624.535120151993"/>
  </r>
  <r>
    <d v="2026-01-04T00:00:00"/>
    <x v="4"/>
    <s v="YALÇINKAYA TATLI BİBER SALÇASI"/>
    <m/>
    <x v="1"/>
    <s v="ST00000000773"/>
    <s v="SATIŞ"/>
    <s v="NAKİT"/>
    <n v="0.5"/>
    <n v="200"/>
    <n v="0"/>
    <n v="0"/>
    <m/>
    <m/>
    <m/>
    <m/>
    <n v="100"/>
    <n v="0"/>
    <n v="15724.535120151993"/>
  </r>
  <r>
    <d v="2026-01-04T00:00:00"/>
    <x v="4"/>
    <s v="YALÇINKAYA DOMATES SALÇASI"/>
    <m/>
    <x v="1"/>
    <s v="ST00000000773"/>
    <s v="SATIŞ"/>
    <s v="NAKİT"/>
    <n v="1"/>
    <n v="150"/>
    <n v="0"/>
    <n v="0"/>
    <m/>
    <m/>
    <m/>
    <m/>
    <n v="150"/>
    <n v="0"/>
    <n v="15874.535120151993"/>
  </r>
  <r>
    <d v="2026-01-04T00:00:00"/>
    <x v="4"/>
    <s v="PATLAK MISIR"/>
    <m/>
    <x v="1"/>
    <s v="ST00000000773"/>
    <s v="SATIŞ"/>
    <s v="NAKİT"/>
    <n v="0.504"/>
    <n v="60"/>
    <n v="0"/>
    <n v="0"/>
    <m/>
    <m/>
    <m/>
    <m/>
    <n v="30.240000000000002"/>
    <n v="0"/>
    <n v="15904.775120151993"/>
  </r>
  <r>
    <d v="2026-01-04T00:00:00"/>
    <x v="4"/>
    <s v="KARANFİL"/>
    <m/>
    <x v="1"/>
    <s v="ST00000000773"/>
    <s v="SATIŞ"/>
    <s v="NAKİT"/>
    <n v="0.05"/>
    <n v="1200"/>
    <n v="0"/>
    <n v="0"/>
    <m/>
    <m/>
    <m/>
    <m/>
    <n v="60"/>
    <n v="0"/>
    <n v="15964.775120151993"/>
  </r>
  <r>
    <d v="2026-01-04T00:00:00"/>
    <x v="4"/>
    <s v="SOSLU MISIR YERLİ"/>
    <m/>
    <x v="1"/>
    <s v="ST00000000773"/>
    <s v="SATIŞ"/>
    <s v="NAKİT"/>
    <n v="0.24"/>
    <n v="220"/>
    <n v="0"/>
    <n v="0"/>
    <m/>
    <m/>
    <m/>
    <m/>
    <n v="52.8"/>
    <n v="0"/>
    <n v="16017.575120151992"/>
  </r>
  <r>
    <d v="2026-01-04T00:00:00"/>
    <x v="4"/>
    <s v="MISIR UNU"/>
    <m/>
    <x v="1"/>
    <s v="ST00000000773"/>
    <s v="SATIŞ"/>
    <s v="NAKİT"/>
    <n v="0.5"/>
    <n v="60"/>
    <n v="0"/>
    <n v="0"/>
    <m/>
    <m/>
    <m/>
    <m/>
    <n v="30"/>
    <n v="0"/>
    <n v="16047.575120151992"/>
  </r>
  <r>
    <d v="2026-01-04T00:00:00"/>
    <x v="4"/>
    <s v="KARANFİL"/>
    <m/>
    <x v="1"/>
    <s v="ST00000000774"/>
    <s v="SATIŞ"/>
    <s v="NAKİT"/>
    <n v="0.05"/>
    <n v="1200"/>
    <n v="0"/>
    <n v="0"/>
    <m/>
    <m/>
    <m/>
    <m/>
    <n v="60"/>
    <n v="0"/>
    <n v="16107.575120151992"/>
  </r>
  <r>
    <d v="2026-01-04T00:00:00"/>
    <x v="4"/>
    <s v="SUMAK"/>
    <m/>
    <x v="1"/>
    <s v="ST00000000774"/>
    <s v="SATIŞ"/>
    <s v="NAKİT"/>
    <n v="0.224"/>
    <n v="500"/>
    <n v="0"/>
    <n v="0"/>
    <m/>
    <m/>
    <m/>
    <m/>
    <n v="112"/>
    <n v="0"/>
    <n v="16219.575120151992"/>
  </r>
  <r>
    <d v="2026-01-04T00:00:00"/>
    <x v="4"/>
    <s v="ŞİFAVER BITTIM HATAY SABUNU"/>
    <m/>
    <x v="1"/>
    <s v="ST00000000774"/>
    <s v="SATIŞ"/>
    <s v="NAKİT"/>
    <n v="2"/>
    <n v="50"/>
    <n v="0"/>
    <n v="0"/>
    <m/>
    <m/>
    <m/>
    <m/>
    <n v="100"/>
    <n v="0"/>
    <n v="16319.575120151992"/>
  </r>
  <r>
    <d v="2026-01-04T00:00:00"/>
    <x v="4"/>
    <s v="ÇÖREKOTU YAĞI 50 CC"/>
    <m/>
    <x v="1"/>
    <s v="ST00000000774"/>
    <s v="SATIŞ"/>
    <s v="NAKİT"/>
    <n v="1"/>
    <n v="170"/>
    <n v="0"/>
    <n v="0"/>
    <m/>
    <m/>
    <m/>
    <m/>
    <n v="170"/>
    <n v="0"/>
    <n v="16489.575120151992"/>
  </r>
  <r>
    <d v="2026-01-04T00:00:00"/>
    <x v="4"/>
    <s v="ÇAM TEREBENTİN 50 CC"/>
    <m/>
    <x v="1"/>
    <s v="ST00000000774"/>
    <s v="SATIŞ"/>
    <s v="NAKİT"/>
    <n v="1"/>
    <n v="130"/>
    <n v="0"/>
    <n v="0"/>
    <m/>
    <m/>
    <m/>
    <m/>
    <n v="130"/>
    <n v="0"/>
    <n v="16619.575120151992"/>
  </r>
  <r>
    <d v="2026-01-04T00:00:00"/>
    <x v="4"/>
    <s v="KAFFKA MENENGİÇ KAHVESİ 150 GR"/>
    <m/>
    <x v="1"/>
    <s v="ST00000000774"/>
    <s v="SATIŞ"/>
    <s v="NAKİT"/>
    <n v="1"/>
    <n v="65"/>
    <n v="0"/>
    <n v="0"/>
    <m/>
    <m/>
    <m/>
    <m/>
    <n v="65"/>
    <n v="0"/>
    <n v="16684.575120151992"/>
  </r>
  <r>
    <d v="2026-01-04T00:00:00"/>
    <x v="4"/>
    <s v="MS 11 DERMA KABAK HAVLU ELDİVEN"/>
    <m/>
    <x v="1"/>
    <s v="ST00000000774"/>
    <s v="SATIŞ"/>
    <s v="NAKİT"/>
    <n v="2"/>
    <n v="150"/>
    <n v="0"/>
    <n v="0"/>
    <m/>
    <m/>
    <m/>
    <m/>
    <n v="300"/>
    <n v="0"/>
    <n v="16984.575120151992"/>
  </r>
  <r>
    <d v="2026-01-04T00:00:00"/>
    <x v="4"/>
    <s v="ZÜHRE ANA KARADUT ÖZÜ 670 GR"/>
    <m/>
    <x v="1"/>
    <s v="ST00000000774"/>
    <s v="SATIŞ"/>
    <s v="NAKİT"/>
    <n v="1"/>
    <n v="220"/>
    <n v="0"/>
    <n v="0"/>
    <m/>
    <m/>
    <m/>
    <m/>
    <n v="220"/>
    <n v="0"/>
    <n v="17204.575120151992"/>
  </r>
  <r>
    <d v="2026-01-04T00:00:00"/>
    <x v="4"/>
    <s v="İSOT"/>
    <m/>
    <x v="1"/>
    <s v="ST00000000775"/>
    <s v="SATIŞ"/>
    <s v="NAKİT"/>
    <n v="0.3"/>
    <n v="380"/>
    <n v="0"/>
    <n v="0"/>
    <m/>
    <m/>
    <m/>
    <m/>
    <n v="114"/>
    <n v="0"/>
    <n v="17318.575120151992"/>
  </r>
  <r>
    <d v="2026-01-04T00:00:00"/>
    <x v="4"/>
    <s v="LOBAS SAF NAR EKŞİSİ 1 KG"/>
    <m/>
    <x v="1"/>
    <s v="ST00000000775"/>
    <s v="SATIŞ"/>
    <s v="NAKİT"/>
    <n v="1"/>
    <n v="295"/>
    <n v="0"/>
    <n v="0"/>
    <m/>
    <m/>
    <m/>
    <m/>
    <n v="295"/>
    <n v="0"/>
    <n v="17613.575120151992"/>
  </r>
  <r>
    <d v="2026-01-04T00:00:00"/>
    <x v="4"/>
    <s v="ZENCEFİL TOZ"/>
    <m/>
    <x v="5"/>
    <s v="ST00000000776"/>
    <s v="SATIŞ"/>
    <s v="POS"/>
    <n v="0.17749999999999999"/>
    <n v="400"/>
    <n v="71"/>
    <n v="0"/>
    <m/>
    <m/>
    <m/>
    <m/>
    <n v="0"/>
    <n v="0"/>
    <n v="17613.575120151992"/>
  </r>
  <r>
    <d v="2026-01-04T00:00:00"/>
    <x v="4"/>
    <s v="ZENCEFİL TANE"/>
    <m/>
    <x v="5"/>
    <s v="ST00000000776"/>
    <s v="SATIŞ"/>
    <s v="POS"/>
    <n v="0.25"/>
    <n v="400"/>
    <n v="100"/>
    <n v="0"/>
    <m/>
    <m/>
    <m/>
    <m/>
    <n v="0"/>
    <n v="0"/>
    <n v="17613.575120151992"/>
  </r>
  <r>
    <d v="2026-01-04T00:00:00"/>
    <x v="4"/>
    <s v="LİMONTUZU PARCA"/>
    <m/>
    <x v="5"/>
    <s v="ST00000000776"/>
    <s v="SATIŞ"/>
    <s v="POS"/>
    <n v="0.25"/>
    <n v="180"/>
    <n v="45"/>
    <n v="0"/>
    <m/>
    <m/>
    <m/>
    <m/>
    <n v="0"/>
    <n v="0"/>
    <n v="17613.575120151992"/>
  </r>
  <r>
    <d v="2026-01-04T00:00:00"/>
    <x v="4"/>
    <s v="KINA RGS DÖKME"/>
    <m/>
    <x v="1"/>
    <s v="ST00000000777"/>
    <s v="SATIŞ"/>
    <s v="NAKİT"/>
    <n v="0.5"/>
    <n v="400"/>
    <n v="0"/>
    <n v="0"/>
    <m/>
    <m/>
    <m/>
    <m/>
    <n v="200"/>
    <n v="0"/>
    <n v="17813.575120151992"/>
  </r>
  <r>
    <d v="2026-01-04T00:00:00"/>
    <x v="4"/>
    <s v="TÜDAB KEÇİ BOYNUZU (DÖKME)"/>
    <m/>
    <x v="1"/>
    <s v="ST00000000778"/>
    <s v="SATIŞ"/>
    <s v="NAKİT"/>
    <n v="0.68571428571428572"/>
    <n v="350"/>
    <n v="0"/>
    <n v="0"/>
    <m/>
    <m/>
    <m/>
    <m/>
    <n v="240"/>
    <n v="0"/>
    <n v="18053.575120151992"/>
  </r>
  <r>
    <d v="2026-01-04T00:00:00"/>
    <x v="4"/>
    <s v="İPEK BİBER"/>
    <m/>
    <x v="1"/>
    <s v="ST00000000779"/>
    <s v="SATIŞ"/>
    <s v="NAKİT"/>
    <n v="0.08"/>
    <n v="500"/>
    <n v="0"/>
    <n v="0"/>
    <m/>
    <m/>
    <m/>
    <m/>
    <n v="40"/>
    <n v="0"/>
    <n v="18093.575120151992"/>
  </r>
  <r>
    <d v="2026-01-04T00:00:00"/>
    <x v="4"/>
    <s v="KABUKLU CEVİZ (YERLİ)"/>
    <m/>
    <x v="1"/>
    <s v="ST00000000780"/>
    <s v="SATIŞ"/>
    <s v="NAKİT"/>
    <n v="1"/>
    <n v="250"/>
    <n v="0"/>
    <n v="0"/>
    <m/>
    <m/>
    <m/>
    <m/>
    <n v="250"/>
    <n v="0"/>
    <n v="18343.575120151992"/>
  </r>
  <r>
    <d v="2026-01-04T00:00:00"/>
    <x v="4"/>
    <s v="İPEK BİBER"/>
    <m/>
    <x v="1"/>
    <s v="ST00000000781"/>
    <s v="SATIŞ"/>
    <s v="NAKİT"/>
    <n v="0.52800000000000002"/>
    <n v="500"/>
    <n v="0"/>
    <n v="0"/>
    <m/>
    <m/>
    <m/>
    <m/>
    <n v="264"/>
    <n v="0"/>
    <n v="18607.575120151992"/>
  </r>
  <r>
    <d v="2026-01-04T00:00:00"/>
    <x v="4"/>
    <s v="SUMAK"/>
    <m/>
    <x v="1"/>
    <s v="ST00000000781"/>
    <s v="SATIŞ"/>
    <s v="NAKİT"/>
    <n v="0.128"/>
    <n v="500"/>
    <n v="0"/>
    <n v="0"/>
    <m/>
    <m/>
    <m/>
    <m/>
    <n v="64"/>
    <n v="0"/>
    <n v="18671.575120151992"/>
  </r>
  <r>
    <d v="2026-01-04T00:00:00"/>
    <x v="4"/>
    <s v="YALÇINKAYA DOMATES SALÇASI"/>
    <m/>
    <x v="1"/>
    <s v="ST00000000781"/>
    <s v="SATIŞ"/>
    <s v="NAKİT"/>
    <n v="0.5"/>
    <n v="150"/>
    <n v="0"/>
    <n v="0"/>
    <m/>
    <m/>
    <m/>
    <m/>
    <n v="75"/>
    <n v="0"/>
    <n v="18746.575120151992"/>
  </r>
  <r>
    <d v="2026-01-04T00:00:00"/>
    <x v="4"/>
    <s v="MISIR UNU"/>
    <m/>
    <x v="1"/>
    <s v="ST00000000781"/>
    <s v="SATIŞ"/>
    <s v="NAKİT"/>
    <n v="0.5"/>
    <n v="60"/>
    <n v="0"/>
    <n v="0"/>
    <m/>
    <m/>
    <m/>
    <m/>
    <n v="30"/>
    <n v="0"/>
    <n v="18776.575120151992"/>
  </r>
  <r>
    <d v="2026-01-04T00:00:00"/>
    <x v="4"/>
    <s v="YALÇINKAYA DOMATES SALÇASI"/>
    <m/>
    <x v="1"/>
    <s v="ST00000000782"/>
    <s v="SATIŞ"/>
    <s v="NAKİT"/>
    <n v="1"/>
    <n v="150"/>
    <n v="0"/>
    <n v="0"/>
    <m/>
    <m/>
    <m/>
    <m/>
    <n v="150"/>
    <n v="0"/>
    <n v="18926.575120151992"/>
  </r>
  <r>
    <d v="2026-01-04T00:00:00"/>
    <x v="4"/>
    <s v="YALÇINKAYA TATLI BİBER SALÇASI"/>
    <m/>
    <x v="1"/>
    <s v="ST00000000782"/>
    <s v="SATIŞ"/>
    <s v="NAKİT"/>
    <n v="1"/>
    <n v="200"/>
    <n v="0"/>
    <n v="0"/>
    <m/>
    <m/>
    <m/>
    <m/>
    <n v="200"/>
    <n v="0"/>
    <n v="19126.575120151992"/>
  </r>
  <r>
    <d v="2026-01-04T00:00:00"/>
    <x v="4"/>
    <s v="ÇÖREKOTU YAĞI 50 CC"/>
    <m/>
    <x v="5"/>
    <s v="ST00000000783"/>
    <s v="SATIŞ"/>
    <s v="POS"/>
    <n v="1"/>
    <n v="170"/>
    <n v="170"/>
    <n v="0"/>
    <m/>
    <m/>
    <m/>
    <m/>
    <n v="0"/>
    <n v="0"/>
    <n v="19126.575120151992"/>
  </r>
  <r>
    <d v="2026-01-04T00:00:00"/>
    <x v="4"/>
    <s v="KARABAŞ OTU"/>
    <m/>
    <x v="5"/>
    <s v="ST00000000783"/>
    <s v="SATIŞ"/>
    <s v="POS"/>
    <n v="0.05"/>
    <n v="1400"/>
    <n v="70"/>
    <n v="0"/>
    <m/>
    <m/>
    <m/>
    <m/>
    <n v="0"/>
    <n v="0"/>
    <n v="19126.575120151992"/>
  </r>
  <r>
    <d v="2026-01-04T00:00:00"/>
    <x v="4"/>
    <s v="LİMON MELİSA"/>
    <m/>
    <x v="5"/>
    <s v="ST00000000783"/>
    <s v="SATIŞ"/>
    <s v="POS"/>
    <n v="0.05"/>
    <n v="2000"/>
    <n v="100"/>
    <n v="0"/>
    <m/>
    <m/>
    <m/>
    <m/>
    <n v="0"/>
    <n v="0"/>
    <n v="19126.575120151992"/>
  </r>
  <r>
    <d v="2026-01-04T00:00:00"/>
    <x v="10"/>
    <m/>
    <m/>
    <x v="5"/>
    <m/>
    <s v="POS ÇÖZÜMÜ"/>
    <s v="POS"/>
    <n v="1"/>
    <n v="240"/>
    <n v="0"/>
    <n v="240"/>
    <m/>
    <m/>
    <m/>
    <m/>
    <n v="240"/>
    <n v="0"/>
    <n v="19366.575120151992"/>
  </r>
  <r>
    <d v="2026-01-04T00:00:00"/>
    <x v="10"/>
    <m/>
    <m/>
    <x v="5"/>
    <m/>
    <s v="POS ÇÖZÜMÜ"/>
    <s v="POS"/>
    <n v="1"/>
    <n v="940"/>
    <n v="0"/>
    <n v="940"/>
    <m/>
    <m/>
    <m/>
    <m/>
    <n v="940"/>
    <n v="0"/>
    <n v="20306.575120151992"/>
  </r>
  <r>
    <d v="2026-01-04T00:00:00"/>
    <x v="10"/>
    <m/>
    <m/>
    <x v="5"/>
    <m/>
    <s v="POS ÇÖZÜMÜ"/>
    <s v="POS"/>
    <n v="1"/>
    <n v="2560"/>
    <n v="0"/>
    <n v="2560"/>
    <m/>
    <m/>
    <m/>
    <m/>
    <n v="2560"/>
    <n v="0"/>
    <n v="22866.575120151992"/>
  </r>
  <r>
    <d v="2026-01-05T00:00:00"/>
    <x v="3"/>
    <s v="AYÇEKİRDEĞİ DAKOTA TUZLU EKSTRA"/>
    <m/>
    <x v="4"/>
    <n v="995518"/>
    <s v="TÜDAB A.Ş."/>
    <s v="CARİ"/>
    <n v="3"/>
    <n v="130"/>
    <n v="0"/>
    <n v="390"/>
    <m/>
    <m/>
    <m/>
    <m/>
    <n v="0"/>
    <n v="0"/>
    <n v="22866.575120151992"/>
  </r>
  <r>
    <d v="2026-01-05T00:00:00"/>
    <x v="3"/>
    <s v="AYÇEKİRDEĞİ DAKOTA TUZSUZ EKSTRA"/>
    <m/>
    <x v="4"/>
    <n v="995518"/>
    <s v="TÜDAB A.Ş."/>
    <s v="CARİ"/>
    <n v="3"/>
    <n v="140"/>
    <n v="0"/>
    <n v="420"/>
    <m/>
    <m/>
    <m/>
    <m/>
    <n v="0"/>
    <n v="0"/>
    <n v="22866.575120151992"/>
  </r>
  <r>
    <d v="2026-01-05T00:00:00"/>
    <x v="3"/>
    <s v="LEBLEBİ ÇİFTE SARI"/>
    <m/>
    <x v="4"/>
    <n v="995518"/>
    <s v="TÜDAB A.Ş."/>
    <s v="CARİ"/>
    <n v="3"/>
    <n v="170"/>
    <n v="0"/>
    <n v="510"/>
    <m/>
    <m/>
    <m/>
    <m/>
    <n v="0"/>
    <n v="0"/>
    <n v="22866.575120151992"/>
  </r>
  <r>
    <d v="2026-01-05T00:00:00"/>
    <x v="3"/>
    <s v="MS 01 DERMA BEBEK BANYO ELDİVENİ"/>
    <m/>
    <x v="4"/>
    <n v="995518"/>
    <s v="TÜDAB A.Ş."/>
    <s v="CARİ"/>
    <n v="3"/>
    <n v="70"/>
    <n v="0"/>
    <n v="210"/>
    <m/>
    <m/>
    <m/>
    <m/>
    <n v="0"/>
    <n v="0"/>
    <n v="22866.575120151992"/>
  </r>
  <r>
    <d v="2026-01-05T00:00:00"/>
    <x v="3"/>
    <s v="MS 02 DERMA ÖRME BANYO &amp; YÜZ LİFİ"/>
    <m/>
    <x v="4"/>
    <n v="995518"/>
    <s v="TÜDAB A.Ş."/>
    <s v="CARİ"/>
    <n v="3"/>
    <n v="65"/>
    <n v="0"/>
    <n v="195"/>
    <m/>
    <m/>
    <m/>
    <m/>
    <n v="0"/>
    <n v="0"/>
    <n v="22866.575120151992"/>
  </r>
  <r>
    <d v="2026-01-05T00:00:00"/>
    <x v="3"/>
    <s v="MS 05 DERMA RENKLİ BANYO ELDİVEN"/>
    <m/>
    <x v="4"/>
    <n v="995518"/>
    <s v="TÜDAB A.Ş."/>
    <s v="CARİ"/>
    <n v="3"/>
    <n v="70"/>
    <n v="0"/>
    <n v="210"/>
    <m/>
    <m/>
    <m/>
    <m/>
    <n v="0"/>
    <n v="0"/>
    <n v="22866.575120151992"/>
  </r>
  <r>
    <d v="2026-01-05T00:00:00"/>
    <x v="3"/>
    <s v="MS 09 DERMA ÖRME SOPALI SIRT LİFİ"/>
    <m/>
    <x v="4"/>
    <n v="995518"/>
    <s v="TÜDAB A.Ş."/>
    <s v="CARİ"/>
    <n v="3"/>
    <n v="85"/>
    <n v="0"/>
    <n v="255"/>
    <m/>
    <m/>
    <m/>
    <m/>
    <n v="0"/>
    <n v="0"/>
    <n v="22866.575120151992"/>
  </r>
  <r>
    <d v="2026-01-05T00:00:00"/>
    <x v="3"/>
    <s v="MS 12 DERMA KABAK İPLİ KEMER"/>
    <m/>
    <x v="4"/>
    <n v="995518"/>
    <s v="TÜDAB A.Ş."/>
    <s v="CARİ"/>
    <n v="3"/>
    <n v="100"/>
    <n v="0"/>
    <n v="300"/>
    <m/>
    <m/>
    <m/>
    <m/>
    <n v="0"/>
    <n v="0"/>
    <n v="22866.575120151992"/>
  </r>
  <r>
    <d v="2026-01-05T00:00:00"/>
    <x v="3"/>
    <s v="MS 32 DERMA BAMBU YÜZ TEMİZLEME"/>
    <m/>
    <x v="4"/>
    <n v="995518"/>
    <s v="TÜDAB A.Ş."/>
    <s v="CARİ"/>
    <n v="3"/>
    <n v="70"/>
    <n v="0"/>
    <n v="210"/>
    <m/>
    <m/>
    <m/>
    <m/>
    <n v="0"/>
    <n v="0"/>
    <n v="22866.575120151992"/>
  </r>
  <r>
    <d v="2026-01-05T00:00:00"/>
    <x v="3"/>
    <s v="İRİ BEYAZ KABAK ÇEKİRDEĞİ - NEVŞEHİR"/>
    <m/>
    <x v="4"/>
    <n v="995518"/>
    <s v="TÜDAB A.Ş."/>
    <s v="CARİ"/>
    <n v="3"/>
    <n v="290"/>
    <n v="0"/>
    <n v="870"/>
    <m/>
    <m/>
    <m/>
    <m/>
    <n v="0"/>
    <n v="0"/>
    <n v="22866.575120151992"/>
  </r>
  <r>
    <d v="2026-01-05T00:00:00"/>
    <x v="3"/>
    <s v="İZMİR ÜZÜMÜ"/>
    <m/>
    <x v="4"/>
    <n v="995518"/>
    <s v="TÜDAB A.Ş."/>
    <s v="CARİ"/>
    <n v="5"/>
    <n v="170"/>
    <n v="0"/>
    <n v="850"/>
    <m/>
    <m/>
    <m/>
    <m/>
    <n v="0"/>
    <n v="0"/>
    <n v="22866.575120151992"/>
  </r>
  <r>
    <d v="2026-01-05T00:00:00"/>
    <x v="4"/>
    <s v="KINA TÜP KIZIL"/>
    <m/>
    <x v="1"/>
    <s v="ST00000000786"/>
    <s v="SATIŞ"/>
    <s v="NAKİT"/>
    <n v="1"/>
    <n v="50"/>
    <n v="0"/>
    <n v="0"/>
    <m/>
    <m/>
    <m/>
    <m/>
    <n v="50"/>
    <n v="0"/>
    <n v="22916.575120151992"/>
  </r>
  <r>
    <d v="2026-01-05T00:00:00"/>
    <x v="4"/>
    <s v="EVLİK BİBER"/>
    <m/>
    <x v="1"/>
    <s v="ST00000000787"/>
    <s v="SATIŞ"/>
    <s v="NAKİT"/>
    <n v="0.13157894736842105"/>
    <n v="380"/>
    <n v="0"/>
    <n v="0"/>
    <m/>
    <m/>
    <m/>
    <m/>
    <n v="50"/>
    <n v="0"/>
    <n v="22966.575120151992"/>
  </r>
  <r>
    <d v="2026-01-05T00:00:00"/>
    <x v="4"/>
    <s v="BİZİM YAPRAK 1 LİK"/>
    <m/>
    <x v="1"/>
    <s v="ST00000000788"/>
    <s v="SATIŞ"/>
    <s v="NAKİT"/>
    <n v="1"/>
    <n v="290"/>
    <n v="0"/>
    <n v="0"/>
    <m/>
    <m/>
    <m/>
    <m/>
    <n v="290"/>
    <n v="0"/>
    <n v="23256.575120151992"/>
  </r>
  <r>
    <d v="2026-01-05T00:00:00"/>
    <x v="4"/>
    <s v="DOLMALIK KURU PATLICAN"/>
    <m/>
    <x v="1"/>
    <s v="ST00000000789"/>
    <s v="SATIŞ"/>
    <s v="NAKİT"/>
    <n v="1"/>
    <n v="250"/>
    <n v="0"/>
    <n v="0"/>
    <m/>
    <m/>
    <m/>
    <m/>
    <n v="250"/>
    <n v="0"/>
    <n v="23506.575120151992"/>
  </r>
  <r>
    <d v="2026-01-05T00:00:00"/>
    <x v="4"/>
    <s v="EL-RUHA ÇAY (AÇIK)"/>
    <m/>
    <x v="1"/>
    <s v="ST00000000790"/>
    <s v="SATIŞ"/>
    <s v="NAKİT"/>
    <n v="0.16666666666666666"/>
    <n v="600"/>
    <n v="0"/>
    <n v="0"/>
    <m/>
    <m/>
    <m/>
    <m/>
    <n v="100"/>
    <n v="0"/>
    <n v="23606.575120151992"/>
  </r>
  <r>
    <d v="2026-01-05T00:00:00"/>
    <x v="4"/>
    <s v="TOZ BİBER - TATLI"/>
    <m/>
    <x v="1"/>
    <s v="ST00000000790"/>
    <s v="SATIŞ"/>
    <s v="NAKİT"/>
    <n v="0.27027027027027029"/>
    <n v="370"/>
    <n v="0"/>
    <n v="0"/>
    <m/>
    <m/>
    <m/>
    <m/>
    <n v="100"/>
    <n v="0"/>
    <n v="23706.575120151992"/>
  </r>
  <r>
    <d v="2026-01-05T00:00:00"/>
    <x v="4"/>
    <s v="NANE İRİ"/>
    <m/>
    <x v="5"/>
    <s v="ST00000000791"/>
    <s v="SATIŞ"/>
    <s v="POS"/>
    <n v="0.04"/>
    <n v="400"/>
    <n v="16"/>
    <n v="0"/>
    <m/>
    <m/>
    <m/>
    <m/>
    <n v="0"/>
    <n v="0"/>
    <n v="23706.575120151992"/>
  </r>
  <r>
    <d v="2026-01-05T00:00:00"/>
    <x v="4"/>
    <s v="KARABİBER ÇEKİLMİŞ"/>
    <m/>
    <x v="5"/>
    <s v="ST00000000791"/>
    <s v="SATIŞ"/>
    <s v="POS"/>
    <n v="0.10625"/>
    <n v="640"/>
    <n v="68"/>
    <n v="0"/>
    <m/>
    <m/>
    <m/>
    <m/>
    <n v="0"/>
    <n v="0"/>
    <n v="23706.575120151992"/>
  </r>
  <r>
    <d v="2026-01-05T00:00:00"/>
    <x v="4"/>
    <s v="KIRMIZI PUL BİBER TATLI"/>
    <m/>
    <x v="5"/>
    <s v="ST00000000791"/>
    <s v="SATIŞ"/>
    <s v="POS"/>
    <n v="0.15277777777777779"/>
    <n v="360"/>
    <n v="55.000000000000007"/>
    <n v="0"/>
    <m/>
    <m/>
    <m/>
    <m/>
    <n v="0"/>
    <n v="0"/>
    <n v="23706.575120151992"/>
  </r>
  <r>
    <d v="2026-01-05T00:00:00"/>
    <x v="4"/>
    <s v="SUSAM"/>
    <m/>
    <x v="5"/>
    <s v="ST00000000791"/>
    <s v="SATIŞ"/>
    <s v="POS"/>
    <n v="0.2"/>
    <n v="400"/>
    <n v="80"/>
    <n v="0"/>
    <m/>
    <m/>
    <m/>
    <m/>
    <n v="0"/>
    <n v="0"/>
    <n v="23706.575120151992"/>
  </r>
  <r>
    <d v="2026-01-05T00:00:00"/>
    <x v="4"/>
    <s v="SEYHAN ÜZÜM ÖZEL"/>
    <m/>
    <x v="5"/>
    <s v="ST00000000792"/>
    <s v="SATIŞ"/>
    <s v="POS"/>
    <n v="0.36666666666666664"/>
    <n v="750"/>
    <n v="275"/>
    <n v="0"/>
    <m/>
    <m/>
    <m/>
    <m/>
    <n v="0"/>
    <n v="0"/>
    <n v="23706.575120151992"/>
  </r>
  <r>
    <d v="2026-01-05T00:00:00"/>
    <x v="4"/>
    <s v="DUT KURUSU ESMER"/>
    <m/>
    <x v="5"/>
    <s v="ST00000000793"/>
    <s v="SATIŞ"/>
    <s v="POS"/>
    <n v="0.22222222222222221"/>
    <n v="450"/>
    <n v="100"/>
    <n v="0"/>
    <m/>
    <m/>
    <m/>
    <m/>
    <n v="0"/>
    <n v="0"/>
    <n v="23706.575120151992"/>
  </r>
  <r>
    <d v="2026-01-05T00:00:00"/>
    <x v="4"/>
    <s v="NBN DAĞ İNCİRİ"/>
    <m/>
    <x v="5"/>
    <s v="ST00000000793"/>
    <s v="SATIŞ"/>
    <s v="POS"/>
    <n v="0.34749999999999998"/>
    <n v="800"/>
    <n v="278"/>
    <n v="0"/>
    <m/>
    <m/>
    <m/>
    <m/>
    <n v="0"/>
    <n v="0"/>
    <n v="23706.575120151992"/>
  </r>
  <r>
    <d v="2026-01-05T00:00:00"/>
    <x v="4"/>
    <s v="NANE YAĞI 10 CC"/>
    <m/>
    <x v="5"/>
    <s v="ST00000000793"/>
    <s v="SATIŞ"/>
    <s v="POS"/>
    <n v="1"/>
    <n v="145"/>
    <n v="145"/>
    <n v="0"/>
    <m/>
    <m/>
    <m/>
    <m/>
    <n v="0"/>
    <n v="0"/>
    <n v="23706.575120151992"/>
  </r>
  <r>
    <d v="2026-01-05T00:00:00"/>
    <x v="4"/>
    <s v="MİX NANE LİMON ÇAYI"/>
    <m/>
    <x v="5"/>
    <s v="ST00000000794"/>
    <s v="SATIŞ"/>
    <s v="POS"/>
    <n v="0.1"/>
    <n v="900"/>
    <n v="90"/>
    <n v="0"/>
    <m/>
    <m/>
    <m/>
    <m/>
    <n v="0"/>
    <n v="0"/>
    <n v="23706.575120151992"/>
  </r>
  <r>
    <d v="2026-01-05T00:00:00"/>
    <x v="4"/>
    <s v="KORİ (TAVUK BAHARATI)"/>
    <m/>
    <x v="1"/>
    <s v="ST00000000795"/>
    <s v="SATIŞ"/>
    <s v="NAKİT"/>
    <n v="0.2857142857142857"/>
    <n v="140"/>
    <n v="0"/>
    <n v="0"/>
    <m/>
    <m/>
    <m/>
    <m/>
    <n v="40"/>
    <n v="0"/>
    <n v="23746.575120151992"/>
  </r>
  <r>
    <d v="2026-01-05T00:00:00"/>
    <x v="4"/>
    <s v="ÇUBUK TARÇIN"/>
    <m/>
    <x v="1"/>
    <s v="ST00000000796"/>
    <s v="SATIŞ"/>
    <s v="NAKİT"/>
    <n v="0.1"/>
    <n v="650"/>
    <n v="0"/>
    <n v="0"/>
    <m/>
    <m/>
    <m/>
    <m/>
    <n v="65"/>
    <n v="0"/>
    <n v="23811.575120151992"/>
  </r>
  <r>
    <d v="2026-01-05T00:00:00"/>
    <x v="4"/>
    <s v="IHLAMUR YAPRAK"/>
    <m/>
    <x v="1"/>
    <s v="ST00000000797"/>
    <s v="SATIŞ"/>
    <s v="NAKİT"/>
    <n v="0.05"/>
    <n v="2600"/>
    <n v="0"/>
    <n v="0"/>
    <m/>
    <m/>
    <m/>
    <m/>
    <n v="130"/>
    <n v="0"/>
    <n v="23941.575120151992"/>
  </r>
  <r>
    <d v="2026-01-05T00:00:00"/>
    <x v="4"/>
    <s v="TÜDAB KIŞ ÇAYI 200 GR"/>
    <m/>
    <x v="1"/>
    <s v="ST00000000797"/>
    <s v="SATIŞ"/>
    <s v="NAKİT"/>
    <n v="1"/>
    <n v="130"/>
    <n v="0"/>
    <n v="0"/>
    <m/>
    <m/>
    <m/>
    <m/>
    <n v="130"/>
    <n v="0"/>
    <n v="24071.575120151992"/>
  </r>
  <r>
    <d v="2026-01-05T00:00:00"/>
    <x v="4"/>
    <s v="EL-RUHA ÇAY (AÇIK)"/>
    <m/>
    <x v="1"/>
    <s v="ST00000000798"/>
    <s v="SATIŞ - SİBEL"/>
    <s v="NAKİT"/>
    <n v="1"/>
    <n v="600"/>
    <n v="0"/>
    <n v="0"/>
    <m/>
    <m/>
    <m/>
    <m/>
    <n v="600"/>
    <n v="0"/>
    <n v="24671.575120151992"/>
  </r>
  <r>
    <d v="2026-01-05T00:00:00"/>
    <x v="4"/>
    <s v="SUMAK"/>
    <m/>
    <x v="1"/>
    <s v="ST00000000798"/>
    <s v="SATIŞ - SİBEL"/>
    <s v="NAKİT"/>
    <n v="0.2"/>
    <n v="500"/>
    <n v="0"/>
    <n v="0"/>
    <m/>
    <m/>
    <m/>
    <m/>
    <n v="100"/>
    <n v="0"/>
    <n v="24771.575120151992"/>
  </r>
  <r>
    <d v="2026-01-05T00:00:00"/>
    <x v="4"/>
    <s v="SUMAK TANE EKŞİLİ"/>
    <m/>
    <x v="1"/>
    <s v="ST00000000798"/>
    <s v="SATIŞ - SİBEL"/>
    <s v="NAKİT"/>
    <n v="0.186"/>
    <n v="540"/>
    <n v="0"/>
    <n v="0"/>
    <m/>
    <m/>
    <m/>
    <m/>
    <n v="100.44"/>
    <n v="0"/>
    <n v="24872.015120151991"/>
  </r>
  <r>
    <d v="2026-01-05T00:00:00"/>
    <x v="4"/>
    <s v="EL-RUHA ÇAY (AÇIK)"/>
    <m/>
    <x v="1"/>
    <s v="ST00000000799"/>
    <s v="SATIŞ - LEYLA"/>
    <s v="NAKİT"/>
    <n v="1"/>
    <n v="600"/>
    <n v="0"/>
    <n v="0"/>
    <m/>
    <m/>
    <m/>
    <m/>
    <n v="600"/>
    <n v="0"/>
    <n v="25472.015120151991"/>
  </r>
  <r>
    <d v="2026-01-05T00:00:00"/>
    <x v="4"/>
    <s v="KABUKLU CEVİZ (YERLİ)"/>
    <m/>
    <x v="1"/>
    <s v="ST00000000799"/>
    <s v="SATIŞ - LEYLA"/>
    <s v="NAKİT"/>
    <n v="2"/>
    <n v="250"/>
    <n v="0"/>
    <n v="0"/>
    <m/>
    <m/>
    <m/>
    <m/>
    <n v="500"/>
    <n v="0"/>
    <n v="25972.015120151991"/>
  </r>
  <r>
    <d v="2026-01-05T00:00:00"/>
    <x v="4"/>
    <s v="KABUKLU CEVİZ (YERLİ)"/>
    <m/>
    <x v="1"/>
    <s v="ST00000000800"/>
    <s v="SATIŞ - TEYZE"/>
    <s v="NAKİT"/>
    <n v="2"/>
    <n v="250"/>
    <n v="0"/>
    <n v="0"/>
    <m/>
    <m/>
    <m/>
    <m/>
    <n v="500"/>
    <n v="0"/>
    <n v="26472.015120151991"/>
  </r>
  <r>
    <d v="2026-01-05T00:00:00"/>
    <x v="4"/>
    <s v="EL-RUHA ÇAY (AÇIK)"/>
    <m/>
    <x v="1"/>
    <s v="ST00000000800"/>
    <s v="SATIŞ - TEYZE"/>
    <s v="NAKİT"/>
    <n v="1"/>
    <n v="600"/>
    <n v="0"/>
    <n v="0"/>
    <m/>
    <m/>
    <m/>
    <m/>
    <n v="600"/>
    <n v="0"/>
    <n v="27072.015120151991"/>
  </r>
  <r>
    <d v="2026-01-05T00:00:00"/>
    <x v="4"/>
    <s v="TOZ TARÇIN"/>
    <m/>
    <x v="1"/>
    <s v="ST00000000800"/>
    <s v="SATIŞ - TEYZE"/>
    <s v="NAKİT"/>
    <n v="0.1"/>
    <n v="400"/>
    <n v="0"/>
    <n v="0"/>
    <m/>
    <m/>
    <m/>
    <m/>
    <n v="40"/>
    <n v="0"/>
    <n v="27112.015120151991"/>
  </r>
  <r>
    <d v="2026-01-05T00:00:00"/>
    <x v="4"/>
    <s v="KİMYON ÇEKİLMİŞ"/>
    <m/>
    <x v="1"/>
    <s v="ST00000000800"/>
    <s v="SATIŞ - TEYZE"/>
    <s v="NAKİT"/>
    <n v="0.25700000000000001"/>
    <n v="390"/>
    <n v="0"/>
    <n v="0"/>
    <m/>
    <m/>
    <m/>
    <m/>
    <n v="100.23"/>
    <n v="0"/>
    <n v="27212.245120151991"/>
  </r>
  <r>
    <d v="2026-01-05T00:00:00"/>
    <x v="4"/>
    <s v="ÇÖREKOTU"/>
    <m/>
    <x v="1"/>
    <s v="ST00000000800"/>
    <s v="SATIŞ - TEYZE"/>
    <s v="NAKİT"/>
    <n v="0.1"/>
    <n v="400"/>
    <n v="0"/>
    <n v="0"/>
    <m/>
    <m/>
    <m/>
    <m/>
    <n v="40"/>
    <n v="0"/>
    <n v="27252.245120151991"/>
  </r>
  <r>
    <d v="2026-01-05T00:00:00"/>
    <x v="4"/>
    <s v="EL-RUHA ÇAY (AÇIK)"/>
    <m/>
    <x v="1"/>
    <s v="ST00000000801"/>
    <s v="SATIŞ - FADİME"/>
    <s v="NAKİT"/>
    <n v="1"/>
    <n v="600"/>
    <n v="0"/>
    <n v="0"/>
    <m/>
    <m/>
    <m/>
    <m/>
    <n v="600"/>
    <n v="0"/>
    <n v="27852.245120151991"/>
  </r>
  <r>
    <d v="2026-01-05T00:00:00"/>
    <x v="4"/>
    <s v="KABUKLU CEVİZ (YERLİ)"/>
    <m/>
    <x v="1"/>
    <s v="ST00000000801"/>
    <s v="SATIŞ - FADİME"/>
    <s v="NAKİT"/>
    <n v="1.6"/>
    <n v="250"/>
    <n v="0"/>
    <n v="0"/>
    <m/>
    <m/>
    <m/>
    <m/>
    <n v="400"/>
    <n v="0"/>
    <n v="28252.245120151991"/>
  </r>
  <r>
    <d v="2026-01-05T00:00:00"/>
    <x v="4"/>
    <s v="TÜRK KAHVESİ"/>
    <m/>
    <x v="1"/>
    <s v="ST00000000802"/>
    <s v="SATIŞ - ANNE"/>
    <s v="NAKİT"/>
    <n v="0.1"/>
    <n v="650"/>
    <n v="0"/>
    <n v="0"/>
    <m/>
    <m/>
    <m/>
    <m/>
    <n v="65"/>
    <n v="0"/>
    <n v="28317.245120151991"/>
  </r>
  <r>
    <d v="2026-01-05T00:00:00"/>
    <x v="4"/>
    <s v="KABUKLU CEVİZ (YERLİ)"/>
    <m/>
    <x v="1"/>
    <s v="ST00000000802"/>
    <s v="SATIŞ - ANNE"/>
    <s v="NAKİT"/>
    <n v="0.49"/>
    <n v="250"/>
    <n v="0"/>
    <n v="0"/>
    <m/>
    <m/>
    <m/>
    <m/>
    <n v="122.5"/>
    <n v="0"/>
    <n v="28439.745120151991"/>
  </r>
  <r>
    <d v="2026-01-05T00:00:00"/>
    <x v="4"/>
    <s v="SEYHAN ÜZÜM ÖZEL"/>
    <m/>
    <x v="1"/>
    <s v="ST00000000802"/>
    <s v="SATIŞ - ANNE"/>
    <s v="NAKİT"/>
    <n v="0.28999999999999998"/>
    <n v="750"/>
    <n v="0"/>
    <n v="0"/>
    <m/>
    <m/>
    <m/>
    <m/>
    <n v="217.49999999999997"/>
    <n v="0"/>
    <n v="28657.245120151991"/>
  </r>
  <r>
    <d v="2026-01-05T00:00:00"/>
    <x v="4"/>
    <s v="EL-RUHA ÇAY (AÇIK)"/>
    <m/>
    <x v="1"/>
    <s v="ST00000000802"/>
    <s v="SATIŞ - ANNE"/>
    <s v="NAKİT"/>
    <n v="0.5"/>
    <n v="600"/>
    <n v="0"/>
    <n v="0"/>
    <m/>
    <m/>
    <m/>
    <m/>
    <n v="300"/>
    <n v="0"/>
    <n v="28957.245120151991"/>
  </r>
  <r>
    <d v="2026-01-05T00:00:00"/>
    <x v="4"/>
    <s v="KÖFTELİK BULGUR"/>
    <m/>
    <x v="1"/>
    <s v="ST00000000802"/>
    <s v="SATIŞ - ANNE"/>
    <s v="NAKİT"/>
    <n v="1"/>
    <n v="65"/>
    <n v="0"/>
    <n v="0"/>
    <m/>
    <m/>
    <m/>
    <m/>
    <n v="65"/>
    <n v="0"/>
    <n v="29022.245120151991"/>
  </r>
  <r>
    <d v="2026-01-05T00:00:00"/>
    <x v="4"/>
    <s v="TOZ BİBER - TATLI"/>
    <m/>
    <x v="1"/>
    <s v="ST00000000802"/>
    <s v="SATIŞ - ANNE"/>
    <s v="NAKİT"/>
    <n v="0.2"/>
    <n v="370"/>
    <n v="0"/>
    <n v="0"/>
    <m/>
    <m/>
    <m/>
    <m/>
    <n v="74"/>
    <n v="0"/>
    <n v="29096.245120151991"/>
  </r>
  <r>
    <d v="2026-01-05T00:00:00"/>
    <x v="4"/>
    <s v="CEVİZLİ SUCUK ATOM (ESMER)"/>
    <m/>
    <x v="1"/>
    <s v="ST00000000802"/>
    <s v="SATIŞ - ANNE"/>
    <s v="NAKİT"/>
    <n v="0.31"/>
    <n v="340"/>
    <n v="0"/>
    <n v="0"/>
    <m/>
    <m/>
    <m/>
    <m/>
    <n v="105.4"/>
    <n v="0"/>
    <n v="29201.645120151992"/>
  </r>
  <r>
    <d v="2026-01-05T00:00:00"/>
    <x v="4"/>
    <s v="KİMYON ÇEKİLMİŞ"/>
    <m/>
    <x v="1"/>
    <s v="ST00000000802"/>
    <s v="SATIŞ - ANNE"/>
    <s v="NAKİT"/>
    <n v="0.2"/>
    <n v="390"/>
    <n v="0"/>
    <n v="0"/>
    <m/>
    <m/>
    <m/>
    <m/>
    <n v="78"/>
    <n v="0"/>
    <n v="29279.645120151992"/>
  </r>
  <r>
    <d v="2026-01-05T00:00:00"/>
    <x v="4"/>
    <s v="DOLMALIK KURU PATLICAN"/>
    <m/>
    <x v="1"/>
    <s v="ST00000000802"/>
    <s v="SATIŞ - ANNE"/>
    <s v="NAKİT"/>
    <n v="1"/>
    <n v="250"/>
    <n v="0"/>
    <n v="0"/>
    <m/>
    <m/>
    <m/>
    <m/>
    <n v="250"/>
    <n v="0"/>
    <n v="29529.645120151992"/>
  </r>
  <r>
    <d v="2026-01-05T00:00:00"/>
    <x v="4"/>
    <s v="DOLMALIK SARI BİBER"/>
    <m/>
    <x v="1"/>
    <s v="ST00000000802"/>
    <s v="SATIŞ - ANNE"/>
    <s v="NAKİT"/>
    <n v="1"/>
    <n v="230"/>
    <n v="0"/>
    <n v="0"/>
    <m/>
    <m/>
    <m/>
    <m/>
    <n v="230"/>
    <n v="0"/>
    <n v="29759.645120151992"/>
  </r>
  <r>
    <d v="2026-01-05T00:00:00"/>
    <x v="4"/>
    <s v="DOLMALIK KURU KABAK"/>
    <m/>
    <x v="1"/>
    <s v="ST00000000802"/>
    <s v="SATIŞ - ANNE"/>
    <s v="NAKİT"/>
    <n v="1"/>
    <n v="250"/>
    <n v="0"/>
    <n v="0"/>
    <m/>
    <m/>
    <m/>
    <m/>
    <n v="250"/>
    <n v="0"/>
    <n v="30009.645120151992"/>
  </r>
  <r>
    <d v="2026-01-05T00:00:00"/>
    <x v="4"/>
    <s v="ŞİFAVER KÜKÜRTLÜ HATAY SABUNU"/>
    <m/>
    <x v="1"/>
    <s v="ST00000000802"/>
    <s v="SATIŞ - ANNE"/>
    <s v="NAKİT"/>
    <n v="1"/>
    <n v="50"/>
    <n v="0"/>
    <n v="0"/>
    <m/>
    <m/>
    <m/>
    <m/>
    <n v="50"/>
    <n v="0"/>
    <n v="30059.645120151992"/>
  </r>
  <r>
    <d v="2026-01-05T00:00:00"/>
    <x v="4"/>
    <s v="MEBRUM HURMA - SİYAH"/>
    <m/>
    <x v="1"/>
    <s v="ST00000000803"/>
    <s v="SATIŞ "/>
    <s v="NAKİT"/>
    <n v="0.59199999999999997"/>
    <n v="450"/>
    <n v="0"/>
    <n v="0"/>
    <m/>
    <m/>
    <m/>
    <m/>
    <n v="266.39999999999998"/>
    <n v="0"/>
    <n v="30326.045120151994"/>
  </r>
  <r>
    <d v="2026-01-05T00:00:00"/>
    <x v="4"/>
    <s v="HATMİ ÇİÇEĞİ"/>
    <m/>
    <x v="1"/>
    <s v="ST00000000803"/>
    <s v="SATIŞ "/>
    <s v="NAKİT"/>
    <n v="4.8000000000000001E-2"/>
    <n v="1400"/>
    <n v="0"/>
    <n v="0"/>
    <m/>
    <m/>
    <m/>
    <m/>
    <n v="67.2"/>
    <n v="0"/>
    <n v="30393.245120151994"/>
  </r>
  <r>
    <d v="2026-01-05T00:00:00"/>
    <x v="4"/>
    <s v="DUT KURUSU ESMER"/>
    <m/>
    <x v="1"/>
    <s v="ST00000000803"/>
    <s v="SATIŞ "/>
    <s v="NAKİT"/>
    <n v="0.224"/>
    <n v="450"/>
    <n v="0"/>
    <n v="0"/>
    <m/>
    <m/>
    <m/>
    <m/>
    <n v="100.8"/>
    <n v="0"/>
    <n v="30494.045120151994"/>
  </r>
  <r>
    <d v="2026-01-05T00:00:00"/>
    <x v="4"/>
    <s v="EMBEAUTY KOLEJAN VE KERATİN SAÇ DÖKÜLMESİNE KARŞI ONARICI DOLGUNLAŞTIRICI ŞAMPUAN 400 ML"/>
    <m/>
    <x v="1"/>
    <s v="ST00000000803"/>
    <s v="SATIŞ "/>
    <s v="NAKİT"/>
    <n v="1"/>
    <n v="290"/>
    <n v="0"/>
    <n v="0"/>
    <m/>
    <m/>
    <m/>
    <m/>
    <n v="290"/>
    <n v="0"/>
    <n v="30784.045120151994"/>
  </r>
  <r>
    <d v="2026-01-05T00:00:00"/>
    <x v="4"/>
    <s v="TALA KARINCA YUMURTASI YAĞI 20 ML"/>
    <m/>
    <x v="1"/>
    <s v="ST00000000803"/>
    <s v="SATIŞ "/>
    <s v="NAKİT"/>
    <n v="1"/>
    <n v="130"/>
    <n v="0"/>
    <n v="0"/>
    <m/>
    <m/>
    <m/>
    <m/>
    <n v="130"/>
    <n v="0"/>
    <n v="30914.045120151994"/>
  </r>
  <r>
    <d v="2026-01-05T00:00:00"/>
    <x v="4"/>
    <s v="AGARTA DİŞ MACUNU - ÇOCUK"/>
    <m/>
    <x v="1"/>
    <s v="ST00000000803"/>
    <s v="SATIŞ "/>
    <s v="NAKİT"/>
    <n v="1"/>
    <n v="135"/>
    <n v="0"/>
    <n v="0"/>
    <m/>
    <m/>
    <m/>
    <m/>
    <n v="135"/>
    <n v="0"/>
    <n v="31049.045120151994"/>
  </r>
  <r>
    <d v="2026-01-05T00:00:00"/>
    <x v="4"/>
    <s v="ZÜHRE ANA KOZALAK MACUNU - ÇAM KOZALAĞI 240 GR"/>
    <m/>
    <x v="1"/>
    <s v="ST00000000803"/>
    <s v="SATIŞ "/>
    <s v="NAKİT"/>
    <n v="1"/>
    <n v="220"/>
    <n v="0"/>
    <n v="0"/>
    <m/>
    <m/>
    <m/>
    <m/>
    <n v="220"/>
    <n v="0"/>
    <n v="31269.045120151994"/>
  </r>
  <r>
    <d v="2026-01-05T00:00:00"/>
    <x v="4"/>
    <s v="KİMYON ÇEKİLMİŞ"/>
    <m/>
    <x v="1"/>
    <s v="ST00000000803"/>
    <s v="SATIŞ "/>
    <s v="NAKİT"/>
    <n v="0.19600000000000001"/>
    <n v="390"/>
    <n v="0"/>
    <n v="0"/>
    <m/>
    <m/>
    <m/>
    <m/>
    <n v="76.44"/>
    <n v="0"/>
    <n v="31345.485120151992"/>
  </r>
  <r>
    <d v="2026-01-05T00:00:00"/>
    <x v="4"/>
    <s v="İSOT"/>
    <m/>
    <x v="1"/>
    <s v="ST00000000803"/>
    <s v="SATIŞ "/>
    <s v="NAKİT"/>
    <n v="0.16"/>
    <n v="380"/>
    <n v="0"/>
    <n v="0"/>
    <m/>
    <m/>
    <m/>
    <m/>
    <n v="60.800000000000004"/>
    <n v="0"/>
    <n v="31406.285120151992"/>
  </r>
  <r>
    <d v="2026-01-05T00:00:00"/>
    <x v="4"/>
    <s v="NANE İRİ"/>
    <m/>
    <x v="1"/>
    <s v="ST00000000803"/>
    <s v="SATIŞ "/>
    <s v="NAKİT"/>
    <n v="7.8E-2"/>
    <n v="400"/>
    <n v="0"/>
    <n v="0"/>
    <m/>
    <m/>
    <m/>
    <m/>
    <n v="31.2"/>
    <n v="0"/>
    <n v="31437.485120151992"/>
  </r>
  <r>
    <d v="2026-01-05T00:00:00"/>
    <x v="4"/>
    <s v="İPEK BİBER"/>
    <m/>
    <x v="1"/>
    <s v="ST00000000803"/>
    <s v="SATIŞ "/>
    <s v="NAKİT"/>
    <n v="0.188"/>
    <n v="500"/>
    <n v="0"/>
    <n v="0"/>
    <m/>
    <m/>
    <m/>
    <m/>
    <n v="94"/>
    <n v="0"/>
    <n v="31531.485120151992"/>
  </r>
  <r>
    <d v="2026-01-05T00:00:00"/>
    <x v="4"/>
    <s v="GÜNAYDIN KAYA TUZU İNCE"/>
    <m/>
    <x v="1"/>
    <s v="ST00000000803"/>
    <s v="SATIŞ "/>
    <s v="NAKİT"/>
    <n v="0.5"/>
    <n v="80"/>
    <n v="0"/>
    <n v="0"/>
    <m/>
    <m/>
    <m/>
    <m/>
    <n v="40"/>
    <n v="0"/>
    <n v="31571.485120151992"/>
  </r>
  <r>
    <d v="2026-01-05T00:00:00"/>
    <x v="4"/>
    <s v="KARABİBER ÇEKİLMİŞ"/>
    <m/>
    <x v="1"/>
    <s v="ST00000000803"/>
    <s v="SATIŞ "/>
    <s v="NAKİT"/>
    <n v="9.8000000000000004E-2"/>
    <n v="640"/>
    <n v="0"/>
    <n v="0"/>
    <m/>
    <m/>
    <m/>
    <m/>
    <n v="62.72"/>
    <n v="0"/>
    <n v="31634.205120151993"/>
  </r>
  <r>
    <d v="2026-01-05T00:00:00"/>
    <x v="4"/>
    <s v="HİMALAYA TUZU PEMBE ÖĞÜTÜLMÜŞ"/>
    <m/>
    <x v="1"/>
    <s v="ST00000000803"/>
    <s v="SATIŞ "/>
    <s v="NAKİT"/>
    <n v="0.5"/>
    <n v="140"/>
    <n v="0"/>
    <n v="0"/>
    <m/>
    <m/>
    <m/>
    <m/>
    <n v="70"/>
    <n v="0"/>
    <n v="31704.205120151993"/>
  </r>
  <r>
    <d v="2026-01-05T00:00:00"/>
    <x v="4"/>
    <s v="TÜDAB KARIŞIK TURŞU"/>
    <m/>
    <x v="1"/>
    <s v="ST00000000803"/>
    <s v="SATIŞ "/>
    <s v="NAKİT"/>
    <n v="1"/>
    <n v="400"/>
    <n v="0"/>
    <n v="0"/>
    <m/>
    <m/>
    <m/>
    <m/>
    <n v="400"/>
    <n v="0"/>
    <n v="32104.205120151993"/>
  </r>
  <r>
    <d v="2026-01-05T00:00:00"/>
    <x v="4"/>
    <s v="YALÇINKAYA DOMATES SALÇASI"/>
    <m/>
    <x v="1"/>
    <s v="ST00000000803"/>
    <s v="SATIŞ "/>
    <s v="NAKİT"/>
    <n v="1"/>
    <n v="150"/>
    <n v="0"/>
    <n v="0"/>
    <m/>
    <m/>
    <m/>
    <m/>
    <n v="150"/>
    <n v="0"/>
    <n v="32254.205120151993"/>
  </r>
  <r>
    <d v="2026-01-05T00:00:00"/>
    <x v="4"/>
    <s v="YALÇINKAYA ACI BİBER SALÇASI"/>
    <m/>
    <x v="1"/>
    <s v="ST00000000803"/>
    <s v="SATIŞ "/>
    <s v="NAKİT"/>
    <n v="1"/>
    <n v="200"/>
    <n v="0"/>
    <n v="0"/>
    <m/>
    <m/>
    <m/>
    <m/>
    <n v="200"/>
    <n v="0"/>
    <n v="32454.205120151993"/>
  </r>
  <r>
    <d v="2026-01-05T00:00:00"/>
    <x v="4"/>
    <s v="ŞİFAVER DEFNE GARLI HATAY SABUNU"/>
    <m/>
    <x v="1"/>
    <s v="ST00000000803"/>
    <s v="SATIŞ "/>
    <s v="NAKİT"/>
    <n v="1"/>
    <n v="35"/>
    <n v="0"/>
    <n v="0"/>
    <m/>
    <m/>
    <m/>
    <m/>
    <n v="35"/>
    <n v="0"/>
    <n v="32489.205120151993"/>
  </r>
  <r>
    <d v="2026-01-05T00:00:00"/>
    <x v="4"/>
    <s v="ŞİFAVER BITTIM HATAY SABUNU"/>
    <m/>
    <x v="1"/>
    <s v="ST00000000803"/>
    <s v="SATIŞ "/>
    <s v="NAKİT"/>
    <n v="1"/>
    <n v="35"/>
    <n v="0"/>
    <n v="0"/>
    <m/>
    <m/>
    <m/>
    <m/>
    <n v="35"/>
    <n v="0"/>
    <n v="32524.205120151993"/>
  </r>
  <r>
    <d v="2026-01-05T00:00:00"/>
    <x v="4"/>
    <s v="ŞİFAVER GÜL HATAY SABUNU"/>
    <m/>
    <x v="1"/>
    <s v="ST00000000803"/>
    <s v="SATIŞ "/>
    <s v="NAKİT"/>
    <n v="1"/>
    <n v="35"/>
    <n v="0"/>
    <n v="0"/>
    <m/>
    <m/>
    <m/>
    <m/>
    <n v="35"/>
    <n v="0"/>
    <n v="32559.205120151993"/>
  </r>
  <r>
    <d v="2026-01-05T00:00:00"/>
    <x v="4"/>
    <s v="ŞİFAVER KÜKÜRTLÜ HATAY SABUNU"/>
    <m/>
    <x v="1"/>
    <s v="ST00000000803"/>
    <s v="SATIŞ "/>
    <s v="NAKİT"/>
    <n v="1"/>
    <n v="35"/>
    <n v="0"/>
    <n v="0"/>
    <m/>
    <m/>
    <m/>
    <m/>
    <n v="35"/>
    <n v="0"/>
    <n v="32594.205120151993"/>
  </r>
  <r>
    <d v="2026-01-05T00:00:00"/>
    <x v="4"/>
    <s v="ŞİFAVER GÜL HATAY SABUNU"/>
    <m/>
    <x v="1"/>
    <s v="ST00000000803"/>
    <s v="SATIŞ "/>
    <s v="NAKİT"/>
    <n v="1"/>
    <n v="35"/>
    <n v="0"/>
    <n v="0"/>
    <m/>
    <m/>
    <m/>
    <m/>
    <n v="35"/>
    <n v="0"/>
    <n v="32629.205120151993"/>
  </r>
  <r>
    <d v="2026-01-05T00:00:00"/>
    <x v="4"/>
    <s v="ŞİFAVER GÜL HATAY SABUNU"/>
    <m/>
    <x v="1"/>
    <s v="ST00000000803"/>
    <s v="SATIŞ "/>
    <s v="NAKİT"/>
    <n v="1"/>
    <n v="35"/>
    <n v="0"/>
    <n v="0"/>
    <m/>
    <m/>
    <m/>
    <m/>
    <n v="35"/>
    <n v="0"/>
    <n v="32664.205120151993"/>
  </r>
  <r>
    <d v="2026-01-05T00:00:00"/>
    <x v="4"/>
    <s v="ŞİFAVER DEFNE GARLI HATAY SABUNU"/>
    <m/>
    <x v="1"/>
    <s v="ST00000000803"/>
    <s v="SATIŞ "/>
    <s v="NAKİT"/>
    <n v="1"/>
    <n v="35"/>
    <n v="0"/>
    <n v="0"/>
    <m/>
    <m/>
    <m/>
    <m/>
    <n v="35"/>
    <n v="0"/>
    <n v="32699.205120151993"/>
  </r>
  <r>
    <d v="2026-01-05T00:00:00"/>
    <x v="4"/>
    <s v="İRİ BEYAZ KABAK ÇEKİRDEĞİ - NEVŞEHİR"/>
    <m/>
    <x v="1"/>
    <s v="ST00000000803"/>
    <s v="SATIŞ "/>
    <s v="NAKİT"/>
    <n v="0.78400000000000003"/>
    <n v="350"/>
    <n v="0"/>
    <n v="0"/>
    <m/>
    <m/>
    <m/>
    <m/>
    <n v="274.40000000000003"/>
    <n v="0"/>
    <n v="32973.605120151995"/>
  </r>
  <r>
    <d v="2026-01-05T00:00:00"/>
    <x v="4"/>
    <s v="KİMYON ÇEKİLMİŞ"/>
    <m/>
    <x v="1"/>
    <s v="ST00000000804"/>
    <s v="SATIŞ - ANNE - EMANET"/>
    <s v="NAKİT"/>
    <n v="1.3"/>
    <n v="390"/>
    <n v="0"/>
    <n v="0"/>
    <m/>
    <m/>
    <m/>
    <m/>
    <n v="507"/>
    <n v="0"/>
    <n v="33480.605120151995"/>
  </r>
  <r>
    <d v="2026-01-05T00:00:00"/>
    <x v="4"/>
    <s v="SUMAK TANE EKŞİLİ"/>
    <m/>
    <x v="1"/>
    <s v="ST00000000804"/>
    <s v="SATIŞ - ANNE - EMANET"/>
    <s v="NAKİT"/>
    <n v="0.74399999999999999"/>
    <n v="540"/>
    <n v="0"/>
    <n v="0"/>
    <m/>
    <m/>
    <m/>
    <m/>
    <n v="401.76"/>
    <n v="0"/>
    <n v="33882.365120151997"/>
  </r>
  <r>
    <d v="2026-01-05T00:00:00"/>
    <x v="4"/>
    <s v="KARABİBER ÇEKİLMİŞ"/>
    <m/>
    <x v="1"/>
    <s v="ST00000000804"/>
    <s v="SATIŞ - ANNE - EMANET"/>
    <s v="NAKİT"/>
    <n v="0.46799999999999997"/>
    <n v="640"/>
    <n v="0"/>
    <n v="0"/>
    <m/>
    <m/>
    <m/>
    <m/>
    <n v="299.52"/>
    <n v="0"/>
    <n v="34181.885120151994"/>
  </r>
  <r>
    <d v="2026-01-05T00:00:00"/>
    <x v="4"/>
    <s v="İPEK BİBER"/>
    <m/>
    <x v="1"/>
    <s v="ST00000000804"/>
    <s v="SATIŞ - ANNE - EMANET"/>
    <s v="NAKİT"/>
    <n v="1"/>
    <n v="500"/>
    <n v="0"/>
    <n v="0"/>
    <m/>
    <m/>
    <m/>
    <m/>
    <n v="500"/>
    <n v="0"/>
    <n v="34681.885120151994"/>
  </r>
  <r>
    <d v="2026-01-05T00:00:00"/>
    <x v="4"/>
    <s v="EVLİK BİBER"/>
    <m/>
    <x v="1"/>
    <s v="ST00000000804"/>
    <s v="SATIŞ - ANNE - EMANET"/>
    <s v="NAKİT"/>
    <n v="1.06"/>
    <n v="380"/>
    <n v="0"/>
    <n v="0"/>
    <m/>
    <m/>
    <m/>
    <m/>
    <n v="402.8"/>
    <n v="0"/>
    <n v="35084.685120151997"/>
  </r>
  <r>
    <d v="2026-01-05T00:00:00"/>
    <x v="4"/>
    <s v="SUMAK"/>
    <m/>
    <x v="1"/>
    <s v="ST00000000804"/>
    <s v="SATIŞ - ANNE - EMANET"/>
    <s v="NAKİT"/>
    <n v="0.2"/>
    <n v="500"/>
    <n v="0"/>
    <n v="0"/>
    <m/>
    <m/>
    <m/>
    <m/>
    <n v="100"/>
    <n v="0"/>
    <n v="35184.685120151997"/>
  </r>
  <r>
    <d v="2026-01-05T00:00:00"/>
    <x v="4"/>
    <s v="NANE İRİ"/>
    <m/>
    <x v="1"/>
    <s v="ST00000000804"/>
    <s v="SATIŞ - ANNE - EMANET"/>
    <s v="NAKİT"/>
    <n v="1.024"/>
    <n v="400"/>
    <n v="0"/>
    <n v="0"/>
    <m/>
    <m/>
    <m/>
    <m/>
    <n v="409.6"/>
    <n v="0"/>
    <n v="35594.285120151995"/>
  </r>
  <r>
    <d v="2026-01-05T00:00:00"/>
    <x v="4"/>
    <s v="KEKİK LÜX"/>
    <m/>
    <x v="1"/>
    <s v="ST00000000804"/>
    <s v="SATIŞ - ANNE - EMANET"/>
    <s v="NAKİT"/>
    <n v="0.34"/>
    <n v="760"/>
    <n v="0"/>
    <n v="0"/>
    <m/>
    <m/>
    <m/>
    <m/>
    <n v="258.40000000000003"/>
    <n v="0"/>
    <n v="35852.685120151997"/>
  </r>
  <r>
    <d v="2026-01-05T00:00:00"/>
    <x v="4"/>
    <s v="TOZ BİBER - TATLI"/>
    <m/>
    <x v="1"/>
    <s v="ST00000000804"/>
    <s v="SATIŞ - ANNE - EMANET"/>
    <s v="NAKİT"/>
    <n v="0.82200000000000006"/>
    <n v="370"/>
    <n v="0"/>
    <n v="0"/>
    <m/>
    <m/>
    <m/>
    <m/>
    <n v="304.14000000000004"/>
    <n v="0"/>
    <n v="36156.825120151996"/>
  </r>
  <r>
    <d v="2026-01-05T00:00:00"/>
    <x v="4"/>
    <s v="EL-RUHA ÇAY (AÇIK)"/>
    <m/>
    <x v="1"/>
    <s v="ST00000000804"/>
    <s v="SATIŞ - ANNE - EMANET"/>
    <s v="NAKİT"/>
    <n v="1"/>
    <n v="600"/>
    <n v="0"/>
    <n v="0"/>
    <m/>
    <m/>
    <m/>
    <m/>
    <n v="600"/>
    <n v="0"/>
    <n v="36756.825120151996"/>
  </r>
  <r>
    <d v="2026-01-05T00:00:00"/>
    <x v="4"/>
    <s v="DOLMALIK KURU PATLICAN"/>
    <m/>
    <x v="1"/>
    <s v="ST00000000804"/>
    <s v="SATIŞ - ANNE - EMANET"/>
    <s v="NAKİT"/>
    <n v="5"/>
    <n v="250"/>
    <n v="0"/>
    <n v="0"/>
    <m/>
    <m/>
    <m/>
    <m/>
    <n v="1250"/>
    <n v="0"/>
    <n v="38006.825120151996"/>
  </r>
  <r>
    <d v="2026-01-05T00:00:00"/>
    <x v="4"/>
    <s v="DOLMALIK SARI BİBER"/>
    <m/>
    <x v="1"/>
    <s v="ST00000000804"/>
    <s v="SATIŞ - ANNE - EMANET"/>
    <s v="NAKİT"/>
    <n v="3"/>
    <n v="230"/>
    <n v="0"/>
    <n v="0"/>
    <m/>
    <m/>
    <m/>
    <m/>
    <n v="690"/>
    <n v="0"/>
    <n v="38696.825120151996"/>
  </r>
  <r>
    <d v="2026-01-05T00:00:00"/>
    <x v="4"/>
    <s v="DOLMALIK KURU KABAK"/>
    <m/>
    <x v="1"/>
    <s v="ST00000000804"/>
    <s v="SATIŞ - ANNE - EMANET"/>
    <s v="NAKİT"/>
    <n v="3"/>
    <n v="250"/>
    <n v="0"/>
    <n v="0"/>
    <m/>
    <m/>
    <m/>
    <m/>
    <n v="750"/>
    <n v="0"/>
    <n v="39446.825120151996"/>
  </r>
  <r>
    <d v="2026-01-05T00:00:00"/>
    <x v="10"/>
    <m/>
    <m/>
    <x v="5"/>
    <m/>
    <s v="POS ÇÖZÜMÜ"/>
    <s v="POS"/>
    <n v="1"/>
    <n v="355"/>
    <n v="0"/>
    <n v="355"/>
    <m/>
    <m/>
    <m/>
    <m/>
    <n v="355"/>
    <n v="0"/>
    <n v="39801.825120151996"/>
  </r>
  <r>
    <d v="2026-01-05T00:00:00"/>
    <x v="10"/>
    <m/>
    <m/>
    <x v="5"/>
    <m/>
    <s v="POS ÇÖZÜMÜ"/>
    <s v="POS"/>
    <n v="1"/>
    <n v="499"/>
    <n v="0"/>
    <n v="499"/>
    <m/>
    <m/>
    <m/>
    <m/>
    <n v="499"/>
    <n v="0"/>
    <n v="40300.825120151996"/>
  </r>
  <r>
    <d v="2026-01-06T00:00:00"/>
    <x v="4"/>
    <s v="REZENE"/>
    <m/>
    <x v="1"/>
    <s v="D"/>
    <s v="SATIŞ"/>
    <s v="NAKİT"/>
    <n v="0.1"/>
    <n v="900"/>
    <n v="0"/>
    <n v="0"/>
    <m/>
    <m/>
    <m/>
    <m/>
    <n v="90"/>
    <n v="0"/>
    <n v="40390.825120151996"/>
  </r>
  <r>
    <d v="2026-01-06T00:00:00"/>
    <x v="4"/>
    <s v="KARANFİL"/>
    <m/>
    <x v="5"/>
    <s v="ST00000000806"/>
    <s v="SATIŞ"/>
    <s v="POS"/>
    <n v="0.05"/>
    <n v="1200"/>
    <n v="60"/>
    <n v="0"/>
    <m/>
    <m/>
    <m/>
    <m/>
    <n v="0"/>
    <n v="0"/>
    <n v="40390.825120151996"/>
  </r>
  <r>
    <d v="2026-01-06T00:00:00"/>
    <x v="4"/>
    <s v="AÇIK KAYISI İRİ (SARI)"/>
    <m/>
    <x v="5"/>
    <s v="ST00000000806"/>
    <s v="SATIŞ"/>
    <s v="POS"/>
    <n v="0.10299999999999999"/>
    <n v="690"/>
    <n v="71.069999999999993"/>
    <n v="0"/>
    <m/>
    <m/>
    <m/>
    <m/>
    <n v="0"/>
    <n v="0"/>
    <n v="40390.825120151996"/>
  </r>
  <r>
    <d v="2026-01-06T00:00:00"/>
    <x v="4"/>
    <s v="DUT KURUSU ESMER"/>
    <m/>
    <x v="5"/>
    <s v="ST00000000807"/>
    <s v="SATIŞ"/>
    <s v="POS"/>
    <n v="0.223"/>
    <n v="450"/>
    <n v="100.35000000000001"/>
    <n v="0"/>
    <m/>
    <m/>
    <m/>
    <m/>
    <n v="0"/>
    <n v="0"/>
    <n v="40390.825120151996"/>
  </r>
  <r>
    <d v="2026-01-06T00:00:00"/>
    <x v="4"/>
    <s v="DOLMALIK KURU PATLICAN"/>
    <m/>
    <x v="5"/>
    <s v="ST00000000808"/>
    <s v="SATIŞ"/>
    <s v="POS"/>
    <n v="1"/>
    <n v="200"/>
    <n v="200"/>
    <n v="0"/>
    <m/>
    <m/>
    <m/>
    <m/>
    <n v="0"/>
    <n v="0"/>
    <n v="40390.825120151996"/>
  </r>
  <r>
    <d v="2026-01-06T00:00:00"/>
    <x v="4"/>
    <s v="DOLMALIK KURU ACI BİBER"/>
    <m/>
    <x v="5"/>
    <s v="ST00000000808"/>
    <s v="SATIŞ"/>
    <s v="POS"/>
    <n v="1"/>
    <n v="200"/>
    <n v="200"/>
    <n v="0"/>
    <m/>
    <m/>
    <m/>
    <m/>
    <n v="0"/>
    <n v="0"/>
    <n v="40390.825120151996"/>
  </r>
  <r>
    <d v="2026-01-06T00:00:00"/>
    <x v="4"/>
    <s v="DOLMALIK KURU PATLICAN"/>
    <m/>
    <x v="1"/>
    <s v="ST00000000808"/>
    <s v="SATIŞ"/>
    <s v="NAKİT"/>
    <n v="1"/>
    <n v="200"/>
    <n v="0"/>
    <n v="0"/>
    <m/>
    <m/>
    <m/>
    <m/>
    <n v="200"/>
    <n v="0"/>
    <n v="40590.825120151996"/>
  </r>
  <r>
    <d v="2026-01-06T00:00:00"/>
    <x v="4"/>
    <s v="KEKİK LÜX"/>
    <m/>
    <x v="1"/>
    <s v="ST00000000809"/>
    <s v="SATIŞ"/>
    <s v="NAKİT"/>
    <n v="0.03"/>
    <n v="760"/>
    <n v="0"/>
    <n v="0"/>
    <m/>
    <m/>
    <m/>
    <m/>
    <n v="22.8"/>
    <n v="0"/>
    <n v="40613.625120151999"/>
  </r>
  <r>
    <d v="2026-01-06T00:00:00"/>
    <x v="4"/>
    <s v="ZERDEÇAL TOZ"/>
    <m/>
    <x v="1"/>
    <s v="ST00000000809"/>
    <s v="SATIŞ"/>
    <s v="NAKİT"/>
    <n v="6.8000000000000005E-2"/>
    <n v="300"/>
    <n v="0"/>
    <n v="0"/>
    <m/>
    <m/>
    <m/>
    <m/>
    <n v="20.400000000000002"/>
    <n v="0"/>
    <n v="40634.025120152"/>
  </r>
  <r>
    <d v="2026-01-06T00:00:00"/>
    <x v="4"/>
    <s v="İPEK BİBER"/>
    <m/>
    <x v="1"/>
    <s v="ST00000000809"/>
    <s v="SATIŞ"/>
    <s v="NAKİT"/>
    <n v="0.14199999999999999"/>
    <n v="500"/>
    <n v="0"/>
    <n v="0"/>
    <m/>
    <m/>
    <m/>
    <m/>
    <n v="71"/>
    <n v="0"/>
    <n v="40705.025120152"/>
  </r>
  <r>
    <d v="2026-01-06T00:00:00"/>
    <x v="4"/>
    <s v="TOZ BİBER - TATLI"/>
    <m/>
    <x v="1"/>
    <s v="ST00000000809"/>
    <s v="SATIŞ"/>
    <s v="NAKİT"/>
    <n v="9.1999999999999998E-2"/>
    <n v="370"/>
    <n v="0"/>
    <n v="0"/>
    <m/>
    <m/>
    <m/>
    <m/>
    <n v="34.04"/>
    <n v="0"/>
    <n v="40739.065120152001"/>
  </r>
  <r>
    <d v="2026-01-06T00:00:00"/>
    <x v="4"/>
    <s v="GENÇAY ELMA SİRKESİ 500 CC"/>
    <m/>
    <x v="5"/>
    <s v="ST00000000810"/>
    <s v="SATIŞ"/>
    <s v="POS"/>
    <n v="1"/>
    <n v="140"/>
    <n v="140"/>
    <n v="0"/>
    <m/>
    <m/>
    <m/>
    <m/>
    <n v="0"/>
    <n v="0"/>
    <n v="40739.065120152001"/>
  </r>
  <r>
    <d v="2026-01-06T00:00:00"/>
    <x v="4"/>
    <s v="ÇUBUK TARÇIN"/>
    <m/>
    <x v="1"/>
    <s v="ST00000000811"/>
    <s v="SATIŞ"/>
    <s v="NAKİT"/>
    <n v="0.1"/>
    <n v="650"/>
    <n v="0"/>
    <n v="0"/>
    <m/>
    <m/>
    <m/>
    <m/>
    <n v="65"/>
    <n v="0"/>
    <n v="40804.065120152001"/>
  </r>
  <r>
    <d v="2026-01-06T00:00:00"/>
    <x v="4"/>
    <s v="HİBİSKUS"/>
    <m/>
    <x v="1"/>
    <s v="ST00000000811"/>
    <s v="SATIŞ"/>
    <s v="NAKİT"/>
    <n v="0.1"/>
    <n v="600"/>
    <n v="0"/>
    <n v="0"/>
    <m/>
    <m/>
    <m/>
    <m/>
    <n v="60"/>
    <n v="0"/>
    <n v="40864.065120152001"/>
  </r>
  <r>
    <d v="2026-01-06T00:00:00"/>
    <x v="4"/>
    <s v="LİMON MELİSA"/>
    <m/>
    <x v="1"/>
    <s v="ST00000000811"/>
    <s v="SATIŞ"/>
    <s v="NAKİT"/>
    <n v="7.4999999999999997E-2"/>
    <n v="2000"/>
    <n v="0"/>
    <n v="0"/>
    <m/>
    <m/>
    <m/>
    <m/>
    <n v="150"/>
    <n v="0"/>
    <n v="41014.065120152001"/>
  </r>
  <r>
    <d v="2026-01-06T00:00:00"/>
    <x v="4"/>
    <s v="YALÇINKAYA DOMATES SALÇASI"/>
    <m/>
    <x v="1"/>
    <s v="ST00000000812"/>
    <s v="SATIŞ"/>
    <s v="NAKİT"/>
    <n v="0.5"/>
    <n v="150"/>
    <n v="0"/>
    <n v="0"/>
    <m/>
    <m/>
    <m/>
    <m/>
    <n v="75"/>
    <n v="0"/>
    <n v="41089.065120152001"/>
  </r>
  <r>
    <d v="2026-01-06T00:00:00"/>
    <x v="4"/>
    <s v="KİMYON ÇEKİLMİŞ"/>
    <m/>
    <x v="1"/>
    <s v="ST00000000812"/>
    <s v="SATIŞ"/>
    <s v="NAKİT"/>
    <n v="8.5999999999999993E-2"/>
    <n v="390"/>
    <n v="0"/>
    <n v="0"/>
    <m/>
    <m/>
    <m/>
    <m/>
    <n v="33.54"/>
    <n v="0"/>
    <n v="41122.605120152002"/>
  </r>
  <r>
    <d v="2026-01-06T00:00:00"/>
    <x v="4"/>
    <s v="DUT KURUSU ESMER"/>
    <m/>
    <x v="1"/>
    <s v="ST00000000812"/>
    <s v="SATIŞ"/>
    <s v="NAKİT"/>
    <n v="0.28599999999999998"/>
    <n v="450"/>
    <n v="0"/>
    <n v="0"/>
    <m/>
    <m/>
    <m/>
    <m/>
    <n v="128.69999999999999"/>
    <n v="0"/>
    <n v="41251.305120151999"/>
  </r>
  <r>
    <d v="2026-01-06T00:00:00"/>
    <x v="4"/>
    <s v="ÖZBEK ÜZÜMÜ"/>
    <m/>
    <x v="1"/>
    <s v="ST00000000812"/>
    <s v="SATIŞ"/>
    <s v="NAKİT"/>
    <n v="0.29799999999999999"/>
    <n v="550"/>
    <n v="0"/>
    <n v="0"/>
    <m/>
    <m/>
    <m/>
    <m/>
    <n v="163.9"/>
    <n v="0"/>
    <n v="41415.205120152001"/>
  </r>
  <r>
    <d v="2026-01-06T00:00:00"/>
    <x v="4"/>
    <s v="CEVİZLİ SUCUK ATOM (ESMER)"/>
    <m/>
    <x v="1"/>
    <s v="ST00000000812"/>
    <s v="SATIŞ"/>
    <s v="NAKİT"/>
    <n v="0.34399999999999997"/>
    <n v="340"/>
    <n v="0"/>
    <n v="0"/>
    <m/>
    <m/>
    <m/>
    <m/>
    <n v="116.96"/>
    <n v="0"/>
    <n v="41532.165120152"/>
  </r>
  <r>
    <d v="2026-01-06T00:00:00"/>
    <x v="4"/>
    <s v="YALÇINKAYA ACI BİBER SALÇASI"/>
    <m/>
    <x v="1"/>
    <s v="ST00000000812"/>
    <s v="SATIŞ"/>
    <s v="NAKİT"/>
    <n v="0.5"/>
    <n v="200"/>
    <n v="0"/>
    <n v="0"/>
    <m/>
    <m/>
    <m/>
    <m/>
    <n v="100"/>
    <n v="0"/>
    <n v="41632.165120152"/>
  </r>
  <r>
    <d v="2026-01-06T00:00:00"/>
    <x v="4"/>
    <s v="YALÇINKAYA TATLI BİBER SALÇASI"/>
    <m/>
    <x v="1"/>
    <s v="ST00000000812"/>
    <s v="SATIŞ"/>
    <s v="NAKİT"/>
    <n v="0.5"/>
    <n v="200"/>
    <n v="0"/>
    <n v="0"/>
    <m/>
    <m/>
    <m/>
    <m/>
    <n v="100"/>
    <n v="0"/>
    <n v="41732.165120152"/>
  </r>
  <r>
    <d v="2026-01-06T00:00:00"/>
    <x v="4"/>
    <s v="ÇUBUK TARÇIN"/>
    <m/>
    <x v="1"/>
    <s v="ST00000000812"/>
    <s v="SATIŞ"/>
    <s v="NAKİT"/>
    <n v="0.1"/>
    <n v="650"/>
    <n v="0"/>
    <n v="0"/>
    <m/>
    <m/>
    <m/>
    <m/>
    <n v="65"/>
    <n v="0"/>
    <n v="41797.165120152"/>
  </r>
  <r>
    <d v="2026-01-06T00:00:00"/>
    <x v="4"/>
    <s v="HİNDİSTAN CEVİZİ ( İRİ )"/>
    <m/>
    <x v="1"/>
    <s v="ST00000000812"/>
    <s v="SATIŞ"/>
    <s v="NAKİT"/>
    <n v="0.1"/>
    <n v="600"/>
    <n v="0"/>
    <n v="0"/>
    <m/>
    <m/>
    <m/>
    <m/>
    <n v="60"/>
    <n v="0"/>
    <n v="41857.165120152"/>
  </r>
  <r>
    <d v="2026-01-06T00:00:00"/>
    <x v="4"/>
    <s v="NANE İRİ"/>
    <m/>
    <x v="1"/>
    <s v="ST00000000812"/>
    <s v="SATIŞ"/>
    <s v="NAKİT"/>
    <n v="0.14199999999999999"/>
    <n v="400"/>
    <n v="0"/>
    <n v="0"/>
    <m/>
    <m/>
    <m/>
    <m/>
    <n v="56.8"/>
    <n v="0"/>
    <n v="41913.965120152003"/>
  </r>
  <r>
    <d v="2026-01-06T00:00:00"/>
    <x v="4"/>
    <s v="AYÇEKİRDEĞİ DAKOTA TUZLU EKSTRA"/>
    <m/>
    <x v="1"/>
    <s v="ST00000000813"/>
    <s v="SATIŞ"/>
    <s v="NAKİT"/>
    <n v="0.26400000000000001"/>
    <n v="266"/>
    <n v="0"/>
    <n v="0"/>
    <m/>
    <m/>
    <m/>
    <m/>
    <n v="70.224000000000004"/>
    <n v="0"/>
    <n v="41984.189120152005"/>
  </r>
  <r>
    <d v="2026-01-06T00:00:00"/>
    <x v="4"/>
    <s v="RUŞUR TAŞI"/>
    <m/>
    <x v="1"/>
    <s v="ST00000000813"/>
    <s v="SATIŞ"/>
    <s v="NAKİT"/>
    <n v="2"/>
    <n v="10"/>
    <n v="0"/>
    <n v="0"/>
    <m/>
    <m/>
    <m/>
    <m/>
    <n v="20"/>
    <n v="0"/>
    <n v="42004.189120152005"/>
  </r>
  <r>
    <d v="2026-01-06T00:00:00"/>
    <x v="4"/>
    <s v="ZÜHRE ANA PROPOLİS MACUNU 240 GR"/>
    <m/>
    <x v="1"/>
    <s v="ST00000000813"/>
    <s v="SATIŞ"/>
    <s v="NAKİT"/>
    <n v="1"/>
    <n v="220"/>
    <n v="0"/>
    <n v="0"/>
    <m/>
    <m/>
    <m/>
    <m/>
    <n v="220"/>
    <n v="0"/>
    <n v="42224.189120152005"/>
  </r>
  <r>
    <d v="2026-01-06T00:00:00"/>
    <x v="4"/>
    <s v="NBN DAĞ İNCİRİ"/>
    <m/>
    <x v="1"/>
    <s v="ST00000000813"/>
    <s v="SATIŞ"/>
    <s v="NAKİT"/>
    <n v="0.5"/>
    <n v="800"/>
    <n v="0"/>
    <n v="0"/>
    <m/>
    <m/>
    <m/>
    <m/>
    <n v="400"/>
    <n v="0"/>
    <n v="42624.189120152005"/>
  </r>
  <r>
    <d v="2026-01-06T00:00:00"/>
    <x v="10"/>
    <m/>
    <m/>
    <x v="5"/>
    <m/>
    <s v="POS ÇÖZÜMÜ"/>
    <s v="POS"/>
    <n v="1"/>
    <n v="847"/>
    <n v="0"/>
    <n v="847"/>
    <m/>
    <m/>
    <m/>
    <m/>
    <n v="847"/>
    <n v="0"/>
    <n v="43471.189120152005"/>
  </r>
  <r>
    <d v="2026-01-07T00:00:00"/>
    <x v="4"/>
    <s v="DEFNE YAPRAĞI"/>
    <m/>
    <x v="5"/>
    <s v="ST00000000814"/>
    <s v="SATIŞ"/>
    <s v="POS"/>
    <n v="0.05"/>
    <n v="1400"/>
    <n v="70"/>
    <n v="0"/>
    <m/>
    <m/>
    <m/>
    <m/>
    <n v="0"/>
    <n v="0"/>
    <n v="43471.189120152005"/>
  </r>
  <r>
    <d v="2026-01-07T00:00:00"/>
    <x v="4"/>
    <s v="DOLMALIK KURU PATLICAN"/>
    <m/>
    <x v="5"/>
    <s v="ST00000000815"/>
    <s v="SATIŞ"/>
    <s v="POS"/>
    <n v="0.5"/>
    <n v="250"/>
    <n v="125"/>
    <n v="0"/>
    <m/>
    <m/>
    <m/>
    <m/>
    <n v="0"/>
    <n v="0"/>
    <n v="43471.189120152005"/>
  </r>
  <r>
    <d v="2026-01-07T00:00:00"/>
    <x v="4"/>
    <s v="DOLMALIK SARI BİBER"/>
    <m/>
    <x v="5"/>
    <s v="ST00000000815"/>
    <s v="SATIŞ"/>
    <s v="POS"/>
    <n v="0.5"/>
    <n v="230"/>
    <n v="115"/>
    <n v="0"/>
    <m/>
    <m/>
    <m/>
    <m/>
    <n v="0"/>
    <n v="0"/>
    <n v="43471.189120152005"/>
  </r>
  <r>
    <d v="2026-01-07T00:00:00"/>
    <x v="4"/>
    <s v="SUMAK TANE EKŞİLİ"/>
    <m/>
    <x v="5"/>
    <s v="ST00000000815"/>
    <s v="SATIŞ"/>
    <s v="POS"/>
    <n v="0.112"/>
    <n v="540"/>
    <n v="60.480000000000004"/>
    <n v="0"/>
    <m/>
    <m/>
    <m/>
    <m/>
    <n v="0"/>
    <n v="0"/>
    <n v="43471.189120152005"/>
  </r>
  <r>
    <d v="2026-01-07T00:00:00"/>
    <x v="4"/>
    <s v="DOLMALIK KURU PATLICAN"/>
    <m/>
    <x v="5"/>
    <s v="ST00000000816"/>
    <s v="SATIŞ"/>
    <s v="POS"/>
    <n v="0.5"/>
    <n v="250"/>
    <n v="125"/>
    <n v="0"/>
    <m/>
    <m/>
    <m/>
    <m/>
    <n v="0"/>
    <n v="0"/>
    <n v="43471.189120152005"/>
  </r>
  <r>
    <d v="2026-01-07T00:00:00"/>
    <x v="4"/>
    <s v="DOLMALIK SARI BİBER"/>
    <m/>
    <x v="5"/>
    <s v="ST00000000816"/>
    <s v="SATIŞ"/>
    <s v="POS"/>
    <n v="0.5"/>
    <n v="230"/>
    <n v="115"/>
    <n v="0"/>
    <m/>
    <m/>
    <m/>
    <m/>
    <n v="0"/>
    <n v="0"/>
    <n v="43471.189120152005"/>
  </r>
  <r>
    <d v="2026-01-07T00:00:00"/>
    <x v="4"/>
    <s v="YENİBAHAR TOZ"/>
    <m/>
    <x v="5"/>
    <s v="ST00000000817"/>
    <s v="SATIŞ"/>
    <s v="POS"/>
    <n v="9.8000000000000004E-2"/>
    <n v="770"/>
    <n v="75.460000000000008"/>
    <n v="0"/>
    <m/>
    <m/>
    <m/>
    <m/>
    <n v="0"/>
    <n v="0"/>
    <n v="43471.189120152005"/>
  </r>
  <r>
    <d v="2026-01-07T00:00:00"/>
    <x v="4"/>
    <s v="GENÇAY NAR EKŞİSİ 330 GR"/>
    <m/>
    <x v="5"/>
    <s v="ST00000000817"/>
    <s v="SATIŞ"/>
    <s v="POS"/>
    <n v="1"/>
    <n v="180"/>
    <n v="180"/>
    <n v="0"/>
    <m/>
    <m/>
    <m/>
    <m/>
    <n v="0"/>
    <n v="0"/>
    <n v="43471.189120152005"/>
  </r>
  <r>
    <d v="2026-01-07T00:00:00"/>
    <x v="4"/>
    <s v="MANİSA YAPRAK DÖKME"/>
    <m/>
    <x v="5"/>
    <s v="ST00000000817"/>
    <s v="SATIŞ"/>
    <s v="POS"/>
    <n v="1"/>
    <n v="400"/>
    <n v="400"/>
    <n v="0"/>
    <m/>
    <m/>
    <m/>
    <m/>
    <n v="0"/>
    <n v="0"/>
    <n v="43471.189120152005"/>
  </r>
  <r>
    <d v="2026-01-07T00:00:00"/>
    <x v="4"/>
    <s v="ÇUBUK TARÇIN"/>
    <m/>
    <x v="1"/>
    <s v="ST00000000818"/>
    <s v="SATIŞ"/>
    <s v="NAKİT"/>
    <n v="0.1"/>
    <n v="650"/>
    <n v="0"/>
    <n v="0"/>
    <m/>
    <m/>
    <m/>
    <m/>
    <n v="65"/>
    <n v="0"/>
    <n v="43536.189120152005"/>
  </r>
  <r>
    <d v="2026-01-07T00:00:00"/>
    <x v="4"/>
    <s v="KARANFİL"/>
    <m/>
    <x v="1"/>
    <s v="ST00000000818"/>
    <s v="SATIŞ"/>
    <s v="NAKİT"/>
    <n v="0.05"/>
    <n v="1200"/>
    <n v="0"/>
    <n v="0"/>
    <m/>
    <m/>
    <m/>
    <m/>
    <n v="60"/>
    <n v="0"/>
    <n v="43596.189120152005"/>
  </r>
  <r>
    <d v="2026-01-07T00:00:00"/>
    <x v="4"/>
    <s v="ZAHTER"/>
    <m/>
    <x v="1"/>
    <s v="ST00000000819"/>
    <s v="SATIŞ"/>
    <s v="NAKİT"/>
    <n v="0.05"/>
    <n v="400"/>
    <n v="0"/>
    <n v="0"/>
    <m/>
    <m/>
    <m/>
    <m/>
    <n v="20"/>
    <n v="0"/>
    <n v="43616.189120152005"/>
  </r>
  <r>
    <d v="2026-01-07T00:00:00"/>
    <x v="4"/>
    <s v="KUŞBURNU - KIRMIZI"/>
    <m/>
    <x v="1"/>
    <s v="ST00000000819"/>
    <s v="SATIŞ"/>
    <s v="NAKİT"/>
    <n v="0.25"/>
    <n v="360"/>
    <n v="0"/>
    <n v="0"/>
    <m/>
    <m/>
    <m/>
    <m/>
    <n v="90"/>
    <n v="0"/>
    <n v="43706.189120152005"/>
  </r>
  <r>
    <d v="2026-01-07T00:00:00"/>
    <x v="4"/>
    <s v="DOLMALIK SARI BİBER"/>
    <m/>
    <x v="1"/>
    <s v="ST00000000820"/>
    <s v="SATIŞ"/>
    <s v="NAKİT"/>
    <n v="0.5"/>
    <n v="200"/>
    <n v="0"/>
    <n v="0"/>
    <m/>
    <m/>
    <m/>
    <m/>
    <n v="100"/>
    <n v="0"/>
    <n v="43806.189120152005"/>
  </r>
  <r>
    <d v="2026-01-07T00:00:00"/>
    <x v="4"/>
    <s v="İZMİR ÜZÜMÜ"/>
    <m/>
    <x v="1"/>
    <s v="ST00000000820"/>
    <s v="SATIŞ"/>
    <s v="NAKİT"/>
    <n v="0.4"/>
    <n v="250"/>
    <n v="0"/>
    <n v="0"/>
    <m/>
    <m/>
    <m/>
    <m/>
    <n v="100"/>
    <n v="0"/>
    <n v="43906.189120152005"/>
  </r>
  <r>
    <d v="2026-01-07T00:00:00"/>
    <x v="4"/>
    <s v="İĞDE ÇEKİRDEĞİ TOZU"/>
    <m/>
    <x v="5"/>
    <s v="ST00000000821"/>
    <s v="SATIŞ"/>
    <s v="POS"/>
    <n v="0.15625"/>
    <n v="320"/>
    <n v="50"/>
    <n v="0"/>
    <m/>
    <m/>
    <m/>
    <m/>
    <n v="0"/>
    <n v="0"/>
    <n v="43906.189120152005"/>
  </r>
  <r>
    <d v="2026-01-07T00:00:00"/>
    <x v="4"/>
    <s v="KABUKLU CEVİZ (YERLİ)"/>
    <m/>
    <x v="5"/>
    <s v="ST00000000821"/>
    <s v="SATIŞ"/>
    <s v="POS"/>
    <n v="1"/>
    <n v="250"/>
    <n v="250"/>
    <n v="0"/>
    <m/>
    <m/>
    <m/>
    <m/>
    <n v="0"/>
    <n v="0"/>
    <n v="43906.189120152005"/>
  </r>
  <r>
    <d v="2026-01-07T00:00:00"/>
    <x v="4"/>
    <s v="AÇIK KAYISI İRİ (SARI)"/>
    <m/>
    <x v="5"/>
    <s v="ST00000000822"/>
    <s v="SATIŞ"/>
    <s v="POS"/>
    <n v="0.5"/>
    <n v="690"/>
    <n v="345"/>
    <n v="0"/>
    <m/>
    <m/>
    <m/>
    <m/>
    <n v="0"/>
    <n v="0"/>
    <n v="43906.189120152005"/>
  </r>
  <r>
    <d v="2026-01-07T00:00:00"/>
    <x v="4"/>
    <s v="TÜDAB KIŞ ÇAYI 200 GR"/>
    <m/>
    <x v="5"/>
    <s v="ST00000000822"/>
    <s v="SATIŞ"/>
    <s v="POS"/>
    <n v="1"/>
    <n v="130"/>
    <n v="130"/>
    <n v="0"/>
    <m/>
    <m/>
    <m/>
    <m/>
    <n v="0"/>
    <n v="0"/>
    <n v="43906.189120152005"/>
  </r>
  <r>
    <d v="2026-01-07T00:00:00"/>
    <x v="4"/>
    <s v="MİGREN TAŞI (MENTHO BOX)"/>
    <m/>
    <x v="5"/>
    <s v="ST00000000822"/>
    <s v="SATIŞ"/>
    <s v="POS"/>
    <n v="1"/>
    <n v="135"/>
    <n v="135"/>
    <n v="0"/>
    <m/>
    <m/>
    <m/>
    <m/>
    <n v="0"/>
    <n v="0"/>
    <n v="43906.189120152005"/>
  </r>
  <r>
    <d v="2026-01-07T00:00:00"/>
    <x v="4"/>
    <s v="MİGREN TAŞI (MENTHO BOX)"/>
    <m/>
    <x v="1"/>
    <s v="ST00000000823"/>
    <s v="SATIŞ"/>
    <s v="NAKİT"/>
    <n v="1"/>
    <n v="135"/>
    <n v="0"/>
    <n v="0"/>
    <m/>
    <m/>
    <m/>
    <m/>
    <n v="100"/>
    <n v="0"/>
    <n v="44006.189120152005"/>
  </r>
  <r>
    <d v="2026-01-07T00:00:00"/>
    <x v="4"/>
    <s v="LİMONTUZU PARCA"/>
    <m/>
    <x v="1"/>
    <s v="ST00000000823"/>
    <s v="SATIŞ"/>
    <s v="NAKİT"/>
    <n v="0.25"/>
    <n v="180"/>
    <n v="0"/>
    <n v="0"/>
    <m/>
    <m/>
    <m/>
    <m/>
    <n v="45"/>
    <n v="0"/>
    <n v="44051.189120152005"/>
  </r>
  <r>
    <d v="2026-01-07T00:00:00"/>
    <x v="4"/>
    <s v="LAVANTA YAĞI 10 CC"/>
    <m/>
    <x v="1"/>
    <s v="ST00000000823"/>
    <s v="SATIŞ"/>
    <s v="NAKİT"/>
    <n v="1"/>
    <n v="130"/>
    <n v="0"/>
    <n v="0"/>
    <m/>
    <m/>
    <m/>
    <m/>
    <n v="130"/>
    <n v="0"/>
    <n v="44181.189120152005"/>
  </r>
  <r>
    <d v="2026-01-07T00:00:00"/>
    <x v="4"/>
    <s v="SOSLU MISIR YERLİ"/>
    <m/>
    <x v="5"/>
    <s v="ST00000000824"/>
    <s v="SATIŞ"/>
    <s v="POS"/>
    <n v="0.18"/>
    <n v="220"/>
    <n v="39.6"/>
    <n v="0"/>
    <m/>
    <m/>
    <m/>
    <m/>
    <n v="0"/>
    <n v="0"/>
    <n v="44181.189120152005"/>
  </r>
  <r>
    <d v="2026-01-07T00:00:00"/>
    <x v="4"/>
    <s v="AÇIK KAYISI İRİ (SARI)"/>
    <m/>
    <x v="5"/>
    <s v="ST00000000824"/>
    <s v="SATIŞ"/>
    <s v="POS"/>
    <n v="0.39800000000000002"/>
    <n v="690"/>
    <n v="274.62"/>
    <n v="0"/>
    <m/>
    <m/>
    <m/>
    <m/>
    <n v="0"/>
    <n v="0"/>
    <n v="44181.189120152005"/>
  </r>
  <r>
    <d v="2026-01-07T00:00:00"/>
    <x v="4"/>
    <s v="DEFNE YAPRAĞI"/>
    <m/>
    <x v="5"/>
    <s v="ST00000000824"/>
    <s v="SATIŞ"/>
    <s v="POS"/>
    <n v="0.05"/>
    <n v="1400"/>
    <n v="70"/>
    <n v="0"/>
    <m/>
    <m/>
    <m/>
    <m/>
    <n v="0"/>
    <n v="0"/>
    <n v="44181.189120152005"/>
  </r>
  <r>
    <d v="2026-01-07T00:00:00"/>
    <x v="4"/>
    <s v="DOLMALIK KURU PATLICAN"/>
    <m/>
    <x v="5"/>
    <s v="ST00000000824"/>
    <s v="SATIŞ"/>
    <s v="POS"/>
    <n v="1"/>
    <n v="250"/>
    <n v="250"/>
    <n v="0"/>
    <m/>
    <m/>
    <m/>
    <m/>
    <n v="0"/>
    <n v="0"/>
    <n v="44181.189120152005"/>
  </r>
  <r>
    <d v="2026-01-07T00:00:00"/>
    <x v="4"/>
    <s v="DOLMALIK SARI BİBER"/>
    <m/>
    <x v="5"/>
    <s v="ST00000000824"/>
    <s v="SATIŞ"/>
    <s v="POS"/>
    <n v="0.5"/>
    <n v="230"/>
    <n v="115"/>
    <n v="0"/>
    <m/>
    <m/>
    <m/>
    <m/>
    <n v="0"/>
    <n v="0"/>
    <n v="44181.189120152005"/>
  </r>
  <r>
    <d v="2026-01-07T00:00:00"/>
    <x v="4"/>
    <s v="TÜDAB KARIŞIK TURŞU"/>
    <m/>
    <x v="5"/>
    <s v="ST00000000824"/>
    <s v="SATIŞ"/>
    <s v="POS"/>
    <n v="1"/>
    <n v="400"/>
    <n v="400"/>
    <n v="0"/>
    <m/>
    <m/>
    <m/>
    <m/>
    <n v="0"/>
    <n v="0"/>
    <n v="44181.189120152005"/>
  </r>
  <r>
    <d v="2026-01-07T00:00:00"/>
    <x v="4"/>
    <s v="CEVİZLİ SUCUK ATOM (SARI)"/>
    <m/>
    <x v="5"/>
    <s v="ST00000000824"/>
    <s v="SATIŞ"/>
    <s v="POS"/>
    <n v="0.55400000000000005"/>
    <n v="290"/>
    <n v="160.66000000000003"/>
    <n v="0"/>
    <m/>
    <m/>
    <m/>
    <m/>
    <n v="0"/>
    <n v="0"/>
    <n v="44181.189120152005"/>
  </r>
  <r>
    <d v="2026-01-07T00:00:00"/>
    <x v="4"/>
    <s v="YALÇINKAYA DOMATES SALÇASI"/>
    <m/>
    <x v="5"/>
    <s v="ST00000000824"/>
    <s v="SATIŞ"/>
    <s v="POS"/>
    <n v="1"/>
    <n v="150"/>
    <n v="150"/>
    <n v="0"/>
    <m/>
    <m/>
    <m/>
    <m/>
    <n v="0"/>
    <n v="0"/>
    <n v="44181.189120152005"/>
  </r>
  <r>
    <d v="2026-01-07T00:00:00"/>
    <x v="10"/>
    <m/>
    <m/>
    <x v="5"/>
    <m/>
    <s v="POS ÇÖZÜMÜ"/>
    <s v="POS"/>
    <n v="1"/>
    <n v="880"/>
    <n v="0"/>
    <n v="880"/>
    <m/>
    <m/>
    <m/>
    <m/>
    <n v="880"/>
    <n v="0"/>
    <n v="45061.189120152005"/>
  </r>
  <r>
    <d v="2026-01-07T00:00:00"/>
    <x v="10"/>
    <m/>
    <m/>
    <x v="5"/>
    <m/>
    <s v="POS ÇÖZÜMÜ"/>
    <s v="POS"/>
    <n v="1"/>
    <n v="734"/>
    <n v="0"/>
    <n v="734"/>
    <m/>
    <m/>
    <m/>
    <m/>
    <n v="734"/>
    <n v="0"/>
    <n v="45795.189120152005"/>
  </r>
  <r>
    <d v="2026-01-08T00:00:00"/>
    <x v="4"/>
    <s v="LAVANTA YAĞI 10 CC"/>
    <m/>
    <x v="5"/>
    <s v="ST00000000825"/>
    <s v="SATIŞ"/>
    <s v="POS"/>
    <n v="1"/>
    <n v="150"/>
    <n v="150"/>
    <n v="0"/>
    <m/>
    <m/>
    <m/>
    <m/>
    <n v="0"/>
    <n v="0"/>
    <n v="45795.189120152005"/>
  </r>
  <r>
    <d v="2026-01-08T00:00:00"/>
    <x v="4"/>
    <s v="HAM KABAK LİFİ İŞLENMEMİŞ"/>
    <m/>
    <x v="5"/>
    <s v="ST00000000825"/>
    <s v="SATIŞ"/>
    <s v="POS"/>
    <n v="1"/>
    <n v="180"/>
    <n v="180"/>
    <n v="0"/>
    <m/>
    <m/>
    <m/>
    <m/>
    <n v="0"/>
    <n v="0"/>
    <n v="45795.189120152005"/>
  </r>
  <r>
    <d v="2026-01-08T00:00:00"/>
    <x v="4"/>
    <s v="RUŞUR TAŞI"/>
    <m/>
    <x v="5"/>
    <s v="ST00000000825"/>
    <s v="SATIŞ"/>
    <s v="POS"/>
    <n v="2"/>
    <n v="10"/>
    <n v="20"/>
    <n v="0"/>
    <m/>
    <m/>
    <m/>
    <m/>
    <n v="0"/>
    <n v="0"/>
    <n v="45795.189120152005"/>
  </r>
  <r>
    <d v="2026-01-08T00:00:00"/>
    <x v="4"/>
    <s v="İNCİR KÜÇÜK"/>
    <m/>
    <x v="1"/>
    <s v="ST00000000826"/>
    <s v="SATIŞ"/>
    <s v="NAKİT"/>
    <n v="0.35087719298245612"/>
    <n v="570"/>
    <n v="0"/>
    <n v="0"/>
    <m/>
    <m/>
    <m/>
    <m/>
    <n v="200"/>
    <n v="0"/>
    <n v="45995.189120152005"/>
  </r>
  <r>
    <d v="2026-01-08T00:00:00"/>
    <x v="4"/>
    <s v="YALÇINKAYA DOMATES SALÇASI"/>
    <m/>
    <x v="1"/>
    <s v="ST00000000827"/>
    <s v="SATIŞ"/>
    <s v="NAKİT"/>
    <n v="0.5"/>
    <n v="150"/>
    <n v="0"/>
    <n v="0"/>
    <m/>
    <m/>
    <m/>
    <m/>
    <n v="75"/>
    <n v="0"/>
    <n v="46070.189120152005"/>
  </r>
  <r>
    <d v="2026-01-08T00:00:00"/>
    <x v="4"/>
    <s v="YALÇINKAYA ACI BİBER SALÇASI"/>
    <m/>
    <x v="1"/>
    <s v="ST00000000827"/>
    <s v="SATIŞ"/>
    <s v="NAKİT"/>
    <n v="0.15"/>
    <n v="200"/>
    <n v="0"/>
    <n v="0"/>
    <m/>
    <m/>
    <m/>
    <m/>
    <n v="30"/>
    <n v="0"/>
    <n v="46100.189120152005"/>
  </r>
  <r>
    <d v="2026-01-08T00:00:00"/>
    <x v="4"/>
    <s v="HASEVLİK"/>
    <m/>
    <x v="1"/>
    <s v="ST00000000828"/>
    <s v="SATIŞ"/>
    <s v="NAKİT"/>
    <n v="0.15952380952380951"/>
    <n v="420"/>
    <n v="0"/>
    <n v="0"/>
    <m/>
    <m/>
    <m/>
    <m/>
    <n v="67"/>
    <n v="0"/>
    <n v="46167.189120152005"/>
  </r>
  <r>
    <d v="2026-01-08T00:00:00"/>
    <x v="4"/>
    <s v="ZERDEÇAL TOZ"/>
    <m/>
    <x v="1"/>
    <s v="ST00000000828"/>
    <s v="SATIŞ"/>
    <s v="NAKİT"/>
    <n v="0.16333333333333333"/>
    <n v="300"/>
    <n v="0"/>
    <n v="0"/>
    <m/>
    <m/>
    <m/>
    <m/>
    <n v="49"/>
    <n v="0"/>
    <n v="46216.189120152005"/>
  </r>
  <r>
    <d v="2026-01-08T00:00:00"/>
    <x v="4"/>
    <s v="KARBONAT"/>
    <m/>
    <x v="1"/>
    <s v="ST00000000829"/>
    <s v="SATIŞ"/>
    <s v="NAKİT"/>
    <n v="0.5"/>
    <n v="80"/>
    <n v="0"/>
    <n v="0"/>
    <m/>
    <m/>
    <m/>
    <m/>
    <n v="40"/>
    <n v="0"/>
    <n v="46256.189120152005"/>
  </r>
  <r>
    <d v="2026-01-08T00:00:00"/>
    <x v="4"/>
    <s v="HİBİSKUS"/>
    <m/>
    <x v="1"/>
    <s v="ST00000000829"/>
    <s v="SATIŞ"/>
    <s v="NAKİT"/>
    <n v="0.1"/>
    <n v="600"/>
    <n v="0"/>
    <n v="0"/>
    <m/>
    <m/>
    <m/>
    <m/>
    <n v="60"/>
    <n v="0"/>
    <n v="46316.189120152005"/>
  </r>
  <r>
    <d v="2026-01-08T00:00:00"/>
    <x v="4"/>
    <s v="GÜNAYDIN KAYA TUZU İNCE"/>
    <m/>
    <x v="1"/>
    <s v="ST00000000830"/>
    <s v="SATIŞ"/>
    <s v="NAKİT"/>
    <n v="0.5"/>
    <n v="80"/>
    <n v="0"/>
    <n v="0"/>
    <m/>
    <m/>
    <m/>
    <m/>
    <n v="40"/>
    <n v="0"/>
    <n v="46356.189120152005"/>
  </r>
  <r>
    <d v="2026-01-08T00:00:00"/>
    <x v="4"/>
    <s v="DUT KURUSU ESMER"/>
    <m/>
    <x v="1"/>
    <s v="ST00000000831"/>
    <s v="SATIŞ"/>
    <s v="NAKİT"/>
    <n v="0.44444444444444442"/>
    <n v="450"/>
    <n v="0"/>
    <n v="0"/>
    <m/>
    <m/>
    <m/>
    <m/>
    <n v="200"/>
    <n v="0"/>
    <n v="46556.189120152005"/>
  </r>
  <r>
    <d v="2026-01-08T00:00:00"/>
    <x v="4"/>
    <s v="TÜDAB KARIŞIK TURŞU"/>
    <m/>
    <x v="5"/>
    <s v="ST00000000832"/>
    <s v="SATIŞ"/>
    <s v="POS"/>
    <n v="1"/>
    <n v="400"/>
    <n v="400"/>
    <n v="0"/>
    <m/>
    <m/>
    <m/>
    <m/>
    <n v="0"/>
    <n v="0"/>
    <n v="46556.189120152005"/>
  </r>
  <r>
    <d v="2026-01-08T00:00:00"/>
    <x v="4"/>
    <s v="TÜDAB KARIŞIK TURŞU"/>
    <m/>
    <x v="5"/>
    <s v="ST00000000833"/>
    <s v="SATIŞ"/>
    <s v="POS"/>
    <n v="1"/>
    <n v="400"/>
    <n v="400"/>
    <n v="0"/>
    <m/>
    <m/>
    <m/>
    <m/>
    <n v="0"/>
    <n v="0"/>
    <n v="46556.189120152005"/>
  </r>
  <r>
    <d v="2026-01-08T00:00:00"/>
    <x v="4"/>
    <s v="AKGÜNLÜK BAHUR"/>
    <m/>
    <x v="1"/>
    <s v="ST00000000834"/>
    <s v="SATIŞ"/>
    <s v="NAKİT"/>
    <n v="0.1"/>
    <n v="1500"/>
    <n v="0"/>
    <n v="0"/>
    <m/>
    <m/>
    <m/>
    <m/>
    <n v="150"/>
    <n v="0"/>
    <n v="46706.189120152005"/>
  </r>
  <r>
    <d v="2026-01-08T00:00:00"/>
    <x v="4"/>
    <s v="IHLAMUR YAPRAK"/>
    <m/>
    <x v="5"/>
    <s v="ST00000000835"/>
    <s v="SATIŞ"/>
    <s v="POS"/>
    <n v="0.05"/>
    <n v="2600"/>
    <n v="130"/>
    <n v="0"/>
    <m/>
    <m/>
    <m/>
    <m/>
    <n v="0"/>
    <n v="0"/>
    <n v="46706.189120152005"/>
  </r>
  <r>
    <d v="2026-01-08T00:00:00"/>
    <x v="10"/>
    <m/>
    <m/>
    <x v="5"/>
    <m/>
    <s v="POS ÇÖZÜMÜ"/>
    <s v="POS"/>
    <n v="1"/>
    <n v="820"/>
    <n v="0"/>
    <n v="820"/>
    <m/>
    <m/>
    <m/>
    <m/>
    <n v="820"/>
    <n v="0"/>
    <n v="47526.189120152005"/>
  </r>
  <r>
    <d v="2026-01-09T00:00:00"/>
    <x v="4"/>
    <s v="ZENCEFİL TANE"/>
    <m/>
    <x v="1"/>
    <s v="ST00000000836"/>
    <s v="SATIŞ"/>
    <s v="NAKİT"/>
    <n v="6.25E-2"/>
    <n v="400"/>
    <n v="0"/>
    <n v="0"/>
    <m/>
    <m/>
    <m/>
    <m/>
    <n v="25"/>
    <n v="0"/>
    <n v="47551.189120152005"/>
  </r>
  <r>
    <d v="2026-01-09T00:00:00"/>
    <x v="4"/>
    <s v="KARABİBER TANE"/>
    <m/>
    <x v="1"/>
    <s v="ST00000000837"/>
    <s v="SATIŞ"/>
    <s v="NAKİT"/>
    <n v="0.1"/>
    <n v="700"/>
    <n v="0"/>
    <n v="0"/>
    <m/>
    <m/>
    <m/>
    <m/>
    <n v="70"/>
    <n v="0"/>
    <n v="47621.189120152005"/>
  </r>
  <r>
    <d v="2026-01-09T00:00:00"/>
    <x v="4"/>
    <s v="IHLAMUR YAPRAK"/>
    <m/>
    <x v="1"/>
    <s v="ST00000000837"/>
    <s v="SATIŞ"/>
    <s v="NAKİT"/>
    <n v="0.05"/>
    <n v="2600"/>
    <n v="0"/>
    <n v="0"/>
    <m/>
    <m/>
    <m/>
    <m/>
    <n v="130"/>
    <n v="0"/>
    <n v="47751.189120152005"/>
  </r>
  <r>
    <d v="2026-01-09T00:00:00"/>
    <x v="4"/>
    <s v="DOLMALIK KURU PATLICAN"/>
    <m/>
    <x v="1"/>
    <s v="ST00000000838"/>
    <s v="SATIŞ"/>
    <s v="NAKİT"/>
    <n v="1"/>
    <n v="250"/>
    <n v="0"/>
    <n v="0"/>
    <m/>
    <m/>
    <m/>
    <m/>
    <n v="250"/>
    <n v="0"/>
    <n v="48001.189120152005"/>
  </r>
  <r>
    <d v="2026-01-09T00:00:00"/>
    <x v="4"/>
    <s v="DOLMALIK KURU KABAK"/>
    <m/>
    <x v="1"/>
    <s v="ST00000000838"/>
    <s v="SATIŞ"/>
    <s v="NAKİT"/>
    <n v="0.5"/>
    <n v="250"/>
    <n v="0"/>
    <n v="0"/>
    <m/>
    <m/>
    <m/>
    <m/>
    <n v="125"/>
    <n v="0"/>
    <n v="48126.189120152005"/>
  </r>
  <r>
    <d v="2026-01-09T00:00:00"/>
    <x v="4"/>
    <s v="MANİSA YAPRAK DÖKME"/>
    <m/>
    <x v="1"/>
    <s v="ST00000000839"/>
    <s v="SATIŞ"/>
    <s v="NAKİT"/>
    <n v="1"/>
    <n v="300"/>
    <n v="0"/>
    <n v="0"/>
    <m/>
    <m/>
    <m/>
    <m/>
    <n v="300"/>
    <n v="0"/>
    <n v="48426.189120152005"/>
  </r>
  <r>
    <d v="2026-01-09T00:00:00"/>
    <x v="4"/>
    <s v="COLLAGEN FORTE PLATİNUM OMEGA 3 90 SOFT JEL"/>
    <m/>
    <x v="5"/>
    <s v="ST00000000840"/>
    <s v="SATIŞ"/>
    <s v="POS"/>
    <n v="1"/>
    <n v="350"/>
    <n v="350"/>
    <n v="0"/>
    <m/>
    <m/>
    <m/>
    <m/>
    <n v="0"/>
    <n v="0"/>
    <n v="48426.189120152005"/>
  </r>
  <r>
    <d v="2026-01-09T00:00:00"/>
    <x v="4"/>
    <s v="NBN DAĞ İNCİRİ"/>
    <m/>
    <x v="5"/>
    <s v="ST00000000841"/>
    <s v="SATIŞ"/>
    <s v="POS"/>
    <n v="0.11749999999999999"/>
    <n v="800"/>
    <n v="94"/>
    <n v="0"/>
    <m/>
    <m/>
    <m/>
    <m/>
    <n v="0"/>
    <n v="0"/>
    <n v="48426.189120152005"/>
  </r>
  <r>
    <d v="2026-01-09T00:00:00"/>
    <x v="4"/>
    <s v="İNCİR KÜÇÜK"/>
    <m/>
    <x v="5"/>
    <s v="ST00000000841"/>
    <s v="SATIŞ"/>
    <s v="POS"/>
    <n v="7.3684210526315783E-2"/>
    <n v="570"/>
    <n v="41.999999999999993"/>
    <n v="0"/>
    <m/>
    <m/>
    <m/>
    <m/>
    <n v="0"/>
    <n v="0"/>
    <n v="48426.189120152005"/>
  </r>
  <r>
    <d v="2026-01-09T00:00:00"/>
    <x v="4"/>
    <s v="AÇIK KAYISI İRİ (SARI)"/>
    <m/>
    <x v="5"/>
    <s v="ST00000000841"/>
    <s v="SATIŞ"/>
    <s v="POS"/>
    <n v="0.16521739130434782"/>
    <n v="690"/>
    <n v="114"/>
    <n v="0"/>
    <m/>
    <m/>
    <m/>
    <m/>
    <n v="0"/>
    <n v="0"/>
    <n v="48426.189120152005"/>
  </r>
  <r>
    <d v="2026-01-09T00:00:00"/>
    <x v="4"/>
    <s v="LEBLEBİ ÇİFTE SARI"/>
    <m/>
    <x v="5"/>
    <s v="ST00000000841"/>
    <s v="SATIŞ"/>
    <s v="POS"/>
    <n v="0.21"/>
    <n v="240"/>
    <n v="50.4"/>
    <n v="0"/>
    <m/>
    <m/>
    <m/>
    <m/>
    <n v="0"/>
    <n v="0"/>
    <n v="48426.189120152005"/>
  </r>
  <r>
    <d v="2026-01-09T00:00:00"/>
    <x v="4"/>
    <s v="TÜDAB KARIŞIK TURŞU"/>
    <m/>
    <x v="5"/>
    <s v="ST00000000842"/>
    <s v="SATIŞ"/>
    <s v="POS"/>
    <n v="1"/>
    <n v="400"/>
    <n v="400"/>
    <n v="0"/>
    <m/>
    <m/>
    <m/>
    <m/>
    <n v="0"/>
    <n v="0"/>
    <n v="48426.189120152005"/>
  </r>
  <r>
    <d v="2026-01-09T00:00:00"/>
    <x v="4"/>
    <s v="İPEK BİBER"/>
    <m/>
    <x v="5"/>
    <s v="ST00000000843"/>
    <s v="SATIŞ"/>
    <s v="POS"/>
    <n v="0.5"/>
    <n v="500"/>
    <n v="250"/>
    <n v="0"/>
    <m/>
    <m/>
    <m/>
    <m/>
    <n v="0"/>
    <n v="0"/>
    <n v="48426.189120152005"/>
  </r>
  <r>
    <d v="2026-01-09T00:00:00"/>
    <x v="4"/>
    <s v="DOLMALIK KURU TATLI KIRMIZI BİBER"/>
    <m/>
    <x v="5"/>
    <s v="ST00000000844"/>
    <s v="SATIŞ"/>
    <s v="POS"/>
    <n v="1"/>
    <n v="230"/>
    <n v="230"/>
    <n v="0"/>
    <m/>
    <m/>
    <m/>
    <m/>
    <n v="0"/>
    <n v="0"/>
    <n v="48426.189120152005"/>
  </r>
  <r>
    <d v="2026-01-09T00:00:00"/>
    <x v="4"/>
    <s v="KARANFİL"/>
    <m/>
    <x v="5"/>
    <s v="ST00000000844"/>
    <s v="SATIŞ"/>
    <s v="POS"/>
    <n v="0.05"/>
    <n v="1200"/>
    <n v="60"/>
    <n v="0"/>
    <m/>
    <m/>
    <m/>
    <m/>
    <n v="0"/>
    <n v="0"/>
    <n v="48426.189120152005"/>
  </r>
  <r>
    <d v="2026-01-09T00:00:00"/>
    <x v="4"/>
    <s v="RUŞUR TAŞI"/>
    <m/>
    <x v="1"/>
    <s v="ST00000000844"/>
    <s v="SATIŞ"/>
    <s v="NAKİT"/>
    <n v="1"/>
    <n v="10"/>
    <n v="0"/>
    <n v="0"/>
    <m/>
    <m/>
    <m/>
    <m/>
    <n v="10"/>
    <n v="0"/>
    <n v="48436.189120152005"/>
  </r>
  <r>
    <d v="2026-01-09T00:00:00"/>
    <x v="4"/>
    <s v="KEKİK LÜX"/>
    <m/>
    <x v="1"/>
    <s v="ST00000000845"/>
    <s v="SATIŞ"/>
    <s v="NAKİT"/>
    <n v="8.2000000000000003E-2"/>
    <n v="760"/>
    <n v="0"/>
    <n v="0"/>
    <m/>
    <m/>
    <m/>
    <m/>
    <n v="62.32"/>
    <n v="0"/>
    <n v="48498.509120152004"/>
  </r>
  <r>
    <d v="2026-01-09T00:00:00"/>
    <x v="4"/>
    <s v="NANE İRİ"/>
    <m/>
    <x v="1"/>
    <s v="ST00000000845"/>
    <s v="SATIŞ"/>
    <s v="NAKİT"/>
    <n v="9.8000000000000004E-2"/>
    <n v="400"/>
    <n v="0"/>
    <n v="0"/>
    <m/>
    <m/>
    <m/>
    <m/>
    <n v="39.200000000000003"/>
    <n v="0"/>
    <n v="48537.709120152002"/>
  </r>
  <r>
    <d v="2026-01-09T00:00:00"/>
    <x v="4"/>
    <s v="EVLİK BİBER"/>
    <m/>
    <x v="5"/>
    <s v="ST00000000846"/>
    <s v="SATIŞ"/>
    <s v="POS"/>
    <n v="0.25800000000000001"/>
    <n v="350"/>
    <n v="90.3"/>
    <n v="0"/>
    <m/>
    <m/>
    <m/>
    <m/>
    <n v="0"/>
    <n v="0"/>
    <n v="48537.709120152002"/>
  </r>
  <r>
    <d v="2026-01-09T00:00:00"/>
    <x v="4"/>
    <s v="SUMAK"/>
    <m/>
    <x v="5"/>
    <s v="ST00000000846"/>
    <s v="SATIŞ"/>
    <s v="POS"/>
    <n v="0.14799999999999999"/>
    <n v="450"/>
    <n v="66.599999999999994"/>
    <n v="0"/>
    <m/>
    <m/>
    <m/>
    <m/>
    <n v="0"/>
    <n v="0"/>
    <n v="48537.709120152002"/>
  </r>
  <r>
    <d v="2026-01-09T00:00:00"/>
    <x v="4"/>
    <s v="KİMYON ÇEKİLMİŞ"/>
    <m/>
    <x v="5"/>
    <s v="ST00000000846"/>
    <s v="SATIŞ"/>
    <s v="POS"/>
    <n v="0.16600000000000001"/>
    <n v="350"/>
    <n v="58.1"/>
    <n v="0"/>
    <m/>
    <m/>
    <m/>
    <m/>
    <n v="0"/>
    <n v="0"/>
    <n v="48537.709120152002"/>
  </r>
  <r>
    <d v="2026-01-09T00:00:00"/>
    <x v="4"/>
    <s v="NANE İRİ"/>
    <m/>
    <x v="5"/>
    <s v="ST00000000846"/>
    <s v="SATIŞ"/>
    <s v="POS"/>
    <n v="6.4000000000000001E-2"/>
    <n v="300"/>
    <n v="19.2"/>
    <n v="0"/>
    <m/>
    <m/>
    <m/>
    <m/>
    <n v="0"/>
    <n v="0"/>
    <n v="48537.709120152002"/>
  </r>
  <r>
    <d v="2026-01-09T00:00:00"/>
    <x v="4"/>
    <s v="KARABİBER ÇEKİLMİŞ"/>
    <m/>
    <x v="5"/>
    <s v="ST00000000846"/>
    <s v="SATIŞ"/>
    <s v="POS"/>
    <n v="7.3999999999999996E-2"/>
    <n v="600"/>
    <n v="44.4"/>
    <n v="0"/>
    <m/>
    <m/>
    <m/>
    <m/>
    <n v="0"/>
    <n v="0"/>
    <n v="48537.709120152002"/>
  </r>
  <r>
    <d v="2026-01-09T00:00:00"/>
    <x v="4"/>
    <s v="KEKİK LÜX"/>
    <m/>
    <x v="5"/>
    <s v="ST00000000846"/>
    <s v="SATIŞ"/>
    <s v="POS"/>
    <n v="3.4000000000000002E-2"/>
    <n v="630"/>
    <n v="21.42"/>
    <n v="0"/>
    <m/>
    <m/>
    <m/>
    <m/>
    <n v="0"/>
    <n v="0"/>
    <n v="48537.709120152002"/>
  </r>
  <r>
    <d v="2026-01-09T00:00:00"/>
    <x v="4"/>
    <s v="AÇIK KAYISI İRİ (SARI)"/>
    <m/>
    <x v="5"/>
    <s v="ST00000000847"/>
    <s v="SATIŞ"/>
    <s v="POS"/>
    <n v="0.27600000000000002"/>
    <n v="730"/>
    <n v="201.48000000000002"/>
    <n v="0"/>
    <m/>
    <m/>
    <m/>
    <m/>
    <n v="0"/>
    <n v="0"/>
    <n v="48537.709120152002"/>
  </r>
  <r>
    <d v="2026-01-09T00:00:00"/>
    <x v="7"/>
    <m/>
    <m/>
    <x v="2"/>
    <m/>
    <s v="KREDİ KARTI ÖDEME"/>
    <s v="NAKİT"/>
    <n v="1"/>
    <n v="0"/>
    <n v="42049.46"/>
    <n v="0"/>
    <m/>
    <m/>
    <m/>
    <m/>
    <n v="0"/>
    <n v="42049.46"/>
    <n v="6488.2491201520024"/>
  </r>
  <r>
    <d v="2026-01-09T00:00:00"/>
    <x v="10"/>
    <m/>
    <m/>
    <x v="5"/>
    <m/>
    <s v="POS ÇÖZÜMÜ"/>
    <s v="POS"/>
    <n v="1"/>
    <n v="1105"/>
    <n v="0"/>
    <n v="1105"/>
    <m/>
    <m/>
    <m/>
    <m/>
    <n v="1105"/>
    <n v="0"/>
    <n v="7593.2491201520024"/>
  </r>
  <r>
    <d v="2026-01-09T00:00:00"/>
    <x v="10"/>
    <m/>
    <m/>
    <x v="5"/>
    <m/>
    <s v="POS ÇÖZÜMÜ"/>
    <s v="POS"/>
    <n v="1"/>
    <n v="744"/>
    <n v="0"/>
    <n v="744"/>
    <m/>
    <m/>
    <m/>
    <m/>
    <n v="744"/>
    <n v="0"/>
    <n v="8337.2491201520024"/>
  </r>
  <r>
    <d v="2026-01-10T00:00:00"/>
    <x v="4"/>
    <s v="TOZ TARÇIN"/>
    <m/>
    <x v="1"/>
    <s v="ST00000000848"/>
    <s v="SATIŞ"/>
    <s v="NAKİT"/>
    <n v="0.1"/>
    <n v="400"/>
    <n v="0"/>
    <n v="0"/>
    <m/>
    <m/>
    <m/>
    <m/>
    <n v="40"/>
    <n v="0"/>
    <n v="8377.2491201520024"/>
  </r>
  <r>
    <d v="2026-01-10T00:00:00"/>
    <x v="4"/>
    <s v="HUNCA CARE AT KESTANESİ KREMİ 500 ML"/>
    <m/>
    <x v="1"/>
    <s v="ST00000000849"/>
    <s v="SATIŞ"/>
    <s v="NAKİT"/>
    <n v="1"/>
    <n v="190"/>
    <n v="0"/>
    <n v="0"/>
    <m/>
    <m/>
    <m/>
    <m/>
    <n v="190"/>
    <n v="0"/>
    <n v="8567.2491201520024"/>
  </r>
  <r>
    <d v="2026-01-10T00:00:00"/>
    <x v="4"/>
    <s v="KABUKLU CEVİZ (YERLİ)"/>
    <m/>
    <x v="1"/>
    <s v="ST00000000850"/>
    <s v="SATIŞ"/>
    <s v="NAKİT"/>
    <n v="2"/>
    <n v="250"/>
    <n v="0"/>
    <n v="0"/>
    <m/>
    <m/>
    <m/>
    <m/>
    <n v="500"/>
    <n v="0"/>
    <n v="9067.2491201520024"/>
  </r>
  <r>
    <d v="2026-01-10T00:00:00"/>
    <x v="4"/>
    <s v="KIRMIZI PUL BİBER TATLI"/>
    <m/>
    <x v="1"/>
    <s v="ST00000000851"/>
    <s v="SATIŞ"/>
    <s v="NAKİT"/>
    <n v="0.5"/>
    <n v="300"/>
    <n v="0"/>
    <n v="0"/>
    <m/>
    <m/>
    <m/>
    <m/>
    <n v="150"/>
    <n v="0"/>
    <n v="9217.2491201520024"/>
  </r>
  <r>
    <d v="2026-01-10T00:00:00"/>
    <x v="4"/>
    <s v="İRİ BEYAZ KABAK ÇEKİRDEĞİ - NEVŞEHİR"/>
    <m/>
    <x v="5"/>
    <s v="ST00000000852"/>
    <s v="SATIŞ"/>
    <s v="POS"/>
    <n v="0.28000000000000003"/>
    <n v="430"/>
    <n v="120.4"/>
    <n v="0"/>
    <m/>
    <m/>
    <m/>
    <m/>
    <n v="0"/>
    <n v="0"/>
    <n v="9217.2491201520024"/>
  </r>
  <r>
    <d v="2026-01-10T00:00:00"/>
    <x v="4"/>
    <s v="ÇUBUK TARÇIN"/>
    <m/>
    <x v="5"/>
    <s v="ST00000000852"/>
    <s v="SATIŞ"/>
    <s v="POS"/>
    <n v="0.1"/>
    <n v="650"/>
    <n v="65"/>
    <n v="0"/>
    <m/>
    <m/>
    <m/>
    <m/>
    <n v="0"/>
    <n v="0"/>
    <n v="9217.2491201520024"/>
  </r>
  <r>
    <d v="2026-01-10T00:00:00"/>
    <x v="4"/>
    <s v="SALÇA TATLI (EV YAPIMI)"/>
    <m/>
    <x v="1"/>
    <s v="ST00000000853"/>
    <s v="SATIŞ - TOPTAN"/>
    <s v="NAKİT"/>
    <n v="19.350000000000001"/>
    <n v="134.36689999999999"/>
    <n v="0"/>
    <n v="0"/>
    <m/>
    <m/>
    <m/>
    <m/>
    <n v="2599.999515"/>
    <n v="0"/>
    <n v="11817.248635152002"/>
  </r>
  <r>
    <d v="2026-01-10T00:00:00"/>
    <x v="4"/>
    <s v="SOSLU MISIR YERLİ"/>
    <m/>
    <x v="1"/>
    <s v="ST00000000854"/>
    <s v="SATIŞ - NİHAT"/>
    <s v="NAKİT"/>
    <n v="0.2"/>
    <n v="220"/>
    <n v="0"/>
    <n v="0"/>
    <m/>
    <m/>
    <m/>
    <m/>
    <n v="44"/>
    <n v="0"/>
    <n v="11861.248635152002"/>
  </r>
  <r>
    <d v="2026-01-10T00:00:00"/>
    <x v="4"/>
    <s v="AGARTA DİŞ MACUNU"/>
    <m/>
    <x v="1"/>
    <s v="ST00000000854"/>
    <s v="SATIŞ - NİHAT"/>
    <s v="NAKİT"/>
    <n v="1"/>
    <n v="135"/>
    <n v="0"/>
    <n v="0"/>
    <m/>
    <m/>
    <m/>
    <m/>
    <n v="135"/>
    <n v="0"/>
    <n v="11996.248635152002"/>
  </r>
  <r>
    <d v="2026-01-10T00:00:00"/>
    <x v="4"/>
    <s v="ÇUBUK TARÇIN"/>
    <m/>
    <x v="1"/>
    <s v="ST00000000854"/>
    <s v="SATIŞ - NİHAT"/>
    <s v="NAKİT"/>
    <n v="0.1"/>
    <n v="650"/>
    <n v="0"/>
    <n v="0"/>
    <m/>
    <m/>
    <m/>
    <m/>
    <n v="65"/>
    <n v="0"/>
    <n v="12061.248635152002"/>
  </r>
  <r>
    <d v="2026-01-10T00:00:00"/>
    <x v="4"/>
    <s v="ŞENAY ÇAM KOZALAĞI PEKMEZİ 800 G"/>
    <m/>
    <x v="1"/>
    <s v="ST00000000854"/>
    <s v="SATIŞ - NİHAT"/>
    <s v="NAKİT"/>
    <n v="1"/>
    <n v="180"/>
    <n v="0"/>
    <n v="0"/>
    <m/>
    <m/>
    <m/>
    <m/>
    <n v="180"/>
    <n v="0"/>
    <n v="12241.248635152002"/>
  </r>
  <r>
    <d v="2026-01-10T00:00:00"/>
    <x v="4"/>
    <s v="HİMALAYA TUZU PEMBE ÖĞÜTÜLMÜŞ"/>
    <m/>
    <x v="5"/>
    <s v="ST00000000855"/>
    <s v="SATIŞ"/>
    <s v="POS"/>
    <n v="1.45"/>
    <n v="140"/>
    <n v="203"/>
    <n v="0"/>
    <m/>
    <m/>
    <m/>
    <m/>
    <n v="0"/>
    <n v="0"/>
    <n v="12241.248635152002"/>
  </r>
  <r>
    <d v="2026-01-10T00:00:00"/>
    <x v="4"/>
    <s v="DUT KURUSU ESMER"/>
    <m/>
    <x v="5"/>
    <s v="ST00000000856"/>
    <s v="SATIŞ"/>
    <s v="POS"/>
    <n v="0.22222222222222221"/>
    <n v="450"/>
    <n v="100"/>
    <n v="0"/>
    <m/>
    <m/>
    <m/>
    <m/>
    <n v="0"/>
    <n v="0"/>
    <n v="12241.248635152002"/>
  </r>
  <r>
    <d v="2026-01-10T00:00:00"/>
    <x v="4"/>
    <s v="İZMİR ÜZÜMÜ"/>
    <m/>
    <x v="5"/>
    <s v="ST00000000856"/>
    <s v="SATIŞ"/>
    <s v="POS"/>
    <n v="0.46400000000000002"/>
    <n v="250"/>
    <n v="116"/>
    <n v="0"/>
    <m/>
    <m/>
    <m/>
    <m/>
    <n v="0"/>
    <n v="0"/>
    <n v="12241.248635152002"/>
  </r>
  <r>
    <d v="2026-01-10T00:00:00"/>
    <x v="10"/>
    <m/>
    <m/>
    <x v="5"/>
    <m/>
    <s v="POS ÇÖZÜMÜ"/>
    <s v="POS"/>
    <n v="1"/>
    <n v="1960"/>
    <n v="0"/>
    <n v="1960"/>
    <m/>
    <m/>
    <m/>
    <m/>
    <n v="1960"/>
    <n v="0"/>
    <n v="14201.248635152002"/>
  </r>
  <r>
    <d v="2026-01-10T00:00:00"/>
    <x v="10"/>
    <m/>
    <m/>
    <x v="5"/>
    <m/>
    <s v="POS ÇÖZÜMÜ"/>
    <s v="POS"/>
    <n v="1"/>
    <n v="306"/>
    <n v="0"/>
    <n v="306"/>
    <m/>
    <m/>
    <m/>
    <m/>
    <n v="306"/>
    <n v="0"/>
    <n v="14507.248635152002"/>
  </r>
  <r>
    <d v="2026-01-11T00:00:00"/>
    <x v="4"/>
    <s v="YALÇINKAYA ACI BİBER SALÇASI"/>
    <m/>
    <x v="1"/>
    <s v="ST00000000857"/>
    <s v="SATIŞ"/>
    <s v="NAKİT"/>
    <n v="1"/>
    <n v="200"/>
    <n v="0"/>
    <n v="0"/>
    <m/>
    <m/>
    <m/>
    <m/>
    <n v="200"/>
    <n v="0"/>
    <n v="14707.248635152002"/>
  </r>
  <r>
    <d v="2026-01-11T00:00:00"/>
    <x v="4"/>
    <s v="KARANFİL"/>
    <m/>
    <x v="1"/>
    <s v="ST00000000857"/>
    <s v="SATIŞ"/>
    <s v="NAKİT"/>
    <n v="0.05"/>
    <n v="1200"/>
    <n v="0"/>
    <n v="0"/>
    <m/>
    <m/>
    <m/>
    <m/>
    <n v="60"/>
    <n v="0"/>
    <n v="14767.248635152002"/>
  </r>
  <r>
    <d v="2026-01-11T00:00:00"/>
    <x v="4"/>
    <s v="ÇÖREKOTU"/>
    <m/>
    <x v="1"/>
    <s v="ST00000000857"/>
    <s v="SATIŞ"/>
    <s v="NAKİT"/>
    <n v="0.1"/>
    <n v="600"/>
    <n v="0"/>
    <n v="0"/>
    <m/>
    <m/>
    <m/>
    <m/>
    <n v="60"/>
    <n v="0"/>
    <n v="14827.248635152002"/>
  </r>
  <r>
    <d v="2026-01-11T00:00:00"/>
    <x v="4"/>
    <s v="KARIŞIK KURUYEMİŞ"/>
    <m/>
    <x v="1"/>
    <s v="ST00000000858"/>
    <s v="SATIŞ"/>
    <s v="NAKİT"/>
    <n v="0.47099999999999997"/>
    <n v="850"/>
    <n v="0"/>
    <n v="0"/>
    <m/>
    <m/>
    <m/>
    <m/>
    <n v="400.34999999999997"/>
    <n v="0"/>
    <n v="15227.598635152002"/>
  </r>
  <r>
    <d v="2026-01-11T00:00:00"/>
    <x v="4"/>
    <s v="İRİ BEYAZ KABAK ÇEKİRDEĞİ - NEVŞEHİR"/>
    <m/>
    <x v="1"/>
    <s v="ST00000000858"/>
    <s v="SATIŞ"/>
    <s v="NAKİT"/>
    <n v="0.28000000000000003"/>
    <n v="430"/>
    <n v="0"/>
    <n v="0"/>
    <m/>
    <m/>
    <m/>
    <m/>
    <n v="120.4"/>
    <n v="0"/>
    <n v="15347.998635152002"/>
  </r>
  <r>
    <d v="2026-01-11T00:00:00"/>
    <x v="4"/>
    <s v="DUT KURUSU ESMER"/>
    <m/>
    <x v="1"/>
    <s v="ST00000000858"/>
    <s v="SATIŞ"/>
    <s v="NAKİT"/>
    <n v="0.22222222222222221"/>
    <n v="450"/>
    <n v="0"/>
    <n v="0"/>
    <m/>
    <m/>
    <m/>
    <m/>
    <n v="100"/>
    <n v="0"/>
    <n v="15447.998635152002"/>
  </r>
  <r>
    <d v="2026-01-11T00:00:00"/>
    <x v="4"/>
    <s v="LEBLEBİ ŞEKER RENKLİ"/>
    <m/>
    <x v="1"/>
    <s v="ST00000000858"/>
    <s v="SATIŞ"/>
    <s v="NAKİT"/>
    <n v="0.33043478260869563"/>
    <n v="230"/>
    <n v="0"/>
    <n v="0"/>
    <m/>
    <m/>
    <m/>
    <m/>
    <n v="76"/>
    <n v="0"/>
    <n v="15523.998635152002"/>
  </r>
  <r>
    <d v="2026-01-11T00:00:00"/>
    <x v="10"/>
    <m/>
    <m/>
    <x v="5"/>
    <m/>
    <s v="POS ÇÖZÜMÜ"/>
    <s v="POS"/>
    <n v="1"/>
    <n v="425"/>
    <n v="0"/>
    <n v="425"/>
    <m/>
    <m/>
    <m/>
    <m/>
    <n v="425"/>
    <n v="0"/>
    <n v="15948.998635152002"/>
  </r>
  <r>
    <d v="2026-01-11T00:00:00"/>
    <x v="10"/>
    <m/>
    <m/>
    <x v="5"/>
    <m/>
    <s v="POS ÇÖZÜMÜ"/>
    <s v="POS"/>
    <n v="1"/>
    <n v="2282"/>
    <n v="0"/>
    <n v="2282"/>
    <m/>
    <m/>
    <m/>
    <m/>
    <n v="2282"/>
    <n v="0"/>
    <n v="18230.998635152002"/>
  </r>
  <r>
    <d v="2026-01-12T00:00:00"/>
    <x v="4"/>
    <s v="KABUKLU CEVİZ (YERLİ)"/>
    <m/>
    <x v="1"/>
    <s v="ST00000000859"/>
    <s v="SATIŞ"/>
    <s v="NAKİT"/>
    <n v="1"/>
    <n v="250"/>
    <n v="0"/>
    <n v="0"/>
    <m/>
    <m/>
    <m/>
    <m/>
    <n v="250"/>
    <n v="0"/>
    <n v="18480.998635152002"/>
  </r>
  <r>
    <d v="2026-01-12T00:00:00"/>
    <x v="4"/>
    <s v="HATMİ ÇİÇEĞİ"/>
    <m/>
    <x v="1"/>
    <s v="ST00000000860"/>
    <s v="SATIŞ"/>
    <s v="NAKİT"/>
    <n v="2.8571428571428571E-2"/>
    <n v="1400"/>
    <n v="0"/>
    <n v="0"/>
    <m/>
    <m/>
    <m/>
    <m/>
    <n v="40"/>
    <n v="0"/>
    <n v="18520.998635152002"/>
  </r>
  <r>
    <d v="2026-01-12T00:00:00"/>
    <x v="4"/>
    <s v="KARABİBER ÇEKİLMİŞ"/>
    <m/>
    <x v="1"/>
    <s v="ST00000000861"/>
    <s v="SATIŞ"/>
    <s v="NAKİT"/>
    <n v="0.11874999999999999"/>
    <n v="640"/>
    <n v="0"/>
    <n v="0"/>
    <m/>
    <m/>
    <m/>
    <m/>
    <n v="76"/>
    <n v="0"/>
    <n v="18596.998635152002"/>
  </r>
  <r>
    <d v="2026-01-12T00:00:00"/>
    <x v="4"/>
    <s v="TOZ TARÇIN"/>
    <m/>
    <x v="1"/>
    <s v="ST00000000861"/>
    <s v="SATIŞ"/>
    <s v="NAKİT"/>
    <n v="0.1"/>
    <n v="400"/>
    <n v="0"/>
    <n v="0"/>
    <m/>
    <m/>
    <m/>
    <m/>
    <n v="40"/>
    <n v="0"/>
    <n v="18636.998635152002"/>
  </r>
  <r>
    <d v="2026-01-12T00:00:00"/>
    <x v="4"/>
    <s v="EVLİK BİBER"/>
    <m/>
    <x v="1"/>
    <s v="ST00000000862"/>
    <s v="SATIŞ"/>
    <s v="NAKİT"/>
    <n v="0.26319999999999999"/>
    <n v="380"/>
    <n v="0"/>
    <n v="0"/>
    <m/>
    <m/>
    <m/>
    <m/>
    <n v="100.01599999999999"/>
    <n v="0"/>
    <n v="18737.014635152002"/>
  </r>
  <r>
    <d v="2026-01-12T00:00:00"/>
    <x v="4"/>
    <s v="TÜDAB ACUR TURŞUSU"/>
    <m/>
    <x v="1"/>
    <s v="ST00000000863"/>
    <s v="SATIŞ"/>
    <s v="NAKİT"/>
    <n v="1"/>
    <n v="350"/>
    <n v="0"/>
    <n v="0"/>
    <m/>
    <m/>
    <m/>
    <m/>
    <n v="350"/>
    <n v="0"/>
    <n v="19087.014635152002"/>
  </r>
  <r>
    <d v="2026-01-12T00:00:00"/>
    <x v="4"/>
    <s v="TÜDAB TURŞU BİBER"/>
    <m/>
    <x v="1"/>
    <s v="ST00000000863"/>
    <s v="SATIŞ"/>
    <s v="NAKİT"/>
    <n v="1"/>
    <n v="350"/>
    <n v="0"/>
    <n v="0"/>
    <m/>
    <m/>
    <m/>
    <m/>
    <n v="350"/>
    <n v="0"/>
    <n v="19437.014635152002"/>
  </r>
  <r>
    <d v="2026-01-12T00:00:00"/>
    <x v="4"/>
    <s v="MANİSA YAPRAK DÖKME"/>
    <m/>
    <x v="1"/>
    <s v="ST00000000863"/>
    <s v="SATIŞ"/>
    <s v="NAKİT"/>
    <n v="0.5"/>
    <n v="300"/>
    <n v="0"/>
    <n v="0"/>
    <m/>
    <m/>
    <m/>
    <m/>
    <n v="150"/>
    <n v="0"/>
    <n v="19587.014635152002"/>
  </r>
  <r>
    <d v="2026-01-12T00:00:00"/>
    <x v="4"/>
    <s v="PATLAK MISIR"/>
    <m/>
    <x v="5"/>
    <s v="ST00000000864"/>
    <s v="SATIŞ"/>
    <s v="POS"/>
    <n v="0.5"/>
    <n v="60"/>
    <n v="30"/>
    <n v="0"/>
    <m/>
    <m/>
    <m/>
    <m/>
    <n v="0"/>
    <n v="0"/>
    <n v="19587.014635152002"/>
  </r>
  <r>
    <d v="2026-01-12T00:00:00"/>
    <x v="4"/>
    <s v="IHLAMUR YAPRAK"/>
    <m/>
    <x v="5"/>
    <s v="ST00000000864"/>
    <s v="SATIŞ"/>
    <s v="POS"/>
    <n v="0.05"/>
    <n v="2600"/>
    <n v="130"/>
    <n v="0"/>
    <m/>
    <m/>
    <m/>
    <m/>
    <n v="0"/>
    <n v="0"/>
    <n v="19587.014635152002"/>
  </r>
  <r>
    <d v="2026-01-12T00:00:00"/>
    <x v="4"/>
    <s v="YALÇINKAYA ACI BİBER SALÇASI"/>
    <m/>
    <x v="5"/>
    <s v="ST00000000865"/>
    <s v="SATIŞ"/>
    <s v="POS"/>
    <n v="0.5"/>
    <n v="200"/>
    <n v="100"/>
    <n v="0"/>
    <m/>
    <m/>
    <m/>
    <m/>
    <n v="0"/>
    <n v="0"/>
    <n v="19587.014635152002"/>
  </r>
  <r>
    <d v="2026-01-12T00:00:00"/>
    <x v="4"/>
    <s v="YALÇINKAYA TATLI BİBER SALÇASI"/>
    <m/>
    <x v="5"/>
    <s v="ST00000000865"/>
    <s v="SATIŞ"/>
    <s v="POS"/>
    <n v="0.5"/>
    <n v="200"/>
    <n v="100"/>
    <n v="0"/>
    <m/>
    <m/>
    <m/>
    <m/>
    <n v="0"/>
    <n v="0"/>
    <n v="19587.014635152002"/>
  </r>
  <r>
    <d v="2026-01-12T00:00:00"/>
    <x v="4"/>
    <s v="YALÇINKAYA ACI BİBER SALÇASI"/>
    <m/>
    <x v="1"/>
    <s v="ST00000000866"/>
    <s v="SATIŞ"/>
    <s v="NAKİT"/>
    <n v="0.5"/>
    <n v="200"/>
    <n v="0"/>
    <n v="0"/>
    <m/>
    <m/>
    <m/>
    <m/>
    <n v="100"/>
    <n v="0"/>
    <n v="19687.014635152002"/>
  </r>
  <r>
    <d v="2026-01-12T00:00:00"/>
    <x v="4"/>
    <s v="YALÇINKAYA TATLI BİBER SALÇASI"/>
    <m/>
    <x v="1"/>
    <s v="ST00000000866"/>
    <s v="SATIŞ"/>
    <s v="NAKİT"/>
    <n v="0.5"/>
    <n v="200"/>
    <n v="0"/>
    <n v="0"/>
    <m/>
    <m/>
    <m/>
    <m/>
    <n v="100"/>
    <n v="0"/>
    <n v="19787.014635152002"/>
  </r>
  <r>
    <d v="2026-01-12T00:00:00"/>
    <x v="4"/>
    <s v="ÖZBEK ÜZÜMÜ"/>
    <m/>
    <x v="5"/>
    <s v="ST00000000867"/>
    <s v="SATIŞ"/>
    <s v="POS"/>
    <n v="0.30727272727272725"/>
    <n v="500"/>
    <n v="153.63636363636363"/>
    <n v="0"/>
    <m/>
    <m/>
    <m/>
    <m/>
    <n v="0"/>
    <n v="0"/>
    <n v="19787.014635152002"/>
  </r>
  <r>
    <d v="2026-01-12T00:00:00"/>
    <x v="4"/>
    <s v="BADEM ÇİĞ "/>
    <m/>
    <x v="5"/>
    <s v="ST00000000867"/>
    <s v="SATIŞ"/>
    <s v="POS"/>
    <n v="0.23076923076923078"/>
    <n v="635"/>
    <n v="146.53846153846155"/>
    <n v="0"/>
    <m/>
    <m/>
    <m/>
    <m/>
    <n v="0"/>
    <n v="0"/>
    <n v="19787.014635152002"/>
  </r>
  <r>
    <d v="2026-01-12T00:00:00"/>
    <x v="4"/>
    <s v="MANİSA YAPRAK DÖKME"/>
    <m/>
    <x v="5"/>
    <s v="ST00000000867"/>
    <s v="SATIŞ"/>
    <s v="POS"/>
    <n v="1"/>
    <n v="300"/>
    <n v="300"/>
    <n v="0"/>
    <m/>
    <m/>
    <m/>
    <m/>
    <n v="0"/>
    <n v="0"/>
    <n v="19787.014635152002"/>
  </r>
  <r>
    <d v="2026-01-12T00:00:00"/>
    <x v="4"/>
    <s v="EL-RUHA ÇAY (AÇIK)"/>
    <m/>
    <x v="1"/>
    <s v="ST00000000867"/>
    <s v="SATIŞ"/>
    <s v="NAKİT"/>
    <n v="1.218"/>
    <n v="600"/>
    <n v="0"/>
    <n v="0"/>
    <m/>
    <m/>
    <m/>
    <m/>
    <n v="730.8"/>
    <n v="0"/>
    <n v="20517.814635152001"/>
  </r>
  <r>
    <d v="2026-01-12T00:00:00"/>
    <x v="4"/>
    <s v="RUŞUR TAŞI"/>
    <m/>
    <x v="1"/>
    <s v="ST00000000867"/>
    <s v="SATIŞ"/>
    <s v="NAKİT"/>
    <n v="2"/>
    <n v="10"/>
    <n v="0"/>
    <n v="0"/>
    <m/>
    <m/>
    <m/>
    <m/>
    <n v="20"/>
    <n v="0"/>
    <n v="20537.814635152001"/>
  </r>
  <r>
    <d v="2026-01-12T00:00:00"/>
    <x v="4"/>
    <s v="TÜDAB KARIŞIK TURŞU"/>
    <m/>
    <x v="5"/>
    <s v="ST00000000867"/>
    <s v="SATIŞ"/>
    <s v="POS"/>
    <n v="1"/>
    <n v="400"/>
    <n v="400"/>
    <n v="0"/>
    <m/>
    <m/>
    <m/>
    <m/>
    <n v="0"/>
    <n v="0"/>
    <n v="20537.814635152001"/>
  </r>
  <r>
    <d v="2026-01-12T00:00:00"/>
    <x v="4"/>
    <s v="NANE İRİ"/>
    <m/>
    <x v="1"/>
    <s v="ST00000000868"/>
    <s v="SATIŞ"/>
    <s v="NAKİT"/>
    <n v="0.16250000000000001"/>
    <n v="400"/>
    <n v="0"/>
    <n v="0"/>
    <m/>
    <m/>
    <m/>
    <m/>
    <n v="65"/>
    <n v="0"/>
    <n v="20602.814635152001"/>
  </r>
  <r>
    <d v="2026-01-12T00:00:00"/>
    <x v="4"/>
    <s v="LEBLEBİ ŞEKER RENKLİ"/>
    <m/>
    <x v="1"/>
    <s v="ST00000000868"/>
    <s v="SATIŞ"/>
    <s v="NAKİT"/>
    <n v="0.23599999999999999"/>
    <n v="230"/>
    <n v="0"/>
    <n v="0"/>
    <m/>
    <m/>
    <m/>
    <m/>
    <n v="54.279999999999994"/>
    <n v="0"/>
    <n v="20657.094635152"/>
  </r>
  <r>
    <d v="2026-01-12T00:00:00"/>
    <x v="10"/>
    <m/>
    <m/>
    <x v="5"/>
    <m/>
    <s v="POS ÇÖZÜMÜ"/>
    <s v="POS"/>
    <n v="1"/>
    <n v="1510"/>
    <n v="0"/>
    <n v="1510"/>
    <m/>
    <m/>
    <m/>
    <m/>
    <n v="1510"/>
    <n v="0"/>
    <n v="22167.094635152"/>
  </r>
  <r>
    <d v="2026-01-12T00:00:00"/>
    <x v="10"/>
    <m/>
    <m/>
    <x v="5"/>
    <m/>
    <s v="POS ÇÖZÜMÜ"/>
    <s v="POS"/>
    <n v="1"/>
    <n v="681"/>
    <n v="0"/>
    <n v="681"/>
    <m/>
    <m/>
    <m/>
    <m/>
    <n v="681"/>
    <n v="0"/>
    <n v="22848.094635152"/>
  </r>
  <r>
    <d v="2026-01-13T00:00:00"/>
    <x v="4"/>
    <s v="KABUKLU CEVİZ (YERLİ)"/>
    <m/>
    <x v="1"/>
    <s v="ST00000000869"/>
    <s v="SATIŞ"/>
    <s v="NAKİT"/>
    <n v="1"/>
    <n v="250"/>
    <n v="0"/>
    <n v="0"/>
    <m/>
    <m/>
    <m/>
    <m/>
    <n v="250"/>
    <n v="0"/>
    <n v="23098.094635152"/>
  </r>
  <r>
    <d v="2026-01-13T00:00:00"/>
    <x v="4"/>
    <s v="DOLMALIK SARI BİBER"/>
    <m/>
    <x v="1"/>
    <s v="ST00000000870"/>
    <s v="SATIŞ"/>
    <s v="NAKİT"/>
    <n v="1"/>
    <n v="230"/>
    <n v="0"/>
    <n v="0"/>
    <m/>
    <m/>
    <m/>
    <m/>
    <n v="230"/>
    <n v="0"/>
    <n v="23328.094635152"/>
  </r>
  <r>
    <d v="2026-01-13T00:00:00"/>
    <x v="4"/>
    <s v="REZENE"/>
    <m/>
    <x v="5"/>
    <s v="ST00000000871"/>
    <s v="SATIŞ"/>
    <s v="POS"/>
    <n v="0.05"/>
    <n v="900"/>
    <n v="45"/>
    <n v="0"/>
    <m/>
    <m/>
    <m/>
    <m/>
    <n v="0"/>
    <n v="0"/>
    <n v="23328.094635152"/>
  </r>
  <r>
    <d v="2026-01-13T00:00:00"/>
    <x v="4"/>
    <s v="KARANFİL"/>
    <m/>
    <x v="5"/>
    <s v="ST00000000871"/>
    <s v="SATIŞ"/>
    <s v="POS"/>
    <n v="0.05"/>
    <n v="1200"/>
    <n v="60"/>
    <n v="0"/>
    <m/>
    <m/>
    <m/>
    <m/>
    <n v="0"/>
    <n v="0"/>
    <n v="23328.094635152"/>
  </r>
  <r>
    <d v="2026-01-13T00:00:00"/>
    <x v="4"/>
    <s v="HATMİ ÇİÇEĞİ"/>
    <m/>
    <x v="5"/>
    <s v="ST00000000871"/>
    <s v="SATIŞ"/>
    <s v="POS"/>
    <n v="0.05"/>
    <n v="1400"/>
    <n v="70"/>
    <n v="0"/>
    <m/>
    <m/>
    <m/>
    <m/>
    <n v="0"/>
    <n v="0"/>
    <n v="23328.094635152"/>
  </r>
  <r>
    <d v="2026-01-13T00:00:00"/>
    <x v="4"/>
    <s v="ZAHTER"/>
    <m/>
    <x v="5"/>
    <s v="ST00000000871"/>
    <s v="SATIŞ"/>
    <s v="POS"/>
    <n v="2.5000000000000001E-2"/>
    <n v="400"/>
    <n v="10"/>
    <n v="0"/>
    <m/>
    <m/>
    <m/>
    <m/>
    <n v="0"/>
    <n v="0"/>
    <n v="23328.094635152"/>
  </r>
  <r>
    <d v="2026-01-13T00:00:00"/>
    <x v="4"/>
    <s v="HASEVLİK"/>
    <m/>
    <x v="5"/>
    <s v="ST00000000872"/>
    <s v="SATIŞ"/>
    <s v="POS"/>
    <n v="0.47619047619047616"/>
    <n v="420"/>
    <n v="200"/>
    <n v="0"/>
    <m/>
    <m/>
    <m/>
    <m/>
    <n v="0"/>
    <n v="0"/>
    <n v="23328.094635152"/>
  </r>
  <r>
    <d v="2026-01-13T00:00:00"/>
    <x v="4"/>
    <s v="İPEK BİBER"/>
    <m/>
    <x v="5"/>
    <s v="ST00000000872"/>
    <s v="SATIŞ"/>
    <s v="POS"/>
    <n v="0.41"/>
    <n v="500"/>
    <n v="205"/>
    <n v="0"/>
    <m/>
    <m/>
    <m/>
    <m/>
    <n v="0"/>
    <n v="0"/>
    <n v="23328.094635152"/>
  </r>
  <r>
    <d v="2026-01-13T00:00:00"/>
    <x v="4"/>
    <s v="KEKİK LÜX"/>
    <m/>
    <x v="5"/>
    <s v="ST00000000872"/>
    <s v="SATIŞ"/>
    <s v="POS"/>
    <n v="0.125"/>
    <n v="760"/>
    <n v="95"/>
    <n v="0"/>
    <m/>
    <m/>
    <m/>
    <m/>
    <n v="0"/>
    <n v="0"/>
    <n v="23328.094635152"/>
  </r>
  <r>
    <d v="2026-01-13T00:00:00"/>
    <x v="4"/>
    <s v="KORİ (TAVUK BAHARATI)"/>
    <m/>
    <x v="1"/>
    <s v="ST00000000872"/>
    <s v="SATIŞ"/>
    <s v="NAKİT"/>
    <n v="0.35714285714285715"/>
    <n v="140"/>
    <n v="0"/>
    <n v="0"/>
    <m/>
    <m/>
    <m/>
    <m/>
    <n v="50"/>
    <n v="0"/>
    <n v="23378.094635152"/>
  </r>
  <r>
    <d v="2026-01-13T00:00:00"/>
    <x v="4"/>
    <s v="TOZ BİBER - TATLI"/>
    <m/>
    <x v="1"/>
    <s v="ST00000000872"/>
    <s v="SATIŞ"/>
    <s v="NAKİT"/>
    <n v="0.14864864864864866"/>
    <n v="370"/>
    <n v="0"/>
    <n v="0"/>
    <m/>
    <m/>
    <m/>
    <m/>
    <n v="55"/>
    <n v="0"/>
    <n v="23433.094635152"/>
  </r>
  <r>
    <d v="2026-01-13T00:00:00"/>
    <x v="4"/>
    <s v="KİMYON ÇEKİLMİŞ"/>
    <m/>
    <x v="1"/>
    <s v="ST00000000872"/>
    <s v="SATIŞ"/>
    <s v="NAKİT"/>
    <n v="0.11538461538461539"/>
    <n v="390"/>
    <n v="0"/>
    <n v="0"/>
    <m/>
    <m/>
    <m/>
    <m/>
    <n v="45"/>
    <n v="0"/>
    <n v="23478.094635152"/>
  </r>
  <r>
    <d v="2026-01-13T00:00:00"/>
    <x v="4"/>
    <s v="TÜRK KAHVESİ"/>
    <m/>
    <x v="5"/>
    <s v="ST00000000873"/>
    <s v="SATIŞ"/>
    <s v="POS"/>
    <n v="0.2"/>
    <n v="650"/>
    <n v="130"/>
    <n v="0"/>
    <m/>
    <m/>
    <m/>
    <m/>
    <n v="0"/>
    <n v="0"/>
    <n v="23478.094635152"/>
  </r>
  <r>
    <d v="2026-01-13T00:00:00"/>
    <x v="4"/>
    <s v="SUSAM KIRMIZI"/>
    <m/>
    <x v="1"/>
    <s v="ST00000000874"/>
    <s v="SATIŞ"/>
    <s v="NAKİT"/>
    <n v="0.1"/>
    <n v="400"/>
    <n v="0"/>
    <n v="0"/>
    <m/>
    <m/>
    <m/>
    <m/>
    <n v="40"/>
    <n v="0"/>
    <n v="23518.094635152"/>
  </r>
  <r>
    <d v="2026-01-13T00:00:00"/>
    <x v="4"/>
    <s v="DOLMALIK KURU PATLICAN"/>
    <m/>
    <x v="1"/>
    <s v="ST00000000874"/>
    <s v="SATIŞ"/>
    <s v="NAKİT"/>
    <n v="0.5"/>
    <n v="250"/>
    <n v="0"/>
    <n v="0"/>
    <m/>
    <m/>
    <m/>
    <m/>
    <n v="125"/>
    <n v="0"/>
    <n v="23643.094635152"/>
  </r>
  <r>
    <d v="2026-01-13T00:00:00"/>
    <x v="4"/>
    <s v="DOLMALIK SARI BİBER"/>
    <m/>
    <x v="1"/>
    <s v="ST00000000874"/>
    <s v="SATIŞ"/>
    <s v="NAKİT"/>
    <n v="0.5"/>
    <n v="230"/>
    <n v="0"/>
    <n v="0"/>
    <m/>
    <m/>
    <m/>
    <m/>
    <n v="115"/>
    <n v="0"/>
    <n v="23758.094635152"/>
  </r>
  <r>
    <d v="2026-01-13T00:00:00"/>
    <x v="4"/>
    <s v="DOLMALIK KURU KABAK"/>
    <m/>
    <x v="1"/>
    <s v="ST00000000874"/>
    <s v="SATIŞ"/>
    <s v="NAKİT"/>
    <n v="0.2"/>
    <n v="250"/>
    <n v="0"/>
    <n v="0"/>
    <m/>
    <m/>
    <m/>
    <m/>
    <n v="50"/>
    <n v="0"/>
    <n v="23808.094635152"/>
  </r>
  <r>
    <d v="2026-01-13T00:00:00"/>
    <x v="4"/>
    <s v="GÜNAYDIN KAYA TUZU İNCE"/>
    <m/>
    <x v="1"/>
    <s v="ST00000000874"/>
    <s v="SATIŞ"/>
    <s v="NAKİT"/>
    <n v="0.5"/>
    <n v="80"/>
    <n v="0"/>
    <n v="0"/>
    <m/>
    <m/>
    <m/>
    <m/>
    <n v="40"/>
    <n v="0"/>
    <n v="23848.094635152"/>
  </r>
  <r>
    <d v="2026-01-13T00:00:00"/>
    <x v="4"/>
    <s v="TÜDAB KARIŞIK TURŞU"/>
    <m/>
    <x v="5"/>
    <s v="ST00000000875"/>
    <s v="SATIŞ"/>
    <s v="POS"/>
    <n v="1"/>
    <n v="400"/>
    <n v="400"/>
    <n v="0"/>
    <m/>
    <m/>
    <m/>
    <m/>
    <n v="0"/>
    <n v="0"/>
    <n v="23848.094635152"/>
  </r>
  <r>
    <d v="2026-01-13T00:00:00"/>
    <x v="4"/>
    <s v="IHLAMUR YAPRAK"/>
    <m/>
    <x v="5"/>
    <s v="ST00000000876"/>
    <s v="SATIŞ"/>
    <s v="POS"/>
    <n v="0.05"/>
    <n v="2600"/>
    <n v="130"/>
    <n v="0"/>
    <m/>
    <m/>
    <m/>
    <m/>
    <n v="0"/>
    <n v="0"/>
    <n v="23848.094635152"/>
  </r>
  <r>
    <d v="2026-01-13T00:00:00"/>
    <x v="4"/>
    <s v="YALÇINKAYA ACI BİBER SALÇASI"/>
    <m/>
    <x v="5"/>
    <s v="ST00000000877"/>
    <s v="SATIŞ"/>
    <s v="POS"/>
    <n v="1"/>
    <n v="200"/>
    <n v="200"/>
    <n v="0"/>
    <m/>
    <m/>
    <m/>
    <m/>
    <n v="0"/>
    <n v="0"/>
    <n v="23848.094635152"/>
  </r>
  <r>
    <d v="2026-01-13T00:00:00"/>
    <x v="4"/>
    <s v="NANE İRİ"/>
    <m/>
    <x v="1"/>
    <s v="ST00000000878"/>
    <s v="SATIŞ"/>
    <s v="NAKİT"/>
    <n v="0.125"/>
    <n v="400"/>
    <n v="0"/>
    <n v="0"/>
    <m/>
    <m/>
    <m/>
    <m/>
    <n v="50"/>
    <n v="0"/>
    <n v="23898.094635152"/>
  </r>
  <r>
    <d v="2026-01-13T00:00:00"/>
    <x v="4"/>
    <s v="REZENE"/>
    <m/>
    <x v="1"/>
    <s v="ST00000000878"/>
    <s v="SATIŞ"/>
    <s v="NAKİT"/>
    <n v="0.05"/>
    <n v="900"/>
    <n v="0"/>
    <n v="0"/>
    <m/>
    <m/>
    <m/>
    <m/>
    <n v="45"/>
    <n v="0"/>
    <n v="23943.094635152"/>
  </r>
  <r>
    <d v="2026-01-13T00:00:00"/>
    <x v="4"/>
    <s v="UMUT ŞİFA KUYRUK YAĞI 100 ML"/>
    <m/>
    <x v="5"/>
    <s v="ST00000000879"/>
    <s v="SATIŞ"/>
    <s v="POS"/>
    <n v="1"/>
    <n v="250"/>
    <n v="250"/>
    <n v="0"/>
    <m/>
    <m/>
    <m/>
    <m/>
    <n v="0"/>
    <n v="0"/>
    <n v="23943.094635152"/>
  </r>
  <r>
    <d v="2026-01-13T00:00:00"/>
    <x v="4"/>
    <s v="YEŞİL ÇAY YAPRAK"/>
    <m/>
    <x v="1"/>
    <s v="ST00000000880"/>
    <s v="SATIŞ"/>
    <s v="NAKİT"/>
    <n v="0.1"/>
    <n v="1350"/>
    <n v="0"/>
    <n v="0"/>
    <m/>
    <m/>
    <m/>
    <m/>
    <n v="135"/>
    <n v="0"/>
    <n v="24078.094635152"/>
  </r>
  <r>
    <d v="2026-01-13T00:00:00"/>
    <x v="4"/>
    <s v="YALÇINKAYA TATLI BİBER SALÇASI"/>
    <m/>
    <x v="5"/>
    <s v="ST00000000881"/>
    <s v="SATIŞ"/>
    <s v="POS"/>
    <n v="1"/>
    <n v="200"/>
    <n v="200"/>
    <n v="0"/>
    <m/>
    <m/>
    <m/>
    <m/>
    <n v="0"/>
    <n v="0"/>
    <n v="24078.094635152"/>
  </r>
  <r>
    <d v="2026-01-13T00:00:00"/>
    <x v="4"/>
    <s v="YALÇINKAYA TATLI BİBER SALÇASI"/>
    <m/>
    <x v="1"/>
    <s v="ST00000000882"/>
    <s v="SATIŞ - MÜMİNE"/>
    <s v="NAKİT"/>
    <n v="3"/>
    <n v="200"/>
    <n v="0"/>
    <n v="0"/>
    <m/>
    <m/>
    <m/>
    <m/>
    <n v="600"/>
    <n v="0"/>
    <n v="24678.094635152"/>
  </r>
  <r>
    <d v="2026-01-13T00:00:00"/>
    <x v="10"/>
    <m/>
    <m/>
    <x v="5"/>
    <m/>
    <s v="POS ÇÖZÜMÜ"/>
    <s v="POS"/>
    <n v="1"/>
    <n v="1020"/>
    <n v="0"/>
    <n v="1020"/>
    <m/>
    <m/>
    <m/>
    <m/>
    <n v="1020"/>
    <n v="0"/>
    <n v="25698.094635152"/>
  </r>
  <r>
    <d v="2026-01-13T00:00:00"/>
    <x v="10"/>
    <m/>
    <m/>
    <x v="5"/>
    <m/>
    <s v="POS ÇÖZÜMÜ"/>
    <s v="POS"/>
    <n v="1"/>
    <n v="980"/>
    <n v="0"/>
    <n v="980"/>
    <m/>
    <m/>
    <m/>
    <m/>
    <n v="980"/>
    <n v="0"/>
    <n v="26678.094635152"/>
  </r>
  <r>
    <d v="2026-01-14T00:00:00"/>
    <x v="3"/>
    <s v="ŞİFAVER BITTIM HATAY SABUNU"/>
    <m/>
    <x v="4"/>
    <n v="996144"/>
    <s v="TÜDAB A.Ş."/>
    <s v="CARİ"/>
    <n v="16"/>
    <n v="29.612500000000001"/>
    <n v="0"/>
    <n v="473.8"/>
    <m/>
    <m/>
    <m/>
    <m/>
    <n v="0"/>
    <n v="0"/>
    <n v="26678.094635152"/>
  </r>
  <r>
    <d v="2026-01-14T00:00:00"/>
    <x v="3"/>
    <s v="YALÇINKAYA DOMATES SALÇASI"/>
    <m/>
    <x v="4"/>
    <n v="996144"/>
    <s v="TÜDAB A.Ş."/>
    <s v="CARİ"/>
    <n v="38.700000000000003"/>
    <n v="74.94"/>
    <n v="0"/>
    <n v="2900.1780000000003"/>
    <m/>
    <m/>
    <m/>
    <m/>
    <n v="0"/>
    <n v="0"/>
    <n v="26678.094635152"/>
  </r>
  <r>
    <d v="2026-01-14T00:00:00"/>
    <x v="3"/>
    <s v="LOBAS SAF NAR EKŞİSİ 1 KG"/>
    <m/>
    <x v="4"/>
    <n v="996144"/>
    <s v="TÜDAB A.Ş."/>
    <s v="CARİ"/>
    <n v="12"/>
    <n v="225"/>
    <n v="0"/>
    <n v="2700"/>
    <m/>
    <m/>
    <m/>
    <m/>
    <n v="0"/>
    <n v="0"/>
    <n v="26678.094635152"/>
  </r>
  <r>
    <d v="2026-01-14T00:00:00"/>
    <x v="3"/>
    <s v="MİGREN TAŞI (MENTHO BOX)"/>
    <m/>
    <x v="4"/>
    <n v="996144"/>
    <s v="TÜDAB A.Ş."/>
    <s v="CARİ"/>
    <n v="12"/>
    <n v="75"/>
    <n v="0"/>
    <n v="900"/>
    <m/>
    <m/>
    <m/>
    <m/>
    <n v="0"/>
    <n v="0"/>
    <n v="26678.094635152"/>
  </r>
  <r>
    <d v="2026-01-14T00:00:00"/>
    <x v="3"/>
    <s v="RUŞUR TAŞI"/>
    <m/>
    <x v="4"/>
    <n v="996144"/>
    <s v="TÜDAB A.Ş."/>
    <s v="CARİ"/>
    <n v="75"/>
    <n v="4.6666699999999999"/>
    <n v="0"/>
    <n v="350.00024999999999"/>
    <m/>
    <m/>
    <m/>
    <m/>
    <n v="0"/>
    <n v="0"/>
    <n v="26678.094635152"/>
  </r>
  <r>
    <d v="2026-01-14T00:00:00"/>
    <x v="3"/>
    <s v="ÖZBEK ÜZÜMÜ"/>
    <m/>
    <x v="4"/>
    <n v="996144"/>
    <s v="TÜDAB A.Ş."/>
    <s v="CARİ"/>
    <n v="5"/>
    <n v="350"/>
    <n v="0"/>
    <n v="1750"/>
    <m/>
    <m/>
    <m/>
    <m/>
    <n v="0"/>
    <n v="0"/>
    <n v="26678.094635152"/>
  </r>
  <r>
    <d v="2026-01-14T00:00:00"/>
    <x v="3"/>
    <s v="İĞDE ÇEKİRDEĞİ TOZU"/>
    <m/>
    <x v="4"/>
    <n v="996144"/>
    <s v="TÜDAB A.Ş."/>
    <s v="CARİ"/>
    <n v="3"/>
    <n v="160"/>
    <n v="0"/>
    <n v="480"/>
    <m/>
    <m/>
    <m/>
    <m/>
    <n v="0"/>
    <n v="0"/>
    <n v="26678.094635152"/>
  </r>
  <r>
    <d v="2026-01-14T00:00:00"/>
    <x v="4"/>
    <s v="ZENCEFİL TOZ"/>
    <m/>
    <x v="5"/>
    <s v="ST00000000883"/>
    <s v="SATIŞ"/>
    <s v="POS"/>
    <n v="0.06"/>
    <n v="400"/>
    <n v="24"/>
    <n v="0"/>
    <m/>
    <m/>
    <m/>
    <m/>
    <n v="0"/>
    <n v="0"/>
    <n v="26678.094635152"/>
  </r>
  <r>
    <d v="2026-01-14T00:00:00"/>
    <x v="4"/>
    <s v="SUMAK"/>
    <m/>
    <x v="5"/>
    <s v="ST00000000883"/>
    <s v="SATIŞ"/>
    <s v="POS"/>
    <n v="0.15"/>
    <n v="500"/>
    <n v="75"/>
    <n v="0"/>
    <m/>
    <m/>
    <m/>
    <m/>
    <n v="0"/>
    <n v="0"/>
    <n v="26678.094635152"/>
  </r>
  <r>
    <d v="2026-01-14T00:00:00"/>
    <x v="4"/>
    <s v="KARANFİL"/>
    <m/>
    <x v="5"/>
    <s v="ST00000000883"/>
    <s v="SATIŞ"/>
    <s v="POS"/>
    <n v="0.05"/>
    <n v="1200"/>
    <n v="60"/>
    <n v="0"/>
    <m/>
    <m/>
    <m/>
    <m/>
    <n v="0"/>
    <n v="0"/>
    <n v="26678.094635152"/>
  </r>
  <r>
    <d v="2026-01-14T00:00:00"/>
    <x v="4"/>
    <s v="BALTEK PROPOLİS EKSTRESİ 35 ML"/>
    <m/>
    <x v="5"/>
    <s v="ST00000000883"/>
    <s v="SATIŞ"/>
    <s v="POS"/>
    <n v="1"/>
    <n v="225"/>
    <n v="225"/>
    <n v="0"/>
    <m/>
    <m/>
    <m/>
    <m/>
    <n v="0"/>
    <n v="0"/>
    <n v="26678.094635152"/>
  </r>
  <r>
    <d v="2026-01-14T00:00:00"/>
    <x v="4"/>
    <s v="ARDIÇ YAĞI 20 CC"/>
    <m/>
    <x v="5"/>
    <s v="ST00000000884"/>
    <s v="SATIŞ"/>
    <s v="POS"/>
    <n v="1"/>
    <n v="190"/>
    <n v="190"/>
    <n v="0"/>
    <m/>
    <m/>
    <m/>
    <m/>
    <n v="0"/>
    <n v="0"/>
    <n v="26678.094635152"/>
  </r>
  <r>
    <d v="2026-01-14T00:00:00"/>
    <x v="4"/>
    <s v="DOLMALIK KURU PATLICAN"/>
    <m/>
    <x v="1"/>
    <s v="ST00000000885"/>
    <s v="SATIŞ"/>
    <s v="NAKİT"/>
    <n v="0.5"/>
    <n v="250"/>
    <n v="0"/>
    <n v="0"/>
    <m/>
    <m/>
    <m/>
    <m/>
    <n v="125"/>
    <n v="0"/>
    <n v="26803.094635152"/>
  </r>
  <r>
    <d v="2026-01-14T00:00:00"/>
    <x v="4"/>
    <s v="DOLMALIK SARI BİBER"/>
    <m/>
    <x v="1"/>
    <s v="ST00000000885"/>
    <s v="SATIŞ"/>
    <s v="NAKİT"/>
    <n v="0.5"/>
    <n v="230"/>
    <n v="0"/>
    <n v="0"/>
    <m/>
    <m/>
    <m/>
    <m/>
    <n v="115"/>
    <n v="0"/>
    <n v="26918.094635152"/>
  </r>
  <r>
    <d v="2026-01-14T00:00:00"/>
    <x v="4"/>
    <s v="DOLMALIK KURU KABAK"/>
    <m/>
    <x v="1"/>
    <s v="ST00000000885"/>
    <s v="SATIŞ"/>
    <s v="NAKİT"/>
    <n v="0.24"/>
    <n v="250"/>
    <n v="0"/>
    <n v="0"/>
    <m/>
    <m/>
    <m/>
    <m/>
    <n v="60"/>
    <n v="0"/>
    <n v="26978.094635152"/>
  </r>
  <r>
    <d v="2026-01-14T00:00:00"/>
    <x v="4"/>
    <s v="MANİSA YAPRAK DÖKME"/>
    <m/>
    <x v="5"/>
    <s v="ST00000000886"/>
    <s v="SATIŞ"/>
    <s v="POS"/>
    <n v="0.5"/>
    <n v="300"/>
    <n v="150"/>
    <n v="0"/>
    <m/>
    <m/>
    <m/>
    <m/>
    <n v="0"/>
    <n v="0"/>
    <n v="26978.094635152"/>
  </r>
  <r>
    <d v="2026-01-14T00:00:00"/>
    <x v="4"/>
    <s v="PATLAK MISIR"/>
    <m/>
    <x v="1"/>
    <s v="ST00000000887"/>
    <s v="SATIŞ"/>
    <s v="NAKİT"/>
    <n v="0.5"/>
    <n v="60"/>
    <n v="0"/>
    <n v="0"/>
    <m/>
    <m/>
    <m/>
    <m/>
    <n v="30"/>
    <n v="0"/>
    <n v="27008.094635152"/>
  </r>
  <r>
    <d v="2026-01-14T00:00:00"/>
    <x v="4"/>
    <s v="TÜDAB KIŞ ÇAYI 200 GR"/>
    <m/>
    <x v="1"/>
    <s v="ST00000000888"/>
    <s v="SATIŞ"/>
    <s v="NAKİT"/>
    <n v="1"/>
    <n v="130"/>
    <n v="0"/>
    <n v="0"/>
    <m/>
    <m/>
    <m/>
    <m/>
    <n v="130"/>
    <n v="0"/>
    <n v="27138.094635152"/>
  </r>
  <r>
    <d v="2026-01-14T00:00:00"/>
    <x v="4"/>
    <s v="TOMBUL KESE ORGANİK 500 GR"/>
    <m/>
    <x v="5"/>
    <s v="ST00000000889"/>
    <s v="SATIŞ"/>
    <s v="POS"/>
    <n v="1"/>
    <n v="260"/>
    <n v="260"/>
    <n v="0"/>
    <m/>
    <m/>
    <m/>
    <m/>
    <n v="0"/>
    <n v="0"/>
    <n v="27138.094635152"/>
  </r>
  <r>
    <d v="2026-01-14T00:00:00"/>
    <x v="4"/>
    <s v="TOZ BİBER - TATLI"/>
    <m/>
    <x v="1"/>
    <s v="ST00000000890"/>
    <s v="SATIŞ - TOPTAN"/>
    <s v="NAKİT"/>
    <n v="0.71499999999999997"/>
    <n v="280"/>
    <n v="0"/>
    <n v="0"/>
    <m/>
    <m/>
    <m/>
    <m/>
    <n v="200.2"/>
    <n v="0"/>
    <n v="27338.294635152"/>
  </r>
  <r>
    <d v="2026-01-14T00:00:00"/>
    <x v="4"/>
    <s v="NANE İRİ"/>
    <m/>
    <x v="5"/>
    <s v="ST00000000891"/>
    <s v="SATIŞ"/>
    <s v="POS"/>
    <n v="8.7999999999999995E-2"/>
    <n v="400"/>
    <n v="35.199999999999996"/>
    <n v="0"/>
    <m/>
    <m/>
    <m/>
    <m/>
    <n v="0"/>
    <n v="0"/>
    <n v="27338.294635152"/>
  </r>
  <r>
    <d v="2026-01-14T00:00:00"/>
    <x v="4"/>
    <s v="KARABİBER ÇEKİLMİŞ"/>
    <m/>
    <x v="5"/>
    <s v="ST00000000891"/>
    <s v="SATIŞ"/>
    <s v="POS"/>
    <n v="9.6000000000000002E-2"/>
    <n v="610"/>
    <n v="58.56"/>
    <n v="0"/>
    <m/>
    <m/>
    <m/>
    <m/>
    <n v="0"/>
    <n v="0"/>
    <n v="27338.294635152"/>
  </r>
  <r>
    <d v="2026-01-14T00:00:00"/>
    <x v="4"/>
    <s v="ZERDEÇAL TOZ"/>
    <m/>
    <x v="5"/>
    <s v="ST00000000891"/>
    <s v="SATIŞ"/>
    <s v="POS"/>
    <n v="0.11"/>
    <n v="300"/>
    <n v="33"/>
    <n v="0"/>
    <m/>
    <m/>
    <m/>
    <m/>
    <n v="0"/>
    <n v="0"/>
    <n v="27338.294635152"/>
  </r>
  <r>
    <d v="2026-01-14T00:00:00"/>
    <x v="4"/>
    <s v="HASEVLİK"/>
    <m/>
    <x v="5"/>
    <s v="ST00000000891"/>
    <s v="SATIŞ"/>
    <s v="POS"/>
    <n v="0.15"/>
    <n v="420"/>
    <n v="63"/>
    <n v="0"/>
    <m/>
    <m/>
    <m/>
    <m/>
    <n v="0"/>
    <n v="0"/>
    <n v="27338.294635152"/>
  </r>
  <r>
    <d v="2026-01-14T00:00:00"/>
    <x v="4"/>
    <s v="KEKİK LÜX"/>
    <m/>
    <x v="5"/>
    <s v="ST00000000891"/>
    <s v="SATIŞ"/>
    <s v="POS"/>
    <n v="0.04"/>
    <n v="760"/>
    <n v="30.400000000000002"/>
    <n v="0"/>
    <m/>
    <m/>
    <m/>
    <m/>
    <n v="0"/>
    <n v="0"/>
    <n v="27338.294635152"/>
  </r>
  <r>
    <d v="2026-01-14T00:00:00"/>
    <x v="4"/>
    <s v="LİMONTUZU PARCA"/>
    <m/>
    <x v="5"/>
    <s v="ST00000000891"/>
    <s v="SATIŞ"/>
    <s v="POS"/>
    <n v="0.25"/>
    <n v="180"/>
    <n v="45"/>
    <n v="0"/>
    <m/>
    <m/>
    <m/>
    <m/>
    <n v="0"/>
    <n v="0"/>
    <n v="27338.294635152"/>
  </r>
  <r>
    <d v="2026-01-14T00:00:00"/>
    <x v="4"/>
    <s v="ÇAY AĞACI YAĞI 10 CC"/>
    <m/>
    <x v="5"/>
    <s v="ST00000000891"/>
    <s v="SATIŞ"/>
    <s v="POS"/>
    <n v="1"/>
    <n v="130"/>
    <n v="130"/>
    <n v="0"/>
    <m/>
    <m/>
    <m/>
    <m/>
    <n v="0"/>
    <n v="0"/>
    <n v="27338.294635152"/>
  </r>
  <r>
    <d v="2026-01-14T00:00:00"/>
    <x v="4"/>
    <s v="KUŞ ÜZÜMÜ"/>
    <m/>
    <x v="5"/>
    <s v="ST00000000891"/>
    <s v="SATIŞ"/>
    <s v="POS"/>
    <n v="0.1"/>
    <n v="800"/>
    <n v="80"/>
    <n v="0"/>
    <m/>
    <m/>
    <m/>
    <m/>
    <n v="0"/>
    <n v="0"/>
    <n v="27338.294635152"/>
  </r>
  <r>
    <d v="2026-01-14T00:00:00"/>
    <x v="4"/>
    <s v="ÇAM FISTIĞI (DOLMALIK YER FISTIĞI)"/>
    <m/>
    <x v="5"/>
    <s v="ST00000000891"/>
    <s v="SATIŞ"/>
    <s v="POS"/>
    <n v="0.1"/>
    <n v="250"/>
    <n v="25"/>
    <n v="0"/>
    <m/>
    <m/>
    <m/>
    <m/>
    <n v="0"/>
    <n v="0"/>
    <n v="27338.294635152"/>
  </r>
  <r>
    <d v="2026-01-14T00:00:00"/>
    <x v="7"/>
    <m/>
    <m/>
    <x v="3"/>
    <m/>
    <s v="YALÇINTAT - ÖDEME"/>
    <s v="NAKİT"/>
    <n v="1"/>
    <n v="0"/>
    <n v="20000"/>
    <n v="0"/>
    <m/>
    <m/>
    <m/>
    <m/>
    <n v="0"/>
    <n v="20000"/>
    <n v="7338.2946351520004"/>
  </r>
  <r>
    <d v="2026-01-14T00:00:00"/>
    <x v="10"/>
    <m/>
    <m/>
    <x v="5"/>
    <m/>
    <s v="POS ÇÖZÜMÜ"/>
    <s v="POS"/>
    <n v="1"/>
    <n v="641"/>
    <n v="0"/>
    <n v="641"/>
    <m/>
    <m/>
    <m/>
    <m/>
    <n v="641"/>
    <n v="0"/>
    <n v="7979.2946351520004"/>
  </r>
  <r>
    <d v="2026-01-15T00:00:00"/>
    <x v="4"/>
    <s v="SUMAK"/>
    <m/>
    <x v="1"/>
    <s v="ST00000000892"/>
    <s v="SATIŞ"/>
    <s v="NAKİT"/>
    <n v="0.06"/>
    <n v="500"/>
    <n v="0"/>
    <n v="0"/>
    <m/>
    <m/>
    <m/>
    <m/>
    <n v="30"/>
    <n v="0"/>
    <n v="8009.2946351520004"/>
  </r>
  <r>
    <d v="2026-01-15T00:00:00"/>
    <x v="4"/>
    <s v="HASEVLİK"/>
    <m/>
    <x v="1"/>
    <s v="ST00000000892"/>
    <s v="SATIŞ"/>
    <s v="NAKİT"/>
    <n v="0.11904761904761904"/>
    <n v="420"/>
    <n v="0"/>
    <n v="0"/>
    <m/>
    <m/>
    <m/>
    <m/>
    <n v="50"/>
    <n v="0"/>
    <n v="8059.2946351520004"/>
  </r>
  <r>
    <d v="2026-01-15T00:00:00"/>
    <x v="4"/>
    <s v="KÖFTELİK BULGUR"/>
    <m/>
    <x v="1"/>
    <s v="ST00000000892"/>
    <s v="SATIŞ"/>
    <s v="NAKİT"/>
    <n v="0.46153846153846156"/>
    <n v="65"/>
    <n v="0"/>
    <n v="0"/>
    <m/>
    <m/>
    <m/>
    <m/>
    <n v="30"/>
    <n v="0"/>
    <n v="8089.2946351520004"/>
  </r>
  <r>
    <d v="2026-01-15T00:00:00"/>
    <x v="4"/>
    <s v="ZÜHRE ANA KARADUT ÖZÜ 670 GR"/>
    <m/>
    <x v="5"/>
    <s v="ST00000000893"/>
    <s v="SATIŞ"/>
    <s v="POS"/>
    <n v="1"/>
    <n v="220"/>
    <n v="220"/>
    <n v="0"/>
    <m/>
    <m/>
    <m/>
    <m/>
    <n v="0"/>
    <n v="0"/>
    <n v="8089.2946351520004"/>
  </r>
  <r>
    <d v="2026-01-15T00:00:00"/>
    <x v="4"/>
    <s v="DOLMALIK KURU PATLICAN"/>
    <m/>
    <x v="5"/>
    <s v="ST00000000893"/>
    <s v="SATIŞ"/>
    <s v="POS"/>
    <n v="1"/>
    <n v="250"/>
    <n v="250"/>
    <n v="0"/>
    <m/>
    <m/>
    <m/>
    <m/>
    <n v="0"/>
    <n v="0"/>
    <n v="8089.2946351520004"/>
  </r>
  <r>
    <d v="2026-01-15T00:00:00"/>
    <x v="4"/>
    <s v="DOLMALIK SARI BİBER"/>
    <m/>
    <x v="5"/>
    <s v="ST00000000893"/>
    <s v="SATIŞ"/>
    <s v="POS"/>
    <n v="1"/>
    <n v="230"/>
    <n v="230"/>
    <n v="0"/>
    <m/>
    <m/>
    <m/>
    <m/>
    <n v="0"/>
    <n v="0"/>
    <n v="8089.2946351520004"/>
  </r>
  <r>
    <d v="2026-01-15T00:00:00"/>
    <x v="4"/>
    <s v="KAFFKA OSMANLI KAHVESİ 150 GR"/>
    <m/>
    <x v="1"/>
    <s v="ST00000000894"/>
    <s v="SATIŞ"/>
    <s v="NAKİT"/>
    <n v="1"/>
    <n v="65"/>
    <n v="0"/>
    <n v="0"/>
    <m/>
    <m/>
    <m/>
    <m/>
    <n v="65"/>
    <n v="0"/>
    <n v="8154.2946351520004"/>
  </r>
  <r>
    <d v="2026-01-15T00:00:00"/>
    <x v="4"/>
    <s v="ZAHTER"/>
    <m/>
    <x v="1"/>
    <s v="ST00000000895"/>
    <s v="SATIŞ"/>
    <s v="NAKİT"/>
    <n v="3.7499999999999999E-2"/>
    <n v="400"/>
    <n v="0"/>
    <n v="0"/>
    <m/>
    <m/>
    <m/>
    <m/>
    <n v="15"/>
    <n v="0"/>
    <n v="8169.2946351520004"/>
  </r>
  <r>
    <d v="2026-01-15T00:00:00"/>
    <x v="4"/>
    <s v="YALÇINKAYA DOMATES SALÇASI"/>
    <m/>
    <x v="1"/>
    <s v="ST00000000896"/>
    <s v="SATIŞ"/>
    <s v="NAKİT"/>
    <n v="1"/>
    <n v="150"/>
    <n v="0"/>
    <n v="0"/>
    <m/>
    <m/>
    <m/>
    <m/>
    <n v="150"/>
    <n v="0"/>
    <n v="8319.2946351520004"/>
  </r>
  <r>
    <d v="2026-01-15T00:00:00"/>
    <x v="4"/>
    <s v="KARABİBER ÇEKİLMİŞ"/>
    <m/>
    <x v="5"/>
    <s v="ST00000000897"/>
    <s v="SATIŞ - TOPTAN"/>
    <s v="POS"/>
    <n v="0.5"/>
    <n v="500"/>
    <n v="250"/>
    <n v="0"/>
    <m/>
    <m/>
    <m/>
    <m/>
    <n v="0"/>
    <n v="0"/>
    <n v="8319.2946351520004"/>
  </r>
  <r>
    <d v="2026-01-15T00:00:00"/>
    <x v="4"/>
    <s v="DOLMALIK SARI BİBER"/>
    <m/>
    <x v="1"/>
    <s v="ST00000000898"/>
    <s v="SATIŞ"/>
    <s v="NAKİT"/>
    <n v="0.5"/>
    <n v="230"/>
    <n v="0"/>
    <n v="0"/>
    <m/>
    <m/>
    <m/>
    <m/>
    <n v="115"/>
    <n v="0"/>
    <n v="8434.2946351520004"/>
  </r>
  <r>
    <d v="2026-01-15T00:00:00"/>
    <x v="4"/>
    <s v="DOLMALIK KURU ACI BİBER"/>
    <m/>
    <x v="1"/>
    <s v="ST00000000898"/>
    <s v="SATIŞ"/>
    <s v="NAKİT"/>
    <n v="0.5"/>
    <n v="230"/>
    <n v="0"/>
    <n v="0"/>
    <m/>
    <m/>
    <m/>
    <m/>
    <n v="115"/>
    <n v="0"/>
    <n v="8549.2946351520004"/>
  </r>
  <r>
    <d v="2026-01-15T00:00:00"/>
    <x v="4"/>
    <s v="BİBERİYE"/>
    <m/>
    <x v="5"/>
    <s v="ST00000000899"/>
    <s v="SATIŞ"/>
    <s v="POS"/>
    <n v="0.1"/>
    <n v="1400"/>
    <n v="140"/>
    <n v="0"/>
    <m/>
    <m/>
    <m/>
    <m/>
    <n v="0"/>
    <n v="0"/>
    <n v="8549.2946351520004"/>
  </r>
  <r>
    <d v="2026-01-15T00:00:00"/>
    <x v="4"/>
    <s v="BİBERİYE YAĞI 10 CC"/>
    <m/>
    <x v="5"/>
    <s v="ST00000000899"/>
    <s v="SATIŞ"/>
    <s v="POS"/>
    <n v="1"/>
    <n v="145"/>
    <n v="145"/>
    <n v="0"/>
    <m/>
    <m/>
    <m/>
    <m/>
    <n v="0"/>
    <n v="0"/>
    <n v="8549.2946351520004"/>
  </r>
  <r>
    <d v="2026-01-15T00:00:00"/>
    <x v="4"/>
    <s v="KİRAZ SAPI"/>
    <m/>
    <x v="1"/>
    <s v="ST00000000900"/>
    <s v="SATIŞ"/>
    <s v="NAKİT"/>
    <n v="6.25E-2"/>
    <n v="800"/>
    <n v="0"/>
    <n v="0"/>
    <m/>
    <m/>
    <m/>
    <m/>
    <n v="50"/>
    <n v="0"/>
    <n v="8599.2946351520004"/>
  </r>
  <r>
    <d v="2026-01-15T00:00:00"/>
    <x v="4"/>
    <s v="ZENCEFİL TOZ"/>
    <m/>
    <x v="1"/>
    <s v="ST00000000900"/>
    <s v="SATIŞ"/>
    <s v="NAKİT"/>
    <n v="0.125"/>
    <n v="400"/>
    <n v="0"/>
    <n v="0"/>
    <m/>
    <m/>
    <m/>
    <m/>
    <n v="50"/>
    <n v="0"/>
    <n v="8649.2946351520004"/>
  </r>
  <r>
    <d v="2026-01-15T00:00:00"/>
    <x v="4"/>
    <s v="KARABİBER ÇEKİLMİŞ"/>
    <m/>
    <x v="1"/>
    <s v="ST00000000900"/>
    <s v="SATIŞ"/>
    <s v="NAKİT"/>
    <n v="0.11562500000000001"/>
    <n v="640"/>
    <n v="0"/>
    <n v="0"/>
    <m/>
    <m/>
    <m/>
    <m/>
    <n v="74"/>
    <n v="0"/>
    <n v="8723.2946351520004"/>
  </r>
  <r>
    <d v="2026-01-15T00:00:00"/>
    <x v="4"/>
    <s v="İSOT"/>
    <m/>
    <x v="1"/>
    <s v="ST00000000901"/>
    <s v="SATIŞ"/>
    <s v="NAKİT"/>
    <n v="0.26315789473684209"/>
    <n v="380"/>
    <n v="0"/>
    <n v="0"/>
    <m/>
    <m/>
    <m/>
    <m/>
    <n v="100"/>
    <n v="0"/>
    <n v="8823.2946351520004"/>
  </r>
  <r>
    <d v="2026-01-15T00:00:00"/>
    <x v="4"/>
    <s v="İSOT"/>
    <m/>
    <x v="5"/>
    <s v="ST00000000902"/>
    <s v="SATIŞ"/>
    <s v="POS"/>
    <n v="0.48"/>
    <n v="380"/>
    <n v="182.4"/>
    <n v="0"/>
    <m/>
    <m/>
    <m/>
    <m/>
    <n v="0"/>
    <n v="0"/>
    <n v="8823.2946351520004"/>
  </r>
  <r>
    <d v="2026-01-15T00:00:00"/>
    <x v="4"/>
    <s v="SUSAM KIRMIZI"/>
    <m/>
    <x v="5"/>
    <s v="ST00000000902"/>
    <s v="SATIŞ"/>
    <s v="POS"/>
    <n v="0.47199999999999998"/>
    <n v="350"/>
    <n v="165.2"/>
    <n v="0"/>
    <m/>
    <m/>
    <m/>
    <m/>
    <n v="0"/>
    <n v="0"/>
    <n v="8823.2946351520004"/>
  </r>
  <r>
    <d v="2026-01-15T00:00:00"/>
    <x v="4"/>
    <s v="KORİ (TAVUK BAHARATI)"/>
    <m/>
    <x v="5"/>
    <s v="ST00000000902"/>
    <s v="SATIŞ"/>
    <s v="POS"/>
    <n v="0.23599999999999999"/>
    <n v="140"/>
    <n v="33.04"/>
    <n v="0"/>
    <m/>
    <m/>
    <m/>
    <m/>
    <n v="0"/>
    <n v="0"/>
    <n v="8823.2946351520004"/>
  </r>
  <r>
    <d v="2026-01-15T00:00:00"/>
    <x v="4"/>
    <s v="KİMYON ÇEKİLMİŞ"/>
    <m/>
    <x v="5"/>
    <s v="ST00000000902"/>
    <s v="SATIŞ"/>
    <s v="POS"/>
    <n v="0.128"/>
    <n v="390"/>
    <n v="49.92"/>
    <n v="0"/>
    <m/>
    <m/>
    <m/>
    <m/>
    <n v="0"/>
    <n v="0"/>
    <n v="8823.2946351520004"/>
  </r>
  <r>
    <d v="2026-01-15T00:00:00"/>
    <x v="4"/>
    <s v="LİMONTUZU PARCA"/>
    <m/>
    <x v="5"/>
    <s v="ST00000000902"/>
    <s v="SATIŞ"/>
    <s v="POS"/>
    <n v="0.25"/>
    <n v="180"/>
    <n v="45"/>
    <n v="0"/>
    <m/>
    <m/>
    <m/>
    <m/>
    <n v="0"/>
    <n v="0"/>
    <n v="8823.2946351520004"/>
  </r>
  <r>
    <d v="2026-01-15T00:00:00"/>
    <x v="4"/>
    <s v="YALÇINKAYA ACI BİBER SALÇASI"/>
    <m/>
    <x v="5"/>
    <s v="ST00000000902"/>
    <s v="SATIŞ"/>
    <s v="POS"/>
    <n v="0.5"/>
    <n v="200"/>
    <n v="100"/>
    <n v="0"/>
    <m/>
    <m/>
    <m/>
    <m/>
    <n v="0"/>
    <n v="0"/>
    <n v="8823.2946351520004"/>
  </r>
  <r>
    <d v="2026-01-15T00:00:00"/>
    <x v="4"/>
    <s v="YALÇINKAYA TATLI BİBER SALÇASI"/>
    <m/>
    <x v="5"/>
    <s v="ST00000000902"/>
    <s v="SATIŞ"/>
    <s v="POS"/>
    <n v="0.5"/>
    <n v="200"/>
    <n v="100"/>
    <n v="0"/>
    <m/>
    <m/>
    <m/>
    <m/>
    <n v="0"/>
    <n v="0"/>
    <n v="8823.2946351520004"/>
  </r>
  <r>
    <d v="2026-01-15T00:00:00"/>
    <x v="4"/>
    <s v="KARABİBER ÇEKİLMİŞ"/>
    <m/>
    <x v="5"/>
    <s v="ST00000000902"/>
    <s v="SATIŞ"/>
    <s v="POS"/>
    <n v="0.13200000000000001"/>
    <n v="640"/>
    <n v="84.48"/>
    <n v="0"/>
    <m/>
    <m/>
    <m/>
    <m/>
    <n v="0"/>
    <n v="0"/>
    <n v="8823.2946351520004"/>
  </r>
  <r>
    <d v="2026-01-15T00:00:00"/>
    <x v="4"/>
    <s v="KUDÜS HURMASI"/>
    <m/>
    <x v="1"/>
    <s v="ST00000000903"/>
    <s v="SATIŞ"/>
    <s v="NAKİT"/>
    <n v="0.33400000000000002"/>
    <n v="400"/>
    <n v="0"/>
    <n v="0"/>
    <m/>
    <m/>
    <m/>
    <m/>
    <n v="133.6"/>
    <n v="0"/>
    <n v="8956.8946351520008"/>
  </r>
  <r>
    <d v="2026-01-15T00:00:00"/>
    <x v="4"/>
    <s v="DOLMALIK KURU PATLICAN"/>
    <m/>
    <x v="1"/>
    <s v="ST00000000903"/>
    <s v="SATIŞ"/>
    <s v="NAKİT"/>
    <n v="0.5"/>
    <n v="250"/>
    <n v="0"/>
    <n v="0"/>
    <m/>
    <m/>
    <m/>
    <m/>
    <n v="125"/>
    <n v="0"/>
    <n v="9081.8946351520008"/>
  </r>
  <r>
    <d v="2026-01-15T00:00:00"/>
    <x v="4"/>
    <s v="DOLMALIK SARI BİBER"/>
    <m/>
    <x v="1"/>
    <s v="ST00000000903"/>
    <s v="SATIŞ"/>
    <s v="NAKİT"/>
    <n v="0.5"/>
    <n v="230"/>
    <n v="0"/>
    <n v="0"/>
    <m/>
    <m/>
    <m/>
    <m/>
    <n v="115"/>
    <n v="0"/>
    <n v="9196.8946351520008"/>
  </r>
  <r>
    <d v="2026-01-15T00:00:00"/>
    <x v="4"/>
    <s v="DOLMALIK KURU KABAK"/>
    <m/>
    <x v="1"/>
    <s v="ST00000000903"/>
    <s v="SATIŞ"/>
    <s v="NAKİT"/>
    <n v="0.5"/>
    <n v="250"/>
    <n v="0"/>
    <n v="0"/>
    <m/>
    <m/>
    <m/>
    <m/>
    <n v="125"/>
    <n v="0"/>
    <n v="9321.8946351520008"/>
  </r>
  <r>
    <d v="2026-01-15T00:00:00"/>
    <x v="4"/>
    <s v="İNCİR KÜÇÜK"/>
    <m/>
    <x v="1"/>
    <s v="ST00000000903"/>
    <s v="SATIŞ"/>
    <s v="NAKİT"/>
    <n v="0.33400000000000002"/>
    <n v="570"/>
    <n v="0"/>
    <n v="0"/>
    <m/>
    <m/>
    <m/>
    <m/>
    <n v="190.38000000000002"/>
    <n v="0"/>
    <n v="9512.274635152"/>
  </r>
  <r>
    <d v="2026-01-15T00:00:00"/>
    <x v="4"/>
    <s v="EL-RUHA ÇAY (AÇIK)"/>
    <m/>
    <x v="1"/>
    <s v="ST00000000904"/>
    <s v="SATIŞ"/>
    <s v="NAKİT"/>
    <n v="0.5"/>
    <n v="500"/>
    <n v="0"/>
    <n v="0"/>
    <m/>
    <m/>
    <m/>
    <m/>
    <n v="250"/>
    <n v="0"/>
    <n v="9762.274635152"/>
  </r>
  <r>
    <d v="2026-01-15T00:00:00"/>
    <x v="4"/>
    <s v="AYÇEKİRDEĞİ DAKOTA TUZLU EKSTRA"/>
    <m/>
    <x v="1"/>
    <s v="ST00000000905"/>
    <s v="SATIŞ"/>
    <s v="NAKİT"/>
    <n v="0.26200000000000001"/>
    <n v="230"/>
    <n v="0"/>
    <n v="0"/>
    <m/>
    <m/>
    <m/>
    <m/>
    <n v="60.260000000000005"/>
    <n v="0"/>
    <n v="9822.5346351520002"/>
  </r>
  <r>
    <d v="2026-01-15T00:00:00"/>
    <x v="4"/>
    <s v="TÜDAB TURŞU BİBER"/>
    <m/>
    <x v="1"/>
    <s v="ST00000000906"/>
    <s v="SATIŞ"/>
    <s v="NAKİT"/>
    <n v="1"/>
    <n v="350"/>
    <n v="0"/>
    <n v="0"/>
    <m/>
    <m/>
    <m/>
    <m/>
    <n v="350"/>
    <n v="0"/>
    <n v="10172.534635152"/>
  </r>
  <r>
    <d v="2026-01-15T00:00:00"/>
    <x v="4"/>
    <s v="DOLMALIK KURU PATLICAN"/>
    <m/>
    <x v="1"/>
    <s v="ST00000000906"/>
    <s v="SATIŞ"/>
    <s v="NAKİT"/>
    <n v="0.5"/>
    <n v="250"/>
    <n v="0"/>
    <n v="0"/>
    <m/>
    <m/>
    <m/>
    <m/>
    <n v="125"/>
    <n v="0"/>
    <n v="10297.534635152"/>
  </r>
  <r>
    <d v="2026-01-15T00:00:00"/>
    <x v="4"/>
    <s v="DOLMALIK SARI BİBER"/>
    <m/>
    <x v="1"/>
    <s v="ST00000000906"/>
    <s v="SATIŞ"/>
    <s v="NAKİT"/>
    <n v="0.5"/>
    <n v="230"/>
    <n v="0"/>
    <n v="0"/>
    <m/>
    <m/>
    <m/>
    <m/>
    <n v="115"/>
    <n v="0"/>
    <n v="10412.534635152"/>
  </r>
  <r>
    <d v="2026-01-15T00:00:00"/>
    <x v="10"/>
    <m/>
    <m/>
    <x v="5"/>
    <m/>
    <s v="POS ÇÖZÜMÜ"/>
    <s v="POS"/>
    <n v="1"/>
    <n v="3053"/>
    <n v="0"/>
    <n v="3053"/>
    <m/>
    <m/>
    <m/>
    <m/>
    <n v="3053"/>
    <n v="0"/>
    <n v="13465.534635152"/>
  </r>
  <r>
    <d v="2026-01-15T00:00:00"/>
    <x v="10"/>
    <m/>
    <m/>
    <x v="5"/>
    <m/>
    <s v="POS ÇÖZÜMÜ"/>
    <s v="POS"/>
    <n v="1"/>
    <n v="950"/>
    <n v="0"/>
    <n v="950"/>
    <m/>
    <m/>
    <m/>
    <m/>
    <n v="950"/>
    <n v="0"/>
    <n v="14415.534635152"/>
  </r>
  <r>
    <d v="2026-01-16T00:00:00"/>
    <x v="4"/>
    <s v="GENÇAY KEÇİ BOYNUZU ÖZÜ 675 GR"/>
    <m/>
    <x v="1"/>
    <s v="ST00000000907"/>
    <s v="SATIŞ"/>
    <s v="NAKİT"/>
    <n v="1"/>
    <n v="195"/>
    <n v="0"/>
    <n v="0"/>
    <m/>
    <m/>
    <m/>
    <m/>
    <n v="195"/>
    <n v="0"/>
    <n v="14610.534635152"/>
  </r>
  <r>
    <d v="2026-01-16T00:00:00"/>
    <x v="4"/>
    <s v="KARANFİL"/>
    <m/>
    <x v="1"/>
    <s v="ST00000000908"/>
    <s v="SATIŞ"/>
    <s v="NAKİT"/>
    <n v="0.05"/>
    <n v="1200"/>
    <n v="0"/>
    <n v="0"/>
    <m/>
    <m/>
    <m/>
    <m/>
    <n v="60"/>
    <n v="0"/>
    <n v="14670.534635152"/>
  </r>
  <r>
    <d v="2026-01-16T00:00:00"/>
    <x v="4"/>
    <s v="TÜDAB KARIŞIK TURŞU"/>
    <m/>
    <x v="5"/>
    <s v="ST00000000909"/>
    <s v="SATIŞ"/>
    <s v="POS"/>
    <n v="1"/>
    <n v="400"/>
    <n v="400"/>
    <n v="0"/>
    <m/>
    <m/>
    <m/>
    <m/>
    <n v="0"/>
    <n v="0"/>
    <n v="14670.534635152"/>
  </r>
  <r>
    <d v="2026-01-16T00:00:00"/>
    <x v="4"/>
    <s v="İNCİR KÜÇÜK"/>
    <m/>
    <x v="5"/>
    <s v="ST00000000910"/>
    <s v="SATIŞ"/>
    <s v="POS"/>
    <n v="1"/>
    <n v="570"/>
    <n v="570"/>
    <n v="0"/>
    <m/>
    <m/>
    <m/>
    <m/>
    <n v="0"/>
    <n v="0"/>
    <n v="14670.534635152"/>
  </r>
  <r>
    <d v="2026-01-16T00:00:00"/>
    <x v="4"/>
    <s v="IHLAMUR YAPRAK"/>
    <m/>
    <x v="5"/>
    <s v="ST00000000910"/>
    <s v="SATIŞ"/>
    <s v="POS"/>
    <n v="0.05"/>
    <n v="2600"/>
    <n v="130"/>
    <n v="0"/>
    <m/>
    <m/>
    <m/>
    <m/>
    <n v="0"/>
    <n v="0"/>
    <n v="14670.534635152"/>
  </r>
  <r>
    <d v="2026-01-16T00:00:00"/>
    <x v="4"/>
    <s v="YENİ MAHSÜL PAPATYA"/>
    <m/>
    <x v="5"/>
    <s v="ST00000000910"/>
    <s v="SATIŞ"/>
    <s v="POS"/>
    <n v="0.04"/>
    <n v="2250"/>
    <n v="90"/>
    <n v="0"/>
    <m/>
    <m/>
    <m/>
    <m/>
    <n v="0"/>
    <n v="0"/>
    <n v="14670.534635152"/>
  </r>
  <r>
    <d v="2026-01-16T00:00:00"/>
    <x v="4"/>
    <s v="HAYIT TOHUMU"/>
    <m/>
    <x v="5"/>
    <s v="ST00000000911"/>
    <s v="SATIŞ"/>
    <s v="POS"/>
    <n v="0.1"/>
    <n v="900"/>
    <n v="90"/>
    <n v="0"/>
    <m/>
    <m/>
    <m/>
    <m/>
    <n v="0"/>
    <n v="0"/>
    <n v="14670.534635152"/>
  </r>
  <r>
    <d v="2026-01-16T00:00:00"/>
    <x v="1"/>
    <m/>
    <s v="MUHASEBE GİDERLERİ"/>
    <x v="1"/>
    <m/>
    <s v="MUHASEBE GİDERİ ÖDEME"/>
    <s v="NAKİT"/>
    <n v="1"/>
    <n v="1500"/>
    <n v="0"/>
    <n v="0"/>
    <m/>
    <m/>
    <m/>
    <m/>
    <n v="0"/>
    <n v="1500"/>
    <n v="13170.534635152"/>
  </r>
  <r>
    <d v="2026-01-16T00:00:00"/>
    <x v="7"/>
    <m/>
    <m/>
    <x v="4"/>
    <m/>
    <s v="TÜDAB A.Ş. - ÖDEME"/>
    <s v="NAKİT"/>
    <n v="1"/>
    <n v="0"/>
    <n v="10000"/>
    <n v="0"/>
    <m/>
    <m/>
    <m/>
    <m/>
    <n v="0"/>
    <n v="10000"/>
    <n v="3170.5346351520002"/>
  </r>
  <r>
    <d v="2026-01-16T00:00:00"/>
    <x v="10"/>
    <m/>
    <m/>
    <x v="5"/>
    <m/>
    <s v="POS ÇÖZÜMÜ"/>
    <s v="POS"/>
    <n v="1"/>
    <n v="1585"/>
    <n v="0"/>
    <n v="1585"/>
    <n v="950"/>
    <m/>
    <m/>
    <m/>
    <n v="1585"/>
    <n v="0"/>
    <n v="4755.5346351520002"/>
  </r>
  <r>
    <d v="2026-01-17T00:00:00"/>
    <x v="4"/>
    <s v="KABUKLU CEVİZ (YERLİ)"/>
    <m/>
    <x v="1"/>
    <s v="ST00000000912"/>
    <s v="SATIŞ"/>
    <s v="NAKİT"/>
    <n v="1"/>
    <n v="250"/>
    <n v="0"/>
    <n v="0"/>
    <m/>
    <m/>
    <m/>
    <m/>
    <n v="250"/>
    <n v="0"/>
    <n v="5005.5346351520002"/>
  </r>
  <r>
    <d v="2026-01-17T00:00:00"/>
    <x v="4"/>
    <s v="YALÇINKAYA DOMATES SALÇASI"/>
    <m/>
    <x v="1"/>
    <s v="ST00000000912"/>
    <s v="SATIŞ"/>
    <s v="NAKİT"/>
    <n v="2"/>
    <n v="150"/>
    <n v="0"/>
    <n v="0"/>
    <m/>
    <m/>
    <m/>
    <m/>
    <n v="300"/>
    <n v="0"/>
    <n v="5305.5346351520002"/>
  </r>
  <r>
    <d v="2026-01-17T00:00:00"/>
    <x v="4"/>
    <s v="YALÇINKAYA TATLI BİBER SALÇASI"/>
    <m/>
    <x v="1"/>
    <s v="ST00000000912"/>
    <s v="SATIŞ"/>
    <s v="NAKİT"/>
    <n v="1"/>
    <n v="200"/>
    <n v="0"/>
    <n v="0"/>
    <m/>
    <m/>
    <m/>
    <m/>
    <n v="200"/>
    <n v="0"/>
    <n v="5505.5346351520002"/>
  </r>
  <r>
    <d v="2026-01-17T00:00:00"/>
    <x v="4"/>
    <s v="ÇUBUK TARÇIN"/>
    <m/>
    <x v="1"/>
    <s v="ST00000000913"/>
    <s v="SATIŞ"/>
    <s v="NAKİT"/>
    <n v="0.1"/>
    <n v="650"/>
    <n v="0"/>
    <n v="0"/>
    <m/>
    <m/>
    <m/>
    <m/>
    <n v="65"/>
    <n v="0"/>
    <n v="5570.5346351520002"/>
  </r>
  <r>
    <d v="2026-01-17T00:00:00"/>
    <x v="4"/>
    <s v="İPEK BİBER"/>
    <m/>
    <x v="5"/>
    <s v="ST00000000914"/>
    <s v="SATIŞ"/>
    <s v="POS"/>
    <n v="0.2"/>
    <n v="500"/>
    <n v="100"/>
    <n v="0"/>
    <m/>
    <m/>
    <m/>
    <m/>
    <n v="0"/>
    <n v="0"/>
    <n v="5570.5346351520002"/>
  </r>
  <r>
    <d v="2026-01-17T00:00:00"/>
    <x v="4"/>
    <s v="YALÇINKAYA TATLI BİBER SALÇASI"/>
    <m/>
    <x v="5"/>
    <s v="ST00000000914"/>
    <s v="SATIŞ"/>
    <s v="POS"/>
    <n v="0.5"/>
    <n v="200"/>
    <n v="100"/>
    <n v="0"/>
    <m/>
    <m/>
    <m/>
    <m/>
    <n v="0"/>
    <n v="0"/>
    <n v="5570.5346351520002"/>
  </r>
  <r>
    <d v="2026-01-17T00:00:00"/>
    <x v="4"/>
    <s v="İPEK BİBER"/>
    <m/>
    <x v="5"/>
    <s v="ST00000000915"/>
    <s v="SATIŞ"/>
    <s v="POS"/>
    <n v="0.2"/>
    <n v="500"/>
    <n v="100"/>
    <n v="0"/>
    <m/>
    <m/>
    <m/>
    <m/>
    <n v="0"/>
    <n v="0"/>
    <n v="5570.5346351520002"/>
  </r>
  <r>
    <d v="2026-01-17T00:00:00"/>
    <x v="4"/>
    <s v="SARIBELEN IŞGIN KÖKÜ SİRKESİ 500 ML"/>
    <m/>
    <x v="5"/>
    <s v="ST00000000915"/>
    <s v="SATIŞ"/>
    <s v="POS"/>
    <n v="1"/>
    <n v="170"/>
    <n v="170"/>
    <n v="0"/>
    <m/>
    <m/>
    <m/>
    <m/>
    <n v="0"/>
    <n v="0"/>
    <n v="5570.5346351520002"/>
  </r>
  <r>
    <d v="2026-01-17T00:00:00"/>
    <x v="4"/>
    <s v="YALÇINKAYA TATLI BİBER SALÇASI"/>
    <m/>
    <x v="5"/>
    <s v="ST00000000916"/>
    <s v="SATIŞ"/>
    <s v="POS"/>
    <n v="0.5"/>
    <n v="200"/>
    <n v="100"/>
    <n v="0"/>
    <m/>
    <m/>
    <m/>
    <m/>
    <n v="0"/>
    <n v="0"/>
    <n v="5570.5346351520002"/>
  </r>
  <r>
    <d v="2026-01-17T00:00:00"/>
    <x v="4"/>
    <s v="YALÇINKAYA ACI BİBER SALÇASI"/>
    <m/>
    <x v="5"/>
    <s v="ST00000000916"/>
    <s v="SATIŞ"/>
    <s v="POS"/>
    <n v="0.5"/>
    <n v="200"/>
    <n v="100"/>
    <n v="0"/>
    <m/>
    <m/>
    <m/>
    <m/>
    <n v="0"/>
    <n v="0"/>
    <n v="5570.5346351520002"/>
  </r>
  <r>
    <d v="2026-01-17T00:00:00"/>
    <x v="4"/>
    <s v="YALÇINKAYA DOMATES SALÇASI"/>
    <m/>
    <x v="5"/>
    <s v="ST00000000916"/>
    <s v="SATIŞ"/>
    <s v="POS"/>
    <n v="1"/>
    <n v="150"/>
    <n v="150"/>
    <n v="0"/>
    <m/>
    <m/>
    <m/>
    <m/>
    <n v="0"/>
    <n v="0"/>
    <n v="5570.5346351520002"/>
  </r>
  <r>
    <d v="2026-01-17T00:00:00"/>
    <x v="4"/>
    <s v="GENÇAY ELMA SİRKESİ 500 CC"/>
    <m/>
    <x v="1"/>
    <s v="ST00000000917"/>
    <s v="SATIŞ"/>
    <s v="NAKİT"/>
    <n v="1"/>
    <n v="140"/>
    <n v="0"/>
    <n v="0"/>
    <m/>
    <m/>
    <m/>
    <m/>
    <n v="140"/>
    <n v="0"/>
    <n v="5710.5346351520002"/>
  </r>
  <r>
    <d v="2026-01-17T00:00:00"/>
    <x v="4"/>
    <s v="İRİ BEYAZ KABAK ÇEKİRDEĞİ - NEVŞEHİR"/>
    <m/>
    <x v="1"/>
    <s v="ST00000000917"/>
    <s v="SATIŞ"/>
    <s v="NAKİT"/>
    <n v="0.28000000000000003"/>
    <n v="430"/>
    <n v="0"/>
    <n v="0"/>
    <m/>
    <m/>
    <m/>
    <m/>
    <n v="120.4"/>
    <n v="0"/>
    <n v="5830.9346351519998"/>
  </r>
  <r>
    <d v="2026-01-17T00:00:00"/>
    <x v="4"/>
    <s v="TÜDAB KARIŞIK TURŞU"/>
    <m/>
    <x v="1"/>
    <s v="ST00000000918"/>
    <s v="SATIŞ"/>
    <s v="NAKİT"/>
    <n v="1"/>
    <n v="400"/>
    <n v="0"/>
    <n v="0"/>
    <m/>
    <m/>
    <m/>
    <m/>
    <n v="400"/>
    <n v="0"/>
    <n v="6230.9346351519998"/>
  </r>
  <r>
    <d v="2026-01-17T00:00:00"/>
    <x v="4"/>
    <s v="KUŞBURNU - KIRMIZI"/>
    <m/>
    <x v="1"/>
    <s v="ST00000000919"/>
    <s v="SATIŞ"/>
    <s v="NAKİT"/>
    <n v="0.25"/>
    <n v="360"/>
    <n v="0"/>
    <n v="0"/>
    <m/>
    <m/>
    <m/>
    <m/>
    <n v="90"/>
    <n v="0"/>
    <n v="6320.9346351519998"/>
  </r>
  <r>
    <d v="2026-01-17T00:00:00"/>
    <x v="4"/>
    <s v="KARABİBER ÇEKİLMİŞ"/>
    <m/>
    <x v="1"/>
    <s v="ST00000000919"/>
    <s v="SATIŞ"/>
    <s v="NAKİT"/>
    <n v="1.7187500000000001E-2"/>
    <n v="640"/>
    <n v="0"/>
    <n v="0"/>
    <m/>
    <m/>
    <m/>
    <m/>
    <n v="11"/>
    <n v="0"/>
    <n v="6331.9346351519998"/>
  </r>
  <r>
    <d v="2026-01-17T00:00:00"/>
    <x v="4"/>
    <s v="BİBERİYE"/>
    <m/>
    <x v="5"/>
    <s v="ST00000000920"/>
    <s v="SATIŞ"/>
    <s v="POS"/>
    <n v="0.1"/>
    <n v="1400"/>
    <n v="140"/>
    <n v="0"/>
    <m/>
    <m/>
    <m/>
    <m/>
    <n v="0"/>
    <n v="0"/>
    <n v="6331.9346351519998"/>
  </r>
  <r>
    <d v="2026-01-17T00:00:00"/>
    <x v="4"/>
    <s v="KABUKLU CEVİZ (YERLİ)"/>
    <m/>
    <x v="1"/>
    <s v="ST00000000921"/>
    <s v="SATIŞ"/>
    <s v="NAKİT"/>
    <n v="0.85"/>
    <n v="250"/>
    <n v="0"/>
    <n v="0"/>
    <m/>
    <m/>
    <m/>
    <m/>
    <n v="212.5"/>
    <n v="0"/>
    <n v="6544.4346351519998"/>
  </r>
  <r>
    <d v="2026-01-17T00:00:00"/>
    <x v="4"/>
    <s v="TUZLU FISTIK DUBLE"/>
    <m/>
    <x v="1"/>
    <s v="ST00000000922"/>
    <s v="SATIŞ"/>
    <s v="NAKİT"/>
    <n v="0.25641025641025639"/>
    <n v="195"/>
    <n v="0"/>
    <n v="0"/>
    <m/>
    <m/>
    <m/>
    <m/>
    <n v="49.999999999999993"/>
    <n v="0"/>
    <n v="6594.4346351519998"/>
  </r>
  <r>
    <d v="2026-01-17T00:00:00"/>
    <x v="4"/>
    <s v="CEVİZLİ SUCUK ATOM (ESMER)"/>
    <m/>
    <x v="1"/>
    <s v="ST00000000922"/>
    <s v="SATIŞ"/>
    <s v="NAKİT"/>
    <n v="0.33823529411764708"/>
    <n v="340"/>
    <n v="0"/>
    <n v="0"/>
    <m/>
    <m/>
    <m/>
    <m/>
    <n v="115"/>
    <n v="0"/>
    <n v="6709.4346351519998"/>
  </r>
  <r>
    <d v="2026-01-17T00:00:00"/>
    <x v="4"/>
    <s v="HASEVLİK"/>
    <m/>
    <x v="1"/>
    <s v="ST00000000923"/>
    <s v="SATIŞ"/>
    <s v="NAKİT"/>
    <n v="0.23809523809523808"/>
    <n v="420"/>
    <n v="0"/>
    <n v="0"/>
    <m/>
    <m/>
    <m/>
    <m/>
    <n v="100"/>
    <n v="0"/>
    <n v="6809.4346351519998"/>
  </r>
  <r>
    <d v="2026-01-17T00:00:00"/>
    <x v="4"/>
    <s v="ÇUBUK TARÇIN"/>
    <m/>
    <x v="1"/>
    <s v="ST00000000923"/>
    <s v="SATIŞ"/>
    <s v="NAKİT"/>
    <n v="0.1"/>
    <n v="650"/>
    <n v="0"/>
    <n v="0"/>
    <m/>
    <m/>
    <m/>
    <m/>
    <n v="65"/>
    <n v="0"/>
    <n v="6874.4346351519998"/>
  </r>
  <r>
    <d v="2026-01-17T00:00:00"/>
    <x v="4"/>
    <s v="KARIŞIK KURUYEMİŞ"/>
    <m/>
    <x v="1"/>
    <s v="ST00000000924"/>
    <s v="SATIŞ"/>
    <s v="NAKİT"/>
    <n v="0.23529411764705882"/>
    <n v="850"/>
    <n v="0"/>
    <n v="0"/>
    <m/>
    <m/>
    <m/>
    <m/>
    <n v="200"/>
    <n v="0"/>
    <n v="7074.4346351519998"/>
  </r>
  <r>
    <d v="2026-01-17T00:00:00"/>
    <x v="4"/>
    <s v="İRİ BEYAZ KABAK ÇEKİRDEĞİ - NEVŞEHİR"/>
    <m/>
    <x v="1"/>
    <s v="ST00000000924"/>
    <s v="SATIŞ"/>
    <s v="NAKİT"/>
    <n v="0.27906976744186046"/>
    <n v="430"/>
    <n v="0"/>
    <n v="0"/>
    <m/>
    <m/>
    <m/>
    <m/>
    <n v="120"/>
    <n v="0"/>
    <n v="7194.4346351519998"/>
  </r>
  <r>
    <d v="2026-01-17T00:00:00"/>
    <x v="4"/>
    <s v="REZENE"/>
    <m/>
    <x v="1"/>
    <s v="ST00000000924"/>
    <s v="SATIŞ"/>
    <s v="NAKİT"/>
    <n v="0.05"/>
    <n v="900"/>
    <n v="0"/>
    <n v="0"/>
    <m/>
    <m/>
    <m/>
    <m/>
    <n v="45"/>
    <n v="0"/>
    <n v="7239.4346351519998"/>
  </r>
  <r>
    <d v="2026-01-17T00:00:00"/>
    <x v="4"/>
    <s v="KARANFİL"/>
    <m/>
    <x v="1"/>
    <s v="ST00000000924"/>
    <s v="SATIŞ"/>
    <s v="NAKİT"/>
    <n v="0.05"/>
    <n v="1200"/>
    <n v="0"/>
    <n v="0"/>
    <m/>
    <m/>
    <m/>
    <m/>
    <n v="60"/>
    <n v="0"/>
    <n v="7299.4346351519998"/>
  </r>
  <r>
    <d v="2026-01-17T00:00:00"/>
    <x v="4"/>
    <s v="İSOT"/>
    <m/>
    <x v="5"/>
    <s v="ST00000000925"/>
    <s v="SATIŞ"/>
    <s v="POS"/>
    <n v="0.2"/>
    <n v="380"/>
    <n v="76"/>
    <n v="0"/>
    <m/>
    <m/>
    <m/>
    <m/>
    <n v="0"/>
    <n v="0"/>
    <n v="7299.4346351519998"/>
  </r>
  <r>
    <d v="2026-01-17T00:00:00"/>
    <x v="4"/>
    <s v="DOMATES KURUSU"/>
    <m/>
    <x v="5"/>
    <s v="ST00000000925"/>
    <s v="SATIŞ"/>
    <s v="POS"/>
    <n v="0.25"/>
    <n v="380"/>
    <n v="95"/>
    <n v="0"/>
    <m/>
    <m/>
    <m/>
    <m/>
    <n v="0"/>
    <n v="0"/>
    <n v="7299.4346351519998"/>
  </r>
  <r>
    <d v="2026-01-17T00:00:00"/>
    <x v="4"/>
    <s v="YALÇINKAYA ACI BİBER SALÇASI"/>
    <m/>
    <x v="5"/>
    <s v="ST00000000925"/>
    <s v="SATIŞ"/>
    <s v="POS"/>
    <n v="1"/>
    <n v="200"/>
    <n v="200"/>
    <n v="0"/>
    <m/>
    <m/>
    <m/>
    <m/>
    <n v="0"/>
    <n v="0"/>
    <n v="7299.4346351519998"/>
  </r>
  <r>
    <d v="2026-01-17T00:00:00"/>
    <x v="4"/>
    <s v="ZERDEÇAL TOZ"/>
    <m/>
    <x v="5"/>
    <s v="ST00000000925"/>
    <s v="SATIŞ"/>
    <s v="POS"/>
    <n v="0.124"/>
    <n v="300"/>
    <n v="37.200000000000003"/>
    <n v="0"/>
    <m/>
    <m/>
    <m/>
    <m/>
    <n v="0"/>
    <n v="0"/>
    <n v="7299.4346351519998"/>
  </r>
  <r>
    <d v="2026-01-17T00:00:00"/>
    <x v="4"/>
    <s v="HİBİSKUS"/>
    <m/>
    <x v="5"/>
    <s v="ST00000000925"/>
    <s v="SATIŞ"/>
    <s v="POS"/>
    <n v="0.1"/>
    <n v="600"/>
    <n v="60"/>
    <n v="0"/>
    <m/>
    <m/>
    <m/>
    <m/>
    <n v="0"/>
    <n v="0"/>
    <n v="7299.4346351519998"/>
  </r>
  <r>
    <d v="2026-01-17T00:00:00"/>
    <x v="4"/>
    <s v="DOLMALIK SARI BİBER"/>
    <m/>
    <x v="5"/>
    <s v="ST00000000925"/>
    <s v="SATIŞ"/>
    <s v="POS"/>
    <n v="1"/>
    <n v="230"/>
    <n v="230"/>
    <n v="0"/>
    <m/>
    <m/>
    <m/>
    <m/>
    <n v="0"/>
    <n v="0"/>
    <n v="7299.4346351519998"/>
  </r>
  <r>
    <d v="2026-01-17T00:00:00"/>
    <x v="4"/>
    <s v="LG ENGİNAR SUYU 1 LT"/>
    <m/>
    <x v="1"/>
    <s v="ST00000000926"/>
    <s v="SATIŞ"/>
    <s v="NAKİT"/>
    <n v="1"/>
    <n v="170"/>
    <n v="0"/>
    <n v="0"/>
    <m/>
    <m/>
    <m/>
    <m/>
    <n v="170"/>
    <n v="0"/>
    <n v="7469.4346351519998"/>
  </r>
  <r>
    <d v="2026-01-17T00:00:00"/>
    <x v="4"/>
    <s v="İZMİR ÜZÜMÜ"/>
    <m/>
    <x v="1"/>
    <s v="ST00000000926"/>
    <s v="SATIŞ"/>
    <s v="NAKİT"/>
    <n v="0.52"/>
    <n v="250"/>
    <n v="0"/>
    <n v="0"/>
    <m/>
    <m/>
    <m/>
    <m/>
    <n v="130"/>
    <n v="0"/>
    <n v="7599.4346351519998"/>
  </r>
  <r>
    <d v="2026-01-17T00:00:00"/>
    <x v="4"/>
    <s v="EL-RUHA ÇAY 400 GR"/>
    <m/>
    <x v="1"/>
    <s v="ST00000000927"/>
    <s v="SATIŞ"/>
    <s v="NAKİT"/>
    <n v="1"/>
    <n v="300"/>
    <n v="0"/>
    <n v="0"/>
    <m/>
    <m/>
    <m/>
    <m/>
    <n v="300"/>
    <n v="0"/>
    <n v="7899.4346351519998"/>
  </r>
  <r>
    <d v="2026-01-17T00:00:00"/>
    <x v="4"/>
    <s v="MS 09 DERMA ÖRME SOPALI SIRT LİFİ"/>
    <m/>
    <x v="1"/>
    <s v="ST00000000927"/>
    <s v="SATIŞ"/>
    <s v="NAKİT"/>
    <n v="1"/>
    <n v="150"/>
    <n v="0"/>
    <n v="0"/>
    <m/>
    <m/>
    <m/>
    <m/>
    <n v="150"/>
    <n v="0"/>
    <n v="8049.4346351519998"/>
  </r>
  <r>
    <d v="2026-01-17T00:00:00"/>
    <x v="4"/>
    <s v="İNCİR KÜÇÜK"/>
    <m/>
    <x v="5"/>
    <s v="ST00000000928"/>
    <s v="SATIŞ"/>
    <s v="POS"/>
    <n v="1"/>
    <n v="570"/>
    <n v="570"/>
    <n v="0"/>
    <m/>
    <m/>
    <m/>
    <m/>
    <n v="0"/>
    <n v="0"/>
    <n v="8049.4346351519998"/>
  </r>
  <r>
    <d v="2026-01-17T00:00:00"/>
    <x v="4"/>
    <s v="KABUKLU CEVİZ (YERLİ)"/>
    <m/>
    <x v="5"/>
    <s v="ST00000000929"/>
    <s v="SATIŞ"/>
    <s v="POS"/>
    <n v="1"/>
    <n v="250"/>
    <n v="250"/>
    <n v="0"/>
    <m/>
    <m/>
    <m/>
    <m/>
    <n v="0"/>
    <n v="0"/>
    <n v="8049.4346351519998"/>
  </r>
  <r>
    <d v="2026-01-17T00:00:00"/>
    <x v="4"/>
    <s v="LEBLEBİ ŞEKER RENKLİ"/>
    <m/>
    <x v="5"/>
    <s v="ST00000000929"/>
    <s v="SATIŞ"/>
    <s v="POS"/>
    <n v="0.15217391304347827"/>
    <n v="230"/>
    <n v="35"/>
    <n v="0"/>
    <m/>
    <m/>
    <m/>
    <m/>
    <n v="0"/>
    <n v="0"/>
    <n v="8049.4346351519998"/>
  </r>
  <r>
    <d v="2026-01-17T00:00:00"/>
    <x v="4"/>
    <s v="KARANFİL YAĞI 10 CC"/>
    <m/>
    <x v="5"/>
    <s v="ST00000000930"/>
    <s v="SATIŞ"/>
    <s v="POS"/>
    <n v="1"/>
    <n v="130"/>
    <n v="130"/>
    <n v="0"/>
    <m/>
    <m/>
    <m/>
    <m/>
    <n v="0"/>
    <n v="0"/>
    <n v="8049.4346351519998"/>
  </r>
  <r>
    <d v="2026-01-17T00:00:00"/>
    <x v="4"/>
    <s v="YENİ MAHSÜL PAPATYA"/>
    <m/>
    <x v="1"/>
    <s v="ST00000000931"/>
    <s v="SATIŞ"/>
    <s v="NAKİT"/>
    <n v="0.04"/>
    <n v="1250"/>
    <n v="0"/>
    <n v="0"/>
    <m/>
    <m/>
    <m/>
    <m/>
    <n v="50"/>
    <n v="0"/>
    <n v="8099.4346351519998"/>
  </r>
  <r>
    <d v="2026-01-17T00:00:00"/>
    <x v="4"/>
    <s v="KABUKLU CEVİZ (YERLİ)"/>
    <m/>
    <x v="1"/>
    <s v="ST00000000931"/>
    <s v="SATIŞ"/>
    <s v="NAKİT"/>
    <n v="2"/>
    <n v="250"/>
    <n v="0"/>
    <n v="0"/>
    <m/>
    <m/>
    <m/>
    <m/>
    <n v="500"/>
    <n v="0"/>
    <n v="8599.4346351519998"/>
  </r>
  <r>
    <d v="2026-01-17T00:00:00"/>
    <x v="10"/>
    <m/>
    <m/>
    <x v="5"/>
    <m/>
    <s v="POS ÇÖZÜMÜ"/>
    <s v="POS"/>
    <n v="1"/>
    <n v="590"/>
    <n v="0"/>
    <n v="590"/>
    <m/>
    <m/>
    <m/>
    <m/>
    <n v="590"/>
    <n v="0"/>
    <n v="9189.4346351519998"/>
  </r>
  <r>
    <d v="2026-01-17T00:00:00"/>
    <x v="10"/>
    <m/>
    <m/>
    <x v="5"/>
    <m/>
    <s v="POS ÇÖZÜMÜ"/>
    <s v="POS"/>
    <n v="1"/>
    <n v="1065"/>
    <n v="0"/>
    <n v="1065"/>
    <m/>
    <m/>
    <m/>
    <m/>
    <n v="1065"/>
    <n v="0"/>
    <n v="10254.434635152"/>
  </r>
  <r>
    <d v="2026-01-18T00:00:00"/>
    <x v="4"/>
    <s v="AÇIK KAYISI İRİ (SARI)"/>
    <m/>
    <x v="5"/>
    <s v="ST00000000932"/>
    <s v="SATIŞ"/>
    <s v="POS"/>
    <n v="0.28999999999999998"/>
    <n v="690"/>
    <n v="200.1"/>
    <n v="0"/>
    <m/>
    <m/>
    <m/>
    <m/>
    <n v="0"/>
    <n v="0"/>
    <n v="10254.434635152"/>
  </r>
  <r>
    <d v="2026-01-18T00:00:00"/>
    <x v="4"/>
    <s v="TOZ BİBER - TATLI"/>
    <m/>
    <x v="5"/>
    <s v="ST00000000932"/>
    <s v="SATIŞ"/>
    <s v="POS"/>
    <n v="9.6000000000000002E-2"/>
    <n v="370"/>
    <n v="35.520000000000003"/>
    <n v="0"/>
    <m/>
    <m/>
    <m/>
    <m/>
    <n v="0"/>
    <n v="0"/>
    <n v="10254.434635152"/>
  </r>
  <r>
    <d v="2026-01-18T00:00:00"/>
    <x v="4"/>
    <s v="NANE İRİ"/>
    <m/>
    <x v="5"/>
    <s v="ST00000000932"/>
    <s v="SATIŞ"/>
    <s v="POS"/>
    <n v="3.4000000000000002E-2"/>
    <n v="400"/>
    <n v="13.600000000000001"/>
    <n v="0"/>
    <m/>
    <m/>
    <m/>
    <m/>
    <n v="0"/>
    <n v="0"/>
    <n v="10254.434635152"/>
  </r>
  <r>
    <d v="2026-01-18T00:00:00"/>
    <x v="4"/>
    <s v="KEKİK LÜX"/>
    <m/>
    <x v="5"/>
    <s v="ST00000000932"/>
    <s v="SATIŞ"/>
    <s v="POS"/>
    <n v="1.7999999999999999E-2"/>
    <n v="760"/>
    <n v="13.68"/>
    <n v="0"/>
    <m/>
    <m/>
    <m/>
    <m/>
    <n v="0"/>
    <n v="0"/>
    <n v="10254.434635152"/>
  </r>
  <r>
    <d v="2026-01-18T00:00:00"/>
    <x v="4"/>
    <s v="REZENE"/>
    <m/>
    <x v="5"/>
    <s v="ST00000000932"/>
    <s v="SATIŞ"/>
    <s v="POS"/>
    <n v="0.05"/>
    <n v="800"/>
    <n v="40"/>
    <n v="0"/>
    <m/>
    <m/>
    <m/>
    <m/>
    <n v="0"/>
    <n v="0"/>
    <n v="10254.434635152"/>
  </r>
  <r>
    <d v="2026-01-18T00:00:00"/>
    <x v="4"/>
    <s v="HİNDİSTAN CEVİZİ YAĞI 20 CC"/>
    <m/>
    <x v="5"/>
    <s v="ST00000000932"/>
    <s v="SATIŞ"/>
    <s v="POS"/>
    <n v="1"/>
    <n v="110"/>
    <n v="110"/>
    <n v="0"/>
    <m/>
    <m/>
    <m/>
    <m/>
    <n v="0"/>
    <n v="0"/>
    <n v="10254.434635152"/>
  </r>
  <r>
    <d v="2026-01-18T00:00:00"/>
    <x v="4"/>
    <s v="İZMİR ÜZÜMÜ"/>
    <m/>
    <x v="5"/>
    <s v="ST00000000932"/>
    <s v="SATIŞ"/>
    <s v="POS"/>
    <n v="0.35199999999999998"/>
    <n v="250"/>
    <n v="88"/>
    <n v="0"/>
    <m/>
    <m/>
    <m/>
    <m/>
    <n v="0"/>
    <n v="0"/>
    <n v="10254.434635152"/>
  </r>
  <r>
    <d v="2026-01-18T00:00:00"/>
    <x v="4"/>
    <s v="AÇLIK OTU"/>
    <m/>
    <x v="5"/>
    <s v="ST00000000933"/>
    <s v="SATIŞ"/>
    <s v="POS"/>
    <n v="9.6000000000000002E-2"/>
    <n v="420"/>
    <n v="40.32"/>
    <n v="0"/>
    <m/>
    <m/>
    <m/>
    <m/>
    <n v="0"/>
    <n v="0"/>
    <n v="10254.434635152"/>
  </r>
  <r>
    <d v="2026-01-18T00:00:00"/>
    <x v="4"/>
    <s v="YALÇINKAYA ACI BİBER SALÇASI"/>
    <m/>
    <x v="1"/>
    <s v="ST00000000934"/>
    <s v="SATIŞ - NECAT"/>
    <s v="NAKİT"/>
    <n v="2"/>
    <n v="200"/>
    <n v="0"/>
    <n v="0"/>
    <m/>
    <m/>
    <m/>
    <m/>
    <n v="400"/>
    <n v="0"/>
    <n v="10654.434635152"/>
  </r>
  <r>
    <d v="2026-01-18T00:00:00"/>
    <x v="4"/>
    <s v="YALÇINKAYA DOMATES SALÇASI"/>
    <m/>
    <x v="1"/>
    <s v="ST00000000934"/>
    <s v="SATIŞ - NECAT"/>
    <s v="NAKİT"/>
    <n v="2"/>
    <n v="150"/>
    <n v="0"/>
    <n v="0"/>
    <m/>
    <m/>
    <m/>
    <m/>
    <n v="300"/>
    <n v="0"/>
    <n v="10954.434635152"/>
  </r>
  <r>
    <d v="2026-01-18T00:00:00"/>
    <x v="4"/>
    <s v="EL-RUHA ÇAY (AÇIK)"/>
    <m/>
    <x v="1"/>
    <s v="ST00000000935"/>
    <s v="SATIŞ - HÜLYA"/>
    <s v="NAKİT"/>
    <n v="13"/>
    <n v="600"/>
    <n v="0"/>
    <n v="0"/>
    <m/>
    <m/>
    <m/>
    <m/>
    <n v="7800"/>
    <n v="0"/>
    <n v="18754.434635152"/>
  </r>
  <r>
    <d v="2026-01-18T00:00:00"/>
    <x v="4"/>
    <s v="YENİGÜN HARNUP PEKMEZİ 1.250 GR"/>
    <m/>
    <x v="1"/>
    <s v="ST00000000936"/>
    <s v="SATIŞ - TÜLAY"/>
    <s v="NAKİT"/>
    <n v="1"/>
    <n v="190"/>
    <n v="0"/>
    <n v="0"/>
    <m/>
    <m/>
    <m/>
    <m/>
    <n v="190"/>
    <n v="0"/>
    <n v="18944.434635152"/>
  </r>
  <r>
    <d v="2026-01-18T00:00:00"/>
    <x v="4"/>
    <s v="ÇÖREKOTU YAĞI 50 CC"/>
    <m/>
    <x v="1"/>
    <s v="ST00000000936"/>
    <s v="SATIŞ - TÜLAY"/>
    <s v="NAKİT"/>
    <n v="1"/>
    <n v="170"/>
    <n v="0"/>
    <n v="0"/>
    <m/>
    <m/>
    <m/>
    <m/>
    <n v="170"/>
    <n v="0"/>
    <n v="19114.434635152"/>
  </r>
  <r>
    <d v="2026-01-18T00:00:00"/>
    <x v="4"/>
    <s v="HİNT YAĞI 50 CC"/>
    <m/>
    <x v="1"/>
    <s v="ST00000000936"/>
    <s v="SATIŞ - TÜLAY"/>
    <s v="NAKİT"/>
    <n v="1"/>
    <n v="130"/>
    <n v="0"/>
    <n v="0"/>
    <m/>
    <m/>
    <m/>
    <m/>
    <n v="130"/>
    <n v="0"/>
    <n v="19244.434635152"/>
  </r>
  <r>
    <d v="2026-01-18T00:00:00"/>
    <x v="4"/>
    <s v="HAYIT TOHUMU"/>
    <m/>
    <x v="1"/>
    <s v="ST00000000937"/>
    <s v="SATIŞ - ZAKARİYE"/>
    <s v="NAKİT"/>
    <n v="0.1"/>
    <n v="900"/>
    <n v="0"/>
    <n v="0"/>
    <m/>
    <m/>
    <m/>
    <m/>
    <n v="90"/>
    <n v="0"/>
    <n v="19334.434635152"/>
  </r>
  <r>
    <d v="2026-01-18T00:00:00"/>
    <x v="4"/>
    <s v="HİNT YAĞI 50 CC"/>
    <m/>
    <x v="1"/>
    <s v="ST00000000938"/>
    <s v="SATIŞ - ZAKARİYE"/>
    <s v="NAKİT"/>
    <n v="1"/>
    <n v="130"/>
    <n v="0"/>
    <n v="0"/>
    <m/>
    <m/>
    <m/>
    <m/>
    <n v="130"/>
    <n v="0"/>
    <n v="19464.434635152"/>
  </r>
  <r>
    <d v="2026-01-18T00:00:00"/>
    <x v="4"/>
    <s v="CİVAN PERÇEMİ"/>
    <m/>
    <x v="1"/>
    <s v="ST00000000939"/>
    <s v="SATIŞ - ZAKARİYE"/>
    <s v="NAKİT"/>
    <n v="0.1"/>
    <n v="1000"/>
    <n v="0"/>
    <n v="0"/>
    <m/>
    <m/>
    <m/>
    <m/>
    <n v="100"/>
    <n v="0"/>
    <n v="19564.434635152"/>
  </r>
  <r>
    <d v="2026-01-18T00:00:00"/>
    <x v="4"/>
    <s v="HATMİ ÇİÇEĞİ"/>
    <m/>
    <x v="1"/>
    <s v="ST00000000940"/>
    <s v="SATIŞ - ZAKARİYE"/>
    <s v="NAKİT"/>
    <n v="0.05"/>
    <n v="1400"/>
    <n v="0"/>
    <n v="0"/>
    <m/>
    <m/>
    <m/>
    <m/>
    <n v="70"/>
    <n v="0"/>
    <n v="19634.434635152"/>
  </r>
  <r>
    <d v="2026-01-18T00:00:00"/>
    <x v="4"/>
    <s v="TÜDAB TURŞU BİBER"/>
    <m/>
    <x v="5"/>
    <s v="ST00000000941"/>
    <s v="SATIŞ"/>
    <s v="POS"/>
    <n v="1"/>
    <n v="350"/>
    <n v="350"/>
    <n v="0"/>
    <m/>
    <m/>
    <m/>
    <m/>
    <n v="0"/>
    <n v="0"/>
    <n v="19634.434635152"/>
  </r>
  <r>
    <d v="2026-01-18T00:00:00"/>
    <x v="10"/>
    <m/>
    <m/>
    <x v="5"/>
    <m/>
    <s v="POS ÇÖZÜMÜ"/>
    <s v="POS"/>
    <n v="1"/>
    <n v="1235"/>
    <n v="0"/>
    <n v="1235"/>
    <m/>
    <m/>
    <m/>
    <m/>
    <n v="1235"/>
    <n v="0"/>
    <n v="20869.434635152"/>
  </r>
  <r>
    <d v="2026-01-18T00:00:00"/>
    <x v="10"/>
    <m/>
    <m/>
    <x v="5"/>
    <m/>
    <s v="POS ÇÖZÜMÜ"/>
    <s v="POS"/>
    <n v="1"/>
    <n v="950"/>
    <n v="0"/>
    <n v="950"/>
    <m/>
    <m/>
    <m/>
    <m/>
    <n v="950"/>
    <n v="0"/>
    <n v="21819.434635152"/>
  </r>
  <r>
    <d v="2026-01-19T00:00:00"/>
    <x v="4"/>
    <s v="KARANFİL"/>
    <m/>
    <x v="1"/>
    <s v="ST00000000942"/>
    <s v="SATIŞ"/>
    <s v="NAKİT"/>
    <n v="0.05"/>
    <n v="800"/>
    <n v="0"/>
    <n v="0"/>
    <m/>
    <m/>
    <m/>
    <m/>
    <n v="40"/>
    <n v="0"/>
    <n v="21859.434635152"/>
  </r>
  <r>
    <d v="2026-01-19T00:00:00"/>
    <x v="4"/>
    <s v="ÇÖREKOTU"/>
    <m/>
    <x v="1"/>
    <s v="ST00000000942"/>
    <s v="SATIŞ"/>
    <s v="NAKİT"/>
    <n v="0.1"/>
    <n v="400"/>
    <n v="0"/>
    <n v="0"/>
    <m/>
    <m/>
    <m/>
    <m/>
    <n v="40"/>
    <n v="0"/>
    <n v="21899.434635152"/>
  </r>
  <r>
    <d v="2026-01-19T00:00:00"/>
    <x v="4"/>
    <s v="NANE İRİ"/>
    <m/>
    <x v="1"/>
    <s v="ST00000000942"/>
    <s v="SATIŞ"/>
    <s v="NAKİT"/>
    <n v="0.05"/>
    <n v="400"/>
    <n v="0"/>
    <n v="0"/>
    <m/>
    <m/>
    <m/>
    <m/>
    <n v="20"/>
    <n v="0"/>
    <n v="21919.434635152"/>
  </r>
  <r>
    <d v="2026-01-19T00:00:00"/>
    <x v="4"/>
    <s v="TOZ BİBER - ACI"/>
    <m/>
    <x v="1"/>
    <s v="ST00000000942"/>
    <s v="SATIŞ"/>
    <s v="NAKİT"/>
    <n v="0.13513513513513514"/>
    <n v="370"/>
    <n v="0"/>
    <n v="0"/>
    <m/>
    <m/>
    <m/>
    <m/>
    <n v="50"/>
    <n v="0"/>
    <n v="21969.434635152"/>
  </r>
  <r>
    <d v="2026-01-19T00:00:00"/>
    <x v="4"/>
    <s v="KARABİBER ÇEKİLMİŞ"/>
    <m/>
    <x v="1"/>
    <s v="ST00000000942"/>
    <s v="SATIŞ"/>
    <s v="NAKİT"/>
    <n v="4.6875E-2"/>
    <n v="640"/>
    <n v="0"/>
    <n v="0"/>
    <m/>
    <m/>
    <m/>
    <m/>
    <n v="30"/>
    <n v="0"/>
    <n v="21999.434635152"/>
  </r>
  <r>
    <d v="2026-01-19T00:00:00"/>
    <x v="4"/>
    <s v="EVLİK BİBER"/>
    <m/>
    <x v="1"/>
    <s v="ST00000000943"/>
    <s v="SATIŞ"/>
    <s v="NAKİT"/>
    <n v="0.26400000000000001"/>
    <n v="380"/>
    <n v="0"/>
    <n v="0"/>
    <m/>
    <m/>
    <m/>
    <m/>
    <n v="100.32000000000001"/>
    <n v="0"/>
    <n v="22099.754635152"/>
  </r>
  <r>
    <d v="2026-01-19T00:00:00"/>
    <x v="4"/>
    <s v="KEKİK LÜX"/>
    <m/>
    <x v="1"/>
    <s v="ST00000000943"/>
    <s v="SATIŞ"/>
    <s v="NAKİT"/>
    <n v="6.5789473684210523E-2"/>
    <n v="760"/>
    <n v="0"/>
    <n v="0"/>
    <m/>
    <m/>
    <m/>
    <m/>
    <n v="50"/>
    <n v="0"/>
    <n v="22149.754635152"/>
  </r>
  <r>
    <d v="2026-01-19T00:00:00"/>
    <x v="4"/>
    <s v="TÜDAB KIŞ ÇAYI 200 GR"/>
    <m/>
    <x v="1"/>
    <s v="ST00000000943"/>
    <s v="SATIŞ"/>
    <s v="NAKİT"/>
    <n v="1"/>
    <n v="100"/>
    <n v="0"/>
    <n v="0"/>
    <m/>
    <m/>
    <m/>
    <m/>
    <n v="100"/>
    <n v="0"/>
    <n v="22249.754635152"/>
  </r>
  <r>
    <d v="2026-01-19T00:00:00"/>
    <x v="4"/>
    <s v="EL-RUHA ÇAY (AÇIK)"/>
    <m/>
    <x v="1"/>
    <s v="ST00000000943"/>
    <s v="SATIŞ"/>
    <s v="NAKİT"/>
    <n v="0.16800000000000001"/>
    <n v="600"/>
    <n v="0"/>
    <n v="0"/>
    <m/>
    <m/>
    <m/>
    <m/>
    <n v="100.80000000000001"/>
    <n v="0"/>
    <n v="22350.554635151999"/>
  </r>
  <r>
    <d v="2026-01-19T00:00:00"/>
    <x v="4"/>
    <s v="KEKİK LÜX"/>
    <m/>
    <x v="1"/>
    <s v="ST00000000944"/>
    <s v="SATIŞ"/>
    <s v="NAKİT"/>
    <n v="6.5789473684210523E-2"/>
    <n v="760"/>
    <n v="0"/>
    <n v="0"/>
    <m/>
    <m/>
    <m/>
    <m/>
    <n v="50"/>
    <n v="0"/>
    <n v="22400.554635151999"/>
  </r>
  <r>
    <d v="2026-01-19T00:00:00"/>
    <x v="4"/>
    <s v="YALÇINKAYA ACI BİBER SALÇASI"/>
    <m/>
    <x v="1"/>
    <s v="ST00000000944"/>
    <s v="SATIŞ"/>
    <s v="NAKİT"/>
    <n v="2"/>
    <n v="200"/>
    <n v="0"/>
    <n v="0"/>
    <m/>
    <m/>
    <m/>
    <m/>
    <n v="400"/>
    <n v="0"/>
    <n v="22800.554635151999"/>
  </r>
  <r>
    <d v="2026-01-19T00:00:00"/>
    <x v="4"/>
    <s v="TÜDAB KARIŞIK TURŞU"/>
    <m/>
    <x v="5"/>
    <s v="ST00000000945"/>
    <s v="SATIŞ"/>
    <s v="POS"/>
    <n v="1"/>
    <n v="400"/>
    <n v="400"/>
    <n v="0"/>
    <m/>
    <m/>
    <m/>
    <m/>
    <n v="0"/>
    <n v="0"/>
    <n v="22800.554635151999"/>
  </r>
  <r>
    <d v="2026-01-19T00:00:00"/>
    <x v="4"/>
    <s v="İNCİR KÜÇÜK"/>
    <m/>
    <x v="5"/>
    <s v="ST00000000945"/>
    <s v="SATIŞ"/>
    <s v="POS"/>
    <n v="1"/>
    <n v="570"/>
    <n v="570"/>
    <n v="0"/>
    <m/>
    <m/>
    <m/>
    <m/>
    <n v="0"/>
    <n v="0"/>
    <n v="22800.554635151999"/>
  </r>
  <r>
    <d v="2026-01-19T00:00:00"/>
    <x v="4"/>
    <s v="HİNT KINASI KAHVERENGİ (TEKLİ SATILACAK - 6 ADET)"/>
    <m/>
    <x v="5"/>
    <s v="ST00000000945"/>
    <s v="SATIŞ"/>
    <s v="POS"/>
    <n v="2"/>
    <n v="35"/>
    <n v="70"/>
    <n v="0"/>
    <m/>
    <m/>
    <m/>
    <m/>
    <n v="0"/>
    <n v="0"/>
    <n v="22800.554635151999"/>
  </r>
  <r>
    <d v="2026-01-19T00:00:00"/>
    <x v="4"/>
    <s v="KABUKLU CEVİZ (YERLİ)"/>
    <m/>
    <x v="5"/>
    <s v="ST00000000945"/>
    <s v="SATIŞ"/>
    <s v="POS"/>
    <n v="1"/>
    <n v="250"/>
    <n v="250"/>
    <n v="0"/>
    <m/>
    <m/>
    <m/>
    <m/>
    <n v="0"/>
    <n v="0"/>
    <n v="22800.554635151999"/>
  </r>
  <r>
    <d v="2026-01-19T00:00:00"/>
    <x v="4"/>
    <s v="FORTEM AĞRI KESİCİ KREM"/>
    <m/>
    <x v="5"/>
    <s v="ST00000000946"/>
    <s v="SATIŞ"/>
    <s v="POS"/>
    <n v="1"/>
    <n v="350"/>
    <n v="350"/>
    <n v="0"/>
    <m/>
    <m/>
    <m/>
    <m/>
    <n v="0"/>
    <n v="0"/>
    <n v="22800.554635151999"/>
  </r>
  <r>
    <d v="2026-01-19T00:00:00"/>
    <x v="4"/>
    <s v="ŞİFAVER BITTIM HATAY SABUNU"/>
    <m/>
    <x v="5"/>
    <s v="ST00000000946"/>
    <s v="SATIŞ"/>
    <s v="POS"/>
    <n v="1"/>
    <n v="50"/>
    <n v="50"/>
    <n v="0"/>
    <m/>
    <m/>
    <m/>
    <m/>
    <n v="0"/>
    <n v="0"/>
    <n v="22800.554635151999"/>
  </r>
  <r>
    <d v="2026-01-19T00:00:00"/>
    <x v="4"/>
    <s v="HASEVLİK"/>
    <m/>
    <x v="1"/>
    <s v="ST00000000947"/>
    <s v="SATIŞ"/>
    <s v="NAKİT"/>
    <n v="0.16800000000000001"/>
    <n v="420"/>
    <n v="0"/>
    <n v="0"/>
    <m/>
    <m/>
    <m/>
    <m/>
    <n v="70.56"/>
    <n v="0"/>
    <n v="22871.114635152"/>
  </r>
  <r>
    <d v="2026-01-19T00:00:00"/>
    <x v="4"/>
    <s v="İSOT"/>
    <m/>
    <x v="1"/>
    <s v="ST00000000947"/>
    <s v="SATIŞ"/>
    <s v="NAKİT"/>
    <n v="0.14799999999999999"/>
    <n v="380"/>
    <n v="0"/>
    <n v="0"/>
    <m/>
    <m/>
    <m/>
    <m/>
    <n v="56.239999999999995"/>
    <n v="0"/>
    <n v="22927.354635152002"/>
  </r>
  <r>
    <d v="2026-01-19T00:00:00"/>
    <x v="4"/>
    <s v="ŞİFAVER BITTIM HATAY SABUNU"/>
    <m/>
    <x v="1"/>
    <s v="ST00000000948"/>
    <s v="SATIŞ"/>
    <s v="NAKİT"/>
    <n v="1"/>
    <n v="50"/>
    <n v="0"/>
    <n v="0"/>
    <m/>
    <m/>
    <m/>
    <m/>
    <n v="50"/>
    <n v="0"/>
    <n v="22977.354635152002"/>
  </r>
  <r>
    <d v="2026-01-19T00:00:00"/>
    <x v="4"/>
    <s v="ŞİFAVER KÜKÜRTLÜ HATAY SABUNU"/>
    <m/>
    <x v="1"/>
    <s v="ST00000000948"/>
    <s v="SATIŞ"/>
    <s v="NAKİT"/>
    <n v="1"/>
    <n v="50"/>
    <n v="0"/>
    <n v="0"/>
    <m/>
    <m/>
    <m/>
    <m/>
    <n v="50"/>
    <n v="0"/>
    <n v="23027.354635152002"/>
  </r>
  <r>
    <d v="2026-01-19T00:00:00"/>
    <x v="4"/>
    <s v="SUSAM"/>
    <m/>
    <x v="1"/>
    <s v="ST00000000949"/>
    <s v="SATIŞ - TOPTAN"/>
    <s v="NAKİT"/>
    <n v="4"/>
    <n v="120"/>
    <n v="0"/>
    <n v="0"/>
    <m/>
    <m/>
    <m/>
    <m/>
    <n v="480"/>
    <n v="0"/>
    <n v="23507.354635152002"/>
  </r>
  <r>
    <d v="2026-01-19T00:00:00"/>
    <x v="4"/>
    <s v="SUMAK"/>
    <m/>
    <x v="1"/>
    <s v="ST00000000949"/>
    <s v="SATIŞ - TOPTAN"/>
    <s v="NAKİT"/>
    <n v="1"/>
    <n v="300"/>
    <n v="0"/>
    <n v="0"/>
    <m/>
    <m/>
    <m/>
    <m/>
    <n v="300"/>
    <n v="0"/>
    <n v="23807.354635152002"/>
  </r>
  <r>
    <d v="2026-01-19T00:00:00"/>
    <x v="4"/>
    <s v="YALÇINKAYA DOMATES SALÇASI"/>
    <m/>
    <x v="1"/>
    <s v="ST00000000949"/>
    <s v="SATIŞ - TOPTAN"/>
    <s v="NAKİT"/>
    <n v="19.350000000000001"/>
    <n v="100"/>
    <n v="0"/>
    <n v="0"/>
    <m/>
    <m/>
    <m/>
    <m/>
    <n v="1935.0000000000002"/>
    <n v="0"/>
    <n v="25742.354635152002"/>
  </r>
  <r>
    <d v="2026-01-19T00:00:00"/>
    <x v="10"/>
    <m/>
    <m/>
    <x v="5"/>
    <m/>
    <s v="POS ÇÖZÜMÜ"/>
    <s v="POS"/>
    <n v="1"/>
    <n v="1080"/>
    <n v="0"/>
    <n v="1080"/>
    <m/>
    <m/>
    <m/>
    <m/>
    <n v="1080"/>
    <n v="0"/>
    <n v="26822.354635152002"/>
  </r>
  <r>
    <d v="2026-01-20T00:00:00"/>
    <x v="3"/>
    <s v="YALÇINKAYA ACI BİBER SALÇASI"/>
    <m/>
    <x v="4"/>
    <n v="996500"/>
    <s v="TÜDAB A.Ş."/>
    <s v="CARİ"/>
    <n v="19.350000000000001"/>
    <n v="95.61"/>
    <n v="0"/>
    <n v="1850"/>
    <m/>
    <m/>
    <m/>
    <m/>
    <n v="0"/>
    <n v="0"/>
    <n v="26822.354635152002"/>
  </r>
  <r>
    <d v="2026-01-20T00:00:00"/>
    <x v="3"/>
    <s v="YALÇINKAYA DOMATES SALÇASI"/>
    <m/>
    <x v="4"/>
    <n v="996500"/>
    <s v="TÜDAB A.Ş."/>
    <s v="CARİ"/>
    <n v="19.350000000000001"/>
    <n v="74.94"/>
    <n v="0"/>
    <n v="1450"/>
    <m/>
    <m/>
    <m/>
    <m/>
    <n v="0"/>
    <n v="0"/>
    <n v="26822.354635152002"/>
  </r>
  <r>
    <d v="2026-01-20T00:00:00"/>
    <x v="3"/>
    <s v="YALÇINKAYA TATLI BİBER SALÇASI"/>
    <m/>
    <x v="4"/>
    <n v="996500"/>
    <s v="TÜDAB A.Ş."/>
    <s v="CARİ"/>
    <n v="19.350000000000001"/>
    <n v="95.61"/>
    <n v="0"/>
    <n v="1850"/>
    <m/>
    <m/>
    <m/>
    <m/>
    <n v="0"/>
    <n v="0"/>
    <n v="26822.354635152002"/>
  </r>
  <r>
    <d v="2026-01-20T00:00:00"/>
    <x v="3"/>
    <s v="PATLAK MISIR"/>
    <m/>
    <x v="4"/>
    <n v="996500"/>
    <s v="TÜDAB A.Ş."/>
    <s v="CARİ"/>
    <n v="9.9499999999999993"/>
    <n v="33"/>
    <n v="0"/>
    <n v="328.34999999999997"/>
    <m/>
    <m/>
    <m/>
    <m/>
    <n v="0"/>
    <n v="0"/>
    <n v="26822.354635152002"/>
  </r>
  <r>
    <d v="2026-01-20T00:00:00"/>
    <x v="3"/>
    <s v="İRİ BEYAZ KABAK ÇEKİRDEĞİ - NEVŞEHİR"/>
    <m/>
    <x v="4"/>
    <n v="996500"/>
    <s v="TÜDAB A.Ş."/>
    <s v="CARİ"/>
    <n v="5"/>
    <n v="290"/>
    <n v="0"/>
    <n v="1450"/>
    <m/>
    <m/>
    <m/>
    <m/>
    <n v="0"/>
    <n v="0"/>
    <n v="26822.354635152002"/>
  </r>
  <r>
    <d v="2026-01-20T00:00:00"/>
    <x v="3"/>
    <s v="İZMİR ÜZÜMÜ"/>
    <m/>
    <x v="4"/>
    <n v="996500"/>
    <s v="TÜDAB A.Ş."/>
    <s v="CARİ"/>
    <n v="5"/>
    <n v="170"/>
    <n v="0"/>
    <n v="850"/>
    <m/>
    <m/>
    <m/>
    <m/>
    <n v="0"/>
    <n v="0"/>
    <n v="26822.354635152002"/>
  </r>
  <r>
    <d v="2026-01-20T00:00:00"/>
    <x v="4"/>
    <s v="DOLMALIK KURU PATLICAN"/>
    <m/>
    <x v="1"/>
    <s v="ST00000000950"/>
    <s v="SATIŞ"/>
    <s v="NAKİT"/>
    <n v="1"/>
    <n v="250"/>
    <n v="0"/>
    <n v="0"/>
    <m/>
    <m/>
    <m/>
    <m/>
    <n v="250"/>
    <n v="0"/>
    <n v="27072.354635152002"/>
  </r>
  <r>
    <d v="2026-01-20T00:00:00"/>
    <x v="4"/>
    <s v="DOMATES KURUSU"/>
    <m/>
    <x v="1"/>
    <s v="ST00000000950"/>
    <s v="SATIŞ"/>
    <s v="NAKİT"/>
    <n v="0.25"/>
    <n v="360"/>
    <n v="0"/>
    <n v="0"/>
    <m/>
    <m/>
    <m/>
    <m/>
    <n v="90"/>
    <n v="0"/>
    <n v="27162.354635152002"/>
  </r>
  <r>
    <d v="2026-01-20T00:00:00"/>
    <x v="4"/>
    <s v="DOLMALIK SARI BİBER"/>
    <m/>
    <x v="1"/>
    <s v="ST00000000950"/>
    <s v="SATIŞ"/>
    <s v="NAKİT"/>
    <n v="1"/>
    <n v="230"/>
    <n v="0"/>
    <n v="0"/>
    <m/>
    <m/>
    <m/>
    <m/>
    <n v="230"/>
    <n v="0"/>
    <n v="27392.354635152002"/>
  </r>
  <r>
    <d v="2026-01-20T00:00:00"/>
    <x v="4"/>
    <s v="ZÜHRE ANA IŞGIN SİRKESİ 500 ML"/>
    <m/>
    <x v="5"/>
    <s v="ST00000000951"/>
    <s v="SATIŞ"/>
    <s v="POS"/>
    <n v="1"/>
    <n v="170"/>
    <n v="170"/>
    <n v="0"/>
    <m/>
    <m/>
    <m/>
    <m/>
    <n v="0"/>
    <n v="0"/>
    <n v="27392.354635152002"/>
  </r>
  <r>
    <d v="2026-01-20T00:00:00"/>
    <x v="4"/>
    <s v="IHLAMUR YAPRAK"/>
    <m/>
    <x v="5"/>
    <s v="ST00000000951"/>
    <s v="SATIŞ"/>
    <s v="POS"/>
    <n v="0.05"/>
    <n v="2600"/>
    <n v="130"/>
    <n v="0"/>
    <m/>
    <m/>
    <m/>
    <m/>
    <n v="0"/>
    <n v="0"/>
    <n v="27392.354635152002"/>
  </r>
  <r>
    <d v="2026-01-20T00:00:00"/>
    <x v="4"/>
    <s v="BİZİM YAPRAK 1 LİK"/>
    <m/>
    <x v="5"/>
    <s v="ST00000000951"/>
    <s v="SATIŞ"/>
    <s v="POS"/>
    <n v="1"/>
    <n v="290"/>
    <n v="290"/>
    <n v="0"/>
    <m/>
    <m/>
    <m/>
    <m/>
    <n v="0"/>
    <n v="0"/>
    <n v="27392.354635152002"/>
  </r>
  <r>
    <d v="2026-01-20T00:00:00"/>
    <x v="4"/>
    <s v="NAHİTA KOZALAK ŞURUBU 500 ML"/>
    <m/>
    <x v="1"/>
    <s v="ST00000000952"/>
    <s v="SATIŞ"/>
    <s v="NAKİT"/>
    <n v="1"/>
    <n v="170"/>
    <n v="0"/>
    <n v="0"/>
    <m/>
    <m/>
    <m/>
    <m/>
    <n v="170"/>
    <n v="0"/>
    <n v="27562.354635152002"/>
  </r>
  <r>
    <d v="2026-01-20T00:00:00"/>
    <x v="4"/>
    <s v="HASEVLİK"/>
    <m/>
    <x v="5"/>
    <s v="ST00000000953"/>
    <s v="SATIŞ"/>
    <s v="POS"/>
    <n v="0.24399999999999999"/>
    <n v="410"/>
    <n v="100.03999999999999"/>
    <n v="0"/>
    <m/>
    <m/>
    <m/>
    <m/>
    <n v="0"/>
    <n v="0"/>
    <n v="27562.354635152002"/>
  </r>
  <r>
    <d v="2026-01-20T00:00:00"/>
    <x v="4"/>
    <s v="KEKİK LÜX"/>
    <m/>
    <x v="5"/>
    <s v="ST00000000953"/>
    <s v="SATIŞ"/>
    <s v="POS"/>
    <n v="6.6000000000000003E-2"/>
    <n v="760"/>
    <n v="50.160000000000004"/>
    <n v="0"/>
    <m/>
    <m/>
    <m/>
    <m/>
    <n v="0"/>
    <n v="0"/>
    <n v="27562.354635152002"/>
  </r>
  <r>
    <d v="2026-01-20T00:00:00"/>
    <x v="4"/>
    <s v="BUĞDAY NİŞASTASI"/>
    <m/>
    <x v="5"/>
    <s v="ST00000000953"/>
    <s v="SATIŞ"/>
    <s v="POS"/>
    <n v="0.5"/>
    <n v="120"/>
    <n v="60"/>
    <n v="0"/>
    <m/>
    <m/>
    <m/>
    <m/>
    <n v="0"/>
    <n v="0"/>
    <n v="27562.354635152002"/>
  </r>
  <r>
    <d v="2026-01-20T00:00:00"/>
    <x v="4"/>
    <s v="SUMAK"/>
    <m/>
    <x v="5"/>
    <s v="ST00000000953"/>
    <s v="SATIŞ"/>
    <s v="POS"/>
    <n v="0.20399999999999999"/>
    <n v="490"/>
    <n v="99.96"/>
    <n v="0"/>
    <m/>
    <m/>
    <m/>
    <m/>
    <n v="0"/>
    <n v="0"/>
    <n v="27562.354635152002"/>
  </r>
  <r>
    <d v="2026-01-20T00:00:00"/>
    <x v="4"/>
    <s v="İRİ BEYAZ KABAK ÇEKİRDEĞİ - NEVŞEHİR"/>
    <m/>
    <x v="1"/>
    <s v="ST00000000954"/>
    <s v="SATIŞ"/>
    <s v="NAKİT"/>
    <n v="0.28000000000000003"/>
    <n v="390"/>
    <n v="0"/>
    <n v="0"/>
    <m/>
    <m/>
    <m/>
    <m/>
    <n v="109.20000000000002"/>
    <n v="0"/>
    <n v="27671.554635152002"/>
  </r>
  <r>
    <d v="2026-01-20T00:00:00"/>
    <x v="4"/>
    <s v="İPEK BİBER"/>
    <m/>
    <x v="5"/>
    <s v="ST00000000955"/>
    <s v="SATIŞ"/>
    <s v="POS"/>
    <n v="0.372"/>
    <n v="500"/>
    <n v="186"/>
    <n v="0"/>
    <m/>
    <m/>
    <m/>
    <m/>
    <n v="0"/>
    <n v="0"/>
    <n v="27671.554635152002"/>
  </r>
  <r>
    <d v="2026-01-20T00:00:00"/>
    <x v="4"/>
    <s v="DOLMALIK SARI BİBER"/>
    <m/>
    <x v="1"/>
    <s v="ST00000000956"/>
    <s v="SATIŞ"/>
    <s v="NAKİT"/>
    <n v="1"/>
    <n v="230"/>
    <n v="0"/>
    <n v="0"/>
    <m/>
    <m/>
    <m/>
    <m/>
    <n v="230"/>
    <n v="0"/>
    <n v="27901.554635152002"/>
  </r>
  <r>
    <d v="2026-01-20T00:00:00"/>
    <x v="4"/>
    <s v="DOLMALIK KURU PATLICAN"/>
    <m/>
    <x v="1"/>
    <s v="ST00000000956"/>
    <s v="SATIŞ"/>
    <s v="NAKİT"/>
    <n v="1"/>
    <n v="250"/>
    <n v="0"/>
    <n v="0"/>
    <m/>
    <m/>
    <m/>
    <m/>
    <n v="250"/>
    <n v="0"/>
    <n v="28151.554635152002"/>
  </r>
  <r>
    <d v="2026-01-20T00:00:00"/>
    <x v="4"/>
    <s v="DOLMALIK KURU KABAK"/>
    <m/>
    <x v="1"/>
    <s v="ST00000000956"/>
    <s v="SATIŞ"/>
    <s v="NAKİT"/>
    <n v="1"/>
    <n v="250"/>
    <n v="0"/>
    <n v="0"/>
    <m/>
    <m/>
    <m/>
    <m/>
    <n v="250"/>
    <n v="0"/>
    <n v="28401.554635152002"/>
  </r>
  <r>
    <d v="2026-01-20T00:00:00"/>
    <x v="4"/>
    <s v="MİGREN TAŞI (MENTHO BOX)"/>
    <m/>
    <x v="1"/>
    <s v="ST00000000956"/>
    <s v="SATIŞ"/>
    <s v="NAKİT"/>
    <n v="1"/>
    <n v="135"/>
    <n v="0"/>
    <n v="0"/>
    <m/>
    <m/>
    <m/>
    <m/>
    <n v="135"/>
    <n v="0"/>
    <n v="28536.554635152002"/>
  </r>
  <r>
    <d v="2026-01-20T00:00:00"/>
    <x v="4"/>
    <s v="ŞENAY SUMAK EKŞİSİ 600 GR"/>
    <m/>
    <x v="1"/>
    <s v="ST00000000956"/>
    <s v="SATIŞ"/>
    <s v="NAKİT"/>
    <n v="1"/>
    <n v="190"/>
    <n v="0"/>
    <n v="0"/>
    <m/>
    <m/>
    <m/>
    <m/>
    <n v="190"/>
    <n v="0"/>
    <n v="28726.554635152002"/>
  </r>
  <r>
    <d v="2026-01-20T00:00:00"/>
    <x v="4"/>
    <s v="RUŞUR TAŞI"/>
    <m/>
    <x v="1"/>
    <s v="ST00000000956"/>
    <s v="SATIŞ"/>
    <s v="NAKİT"/>
    <n v="15"/>
    <n v="10"/>
    <n v="0"/>
    <n v="0"/>
    <m/>
    <m/>
    <m/>
    <m/>
    <n v="150"/>
    <n v="0"/>
    <n v="28876.554635152002"/>
  </r>
  <r>
    <d v="2026-01-20T00:00:00"/>
    <x v="4"/>
    <s v="DOMATES KURUSU"/>
    <m/>
    <x v="1"/>
    <s v="ST00000000956"/>
    <s v="SATIŞ"/>
    <s v="NAKİT"/>
    <n v="0.25"/>
    <n v="360"/>
    <n v="0"/>
    <n v="0"/>
    <m/>
    <m/>
    <m/>
    <m/>
    <n v="90"/>
    <n v="0"/>
    <n v="28966.554635152002"/>
  </r>
  <r>
    <d v="2026-01-20T00:00:00"/>
    <x v="4"/>
    <s v="BADEM ÇİĞ "/>
    <m/>
    <x v="1"/>
    <s v="ST00000000956"/>
    <s v="SATIŞ"/>
    <s v="NAKİT"/>
    <n v="0.23200000000000001"/>
    <n v="650"/>
    <n v="0"/>
    <n v="0"/>
    <m/>
    <m/>
    <m/>
    <m/>
    <n v="150.80000000000001"/>
    <n v="0"/>
    <n v="29117.354635152002"/>
  </r>
  <r>
    <d v="2026-01-20T00:00:00"/>
    <x v="4"/>
    <s v="KARANFİL"/>
    <m/>
    <x v="1"/>
    <s v="ST00000000957"/>
    <s v="SATIŞ"/>
    <s v="NAKİT"/>
    <n v="0.05"/>
    <n v="1200"/>
    <n v="0"/>
    <n v="0"/>
    <m/>
    <m/>
    <m/>
    <m/>
    <n v="60"/>
    <n v="0"/>
    <n v="29177.354635152002"/>
  </r>
  <r>
    <d v="2026-01-20T00:00:00"/>
    <x v="4"/>
    <s v="DOLMALIK KURU PATLICAN"/>
    <m/>
    <x v="1"/>
    <s v="ST00000000958"/>
    <s v="SATIŞ"/>
    <s v="NAKİT"/>
    <n v="1"/>
    <n v="250"/>
    <n v="0"/>
    <n v="0"/>
    <m/>
    <m/>
    <m/>
    <m/>
    <n v="250"/>
    <n v="0"/>
    <n v="29427.354635152002"/>
  </r>
  <r>
    <d v="2026-01-20T00:00:00"/>
    <x v="4"/>
    <s v="DOLMALIK KURU TATLI KIRMIZI BİBER"/>
    <m/>
    <x v="1"/>
    <s v="ST00000000958"/>
    <s v="SATIŞ"/>
    <s v="NAKİT"/>
    <n v="1"/>
    <n v="230"/>
    <n v="0"/>
    <n v="0"/>
    <m/>
    <m/>
    <m/>
    <m/>
    <n v="230"/>
    <n v="0"/>
    <n v="29657.354635152002"/>
  </r>
  <r>
    <d v="2026-01-20T00:00:00"/>
    <x v="4"/>
    <s v="MOR REYHAN"/>
    <m/>
    <x v="1"/>
    <s v="ST00000000958"/>
    <s v="SATIŞ"/>
    <s v="NAKİT"/>
    <n v="0.05"/>
    <n v="1500"/>
    <n v="0"/>
    <n v="0"/>
    <m/>
    <m/>
    <m/>
    <m/>
    <n v="75"/>
    <n v="0"/>
    <n v="29732.354635152002"/>
  </r>
  <r>
    <d v="2026-01-20T00:00:00"/>
    <x v="4"/>
    <s v="KABUKLU CEVİZ (YERLİ)"/>
    <m/>
    <x v="1"/>
    <s v="ST00000000958"/>
    <s v="SATIŞ"/>
    <s v="NAKİT"/>
    <n v="0.8"/>
    <n v="250"/>
    <n v="0"/>
    <n v="0"/>
    <m/>
    <m/>
    <m/>
    <m/>
    <n v="200"/>
    <n v="0"/>
    <n v="29932.354635152002"/>
  </r>
  <r>
    <d v="2026-01-20T00:00:00"/>
    <x v="4"/>
    <s v="EL-RUHA ÇAY (AÇIK)"/>
    <m/>
    <x v="5"/>
    <s v="ST00000000959"/>
    <s v="SATIŞ"/>
    <s v="POS"/>
    <n v="0.22500000000000001"/>
    <n v="600"/>
    <n v="135"/>
    <n v="0"/>
    <m/>
    <m/>
    <m/>
    <m/>
    <n v="0"/>
    <n v="0"/>
    <n v="29932.354635152002"/>
  </r>
  <r>
    <d v="2026-01-20T00:00:00"/>
    <x v="4"/>
    <s v="KABUKLU CEVİZ (YERLİ)"/>
    <m/>
    <x v="1"/>
    <s v="ST00000000960"/>
    <s v="SATIŞ"/>
    <s v="NAKİT"/>
    <n v="1"/>
    <n v="250"/>
    <n v="0"/>
    <n v="0"/>
    <m/>
    <m/>
    <m/>
    <m/>
    <n v="250"/>
    <n v="0"/>
    <n v="30182.354635152002"/>
  </r>
  <r>
    <d v="2026-01-20T00:00:00"/>
    <x v="4"/>
    <s v="DENİZ TAHİNLİ PİŞMANİYE"/>
    <m/>
    <x v="1"/>
    <s v="ST00000000960"/>
    <s v="SATIŞ"/>
    <s v="NAKİT"/>
    <n v="1"/>
    <n v="90"/>
    <n v="0"/>
    <n v="0"/>
    <m/>
    <m/>
    <m/>
    <m/>
    <n v="90"/>
    <n v="0"/>
    <n v="30272.354635152002"/>
  </r>
  <r>
    <d v="2026-01-20T00:00:00"/>
    <x v="4"/>
    <s v="KUDÜS HURMASI JUMBO"/>
    <m/>
    <x v="1"/>
    <s v="ST00000000960"/>
    <s v="SATIŞ"/>
    <s v="NAKİT"/>
    <n v="0.2537313432835821"/>
    <n v="670"/>
    <n v="0"/>
    <n v="0"/>
    <m/>
    <m/>
    <m/>
    <m/>
    <n v="170"/>
    <n v="0"/>
    <n v="30442.354635152002"/>
  </r>
  <r>
    <d v="2026-01-20T00:00:00"/>
    <x v="0"/>
    <m/>
    <m/>
    <x v="0"/>
    <m/>
    <s v="SERMAYE GİRİŞİ"/>
    <s v="CARİ"/>
    <n v="1"/>
    <n v="55000"/>
    <n v="0"/>
    <n v="55000"/>
    <m/>
    <m/>
    <m/>
    <m/>
    <n v="55000"/>
    <n v="0"/>
    <n v="85442.354635152005"/>
  </r>
  <r>
    <d v="2026-01-20T00:00:00"/>
    <x v="7"/>
    <m/>
    <m/>
    <x v="10"/>
    <m/>
    <s v="YAŞAR SIĞI - EL RUHA ÇAY ÖDEME"/>
    <s v="NAKİT"/>
    <n v="1"/>
    <n v="0"/>
    <n v="63800"/>
    <n v="0"/>
    <m/>
    <m/>
    <m/>
    <m/>
    <n v="0"/>
    <n v="63800"/>
    <n v="21642.354635152005"/>
  </r>
  <r>
    <d v="2026-01-20T00:00:00"/>
    <x v="10"/>
    <m/>
    <m/>
    <x v="5"/>
    <m/>
    <s v="POS ÇÖZÜMÜ"/>
    <s v="POS"/>
    <n v="1"/>
    <n v="2546"/>
    <n v="0"/>
    <n v="2546"/>
    <m/>
    <m/>
    <m/>
    <m/>
    <n v="2546"/>
    <n v="0"/>
    <n v="24188.354635152005"/>
  </r>
  <r>
    <d v="2026-01-20T00:00:00"/>
    <x v="10"/>
    <m/>
    <m/>
    <x v="5"/>
    <m/>
    <s v="POS ÇÖZÜMÜ"/>
    <s v="POS"/>
    <n v="1"/>
    <n v="215"/>
    <n v="0"/>
    <n v="215"/>
    <m/>
    <m/>
    <m/>
    <m/>
    <n v="215"/>
    <n v="0"/>
    <n v="24403.354635152005"/>
  </r>
  <r>
    <d v="2026-01-21T00:00:00"/>
    <x v="4"/>
    <s v="YALÇINKAYA DOMATES SALÇASI"/>
    <m/>
    <x v="5"/>
    <s v="ST00000000961"/>
    <s v="SATIŞ"/>
    <s v="POS"/>
    <n v="1"/>
    <n v="150"/>
    <n v="150"/>
    <n v="0"/>
    <m/>
    <m/>
    <m/>
    <m/>
    <n v="0"/>
    <n v="0"/>
    <n v="24403.354635152005"/>
  </r>
  <r>
    <d v="2026-01-21T00:00:00"/>
    <x v="4"/>
    <s v="DOLMALIK KURU PATLICAN"/>
    <m/>
    <x v="1"/>
    <s v="ST00000000962"/>
    <s v="SATIŞ"/>
    <s v="NAKİT"/>
    <n v="1"/>
    <n v="250"/>
    <n v="0"/>
    <n v="0"/>
    <m/>
    <m/>
    <m/>
    <m/>
    <n v="250"/>
    <n v="0"/>
    <n v="24653.354635152005"/>
  </r>
  <r>
    <d v="2026-01-21T00:00:00"/>
    <x v="4"/>
    <s v="LOBAS SAF NAR EKŞİSİ 1 KG"/>
    <m/>
    <x v="5"/>
    <s v="ST00000000963"/>
    <s v="SATIŞ"/>
    <s v="POS"/>
    <n v="1"/>
    <n v="305"/>
    <n v="305"/>
    <n v="0"/>
    <m/>
    <m/>
    <m/>
    <m/>
    <n v="0"/>
    <n v="0"/>
    <n v="24653.354635152005"/>
  </r>
  <r>
    <d v="2026-01-21T00:00:00"/>
    <x v="4"/>
    <s v="SUMAK"/>
    <m/>
    <x v="5"/>
    <s v="ST00000000963"/>
    <s v="SATIŞ"/>
    <s v="POS"/>
    <n v="0.28999999999999998"/>
    <n v="500"/>
    <n v="145"/>
    <n v="0"/>
    <m/>
    <m/>
    <m/>
    <m/>
    <n v="0"/>
    <n v="0"/>
    <n v="24653.354635152005"/>
  </r>
  <r>
    <d v="2026-01-21T00:00:00"/>
    <x v="4"/>
    <s v="EL-RUHA ÇAY (AÇIK)"/>
    <m/>
    <x v="5"/>
    <s v="ST00000000963"/>
    <s v="SATIŞ"/>
    <s v="POS"/>
    <n v="1"/>
    <n v="600"/>
    <n v="600"/>
    <n v="0"/>
    <m/>
    <m/>
    <m/>
    <m/>
    <n v="0"/>
    <n v="0"/>
    <n v="24653.354635152005"/>
  </r>
  <r>
    <d v="2026-01-21T00:00:00"/>
    <x v="4"/>
    <s v="DOLMALIK KURU PATLICAN"/>
    <m/>
    <x v="5"/>
    <s v="ST00000000964"/>
    <s v="SATIŞ"/>
    <s v="POS"/>
    <n v="1"/>
    <n v="200"/>
    <n v="200"/>
    <n v="0"/>
    <m/>
    <m/>
    <m/>
    <m/>
    <n v="0"/>
    <n v="0"/>
    <n v="24653.354635152005"/>
  </r>
  <r>
    <d v="2026-01-21T00:00:00"/>
    <x v="4"/>
    <s v="DOLMALIK KURU PATLICAN"/>
    <m/>
    <x v="5"/>
    <s v="ST00000000965"/>
    <s v="SATIŞ"/>
    <s v="POS"/>
    <n v="1"/>
    <n v="250"/>
    <n v="250"/>
    <n v="0"/>
    <m/>
    <m/>
    <m/>
    <m/>
    <n v="0"/>
    <n v="0"/>
    <n v="24653.354635152005"/>
  </r>
  <r>
    <d v="2026-01-21T00:00:00"/>
    <x v="4"/>
    <s v="DOLMALIK KURU PATLICAN"/>
    <m/>
    <x v="1"/>
    <s v="ST00000000966"/>
    <s v="SATIŞ"/>
    <s v="NAKİT"/>
    <n v="1"/>
    <n v="250"/>
    <n v="0"/>
    <n v="0"/>
    <m/>
    <m/>
    <m/>
    <m/>
    <n v="250"/>
    <n v="0"/>
    <n v="24903.354635152005"/>
  </r>
  <r>
    <d v="2026-01-21T00:00:00"/>
    <x v="4"/>
    <s v="NAHİTA ÜZÜM SİRKESİ"/>
    <m/>
    <x v="1"/>
    <s v="ST00000000967"/>
    <s v="SATIŞ"/>
    <s v="NAKİT"/>
    <n v="1"/>
    <n v="140"/>
    <n v="0"/>
    <n v="0"/>
    <m/>
    <m/>
    <m/>
    <m/>
    <n v="140"/>
    <n v="0"/>
    <n v="25043.354635152005"/>
  </r>
  <r>
    <d v="2026-01-21T00:00:00"/>
    <x v="4"/>
    <s v="NANE İRİ"/>
    <m/>
    <x v="1"/>
    <s v="ST00000000967"/>
    <s v="SATIŞ"/>
    <s v="NAKİT"/>
    <n v="2.75E-2"/>
    <n v="400"/>
    <n v="0"/>
    <n v="0"/>
    <m/>
    <m/>
    <m/>
    <m/>
    <n v="11"/>
    <n v="0"/>
    <n v="25054.354635152005"/>
  </r>
  <r>
    <d v="2026-01-21T00:00:00"/>
    <x v="4"/>
    <s v="MİX NANE LİMON ÇAYI"/>
    <m/>
    <x v="1"/>
    <s v="ST00000000968"/>
    <s v="SATIŞ"/>
    <s v="NAKİT"/>
    <n v="0.1"/>
    <n v="900"/>
    <n v="0"/>
    <n v="0"/>
    <m/>
    <m/>
    <m/>
    <m/>
    <n v="90"/>
    <n v="0"/>
    <n v="25144.354635152005"/>
  </r>
  <r>
    <d v="2026-01-21T00:00:00"/>
    <x v="4"/>
    <s v="DOLMALIK KURU PATLICAN"/>
    <m/>
    <x v="5"/>
    <s v="ST00000000969"/>
    <s v="SATIŞ"/>
    <s v="POS"/>
    <n v="1"/>
    <n v="250"/>
    <n v="250"/>
    <n v="0"/>
    <m/>
    <m/>
    <m/>
    <m/>
    <n v="0"/>
    <n v="0"/>
    <n v="25144.354635152005"/>
  </r>
  <r>
    <d v="2026-01-21T00:00:00"/>
    <x v="4"/>
    <s v="YALÇINKAYA DOMATES SALÇASI"/>
    <m/>
    <x v="1"/>
    <s v="ST00000000970"/>
    <s v="SATIŞ"/>
    <s v="NAKİT"/>
    <n v="1"/>
    <n v="150"/>
    <n v="0"/>
    <n v="0"/>
    <m/>
    <m/>
    <m/>
    <m/>
    <n v="150"/>
    <n v="0"/>
    <n v="25294.354635152005"/>
  </r>
  <r>
    <d v="2026-01-21T00:00:00"/>
    <x v="4"/>
    <s v="HASEVLİK"/>
    <m/>
    <x v="1"/>
    <s v="ST00000000971"/>
    <s v="SATIŞ"/>
    <s v="NAKİT"/>
    <n v="0.47619047619047616"/>
    <n v="420"/>
    <n v="0"/>
    <n v="0"/>
    <m/>
    <m/>
    <m/>
    <m/>
    <n v="200"/>
    <n v="0"/>
    <n v="25494.354635152005"/>
  </r>
  <r>
    <d v="2026-01-21T00:00:00"/>
    <x v="4"/>
    <s v="YALÇINKAYA ACI BİBER SALÇASI"/>
    <m/>
    <x v="1"/>
    <s v="ST00000000971"/>
    <s v="SATIŞ"/>
    <s v="NAKİT"/>
    <n v="0.5"/>
    <n v="200"/>
    <n v="0"/>
    <n v="0"/>
    <m/>
    <m/>
    <m/>
    <m/>
    <n v="100"/>
    <n v="0"/>
    <n v="25594.354635152005"/>
  </r>
  <r>
    <d v="2026-01-21T00:00:00"/>
    <x v="10"/>
    <m/>
    <m/>
    <x v="5"/>
    <m/>
    <s v="POS ÇÖZÜMÜ"/>
    <s v="POS"/>
    <n v="1"/>
    <n v="1107"/>
    <n v="0"/>
    <n v="1107"/>
    <m/>
    <m/>
    <m/>
    <m/>
    <n v="1107"/>
    <n v="0"/>
    <n v="26701.354635152005"/>
  </r>
  <r>
    <d v="2026-01-21T00:00:00"/>
    <x v="10"/>
    <m/>
    <m/>
    <x v="5"/>
    <m/>
    <s v="POS ÇÖZÜMÜ"/>
    <s v="POS"/>
    <n v="1"/>
    <n v="1227"/>
    <n v="0"/>
    <n v="1227"/>
    <m/>
    <m/>
    <m/>
    <m/>
    <n v="1227"/>
    <n v="0"/>
    <n v="27928.354635152005"/>
  </r>
  <r>
    <d v="2026-01-22T00:00:00"/>
    <x v="4"/>
    <s v="YALÇINKAYA ACI BİBER SALÇASI"/>
    <m/>
    <x v="1"/>
    <s v="ST00000000972"/>
    <s v="SATIŞ"/>
    <s v="NAKİT"/>
    <n v="0.3"/>
    <n v="200"/>
    <n v="0"/>
    <n v="0"/>
    <m/>
    <m/>
    <m/>
    <m/>
    <n v="60"/>
    <n v="0"/>
    <n v="27988.354635152005"/>
  </r>
  <r>
    <d v="2026-01-22T00:00:00"/>
    <x v="4"/>
    <s v="DOLMALIK SARI BİBER"/>
    <m/>
    <x v="1"/>
    <s v="ST00000000972"/>
    <s v="SATIŞ"/>
    <s v="NAKİT"/>
    <n v="1"/>
    <n v="230"/>
    <n v="0"/>
    <n v="0"/>
    <m/>
    <m/>
    <m/>
    <m/>
    <n v="230"/>
    <n v="0"/>
    <n v="28218.354635152005"/>
  </r>
  <r>
    <d v="2026-01-22T00:00:00"/>
    <x v="4"/>
    <s v="EMBEAUTY KOLEJAN VE KERATİN SAÇ DÖKÜLMESİNE KARŞI ONARICI DOLGUNLAŞTIRICI ŞAMPUAN 400 ML"/>
    <m/>
    <x v="5"/>
    <s v="ST00000000973"/>
    <s v="SATIŞ"/>
    <s v="POS"/>
    <n v="1"/>
    <n v="290"/>
    <n v="290"/>
    <n v="0"/>
    <m/>
    <m/>
    <m/>
    <m/>
    <n v="0"/>
    <n v="0"/>
    <n v="28218.354635152005"/>
  </r>
  <r>
    <d v="2026-01-22T00:00:00"/>
    <x v="4"/>
    <s v="KANTARON YAĞI 50 CC"/>
    <m/>
    <x v="1"/>
    <s v="ST00000000974"/>
    <s v="SATIŞ"/>
    <s v="NAKİT"/>
    <n v="1"/>
    <n v="125"/>
    <n v="0"/>
    <n v="0"/>
    <m/>
    <m/>
    <m/>
    <m/>
    <n v="125"/>
    <n v="0"/>
    <n v="28343.354635152005"/>
  </r>
  <r>
    <d v="2026-01-22T00:00:00"/>
    <x v="4"/>
    <s v="DOLMALIK KURU PATLICAN"/>
    <m/>
    <x v="5"/>
    <s v="ST00000000975"/>
    <s v="SATIŞ"/>
    <s v="POS"/>
    <n v="1"/>
    <n v="250"/>
    <n v="250"/>
    <n v="0"/>
    <m/>
    <m/>
    <m/>
    <m/>
    <n v="0"/>
    <n v="0"/>
    <n v="28343.354635152005"/>
  </r>
  <r>
    <d v="2026-01-22T00:00:00"/>
    <x v="4"/>
    <s v="DOLMALIK SARI BİBER"/>
    <m/>
    <x v="5"/>
    <s v="ST00000000975"/>
    <s v="SATIŞ"/>
    <s v="POS"/>
    <n v="1"/>
    <n v="230"/>
    <n v="230"/>
    <n v="0"/>
    <m/>
    <m/>
    <m/>
    <m/>
    <n v="0"/>
    <n v="0"/>
    <n v="28343.354635152005"/>
  </r>
  <r>
    <d v="2026-01-22T00:00:00"/>
    <x v="4"/>
    <s v="NANE İRİ"/>
    <m/>
    <x v="1"/>
    <s v="ST00000000976"/>
    <s v="SATIŞ"/>
    <s v="NAKİT"/>
    <n v="8.2000000000000003E-2"/>
    <n v="400"/>
    <n v="0"/>
    <n v="0"/>
    <m/>
    <m/>
    <m/>
    <m/>
    <n v="32.800000000000004"/>
    <n v="0"/>
    <n v="28376.154635152005"/>
  </r>
  <r>
    <d v="2026-01-22T00:00:00"/>
    <x v="4"/>
    <s v="KİMYON ÇEKİLMİŞ"/>
    <m/>
    <x v="1"/>
    <s v="ST00000000976"/>
    <s v="SATIŞ"/>
    <s v="NAKİT"/>
    <n v="9.1999999999999998E-2"/>
    <n v="390"/>
    <n v="0"/>
    <n v="0"/>
    <m/>
    <m/>
    <m/>
    <m/>
    <n v="35.880000000000003"/>
    <n v="0"/>
    <n v="28412.034635152006"/>
  </r>
  <r>
    <d v="2026-01-22T00:00:00"/>
    <x v="4"/>
    <s v="ZERDEÇAL TOZ"/>
    <m/>
    <x v="1"/>
    <s v="ST00000000976"/>
    <s v="SATIŞ"/>
    <s v="NAKİT"/>
    <n v="0.156"/>
    <n v="300"/>
    <n v="0"/>
    <n v="0"/>
    <m/>
    <m/>
    <m/>
    <m/>
    <n v="46.8"/>
    <n v="0"/>
    <n v="28458.834635152005"/>
  </r>
  <r>
    <d v="2026-01-22T00:00:00"/>
    <x v="4"/>
    <s v="SUMAK"/>
    <m/>
    <x v="1"/>
    <s v="ST00000000976"/>
    <s v="SATIŞ"/>
    <s v="NAKİT"/>
    <n v="0.1"/>
    <n v="500"/>
    <n v="0"/>
    <n v="0"/>
    <m/>
    <m/>
    <m/>
    <m/>
    <n v="50"/>
    <n v="0"/>
    <n v="28508.834635152005"/>
  </r>
  <r>
    <d v="2026-01-22T00:00:00"/>
    <x v="4"/>
    <s v="SUSAM"/>
    <m/>
    <x v="1"/>
    <s v="ST00000000976"/>
    <s v="SATIŞ"/>
    <s v="NAKİT"/>
    <n v="0.1"/>
    <n v="400"/>
    <n v="0"/>
    <n v="0"/>
    <m/>
    <m/>
    <m/>
    <m/>
    <n v="40"/>
    <n v="0"/>
    <n v="28548.834635152005"/>
  </r>
  <r>
    <d v="2026-01-22T00:00:00"/>
    <x v="4"/>
    <s v="HİNDİSTAN CEVİZİ ( İRİ )"/>
    <m/>
    <x v="1"/>
    <s v="ST00000000976"/>
    <s v="SATIŞ"/>
    <s v="NAKİT"/>
    <n v="0.1"/>
    <n v="350"/>
    <n v="0"/>
    <n v="0"/>
    <m/>
    <m/>
    <m/>
    <m/>
    <n v="35"/>
    <n v="0"/>
    <n v="28583.834635152005"/>
  </r>
  <r>
    <d v="2026-01-22T00:00:00"/>
    <x v="4"/>
    <s v="TOZ BİBER - TATLI"/>
    <m/>
    <x v="5"/>
    <s v="ST00000000977"/>
    <s v="SATIŞ - TOPTAN"/>
    <s v="POS"/>
    <n v="2"/>
    <n v="250"/>
    <n v="500"/>
    <n v="0"/>
    <m/>
    <m/>
    <m/>
    <m/>
    <n v="0"/>
    <n v="0"/>
    <n v="28583.834635152005"/>
  </r>
  <r>
    <d v="2026-01-22T00:00:00"/>
    <x v="4"/>
    <s v="SUMAK"/>
    <m/>
    <x v="5"/>
    <s v="ST00000000977"/>
    <s v="SATIŞ - TOPTAN"/>
    <s v="POS"/>
    <n v="1"/>
    <n v="260"/>
    <n v="260"/>
    <n v="0"/>
    <m/>
    <m/>
    <m/>
    <m/>
    <n v="0"/>
    <n v="0"/>
    <n v="28583.834635152005"/>
  </r>
  <r>
    <d v="2026-01-22T00:00:00"/>
    <x v="4"/>
    <s v="EVLİK BİBER"/>
    <m/>
    <x v="5"/>
    <s v="ST00000000977"/>
    <s v="SATIŞ - TOPTAN"/>
    <s v="POS"/>
    <n v="1"/>
    <n v="235"/>
    <n v="235"/>
    <n v="0"/>
    <m/>
    <m/>
    <m/>
    <m/>
    <n v="0"/>
    <n v="0"/>
    <n v="28583.834635152005"/>
  </r>
  <r>
    <d v="2026-01-22T00:00:00"/>
    <x v="4"/>
    <s v="İSOT"/>
    <m/>
    <x v="5"/>
    <s v="ST00000000977"/>
    <s v="SATIŞ - TOPTAN"/>
    <s v="POS"/>
    <n v="1"/>
    <n v="235"/>
    <n v="235"/>
    <n v="0"/>
    <m/>
    <m/>
    <m/>
    <m/>
    <n v="0"/>
    <n v="0"/>
    <n v="28583.834635152005"/>
  </r>
  <r>
    <d v="2026-01-22T00:00:00"/>
    <x v="4"/>
    <s v="LEBLEBİ ŞEKER RENKLİ"/>
    <m/>
    <x v="5"/>
    <s v="ST00000000978"/>
    <s v="SATIŞ"/>
    <s v="POS"/>
    <n v="0.45652173913043476"/>
    <n v="230"/>
    <n v="105"/>
    <n v="0"/>
    <m/>
    <m/>
    <m/>
    <m/>
    <n v="0"/>
    <n v="0"/>
    <n v="28583.834635152005"/>
  </r>
  <r>
    <d v="2026-01-22T00:00:00"/>
    <x v="4"/>
    <s v="MANİSA YAPRAK DÖKME"/>
    <m/>
    <x v="5"/>
    <s v="ST00000000978"/>
    <s v="SATIŞ"/>
    <s v="POS"/>
    <n v="0.5"/>
    <n v="300"/>
    <n v="150"/>
    <n v="0"/>
    <m/>
    <m/>
    <m/>
    <m/>
    <n v="0"/>
    <n v="0"/>
    <n v="28583.834635152005"/>
  </r>
  <r>
    <d v="2026-01-22T00:00:00"/>
    <x v="4"/>
    <s v="SİNAMEKİ"/>
    <m/>
    <x v="1"/>
    <s v="ST00000000979"/>
    <s v="SATIŞ"/>
    <s v="NAKİT"/>
    <n v="0.1"/>
    <n v="500"/>
    <n v="0"/>
    <n v="0"/>
    <m/>
    <m/>
    <m/>
    <m/>
    <n v="50"/>
    <n v="0"/>
    <n v="28633.834635152005"/>
  </r>
  <r>
    <d v="2026-01-22T00:00:00"/>
    <x v="4"/>
    <s v="AÇLIK OTU"/>
    <m/>
    <x v="1"/>
    <s v="ST00000000980"/>
    <s v="SATIŞ"/>
    <s v="NAKİT"/>
    <n v="0.12"/>
    <n v="420"/>
    <n v="0"/>
    <n v="0"/>
    <m/>
    <m/>
    <m/>
    <m/>
    <n v="50.4"/>
    <n v="0"/>
    <n v="28684.234635152006"/>
  </r>
  <r>
    <d v="2026-01-22T00:00:00"/>
    <x v="4"/>
    <s v="PATLAK MISIR"/>
    <m/>
    <x v="1"/>
    <s v="ST00000000980"/>
    <s v="SATIŞ"/>
    <s v="NAKİT"/>
    <n v="0.5"/>
    <n v="60"/>
    <n v="0"/>
    <n v="0"/>
    <m/>
    <m/>
    <m/>
    <m/>
    <n v="30"/>
    <n v="0"/>
    <n v="28714.234635152006"/>
  </r>
  <r>
    <d v="2026-01-22T00:00:00"/>
    <x v="4"/>
    <s v="TÜRK KAHVESİ"/>
    <m/>
    <x v="5"/>
    <s v="ST00000000981"/>
    <s v="SATIŞ"/>
    <s v="POS"/>
    <n v="0.1"/>
    <n v="650"/>
    <n v="65"/>
    <n v="0"/>
    <m/>
    <m/>
    <m/>
    <m/>
    <n v="0"/>
    <n v="0"/>
    <n v="28714.234635152006"/>
  </r>
  <r>
    <d v="2026-01-22T00:00:00"/>
    <x v="4"/>
    <s v="ZERDEÇAL TOZ"/>
    <m/>
    <x v="5"/>
    <s v="ST00000000982"/>
    <s v="SATIŞ"/>
    <s v="POS"/>
    <n v="0.182"/>
    <n v="300"/>
    <n v="54.6"/>
    <n v="0"/>
    <m/>
    <m/>
    <m/>
    <m/>
    <n v="0"/>
    <n v="0"/>
    <n v="28714.234635152006"/>
  </r>
  <r>
    <d v="2026-01-22T00:00:00"/>
    <x v="4"/>
    <s v="ZENCEFİL TOZ"/>
    <m/>
    <x v="5"/>
    <s v="ST00000000982"/>
    <s v="SATIŞ"/>
    <s v="POS"/>
    <n v="0.21"/>
    <n v="400"/>
    <n v="84"/>
    <n v="0"/>
    <m/>
    <m/>
    <m/>
    <m/>
    <n v="0"/>
    <n v="0"/>
    <n v="28714.234635152006"/>
  </r>
  <r>
    <d v="2026-01-22T00:00:00"/>
    <x v="4"/>
    <s v="İPEK BİBER"/>
    <m/>
    <x v="5"/>
    <s v="ST00000000982"/>
    <s v="SATIŞ"/>
    <s v="POS"/>
    <n v="0.378"/>
    <n v="500"/>
    <n v="189"/>
    <n v="0"/>
    <m/>
    <m/>
    <m/>
    <m/>
    <n v="0"/>
    <n v="0"/>
    <n v="28714.234635152006"/>
  </r>
  <r>
    <d v="2026-01-22T00:00:00"/>
    <x v="10"/>
    <m/>
    <m/>
    <x v="5"/>
    <m/>
    <s v="POS ÇÖZÜMÜ"/>
    <s v="POS"/>
    <n v="1"/>
    <n v="540"/>
    <n v="0"/>
    <n v="540"/>
    <m/>
    <m/>
    <m/>
    <m/>
    <n v="540"/>
    <n v="0"/>
    <n v="29254.234635152006"/>
  </r>
  <r>
    <d v="2026-01-23T00:00:00"/>
    <x v="4"/>
    <s v="AÇIK KAYISI İRİ (SARI)"/>
    <m/>
    <x v="1"/>
    <s v="ST00000000983"/>
    <s v="SATIŞ"/>
    <s v="NAKİT"/>
    <n v="0.27536231884057971"/>
    <n v="727"/>
    <n v="0"/>
    <n v="0"/>
    <m/>
    <m/>
    <m/>
    <m/>
    <n v="200.18840579710144"/>
    <n v="0"/>
    <n v="29454.423040949107"/>
  </r>
  <r>
    <d v="2026-01-23T00:00:00"/>
    <x v="4"/>
    <s v="AYÇEKİRDEĞİ DAKOTA TUZLU EKSTRA"/>
    <m/>
    <x v="1"/>
    <s v="ST00000000984"/>
    <s v="SATIŞ"/>
    <s v="NAKİT"/>
    <n v="0.2608695652173913"/>
    <n v="230"/>
    <n v="0"/>
    <n v="0"/>
    <m/>
    <m/>
    <m/>
    <m/>
    <n v="60"/>
    <n v="0"/>
    <n v="29514.423040949107"/>
  </r>
  <r>
    <d v="2026-01-23T00:00:00"/>
    <x v="4"/>
    <s v="ZENCEFİL TOZ"/>
    <m/>
    <x v="1"/>
    <s v="ST00000000984"/>
    <s v="SATIŞ"/>
    <s v="NAKİT"/>
    <n v="0.1875"/>
    <n v="400"/>
    <n v="0"/>
    <n v="0"/>
    <m/>
    <m/>
    <m/>
    <m/>
    <n v="75"/>
    <n v="0"/>
    <n v="29589.423040949107"/>
  </r>
  <r>
    <d v="2026-01-23T00:00:00"/>
    <x v="4"/>
    <s v="DUT KURUSU ESMER"/>
    <m/>
    <x v="1"/>
    <s v="ST00000000984"/>
    <s v="SATIŞ"/>
    <s v="NAKİT"/>
    <n v="0.22222222222222221"/>
    <n v="450"/>
    <n v="0"/>
    <n v="0"/>
    <m/>
    <m/>
    <m/>
    <m/>
    <n v="100"/>
    <n v="0"/>
    <n v="29689.423040949107"/>
  </r>
  <r>
    <d v="2026-01-23T00:00:00"/>
    <x v="4"/>
    <s v="BUĞDAY NİŞASTASI"/>
    <m/>
    <x v="1"/>
    <s v="ST00000000985"/>
    <s v="SATIŞ"/>
    <s v="NAKİT"/>
    <n v="1.5"/>
    <n v="120"/>
    <n v="0"/>
    <n v="0"/>
    <m/>
    <m/>
    <m/>
    <m/>
    <n v="180"/>
    <n v="0"/>
    <n v="29869.423040949107"/>
  </r>
  <r>
    <d v="2026-01-23T00:00:00"/>
    <x v="4"/>
    <s v="KUDÜS HURMASI JUMBO"/>
    <m/>
    <x v="5"/>
    <s v="ST00000000986"/>
    <s v="SATIŞ"/>
    <s v="POS"/>
    <n v="1"/>
    <n v="650"/>
    <n v="650"/>
    <n v="0"/>
    <m/>
    <m/>
    <m/>
    <m/>
    <n v="0"/>
    <n v="0"/>
    <n v="29869.423040949107"/>
  </r>
  <r>
    <d v="2026-01-23T00:00:00"/>
    <x v="4"/>
    <s v="ZENCEFİL TOZ"/>
    <m/>
    <x v="1"/>
    <s v="ST00000000987"/>
    <s v="SATIŞ"/>
    <s v="NAKİT"/>
    <n v="9.8000000000000004E-2"/>
    <n v="400"/>
    <n v="0"/>
    <n v="0"/>
    <m/>
    <m/>
    <m/>
    <m/>
    <n v="39.200000000000003"/>
    <n v="0"/>
    <n v="29908.623040949107"/>
  </r>
  <r>
    <d v="2026-01-23T00:00:00"/>
    <x v="4"/>
    <s v="ÇEBELİZADE NİOLİ YAĞI 20 ML"/>
    <m/>
    <x v="5"/>
    <s v="ST00000000988"/>
    <s v="SATIŞ"/>
    <s v="POS"/>
    <n v="1"/>
    <n v="165"/>
    <n v="165"/>
    <n v="0"/>
    <m/>
    <m/>
    <m/>
    <m/>
    <n v="0"/>
    <n v="0"/>
    <n v="29908.623040949107"/>
  </r>
  <r>
    <d v="2026-01-23T00:00:00"/>
    <x v="4"/>
    <s v="PATLAK MISIR"/>
    <m/>
    <x v="5"/>
    <s v="ST00000000988"/>
    <s v="SATIŞ"/>
    <s v="POS"/>
    <n v="0.5"/>
    <n v="60"/>
    <n v="30"/>
    <n v="0"/>
    <m/>
    <m/>
    <m/>
    <m/>
    <n v="0"/>
    <n v="0"/>
    <n v="29908.623040949107"/>
  </r>
  <r>
    <d v="2026-01-23T00:00:00"/>
    <x v="4"/>
    <s v="ERBATAB LUGOL İYOT %2 SIVI TAKVİYE 20 ML TİROİD FONKSİYONUNU DESTEKLEYEN FORMÜL"/>
    <m/>
    <x v="1"/>
    <s v="ST00000000988"/>
    <s v="SATIŞ"/>
    <s v="NAKİT"/>
    <n v="1"/>
    <n v="270"/>
    <n v="0"/>
    <n v="0"/>
    <m/>
    <m/>
    <m/>
    <m/>
    <n v="270"/>
    <n v="0"/>
    <n v="30178.623040949107"/>
  </r>
  <r>
    <d v="2026-01-23T00:00:00"/>
    <x v="4"/>
    <s v="ZÜHRE ANA BROMELAİN ANANAS İÇEREN DETOX ŞURUBU 250 ML"/>
    <m/>
    <x v="1"/>
    <s v="ST00000000989"/>
    <s v="SATIŞ"/>
    <s v="NAKİT"/>
    <n v="1"/>
    <n v="220"/>
    <n v="0"/>
    <n v="0"/>
    <m/>
    <m/>
    <m/>
    <m/>
    <n v="220"/>
    <n v="0"/>
    <n v="30398.623040949107"/>
  </r>
  <r>
    <d v="2026-01-23T00:00:00"/>
    <x v="4"/>
    <s v="TÜRK KAHVESİ"/>
    <m/>
    <x v="1"/>
    <s v="ST00000000990"/>
    <s v="SATIŞ"/>
    <s v="NAKİT"/>
    <n v="0.1"/>
    <n v="650"/>
    <n v="0"/>
    <n v="0"/>
    <m/>
    <m/>
    <m/>
    <m/>
    <n v="65"/>
    <n v="0"/>
    <n v="30463.623040949107"/>
  </r>
  <r>
    <d v="2026-01-23T00:00:00"/>
    <x v="4"/>
    <s v="KUDÜS HURMASI"/>
    <m/>
    <x v="1"/>
    <s v="ST00000000991"/>
    <s v="SATIŞ"/>
    <s v="NAKİT"/>
    <n v="0.5"/>
    <n v="400"/>
    <n v="0"/>
    <n v="0"/>
    <m/>
    <m/>
    <m/>
    <m/>
    <n v="200"/>
    <n v="0"/>
    <n v="30663.623040949107"/>
  </r>
  <r>
    <d v="2026-01-23T00:00:00"/>
    <x v="7"/>
    <m/>
    <m/>
    <x v="4"/>
    <m/>
    <s v="TÜDAB A.Ş. - CARİ ÖDEME"/>
    <s v="NAKİT"/>
    <n v="1"/>
    <n v="0"/>
    <n v="20000"/>
    <n v="0"/>
    <m/>
    <m/>
    <m/>
    <m/>
    <n v="0"/>
    <n v="20000"/>
    <n v="10663.623040949107"/>
  </r>
  <r>
    <d v="2026-01-23T00:00:00"/>
    <x v="10"/>
    <m/>
    <m/>
    <x v="5"/>
    <m/>
    <s v="POS ÇÖZÜMÜ"/>
    <s v="POS"/>
    <n v="1"/>
    <n v="680"/>
    <n v="0"/>
    <n v="680"/>
    <n v="540"/>
    <m/>
    <m/>
    <m/>
    <n v="680"/>
    <n v="0"/>
    <n v="11343.623040949107"/>
  </r>
  <r>
    <d v="2026-01-23T00:00:00"/>
    <x v="10"/>
    <m/>
    <m/>
    <x v="5"/>
    <m/>
    <s v="POS ÇÖZÜMÜ"/>
    <s v="POS"/>
    <n v="1"/>
    <n v="3914"/>
    <n v="0"/>
    <n v="3914"/>
    <m/>
    <m/>
    <m/>
    <m/>
    <n v="3914"/>
    <n v="0"/>
    <n v="15257.623040949107"/>
  </r>
  <r>
    <d v="2026-01-24T00:00:00"/>
    <x v="4"/>
    <s v="AÇLIK OTU"/>
    <m/>
    <x v="5"/>
    <s v="ST00000000992"/>
    <s v="SATIŞ"/>
    <s v="POS"/>
    <n v="0.12"/>
    <n v="417"/>
    <n v="50.04"/>
    <n v="0"/>
    <m/>
    <m/>
    <m/>
    <m/>
    <n v="0"/>
    <n v="0"/>
    <n v="15257.623040949107"/>
  </r>
  <r>
    <d v="2026-01-24T00:00:00"/>
    <x v="4"/>
    <s v="DUT KURUSU ESMER"/>
    <m/>
    <x v="5"/>
    <s v="ST00000000993"/>
    <s v="SATIŞ"/>
    <s v="POS"/>
    <n v="0.22222222222222221"/>
    <n v="450"/>
    <n v="100"/>
    <n v="0"/>
    <m/>
    <m/>
    <m/>
    <m/>
    <n v="0"/>
    <n v="0"/>
    <n v="15257.623040949107"/>
  </r>
  <r>
    <d v="2026-01-24T00:00:00"/>
    <x v="4"/>
    <s v="SUSAM"/>
    <m/>
    <x v="5"/>
    <s v="ST00000000993"/>
    <s v="SATIŞ"/>
    <s v="POS"/>
    <n v="0.1"/>
    <n v="400"/>
    <n v="40"/>
    <n v="0"/>
    <m/>
    <m/>
    <m/>
    <m/>
    <n v="0"/>
    <n v="0"/>
    <n v="15257.623040949107"/>
  </r>
  <r>
    <d v="2026-01-24T00:00:00"/>
    <x v="4"/>
    <s v="PATLAK MISIR"/>
    <m/>
    <x v="1"/>
    <s v="ST00000000994"/>
    <s v="SATIŞ"/>
    <s v="NAKİT"/>
    <n v="1"/>
    <n v="60"/>
    <n v="0"/>
    <n v="0"/>
    <m/>
    <m/>
    <m/>
    <m/>
    <n v="60"/>
    <n v="0"/>
    <n v="15317.623040949107"/>
  </r>
  <r>
    <d v="2026-01-24T00:00:00"/>
    <x v="4"/>
    <s v="TOZ BİBER - TATLI"/>
    <m/>
    <x v="1"/>
    <s v="ST00000000994"/>
    <s v="SATIŞ"/>
    <s v="NAKİT"/>
    <n v="0.51351351351351349"/>
    <n v="370"/>
    <n v="0"/>
    <n v="0"/>
    <m/>
    <m/>
    <m/>
    <m/>
    <n v="190"/>
    <n v="0"/>
    <n v="15507.623040949107"/>
  </r>
  <r>
    <d v="2026-01-24T00:00:00"/>
    <x v="4"/>
    <s v="KABUKLU CEVİZ (YERLİ)"/>
    <m/>
    <x v="1"/>
    <s v="ST00000000994"/>
    <s v="SATIŞ"/>
    <s v="NAKİT"/>
    <n v="1"/>
    <n v="250"/>
    <n v="0"/>
    <n v="0"/>
    <m/>
    <m/>
    <m/>
    <m/>
    <n v="250"/>
    <n v="0"/>
    <n v="15757.623040949107"/>
  </r>
  <r>
    <d v="2026-01-24T00:00:00"/>
    <x v="4"/>
    <s v="KIRMIZI PUL BİBER TATLI"/>
    <m/>
    <x v="1"/>
    <s v="ST00000000994"/>
    <s v="SATIŞ"/>
    <s v="NAKİT"/>
    <n v="0.55555555555555558"/>
    <n v="360"/>
    <n v="0"/>
    <n v="0"/>
    <m/>
    <m/>
    <m/>
    <m/>
    <n v="200"/>
    <n v="0"/>
    <n v="15957.623040949107"/>
  </r>
  <r>
    <d v="2026-01-24T00:00:00"/>
    <x v="4"/>
    <s v="İNCİR KÜÇÜK"/>
    <m/>
    <x v="1"/>
    <s v="ST00000000995"/>
    <s v="SATIŞ"/>
    <s v="NAKİT"/>
    <n v="1"/>
    <n v="600"/>
    <n v="0"/>
    <n v="0"/>
    <m/>
    <m/>
    <m/>
    <m/>
    <n v="600"/>
    <n v="0"/>
    <n v="16557.623040949107"/>
  </r>
  <r>
    <d v="2026-01-24T00:00:00"/>
    <x v="4"/>
    <s v="DOLMALIK KURU PATLICAN"/>
    <m/>
    <x v="5"/>
    <s v="ST00000000996"/>
    <s v="SATIŞ"/>
    <s v="POS"/>
    <n v="0.5"/>
    <n v="250"/>
    <n v="125"/>
    <n v="0"/>
    <m/>
    <m/>
    <m/>
    <m/>
    <n v="0"/>
    <n v="0"/>
    <n v="16557.623040949107"/>
  </r>
  <r>
    <d v="2026-01-24T00:00:00"/>
    <x v="4"/>
    <s v="DOLMALIK SARI BİBER"/>
    <m/>
    <x v="5"/>
    <s v="ST00000000996"/>
    <s v="SATIŞ"/>
    <s v="POS"/>
    <n v="0.5"/>
    <n v="230"/>
    <n v="115"/>
    <n v="0"/>
    <m/>
    <m/>
    <m/>
    <m/>
    <n v="0"/>
    <n v="0"/>
    <n v="16557.623040949107"/>
  </r>
  <r>
    <d v="2026-01-24T00:00:00"/>
    <x v="4"/>
    <s v="MANİSA YAPRAK DÖKME"/>
    <m/>
    <x v="5"/>
    <s v="ST00000000997"/>
    <s v="SATIŞ"/>
    <s v="POS"/>
    <n v="0.5"/>
    <n v="300"/>
    <n v="150"/>
    <n v="0"/>
    <m/>
    <m/>
    <m/>
    <m/>
    <n v="0"/>
    <n v="0"/>
    <n v="16557.623040949107"/>
  </r>
  <r>
    <d v="2026-01-24T00:00:00"/>
    <x v="4"/>
    <s v="TÜDAB KARIŞIK TURŞU"/>
    <m/>
    <x v="1"/>
    <s v="ST00000000998"/>
    <s v="SATIŞ"/>
    <s v="NAKİT"/>
    <n v="1"/>
    <n v="400"/>
    <n v="0"/>
    <n v="0"/>
    <m/>
    <m/>
    <m/>
    <m/>
    <n v="400"/>
    <n v="0"/>
    <n v="16957.623040949107"/>
  </r>
  <r>
    <d v="2026-01-24T00:00:00"/>
    <x v="4"/>
    <s v="DOLMALIK KURU PATLICAN"/>
    <m/>
    <x v="1"/>
    <s v="ST00000000998"/>
    <s v="SATIŞ"/>
    <s v="NAKİT"/>
    <n v="0.5"/>
    <n v="250"/>
    <n v="0"/>
    <n v="0"/>
    <m/>
    <m/>
    <m/>
    <m/>
    <n v="125"/>
    <n v="0"/>
    <n v="17082.623040949107"/>
  </r>
  <r>
    <d v="2026-01-24T00:00:00"/>
    <x v="4"/>
    <s v="DOLMALIK SARI BİBER"/>
    <m/>
    <x v="1"/>
    <s v="ST00000000998"/>
    <s v="SATIŞ"/>
    <s v="NAKİT"/>
    <n v="0.5"/>
    <n v="230"/>
    <n v="0"/>
    <n v="0"/>
    <m/>
    <m/>
    <m/>
    <m/>
    <n v="115"/>
    <n v="0"/>
    <n v="17197.623040949107"/>
  </r>
  <r>
    <d v="2026-01-24T00:00:00"/>
    <x v="4"/>
    <s v="İPEK BİBER"/>
    <m/>
    <x v="1"/>
    <s v="ST00000000998"/>
    <s v="SATIŞ"/>
    <s v="NAKİT"/>
    <n v="0.26600000000000001"/>
    <n v="500"/>
    <n v="0"/>
    <n v="0"/>
    <m/>
    <m/>
    <m/>
    <m/>
    <n v="133"/>
    <n v="0"/>
    <n v="17330.623040949107"/>
  </r>
  <r>
    <d v="2026-01-24T00:00:00"/>
    <x v="4"/>
    <s v="TÜRK KAHVESİ"/>
    <m/>
    <x v="5"/>
    <s v="ST00000000999"/>
    <s v="SATIŞ"/>
    <s v="POS"/>
    <n v="0.374"/>
    <n v="650"/>
    <n v="243.1"/>
    <n v="0"/>
    <m/>
    <m/>
    <m/>
    <m/>
    <n v="0"/>
    <n v="0"/>
    <n v="17330.623040949107"/>
  </r>
  <r>
    <d v="2026-01-24T00:00:00"/>
    <x v="4"/>
    <s v="İRİ BEYAZ KABAK ÇEKİRDEĞİ - NEVŞEHİR"/>
    <m/>
    <x v="5"/>
    <s v="ST00000000999"/>
    <s v="SATIŞ"/>
    <s v="POS"/>
    <n v="0.28000000000000003"/>
    <n v="430"/>
    <n v="120.4"/>
    <n v="0"/>
    <m/>
    <m/>
    <m/>
    <m/>
    <n v="0"/>
    <n v="0"/>
    <n v="17330.623040949107"/>
  </r>
  <r>
    <d v="2026-01-24T00:00:00"/>
    <x v="4"/>
    <s v="AÇIK KAYISI İRİ (SARI)"/>
    <m/>
    <x v="1"/>
    <s v="ST00000001000"/>
    <s v="SATIŞ"/>
    <s v="NAKİT"/>
    <n v="0.22"/>
    <n v="690"/>
    <n v="0"/>
    <n v="0"/>
    <m/>
    <m/>
    <m/>
    <m/>
    <n v="151.80000000000001"/>
    <n v="0"/>
    <n v="17482.423040949107"/>
  </r>
  <r>
    <d v="2026-01-24T00:00:00"/>
    <x v="4"/>
    <s v="İNCİR KÜÇÜK"/>
    <m/>
    <x v="1"/>
    <s v="ST00000001000"/>
    <s v="SATIŞ"/>
    <s v="NAKİT"/>
    <n v="0.23200000000000001"/>
    <n v="570"/>
    <n v="0"/>
    <n v="0"/>
    <m/>
    <m/>
    <m/>
    <m/>
    <n v="132.24"/>
    <n v="0"/>
    <n v="17614.663040949108"/>
  </r>
  <r>
    <d v="2026-01-24T00:00:00"/>
    <x v="4"/>
    <s v="KÖFTELİK BULGUR"/>
    <m/>
    <x v="1"/>
    <s v="ST00000001000"/>
    <s v="SATIŞ"/>
    <s v="NAKİT"/>
    <n v="2.27"/>
    <n v="65"/>
    <n v="0"/>
    <n v="0"/>
    <m/>
    <m/>
    <m/>
    <m/>
    <n v="147.55000000000001"/>
    <n v="0"/>
    <n v="17762.213040949107"/>
  </r>
  <r>
    <d v="2026-01-24T00:00:00"/>
    <x v="4"/>
    <s v="TOZ BİBER - ACI"/>
    <m/>
    <x v="1"/>
    <s v="ST00000001000"/>
    <s v="SATIŞ"/>
    <s v="NAKİT"/>
    <n v="0.25"/>
    <n v="370"/>
    <n v="0"/>
    <n v="0"/>
    <m/>
    <m/>
    <m/>
    <m/>
    <n v="92.5"/>
    <n v="0"/>
    <n v="17854.713040949107"/>
  </r>
  <r>
    <d v="2026-01-24T00:00:00"/>
    <x v="4"/>
    <s v="TOZ BİBER - TATLI"/>
    <m/>
    <x v="1"/>
    <s v="ST00000001000"/>
    <s v="SATIŞ"/>
    <s v="NAKİT"/>
    <n v="0.25"/>
    <n v="370"/>
    <n v="0"/>
    <n v="0"/>
    <m/>
    <m/>
    <m/>
    <m/>
    <n v="92.5"/>
    <n v="0"/>
    <n v="17947.213040949107"/>
  </r>
  <r>
    <d v="2026-01-24T00:00:00"/>
    <x v="4"/>
    <s v="İPEK BİBER"/>
    <m/>
    <x v="1"/>
    <s v="ST00000001000"/>
    <s v="SATIŞ"/>
    <s v="NAKİT"/>
    <n v="0.20399999999999999"/>
    <n v="500"/>
    <n v="0"/>
    <n v="0"/>
    <m/>
    <m/>
    <m/>
    <m/>
    <n v="102"/>
    <n v="0"/>
    <n v="18049.213040949107"/>
  </r>
  <r>
    <d v="2026-01-24T00:00:00"/>
    <x v="4"/>
    <s v="KABUKLU CEVİZ (YERLİ)"/>
    <m/>
    <x v="1"/>
    <s v="ST00000001000"/>
    <s v="SATIŞ"/>
    <s v="NAKİT"/>
    <n v="1.1499999999999999"/>
    <n v="250"/>
    <n v="0"/>
    <n v="0"/>
    <m/>
    <m/>
    <m/>
    <m/>
    <n v="287.5"/>
    <n v="0"/>
    <n v="18336.713040949107"/>
  </r>
  <r>
    <d v="2026-01-24T00:00:00"/>
    <x v="4"/>
    <s v="DOLMALIK KURU KABAK"/>
    <m/>
    <x v="5"/>
    <s v="ST00000001001"/>
    <s v="SATIŞ"/>
    <s v="POS"/>
    <n v="1"/>
    <n v="250"/>
    <n v="250"/>
    <n v="0"/>
    <m/>
    <m/>
    <m/>
    <m/>
    <n v="0"/>
    <n v="0"/>
    <n v="18336.713040949107"/>
  </r>
  <r>
    <d v="2026-01-24T00:00:00"/>
    <x v="4"/>
    <s v="DOLMALIK KURU PATLICAN"/>
    <m/>
    <x v="5"/>
    <s v="ST00000001001"/>
    <s v="SATIŞ"/>
    <s v="POS"/>
    <n v="1"/>
    <n v="250"/>
    <n v="250"/>
    <n v="0"/>
    <m/>
    <m/>
    <m/>
    <m/>
    <n v="0"/>
    <n v="0"/>
    <n v="18336.713040949107"/>
  </r>
  <r>
    <d v="2026-01-24T00:00:00"/>
    <x v="4"/>
    <s v="TÜDAB ACUR TURŞUSU"/>
    <m/>
    <x v="5"/>
    <s v="ST00000001001"/>
    <s v="SATIŞ"/>
    <s v="POS"/>
    <n v="1"/>
    <n v="350"/>
    <n v="350"/>
    <n v="0"/>
    <m/>
    <m/>
    <m/>
    <m/>
    <n v="0"/>
    <n v="0"/>
    <n v="18336.713040949107"/>
  </r>
  <r>
    <d v="2026-01-24T00:00:00"/>
    <x v="4"/>
    <s v="EVLİK BİBER"/>
    <m/>
    <x v="5"/>
    <s v="ST00000001001"/>
    <s v="SATIŞ"/>
    <s v="POS"/>
    <n v="0.13900000000000001"/>
    <n v="360"/>
    <n v="50.040000000000006"/>
    <n v="0"/>
    <m/>
    <m/>
    <m/>
    <m/>
    <n v="0"/>
    <n v="0"/>
    <n v="18336.713040949107"/>
  </r>
  <r>
    <d v="2026-01-24T00:00:00"/>
    <x v="4"/>
    <s v="LİMONTUZU PARCA"/>
    <m/>
    <x v="5"/>
    <s v="ST00000001001"/>
    <s v="SATIŞ"/>
    <s v="POS"/>
    <n v="0.25"/>
    <n v="180"/>
    <n v="45"/>
    <n v="0"/>
    <m/>
    <m/>
    <m/>
    <m/>
    <n v="0"/>
    <n v="0"/>
    <n v="18336.713040949107"/>
  </r>
  <r>
    <d v="2026-01-24T00:00:00"/>
    <x v="4"/>
    <s v="MANİSA YAPRAK DÖKME"/>
    <m/>
    <x v="5"/>
    <s v="ST00000001001"/>
    <s v="SATIŞ"/>
    <s v="POS"/>
    <n v="0.5"/>
    <n v="300"/>
    <n v="150"/>
    <n v="0"/>
    <m/>
    <m/>
    <m/>
    <m/>
    <n v="0"/>
    <n v="0"/>
    <n v="18336.713040949107"/>
  </r>
  <r>
    <d v="2026-01-24T00:00:00"/>
    <x v="10"/>
    <m/>
    <m/>
    <x v="5"/>
    <m/>
    <s v="POS ÇÖZÜMÜ"/>
    <s v="POS"/>
    <n v="1"/>
    <n v="530"/>
    <n v="0"/>
    <n v="530"/>
    <m/>
    <m/>
    <m/>
    <m/>
    <n v="530"/>
    <n v="0"/>
    <n v="18866.713040949107"/>
  </r>
  <r>
    <d v="2026-01-24T00:00:00"/>
    <x v="10"/>
    <m/>
    <m/>
    <x v="5"/>
    <m/>
    <s v="POS ÇÖZÜMÜ"/>
    <s v="POS"/>
    <n v="1"/>
    <n v="1203"/>
    <n v="0"/>
    <n v="1203"/>
    <m/>
    <m/>
    <m/>
    <m/>
    <n v="1203"/>
    <n v="0"/>
    <n v="20069.713040949107"/>
  </r>
  <r>
    <d v="2026-01-25T00:00:00"/>
    <x v="4"/>
    <s v="KUDÜS HURMASI"/>
    <m/>
    <x v="1"/>
    <s v="ST00000001002"/>
    <s v="SATIŞ"/>
    <s v="NAKİT"/>
    <n v="1"/>
    <n v="400"/>
    <n v="0"/>
    <n v="0"/>
    <m/>
    <m/>
    <m/>
    <m/>
    <n v="400"/>
    <n v="0"/>
    <n v="20469.713040949107"/>
  </r>
  <r>
    <d v="2026-01-25T00:00:00"/>
    <x v="4"/>
    <s v="SUMAK"/>
    <m/>
    <x v="1"/>
    <s v="ST00000001002"/>
    <s v="SATIŞ"/>
    <s v="NAKİT"/>
    <n v="0.2"/>
    <n v="500"/>
    <n v="0"/>
    <n v="0"/>
    <m/>
    <m/>
    <m/>
    <m/>
    <n v="100"/>
    <n v="0"/>
    <n v="20569.713040949107"/>
  </r>
  <r>
    <d v="2026-01-25T00:00:00"/>
    <x v="4"/>
    <s v="TÜDAB DUT PEKMEZİ 800 GR"/>
    <m/>
    <x v="1"/>
    <s v="ST00000001002"/>
    <s v="SATIŞ"/>
    <s v="NAKİT"/>
    <n v="1"/>
    <n v="170"/>
    <n v="0"/>
    <n v="0"/>
    <m/>
    <m/>
    <m/>
    <m/>
    <n v="170"/>
    <n v="0"/>
    <n v="20739.713040949107"/>
  </r>
  <r>
    <d v="2026-01-25T00:00:00"/>
    <x v="4"/>
    <s v="DOLMALIK KURU PATLICAN"/>
    <m/>
    <x v="1"/>
    <s v="ST00000001002"/>
    <s v="SATIŞ"/>
    <s v="NAKİT"/>
    <n v="0.5"/>
    <n v="250"/>
    <n v="0"/>
    <n v="0"/>
    <m/>
    <m/>
    <m/>
    <m/>
    <n v="125"/>
    <n v="0"/>
    <n v="20864.713040949107"/>
  </r>
  <r>
    <d v="2026-01-25T00:00:00"/>
    <x v="4"/>
    <s v="DOLMALIK SARI BİBER"/>
    <m/>
    <x v="1"/>
    <s v="ST00000001002"/>
    <s v="SATIŞ"/>
    <s v="NAKİT"/>
    <n v="0.5"/>
    <n v="230"/>
    <n v="0"/>
    <n v="0"/>
    <m/>
    <m/>
    <m/>
    <m/>
    <n v="115"/>
    <n v="0"/>
    <n v="20979.713040949107"/>
  </r>
  <r>
    <d v="2026-01-25T00:00:00"/>
    <x v="4"/>
    <s v="TOZ BİBER - TATLI"/>
    <m/>
    <x v="1"/>
    <s v="ST00000001003"/>
    <s v="SATIŞ"/>
    <s v="NAKİT"/>
    <n v="0.14799999999999999"/>
    <n v="370"/>
    <n v="0"/>
    <n v="0"/>
    <m/>
    <m/>
    <m/>
    <m/>
    <n v="54.76"/>
    <n v="0"/>
    <n v="21034.473040949106"/>
  </r>
  <r>
    <d v="2026-01-25T00:00:00"/>
    <x v="4"/>
    <s v="SUMAK"/>
    <m/>
    <x v="1"/>
    <s v="ST00000001003"/>
    <s v="SATIŞ"/>
    <s v="NAKİT"/>
    <n v="0.184"/>
    <n v="500"/>
    <n v="0"/>
    <n v="0"/>
    <m/>
    <m/>
    <m/>
    <m/>
    <n v="92"/>
    <n v="0"/>
    <n v="21126.473040949106"/>
  </r>
  <r>
    <d v="2026-01-25T00:00:00"/>
    <x v="4"/>
    <s v="İPEK BİBER"/>
    <m/>
    <x v="1"/>
    <s v="ST00000001003"/>
    <s v="SATIŞ"/>
    <s v="NAKİT"/>
    <n v="0.186"/>
    <n v="500"/>
    <n v="0"/>
    <n v="0"/>
    <m/>
    <m/>
    <m/>
    <m/>
    <n v="93"/>
    <n v="0"/>
    <n v="21219.473040949106"/>
  </r>
  <r>
    <d v="2026-01-25T00:00:00"/>
    <x v="4"/>
    <s v="GENÇAY ELMA SİRKESİ 500 CC"/>
    <m/>
    <x v="1"/>
    <s v="ST00000001003"/>
    <s v="SATIŞ"/>
    <s v="NAKİT"/>
    <n v="1"/>
    <n v="140"/>
    <n v="0"/>
    <n v="0"/>
    <m/>
    <m/>
    <m/>
    <m/>
    <n v="140"/>
    <n v="0"/>
    <n v="21359.473040949106"/>
  </r>
  <r>
    <d v="2026-01-25T00:00:00"/>
    <x v="4"/>
    <s v="TOZ BİBER - TATLI"/>
    <m/>
    <x v="1"/>
    <s v="ST00000001004"/>
    <s v="SATIŞ"/>
    <s v="NAKİT"/>
    <n v="0.14799999999999999"/>
    <n v="370"/>
    <n v="0"/>
    <n v="0"/>
    <m/>
    <m/>
    <m/>
    <m/>
    <n v="54.76"/>
    <n v="0"/>
    <n v="21414.233040949104"/>
  </r>
  <r>
    <d v="2026-01-25T00:00:00"/>
    <x v="4"/>
    <s v="KIRMIZI PUL BİBER TATLI"/>
    <m/>
    <x v="1"/>
    <s v="ST00000001004"/>
    <s v="SATIŞ"/>
    <s v="NAKİT"/>
    <n v="0.32200000000000001"/>
    <n v="360"/>
    <n v="0"/>
    <n v="0"/>
    <m/>
    <m/>
    <m/>
    <m/>
    <n v="115.92"/>
    <n v="0"/>
    <n v="21530.153040949102"/>
  </r>
  <r>
    <d v="2026-01-25T00:00:00"/>
    <x v="4"/>
    <s v="KARANFİL"/>
    <m/>
    <x v="1"/>
    <s v="ST00000001004"/>
    <s v="SATIŞ"/>
    <s v="NAKİT"/>
    <n v="0.05"/>
    <n v="1200"/>
    <n v="0"/>
    <n v="0"/>
    <m/>
    <m/>
    <m/>
    <m/>
    <n v="60"/>
    <n v="0"/>
    <n v="21590.153040949102"/>
  </r>
  <r>
    <d v="2026-01-25T00:00:00"/>
    <x v="4"/>
    <s v="TÜDAB KIŞ ÇAYI 200 GR"/>
    <m/>
    <x v="5"/>
    <s v="ST00000001005"/>
    <s v="SATIŞ"/>
    <s v="POS"/>
    <n v="1"/>
    <n v="100"/>
    <n v="100"/>
    <n v="0"/>
    <m/>
    <m/>
    <m/>
    <m/>
    <n v="0"/>
    <n v="0"/>
    <n v="21590.153040949102"/>
  </r>
  <r>
    <d v="2026-01-25T00:00:00"/>
    <x v="4"/>
    <s v="KABUKLU CEVİZ (YERLİ)"/>
    <m/>
    <x v="5"/>
    <s v="ST00000001005"/>
    <s v="SATIŞ"/>
    <s v="POS"/>
    <n v="0.67"/>
    <n v="250"/>
    <n v="167.5"/>
    <n v="0"/>
    <m/>
    <m/>
    <m/>
    <m/>
    <n v="0"/>
    <n v="0"/>
    <n v="21590.153040949102"/>
  </r>
  <r>
    <d v="2026-01-25T00:00:00"/>
    <x v="4"/>
    <s v="EL-RUHA ÇAY (AÇIK)"/>
    <m/>
    <x v="1"/>
    <s v="ST00000001006"/>
    <s v="SATIŞ"/>
    <s v="NAKİT"/>
    <n v="0.5"/>
    <n v="600"/>
    <n v="0"/>
    <n v="0"/>
    <m/>
    <m/>
    <m/>
    <m/>
    <n v="300"/>
    <n v="0"/>
    <n v="21890.153040949102"/>
  </r>
  <r>
    <d v="2026-01-25T00:00:00"/>
    <x v="4"/>
    <s v="TOZ BİBER - ACI"/>
    <m/>
    <x v="1"/>
    <s v="ST00000001006"/>
    <s v="SATIŞ"/>
    <s v="NAKİT"/>
    <n v="0.13800000000000001"/>
    <n v="370"/>
    <n v="0"/>
    <n v="0"/>
    <m/>
    <m/>
    <m/>
    <m/>
    <n v="51.06"/>
    <n v="0"/>
    <n v="21941.213040949104"/>
  </r>
  <r>
    <d v="2026-01-25T00:00:00"/>
    <x v="4"/>
    <s v="CEVİZLİ SUCUK ATOM (ESMER)"/>
    <m/>
    <x v="1"/>
    <s v="ST00000001006"/>
    <s v="SATIŞ"/>
    <s v="NAKİT"/>
    <n v="0.35799999999999998"/>
    <n v="340"/>
    <n v="0"/>
    <n v="0"/>
    <m/>
    <m/>
    <m/>
    <m/>
    <n v="121.72"/>
    <n v="0"/>
    <n v="22062.933040949105"/>
  </r>
  <r>
    <d v="2026-01-25T00:00:00"/>
    <x v="4"/>
    <s v="İRİ BEYAZ KABAK ÇEKİRDEĞİ - NEVŞEHİR"/>
    <m/>
    <x v="1"/>
    <s v="ST00000001006"/>
    <s v="SATIŞ"/>
    <s v="NAKİT"/>
    <n v="0.28000000000000003"/>
    <n v="430"/>
    <n v="0"/>
    <n v="0"/>
    <m/>
    <m/>
    <m/>
    <m/>
    <n v="120.4"/>
    <n v="0"/>
    <n v="22183.333040949106"/>
  </r>
  <r>
    <d v="2026-01-25T00:00:00"/>
    <x v="4"/>
    <s v="AYÇEKİRDEĞİ DAKOTA TUZLU EKSTRA"/>
    <m/>
    <x v="1"/>
    <s v="ST00000001006"/>
    <s v="SATIŞ"/>
    <s v="NAKİT"/>
    <n v="0.52800000000000002"/>
    <n v="230"/>
    <n v="0"/>
    <n v="0"/>
    <m/>
    <m/>
    <m/>
    <m/>
    <n v="121.44000000000001"/>
    <n v="0"/>
    <n v="22304.773040949105"/>
  </r>
  <r>
    <d v="2026-01-25T00:00:00"/>
    <x v="4"/>
    <s v="CEVİZLİ SUCUK ATOM (ESMER)"/>
    <m/>
    <x v="1"/>
    <s v="ST00000001006"/>
    <s v="SATIŞ"/>
    <s v="NAKİT"/>
    <n v="0.30199999999999999"/>
    <n v="340"/>
    <n v="0"/>
    <n v="0"/>
    <m/>
    <m/>
    <m/>
    <m/>
    <n v="102.67999999999999"/>
    <n v="0"/>
    <n v="22407.453040949105"/>
  </r>
  <r>
    <d v="2026-01-25T00:00:00"/>
    <x v="4"/>
    <s v="İNCİR KÜÇÜK"/>
    <m/>
    <x v="1"/>
    <s v="ST00000001006"/>
    <s v="SATIŞ"/>
    <s v="NAKİT"/>
    <n v="1"/>
    <n v="570"/>
    <n v="0"/>
    <n v="0"/>
    <m/>
    <m/>
    <m/>
    <m/>
    <n v="570"/>
    <n v="0"/>
    <n v="22977.453040949105"/>
  </r>
  <r>
    <d v="2026-01-25T00:00:00"/>
    <x v="4"/>
    <s v="YALÇINKAYA ACI BİBER SALÇASI"/>
    <m/>
    <x v="1"/>
    <s v="ST00000001006"/>
    <s v="SATIŞ"/>
    <s v="NAKİT"/>
    <n v="1"/>
    <n v="200"/>
    <n v="0"/>
    <n v="0"/>
    <m/>
    <m/>
    <m/>
    <m/>
    <n v="200"/>
    <n v="0"/>
    <n v="23177.453040949105"/>
  </r>
  <r>
    <d v="2026-01-25T00:00:00"/>
    <x v="4"/>
    <s v="AGARTA DİŞ MACUNU"/>
    <m/>
    <x v="1"/>
    <s v="ST00000001006"/>
    <s v="SATIŞ"/>
    <s v="NAKİT"/>
    <n v="1"/>
    <n v="135"/>
    <n v="0"/>
    <n v="0"/>
    <m/>
    <m/>
    <m/>
    <m/>
    <n v="135"/>
    <n v="0"/>
    <n v="23312.453040949105"/>
  </r>
  <r>
    <d v="2026-01-25T00:00:00"/>
    <x v="4"/>
    <s v="KAFFKA DİBEK KAHVESİ 150 GR"/>
    <m/>
    <x v="1"/>
    <s v="ST00000001006"/>
    <s v="SATIŞ"/>
    <s v="NAKİT"/>
    <n v="1"/>
    <n v="65"/>
    <n v="0"/>
    <n v="0"/>
    <m/>
    <m/>
    <m/>
    <m/>
    <n v="65"/>
    <n v="0"/>
    <n v="23377.453040949105"/>
  </r>
  <r>
    <d v="2026-01-25T00:00:00"/>
    <x v="4"/>
    <s v="KAFFKA MENENGİÇ KAHVESİ 150 GR"/>
    <m/>
    <x v="1"/>
    <s v="ST00000001006"/>
    <s v="SATIŞ"/>
    <s v="NAKİT"/>
    <n v="1"/>
    <n v="65"/>
    <n v="0"/>
    <n v="0"/>
    <m/>
    <m/>
    <m/>
    <m/>
    <n v="65"/>
    <n v="0"/>
    <n v="23442.453040949105"/>
  </r>
  <r>
    <d v="2026-01-25T00:00:00"/>
    <x v="4"/>
    <s v="AGARTA DİŞ MACUNU - ÇOCUK"/>
    <m/>
    <x v="1"/>
    <s v="ST00000001006"/>
    <s v="SATIŞ"/>
    <s v="NAKİT"/>
    <n v="1"/>
    <n v="135"/>
    <n v="0"/>
    <n v="0"/>
    <m/>
    <m/>
    <m/>
    <m/>
    <n v="135"/>
    <n v="0"/>
    <n v="23577.453040949105"/>
  </r>
  <r>
    <d v="2026-01-25T00:00:00"/>
    <x v="4"/>
    <s v="NANE İRİ"/>
    <m/>
    <x v="1"/>
    <s v="ST00000001006"/>
    <s v="SATIŞ"/>
    <s v="NAKİT"/>
    <n v="8.4000000000000005E-2"/>
    <n v="400"/>
    <n v="0"/>
    <n v="0"/>
    <m/>
    <m/>
    <m/>
    <m/>
    <n v="33.6"/>
    <n v="0"/>
    <n v="23611.053040949104"/>
  </r>
  <r>
    <d v="2026-01-25T00:00:00"/>
    <x v="4"/>
    <s v="KEKİK LÜX"/>
    <m/>
    <x v="1"/>
    <s v="ST00000001006"/>
    <s v="SATIŞ"/>
    <s v="NAKİT"/>
    <n v="6.6000000000000003E-2"/>
    <n v="760"/>
    <n v="0"/>
    <n v="0"/>
    <m/>
    <m/>
    <m/>
    <m/>
    <n v="50.160000000000004"/>
    <n v="0"/>
    <n v="23661.213040949104"/>
  </r>
  <r>
    <d v="2026-01-25T00:00:00"/>
    <x v="4"/>
    <s v="İPEK BİBER"/>
    <m/>
    <x v="1"/>
    <s v="ST00000001006"/>
    <s v="SATIŞ"/>
    <s v="NAKİT"/>
    <n v="0.19"/>
    <n v="500"/>
    <n v="0"/>
    <n v="0"/>
    <m/>
    <m/>
    <m/>
    <m/>
    <n v="95"/>
    <n v="0"/>
    <n v="23756.213040949104"/>
  </r>
  <r>
    <d v="2026-01-25T00:00:00"/>
    <x v="4"/>
    <s v="KORİ (TAVUK BAHARATI)"/>
    <m/>
    <x v="1"/>
    <s v="ST00000001006"/>
    <s v="SATIŞ"/>
    <s v="NAKİT"/>
    <n v="0.14799999999999999"/>
    <n v="140"/>
    <n v="0"/>
    <n v="0"/>
    <m/>
    <m/>
    <m/>
    <m/>
    <n v="20.72"/>
    <n v="0"/>
    <n v="23776.933040949105"/>
  </r>
  <r>
    <d v="2026-01-25T00:00:00"/>
    <x v="4"/>
    <s v="İSOT"/>
    <m/>
    <x v="1"/>
    <s v="ST00000001006"/>
    <s v="SATIŞ"/>
    <s v="NAKİT"/>
    <n v="0.20200000000000001"/>
    <n v="380"/>
    <n v="0"/>
    <n v="0"/>
    <m/>
    <m/>
    <m/>
    <m/>
    <n v="76.760000000000005"/>
    <n v="0"/>
    <n v="23853.693040949103"/>
  </r>
  <r>
    <d v="2026-01-25T00:00:00"/>
    <x v="4"/>
    <s v="SUMAK"/>
    <m/>
    <x v="1"/>
    <s v="ST00000001006"/>
    <s v="SATIŞ"/>
    <s v="NAKİT"/>
    <n v="0.29799999999999999"/>
    <n v="500"/>
    <n v="0"/>
    <n v="0"/>
    <m/>
    <m/>
    <m/>
    <m/>
    <n v="149"/>
    <n v="0"/>
    <n v="24002.693040949103"/>
  </r>
  <r>
    <d v="2026-01-25T00:00:00"/>
    <x v="4"/>
    <s v="KÖFTE BAHARATI (YEDİTÜRLÜ)"/>
    <m/>
    <x v="1"/>
    <s v="ST00000001006"/>
    <s v="SATIŞ"/>
    <s v="NAKİT"/>
    <n v="0.17399999999999999"/>
    <n v="410"/>
    <n v="0"/>
    <n v="0"/>
    <m/>
    <m/>
    <m/>
    <m/>
    <n v="71.339999999999989"/>
    <n v="0"/>
    <n v="24074.033040949103"/>
  </r>
  <r>
    <d v="2026-01-25T00:00:00"/>
    <x v="4"/>
    <s v="MS 01 DERMA BEBEK BANYO ELDİVENİ"/>
    <m/>
    <x v="1"/>
    <s v="ST00000001006"/>
    <s v="SATIŞ"/>
    <s v="NAKİT"/>
    <n v="1"/>
    <n v="150"/>
    <n v="0"/>
    <n v="0"/>
    <m/>
    <m/>
    <m/>
    <m/>
    <n v="150"/>
    <n v="0"/>
    <n v="24224.033040949103"/>
  </r>
  <r>
    <d v="2026-01-25T00:00:00"/>
    <x v="4"/>
    <s v="DOLMALIK KURU PATLICAN"/>
    <m/>
    <x v="1"/>
    <s v="ST00000001006"/>
    <s v="SATIŞ"/>
    <s v="NAKİT"/>
    <n v="1"/>
    <n v="250"/>
    <n v="0"/>
    <n v="0"/>
    <m/>
    <m/>
    <m/>
    <m/>
    <n v="250"/>
    <n v="0"/>
    <n v="24474.033040949103"/>
  </r>
  <r>
    <d v="2026-01-25T00:00:00"/>
    <x v="4"/>
    <s v="DOLMALIK SARI BİBER"/>
    <m/>
    <x v="1"/>
    <s v="ST00000001006"/>
    <s v="SATIŞ"/>
    <s v="NAKİT"/>
    <n v="1"/>
    <n v="230"/>
    <n v="0"/>
    <n v="0"/>
    <m/>
    <m/>
    <m/>
    <m/>
    <n v="230"/>
    <n v="0"/>
    <n v="24704.033040949103"/>
  </r>
  <r>
    <d v="2026-01-25T00:00:00"/>
    <x v="4"/>
    <s v="DOLMALIK KURU KABAK"/>
    <m/>
    <x v="1"/>
    <s v="ST00000001006"/>
    <s v="SATIŞ"/>
    <s v="NAKİT"/>
    <n v="1"/>
    <n v="250"/>
    <n v="0"/>
    <n v="0"/>
    <m/>
    <m/>
    <m/>
    <m/>
    <n v="250"/>
    <n v="0"/>
    <n v="24954.033040949103"/>
  </r>
  <r>
    <d v="2026-01-25T00:00:00"/>
    <x v="10"/>
    <m/>
    <m/>
    <x v="5"/>
    <m/>
    <s v="POS ÇÖZÜMÜ"/>
    <s v="POS"/>
    <n v="1"/>
    <n v="1200"/>
    <n v="0"/>
    <n v="1200"/>
    <m/>
    <m/>
    <m/>
    <m/>
    <n v="1200"/>
    <n v="0"/>
    <n v="26154.033040949103"/>
  </r>
  <r>
    <d v="2026-01-26T00:00:00"/>
    <x v="4"/>
    <s v="MANİSA YAPRAK DÖKME"/>
    <m/>
    <x v="5"/>
    <s v="ST00000001007"/>
    <s v="SATIŞ"/>
    <s v="POS"/>
    <n v="1"/>
    <n v="300"/>
    <n v="300"/>
    <n v="0"/>
    <m/>
    <m/>
    <m/>
    <m/>
    <n v="0"/>
    <n v="0"/>
    <n v="26154.033040949103"/>
  </r>
  <r>
    <d v="2026-01-26T00:00:00"/>
    <x v="4"/>
    <s v="YALÇINKAYA DOMATES SALÇASI"/>
    <m/>
    <x v="1"/>
    <s v="ST00000001008"/>
    <s v="SATIŞ"/>
    <s v="NAKİT"/>
    <n v="0.5"/>
    <n v="150"/>
    <n v="0"/>
    <n v="0"/>
    <m/>
    <m/>
    <m/>
    <m/>
    <n v="75"/>
    <n v="0"/>
    <n v="26229.033040949103"/>
  </r>
  <r>
    <d v="2026-01-26T00:00:00"/>
    <x v="4"/>
    <s v="KINA RGS DÖKME"/>
    <m/>
    <x v="5"/>
    <s v="ST00000001009"/>
    <s v="SATIŞ"/>
    <s v="POS"/>
    <n v="0.25"/>
    <n v="400"/>
    <n v="100"/>
    <n v="0"/>
    <m/>
    <m/>
    <m/>
    <m/>
    <n v="0"/>
    <n v="0"/>
    <n v="26229.033040949103"/>
  </r>
  <r>
    <d v="2026-01-26T00:00:00"/>
    <x v="4"/>
    <s v="NANE YAĞI 10 CC"/>
    <m/>
    <x v="5"/>
    <s v="ST00000001009"/>
    <s v="SATIŞ"/>
    <s v="POS"/>
    <n v="1"/>
    <n v="145"/>
    <n v="145"/>
    <n v="0"/>
    <m/>
    <m/>
    <m/>
    <m/>
    <n v="0"/>
    <n v="0"/>
    <n v="26229.033040949103"/>
  </r>
  <r>
    <d v="2026-01-26T00:00:00"/>
    <x v="4"/>
    <s v="FINDIK İÇİ ÇİĞ"/>
    <m/>
    <x v="5"/>
    <s v="ST00000001009"/>
    <s v="SATIŞ"/>
    <s v="POS"/>
    <n v="0.16800000000000001"/>
    <n v="1200"/>
    <n v="201.60000000000002"/>
    <n v="0"/>
    <m/>
    <m/>
    <m/>
    <m/>
    <n v="0"/>
    <n v="0"/>
    <n v="26229.033040949103"/>
  </r>
  <r>
    <d v="2026-01-26T00:00:00"/>
    <x v="4"/>
    <s v="İNCİR KÜÇÜK"/>
    <m/>
    <x v="5"/>
    <s v="ST00000001009"/>
    <s v="SATIŞ"/>
    <s v="POS"/>
    <n v="0.17599999999999999"/>
    <n v="570"/>
    <n v="100.32"/>
    <n v="0"/>
    <m/>
    <m/>
    <m/>
    <m/>
    <n v="0"/>
    <n v="0"/>
    <n v="26229.033040949103"/>
  </r>
  <r>
    <d v="2026-01-26T00:00:00"/>
    <x v="4"/>
    <s v="İSOT"/>
    <m/>
    <x v="1"/>
    <s v="ST00000001010"/>
    <s v="SATIŞ"/>
    <s v="NAKİT"/>
    <n v="0.52400000000000002"/>
    <n v="380"/>
    <n v="0"/>
    <n v="0"/>
    <m/>
    <m/>
    <m/>
    <m/>
    <n v="199.12"/>
    <n v="0"/>
    <n v="26428.153040949102"/>
  </r>
  <r>
    <d v="2026-01-26T00:00:00"/>
    <x v="4"/>
    <s v="TOZ BİBER - TATLI"/>
    <m/>
    <x v="1"/>
    <s v="ST00000001010"/>
    <s v="SATIŞ"/>
    <s v="NAKİT"/>
    <n v="0.5"/>
    <n v="370"/>
    <n v="0"/>
    <n v="0"/>
    <m/>
    <m/>
    <m/>
    <m/>
    <n v="185"/>
    <n v="0"/>
    <n v="26613.153040949102"/>
  </r>
  <r>
    <d v="2026-01-26T00:00:00"/>
    <x v="4"/>
    <s v="BUĞDAY NİŞASTASI"/>
    <m/>
    <x v="1"/>
    <s v="ST00000001010"/>
    <s v="SATIŞ"/>
    <s v="NAKİT"/>
    <n v="0.5"/>
    <n v="120"/>
    <n v="0"/>
    <n v="0"/>
    <m/>
    <m/>
    <m/>
    <m/>
    <n v="60"/>
    <n v="0"/>
    <n v="26673.153040949102"/>
  </r>
  <r>
    <d v="2026-01-26T00:00:00"/>
    <x v="4"/>
    <s v="YALÇINKAYA TATLI BİBER SALÇASI"/>
    <m/>
    <x v="1"/>
    <s v="ST00000001010"/>
    <s v="SATIŞ"/>
    <s v="NAKİT"/>
    <n v="0.5"/>
    <n v="200"/>
    <n v="0"/>
    <n v="0"/>
    <m/>
    <m/>
    <m/>
    <m/>
    <n v="100"/>
    <n v="0"/>
    <n v="26773.153040949102"/>
  </r>
  <r>
    <d v="2026-01-26T00:00:00"/>
    <x v="4"/>
    <s v="ZÜHRE ANA BROMELAİN ANANAS İÇEREN DETOX ŞURUBU 250 ML"/>
    <m/>
    <x v="1"/>
    <s v="ST00000001011"/>
    <s v="SATIŞ"/>
    <s v="NAKİT"/>
    <n v="2"/>
    <n v="220"/>
    <n v="0"/>
    <n v="0"/>
    <m/>
    <m/>
    <m/>
    <m/>
    <n v="440"/>
    <n v="0"/>
    <n v="27213.153040949102"/>
  </r>
  <r>
    <d v="2026-01-26T00:00:00"/>
    <x v="4"/>
    <s v="KARANFİL"/>
    <m/>
    <x v="1"/>
    <s v="ST00000001011"/>
    <s v="SATIŞ"/>
    <s v="NAKİT"/>
    <n v="0.05"/>
    <n v="1200"/>
    <n v="0"/>
    <n v="0"/>
    <m/>
    <m/>
    <m/>
    <m/>
    <n v="60"/>
    <n v="0"/>
    <n v="27273.153040949102"/>
  </r>
  <r>
    <d v="2026-01-26T00:00:00"/>
    <x v="4"/>
    <s v="AÇLIK OTU"/>
    <m/>
    <x v="1"/>
    <s v="ST00000001011"/>
    <s v="SATIŞ"/>
    <s v="NAKİT"/>
    <n v="0.12"/>
    <n v="417"/>
    <n v="0"/>
    <n v="0"/>
    <m/>
    <m/>
    <m/>
    <m/>
    <n v="50.04"/>
    <n v="0"/>
    <n v="27323.193040949103"/>
  </r>
  <r>
    <d v="2026-01-26T00:00:00"/>
    <x v="4"/>
    <s v="SEYHAN ÜZÜM ÖZEL"/>
    <m/>
    <x v="1"/>
    <s v="ST00000001012"/>
    <s v="SATIŞ"/>
    <s v="NAKİT"/>
    <n v="0.16533333333333333"/>
    <n v="750"/>
    <n v="0"/>
    <n v="0"/>
    <m/>
    <m/>
    <m/>
    <m/>
    <n v="124"/>
    <n v="0"/>
    <n v="27447.193040949103"/>
  </r>
  <r>
    <d v="2026-01-26T00:00:00"/>
    <x v="4"/>
    <s v="İZMİR ÜZÜMÜ"/>
    <m/>
    <x v="1"/>
    <s v="ST00000001013"/>
    <s v="SATIŞ"/>
    <s v="NAKİT"/>
    <n v="0.39400000000000002"/>
    <n v="250"/>
    <n v="0"/>
    <n v="0"/>
    <m/>
    <m/>
    <m/>
    <m/>
    <n v="98.5"/>
    <n v="0"/>
    <n v="27545.693040949103"/>
  </r>
  <r>
    <d v="2026-01-26T00:00:00"/>
    <x v="4"/>
    <s v="AÇIK KAYISI İRİ (SARI)"/>
    <m/>
    <x v="1"/>
    <s v="ST00000001013"/>
    <s v="SATIŞ"/>
    <s v="NAKİT"/>
    <n v="0.376"/>
    <n v="690"/>
    <n v="0"/>
    <n v="0"/>
    <m/>
    <m/>
    <m/>
    <m/>
    <n v="259.44"/>
    <n v="0"/>
    <n v="27805.133040949102"/>
  </r>
  <r>
    <d v="2026-01-26T00:00:00"/>
    <x v="4"/>
    <s v="LEBLEBİ ŞEKER RENKLİ"/>
    <m/>
    <x v="1"/>
    <s v="ST00000001013"/>
    <s v="SATIŞ"/>
    <s v="NAKİT"/>
    <n v="0.374"/>
    <n v="230"/>
    <n v="0"/>
    <n v="0"/>
    <m/>
    <m/>
    <m/>
    <m/>
    <n v="86.02"/>
    <n v="0"/>
    <n v="27891.153040949102"/>
  </r>
  <r>
    <d v="2026-01-26T00:00:00"/>
    <x v="4"/>
    <s v="MEBRUM HURMA - SİYAH"/>
    <m/>
    <x v="1"/>
    <s v="ST00000001013"/>
    <s v="SATIŞ"/>
    <s v="NAKİT"/>
    <n v="0.24199999999999999"/>
    <n v="450"/>
    <n v="0"/>
    <n v="0"/>
    <m/>
    <m/>
    <m/>
    <m/>
    <n v="108.89999999999999"/>
    <n v="0"/>
    <n v="28000.053040949104"/>
  </r>
  <r>
    <d v="2026-01-26T00:00:00"/>
    <x v="4"/>
    <s v="YALÇINKAYA DOMATES SALÇASI"/>
    <m/>
    <x v="5"/>
    <s v="ST00000001014"/>
    <s v="SATIŞ"/>
    <s v="POS"/>
    <n v="0.5"/>
    <n v="150"/>
    <n v="75"/>
    <n v="0"/>
    <m/>
    <m/>
    <m/>
    <m/>
    <n v="0"/>
    <n v="0"/>
    <n v="28000.053040949104"/>
  </r>
  <r>
    <d v="2026-01-26T00:00:00"/>
    <x v="4"/>
    <s v="YALÇINKAYA TATLI BİBER SALÇASI"/>
    <m/>
    <x v="5"/>
    <s v="ST00000001014"/>
    <s v="SATIŞ"/>
    <s v="POS"/>
    <n v="0.5"/>
    <n v="200"/>
    <n v="100"/>
    <n v="0"/>
    <m/>
    <m/>
    <m/>
    <m/>
    <n v="0"/>
    <n v="0"/>
    <n v="28000.053040949104"/>
  </r>
  <r>
    <d v="2026-01-26T00:00:00"/>
    <x v="1"/>
    <m/>
    <s v="BANKA GİDERLERİ"/>
    <x v="1"/>
    <m/>
    <s v="POS BAKIM ÜCRETİ"/>
    <s v="NAKİT"/>
    <n v="1"/>
    <n v="441"/>
    <n v="0"/>
    <n v="0"/>
    <m/>
    <m/>
    <m/>
    <m/>
    <n v="0"/>
    <n v="441"/>
    <n v="27559.053040949104"/>
  </r>
  <r>
    <d v="2026-01-26T00:00:00"/>
    <x v="10"/>
    <m/>
    <m/>
    <x v="5"/>
    <m/>
    <s v="POS ÇÖZÜMÜ"/>
    <s v="POS"/>
    <n v="1"/>
    <n v="385"/>
    <n v="0"/>
    <n v="385"/>
    <m/>
    <m/>
    <m/>
    <m/>
    <n v="385"/>
    <n v="0"/>
    <n v="27944.053040949104"/>
  </r>
  <r>
    <d v="2026-01-27T00:00:00"/>
    <x v="4"/>
    <s v="YALÇINKAYA ACI BİBER SALÇASI"/>
    <m/>
    <x v="1"/>
    <s v="ST00000001015"/>
    <s v="SATIŞ"/>
    <s v="NAKİT"/>
    <n v="1"/>
    <n v="200"/>
    <n v="0"/>
    <n v="0"/>
    <m/>
    <m/>
    <m/>
    <m/>
    <n v="200"/>
    <n v="0"/>
    <n v="28144.053040949104"/>
  </r>
  <r>
    <d v="2026-01-27T00:00:00"/>
    <x v="4"/>
    <s v="YALÇINKAYA DOMATES SALÇASI"/>
    <m/>
    <x v="1"/>
    <s v="ST00000001016"/>
    <s v="SATIŞ"/>
    <s v="NAKİT"/>
    <n v="1"/>
    <n v="150"/>
    <n v="0"/>
    <n v="0"/>
    <m/>
    <m/>
    <m/>
    <m/>
    <n v="150"/>
    <n v="0"/>
    <n v="28294.053040949104"/>
  </r>
  <r>
    <d v="2026-01-27T00:00:00"/>
    <x v="4"/>
    <s v="ETİ LİFALİF 950 GR YULAF EZMESİ"/>
    <m/>
    <x v="1"/>
    <s v="ST00000001017"/>
    <s v="SATIŞ"/>
    <s v="NAKİT"/>
    <n v="1"/>
    <n v="95"/>
    <n v="0"/>
    <n v="0"/>
    <m/>
    <m/>
    <m/>
    <m/>
    <n v="95"/>
    <n v="0"/>
    <n v="28389.053040949104"/>
  </r>
  <r>
    <d v="2026-01-27T00:00:00"/>
    <x v="4"/>
    <s v="BUĞDAY NİŞASTASI"/>
    <m/>
    <x v="1"/>
    <s v="ST00000001018"/>
    <s v="SATIŞ"/>
    <s v="NAKİT"/>
    <n v="0.5"/>
    <n v="120"/>
    <n v="0"/>
    <n v="0"/>
    <m/>
    <m/>
    <m/>
    <m/>
    <n v="60"/>
    <n v="0"/>
    <n v="28449.053040949104"/>
  </r>
  <r>
    <d v="2026-01-27T00:00:00"/>
    <x v="4"/>
    <s v="SUSAM KIRMIZI"/>
    <m/>
    <x v="1"/>
    <s v="ST00000001019"/>
    <s v="SATIŞ - TOPTAN"/>
    <s v="NAKİT"/>
    <n v="0.52800000000000002"/>
    <n v="95"/>
    <n v="0"/>
    <n v="0"/>
    <m/>
    <m/>
    <m/>
    <m/>
    <n v="50.160000000000004"/>
    <n v="0"/>
    <n v="28499.213040949104"/>
  </r>
  <r>
    <d v="2026-01-27T00:00:00"/>
    <x v="4"/>
    <s v="HİNDİSTAN CEVİZİ ( İRİ )"/>
    <m/>
    <x v="1"/>
    <s v="ST00000001020"/>
    <s v="SATIŞ"/>
    <s v="NAKİT"/>
    <n v="0.2"/>
    <n v="600"/>
    <n v="0"/>
    <n v="0"/>
    <m/>
    <m/>
    <m/>
    <m/>
    <n v="120"/>
    <n v="0"/>
    <n v="28619.213040949104"/>
  </r>
  <r>
    <d v="2026-01-27T00:00:00"/>
    <x v="4"/>
    <s v="SUSAM KIRMIZI"/>
    <m/>
    <x v="1"/>
    <s v="ST00000001020"/>
    <s v="SATIŞ"/>
    <s v="NAKİT"/>
    <n v="0.4"/>
    <n v="400"/>
    <n v="0"/>
    <n v="0"/>
    <m/>
    <m/>
    <m/>
    <m/>
    <n v="160"/>
    <n v="0"/>
    <n v="28779.213040949104"/>
  </r>
  <r>
    <d v="2026-01-27T00:00:00"/>
    <x v="4"/>
    <s v="AKGÜNLÜK BAHUR"/>
    <m/>
    <x v="1"/>
    <s v="ST00000001020"/>
    <s v="SATIŞ"/>
    <s v="NAKİT"/>
    <n v="0.1"/>
    <n v="1500"/>
    <n v="0"/>
    <n v="0"/>
    <m/>
    <m/>
    <m/>
    <m/>
    <n v="150"/>
    <n v="0"/>
    <n v="28929.213040949104"/>
  </r>
  <r>
    <d v="2026-01-27T00:00:00"/>
    <x v="4"/>
    <s v="NANE YAĞI 10 CC"/>
    <m/>
    <x v="1"/>
    <s v="ST00000001020"/>
    <s v="SATIŞ"/>
    <s v="NAKİT"/>
    <n v="1"/>
    <n v="145"/>
    <n v="0"/>
    <n v="0"/>
    <m/>
    <m/>
    <m/>
    <m/>
    <n v="145"/>
    <n v="0"/>
    <n v="29074.213040949104"/>
  </r>
  <r>
    <d v="2026-01-27T00:00:00"/>
    <x v="4"/>
    <s v="NAHİTA ALIÇ SİRKESİ 500 ML"/>
    <m/>
    <x v="5"/>
    <s v="ST00000001021"/>
    <s v="SATIŞ"/>
    <s v="POS"/>
    <n v="1"/>
    <n v="140"/>
    <n v="140"/>
    <n v="0"/>
    <m/>
    <m/>
    <m/>
    <m/>
    <n v="0"/>
    <n v="0"/>
    <n v="29074.213040949104"/>
  </r>
  <r>
    <d v="2026-01-27T00:00:00"/>
    <x v="4"/>
    <s v="SOSLU MISIR YERLİ"/>
    <m/>
    <x v="5"/>
    <s v="ST00000001021"/>
    <s v="SATIŞ"/>
    <s v="POS"/>
    <n v="0.35799999999999998"/>
    <n v="220"/>
    <n v="78.759999999999991"/>
    <n v="0"/>
    <m/>
    <m/>
    <m/>
    <m/>
    <n v="0"/>
    <n v="0"/>
    <n v="29074.213040949104"/>
  </r>
  <r>
    <d v="2026-01-27T00:00:00"/>
    <x v="4"/>
    <s v="KIRKKLİK OTU (AT KUYRUĞU)"/>
    <m/>
    <x v="5"/>
    <s v="ST00000001021"/>
    <s v="SATIŞ"/>
    <s v="POS"/>
    <n v="0.05"/>
    <n v="900"/>
    <n v="45"/>
    <n v="0"/>
    <m/>
    <m/>
    <m/>
    <m/>
    <n v="0"/>
    <n v="0"/>
    <n v="29074.213040949104"/>
  </r>
  <r>
    <d v="2026-01-27T00:00:00"/>
    <x v="4"/>
    <s v="İNCİR KÜÇÜK"/>
    <m/>
    <x v="5"/>
    <s v="ST00000001021"/>
    <s v="SATIŞ"/>
    <s v="POS"/>
    <n v="1"/>
    <n v="570"/>
    <n v="570"/>
    <n v="0"/>
    <m/>
    <m/>
    <m/>
    <m/>
    <n v="0"/>
    <n v="0"/>
    <n v="29074.213040949104"/>
  </r>
  <r>
    <d v="2026-01-27T00:00:00"/>
    <x v="4"/>
    <s v="BİBERİYE"/>
    <m/>
    <x v="5"/>
    <s v="ST00000001021"/>
    <s v="SATIŞ"/>
    <s v="POS"/>
    <n v="0.1"/>
    <n v="1000"/>
    <n v="100"/>
    <n v="0"/>
    <m/>
    <m/>
    <m/>
    <m/>
    <n v="0"/>
    <n v="0"/>
    <n v="29074.213040949104"/>
  </r>
  <r>
    <d v="2026-01-27T00:00:00"/>
    <x v="4"/>
    <s v="KARANFİL"/>
    <m/>
    <x v="5"/>
    <s v="ST00000001021"/>
    <s v="SATIŞ"/>
    <s v="POS"/>
    <n v="0.05"/>
    <n v="1200"/>
    <n v="60"/>
    <n v="0"/>
    <m/>
    <m/>
    <m/>
    <m/>
    <n v="0"/>
    <n v="0"/>
    <n v="29074.213040949104"/>
  </r>
  <r>
    <d v="2026-01-27T00:00:00"/>
    <x v="4"/>
    <s v="DUT KURUSU ESMER"/>
    <m/>
    <x v="5"/>
    <s v="ST00000001021"/>
    <s v="SATIŞ"/>
    <s v="POS"/>
    <n v="0.374"/>
    <n v="450"/>
    <n v="168.3"/>
    <n v="0"/>
    <m/>
    <m/>
    <m/>
    <m/>
    <n v="0"/>
    <n v="0"/>
    <n v="29074.213040949104"/>
  </r>
  <r>
    <d v="2026-01-27T00:00:00"/>
    <x v="4"/>
    <s v="KEKİK LÜX"/>
    <m/>
    <x v="5"/>
    <s v="ST00000001021"/>
    <s v="SATIŞ"/>
    <s v="POS"/>
    <n v="7.5999999999999998E-2"/>
    <n v="760"/>
    <n v="57.76"/>
    <n v="0"/>
    <m/>
    <m/>
    <m/>
    <m/>
    <n v="0"/>
    <n v="0"/>
    <n v="29074.213040949104"/>
  </r>
  <r>
    <d v="2026-01-27T00:00:00"/>
    <x v="4"/>
    <s v="AYÇEKİRDEĞİ DAKOTA TUZLU EKSTRA"/>
    <m/>
    <x v="5"/>
    <s v="ST00000001021"/>
    <s v="SATIŞ"/>
    <s v="POS"/>
    <n v="0.26400000000000001"/>
    <n v="230"/>
    <n v="60.720000000000006"/>
    <n v="0"/>
    <m/>
    <m/>
    <m/>
    <m/>
    <n v="0"/>
    <n v="0"/>
    <n v="29074.213040949104"/>
  </r>
  <r>
    <d v="2026-01-27T00:00:00"/>
    <x v="4"/>
    <s v="MECİTEFENDİ ISIRGAN ŞAMPUANI 400 ML"/>
    <m/>
    <x v="5"/>
    <s v="ST00000001021"/>
    <s v="SATIŞ"/>
    <s v="POS"/>
    <n v="1"/>
    <n v="220"/>
    <n v="220"/>
    <n v="0"/>
    <m/>
    <m/>
    <m/>
    <m/>
    <n v="0"/>
    <n v="0"/>
    <n v="29074.213040949104"/>
  </r>
  <r>
    <d v="2026-01-27T00:00:00"/>
    <x v="4"/>
    <s v="EL-RUHA ÇAY (AÇIK)"/>
    <m/>
    <x v="1"/>
    <s v="ST00000001022"/>
    <s v="SATIŞ - HÜLYA"/>
    <s v="NAKİT"/>
    <n v="2"/>
    <n v="600"/>
    <n v="0"/>
    <n v="0"/>
    <m/>
    <m/>
    <m/>
    <m/>
    <n v="1200"/>
    <n v="0"/>
    <n v="30274.213040949104"/>
  </r>
  <r>
    <d v="2026-01-27T00:00:00"/>
    <x v="4"/>
    <s v="İNCİR KÜÇÜK"/>
    <m/>
    <x v="1"/>
    <s v="ST00000001022"/>
    <s v="SATIŞ - HÜLYA"/>
    <s v="NAKİT"/>
    <n v="1"/>
    <n v="570"/>
    <n v="0"/>
    <n v="0"/>
    <m/>
    <m/>
    <m/>
    <m/>
    <n v="570"/>
    <n v="0"/>
    <n v="30844.213040949104"/>
  </r>
  <r>
    <d v="2026-01-27T00:00:00"/>
    <x v="4"/>
    <s v="ÇÖREKOTU YAĞI 50 CC"/>
    <m/>
    <x v="1"/>
    <s v="ST00000001022"/>
    <s v="SATIŞ - HÜLYA"/>
    <s v="NAKİT"/>
    <n v="1"/>
    <n v="170"/>
    <n v="0"/>
    <n v="0"/>
    <m/>
    <m/>
    <m/>
    <m/>
    <n v="170"/>
    <n v="0"/>
    <n v="31014.213040949104"/>
  </r>
  <r>
    <d v="2026-01-27T00:00:00"/>
    <x v="4"/>
    <s v="MİGREN TAŞI (MENTHO BOX)"/>
    <m/>
    <x v="1"/>
    <s v="ST00000001022"/>
    <s v="SATIŞ - HÜLYA"/>
    <s v="NAKİT"/>
    <n v="2"/>
    <n v="135"/>
    <n v="0"/>
    <n v="0"/>
    <m/>
    <m/>
    <m/>
    <m/>
    <n v="270"/>
    <n v="0"/>
    <n v="31284.213040949104"/>
  </r>
  <r>
    <d v="2026-01-27T00:00:00"/>
    <x v="4"/>
    <s v="ARKO EL VÜCUT KREMİ 150 ml"/>
    <m/>
    <x v="1"/>
    <s v="ST00000001022"/>
    <s v="SATIŞ - HÜLYA"/>
    <s v="NAKİT"/>
    <n v="1"/>
    <n v="95"/>
    <n v="0"/>
    <n v="0"/>
    <m/>
    <m/>
    <m/>
    <m/>
    <n v="95"/>
    <n v="0"/>
    <n v="31379.213040949104"/>
  </r>
  <r>
    <d v="2026-01-27T00:00:00"/>
    <x v="4"/>
    <s v="KABAK LİFLİ ALOEVERA SABUN"/>
    <m/>
    <x v="1"/>
    <s v="ST00000001022"/>
    <s v="SATIŞ - HÜLYA"/>
    <s v="NAKİT"/>
    <n v="2"/>
    <n v="100"/>
    <n v="0"/>
    <n v="0"/>
    <m/>
    <m/>
    <m/>
    <m/>
    <n v="200"/>
    <n v="0"/>
    <n v="31579.213040949104"/>
  </r>
  <r>
    <d v="2026-01-27T00:00:00"/>
    <x v="4"/>
    <s v="KARANFİL"/>
    <m/>
    <x v="1"/>
    <s v="ST00000001022"/>
    <s v="SATIŞ - HÜLYA"/>
    <s v="NAKİT"/>
    <n v="0.05"/>
    <n v="1200"/>
    <n v="0"/>
    <n v="0"/>
    <m/>
    <m/>
    <m/>
    <m/>
    <n v="60"/>
    <n v="0"/>
    <n v="31639.213040949104"/>
  </r>
  <r>
    <d v="2026-01-27T00:00:00"/>
    <x v="4"/>
    <s v="MS 12 DERMA KABAK İPLİ KEMER"/>
    <m/>
    <x v="1"/>
    <s v="ST00000001022"/>
    <s v="SATIŞ - HÜLYA"/>
    <s v="NAKİT"/>
    <n v="1"/>
    <n v="150"/>
    <n v="0"/>
    <n v="0"/>
    <m/>
    <m/>
    <m/>
    <m/>
    <n v="150"/>
    <n v="0"/>
    <n v="31789.213040949104"/>
  </r>
  <r>
    <d v="2026-01-27T00:00:00"/>
    <x v="4"/>
    <s v="CİVAN PERÇEMİ"/>
    <m/>
    <x v="1"/>
    <s v="ST00000001022"/>
    <s v="SATIŞ - HÜLYA"/>
    <s v="NAKİT"/>
    <n v="0.1"/>
    <n v="1000"/>
    <n v="0"/>
    <n v="0"/>
    <m/>
    <m/>
    <m/>
    <m/>
    <n v="100"/>
    <n v="0"/>
    <n v="31889.213040949104"/>
  </r>
  <r>
    <d v="2026-01-27T00:00:00"/>
    <x v="4"/>
    <s v="DUT KURUSU ESMER"/>
    <m/>
    <x v="1"/>
    <s v="ST00000001022"/>
    <s v="SATIŞ - HÜLYA"/>
    <s v="NAKİT"/>
    <n v="0.35"/>
    <n v="450"/>
    <n v="0"/>
    <n v="0"/>
    <m/>
    <m/>
    <m/>
    <m/>
    <n v="157.5"/>
    <n v="0"/>
    <n v="32046.713040949104"/>
  </r>
  <r>
    <d v="2026-01-27T00:00:00"/>
    <x v="4"/>
    <s v="COLLAGEN FORTE PLATİNUM OMEGA 3 90 SOFT JEL"/>
    <m/>
    <x v="1"/>
    <s v="ST00000001022"/>
    <s v="SATIŞ - HÜLYA"/>
    <s v="NAKİT"/>
    <n v="1"/>
    <n v="350"/>
    <n v="0"/>
    <n v="0"/>
    <m/>
    <m/>
    <m/>
    <m/>
    <n v="350"/>
    <n v="0"/>
    <n v="32396.713040949104"/>
  </r>
  <r>
    <d v="2026-01-27T00:00:00"/>
    <x v="4"/>
    <s v="UNİ BABY BEBEK ŞAMPUANI 900 ML"/>
    <m/>
    <x v="1"/>
    <s v="ST00000001022"/>
    <s v="SATIŞ - HÜLYA"/>
    <s v="NAKİT"/>
    <n v="1"/>
    <n v="149"/>
    <n v="0"/>
    <n v="0"/>
    <m/>
    <m/>
    <m/>
    <m/>
    <n v="149"/>
    <n v="0"/>
    <n v="32545.713040949104"/>
  </r>
  <r>
    <d v="2026-01-27T00:00:00"/>
    <x v="4"/>
    <s v="GENÇAY NAR EKŞİSİ 330 GR"/>
    <m/>
    <x v="1"/>
    <s v="ST00000001022"/>
    <s v="SATIŞ - HÜLYA"/>
    <s v="NAKİT"/>
    <n v="1"/>
    <n v="180"/>
    <n v="0"/>
    <n v="0"/>
    <m/>
    <m/>
    <m/>
    <m/>
    <n v="180"/>
    <n v="0"/>
    <n v="32725.713040949104"/>
  </r>
  <r>
    <d v="2026-01-27T00:00:00"/>
    <x v="4"/>
    <s v="NAHİTA ALIÇ SİRKESİ 500 ML"/>
    <m/>
    <x v="1"/>
    <s v="ST00000001022"/>
    <s v="SATIŞ - HÜLYA"/>
    <s v="NAKİT"/>
    <n v="2"/>
    <n v="140"/>
    <n v="0"/>
    <n v="0"/>
    <m/>
    <m/>
    <m/>
    <m/>
    <n v="280"/>
    <n v="0"/>
    <n v="33005.713040949107"/>
  </r>
  <r>
    <d v="2026-01-27T00:00:00"/>
    <x v="4"/>
    <s v="YEŞİL ÇAY YAPRAK"/>
    <m/>
    <x v="1"/>
    <s v="ST00000001022"/>
    <s v="SATIŞ - HÜLYA"/>
    <s v="NAKİT"/>
    <n v="0.1"/>
    <n v="1350"/>
    <n v="0"/>
    <n v="0"/>
    <m/>
    <m/>
    <m/>
    <m/>
    <n v="135"/>
    <n v="0"/>
    <n v="33140.713040949107"/>
  </r>
  <r>
    <d v="2026-01-27T00:00:00"/>
    <x v="4"/>
    <s v="YENİ MAHSÜL PAPATYA"/>
    <m/>
    <x v="1"/>
    <s v="ST00000001022"/>
    <s v="SATIŞ - HÜLYA"/>
    <s v="NAKİT"/>
    <n v="0.05"/>
    <n v="1800"/>
    <n v="0"/>
    <n v="0"/>
    <m/>
    <m/>
    <m/>
    <m/>
    <n v="90"/>
    <n v="0"/>
    <n v="33230.713040949107"/>
  </r>
  <r>
    <d v="2026-01-27T00:00:00"/>
    <x v="4"/>
    <s v="KAFFKA DİBEK KAHVESİ 150 GR"/>
    <m/>
    <x v="1"/>
    <s v="ST00000001022"/>
    <s v="SATIŞ - HÜLYA"/>
    <s v="NAKİT"/>
    <n v="2"/>
    <n v="65"/>
    <n v="0"/>
    <n v="0"/>
    <m/>
    <m/>
    <m/>
    <m/>
    <n v="130"/>
    <n v="0"/>
    <n v="33360.713040949107"/>
  </r>
  <r>
    <d v="2026-01-27T00:00:00"/>
    <x v="4"/>
    <s v="KIRKKLİK OTU (AT KUYRUĞU)"/>
    <m/>
    <x v="1"/>
    <s v="ST00000001022"/>
    <s v="SATIŞ - HÜLYA"/>
    <s v="NAKİT"/>
    <n v="0.05"/>
    <n v="900"/>
    <n v="0"/>
    <n v="0"/>
    <m/>
    <m/>
    <m/>
    <m/>
    <n v="45"/>
    <n v="0"/>
    <n v="33405.713040949107"/>
  </r>
  <r>
    <d v="2026-01-27T00:00:00"/>
    <x v="4"/>
    <s v="FORTEM AĞRI KESİCİ KREM"/>
    <m/>
    <x v="1"/>
    <s v="ST00000001022"/>
    <s v="SATIŞ - HÜLYA"/>
    <s v="NAKİT"/>
    <n v="1"/>
    <n v="350"/>
    <n v="0"/>
    <n v="0"/>
    <m/>
    <m/>
    <m/>
    <m/>
    <n v="350"/>
    <n v="0"/>
    <n v="33755.713040949107"/>
  </r>
  <r>
    <d v="2026-01-27T00:00:00"/>
    <x v="4"/>
    <s v="EL-RUHA ÇAY (AÇIK)"/>
    <m/>
    <x v="1"/>
    <s v="ST00000001023"/>
    <s v="SATIŞ - NECAT"/>
    <s v="NAKİT"/>
    <n v="2"/>
    <n v="600"/>
    <n v="0"/>
    <n v="0"/>
    <m/>
    <m/>
    <m/>
    <m/>
    <n v="1200"/>
    <n v="0"/>
    <n v="34955.713040949107"/>
  </r>
  <r>
    <d v="2026-01-27T00:00:00"/>
    <x v="4"/>
    <s v="ZAHTER"/>
    <m/>
    <x v="1"/>
    <s v="ST00000001023"/>
    <s v="SATIŞ - NECAT"/>
    <s v="NAKİT"/>
    <n v="6.4000000000000001E-2"/>
    <n v="400"/>
    <n v="0"/>
    <n v="0"/>
    <m/>
    <m/>
    <m/>
    <m/>
    <n v="25.6"/>
    <n v="0"/>
    <n v="34981.313040949106"/>
  </r>
  <r>
    <d v="2026-01-27T00:00:00"/>
    <x v="4"/>
    <s v="IHLAMUR YAPRAK"/>
    <m/>
    <x v="1"/>
    <s v="ST00000001023"/>
    <s v="SATIŞ - NECAT"/>
    <s v="NAKİT"/>
    <n v="0.1"/>
    <n v="2500"/>
    <n v="0"/>
    <n v="0"/>
    <m/>
    <m/>
    <m/>
    <m/>
    <n v="250"/>
    <n v="0"/>
    <n v="35231.313040949106"/>
  </r>
  <r>
    <d v="2026-01-27T00:00:00"/>
    <x v="4"/>
    <s v="YENİ MAHSÜL PAPATYA"/>
    <m/>
    <x v="1"/>
    <s v="ST00000001023"/>
    <s v="SATIŞ - NECAT"/>
    <s v="NAKİT"/>
    <n v="0.1"/>
    <n v="1750"/>
    <n v="0"/>
    <n v="0"/>
    <m/>
    <m/>
    <m/>
    <m/>
    <n v="175"/>
    <n v="0"/>
    <n v="35406.313040949106"/>
  </r>
  <r>
    <d v="2026-01-27T00:00:00"/>
    <x v="4"/>
    <s v="ERBATAB VİTAMİN D3 KİDS 20 ML 400 IU DAMLA"/>
    <m/>
    <x v="1"/>
    <s v="ST00000001023"/>
    <s v="SATIŞ - NECAT"/>
    <s v="NAKİT"/>
    <n v="1"/>
    <n v="250"/>
    <n v="0"/>
    <n v="0"/>
    <m/>
    <m/>
    <m/>
    <m/>
    <n v="250"/>
    <n v="0"/>
    <n v="35656.313040949106"/>
  </r>
  <r>
    <d v="2026-01-27T00:00:00"/>
    <x v="4"/>
    <s v="ERBATAB VİTAMİN D3 KİDS 20 ML 400 IU DAMLA"/>
    <m/>
    <x v="1"/>
    <s v="ST00000001023"/>
    <s v="SATIŞ - OĞUZ"/>
    <s v="NAKİT"/>
    <n v="1"/>
    <n v="250"/>
    <n v="0"/>
    <n v="0"/>
    <m/>
    <m/>
    <m/>
    <m/>
    <n v="250"/>
    <n v="0"/>
    <n v="35906.313040949106"/>
  </r>
  <r>
    <d v="2026-01-27T00:00:00"/>
    <x v="4"/>
    <s v="ERBATAB VİTAMİN D3 K2 2'Sİ 1 ARADA DAMLA - D3K2"/>
    <m/>
    <x v="1"/>
    <s v="ST00000001023"/>
    <s v="SATIŞ - OĞUZ"/>
    <s v="NAKİT"/>
    <n v="1"/>
    <n v="250"/>
    <n v="0"/>
    <n v="0"/>
    <m/>
    <m/>
    <m/>
    <m/>
    <n v="250"/>
    <n v="0"/>
    <n v="36156.313040949106"/>
  </r>
  <r>
    <d v="2026-01-27T00:00:00"/>
    <x v="4"/>
    <s v="KABUKLU CEVİZ (YERLİ)"/>
    <m/>
    <x v="5"/>
    <s v="ST00000001024"/>
    <s v="SATIŞ"/>
    <s v="POS"/>
    <n v="1"/>
    <n v="250"/>
    <n v="250"/>
    <n v="0"/>
    <m/>
    <m/>
    <m/>
    <m/>
    <n v="0"/>
    <n v="0"/>
    <n v="36156.313040949106"/>
  </r>
  <r>
    <d v="2026-01-27T00:00:00"/>
    <x v="4"/>
    <s v="KARIŞIK KURUYEMİŞ"/>
    <m/>
    <x v="5"/>
    <s v="ST00000001024"/>
    <s v="SATIŞ"/>
    <s v="POS"/>
    <n v="0.23599999999999999"/>
    <n v="850"/>
    <n v="200.6"/>
    <n v="0"/>
    <m/>
    <m/>
    <m/>
    <m/>
    <n v="0"/>
    <n v="0"/>
    <n v="36156.313040949106"/>
  </r>
  <r>
    <d v="2026-01-27T00:00:00"/>
    <x v="4"/>
    <s v="AÇIK KAYISI İRİ (SARI)"/>
    <m/>
    <x v="5"/>
    <s v="ST00000001024"/>
    <s v="SATIŞ"/>
    <s v="POS"/>
    <n v="0.41594202898550725"/>
    <n v="650"/>
    <n v="270.36231884057969"/>
    <n v="0"/>
    <m/>
    <m/>
    <m/>
    <m/>
    <n v="0"/>
    <n v="0"/>
    <n v="36156.313040949106"/>
  </r>
  <r>
    <d v="2026-01-27T00:00:00"/>
    <x v="4"/>
    <s v="LEBLEBİ ŞEKER RENKLİ"/>
    <m/>
    <x v="5"/>
    <s v="ST00000001024"/>
    <s v="SATIŞ"/>
    <s v="POS"/>
    <n v="0.34782608695652173"/>
    <n v="230"/>
    <n v="80"/>
    <n v="0"/>
    <m/>
    <m/>
    <m/>
    <m/>
    <n v="0"/>
    <n v="0"/>
    <n v="36156.313040949106"/>
  </r>
  <r>
    <d v="2026-01-27T00:00:00"/>
    <x v="4"/>
    <s v="ŞİFAVER BITTIM HATAY SABUNU"/>
    <m/>
    <x v="1"/>
    <s v="ST00000001025"/>
    <s v="SATIŞ"/>
    <s v="NAKİT"/>
    <n v="1"/>
    <n v="50"/>
    <n v="0"/>
    <n v="0"/>
    <m/>
    <m/>
    <m/>
    <m/>
    <n v="50"/>
    <n v="0"/>
    <n v="36206.313040949106"/>
  </r>
  <r>
    <d v="2026-01-27T00:00:00"/>
    <x v="4"/>
    <s v="TÜDAB KEÇİ BOYNUZU (DÖKME)"/>
    <m/>
    <x v="1"/>
    <s v="ST00000001025"/>
    <s v="SATIŞ"/>
    <s v="NAKİT"/>
    <n v="0.09"/>
    <n v="350"/>
    <n v="0"/>
    <n v="0"/>
    <m/>
    <m/>
    <m/>
    <m/>
    <n v="31.5"/>
    <n v="0"/>
    <n v="36237.813040949106"/>
  </r>
  <r>
    <d v="2026-01-27T00:00:00"/>
    <x v="4"/>
    <s v="İNCİR KÜÇÜK"/>
    <m/>
    <x v="1"/>
    <s v="ST00000001025"/>
    <s v="SATIŞ"/>
    <s v="NAKİT"/>
    <n v="0.17599999999999999"/>
    <n v="570"/>
    <n v="0"/>
    <n v="0"/>
    <m/>
    <m/>
    <m/>
    <m/>
    <n v="100.32"/>
    <n v="0"/>
    <n v="36338.133040949106"/>
  </r>
  <r>
    <d v="2026-01-27T00:00:00"/>
    <x v="4"/>
    <s v="YALÇINKAYA DOMATES SALÇASI"/>
    <m/>
    <x v="1"/>
    <s v="ST00000001057"/>
    <s v="SATIŞ - SUAT"/>
    <s v="NAKİT"/>
    <n v="2"/>
    <n v="150"/>
    <n v="0"/>
    <n v="0"/>
    <m/>
    <m/>
    <m/>
    <m/>
    <n v="300"/>
    <n v="0"/>
    <n v="36638.133040949106"/>
  </r>
  <r>
    <d v="2026-01-27T00:00:00"/>
    <x v="10"/>
    <m/>
    <m/>
    <x v="5"/>
    <m/>
    <s v="STOPAJ ÖDEME - ON NUMARA"/>
    <s v="POS"/>
    <n v="1"/>
    <n v="12855.54"/>
    <n v="0"/>
    <n v="12855.54"/>
    <n v="912.4"/>
    <m/>
    <m/>
    <m/>
    <n v="12855.54"/>
    <n v="0"/>
    <n v="49493.673040949107"/>
  </r>
  <r>
    <d v="2026-01-27T00:00:00"/>
    <x v="1"/>
    <m/>
    <s v="VERGİ VE HARÇLAR"/>
    <x v="1"/>
    <m/>
    <s v="STOPAJ ÖDEME - ON NUMARA"/>
    <s v="NAKİT"/>
    <n v="1"/>
    <n v="12855.54"/>
    <n v="0"/>
    <n v="0"/>
    <m/>
    <m/>
    <m/>
    <m/>
    <n v="0"/>
    <n v="12855.54"/>
    <n v="36638.133040949106"/>
  </r>
  <r>
    <d v="2026-01-27T00:00:00"/>
    <x v="10"/>
    <m/>
    <m/>
    <x v="5"/>
    <m/>
    <s v="KDV ÖDEME - ON NUMARA"/>
    <s v="POS"/>
    <n v="1"/>
    <n v="791"/>
    <n v="0"/>
    <n v="791"/>
    <m/>
    <m/>
    <m/>
    <m/>
    <n v="791"/>
    <n v="0"/>
    <n v="37429.133040949106"/>
  </r>
  <r>
    <d v="2026-01-27T00:00:00"/>
    <x v="1"/>
    <m/>
    <s v="VERGİ VE HARÇLAR"/>
    <x v="1"/>
    <m/>
    <s v="KDV ÖDEME - ON NUMARA"/>
    <s v="NAKİT"/>
    <n v="1"/>
    <n v="791"/>
    <n v="0"/>
    <n v="0"/>
    <m/>
    <m/>
    <m/>
    <m/>
    <n v="0"/>
    <n v="791"/>
    <n v="36638.133040949106"/>
  </r>
  <r>
    <d v="2026-01-27T00:00:00"/>
    <x v="3"/>
    <s v="ZÜHRE ANA BROMELAİN ANANAS İÇEREN DETOX ŞURUBU 250 ML"/>
    <m/>
    <x v="2"/>
    <m/>
    <s v="TR"/>
    <s v="K.K."/>
    <n v="4"/>
    <n v="169.9"/>
    <n v="0"/>
    <n v="679.6"/>
    <m/>
    <m/>
    <m/>
    <m/>
    <n v="0"/>
    <n v="0"/>
    <n v="36638.133040949106"/>
  </r>
  <r>
    <d v="2026-01-27T00:00:00"/>
    <x v="3"/>
    <s v="ZÜHRE ANA BROMELAİN ANANAS İÇEREN DETOX ŞURUBU 250 ML"/>
    <m/>
    <x v="2"/>
    <m/>
    <s v="TR"/>
    <s v="K.K."/>
    <n v="4"/>
    <n v="169.9"/>
    <n v="0"/>
    <n v="679.6"/>
    <m/>
    <m/>
    <m/>
    <m/>
    <n v="0"/>
    <n v="0"/>
    <n v="36638.133040949106"/>
  </r>
  <r>
    <d v="2026-01-28T00:00:00"/>
    <x v="3"/>
    <s v="AÇLIK OTU"/>
    <m/>
    <x v="4"/>
    <n v="997058"/>
    <s v="TÜDAB A.Ş."/>
    <s v="CARİ"/>
    <n v="2"/>
    <n v="85"/>
    <n v="0"/>
    <n v="170"/>
    <m/>
    <m/>
    <m/>
    <m/>
    <n v="0"/>
    <n v="0"/>
    <n v="36638.133040949106"/>
  </r>
  <r>
    <d v="2026-01-28T00:00:00"/>
    <x v="3"/>
    <s v="AYÇEKİRDEĞİ DAKOTA TUZLU EKSTRA"/>
    <m/>
    <x v="4"/>
    <n v="997058"/>
    <s v="TÜDAB A.Ş."/>
    <s v="CARİ"/>
    <n v="3"/>
    <n v="130"/>
    <n v="0"/>
    <n v="390"/>
    <m/>
    <m/>
    <m/>
    <m/>
    <n v="0"/>
    <n v="0"/>
    <n v="36638.133040949106"/>
  </r>
  <r>
    <d v="2026-01-28T00:00:00"/>
    <x v="3"/>
    <s v="AYÇEKİRDEĞİ DAKOTA TUZSUZ EKSTRA"/>
    <m/>
    <x v="4"/>
    <n v="997058"/>
    <s v="TÜDAB A.Ş."/>
    <s v="CARİ"/>
    <n v="3"/>
    <n v="140"/>
    <n v="0"/>
    <n v="420"/>
    <m/>
    <m/>
    <m/>
    <m/>
    <n v="0"/>
    <n v="0"/>
    <n v="36638.133040949106"/>
  </r>
  <r>
    <d v="2026-01-28T00:00:00"/>
    <x v="3"/>
    <s v="GÜLŞAH SAHLEP AROMALI İÇECEK"/>
    <m/>
    <x v="4"/>
    <n v="997058"/>
    <s v="TÜDAB A.Ş."/>
    <s v="CARİ"/>
    <n v="5"/>
    <n v="35"/>
    <n v="0"/>
    <n v="175"/>
    <m/>
    <m/>
    <m/>
    <m/>
    <n v="0"/>
    <n v="0"/>
    <n v="36638.133040949106"/>
  </r>
  <r>
    <d v="2026-01-28T00:00:00"/>
    <x v="3"/>
    <s v="LEBLEBİ ŞEKER RENKLİ"/>
    <m/>
    <x v="4"/>
    <n v="997058"/>
    <s v="TÜDAB A.Ş."/>
    <s v="CARİ"/>
    <n v="5"/>
    <n v="125"/>
    <n v="0"/>
    <n v="625"/>
    <m/>
    <m/>
    <m/>
    <m/>
    <n v="0"/>
    <n v="0"/>
    <n v="36638.133040949106"/>
  </r>
  <r>
    <d v="2026-01-28T00:00:00"/>
    <x v="3"/>
    <s v="TÜDAB KARIŞIK TURŞU"/>
    <m/>
    <x v="4"/>
    <n v="997058"/>
    <s v="TÜDAB A.Ş."/>
    <s v="CARİ"/>
    <n v="5"/>
    <n v="265"/>
    <n v="0"/>
    <n v="1325"/>
    <m/>
    <m/>
    <m/>
    <m/>
    <n v="0"/>
    <n v="0"/>
    <n v="36638.133040949106"/>
  </r>
  <r>
    <d v="2026-01-28T00:00:00"/>
    <x v="3"/>
    <s v="TÜDAB KEÇİ BOYNUZU (DÖKME)"/>
    <m/>
    <x v="4"/>
    <n v="997058"/>
    <s v="TÜDAB A.Ş."/>
    <s v="CARİ"/>
    <n v="3"/>
    <n v="140"/>
    <n v="0"/>
    <n v="420"/>
    <m/>
    <m/>
    <m/>
    <m/>
    <n v="0"/>
    <n v="0"/>
    <n v="36638.133040949106"/>
  </r>
  <r>
    <d v="2026-01-28T00:00:00"/>
    <x v="6"/>
    <s v="SÜTTOZU (KAHVE KREMASI)"/>
    <m/>
    <x v="3"/>
    <n v="5477425"/>
    <s v="TÜDAB A.Ş. - İADELER"/>
    <s v="CARİ"/>
    <n v="21"/>
    <n v="115"/>
    <n v="2415"/>
    <n v="0"/>
    <m/>
    <m/>
    <m/>
    <m/>
    <n v="0"/>
    <n v="0"/>
    <n v="36638.133040949106"/>
  </r>
  <r>
    <d v="2026-01-28T00:00:00"/>
    <x v="6"/>
    <s v="ÇAM FISTIĞI (DOLMALIK YER FISTIĞI)"/>
    <m/>
    <x v="3"/>
    <n v="5477426"/>
    <s v="TÜDAB A.Ş. - İADELER"/>
    <s v="CARİ"/>
    <n v="6.94"/>
    <n v="125"/>
    <n v="867.5"/>
    <n v="0"/>
    <m/>
    <m/>
    <m/>
    <m/>
    <n v="0"/>
    <n v="0"/>
    <n v="36638.133040949106"/>
  </r>
  <r>
    <d v="2026-01-28T00:00:00"/>
    <x v="6"/>
    <s v="HASPİR"/>
    <m/>
    <x v="3"/>
    <n v="5477427"/>
    <s v="TÜDAB A.Ş. - İADELER"/>
    <s v="CARİ"/>
    <n v="1.85"/>
    <n v="550"/>
    <n v="1017.5"/>
    <n v="0"/>
    <m/>
    <m/>
    <m/>
    <m/>
    <n v="0"/>
    <n v="0"/>
    <n v="36638.133040949106"/>
  </r>
  <r>
    <d v="2026-01-28T00:00:00"/>
    <x v="6"/>
    <s v="HİNDİSTAN CEVİZİ ( İRİ )"/>
    <m/>
    <x v="3"/>
    <n v="5477428"/>
    <s v="TÜDAB A.Ş. - İADELER"/>
    <s v="CARİ"/>
    <n v="13.5"/>
    <n v="150"/>
    <n v="2025"/>
    <n v="0"/>
    <m/>
    <m/>
    <m/>
    <m/>
    <n v="0"/>
    <n v="0"/>
    <n v="36638.133040949106"/>
  </r>
  <r>
    <d v="2026-01-28T00:00:00"/>
    <x v="6"/>
    <s v="SUSAM KIRMIZI"/>
    <m/>
    <x v="3"/>
    <n v="5477429"/>
    <s v="TÜDAB A.Ş. - İADELER"/>
    <s v="CARİ"/>
    <n v="7.86"/>
    <n v="70"/>
    <n v="550.20000000000005"/>
    <n v="0"/>
    <m/>
    <m/>
    <m/>
    <m/>
    <n v="0"/>
    <n v="0"/>
    <n v="36638.133040949106"/>
  </r>
  <r>
    <d v="2026-01-28T00:00:00"/>
    <x v="6"/>
    <s v="MOR REYHAN"/>
    <m/>
    <x v="3"/>
    <n v="5477430"/>
    <s v="TÜDAB A.Ş. - İADELER"/>
    <s v="CARİ"/>
    <n v="1"/>
    <n v="500"/>
    <n v="500"/>
    <n v="0"/>
    <m/>
    <m/>
    <m/>
    <m/>
    <n v="0"/>
    <n v="0"/>
    <n v="36638.133040949106"/>
  </r>
  <r>
    <d v="2026-01-28T00:00:00"/>
    <x v="6"/>
    <s v="SUSAM"/>
    <m/>
    <x v="3"/>
    <n v="5477431"/>
    <s v="TÜDAB A.Ş. - İADELER"/>
    <s v="CARİ"/>
    <n v="11"/>
    <n v="80"/>
    <n v="880"/>
    <n v="0"/>
    <m/>
    <m/>
    <m/>
    <m/>
    <n v="0"/>
    <n v="0"/>
    <n v="36638.133040949106"/>
  </r>
  <r>
    <d v="2026-01-28T00:00:00"/>
    <x v="6"/>
    <s v="TOZ BİBER - ACI"/>
    <m/>
    <x v="3"/>
    <n v="5477432"/>
    <s v="TÜDAB A.Ş. - İADELER"/>
    <s v="CARİ"/>
    <n v="16.2"/>
    <n v="160"/>
    <n v="2592"/>
    <n v="0"/>
    <m/>
    <m/>
    <m/>
    <m/>
    <n v="0"/>
    <n v="0"/>
    <n v="36638.133040949106"/>
  </r>
  <r>
    <d v="2026-01-28T00:00:00"/>
    <x v="5"/>
    <m/>
    <s v="İSKONTO GELİRLERİ"/>
    <x v="3"/>
    <n v="5477432"/>
    <s v="TÜDAB A.Ş. - İADELER"/>
    <s v="CARİ"/>
    <n v="1"/>
    <n v="67.69"/>
    <n v="67.69"/>
    <n v="0"/>
    <m/>
    <m/>
    <m/>
    <m/>
    <n v="0"/>
    <n v="0"/>
    <n v="36638.133040949106"/>
  </r>
  <r>
    <d v="2026-01-28T00:00:00"/>
    <x v="4"/>
    <s v="TOZ BİBER - TATLI"/>
    <m/>
    <x v="1"/>
    <s v="ST00000001024"/>
    <s v="SATIŞ - TOPTAN"/>
    <s v="NAKİT"/>
    <n v="1"/>
    <n v="250"/>
    <n v="0"/>
    <n v="0"/>
    <m/>
    <m/>
    <m/>
    <m/>
    <n v="250"/>
    <n v="0"/>
    <n v="36888.133040949106"/>
  </r>
  <r>
    <d v="2026-01-28T00:00:00"/>
    <x v="4"/>
    <s v="DOLMALIK KURU PATLICAN"/>
    <m/>
    <x v="5"/>
    <s v="ST00000001025"/>
    <s v="SATIŞ"/>
    <s v="POS"/>
    <n v="1"/>
    <n v="250"/>
    <n v="250"/>
    <n v="0"/>
    <m/>
    <m/>
    <m/>
    <m/>
    <n v="0"/>
    <n v="0"/>
    <n v="36888.133040949106"/>
  </r>
  <r>
    <d v="2026-01-28T00:00:00"/>
    <x v="4"/>
    <s v="DOLMALIK SARI BİBER"/>
    <m/>
    <x v="5"/>
    <s v="ST00000001025"/>
    <s v="SATIŞ"/>
    <s v="POS"/>
    <n v="1"/>
    <n v="230"/>
    <n v="230"/>
    <n v="0"/>
    <m/>
    <m/>
    <m/>
    <m/>
    <n v="0"/>
    <n v="0"/>
    <n v="36888.133040949106"/>
  </r>
  <r>
    <d v="2026-01-28T00:00:00"/>
    <x v="4"/>
    <s v="KABUKLU CEVİZ (YERLİ)"/>
    <m/>
    <x v="5"/>
    <s v="ST00000001026"/>
    <s v="SATIŞ"/>
    <s v="POS"/>
    <n v="2"/>
    <n v="250"/>
    <n v="500"/>
    <n v="0"/>
    <m/>
    <m/>
    <m/>
    <m/>
    <n v="0"/>
    <n v="0"/>
    <n v="36888.133040949106"/>
  </r>
  <r>
    <d v="2026-01-28T00:00:00"/>
    <x v="4"/>
    <s v="KABUKLU CEVİZ (YERLİ)"/>
    <m/>
    <x v="5"/>
    <s v="ST00000001027"/>
    <s v="SATIŞ"/>
    <s v="POS"/>
    <n v="1"/>
    <n v="250"/>
    <n v="250"/>
    <n v="0"/>
    <m/>
    <m/>
    <m/>
    <m/>
    <n v="0"/>
    <n v="0"/>
    <n v="36888.133040949106"/>
  </r>
  <r>
    <d v="2026-01-28T00:00:00"/>
    <x v="4"/>
    <s v="AGARTA DİŞ MACUNU"/>
    <m/>
    <x v="5"/>
    <s v="ST00000001028"/>
    <s v="SATIŞ"/>
    <s v="POS"/>
    <n v="1"/>
    <n v="135"/>
    <n v="135"/>
    <n v="0"/>
    <m/>
    <m/>
    <m/>
    <m/>
    <n v="0"/>
    <n v="0"/>
    <n v="36888.133040949106"/>
  </r>
  <r>
    <d v="2026-01-28T00:00:00"/>
    <x v="4"/>
    <s v="MS 02 DERMA ÖRME BANYO &amp; YÜZ LİFİ"/>
    <m/>
    <x v="5"/>
    <s v="ST00000001028"/>
    <s v="SATIŞ"/>
    <s v="POS"/>
    <n v="1"/>
    <n v="100"/>
    <n v="100"/>
    <n v="0"/>
    <m/>
    <m/>
    <m/>
    <m/>
    <n v="0"/>
    <n v="0"/>
    <n v="36888.133040949106"/>
  </r>
  <r>
    <d v="2026-01-28T00:00:00"/>
    <x v="4"/>
    <s v="HASEVLİK"/>
    <m/>
    <x v="1"/>
    <s v="ST00000001029"/>
    <s v="SATIŞ"/>
    <s v="NAKİT"/>
    <n v="0.19"/>
    <n v="450"/>
    <n v="0"/>
    <n v="0"/>
    <m/>
    <m/>
    <m/>
    <m/>
    <n v="85.5"/>
    <n v="0"/>
    <n v="36973.633040949106"/>
  </r>
  <r>
    <d v="2026-01-28T00:00:00"/>
    <x v="4"/>
    <s v="SUMAK"/>
    <m/>
    <x v="1"/>
    <s v="ST00000001029"/>
    <s v="SATIŞ"/>
    <s v="NAKİT"/>
    <n v="0.21"/>
    <n v="500"/>
    <n v="0"/>
    <n v="0"/>
    <m/>
    <m/>
    <m/>
    <m/>
    <n v="105"/>
    <n v="0"/>
    <n v="37078.633040949106"/>
  </r>
  <r>
    <d v="2026-01-28T00:00:00"/>
    <x v="4"/>
    <s v="ZAHTER"/>
    <m/>
    <x v="1"/>
    <s v="ST00000001029"/>
    <s v="SATIŞ"/>
    <s v="NAKİT"/>
    <n v="7.1999999999999995E-2"/>
    <n v="400"/>
    <n v="0"/>
    <n v="0"/>
    <m/>
    <m/>
    <m/>
    <m/>
    <n v="28.799999999999997"/>
    <n v="0"/>
    <n v="37107.433040949109"/>
  </r>
  <r>
    <d v="2026-01-28T00:00:00"/>
    <x v="4"/>
    <s v="İPEK BİBER"/>
    <m/>
    <x v="1"/>
    <s v="ST00000001029"/>
    <s v="SATIŞ"/>
    <s v="NAKİT"/>
    <n v="0.14599999999999999"/>
    <n v="500"/>
    <n v="0"/>
    <n v="0"/>
    <m/>
    <m/>
    <m/>
    <m/>
    <n v="73"/>
    <n v="0"/>
    <n v="37180.433040949109"/>
  </r>
  <r>
    <d v="2026-01-28T00:00:00"/>
    <x v="4"/>
    <s v="KORİ (TAVUK BAHARATI)"/>
    <m/>
    <x v="1"/>
    <s v="ST00000001029"/>
    <s v="SATIŞ"/>
    <s v="NAKİT"/>
    <n v="0.14199999999999999"/>
    <n v="140"/>
    <n v="0"/>
    <n v="0"/>
    <m/>
    <m/>
    <m/>
    <m/>
    <n v="19.88"/>
    <n v="0"/>
    <n v="37200.313040949106"/>
  </r>
  <r>
    <d v="2026-01-28T00:00:00"/>
    <x v="4"/>
    <s v="HAM KABAK LİFİ İŞLENMEMİŞ"/>
    <m/>
    <x v="5"/>
    <s v="ST00000001030"/>
    <s v="SATIŞ"/>
    <s v="POS"/>
    <n v="1"/>
    <n v="180"/>
    <n v="180"/>
    <n v="0"/>
    <m/>
    <m/>
    <m/>
    <m/>
    <n v="0"/>
    <n v="0"/>
    <n v="37200.313040949106"/>
  </r>
  <r>
    <d v="2026-01-28T00:00:00"/>
    <x v="4"/>
    <s v="KUDÜS HURMASI"/>
    <m/>
    <x v="5"/>
    <s v="ST00000001030"/>
    <s v="SATIŞ"/>
    <s v="POS"/>
    <n v="1.03"/>
    <n v="400"/>
    <n v="412"/>
    <n v="0"/>
    <m/>
    <m/>
    <m/>
    <m/>
    <n v="0"/>
    <n v="0"/>
    <n v="37200.313040949106"/>
  </r>
  <r>
    <d v="2026-01-28T00:00:00"/>
    <x v="4"/>
    <s v="KABUKLU CEVİZ (YERLİ)"/>
    <m/>
    <x v="5"/>
    <s v="ST00000001030"/>
    <s v="SATIŞ"/>
    <s v="POS"/>
    <n v="2.84"/>
    <n v="250"/>
    <n v="710"/>
    <n v="0"/>
    <m/>
    <m/>
    <m/>
    <m/>
    <n v="0"/>
    <n v="0"/>
    <n v="37200.313040949106"/>
  </r>
  <r>
    <d v="2026-01-28T00:00:00"/>
    <x v="4"/>
    <s v="DOLMALIK SARI BİBER"/>
    <m/>
    <x v="5"/>
    <s v="ST00000001030"/>
    <s v="SATIŞ"/>
    <s v="POS"/>
    <n v="1"/>
    <n v="230"/>
    <n v="230"/>
    <n v="0"/>
    <m/>
    <m/>
    <m/>
    <m/>
    <n v="0"/>
    <n v="0"/>
    <n v="37200.313040949106"/>
  </r>
  <r>
    <d v="2026-01-28T00:00:00"/>
    <x v="4"/>
    <s v="DOLMALIK KURU PATLICAN"/>
    <m/>
    <x v="5"/>
    <s v="ST00000001030"/>
    <s v="SATIŞ"/>
    <s v="POS"/>
    <n v="1"/>
    <n v="250"/>
    <n v="250"/>
    <n v="0"/>
    <m/>
    <m/>
    <m/>
    <m/>
    <n v="0"/>
    <n v="0"/>
    <n v="37200.313040949106"/>
  </r>
  <r>
    <d v="2026-01-28T00:00:00"/>
    <x v="4"/>
    <s v="KABUKLU CEVİZ (YERLİ)"/>
    <m/>
    <x v="5"/>
    <s v="ST00000001031"/>
    <s v="SATIŞ"/>
    <s v="POS"/>
    <n v="2"/>
    <n v="250"/>
    <n v="500"/>
    <n v="0"/>
    <m/>
    <m/>
    <m/>
    <m/>
    <n v="0"/>
    <n v="0"/>
    <n v="37200.313040949106"/>
  </r>
  <r>
    <d v="2026-01-28T00:00:00"/>
    <x v="4"/>
    <s v="KUDÜS HURMASI"/>
    <m/>
    <x v="5"/>
    <s v="ST00000001031"/>
    <s v="SATIŞ"/>
    <s v="POS"/>
    <n v="1"/>
    <n v="400"/>
    <n v="400"/>
    <n v="0"/>
    <m/>
    <m/>
    <m/>
    <m/>
    <n v="0"/>
    <n v="0"/>
    <n v="37200.313040949106"/>
  </r>
  <r>
    <d v="2026-01-28T00:00:00"/>
    <x v="4"/>
    <s v="TOZ BİBER - TATLI"/>
    <m/>
    <x v="1"/>
    <s v="ST00000001032"/>
    <s v="SATIŞ - TOPTAN"/>
    <s v="NAKİT"/>
    <n v="0.754"/>
    <n v="266"/>
    <n v="0"/>
    <n v="0"/>
    <m/>
    <m/>
    <m/>
    <m/>
    <n v="200.56399999999999"/>
    <n v="0"/>
    <n v="37400.877040949104"/>
  </r>
  <r>
    <d v="2026-01-28T00:00:00"/>
    <x v="4"/>
    <s v="LAHANA TURŞUSU 5 KG"/>
    <m/>
    <x v="1"/>
    <s v="ST00000001033"/>
    <s v="SATIŞ"/>
    <s v="NAKİT"/>
    <n v="1"/>
    <n v="300"/>
    <n v="0"/>
    <n v="0"/>
    <m/>
    <m/>
    <m/>
    <m/>
    <n v="300"/>
    <n v="0"/>
    <n v="37700.877040949104"/>
  </r>
  <r>
    <d v="2026-01-28T00:00:00"/>
    <x v="4"/>
    <s v="MEBRUM HURMA - SİYAH"/>
    <m/>
    <x v="1"/>
    <s v="ST00000001034"/>
    <s v="SATIŞ"/>
    <s v="NAKİT"/>
    <n v="1"/>
    <n v="450"/>
    <n v="0"/>
    <n v="0"/>
    <m/>
    <m/>
    <m/>
    <m/>
    <n v="450"/>
    <n v="0"/>
    <n v="38150.877040949104"/>
  </r>
  <r>
    <d v="2026-01-28T00:00:00"/>
    <x v="4"/>
    <s v="GÜNAYDIN KAYA TUZU İRİ"/>
    <m/>
    <x v="5"/>
    <s v="ST00000001035"/>
    <s v="SATIŞ"/>
    <s v="POS"/>
    <n v="0.5"/>
    <n v="80"/>
    <n v="40"/>
    <n v="0"/>
    <m/>
    <m/>
    <m/>
    <m/>
    <n v="0"/>
    <n v="0"/>
    <n v="38150.877040949104"/>
  </r>
  <r>
    <d v="2026-01-28T00:00:00"/>
    <x v="4"/>
    <s v="NAHİTA ÜZÜM SİRKESİ"/>
    <m/>
    <x v="5"/>
    <s v="ST00000001035"/>
    <s v="SATIŞ"/>
    <s v="POS"/>
    <n v="1"/>
    <n v="140"/>
    <n v="140"/>
    <n v="0"/>
    <m/>
    <m/>
    <m/>
    <m/>
    <n v="0"/>
    <n v="0"/>
    <n v="38150.877040949104"/>
  </r>
  <r>
    <d v="2026-01-28T00:00:00"/>
    <x v="4"/>
    <s v="ZAHTER"/>
    <m/>
    <x v="5"/>
    <s v="ST00000001035"/>
    <s v="SATIŞ"/>
    <s v="POS"/>
    <n v="3.7499999999999999E-2"/>
    <n v="400"/>
    <n v="15"/>
    <n v="0"/>
    <m/>
    <m/>
    <m/>
    <m/>
    <n v="0"/>
    <n v="0"/>
    <n v="38150.877040949104"/>
  </r>
  <r>
    <d v="2026-01-28T00:00:00"/>
    <x v="4"/>
    <s v="AÇLIK OTU"/>
    <m/>
    <x v="1"/>
    <s v="ST00000001036"/>
    <s v="SATIŞ - STOK DÜZELTME"/>
    <s v="NAKİT"/>
    <n v="0.4"/>
    <n v="270"/>
    <n v="0"/>
    <n v="0"/>
    <m/>
    <m/>
    <m/>
    <m/>
    <n v="108"/>
    <n v="0"/>
    <n v="38258.877040949104"/>
  </r>
  <r>
    <d v="2026-01-29T00:00:00"/>
    <x v="4"/>
    <s v="DOLMALIK KURU PATLICAN"/>
    <m/>
    <x v="1"/>
    <s v="ST00000001037"/>
    <s v="SATIŞ"/>
    <s v="NAKİT"/>
    <n v="5"/>
    <n v="230"/>
    <n v="0"/>
    <n v="0"/>
    <m/>
    <m/>
    <m/>
    <m/>
    <n v="1150"/>
    <n v="0"/>
    <n v="39408.877040949104"/>
  </r>
  <r>
    <d v="2026-01-29T00:00:00"/>
    <x v="4"/>
    <s v="DOLMALIK KURU ACI BİBER"/>
    <m/>
    <x v="1"/>
    <s v="ST00000001037"/>
    <s v="SATIŞ"/>
    <s v="NAKİT"/>
    <n v="8"/>
    <n v="230"/>
    <n v="0"/>
    <n v="0"/>
    <m/>
    <m/>
    <m/>
    <m/>
    <n v="1840"/>
    <n v="0"/>
    <n v="41248.877040949104"/>
  </r>
  <r>
    <d v="2026-01-29T00:00:00"/>
    <x v="4"/>
    <s v="DOLMALIK SARI BİBER"/>
    <m/>
    <x v="1"/>
    <s v="ST00000001037"/>
    <s v="SATIŞ"/>
    <s v="NAKİT"/>
    <n v="5"/>
    <n v="230"/>
    <n v="0"/>
    <n v="0"/>
    <m/>
    <m/>
    <m/>
    <m/>
    <n v="1150"/>
    <n v="0"/>
    <n v="42398.877040949104"/>
  </r>
  <r>
    <d v="2026-01-29T00:00:00"/>
    <x v="4"/>
    <s v="EL-RUHA ÇAY 800 GR"/>
    <m/>
    <x v="1"/>
    <s v="ST00000001037"/>
    <s v="SATIŞ"/>
    <s v="NAKİT"/>
    <n v="4"/>
    <n v="515"/>
    <n v="0"/>
    <n v="0"/>
    <m/>
    <m/>
    <m/>
    <m/>
    <n v="2060"/>
    <n v="0"/>
    <n v="44458.877040949104"/>
  </r>
  <r>
    <d v="2026-01-29T00:00:00"/>
    <x v="4"/>
    <s v="YALÇINKAYA TATLI BİBER SALÇASI"/>
    <m/>
    <x v="1"/>
    <s v="ST00000001038"/>
    <s v="SATIŞ"/>
    <s v="NAKİT"/>
    <n v="0.5"/>
    <n v="200"/>
    <n v="0"/>
    <n v="0"/>
    <m/>
    <m/>
    <m/>
    <m/>
    <n v="100"/>
    <n v="0"/>
    <n v="44558.877040949104"/>
  </r>
  <r>
    <d v="2026-01-29T00:00:00"/>
    <x v="4"/>
    <s v="NBN DAĞ İNCİRİ"/>
    <m/>
    <x v="1"/>
    <s v="ST00000001039"/>
    <s v="SATIŞ"/>
    <s v="NAKİT"/>
    <n v="0.25"/>
    <n v="800"/>
    <n v="0"/>
    <n v="0"/>
    <m/>
    <m/>
    <m/>
    <m/>
    <n v="200"/>
    <n v="0"/>
    <n v="44758.877040949104"/>
  </r>
  <r>
    <d v="2026-01-29T00:00:00"/>
    <x v="4"/>
    <s v="DOLMALIK KURU PATLICAN"/>
    <m/>
    <x v="1"/>
    <s v="ST00000001040"/>
    <s v="SATIŞ"/>
    <s v="NAKİT"/>
    <n v="0.5"/>
    <n v="230"/>
    <n v="0"/>
    <n v="0"/>
    <m/>
    <m/>
    <m/>
    <m/>
    <n v="115"/>
    <n v="0"/>
    <n v="44873.877040949104"/>
  </r>
  <r>
    <d v="2026-01-29T00:00:00"/>
    <x v="4"/>
    <s v="DOLMALIK SARI BİBER"/>
    <m/>
    <x v="1"/>
    <s v="ST00000001040"/>
    <s v="SATIŞ"/>
    <s v="NAKİT"/>
    <n v="0.5"/>
    <n v="250"/>
    <n v="0"/>
    <n v="0"/>
    <m/>
    <m/>
    <m/>
    <m/>
    <n v="125"/>
    <n v="0"/>
    <n v="44998.877040949104"/>
  </r>
  <r>
    <d v="2026-01-29T00:00:00"/>
    <x v="4"/>
    <s v="AÇLIK OTU"/>
    <m/>
    <x v="1"/>
    <s v="ST00000001041"/>
    <s v="SATIŞ"/>
    <s v="NAKİT"/>
    <n v="0.1"/>
    <n v="400"/>
    <n v="0"/>
    <n v="0"/>
    <m/>
    <m/>
    <m/>
    <m/>
    <n v="40"/>
    <n v="0"/>
    <n v="45038.877040949104"/>
  </r>
  <r>
    <d v="2026-01-29T00:00:00"/>
    <x v="4"/>
    <s v="ÇUBUK TARÇIN"/>
    <m/>
    <x v="1"/>
    <s v="ST00000001042"/>
    <s v="SATIŞ"/>
    <s v="NAKİT"/>
    <n v="0.1"/>
    <n v="650"/>
    <n v="0"/>
    <n v="0"/>
    <m/>
    <m/>
    <m/>
    <m/>
    <n v="65"/>
    <n v="0"/>
    <n v="45103.877040949104"/>
  </r>
  <r>
    <d v="2026-01-29T00:00:00"/>
    <x v="4"/>
    <s v="KABUKLU CEVİZ (YERLİ)"/>
    <m/>
    <x v="5"/>
    <s v="ST00000001043"/>
    <s v="SATIŞ"/>
    <s v="POS"/>
    <n v="1"/>
    <n v="250"/>
    <n v="250"/>
    <n v="0"/>
    <m/>
    <m/>
    <m/>
    <m/>
    <n v="0"/>
    <n v="0"/>
    <n v="45103.877040949104"/>
  </r>
  <r>
    <d v="2026-01-29T00:00:00"/>
    <x v="4"/>
    <s v="LOBAS SAF NAR EKŞİSİ 1 KG"/>
    <m/>
    <x v="5"/>
    <s v="ST00000001044"/>
    <s v="SATIŞ"/>
    <s v="POS"/>
    <n v="1"/>
    <n v="340"/>
    <n v="340"/>
    <n v="0"/>
    <m/>
    <m/>
    <m/>
    <m/>
    <n v="0"/>
    <n v="0"/>
    <n v="45103.877040949104"/>
  </r>
  <r>
    <d v="2026-01-29T00:00:00"/>
    <x v="4"/>
    <s v="KABUKLU CEVİZ (YERLİ)"/>
    <m/>
    <x v="5"/>
    <s v="ST00000001044"/>
    <s v="SATIŞ"/>
    <s v="POS"/>
    <n v="2"/>
    <n v="250"/>
    <n v="500"/>
    <n v="0"/>
    <m/>
    <m/>
    <m/>
    <m/>
    <n v="0"/>
    <n v="0"/>
    <n v="45103.877040949104"/>
  </r>
  <r>
    <d v="2026-01-29T00:00:00"/>
    <x v="4"/>
    <s v="KARIŞIK KURUYEMİŞ"/>
    <m/>
    <x v="5"/>
    <s v="ST00000001044"/>
    <s v="SATIŞ"/>
    <s v="POS"/>
    <n v="0.47199999999999998"/>
    <n v="850"/>
    <n v="401.2"/>
    <n v="0"/>
    <m/>
    <m/>
    <m/>
    <m/>
    <n v="0"/>
    <n v="0"/>
    <n v="45103.877040949104"/>
  </r>
  <r>
    <d v="2026-01-29T00:00:00"/>
    <x v="4"/>
    <s v="İRİ BEYAZ KABAK ÇEKİRDEĞİ - NEVŞEHİR"/>
    <m/>
    <x v="5"/>
    <s v="ST00000001044"/>
    <s v="SATIŞ"/>
    <s v="POS"/>
    <n v="0.28000000000000003"/>
    <n v="400"/>
    <n v="112.00000000000001"/>
    <n v="0"/>
    <m/>
    <m/>
    <m/>
    <m/>
    <n v="0"/>
    <n v="0"/>
    <n v="45103.877040949104"/>
  </r>
  <r>
    <d v="2026-01-29T00:00:00"/>
    <x v="4"/>
    <s v="AYÇEKİRDEĞİ DAKOTA TUZLU EKSTRA"/>
    <m/>
    <x v="5"/>
    <s v="ST00000001044"/>
    <s v="SATIŞ"/>
    <s v="POS"/>
    <n v="0.26200000000000001"/>
    <n v="180"/>
    <n v="47.160000000000004"/>
    <n v="0"/>
    <m/>
    <m/>
    <m/>
    <m/>
    <n v="0"/>
    <n v="0"/>
    <n v="45103.877040949104"/>
  </r>
  <r>
    <d v="2026-01-29T00:00:00"/>
    <x v="4"/>
    <s v="SEYHAN ÜZÜM ÖZEL"/>
    <m/>
    <x v="5"/>
    <s v="ST00000001044"/>
    <s v="SATIŞ"/>
    <s v="POS"/>
    <n v="1"/>
    <n v="750"/>
    <n v="750"/>
    <n v="0"/>
    <m/>
    <m/>
    <m/>
    <m/>
    <n v="0"/>
    <n v="0"/>
    <n v="45103.877040949104"/>
  </r>
  <r>
    <d v="2026-01-30T00:00:00"/>
    <x v="3"/>
    <s v="YALÇINKAYA DOMATES SALÇASI"/>
    <m/>
    <x v="4"/>
    <n v="997217"/>
    <s v="TÜDAB A.Ş."/>
    <s v="CARİ"/>
    <n v="19.350000000000001"/>
    <n v="74.935400516795866"/>
    <n v="0"/>
    <n v="1450.0000000000002"/>
    <m/>
    <m/>
    <m/>
    <m/>
    <n v="0"/>
    <n v="0"/>
    <n v="45103.877040949104"/>
  </r>
  <r>
    <d v="2026-01-30T00:00:00"/>
    <x v="3"/>
    <s v="SUSAM SİMİTLİK"/>
    <m/>
    <x v="4"/>
    <n v="997217"/>
    <s v="TÜDAB A.Ş."/>
    <s v="CARİ"/>
    <n v="1"/>
    <n v="120"/>
    <n v="0"/>
    <n v="120"/>
    <m/>
    <m/>
    <m/>
    <m/>
    <n v="0"/>
    <n v="0"/>
    <n v="45103.877040949104"/>
  </r>
  <r>
    <d v="2026-01-30T00:00:00"/>
    <x v="3"/>
    <s v="DURMUŞOĞULLARI KATI PEKMEZ TAHTA 700 GR"/>
    <m/>
    <x v="4"/>
    <n v="997217"/>
    <s v="TÜDAB A.Ş."/>
    <s v="CARİ"/>
    <n v="10"/>
    <n v="215"/>
    <n v="0"/>
    <n v="2150"/>
    <m/>
    <m/>
    <m/>
    <m/>
    <n v="0"/>
    <n v="0"/>
    <n v="45103.877040949104"/>
  </r>
  <r>
    <d v="2026-01-30T00:00:00"/>
    <x v="4"/>
    <s v="DUT KURUSU ESMER"/>
    <m/>
    <x v="5"/>
    <s v="ST00000001051"/>
    <s v="SATIŞ"/>
    <s v="POS"/>
    <n v="0.44444444444444442"/>
    <n v="450"/>
    <n v="200"/>
    <n v="0"/>
    <m/>
    <m/>
    <m/>
    <m/>
    <n v="0"/>
    <n v="0"/>
    <n v="45103.877040949104"/>
  </r>
  <r>
    <d v="2026-01-30T00:00:00"/>
    <x v="4"/>
    <s v="KİMYON ÇEKİLMİŞ"/>
    <m/>
    <x v="5"/>
    <s v="ST00000001051"/>
    <s v="SATIŞ"/>
    <s v="POS"/>
    <n v="7.4999999999999997E-2"/>
    <n v="400"/>
    <n v="30"/>
    <n v="0"/>
    <m/>
    <m/>
    <m/>
    <m/>
    <n v="0"/>
    <n v="0"/>
    <n v="45103.877040949104"/>
  </r>
  <r>
    <d v="2026-01-30T00:00:00"/>
    <x v="4"/>
    <s v="KARABİBER ÇEKİLMİŞ"/>
    <m/>
    <x v="1"/>
    <s v="ST00000001052"/>
    <s v="SATIŞ"/>
    <s v="NAKİT"/>
    <n v="0.15384615384615385"/>
    <n v="650"/>
    <n v="0"/>
    <n v="0"/>
    <m/>
    <m/>
    <m/>
    <m/>
    <n v="100"/>
    <n v="0"/>
    <n v="45203.877040949104"/>
  </r>
  <r>
    <d v="2026-01-30T00:00:00"/>
    <x v="4"/>
    <s v="İPEK BİBER"/>
    <m/>
    <x v="1"/>
    <s v="ST00000001052"/>
    <s v="SATIŞ"/>
    <s v="NAKİT"/>
    <n v="0.2"/>
    <n v="500"/>
    <n v="0"/>
    <n v="0"/>
    <m/>
    <m/>
    <m/>
    <m/>
    <n v="100"/>
    <n v="0"/>
    <n v="45303.877040949104"/>
  </r>
  <r>
    <d v="2026-01-30T00:00:00"/>
    <x v="4"/>
    <s v="YALÇINKAYA TATLI BİBER SALÇASI"/>
    <m/>
    <x v="1"/>
    <s v="ST00000001052"/>
    <s v="SATIŞ"/>
    <s v="NAKİT"/>
    <n v="0.4"/>
    <n v="200"/>
    <n v="0"/>
    <n v="0"/>
    <m/>
    <m/>
    <m/>
    <m/>
    <n v="80"/>
    <n v="0"/>
    <n v="45383.877040949104"/>
  </r>
  <r>
    <d v="2026-01-30T00:00:00"/>
    <x v="4"/>
    <s v="YALÇINKAYA ACI BİBER SALÇASI"/>
    <m/>
    <x v="1"/>
    <s v="ST00000001052"/>
    <s v="SATIŞ"/>
    <s v="NAKİT"/>
    <n v="0.6"/>
    <n v="200"/>
    <n v="0"/>
    <n v="0"/>
    <m/>
    <m/>
    <m/>
    <m/>
    <n v="120"/>
    <n v="0"/>
    <n v="45503.877040949104"/>
  </r>
  <r>
    <d v="2026-01-30T00:00:00"/>
    <x v="4"/>
    <s v="ADA ÇAYI YAĞI (ACI ELMA YAĞI) 10 CC"/>
    <m/>
    <x v="5"/>
    <s v="ST00000001053"/>
    <s v="SATIŞ"/>
    <s v="POS"/>
    <n v="2"/>
    <n v="145"/>
    <n v="290"/>
    <n v="0"/>
    <m/>
    <m/>
    <m/>
    <m/>
    <n v="0"/>
    <n v="0"/>
    <n v="45503.877040949104"/>
  </r>
  <r>
    <d v="2026-01-30T00:00:00"/>
    <x v="4"/>
    <s v="SUSAM YAĞI 50 CC"/>
    <m/>
    <x v="5"/>
    <s v="ST00000001053"/>
    <s v="SATIŞ"/>
    <s v="POS"/>
    <n v="1"/>
    <n v="110"/>
    <n v="110"/>
    <n v="0"/>
    <m/>
    <m/>
    <m/>
    <m/>
    <n v="0"/>
    <n v="0"/>
    <n v="45503.877040949104"/>
  </r>
  <r>
    <d v="2026-01-30T00:00:00"/>
    <x v="4"/>
    <s v="KARABAŞ OTU"/>
    <m/>
    <x v="1"/>
    <s v="ST00000001054"/>
    <s v="SATIŞ"/>
    <s v="NAKİT"/>
    <n v="0.04"/>
    <n v="1400"/>
    <n v="0"/>
    <n v="0"/>
    <m/>
    <m/>
    <m/>
    <m/>
    <n v="56"/>
    <n v="0"/>
    <n v="45559.877040949104"/>
  </r>
  <r>
    <d v="2026-01-30T00:00:00"/>
    <x v="4"/>
    <s v="SARIHALİLE"/>
    <m/>
    <x v="1"/>
    <s v="ST00000001054"/>
    <s v="SATIŞ"/>
    <s v="NAKİT"/>
    <n v="0.1"/>
    <n v="820"/>
    <n v="0"/>
    <n v="0"/>
    <m/>
    <m/>
    <m/>
    <m/>
    <n v="82"/>
    <n v="0"/>
    <n v="45641.877040949104"/>
  </r>
  <r>
    <d v="2026-01-30T00:00:00"/>
    <x v="4"/>
    <s v="KARAHALİLE"/>
    <m/>
    <x v="1"/>
    <s v="ST00000001054"/>
    <s v="SATIŞ"/>
    <s v="NAKİT"/>
    <n v="0.1"/>
    <n v="980"/>
    <n v="0"/>
    <n v="0"/>
    <m/>
    <m/>
    <m/>
    <m/>
    <n v="98"/>
    <n v="0"/>
    <n v="45739.877040949104"/>
  </r>
  <r>
    <d v="2026-01-30T00:00:00"/>
    <x v="4"/>
    <s v="LİMON MELİSA"/>
    <m/>
    <x v="1"/>
    <s v="ST00000001054"/>
    <s v="SATIŞ"/>
    <s v="NAKİT"/>
    <n v="2.5999999999999999E-2"/>
    <n v="2000"/>
    <n v="0"/>
    <n v="0"/>
    <m/>
    <m/>
    <m/>
    <m/>
    <n v="52"/>
    <n v="0"/>
    <n v="45791.877040949104"/>
  </r>
  <r>
    <d v="2026-01-30T00:00:00"/>
    <x v="4"/>
    <s v="YALÇINKAYA DOMATES SALÇASI"/>
    <m/>
    <x v="5"/>
    <s v="ST00000001055"/>
    <s v="SATIŞ"/>
    <s v="POS"/>
    <n v="1"/>
    <n v="150"/>
    <n v="150"/>
    <n v="0"/>
    <m/>
    <m/>
    <m/>
    <m/>
    <n v="0"/>
    <n v="0"/>
    <n v="45791.877040949104"/>
  </r>
  <r>
    <d v="2026-01-30T00:00:00"/>
    <x v="4"/>
    <s v="YALÇINKAYA ACI BİBER SALÇASI"/>
    <m/>
    <x v="5"/>
    <s v="ST00000001055"/>
    <s v="SATIŞ"/>
    <s v="POS"/>
    <n v="1"/>
    <n v="200"/>
    <n v="200"/>
    <n v="0"/>
    <m/>
    <m/>
    <m/>
    <m/>
    <n v="0"/>
    <n v="0"/>
    <n v="45791.877040949104"/>
  </r>
  <r>
    <d v="2026-01-30T00:00:00"/>
    <x v="4"/>
    <s v="YALÇINKAYA TATLI BİBER SALÇASI"/>
    <m/>
    <x v="5"/>
    <s v="ST00000001055"/>
    <s v="SATIŞ"/>
    <s v="POS"/>
    <n v="1"/>
    <n v="200"/>
    <n v="200"/>
    <n v="0"/>
    <m/>
    <m/>
    <m/>
    <m/>
    <n v="0"/>
    <n v="0"/>
    <n v="45791.877040949104"/>
  </r>
  <r>
    <d v="2026-01-30T00:00:00"/>
    <x v="4"/>
    <s v="NAHİTA KOZALAK ŞURUBU 500 ML"/>
    <m/>
    <x v="5"/>
    <s v="ST00000001056"/>
    <s v="SATIŞ"/>
    <s v="POS"/>
    <n v="1"/>
    <n v="170"/>
    <n v="170"/>
    <n v="0"/>
    <m/>
    <m/>
    <m/>
    <m/>
    <n v="0"/>
    <n v="0"/>
    <n v="45791.877040949104"/>
  </r>
  <r>
    <d v="2026-01-31T00:00:00"/>
    <x v="4"/>
    <s v="KABUKLU CEVİZ (YERLİ)"/>
    <m/>
    <x v="1"/>
    <s v="ST00000001045"/>
    <s v="SATIŞ"/>
    <s v="NAKİT"/>
    <n v="1.6"/>
    <n v="250"/>
    <n v="0"/>
    <n v="0"/>
    <m/>
    <m/>
    <m/>
    <m/>
    <n v="400"/>
    <n v="0"/>
    <n v="46191.877040949104"/>
  </r>
  <r>
    <d v="2026-01-31T00:00:00"/>
    <x v="4"/>
    <s v="NUTRAXİN BROMELAİN FORTE 750 MG 60 TABLET"/>
    <m/>
    <x v="1"/>
    <s v="ST00000001046"/>
    <s v="SATIŞ"/>
    <s v="NAKİT"/>
    <n v="1"/>
    <n v="350"/>
    <n v="0"/>
    <n v="0"/>
    <m/>
    <m/>
    <m/>
    <m/>
    <n v="350"/>
    <n v="0"/>
    <n v="46541.877040949104"/>
  </r>
  <r>
    <d v="2026-01-31T00:00:00"/>
    <x v="4"/>
    <s v="TOZ BİBER - TATLI"/>
    <m/>
    <x v="1"/>
    <s v="ST00000001046"/>
    <s v="SATIŞ"/>
    <s v="NAKİT"/>
    <n v="0.125"/>
    <n v="400"/>
    <n v="0"/>
    <n v="0"/>
    <m/>
    <m/>
    <m/>
    <m/>
    <n v="50"/>
    <n v="0"/>
    <n v="46591.877040949104"/>
  </r>
  <r>
    <d v="2026-01-31T00:00:00"/>
    <x v="4"/>
    <s v="KABUKLU CEVİZ (YERLİ)"/>
    <m/>
    <x v="1"/>
    <s v="ST00000001047"/>
    <s v="SATIŞ"/>
    <s v="NAKİT"/>
    <n v="1.08"/>
    <n v="250"/>
    <n v="0"/>
    <n v="0"/>
    <m/>
    <m/>
    <m/>
    <m/>
    <n v="270"/>
    <n v="0"/>
    <n v="46861.877040949104"/>
  </r>
  <r>
    <d v="2026-01-31T00:00:00"/>
    <x v="4"/>
    <s v="HAM KABAK LİFİ İŞLENMEMİŞ"/>
    <m/>
    <x v="5"/>
    <s v="ST00000001048"/>
    <s v="SATIŞ"/>
    <s v="POS"/>
    <n v="1"/>
    <n v="180"/>
    <n v="180"/>
    <n v="0"/>
    <m/>
    <m/>
    <m/>
    <m/>
    <n v="0"/>
    <n v="0"/>
    <n v="46861.877040949104"/>
  </r>
  <r>
    <d v="2026-01-31T00:00:00"/>
    <x v="4"/>
    <s v="LEBLEBİ ŞEKER RENKLİ"/>
    <m/>
    <x v="1"/>
    <s v="ST00000001049"/>
    <s v="SATIŞ"/>
    <s v="NAKİT"/>
    <n v="0.21739130434782608"/>
    <n v="230"/>
    <n v="0"/>
    <n v="0"/>
    <m/>
    <m/>
    <m/>
    <m/>
    <n v="50"/>
    <n v="0"/>
    <n v="46911.877040949104"/>
  </r>
  <r>
    <d v="2026-01-31T00:00:00"/>
    <x v="4"/>
    <s v="AYÇEKİRDEĞİ DAKOTA TUZLU EKSTRA"/>
    <m/>
    <x v="1"/>
    <s v="ST00000001049"/>
    <s v="SATIŞ"/>
    <s v="NAKİT"/>
    <n v="0.2608695652173913"/>
    <n v="230"/>
    <n v="0"/>
    <n v="0"/>
    <m/>
    <m/>
    <m/>
    <m/>
    <n v="60"/>
    <n v="0"/>
    <n v="46971.877040949104"/>
  </r>
  <r>
    <d v="2026-01-31T00:00:00"/>
    <x v="4"/>
    <s v="İRİ BEYAZ KABAK ÇEKİRDEĞİ - NEVŞEHİR"/>
    <m/>
    <x v="1"/>
    <s v="ST00000001049"/>
    <s v="SATIŞ"/>
    <s v="NAKİT"/>
    <n v="0.27906976744186046"/>
    <n v="430"/>
    <n v="0"/>
    <n v="0"/>
    <m/>
    <m/>
    <m/>
    <m/>
    <n v="120"/>
    <n v="0"/>
    <n v="47091.877040949104"/>
  </r>
  <r>
    <d v="2026-01-31T00:00:00"/>
    <x v="4"/>
    <s v="LEBLEBİ SARI ÖZEL LÜX ÇITIR"/>
    <m/>
    <x v="1"/>
    <s v="ST00000001049"/>
    <s v="SATIŞ"/>
    <s v="NAKİT"/>
    <n v="0.25"/>
    <n v="200"/>
    <n v="0"/>
    <n v="0"/>
    <m/>
    <m/>
    <m/>
    <m/>
    <n v="50"/>
    <n v="0"/>
    <n v="47141.877040949104"/>
  </r>
  <r>
    <d v="2026-01-31T00:00:00"/>
    <x v="4"/>
    <s v="KAJU 240 LIK EKSTRA"/>
    <m/>
    <x v="1"/>
    <s v="ST00000001049"/>
    <s v="SATIŞ"/>
    <s v="NAKİT"/>
    <n v="0.154"/>
    <n v="650"/>
    <n v="0"/>
    <n v="0"/>
    <m/>
    <m/>
    <m/>
    <m/>
    <n v="100.1"/>
    <n v="0"/>
    <n v="47241.977040949103"/>
  </r>
  <r>
    <d v="2026-01-31T00:00:00"/>
    <x v="4"/>
    <s v="LAVANTA YAĞI 10 CC"/>
    <m/>
    <x v="1"/>
    <s v="ST00000001050"/>
    <s v="SATIŞ"/>
    <s v="NAKİT"/>
    <n v="1"/>
    <n v="130"/>
    <n v="0"/>
    <n v="0"/>
    <m/>
    <m/>
    <m/>
    <m/>
    <n v="130"/>
    <n v="0"/>
    <n v="47371.977040949103"/>
  </r>
  <r>
    <d v="2026-01-31T00:00:00"/>
    <x v="4"/>
    <s v="DOLMALIK KURU PATLICAN"/>
    <m/>
    <x v="1"/>
    <s v="ST00000001050"/>
    <s v="SATIŞ - TOPTAN"/>
    <s v="NAKİT"/>
    <n v="2"/>
    <n v="200"/>
    <n v="0"/>
    <n v="0"/>
    <m/>
    <m/>
    <m/>
    <m/>
    <n v="400"/>
    <n v="0"/>
    <n v="47771.977040949103"/>
  </r>
  <r>
    <d v="2026-01-31T00:00:00"/>
    <x v="4"/>
    <s v="DOLMALIK SARI BİBER"/>
    <m/>
    <x v="1"/>
    <s v="ST00000001050"/>
    <s v="SATIŞ - TOPTAN"/>
    <s v="NAKİT"/>
    <n v="1"/>
    <n v="180"/>
    <n v="0"/>
    <n v="0"/>
    <m/>
    <m/>
    <m/>
    <m/>
    <n v="180"/>
    <n v="0"/>
    <n v="47951.977040949103"/>
  </r>
  <r>
    <d v="2026-01-31T00:00:00"/>
    <x v="4"/>
    <s v="ÇÖREKOTU"/>
    <m/>
    <x v="1"/>
    <s v="ST00000001050"/>
    <s v="SATIŞ - TOPTAN"/>
    <s v="NAKİT"/>
    <n v="0.26666666666666666"/>
    <n v="225"/>
    <n v="0"/>
    <n v="0"/>
    <m/>
    <m/>
    <m/>
    <m/>
    <n v="60"/>
    <n v="0"/>
    <n v="48011.977040949103"/>
  </r>
  <r>
    <d v="2026-01-31T00:00:00"/>
    <x v="4"/>
    <s v="HAM KABAK LİFİ İŞLENMEMİŞ"/>
    <m/>
    <x v="1"/>
    <s v="ST00000001050"/>
    <s v="SATIŞ"/>
    <s v="NAKİT"/>
    <n v="1"/>
    <n v="180"/>
    <n v="0"/>
    <n v="0"/>
    <m/>
    <m/>
    <m/>
    <m/>
    <n v="180"/>
    <n v="0"/>
    <n v="48191.977040949103"/>
  </r>
  <r>
    <d v="2026-01-31T00:00:00"/>
    <x v="4"/>
    <s v="LİMON MELİSA"/>
    <m/>
    <x v="1"/>
    <s v="ST00000001050"/>
    <s v="SATIŞ"/>
    <s v="NAKİT"/>
    <n v="2.5000000000000001E-2"/>
    <n v="2000"/>
    <n v="0"/>
    <n v="0"/>
    <m/>
    <m/>
    <m/>
    <m/>
    <n v="50"/>
    <n v="0"/>
    <n v="48241.977040949103"/>
  </r>
  <r>
    <d v="2026-01-31T00:00:00"/>
    <x v="4"/>
    <s v="KEKİK LÜX"/>
    <m/>
    <x v="5"/>
    <s v="ST00000001051"/>
    <s v="SATIŞ"/>
    <s v="POS"/>
    <n v="0.04"/>
    <n v="750"/>
    <n v="30"/>
    <n v="0"/>
    <m/>
    <m/>
    <m/>
    <m/>
    <n v="0"/>
    <n v="0"/>
    <n v="48241.977040949103"/>
  </r>
  <r>
    <d v="2026-01-31T00:00:00"/>
    <x v="4"/>
    <s v="HASEVLİK"/>
    <m/>
    <x v="5"/>
    <s v="ST00000001051"/>
    <s v="SATIŞ"/>
    <s v="POS"/>
    <n v="9.5000000000000001E-2"/>
    <n v="400"/>
    <n v="38"/>
    <n v="0"/>
    <m/>
    <m/>
    <m/>
    <m/>
    <n v="0"/>
    <n v="0"/>
    <n v="48241.977040949103"/>
  </r>
  <r>
    <d v="2026-01-31T00:00:00"/>
    <x v="4"/>
    <s v="İĞDE ÇEKİRDEĞİ TOZU"/>
    <m/>
    <x v="5"/>
    <s v="ST00000001051"/>
    <s v="SATIŞ"/>
    <s v="POS"/>
    <n v="0.20937500000000001"/>
    <n v="320"/>
    <n v="67"/>
    <n v="0"/>
    <m/>
    <m/>
    <m/>
    <m/>
    <n v="0"/>
    <n v="0"/>
    <n v="48241.977040949103"/>
  </r>
  <r>
    <d v="2026-01-31T00:00:00"/>
    <x v="4"/>
    <s v="HATMİ ÇİÇEĞİ"/>
    <m/>
    <x v="5"/>
    <s v="ST00000001051"/>
    <s v="SATIŞ"/>
    <s v="POS"/>
    <n v="2.1428571428571429E-2"/>
    <n v="950"/>
    <n v="20.357142857142858"/>
    <n v="0"/>
    <m/>
    <m/>
    <m/>
    <m/>
    <n v="0"/>
    <n v="0"/>
    <n v="48241.977040949103"/>
  </r>
  <r>
    <d v="2026-01-31T00:00:00"/>
    <x v="4"/>
    <s v="REZENE"/>
    <m/>
    <x v="5"/>
    <s v="ST00000001051"/>
    <s v="SATIŞ"/>
    <s v="POS"/>
    <n v="0.05"/>
    <n v="900"/>
    <n v="45"/>
    <n v="0"/>
    <m/>
    <m/>
    <m/>
    <m/>
    <n v="0"/>
    <n v="0"/>
    <n v="48241.977040949103"/>
  </r>
  <r>
    <d v="2026-01-31T00:00:00"/>
    <x v="4"/>
    <s v="DURMUŞOĞULLARI KATI PEKMEZ TAHTA 700 GR"/>
    <m/>
    <x v="1"/>
    <s v="ST00000001052"/>
    <s v="SATIŞ"/>
    <s v="NAKİT"/>
    <n v="1"/>
    <n v="290"/>
    <n v="0"/>
    <n v="0"/>
    <m/>
    <m/>
    <m/>
    <m/>
    <n v="290"/>
    <n v="0"/>
    <n v="48531.977040949103"/>
  </r>
  <r>
    <d v="2026-01-31T00:00:00"/>
    <x v="4"/>
    <s v="YALÇINKAYA DOMATES SALÇASI"/>
    <m/>
    <x v="1"/>
    <s v="ST00000001052"/>
    <s v="SATIŞ"/>
    <s v="NAKİT"/>
    <n v="1"/>
    <n v="150"/>
    <n v="0"/>
    <n v="0"/>
    <m/>
    <m/>
    <m/>
    <m/>
    <n v="150"/>
    <n v="0"/>
    <n v="48681.977040949103"/>
  </r>
  <r>
    <d v="2026-01-31T00:00:00"/>
    <x v="4"/>
    <s v="YALÇINKAYA DOMATES SALÇASI"/>
    <m/>
    <x v="1"/>
    <s v="ST00000001053"/>
    <s v="SATIŞ"/>
    <s v="NAKİT"/>
    <n v="1"/>
    <n v="150"/>
    <n v="0"/>
    <n v="0"/>
    <m/>
    <m/>
    <m/>
    <m/>
    <n v="150"/>
    <n v="0"/>
    <n v="48831.977040949103"/>
  </r>
  <r>
    <d v="2026-01-31T00:00:00"/>
    <x v="4"/>
    <s v="TOZ BİBER - TATLI"/>
    <m/>
    <x v="1"/>
    <s v="ST00000001053"/>
    <s v="SATIŞ"/>
    <s v="NAKİT"/>
    <n v="0.125"/>
    <n v="400"/>
    <n v="0"/>
    <n v="0"/>
    <m/>
    <m/>
    <m/>
    <m/>
    <n v="50"/>
    <n v="0"/>
    <n v="48881.977040949103"/>
  </r>
  <r>
    <d v="2026-01-31T00:00:00"/>
    <x v="4"/>
    <s v="ZÜHRE ANA KOZALAK MACUNU - ÇAM KOZALAĞI 240 GR"/>
    <m/>
    <x v="5"/>
    <s v="ST00000001054"/>
    <s v="SATIŞ"/>
    <s v="POS"/>
    <n v="1"/>
    <n v="240"/>
    <n v="240"/>
    <n v="0"/>
    <m/>
    <m/>
    <m/>
    <m/>
    <n v="0"/>
    <n v="0"/>
    <n v="48881.977040949103"/>
  </r>
  <r>
    <d v="2026-01-31T00:00:00"/>
    <x v="4"/>
    <s v="TÜDAB KIŞ ÇAYI 200 GR"/>
    <m/>
    <x v="5"/>
    <s v="ST00000001054"/>
    <s v="SATIŞ"/>
    <s v="POS"/>
    <n v="1"/>
    <n v="130"/>
    <n v="130"/>
    <n v="0"/>
    <m/>
    <m/>
    <m/>
    <m/>
    <n v="0"/>
    <n v="0"/>
    <n v="48881.977040949103"/>
  </r>
  <r>
    <d v="2026-01-31T00:00:00"/>
    <x v="4"/>
    <s v="IHLAMUR YAPRAK"/>
    <m/>
    <x v="5"/>
    <s v="ST00000001054"/>
    <s v="SATIŞ"/>
    <s v="POS"/>
    <n v="0.05"/>
    <n v="2600"/>
    <n v="130"/>
    <n v="0"/>
    <m/>
    <m/>
    <m/>
    <m/>
    <n v="0"/>
    <n v="0"/>
    <n v="48881.977040949103"/>
  </r>
  <r>
    <d v="2026-01-31T00:00:00"/>
    <x v="4"/>
    <s v="HASPİR"/>
    <m/>
    <x v="1"/>
    <s v="ST00000001055"/>
    <s v="SATIŞ"/>
    <s v="NAKİT"/>
    <n v="2.5000000000000001E-2"/>
    <n v="2000"/>
    <n v="0"/>
    <n v="0"/>
    <m/>
    <m/>
    <m/>
    <m/>
    <n v="50"/>
    <n v="0"/>
    <n v="48931.977040949103"/>
  </r>
  <r>
    <d v="2026-01-31T00:00:00"/>
    <x v="4"/>
    <s v="AYÇEKİRDEĞİ DAKOTA TUZLU EKSTRA"/>
    <m/>
    <x v="1"/>
    <s v="ST00000001055"/>
    <s v="SATIŞ"/>
    <s v="NAKİT"/>
    <n v="0.2608695652173913"/>
    <n v="192"/>
    <n v="0"/>
    <n v="0"/>
    <m/>
    <m/>
    <m/>
    <m/>
    <n v="50.086956521739125"/>
    <n v="0"/>
    <n v="48982.063997470839"/>
  </r>
  <r>
    <d v="2026-01-31T00:00:00"/>
    <x v="4"/>
    <s v="GENÇAY ELMA SİRKESİ 500 CC"/>
    <m/>
    <x v="1"/>
    <s v="ST00000001056"/>
    <s v="SATIŞ"/>
    <s v="NAKİT"/>
    <n v="1"/>
    <n v="140"/>
    <n v="0"/>
    <n v="0"/>
    <m/>
    <m/>
    <m/>
    <m/>
    <n v="140"/>
    <n v="0"/>
    <n v="49122.063997470839"/>
  </r>
  <r>
    <d v="2026-01-31T00:00:00"/>
    <x v="4"/>
    <s v="GÜNAYDIN KAYA TUZU İNCE"/>
    <m/>
    <x v="1"/>
    <s v="ST00000001056"/>
    <s v="SATIŞ"/>
    <s v="NAKİT"/>
    <n v="1"/>
    <n v="80"/>
    <n v="0"/>
    <n v="0"/>
    <m/>
    <m/>
    <m/>
    <m/>
    <n v="80"/>
    <n v="0"/>
    <n v="49202.063997470839"/>
  </r>
  <r>
    <d v="2026-01-31T00:00:00"/>
    <x v="4"/>
    <s v="KARABAŞ OTU"/>
    <m/>
    <x v="1"/>
    <s v="ST00000001056"/>
    <s v="SATIŞ"/>
    <s v="NAKİT"/>
    <n v="3.2000000000000001E-2"/>
    <n v="1400"/>
    <n v="0"/>
    <n v="0"/>
    <m/>
    <m/>
    <m/>
    <m/>
    <n v="44.800000000000004"/>
    <n v="0"/>
    <n v="49246.863997470842"/>
  </r>
  <r>
    <d v="2026-01-31T00:00:00"/>
    <x v="4"/>
    <s v="ÖZBEK ÜZÜMÜ"/>
    <m/>
    <x v="1"/>
    <s v="ST00000001056"/>
    <s v="SATIŞ"/>
    <s v="NAKİT"/>
    <n v="0.36399999999999999"/>
    <n v="550"/>
    <n v="0"/>
    <n v="0"/>
    <m/>
    <m/>
    <m/>
    <m/>
    <n v="200.2"/>
    <n v="0"/>
    <n v="49447.063997470839"/>
  </r>
  <r>
    <d v="2026-02-01T00:00:00"/>
    <x v="4"/>
    <s v="DOLMALIK KURU PATLICAN"/>
    <m/>
    <x v="5"/>
    <s v="ST00000001057"/>
    <s v="SATIŞ"/>
    <s v="POS"/>
    <n v="1"/>
    <n v="250"/>
    <n v="250"/>
    <n v="0"/>
    <m/>
    <m/>
    <m/>
    <m/>
    <n v="0"/>
    <n v="0"/>
    <n v="49447.063997470839"/>
  </r>
  <r>
    <d v="2026-02-01T00:00:00"/>
    <x v="4"/>
    <s v="MANİSA YAPRAK DÖKME"/>
    <m/>
    <x v="5"/>
    <s v="ST00000001057"/>
    <s v="SATIŞ"/>
    <s v="POS"/>
    <n v="1"/>
    <n v="335"/>
    <n v="335"/>
    <n v="0"/>
    <m/>
    <m/>
    <m/>
    <m/>
    <n v="0"/>
    <n v="0"/>
    <n v="49447.063997470839"/>
  </r>
  <r>
    <d v="2026-02-01T00:00:00"/>
    <x v="4"/>
    <s v="ÇUBUK TARÇIN"/>
    <m/>
    <x v="5"/>
    <s v="ST00000001057"/>
    <s v="SATIŞ"/>
    <s v="POS"/>
    <n v="0.1"/>
    <n v="650"/>
    <n v="65"/>
    <n v="0"/>
    <m/>
    <m/>
    <m/>
    <m/>
    <n v="0"/>
    <n v="0"/>
    <n v="49447.063997470839"/>
  </r>
  <r>
    <d v="2026-02-01T00:00:00"/>
    <x v="4"/>
    <s v="GÜNAYDIN KAYA TUZU İRİ"/>
    <m/>
    <x v="1"/>
    <s v="ST00000001058"/>
    <s v="SATIŞ"/>
    <s v="NAKİT"/>
    <n v="0.5"/>
    <n v="80"/>
    <n v="0"/>
    <n v="0"/>
    <m/>
    <m/>
    <m/>
    <m/>
    <n v="40"/>
    <n v="0"/>
    <n v="49487.063997470839"/>
  </r>
  <r>
    <d v="2026-02-01T00:00:00"/>
    <x v="4"/>
    <s v="RUŞUR TAŞI"/>
    <m/>
    <x v="1"/>
    <s v="ST00000001058"/>
    <s v="SATIŞ"/>
    <s v="NAKİT"/>
    <n v="2"/>
    <n v="10"/>
    <n v="0"/>
    <n v="0"/>
    <m/>
    <m/>
    <m/>
    <m/>
    <n v="20"/>
    <n v="0"/>
    <n v="49507.063997470839"/>
  </r>
  <r>
    <d v="2026-02-01T00:00:00"/>
    <x v="4"/>
    <s v="SUSAM SİMİTLİK"/>
    <m/>
    <x v="1"/>
    <s v="ST00000001059"/>
    <s v="SATIŞ"/>
    <s v="NAKİT"/>
    <n v="0.1275"/>
    <n v="400"/>
    <n v="0"/>
    <n v="0"/>
    <m/>
    <m/>
    <m/>
    <m/>
    <n v="51"/>
    <n v="0"/>
    <n v="49558.063997470839"/>
  </r>
  <r>
    <d v="2026-02-01T00:00:00"/>
    <x v="4"/>
    <s v="LEBLEBİ ŞEKER RENKLİ"/>
    <m/>
    <x v="1"/>
    <s v="ST00000001060"/>
    <s v="SATIŞ"/>
    <s v="NAKİT"/>
    <n v="0.218"/>
    <n v="230"/>
    <n v="0"/>
    <n v="0"/>
    <m/>
    <m/>
    <m/>
    <m/>
    <n v="50.14"/>
    <n v="0"/>
    <n v="49608.203997470839"/>
  </r>
  <r>
    <d v="2026-02-01T00:00:00"/>
    <x v="4"/>
    <s v="HAPPY LİFE NAR EKŞİSİ 250 ML"/>
    <m/>
    <x v="5"/>
    <s v="ST00000001061"/>
    <s v="SATIŞ"/>
    <s v="POS"/>
    <n v="1"/>
    <n v="125"/>
    <n v="125"/>
    <n v="0"/>
    <m/>
    <m/>
    <m/>
    <m/>
    <n v="0"/>
    <n v="0"/>
    <n v="49608.203997470839"/>
  </r>
  <r>
    <d v="2026-02-01T00:00:00"/>
    <x v="4"/>
    <s v="HASPİR"/>
    <m/>
    <x v="5"/>
    <s v="ST00000001061"/>
    <s v="SATIŞ"/>
    <s v="POS"/>
    <n v="2.5000000000000001E-2"/>
    <n v="2000"/>
    <n v="50"/>
    <n v="0"/>
    <m/>
    <m/>
    <m/>
    <m/>
    <n v="0"/>
    <n v="0"/>
    <n v="49608.203997470839"/>
  </r>
  <r>
    <d v="2026-02-01T00:00:00"/>
    <x v="4"/>
    <s v="SUMAK TANE EKŞİLİ"/>
    <m/>
    <x v="5"/>
    <s v="ST00000001061"/>
    <s v="SATIŞ"/>
    <s v="POS"/>
    <n v="8.7999999999999995E-2"/>
    <n v="540"/>
    <n v="47.519999999999996"/>
    <n v="0"/>
    <m/>
    <m/>
    <m/>
    <m/>
    <n v="0"/>
    <n v="0"/>
    <n v="49608.203997470839"/>
  </r>
  <r>
    <d v="2026-02-01T00:00:00"/>
    <x v="4"/>
    <s v="DOLMALIK KURU PATLICAN"/>
    <m/>
    <x v="5"/>
    <s v="ST00000001061"/>
    <s v="SATIŞ"/>
    <s v="POS"/>
    <n v="1"/>
    <n v="250"/>
    <n v="250"/>
    <n v="0"/>
    <m/>
    <m/>
    <m/>
    <m/>
    <n v="0"/>
    <n v="0"/>
    <n v="49608.203997470839"/>
  </r>
  <r>
    <d v="2026-02-01T00:00:00"/>
    <x v="4"/>
    <s v="DOLMALIK SARI BİBER"/>
    <m/>
    <x v="5"/>
    <s v="ST00000001061"/>
    <s v="SATIŞ"/>
    <s v="POS"/>
    <n v="1"/>
    <n v="230"/>
    <n v="230"/>
    <n v="0"/>
    <m/>
    <m/>
    <m/>
    <m/>
    <n v="0"/>
    <n v="0"/>
    <n v="49608.203997470839"/>
  </r>
  <r>
    <d v="2026-02-01T00:00:00"/>
    <x v="4"/>
    <s v="YALÇINKAYA ACI BİBER SALÇASI"/>
    <m/>
    <x v="5"/>
    <s v="ST00000001062"/>
    <s v="SATIŞ"/>
    <s v="POS"/>
    <n v="0.5"/>
    <n v="200"/>
    <n v="100"/>
    <n v="0"/>
    <m/>
    <m/>
    <m/>
    <m/>
    <n v="0"/>
    <n v="0"/>
    <n v="49608.203997470839"/>
  </r>
  <r>
    <d v="2026-02-01T00:00:00"/>
    <x v="4"/>
    <s v="YALÇINKAYA TATLI BİBER SALÇASI"/>
    <m/>
    <x v="5"/>
    <s v="ST00000001062"/>
    <s v="SATIŞ"/>
    <s v="POS"/>
    <n v="0.5"/>
    <n v="200"/>
    <n v="100"/>
    <n v="0"/>
    <m/>
    <m/>
    <m/>
    <m/>
    <n v="0"/>
    <n v="0"/>
    <n v="49608.203997470839"/>
  </r>
  <r>
    <d v="2026-02-01T00:00:00"/>
    <x v="4"/>
    <s v="YALÇINKAYA DOMATES SALÇASI"/>
    <m/>
    <x v="5"/>
    <s v="ST00000001062"/>
    <s v="SATIŞ"/>
    <s v="POS"/>
    <n v="1"/>
    <n v="150"/>
    <n v="150"/>
    <n v="0"/>
    <m/>
    <m/>
    <m/>
    <m/>
    <n v="0"/>
    <n v="0"/>
    <n v="49608.203997470839"/>
  </r>
  <r>
    <d v="2026-02-01T00:00:00"/>
    <x v="4"/>
    <s v="SUMAK"/>
    <m/>
    <x v="5"/>
    <s v="ST00000001062"/>
    <s v="SATIŞ"/>
    <s v="POS"/>
    <n v="0.114"/>
    <n v="500"/>
    <n v="57"/>
    <n v="0"/>
    <m/>
    <m/>
    <m/>
    <m/>
    <n v="0"/>
    <n v="0"/>
    <n v="49608.203997470839"/>
  </r>
  <r>
    <d v="2026-02-01T00:00:00"/>
    <x v="4"/>
    <s v="İSOT"/>
    <m/>
    <x v="5"/>
    <s v="ST00000001062"/>
    <s v="SATIŞ"/>
    <s v="POS"/>
    <n v="0.08"/>
    <n v="400"/>
    <n v="32"/>
    <n v="0"/>
    <m/>
    <m/>
    <m/>
    <m/>
    <n v="0"/>
    <n v="0"/>
    <n v="49608.203997470839"/>
  </r>
  <r>
    <d v="2026-02-01T00:00:00"/>
    <x v="4"/>
    <s v="NANE İRİ"/>
    <m/>
    <x v="5"/>
    <s v="ST00000001062"/>
    <s v="SATIŞ"/>
    <s v="POS"/>
    <n v="6.4000000000000001E-2"/>
    <n v="400"/>
    <n v="25.6"/>
    <n v="0"/>
    <m/>
    <m/>
    <m/>
    <m/>
    <n v="0"/>
    <n v="0"/>
    <n v="49608.203997470839"/>
  </r>
  <r>
    <d v="2026-02-01T00:00:00"/>
    <x v="4"/>
    <s v="KÖFTELİK BULGUR"/>
    <m/>
    <x v="1"/>
    <s v="ST00000001063"/>
    <s v="SATIŞ - FADİME YENGE"/>
    <s v="NAKİT"/>
    <n v="5"/>
    <n v="60"/>
    <n v="0"/>
    <n v="0"/>
    <m/>
    <m/>
    <m/>
    <m/>
    <n v="300"/>
    <n v="0"/>
    <n v="49908.203997470839"/>
  </r>
  <r>
    <d v="2026-02-01T00:00:00"/>
    <x v="4"/>
    <s v="YALÇINKAYA ACI BİBER SALÇASI"/>
    <m/>
    <x v="1"/>
    <s v="ST00000001063"/>
    <s v="SATIŞ - FADİME YENGE"/>
    <s v="NAKİT"/>
    <n v="1"/>
    <n v="200"/>
    <n v="0"/>
    <n v="0"/>
    <m/>
    <m/>
    <m/>
    <m/>
    <n v="200"/>
    <n v="0"/>
    <n v="50108.203997470839"/>
  </r>
  <r>
    <d v="2026-02-01T00:00:00"/>
    <x v="4"/>
    <s v="YALÇINKAYA TATLI BİBER SALÇASI"/>
    <m/>
    <x v="1"/>
    <s v="ST00000001064"/>
    <s v="SATIŞ - ANNE SİPARİŞ"/>
    <s v="NAKİT"/>
    <n v="1"/>
    <n v="200"/>
    <n v="0"/>
    <n v="0"/>
    <m/>
    <m/>
    <m/>
    <m/>
    <n v="200"/>
    <n v="0"/>
    <n v="50308.203997470839"/>
  </r>
  <r>
    <d v="2026-02-01T00:00:00"/>
    <x v="4"/>
    <s v="YALÇINKAYA DOMATES SALÇASI"/>
    <m/>
    <x v="1"/>
    <s v="ST00000001064"/>
    <s v="SATIŞ - ANNE SİPARİŞ"/>
    <s v="NAKİT"/>
    <n v="1"/>
    <n v="150"/>
    <n v="0"/>
    <n v="0"/>
    <m/>
    <m/>
    <m/>
    <m/>
    <n v="150"/>
    <n v="0"/>
    <n v="50458.203997470839"/>
  </r>
  <r>
    <d v="2026-02-01T00:00:00"/>
    <x v="4"/>
    <s v="DOLMALIK KURU PATLICAN"/>
    <m/>
    <x v="1"/>
    <s v="ST00000001065"/>
    <s v="SATIŞ - ANNE EMANET"/>
    <s v="NAKİT"/>
    <n v="1"/>
    <n v="250"/>
    <n v="0"/>
    <n v="0"/>
    <m/>
    <m/>
    <m/>
    <m/>
    <n v="250"/>
    <n v="0"/>
    <n v="50708.203997470839"/>
  </r>
  <r>
    <d v="2026-02-01T00:00:00"/>
    <x v="4"/>
    <s v="DOLMALIK SARI BİBER"/>
    <m/>
    <x v="1"/>
    <s v="ST00000001065"/>
    <s v="SATIŞ - ANNE EMANET"/>
    <s v="NAKİT"/>
    <n v="2"/>
    <n v="230"/>
    <n v="0"/>
    <n v="0"/>
    <m/>
    <m/>
    <m/>
    <m/>
    <n v="460"/>
    <n v="0"/>
    <n v="51168.203997470839"/>
  </r>
  <r>
    <d v="2026-02-01T00:00:00"/>
    <x v="4"/>
    <s v="KİMYON ÇEKİLMİŞ"/>
    <m/>
    <x v="1"/>
    <s v="ST00000001065"/>
    <s v="SATIŞ - ANNE EMANET"/>
    <s v="NAKİT"/>
    <n v="0.75"/>
    <n v="400"/>
    <n v="0"/>
    <n v="0"/>
    <m/>
    <m/>
    <m/>
    <m/>
    <n v="300"/>
    <n v="0"/>
    <n v="51468.203997470839"/>
  </r>
  <r>
    <d v="2026-02-01T00:00:00"/>
    <x v="4"/>
    <s v="KARABİBER ÇEKİLMİŞ"/>
    <m/>
    <x v="1"/>
    <s v="ST00000001065"/>
    <s v="SATIŞ - ANNE EMANET"/>
    <s v="NAKİT"/>
    <n v="0.46153846153846156"/>
    <n v="650"/>
    <n v="0"/>
    <n v="0"/>
    <m/>
    <m/>
    <m/>
    <m/>
    <n v="300"/>
    <n v="0"/>
    <n v="51768.203997470839"/>
  </r>
  <r>
    <d v="2026-02-01T00:00:00"/>
    <x v="4"/>
    <s v="NANE İRİ"/>
    <m/>
    <x v="1"/>
    <s v="ST00000001065"/>
    <s v="SATIŞ - ANNE EMANET"/>
    <s v="NAKİT"/>
    <n v="0.34"/>
    <n v="400"/>
    <n v="0"/>
    <n v="0"/>
    <m/>
    <m/>
    <m/>
    <m/>
    <n v="136"/>
    <n v="0"/>
    <n v="51904.203997470839"/>
  </r>
  <r>
    <d v="2026-02-01T00:00:00"/>
    <x v="4"/>
    <s v="TOZ BİBER - TATLI"/>
    <m/>
    <x v="1"/>
    <s v="ST00000001065"/>
    <s v="SATIŞ - ANNE EMANET"/>
    <s v="NAKİT"/>
    <n v="0.53200000000000003"/>
    <n v="400"/>
    <n v="0"/>
    <n v="0"/>
    <m/>
    <m/>
    <m/>
    <m/>
    <n v="212.8"/>
    <n v="0"/>
    <n v="52117.003997470842"/>
  </r>
  <r>
    <d v="2026-02-01T00:00:00"/>
    <x v="4"/>
    <s v="EVLİK BİBER"/>
    <m/>
    <x v="1"/>
    <s v="ST00000001065"/>
    <s v="SATIŞ - ANNE EMANET"/>
    <s v="NAKİT"/>
    <n v="0.52400000000000002"/>
    <n v="400"/>
    <n v="0"/>
    <n v="0"/>
    <m/>
    <m/>
    <m/>
    <m/>
    <n v="209.60000000000002"/>
    <n v="0"/>
    <n v="52326.60399747084"/>
  </r>
  <r>
    <d v="2026-02-01T00:00:00"/>
    <x v="4"/>
    <s v="SALÇA TATLI (EV YAPIMI)"/>
    <m/>
    <x v="1"/>
    <s v="ST00000001066"/>
    <s v="SATIŞ - ZÜBEYDE"/>
    <s v="NAKİT"/>
    <n v="1"/>
    <n v="200"/>
    <n v="0"/>
    <n v="0"/>
    <m/>
    <m/>
    <m/>
    <m/>
    <n v="200"/>
    <n v="0"/>
    <n v="52526.60399747084"/>
  </r>
  <r>
    <d v="2026-02-01T00:00:00"/>
    <x v="4"/>
    <s v="GENÇAY NAR EKŞİSİ 330 GR"/>
    <m/>
    <x v="1"/>
    <s v="ST00000001067"/>
    <s v="SATIŞ - SİBEL"/>
    <s v="NAKİT"/>
    <n v="1"/>
    <n v="150"/>
    <n v="0"/>
    <n v="0"/>
    <m/>
    <m/>
    <m/>
    <m/>
    <n v="150"/>
    <n v="0"/>
    <n v="52676.60399747084"/>
  </r>
  <r>
    <d v="2026-02-01T00:00:00"/>
    <x v="4"/>
    <s v="LİMON MELİSA"/>
    <m/>
    <x v="1"/>
    <s v="ST00000001067"/>
    <s v="SATIŞ - SİBEL"/>
    <s v="NAKİT"/>
    <n v="0.03"/>
    <n v="1000"/>
    <n v="0"/>
    <n v="0"/>
    <m/>
    <m/>
    <m/>
    <m/>
    <n v="30"/>
    <n v="0"/>
    <n v="52706.60399747084"/>
  </r>
  <r>
    <d v="2026-02-01T00:00:00"/>
    <x v="4"/>
    <s v="YALÇINKAYA ACI BİBER SALÇASI"/>
    <m/>
    <x v="1"/>
    <s v="ST00000001067"/>
    <s v="SATIŞ - SİBEL"/>
    <s v="NAKİT"/>
    <n v="2"/>
    <n v="200"/>
    <n v="0"/>
    <n v="0"/>
    <m/>
    <m/>
    <m/>
    <m/>
    <n v="400"/>
    <n v="0"/>
    <n v="53106.60399747084"/>
  </r>
  <r>
    <d v="2026-02-01T00:00:00"/>
    <x v="4"/>
    <s v="SALÇA TATLI (EV YAPIMI)"/>
    <m/>
    <x v="1"/>
    <s v="ST00000001067"/>
    <s v="SATIŞ - SİBEL"/>
    <s v="NAKİT"/>
    <n v="2"/>
    <n v="200"/>
    <n v="0"/>
    <n v="0"/>
    <m/>
    <m/>
    <m/>
    <m/>
    <n v="400"/>
    <n v="0"/>
    <n v="53506.60399747084"/>
  </r>
  <r>
    <d v="2026-02-01T00:00:00"/>
    <x v="4"/>
    <s v="YALÇINKAYA DOMATES SALÇASI"/>
    <m/>
    <x v="1"/>
    <s v="ST00000001067"/>
    <s v="SATIŞ - SİBEL"/>
    <s v="NAKİT"/>
    <n v="2"/>
    <n v="150"/>
    <n v="0"/>
    <n v="0"/>
    <m/>
    <m/>
    <m/>
    <m/>
    <n v="300"/>
    <n v="0"/>
    <n v="53806.60399747084"/>
  </r>
  <r>
    <d v="2026-02-01T00:00:00"/>
    <x v="4"/>
    <s v="RUŞUR TAŞI"/>
    <m/>
    <x v="1"/>
    <s v="ST00000001067"/>
    <s v="SATIŞ - SİBEL"/>
    <s v="NAKİT"/>
    <n v="15"/>
    <n v="10"/>
    <n v="0"/>
    <n v="0"/>
    <m/>
    <m/>
    <m/>
    <m/>
    <n v="150"/>
    <n v="0"/>
    <n v="53956.60399747084"/>
  </r>
  <r>
    <d v="2026-02-01T00:00:00"/>
    <x v="4"/>
    <s v="LEBLEBİ ŞEKER LÜX"/>
    <m/>
    <x v="1"/>
    <s v="ST00000001067"/>
    <s v="SATIŞ - SİBEL"/>
    <s v="NAKİT"/>
    <n v="0.218"/>
    <n v="230"/>
    <n v="0"/>
    <n v="0"/>
    <m/>
    <m/>
    <m/>
    <m/>
    <n v="50.14"/>
    <n v="0"/>
    <n v="54006.74399747084"/>
  </r>
  <r>
    <d v="2026-02-01T00:00:00"/>
    <x v="4"/>
    <s v="ORNATE KARINCA YUMURTASI 20 ML"/>
    <m/>
    <x v="1"/>
    <s v="ST00000001067"/>
    <s v="SATIŞ - SİBEL"/>
    <s v="NAKİT"/>
    <n v="1"/>
    <n v="140"/>
    <n v="0"/>
    <n v="0"/>
    <m/>
    <m/>
    <m/>
    <m/>
    <n v="140"/>
    <n v="0"/>
    <n v="54146.74399747084"/>
  </r>
  <r>
    <d v="2026-02-01T00:00:00"/>
    <x v="4"/>
    <s v="İRİ BEYAZ KABAK ÇEKİRDEĞİ - NEVŞEHİR"/>
    <m/>
    <x v="1"/>
    <s v="ST00000001068"/>
    <s v="SATIŞ - ANNE"/>
    <s v="NAKİT"/>
    <n v="0.28000000000000003"/>
    <n v="430"/>
    <n v="0"/>
    <n v="0"/>
    <m/>
    <m/>
    <m/>
    <m/>
    <n v="120.4"/>
    <n v="0"/>
    <n v="54267.143997470841"/>
  </r>
  <r>
    <d v="2026-02-01T00:00:00"/>
    <x v="4"/>
    <s v="LEBLEBİ ÇİFTE SARI"/>
    <m/>
    <x v="1"/>
    <s v="ST00000001068"/>
    <s v="SATIŞ - ANNE"/>
    <s v="NAKİT"/>
    <n v="1"/>
    <n v="240"/>
    <n v="0"/>
    <n v="0"/>
    <m/>
    <m/>
    <m/>
    <m/>
    <n v="240"/>
    <n v="0"/>
    <n v="54507.143997470841"/>
  </r>
  <r>
    <d v="2026-02-01T00:00:00"/>
    <x v="4"/>
    <s v="CEVİZLİ SUCUK ATOM (SARI)"/>
    <m/>
    <x v="1"/>
    <s v="ST00000001068"/>
    <s v="SATIŞ - ANNE"/>
    <s v="NAKİT"/>
    <n v="0.51724137931034486"/>
    <n v="290"/>
    <n v="0"/>
    <n v="0"/>
    <m/>
    <m/>
    <m/>
    <m/>
    <n v="150"/>
    <n v="0"/>
    <n v="54657.143997470841"/>
  </r>
  <r>
    <d v="2026-02-01T00:00:00"/>
    <x v="4"/>
    <s v="SEYHAN ÜZÜM ÖZEL"/>
    <m/>
    <x v="1"/>
    <s v="ST00000001068"/>
    <s v="SATIŞ - ANNE"/>
    <s v="NAKİT"/>
    <n v="0.5"/>
    <n v="750"/>
    <n v="0"/>
    <n v="0"/>
    <m/>
    <m/>
    <m/>
    <m/>
    <n v="375"/>
    <n v="0"/>
    <n v="55032.143997470841"/>
  </r>
  <r>
    <d v="2026-02-01T00:00:00"/>
    <x v="4"/>
    <s v="YALÇINKAYA DOMATES SALÇASI"/>
    <m/>
    <x v="1"/>
    <s v="ST00000001068"/>
    <s v="SATIŞ - ANNE"/>
    <s v="NAKİT"/>
    <n v="1"/>
    <n v="150"/>
    <n v="0"/>
    <n v="0"/>
    <m/>
    <m/>
    <m/>
    <m/>
    <n v="150"/>
    <n v="0"/>
    <n v="55182.143997470841"/>
  </r>
  <r>
    <d v="2026-02-01T00:00:00"/>
    <x v="4"/>
    <s v="DOLMALIK KURU KABAK"/>
    <m/>
    <x v="1"/>
    <s v="ST00000001068"/>
    <s v="SATIŞ - ANNE"/>
    <s v="NAKİT"/>
    <n v="1"/>
    <n v="250"/>
    <n v="0"/>
    <n v="0"/>
    <m/>
    <m/>
    <m/>
    <m/>
    <n v="250"/>
    <n v="0"/>
    <n v="55432.143997470841"/>
  </r>
  <r>
    <d v="2026-02-01T00:00:00"/>
    <x v="4"/>
    <s v="SEYİDOĞLU PEKMEZ 700 g"/>
    <m/>
    <x v="1"/>
    <s v="ST00000001068"/>
    <s v="SATIŞ - ANNE"/>
    <s v="NAKİT"/>
    <n v="1"/>
    <n v="170"/>
    <n v="0"/>
    <n v="0"/>
    <m/>
    <m/>
    <m/>
    <m/>
    <n v="170"/>
    <n v="0"/>
    <n v="55602.143997470841"/>
  </r>
  <r>
    <d v="2026-02-01T00:00:00"/>
    <x v="4"/>
    <s v="DOLMALIK KURU PATLICAN"/>
    <m/>
    <x v="1"/>
    <s v="ST00000001068"/>
    <s v="SATIŞ - ANNE"/>
    <s v="NAKİT"/>
    <n v="1"/>
    <n v="250"/>
    <n v="0"/>
    <n v="0"/>
    <m/>
    <m/>
    <m/>
    <m/>
    <n v="250"/>
    <n v="0"/>
    <n v="55852.143997470841"/>
  </r>
  <r>
    <d v="2026-02-01T00:00:00"/>
    <x v="4"/>
    <s v="ŞİFAVER BITTIM HATAY SABUNU"/>
    <m/>
    <x v="1"/>
    <s v="ST00000001068"/>
    <s v="SATIŞ - ANNE"/>
    <s v="NAKİT"/>
    <n v="1"/>
    <n v="50"/>
    <n v="0"/>
    <n v="0"/>
    <m/>
    <m/>
    <m/>
    <m/>
    <n v="50"/>
    <n v="0"/>
    <n v="55902.143997470841"/>
  </r>
  <r>
    <d v="2026-02-01T00:00:00"/>
    <x v="4"/>
    <s v="KARBONAT"/>
    <m/>
    <x v="1"/>
    <s v="ST00000001068"/>
    <s v="SATIŞ - ANNE"/>
    <s v="NAKİT"/>
    <n v="0.5"/>
    <n v="80"/>
    <n v="0"/>
    <n v="0"/>
    <m/>
    <m/>
    <m/>
    <m/>
    <n v="40"/>
    <n v="0"/>
    <n v="55942.143997470841"/>
  </r>
  <r>
    <d v="2026-02-02T00:00:00"/>
    <x v="4"/>
    <s v="PİLAVLIK BULGUR"/>
    <m/>
    <x v="1"/>
    <s v="ST00000001069"/>
    <s v="SATIŞ"/>
    <s v="NAKİT"/>
    <n v="1.5386"/>
    <n v="65"/>
    <n v="0"/>
    <n v="0"/>
    <m/>
    <m/>
    <m/>
    <m/>
    <n v="100.009"/>
    <n v="0"/>
    <n v="56042.152997470839"/>
  </r>
  <r>
    <d v="2026-02-02T00:00:00"/>
    <x v="4"/>
    <s v="İRİ BEYAZ KABAK ÇEKİRDEĞİ - NEVŞEHİR"/>
    <m/>
    <x v="1"/>
    <s v="ST00000001070"/>
    <s v="SATIŞ"/>
    <s v="NAKİT"/>
    <n v="0.27906976744186046"/>
    <n v="430"/>
    <n v="0"/>
    <n v="0"/>
    <m/>
    <m/>
    <m/>
    <m/>
    <n v="120"/>
    <n v="0"/>
    <n v="56162.152997470839"/>
  </r>
  <r>
    <d v="2026-02-02T00:00:00"/>
    <x v="4"/>
    <s v="MECİTEFENDİ ÇAM TEREBENTİN ŞAMPUANI 400 ML"/>
    <m/>
    <x v="1"/>
    <s v="ST00000001071"/>
    <s v="SATIŞ"/>
    <s v="NAKİT"/>
    <n v="1"/>
    <n v="220"/>
    <n v="0"/>
    <n v="0"/>
    <m/>
    <m/>
    <m/>
    <m/>
    <n v="220"/>
    <n v="0"/>
    <n v="56382.152997470839"/>
  </r>
  <r>
    <d v="2026-02-02T00:00:00"/>
    <x v="4"/>
    <s v="DOLMALIK KURU PATLICAN"/>
    <m/>
    <x v="5"/>
    <s v="ST00000001072"/>
    <s v="SATIŞ"/>
    <s v="POS"/>
    <n v="1"/>
    <n v="250"/>
    <n v="250"/>
    <n v="0"/>
    <m/>
    <m/>
    <m/>
    <m/>
    <n v="0"/>
    <n v="0"/>
    <n v="56382.152997470839"/>
  </r>
  <r>
    <d v="2026-02-02T00:00:00"/>
    <x v="4"/>
    <s v="DOLMALIK SARI BİBER"/>
    <m/>
    <x v="5"/>
    <s v="ST00000001072"/>
    <s v="SATIŞ"/>
    <s v="POS"/>
    <n v="1"/>
    <n v="230"/>
    <n v="230"/>
    <n v="0"/>
    <m/>
    <m/>
    <m/>
    <m/>
    <n v="0"/>
    <n v="0"/>
    <n v="56382.152997470839"/>
  </r>
  <r>
    <d v="2026-02-02T00:00:00"/>
    <x v="4"/>
    <s v="TÜDAB KEÇİ BOYNUZU (DÖKME)"/>
    <m/>
    <x v="1"/>
    <s v="ST00000001073"/>
    <s v="SATIŞ"/>
    <s v="NAKİT"/>
    <n v="0.51"/>
    <n v="350"/>
    <n v="0"/>
    <n v="0"/>
    <m/>
    <m/>
    <m/>
    <m/>
    <n v="178.5"/>
    <n v="0"/>
    <n v="56560.652997470839"/>
  </r>
  <r>
    <d v="2026-02-02T00:00:00"/>
    <x v="4"/>
    <s v="DOLMALIK KURU PATLICAN"/>
    <m/>
    <x v="5"/>
    <s v="ST00000001074"/>
    <s v="SATIŞ"/>
    <s v="POS"/>
    <n v="1"/>
    <n v="250"/>
    <n v="250"/>
    <n v="0"/>
    <m/>
    <m/>
    <m/>
    <m/>
    <n v="0"/>
    <n v="0"/>
    <n v="56560.652997470839"/>
  </r>
  <r>
    <d v="2026-02-02T00:00:00"/>
    <x v="4"/>
    <s v="DOLMALIK SARI BİBER"/>
    <m/>
    <x v="5"/>
    <s v="ST00000001074"/>
    <s v="SATIŞ"/>
    <s v="POS"/>
    <n v="1"/>
    <n v="230"/>
    <n v="230"/>
    <n v="0"/>
    <m/>
    <m/>
    <m/>
    <m/>
    <n v="0"/>
    <n v="0"/>
    <n v="56560.652997470839"/>
  </r>
  <r>
    <d v="2026-02-02T00:00:00"/>
    <x v="4"/>
    <s v="YALÇINKAYA ACI BİBER SALÇASI"/>
    <m/>
    <x v="5"/>
    <s v="ST00000001074"/>
    <s v="SATIŞ"/>
    <s v="POS"/>
    <n v="1"/>
    <n v="200"/>
    <n v="200"/>
    <n v="0"/>
    <m/>
    <m/>
    <m/>
    <m/>
    <n v="0"/>
    <n v="0"/>
    <n v="56560.652997470839"/>
  </r>
  <r>
    <d v="2026-02-02T00:00:00"/>
    <x v="4"/>
    <s v="KARABİBER ÇEKİLMİŞ"/>
    <m/>
    <x v="5"/>
    <s v="ST00000001074"/>
    <s v="SATIŞ"/>
    <s v="POS"/>
    <n v="0.15384615384615385"/>
    <n v="650"/>
    <n v="100"/>
    <n v="0"/>
    <m/>
    <m/>
    <m/>
    <m/>
    <n v="0"/>
    <n v="0"/>
    <n v="56560.652997470839"/>
  </r>
  <r>
    <d v="2026-02-02T00:00:00"/>
    <x v="4"/>
    <s v="EVLİK BİBER"/>
    <m/>
    <x v="5"/>
    <s v="ST00000001074"/>
    <s v="SATIŞ"/>
    <s v="POS"/>
    <n v="0.25"/>
    <n v="400"/>
    <n v="100"/>
    <n v="0"/>
    <m/>
    <m/>
    <m/>
    <m/>
    <n v="0"/>
    <n v="0"/>
    <n v="56560.652997470839"/>
  </r>
  <r>
    <d v="2026-02-02T00:00:00"/>
    <x v="4"/>
    <s v="LİMON MELİSA"/>
    <m/>
    <x v="1"/>
    <s v="ST00000001074"/>
    <s v="SATIŞ"/>
    <s v="NAKİT"/>
    <n v="2.5000000000000001E-2"/>
    <n v="2000"/>
    <n v="0"/>
    <n v="0"/>
    <m/>
    <m/>
    <m/>
    <m/>
    <n v="50"/>
    <n v="0"/>
    <n v="56610.652997470839"/>
  </r>
  <r>
    <d v="2026-02-02T00:00:00"/>
    <x v="4"/>
    <s v="KARABAŞ OTU"/>
    <m/>
    <x v="1"/>
    <s v="ST00000001074"/>
    <s v="SATIŞ"/>
    <s v="NAKİT"/>
    <n v="3.5714285714285712E-2"/>
    <n v="1400"/>
    <n v="0"/>
    <n v="0"/>
    <m/>
    <m/>
    <m/>
    <m/>
    <n v="50"/>
    <n v="0"/>
    <n v="56660.652997470839"/>
  </r>
  <r>
    <d v="2026-02-02T00:00:00"/>
    <x v="4"/>
    <s v="TÜDAB KEÇİ BOYNUZU (DÖKME)"/>
    <m/>
    <x v="1"/>
    <s v="ST00000001075"/>
    <s v="SATIŞ"/>
    <s v="NAKİT"/>
    <n v="0.14299999999999999"/>
    <n v="350"/>
    <n v="0"/>
    <n v="0"/>
    <m/>
    <m/>
    <m/>
    <m/>
    <n v="50.05"/>
    <n v="0"/>
    <n v="56710.702997470842"/>
  </r>
  <r>
    <d v="2026-02-02T00:00:00"/>
    <x v="1"/>
    <m/>
    <s v="KİRA GİDERLERİ"/>
    <x v="1"/>
    <m/>
    <s v="KİRA GİDERİ - 2026/02"/>
    <s v="NAKİT"/>
    <n v="1"/>
    <n v="22000"/>
    <n v="0"/>
    <n v="0"/>
    <m/>
    <m/>
    <m/>
    <m/>
    <n v="0"/>
    <n v="22000"/>
    <n v="34710.702997470842"/>
  </r>
  <r>
    <d v="2026-02-03T00:00:00"/>
    <x v="4"/>
    <s v="EL-RUHA ÇAY (AÇIK)"/>
    <m/>
    <x v="5"/>
    <s v="ST00000001076"/>
    <s v="SATIŞ"/>
    <s v="POS"/>
    <n v="0.5"/>
    <n v="600"/>
    <n v="300"/>
    <n v="0"/>
    <m/>
    <m/>
    <m/>
    <m/>
    <n v="0"/>
    <n v="0"/>
    <n v="34710.702997470842"/>
  </r>
  <r>
    <d v="2026-02-03T00:00:00"/>
    <x v="4"/>
    <s v="ÇÖREKOTU YAĞI 50 CC"/>
    <m/>
    <x v="5"/>
    <s v="ST00000001076"/>
    <s v="SATIŞ"/>
    <s v="POS"/>
    <n v="1"/>
    <n v="170"/>
    <n v="170"/>
    <n v="0"/>
    <m/>
    <m/>
    <m/>
    <m/>
    <n v="0"/>
    <n v="0"/>
    <n v="34710.702997470842"/>
  </r>
  <r>
    <d v="2026-02-03T00:00:00"/>
    <x v="4"/>
    <s v="CEVİZLİ SUCUK ATOM (ESMER)"/>
    <m/>
    <x v="5"/>
    <s v="ST00000001076"/>
    <s v="SATIŞ"/>
    <s v="POS"/>
    <n v="0.39"/>
    <n v="340"/>
    <n v="132.6"/>
    <n v="0"/>
    <m/>
    <m/>
    <m/>
    <m/>
    <n v="0"/>
    <n v="0"/>
    <n v="34710.702997470842"/>
  </r>
  <r>
    <d v="2026-02-03T00:00:00"/>
    <x v="4"/>
    <s v="LG ENGİNAR SUYU 1 LT"/>
    <m/>
    <x v="1"/>
    <s v="ST00000001077"/>
    <s v="SATIŞ"/>
    <s v="NAKİT"/>
    <n v="1"/>
    <n v="170"/>
    <n v="0"/>
    <n v="0"/>
    <m/>
    <m/>
    <m/>
    <m/>
    <n v="170"/>
    <n v="0"/>
    <n v="34880.702997470842"/>
  </r>
  <r>
    <d v="2026-02-03T00:00:00"/>
    <x v="4"/>
    <s v="KARANFİL"/>
    <m/>
    <x v="1"/>
    <s v="ST00000001077"/>
    <s v="SATIŞ"/>
    <s v="NAKİT"/>
    <n v="0.05"/>
    <n v="1200"/>
    <n v="0"/>
    <n v="0"/>
    <m/>
    <m/>
    <m/>
    <m/>
    <n v="60"/>
    <n v="0"/>
    <n v="34940.702997470842"/>
  </r>
  <r>
    <d v="2026-02-03T00:00:00"/>
    <x v="4"/>
    <s v="AÇIK KAYISI İRİ (SARI)"/>
    <m/>
    <x v="1"/>
    <s v="ST00000001077"/>
    <s v="SATIŞ"/>
    <s v="NAKİT"/>
    <n v="7.2463768115942032E-2"/>
    <n v="690"/>
    <n v="0"/>
    <n v="0"/>
    <m/>
    <m/>
    <m/>
    <m/>
    <n v="50"/>
    <n v="0"/>
    <n v="34990.702997470842"/>
  </r>
  <r>
    <d v="2026-02-03T00:00:00"/>
    <x v="4"/>
    <s v="İZMİR ÜZÜMÜ"/>
    <m/>
    <x v="1"/>
    <s v="ST00000001077"/>
    <s v="SATIŞ"/>
    <s v="NAKİT"/>
    <n v="0.2"/>
    <n v="250"/>
    <n v="0"/>
    <n v="0"/>
    <m/>
    <m/>
    <m/>
    <m/>
    <n v="50"/>
    <n v="0"/>
    <n v="35040.702997470842"/>
  </r>
  <r>
    <d v="2026-02-03T00:00:00"/>
    <x v="4"/>
    <s v="İNCİR KÜÇÜK"/>
    <m/>
    <x v="1"/>
    <s v="ST00000001078"/>
    <s v="SATIŞ"/>
    <s v="NAKİT"/>
    <n v="0.26400000000000001"/>
    <n v="570"/>
    <n v="0"/>
    <n v="0"/>
    <m/>
    <m/>
    <m/>
    <m/>
    <n v="150.48000000000002"/>
    <n v="0"/>
    <n v="35191.182997470845"/>
  </r>
  <r>
    <d v="2026-02-03T00:00:00"/>
    <x v="4"/>
    <s v="AÇIK KAYISI İRİ (SARI)"/>
    <m/>
    <x v="1"/>
    <s v="ST00000001078"/>
    <s v="SATIŞ"/>
    <s v="NAKİT"/>
    <n v="0.218"/>
    <n v="690"/>
    <n v="0"/>
    <n v="0"/>
    <m/>
    <m/>
    <m/>
    <m/>
    <n v="150.41999999999999"/>
    <n v="0"/>
    <n v="35341.602997470844"/>
  </r>
  <r>
    <d v="2026-02-03T00:00:00"/>
    <x v="4"/>
    <s v="PATLAK MISIR"/>
    <m/>
    <x v="5"/>
    <s v="ST00000001079"/>
    <s v="SATIŞ"/>
    <s v="POS"/>
    <n v="0.5"/>
    <n v="60"/>
    <n v="30"/>
    <n v="0"/>
    <m/>
    <m/>
    <m/>
    <m/>
    <n v="0"/>
    <n v="0"/>
    <n v="35341.602997470844"/>
  </r>
  <r>
    <d v="2026-02-03T00:00:00"/>
    <x v="4"/>
    <s v="TOZ TARÇIN"/>
    <m/>
    <x v="1"/>
    <s v="ST00000001080"/>
    <s v="SATIŞ"/>
    <s v="NAKİT"/>
    <n v="0.1"/>
    <n v="400"/>
    <n v="0"/>
    <n v="0"/>
    <m/>
    <m/>
    <m/>
    <m/>
    <n v="40"/>
    <n v="0"/>
    <n v="35381.602997470844"/>
  </r>
  <r>
    <d v="2026-02-03T00:00:00"/>
    <x v="4"/>
    <s v="AÇLIK OTU"/>
    <m/>
    <x v="1"/>
    <s v="ST00000001081"/>
    <s v="SATIŞ"/>
    <s v="NAKİT"/>
    <n v="0.12"/>
    <n v="417"/>
    <n v="0"/>
    <n v="0"/>
    <m/>
    <m/>
    <m/>
    <m/>
    <n v="50.04"/>
    <n v="0"/>
    <n v="35431.642997470844"/>
  </r>
  <r>
    <d v="2026-02-03T00:00:00"/>
    <x v="4"/>
    <s v="SALÇA TATLI (EV YAPIMI)"/>
    <m/>
    <x v="5"/>
    <s v="ST00000001082"/>
    <s v="SATIŞ"/>
    <s v="POS"/>
    <n v="2"/>
    <n v="200"/>
    <n v="400"/>
    <n v="0"/>
    <m/>
    <m/>
    <m/>
    <m/>
    <n v="0"/>
    <n v="0"/>
    <n v="35431.642997470844"/>
  </r>
  <r>
    <d v="2026-02-03T00:00:00"/>
    <x v="4"/>
    <s v="İPEK BİBER"/>
    <m/>
    <x v="5"/>
    <s v="ST00000001083"/>
    <s v="SATIŞ - TOPTAN"/>
    <s v="POS"/>
    <n v="2"/>
    <n v="325"/>
    <n v="650"/>
    <n v="0"/>
    <m/>
    <m/>
    <m/>
    <m/>
    <n v="0"/>
    <n v="0"/>
    <n v="35431.642997470844"/>
  </r>
  <r>
    <d v="2026-02-03T00:00:00"/>
    <x v="4"/>
    <s v="İSOT"/>
    <m/>
    <x v="5"/>
    <s v="ST00000001083"/>
    <s v="SATIŞ - TOPTAN"/>
    <s v="POS"/>
    <n v="1"/>
    <n v="250"/>
    <n v="250"/>
    <n v="0"/>
    <m/>
    <m/>
    <m/>
    <m/>
    <n v="0"/>
    <n v="0"/>
    <n v="35431.642997470844"/>
  </r>
  <r>
    <d v="2026-02-03T00:00:00"/>
    <x v="4"/>
    <s v="EVLİK BİBER"/>
    <m/>
    <x v="1"/>
    <s v="ST00000001083"/>
    <s v="SATIŞ - TOPTAN"/>
    <s v="NAKİT"/>
    <n v="0.26800000000000002"/>
    <n v="250"/>
    <n v="0"/>
    <n v="0"/>
    <m/>
    <m/>
    <m/>
    <m/>
    <n v="67"/>
    <n v="0"/>
    <n v="35498.642997470844"/>
  </r>
  <r>
    <d v="2026-02-03T00:00:00"/>
    <x v="4"/>
    <s v="KIRMIZI PUL BİBER TATLI"/>
    <m/>
    <x v="1"/>
    <s v="ST00000001084"/>
    <s v="SATIŞ"/>
    <s v="NAKİT"/>
    <n v="0.55600000000000005"/>
    <n v="360"/>
    <n v="0"/>
    <n v="0"/>
    <m/>
    <m/>
    <m/>
    <m/>
    <n v="200.16000000000003"/>
    <n v="0"/>
    <n v="35698.802997470848"/>
  </r>
  <r>
    <d v="2026-02-03T00:00:00"/>
    <x v="4"/>
    <s v="KÖFTELİK BULGUR"/>
    <m/>
    <x v="1"/>
    <s v="ST00000001085"/>
    <s v="SATIŞ - MMT"/>
    <s v="NAKİT"/>
    <n v="1.5"/>
    <n v="65"/>
    <n v="0"/>
    <n v="0"/>
    <m/>
    <m/>
    <m/>
    <m/>
    <n v="97.5"/>
    <n v="0"/>
    <n v="35796.302997470848"/>
  </r>
  <r>
    <d v="2026-02-03T00:00:00"/>
    <x v="4"/>
    <s v="PİLAVLIK BULGUR"/>
    <m/>
    <x v="1"/>
    <s v="ST00000001085"/>
    <s v="SATIŞ - MMT"/>
    <s v="NAKİT"/>
    <n v="1"/>
    <n v="65"/>
    <n v="0"/>
    <n v="0"/>
    <m/>
    <m/>
    <m/>
    <m/>
    <n v="65"/>
    <n v="0"/>
    <n v="35861.302997470848"/>
  </r>
  <r>
    <d v="2026-02-03T00:00:00"/>
    <x v="4"/>
    <s v="TÜDAB KEÇİ BOYNUZU (DÖKME)"/>
    <m/>
    <x v="1"/>
    <s v="ST00000001085"/>
    <s v="SATIŞ - MMT"/>
    <s v="NAKİT"/>
    <n v="0.14299999999999999"/>
    <n v="350"/>
    <n v="0"/>
    <n v="0"/>
    <m/>
    <m/>
    <m/>
    <m/>
    <n v="50.05"/>
    <n v="0"/>
    <n v="35911.352997470851"/>
  </r>
  <r>
    <d v="2026-02-03T00:00:00"/>
    <x v="4"/>
    <s v="ŞİFAVER BITTIM HATAY SABUNU"/>
    <m/>
    <x v="1"/>
    <s v="ST00000001085"/>
    <s v="SATIŞ - MMT"/>
    <s v="NAKİT"/>
    <n v="1"/>
    <n v="50"/>
    <n v="0"/>
    <n v="0"/>
    <m/>
    <m/>
    <m/>
    <m/>
    <n v="50"/>
    <n v="0"/>
    <n v="35961.352997470851"/>
  </r>
  <r>
    <d v="2026-02-03T00:00:00"/>
    <x v="4"/>
    <s v="NAHİTA ALIÇ SİRKESİ 500 ML"/>
    <m/>
    <x v="1"/>
    <s v="ST00000001085"/>
    <s v="SATIŞ - MMT"/>
    <s v="NAKİT"/>
    <n v="1"/>
    <n v="140"/>
    <n v="0"/>
    <n v="0"/>
    <m/>
    <m/>
    <m/>
    <m/>
    <n v="140"/>
    <n v="0"/>
    <n v="36101.352997470851"/>
  </r>
  <r>
    <d v="2026-02-03T00:00:00"/>
    <x v="4"/>
    <s v="AŞURELİK BUĞDAY İZMİR"/>
    <m/>
    <x v="1"/>
    <s v="ST00000001085"/>
    <s v="SATIŞ - MMT"/>
    <s v="NAKİT"/>
    <n v="1"/>
    <n v="55"/>
    <n v="0"/>
    <n v="0"/>
    <m/>
    <m/>
    <m/>
    <m/>
    <n v="55"/>
    <n v="0"/>
    <n v="36156.352997470851"/>
  </r>
  <r>
    <d v="2026-02-03T00:00:00"/>
    <x v="4"/>
    <s v="AYÇEKİRDEĞİ DAKOTA TUZLU EKSTRA"/>
    <m/>
    <x v="1"/>
    <s v="ST00000001085"/>
    <s v="SATIŞ - MMT"/>
    <s v="NAKİT"/>
    <n v="0.21739130434782608"/>
    <n v="230"/>
    <n v="0"/>
    <n v="0"/>
    <m/>
    <m/>
    <m/>
    <m/>
    <n v="50"/>
    <n v="0"/>
    <n v="36206.352997470851"/>
  </r>
  <r>
    <d v="2026-02-03T00:00:00"/>
    <x v="10"/>
    <m/>
    <m/>
    <x v="5"/>
    <m/>
    <s v="POS ÇÖZÜMÜ"/>
    <s v="POS"/>
    <n v="1"/>
    <n v="651.46"/>
    <n v="0"/>
    <n v="651.46"/>
    <m/>
    <m/>
    <m/>
    <m/>
    <n v="651.46"/>
    <n v="0"/>
    <n v="36857.81299747085"/>
  </r>
  <r>
    <d v="2026-02-04T00:00:00"/>
    <x v="4"/>
    <s v="DUT KURUSU ESMER"/>
    <m/>
    <x v="5"/>
    <s v="ST00000001086"/>
    <s v="SATIŞ"/>
    <s v="POS"/>
    <n v="0.44500000000000001"/>
    <n v="450"/>
    <n v="200.25"/>
    <n v="0"/>
    <m/>
    <m/>
    <m/>
    <m/>
    <n v="0"/>
    <n v="0"/>
    <n v="36857.81299747085"/>
  </r>
  <r>
    <d v="2026-02-04T00:00:00"/>
    <x v="4"/>
    <s v="TUZSUZ FISTIK 1 NO"/>
    <m/>
    <x v="5"/>
    <s v="ST00000001086"/>
    <s v="SATIŞ"/>
    <s v="POS"/>
    <n v="0.25641025641025639"/>
    <n v="195"/>
    <n v="49.999999999999993"/>
    <n v="0"/>
    <m/>
    <m/>
    <m/>
    <m/>
    <n v="0"/>
    <n v="0"/>
    <n v="36857.81299747085"/>
  </r>
  <r>
    <d v="2026-02-04T00:00:00"/>
    <x v="4"/>
    <s v="YALÇINKAYA DOMATES SALÇASI"/>
    <m/>
    <x v="5"/>
    <s v="ST00000001086"/>
    <s v="SATIŞ"/>
    <s v="POS"/>
    <n v="1"/>
    <n v="150"/>
    <n v="150"/>
    <n v="0"/>
    <m/>
    <m/>
    <m/>
    <m/>
    <n v="0"/>
    <n v="0"/>
    <n v="36857.81299747085"/>
  </r>
  <r>
    <d v="2026-02-04T00:00:00"/>
    <x v="4"/>
    <s v="AŞURELİK BUĞDAY İZMİR"/>
    <m/>
    <x v="1"/>
    <s v="ST00000001087"/>
    <s v="SATIŞ"/>
    <s v="NAKİT"/>
    <n v="0.5"/>
    <n v="50"/>
    <n v="0"/>
    <n v="0"/>
    <m/>
    <m/>
    <m/>
    <m/>
    <n v="25"/>
    <n v="0"/>
    <n v="36882.81299747085"/>
  </r>
  <r>
    <d v="2026-02-04T00:00:00"/>
    <x v="4"/>
    <s v="DOLMALIK KURU PATLICAN"/>
    <m/>
    <x v="1"/>
    <s v="ST00000001088"/>
    <s v="SATIŞ"/>
    <s v="NAKİT"/>
    <n v="1"/>
    <n v="250"/>
    <n v="0"/>
    <n v="0"/>
    <m/>
    <m/>
    <m/>
    <m/>
    <n v="250"/>
    <n v="0"/>
    <n v="37132.81299747085"/>
  </r>
  <r>
    <d v="2026-02-04T00:00:00"/>
    <x v="4"/>
    <s v="DOLMALIK SARI BİBER"/>
    <m/>
    <x v="1"/>
    <s v="ST00000001088"/>
    <s v="SATIŞ"/>
    <s v="NAKİT"/>
    <n v="0.5"/>
    <n v="230"/>
    <n v="0"/>
    <n v="0"/>
    <m/>
    <m/>
    <m/>
    <m/>
    <n v="115"/>
    <n v="0"/>
    <n v="37247.81299747085"/>
  </r>
  <r>
    <d v="2026-02-04T00:00:00"/>
    <x v="4"/>
    <s v="DOLMALIK KURU TATLI KIRMIZI BİBER"/>
    <m/>
    <x v="1"/>
    <s v="ST00000001088"/>
    <s v="SATIŞ"/>
    <s v="NAKİT"/>
    <n v="0.15217391304347827"/>
    <n v="230"/>
    <n v="0"/>
    <n v="0"/>
    <m/>
    <m/>
    <m/>
    <m/>
    <n v="35"/>
    <n v="0"/>
    <n v="37282.81299747085"/>
  </r>
  <r>
    <d v="2026-02-04T00:00:00"/>
    <x v="4"/>
    <s v="AKGÜNLÜK BAHUR"/>
    <m/>
    <x v="1"/>
    <s v="ST00000001089"/>
    <s v="SATIŞ"/>
    <s v="NAKİT"/>
    <n v="0.1"/>
    <n v="1500"/>
    <n v="0"/>
    <n v="0"/>
    <m/>
    <m/>
    <m/>
    <m/>
    <n v="150"/>
    <n v="0"/>
    <n v="37432.81299747085"/>
  </r>
  <r>
    <d v="2026-02-04T00:00:00"/>
    <x v="4"/>
    <s v="DOLMALIK KURU PATLICAN"/>
    <m/>
    <x v="5"/>
    <s v="ST00000001090"/>
    <s v="SATIŞ"/>
    <s v="POS"/>
    <n v="1"/>
    <n v="250"/>
    <n v="250"/>
    <n v="0"/>
    <m/>
    <m/>
    <m/>
    <m/>
    <n v="0"/>
    <n v="0"/>
    <n v="37432.81299747085"/>
  </r>
  <r>
    <d v="2026-02-04T00:00:00"/>
    <x v="4"/>
    <s v="DOLMALIK SARI BİBER"/>
    <m/>
    <x v="5"/>
    <s v="ST00000001090"/>
    <s v="SATIŞ"/>
    <s v="POS"/>
    <n v="0.5"/>
    <n v="230"/>
    <n v="115"/>
    <n v="0"/>
    <m/>
    <m/>
    <m/>
    <m/>
    <n v="0"/>
    <n v="0"/>
    <n v="37432.81299747085"/>
  </r>
  <r>
    <d v="2026-02-04T00:00:00"/>
    <x v="10"/>
    <m/>
    <m/>
    <x v="5"/>
    <m/>
    <s v="POS ÇÖZÜMÜ"/>
    <s v="POS"/>
    <n v="1"/>
    <n v="1690"/>
    <n v="0"/>
    <n v="1690"/>
    <m/>
    <m/>
    <m/>
    <m/>
    <n v="1690"/>
    <n v="0"/>
    <n v="39122.81299747085"/>
  </r>
  <r>
    <d v="2026-02-04T00:00:00"/>
    <x v="10"/>
    <m/>
    <m/>
    <x v="5"/>
    <m/>
    <s v="POS ÇÖZÜMÜ"/>
    <s v="POS"/>
    <n v="1"/>
    <n v="400"/>
    <n v="0"/>
    <n v="400"/>
    <m/>
    <m/>
    <m/>
    <m/>
    <n v="400"/>
    <n v="0"/>
    <n v="39522.81299747085"/>
  </r>
  <r>
    <d v="2026-02-05T00:00:00"/>
    <x v="4"/>
    <s v="KARANFİL"/>
    <m/>
    <x v="1"/>
    <s v="ST00000001091"/>
    <s v="SATIŞ"/>
    <s v="NAKİT"/>
    <n v="0.05"/>
    <n v="1200"/>
    <n v="0"/>
    <n v="0"/>
    <m/>
    <m/>
    <m/>
    <m/>
    <n v="60"/>
    <n v="0"/>
    <n v="39582.81299747085"/>
  </r>
  <r>
    <d v="2026-02-05T00:00:00"/>
    <x v="4"/>
    <s v="YALÇINKAYA ACI BİBER SALÇASI"/>
    <m/>
    <x v="5"/>
    <s v="ST00000001092"/>
    <s v="SATIŞ"/>
    <s v="POS"/>
    <n v="1"/>
    <n v="200"/>
    <n v="200"/>
    <n v="0"/>
    <m/>
    <m/>
    <m/>
    <m/>
    <n v="0"/>
    <n v="0"/>
    <n v="39582.81299747085"/>
  </r>
  <r>
    <d v="2026-02-05T00:00:00"/>
    <x v="4"/>
    <s v="YALÇINKAYA DOMATES SALÇASI"/>
    <m/>
    <x v="5"/>
    <s v="ST00000001092"/>
    <s v="SATIŞ"/>
    <s v="POS"/>
    <n v="1"/>
    <n v="150"/>
    <n v="150"/>
    <n v="0"/>
    <m/>
    <m/>
    <m/>
    <m/>
    <n v="0"/>
    <n v="0"/>
    <n v="39582.81299747085"/>
  </r>
  <r>
    <d v="2026-02-05T00:00:00"/>
    <x v="4"/>
    <s v="İSOT"/>
    <m/>
    <x v="1"/>
    <s v="ST00000001093"/>
    <s v="SATIŞ"/>
    <s v="NAKİT"/>
    <n v="0.25"/>
    <n v="400"/>
    <n v="0"/>
    <n v="0"/>
    <m/>
    <m/>
    <m/>
    <m/>
    <n v="100"/>
    <n v="0"/>
    <n v="39682.81299747085"/>
  </r>
  <r>
    <d v="2026-02-05T00:00:00"/>
    <x v="4"/>
    <s v="DOLMALIK KURU PATLICAN"/>
    <m/>
    <x v="1"/>
    <s v="ST00000001093"/>
    <s v="SATIŞ"/>
    <s v="NAKİT"/>
    <n v="1"/>
    <n v="250"/>
    <n v="0"/>
    <n v="0"/>
    <m/>
    <m/>
    <m/>
    <m/>
    <n v="250"/>
    <n v="0"/>
    <n v="39932.81299747085"/>
  </r>
  <r>
    <d v="2026-02-05T00:00:00"/>
    <x v="4"/>
    <s v="DOLMALIK SARI BİBER"/>
    <m/>
    <x v="1"/>
    <s v="ST00000001093"/>
    <s v="SATIŞ"/>
    <s v="NAKİT"/>
    <n v="1"/>
    <n v="230"/>
    <n v="0"/>
    <n v="0"/>
    <m/>
    <m/>
    <m/>
    <m/>
    <n v="230"/>
    <n v="0"/>
    <n v="40162.81299747085"/>
  </r>
  <r>
    <d v="2026-02-05T00:00:00"/>
    <x v="4"/>
    <s v="AÇLIK OTU"/>
    <m/>
    <x v="1"/>
    <s v="ST00000001094"/>
    <s v="SATIŞ"/>
    <s v="NAKİT"/>
    <n v="0.12"/>
    <n v="417"/>
    <n v="0"/>
    <n v="0"/>
    <m/>
    <m/>
    <m/>
    <m/>
    <n v="50.04"/>
    <n v="0"/>
    <n v="40212.852997470851"/>
  </r>
  <r>
    <d v="2026-02-05T00:00:00"/>
    <x v="4"/>
    <s v="MANİSA YAPRAK DÖKME"/>
    <m/>
    <x v="1"/>
    <s v="ST00000001095"/>
    <s v="SATIŞ"/>
    <s v="NAKİT"/>
    <n v="0.5"/>
    <n v="300"/>
    <n v="0"/>
    <n v="0"/>
    <m/>
    <m/>
    <m/>
    <m/>
    <n v="150"/>
    <n v="0"/>
    <n v="40362.852997470851"/>
  </r>
  <r>
    <d v="2026-02-05T00:00:00"/>
    <x v="4"/>
    <s v="HAYIT TOHUMU"/>
    <m/>
    <x v="5"/>
    <s v="ST00000001096"/>
    <s v="SATIŞ"/>
    <s v="POS"/>
    <n v="0.1"/>
    <n v="900"/>
    <n v="90"/>
    <n v="0"/>
    <m/>
    <m/>
    <m/>
    <m/>
    <n v="0"/>
    <n v="0"/>
    <n v="40362.852997470851"/>
  </r>
  <r>
    <d v="2026-02-05T00:00:00"/>
    <x v="4"/>
    <s v="CİVAN PERÇEMİ"/>
    <m/>
    <x v="5"/>
    <s v="ST00000001096"/>
    <s v="SATIŞ"/>
    <s v="POS"/>
    <n v="0.05"/>
    <n v="1000"/>
    <n v="50"/>
    <n v="0"/>
    <m/>
    <m/>
    <m/>
    <m/>
    <n v="0"/>
    <n v="0"/>
    <n v="40362.852997470851"/>
  </r>
  <r>
    <d v="2026-02-05T00:00:00"/>
    <x v="4"/>
    <s v="İNCİR KÜÇÜK"/>
    <m/>
    <x v="5"/>
    <s v="ST00000001096"/>
    <s v="SATIŞ"/>
    <s v="POS"/>
    <n v="1"/>
    <n v="570"/>
    <n v="570"/>
    <n v="0"/>
    <m/>
    <m/>
    <m/>
    <m/>
    <n v="0"/>
    <n v="0"/>
    <n v="40362.852997470851"/>
  </r>
  <r>
    <d v="2026-02-05T00:00:00"/>
    <x v="4"/>
    <s v="DOLMALIK SARI BİBER"/>
    <m/>
    <x v="5"/>
    <s v="ST00000001097"/>
    <s v="SATIŞ"/>
    <s v="POS"/>
    <n v="1"/>
    <n v="230"/>
    <n v="230"/>
    <n v="0"/>
    <m/>
    <m/>
    <m/>
    <m/>
    <n v="0"/>
    <n v="0"/>
    <n v="40362.852997470851"/>
  </r>
  <r>
    <d v="2026-02-05T00:00:00"/>
    <x v="4"/>
    <s v="DOLMALIK KURU PATLICAN"/>
    <m/>
    <x v="5"/>
    <s v="ST00000001098"/>
    <s v="SATIŞ"/>
    <s v="POS"/>
    <n v="1"/>
    <n v="250"/>
    <n v="250"/>
    <n v="0"/>
    <m/>
    <m/>
    <m/>
    <m/>
    <n v="0"/>
    <n v="0"/>
    <n v="40362.852997470851"/>
  </r>
  <r>
    <d v="2026-02-05T00:00:00"/>
    <x v="4"/>
    <s v="DOLMALIK SARI BİBER"/>
    <m/>
    <x v="5"/>
    <s v="ST00000001098"/>
    <s v="SATIŞ"/>
    <s v="POS"/>
    <n v="1"/>
    <n v="230"/>
    <n v="230"/>
    <n v="0"/>
    <m/>
    <m/>
    <m/>
    <m/>
    <n v="0"/>
    <n v="0"/>
    <n v="40362.852997470851"/>
  </r>
  <r>
    <d v="2026-02-05T00:00:00"/>
    <x v="4"/>
    <s v="HİBİSKUS"/>
    <m/>
    <x v="5"/>
    <s v="ST00000001098"/>
    <s v="SATIŞ"/>
    <s v="POS"/>
    <n v="0.1"/>
    <n v="600"/>
    <n v="60"/>
    <n v="0"/>
    <m/>
    <m/>
    <m/>
    <m/>
    <n v="0"/>
    <n v="0"/>
    <n v="40362.852997470851"/>
  </r>
  <r>
    <d v="2026-02-05T00:00:00"/>
    <x v="4"/>
    <s v="ÖZBEK ÜZÜMÜ"/>
    <m/>
    <x v="5"/>
    <s v="ST00000001098"/>
    <s v="SATIŞ"/>
    <s v="POS"/>
    <n v="0.152"/>
    <n v="550"/>
    <n v="83.6"/>
    <n v="0"/>
    <m/>
    <m/>
    <m/>
    <m/>
    <n v="0"/>
    <n v="0"/>
    <n v="40362.852997470851"/>
  </r>
  <r>
    <d v="2026-02-05T00:00:00"/>
    <x v="4"/>
    <s v="AÇIK KAYISI İRİ (SARI)"/>
    <m/>
    <x v="1"/>
    <s v="ST00000001099"/>
    <s v="SATIŞ"/>
    <s v="NAKİT"/>
    <n v="0.44800000000000001"/>
    <n v="690"/>
    <n v="0"/>
    <n v="0"/>
    <m/>
    <m/>
    <m/>
    <m/>
    <n v="309.12"/>
    <n v="0"/>
    <n v="40671.972997470853"/>
  </r>
  <r>
    <d v="2026-02-05T00:00:00"/>
    <x v="4"/>
    <s v="İZMİR ÜZÜMÜ"/>
    <m/>
    <x v="1"/>
    <s v="ST00000001099"/>
    <s v="SATIŞ"/>
    <s v="NAKİT"/>
    <n v="0.2"/>
    <n v="250"/>
    <n v="0"/>
    <n v="0"/>
    <m/>
    <m/>
    <m/>
    <m/>
    <n v="50"/>
    <n v="0"/>
    <n v="40721.972997470853"/>
  </r>
  <r>
    <d v="2026-02-05T00:00:00"/>
    <x v="4"/>
    <s v="MANİSA YAPRAK DÖKME"/>
    <m/>
    <x v="1"/>
    <s v="ST00000001100"/>
    <s v="SATIŞ"/>
    <s v="NAKİT"/>
    <n v="0.5"/>
    <n v="300"/>
    <n v="0"/>
    <n v="0"/>
    <m/>
    <m/>
    <m/>
    <m/>
    <n v="150"/>
    <n v="0"/>
    <n v="40871.972997470853"/>
  </r>
  <r>
    <d v="2026-02-05T00:00:00"/>
    <x v="4"/>
    <s v="İPEK BİBER"/>
    <m/>
    <x v="1"/>
    <s v="ST00000001101"/>
    <s v="SATIŞ"/>
    <s v="NAKİT"/>
    <n v="0.2"/>
    <n v="500"/>
    <n v="0"/>
    <n v="0"/>
    <m/>
    <m/>
    <m/>
    <m/>
    <n v="100"/>
    <n v="0"/>
    <n v="40971.972997470853"/>
  </r>
  <r>
    <d v="2026-02-05T00:00:00"/>
    <x v="4"/>
    <s v="YALÇINKAYA DOMATES SALÇASI"/>
    <m/>
    <x v="1"/>
    <s v="ST00000001102"/>
    <s v="SATIŞ"/>
    <s v="NAKİT"/>
    <n v="1.3340000000000001"/>
    <n v="150"/>
    <n v="0"/>
    <n v="0"/>
    <m/>
    <m/>
    <m/>
    <m/>
    <n v="200.10000000000002"/>
    <n v="0"/>
    <n v="41172.072997470852"/>
  </r>
  <r>
    <d v="2026-02-05T00:00:00"/>
    <x v="4"/>
    <s v="LİMON YAĞI 20 CC"/>
    <m/>
    <x v="1"/>
    <s v="ST00000001103"/>
    <s v="SATIŞ"/>
    <s v="NAKİT"/>
    <n v="1"/>
    <n v="175"/>
    <n v="0"/>
    <n v="0"/>
    <m/>
    <m/>
    <m/>
    <m/>
    <n v="175"/>
    <n v="0"/>
    <n v="41347.072997470852"/>
  </r>
  <r>
    <d v="2026-02-05T00:00:00"/>
    <x v="4"/>
    <s v="KABUKLU CEVİZ (YERLİ)"/>
    <m/>
    <x v="1"/>
    <s v="ST00000001103"/>
    <s v="SATIŞ"/>
    <s v="NAKİT"/>
    <n v="1"/>
    <n v="250"/>
    <n v="0"/>
    <n v="0"/>
    <m/>
    <m/>
    <m/>
    <m/>
    <n v="250"/>
    <n v="0"/>
    <n v="41597.072997470852"/>
  </r>
  <r>
    <d v="2026-02-05T00:00:00"/>
    <x v="4"/>
    <s v="KARANFİL"/>
    <m/>
    <x v="1"/>
    <s v="ST00000001103"/>
    <s v="SATIŞ"/>
    <s v="NAKİT"/>
    <n v="0.05"/>
    <n v="1200"/>
    <n v="0"/>
    <n v="0"/>
    <m/>
    <m/>
    <m/>
    <m/>
    <n v="60"/>
    <n v="0"/>
    <n v="41657.072997470852"/>
  </r>
  <r>
    <d v="2026-02-05T00:00:00"/>
    <x v="4"/>
    <s v="ÇÖREKOTU"/>
    <m/>
    <x v="1"/>
    <s v="ST00000001104"/>
    <s v="SATIŞ - AYDIN"/>
    <s v="NAKİT"/>
    <n v="0.1"/>
    <n v="400"/>
    <n v="0"/>
    <n v="0"/>
    <m/>
    <m/>
    <m/>
    <m/>
    <n v="40"/>
    <n v="0"/>
    <n v="41697.072997470852"/>
  </r>
  <r>
    <d v="2026-02-05T00:00:00"/>
    <x v="4"/>
    <s v="SUSAM"/>
    <m/>
    <x v="1"/>
    <s v="ST00000001104"/>
    <s v="SATIŞ - AYDIN"/>
    <s v="NAKİT"/>
    <n v="0.1"/>
    <n v="400"/>
    <n v="0"/>
    <n v="0"/>
    <m/>
    <m/>
    <m/>
    <m/>
    <n v="40"/>
    <n v="0"/>
    <n v="41737.072997470852"/>
  </r>
  <r>
    <d v="2026-02-05T00:00:00"/>
    <x v="4"/>
    <s v="HAM KABAK LİFİ İŞLENMEMİŞ"/>
    <m/>
    <x v="5"/>
    <s v="ST00000001105"/>
    <s v="SATIŞ"/>
    <s v="POS"/>
    <n v="1"/>
    <n v="180"/>
    <n v="180"/>
    <n v="0"/>
    <m/>
    <m/>
    <m/>
    <m/>
    <n v="0"/>
    <n v="0"/>
    <n v="41737.072997470852"/>
  </r>
  <r>
    <d v="2026-02-05T00:00:00"/>
    <x v="4"/>
    <s v="ZENCEFİL TOZ"/>
    <m/>
    <x v="1"/>
    <s v="ST00000001106"/>
    <s v="SATIŞ"/>
    <s v="NAKİT"/>
    <n v="7.7499999999999999E-2"/>
    <n v="400"/>
    <n v="0"/>
    <n v="0"/>
    <m/>
    <m/>
    <m/>
    <m/>
    <n v="31"/>
    <n v="0"/>
    <n v="41768.072997470852"/>
  </r>
  <r>
    <d v="2026-02-05T00:00:00"/>
    <x v="4"/>
    <s v="ZERDEÇAL TOZ"/>
    <m/>
    <x v="1"/>
    <s v="ST00000001106"/>
    <s v="SATIŞ"/>
    <s v="NAKİT"/>
    <n v="8.666666666666667E-2"/>
    <n v="300"/>
    <n v="0"/>
    <n v="0"/>
    <m/>
    <m/>
    <m/>
    <m/>
    <n v="26"/>
    <n v="0"/>
    <n v="41794.072997470852"/>
  </r>
  <r>
    <d v="2026-02-05T00:00:00"/>
    <x v="4"/>
    <s v="KARANFİL"/>
    <m/>
    <x v="1"/>
    <s v="ST00000001106"/>
    <s v="SATIŞ"/>
    <s v="NAKİT"/>
    <n v="0.05"/>
    <n v="1200"/>
    <n v="0"/>
    <n v="0"/>
    <m/>
    <m/>
    <m/>
    <m/>
    <n v="60"/>
    <n v="0"/>
    <n v="41854.072997470852"/>
  </r>
  <r>
    <d v="2026-02-05T00:00:00"/>
    <x v="4"/>
    <s v="KIRMIZI PUL BİBER TATLI"/>
    <m/>
    <x v="1"/>
    <s v="ST00000001107"/>
    <s v="SATIŞ - ŞÜKRULLAH"/>
    <s v="NAKİT"/>
    <n v="1.0820000000000001"/>
    <n v="250"/>
    <n v="0"/>
    <n v="0"/>
    <m/>
    <m/>
    <m/>
    <m/>
    <n v="270.5"/>
    <n v="0"/>
    <n v="42124.572997470852"/>
  </r>
  <r>
    <d v="2026-02-05T00:00:00"/>
    <x v="4"/>
    <s v="DOLMALIK KURU PATLICAN"/>
    <m/>
    <x v="1"/>
    <s v="ST00000001107"/>
    <s v="SATIŞ - ŞÜKRULLAH"/>
    <s v="NAKİT"/>
    <n v="1"/>
    <n v="200"/>
    <n v="0"/>
    <n v="0"/>
    <m/>
    <m/>
    <m/>
    <m/>
    <n v="200"/>
    <n v="0"/>
    <n v="42324.572997470852"/>
  </r>
  <r>
    <d v="2026-02-05T00:00:00"/>
    <x v="4"/>
    <s v="TOZ BİBER - TATLI"/>
    <m/>
    <x v="1"/>
    <s v="ST00000001108"/>
    <s v="SATIŞ"/>
    <s v="NAKİT"/>
    <n v="7.4999999999999997E-2"/>
    <n v="400"/>
    <n v="0"/>
    <n v="0"/>
    <m/>
    <m/>
    <m/>
    <m/>
    <n v="30"/>
    <n v="0"/>
    <n v="42354.572997470852"/>
  </r>
  <r>
    <d v="2026-02-05T00:00:00"/>
    <x v="4"/>
    <s v="YENİ MAHSÜL PAPATYA"/>
    <m/>
    <x v="1"/>
    <s v="ST00000001109"/>
    <s v="SATIŞ - NİHAT"/>
    <s v="NAKİT"/>
    <n v="0.05"/>
    <n v="1800"/>
    <n v="0"/>
    <n v="0"/>
    <m/>
    <m/>
    <m/>
    <m/>
    <n v="90"/>
    <n v="0"/>
    <n v="42444.572997470852"/>
  </r>
  <r>
    <d v="2026-02-05T00:00:00"/>
    <x v="4"/>
    <s v="YALÇINKAYA DOMATES SALÇASI"/>
    <m/>
    <x v="1"/>
    <s v="ST00000001109"/>
    <s v="SATIŞ - NİHAT"/>
    <s v="NAKİT"/>
    <n v="1"/>
    <n v="150"/>
    <n v="0"/>
    <n v="0"/>
    <m/>
    <m/>
    <m/>
    <m/>
    <n v="150"/>
    <n v="0"/>
    <n v="42594.572997470852"/>
  </r>
  <r>
    <d v="2026-02-05T00:00:00"/>
    <x v="4"/>
    <s v="YALÇINKAYA ACI BİBER SALÇASI"/>
    <m/>
    <x v="1"/>
    <s v="ST00000001109"/>
    <s v="SATIŞ - NİHAT"/>
    <s v="NAKİT"/>
    <n v="1"/>
    <n v="200"/>
    <n v="0"/>
    <n v="0"/>
    <m/>
    <m/>
    <m/>
    <m/>
    <n v="200"/>
    <n v="0"/>
    <n v="42794.572997470852"/>
  </r>
  <r>
    <d v="2026-02-05T00:00:00"/>
    <x v="4"/>
    <s v="DOMATES SALÇASI"/>
    <m/>
    <x v="1"/>
    <s v="ST00000001110"/>
    <s v="SATIŞ - TOPTAN - MÜMİNE"/>
    <s v="NAKİT"/>
    <n v="19.350000000000001"/>
    <n v="103.36"/>
    <n v="0"/>
    <n v="0"/>
    <m/>
    <m/>
    <m/>
    <m/>
    <n v="2000.0160000000001"/>
    <n v="0"/>
    <n v="44794.588997470855"/>
  </r>
  <r>
    <d v="2026-02-05T00:00:00"/>
    <x v="10"/>
    <m/>
    <m/>
    <x v="5"/>
    <m/>
    <s v="POS ÇÖZÜMÜ"/>
    <s v="POS"/>
    <n v="1"/>
    <n v="445"/>
    <n v="0"/>
    <n v="445"/>
    <m/>
    <m/>
    <m/>
    <m/>
    <n v="445"/>
    <n v="0"/>
    <n v="45239.588997470855"/>
  </r>
  <r>
    <d v="2026-02-05T00:00:00"/>
    <x v="10"/>
    <m/>
    <m/>
    <x v="5"/>
    <m/>
    <s v="POS ÇÖZÜMÜ"/>
    <s v="POS"/>
    <n v="1"/>
    <n v="315"/>
    <n v="0"/>
    <n v="315"/>
    <m/>
    <m/>
    <m/>
    <m/>
    <n v="315"/>
    <n v="0"/>
    <n v="45554.588997470855"/>
  </r>
  <r>
    <d v="2026-02-06T00:00:00"/>
    <x v="4"/>
    <s v="KARANFİL"/>
    <m/>
    <x v="5"/>
    <s v="ST00000001111"/>
    <s v="SATIŞ"/>
    <s v="POS"/>
    <n v="0.05"/>
    <n v="1200"/>
    <n v="60"/>
    <n v="0"/>
    <m/>
    <m/>
    <m/>
    <m/>
    <n v="0"/>
    <n v="0"/>
    <n v="45554.588997470855"/>
  </r>
  <r>
    <d v="2026-02-06T00:00:00"/>
    <x v="4"/>
    <s v="FİTOZEN İNGİLİZ TUZU 200 GR"/>
    <m/>
    <x v="5"/>
    <s v="ST00000001112"/>
    <s v="SATIŞ"/>
    <s v="POS"/>
    <n v="1"/>
    <n v="80"/>
    <n v="80"/>
    <n v="0"/>
    <m/>
    <m/>
    <m/>
    <m/>
    <n v="0"/>
    <n v="0"/>
    <n v="45554.588997470855"/>
  </r>
  <r>
    <d v="2026-02-06T00:00:00"/>
    <x v="4"/>
    <s v="GENÇAY ELMA SİRKESİ 500 CC"/>
    <m/>
    <x v="1"/>
    <s v="ST00000001113"/>
    <s v="SATIŞ"/>
    <s v="NAKİT"/>
    <n v="1"/>
    <n v="140"/>
    <n v="0"/>
    <n v="0"/>
    <m/>
    <m/>
    <m/>
    <m/>
    <n v="140"/>
    <n v="0"/>
    <n v="45694.588997470855"/>
  </r>
  <r>
    <d v="2026-02-06T00:00:00"/>
    <x v="4"/>
    <s v="KABUKLU CEVİZ (YERLİ)"/>
    <m/>
    <x v="1"/>
    <s v="ST00000001113"/>
    <s v="SATIŞ"/>
    <s v="NAKİT"/>
    <n v="2.4"/>
    <n v="250"/>
    <n v="0"/>
    <n v="0"/>
    <m/>
    <m/>
    <m/>
    <m/>
    <n v="600"/>
    <n v="0"/>
    <n v="46294.588997470855"/>
  </r>
  <r>
    <d v="2026-02-06T00:00:00"/>
    <x v="4"/>
    <s v="DOMATES SALÇASI"/>
    <m/>
    <x v="1"/>
    <s v="ST00000001114"/>
    <s v="SATIŞ"/>
    <s v="NAKİT"/>
    <n v="1"/>
    <n v="150"/>
    <n v="0"/>
    <n v="0"/>
    <m/>
    <m/>
    <m/>
    <m/>
    <n v="150"/>
    <n v="0"/>
    <n v="46444.588997470855"/>
  </r>
  <r>
    <d v="2026-02-06T00:00:00"/>
    <x v="4"/>
    <s v="PİLAVLIK BULGUR"/>
    <m/>
    <x v="1"/>
    <s v="ST00000001114"/>
    <s v="SATIŞ"/>
    <s v="NAKİT"/>
    <n v="1"/>
    <n v="65"/>
    <n v="0"/>
    <n v="0"/>
    <m/>
    <m/>
    <m/>
    <m/>
    <n v="65"/>
    <n v="0"/>
    <n v="46509.588997470855"/>
  </r>
  <r>
    <d v="2026-02-06T00:00:00"/>
    <x v="4"/>
    <s v="SALÇA TATLI (EV YAPIMI)"/>
    <m/>
    <x v="1"/>
    <s v="ST00000001114"/>
    <s v="SATIŞ"/>
    <s v="NAKİT"/>
    <n v="1"/>
    <n v="200"/>
    <n v="0"/>
    <n v="0"/>
    <m/>
    <m/>
    <m/>
    <m/>
    <n v="200"/>
    <n v="0"/>
    <n v="46709.588997470855"/>
  </r>
  <r>
    <d v="2026-02-06T00:00:00"/>
    <x v="4"/>
    <s v="DOLMALIK KURU PATLICAN"/>
    <m/>
    <x v="5"/>
    <s v="ST00000001115"/>
    <s v="SATIŞ"/>
    <s v="POS"/>
    <n v="1"/>
    <n v="250"/>
    <n v="250"/>
    <n v="0"/>
    <m/>
    <m/>
    <m/>
    <m/>
    <n v="0"/>
    <n v="0"/>
    <n v="46709.588997470855"/>
  </r>
  <r>
    <d v="2026-02-06T00:00:00"/>
    <x v="4"/>
    <s v="İZMİR ÜZÜMÜ"/>
    <m/>
    <x v="1"/>
    <s v="ST00000001116"/>
    <s v="SATIŞ"/>
    <s v="NAKİT"/>
    <n v="0.4"/>
    <n v="250"/>
    <n v="0"/>
    <n v="0"/>
    <m/>
    <m/>
    <m/>
    <m/>
    <n v="100"/>
    <n v="0"/>
    <n v="46809.588997470855"/>
  </r>
  <r>
    <d v="2026-02-06T00:00:00"/>
    <x v="4"/>
    <s v="ŞİFAVER GÜL HATAY SABUNU"/>
    <m/>
    <x v="1"/>
    <s v="ST00000001117"/>
    <s v="SATIŞ"/>
    <s v="NAKİT"/>
    <n v="1"/>
    <n v="40"/>
    <n v="0"/>
    <n v="0"/>
    <m/>
    <m/>
    <m/>
    <m/>
    <n v="40"/>
    <n v="0"/>
    <n v="46849.588997470855"/>
  </r>
  <r>
    <d v="2026-02-06T00:00:00"/>
    <x v="4"/>
    <s v="AÇIK KAYISI İRİ (SARI)"/>
    <m/>
    <x v="1"/>
    <s v="ST00000001118"/>
    <s v="SATIŞ"/>
    <s v="NAKİT"/>
    <n v="0.51"/>
    <n v="690"/>
    <n v="0"/>
    <n v="0"/>
    <m/>
    <m/>
    <m/>
    <m/>
    <n v="351.90000000000003"/>
    <n v="0"/>
    <n v="47201.488997470857"/>
  </r>
  <r>
    <d v="2026-02-06T00:00:00"/>
    <x v="4"/>
    <s v="İPEK BİBER"/>
    <m/>
    <x v="1"/>
    <s v="ST00000001118"/>
    <s v="SATIŞ"/>
    <s v="NAKİT"/>
    <n v="0.2"/>
    <n v="500"/>
    <n v="0"/>
    <n v="0"/>
    <m/>
    <m/>
    <m/>
    <m/>
    <n v="100"/>
    <n v="0"/>
    <n v="47301.488997470857"/>
  </r>
  <r>
    <d v="2026-02-06T00:00:00"/>
    <x v="4"/>
    <s v="İRİ BEYAZ KABAK ÇEKİRDEĞİ - NEVŞEHİR"/>
    <m/>
    <x v="1"/>
    <s v="ST00000001118"/>
    <s v="SATIŞ"/>
    <s v="NAKİT"/>
    <n v="0.28000000000000003"/>
    <n v="358"/>
    <n v="0"/>
    <n v="0"/>
    <m/>
    <m/>
    <m/>
    <m/>
    <n v="100.24000000000001"/>
    <n v="0"/>
    <n v="47401.728997470855"/>
  </r>
  <r>
    <d v="2026-02-06T00:00:00"/>
    <x v="4"/>
    <s v="BİBERİYE"/>
    <m/>
    <x v="1"/>
    <s v="ST00000001119"/>
    <s v="SATIŞ"/>
    <s v="NAKİT"/>
    <n v="0.1"/>
    <n v="1400"/>
    <n v="0"/>
    <n v="0"/>
    <m/>
    <m/>
    <m/>
    <m/>
    <n v="140"/>
    <n v="0"/>
    <n v="47541.728997470855"/>
  </r>
  <r>
    <d v="2026-02-06T00:00:00"/>
    <x v="4"/>
    <s v="CLASY CARE AYAK VE TOPUK ÇATLAK KREMİ 100 ML"/>
    <m/>
    <x v="1"/>
    <s v="ST00000001119"/>
    <s v="SATIŞ"/>
    <s v="NAKİT"/>
    <n v="1"/>
    <n v="250"/>
    <n v="0"/>
    <n v="0"/>
    <m/>
    <m/>
    <m/>
    <m/>
    <n v="250"/>
    <n v="0"/>
    <n v="47791.728997470855"/>
  </r>
  <r>
    <d v="2026-02-06T00:00:00"/>
    <x v="4"/>
    <s v="DERME GÜN KURUSU KAYISI JUMBO"/>
    <m/>
    <x v="5"/>
    <s v="ST00000001120"/>
    <s v="SATIŞ"/>
    <s v="POS"/>
    <n v="0.42199999999999999"/>
    <n v="950"/>
    <n v="400.9"/>
    <n v="0"/>
    <m/>
    <m/>
    <m/>
    <m/>
    <n v="0"/>
    <n v="0"/>
    <n v="47791.728997470855"/>
  </r>
  <r>
    <d v="2026-02-06T00:00:00"/>
    <x v="4"/>
    <s v="KARIŞIK KURUYEMİŞ"/>
    <m/>
    <x v="5"/>
    <s v="ST00000001120"/>
    <s v="SATIŞ"/>
    <s v="POS"/>
    <n v="0.48"/>
    <n v="850"/>
    <n v="408"/>
    <n v="0"/>
    <m/>
    <m/>
    <m/>
    <m/>
    <n v="0"/>
    <n v="0"/>
    <n v="47791.728997470855"/>
  </r>
  <r>
    <d v="2026-02-06T00:00:00"/>
    <x v="4"/>
    <s v="SOSLU MISIR YERLİ"/>
    <m/>
    <x v="5"/>
    <s v="ST00000001120"/>
    <s v="SATIŞ"/>
    <s v="POS"/>
    <n v="0.218"/>
    <n v="200"/>
    <n v="43.6"/>
    <n v="0"/>
    <m/>
    <m/>
    <m/>
    <m/>
    <n v="0"/>
    <n v="0"/>
    <n v="47791.728997470855"/>
  </r>
  <r>
    <d v="2026-02-06T00:00:00"/>
    <x v="4"/>
    <s v="FINDIK İÇİ ÇİĞ"/>
    <m/>
    <x v="5"/>
    <s v="ST00000001120"/>
    <s v="SATIŞ"/>
    <s v="POS"/>
    <n v="0.2"/>
    <n v="1000"/>
    <n v="200"/>
    <n v="0"/>
    <m/>
    <m/>
    <m/>
    <m/>
    <n v="0"/>
    <n v="0"/>
    <n v="47791.728997470855"/>
  </r>
  <r>
    <d v="2026-02-06T00:00:00"/>
    <x v="4"/>
    <s v="DOLMALIK KURU PATLICAN"/>
    <m/>
    <x v="1"/>
    <s v="ST00000001121"/>
    <s v="SATIŞ"/>
    <s v="NAKİT"/>
    <n v="1"/>
    <n v="200"/>
    <n v="0"/>
    <n v="0"/>
    <m/>
    <m/>
    <m/>
    <m/>
    <n v="200"/>
    <n v="0"/>
    <n v="47991.728997470855"/>
  </r>
  <r>
    <d v="2026-02-06T00:00:00"/>
    <x v="4"/>
    <s v="YENİ MAHSÜL PAPATYA"/>
    <m/>
    <x v="1"/>
    <s v="ST00000001121"/>
    <s v="SATIŞ"/>
    <s v="NAKİT"/>
    <n v="0.05"/>
    <n v="1000"/>
    <n v="0"/>
    <n v="0"/>
    <m/>
    <m/>
    <m/>
    <m/>
    <n v="50"/>
    <n v="0"/>
    <n v="48041.728997470855"/>
  </r>
  <r>
    <d v="2026-02-06T00:00:00"/>
    <x v="10"/>
    <m/>
    <m/>
    <x v="5"/>
    <m/>
    <s v="POS ÇÖZÜMÜ"/>
    <s v="POS"/>
    <n v="1"/>
    <n v="850"/>
    <n v="0"/>
    <n v="850"/>
    <m/>
    <m/>
    <m/>
    <m/>
    <n v="850"/>
    <n v="0"/>
    <n v="48891.728997470855"/>
  </r>
  <r>
    <d v="2026-02-06T00:00:00"/>
    <x v="10"/>
    <m/>
    <m/>
    <x v="5"/>
    <m/>
    <s v="POS ÇÖZÜMÜ"/>
    <s v="POS"/>
    <n v="1"/>
    <n v="600"/>
    <n v="0"/>
    <n v="600"/>
    <m/>
    <m/>
    <m/>
    <m/>
    <n v="600"/>
    <n v="0"/>
    <n v="49491.728997470855"/>
  </r>
  <r>
    <d v="2026-02-07T00:00:00"/>
    <x v="3"/>
    <s v="DOLMALIK SARI BİBER"/>
    <m/>
    <x v="3"/>
    <n v="2253"/>
    <s v="YALÇINTAT BAHARAT LTD."/>
    <s v="CARİ"/>
    <n v="100"/>
    <n v="140"/>
    <n v="0"/>
    <n v="14000"/>
    <m/>
    <m/>
    <m/>
    <m/>
    <n v="0"/>
    <n v="0"/>
    <n v="49491.728997470855"/>
  </r>
  <r>
    <d v="2026-02-07T00:00:00"/>
    <x v="3"/>
    <s v="DOLMALIK KURU PATLICAN"/>
    <m/>
    <x v="3"/>
    <n v="2253"/>
    <s v="YALÇINTAT BAHARAT LTD."/>
    <s v="CARİ"/>
    <n v="100"/>
    <n v="155"/>
    <n v="0"/>
    <n v="15500"/>
    <m/>
    <m/>
    <m/>
    <m/>
    <n v="0"/>
    <n v="0"/>
    <n v="49491.728997470855"/>
  </r>
  <r>
    <d v="2026-02-07T00:00:00"/>
    <x v="3"/>
    <s v="SUMAK ÖZEL"/>
    <m/>
    <x v="3"/>
    <n v="2253"/>
    <s v="YALÇINTAT BAHARAT LTD."/>
    <s v="CARİ"/>
    <n v="25"/>
    <n v="260"/>
    <n v="0"/>
    <n v="6500"/>
    <m/>
    <m/>
    <m/>
    <m/>
    <n v="0"/>
    <n v="0"/>
    <n v="49491.728997470855"/>
  </r>
  <r>
    <d v="2026-02-07T00:00:00"/>
    <x v="3"/>
    <s v="EVLİK BİBER"/>
    <m/>
    <x v="3"/>
    <n v="2253"/>
    <s v="YALÇINTAT BAHARAT LTD."/>
    <s v="CARİ"/>
    <n v="25"/>
    <n v="170"/>
    <n v="0"/>
    <n v="4250"/>
    <m/>
    <m/>
    <m/>
    <m/>
    <n v="0"/>
    <n v="0"/>
    <n v="49491.728997470855"/>
  </r>
  <r>
    <d v="2026-02-07T00:00:00"/>
    <x v="3"/>
    <s v="İPEK BİBER"/>
    <m/>
    <x v="3"/>
    <n v="2253"/>
    <s v="YALÇINTAT BAHARAT LTD."/>
    <s v="CARİ"/>
    <n v="20"/>
    <n v="260"/>
    <n v="0"/>
    <n v="5200"/>
    <m/>
    <m/>
    <m/>
    <m/>
    <n v="0"/>
    <n v="0"/>
    <n v="49491.728997470855"/>
  </r>
  <r>
    <d v="2026-02-07T00:00:00"/>
    <x v="3"/>
    <s v="SALÇA TATLI (EV YAPIMI)"/>
    <m/>
    <x v="3"/>
    <n v="2253"/>
    <s v="YALÇINTAT BAHARAT LTD."/>
    <s v="CARİ"/>
    <n v="96.75"/>
    <n v="98.191199999999995"/>
    <n v="0"/>
    <n v="9499.998599999999"/>
    <m/>
    <m/>
    <m/>
    <m/>
    <n v="0"/>
    <n v="0"/>
    <n v="49491.728997470855"/>
  </r>
  <r>
    <d v="2026-02-07T00:00:00"/>
    <x v="3"/>
    <s v="SALÇA ACI (EV YAPIMI)"/>
    <m/>
    <x v="3"/>
    <n v="2253"/>
    <s v="YALÇINTAT BAHARAT LTD."/>
    <s v="CARİ"/>
    <n v="96.75"/>
    <n v="98.191199999999995"/>
    <n v="0"/>
    <n v="9499.998599999999"/>
    <m/>
    <m/>
    <m/>
    <m/>
    <n v="0"/>
    <n v="0"/>
    <n v="49491.728997470855"/>
  </r>
  <r>
    <d v="2026-02-07T00:00:00"/>
    <x v="3"/>
    <s v="DOMATES SALÇASI"/>
    <m/>
    <x v="3"/>
    <n v="2253"/>
    <s v="YALÇINTAT BAHARAT LTD."/>
    <s v="CARİ"/>
    <n v="193.5"/>
    <n v="62.015500000000003"/>
    <n v="0"/>
    <n v="11999.999250000001"/>
    <m/>
    <m/>
    <m/>
    <m/>
    <n v="0"/>
    <n v="0"/>
    <n v="49491.728997470855"/>
  </r>
  <r>
    <d v="2026-02-07T00:00:00"/>
    <x v="4"/>
    <s v="DUT KURUSU ESMER"/>
    <m/>
    <x v="1"/>
    <s v="ST00000001122"/>
    <s v="SATIŞ"/>
    <s v="NAKİT"/>
    <n v="0.5"/>
    <n v="450"/>
    <n v="0"/>
    <n v="0"/>
    <m/>
    <m/>
    <m/>
    <m/>
    <n v="225"/>
    <n v="0"/>
    <n v="49716.728997470855"/>
  </r>
  <r>
    <d v="2026-02-07T00:00:00"/>
    <x v="4"/>
    <s v="SALÇA TATLI (EV YAPIMI)"/>
    <m/>
    <x v="1"/>
    <s v="ST00000001122"/>
    <s v="SATIŞ"/>
    <s v="NAKİT"/>
    <n v="5"/>
    <n v="200"/>
    <n v="0"/>
    <n v="0"/>
    <m/>
    <m/>
    <m/>
    <m/>
    <n v="1000"/>
    <n v="0"/>
    <n v="50716.728997470855"/>
  </r>
  <r>
    <d v="2026-02-07T00:00:00"/>
    <x v="4"/>
    <s v="KÖFTELİK BULGUR"/>
    <m/>
    <x v="1"/>
    <s v="ST00000001122"/>
    <s v="SATIŞ"/>
    <s v="NAKİT"/>
    <n v="1.0149999999999999"/>
    <n v="65"/>
    <n v="0"/>
    <n v="0"/>
    <m/>
    <m/>
    <m/>
    <m/>
    <n v="65.974999999999994"/>
    <n v="0"/>
    <n v="50782.703997470853"/>
  </r>
  <r>
    <d v="2026-02-07T00:00:00"/>
    <x v="4"/>
    <s v="KÖFTELİK BULGUR"/>
    <m/>
    <x v="1"/>
    <s v="ST00000001122"/>
    <s v="SATIŞ"/>
    <s v="NAKİT"/>
    <n v="1.0149999999999999"/>
    <n v="65"/>
    <n v="0"/>
    <n v="0"/>
    <m/>
    <m/>
    <m/>
    <m/>
    <n v="65.974999999999994"/>
    <n v="0"/>
    <n v="50848.678997470852"/>
  </r>
  <r>
    <d v="2026-02-07T00:00:00"/>
    <x v="4"/>
    <s v="NBN DAĞ İNCİRİ"/>
    <m/>
    <x v="1"/>
    <s v="ST00000001122"/>
    <s v="SATIŞ"/>
    <s v="NAKİT"/>
    <n v="0.51200000000000001"/>
    <n v="800"/>
    <n v="0"/>
    <n v="0"/>
    <m/>
    <m/>
    <m/>
    <m/>
    <n v="409.6"/>
    <n v="0"/>
    <n v="51258.27899747085"/>
  </r>
  <r>
    <d v="2026-02-07T00:00:00"/>
    <x v="4"/>
    <s v="KÖFTE BAHARATI (YEDİTÜRLÜ)"/>
    <m/>
    <x v="1"/>
    <s v="ST00000001122"/>
    <s v="SATIŞ"/>
    <s v="NAKİT"/>
    <n v="0.1"/>
    <n v="410"/>
    <n v="0"/>
    <n v="0"/>
    <m/>
    <m/>
    <m/>
    <m/>
    <n v="41"/>
    <n v="0"/>
    <n v="51299.27899747085"/>
  </r>
  <r>
    <d v="2026-02-07T00:00:00"/>
    <x v="4"/>
    <s v="KAFFKA MENENGİÇ KAHVESİ 150 GR"/>
    <m/>
    <x v="1"/>
    <s v="ST00000001122"/>
    <s v="SATIŞ"/>
    <s v="NAKİT"/>
    <n v="1"/>
    <n v="65"/>
    <n v="0"/>
    <n v="0"/>
    <m/>
    <m/>
    <m/>
    <m/>
    <n v="65"/>
    <n v="0"/>
    <n v="51364.27899747085"/>
  </r>
  <r>
    <d v="2026-02-07T00:00:00"/>
    <x v="4"/>
    <s v="AYÇEKİRDEĞİ DAKOTA TUZLU EKSTRA"/>
    <m/>
    <x v="1"/>
    <s v="ST00000001122"/>
    <s v="SATIŞ"/>
    <s v="NAKİT"/>
    <n v="0.52800000000000002"/>
    <n v="230"/>
    <n v="0"/>
    <n v="0"/>
    <m/>
    <m/>
    <m/>
    <m/>
    <n v="121.44000000000001"/>
    <n v="0"/>
    <n v="51485.718997470853"/>
  </r>
  <r>
    <d v="2026-02-07T00:00:00"/>
    <x v="4"/>
    <s v="AYÇEKİRDEĞİ DAKOTA TUZSUZ EKSTRA"/>
    <m/>
    <x v="1"/>
    <s v="ST00000001122"/>
    <s v="SATIŞ"/>
    <s v="NAKİT"/>
    <n v="0.26400000000000001"/>
    <n v="230"/>
    <n v="0"/>
    <n v="0"/>
    <m/>
    <m/>
    <m/>
    <m/>
    <n v="60.720000000000006"/>
    <n v="0"/>
    <n v="51546.438997470854"/>
  </r>
  <r>
    <d v="2026-02-07T00:00:00"/>
    <x v="4"/>
    <s v="İRİ BEYAZ KABAK ÇEKİRDEĞİ - NEVŞEHİR"/>
    <m/>
    <x v="1"/>
    <s v="ST00000001122"/>
    <s v="SATIŞ"/>
    <s v="NAKİT"/>
    <n v="0.27800000000000002"/>
    <n v="430"/>
    <n v="0"/>
    <n v="0"/>
    <m/>
    <m/>
    <m/>
    <m/>
    <n v="119.54"/>
    <n v="0"/>
    <n v="51665.978997470855"/>
  </r>
  <r>
    <d v="2026-02-07T00:00:00"/>
    <x v="4"/>
    <s v="SUSAM"/>
    <m/>
    <x v="1"/>
    <s v="ST00000001122"/>
    <s v="SATIŞ"/>
    <s v="NAKİT"/>
    <n v="2"/>
    <n v="300"/>
    <n v="0"/>
    <n v="0"/>
    <m/>
    <m/>
    <m/>
    <m/>
    <n v="600"/>
    <n v="0"/>
    <n v="52265.978997470855"/>
  </r>
  <r>
    <d v="2026-02-07T00:00:00"/>
    <x v="4"/>
    <s v="ÇAVUŞOĞLU ÜZÜM PEKMEZİ 1000 GR"/>
    <m/>
    <x v="5"/>
    <s v="ST00000001123"/>
    <s v="SATIŞ"/>
    <s v="POS"/>
    <n v="1"/>
    <n v="205"/>
    <n v="205"/>
    <n v="0"/>
    <m/>
    <m/>
    <m/>
    <m/>
    <n v="0"/>
    <n v="0"/>
    <n v="52265.978997470855"/>
  </r>
  <r>
    <d v="2026-02-07T00:00:00"/>
    <x v="4"/>
    <s v="ZÜHRE ANA KARADUT ÖZÜ 670 GR"/>
    <m/>
    <x v="5"/>
    <s v="ST00000001123"/>
    <s v="SATIŞ"/>
    <s v="POS"/>
    <n v="1"/>
    <n v="220"/>
    <n v="220"/>
    <n v="0"/>
    <m/>
    <m/>
    <m/>
    <m/>
    <n v="0"/>
    <n v="0"/>
    <n v="52265.978997470855"/>
  </r>
  <r>
    <d v="2026-02-07T00:00:00"/>
    <x v="4"/>
    <s v="KORİ (TAVUK BAHARATI)"/>
    <m/>
    <x v="5"/>
    <s v="ST00000001123"/>
    <s v="SATIŞ"/>
    <s v="POS"/>
    <n v="0.05"/>
    <n v="140"/>
    <n v="7"/>
    <n v="0"/>
    <m/>
    <m/>
    <m/>
    <m/>
    <n v="0"/>
    <n v="0"/>
    <n v="52265.978997470855"/>
  </r>
  <r>
    <d v="2026-02-07T00:00:00"/>
    <x v="4"/>
    <s v="TOZ BİBER - TATLI"/>
    <m/>
    <x v="5"/>
    <s v="ST00000001123"/>
    <s v="SATIŞ"/>
    <s v="POS"/>
    <n v="9.6000000000000002E-2"/>
    <n v="400"/>
    <n v="38.4"/>
    <n v="0"/>
    <m/>
    <m/>
    <m/>
    <m/>
    <n v="0"/>
    <n v="0"/>
    <n v="52265.978997470855"/>
  </r>
  <r>
    <d v="2026-02-07T00:00:00"/>
    <x v="4"/>
    <s v="NANE İRİ"/>
    <m/>
    <x v="5"/>
    <s v="ST00000001123"/>
    <s v="SATIŞ"/>
    <s v="POS"/>
    <n v="4.5999999999999999E-2"/>
    <n v="400"/>
    <n v="18.399999999999999"/>
    <n v="0"/>
    <m/>
    <m/>
    <m/>
    <m/>
    <n v="0"/>
    <n v="0"/>
    <n v="52265.978997470855"/>
  </r>
  <r>
    <d v="2026-02-07T00:00:00"/>
    <x v="4"/>
    <s v="SUMAK"/>
    <m/>
    <x v="5"/>
    <s v="ST00000001123"/>
    <s v="SATIŞ"/>
    <s v="POS"/>
    <n v="0.14799999999999999"/>
    <n v="500"/>
    <n v="74"/>
    <n v="0"/>
    <m/>
    <m/>
    <m/>
    <m/>
    <n v="0"/>
    <n v="0"/>
    <n v="52265.978997470855"/>
  </r>
  <r>
    <d v="2026-02-07T00:00:00"/>
    <x v="4"/>
    <s v="AŞURELİK BUĞDAY İZMİR"/>
    <m/>
    <x v="5"/>
    <s v="ST00000001123"/>
    <s v="SATIŞ"/>
    <s v="POS"/>
    <n v="0.5"/>
    <n v="50"/>
    <n v="25"/>
    <n v="0"/>
    <m/>
    <m/>
    <m/>
    <m/>
    <n v="0"/>
    <n v="0"/>
    <n v="52265.978997470855"/>
  </r>
  <r>
    <d v="2026-02-07T00:00:00"/>
    <x v="4"/>
    <s v="CEVİZLİ SUCUK ATOM (ESMER)"/>
    <m/>
    <x v="5"/>
    <s v="ST00000001123"/>
    <s v="SATIŞ"/>
    <s v="POS"/>
    <n v="0.39400000000000002"/>
    <n v="340"/>
    <n v="133.96"/>
    <n v="0"/>
    <m/>
    <m/>
    <m/>
    <m/>
    <n v="0"/>
    <n v="0"/>
    <n v="52265.978997470855"/>
  </r>
  <r>
    <d v="2026-02-07T00:00:00"/>
    <x v="4"/>
    <s v="DOMATES SALÇASI"/>
    <m/>
    <x v="5"/>
    <s v="ST00000001123"/>
    <s v="SATIŞ"/>
    <s v="POS"/>
    <n v="1"/>
    <n v="150"/>
    <n v="150"/>
    <n v="0"/>
    <m/>
    <m/>
    <m/>
    <m/>
    <n v="0"/>
    <n v="0"/>
    <n v="52265.978997470855"/>
  </r>
  <r>
    <d v="2026-02-07T00:00:00"/>
    <x v="4"/>
    <s v="DENİZ ÇİKOLATA KAPLAMALI PİŞMANİYE"/>
    <m/>
    <x v="5"/>
    <s v="ST00000001123"/>
    <s v="SATIŞ"/>
    <s v="POS"/>
    <n v="1"/>
    <n v="90"/>
    <n v="90"/>
    <n v="0"/>
    <m/>
    <m/>
    <m/>
    <m/>
    <n v="0"/>
    <n v="0"/>
    <n v="52265.978997470855"/>
  </r>
  <r>
    <d v="2026-02-07T00:00:00"/>
    <x v="4"/>
    <s v="KABUKLU CEVİZ (YERLİ)"/>
    <m/>
    <x v="5"/>
    <s v="ST00000001123"/>
    <s v="SATIŞ"/>
    <s v="POS"/>
    <n v="1.1319999999999999"/>
    <n v="250"/>
    <n v="283"/>
    <n v="0"/>
    <m/>
    <m/>
    <m/>
    <m/>
    <n v="0"/>
    <n v="0"/>
    <n v="52265.978997470855"/>
  </r>
  <r>
    <d v="2026-02-07T00:00:00"/>
    <x v="4"/>
    <s v="AÇIK KAYISI İRİ (SARI)"/>
    <m/>
    <x v="5"/>
    <s v="ST00000001124"/>
    <s v="SATIŞ"/>
    <s v="POS"/>
    <n v="0.30434782608695654"/>
    <n v="690"/>
    <n v="210"/>
    <n v="0"/>
    <m/>
    <m/>
    <m/>
    <m/>
    <n v="0"/>
    <n v="0"/>
    <n v="52265.978997470855"/>
  </r>
  <r>
    <d v="2026-02-07T00:00:00"/>
    <x v="4"/>
    <s v="LEBLEBİ SARI ÖZEL LÜX ÇITIR"/>
    <m/>
    <x v="1"/>
    <s v="ST00000001125"/>
    <s v="SATIŞ"/>
    <s v="NAKİT"/>
    <n v="0.5"/>
    <n v="200"/>
    <n v="0"/>
    <n v="0"/>
    <m/>
    <m/>
    <m/>
    <m/>
    <n v="100"/>
    <n v="0"/>
    <n v="52365.978997470855"/>
  </r>
  <r>
    <d v="2026-02-07T00:00:00"/>
    <x v="4"/>
    <s v="KABUKLU CEVİZ (YERLİ)"/>
    <m/>
    <x v="1"/>
    <s v="ST00000001125"/>
    <s v="SATIŞ"/>
    <s v="NAKİT"/>
    <n v="1"/>
    <n v="250"/>
    <n v="0"/>
    <n v="0"/>
    <m/>
    <m/>
    <m/>
    <m/>
    <n v="250"/>
    <n v="0"/>
    <n v="52615.978997470855"/>
  </r>
  <r>
    <d v="2026-02-07T00:00:00"/>
    <x v="4"/>
    <s v="KABAK LİFLİ ALOEVERA SABUN"/>
    <m/>
    <x v="1"/>
    <s v="ST00000001125"/>
    <s v="SATIŞ"/>
    <s v="NAKİT"/>
    <n v="1"/>
    <n v="100"/>
    <n v="0"/>
    <n v="0"/>
    <m/>
    <m/>
    <m/>
    <m/>
    <n v="100"/>
    <n v="0"/>
    <n v="52715.978997470855"/>
  </r>
  <r>
    <d v="2026-02-07T00:00:00"/>
    <x v="4"/>
    <s v="LG ENGİNAR SUYU 1 LT"/>
    <m/>
    <x v="1"/>
    <s v="ST00000001126"/>
    <s v="SATIŞ"/>
    <s v="NAKİT"/>
    <n v="1"/>
    <n v="170"/>
    <n v="0"/>
    <n v="0"/>
    <m/>
    <m/>
    <m/>
    <m/>
    <n v="170"/>
    <n v="0"/>
    <n v="52885.978997470855"/>
  </r>
  <r>
    <d v="2026-02-07T00:00:00"/>
    <x v="4"/>
    <s v="KABUKLU CEVİZ (YERLİ)"/>
    <m/>
    <x v="1"/>
    <s v="ST00000001126"/>
    <s v="SATIŞ"/>
    <s v="NAKİT"/>
    <n v="1"/>
    <n v="250"/>
    <n v="0"/>
    <n v="0"/>
    <m/>
    <m/>
    <m/>
    <m/>
    <n v="250"/>
    <n v="0"/>
    <n v="53135.978997470855"/>
  </r>
  <r>
    <d v="2026-02-07T00:00:00"/>
    <x v="4"/>
    <s v="KUDÜS HURMASI"/>
    <m/>
    <x v="1"/>
    <s v="ST00000001126"/>
    <s v="SATIŞ"/>
    <s v="NAKİT"/>
    <n v="0.5"/>
    <n v="400"/>
    <n v="0"/>
    <n v="0"/>
    <m/>
    <m/>
    <m/>
    <m/>
    <n v="200"/>
    <n v="0"/>
    <n v="53335.978997470855"/>
  </r>
  <r>
    <d v="2026-02-07T00:00:00"/>
    <x v="4"/>
    <s v="EVLİK BİBER"/>
    <m/>
    <x v="1"/>
    <s v="ST00000001127"/>
    <s v="SATIŞ"/>
    <s v="NAKİT"/>
    <n v="0.125"/>
    <n v="400"/>
    <n v="0"/>
    <n v="0"/>
    <m/>
    <m/>
    <m/>
    <m/>
    <n v="50"/>
    <n v="0"/>
    <n v="53385.978997470855"/>
  </r>
  <r>
    <d v="2026-02-07T00:00:00"/>
    <x v="4"/>
    <s v="KARABİBER ÇEKİLMİŞ"/>
    <m/>
    <x v="1"/>
    <s v="ST00000001127"/>
    <s v="SATIŞ"/>
    <s v="NAKİT"/>
    <n v="0.10307692307692308"/>
    <n v="650"/>
    <n v="0"/>
    <n v="0"/>
    <m/>
    <m/>
    <m/>
    <m/>
    <n v="67"/>
    <n v="0"/>
    <n v="53452.978997470855"/>
  </r>
  <r>
    <d v="2026-02-07T00:00:00"/>
    <x v="4"/>
    <s v="DOLMALIK KURU PATLICAN"/>
    <m/>
    <x v="1"/>
    <s v="ST00000001128"/>
    <s v="SATIŞ"/>
    <s v="NAKİT"/>
    <n v="1"/>
    <n v="250"/>
    <n v="0"/>
    <n v="0"/>
    <m/>
    <m/>
    <m/>
    <m/>
    <n v="250"/>
    <n v="0"/>
    <n v="53702.978997470855"/>
  </r>
  <r>
    <d v="2026-02-07T00:00:00"/>
    <x v="4"/>
    <s v="BİZİM YAPRAK 1 LİK"/>
    <m/>
    <x v="5"/>
    <s v="ST00000001129"/>
    <s v="SATIŞ"/>
    <s v="POS"/>
    <n v="1"/>
    <n v="290"/>
    <n v="290"/>
    <n v="0"/>
    <m/>
    <m/>
    <m/>
    <m/>
    <n v="0"/>
    <n v="0"/>
    <n v="53702.978997470855"/>
  </r>
  <r>
    <d v="2026-02-07T00:00:00"/>
    <x v="4"/>
    <s v="DOLMALIK KURU PATLICAN"/>
    <m/>
    <x v="5"/>
    <s v="ST00000001129"/>
    <s v="SATIŞ"/>
    <s v="POS"/>
    <n v="1"/>
    <n v="250"/>
    <n v="250"/>
    <n v="0"/>
    <m/>
    <m/>
    <m/>
    <m/>
    <n v="0"/>
    <n v="0"/>
    <n v="53702.978997470855"/>
  </r>
  <r>
    <d v="2026-02-07T00:00:00"/>
    <x v="4"/>
    <s v="DOMATES SALÇASI"/>
    <m/>
    <x v="1"/>
    <s v="ST00000001130"/>
    <s v="SATIŞ"/>
    <s v="NAKİT"/>
    <n v="5"/>
    <n v="150"/>
    <n v="0"/>
    <n v="0"/>
    <m/>
    <m/>
    <m/>
    <m/>
    <n v="750"/>
    <n v="0"/>
    <n v="54452.978997470855"/>
  </r>
  <r>
    <d v="2026-02-07T00:00:00"/>
    <x v="4"/>
    <s v="SALÇA TATLI (EV YAPIMI)"/>
    <m/>
    <x v="1"/>
    <s v="ST00000001130"/>
    <s v="SATIŞ"/>
    <s v="NAKİT"/>
    <n v="5"/>
    <n v="200"/>
    <n v="0"/>
    <n v="0"/>
    <m/>
    <m/>
    <m/>
    <m/>
    <n v="1000"/>
    <n v="0"/>
    <n v="55452.978997470855"/>
  </r>
  <r>
    <d v="2026-02-07T00:00:00"/>
    <x v="4"/>
    <s v="SUMAK"/>
    <m/>
    <x v="1"/>
    <s v="ST00000001130"/>
    <s v="SATIŞ"/>
    <s v="NAKİT"/>
    <n v="0.1"/>
    <n v="500"/>
    <n v="0"/>
    <n v="0"/>
    <m/>
    <m/>
    <m/>
    <m/>
    <n v="50"/>
    <n v="0"/>
    <n v="55502.978997470855"/>
  </r>
  <r>
    <d v="2026-02-07T00:00:00"/>
    <x v="4"/>
    <s v="TÜRK KAHVESİ"/>
    <m/>
    <x v="5"/>
    <s v="ST00000001131"/>
    <s v="SATIŞ"/>
    <s v="POS"/>
    <n v="0.1"/>
    <n v="650"/>
    <n v="65"/>
    <n v="0"/>
    <m/>
    <m/>
    <m/>
    <m/>
    <n v="0"/>
    <n v="0"/>
    <n v="55502.978997470855"/>
  </r>
  <r>
    <d v="2026-02-07T00:00:00"/>
    <x v="4"/>
    <s v="KEKİK LÜX"/>
    <m/>
    <x v="5"/>
    <s v="ST00000001131"/>
    <s v="SATIŞ"/>
    <s v="POS"/>
    <n v="5.3999999999999999E-2"/>
    <n v="750"/>
    <n v="40.5"/>
    <n v="0"/>
    <m/>
    <m/>
    <m/>
    <m/>
    <n v="0"/>
    <n v="0"/>
    <n v="55502.978997470855"/>
  </r>
  <r>
    <d v="2026-02-07T00:00:00"/>
    <x v="4"/>
    <s v="NANE İRİ"/>
    <m/>
    <x v="5"/>
    <s v="ST00000001131"/>
    <s v="SATIŞ"/>
    <s v="POS"/>
    <n v="9.2499999999999999E-2"/>
    <n v="400"/>
    <n v="37"/>
    <n v="0"/>
    <m/>
    <m/>
    <m/>
    <m/>
    <n v="0"/>
    <n v="0"/>
    <n v="55502.978997470855"/>
  </r>
  <r>
    <d v="2026-02-07T00:00:00"/>
    <x v="4"/>
    <s v="TÜDAB ACUR TURŞUSU"/>
    <m/>
    <x v="1"/>
    <s v="ST00000001132"/>
    <s v="SATIŞ"/>
    <s v="NAKİT"/>
    <n v="1"/>
    <n v="350"/>
    <n v="0"/>
    <n v="0"/>
    <m/>
    <m/>
    <m/>
    <m/>
    <n v="350"/>
    <n v="0"/>
    <n v="55852.978997470855"/>
  </r>
  <r>
    <d v="2026-02-07T00:00:00"/>
    <x v="4"/>
    <s v="SUMAK TANE EKŞİLİ"/>
    <m/>
    <x v="1"/>
    <s v="ST00000001132"/>
    <s v="SATIŞ"/>
    <s v="NAKİT"/>
    <n v="0.6"/>
    <n v="500"/>
    <n v="0"/>
    <n v="0"/>
    <m/>
    <m/>
    <m/>
    <m/>
    <n v="300"/>
    <n v="0"/>
    <n v="56152.978997470855"/>
  </r>
  <r>
    <d v="2026-02-07T00:00:00"/>
    <x v="4"/>
    <s v="KARANFİL"/>
    <m/>
    <x v="1"/>
    <s v="ST00000001133"/>
    <s v="SATIŞ"/>
    <s v="NAKİT"/>
    <n v="0.05"/>
    <n v="1000"/>
    <n v="0"/>
    <n v="0"/>
    <m/>
    <m/>
    <m/>
    <m/>
    <n v="50"/>
    <n v="0"/>
    <n v="56202.978997470855"/>
  </r>
  <r>
    <d v="2026-02-07T00:00:00"/>
    <x v="4"/>
    <s v="KABUKLU CEVİZ (YERLİ)"/>
    <m/>
    <x v="5"/>
    <s v="ST00000001134"/>
    <s v="SATIŞ"/>
    <s v="POS"/>
    <n v="2.4"/>
    <n v="250"/>
    <n v="600"/>
    <n v="0"/>
    <m/>
    <m/>
    <m/>
    <m/>
    <n v="0"/>
    <n v="0"/>
    <n v="56202.978997470855"/>
  </r>
  <r>
    <d v="2026-02-07T00:00:00"/>
    <x v="4"/>
    <s v="İPEK BİBER"/>
    <m/>
    <x v="5"/>
    <s v="ST00000001134"/>
    <s v="SATIŞ"/>
    <s v="POS"/>
    <n v="0.21"/>
    <n v="500"/>
    <n v="105"/>
    <n v="0"/>
    <m/>
    <m/>
    <m/>
    <m/>
    <n v="0"/>
    <n v="0"/>
    <n v="56202.978997470855"/>
  </r>
  <r>
    <d v="2026-02-07T00:00:00"/>
    <x v="4"/>
    <s v="CEVİZLİ SUCUK ATOM (ESMER)"/>
    <m/>
    <x v="5"/>
    <s v="ST00000001134"/>
    <s v="SATIŞ"/>
    <s v="POS"/>
    <n v="0.39200000000000002"/>
    <n v="320"/>
    <n v="125.44"/>
    <n v="0"/>
    <m/>
    <m/>
    <m/>
    <m/>
    <n v="0"/>
    <n v="0"/>
    <n v="56202.978997470855"/>
  </r>
  <r>
    <d v="2026-02-07T00:00:00"/>
    <x v="4"/>
    <s v="NBN DAĞ İNCİRİ"/>
    <m/>
    <x v="5"/>
    <s v="ST00000001134"/>
    <s v="SATIŞ"/>
    <s v="POS"/>
    <n v="0.5"/>
    <n v="800"/>
    <n v="400"/>
    <n v="0"/>
    <m/>
    <m/>
    <m/>
    <m/>
    <n v="0"/>
    <n v="0"/>
    <n v="56202.978997470855"/>
  </r>
  <r>
    <d v="2026-02-07T00:00:00"/>
    <x v="4"/>
    <s v="SUMAK"/>
    <m/>
    <x v="1"/>
    <s v="ST00000001135"/>
    <s v="SATIŞ"/>
    <s v="NAKİT"/>
    <n v="0.1"/>
    <n v="500"/>
    <n v="0"/>
    <n v="0"/>
    <m/>
    <m/>
    <m/>
    <m/>
    <n v="50"/>
    <n v="0"/>
    <n v="56252.978997470855"/>
  </r>
  <r>
    <d v="2026-02-07T00:00:00"/>
    <x v="4"/>
    <s v="NANE İRİ"/>
    <m/>
    <x v="1"/>
    <s v="ST00000001136"/>
    <s v="SATIŞ"/>
    <s v="NAKİT"/>
    <n v="7.4999999999999997E-2"/>
    <n v="400"/>
    <n v="0"/>
    <n v="0"/>
    <m/>
    <m/>
    <m/>
    <m/>
    <n v="30"/>
    <n v="0"/>
    <n v="56282.978997470855"/>
  </r>
  <r>
    <d v="2026-02-07T00:00:00"/>
    <x v="4"/>
    <s v="HASEVLİK"/>
    <m/>
    <x v="1"/>
    <s v="ST00000001136"/>
    <s v="SATIŞ"/>
    <s v="NAKİT"/>
    <n v="0.23333333333333334"/>
    <n v="450"/>
    <n v="0"/>
    <n v="0"/>
    <m/>
    <m/>
    <m/>
    <m/>
    <n v="105"/>
    <n v="0"/>
    <n v="56387.978997470855"/>
  </r>
  <r>
    <d v="2026-02-07T00:00:00"/>
    <x v="4"/>
    <s v="KEKİK LÜX"/>
    <m/>
    <x v="1"/>
    <s v="ST00000001136"/>
    <s v="SATIŞ"/>
    <s v="NAKİT"/>
    <n v="6.6666666666666666E-2"/>
    <n v="750"/>
    <n v="0"/>
    <n v="0"/>
    <m/>
    <m/>
    <m/>
    <m/>
    <n v="50"/>
    <n v="0"/>
    <n v="56437.978997470855"/>
  </r>
  <r>
    <d v="2026-02-07T00:00:00"/>
    <x v="4"/>
    <s v="MEBRUM HURMA - SİYAH"/>
    <m/>
    <x v="5"/>
    <s v="ST00000001137"/>
    <s v="SATIŞ"/>
    <s v="POS"/>
    <n v="1"/>
    <n v="450"/>
    <n v="450"/>
    <n v="0"/>
    <m/>
    <m/>
    <m/>
    <m/>
    <n v="0"/>
    <n v="0"/>
    <n v="56437.978997470855"/>
  </r>
  <r>
    <d v="2026-02-07T00:00:00"/>
    <x v="4"/>
    <s v="CEVİZLİ SUCUK ATOM (ESMER)"/>
    <m/>
    <x v="1"/>
    <s v="ST00000001138"/>
    <s v="SATIŞ"/>
    <s v="NAKİT"/>
    <n v="0.32400000000000001"/>
    <n v="340"/>
    <n v="0"/>
    <n v="0"/>
    <m/>
    <m/>
    <m/>
    <m/>
    <n v="110.16"/>
    <n v="0"/>
    <n v="56548.138997470858"/>
  </r>
  <r>
    <d v="2026-02-07T00:00:00"/>
    <x v="4"/>
    <s v="CEVİZLİ SUCUK ATOM (ESMER)"/>
    <m/>
    <x v="1"/>
    <s v="ST00000001139"/>
    <s v="SATIŞ"/>
    <s v="NAKİT"/>
    <n v="0.41199999999999998"/>
    <n v="340"/>
    <n v="0"/>
    <n v="0"/>
    <m/>
    <m/>
    <m/>
    <m/>
    <n v="140.07999999999998"/>
    <n v="0"/>
    <n v="56688.21899747086"/>
  </r>
  <r>
    <d v="2026-02-07T00:00:00"/>
    <x v="4"/>
    <s v="TUZSUZ FISTIK 1 NO"/>
    <m/>
    <x v="1"/>
    <s v="ST00000001139"/>
    <s v="SATIŞ"/>
    <s v="NAKİT"/>
    <n v="0.25641025641025639"/>
    <n v="195"/>
    <n v="0"/>
    <n v="0"/>
    <m/>
    <m/>
    <m/>
    <m/>
    <n v="49.999999999999993"/>
    <n v="0"/>
    <n v="56738.21899747086"/>
  </r>
  <r>
    <d v="2026-02-07T00:00:00"/>
    <x v="4"/>
    <s v="DOLMALIK SARI BİBER"/>
    <m/>
    <x v="1"/>
    <s v="ST00000001140"/>
    <s v="SATIŞ"/>
    <s v="NAKİT"/>
    <n v="1"/>
    <n v="230"/>
    <n v="0"/>
    <n v="0"/>
    <m/>
    <m/>
    <m/>
    <m/>
    <n v="230"/>
    <n v="0"/>
    <n v="56968.21899747086"/>
  </r>
  <r>
    <d v="2026-02-07T00:00:00"/>
    <x v="4"/>
    <s v="DOLMALIK KURU PATLICAN"/>
    <m/>
    <x v="5"/>
    <s v="ST00000001141"/>
    <s v="SATIŞ"/>
    <s v="POS"/>
    <n v="1"/>
    <n v="250"/>
    <n v="250"/>
    <n v="0"/>
    <m/>
    <m/>
    <m/>
    <m/>
    <n v="0"/>
    <n v="0"/>
    <n v="56968.21899747086"/>
  </r>
  <r>
    <d v="2026-02-07T00:00:00"/>
    <x v="4"/>
    <s v="DOLMALIK SARI BİBER"/>
    <m/>
    <x v="5"/>
    <s v="ST00000001141"/>
    <s v="SATIŞ"/>
    <s v="POS"/>
    <n v="1"/>
    <n v="230"/>
    <n v="230"/>
    <n v="0"/>
    <m/>
    <m/>
    <m/>
    <m/>
    <n v="0"/>
    <n v="0"/>
    <n v="56968.21899747086"/>
  </r>
  <r>
    <d v="2026-02-07T00:00:00"/>
    <x v="4"/>
    <s v="DOLMALIK KURU PATLICAN"/>
    <m/>
    <x v="1"/>
    <s v="ST00000001142"/>
    <s v="SATIŞ"/>
    <s v="NAKİT"/>
    <n v="0.5"/>
    <n v="250"/>
    <n v="0"/>
    <n v="0"/>
    <m/>
    <m/>
    <m/>
    <m/>
    <n v="125"/>
    <n v="0"/>
    <n v="57093.21899747086"/>
  </r>
  <r>
    <d v="2026-02-07T00:00:00"/>
    <x v="4"/>
    <s v="DOLMALIK SARI BİBER"/>
    <m/>
    <x v="1"/>
    <s v="ST00000001142"/>
    <s v="SATIŞ"/>
    <s v="NAKİT"/>
    <n v="0.5"/>
    <n v="210"/>
    <n v="0"/>
    <n v="0"/>
    <m/>
    <m/>
    <m/>
    <m/>
    <n v="105"/>
    <n v="0"/>
    <n v="57198.21899747086"/>
  </r>
  <r>
    <d v="2026-02-07T00:00:00"/>
    <x v="4"/>
    <s v="DOLMALIK KURU TATLI KIRMIZI BİBER"/>
    <m/>
    <x v="1"/>
    <s v="ST00000001142"/>
    <s v="SATIŞ"/>
    <s v="NAKİT"/>
    <n v="1"/>
    <n v="200"/>
    <n v="0"/>
    <n v="0"/>
    <m/>
    <m/>
    <m/>
    <m/>
    <n v="200"/>
    <n v="0"/>
    <n v="57398.21899747086"/>
  </r>
  <r>
    <d v="2026-02-07T00:00:00"/>
    <x v="4"/>
    <s v="EL-RUHA ÇAY (AÇIK)"/>
    <m/>
    <x v="1"/>
    <s v="ST00000001142"/>
    <s v="SATIŞ"/>
    <s v="NAKİT"/>
    <n v="0.16666666666666666"/>
    <n v="600"/>
    <n v="0"/>
    <n v="0"/>
    <m/>
    <m/>
    <m/>
    <m/>
    <n v="100"/>
    <n v="0"/>
    <n v="57498.21899747086"/>
  </r>
  <r>
    <d v="2026-02-07T00:00:00"/>
    <x v="4"/>
    <s v="RUŞUR TAŞI"/>
    <m/>
    <x v="1"/>
    <s v="ST00000001142"/>
    <s v="SATIŞ"/>
    <s v="NAKİT"/>
    <n v="2"/>
    <n v="10"/>
    <n v="0"/>
    <n v="0"/>
    <m/>
    <m/>
    <m/>
    <m/>
    <n v="20"/>
    <n v="0"/>
    <n v="57518.21899747086"/>
  </r>
  <r>
    <d v="2026-02-07T00:00:00"/>
    <x v="4"/>
    <s v="MECİTEFENDİ AKTİF KARBONLU DOĞAL DİŞ MACUNU 75 ml"/>
    <m/>
    <x v="5"/>
    <s v="ST00000001143"/>
    <s v="SATIŞ"/>
    <s v="POS"/>
    <n v="1"/>
    <n v="135"/>
    <n v="135"/>
    <n v="0"/>
    <m/>
    <m/>
    <m/>
    <m/>
    <n v="0"/>
    <n v="0"/>
    <n v="57518.21899747086"/>
  </r>
  <r>
    <d v="2026-02-07T00:00:00"/>
    <x v="4"/>
    <s v="CEVİZLİ SUCUK ATOM (ESMER)"/>
    <m/>
    <x v="5"/>
    <s v="ST00000001143"/>
    <s v="SATIŞ"/>
    <s v="POS"/>
    <n v="0.203125"/>
    <n v="320"/>
    <n v="65"/>
    <n v="0"/>
    <m/>
    <m/>
    <m/>
    <m/>
    <n v="0"/>
    <n v="0"/>
    <n v="57518.21899747086"/>
  </r>
  <r>
    <d v="2026-02-07T00:00:00"/>
    <x v="4"/>
    <s v="ŞİFAVER KÜKÜRTLÜ HATAY SABUNU"/>
    <m/>
    <x v="1"/>
    <s v="ST00000001144"/>
    <s v="SATIŞ"/>
    <s v="NAKİT"/>
    <n v="1"/>
    <n v="50"/>
    <n v="0"/>
    <n v="0"/>
    <m/>
    <m/>
    <m/>
    <m/>
    <n v="50"/>
    <n v="0"/>
    <n v="57568.21899747086"/>
  </r>
  <r>
    <d v="2026-02-07T00:00:00"/>
    <x v="4"/>
    <s v="ŞİFAVER ZEYTİNYAĞLI HATAY SABUNU"/>
    <m/>
    <x v="1"/>
    <s v="ST00000001144"/>
    <s v="SATIŞ"/>
    <s v="NAKİT"/>
    <n v="1"/>
    <n v="50"/>
    <n v="0"/>
    <n v="0"/>
    <m/>
    <m/>
    <m/>
    <m/>
    <n v="50"/>
    <n v="0"/>
    <n v="57618.21899747086"/>
  </r>
  <r>
    <d v="2026-02-07T00:00:00"/>
    <x v="2"/>
    <m/>
    <s v="DEMİRBAŞ"/>
    <x v="2"/>
    <m/>
    <s v="NADİR ÇARŞI-SAKLAMA KABI - 5 BÜYÜK"/>
    <s v="K.K."/>
    <n v="1"/>
    <n v="880"/>
    <n v="0"/>
    <n v="880"/>
    <m/>
    <m/>
    <m/>
    <m/>
    <n v="0"/>
    <n v="0"/>
    <n v="57618.21899747086"/>
  </r>
  <r>
    <d v="2026-02-08T00:00:00"/>
    <x v="4"/>
    <s v="İSOT"/>
    <m/>
    <x v="1"/>
    <s v="ST00000001145"/>
    <s v="SATIŞ"/>
    <s v="NAKİT"/>
    <n v="0.25"/>
    <n v="400"/>
    <n v="0"/>
    <n v="0"/>
    <m/>
    <m/>
    <m/>
    <m/>
    <n v="100"/>
    <n v="0"/>
    <n v="57718.21899747086"/>
  </r>
  <r>
    <d v="2026-02-08T00:00:00"/>
    <x v="4"/>
    <s v="KARANFİL"/>
    <m/>
    <x v="1"/>
    <s v="ST00000001146"/>
    <s v="SATIŞ"/>
    <s v="NAKİT"/>
    <n v="0.05"/>
    <n v="1000"/>
    <n v="0"/>
    <n v="0"/>
    <m/>
    <m/>
    <m/>
    <m/>
    <n v="50"/>
    <n v="0"/>
    <n v="57768.21899747086"/>
  </r>
  <r>
    <d v="2026-02-08T00:00:00"/>
    <x v="4"/>
    <s v="ÇUBUK TARÇIN"/>
    <m/>
    <x v="1"/>
    <s v="ST00000001146"/>
    <s v="SATIŞ"/>
    <s v="NAKİT"/>
    <n v="0.1"/>
    <n v="500"/>
    <n v="0"/>
    <n v="0"/>
    <m/>
    <m/>
    <m/>
    <m/>
    <n v="50"/>
    <n v="0"/>
    <n v="57818.21899747086"/>
  </r>
  <r>
    <d v="2026-02-08T00:00:00"/>
    <x v="4"/>
    <s v="ŞİFAVER KÜKÜRTLÜ HATAY SABUNU"/>
    <m/>
    <x v="5"/>
    <s v="ST00000001147"/>
    <s v="SATIŞ"/>
    <s v="POS"/>
    <n v="1"/>
    <n v="50"/>
    <n v="50"/>
    <n v="0"/>
    <m/>
    <m/>
    <m/>
    <m/>
    <n v="0"/>
    <n v="0"/>
    <n v="57818.21899747086"/>
  </r>
  <r>
    <d v="2026-02-08T00:00:00"/>
    <x v="4"/>
    <s v="IHLAMUR YAPRAK"/>
    <m/>
    <x v="1"/>
    <s v="ST00000001148"/>
    <s v="SATIŞ"/>
    <s v="NAKİT"/>
    <n v="0.05"/>
    <n v="2600"/>
    <n v="0"/>
    <n v="0"/>
    <m/>
    <m/>
    <m/>
    <m/>
    <n v="130"/>
    <n v="0"/>
    <n v="57948.21899747086"/>
  </r>
  <r>
    <d v="2026-02-08T00:00:00"/>
    <x v="4"/>
    <s v="IHLAMUR ÇİÇEK EKSTRA"/>
    <m/>
    <x v="1"/>
    <s v="ST00000001148"/>
    <s v="SATIŞ"/>
    <s v="NAKİT"/>
    <n v="0.04"/>
    <n v="4500"/>
    <n v="0"/>
    <n v="0"/>
    <m/>
    <m/>
    <m/>
    <m/>
    <n v="180"/>
    <n v="0"/>
    <n v="58128.21899747086"/>
  </r>
  <r>
    <d v="2026-02-08T00:00:00"/>
    <x v="4"/>
    <s v="NBN DAĞ İNCİRİ"/>
    <m/>
    <x v="5"/>
    <s v="ST00000001149"/>
    <s v="SATIŞ"/>
    <s v="POS"/>
    <n v="0.5"/>
    <n v="800"/>
    <n v="400"/>
    <n v="0"/>
    <m/>
    <m/>
    <m/>
    <m/>
    <n v="0"/>
    <n v="0"/>
    <n v="58128.21899747086"/>
  </r>
  <r>
    <d v="2026-02-08T00:00:00"/>
    <x v="4"/>
    <s v="KUDÜS HURMASI"/>
    <m/>
    <x v="5"/>
    <s v="ST00000001149"/>
    <s v="SATIŞ"/>
    <s v="POS"/>
    <n v="0.5"/>
    <n v="400"/>
    <n v="200"/>
    <n v="0"/>
    <m/>
    <m/>
    <m/>
    <m/>
    <n v="0"/>
    <n v="0"/>
    <n v="58128.21899747086"/>
  </r>
  <r>
    <d v="2026-02-08T00:00:00"/>
    <x v="4"/>
    <s v="KABUKLU CEVİZ (YERLİ)"/>
    <m/>
    <x v="1"/>
    <s v="ST00000001150"/>
    <s v="SATIŞ"/>
    <s v="NAKİT"/>
    <n v="1"/>
    <n v="250"/>
    <n v="0"/>
    <n v="0"/>
    <m/>
    <m/>
    <m/>
    <m/>
    <n v="250"/>
    <n v="0"/>
    <n v="58378.21899747086"/>
  </r>
  <r>
    <d v="2026-02-08T00:00:00"/>
    <x v="4"/>
    <s v="LEBLEBİ ŞEKER RENKLİ"/>
    <m/>
    <x v="1"/>
    <s v="ST00000001150"/>
    <s v="SATIŞ"/>
    <s v="NAKİT"/>
    <n v="0.28260869565217389"/>
    <n v="230"/>
    <n v="0"/>
    <n v="0"/>
    <m/>
    <m/>
    <m/>
    <m/>
    <n v="65"/>
    <n v="0"/>
    <n v="58443.21899747086"/>
  </r>
  <r>
    <d v="2026-02-08T00:00:00"/>
    <x v="4"/>
    <s v="İZMİR ÜZÜMÜ"/>
    <m/>
    <x v="1"/>
    <s v="ST00000001151"/>
    <s v="SATIŞ"/>
    <s v="NAKİT"/>
    <n v="0.216"/>
    <n v="250"/>
    <n v="0"/>
    <n v="0"/>
    <m/>
    <m/>
    <m/>
    <m/>
    <n v="54"/>
    <n v="0"/>
    <n v="58497.21899747086"/>
  </r>
  <r>
    <d v="2026-02-08T00:00:00"/>
    <x v="4"/>
    <s v="AÇIK KAYISI İRİ (SARI)"/>
    <m/>
    <x v="1"/>
    <s v="ST00000001151"/>
    <s v="SATIŞ"/>
    <s v="NAKİT"/>
    <n v="0.33913043478260868"/>
    <n v="690"/>
    <n v="0"/>
    <n v="0"/>
    <m/>
    <m/>
    <m/>
    <m/>
    <n v="234"/>
    <n v="0"/>
    <n v="58731.21899747086"/>
  </r>
  <r>
    <d v="2026-02-08T00:00:00"/>
    <x v="4"/>
    <s v="PATLAK MISIR"/>
    <m/>
    <x v="1"/>
    <s v="ST00000001151"/>
    <s v="SATIŞ"/>
    <s v="NAKİT"/>
    <n v="0.5"/>
    <n v="60"/>
    <n v="0"/>
    <n v="0"/>
    <m/>
    <m/>
    <m/>
    <m/>
    <n v="30"/>
    <n v="0"/>
    <n v="58761.21899747086"/>
  </r>
  <r>
    <d v="2026-02-08T00:00:00"/>
    <x v="4"/>
    <s v="İNCİR KÜÇÜK"/>
    <m/>
    <x v="1"/>
    <s v="ST00000001151"/>
    <s v="SATIŞ"/>
    <s v="NAKİT"/>
    <n v="0.19298245614035087"/>
    <n v="570"/>
    <n v="0"/>
    <n v="0"/>
    <m/>
    <m/>
    <m/>
    <m/>
    <n v="110"/>
    <n v="0"/>
    <n v="58871.21899747086"/>
  </r>
  <r>
    <d v="2026-02-08T00:00:00"/>
    <x v="4"/>
    <s v="DOMATES SALÇASI"/>
    <m/>
    <x v="1"/>
    <s v="ST00000001151"/>
    <s v="SATIŞ"/>
    <s v="NAKİT"/>
    <n v="1"/>
    <n v="150"/>
    <n v="0"/>
    <n v="0"/>
    <m/>
    <m/>
    <m/>
    <m/>
    <n v="150"/>
    <n v="0"/>
    <n v="59021.21899747086"/>
  </r>
  <r>
    <d v="2026-02-08T00:00:00"/>
    <x v="4"/>
    <s v="KARANFİL"/>
    <m/>
    <x v="1"/>
    <s v="ST00000001152"/>
    <s v="SATIŞ"/>
    <s v="NAKİT"/>
    <n v="0.05"/>
    <n v="1000"/>
    <n v="0"/>
    <n v="0"/>
    <m/>
    <m/>
    <m/>
    <m/>
    <n v="50"/>
    <n v="0"/>
    <n v="59071.21899747086"/>
  </r>
  <r>
    <d v="2026-02-08T00:00:00"/>
    <x v="4"/>
    <s v="ÇUBUK TARÇIN"/>
    <m/>
    <x v="1"/>
    <s v="ST00000001152"/>
    <s v="SATIŞ"/>
    <s v="NAKİT"/>
    <n v="0.1"/>
    <n v="500"/>
    <n v="0"/>
    <n v="0"/>
    <m/>
    <m/>
    <m/>
    <m/>
    <n v="50"/>
    <n v="0"/>
    <n v="59121.21899747086"/>
  </r>
  <r>
    <d v="2026-02-08T00:00:00"/>
    <x v="4"/>
    <s v="DOMATES SALÇASI"/>
    <m/>
    <x v="1"/>
    <s v="ST00000001152"/>
    <s v="SATIŞ"/>
    <s v="NAKİT"/>
    <n v="1"/>
    <n v="150"/>
    <n v="0"/>
    <n v="0"/>
    <m/>
    <m/>
    <m/>
    <m/>
    <n v="150"/>
    <n v="0"/>
    <n v="59271.21899747086"/>
  </r>
  <r>
    <d v="2026-02-08T00:00:00"/>
    <x v="4"/>
    <s v="IHLAMUR YAPRAK"/>
    <m/>
    <x v="1"/>
    <s v="ST00000001153"/>
    <s v="SATIŞ"/>
    <s v="NAKİT"/>
    <n v="0.05"/>
    <n v="2600"/>
    <n v="0"/>
    <n v="0"/>
    <m/>
    <m/>
    <m/>
    <m/>
    <n v="130"/>
    <n v="0"/>
    <n v="59401.21899747086"/>
  </r>
  <r>
    <d v="2026-02-08T00:00:00"/>
    <x v="4"/>
    <s v="YALÇINKAYA ACI BİBER SALÇASI"/>
    <m/>
    <x v="1"/>
    <s v="ST00000001154"/>
    <s v="SATIŞ"/>
    <s v="NAKİT"/>
    <n v="1"/>
    <n v="200"/>
    <n v="0"/>
    <n v="0"/>
    <m/>
    <m/>
    <m/>
    <m/>
    <n v="200"/>
    <n v="0"/>
    <n v="59601.21899747086"/>
  </r>
  <r>
    <d v="2026-02-08T00:00:00"/>
    <x v="4"/>
    <s v="DOMATES SALÇASI"/>
    <m/>
    <x v="1"/>
    <s v="ST00000001155"/>
    <s v="SATIŞ"/>
    <s v="NAKİT"/>
    <n v="1"/>
    <n v="150"/>
    <n v="0"/>
    <n v="0"/>
    <m/>
    <m/>
    <m/>
    <m/>
    <n v="150"/>
    <n v="0"/>
    <n v="59751.21899747086"/>
  </r>
  <r>
    <d v="2026-02-08T00:00:00"/>
    <x v="4"/>
    <s v="NANE İRİ"/>
    <m/>
    <x v="1"/>
    <s v="ST00000001155"/>
    <s v="SATIŞ"/>
    <s v="NAKİT"/>
    <n v="4.5999999999999999E-2"/>
    <n v="400"/>
    <n v="0"/>
    <n v="0"/>
    <m/>
    <m/>
    <m/>
    <m/>
    <n v="18.399999999999999"/>
    <n v="0"/>
    <n v="59769.618997470861"/>
  </r>
  <r>
    <d v="2026-02-08T00:00:00"/>
    <x v="4"/>
    <s v="KEKİK LÜX"/>
    <m/>
    <x v="1"/>
    <s v="ST00000001155"/>
    <s v="SATIŞ"/>
    <s v="NAKİT"/>
    <n v="2.1999999999999999E-2"/>
    <n v="750"/>
    <n v="0"/>
    <n v="0"/>
    <m/>
    <m/>
    <m/>
    <m/>
    <n v="16.5"/>
    <n v="0"/>
    <n v="59786.118997470861"/>
  </r>
  <r>
    <d v="2026-02-08T00:00:00"/>
    <x v="4"/>
    <s v="AYÇEKİRDEĞİ DAKOTA TUZLU EKSTRA"/>
    <m/>
    <x v="1"/>
    <s v="ST00000001155"/>
    <s v="SATIŞ"/>
    <s v="NAKİT"/>
    <n v="0.26200000000000001"/>
    <n v="230"/>
    <n v="0"/>
    <n v="0"/>
    <m/>
    <m/>
    <m/>
    <m/>
    <n v="60.260000000000005"/>
    <n v="0"/>
    <n v="59846.378997470863"/>
  </r>
  <r>
    <d v="2026-02-08T00:00:00"/>
    <x v="4"/>
    <s v="AYÇEKİRDEĞİ DAKOTA TUZSUZ EKSTRA"/>
    <m/>
    <x v="1"/>
    <s v="ST00000001155"/>
    <s v="SATIŞ"/>
    <s v="NAKİT"/>
    <n v="0.26200000000000001"/>
    <n v="230"/>
    <n v="0"/>
    <n v="0"/>
    <m/>
    <m/>
    <m/>
    <m/>
    <n v="60.260000000000005"/>
    <n v="0"/>
    <n v="59906.638997470865"/>
  </r>
  <r>
    <d v="2026-02-08T00:00:00"/>
    <x v="4"/>
    <s v="MATCHA DETOX ÇAYI"/>
    <m/>
    <x v="1"/>
    <s v="ST00000001156"/>
    <s v="SATIŞ"/>
    <s v="NAKİT"/>
    <n v="1"/>
    <n v="190"/>
    <n v="0"/>
    <n v="0"/>
    <m/>
    <m/>
    <m/>
    <m/>
    <n v="190"/>
    <n v="0"/>
    <n v="60096.638997470865"/>
  </r>
  <r>
    <d v="2026-02-08T00:00:00"/>
    <x v="4"/>
    <s v="EVLİK BİBER"/>
    <m/>
    <x v="1"/>
    <s v="ST00000001156"/>
    <s v="SATIŞ"/>
    <s v="NAKİT"/>
    <n v="8.7499999999999994E-2"/>
    <n v="400"/>
    <n v="0"/>
    <n v="0"/>
    <m/>
    <m/>
    <m/>
    <m/>
    <n v="35"/>
    <n v="0"/>
    <n v="60131.638997470865"/>
  </r>
  <r>
    <d v="2026-02-08T00:00:00"/>
    <x v="4"/>
    <s v="KEKİK LÜX"/>
    <m/>
    <x v="1"/>
    <s v="ST00000001156"/>
    <s v="SATIŞ"/>
    <s v="NAKİT"/>
    <n v="0.06"/>
    <n v="750"/>
    <n v="0"/>
    <n v="0"/>
    <m/>
    <m/>
    <m/>
    <m/>
    <n v="45"/>
    <n v="0"/>
    <n v="60176.638997470865"/>
  </r>
  <r>
    <d v="2026-02-08T00:00:00"/>
    <x v="10"/>
    <m/>
    <m/>
    <x v="5"/>
    <m/>
    <s v="POS ÇÖZÜMÜ"/>
    <s v="POS"/>
    <n v="1"/>
    <n v="908"/>
    <n v="0"/>
    <n v="908"/>
    <n v="600"/>
    <m/>
    <m/>
    <m/>
    <n v="908"/>
    <n v="0"/>
    <n v="61084.638997470865"/>
  </r>
  <r>
    <d v="2026-02-08T00:00:00"/>
    <x v="10"/>
    <m/>
    <m/>
    <x v="5"/>
    <m/>
    <s v="POS ÇÖZÜMÜ"/>
    <s v="POS"/>
    <n v="1"/>
    <n v="1345"/>
    <n v="0"/>
    <n v="1345"/>
    <m/>
    <m/>
    <m/>
    <m/>
    <n v="1345"/>
    <n v="0"/>
    <n v="62429.638997470865"/>
  </r>
  <r>
    <d v="2026-02-09T00:00:00"/>
    <x v="3"/>
    <s v="AYÇEKİRDEĞİ DAKOTA TUZLU EKSTRA"/>
    <m/>
    <x v="4"/>
    <n v="997832"/>
    <s v="TÜDAB A.Ş."/>
    <s v="CARİ"/>
    <n v="3"/>
    <n v="130"/>
    <n v="0"/>
    <n v="390"/>
    <m/>
    <m/>
    <m/>
    <m/>
    <n v="0"/>
    <n v="0"/>
    <n v="62429.638997470865"/>
  </r>
  <r>
    <d v="2026-02-09T00:00:00"/>
    <x v="3"/>
    <s v="YALÇINKAYA DOMATES SALÇASI"/>
    <m/>
    <x v="4"/>
    <n v="997832"/>
    <s v="TÜDAB A.Ş."/>
    <s v="CARİ"/>
    <n v="19.350000000000001"/>
    <n v="74.94"/>
    <n v="0"/>
    <n v="1450.0890000000002"/>
    <m/>
    <m/>
    <m/>
    <m/>
    <n v="0"/>
    <n v="0"/>
    <n v="62429.638997470865"/>
  </r>
  <r>
    <d v="2026-02-09T00:00:00"/>
    <x v="3"/>
    <s v="YALÇINKAYA TATLI BİBER SALÇASI"/>
    <m/>
    <x v="4"/>
    <n v="997832"/>
    <s v="TÜDAB A.Ş."/>
    <s v="CARİ"/>
    <n v="19.350000000000001"/>
    <n v="95.61"/>
    <n v="0"/>
    <n v="1850.0535000000002"/>
    <m/>
    <m/>
    <m/>
    <m/>
    <n v="0"/>
    <n v="0"/>
    <n v="62429.638997470865"/>
  </r>
  <r>
    <d v="2026-02-09T00:00:00"/>
    <x v="3"/>
    <s v="NBN DAĞ İNCİRİ"/>
    <m/>
    <x v="4"/>
    <n v="997832"/>
    <s v="TÜDAB A.Ş."/>
    <s v="CARİ"/>
    <n v="5"/>
    <n v="600"/>
    <n v="0"/>
    <n v="3000"/>
    <m/>
    <m/>
    <m/>
    <m/>
    <n v="0"/>
    <n v="0"/>
    <n v="62429.638997470865"/>
  </r>
  <r>
    <d v="2026-02-09T00:00:00"/>
    <x v="3"/>
    <s v="KARBONAT"/>
    <m/>
    <x v="4"/>
    <n v="997832"/>
    <s v="TÜDAB A.Ş."/>
    <s v="CARİ"/>
    <n v="10"/>
    <n v="30"/>
    <n v="0"/>
    <n v="300"/>
    <m/>
    <m/>
    <m/>
    <m/>
    <n v="0"/>
    <n v="0"/>
    <n v="62429.638997470865"/>
  </r>
  <r>
    <d v="2026-02-09T00:00:00"/>
    <x v="3"/>
    <s v="MİSVAK KUTULU (HOLDER)"/>
    <m/>
    <x v="4"/>
    <n v="997832"/>
    <s v="TÜDAB A.Ş."/>
    <s v="CARİ"/>
    <n v="20"/>
    <n v="16.5"/>
    <n v="0"/>
    <n v="330"/>
    <m/>
    <m/>
    <m/>
    <m/>
    <n v="0"/>
    <n v="0"/>
    <n v="62429.638997470865"/>
  </r>
  <r>
    <d v="2026-02-09T00:00:00"/>
    <x v="3"/>
    <s v="NAHİTA ELMALI ENGİNAR SİRKESİ"/>
    <m/>
    <x v="4"/>
    <n v="997832"/>
    <s v="TÜDAB A.Ş."/>
    <s v="CARİ"/>
    <n v="6"/>
    <n v="95"/>
    <n v="0"/>
    <n v="570"/>
    <m/>
    <m/>
    <m/>
    <m/>
    <n v="0"/>
    <n v="0"/>
    <n v="62429.638997470865"/>
  </r>
  <r>
    <d v="2026-02-09T00:00:00"/>
    <x v="3"/>
    <s v="SOSLU MISIR YERLİ"/>
    <m/>
    <x v="4"/>
    <n v="997832"/>
    <s v="TÜDAB A.Ş."/>
    <s v="CARİ"/>
    <n v="3"/>
    <n v="145"/>
    <n v="0"/>
    <n v="435"/>
    <m/>
    <m/>
    <m/>
    <m/>
    <n v="0"/>
    <n v="0"/>
    <n v="62429.638997470865"/>
  </r>
  <r>
    <d v="2026-02-09T00:00:00"/>
    <x v="3"/>
    <s v="SUSAM SİMİTLİK"/>
    <m/>
    <x v="4"/>
    <n v="997832"/>
    <s v="TÜDAB A.Ş."/>
    <s v="CARİ"/>
    <n v="3"/>
    <n v="120"/>
    <n v="0"/>
    <n v="360"/>
    <m/>
    <m/>
    <m/>
    <m/>
    <n v="0"/>
    <n v="0"/>
    <n v="62429.638997470865"/>
  </r>
  <r>
    <d v="2026-02-09T00:00:00"/>
    <x v="3"/>
    <s v="KÖFTELİK BULGUR"/>
    <m/>
    <x v="4"/>
    <n v="997832"/>
    <s v="TÜDAB A.Ş."/>
    <s v="CARİ"/>
    <n v="15"/>
    <n v="39"/>
    <n v="0"/>
    <n v="585"/>
    <m/>
    <m/>
    <m/>
    <m/>
    <n v="0"/>
    <n v="0"/>
    <n v="62429.638997470865"/>
  </r>
  <r>
    <d v="2026-02-09T00:00:00"/>
    <x v="3"/>
    <s v="PİLAVLIK BULGUR"/>
    <m/>
    <x v="4"/>
    <n v="997832"/>
    <s v="TÜDAB A.Ş."/>
    <s v="CARİ"/>
    <n v="10"/>
    <n v="39"/>
    <n v="0"/>
    <n v="390"/>
    <m/>
    <m/>
    <m/>
    <m/>
    <n v="0"/>
    <n v="0"/>
    <n v="62429.638997470865"/>
  </r>
  <r>
    <d v="2026-02-09T00:00:00"/>
    <x v="3"/>
    <s v="FASILA İYOT DAMLASI"/>
    <m/>
    <x v="4"/>
    <n v="997832"/>
    <s v="TÜDAB A.Ş."/>
    <s v="CARİ"/>
    <n v="3"/>
    <n v="130"/>
    <n v="0"/>
    <n v="390"/>
    <m/>
    <m/>
    <m/>
    <m/>
    <n v="0"/>
    <n v="0"/>
    <n v="62429.638997470865"/>
  </r>
  <r>
    <d v="2026-02-09T00:00:00"/>
    <x v="3"/>
    <s v="ŞİFAVER KÜKÜRTLÜ HATAY SABUNU"/>
    <m/>
    <x v="4"/>
    <n v="997832"/>
    <s v="TÜDAB A.Ş."/>
    <s v="CARİ"/>
    <n v="16"/>
    <n v="21.4375"/>
    <n v="0"/>
    <n v="343"/>
    <m/>
    <m/>
    <m/>
    <m/>
    <n v="0"/>
    <n v="0"/>
    <n v="62429.638997470865"/>
  </r>
  <r>
    <d v="2026-02-09T00:00:00"/>
    <x v="4"/>
    <s v="KEKİK LÜX"/>
    <m/>
    <x v="5"/>
    <s v="ST00000001157"/>
    <s v="SATIŞ"/>
    <s v="POS"/>
    <n v="0.04"/>
    <n v="750"/>
    <n v="30"/>
    <n v="0"/>
    <m/>
    <m/>
    <m/>
    <m/>
    <n v="0"/>
    <n v="0"/>
    <n v="62429.638997470865"/>
  </r>
  <r>
    <d v="2026-02-09T00:00:00"/>
    <x v="4"/>
    <s v="İPEK BİBER"/>
    <m/>
    <x v="5"/>
    <s v="ST00000001157"/>
    <s v="SATIŞ"/>
    <s v="POS"/>
    <n v="0.2"/>
    <n v="500"/>
    <n v="100"/>
    <n v="0"/>
    <m/>
    <m/>
    <m/>
    <m/>
    <n v="0"/>
    <n v="0"/>
    <n v="62429.638997470865"/>
  </r>
  <r>
    <d v="2026-02-09T00:00:00"/>
    <x v="4"/>
    <s v="TÜDAB TURŞU BİBER"/>
    <m/>
    <x v="5"/>
    <s v="ST00000001158"/>
    <s v="SATIŞ"/>
    <s v="POS"/>
    <n v="3"/>
    <n v="350"/>
    <n v="1050"/>
    <n v="0"/>
    <m/>
    <m/>
    <m/>
    <m/>
    <n v="0"/>
    <n v="0"/>
    <n v="62429.638997470865"/>
  </r>
  <r>
    <d v="2026-02-09T00:00:00"/>
    <x v="4"/>
    <s v="DOLMALIK KURU PATLICAN"/>
    <m/>
    <x v="5"/>
    <s v="ST00000001159"/>
    <s v="SATIŞ"/>
    <s v="POS"/>
    <n v="1"/>
    <n v="250"/>
    <n v="250"/>
    <n v="0"/>
    <m/>
    <m/>
    <m/>
    <m/>
    <n v="0"/>
    <n v="0"/>
    <n v="62429.638997470865"/>
  </r>
  <r>
    <d v="2026-02-09T00:00:00"/>
    <x v="4"/>
    <s v="DOLMALIK SARI BİBER"/>
    <m/>
    <x v="5"/>
    <s v="ST00000001159"/>
    <s v="SATIŞ"/>
    <s v="POS"/>
    <n v="1"/>
    <n v="230"/>
    <n v="230"/>
    <n v="0"/>
    <m/>
    <m/>
    <m/>
    <m/>
    <n v="0"/>
    <n v="0"/>
    <n v="62429.638997470865"/>
  </r>
  <r>
    <d v="2026-02-09T00:00:00"/>
    <x v="4"/>
    <s v="DOLMALIK KURU PATLICAN"/>
    <m/>
    <x v="5"/>
    <s v="ST00000001160"/>
    <s v="SATIŞ"/>
    <s v="POS"/>
    <n v="0.5"/>
    <n v="250"/>
    <n v="125"/>
    <n v="0"/>
    <m/>
    <m/>
    <m/>
    <m/>
    <n v="0"/>
    <n v="0"/>
    <n v="62429.638997470865"/>
  </r>
  <r>
    <d v="2026-02-09T00:00:00"/>
    <x v="4"/>
    <s v="DOLMALIK SARI BİBER"/>
    <m/>
    <x v="5"/>
    <s v="ST00000001160"/>
    <s v="SATIŞ"/>
    <s v="POS"/>
    <n v="0.5"/>
    <n v="230"/>
    <n v="115"/>
    <n v="0"/>
    <m/>
    <m/>
    <m/>
    <m/>
    <n v="0"/>
    <n v="0"/>
    <n v="62429.638997470865"/>
  </r>
  <r>
    <d v="2026-02-09T00:00:00"/>
    <x v="4"/>
    <s v="ZERDEÇAL TOZ"/>
    <m/>
    <x v="1"/>
    <s v="ST00000001161"/>
    <s v="SATIŞ"/>
    <s v="NAKİT"/>
    <n v="0.17"/>
    <n v="300"/>
    <n v="0"/>
    <n v="0"/>
    <m/>
    <m/>
    <m/>
    <m/>
    <n v="51.000000000000007"/>
    <n v="0"/>
    <n v="62480.638997470865"/>
  </r>
  <r>
    <d v="2026-02-09T00:00:00"/>
    <x v="4"/>
    <s v="CEVİZLİ SUCUK ATOM (ESMER)"/>
    <m/>
    <x v="1"/>
    <s v="ST00000001161"/>
    <s v="SATIŞ"/>
    <s v="NAKİT"/>
    <n v="0.36199999999999999"/>
    <n v="340"/>
    <n v="0"/>
    <n v="0"/>
    <m/>
    <m/>
    <m/>
    <m/>
    <n v="123.08"/>
    <n v="0"/>
    <n v="62603.718997470867"/>
  </r>
  <r>
    <d v="2026-02-09T00:00:00"/>
    <x v="4"/>
    <s v="HİNT YAĞI 50 CC"/>
    <m/>
    <x v="1"/>
    <s v="ST00000001162"/>
    <s v="SATIŞ"/>
    <s v="NAKİT"/>
    <n v="1"/>
    <n v="130"/>
    <n v="0"/>
    <n v="0"/>
    <m/>
    <m/>
    <m/>
    <m/>
    <n v="130"/>
    <n v="0"/>
    <n v="62733.718997470867"/>
  </r>
  <r>
    <d v="2026-02-09T00:00:00"/>
    <x v="4"/>
    <s v="İRİ BEYAZ KABAK ÇEKİRDEĞİ - NEVŞEHİR"/>
    <m/>
    <x v="5"/>
    <s v="ST00000001163"/>
    <s v="SATIŞ"/>
    <s v="POS"/>
    <n v="0.28000000000000003"/>
    <n v="430"/>
    <n v="120.4"/>
    <n v="0"/>
    <m/>
    <m/>
    <m/>
    <m/>
    <n v="0"/>
    <n v="0"/>
    <n v="62733.718997470867"/>
  </r>
  <r>
    <d v="2026-02-09T00:00:00"/>
    <x v="4"/>
    <s v="NANE İRİ"/>
    <m/>
    <x v="5"/>
    <s v="ST00000001163"/>
    <s v="SATIŞ"/>
    <s v="POS"/>
    <n v="6.7500000000000004E-2"/>
    <n v="400"/>
    <n v="27"/>
    <n v="0"/>
    <m/>
    <m/>
    <m/>
    <m/>
    <n v="0"/>
    <n v="0"/>
    <n v="62733.718997470867"/>
  </r>
  <r>
    <d v="2026-02-09T00:00:00"/>
    <x v="4"/>
    <s v="ŞİFAVER ALOE VERA HATAY SABUNU"/>
    <m/>
    <x v="5"/>
    <s v="ST00000001163"/>
    <s v="SATIŞ"/>
    <s v="POS"/>
    <n v="1"/>
    <n v="50"/>
    <n v="50"/>
    <n v="0"/>
    <m/>
    <m/>
    <m/>
    <m/>
    <n v="0"/>
    <n v="0"/>
    <n v="62733.718997470867"/>
  </r>
  <r>
    <d v="2026-02-09T00:00:00"/>
    <x v="4"/>
    <s v="CEVİZLİ SUCUK ATOM (ESMER)"/>
    <m/>
    <x v="5"/>
    <s v="ST00000001163"/>
    <s v="SATIŞ"/>
    <s v="POS"/>
    <n v="0.39200000000000002"/>
    <n v="340"/>
    <n v="133.28"/>
    <n v="0"/>
    <m/>
    <m/>
    <m/>
    <m/>
    <n v="0"/>
    <n v="0"/>
    <n v="62733.718997470867"/>
  </r>
  <r>
    <d v="2026-02-09T00:00:00"/>
    <x v="4"/>
    <s v="ZÜHRE ANA ANANAS SİRKESİ 500 ML"/>
    <m/>
    <x v="5"/>
    <s v="ST00000001164"/>
    <s v="SATIŞ"/>
    <s v="POS"/>
    <n v="1"/>
    <n v="220"/>
    <n v="220"/>
    <n v="0"/>
    <m/>
    <m/>
    <m/>
    <m/>
    <n v="0"/>
    <n v="0"/>
    <n v="62733.718997470867"/>
  </r>
  <r>
    <d v="2026-02-09T00:00:00"/>
    <x v="4"/>
    <s v="TOZ TARÇIN"/>
    <m/>
    <x v="5"/>
    <s v="ST00000001165"/>
    <s v="SATIŞ"/>
    <s v="POS"/>
    <n v="0.1"/>
    <n v="400"/>
    <n v="40"/>
    <n v="0"/>
    <m/>
    <m/>
    <m/>
    <m/>
    <n v="0"/>
    <n v="0"/>
    <n v="62733.718997470867"/>
  </r>
  <r>
    <d v="2026-02-09T00:00:00"/>
    <x v="4"/>
    <s v="YENİBAHAR TOZ"/>
    <m/>
    <x v="5"/>
    <s v="ST00000001165"/>
    <s v="SATIŞ"/>
    <s v="POS"/>
    <n v="4.5999999999999999E-2"/>
    <n v="770"/>
    <n v="35.42"/>
    <n v="0"/>
    <m/>
    <m/>
    <m/>
    <m/>
    <n v="0"/>
    <n v="0"/>
    <n v="62733.718997470867"/>
  </r>
  <r>
    <d v="2026-02-09T00:00:00"/>
    <x v="4"/>
    <s v="BİZİM YAPRAK 1 LİK"/>
    <m/>
    <x v="5"/>
    <s v="ST00000001165"/>
    <s v="SATIŞ"/>
    <s v="POS"/>
    <n v="1"/>
    <n v="290"/>
    <n v="290"/>
    <n v="0"/>
    <m/>
    <m/>
    <m/>
    <m/>
    <n v="0"/>
    <n v="0"/>
    <n v="62733.718997470867"/>
  </r>
  <r>
    <d v="2026-02-09T00:00:00"/>
    <x v="4"/>
    <s v="MANİSA YAPRAK DÖKME"/>
    <m/>
    <x v="5"/>
    <s v="ST00000001165"/>
    <s v="SATIŞ"/>
    <s v="POS"/>
    <n v="0.5"/>
    <n v="300"/>
    <n v="150"/>
    <n v="0"/>
    <m/>
    <m/>
    <m/>
    <m/>
    <n v="0"/>
    <n v="0"/>
    <n v="62733.718997470867"/>
  </r>
  <r>
    <d v="2026-02-09T00:00:00"/>
    <x v="4"/>
    <s v="MİGREN TAŞI (MENTHO BOX)"/>
    <m/>
    <x v="5"/>
    <s v="ST00000001165"/>
    <s v="SATIŞ"/>
    <s v="POS"/>
    <n v="1"/>
    <n v="135"/>
    <n v="135"/>
    <n v="0"/>
    <m/>
    <m/>
    <m/>
    <m/>
    <n v="0"/>
    <n v="0"/>
    <n v="62733.718997470867"/>
  </r>
  <r>
    <d v="2026-02-09T00:00:00"/>
    <x v="4"/>
    <s v="EL-RUHA ÇAY (AÇIK)"/>
    <m/>
    <x v="1"/>
    <s v="ST00000001166"/>
    <s v="SATIŞ"/>
    <s v="NAKİT"/>
    <n v="0.16666666666666666"/>
    <n v="600"/>
    <n v="0"/>
    <n v="0"/>
    <m/>
    <m/>
    <m/>
    <m/>
    <n v="100"/>
    <n v="0"/>
    <n v="62833.718997470867"/>
  </r>
  <r>
    <d v="2026-02-09T00:00:00"/>
    <x v="4"/>
    <s v="ŞİFAVER BITTIM HATAY SABUNU"/>
    <m/>
    <x v="1"/>
    <s v="ST00000001166"/>
    <s v="SATIŞ"/>
    <s v="NAKİT"/>
    <n v="1"/>
    <n v="50"/>
    <n v="0"/>
    <n v="0"/>
    <m/>
    <m/>
    <m/>
    <m/>
    <n v="50"/>
    <n v="0"/>
    <n v="62883.718997470867"/>
  </r>
  <r>
    <d v="2026-02-09T00:00:00"/>
    <x v="4"/>
    <s v="ŞİFAVER ALOE VERA HATAY SABUNU"/>
    <m/>
    <x v="1"/>
    <s v="ST00000001166"/>
    <s v="SATIŞ"/>
    <s v="NAKİT"/>
    <n v="1"/>
    <n v="50"/>
    <n v="0"/>
    <n v="0"/>
    <m/>
    <m/>
    <m/>
    <m/>
    <n v="50"/>
    <n v="0"/>
    <n v="62933.718997470867"/>
  </r>
  <r>
    <d v="2026-02-09T00:00:00"/>
    <x v="4"/>
    <s v="İPEK BİBER"/>
    <m/>
    <x v="1"/>
    <s v="ST00000001167"/>
    <s v="SATIŞ"/>
    <s v="NAKİT"/>
    <n v="0.1"/>
    <n v="500"/>
    <n v="0"/>
    <n v="0"/>
    <m/>
    <m/>
    <m/>
    <m/>
    <n v="50"/>
    <n v="0"/>
    <n v="62983.718997470867"/>
  </r>
  <r>
    <d v="2026-02-09T00:00:00"/>
    <x v="4"/>
    <s v="ZERDEÇAL TOZ"/>
    <m/>
    <x v="1"/>
    <s v="ST00000001167"/>
    <s v="SATIŞ"/>
    <s v="NAKİT"/>
    <n v="0.1"/>
    <n v="300"/>
    <n v="0"/>
    <n v="0"/>
    <m/>
    <m/>
    <m/>
    <m/>
    <n v="30"/>
    <n v="0"/>
    <n v="63013.718997470867"/>
  </r>
  <r>
    <d v="2026-02-09T00:00:00"/>
    <x v="4"/>
    <s v="KARANFİL"/>
    <m/>
    <x v="1"/>
    <s v="ST00000001167"/>
    <s v="SATIŞ"/>
    <s v="NAKİT"/>
    <n v="0.05"/>
    <n v="1000"/>
    <n v="0"/>
    <n v="0"/>
    <m/>
    <m/>
    <m/>
    <m/>
    <n v="50"/>
    <n v="0"/>
    <n v="63063.718997470867"/>
  </r>
  <r>
    <d v="2026-02-09T00:00:00"/>
    <x v="4"/>
    <s v="KARANFİL"/>
    <m/>
    <x v="1"/>
    <s v="ST00000001167"/>
    <s v="SATIŞ"/>
    <s v="NAKİT"/>
    <n v="0.05"/>
    <n v="1000"/>
    <n v="0"/>
    <n v="0"/>
    <m/>
    <m/>
    <m/>
    <m/>
    <n v="50"/>
    <n v="0"/>
    <n v="63113.718997470867"/>
  </r>
  <r>
    <d v="2026-02-09T00:00:00"/>
    <x v="4"/>
    <s v="BİZİM YAPRAK 1 LİK"/>
    <m/>
    <x v="5"/>
    <s v="ST00000001168"/>
    <s v="SATIŞ"/>
    <s v="POS"/>
    <n v="1"/>
    <n v="290"/>
    <n v="290"/>
    <n v="0"/>
    <m/>
    <m/>
    <m/>
    <m/>
    <n v="0"/>
    <n v="0"/>
    <n v="63113.718997470867"/>
  </r>
  <r>
    <d v="2026-02-09T00:00:00"/>
    <x v="4"/>
    <s v="EVLİK BİBER"/>
    <m/>
    <x v="5"/>
    <s v="ST00000001169"/>
    <s v="SATIŞ"/>
    <s v="POS"/>
    <n v="0.5"/>
    <n v="400"/>
    <n v="200"/>
    <n v="0"/>
    <m/>
    <m/>
    <m/>
    <m/>
    <n v="0"/>
    <n v="0"/>
    <n v="63113.718997470867"/>
  </r>
  <r>
    <d v="2026-02-09T00:00:00"/>
    <x v="4"/>
    <s v="HASEVLİK"/>
    <m/>
    <x v="5"/>
    <s v="ST00000001169"/>
    <s v="SATIŞ"/>
    <s v="POS"/>
    <n v="0.48888888888888887"/>
    <n v="450"/>
    <n v="220"/>
    <n v="0"/>
    <m/>
    <m/>
    <m/>
    <m/>
    <n v="0"/>
    <n v="0"/>
    <n v="63113.718997470867"/>
  </r>
  <r>
    <d v="2026-02-09T00:00:00"/>
    <x v="4"/>
    <s v="AYÇEKİRDEĞİ DAKOTA TUZLU EKSTRA"/>
    <m/>
    <x v="5"/>
    <s v="ST00000001169"/>
    <s v="SATIŞ"/>
    <s v="POS"/>
    <n v="0.2608695652173913"/>
    <n v="230"/>
    <n v="60"/>
    <n v="0"/>
    <m/>
    <m/>
    <m/>
    <m/>
    <n v="0"/>
    <n v="0"/>
    <n v="63113.718997470867"/>
  </r>
  <r>
    <d v="2026-02-09T00:00:00"/>
    <x v="4"/>
    <s v="CEVİZLİ SUCUK ATOM (ESMER)"/>
    <m/>
    <x v="5"/>
    <s v="ST00000001169"/>
    <s v="SATIŞ"/>
    <s v="POS"/>
    <n v="0.4"/>
    <n v="340"/>
    <n v="136"/>
    <n v="0"/>
    <m/>
    <m/>
    <m/>
    <m/>
    <n v="0"/>
    <n v="0"/>
    <n v="63113.718997470867"/>
  </r>
  <r>
    <d v="2026-02-09T00:00:00"/>
    <x v="4"/>
    <s v="KARABİBER ÇEKİLMİŞ"/>
    <m/>
    <x v="1"/>
    <s v="ST00000001170"/>
    <s v="SATIŞ"/>
    <s v="NAKİT"/>
    <n v="7.1999999999999995E-2"/>
    <n v="650"/>
    <n v="0"/>
    <n v="0"/>
    <m/>
    <m/>
    <m/>
    <m/>
    <n v="46.8"/>
    <n v="0"/>
    <n v="63160.51899747087"/>
  </r>
  <r>
    <d v="2026-02-09T00:00:00"/>
    <x v="4"/>
    <s v="ZENCEFİL TANE"/>
    <m/>
    <x v="1"/>
    <s v="ST00000001170"/>
    <s v="SATIŞ"/>
    <s v="NAKİT"/>
    <n v="0.108"/>
    <n v="400"/>
    <n v="0"/>
    <n v="0"/>
    <m/>
    <m/>
    <m/>
    <m/>
    <n v="43.2"/>
    <n v="0"/>
    <n v="63203.718997470867"/>
  </r>
  <r>
    <d v="2026-02-09T00:00:00"/>
    <x v="4"/>
    <s v="ZERDEÇAL TOZ"/>
    <m/>
    <x v="1"/>
    <s v="ST00000001170"/>
    <s v="SATIŞ"/>
    <s v="NAKİT"/>
    <n v="0.126"/>
    <n v="300"/>
    <n v="0"/>
    <n v="0"/>
    <m/>
    <m/>
    <m/>
    <m/>
    <n v="37.799999999999997"/>
    <n v="0"/>
    <n v="63241.51899747087"/>
  </r>
  <r>
    <d v="2026-02-09T00:00:00"/>
    <x v="4"/>
    <s v="KARANFİL"/>
    <m/>
    <x v="1"/>
    <s v="ST00000001170"/>
    <s v="SATIŞ"/>
    <s v="NAKİT"/>
    <n v="0.05"/>
    <n v="1000"/>
    <n v="0"/>
    <n v="0"/>
    <m/>
    <m/>
    <m/>
    <m/>
    <n v="50"/>
    <n v="0"/>
    <n v="63291.51899747087"/>
  </r>
  <r>
    <d v="2026-02-09T00:00:00"/>
    <x v="4"/>
    <s v="ÇUBUK TARÇIN"/>
    <m/>
    <x v="1"/>
    <s v="ST00000001170"/>
    <s v="SATIŞ"/>
    <s v="NAKİT"/>
    <n v="0.1"/>
    <n v="650"/>
    <n v="0"/>
    <n v="0"/>
    <m/>
    <m/>
    <m/>
    <m/>
    <n v="65"/>
    <n v="0"/>
    <n v="63356.51899747087"/>
  </r>
  <r>
    <d v="2026-02-09T00:00:00"/>
    <x v="4"/>
    <s v="IHLAMUR YAPRAK"/>
    <m/>
    <x v="1"/>
    <s v="ST00000001170"/>
    <s v="SATIŞ"/>
    <s v="NAKİT"/>
    <n v="0.05"/>
    <n v="2600"/>
    <n v="0"/>
    <n v="0"/>
    <m/>
    <m/>
    <m/>
    <m/>
    <n v="130"/>
    <n v="0"/>
    <n v="63486.51899747087"/>
  </r>
  <r>
    <d v="2026-02-09T00:00:00"/>
    <x v="4"/>
    <s v="HİBİSKUS"/>
    <m/>
    <x v="1"/>
    <s v="ST00000001170"/>
    <s v="SATIŞ"/>
    <s v="NAKİT"/>
    <n v="0.1"/>
    <n v="600"/>
    <n v="0"/>
    <n v="0"/>
    <m/>
    <m/>
    <m/>
    <m/>
    <n v="60"/>
    <n v="0"/>
    <n v="63546.51899747087"/>
  </r>
  <r>
    <d v="2026-02-09T00:00:00"/>
    <x v="4"/>
    <s v="KUŞBURNU - KIRMIZI"/>
    <m/>
    <x v="1"/>
    <s v="ST00000001170"/>
    <s v="SATIŞ"/>
    <s v="NAKİT"/>
    <n v="0.25"/>
    <n v="360"/>
    <n v="0"/>
    <n v="0"/>
    <m/>
    <m/>
    <m/>
    <m/>
    <n v="90"/>
    <n v="0"/>
    <n v="63636.51899747087"/>
  </r>
  <r>
    <d v="2026-02-09T00:00:00"/>
    <x v="10"/>
    <m/>
    <m/>
    <x v="5"/>
    <m/>
    <s v="POS ÇÖZÜMÜ"/>
    <s v="POS"/>
    <n v="1"/>
    <n v="1210"/>
    <n v="0"/>
    <n v="1210"/>
    <m/>
    <m/>
    <m/>
    <m/>
    <n v="1210"/>
    <n v="0"/>
    <n v="64846.51899747087"/>
  </r>
  <r>
    <d v="2026-02-09T00:00:00"/>
    <x v="10"/>
    <m/>
    <m/>
    <x v="5"/>
    <m/>
    <s v="POS ÇÖZÜMÜ"/>
    <s v="POS"/>
    <n v="1"/>
    <n v="625"/>
    <n v="0"/>
    <n v="625"/>
    <m/>
    <m/>
    <m/>
    <m/>
    <n v="625"/>
    <n v="0"/>
    <n v="65471.51899747087"/>
  </r>
  <r>
    <d v="2026-02-09T00:00:00"/>
    <x v="7"/>
    <m/>
    <m/>
    <x v="2"/>
    <m/>
    <s v="KREDİ KARTI ÖDEME"/>
    <s v="NAKİT"/>
    <n v="1"/>
    <n v="0"/>
    <n v="7492.2"/>
    <n v="0"/>
    <n v="0"/>
    <n v="42049.46"/>
    <m/>
    <m/>
    <n v="0"/>
    <n v="7492.2"/>
    <n v="57979.318997470873"/>
  </r>
  <r>
    <d v="2026-02-10T00:00:00"/>
    <x v="4"/>
    <s v="KUDÜS HURMASI JUMBO"/>
    <m/>
    <x v="5"/>
    <s v="ST00000001171"/>
    <s v="SATIŞ"/>
    <s v="POS"/>
    <n v="0.28059701492537314"/>
    <n v="670"/>
    <n v="188"/>
    <n v="0"/>
    <m/>
    <m/>
    <m/>
    <m/>
    <n v="0"/>
    <n v="0"/>
    <n v="57979.318997470873"/>
  </r>
  <r>
    <d v="2026-02-10T00:00:00"/>
    <x v="4"/>
    <s v="ÖZBEK ÜZÜMÜ"/>
    <m/>
    <x v="5"/>
    <s v="ST00000001172"/>
    <s v="SATIŞ"/>
    <s v="POS"/>
    <n v="0.44363636363636366"/>
    <n v="550"/>
    <n v="244"/>
    <n v="0"/>
    <m/>
    <m/>
    <m/>
    <m/>
    <n v="0"/>
    <n v="0"/>
    <n v="57979.318997470873"/>
  </r>
  <r>
    <d v="2026-02-10T00:00:00"/>
    <x v="4"/>
    <s v="NBN DAĞ İNCİRİ"/>
    <m/>
    <x v="5"/>
    <s v="ST00000001172"/>
    <s v="SATIŞ"/>
    <s v="POS"/>
    <n v="0.53749999999999998"/>
    <n v="800"/>
    <n v="430"/>
    <n v="0"/>
    <m/>
    <m/>
    <m/>
    <m/>
    <n v="0"/>
    <n v="0"/>
    <n v="57979.318997470873"/>
  </r>
  <r>
    <d v="2026-02-10T00:00:00"/>
    <x v="4"/>
    <s v="IHLAMUR YAPRAK"/>
    <m/>
    <x v="5"/>
    <s v="ST00000001172"/>
    <s v="SATIŞ"/>
    <s v="POS"/>
    <n v="0.05"/>
    <n v="2600"/>
    <n v="130"/>
    <n v="0"/>
    <m/>
    <m/>
    <m/>
    <m/>
    <n v="0"/>
    <n v="0"/>
    <n v="57979.318997470873"/>
  </r>
  <r>
    <d v="2026-02-10T00:00:00"/>
    <x v="4"/>
    <s v="KAYSERİ PAZARI ŞEKERSİZ 1000 ML - GİLABURU"/>
    <m/>
    <x v="5"/>
    <s v="ST00000001173"/>
    <s v="SATIŞ"/>
    <s v="POS"/>
    <n v="1"/>
    <n v="225"/>
    <n v="225"/>
    <n v="0"/>
    <m/>
    <m/>
    <m/>
    <m/>
    <n v="0"/>
    <n v="0"/>
    <n v="57979.318997470873"/>
  </r>
  <r>
    <d v="2026-02-10T00:00:00"/>
    <x v="4"/>
    <s v="MİGREN TAŞI (MENTHO BOX)"/>
    <m/>
    <x v="5"/>
    <s v="ST00000001174"/>
    <s v="SATIŞ"/>
    <s v="POS"/>
    <n v="1"/>
    <n v="135"/>
    <n v="135"/>
    <n v="0"/>
    <m/>
    <m/>
    <m/>
    <m/>
    <n v="0"/>
    <n v="0"/>
    <n v="57979.318997470873"/>
  </r>
  <r>
    <d v="2026-02-10T00:00:00"/>
    <x v="4"/>
    <s v="RUŞUR TAŞI"/>
    <m/>
    <x v="5"/>
    <s v="ST00000001174"/>
    <s v="SATIŞ"/>
    <s v="POS"/>
    <n v="1"/>
    <n v="10"/>
    <n v="10"/>
    <n v="0"/>
    <m/>
    <m/>
    <m/>
    <m/>
    <n v="0"/>
    <n v="0"/>
    <n v="57979.318997470873"/>
  </r>
  <r>
    <d v="2026-02-10T00:00:00"/>
    <x v="4"/>
    <s v="KABUKLU CEVİZ (YERLİ)"/>
    <m/>
    <x v="5"/>
    <s v="ST00000001174"/>
    <s v="SATIŞ"/>
    <s v="POS"/>
    <n v="0.624"/>
    <n v="250"/>
    <n v="156"/>
    <n v="0"/>
    <m/>
    <m/>
    <m/>
    <m/>
    <n v="0"/>
    <n v="0"/>
    <n v="57979.318997470873"/>
  </r>
  <r>
    <d v="2026-02-10T00:00:00"/>
    <x v="4"/>
    <s v="KARABİBER ÇEKİLMİŞ"/>
    <m/>
    <x v="5"/>
    <s v="ST00000001175"/>
    <s v="SATIŞ"/>
    <s v="POS"/>
    <n v="3.2307692307692308E-2"/>
    <n v="650"/>
    <n v="21"/>
    <n v="0"/>
    <m/>
    <m/>
    <m/>
    <m/>
    <n v="0"/>
    <n v="0"/>
    <n v="57979.318997470873"/>
  </r>
  <r>
    <d v="2026-02-10T00:00:00"/>
    <x v="4"/>
    <s v="KUDÜS HURMASI"/>
    <m/>
    <x v="5"/>
    <s v="ST00000001175"/>
    <s v="SATIŞ"/>
    <s v="POS"/>
    <n v="0.25"/>
    <n v="400"/>
    <n v="100"/>
    <n v="0"/>
    <m/>
    <m/>
    <m/>
    <m/>
    <n v="0"/>
    <n v="0"/>
    <n v="57979.318997470873"/>
  </r>
  <r>
    <d v="2026-02-10T00:00:00"/>
    <x v="4"/>
    <s v="RUŞUR TAŞI"/>
    <m/>
    <x v="5"/>
    <s v="ST00000001175"/>
    <s v="SATIŞ"/>
    <s v="POS"/>
    <n v="3"/>
    <n v="10"/>
    <n v="30"/>
    <n v="0"/>
    <m/>
    <m/>
    <m/>
    <m/>
    <n v="0"/>
    <n v="0"/>
    <n v="57979.318997470873"/>
  </r>
  <r>
    <d v="2026-02-10T00:00:00"/>
    <x v="4"/>
    <s v="İZMİR ÜZÜMÜ"/>
    <m/>
    <x v="1"/>
    <s v="ST00000001176"/>
    <s v="SATIŞ"/>
    <s v="NAKİT"/>
    <n v="0.4"/>
    <n v="250"/>
    <n v="0"/>
    <n v="0"/>
    <m/>
    <m/>
    <m/>
    <m/>
    <n v="100"/>
    <n v="0"/>
    <n v="58079.318997470873"/>
  </r>
  <r>
    <d v="2026-02-10T00:00:00"/>
    <x v="4"/>
    <s v="KARANFİL"/>
    <m/>
    <x v="1"/>
    <s v="ST00000001176"/>
    <s v="SATIŞ"/>
    <s v="NAKİT"/>
    <n v="0.05"/>
    <n v="1000"/>
    <n v="0"/>
    <n v="0"/>
    <m/>
    <m/>
    <m/>
    <m/>
    <n v="50"/>
    <n v="0"/>
    <n v="58129.318997470873"/>
  </r>
  <r>
    <d v="2026-02-10T00:00:00"/>
    <x v="4"/>
    <s v="KARAHALİLE"/>
    <m/>
    <x v="1"/>
    <s v="ST00000001177"/>
    <s v="SATIŞ"/>
    <s v="NAKİT"/>
    <n v="0.1"/>
    <n v="1000"/>
    <n v="0"/>
    <n v="0"/>
    <m/>
    <m/>
    <m/>
    <m/>
    <n v="100"/>
    <n v="0"/>
    <n v="58229.318997470873"/>
  </r>
  <r>
    <d v="2026-02-10T00:00:00"/>
    <x v="4"/>
    <s v="SUMAK"/>
    <m/>
    <x v="1"/>
    <s v="ST00000001177"/>
    <s v="SATIŞ"/>
    <s v="NAKİT"/>
    <n v="0.1"/>
    <n v="500"/>
    <n v="0"/>
    <n v="0"/>
    <m/>
    <m/>
    <m/>
    <m/>
    <n v="50"/>
    <n v="0"/>
    <n v="58279.318997470873"/>
  </r>
  <r>
    <d v="2026-02-10T00:00:00"/>
    <x v="4"/>
    <s v="MİSVAK KUTULU (HOLDER)"/>
    <m/>
    <x v="1"/>
    <s v="ST00000001178"/>
    <s v="SATIŞ"/>
    <s v="NAKİT"/>
    <n v="1"/>
    <n v="30"/>
    <n v="0"/>
    <n v="0"/>
    <m/>
    <m/>
    <m/>
    <m/>
    <n v="30"/>
    <n v="0"/>
    <n v="58309.318997470873"/>
  </r>
  <r>
    <d v="2026-02-10T00:00:00"/>
    <x v="4"/>
    <s v="YALÇINKAYA TATLI BİBER SALÇASI"/>
    <m/>
    <x v="11"/>
    <s v="ST00000001245"/>
    <s v="SATIŞ -TOPTAN - ŞÜKRÜ"/>
    <s v="CARİ"/>
    <n v="19.350000000000001"/>
    <n v="130"/>
    <n v="2515.5"/>
    <n v="0"/>
    <m/>
    <m/>
    <m/>
    <m/>
    <n v="0"/>
    <n v="0"/>
    <n v="58309.318997470873"/>
  </r>
  <r>
    <d v="2026-02-10T00:00:00"/>
    <x v="4"/>
    <s v="YALÇINKAYA DOMATES SALÇASI"/>
    <m/>
    <x v="11"/>
    <s v="ST00000001245"/>
    <s v="SATIŞ -TOPTAN - ŞÜKRÜ"/>
    <s v="CARİ"/>
    <n v="19.350000000000001"/>
    <n v="100"/>
    <n v="1935"/>
    <n v="0"/>
    <m/>
    <m/>
    <m/>
    <m/>
    <n v="0"/>
    <n v="0"/>
    <n v="58309.318997470873"/>
  </r>
  <r>
    <d v="2026-02-10T00:00:00"/>
    <x v="4"/>
    <s v="NANE İRİ"/>
    <m/>
    <x v="11"/>
    <s v="ST00000001245"/>
    <s v="SATIŞ -TOPTAN - ŞÜKRÜ"/>
    <s v="CARİ"/>
    <n v="0.625"/>
    <n v="280"/>
    <n v="175"/>
    <n v="0"/>
    <m/>
    <m/>
    <m/>
    <m/>
    <n v="0"/>
    <n v="0"/>
    <n v="58309.318997470873"/>
  </r>
  <r>
    <d v="2026-02-10T00:00:00"/>
    <x v="4"/>
    <s v="KEKİK LÜX"/>
    <m/>
    <x v="11"/>
    <s v="ST00000001245"/>
    <s v="SATIŞ -TOPTAN - ŞÜKRÜ"/>
    <s v="CARİ"/>
    <n v="0.32500000000000001"/>
    <n v="615"/>
    <n v="199.875"/>
    <n v="0"/>
    <m/>
    <m/>
    <m/>
    <m/>
    <n v="0"/>
    <n v="0"/>
    <n v="58309.318997470873"/>
  </r>
  <r>
    <d v="2026-02-10T00:00:00"/>
    <x v="4"/>
    <s v="KARABİBER ÇEKİLMİŞ"/>
    <m/>
    <x v="11"/>
    <s v="ST00000001245"/>
    <s v="SATIŞ -TOPTAN - ŞÜKRÜ"/>
    <s v="CARİ"/>
    <n v="0.375"/>
    <n v="534"/>
    <n v="200.25"/>
    <n v="0"/>
    <m/>
    <m/>
    <m/>
    <m/>
    <n v="0"/>
    <n v="0"/>
    <n v="58309.318997470873"/>
  </r>
  <r>
    <d v="2026-02-10T00:00:00"/>
    <x v="4"/>
    <s v="İSOT"/>
    <m/>
    <x v="11"/>
    <s v="ST00000001245"/>
    <s v="SATIŞ -TOPTAN - ŞÜKRÜ"/>
    <s v="CARİ"/>
    <n v="1.25"/>
    <n v="300"/>
    <n v="375"/>
    <n v="0"/>
    <m/>
    <m/>
    <m/>
    <m/>
    <n v="0"/>
    <n v="0"/>
    <n v="58309.318997470873"/>
  </r>
  <r>
    <d v="2026-02-10T00:00:00"/>
    <x v="4"/>
    <s v="SUMAK"/>
    <m/>
    <x v="11"/>
    <s v="ST00000001245"/>
    <s v="SATIŞ -TOPTAN - ŞÜKRÜ"/>
    <s v="CARİ"/>
    <n v="0.5"/>
    <n v="350"/>
    <n v="175"/>
    <n v="0"/>
    <m/>
    <m/>
    <m/>
    <m/>
    <n v="0"/>
    <n v="0"/>
    <n v="58309.318997470873"/>
  </r>
  <r>
    <d v="2026-02-10T00:00:00"/>
    <x v="4"/>
    <s v="HİNDİSTAN CEVİZİ ( İRİ )"/>
    <m/>
    <x v="11"/>
    <s v="ST00000001245"/>
    <s v="SATIŞ -TOPTAN - ŞÜKRÜ"/>
    <s v="CARİ"/>
    <n v="0.42499999999999999"/>
    <n v="412"/>
    <n v="175.1"/>
    <n v="0"/>
    <m/>
    <m/>
    <m/>
    <m/>
    <n v="0"/>
    <n v="0"/>
    <n v="58309.318997470873"/>
  </r>
  <r>
    <d v="2026-02-10T00:00:00"/>
    <x v="4"/>
    <s v="TOZ TARÇIN"/>
    <m/>
    <x v="11"/>
    <s v="ST00000001245"/>
    <s v="SATIŞ -TOPTAN - ŞÜKRÜ"/>
    <s v="CARİ"/>
    <n v="0.5"/>
    <n v="350"/>
    <n v="175"/>
    <n v="0"/>
    <m/>
    <m/>
    <m/>
    <m/>
    <n v="0"/>
    <n v="0"/>
    <n v="58309.318997470873"/>
  </r>
  <r>
    <d v="2026-02-10T00:00:00"/>
    <x v="4"/>
    <s v="SUSAM SİMİTLİK"/>
    <m/>
    <x v="11"/>
    <s v="ST00000001245"/>
    <s v="SATIŞ -TOPTAN - ŞÜKRÜ"/>
    <s v="CARİ"/>
    <n v="0.55000000000000004"/>
    <n v="318"/>
    <n v="174.9"/>
    <n v="0"/>
    <m/>
    <m/>
    <m/>
    <m/>
    <n v="0"/>
    <n v="0"/>
    <n v="58309.318997470873"/>
  </r>
  <r>
    <d v="2026-02-10T00:00:00"/>
    <x v="4"/>
    <s v="SUSAM"/>
    <m/>
    <x v="11"/>
    <s v="ST00000001245"/>
    <s v="SATIŞ -TOPTAN - ŞÜKRÜ"/>
    <s v="CARİ"/>
    <n v="0.5"/>
    <n v="350"/>
    <n v="175"/>
    <n v="0"/>
    <m/>
    <m/>
    <m/>
    <m/>
    <n v="0"/>
    <n v="0"/>
    <n v="58309.318997470873"/>
  </r>
  <r>
    <d v="2026-02-10T00:00:00"/>
    <x v="4"/>
    <s v="KARANFİL"/>
    <m/>
    <x v="11"/>
    <s v="ST00000001245"/>
    <s v="SATIŞ -TOPTAN - ŞÜKRÜ"/>
    <s v="CARİ"/>
    <n v="0.25"/>
    <n v="900"/>
    <n v="225"/>
    <n v="0"/>
    <m/>
    <m/>
    <m/>
    <m/>
    <n v="0"/>
    <n v="0"/>
    <n v="58309.318997470873"/>
  </r>
  <r>
    <d v="2026-02-10T00:00:00"/>
    <x v="4"/>
    <s v="ÇÖREKOTU"/>
    <m/>
    <x v="11"/>
    <s v="ST00000001245"/>
    <s v="SATIŞ -TOPTAN - ŞÜKRÜ"/>
    <s v="CARİ"/>
    <n v="0.5"/>
    <n v="350"/>
    <n v="175"/>
    <n v="0"/>
    <m/>
    <m/>
    <m/>
    <m/>
    <n v="0"/>
    <n v="0"/>
    <n v="58309.318997470873"/>
  </r>
  <r>
    <d v="2026-02-10T00:00:00"/>
    <x v="4"/>
    <s v="ÇUBUK TARÇIN"/>
    <m/>
    <x v="11"/>
    <s v="ST00000001245"/>
    <s v="SATIŞ -TOPTAN - ŞÜKRÜ"/>
    <s v="CARİ"/>
    <n v="0.4"/>
    <n v="438"/>
    <n v="175.20000000000002"/>
    <n v="0"/>
    <m/>
    <m/>
    <m/>
    <m/>
    <n v="0"/>
    <n v="0"/>
    <n v="58309.318997470873"/>
  </r>
  <r>
    <d v="2026-02-10T00:00:00"/>
    <x v="4"/>
    <s v="GÜNAYDIN KAYA TUZU İRİ"/>
    <m/>
    <x v="11"/>
    <s v="ST00000001245"/>
    <s v="SATIŞ -TOPTAN - ŞÜKRÜ"/>
    <s v="CARİ"/>
    <n v="2.5"/>
    <n v="60"/>
    <n v="150"/>
    <n v="0"/>
    <m/>
    <m/>
    <m/>
    <m/>
    <n v="0"/>
    <n v="0"/>
    <n v="58309.318997470873"/>
  </r>
  <r>
    <d v="2026-02-10T00:00:00"/>
    <x v="4"/>
    <s v="REZENE"/>
    <m/>
    <x v="11"/>
    <s v="ST00000001245"/>
    <s v="SATIŞ -TOPTAN - ŞÜKRÜ"/>
    <s v="CARİ"/>
    <n v="0.25"/>
    <n v="800"/>
    <n v="200"/>
    <n v="0"/>
    <m/>
    <m/>
    <m/>
    <m/>
    <n v="0"/>
    <n v="0"/>
    <n v="58309.318997470873"/>
  </r>
  <r>
    <d v="2026-02-10T00:00:00"/>
    <x v="4"/>
    <s v="ZERDEÇAL TOZ"/>
    <m/>
    <x v="11"/>
    <s v="ST00000001245"/>
    <s v="SATIŞ -TOPTAN - ŞÜKRÜ"/>
    <s v="CARİ"/>
    <n v="0.82499999999999996"/>
    <n v="212"/>
    <n v="174.89999999999998"/>
    <n v="0"/>
    <m/>
    <m/>
    <m/>
    <m/>
    <n v="0"/>
    <n v="0"/>
    <n v="58309.318997470873"/>
  </r>
  <r>
    <d v="2026-02-10T00:00:00"/>
    <x v="4"/>
    <s v="ZENCEFİL TOZ"/>
    <m/>
    <x v="11"/>
    <s v="ST00000001245"/>
    <s v="SATIŞ -TOPTAN - ŞÜKRÜ"/>
    <s v="CARİ"/>
    <n v="0.625"/>
    <n v="280"/>
    <n v="175"/>
    <n v="0"/>
    <m/>
    <m/>
    <m/>
    <m/>
    <n v="0"/>
    <n v="0"/>
    <n v="58309.318997470873"/>
  </r>
  <r>
    <d v="2026-02-10T00:00:00"/>
    <x v="4"/>
    <s v="TOZ BİBER - TATLI"/>
    <m/>
    <x v="11"/>
    <s v="ST00000001245"/>
    <s v="SATIŞ -TOPTAN - ŞÜKRÜ"/>
    <s v="CARİ"/>
    <n v="0.625"/>
    <n v="320"/>
    <n v="200"/>
    <n v="0"/>
    <m/>
    <m/>
    <m/>
    <m/>
    <n v="0"/>
    <n v="0"/>
    <n v="58309.318997470873"/>
  </r>
  <r>
    <d v="2026-02-10T00:00:00"/>
    <x v="4"/>
    <s v="KİMYON ÇEKİLMİŞ"/>
    <m/>
    <x v="11"/>
    <s v="ST00000001245"/>
    <s v="SATIŞ -TOPTAN - ŞÜKRÜ"/>
    <s v="CARİ"/>
    <n v="0.625"/>
    <n v="280"/>
    <n v="175"/>
    <n v="0"/>
    <m/>
    <m/>
    <m/>
    <m/>
    <n v="0"/>
    <n v="0"/>
    <n v="58309.318997470873"/>
  </r>
  <r>
    <d v="2026-02-10T00:00:00"/>
    <x v="4"/>
    <s v="EVLİK BİBER"/>
    <m/>
    <x v="11"/>
    <s v="ST00000001245"/>
    <s v="SATIŞ -TOPTAN - ŞÜKRÜ"/>
    <s v="CARİ"/>
    <n v="1.25"/>
    <n v="300"/>
    <n v="375"/>
    <n v="0"/>
    <m/>
    <m/>
    <m/>
    <m/>
    <n v="0"/>
    <n v="0"/>
    <n v="58309.318997470873"/>
  </r>
  <r>
    <d v="2026-02-10T00:00:00"/>
    <x v="4"/>
    <s v="İPEK BİBER"/>
    <m/>
    <x v="11"/>
    <s v="ST00000001245"/>
    <s v="SATIŞ -TOPTAN - ŞÜKRÜ"/>
    <s v="CARİ"/>
    <n v="1"/>
    <n v="375"/>
    <n v="375"/>
    <n v="0"/>
    <m/>
    <m/>
    <m/>
    <m/>
    <n v="0"/>
    <n v="0"/>
    <n v="58309.318997470873"/>
  </r>
  <r>
    <d v="2026-02-10T00:00:00"/>
    <x v="4"/>
    <s v="LİMONTUZU PARCA"/>
    <m/>
    <x v="11"/>
    <s v="ST00000001245"/>
    <s v="SATIŞ -TOPTAN - ŞÜKRÜ"/>
    <s v="CARİ"/>
    <n v="1.25"/>
    <n v="140"/>
    <n v="175"/>
    <n v="0"/>
    <m/>
    <m/>
    <m/>
    <m/>
    <n v="0"/>
    <n v="0"/>
    <n v="58309.318997470873"/>
  </r>
  <r>
    <d v="2026-02-10T00:00:00"/>
    <x v="4"/>
    <s v="LİMONTUZU TOZ"/>
    <m/>
    <x v="11"/>
    <s v="ST00000001245"/>
    <s v="SATIŞ -TOPTAN - ŞÜKRÜ"/>
    <s v="CARİ"/>
    <n v="1.25"/>
    <n v="140"/>
    <n v="175"/>
    <n v="0"/>
    <m/>
    <m/>
    <m/>
    <m/>
    <n v="0"/>
    <n v="0"/>
    <n v="58309.318997470873"/>
  </r>
  <r>
    <d v="2026-02-10T00:00:00"/>
    <x v="10"/>
    <m/>
    <m/>
    <x v="5"/>
    <m/>
    <s v="POS ÇÖZÜMÜ"/>
    <s v="POS"/>
    <n v="1"/>
    <n v="267.5"/>
    <n v="0"/>
    <n v="267.5"/>
    <m/>
    <m/>
    <m/>
    <m/>
    <n v="267.5"/>
    <n v="0"/>
    <n v="58576.818997470873"/>
  </r>
  <r>
    <d v="2026-02-10T00:00:00"/>
    <x v="3"/>
    <s v="MISIR PREMİUM MEDİUM HURMA"/>
    <m/>
    <x v="9"/>
    <m/>
    <s v="SERBEND HURMA"/>
    <s v="CARİ"/>
    <n v="10"/>
    <n v="400"/>
    <n v="0"/>
    <n v="4000"/>
    <m/>
    <m/>
    <m/>
    <m/>
    <n v="0"/>
    <n v="0"/>
    <n v="58576.818997470873"/>
  </r>
  <r>
    <d v="2026-02-10T00:00:00"/>
    <x v="3"/>
    <s v="MEBRUM HURMA (3'LÜK)"/>
    <m/>
    <x v="9"/>
    <m/>
    <s v="SERBEND HURMA"/>
    <s v="CARİ"/>
    <n v="6"/>
    <n v="300"/>
    <n v="0"/>
    <n v="1800"/>
    <m/>
    <m/>
    <m/>
    <m/>
    <n v="0"/>
    <n v="0"/>
    <n v="58576.818997470873"/>
  </r>
  <r>
    <d v="2026-02-10T00:00:00"/>
    <x v="3"/>
    <s v="MEBRUM HURMA 2 (5'LİK)"/>
    <m/>
    <x v="9"/>
    <m/>
    <s v="SERBEND HURMA"/>
    <s v="CARİ"/>
    <n v="10"/>
    <n v="305"/>
    <n v="0"/>
    <n v="3050"/>
    <m/>
    <m/>
    <m/>
    <m/>
    <n v="0"/>
    <n v="0"/>
    <n v="58576.818997470873"/>
  </r>
  <r>
    <d v="2026-02-10T00:00:00"/>
    <x v="3"/>
    <s v="SEFAVİ HURMA"/>
    <m/>
    <x v="9"/>
    <m/>
    <s v="SERBEND HURMA"/>
    <s v="CARİ"/>
    <n v="10"/>
    <n v="270"/>
    <n v="0"/>
    <n v="2700"/>
    <m/>
    <m/>
    <m/>
    <m/>
    <n v="0"/>
    <n v="0"/>
    <n v="58576.818997470873"/>
  </r>
  <r>
    <d v="2026-02-10T00:00:00"/>
    <x v="3"/>
    <s v="SOGAY HURMA"/>
    <m/>
    <x v="9"/>
    <m/>
    <s v="SERBEND HURMA"/>
    <s v="CARİ"/>
    <n v="10"/>
    <n v="270"/>
    <n v="0"/>
    <n v="2700"/>
    <m/>
    <m/>
    <m/>
    <m/>
    <n v="0"/>
    <n v="0"/>
    <n v="58576.818997470873"/>
  </r>
  <r>
    <d v="2026-02-10T00:00:00"/>
    <x v="3"/>
    <s v="ACVE SARI"/>
    <m/>
    <x v="9"/>
    <m/>
    <s v="SERBEND HURMA"/>
    <s v="CARİ"/>
    <n v="10"/>
    <n v="300"/>
    <n v="0"/>
    <n v="3000"/>
    <m/>
    <m/>
    <m/>
    <m/>
    <n v="0"/>
    <n v="0"/>
    <n v="58576.818997470873"/>
  </r>
  <r>
    <d v="2026-02-10T00:00:00"/>
    <x v="3"/>
    <s v="KABUKLU CEVİZ (YERLİ)"/>
    <m/>
    <x v="9"/>
    <m/>
    <s v="SERBEND HURMA"/>
    <s v="CARİ"/>
    <n v="50"/>
    <n v="185"/>
    <n v="0"/>
    <n v="9250"/>
    <m/>
    <m/>
    <m/>
    <m/>
    <n v="0"/>
    <n v="0"/>
    <n v="58576.818997470873"/>
  </r>
  <r>
    <d v="2026-02-10T00:00:00"/>
    <x v="3"/>
    <s v="AÇIK KAYISI İRİ (SARI)"/>
    <m/>
    <x v="9"/>
    <m/>
    <s v="SERBEND HURMA"/>
    <s v="CARİ"/>
    <n v="10"/>
    <n v="450"/>
    <n v="0"/>
    <n v="4500"/>
    <m/>
    <m/>
    <m/>
    <m/>
    <n v="0"/>
    <n v="0"/>
    <n v="58576.818997470873"/>
  </r>
  <r>
    <d v="2026-02-10T00:00:00"/>
    <x v="6"/>
    <s v="MEBRUM HURMA - SİYAH"/>
    <m/>
    <x v="9"/>
    <m/>
    <s v="SERBEND HURMA - İADE"/>
    <s v="CARİ"/>
    <n v="5"/>
    <n v="300"/>
    <n v="1500"/>
    <n v="0"/>
    <m/>
    <m/>
    <m/>
    <m/>
    <n v="0"/>
    <n v="0"/>
    <n v="58576.818997470873"/>
  </r>
  <r>
    <d v="2026-02-10T00:00:00"/>
    <x v="1"/>
    <m/>
    <s v="YOL GİDERLERİ"/>
    <x v="1"/>
    <m/>
    <s v="ANTEP MALZEME NAKLİYESİ"/>
    <s v="NAKİT"/>
    <n v="1"/>
    <n v="4400"/>
    <n v="0"/>
    <n v="0"/>
    <m/>
    <m/>
    <m/>
    <m/>
    <n v="0"/>
    <n v="4400"/>
    <n v="54176.818997470873"/>
  </r>
  <r>
    <d v="2026-02-11T00:00:00"/>
    <x v="4"/>
    <s v="AŞURELİK BUĞDAY İZMİR"/>
    <m/>
    <x v="5"/>
    <s v="ST00000001179"/>
    <s v="SATIŞ"/>
    <s v="POS"/>
    <n v="1"/>
    <n v="60"/>
    <n v="60"/>
    <n v="0"/>
    <m/>
    <m/>
    <m/>
    <m/>
    <n v="0"/>
    <n v="0"/>
    <n v="54176.818997470873"/>
  </r>
  <r>
    <d v="2026-02-11T00:00:00"/>
    <x v="4"/>
    <s v="KABUKLU CEVİZ (YERLİ)"/>
    <m/>
    <x v="1"/>
    <s v="ST00000001180"/>
    <s v="SATIŞ"/>
    <s v="NAKİT"/>
    <n v="0.4"/>
    <n v="250"/>
    <n v="0"/>
    <n v="0"/>
    <m/>
    <m/>
    <m/>
    <m/>
    <n v="100"/>
    <n v="0"/>
    <n v="54276.818997470873"/>
  </r>
  <r>
    <d v="2026-02-11T00:00:00"/>
    <x v="4"/>
    <s v="BİOBLAS KERATİN KOLAJEN SAÇ BAKIM YAĞI 100 ML"/>
    <m/>
    <x v="1"/>
    <s v="ST00000001181"/>
    <s v="SATIŞ"/>
    <s v="NAKİT"/>
    <n v="1"/>
    <n v="210"/>
    <n v="0"/>
    <n v="0"/>
    <m/>
    <m/>
    <m/>
    <m/>
    <n v="210"/>
    <n v="0"/>
    <n v="54486.818997470873"/>
  </r>
  <r>
    <d v="2026-02-11T00:00:00"/>
    <x v="4"/>
    <s v="KANTARON YAĞI 50 CC"/>
    <m/>
    <x v="1"/>
    <s v="ST00000001182"/>
    <s v="SATIŞ"/>
    <s v="NAKİT"/>
    <n v="1"/>
    <n v="125"/>
    <n v="0"/>
    <n v="0"/>
    <m/>
    <m/>
    <m/>
    <m/>
    <n v="125"/>
    <n v="0"/>
    <n v="54611.818997470873"/>
  </r>
  <r>
    <d v="2026-02-11T00:00:00"/>
    <x v="4"/>
    <s v="DOLMALIK KURU TATLI KIRMIZI BİBER"/>
    <m/>
    <x v="1"/>
    <s v="ST00000001183"/>
    <s v="SATIŞ"/>
    <s v="NAKİT"/>
    <n v="1"/>
    <n v="230"/>
    <n v="0"/>
    <n v="0"/>
    <m/>
    <m/>
    <m/>
    <m/>
    <n v="230"/>
    <n v="0"/>
    <n v="54841.818997470873"/>
  </r>
  <r>
    <d v="2026-02-11T00:00:00"/>
    <x v="4"/>
    <s v="SUMAK"/>
    <m/>
    <x v="1"/>
    <s v="ST00000001183"/>
    <s v="SATIŞ"/>
    <s v="NAKİT"/>
    <n v="0.1"/>
    <n v="500"/>
    <n v="0"/>
    <n v="0"/>
    <m/>
    <m/>
    <m/>
    <m/>
    <n v="50"/>
    <n v="0"/>
    <n v="54891.818997470873"/>
  </r>
  <r>
    <d v="2026-02-11T00:00:00"/>
    <x v="4"/>
    <s v="DOLMALIK KURU PATLICAN"/>
    <m/>
    <x v="5"/>
    <s v="ST00000001184"/>
    <s v="SATIŞ"/>
    <s v="POS"/>
    <n v="1"/>
    <n v="250"/>
    <n v="250"/>
    <n v="0"/>
    <m/>
    <m/>
    <m/>
    <m/>
    <n v="0"/>
    <n v="0"/>
    <n v="54891.818997470873"/>
  </r>
  <r>
    <d v="2026-02-11T00:00:00"/>
    <x v="4"/>
    <s v="KABAK LİFLİ KEÇİ SÜTÜ BALLI SABUN"/>
    <m/>
    <x v="5"/>
    <s v="ST00000001184"/>
    <s v="SATIŞ"/>
    <s v="POS"/>
    <n v="1"/>
    <n v="100"/>
    <n v="100"/>
    <n v="0"/>
    <m/>
    <m/>
    <m/>
    <m/>
    <n v="0"/>
    <n v="0"/>
    <n v="54891.818997470873"/>
  </r>
  <r>
    <d v="2026-02-11T00:00:00"/>
    <x v="4"/>
    <s v="NBN DAĞ İNCİRİ"/>
    <m/>
    <x v="5"/>
    <s v="ST00000001185"/>
    <s v="SATIŞ"/>
    <s v="POS"/>
    <n v="0.155"/>
    <n v="800"/>
    <n v="124"/>
    <n v="0"/>
    <m/>
    <m/>
    <m/>
    <m/>
    <n v="0"/>
    <n v="0"/>
    <n v="54891.818997470873"/>
  </r>
  <r>
    <d v="2026-02-11T00:00:00"/>
    <x v="4"/>
    <s v="AÇIK KAYISI İRİ (SARI)"/>
    <m/>
    <x v="5"/>
    <s v="ST00000001185"/>
    <s v="SATIŞ"/>
    <s v="POS"/>
    <n v="0.156"/>
    <n v="690"/>
    <n v="107.64"/>
    <n v="0"/>
    <m/>
    <m/>
    <m/>
    <m/>
    <n v="0"/>
    <n v="0"/>
    <n v="54891.818997470873"/>
  </r>
  <r>
    <d v="2026-02-11T00:00:00"/>
    <x v="4"/>
    <s v="DERME GÜN KURUSU KAYISI JUMBO"/>
    <m/>
    <x v="5"/>
    <s v="ST00000001185"/>
    <s v="SATIŞ"/>
    <s v="POS"/>
    <n v="0.23"/>
    <n v="950"/>
    <n v="218.5"/>
    <n v="0"/>
    <m/>
    <m/>
    <m/>
    <m/>
    <n v="0"/>
    <n v="0"/>
    <n v="54891.818997470873"/>
  </r>
  <r>
    <d v="2026-02-11T00:00:00"/>
    <x v="4"/>
    <s v="KARNIYARIK TOHUMU"/>
    <m/>
    <x v="5"/>
    <s v="ST00000001185"/>
    <s v="SATIŞ"/>
    <s v="POS"/>
    <n v="0.12"/>
    <n v="920"/>
    <n v="110.39999999999999"/>
    <n v="0"/>
    <m/>
    <m/>
    <m/>
    <m/>
    <n v="0"/>
    <n v="0"/>
    <n v="54891.818997470873"/>
  </r>
  <r>
    <d v="2026-02-11T00:00:00"/>
    <x v="4"/>
    <s v="CEVİZLİ SUCUK ATOM (ESMER)"/>
    <m/>
    <x v="1"/>
    <s v="ST00000001186"/>
    <s v="SATIŞ"/>
    <s v="NAKİT"/>
    <n v="0.39800000000000002"/>
    <n v="340"/>
    <n v="0"/>
    <n v="0"/>
    <m/>
    <m/>
    <m/>
    <m/>
    <n v="135.32"/>
    <n v="0"/>
    <n v="55027.138997470873"/>
  </r>
  <r>
    <d v="2026-02-11T00:00:00"/>
    <x v="4"/>
    <s v="DEFNE YAPRAĞI"/>
    <m/>
    <x v="1"/>
    <s v="ST00000001187"/>
    <s v="SATIŞ"/>
    <s v="NAKİT"/>
    <n v="0.05"/>
    <n v="1400"/>
    <n v="0"/>
    <n v="0"/>
    <m/>
    <m/>
    <m/>
    <m/>
    <n v="70"/>
    <n v="0"/>
    <n v="55097.138997470873"/>
  </r>
  <r>
    <d v="2026-02-11T00:00:00"/>
    <x v="4"/>
    <s v="HASEVLİK"/>
    <m/>
    <x v="1"/>
    <s v="ST00000001188"/>
    <s v="SATIŞ"/>
    <s v="NAKİT"/>
    <n v="0.53400000000000003"/>
    <n v="450"/>
    <n v="0"/>
    <n v="0"/>
    <m/>
    <m/>
    <m/>
    <m/>
    <n v="240.3"/>
    <n v="0"/>
    <n v="55337.438997470876"/>
  </r>
  <r>
    <d v="2026-02-11T00:00:00"/>
    <x v="4"/>
    <s v="TALA KARINCA YUMURTASI YAĞI 20 ML"/>
    <m/>
    <x v="1"/>
    <s v="ST00000001189"/>
    <s v="SATIŞ"/>
    <s v="NAKİT"/>
    <n v="1"/>
    <n v="130"/>
    <n v="0"/>
    <n v="0"/>
    <m/>
    <m/>
    <m/>
    <m/>
    <n v="130"/>
    <n v="0"/>
    <n v="55467.438997470876"/>
  </r>
  <r>
    <d v="2026-02-11T00:00:00"/>
    <x v="4"/>
    <s v="ÇEBELİZADE NİOLİ YAĞI 20 ML"/>
    <m/>
    <x v="1"/>
    <s v="ST00000001189"/>
    <s v="SATIŞ"/>
    <s v="NAKİT"/>
    <n v="1"/>
    <n v="165"/>
    <n v="0"/>
    <n v="0"/>
    <m/>
    <m/>
    <m/>
    <m/>
    <n v="165"/>
    <n v="0"/>
    <n v="55632.438997470876"/>
  </r>
  <r>
    <d v="2026-02-11T00:00:00"/>
    <x v="4"/>
    <s v="NAHİTA ALIÇ SİRKESİ 500 ML"/>
    <m/>
    <x v="1"/>
    <s v="ST00000001189"/>
    <s v="SATIŞ"/>
    <s v="NAKİT"/>
    <n v="1"/>
    <n v="140"/>
    <n v="0"/>
    <n v="0"/>
    <m/>
    <m/>
    <m/>
    <m/>
    <n v="140"/>
    <n v="0"/>
    <n v="55772.438997470876"/>
  </r>
  <r>
    <d v="2026-02-11T00:00:00"/>
    <x v="4"/>
    <s v="RUŞUR TAŞI"/>
    <m/>
    <x v="1"/>
    <s v="ST00000001189"/>
    <s v="SATIŞ"/>
    <s v="NAKİT"/>
    <n v="1"/>
    <n v="10"/>
    <n v="0"/>
    <n v="0"/>
    <m/>
    <m/>
    <m/>
    <m/>
    <n v="10"/>
    <n v="0"/>
    <n v="55782.438997470876"/>
  </r>
  <r>
    <d v="2026-02-11T00:00:00"/>
    <x v="4"/>
    <s v="SALÇA TATLI (EV YAPIMI)"/>
    <m/>
    <x v="5"/>
    <s v="ST00000001190"/>
    <s v="SATIŞ"/>
    <s v="POS"/>
    <n v="1"/>
    <n v="200"/>
    <n v="200"/>
    <n v="0"/>
    <m/>
    <m/>
    <m/>
    <m/>
    <n v="0"/>
    <n v="0"/>
    <n v="55782.438997470876"/>
  </r>
  <r>
    <d v="2026-02-11T00:00:00"/>
    <x v="4"/>
    <s v="DOMATES SALÇASI"/>
    <m/>
    <x v="5"/>
    <s v="ST00000001190"/>
    <s v="SATIŞ"/>
    <s v="POS"/>
    <n v="1"/>
    <n v="150"/>
    <n v="150"/>
    <n v="0"/>
    <m/>
    <m/>
    <m/>
    <m/>
    <n v="0"/>
    <n v="0"/>
    <n v="55782.438997470876"/>
  </r>
  <r>
    <d v="2026-02-11T00:00:00"/>
    <x v="4"/>
    <s v="LEBLEBİ ŞEKER RENKLİ"/>
    <m/>
    <x v="5"/>
    <s v="ST00000001190"/>
    <s v="SATIŞ"/>
    <s v="POS"/>
    <n v="0.218"/>
    <n v="230"/>
    <n v="50.14"/>
    <n v="0"/>
    <m/>
    <m/>
    <m/>
    <m/>
    <n v="0"/>
    <n v="0"/>
    <n v="55782.438997470876"/>
  </r>
  <r>
    <d v="2026-02-11T00:00:00"/>
    <x v="4"/>
    <s v="KUŞBURNU - KIRMIZI"/>
    <m/>
    <x v="1"/>
    <s v="ST00000001191"/>
    <s v="SATIŞ"/>
    <s v="NAKİT"/>
    <n v="0.34399999999999997"/>
    <n v="291"/>
    <n v="0"/>
    <n v="0"/>
    <m/>
    <m/>
    <m/>
    <m/>
    <n v="100.10399999999998"/>
    <n v="0"/>
    <n v="55882.542997470875"/>
  </r>
  <r>
    <d v="2026-02-11T00:00:00"/>
    <x v="7"/>
    <m/>
    <m/>
    <x v="4"/>
    <m/>
    <s v="TÜDAB A.Ş. - CARİ ÖDEME"/>
    <s v="NAKİT"/>
    <n v="1"/>
    <n v="0"/>
    <n v="10000"/>
    <n v="0"/>
    <n v="0"/>
    <n v="20000"/>
    <m/>
    <m/>
    <n v="0"/>
    <n v="10000"/>
    <n v="45882.542997470875"/>
  </r>
  <r>
    <d v="2026-02-11T00:00:00"/>
    <x v="10"/>
    <m/>
    <m/>
    <x v="5"/>
    <m/>
    <s v="POS ÇÖZÜMÜ"/>
    <s v="POS"/>
    <n v="1"/>
    <n v="520"/>
    <n v="0"/>
    <n v="520"/>
    <m/>
    <m/>
    <m/>
    <m/>
    <n v="520"/>
    <n v="0"/>
    <n v="46402.542997470875"/>
  </r>
  <r>
    <d v="2026-02-11T00:00:00"/>
    <x v="10"/>
    <m/>
    <m/>
    <x v="5"/>
    <m/>
    <s v="POS ÇÖZÜMÜ"/>
    <s v="POS"/>
    <n v="1"/>
    <n v="720"/>
    <n v="0"/>
    <n v="720"/>
    <m/>
    <m/>
    <m/>
    <m/>
    <n v="720"/>
    <n v="0"/>
    <n v="47122.542997470875"/>
  </r>
  <r>
    <d v="2026-02-12T00:00:00"/>
    <x v="4"/>
    <s v="TÜDAB KEÇİ BOYNUZU (DÖKME)"/>
    <m/>
    <x v="5"/>
    <s v="ST00000001192"/>
    <s v="SATIŞ"/>
    <s v="POS"/>
    <n v="9.1428571428571428E-2"/>
    <n v="350"/>
    <n v="32"/>
    <n v="0"/>
    <m/>
    <m/>
    <m/>
    <m/>
    <n v="0"/>
    <n v="0"/>
    <n v="47122.542997470875"/>
  </r>
  <r>
    <d v="2026-02-12T00:00:00"/>
    <x v="4"/>
    <s v="HASEVLİK"/>
    <m/>
    <x v="1"/>
    <s v="ST00000001193"/>
    <s v="SATIŞ"/>
    <s v="NAKİT"/>
    <n v="0.22222222222222221"/>
    <n v="450"/>
    <n v="0"/>
    <n v="0"/>
    <m/>
    <m/>
    <m/>
    <m/>
    <n v="100"/>
    <n v="0"/>
    <n v="47222.542997470875"/>
  </r>
  <r>
    <d v="2026-02-12T00:00:00"/>
    <x v="4"/>
    <s v="RUŞUR TAŞI"/>
    <m/>
    <x v="1"/>
    <s v="ST00000001194"/>
    <s v="SATIŞ"/>
    <s v="NAKİT"/>
    <n v="2"/>
    <n v="10"/>
    <n v="0"/>
    <n v="0"/>
    <m/>
    <m/>
    <m/>
    <m/>
    <n v="20"/>
    <n v="0"/>
    <n v="47242.542997470875"/>
  </r>
  <r>
    <d v="2026-02-12T00:00:00"/>
    <x v="4"/>
    <s v="KEKİK LÜX"/>
    <m/>
    <x v="1"/>
    <s v="ST00000001195"/>
    <s v="SATIŞ"/>
    <s v="NAKİT"/>
    <n v="6.6666666666666666E-2"/>
    <n v="750"/>
    <n v="0"/>
    <n v="0"/>
    <m/>
    <m/>
    <m/>
    <m/>
    <n v="50"/>
    <n v="0"/>
    <n v="47292.542997470875"/>
  </r>
  <r>
    <d v="2026-02-12T00:00:00"/>
    <x v="4"/>
    <s v="NANE İRİ"/>
    <m/>
    <x v="1"/>
    <s v="ST00000001195"/>
    <s v="SATIŞ"/>
    <s v="NAKİT"/>
    <n v="0.125"/>
    <n v="400"/>
    <n v="0"/>
    <n v="0"/>
    <m/>
    <m/>
    <m/>
    <m/>
    <n v="50"/>
    <n v="0"/>
    <n v="47342.542997470875"/>
  </r>
  <r>
    <d v="2026-02-12T00:00:00"/>
    <x v="4"/>
    <s v="AÇIK KAYISI İRİ (SARI)"/>
    <m/>
    <x v="1"/>
    <s v="ST00000001196"/>
    <s v="SATIŞ"/>
    <s v="NAKİT"/>
    <n v="0.43478260869565216"/>
    <n v="690"/>
    <n v="0"/>
    <n v="0"/>
    <m/>
    <m/>
    <m/>
    <m/>
    <n v="300"/>
    <n v="0"/>
    <n v="47642.542997470875"/>
  </r>
  <r>
    <d v="2026-02-12T00:00:00"/>
    <x v="4"/>
    <s v="EL-RUHA ÇAY (AÇIK)"/>
    <m/>
    <x v="1"/>
    <s v="ST00000001197"/>
    <s v="SATIŞ"/>
    <s v="NAKİT"/>
    <n v="0.25"/>
    <n v="600"/>
    <n v="0"/>
    <n v="0"/>
    <m/>
    <m/>
    <m/>
    <m/>
    <n v="150"/>
    <n v="0"/>
    <n v="47792.542997470875"/>
  </r>
  <r>
    <d v="2026-02-12T00:00:00"/>
    <x v="4"/>
    <s v="DUT KURUSU ESMER"/>
    <m/>
    <x v="1"/>
    <s v="ST00000001198"/>
    <s v="SATIŞ"/>
    <s v="NAKİT"/>
    <n v="0.14888888888888888"/>
    <n v="450"/>
    <n v="0"/>
    <n v="0"/>
    <m/>
    <m/>
    <m/>
    <m/>
    <n v="67"/>
    <n v="0"/>
    <n v="47859.542997470875"/>
  </r>
  <r>
    <d v="2026-02-12T00:00:00"/>
    <x v="4"/>
    <s v="DOLMALIK KURU KABAK"/>
    <m/>
    <x v="1"/>
    <s v="ST00000001199"/>
    <s v="SATIŞ"/>
    <s v="NAKİT"/>
    <n v="0.3"/>
    <n v="250"/>
    <n v="0"/>
    <n v="0"/>
    <m/>
    <m/>
    <m/>
    <m/>
    <n v="75"/>
    <n v="0"/>
    <n v="47934.542997470875"/>
  </r>
  <r>
    <d v="2026-02-12T00:00:00"/>
    <x v="4"/>
    <s v="DOLMALIK SARI BİBER"/>
    <m/>
    <x v="1"/>
    <s v="ST00000001199"/>
    <s v="SATIŞ"/>
    <s v="NAKİT"/>
    <n v="0.22"/>
    <n v="230"/>
    <n v="0"/>
    <n v="0"/>
    <m/>
    <m/>
    <m/>
    <m/>
    <n v="50.6"/>
    <n v="0"/>
    <n v="47985.142997470874"/>
  </r>
  <r>
    <d v="2026-02-12T00:00:00"/>
    <x v="4"/>
    <s v="DOLMALIK KURU PATLICAN"/>
    <m/>
    <x v="1"/>
    <s v="ST00000001199"/>
    <s v="SATIŞ"/>
    <s v="NAKİT"/>
    <n v="0.5"/>
    <n v="250"/>
    <n v="0"/>
    <n v="0"/>
    <m/>
    <m/>
    <m/>
    <m/>
    <n v="125"/>
    <n v="0"/>
    <n v="48110.142997470874"/>
  </r>
  <r>
    <d v="2026-02-12T00:00:00"/>
    <x v="4"/>
    <s v="BALTEK PROPOLİS EKSTRESİ 35 ML"/>
    <m/>
    <x v="5"/>
    <s v="ST00000001200"/>
    <s v="SATIŞ"/>
    <s v="POS"/>
    <n v="1"/>
    <n v="225"/>
    <n v="225"/>
    <n v="0"/>
    <m/>
    <m/>
    <m/>
    <m/>
    <n v="0"/>
    <n v="0"/>
    <n v="48110.142997470874"/>
  </r>
  <r>
    <d v="2026-02-12T00:00:00"/>
    <x v="4"/>
    <s v="TÜDAB ZEYTİNYAĞLI KUDRET NARI"/>
    <m/>
    <x v="5"/>
    <s v="ST00000001200"/>
    <s v="SATIŞ"/>
    <s v="POS"/>
    <n v="1"/>
    <n v="390"/>
    <n v="390"/>
    <n v="0"/>
    <m/>
    <m/>
    <m/>
    <m/>
    <n v="0"/>
    <n v="0"/>
    <n v="48110.142997470874"/>
  </r>
  <r>
    <d v="2026-02-12T00:00:00"/>
    <x v="4"/>
    <s v="MANİSA YAPRAK DÖKME"/>
    <m/>
    <x v="1"/>
    <s v="ST00000001200"/>
    <s v="SATIŞ"/>
    <s v="NAKİT"/>
    <n v="0.5"/>
    <n v="300"/>
    <n v="0"/>
    <n v="0"/>
    <m/>
    <m/>
    <m/>
    <m/>
    <n v="150"/>
    <n v="0"/>
    <n v="48260.142997470874"/>
  </r>
  <r>
    <d v="2026-02-12T00:00:00"/>
    <x v="4"/>
    <s v="MATCHA DETOX ÇAYI"/>
    <m/>
    <x v="1"/>
    <s v="ST00000001201"/>
    <s v="SATIŞ"/>
    <s v="NAKİT"/>
    <n v="1"/>
    <n v="190"/>
    <n v="0"/>
    <n v="0"/>
    <m/>
    <m/>
    <m/>
    <m/>
    <n v="190"/>
    <n v="0"/>
    <n v="48450.142997470874"/>
  </r>
  <r>
    <d v="2026-02-12T00:00:00"/>
    <x v="4"/>
    <s v="LİMON MELİSA"/>
    <m/>
    <x v="5"/>
    <s v="ST00000001202"/>
    <s v="SATIŞ"/>
    <s v="POS"/>
    <n v="0.1"/>
    <n v="2000"/>
    <n v="200"/>
    <n v="0"/>
    <m/>
    <m/>
    <m/>
    <m/>
    <n v="0"/>
    <n v="0"/>
    <n v="48450.142997470874"/>
  </r>
  <r>
    <d v="2026-02-12T00:00:00"/>
    <x v="4"/>
    <s v="TÜDAB KIŞ ÇAYI 200 GR"/>
    <m/>
    <x v="5"/>
    <s v="ST00000001203"/>
    <s v="SATIŞ"/>
    <s v="POS"/>
    <n v="1"/>
    <n v="130"/>
    <n v="130"/>
    <n v="0"/>
    <m/>
    <m/>
    <m/>
    <m/>
    <n v="0"/>
    <n v="0"/>
    <n v="48450.142997470874"/>
  </r>
  <r>
    <d v="2026-02-12T00:00:00"/>
    <x v="4"/>
    <s v="MS 02 DERMA ÖRME BANYO &amp; YÜZ LİFİ"/>
    <m/>
    <x v="5"/>
    <s v="ST00000001203"/>
    <s v="SATIŞ"/>
    <s v="POS"/>
    <n v="1"/>
    <n v="100"/>
    <n v="100"/>
    <n v="0"/>
    <m/>
    <m/>
    <m/>
    <m/>
    <n v="0"/>
    <n v="0"/>
    <n v="48450.142997470874"/>
  </r>
  <r>
    <d v="2026-02-12T00:00:00"/>
    <x v="10"/>
    <m/>
    <m/>
    <x v="5"/>
    <m/>
    <s v="POS ÇÖZÜMÜ"/>
    <s v="POS"/>
    <n v="1"/>
    <n v="950"/>
    <n v="0"/>
    <n v="950"/>
    <m/>
    <m/>
    <m/>
    <m/>
    <n v="950"/>
    <n v="0"/>
    <n v="49400.142997470874"/>
  </r>
  <r>
    <d v="2026-02-13T00:00:00"/>
    <x v="4"/>
    <s v="DOLMALIK KURU PATLICAN"/>
    <m/>
    <x v="1"/>
    <s v="ST00000001204"/>
    <s v="SATIŞ"/>
    <s v="NAKİT"/>
    <n v="1"/>
    <n v="250"/>
    <n v="0"/>
    <n v="0"/>
    <m/>
    <m/>
    <m/>
    <m/>
    <n v="250"/>
    <n v="0"/>
    <n v="49650.142997470874"/>
  </r>
  <r>
    <d v="2026-02-13T00:00:00"/>
    <x v="4"/>
    <s v="DOLMALIK KURU PATLICAN"/>
    <m/>
    <x v="5"/>
    <s v="ST00000001205"/>
    <s v="SATIŞ"/>
    <s v="POS"/>
    <n v="0.5"/>
    <n v="250"/>
    <n v="125"/>
    <n v="0"/>
    <m/>
    <m/>
    <m/>
    <m/>
    <n v="0"/>
    <n v="0"/>
    <n v="49650.142997470874"/>
  </r>
  <r>
    <d v="2026-02-13T00:00:00"/>
    <x v="4"/>
    <s v="DOLMALIK SARI BİBER"/>
    <m/>
    <x v="5"/>
    <s v="ST00000001205"/>
    <s v="SATIŞ"/>
    <s v="POS"/>
    <n v="0.5"/>
    <n v="230"/>
    <n v="115"/>
    <n v="0"/>
    <m/>
    <m/>
    <m/>
    <m/>
    <n v="0"/>
    <n v="0"/>
    <n v="49650.142997470874"/>
  </r>
  <r>
    <d v="2026-02-13T00:00:00"/>
    <x v="4"/>
    <s v="EL-RUHA ÇAY (AÇIK)"/>
    <m/>
    <x v="5"/>
    <s v="ST00000001205"/>
    <s v="SATIŞ"/>
    <s v="POS"/>
    <n v="0.25"/>
    <n v="600"/>
    <n v="150"/>
    <n v="0"/>
    <m/>
    <m/>
    <m/>
    <m/>
    <n v="0"/>
    <n v="0"/>
    <n v="49650.142997470874"/>
  </r>
  <r>
    <d v="2026-02-13T00:00:00"/>
    <x v="4"/>
    <s v="MANİSA YAPRAK DÖKME"/>
    <m/>
    <x v="5"/>
    <s v="ST00000001205"/>
    <s v="SATIŞ"/>
    <s v="POS"/>
    <n v="0.5"/>
    <n v="300"/>
    <n v="150"/>
    <n v="0"/>
    <m/>
    <m/>
    <m/>
    <m/>
    <n v="0"/>
    <n v="0"/>
    <n v="49650.142997470874"/>
  </r>
  <r>
    <d v="2026-02-13T00:00:00"/>
    <x v="4"/>
    <s v="TÜRK KAHVESİ"/>
    <m/>
    <x v="1"/>
    <s v="ST00000001206"/>
    <s v="SATIŞ"/>
    <s v="NAKİT"/>
    <n v="0.2"/>
    <n v="650"/>
    <n v="0"/>
    <n v="0"/>
    <m/>
    <m/>
    <m/>
    <m/>
    <n v="130"/>
    <n v="0"/>
    <n v="49780.142997470874"/>
  </r>
  <r>
    <d v="2026-02-13T00:00:00"/>
    <x v="4"/>
    <s v="KARABİBER ÇEKİLMİŞ"/>
    <m/>
    <x v="1"/>
    <s v="ST00000001206"/>
    <s v="SATIŞ"/>
    <s v="NAKİT"/>
    <n v="7.6923076923076927E-2"/>
    <n v="650"/>
    <n v="0"/>
    <n v="0"/>
    <m/>
    <m/>
    <m/>
    <m/>
    <n v="50"/>
    <n v="0"/>
    <n v="49830.142997470874"/>
  </r>
  <r>
    <d v="2026-02-13T00:00:00"/>
    <x v="4"/>
    <s v="TATLI BADEM YAĞI 50 CC"/>
    <m/>
    <x v="1"/>
    <s v="ST00000001207"/>
    <s v="SATIŞ"/>
    <s v="NAKİT"/>
    <n v="2"/>
    <n v="100"/>
    <n v="0"/>
    <n v="0"/>
    <m/>
    <m/>
    <m/>
    <m/>
    <n v="200"/>
    <n v="0"/>
    <n v="50030.142997470874"/>
  </r>
  <r>
    <d v="2026-02-13T00:00:00"/>
    <x v="4"/>
    <s v="SUMAK"/>
    <m/>
    <x v="1"/>
    <s v="ST00000001208"/>
    <s v="SATIŞ"/>
    <s v="NAKİT"/>
    <n v="0.2"/>
    <n v="500"/>
    <n v="0"/>
    <n v="0"/>
    <m/>
    <m/>
    <m/>
    <m/>
    <n v="100"/>
    <n v="0"/>
    <n v="50130.142997470874"/>
  </r>
  <r>
    <d v="2026-02-13T00:00:00"/>
    <x v="4"/>
    <s v="SEYHAN ÜZÜM ÖZEL"/>
    <m/>
    <x v="1"/>
    <s v="ST00000001208"/>
    <s v="SATIŞ"/>
    <s v="NAKİT"/>
    <n v="0.26666666666666666"/>
    <n v="750"/>
    <n v="0"/>
    <n v="0"/>
    <m/>
    <m/>
    <m/>
    <m/>
    <n v="200"/>
    <n v="0"/>
    <n v="50330.142997470874"/>
  </r>
  <r>
    <d v="2026-02-13T00:00:00"/>
    <x v="4"/>
    <s v="AKSU VİTAL GİNSENG EKSTRATLI MACUN 300 GR"/>
    <m/>
    <x v="1"/>
    <s v="ST00000001209"/>
    <s v="SATIŞ"/>
    <s v="NAKİT"/>
    <n v="1"/>
    <n v="400"/>
    <n v="0"/>
    <n v="0"/>
    <m/>
    <m/>
    <m/>
    <m/>
    <n v="400"/>
    <n v="0"/>
    <n v="50730.142997470874"/>
  </r>
  <r>
    <d v="2026-02-13T00:00:00"/>
    <x v="10"/>
    <m/>
    <m/>
    <x v="5"/>
    <m/>
    <s v="POS ÇÖZÜMÜ"/>
    <s v="POS"/>
    <n v="1"/>
    <n v="950"/>
    <n v="0"/>
    <n v="950"/>
    <m/>
    <m/>
    <m/>
    <m/>
    <n v="950"/>
    <n v="0"/>
    <n v="51680.142997470874"/>
  </r>
  <r>
    <d v="2026-02-13T00:00:00"/>
    <x v="10"/>
    <m/>
    <m/>
    <x v="5"/>
    <m/>
    <s v="POS ÇÖZÜMÜ"/>
    <s v="POS"/>
    <n v="1"/>
    <n v="1635"/>
    <n v="0"/>
    <n v="1635"/>
    <m/>
    <m/>
    <m/>
    <m/>
    <n v="1635"/>
    <n v="0"/>
    <n v="53315.142997470874"/>
  </r>
  <r>
    <d v="2026-02-14T00:00:00"/>
    <x v="3"/>
    <s v="ESMER BULGUR (AKIN)"/>
    <m/>
    <x v="4"/>
    <n v="998258"/>
    <s v="TÜDAB A.Ş."/>
    <s v="CARİ"/>
    <n v="5"/>
    <n v="31"/>
    <n v="0"/>
    <n v="155"/>
    <m/>
    <m/>
    <m/>
    <m/>
    <n v="0"/>
    <n v="0"/>
    <n v="53315.142997470874"/>
  </r>
  <r>
    <d v="2026-02-14T00:00:00"/>
    <x v="3"/>
    <s v="BALTEK PROPOLİS EKSTRESİ 35 ML"/>
    <m/>
    <x v="4"/>
    <n v="998258"/>
    <s v="TÜDAB A.Ş."/>
    <s v="CARİ"/>
    <n v="6"/>
    <n v="195"/>
    <n v="0"/>
    <n v="1170"/>
    <m/>
    <m/>
    <m/>
    <m/>
    <n v="0"/>
    <n v="0"/>
    <n v="53315.142997470874"/>
  </r>
  <r>
    <d v="2026-02-14T00:00:00"/>
    <x v="3"/>
    <s v="KAJUN BAHARATI - CAJUN SEASONING 1000 GR"/>
    <m/>
    <x v="4"/>
    <n v="998258"/>
    <s v="TÜDAB A.Ş."/>
    <s v="CARİ"/>
    <n v="3"/>
    <n v="265"/>
    <n v="0"/>
    <n v="795"/>
    <m/>
    <m/>
    <m/>
    <m/>
    <n v="0"/>
    <n v="0"/>
    <n v="53315.142997470874"/>
  </r>
  <r>
    <d v="2026-02-14T00:00:00"/>
    <x v="3"/>
    <s v="CEVİZLİ SUCUK ATOM (ESMER)"/>
    <m/>
    <x v="4"/>
    <n v="998258"/>
    <s v="TÜDAB A.Ş."/>
    <s v="CARİ"/>
    <n v="10"/>
    <n v="225"/>
    <n v="0"/>
    <n v="2250"/>
    <m/>
    <m/>
    <m/>
    <m/>
    <n v="0"/>
    <n v="0"/>
    <n v="53315.142997470874"/>
  </r>
  <r>
    <d v="2026-02-14T00:00:00"/>
    <x v="3"/>
    <s v="KUŞBURNU - KIRMIZI"/>
    <m/>
    <x v="4"/>
    <n v="998258"/>
    <s v="TÜDAB A.Ş."/>
    <s v="CARİ"/>
    <n v="3"/>
    <n v="180"/>
    <n v="0"/>
    <n v="540"/>
    <m/>
    <m/>
    <m/>
    <m/>
    <n v="0"/>
    <n v="0"/>
    <n v="53315.142997470874"/>
  </r>
  <r>
    <d v="2026-02-14T00:00:00"/>
    <x v="3"/>
    <s v="REZENE"/>
    <m/>
    <x v="4"/>
    <n v="998258"/>
    <s v="TÜDAB A.Ş."/>
    <s v="CARİ"/>
    <n v="2"/>
    <n v="150"/>
    <n v="0"/>
    <n v="300"/>
    <m/>
    <m/>
    <m/>
    <m/>
    <n v="0"/>
    <n v="0"/>
    <n v="53315.142997470874"/>
  </r>
  <r>
    <d v="2026-02-14T00:00:00"/>
    <x v="3"/>
    <s v="KİTEL BULGUR (SEFER)"/>
    <m/>
    <x v="4"/>
    <n v="998258"/>
    <s v="TÜDAB A.Ş."/>
    <s v="CARİ"/>
    <n v="5"/>
    <n v="32"/>
    <n v="0"/>
    <n v="160"/>
    <m/>
    <m/>
    <m/>
    <m/>
    <n v="0"/>
    <n v="0"/>
    <n v="53315.142997470874"/>
  </r>
  <r>
    <d v="2026-02-14T00:00:00"/>
    <x v="3"/>
    <s v="SUSAM"/>
    <m/>
    <x v="4"/>
    <n v="998258"/>
    <s v="TÜDAB A.Ş."/>
    <s v="CARİ"/>
    <n v="3"/>
    <n v="110"/>
    <n v="0"/>
    <n v="330"/>
    <m/>
    <m/>
    <m/>
    <m/>
    <n v="0"/>
    <n v="0"/>
    <n v="53315.142997470874"/>
  </r>
  <r>
    <d v="2026-02-14T00:00:00"/>
    <x v="3"/>
    <s v="YEDİ TÜRLÜ BAHARAT  (LUXURY CHEF)"/>
    <m/>
    <x v="4"/>
    <n v="998258"/>
    <s v="TÜDAB A.Ş."/>
    <s v="CARİ"/>
    <n v="1"/>
    <n v="305"/>
    <n v="0"/>
    <n v="305"/>
    <m/>
    <m/>
    <m/>
    <m/>
    <n v="0"/>
    <n v="0"/>
    <n v="53315.142997470874"/>
  </r>
  <r>
    <d v="2026-02-14T00:00:00"/>
    <x v="3"/>
    <s v="ÇİĞ KABAK ÇEKİRDEĞİ"/>
    <m/>
    <x v="4"/>
    <n v="998258"/>
    <s v="TÜDAB A.Ş."/>
    <s v="CARİ"/>
    <n v="3"/>
    <n v="270"/>
    <n v="0"/>
    <n v="810"/>
    <m/>
    <m/>
    <m/>
    <m/>
    <n v="0"/>
    <n v="0"/>
    <n v="53315.142997470874"/>
  </r>
  <r>
    <d v="2026-02-14T00:00:00"/>
    <x v="4"/>
    <s v="MOR REYHAN"/>
    <m/>
    <x v="5"/>
    <s v="ST00000001210"/>
    <s v="SATIŞ"/>
    <s v="POS"/>
    <n v="0.05"/>
    <n v="1500"/>
    <n v="75"/>
    <n v="0"/>
    <m/>
    <m/>
    <m/>
    <m/>
    <n v="0"/>
    <n v="0"/>
    <n v="53315.142997470874"/>
  </r>
  <r>
    <d v="2026-02-14T00:00:00"/>
    <x v="4"/>
    <s v="HASEVLİK"/>
    <m/>
    <x v="1"/>
    <s v="ST00000001211"/>
    <s v="SATIŞ"/>
    <s v="NAKİT"/>
    <n v="0.22222222222222221"/>
    <n v="450"/>
    <n v="0"/>
    <n v="0"/>
    <m/>
    <m/>
    <m/>
    <m/>
    <n v="100"/>
    <n v="0"/>
    <n v="53415.142997470874"/>
  </r>
  <r>
    <d v="2026-02-14T00:00:00"/>
    <x v="4"/>
    <s v="KARIŞIK KURUYEMİŞ"/>
    <m/>
    <x v="5"/>
    <s v="ST00000001212"/>
    <s v="SATIŞ"/>
    <s v="POS"/>
    <n v="0.23529411764705882"/>
    <n v="850"/>
    <n v="200"/>
    <n v="0"/>
    <m/>
    <m/>
    <m/>
    <m/>
    <n v="0"/>
    <n v="0"/>
    <n v="53415.142997470874"/>
  </r>
  <r>
    <d v="2026-02-14T00:00:00"/>
    <x v="4"/>
    <s v="CEVİZLİ SUCUK ATOM (ESMER)"/>
    <m/>
    <x v="5"/>
    <s v="ST00000001212"/>
    <s v="SATIŞ"/>
    <s v="POS"/>
    <n v="0.38235294117647056"/>
    <n v="262"/>
    <n v="100.17647058823529"/>
    <n v="0"/>
    <m/>
    <m/>
    <m/>
    <m/>
    <n v="0"/>
    <n v="0"/>
    <n v="53415.142997470874"/>
  </r>
  <r>
    <d v="2026-02-14T00:00:00"/>
    <x v="4"/>
    <s v="NANE İRİ"/>
    <m/>
    <x v="5"/>
    <s v="ST00000001213"/>
    <s v="SATIŞ"/>
    <s v="POS"/>
    <n v="7.1999999999999995E-2"/>
    <n v="400"/>
    <n v="28.799999999999997"/>
    <n v="0"/>
    <m/>
    <m/>
    <m/>
    <m/>
    <n v="0"/>
    <n v="0"/>
    <n v="53415.142997470874"/>
  </r>
  <r>
    <d v="2026-02-14T00:00:00"/>
    <x v="4"/>
    <s v="KİMYON ÇEKİLMİŞ"/>
    <m/>
    <x v="5"/>
    <s v="ST00000001213"/>
    <s v="SATIŞ"/>
    <s v="POS"/>
    <n v="0.11600000000000001"/>
    <n v="400"/>
    <n v="46.400000000000006"/>
    <n v="0"/>
    <m/>
    <m/>
    <m/>
    <m/>
    <n v="0"/>
    <n v="0"/>
    <n v="53415.142997470874"/>
  </r>
  <r>
    <d v="2026-02-14T00:00:00"/>
    <x v="4"/>
    <s v="ZERDEÇAL TOZ"/>
    <m/>
    <x v="5"/>
    <s v="ST00000001213"/>
    <s v="SATIŞ"/>
    <s v="POS"/>
    <n v="0.192"/>
    <n v="300"/>
    <n v="57.6"/>
    <n v="0"/>
    <m/>
    <m/>
    <m/>
    <m/>
    <n v="0"/>
    <n v="0"/>
    <n v="53415.142997470874"/>
  </r>
  <r>
    <d v="2026-02-14T00:00:00"/>
    <x v="4"/>
    <s v="KARABİBER ÇEKİLMİŞ"/>
    <m/>
    <x v="5"/>
    <s v="ST00000001213"/>
    <s v="SATIŞ"/>
    <s v="POS"/>
    <n v="0.09"/>
    <n v="650"/>
    <n v="58.5"/>
    <n v="0"/>
    <m/>
    <m/>
    <m/>
    <m/>
    <n v="0"/>
    <n v="0"/>
    <n v="53415.142997470874"/>
  </r>
  <r>
    <d v="2026-02-14T00:00:00"/>
    <x v="4"/>
    <s v="SUSAM"/>
    <m/>
    <x v="5"/>
    <s v="ST00000001213"/>
    <s v="SATIŞ"/>
    <s v="POS"/>
    <n v="0.1"/>
    <n v="400"/>
    <n v="40"/>
    <n v="0"/>
    <m/>
    <m/>
    <m/>
    <m/>
    <n v="0"/>
    <n v="0"/>
    <n v="53415.142997470874"/>
  </r>
  <r>
    <d v="2026-02-14T00:00:00"/>
    <x v="4"/>
    <s v="ÇÖREKOTU"/>
    <m/>
    <x v="5"/>
    <s v="ST00000001213"/>
    <s v="SATIŞ"/>
    <s v="POS"/>
    <n v="0.1"/>
    <n v="400"/>
    <n v="40"/>
    <n v="0"/>
    <m/>
    <m/>
    <m/>
    <m/>
    <n v="0"/>
    <n v="0"/>
    <n v="53415.142997470874"/>
  </r>
  <r>
    <d v="2026-02-14T00:00:00"/>
    <x v="4"/>
    <s v="KARBONAT"/>
    <m/>
    <x v="5"/>
    <s v="ST00000001214"/>
    <s v="SATIŞ"/>
    <s v="POS"/>
    <n v="0.5"/>
    <n v="80"/>
    <n v="40"/>
    <n v="0"/>
    <m/>
    <m/>
    <m/>
    <m/>
    <n v="0"/>
    <n v="0"/>
    <n v="53415.142997470874"/>
  </r>
  <r>
    <d v="2026-02-14T00:00:00"/>
    <x v="4"/>
    <s v="ŞİFAVER KÜKÜRTLÜ HATAY SABUNU"/>
    <m/>
    <x v="5"/>
    <s v="ST00000001214"/>
    <s v="SATIŞ"/>
    <s v="POS"/>
    <n v="1"/>
    <n v="50"/>
    <n v="50"/>
    <n v="0"/>
    <m/>
    <m/>
    <m/>
    <m/>
    <n v="0"/>
    <n v="0"/>
    <n v="53415.142997470874"/>
  </r>
  <r>
    <d v="2026-02-14T00:00:00"/>
    <x v="4"/>
    <s v="KABAK LİFLİ ÇAM ARDIÇ SABUN"/>
    <m/>
    <x v="5"/>
    <s v="ST00000001214"/>
    <s v="SATIŞ"/>
    <s v="POS"/>
    <n v="1"/>
    <n v="80"/>
    <n v="80"/>
    <n v="0"/>
    <m/>
    <m/>
    <m/>
    <m/>
    <n v="0"/>
    <n v="0"/>
    <n v="53415.142997470874"/>
  </r>
  <r>
    <d v="2026-02-14T00:00:00"/>
    <x v="4"/>
    <s v="ERBATAB VİTAMİN D3 K2 2'Sİ 1 ARADA DAMLA - D3K2"/>
    <m/>
    <x v="5"/>
    <s v="ST00000001214"/>
    <s v="SATIŞ"/>
    <s v="POS"/>
    <n v="1"/>
    <n v="250"/>
    <n v="250"/>
    <n v="0"/>
    <m/>
    <m/>
    <m/>
    <m/>
    <n v="0"/>
    <n v="0"/>
    <n v="53415.142997470874"/>
  </r>
  <r>
    <d v="2026-02-14T00:00:00"/>
    <x v="4"/>
    <s v="REZENE"/>
    <m/>
    <x v="5"/>
    <s v="ST00000001215"/>
    <s v="SATIŞ"/>
    <s v="POS"/>
    <n v="0.1"/>
    <n v="900"/>
    <n v="90"/>
    <n v="0"/>
    <m/>
    <m/>
    <m/>
    <m/>
    <n v="0"/>
    <n v="0"/>
    <n v="53415.142997470874"/>
  </r>
  <r>
    <d v="2026-02-14T00:00:00"/>
    <x v="4"/>
    <s v="KUDÜS HURMASI JUMBO"/>
    <m/>
    <x v="5"/>
    <s v="ST00000001215"/>
    <s v="SATIŞ"/>
    <s v="POS"/>
    <n v="0.33800000000000002"/>
    <n v="670"/>
    <n v="226.46"/>
    <n v="0"/>
    <m/>
    <m/>
    <m/>
    <m/>
    <n v="0"/>
    <n v="0"/>
    <n v="53415.142997470874"/>
  </r>
  <r>
    <d v="2026-02-14T00:00:00"/>
    <x v="4"/>
    <s v="ANASON"/>
    <m/>
    <x v="5"/>
    <s v="ST00000001215"/>
    <s v="SATIŞ"/>
    <s v="POS"/>
    <n v="0.13400000000000001"/>
    <n v="760"/>
    <n v="101.84"/>
    <n v="0"/>
    <m/>
    <m/>
    <m/>
    <m/>
    <n v="0"/>
    <n v="0"/>
    <n v="53415.142997470874"/>
  </r>
  <r>
    <d v="2026-02-14T00:00:00"/>
    <x v="4"/>
    <s v="MANİSA YAPRAK DÖKME"/>
    <m/>
    <x v="5"/>
    <s v="ST00000001216"/>
    <s v="SATIŞ"/>
    <s v="POS"/>
    <n v="1"/>
    <n v="300"/>
    <n v="300"/>
    <n v="0"/>
    <m/>
    <m/>
    <m/>
    <m/>
    <n v="0"/>
    <n v="0"/>
    <n v="53415.142997470874"/>
  </r>
  <r>
    <d v="2026-02-14T00:00:00"/>
    <x v="4"/>
    <s v="KARABİBER ÇEKİLMİŞ"/>
    <m/>
    <x v="5"/>
    <s v="ST00000001216"/>
    <s v="SATIŞ"/>
    <s v="POS"/>
    <n v="7.3846153846153853E-2"/>
    <n v="650"/>
    <n v="48.000000000000007"/>
    <n v="0"/>
    <m/>
    <m/>
    <m/>
    <m/>
    <n v="0"/>
    <n v="0"/>
    <n v="53415.142997470874"/>
  </r>
  <r>
    <d v="2026-02-14T00:00:00"/>
    <x v="4"/>
    <s v="ZENCEFİL TOZ"/>
    <m/>
    <x v="1"/>
    <s v="ST00000001217"/>
    <s v="SATIŞ"/>
    <s v="NAKİT"/>
    <n v="0.125"/>
    <n v="400"/>
    <n v="0"/>
    <n v="0"/>
    <m/>
    <m/>
    <m/>
    <m/>
    <n v="50"/>
    <n v="0"/>
    <n v="53465.142997470874"/>
  </r>
  <r>
    <d v="2026-02-14T00:00:00"/>
    <x v="4"/>
    <s v="EL-RUHA ÇAY (AÇIK)"/>
    <m/>
    <x v="5"/>
    <s v="ST00000001218"/>
    <s v="SATIŞ"/>
    <s v="POS"/>
    <n v="0.5"/>
    <n v="600"/>
    <n v="300"/>
    <n v="0"/>
    <m/>
    <m/>
    <m/>
    <m/>
    <n v="0"/>
    <n v="0"/>
    <n v="53465.142997470874"/>
  </r>
  <r>
    <d v="2026-02-14T00:00:00"/>
    <x v="10"/>
    <m/>
    <m/>
    <x v="5"/>
    <m/>
    <s v="POS ÇÖZÜMÜ"/>
    <s v="POS"/>
    <n v="1"/>
    <n v="340"/>
    <n v="0"/>
    <n v="340"/>
    <m/>
    <m/>
    <m/>
    <m/>
    <n v="340"/>
    <n v="0"/>
    <n v="53805.142997470874"/>
  </r>
  <r>
    <d v="2026-02-14T00:00:00"/>
    <x v="6"/>
    <s v="BALTEK PROPOLİS EKSTRESİ 35 ML"/>
    <m/>
    <x v="4"/>
    <m/>
    <s v="TÜDAB A.Ş. - İADE"/>
    <s v="CARİ"/>
    <n v="6"/>
    <n v="195"/>
    <n v="1170"/>
    <n v="0"/>
    <m/>
    <m/>
    <m/>
    <m/>
    <n v="0"/>
    <n v="0"/>
    <n v="53805.142997470874"/>
  </r>
  <r>
    <d v="2026-02-15T00:00:00"/>
    <x v="4"/>
    <s v="ZÜHRE ANA BROMELAİN ANANAS İÇEREN DETOX ŞURUBU 250 ML"/>
    <m/>
    <x v="1"/>
    <s v="ST00000001219"/>
    <s v="SATIŞ"/>
    <s v="NAKİT"/>
    <n v="2"/>
    <n v="220"/>
    <n v="0"/>
    <n v="0"/>
    <m/>
    <m/>
    <m/>
    <m/>
    <n v="440"/>
    <n v="0"/>
    <n v="54245.142997470874"/>
  </r>
  <r>
    <d v="2026-02-15T00:00:00"/>
    <x v="4"/>
    <s v="HİBİSKUS"/>
    <m/>
    <x v="1"/>
    <s v="ST00000001219"/>
    <s v="SATIŞ"/>
    <s v="NAKİT"/>
    <n v="0.1"/>
    <n v="600"/>
    <n v="0"/>
    <n v="0"/>
    <m/>
    <m/>
    <m/>
    <m/>
    <n v="60"/>
    <n v="0"/>
    <n v="54305.142997470874"/>
  </r>
  <r>
    <d v="2026-02-15T00:00:00"/>
    <x v="4"/>
    <s v="EMBEAUTY KOLEJAN VE KERATİN SAÇ DÖKÜLMESİNE KARŞI ONARICI DOLGUNLAŞTIRICI ŞAMPUAN 400 ML"/>
    <m/>
    <x v="1"/>
    <s v="ST00000001219"/>
    <s v="SATIŞ"/>
    <s v="NAKİT"/>
    <n v="1"/>
    <n v="290"/>
    <n v="0"/>
    <n v="0"/>
    <m/>
    <m/>
    <m/>
    <m/>
    <n v="290"/>
    <n v="0"/>
    <n v="54595.142997470874"/>
  </r>
  <r>
    <d v="2026-02-15T00:00:00"/>
    <x v="4"/>
    <s v="ÇUBUK TARÇIN"/>
    <m/>
    <x v="5"/>
    <s v="ST00000001220"/>
    <s v="SATIŞ"/>
    <s v="POS"/>
    <n v="0.1"/>
    <n v="650"/>
    <n v="65"/>
    <n v="0"/>
    <m/>
    <m/>
    <m/>
    <m/>
    <n v="0"/>
    <n v="0"/>
    <n v="54595.142997470874"/>
  </r>
  <r>
    <d v="2026-02-15T00:00:00"/>
    <x v="4"/>
    <s v="CEVİZLİ SUCUK ATOM (ESMER)"/>
    <m/>
    <x v="5"/>
    <s v="ST00000001221"/>
    <s v="SATIŞ"/>
    <s v="POS"/>
    <n v="0.38235294117647056"/>
    <n v="340"/>
    <n v="130"/>
    <n v="0"/>
    <m/>
    <m/>
    <m/>
    <m/>
    <n v="0"/>
    <n v="0"/>
    <n v="54595.142997470874"/>
  </r>
  <r>
    <d v="2026-02-15T00:00:00"/>
    <x v="4"/>
    <s v="NBN DAĞ İNCİRİ"/>
    <m/>
    <x v="5"/>
    <s v="ST00000001221"/>
    <s v="SATIŞ"/>
    <s v="POS"/>
    <n v="0.49375000000000002"/>
    <n v="800"/>
    <n v="395"/>
    <n v="0"/>
    <m/>
    <m/>
    <m/>
    <m/>
    <n v="0"/>
    <n v="0"/>
    <n v="54595.142997470874"/>
  </r>
  <r>
    <d v="2026-02-15T00:00:00"/>
    <x v="4"/>
    <s v="DOLMALIK KURU PATLICAN"/>
    <m/>
    <x v="1"/>
    <s v="ST00000001222"/>
    <s v="SATIŞ"/>
    <s v="NAKİT"/>
    <n v="0.4"/>
    <n v="250"/>
    <n v="0"/>
    <n v="0"/>
    <m/>
    <m/>
    <m/>
    <m/>
    <n v="100"/>
    <n v="0"/>
    <n v="54695.142997470874"/>
  </r>
  <r>
    <d v="2026-02-15T00:00:00"/>
    <x v="4"/>
    <s v="NANE İRİ"/>
    <m/>
    <x v="1"/>
    <s v="ST00000001223"/>
    <s v="SATIŞ"/>
    <s v="NAKİT"/>
    <n v="0.25"/>
    <n v="400"/>
    <n v="0"/>
    <n v="0"/>
    <m/>
    <m/>
    <m/>
    <m/>
    <n v="100"/>
    <n v="0"/>
    <n v="54795.142997470874"/>
  </r>
  <r>
    <d v="2026-02-15T00:00:00"/>
    <x v="4"/>
    <s v="TÜDAB KARIŞIK TURŞU"/>
    <m/>
    <x v="1"/>
    <s v="ST00000001224"/>
    <s v="SATIŞ"/>
    <s v="NAKİT"/>
    <n v="1"/>
    <n v="400"/>
    <n v="0"/>
    <n v="0"/>
    <m/>
    <m/>
    <m/>
    <m/>
    <n v="400"/>
    <n v="0"/>
    <n v="55195.142997470874"/>
  </r>
  <r>
    <d v="2026-02-15T00:00:00"/>
    <x v="4"/>
    <s v="YALÇINKAYA ACI BİBER SALÇASI"/>
    <m/>
    <x v="1"/>
    <s v="ST00000001225"/>
    <s v="SATIŞ"/>
    <s v="NAKİT"/>
    <n v="1"/>
    <n v="200"/>
    <n v="0"/>
    <n v="0"/>
    <m/>
    <m/>
    <m/>
    <m/>
    <n v="200"/>
    <n v="0"/>
    <n v="55395.142997470874"/>
  </r>
  <r>
    <d v="2026-02-15T00:00:00"/>
    <x v="4"/>
    <s v="SALÇA TATLI (EV YAPIMI)"/>
    <m/>
    <x v="1"/>
    <s v="ST00000001225"/>
    <s v="SATIŞ"/>
    <s v="NAKİT"/>
    <n v="1"/>
    <n v="200"/>
    <n v="0"/>
    <n v="0"/>
    <m/>
    <m/>
    <m/>
    <m/>
    <n v="200"/>
    <n v="0"/>
    <n v="55595.142997470874"/>
  </r>
  <r>
    <d v="2026-02-15T00:00:00"/>
    <x v="4"/>
    <s v="KİRAZ SAPI"/>
    <m/>
    <x v="1"/>
    <s v="ST00000001226"/>
    <s v="SATIŞ"/>
    <s v="NAKİT"/>
    <n v="2.5000000000000001E-2"/>
    <n v="800"/>
    <n v="0"/>
    <n v="0"/>
    <m/>
    <m/>
    <m/>
    <m/>
    <n v="20"/>
    <n v="0"/>
    <n v="55615.142997470874"/>
  </r>
  <r>
    <d v="2026-02-15T00:00:00"/>
    <x v="4"/>
    <s v="İPEK BİBER"/>
    <m/>
    <x v="5"/>
    <s v="ST00000001227"/>
    <s v="SATIŞ"/>
    <s v="POS"/>
    <n v="0.112"/>
    <n v="500"/>
    <n v="56"/>
    <n v="0"/>
    <m/>
    <m/>
    <m/>
    <m/>
    <n v="0"/>
    <n v="0"/>
    <n v="55615.142997470874"/>
  </r>
  <r>
    <d v="2026-02-15T00:00:00"/>
    <x v="4"/>
    <s v="KİMYON ÇEKİLMİŞ"/>
    <m/>
    <x v="5"/>
    <s v="ST00000001227"/>
    <s v="SATIŞ"/>
    <s v="POS"/>
    <n v="8.2500000000000004E-2"/>
    <n v="400"/>
    <n v="33"/>
    <n v="0"/>
    <m/>
    <m/>
    <m/>
    <m/>
    <n v="0"/>
    <n v="0"/>
    <n v="55615.142997470874"/>
  </r>
  <r>
    <d v="2026-02-15T00:00:00"/>
    <x v="4"/>
    <s v="NANE İRİ"/>
    <m/>
    <x v="5"/>
    <s v="ST00000001227"/>
    <s v="SATIŞ"/>
    <s v="POS"/>
    <n v="4.4999999999999998E-2"/>
    <n v="400"/>
    <n v="18"/>
    <n v="0"/>
    <m/>
    <m/>
    <m/>
    <m/>
    <n v="0"/>
    <n v="0"/>
    <n v="55615.142997470874"/>
  </r>
  <r>
    <d v="2026-02-15T00:00:00"/>
    <x v="4"/>
    <s v="KABUKLU CEVİZ (YERLİ)"/>
    <m/>
    <x v="5"/>
    <s v="ST00000001227"/>
    <s v="SATIŞ"/>
    <s v="POS"/>
    <n v="0.56000000000000005"/>
    <n v="250"/>
    <n v="140"/>
    <n v="0"/>
    <m/>
    <m/>
    <m/>
    <m/>
    <n v="0"/>
    <n v="0"/>
    <n v="55615.142997470874"/>
  </r>
  <r>
    <d v="2026-02-15T00:00:00"/>
    <x v="4"/>
    <s v="NANE İRİ"/>
    <m/>
    <x v="5"/>
    <s v="ST00000001228"/>
    <s v="SATIŞ"/>
    <s v="POS"/>
    <n v="4.7500000000000001E-2"/>
    <n v="400"/>
    <n v="19"/>
    <n v="0"/>
    <m/>
    <m/>
    <m/>
    <m/>
    <n v="0"/>
    <n v="0"/>
    <n v="55615.142997470874"/>
  </r>
  <r>
    <d v="2026-02-15T00:00:00"/>
    <x v="4"/>
    <s v="KİMYON ÇEKİLMİŞ"/>
    <m/>
    <x v="5"/>
    <s v="ST00000001228"/>
    <s v="SATIŞ"/>
    <s v="POS"/>
    <n v="0.09"/>
    <n v="400"/>
    <n v="36"/>
    <n v="0"/>
    <m/>
    <m/>
    <m/>
    <m/>
    <n v="0"/>
    <n v="0"/>
    <n v="55615.142997470874"/>
  </r>
  <r>
    <d v="2026-02-15T00:00:00"/>
    <x v="4"/>
    <s v="DOMATES SALÇASI"/>
    <m/>
    <x v="5"/>
    <s v="ST00000001228"/>
    <s v="SATIŞ"/>
    <s v="POS"/>
    <n v="1"/>
    <n v="75"/>
    <n v="75"/>
    <n v="0"/>
    <m/>
    <m/>
    <m/>
    <m/>
    <n v="0"/>
    <n v="0"/>
    <n v="55615.142997470874"/>
  </r>
  <r>
    <d v="2026-02-15T00:00:00"/>
    <x v="4"/>
    <s v="DOLMALIK KURU PATLICAN"/>
    <m/>
    <x v="5"/>
    <s v="ST00000001228"/>
    <s v="SATIŞ"/>
    <s v="POS"/>
    <n v="1"/>
    <n v="250"/>
    <n v="250"/>
    <n v="0"/>
    <m/>
    <m/>
    <m/>
    <m/>
    <n v="0"/>
    <n v="0"/>
    <n v="55615.142997470874"/>
  </r>
  <r>
    <d v="2026-02-15T00:00:00"/>
    <x v="4"/>
    <s v="DOLMALIK SARI BİBER"/>
    <m/>
    <x v="5"/>
    <s v="ST00000001228"/>
    <s v="SATIŞ"/>
    <s v="POS"/>
    <n v="1"/>
    <n v="230"/>
    <n v="230"/>
    <n v="0"/>
    <m/>
    <m/>
    <m/>
    <m/>
    <n v="0"/>
    <n v="0"/>
    <n v="55615.142997470874"/>
  </r>
  <r>
    <d v="2026-02-15T00:00:00"/>
    <x v="4"/>
    <s v="AKSU VİTAL GİNSENG EKSTRATLI MACUN 300 GR"/>
    <m/>
    <x v="1"/>
    <s v="ST00000001229"/>
    <s v="SATIŞ"/>
    <s v="NAKİT"/>
    <n v="1"/>
    <n v="440"/>
    <n v="0"/>
    <n v="0"/>
    <m/>
    <m/>
    <m/>
    <m/>
    <n v="440"/>
    <n v="0"/>
    <n v="56055.142997470874"/>
  </r>
  <r>
    <d v="2026-02-15T00:00:00"/>
    <x v="4"/>
    <s v="ÇİĞ KABAK ÇEKİRDEĞİ"/>
    <m/>
    <x v="1"/>
    <s v="ST00000001230"/>
    <s v="SATIŞ"/>
    <s v="NAKİT"/>
    <n v="1"/>
    <n v="350"/>
    <n v="0"/>
    <n v="0"/>
    <m/>
    <m/>
    <m/>
    <m/>
    <n v="350"/>
    <n v="0"/>
    <n v="56405.142997470874"/>
  </r>
  <r>
    <d v="2026-02-15T00:00:00"/>
    <x v="4"/>
    <s v="KARANFİL"/>
    <m/>
    <x v="1"/>
    <s v="ST00000001230"/>
    <s v="SATIŞ"/>
    <s v="NAKİT"/>
    <n v="0.1"/>
    <n v="1000"/>
    <n v="0"/>
    <n v="0"/>
    <m/>
    <m/>
    <m/>
    <m/>
    <n v="100"/>
    <n v="0"/>
    <n v="56505.142997470874"/>
  </r>
  <r>
    <d v="2026-02-15T00:00:00"/>
    <x v="4"/>
    <s v="MANİSA YAPRAK DÖKME"/>
    <m/>
    <x v="1"/>
    <s v="ST00000001231"/>
    <s v="SATIŞ"/>
    <s v="NAKİT"/>
    <n v="1.5"/>
    <n v="300"/>
    <n v="0"/>
    <n v="0"/>
    <m/>
    <m/>
    <m/>
    <m/>
    <n v="450"/>
    <n v="0"/>
    <n v="56955.142997470874"/>
  </r>
  <r>
    <d v="2026-02-15T00:00:00"/>
    <x v="4"/>
    <s v="YEDİ TÜRLÜ BAHARAT  (LUXURY CHEF)"/>
    <m/>
    <x v="1"/>
    <s v="ST00000001232"/>
    <s v="SATIŞ - OĞUZ"/>
    <s v="NAKİT"/>
    <n v="0.1"/>
    <n v="900"/>
    <n v="0"/>
    <n v="0"/>
    <m/>
    <m/>
    <m/>
    <m/>
    <n v="90"/>
    <n v="0"/>
    <n v="57045.142997470874"/>
  </r>
  <r>
    <d v="2026-02-15T00:00:00"/>
    <x v="4"/>
    <s v="YEDİ TÜRLÜ BAHARAT  (LUXURY CHEF)"/>
    <m/>
    <x v="1"/>
    <s v="ST00000001233"/>
    <s v="SATIŞ"/>
    <s v="NAKİT"/>
    <n v="0.1"/>
    <n v="900"/>
    <n v="0"/>
    <n v="0"/>
    <m/>
    <m/>
    <m/>
    <m/>
    <n v="90"/>
    <n v="0"/>
    <n v="57135.142997470874"/>
  </r>
  <r>
    <d v="2026-02-15T00:00:00"/>
    <x v="4"/>
    <s v="CİVAN PERÇEMİ"/>
    <m/>
    <x v="1"/>
    <s v="ST00000001233"/>
    <s v="SATIŞ"/>
    <s v="NAKİT"/>
    <n v="0.05"/>
    <n v="1000"/>
    <n v="0"/>
    <n v="0"/>
    <m/>
    <m/>
    <m/>
    <m/>
    <n v="50"/>
    <n v="0"/>
    <n v="57185.142997470874"/>
  </r>
  <r>
    <d v="2026-02-15T00:00:00"/>
    <x v="10"/>
    <m/>
    <m/>
    <x v="5"/>
    <m/>
    <s v="POS ÇÖZÜMÜ"/>
    <s v="POS"/>
    <n v="1"/>
    <n v="970"/>
    <n v="0"/>
    <n v="970"/>
    <m/>
    <m/>
    <m/>
    <m/>
    <n v="970"/>
    <n v="0"/>
    <n v="58155.142997470874"/>
  </r>
  <r>
    <d v="2026-02-16T00:00:00"/>
    <x v="4"/>
    <s v="ÇAVUŞOĞLU ÜZÜM PEKMEZİ 1000 GR"/>
    <m/>
    <x v="1"/>
    <s v="ST00000001234"/>
    <s v="SATIŞ"/>
    <s v="NAKİT"/>
    <n v="1"/>
    <n v="205"/>
    <n v="0"/>
    <n v="0"/>
    <m/>
    <m/>
    <m/>
    <m/>
    <n v="205"/>
    <n v="0"/>
    <n v="58360.142997470874"/>
  </r>
  <r>
    <d v="2026-02-16T00:00:00"/>
    <x v="4"/>
    <s v="LOBAS SAF NAR EKŞİSİ 1 KG"/>
    <m/>
    <x v="1"/>
    <s v="ST00000001234"/>
    <s v="SATIŞ"/>
    <s v="NAKİT"/>
    <n v="1"/>
    <n v="340"/>
    <n v="0"/>
    <n v="0"/>
    <m/>
    <m/>
    <m/>
    <m/>
    <n v="340"/>
    <n v="0"/>
    <n v="58700.142997470874"/>
  </r>
  <r>
    <d v="2026-02-16T00:00:00"/>
    <x v="4"/>
    <s v="TOZ BİBER - ACI"/>
    <m/>
    <x v="1"/>
    <s v="ST00000001234"/>
    <s v="SATIŞ"/>
    <s v="NAKİT"/>
    <n v="0.35"/>
    <n v="350"/>
    <n v="0"/>
    <n v="0"/>
    <m/>
    <m/>
    <m/>
    <m/>
    <n v="122.49999999999999"/>
    <n v="0"/>
    <n v="58822.642997470874"/>
  </r>
  <r>
    <d v="2026-02-16T00:00:00"/>
    <x v="4"/>
    <s v="SUMAK"/>
    <m/>
    <x v="1"/>
    <s v="ST00000001234"/>
    <s v="SATIŞ"/>
    <s v="NAKİT"/>
    <n v="0.23799999999999999"/>
    <n v="500"/>
    <n v="0"/>
    <n v="0"/>
    <m/>
    <m/>
    <m/>
    <m/>
    <n v="119"/>
    <n v="0"/>
    <n v="58941.642997470874"/>
  </r>
  <r>
    <d v="2026-02-16T00:00:00"/>
    <x v="4"/>
    <s v="KİMYON ÇEKİLMİŞ"/>
    <m/>
    <x v="1"/>
    <s v="ST00000001234"/>
    <s v="SATIŞ"/>
    <s v="NAKİT"/>
    <n v="0.78"/>
    <n v="400"/>
    <n v="0"/>
    <n v="0"/>
    <m/>
    <m/>
    <m/>
    <m/>
    <n v="312"/>
    <n v="0"/>
    <n v="59253.642997470874"/>
  </r>
  <r>
    <d v="2026-02-16T00:00:00"/>
    <x v="4"/>
    <s v="İZMİR ÜZÜMÜ"/>
    <m/>
    <x v="1"/>
    <s v="ST00000001234"/>
    <s v="SATIŞ"/>
    <s v="NAKİT"/>
    <n v="0.38"/>
    <n v="250"/>
    <n v="0"/>
    <n v="0"/>
    <m/>
    <m/>
    <m/>
    <m/>
    <n v="95"/>
    <n v="0"/>
    <n v="59348.642997470874"/>
  </r>
  <r>
    <d v="2026-02-16T00:00:00"/>
    <x v="4"/>
    <s v="LİMON MELİSA"/>
    <m/>
    <x v="1"/>
    <s v="ST00000001234"/>
    <s v="SATIŞ"/>
    <s v="NAKİT"/>
    <n v="0.05"/>
    <n v="1000"/>
    <n v="0"/>
    <n v="0"/>
    <m/>
    <m/>
    <m/>
    <m/>
    <n v="50"/>
    <n v="0"/>
    <n v="59398.642997470874"/>
  </r>
  <r>
    <d v="2026-02-16T00:00:00"/>
    <x v="4"/>
    <s v="DOLMALIK SARI BİBER"/>
    <m/>
    <x v="1"/>
    <s v="ST00000001234"/>
    <s v="SATIŞ"/>
    <s v="NAKİT"/>
    <n v="0.7"/>
    <n v="210"/>
    <n v="0"/>
    <n v="0"/>
    <m/>
    <m/>
    <m/>
    <m/>
    <n v="147"/>
    <n v="0"/>
    <n v="59545.642997470874"/>
  </r>
  <r>
    <d v="2026-02-16T00:00:00"/>
    <x v="4"/>
    <s v="DOLMALIK KURU PATLICAN"/>
    <m/>
    <x v="1"/>
    <s v="ST00000001234"/>
    <s v="SATIŞ"/>
    <s v="NAKİT"/>
    <n v="0.5"/>
    <n v="230"/>
    <n v="0"/>
    <n v="0"/>
    <m/>
    <m/>
    <m/>
    <m/>
    <n v="115"/>
    <n v="0"/>
    <n v="59660.642997470874"/>
  </r>
  <r>
    <d v="2026-02-16T00:00:00"/>
    <x v="4"/>
    <s v="DOLMALIK KURU PATLICAN"/>
    <m/>
    <x v="5"/>
    <s v="ST00000001235"/>
    <s v="SATIŞ"/>
    <s v="POS"/>
    <n v="1"/>
    <n v="250"/>
    <n v="250"/>
    <n v="0"/>
    <m/>
    <m/>
    <m/>
    <m/>
    <n v="0"/>
    <n v="0"/>
    <n v="59660.642997470874"/>
  </r>
  <r>
    <d v="2026-02-16T00:00:00"/>
    <x v="4"/>
    <s v="DOLMALIK SARI BİBER"/>
    <m/>
    <x v="5"/>
    <s v="ST00000001235"/>
    <s v="SATIŞ"/>
    <s v="POS"/>
    <n v="0.26100000000000001"/>
    <n v="230"/>
    <n v="60.03"/>
    <n v="0"/>
    <m/>
    <m/>
    <m/>
    <m/>
    <n v="0"/>
    <n v="0"/>
    <n v="59660.642997470874"/>
  </r>
  <r>
    <d v="2026-02-16T00:00:00"/>
    <x v="4"/>
    <s v="DURMUŞOĞULLARI KATI PEKMEZ TAHTA 700 GR"/>
    <m/>
    <x v="5"/>
    <s v="ST00000001236"/>
    <s v="SATIŞ"/>
    <s v="POS"/>
    <n v="1"/>
    <n v="295"/>
    <n v="295"/>
    <n v="0"/>
    <m/>
    <m/>
    <m/>
    <m/>
    <n v="0"/>
    <n v="0"/>
    <n v="59660.642997470874"/>
  </r>
  <r>
    <d v="2026-02-16T00:00:00"/>
    <x v="4"/>
    <s v="ÇUBUK TARÇIN"/>
    <m/>
    <x v="5"/>
    <s v="ST00000001236"/>
    <s v="SATIŞ"/>
    <s v="POS"/>
    <n v="0.1"/>
    <n v="650"/>
    <n v="65"/>
    <n v="0"/>
    <m/>
    <m/>
    <m/>
    <m/>
    <n v="0"/>
    <n v="0"/>
    <n v="59660.642997470874"/>
  </r>
  <r>
    <d v="2026-02-16T00:00:00"/>
    <x v="4"/>
    <s v="ÖZBEK ÜZÜMÜ"/>
    <m/>
    <x v="1"/>
    <s v="ST00000001237"/>
    <s v="SATIŞ"/>
    <s v="NAKİT"/>
    <n v="0.28363636363636363"/>
    <n v="550"/>
    <n v="0"/>
    <n v="0"/>
    <m/>
    <m/>
    <m/>
    <m/>
    <n v="156"/>
    <n v="0"/>
    <n v="59816.642997470874"/>
  </r>
  <r>
    <d v="2026-02-16T00:00:00"/>
    <x v="4"/>
    <s v="LEBLEBİ ŞEKER RENKLİ"/>
    <m/>
    <x v="1"/>
    <s v="ST00000001237"/>
    <s v="SATIŞ"/>
    <s v="NAKİT"/>
    <n v="0.12173913043478261"/>
    <n v="230"/>
    <n v="0"/>
    <n v="0"/>
    <m/>
    <m/>
    <m/>
    <m/>
    <n v="28"/>
    <n v="0"/>
    <n v="59844.642997470874"/>
  </r>
  <r>
    <d v="2026-02-16T00:00:00"/>
    <x v="4"/>
    <s v="KABUKLU CEVİZ (YERLİ)"/>
    <m/>
    <x v="1"/>
    <s v="ST00000001237"/>
    <s v="SATIŞ"/>
    <s v="NAKİT"/>
    <n v="1"/>
    <n v="250"/>
    <n v="0"/>
    <n v="0"/>
    <m/>
    <m/>
    <m/>
    <m/>
    <n v="250"/>
    <n v="0"/>
    <n v="60094.642997470874"/>
  </r>
  <r>
    <d v="2026-02-16T00:00:00"/>
    <x v="4"/>
    <s v="GENÇAY NAR EKŞİSİ 330 GR"/>
    <m/>
    <x v="1"/>
    <s v="ST00000001238"/>
    <s v="SATIŞ"/>
    <s v="NAKİT"/>
    <n v="1"/>
    <n v="180"/>
    <n v="0"/>
    <n v="0"/>
    <m/>
    <m/>
    <m/>
    <m/>
    <n v="180"/>
    <n v="0"/>
    <n v="60274.642997470874"/>
  </r>
  <r>
    <d v="2026-02-16T00:00:00"/>
    <x v="4"/>
    <s v="TÜRK KAHVESİ"/>
    <m/>
    <x v="5"/>
    <s v="ST00000001239"/>
    <s v="SATIŞ"/>
    <s v="POS"/>
    <n v="0.2"/>
    <n v="650"/>
    <n v="130"/>
    <n v="0"/>
    <m/>
    <m/>
    <m/>
    <m/>
    <n v="0"/>
    <n v="0"/>
    <n v="60274.642997470874"/>
  </r>
  <r>
    <d v="2026-02-16T00:00:00"/>
    <x v="4"/>
    <s v="SALÇA TATLI (EV YAPIMI)"/>
    <m/>
    <x v="5"/>
    <s v="ST00000001240"/>
    <s v="SATIŞ"/>
    <s v="POS"/>
    <n v="3"/>
    <n v="200"/>
    <n v="600"/>
    <n v="0"/>
    <m/>
    <m/>
    <m/>
    <m/>
    <n v="0"/>
    <n v="0"/>
    <n v="60274.642997470874"/>
  </r>
  <r>
    <d v="2026-02-16T00:00:00"/>
    <x v="4"/>
    <s v="İPEK BİBER"/>
    <m/>
    <x v="1"/>
    <s v="ST00000001241"/>
    <s v="SATIŞ"/>
    <s v="NAKİT"/>
    <n v="0.124"/>
    <n v="500"/>
    <n v="0"/>
    <n v="0"/>
    <m/>
    <m/>
    <m/>
    <m/>
    <n v="62"/>
    <n v="0"/>
    <n v="60336.642997470874"/>
  </r>
  <r>
    <d v="2026-02-16T00:00:00"/>
    <x v="4"/>
    <s v="NANE İRİ"/>
    <m/>
    <x v="1"/>
    <s v="ST00000001241"/>
    <s v="SATIŞ"/>
    <s v="NAKİT"/>
    <n v="4.4000000000000004E-2"/>
    <n v="400"/>
    <n v="0"/>
    <n v="0"/>
    <m/>
    <m/>
    <m/>
    <m/>
    <n v="17.600000000000001"/>
    <n v="0"/>
    <n v="60354.242997470872"/>
  </r>
  <r>
    <d v="2026-02-16T00:00:00"/>
    <x v="4"/>
    <s v="ZERDEÇAL TOZ"/>
    <m/>
    <x v="1"/>
    <s v="ST00000001241"/>
    <s v="SATIŞ"/>
    <s v="NAKİT"/>
    <n v="0.11"/>
    <n v="300"/>
    <n v="0"/>
    <n v="0"/>
    <m/>
    <m/>
    <m/>
    <m/>
    <n v="33"/>
    <n v="0"/>
    <n v="60387.242997470872"/>
  </r>
  <r>
    <d v="2026-02-16T00:00:00"/>
    <x v="4"/>
    <s v="DOMATES SALÇASI"/>
    <m/>
    <x v="1"/>
    <s v="ST00000001241"/>
    <s v="SATIŞ"/>
    <s v="NAKİT"/>
    <n v="0.41333333333333333"/>
    <n v="150"/>
    <n v="0"/>
    <n v="0"/>
    <m/>
    <m/>
    <m/>
    <m/>
    <n v="62"/>
    <n v="0"/>
    <n v="60449.242997470872"/>
  </r>
  <r>
    <d v="2026-02-16T00:00:00"/>
    <x v="4"/>
    <s v="SALÇA TATLI (EV YAPIMI)"/>
    <m/>
    <x v="1"/>
    <s v="ST00000001241"/>
    <s v="SATIŞ"/>
    <s v="NAKİT"/>
    <n v="0.28999999999999998"/>
    <n v="200"/>
    <n v="0"/>
    <n v="0"/>
    <m/>
    <m/>
    <m/>
    <m/>
    <n v="57.999999999999993"/>
    <n v="0"/>
    <n v="60507.242997470872"/>
  </r>
  <r>
    <d v="2026-02-16T00:00:00"/>
    <x v="4"/>
    <s v="İNCİR KÜÇÜK"/>
    <m/>
    <x v="5"/>
    <s v="ST00000001242"/>
    <s v="SATIŞ"/>
    <s v="POS"/>
    <n v="0.35964912280701755"/>
    <n v="570"/>
    <n v="205"/>
    <n v="0"/>
    <m/>
    <m/>
    <m/>
    <m/>
    <n v="0"/>
    <n v="0"/>
    <n v="60507.242997470872"/>
  </r>
  <r>
    <d v="2026-02-16T00:00:00"/>
    <x v="4"/>
    <s v="SEYHAN ÜZÜM ÖZEL"/>
    <m/>
    <x v="5"/>
    <s v="ST00000001242"/>
    <s v="SATIŞ"/>
    <s v="POS"/>
    <n v="0.2"/>
    <n v="750"/>
    <n v="150"/>
    <n v="0"/>
    <m/>
    <m/>
    <m/>
    <m/>
    <n v="0"/>
    <n v="0"/>
    <n v="60507.242997470872"/>
  </r>
  <r>
    <d v="2026-02-16T00:00:00"/>
    <x v="4"/>
    <s v="İZMİR ÜZÜMÜ"/>
    <m/>
    <x v="5"/>
    <s v="ST00000001242"/>
    <s v="SATIŞ"/>
    <s v="POS"/>
    <n v="1.2"/>
    <n v="250"/>
    <n v="300"/>
    <n v="0"/>
    <m/>
    <m/>
    <m/>
    <m/>
    <n v="0"/>
    <n v="0"/>
    <n v="60507.242997470872"/>
  </r>
  <r>
    <d v="2026-02-16T00:00:00"/>
    <x v="4"/>
    <s v="KABUKLU CEVİZ (YERLİ)"/>
    <m/>
    <x v="1"/>
    <s v="ST00000001243"/>
    <s v="SATIŞ"/>
    <s v="NAKİT"/>
    <n v="2.6"/>
    <n v="250"/>
    <n v="0"/>
    <n v="0"/>
    <m/>
    <m/>
    <m/>
    <m/>
    <n v="650"/>
    <n v="0"/>
    <n v="61157.242997470872"/>
  </r>
  <r>
    <d v="2026-02-16T00:00:00"/>
    <x v="4"/>
    <s v="AŞURELİK BUĞDAY İZMİR"/>
    <m/>
    <x v="1"/>
    <s v="ST00000001244"/>
    <s v="SATIŞ"/>
    <s v="NAKİT"/>
    <n v="0.5"/>
    <n v="50"/>
    <n v="0"/>
    <n v="0"/>
    <m/>
    <m/>
    <m/>
    <m/>
    <n v="25"/>
    <n v="0"/>
    <n v="61182.242997470872"/>
  </r>
  <r>
    <d v="2026-02-16T00:00:00"/>
    <x v="4"/>
    <s v="NANE YAĞI 10 CC"/>
    <m/>
    <x v="1"/>
    <s v="ST00000001246"/>
    <s v="SATIŞ"/>
    <s v="NAKİT"/>
    <n v="1"/>
    <n v="145"/>
    <n v="0"/>
    <n v="0"/>
    <m/>
    <m/>
    <m/>
    <m/>
    <n v="145"/>
    <n v="0"/>
    <n v="61327.242997470872"/>
  </r>
  <r>
    <d v="2026-02-16T00:00:00"/>
    <x v="10"/>
    <m/>
    <m/>
    <x v="5"/>
    <m/>
    <s v="POS ÇÖZÜMÜ"/>
    <s v="POS"/>
    <n v="1"/>
    <n v="230"/>
    <n v="0"/>
    <n v="230"/>
    <m/>
    <m/>
    <m/>
    <m/>
    <n v="230"/>
    <n v="0"/>
    <n v="61557.242997470872"/>
  </r>
  <r>
    <d v="2026-02-16T00:00:00"/>
    <x v="10"/>
    <m/>
    <m/>
    <x v="5"/>
    <m/>
    <s v="POS ÇÖZÜMÜ"/>
    <s v="POS"/>
    <n v="1"/>
    <n v="380"/>
    <n v="0"/>
    <n v="380"/>
    <m/>
    <m/>
    <m/>
    <m/>
    <n v="380"/>
    <n v="0"/>
    <n v="61937.242997470872"/>
  </r>
  <r>
    <d v="2026-02-16T00:00:00"/>
    <x v="7"/>
    <m/>
    <m/>
    <x v="9"/>
    <m/>
    <s v="SERBEND HURMA - ÖDEME"/>
    <s v="NAKİT"/>
    <n v="1"/>
    <n v="0"/>
    <n v="29500"/>
    <n v="0"/>
    <m/>
    <m/>
    <m/>
    <m/>
    <n v="0"/>
    <n v="29500"/>
    <n v="32437.242997470872"/>
  </r>
  <r>
    <d v="2026-02-16T00:00:00"/>
    <x v="3"/>
    <s v="MANİSA YAPRAK DÖKME"/>
    <m/>
    <x v="1"/>
    <m/>
    <s v="MANİSA YAPRAK ALIMI - 1 KOVA"/>
    <s v="NAKİT"/>
    <n v="10"/>
    <n v="150"/>
    <n v="0"/>
    <n v="0"/>
    <m/>
    <m/>
    <m/>
    <m/>
    <n v="0"/>
    <n v="1500"/>
    <n v="30937.242997470872"/>
  </r>
  <r>
    <d v="2026-02-17T00:00:00"/>
    <x v="4"/>
    <s v="TOZ BİBER - TATLI"/>
    <m/>
    <x v="1"/>
    <s v="ST00000001247"/>
    <s v="SATIŞ"/>
    <s v="NAKİT"/>
    <n v="0.125"/>
    <n v="400"/>
    <n v="0"/>
    <n v="0"/>
    <m/>
    <m/>
    <m/>
    <m/>
    <n v="50"/>
    <n v="0"/>
    <n v="30987.242997470872"/>
  </r>
  <r>
    <d v="2026-02-17T00:00:00"/>
    <x v="4"/>
    <s v="TOZ BİBER - TATLI"/>
    <m/>
    <x v="1"/>
    <s v="ST00000001247"/>
    <s v="SATIŞ"/>
    <s v="NAKİT"/>
    <n v="0.125"/>
    <n v="400"/>
    <n v="0"/>
    <n v="0"/>
    <m/>
    <m/>
    <m/>
    <m/>
    <n v="50"/>
    <n v="0"/>
    <n v="31037.242997470872"/>
  </r>
  <r>
    <d v="2026-02-17T00:00:00"/>
    <x v="4"/>
    <s v="KABUKLU CEVİZ (YERLİ)"/>
    <m/>
    <x v="5"/>
    <s v="ST00000001248"/>
    <s v="SATIŞ"/>
    <s v="POS"/>
    <n v="2"/>
    <n v="250"/>
    <n v="500"/>
    <n v="0"/>
    <m/>
    <m/>
    <m/>
    <m/>
    <n v="0"/>
    <n v="0"/>
    <n v="31037.242997470872"/>
  </r>
  <r>
    <d v="2026-02-17T00:00:00"/>
    <x v="4"/>
    <s v="DOLMALIK KURU PATLICAN"/>
    <m/>
    <x v="5"/>
    <s v="ST00000001248"/>
    <s v="SATIŞ"/>
    <s v="POS"/>
    <n v="2"/>
    <n v="250"/>
    <n v="500"/>
    <n v="0"/>
    <m/>
    <m/>
    <m/>
    <m/>
    <n v="0"/>
    <n v="0"/>
    <n v="31037.242997470872"/>
  </r>
  <r>
    <d v="2026-02-17T00:00:00"/>
    <x v="4"/>
    <s v="DOLMALIK SARI BİBER"/>
    <m/>
    <x v="5"/>
    <s v="ST00000001248"/>
    <s v="SATIŞ"/>
    <s v="POS"/>
    <n v="2"/>
    <n v="230"/>
    <n v="460"/>
    <n v="0"/>
    <m/>
    <m/>
    <m/>
    <m/>
    <n v="0"/>
    <n v="0"/>
    <n v="31037.242997470872"/>
  </r>
  <r>
    <d v="2026-02-17T00:00:00"/>
    <x v="4"/>
    <s v="DOLMALIK KURU TATLI KIRMIZI BİBER"/>
    <m/>
    <x v="5"/>
    <s v="ST00000001248"/>
    <s v="SATIŞ"/>
    <s v="POS"/>
    <n v="1"/>
    <n v="230"/>
    <n v="230"/>
    <n v="0"/>
    <m/>
    <m/>
    <m/>
    <m/>
    <n v="0"/>
    <n v="0"/>
    <n v="31037.242997470872"/>
  </r>
  <r>
    <d v="2026-02-17T00:00:00"/>
    <x v="4"/>
    <s v="DOMATES SALÇASI"/>
    <m/>
    <x v="5"/>
    <s v="ST00000001248"/>
    <s v="SATIŞ"/>
    <s v="POS"/>
    <n v="1"/>
    <n v="150"/>
    <n v="150"/>
    <n v="0"/>
    <m/>
    <m/>
    <m/>
    <m/>
    <n v="0"/>
    <n v="0"/>
    <n v="31037.242997470872"/>
  </r>
  <r>
    <d v="2026-02-17T00:00:00"/>
    <x v="4"/>
    <s v="TÜDAB KIŞ ÇAYI 200 GR"/>
    <m/>
    <x v="1"/>
    <s v="ST00000001249"/>
    <s v="SATIŞ"/>
    <s v="NAKİT"/>
    <n v="1"/>
    <n v="130"/>
    <n v="0"/>
    <n v="0"/>
    <m/>
    <m/>
    <m/>
    <m/>
    <n v="130"/>
    <n v="0"/>
    <n v="31167.242997470872"/>
  </r>
  <r>
    <d v="2026-02-17T00:00:00"/>
    <x v="4"/>
    <s v="MİX NANE LİMON ÇAYI"/>
    <m/>
    <x v="1"/>
    <s v="ST00000001249"/>
    <s v="SATIŞ"/>
    <s v="NAKİT"/>
    <n v="0.1"/>
    <n v="900"/>
    <n v="0"/>
    <n v="0"/>
    <m/>
    <m/>
    <m/>
    <m/>
    <n v="90"/>
    <n v="0"/>
    <n v="31257.242997470872"/>
  </r>
  <r>
    <d v="2026-02-17T00:00:00"/>
    <x v="4"/>
    <s v="DOLMALIK KURU PATLICAN"/>
    <m/>
    <x v="1"/>
    <s v="ST00000001250"/>
    <s v="SATIŞ"/>
    <s v="NAKİT"/>
    <n v="0.5"/>
    <n v="250"/>
    <n v="0"/>
    <n v="0"/>
    <m/>
    <m/>
    <m/>
    <m/>
    <n v="125"/>
    <n v="0"/>
    <n v="31382.242997470872"/>
  </r>
  <r>
    <d v="2026-02-17T00:00:00"/>
    <x v="4"/>
    <s v="DOLMALIK SARI BİBER"/>
    <m/>
    <x v="1"/>
    <s v="ST00000001250"/>
    <s v="SATIŞ"/>
    <s v="NAKİT"/>
    <n v="0.5"/>
    <n v="230"/>
    <n v="0"/>
    <n v="0"/>
    <m/>
    <m/>
    <m/>
    <m/>
    <n v="115"/>
    <n v="0"/>
    <n v="31497.242997470872"/>
  </r>
  <r>
    <d v="2026-02-17T00:00:00"/>
    <x v="4"/>
    <s v="MEBRUM HURMA 2 (5'LİK)"/>
    <m/>
    <x v="5"/>
    <s v="ST00000001251"/>
    <s v="SATIŞ"/>
    <s v="POS"/>
    <n v="0.54285714285714282"/>
    <n v="420"/>
    <n v="227.99999999999997"/>
    <n v="0"/>
    <m/>
    <m/>
    <m/>
    <m/>
    <n v="0"/>
    <n v="0"/>
    <n v="31497.242997470872"/>
  </r>
  <r>
    <d v="2026-02-17T00:00:00"/>
    <x v="4"/>
    <s v="SEFAVİ HURMA"/>
    <m/>
    <x v="5"/>
    <s v="ST00000001251"/>
    <s v="SATIŞ"/>
    <s v="POS"/>
    <n v="1.03"/>
    <n v="370"/>
    <n v="381.1"/>
    <n v="0"/>
    <m/>
    <m/>
    <m/>
    <m/>
    <n v="0"/>
    <n v="0"/>
    <n v="31497.242997470872"/>
  </r>
  <r>
    <d v="2026-02-17T00:00:00"/>
    <x v="4"/>
    <s v="KİMYON ÇEKİLMİŞ"/>
    <m/>
    <x v="5"/>
    <s v="ST00000001251"/>
    <s v="SATIŞ"/>
    <s v="POS"/>
    <n v="4.2500000000000003E-2"/>
    <n v="400"/>
    <n v="17"/>
    <n v="0"/>
    <m/>
    <m/>
    <m/>
    <m/>
    <n v="0"/>
    <n v="0"/>
    <n v="31497.242997470872"/>
  </r>
  <r>
    <d v="2026-02-17T00:00:00"/>
    <x v="4"/>
    <s v="ÇİĞ KABAK ÇEKİRDEĞİ"/>
    <m/>
    <x v="5"/>
    <s v="ST00000001251"/>
    <s v="SATIŞ"/>
    <s v="POS"/>
    <n v="0.28000000000000003"/>
    <n v="355"/>
    <n v="99.4"/>
    <n v="0"/>
    <m/>
    <m/>
    <m/>
    <m/>
    <n v="0"/>
    <n v="0"/>
    <n v="31497.242997470872"/>
  </r>
  <r>
    <d v="2026-02-17T00:00:00"/>
    <x v="4"/>
    <s v="IHLAMUR YAPRAK"/>
    <m/>
    <x v="1"/>
    <s v="ST00000001252"/>
    <s v="SATIŞ"/>
    <s v="NAKİT"/>
    <n v="0.05"/>
    <n v="2600"/>
    <n v="0"/>
    <n v="0"/>
    <m/>
    <m/>
    <m/>
    <m/>
    <n v="130"/>
    <n v="0"/>
    <n v="31627.242997470872"/>
  </r>
  <r>
    <d v="2026-02-17T00:00:00"/>
    <x v="4"/>
    <s v="MİSVAK KUTULU (HOLDER)"/>
    <m/>
    <x v="1"/>
    <s v="ST00000001253"/>
    <s v="SATIŞ"/>
    <s v="NAKİT"/>
    <n v="1"/>
    <n v="30"/>
    <n v="0"/>
    <n v="0"/>
    <m/>
    <m/>
    <m/>
    <m/>
    <n v="30"/>
    <n v="0"/>
    <n v="31657.242997470872"/>
  </r>
  <r>
    <d v="2026-02-17T00:00:00"/>
    <x v="4"/>
    <s v="CİVAN PERÇEMİ"/>
    <m/>
    <x v="1"/>
    <s v="ST00000001254"/>
    <s v="SATIŞ"/>
    <s v="NAKİT"/>
    <n v="0.05"/>
    <n v="1000"/>
    <n v="0"/>
    <n v="0"/>
    <m/>
    <m/>
    <m/>
    <m/>
    <n v="50"/>
    <n v="0"/>
    <n v="31707.242997470872"/>
  </r>
  <r>
    <d v="2026-02-17T00:00:00"/>
    <x v="4"/>
    <s v="NANE İRİ"/>
    <m/>
    <x v="1"/>
    <s v="ST00000001255"/>
    <s v="SATIŞ"/>
    <s v="NAKİT"/>
    <n v="7.0000000000000007E-2"/>
    <n v="400"/>
    <n v="0"/>
    <n v="0"/>
    <m/>
    <m/>
    <m/>
    <m/>
    <n v="28.000000000000004"/>
    <n v="0"/>
    <n v="31735.242997470872"/>
  </r>
  <r>
    <d v="2026-02-17T00:00:00"/>
    <x v="4"/>
    <s v="İPEK BİBER"/>
    <m/>
    <x v="1"/>
    <s v="ST00000001255"/>
    <s v="SATIŞ"/>
    <s v="NAKİT"/>
    <n v="0.128"/>
    <n v="500"/>
    <n v="0"/>
    <n v="0"/>
    <m/>
    <m/>
    <m/>
    <m/>
    <n v="64"/>
    <n v="0"/>
    <n v="31799.242997470872"/>
  </r>
  <r>
    <d v="2026-02-17T00:00:00"/>
    <x v="4"/>
    <s v="KETEN TOHUMU"/>
    <m/>
    <x v="1"/>
    <s v="ST00000001255"/>
    <s v="SATIŞ"/>
    <s v="NAKİT"/>
    <n v="0.5"/>
    <n v="140"/>
    <n v="0"/>
    <n v="0"/>
    <m/>
    <m/>
    <m/>
    <m/>
    <n v="70"/>
    <n v="0"/>
    <n v="31869.242997470872"/>
  </r>
  <r>
    <d v="2026-02-17T00:00:00"/>
    <x v="4"/>
    <s v="CHİA TOHUMU DÖKME"/>
    <m/>
    <x v="1"/>
    <s v="ST00000001255"/>
    <s v="SATIŞ"/>
    <s v="NAKİT"/>
    <n v="0.5"/>
    <n v="300"/>
    <n v="0"/>
    <n v="0"/>
    <m/>
    <m/>
    <m/>
    <m/>
    <n v="150"/>
    <n v="0"/>
    <n v="32019.242997470872"/>
  </r>
  <r>
    <d v="2026-02-17T00:00:00"/>
    <x v="4"/>
    <s v="DOLMALIK KURU PATLICAN"/>
    <m/>
    <x v="1"/>
    <s v="ST00000001255"/>
    <s v="SATIŞ"/>
    <s v="NAKİT"/>
    <n v="0.5"/>
    <n v="250"/>
    <n v="0"/>
    <n v="0"/>
    <m/>
    <m/>
    <m/>
    <m/>
    <n v="125"/>
    <n v="0"/>
    <n v="32144.242997470872"/>
  </r>
  <r>
    <d v="2026-02-17T00:00:00"/>
    <x v="4"/>
    <s v="DOLMALIK SARI BİBER"/>
    <m/>
    <x v="1"/>
    <s v="ST00000001255"/>
    <s v="SATIŞ"/>
    <s v="NAKİT"/>
    <n v="0.2"/>
    <n v="230"/>
    <n v="0"/>
    <n v="0"/>
    <m/>
    <m/>
    <m/>
    <m/>
    <n v="46"/>
    <n v="0"/>
    <n v="32190.242997470872"/>
  </r>
  <r>
    <d v="2026-02-17T00:00:00"/>
    <x v="4"/>
    <s v="DOLMALIK KURU ACI BİBER"/>
    <m/>
    <x v="1"/>
    <s v="ST00000001255"/>
    <s v="SATIŞ"/>
    <s v="NAKİT"/>
    <n v="0.3"/>
    <n v="230"/>
    <n v="0"/>
    <n v="0"/>
    <m/>
    <m/>
    <m/>
    <m/>
    <n v="69"/>
    <n v="0"/>
    <n v="32259.242997470872"/>
  </r>
  <r>
    <d v="2026-02-17T00:00:00"/>
    <x v="4"/>
    <s v="SUMAK TANE EKŞİLİ"/>
    <m/>
    <x v="1"/>
    <s v="ST00000001255"/>
    <s v="SATIŞ"/>
    <s v="NAKİT"/>
    <n v="7.3999999999999996E-2"/>
    <n v="540"/>
    <n v="0"/>
    <n v="0"/>
    <m/>
    <m/>
    <m/>
    <m/>
    <n v="39.96"/>
    <n v="0"/>
    <n v="32299.202997470871"/>
  </r>
  <r>
    <d v="2026-02-17T00:00:00"/>
    <x v="10"/>
    <m/>
    <m/>
    <x v="5"/>
    <m/>
    <s v="POS ÇÖZÜMÜ"/>
    <s v="POS"/>
    <n v="1"/>
    <n v="2965"/>
    <n v="0"/>
    <n v="2965"/>
    <m/>
    <m/>
    <m/>
    <m/>
    <n v="2965"/>
    <n v="0"/>
    <n v="35264.202997470871"/>
  </r>
  <r>
    <d v="2026-02-17T00:00:00"/>
    <x v="1"/>
    <m/>
    <s v="MUHASEBE GİDERLERİ"/>
    <x v="1"/>
    <m/>
    <s v="MUHASEBE GİDERİ"/>
    <s v="NAKİT"/>
    <n v="1"/>
    <n v="2000"/>
    <n v="0"/>
    <n v="0"/>
    <m/>
    <m/>
    <m/>
    <m/>
    <n v="0"/>
    <n v="2000"/>
    <n v="33264.202997470871"/>
  </r>
  <r>
    <d v="2026-02-17T00:00:00"/>
    <x v="10"/>
    <m/>
    <m/>
    <x v="5"/>
    <m/>
    <s v="POS ÇÖZÜMÜ - GEÇİCİ VERGİ - ON NUMARA"/>
    <s v="POS"/>
    <n v="1"/>
    <n v="1085.2"/>
    <n v="0"/>
    <n v="1085.2"/>
    <m/>
    <m/>
    <m/>
    <m/>
    <n v="1085.2"/>
    <n v="0"/>
    <n v="34349.402997470868"/>
  </r>
  <r>
    <d v="2026-02-17T00:00:00"/>
    <x v="1"/>
    <m/>
    <s v="VERGİ VE HARÇLAR"/>
    <x v="1"/>
    <m/>
    <s v="POS ÇÖZÜMÜ - GEÇİCİ VERGİ - ON NUMARA"/>
    <s v="NAKİT"/>
    <n v="1"/>
    <n v="1085.2"/>
    <n v="0"/>
    <n v="0"/>
    <m/>
    <m/>
    <m/>
    <m/>
    <n v="0"/>
    <n v="1085.2"/>
    <n v="33264.202997470871"/>
  </r>
  <r>
    <d v="2026-02-17T00:00:00"/>
    <x v="3"/>
    <s v="EMBEAUTY KOLEJAN VE KERATİN SAÇ DÖKÜLMESİNE KARŞI ONARICI DOLGUNLAŞTIRICI ŞAMPUAN 400 ML"/>
    <m/>
    <x v="2"/>
    <m/>
    <s v="TR"/>
    <s v="K.K."/>
    <n v="6"/>
    <n v="144.92666666666665"/>
    <n v="0"/>
    <n v="869.56"/>
    <m/>
    <m/>
    <m/>
    <m/>
    <n v="0"/>
    <n v="0"/>
    <n v="33264.202997470871"/>
  </r>
  <r>
    <d v="2026-02-18T00:00:00"/>
    <x v="4"/>
    <s v="REZENE"/>
    <m/>
    <x v="5"/>
    <s v="ST00000001256"/>
    <s v="SATIŞ"/>
    <s v="POS"/>
    <n v="0.1"/>
    <n v="900"/>
    <n v="90"/>
    <n v="0"/>
    <m/>
    <m/>
    <m/>
    <m/>
    <n v="0"/>
    <n v="0"/>
    <n v="33264.202997470871"/>
  </r>
  <r>
    <d v="2026-02-18T00:00:00"/>
    <x v="4"/>
    <s v="YEDİ TÜRLÜ BAHARAT  (LUXURY CHEF)"/>
    <m/>
    <x v="5"/>
    <s v="ST00000001256"/>
    <s v="SATIŞ"/>
    <s v="POS"/>
    <n v="0.1"/>
    <n v="900"/>
    <n v="90"/>
    <n v="0"/>
    <m/>
    <m/>
    <m/>
    <m/>
    <n v="0"/>
    <n v="0"/>
    <n v="33264.202997470871"/>
  </r>
  <r>
    <d v="2026-02-18T00:00:00"/>
    <x v="4"/>
    <s v="NAHİTA KOZALAK ŞURUBU 500 ML"/>
    <m/>
    <x v="1"/>
    <s v="ST00000001257"/>
    <s v="SATIŞ"/>
    <s v="NAKİT"/>
    <n v="1"/>
    <n v="170"/>
    <n v="0"/>
    <n v="0"/>
    <m/>
    <m/>
    <m/>
    <m/>
    <n v="170"/>
    <n v="0"/>
    <n v="33434.202997470871"/>
  </r>
  <r>
    <d v="2026-02-18T00:00:00"/>
    <x v="4"/>
    <s v="PİLAVLIK BULGUR"/>
    <m/>
    <x v="1"/>
    <s v="ST00000001258"/>
    <s v="SATIŞ"/>
    <s v="NAKİT"/>
    <n v="0.30769230769230771"/>
    <n v="65"/>
    <n v="0"/>
    <n v="0"/>
    <m/>
    <m/>
    <m/>
    <m/>
    <n v="20"/>
    <n v="0"/>
    <n v="33454.202997470871"/>
  </r>
  <r>
    <d v="2026-02-18T00:00:00"/>
    <x v="4"/>
    <s v="MANİSA YAPRAK DÖKME"/>
    <m/>
    <x v="1"/>
    <s v="ST00000001259"/>
    <s v="SATIŞ"/>
    <s v="NAKİT"/>
    <n v="1.5"/>
    <n v="300"/>
    <n v="0"/>
    <n v="0"/>
    <m/>
    <m/>
    <m/>
    <m/>
    <n v="450"/>
    <n v="0"/>
    <n v="33904.202997470871"/>
  </r>
  <r>
    <d v="2026-02-18T00:00:00"/>
    <x v="4"/>
    <s v="YALÇINKAYA ACI BİBER SALÇASI"/>
    <m/>
    <x v="1"/>
    <s v="ST00000001260"/>
    <s v="SATIŞ"/>
    <s v="NAKİT"/>
    <n v="1"/>
    <n v="200"/>
    <n v="0"/>
    <n v="0"/>
    <m/>
    <m/>
    <m/>
    <m/>
    <n v="200"/>
    <n v="0"/>
    <n v="34104.202997470871"/>
  </r>
  <r>
    <d v="2026-02-18T00:00:00"/>
    <x v="4"/>
    <s v="ÇÖREKOTU"/>
    <m/>
    <x v="1"/>
    <s v="ST00000001261"/>
    <s v="SATIŞ"/>
    <s v="NAKİT"/>
    <n v="0.1"/>
    <n v="400"/>
    <n v="0"/>
    <n v="0"/>
    <m/>
    <m/>
    <m/>
    <m/>
    <n v="40"/>
    <n v="0"/>
    <n v="34144.202997470871"/>
  </r>
  <r>
    <d v="2026-02-18T00:00:00"/>
    <x v="4"/>
    <s v="SUSAM"/>
    <m/>
    <x v="1"/>
    <s v="ST00000001261"/>
    <s v="SATIŞ"/>
    <s v="NAKİT"/>
    <n v="0.1"/>
    <n v="400"/>
    <n v="0"/>
    <n v="0"/>
    <m/>
    <m/>
    <m/>
    <m/>
    <n v="40"/>
    <n v="0"/>
    <n v="34184.202997470871"/>
  </r>
  <r>
    <d v="2026-02-18T00:00:00"/>
    <x v="4"/>
    <s v="DOLMALIK SARI BİBER"/>
    <m/>
    <x v="1"/>
    <s v="ST00000001262"/>
    <s v="SATIŞ"/>
    <s v="NAKİT"/>
    <n v="1"/>
    <n v="230"/>
    <n v="0"/>
    <n v="0"/>
    <m/>
    <m/>
    <m/>
    <m/>
    <n v="230"/>
    <n v="0"/>
    <n v="34414.202997470871"/>
  </r>
  <r>
    <d v="2026-02-18T00:00:00"/>
    <x v="4"/>
    <s v="DOLMALIK KURU PATLICAN"/>
    <m/>
    <x v="1"/>
    <s v="ST00000001262"/>
    <s v="SATIŞ"/>
    <s v="NAKİT"/>
    <n v="1"/>
    <n v="250"/>
    <n v="0"/>
    <n v="0"/>
    <m/>
    <m/>
    <m/>
    <m/>
    <n v="250"/>
    <n v="0"/>
    <n v="34664.202997470871"/>
  </r>
  <r>
    <d v="2026-02-18T00:00:00"/>
    <x v="4"/>
    <s v="DOLMALIK KURU KABAK"/>
    <m/>
    <x v="1"/>
    <s v="ST00000001262"/>
    <s v="SATIŞ"/>
    <s v="NAKİT"/>
    <n v="1"/>
    <n v="250"/>
    <n v="0"/>
    <n v="0"/>
    <m/>
    <m/>
    <m/>
    <m/>
    <n v="250"/>
    <n v="0"/>
    <n v="34914.202997470871"/>
  </r>
  <r>
    <d v="2026-02-18T00:00:00"/>
    <x v="4"/>
    <s v="ZERDEÇAL TOZ"/>
    <m/>
    <x v="5"/>
    <s v="ST00000001263"/>
    <s v="SATIŞ"/>
    <s v="POS"/>
    <n v="0.1"/>
    <n v="300"/>
    <n v="30"/>
    <n v="0"/>
    <m/>
    <m/>
    <m/>
    <m/>
    <n v="0"/>
    <n v="0"/>
    <n v="34914.202997470871"/>
  </r>
  <r>
    <d v="2026-02-18T00:00:00"/>
    <x v="4"/>
    <s v="YALÇINKAYA TATLI BİBER SALÇASI"/>
    <m/>
    <x v="5"/>
    <s v="ST00000001263"/>
    <s v="SATIŞ"/>
    <s v="POS"/>
    <n v="1"/>
    <n v="200"/>
    <n v="200"/>
    <n v="0"/>
    <m/>
    <m/>
    <m/>
    <m/>
    <n v="0"/>
    <n v="0"/>
    <n v="34914.202997470871"/>
  </r>
  <r>
    <d v="2026-02-18T00:00:00"/>
    <x v="4"/>
    <s v="YALÇINKAYA ACI BİBER SALÇASI"/>
    <m/>
    <x v="5"/>
    <s v="ST00000001263"/>
    <s v="SATIŞ"/>
    <s v="POS"/>
    <n v="1"/>
    <n v="200"/>
    <n v="200"/>
    <n v="0"/>
    <m/>
    <m/>
    <m/>
    <m/>
    <n v="0"/>
    <n v="0"/>
    <n v="34914.202997470871"/>
  </r>
  <r>
    <d v="2026-02-18T00:00:00"/>
    <x v="4"/>
    <s v="DOMATES SALÇASI"/>
    <m/>
    <x v="5"/>
    <s v="ST00000001263"/>
    <s v="SATIŞ"/>
    <s v="POS"/>
    <n v="1"/>
    <n v="150"/>
    <n v="150"/>
    <n v="0"/>
    <m/>
    <m/>
    <m/>
    <m/>
    <n v="0"/>
    <n v="0"/>
    <n v="34914.202997470871"/>
  </r>
  <r>
    <d v="2026-02-18T00:00:00"/>
    <x v="4"/>
    <s v="KARANFİL"/>
    <m/>
    <x v="5"/>
    <s v="ST00000001263"/>
    <s v="SATIŞ"/>
    <s v="POS"/>
    <n v="0.05"/>
    <n v="1200"/>
    <n v="60"/>
    <n v="0"/>
    <m/>
    <m/>
    <m/>
    <m/>
    <n v="0"/>
    <n v="0"/>
    <n v="34914.202997470871"/>
  </r>
  <r>
    <d v="2026-02-18T00:00:00"/>
    <x v="4"/>
    <s v="HİBİSKUS"/>
    <m/>
    <x v="5"/>
    <s v="ST00000001263"/>
    <s v="SATIŞ"/>
    <s v="POS"/>
    <n v="0.1"/>
    <n v="600"/>
    <n v="60"/>
    <n v="0"/>
    <m/>
    <m/>
    <m/>
    <m/>
    <n v="0"/>
    <n v="0"/>
    <n v="34914.202997470871"/>
  </r>
  <r>
    <d v="2026-02-18T00:00:00"/>
    <x v="4"/>
    <s v="ÇUBUK TARÇIN"/>
    <m/>
    <x v="5"/>
    <s v="ST00000001263"/>
    <s v="SATIŞ"/>
    <s v="POS"/>
    <n v="0.1"/>
    <n v="650"/>
    <n v="65"/>
    <n v="0"/>
    <m/>
    <m/>
    <m/>
    <m/>
    <n v="0"/>
    <n v="0"/>
    <n v="34914.202997470871"/>
  </r>
  <r>
    <d v="2026-02-18T00:00:00"/>
    <x v="4"/>
    <s v="BUĞDAY NİŞASTASI"/>
    <m/>
    <x v="5"/>
    <s v="ST00000001263"/>
    <s v="SATIŞ"/>
    <s v="POS"/>
    <n v="1"/>
    <n v="120"/>
    <n v="120"/>
    <n v="0"/>
    <m/>
    <m/>
    <m/>
    <m/>
    <n v="0"/>
    <n v="0"/>
    <n v="34914.202997470871"/>
  </r>
  <r>
    <d v="2026-02-18T00:00:00"/>
    <x v="4"/>
    <s v="MISIR PREMİUM MEDİUM HURMA"/>
    <m/>
    <x v="1"/>
    <s v="ST00000001264"/>
    <s v="SATIŞ - PINAR"/>
    <s v="NAKİT"/>
    <n v="1"/>
    <n v="550"/>
    <n v="0"/>
    <n v="0"/>
    <m/>
    <m/>
    <m/>
    <m/>
    <n v="550"/>
    <n v="0"/>
    <n v="35464.202997470871"/>
  </r>
  <r>
    <d v="2026-02-18T00:00:00"/>
    <x v="4"/>
    <s v="DOMATES SALÇASI"/>
    <m/>
    <x v="1"/>
    <s v="ST00000001264"/>
    <s v="SATIŞ - PINAR"/>
    <s v="NAKİT"/>
    <n v="5.98"/>
    <n v="150"/>
    <n v="0"/>
    <n v="0"/>
    <m/>
    <m/>
    <m/>
    <m/>
    <n v="897.00000000000011"/>
    <n v="0"/>
    <n v="36361.202997470871"/>
  </r>
  <r>
    <d v="2026-02-18T00:00:00"/>
    <x v="4"/>
    <s v="YALÇINKAYA ACI BİBER SALÇASI"/>
    <m/>
    <x v="1"/>
    <s v="ST00000001264"/>
    <s v="SATIŞ - PINAR"/>
    <s v="NAKİT"/>
    <n v="1"/>
    <n v="200"/>
    <n v="0"/>
    <n v="0"/>
    <m/>
    <m/>
    <m/>
    <m/>
    <n v="200"/>
    <n v="0"/>
    <n v="36561.202997470871"/>
  </r>
  <r>
    <d v="2026-02-18T00:00:00"/>
    <x v="4"/>
    <s v="AÇLIK OTU"/>
    <m/>
    <x v="1"/>
    <s v="ST00000001264"/>
    <s v="SATIŞ - PINAR"/>
    <s v="NAKİT"/>
    <n v="0.12"/>
    <n v="417"/>
    <n v="0"/>
    <n v="0"/>
    <m/>
    <m/>
    <m/>
    <m/>
    <n v="50.04"/>
    <n v="0"/>
    <n v="36611.242997470872"/>
  </r>
  <r>
    <d v="2026-02-18T00:00:00"/>
    <x v="4"/>
    <s v="AYÇEKİRDEĞİ DAKOTA TUZLU EKSTRA"/>
    <m/>
    <x v="1"/>
    <s v="ST00000001264"/>
    <s v="SATIŞ - PINAR"/>
    <s v="NAKİT"/>
    <n v="0.52200000000000002"/>
    <n v="230"/>
    <n v="0"/>
    <n v="0"/>
    <m/>
    <m/>
    <m/>
    <m/>
    <n v="120.06"/>
    <n v="0"/>
    <n v="36731.30299747087"/>
  </r>
  <r>
    <d v="2026-02-18T00:00:00"/>
    <x v="4"/>
    <s v="PATLAK MISIR"/>
    <m/>
    <x v="1"/>
    <s v="ST00000001264"/>
    <s v="SATIŞ - PINAR"/>
    <s v="NAKİT"/>
    <n v="0.5"/>
    <n v="60"/>
    <n v="0"/>
    <n v="0"/>
    <m/>
    <m/>
    <m/>
    <m/>
    <n v="30"/>
    <n v="0"/>
    <n v="36761.30299747087"/>
  </r>
  <r>
    <d v="2026-02-18T00:00:00"/>
    <x v="4"/>
    <s v="GÜNAYDIN KAYA TUZU İNCE"/>
    <m/>
    <x v="1"/>
    <s v="ST00000001264"/>
    <s v="SATIŞ - PINAR"/>
    <s v="NAKİT"/>
    <n v="0.5"/>
    <n v="80"/>
    <n v="0"/>
    <n v="0"/>
    <m/>
    <m/>
    <m/>
    <m/>
    <n v="40"/>
    <n v="0"/>
    <n v="36801.30299747087"/>
  </r>
  <r>
    <d v="2026-02-18T00:00:00"/>
    <x v="4"/>
    <s v="KETEN TOHUMU"/>
    <m/>
    <x v="1"/>
    <s v="ST00000001264"/>
    <s v="SATIŞ - PINAR"/>
    <s v="NAKİT"/>
    <n v="0.5"/>
    <n v="140"/>
    <n v="0"/>
    <n v="0"/>
    <m/>
    <m/>
    <m/>
    <m/>
    <n v="70"/>
    <n v="0"/>
    <n v="36871.30299747087"/>
  </r>
  <r>
    <d v="2026-02-18T00:00:00"/>
    <x v="4"/>
    <s v="LEBLEBİ SARI ÖZEL LÜX ÇITIR"/>
    <m/>
    <x v="1"/>
    <s v="ST00000001265"/>
    <s v="SATIŞ"/>
    <s v="NAKİT"/>
    <n v="0.5"/>
    <n v="200"/>
    <n v="0"/>
    <n v="0"/>
    <m/>
    <m/>
    <m/>
    <m/>
    <n v="100"/>
    <n v="0"/>
    <n v="36971.30299747087"/>
  </r>
  <r>
    <d v="2026-02-18T00:00:00"/>
    <x v="4"/>
    <s v="DOMATES SALÇASI"/>
    <m/>
    <x v="5"/>
    <s v="ST00000001266"/>
    <s v="SATIŞ"/>
    <s v="POS"/>
    <n v="1"/>
    <n v="150"/>
    <n v="150"/>
    <n v="0"/>
    <m/>
    <m/>
    <m/>
    <m/>
    <n v="0"/>
    <n v="0"/>
    <n v="36971.30299747087"/>
  </r>
  <r>
    <d v="2026-02-18T00:00:00"/>
    <x v="4"/>
    <s v="UYUZ İLACI"/>
    <m/>
    <x v="5"/>
    <s v="ST00000001267"/>
    <s v="SATIŞ"/>
    <s v="POS"/>
    <n v="1"/>
    <n v="350"/>
    <n v="350"/>
    <n v="0"/>
    <m/>
    <m/>
    <m/>
    <m/>
    <n v="0"/>
    <n v="0"/>
    <n v="36971.30299747087"/>
  </r>
  <r>
    <d v="2026-02-18T00:00:00"/>
    <x v="4"/>
    <s v="MISIR PREMİUM MEDİUM HURMA"/>
    <m/>
    <x v="5"/>
    <s v="ST00000001268"/>
    <s v="SATIŞ"/>
    <s v="POS"/>
    <n v="0.7"/>
    <n v="550"/>
    <n v="385"/>
    <n v="0"/>
    <m/>
    <m/>
    <m/>
    <m/>
    <n v="0"/>
    <n v="0"/>
    <n v="36971.30299747087"/>
  </r>
  <r>
    <d v="2026-02-18T00:00:00"/>
    <x v="4"/>
    <s v="SOSLU MISIR YERLİ"/>
    <m/>
    <x v="1"/>
    <s v="ST00000001269"/>
    <s v="SATIŞ"/>
    <s v="NAKİT"/>
    <n v="0.45454545454545453"/>
    <n v="220"/>
    <n v="0"/>
    <n v="0"/>
    <m/>
    <m/>
    <m/>
    <m/>
    <n v="100"/>
    <n v="0"/>
    <n v="37071.30299747087"/>
  </r>
  <r>
    <d v="2026-02-18T00:00:00"/>
    <x v="4"/>
    <s v="EL-RUHA ÇAY (AÇIK)"/>
    <m/>
    <x v="1"/>
    <s v="ST00000001270"/>
    <s v="SATIŞ - NECAT"/>
    <s v="NAKİT"/>
    <n v="1"/>
    <n v="600"/>
    <n v="0"/>
    <n v="0"/>
    <m/>
    <m/>
    <m/>
    <m/>
    <n v="600"/>
    <n v="0"/>
    <n v="37671.30299747087"/>
  </r>
  <r>
    <d v="2026-02-18T00:00:00"/>
    <x v="4"/>
    <s v="KONTES HAMAM OTU - TÜY DÖKÜCÜ"/>
    <m/>
    <x v="1"/>
    <s v="ST00000001271"/>
    <s v="SATIŞ"/>
    <s v="NAKİT"/>
    <n v="7"/>
    <n v="15"/>
    <n v="0"/>
    <n v="0"/>
    <m/>
    <m/>
    <m/>
    <m/>
    <n v="105"/>
    <n v="0"/>
    <n v="37776.30299747087"/>
  </r>
  <r>
    <d v="2026-02-18T00:00:00"/>
    <x v="4"/>
    <s v="HİNT YAĞI 50 CC"/>
    <m/>
    <x v="1"/>
    <s v="ST00000001272"/>
    <s v="SATIŞ - ZAKİYE"/>
    <s v="NAKİT"/>
    <n v="1"/>
    <n v="130"/>
    <n v="0"/>
    <n v="0"/>
    <m/>
    <m/>
    <m/>
    <m/>
    <n v="130"/>
    <n v="0"/>
    <n v="37906.30299747087"/>
  </r>
  <r>
    <d v="2026-02-18T00:00:00"/>
    <x v="6"/>
    <s v="DOMATES SALÇASI"/>
    <m/>
    <x v="3"/>
    <m/>
    <s v="YALÇINTAT - SALÇA İADELERİ"/>
    <s v="CARİ"/>
    <n v="193.5"/>
    <n v="62.015500000000003"/>
    <n v="12000"/>
    <n v="0"/>
    <m/>
    <m/>
    <m/>
    <m/>
    <n v="0"/>
    <n v="0"/>
    <n v="37906.30299747087"/>
  </r>
  <r>
    <d v="2026-02-19T00:00:00"/>
    <x v="4"/>
    <s v="DOLMALIK SARI BİBER"/>
    <m/>
    <x v="5"/>
    <s v="ST00000001273"/>
    <s v="SATIŞ"/>
    <s v="POS"/>
    <n v="1"/>
    <n v="230"/>
    <n v="230"/>
    <n v="0"/>
    <m/>
    <m/>
    <m/>
    <m/>
    <n v="0"/>
    <n v="0"/>
    <n v="37906.30299747087"/>
  </r>
  <r>
    <d v="2026-02-19T00:00:00"/>
    <x v="4"/>
    <s v="MANİSA YAPRAK DÖKME"/>
    <m/>
    <x v="1"/>
    <s v="ST00000001274"/>
    <s v="SATIŞ"/>
    <s v="NAKİT"/>
    <n v="0.5"/>
    <n v="300"/>
    <n v="0"/>
    <n v="0"/>
    <m/>
    <m/>
    <m/>
    <m/>
    <n v="150"/>
    <n v="0"/>
    <n v="38056.30299747087"/>
  </r>
  <r>
    <d v="2026-02-19T00:00:00"/>
    <x v="4"/>
    <s v="SUMAK TANE EKŞİLİ"/>
    <m/>
    <x v="1"/>
    <s v="ST00000001275"/>
    <s v="SATIŞ"/>
    <s v="NAKİT"/>
    <n v="8.4000000000000005E-2"/>
    <n v="490"/>
    <n v="0"/>
    <n v="0"/>
    <m/>
    <m/>
    <m/>
    <m/>
    <n v="41.160000000000004"/>
    <n v="0"/>
    <n v="38097.462997470873"/>
  </r>
  <r>
    <d v="2026-02-19T00:00:00"/>
    <x v="4"/>
    <s v="SUMAK"/>
    <m/>
    <x v="1"/>
    <s v="ST00000001275"/>
    <s v="SATIŞ"/>
    <s v="NAKİT"/>
    <n v="0.11799999999999999"/>
    <n v="500"/>
    <n v="0"/>
    <n v="0"/>
    <m/>
    <m/>
    <m/>
    <m/>
    <n v="59"/>
    <n v="0"/>
    <n v="38156.462997470873"/>
  </r>
  <r>
    <d v="2026-02-19T00:00:00"/>
    <x v="4"/>
    <s v="DOLMALIK KURU PATLICAN"/>
    <m/>
    <x v="1"/>
    <s v="ST00000001275"/>
    <s v="SATIŞ"/>
    <s v="NAKİT"/>
    <n v="1"/>
    <n v="250"/>
    <n v="0"/>
    <n v="0"/>
    <m/>
    <m/>
    <m/>
    <m/>
    <n v="250"/>
    <n v="0"/>
    <n v="38406.462997470873"/>
  </r>
  <r>
    <d v="2026-02-19T00:00:00"/>
    <x v="4"/>
    <s v="DOLMALIK KURU PATLICAN"/>
    <m/>
    <x v="5"/>
    <s v="ST00000001276"/>
    <s v="SATIŞ"/>
    <s v="POS"/>
    <n v="1.5"/>
    <n v="250"/>
    <n v="375"/>
    <n v="0"/>
    <m/>
    <m/>
    <m/>
    <m/>
    <n v="0"/>
    <n v="0"/>
    <n v="38406.462997470873"/>
  </r>
  <r>
    <d v="2026-02-19T00:00:00"/>
    <x v="4"/>
    <s v="DOLMALIK SARI BİBER"/>
    <m/>
    <x v="5"/>
    <s v="ST00000001276"/>
    <s v="SATIŞ"/>
    <s v="POS"/>
    <n v="1"/>
    <n v="230"/>
    <n v="230"/>
    <n v="0"/>
    <m/>
    <m/>
    <m/>
    <m/>
    <n v="0"/>
    <n v="0"/>
    <n v="38406.462997470873"/>
  </r>
  <r>
    <d v="2026-02-19T00:00:00"/>
    <x v="4"/>
    <s v="BİBERİYE"/>
    <m/>
    <x v="5"/>
    <s v="ST00000001276"/>
    <s v="SATIŞ"/>
    <s v="POS"/>
    <n v="0.1"/>
    <n v="1200"/>
    <n v="120"/>
    <n v="0"/>
    <m/>
    <m/>
    <m/>
    <m/>
    <n v="0"/>
    <n v="0"/>
    <n v="38406.462997470873"/>
  </r>
  <r>
    <d v="2026-02-19T00:00:00"/>
    <x v="4"/>
    <s v="NAHİTA NAR EKŞİSİ 250 ML"/>
    <m/>
    <x v="5"/>
    <s v="ST00000001276"/>
    <s v="SATIŞ"/>
    <s v="POS"/>
    <n v="1"/>
    <n v="180"/>
    <n v="180"/>
    <n v="0"/>
    <m/>
    <m/>
    <m/>
    <m/>
    <n v="0"/>
    <n v="0"/>
    <n v="38406.462997470873"/>
  </r>
  <r>
    <d v="2026-02-19T00:00:00"/>
    <x v="4"/>
    <s v="MOR REYHAN"/>
    <m/>
    <x v="5"/>
    <s v="ST00000001276"/>
    <s v="SATIŞ"/>
    <s v="POS"/>
    <n v="0.05"/>
    <n v="1500"/>
    <n v="75"/>
    <n v="0"/>
    <m/>
    <m/>
    <m/>
    <m/>
    <n v="0"/>
    <n v="0"/>
    <n v="38406.462997470873"/>
  </r>
  <r>
    <d v="2026-02-19T00:00:00"/>
    <x v="4"/>
    <s v="DOLMALIK KURU PATLICAN"/>
    <m/>
    <x v="1"/>
    <s v="ST00000001277"/>
    <s v="SATIŞ - SUAT"/>
    <s v="NAKİT"/>
    <n v="2"/>
    <n v="250"/>
    <n v="0"/>
    <n v="0"/>
    <m/>
    <m/>
    <m/>
    <m/>
    <n v="500"/>
    <n v="0"/>
    <n v="38906.462997470873"/>
  </r>
  <r>
    <d v="2026-02-19T00:00:00"/>
    <x v="4"/>
    <s v="HİBİSKUS"/>
    <m/>
    <x v="1"/>
    <s v="ST00000001277"/>
    <s v="SATIŞ - SUAT"/>
    <s v="NAKİT"/>
    <n v="0.2"/>
    <n v="600"/>
    <n v="0"/>
    <n v="0"/>
    <m/>
    <m/>
    <m/>
    <m/>
    <n v="120"/>
    <n v="0"/>
    <n v="39026.462997470873"/>
  </r>
  <r>
    <d v="2026-02-19T00:00:00"/>
    <x v="4"/>
    <s v="TOZ BİBER - TATLI"/>
    <m/>
    <x v="1"/>
    <s v="ST00000001277"/>
    <s v="SATIŞ - SUAT"/>
    <s v="NAKİT"/>
    <n v="0.26600000000000001"/>
    <n v="400"/>
    <n v="0"/>
    <n v="0"/>
    <m/>
    <m/>
    <m/>
    <m/>
    <n v="106.4"/>
    <n v="0"/>
    <n v="39132.862997470875"/>
  </r>
  <r>
    <d v="2026-02-19T00:00:00"/>
    <x v="4"/>
    <s v="SUMAK"/>
    <m/>
    <x v="1"/>
    <s v="ST00000001277"/>
    <s v="SATIŞ - SUAT"/>
    <s v="NAKİT"/>
    <n v="0.23"/>
    <n v="500"/>
    <n v="0"/>
    <n v="0"/>
    <m/>
    <m/>
    <m/>
    <m/>
    <n v="115"/>
    <n v="0"/>
    <n v="39247.862997470875"/>
  </r>
  <r>
    <d v="2026-02-19T00:00:00"/>
    <x v="4"/>
    <s v="PATLAK MISIR"/>
    <m/>
    <x v="1"/>
    <s v="ST00000001277"/>
    <s v="SATIŞ - SUAT"/>
    <s v="NAKİT"/>
    <n v="1"/>
    <n v="60"/>
    <n v="0"/>
    <n v="0"/>
    <m/>
    <m/>
    <m/>
    <m/>
    <n v="60"/>
    <n v="0"/>
    <n v="39307.862997470875"/>
  </r>
  <r>
    <d v="2026-02-19T00:00:00"/>
    <x v="4"/>
    <s v="KARBONAT"/>
    <m/>
    <x v="1"/>
    <s v="ST00000001277"/>
    <s v="SATIŞ - SUAT"/>
    <s v="NAKİT"/>
    <n v="0.5"/>
    <n v="80"/>
    <n v="0"/>
    <n v="0"/>
    <m/>
    <m/>
    <m/>
    <m/>
    <n v="40"/>
    <n v="0"/>
    <n v="39347.862997470875"/>
  </r>
  <r>
    <d v="2026-02-19T00:00:00"/>
    <x v="4"/>
    <s v="TÜRK KAHVESİ"/>
    <m/>
    <x v="1"/>
    <s v="ST00000001277"/>
    <s v="SATIŞ - SUAT"/>
    <s v="NAKİT"/>
    <n v="0.1"/>
    <n v="650"/>
    <n v="0"/>
    <n v="0"/>
    <m/>
    <m/>
    <m/>
    <m/>
    <n v="65"/>
    <n v="0"/>
    <n v="39412.862997470875"/>
  </r>
  <r>
    <d v="2026-02-19T00:00:00"/>
    <x v="4"/>
    <s v="ZAHTER"/>
    <m/>
    <x v="1"/>
    <s v="ST00000001277"/>
    <s v="SATIŞ - SUAT"/>
    <s v="NAKİT"/>
    <n v="0.05"/>
    <n v="400"/>
    <n v="0"/>
    <n v="0"/>
    <m/>
    <m/>
    <m/>
    <m/>
    <n v="20"/>
    <n v="0"/>
    <n v="39432.862997470875"/>
  </r>
  <r>
    <d v="2026-02-19T00:00:00"/>
    <x v="4"/>
    <s v="KABAK ÇEKİRDEĞİ YAĞI 50 CC"/>
    <m/>
    <x v="1"/>
    <s v="ST00000001277"/>
    <s v="SATIŞ - SUAT"/>
    <s v="NAKİT"/>
    <n v="1"/>
    <n v="125"/>
    <n v="0"/>
    <n v="0"/>
    <m/>
    <m/>
    <m/>
    <m/>
    <n v="125"/>
    <n v="0"/>
    <n v="39557.862997470875"/>
  </r>
  <r>
    <d v="2026-02-19T00:00:00"/>
    <x v="4"/>
    <s v="MECİTEFENDİ MİSVAK ÖZLÜ DOĞAL DİŞ MACUNU 75 ml"/>
    <m/>
    <x v="1"/>
    <s v="ST00000001277"/>
    <s v="SATIŞ - SUAT"/>
    <s v="NAKİT"/>
    <n v="1"/>
    <n v="135"/>
    <n v="0"/>
    <n v="0"/>
    <m/>
    <m/>
    <m/>
    <m/>
    <n v="135"/>
    <n v="0"/>
    <n v="39692.862997470875"/>
  </r>
  <r>
    <d v="2026-02-19T00:00:00"/>
    <x v="4"/>
    <s v="MS 11 DERMA KABAK HAVLU ELDİVEN"/>
    <m/>
    <x v="1"/>
    <s v="ST00000001277"/>
    <s v="SATIŞ - SUAT"/>
    <s v="NAKİT"/>
    <n v="1"/>
    <n v="150"/>
    <n v="0"/>
    <n v="0"/>
    <m/>
    <m/>
    <m/>
    <m/>
    <n v="150"/>
    <n v="0"/>
    <n v="39842.862997470875"/>
  </r>
  <r>
    <d v="2026-02-19T00:00:00"/>
    <x v="4"/>
    <s v="TOZ TARÇIN"/>
    <m/>
    <x v="1"/>
    <s v="ST00000001278"/>
    <s v="SATIŞ"/>
    <s v="NAKİT"/>
    <n v="0.1"/>
    <n v="400"/>
    <n v="0"/>
    <n v="0"/>
    <m/>
    <m/>
    <m/>
    <m/>
    <n v="40"/>
    <n v="0"/>
    <n v="39882.862997470875"/>
  </r>
  <r>
    <d v="2026-02-19T00:00:00"/>
    <x v="4"/>
    <s v="İRİ BEYAZ KABAK ÇEKİRDEĞİ - NEVŞEHİR"/>
    <m/>
    <x v="1"/>
    <s v="ST00000001278"/>
    <s v="SATIŞ"/>
    <s v="NAKİT"/>
    <n v="0.28000000000000003"/>
    <n v="430"/>
    <n v="0"/>
    <n v="0"/>
    <m/>
    <m/>
    <m/>
    <m/>
    <n v="120.4"/>
    <n v="0"/>
    <n v="40003.262997470876"/>
  </r>
  <r>
    <d v="2026-02-19T00:00:00"/>
    <x v="4"/>
    <s v="TOZ BİBER - TATLI"/>
    <m/>
    <x v="5"/>
    <s v="ST00000001279"/>
    <s v="SATIŞ"/>
    <s v="POS"/>
    <n v="0.54749999999999999"/>
    <n v="400"/>
    <n v="219"/>
    <n v="0"/>
    <m/>
    <m/>
    <m/>
    <m/>
    <n v="0"/>
    <n v="0"/>
    <n v="40003.262997470876"/>
  </r>
  <r>
    <d v="2026-02-19T00:00:00"/>
    <x v="4"/>
    <s v="AÇIK KAYISI İRİ (SARI)"/>
    <m/>
    <x v="5"/>
    <s v="ST00000001280"/>
    <s v="SATIŞ"/>
    <s v="POS"/>
    <n v="0.5"/>
    <n v="690"/>
    <n v="345"/>
    <n v="0"/>
    <m/>
    <m/>
    <m/>
    <m/>
    <n v="0"/>
    <n v="0"/>
    <n v="40003.262997470876"/>
  </r>
  <r>
    <d v="2026-02-19T00:00:00"/>
    <x v="4"/>
    <s v="MISIR PREMİUM MEDİUM HURMA"/>
    <m/>
    <x v="5"/>
    <s v="ST00000001280"/>
    <s v="SATIŞ"/>
    <s v="POS"/>
    <n v="0.51"/>
    <n v="550"/>
    <n v="280.5"/>
    <n v="0"/>
    <m/>
    <m/>
    <m/>
    <m/>
    <n v="0"/>
    <n v="0"/>
    <n v="40003.262997470876"/>
  </r>
  <r>
    <d v="2026-02-19T00:00:00"/>
    <x v="4"/>
    <s v="HİNDİSTAN CEVİZİ ( İRİ )"/>
    <m/>
    <x v="5"/>
    <s v="ST00000001280"/>
    <s v="SATIŞ"/>
    <s v="POS"/>
    <n v="0.1"/>
    <n v="600"/>
    <n v="60"/>
    <n v="0"/>
    <m/>
    <m/>
    <m/>
    <m/>
    <n v="0"/>
    <n v="0"/>
    <n v="40003.262997470876"/>
  </r>
  <r>
    <d v="2026-02-19T00:00:00"/>
    <x v="4"/>
    <s v="KAJUN BAHARATI - CAJUN SEASONING 1000 GR"/>
    <m/>
    <x v="5"/>
    <s v="ST00000001280"/>
    <s v="SATIŞ"/>
    <s v="POS"/>
    <n v="0.1"/>
    <n v="750"/>
    <n v="75"/>
    <n v="0"/>
    <m/>
    <m/>
    <m/>
    <m/>
    <n v="0"/>
    <n v="0"/>
    <n v="40003.262997470876"/>
  </r>
  <r>
    <d v="2026-02-19T00:00:00"/>
    <x v="4"/>
    <s v="TÜDAB KEÇİ BOYNUZU (DÖKME)"/>
    <m/>
    <x v="1"/>
    <s v="ST00000001281"/>
    <s v="SATIŞ"/>
    <s v="NAKİT"/>
    <n v="0.11"/>
    <n v="350"/>
    <n v="0"/>
    <n v="0"/>
    <m/>
    <m/>
    <m/>
    <m/>
    <n v="38.5"/>
    <n v="0"/>
    <n v="40041.762997470876"/>
  </r>
  <r>
    <d v="2026-02-19T00:00:00"/>
    <x v="4"/>
    <s v="DOLMALIK KURU PATLICAN"/>
    <m/>
    <x v="1"/>
    <s v="ST00000001282"/>
    <s v="SATIŞ"/>
    <s v="NAKİT"/>
    <n v="1"/>
    <n v="250"/>
    <n v="0"/>
    <n v="0"/>
    <m/>
    <m/>
    <m/>
    <m/>
    <n v="250"/>
    <n v="0"/>
    <n v="40291.762997470876"/>
  </r>
  <r>
    <d v="2026-02-19T00:00:00"/>
    <x v="4"/>
    <s v="DOLMALIK SARI BİBER"/>
    <m/>
    <x v="1"/>
    <s v="ST00000001282"/>
    <s v="SATIŞ"/>
    <s v="NAKİT"/>
    <n v="1"/>
    <n v="230"/>
    <n v="0"/>
    <n v="0"/>
    <m/>
    <m/>
    <m/>
    <m/>
    <n v="230"/>
    <n v="0"/>
    <n v="40521.762997470876"/>
  </r>
  <r>
    <d v="2026-02-19T00:00:00"/>
    <x v="4"/>
    <s v="LOBAS SAF NAR EKŞİSİ 1 KG"/>
    <m/>
    <x v="1"/>
    <s v="ST00000001282"/>
    <s v="SATIŞ"/>
    <s v="NAKİT"/>
    <n v="1"/>
    <n v="340"/>
    <n v="0"/>
    <n v="0"/>
    <m/>
    <m/>
    <m/>
    <m/>
    <n v="340"/>
    <n v="0"/>
    <n v="40861.762997470876"/>
  </r>
  <r>
    <d v="2026-02-19T00:00:00"/>
    <x v="4"/>
    <s v="YALÇINKAYA DOMATES SALÇASI"/>
    <m/>
    <x v="1"/>
    <s v="ST00000001282"/>
    <s v="SATIŞ"/>
    <s v="NAKİT"/>
    <n v="0.5"/>
    <n v="150"/>
    <n v="0"/>
    <n v="0"/>
    <m/>
    <m/>
    <m/>
    <m/>
    <n v="75"/>
    <n v="0"/>
    <n v="40936.762997470876"/>
  </r>
  <r>
    <d v="2026-02-19T00:00:00"/>
    <x v="4"/>
    <s v="YALÇINKAYA TATLI BİBER SALÇASI"/>
    <m/>
    <x v="1"/>
    <s v="ST00000001282"/>
    <s v="SATIŞ"/>
    <s v="NAKİT"/>
    <n v="0.5"/>
    <n v="200"/>
    <n v="0"/>
    <n v="0"/>
    <m/>
    <m/>
    <m/>
    <m/>
    <n v="100"/>
    <n v="0"/>
    <n v="41036.762997470876"/>
  </r>
  <r>
    <d v="2026-02-19T00:00:00"/>
    <x v="4"/>
    <s v="İPEK BİBER"/>
    <m/>
    <x v="1"/>
    <s v="ST00000001282"/>
    <s v="SATIŞ"/>
    <s v="NAKİT"/>
    <n v="0.13800000000000001"/>
    <n v="500"/>
    <n v="0"/>
    <n v="0"/>
    <m/>
    <m/>
    <m/>
    <m/>
    <n v="69"/>
    <n v="0"/>
    <n v="41105.762997470876"/>
  </r>
  <r>
    <d v="2026-02-19T00:00:00"/>
    <x v="4"/>
    <s v="DUT KURUSU ESMER"/>
    <m/>
    <x v="5"/>
    <s v="ST00000001283"/>
    <s v="SATIŞ"/>
    <s v="POS"/>
    <n v="0.44444444444444442"/>
    <n v="450"/>
    <n v="200"/>
    <n v="0"/>
    <m/>
    <m/>
    <m/>
    <m/>
    <n v="0"/>
    <n v="0"/>
    <n v="41105.762997470876"/>
  </r>
  <r>
    <d v="2026-02-19T00:00:00"/>
    <x v="4"/>
    <s v="TÜDAB KARIŞIK TURŞU"/>
    <m/>
    <x v="1"/>
    <s v="ST00000001284"/>
    <s v="SATIŞ"/>
    <s v="NAKİT"/>
    <n v="1"/>
    <n v="400"/>
    <n v="0"/>
    <n v="0"/>
    <m/>
    <m/>
    <m/>
    <m/>
    <n v="400"/>
    <n v="0"/>
    <n v="41505.762997470876"/>
  </r>
  <r>
    <d v="2026-02-19T00:00:00"/>
    <x v="4"/>
    <s v="KAJUN BAHARATI - CAJUN SEASONING 1000 GR"/>
    <m/>
    <x v="1"/>
    <s v="ST00000001284"/>
    <s v="SATIŞ"/>
    <s v="NAKİT"/>
    <n v="0.1"/>
    <n v="500"/>
    <n v="0"/>
    <n v="0"/>
    <m/>
    <m/>
    <m/>
    <m/>
    <n v="50"/>
    <n v="0"/>
    <n v="41555.762997470876"/>
  </r>
  <r>
    <d v="2026-02-19T00:00:00"/>
    <x v="4"/>
    <s v="İRİ BEYAZ KABAK ÇEKİRDEĞİ - NEVŞEHİR"/>
    <m/>
    <x v="5"/>
    <s v="ST00000001285"/>
    <s v="SATIŞ"/>
    <s v="POS"/>
    <n v="0.55813953488372092"/>
    <n v="430"/>
    <n v="240"/>
    <n v="0"/>
    <m/>
    <m/>
    <m/>
    <m/>
    <n v="0"/>
    <n v="0"/>
    <n v="41555.762997470876"/>
  </r>
  <r>
    <d v="2026-02-19T00:00:00"/>
    <x v="4"/>
    <s v="MISIR PREMİUM MEDİUM HURMA"/>
    <m/>
    <x v="5"/>
    <s v="ST00000001286"/>
    <s v="SATIŞ"/>
    <s v="POS"/>
    <n v="0.70727272727272728"/>
    <n v="550"/>
    <n v="389"/>
    <n v="0"/>
    <m/>
    <m/>
    <m/>
    <m/>
    <n v="0"/>
    <n v="0"/>
    <n v="41555.762997470876"/>
  </r>
  <r>
    <d v="2026-02-19T00:00:00"/>
    <x v="4"/>
    <s v="ACVE SARI"/>
    <m/>
    <x v="5"/>
    <s v="ST00000001286"/>
    <s v="SATIŞ"/>
    <s v="POS"/>
    <n v="0.49249999999999999"/>
    <n v="400"/>
    <n v="197"/>
    <n v="0"/>
    <m/>
    <m/>
    <m/>
    <m/>
    <n v="0"/>
    <n v="0"/>
    <n v="41555.762997470876"/>
  </r>
  <r>
    <d v="2026-02-19T00:00:00"/>
    <x v="4"/>
    <s v="EL-RUHA ÇAY (AÇIK)"/>
    <m/>
    <x v="5"/>
    <s v="ST00000001286"/>
    <s v="SATIŞ"/>
    <s v="POS"/>
    <n v="0.25"/>
    <n v="600"/>
    <n v="150"/>
    <n v="0"/>
    <m/>
    <m/>
    <m/>
    <m/>
    <n v="0"/>
    <n v="0"/>
    <n v="41555.762997470876"/>
  </r>
  <r>
    <d v="2026-02-19T00:00:00"/>
    <x v="3"/>
    <s v="UYUZ İLACI"/>
    <m/>
    <x v="1"/>
    <m/>
    <s v="APO ECZACI"/>
    <s v="NAKİT"/>
    <n v="5"/>
    <n v="200"/>
    <n v="0"/>
    <n v="0"/>
    <m/>
    <m/>
    <m/>
    <m/>
    <n v="0"/>
    <n v="1000"/>
    <n v="40555.762997470876"/>
  </r>
  <r>
    <d v="2026-02-19T00:00:00"/>
    <x v="10"/>
    <m/>
    <m/>
    <x v="5"/>
    <m/>
    <s v="POS ÇÖZÜMÜ"/>
    <s v="POS"/>
    <n v="1"/>
    <n v="894.8"/>
    <n v="0"/>
    <n v="894.8"/>
    <n v="2965"/>
    <m/>
    <m/>
    <m/>
    <n v="894.8"/>
    <n v="0"/>
    <n v="41450.562997470879"/>
  </r>
  <r>
    <d v="2026-02-19T00:00:00"/>
    <x v="10"/>
    <m/>
    <m/>
    <x v="5"/>
    <m/>
    <s v="POS ÇÖZÜMÜ"/>
    <s v="POS"/>
    <n v="1"/>
    <n v="590"/>
    <n v="0"/>
    <n v="590"/>
    <m/>
    <m/>
    <m/>
    <m/>
    <n v="590"/>
    <n v="0"/>
    <n v="42040.562997470879"/>
  </r>
  <r>
    <d v="2026-02-20T00:00:00"/>
    <x v="4"/>
    <s v="KARABİBER ÇEKİLMİŞ"/>
    <m/>
    <x v="5"/>
    <s v="ST00000001287"/>
    <s v="SATIŞ"/>
    <s v="POS"/>
    <n v="0.12"/>
    <n v="650"/>
    <n v="78"/>
    <n v="0"/>
    <m/>
    <m/>
    <m/>
    <m/>
    <n v="0"/>
    <n v="0"/>
    <n v="42040.562997470879"/>
  </r>
  <r>
    <d v="2026-02-20T00:00:00"/>
    <x v="4"/>
    <s v="ZENCEFİL TANE"/>
    <m/>
    <x v="5"/>
    <s v="ST00000001287"/>
    <s v="SATIŞ"/>
    <s v="POS"/>
    <n v="0.124"/>
    <n v="400"/>
    <n v="49.6"/>
    <n v="0"/>
    <m/>
    <m/>
    <m/>
    <m/>
    <n v="0"/>
    <n v="0"/>
    <n v="42040.562997470879"/>
  </r>
  <r>
    <d v="2026-02-20T00:00:00"/>
    <x v="4"/>
    <s v="ZERDEÇAL TOZ"/>
    <m/>
    <x v="5"/>
    <s v="ST00000001287"/>
    <s v="SATIŞ"/>
    <s v="POS"/>
    <n v="0.15"/>
    <n v="300"/>
    <n v="45"/>
    <n v="0"/>
    <m/>
    <m/>
    <m/>
    <m/>
    <n v="0"/>
    <n v="0"/>
    <n v="42040.562997470879"/>
  </r>
  <r>
    <d v="2026-02-20T00:00:00"/>
    <x v="4"/>
    <s v="EL-RUHA ÇAY (AÇIK)"/>
    <m/>
    <x v="5"/>
    <s v="ST00000001287"/>
    <s v="SATIŞ"/>
    <s v="POS"/>
    <n v="0.25"/>
    <n v="600"/>
    <n v="150"/>
    <n v="0"/>
    <m/>
    <m/>
    <m/>
    <m/>
    <n v="0"/>
    <n v="0"/>
    <n v="42040.562997470879"/>
  </r>
  <r>
    <d v="2026-02-20T00:00:00"/>
    <x v="4"/>
    <s v="KAJUN BAHARATI - CAJUN SEASONING 1000 GR"/>
    <m/>
    <x v="5"/>
    <s v="ST00000001287"/>
    <s v="SATIŞ"/>
    <s v="POS"/>
    <n v="0.1"/>
    <n v="750"/>
    <n v="75"/>
    <n v="0"/>
    <m/>
    <m/>
    <m/>
    <m/>
    <n v="0"/>
    <n v="0"/>
    <n v="42040.562997470879"/>
  </r>
  <r>
    <d v="2026-02-20T00:00:00"/>
    <x v="4"/>
    <s v="RUŞUR TAŞI"/>
    <m/>
    <x v="5"/>
    <s v="ST00000001287"/>
    <s v="SATIŞ"/>
    <s v="POS"/>
    <n v="2"/>
    <n v="10"/>
    <n v="20"/>
    <n v="0"/>
    <m/>
    <m/>
    <m/>
    <m/>
    <n v="0"/>
    <n v="0"/>
    <n v="42040.562997470879"/>
  </r>
  <r>
    <d v="2026-02-20T00:00:00"/>
    <x v="4"/>
    <s v="ZÜHRE ANA KİDS ARI SÜTÜ PEKMEZ BAL MACUN 240 GR"/>
    <m/>
    <x v="5"/>
    <s v="ST00000001288"/>
    <s v="SATIŞ"/>
    <s v="POS"/>
    <n v="1"/>
    <n v="240"/>
    <n v="240"/>
    <n v="0"/>
    <m/>
    <m/>
    <m/>
    <m/>
    <n v="0"/>
    <n v="0"/>
    <n v="42040.562997470879"/>
  </r>
  <r>
    <d v="2026-02-20T00:00:00"/>
    <x v="4"/>
    <s v="AYÇEKİRDEĞİ DAKOTA TUZSUZ EKSTRA"/>
    <m/>
    <x v="5"/>
    <s v="ST00000001289"/>
    <s v="SATIŞ"/>
    <s v="POS"/>
    <n v="0.26200000000000001"/>
    <n v="230"/>
    <n v="60.260000000000005"/>
    <n v="0"/>
    <m/>
    <m/>
    <m/>
    <m/>
    <n v="0"/>
    <n v="0"/>
    <n v="42040.562997470879"/>
  </r>
  <r>
    <d v="2026-02-20T00:00:00"/>
    <x v="4"/>
    <s v="LEBLEBİ ŞEKER LÜX"/>
    <m/>
    <x v="5"/>
    <s v="ST00000001289"/>
    <s v="SATIŞ"/>
    <s v="POS"/>
    <n v="0.218"/>
    <n v="230"/>
    <n v="50.14"/>
    <n v="0"/>
    <m/>
    <m/>
    <m/>
    <m/>
    <n v="0"/>
    <n v="0"/>
    <n v="42040.562997470879"/>
  </r>
  <r>
    <d v="2026-02-20T00:00:00"/>
    <x v="4"/>
    <s v="EL-RUHA ÇAY (AÇIK)"/>
    <m/>
    <x v="5"/>
    <s v="ST00000001289"/>
    <s v="SATIŞ"/>
    <s v="POS"/>
    <n v="0.16800000000000001"/>
    <n v="600"/>
    <n v="100.80000000000001"/>
    <n v="0"/>
    <m/>
    <m/>
    <m/>
    <m/>
    <n v="0"/>
    <n v="0"/>
    <n v="42040.562997470879"/>
  </r>
  <r>
    <d v="2026-02-20T00:00:00"/>
    <x v="4"/>
    <s v="DOMATES KURUSU"/>
    <m/>
    <x v="5"/>
    <s v="ST00000001289"/>
    <s v="SATIŞ"/>
    <s v="POS"/>
    <n v="0.25"/>
    <n v="320"/>
    <n v="80"/>
    <n v="0"/>
    <m/>
    <m/>
    <m/>
    <m/>
    <n v="0"/>
    <n v="0"/>
    <n v="42040.562997470879"/>
  </r>
  <r>
    <d v="2026-02-20T00:00:00"/>
    <x v="4"/>
    <s v="TÜDAB KIŞ ÇAYI 200 GR"/>
    <m/>
    <x v="1"/>
    <s v="ST00000001290"/>
    <s v="SATIŞ"/>
    <s v="NAKİT"/>
    <n v="1"/>
    <n v="130"/>
    <n v="0"/>
    <n v="0"/>
    <m/>
    <m/>
    <m/>
    <m/>
    <n v="130"/>
    <n v="0"/>
    <n v="42170.562997470879"/>
  </r>
  <r>
    <d v="2026-02-20T00:00:00"/>
    <x v="4"/>
    <s v="LEBLEBİ ŞEKER LÜX"/>
    <m/>
    <x v="1"/>
    <s v="ST00000001291"/>
    <s v="SATIŞ"/>
    <s v="NAKİT"/>
    <n v="0.218"/>
    <n v="230"/>
    <n v="0"/>
    <n v="0"/>
    <m/>
    <m/>
    <m/>
    <m/>
    <n v="50.14"/>
    <n v="0"/>
    <n v="42220.702997470878"/>
  </r>
  <r>
    <d v="2026-02-20T00:00:00"/>
    <x v="4"/>
    <s v="YALÇINKAYA ACI BİBER SALÇASI"/>
    <m/>
    <x v="1"/>
    <s v="ST00000001292"/>
    <s v="SATIŞ"/>
    <s v="NAKİT"/>
    <n v="0.5"/>
    <n v="200"/>
    <n v="0"/>
    <n v="0"/>
    <m/>
    <m/>
    <m/>
    <m/>
    <n v="100"/>
    <n v="0"/>
    <n v="42320.702997470878"/>
  </r>
  <r>
    <d v="2026-02-20T00:00:00"/>
    <x v="4"/>
    <s v="YALÇINKAYA TATLI BİBER SALÇASI"/>
    <m/>
    <x v="1"/>
    <s v="ST00000001292"/>
    <s v="SATIŞ"/>
    <s v="NAKİT"/>
    <n v="0.5"/>
    <n v="200"/>
    <n v="0"/>
    <n v="0"/>
    <m/>
    <m/>
    <m/>
    <m/>
    <n v="100"/>
    <n v="0"/>
    <n v="42420.702997470878"/>
  </r>
  <r>
    <d v="2026-02-20T00:00:00"/>
    <x v="4"/>
    <s v="GÜNAYDIN KAYA TUZU İRİ"/>
    <m/>
    <x v="1"/>
    <s v="ST00000001293"/>
    <s v="SATIŞ"/>
    <s v="NAKİT"/>
    <n v="0.5"/>
    <n v="80"/>
    <n v="0"/>
    <n v="0"/>
    <m/>
    <m/>
    <m/>
    <m/>
    <n v="40"/>
    <n v="0"/>
    <n v="42460.702997470878"/>
  </r>
  <r>
    <d v="2026-02-20T00:00:00"/>
    <x v="4"/>
    <s v="İZMİR ÜZÜMÜ"/>
    <m/>
    <x v="5"/>
    <s v="ST00000001294"/>
    <s v="SATIŞ"/>
    <s v="POS"/>
    <n v="0.2"/>
    <n v="250"/>
    <n v="50"/>
    <n v="0"/>
    <m/>
    <m/>
    <m/>
    <m/>
    <n v="0"/>
    <n v="0"/>
    <n v="42460.702997470878"/>
  </r>
  <r>
    <d v="2026-02-20T00:00:00"/>
    <x v="4"/>
    <s v="AÇIK KAYISI İRİ (SARI)"/>
    <m/>
    <x v="5"/>
    <s v="ST00000001294"/>
    <s v="SATIŞ"/>
    <s v="POS"/>
    <n v="0.24637681159420291"/>
    <n v="690"/>
    <n v="170"/>
    <n v="0"/>
    <m/>
    <m/>
    <m/>
    <m/>
    <n v="0"/>
    <n v="0"/>
    <n v="42460.702997470878"/>
  </r>
  <r>
    <d v="2026-02-20T00:00:00"/>
    <x v="4"/>
    <s v="İRİ BEYAZ KABAK ÇEKİRDEĞİ - NEVŞEHİR"/>
    <m/>
    <x v="5"/>
    <s v="ST00000001295"/>
    <s v="SATIŞ"/>
    <s v="POS"/>
    <n v="0.56000000000000005"/>
    <n v="430"/>
    <n v="240.8"/>
    <n v="0"/>
    <m/>
    <m/>
    <m/>
    <m/>
    <n v="0"/>
    <n v="0"/>
    <n v="42460.702997470878"/>
  </r>
  <r>
    <d v="2026-02-20T00:00:00"/>
    <x v="4"/>
    <s v="AYÇEKİRDEĞİ DAKOTA TUZSUZ EKSTRA"/>
    <m/>
    <x v="5"/>
    <s v="ST00000001295"/>
    <s v="SATIŞ"/>
    <s v="POS"/>
    <n v="0.52200000000000002"/>
    <n v="230"/>
    <n v="120.06"/>
    <n v="0"/>
    <m/>
    <m/>
    <m/>
    <m/>
    <n v="0"/>
    <n v="0"/>
    <n v="42460.702997470878"/>
  </r>
  <r>
    <d v="2026-02-20T00:00:00"/>
    <x v="4"/>
    <s v="KARIŞIK KURUYEMİŞ"/>
    <m/>
    <x v="5"/>
    <s v="ST00000001296"/>
    <s v="SATIŞ"/>
    <s v="POS"/>
    <n v="0.94199999999999995"/>
    <n v="850"/>
    <n v="800.69999999999993"/>
    <n v="0"/>
    <m/>
    <m/>
    <m/>
    <m/>
    <n v="0"/>
    <n v="0"/>
    <n v="42460.702997470878"/>
  </r>
  <r>
    <d v="2026-02-20T00:00:00"/>
    <x v="4"/>
    <s v="DEMKAR TURUNCU PAKET ANTEP FISTIĞI"/>
    <m/>
    <x v="5"/>
    <s v="ST00000001296"/>
    <s v="SATIŞ"/>
    <s v="POS"/>
    <n v="0.1"/>
    <n v="1000"/>
    <n v="100"/>
    <n v="0"/>
    <m/>
    <m/>
    <m/>
    <m/>
    <n v="0"/>
    <n v="0"/>
    <n v="42460.702997470878"/>
  </r>
  <r>
    <d v="2026-02-20T00:00:00"/>
    <x v="4"/>
    <s v="MISIR PREMİUM MEDİUM HURMA"/>
    <m/>
    <x v="5"/>
    <s v="ST00000001296"/>
    <s v="SATIŞ"/>
    <s v="POS"/>
    <n v="1"/>
    <n v="550"/>
    <n v="550"/>
    <n v="0"/>
    <m/>
    <m/>
    <m/>
    <m/>
    <n v="0"/>
    <n v="0"/>
    <n v="42460.702997470878"/>
  </r>
  <r>
    <d v="2026-02-20T00:00:00"/>
    <x v="4"/>
    <s v="DOLMALIK KURU PATLICAN"/>
    <m/>
    <x v="5"/>
    <s v="ST00000001297"/>
    <s v="SATIŞ"/>
    <s v="POS"/>
    <n v="1"/>
    <n v="250"/>
    <n v="250"/>
    <n v="0"/>
    <m/>
    <m/>
    <m/>
    <m/>
    <n v="0"/>
    <n v="0"/>
    <n v="42460.702997470878"/>
  </r>
  <r>
    <d v="2026-02-20T00:00:00"/>
    <x v="4"/>
    <s v="EVLİK BİBER"/>
    <m/>
    <x v="5"/>
    <s v="ST00000001298"/>
    <s v="SATIŞ - TOPTAN"/>
    <s v="POS"/>
    <n v="1"/>
    <n v="235"/>
    <n v="235"/>
    <n v="0"/>
    <m/>
    <m/>
    <m/>
    <m/>
    <n v="0"/>
    <n v="0"/>
    <n v="42460.702997470878"/>
  </r>
  <r>
    <d v="2026-02-20T00:00:00"/>
    <x v="4"/>
    <s v="TOZ BİBER - TATLI"/>
    <m/>
    <x v="5"/>
    <s v="ST00000001298"/>
    <s v="SATIŞ - TOPTAN"/>
    <s v="POS"/>
    <n v="2"/>
    <n v="240"/>
    <n v="480"/>
    <n v="0"/>
    <m/>
    <m/>
    <m/>
    <m/>
    <n v="0"/>
    <n v="0"/>
    <n v="42460.702997470878"/>
  </r>
  <r>
    <d v="2026-02-20T00:00:00"/>
    <x v="4"/>
    <s v="MİSVAK KUTULU (HOLDER)"/>
    <m/>
    <x v="1"/>
    <s v="ST00000001299"/>
    <s v="SATIŞ"/>
    <s v="NAKİT"/>
    <n v="1"/>
    <n v="30"/>
    <n v="0"/>
    <n v="0"/>
    <m/>
    <m/>
    <m/>
    <m/>
    <n v="30"/>
    <n v="0"/>
    <n v="42490.702997470878"/>
  </r>
  <r>
    <d v="2026-02-20T00:00:00"/>
    <x v="4"/>
    <s v="TALA KARINCA YUMURTASI YAĞI 20 ML"/>
    <m/>
    <x v="1"/>
    <s v="ST00000001299"/>
    <s v="SATIŞ"/>
    <s v="NAKİT"/>
    <n v="1"/>
    <n v="100"/>
    <n v="0"/>
    <n v="0"/>
    <m/>
    <m/>
    <m/>
    <m/>
    <n v="100"/>
    <n v="0"/>
    <n v="42590.702997470878"/>
  </r>
  <r>
    <d v="2026-02-20T00:00:00"/>
    <x v="4"/>
    <s v="KEKİK LÜX"/>
    <m/>
    <x v="1"/>
    <s v="ST00000001299"/>
    <s v="SATIŞ"/>
    <s v="NAKİT"/>
    <n v="2.8000000000000001E-2"/>
    <n v="650"/>
    <n v="0"/>
    <n v="0"/>
    <m/>
    <m/>
    <m/>
    <m/>
    <n v="18.2"/>
    <n v="0"/>
    <n v="42608.902997470876"/>
  </r>
  <r>
    <d v="2026-02-20T00:00:00"/>
    <x v="4"/>
    <s v="HASEVLİK"/>
    <m/>
    <x v="1"/>
    <s v="ST00000001299"/>
    <s v="SATIŞ"/>
    <s v="NAKİT"/>
    <n v="0.22222222222222221"/>
    <n v="250"/>
    <n v="0"/>
    <n v="0"/>
    <m/>
    <m/>
    <m/>
    <m/>
    <n v="55.55555555555555"/>
    <n v="0"/>
    <n v="42664.45855302643"/>
  </r>
  <r>
    <d v="2026-02-20T00:00:00"/>
    <x v="4"/>
    <s v="DURMUŞOĞULLARI KATI PEKMEZ TAHTA 700 GR"/>
    <m/>
    <x v="5"/>
    <s v="ST00000001300"/>
    <s v="SATIŞ"/>
    <s v="POS"/>
    <n v="1"/>
    <n v="295"/>
    <n v="295"/>
    <n v="0"/>
    <m/>
    <m/>
    <m/>
    <m/>
    <n v="0"/>
    <n v="0"/>
    <n v="42664.45855302643"/>
  </r>
  <r>
    <d v="2026-02-20T00:00:00"/>
    <x v="4"/>
    <s v="ÇÖREKOTU YAĞI 50 CC"/>
    <m/>
    <x v="5"/>
    <s v="ST00000001301"/>
    <s v="SATIŞ"/>
    <s v="POS"/>
    <n v="2"/>
    <n v="170"/>
    <n v="340"/>
    <n v="0"/>
    <m/>
    <m/>
    <m/>
    <m/>
    <n v="0"/>
    <n v="0"/>
    <n v="42664.45855302643"/>
  </r>
  <r>
    <d v="2026-02-20T00:00:00"/>
    <x v="4"/>
    <s v="DOLMALIK KURU KABAK"/>
    <m/>
    <x v="5"/>
    <s v="ST00000001302"/>
    <s v="SATIŞ"/>
    <s v="POS"/>
    <n v="1"/>
    <n v="241"/>
    <n v="241"/>
    <n v="0"/>
    <m/>
    <m/>
    <m/>
    <m/>
    <n v="0"/>
    <n v="0"/>
    <n v="42664.45855302643"/>
  </r>
  <r>
    <d v="2026-02-20T00:00:00"/>
    <x v="4"/>
    <s v="DOLMALIK KURU PATLICAN"/>
    <m/>
    <x v="5"/>
    <s v="ST00000001302"/>
    <s v="SATIŞ"/>
    <s v="POS"/>
    <n v="1"/>
    <n v="250"/>
    <n v="250"/>
    <n v="0"/>
    <m/>
    <m/>
    <m/>
    <m/>
    <n v="0"/>
    <n v="0"/>
    <n v="42664.45855302643"/>
  </r>
  <r>
    <d v="2026-02-20T00:00:00"/>
    <x v="4"/>
    <s v="MANİSA YAPRAK DÖKME"/>
    <m/>
    <x v="5"/>
    <s v="ST00000001302"/>
    <s v="SATIŞ"/>
    <s v="POS"/>
    <n v="0.5"/>
    <n v="300"/>
    <n v="150"/>
    <n v="0"/>
    <m/>
    <m/>
    <m/>
    <m/>
    <n v="0"/>
    <n v="0"/>
    <n v="42664.45855302643"/>
  </r>
  <r>
    <d v="2026-02-20T00:00:00"/>
    <x v="4"/>
    <s v="İNCİR KÜÇÜK"/>
    <m/>
    <x v="5"/>
    <s v="ST00000001302"/>
    <s v="SATIŞ"/>
    <s v="POS"/>
    <n v="0.38596491228070173"/>
    <n v="570"/>
    <n v="220"/>
    <n v="0"/>
    <m/>
    <m/>
    <m/>
    <m/>
    <n v="0"/>
    <n v="0"/>
    <n v="42664.45855302643"/>
  </r>
  <r>
    <d v="2026-02-20T00:00:00"/>
    <x v="4"/>
    <s v="İZMİR ÜZÜMÜ"/>
    <m/>
    <x v="5"/>
    <s v="ST00000001302"/>
    <s v="SATIŞ"/>
    <s v="POS"/>
    <n v="0.24399999999999999"/>
    <n v="250"/>
    <n v="61"/>
    <n v="0"/>
    <m/>
    <m/>
    <m/>
    <m/>
    <n v="0"/>
    <n v="0"/>
    <n v="42664.45855302643"/>
  </r>
  <r>
    <d v="2026-02-20T00:00:00"/>
    <x v="4"/>
    <s v="ZERDEÇAL TOZ"/>
    <m/>
    <x v="5"/>
    <s v="ST00000001302"/>
    <s v="SATIŞ"/>
    <s v="POS"/>
    <n v="9.5000000000000001E-2"/>
    <n v="300"/>
    <n v="28.5"/>
    <n v="0"/>
    <m/>
    <m/>
    <m/>
    <m/>
    <n v="0"/>
    <n v="0"/>
    <n v="42664.45855302643"/>
  </r>
  <r>
    <d v="2026-02-20T00:00:00"/>
    <x v="4"/>
    <s v="DOLMALIK SARI BİBER"/>
    <m/>
    <x v="1"/>
    <s v="ST00000001303"/>
    <s v="SATIŞ"/>
    <s v="NAKİT"/>
    <n v="0.5"/>
    <n v="220"/>
    <n v="0"/>
    <n v="0"/>
    <m/>
    <m/>
    <m/>
    <m/>
    <n v="110"/>
    <n v="0"/>
    <n v="42774.45855302643"/>
  </r>
  <r>
    <d v="2026-02-20T00:00:00"/>
    <x v="4"/>
    <s v="DOLMALIK KURU PATLICAN"/>
    <m/>
    <x v="1"/>
    <s v="ST00000001303"/>
    <s v="SATIŞ"/>
    <s v="NAKİT"/>
    <n v="0.5"/>
    <n v="250"/>
    <n v="0"/>
    <n v="0"/>
    <m/>
    <m/>
    <m/>
    <m/>
    <n v="125"/>
    <n v="0"/>
    <n v="42899.45855302643"/>
  </r>
  <r>
    <d v="2026-02-20T00:00:00"/>
    <x v="4"/>
    <s v="DOLMALIK KURU KABAK"/>
    <m/>
    <x v="1"/>
    <s v="ST00000001303"/>
    <s v="SATIŞ"/>
    <s v="NAKİT"/>
    <n v="0.5"/>
    <n v="230"/>
    <n v="0"/>
    <n v="0"/>
    <m/>
    <m/>
    <m/>
    <m/>
    <n v="115"/>
    <n v="0"/>
    <n v="43014.45855302643"/>
  </r>
  <r>
    <d v="2026-02-20T00:00:00"/>
    <x v="4"/>
    <s v="DOLMALIK SARI BİBER"/>
    <m/>
    <x v="1"/>
    <s v="ST00000001304"/>
    <s v="SATIŞ"/>
    <s v="NAKİT"/>
    <n v="0.5"/>
    <n v="230"/>
    <n v="0"/>
    <n v="0"/>
    <m/>
    <m/>
    <m/>
    <m/>
    <n v="115"/>
    <n v="0"/>
    <n v="43129.45855302643"/>
  </r>
  <r>
    <d v="2026-02-20T00:00:00"/>
    <x v="4"/>
    <s v="DOLMALIK KURU PATLICAN"/>
    <m/>
    <x v="1"/>
    <s v="ST00000001304"/>
    <s v="SATIŞ"/>
    <s v="NAKİT"/>
    <n v="0.5"/>
    <n v="250"/>
    <n v="0"/>
    <n v="0"/>
    <m/>
    <m/>
    <m/>
    <m/>
    <n v="125"/>
    <n v="0"/>
    <n v="43254.45855302643"/>
  </r>
  <r>
    <d v="2026-02-20T00:00:00"/>
    <x v="4"/>
    <s v="EVLİK BİBER"/>
    <m/>
    <x v="5"/>
    <s v="ST00000001305"/>
    <s v="SATIŞ"/>
    <s v="POS"/>
    <n v="0.12"/>
    <n v="400"/>
    <n v="48"/>
    <n v="0"/>
    <m/>
    <m/>
    <m/>
    <m/>
    <n v="0"/>
    <n v="0"/>
    <n v="43254.45855302643"/>
  </r>
  <r>
    <d v="2026-02-20T00:00:00"/>
    <x v="4"/>
    <s v="CHİA TOHUMU DÖKME"/>
    <m/>
    <x v="5"/>
    <s v="ST00000001306"/>
    <s v="SATIŞ"/>
    <s v="POS"/>
    <n v="0.5"/>
    <n v="300"/>
    <n v="150"/>
    <n v="0"/>
    <m/>
    <m/>
    <m/>
    <m/>
    <n v="0"/>
    <n v="0"/>
    <n v="43254.45855302643"/>
  </r>
  <r>
    <d v="2026-02-20T00:00:00"/>
    <x v="4"/>
    <s v="CHİA TOHUMU DÖKME"/>
    <m/>
    <x v="1"/>
    <s v="ST00000001307"/>
    <s v="SATIŞ"/>
    <s v="NAKİT"/>
    <n v="0.12666666666666668"/>
    <n v="300"/>
    <n v="0"/>
    <n v="0"/>
    <m/>
    <m/>
    <m/>
    <m/>
    <n v="38"/>
    <n v="0"/>
    <n v="43292.45855302643"/>
  </r>
  <r>
    <d v="2026-02-20T00:00:00"/>
    <x v="4"/>
    <s v="KİMYON ÇEKİLMİŞ"/>
    <m/>
    <x v="5"/>
    <s v="ST00000001308"/>
    <s v="SATIŞ"/>
    <s v="POS"/>
    <n v="0.13"/>
    <n v="300"/>
    <n v="39"/>
    <n v="0"/>
    <m/>
    <m/>
    <m/>
    <m/>
    <n v="0"/>
    <n v="0"/>
    <n v="43292.45855302643"/>
  </r>
  <r>
    <d v="2026-02-20T00:00:00"/>
    <x v="4"/>
    <s v="ÇUBUK TARÇIN"/>
    <m/>
    <x v="5"/>
    <s v="ST00000001308"/>
    <s v="SATIŞ"/>
    <s v="POS"/>
    <n v="0.1"/>
    <n v="620"/>
    <n v="62"/>
    <n v="0"/>
    <m/>
    <m/>
    <m/>
    <m/>
    <n v="0"/>
    <n v="0"/>
    <n v="43292.45855302643"/>
  </r>
  <r>
    <d v="2026-02-20T00:00:00"/>
    <x v="4"/>
    <s v="DOLMALIK KURU PATLICAN"/>
    <m/>
    <x v="5"/>
    <s v="ST00000001308"/>
    <s v="SATIŞ"/>
    <s v="POS"/>
    <n v="1"/>
    <n v="230"/>
    <n v="230"/>
    <n v="0"/>
    <m/>
    <m/>
    <m/>
    <m/>
    <n v="0"/>
    <n v="0"/>
    <n v="43292.45855302643"/>
  </r>
  <r>
    <d v="2026-02-20T00:00:00"/>
    <x v="4"/>
    <s v="DOLMALIK KURU ACI BİBER"/>
    <m/>
    <x v="5"/>
    <s v="ST00000001308"/>
    <s v="SATIŞ"/>
    <s v="POS"/>
    <n v="1"/>
    <n v="230"/>
    <n v="230"/>
    <n v="0"/>
    <m/>
    <m/>
    <m/>
    <m/>
    <n v="0"/>
    <n v="0"/>
    <n v="43292.45855302643"/>
  </r>
  <r>
    <d v="2026-02-20T00:00:00"/>
    <x v="4"/>
    <s v="KARABİBER ÇEKİLMİŞ"/>
    <m/>
    <x v="5"/>
    <s v="ST00000001308"/>
    <s v="SATIŞ"/>
    <s v="POS"/>
    <n v="0.13692307692307693"/>
    <n v="650"/>
    <n v="89"/>
    <n v="0"/>
    <m/>
    <m/>
    <m/>
    <m/>
    <n v="0"/>
    <n v="0"/>
    <n v="43292.45855302643"/>
  </r>
  <r>
    <d v="2026-02-20T00:00:00"/>
    <x v="4"/>
    <s v="DOLMALIK KURU ACI BİBER"/>
    <m/>
    <x v="5"/>
    <s v="ST00000001309"/>
    <s v="SATIŞ"/>
    <s v="POS"/>
    <n v="1"/>
    <n v="220"/>
    <n v="220"/>
    <n v="0"/>
    <m/>
    <m/>
    <m/>
    <m/>
    <n v="0"/>
    <n v="0"/>
    <n v="43292.45855302643"/>
  </r>
  <r>
    <d v="2026-02-20T00:00:00"/>
    <x v="4"/>
    <s v="DOLMALIK KURU PATLICAN"/>
    <m/>
    <x v="5"/>
    <s v="ST00000001309"/>
    <s v="SATIŞ"/>
    <s v="POS"/>
    <n v="1"/>
    <n v="250"/>
    <n v="250"/>
    <n v="0"/>
    <m/>
    <m/>
    <m/>
    <m/>
    <n v="0"/>
    <n v="0"/>
    <n v="43292.45855302643"/>
  </r>
  <r>
    <d v="2026-02-20T00:00:00"/>
    <x v="4"/>
    <s v="NAHİTA NAR EKŞİSİ 250 ML"/>
    <m/>
    <x v="5"/>
    <s v="ST00000001309"/>
    <s v="SATIŞ"/>
    <s v="POS"/>
    <n v="1"/>
    <n v="180"/>
    <n v="180"/>
    <n v="0"/>
    <m/>
    <m/>
    <m/>
    <m/>
    <n v="0"/>
    <n v="0"/>
    <n v="43292.45855302643"/>
  </r>
  <r>
    <d v="2026-02-20T00:00:00"/>
    <x v="4"/>
    <s v="IHLAMUR YAPRAK"/>
    <m/>
    <x v="5"/>
    <s v="ST00000001310"/>
    <s v="SATIŞ"/>
    <s v="POS"/>
    <n v="0.05"/>
    <n v="2600"/>
    <n v="130"/>
    <n v="0"/>
    <m/>
    <m/>
    <m/>
    <m/>
    <n v="0"/>
    <n v="0"/>
    <n v="43292.45855302643"/>
  </r>
  <r>
    <d v="2026-02-20T00:00:00"/>
    <x v="4"/>
    <s v="AÇIK KAYISI İRİ (SARI)"/>
    <m/>
    <x v="5"/>
    <s v="ST00000001310"/>
    <s v="SATIŞ"/>
    <s v="POS"/>
    <n v="0.30144927536231886"/>
    <n v="690"/>
    <n v="208"/>
    <n v="0"/>
    <m/>
    <m/>
    <m/>
    <m/>
    <n v="0"/>
    <n v="0"/>
    <n v="43292.45855302643"/>
  </r>
  <r>
    <d v="2026-02-20T00:00:00"/>
    <x v="4"/>
    <s v="YENİBAHAR TOZ"/>
    <m/>
    <x v="1"/>
    <s v="ST00000001311"/>
    <s v="SATIŞ"/>
    <s v="NAKİT"/>
    <n v="8.3116883116883117E-2"/>
    <n v="770"/>
    <n v="0"/>
    <n v="0"/>
    <m/>
    <m/>
    <m/>
    <m/>
    <n v="64"/>
    <n v="0"/>
    <n v="43356.45855302643"/>
  </r>
  <r>
    <d v="2026-02-20T00:00:00"/>
    <x v="4"/>
    <s v="EL-RUHA ÇAY (AÇIK)"/>
    <m/>
    <x v="1"/>
    <s v="ST00000001311"/>
    <s v="SATIŞ"/>
    <s v="NAKİT"/>
    <n v="0.16666666666666666"/>
    <n v="600"/>
    <n v="0"/>
    <n v="0"/>
    <m/>
    <m/>
    <m/>
    <m/>
    <n v="100"/>
    <n v="0"/>
    <n v="43456.45855302643"/>
  </r>
  <r>
    <d v="2026-02-20T00:00:00"/>
    <x v="4"/>
    <s v="AÇIK KAYISI İRİ (SARI)"/>
    <m/>
    <x v="5"/>
    <s v="ST00000001312"/>
    <s v="SATIŞ"/>
    <s v="POS"/>
    <n v="0.21739130434782608"/>
    <n v="690"/>
    <n v="150"/>
    <n v="0"/>
    <m/>
    <m/>
    <m/>
    <m/>
    <n v="0"/>
    <n v="0"/>
    <n v="43456.45855302643"/>
  </r>
  <r>
    <d v="2026-02-20T00:00:00"/>
    <x v="4"/>
    <s v="DURMUŞOĞULLARI KATI PEKMEZ TAHTA 700 GR"/>
    <m/>
    <x v="1"/>
    <s v="ST00000001313"/>
    <s v="SATIŞ"/>
    <s v="NAKİT"/>
    <n v="1"/>
    <n v="295"/>
    <n v="0"/>
    <n v="0"/>
    <m/>
    <m/>
    <m/>
    <m/>
    <n v="295"/>
    <n v="0"/>
    <n v="43751.45855302643"/>
  </r>
  <r>
    <d v="2026-02-20T00:00:00"/>
    <x v="4"/>
    <s v="KEKİK LÜX"/>
    <m/>
    <x v="1"/>
    <s v="ST00000001314"/>
    <s v="SATIŞ"/>
    <s v="NAKİT"/>
    <n v="6.6666666666666666E-2"/>
    <n v="750"/>
    <n v="0"/>
    <n v="0"/>
    <m/>
    <m/>
    <m/>
    <m/>
    <n v="50"/>
    <n v="0"/>
    <n v="43801.45855302643"/>
  </r>
  <r>
    <d v="2026-02-20T00:00:00"/>
    <x v="10"/>
    <m/>
    <m/>
    <x v="5"/>
    <m/>
    <s v="POS ÇÖZÜMÜ"/>
    <s v="POS"/>
    <n v="1"/>
    <n v="216"/>
    <n v="0"/>
    <n v="216"/>
    <m/>
    <m/>
    <m/>
    <m/>
    <n v="216"/>
    <n v="0"/>
    <n v="44017.45855302643"/>
  </r>
  <r>
    <d v="2026-02-20T00:00:00"/>
    <x v="10"/>
    <m/>
    <m/>
    <x v="5"/>
    <m/>
    <s v="POS ÇÖZÜMÜ"/>
    <s v="POS"/>
    <n v="1"/>
    <n v="1065"/>
    <n v="0"/>
    <n v="1065"/>
    <m/>
    <m/>
    <m/>
    <m/>
    <n v="1065"/>
    <n v="0"/>
    <n v="45082.45855302643"/>
  </r>
  <r>
    <d v="2026-02-20T00:00:00"/>
    <x v="10"/>
    <m/>
    <m/>
    <x v="5"/>
    <m/>
    <s v="POS ÇÖZÜMÜ"/>
    <s v="POS"/>
    <n v="1"/>
    <n v="150"/>
    <n v="0"/>
    <n v="150"/>
    <m/>
    <m/>
    <m/>
    <m/>
    <n v="150"/>
    <n v="0"/>
    <n v="45232.45855302643"/>
  </r>
  <r>
    <d v="2026-02-21T00:00:00"/>
    <x v="4"/>
    <s v="DOLMALIK KURU PATLICAN"/>
    <m/>
    <x v="5"/>
    <s v="ST00000001315"/>
    <s v="SATIŞ"/>
    <s v="POS"/>
    <n v="1"/>
    <n v="250"/>
    <n v="250"/>
    <n v="0"/>
    <m/>
    <m/>
    <m/>
    <m/>
    <n v="0"/>
    <n v="0"/>
    <n v="45232.45855302643"/>
  </r>
  <r>
    <d v="2026-02-21T00:00:00"/>
    <x v="4"/>
    <s v="KİMYON ÇEKİLMİŞ"/>
    <m/>
    <x v="5"/>
    <s v="ST00000001316"/>
    <s v="SATIŞ"/>
    <s v="POS"/>
    <n v="0.25"/>
    <n v="400"/>
    <n v="100"/>
    <n v="0"/>
    <m/>
    <m/>
    <m/>
    <m/>
    <n v="0"/>
    <n v="0"/>
    <n v="45232.45855302643"/>
  </r>
  <r>
    <d v="2026-02-21T00:00:00"/>
    <x v="4"/>
    <s v="TOZ BİBER - TATLI"/>
    <m/>
    <x v="5"/>
    <s v="ST00000001316"/>
    <s v="SATIŞ"/>
    <s v="POS"/>
    <n v="0.16250000000000001"/>
    <n v="400"/>
    <n v="65"/>
    <n v="0"/>
    <m/>
    <m/>
    <m/>
    <m/>
    <n v="0"/>
    <n v="0"/>
    <n v="45232.45855302643"/>
  </r>
  <r>
    <d v="2026-02-21T00:00:00"/>
    <x v="4"/>
    <s v="DOLMALIK KURU TATLI KIRMIZI BİBER"/>
    <m/>
    <x v="5"/>
    <s v="ST00000001316"/>
    <s v="SATIŞ"/>
    <s v="POS"/>
    <n v="1"/>
    <n v="230"/>
    <n v="230"/>
    <n v="0"/>
    <m/>
    <m/>
    <m/>
    <m/>
    <n v="0"/>
    <n v="0"/>
    <n v="45232.45855302643"/>
  </r>
  <r>
    <d v="2026-02-21T00:00:00"/>
    <x v="4"/>
    <s v="DOLMALIK KURU PATLICAN"/>
    <m/>
    <x v="5"/>
    <s v="ST00000001316"/>
    <s v="SATIŞ"/>
    <s v="POS"/>
    <n v="1"/>
    <n v="250"/>
    <n v="250"/>
    <n v="0"/>
    <m/>
    <m/>
    <m/>
    <m/>
    <n v="0"/>
    <n v="0"/>
    <n v="45232.45855302643"/>
  </r>
  <r>
    <d v="2026-02-21T00:00:00"/>
    <x v="4"/>
    <s v="MANİSA YAPRAK DÖKME"/>
    <m/>
    <x v="1"/>
    <s v="ST00000001317"/>
    <s v="SATIŞ"/>
    <s v="NAKİT"/>
    <n v="0.5"/>
    <n v="300"/>
    <n v="0"/>
    <n v="0"/>
    <m/>
    <m/>
    <m/>
    <m/>
    <n v="150"/>
    <n v="0"/>
    <n v="45382.45855302643"/>
  </r>
  <r>
    <d v="2026-02-21T00:00:00"/>
    <x v="4"/>
    <s v="DEFNE YAPRAĞI"/>
    <m/>
    <x v="1"/>
    <s v="ST00000001318"/>
    <s v="SATIŞ"/>
    <s v="NAKİT"/>
    <n v="0.05"/>
    <n v="1400"/>
    <n v="0"/>
    <n v="0"/>
    <m/>
    <m/>
    <m/>
    <m/>
    <n v="70"/>
    <n v="0"/>
    <n v="45452.45855302643"/>
  </r>
  <r>
    <d v="2026-02-21T00:00:00"/>
    <x v="4"/>
    <s v="EVLİK BİBER"/>
    <m/>
    <x v="1"/>
    <s v="ST00000001318"/>
    <s v="SATIŞ"/>
    <s v="NAKİT"/>
    <n v="0.1"/>
    <n v="400"/>
    <n v="0"/>
    <n v="0"/>
    <m/>
    <m/>
    <m/>
    <m/>
    <n v="40"/>
    <n v="0"/>
    <n v="45492.45855302643"/>
  </r>
  <r>
    <d v="2026-02-21T00:00:00"/>
    <x v="4"/>
    <s v="DOLMALIK KURU PATLICAN"/>
    <m/>
    <x v="1"/>
    <s v="ST00000001319"/>
    <s v="SATIŞ"/>
    <s v="NAKİT"/>
    <n v="1"/>
    <n v="250"/>
    <n v="0"/>
    <n v="0"/>
    <m/>
    <m/>
    <m/>
    <m/>
    <n v="250"/>
    <n v="0"/>
    <n v="45742.45855302643"/>
  </r>
  <r>
    <d v="2026-02-21T00:00:00"/>
    <x v="4"/>
    <s v="DOLMALIK SARI BİBER"/>
    <m/>
    <x v="1"/>
    <s v="ST00000001319"/>
    <s v="SATIŞ"/>
    <s v="NAKİT"/>
    <n v="1"/>
    <n v="230"/>
    <n v="0"/>
    <n v="0"/>
    <m/>
    <m/>
    <m/>
    <m/>
    <n v="230"/>
    <n v="0"/>
    <n v="45972.45855302643"/>
  </r>
  <r>
    <d v="2026-02-21T00:00:00"/>
    <x v="4"/>
    <s v="ORNATE KARINCA YUMURTASI 20 ML"/>
    <m/>
    <x v="5"/>
    <s v="ST00000001320"/>
    <s v="SATIŞ"/>
    <s v="POS"/>
    <n v="1"/>
    <n v="140"/>
    <n v="140"/>
    <n v="0"/>
    <m/>
    <m/>
    <m/>
    <m/>
    <n v="0"/>
    <n v="0"/>
    <n v="45972.45855302643"/>
  </r>
  <r>
    <d v="2026-02-21T00:00:00"/>
    <x v="4"/>
    <s v="MISIR PREMİUM MEDİUM HURMA"/>
    <m/>
    <x v="5"/>
    <s v="ST00000001321"/>
    <s v="SATIŞ"/>
    <s v="POS"/>
    <n v="0.88"/>
    <n v="550"/>
    <n v="484"/>
    <n v="0"/>
    <m/>
    <m/>
    <m/>
    <m/>
    <n v="0"/>
    <n v="0"/>
    <n v="45972.45855302643"/>
  </r>
  <r>
    <d v="2026-02-21T00:00:00"/>
    <x v="4"/>
    <s v="MOR REYHAN"/>
    <m/>
    <x v="5"/>
    <s v="ST00000001321"/>
    <s v="SATIŞ"/>
    <s v="POS"/>
    <n v="0.05"/>
    <n v="1500"/>
    <n v="75"/>
    <n v="0"/>
    <m/>
    <m/>
    <m/>
    <m/>
    <n v="0"/>
    <n v="0"/>
    <n v="45972.45855302643"/>
  </r>
  <r>
    <d v="2026-02-21T00:00:00"/>
    <x v="4"/>
    <s v="YEDİ TÜRLÜ BAHARAT  (LUXURY CHEF)"/>
    <m/>
    <x v="5"/>
    <s v="ST00000001321"/>
    <s v="SATIŞ"/>
    <s v="POS"/>
    <n v="0.1"/>
    <n v="900"/>
    <n v="90"/>
    <n v="0"/>
    <m/>
    <m/>
    <m/>
    <m/>
    <n v="0"/>
    <n v="0"/>
    <n v="45972.45855302643"/>
  </r>
  <r>
    <d v="2026-02-21T00:00:00"/>
    <x v="4"/>
    <s v="SUMAK"/>
    <m/>
    <x v="5"/>
    <s v="ST00000001322"/>
    <s v="SATIŞ"/>
    <s v="POS"/>
    <n v="0.32"/>
    <n v="500"/>
    <n v="160"/>
    <n v="0"/>
    <m/>
    <m/>
    <m/>
    <m/>
    <n v="0"/>
    <n v="0"/>
    <n v="45972.45855302643"/>
  </r>
  <r>
    <d v="2026-02-21T00:00:00"/>
    <x v="4"/>
    <s v="KARABİBER ÇEKİLMİŞ"/>
    <m/>
    <x v="5"/>
    <s v="ST00000001322"/>
    <s v="SATIŞ"/>
    <s v="POS"/>
    <n v="0.13846153846153847"/>
    <n v="650"/>
    <n v="90"/>
    <n v="0"/>
    <m/>
    <m/>
    <m/>
    <m/>
    <n v="0"/>
    <n v="0"/>
    <n v="45972.45855302643"/>
  </r>
  <r>
    <d v="2026-02-21T00:00:00"/>
    <x v="4"/>
    <s v="MISIR PREMİUM MEDİUM HURMA"/>
    <m/>
    <x v="5"/>
    <s v="ST00000001323"/>
    <s v="SATIŞ"/>
    <s v="POS"/>
    <n v="0.50909090909090904"/>
    <n v="550"/>
    <n v="279.99999999999994"/>
    <n v="0"/>
    <m/>
    <m/>
    <m/>
    <m/>
    <n v="0"/>
    <n v="0"/>
    <n v="45972.45855302643"/>
  </r>
  <r>
    <d v="2026-02-21T00:00:00"/>
    <x v="4"/>
    <s v="AÇIK KAYISI İRİ (SARI)"/>
    <m/>
    <x v="5"/>
    <s v="ST00000001323"/>
    <s v="SATIŞ"/>
    <s v="POS"/>
    <n v="0.25362318840579712"/>
    <n v="690"/>
    <n v="175"/>
    <n v="0"/>
    <m/>
    <m/>
    <m/>
    <m/>
    <n v="0"/>
    <n v="0"/>
    <n v="45972.45855302643"/>
  </r>
  <r>
    <d v="2026-02-21T00:00:00"/>
    <x v="4"/>
    <s v="İNCİR KÜÇÜK"/>
    <m/>
    <x v="5"/>
    <s v="ST00000001323"/>
    <s v="SATIŞ"/>
    <s v="POS"/>
    <n v="0.5"/>
    <n v="570"/>
    <n v="285"/>
    <n v="0"/>
    <m/>
    <m/>
    <m/>
    <m/>
    <n v="0"/>
    <n v="0"/>
    <n v="45972.45855302643"/>
  </r>
  <r>
    <d v="2026-02-21T00:00:00"/>
    <x v="4"/>
    <s v="KABUKLU CEVİZ (YERLİ)"/>
    <m/>
    <x v="5"/>
    <s v="ST00000001323"/>
    <s v="SATIŞ"/>
    <s v="POS"/>
    <n v="1"/>
    <n v="250"/>
    <n v="250"/>
    <n v="0"/>
    <m/>
    <m/>
    <m/>
    <m/>
    <n v="0"/>
    <n v="0"/>
    <n v="45972.45855302643"/>
  </r>
  <r>
    <d v="2026-02-21T00:00:00"/>
    <x v="4"/>
    <s v="DENİZ TAHİNLİ PİŞMANİYE"/>
    <m/>
    <x v="5"/>
    <s v="ST00000001323"/>
    <s v="SATIŞ"/>
    <s v="POS"/>
    <n v="1"/>
    <n v="90"/>
    <n v="90"/>
    <n v="0"/>
    <m/>
    <m/>
    <m/>
    <m/>
    <n v="0"/>
    <n v="0"/>
    <n v="45972.45855302643"/>
  </r>
  <r>
    <d v="2026-02-21T00:00:00"/>
    <x v="4"/>
    <s v="MISIR PREMİUM MEDİUM HURMA"/>
    <m/>
    <x v="5"/>
    <s v="ST00000001324"/>
    <s v="SATIŞ"/>
    <s v="POS"/>
    <n v="0.53636363636363638"/>
    <n v="550"/>
    <n v="295"/>
    <n v="0"/>
    <m/>
    <m/>
    <m/>
    <m/>
    <n v="0"/>
    <n v="0"/>
    <n v="45972.45855302643"/>
  </r>
  <r>
    <d v="2026-02-21T00:00:00"/>
    <x v="4"/>
    <s v="SUMAK TANE EKŞİLİ"/>
    <m/>
    <x v="5"/>
    <s v="ST00000001324"/>
    <s v="SATIŞ"/>
    <s v="POS"/>
    <n v="0.12037037037037036"/>
    <n v="540"/>
    <n v="65"/>
    <n v="0"/>
    <m/>
    <m/>
    <m/>
    <m/>
    <n v="0"/>
    <n v="0"/>
    <n v="45972.45855302643"/>
  </r>
  <r>
    <d v="2026-02-21T00:00:00"/>
    <x v="4"/>
    <s v="SUMAK"/>
    <m/>
    <x v="5"/>
    <s v="ST00000001324"/>
    <s v="SATIŞ"/>
    <s v="POS"/>
    <n v="0.08"/>
    <n v="500"/>
    <n v="40"/>
    <n v="0"/>
    <m/>
    <m/>
    <m/>
    <m/>
    <n v="0"/>
    <n v="0"/>
    <n v="45972.45855302643"/>
  </r>
  <r>
    <d v="2026-02-21T00:00:00"/>
    <x v="4"/>
    <s v="LOBAS SAF NAR EKŞİSİ 1 KG"/>
    <m/>
    <x v="5"/>
    <s v="ST00000001325"/>
    <s v="SATIŞ"/>
    <s v="POS"/>
    <n v="1"/>
    <n v="340"/>
    <n v="340"/>
    <n v="0"/>
    <m/>
    <m/>
    <m/>
    <m/>
    <n v="0"/>
    <n v="0"/>
    <n v="45972.45855302643"/>
  </r>
  <r>
    <d v="2026-02-21T00:00:00"/>
    <x v="4"/>
    <s v="MISIR PREMİUM MEDİUM HURMA"/>
    <m/>
    <x v="5"/>
    <s v="ST00000001325"/>
    <s v="SATIŞ"/>
    <s v="POS"/>
    <n v="0.18181818181818182"/>
    <n v="550"/>
    <n v="100"/>
    <n v="0"/>
    <m/>
    <m/>
    <m/>
    <m/>
    <n v="0"/>
    <n v="0"/>
    <n v="45972.45855302643"/>
  </r>
  <r>
    <d v="2026-02-21T00:00:00"/>
    <x v="4"/>
    <s v="MEBRUM HURMA 2 (5'LİK)"/>
    <m/>
    <x v="1"/>
    <s v="ST00000001326"/>
    <s v="SATIŞ"/>
    <s v="NAKİT"/>
    <n v="0.23809523809523808"/>
    <n v="420"/>
    <n v="0"/>
    <n v="0"/>
    <m/>
    <m/>
    <m/>
    <m/>
    <n v="100"/>
    <n v="0"/>
    <n v="46072.45855302643"/>
  </r>
  <r>
    <d v="2026-02-21T00:00:00"/>
    <x v="4"/>
    <s v="TOZ BİBER - TATLI"/>
    <m/>
    <x v="5"/>
    <s v="ST00000001327"/>
    <s v="SATIŞ"/>
    <s v="POS"/>
    <n v="0.25"/>
    <n v="400"/>
    <n v="100"/>
    <n v="0"/>
    <m/>
    <m/>
    <m/>
    <m/>
    <n v="0"/>
    <n v="0"/>
    <n v="46072.45855302643"/>
  </r>
  <r>
    <d v="2026-02-21T00:00:00"/>
    <x v="4"/>
    <s v="YALÇINKAYA ACI BİBER SALÇASI"/>
    <m/>
    <x v="5"/>
    <s v="ST00000001327"/>
    <s v="SATIŞ"/>
    <s v="POS"/>
    <n v="1"/>
    <n v="200"/>
    <n v="200"/>
    <n v="0"/>
    <m/>
    <m/>
    <m/>
    <m/>
    <n v="0"/>
    <n v="0"/>
    <n v="46072.45855302643"/>
  </r>
  <r>
    <d v="2026-02-21T00:00:00"/>
    <x v="4"/>
    <s v="TOMBUL KESE 500 GR SEBZELİ TARHANA"/>
    <m/>
    <x v="1"/>
    <s v="ST00000001328"/>
    <s v="SATIŞ"/>
    <s v="NAKİT"/>
    <n v="1"/>
    <n v="200"/>
    <n v="0"/>
    <n v="0"/>
    <m/>
    <m/>
    <m/>
    <m/>
    <n v="200"/>
    <n v="0"/>
    <n v="46272.45855302643"/>
  </r>
  <r>
    <d v="2026-02-21T00:00:00"/>
    <x v="4"/>
    <s v="MISIR PREMİUM MEDİUM HURMA"/>
    <m/>
    <x v="5"/>
    <s v="ST00000001329"/>
    <s v="SATIŞ"/>
    <s v="POS"/>
    <n v="0.67272727272727273"/>
    <n v="550"/>
    <n v="370"/>
    <n v="0"/>
    <m/>
    <m/>
    <m/>
    <m/>
    <n v="0"/>
    <n v="0"/>
    <n v="46272.45855302643"/>
  </r>
  <r>
    <d v="2026-02-21T00:00:00"/>
    <x v="4"/>
    <s v="AÇIK KAYISI İRİ (SARI)"/>
    <m/>
    <x v="5"/>
    <s v="ST00000001329"/>
    <s v="SATIŞ"/>
    <s v="POS"/>
    <n v="1"/>
    <n v="650"/>
    <n v="650"/>
    <n v="0"/>
    <m/>
    <m/>
    <m/>
    <m/>
    <n v="0"/>
    <n v="0"/>
    <n v="46272.45855302643"/>
  </r>
  <r>
    <d v="2026-02-21T00:00:00"/>
    <x v="4"/>
    <s v="DUT KURUSU ESMER"/>
    <m/>
    <x v="5"/>
    <s v="ST00000001329"/>
    <s v="SATIŞ"/>
    <s v="POS"/>
    <n v="0.27777777777777779"/>
    <n v="450"/>
    <n v="125"/>
    <n v="0"/>
    <m/>
    <m/>
    <m/>
    <m/>
    <n v="0"/>
    <n v="0"/>
    <n v="46272.45855302643"/>
  </r>
  <r>
    <d v="2026-02-21T00:00:00"/>
    <x v="4"/>
    <s v="İNCİR KÜÇÜK"/>
    <m/>
    <x v="5"/>
    <s v="ST00000001329"/>
    <s v="SATIŞ"/>
    <s v="POS"/>
    <n v="1"/>
    <n v="570"/>
    <n v="570"/>
    <n v="0"/>
    <m/>
    <m/>
    <m/>
    <m/>
    <n v="0"/>
    <n v="0"/>
    <n v="46272.45855302643"/>
  </r>
  <r>
    <d v="2026-02-21T00:00:00"/>
    <x v="4"/>
    <s v="MISIR PREMİUM MEDİUM HURMA"/>
    <m/>
    <x v="5"/>
    <s v="ST00000001330"/>
    <s v="SATIŞ"/>
    <s v="POS"/>
    <n v="1.034"/>
    <n v="550"/>
    <n v="568.70000000000005"/>
    <n v="0"/>
    <m/>
    <m/>
    <m/>
    <m/>
    <n v="0"/>
    <n v="0"/>
    <n v="46272.45855302643"/>
  </r>
  <r>
    <d v="2026-02-21T00:00:00"/>
    <x v="4"/>
    <s v="DOLMALIK KURU ACI BİBER"/>
    <m/>
    <x v="5"/>
    <s v="ST00000001330"/>
    <s v="SATIŞ"/>
    <s v="POS"/>
    <n v="1"/>
    <n v="230"/>
    <n v="230"/>
    <n v="0"/>
    <m/>
    <m/>
    <m/>
    <m/>
    <n v="0"/>
    <n v="0"/>
    <n v="46272.45855302643"/>
  </r>
  <r>
    <d v="2026-02-21T00:00:00"/>
    <x v="4"/>
    <s v="DOLMALIK KURU PATLICAN"/>
    <m/>
    <x v="5"/>
    <s v="ST00000001330"/>
    <s v="SATIŞ"/>
    <s v="POS"/>
    <n v="2"/>
    <n v="250"/>
    <n v="500"/>
    <n v="0"/>
    <m/>
    <m/>
    <m/>
    <m/>
    <n v="0"/>
    <n v="0"/>
    <n v="46272.45855302643"/>
  </r>
  <r>
    <d v="2026-02-21T00:00:00"/>
    <x v="4"/>
    <s v="YALÇINKAYA DOMATES SALÇASI"/>
    <m/>
    <x v="1"/>
    <s v="ST00000001331"/>
    <s v="SATIŞ"/>
    <s v="NAKİT"/>
    <n v="1"/>
    <n v="150"/>
    <n v="0"/>
    <n v="0"/>
    <m/>
    <m/>
    <m/>
    <m/>
    <n v="150"/>
    <n v="0"/>
    <n v="46422.45855302643"/>
  </r>
  <r>
    <d v="2026-02-21T00:00:00"/>
    <x v="4"/>
    <s v="LAHANA TURŞUSU 5 KG"/>
    <m/>
    <x v="1"/>
    <s v="ST00000001331"/>
    <s v="SATIŞ"/>
    <s v="NAKİT"/>
    <n v="1"/>
    <n v="300"/>
    <n v="0"/>
    <n v="0"/>
    <m/>
    <m/>
    <m/>
    <m/>
    <n v="300"/>
    <n v="0"/>
    <n v="46722.45855302643"/>
  </r>
  <r>
    <d v="2026-02-21T00:00:00"/>
    <x v="4"/>
    <s v="İPEK BİBER"/>
    <m/>
    <x v="5"/>
    <s v="ST00000001332"/>
    <s v="SATIŞ"/>
    <s v="POS"/>
    <n v="0.14599999999999999"/>
    <n v="500"/>
    <n v="73"/>
    <n v="0"/>
    <m/>
    <m/>
    <m/>
    <m/>
    <n v="0"/>
    <n v="0"/>
    <n v="46722.45855302643"/>
  </r>
  <r>
    <d v="2026-02-21T00:00:00"/>
    <x v="4"/>
    <s v="İSOT"/>
    <m/>
    <x v="5"/>
    <s v="ST00000001332"/>
    <s v="SATIŞ"/>
    <s v="POS"/>
    <n v="0.13750000000000001"/>
    <n v="380"/>
    <n v="52.250000000000007"/>
    <n v="0"/>
    <m/>
    <m/>
    <m/>
    <m/>
    <n v="0"/>
    <n v="0"/>
    <n v="46722.45855302643"/>
  </r>
  <r>
    <d v="2026-02-21T00:00:00"/>
    <x v="4"/>
    <s v="BİBERİYE YAĞI 10 CC"/>
    <m/>
    <x v="1"/>
    <s v="ST00000001333"/>
    <s v="SATIŞ"/>
    <s v="NAKİT"/>
    <n v="1"/>
    <n v="120"/>
    <n v="0"/>
    <n v="0"/>
    <m/>
    <m/>
    <m/>
    <m/>
    <n v="120"/>
    <n v="0"/>
    <n v="46842.45855302643"/>
  </r>
  <r>
    <d v="2026-02-21T00:00:00"/>
    <x v="4"/>
    <s v="ZERDEÇAL TOZ"/>
    <m/>
    <x v="5"/>
    <s v="ST00000001334"/>
    <s v="SATIŞ"/>
    <s v="POS"/>
    <n v="9.3333333333333338E-2"/>
    <n v="300"/>
    <n v="28"/>
    <n v="0"/>
    <m/>
    <m/>
    <m/>
    <m/>
    <n v="0"/>
    <n v="0"/>
    <n v="46842.45855302643"/>
  </r>
  <r>
    <d v="2026-02-21T00:00:00"/>
    <x v="4"/>
    <s v="BİBERİYE"/>
    <m/>
    <x v="5"/>
    <s v="ST00000001334"/>
    <s v="SATIŞ"/>
    <s v="POS"/>
    <n v="0.1"/>
    <n v="1070"/>
    <n v="107"/>
    <n v="0"/>
    <m/>
    <m/>
    <m/>
    <m/>
    <n v="0"/>
    <n v="0"/>
    <n v="46842.45855302643"/>
  </r>
  <r>
    <d v="2026-02-21T00:00:00"/>
    <x v="4"/>
    <s v="ÇÖREKOTU YAĞI 50 CC"/>
    <m/>
    <x v="5"/>
    <s v="ST00000001334"/>
    <s v="SATIŞ"/>
    <s v="POS"/>
    <n v="1"/>
    <n v="170"/>
    <n v="170"/>
    <n v="0"/>
    <m/>
    <m/>
    <m/>
    <m/>
    <n v="0"/>
    <n v="0"/>
    <n v="46842.45855302643"/>
  </r>
  <r>
    <d v="2026-02-21T00:00:00"/>
    <x v="4"/>
    <s v="NANE YAĞI 10 CC"/>
    <m/>
    <x v="5"/>
    <s v="ST00000001334"/>
    <s v="SATIŞ"/>
    <s v="POS"/>
    <n v="1"/>
    <n v="145"/>
    <n v="145"/>
    <n v="0"/>
    <m/>
    <m/>
    <m/>
    <m/>
    <n v="0"/>
    <n v="0"/>
    <n v="46842.45855302643"/>
  </r>
  <r>
    <d v="2026-02-21T00:00:00"/>
    <x v="4"/>
    <s v="YALÇINKAYA ACI BİBER SALÇASI"/>
    <m/>
    <x v="1"/>
    <s v="ST00000001335"/>
    <s v="SATIŞ"/>
    <s v="NAKİT"/>
    <n v="0.5"/>
    <n v="200"/>
    <n v="0"/>
    <n v="0"/>
    <m/>
    <m/>
    <m/>
    <m/>
    <n v="100"/>
    <n v="0"/>
    <n v="46942.45855302643"/>
  </r>
  <r>
    <d v="2026-02-21T00:00:00"/>
    <x v="4"/>
    <s v="HASEVLİK"/>
    <m/>
    <x v="1"/>
    <s v="ST00000001335"/>
    <s v="SATIŞ"/>
    <s v="NAKİT"/>
    <n v="0.1"/>
    <n v="450"/>
    <n v="0"/>
    <n v="0"/>
    <m/>
    <m/>
    <m/>
    <m/>
    <n v="45"/>
    <n v="0"/>
    <n v="46987.45855302643"/>
  </r>
  <r>
    <d v="2026-02-21T00:00:00"/>
    <x v="4"/>
    <s v="EVLİK BİBER"/>
    <m/>
    <x v="1"/>
    <s v="ST00000001335"/>
    <s v="SATIŞ"/>
    <s v="NAKİT"/>
    <n v="0.1125"/>
    <n v="400"/>
    <n v="0"/>
    <n v="0"/>
    <m/>
    <m/>
    <m/>
    <m/>
    <n v="45"/>
    <n v="0"/>
    <n v="47032.45855302643"/>
  </r>
  <r>
    <d v="2026-02-21T00:00:00"/>
    <x v="4"/>
    <s v="KARAHİNDİBA YAPRAK"/>
    <m/>
    <x v="5"/>
    <s v="ST00000001336"/>
    <s v="SATIŞ"/>
    <s v="POS"/>
    <n v="3.7999999999999999E-2"/>
    <n v="1000"/>
    <n v="38"/>
    <n v="0"/>
    <m/>
    <m/>
    <m/>
    <m/>
    <n v="0"/>
    <n v="0"/>
    <n v="47032.45855302643"/>
  </r>
  <r>
    <d v="2026-02-21T00:00:00"/>
    <x v="4"/>
    <s v="ADAÇAYI DEMET"/>
    <m/>
    <x v="5"/>
    <s v="ST00000001336"/>
    <s v="SATIŞ"/>
    <s v="POS"/>
    <n v="1"/>
    <n v="60"/>
    <n v="60"/>
    <n v="0"/>
    <m/>
    <m/>
    <m/>
    <m/>
    <n v="0"/>
    <n v="0"/>
    <n v="47032.45855302643"/>
  </r>
  <r>
    <d v="2026-02-21T00:00:00"/>
    <x v="4"/>
    <s v="TOZ TARÇIN"/>
    <m/>
    <x v="5"/>
    <s v="ST00000001336"/>
    <s v="SATIŞ"/>
    <s v="POS"/>
    <n v="0.1"/>
    <n v="400"/>
    <n v="40"/>
    <n v="0"/>
    <m/>
    <m/>
    <m/>
    <m/>
    <n v="0"/>
    <n v="0"/>
    <n v="47032.45855302643"/>
  </r>
  <r>
    <d v="2026-02-21T00:00:00"/>
    <x v="4"/>
    <s v="MOR REYHAN"/>
    <m/>
    <x v="5"/>
    <s v="ST00000001336"/>
    <s v="SATIŞ"/>
    <s v="POS"/>
    <n v="0.05"/>
    <n v="1500"/>
    <n v="75"/>
    <n v="0"/>
    <m/>
    <m/>
    <m/>
    <m/>
    <n v="0"/>
    <n v="0"/>
    <n v="47032.45855302643"/>
  </r>
  <r>
    <d v="2026-02-21T00:00:00"/>
    <x v="4"/>
    <s v="KARANFİL"/>
    <m/>
    <x v="5"/>
    <s v="ST00000001336"/>
    <s v="SATIŞ"/>
    <s v="POS"/>
    <n v="0.05"/>
    <n v="1200"/>
    <n v="60"/>
    <n v="0"/>
    <m/>
    <m/>
    <m/>
    <m/>
    <n v="0"/>
    <n v="0"/>
    <n v="47032.45855302643"/>
  </r>
  <r>
    <d v="2026-02-21T00:00:00"/>
    <x v="4"/>
    <s v="KEKİK LÜX"/>
    <m/>
    <x v="5"/>
    <s v="ST00000001336"/>
    <s v="SATIŞ"/>
    <s v="POS"/>
    <n v="3.4000000000000002E-2"/>
    <n v="750"/>
    <n v="25.500000000000004"/>
    <n v="0"/>
    <m/>
    <m/>
    <m/>
    <m/>
    <n v="0"/>
    <n v="0"/>
    <n v="47032.45855302643"/>
  </r>
  <r>
    <d v="2026-02-21T00:00:00"/>
    <x v="4"/>
    <s v="İZMİR ÜZÜMÜ"/>
    <m/>
    <x v="5"/>
    <s v="ST00000001336"/>
    <s v="SATIŞ"/>
    <s v="POS"/>
    <n v="1.008"/>
    <n v="250"/>
    <n v="252"/>
    <n v="0"/>
    <m/>
    <m/>
    <m/>
    <m/>
    <n v="0"/>
    <n v="0"/>
    <n v="47032.45855302643"/>
  </r>
  <r>
    <d v="2026-02-21T00:00:00"/>
    <x v="4"/>
    <s v="AÇIK KAYISI İRİ (SARI)"/>
    <m/>
    <x v="5"/>
    <s v="ST00000001336"/>
    <s v="SATIŞ"/>
    <s v="POS"/>
    <n v="0.29199999999999998"/>
    <n v="685"/>
    <n v="200.01999999999998"/>
    <n v="0"/>
    <m/>
    <m/>
    <m/>
    <m/>
    <n v="0"/>
    <n v="0"/>
    <n v="47032.45855302643"/>
  </r>
  <r>
    <d v="2026-02-21T00:00:00"/>
    <x v="4"/>
    <s v="KABUKLU CEVİZ (YERLİ)"/>
    <m/>
    <x v="5"/>
    <s v="ST00000001336"/>
    <s v="SATIŞ"/>
    <s v="POS"/>
    <n v="1"/>
    <n v="250"/>
    <n v="250"/>
    <n v="0"/>
    <m/>
    <m/>
    <m/>
    <m/>
    <n v="0"/>
    <n v="0"/>
    <n v="47032.45855302643"/>
  </r>
  <r>
    <d v="2026-02-21T00:00:00"/>
    <x v="4"/>
    <s v="DOLMALIK KURU PATLICAN"/>
    <m/>
    <x v="1"/>
    <s v="ST00000001337"/>
    <s v="SATIŞ"/>
    <s v="NAKİT"/>
    <n v="1"/>
    <n v="250"/>
    <n v="0"/>
    <n v="0"/>
    <m/>
    <m/>
    <m/>
    <m/>
    <n v="250"/>
    <n v="0"/>
    <n v="47282.45855302643"/>
  </r>
  <r>
    <d v="2026-02-21T00:00:00"/>
    <x v="4"/>
    <s v="DOLMALIK KURU KABAK"/>
    <m/>
    <x v="1"/>
    <s v="ST00000001337"/>
    <s v="SATIŞ"/>
    <s v="NAKİT"/>
    <n v="1"/>
    <n v="250"/>
    <n v="0"/>
    <n v="0"/>
    <m/>
    <m/>
    <m/>
    <m/>
    <n v="250"/>
    <n v="0"/>
    <n v="47532.45855302643"/>
  </r>
  <r>
    <d v="2026-02-21T00:00:00"/>
    <x v="4"/>
    <s v="DOLMALIK SARI BİBER"/>
    <m/>
    <x v="1"/>
    <s v="ST00000001337"/>
    <s v="SATIŞ"/>
    <s v="NAKİT"/>
    <n v="1"/>
    <n v="230"/>
    <n v="0"/>
    <n v="0"/>
    <m/>
    <m/>
    <m/>
    <m/>
    <n v="230"/>
    <n v="0"/>
    <n v="47762.45855302643"/>
  </r>
  <r>
    <d v="2026-02-21T00:00:00"/>
    <x v="4"/>
    <s v="YALÇINKAYA DOMATES SALÇASI"/>
    <m/>
    <x v="1"/>
    <s v="ST00000001337"/>
    <s v="SATIŞ"/>
    <s v="NAKİT"/>
    <n v="2"/>
    <n v="150"/>
    <n v="0"/>
    <n v="0"/>
    <m/>
    <m/>
    <m/>
    <m/>
    <n v="300"/>
    <n v="0"/>
    <n v="48062.45855302643"/>
  </r>
  <r>
    <d v="2026-02-21T00:00:00"/>
    <x v="4"/>
    <s v="NANE İRİ"/>
    <m/>
    <x v="1"/>
    <s v="ST00000001337"/>
    <s v="SATIŞ"/>
    <s v="NAKİT"/>
    <n v="0.125"/>
    <n v="400"/>
    <n v="0"/>
    <n v="0"/>
    <m/>
    <m/>
    <m/>
    <m/>
    <n v="50"/>
    <n v="0"/>
    <n v="48112.45855302643"/>
  </r>
  <r>
    <d v="2026-02-21T00:00:00"/>
    <x v="4"/>
    <s v="KARABİBER ÇEKİLMİŞ"/>
    <m/>
    <x v="1"/>
    <s v="ST00000001337"/>
    <s v="SATIŞ"/>
    <s v="NAKİT"/>
    <n v="0.154"/>
    <n v="650"/>
    <n v="0"/>
    <n v="0"/>
    <m/>
    <m/>
    <m/>
    <m/>
    <n v="100.1"/>
    <n v="0"/>
    <n v="48212.558553026429"/>
  </r>
  <r>
    <d v="2026-02-21T00:00:00"/>
    <x v="4"/>
    <s v="İPEK BİBER"/>
    <m/>
    <x v="1"/>
    <s v="ST00000001337"/>
    <s v="SATIŞ"/>
    <s v="NAKİT"/>
    <n v="0.2"/>
    <n v="500"/>
    <n v="0"/>
    <n v="0"/>
    <m/>
    <m/>
    <m/>
    <m/>
    <n v="100"/>
    <n v="0"/>
    <n v="48312.558553026429"/>
  </r>
  <r>
    <d v="2026-02-21T00:00:00"/>
    <x v="4"/>
    <s v="DUT KURUSU ESMER"/>
    <m/>
    <x v="1"/>
    <s v="ST00000001338"/>
    <s v="SATIŞ"/>
    <s v="NAKİT"/>
    <n v="0.38"/>
    <n v="450"/>
    <n v="0"/>
    <n v="0"/>
    <m/>
    <m/>
    <m/>
    <m/>
    <n v="171"/>
    <n v="0"/>
    <n v="48483.558553026429"/>
  </r>
  <r>
    <d v="2026-02-21T00:00:00"/>
    <x v="4"/>
    <s v="İPEK BİBER"/>
    <m/>
    <x v="1"/>
    <s v="ST00000001338"/>
    <s v="SATIŞ"/>
    <s v="NAKİT"/>
    <n v="0.2"/>
    <n v="500"/>
    <n v="0"/>
    <n v="0"/>
    <m/>
    <m/>
    <m/>
    <m/>
    <n v="100"/>
    <n v="0"/>
    <n v="48583.558553026429"/>
  </r>
  <r>
    <d v="2026-02-21T00:00:00"/>
    <x v="4"/>
    <s v="NANE İRİ"/>
    <m/>
    <x v="1"/>
    <s v="ST00000001338"/>
    <s v="SATIŞ"/>
    <s v="NAKİT"/>
    <n v="0.125"/>
    <n v="400"/>
    <n v="0"/>
    <n v="0"/>
    <m/>
    <m/>
    <m/>
    <m/>
    <n v="50"/>
    <n v="0"/>
    <n v="48633.558553026429"/>
  </r>
  <r>
    <d v="2026-02-21T00:00:00"/>
    <x v="4"/>
    <s v="KEKİK LÜX"/>
    <m/>
    <x v="1"/>
    <s v="ST00000001338"/>
    <s v="SATIŞ"/>
    <s v="NAKİT"/>
    <n v="6.7000000000000004E-2"/>
    <n v="750"/>
    <n v="0"/>
    <n v="0"/>
    <m/>
    <m/>
    <m/>
    <m/>
    <n v="50.25"/>
    <n v="0"/>
    <n v="48683.808553026429"/>
  </r>
  <r>
    <d v="2026-02-21T00:00:00"/>
    <x v="4"/>
    <s v="YALÇINKAYA ACI BİBER SALÇASI"/>
    <m/>
    <x v="1"/>
    <s v="ST00000001338"/>
    <s v="SATIŞ"/>
    <s v="NAKİT"/>
    <n v="0.5"/>
    <n v="200"/>
    <n v="0"/>
    <n v="0"/>
    <m/>
    <m/>
    <m/>
    <m/>
    <n v="100"/>
    <n v="0"/>
    <n v="48783.808553026429"/>
  </r>
  <r>
    <d v="2026-02-21T00:00:00"/>
    <x v="4"/>
    <s v="SALÇA TATLI (EV YAPIMI)"/>
    <m/>
    <x v="1"/>
    <s v="ST00000001338"/>
    <s v="SATIŞ"/>
    <s v="NAKİT"/>
    <n v="0.5"/>
    <n v="200"/>
    <n v="0"/>
    <n v="0"/>
    <m/>
    <m/>
    <m/>
    <m/>
    <n v="100"/>
    <n v="0"/>
    <n v="48883.808553026429"/>
  </r>
  <r>
    <d v="2026-02-21T00:00:00"/>
    <x v="4"/>
    <s v="AÇIK KAYISI İRİ (SARI)"/>
    <m/>
    <x v="1"/>
    <s v="ST00000001338"/>
    <s v="SATIŞ"/>
    <s v="NAKİT"/>
    <n v="0.36199999999999999"/>
    <n v="690"/>
    <n v="0"/>
    <n v="0"/>
    <m/>
    <m/>
    <m/>
    <m/>
    <n v="249.78"/>
    <n v="0"/>
    <n v="49133.588553026428"/>
  </r>
  <r>
    <d v="2026-02-21T00:00:00"/>
    <x v="4"/>
    <s v="YALÇINKAYA DOMATES SALÇASI"/>
    <m/>
    <x v="1"/>
    <s v="ST00000001338"/>
    <s v="SATIŞ"/>
    <s v="NAKİT"/>
    <n v="2"/>
    <n v="150"/>
    <n v="0"/>
    <n v="0"/>
    <m/>
    <m/>
    <m/>
    <m/>
    <n v="300"/>
    <n v="0"/>
    <n v="49433.588553026428"/>
  </r>
  <r>
    <d v="2026-02-21T00:00:00"/>
    <x v="4"/>
    <s v="LİMONTUZU PARCA"/>
    <m/>
    <x v="1"/>
    <s v="ST00000001338"/>
    <s v="SATIŞ"/>
    <s v="NAKİT"/>
    <n v="0.27800000000000002"/>
    <n v="180"/>
    <n v="0"/>
    <n v="0"/>
    <m/>
    <m/>
    <m/>
    <m/>
    <n v="50.040000000000006"/>
    <n v="0"/>
    <n v="49483.628553026429"/>
  </r>
  <r>
    <d v="2026-02-21T00:00:00"/>
    <x v="4"/>
    <s v="LEBLEBİ SARI ÖZEL LÜX ÇITIR"/>
    <m/>
    <x v="1"/>
    <s v="ST00000001338"/>
    <s v="SATIŞ"/>
    <s v="NAKİT"/>
    <n v="0.5"/>
    <n v="200"/>
    <n v="0"/>
    <n v="0"/>
    <m/>
    <m/>
    <m/>
    <m/>
    <n v="100"/>
    <n v="0"/>
    <n v="49583.628553026429"/>
  </r>
  <r>
    <d v="2026-02-21T00:00:00"/>
    <x v="4"/>
    <s v="İRİ BEYAZ KABAK ÇEKİRDEĞİ - NEVŞEHİR"/>
    <m/>
    <x v="1"/>
    <s v="ST00000001338"/>
    <s v="SATIŞ"/>
    <s v="NAKİT"/>
    <n v="0.28000000000000003"/>
    <n v="430"/>
    <n v="0"/>
    <n v="0"/>
    <m/>
    <m/>
    <m/>
    <m/>
    <n v="120.4"/>
    <n v="0"/>
    <n v="49704.02855302643"/>
  </r>
  <r>
    <d v="2026-02-21T00:00:00"/>
    <x v="4"/>
    <s v="ÇÖREKOTU YAĞI 50 CC"/>
    <m/>
    <x v="1"/>
    <s v="ST00000001338"/>
    <s v="SATIŞ"/>
    <s v="NAKİT"/>
    <n v="1"/>
    <n v="170"/>
    <n v="0"/>
    <n v="0"/>
    <m/>
    <m/>
    <m/>
    <m/>
    <n v="170"/>
    <n v="0"/>
    <n v="49874.02855302643"/>
  </r>
  <r>
    <d v="2026-02-21T00:00:00"/>
    <x v="4"/>
    <s v="SUSAM"/>
    <m/>
    <x v="1"/>
    <s v="ST00000001338"/>
    <s v="SATIŞ"/>
    <s v="NAKİT"/>
    <n v="0.1"/>
    <n v="400"/>
    <n v="0"/>
    <n v="0"/>
    <m/>
    <m/>
    <m/>
    <m/>
    <n v="40"/>
    <n v="0"/>
    <n v="49914.02855302643"/>
  </r>
  <r>
    <d v="2026-02-21T00:00:00"/>
    <x v="4"/>
    <s v="ÇÖREKOTU"/>
    <m/>
    <x v="1"/>
    <s v="ST00000001338"/>
    <s v="SATIŞ"/>
    <s v="NAKİT"/>
    <n v="0.1"/>
    <n v="400"/>
    <n v="0"/>
    <n v="0"/>
    <m/>
    <m/>
    <m/>
    <m/>
    <n v="40"/>
    <n v="0"/>
    <n v="49954.02855302643"/>
  </r>
  <r>
    <d v="2026-02-21T00:00:00"/>
    <x v="4"/>
    <s v="HİNDİSTAN CEVİZİ ( İRİ )"/>
    <m/>
    <x v="1"/>
    <s v="ST00000001338"/>
    <s v="SATIŞ"/>
    <s v="NAKİT"/>
    <n v="0.1"/>
    <n v="600"/>
    <n v="0"/>
    <n v="0"/>
    <m/>
    <m/>
    <m/>
    <m/>
    <n v="60"/>
    <n v="0"/>
    <n v="50014.02855302643"/>
  </r>
  <r>
    <d v="2026-02-21T00:00:00"/>
    <x v="4"/>
    <s v="ÇUBUK TARÇIN"/>
    <m/>
    <x v="1"/>
    <s v="ST00000001338"/>
    <s v="SATIŞ"/>
    <s v="NAKİT"/>
    <n v="0.1"/>
    <n v="650"/>
    <n v="0"/>
    <n v="0"/>
    <m/>
    <m/>
    <m/>
    <m/>
    <n v="65"/>
    <n v="0"/>
    <n v="50079.02855302643"/>
  </r>
  <r>
    <d v="2026-02-21T00:00:00"/>
    <x v="4"/>
    <s v="HİBİSKUS"/>
    <m/>
    <x v="1"/>
    <s v="ST00000001338"/>
    <s v="SATIŞ"/>
    <s v="NAKİT"/>
    <n v="0.1"/>
    <n v="600"/>
    <n v="0"/>
    <n v="0"/>
    <m/>
    <m/>
    <m/>
    <m/>
    <n v="60"/>
    <n v="0"/>
    <n v="50139.02855302643"/>
  </r>
  <r>
    <d v="2026-02-21T00:00:00"/>
    <x v="4"/>
    <s v="LOBAS SAF NAR EKŞİSİ 1 KG"/>
    <m/>
    <x v="1"/>
    <s v="ST00000001338"/>
    <s v="SATIŞ"/>
    <s v="NAKİT"/>
    <n v="1"/>
    <n v="340"/>
    <n v="0"/>
    <n v="0"/>
    <m/>
    <m/>
    <m/>
    <m/>
    <n v="340"/>
    <n v="0"/>
    <n v="50479.02855302643"/>
  </r>
  <r>
    <d v="2026-02-21T00:00:00"/>
    <x v="4"/>
    <s v="İSOT"/>
    <m/>
    <x v="1"/>
    <s v="ST00000001338"/>
    <s v="SATIŞ"/>
    <s v="NAKİT"/>
    <n v="0.46500000000000002"/>
    <n v="400"/>
    <n v="0"/>
    <n v="0"/>
    <m/>
    <m/>
    <m/>
    <m/>
    <n v="186"/>
    <n v="0"/>
    <n v="50665.02855302643"/>
  </r>
  <r>
    <d v="2026-02-21T00:00:00"/>
    <x v="4"/>
    <s v="KÖFTELİK BULGUR"/>
    <m/>
    <x v="1"/>
    <s v="ST00000001338"/>
    <s v="SATIŞ"/>
    <s v="NAKİT"/>
    <n v="1.54"/>
    <n v="65"/>
    <n v="0"/>
    <n v="0"/>
    <m/>
    <m/>
    <m/>
    <m/>
    <n v="100.10000000000001"/>
    <n v="0"/>
    <n v="50765.128553026429"/>
  </r>
  <r>
    <d v="2026-02-21T00:00:00"/>
    <x v="4"/>
    <s v="SUMAK"/>
    <m/>
    <x v="1"/>
    <s v="ST00000001338"/>
    <s v="SATIŞ"/>
    <s v="NAKİT"/>
    <n v="0.3"/>
    <n v="500"/>
    <n v="0"/>
    <n v="0"/>
    <m/>
    <m/>
    <m/>
    <m/>
    <n v="150"/>
    <n v="0"/>
    <n v="50915.128553026429"/>
  </r>
  <r>
    <d v="2026-02-21T00:00:00"/>
    <x v="4"/>
    <s v="KİNOA DÖKME"/>
    <m/>
    <x v="1"/>
    <s v="ST00000001338"/>
    <s v="SATIŞ"/>
    <s v="NAKİT"/>
    <n v="1"/>
    <n v="240"/>
    <n v="0"/>
    <n v="0"/>
    <m/>
    <m/>
    <m/>
    <m/>
    <n v="240"/>
    <n v="0"/>
    <n v="51155.128553026429"/>
  </r>
  <r>
    <d v="2026-02-21T00:00:00"/>
    <x v="4"/>
    <s v="YALÇINKAYA DOMATES SALÇASI"/>
    <m/>
    <x v="1"/>
    <s v="ST00000001339"/>
    <s v="SATIŞ"/>
    <s v="NAKİT"/>
    <n v="2"/>
    <n v="150"/>
    <n v="0"/>
    <n v="0"/>
    <m/>
    <m/>
    <m/>
    <m/>
    <n v="300"/>
    <n v="0"/>
    <n v="51455.128553026429"/>
  </r>
  <r>
    <d v="2026-02-21T00:00:00"/>
    <x v="4"/>
    <s v="DOLMALIK KURU KABAK"/>
    <m/>
    <x v="1"/>
    <s v="ST00000001339"/>
    <s v="SATIŞ"/>
    <s v="NAKİT"/>
    <n v="1"/>
    <n v="250"/>
    <n v="0"/>
    <n v="0"/>
    <m/>
    <m/>
    <m/>
    <m/>
    <n v="250"/>
    <n v="0"/>
    <n v="51705.128553026429"/>
  </r>
  <r>
    <d v="2026-02-21T00:00:00"/>
    <x v="4"/>
    <s v="NANE İRİ"/>
    <m/>
    <x v="1"/>
    <s v="ST00000001339"/>
    <s v="SATIŞ"/>
    <s v="NAKİT"/>
    <n v="0.25"/>
    <n v="400"/>
    <n v="0"/>
    <n v="0"/>
    <m/>
    <m/>
    <m/>
    <m/>
    <n v="100"/>
    <n v="0"/>
    <n v="51805.128553026429"/>
  </r>
  <r>
    <d v="2026-02-21T00:00:00"/>
    <x v="4"/>
    <s v="KARABİBER ÇEKİLMİŞ"/>
    <m/>
    <x v="1"/>
    <s v="ST00000001339"/>
    <s v="SATIŞ"/>
    <s v="NAKİT"/>
    <n v="0.154"/>
    <n v="650"/>
    <n v="0"/>
    <n v="0"/>
    <m/>
    <m/>
    <m/>
    <m/>
    <n v="100.1"/>
    <n v="0"/>
    <n v="51905.228553026427"/>
  </r>
  <r>
    <d v="2026-02-21T00:00:00"/>
    <x v="4"/>
    <s v="YALÇINKAYA DOMATES SALÇASI"/>
    <m/>
    <x v="1"/>
    <s v="ST00000001470"/>
    <s v="SATIŞ - ANNE - EMANET"/>
    <s v="NAKİT"/>
    <n v="4"/>
    <n v="150"/>
    <n v="0"/>
    <n v="0"/>
    <m/>
    <m/>
    <m/>
    <m/>
    <n v="600"/>
    <n v="0"/>
    <n v="52505.228553026427"/>
  </r>
  <r>
    <d v="2026-02-21T00:00:00"/>
    <x v="4"/>
    <s v="YALÇINKAYA DOMATES SALÇASI"/>
    <m/>
    <x v="1"/>
    <s v="ST00000001470"/>
    <s v="SATIŞ - ANNE - EMANET"/>
    <s v="NAKİT"/>
    <n v="1"/>
    <n v="150"/>
    <n v="0"/>
    <n v="0"/>
    <m/>
    <m/>
    <m/>
    <m/>
    <n v="150"/>
    <n v="0"/>
    <n v="52655.228553026427"/>
  </r>
  <r>
    <d v="2026-02-21T00:00:00"/>
    <x v="4"/>
    <s v="YALÇINKAYA TATLI BİBER SALÇASI"/>
    <m/>
    <x v="1"/>
    <s v="ST00000001470"/>
    <s v="SATIŞ - ANNE - EMANET"/>
    <s v="NAKİT"/>
    <n v="1"/>
    <n v="200"/>
    <n v="0"/>
    <n v="0"/>
    <m/>
    <m/>
    <m/>
    <m/>
    <n v="200"/>
    <n v="0"/>
    <n v="52855.228553026427"/>
  </r>
  <r>
    <d v="2026-02-21T00:00:00"/>
    <x v="4"/>
    <s v="YALÇINKAYA DOMATES SALÇASI"/>
    <m/>
    <x v="1"/>
    <s v="ST00000001470"/>
    <s v="SATIŞ - ANNE - EMANET"/>
    <s v="NAKİT"/>
    <n v="2"/>
    <n v="150"/>
    <n v="0"/>
    <n v="0"/>
    <m/>
    <m/>
    <m/>
    <m/>
    <n v="300"/>
    <n v="0"/>
    <n v="53155.228553026427"/>
  </r>
  <r>
    <d v="2026-02-21T00:00:00"/>
    <x v="4"/>
    <s v="YALÇINKAYA DOMATES SALÇASI"/>
    <m/>
    <x v="1"/>
    <s v="ST00000001470"/>
    <s v="SATIŞ - ANNE - EMANET"/>
    <s v="NAKİT"/>
    <n v="2"/>
    <n v="150"/>
    <n v="0"/>
    <n v="0"/>
    <m/>
    <m/>
    <m/>
    <m/>
    <n v="300"/>
    <n v="0"/>
    <n v="53455.228553026427"/>
  </r>
  <r>
    <d v="2026-02-21T00:00:00"/>
    <x v="4"/>
    <s v="SALÇA TATLI (EV YAPIMI)"/>
    <m/>
    <x v="1"/>
    <s v="ST00000001470"/>
    <s v="SATIŞ - ANNE - EMANET"/>
    <s v="NAKİT"/>
    <n v="1"/>
    <n v="200"/>
    <n v="0"/>
    <n v="0"/>
    <m/>
    <m/>
    <m/>
    <m/>
    <n v="200"/>
    <n v="0"/>
    <n v="53655.228553026427"/>
  </r>
  <r>
    <d v="2026-02-21T00:00:00"/>
    <x v="4"/>
    <s v="DOLMALIK SARI BİBER"/>
    <m/>
    <x v="1"/>
    <s v="ST00000001470"/>
    <s v="SATIŞ - ANNE - EMANET"/>
    <s v="NAKİT"/>
    <n v="1"/>
    <n v="230"/>
    <n v="0"/>
    <n v="0"/>
    <m/>
    <m/>
    <m/>
    <m/>
    <n v="230"/>
    <n v="0"/>
    <n v="53885.228553026427"/>
  </r>
  <r>
    <d v="2026-02-21T00:00:00"/>
    <x v="4"/>
    <s v="DOLMALIK KURU ACI BİBER"/>
    <m/>
    <x v="1"/>
    <s v="ST00000001470"/>
    <s v="SATIŞ - ANNE - EMANET"/>
    <s v="NAKİT"/>
    <n v="1"/>
    <n v="230"/>
    <n v="0"/>
    <n v="0"/>
    <m/>
    <m/>
    <m/>
    <m/>
    <n v="230"/>
    <n v="0"/>
    <n v="54115.228553026427"/>
  </r>
  <r>
    <d v="2026-02-21T00:00:00"/>
    <x v="4"/>
    <s v="DOLMALIK KURU PATLICAN"/>
    <m/>
    <x v="1"/>
    <s v="ST00000001470"/>
    <s v="SATIŞ - ANNE - EMANET"/>
    <s v="NAKİT"/>
    <n v="1"/>
    <n v="250"/>
    <n v="0"/>
    <n v="0"/>
    <m/>
    <m/>
    <m/>
    <m/>
    <n v="250"/>
    <n v="0"/>
    <n v="54365.228553026427"/>
  </r>
  <r>
    <d v="2026-02-21T00:00:00"/>
    <x v="4"/>
    <s v="DOLMALIK KURU PATLICAN"/>
    <m/>
    <x v="1"/>
    <s v="ST00000001470"/>
    <s v="SATIŞ - ANNE - EMANET"/>
    <s v="NAKİT"/>
    <n v="1"/>
    <n v="250"/>
    <n v="0"/>
    <n v="0"/>
    <m/>
    <m/>
    <m/>
    <m/>
    <n v="250"/>
    <n v="0"/>
    <n v="54615.228553026427"/>
  </r>
  <r>
    <d v="2026-02-21T00:00:00"/>
    <x v="4"/>
    <s v="DOLMALIK SARI BİBER"/>
    <m/>
    <x v="1"/>
    <s v="ST00000001470"/>
    <s v="SATIŞ - ANNE - EMANET"/>
    <s v="NAKİT"/>
    <n v="1"/>
    <n v="230"/>
    <n v="0"/>
    <n v="0"/>
    <m/>
    <m/>
    <m/>
    <m/>
    <n v="230"/>
    <n v="0"/>
    <n v="54845.228553026427"/>
  </r>
  <r>
    <d v="2026-02-21T00:00:00"/>
    <x v="4"/>
    <s v="KARABİBER ÇEKİLMİŞ"/>
    <m/>
    <x v="1"/>
    <s v="ST00000001470"/>
    <s v="SATIŞ - ANNE - EMANET"/>
    <s v="NAKİT"/>
    <n v="0.77"/>
    <n v="650"/>
    <n v="0"/>
    <n v="0"/>
    <m/>
    <m/>
    <m/>
    <m/>
    <n v="500.5"/>
    <n v="0"/>
    <n v="55345.728553026427"/>
  </r>
  <r>
    <d v="2026-02-21T00:00:00"/>
    <x v="4"/>
    <s v="SUMAK TANE EKŞİLİ"/>
    <m/>
    <x v="1"/>
    <s v="ST00000001470"/>
    <s v="SATIŞ - ANNE - EMANET"/>
    <s v="NAKİT"/>
    <n v="0.92999999999999994"/>
    <n v="540"/>
    <n v="0"/>
    <n v="0"/>
    <m/>
    <m/>
    <m/>
    <m/>
    <n v="502.2"/>
    <n v="0"/>
    <n v="55847.928553026424"/>
  </r>
  <r>
    <d v="2026-02-21T00:00:00"/>
    <x v="4"/>
    <s v="EVLİK BİBER"/>
    <m/>
    <x v="1"/>
    <s v="ST00000001470"/>
    <s v="SATIŞ - ANNE - EMANET"/>
    <s v="NAKİT"/>
    <n v="1.25"/>
    <n v="400"/>
    <n v="0"/>
    <n v="0"/>
    <m/>
    <m/>
    <m/>
    <m/>
    <n v="500"/>
    <n v="0"/>
    <n v="56347.928553026424"/>
  </r>
  <r>
    <d v="2026-02-21T00:00:00"/>
    <x v="4"/>
    <s v="KİMYON ÇEKİLMİŞ"/>
    <m/>
    <x v="1"/>
    <s v="ST00000001470"/>
    <s v="SATIŞ - ANNE - EMANET"/>
    <s v="NAKİT"/>
    <n v="1.25"/>
    <n v="400"/>
    <n v="0"/>
    <n v="0"/>
    <m/>
    <m/>
    <m/>
    <m/>
    <n v="500"/>
    <n v="0"/>
    <n v="56847.928553026424"/>
  </r>
  <r>
    <d v="2026-02-21T00:00:00"/>
    <x v="4"/>
    <s v="SUMAK"/>
    <m/>
    <x v="1"/>
    <s v="ST00000001470"/>
    <s v="SATIŞ - ANNE - EMANET"/>
    <s v="NAKİT"/>
    <n v="1"/>
    <n v="500"/>
    <n v="0"/>
    <n v="0"/>
    <m/>
    <m/>
    <m/>
    <m/>
    <n v="500"/>
    <n v="0"/>
    <n v="57347.928553026424"/>
  </r>
  <r>
    <d v="2026-02-21T00:00:00"/>
    <x v="4"/>
    <s v="NANE İRİ"/>
    <m/>
    <x v="1"/>
    <s v="ST00000001470"/>
    <s v="SATIŞ - ANNE - EMANET"/>
    <s v="NAKİT"/>
    <n v="0.625"/>
    <n v="400"/>
    <n v="0"/>
    <n v="0"/>
    <m/>
    <m/>
    <m/>
    <m/>
    <n v="250"/>
    <n v="0"/>
    <n v="57597.928553026424"/>
  </r>
  <r>
    <d v="2026-02-21T00:00:00"/>
    <x v="4"/>
    <s v="KEKİK LÜX"/>
    <m/>
    <x v="1"/>
    <s v="ST00000001470"/>
    <s v="SATIŞ - ANNE - EMANET"/>
    <s v="NAKİT"/>
    <n v="0.33400000000000002"/>
    <n v="750"/>
    <n v="0"/>
    <n v="0"/>
    <m/>
    <m/>
    <m/>
    <m/>
    <n v="250.50000000000003"/>
    <n v="0"/>
    <n v="57848.428553026424"/>
  </r>
  <r>
    <d v="2026-02-21T00:00:00"/>
    <x v="4"/>
    <s v="TOZ BİBER - TATLI"/>
    <m/>
    <x v="1"/>
    <s v="ST00000001470"/>
    <s v="SATIŞ - ANNE - EMANET"/>
    <s v="NAKİT"/>
    <n v="1.25"/>
    <n v="400"/>
    <n v="0"/>
    <n v="0"/>
    <m/>
    <m/>
    <m/>
    <m/>
    <n v="500"/>
    <n v="0"/>
    <n v="58348.428553026424"/>
  </r>
  <r>
    <d v="2026-02-21T00:00:00"/>
    <x v="4"/>
    <s v="SALÇA TATLI (EV YAPIMI)"/>
    <m/>
    <x v="1"/>
    <s v="ST00000001470"/>
    <s v="SATIŞ - ANNE - EMANET"/>
    <s v="NAKİT"/>
    <n v="5"/>
    <n v="200"/>
    <n v="0"/>
    <n v="0"/>
    <m/>
    <m/>
    <m/>
    <m/>
    <n v="1000"/>
    <n v="0"/>
    <n v="59348.428553026424"/>
  </r>
  <r>
    <d v="2026-02-21T00:00:00"/>
    <x v="4"/>
    <s v="YALÇINKAYA ACI BİBER SALÇASI"/>
    <m/>
    <x v="1"/>
    <s v="ST00000001470"/>
    <s v="SATIŞ - ANNE - EMANET"/>
    <s v="NAKİT"/>
    <n v="5"/>
    <n v="200"/>
    <n v="0"/>
    <n v="0"/>
    <m/>
    <m/>
    <m/>
    <m/>
    <n v="1000"/>
    <n v="0"/>
    <n v="60348.428553026424"/>
  </r>
  <r>
    <d v="2026-02-21T00:00:00"/>
    <x v="4"/>
    <s v="YALÇINKAYA DOMATES SALÇASI"/>
    <m/>
    <x v="1"/>
    <s v="ST00000001470"/>
    <s v="SATIŞ - ANNE - EMANET"/>
    <s v="NAKİT"/>
    <n v="5"/>
    <n v="150"/>
    <n v="0"/>
    <n v="0"/>
    <m/>
    <m/>
    <m/>
    <m/>
    <n v="750"/>
    <n v="0"/>
    <n v="61098.428553026424"/>
  </r>
  <r>
    <d v="2026-02-21T00:00:00"/>
    <x v="4"/>
    <s v="DOLMALIK KURU ACI BİBER"/>
    <m/>
    <x v="1"/>
    <s v="ST00000001470"/>
    <s v="SATIŞ - ANNE - EMANET"/>
    <s v="NAKİT"/>
    <n v="2"/>
    <n v="230"/>
    <n v="0"/>
    <n v="0"/>
    <m/>
    <m/>
    <m/>
    <m/>
    <n v="460"/>
    <n v="0"/>
    <n v="61558.428553026424"/>
  </r>
  <r>
    <d v="2026-02-21T00:00:00"/>
    <x v="4"/>
    <s v="DOLMALIK KURU KABAK"/>
    <m/>
    <x v="1"/>
    <s v="ST00000001470"/>
    <s v="SATIŞ - ANNE - EMANET"/>
    <s v="NAKİT"/>
    <n v="1"/>
    <n v="250"/>
    <n v="0"/>
    <n v="0"/>
    <m/>
    <m/>
    <m/>
    <m/>
    <n v="250"/>
    <n v="0"/>
    <n v="61808.428553026424"/>
  </r>
  <r>
    <d v="2026-02-21T00:00:00"/>
    <x v="10"/>
    <m/>
    <m/>
    <x v="5"/>
    <m/>
    <s v="POS ÇÖZÜMÜ"/>
    <s v="POS"/>
    <n v="1"/>
    <n v="350"/>
    <n v="0"/>
    <n v="350"/>
    <m/>
    <m/>
    <m/>
    <m/>
    <n v="350"/>
    <n v="0"/>
    <n v="62158.428553026424"/>
  </r>
  <r>
    <d v="2026-02-22T00:00:00"/>
    <x v="4"/>
    <s v="EL-RUHA ÇAY (AÇIK)"/>
    <m/>
    <x v="1"/>
    <s v="ST00000001340"/>
    <s v="SATIŞ"/>
    <s v="NAKİT"/>
    <n v="1"/>
    <n v="600"/>
    <n v="0"/>
    <n v="0"/>
    <m/>
    <m/>
    <m/>
    <m/>
    <n v="600"/>
    <n v="0"/>
    <n v="62758.428553026424"/>
  </r>
  <r>
    <d v="2026-02-22T00:00:00"/>
    <x v="4"/>
    <s v="ERBATAB DEMİR VİTAMİN 30 KAPSÜL"/>
    <m/>
    <x v="1"/>
    <s v="ST00000001340"/>
    <s v="SATIŞ"/>
    <s v="NAKİT"/>
    <n v="1"/>
    <n v="250"/>
    <n v="0"/>
    <n v="0"/>
    <m/>
    <m/>
    <m/>
    <m/>
    <n v="250"/>
    <n v="0"/>
    <n v="63008.428553026424"/>
  </r>
  <r>
    <d v="2026-02-22T00:00:00"/>
    <x v="4"/>
    <s v="SALÇA ACI (EV YAPIMI)"/>
    <m/>
    <x v="1"/>
    <s v="ST00000001340"/>
    <s v="SATIŞ"/>
    <s v="NAKİT"/>
    <n v="0.5"/>
    <n v="200"/>
    <n v="0"/>
    <n v="0"/>
    <m/>
    <m/>
    <m/>
    <m/>
    <n v="100"/>
    <n v="0"/>
    <n v="63108.428553026424"/>
  </r>
  <r>
    <d v="2026-02-22T00:00:00"/>
    <x v="4"/>
    <s v="NANE İRİ"/>
    <m/>
    <x v="1"/>
    <s v="ST00000001340"/>
    <s v="SATIŞ"/>
    <s v="NAKİT"/>
    <n v="5.8000000000000003E-2"/>
    <n v="400"/>
    <n v="0"/>
    <n v="0"/>
    <m/>
    <m/>
    <m/>
    <m/>
    <n v="23.200000000000003"/>
    <n v="0"/>
    <n v="63131.628553026421"/>
  </r>
  <r>
    <d v="2026-02-22T00:00:00"/>
    <x v="4"/>
    <s v="KARABİBER ÇEKİLMİŞ"/>
    <m/>
    <x v="1"/>
    <s v="ST00000001340"/>
    <s v="SATIŞ"/>
    <s v="NAKİT"/>
    <n v="0.09"/>
    <n v="650"/>
    <n v="0"/>
    <n v="0"/>
    <m/>
    <m/>
    <m/>
    <m/>
    <n v="58.5"/>
    <n v="0"/>
    <n v="63190.128553026421"/>
  </r>
  <r>
    <d v="2026-02-22T00:00:00"/>
    <x v="4"/>
    <s v="KİMYON ÇEKİLMİŞ"/>
    <m/>
    <x v="1"/>
    <s v="ST00000001340"/>
    <s v="SATIŞ"/>
    <s v="NAKİT"/>
    <n v="0.12"/>
    <n v="400"/>
    <n v="0"/>
    <n v="0"/>
    <m/>
    <m/>
    <m/>
    <m/>
    <n v="48"/>
    <n v="0"/>
    <n v="63238.128553026421"/>
  </r>
  <r>
    <d v="2026-02-22T00:00:00"/>
    <x v="4"/>
    <s v="MİSVAK KUTULU (HOLDER)"/>
    <m/>
    <x v="1"/>
    <s v="ST00000001340"/>
    <s v="SATIŞ"/>
    <s v="NAKİT"/>
    <n v="1"/>
    <n v="30"/>
    <n v="0"/>
    <n v="0"/>
    <m/>
    <m/>
    <m/>
    <m/>
    <n v="30"/>
    <n v="0"/>
    <n v="63268.128553026421"/>
  </r>
  <r>
    <d v="2026-02-22T00:00:00"/>
    <x v="4"/>
    <s v="YENİBAHAR TOZ"/>
    <m/>
    <x v="1"/>
    <s v="ST00000001341"/>
    <s v="SATIŞ"/>
    <s v="NAKİT"/>
    <n v="9.1999999999999998E-2"/>
    <n v="770"/>
    <n v="0"/>
    <n v="0"/>
    <m/>
    <m/>
    <m/>
    <m/>
    <n v="70.84"/>
    <n v="0"/>
    <n v="63338.968553026418"/>
  </r>
  <r>
    <d v="2026-02-22T00:00:00"/>
    <x v="4"/>
    <s v="KARABİBER ÇEKİLMİŞ"/>
    <m/>
    <x v="1"/>
    <s v="ST00000001342"/>
    <s v="SATIŞ"/>
    <s v="NAKİT"/>
    <n v="0.502"/>
    <n v="605"/>
    <n v="0"/>
    <n v="0"/>
    <m/>
    <m/>
    <m/>
    <m/>
    <n v="303.70999999999998"/>
    <n v="0"/>
    <n v="63642.678553026417"/>
  </r>
  <r>
    <d v="2026-02-22T00:00:00"/>
    <x v="4"/>
    <s v="TOZ BİBER - TATLI"/>
    <m/>
    <x v="1"/>
    <s v="ST00000001342"/>
    <s v="SATIŞ"/>
    <s v="NAKİT"/>
    <n v="0.66800000000000004"/>
    <n v="400"/>
    <n v="0"/>
    <n v="0"/>
    <m/>
    <m/>
    <m/>
    <m/>
    <n v="267.2"/>
    <n v="0"/>
    <n v="63909.878553026414"/>
  </r>
  <r>
    <d v="2026-02-22T00:00:00"/>
    <x v="4"/>
    <s v="KORİ (TAVUK BAHARATI)"/>
    <m/>
    <x v="1"/>
    <s v="ST00000001342"/>
    <s v="SATIŞ"/>
    <s v="NAKİT"/>
    <n v="0.20200000000000001"/>
    <n v="140"/>
    <n v="0"/>
    <n v="0"/>
    <m/>
    <m/>
    <m/>
    <m/>
    <n v="28.28"/>
    <n v="0"/>
    <n v="63938.158553026413"/>
  </r>
  <r>
    <d v="2026-02-22T00:00:00"/>
    <x v="4"/>
    <s v="ZERDEÇAL TOZ"/>
    <m/>
    <x v="1"/>
    <s v="ST00000001342"/>
    <s v="SATIŞ"/>
    <s v="NAKİT"/>
    <n v="0.33600000000000002"/>
    <n v="300"/>
    <n v="0"/>
    <n v="0"/>
    <m/>
    <m/>
    <m/>
    <m/>
    <n v="100.80000000000001"/>
    <n v="0"/>
    <n v="64038.958553026416"/>
  </r>
  <r>
    <d v="2026-02-22T00:00:00"/>
    <x v="4"/>
    <s v="MISIR PREMİUM MEDİUM HURMA"/>
    <m/>
    <x v="1"/>
    <s v="ST00000001342"/>
    <s v="SATIŞ"/>
    <s v="NAKİT"/>
    <n v="1"/>
    <n v="550"/>
    <n v="0"/>
    <n v="0"/>
    <m/>
    <m/>
    <m/>
    <m/>
    <n v="550"/>
    <n v="0"/>
    <n v="64588.958553026416"/>
  </r>
  <r>
    <d v="2026-02-22T00:00:00"/>
    <x v="4"/>
    <s v="DOLMALIK KURU PATLICAN"/>
    <m/>
    <x v="5"/>
    <s v="ST00000001343"/>
    <s v="SATIŞ"/>
    <s v="POS"/>
    <n v="1"/>
    <n v="230"/>
    <n v="230"/>
    <n v="0"/>
    <m/>
    <m/>
    <m/>
    <m/>
    <n v="0"/>
    <n v="0"/>
    <n v="64588.958553026416"/>
  </r>
  <r>
    <d v="2026-02-22T00:00:00"/>
    <x v="4"/>
    <s v="DOLMALIK SARI BİBER"/>
    <m/>
    <x v="5"/>
    <s v="ST00000001343"/>
    <s v="SATIŞ"/>
    <s v="POS"/>
    <n v="1"/>
    <n v="230"/>
    <n v="230"/>
    <n v="0"/>
    <m/>
    <m/>
    <m/>
    <m/>
    <n v="0"/>
    <n v="0"/>
    <n v="64588.958553026416"/>
  </r>
  <r>
    <d v="2026-02-22T00:00:00"/>
    <x v="4"/>
    <s v="HAM KABAK LİFİ İŞLENMEMİŞ"/>
    <m/>
    <x v="5"/>
    <s v="ST00000001344"/>
    <s v="SATIŞ"/>
    <s v="POS"/>
    <n v="1"/>
    <n v="180"/>
    <n v="180"/>
    <n v="0"/>
    <m/>
    <m/>
    <m/>
    <m/>
    <n v="0"/>
    <n v="0"/>
    <n v="64588.958553026416"/>
  </r>
  <r>
    <d v="2026-02-22T00:00:00"/>
    <x v="4"/>
    <s v="MS 32 DERMA BAMBU YÜZ TEMİZLEME"/>
    <m/>
    <x v="5"/>
    <s v="ST00000001344"/>
    <s v="SATIŞ"/>
    <s v="POS"/>
    <n v="1"/>
    <n v="100"/>
    <n v="100"/>
    <n v="0"/>
    <m/>
    <m/>
    <m/>
    <m/>
    <n v="0"/>
    <n v="0"/>
    <n v="64588.958553026416"/>
  </r>
  <r>
    <d v="2026-02-22T00:00:00"/>
    <x v="4"/>
    <s v="KUŞ ÜZÜMÜ"/>
    <m/>
    <x v="5"/>
    <s v="ST00000001345"/>
    <s v="SATIŞ"/>
    <s v="POS"/>
    <n v="0.1"/>
    <n v="800"/>
    <n v="80"/>
    <n v="0"/>
    <m/>
    <m/>
    <m/>
    <m/>
    <n v="0"/>
    <n v="0"/>
    <n v="64588.958553026416"/>
  </r>
  <r>
    <d v="2026-02-22T00:00:00"/>
    <x v="4"/>
    <s v="HİBİSKUS"/>
    <m/>
    <x v="1"/>
    <s v="ST00000001346"/>
    <s v="SATIŞ"/>
    <s v="NAKİT"/>
    <n v="0.1"/>
    <n v="600"/>
    <n v="0"/>
    <n v="0"/>
    <m/>
    <m/>
    <m/>
    <m/>
    <n v="60"/>
    <n v="0"/>
    <n v="64648.958553026416"/>
  </r>
  <r>
    <d v="2026-02-22T00:00:00"/>
    <x v="4"/>
    <s v="ZERDEÇAL TOZ"/>
    <m/>
    <x v="1"/>
    <s v="ST00000001346"/>
    <s v="SATIŞ"/>
    <s v="NAKİT"/>
    <n v="0.16800000000000001"/>
    <n v="300"/>
    <n v="0"/>
    <n v="0"/>
    <m/>
    <m/>
    <m/>
    <m/>
    <n v="50.400000000000006"/>
    <n v="0"/>
    <n v="64699.358553026417"/>
  </r>
  <r>
    <d v="2026-02-22T00:00:00"/>
    <x v="4"/>
    <s v="İZMİR ÜZÜMÜ"/>
    <m/>
    <x v="5"/>
    <s v="ST00000001347"/>
    <s v="SATIŞ"/>
    <s v="POS"/>
    <n v="0.41199999999999998"/>
    <n v="250"/>
    <n v="103"/>
    <n v="0"/>
    <m/>
    <m/>
    <m/>
    <m/>
    <n v="0"/>
    <n v="0"/>
    <n v="64699.358553026417"/>
  </r>
  <r>
    <d v="2026-02-22T00:00:00"/>
    <x v="4"/>
    <s v="AÇIK KAYISI İRİ (SARI)"/>
    <m/>
    <x v="5"/>
    <s v="ST00000001347"/>
    <s v="SATIŞ"/>
    <s v="POS"/>
    <n v="0.23478260869565218"/>
    <n v="627"/>
    <n v="147.20869565217393"/>
    <n v="0"/>
    <m/>
    <m/>
    <m/>
    <m/>
    <n v="0"/>
    <n v="0"/>
    <n v="64699.358553026417"/>
  </r>
  <r>
    <d v="2026-02-22T00:00:00"/>
    <x v="10"/>
    <m/>
    <m/>
    <x v="5"/>
    <m/>
    <s v="POS ÇÖZÜMÜ"/>
    <s v="POS"/>
    <n v="1"/>
    <n v="1161"/>
    <n v="0"/>
    <n v="1161"/>
    <m/>
    <m/>
    <m/>
    <m/>
    <n v="1161"/>
    <n v="0"/>
    <n v="65860.358553026424"/>
  </r>
  <r>
    <d v="2026-02-22T00:00:00"/>
    <x v="10"/>
    <m/>
    <m/>
    <x v="5"/>
    <m/>
    <s v="POS ÇÖZÜMÜ"/>
    <s v="POS"/>
    <n v="1"/>
    <n v="390"/>
    <n v="0"/>
    <n v="390"/>
    <m/>
    <m/>
    <m/>
    <m/>
    <n v="390"/>
    <n v="0"/>
    <n v="66250.358553026424"/>
  </r>
  <r>
    <d v="2026-02-23T00:00:00"/>
    <x v="3"/>
    <s v="BOZ ANTEP FISTIK ÖĞÜTÜLMÜŞ"/>
    <m/>
    <x v="4"/>
    <n v="998909"/>
    <s v="TÜDAB A.Ş."/>
    <s v="CARİ"/>
    <n v="1"/>
    <n v="2250"/>
    <n v="0"/>
    <n v="2250"/>
    <m/>
    <m/>
    <m/>
    <m/>
    <n v="0"/>
    <n v="0"/>
    <n v="66250.358553026424"/>
  </r>
  <r>
    <d v="2026-02-23T00:00:00"/>
    <x v="3"/>
    <s v="BOZ ANTEP FISTIK İÇİ"/>
    <m/>
    <x v="4"/>
    <n v="998909"/>
    <s v="TÜDAB A.Ş."/>
    <s v="CARİ"/>
    <n v="1"/>
    <n v="2200"/>
    <n v="0"/>
    <n v="2200"/>
    <m/>
    <m/>
    <m/>
    <m/>
    <n v="0"/>
    <n v="0"/>
    <n v="66250.358553026424"/>
  </r>
  <r>
    <d v="2026-02-23T00:00:00"/>
    <x v="3"/>
    <s v="BUĞDAY NİŞASTASI"/>
    <m/>
    <x v="4"/>
    <n v="998909"/>
    <s v="TÜDAB A.Ş."/>
    <s v="CARİ"/>
    <n v="10"/>
    <n v="67"/>
    <n v="0"/>
    <n v="670"/>
    <m/>
    <m/>
    <m/>
    <m/>
    <n v="0"/>
    <n v="0"/>
    <n v="66250.358553026424"/>
  </r>
  <r>
    <d v="2026-02-23T00:00:00"/>
    <x v="3"/>
    <s v="CEVİZ KELEBEK (ŞİLİ)"/>
    <m/>
    <x v="4"/>
    <n v="998909"/>
    <s v="TÜDAB A.Ş."/>
    <s v="CARİ"/>
    <n v="5"/>
    <n v="585"/>
    <n v="0"/>
    <n v="2925"/>
    <m/>
    <m/>
    <m/>
    <m/>
    <n v="0"/>
    <n v="0"/>
    <n v="66250.358553026424"/>
  </r>
  <r>
    <d v="2026-02-23T00:00:00"/>
    <x v="3"/>
    <s v="FINDIK BULACAK (13-15)"/>
    <m/>
    <x v="4"/>
    <n v="998909"/>
    <s v="TÜDAB A.Ş."/>
    <s v="CARİ"/>
    <n v="5"/>
    <n v="950"/>
    <n v="0"/>
    <n v="4750"/>
    <m/>
    <m/>
    <m/>
    <m/>
    <n v="0"/>
    <n v="0"/>
    <n v="66250.358553026424"/>
  </r>
  <r>
    <d v="2026-02-23T00:00:00"/>
    <x v="3"/>
    <s v="GÜNAYDIN KAYA TUZU İNCE"/>
    <m/>
    <x v="4"/>
    <n v="998909"/>
    <s v="TÜDAB A.Ş."/>
    <s v="CARİ"/>
    <n v="25"/>
    <n v="19"/>
    <n v="0"/>
    <n v="475"/>
    <m/>
    <m/>
    <m/>
    <m/>
    <n v="0"/>
    <n v="0"/>
    <n v="66250.358553026424"/>
  </r>
  <r>
    <d v="2026-02-23T00:00:00"/>
    <x v="3"/>
    <s v="KARANFİL"/>
    <m/>
    <x v="4"/>
    <n v="998909"/>
    <s v="TÜDAB A.Ş."/>
    <s v="CARİ"/>
    <n v="2"/>
    <n v="650"/>
    <n v="0"/>
    <n v="1300"/>
    <m/>
    <m/>
    <m/>
    <m/>
    <n v="0"/>
    <n v="0"/>
    <n v="66250.358553026424"/>
  </r>
  <r>
    <d v="2026-02-23T00:00:00"/>
    <x v="3"/>
    <s v="MISIR UNU"/>
    <m/>
    <x v="4"/>
    <n v="998909"/>
    <s v="TÜDAB A.Ş."/>
    <s v="CARİ"/>
    <n v="10"/>
    <n v="26.5"/>
    <n v="0"/>
    <n v="265"/>
    <m/>
    <m/>
    <m/>
    <m/>
    <n v="0"/>
    <n v="0"/>
    <n v="66250.358553026424"/>
  </r>
  <r>
    <d v="2026-02-23T00:00:00"/>
    <x v="3"/>
    <s v="MİNDİVAN ÇÖREK OTU YAĞI KAPSÜL"/>
    <m/>
    <x v="4"/>
    <n v="998909"/>
    <s v="TÜDAB A.Ş."/>
    <s v="CARİ"/>
    <n v="1"/>
    <n v="260"/>
    <n v="0"/>
    <n v="260"/>
    <m/>
    <m/>
    <m/>
    <m/>
    <n v="0"/>
    <n v="0"/>
    <n v="66250.358553026424"/>
  </r>
  <r>
    <d v="2026-02-23T00:00:00"/>
    <x v="3"/>
    <s v="SOSLU MISIR YERLİ"/>
    <m/>
    <x v="4"/>
    <n v="998909"/>
    <s v="TÜDAB A.Ş."/>
    <s v="CARİ"/>
    <n v="3"/>
    <n v="145"/>
    <n v="0"/>
    <n v="435"/>
    <m/>
    <m/>
    <m/>
    <m/>
    <n v="0"/>
    <n v="0"/>
    <n v="66250.358553026424"/>
  </r>
  <r>
    <d v="2026-02-23T00:00:00"/>
    <x v="3"/>
    <s v="TATBUL İNCE PİLAVLIK BULGUR"/>
    <m/>
    <x v="4"/>
    <n v="998909"/>
    <s v="TÜDAB A.Ş."/>
    <s v="CARİ"/>
    <n v="5"/>
    <n v="39"/>
    <n v="0"/>
    <n v="195"/>
    <m/>
    <m/>
    <m/>
    <m/>
    <n v="0"/>
    <n v="0"/>
    <n v="66250.358553026424"/>
  </r>
  <r>
    <d v="2026-02-23T00:00:00"/>
    <x v="3"/>
    <s v="TOMBUL KESE 500 GR SEBZELİ TARHANA"/>
    <m/>
    <x v="4"/>
    <n v="998909"/>
    <s v="TÜDAB A.Ş."/>
    <s v="CARİ"/>
    <n v="3"/>
    <n v="135"/>
    <n v="0"/>
    <n v="405"/>
    <m/>
    <m/>
    <m/>
    <m/>
    <n v="0"/>
    <n v="0"/>
    <n v="66250.358553026424"/>
  </r>
  <r>
    <d v="2026-02-23T00:00:00"/>
    <x v="3"/>
    <s v="TOMBUL KESE 500 GR TATLI"/>
    <m/>
    <x v="4"/>
    <n v="998909"/>
    <s v="TÜDAB A.Ş."/>
    <s v="CARİ"/>
    <n v="3"/>
    <n v="135"/>
    <n v="0"/>
    <n v="405"/>
    <m/>
    <m/>
    <m/>
    <m/>
    <n v="0"/>
    <n v="0"/>
    <n v="66250.358553026424"/>
  </r>
  <r>
    <d v="2026-02-23T00:00:00"/>
    <x v="3"/>
    <s v="WARITEX KABAK LİFİ ELDİVEN"/>
    <m/>
    <x v="4"/>
    <n v="998909"/>
    <s v="TÜDAB A.Ş."/>
    <s v="CARİ"/>
    <n v="6"/>
    <n v="60"/>
    <n v="0"/>
    <n v="360"/>
    <m/>
    <m/>
    <m/>
    <m/>
    <n v="0"/>
    <n v="0"/>
    <n v="66250.358553026424"/>
  </r>
  <r>
    <d v="2026-02-23T00:00:00"/>
    <x v="3"/>
    <s v="İRİ BEYAZ KABAK ÇEKİRDEĞİ - NEVŞEHİR"/>
    <m/>
    <x v="4"/>
    <n v="998909"/>
    <s v="TÜDAB A.Ş."/>
    <s v="CARİ"/>
    <n v="3"/>
    <n v="290"/>
    <n v="0"/>
    <n v="870"/>
    <m/>
    <m/>
    <m/>
    <m/>
    <n v="0"/>
    <n v="0"/>
    <n v="66250.358553026424"/>
  </r>
  <r>
    <d v="2026-02-23T00:00:00"/>
    <x v="3"/>
    <s v="İZMİR ÜZÜMÜ"/>
    <m/>
    <x v="4"/>
    <n v="998909"/>
    <s v="TÜDAB A.Ş."/>
    <s v="CARİ"/>
    <n v="5"/>
    <n v="170"/>
    <n v="0"/>
    <n v="850"/>
    <m/>
    <m/>
    <m/>
    <m/>
    <n v="0"/>
    <n v="0"/>
    <n v="66250.358553026424"/>
  </r>
  <r>
    <d v="2026-02-23T00:00:00"/>
    <x v="3"/>
    <s v="GÜNGÖR 5 LT SU"/>
    <m/>
    <x v="1"/>
    <s v="FT00000000071"/>
    <s v="SUCU MAL ALIMI"/>
    <s v="NAKİT"/>
    <n v="16"/>
    <n v="20"/>
    <n v="0"/>
    <n v="0"/>
    <m/>
    <m/>
    <m/>
    <m/>
    <n v="0"/>
    <n v="320"/>
    <n v="65930.358553026424"/>
  </r>
  <r>
    <d v="2026-02-23T00:00:00"/>
    <x v="3"/>
    <s v="ABANT 5 LT SU"/>
    <m/>
    <x v="1"/>
    <s v="FT00000000071"/>
    <s v="SUCU MAL ALIMI"/>
    <s v="NAKİT"/>
    <n v="4"/>
    <n v="25"/>
    <n v="0"/>
    <n v="0"/>
    <m/>
    <m/>
    <m/>
    <m/>
    <n v="0"/>
    <n v="100"/>
    <n v="65830.358553026424"/>
  </r>
  <r>
    <d v="2026-02-23T00:00:00"/>
    <x v="3"/>
    <s v="GÜNGÖR 1500 ML SU"/>
    <m/>
    <x v="1"/>
    <s v="FT00000000071"/>
    <s v="SUCU MAL ALIMI"/>
    <s v="NAKİT"/>
    <n v="12"/>
    <n v="7.5"/>
    <n v="0"/>
    <n v="0"/>
    <m/>
    <m/>
    <m/>
    <m/>
    <n v="0"/>
    <n v="90"/>
    <n v="65740.358553026424"/>
  </r>
  <r>
    <d v="2026-02-23T00:00:00"/>
    <x v="3"/>
    <s v="GÜNGÖR 500 ML SU"/>
    <m/>
    <x v="1"/>
    <s v="FT00000000071"/>
    <s v="SUCU MAL ALIMI"/>
    <s v="NAKİT"/>
    <n v="24"/>
    <n v="3.75"/>
    <n v="0"/>
    <n v="0"/>
    <m/>
    <m/>
    <m/>
    <m/>
    <n v="0"/>
    <n v="90"/>
    <n v="65650.358553026424"/>
  </r>
  <r>
    <d v="2026-02-23T00:00:00"/>
    <x v="4"/>
    <s v="DOLMALIK SARI BİBER"/>
    <m/>
    <x v="5"/>
    <s v="ST00000001348"/>
    <s v="SATIŞ"/>
    <s v="POS"/>
    <n v="1"/>
    <n v="230"/>
    <n v="230"/>
    <n v="0"/>
    <m/>
    <m/>
    <m/>
    <m/>
    <n v="0"/>
    <n v="0"/>
    <n v="65650.358553026424"/>
  </r>
  <r>
    <d v="2026-02-23T00:00:00"/>
    <x v="4"/>
    <s v="MANİSA YAPRAK DÖKME"/>
    <m/>
    <x v="5"/>
    <s v="ST00000001348"/>
    <s v="SATIŞ"/>
    <s v="POS"/>
    <n v="0.5"/>
    <n v="300"/>
    <n v="150"/>
    <n v="0"/>
    <m/>
    <m/>
    <m/>
    <m/>
    <n v="0"/>
    <n v="0"/>
    <n v="65650.358553026424"/>
  </r>
  <r>
    <d v="2026-02-23T00:00:00"/>
    <x v="4"/>
    <s v="LEBLEBİ ÇİFTE SARI"/>
    <m/>
    <x v="5"/>
    <s v="ST00000001349"/>
    <s v="SATIŞ"/>
    <s v="POS"/>
    <n v="0.20833333333333334"/>
    <n v="240"/>
    <n v="50"/>
    <n v="0"/>
    <m/>
    <m/>
    <m/>
    <m/>
    <n v="0"/>
    <n v="0"/>
    <n v="65650.358553026424"/>
  </r>
  <r>
    <d v="2026-02-23T00:00:00"/>
    <x v="4"/>
    <s v="HİBİSKUS"/>
    <m/>
    <x v="5"/>
    <s v="ST00000001349"/>
    <s v="SATIŞ"/>
    <s v="POS"/>
    <n v="0.1"/>
    <n v="450"/>
    <n v="45"/>
    <n v="0"/>
    <m/>
    <m/>
    <m/>
    <m/>
    <n v="0"/>
    <n v="0"/>
    <n v="65650.358553026424"/>
  </r>
  <r>
    <d v="2026-02-23T00:00:00"/>
    <x v="4"/>
    <s v="SOSLU MISIR YERLİ"/>
    <m/>
    <x v="5"/>
    <s v="ST00000001350"/>
    <s v="SATIŞ"/>
    <s v="POS"/>
    <n v="0.22727272727272727"/>
    <n v="200"/>
    <n v="45.454545454545453"/>
    <n v="0"/>
    <m/>
    <m/>
    <m/>
    <m/>
    <n v="0"/>
    <n v="0"/>
    <n v="65650.358553026424"/>
  </r>
  <r>
    <d v="2026-02-23T00:00:00"/>
    <x v="4"/>
    <s v="DOLMALIK KURU PATLICAN"/>
    <m/>
    <x v="1"/>
    <s v="ST00000001350"/>
    <s v="SATIŞ"/>
    <s v="NAKİT"/>
    <n v="0.5"/>
    <n v="250"/>
    <n v="0"/>
    <n v="0"/>
    <m/>
    <m/>
    <m/>
    <m/>
    <n v="125"/>
    <n v="0"/>
    <n v="65775.358553026424"/>
  </r>
  <r>
    <d v="2026-02-23T00:00:00"/>
    <x v="4"/>
    <s v="DOLMALIK SARI BİBER"/>
    <m/>
    <x v="1"/>
    <s v="ST00000001350"/>
    <s v="SATIŞ"/>
    <s v="NAKİT"/>
    <n v="0.5"/>
    <n v="230"/>
    <n v="0"/>
    <n v="0"/>
    <m/>
    <m/>
    <m/>
    <m/>
    <n v="115"/>
    <n v="0"/>
    <n v="65890.358553026424"/>
  </r>
  <r>
    <d v="2026-02-23T00:00:00"/>
    <x v="4"/>
    <s v="MOR REYHAN"/>
    <m/>
    <x v="5"/>
    <s v="ST00000001351"/>
    <s v="SATIŞ"/>
    <s v="POS"/>
    <n v="0.05"/>
    <n v="1500"/>
    <n v="75"/>
    <n v="0"/>
    <m/>
    <m/>
    <m/>
    <m/>
    <n v="0"/>
    <n v="0"/>
    <n v="65890.358553026424"/>
  </r>
  <r>
    <d v="2026-02-23T00:00:00"/>
    <x v="4"/>
    <s v="HİBİSKUS"/>
    <m/>
    <x v="5"/>
    <s v="ST00000001352"/>
    <s v="SATIŞ"/>
    <s v="POS"/>
    <n v="0.26200000000000001"/>
    <n v="500"/>
    <n v="131"/>
    <n v="0"/>
    <m/>
    <m/>
    <m/>
    <m/>
    <n v="0"/>
    <n v="0"/>
    <n v="65890.358553026424"/>
  </r>
  <r>
    <d v="2026-02-23T00:00:00"/>
    <x v="4"/>
    <s v="ÇUBUK TARÇIN"/>
    <m/>
    <x v="5"/>
    <s v="ST00000001352"/>
    <s v="SATIŞ"/>
    <s v="POS"/>
    <n v="0.1"/>
    <n v="650"/>
    <n v="65"/>
    <n v="0"/>
    <m/>
    <m/>
    <m/>
    <m/>
    <n v="0"/>
    <n v="0"/>
    <n v="65890.358553026424"/>
  </r>
  <r>
    <d v="2026-02-23T00:00:00"/>
    <x v="4"/>
    <s v="KUDÜS HURMASI"/>
    <m/>
    <x v="1"/>
    <s v="ST00000001353"/>
    <s v="SATIŞ"/>
    <s v="NAKİT"/>
    <n v="0.25"/>
    <n v="400"/>
    <n v="0"/>
    <n v="0"/>
    <m/>
    <m/>
    <m/>
    <m/>
    <n v="100"/>
    <n v="0"/>
    <n v="65990.358553026424"/>
  </r>
  <r>
    <d v="2026-02-23T00:00:00"/>
    <x v="4"/>
    <s v="TOZ BİBER - TATLI"/>
    <m/>
    <x v="5"/>
    <s v="ST00000001354"/>
    <s v="SATIŞ"/>
    <s v="POS"/>
    <n v="0.13500000000000001"/>
    <n v="400"/>
    <n v="54"/>
    <n v="0"/>
    <m/>
    <m/>
    <m/>
    <m/>
    <n v="0"/>
    <n v="0"/>
    <n v="65990.358553026424"/>
  </r>
  <r>
    <d v="2026-02-23T00:00:00"/>
    <x v="4"/>
    <s v="KİMYON ÇEKİLMİŞ"/>
    <m/>
    <x v="5"/>
    <s v="ST00000001354"/>
    <s v="SATIŞ"/>
    <s v="POS"/>
    <n v="0.09"/>
    <n v="400"/>
    <n v="36"/>
    <n v="0"/>
    <m/>
    <m/>
    <m/>
    <m/>
    <n v="0"/>
    <n v="0"/>
    <n v="65990.358553026424"/>
  </r>
  <r>
    <d v="2026-02-23T00:00:00"/>
    <x v="4"/>
    <s v="DOLMALIK SARI BİBER"/>
    <m/>
    <x v="5"/>
    <s v="ST00000001354"/>
    <s v="SATIŞ"/>
    <s v="POS"/>
    <n v="1"/>
    <n v="230"/>
    <n v="230"/>
    <n v="0"/>
    <m/>
    <m/>
    <m/>
    <m/>
    <n v="0"/>
    <n v="0"/>
    <n v="65990.358553026424"/>
  </r>
  <r>
    <d v="2026-02-23T00:00:00"/>
    <x v="4"/>
    <s v="EL-RUHA ÇAY (AÇIK)"/>
    <m/>
    <x v="5"/>
    <s v="ST00000001354"/>
    <s v="SATIŞ"/>
    <s v="POS"/>
    <n v="0.16666666666666666"/>
    <n v="600"/>
    <n v="100"/>
    <n v="0"/>
    <m/>
    <m/>
    <m/>
    <m/>
    <n v="0"/>
    <n v="0"/>
    <n v="65990.358553026424"/>
  </r>
  <r>
    <d v="2026-02-23T00:00:00"/>
    <x v="4"/>
    <s v="SOGAY HURMA"/>
    <m/>
    <x v="5"/>
    <s v="ST00000001355"/>
    <s v="SATIŞ"/>
    <s v="POS"/>
    <n v="0.8783783783783784"/>
    <n v="370"/>
    <n v="325"/>
    <n v="0"/>
    <m/>
    <m/>
    <m/>
    <m/>
    <n v="0"/>
    <n v="0"/>
    <n v="65990.358553026424"/>
  </r>
  <r>
    <d v="2026-02-23T00:00:00"/>
    <x v="4"/>
    <s v="TOZ BİBER - ACI"/>
    <m/>
    <x v="1"/>
    <s v="ST00000001356"/>
    <s v="SATIŞ"/>
    <s v="NAKİT"/>
    <n v="7.567567567567568E-2"/>
    <n v="370"/>
    <n v="0"/>
    <n v="0"/>
    <m/>
    <m/>
    <m/>
    <m/>
    <n v="28"/>
    <n v="0"/>
    <n v="66018.358553026424"/>
  </r>
  <r>
    <d v="2026-02-23T00:00:00"/>
    <x v="4"/>
    <s v="İZMİR ÜZÜMÜ"/>
    <m/>
    <x v="1"/>
    <s v="ST00000001357"/>
    <s v="SATIŞ"/>
    <s v="NAKİT"/>
    <n v="1"/>
    <n v="250"/>
    <n v="0"/>
    <n v="0"/>
    <m/>
    <m/>
    <m/>
    <m/>
    <n v="250"/>
    <n v="0"/>
    <n v="66268.358553026424"/>
  </r>
  <r>
    <d v="2026-02-23T00:00:00"/>
    <x v="3"/>
    <s v="HİNT YAĞI 50 CC"/>
    <m/>
    <x v="8"/>
    <m/>
    <s v="GENÇAY BAHARAT"/>
    <s v="CARİ"/>
    <n v="12"/>
    <n v="60"/>
    <n v="0"/>
    <n v="720"/>
    <m/>
    <m/>
    <m/>
    <m/>
    <n v="0"/>
    <n v="0"/>
    <n v="66268.358553026424"/>
  </r>
  <r>
    <d v="2026-02-23T00:00:00"/>
    <x v="3"/>
    <s v="ÇÖREKOTU YAĞI 50 CC"/>
    <m/>
    <x v="8"/>
    <m/>
    <s v="GENÇAY BAHARAT"/>
    <s v="CARİ"/>
    <n v="12"/>
    <n v="90"/>
    <n v="0"/>
    <n v="1080"/>
    <m/>
    <m/>
    <m/>
    <m/>
    <n v="0"/>
    <n v="0"/>
    <n v="66268.358553026424"/>
  </r>
  <r>
    <d v="2026-02-23T00:00:00"/>
    <x v="3"/>
    <s v="GENÇAY VAZELİN 100 ML"/>
    <m/>
    <x v="8"/>
    <m/>
    <s v="GENÇAY BAHARAT"/>
    <s v="CARİ"/>
    <n v="6"/>
    <n v="45"/>
    <n v="0"/>
    <n v="270"/>
    <m/>
    <m/>
    <m/>
    <m/>
    <n v="0"/>
    <n v="0"/>
    <n v="66268.358553026424"/>
  </r>
  <r>
    <d v="2026-02-23T00:00:00"/>
    <x v="3"/>
    <s v="AT KESTANESİ YAĞI 50 CC"/>
    <m/>
    <x v="8"/>
    <m/>
    <s v="GENÇAY BAHARAT"/>
    <s v="CARİ"/>
    <n v="6"/>
    <n v="60"/>
    <n v="0"/>
    <n v="360"/>
    <m/>
    <m/>
    <m/>
    <m/>
    <n v="0"/>
    <n v="0"/>
    <n v="66268.358553026424"/>
  </r>
  <r>
    <d v="2026-02-23T00:00:00"/>
    <x v="7"/>
    <m/>
    <m/>
    <x v="3"/>
    <m/>
    <s v="YALÇINTAT CARİ ÖDEME"/>
    <s v="NAKİT"/>
    <n v="1"/>
    <n v="0"/>
    <n v="20000"/>
    <n v="0"/>
    <m/>
    <m/>
    <m/>
    <m/>
    <n v="0"/>
    <n v="20000"/>
    <n v="46268.358553026424"/>
  </r>
  <r>
    <d v="2026-02-23T00:00:00"/>
    <x v="3"/>
    <s v="AYÇEKİRDEĞİ DAKOTA TUZLU EKSTRA"/>
    <m/>
    <x v="12"/>
    <m/>
    <s v="NEVANTAT KURUYEMİŞ"/>
    <s v="CARİ"/>
    <n v="1"/>
    <n v="90.9"/>
    <n v="0"/>
    <n v="90.9"/>
    <m/>
    <m/>
    <m/>
    <m/>
    <n v="0"/>
    <n v="0"/>
    <n v="46268.358553026424"/>
  </r>
  <r>
    <d v="2026-02-23T00:00:00"/>
    <x v="3"/>
    <s v="AYÇEKİRDEĞİ DAKOTA TUZSUZ EKSTRA"/>
    <m/>
    <x v="12"/>
    <m/>
    <s v="NEVANTAT KURUYEMİŞ"/>
    <s v="CARİ"/>
    <n v="1"/>
    <n v="90.9"/>
    <n v="0"/>
    <n v="90.9"/>
    <m/>
    <m/>
    <m/>
    <m/>
    <n v="0"/>
    <n v="0"/>
    <n v="46268.358553026424"/>
  </r>
  <r>
    <d v="2026-02-23T00:00:00"/>
    <x v="3"/>
    <s v="SEYHAN ÜZÜM ÖZEL"/>
    <m/>
    <x v="12"/>
    <m/>
    <s v="NEVANTAT KURUYEMİŞ"/>
    <s v="CARİ"/>
    <n v="1"/>
    <n v="424.2"/>
    <n v="0"/>
    <n v="424.2"/>
    <m/>
    <m/>
    <m/>
    <m/>
    <n v="0"/>
    <n v="0"/>
    <n v="46268.358553026424"/>
  </r>
  <r>
    <d v="2026-02-23T00:00:00"/>
    <x v="3"/>
    <s v="DEMKAR TURUNCU PAKET ANTEP FISTIĞI"/>
    <m/>
    <x v="12"/>
    <m/>
    <s v="NEVANTAT KURUYEMİŞ"/>
    <s v="CARİ"/>
    <n v="1"/>
    <n v="1161"/>
    <n v="0"/>
    <n v="1161"/>
    <m/>
    <m/>
    <m/>
    <m/>
    <n v="0"/>
    <n v="0"/>
    <n v="46268.358553026424"/>
  </r>
  <r>
    <d v="2026-02-23T00:00:00"/>
    <x v="8"/>
    <s v="DEMKAR TURUNCU PAKET ANTEP FISTIĞI"/>
    <m/>
    <x v="1"/>
    <m/>
    <s v="KARIŞIK KURUYEMİŞ - ÜRETİM"/>
    <s v="ÜRETİM"/>
    <n v="1"/>
    <n v="1161"/>
    <n v="0"/>
    <n v="0"/>
    <m/>
    <m/>
    <m/>
    <m/>
    <n v="1161"/>
    <n v="0"/>
    <n v="47429.358553026424"/>
  </r>
  <r>
    <d v="2026-02-23T00:00:00"/>
    <x v="8"/>
    <s v="FINDIK BULACAK (13-15)"/>
    <m/>
    <x v="1"/>
    <m/>
    <s v="KARIŞIK KURUYEMİŞ - ÜRETİM"/>
    <s v="ÜRETİM"/>
    <n v="1"/>
    <n v="950"/>
    <n v="0"/>
    <n v="0"/>
    <m/>
    <m/>
    <m/>
    <m/>
    <n v="950"/>
    <n v="0"/>
    <n v="48379.358553026424"/>
  </r>
  <r>
    <d v="2026-02-23T00:00:00"/>
    <x v="8"/>
    <s v="KAJU 240 LIK EKSTRA"/>
    <m/>
    <x v="1"/>
    <m/>
    <s v="KARIŞIK KURUYEMİŞ - ÜRETİM"/>
    <s v="ÜRETİM"/>
    <n v="2"/>
    <n v="420"/>
    <n v="0"/>
    <n v="0"/>
    <m/>
    <m/>
    <m/>
    <m/>
    <n v="840"/>
    <n v="0"/>
    <n v="49219.358553026424"/>
  </r>
  <r>
    <d v="2026-02-23T00:00:00"/>
    <x v="8"/>
    <s v="BADEM KAVRULMUŞ"/>
    <m/>
    <x v="1"/>
    <m/>
    <s v="KARIŞIK KURUYEMİŞ - ÜRETİM"/>
    <s v="ÜRETİM"/>
    <n v="2"/>
    <n v="525"/>
    <n v="0"/>
    <n v="0"/>
    <m/>
    <m/>
    <m/>
    <m/>
    <n v="1050"/>
    <n v="0"/>
    <n v="50269.358553026424"/>
  </r>
  <r>
    <d v="2026-02-23T00:00:00"/>
    <x v="9"/>
    <s v="KARIŞIK KURUYEMİŞ"/>
    <m/>
    <x v="1"/>
    <m/>
    <s v="KARIŞIK KURUYEMİŞ - ÜRETİM"/>
    <s v="ÜRETİM"/>
    <n v="6"/>
    <n v="666.83333000000005"/>
    <n v="0"/>
    <n v="0"/>
    <m/>
    <m/>
    <m/>
    <m/>
    <n v="0"/>
    <n v="4000.9999800000005"/>
    <n v="46268.358573026424"/>
  </r>
  <r>
    <d v="2026-02-23T00:00:00"/>
    <x v="7"/>
    <m/>
    <m/>
    <x v="12"/>
    <m/>
    <s v="NEVANTAT KURUYEMİŞ - ÖDEME"/>
    <s v="NAKİT"/>
    <n v="1"/>
    <n v="0"/>
    <n v="1767"/>
    <n v="0"/>
    <m/>
    <m/>
    <m/>
    <m/>
    <n v="0"/>
    <n v="1767"/>
    <n v="44501.358573026424"/>
  </r>
  <r>
    <d v="2026-02-23T00:00:00"/>
    <x v="10"/>
    <m/>
    <m/>
    <x v="5"/>
    <m/>
    <s v="POS ÇÖZÜMÜ"/>
    <s v="POS"/>
    <n v="1"/>
    <n v="785"/>
    <n v="0"/>
    <n v="785"/>
    <m/>
    <m/>
    <m/>
    <m/>
    <n v="785"/>
    <n v="0"/>
    <n v="45286.358573026424"/>
  </r>
  <r>
    <d v="2026-02-23T00:00:00"/>
    <x v="10"/>
    <m/>
    <m/>
    <x v="5"/>
    <m/>
    <s v="POS ÇÖZÜMÜ"/>
    <s v="POS"/>
    <n v="1"/>
    <n v="2070"/>
    <n v="0"/>
    <n v="2070"/>
    <m/>
    <m/>
    <m/>
    <m/>
    <n v="2070"/>
    <n v="0"/>
    <n v="47356.358573026424"/>
  </r>
  <r>
    <d v="2026-02-24T00:00:00"/>
    <x v="4"/>
    <s v="MANİSA YAPRAK DÖKME"/>
    <m/>
    <x v="5"/>
    <s v="ST00000001358"/>
    <s v="SATIŞ"/>
    <s v="POS"/>
    <n v="0.5"/>
    <n v="300"/>
    <n v="150"/>
    <n v="0"/>
    <m/>
    <m/>
    <m/>
    <m/>
    <n v="0"/>
    <n v="0"/>
    <n v="47356.358573026424"/>
  </r>
  <r>
    <d v="2026-02-24T00:00:00"/>
    <x v="4"/>
    <s v="GÜNAYDIN KAYA TUZU İNCE"/>
    <m/>
    <x v="5"/>
    <s v="ST00000001358"/>
    <s v="SATIŞ"/>
    <s v="POS"/>
    <n v="0.5"/>
    <n v="80"/>
    <n v="40"/>
    <n v="0"/>
    <m/>
    <m/>
    <m/>
    <m/>
    <n v="0"/>
    <n v="0"/>
    <n v="47356.358573026424"/>
  </r>
  <r>
    <d v="2026-02-24T00:00:00"/>
    <x v="4"/>
    <s v="KARIŞIK KURUYEMİŞ"/>
    <m/>
    <x v="5"/>
    <s v="ST00000001358"/>
    <s v="SATIŞ"/>
    <s v="POS"/>
    <n v="0.23599999999999999"/>
    <n v="850"/>
    <n v="200.6"/>
    <n v="0"/>
    <m/>
    <m/>
    <m/>
    <m/>
    <n v="0"/>
    <n v="0"/>
    <n v="47356.358573026424"/>
  </r>
  <r>
    <d v="2026-02-24T00:00:00"/>
    <x v="4"/>
    <s v="PATLAK MISIR"/>
    <m/>
    <x v="5"/>
    <s v="ST00000001358"/>
    <s v="SATIŞ"/>
    <s v="POS"/>
    <n v="0.5"/>
    <n v="60"/>
    <n v="30"/>
    <n v="0"/>
    <m/>
    <m/>
    <m/>
    <m/>
    <n v="0"/>
    <n v="0"/>
    <n v="47356.358573026424"/>
  </r>
  <r>
    <d v="2026-02-24T00:00:00"/>
    <x v="4"/>
    <s v="FINDIK İÇİ ÇİĞ"/>
    <m/>
    <x v="5"/>
    <s v="ST00000001358"/>
    <s v="SATIŞ"/>
    <s v="POS"/>
    <n v="0.1"/>
    <n v="1000"/>
    <n v="100"/>
    <n v="0"/>
    <m/>
    <m/>
    <m/>
    <m/>
    <n v="0"/>
    <n v="0"/>
    <n v="47356.358573026424"/>
  </r>
  <r>
    <d v="2026-02-24T00:00:00"/>
    <x v="4"/>
    <s v="ÇİĞ KABAK ÇEKİRDEĞİ"/>
    <m/>
    <x v="5"/>
    <s v="ST00000001358"/>
    <s v="SATIŞ"/>
    <s v="POS"/>
    <n v="0.28000000000000003"/>
    <n v="430"/>
    <n v="120.4"/>
    <n v="0"/>
    <m/>
    <m/>
    <m/>
    <m/>
    <n v="0"/>
    <n v="0"/>
    <n v="47356.358573026424"/>
  </r>
  <r>
    <d v="2026-02-24T00:00:00"/>
    <x v="4"/>
    <s v="IHLAMUR YAPRAK"/>
    <m/>
    <x v="5"/>
    <s v="ST00000001358"/>
    <s v="SATIŞ"/>
    <s v="POS"/>
    <n v="0.05"/>
    <n v="2600"/>
    <n v="130"/>
    <n v="0"/>
    <m/>
    <m/>
    <m/>
    <m/>
    <n v="0"/>
    <n v="0"/>
    <n v="47356.358573026424"/>
  </r>
  <r>
    <d v="2026-02-24T00:00:00"/>
    <x v="4"/>
    <s v="TUZLU FISTIK DUBLE"/>
    <m/>
    <x v="5"/>
    <s v="ST00000001358"/>
    <s v="SATIŞ"/>
    <s v="POS"/>
    <n v="0.25600000000000001"/>
    <n v="195"/>
    <n v="49.92"/>
    <n v="0"/>
    <m/>
    <m/>
    <m/>
    <m/>
    <n v="0"/>
    <n v="0"/>
    <n v="47356.358573026424"/>
  </r>
  <r>
    <d v="2026-02-24T00:00:00"/>
    <x v="4"/>
    <s v="GENÇAY VAZELİN 100 ML"/>
    <m/>
    <x v="5"/>
    <s v="ST00000001358"/>
    <s v="SATIŞ"/>
    <s v="POS"/>
    <n v="1"/>
    <n v="50"/>
    <n v="50"/>
    <n v="0"/>
    <m/>
    <m/>
    <m/>
    <m/>
    <n v="0"/>
    <n v="0"/>
    <n v="47356.358573026424"/>
  </r>
  <r>
    <d v="2026-02-24T00:00:00"/>
    <x v="4"/>
    <s v="BADEM ÇİĞ "/>
    <m/>
    <x v="5"/>
    <s v="ST00000001358"/>
    <s v="SATIŞ"/>
    <s v="POS"/>
    <n v="0.23200000000000001"/>
    <n v="650"/>
    <n v="150.80000000000001"/>
    <n v="0"/>
    <m/>
    <m/>
    <m/>
    <m/>
    <n v="0"/>
    <n v="0"/>
    <n v="47356.358573026424"/>
  </r>
  <r>
    <d v="2026-02-24T00:00:00"/>
    <x v="4"/>
    <s v="DOLMALIK SARI BİBER"/>
    <m/>
    <x v="1"/>
    <s v="ST00000001359"/>
    <s v="SATIŞ"/>
    <s v="NAKİT"/>
    <n v="1"/>
    <n v="230"/>
    <n v="0"/>
    <n v="0"/>
    <m/>
    <m/>
    <m/>
    <m/>
    <n v="230"/>
    <n v="0"/>
    <n v="47586.358573026424"/>
  </r>
  <r>
    <d v="2026-02-24T00:00:00"/>
    <x v="4"/>
    <s v="SOGAY HURMA"/>
    <m/>
    <x v="1"/>
    <s v="ST00000001360"/>
    <s v="SATIŞ"/>
    <s v="NAKİT"/>
    <n v="0.81200000000000006"/>
    <n v="370"/>
    <n v="0"/>
    <n v="0"/>
    <m/>
    <m/>
    <m/>
    <m/>
    <n v="300.44"/>
    <n v="0"/>
    <n v="47886.798573026426"/>
  </r>
  <r>
    <d v="2026-02-24T00:00:00"/>
    <x v="4"/>
    <s v="KARBONAT"/>
    <m/>
    <x v="1"/>
    <s v="ST00000001360"/>
    <s v="SATIŞ"/>
    <s v="NAKİT"/>
    <n v="0.5"/>
    <n v="80"/>
    <n v="0"/>
    <n v="0"/>
    <m/>
    <m/>
    <m/>
    <m/>
    <n v="40"/>
    <n v="0"/>
    <n v="47926.798573026426"/>
  </r>
  <r>
    <d v="2026-02-24T00:00:00"/>
    <x v="4"/>
    <s v="DOLMALIK KURU PATLICAN"/>
    <m/>
    <x v="5"/>
    <s v="ST00000001361"/>
    <s v="SATIŞ"/>
    <s v="POS"/>
    <n v="1"/>
    <n v="250"/>
    <n v="250"/>
    <n v="0"/>
    <m/>
    <m/>
    <m/>
    <m/>
    <n v="0"/>
    <n v="0"/>
    <n v="47926.798573026426"/>
  </r>
  <r>
    <d v="2026-02-24T00:00:00"/>
    <x v="4"/>
    <s v="DOLMALIK KURU ACI BİBER"/>
    <m/>
    <x v="5"/>
    <s v="ST00000001361"/>
    <s v="SATIŞ"/>
    <s v="POS"/>
    <n v="1"/>
    <n v="230"/>
    <n v="230"/>
    <n v="0"/>
    <m/>
    <m/>
    <m/>
    <m/>
    <n v="0"/>
    <n v="0"/>
    <n v="47926.798573026426"/>
  </r>
  <r>
    <d v="2026-02-24T00:00:00"/>
    <x v="4"/>
    <s v="İSOT"/>
    <m/>
    <x v="5"/>
    <s v="ST00000001362"/>
    <s v="SATIŞ"/>
    <s v="POS"/>
    <n v="9.2499999999999999E-2"/>
    <n v="400"/>
    <n v="37"/>
    <n v="0"/>
    <m/>
    <m/>
    <m/>
    <m/>
    <n v="0"/>
    <n v="0"/>
    <n v="47926.798573026426"/>
  </r>
  <r>
    <d v="2026-02-24T00:00:00"/>
    <x v="4"/>
    <s v="DOLMALIK SARI BİBER"/>
    <m/>
    <x v="5"/>
    <s v="ST00000001363"/>
    <s v="SATIŞ"/>
    <s v="POS"/>
    <n v="1"/>
    <n v="230"/>
    <n v="230"/>
    <n v="0"/>
    <m/>
    <m/>
    <m/>
    <m/>
    <n v="0"/>
    <n v="0"/>
    <n v="47926.798573026426"/>
  </r>
  <r>
    <d v="2026-02-24T00:00:00"/>
    <x v="4"/>
    <s v="DOLMALIK KURU PATLICAN"/>
    <m/>
    <x v="5"/>
    <s v="ST00000001363"/>
    <s v="SATIŞ"/>
    <s v="POS"/>
    <n v="1"/>
    <n v="250"/>
    <n v="250"/>
    <n v="0"/>
    <m/>
    <m/>
    <m/>
    <m/>
    <n v="0"/>
    <n v="0"/>
    <n v="47926.798573026426"/>
  </r>
  <r>
    <d v="2026-02-24T00:00:00"/>
    <x v="4"/>
    <s v="MECİTEFENDİ LAVANTA ŞAMPUANI 400 ML"/>
    <m/>
    <x v="1"/>
    <s v="ST00000001364"/>
    <s v="SATIŞ"/>
    <s v="NAKİT"/>
    <n v="1"/>
    <n v="220"/>
    <n v="0"/>
    <n v="0"/>
    <m/>
    <m/>
    <m/>
    <m/>
    <n v="220"/>
    <n v="0"/>
    <n v="48146.798573026426"/>
  </r>
  <r>
    <d v="2026-02-24T00:00:00"/>
    <x v="4"/>
    <s v="ÇÖREKOTU"/>
    <m/>
    <x v="1"/>
    <s v="ST00000001364"/>
    <s v="SATIŞ"/>
    <s v="NAKİT"/>
    <n v="0.1"/>
    <n v="400"/>
    <n v="0"/>
    <n v="0"/>
    <m/>
    <m/>
    <m/>
    <m/>
    <n v="40"/>
    <n v="0"/>
    <n v="48186.798573026426"/>
  </r>
  <r>
    <d v="2026-02-24T00:00:00"/>
    <x v="4"/>
    <s v="REZENE"/>
    <m/>
    <x v="1"/>
    <s v="ST00000001364"/>
    <s v="SATIŞ"/>
    <s v="NAKİT"/>
    <n v="0.05"/>
    <n v="900"/>
    <n v="0"/>
    <n v="0"/>
    <m/>
    <m/>
    <m/>
    <m/>
    <n v="45"/>
    <n v="0"/>
    <n v="48231.798573026426"/>
  </r>
  <r>
    <d v="2026-02-24T00:00:00"/>
    <x v="4"/>
    <s v="SALÇA ACI (EV YAPIMI)"/>
    <m/>
    <x v="5"/>
    <s v="ST00000001365"/>
    <s v="SATIŞ"/>
    <s v="POS"/>
    <n v="2"/>
    <n v="200"/>
    <n v="400"/>
    <n v="0"/>
    <m/>
    <m/>
    <m/>
    <m/>
    <n v="0"/>
    <n v="0"/>
    <n v="48231.798573026426"/>
  </r>
  <r>
    <d v="2026-02-24T00:00:00"/>
    <x v="4"/>
    <s v="DOLMALIK KURU PATLICAN"/>
    <m/>
    <x v="1"/>
    <s v="ST00000001366"/>
    <s v="SATIŞ"/>
    <s v="NAKİT"/>
    <n v="0.5"/>
    <n v="250"/>
    <n v="0"/>
    <n v="0"/>
    <m/>
    <m/>
    <m/>
    <m/>
    <n v="125"/>
    <n v="0"/>
    <n v="48356.798573026426"/>
  </r>
  <r>
    <d v="2026-02-24T00:00:00"/>
    <x v="4"/>
    <s v="DOLMALIK SARI BİBER"/>
    <m/>
    <x v="1"/>
    <s v="ST00000001366"/>
    <s v="SATIŞ"/>
    <s v="NAKİT"/>
    <n v="0.5"/>
    <n v="230"/>
    <n v="0"/>
    <n v="0"/>
    <m/>
    <m/>
    <m/>
    <m/>
    <n v="115"/>
    <n v="0"/>
    <n v="48471.798573026426"/>
  </r>
  <r>
    <d v="2026-02-24T00:00:00"/>
    <x v="4"/>
    <s v="SALÇA TATLI (EV YAPIMI)"/>
    <m/>
    <x v="1"/>
    <s v="ST00000001366"/>
    <s v="SATIŞ"/>
    <s v="NAKİT"/>
    <n v="1"/>
    <n v="200"/>
    <n v="0"/>
    <n v="0"/>
    <m/>
    <m/>
    <m/>
    <m/>
    <n v="200"/>
    <n v="0"/>
    <n v="48671.798573026426"/>
  </r>
  <r>
    <d v="2026-02-24T00:00:00"/>
    <x v="4"/>
    <s v="DOLMALIK KURU PATLICAN"/>
    <m/>
    <x v="1"/>
    <s v="ST00000001367"/>
    <s v="SATIŞ"/>
    <s v="NAKİT"/>
    <n v="0.5"/>
    <n v="250"/>
    <n v="0"/>
    <n v="0"/>
    <m/>
    <m/>
    <m/>
    <m/>
    <n v="125"/>
    <n v="0"/>
    <n v="48796.798573026426"/>
  </r>
  <r>
    <d v="2026-02-24T00:00:00"/>
    <x v="4"/>
    <s v="DOLMALIK SARI BİBER"/>
    <m/>
    <x v="1"/>
    <s v="ST00000001367"/>
    <s v="SATIŞ"/>
    <s v="NAKİT"/>
    <n v="0.5"/>
    <n v="230"/>
    <n v="0"/>
    <n v="0"/>
    <m/>
    <m/>
    <m/>
    <m/>
    <n v="115"/>
    <n v="0"/>
    <n v="48911.798573026426"/>
  </r>
  <r>
    <d v="2026-02-24T00:00:00"/>
    <x v="4"/>
    <s v="YENİBAHAR TOZ"/>
    <m/>
    <x v="1"/>
    <s v="ST00000001367"/>
    <s v="SATIŞ"/>
    <s v="NAKİT"/>
    <n v="4.6753246753246755E-2"/>
    <n v="770"/>
    <n v="0"/>
    <n v="0"/>
    <m/>
    <m/>
    <m/>
    <m/>
    <n v="36"/>
    <n v="0"/>
    <n v="48947.798573026426"/>
  </r>
  <r>
    <d v="2026-02-24T00:00:00"/>
    <x v="4"/>
    <s v="SUSAM SİMİTLİK"/>
    <m/>
    <x v="1"/>
    <s v="ST00000001367"/>
    <s v="SATIŞ"/>
    <s v="NAKİT"/>
    <n v="0.1"/>
    <n v="400"/>
    <n v="0"/>
    <n v="0"/>
    <m/>
    <m/>
    <m/>
    <m/>
    <n v="40"/>
    <n v="0"/>
    <n v="48987.798573026426"/>
  </r>
  <r>
    <d v="2026-02-24T00:00:00"/>
    <x v="4"/>
    <s v="TOZ BİBER - TATLI"/>
    <m/>
    <x v="1"/>
    <s v="ST00000001367"/>
    <s v="SATIŞ"/>
    <s v="NAKİT"/>
    <n v="9.7500000000000003E-2"/>
    <n v="400"/>
    <n v="0"/>
    <n v="0"/>
    <m/>
    <m/>
    <m/>
    <m/>
    <n v="39"/>
    <n v="0"/>
    <n v="49026.798573026426"/>
  </r>
  <r>
    <d v="2026-02-24T00:00:00"/>
    <x v="4"/>
    <s v="MOR REYHAN"/>
    <m/>
    <x v="5"/>
    <s v="ST00000001368"/>
    <s v="SATIŞ"/>
    <s v="POS"/>
    <n v="0.05"/>
    <n v="1500"/>
    <n v="75"/>
    <n v="0"/>
    <m/>
    <m/>
    <m/>
    <m/>
    <n v="0"/>
    <n v="0"/>
    <n v="49026.798573026426"/>
  </r>
  <r>
    <d v="2026-02-24T00:00:00"/>
    <x v="4"/>
    <s v="EL-RUHA ÇAY (AÇIK)"/>
    <m/>
    <x v="1"/>
    <s v="ST00000001369"/>
    <s v="SATIŞ"/>
    <s v="NAKİT"/>
    <n v="1"/>
    <n v="600"/>
    <n v="0"/>
    <n v="0"/>
    <m/>
    <m/>
    <m/>
    <m/>
    <n v="600"/>
    <n v="0"/>
    <n v="49626.798573026426"/>
  </r>
  <r>
    <d v="2026-02-24T00:00:00"/>
    <x v="4"/>
    <s v="DOLMALIK KURU PATLICAN"/>
    <m/>
    <x v="1"/>
    <s v="ST00000001370"/>
    <s v="SATIŞ"/>
    <s v="NAKİT"/>
    <n v="0.5"/>
    <n v="250"/>
    <n v="0"/>
    <n v="0"/>
    <m/>
    <m/>
    <m/>
    <m/>
    <n v="125"/>
    <n v="0"/>
    <n v="49751.798573026426"/>
  </r>
  <r>
    <d v="2026-02-24T00:00:00"/>
    <x v="4"/>
    <s v="DOLMALIK SARI BİBER"/>
    <m/>
    <x v="1"/>
    <s v="ST00000001370"/>
    <s v="SATIŞ"/>
    <s v="NAKİT"/>
    <n v="0.5"/>
    <n v="230"/>
    <n v="0"/>
    <n v="0"/>
    <m/>
    <m/>
    <m/>
    <m/>
    <n v="115"/>
    <n v="0"/>
    <n v="49866.798573026426"/>
  </r>
  <r>
    <d v="2026-02-24T00:00:00"/>
    <x v="4"/>
    <s v="NATTE LEZZET SOSU 980 GR"/>
    <m/>
    <x v="1"/>
    <s v="ST00000001370"/>
    <s v="SATIŞ"/>
    <s v="NAKİT"/>
    <n v="1"/>
    <n v="100"/>
    <n v="0"/>
    <n v="0"/>
    <m/>
    <m/>
    <m/>
    <m/>
    <n v="100"/>
    <n v="0"/>
    <n v="49966.798573026426"/>
  </r>
  <r>
    <d v="2026-02-24T00:00:00"/>
    <x v="4"/>
    <s v="EVLİK BİBER"/>
    <m/>
    <x v="1"/>
    <s v="ST00000001370"/>
    <s v="SATIŞ"/>
    <s v="NAKİT"/>
    <n v="0.12"/>
    <n v="400"/>
    <n v="0"/>
    <n v="0"/>
    <m/>
    <m/>
    <m/>
    <m/>
    <n v="48"/>
    <n v="0"/>
    <n v="50014.798573026426"/>
  </r>
  <r>
    <d v="2026-02-24T00:00:00"/>
    <x v="4"/>
    <s v="MOR REYHAN"/>
    <m/>
    <x v="5"/>
    <s v="ST00000001371"/>
    <s v="SATIŞ"/>
    <s v="POS"/>
    <n v="0.05"/>
    <n v="1500"/>
    <n v="75"/>
    <n v="0"/>
    <m/>
    <m/>
    <m/>
    <m/>
    <n v="0"/>
    <n v="0"/>
    <n v="50014.798573026426"/>
  </r>
  <r>
    <d v="2026-02-24T00:00:00"/>
    <x v="4"/>
    <s v="HİBİSKUS"/>
    <m/>
    <x v="5"/>
    <s v="ST00000001371"/>
    <s v="SATIŞ"/>
    <s v="POS"/>
    <n v="0.1"/>
    <n v="600"/>
    <n v="60"/>
    <n v="0"/>
    <m/>
    <m/>
    <m/>
    <m/>
    <n v="0"/>
    <n v="0"/>
    <n v="50014.798573026426"/>
  </r>
  <r>
    <d v="2026-02-24T00:00:00"/>
    <x v="4"/>
    <s v="MANİSA YAPRAK DÖKME"/>
    <m/>
    <x v="5"/>
    <s v="ST00000001371"/>
    <s v="SATIŞ"/>
    <s v="POS"/>
    <n v="0.5"/>
    <n v="300"/>
    <n v="150"/>
    <n v="0"/>
    <m/>
    <m/>
    <m/>
    <m/>
    <n v="0"/>
    <n v="0"/>
    <n v="50014.798573026426"/>
  </r>
  <r>
    <d v="2026-02-24T00:00:00"/>
    <x v="4"/>
    <s v="YENİBAHAR TOZ"/>
    <m/>
    <x v="5"/>
    <s v="ST00000001372"/>
    <s v="SATIŞ"/>
    <s v="POS"/>
    <n v="0.32"/>
    <n v="770"/>
    <n v="246.4"/>
    <n v="0"/>
    <m/>
    <m/>
    <m/>
    <m/>
    <n v="0"/>
    <n v="0"/>
    <n v="50014.798573026426"/>
  </r>
  <r>
    <d v="2026-02-24T00:00:00"/>
    <x v="4"/>
    <s v="ZERDEÇAL TOZ"/>
    <m/>
    <x v="1"/>
    <s v="ST00000001373"/>
    <s v="SATIŞ - BAHAR"/>
    <s v="NAKİT"/>
    <n v="0.2"/>
    <n v="300"/>
    <n v="0"/>
    <n v="0"/>
    <m/>
    <m/>
    <m/>
    <m/>
    <n v="60"/>
    <n v="0"/>
    <n v="50074.798573026426"/>
  </r>
  <r>
    <d v="2026-02-24T00:00:00"/>
    <x v="4"/>
    <s v="KARANFİL"/>
    <m/>
    <x v="1"/>
    <s v="ST00000001373"/>
    <s v="SATIŞ - BAHAR"/>
    <s v="NAKİT"/>
    <n v="0.1"/>
    <n v="1200"/>
    <n v="0"/>
    <n v="0"/>
    <m/>
    <m/>
    <m/>
    <m/>
    <n v="120"/>
    <n v="0"/>
    <n v="50194.798573026426"/>
  </r>
  <r>
    <d v="2026-02-24T00:00:00"/>
    <x v="4"/>
    <s v="GÜNGÖR 5 LT SU"/>
    <m/>
    <x v="1"/>
    <s v="ST00000001391"/>
    <s v="SATIŞ"/>
    <s v="NAKİT"/>
    <n v="4"/>
    <n v="30"/>
    <n v="0"/>
    <n v="0"/>
    <m/>
    <m/>
    <m/>
    <m/>
    <n v="120"/>
    <n v="0"/>
    <n v="50314.798573026426"/>
  </r>
  <r>
    <d v="2026-02-24T00:00:00"/>
    <x v="4"/>
    <s v="SALÇA TATLI (EV YAPIMI)"/>
    <m/>
    <x v="13"/>
    <s v="ST00000001391"/>
    <s v="SATIŞ - TOPTAN"/>
    <s v="CARİ"/>
    <n v="19.350000000000001"/>
    <n v="144.7028"/>
    <n v="2800"/>
    <n v="0"/>
    <m/>
    <m/>
    <m/>
    <m/>
    <n v="0"/>
    <n v="0"/>
    <n v="50314.798573026426"/>
  </r>
  <r>
    <d v="2026-02-24T00:00:00"/>
    <x v="4"/>
    <s v="KAJUN BAHARATI - CAJUN SEASONING 1000 GR"/>
    <m/>
    <x v="13"/>
    <s v="ST00000001391"/>
    <s v="SATIŞ - TOPTAN"/>
    <s v="CARİ"/>
    <n v="3"/>
    <n v="375"/>
    <n v="1125"/>
    <n v="0"/>
    <m/>
    <m/>
    <m/>
    <m/>
    <n v="0"/>
    <n v="0"/>
    <n v="50314.798573026426"/>
  </r>
  <r>
    <d v="2026-02-24T00:00:00"/>
    <x v="4"/>
    <s v="GÜNAYDIN KAYA TUZU İNCE"/>
    <m/>
    <x v="13"/>
    <s v="ST00000001391"/>
    <s v="SATIŞ - TOPTAN"/>
    <s v="CARİ"/>
    <n v="25"/>
    <n v="30"/>
    <n v="750"/>
    <n v="0"/>
    <m/>
    <m/>
    <m/>
    <m/>
    <n v="0"/>
    <n v="0"/>
    <n v="50314.798573026426"/>
  </r>
  <r>
    <d v="2026-02-24T00:00:00"/>
    <x v="1"/>
    <m/>
    <s v="AMBALAJ GİDERLERİ"/>
    <x v="2"/>
    <m/>
    <s v="AFİLLİ AMBALAJ - KÜÇÜK ATLET POŞET"/>
    <s v="K.K."/>
    <n v="10"/>
    <n v="84"/>
    <n v="0"/>
    <n v="840"/>
    <m/>
    <m/>
    <m/>
    <m/>
    <n v="0"/>
    <n v="0"/>
    <n v="50314.798573026426"/>
  </r>
  <r>
    <d v="2026-02-24T00:00:00"/>
    <x v="10"/>
    <m/>
    <m/>
    <x v="5"/>
    <m/>
    <s v="POS ÇÖZÜMÜ"/>
    <s v="POS"/>
    <n v="1"/>
    <n v="724"/>
    <n v="0"/>
    <n v="724"/>
    <m/>
    <m/>
    <m/>
    <m/>
    <n v="724"/>
    <n v="0"/>
    <n v="51038.798573026426"/>
  </r>
  <r>
    <d v="2026-02-25T00:00:00"/>
    <x v="4"/>
    <s v="YALÇINKAYA DOMATES SALÇASI"/>
    <m/>
    <x v="1"/>
    <s v="ST00000001374"/>
    <s v="SATIŞ"/>
    <s v="NAKİT"/>
    <n v="1"/>
    <n v="150"/>
    <n v="0"/>
    <n v="0"/>
    <m/>
    <m/>
    <m/>
    <m/>
    <n v="150"/>
    <n v="0"/>
    <n v="51188.798573026426"/>
  </r>
  <r>
    <d v="2026-02-25T00:00:00"/>
    <x v="4"/>
    <s v="MİNDİVAN ÇÖREK OTU YAĞI KAPSÜL"/>
    <m/>
    <x v="1"/>
    <s v="ST00000001375"/>
    <s v="SATIŞ"/>
    <s v="NAKİT"/>
    <n v="1"/>
    <n v="390"/>
    <n v="0"/>
    <n v="0"/>
    <m/>
    <m/>
    <m/>
    <m/>
    <n v="390"/>
    <n v="0"/>
    <n v="51578.798573026426"/>
  </r>
  <r>
    <d v="2026-02-25T00:00:00"/>
    <x v="4"/>
    <s v="AÇIK KAYISI İRİ (SARI)"/>
    <m/>
    <x v="1"/>
    <s v="ST00000001376"/>
    <s v="SATIŞ"/>
    <s v="NAKİT"/>
    <n v="0.218"/>
    <n v="550"/>
    <n v="0"/>
    <n v="0"/>
    <m/>
    <m/>
    <m/>
    <m/>
    <n v="119.9"/>
    <n v="0"/>
    <n v="51698.698573026428"/>
  </r>
  <r>
    <d v="2026-02-25T00:00:00"/>
    <x v="4"/>
    <s v="EL-RUHA ÇAY (AÇIK)"/>
    <m/>
    <x v="5"/>
    <s v="ST00000001377"/>
    <s v="SATIŞ"/>
    <s v="POS"/>
    <n v="0.16666666666666666"/>
    <n v="600"/>
    <n v="100"/>
    <n v="0"/>
    <m/>
    <m/>
    <m/>
    <m/>
    <n v="0"/>
    <n v="0"/>
    <n v="51698.698573026428"/>
  </r>
  <r>
    <d v="2026-02-25T00:00:00"/>
    <x v="4"/>
    <s v="DOLMALIK KURU PATLICAN"/>
    <m/>
    <x v="1"/>
    <s v="ST00000001378"/>
    <s v="SATIŞ"/>
    <s v="NAKİT"/>
    <n v="1"/>
    <n v="250"/>
    <n v="0"/>
    <n v="0"/>
    <m/>
    <m/>
    <m/>
    <m/>
    <n v="250"/>
    <n v="0"/>
    <n v="51948.698573026428"/>
  </r>
  <r>
    <d v="2026-02-25T00:00:00"/>
    <x v="4"/>
    <s v="ISIRGAN YAPRAĞI"/>
    <m/>
    <x v="1"/>
    <s v="ST00000001379"/>
    <s v="SATIŞ"/>
    <s v="NAKİT"/>
    <n v="2.8571428571428571E-2"/>
    <n v="1400"/>
    <n v="0"/>
    <n v="0"/>
    <m/>
    <m/>
    <m/>
    <m/>
    <n v="40"/>
    <n v="0"/>
    <n v="51988.698573026428"/>
  </r>
  <r>
    <d v="2026-02-25T00:00:00"/>
    <x v="4"/>
    <s v="KARANFİL"/>
    <m/>
    <x v="1"/>
    <s v="ST00000001379"/>
    <s v="SATIŞ"/>
    <s v="NAKİT"/>
    <n v="0.05"/>
    <n v="1200"/>
    <n v="0"/>
    <n v="0"/>
    <m/>
    <m/>
    <m/>
    <m/>
    <n v="60"/>
    <n v="0"/>
    <n v="52048.698573026428"/>
  </r>
  <r>
    <d v="2026-02-25T00:00:00"/>
    <x v="4"/>
    <s v="KEKİK LÜX"/>
    <m/>
    <x v="5"/>
    <s v="ST00000001380"/>
    <s v="SATIŞ"/>
    <s v="POS"/>
    <n v="0.26666666666666666"/>
    <n v="750"/>
    <n v="200"/>
    <n v="0"/>
    <m/>
    <m/>
    <m/>
    <m/>
    <n v="0"/>
    <n v="0"/>
    <n v="52048.698573026428"/>
  </r>
  <r>
    <d v="2026-02-25T00:00:00"/>
    <x v="4"/>
    <s v="TOZ BİBER - TATLI"/>
    <m/>
    <x v="5"/>
    <s v="ST00000001380"/>
    <s v="SATIŞ"/>
    <s v="POS"/>
    <n v="0.25750000000000001"/>
    <n v="400"/>
    <n v="103"/>
    <n v="0"/>
    <m/>
    <m/>
    <m/>
    <m/>
    <n v="0"/>
    <n v="0"/>
    <n v="52048.698573026428"/>
  </r>
  <r>
    <d v="2026-02-25T00:00:00"/>
    <x v="4"/>
    <s v="EVLİK BİBER"/>
    <m/>
    <x v="5"/>
    <s v="ST00000001380"/>
    <s v="SATIŞ"/>
    <s v="POS"/>
    <n v="0.35499999999999998"/>
    <n v="400"/>
    <n v="142"/>
    <n v="0"/>
    <m/>
    <m/>
    <m/>
    <m/>
    <n v="0"/>
    <n v="0"/>
    <n v="52048.698573026428"/>
  </r>
  <r>
    <d v="2026-02-25T00:00:00"/>
    <x v="4"/>
    <s v="İPEK BİBER"/>
    <m/>
    <x v="5"/>
    <s v="ST00000001381"/>
    <s v="SATIŞ"/>
    <s v="POS"/>
    <n v="0.2"/>
    <n v="500"/>
    <n v="100"/>
    <n v="0"/>
    <m/>
    <m/>
    <m/>
    <m/>
    <n v="0"/>
    <n v="0"/>
    <n v="52048.698573026428"/>
  </r>
  <r>
    <d v="2026-02-25T00:00:00"/>
    <x v="4"/>
    <s v="KİMYON ÇEKİLMİŞ"/>
    <m/>
    <x v="5"/>
    <s v="ST00000001381"/>
    <s v="SATIŞ"/>
    <s v="POS"/>
    <n v="0.125"/>
    <n v="400"/>
    <n v="50"/>
    <n v="0"/>
    <m/>
    <m/>
    <m/>
    <m/>
    <n v="0"/>
    <n v="0"/>
    <n v="52048.698573026428"/>
  </r>
  <r>
    <d v="2026-02-25T00:00:00"/>
    <x v="4"/>
    <s v="ZERDEÇAL TOZ"/>
    <m/>
    <x v="5"/>
    <s v="ST00000001381"/>
    <s v="SATIŞ"/>
    <s v="POS"/>
    <n v="0.16666666666666666"/>
    <n v="300"/>
    <n v="50"/>
    <n v="0"/>
    <m/>
    <m/>
    <m/>
    <m/>
    <n v="0"/>
    <n v="0"/>
    <n v="52048.698573026428"/>
  </r>
  <r>
    <d v="2026-02-25T00:00:00"/>
    <x v="4"/>
    <s v="ZENCEFİL TOZ"/>
    <m/>
    <x v="5"/>
    <s v="ST00000001381"/>
    <s v="SATIŞ"/>
    <s v="POS"/>
    <n v="0.125"/>
    <n v="400"/>
    <n v="50"/>
    <n v="0"/>
    <m/>
    <m/>
    <m/>
    <m/>
    <n v="0"/>
    <n v="0"/>
    <n v="52048.698573026428"/>
  </r>
  <r>
    <d v="2026-02-25T00:00:00"/>
    <x v="4"/>
    <s v="ÇUBUK TARÇIN"/>
    <m/>
    <x v="5"/>
    <s v="ST00000001381"/>
    <s v="SATIŞ"/>
    <s v="POS"/>
    <n v="0.1"/>
    <n v="600"/>
    <n v="60"/>
    <n v="0"/>
    <m/>
    <m/>
    <m/>
    <m/>
    <n v="0"/>
    <n v="0"/>
    <n v="52048.698573026428"/>
  </r>
  <r>
    <d v="2026-02-25T00:00:00"/>
    <x v="4"/>
    <s v="KARANFİL"/>
    <m/>
    <x v="5"/>
    <s v="ST00000001381"/>
    <s v="SATIŞ"/>
    <s v="POS"/>
    <n v="0.05"/>
    <n v="1200"/>
    <n v="60"/>
    <n v="0"/>
    <m/>
    <m/>
    <m/>
    <m/>
    <n v="0"/>
    <n v="0"/>
    <n v="52048.698573026428"/>
  </r>
  <r>
    <d v="2026-02-25T00:00:00"/>
    <x v="4"/>
    <s v="SALÇA ACI (EV YAPIMI)"/>
    <m/>
    <x v="5"/>
    <s v="ST00000001381"/>
    <s v="SATIŞ"/>
    <s v="POS"/>
    <n v="0.5"/>
    <n v="200"/>
    <n v="100"/>
    <n v="0"/>
    <m/>
    <m/>
    <m/>
    <m/>
    <n v="0"/>
    <n v="0"/>
    <n v="52048.698573026428"/>
  </r>
  <r>
    <d v="2026-02-25T00:00:00"/>
    <x v="4"/>
    <s v="MANİSA YAPRAK DÖKME"/>
    <m/>
    <x v="5"/>
    <s v="ST00000001382"/>
    <s v="SATIŞ"/>
    <s v="POS"/>
    <n v="0.5"/>
    <n v="300"/>
    <n v="150"/>
    <n v="0"/>
    <m/>
    <m/>
    <m/>
    <m/>
    <n v="0"/>
    <n v="0"/>
    <n v="52048.698573026428"/>
  </r>
  <r>
    <d v="2026-02-25T00:00:00"/>
    <x v="4"/>
    <s v="ÇUBUK TARÇIN"/>
    <m/>
    <x v="5"/>
    <s v="ST00000001383"/>
    <s v="SATIŞ"/>
    <s v="POS"/>
    <n v="0.1"/>
    <n v="600"/>
    <n v="60"/>
    <n v="0"/>
    <m/>
    <m/>
    <m/>
    <m/>
    <n v="0"/>
    <n v="0"/>
    <n v="52048.698573026428"/>
  </r>
  <r>
    <d v="2026-02-25T00:00:00"/>
    <x v="4"/>
    <s v="KARANFİL"/>
    <m/>
    <x v="5"/>
    <s v="ST00000001383"/>
    <s v="SATIŞ"/>
    <s v="POS"/>
    <n v="0.05"/>
    <n v="1200"/>
    <n v="60"/>
    <n v="0"/>
    <m/>
    <m/>
    <m/>
    <m/>
    <n v="0"/>
    <n v="0"/>
    <n v="52048.698573026428"/>
  </r>
  <r>
    <d v="2026-02-25T00:00:00"/>
    <x v="4"/>
    <s v="ZÜHRE ANA BROMELAİN ANANAS İÇEREN DETOX ŞURUBU 250 ML"/>
    <m/>
    <x v="5"/>
    <s v="ST00000001384"/>
    <s v="SATIŞ"/>
    <s v="POS"/>
    <n v="1"/>
    <n v="250"/>
    <n v="250"/>
    <n v="0"/>
    <m/>
    <m/>
    <m/>
    <m/>
    <n v="0"/>
    <n v="0"/>
    <n v="52048.698573026428"/>
  </r>
  <r>
    <d v="2026-02-25T00:00:00"/>
    <x v="4"/>
    <s v="MİNDİVAN ATOM ÇAYI"/>
    <m/>
    <x v="5"/>
    <s v="ST00000001384"/>
    <s v="SATIŞ"/>
    <s v="POS"/>
    <n v="1"/>
    <n v="100"/>
    <n v="100"/>
    <n v="0"/>
    <m/>
    <m/>
    <m/>
    <m/>
    <n v="0"/>
    <n v="0"/>
    <n v="52048.698573026428"/>
  </r>
  <r>
    <d v="2026-02-25T00:00:00"/>
    <x v="4"/>
    <s v="DOLMALIK KURU KABAK"/>
    <m/>
    <x v="5"/>
    <s v="ST00000001385"/>
    <s v="SATIŞ"/>
    <s v="POS"/>
    <n v="1"/>
    <n v="250"/>
    <n v="250"/>
    <n v="0"/>
    <m/>
    <m/>
    <m/>
    <m/>
    <n v="0"/>
    <n v="0"/>
    <n v="52048.698573026428"/>
  </r>
  <r>
    <d v="2026-02-25T00:00:00"/>
    <x v="4"/>
    <s v="DOLMALIK KURU PATLICAN"/>
    <m/>
    <x v="5"/>
    <s v="ST00000001385"/>
    <s v="SATIŞ"/>
    <s v="POS"/>
    <n v="1"/>
    <n v="250"/>
    <n v="250"/>
    <n v="0"/>
    <m/>
    <m/>
    <m/>
    <m/>
    <n v="0"/>
    <n v="0"/>
    <n v="52048.698573026428"/>
  </r>
  <r>
    <d v="2026-02-25T00:00:00"/>
    <x v="4"/>
    <s v="DOMATES SALÇASI"/>
    <m/>
    <x v="1"/>
    <s v="ST00000001386"/>
    <s v="SATIŞ"/>
    <s v="NAKİT"/>
    <n v="2"/>
    <n v="125"/>
    <n v="0"/>
    <n v="0"/>
    <m/>
    <m/>
    <m/>
    <m/>
    <n v="250"/>
    <n v="0"/>
    <n v="52298.698573026428"/>
  </r>
  <r>
    <d v="2026-02-25T00:00:00"/>
    <x v="4"/>
    <s v="SALÇA TATLI (EV YAPIMI)"/>
    <m/>
    <x v="1"/>
    <s v="ST00000001386"/>
    <s v="SATIŞ"/>
    <s v="NAKİT"/>
    <n v="0.5"/>
    <n v="200"/>
    <n v="0"/>
    <n v="0"/>
    <m/>
    <m/>
    <m/>
    <m/>
    <n v="100"/>
    <n v="0"/>
    <n v="52398.698573026428"/>
  </r>
  <r>
    <d v="2026-02-25T00:00:00"/>
    <x v="4"/>
    <s v="SALÇA ACI (EV YAPIMI)"/>
    <m/>
    <x v="1"/>
    <s v="ST00000001386"/>
    <s v="SATIŞ"/>
    <s v="NAKİT"/>
    <n v="0.5"/>
    <n v="200"/>
    <n v="0"/>
    <n v="0"/>
    <m/>
    <m/>
    <m/>
    <m/>
    <n v="100"/>
    <n v="0"/>
    <n v="52498.698573026428"/>
  </r>
  <r>
    <d v="2026-02-25T00:00:00"/>
    <x v="4"/>
    <s v="İPEK BİBER"/>
    <m/>
    <x v="1"/>
    <s v="ST00000001387"/>
    <s v="SATIŞ"/>
    <s v="NAKİT"/>
    <n v="0.15"/>
    <n v="500"/>
    <n v="0"/>
    <n v="0"/>
    <m/>
    <m/>
    <m/>
    <m/>
    <n v="75"/>
    <n v="0"/>
    <n v="52573.698573026428"/>
  </r>
  <r>
    <d v="2026-02-25T00:00:00"/>
    <x v="4"/>
    <s v="MOR REYHAN"/>
    <m/>
    <x v="5"/>
    <s v="ST00000001388"/>
    <s v="SATIŞ"/>
    <s v="POS"/>
    <n v="0.05"/>
    <n v="1500"/>
    <n v="75"/>
    <n v="0"/>
    <m/>
    <m/>
    <m/>
    <m/>
    <n v="0"/>
    <n v="0"/>
    <n v="52573.698573026428"/>
  </r>
  <r>
    <d v="2026-02-25T00:00:00"/>
    <x v="4"/>
    <s v="GENÇAY ELMA SİRKESİ 500 CC"/>
    <m/>
    <x v="1"/>
    <s v="ST00000001389"/>
    <s v="SATIŞ"/>
    <s v="NAKİT"/>
    <n v="1"/>
    <n v="140"/>
    <n v="0"/>
    <n v="0"/>
    <m/>
    <m/>
    <m/>
    <m/>
    <n v="140"/>
    <n v="0"/>
    <n v="52713.698573026428"/>
  </r>
  <r>
    <d v="2026-02-25T00:00:00"/>
    <x v="4"/>
    <s v="GENÇAY ALIÇ SİRKESİ 500 CC"/>
    <m/>
    <x v="1"/>
    <s v="ST00000001389"/>
    <s v="SATIŞ"/>
    <s v="NAKİT"/>
    <n v="1"/>
    <n v="140"/>
    <n v="0"/>
    <n v="0"/>
    <m/>
    <m/>
    <m/>
    <m/>
    <n v="140"/>
    <n v="0"/>
    <n v="52853.698573026428"/>
  </r>
  <r>
    <d v="2026-02-25T00:00:00"/>
    <x v="4"/>
    <s v="PİLAVLIK BULGUR"/>
    <m/>
    <x v="1"/>
    <s v="ST00000001389"/>
    <s v="SATIŞ"/>
    <s v="NAKİT"/>
    <n v="2.3519999999999999"/>
    <n v="65"/>
    <n v="0"/>
    <n v="0"/>
    <m/>
    <m/>
    <m/>
    <m/>
    <n v="152.88"/>
    <n v="0"/>
    <n v="53006.578573026425"/>
  </r>
  <r>
    <d v="2026-02-25T00:00:00"/>
    <x v="4"/>
    <s v="MECİTEFENDİ MİSVAK ÖZLÜ DOĞAL DİŞ MACUNU 75 ml"/>
    <m/>
    <x v="1"/>
    <s v="ST00000001389"/>
    <s v="SATIŞ"/>
    <s v="NAKİT"/>
    <n v="1"/>
    <n v="130"/>
    <n v="0"/>
    <n v="0"/>
    <m/>
    <m/>
    <m/>
    <m/>
    <n v="130"/>
    <n v="0"/>
    <n v="53136.578573026425"/>
  </r>
  <r>
    <d v="2026-02-25T00:00:00"/>
    <x v="4"/>
    <s v="KARANFİL"/>
    <m/>
    <x v="1"/>
    <s v="ST00000001389"/>
    <s v="SATIŞ"/>
    <s v="NAKİT"/>
    <n v="0.05"/>
    <n v="1200"/>
    <n v="0"/>
    <n v="0"/>
    <m/>
    <m/>
    <m/>
    <m/>
    <n v="60"/>
    <n v="0"/>
    <n v="53196.578573026425"/>
  </r>
  <r>
    <d v="2026-02-25T00:00:00"/>
    <x v="4"/>
    <s v="ŞİFAVER GÜL HATAY SABUNU"/>
    <m/>
    <x v="1"/>
    <s v="ST00000001390"/>
    <s v="SATIŞ"/>
    <s v="NAKİT"/>
    <n v="1"/>
    <n v="50"/>
    <n v="0"/>
    <n v="0"/>
    <m/>
    <m/>
    <m/>
    <m/>
    <n v="50"/>
    <n v="0"/>
    <n v="53246.578573026425"/>
  </r>
  <r>
    <d v="2026-02-25T00:00:00"/>
    <x v="7"/>
    <m/>
    <m/>
    <x v="3"/>
    <m/>
    <s v="YALÇINTAT CARİ ÖDEME"/>
    <s v="NAKİT"/>
    <n v="1"/>
    <n v="0"/>
    <n v="25000"/>
    <n v="0"/>
    <m/>
    <m/>
    <m/>
    <m/>
    <n v="0"/>
    <n v="25000"/>
    <n v="28246.578573026425"/>
  </r>
  <r>
    <d v="2026-02-25T00:00:00"/>
    <x v="5"/>
    <m/>
    <m/>
    <x v="3"/>
    <m/>
    <s v="YALÇINTAT - NAKLİYE YANSITMASI"/>
    <s v="CARİ"/>
    <n v="1"/>
    <n v="4500"/>
    <n v="4500"/>
    <n v="0"/>
    <m/>
    <m/>
    <m/>
    <m/>
    <n v="0"/>
    <n v="0"/>
    <n v="28246.578573026425"/>
  </r>
  <r>
    <d v="2026-02-25T00:00:00"/>
    <x v="1"/>
    <m/>
    <s v="YOL GİDERLERİ"/>
    <x v="1"/>
    <m/>
    <s v="SALÇA İADELERİ İÇİN ARAÇ BENZİN"/>
    <s v="NAKİT"/>
    <n v="1"/>
    <n v="280"/>
    <n v="0"/>
    <n v="0"/>
    <m/>
    <m/>
    <m/>
    <m/>
    <n v="0"/>
    <n v="280"/>
    <n v="27966.578573026425"/>
  </r>
  <r>
    <d v="2026-02-25T00:00:00"/>
    <x v="10"/>
    <m/>
    <m/>
    <x v="5"/>
    <m/>
    <s v="POS ÇÖZÜMÜ"/>
    <s v="POS"/>
    <n v="1"/>
    <n v="700"/>
    <n v="0"/>
    <n v="700"/>
    <m/>
    <m/>
    <m/>
    <m/>
    <n v="700"/>
    <n v="0"/>
    <n v="28666.578573026425"/>
  </r>
  <r>
    <d v="2026-02-25T00:00:00"/>
    <x v="10"/>
    <m/>
    <m/>
    <x v="5"/>
    <m/>
    <s v="POS ÇÖZÜMÜ"/>
    <s v="POS"/>
    <n v="1"/>
    <n v="1130"/>
    <n v="0"/>
    <n v="1130"/>
    <m/>
    <m/>
    <m/>
    <m/>
    <n v="1130"/>
    <n v="0"/>
    <n v="29796.578573026425"/>
  </r>
  <r>
    <d v="2026-02-26T00:00:00"/>
    <x v="4"/>
    <s v="DOLMALIK KURU PATLICAN"/>
    <m/>
    <x v="5"/>
    <s v="ST00000001392"/>
    <s v="SATIŞ"/>
    <s v="POS"/>
    <n v="1"/>
    <n v="250"/>
    <n v="250"/>
    <n v="0"/>
    <m/>
    <m/>
    <m/>
    <m/>
    <n v="0"/>
    <n v="0"/>
    <n v="29796.578573026425"/>
  </r>
  <r>
    <d v="2026-02-26T00:00:00"/>
    <x v="4"/>
    <s v="DOLMALIK SARI BİBER"/>
    <m/>
    <x v="5"/>
    <s v="ST00000001392"/>
    <s v="SATIŞ"/>
    <s v="POS"/>
    <n v="1"/>
    <n v="230"/>
    <n v="230"/>
    <n v="0"/>
    <m/>
    <m/>
    <m/>
    <m/>
    <n v="0"/>
    <n v="0"/>
    <n v="29796.578573026425"/>
  </r>
  <r>
    <d v="2026-02-26T00:00:00"/>
    <x v="4"/>
    <s v="ŞENAY SUMAK EKŞİSİ 600 GR"/>
    <m/>
    <x v="5"/>
    <s v="ST00000001392"/>
    <s v="SATIŞ"/>
    <s v="POS"/>
    <n v="1"/>
    <n v="190"/>
    <n v="190"/>
    <n v="0"/>
    <m/>
    <m/>
    <m/>
    <m/>
    <n v="0"/>
    <n v="0"/>
    <n v="29796.578573026425"/>
  </r>
  <r>
    <d v="2026-02-26T00:00:00"/>
    <x v="4"/>
    <s v="ZÜHRE ANA KARADUT ÖZÜ 670 GR"/>
    <m/>
    <x v="5"/>
    <s v="ST00000001392"/>
    <s v="SATIŞ"/>
    <s v="POS"/>
    <n v="1"/>
    <n v="250"/>
    <n v="250"/>
    <n v="0"/>
    <m/>
    <m/>
    <m/>
    <m/>
    <n v="0"/>
    <n v="0"/>
    <n v="29796.578573026425"/>
  </r>
  <r>
    <d v="2026-02-26T00:00:00"/>
    <x v="4"/>
    <s v="SUMAK"/>
    <m/>
    <x v="5"/>
    <s v="ST00000001392"/>
    <s v="SATIŞ"/>
    <s v="POS"/>
    <n v="9.8000000000000004E-2"/>
    <n v="500"/>
    <n v="49"/>
    <n v="0"/>
    <m/>
    <m/>
    <m/>
    <m/>
    <n v="0"/>
    <n v="0"/>
    <n v="29796.578573026425"/>
  </r>
  <r>
    <d v="2026-02-26T00:00:00"/>
    <x v="4"/>
    <s v="KİMYON ÇEKİLMİŞ"/>
    <m/>
    <x v="5"/>
    <s v="ST00000001392"/>
    <s v="SATIŞ"/>
    <s v="POS"/>
    <n v="0.17"/>
    <n v="400"/>
    <n v="68"/>
    <n v="0"/>
    <m/>
    <m/>
    <m/>
    <m/>
    <n v="0"/>
    <n v="0"/>
    <n v="29796.578573026425"/>
  </r>
  <r>
    <d v="2026-02-26T00:00:00"/>
    <x v="4"/>
    <s v="DOMATES SALÇASI"/>
    <m/>
    <x v="5"/>
    <s v="ST00000001392"/>
    <s v="SATIŞ"/>
    <s v="POS"/>
    <n v="1"/>
    <n v="150"/>
    <n v="150"/>
    <n v="0"/>
    <m/>
    <m/>
    <m/>
    <m/>
    <n v="0"/>
    <n v="0"/>
    <n v="29796.578573026425"/>
  </r>
  <r>
    <d v="2026-02-26T00:00:00"/>
    <x v="4"/>
    <s v="YENİ MAHSÜL PAPATYA"/>
    <m/>
    <x v="5"/>
    <s v="ST00000001392"/>
    <s v="SATIŞ"/>
    <s v="POS"/>
    <n v="0.05"/>
    <n v="1800"/>
    <n v="90"/>
    <n v="0"/>
    <m/>
    <m/>
    <m/>
    <m/>
    <n v="0"/>
    <n v="0"/>
    <n v="29796.578573026425"/>
  </r>
  <r>
    <d v="2026-02-26T00:00:00"/>
    <x v="4"/>
    <s v="KIRMIZI PUL BİBER TATLI"/>
    <m/>
    <x v="1"/>
    <s v="ST00000001393"/>
    <s v="SATIŞ"/>
    <s v="NAKİT"/>
    <n v="0.19444444444444445"/>
    <n v="360"/>
    <n v="0"/>
    <n v="0"/>
    <m/>
    <m/>
    <m/>
    <m/>
    <n v="70"/>
    <n v="0"/>
    <n v="29866.578573026425"/>
  </r>
  <r>
    <d v="2026-02-26T00:00:00"/>
    <x v="4"/>
    <s v="DOLMALIK KURU PATLICAN"/>
    <m/>
    <x v="5"/>
    <s v="ST00000001394"/>
    <s v="SATIŞ"/>
    <s v="POS"/>
    <n v="1"/>
    <n v="250"/>
    <n v="250"/>
    <n v="0"/>
    <m/>
    <m/>
    <m/>
    <m/>
    <n v="0"/>
    <n v="0"/>
    <n v="29866.578573026425"/>
  </r>
  <r>
    <d v="2026-02-26T00:00:00"/>
    <x v="4"/>
    <s v="DOLMALIK KURU KABAK"/>
    <m/>
    <x v="1"/>
    <s v="ST00000001395"/>
    <s v="SATIŞ"/>
    <s v="NAKİT"/>
    <n v="2"/>
    <n v="240"/>
    <n v="0"/>
    <n v="0"/>
    <m/>
    <m/>
    <m/>
    <m/>
    <n v="480"/>
    <n v="0"/>
    <n v="30346.578573026425"/>
  </r>
  <r>
    <d v="2026-02-26T00:00:00"/>
    <x v="4"/>
    <s v="DOLMALIK KURU PATLICAN"/>
    <m/>
    <x v="1"/>
    <s v="ST00000001395"/>
    <s v="SATIŞ"/>
    <s v="NAKİT"/>
    <n v="2"/>
    <n v="240"/>
    <n v="0"/>
    <n v="0"/>
    <m/>
    <m/>
    <m/>
    <m/>
    <n v="480"/>
    <n v="0"/>
    <n v="30826.578573026425"/>
  </r>
  <r>
    <d v="2026-02-26T00:00:00"/>
    <x v="4"/>
    <s v="DOLMALIK SARI BİBER"/>
    <m/>
    <x v="1"/>
    <s v="ST00000001395"/>
    <s v="SATIŞ"/>
    <s v="NAKİT"/>
    <n v="1"/>
    <n v="220"/>
    <n v="0"/>
    <n v="0"/>
    <m/>
    <m/>
    <m/>
    <m/>
    <n v="220"/>
    <n v="0"/>
    <n v="31046.578573026425"/>
  </r>
  <r>
    <d v="2026-02-26T00:00:00"/>
    <x v="4"/>
    <s v="DOLMALIK KURU PATLICAN"/>
    <m/>
    <x v="1"/>
    <s v="ST00000001396"/>
    <s v="SATIŞ"/>
    <s v="NAKİT"/>
    <n v="1"/>
    <n v="250"/>
    <n v="0"/>
    <n v="0"/>
    <m/>
    <m/>
    <m/>
    <m/>
    <n v="250"/>
    <n v="0"/>
    <n v="31296.578573026425"/>
  </r>
  <r>
    <d v="2026-02-26T00:00:00"/>
    <x v="4"/>
    <s v="TOMBUL KESE ORGANİK 500 GR"/>
    <m/>
    <x v="5"/>
    <s v="ST00000001397"/>
    <s v="SATIŞ"/>
    <s v="POS"/>
    <n v="1"/>
    <n v="260"/>
    <n v="260"/>
    <n v="0"/>
    <m/>
    <m/>
    <m/>
    <m/>
    <n v="0"/>
    <n v="0"/>
    <n v="31296.578573026425"/>
  </r>
  <r>
    <d v="2026-02-26T00:00:00"/>
    <x v="4"/>
    <s v="BUĞDAY NİŞASTASI"/>
    <m/>
    <x v="5"/>
    <s v="ST00000001398"/>
    <s v="SATIŞ"/>
    <s v="POS"/>
    <n v="1"/>
    <n v="120"/>
    <n v="120"/>
    <n v="0"/>
    <m/>
    <m/>
    <m/>
    <m/>
    <n v="0"/>
    <n v="0"/>
    <n v="31296.578573026425"/>
  </r>
  <r>
    <d v="2026-02-26T00:00:00"/>
    <x v="4"/>
    <s v="KABUKLU CEVİZ (YERLİ)"/>
    <m/>
    <x v="5"/>
    <s v="ST00000001398"/>
    <s v="SATIŞ"/>
    <s v="POS"/>
    <n v="1"/>
    <n v="250"/>
    <n v="250"/>
    <n v="0"/>
    <m/>
    <m/>
    <m/>
    <m/>
    <n v="0"/>
    <n v="0"/>
    <n v="31296.578573026425"/>
  </r>
  <r>
    <d v="2026-02-26T00:00:00"/>
    <x v="4"/>
    <s v="ÖZBEK ÜZÜMÜ"/>
    <m/>
    <x v="5"/>
    <s v="ST00000001399"/>
    <s v="SATIŞ"/>
    <s v="POS"/>
    <n v="0.44800000000000001"/>
    <n v="550"/>
    <n v="246.4"/>
    <n v="0"/>
    <m/>
    <m/>
    <m/>
    <m/>
    <n v="0"/>
    <n v="0"/>
    <n v="31296.578573026425"/>
  </r>
  <r>
    <d v="2026-02-26T00:00:00"/>
    <x v="4"/>
    <s v="ÇİĞ KABAK ÇEKİRDEĞİ"/>
    <m/>
    <x v="5"/>
    <s v="ST00000001399"/>
    <s v="SATIŞ"/>
    <s v="POS"/>
    <n v="0.28000000000000003"/>
    <n v="430"/>
    <n v="120.4"/>
    <n v="0"/>
    <m/>
    <m/>
    <m/>
    <m/>
    <n v="0"/>
    <n v="0"/>
    <n v="31296.578573026425"/>
  </r>
  <r>
    <d v="2026-02-26T00:00:00"/>
    <x v="4"/>
    <s v="EL-RUHA ÇAY (AÇIK)"/>
    <m/>
    <x v="5"/>
    <s v="ST00000001399"/>
    <s v="SATIŞ"/>
    <s v="POS"/>
    <n v="0.16700000000000001"/>
    <n v="600"/>
    <n v="100.2"/>
    <n v="0"/>
    <m/>
    <m/>
    <m/>
    <m/>
    <n v="0"/>
    <n v="0"/>
    <n v="31296.578573026425"/>
  </r>
  <r>
    <d v="2026-02-26T00:00:00"/>
    <x v="4"/>
    <s v="KARAHALİLE"/>
    <m/>
    <x v="5"/>
    <s v="ST00000001399"/>
    <s v="SATIŞ"/>
    <s v="POS"/>
    <n v="0.1"/>
    <n v="950"/>
    <n v="95"/>
    <n v="0"/>
    <m/>
    <m/>
    <m/>
    <m/>
    <n v="0"/>
    <n v="0"/>
    <n v="31296.578573026425"/>
  </r>
  <r>
    <d v="2026-02-26T00:00:00"/>
    <x v="4"/>
    <s v="KABUKLU CEVİZ (YERLİ)"/>
    <m/>
    <x v="5"/>
    <s v="ST00000001399"/>
    <s v="SATIŞ"/>
    <s v="POS"/>
    <n v="0.5"/>
    <n v="250"/>
    <n v="125"/>
    <n v="0"/>
    <m/>
    <m/>
    <m/>
    <m/>
    <n v="0"/>
    <n v="0"/>
    <n v="31296.578573026425"/>
  </r>
  <r>
    <d v="2026-02-26T00:00:00"/>
    <x v="4"/>
    <s v="KABUKLU CEVİZ (YERLİ)"/>
    <m/>
    <x v="1"/>
    <s v="ST00000001400"/>
    <s v="SATIŞ"/>
    <s v="NAKİT"/>
    <n v="1"/>
    <n v="250"/>
    <n v="0"/>
    <n v="0"/>
    <m/>
    <m/>
    <m/>
    <m/>
    <n v="250"/>
    <n v="0"/>
    <n v="31546.578573026425"/>
  </r>
  <r>
    <d v="2026-02-26T00:00:00"/>
    <x v="4"/>
    <s v="İPEK BİBER"/>
    <m/>
    <x v="5"/>
    <s v="ST00000001401"/>
    <s v="SATIŞ"/>
    <s v="POS"/>
    <n v="0.23400000000000001"/>
    <n v="500"/>
    <n v="117"/>
    <n v="0"/>
    <m/>
    <m/>
    <m/>
    <m/>
    <n v="0"/>
    <n v="0"/>
    <n v="31546.578573026425"/>
  </r>
  <r>
    <d v="2026-02-26T00:00:00"/>
    <x v="4"/>
    <s v="ÖZBEK ÜZÜMÜ"/>
    <m/>
    <x v="5"/>
    <s v="ST00000001401"/>
    <s v="SATIŞ"/>
    <s v="POS"/>
    <n v="0.29599999999999999"/>
    <n v="550"/>
    <n v="162.79999999999998"/>
    <n v="0"/>
    <m/>
    <m/>
    <m/>
    <m/>
    <n v="0"/>
    <n v="0"/>
    <n v="31546.578573026425"/>
  </r>
  <r>
    <d v="2026-02-26T00:00:00"/>
    <x v="4"/>
    <s v="EL-RUHA ÇAY (AÇIK)"/>
    <m/>
    <x v="5"/>
    <s v="ST00000001402"/>
    <s v="SATIŞ"/>
    <s v="POS"/>
    <n v="0.5"/>
    <n v="600"/>
    <n v="300"/>
    <n v="0"/>
    <m/>
    <m/>
    <m/>
    <m/>
    <n v="0"/>
    <n v="0"/>
    <n v="31546.578573026425"/>
  </r>
  <r>
    <d v="2026-02-26T00:00:00"/>
    <x v="4"/>
    <s v="KETEN TOHUMU YAĞI 50 CC"/>
    <m/>
    <x v="1"/>
    <s v="ST00000001403"/>
    <s v="SATIŞ"/>
    <s v="NAKİT"/>
    <n v="1"/>
    <n v="110"/>
    <n v="0"/>
    <n v="0"/>
    <m/>
    <m/>
    <m/>
    <m/>
    <n v="110"/>
    <n v="0"/>
    <n v="31656.578573026425"/>
  </r>
  <r>
    <d v="2026-02-26T00:00:00"/>
    <x v="4"/>
    <s v="KUDÜS HURMASI"/>
    <m/>
    <x v="1"/>
    <s v="ST00000001403"/>
    <s v="SATIŞ"/>
    <s v="NAKİT"/>
    <n v="0.25"/>
    <n v="400"/>
    <n v="0"/>
    <n v="0"/>
    <m/>
    <m/>
    <m/>
    <m/>
    <n v="100"/>
    <n v="0"/>
    <n v="31756.578573026425"/>
  </r>
  <r>
    <d v="2026-02-26T00:00:00"/>
    <x v="4"/>
    <s v="MECİTEFENDİ AKTİF KARBONLU DOĞAL DİŞ MACUNU 75 ml"/>
    <m/>
    <x v="1"/>
    <s v="ST00000001403"/>
    <s v="SATIŞ"/>
    <s v="NAKİT"/>
    <n v="1"/>
    <n v="135"/>
    <n v="0"/>
    <n v="0"/>
    <m/>
    <m/>
    <m/>
    <m/>
    <n v="135"/>
    <n v="0"/>
    <n v="31891.578573026425"/>
  </r>
  <r>
    <d v="2026-02-26T00:00:00"/>
    <x v="4"/>
    <s v="KABUKLU CEVİZ (YERLİ)"/>
    <m/>
    <x v="1"/>
    <s v="ST00000001404"/>
    <s v="SATIŞ"/>
    <s v="NAKİT"/>
    <n v="1.24"/>
    <n v="250"/>
    <n v="0"/>
    <n v="0"/>
    <m/>
    <m/>
    <m/>
    <m/>
    <n v="310"/>
    <n v="0"/>
    <n v="32201.578573026425"/>
  </r>
  <r>
    <d v="2026-02-26T00:00:00"/>
    <x v="4"/>
    <s v="BİBERİYE"/>
    <m/>
    <x v="1"/>
    <s v="ST00000001405"/>
    <s v="SATIŞ"/>
    <s v="NAKİT"/>
    <n v="0.1"/>
    <n v="1200"/>
    <n v="0"/>
    <n v="0"/>
    <m/>
    <m/>
    <m/>
    <m/>
    <n v="120"/>
    <n v="0"/>
    <n v="32321.578573026425"/>
  </r>
  <r>
    <d v="2026-02-26T00:00:00"/>
    <x v="4"/>
    <s v="KARANFİL"/>
    <m/>
    <x v="1"/>
    <s v="ST00000001405"/>
    <s v="SATIŞ"/>
    <s v="NAKİT"/>
    <n v="0.05"/>
    <n v="1200"/>
    <n v="0"/>
    <n v="0"/>
    <m/>
    <m/>
    <m/>
    <m/>
    <n v="60"/>
    <n v="0"/>
    <n v="32381.578573026425"/>
  </r>
  <r>
    <d v="2026-02-26T00:00:00"/>
    <x v="4"/>
    <s v="DOLMALIK KURU PATLICAN"/>
    <m/>
    <x v="1"/>
    <s v="ST00000001406"/>
    <s v="SATIŞ"/>
    <s v="NAKİT"/>
    <n v="1"/>
    <n v="250"/>
    <n v="0"/>
    <n v="0"/>
    <m/>
    <m/>
    <m/>
    <m/>
    <n v="250"/>
    <n v="0"/>
    <n v="32631.578573026425"/>
  </r>
  <r>
    <d v="2026-02-26T00:00:00"/>
    <x v="4"/>
    <s v="DOLMALIK SARI BİBER"/>
    <m/>
    <x v="1"/>
    <s v="ST00000001406"/>
    <s v="SATIŞ"/>
    <s v="NAKİT"/>
    <n v="1"/>
    <n v="230"/>
    <n v="0"/>
    <n v="0"/>
    <m/>
    <m/>
    <m/>
    <m/>
    <n v="230"/>
    <n v="0"/>
    <n v="32861.578573026425"/>
  </r>
  <r>
    <d v="2026-02-26T00:00:00"/>
    <x v="4"/>
    <s v="MISIR PREMİUM MEDİUM HURMA"/>
    <m/>
    <x v="1"/>
    <s v="ST00000001407"/>
    <s v="SATIŞ - PAKET ÜRETİM"/>
    <s v="NAKİT"/>
    <n v="0.95"/>
    <n v="550"/>
    <n v="0"/>
    <n v="0"/>
    <m/>
    <m/>
    <m/>
    <m/>
    <n v="522.5"/>
    <n v="0"/>
    <n v="33384.078573026425"/>
  </r>
  <r>
    <d v="2026-02-26T00:00:00"/>
    <x v="4"/>
    <s v="KUDÜS HURMASI JUMBO"/>
    <m/>
    <x v="1"/>
    <s v="ST00000001407"/>
    <s v="SATIŞ - PAKET ÜRETİM"/>
    <s v="NAKİT"/>
    <n v="1.768"/>
    <n v="670"/>
    <n v="0"/>
    <n v="0"/>
    <m/>
    <m/>
    <m/>
    <m/>
    <n v="1184.56"/>
    <n v="0"/>
    <n v="34568.638573026423"/>
  </r>
  <r>
    <d v="2026-02-26T00:00:00"/>
    <x v="4"/>
    <s v="ACVE SARI"/>
    <m/>
    <x v="1"/>
    <s v="ST00000001407"/>
    <s v="SATIŞ - PAKET ÜRETİM"/>
    <s v="NAKİT"/>
    <n v="2.8559999999999999"/>
    <n v="400"/>
    <n v="0"/>
    <n v="0"/>
    <m/>
    <m/>
    <m/>
    <m/>
    <n v="1142.3999999999999"/>
    <n v="0"/>
    <n v="35711.038573026424"/>
  </r>
  <r>
    <d v="2026-02-26T00:00:00"/>
    <x v="4"/>
    <s v="SEYHAN ÜZÜM ÖZEL"/>
    <m/>
    <x v="1"/>
    <s v="ST00000001407"/>
    <s v="SATIŞ - PAKET ÜRETİM"/>
    <s v="NAKİT"/>
    <n v="2.8420000000000001"/>
    <n v="750"/>
    <n v="0"/>
    <n v="0"/>
    <m/>
    <m/>
    <m/>
    <m/>
    <n v="2131.5"/>
    <n v="0"/>
    <n v="37842.538573026424"/>
  </r>
  <r>
    <d v="2026-02-26T00:00:00"/>
    <x v="4"/>
    <s v="ÖZBEK ÜZÜMÜ"/>
    <m/>
    <x v="1"/>
    <s v="ST00000001407"/>
    <s v="SATIŞ - PAKET ÜRETİM"/>
    <s v="NAKİT"/>
    <n v="2.5"/>
    <n v="550"/>
    <n v="0"/>
    <n v="0"/>
    <m/>
    <m/>
    <m/>
    <m/>
    <n v="1375"/>
    <n v="0"/>
    <n v="39217.538573026424"/>
  </r>
  <r>
    <d v="2026-02-26T00:00:00"/>
    <x v="4"/>
    <s v="İNCİR KÜÇÜK"/>
    <m/>
    <x v="1"/>
    <s v="ST00000001407"/>
    <s v="SATIŞ - PAKET ÜRETİM"/>
    <s v="NAKİT"/>
    <n v="2.54"/>
    <n v="600"/>
    <n v="0"/>
    <n v="0"/>
    <m/>
    <m/>
    <m/>
    <m/>
    <n v="1524"/>
    <n v="0"/>
    <n v="40741.538573026424"/>
  </r>
  <r>
    <d v="2026-02-26T00:00:00"/>
    <x v="4"/>
    <s v="FINDIK İÇİ ÇİĞ"/>
    <m/>
    <x v="1"/>
    <s v="ST00000001407"/>
    <s v="SATIŞ - PAKET ÜRETİM"/>
    <s v="NAKİT"/>
    <n v="0.68400000000000005"/>
    <n v="1000"/>
    <n v="0"/>
    <n v="0"/>
    <m/>
    <m/>
    <m/>
    <m/>
    <n v="684"/>
    <n v="0"/>
    <n v="41425.538573026424"/>
  </r>
  <r>
    <d v="2026-02-26T00:00:00"/>
    <x v="5"/>
    <m/>
    <s v="DİĞER GELİRLER"/>
    <x v="1"/>
    <s v="ST00000001407"/>
    <s v="SATIŞ - PAKET ÜRETİM - POŞET PARASI"/>
    <s v="NAKİT"/>
    <n v="150"/>
    <n v="3"/>
    <n v="0"/>
    <n v="0"/>
    <m/>
    <m/>
    <m/>
    <m/>
    <n v="450"/>
    <n v="0"/>
    <n v="41875.538573026424"/>
  </r>
  <r>
    <d v="2026-02-26T00:00:00"/>
    <x v="5"/>
    <m/>
    <s v="DİĞER GELİRLER"/>
    <x v="1"/>
    <s v="ST00000001407"/>
    <s v="SATIŞ - PAKET ÜRETİM - PAKETLEME PARASI"/>
    <s v="NAKİT"/>
    <n v="150"/>
    <n v="1"/>
    <n v="0"/>
    <n v="0"/>
    <m/>
    <m/>
    <m/>
    <m/>
    <n v="150"/>
    <n v="0"/>
    <n v="42025.538573026424"/>
  </r>
  <r>
    <d v="2026-02-26T00:00:00"/>
    <x v="5"/>
    <m/>
    <s v="DİĞER GELİRLER"/>
    <x v="1"/>
    <s v="ST00000001407"/>
    <s v="SATIŞ - PAKET ÜRETİM - İŞÇİLİK"/>
    <s v="NAKİT"/>
    <n v="336.04"/>
    <n v="1"/>
    <n v="0"/>
    <n v="0"/>
    <m/>
    <m/>
    <m/>
    <m/>
    <n v="336.04"/>
    <n v="0"/>
    <n v="42361.578573026425"/>
  </r>
  <r>
    <d v="2026-02-26T00:00:00"/>
    <x v="11"/>
    <m/>
    <m/>
    <x v="13"/>
    <s v="ST00000001422"/>
    <s v="MÜMİNE ÇELİKEL - ELDEN ÖDEME"/>
    <s v="NAKİT"/>
    <n v="1"/>
    <n v="4675"/>
    <n v="0"/>
    <n v="4675"/>
    <m/>
    <m/>
    <m/>
    <m/>
    <n v="4675"/>
    <n v="0"/>
    <n v="47036.578573026425"/>
  </r>
  <r>
    <d v="2026-02-26T00:00:00"/>
    <x v="10"/>
    <m/>
    <m/>
    <x v="5"/>
    <m/>
    <s v="POS ÇÖZÜMÜ"/>
    <s v="POS"/>
    <n v="1"/>
    <n v="880"/>
    <n v="0"/>
    <n v="880"/>
    <m/>
    <m/>
    <m/>
    <m/>
    <n v="880"/>
    <n v="0"/>
    <n v="47916.578573026425"/>
  </r>
  <r>
    <d v="2026-02-26T00:00:00"/>
    <x v="10"/>
    <m/>
    <m/>
    <x v="5"/>
    <m/>
    <s v="POS ÇÖZÜMÜ"/>
    <s v="POS"/>
    <n v="1"/>
    <n v="413"/>
    <n v="0"/>
    <n v="413"/>
    <m/>
    <m/>
    <m/>
    <m/>
    <n v="413"/>
    <n v="0"/>
    <n v="48329.578573026425"/>
  </r>
  <r>
    <d v="2026-02-27T00:00:00"/>
    <x v="4"/>
    <s v="DOMATES SALÇASI"/>
    <m/>
    <x v="5"/>
    <s v="ST00000001408"/>
    <s v="SATIŞ"/>
    <s v="POS"/>
    <n v="0.5"/>
    <n v="150"/>
    <n v="75"/>
    <n v="0"/>
    <m/>
    <m/>
    <m/>
    <m/>
    <n v="0"/>
    <n v="0"/>
    <n v="48329.578573026425"/>
  </r>
  <r>
    <d v="2026-02-27T00:00:00"/>
    <x v="4"/>
    <s v="SALÇA TATLI (EV YAPIMI)"/>
    <m/>
    <x v="5"/>
    <s v="ST00000001408"/>
    <s v="SATIŞ"/>
    <s v="POS"/>
    <n v="1"/>
    <n v="200"/>
    <n v="200"/>
    <n v="0"/>
    <m/>
    <m/>
    <m/>
    <m/>
    <n v="0"/>
    <n v="0"/>
    <n v="48329.578573026425"/>
  </r>
  <r>
    <d v="2026-02-27T00:00:00"/>
    <x v="4"/>
    <s v="DOLMALIK SARI BİBER"/>
    <m/>
    <x v="5"/>
    <s v="ST00000001408"/>
    <s v="SATIŞ"/>
    <s v="POS"/>
    <n v="0.5"/>
    <n v="230"/>
    <n v="115"/>
    <n v="0"/>
    <m/>
    <m/>
    <m/>
    <m/>
    <n v="0"/>
    <n v="0"/>
    <n v="48329.578573026425"/>
  </r>
  <r>
    <d v="2026-02-27T00:00:00"/>
    <x v="4"/>
    <s v="KORİ (TAVUK BAHARATI)"/>
    <m/>
    <x v="5"/>
    <s v="ST00000001408"/>
    <s v="SATIŞ"/>
    <s v="POS"/>
    <n v="9.6000000000000002E-2"/>
    <n v="140"/>
    <n v="13.44"/>
    <n v="0"/>
    <m/>
    <m/>
    <m/>
    <m/>
    <n v="0"/>
    <n v="0"/>
    <n v="48329.578573026425"/>
  </r>
  <r>
    <d v="2026-02-27T00:00:00"/>
    <x v="4"/>
    <s v="KİMYON ÇEKİLMİŞ"/>
    <m/>
    <x v="5"/>
    <s v="ST00000001408"/>
    <s v="SATIŞ"/>
    <s v="POS"/>
    <n v="8.4000000000000005E-2"/>
    <n v="400"/>
    <n v="33.6"/>
    <n v="0"/>
    <m/>
    <m/>
    <m/>
    <m/>
    <n v="0"/>
    <n v="0"/>
    <n v="48329.578573026425"/>
  </r>
  <r>
    <d v="2026-02-27T00:00:00"/>
    <x v="4"/>
    <s v="KABUKLU CEVİZ (YERLİ)"/>
    <m/>
    <x v="5"/>
    <s v="ST00000001408"/>
    <s v="SATIŞ"/>
    <s v="POS"/>
    <n v="0.8"/>
    <n v="250"/>
    <n v="200"/>
    <n v="0"/>
    <m/>
    <m/>
    <m/>
    <m/>
    <n v="0"/>
    <n v="0"/>
    <n v="48329.578573026425"/>
  </r>
  <r>
    <d v="2026-02-27T00:00:00"/>
    <x v="4"/>
    <s v="TOZ BİBER - ACI"/>
    <m/>
    <x v="5"/>
    <s v="ST00000001408"/>
    <s v="SATIŞ"/>
    <s v="POS"/>
    <n v="8.4000000000000005E-2"/>
    <n v="400"/>
    <n v="33.6"/>
    <n v="0"/>
    <m/>
    <m/>
    <m/>
    <m/>
    <n v="0"/>
    <n v="0"/>
    <n v="48329.578573026425"/>
  </r>
  <r>
    <d v="2026-02-27T00:00:00"/>
    <x v="4"/>
    <s v="GENÇAY KEÇİ BOYNUZU ÖZÜ 675 GR"/>
    <m/>
    <x v="5"/>
    <s v="ST00000001408"/>
    <s v="SATIŞ"/>
    <s v="POS"/>
    <n v="1"/>
    <n v="195"/>
    <n v="195"/>
    <n v="0"/>
    <m/>
    <m/>
    <m/>
    <m/>
    <n v="0"/>
    <n v="0"/>
    <n v="48329.578573026425"/>
  </r>
  <r>
    <d v="2026-02-27T00:00:00"/>
    <x v="4"/>
    <s v="ZÜHRE ANA KİDS ARI SÜTÜ PEKMEZ BAL MACUN 240 GR"/>
    <m/>
    <x v="5"/>
    <s v="ST00000001408"/>
    <s v="SATIŞ"/>
    <s v="POS"/>
    <n v="1"/>
    <n v="260"/>
    <n v="260"/>
    <n v="0"/>
    <m/>
    <m/>
    <m/>
    <m/>
    <n v="0"/>
    <n v="0"/>
    <n v="48329.578573026425"/>
  </r>
  <r>
    <d v="2026-02-27T00:00:00"/>
    <x v="4"/>
    <s v="EL-RUHA ÇAY 400 GR"/>
    <m/>
    <x v="5"/>
    <s v="ST00000001408"/>
    <s v="SATIŞ"/>
    <s v="POS"/>
    <n v="1"/>
    <n v="275"/>
    <n v="275"/>
    <n v="0"/>
    <m/>
    <m/>
    <m/>
    <m/>
    <n v="0"/>
    <n v="0"/>
    <n v="48329.578573026425"/>
  </r>
  <r>
    <d v="2026-02-27T00:00:00"/>
    <x v="4"/>
    <s v="İCOLLAGEN KOLAJEN VE PROBİYOTİK 60 TABLET"/>
    <m/>
    <x v="5"/>
    <s v="ST00000001408"/>
    <s v="SATIŞ"/>
    <s v="POS"/>
    <n v="1"/>
    <n v="280"/>
    <n v="280"/>
    <n v="0"/>
    <m/>
    <m/>
    <m/>
    <m/>
    <n v="0"/>
    <n v="0"/>
    <n v="48329.578573026425"/>
  </r>
  <r>
    <d v="2026-02-27T00:00:00"/>
    <x v="4"/>
    <s v="MECİTEFENDİ BİBERİYE ŞAMPUANI 400 ML"/>
    <m/>
    <x v="5"/>
    <s v="ST00000001408"/>
    <s v="SATIŞ"/>
    <s v="POS"/>
    <n v="1"/>
    <n v="220"/>
    <n v="220"/>
    <n v="0"/>
    <m/>
    <m/>
    <m/>
    <m/>
    <n v="0"/>
    <n v="0"/>
    <n v="48329.578573026425"/>
  </r>
  <r>
    <d v="2026-02-27T00:00:00"/>
    <x v="4"/>
    <s v="EL-RUHA ÇAY (AÇIK)"/>
    <m/>
    <x v="5"/>
    <s v="ST00000001409"/>
    <s v="SATIŞ"/>
    <s v="POS"/>
    <n v="0.16666666666666666"/>
    <n v="600"/>
    <n v="100"/>
    <n v="0"/>
    <m/>
    <m/>
    <m/>
    <m/>
    <n v="0"/>
    <n v="0"/>
    <n v="48329.578573026425"/>
  </r>
  <r>
    <d v="2026-02-27T00:00:00"/>
    <x v="4"/>
    <s v="TOZ TARÇIN"/>
    <m/>
    <x v="1"/>
    <s v="ST00000001410"/>
    <s v="SATIŞ"/>
    <s v="NAKİT"/>
    <n v="0.1"/>
    <n v="400"/>
    <n v="0"/>
    <n v="0"/>
    <m/>
    <m/>
    <m/>
    <m/>
    <n v="40"/>
    <n v="0"/>
    <n v="48369.578573026425"/>
  </r>
  <r>
    <d v="2026-02-27T00:00:00"/>
    <x v="4"/>
    <s v="SEFAVİ HURMA"/>
    <m/>
    <x v="1"/>
    <s v="ST00000001411"/>
    <s v="SATIŞ"/>
    <s v="NAKİT"/>
    <n v="0.45135135135135135"/>
    <n v="370"/>
    <n v="0"/>
    <n v="0"/>
    <m/>
    <m/>
    <m/>
    <m/>
    <n v="167"/>
    <n v="0"/>
    <n v="48536.578573026425"/>
  </r>
  <r>
    <d v="2026-02-27T00:00:00"/>
    <x v="4"/>
    <s v="NATTE LEZZET SOSU 980 GR"/>
    <m/>
    <x v="1"/>
    <s v="ST00000001412"/>
    <s v="SATIŞ"/>
    <s v="NAKİT"/>
    <n v="1"/>
    <n v="100"/>
    <n v="0"/>
    <n v="0"/>
    <m/>
    <m/>
    <m/>
    <m/>
    <n v="100"/>
    <n v="0"/>
    <n v="48636.578573026425"/>
  </r>
  <r>
    <d v="2026-02-27T00:00:00"/>
    <x v="4"/>
    <s v="TÜDAB KARIŞIK TURŞU"/>
    <m/>
    <x v="1"/>
    <s v="ST00000001413"/>
    <s v="SATIŞ"/>
    <s v="NAKİT"/>
    <n v="1"/>
    <n v="400"/>
    <n v="0"/>
    <n v="0"/>
    <m/>
    <m/>
    <m/>
    <m/>
    <n v="400"/>
    <n v="0"/>
    <n v="49036.578573026425"/>
  </r>
  <r>
    <d v="2026-02-27T00:00:00"/>
    <x v="4"/>
    <s v="KABUKLU CEVİZ (YERLİ)"/>
    <m/>
    <x v="1"/>
    <s v="ST00000001414"/>
    <s v="SATIŞ"/>
    <s v="NAKİT"/>
    <n v="2"/>
    <n v="250"/>
    <n v="0"/>
    <n v="0"/>
    <m/>
    <m/>
    <m/>
    <m/>
    <n v="500"/>
    <n v="0"/>
    <n v="49536.578573026425"/>
  </r>
  <r>
    <d v="2026-02-27T00:00:00"/>
    <x v="4"/>
    <s v="DOLMALIK SARI BİBER"/>
    <m/>
    <x v="1"/>
    <s v="ST00000001415"/>
    <s v="SATIŞ"/>
    <s v="NAKİT"/>
    <n v="1"/>
    <n v="200"/>
    <n v="0"/>
    <n v="0"/>
    <m/>
    <m/>
    <m/>
    <m/>
    <n v="200"/>
    <n v="0"/>
    <n v="49736.578573026425"/>
  </r>
  <r>
    <d v="2026-02-27T00:00:00"/>
    <x v="4"/>
    <s v="DOLMALIK KURU PATLICAN"/>
    <m/>
    <x v="5"/>
    <s v="ST00000001415"/>
    <s v="SATIŞ"/>
    <s v="POS"/>
    <n v="1"/>
    <n v="280"/>
    <n v="280"/>
    <n v="0"/>
    <m/>
    <m/>
    <m/>
    <m/>
    <n v="0"/>
    <n v="0"/>
    <n v="49736.578573026425"/>
  </r>
  <r>
    <d v="2026-02-27T00:00:00"/>
    <x v="4"/>
    <s v="RUŞUR TAŞI"/>
    <m/>
    <x v="5"/>
    <s v="ST00000001415"/>
    <s v="SATIŞ"/>
    <s v="POS"/>
    <n v="2"/>
    <n v="10"/>
    <n v="20"/>
    <n v="0"/>
    <m/>
    <m/>
    <m/>
    <m/>
    <n v="0"/>
    <n v="0"/>
    <n v="49736.578573026425"/>
  </r>
  <r>
    <d v="2026-02-27T00:00:00"/>
    <x v="4"/>
    <s v="DOLMALIK KURU PATLICAN"/>
    <m/>
    <x v="1"/>
    <s v="ST00000001416"/>
    <s v="SATIŞ"/>
    <s v="NAKİT"/>
    <n v="1"/>
    <n v="250"/>
    <n v="0"/>
    <n v="0"/>
    <m/>
    <m/>
    <m/>
    <m/>
    <n v="250"/>
    <n v="0"/>
    <n v="49986.578573026425"/>
  </r>
  <r>
    <d v="2026-02-27T00:00:00"/>
    <x v="4"/>
    <s v="SUMAK"/>
    <m/>
    <x v="1"/>
    <s v="ST00000001416"/>
    <s v="SATIŞ"/>
    <s v="NAKİT"/>
    <n v="0.106"/>
    <n v="500"/>
    <n v="0"/>
    <n v="0"/>
    <m/>
    <m/>
    <m/>
    <m/>
    <n v="53"/>
    <n v="0"/>
    <n v="50039.578573026425"/>
  </r>
  <r>
    <d v="2026-02-27T00:00:00"/>
    <x v="4"/>
    <s v="IHLAMUR YAPRAK"/>
    <m/>
    <x v="5"/>
    <s v="ST00000001417"/>
    <s v="SATIŞ"/>
    <s v="POS"/>
    <n v="0.05"/>
    <n v="2600"/>
    <n v="130"/>
    <n v="0"/>
    <m/>
    <m/>
    <m/>
    <m/>
    <n v="0"/>
    <n v="0"/>
    <n v="50039.578573026425"/>
  </r>
  <r>
    <d v="2026-02-27T00:00:00"/>
    <x v="4"/>
    <s v="İPEK BİBER"/>
    <m/>
    <x v="1"/>
    <s v="ST00000001418"/>
    <s v="SATIŞ"/>
    <s v="NAKİT"/>
    <n v="0.15"/>
    <n v="500"/>
    <n v="0"/>
    <n v="0"/>
    <m/>
    <m/>
    <m/>
    <m/>
    <n v="75"/>
    <n v="0"/>
    <n v="50114.578573026425"/>
  </r>
  <r>
    <d v="2026-02-27T00:00:00"/>
    <x v="4"/>
    <s v="DOLMALIK KURU PATLICAN"/>
    <m/>
    <x v="5"/>
    <s v="ST00000001419"/>
    <s v="SATIŞ"/>
    <s v="POS"/>
    <n v="1"/>
    <n v="250"/>
    <n v="250"/>
    <n v="0"/>
    <m/>
    <m/>
    <m/>
    <m/>
    <n v="0"/>
    <n v="0"/>
    <n v="50114.578573026425"/>
  </r>
  <r>
    <d v="2026-02-27T00:00:00"/>
    <x v="4"/>
    <s v="SUMAK TANE EKŞİLİ"/>
    <m/>
    <x v="5"/>
    <s v="ST00000001419"/>
    <s v="SATIŞ"/>
    <s v="POS"/>
    <n v="0.1"/>
    <n v="500"/>
    <n v="50"/>
    <n v="0"/>
    <m/>
    <m/>
    <m/>
    <m/>
    <n v="0"/>
    <n v="0"/>
    <n v="50114.578573026425"/>
  </r>
  <r>
    <d v="2026-02-27T00:00:00"/>
    <x v="4"/>
    <s v="TOZ TARÇIN"/>
    <m/>
    <x v="1"/>
    <s v="ST00000001420"/>
    <s v="SATIŞ"/>
    <s v="NAKİT"/>
    <n v="0.1"/>
    <n v="400"/>
    <n v="0"/>
    <n v="0"/>
    <m/>
    <m/>
    <m/>
    <m/>
    <n v="40"/>
    <n v="0"/>
    <n v="50154.578573026425"/>
  </r>
  <r>
    <d v="2026-02-27T00:00:00"/>
    <x v="4"/>
    <s v="GÜNAYDIN KAYA TUZU İNCE"/>
    <m/>
    <x v="5"/>
    <s v="ST00000001421"/>
    <s v="SATIŞ"/>
    <s v="POS"/>
    <n v="0.5"/>
    <n v="80"/>
    <n v="40"/>
    <n v="0"/>
    <m/>
    <m/>
    <m/>
    <m/>
    <n v="0"/>
    <n v="0"/>
    <n v="50154.578573026425"/>
  </r>
  <r>
    <d v="2026-02-27T00:00:00"/>
    <x v="4"/>
    <s v="SOGAY HURMA"/>
    <m/>
    <x v="5"/>
    <s v="ST00000001421"/>
    <s v="SATIŞ"/>
    <s v="POS"/>
    <n v="0.43243243243243246"/>
    <n v="370"/>
    <n v="160"/>
    <n v="0"/>
    <m/>
    <m/>
    <m/>
    <m/>
    <n v="0"/>
    <n v="0"/>
    <n v="50154.578573026425"/>
  </r>
  <r>
    <d v="2026-02-27T00:00:00"/>
    <x v="10"/>
    <m/>
    <m/>
    <x v="5"/>
    <m/>
    <s v="POS ÇÖZÜMÜ"/>
    <s v="POS"/>
    <n v="1"/>
    <n v="410"/>
    <n v="0"/>
    <n v="410"/>
    <m/>
    <m/>
    <m/>
    <m/>
    <n v="410"/>
    <n v="0"/>
    <n v="50564.578573026425"/>
  </r>
  <r>
    <d v="2026-02-27T00:00:00"/>
    <x v="10"/>
    <m/>
    <m/>
    <x v="5"/>
    <m/>
    <s v="POS ÇÖZÜMÜ"/>
    <s v="POS"/>
    <n v="1"/>
    <n v="975"/>
    <n v="0"/>
    <n v="975"/>
    <m/>
    <m/>
    <m/>
    <m/>
    <n v="975"/>
    <n v="0"/>
    <n v="51539.578573026425"/>
  </r>
  <r>
    <d v="2026-02-27T00:00:00"/>
    <x v="1"/>
    <m/>
    <s v="BANKA GİDERLERİ"/>
    <x v="1"/>
    <m/>
    <s v="POS BAKIM ÜCRETİ"/>
    <s v="NAKİT"/>
    <n v="1"/>
    <n v="441"/>
    <n v="0"/>
    <n v="0"/>
    <m/>
    <m/>
    <m/>
    <m/>
    <n v="0"/>
    <n v="441"/>
    <n v="51098.578573026425"/>
  </r>
  <r>
    <d v="2026-02-28T00:00:00"/>
    <x v="11"/>
    <m/>
    <m/>
    <x v="11"/>
    <s v="ST00000001422"/>
    <s v="HANİFE DİVELEK - TFK ÖDEME"/>
    <s v="NAKİT"/>
    <n v="1"/>
    <n v="4450"/>
    <n v="0"/>
    <n v="4450"/>
    <m/>
    <m/>
    <m/>
    <m/>
    <n v="4450"/>
    <n v="0"/>
    <n v="55548.578573026425"/>
  </r>
  <r>
    <d v="2026-02-28T00:00:00"/>
    <x v="4"/>
    <s v="SUMAK"/>
    <m/>
    <x v="11"/>
    <s v="ST00000001422"/>
    <s v="SATIŞ - TOPTAN"/>
    <s v="CARİ"/>
    <n v="1"/>
    <n v="300"/>
    <n v="300"/>
    <n v="0"/>
    <m/>
    <m/>
    <m/>
    <m/>
    <n v="0"/>
    <n v="0"/>
    <n v="55548.578573026425"/>
  </r>
  <r>
    <d v="2026-02-28T00:00:00"/>
    <x v="4"/>
    <s v="NANE İRİ"/>
    <m/>
    <x v="11"/>
    <s v="ST00000001422"/>
    <s v="SATIŞ - TOPTAN"/>
    <s v="CARİ"/>
    <n v="1"/>
    <n v="200"/>
    <n v="200"/>
    <n v="0"/>
    <m/>
    <m/>
    <m/>
    <m/>
    <n v="0"/>
    <n v="0"/>
    <n v="55548.578573026425"/>
  </r>
  <r>
    <d v="2026-02-28T00:00:00"/>
    <x v="4"/>
    <s v="KARABİBER ÇEKİLMİŞ"/>
    <m/>
    <x v="11"/>
    <s v="ST00000001422"/>
    <s v="SATIŞ - TOPTAN"/>
    <s v="CARİ"/>
    <n v="0.5"/>
    <n v="500"/>
    <n v="250"/>
    <n v="0"/>
    <m/>
    <m/>
    <m/>
    <m/>
    <n v="0"/>
    <n v="0"/>
    <n v="55548.578573026425"/>
  </r>
  <r>
    <d v="2026-02-28T00:00:00"/>
    <x v="4"/>
    <s v="EVLİK BİBER"/>
    <m/>
    <x v="11"/>
    <s v="ST00000001422"/>
    <s v="SATIŞ - TOPTAN"/>
    <s v="CARİ"/>
    <n v="0.5"/>
    <n v="250"/>
    <n v="125"/>
    <n v="0"/>
    <m/>
    <m/>
    <m/>
    <m/>
    <n v="0"/>
    <n v="0"/>
    <n v="55548.578573026425"/>
  </r>
  <r>
    <d v="2026-02-28T00:00:00"/>
    <x v="4"/>
    <s v="BOZ ANTEP FISTIK ÖĞÜTÜLMÜŞ"/>
    <m/>
    <x v="11"/>
    <s v="ST00000001422"/>
    <s v="SATIŞ - TOPTAN"/>
    <s v="CARİ"/>
    <n v="0.2"/>
    <n v="2500"/>
    <n v="500"/>
    <n v="0"/>
    <m/>
    <m/>
    <m/>
    <m/>
    <n v="0"/>
    <n v="0"/>
    <n v="55548.578573026425"/>
  </r>
  <r>
    <d v="2026-02-28T00:00:00"/>
    <x v="4"/>
    <s v="ÇÖREKOTU"/>
    <m/>
    <x v="11"/>
    <s v="ST00000001422"/>
    <s v="SATIŞ - TOPTAN"/>
    <s v="CARİ"/>
    <n v="1"/>
    <n v="230"/>
    <n v="230"/>
    <n v="0"/>
    <m/>
    <m/>
    <m/>
    <m/>
    <n v="0"/>
    <n v="0"/>
    <n v="55548.578573026425"/>
  </r>
  <r>
    <d v="2026-02-28T00:00:00"/>
    <x v="4"/>
    <s v="DOLMALIK KURU PATLICAN"/>
    <m/>
    <x v="11"/>
    <s v="ST00000001422"/>
    <s v="SATIŞ - TOPTAN"/>
    <s v="CARİ"/>
    <n v="5"/>
    <n v="200"/>
    <n v="1000"/>
    <n v="0"/>
    <m/>
    <m/>
    <m/>
    <m/>
    <n v="0"/>
    <n v="0"/>
    <n v="55548.578573026425"/>
  </r>
  <r>
    <d v="2026-02-28T00:00:00"/>
    <x v="4"/>
    <s v="DOLMALIK SARI BİBER"/>
    <m/>
    <x v="11"/>
    <s v="ST00000001422"/>
    <s v="SATIŞ - TOPTAN"/>
    <s v="CARİ"/>
    <n v="3"/>
    <n v="185"/>
    <n v="555"/>
    <n v="0"/>
    <m/>
    <m/>
    <m/>
    <m/>
    <n v="0"/>
    <n v="0"/>
    <n v="55548.578573026425"/>
  </r>
  <r>
    <d v="2026-02-28T00:00:00"/>
    <x v="4"/>
    <s v="NANE İRİ"/>
    <m/>
    <x v="11"/>
    <s v="ST00000001422"/>
    <s v="SATIŞ - TOPTAN"/>
    <s v="CARİ"/>
    <n v="0.625"/>
    <n v="280"/>
    <n v="175"/>
    <n v="0"/>
    <m/>
    <m/>
    <m/>
    <m/>
    <n v="0"/>
    <n v="0"/>
    <n v="55548.578573026425"/>
  </r>
  <r>
    <d v="2026-02-28T00:00:00"/>
    <x v="4"/>
    <s v="KARABİBER ÇEKİLMİŞ"/>
    <m/>
    <x v="11"/>
    <s v="ST00000001422"/>
    <s v="SATIŞ - TOPTAN"/>
    <s v="CARİ"/>
    <n v="0.22500000000000001"/>
    <n v="500"/>
    <n v="112.5"/>
    <n v="0"/>
    <m/>
    <m/>
    <m/>
    <m/>
    <n v="0"/>
    <n v="0"/>
    <n v="55548.578573026425"/>
  </r>
  <r>
    <d v="2026-02-28T00:00:00"/>
    <x v="4"/>
    <s v="TOMBUL KESE 500 GR ACI"/>
    <m/>
    <x v="11"/>
    <s v="ST00000001422"/>
    <s v="SATIŞ - TOPTAN"/>
    <s v="CARİ"/>
    <n v="1"/>
    <n v="165"/>
    <n v="165"/>
    <n v="0"/>
    <m/>
    <m/>
    <m/>
    <m/>
    <n v="0"/>
    <n v="0"/>
    <n v="55548.578573026425"/>
  </r>
  <r>
    <d v="2026-02-28T00:00:00"/>
    <x v="4"/>
    <s v="DOLMALIK KURU PATLICAN"/>
    <m/>
    <x v="5"/>
    <s v="ST00000001424"/>
    <s v="SATIŞ"/>
    <s v="POS"/>
    <n v="1"/>
    <n v="250"/>
    <n v="250"/>
    <n v="0"/>
    <m/>
    <m/>
    <m/>
    <m/>
    <n v="0"/>
    <n v="0"/>
    <n v="55548.578573026425"/>
  </r>
  <r>
    <d v="2026-02-28T00:00:00"/>
    <x v="4"/>
    <s v="DOLMALIK KURU PATLICAN"/>
    <m/>
    <x v="5"/>
    <s v="ST00000001425"/>
    <s v="SATIŞ"/>
    <s v="POS"/>
    <n v="1"/>
    <n v="250"/>
    <n v="200"/>
    <n v="0"/>
    <m/>
    <m/>
    <m/>
    <m/>
    <n v="0"/>
    <n v="0"/>
    <n v="55548.578573026425"/>
  </r>
  <r>
    <d v="2026-02-28T00:00:00"/>
    <x v="4"/>
    <s v="DOLMALIK SARI BİBER"/>
    <m/>
    <x v="5"/>
    <s v="ST00000001425"/>
    <s v="SATIŞ"/>
    <s v="POS"/>
    <n v="1"/>
    <n v="230"/>
    <n v="200"/>
    <n v="0"/>
    <m/>
    <m/>
    <m/>
    <m/>
    <n v="0"/>
    <n v="0"/>
    <n v="55548.578573026425"/>
  </r>
  <r>
    <d v="2026-02-28T00:00:00"/>
    <x v="4"/>
    <s v="DOLMALIK SARI BİBER"/>
    <m/>
    <x v="1"/>
    <s v="ST00000001425"/>
    <s v="SATIŞ"/>
    <s v="NAKİT"/>
    <n v="0.2"/>
    <n v="200"/>
    <n v="0"/>
    <n v="0"/>
    <m/>
    <m/>
    <m/>
    <m/>
    <n v="40"/>
    <n v="0"/>
    <n v="55588.578573026425"/>
  </r>
  <r>
    <d v="2026-02-28T00:00:00"/>
    <x v="4"/>
    <s v="DOLMALIK KURU TATLI KIRMIZI BİBER"/>
    <m/>
    <x v="1"/>
    <s v="ST00000001425"/>
    <s v="SATIŞ"/>
    <s v="NAKİT"/>
    <n v="0.4"/>
    <n v="200"/>
    <n v="0"/>
    <n v="0"/>
    <m/>
    <m/>
    <m/>
    <m/>
    <n v="80"/>
    <n v="0"/>
    <n v="55668.578573026425"/>
  </r>
  <r>
    <d v="2026-02-28T00:00:00"/>
    <x v="4"/>
    <s v="DOLMALIK KURU PATLICAN"/>
    <m/>
    <x v="5"/>
    <s v="ST00000001426"/>
    <s v="SATIŞ"/>
    <s v="POS"/>
    <n v="1"/>
    <n v="250"/>
    <n v="250"/>
    <n v="0"/>
    <m/>
    <m/>
    <m/>
    <m/>
    <n v="0"/>
    <n v="0"/>
    <n v="55668.578573026425"/>
  </r>
  <r>
    <d v="2026-02-28T00:00:00"/>
    <x v="4"/>
    <s v="DOLMALIK SARI BİBER"/>
    <m/>
    <x v="5"/>
    <s v="ST00000001426"/>
    <s v="SATIŞ"/>
    <s v="POS"/>
    <n v="1"/>
    <n v="230"/>
    <n v="230"/>
    <n v="0"/>
    <m/>
    <m/>
    <m/>
    <m/>
    <n v="0"/>
    <n v="0"/>
    <n v="55668.578573026425"/>
  </r>
  <r>
    <d v="2026-02-28T00:00:00"/>
    <x v="4"/>
    <s v="MANİSA YAPRAK DÖKME"/>
    <m/>
    <x v="5"/>
    <s v="ST00000001426"/>
    <s v="SATIŞ"/>
    <s v="POS"/>
    <n v="0.5"/>
    <n v="300"/>
    <n v="150"/>
    <n v="0"/>
    <m/>
    <m/>
    <m/>
    <m/>
    <n v="0"/>
    <n v="0"/>
    <n v="55668.578573026425"/>
  </r>
  <r>
    <d v="2026-02-28T00:00:00"/>
    <x v="4"/>
    <s v="CEVİZ KELEBEK (ŞİLİ)"/>
    <m/>
    <x v="5"/>
    <s v="ST00000001426"/>
    <s v="SATIŞ"/>
    <s v="POS"/>
    <n v="1"/>
    <n v="750"/>
    <n v="750"/>
    <n v="0"/>
    <m/>
    <m/>
    <m/>
    <m/>
    <n v="0"/>
    <n v="0"/>
    <n v="55668.578573026425"/>
  </r>
  <r>
    <d v="2026-02-28T00:00:00"/>
    <x v="4"/>
    <s v="SUMAK"/>
    <m/>
    <x v="5"/>
    <s v="ST00000001427"/>
    <s v="SATIŞ"/>
    <s v="POS"/>
    <n v="0.2"/>
    <n v="500"/>
    <n v="100"/>
    <n v="0"/>
    <m/>
    <m/>
    <m/>
    <m/>
    <n v="0"/>
    <n v="0"/>
    <n v="55668.578573026425"/>
  </r>
  <r>
    <d v="2026-02-28T00:00:00"/>
    <x v="4"/>
    <s v="NANE İRİ"/>
    <m/>
    <x v="5"/>
    <s v="ST00000001428"/>
    <s v="SATIŞ"/>
    <s v="POS"/>
    <n v="0.06"/>
    <n v="300"/>
    <n v="18"/>
    <n v="0"/>
    <m/>
    <m/>
    <m/>
    <m/>
    <n v="0"/>
    <n v="0"/>
    <n v="55668.578573026425"/>
  </r>
  <r>
    <d v="2026-02-28T00:00:00"/>
    <x v="4"/>
    <s v="SUMAK"/>
    <m/>
    <x v="5"/>
    <s v="ST00000001428"/>
    <s v="SATIŞ"/>
    <s v="POS"/>
    <n v="0.20399999999999999"/>
    <n v="500"/>
    <n v="102"/>
    <n v="0"/>
    <m/>
    <m/>
    <m/>
    <m/>
    <n v="0"/>
    <n v="0"/>
    <n v="55668.578573026425"/>
  </r>
  <r>
    <d v="2026-02-28T00:00:00"/>
    <x v="4"/>
    <s v="TOZ BİBER - TATLI"/>
    <m/>
    <x v="5"/>
    <s v="ST00000001428"/>
    <s v="SATIŞ"/>
    <s v="POS"/>
    <n v="0.2175"/>
    <n v="370"/>
    <n v="80.474999999999994"/>
    <n v="0"/>
    <m/>
    <m/>
    <m/>
    <m/>
    <n v="0"/>
    <n v="0"/>
    <n v="55668.578573026425"/>
  </r>
  <r>
    <d v="2026-02-28T00:00:00"/>
    <x v="4"/>
    <s v="DOLMALIK KURU PATLICAN"/>
    <m/>
    <x v="5"/>
    <s v="ST00000001428"/>
    <s v="SATIŞ"/>
    <s v="POS"/>
    <n v="1"/>
    <n v="250"/>
    <n v="250"/>
    <n v="0"/>
    <m/>
    <m/>
    <m/>
    <m/>
    <n v="0"/>
    <n v="0"/>
    <n v="55668.578573026425"/>
  </r>
  <r>
    <d v="2026-02-28T00:00:00"/>
    <x v="4"/>
    <s v="GENÇAY NAR EKŞİSİ 330 GR"/>
    <m/>
    <x v="5"/>
    <s v="ST00000001428"/>
    <s v="SATIŞ"/>
    <s v="POS"/>
    <n v="1"/>
    <n v="180"/>
    <n v="180"/>
    <n v="0"/>
    <m/>
    <m/>
    <m/>
    <m/>
    <n v="0"/>
    <n v="0"/>
    <n v="55668.578573026425"/>
  </r>
  <r>
    <d v="2026-02-28T00:00:00"/>
    <x v="4"/>
    <s v="DOMATES SALÇASI"/>
    <m/>
    <x v="5"/>
    <s v="ST00000001429"/>
    <s v="SATIŞ"/>
    <s v="POS"/>
    <n v="1"/>
    <n v="150"/>
    <n v="150"/>
    <n v="0"/>
    <m/>
    <m/>
    <m/>
    <m/>
    <n v="0"/>
    <n v="0"/>
    <n v="55668.578573026425"/>
  </r>
  <r>
    <d v="2026-02-28T00:00:00"/>
    <x v="4"/>
    <s v="HASPİR"/>
    <m/>
    <x v="5"/>
    <s v="ST00000001429"/>
    <s v="SATIŞ"/>
    <s v="POS"/>
    <n v="2.5000000000000001E-2"/>
    <n v="2000"/>
    <n v="50"/>
    <n v="0"/>
    <m/>
    <m/>
    <m/>
    <m/>
    <n v="0"/>
    <n v="0"/>
    <n v="55668.578573026425"/>
  </r>
  <r>
    <d v="2026-02-28T00:00:00"/>
    <x v="4"/>
    <s v="MANİSA YAPRAK DÖKME"/>
    <m/>
    <x v="5"/>
    <s v="ST00000001430"/>
    <s v="SATIŞ"/>
    <s v="POS"/>
    <n v="0.5"/>
    <n v="300"/>
    <n v="150"/>
    <n v="0"/>
    <m/>
    <m/>
    <m/>
    <m/>
    <n v="0"/>
    <n v="0"/>
    <n v="55668.578573026425"/>
  </r>
  <r>
    <d v="2026-02-28T00:00:00"/>
    <x v="4"/>
    <s v="KABUKLU CEVİZ (YERLİ)"/>
    <m/>
    <x v="5"/>
    <s v="ST00000001430"/>
    <s v="SATIŞ"/>
    <s v="POS"/>
    <n v="0.6"/>
    <n v="250"/>
    <n v="150"/>
    <n v="0"/>
    <m/>
    <m/>
    <m/>
    <m/>
    <n v="0"/>
    <n v="0"/>
    <n v="55668.578573026425"/>
  </r>
  <r>
    <d v="2026-02-28T00:00:00"/>
    <x v="4"/>
    <s v="MATCHA DETOX ÇAYI"/>
    <m/>
    <x v="1"/>
    <s v="ST00000001431"/>
    <s v="SATIŞ"/>
    <s v="NAKİT"/>
    <n v="1"/>
    <n v="190"/>
    <n v="0"/>
    <n v="0"/>
    <m/>
    <m/>
    <m/>
    <m/>
    <n v="190"/>
    <n v="0"/>
    <n v="55858.578573026425"/>
  </r>
  <r>
    <d v="2026-02-28T00:00:00"/>
    <x v="4"/>
    <s v="EL-RUHA ÇAY (AÇIK)"/>
    <m/>
    <x v="5"/>
    <s v="ST00000001432"/>
    <s v="SATIŞ"/>
    <s v="POS"/>
    <n v="0.16666666666666666"/>
    <n v="600"/>
    <n v="100"/>
    <n v="0"/>
    <m/>
    <m/>
    <m/>
    <m/>
    <n v="0"/>
    <n v="0"/>
    <n v="55858.578573026425"/>
  </r>
  <r>
    <d v="2026-02-28T00:00:00"/>
    <x v="4"/>
    <s v="DEFNE YAPRAĞI"/>
    <m/>
    <x v="1"/>
    <s v="ST00000001433"/>
    <s v="SATIŞ"/>
    <s v="NAKİT"/>
    <n v="0.05"/>
    <n v="1400"/>
    <n v="0"/>
    <n v="0"/>
    <m/>
    <m/>
    <m/>
    <m/>
    <n v="70"/>
    <n v="0"/>
    <n v="55928.578573026425"/>
  </r>
  <r>
    <d v="2026-02-28T00:00:00"/>
    <x v="4"/>
    <s v="LAVANTA YAĞI 10 CC"/>
    <m/>
    <x v="1"/>
    <s v="ST00000001434"/>
    <s v="SATIŞ"/>
    <s v="NAKİT"/>
    <n v="1"/>
    <n v="130"/>
    <n v="0"/>
    <n v="0"/>
    <m/>
    <m/>
    <m/>
    <m/>
    <n v="130"/>
    <n v="0"/>
    <n v="56058.578573026425"/>
  </r>
  <r>
    <d v="2026-02-28T00:00:00"/>
    <x v="4"/>
    <s v="NANE İRİ"/>
    <m/>
    <x v="1"/>
    <s v="ST00000001435"/>
    <s v="SATIŞ"/>
    <s v="NAKİT"/>
    <n v="0.125"/>
    <n v="400"/>
    <n v="0"/>
    <n v="0"/>
    <m/>
    <m/>
    <m/>
    <m/>
    <n v="50"/>
    <n v="0"/>
    <n v="56108.578573026425"/>
  </r>
  <r>
    <d v="2026-02-28T00:00:00"/>
    <x v="10"/>
    <m/>
    <m/>
    <x v="5"/>
    <m/>
    <s v="POS ÇÖZÜMÜ"/>
    <s v="POS"/>
    <n v="1"/>
    <n v="462"/>
    <n v="0"/>
    <n v="462"/>
    <m/>
    <m/>
    <m/>
    <m/>
    <n v="462"/>
    <n v="0"/>
    <n v="56570.578573026425"/>
  </r>
  <r>
    <d v="2026-02-28T00:00:00"/>
    <x v="10"/>
    <m/>
    <m/>
    <x v="5"/>
    <m/>
    <s v="POS ÇÖZÜMÜ"/>
    <s v="POS"/>
    <n v="1"/>
    <n v="540"/>
    <n v="0"/>
    <n v="540"/>
    <m/>
    <m/>
    <m/>
    <m/>
    <n v="540"/>
    <n v="0"/>
    <n v="57110.578573026425"/>
  </r>
  <r>
    <d v="2026-03-01T00:00:00"/>
    <x v="4"/>
    <s v="YENİBAHAR TOZ"/>
    <m/>
    <x v="5"/>
    <s v="ST00000001423"/>
    <s v="SATIŞ"/>
    <s v="POS"/>
    <n v="8.4000000000000005E-2"/>
    <n v="770"/>
    <n v="64.680000000000007"/>
    <n v="0"/>
    <m/>
    <m/>
    <m/>
    <m/>
    <n v="0"/>
    <n v="0"/>
    <n v="57110.578573026425"/>
  </r>
  <r>
    <d v="2026-03-01T00:00:00"/>
    <x v="4"/>
    <s v="SUMAK"/>
    <m/>
    <x v="5"/>
    <s v="ST00000001423"/>
    <s v="SATIŞ"/>
    <s v="POS"/>
    <n v="0.122"/>
    <n v="500"/>
    <n v="61"/>
    <n v="0"/>
    <m/>
    <m/>
    <m/>
    <m/>
    <n v="0"/>
    <n v="0"/>
    <n v="57110.578573026425"/>
  </r>
  <r>
    <d v="2026-03-01T00:00:00"/>
    <x v="4"/>
    <s v="DOLMALIK KURU PATLICAN"/>
    <m/>
    <x v="5"/>
    <s v="ST00000001423"/>
    <s v="SATIŞ"/>
    <s v="POS"/>
    <n v="1"/>
    <n v="250"/>
    <n v="250"/>
    <n v="0"/>
    <m/>
    <m/>
    <m/>
    <m/>
    <n v="0"/>
    <n v="0"/>
    <n v="57110.578573026425"/>
  </r>
  <r>
    <d v="2026-03-01T00:00:00"/>
    <x v="4"/>
    <s v="HİNDİSTAN CEVİZİ ( İRİ )"/>
    <m/>
    <x v="5"/>
    <s v="ST00000001423"/>
    <s v="SATIŞ"/>
    <s v="POS"/>
    <n v="0.1"/>
    <n v="600"/>
    <n v="60"/>
    <n v="0"/>
    <m/>
    <m/>
    <m/>
    <m/>
    <n v="0"/>
    <n v="0"/>
    <n v="57110.578573026425"/>
  </r>
  <r>
    <d v="2026-03-01T00:00:00"/>
    <x v="4"/>
    <s v="MİSVAK KUTULU (HOLDER)"/>
    <m/>
    <x v="5"/>
    <s v="ST00000001423"/>
    <s v="SATIŞ"/>
    <s v="POS"/>
    <n v="1"/>
    <n v="30"/>
    <n v="30"/>
    <n v="0"/>
    <m/>
    <m/>
    <m/>
    <m/>
    <n v="0"/>
    <n v="0"/>
    <n v="57110.578573026425"/>
  </r>
  <r>
    <d v="2026-03-01T00:00:00"/>
    <x v="4"/>
    <s v="MS 09 DERMA ÖRME SOPALI SIRT LİFİ"/>
    <m/>
    <x v="5"/>
    <s v="ST00000001423"/>
    <s v="SATIŞ"/>
    <s v="POS"/>
    <n v="1"/>
    <n v="150"/>
    <n v="150"/>
    <n v="0"/>
    <m/>
    <m/>
    <m/>
    <m/>
    <n v="0"/>
    <n v="0"/>
    <n v="57110.578573026425"/>
  </r>
  <r>
    <d v="2026-03-01T00:00:00"/>
    <x v="4"/>
    <s v="KARANFİL"/>
    <m/>
    <x v="5"/>
    <s v="ST00000001423"/>
    <s v="SATIŞ"/>
    <s v="POS"/>
    <n v="0.05"/>
    <n v="1200"/>
    <n v="60"/>
    <n v="0"/>
    <m/>
    <m/>
    <m/>
    <m/>
    <n v="0"/>
    <n v="0"/>
    <n v="57110.578573026425"/>
  </r>
  <r>
    <d v="2026-03-01T00:00:00"/>
    <x v="4"/>
    <s v="HİBİSKUS"/>
    <m/>
    <x v="5"/>
    <s v="ST00000001436"/>
    <s v="SATIŞ"/>
    <s v="POS"/>
    <n v="0.1"/>
    <n v="600"/>
    <n v="60"/>
    <n v="0"/>
    <m/>
    <m/>
    <m/>
    <m/>
    <n v="0"/>
    <n v="0"/>
    <n v="57110.578573026425"/>
  </r>
  <r>
    <d v="2026-03-01T00:00:00"/>
    <x v="4"/>
    <s v="KABUKLU CEVİZ (YERLİ)"/>
    <m/>
    <x v="5"/>
    <s v="ST00000001437"/>
    <s v="SATIŞ"/>
    <s v="POS"/>
    <n v="1"/>
    <n v="250"/>
    <n v="250"/>
    <n v="0"/>
    <m/>
    <m/>
    <m/>
    <m/>
    <n v="0"/>
    <n v="0"/>
    <n v="57110.578573026425"/>
  </r>
  <r>
    <d v="2026-03-01T00:00:00"/>
    <x v="4"/>
    <s v="ÇUBUK TARÇIN"/>
    <m/>
    <x v="1"/>
    <s v="ST00000001438"/>
    <s v="SATIŞ"/>
    <s v="NAKİT"/>
    <n v="0.08"/>
    <n v="813"/>
    <n v="0"/>
    <n v="0"/>
    <m/>
    <m/>
    <m/>
    <m/>
    <n v="65.040000000000006"/>
    <n v="0"/>
    <n v="57175.618573026426"/>
  </r>
  <r>
    <d v="2026-03-01T00:00:00"/>
    <x v="4"/>
    <s v="HİBİSKUS"/>
    <m/>
    <x v="1"/>
    <s v="ST00000001438"/>
    <s v="SATIŞ"/>
    <s v="NAKİT"/>
    <n v="0.1"/>
    <n v="650"/>
    <n v="0"/>
    <n v="0"/>
    <m/>
    <m/>
    <m/>
    <m/>
    <n v="65"/>
    <n v="0"/>
    <n v="57240.618573026426"/>
  </r>
  <r>
    <d v="2026-03-01T00:00:00"/>
    <x v="4"/>
    <s v="ÇUBUK TARÇIN"/>
    <m/>
    <x v="1"/>
    <s v="ST00000001439"/>
    <s v="SATIŞ"/>
    <s v="NAKİT"/>
    <n v="0.08"/>
    <n v="750"/>
    <n v="0"/>
    <n v="0"/>
    <m/>
    <m/>
    <m/>
    <m/>
    <n v="60"/>
    <n v="0"/>
    <n v="57300.618573026426"/>
  </r>
  <r>
    <d v="2026-03-01T00:00:00"/>
    <x v="4"/>
    <s v="DOLMALIK KURU PATLICAN"/>
    <m/>
    <x v="5"/>
    <s v="ST00000001440"/>
    <s v="SATIŞ"/>
    <s v="POS"/>
    <n v="0.5"/>
    <n v="250"/>
    <n v="125"/>
    <n v="0"/>
    <m/>
    <m/>
    <m/>
    <m/>
    <n v="0"/>
    <n v="0"/>
    <n v="57300.618573026426"/>
  </r>
  <r>
    <d v="2026-03-01T00:00:00"/>
    <x v="4"/>
    <s v="DOLMALIK KURU KABAK"/>
    <m/>
    <x v="5"/>
    <s v="ST00000001440"/>
    <s v="SATIŞ"/>
    <s v="POS"/>
    <n v="0.5"/>
    <n v="250"/>
    <n v="125"/>
    <n v="0"/>
    <m/>
    <m/>
    <m/>
    <m/>
    <n v="0"/>
    <n v="0"/>
    <n v="57300.618573026426"/>
  </r>
  <r>
    <d v="2026-03-01T00:00:00"/>
    <x v="4"/>
    <s v="CEVİZLİ SUCUK ATOM (ESMER)"/>
    <m/>
    <x v="5"/>
    <s v="ST00000001440"/>
    <s v="SATIŞ"/>
    <s v="POS"/>
    <n v="0.4"/>
    <n v="340"/>
    <n v="136"/>
    <n v="0"/>
    <m/>
    <m/>
    <m/>
    <m/>
    <n v="0"/>
    <n v="0"/>
    <n v="57300.618573026426"/>
  </r>
  <r>
    <d v="2026-03-01T00:00:00"/>
    <x v="4"/>
    <s v="KINA RGS DÖKME"/>
    <m/>
    <x v="5"/>
    <s v="ST00000001440"/>
    <s v="SATIŞ"/>
    <s v="POS"/>
    <n v="0.25"/>
    <n v="400"/>
    <n v="100"/>
    <n v="0"/>
    <m/>
    <m/>
    <m/>
    <m/>
    <n v="0"/>
    <n v="0"/>
    <n v="57300.618573026426"/>
  </r>
  <r>
    <d v="2026-03-01T00:00:00"/>
    <x v="4"/>
    <s v="KİTEL BULGUR (SEFER)"/>
    <m/>
    <x v="5"/>
    <s v="ST00000001440"/>
    <s v="SATIŞ"/>
    <s v="POS"/>
    <n v="0.2153846153846154"/>
    <n v="65"/>
    <n v="14"/>
    <n v="0"/>
    <m/>
    <m/>
    <m/>
    <m/>
    <n v="0"/>
    <n v="0"/>
    <n v="57300.618573026426"/>
  </r>
  <r>
    <d v="2026-03-01T00:00:00"/>
    <x v="4"/>
    <s v="KİTEL BULGUR (SEFER)"/>
    <m/>
    <x v="1"/>
    <s v="ST00000001441"/>
    <s v="SATIŞ"/>
    <s v="NAKİT"/>
    <n v="0.27692307692307694"/>
    <n v="65"/>
    <n v="0"/>
    <n v="0"/>
    <m/>
    <m/>
    <m/>
    <m/>
    <n v="18"/>
    <n v="0"/>
    <n v="57318.618573026426"/>
  </r>
  <r>
    <d v="2026-03-01T00:00:00"/>
    <x v="4"/>
    <s v="GÜNAYDIN KAYA TUZU İNCE"/>
    <m/>
    <x v="1"/>
    <s v="ST00000001442"/>
    <s v="SATIŞ"/>
    <s v="NAKİT"/>
    <n v="0.5"/>
    <n v="80"/>
    <n v="0"/>
    <n v="0"/>
    <m/>
    <m/>
    <m/>
    <m/>
    <n v="40"/>
    <n v="0"/>
    <n v="57358.618573026426"/>
  </r>
  <r>
    <d v="2026-03-01T00:00:00"/>
    <x v="4"/>
    <s v="TÜDAB TURŞU BİBER"/>
    <m/>
    <x v="5"/>
    <s v="ST00000001443"/>
    <s v="SATIŞ"/>
    <s v="POS"/>
    <n v="1"/>
    <n v="350"/>
    <n v="350"/>
    <n v="0"/>
    <m/>
    <m/>
    <m/>
    <m/>
    <n v="0"/>
    <n v="0"/>
    <n v="57358.618573026426"/>
  </r>
  <r>
    <d v="2026-03-01T00:00:00"/>
    <x v="4"/>
    <s v="SALÇA TATLI (EV YAPIMI)"/>
    <m/>
    <x v="1"/>
    <s v="ST00000001444"/>
    <s v="SATIŞ"/>
    <s v="NAKİT"/>
    <n v="1"/>
    <n v="200"/>
    <n v="0"/>
    <n v="0"/>
    <m/>
    <m/>
    <m/>
    <m/>
    <n v="200"/>
    <n v="0"/>
    <n v="57558.618573026426"/>
  </r>
  <r>
    <d v="2026-03-01T00:00:00"/>
    <x v="4"/>
    <s v="SUMAK"/>
    <m/>
    <x v="1"/>
    <s v="ST00000001445"/>
    <s v="SATIŞ"/>
    <s v="NAKİT"/>
    <n v="0.2"/>
    <n v="500"/>
    <n v="0"/>
    <n v="0"/>
    <m/>
    <m/>
    <m/>
    <m/>
    <n v="100"/>
    <n v="0"/>
    <n v="57658.618573026426"/>
  </r>
  <r>
    <d v="2026-03-01T00:00:00"/>
    <x v="4"/>
    <s v="NBN DAĞ İNCİRİ"/>
    <m/>
    <x v="1"/>
    <s v="ST00000001446"/>
    <s v="SATIŞ"/>
    <s v="NAKİT"/>
    <n v="0.5"/>
    <n v="800"/>
    <n v="0"/>
    <n v="0"/>
    <m/>
    <m/>
    <m/>
    <m/>
    <n v="400"/>
    <n v="0"/>
    <n v="58058.618573026426"/>
  </r>
  <r>
    <d v="2026-03-01T00:00:00"/>
    <x v="4"/>
    <s v="SEFAVİ HURMA"/>
    <m/>
    <x v="1"/>
    <s v="ST00000001447"/>
    <s v="SATIŞ"/>
    <s v="NAKİT"/>
    <n v="0.27027027027027029"/>
    <n v="370"/>
    <n v="0"/>
    <n v="0"/>
    <m/>
    <m/>
    <m/>
    <m/>
    <n v="100"/>
    <n v="0"/>
    <n v="58158.618573026426"/>
  </r>
  <r>
    <d v="2026-03-01T00:00:00"/>
    <x v="4"/>
    <s v="KARNIYARIK TOHUMU"/>
    <m/>
    <x v="5"/>
    <s v="ST00000001448"/>
    <s v="SATIŞ"/>
    <s v="POS"/>
    <n v="0.12"/>
    <n v="920"/>
    <n v="110.39999999999999"/>
    <n v="0"/>
    <m/>
    <m/>
    <m/>
    <m/>
    <n v="0"/>
    <n v="0"/>
    <n v="58158.618573026426"/>
  </r>
  <r>
    <d v="2026-03-01T00:00:00"/>
    <x v="4"/>
    <s v="SALÇA ACI (EV YAPIMI)"/>
    <m/>
    <x v="5"/>
    <s v="ST00000001449"/>
    <s v="SATIŞ"/>
    <s v="POS"/>
    <n v="1"/>
    <n v="200"/>
    <n v="200"/>
    <n v="0"/>
    <m/>
    <m/>
    <m/>
    <m/>
    <n v="0"/>
    <n v="0"/>
    <n v="58158.618573026426"/>
  </r>
  <r>
    <d v="2026-03-01T00:00:00"/>
    <x v="4"/>
    <s v="DOLMALIK SARI BİBER"/>
    <m/>
    <x v="5"/>
    <s v="ST00000001449"/>
    <s v="SATIŞ"/>
    <s v="POS"/>
    <n v="1"/>
    <n v="230"/>
    <n v="230"/>
    <n v="0"/>
    <m/>
    <m/>
    <m/>
    <m/>
    <n v="0"/>
    <n v="0"/>
    <n v="58158.618573026426"/>
  </r>
  <r>
    <d v="2026-03-01T00:00:00"/>
    <x v="4"/>
    <s v="DOLMALIK SARI BİBER"/>
    <m/>
    <x v="5"/>
    <s v="ST00000001449"/>
    <s v="SATIŞ"/>
    <s v="POS"/>
    <n v="0.2"/>
    <n v="225"/>
    <n v="45"/>
    <n v="0"/>
    <m/>
    <m/>
    <m/>
    <m/>
    <n v="0"/>
    <n v="0"/>
    <n v="58158.618573026426"/>
  </r>
  <r>
    <d v="2026-03-01T00:00:00"/>
    <x v="4"/>
    <s v="DOMATES SALÇASI"/>
    <m/>
    <x v="5"/>
    <s v="ST00000001449"/>
    <s v="SATIŞ"/>
    <s v="POS"/>
    <n v="1"/>
    <n v="150"/>
    <n v="150"/>
    <n v="0"/>
    <m/>
    <m/>
    <m/>
    <m/>
    <n v="0"/>
    <n v="0"/>
    <n v="58158.618573026426"/>
  </r>
  <r>
    <d v="2026-03-01T00:00:00"/>
    <x v="4"/>
    <s v="DOLMALIK KURU PATLICAN"/>
    <m/>
    <x v="1"/>
    <s v="ST00000001449"/>
    <s v="SATIŞ"/>
    <s v="NAKİT"/>
    <n v="1"/>
    <n v="250"/>
    <n v="0"/>
    <n v="0"/>
    <m/>
    <m/>
    <m/>
    <m/>
    <n v="250"/>
    <n v="0"/>
    <n v="58408.618573026426"/>
  </r>
  <r>
    <d v="2026-03-01T00:00:00"/>
    <x v="4"/>
    <s v="SUMAK TANE EKŞİLİ"/>
    <m/>
    <x v="1"/>
    <s v="ST00000001449"/>
    <s v="SATIŞ"/>
    <s v="NAKİT"/>
    <n v="0.1"/>
    <n v="500"/>
    <n v="0"/>
    <n v="0"/>
    <m/>
    <m/>
    <m/>
    <m/>
    <n v="50"/>
    <n v="0"/>
    <n v="58458.618573026426"/>
  </r>
  <r>
    <d v="2026-03-01T00:00:00"/>
    <x v="4"/>
    <s v="ADAÇAYI DEMET"/>
    <m/>
    <x v="1"/>
    <s v="ST00000001450"/>
    <s v="SATIŞ"/>
    <s v="NAKİT"/>
    <n v="1"/>
    <n v="60"/>
    <n v="0"/>
    <n v="0"/>
    <m/>
    <m/>
    <m/>
    <m/>
    <n v="60"/>
    <n v="0"/>
    <n v="58518.618573026426"/>
  </r>
  <r>
    <d v="2026-03-01T00:00:00"/>
    <x v="4"/>
    <s v="DOLMALIK KURU PATLICAN"/>
    <m/>
    <x v="5"/>
    <s v="ST00000001451"/>
    <s v="SATIŞ"/>
    <s v="POS"/>
    <n v="1"/>
    <n v="230"/>
    <n v="230"/>
    <n v="0"/>
    <m/>
    <m/>
    <m/>
    <m/>
    <n v="0"/>
    <n v="0"/>
    <n v="58518.618573026426"/>
  </r>
  <r>
    <d v="2026-03-01T00:00:00"/>
    <x v="4"/>
    <s v="DOLMALIK SARI BİBER"/>
    <m/>
    <x v="5"/>
    <s v="ST00000001451"/>
    <s v="SATIŞ"/>
    <s v="POS"/>
    <n v="1"/>
    <n v="230"/>
    <n v="230"/>
    <n v="0"/>
    <m/>
    <m/>
    <m/>
    <m/>
    <n v="0"/>
    <n v="0"/>
    <n v="58518.618573026426"/>
  </r>
  <r>
    <d v="2026-03-01T00:00:00"/>
    <x v="10"/>
    <m/>
    <m/>
    <x v="5"/>
    <m/>
    <s v="POS ÇÖZÜMÜ"/>
    <s v="POS"/>
    <n v="1"/>
    <n v="500"/>
    <n v="0"/>
    <n v="500"/>
    <m/>
    <m/>
    <m/>
    <m/>
    <n v="500"/>
    <n v="0"/>
    <n v="59018.618573026426"/>
  </r>
  <r>
    <d v="2026-03-01T00:00:00"/>
    <x v="10"/>
    <m/>
    <m/>
    <x v="5"/>
    <m/>
    <s v="POS ÇÖZÜMÜ - ON NUMARA - GİDER"/>
    <s v="POS"/>
    <n v="1"/>
    <n v="92"/>
    <n v="0"/>
    <n v="92"/>
    <m/>
    <m/>
    <m/>
    <m/>
    <n v="92"/>
    <n v="0"/>
    <n v="59110.618573026426"/>
  </r>
  <r>
    <d v="2026-03-01T00:00:00"/>
    <x v="1"/>
    <m/>
    <s v="TEMİZLİK GİDERLERİ"/>
    <x v="1"/>
    <m/>
    <s v="POS ÇÖZÜMÜ - ON NUMARA - GİDER"/>
    <s v="NAKİT"/>
    <n v="1"/>
    <n v="92"/>
    <n v="0"/>
    <n v="0"/>
    <m/>
    <m/>
    <m/>
    <m/>
    <n v="0"/>
    <n v="92"/>
    <n v="59018.618573026426"/>
  </r>
  <r>
    <d v="2026-03-02T00:00:00"/>
    <x v="4"/>
    <s v="DOLMALIK SARI BİBER"/>
    <m/>
    <x v="5"/>
    <s v="ST00000001442"/>
    <s v="SATIŞ"/>
    <s v="POS"/>
    <n v="1"/>
    <n v="230"/>
    <n v="230"/>
    <n v="0"/>
    <m/>
    <m/>
    <m/>
    <m/>
    <n v="0"/>
    <n v="0"/>
    <n v="59018.618573026426"/>
  </r>
  <r>
    <d v="2026-03-02T00:00:00"/>
    <x v="4"/>
    <s v="KABAK LİFLİ PİRİNÇ SABUN"/>
    <m/>
    <x v="5"/>
    <s v="ST00000001443"/>
    <s v="SATIŞ"/>
    <s v="POS"/>
    <n v="1"/>
    <n v="100"/>
    <n v="100"/>
    <n v="0"/>
    <m/>
    <m/>
    <m/>
    <m/>
    <n v="0"/>
    <n v="0"/>
    <n v="59018.618573026426"/>
  </r>
  <r>
    <d v="2026-03-02T00:00:00"/>
    <x v="4"/>
    <s v="KARABİBER TANE"/>
    <m/>
    <x v="1"/>
    <s v="ST00000001444"/>
    <s v="SATIŞ"/>
    <s v="NAKİT"/>
    <n v="0.1"/>
    <n v="700"/>
    <n v="0"/>
    <n v="0"/>
    <m/>
    <m/>
    <m/>
    <m/>
    <n v="70"/>
    <n v="0"/>
    <n v="59088.618573026426"/>
  </r>
  <r>
    <d v="2026-03-02T00:00:00"/>
    <x v="4"/>
    <s v="KİMYON TANE"/>
    <m/>
    <x v="1"/>
    <s v="ST00000001444"/>
    <s v="SATIŞ"/>
    <s v="NAKİT"/>
    <n v="6.1224489795918366E-2"/>
    <n v="490"/>
    <n v="0"/>
    <n v="0"/>
    <m/>
    <m/>
    <m/>
    <m/>
    <n v="30"/>
    <n v="0"/>
    <n v="59118.618573026426"/>
  </r>
  <r>
    <d v="2026-03-02T00:00:00"/>
    <x v="4"/>
    <s v="ORNATE KARINCA YUMURTASI 20 ML"/>
    <m/>
    <x v="5"/>
    <s v="ST00000001446"/>
    <s v="SATIŞ"/>
    <s v="POS"/>
    <n v="1"/>
    <n v="140"/>
    <n v="140"/>
    <n v="0"/>
    <m/>
    <m/>
    <m/>
    <m/>
    <n v="0"/>
    <n v="0"/>
    <n v="59118.618573026426"/>
  </r>
  <r>
    <d v="2026-03-02T00:00:00"/>
    <x v="4"/>
    <s v="LAVANTA YAĞI 10 CC"/>
    <m/>
    <x v="5"/>
    <s v="ST00000001446"/>
    <s v="SATIŞ"/>
    <s v="POS"/>
    <n v="1"/>
    <n v="130"/>
    <n v="130"/>
    <n v="0"/>
    <m/>
    <m/>
    <m/>
    <m/>
    <n v="0"/>
    <n v="0"/>
    <n v="59118.618573026426"/>
  </r>
  <r>
    <d v="2026-03-02T00:00:00"/>
    <x v="4"/>
    <s v="FINDIK İÇİ ÇİĞ"/>
    <m/>
    <x v="5"/>
    <s v="ST00000001447"/>
    <s v="SATIŞ"/>
    <s v="POS"/>
    <n v="0.4"/>
    <n v="1000"/>
    <n v="400"/>
    <n v="0"/>
    <m/>
    <m/>
    <m/>
    <m/>
    <n v="0"/>
    <n v="0"/>
    <n v="59118.618573026426"/>
  </r>
  <r>
    <d v="2026-03-02T00:00:00"/>
    <x v="4"/>
    <s v="DOLMALIK KURU PATLICAN"/>
    <m/>
    <x v="5"/>
    <s v="ST00000001447"/>
    <s v="SATIŞ"/>
    <s v="POS"/>
    <n v="1"/>
    <n v="250"/>
    <n v="250"/>
    <n v="0"/>
    <m/>
    <m/>
    <m/>
    <m/>
    <n v="0"/>
    <n v="0"/>
    <n v="59118.618573026426"/>
  </r>
  <r>
    <d v="2026-03-02T00:00:00"/>
    <x v="4"/>
    <s v="SALÇA ACI (EV YAPIMI)"/>
    <m/>
    <x v="5"/>
    <s v="ST00000001447"/>
    <s v="SATIŞ"/>
    <s v="POS"/>
    <n v="1"/>
    <n v="200"/>
    <n v="200"/>
    <n v="0"/>
    <m/>
    <m/>
    <m/>
    <m/>
    <n v="0"/>
    <n v="0"/>
    <n v="59118.618573026426"/>
  </r>
  <r>
    <d v="2026-03-02T00:00:00"/>
    <x v="4"/>
    <s v="ZERDEÇAL TOZ"/>
    <m/>
    <x v="1"/>
    <s v="ST00000001448"/>
    <s v="SATIŞ"/>
    <s v="NAKİT"/>
    <n v="0.1"/>
    <n v="300"/>
    <n v="0"/>
    <n v="0"/>
    <m/>
    <m/>
    <m/>
    <m/>
    <n v="30"/>
    <n v="0"/>
    <n v="59148.618573026426"/>
  </r>
  <r>
    <d v="2026-03-02T00:00:00"/>
    <x v="4"/>
    <s v="ZENCEFİL TOZ"/>
    <m/>
    <x v="1"/>
    <s v="ST00000001449"/>
    <s v="SATIŞ"/>
    <s v="NAKİT"/>
    <n v="6.25E-2"/>
    <n v="400"/>
    <n v="0"/>
    <n v="0"/>
    <m/>
    <m/>
    <m/>
    <m/>
    <n v="25"/>
    <n v="0"/>
    <n v="59173.618573026426"/>
  </r>
  <r>
    <d v="2026-03-02T00:00:00"/>
    <x v="4"/>
    <s v="KARIŞIK KURUYEMİŞ"/>
    <m/>
    <x v="5"/>
    <s v="ST00000001450"/>
    <s v="SATIŞ"/>
    <s v="POS"/>
    <n v="0.5"/>
    <n v="850"/>
    <n v="425"/>
    <n v="0"/>
    <m/>
    <m/>
    <m/>
    <m/>
    <n v="0"/>
    <n v="0"/>
    <n v="59173.618573026426"/>
  </r>
  <r>
    <d v="2026-03-02T00:00:00"/>
    <x v="4"/>
    <s v="DOLMALIK KURU PATLICAN"/>
    <m/>
    <x v="5"/>
    <s v="ST00000001450"/>
    <s v="SATIŞ"/>
    <s v="POS"/>
    <n v="1"/>
    <n v="225"/>
    <n v="225"/>
    <n v="0"/>
    <m/>
    <m/>
    <m/>
    <m/>
    <n v="0"/>
    <n v="0"/>
    <n v="59173.618573026426"/>
  </r>
  <r>
    <d v="2026-03-02T00:00:00"/>
    <x v="4"/>
    <s v="DOLMALIK KURU PATLICAN"/>
    <m/>
    <x v="1"/>
    <s v="ST00000001451"/>
    <s v="SATIŞ"/>
    <s v="NAKİT"/>
    <n v="0.75"/>
    <n v="250"/>
    <n v="0"/>
    <n v="0"/>
    <m/>
    <m/>
    <m/>
    <m/>
    <n v="187.5"/>
    <n v="0"/>
    <n v="59361.118573026426"/>
  </r>
  <r>
    <d v="2026-03-02T00:00:00"/>
    <x v="4"/>
    <s v="DOLMALIK SARI BİBER"/>
    <m/>
    <x v="1"/>
    <s v="ST00000001451"/>
    <s v="SATIŞ"/>
    <s v="NAKİT"/>
    <n v="0.5"/>
    <n v="230"/>
    <n v="0"/>
    <n v="0"/>
    <m/>
    <m/>
    <m/>
    <m/>
    <n v="115"/>
    <n v="0"/>
    <n v="59476.118573026426"/>
  </r>
  <r>
    <d v="2026-03-02T00:00:00"/>
    <x v="4"/>
    <s v="MANİSA YAPRAK DÖKME"/>
    <m/>
    <x v="1"/>
    <s v="ST00000001452"/>
    <s v="SATIŞ"/>
    <s v="NAKİT"/>
    <n v="1"/>
    <n v="320"/>
    <n v="0"/>
    <n v="0"/>
    <m/>
    <m/>
    <m/>
    <m/>
    <n v="320"/>
    <n v="0"/>
    <n v="59796.118573026426"/>
  </r>
  <r>
    <d v="2026-03-02T00:00:00"/>
    <x v="4"/>
    <s v="KABAK LİFLİ PİRİNÇ SABUN"/>
    <m/>
    <x v="1"/>
    <s v="ST00000001452"/>
    <s v="SATIŞ"/>
    <s v="NAKİT"/>
    <n v="1"/>
    <n v="100"/>
    <n v="0"/>
    <n v="0"/>
    <m/>
    <m/>
    <m/>
    <m/>
    <n v="100"/>
    <n v="0"/>
    <n v="59896.118573026426"/>
  </r>
  <r>
    <d v="2026-03-02T00:00:00"/>
    <x v="4"/>
    <s v="KABAK LİFLİ PİRİNÇ SABUN"/>
    <m/>
    <x v="1"/>
    <s v="ST00000001452"/>
    <s v="SATIŞ"/>
    <s v="NAKİT"/>
    <n v="1"/>
    <n v="100"/>
    <n v="0"/>
    <n v="0"/>
    <m/>
    <m/>
    <m/>
    <m/>
    <n v="100"/>
    <n v="0"/>
    <n v="59996.118573026426"/>
  </r>
  <r>
    <d v="2026-03-02T00:00:00"/>
    <x v="4"/>
    <s v="KETEN TOHUMU"/>
    <m/>
    <x v="1"/>
    <s v="ST00000001452"/>
    <s v="SATIŞ"/>
    <s v="NAKİT"/>
    <n v="0.5"/>
    <n v="140"/>
    <n v="0"/>
    <n v="0"/>
    <m/>
    <m/>
    <m/>
    <m/>
    <n v="70"/>
    <n v="0"/>
    <n v="60066.118573026426"/>
  </r>
  <r>
    <d v="2026-03-02T00:00:00"/>
    <x v="4"/>
    <s v="EVLİK BİBER"/>
    <m/>
    <x v="1"/>
    <s v="ST00000001452"/>
    <s v="SATIŞ"/>
    <s v="NAKİT"/>
    <n v="0.21249999999999999"/>
    <n v="400"/>
    <n v="0"/>
    <n v="0"/>
    <m/>
    <m/>
    <m/>
    <m/>
    <n v="85"/>
    <n v="0"/>
    <n v="60151.118573026426"/>
  </r>
  <r>
    <d v="2026-03-02T00:00:00"/>
    <x v="4"/>
    <s v="NANE İRİ"/>
    <m/>
    <x v="1"/>
    <s v="ST00000001452"/>
    <s v="SATIŞ"/>
    <s v="NAKİT"/>
    <n v="6.25E-2"/>
    <n v="400"/>
    <n v="0"/>
    <n v="0"/>
    <m/>
    <m/>
    <m/>
    <m/>
    <n v="25"/>
    <n v="0"/>
    <n v="60176.118573026426"/>
  </r>
  <r>
    <d v="2026-03-02T00:00:00"/>
    <x v="4"/>
    <s v="ALTIN OTU SIYIRMA"/>
    <m/>
    <x v="1"/>
    <s v="ST00000001453"/>
    <s v="SATIŞ"/>
    <s v="NAKİT"/>
    <n v="0.05"/>
    <n v="1600"/>
    <n v="0"/>
    <n v="0"/>
    <m/>
    <m/>
    <m/>
    <m/>
    <n v="80"/>
    <n v="0"/>
    <n v="60256.118573026426"/>
  </r>
  <r>
    <d v="2026-03-02T00:00:00"/>
    <x v="4"/>
    <s v="HATMİ ÇİÇEĞİ"/>
    <m/>
    <x v="1"/>
    <s v="ST00000001453"/>
    <s v="SATIŞ"/>
    <s v="NAKİT"/>
    <n v="0.05"/>
    <n v="1400"/>
    <n v="0"/>
    <n v="0"/>
    <m/>
    <m/>
    <m/>
    <m/>
    <n v="70"/>
    <n v="0"/>
    <n v="60326.118573026426"/>
  </r>
  <r>
    <d v="2026-03-02T00:00:00"/>
    <x v="4"/>
    <s v="AGARTA DİŞ MACUNU"/>
    <m/>
    <x v="1"/>
    <s v="ST00000001453"/>
    <s v="SATIŞ"/>
    <s v="NAKİT"/>
    <n v="1"/>
    <n v="135"/>
    <n v="0"/>
    <n v="0"/>
    <m/>
    <m/>
    <m/>
    <m/>
    <n v="135"/>
    <n v="0"/>
    <n v="60461.118573026426"/>
  </r>
  <r>
    <d v="2026-03-02T00:00:00"/>
    <x v="4"/>
    <s v="ARKO EL VÜCUT KREMİ 150 ml"/>
    <m/>
    <x v="1"/>
    <s v="ST00000001454"/>
    <s v="SATIŞ"/>
    <s v="NAKİT"/>
    <n v="1"/>
    <n v="95"/>
    <n v="0"/>
    <n v="0"/>
    <m/>
    <m/>
    <m/>
    <m/>
    <n v="95"/>
    <n v="0"/>
    <n v="60556.118573026426"/>
  </r>
  <r>
    <d v="2026-03-02T00:00:00"/>
    <x v="4"/>
    <s v="GENÇAY NAR EKŞİSİ 330 GR"/>
    <m/>
    <x v="1"/>
    <s v="ST00000001454"/>
    <s v="SATIŞ"/>
    <s v="NAKİT"/>
    <n v="1"/>
    <n v="180"/>
    <n v="0"/>
    <n v="0"/>
    <m/>
    <m/>
    <m/>
    <m/>
    <n v="180"/>
    <n v="0"/>
    <n v="60736.118573026426"/>
  </r>
  <r>
    <d v="2026-03-02T00:00:00"/>
    <x v="4"/>
    <s v="MEBRUM HURMA (3'LÜK)"/>
    <m/>
    <x v="5"/>
    <s v="ST00000001455"/>
    <s v="SATIŞ"/>
    <s v="POS"/>
    <n v="3"/>
    <n v="400"/>
    <n v="1200"/>
    <n v="0"/>
    <m/>
    <m/>
    <m/>
    <m/>
    <n v="0"/>
    <n v="0"/>
    <n v="60736.118573026426"/>
  </r>
  <r>
    <d v="2026-03-02T00:00:00"/>
    <x v="4"/>
    <s v="YENİBAHAR TOZ"/>
    <m/>
    <x v="1"/>
    <s v="ST00000001456"/>
    <s v="SATIŞ"/>
    <s v="NAKİT"/>
    <n v="0.06"/>
    <n v="770"/>
    <n v="0"/>
    <n v="0"/>
    <m/>
    <m/>
    <m/>
    <m/>
    <n v="46.199999999999996"/>
    <n v="0"/>
    <n v="60782.318573026423"/>
  </r>
  <r>
    <d v="2026-03-02T00:00:00"/>
    <x v="4"/>
    <s v="ÇUBUK TARÇIN"/>
    <m/>
    <x v="5"/>
    <s v="ST00000001457"/>
    <s v="SATIŞ"/>
    <s v="POS"/>
    <n v="0.08"/>
    <n v="750"/>
    <n v="60"/>
    <n v="0"/>
    <m/>
    <m/>
    <m/>
    <m/>
    <n v="0"/>
    <n v="0"/>
    <n v="60782.318573026423"/>
  </r>
  <r>
    <d v="2026-03-02T00:00:00"/>
    <x v="4"/>
    <s v="KARANFİL"/>
    <m/>
    <x v="5"/>
    <s v="ST00000001457"/>
    <s v="SATIŞ"/>
    <s v="POS"/>
    <n v="0.05"/>
    <n v="1100"/>
    <n v="55"/>
    <n v="0"/>
    <m/>
    <m/>
    <m/>
    <m/>
    <n v="0"/>
    <n v="0"/>
    <n v="60782.318573026423"/>
  </r>
  <r>
    <d v="2026-03-02T00:00:00"/>
    <x v="10"/>
    <m/>
    <m/>
    <x v="5"/>
    <m/>
    <s v="POS ÇÖZÜMÜ"/>
    <s v="POS"/>
    <n v="1"/>
    <n v="775"/>
    <n v="0"/>
    <n v="775"/>
    <m/>
    <m/>
    <m/>
    <m/>
    <n v="775"/>
    <n v="0"/>
    <n v="61557.318573026423"/>
  </r>
  <r>
    <d v="2026-03-02T00:00:00"/>
    <x v="10"/>
    <m/>
    <m/>
    <x v="5"/>
    <m/>
    <s v="POS ÇÖZÜMÜ"/>
    <s v="POS"/>
    <n v="1"/>
    <n v="208"/>
    <n v="0"/>
    <n v="208"/>
    <m/>
    <m/>
    <m/>
    <m/>
    <n v="208"/>
    <n v="0"/>
    <n v="61765.318573026423"/>
  </r>
  <r>
    <d v="2026-03-02T00:00:00"/>
    <x v="1"/>
    <m/>
    <s v="KİRA GİDERLERİ"/>
    <x v="1"/>
    <m/>
    <s v="KİRA GİDERİ - 2026/03"/>
    <s v="NAKİT"/>
    <n v="1"/>
    <n v="22000"/>
    <n v="0"/>
    <n v="0"/>
    <m/>
    <m/>
    <m/>
    <m/>
    <n v="0"/>
    <n v="22000"/>
    <n v="39765.318573026423"/>
  </r>
  <r>
    <d v="2026-03-02T00:00:00"/>
    <x v="10"/>
    <m/>
    <m/>
    <x v="5"/>
    <m/>
    <s v="KDV ÖDEME - ON NUMARA KART İLE"/>
    <s v="POS"/>
    <n v="1"/>
    <n v="791"/>
    <m/>
    <n v="791"/>
    <m/>
    <m/>
    <m/>
    <m/>
    <n v="791"/>
    <n v="0"/>
    <n v="40556.318573026423"/>
  </r>
  <r>
    <d v="2026-03-02T00:00:00"/>
    <x v="1"/>
    <m/>
    <s v="VERGİ VE HARÇLAR"/>
    <x v="1"/>
    <m/>
    <s v="KDV ÖDEME - ON NUMARA KART İLE"/>
    <s v="NAKİT"/>
    <n v="1"/>
    <n v="791"/>
    <n v="0"/>
    <n v="0"/>
    <m/>
    <m/>
    <m/>
    <m/>
    <n v="0"/>
    <n v="791"/>
    <n v="39765.318573026423"/>
  </r>
  <r>
    <d v="2026-03-03T00:00:00"/>
    <x v="3"/>
    <s v="ZÜHRE ANA KOZALAK MACUNU - ÇAM KOZALAĞI 240 GR"/>
    <m/>
    <x v="2"/>
    <s v="FT00000000072"/>
    <s v="TR"/>
    <s v="K.K."/>
    <n v="2"/>
    <n v="169.9"/>
    <n v="0"/>
    <n v="339.8"/>
    <m/>
    <m/>
    <m/>
    <m/>
    <n v="0"/>
    <n v="0"/>
    <n v="39765.318573026423"/>
  </r>
  <r>
    <d v="2026-03-03T00:00:00"/>
    <x v="3"/>
    <s v="ZÜHRE ANA PROPOLİS MACUNU 240 GR"/>
    <m/>
    <x v="2"/>
    <s v="FT00000000072"/>
    <s v="TR"/>
    <s v="K.K."/>
    <n v="2"/>
    <n v="169.9"/>
    <n v="0"/>
    <n v="339.8"/>
    <m/>
    <m/>
    <m/>
    <m/>
    <n v="0"/>
    <n v="0"/>
    <n v="39765.318573026423"/>
  </r>
  <r>
    <d v="2026-03-03T00:00:00"/>
    <x v="3"/>
    <s v="ERBATAB VİTAMİN D3 K2 2'Sİ 1 ARADA DAMLA - D3K2"/>
    <m/>
    <x v="2"/>
    <s v="FT00000000073"/>
    <s v="TR"/>
    <s v="K.K."/>
    <n v="2"/>
    <n v="197.9"/>
    <n v="0"/>
    <n v="395.8"/>
    <m/>
    <m/>
    <m/>
    <m/>
    <n v="0"/>
    <n v="0"/>
    <n v="39765.318573026423"/>
  </r>
  <r>
    <d v="2026-03-03T00:00:00"/>
    <x v="3"/>
    <s v="ERBATAB VİTAMİN D3 KİDS 20 ML 400 IU DAMLA"/>
    <m/>
    <x v="2"/>
    <s v="FT00000000073"/>
    <s v="TR"/>
    <s v="K.K."/>
    <n v="2"/>
    <n v="197.9"/>
    <n v="0"/>
    <n v="395.8"/>
    <m/>
    <m/>
    <m/>
    <m/>
    <n v="0"/>
    <n v="0"/>
    <n v="39765.318573026423"/>
  </r>
  <r>
    <d v="2026-03-03T00:00:00"/>
    <x v="3"/>
    <s v="ERBATAB VİTAMİN B12- FOLİK ASİT B9-METİLKOBALAMİN-METİLFOLAT"/>
    <m/>
    <x v="2"/>
    <s v="FT00000000074"/>
    <s v="TR"/>
    <s v="K.K."/>
    <n v="2"/>
    <n v="212.73"/>
    <n v="0"/>
    <n v="425.46"/>
    <m/>
    <m/>
    <m/>
    <m/>
    <n v="0"/>
    <n v="0"/>
    <n v="39765.318573026423"/>
  </r>
  <r>
    <d v="2026-03-03T00:00:00"/>
    <x v="3"/>
    <s v="ERBATAB LUGOL İYOT %2 SIVI TAKVİYE 20 ML TİROİD FONKSİYONUNU DESTEKLEYEN FORMÜL"/>
    <m/>
    <x v="2"/>
    <s v="FT00000000074"/>
    <s v="TR"/>
    <s v="K.K."/>
    <n v="2"/>
    <n v="212.72"/>
    <n v="0"/>
    <n v="425.44"/>
    <m/>
    <m/>
    <m/>
    <m/>
    <n v="0"/>
    <n v="0"/>
    <n v="39765.318573026423"/>
  </r>
  <r>
    <d v="2026-03-03T00:00:00"/>
    <x v="3"/>
    <s v="ERBATAB METİKOBALAMİN B12 SPREY 10 ML"/>
    <m/>
    <x v="2"/>
    <s v="FT00000000074"/>
    <s v="TR"/>
    <s v="K.K."/>
    <n v="2"/>
    <n v="222.06"/>
    <n v="0"/>
    <n v="444.12"/>
    <m/>
    <m/>
    <m/>
    <m/>
    <n v="0"/>
    <n v="0"/>
    <n v="39765.318573026423"/>
  </r>
  <r>
    <d v="2026-03-03T00:00:00"/>
    <x v="3"/>
    <s v="ERBATAB MAGNEZYUM 3 LÜ FORM (BİSGLİSİNAT, SİTRAT, MALAT) &amp; VİTAMİN B2 , B3 , B6 - 60 KAPSÜL"/>
    <m/>
    <x v="2"/>
    <s v="FT00000000075"/>
    <s v="TR"/>
    <s v="K.K."/>
    <n v="2"/>
    <n v="252.27"/>
    <n v="0"/>
    <n v="504.54"/>
    <m/>
    <m/>
    <m/>
    <m/>
    <n v="0"/>
    <n v="0"/>
    <n v="39765.318573026423"/>
  </r>
  <r>
    <d v="2026-03-03T00:00:00"/>
    <x v="3"/>
    <s v="ERBATAB DEMİR VİTAMİN 30 KAPSÜL"/>
    <m/>
    <x v="2"/>
    <s v="FT00000000075"/>
    <s v="TR"/>
    <s v="K.K."/>
    <n v="2"/>
    <n v="216.13"/>
    <n v="0"/>
    <n v="432.26"/>
    <m/>
    <m/>
    <m/>
    <m/>
    <n v="0"/>
    <n v="0"/>
    <n v="39765.318573026423"/>
  </r>
  <r>
    <d v="2026-03-03T00:00:00"/>
    <x v="1"/>
    <m/>
    <s v="AMBALAJ GİDERLERİ"/>
    <x v="2"/>
    <s v="FT00000000076"/>
    <s v="TR - 40X58 ETİKET"/>
    <s v="K.K."/>
    <n v="10"/>
    <n v="35"/>
    <n v="0"/>
    <n v="350"/>
    <m/>
    <m/>
    <m/>
    <m/>
    <n v="0"/>
    <n v="0"/>
    <n v="39765.318573026423"/>
  </r>
  <r>
    <d v="2026-03-03T00:00:00"/>
    <x v="1"/>
    <m/>
    <s v="AMBALAJ GİDERLERİ"/>
    <x v="2"/>
    <s v="FT00000000076"/>
    <s v="TR - POŞET YAPIŞTIRICI TEL &amp; TEFLON 5 ADET"/>
    <s v="K.K."/>
    <n v="5"/>
    <n v="107.2"/>
    <n v="0"/>
    <n v="536"/>
    <m/>
    <m/>
    <m/>
    <m/>
    <n v="0"/>
    <n v="0"/>
    <n v="39765.318573026423"/>
  </r>
  <r>
    <d v="2026-03-03T00:00:00"/>
    <x v="3"/>
    <s v="ERBATAB VİTAMİN B12- FOLİK ASİT B9-METİLKOBALAMİN-METİLFOLAT"/>
    <m/>
    <x v="2"/>
    <s v="FT00000000077"/>
    <s v="TR"/>
    <s v="K.K."/>
    <n v="1"/>
    <n v="199.46"/>
    <n v="0"/>
    <n v="199.46"/>
    <m/>
    <m/>
    <m/>
    <m/>
    <n v="0"/>
    <n v="0"/>
    <n v="39765.318573026423"/>
  </r>
  <r>
    <d v="2026-03-03T00:00:00"/>
    <x v="3"/>
    <s v="ERBATAB LUGOL İYOT %2 SIVI TAKVİYE 20 ML TİROİD FONKSİYONUNU DESTEKLEYEN FORMÜL"/>
    <m/>
    <x v="2"/>
    <s v="FT00000000077"/>
    <s v="TR"/>
    <s v="K.K."/>
    <n v="1"/>
    <n v="199.46"/>
    <n v="0"/>
    <n v="199.46"/>
    <m/>
    <m/>
    <m/>
    <m/>
    <n v="0"/>
    <n v="0"/>
    <n v="39765.318573026423"/>
  </r>
  <r>
    <d v="2026-03-03T00:00:00"/>
    <x v="3"/>
    <s v="ERBATAB VİTAMİN D3 K2 2'Sİ 1 ARADA DAMLA - D3K2"/>
    <m/>
    <x v="2"/>
    <s v="FT00000000077"/>
    <s v="TR"/>
    <s v="K.K."/>
    <n v="1"/>
    <n v="199.46"/>
    <n v="0"/>
    <n v="199.46"/>
    <m/>
    <m/>
    <m/>
    <m/>
    <n v="0"/>
    <n v="0"/>
    <n v="39765.318573026423"/>
  </r>
  <r>
    <d v="2026-03-03T00:00:00"/>
    <x v="3"/>
    <s v="ERBATAB VİTAMİN D3 KİDS 20 ML 400 IU DAMLA"/>
    <m/>
    <x v="2"/>
    <s v="FT00000000077"/>
    <s v="TR"/>
    <s v="K.K."/>
    <n v="1"/>
    <n v="199.46"/>
    <n v="0"/>
    <n v="199.46"/>
    <m/>
    <m/>
    <m/>
    <m/>
    <n v="0"/>
    <n v="0"/>
    <n v="39765.318573026423"/>
  </r>
  <r>
    <d v="2026-03-03T00:00:00"/>
    <x v="3"/>
    <s v="ERBATAB METİKOBALAMİN B12 SPREY 10 ML"/>
    <m/>
    <x v="2"/>
    <s v="FT00000000077"/>
    <s v="TR"/>
    <s v="K.K."/>
    <n v="1"/>
    <n v="217.76"/>
    <n v="0"/>
    <n v="217.76"/>
    <m/>
    <m/>
    <m/>
    <m/>
    <n v="0"/>
    <n v="0"/>
    <n v="39765.318573026423"/>
  </r>
  <r>
    <d v="2026-03-03T00:00:00"/>
    <x v="3"/>
    <s v="ZÜHRE ANA KİDS ARI SÜTÜ PEKMEZ BAL MACUN 240 GR"/>
    <m/>
    <x v="2"/>
    <s v="FT00000000078"/>
    <s v="TR"/>
    <s v="K.K."/>
    <n v="4"/>
    <n v="169.9"/>
    <n v="0"/>
    <n v="679.6"/>
    <m/>
    <m/>
    <m/>
    <m/>
    <n v="0"/>
    <n v="0"/>
    <n v="39765.318573026423"/>
  </r>
  <r>
    <d v="2026-03-03T00:00:00"/>
    <x v="3"/>
    <s v="ZÜHRE ANA PROPOLİS MACUNU 240 GR"/>
    <m/>
    <x v="2"/>
    <s v="FT00000000078"/>
    <s v="TR"/>
    <s v="K.K."/>
    <n v="4"/>
    <n v="169.9"/>
    <n v="0"/>
    <n v="679.6"/>
    <m/>
    <m/>
    <m/>
    <m/>
    <n v="0"/>
    <n v="0"/>
    <n v="39765.318573026423"/>
  </r>
  <r>
    <d v="2026-03-03T00:00:00"/>
    <x v="3"/>
    <s v="ZÜHRE ANA BROMELAİN ANANAS İÇEREN DETOX ŞURUBU 250 ML"/>
    <m/>
    <x v="2"/>
    <s v="FT00000000085"/>
    <s v="TR"/>
    <s v="K.K."/>
    <n v="4"/>
    <n v="169.9"/>
    <n v="0"/>
    <n v="679.6"/>
    <m/>
    <m/>
    <m/>
    <m/>
    <n v="0"/>
    <n v="0"/>
    <n v="39765.318573026423"/>
  </r>
  <r>
    <d v="2026-03-03T00:00:00"/>
    <x v="3"/>
    <s v="ZÜHRE ANA KİDS ARI SÜTÜ PEKMEZ BAL MACUN 240 GR"/>
    <m/>
    <x v="2"/>
    <s v="FT00000000086"/>
    <s v="TR"/>
    <s v="K.K."/>
    <n v="2"/>
    <n v="169.9"/>
    <n v="0"/>
    <n v="339.8"/>
    <m/>
    <m/>
    <m/>
    <m/>
    <n v="0"/>
    <n v="0"/>
    <n v="39765.318573026423"/>
  </r>
  <r>
    <d v="2026-03-03T00:00:00"/>
    <x v="3"/>
    <s v="ZÜHRE ANA PROPOLİS MACUNU 240 GR"/>
    <m/>
    <x v="2"/>
    <s v="FT00000000086"/>
    <s v="TR"/>
    <s v="K.K."/>
    <n v="2"/>
    <n v="169.9"/>
    <n v="0"/>
    <n v="339.8"/>
    <m/>
    <m/>
    <m/>
    <m/>
    <n v="0"/>
    <n v="0"/>
    <n v="39765.318573026423"/>
  </r>
  <r>
    <d v="2026-03-03T00:00:00"/>
    <x v="3"/>
    <s v="ZÜHRE ANA BROMELAİN ANANAS İÇEREN DETOX ŞURUBU 250 ML"/>
    <m/>
    <x v="2"/>
    <s v="FT00000000087"/>
    <s v="TR"/>
    <s v="K.K."/>
    <n v="6"/>
    <n v="169.9"/>
    <n v="0"/>
    <n v="1019.4000000000001"/>
    <m/>
    <m/>
    <m/>
    <m/>
    <n v="0"/>
    <n v="0"/>
    <n v="39765.318573026423"/>
  </r>
  <r>
    <d v="2026-03-03T00:00:00"/>
    <x v="4"/>
    <s v="AÇIK KAYISI İRİ (SARI)"/>
    <m/>
    <x v="5"/>
    <s v="ST00000001458"/>
    <s v="SATIŞ"/>
    <s v="POS"/>
    <n v="0.28985507246376813"/>
    <n v="690"/>
    <n v="200"/>
    <n v="0"/>
    <m/>
    <m/>
    <m/>
    <m/>
    <n v="0"/>
    <n v="0"/>
    <n v="39765.318573026423"/>
  </r>
  <r>
    <d v="2026-03-03T00:00:00"/>
    <x v="4"/>
    <s v="DEFNE YAPRAĞI"/>
    <m/>
    <x v="5"/>
    <s v="ST00000001459"/>
    <s v="SATIŞ"/>
    <s v="POS"/>
    <n v="0.05"/>
    <n v="1400"/>
    <n v="70"/>
    <n v="0"/>
    <m/>
    <m/>
    <m/>
    <m/>
    <n v="0"/>
    <n v="0"/>
    <n v="39765.318573026423"/>
  </r>
  <r>
    <d v="2026-03-03T00:00:00"/>
    <x v="4"/>
    <s v="ZÜHRE ANA BROMELAİN ANANAS İÇEREN DETOX ŞURUBU 250 ML"/>
    <m/>
    <x v="5"/>
    <s v="ST00000001459"/>
    <s v="SATIŞ"/>
    <s v="POS"/>
    <n v="1"/>
    <n v="250"/>
    <n v="250"/>
    <n v="0"/>
    <m/>
    <m/>
    <m/>
    <m/>
    <n v="0"/>
    <n v="0"/>
    <n v="39765.318573026423"/>
  </r>
  <r>
    <d v="2026-03-03T00:00:00"/>
    <x v="4"/>
    <s v="YEDİ TÜRLÜ BAHARAT  (LUXURY CHEF)"/>
    <m/>
    <x v="5"/>
    <s v="ST00000001459"/>
    <s v="SATIŞ"/>
    <s v="POS"/>
    <n v="0.1"/>
    <n v="900"/>
    <n v="90"/>
    <n v="0"/>
    <m/>
    <m/>
    <m/>
    <m/>
    <n v="0"/>
    <n v="0"/>
    <n v="39765.318573026423"/>
  </r>
  <r>
    <d v="2026-03-03T00:00:00"/>
    <x v="4"/>
    <s v="KARANFİL"/>
    <m/>
    <x v="5"/>
    <s v="ST00000001459"/>
    <s v="SATIŞ"/>
    <s v="POS"/>
    <n v="0.05"/>
    <n v="1200"/>
    <n v="60"/>
    <n v="0"/>
    <m/>
    <m/>
    <m/>
    <m/>
    <n v="0"/>
    <n v="0"/>
    <n v="39765.318573026423"/>
  </r>
  <r>
    <d v="2026-03-03T00:00:00"/>
    <x v="4"/>
    <s v="HİNT KINASI KAHVERENGİ (TEKLİ SATILACAK - 6 ADET)"/>
    <m/>
    <x v="5"/>
    <s v="ST00000001460"/>
    <s v="SATIŞ"/>
    <s v="POS"/>
    <n v="6"/>
    <n v="35"/>
    <n v="210"/>
    <n v="0"/>
    <m/>
    <m/>
    <m/>
    <m/>
    <n v="0"/>
    <n v="0"/>
    <n v="39765.318573026423"/>
  </r>
  <r>
    <d v="2026-03-03T00:00:00"/>
    <x v="4"/>
    <s v="HİNT YAĞI 50 CC"/>
    <m/>
    <x v="5"/>
    <s v="ST00000001460"/>
    <s v="SATIŞ"/>
    <s v="POS"/>
    <n v="1"/>
    <n v="130"/>
    <n v="130"/>
    <n v="0"/>
    <m/>
    <m/>
    <m/>
    <m/>
    <n v="0"/>
    <n v="0"/>
    <n v="39765.318573026423"/>
  </r>
  <r>
    <d v="2026-03-03T00:00:00"/>
    <x v="4"/>
    <s v="NANE YAĞI 10 CC"/>
    <m/>
    <x v="5"/>
    <s v="ST00000001460"/>
    <s v="SATIŞ"/>
    <s v="POS"/>
    <n v="1"/>
    <n v="145"/>
    <n v="145"/>
    <n v="0"/>
    <m/>
    <m/>
    <m/>
    <m/>
    <n v="0"/>
    <n v="0"/>
    <n v="39765.318573026423"/>
  </r>
  <r>
    <d v="2026-03-03T00:00:00"/>
    <x v="4"/>
    <s v="MANİSA YAPRAK DÖKME"/>
    <m/>
    <x v="5"/>
    <s v="ST00000001461"/>
    <s v="SATIŞ"/>
    <s v="POS"/>
    <n v="0.5"/>
    <n v="400"/>
    <n v="200"/>
    <n v="0"/>
    <m/>
    <m/>
    <m/>
    <m/>
    <n v="0"/>
    <n v="0"/>
    <n v="39765.318573026423"/>
  </r>
  <r>
    <d v="2026-03-03T00:00:00"/>
    <x v="4"/>
    <s v="BİBERİYE YAĞI 10 CC"/>
    <m/>
    <x v="5"/>
    <s v="ST00000001461"/>
    <s v="SATIŞ"/>
    <s v="POS"/>
    <n v="1"/>
    <n v="145"/>
    <n v="145"/>
    <n v="0"/>
    <m/>
    <m/>
    <m/>
    <m/>
    <n v="0"/>
    <n v="0"/>
    <n v="39765.318573026423"/>
  </r>
  <r>
    <d v="2026-03-03T00:00:00"/>
    <x v="4"/>
    <s v="BİBERİYE YAĞI 10 CC"/>
    <m/>
    <x v="5"/>
    <s v="ST00000001461"/>
    <s v="SATIŞ"/>
    <s v="POS"/>
    <n v="1"/>
    <n v="110"/>
    <n v="110"/>
    <n v="0"/>
    <m/>
    <m/>
    <m/>
    <m/>
    <n v="0"/>
    <n v="0"/>
    <n v="39765.318573026423"/>
  </r>
  <r>
    <d v="2026-03-03T00:00:00"/>
    <x v="4"/>
    <s v="LİMONTUZU PARCA"/>
    <m/>
    <x v="1"/>
    <s v="ST00000001462"/>
    <s v="SATIŞ"/>
    <s v="NAKİT"/>
    <n v="0.25"/>
    <n v="180"/>
    <n v="0"/>
    <n v="0"/>
    <m/>
    <m/>
    <m/>
    <m/>
    <n v="45"/>
    <n v="0"/>
    <n v="39810.318573026423"/>
  </r>
  <r>
    <d v="2026-03-03T00:00:00"/>
    <x v="4"/>
    <s v="TOZ BİBER - TATLI"/>
    <m/>
    <x v="1"/>
    <s v="ST00000001463"/>
    <s v="SATIŞ"/>
    <s v="NAKİT"/>
    <n v="0.13"/>
    <n v="400"/>
    <n v="0"/>
    <n v="0"/>
    <m/>
    <m/>
    <m/>
    <m/>
    <n v="52"/>
    <n v="0"/>
    <n v="39862.318573026423"/>
  </r>
  <r>
    <d v="2026-03-03T00:00:00"/>
    <x v="4"/>
    <s v="ZERDEÇAL TOZ"/>
    <m/>
    <x v="1"/>
    <s v="ST00000001463"/>
    <s v="SATIŞ"/>
    <s v="NAKİT"/>
    <n v="9.6666666666666665E-2"/>
    <n v="300"/>
    <n v="0"/>
    <n v="0"/>
    <m/>
    <m/>
    <m/>
    <m/>
    <n v="29"/>
    <n v="0"/>
    <n v="39891.318573026423"/>
  </r>
  <r>
    <d v="2026-03-03T00:00:00"/>
    <x v="4"/>
    <s v="KARABİBER ÇEKİLMİŞ"/>
    <m/>
    <x v="1"/>
    <s v="ST00000001464"/>
    <s v="SATIŞ"/>
    <s v="NAKİT"/>
    <n v="0.08"/>
    <n v="650"/>
    <n v="0"/>
    <n v="0"/>
    <m/>
    <m/>
    <m/>
    <m/>
    <n v="52"/>
    <n v="0"/>
    <n v="39943.318573026423"/>
  </r>
  <r>
    <d v="2026-03-03T00:00:00"/>
    <x v="4"/>
    <s v="KİMYON ÇEKİLMİŞ"/>
    <m/>
    <x v="1"/>
    <s v="ST00000001464"/>
    <s v="SATIŞ"/>
    <s v="NAKİT"/>
    <n v="0.05"/>
    <n v="400"/>
    <n v="0"/>
    <n v="0"/>
    <m/>
    <m/>
    <m/>
    <m/>
    <n v="20"/>
    <n v="0"/>
    <n v="39963.318573026423"/>
  </r>
  <r>
    <d v="2026-03-03T00:00:00"/>
    <x v="4"/>
    <s v="YEDİ TÜRLÜ BAHARAT  (LUXURY CHEF)"/>
    <m/>
    <x v="1"/>
    <s v="ST00000001464"/>
    <s v="SATIŞ"/>
    <s v="NAKİT"/>
    <n v="0.1"/>
    <n v="900"/>
    <n v="0"/>
    <n v="0"/>
    <m/>
    <m/>
    <m/>
    <m/>
    <n v="90"/>
    <n v="0"/>
    <n v="40053.318573026423"/>
  </r>
  <r>
    <d v="2026-03-03T00:00:00"/>
    <x v="4"/>
    <s v="GENÇAY KEÇİ BOYNUZU ÖZÜ 675 GR"/>
    <m/>
    <x v="5"/>
    <s v="ST00000001465"/>
    <s v="SATIŞ"/>
    <s v="POS"/>
    <n v="1"/>
    <n v="195"/>
    <n v="195"/>
    <n v="0"/>
    <m/>
    <m/>
    <m/>
    <m/>
    <n v="0"/>
    <n v="0"/>
    <n v="40053.318573026423"/>
  </r>
  <r>
    <d v="2026-03-03T00:00:00"/>
    <x v="4"/>
    <s v="SALÇA TATLI (EV YAPIMI)"/>
    <m/>
    <x v="5"/>
    <s v="ST00000001465"/>
    <s v="SATIŞ"/>
    <s v="POS"/>
    <n v="0.5"/>
    <n v="200"/>
    <n v="100"/>
    <n v="0"/>
    <m/>
    <m/>
    <m/>
    <m/>
    <n v="0"/>
    <n v="0"/>
    <n v="40053.318573026423"/>
  </r>
  <r>
    <d v="2026-03-03T00:00:00"/>
    <x v="4"/>
    <s v="SALÇA ACI (EV YAPIMI)"/>
    <m/>
    <x v="5"/>
    <s v="ST00000001465"/>
    <s v="SATIŞ"/>
    <s v="POS"/>
    <n v="0.5"/>
    <n v="200"/>
    <n v="100"/>
    <n v="0"/>
    <m/>
    <m/>
    <m/>
    <m/>
    <n v="0"/>
    <n v="0"/>
    <n v="40053.318573026423"/>
  </r>
  <r>
    <d v="2026-03-03T00:00:00"/>
    <x v="4"/>
    <s v="MEBRUM HURMA 2 (5'LİK)"/>
    <m/>
    <x v="5"/>
    <s v="ST00000001466"/>
    <s v="SATIŞ"/>
    <s v="POS"/>
    <n v="2"/>
    <n v="400"/>
    <n v="800"/>
    <n v="0"/>
    <m/>
    <m/>
    <m/>
    <m/>
    <n v="0"/>
    <n v="0"/>
    <n v="40053.318573026423"/>
  </r>
  <r>
    <d v="2026-03-03T00:00:00"/>
    <x v="4"/>
    <s v="BAMYA TOHUMU"/>
    <m/>
    <x v="5"/>
    <s v="ST00000001466"/>
    <s v="SATIŞ"/>
    <s v="POS"/>
    <n v="0.1"/>
    <n v="900"/>
    <n v="90"/>
    <n v="0"/>
    <m/>
    <m/>
    <m/>
    <m/>
    <n v="0"/>
    <n v="0"/>
    <n v="40053.318573026423"/>
  </r>
  <r>
    <d v="2026-03-03T00:00:00"/>
    <x v="4"/>
    <s v="SUSAM YAĞI 50 CC"/>
    <m/>
    <x v="5"/>
    <s v="ST00000001466"/>
    <s v="SATIŞ"/>
    <s v="POS"/>
    <n v="1"/>
    <n v="110"/>
    <n v="110"/>
    <n v="0"/>
    <m/>
    <m/>
    <m/>
    <m/>
    <n v="0"/>
    <n v="0"/>
    <n v="40053.318573026423"/>
  </r>
  <r>
    <d v="2026-03-03T00:00:00"/>
    <x v="4"/>
    <s v="MEBRUM HURMA 2 (5'LİK)"/>
    <m/>
    <x v="1"/>
    <s v="ST00000001467"/>
    <s v="SATIŞ"/>
    <s v="NAKİT"/>
    <n v="0.5714285714285714"/>
    <n v="420"/>
    <n v="0"/>
    <n v="0"/>
    <m/>
    <m/>
    <m/>
    <m/>
    <n v="240"/>
    <n v="0"/>
    <n v="40293.318573026423"/>
  </r>
  <r>
    <d v="2026-03-03T00:00:00"/>
    <x v="4"/>
    <s v="AÇLIK OTU"/>
    <m/>
    <x v="1"/>
    <s v="ST00000001468"/>
    <s v="SATIŞ"/>
    <s v="NAKİT"/>
    <n v="0.24"/>
    <n v="417"/>
    <n v="0"/>
    <n v="0"/>
    <m/>
    <m/>
    <m/>
    <m/>
    <n v="100.08"/>
    <n v="0"/>
    <n v="40393.398573026425"/>
  </r>
  <r>
    <d v="2026-03-03T00:00:00"/>
    <x v="4"/>
    <s v="KARANFİL"/>
    <m/>
    <x v="1"/>
    <s v="ST00000001469"/>
    <s v="SATIŞ"/>
    <s v="NAKİT"/>
    <n v="0.05"/>
    <n v="1200"/>
    <n v="0"/>
    <n v="0"/>
    <m/>
    <m/>
    <m/>
    <m/>
    <n v="60"/>
    <n v="0"/>
    <n v="40453.398573026425"/>
  </r>
  <r>
    <d v="2026-03-03T00:00:00"/>
    <x v="7"/>
    <m/>
    <m/>
    <x v="3"/>
    <m/>
    <s v="YALÇINTAT - CARİ ÖDEME (ANNE ZEKAT)"/>
    <s v="NAKİT"/>
    <n v="1"/>
    <n v="0"/>
    <n v="10000"/>
    <n v="0"/>
    <m/>
    <m/>
    <m/>
    <m/>
    <n v="0"/>
    <n v="10000"/>
    <n v="30453.398573026425"/>
  </r>
  <r>
    <d v="2026-03-03T00:00:00"/>
    <x v="11"/>
    <m/>
    <m/>
    <x v="11"/>
    <m/>
    <s v="HANİFE DİVLEK - TAHSİLAT -TFK"/>
    <s v="NAKİT"/>
    <n v="1"/>
    <n v="3620"/>
    <n v="0"/>
    <n v="3620"/>
    <m/>
    <m/>
    <m/>
    <m/>
    <n v="3620"/>
    <n v="0"/>
    <n v="34073.398573026425"/>
  </r>
  <r>
    <d v="2026-03-03T00:00:00"/>
    <x v="11"/>
    <m/>
    <m/>
    <x v="11"/>
    <m/>
    <s v="HANİFE DİVLEK - TAHSİLAT -TFK"/>
    <s v="NAKİT"/>
    <n v="1"/>
    <n v="4575"/>
    <n v="0"/>
    <n v="4575"/>
    <m/>
    <m/>
    <m/>
    <m/>
    <n v="4575"/>
    <n v="0"/>
    <n v="38648.398573026425"/>
  </r>
  <r>
    <d v="2026-03-03T00:00:00"/>
    <x v="10"/>
    <m/>
    <m/>
    <x v="5"/>
    <m/>
    <s v="POS ÇÖZÜMÜ"/>
    <s v="POS"/>
    <n v="1"/>
    <n v="509"/>
    <n v="0"/>
    <n v="509"/>
    <n v="208"/>
    <m/>
    <m/>
    <m/>
    <n v="509"/>
    <n v="0"/>
    <n v="39157.398573026425"/>
  </r>
  <r>
    <d v="2026-03-03T00:00:00"/>
    <x v="10"/>
    <m/>
    <m/>
    <x v="5"/>
    <m/>
    <s v="POS ÇÖZÜMÜ"/>
    <s v="POS"/>
    <n v="1"/>
    <n v="675"/>
    <n v="0"/>
    <n v="675"/>
    <m/>
    <m/>
    <m/>
    <m/>
    <n v="675"/>
    <n v="0"/>
    <n v="39832.398573026425"/>
  </r>
  <r>
    <d v="2026-03-04T00:00:00"/>
    <x v="3"/>
    <s v="COLLAGEN FORTE PLATİNUM OMEGA 3 90 SOFT JEL"/>
    <m/>
    <x v="2"/>
    <s v="FT00000000079"/>
    <s v="TR"/>
    <s v="K.K."/>
    <n v="3"/>
    <n v="237.44"/>
    <n v="0"/>
    <n v="712.31999999999994"/>
    <m/>
    <m/>
    <m/>
    <m/>
    <n v="0"/>
    <n v="0"/>
    <n v="39832.398573026425"/>
  </r>
  <r>
    <d v="2026-03-04T00:00:00"/>
    <x v="3"/>
    <s v="TALA YILAN YAĞI 20 ML"/>
    <m/>
    <x v="2"/>
    <s v="FT00000000080"/>
    <s v="TR"/>
    <s v="K.K."/>
    <n v="8"/>
    <n v="69.95"/>
    <n v="0"/>
    <n v="559.6"/>
    <m/>
    <m/>
    <m/>
    <m/>
    <n v="0"/>
    <n v="0"/>
    <n v="39832.398573026425"/>
  </r>
  <r>
    <d v="2026-03-04T00:00:00"/>
    <x v="3"/>
    <s v="ZÜHRE ANA ANANAS SİRKESİ 500 ML"/>
    <m/>
    <x v="2"/>
    <s v="FT00000000081"/>
    <s v="TR"/>
    <s v="K.K."/>
    <n v="6"/>
    <n v="127.62"/>
    <n v="0"/>
    <n v="765.72"/>
    <m/>
    <m/>
    <m/>
    <m/>
    <n v="0"/>
    <n v="0"/>
    <n v="39832.398573026425"/>
  </r>
  <r>
    <d v="2026-03-04T00:00:00"/>
    <x v="4"/>
    <s v="TOZ BİBER - ACI"/>
    <m/>
    <x v="1"/>
    <s v="ST00000001471"/>
    <s v="SATIŞ"/>
    <s v="NAKİT"/>
    <n v="6.5000000000000002E-2"/>
    <n v="400"/>
    <n v="0"/>
    <n v="0"/>
    <m/>
    <m/>
    <m/>
    <m/>
    <n v="26"/>
    <n v="0"/>
    <n v="39858.398573026425"/>
  </r>
  <r>
    <d v="2026-03-04T00:00:00"/>
    <x v="4"/>
    <s v="TOZ BİBER - TATLI"/>
    <m/>
    <x v="1"/>
    <s v="ST00000001471"/>
    <s v="SATIŞ"/>
    <s v="NAKİT"/>
    <n v="0.13"/>
    <n v="400"/>
    <n v="0"/>
    <n v="0"/>
    <m/>
    <m/>
    <m/>
    <m/>
    <n v="52"/>
    <n v="0"/>
    <n v="39910.398573026425"/>
  </r>
  <r>
    <d v="2026-03-04T00:00:00"/>
    <x v="4"/>
    <s v="LİMONTUZU PARCA"/>
    <m/>
    <x v="1"/>
    <s v="ST00000001472"/>
    <s v="SATIŞ"/>
    <s v="NAKİT"/>
    <n v="0.83399999999999996"/>
    <n v="180"/>
    <n v="0"/>
    <n v="0"/>
    <m/>
    <m/>
    <m/>
    <m/>
    <n v="150.12"/>
    <n v="0"/>
    <n v="40060.518573026427"/>
  </r>
  <r>
    <d v="2026-03-04T00:00:00"/>
    <x v="4"/>
    <s v="TOZ BİBER - TATLI"/>
    <m/>
    <x v="1"/>
    <s v="ST00000001472"/>
    <s v="SATIŞ"/>
    <s v="NAKİT"/>
    <n v="0.13750000000000001"/>
    <n v="400"/>
    <n v="0"/>
    <n v="0"/>
    <m/>
    <m/>
    <m/>
    <m/>
    <n v="55.000000000000007"/>
    <n v="0"/>
    <n v="40115.518573026427"/>
  </r>
  <r>
    <d v="2026-03-04T00:00:00"/>
    <x v="4"/>
    <s v="DOLMALIK KURU PATLICAN"/>
    <m/>
    <x v="5"/>
    <s v="ST00000001473"/>
    <s v="SATIŞ"/>
    <s v="POS"/>
    <n v="0.5"/>
    <n v="250"/>
    <n v="125"/>
    <n v="0"/>
    <m/>
    <m/>
    <m/>
    <m/>
    <n v="0"/>
    <n v="0"/>
    <n v="40115.518573026427"/>
  </r>
  <r>
    <d v="2026-03-04T00:00:00"/>
    <x v="4"/>
    <s v="DOLMALIK SARI BİBER"/>
    <m/>
    <x v="5"/>
    <s v="ST00000001473"/>
    <s v="SATIŞ"/>
    <s v="POS"/>
    <n v="0.5"/>
    <n v="230"/>
    <n v="115"/>
    <n v="0"/>
    <m/>
    <m/>
    <m/>
    <m/>
    <n v="0"/>
    <n v="0"/>
    <n v="40115.518573026427"/>
  </r>
  <r>
    <d v="2026-03-04T00:00:00"/>
    <x v="4"/>
    <s v="MANİSA YAPRAK DÖKME"/>
    <m/>
    <x v="1"/>
    <s v="ST00000001474"/>
    <s v="SATIŞ"/>
    <s v="NAKİT"/>
    <n v="0.5"/>
    <n v="400"/>
    <n v="0"/>
    <n v="0"/>
    <m/>
    <m/>
    <m/>
    <m/>
    <n v="200"/>
    <n v="0"/>
    <n v="40315.518573026427"/>
  </r>
  <r>
    <d v="2026-03-04T00:00:00"/>
    <x v="4"/>
    <s v="KARANFİL YAĞI 10 CC"/>
    <m/>
    <x v="5"/>
    <s v="ST00000001475"/>
    <s v="SATIŞ"/>
    <s v="POS"/>
    <n v="1"/>
    <n v="130"/>
    <n v="130"/>
    <n v="0"/>
    <m/>
    <m/>
    <m/>
    <m/>
    <n v="0"/>
    <n v="0"/>
    <n v="40315.518573026427"/>
  </r>
  <r>
    <d v="2026-03-04T00:00:00"/>
    <x v="4"/>
    <s v="NANE İRİ"/>
    <m/>
    <x v="1"/>
    <s v="ST00000001476"/>
    <s v="SATIŞ"/>
    <s v="NAKİT"/>
    <n v="0.125"/>
    <n v="400"/>
    <n v="0"/>
    <n v="0"/>
    <m/>
    <m/>
    <m/>
    <m/>
    <n v="50"/>
    <n v="0"/>
    <n v="40365.518573026427"/>
  </r>
  <r>
    <d v="2026-03-04T00:00:00"/>
    <x v="4"/>
    <s v="TÜDAB KARIŞIK TURŞU"/>
    <m/>
    <x v="1"/>
    <s v="ST00000001477"/>
    <s v="SATIŞ"/>
    <s v="NAKİT"/>
    <n v="1"/>
    <n v="400"/>
    <n v="0"/>
    <n v="0"/>
    <m/>
    <m/>
    <m/>
    <m/>
    <n v="400"/>
    <n v="0"/>
    <n v="40765.518573026427"/>
  </r>
  <r>
    <d v="2026-03-04T00:00:00"/>
    <x v="4"/>
    <s v="HARMANA HİNDİBA KAHVESİ 150G 1 AYLIK 60 KULLANIM"/>
    <m/>
    <x v="5"/>
    <s v="ST00000001478"/>
    <s v="SATIŞ"/>
    <s v="POS"/>
    <n v="1"/>
    <n v="350"/>
    <n v="350"/>
    <n v="0"/>
    <m/>
    <m/>
    <m/>
    <m/>
    <n v="0"/>
    <n v="0"/>
    <n v="40765.518573026427"/>
  </r>
  <r>
    <d v="2026-03-04T00:00:00"/>
    <x v="4"/>
    <s v="İPEK BİBER"/>
    <m/>
    <x v="5"/>
    <s v="ST00000001478"/>
    <s v="SATIŞ"/>
    <s v="POS"/>
    <n v="0.16"/>
    <n v="500"/>
    <n v="80"/>
    <n v="0"/>
    <m/>
    <m/>
    <m/>
    <m/>
    <n v="0"/>
    <n v="0"/>
    <n v="40765.518573026427"/>
  </r>
  <r>
    <d v="2026-03-04T00:00:00"/>
    <x v="4"/>
    <s v="ŞENAY SUMAK EKŞİSİ 600 GR"/>
    <m/>
    <x v="1"/>
    <s v="ST00000001479"/>
    <s v="SATIŞ"/>
    <s v="NAKİT"/>
    <n v="1"/>
    <n v="190"/>
    <n v="0"/>
    <n v="0"/>
    <m/>
    <m/>
    <m/>
    <m/>
    <n v="190"/>
    <n v="0"/>
    <n v="40955.518573026427"/>
  </r>
  <r>
    <d v="2026-03-04T00:00:00"/>
    <x v="4"/>
    <s v="TOZ BİBER - TATLI"/>
    <m/>
    <x v="1"/>
    <s v="ST00000001479"/>
    <s v="SATIŞ"/>
    <s v="NAKİT"/>
    <n v="0.1575"/>
    <n v="381"/>
    <n v="0"/>
    <n v="0"/>
    <m/>
    <m/>
    <m/>
    <m/>
    <n v="60.0075"/>
    <n v="0"/>
    <n v="41015.526073026427"/>
  </r>
  <r>
    <d v="2026-03-04T00:00:00"/>
    <x v="4"/>
    <s v="AGARTA DİŞ MACUNU"/>
    <m/>
    <x v="1"/>
    <s v="ST00000001479"/>
    <s v="SATIŞ"/>
    <s v="NAKİT"/>
    <n v="1"/>
    <n v="100"/>
    <n v="0"/>
    <n v="0"/>
    <m/>
    <m/>
    <m/>
    <m/>
    <n v="100"/>
    <n v="0"/>
    <n v="41115.526073026427"/>
  </r>
  <r>
    <d v="2026-03-04T00:00:00"/>
    <x v="4"/>
    <s v="SALÇA TATLI (EV YAPIMI)"/>
    <m/>
    <x v="1"/>
    <s v="ST00000001479"/>
    <s v="SATIŞ"/>
    <s v="NAKİT"/>
    <n v="1"/>
    <n v="200"/>
    <n v="0"/>
    <n v="0"/>
    <m/>
    <m/>
    <m/>
    <m/>
    <n v="200"/>
    <n v="0"/>
    <n v="41315.526073026427"/>
  </r>
  <r>
    <d v="2026-03-04T00:00:00"/>
    <x v="4"/>
    <s v="SALÇA ACI (EV YAPIMI)"/>
    <m/>
    <x v="1"/>
    <s v="ST00000001479"/>
    <s v="SATIŞ"/>
    <s v="NAKİT"/>
    <n v="1"/>
    <n v="200"/>
    <n v="0"/>
    <n v="0"/>
    <m/>
    <m/>
    <m/>
    <m/>
    <n v="200"/>
    <n v="0"/>
    <n v="41515.526073026427"/>
  </r>
  <r>
    <d v="2026-03-04T00:00:00"/>
    <x v="4"/>
    <s v="CEVİZ KELEBEK (ŞİLİ)"/>
    <m/>
    <x v="1"/>
    <s v="ST00000001479"/>
    <s v="SATIŞ"/>
    <s v="NAKİT"/>
    <n v="0.5"/>
    <n v="750"/>
    <n v="0"/>
    <n v="0"/>
    <m/>
    <m/>
    <m/>
    <m/>
    <n v="375"/>
    <n v="0"/>
    <n v="41890.526073026427"/>
  </r>
  <r>
    <d v="2026-03-04T00:00:00"/>
    <x v="4"/>
    <s v="FINDIK İÇİ ÇİĞ"/>
    <m/>
    <x v="1"/>
    <s v="ST00000001479"/>
    <s v="SATIŞ"/>
    <s v="NAKİT"/>
    <n v="0.5"/>
    <n v="950"/>
    <n v="0"/>
    <n v="0"/>
    <m/>
    <m/>
    <m/>
    <m/>
    <n v="475"/>
    <n v="0"/>
    <n v="42365.526073026427"/>
  </r>
  <r>
    <d v="2026-03-04T00:00:00"/>
    <x v="0"/>
    <m/>
    <m/>
    <x v="0"/>
    <m/>
    <s v="SERMAYE - GERİ ÖDEME"/>
    <s v="NAKİT"/>
    <n v="1"/>
    <n v="15000"/>
    <n v="15000"/>
    <n v="0"/>
    <m/>
    <m/>
    <m/>
    <m/>
    <n v="0"/>
    <n v="15000"/>
    <n v="27365.526073026427"/>
  </r>
  <r>
    <d v="2026-03-04T00:00:00"/>
    <x v="10"/>
    <m/>
    <m/>
    <x v="5"/>
    <m/>
    <s v="POS ÇÖZÜMÜ"/>
    <s v="POS"/>
    <n v="1"/>
    <n v="965"/>
    <n v="0"/>
    <n v="965"/>
    <m/>
    <m/>
    <m/>
    <m/>
    <n v="965"/>
    <n v="0"/>
    <n v="28330.526073026427"/>
  </r>
  <r>
    <d v="2026-03-05T00:00:00"/>
    <x v="3"/>
    <s v="ZÜHRE ANA BROMELAİN ANANAS İÇEREN DETOX ŞURUBU 250 ML"/>
    <m/>
    <x v="2"/>
    <s v="FT00000000082"/>
    <s v="TR"/>
    <s v="K.K."/>
    <n v="5"/>
    <n v="151.9"/>
    <n v="0"/>
    <n v="759.5"/>
    <m/>
    <m/>
    <m/>
    <m/>
    <n v="0"/>
    <n v="0"/>
    <n v="28330.526073026427"/>
  </r>
  <r>
    <d v="2026-03-05T00:00:00"/>
    <x v="3"/>
    <s v="LG ENGİNAR SUYU 1 LT"/>
    <m/>
    <x v="2"/>
    <s v="FTR202600000127"/>
    <s v="MECİT EFENDİ - MY LİFE"/>
    <s v="K.K."/>
    <n v="5"/>
    <n v="91.213099999999997"/>
    <n v="0"/>
    <n v="456.06549999999999"/>
    <m/>
    <m/>
    <m/>
    <m/>
    <n v="0"/>
    <n v="0"/>
    <n v="28330.526073026427"/>
  </r>
  <r>
    <d v="2026-03-05T00:00:00"/>
    <x v="3"/>
    <s v="MECİTEFENDİ AKTİF KARBONLU DOĞAL DİŞ MACUNU 75 ml"/>
    <m/>
    <x v="2"/>
    <s v="FTR202600000127"/>
    <s v="MECİT EFENDİ - MY LİFE"/>
    <s v="K.K."/>
    <n v="5"/>
    <n v="83.446000000000012"/>
    <n v="0"/>
    <n v="417.23000000000008"/>
    <m/>
    <m/>
    <m/>
    <m/>
    <n v="0"/>
    <n v="0"/>
    <n v="28330.526073026427"/>
  </r>
  <r>
    <d v="2026-03-05T00:00:00"/>
    <x v="3"/>
    <s v="MECİTEFENDİ MİSVAK ÖZLÜ DOĞAL DİŞ MACUNU 75 ml"/>
    <m/>
    <x v="2"/>
    <s v="FTR202600000127"/>
    <s v="MECİT EFENDİ - MY LİFE"/>
    <s v="K.K."/>
    <n v="10"/>
    <n v="75.504000000000005"/>
    <n v="0"/>
    <n v="755.04000000000008"/>
    <m/>
    <m/>
    <m/>
    <m/>
    <n v="0"/>
    <n v="0"/>
    <n v="28330.526073026427"/>
  </r>
  <r>
    <d v="2026-03-05T00:00:00"/>
    <x v="4"/>
    <s v="DOLMALIK KURU PATLICAN"/>
    <m/>
    <x v="5"/>
    <s v="ST00000001480"/>
    <s v="SATIŞ"/>
    <s v="POS"/>
    <n v="0.5"/>
    <n v="250"/>
    <n v="125"/>
    <n v="0"/>
    <m/>
    <m/>
    <m/>
    <m/>
    <n v="0"/>
    <n v="0"/>
    <n v="28330.526073026427"/>
  </r>
  <r>
    <d v="2026-03-05T00:00:00"/>
    <x v="4"/>
    <s v="DOLMALIK SARI BİBER"/>
    <m/>
    <x v="5"/>
    <s v="ST00000001480"/>
    <s v="SATIŞ"/>
    <s v="POS"/>
    <n v="0.5"/>
    <n v="230"/>
    <n v="115"/>
    <n v="0"/>
    <m/>
    <m/>
    <m/>
    <m/>
    <n v="0"/>
    <n v="0"/>
    <n v="28330.526073026427"/>
  </r>
  <r>
    <d v="2026-03-05T00:00:00"/>
    <x v="4"/>
    <s v="DOLMALIK KURU ACI BİBER"/>
    <m/>
    <x v="5"/>
    <s v="ST00000001480"/>
    <s v="SATIŞ"/>
    <s v="POS"/>
    <n v="0.22"/>
    <n v="230"/>
    <n v="50.6"/>
    <n v="0"/>
    <m/>
    <m/>
    <m/>
    <m/>
    <n v="0"/>
    <n v="0"/>
    <n v="28330.526073026427"/>
  </r>
  <r>
    <d v="2026-03-05T00:00:00"/>
    <x v="4"/>
    <s v="DOLMALIK KURU KABAK"/>
    <m/>
    <x v="5"/>
    <s v="ST00000001480"/>
    <s v="SATIŞ"/>
    <s v="POS"/>
    <n v="0.2"/>
    <n v="250"/>
    <n v="50"/>
    <n v="0"/>
    <m/>
    <m/>
    <m/>
    <m/>
    <n v="0"/>
    <n v="0"/>
    <n v="28330.526073026427"/>
  </r>
  <r>
    <d v="2026-03-05T00:00:00"/>
    <x v="4"/>
    <s v="SUMAK"/>
    <m/>
    <x v="5"/>
    <s v="ST00000001480"/>
    <s v="SATIŞ"/>
    <s v="POS"/>
    <n v="0.06"/>
    <n v="500"/>
    <n v="30"/>
    <n v="0"/>
    <m/>
    <m/>
    <m/>
    <m/>
    <n v="0"/>
    <n v="0"/>
    <n v="28330.526073026427"/>
  </r>
  <r>
    <d v="2026-03-05T00:00:00"/>
    <x v="4"/>
    <s v="ZENCEFİL TOZ"/>
    <m/>
    <x v="1"/>
    <s v="ST00000001481"/>
    <s v="SATIŞ"/>
    <s v="NAKİT"/>
    <n v="0.15"/>
    <n v="400"/>
    <n v="0"/>
    <n v="0"/>
    <m/>
    <m/>
    <m/>
    <m/>
    <n v="60"/>
    <n v="0"/>
    <n v="28390.526073026427"/>
  </r>
  <r>
    <d v="2026-03-05T00:00:00"/>
    <x v="4"/>
    <s v="KABUKLU CEVİZ (YERLİ)"/>
    <m/>
    <x v="1"/>
    <s v="ST00000001482"/>
    <s v="SATIŞ"/>
    <s v="NAKİT"/>
    <n v="0.8"/>
    <n v="250"/>
    <n v="0"/>
    <n v="0"/>
    <m/>
    <m/>
    <m/>
    <m/>
    <n v="200"/>
    <n v="0"/>
    <n v="28590.526073026427"/>
  </r>
  <r>
    <d v="2026-03-05T00:00:00"/>
    <x v="4"/>
    <s v="KARABİBER ÇEKİLMİŞ"/>
    <m/>
    <x v="14"/>
    <s v="ST00000001483"/>
    <s v="SATIŞ - TOPTAN - HERTAT"/>
    <s v="CARİ"/>
    <n v="2"/>
    <n v="500"/>
    <n v="1000"/>
    <n v="0"/>
    <m/>
    <m/>
    <m/>
    <m/>
    <n v="0"/>
    <n v="0"/>
    <n v="28590.526073026427"/>
  </r>
  <r>
    <d v="2026-03-05T00:00:00"/>
    <x v="4"/>
    <s v="DOLMALIK KURU ACI BİBER"/>
    <m/>
    <x v="14"/>
    <s v="ST00000001483"/>
    <s v="SATIŞ - TOPTAN - HERTAT"/>
    <s v="CARİ"/>
    <n v="20"/>
    <n v="200"/>
    <n v="4000"/>
    <n v="0"/>
    <m/>
    <m/>
    <m/>
    <m/>
    <n v="0"/>
    <n v="0"/>
    <n v="28590.526073026427"/>
  </r>
  <r>
    <d v="2026-03-05T00:00:00"/>
    <x v="4"/>
    <s v="DOLMALIK KURU PATLICAN"/>
    <m/>
    <x v="14"/>
    <s v="ST00000001483"/>
    <s v="SATIŞ - TOPTAN - HERTAT"/>
    <s v="CARİ"/>
    <n v="20"/>
    <n v="220"/>
    <n v="4400"/>
    <n v="0"/>
    <m/>
    <m/>
    <m/>
    <m/>
    <n v="0"/>
    <n v="0"/>
    <n v="28590.526073026427"/>
  </r>
  <r>
    <d v="2026-03-05T00:00:00"/>
    <x v="4"/>
    <s v="AÇIK KAYISI İRİ (SARI)"/>
    <m/>
    <x v="5"/>
    <s v="ST00000001484"/>
    <s v="SATIŞ"/>
    <s v="POS"/>
    <n v="0.55000000000000004"/>
    <n v="690"/>
    <n v="379.50000000000006"/>
    <n v="0"/>
    <m/>
    <m/>
    <m/>
    <m/>
    <n v="0"/>
    <n v="0"/>
    <n v="28590.526073026427"/>
  </r>
  <r>
    <d v="2026-03-05T00:00:00"/>
    <x v="4"/>
    <s v="DOLMALIK KURU PATLICAN"/>
    <m/>
    <x v="1"/>
    <s v="ST00000001485"/>
    <s v="SATIŞ"/>
    <s v="NAKİT"/>
    <n v="1"/>
    <n v="250"/>
    <n v="0"/>
    <n v="0"/>
    <m/>
    <m/>
    <m/>
    <m/>
    <n v="250"/>
    <n v="0"/>
    <n v="28840.526073026427"/>
  </r>
  <r>
    <d v="2026-03-05T00:00:00"/>
    <x v="4"/>
    <s v="DOLMALIK KURU PATLICAN"/>
    <m/>
    <x v="5"/>
    <s v="ST00000001486"/>
    <s v="SATIŞ"/>
    <s v="POS"/>
    <n v="1"/>
    <n v="250"/>
    <n v="250"/>
    <n v="0"/>
    <m/>
    <m/>
    <m/>
    <m/>
    <n v="0"/>
    <n v="0"/>
    <n v="28840.526073026427"/>
  </r>
  <r>
    <d v="2026-03-05T00:00:00"/>
    <x v="4"/>
    <s v="DOLMALIK KURU TATLI KIRMIZI BİBER"/>
    <m/>
    <x v="5"/>
    <s v="ST00000001486"/>
    <s v="SATIŞ"/>
    <s v="POS"/>
    <n v="1"/>
    <n v="230"/>
    <n v="230"/>
    <n v="0"/>
    <m/>
    <m/>
    <m/>
    <m/>
    <n v="0"/>
    <n v="0"/>
    <n v="28840.526073026427"/>
  </r>
  <r>
    <d v="2026-03-05T00:00:00"/>
    <x v="4"/>
    <s v="DOLMALIK KURU KABAK"/>
    <m/>
    <x v="5"/>
    <s v="ST00000001486"/>
    <s v="SATIŞ"/>
    <s v="POS"/>
    <n v="1"/>
    <n v="230"/>
    <n v="230"/>
    <n v="0"/>
    <m/>
    <m/>
    <m/>
    <m/>
    <n v="0"/>
    <n v="0"/>
    <n v="28840.526073026427"/>
  </r>
  <r>
    <d v="2026-03-05T00:00:00"/>
    <x v="4"/>
    <s v="EVLİK BİBER"/>
    <m/>
    <x v="1"/>
    <s v="ST00000001487"/>
    <s v="SATIŞ"/>
    <s v="NAKİT"/>
    <n v="0.2"/>
    <n v="400"/>
    <n v="0"/>
    <n v="0"/>
    <m/>
    <m/>
    <m/>
    <m/>
    <n v="80"/>
    <n v="0"/>
    <n v="28920.526073026427"/>
  </r>
  <r>
    <d v="2026-03-05T00:00:00"/>
    <x v="4"/>
    <s v="İPEK BİBER"/>
    <m/>
    <x v="5"/>
    <s v="ST00000001488"/>
    <s v="SATIŞ"/>
    <s v="POS"/>
    <n v="0.25"/>
    <n v="500"/>
    <n v="125"/>
    <n v="0"/>
    <m/>
    <m/>
    <m/>
    <m/>
    <n v="0"/>
    <n v="0"/>
    <n v="28920.526073026427"/>
  </r>
  <r>
    <d v="2026-03-05T00:00:00"/>
    <x v="4"/>
    <s v="MISIR UNU"/>
    <m/>
    <x v="1"/>
    <s v="ST00000001489"/>
    <s v="SATIŞ"/>
    <s v="NAKİT"/>
    <n v="1"/>
    <n v="60"/>
    <n v="0"/>
    <n v="0"/>
    <m/>
    <m/>
    <m/>
    <m/>
    <n v="60"/>
    <n v="0"/>
    <n v="28980.526073026427"/>
  </r>
  <r>
    <d v="2026-03-05T00:00:00"/>
    <x v="4"/>
    <s v="KABUKLU CEVİZ (YERLİ)"/>
    <m/>
    <x v="5"/>
    <s v="ST00000001490"/>
    <s v="SATIŞ"/>
    <s v="POS"/>
    <n v="0.6"/>
    <n v="250"/>
    <n v="150"/>
    <n v="0"/>
    <m/>
    <m/>
    <m/>
    <m/>
    <n v="0"/>
    <n v="0"/>
    <n v="28980.526073026427"/>
  </r>
  <r>
    <d v="2026-03-05T00:00:00"/>
    <x v="4"/>
    <s v="İPEK BİBER"/>
    <m/>
    <x v="5"/>
    <s v="ST00000001490"/>
    <s v="SATIŞ"/>
    <s v="POS"/>
    <n v="0.19"/>
    <n v="500"/>
    <n v="95"/>
    <n v="0"/>
    <m/>
    <m/>
    <m/>
    <m/>
    <n v="0"/>
    <n v="0"/>
    <n v="28980.526073026427"/>
  </r>
  <r>
    <d v="2026-03-05T00:00:00"/>
    <x v="4"/>
    <s v="ÇÖREKOTU"/>
    <m/>
    <x v="5"/>
    <s v="ST00000001490"/>
    <s v="SATIŞ"/>
    <s v="POS"/>
    <n v="0.1"/>
    <n v="400"/>
    <n v="40"/>
    <n v="0"/>
    <m/>
    <m/>
    <m/>
    <m/>
    <n v="0"/>
    <n v="0"/>
    <n v="28980.526073026427"/>
  </r>
  <r>
    <d v="2026-03-05T00:00:00"/>
    <x v="4"/>
    <s v="AÇLIK OTU"/>
    <m/>
    <x v="5"/>
    <s v="ST00000001491"/>
    <s v="SATIŞ"/>
    <s v="POS"/>
    <n v="0.12"/>
    <n v="417"/>
    <n v="50.04"/>
    <n v="0"/>
    <m/>
    <m/>
    <m/>
    <m/>
    <n v="0"/>
    <n v="0"/>
    <n v="28980.526073026427"/>
  </r>
  <r>
    <d v="2026-03-05T00:00:00"/>
    <x v="4"/>
    <s v="NANE İRİ"/>
    <m/>
    <x v="1"/>
    <s v="ST00000001492"/>
    <s v="SATIŞ"/>
    <s v="NAKİT"/>
    <n v="0.13500000000000001"/>
    <n v="400"/>
    <n v="0"/>
    <n v="0"/>
    <m/>
    <m/>
    <m/>
    <m/>
    <n v="54"/>
    <n v="0"/>
    <n v="29034.526073026427"/>
  </r>
  <r>
    <d v="2026-03-05T00:00:00"/>
    <x v="4"/>
    <s v="KARANFİL"/>
    <m/>
    <x v="1"/>
    <s v="ST00000001492"/>
    <s v="SATIŞ"/>
    <s v="NAKİT"/>
    <n v="0.05"/>
    <n v="1200"/>
    <n v="0"/>
    <n v="0"/>
    <m/>
    <m/>
    <m/>
    <m/>
    <n v="60"/>
    <n v="0"/>
    <n v="29094.526073026427"/>
  </r>
  <r>
    <d v="2026-03-05T00:00:00"/>
    <x v="4"/>
    <s v="ŞİFAVER KÜKÜRTLÜ HATAY SABUNU"/>
    <m/>
    <x v="1"/>
    <s v="ST00000001493"/>
    <s v="SATIŞ"/>
    <s v="NAKİT"/>
    <n v="1"/>
    <n v="50"/>
    <n v="0"/>
    <n v="0"/>
    <m/>
    <m/>
    <m/>
    <m/>
    <n v="50"/>
    <n v="0"/>
    <n v="29144.526073026427"/>
  </r>
  <r>
    <d v="2026-03-05T00:00:00"/>
    <x v="4"/>
    <s v="DOLMALIK SARI BİBER"/>
    <m/>
    <x v="1"/>
    <s v="ST00000001494"/>
    <s v="SATIŞ"/>
    <s v="NAKİT"/>
    <n v="1"/>
    <n v="230"/>
    <n v="0"/>
    <n v="0"/>
    <m/>
    <m/>
    <m/>
    <m/>
    <n v="230"/>
    <n v="0"/>
    <n v="29374.526073026427"/>
  </r>
  <r>
    <d v="2026-03-05T00:00:00"/>
    <x v="4"/>
    <s v="DOLMALIK KURU ACI BİBER"/>
    <m/>
    <x v="1"/>
    <s v="ST00000001495"/>
    <s v="SATIŞ"/>
    <s v="NAKİT"/>
    <n v="1"/>
    <n v="200"/>
    <n v="0"/>
    <n v="0"/>
    <m/>
    <m/>
    <m/>
    <m/>
    <n v="200"/>
    <n v="0"/>
    <n v="29574.526073026427"/>
  </r>
  <r>
    <d v="2026-03-05T00:00:00"/>
    <x v="4"/>
    <s v="HAŞİROĞLU TARHANA ÇEREZLİK"/>
    <m/>
    <x v="5"/>
    <s v="ST00000001496"/>
    <s v="SATIŞ"/>
    <s v="POS"/>
    <n v="1"/>
    <n v="250"/>
    <n v="250"/>
    <n v="0"/>
    <m/>
    <m/>
    <m/>
    <m/>
    <n v="0"/>
    <n v="0"/>
    <n v="29574.526073026427"/>
  </r>
  <r>
    <d v="2026-03-05T00:00:00"/>
    <x v="4"/>
    <s v="DOLMALIK KURU PATLICAN"/>
    <m/>
    <x v="5"/>
    <s v="ST00000001497"/>
    <s v="SATIŞ"/>
    <s v="POS"/>
    <n v="1"/>
    <n v="250"/>
    <n v="250"/>
    <n v="0"/>
    <m/>
    <m/>
    <m/>
    <m/>
    <n v="0"/>
    <n v="0"/>
    <n v="29574.526073026427"/>
  </r>
  <r>
    <d v="2026-03-05T00:00:00"/>
    <x v="4"/>
    <s v="CEVİZ KELEBEK (ŞİLİ)"/>
    <m/>
    <x v="5"/>
    <s v="ST00000001497"/>
    <s v="SATIŞ"/>
    <s v="POS"/>
    <n v="0.156"/>
    <n v="750"/>
    <n v="117"/>
    <n v="0"/>
    <m/>
    <m/>
    <m/>
    <m/>
    <n v="0"/>
    <n v="0"/>
    <n v="29574.526073026427"/>
  </r>
  <r>
    <d v="2026-03-05T00:00:00"/>
    <x v="4"/>
    <s v="LEBLEBİ SARI ÖZEL LÜX ÇITIR"/>
    <m/>
    <x v="5"/>
    <s v="ST00000001497"/>
    <s v="SATIŞ"/>
    <s v="POS"/>
    <n v="0.25"/>
    <n v="200"/>
    <n v="50"/>
    <n v="0"/>
    <m/>
    <m/>
    <m/>
    <m/>
    <n v="0"/>
    <n v="0"/>
    <n v="29574.526073026427"/>
  </r>
  <r>
    <d v="2026-03-05T00:00:00"/>
    <x v="4"/>
    <s v="CEVİZLİ SUCUK ATOM (ESMER)"/>
    <m/>
    <x v="5"/>
    <s v="ST00000001497"/>
    <s v="SATIŞ"/>
    <s v="POS"/>
    <n v="0.36"/>
    <n v="340"/>
    <n v="122.39999999999999"/>
    <n v="0"/>
    <m/>
    <m/>
    <m/>
    <m/>
    <n v="0"/>
    <n v="0"/>
    <n v="29574.526073026427"/>
  </r>
  <r>
    <d v="2026-03-05T00:00:00"/>
    <x v="4"/>
    <s v="ZÜHRE ANA KARADUT ÖZÜ 670 GR"/>
    <m/>
    <x v="5"/>
    <s v="ST00000001497"/>
    <s v="SATIŞ"/>
    <s v="POS"/>
    <n v="1"/>
    <n v="250"/>
    <n v="250"/>
    <n v="0"/>
    <m/>
    <m/>
    <m/>
    <m/>
    <n v="0"/>
    <n v="0"/>
    <n v="29574.526073026427"/>
  </r>
  <r>
    <d v="2026-03-05T00:00:00"/>
    <x v="4"/>
    <s v="DOLMALIK KURU PATLICAN"/>
    <m/>
    <x v="1"/>
    <s v="ST00000001498"/>
    <s v="SATIŞ"/>
    <s v="NAKİT"/>
    <n v="1"/>
    <n v="250"/>
    <n v="0"/>
    <n v="0"/>
    <m/>
    <m/>
    <m/>
    <m/>
    <n v="250"/>
    <n v="0"/>
    <n v="29824.526073026427"/>
  </r>
  <r>
    <d v="2026-03-05T00:00:00"/>
    <x v="4"/>
    <s v="DOLMALIK SARI BİBER"/>
    <m/>
    <x v="1"/>
    <s v="ST00000001498"/>
    <s v="SATIŞ"/>
    <s v="NAKİT"/>
    <n v="1"/>
    <n v="230"/>
    <n v="0"/>
    <n v="0"/>
    <m/>
    <m/>
    <m/>
    <m/>
    <n v="230"/>
    <n v="0"/>
    <n v="30054.526073026427"/>
  </r>
  <r>
    <d v="2026-03-05T00:00:00"/>
    <x v="4"/>
    <s v="İZMİR ÜZÜMÜ"/>
    <m/>
    <x v="5"/>
    <s v="ST00000001499"/>
    <s v="SATIŞ"/>
    <s v="POS"/>
    <n v="0.624"/>
    <n v="250"/>
    <n v="156"/>
    <n v="0"/>
    <m/>
    <m/>
    <m/>
    <m/>
    <n v="0"/>
    <n v="0"/>
    <n v="30054.526073026427"/>
  </r>
  <r>
    <d v="2026-03-05T00:00:00"/>
    <x v="4"/>
    <s v="TÜDAB KEÇİ BOYNUZU (DÖKME)"/>
    <m/>
    <x v="5"/>
    <s v="ST00000001499"/>
    <s v="SATIŞ"/>
    <s v="POS"/>
    <n v="0.184"/>
    <n v="330"/>
    <n v="60.72"/>
    <n v="0"/>
    <m/>
    <m/>
    <m/>
    <m/>
    <n v="0"/>
    <n v="0"/>
    <n v="30054.526073026427"/>
  </r>
  <r>
    <d v="2026-03-05T00:00:00"/>
    <x v="4"/>
    <s v="ETİ LİFALİF 950 GR YULAF EZMESİ"/>
    <m/>
    <x v="5"/>
    <s v="ST00000001499"/>
    <s v="SATIŞ"/>
    <s v="POS"/>
    <n v="1"/>
    <n v="95"/>
    <n v="95"/>
    <n v="0"/>
    <m/>
    <m/>
    <m/>
    <m/>
    <n v="0"/>
    <n v="0"/>
    <n v="30054.526073026427"/>
  </r>
  <r>
    <d v="2026-03-05T00:00:00"/>
    <x v="4"/>
    <s v="ISIRGAN YAPRAĞI"/>
    <m/>
    <x v="5"/>
    <s v="ST00000001499"/>
    <s v="SATIŞ"/>
    <s v="POS"/>
    <n v="0.05"/>
    <n v="1000"/>
    <n v="50"/>
    <n v="0"/>
    <m/>
    <m/>
    <m/>
    <m/>
    <n v="0"/>
    <n v="0"/>
    <n v="30054.526073026427"/>
  </r>
  <r>
    <d v="2026-03-05T00:00:00"/>
    <x v="4"/>
    <s v="İSOT"/>
    <m/>
    <x v="5"/>
    <s v="ST00000001499"/>
    <s v="SATIŞ"/>
    <s v="POS"/>
    <n v="9.4E-2"/>
    <n v="390"/>
    <n v="36.659999999999997"/>
    <n v="0"/>
    <m/>
    <m/>
    <m/>
    <m/>
    <n v="0"/>
    <n v="0"/>
    <n v="30054.526073026427"/>
  </r>
  <r>
    <d v="2026-03-05T00:00:00"/>
    <x v="4"/>
    <s v="SUMAK"/>
    <m/>
    <x v="5"/>
    <s v="ST00000001499"/>
    <s v="SATIŞ"/>
    <s v="POS"/>
    <n v="0.14199999999999999"/>
    <n v="450"/>
    <n v="63.899999999999991"/>
    <n v="0"/>
    <m/>
    <m/>
    <m/>
    <m/>
    <n v="0"/>
    <n v="0"/>
    <n v="30054.526073026427"/>
  </r>
  <r>
    <d v="2026-03-05T00:00:00"/>
    <x v="4"/>
    <s v="KİMYON ÇEKİLMİŞ"/>
    <m/>
    <x v="5"/>
    <s v="ST00000001499"/>
    <s v="SATIŞ"/>
    <s v="POS"/>
    <n v="0.1"/>
    <n v="380"/>
    <n v="38"/>
    <n v="0"/>
    <m/>
    <m/>
    <m/>
    <m/>
    <n v="0"/>
    <n v="0"/>
    <n v="30054.526073026427"/>
  </r>
  <r>
    <d v="2026-03-05T00:00:00"/>
    <x v="7"/>
    <m/>
    <m/>
    <x v="3"/>
    <m/>
    <s v="YALÇINTAT - CARİ ÖDEME"/>
    <s v="NAKİT"/>
    <n v="1"/>
    <n v="0"/>
    <n v="25000"/>
    <n v="0"/>
    <m/>
    <m/>
    <m/>
    <m/>
    <n v="0"/>
    <n v="25000"/>
    <n v="5054.5260730264272"/>
  </r>
  <r>
    <d v="2026-03-05T00:00:00"/>
    <x v="3"/>
    <s v="MISIR PREMİUM MEDİUM HURMA"/>
    <m/>
    <x v="9"/>
    <m/>
    <s v="SERBEND HURMA"/>
    <s v="CARİ"/>
    <n v="5"/>
    <n v="350"/>
    <n v="0"/>
    <n v="1750"/>
    <m/>
    <m/>
    <m/>
    <m/>
    <n v="0"/>
    <n v="0"/>
    <n v="5054.5260730264272"/>
  </r>
  <r>
    <d v="2026-03-05T00:00:00"/>
    <x v="11"/>
    <m/>
    <m/>
    <x v="14"/>
    <m/>
    <s v="HERTAT TAHSİLAT NAKİT"/>
    <s v="NAKİT"/>
    <n v="1"/>
    <n v="9400"/>
    <n v="0"/>
    <n v="9400"/>
    <m/>
    <m/>
    <m/>
    <m/>
    <n v="9400"/>
    <n v="0"/>
    <n v="14454.526073026427"/>
  </r>
  <r>
    <d v="2026-03-05T00:00:00"/>
    <x v="3"/>
    <s v="DERME GÜN KURUSU KAYISI JUMBO"/>
    <m/>
    <x v="9"/>
    <m/>
    <s v="SERBEND HURMA"/>
    <s v="CARİ"/>
    <n v="10"/>
    <n v="550"/>
    <n v="0"/>
    <n v="5500"/>
    <m/>
    <m/>
    <m/>
    <m/>
    <n v="0"/>
    <n v="0"/>
    <n v="14454.526073026427"/>
  </r>
  <r>
    <d v="2026-03-05T00:00:00"/>
    <x v="10"/>
    <m/>
    <m/>
    <x v="5"/>
    <m/>
    <s v="POS ÇÖZÜMÜ"/>
    <s v="POS"/>
    <n v="1"/>
    <n v="1350"/>
    <n v="0"/>
    <n v="1350"/>
    <m/>
    <m/>
    <m/>
    <m/>
    <n v="1350"/>
    <n v="0"/>
    <n v="15804.526073026427"/>
  </r>
  <r>
    <d v="2026-03-06T00:00:00"/>
    <x v="3"/>
    <s v="KINA RGS DÖKME"/>
    <m/>
    <x v="2"/>
    <s v="BHR2026000002366"/>
    <s v="GE MA GIDA TİCARET LTD - BAHARATEVİM"/>
    <s v="K.K."/>
    <n v="5"/>
    <n v="168"/>
    <m/>
    <n v="840"/>
    <m/>
    <m/>
    <m/>
    <m/>
    <m/>
    <n v="0"/>
    <n v="15804.526073026427"/>
  </r>
  <r>
    <d v="2026-03-06T00:00:00"/>
    <x v="3"/>
    <s v="FESLEĞEN"/>
    <m/>
    <x v="2"/>
    <s v="BHR2026000002366"/>
    <s v="GE MA GIDA TİCARET LTD - BAHARATEVİM"/>
    <s v="K.K."/>
    <n v="1"/>
    <n v="120"/>
    <n v="0"/>
    <n v="120"/>
    <m/>
    <m/>
    <m/>
    <m/>
    <n v="0"/>
    <n v="0"/>
    <n v="15804.526073026427"/>
  </r>
  <r>
    <d v="2026-03-06T00:00:00"/>
    <x v="3"/>
    <s v="KARNIYARIK TOHUMU"/>
    <m/>
    <x v="2"/>
    <s v="BHR2026000002366"/>
    <s v="GE MA GIDA TİCARET LTD - BAHARATEVİM"/>
    <s v="K.K."/>
    <n v="1"/>
    <n v="175"/>
    <n v="0"/>
    <n v="175"/>
    <m/>
    <m/>
    <m/>
    <m/>
    <n v="0"/>
    <n v="0"/>
    <n v="15804.526073026427"/>
  </r>
  <r>
    <d v="2026-03-06T00:00:00"/>
    <x v="3"/>
    <s v="CİVAN PERÇEMİ"/>
    <m/>
    <x v="2"/>
    <s v="BHR2026000002366"/>
    <s v="GE MA GIDA TİCARET LTD - BAHARATEVİM"/>
    <s v="K.K."/>
    <n v="1"/>
    <n v="305"/>
    <n v="0"/>
    <n v="305"/>
    <m/>
    <m/>
    <m/>
    <m/>
    <n v="0"/>
    <n v="0"/>
    <n v="15804.526073026427"/>
  </r>
  <r>
    <d v="2026-03-06T00:00:00"/>
    <x v="3"/>
    <s v="SHİFFA HOME SIVI PROPOLİS EKSTRESİ 20 ML"/>
    <m/>
    <x v="2"/>
    <s v="BHR2026000002366"/>
    <s v="GE MA GIDA TİCARET LTD - BAHARATEVİM"/>
    <s v="K.K."/>
    <n v="5"/>
    <n v="95"/>
    <n v="0"/>
    <n v="475"/>
    <m/>
    <m/>
    <m/>
    <m/>
    <n v="0"/>
    <n v="0"/>
    <n v="15804.526073026427"/>
  </r>
  <r>
    <d v="2026-03-06T00:00:00"/>
    <x v="3"/>
    <s v="COSMETİC EMZİREN ANNE KREMİ 30 GR"/>
    <m/>
    <x v="2"/>
    <s v="BHR2026000002366"/>
    <s v="GE MA GIDA TİCARET LTD - BAHARATEVİM"/>
    <s v="K.K."/>
    <n v="1"/>
    <n v="125"/>
    <n v="0"/>
    <n v="125"/>
    <m/>
    <m/>
    <m/>
    <m/>
    <n v="0"/>
    <n v="0"/>
    <n v="15804.526073026427"/>
  </r>
  <r>
    <d v="2026-03-06T00:00:00"/>
    <x v="3"/>
    <s v="GÜNBAK AZ TUZLU SOYA SOSU 750 ML"/>
    <m/>
    <x v="2"/>
    <s v="BHR2026000002366"/>
    <s v="GE MA GIDA TİCARET LTD - BAHARATEVİM"/>
    <s v="K.K."/>
    <n v="3"/>
    <n v="70"/>
    <n v="0"/>
    <n v="210"/>
    <m/>
    <m/>
    <m/>
    <m/>
    <n v="0"/>
    <n v="0"/>
    <n v="15804.526073026427"/>
  </r>
  <r>
    <d v="2026-03-06T00:00:00"/>
    <x v="3"/>
    <s v="KAJUN BAHARATI - CAJUN SEASONING 1000 GR"/>
    <m/>
    <x v="2"/>
    <s v="BHR2026000002366"/>
    <s v="GE MA GIDA TİCARET LTD - BAHARATEVİM"/>
    <s v="K.K."/>
    <n v="2"/>
    <n v="190"/>
    <n v="0"/>
    <n v="380"/>
    <m/>
    <m/>
    <m/>
    <m/>
    <n v="0"/>
    <n v="0"/>
    <n v="15804.526073026427"/>
  </r>
  <r>
    <d v="2026-03-06T00:00:00"/>
    <x v="3"/>
    <s v="SHİFFA HOME ÇÖREKOTU YAĞI 1000 MG 100 SOFTJEL KAPSÜL"/>
    <m/>
    <x v="2"/>
    <s v="BHR2026000002366"/>
    <s v="GE MA GIDA TİCARET LTD - BAHARATEVİM"/>
    <s v="K.K."/>
    <n v="1"/>
    <n v="244"/>
    <n v="0"/>
    <n v="244"/>
    <m/>
    <m/>
    <m/>
    <m/>
    <n v="0"/>
    <n v="0"/>
    <n v="15804.526073026427"/>
  </r>
  <r>
    <d v="2026-03-06T00:00:00"/>
    <x v="3"/>
    <s v="BALEN FERROFAN BİTKİSEL EKSTRESİ İÇEREN TAKVİYE EDİCİ GIDA 150 ML"/>
    <m/>
    <x v="2"/>
    <s v="BHR2026000002366"/>
    <s v="GE MA GIDA TİCARET LTD - BAHARATEVİM"/>
    <s v="K.K."/>
    <n v="1"/>
    <n v="110"/>
    <n v="0"/>
    <n v="110"/>
    <m/>
    <m/>
    <m/>
    <m/>
    <n v="0"/>
    <n v="0"/>
    <n v="15804.526073026427"/>
  </r>
  <r>
    <d v="2026-03-06T00:00:00"/>
    <x v="3"/>
    <s v="AKSU VİTAL D3 VİTAMİN 650 MG 60 SOFTJEL KAPSÜL"/>
    <m/>
    <x v="2"/>
    <s v="BHR2026000002366"/>
    <s v="GE MA GIDA TİCARET LTD - BAHARATEVİM"/>
    <s v="K.K."/>
    <n v="1"/>
    <n v="120"/>
    <n v="0"/>
    <n v="120"/>
    <m/>
    <m/>
    <m/>
    <m/>
    <n v="0"/>
    <n v="0"/>
    <n v="15804.526073026427"/>
  </r>
  <r>
    <d v="2026-03-06T00:00:00"/>
    <x v="3"/>
    <s v="GÜNBAK SOYA SOSU 750 ML"/>
    <m/>
    <x v="2"/>
    <s v="BHR2026000002366"/>
    <s v="GE MA GIDA TİCARET LTD - BAHARATEVİM"/>
    <s v="K.K."/>
    <n v="3"/>
    <n v="70"/>
    <n v="0"/>
    <n v="210"/>
    <m/>
    <m/>
    <m/>
    <m/>
    <n v="0"/>
    <n v="0"/>
    <n v="15804.526073026427"/>
  </r>
  <r>
    <d v="2026-03-06T00:00:00"/>
    <x v="3"/>
    <s v="PUDRA ŞEKERİ"/>
    <m/>
    <x v="2"/>
    <s v="BHR2026000002366"/>
    <s v="GE MA GIDA TİCARET LTD - BAHARATEVİM"/>
    <s v="K.K."/>
    <n v="5"/>
    <n v="55"/>
    <n v="0"/>
    <n v="275"/>
    <m/>
    <m/>
    <m/>
    <m/>
    <n v="0"/>
    <n v="0"/>
    <n v="15804.526073026427"/>
  </r>
  <r>
    <d v="2026-03-06T00:00:00"/>
    <x v="3"/>
    <s v="GÜNBAK 3Ü1 ARADA SADE KUTU 40 ADET"/>
    <m/>
    <x v="2"/>
    <s v="BHR2026000002366"/>
    <s v="GE MA GIDA TİCARET LTD - BAHARATEVİM"/>
    <s v="K.K."/>
    <n v="40"/>
    <n v="5.5"/>
    <n v="0"/>
    <n v="220"/>
    <m/>
    <m/>
    <m/>
    <m/>
    <n v="0"/>
    <n v="0"/>
    <n v="15804.526073026427"/>
  </r>
  <r>
    <d v="2026-03-06T00:00:00"/>
    <x v="3"/>
    <s v="TANE MAHLEP"/>
    <m/>
    <x v="2"/>
    <s v="BHR2026000002366"/>
    <s v="GE MA GIDA TİCARET LTD - BAHARATEVİM"/>
    <s v="K.K."/>
    <n v="1"/>
    <n v="1300"/>
    <n v="0"/>
    <n v="1300"/>
    <m/>
    <m/>
    <m/>
    <m/>
    <n v="0"/>
    <n v="0"/>
    <n v="15804.526073026427"/>
  </r>
  <r>
    <d v="2026-03-06T00:00:00"/>
    <x v="3"/>
    <s v="SHİFFA HOME KEDİOTU KÖKÜ VALERİAN ROOT 40,2 GR 60 KAPSÜL"/>
    <m/>
    <x v="2"/>
    <s v="BHR2026000002366"/>
    <s v="GE MA GIDA TİCARET LTD - BAHARATEVİM"/>
    <s v="K.K."/>
    <n v="1"/>
    <n v="227"/>
    <n v="0"/>
    <n v="227"/>
    <m/>
    <m/>
    <m/>
    <m/>
    <n v="0"/>
    <n v="0"/>
    <n v="15804.526073026427"/>
  </r>
  <r>
    <d v="2026-03-06T00:00:00"/>
    <x v="3"/>
    <s v="AKSU VİTAL C VİTAMİNİ 75 GR 60 KAPSÜL"/>
    <m/>
    <x v="2"/>
    <s v="BHR2026000002366"/>
    <s v="GE MA GIDA TİCARET LTD - BAHARATEVİM"/>
    <s v="K.K."/>
    <n v="1"/>
    <n v="118"/>
    <n v="0"/>
    <n v="118"/>
    <m/>
    <m/>
    <m/>
    <m/>
    <n v="0"/>
    <n v="0"/>
    <n v="15804.526073026427"/>
  </r>
  <r>
    <d v="2026-03-06T00:00:00"/>
    <x v="3"/>
    <s v="SHİFFA HOME ÇİNKO PİKOLİNAT 500 MG 60 KAPSÜL"/>
    <m/>
    <x v="2"/>
    <s v="BHR2026000002366"/>
    <s v="GE MA GIDA TİCARET LTD - BAHARATEVİM"/>
    <s v="K.K."/>
    <n v="2"/>
    <n v="145"/>
    <n v="0"/>
    <n v="290"/>
    <m/>
    <m/>
    <m/>
    <m/>
    <n v="0"/>
    <n v="0"/>
    <n v="15804.526073026427"/>
  </r>
  <r>
    <d v="2026-03-06T00:00:00"/>
    <x v="3"/>
    <s v="SHİFFA HOME SARI KANTARON 33,6 GR 60 KAPSÜL"/>
    <m/>
    <x v="2"/>
    <s v="BHR2026000002366"/>
    <s v="GE MA GIDA TİCARET LTD - BAHARATEVİM"/>
    <s v="K.K."/>
    <n v="2"/>
    <n v="191"/>
    <n v="0"/>
    <n v="382"/>
    <m/>
    <m/>
    <m/>
    <m/>
    <n v="0"/>
    <n v="0"/>
    <n v="15804.526073026427"/>
  </r>
  <r>
    <d v="2026-03-06T00:00:00"/>
    <x v="3"/>
    <s v="SHİFFA HOME PROPOLİS 28,2 GR 60 KAPSÜL"/>
    <m/>
    <x v="2"/>
    <s v="BHR2026000002366"/>
    <s v="GE MA GIDA TİCARET LTD - BAHARATEVİM"/>
    <s v="K.K."/>
    <n v="1"/>
    <n v="227"/>
    <n v="0"/>
    <n v="227"/>
    <m/>
    <m/>
    <m/>
    <m/>
    <n v="0"/>
    <n v="0"/>
    <n v="15804.526073026427"/>
  </r>
  <r>
    <d v="2026-03-06T00:00:00"/>
    <x v="3"/>
    <s v="SHİFFA HOME SARI KANTARONLU KEDRET NARI 134 GR 100 SOFTJEL KAPSÜL"/>
    <m/>
    <x v="2"/>
    <s v="BHR2026000002366"/>
    <s v="GE MA GIDA TİCARET LTD - BAHARATEVİM"/>
    <s v="K.K."/>
    <n v="1"/>
    <n v="294"/>
    <n v="0"/>
    <n v="294"/>
    <m/>
    <m/>
    <m/>
    <m/>
    <n v="0"/>
    <n v="0"/>
    <n v="15804.526073026427"/>
  </r>
  <r>
    <d v="2026-03-06T00:00:00"/>
    <x v="3"/>
    <s v="BALEN BAL KABAĞI ÇEKİRDEĞİ YAĞI 1380 MG 100 YUMUŞAK KAPSÜL"/>
    <m/>
    <x v="2"/>
    <s v="BHR2026000002366"/>
    <s v="GE MA GIDA TİCARET LTD - BAHARATEVİM"/>
    <s v="K.K."/>
    <n v="1"/>
    <n v="234"/>
    <n v="0"/>
    <n v="234"/>
    <m/>
    <m/>
    <m/>
    <m/>
    <n v="0"/>
    <n v="0"/>
    <n v="15804.526073026427"/>
  </r>
  <r>
    <d v="2026-03-06T00:00:00"/>
    <x v="3"/>
    <s v="COSMECİT PİRİNÇ PROTEİNLİ &amp; BEYAZLATICI SABUN 120 GR"/>
    <m/>
    <x v="2"/>
    <s v="BHR2026000002366"/>
    <s v="GE MA GIDA TİCARET LTD - BAHARATEVİM"/>
    <s v="K.K."/>
    <n v="3"/>
    <n v="60"/>
    <n v="0"/>
    <n v="180"/>
    <m/>
    <m/>
    <m/>
    <m/>
    <n v="0"/>
    <n v="0"/>
    <n v="15804.526073026427"/>
  </r>
  <r>
    <d v="2026-03-06T00:00:00"/>
    <x v="3"/>
    <s v="COSMECİT KOLAJENLİ SABUN 120 GR"/>
    <m/>
    <x v="2"/>
    <s v="BHR2026000002366"/>
    <s v="GE MA GIDA TİCARET LTD - BAHARATEVİM"/>
    <s v="K.K."/>
    <n v="3"/>
    <n v="60"/>
    <n v="0"/>
    <n v="180"/>
    <m/>
    <m/>
    <m/>
    <m/>
    <n v="0"/>
    <n v="0"/>
    <n v="15804.526073026427"/>
  </r>
  <r>
    <d v="2026-03-06T00:00:00"/>
    <x v="3"/>
    <s v="COSMECİT KÜKÜRTLÜ SABUN 120 GR"/>
    <m/>
    <x v="2"/>
    <s v="BHR2026000002366"/>
    <s v="GE MA GIDA TİCARET LTD - BAHARATEVİM"/>
    <s v="K.K."/>
    <n v="3"/>
    <n v="60"/>
    <n v="0"/>
    <n v="180"/>
    <m/>
    <m/>
    <m/>
    <m/>
    <n v="0"/>
    <n v="0"/>
    <n v="15804.526073026427"/>
  </r>
  <r>
    <d v="2026-03-06T00:00:00"/>
    <x v="3"/>
    <s v="COSMECİT KEÇİ SÜTÜ SABUNU 120 GR"/>
    <m/>
    <x v="2"/>
    <s v="BHR2026000002366"/>
    <s v="GE MA GIDA TİCARET LTD - BAHARATEVİM"/>
    <s v="K.K."/>
    <n v="3"/>
    <n v="60"/>
    <n v="0"/>
    <n v="180"/>
    <m/>
    <m/>
    <m/>
    <m/>
    <n v="0"/>
    <n v="0"/>
    <n v="15804.526073026427"/>
  </r>
  <r>
    <d v="2026-03-06T00:00:00"/>
    <x v="3"/>
    <s v="GALETA UNU"/>
    <m/>
    <x v="2"/>
    <s v="BHR2026000002366"/>
    <s v="GE MA GIDA TİCARET LTD - BAHARATEVİM"/>
    <s v="K.K."/>
    <n v="1"/>
    <n v="40"/>
    <n v="0"/>
    <n v="40"/>
    <m/>
    <m/>
    <m/>
    <m/>
    <n v="0"/>
    <n v="0"/>
    <n v="15804.526073026427"/>
  </r>
  <r>
    <d v="2026-03-06T00:00:00"/>
    <x v="3"/>
    <s v="PUDRA ŞEKERİ"/>
    <m/>
    <x v="2"/>
    <s v="BHR2026000002366"/>
    <s v="GE MA GIDA TİCARET LTD - BAHARATEVİM"/>
    <s v="K.K."/>
    <n v="1"/>
    <n v="65"/>
    <n v="0"/>
    <n v="65"/>
    <m/>
    <m/>
    <m/>
    <m/>
    <n v="0"/>
    <n v="0"/>
    <n v="15804.526073026427"/>
  </r>
  <r>
    <d v="2026-03-06T00:00:00"/>
    <x v="3"/>
    <s v="BALEN GİNKGO BİLOBA 600 MG 60 TABLET"/>
    <m/>
    <x v="2"/>
    <s v="BHR2026000002366"/>
    <s v="GE MA GIDA TİCARET LTD - BAHARATEVİM"/>
    <s v="K.K."/>
    <n v="1"/>
    <n v="142"/>
    <n v="0"/>
    <n v="142"/>
    <m/>
    <m/>
    <m/>
    <m/>
    <n v="0"/>
    <n v="0"/>
    <n v="15804.526073026427"/>
  </r>
  <r>
    <d v="2026-03-06T00:00:00"/>
    <x v="3"/>
    <s v="ZÜHRE ANA KARADUT ÖZÜ 670 GR"/>
    <m/>
    <x v="2"/>
    <s v="FT00000000083"/>
    <s v="TR"/>
    <s v="K.K."/>
    <n v="4"/>
    <n v="159.9"/>
    <n v="0"/>
    <n v="639.6"/>
    <m/>
    <m/>
    <m/>
    <m/>
    <n v="0"/>
    <n v="0"/>
    <n v="15804.526073026427"/>
  </r>
  <r>
    <d v="2026-03-06T00:00:00"/>
    <x v="3"/>
    <s v="ZÜHRE ANA BROMELAİN ANANAS İÇEREN DETOX ŞURUBU 250 ML"/>
    <m/>
    <x v="2"/>
    <s v="FT00000000088"/>
    <s v="TR"/>
    <s v="K.K."/>
    <n v="5"/>
    <n v="151.9"/>
    <n v="0"/>
    <n v="759.5"/>
    <m/>
    <m/>
    <m/>
    <m/>
    <n v="0"/>
    <n v="0"/>
    <n v="15804.526073026427"/>
  </r>
  <r>
    <d v="2026-03-06T00:00:00"/>
    <x v="4"/>
    <s v="DOLMALIK SARI BİBER"/>
    <m/>
    <x v="5"/>
    <s v="ST00000001481"/>
    <s v="SATIŞ"/>
    <s v="POS"/>
    <n v="1"/>
    <n v="230"/>
    <n v="230"/>
    <n v="0"/>
    <m/>
    <m/>
    <m/>
    <m/>
    <n v="0"/>
    <n v="0"/>
    <n v="15804.526073026427"/>
  </r>
  <r>
    <d v="2026-03-06T00:00:00"/>
    <x v="4"/>
    <s v="DOLMALIK KURU PATLICAN"/>
    <m/>
    <x v="5"/>
    <s v="ST00000001481"/>
    <s v="SATIŞ"/>
    <s v="POS"/>
    <n v="1"/>
    <n v="250"/>
    <n v="250"/>
    <n v="0"/>
    <m/>
    <m/>
    <m/>
    <m/>
    <n v="0"/>
    <n v="0"/>
    <n v="15804.526073026427"/>
  </r>
  <r>
    <d v="2026-03-06T00:00:00"/>
    <x v="4"/>
    <s v="CEVİZLİ SUCUK ATOM (ESMER)"/>
    <m/>
    <x v="5"/>
    <s v="ST00000001481"/>
    <s v="SATIŞ"/>
    <s v="POS"/>
    <n v="0.34599999999999997"/>
    <n v="340"/>
    <n v="117.63999999999999"/>
    <n v="0"/>
    <m/>
    <m/>
    <m/>
    <m/>
    <n v="0"/>
    <n v="0"/>
    <n v="15804.526073026427"/>
  </r>
  <r>
    <d v="2026-03-06T00:00:00"/>
    <x v="4"/>
    <s v="TOZ BİBER - TATLI"/>
    <m/>
    <x v="5"/>
    <s v="ST00000001481"/>
    <s v="SATIŞ"/>
    <s v="POS"/>
    <n v="0.112"/>
    <n v="400"/>
    <n v="44.800000000000004"/>
    <n v="0"/>
    <m/>
    <m/>
    <m/>
    <m/>
    <n v="0"/>
    <n v="0"/>
    <n v="15804.526073026427"/>
  </r>
  <r>
    <d v="2026-03-06T00:00:00"/>
    <x v="4"/>
    <s v="MECİTEFENDİ DOĞAL KİL MASKE-YOSUN (200 ml.)"/>
    <m/>
    <x v="5"/>
    <s v="ST00000001481"/>
    <s v="SATIŞ"/>
    <s v="POS"/>
    <n v="1"/>
    <n v="100"/>
    <n v="100"/>
    <n v="0"/>
    <m/>
    <m/>
    <m/>
    <m/>
    <n v="0"/>
    <n v="0"/>
    <n v="15804.526073026427"/>
  </r>
  <r>
    <d v="2026-03-06T00:00:00"/>
    <x v="4"/>
    <s v="KABAK LİFLİ PİRİNÇ SABUN"/>
    <m/>
    <x v="5"/>
    <s v="ST00000001481"/>
    <s v="SATIŞ"/>
    <s v="POS"/>
    <n v="1"/>
    <n v="100"/>
    <n v="100"/>
    <n v="0"/>
    <m/>
    <m/>
    <m/>
    <m/>
    <n v="0"/>
    <n v="0"/>
    <n v="15804.526073026427"/>
  </r>
  <r>
    <d v="2026-03-06T00:00:00"/>
    <x v="4"/>
    <s v="GENÇAY VAZELİN 100 ML"/>
    <m/>
    <x v="5"/>
    <s v="ST00000001481"/>
    <s v="SATIŞ"/>
    <s v="POS"/>
    <n v="1"/>
    <n v="90"/>
    <n v="90"/>
    <n v="0"/>
    <m/>
    <m/>
    <m/>
    <m/>
    <n v="0"/>
    <n v="0"/>
    <n v="15804.526073026427"/>
  </r>
  <r>
    <d v="2026-03-06T00:00:00"/>
    <x v="4"/>
    <s v="SALÇA ACI (EV YAPIMI)"/>
    <m/>
    <x v="5"/>
    <s v="ST00000001481"/>
    <s v="SATIŞ"/>
    <s v="POS"/>
    <n v="0.5"/>
    <n v="200"/>
    <n v="100"/>
    <n v="0"/>
    <m/>
    <m/>
    <m/>
    <m/>
    <n v="0"/>
    <n v="0"/>
    <n v="15804.526073026427"/>
  </r>
  <r>
    <d v="2026-03-06T00:00:00"/>
    <x v="4"/>
    <s v="MANİSA YAPRAK DÖKME"/>
    <m/>
    <x v="5"/>
    <s v="ST00000001481"/>
    <s v="SATIŞ"/>
    <s v="POS"/>
    <n v="0.5"/>
    <n v="400"/>
    <n v="200"/>
    <n v="0"/>
    <m/>
    <m/>
    <m/>
    <m/>
    <n v="0"/>
    <n v="0"/>
    <n v="15804.526073026427"/>
  </r>
  <r>
    <d v="2026-03-06T00:00:00"/>
    <x v="4"/>
    <s v="SALÇA ACI (EV YAPIMI)"/>
    <m/>
    <x v="1"/>
    <s v="ST00000001482"/>
    <s v="SATIŞ"/>
    <s v="NAKİT"/>
    <n v="0.5"/>
    <n v="200"/>
    <n v="0"/>
    <n v="0"/>
    <m/>
    <m/>
    <m/>
    <m/>
    <n v="100"/>
    <n v="0"/>
    <n v="15904.526073026427"/>
  </r>
  <r>
    <d v="2026-03-06T00:00:00"/>
    <x v="4"/>
    <s v="KARIŞIK KURUYEMİŞ"/>
    <m/>
    <x v="1"/>
    <s v="ST00000001482"/>
    <s v="SATIŞ"/>
    <s v="NAKİT"/>
    <n v="1"/>
    <n v="850"/>
    <n v="0"/>
    <n v="0"/>
    <m/>
    <m/>
    <m/>
    <m/>
    <n v="850"/>
    <n v="0"/>
    <n v="16754.526073026427"/>
  </r>
  <r>
    <d v="2026-03-06T00:00:00"/>
    <x v="4"/>
    <s v="ESMER BULGUR (AKIN)"/>
    <m/>
    <x v="1"/>
    <s v="ST00000001482"/>
    <s v="SATIŞ"/>
    <s v="NAKİT"/>
    <n v="1.1759999999999999"/>
    <n v="61"/>
    <n v="0"/>
    <n v="0"/>
    <m/>
    <m/>
    <m/>
    <m/>
    <n v="71.73599999999999"/>
    <n v="0"/>
    <n v="16826.262073026428"/>
  </r>
  <r>
    <d v="2026-03-06T00:00:00"/>
    <x v="4"/>
    <s v="KİMYON ÇEKİLMİŞ"/>
    <m/>
    <x v="1"/>
    <s v="ST00000001482"/>
    <s v="SATIŞ"/>
    <s v="NAKİT"/>
    <n v="8.2000000000000003E-2"/>
    <n v="400"/>
    <n v="0"/>
    <n v="0"/>
    <m/>
    <m/>
    <m/>
    <m/>
    <n v="32.800000000000004"/>
    <n v="0"/>
    <n v="16859.062073026427"/>
  </r>
  <r>
    <d v="2026-03-06T00:00:00"/>
    <x v="4"/>
    <s v="İSOT"/>
    <m/>
    <x v="1"/>
    <s v="ST00000001482"/>
    <s v="SATIŞ"/>
    <s v="NAKİT"/>
    <n v="0.16400000000000001"/>
    <n v="400"/>
    <n v="0"/>
    <n v="0"/>
    <m/>
    <m/>
    <m/>
    <m/>
    <n v="65.600000000000009"/>
    <n v="0"/>
    <n v="16924.662073026426"/>
  </r>
  <r>
    <d v="2026-03-06T00:00:00"/>
    <x v="4"/>
    <s v="KAFFKA DİBEK KAHVESİ 150 GR"/>
    <m/>
    <x v="1"/>
    <s v="ST00000001482"/>
    <s v="SATIŞ"/>
    <s v="NAKİT"/>
    <n v="1"/>
    <n v="65"/>
    <n v="0"/>
    <n v="0"/>
    <m/>
    <m/>
    <m/>
    <m/>
    <n v="65"/>
    <n v="0"/>
    <n v="16989.662073026426"/>
  </r>
  <r>
    <d v="2026-03-06T00:00:00"/>
    <x v="4"/>
    <s v="KAFFKA MENENGİÇ KAHVESİ 150 GR"/>
    <m/>
    <x v="1"/>
    <s v="ST00000001482"/>
    <s v="SATIŞ"/>
    <s v="NAKİT"/>
    <n v="1"/>
    <n v="65"/>
    <n v="0"/>
    <n v="0"/>
    <m/>
    <m/>
    <m/>
    <m/>
    <n v="65"/>
    <n v="0"/>
    <n v="17054.662073026426"/>
  </r>
  <r>
    <d v="2026-03-06T00:00:00"/>
    <x v="4"/>
    <s v="DOLMALIK SARI BİBER"/>
    <m/>
    <x v="5"/>
    <s v="ST00000001483"/>
    <s v="SATIŞ"/>
    <s v="POS"/>
    <n v="1"/>
    <n v="230"/>
    <n v="230"/>
    <n v="0"/>
    <m/>
    <m/>
    <m/>
    <m/>
    <n v="0"/>
    <n v="0"/>
    <n v="17054.662073026426"/>
  </r>
  <r>
    <d v="2026-03-06T00:00:00"/>
    <x v="4"/>
    <s v="KİTEL BULGUR (SEFER)"/>
    <m/>
    <x v="1"/>
    <s v="ST00000001484"/>
    <s v="SATIŞ"/>
    <s v="NAKİT"/>
    <n v="1"/>
    <n v="65"/>
    <n v="0"/>
    <n v="0"/>
    <m/>
    <m/>
    <m/>
    <m/>
    <n v="65"/>
    <n v="0"/>
    <n v="17119.662073026426"/>
  </r>
  <r>
    <d v="2026-03-06T00:00:00"/>
    <x v="4"/>
    <s v="GÜNGÖR 5 LT SU"/>
    <m/>
    <x v="1"/>
    <s v="ST00000001485"/>
    <s v="SATIŞ"/>
    <s v="NAKİT"/>
    <n v="4"/>
    <n v="30"/>
    <n v="0"/>
    <n v="0"/>
    <m/>
    <m/>
    <m/>
    <m/>
    <n v="120"/>
    <n v="0"/>
    <n v="17239.662073026426"/>
  </r>
  <r>
    <d v="2026-03-06T00:00:00"/>
    <x v="4"/>
    <s v="MİSVAK KUTULU (HOLDER)"/>
    <m/>
    <x v="1"/>
    <s v="ST00000001485"/>
    <s v="SATIŞ"/>
    <s v="NAKİT"/>
    <n v="1"/>
    <n v="30"/>
    <n v="0"/>
    <n v="0"/>
    <m/>
    <m/>
    <m/>
    <m/>
    <n v="30"/>
    <n v="0"/>
    <n v="17269.662073026426"/>
  </r>
  <r>
    <d v="2026-03-06T00:00:00"/>
    <x v="4"/>
    <s v="SALÇA ACI (EV YAPIMI)"/>
    <m/>
    <x v="13"/>
    <s v="ST00000001485"/>
    <s v="SATIŞ - TOPTAN - MÜMİNE ÇELİKEL"/>
    <s v="CARİ"/>
    <n v="19.350000000000001"/>
    <n v="144.7028"/>
    <n v="2799.9991800000003"/>
    <n v="0"/>
    <m/>
    <m/>
    <m/>
    <m/>
    <n v="0"/>
    <n v="0"/>
    <n v="17269.662073026426"/>
  </r>
  <r>
    <d v="2026-03-06T00:00:00"/>
    <x v="4"/>
    <s v="DOLMALIK KURU PATLICAN"/>
    <m/>
    <x v="5"/>
    <s v="ST00000001486"/>
    <s v="SATIŞ"/>
    <s v="POS"/>
    <n v="1"/>
    <n v="240"/>
    <n v="240"/>
    <n v="0"/>
    <m/>
    <m/>
    <m/>
    <m/>
    <n v="0"/>
    <n v="0"/>
    <n v="17269.662073026426"/>
  </r>
  <r>
    <d v="2026-03-06T00:00:00"/>
    <x v="4"/>
    <s v="DOLMALIK SARI BİBER"/>
    <m/>
    <x v="1"/>
    <s v="ST00000001486"/>
    <s v="SATIŞ - 125 TL EKSİK ALINDI"/>
    <s v="NAKİT"/>
    <n v="0.5"/>
    <n v="230"/>
    <n v="0"/>
    <n v="0"/>
    <m/>
    <m/>
    <m/>
    <m/>
    <n v="115"/>
    <n v="0"/>
    <n v="17384.662073026426"/>
  </r>
  <r>
    <d v="2026-03-06T00:00:00"/>
    <x v="4"/>
    <s v="SALÇA TATLI (EV YAPIMI)"/>
    <m/>
    <x v="5"/>
    <s v="ST00000001487"/>
    <s v="SATIŞ"/>
    <s v="POS"/>
    <n v="1"/>
    <n v="200"/>
    <n v="200"/>
    <n v="0"/>
    <m/>
    <m/>
    <m/>
    <m/>
    <n v="0"/>
    <n v="0"/>
    <n v="17384.662073026426"/>
  </r>
  <r>
    <d v="2026-03-06T00:00:00"/>
    <x v="4"/>
    <s v="SALÇA ACI (EV YAPIMI)"/>
    <m/>
    <x v="5"/>
    <s v="ST00000001487"/>
    <s v="SATIŞ"/>
    <s v="POS"/>
    <n v="1"/>
    <n v="200"/>
    <n v="200"/>
    <n v="0"/>
    <m/>
    <m/>
    <m/>
    <m/>
    <n v="0"/>
    <n v="0"/>
    <n v="17384.662073026426"/>
  </r>
  <r>
    <d v="2026-03-06T00:00:00"/>
    <x v="4"/>
    <s v="EL-RUHA ÇAY (AÇIK)"/>
    <m/>
    <x v="1"/>
    <s v="ST00000001487"/>
    <s v="SATIŞ"/>
    <s v="NAKİT"/>
    <n v="0.25"/>
    <n v="520"/>
    <n v="0"/>
    <n v="0"/>
    <m/>
    <m/>
    <m/>
    <m/>
    <n v="130"/>
    <n v="0"/>
    <n v="17514.662073026426"/>
  </r>
  <r>
    <d v="2026-03-06T00:00:00"/>
    <x v="4"/>
    <s v="KABAK LİFLİ ALOEVERA SABUN"/>
    <m/>
    <x v="1"/>
    <s v="ST00000001488"/>
    <s v="SATIŞ"/>
    <s v="NAKİT"/>
    <n v="1"/>
    <n v="100"/>
    <n v="0"/>
    <n v="0"/>
    <m/>
    <m/>
    <m/>
    <m/>
    <n v="100"/>
    <n v="0"/>
    <n v="17614.662073026426"/>
  </r>
  <r>
    <d v="2026-03-06T00:00:00"/>
    <x v="4"/>
    <s v="KARANFİL"/>
    <m/>
    <x v="1"/>
    <s v="ST00000001488"/>
    <s v="SATIŞ"/>
    <s v="NAKİT"/>
    <n v="0.05"/>
    <n v="1200"/>
    <n v="0"/>
    <n v="0"/>
    <m/>
    <m/>
    <m/>
    <m/>
    <n v="60"/>
    <n v="0"/>
    <n v="17674.662073026426"/>
  </r>
  <r>
    <d v="2026-03-06T00:00:00"/>
    <x v="4"/>
    <s v="PİLAVLIK BULGUR"/>
    <m/>
    <x v="1"/>
    <s v="ST00000001489"/>
    <s v="SATIŞ - ARABALI ADAM BORÇ"/>
    <s v="NAKİT"/>
    <n v="0.69230769230769229"/>
    <n v="65"/>
    <n v="0"/>
    <n v="0"/>
    <m/>
    <m/>
    <m/>
    <m/>
    <n v="45"/>
    <n v="0"/>
    <n v="17719.662073026426"/>
  </r>
  <r>
    <d v="2026-03-06T00:00:00"/>
    <x v="4"/>
    <s v="İPEK BİBER"/>
    <m/>
    <x v="1"/>
    <s v="ST00000001489"/>
    <s v="SATIŞ - ARABALI ADAM BORÇ"/>
    <s v="NAKİT"/>
    <n v="0.19"/>
    <n v="500"/>
    <n v="0"/>
    <n v="0"/>
    <m/>
    <m/>
    <m/>
    <m/>
    <n v="95"/>
    <n v="0"/>
    <n v="17814.662073026426"/>
  </r>
  <r>
    <d v="2026-03-06T00:00:00"/>
    <x v="4"/>
    <s v="NANE İRİ"/>
    <m/>
    <x v="1"/>
    <s v="ST00000001489"/>
    <s v="SATIŞ - ARABALI ADAM BORÇ"/>
    <s v="NAKİT"/>
    <n v="3.7499999999999999E-2"/>
    <n v="400"/>
    <n v="0"/>
    <n v="0"/>
    <m/>
    <m/>
    <m/>
    <m/>
    <n v="15"/>
    <n v="0"/>
    <n v="17829.662073026426"/>
  </r>
  <r>
    <d v="2026-03-06T00:00:00"/>
    <x v="4"/>
    <s v="TÜDAB KEÇİ BOYNUZU (DÖKME)"/>
    <m/>
    <x v="1"/>
    <s v="ST00000001490"/>
    <s v="SATIŞ"/>
    <s v="NAKİT"/>
    <n v="0.53428571428571425"/>
    <n v="350"/>
    <n v="0"/>
    <n v="0"/>
    <m/>
    <m/>
    <m/>
    <m/>
    <n v="187"/>
    <n v="0"/>
    <n v="18016.662073026426"/>
  </r>
  <r>
    <d v="2026-03-06T00:00:00"/>
    <x v="4"/>
    <s v="ZERDEÇAL TOZ"/>
    <m/>
    <x v="1"/>
    <s v="ST00000001490"/>
    <s v="SATIŞ"/>
    <s v="NAKİT"/>
    <n v="5.7999999999999996E-2"/>
    <n v="300"/>
    <n v="0"/>
    <n v="0"/>
    <m/>
    <m/>
    <m/>
    <m/>
    <n v="17.399999999999999"/>
    <n v="0"/>
    <n v="18034.062073026427"/>
  </r>
  <r>
    <d v="2026-03-06T00:00:00"/>
    <x v="4"/>
    <s v="ZENCEFİL TOZ"/>
    <m/>
    <x v="1"/>
    <s v="ST00000001490"/>
    <s v="SATIŞ"/>
    <s v="NAKİT"/>
    <n v="6.2E-2"/>
    <n v="400"/>
    <n v="0"/>
    <n v="0"/>
    <m/>
    <m/>
    <m/>
    <m/>
    <n v="24.8"/>
    <n v="0"/>
    <n v="18058.862073026427"/>
  </r>
  <r>
    <d v="2026-03-06T00:00:00"/>
    <x v="4"/>
    <s v="LİMONSOSU 1 KG"/>
    <m/>
    <x v="1"/>
    <s v="ST00000001490"/>
    <s v="SATIŞ"/>
    <s v="NAKİT"/>
    <n v="1"/>
    <n v="80"/>
    <n v="0"/>
    <n v="0"/>
    <m/>
    <m/>
    <m/>
    <m/>
    <n v="80"/>
    <n v="0"/>
    <n v="18138.862073026427"/>
  </r>
  <r>
    <d v="2026-03-06T00:00:00"/>
    <x v="4"/>
    <s v="EL-RUHA ÇAY (AÇIK)"/>
    <m/>
    <x v="1"/>
    <s v="ST00000001491"/>
    <s v="SATIŞ - NECAT"/>
    <s v="NAKİT"/>
    <n v="1"/>
    <n v="600"/>
    <n v="0"/>
    <n v="0"/>
    <m/>
    <m/>
    <m/>
    <m/>
    <n v="600"/>
    <n v="0"/>
    <n v="18738.862073026427"/>
  </r>
  <r>
    <d v="2026-03-06T00:00:00"/>
    <x v="4"/>
    <s v="İPEK BİBER"/>
    <m/>
    <x v="5"/>
    <s v="ST00000001500"/>
    <s v="SATIŞ"/>
    <s v="POS"/>
    <n v="0.17"/>
    <n v="500"/>
    <n v="85"/>
    <n v="0"/>
    <m/>
    <m/>
    <m/>
    <m/>
    <n v="0"/>
    <n v="0"/>
    <n v="18738.862073026427"/>
  </r>
  <r>
    <d v="2026-03-06T00:00:00"/>
    <x v="4"/>
    <s v="KEKİK LÜX"/>
    <m/>
    <x v="5"/>
    <s v="ST00000001500"/>
    <s v="SATIŞ"/>
    <s v="POS"/>
    <n v="6.8000000000000005E-2"/>
    <n v="750"/>
    <n v="51.000000000000007"/>
    <n v="0"/>
    <m/>
    <m/>
    <m/>
    <m/>
    <n v="0"/>
    <n v="0"/>
    <n v="18738.862073026427"/>
  </r>
  <r>
    <d v="2026-03-06T00:00:00"/>
    <x v="4"/>
    <s v="GENÇAY ELMA SİRKESİ 500 CC"/>
    <m/>
    <x v="5"/>
    <s v="ST00000001500"/>
    <s v="SATIŞ"/>
    <s v="POS"/>
    <n v="1"/>
    <n v="140"/>
    <n v="140"/>
    <n v="0"/>
    <m/>
    <m/>
    <m/>
    <m/>
    <n v="0"/>
    <n v="0"/>
    <n v="18738.862073026427"/>
  </r>
  <r>
    <d v="2026-03-06T00:00:00"/>
    <x v="4"/>
    <s v="EL-RUHA ÇAY (AÇIK)"/>
    <m/>
    <x v="5"/>
    <s v="ST00000001500"/>
    <s v="SATIŞ"/>
    <s v="POS"/>
    <n v="0.16800000000000001"/>
    <n v="600"/>
    <n v="100.80000000000001"/>
    <n v="0"/>
    <m/>
    <m/>
    <m/>
    <m/>
    <n v="0"/>
    <n v="0"/>
    <n v="18738.862073026427"/>
  </r>
  <r>
    <d v="2026-03-06T00:00:00"/>
    <x v="4"/>
    <s v="WARITEX KABAK LİFİ ELDİVEN"/>
    <m/>
    <x v="5"/>
    <s v="ST00000001500"/>
    <s v="SATIŞ"/>
    <s v="POS"/>
    <n v="1"/>
    <n v="100"/>
    <n v="100"/>
    <n v="0"/>
    <m/>
    <m/>
    <m/>
    <m/>
    <n v="0"/>
    <n v="0"/>
    <n v="18738.862073026427"/>
  </r>
  <r>
    <d v="2026-03-06T00:00:00"/>
    <x v="4"/>
    <s v="TOMBUL KESE 500 GR TATLI"/>
    <m/>
    <x v="5"/>
    <s v="ST00000001500"/>
    <s v="SATIŞ"/>
    <s v="POS"/>
    <n v="1"/>
    <n v="200"/>
    <n v="200"/>
    <n v="0"/>
    <m/>
    <m/>
    <m/>
    <m/>
    <n v="0"/>
    <n v="0"/>
    <n v="18738.862073026427"/>
  </r>
  <r>
    <d v="2026-03-06T00:00:00"/>
    <x v="4"/>
    <s v="AKGÜNLÜK BAHUR"/>
    <m/>
    <x v="5"/>
    <s v="ST00000001500"/>
    <s v="SATIŞ"/>
    <s v="POS"/>
    <n v="0.1"/>
    <n v="1500"/>
    <n v="150"/>
    <n v="0"/>
    <m/>
    <m/>
    <m/>
    <m/>
    <n v="0"/>
    <n v="0"/>
    <n v="18738.862073026427"/>
  </r>
  <r>
    <d v="2026-03-06T00:00:00"/>
    <x v="4"/>
    <s v="MANİSA YAPRAK DÖKME"/>
    <m/>
    <x v="5"/>
    <s v="ST00000001500"/>
    <s v="SATIŞ"/>
    <s v="POS"/>
    <n v="0.5"/>
    <n v="400"/>
    <n v="200"/>
    <n v="0"/>
    <m/>
    <m/>
    <m/>
    <m/>
    <n v="0"/>
    <n v="0"/>
    <n v="18738.862073026427"/>
  </r>
  <r>
    <d v="2026-03-06T00:00:00"/>
    <x v="10"/>
    <m/>
    <m/>
    <x v="5"/>
    <m/>
    <s v="POS ÇÖZÜMÜ"/>
    <s v="POS"/>
    <n v="1"/>
    <n v="2255"/>
    <n v="0"/>
    <n v="2255"/>
    <m/>
    <m/>
    <m/>
    <m/>
    <n v="2255"/>
    <n v="0"/>
    <n v="20993.862073026427"/>
  </r>
  <r>
    <d v="2026-03-07T00:00:00"/>
    <x v="3"/>
    <s v="TOZ BİBER - TATLI"/>
    <m/>
    <x v="3"/>
    <n v="4248"/>
    <s v="YALÇINTAT BAHARAT"/>
    <s v="CARİ"/>
    <n v="50"/>
    <n v="190"/>
    <n v="0"/>
    <n v="9500"/>
    <m/>
    <m/>
    <m/>
    <m/>
    <n v="0"/>
    <n v="0"/>
    <n v="20993.862073026427"/>
  </r>
  <r>
    <d v="2026-03-07T00:00:00"/>
    <x v="3"/>
    <s v="NANE İRİ"/>
    <m/>
    <x v="3"/>
    <n v="4248"/>
    <s v="YALÇINTAT BAHARAT"/>
    <s v="CARİ"/>
    <n v="25"/>
    <n v="130"/>
    <n v="0"/>
    <n v="3250"/>
    <m/>
    <m/>
    <m/>
    <m/>
    <n v="0"/>
    <n v="0"/>
    <n v="20993.862073026427"/>
  </r>
  <r>
    <d v="2026-03-07T00:00:00"/>
    <x v="3"/>
    <s v="İSOT"/>
    <m/>
    <x v="3"/>
    <n v="4248"/>
    <s v="YALÇINTAT BAHARAT"/>
    <s v="CARİ"/>
    <n v="25"/>
    <n v="180"/>
    <n v="0"/>
    <n v="4500"/>
    <m/>
    <m/>
    <m/>
    <m/>
    <n v="0"/>
    <n v="0"/>
    <n v="20993.862073026427"/>
  </r>
  <r>
    <d v="2026-03-07T00:00:00"/>
    <x v="3"/>
    <s v="KİMYON ÇEKİLMİŞ"/>
    <m/>
    <x v="3"/>
    <n v="4248"/>
    <s v="YALÇINTAT BAHARAT"/>
    <s v="CARİ"/>
    <n v="25"/>
    <n v="200"/>
    <n v="0"/>
    <n v="5000"/>
    <m/>
    <m/>
    <m/>
    <m/>
    <n v="0"/>
    <n v="0"/>
    <n v="20993.862073026427"/>
  </r>
  <r>
    <d v="2026-03-07T00:00:00"/>
    <x v="3"/>
    <s v="ÇUBUK TARÇIN"/>
    <m/>
    <x v="3"/>
    <n v="4248"/>
    <s v="YALÇINTAT BAHARAT"/>
    <s v="CARİ"/>
    <n v="10"/>
    <n v="250"/>
    <n v="0"/>
    <n v="2500"/>
    <m/>
    <m/>
    <m/>
    <m/>
    <n v="0"/>
    <n v="0"/>
    <n v="20993.862073026427"/>
  </r>
  <r>
    <d v="2026-03-07T00:00:00"/>
    <x v="3"/>
    <s v="KARANFİL"/>
    <m/>
    <x v="3"/>
    <n v="4248"/>
    <s v="YALÇINTAT BAHARAT"/>
    <s v="CARİ"/>
    <n v="5"/>
    <n v="470"/>
    <n v="0"/>
    <n v="2350"/>
    <m/>
    <m/>
    <m/>
    <m/>
    <n v="0"/>
    <n v="0"/>
    <n v="20993.862073026427"/>
  </r>
  <r>
    <d v="2026-03-07T00:00:00"/>
    <x v="3"/>
    <s v="ATOM PUL BİBER ÇOK ACI"/>
    <m/>
    <x v="3"/>
    <n v="4248"/>
    <s v="YALÇINTAT BAHARAT"/>
    <s v="CARİ"/>
    <n v="10"/>
    <n v="275"/>
    <n v="0"/>
    <n v="2750"/>
    <m/>
    <m/>
    <m/>
    <m/>
    <n v="0"/>
    <n v="0"/>
    <n v="20993.862073026427"/>
  </r>
  <r>
    <d v="2026-03-07T00:00:00"/>
    <x v="3"/>
    <s v="KÖFTE BAHARATI (YEDİTÜRLÜ)"/>
    <m/>
    <x v="3"/>
    <n v="4248"/>
    <s v="YALÇINTAT BAHARAT"/>
    <s v="CARİ"/>
    <n v="5"/>
    <n v="190"/>
    <n v="0"/>
    <n v="950"/>
    <m/>
    <m/>
    <m/>
    <m/>
    <n v="0"/>
    <n v="0"/>
    <n v="20993.862073026427"/>
  </r>
  <r>
    <d v="2026-03-07T00:00:00"/>
    <x v="3"/>
    <s v="DOLMALIK KURU PATLICAN"/>
    <m/>
    <x v="3"/>
    <n v="4248"/>
    <s v="YALÇINTAT BAHARAT"/>
    <s v="CARİ"/>
    <n v="140"/>
    <n v="155"/>
    <n v="0"/>
    <n v="21700"/>
    <m/>
    <m/>
    <m/>
    <m/>
    <n v="0"/>
    <n v="0"/>
    <n v="20993.862073026427"/>
  </r>
  <r>
    <d v="2026-03-07T00:00:00"/>
    <x v="3"/>
    <s v="DOLMALIK SARI BİBER"/>
    <m/>
    <x v="3"/>
    <n v="4248"/>
    <s v="YALÇINTAT BAHARAT"/>
    <s v="CARİ"/>
    <n v="60"/>
    <n v="140"/>
    <n v="0"/>
    <n v="8400"/>
    <m/>
    <m/>
    <m/>
    <m/>
    <n v="0"/>
    <n v="0"/>
    <n v="20993.862073026427"/>
  </r>
  <r>
    <d v="2026-03-07T00:00:00"/>
    <x v="3"/>
    <s v="AÇLIK OTU"/>
    <m/>
    <x v="3"/>
    <n v="4248"/>
    <s v="YALÇINTAT BAHARAT"/>
    <s v="CARİ"/>
    <n v="2"/>
    <n v="100"/>
    <n v="0"/>
    <n v="200"/>
    <m/>
    <m/>
    <m/>
    <m/>
    <n v="0"/>
    <n v="0"/>
    <n v="20993.862073026427"/>
  </r>
  <r>
    <d v="2026-03-07T00:00:00"/>
    <x v="3"/>
    <s v="PASTA SÜSÜ"/>
    <m/>
    <x v="3"/>
    <n v="4248"/>
    <s v="YALÇINTAT BAHARAT"/>
    <s v="CARİ"/>
    <n v="1"/>
    <n v="85"/>
    <n v="0"/>
    <n v="85"/>
    <m/>
    <m/>
    <m/>
    <m/>
    <n v="0"/>
    <n v="0"/>
    <n v="20993.862073026427"/>
  </r>
  <r>
    <d v="2026-03-07T00:00:00"/>
    <x v="3"/>
    <s v="KENDİR TOHUMU (ÇETENE ÇEDENE KENEVİR TOHMU)"/>
    <m/>
    <x v="3"/>
    <n v="4248"/>
    <s v="YALÇINTAT BAHARAT"/>
    <s v="CARİ"/>
    <n v="1"/>
    <n v="175"/>
    <n v="0"/>
    <n v="175"/>
    <m/>
    <m/>
    <m/>
    <m/>
    <n v="0"/>
    <n v="0"/>
    <n v="20993.862073026427"/>
  </r>
  <r>
    <d v="2026-03-07T00:00:00"/>
    <x v="3"/>
    <s v="MUSKAT TANE (HİNT CEVİZİ)"/>
    <m/>
    <x v="3"/>
    <n v="4248"/>
    <s v="YALÇINTAT BAHARAT"/>
    <s v="CARİ"/>
    <n v="1"/>
    <n v="400"/>
    <n v="0"/>
    <n v="400"/>
    <m/>
    <m/>
    <m/>
    <m/>
    <n v="0"/>
    <n v="0"/>
    <n v="20993.862073026427"/>
  </r>
  <r>
    <d v="2026-03-07T00:00:00"/>
    <x v="3"/>
    <s v="KİŞNİŞ TANE"/>
    <m/>
    <x v="3"/>
    <n v="4248"/>
    <s v="YALÇINTAT BAHARAT"/>
    <s v="CARİ"/>
    <n v="1"/>
    <n v="80"/>
    <n v="0"/>
    <n v="80"/>
    <m/>
    <m/>
    <m/>
    <m/>
    <n v="0"/>
    <n v="0"/>
    <n v="20993.862073026427"/>
  </r>
  <r>
    <d v="2026-03-07T00:00:00"/>
    <x v="3"/>
    <s v="SIKMA ANTEP TARHANA"/>
    <m/>
    <x v="3"/>
    <n v="4248"/>
    <s v="YALÇINTAT BAHARAT"/>
    <s v="CARİ"/>
    <n v="10"/>
    <n v="140"/>
    <n v="0"/>
    <n v="1400"/>
    <m/>
    <m/>
    <m/>
    <m/>
    <n v="0"/>
    <n v="0"/>
    <n v="20993.862073026427"/>
  </r>
  <r>
    <d v="2026-03-07T00:00:00"/>
    <x v="3"/>
    <s v="POLAT ŞEKERİ (NÖBET ŞEKERİ)"/>
    <m/>
    <x v="3"/>
    <n v="4248"/>
    <s v="YALÇINTAT BAHARAT"/>
    <s v="CARİ"/>
    <n v="1"/>
    <n v="140"/>
    <n v="0"/>
    <n v="140"/>
    <m/>
    <m/>
    <m/>
    <m/>
    <n v="0"/>
    <n v="0"/>
    <n v="20993.862073026427"/>
  </r>
  <r>
    <d v="2026-03-07T00:00:00"/>
    <x v="3"/>
    <s v="HAŞHAŞ MAVİ"/>
    <m/>
    <x v="3"/>
    <n v="4248"/>
    <s v="YALÇINTAT BAHARAT"/>
    <s v="CARİ"/>
    <n v="1"/>
    <n v="180"/>
    <n v="0"/>
    <n v="180"/>
    <m/>
    <m/>
    <m/>
    <m/>
    <n v="0"/>
    <n v="0"/>
    <n v="20993.862073026427"/>
  </r>
  <r>
    <d v="2026-03-07T00:00:00"/>
    <x v="3"/>
    <s v="DAMLA ÇİKOLATA"/>
    <m/>
    <x v="3"/>
    <n v="4248"/>
    <s v="YALÇINTAT BAHARAT"/>
    <s v="CARİ"/>
    <n v="1"/>
    <n v="170"/>
    <n v="0"/>
    <n v="170"/>
    <m/>
    <m/>
    <m/>
    <m/>
    <n v="0"/>
    <n v="0"/>
    <n v="20993.862073026427"/>
  </r>
  <r>
    <d v="2026-03-07T00:00:00"/>
    <x v="3"/>
    <s v="BUĞDAY NİŞASTASI"/>
    <m/>
    <x v="3"/>
    <n v="4248"/>
    <s v="YALÇINTAT BAHARAT"/>
    <s v="CARİ"/>
    <n v="25"/>
    <n v="43"/>
    <n v="0"/>
    <n v="1075"/>
    <m/>
    <m/>
    <m/>
    <m/>
    <n v="0"/>
    <n v="0"/>
    <n v="20993.862073026427"/>
  </r>
  <r>
    <d v="2026-03-07T00:00:00"/>
    <x v="4"/>
    <s v="MISIR PREMİUM MEDİUM HURMA"/>
    <m/>
    <x v="11"/>
    <s v="ST00000001492"/>
    <s v="SATIŞ"/>
    <s v="CARİ"/>
    <n v="0.54400000000000004"/>
    <n v="500"/>
    <n v="272"/>
    <n v="0"/>
    <m/>
    <m/>
    <m/>
    <m/>
    <n v="0"/>
    <n v="0"/>
    <n v="20993.862073026427"/>
  </r>
  <r>
    <d v="2026-03-07T00:00:00"/>
    <x v="4"/>
    <s v="ESMER BULGUR (AKIN)"/>
    <m/>
    <x v="11"/>
    <s v="ST00000001492"/>
    <s v="SATIŞ"/>
    <s v="CARİ"/>
    <n v="1.226"/>
    <n v="46.5"/>
    <n v="57.009"/>
    <n v="0"/>
    <m/>
    <m/>
    <m/>
    <m/>
    <n v="0"/>
    <n v="0"/>
    <n v="20993.862073026427"/>
  </r>
  <r>
    <d v="2026-03-07T00:00:00"/>
    <x v="4"/>
    <s v="ÖZBEK ÜZÜMÜ"/>
    <m/>
    <x v="11"/>
    <s v="ST00000001492"/>
    <s v="SATIŞ"/>
    <s v="CARİ"/>
    <n v="0.28799999999999998"/>
    <n v="550"/>
    <n v="158.39999999999998"/>
    <n v="0"/>
    <m/>
    <m/>
    <m/>
    <m/>
    <n v="0"/>
    <n v="0"/>
    <n v="20993.862073026427"/>
  </r>
  <r>
    <d v="2026-03-07T00:00:00"/>
    <x v="4"/>
    <s v="LEBLEBİ ŞEKER RENKLİ"/>
    <m/>
    <x v="11"/>
    <s v="ST00000001492"/>
    <s v="SATIŞ"/>
    <s v="CARİ"/>
    <n v="0.28199999999999997"/>
    <n v="230"/>
    <n v="64.86"/>
    <n v="0"/>
    <m/>
    <m/>
    <m/>
    <m/>
    <n v="0"/>
    <n v="0"/>
    <n v="20993.862073026427"/>
  </r>
  <r>
    <d v="2026-03-07T00:00:00"/>
    <x v="4"/>
    <s v="GÜNAYDIN KAYA TUZU İNCE"/>
    <m/>
    <x v="11"/>
    <s v="ST00000001492"/>
    <s v="SATIŞ"/>
    <s v="CARİ"/>
    <n v="0.5"/>
    <n v="60"/>
    <n v="30"/>
    <n v="0"/>
    <m/>
    <m/>
    <m/>
    <m/>
    <n v="0"/>
    <n v="0"/>
    <n v="20993.862073026427"/>
  </r>
  <r>
    <d v="2026-03-07T00:00:00"/>
    <x v="4"/>
    <s v="DOLMALIK KURU PATLICAN"/>
    <m/>
    <x v="11"/>
    <s v="ST00000001492"/>
    <s v="SATIŞ"/>
    <s v="CARİ"/>
    <n v="1"/>
    <n v="200"/>
    <n v="200"/>
    <n v="0"/>
    <m/>
    <m/>
    <m/>
    <m/>
    <n v="0"/>
    <n v="0"/>
    <n v="20993.862073026427"/>
  </r>
  <r>
    <d v="2026-03-07T00:00:00"/>
    <x v="4"/>
    <s v="HİNDİSTAN CEVİZİ ( İRİ )"/>
    <m/>
    <x v="11"/>
    <s v="ST00000001492"/>
    <s v="SATIŞ"/>
    <s v="CARİ"/>
    <n v="0.75"/>
    <n v="230"/>
    <n v="172.5"/>
    <n v="0"/>
    <m/>
    <m/>
    <m/>
    <m/>
    <n v="0"/>
    <n v="0"/>
    <n v="20993.862073026427"/>
  </r>
  <r>
    <d v="2026-03-07T00:00:00"/>
    <x v="4"/>
    <s v="HAŞİROĞLU TARHANA ÇEREZLİK"/>
    <m/>
    <x v="5"/>
    <s v="ST00000001493"/>
    <s v="SATIŞ"/>
    <s v="POS"/>
    <n v="1"/>
    <n v="290"/>
    <n v="290"/>
    <n v="0"/>
    <m/>
    <m/>
    <m/>
    <m/>
    <n v="0"/>
    <n v="0"/>
    <n v="20993.862073026427"/>
  </r>
  <r>
    <d v="2026-03-07T00:00:00"/>
    <x v="4"/>
    <s v="SALÇA ACI (EV YAPIMI)"/>
    <m/>
    <x v="1"/>
    <s v="ST00000001494"/>
    <s v="SATIŞ"/>
    <s v="NAKİT"/>
    <n v="1"/>
    <n v="200"/>
    <n v="0"/>
    <n v="0"/>
    <m/>
    <m/>
    <m/>
    <m/>
    <n v="200"/>
    <n v="0"/>
    <n v="21193.862073026427"/>
  </r>
  <r>
    <d v="2026-03-07T00:00:00"/>
    <x v="4"/>
    <s v="TALA KARINCA YUMURTASI YAĞI 20 ML"/>
    <m/>
    <x v="1"/>
    <s v="ST00000001495"/>
    <s v="SATIŞ"/>
    <s v="NAKİT"/>
    <n v="1"/>
    <n v="130"/>
    <n v="0"/>
    <n v="0"/>
    <m/>
    <m/>
    <m/>
    <m/>
    <n v="130"/>
    <n v="0"/>
    <n v="21323.862073026427"/>
  </r>
  <r>
    <d v="2026-03-07T00:00:00"/>
    <x v="4"/>
    <s v="YENİBAHAR TOZ"/>
    <m/>
    <x v="1"/>
    <s v="ST00000001495"/>
    <s v="SATIŞ"/>
    <s v="NAKİT"/>
    <n v="7.1428571428571425E-2"/>
    <n v="770"/>
    <n v="0"/>
    <n v="0"/>
    <m/>
    <m/>
    <m/>
    <m/>
    <n v="55"/>
    <n v="0"/>
    <n v="21378.862073026427"/>
  </r>
  <r>
    <d v="2026-03-07T00:00:00"/>
    <x v="4"/>
    <s v="DOLMALIK KURU PATLICAN"/>
    <m/>
    <x v="5"/>
    <s v="ST00000001496"/>
    <s v="SATIŞ"/>
    <s v="POS"/>
    <n v="0.5"/>
    <n v="250"/>
    <n v="125"/>
    <n v="0"/>
    <m/>
    <m/>
    <m/>
    <m/>
    <n v="0"/>
    <n v="0"/>
    <n v="21378.862073026427"/>
  </r>
  <r>
    <d v="2026-03-07T00:00:00"/>
    <x v="4"/>
    <s v="DOLMALIK SARI BİBER"/>
    <m/>
    <x v="5"/>
    <s v="ST00000001496"/>
    <s v="SATIŞ"/>
    <s v="POS"/>
    <n v="0.5"/>
    <n v="230"/>
    <n v="115"/>
    <n v="0"/>
    <m/>
    <m/>
    <m/>
    <m/>
    <n v="0"/>
    <n v="0"/>
    <n v="21378.862073026427"/>
  </r>
  <r>
    <d v="2026-03-07T00:00:00"/>
    <x v="4"/>
    <s v="SUMAK"/>
    <m/>
    <x v="5"/>
    <s v="ST00000001496"/>
    <s v="SATIŞ"/>
    <s v="POS"/>
    <n v="0.12"/>
    <n v="500"/>
    <n v="60"/>
    <n v="0"/>
    <m/>
    <m/>
    <m/>
    <m/>
    <n v="0"/>
    <n v="0"/>
    <n v="21378.862073026427"/>
  </r>
  <r>
    <d v="2026-03-07T00:00:00"/>
    <x v="4"/>
    <s v="KABUKLU CEVİZ (YERLİ)"/>
    <m/>
    <x v="1"/>
    <s v="ST00000001497"/>
    <s v="SATIŞ"/>
    <s v="NAKİT"/>
    <n v="2.16"/>
    <n v="250"/>
    <n v="0"/>
    <n v="0"/>
    <m/>
    <m/>
    <m/>
    <m/>
    <n v="540"/>
    <n v="0"/>
    <n v="21918.862073026427"/>
  </r>
  <r>
    <d v="2026-03-07T00:00:00"/>
    <x v="4"/>
    <s v="MATCHA KAYISI VE YEŞİL ÇAYLI DETOX ÇAYI"/>
    <m/>
    <x v="5"/>
    <s v="ST00000001498"/>
    <s v="SATIŞ"/>
    <s v="POS"/>
    <n v="1"/>
    <n v="190"/>
    <n v="190"/>
    <n v="0"/>
    <m/>
    <m/>
    <m/>
    <m/>
    <n v="0"/>
    <n v="0"/>
    <n v="21918.862073026427"/>
  </r>
  <r>
    <d v="2026-03-07T00:00:00"/>
    <x v="4"/>
    <s v="MANİSA YAPRAK DÖKME"/>
    <m/>
    <x v="1"/>
    <s v="ST00000001499"/>
    <s v="SATIŞ"/>
    <s v="NAKİT"/>
    <n v="1"/>
    <n v="300"/>
    <n v="0"/>
    <n v="0"/>
    <m/>
    <m/>
    <m/>
    <m/>
    <n v="300"/>
    <n v="0"/>
    <n v="22218.862073026427"/>
  </r>
  <r>
    <d v="2026-03-07T00:00:00"/>
    <x v="4"/>
    <s v="DOLMALIK KURU PATLICAN"/>
    <m/>
    <x v="1"/>
    <s v="ST00000001500"/>
    <s v="SATIŞ"/>
    <s v="NAKİT"/>
    <n v="1"/>
    <n v="250"/>
    <n v="0"/>
    <n v="0"/>
    <m/>
    <m/>
    <m/>
    <m/>
    <n v="250"/>
    <n v="0"/>
    <n v="22468.862073026427"/>
  </r>
  <r>
    <d v="2026-03-07T00:00:00"/>
    <x v="4"/>
    <s v="DOLMALIK KURU PATLICAN"/>
    <m/>
    <x v="1"/>
    <s v="ST00000001501"/>
    <s v="SATIŞ"/>
    <s v="NAKİT"/>
    <n v="1"/>
    <n v="250"/>
    <n v="0"/>
    <n v="0"/>
    <m/>
    <m/>
    <m/>
    <m/>
    <n v="250"/>
    <n v="0"/>
    <n v="22718.862073026427"/>
  </r>
  <r>
    <d v="2026-03-07T00:00:00"/>
    <x v="4"/>
    <s v="DOMATES SALÇASI"/>
    <m/>
    <x v="5"/>
    <s v="ST00000001502"/>
    <s v="SATIŞ"/>
    <s v="POS"/>
    <n v="1"/>
    <n v="150"/>
    <n v="150"/>
    <n v="0"/>
    <m/>
    <m/>
    <m/>
    <m/>
    <n v="0"/>
    <n v="0"/>
    <n v="22718.862073026427"/>
  </r>
  <r>
    <d v="2026-03-07T00:00:00"/>
    <x v="4"/>
    <s v="KABUKLU CEVİZ (YERLİ)"/>
    <m/>
    <x v="5"/>
    <s v="ST00000001503"/>
    <s v="SATIŞ"/>
    <s v="POS"/>
    <n v="1"/>
    <n v="250"/>
    <n v="250"/>
    <n v="0"/>
    <m/>
    <m/>
    <m/>
    <m/>
    <n v="0"/>
    <n v="0"/>
    <n v="22718.862073026427"/>
  </r>
  <r>
    <d v="2026-03-07T00:00:00"/>
    <x v="4"/>
    <s v="TÜRK KAHVESİ"/>
    <m/>
    <x v="1"/>
    <s v="ST00000001504"/>
    <s v="SATIŞ"/>
    <s v="NAKİT"/>
    <n v="0.1"/>
    <n v="650"/>
    <n v="0"/>
    <n v="0"/>
    <m/>
    <m/>
    <m/>
    <m/>
    <n v="65"/>
    <n v="0"/>
    <n v="22783.862073026427"/>
  </r>
  <r>
    <d v="2026-03-07T00:00:00"/>
    <x v="4"/>
    <s v="TOZ BİBER - TATLI"/>
    <m/>
    <x v="1"/>
    <s v="ST00000001504"/>
    <s v="SATIŞ"/>
    <s v="NAKİT"/>
    <n v="0.1125"/>
    <n v="400"/>
    <n v="0"/>
    <n v="0"/>
    <m/>
    <m/>
    <m/>
    <m/>
    <n v="45"/>
    <n v="0"/>
    <n v="22828.862073026427"/>
  </r>
  <r>
    <d v="2026-03-07T00:00:00"/>
    <x v="4"/>
    <s v="DUT KURUSU ESMER"/>
    <m/>
    <x v="5"/>
    <s v="ST00000001505"/>
    <s v="SATIŞ"/>
    <s v="POS"/>
    <n v="0.1"/>
    <n v="450"/>
    <n v="45"/>
    <n v="0"/>
    <m/>
    <m/>
    <m/>
    <m/>
    <n v="0"/>
    <n v="0"/>
    <n v="22828.862073026427"/>
  </r>
  <r>
    <d v="2026-03-07T00:00:00"/>
    <x v="4"/>
    <s v="İPEK BİBER"/>
    <m/>
    <x v="5"/>
    <s v="ST00000001505"/>
    <s v="SATIŞ"/>
    <s v="POS"/>
    <n v="0.09"/>
    <n v="500"/>
    <n v="45"/>
    <n v="0"/>
    <m/>
    <m/>
    <m/>
    <m/>
    <n v="0"/>
    <n v="0"/>
    <n v="22828.862073026427"/>
  </r>
  <r>
    <d v="2026-03-07T00:00:00"/>
    <x v="4"/>
    <s v="KIRMIZI PUL BİBER TATLI"/>
    <m/>
    <x v="1"/>
    <s v="ST00000001506"/>
    <s v="SATIŞ"/>
    <s v="NAKİT"/>
    <n v="0.15555555555555556"/>
    <n v="360"/>
    <n v="0"/>
    <n v="0"/>
    <m/>
    <m/>
    <m/>
    <m/>
    <n v="56"/>
    <n v="0"/>
    <n v="22884.862073026427"/>
  </r>
  <r>
    <d v="2026-03-07T00:00:00"/>
    <x v="4"/>
    <s v="TOZ BİBER - TATLI"/>
    <m/>
    <x v="1"/>
    <s v="ST00000001506"/>
    <s v="SATIŞ"/>
    <s v="NAKİT"/>
    <n v="0.13"/>
    <n v="400"/>
    <n v="0"/>
    <n v="0"/>
    <m/>
    <m/>
    <m/>
    <m/>
    <n v="52"/>
    <n v="0"/>
    <n v="22936.862073026427"/>
  </r>
  <r>
    <d v="2026-03-07T00:00:00"/>
    <x v="4"/>
    <s v="DOMATES SALÇASI"/>
    <m/>
    <x v="1"/>
    <s v="ST00000001507"/>
    <s v="SATIŞ"/>
    <s v="NAKİT"/>
    <n v="2"/>
    <n v="150"/>
    <n v="0"/>
    <n v="0"/>
    <m/>
    <m/>
    <m/>
    <m/>
    <n v="300"/>
    <n v="0"/>
    <n v="23236.862073026427"/>
  </r>
  <r>
    <d v="2026-03-07T00:00:00"/>
    <x v="4"/>
    <s v="MEBRUM HURMA 2 (5'LİK)"/>
    <m/>
    <x v="1"/>
    <s v="ST00000001507"/>
    <s v="SATIŞ"/>
    <s v="NAKİT"/>
    <n v="0.35714285714285715"/>
    <n v="420"/>
    <n v="0"/>
    <n v="0"/>
    <m/>
    <m/>
    <m/>
    <m/>
    <n v="150"/>
    <n v="0"/>
    <n v="23386.862073026427"/>
  </r>
  <r>
    <d v="2026-03-07T00:00:00"/>
    <x v="11"/>
    <m/>
    <m/>
    <x v="11"/>
    <m/>
    <s v="HANİFE DİVLEK - TFK ÖDEME"/>
    <s v="CARİ"/>
    <n v="1"/>
    <n v="950"/>
    <n v="0"/>
    <n v="950"/>
    <m/>
    <m/>
    <m/>
    <m/>
    <n v="950"/>
    <n v="0"/>
    <n v="24336.862073026427"/>
  </r>
  <r>
    <d v="2026-03-08T00:00:00"/>
    <x v="3"/>
    <s v="PEINEILI GİNSENG KUVVET BİTKİSEL KARIŞIMLI MACUN"/>
    <m/>
    <x v="2"/>
    <s v="FT00000000084"/>
    <s v="TR"/>
    <s v="K.K."/>
    <n v="5"/>
    <n v="182.00399999999999"/>
    <n v="0"/>
    <n v="910.02"/>
    <m/>
    <m/>
    <m/>
    <m/>
    <n v="0"/>
    <n v="0"/>
    <n v="24336.862073026427"/>
  </r>
  <r>
    <d v="2026-03-08T00:00:00"/>
    <x v="4"/>
    <s v="MISIR PREMİUM MEDİUM HURMA"/>
    <m/>
    <x v="1"/>
    <s v="ST00000001508"/>
    <s v="SATIŞ"/>
    <s v="NAKİT"/>
    <n v="0.5"/>
    <n v="500"/>
    <n v="0"/>
    <n v="0"/>
    <m/>
    <m/>
    <m/>
    <m/>
    <n v="250"/>
    <n v="0"/>
    <n v="24586.862073026427"/>
  </r>
  <r>
    <d v="2026-03-08T00:00:00"/>
    <x v="4"/>
    <s v="MEBRUM HURMA 2 (5'LİK)"/>
    <m/>
    <x v="1"/>
    <s v="ST00000001508"/>
    <s v="SATIŞ"/>
    <s v="NAKİT"/>
    <n v="1"/>
    <n v="420"/>
    <n v="0"/>
    <n v="0"/>
    <m/>
    <m/>
    <m/>
    <m/>
    <n v="420"/>
    <n v="0"/>
    <n v="25006.862073026427"/>
  </r>
  <r>
    <d v="2026-03-08T00:00:00"/>
    <x v="4"/>
    <s v="KINA RGS DÖKME"/>
    <m/>
    <x v="1"/>
    <s v="ST00000001508"/>
    <s v="SATIŞ"/>
    <s v="NAKİT"/>
    <n v="0.25"/>
    <n v="400"/>
    <n v="0"/>
    <n v="0"/>
    <m/>
    <m/>
    <m/>
    <m/>
    <n v="100"/>
    <n v="0"/>
    <n v="25106.862073026427"/>
  </r>
  <r>
    <d v="2026-03-08T00:00:00"/>
    <x v="4"/>
    <s v="SİNAMEKİ"/>
    <m/>
    <x v="1"/>
    <s v="ST00000001508"/>
    <s v="SATIŞ"/>
    <s v="NAKİT"/>
    <n v="0.05"/>
    <n v="500"/>
    <n v="0"/>
    <n v="0"/>
    <m/>
    <m/>
    <m/>
    <m/>
    <n v="25"/>
    <n v="0"/>
    <n v="25131.862073026427"/>
  </r>
  <r>
    <d v="2026-03-08T00:00:00"/>
    <x v="4"/>
    <s v="KABAK ÇEKİRDEĞİ YAĞI 50 CC"/>
    <m/>
    <x v="1"/>
    <s v="ST00000001508"/>
    <s v="SATIŞ"/>
    <s v="NAKİT"/>
    <n v="1"/>
    <n v="125"/>
    <n v="0"/>
    <n v="0"/>
    <m/>
    <m/>
    <m/>
    <m/>
    <n v="125"/>
    <n v="0"/>
    <n v="25256.862073026427"/>
  </r>
  <r>
    <d v="2026-03-08T00:00:00"/>
    <x v="4"/>
    <s v="HİBİSKUS"/>
    <m/>
    <x v="1"/>
    <s v="ST00000001508"/>
    <s v="SATIŞ"/>
    <s v="NAKİT"/>
    <n v="0.1"/>
    <n v="600"/>
    <n v="0"/>
    <n v="0"/>
    <m/>
    <m/>
    <m/>
    <m/>
    <n v="60"/>
    <n v="0"/>
    <n v="25316.862073026427"/>
  </r>
  <r>
    <d v="2026-03-08T00:00:00"/>
    <x v="4"/>
    <s v="REZENE"/>
    <m/>
    <x v="1"/>
    <s v="ST00000001508"/>
    <s v="SATIŞ"/>
    <s v="NAKİT"/>
    <n v="0.05"/>
    <n v="900"/>
    <n v="0"/>
    <n v="0"/>
    <m/>
    <m/>
    <m/>
    <m/>
    <n v="45"/>
    <n v="0"/>
    <n v="25361.862073026427"/>
  </r>
  <r>
    <d v="2026-03-08T00:00:00"/>
    <x v="4"/>
    <s v="ÇUBUK TARÇIN"/>
    <m/>
    <x v="1"/>
    <s v="ST00000001509"/>
    <s v="SATIŞ - NECAT - MAHALLE"/>
    <s v="NAKİT"/>
    <n v="0.16"/>
    <n v="750"/>
    <n v="0"/>
    <n v="0"/>
    <m/>
    <m/>
    <m/>
    <m/>
    <n v="120"/>
    <n v="0"/>
    <n v="25481.862073026427"/>
  </r>
  <r>
    <d v="2026-03-08T00:00:00"/>
    <x v="4"/>
    <s v="İSOT"/>
    <m/>
    <x v="5"/>
    <s v="ST00000001510"/>
    <s v="SATIŞ"/>
    <s v="POS"/>
    <n v="0.188"/>
    <n v="400"/>
    <n v="75.2"/>
    <n v="0"/>
    <m/>
    <m/>
    <m/>
    <m/>
    <n v="0"/>
    <n v="0"/>
    <n v="25481.862073026427"/>
  </r>
  <r>
    <d v="2026-03-08T00:00:00"/>
    <x v="4"/>
    <s v="KİMYON ÇEKİLMİŞ"/>
    <m/>
    <x v="5"/>
    <s v="ST00000001510"/>
    <s v="SATIŞ"/>
    <s v="POS"/>
    <n v="0.04"/>
    <n v="400"/>
    <n v="16"/>
    <n v="0"/>
    <m/>
    <m/>
    <m/>
    <m/>
    <n v="0"/>
    <n v="0"/>
    <n v="25481.862073026427"/>
  </r>
  <r>
    <d v="2026-03-08T00:00:00"/>
    <x v="4"/>
    <s v="TÜDAB KARIŞIK TURŞU"/>
    <m/>
    <x v="5"/>
    <s v="ST00000001510"/>
    <s v="SATIŞ"/>
    <s v="POS"/>
    <n v="1"/>
    <n v="400"/>
    <n v="400"/>
    <n v="0"/>
    <m/>
    <m/>
    <m/>
    <m/>
    <n v="0"/>
    <n v="0"/>
    <n v="25481.862073026427"/>
  </r>
  <r>
    <d v="2026-03-08T00:00:00"/>
    <x v="4"/>
    <s v="SALÇA ACI (EV YAPIMI)"/>
    <m/>
    <x v="5"/>
    <s v="ST00000001510"/>
    <s v="SATIŞ"/>
    <s v="POS"/>
    <n v="1"/>
    <n v="200"/>
    <n v="200"/>
    <n v="0"/>
    <m/>
    <m/>
    <m/>
    <m/>
    <n v="0"/>
    <n v="0"/>
    <n v="25481.862073026427"/>
  </r>
  <r>
    <d v="2026-03-08T00:00:00"/>
    <x v="4"/>
    <s v="ESMER BULGUR (AKIN)"/>
    <m/>
    <x v="5"/>
    <s v="ST00000001510"/>
    <s v="SATIŞ"/>
    <s v="POS"/>
    <n v="0.98199999999999998"/>
    <n v="65"/>
    <n v="63.83"/>
    <n v="0"/>
    <m/>
    <m/>
    <m/>
    <m/>
    <n v="0"/>
    <n v="0"/>
    <n v="25481.862073026427"/>
  </r>
  <r>
    <d v="2026-03-08T00:00:00"/>
    <x v="4"/>
    <s v="KARABİBER ÇEKİLMİŞ"/>
    <m/>
    <x v="5"/>
    <s v="ST00000001510"/>
    <s v="SATIŞ"/>
    <s v="POS"/>
    <n v="8.2000000000000003E-2"/>
    <n v="650"/>
    <n v="53.300000000000004"/>
    <n v="0"/>
    <m/>
    <m/>
    <m/>
    <m/>
    <n v="0"/>
    <n v="0"/>
    <n v="25481.862073026427"/>
  </r>
  <r>
    <d v="2026-03-08T00:00:00"/>
    <x v="4"/>
    <s v="KARANFİL"/>
    <m/>
    <x v="5"/>
    <s v="ST00000001510"/>
    <s v="SATIŞ"/>
    <s v="POS"/>
    <n v="0.05"/>
    <n v="1200"/>
    <n v="60"/>
    <n v="0"/>
    <m/>
    <m/>
    <m/>
    <m/>
    <n v="0"/>
    <n v="0"/>
    <n v="25481.862073026427"/>
  </r>
  <r>
    <d v="2026-03-08T00:00:00"/>
    <x v="4"/>
    <s v="MANİSA YAPRAK DÖKME"/>
    <m/>
    <x v="1"/>
    <s v="ST00000001511"/>
    <s v="SATIŞ"/>
    <s v="NAKİT"/>
    <n v="1"/>
    <n v="300"/>
    <n v="0"/>
    <n v="0"/>
    <m/>
    <m/>
    <m/>
    <m/>
    <n v="300"/>
    <n v="0"/>
    <n v="25781.862073026427"/>
  </r>
  <r>
    <d v="2026-03-08T00:00:00"/>
    <x v="4"/>
    <s v="PİLAVLIK BULGUR"/>
    <m/>
    <x v="1"/>
    <s v="ST00000001512"/>
    <s v="SATIŞ"/>
    <s v="NAKİT"/>
    <n v="1.3384615384615384"/>
    <n v="65"/>
    <n v="0"/>
    <n v="0"/>
    <m/>
    <m/>
    <m/>
    <m/>
    <n v="87"/>
    <n v="0"/>
    <n v="25868.862073026427"/>
  </r>
  <r>
    <d v="2026-03-08T00:00:00"/>
    <x v="4"/>
    <s v="TÜDAB KARIŞIK TURŞU"/>
    <m/>
    <x v="1"/>
    <s v="ST00000001512"/>
    <s v="SATIŞ"/>
    <s v="NAKİT"/>
    <n v="1"/>
    <n v="400"/>
    <n v="0"/>
    <n v="0"/>
    <m/>
    <m/>
    <m/>
    <m/>
    <n v="400"/>
    <n v="0"/>
    <n v="26268.862073026427"/>
  </r>
  <r>
    <d v="2026-03-08T00:00:00"/>
    <x v="4"/>
    <s v="AŞURELİK BUĞDAY İZMİR"/>
    <m/>
    <x v="1"/>
    <s v="ST00000001512"/>
    <s v="SATIŞ"/>
    <s v="NAKİT"/>
    <n v="0.5"/>
    <n v="50"/>
    <n v="0"/>
    <n v="0"/>
    <m/>
    <m/>
    <m/>
    <m/>
    <n v="25"/>
    <n v="0"/>
    <n v="26293.862073026427"/>
  </r>
  <r>
    <d v="2026-03-08T00:00:00"/>
    <x v="4"/>
    <s v="DOLMALIK KURU PATLICAN"/>
    <m/>
    <x v="1"/>
    <s v="ST00000001512"/>
    <s v="SATIŞ"/>
    <s v="NAKİT"/>
    <n v="1"/>
    <n v="250"/>
    <n v="0"/>
    <n v="0"/>
    <m/>
    <m/>
    <m/>
    <m/>
    <n v="250"/>
    <n v="0"/>
    <n v="26543.862073026427"/>
  </r>
  <r>
    <d v="2026-03-08T00:00:00"/>
    <x v="4"/>
    <s v="ZERDEÇAL TOZ"/>
    <m/>
    <x v="5"/>
    <s v="ST00000001513"/>
    <s v="SATIŞ"/>
    <s v="POS"/>
    <n v="0.11666666666666667"/>
    <n v="300"/>
    <n v="35"/>
    <n v="0"/>
    <m/>
    <m/>
    <m/>
    <m/>
    <n v="0"/>
    <n v="0"/>
    <n v="26543.862073026427"/>
  </r>
  <r>
    <d v="2026-03-08T00:00:00"/>
    <x v="4"/>
    <s v="MEBRUM HURMA 2 (5'LİK)"/>
    <m/>
    <x v="1"/>
    <s v="ST00000001514"/>
    <s v="SATIŞ"/>
    <s v="NAKİT"/>
    <n v="0.97619047619047616"/>
    <n v="420"/>
    <n v="0"/>
    <n v="0"/>
    <m/>
    <m/>
    <m/>
    <m/>
    <n v="410"/>
    <n v="0"/>
    <n v="26953.862073026427"/>
  </r>
  <r>
    <d v="2026-03-08T00:00:00"/>
    <x v="4"/>
    <s v="MISIR PREMİUM MEDİUM HURMA"/>
    <m/>
    <x v="5"/>
    <s v="ST00000001515"/>
    <s v="SATIŞ"/>
    <s v="POS"/>
    <n v="0.26"/>
    <n v="500"/>
    <n v="130"/>
    <n v="0"/>
    <m/>
    <m/>
    <m/>
    <m/>
    <n v="0"/>
    <n v="0"/>
    <n v="26953.862073026427"/>
  </r>
  <r>
    <d v="2026-03-08T00:00:00"/>
    <x v="4"/>
    <s v="SUMAK"/>
    <m/>
    <x v="5"/>
    <s v="ST00000001515"/>
    <s v="SATIŞ"/>
    <s v="POS"/>
    <n v="0.11"/>
    <n v="500"/>
    <n v="55"/>
    <n v="0"/>
    <m/>
    <m/>
    <m/>
    <m/>
    <n v="0"/>
    <n v="0"/>
    <n v="26953.862073026427"/>
  </r>
  <r>
    <d v="2026-03-08T00:00:00"/>
    <x v="4"/>
    <s v="IHLAMUR YAPRAK"/>
    <m/>
    <x v="5"/>
    <s v="ST00000001516"/>
    <s v="SATIŞ"/>
    <s v="POS"/>
    <n v="0.05"/>
    <n v="2600"/>
    <n v="130"/>
    <n v="0"/>
    <m/>
    <m/>
    <m/>
    <m/>
    <n v="0"/>
    <n v="0"/>
    <n v="26953.862073026427"/>
  </r>
  <r>
    <d v="2026-03-08T00:00:00"/>
    <x v="4"/>
    <s v="TOZ TARÇIN"/>
    <m/>
    <x v="5"/>
    <s v="ST00000001516"/>
    <s v="SATIŞ"/>
    <s v="POS"/>
    <n v="0.1"/>
    <n v="400"/>
    <n v="40"/>
    <n v="0"/>
    <m/>
    <m/>
    <m/>
    <m/>
    <n v="0"/>
    <n v="0"/>
    <n v="26953.862073026427"/>
  </r>
  <r>
    <d v="2026-03-08T00:00:00"/>
    <x v="4"/>
    <s v="ZENCEFİL TOZ"/>
    <m/>
    <x v="5"/>
    <s v="ST00000001516"/>
    <s v="SATIŞ"/>
    <s v="POS"/>
    <n v="0.1"/>
    <n v="400"/>
    <n v="40"/>
    <n v="0"/>
    <m/>
    <m/>
    <m/>
    <m/>
    <n v="0"/>
    <n v="0"/>
    <n v="26953.862073026427"/>
  </r>
  <r>
    <d v="2026-03-08T00:00:00"/>
    <x v="4"/>
    <s v="ZERDEÇAL TOZ"/>
    <m/>
    <x v="5"/>
    <s v="ST00000001516"/>
    <s v="SATIŞ"/>
    <s v="POS"/>
    <n v="0.13333333333333333"/>
    <n v="300"/>
    <n v="40"/>
    <n v="0"/>
    <m/>
    <m/>
    <m/>
    <m/>
    <n v="0"/>
    <n v="0"/>
    <n v="26953.862073026427"/>
  </r>
  <r>
    <d v="2026-03-08T00:00:00"/>
    <x v="4"/>
    <s v="YENİ MAHSÜL PAPATYA"/>
    <m/>
    <x v="1"/>
    <s v="ST00000001517"/>
    <s v="SATIŞ"/>
    <s v="NAKİT"/>
    <n v="0.05"/>
    <n v="1800"/>
    <n v="0"/>
    <n v="0"/>
    <m/>
    <m/>
    <m/>
    <m/>
    <n v="90"/>
    <n v="0"/>
    <n v="27043.862073026427"/>
  </r>
  <r>
    <d v="2026-03-08T00:00:00"/>
    <x v="4"/>
    <s v="ISIRGAN YAPRAĞI"/>
    <m/>
    <x v="1"/>
    <s v="ST00000001517"/>
    <s v="SATIŞ"/>
    <s v="NAKİT"/>
    <n v="0.05"/>
    <n v="1400"/>
    <n v="0"/>
    <n v="0"/>
    <m/>
    <m/>
    <m/>
    <m/>
    <n v="70"/>
    <n v="0"/>
    <n v="27113.862073026427"/>
  </r>
  <r>
    <d v="2026-03-08T00:00:00"/>
    <x v="4"/>
    <s v="ÇÖREKOTU"/>
    <m/>
    <x v="1"/>
    <s v="ST00000001517"/>
    <s v="SATIŞ"/>
    <s v="NAKİT"/>
    <n v="0.1"/>
    <n v="400"/>
    <n v="0"/>
    <n v="0"/>
    <m/>
    <m/>
    <m/>
    <m/>
    <n v="40"/>
    <n v="0"/>
    <n v="27153.862073026427"/>
  </r>
  <r>
    <d v="2026-03-08T00:00:00"/>
    <x v="4"/>
    <s v="DOLMALIK SARI BİBER"/>
    <m/>
    <x v="5"/>
    <s v="ST00000001517"/>
    <s v="SATIŞ"/>
    <s v="POS"/>
    <n v="0.5"/>
    <n v="230"/>
    <n v="115"/>
    <n v="0"/>
    <m/>
    <m/>
    <m/>
    <m/>
    <n v="0"/>
    <n v="0"/>
    <n v="27153.862073026427"/>
  </r>
  <r>
    <d v="2026-03-08T00:00:00"/>
    <x v="4"/>
    <s v="DOLMALIK KURU ACI BİBER"/>
    <m/>
    <x v="5"/>
    <s v="ST00000001517"/>
    <s v="SATIŞ"/>
    <s v="POS"/>
    <n v="0.5"/>
    <n v="230"/>
    <n v="115"/>
    <n v="0"/>
    <m/>
    <m/>
    <m/>
    <m/>
    <n v="0"/>
    <n v="0"/>
    <n v="27153.862073026427"/>
  </r>
  <r>
    <d v="2026-03-08T00:00:00"/>
    <x v="4"/>
    <s v="NBN DAĞ İNCİRİ"/>
    <m/>
    <x v="5"/>
    <s v="ST00000001518"/>
    <s v="SATIŞ"/>
    <s v="POS"/>
    <n v="0.2"/>
    <n v="800"/>
    <n v="160"/>
    <n v="0"/>
    <m/>
    <m/>
    <m/>
    <m/>
    <n v="0"/>
    <n v="0"/>
    <n v="27153.862073026427"/>
  </r>
  <r>
    <d v="2026-03-08T00:00:00"/>
    <x v="4"/>
    <s v="İPEK BİBER"/>
    <m/>
    <x v="5"/>
    <s v="ST00000001518"/>
    <s v="SATIŞ"/>
    <s v="POS"/>
    <n v="0.26"/>
    <n v="500"/>
    <n v="130"/>
    <n v="0"/>
    <m/>
    <m/>
    <m/>
    <m/>
    <n v="0"/>
    <n v="0"/>
    <n v="27153.862073026427"/>
  </r>
  <r>
    <d v="2026-03-08T00:00:00"/>
    <x v="4"/>
    <s v="DOLMALIK KURU PATLICAN"/>
    <m/>
    <x v="5"/>
    <s v="ST00000001518"/>
    <s v="SATIŞ"/>
    <s v="POS"/>
    <n v="0.5"/>
    <n v="250"/>
    <n v="125"/>
    <n v="0"/>
    <m/>
    <m/>
    <m/>
    <m/>
    <n v="0"/>
    <n v="0"/>
    <n v="27153.862073026427"/>
  </r>
  <r>
    <d v="2026-03-08T00:00:00"/>
    <x v="4"/>
    <s v="KAFFKA MENENGİÇ KAHVESİ 150 GR"/>
    <m/>
    <x v="5"/>
    <s v="ST00000001518"/>
    <s v="SATIŞ"/>
    <s v="POS"/>
    <n v="1"/>
    <n v="65"/>
    <n v="65"/>
    <n v="0"/>
    <m/>
    <m/>
    <m/>
    <m/>
    <n v="0"/>
    <n v="0"/>
    <n v="27153.862073026427"/>
  </r>
  <r>
    <d v="2026-03-08T00:00:00"/>
    <x v="4"/>
    <s v="MS 09 DERMA ÖRME SOPALI SIRT LİFİ"/>
    <m/>
    <x v="5"/>
    <s v="ST00000001518"/>
    <s v="SATIŞ"/>
    <s v="POS"/>
    <n v="1"/>
    <n v="150"/>
    <n v="150"/>
    <n v="0"/>
    <m/>
    <m/>
    <m/>
    <m/>
    <n v="0"/>
    <n v="0"/>
    <n v="27153.862073026427"/>
  </r>
  <r>
    <d v="2026-03-08T00:00:00"/>
    <x v="4"/>
    <s v="AYÇEKİRDEĞİ DAKOTA TUZLU EKSTRA"/>
    <m/>
    <x v="5"/>
    <s v="ST00000001518"/>
    <s v="SATIŞ"/>
    <s v="POS"/>
    <n v="0.26200000000000001"/>
    <n v="230"/>
    <n v="60.260000000000005"/>
    <n v="0"/>
    <m/>
    <m/>
    <m/>
    <m/>
    <n v="0"/>
    <n v="0"/>
    <n v="27153.862073026427"/>
  </r>
  <r>
    <d v="2026-03-08T00:00:00"/>
    <x v="4"/>
    <s v="AYÇEKİRDEĞİ DAKOTA TUZSUZ EKSTRA"/>
    <m/>
    <x v="5"/>
    <s v="ST00000001518"/>
    <s v="SATIŞ"/>
    <s v="POS"/>
    <n v="0.26200000000000001"/>
    <n v="230"/>
    <n v="60.260000000000005"/>
    <n v="0"/>
    <m/>
    <m/>
    <m/>
    <m/>
    <n v="0"/>
    <n v="0"/>
    <n v="27153.862073026427"/>
  </r>
  <r>
    <d v="2026-03-08T00:00:00"/>
    <x v="4"/>
    <s v="LEBLEBİ SARI ÖZEL LÜX ÇITIR"/>
    <m/>
    <x v="5"/>
    <s v="ST00000001518"/>
    <s v="SATIŞ"/>
    <s v="POS"/>
    <n v="0.25"/>
    <n v="200"/>
    <n v="50"/>
    <n v="0"/>
    <m/>
    <m/>
    <m/>
    <m/>
    <n v="0"/>
    <n v="0"/>
    <n v="27153.862073026427"/>
  </r>
  <r>
    <d v="2026-03-08T00:00:00"/>
    <x v="4"/>
    <s v="KARIŞIK KURUYEMİŞ"/>
    <m/>
    <x v="5"/>
    <s v="ST00000001518"/>
    <s v="SATIŞ"/>
    <s v="POS"/>
    <n v="0.23599999999999999"/>
    <n v="1060"/>
    <n v="250.16"/>
    <n v="0"/>
    <m/>
    <m/>
    <m/>
    <m/>
    <n v="0"/>
    <n v="0"/>
    <n v="27153.862073026427"/>
  </r>
  <r>
    <d v="2026-03-08T00:00:00"/>
    <x v="4"/>
    <s v="SOGAY HURMA"/>
    <m/>
    <x v="5"/>
    <s v="ST00000001519"/>
    <s v="SATIŞ"/>
    <s v="POS"/>
    <n v="1"/>
    <n v="370"/>
    <n v="370"/>
    <n v="0"/>
    <m/>
    <m/>
    <m/>
    <m/>
    <n v="0"/>
    <n v="0"/>
    <n v="27153.862073026427"/>
  </r>
  <r>
    <d v="2026-03-08T00:00:00"/>
    <x v="4"/>
    <s v="KEKİK LÜX"/>
    <m/>
    <x v="5"/>
    <s v="ST00000001519"/>
    <s v="SATIŞ"/>
    <s v="POS"/>
    <n v="2.6666666666666668E-2"/>
    <n v="750"/>
    <n v="20"/>
    <n v="0"/>
    <m/>
    <m/>
    <m/>
    <m/>
    <n v="0"/>
    <n v="0"/>
    <n v="27153.862073026427"/>
  </r>
  <r>
    <d v="2026-03-08T00:00:00"/>
    <x v="4"/>
    <s v="TOMBUL KESE 500 GR TATLI"/>
    <m/>
    <x v="1"/>
    <s v="ST00000001520"/>
    <s v="SATIŞ"/>
    <s v="NAKİT"/>
    <n v="1"/>
    <n v="200"/>
    <n v="0"/>
    <n v="0"/>
    <m/>
    <m/>
    <m/>
    <m/>
    <n v="200"/>
    <n v="0"/>
    <n v="27353.862073026427"/>
  </r>
  <r>
    <d v="2026-03-08T00:00:00"/>
    <x v="4"/>
    <s v="KARABİBER ÇEKİLMİŞ"/>
    <m/>
    <x v="1"/>
    <s v="ST00000001521"/>
    <s v="SATIŞ"/>
    <s v="NAKİT"/>
    <n v="0.06"/>
    <n v="650"/>
    <n v="0"/>
    <n v="0"/>
    <m/>
    <m/>
    <m/>
    <m/>
    <n v="39"/>
    <n v="0"/>
    <n v="27392.862073026427"/>
  </r>
  <r>
    <d v="2026-03-08T00:00:00"/>
    <x v="4"/>
    <s v="TOZ BİBER - TATLI"/>
    <m/>
    <x v="1"/>
    <s v="ST00000001521"/>
    <s v="SATIŞ"/>
    <s v="NAKİT"/>
    <n v="0.152"/>
    <n v="400"/>
    <n v="0"/>
    <n v="0"/>
    <m/>
    <m/>
    <m/>
    <m/>
    <n v="60.8"/>
    <n v="0"/>
    <n v="27453.662073026426"/>
  </r>
  <r>
    <d v="2026-03-08T00:00:00"/>
    <x v="4"/>
    <s v="NANE İRİ"/>
    <m/>
    <x v="1"/>
    <s v="ST00000001521"/>
    <s v="SATIŞ"/>
    <s v="NAKİT"/>
    <n v="7.400000000000001E-2"/>
    <n v="400"/>
    <n v="0"/>
    <n v="0"/>
    <m/>
    <m/>
    <m/>
    <m/>
    <n v="29.600000000000005"/>
    <n v="0"/>
    <n v="27483.262073026424"/>
  </r>
  <r>
    <d v="2026-03-08T00:00:00"/>
    <x v="4"/>
    <s v="DOMATES KURUSU"/>
    <m/>
    <x v="1"/>
    <s v="ST00000001521"/>
    <s v="SATIŞ"/>
    <s v="NAKİT"/>
    <n v="0.25"/>
    <n v="360"/>
    <n v="0"/>
    <n v="0"/>
    <m/>
    <m/>
    <m/>
    <m/>
    <n v="90"/>
    <n v="0"/>
    <n v="27573.262073026424"/>
  </r>
  <r>
    <d v="2026-03-08T00:00:00"/>
    <x v="4"/>
    <s v="ZERDEÇAL TOZ"/>
    <m/>
    <x v="1"/>
    <s v="ST00000001522"/>
    <s v="SATIŞ"/>
    <s v="NAKİT"/>
    <n v="0.33333333333333331"/>
    <n v="300"/>
    <n v="0"/>
    <n v="0"/>
    <m/>
    <m/>
    <m/>
    <m/>
    <n v="100"/>
    <n v="0"/>
    <n v="27673.262073026424"/>
  </r>
  <r>
    <d v="2026-03-08T00:00:00"/>
    <x v="4"/>
    <s v="KARABİBER ÇEKİLMİŞ"/>
    <m/>
    <x v="1"/>
    <s v="ST00000001522"/>
    <s v="SATIŞ"/>
    <s v="NAKİT"/>
    <n v="0.15384615384615385"/>
    <n v="650"/>
    <n v="0"/>
    <n v="0"/>
    <m/>
    <m/>
    <m/>
    <m/>
    <n v="100"/>
    <n v="0"/>
    <n v="27773.262073026424"/>
  </r>
  <r>
    <d v="2026-03-08T00:00:00"/>
    <x v="4"/>
    <s v="İPEK BİBER"/>
    <m/>
    <x v="1"/>
    <s v="ST00000001523"/>
    <s v="SATIŞ"/>
    <s v="NAKİT"/>
    <n v="0.23200000000000001"/>
    <n v="500"/>
    <n v="0"/>
    <n v="0"/>
    <m/>
    <m/>
    <m/>
    <m/>
    <n v="116"/>
    <n v="0"/>
    <n v="27889.262073026424"/>
  </r>
  <r>
    <d v="2026-03-08T00:00:00"/>
    <x v="4"/>
    <s v="RUŞUR TAŞI"/>
    <m/>
    <x v="1"/>
    <s v="ST00000001523"/>
    <s v="SATIŞ"/>
    <s v="NAKİT"/>
    <n v="2"/>
    <n v="20"/>
    <n v="0"/>
    <n v="0"/>
    <m/>
    <m/>
    <m/>
    <m/>
    <n v="40"/>
    <n v="0"/>
    <n v="27929.262073026424"/>
  </r>
  <r>
    <d v="2026-03-08T00:00:00"/>
    <x v="4"/>
    <s v="DURMUŞOĞULLARI KATI PEKMEZ TAHTA 700 GR"/>
    <m/>
    <x v="1"/>
    <s v="ST00000001524"/>
    <s v="SATIŞ"/>
    <s v="NAKİT"/>
    <n v="1"/>
    <n v="295"/>
    <n v="0"/>
    <n v="0"/>
    <m/>
    <m/>
    <m/>
    <m/>
    <n v="295"/>
    <n v="0"/>
    <n v="28224.262073026424"/>
  </r>
  <r>
    <d v="2026-03-08T00:00:00"/>
    <x v="4"/>
    <s v="YENİBAHAR TOZ"/>
    <m/>
    <x v="5"/>
    <s v="ST00000001525"/>
    <s v="SATIŞ"/>
    <s v="POS"/>
    <n v="8.9610389610389612E-2"/>
    <n v="770"/>
    <n v="69"/>
    <n v="0"/>
    <m/>
    <m/>
    <m/>
    <m/>
    <n v="0"/>
    <n v="0"/>
    <n v="28224.262073026424"/>
  </r>
  <r>
    <d v="2026-03-08T00:00:00"/>
    <x v="4"/>
    <s v="NATTE LEZZET SOSU 500 GR (NAR EKŞİSİ) "/>
    <m/>
    <x v="5"/>
    <s v="ST00000001525"/>
    <s v="SATIŞ"/>
    <s v="POS"/>
    <n v="1"/>
    <n v="65"/>
    <n v="65"/>
    <n v="0"/>
    <m/>
    <m/>
    <m/>
    <m/>
    <n v="0"/>
    <n v="0"/>
    <n v="28224.262073026424"/>
  </r>
  <r>
    <d v="2026-03-08T00:00:00"/>
    <x v="11"/>
    <m/>
    <m/>
    <x v="13"/>
    <m/>
    <s v="MÜMİNE ÇELİKEL TAHSİLAT"/>
    <s v="NAKİT"/>
    <n v="1"/>
    <n v="2800"/>
    <n v="0"/>
    <n v="2800"/>
    <m/>
    <m/>
    <m/>
    <m/>
    <n v="2800"/>
    <n v="0"/>
    <n v="31024.262073026424"/>
  </r>
  <r>
    <d v="2026-03-08T00:00:00"/>
    <x v="4"/>
    <s v="KEKİK LÜX"/>
    <m/>
    <x v="13"/>
    <m/>
    <s v="SATIŞ - TOPTAN - MÜMİNE ÇELİKEL"/>
    <s v="CARİ"/>
    <n v="2"/>
    <n v="630"/>
    <n v="1260"/>
    <n v="0"/>
    <m/>
    <m/>
    <m/>
    <m/>
    <n v="0"/>
    <n v="0"/>
    <n v="31024.262073026424"/>
  </r>
  <r>
    <d v="2026-03-08T00:00:00"/>
    <x v="10"/>
    <m/>
    <m/>
    <x v="5"/>
    <m/>
    <s v="POS ÇÖZÜMÜ"/>
    <s v="POS"/>
    <n v="1"/>
    <n v="300"/>
    <n v="0"/>
    <n v="300"/>
    <m/>
    <m/>
    <m/>
    <m/>
    <n v="300"/>
    <n v="0"/>
    <n v="31324.262073026424"/>
  </r>
  <r>
    <d v="2026-03-08T00:00:00"/>
    <x v="10"/>
    <m/>
    <m/>
    <x v="5"/>
    <m/>
    <s v="POS ÇÖZÜMÜ"/>
    <s v="POS"/>
    <n v="1"/>
    <n v="3435"/>
    <n v="0"/>
    <n v="3435"/>
    <m/>
    <m/>
    <m/>
    <m/>
    <n v="3435"/>
    <n v="0"/>
    <n v="34759.262073026424"/>
  </r>
  <r>
    <d v="2026-03-09T00:00:00"/>
    <x v="4"/>
    <s v="TOZ BİBER - ACI"/>
    <m/>
    <x v="1"/>
    <s v="ST00000001526"/>
    <s v="SATIŞ"/>
    <s v="NAKİT"/>
    <n v="0.124"/>
    <n v="400"/>
    <n v="0"/>
    <n v="0"/>
    <m/>
    <m/>
    <m/>
    <m/>
    <n v="49.6"/>
    <n v="0"/>
    <n v="34808.862073026423"/>
  </r>
  <r>
    <d v="2026-03-09T00:00:00"/>
    <x v="4"/>
    <s v="ZERDEÇAL TOZ"/>
    <m/>
    <x v="1"/>
    <s v="ST00000001526"/>
    <s v="SATIŞ"/>
    <s v="NAKİT"/>
    <n v="0.25"/>
    <n v="300"/>
    <n v="0"/>
    <n v="0"/>
    <m/>
    <m/>
    <m/>
    <m/>
    <n v="75"/>
    <n v="0"/>
    <n v="34883.862073026423"/>
  </r>
  <r>
    <d v="2026-03-09T00:00:00"/>
    <x v="4"/>
    <s v="EVLİK BİBER"/>
    <m/>
    <x v="1"/>
    <s v="ST00000001526"/>
    <s v="SATIŞ"/>
    <s v="NAKİT"/>
    <n v="0.16400000000000001"/>
    <n v="400"/>
    <n v="0"/>
    <n v="0"/>
    <m/>
    <m/>
    <m/>
    <m/>
    <n v="65.600000000000009"/>
    <n v="0"/>
    <n v="34949.462073026421"/>
  </r>
  <r>
    <d v="2026-03-09T00:00:00"/>
    <x v="4"/>
    <s v="KARABİBER ÇEKİLMİŞ"/>
    <m/>
    <x v="1"/>
    <s v="ST00000001526"/>
    <s v="SATIŞ"/>
    <s v="NAKİT"/>
    <n v="7.5999999999999998E-2"/>
    <n v="650"/>
    <n v="0"/>
    <n v="0"/>
    <m/>
    <m/>
    <m/>
    <m/>
    <n v="49.4"/>
    <n v="0"/>
    <n v="34998.862073026423"/>
  </r>
  <r>
    <d v="2026-03-09T00:00:00"/>
    <x v="4"/>
    <s v="SALÇA ACI (EV YAPIMI)"/>
    <m/>
    <x v="1"/>
    <s v="ST00000001526"/>
    <s v="SATIŞ"/>
    <s v="NAKİT"/>
    <n v="1"/>
    <n v="200"/>
    <n v="0"/>
    <n v="0"/>
    <m/>
    <m/>
    <m/>
    <m/>
    <n v="200"/>
    <n v="0"/>
    <n v="35198.862073026423"/>
  </r>
  <r>
    <d v="2026-03-09T00:00:00"/>
    <x v="4"/>
    <s v="DUT KURUSU ESMER"/>
    <m/>
    <x v="1"/>
    <s v="ST00000001526"/>
    <s v="SATIŞ"/>
    <s v="NAKİT"/>
    <n v="0.13300000000000001"/>
    <n v="450"/>
    <n v="0"/>
    <n v="0"/>
    <m/>
    <m/>
    <m/>
    <m/>
    <n v="59.85"/>
    <n v="0"/>
    <n v="35258.712073026421"/>
  </r>
  <r>
    <d v="2026-03-09T00:00:00"/>
    <x v="4"/>
    <s v="İRİ BEYAZ KABAK ÇEKİRDEĞİ - NEVŞEHİR"/>
    <m/>
    <x v="1"/>
    <s v="ST00000001526"/>
    <s v="SATIŞ"/>
    <s v="NAKİT"/>
    <n v="0.28000000000000003"/>
    <n v="430"/>
    <n v="0"/>
    <n v="0"/>
    <m/>
    <m/>
    <m/>
    <m/>
    <n v="120.4"/>
    <n v="0"/>
    <n v="35379.112073026423"/>
  </r>
  <r>
    <d v="2026-03-09T00:00:00"/>
    <x v="4"/>
    <s v="DOLMALIK SARI BİBER"/>
    <m/>
    <x v="5"/>
    <s v="ST00000001527"/>
    <s v="SATIŞ"/>
    <s v="POS"/>
    <n v="1"/>
    <n v="230"/>
    <n v="230"/>
    <n v="0"/>
    <m/>
    <m/>
    <m/>
    <m/>
    <n v="0"/>
    <n v="0"/>
    <n v="35379.112073026423"/>
  </r>
  <r>
    <d v="2026-03-09T00:00:00"/>
    <x v="4"/>
    <s v="DOMATES SALÇASI"/>
    <m/>
    <x v="5"/>
    <s v="ST00000001528"/>
    <s v="SATIŞ"/>
    <s v="POS"/>
    <n v="1"/>
    <n v="150"/>
    <n v="150"/>
    <n v="0"/>
    <m/>
    <m/>
    <m/>
    <m/>
    <n v="0"/>
    <n v="0"/>
    <n v="35379.112073026423"/>
  </r>
  <r>
    <d v="2026-03-09T00:00:00"/>
    <x v="4"/>
    <s v="KARANFİL"/>
    <m/>
    <x v="5"/>
    <s v="ST00000001529"/>
    <s v="SATIŞ"/>
    <s v="POS"/>
    <n v="0.05"/>
    <n v="1200"/>
    <n v="60"/>
    <n v="0"/>
    <m/>
    <m/>
    <m/>
    <m/>
    <n v="0"/>
    <n v="0"/>
    <n v="35379.112073026423"/>
  </r>
  <r>
    <d v="2026-03-09T00:00:00"/>
    <x v="4"/>
    <s v="ÇOBAN ÇANTASI"/>
    <m/>
    <x v="1"/>
    <s v="ST00000001530"/>
    <s v="SATIŞ"/>
    <s v="NAKİT"/>
    <n v="0.03"/>
    <n v="1100"/>
    <n v="0"/>
    <n v="0"/>
    <m/>
    <m/>
    <m/>
    <m/>
    <n v="33"/>
    <n v="0"/>
    <n v="35412.112073026423"/>
  </r>
  <r>
    <d v="2026-03-09T00:00:00"/>
    <x v="4"/>
    <s v="KABUKLU CEVİZ (YERLİ)"/>
    <m/>
    <x v="5"/>
    <s v="ST00000001531"/>
    <s v="SATIŞ"/>
    <s v="POS"/>
    <n v="1"/>
    <n v="250"/>
    <n v="250"/>
    <n v="0"/>
    <m/>
    <m/>
    <m/>
    <m/>
    <n v="0"/>
    <n v="0"/>
    <n v="35412.112073026423"/>
  </r>
  <r>
    <d v="2026-03-09T00:00:00"/>
    <x v="4"/>
    <s v="MANİSA YAPRAK DÖKME"/>
    <m/>
    <x v="5"/>
    <s v="ST00000001531"/>
    <s v="SATIŞ"/>
    <s v="POS"/>
    <n v="0.5"/>
    <n v="300"/>
    <n v="150"/>
    <n v="0"/>
    <m/>
    <m/>
    <m/>
    <m/>
    <n v="0"/>
    <n v="0"/>
    <n v="35412.112073026423"/>
  </r>
  <r>
    <d v="2026-03-09T00:00:00"/>
    <x v="4"/>
    <s v="AÇIK KAYISI İRİ (SARI)"/>
    <m/>
    <x v="5"/>
    <s v="ST00000001531"/>
    <s v="SATIŞ"/>
    <s v="POS"/>
    <n v="0.12318840579710146"/>
    <n v="690"/>
    <n v="85"/>
    <n v="0"/>
    <m/>
    <m/>
    <m/>
    <m/>
    <n v="0"/>
    <n v="0"/>
    <n v="35412.112073026423"/>
  </r>
  <r>
    <d v="2026-03-09T00:00:00"/>
    <x v="4"/>
    <s v="TOZ BİBER - TATLI"/>
    <m/>
    <x v="5"/>
    <s v="ST00000001531"/>
    <s v="SATIŞ"/>
    <s v="POS"/>
    <n v="8.7499999999999994E-2"/>
    <n v="400"/>
    <n v="35"/>
    <n v="0"/>
    <m/>
    <m/>
    <m/>
    <m/>
    <n v="0"/>
    <n v="0"/>
    <n v="35412.112073026423"/>
  </r>
  <r>
    <d v="2026-03-09T00:00:00"/>
    <x v="4"/>
    <s v="BİBERİYE"/>
    <m/>
    <x v="1"/>
    <s v="ST00000001532"/>
    <s v="SATIŞ"/>
    <s v="NAKİT"/>
    <n v="0.1"/>
    <n v="900"/>
    <n v="0"/>
    <n v="0"/>
    <m/>
    <m/>
    <m/>
    <m/>
    <n v="90"/>
    <n v="0"/>
    <n v="35502.112073026423"/>
  </r>
  <r>
    <d v="2026-03-09T00:00:00"/>
    <x v="4"/>
    <s v="ZÜHRE ANA KİDS ARI SÜTÜ PEKMEZ BAL MACUN 240 GR"/>
    <m/>
    <x v="1"/>
    <s v="ST00000001533"/>
    <s v="SATIŞ"/>
    <s v="NAKİT"/>
    <n v="1"/>
    <n v="260"/>
    <n v="0"/>
    <n v="0"/>
    <m/>
    <m/>
    <m/>
    <m/>
    <n v="260"/>
    <n v="0"/>
    <n v="35762.112073026423"/>
  </r>
  <r>
    <d v="2026-03-09T00:00:00"/>
    <x v="4"/>
    <s v="AÇLIK OTU"/>
    <m/>
    <x v="1"/>
    <s v="ST00000001534"/>
    <s v="SATIŞ"/>
    <s v="NAKİT"/>
    <n v="0.12"/>
    <n v="417"/>
    <n v="0"/>
    <n v="0"/>
    <m/>
    <m/>
    <m/>
    <m/>
    <n v="50.04"/>
    <n v="0"/>
    <n v="35812.152073026424"/>
  </r>
  <r>
    <d v="2026-03-09T00:00:00"/>
    <x v="4"/>
    <s v="NATTE LEZZET SOSU 980 GR"/>
    <m/>
    <x v="5"/>
    <s v="ST00000001535"/>
    <s v="SATIŞ"/>
    <s v="POS"/>
    <n v="1"/>
    <n v="100"/>
    <n v="100"/>
    <n v="0"/>
    <m/>
    <m/>
    <m/>
    <m/>
    <n v="0"/>
    <n v="0"/>
    <n v="35812.152073026424"/>
  </r>
  <r>
    <d v="2026-03-09T00:00:00"/>
    <x v="4"/>
    <s v="SUSAM YAĞI 50 CC"/>
    <m/>
    <x v="1"/>
    <s v="ST00000001536"/>
    <s v="SATIŞ"/>
    <s v="NAKİT"/>
    <n v="1"/>
    <n v="110"/>
    <n v="0"/>
    <n v="0"/>
    <m/>
    <m/>
    <m/>
    <m/>
    <n v="110"/>
    <n v="0"/>
    <n v="35922.152073026424"/>
  </r>
  <r>
    <d v="2026-03-09T00:00:00"/>
    <x v="4"/>
    <s v="ISIRGAN YAPRAĞI"/>
    <m/>
    <x v="1"/>
    <s v="ST00000001536"/>
    <s v="SATIŞ"/>
    <s v="NAKİT"/>
    <n v="0.05"/>
    <n v="800"/>
    <n v="0"/>
    <n v="0"/>
    <m/>
    <m/>
    <m/>
    <m/>
    <n v="40"/>
    <n v="0"/>
    <n v="35962.152073026424"/>
  </r>
  <r>
    <d v="2026-03-09T00:00:00"/>
    <x v="4"/>
    <s v="MISIR UNU"/>
    <m/>
    <x v="1"/>
    <s v="ST00000001537"/>
    <s v="SATIŞ"/>
    <s v="NAKİT"/>
    <n v="1"/>
    <n v="60"/>
    <n v="0"/>
    <n v="0"/>
    <m/>
    <m/>
    <m/>
    <m/>
    <n v="60"/>
    <n v="0"/>
    <n v="36022.152073026424"/>
  </r>
  <r>
    <d v="2026-03-09T00:00:00"/>
    <x v="4"/>
    <s v="DOMATES SALÇASI"/>
    <m/>
    <x v="1"/>
    <s v="ST00000001537"/>
    <s v="SATIŞ"/>
    <s v="NAKİT"/>
    <n v="0.5"/>
    <n v="150"/>
    <n v="0"/>
    <n v="0"/>
    <m/>
    <m/>
    <m/>
    <m/>
    <n v="75"/>
    <n v="0"/>
    <n v="36097.152073026424"/>
  </r>
  <r>
    <d v="2026-03-09T00:00:00"/>
    <x v="4"/>
    <s v="İPEK BİBER"/>
    <m/>
    <x v="1"/>
    <s v="ST00000001537"/>
    <s v="SATIŞ"/>
    <s v="NAKİT"/>
    <n v="0.188"/>
    <n v="500"/>
    <n v="0"/>
    <n v="0"/>
    <m/>
    <m/>
    <m/>
    <m/>
    <n v="94"/>
    <n v="0"/>
    <n v="36191.152073026424"/>
  </r>
  <r>
    <d v="2026-03-09T00:00:00"/>
    <x v="4"/>
    <s v="TÜRK KAHVESİ"/>
    <m/>
    <x v="1"/>
    <s v="ST00000001538"/>
    <s v="SATIŞ"/>
    <s v="NAKİT"/>
    <n v="0.2"/>
    <n v="650"/>
    <n v="0"/>
    <n v="0"/>
    <m/>
    <m/>
    <m/>
    <m/>
    <n v="130"/>
    <n v="0"/>
    <n v="36321.152073026424"/>
  </r>
  <r>
    <d v="2026-03-09T00:00:00"/>
    <x v="4"/>
    <s v="DOMATES KURUSU"/>
    <m/>
    <x v="5"/>
    <s v="ST00000001539"/>
    <s v="SATIŞ"/>
    <s v="POS"/>
    <n v="0.25"/>
    <n v="360"/>
    <n v="90"/>
    <n v="0"/>
    <m/>
    <m/>
    <m/>
    <m/>
    <n v="0"/>
    <n v="0"/>
    <n v="36321.152073026424"/>
  </r>
  <r>
    <d v="2026-03-09T00:00:00"/>
    <x v="4"/>
    <s v="TOMBUL KESE 500 GR TATLI"/>
    <m/>
    <x v="5"/>
    <s v="ST00000001539"/>
    <s v="SATIŞ"/>
    <s v="POS"/>
    <n v="1"/>
    <n v="200"/>
    <n v="200"/>
    <n v="0"/>
    <m/>
    <m/>
    <m/>
    <m/>
    <n v="0"/>
    <n v="0"/>
    <n v="36321.152073026424"/>
  </r>
  <r>
    <d v="2026-03-09T00:00:00"/>
    <x v="4"/>
    <s v="GÜNGÖR 5 LT SU"/>
    <m/>
    <x v="1"/>
    <s v="ST00000001540"/>
    <s v="SATIŞ"/>
    <s v="NAKİT"/>
    <n v="1"/>
    <n v="30"/>
    <n v="0"/>
    <n v="0"/>
    <m/>
    <m/>
    <m/>
    <m/>
    <n v="30"/>
    <n v="0"/>
    <n v="36351.152073026424"/>
  </r>
  <r>
    <d v="2026-03-09T00:00:00"/>
    <x v="1"/>
    <m/>
    <s v="FATURA GİDERLERİ"/>
    <x v="1"/>
    <m/>
    <s v="SU FATURASI ÖDEME - TFK"/>
    <s v="NAKİT"/>
    <n v="1"/>
    <n v="2545.94"/>
    <n v="0"/>
    <n v="0"/>
    <m/>
    <m/>
    <m/>
    <m/>
    <n v="0"/>
    <n v="2545.94"/>
    <n v="33805.212073026421"/>
  </r>
  <r>
    <d v="2026-03-09T00:00:00"/>
    <x v="10"/>
    <m/>
    <m/>
    <x v="5"/>
    <m/>
    <s v="POS ÇÖZÜMÜ"/>
    <s v="POS"/>
    <n v="1"/>
    <n v="8759"/>
    <n v="0"/>
    <n v="8759"/>
    <m/>
    <m/>
    <m/>
    <m/>
    <n v="8759"/>
    <n v="0"/>
    <n v="42564.212073026421"/>
  </r>
  <r>
    <d v="2026-03-09T00:00:00"/>
    <x v="10"/>
    <m/>
    <m/>
    <x v="5"/>
    <m/>
    <s v="POS ÇÖZÜMÜ"/>
    <s v="POS"/>
    <n v="1"/>
    <n v="2300"/>
    <n v="0"/>
    <n v="2300"/>
    <m/>
    <m/>
    <m/>
    <m/>
    <n v="2300"/>
    <n v="0"/>
    <n v="44864.212073026421"/>
  </r>
  <r>
    <d v="2026-03-10T00:00:00"/>
    <x v="4"/>
    <s v="DOLMALIK KURU PATLICAN"/>
    <m/>
    <x v="1"/>
    <s v="FTR202600000128"/>
    <s v="SATIŞ - STOK DÜZELTME"/>
    <s v="NAKİT"/>
    <n v="13.85"/>
    <n v="150"/>
    <n v="0"/>
    <n v="0"/>
    <m/>
    <m/>
    <m/>
    <m/>
    <n v="2077.5"/>
    <n v="0"/>
    <n v="46941.712073026421"/>
  </r>
  <r>
    <d v="2026-03-10T00:00:00"/>
    <x v="4"/>
    <s v="DOLMALIK KURU KABAK"/>
    <m/>
    <x v="1"/>
    <s v="FTR202600000128"/>
    <s v="SATIŞ - STOK DÜZELTME"/>
    <s v="NAKİT"/>
    <n v="2.56"/>
    <n v="175"/>
    <n v="0"/>
    <n v="0"/>
    <m/>
    <m/>
    <m/>
    <m/>
    <n v="448"/>
    <n v="0"/>
    <n v="47389.712073026421"/>
  </r>
  <r>
    <d v="2026-03-10T00:00:00"/>
    <x v="4"/>
    <s v="MANİSA YAPRAK DÖKME"/>
    <m/>
    <x v="1"/>
    <s v="FTR202600000128"/>
    <s v="SATIŞ - STOK DÜZELTME"/>
    <s v="NAKİT"/>
    <n v="1.4899999999999984"/>
    <n v="200"/>
    <n v="0"/>
    <n v="0"/>
    <m/>
    <m/>
    <m/>
    <m/>
    <n v="297.99999999999966"/>
    <n v="0"/>
    <n v="47687.712073026421"/>
  </r>
  <r>
    <d v="2026-03-10T00:00:00"/>
    <x v="4"/>
    <s v="SUMAK TANE EKŞİLİ"/>
    <m/>
    <x v="1"/>
    <s v="FTR202600000128"/>
    <s v="SATIŞ - STOK DÜZELTME"/>
    <s v="NAKİT"/>
    <n v="0.14000000000000001"/>
    <n v="270"/>
    <n v="0"/>
    <n v="0"/>
    <m/>
    <m/>
    <m/>
    <m/>
    <n v="37.800000000000004"/>
    <n v="0"/>
    <n v="47725.512073026424"/>
  </r>
  <r>
    <d v="2026-03-10T00:00:00"/>
    <x v="4"/>
    <s v="GÜLŞAH SAHLEP AROMALI İÇECEK"/>
    <m/>
    <x v="1"/>
    <s v="FTR202600000128"/>
    <s v="SATIŞ - STOK DÜZELTME - MMT"/>
    <s v="NAKİT"/>
    <n v="1"/>
    <n v="35"/>
    <n v="0"/>
    <n v="0"/>
    <m/>
    <m/>
    <m/>
    <m/>
    <n v="35"/>
    <n v="0"/>
    <n v="47760.512073026424"/>
  </r>
  <r>
    <d v="2026-03-10T00:00:00"/>
    <x v="4"/>
    <s v="TÜDAB ANDIZ PEKMEZİ 450 GR"/>
    <m/>
    <x v="1"/>
    <s v="FTR202600000128"/>
    <s v="SATIŞ - STOK DÜZELTME - MMT"/>
    <s v="NAKİT"/>
    <n v="1"/>
    <n v="95"/>
    <n v="0"/>
    <n v="0"/>
    <m/>
    <m/>
    <m/>
    <m/>
    <n v="95"/>
    <n v="0"/>
    <n v="47855.512073026424"/>
  </r>
  <r>
    <d v="2026-03-10T00:00:00"/>
    <x v="4"/>
    <s v="ÇAYKUR TİRYAKİ 1 KG"/>
    <m/>
    <x v="1"/>
    <s v="FTR202600000128"/>
    <s v="SATIŞ - STOK DÜZELTME - MMT"/>
    <s v="NAKİT"/>
    <n v="5"/>
    <n v="199"/>
    <n v="0"/>
    <n v="0"/>
    <m/>
    <m/>
    <m/>
    <m/>
    <n v="995"/>
    <n v="0"/>
    <n v="48850.512073026424"/>
  </r>
  <r>
    <d v="2026-03-10T00:00:00"/>
    <x v="4"/>
    <s v="GÜNGÖR 5 LT SU"/>
    <m/>
    <x v="1"/>
    <s v="FTR202600000128"/>
    <s v="SATIŞ - STOK DÜZELTME - MMT"/>
    <s v="NAKİT"/>
    <n v="1"/>
    <n v="20"/>
    <n v="0"/>
    <n v="0"/>
    <m/>
    <m/>
    <m/>
    <m/>
    <n v="20"/>
    <n v="0"/>
    <n v="48870.512073026424"/>
  </r>
  <r>
    <d v="2026-03-10T00:00:00"/>
    <x v="4"/>
    <s v="ZÜHRE ANA BROMELAİN ANANAS İÇEREN DETOX ŞURUBU 250 ML"/>
    <m/>
    <x v="1"/>
    <s v="FTR202600000128"/>
    <s v="SATIŞ - STOK DÜZELTME"/>
    <s v="NAKİT"/>
    <n v="1"/>
    <n v="250"/>
    <n v="0"/>
    <n v="0"/>
    <m/>
    <m/>
    <m/>
    <m/>
    <n v="250"/>
    <n v="0"/>
    <n v="49120.512073026424"/>
  </r>
  <r>
    <d v="2026-03-10T00:00:00"/>
    <x v="4"/>
    <s v="MEDİNE HURMA DUBLE"/>
    <m/>
    <x v="1"/>
    <s v="FTR202600000128"/>
    <s v="SATIŞ - STOK DÜZELTME - MMT"/>
    <s v="NAKİT"/>
    <n v="0.47"/>
    <n v="470"/>
    <n v="0"/>
    <n v="0"/>
    <m/>
    <m/>
    <m/>
    <m/>
    <n v="220.89999999999998"/>
    <n v="0"/>
    <n v="49341.412073026426"/>
  </r>
  <r>
    <d v="2026-03-10T00:00:00"/>
    <x v="4"/>
    <s v="ÖMRÜM VANİLYALI GOFRET 450 GR"/>
    <m/>
    <x v="1"/>
    <s v="FTR202600000128"/>
    <s v="SATIŞ - STOK DÜZELTME - MMT"/>
    <s v="NAKİT"/>
    <n v="1"/>
    <n v="50"/>
    <n v="0"/>
    <n v="0"/>
    <m/>
    <m/>
    <m/>
    <m/>
    <n v="50"/>
    <n v="0"/>
    <n v="49391.412073026426"/>
  </r>
  <r>
    <d v="2026-03-10T00:00:00"/>
    <x v="4"/>
    <s v="ÜZÜM ÇEKİRDEĞİ YAĞI 50 CC"/>
    <m/>
    <x v="1"/>
    <s v="FTR202600000128"/>
    <s v="SATIŞ - STOK DÜZELTME - MMT"/>
    <s v="NAKİT"/>
    <n v="1"/>
    <n v="91"/>
    <n v="0"/>
    <n v="0"/>
    <m/>
    <m/>
    <m/>
    <m/>
    <n v="91"/>
    <n v="0"/>
    <n v="49482.412073026426"/>
  </r>
  <r>
    <d v="2026-03-10T00:00:00"/>
    <x v="4"/>
    <s v="MOR REYHAN"/>
    <m/>
    <x v="1"/>
    <s v="FTR202600000128"/>
    <s v="SATIŞ - STOK DÜZELTME"/>
    <s v="NAKİT"/>
    <n v="0.15"/>
    <n v="500"/>
    <n v="0"/>
    <n v="0"/>
    <m/>
    <m/>
    <m/>
    <m/>
    <n v="75"/>
    <n v="0"/>
    <n v="49557.412073026426"/>
  </r>
  <r>
    <d v="2026-03-10T00:00:00"/>
    <x v="4"/>
    <s v="MOR REYHAN"/>
    <m/>
    <x v="1"/>
    <s v="FTR202600000128"/>
    <s v="SATIŞ - STOK DÜZELTME - MMT"/>
    <s v="NAKİT"/>
    <n v="0.05"/>
    <n v="500"/>
    <n v="0"/>
    <n v="0"/>
    <m/>
    <m/>
    <m/>
    <m/>
    <n v="25"/>
    <n v="0"/>
    <n v="49582.412073026426"/>
  </r>
  <r>
    <d v="2026-03-10T00:00:00"/>
    <x v="4"/>
    <s v="KAFFKA OSMANLI KAHVESİ 150 GR"/>
    <m/>
    <x v="1"/>
    <s v="FTR202600000128"/>
    <s v="SATIŞ - MMT"/>
    <s v="NAKİT"/>
    <n v="1"/>
    <n v="35"/>
    <n v="0"/>
    <n v="0"/>
    <m/>
    <m/>
    <m/>
    <m/>
    <n v="35"/>
    <n v="0"/>
    <n v="49617.412073026426"/>
  </r>
  <r>
    <d v="2026-03-10T00:00:00"/>
    <x v="4"/>
    <s v="KAFFKA OSMANLI KAHVESİ 150 GR"/>
    <m/>
    <x v="1"/>
    <s v="FTR202600000128"/>
    <s v="SATIŞ - STOK DÜZELTME"/>
    <s v="NAKİT"/>
    <n v="1"/>
    <n v="65"/>
    <n v="0"/>
    <n v="0"/>
    <m/>
    <m/>
    <m/>
    <m/>
    <n v="65"/>
    <n v="0"/>
    <n v="49682.412073026426"/>
  </r>
  <r>
    <d v="2026-03-10T00:00:00"/>
    <x v="4"/>
    <s v="KAFFKA DİBEK KAHVESİ 150 GR"/>
    <m/>
    <x v="1"/>
    <s v="FTR202600000128"/>
    <s v="SATIŞ - STOK DÜZELTME"/>
    <s v="NAKİT"/>
    <n v="1"/>
    <n v="65"/>
    <n v="0"/>
    <n v="0"/>
    <m/>
    <m/>
    <m/>
    <m/>
    <n v="65"/>
    <n v="0"/>
    <n v="49747.412073026426"/>
  </r>
  <r>
    <d v="2026-03-10T00:00:00"/>
    <x v="4"/>
    <s v="TÜDAB TURŞU BİBER"/>
    <m/>
    <x v="1"/>
    <s v="FTR202600000128"/>
    <s v="SATIŞ - STOK DÜZELTME"/>
    <s v="NAKİT"/>
    <n v="1"/>
    <n v="350"/>
    <n v="0"/>
    <n v="0"/>
    <m/>
    <m/>
    <m/>
    <m/>
    <n v="350"/>
    <n v="0"/>
    <n v="50097.412073026426"/>
  </r>
  <r>
    <d v="2026-03-10T00:00:00"/>
    <x v="4"/>
    <s v="KETEN TOHUMU YAĞI 50 CC"/>
    <m/>
    <x v="1"/>
    <s v="FTR202600000128"/>
    <s v="SATIŞ - STOK DÜZELTME"/>
    <s v="NAKİT"/>
    <n v="1"/>
    <n v="110"/>
    <n v="0"/>
    <n v="0"/>
    <m/>
    <m/>
    <m/>
    <m/>
    <n v="110"/>
    <n v="0"/>
    <n v="50207.412073026426"/>
  </r>
  <r>
    <d v="2026-03-10T00:00:00"/>
    <x v="4"/>
    <s v="ÇÖREKOTU YAĞI 50 CC"/>
    <m/>
    <x v="1"/>
    <s v="FTR202600000128"/>
    <s v="SATIŞ - STOK DÜZELTME"/>
    <s v="NAKİT"/>
    <n v="1"/>
    <n v="170"/>
    <n v="0"/>
    <n v="0"/>
    <m/>
    <m/>
    <m/>
    <m/>
    <n v="170"/>
    <n v="0"/>
    <n v="50377.412073026426"/>
  </r>
  <r>
    <d v="2026-03-10T00:00:00"/>
    <x v="4"/>
    <s v="KANTARON YAĞI 50 CC"/>
    <m/>
    <x v="1"/>
    <s v="FTR202600000128"/>
    <s v="SATIŞ - MMT"/>
    <s v="NAKİT"/>
    <n v="1"/>
    <n v="61"/>
    <n v="0"/>
    <n v="0"/>
    <m/>
    <m/>
    <m/>
    <m/>
    <n v="61"/>
    <n v="0"/>
    <n v="50438.412073026426"/>
  </r>
  <r>
    <d v="2026-03-10T00:00:00"/>
    <x v="4"/>
    <s v="KEKİK YAĞI 10 CC"/>
    <m/>
    <x v="1"/>
    <s v="FTR202600000128"/>
    <s v="SATIŞ - STOK DÜZELTME"/>
    <s v="NAKİT"/>
    <n v="1"/>
    <n v="180"/>
    <n v="0"/>
    <n v="0"/>
    <m/>
    <m/>
    <m/>
    <m/>
    <n v="180"/>
    <n v="0"/>
    <n v="50618.412073026426"/>
  </r>
  <r>
    <d v="2026-03-10T00:00:00"/>
    <x v="4"/>
    <s v="BİBERİYE YAĞI 10 CC"/>
    <m/>
    <x v="1"/>
    <s v="FTR202600000128"/>
    <s v="SATIŞ - MMT"/>
    <s v="NAKİT"/>
    <n v="1"/>
    <n v="66"/>
    <n v="0"/>
    <n v="0"/>
    <m/>
    <m/>
    <m/>
    <m/>
    <n v="66"/>
    <n v="0"/>
    <n v="50684.412073026426"/>
  </r>
  <r>
    <d v="2026-03-10T00:00:00"/>
    <x v="4"/>
    <s v="HİNT YAĞI 50 CC"/>
    <m/>
    <x v="1"/>
    <s v="FTR202600000128"/>
    <s v="SATIŞ - MMT"/>
    <s v="NAKİT"/>
    <n v="1"/>
    <n v="63"/>
    <n v="0"/>
    <n v="0"/>
    <m/>
    <m/>
    <m/>
    <m/>
    <n v="63"/>
    <n v="0"/>
    <n v="50747.412073026426"/>
  </r>
  <r>
    <d v="2026-03-10T00:00:00"/>
    <x v="4"/>
    <s v="ARDIÇ YAĞI 20 CC"/>
    <m/>
    <x v="1"/>
    <s v="FTR202600000128"/>
    <s v="SATIŞ - STOK DÜZELTME"/>
    <s v="NAKİT"/>
    <n v="1"/>
    <n v="190"/>
    <n v="0"/>
    <n v="0"/>
    <m/>
    <m/>
    <m/>
    <m/>
    <n v="190"/>
    <n v="0"/>
    <n v="50937.412073026426"/>
  </r>
  <r>
    <d v="2026-03-10T00:00:00"/>
    <x v="4"/>
    <s v="AT KESTANESİ YAĞI 50 CC"/>
    <m/>
    <x v="1"/>
    <s v="FTR202600000128"/>
    <s v="SATIŞ - MMT"/>
    <s v="NAKİT"/>
    <n v="1"/>
    <n v="60"/>
    <n v="0"/>
    <n v="0"/>
    <m/>
    <m/>
    <m/>
    <m/>
    <n v="60"/>
    <n v="0"/>
    <n v="50997.412073026426"/>
  </r>
  <r>
    <d v="2026-03-10T00:00:00"/>
    <x v="4"/>
    <s v="ÇÖREKOTU YAĞI 50 CC"/>
    <m/>
    <x v="1"/>
    <s v="FTR202600000128"/>
    <s v="SATIŞ - MMT"/>
    <s v="NAKİT"/>
    <n v="1"/>
    <n v="86"/>
    <n v="0"/>
    <n v="0"/>
    <m/>
    <m/>
    <m/>
    <m/>
    <n v="86"/>
    <n v="0"/>
    <n v="51083.412073026426"/>
  </r>
  <r>
    <d v="2026-03-10T00:00:00"/>
    <x v="4"/>
    <s v="MİGREN TAŞI (MENTHO BOX)"/>
    <m/>
    <x v="1"/>
    <s v="FTR202600000128"/>
    <s v="SATIŞ - MMT"/>
    <s v="NAKİT"/>
    <n v="1"/>
    <n v="75"/>
    <n v="0"/>
    <n v="0"/>
    <m/>
    <m/>
    <m/>
    <m/>
    <n v="75"/>
    <n v="0"/>
    <n v="51158.412073026426"/>
  </r>
  <r>
    <d v="2026-03-10T00:00:00"/>
    <x v="4"/>
    <s v="LOBAS SAF NAR EKŞİSİ 1 KG"/>
    <m/>
    <x v="1"/>
    <s v="FTR202600000128"/>
    <s v="SATIŞ - MMT"/>
    <s v="NAKİT"/>
    <n v="1"/>
    <n v="225"/>
    <n v="0"/>
    <n v="0"/>
    <m/>
    <m/>
    <m/>
    <m/>
    <n v="225"/>
    <n v="0"/>
    <n v="51383.412073026426"/>
  </r>
  <r>
    <d v="2026-03-10T00:00:00"/>
    <x v="4"/>
    <s v="MECİTEFENDİ AKTİF KARBONLU DOĞAL DİŞ MACUNU 75 ml"/>
    <m/>
    <x v="1"/>
    <s v="FTR202600000128"/>
    <s v="SATIŞ - STOK DÜZELTME"/>
    <s v="NAKİT"/>
    <n v="1"/>
    <n v="135"/>
    <n v="0"/>
    <n v="0"/>
    <m/>
    <m/>
    <m/>
    <m/>
    <n v="135"/>
    <n v="0"/>
    <n v="51518.412073026426"/>
  </r>
  <r>
    <d v="2026-03-10T00:00:00"/>
    <x v="4"/>
    <s v="MECİTEFENDİ AYNI SEFA KREMİ 30 ML"/>
    <m/>
    <x v="1"/>
    <s v="FTR202600000128"/>
    <s v="SATIŞ - MMT"/>
    <s v="NAKİT"/>
    <n v="1"/>
    <n v="59"/>
    <n v="0"/>
    <n v="0"/>
    <m/>
    <m/>
    <m/>
    <m/>
    <n v="59"/>
    <n v="0"/>
    <n v="51577.412073026426"/>
  </r>
  <r>
    <d v="2026-03-10T00:00:00"/>
    <x v="4"/>
    <s v="ORMANÖZÜ SUMAKLI NAR EKŞİSİ 250 ml"/>
    <m/>
    <x v="1"/>
    <s v="FTR202600000128"/>
    <s v="SATIŞ - MMT"/>
    <s v="NAKİT"/>
    <n v="1"/>
    <n v="100"/>
    <n v="0"/>
    <n v="0"/>
    <m/>
    <m/>
    <m/>
    <m/>
    <n v="100"/>
    <n v="0"/>
    <n v="51677.412073026426"/>
  </r>
  <r>
    <d v="2026-03-10T00:00:00"/>
    <x v="4"/>
    <s v="LOKUM SADE - TB"/>
    <m/>
    <x v="1"/>
    <s v="FTR202600000128"/>
    <s v="SATIŞ - MMT"/>
    <s v="NAKİT"/>
    <n v="0.3"/>
    <n v="110"/>
    <n v="0"/>
    <n v="0"/>
    <m/>
    <m/>
    <m/>
    <m/>
    <n v="33"/>
    <n v="0"/>
    <n v="51710.412073026426"/>
  </r>
  <r>
    <d v="2026-03-10T00:00:00"/>
    <x v="4"/>
    <s v="LOKUM KARIŞIK - TB"/>
    <m/>
    <x v="1"/>
    <s v="FTR202600000128"/>
    <s v="SATIŞ - MMT"/>
    <s v="NAKİT"/>
    <n v="1.34"/>
    <n v="140"/>
    <n v="0"/>
    <n v="0"/>
    <m/>
    <m/>
    <m/>
    <m/>
    <n v="187.60000000000002"/>
    <n v="0"/>
    <n v="51898.012073026424"/>
  </r>
  <r>
    <d v="2026-03-10T00:00:00"/>
    <x v="4"/>
    <s v="DENİZ ÇİKOLATA KAPLAMALI PİŞMANİYE"/>
    <m/>
    <x v="1"/>
    <s v="FTR202600000128"/>
    <s v="SATIŞ - MMT"/>
    <s v="NAKİT"/>
    <n v="2"/>
    <n v="60"/>
    <n v="0"/>
    <n v="0"/>
    <m/>
    <m/>
    <m/>
    <m/>
    <n v="120"/>
    <n v="0"/>
    <n v="52018.012073026424"/>
  </r>
  <r>
    <d v="2026-03-10T00:00:00"/>
    <x v="4"/>
    <s v="DENİZ VANİLYALI PİŞMANİYE"/>
    <m/>
    <x v="1"/>
    <s v="FTR202600000128"/>
    <s v="SATIŞ - MMT"/>
    <s v="NAKİT"/>
    <n v="1"/>
    <n v="60"/>
    <n v="0"/>
    <n v="0"/>
    <m/>
    <m/>
    <m/>
    <m/>
    <n v="60"/>
    <n v="0"/>
    <n v="52078.012073026424"/>
  </r>
  <r>
    <d v="2026-03-10T00:00:00"/>
    <x v="4"/>
    <s v="AYÇEKİRDEĞİ DAKOTA TUZLU EKSTRA"/>
    <m/>
    <x v="1"/>
    <s v="FTR202600000128"/>
    <s v="SATIŞ - MMT"/>
    <s v="NAKİT"/>
    <n v="3.14"/>
    <n v="130"/>
    <n v="0"/>
    <n v="0"/>
    <m/>
    <m/>
    <m/>
    <m/>
    <n v="408.2"/>
    <n v="0"/>
    <n v="52486.212073026421"/>
  </r>
  <r>
    <d v="2026-03-10T00:00:00"/>
    <x v="4"/>
    <s v="AYÇEKİRDEĞİ DAKOTA TUZSUZ EKSTRA"/>
    <m/>
    <x v="1"/>
    <s v="FTR202600000128"/>
    <s v="SATIŞ - MMT"/>
    <s v="NAKİT"/>
    <n v="3.27"/>
    <n v="130"/>
    <n v="0"/>
    <n v="0"/>
    <m/>
    <m/>
    <m/>
    <m/>
    <n v="425.1"/>
    <n v="0"/>
    <n v="52911.31207302642"/>
  </r>
  <r>
    <d v="2026-03-10T00:00:00"/>
    <x v="4"/>
    <s v="DOMATES KURUSU"/>
    <m/>
    <x v="1"/>
    <s v="FTR202600000128"/>
    <s v="SATIŞ - STOK DÜZELTME"/>
    <s v="NAKİT"/>
    <n v="0.49"/>
    <n v="360"/>
    <n v="0"/>
    <n v="0"/>
    <m/>
    <m/>
    <m/>
    <m/>
    <n v="176.4"/>
    <n v="0"/>
    <n v="53087.712073026421"/>
  </r>
  <r>
    <d v="2026-03-10T00:00:00"/>
    <x v="4"/>
    <s v="NBN 2,5 KG İNCİR"/>
    <m/>
    <x v="1"/>
    <s v="FTR202600000128"/>
    <s v="SATIŞ - MMT"/>
    <s v="NAKİT"/>
    <n v="1.4"/>
    <n v="450"/>
    <n v="0"/>
    <n v="0"/>
    <m/>
    <m/>
    <m/>
    <m/>
    <n v="630"/>
    <n v="0"/>
    <n v="53717.712073026421"/>
  </r>
  <r>
    <d v="2026-03-10T00:00:00"/>
    <x v="4"/>
    <s v="ÇİĞ KABAK ÇEKİRDEĞİ"/>
    <m/>
    <x v="1"/>
    <s v="FTR202600000128"/>
    <s v="SATIŞ - MMT"/>
    <s v="NAKİT"/>
    <n v="0.32"/>
    <n v="270"/>
    <n v="0"/>
    <n v="0"/>
    <m/>
    <m/>
    <m/>
    <m/>
    <n v="86.4"/>
    <n v="0"/>
    <n v="53804.112073026423"/>
  </r>
  <r>
    <d v="2026-03-10T00:00:00"/>
    <x v="4"/>
    <s v="İRİ BEYAZ KABAK ÇEKİRDEĞİ - NEVŞEHİR"/>
    <m/>
    <x v="1"/>
    <s v="FTR202600000128"/>
    <s v="SATIŞ - MMT"/>
    <s v="NAKİT"/>
    <n v="0.79"/>
    <n v="290"/>
    <n v="0"/>
    <n v="0"/>
    <m/>
    <m/>
    <m/>
    <m/>
    <n v="229.10000000000002"/>
    <n v="0"/>
    <n v="54033.212073026421"/>
  </r>
  <r>
    <d v="2026-03-10T00:00:00"/>
    <x v="4"/>
    <s v="DERMA KABAK YÜZ &amp; BANYO LİFİ"/>
    <m/>
    <x v="1"/>
    <s v="FTR202600000128"/>
    <s v="SATIŞ - STOK DÜZELTME"/>
    <s v="NAKİT"/>
    <n v="1"/>
    <n v="100"/>
    <n v="0"/>
    <n v="0"/>
    <m/>
    <m/>
    <m/>
    <m/>
    <n v="100"/>
    <n v="0"/>
    <n v="54133.212073026421"/>
  </r>
  <r>
    <d v="2026-03-10T00:00:00"/>
    <x v="4"/>
    <s v="KONTES HAMAM OTU - TÜY DÖKÜCÜ"/>
    <m/>
    <x v="1"/>
    <s v="FTR202600000128"/>
    <s v="SATIŞ - STOK DÜZELTME"/>
    <s v="NAKİT"/>
    <n v="7"/>
    <n v="15"/>
    <n v="0"/>
    <n v="0"/>
    <m/>
    <m/>
    <m/>
    <m/>
    <n v="105"/>
    <n v="0"/>
    <n v="54238.212073026421"/>
  </r>
  <r>
    <d v="2026-03-10T00:00:00"/>
    <x v="4"/>
    <s v="GENÇLEBİ ÇAKILTAŞI DRAJE"/>
    <m/>
    <x v="1"/>
    <s v="FTR202600000128"/>
    <s v="SATIŞ - MMT"/>
    <s v="NAKİT"/>
    <n v="0.25"/>
    <n v="125"/>
    <n v="0"/>
    <n v="0"/>
    <m/>
    <m/>
    <m/>
    <m/>
    <n v="31.25"/>
    <n v="0"/>
    <n v="54269.462073026421"/>
  </r>
  <r>
    <d v="2026-03-10T00:00:00"/>
    <x v="4"/>
    <s v="GENÇLEBİ ÇAKILTAŞI DRAJE"/>
    <m/>
    <x v="1"/>
    <s v="FTR202600000128"/>
    <s v="SATIŞ - STOK DÜZELTME"/>
    <s v="NAKİT"/>
    <n v="0.5"/>
    <n v="400"/>
    <n v="0"/>
    <n v="0"/>
    <m/>
    <m/>
    <m/>
    <m/>
    <n v="200"/>
    <n v="0"/>
    <n v="54469.462073026421"/>
  </r>
  <r>
    <d v="2026-03-10T00:00:00"/>
    <x v="4"/>
    <s v="NAHİTA KOZALAK ŞURUBU 500 ML"/>
    <m/>
    <x v="1"/>
    <s v="FTR202600000128"/>
    <s v="SATIŞ - STOK DÜZELTME"/>
    <s v="NAKİT"/>
    <n v="1"/>
    <n v="170"/>
    <n v="0"/>
    <n v="0"/>
    <m/>
    <m/>
    <m/>
    <m/>
    <n v="170"/>
    <n v="0"/>
    <n v="54639.462073026421"/>
  </r>
  <r>
    <d v="2026-03-10T00:00:00"/>
    <x v="4"/>
    <s v="ŞİFAVER KÜKÜRTLÜ HATAY SABUNU"/>
    <m/>
    <x v="1"/>
    <s v="FTR202600000128"/>
    <s v="SATIŞ - MMT"/>
    <s v="NAKİT"/>
    <n v="3"/>
    <n v="22"/>
    <n v="0"/>
    <n v="0"/>
    <m/>
    <m/>
    <m/>
    <m/>
    <n v="66"/>
    <n v="0"/>
    <n v="54705.462073026421"/>
  </r>
  <r>
    <d v="2026-03-10T00:00:00"/>
    <x v="4"/>
    <s v="SEYHAN ÜZÜM ÖZEL"/>
    <m/>
    <x v="1"/>
    <s v="FTR202600000128"/>
    <s v="SATIŞ - STOK DÜZELTME"/>
    <s v="NAKİT"/>
    <n v="1.1299999999999999"/>
    <n v="500"/>
    <n v="0"/>
    <n v="0"/>
    <m/>
    <m/>
    <m/>
    <m/>
    <n v="565"/>
    <n v="0"/>
    <n v="55270.462073026421"/>
  </r>
  <r>
    <d v="2026-03-10T00:00:00"/>
    <x v="4"/>
    <s v="ÖZBEK ÜZÜMÜ"/>
    <m/>
    <x v="1"/>
    <s v="FTR202600000128"/>
    <s v="SATIŞ - STOK DÜZELTME"/>
    <s v="NAKİT"/>
    <n v="0.23"/>
    <n v="370"/>
    <n v="0"/>
    <n v="0"/>
    <m/>
    <m/>
    <m/>
    <m/>
    <n v="85.100000000000009"/>
    <n v="0"/>
    <n v="55355.56207302642"/>
  </r>
  <r>
    <d v="2026-03-10T00:00:00"/>
    <x v="4"/>
    <s v="DUT KURUSU LÜX ELAZIĞ"/>
    <m/>
    <x v="1"/>
    <s v="FTR202600000128"/>
    <s v="SATIŞ - STOK DÜZELTME"/>
    <s v="NAKİT"/>
    <n v="1.1100000000000001"/>
    <n v="620"/>
    <n v="0"/>
    <n v="0"/>
    <m/>
    <m/>
    <m/>
    <m/>
    <n v="688.2"/>
    <n v="0"/>
    <n v="56043.762073026417"/>
  </r>
  <r>
    <d v="2026-03-10T00:00:00"/>
    <x v="4"/>
    <s v="DUT KURUSU ESMER"/>
    <m/>
    <x v="1"/>
    <s v="FTR202600000128"/>
    <s v="SATIŞ - STOK DÜZELTME"/>
    <s v="NAKİT"/>
    <n v="1.3460000000000001"/>
    <n v="300"/>
    <n v="0"/>
    <n v="0"/>
    <m/>
    <m/>
    <m/>
    <m/>
    <n v="403.8"/>
    <n v="0"/>
    <n v="56447.56207302642"/>
  </r>
  <r>
    <d v="2026-03-10T00:00:00"/>
    <x v="4"/>
    <s v="SOSLU MISIR YERLİ"/>
    <m/>
    <x v="1"/>
    <s v="FTR202600000128"/>
    <s v="SATIŞ - STOK DÜZELTME"/>
    <s v="NAKİT"/>
    <n v="5.1560000000000006"/>
    <n v="130"/>
    <n v="0"/>
    <n v="0"/>
    <m/>
    <m/>
    <m/>
    <m/>
    <n v="670.28000000000009"/>
    <n v="0"/>
    <n v="57117.842073026419"/>
  </r>
  <r>
    <d v="2026-03-10T00:00:00"/>
    <x v="4"/>
    <s v="PATLAK MISIR"/>
    <m/>
    <x v="1"/>
    <s v="FTR202600000128"/>
    <s v="SATIŞ - MMT"/>
    <s v="NAKİT"/>
    <n v="1.03"/>
    <n v="33"/>
    <n v="0"/>
    <n v="0"/>
    <m/>
    <m/>
    <m/>
    <m/>
    <n v="33.99"/>
    <n v="0"/>
    <n v="57151.832073026417"/>
  </r>
  <r>
    <d v="2026-03-10T00:00:00"/>
    <x v="4"/>
    <s v="AÇIK KAYISI İRİ (SARI)"/>
    <m/>
    <x v="1"/>
    <s v="FTR202600000128"/>
    <s v="SATIŞ - MMT"/>
    <s v="NAKİT"/>
    <n v="3.01"/>
    <n v="500"/>
    <n v="0"/>
    <n v="0"/>
    <m/>
    <m/>
    <m/>
    <m/>
    <n v="1505"/>
    <n v="0"/>
    <n v="58656.832073026417"/>
  </r>
  <r>
    <d v="2026-03-10T00:00:00"/>
    <x v="4"/>
    <s v="NBN DAĞ İNCİRİ"/>
    <m/>
    <x v="1"/>
    <s v="FTR202600000128"/>
    <s v="SATIŞ - MMT"/>
    <s v="NAKİT"/>
    <n v="3.11"/>
    <n v="550"/>
    <n v="0"/>
    <n v="0"/>
    <m/>
    <m/>
    <m/>
    <m/>
    <n v="1710.5"/>
    <n v="0"/>
    <n v="60367.332073026417"/>
  </r>
  <r>
    <d v="2026-03-10T00:00:00"/>
    <x v="4"/>
    <s v="İZMİR ÜZÜMÜ"/>
    <m/>
    <x v="1"/>
    <s v="FTR202600000128"/>
    <s v="SATIŞ - MMT"/>
    <s v="NAKİT"/>
    <n v="1.21"/>
    <n v="180"/>
    <n v="0"/>
    <n v="0"/>
    <m/>
    <m/>
    <m/>
    <m/>
    <n v="217.79999999999998"/>
    <n v="0"/>
    <n v="60585.13207302642"/>
  </r>
  <r>
    <d v="2026-03-10T00:00:00"/>
    <x v="4"/>
    <s v="DEMKAR TURUNCU PAKET ANTEP FISTIĞI"/>
    <m/>
    <x v="1"/>
    <s v="FTR202600000128"/>
    <s v="SATIŞ - MMT"/>
    <s v="NAKİT"/>
    <n v="0.19"/>
    <n v="1155"/>
    <n v="0"/>
    <n v="0"/>
    <m/>
    <m/>
    <m/>
    <m/>
    <n v="219.45"/>
    <n v="0"/>
    <n v="60804.582073026417"/>
  </r>
  <r>
    <d v="2026-03-10T00:00:00"/>
    <x v="4"/>
    <s v="BADEM ÇİĞ "/>
    <m/>
    <x v="1"/>
    <s v="FTR202600000128"/>
    <s v="SATIŞ - MMT"/>
    <s v="NAKİT"/>
    <n v="0.76"/>
    <n v="475"/>
    <n v="0"/>
    <n v="0"/>
    <m/>
    <m/>
    <m/>
    <m/>
    <n v="361"/>
    <n v="0"/>
    <n v="61165.582073026417"/>
  </r>
  <r>
    <d v="2026-03-10T00:00:00"/>
    <x v="4"/>
    <s v="BADEM KAVRULMUŞ"/>
    <m/>
    <x v="1"/>
    <s v="FTR202600000128"/>
    <s v="SATIŞ - MMT"/>
    <s v="NAKİT"/>
    <n v="0.53"/>
    <n v="520"/>
    <n v="0"/>
    <n v="0"/>
    <m/>
    <m/>
    <m/>
    <m/>
    <n v="275.60000000000002"/>
    <n v="0"/>
    <n v="61441.182073026415"/>
  </r>
  <r>
    <d v="2026-03-10T00:00:00"/>
    <x v="4"/>
    <s v="KAHVE DÜNYASI FİLTRE KAHVE 250 GR"/>
    <m/>
    <x v="1"/>
    <s v="FTR202600000128"/>
    <s v="SATIŞ - MMT"/>
    <s v="NAKİT"/>
    <n v="4"/>
    <n v="146.25"/>
    <n v="0"/>
    <n v="0"/>
    <m/>
    <m/>
    <m/>
    <m/>
    <n v="585"/>
    <n v="0"/>
    <n v="62026.182073026415"/>
  </r>
  <r>
    <d v="2026-03-10T00:00:00"/>
    <x v="4"/>
    <s v="TÜDAB KEÇİ BOYNUZU (DÖKME)"/>
    <m/>
    <x v="1"/>
    <s v="FTR202600000128"/>
    <s v="SATIŞ - MMT"/>
    <s v="NAKİT"/>
    <n v="0.39"/>
    <n v="140"/>
    <n v="0"/>
    <n v="0"/>
    <m/>
    <m/>
    <m/>
    <m/>
    <n v="54.6"/>
    <n v="0"/>
    <n v="62080.782073026414"/>
  </r>
  <r>
    <d v="2026-03-10T00:00:00"/>
    <x v="4"/>
    <s v="LEBLEBİ ÇİFTE SARI"/>
    <m/>
    <x v="1"/>
    <s v="FTR202600000128"/>
    <s v="SATIŞ - MMT"/>
    <s v="NAKİT"/>
    <n v="1.46"/>
    <n v="170"/>
    <n v="0"/>
    <n v="0"/>
    <m/>
    <m/>
    <m/>
    <m/>
    <n v="248.2"/>
    <n v="0"/>
    <n v="62328.982073026411"/>
  </r>
  <r>
    <d v="2026-03-10T00:00:00"/>
    <x v="4"/>
    <s v="KAJU 240 LIK EKSTRA"/>
    <m/>
    <x v="1"/>
    <s v="FTR202600000128"/>
    <s v="SATIŞ - MMT"/>
    <s v="NAKİT"/>
    <n v="0.63"/>
    <n v="450"/>
    <n v="0"/>
    <n v="0"/>
    <m/>
    <m/>
    <m/>
    <m/>
    <n v="283.5"/>
    <n v="0"/>
    <n v="62612.482073026411"/>
  </r>
  <r>
    <d v="2026-03-10T00:00:00"/>
    <x v="4"/>
    <s v="FINDIK BULACAK (13-15)"/>
    <m/>
    <x v="1"/>
    <s v="FTR202600000128"/>
    <s v="SATIŞ - MMT"/>
    <s v="NAKİT"/>
    <n v="0.59"/>
    <n v="1000"/>
    <n v="0"/>
    <n v="0"/>
    <m/>
    <m/>
    <m/>
    <m/>
    <n v="590"/>
    <n v="0"/>
    <n v="63202.482073026411"/>
  </r>
  <r>
    <d v="2026-03-10T00:00:00"/>
    <x v="4"/>
    <s v="FINDIK İÇİ ÇİĞ"/>
    <m/>
    <x v="1"/>
    <s v="FTR202600000128"/>
    <s v="SATIŞ - MMT"/>
    <s v="NAKİT"/>
    <n v="0.23"/>
    <n v="900"/>
    <n v="0"/>
    <n v="0"/>
    <m/>
    <m/>
    <m/>
    <m/>
    <n v="207"/>
    <n v="0"/>
    <n v="63409.482073026411"/>
  </r>
  <r>
    <d v="2026-03-10T00:00:00"/>
    <x v="4"/>
    <s v="TUZLU FISTIK DUBLE"/>
    <m/>
    <x v="1"/>
    <s v="FTR202600000128"/>
    <s v="SATIŞ - MMT"/>
    <s v="NAKİT"/>
    <n v="0.03"/>
    <n v="145"/>
    <n v="0"/>
    <n v="0"/>
    <m/>
    <m/>
    <m/>
    <m/>
    <n v="4.3499999999999996"/>
    <n v="0"/>
    <n v="63413.832073026409"/>
  </r>
  <r>
    <d v="2026-03-10T00:00:00"/>
    <x v="4"/>
    <s v="TUZSUZ FISTIK 1 NO"/>
    <m/>
    <x v="1"/>
    <s v="FTR202600000128"/>
    <s v="SATIŞ - STOK DÜZELTME"/>
    <s v="NAKİT"/>
    <n v="0.61"/>
    <n v="195"/>
    <n v="0"/>
    <n v="0"/>
    <m/>
    <m/>
    <m/>
    <m/>
    <n v="118.95"/>
    <n v="0"/>
    <n v="63532.782073026407"/>
  </r>
  <r>
    <d v="2026-03-10T00:00:00"/>
    <x v="4"/>
    <s v="LEBLEBİ ŞEKER RENKLİ"/>
    <m/>
    <x v="1"/>
    <s v="FTR202600000128"/>
    <s v="SATIŞ - MMT"/>
    <s v="NAKİT"/>
    <n v="0.65"/>
    <n v="120"/>
    <n v="0"/>
    <n v="0"/>
    <m/>
    <m/>
    <m/>
    <m/>
    <n v="78"/>
    <n v="0"/>
    <n v="63610.782073026407"/>
  </r>
  <r>
    <d v="2026-03-10T00:00:00"/>
    <x v="4"/>
    <s v="LEBLEBİ ŞEKER LÜX"/>
    <m/>
    <x v="1"/>
    <s v="FTR202600000128"/>
    <s v="SATIŞ - MMT"/>
    <s v="NAKİT"/>
    <n v="1.7"/>
    <n v="115"/>
    <n v="0"/>
    <n v="0"/>
    <m/>
    <m/>
    <m/>
    <m/>
    <n v="195.5"/>
    <n v="0"/>
    <n v="63806.282073026407"/>
  </r>
  <r>
    <d v="2026-03-10T00:00:00"/>
    <x v="4"/>
    <s v="LEBLEBİ SARI ÖZEL LÜX ÇITIR"/>
    <m/>
    <x v="1"/>
    <s v="FTR202600000128"/>
    <s v="SATIŞ - MMT"/>
    <s v="NAKİT"/>
    <n v="0.5"/>
    <n v="120"/>
    <n v="0"/>
    <n v="0"/>
    <m/>
    <m/>
    <m/>
    <m/>
    <n v="60"/>
    <n v="0"/>
    <n v="63866.282073026407"/>
  </r>
  <r>
    <d v="2026-03-10T00:00:00"/>
    <x v="4"/>
    <s v="CEVİZLİ SUCUK ATOM (ESMER)"/>
    <m/>
    <x v="1"/>
    <s v="FTR202600000128"/>
    <s v="SATIŞ - MMT"/>
    <s v="NAKİT"/>
    <n v="0.4"/>
    <n v="225"/>
    <n v="0"/>
    <n v="0"/>
    <m/>
    <m/>
    <m/>
    <m/>
    <n v="90"/>
    <n v="0"/>
    <n v="63956.282073026407"/>
  </r>
  <r>
    <d v="2026-03-10T00:00:00"/>
    <x v="4"/>
    <s v="CEVİZLİ SUCUK ATOM (SARI)"/>
    <m/>
    <x v="1"/>
    <s v="FTR202600000128"/>
    <s v="SATIŞ - MMT"/>
    <s v="NAKİT"/>
    <n v="1.377"/>
    <n v="225"/>
    <n v="0"/>
    <n v="0"/>
    <m/>
    <m/>
    <m/>
    <m/>
    <n v="309.82499999999999"/>
    <n v="0"/>
    <n v="64266.107073026404"/>
  </r>
  <r>
    <d v="2026-03-10T00:00:00"/>
    <x v="4"/>
    <s v="MISIR PREMİUM MEDİUM HURMA"/>
    <m/>
    <x v="1"/>
    <s v="FTR202600000128"/>
    <s v="SATIŞ - MMT"/>
    <s v="NAKİT"/>
    <n v="0.79"/>
    <n v="350"/>
    <n v="0"/>
    <n v="0"/>
    <m/>
    <m/>
    <m/>
    <m/>
    <n v="276.5"/>
    <n v="0"/>
    <n v="64542.607073026404"/>
  </r>
  <r>
    <d v="2026-03-10T00:00:00"/>
    <x v="4"/>
    <s v="MEBRUM HURMA - SİYAH"/>
    <m/>
    <x v="1"/>
    <s v="FTR202600000128"/>
    <s v="SATIŞ - MMT"/>
    <s v="NAKİT"/>
    <n v="2.17"/>
    <n v="310"/>
    <n v="0"/>
    <n v="0"/>
    <m/>
    <m/>
    <m/>
    <m/>
    <n v="672.69999999999993"/>
    <n v="0"/>
    <n v="65215.307073026401"/>
  </r>
  <r>
    <d v="2026-03-10T00:00:00"/>
    <x v="4"/>
    <s v="KUDÜS HURMASI JUMBO"/>
    <m/>
    <x v="1"/>
    <s v="FTR202600000128"/>
    <s v="SATIŞ - MMT"/>
    <s v="NAKİT"/>
    <n v="1.72"/>
    <n v="455"/>
    <n v="0"/>
    <n v="0"/>
    <m/>
    <m/>
    <m/>
    <m/>
    <n v="782.6"/>
    <n v="0"/>
    <n v="65997.907073026407"/>
  </r>
  <r>
    <d v="2026-03-10T00:00:00"/>
    <x v="4"/>
    <s v="KUDÜS HURMASI"/>
    <m/>
    <x v="1"/>
    <s v="FTR202600000128"/>
    <s v="SATIŞ - MMT"/>
    <s v="NAKİT"/>
    <n v="1.89"/>
    <n v="270"/>
    <n v="0"/>
    <n v="0"/>
    <m/>
    <m/>
    <m/>
    <m/>
    <n v="510.29999999999995"/>
    <n v="0"/>
    <n v="66508.207073026409"/>
  </r>
  <r>
    <d v="2026-03-10T00:00:00"/>
    <x v="4"/>
    <s v="MEBRUM HURMA 2 (5'LİK)"/>
    <m/>
    <x v="1"/>
    <s v="FTR202600000128"/>
    <s v="SATIŞ - MMT"/>
    <s v="NAKİT"/>
    <n v="1.03"/>
    <n v="305"/>
    <n v="0"/>
    <n v="0"/>
    <m/>
    <m/>
    <m/>
    <m/>
    <n v="314.15000000000003"/>
    <n v="0"/>
    <n v="66822.357073026404"/>
  </r>
  <r>
    <d v="2026-03-10T00:00:00"/>
    <x v="4"/>
    <s v="SOGAY HURMA"/>
    <m/>
    <x v="1"/>
    <s v="FTR202600000128"/>
    <s v="SATIŞ - MMT"/>
    <s v="NAKİT"/>
    <n v="0.53"/>
    <n v="270"/>
    <n v="0"/>
    <n v="0"/>
    <m/>
    <m/>
    <m/>
    <m/>
    <n v="143.1"/>
    <n v="0"/>
    <n v="66965.457073026409"/>
  </r>
  <r>
    <d v="2026-03-10T00:00:00"/>
    <x v="4"/>
    <s v="MEBRUM HURMA  NO 1"/>
    <m/>
    <x v="1"/>
    <s v="FTR202600000128"/>
    <s v="SATIŞ - MMT"/>
    <s v="NAKİT"/>
    <n v="0.02"/>
    <n v="400"/>
    <n v="0"/>
    <n v="0"/>
    <m/>
    <m/>
    <m/>
    <m/>
    <n v="8"/>
    <n v="0"/>
    <n v="66973.457073026409"/>
  </r>
  <r>
    <d v="2026-03-10T00:00:00"/>
    <x v="4"/>
    <s v="MEŞRUK HURMA NO 1"/>
    <m/>
    <x v="1"/>
    <s v="FTR202600000128"/>
    <s v="SATIŞ - MMT"/>
    <s v="NAKİT"/>
    <n v="0.76"/>
    <n v="230"/>
    <n v="0"/>
    <n v="0"/>
    <m/>
    <m/>
    <m/>
    <m/>
    <n v="174.8"/>
    <n v="0"/>
    <n v="67148.257073026412"/>
  </r>
  <r>
    <d v="2026-03-10T00:00:00"/>
    <x v="4"/>
    <s v="ACVE SARI"/>
    <m/>
    <x v="1"/>
    <s v="FTR202600000128"/>
    <s v="SATIŞ - MMT"/>
    <s v="NAKİT"/>
    <n v="0.12"/>
    <n v="300"/>
    <n v="0"/>
    <n v="0"/>
    <m/>
    <m/>
    <m/>
    <m/>
    <n v="36"/>
    <n v="0"/>
    <n v="67184.257073026412"/>
  </r>
  <r>
    <d v="2026-03-10T00:00:00"/>
    <x v="4"/>
    <s v="İNCİR KÜÇÜK"/>
    <m/>
    <x v="1"/>
    <s v="FTR202600000128"/>
    <s v="SATIŞ - MMT"/>
    <s v="NAKİT"/>
    <n v="3.02"/>
    <n v="380"/>
    <n v="0"/>
    <n v="0"/>
    <m/>
    <m/>
    <m/>
    <m/>
    <n v="1147.5999999999999"/>
    <n v="0"/>
    <n v="68331.857073026418"/>
  </r>
  <r>
    <d v="2026-03-10T00:00:00"/>
    <x v="4"/>
    <s v="KARBONAT"/>
    <m/>
    <x v="1"/>
    <s v="FTR202600000128"/>
    <s v="SATIŞ - MMT"/>
    <s v="NAKİT"/>
    <n v="3.25"/>
    <n v="30"/>
    <n v="0"/>
    <n v="0"/>
    <m/>
    <m/>
    <m/>
    <m/>
    <n v="97.5"/>
    <n v="0"/>
    <n v="68429.357073026418"/>
  </r>
  <r>
    <d v="2026-03-10T00:00:00"/>
    <x v="4"/>
    <s v="KETEN TOHUMU"/>
    <m/>
    <x v="1"/>
    <s v="FTR202600000128"/>
    <s v="SATIŞ - MMT"/>
    <s v="NAKİT"/>
    <n v="0.34"/>
    <n v="70"/>
    <n v="0"/>
    <n v="0"/>
    <m/>
    <m/>
    <m/>
    <m/>
    <n v="23.8"/>
    <n v="0"/>
    <n v="68453.157073026421"/>
  </r>
  <r>
    <d v="2026-03-10T00:00:00"/>
    <x v="4"/>
    <s v="IHLAMUR YAPRAK"/>
    <m/>
    <x v="1"/>
    <s v="FTR202600000128"/>
    <s v="SATIŞ - STOK DÜZELTME"/>
    <s v="NAKİT"/>
    <n v="0.44"/>
    <n v="1125"/>
    <n v="0"/>
    <n v="0"/>
    <m/>
    <m/>
    <m/>
    <m/>
    <n v="495"/>
    <n v="0"/>
    <n v="68948.157073026421"/>
  </r>
  <r>
    <d v="2026-03-10T00:00:00"/>
    <x v="4"/>
    <s v="IHLAMUR ÇİÇEK EKSTRA"/>
    <m/>
    <x v="1"/>
    <s v="FTR202600000128"/>
    <s v="SATIŞ - STOK DÜZELTME"/>
    <s v="NAKİT"/>
    <n v="0.12"/>
    <n v="2250"/>
    <n v="0"/>
    <n v="0"/>
    <m/>
    <m/>
    <m/>
    <m/>
    <n v="270"/>
    <n v="0"/>
    <n v="69218.157073026421"/>
  </r>
  <r>
    <d v="2026-03-10T00:00:00"/>
    <x v="4"/>
    <s v="KABUKLU CEVİZ (ŞİLİ)"/>
    <m/>
    <x v="1"/>
    <s v="FTR202600000128"/>
    <s v="SATIŞ - STOK DÜZELTME"/>
    <s v="NAKİT"/>
    <n v="0.23"/>
    <n v="250"/>
    <n v="0"/>
    <n v="0"/>
    <m/>
    <m/>
    <m/>
    <m/>
    <n v="57.5"/>
    <n v="0"/>
    <n v="69275.657073026421"/>
  </r>
  <r>
    <d v="2026-03-10T00:00:00"/>
    <x v="4"/>
    <s v="SUMAK"/>
    <m/>
    <x v="1"/>
    <s v="FTR202600000128"/>
    <s v="SATIŞ - MMT"/>
    <s v="NAKİT"/>
    <n v="1.19"/>
    <n v="200"/>
    <n v="0"/>
    <n v="0"/>
    <m/>
    <m/>
    <m/>
    <m/>
    <n v="238"/>
    <n v="0"/>
    <n v="69513.657073026421"/>
  </r>
  <r>
    <d v="2026-03-10T00:00:00"/>
    <x v="4"/>
    <s v="İSOT"/>
    <m/>
    <x v="1"/>
    <s v="FTR202600000128"/>
    <s v="SATIŞ - MMT"/>
    <s v="NAKİT"/>
    <n v="1.26"/>
    <n v="180"/>
    <n v="0"/>
    <n v="0"/>
    <m/>
    <m/>
    <m/>
    <m/>
    <n v="226.8"/>
    <n v="0"/>
    <n v="69740.457073026424"/>
  </r>
  <r>
    <d v="2026-03-10T00:00:00"/>
    <x v="4"/>
    <s v="HASEVLİK"/>
    <m/>
    <x v="1"/>
    <s v="FTR202600000128"/>
    <s v="SATIŞ - MMT"/>
    <s v="NAKİT"/>
    <n v="0.19"/>
    <n v="210"/>
    <n v="0"/>
    <n v="0"/>
    <m/>
    <m/>
    <m/>
    <m/>
    <n v="39.9"/>
    <n v="0"/>
    <n v="69780.357073026418"/>
  </r>
  <r>
    <d v="2026-03-10T00:00:00"/>
    <x v="4"/>
    <s v="EVLİK BİBER"/>
    <m/>
    <x v="1"/>
    <s v="FTR202600000128"/>
    <s v="SATIŞ - MMT"/>
    <s v="NAKİT"/>
    <n v="0.15"/>
    <n v="175"/>
    <n v="0"/>
    <n v="0"/>
    <m/>
    <m/>
    <m/>
    <m/>
    <n v="26.25"/>
    <n v="0"/>
    <n v="69806.607073026418"/>
  </r>
  <r>
    <d v="2026-03-10T00:00:00"/>
    <x v="4"/>
    <s v="İPEK BİBER"/>
    <m/>
    <x v="1"/>
    <s v="FTR202600000128"/>
    <s v="SATIŞ - MMT"/>
    <s v="NAKİT"/>
    <n v="0.8"/>
    <n v="255"/>
    <n v="0"/>
    <n v="0"/>
    <m/>
    <m/>
    <m/>
    <m/>
    <n v="204"/>
    <n v="0"/>
    <n v="70010.607073026418"/>
  </r>
  <r>
    <d v="2026-03-10T00:00:00"/>
    <x v="4"/>
    <s v="ÇUBUK TARÇIN"/>
    <m/>
    <x v="1"/>
    <s v="FTR202600000128"/>
    <s v="SATIŞ - MMT"/>
    <s v="NAKİT"/>
    <n v="0.47"/>
    <n v="235"/>
    <n v="0"/>
    <n v="0"/>
    <m/>
    <m/>
    <m/>
    <m/>
    <n v="110.44999999999999"/>
    <n v="0"/>
    <n v="70121.057073026415"/>
  </r>
  <r>
    <d v="2026-03-10T00:00:00"/>
    <x v="4"/>
    <s v="KÖFTE BAHARATI (YEDİTÜRLÜ)"/>
    <m/>
    <x v="1"/>
    <s v="FTR202600000128"/>
    <s v="SATIŞ - MMT"/>
    <s v="NAKİT"/>
    <n v="0.28000000000000003"/>
    <n v="185"/>
    <n v="0"/>
    <n v="0"/>
    <m/>
    <m/>
    <m/>
    <m/>
    <n v="51.800000000000004"/>
    <n v="0"/>
    <n v="70172.857073026418"/>
  </r>
  <r>
    <d v="2026-03-10T00:00:00"/>
    <x v="4"/>
    <s v="KARABİBER ÇEKİLMİŞ"/>
    <m/>
    <x v="1"/>
    <s v="FTR202600000128"/>
    <s v="SATIŞ - MMT"/>
    <s v="NAKİT"/>
    <n v="1.1000000000000001"/>
    <n v="330"/>
    <n v="0"/>
    <n v="0"/>
    <m/>
    <m/>
    <m/>
    <m/>
    <n v="363.00000000000006"/>
    <n v="0"/>
    <n v="70535.857073026418"/>
  </r>
  <r>
    <d v="2026-03-10T00:00:00"/>
    <x v="4"/>
    <s v="BUĞDAY NİŞASTASI"/>
    <m/>
    <x v="1"/>
    <s v="FTR202600000128"/>
    <s v="SATIŞ - MMT"/>
    <s v="NAKİT"/>
    <n v="1.42"/>
    <n v="59"/>
    <n v="0"/>
    <n v="0"/>
    <m/>
    <m/>
    <m/>
    <m/>
    <n v="83.78"/>
    <n v="0"/>
    <n v="70619.637073026417"/>
  </r>
  <r>
    <d v="2026-03-10T00:00:00"/>
    <x v="4"/>
    <s v="TÜRK KAHVESİ"/>
    <m/>
    <x v="1"/>
    <s v="FTR202600000128"/>
    <s v="SATIŞ - MMT"/>
    <s v="NAKİT"/>
    <n v="0.3"/>
    <n v="440"/>
    <n v="0"/>
    <n v="0"/>
    <m/>
    <m/>
    <m/>
    <m/>
    <n v="132"/>
    <n v="0"/>
    <n v="70751.637073026417"/>
  </r>
  <r>
    <d v="2026-03-10T00:00:00"/>
    <x v="4"/>
    <s v="LİMONTUZU PARCA"/>
    <m/>
    <x v="1"/>
    <s v="FTR202600000128"/>
    <s v="SATIŞ - MMT"/>
    <s v="NAKİT"/>
    <n v="0.75"/>
    <n v="80"/>
    <n v="0"/>
    <n v="0"/>
    <m/>
    <m/>
    <m/>
    <m/>
    <n v="60"/>
    <n v="0"/>
    <n v="70811.637073026417"/>
  </r>
  <r>
    <d v="2026-03-10T00:00:00"/>
    <x v="4"/>
    <s v="GÜNAYDIN KAYA TUZU İRİ"/>
    <m/>
    <x v="1"/>
    <s v="FTR202600000128"/>
    <s v="SATIŞ - MMT"/>
    <s v="NAKİT"/>
    <n v="0.5"/>
    <n v="15"/>
    <n v="0"/>
    <n v="0"/>
    <m/>
    <m/>
    <m/>
    <m/>
    <n v="7.5"/>
    <n v="0"/>
    <n v="70819.137073026417"/>
  </r>
  <r>
    <d v="2026-03-10T00:00:00"/>
    <x v="4"/>
    <s v="GÜNAYDIN KAYA TUZU İNCE"/>
    <m/>
    <x v="1"/>
    <s v="FTR202600000128"/>
    <s v="SATIŞ - MMT"/>
    <s v="NAKİT"/>
    <n v="2.5"/>
    <n v="15"/>
    <n v="0"/>
    <n v="0"/>
    <m/>
    <m/>
    <m/>
    <m/>
    <n v="37.5"/>
    <n v="0"/>
    <n v="70856.637073026417"/>
  </r>
  <r>
    <d v="2026-03-10T00:00:00"/>
    <x v="4"/>
    <s v="HİBİSKUS"/>
    <m/>
    <x v="1"/>
    <s v="FTR202600000128"/>
    <s v="SATIŞ - MMT"/>
    <s v="NAKİT"/>
    <n v="0.86"/>
    <n v="125"/>
    <n v="0"/>
    <n v="0"/>
    <m/>
    <m/>
    <m/>
    <m/>
    <n v="107.5"/>
    <n v="0"/>
    <n v="70964.137073026417"/>
  </r>
  <r>
    <d v="2026-03-10T00:00:00"/>
    <x v="4"/>
    <s v="KINA RGS DÖKME"/>
    <m/>
    <x v="1"/>
    <s v="FTR202600000128"/>
    <s v="SATIŞ - STOK DÜZELTME"/>
    <s v="NAKİT"/>
    <n v="0.5"/>
    <n v="200"/>
    <n v="0"/>
    <n v="0"/>
    <m/>
    <m/>
    <m/>
    <m/>
    <n v="100"/>
    <n v="0"/>
    <n v="71064.137073026417"/>
  </r>
  <r>
    <d v="2026-03-10T00:00:00"/>
    <x v="4"/>
    <s v="AKGÜNLÜK BAHUR"/>
    <m/>
    <x v="1"/>
    <s v="FTR202600000128"/>
    <s v="SATIŞ - STOK DÜZELTME"/>
    <s v="NAKİT"/>
    <n v="0.2"/>
    <n v="1500"/>
    <n v="0"/>
    <n v="0"/>
    <m/>
    <m/>
    <m/>
    <m/>
    <n v="300"/>
    <n v="0"/>
    <n v="71364.137073026417"/>
  </r>
  <r>
    <d v="2026-03-10T00:00:00"/>
    <x v="4"/>
    <s v="RUŞUR TAŞI"/>
    <m/>
    <x v="1"/>
    <s v="FTR202600000128"/>
    <s v="SATIŞ - STOK DÜZELTME"/>
    <s v="NAKİT"/>
    <n v="5"/>
    <n v="10"/>
    <n v="0"/>
    <n v="0"/>
    <m/>
    <m/>
    <m/>
    <m/>
    <n v="50"/>
    <n v="0"/>
    <n v="71414.137073026417"/>
  </r>
  <r>
    <d v="2026-03-10T00:00:00"/>
    <x v="4"/>
    <s v="KAJUN BAHARATI - CAJUN SEASONING 1000 GR"/>
    <m/>
    <x v="1"/>
    <s v="FTR202600000128"/>
    <s v="SATIŞ - STOK DÜZELTME"/>
    <s v="NAKİT"/>
    <n v="0.1"/>
    <n v="240"/>
    <n v="0"/>
    <n v="0"/>
    <m/>
    <m/>
    <m/>
    <m/>
    <n v="24"/>
    <n v="0"/>
    <n v="71438.137073026417"/>
  </r>
  <r>
    <d v="2026-03-10T00:00:00"/>
    <x v="4"/>
    <s v="YENİ MAHSÜL PAPATYA"/>
    <m/>
    <x v="1"/>
    <s v="FTR202600000128"/>
    <s v="SATIŞ - STOK DÜZELTME"/>
    <s v="NAKİT"/>
    <n v="0.26"/>
    <n v="600"/>
    <n v="0"/>
    <n v="0"/>
    <m/>
    <m/>
    <m/>
    <m/>
    <n v="156"/>
    <n v="0"/>
    <n v="71594.137073026417"/>
  </r>
  <r>
    <d v="2026-03-10T00:00:00"/>
    <x v="4"/>
    <s v="MISIR UNU"/>
    <m/>
    <x v="1"/>
    <s v="FTR202600000128"/>
    <s v="SATIŞ - STOK DÜZELTME"/>
    <s v="NAKİT"/>
    <n v="2"/>
    <n v="25"/>
    <n v="0"/>
    <n v="0"/>
    <m/>
    <m/>
    <m/>
    <m/>
    <n v="50"/>
    <n v="0"/>
    <n v="71644.137073026417"/>
  </r>
  <r>
    <d v="2026-03-10T00:00:00"/>
    <x v="4"/>
    <s v="SALÇA ACI (EV YAPIMI)"/>
    <m/>
    <x v="1"/>
    <s v="FTR202600000128"/>
    <s v="SATIŞ - STOK DÜZELTME"/>
    <s v="NAKİT"/>
    <n v="4.6779999999999973"/>
    <n v="98.191199999999995"/>
    <n v="0"/>
    <n v="0"/>
    <m/>
    <m/>
    <m/>
    <m/>
    <n v="459.33843359999969"/>
    <n v="0"/>
    <n v="72103.475506626419"/>
  </r>
  <r>
    <d v="2026-03-10T00:00:00"/>
    <x v="4"/>
    <s v="SALÇA TATLI (EV YAPIMI)"/>
    <m/>
    <x v="1"/>
    <s v="FTR202600000128"/>
    <s v="SATIŞ - STOK DÜZELTME"/>
    <s v="NAKİT"/>
    <n v="9.7856666666666143"/>
    <n v="98.191199999999995"/>
    <n v="0"/>
    <n v="0"/>
    <m/>
    <m/>
    <m/>
    <m/>
    <n v="960.86635279999484"/>
    <n v="0"/>
    <n v="73064.341859426408"/>
  </r>
  <r>
    <d v="2026-03-10T00:00:00"/>
    <x v="4"/>
    <s v="DOMATES SALÇASI"/>
    <m/>
    <x v="1"/>
    <s v="FTR202600000128"/>
    <s v="SATIŞ - STOK DÜZELTME"/>
    <s v="NAKİT"/>
    <n v="26.637666666666689"/>
    <n v="65.891435000000001"/>
    <n v="0"/>
    <n v="0"/>
    <m/>
    <m/>
    <m/>
    <m/>
    <n v="1755.1940817183349"/>
    <n v="0"/>
    <n v="74819.535941144743"/>
  </r>
  <r>
    <d v="2026-03-10T00:00:00"/>
    <x v="4"/>
    <s v="YALÇINKAYA ACI BİBER SALÇASI"/>
    <m/>
    <x v="1"/>
    <s v="FTR202600000128"/>
    <s v="SATIŞ - STOK DÜZELTME"/>
    <s v="NAKİT"/>
    <n v="0.57999999999999829"/>
    <n v="94.316627906976748"/>
    <n v="0"/>
    <n v="0"/>
    <m/>
    <m/>
    <m/>
    <m/>
    <n v="54.703644186046354"/>
    <n v="0"/>
    <n v="74874.239585330783"/>
  </r>
  <r>
    <d v="2026-03-10T00:00:00"/>
    <x v="4"/>
    <s v="YALÇINKAYA TATLI BİBER SALÇASI"/>
    <m/>
    <x v="1"/>
    <s v="FTR202600000128"/>
    <s v="SATIŞ - STOK DÜZELTME"/>
    <s v="NAKİT"/>
    <n v="0.45000000000000284"/>
    <n v="94.74666666666667"/>
    <n v="0"/>
    <n v="0"/>
    <m/>
    <m/>
    <m/>
    <m/>
    <n v="42.636000000000273"/>
    <n v="0"/>
    <n v="74916.875585330781"/>
  </r>
  <r>
    <d v="2026-03-10T00:00:00"/>
    <x v="4"/>
    <s v="YALÇINKAYA DOMATES SALÇASI"/>
    <m/>
    <x v="1"/>
    <s v="FTR202600000128"/>
    <s v="SATIŞ - STOK DÜZELTME"/>
    <s v="NAKİT"/>
    <n v="0.73266666666665969"/>
    <n v="72.784233419465977"/>
    <n v="0"/>
    <n v="0"/>
    <m/>
    <m/>
    <m/>
    <m/>
    <n v="53.326581685328229"/>
    <n v="0"/>
    <n v="74970.202167016105"/>
  </r>
  <r>
    <d v="2026-03-10T00:00:00"/>
    <x v="4"/>
    <s v="DOLMALIK KURU PATLICAN"/>
    <m/>
    <x v="1"/>
    <s v="FTR202600000128"/>
    <s v="SATIŞ - STOK DÜZELTME"/>
    <s v="NAKİT"/>
    <n v="3"/>
    <n v="152.5"/>
    <n v="0"/>
    <n v="0"/>
    <m/>
    <m/>
    <m/>
    <m/>
    <n v="457.5"/>
    <n v="0"/>
    <n v="75427.702167016105"/>
  </r>
  <r>
    <d v="2026-03-10T00:00:00"/>
    <x v="4"/>
    <s v="DOLMALIK SARI BİBER"/>
    <m/>
    <x v="1"/>
    <s v="FTR202600000128"/>
    <s v="SATIŞ - STOK DÜZELTME"/>
    <s v="NAKİT"/>
    <n v="33"/>
    <n v="135"/>
    <n v="0"/>
    <n v="0"/>
    <m/>
    <m/>
    <m/>
    <m/>
    <n v="4455"/>
    <n v="0"/>
    <n v="79882.702167016105"/>
  </r>
  <r>
    <d v="2026-03-10T00:00:00"/>
    <x v="4"/>
    <s v="MEBRUM HURMA 2 (5'LİK)"/>
    <m/>
    <x v="1"/>
    <s v="ST00000001541"/>
    <s v="SATIŞ"/>
    <s v="NAKİT"/>
    <n v="0.23809523809523808"/>
    <n v="420"/>
    <n v="0"/>
    <n v="0"/>
    <m/>
    <m/>
    <m/>
    <m/>
    <n v="100"/>
    <n v="0"/>
    <n v="79982.702167016105"/>
  </r>
  <r>
    <d v="2026-03-10T00:00:00"/>
    <x v="4"/>
    <s v="ÇÖREKOTU"/>
    <m/>
    <x v="15"/>
    <s v="ST00000001542"/>
    <s v="SATIŞ - ÖZNUR"/>
    <s v="CARİ"/>
    <n v="0.1"/>
    <n v="400"/>
    <n v="40"/>
    <n v="0"/>
    <m/>
    <m/>
    <m/>
    <m/>
    <n v="0"/>
    <n v="0"/>
    <n v="79982.702167016105"/>
  </r>
  <r>
    <d v="2026-03-10T00:00:00"/>
    <x v="4"/>
    <s v="SUSAM"/>
    <m/>
    <x v="15"/>
    <s v="ST00000001542"/>
    <s v="SATIŞ - ÖZNUR"/>
    <s v="CARİ"/>
    <n v="0.1"/>
    <n v="400"/>
    <n v="40"/>
    <n v="0"/>
    <m/>
    <m/>
    <m/>
    <m/>
    <n v="0"/>
    <n v="0"/>
    <n v="79982.702167016105"/>
  </r>
  <r>
    <d v="2026-03-10T00:00:00"/>
    <x v="4"/>
    <s v="DOLMALIK KURU TATLI KIRMIZI BİBER"/>
    <m/>
    <x v="1"/>
    <s v="ST00000001543"/>
    <s v="SATIŞ"/>
    <s v="NAKİT"/>
    <n v="1"/>
    <n v="200"/>
    <n v="0"/>
    <n v="0"/>
    <m/>
    <m/>
    <m/>
    <m/>
    <n v="200"/>
    <n v="0"/>
    <n v="80182.702167016105"/>
  </r>
  <r>
    <d v="2026-03-10T00:00:00"/>
    <x v="4"/>
    <s v="DOLMALIK SARI BİBER"/>
    <m/>
    <x v="5"/>
    <s v="ST00000001544"/>
    <s v="SATIŞ"/>
    <s v="POS"/>
    <n v="1"/>
    <n v="230"/>
    <n v="230"/>
    <n v="0"/>
    <m/>
    <m/>
    <m/>
    <m/>
    <n v="0"/>
    <n v="0"/>
    <n v="80182.702167016105"/>
  </r>
  <r>
    <d v="2026-03-10T00:00:00"/>
    <x v="4"/>
    <s v="CHİA TOHUMU DÖKME"/>
    <m/>
    <x v="5"/>
    <s v="ST00000001545"/>
    <s v="SATIŞ"/>
    <s v="POS"/>
    <n v="0.5"/>
    <n v="300"/>
    <n v="150"/>
    <n v="0"/>
    <m/>
    <m/>
    <m/>
    <m/>
    <n v="0"/>
    <n v="0"/>
    <n v="80182.702167016105"/>
  </r>
  <r>
    <d v="2026-03-10T00:00:00"/>
    <x v="4"/>
    <s v="KETEN TOHUMU"/>
    <m/>
    <x v="5"/>
    <s v="ST00000001545"/>
    <s v="SATIŞ"/>
    <s v="POS"/>
    <n v="0.5"/>
    <n v="140"/>
    <n v="70"/>
    <n v="0"/>
    <m/>
    <m/>
    <m/>
    <m/>
    <n v="0"/>
    <n v="0"/>
    <n v="80182.702167016105"/>
  </r>
  <r>
    <d v="2026-03-10T00:00:00"/>
    <x v="4"/>
    <s v="HİBİSKUS"/>
    <m/>
    <x v="5"/>
    <s v="ST00000001545"/>
    <s v="SATIŞ"/>
    <s v="POS"/>
    <n v="0.1"/>
    <n v="600"/>
    <n v="60"/>
    <n v="0"/>
    <m/>
    <m/>
    <m/>
    <m/>
    <n v="0"/>
    <n v="0"/>
    <n v="80182.702167016105"/>
  </r>
  <r>
    <d v="2026-03-10T00:00:00"/>
    <x v="4"/>
    <s v="EL-RUHA ÇAY (AÇIK)"/>
    <m/>
    <x v="1"/>
    <s v="ST00000001546"/>
    <s v="SATIŞ"/>
    <s v="NAKİT"/>
    <n v="0.25"/>
    <n v="600"/>
    <n v="0"/>
    <n v="0"/>
    <m/>
    <m/>
    <m/>
    <m/>
    <n v="150"/>
    <n v="0"/>
    <n v="80332.702167016105"/>
  </r>
  <r>
    <d v="2026-03-10T00:00:00"/>
    <x v="4"/>
    <s v="AYÇEKİRDEĞİ DAKOTA TUZLU EKSTRA"/>
    <m/>
    <x v="1"/>
    <s v="ST00000001546"/>
    <s v="SATIŞ"/>
    <s v="NAKİT"/>
    <n v="0.2608695652173913"/>
    <n v="230"/>
    <n v="0"/>
    <n v="0"/>
    <m/>
    <m/>
    <m/>
    <m/>
    <n v="60"/>
    <n v="0"/>
    <n v="80392.702167016105"/>
  </r>
  <r>
    <d v="2026-03-10T00:00:00"/>
    <x v="4"/>
    <s v="AYÇEKİRDEĞİ DAKOTA TUZSUZ EKSTRA"/>
    <m/>
    <x v="1"/>
    <s v="ST00000001546"/>
    <s v="SATIŞ"/>
    <s v="NAKİT"/>
    <n v="0.2608695652173913"/>
    <n v="230"/>
    <n v="0"/>
    <n v="0"/>
    <m/>
    <m/>
    <m/>
    <m/>
    <n v="60"/>
    <n v="0"/>
    <n v="80452.702167016105"/>
  </r>
  <r>
    <d v="2026-03-10T00:00:00"/>
    <x v="4"/>
    <s v="İRİ BEYAZ KABAK ÇEKİRDEĞİ - NEVŞEHİR"/>
    <m/>
    <x v="1"/>
    <s v="ST00000001546"/>
    <s v="SATIŞ"/>
    <s v="NAKİT"/>
    <n v="0.27906976744186046"/>
    <n v="430"/>
    <n v="0"/>
    <n v="0"/>
    <m/>
    <m/>
    <m/>
    <m/>
    <n v="120"/>
    <n v="0"/>
    <n v="80572.702167016105"/>
  </r>
  <r>
    <d v="2026-03-10T00:00:00"/>
    <x v="4"/>
    <s v="IHLAMUR YAPRAK"/>
    <m/>
    <x v="1"/>
    <s v="ST00000001546"/>
    <s v="SATIŞ"/>
    <s v="NAKİT"/>
    <n v="0.05"/>
    <n v="2600"/>
    <n v="0"/>
    <n v="0"/>
    <m/>
    <m/>
    <m/>
    <m/>
    <n v="130"/>
    <n v="0"/>
    <n v="80702.702167016105"/>
  </r>
  <r>
    <d v="2026-03-10T00:00:00"/>
    <x v="4"/>
    <s v="BOZ ANTEP FISTIK İÇİ"/>
    <m/>
    <x v="5"/>
    <s v="ST00000001547"/>
    <s v="SATIŞ"/>
    <s v="POS"/>
    <n v="0.21"/>
    <n v="2400"/>
    <n v="504"/>
    <n v="0"/>
    <m/>
    <m/>
    <m/>
    <m/>
    <n v="0"/>
    <n v="0"/>
    <n v="80702.702167016105"/>
  </r>
  <r>
    <d v="2026-03-10T00:00:00"/>
    <x v="4"/>
    <s v="DOLMALIK KURU ACI BİBER"/>
    <m/>
    <x v="1"/>
    <s v="ST00000001548"/>
    <s v="SATIŞ"/>
    <s v="NAKİT"/>
    <n v="1"/>
    <n v="230"/>
    <n v="0"/>
    <n v="0"/>
    <m/>
    <m/>
    <m/>
    <m/>
    <n v="230"/>
    <n v="0"/>
    <n v="80932.702167016105"/>
  </r>
  <r>
    <d v="2026-03-10T00:00:00"/>
    <x v="4"/>
    <s v="NAHİTA NAR EKŞİSİ 250 ML"/>
    <m/>
    <x v="1"/>
    <s v="ST00000001548"/>
    <s v="SATIŞ"/>
    <s v="NAKİT"/>
    <n v="1"/>
    <n v="180"/>
    <n v="0"/>
    <n v="0"/>
    <m/>
    <m/>
    <m/>
    <m/>
    <n v="180"/>
    <n v="0"/>
    <n v="81112.702167016105"/>
  </r>
  <r>
    <d v="2026-03-10T00:00:00"/>
    <x v="4"/>
    <s v="AÇIK KAYISI İRİ (SARI)"/>
    <m/>
    <x v="1"/>
    <s v="ST00000001548"/>
    <s v="SATIŞ"/>
    <s v="NAKİT"/>
    <n v="4.3478260869565216E-2"/>
    <n v="690"/>
    <n v="0"/>
    <n v="0"/>
    <m/>
    <m/>
    <m/>
    <m/>
    <n v="30"/>
    <n v="0"/>
    <n v="81142.702167016105"/>
  </r>
  <r>
    <d v="2026-03-10T00:00:00"/>
    <x v="4"/>
    <s v="İZMİR ÜZÜMÜ"/>
    <m/>
    <x v="1"/>
    <s v="ST00000001548"/>
    <s v="SATIŞ"/>
    <s v="NAKİT"/>
    <n v="0.12"/>
    <n v="250"/>
    <n v="0"/>
    <n v="0"/>
    <m/>
    <m/>
    <m/>
    <m/>
    <n v="30"/>
    <n v="0"/>
    <n v="81172.702167016105"/>
  </r>
  <r>
    <d v="2026-03-10T00:00:00"/>
    <x v="4"/>
    <s v="IHLAMUR YAPRAK"/>
    <m/>
    <x v="1"/>
    <s v="ST00000001548"/>
    <s v="SATIŞ"/>
    <s v="NAKİT"/>
    <n v="0.05"/>
    <n v="2600"/>
    <n v="0"/>
    <n v="0"/>
    <m/>
    <m/>
    <m/>
    <m/>
    <n v="130"/>
    <n v="0"/>
    <n v="81302.702167016105"/>
  </r>
  <r>
    <d v="2026-03-10T00:00:00"/>
    <x v="4"/>
    <s v="LİMONTUZU PARCA"/>
    <m/>
    <x v="5"/>
    <s v="ST00000001549"/>
    <s v="SATIŞ"/>
    <s v="POS"/>
    <n v="0.27777777777777779"/>
    <n v="180"/>
    <n v="50"/>
    <n v="0"/>
    <m/>
    <m/>
    <m/>
    <m/>
    <n v="0"/>
    <n v="0"/>
    <n v="81302.702167016105"/>
  </r>
  <r>
    <d v="2026-03-10T00:00:00"/>
    <x v="4"/>
    <s v="LİMONTUZU PARCA"/>
    <m/>
    <x v="1"/>
    <s v="ST00000001550"/>
    <s v="SATIŞ"/>
    <s v="NAKİT"/>
    <n v="0.27777777777777779"/>
    <n v="180"/>
    <n v="0"/>
    <n v="0"/>
    <m/>
    <m/>
    <m/>
    <m/>
    <n v="50"/>
    <n v="0"/>
    <n v="81352.702167016105"/>
  </r>
  <r>
    <d v="2026-03-10T00:00:00"/>
    <x v="4"/>
    <s v="ATOM PUL BİBER ÇOK ACI"/>
    <m/>
    <x v="5"/>
    <s v="ST00000001551"/>
    <s v="SATIŞ"/>
    <s v="POS"/>
    <n v="0.15"/>
    <n v="400"/>
    <n v="60"/>
    <n v="0"/>
    <m/>
    <m/>
    <m/>
    <m/>
    <n v="0"/>
    <n v="0"/>
    <n v="81352.702167016105"/>
  </r>
  <r>
    <d v="2026-03-10T00:00:00"/>
    <x v="4"/>
    <s v="TOZ BİBER - ACI"/>
    <m/>
    <x v="5"/>
    <s v="ST00000001551"/>
    <s v="SATIŞ"/>
    <s v="POS"/>
    <n v="0.1"/>
    <n v="400"/>
    <n v="40"/>
    <n v="0"/>
    <m/>
    <m/>
    <m/>
    <m/>
    <n v="0"/>
    <n v="0"/>
    <n v="81352.702167016105"/>
  </r>
  <r>
    <d v="2026-03-10T00:00:00"/>
    <x v="4"/>
    <s v="ORMANÖZÜ ORGANİK YABAN ELMASI SİRKESİ 500 ml"/>
    <m/>
    <x v="5"/>
    <s v="ST00000001552"/>
    <s v="SATIŞ"/>
    <s v="POS"/>
    <n v="1"/>
    <n v="100"/>
    <n v="100"/>
    <n v="0"/>
    <m/>
    <m/>
    <m/>
    <m/>
    <n v="0"/>
    <n v="0"/>
    <n v="81352.702167016105"/>
  </r>
  <r>
    <d v="2026-03-10T00:00:00"/>
    <x v="4"/>
    <s v="SUSAM"/>
    <m/>
    <x v="5"/>
    <s v="ST00000001552"/>
    <s v="SATIŞ"/>
    <s v="POS"/>
    <n v="0.1"/>
    <n v="400"/>
    <n v="40"/>
    <n v="0"/>
    <m/>
    <m/>
    <m/>
    <m/>
    <n v="0"/>
    <n v="0"/>
    <n v="81352.702167016105"/>
  </r>
  <r>
    <d v="2026-03-10T00:00:00"/>
    <x v="4"/>
    <s v="SUSAM SİMİTLİK"/>
    <m/>
    <x v="5"/>
    <s v="ST00000001552"/>
    <s v="SATIŞ"/>
    <s v="POS"/>
    <n v="0.1"/>
    <n v="400"/>
    <n v="40"/>
    <n v="0"/>
    <m/>
    <m/>
    <m/>
    <m/>
    <n v="0"/>
    <n v="0"/>
    <n v="81352.702167016105"/>
  </r>
  <r>
    <d v="2026-03-10T00:00:00"/>
    <x v="4"/>
    <s v="KÖFTELİK BULGUR"/>
    <m/>
    <x v="5"/>
    <s v="ST00000001554"/>
    <s v="SATIŞ"/>
    <s v="POS"/>
    <n v="1.0615384615384615"/>
    <n v="65"/>
    <n v="69"/>
    <n v="0"/>
    <m/>
    <m/>
    <m/>
    <m/>
    <n v="0"/>
    <n v="0"/>
    <n v="81352.702167016105"/>
  </r>
  <r>
    <d v="2026-03-10T00:00:00"/>
    <x v="4"/>
    <s v="MEBRUM HURMA 2 (5'LİK)"/>
    <m/>
    <x v="5"/>
    <s v="ST00000001554"/>
    <s v="SATIŞ"/>
    <s v="POS"/>
    <n v="0.32142857142857145"/>
    <n v="420"/>
    <n v="135"/>
    <n v="0"/>
    <m/>
    <m/>
    <m/>
    <m/>
    <n v="0"/>
    <n v="0"/>
    <n v="81352.702167016105"/>
  </r>
  <r>
    <d v="2026-03-10T00:00:00"/>
    <x v="4"/>
    <s v="MANİSA YAPRAK DÖKME"/>
    <m/>
    <x v="5"/>
    <s v="ST00000001554"/>
    <s v="SATIŞ"/>
    <s v="POS"/>
    <n v="0.5"/>
    <n v="300"/>
    <n v="150"/>
    <n v="0"/>
    <m/>
    <m/>
    <m/>
    <m/>
    <n v="0"/>
    <n v="0"/>
    <n v="81352.702167016105"/>
  </r>
  <r>
    <d v="2026-03-10T00:00:00"/>
    <x v="4"/>
    <s v="İPEK BİBER"/>
    <m/>
    <x v="5"/>
    <s v="ST00000001555"/>
    <s v="SATIŞ"/>
    <s v="POS"/>
    <n v="0.2"/>
    <n v="500"/>
    <n v="100"/>
    <n v="0"/>
    <m/>
    <m/>
    <m/>
    <m/>
    <n v="0"/>
    <n v="0"/>
    <n v="81352.702167016105"/>
  </r>
  <r>
    <d v="2026-03-10T00:00:00"/>
    <x v="4"/>
    <s v="TOZ BİBER - TATLI"/>
    <m/>
    <x v="5"/>
    <s v="ST00000001555"/>
    <s v="SATIŞ"/>
    <s v="POS"/>
    <n v="0.17499999999999999"/>
    <n v="400"/>
    <n v="70"/>
    <n v="0"/>
    <m/>
    <m/>
    <m/>
    <m/>
    <n v="0"/>
    <n v="0"/>
    <n v="81352.702167016105"/>
  </r>
  <r>
    <d v="2026-03-10T00:00:00"/>
    <x v="4"/>
    <s v="DURMUŞOĞULLARI KATI PEKMEZ TAHTA 700 GR"/>
    <m/>
    <x v="1"/>
    <s v="ST00000001556"/>
    <s v="SATIŞ"/>
    <s v="NAKİT"/>
    <n v="1"/>
    <n v="295"/>
    <n v="0"/>
    <n v="0"/>
    <m/>
    <m/>
    <m/>
    <m/>
    <n v="295"/>
    <n v="0"/>
    <n v="81647.702167016105"/>
  </r>
  <r>
    <d v="2026-03-10T00:00:00"/>
    <x v="4"/>
    <s v="İZMİR ÜZÜMÜ"/>
    <m/>
    <x v="1"/>
    <s v="ST00000001557"/>
    <s v="SATIŞ"/>
    <s v="NAKİT"/>
    <n v="1"/>
    <n v="250"/>
    <n v="0"/>
    <n v="0"/>
    <m/>
    <m/>
    <m/>
    <m/>
    <n v="250"/>
    <n v="0"/>
    <n v="81897.702167016105"/>
  </r>
  <r>
    <d v="2026-03-10T00:00:00"/>
    <x v="4"/>
    <s v="DOLMALIK SARI BİBER"/>
    <m/>
    <x v="1"/>
    <s v="ST00000001558"/>
    <s v="SATIŞ"/>
    <s v="NAKİT"/>
    <n v="1"/>
    <n v="230"/>
    <n v="0"/>
    <n v="0"/>
    <m/>
    <m/>
    <m/>
    <m/>
    <n v="230"/>
    <n v="0"/>
    <n v="82127.702167016105"/>
  </r>
  <r>
    <d v="2026-03-10T00:00:00"/>
    <x v="4"/>
    <s v="DOLMALIK SARI BİBER"/>
    <m/>
    <x v="1"/>
    <s v="ST00000001559"/>
    <s v="SATIŞ"/>
    <s v="NAKİT"/>
    <n v="1"/>
    <n v="230"/>
    <n v="0"/>
    <n v="0"/>
    <m/>
    <m/>
    <m/>
    <m/>
    <n v="230"/>
    <n v="0"/>
    <n v="82357.702167016105"/>
  </r>
  <r>
    <d v="2026-03-10T00:00:00"/>
    <x v="4"/>
    <s v="İSOT"/>
    <m/>
    <x v="1"/>
    <s v="ST00000001575"/>
    <s v="SATIŞ"/>
    <s v="NAKİT"/>
    <n v="0.252"/>
    <n v="400"/>
    <n v="0"/>
    <n v="0"/>
    <m/>
    <m/>
    <m/>
    <m/>
    <n v="100.8"/>
    <n v="0"/>
    <n v="82458.502167016108"/>
  </r>
  <r>
    <d v="2026-03-10T00:00:00"/>
    <x v="4"/>
    <s v="SUMAK"/>
    <m/>
    <x v="1"/>
    <s v="ST00000001575"/>
    <s v="SATIŞ"/>
    <s v="NAKİT"/>
    <n v="0.20599999999999999"/>
    <n v="500"/>
    <n v="0"/>
    <n v="0"/>
    <m/>
    <m/>
    <m/>
    <m/>
    <n v="103"/>
    <n v="0"/>
    <n v="82561.502167016108"/>
  </r>
  <r>
    <d v="2026-03-10T00:00:00"/>
    <x v="4"/>
    <s v="BUĞDAY NİŞASTASI"/>
    <m/>
    <x v="1"/>
    <s v="ST00000001575"/>
    <s v="SATIŞ"/>
    <s v="NAKİT"/>
    <n v="0.5"/>
    <n v="120"/>
    <n v="0"/>
    <n v="0"/>
    <m/>
    <m/>
    <m/>
    <m/>
    <n v="60"/>
    <n v="0"/>
    <n v="82621.502167016108"/>
  </r>
  <r>
    <d v="2026-03-10T00:00:00"/>
    <x v="4"/>
    <s v="TOZ BİBER - TATLI"/>
    <m/>
    <x v="1"/>
    <s v="ST00000001575"/>
    <s v="SATIŞ"/>
    <s v="NAKİT"/>
    <n v="0.28599999999999998"/>
    <n v="400"/>
    <n v="0"/>
    <n v="0"/>
    <m/>
    <m/>
    <m/>
    <m/>
    <n v="114.39999999999999"/>
    <n v="0"/>
    <n v="82735.902167016102"/>
  </r>
  <r>
    <d v="2026-03-10T00:00:00"/>
    <x v="4"/>
    <s v="KABUKLU CEVİZ (YERLİ)"/>
    <m/>
    <x v="1"/>
    <s v="ST00000001575"/>
    <s v="SATIŞ"/>
    <s v="NAKİT"/>
    <n v="1"/>
    <n v="250"/>
    <n v="0"/>
    <n v="0"/>
    <m/>
    <m/>
    <m/>
    <m/>
    <n v="250"/>
    <n v="0"/>
    <n v="82985.902167016102"/>
  </r>
  <r>
    <d v="2026-03-10T00:00:00"/>
    <x v="4"/>
    <s v="DURMUŞOĞULLARI KATI PEKMEZ TAHTA 700 GR"/>
    <m/>
    <x v="1"/>
    <s v="ST00000001761"/>
    <s v="SATIŞ - MMT"/>
    <s v="NAKİT"/>
    <n v="1"/>
    <n v="230"/>
    <n v="0"/>
    <n v="0"/>
    <m/>
    <m/>
    <m/>
    <m/>
    <n v="230"/>
    <n v="0"/>
    <n v="83215.902167016102"/>
  </r>
  <r>
    <d v="2026-03-10T00:00:00"/>
    <x v="4"/>
    <s v="MECİTEFENDİ MİSVAK ÖZLÜ DOĞAL DİŞ MACUNU 75 ml"/>
    <m/>
    <x v="1"/>
    <s v="ST00000001761"/>
    <s v="SATIŞ - MMT"/>
    <s v="NAKİT"/>
    <n v="1"/>
    <n v="71"/>
    <n v="0"/>
    <n v="0"/>
    <m/>
    <m/>
    <m/>
    <m/>
    <n v="71"/>
    <n v="0"/>
    <n v="83286.902167016102"/>
  </r>
  <r>
    <d v="2026-03-10T00:00:00"/>
    <x v="7"/>
    <m/>
    <m/>
    <x v="2"/>
    <m/>
    <s v="KREDİ KARTI ÖDEME"/>
    <s v="NAKİT"/>
    <n v="1"/>
    <m/>
    <n v="2589.56"/>
    <n v="0"/>
    <m/>
    <m/>
    <m/>
    <m/>
    <n v="0"/>
    <n v="2589.56"/>
    <n v="80697.342167016104"/>
  </r>
  <r>
    <d v="2026-03-10T00:00:00"/>
    <x v="10"/>
    <m/>
    <m/>
    <x v="5"/>
    <m/>
    <s v="POS ÇÖZÜMÜ"/>
    <s v="POS"/>
    <n v="1"/>
    <n v="2705"/>
    <n v="0"/>
    <n v="2705"/>
    <m/>
    <m/>
    <m/>
    <m/>
    <n v="2705"/>
    <n v="0"/>
    <n v="83402.342167016104"/>
  </r>
  <r>
    <d v="2026-03-11T00:00:00"/>
    <x v="3"/>
    <s v="ÖMRÜM VANİLYALI GOFRET 450 GR"/>
    <m/>
    <x v="12"/>
    <s v="NTA2026000000094"/>
    <s v="NEVANTAT KURUYEMİŞ"/>
    <s v="CARİ"/>
    <n v="5"/>
    <n v="50.5"/>
    <n v="0"/>
    <n v="252.5"/>
    <m/>
    <m/>
    <m/>
    <m/>
    <n v="0"/>
    <n v="0"/>
    <n v="83402.342167016104"/>
  </r>
  <r>
    <d v="2026-03-11T00:00:00"/>
    <x v="3"/>
    <s v="ÖMRÜM KAKAOLU GOFRET 450 GR"/>
    <m/>
    <x v="12"/>
    <s v="NTA2026000000094"/>
    <s v="NEVANTAT KURUYEMİŞ"/>
    <s v="CARİ"/>
    <n v="3"/>
    <n v="50.5"/>
    <n v="0"/>
    <n v="151.5"/>
    <m/>
    <m/>
    <m/>
    <m/>
    <n v="0"/>
    <n v="0"/>
    <n v="83402.342167016104"/>
  </r>
  <r>
    <d v="2026-03-11T00:00:00"/>
    <x v="3"/>
    <s v="ÜZÜM SİYAH KİLİS"/>
    <m/>
    <x v="12"/>
    <s v="NTA2026000000094"/>
    <s v="NEVANTAT KURUYEMİŞ"/>
    <s v="CARİ"/>
    <n v="5"/>
    <n v="434.3"/>
    <n v="0"/>
    <n v="2171.5"/>
    <m/>
    <m/>
    <m/>
    <m/>
    <n v="0"/>
    <n v="0"/>
    <n v="83402.342167016104"/>
  </r>
  <r>
    <d v="2026-03-11T00:00:00"/>
    <x v="3"/>
    <s v="İZMİR ÜZÜMÜ"/>
    <m/>
    <x v="12"/>
    <s v="NTA2026000000094"/>
    <s v="NEVANTAT KURUYEMİŞ"/>
    <s v="CARİ"/>
    <n v="5"/>
    <n v="181.8"/>
    <n v="0"/>
    <n v="909"/>
    <m/>
    <m/>
    <m/>
    <m/>
    <n v="0"/>
    <n v="0"/>
    <n v="83402.342167016104"/>
  </r>
  <r>
    <d v="2026-03-11T00:00:00"/>
    <x v="4"/>
    <s v="MISIR PREMİUM MEDİUM HURMA"/>
    <m/>
    <x v="5"/>
    <s v="ST00000001560"/>
    <s v="SATIŞ"/>
    <s v="POS"/>
    <n v="0.44"/>
    <n v="500"/>
    <n v="220"/>
    <n v="0"/>
    <m/>
    <m/>
    <m/>
    <m/>
    <n v="0"/>
    <n v="0"/>
    <n v="83402.342167016104"/>
  </r>
  <r>
    <d v="2026-03-11T00:00:00"/>
    <x v="4"/>
    <s v="SEFAVİ HURMA"/>
    <m/>
    <x v="1"/>
    <s v="ST00000001561"/>
    <s v="SATIŞ"/>
    <s v="NAKİT"/>
    <n v="0.50270270270270268"/>
    <n v="370"/>
    <n v="0"/>
    <n v="0"/>
    <m/>
    <m/>
    <m/>
    <m/>
    <n v="186"/>
    <n v="0"/>
    <n v="83588.342167016104"/>
  </r>
  <r>
    <d v="2026-03-11T00:00:00"/>
    <x v="4"/>
    <s v="İNCİR KÜÇÜK"/>
    <m/>
    <x v="1"/>
    <s v="ST00000001561"/>
    <s v="SATIŞ"/>
    <s v="NAKİT"/>
    <n v="0.50701754385964914"/>
    <n v="570"/>
    <n v="0"/>
    <n v="0"/>
    <m/>
    <m/>
    <m/>
    <m/>
    <n v="289"/>
    <n v="0"/>
    <n v="83877.342167016104"/>
  </r>
  <r>
    <d v="2026-03-11T00:00:00"/>
    <x v="4"/>
    <s v="SUSAM"/>
    <m/>
    <x v="1"/>
    <s v="ST00000001562"/>
    <s v="SATIŞ"/>
    <s v="NAKİT"/>
    <n v="0.1"/>
    <n v="400"/>
    <n v="0"/>
    <n v="0"/>
    <m/>
    <m/>
    <m/>
    <m/>
    <n v="40"/>
    <n v="0"/>
    <n v="83917.342167016104"/>
  </r>
  <r>
    <d v="2026-03-11T00:00:00"/>
    <x v="4"/>
    <s v="DOLMALIK SARI BİBER"/>
    <m/>
    <x v="1"/>
    <s v="ST00000001562"/>
    <s v="SATIŞ"/>
    <s v="NAKİT"/>
    <n v="1"/>
    <n v="230"/>
    <n v="0"/>
    <n v="0"/>
    <m/>
    <m/>
    <m/>
    <m/>
    <n v="230"/>
    <n v="0"/>
    <n v="84147.342167016104"/>
  </r>
  <r>
    <d v="2026-03-11T00:00:00"/>
    <x v="4"/>
    <s v="ADAÇAYI DEMET"/>
    <m/>
    <x v="1"/>
    <s v="ST00000001563"/>
    <s v="SATIŞ"/>
    <s v="NAKİT"/>
    <n v="1"/>
    <n v="60"/>
    <n v="0"/>
    <n v="0"/>
    <m/>
    <m/>
    <m/>
    <m/>
    <n v="60"/>
    <n v="0"/>
    <n v="84207.342167016104"/>
  </r>
  <r>
    <d v="2026-03-11T00:00:00"/>
    <x v="4"/>
    <s v="TOZ BİBER - TATLI"/>
    <m/>
    <x v="1"/>
    <s v="ST00000001564"/>
    <s v="SATIŞ"/>
    <s v="NAKİT"/>
    <n v="0.25"/>
    <n v="400"/>
    <n v="0"/>
    <n v="0"/>
    <m/>
    <m/>
    <m/>
    <m/>
    <n v="100"/>
    <n v="0"/>
    <n v="84307.342167016104"/>
  </r>
  <r>
    <d v="2026-03-11T00:00:00"/>
    <x v="4"/>
    <s v="NANE İRİ"/>
    <m/>
    <x v="1"/>
    <s v="ST00000001564"/>
    <s v="SATIŞ"/>
    <s v="NAKİT"/>
    <n v="0.1075"/>
    <n v="400"/>
    <n v="0"/>
    <n v="0"/>
    <m/>
    <m/>
    <m/>
    <m/>
    <n v="43"/>
    <n v="0"/>
    <n v="84350.342167016104"/>
  </r>
  <r>
    <d v="2026-03-11T00:00:00"/>
    <x v="4"/>
    <s v="ZERDEÇAL TOZ"/>
    <m/>
    <x v="1"/>
    <s v="ST00000001565"/>
    <s v="SATIŞ"/>
    <s v="NAKİT"/>
    <n v="0.15"/>
    <n v="300"/>
    <n v="0"/>
    <n v="0"/>
    <m/>
    <m/>
    <m/>
    <m/>
    <n v="45"/>
    <n v="0"/>
    <n v="84395.342167016104"/>
  </r>
  <r>
    <d v="2026-03-11T00:00:00"/>
    <x v="4"/>
    <s v="DOMATES KURUSU"/>
    <m/>
    <x v="1"/>
    <s v="ST00000001566"/>
    <s v="SATIŞ"/>
    <s v="NAKİT"/>
    <n v="0.5"/>
    <n v="360"/>
    <n v="0"/>
    <n v="0"/>
    <m/>
    <m/>
    <m/>
    <m/>
    <n v="180"/>
    <n v="0"/>
    <n v="84575.342167016104"/>
  </r>
  <r>
    <d v="2026-03-11T00:00:00"/>
    <x v="4"/>
    <s v="ÇUBUK TARÇIN"/>
    <m/>
    <x v="1"/>
    <s v="ST00000001566"/>
    <s v="SATIŞ"/>
    <s v="NAKİT"/>
    <n v="0.08"/>
    <n v="750"/>
    <n v="0"/>
    <n v="0"/>
    <m/>
    <m/>
    <m/>
    <m/>
    <n v="60"/>
    <n v="0"/>
    <n v="84635.342167016104"/>
  </r>
  <r>
    <d v="2026-03-11T00:00:00"/>
    <x v="4"/>
    <s v="IHLAMUR YAPRAK"/>
    <m/>
    <x v="1"/>
    <s v="ST00000001567"/>
    <s v="SATIŞ"/>
    <s v="NAKİT"/>
    <n v="0.05"/>
    <n v="2600"/>
    <n v="0"/>
    <n v="0"/>
    <m/>
    <m/>
    <m/>
    <m/>
    <n v="130"/>
    <n v="0"/>
    <n v="84765.342167016104"/>
  </r>
  <r>
    <d v="2026-03-11T00:00:00"/>
    <x v="4"/>
    <s v="BOZ ANTEP FISTIK İÇİ"/>
    <m/>
    <x v="5"/>
    <s v="ST00000001568"/>
    <s v="SATIŞ"/>
    <s v="POS"/>
    <n v="0.15"/>
    <n v="2400"/>
    <n v="360"/>
    <n v="0"/>
    <m/>
    <m/>
    <m/>
    <m/>
    <n v="0"/>
    <n v="0"/>
    <n v="84765.342167016104"/>
  </r>
  <r>
    <d v="2026-03-11T00:00:00"/>
    <x v="4"/>
    <s v="EL-RUHA ÇAY (AÇIK)"/>
    <m/>
    <x v="1"/>
    <s v="ST00000001569"/>
    <s v="SATIŞ - PINAR"/>
    <s v="NAKİT"/>
    <n v="1"/>
    <n v="600"/>
    <n v="0"/>
    <n v="0"/>
    <m/>
    <m/>
    <m/>
    <m/>
    <n v="600"/>
    <n v="0"/>
    <n v="85365.342167016104"/>
  </r>
  <r>
    <d v="2026-03-11T00:00:00"/>
    <x v="4"/>
    <s v="TOZ TARÇIN"/>
    <m/>
    <x v="1"/>
    <s v="ST00000001569"/>
    <s v="SATIŞ - PINAR"/>
    <s v="NAKİT"/>
    <n v="0.1"/>
    <n v="400"/>
    <n v="0"/>
    <n v="0"/>
    <m/>
    <m/>
    <m/>
    <m/>
    <n v="40"/>
    <n v="0"/>
    <n v="85405.342167016104"/>
  </r>
  <r>
    <d v="2026-03-11T00:00:00"/>
    <x v="4"/>
    <s v="NBN DAĞ İNCİRİ"/>
    <m/>
    <x v="1"/>
    <s v="ST00000001569"/>
    <s v="SATIŞ - PINAR"/>
    <s v="NAKİT"/>
    <n v="0.875"/>
    <n v="800"/>
    <n v="0"/>
    <n v="0"/>
    <m/>
    <m/>
    <m/>
    <m/>
    <n v="700"/>
    <n v="0"/>
    <n v="86105.342167016104"/>
  </r>
  <r>
    <d v="2026-03-11T00:00:00"/>
    <x v="4"/>
    <s v="ZERDEÇAL TOZ"/>
    <m/>
    <x v="1"/>
    <s v="ST00000001570"/>
    <s v="SATIŞ"/>
    <s v="NAKİT"/>
    <n v="0.05"/>
    <n v="300"/>
    <n v="0"/>
    <n v="0"/>
    <m/>
    <m/>
    <m/>
    <m/>
    <n v="15"/>
    <n v="0"/>
    <n v="86120.342167016104"/>
  </r>
  <r>
    <d v="2026-03-11T00:00:00"/>
    <x v="4"/>
    <s v="İSOT"/>
    <m/>
    <x v="1"/>
    <s v="ST00000001570"/>
    <s v="SATIŞ"/>
    <s v="NAKİT"/>
    <n v="0.13"/>
    <n v="400"/>
    <n v="0"/>
    <n v="0"/>
    <m/>
    <m/>
    <m/>
    <m/>
    <n v="52"/>
    <n v="0"/>
    <n v="86172.342167016104"/>
  </r>
  <r>
    <d v="2026-03-11T00:00:00"/>
    <x v="4"/>
    <s v="DURMUŞOĞULLARI KATI PEKMEZ TAHTA 700 GR"/>
    <m/>
    <x v="1"/>
    <s v="ST00000001570"/>
    <s v="SATIŞ"/>
    <s v="NAKİT"/>
    <n v="1"/>
    <n v="295"/>
    <n v="0"/>
    <n v="0"/>
    <m/>
    <m/>
    <m/>
    <m/>
    <n v="295"/>
    <n v="0"/>
    <n v="86467.342167016104"/>
  </r>
  <r>
    <d v="2026-03-11T00:00:00"/>
    <x v="4"/>
    <s v="KORİ (TAVUK BAHARATI)"/>
    <m/>
    <x v="1"/>
    <s v="ST00000001571"/>
    <s v="SATIŞ"/>
    <s v="NAKİT"/>
    <n v="4.8000000000000001E-2"/>
    <n v="140"/>
    <n v="0"/>
    <n v="0"/>
    <m/>
    <m/>
    <m/>
    <m/>
    <n v="6.72"/>
    <n v="0"/>
    <n v="86474.062167016105"/>
  </r>
  <r>
    <d v="2026-03-11T00:00:00"/>
    <x v="4"/>
    <s v="EVLİK BİBER"/>
    <m/>
    <x v="15"/>
    <s v="ST00000001572"/>
    <s v="SATIŞ - ÖZNUR"/>
    <s v="CARİ"/>
    <n v="1.05"/>
    <n v="400"/>
    <n v="420"/>
    <n v="0"/>
    <m/>
    <m/>
    <m/>
    <m/>
    <n v="0"/>
    <n v="0"/>
    <n v="86474.062167016105"/>
  </r>
  <r>
    <d v="2026-03-11T00:00:00"/>
    <x v="4"/>
    <s v="MEBRUM HURMA  NO 1"/>
    <m/>
    <x v="1"/>
    <s v="ST00000001573"/>
    <s v="SATIŞ"/>
    <s v="NAKİT"/>
    <n v="0.6"/>
    <n v="550"/>
    <n v="0"/>
    <n v="0"/>
    <m/>
    <m/>
    <m/>
    <m/>
    <n v="330"/>
    <n v="0"/>
    <n v="86804.062167016105"/>
  </r>
  <r>
    <d v="2026-03-11T00:00:00"/>
    <x v="4"/>
    <s v="SEFAVİ HURMA"/>
    <m/>
    <x v="5"/>
    <s v="ST00000001574"/>
    <s v="SATIŞ"/>
    <s v="POS"/>
    <n v="0.5"/>
    <n v="370"/>
    <n v="185"/>
    <n v="0"/>
    <m/>
    <m/>
    <m/>
    <m/>
    <n v="0"/>
    <n v="0"/>
    <n v="86804.062167016105"/>
  </r>
  <r>
    <d v="2026-03-11T00:00:00"/>
    <x v="4"/>
    <s v="MEBRUM HURMA 2 (5'LİK)"/>
    <m/>
    <x v="5"/>
    <s v="ST00000001574"/>
    <s v="SATIŞ"/>
    <s v="POS"/>
    <n v="0.5"/>
    <n v="420"/>
    <n v="210"/>
    <n v="0"/>
    <m/>
    <m/>
    <m/>
    <m/>
    <n v="0"/>
    <n v="0"/>
    <n v="86804.062167016105"/>
  </r>
  <r>
    <d v="2026-03-11T00:00:00"/>
    <x v="10"/>
    <m/>
    <m/>
    <x v="5"/>
    <m/>
    <s v="POS ÇÖZÜMÜ - ON NUMARA - NEVANTAT "/>
    <s v="POS"/>
    <n v="1"/>
    <n v="3484.5"/>
    <n v="0"/>
    <n v="3484.5"/>
    <n v="208"/>
    <n v="0"/>
    <m/>
    <m/>
    <m/>
    <n v="0"/>
    <n v="86804.062167016105"/>
  </r>
  <r>
    <d v="2026-03-11T00:00:00"/>
    <x v="7"/>
    <m/>
    <m/>
    <x v="12"/>
    <m/>
    <s v="POS ÇÖZÜMÜ - ON NUMARA - NEVANTAT "/>
    <s v="NAKİT"/>
    <n v="1"/>
    <n v="0"/>
    <n v="3484.5"/>
    <n v="0"/>
    <m/>
    <m/>
    <m/>
    <m/>
    <n v="0"/>
    <m/>
    <n v="86804.062167016105"/>
  </r>
  <r>
    <d v="2026-03-11T00:00:00"/>
    <x v="3"/>
    <s v="MEŞRUK HURMA NO 1"/>
    <m/>
    <x v="16"/>
    <m/>
    <s v="SELÇUK GIDA"/>
    <s v="CARİ"/>
    <n v="5"/>
    <n v="230"/>
    <n v="0"/>
    <n v="1150"/>
    <m/>
    <m/>
    <m/>
    <m/>
    <n v="0"/>
    <n v="0"/>
    <n v="86804.062167016105"/>
  </r>
  <r>
    <d v="2026-03-11T00:00:00"/>
    <x v="3"/>
    <s v="MEBRUM HURMA NO 2"/>
    <m/>
    <x v="16"/>
    <m/>
    <s v="SELÇUK GIDA"/>
    <s v="CARİ"/>
    <n v="5"/>
    <n v="390"/>
    <n v="0"/>
    <n v="1950"/>
    <m/>
    <m/>
    <m/>
    <m/>
    <n v="0"/>
    <n v="0"/>
    <n v="86804.062167016105"/>
  </r>
  <r>
    <d v="2026-03-11T00:00:00"/>
    <x v="3"/>
    <s v="MEBRUM HURMA  NO 1"/>
    <m/>
    <x v="16"/>
    <m/>
    <s v="SELÇUK GIDA"/>
    <s v="CARİ"/>
    <n v="5"/>
    <n v="450"/>
    <n v="0"/>
    <n v="2250"/>
    <m/>
    <m/>
    <m/>
    <m/>
    <n v="0"/>
    <n v="0"/>
    <n v="86804.062167016105"/>
  </r>
  <r>
    <d v="2026-03-11T00:00:00"/>
    <x v="7"/>
    <m/>
    <m/>
    <x v="16"/>
    <m/>
    <s v="SELÇUK GIDA - NAKİT ÖDEME"/>
    <s v="CARİ"/>
    <n v="1"/>
    <n v="0"/>
    <n v="3000"/>
    <n v="0"/>
    <m/>
    <m/>
    <m/>
    <m/>
    <n v="0"/>
    <n v="3000"/>
    <n v="83804.062167016105"/>
  </r>
  <r>
    <d v="2026-03-11T00:00:00"/>
    <x v="7"/>
    <m/>
    <m/>
    <x v="9"/>
    <m/>
    <s v="SERBEND HURMA - ÖDEME"/>
    <s v="NAKİT"/>
    <n v="1"/>
    <n v="0"/>
    <n v="5000"/>
    <n v="0"/>
    <m/>
    <m/>
    <m/>
    <m/>
    <n v="0"/>
    <n v="5000"/>
    <n v="78804.062167016105"/>
  </r>
  <r>
    <d v="2026-03-11T00:00:00"/>
    <x v="3"/>
    <s v="MANİSA YAPRAK DÖKME"/>
    <m/>
    <x v="1"/>
    <m/>
    <s v="HİCRAN BOZKURT - YAPRAK ALIMI - MMT KUVEYT"/>
    <s v="NAKİT"/>
    <n v="4"/>
    <n v="375"/>
    <n v="0"/>
    <n v="0"/>
    <m/>
    <m/>
    <m/>
    <m/>
    <n v="0"/>
    <n v="1500"/>
    <n v="77304.062167016105"/>
  </r>
  <r>
    <d v="2026-03-11T00:00:00"/>
    <x v="3"/>
    <s v="MANİSA YAPRAK DÖKME"/>
    <m/>
    <x v="1"/>
    <m/>
    <s v="HİCRAN BOZKURT - YAPRAK ALIMI - GÜLO KUVEYT"/>
    <s v="NAKİT"/>
    <n v="23.5"/>
    <n v="200"/>
    <n v="0"/>
    <n v="0"/>
    <m/>
    <m/>
    <m/>
    <m/>
    <n v="0"/>
    <n v="4700"/>
    <n v="72604.062167016105"/>
  </r>
  <r>
    <d v="2026-03-11T00:00:00"/>
    <x v="10"/>
    <m/>
    <m/>
    <x v="5"/>
    <m/>
    <s v="POS ÇÖZÜMÜ"/>
    <s v="POS"/>
    <n v="1"/>
    <n v="320"/>
    <n v="0"/>
    <n v="320"/>
    <m/>
    <m/>
    <m/>
    <m/>
    <n v="320"/>
    <n v="0"/>
    <n v="72924.062167016105"/>
  </r>
  <r>
    <d v="2026-03-12T00:00:00"/>
    <x v="4"/>
    <s v="ZERDEÇAL TOZ"/>
    <m/>
    <x v="5"/>
    <s v="ST00000001576"/>
    <s v="SATIŞ"/>
    <s v="POS"/>
    <n v="0.13333333333333333"/>
    <n v="300"/>
    <n v="40"/>
    <n v="0"/>
    <m/>
    <m/>
    <m/>
    <m/>
    <n v="0"/>
    <n v="0"/>
    <n v="72924.062167016105"/>
  </r>
  <r>
    <d v="2026-03-12T00:00:00"/>
    <x v="4"/>
    <s v="TÜRK KAHVESİ"/>
    <m/>
    <x v="5"/>
    <s v="ST00000001576"/>
    <s v="SATIŞ"/>
    <s v="POS"/>
    <n v="0.5"/>
    <n v="600"/>
    <n v="300"/>
    <n v="0"/>
    <m/>
    <m/>
    <m/>
    <m/>
    <n v="0"/>
    <n v="0"/>
    <n v="72924.062167016105"/>
  </r>
  <r>
    <d v="2026-03-12T00:00:00"/>
    <x v="4"/>
    <s v="KARABİBER ÇEKİLMİŞ"/>
    <m/>
    <x v="1"/>
    <s v="ST00000001577"/>
    <s v="SATIŞ"/>
    <s v="NAKİT"/>
    <n v="0.30769230769230771"/>
    <n v="650"/>
    <n v="0"/>
    <n v="0"/>
    <m/>
    <m/>
    <m/>
    <m/>
    <n v="200"/>
    <n v="0"/>
    <n v="73124.062167016105"/>
  </r>
  <r>
    <d v="2026-03-12T00:00:00"/>
    <x v="4"/>
    <s v="KEKİK LÜX"/>
    <m/>
    <x v="1"/>
    <s v="ST00000001577"/>
    <s v="SATIŞ"/>
    <s v="NAKİT"/>
    <n v="0.11600000000000001"/>
    <n v="750"/>
    <n v="0"/>
    <n v="0"/>
    <m/>
    <m/>
    <m/>
    <m/>
    <n v="87"/>
    <n v="0"/>
    <n v="73211.062167016105"/>
  </r>
  <r>
    <d v="2026-03-12T00:00:00"/>
    <x v="4"/>
    <s v="ATOM PUL BİBER ÇOK ACI"/>
    <m/>
    <x v="5"/>
    <s v="ST00000001578"/>
    <s v="SATIŞ"/>
    <s v="POS"/>
    <n v="0.54749999999999999"/>
    <n v="400"/>
    <n v="219"/>
    <n v="0"/>
    <m/>
    <m/>
    <m/>
    <m/>
    <n v="0"/>
    <n v="0"/>
    <n v="73211.062167016105"/>
  </r>
  <r>
    <d v="2026-03-12T00:00:00"/>
    <x v="4"/>
    <s v="CİVAN PERÇEMİ"/>
    <m/>
    <x v="5"/>
    <s v="ST00000001579"/>
    <s v="SATIŞ"/>
    <s v="POS"/>
    <n v="0.05"/>
    <n v="1000"/>
    <n v="50"/>
    <n v="0"/>
    <m/>
    <m/>
    <m/>
    <m/>
    <n v="0"/>
    <n v="0"/>
    <n v="73211.062167016105"/>
  </r>
  <r>
    <d v="2026-03-12T00:00:00"/>
    <x v="4"/>
    <s v="KARABİBER TANE"/>
    <m/>
    <x v="1"/>
    <s v="ST00000001580"/>
    <s v="SATIŞ"/>
    <s v="NAKİT"/>
    <n v="0.1"/>
    <n v="700"/>
    <n v="0"/>
    <n v="0"/>
    <m/>
    <m/>
    <m/>
    <m/>
    <n v="70"/>
    <n v="0"/>
    <n v="73281.062167016105"/>
  </r>
  <r>
    <d v="2026-03-12T00:00:00"/>
    <x v="4"/>
    <s v="KARANFİL"/>
    <m/>
    <x v="1"/>
    <s v="ST00000001580"/>
    <s v="SATIŞ"/>
    <s v="NAKİT"/>
    <n v="0.05"/>
    <n v="1200"/>
    <n v="0"/>
    <n v="0"/>
    <m/>
    <m/>
    <m/>
    <m/>
    <n v="60"/>
    <n v="0"/>
    <n v="73341.062167016105"/>
  </r>
  <r>
    <d v="2026-03-12T00:00:00"/>
    <x v="4"/>
    <s v="ZÜHRE ANA KİDS ARI SÜTÜ PEKMEZ BAL MACUN 240 GR"/>
    <m/>
    <x v="5"/>
    <s v="ST00000001581"/>
    <s v="SATIŞ"/>
    <s v="POS"/>
    <n v="1"/>
    <n v="260"/>
    <n v="260"/>
    <n v="0"/>
    <m/>
    <m/>
    <m/>
    <m/>
    <n v="0"/>
    <n v="0"/>
    <n v="73341.062167016105"/>
  </r>
  <r>
    <d v="2026-03-12T00:00:00"/>
    <x v="4"/>
    <s v="ZÜHRE ANA SULTAN MACUNU 240 GR"/>
    <m/>
    <x v="5"/>
    <s v="ST00000001582"/>
    <s v="SATIŞ"/>
    <s v="POS"/>
    <n v="1"/>
    <n v="260"/>
    <n v="260"/>
    <n v="0"/>
    <m/>
    <m/>
    <m/>
    <m/>
    <n v="0"/>
    <n v="0"/>
    <n v="73341.062167016105"/>
  </r>
  <r>
    <d v="2026-03-12T00:00:00"/>
    <x v="4"/>
    <s v="MECİTEFENDİ MİSVAK ÖZLÜ DOĞAL DİŞ MACUNU 75 ml"/>
    <m/>
    <x v="1"/>
    <s v="ST00000001583"/>
    <s v="SATIŞ"/>
    <s v="NAKİT"/>
    <n v="1"/>
    <n v="135"/>
    <n v="0"/>
    <n v="0"/>
    <m/>
    <m/>
    <m/>
    <m/>
    <n v="135"/>
    <n v="0"/>
    <n v="73476.062167016105"/>
  </r>
  <r>
    <d v="2026-03-12T00:00:00"/>
    <x v="4"/>
    <s v="TÜRK KAHVESİ"/>
    <m/>
    <x v="1"/>
    <s v="ST00000001583"/>
    <s v="SATIŞ"/>
    <s v="NAKİT"/>
    <n v="0.1"/>
    <n v="600"/>
    <n v="0"/>
    <n v="0"/>
    <m/>
    <m/>
    <m/>
    <m/>
    <n v="60"/>
    <n v="0"/>
    <n v="73536.062167016105"/>
  </r>
  <r>
    <d v="2026-03-12T00:00:00"/>
    <x v="4"/>
    <s v="YENİBAHAR TOZ"/>
    <m/>
    <x v="1"/>
    <s v="ST00000001584"/>
    <s v="SATIŞ"/>
    <s v="NAKİT"/>
    <n v="4.5454545454545456E-2"/>
    <n v="770"/>
    <n v="0"/>
    <n v="0"/>
    <m/>
    <m/>
    <m/>
    <m/>
    <n v="35"/>
    <n v="0"/>
    <n v="73571.062167016105"/>
  </r>
  <r>
    <d v="2026-03-12T00:00:00"/>
    <x v="4"/>
    <s v="KORİ (TAVUK BAHARATI)"/>
    <m/>
    <x v="5"/>
    <s v="ST00000001585"/>
    <s v="SATIŞ"/>
    <s v="POS"/>
    <n v="0.14285714285714285"/>
    <n v="140"/>
    <n v="20"/>
    <n v="0"/>
    <m/>
    <m/>
    <m/>
    <m/>
    <n v="0"/>
    <n v="0"/>
    <n v="73571.062167016105"/>
  </r>
  <r>
    <d v="2026-03-12T00:00:00"/>
    <x v="4"/>
    <s v="EVLİK BİBER"/>
    <m/>
    <x v="5"/>
    <s v="ST00000001586"/>
    <s v="SATIŞ"/>
    <s v="POS"/>
    <n v="0.17499999999999999"/>
    <n v="400"/>
    <n v="70"/>
    <n v="0"/>
    <m/>
    <m/>
    <m/>
    <m/>
    <n v="0"/>
    <n v="0"/>
    <n v="73571.062167016105"/>
  </r>
  <r>
    <d v="2026-03-12T00:00:00"/>
    <x v="4"/>
    <s v="KEKİK LÜX"/>
    <m/>
    <x v="5"/>
    <s v="ST00000001586"/>
    <s v="SATIŞ"/>
    <s v="POS"/>
    <n v="3.2000000000000001E-2"/>
    <n v="750"/>
    <n v="24"/>
    <n v="0"/>
    <m/>
    <m/>
    <m/>
    <m/>
    <n v="0"/>
    <n v="0"/>
    <n v="73571.062167016105"/>
  </r>
  <r>
    <d v="2026-03-12T00:00:00"/>
    <x v="4"/>
    <s v="LİMONTUZU PARCA"/>
    <m/>
    <x v="5"/>
    <s v="ST00000001586"/>
    <s v="SATIŞ"/>
    <s v="POS"/>
    <n v="0.27800000000000002"/>
    <n v="180"/>
    <n v="50.040000000000006"/>
    <n v="0"/>
    <m/>
    <m/>
    <m/>
    <m/>
    <n v="0"/>
    <n v="0"/>
    <n v="73571.062167016105"/>
  </r>
  <r>
    <d v="2026-03-12T00:00:00"/>
    <x v="4"/>
    <s v="SUMAK TANE EKŞİLİ"/>
    <m/>
    <x v="1"/>
    <s v="ST00000001587"/>
    <s v="SATIŞ"/>
    <s v="NAKİT"/>
    <n v="9.2592592592592587E-2"/>
    <n v="540"/>
    <n v="0"/>
    <n v="0"/>
    <m/>
    <m/>
    <m/>
    <m/>
    <n v="50"/>
    <n v="0"/>
    <n v="73621.062167016105"/>
  </r>
  <r>
    <d v="2026-03-12T00:00:00"/>
    <x v="4"/>
    <s v="DOLMALIK KURU PATLICAN"/>
    <m/>
    <x v="1"/>
    <s v="ST00000001587"/>
    <s v="SATIŞ"/>
    <s v="NAKİT"/>
    <n v="1"/>
    <n v="250"/>
    <n v="0"/>
    <n v="0"/>
    <m/>
    <m/>
    <m/>
    <m/>
    <n v="250"/>
    <n v="0"/>
    <n v="73871.062167016105"/>
  </r>
  <r>
    <d v="2026-03-12T00:00:00"/>
    <x v="4"/>
    <s v="MANİSA YAPRAK DÖKME"/>
    <m/>
    <x v="5"/>
    <s v="ST00000001588"/>
    <s v="SATIŞ"/>
    <s v="POS"/>
    <n v="1.1514285714285715"/>
    <n v="350"/>
    <n v="403"/>
    <n v="0"/>
    <m/>
    <m/>
    <m/>
    <m/>
    <n v="0"/>
    <n v="0"/>
    <n v="73871.062167016105"/>
  </r>
  <r>
    <d v="2026-03-12T00:00:00"/>
    <x v="4"/>
    <s v="EVLİK BİBER"/>
    <m/>
    <x v="5"/>
    <s v="ST00000001589"/>
    <s v="SATIŞ"/>
    <s v="POS"/>
    <n v="9.7500000000000003E-2"/>
    <n v="400"/>
    <n v="39"/>
    <n v="0"/>
    <m/>
    <m/>
    <m/>
    <m/>
    <n v="0"/>
    <n v="0"/>
    <n v="73871.062167016105"/>
  </r>
  <r>
    <d v="2026-03-12T00:00:00"/>
    <x v="4"/>
    <s v="SUMAK"/>
    <m/>
    <x v="5"/>
    <s v="ST00000001589"/>
    <s v="SATIŞ"/>
    <s v="POS"/>
    <n v="6.6000000000000003E-2"/>
    <n v="500"/>
    <n v="33"/>
    <n v="0"/>
    <m/>
    <m/>
    <m/>
    <m/>
    <n v="0"/>
    <n v="0"/>
    <n v="73871.062167016105"/>
  </r>
  <r>
    <d v="2026-03-12T00:00:00"/>
    <x v="4"/>
    <s v="TOZ BİBER - TATLI"/>
    <m/>
    <x v="5"/>
    <s v="ST00000001589"/>
    <s v="SATIŞ"/>
    <s v="POS"/>
    <n v="6.7500000000000004E-2"/>
    <n v="400"/>
    <n v="27"/>
    <n v="0"/>
    <m/>
    <m/>
    <m/>
    <m/>
    <n v="0"/>
    <n v="0"/>
    <n v="73871.062167016105"/>
  </r>
  <r>
    <d v="2026-03-12T00:00:00"/>
    <x v="4"/>
    <s v="DOLMALIK KURU PATLICAN"/>
    <m/>
    <x v="5"/>
    <s v="ST00000001589"/>
    <s v="SATIŞ"/>
    <s v="POS"/>
    <n v="1"/>
    <n v="250"/>
    <n v="250"/>
    <n v="0"/>
    <m/>
    <m/>
    <m/>
    <m/>
    <n v="0"/>
    <n v="0"/>
    <n v="73871.062167016105"/>
  </r>
  <r>
    <d v="2026-03-12T00:00:00"/>
    <x v="4"/>
    <s v="DOLMALIK SARI BİBER"/>
    <m/>
    <x v="5"/>
    <s v="ST00000001589"/>
    <s v="SATIŞ"/>
    <s v="POS"/>
    <n v="1"/>
    <n v="230"/>
    <n v="230"/>
    <n v="0"/>
    <m/>
    <m/>
    <m/>
    <m/>
    <n v="0"/>
    <n v="0"/>
    <n v="73871.062167016105"/>
  </r>
  <r>
    <d v="2026-03-12T00:00:00"/>
    <x v="4"/>
    <s v="LİMON MELİSA"/>
    <m/>
    <x v="1"/>
    <s v="ST00000001590"/>
    <s v="SATIŞ"/>
    <s v="NAKİT"/>
    <n v="0.05"/>
    <n v="2000"/>
    <n v="0"/>
    <n v="0"/>
    <m/>
    <m/>
    <m/>
    <m/>
    <n v="100"/>
    <n v="0"/>
    <n v="73971.062167016105"/>
  </r>
  <r>
    <d v="2026-03-12T00:00:00"/>
    <x v="4"/>
    <s v="YENİ MAHSÜL PAPATYA"/>
    <m/>
    <x v="1"/>
    <s v="ST00000001590"/>
    <s v="SATIŞ"/>
    <s v="NAKİT"/>
    <n v="0.05"/>
    <n v="1800"/>
    <n v="0"/>
    <n v="0"/>
    <m/>
    <m/>
    <m/>
    <m/>
    <n v="90"/>
    <n v="0"/>
    <n v="74061.062167016105"/>
  </r>
  <r>
    <d v="2026-03-12T00:00:00"/>
    <x v="4"/>
    <s v="ZENCEFİL TOZ"/>
    <m/>
    <x v="1"/>
    <s v="ST00000001591"/>
    <s v="SATIŞ"/>
    <s v="NAKİT"/>
    <n v="7.0000000000000007E-2"/>
    <n v="400"/>
    <n v="0"/>
    <n v="0"/>
    <m/>
    <m/>
    <m/>
    <m/>
    <n v="28.000000000000004"/>
    <n v="0"/>
    <n v="74089.062167016105"/>
  </r>
  <r>
    <d v="2026-03-12T00:00:00"/>
    <x v="4"/>
    <s v="YENİBAHAR TOZ"/>
    <m/>
    <x v="1"/>
    <s v="ST00000001591"/>
    <s v="SATIŞ"/>
    <s v="NAKİT"/>
    <n v="4.6753246753246755E-2"/>
    <n v="770"/>
    <n v="0"/>
    <n v="0"/>
    <m/>
    <m/>
    <m/>
    <m/>
    <n v="36"/>
    <n v="0"/>
    <n v="74125.062167016105"/>
  </r>
  <r>
    <d v="2026-03-12T00:00:00"/>
    <x v="4"/>
    <s v="IHLAMUR YAPRAK"/>
    <m/>
    <x v="5"/>
    <s v="ST00000001592"/>
    <s v="SATIŞ"/>
    <s v="POS"/>
    <n v="0.05"/>
    <n v="2600"/>
    <n v="130"/>
    <n v="0"/>
    <m/>
    <m/>
    <m/>
    <m/>
    <n v="0"/>
    <n v="0"/>
    <n v="74125.062167016105"/>
  </r>
  <r>
    <d v="2026-03-12T00:00:00"/>
    <x v="4"/>
    <s v="DURMUŞOĞULLARI KATI PEKMEZ TAHTA 700 GR"/>
    <m/>
    <x v="1"/>
    <s v="ST00000001593"/>
    <s v="SATIŞ"/>
    <s v="NAKİT"/>
    <n v="2"/>
    <n v="295"/>
    <n v="0"/>
    <n v="0"/>
    <m/>
    <m/>
    <m/>
    <m/>
    <n v="590"/>
    <n v="0"/>
    <n v="74715.062167016105"/>
  </r>
  <r>
    <d v="2026-03-12T00:00:00"/>
    <x v="4"/>
    <s v="TÜDAB KARIŞIK TURŞU"/>
    <m/>
    <x v="1"/>
    <s v="ST00000001594"/>
    <s v="SATIŞ - NİHAT"/>
    <s v="NAKİT"/>
    <n v="1"/>
    <n v="400"/>
    <n v="0"/>
    <n v="0"/>
    <m/>
    <m/>
    <m/>
    <m/>
    <n v="400"/>
    <n v="0"/>
    <n v="75115.062167016105"/>
  </r>
  <r>
    <d v="2026-03-12T00:00:00"/>
    <x v="4"/>
    <s v="MEBRUM HURMA 2 (5'LİK)"/>
    <m/>
    <x v="1"/>
    <s v="ST00000001595"/>
    <s v="SATIŞ"/>
    <s v="NAKİT"/>
    <n v="0.5"/>
    <n v="420"/>
    <n v="0"/>
    <n v="0"/>
    <m/>
    <m/>
    <m/>
    <m/>
    <n v="210"/>
    <n v="0"/>
    <n v="75325.062167016105"/>
  </r>
  <r>
    <d v="2026-03-12T00:00:00"/>
    <x v="4"/>
    <s v="KABUKLU CEVİZ (YERLİ)"/>
    <m/>
    <x v="1"/>
    <s v="ST00000001596"/>
    <s v="SATIŞ"/>
    <s v="NAKİT"/>
    <n v="0.5"/>
    <n v="250"/>
    <n v="0"/>
    <n v="0"/>
    <m/>
    <m/>
    <m/>
    <m/>
    <n v="125"/>
    <n v="0"/>
    <n v="75450.062167016105"/>
  </r>
  <r>
    <d v="2026-03-12T00:00:00"/>
    <x v="4"/>
    <s v="TOZ BİBER - TATLI"/>
    <m/>
    <x v="1"/>
    <s v="ST00000001597"/>
    <s v="SATIŞ"/>
    <s v="NAKİT"/>
    <n v="7.4999999999999997E-2"/>
    <n v="400"/>
    <n v="0"/>
    <n v="0"/>
    <m/>
    <m/>
    <m/>
    <m/>
    <n v="30"/>
    <n v="0"/>
    <n v="75480.062167016105"/>
  </r>
  <r>
    <d v="2026-03-12T00:00:00"/>
    <x v="4"/>
    <s v="KARIŞIK KURUYEMİŞ"/>
    <m/>
    <x v="5"/>
    <s v="ST00000001598"/>
    <s v="SATIŞ"/>
    <s v="POS"/>
    <n v="0.504"/>
    <n v="850"/>
    <n v="428.4"/>
    <n v="0"/>
    <m/>
    <m/>
    <m/>
    <m/>
    <n v="0"/>
    <n v="0"/>
    <n v="75480.062167016105"/>
  </r>
  <r>
    <d v="2026-03-12T00:00:00"/>
    <x v="1"/>
    <m/>
    <s v="VERGİ VE HARÇLAR"/>
    <x v="1"/>
    <m/>
    <s v="ESNAF VE SANATKARLAR ODA KAYIT ÜCRETİ"/>
    <s v="NAKİT"/>
    <n v="1"/>
    <n v="7676.95"/>
    <n v="0"/>
    <n v="0"/>
    <m/>
    <m/>
    <m/>
    <m/>
    <n v="0"/>
    <n v="7676.95"/>
    <n v="67803.112167016108"/>
  </r>
  <r>
    <d v="2026-03-13T00:00:00"/>
    <x v="3"/>
    <s v="ESMER BULGUR (AKIN)"/>
    <m/>
    <x v="4"/>
    <n v="1000206"/>
    <s v="TÜDAB A.Ş."/>
    <s v="CARİ"/>
    <n v="25"/>
    <n v="31"/>
    <n v="0"/>
    <n v="775"/>
    <m/>
    <m/>
    <m/>
    <m/>
    <n v="0"/>
    <n v="0"/>
    <n v="67803.112167016108"/>
  </r>
  <r>
    <d v="2026-03-13T00:00:00"/>
    <x v="3"/>
    <s v="DOMATES KURUSU"/>
    <m/>
    <x v="4"/>
    <n v="1000206"/>
    <s v="TÜDAB A.Ş."/>
    <s v="CARİ"/>
    <n v="2"/>
    <n v="195"/>
    <n v="0"/>
    <n v="390"/>
    <m/>
    <m/>
    <m/>
    <m/>
    <n v="0"/>
    <n v="0"/>
    <n v="67803.112167016108"/>
  </r>
  <r>
    <d v="2026-03-13T00:00:00"/>
    <x v="3"/>
    <s v="GÜNAYDIN KAYA TUZU İNCE"/>
    <m/>
    <x v="4"/>
    <n v="1000206"/>
    <s v="TÜDAB A.Ş."/>
    <s v="CARİ"/>
    <n v="25"/>
    <n v="19"/>
    <n v="0"/>
    <n v="475"/>
    <m/>
    <m/>
    <m/>
    <m/>
    <n v="0"/>
    <n v="0"/>
    <n v="67803.112167016108"/>
  </r>
  <r>
    <d v="2026-03-13T00:00:00"/>
    <x v="3"/>
    <s v="HAŞİROĞLU TARHANA CİPS"/>
    <m/>
    <x v="4"/>
    <n v="1000206"/>
    <s v="TÜDAB A.Ş."/>
    <s v="CARİ"/>
    <n v="3"/>
    <n v="205"/>
    <n v="0"/>
    <n v="615"/>
    <m/>
    <m/>
    <m/>
    <m/>
    <n v="0"/>
    <n v="0"/>
    <n v="67803.112167016108"/>
  </r>
  <r>
    <d v="2026-03-13T00:00:00"/>
    <x v="3"/>
    <s v="HAŞİROĞLU TARHANA ÇEREZLİK"/>
    <m/>
    <x v="4"/>
    <n v="1000206"/>
    <s v="TÜDAB A.Ş."/>
    <s v="CARİ"/>
    <n v="3"/>
    <n v="185"/>
    <n v="0"/>
    <n v="555"/>
    <m/>
    <m/>
    <m/>
    <m/>
    <n v="0"/>
    <n v="0"/>
    <n v="67803.112167016108"/>
  </r>
  <r>
    <d v="2026-03-13T00:00:00"/>
    <x v="3"/>
    <s v="KİTEL BULGUR (SEFER)"/>
    <m/>
    <x v="4"/>
    <n v="1000206"/>
    <s v="TÜDAB A.Ş."/>
    <s v="CARİ"/>
    <n v="15.2"/>
    <n v="32"/>
    <n v="0"/>
    <n v="486.4"/>
    <m/>
    <m/>
    <m/>
    <m/>
    <n v="0"/>
    <n v="0"/>
    <n v="67803.112167016108"/>
  </r>
  <r>
    <d v="2026-03-13T00:00:00"/>
    <x v="3"/>
    <s v="DURMUŞOĞULLARI KATI PEKMEZ TAHTA 700 GR"/>
    <m/>
    <x v="4"/>
    <n v="1000206"/>
    <s v="TÜDAB A.Ş."/>
    <s v="CARİ"/>
    <n v="10"/>
    <n v="230"/>
    <n v="0"/>
    <n v="2300"/>
    <m/>
    <m/>
    <m/>
    <m/>
    <n v="0"/>
    <n v="0"/>
    <n v="67803.112167016108"/>
  </r>
  <r>
    <d v="2026-03-13T00:00:00"/>
    <x v="4"/>
    <s v="AÇIK KAYISI İRİ (SARI)"/>
    <m/>
    <x v="5"/>
    <s v="ST00000001599"/>
    <s v="SATIŞ"/>
    <s v="POS"/>
    <n v="0.28985507246376813"/>
    <n v="690"/>
    <n v="200"/>
    <n v="0"/>
    <m/>
    <m/>
    <m/>
    <m/>
    <n v="0"/>
    <n v="0"/>
    <n v="67803.112167016108"/>
  </r>
  <r>
    <d v="2026-03-13T00:00:00"/>
    <x v="4"/>
    <s v="GENÇAY KEÇİ BOYNUZU ÖZÜ 675 GR"/>
    <m/>
    <x v="1"/>
    <s v="ST00000001600"/>
    <s v="SATIŞ"/>
    <s v="NAKİT"/>
    <n v="1"/>
    <n v="195"/>
    <n v="0"/>
    <n v="0"/>
    <m/>
    <m/>
    <m/>
    <m/>
    <n v="195"/>
    <n v="0"/>
    <n v="67998.112167016108"/>
  </r>
  <r>
    <d v="2026-03-13T00:00:00"/>
    <x v="4"/>
    <s v="DOMATES KURUSU"/>
    <m/>
    <x v="5"/>
    <s v="ST00000001601"/>
    <s v="SATIŞ"/>
    <s v="POS"/>
    <n v="0.25"/>
    <n v="360"/>
    <n v="90"/>
    <n v="0"/>
    <m/>
    <m/>
    <m/>
    <m/>
    <n v="0"/>
    <n v="0"/>
    <n v="67998.112167016108"/>
  </r>
  <r>
    <d v="2026-03-13T00:00:00"/>
    <x v="4"/>
    <s v="MANİSA YAPRAK DÖKME"/>
    <m/>
    <x v="5"/>
    <s v="ST00000001602"/>
    <s v="SATIŞ"/>
    <s v="POS"/>
    <n v="1.2314285714285715"/>
    <n v="350"/>
    <n v="431.00000000000006"/>
    <n v="0"/>
    <m/>
    <m/>
    <m/>
    <m/>
    <n v="0"/>
    <n v="0"/>
    <n v="67998.112167016108"/>
  </r>
  <r>
    <d v="2026-03-13T00:00:00"/>
    <x v="4"/>
    <s v="MISIR UNU"/>
    <m/>
    <x v="1"/>
    <s v="ST00000001603"/>
    <s v="SATIŞ"/>
    <s v="NAKİT"/>
    <n v="0.5"/>
    <n v="60"/>
    <n v="0"/>
    <n v="0"/>
    <m/>
    <m/>
    <m/>
    <m/>
    <n v="30"/>
    <n v="0"/>
    <n v="68028.112167016108"/>
  </r>
  <r>
    <d v="2026-03-13T00:00:00"/>
    <x v="4"/>
    <s v="DOLMALIK SARI BİBER"/>
    <m/>
    <x v="1"/>
    <s v="ST00000001604"/>
    <s v="SATIŞ"/>
    <s v="NAKİT"/>
    <n v="1"/>
    <n v="230"/>
    <n v="0"/>
    <n v="0"/>
    <m/>
    <m/>
    <m/>
    <m/>
    <n v="230"/>
    <n v="0"/>
    <n v="68258.112167016108"/>
  </r>
  <r>
    <d v="2026-03-13T00:00:00"/>
    <x v="4"/>
    <s v="YEDİ TÜRLÜ BAHARAT  (LUXURY CHEF)"/>
    <m/>
    <x v="1"/>
    <s v="ST00000001604"/>
    <s v="SATIŞ"/>
    <s v="NAKİT"/>
    <n v="0.1"/>
    <n v="900"/>
    <n v="0"/>
    <n v="0"/>
    <m/>
    <m/>
    <m/>
    <m/>
    <n v="90"/>
    <n v="0"/>
    <n v="68348.112167016108"/>
  </r>
  <r>
    <d v="2026-03-13T00:00:00"/>
    <x v="4"/>
    <s v="HAŞİROĞLU TARHANA CİPS"/>
    <m/>
    <x v="5"/>
    <s v="ST00000001605"/>
    <s v="SATIŞ"/>
    <s v="POS"/>
    <n v="1"/>
    <n v="290"/>
    <n v="290"/>
    <n v="0"/>
    <m/>
    <m/>
    <m/>
    <m/>
    <n v="0"/>
    <n v="0"/>
    <n v="68348.112167016108"/>
  </r>
  <r>
    <d v="2026-03-13T00:00:00"/>
    <x v="4"/>
    <s v="ATOM PUL BİBER ÇOK ACI"/>
    <m/>
    <x v="5"/>
    <s v="ST00000001606"/>
    <s v="SATIŞ"/>
    <s v="POS"/>
    <n v="0.1"/>
    <n v="500"/>
    <n v="50"/>
    <n v="0"/>
    <m/>
    <m/>
    <m/>
    <m/>
    <n v="0"/>
    <n v="0"/>
    <n v="68348.112167016108"/>
  </r>
  <r>
    <d v="2026-03-13T00:00:00"/>
    <x v="4"/>
    <s v="KARANFİL"/>
    <m/>
    <x v="5"/>
    <s v="ST00000001606"/>
    <s v="SATIŞ"/>
    <s v="POS"/>
    <n v="0.05"/>
    <n v="1200"/>
    <n v="60"/>
    <n v="0"/>
    <m/>
    <m/>
    <m/>
    <m/>
    <n v="0"/>
    <n v="0"/>
    <n v="68348.112167016108"/>
  </r>
  <r>
    <d v="2026-03-13T00:00:00"/>
    <x v="4"/>
    <s v="TOZ BİBER - TATLI"/>
    <m/>
    <x v="5"/>
    <s v="ST00000001607"/>
    <s v="SATIŞ - TOPTAN - ERASLAN LAHMACUN PİDE"/>
    <s v="POS"/>
    <n v="2"/>
    <n v="255"/>
    <n v="510"/>
    <n v="0"/>
    <m/>
    <m/>
    <m/>
    <m/>
    <n v="0"/>
    <n v="0"/>
    <n v="68348.112167016108"/>
  </r>
  <r>
    <d v="2026-03-13T00:00:00"/>
    <x v="4"/>
    <s v="İSOT"/>
    <m/>
    <x v="5"/>
    <s v="ST00000001607"/>
    <s v="SATIŞ - TOPTAN - ERASLAN LAHMACUN PİDE"/>
    <s v="POS"/>
    <n v="1"/>
    <n v="250"/>
    <n v="250"/>
    <n v="0"/>
    <m/>
    <m/>
    <m/>
    <m/>
    <n v="0"/>
    <n v="0"/>
    <n v="68348.112167016108"/>
  </r>
  <r>
    <d v="2026-03-13T00:00:00"/>
    <x v="4"/>
    <s v="EVLİK BİBER"/>
    <m/>
    <x v="5"/>
    <s v="ST00000001607"/>
    <s v="SATIŞ - TOPTAN - ERASLAN LAHMACUN PİDE"/>
    <s v="POS"/>
    <n v="1"/>
    <n v="240"/>
    <n v="240"/>
    <n v="0"/>
    <m/>
    <m/>
    <m/>
    <m/>
    <n v="0"/>
    <n v="0"/>
    <n v="68348.112167016108"/>
  </r>
  <r>
    <d v="2026-03-13T00:00:00"/>
    <x v="4"/>
    <s v="ÇUBUK TARÇIN"/>
    <m/>
    <x v="5"/>
    <s v="ST00000001608"/>
    <s v="SATIŞ"/>
    <s v="POS"/>
    <n v="0.08"/>
    <n v="750"/>
    <n v="60"/>
    <n v="0"/>
    <m/>
    <m/>
    <m/>
    <m/>
    <n v="0"/>
    <n v="0"/>
    <n v="68348.112167016108"/>
  </r>
  <r>
    <d v="2026-03-13T00:00:00"/>
    <x v="4"/>
    <s v="İRİ BEYAZ KABAK ÇEKİRDEĞİ - NEVŞEHİR"/>
    <m/>
    <x v="5"/>
    <s v="ST00000001608"/>
    <s v="SATIŞ"/>
    <s v="POS"/>
    <n v="0.27906976744186046"/>
    <n v="430"/>
    <n v="120"/>
    <n v="0"/>
    <m/>
    <m/>
    <m/>
    <m/>
    <n v="0"/>
    <n v="0"/>
    <n v="68348.112167016108"/>
  </r>
  <r>
    <d v="2026-03-13T00:00:00"/>
    <x v="10"/>
    <m/>
    <m/>
    <x v="5"/>
    <m/>
    <s v="POS ÇÖZÜMÜ - ON NUMARA TÜDAB ÖDEME"/>
    <s v="CARİ"/>
    <n v="1"/>
    <n v="50000"/>
    <n v="0"/>
    <n v="50000"/>
    <m/>
    <m/>
    <m/>
    <m/>
    <n v="0"/>
    <n v="0"/>
    <n v="68348.112167016108"/>
  </r>
  <r>
    <d v="2026-03-13T00:00:00"/>
    <x v="7"/>
    <m/>
    <m/>
    <x v="4"/>
    <m/>
    <s v="POS ÇÖZÜMÜ - ON NUMARA TÜDAB ÖDEME"/>
    <s v="CARİ"/>
    <n v="1"/>
    <n v="50000"/>
    <n v="50000"/>
    <n v="0"/>
    <m/>
    <m/>
    <m/>
    <m/>
    <n v="0"/>
    <n v="0"/>
    <n v="68348.112167016108"/>
  </r>
  <r>
    <d v="2026-03-13T00:00:00"/>
    <x v="10"/>
    <m/>
    <m/>
    <x v="5"/>
    <m/>
    <s v="POS ÇÖZÜMÜ"/>
    <s v="POS"/>
    <n v="1"/>
    <n v="500"/>
    <n v="0"/>
    <n v="500"/>
    <m/>
    <m/>
    <m/>
    <m/>
    <n v="500"/>
    <n v="0"/>
    <n v="68848.112167016108"/>
  </r>
  <r>
    <d v="2026-03-13T00:00:00"/>
    <x v="10"/>
    <m/>
    <m/>
    <x v="5"/>
    <m/>
    <s v="POS ÇÖZÜMÜ"/>
    <s v="POS"/>
    <n v="1"/>
    <n v="807.5"/>
    <n v="0"/>
    <n v="807.5"/>
    <m/>
    <m/>
    <m/>
    <m/>
    <n v="807.5"/>
    <n v="0"/>
    <n v="69655.612167016108"/>
  </r>
  <r>
    <d v="2026-03-14T00:00:00"/>
    <x v="4"/>
    <s v="DOLMALIK KURU PATLICAN"/>
    <m/>
    <x v="11"/>
    <s v="ST00000001609"/>
    <s v="SATIŞ - TOPTAN - HANİFE DİVLEK"/>
    <s v="CARİ"/>
    <n v="5"/>
    <n v="200"/>
    <n v="1000"/>
    <n v="0"/>
    <m/>
    <m/>
    <m/>
    <m/>
    <n v="0"/>
    <n v="0"/>
    <n v="69655.612167016108"/>
  </r>
  <r>
    <d v="2026-03-14T00:00:00"/>
    <x v="4"/>
    <s v="ATOM PUL BİBER ÇOK ACI"/>
    <m/>
    <x v="5"/>
    <s v="ST00000001610"/>
    <s v="SATIŞ"/>
    <s v="POS"/>
    <n v="0.21"/>
    <n v="500"/>
    <n v="105"/>
    <n v="0"/>
    <m/>
    <m/>
    <m/>
    <m/>
    <n v="0"/>
    <n v="0"/>
    <n v="69655.612167016108"/>
  </r>
  <r>
    <d v="2026-03-14T00:00:00"/>
    <x v="4"/>
    <s v="SOGAY HURMA"/>
    <m/>
    <x v="5"/>
    <s v="ST00000001610"/>
    <s v="SATIŞ"/>
    <s v="POS"/>
    <n v="0.56486486486486487"/>
    <n v="370"/>
    <n v="209"/>
    <n v="0"/>
    <m/>
    <m/>
    <m/>
    <m/>
    <n v="0"/>
    <n v="0"/>
    <n v="69655.612167016108"/>
  </r>
  <r>
    <d v="2026-03-14T00:00:00"/>
    <x v="4"/>
    <s v="KAJU 240 LIK EKSTRA"/>
    <m/>
    <x v="5"/>
    <s v="ST00000001610"/>
    <s v="SATIŞ"/>
    <s v="POS"/>
    <n v="0.15384615384615385"/>
    <n v="650"/>
    <n v="100"/>
    <n v="0"/>
    <m/>
    <m/>
    <m/>
    <m/>
    <n v="0"/>
    <n v="0"/>
    <n v="69655.612167016108"/>
  </r>
  <r>
    <d v="2026-03-14T00:00:00"/>
    <x v="4"/>
    <s v="TUZLU FISTIK DUBLE"/>
    <m/>
    <x v="5"/>
    <s v="ST00000001610"/>
    <s v="SATIŞ"/>
    <s v="POS"/>
    <n v="0.25641025641025639"/>
    <n v="195"/>
    <n v="49.999999999999993"/>
    <n v="0"/>
    <m/>
    <m/>
    <m/>
    <m/>
    <n v="0"/>
    <n v="0"/>
    <n v="69655.612167016108"/>
  </r>
  <r>
    <d v="2026-03-14T00:00:00"/>
    <x v="4"/>
    <s v="EL-RUHA ÇAY (AÇIK)"/>
    <m/>
    <x v="5"/>
    <s v="ST00000001610"/>
    <s v="SATIŞ"/>
    <s v="POS"/>
    <n v="0.25"/>
    <n v="600"/>
    <n v="150"/>
    <n v="0"/>
    <m/>
    <m/>
    <m/>
    <m/>
    <n v="0"/>
    <n v="0"/>
    <n v="69655.612167016108"/>
  </r>
  <r>
    <d v="2026-03-14T00:00:00"/>
    <x v="4"/>
    <s v="DURMUŞOĞULLARI KATI PEKMEZ TAHTA 700 GR"/>
    <m/>
    <x v="5"/>
    <s v="ST00000001610"/>
    <s v="SATIŞ"/>
    <s v="POS"/>
    <n v="1"/>
    <n v="300"/>
    <n v="300"/>
    <n v="0"/>
    <m/>
    <m/>
    <m/>
    <m/>
    <n v="0"/>
    <n v="0"/>
    <n v="69655.612167016108"/>
  </r>
  <r>
    <d v="2026-03-14T00:00:00"/>
    <x v="4"/>
    <s v="AÇIK KAYISI İRİ (SARI)"/>
    <m/>
    <x v="1"/>
    <s v="ST00000001611"/>
    <s v="SATIŞ"/>
    <s v="NAKİT"/>
    <n v="0.20144927536231885"/>
    <n v="690"/>
    <n v="0"/>
    <n v="0"/>
    <m/>
    <m/>
    <m/>
    <m/>
    <n v="139"/>
    <n v="0"/>
    <n v="69794.612167016108"/>
  </r>
  <r>
    <d v="2026-03-14T00:00:00"/>
    <x v="4"/>
    <s v="DOLMALIK KURU PATLICAN"/>
    <m/>
    <x v="1"/>
    <s v="ST00000001611"/>
    <s v="SATIŞ"/>
    <s v="NAKİT"/>
    <n v="0.5"/>
    <n v="250"/>
    <n v="0"/>
    <n v="0"/>
    <m/>
    <m/>
    <m/>
    <m/>
    <n v="125"/>
    <n v="0"/>
    <n v="69919.612167016108"/>
  </r>
  <r>
    <d v="2026-03-14T00:00:00"/>
    <x v="4"/>
    <s v="DOLMALIK SARI BİBER"/>
    <m/>
    <x v="1"/>
    <s v="ST00000001611"/>
    <s v="SATIŞ"/>
    <s v="NAKİT"/>
    <n v="0.5"/>
    <n v="230"/>
    <n v="0"/>
    <n v="0"/>
    <m/>
    <m/>
    <m/>
    <m/>
    <n v="115"/>
    <n v="0"/>
    <n v="70034.612167016108"/>
  </r>
  <r>
    <d v="2026-03-14T00:00:00"/>
    <x v="4"/>
    <s v="ÇÖREKOTU YAĞI 50 CC"/>
    <m/>
    <x v="1"/>
    <s v="ST00000001612"/>
    <s v="SATIŞ"/>
    <s v="NAKİT"/>
    <n v="1"/>
    <n v="170"/>
    <n v="0"/>
    <n v="0"/>
    <m/>
    <m/>
    <m/>
    <m/>
    <n v="170"/>
    <n v="0"/>
    <n v="70204.612167016108"/>
  </r>
  <r>
    <d v="2026-03-14T00:00:00"/>
    <x v="4"/>
    <s v="KARABİBER ÇEKİLMİŞ"/>
    <m/>
    <x v="5"/>
    <s v="ST00000001613"/>
    <s v="SATIŞ"/>
    <s v="POS"/>
    <n v="0.15538461538461537"/>
    <n v="650"/>
    <n v="100.99999999999999"/>
    <n v="0"/>
    <m/>
    <m/>
    <m/>
    <m/>
    <n v="0"/>
    <n v="0"/>
    <n v="70204.612167016108"/>
  </r>
  <r>
    <d v="2026-03-14T00:00:00"/>
    <x v="4"/>
    <s v="TOZ BİBER - TATLI"/>
    <m/>
    <x v="5"/>
    <s v="ST00000001613"/>
    <s v="SATIŞ"/>
    <s v="POS"/>
    <n v="0.23749999999999999"/>
    <n v="400"/>
    <n v="95"/>
    <n v="0"/>
    <m/>
    <m/>
    <m/>
    <m/>
    <n v="0"/>
    <n v="0"/>
    <n v="70204.612167016108"/>
  </r>
  <r>
    <d v="2026-03-14T00:00:00"/>
    <x v="4"/>
    <s v="TOZ BİBER - TATLI"/>
    <m/>
    <x v="5"/>
    <s v="ST00000001613"/>
    <s v="SATIŞ"/>
    <s v="POS"/>
    <n v="0.19"/>
    <n v="400"/>
    <n v="76"/>
    <n v="0"/>
    <m/>
    <m/>
    <m/>
    <m/>
    <n v="0"/>
    <n v="0"/>
    <n v="70204.612167016108"/>
  </r>
  <r>
    <d v="2026-03-14T00:00:00"/>
    <x v="4"/>
    <s v="HASEVLİK"/>
    <m/>
    <x v="5"/>
    <s v="ST00000001613"/>
    <s v="SATIŞ"/>
    <s v="POS"/>
    <n v="0.2688888888888889"/>
    <n v="450"/>
    <n v="121"/>
    <n v="0"/>
    <m/>
    <m/>
    <m/>
    <m/>
    <n v="0"/>
    <n v="0"/>
    <n v="70204.612167016108"/>
  </r>
  <r>
    <d v="2026-03-14T00:00:00"/>
    <x v="4"/>
    <s v="KEKİK LÜX"/>
    <m/>
    <x v="5"/>
    <s v="ST00000001613"/>
    <s v="SATIŞ"/>
    <s v="POS"/>
    <n v="8.1333333333333327E-2"/>
    <n v="750"/>
    <n v="60.999999999999993"/>
    <n v="0"/>
    <m/>
    <m/>
    <m/>
    <m/>
    <n v="0"/>
    <n v="0"/>
    <n v="70204.612167016108"/>
  </r>
  <r>
    <d v="2026-03-14T00:00:00"/>
    <x v="4"/>
    <s v="TÜDAB ACUR TURŞUSU"/>
    <m/>
    <x v="5"/>
    <s v="ST00000001613"/>
    <s v="SATIŞ"/>
    <s v="POS"/>
    <n v="1"/>
    <n v="350"/>
    <n v="350"/>
    <n v="0"/>
    <m/>
    <m/>
    <m/>
    <m/>
    <n v="0"/>
    <n v="0"/>
    <n v="70204.612167016108"/>
  </r>
  <r>
    <d v="2026-03-14T00:00:00"/>
    <x v="4"/>
    <s v="DOLMALIK SARI BİBER"/>
    <m/>
    <x v="1"/>
    <s v="ST00000001614"/>
    <s v="SATIŞ"/>
    <s v="NAKİT"/>
    <n v="1"/>
    <n v="230"/>
    <n v="0"/>
    <n v="0"/>
    <m/>
    <m/>
    <m/>
    <m/>
    <n v="230"/>
    <n v="0"/>
    <n v="70434.612167016108"/>
  </r>
  <r>
    <d v="2026-03-14T00:00:00"/>
    <x v="4"/>
    <s v="DOLMALIK KURU PATLICAN"/>
    <m/>
    <x v="1"/>
    <s v="ST00000001614"/>
    <s v="SATIŞ"/>
    <s v="NAKİT"/>
    <n v="1"/>
    <n v="250"/>
    <n v="0"/>
    <n v="0"/>
    <m/>
    <m/>
    <m/>
    <m/>
    <n v="250"/>
    <n v="0"/>
    <n v="70684.612167016108"/>
  </r>
  <r>
    <d v="2026-03-14T00:00:00"/>
    <x v="4"/>
    <s v="SUMAK"/>
    <m/>
    <x v="1"/>
    <s v="ST00000001615"/>
    <s v="SATIŞ"/>
    <s v="NAKİT"/>
    <n v="0.16"/>
    <n v="500"/>
    <n v="0"/>
    <n v="0"/>
    <m/>
    <m/>
    <m/>
    <m/>
    <n v="80"/>
    <n v="0"/>
    <n v="70764.612167016108"/>
  </r>
  <r>
    <d v="2026-03-14T00:00:00"/>
    <x v="4"/>
    <s v="SUSAM"/>
    <m/>
    <x v="5"/>
    <s v="ST00000001616"/>
    <s v="SATIŞ"/>
    <s v="POS"/>
    <n v="0.2"/>
    <n v="400"/>
    <n v="80"/>
    <n v="0"/>
    <m/>
    <m/>
    <m/>
    <m/>
    <n v="0"/>
    <n v="0"/>
    <n v="70764.612167016108"/>
  </r>
  <r>
    <d v="2026-03-14T00:00:00"/>
    <x v="4"/>
    <s v="MISIR PREMİUM MEDİUM HURMA"/>
    <m/>
    <x v="5"/>
    <s v="ST00000001616"/>
    <s v="SATIŞ"/>
    <s v="POS"/>
    <n v="0.44600000000000001"/>
    <n v="500"/>
    <n v="223"/>
    <n v="0"/>
    <m/>
    <m/>
    <m/>
    <m/>
    <n v="0"/>
    <n v="0"/>
    <n v="70764.612167016108"/>
  </r>
  <r>
    <d v="2026-03-14T00:00:00"/>
    <x v="4"/>
    <s v="TOMBUL KESE 500 GR SEBZELİ TARHANA"/>
    <m/>
    <x v="1"/>
    <s v="ST00000001617"/>
    <s v="SATIŞ"/>
    <s v="NAKİT"/>
    <n v="2"/>
    <n v="200"/>
    <n v="0"/>
    <n v="0"/>
    <m/>
    <m/>
    <m/>
    <m/>
    <n v="400"/>
    <n v="0"/>
    <n v="71164.612167016108"/>
  </r>
  <r>
    <d v="2026-03-14T00:00:00"/>
    <x v="4"/>
    <s v="CEVİZ KELEBEK (ŞİLİ)"/>
    <m/>
    <x v="1"/>
    <s v="ST00000001617"/>
    <s v="SATIŞ"/>
    <s v="NAKİT"/>
    <n v="0.504"/>
    <n v="750"/>
    <n v="0"/>
    <n v="0"/>
    <m/>
    <m/>
    <m/>
    <m/>
    <n v="378"/>
    <n v="0"/>
    <n v="71542.612167016108"/>
  </r>
  <r>
    <d v="2026-03-14T00:00:00"/>
    <x v="4"/>
    <s v="DOMATES SALÇASI"/>
    <m/>
    <x v="1"/>
    <s v="ST00000001618"/>
    <s v="SATIŞ"/>
    <s v="NAKİT"/>
    <n v="1"/>
    <n v="150"/>
    <n v="0"/>
    <n v="0"/>
    <m/>
    <m/>
    <m/>
    <m/>
    <n v="150"/>
    <n v="0"/>
    <n v="71692.612167016108"/>
  </r>
  <r>
    <d v="2026-03-14T00:00:00"/>
    <x v="4"/>
    <s v="ÜZÜM SİYAH KİLİS"/>
    <m/>
    <x v="5"/>
    <s v="ST00000001619"/>
    <s v="SATIŞ"/>
    <s v="POS"/>
    <n v="0.37137999999999999"/>
    <n v="650"/>
    <n v="241.39699999999999"/>
    <n v="0"/>
    <m/>
    <m/>
    <m/>
    <m/>
    <n v="0"/>
    <n v="0"/>
    <n v="71692.612167016108"/>
  </r>
  <r>
    <d v="2026-03-14T00:00:00"/>
    <x v="4"/>
    <s v="ÜZÜM SİYAH KİLİS"/>
    <m/>
    <x v="5"/>
    <s v="ST00000001619"/>
    <s v="SATIŞ"/>
    <s v="POS"/>
    <n v="0.24399999999999999"/>
    <n v="650"/>
    <n v="158.6"/>
    <n v="0"/>
    <m/>
    <m/>
    <m/>
    <m/>
    <n v="0"/>
    <n v="0"/>
    <n v="71692.612167016108"/>
  </r>
  <r>
    <d v="2026-03-14T00:00:00"/>
    <x v="4"/>
    <s v="MISIR PREMİUM MEDİUM HURMA"/>
    <m/>
    <x v="1"/>
    <s v="ST00000001620"/>
    <s v="SATIŞ"/>
    <s v="NAKİT"/>
    <n v="0.26"/>
    <n v="500"/>
    <n v="0"/>
    <n v="0"/>
    <m/>
    <m/>
    <m/>
    <m/>
    <n v="130"/>
    <n v="0"/>
    <n v="71822.612167016108"/>
  </r>
  <r>
    <d v="2026-03-14T00:00:00"/>
    <x v="4"/>
    <s v="MEBRUM HURMA  NO 1"/>
    <m/>
    <x v="1"/>
    <s v="ST00000001620"/>
    <s v="SATIŞ"/>
    <s v="NAKİT"/>
    <n v="0.12727272727272726"/>
    <n v="550"/>
    <n v="0"/>
    <n v="0"/>
    <m/>
    <m/>
    <m/>
    <m/>
    <n v="69.999999999999986"/>
    <n v="0"/>
    <n v="71892.612167016108"/>
  </r>
  <r>
    <d v="2026-03-14T00:00:00"/>
    <x v="4"/>
    <s v="MEBRUM HURMA  NO 1"/>
    <m/>
    <x v="5"/>
    <s v="ST00000001621"/>
    <s v="SATIŞ"/>
    <s v="POS"/>
    <n v="0.25454545454545452"/>
    <n v="550"/>
    <n v="139.99999999999997"/>
    <n v="0"/>
    <m/>
    <m/>
    <m/>
    <m/>
    <n v="0"/>
    <n v="0"/>
    <n v="71892.612167016108"/>
  </r>
  <r>
    <d v="2026-03-14T00:00:00"/>
    <x v="4"/>
    <s v="MEŞRUK HURMA NO 1"/>
    <m/>
    <x v="5"/>
    <s v="ST00000001621"/>
    <s v="SATIŞ"/>
    <s v="POS"/>
    <n v="0.2"/>
    <n v="350"/>
    <n v="70"/>
    <n v="0"/>
    <m/>
    <m/>
    <m/>
    <m/>
    <n v="0"/>
    <n v="0"/>
    <n v="71892.612167016108"/>
  </r>
  <r>
    <d v="2026-03-14T00:00:00"/>
    <x v="4"/>
    <s v="İRİ BEYAZ KABAK ÇEKİRDEĞİ - NEVŞEHİR"/>
    <m/>
    <x v="5"/>
    <s v="ST00000001621"/>
    <s v="SATIŞ"/>
    <s v="POS"/>
    <n v="0.27906976744186046"/>
    <n v="430"/>
    <n v="120"/>
    <n v="0"/>
    <m/>
    <m/>
    <m/>
    <m/>
    <n v="0"/>
    <n v="0"/>
    <n v="71892.612167016108"/>
  </r>
  <r>
    <d v="2026-03-14T00:00:00"/>
    <x v="4"/>
    <s v="ÖMRÜM VANİLYALI GOFRET 450 GR"/>
    <m/>
    <x v="5"/>
    <s v="ST00000001621"/>
    <s v="SATIŞ"/>
    <s v="POS"/>
    <n v="1"/>
    <n v="90"/>
    <n v="90"/>
    <n v="0"/>
    <m/>
    <m/>
    <m/>
    <m/>
    <n v="0"/>
    <n v="0"/>
    <n v="71892.612167016108"/>
  </r>
  <r>
    <d v="2026-03-14T00:00:00"/>
    <x v="4"/>
    <s v="MISIR PREMİUM MEDİUM HURMA"/>
    <m/>
    <x v="1"/>
    <s v="ST00000001622"/>
    <s v="SATIŞ"/>
    <s v="NAKİT"/>
    <n v="0.27"/>
    <n v="500"/>
    <n v="0"/>
    <n v="0"/>
    <m/>
    <m/>
    <m/>
    <m/>
    <n v="135"/>
    <n v="0"/>
    <n v="72027.612167016108"/>
  </r>
  <r>
    <d v="2026-03-14T00:00:00"/>
    <x v="4"/>
    <s v="İPEK BİBER"/>
    <m/>
    <x v="1"/>
    <s v="ST00000001622"/>
    <s v="SATIŞ"/>
    <s v="NAKİT"/>
    <n v="0.5"/>
    <n v="500"/>
    <n v="0"/>
    <n v="0"/>
    <m/>
    <m/>
    <m/>
    <m/>
    <n v="250"/>
    <n v="0"/>
    <n v="72277.612167016108"/>
  </r>
  <r>
    <d v="2026-03-14T00:00:00"/>
    <x v="4"/>
    <s v="SALÇA ACI (EV YAPIMI)"/>
    <m/>
    <x v="1"/>
    <s v="ST00000001622"/>
    <s v="SATIŞ"/>
    <s v="NAKİT"/>
    <n v="1"/>
    <n v="200"/>
    <n v="0"/>
    <n v="0"/>
    <m/>
    <m/>
    <m/>
    <m/>
    <n v="200"/>
    <n v="0"/>
    <n v="72477.612167016108"/>
  </r>
  <r>
    <d v="2026-03-14T00:00:00"/>
    <x v="4"/>
    <s v="KARANFİL"/>
    <m/>
    <x v="1"/>
    <s v="ST00000001622"/>
    <s v="SATIŞ"/>
    <s v="NAKİT"/>
    <n v="0.05"/>
    <n v="1200"/>
    <n v="0"/>
    <n v="0"/>
    <m/>
    <m/>
    <m/>
    <m/>
    <n v="60"/>
    <n v="0"/>
    <n v="72537.612167016108"/>
  </r>
  <r>
    <d v="2026-03-14T00:00:00"/>
    <x v="4"/>
    <s v="EL-RUHA ÇAY (AÇIK)"/>
    <m/>
    <x v="1"/>
    <s v="ST00000001622"/>
    <s v="SATIŞ"/>
    <s v="NAKİT"/>
    <n v="0.25"/>
    <n v="600"/>
    <n v="0"/>
    <n v="0"/>
    <m/>
    <m/>
    <m/>
    <m/>
    <n v="150"/>
    <n v="0"/>
    <n v="72687.612167016108"/>
  </r>
  <r>
    <d v="2026-03-14T00:00:00"/>
    <x v="4"/>
    <s v="AÇIK KAYISI İRİ (SARI)"/>
    <m/>
    <x v="5"/>
    <s v="ST00000001623"/>
    <s v="SATIŞ"/>
    <s v="POS"/>
    <n v="0.2"/>
    <n v="690"/>
    <n v="138"/>
    <n v="0"/>
    <m/>
    <m/>
    <m/>
    <m/>
    <n v="0"/>
    <n v="0"/>
    <n v="72687.612167016108"/>
  </r>
  <r>
    <d v="2026-03-14T00:00:00"/>
    <x v="4"/>
    <s v="MEBRUM HURMA  NO 1"/>
    <m/>
    <x v="5"/>
    <s v="ST00000001623"/>
    <s v="SATIŞ"/>
    <s v="POS"/>
    <n v="0.5"/>
    <n v="550"/>
    <n v="275"/>
    <n v="0"/>
    <m/>
    <m/>
    <m/>
    <m/>
    <n v="0"/>
    <n v="0"/>
    <n v="72687.612167016108"/>
  </r>
  <r>
    <d v="2026-03-14T00:00:00"/>
    <x v="4"/>
    <s v="MISIR PREMİUM MEDİUM HURMA"/>
    <m/>
    <x v="5"/>
    <s v="ST00000001623"/>
    <s v="SATIŞ"/>
    <s v="POS"/>
    <n v="0.5"/>
    <n v="500"/>
    <n v="250"/>
    <n v="0"/>
    <m/>
    <m/>
    <m/>
    <m/>
    <n v="0"/>
    <n v="0"/>
    <n v="72687.612167016108"/>
  </r>
  <r>
    <d v="2026-03-14T00:00:00"/>
    <x v="4"/>
    <s v="DOLMALIK KURU PATLICAN"/>
    <m/>
    <x v="1"/>
    <s v="ST00000001624"/>
    <s v="SATIŞ"/>
    <s v="NAKİT"/>
    <n v="1"/>
    <n v="250"/>
    <n v="0"/>
    <n v="0"/>
    <m/>
    <m/>
    <m/>
    <m/>
    <n v="250"/>
    <n v="0"/>
    <n v="72937.612167016108"/>
  </r>
  <r>
    <d v="2026-03-14T00:00:00"/>
    <x v="4"/>
    <s v="KÖFTE BAHARATI (YEDİTÜRLÜ)"/>
    <m/>
    <x v="5"/>
    <s v="ST00000001625"/>
    <s v="SATIŞ"/>
    <s v="POS"/>
    <n v="8.5365853658536592E-2"/>
    <n v="410"/>
    <n v="35"/>
    <n v="0"/>
    <m/>
    <m/>
    <m/>
    <m/>
    <n v="0"/>
    <n v="0"/>
    <n v="72937.612167016108"/>
  </r>
  <r>
    <d v="2026-03-14T00:00:00"/>
    <x v="4"/>
    <s v="KARABİBER ÇEKİLMİŞ"/>
    <m/>
    <x v="5"/>
    <s v="ST00000001625"/>
    <s v="SATIŞ"/>
    <s v="POS"/>
    <n v="9.2307692307692313E-2"/>
    <n v="650"/>
    <n v="60"/>
    <n v="0"/>
    <m/>
    <m/>
    <m/>
    <m/>
    <n v="0"/>
    <n v="0"/>
    <n v="72937.612167016108"/>
  </r>
  <r>
    <d v="2026-03-14T00:00:00"/>
    <x v="4"/>
    <s v="İPEK BİBER"/>
    <m/>
    <x v="5"/>
    <s v="ST00000001625"/>
    <s v="SATIŞ"/>
    <s v="POS"/>
    <n v="0.1"/>
    <n v="500"/>
    <n v="50"/>
    <n v="0"/>
    <m/>
    <m/>
    <m/>
    <m/>
    <n v="0"/>
    <n v="0"/>
    <n v="72937.612167016108"/>
  </r>
  <r>
    <d v="2026-03-14T00:00:00"/>
    <x v="4"/>
    <s v="TÜRK KAHVESİ"/>
    <m/>
    <x v="1"/>
    <s v="ST00000001626"/>
    <s v="SATIŞ"/>
    <s v="NAKİT"/>
    <n v="0.1"/>
    <n v="65"/>
    <n v="0"/>
    <n v="0"/>
    <m/>
    <m/>
    <m/>
    <m/>
    <n v="6.5"/>
    <n v="0"/>
    <n v="72944.112167016108"/>
  </r>
  <r>
    <d v="2026-03-14T00:00:00"/>
    <x v="4"/>
    <s v="GÜNBAK 3Ü1 ARADA SADE KUTU 40 ADET"/>
    <m/>
    <x v="1"/>
    <s v="ST00000001626"/>
    <s v="SATIŞ"/>
    <s v="NAKİT"/>
    <n v="1"/>
    <n v="10"/>
    <n v="0"/>
    <n v="0"/>
    <m/>
    <m/>
    <m/>
    <m/>
    <n v="10"/>
    <n v="0"/>
    <n v="72954.112167016108"/>
  </r>
  <r>
    <d v="2026-03-14T00:00:00"/>
    <x v="7"/>
    <m/>
    <m/>
    <x v="16"/>
    <m/>
    <s v="SELÇUK GIDA - MMT KUVEYT GÖNDERİLEN"/>
    <s v="NAKİT"/>
    <n v="1"/>
    <n v="2350"/>
    <n v="2350"/>
    <n v="0"/>
    <m/>
    <m/>
    <m/>
    <m/>
    <n v="0"/>
    <n v="2350"/>
    <n v="70604.112167016108"/>
  </r>
  <r>
    <d v="2026-03-14T00:00:00"/>
    <x v="11"/>
    <m/>
    <m/>
    <x v="13"/>
    <m/>
    <s v="MÜMİNE ÇELİKEL - GÜLO KUVEYT GELEN"/>
    <s v="NAKİT"/>
    <n v="1"/>
    <n v="1260"/>
    <n v="0"/>
    <n v="1260"/>
    <m/>
    <m/>
    <m/>
    <m/>
    <n v="1260"/>
    <n v="0"/>
    <n v="71864.112167016108"/>
  </r>
  <r>
    <d v="2026-03-15T00:00:00"/>
    <x v="4"/>
    <s v="KETEN TOHUMU"/>
    <m/>
    <x v="1"/>
    <s v="ST00000001627"/>
    <s v="SATIŞ"/>
    <s v="NAKİT"/>
    <n v="0.14285714285714285"/>
    <n v="140"/>
    <n v="0"/>
    <n v="0"/>
    <m/>
    <m/>
    <m/>
    <m/>
    <n v="20"/>
    <n v="0"/>
    <n v="71884.112167016108"/>
  </r>
  <r>
    <d v="2026-03-15T00:00:00"/>
    <x v="4"/>
    <s v="TOZ BİBER - TATLI"/>
    <m/>
    <x v="1"/>
    <s v="ST00000001628"/>
    <s v="SATIŞ"/>
    <s v="NAKİT"/>
    <n v="1"/>
    <n v="400"/>
    <n v="0"/>
    <n v="0"/>
    <m/>
    <m/>
    <m/>
    <m/>
    <n v="400"/>
    <n v="0"/>
    <n v="72284.112167016108"/>
  </r>
  <r>
    <d v="2026-03-15T00:00:00"/>
    <x v="4"/>
    <s v="İPEK BİBER"/>
    <m/>
    <x v="1"/>
    <s v="ST00000001628"/>
    <s v="SATIŞ"/>
    <s v="NAKİT"/>
    <n v="0.5"/>
    <n v="500"/>
    <n v="0"/>
    <n v="0"/>
    <m/>
    <m/>
    <m/>
    <m/>
    <n v="250"/>
    <n v="0"/>
    <n v="72534.112167016108"/>
  </r>
  <r>
    <d v="2026-03-15T00:00:00"/>
    <x v="4"/>
    <s v="LİMONTUZU PARCA"/>
    <m/>
    <x v="1"/>
    <s v="ST00000001628"/>
    <s v="SATIŞ"/>
    <s v="NAKİT"/>
    <n v="0.27777777777777779"/>
    <n v="180"/>
    <n v="0"/>
    <n v="0"/>
    <m/>
    <m/>
    <m/>
    <m/>
    <n v="50"/>
    <n v="0"/>
    <n v="72584.112167016108"/>
  </r>
  <r>
    <d v="2026-03-15T00:00:00"/>
    <x v="4"/>
    <s v="LOBAS SAF NAR EKŞİSİ 1 KG"/>
    <m/>
    <x v="1"/>
    <s v="ST00000001628"/>
    <s v="SATIŞ"/>
    <s v="NAKİT"/>
    <n v="1"/>
    <n v="300"/>
    <n v="0"/>
    <n v="0"/>
    <m/>
    <m/>
    <m/>
    <m/>
    <n v="300"/>
    <n v="0"/>
    <n v="72884.112167016108"/>
  </r>
  <r>
    <d v="2026-03-15T00:00:00"/>
    <x v="4"/>
    <s v="TÜDAB KARIŞIK TURŞU"/>
    <m/>
    <x v="5"/>
    <s v="ST00000001629"/>
    <s v="SATIŞ"/>
    <s v="POS"/>
    <n v="1"/>
    <n v="400"/>
    <n v="400"/>
    <n v="0"/>
    <m/>
    <m/>
    <m/>
    <m/>
    <n v="0"/>
    <n v="0"/>
    <n v="72884.112167016108"/>
  </r>
  <r>
    <d v="2026-03-15T00:00:00"/>
    <x v="4"/>
    <s v="NANE İRİ"/>
    <m/>
    <x v="5"/>
    <s v="ST00000001629"/>
    <s v="SATIŞ"/>
    <s v="POS"/>
    <n v="0.05"/>
    <n v="400"/>
    <n v="20"/>
    <n v="0"/>
    <m/>
    <m/>
    <m/>
    <m/>
    <n v="0"/>
    <n v="0"/>
    <n v="72884.112167016108"/>
  </r>
  <r>
    <d v="2026-03-15T00:00:00"/>
    <x v="4"/>
    <s v="DOLMALIK SARI BİBER"/>
    <m/>
    <x v="5"/>
    <s v="ST00000001629"/>
    <s v="SATIŞ"/>
    <s v="POS"/>
    <n v="1"/>
    <n v="255"/>
    <n v="255"/>
    <n v="0"/>
    <m/>
    <m/>
    <m/>
    <m/>
    <n v="0"/>
    <n v="0"/>
    <n v="72884.112167016108"/>
  </r>
  <r>
    <d v="2026-03-15T00:00:00"/>
    <x v="4"/>
    <s v="SALÇA TATLI (EV YAPIMI)"/>
    <m/>
    <x v="5"/>
    <s v="ST00000001629"/>
    <s v="SATIŞ"/>
    <s v="POS"/>
    <n v="0.5"/>
    <n v="200"/>
    <n v="100"/>
    <n v="0"/>
    <m/>
    <m/>
    <m/>
    <m/>
    <n v="0"/>
    <n v="0"/>
    <n v="72884.112167016108"/>
  </r>
  <r>
    <d v="2026-03-15T00:00:00"/>
    <x v="4"/>
    <s v="DOMATES SALÇASI"/>
    <m/>
    <x v="5"/>
    <s v="ST00000001629"/>
    <s v="SATIŞ"/>
    <s v="POS"/>
    <n v="0.5"/>
    <n v="150"/>
    <n v="75"/>
    <n v="0"/>
    <m/>
    <m/>
    <m/>
    <m/>
    <n v="0"/>
    <n v="0"/>
    <n v="72884.112167016108"/>
  </r>
  <r>
    <d v="2026-03-15T00:00:00"/>
    <x v="4"/>
    <s v="SALÇA ACI (EV YAPIMI)"/>
    <m/>
    <x v="1"/>
    <s v="ST00000001630"/>
    <s v="SATIŞ"/>
    <s v="NAKİT"/>
    <n v="1"/>
    <n v="200"/>
    <n v="0"/>
    <n v="0"/>
    <m/>
    <m/>
    <m/>
    <m/>
    <n v="200"/>
    <n v="0"/>
    <n v="73084.112167016108"/>
  </r>
  <r>
    <d v="2026-03-15T00:00:00"/>
    <x v="4"/>
    <s v="YENİ MAHSÜL PAPATYA"/>
    <m/>
    <x v="1"/>
    <s v="ST00000001630"/>
    <s v="SATIŞ"/>
    <s v="NAKİT"/>
    <n v="0.05"/>
    <n v="1800"/>
    <n v="0"/>
    <n v="0"/>
    <m/>
    <m/>
    <m/>
    <m/>
    <n v="90"/>
    <n v="0"/>
    <n v="73174.112167016108"/>
  </r>
  <r>
    <d v="2026-03-15T00:00:00"/>
    <x v="4"/>
    <s v="MISIR PREMİUM MEDİUM HURMA"/>
    <m/>
    <x v="1"/>
    <s v="ST00000001630"/>
    <s v="SATIŞ"/>
    <s v="NAKİT"/>
    <n v="0.4"/>
    <n v="500"/>
    <n v="0"/>
    <n v="0"/>
    <m/>
    <m/>
    <m/>
    <m/>
    <n v="200"/>
    <n v="0"/>
    <n v="73374.112167016108"/>
  </r>
  <r>
    <d v="2026-03-15T00:00:00"/>
    <x v="4"/>
    <s v="SUSAM KIRMIZI"/>
    <m/>
    <x v="1"/>
    <s v="ST00000001630"/>
    <s v="SATIŞ"/>
    <s v="NAKİT"/>
    <n v="0.1"/>
    <n v="400"/>
    <n v="0"/>
    <n v="0"/>
    <m/>
    <m/>
    <m/>
    <m/>
    <n v="40"/>
    <n v="0"/>
    <n v="73414.112167016108"/>
  </r>
  <r>
    <d v="2026-03-15T00:00:00"/>
    <x v="4"/>
    <s v="TOZ BİBER - TATLI"/>
    <m/>
    <x v="1"/>
    <s v="ST00000001631"/>
    <s v="SATIŞ"/>
    <s v="NAKİT"/>
    <n v="0.17249999999999999"/>
    <n v="400"/>
    <n v="0"/>
    <n v="0"/>
    <m/>
    <m/>
    <m/>
    <m/>
    <n v="69"/>
    <n v="0"/>
    <n v="73483.112167016108"/>
  </r>
  <r>
    <d v="2026-03-15T00:00:00"/>
    <x v="4"/>
    <s v="KİMYON ÇEKİLMİŞ"/>
    <m/>
    <x v="1"/>
    <s v="ST00000001631"/>
    <s v="SATIŞ"/>
    <s v="NAKİT"/>
    <n v="0.1275"/>
    <n v="400"/>
    <n v="0"/>
    <n v="0"/>
    <m/>
    <m/>
    <m/>
    <m/>
    <n v="51"/>
    <n v="0"/>
    <n v="73534.112167016108"/>
  </r>
  <r>
    <d v="2026-03-15T00:00:00"/>
    <x v="4"/>
    <s v="DOLMALIK KURU PATLICAN"/>
    <m/>
    <x v="5"/>
    <s v="ST00000001632"/>
    <s v="SATIŞ"/>
    <s v="POS"/>
    <n v="1"/>
    <n v="250"/>
    <n v="250"/>
    <n v="0"/>
    <m/>
    <m/>
    <m/>
    <m/>
    <n v="0"/>
    <n v="0"/>
    <n v="73534.112167016108"/>
  </r>
  <r>
    <d v="2026-03-15T00:00:00"/>
    <x v="4"/>
    <s v="DOLMALIK SARI BİBER"/>
    <m/>
    <x v="5"/>
    <s v="ST00000001632"/>
    <s v="SATIŞ"/>
    <s v="POS"/>
    <n v="1"/>
    <n v="230"/>
    <n v="230"/>
    <n v="0"/>
    <m/>
    <m/>
    <m/>
    <m/>
    <n v="0"/>
    <n v="0"/>
    <n v="73534.112167016108"/>
  </r>
  <r>
    <d v="2026-03-15T00:00:00"/>
    <x v="4"/>
    <s v="BİOBLAS ARGAN SAÇ BAKIM YAĞI 100 ML"/>
    <m/>
    <x v="5"/>
    <s v="ST00000001632"/>
    <s v="SATIŞ"/>
    <s v="POS"/>
    <n v="1"/>
    <n v="220"/>
    <n v="220"/>
    <n v="0"/>
    <m/>
    <m/>
    <m/>
    <m/>
    <n v="0"/>
    <n v="0"/>
    <n v="73534.112167016108"/>
  </r>
  <r>
    <d v="2026-03-15T00:00:00"/>
    <x v="4"/>
    <s v="SUMAK"/>
    <m/>
    <x v="5"/>
    <s v="ST00000001633"/>
    <s v="SATIŞ"/>
    <s v="POS"/>
    <n v="0.222"/>
    <n v="500"/>
    <n v="111"/>
    <n v="0"/>
    <m/>
    <m/>
    <m/>
    <m/>
    <n v="0"/>
    <n v="0"/>
    <n v="73534.112167016108"/>
  </r>
  <r>
    <d v="2026-03-15T00:00:00"/>
    <x v="4"/>
    <s v="İSOT"/>
    <m/>
    <x v="5"/>
    <s v="ST00000001633"/>
    <s v="SATIŞ"/>
    <s v="POS"/>
    <n v="0.21"/>
    <n v="400"/>
    <n v="84"/>
    <n v="0"/>
    <m/>
    <m/>
    <m/>
    <m/>
    <n v="0"/>
    <n v="0"/>
    <n v="73534.112167016108"/>
  </r>
  <r>
    <d v="2026-03-15T00:00:00"/>
    <x v="4"/>
    <s v="KİMYON ÇEKİLMİŞ"/>
    <m/>
    <x v="5"/>
    <s v="ST00000001633"/>
    <s v="SATIŞ"/>
    <s v="POS"/>
    <n v="0.05"/>
    <n v="400"/>
    <n v="20"/>
    <n v="0"/>
    <m/>
    <m/>
    <m/>
    <m/>
    <n v="0"/>
    <n v="0"/>
    <n v="73534.112167016108"/>
  </r>
  <r>
    <d v="2026-03-15T00:00:00"/>
    <x v="4"/>
    <s v="SALÇA TATLI (EV YAPIMI)"/>
    <m/>
    <x v="5"/>
    <s v="ST00000001633"/>
    <s v="SATIŞ"/>
    <s v="POS"/>
    <n v="0.5"/>
    <n v="200"/>
    <n v="100"/>
    <n v="0"/>
    <m/>
    <m/>
    <m/>
    <m/>
    <n v="0"/>
    <n v="0"/>
    <n v="73534.112167016108"/>
  </r>
  <r>
    <d v="2026-03-15T00:00:00"/>
    <x v="4"/>
    <s v="İCOLLAGEN KOLAJEN VE PROBİYOTİK 60 TABLET"/>
    <m/>
    <x v="5"/>
    <s v="ST00000001633"/>
    <s v="SATIŞ"/>
    <s v="POS"/>
    <n v="1"/>
    <n v="280"/>
    <n v="280"/>
    <n v="0"/>
    <m/>
    <m/>
    <m/>
    <m/>
    <n v="0"/>
    <n v="0"/>
    <n v="73534.112167016108"/>
  </r>
  <r>
    <d v="2026-03-15T00:00:00"/>
    <x v="4"/>
    <s v="DOLMALIK KURU PATLICAN"/>
    <m/>
    <x v="1"/>
    <s v="ST00000001634"/>
    <s v="SATIŞ"/>
    <s v="NAKİT"/>
    <n v="1"/>
    <n v="250"/>
    <n v="0"/>
    <n v="0"/>
    <m/>
    <m/>
    <m/>
    <m/>
    <n v="250"/>
    <n v="0"/>
    <n v="73784.112167016108"/>
  </r>
  <r>
    <d v="2026-03-15T00:00:00"/>
    <x v="4"/>
    <s v="NATTE LEZZET SOSU 500 GR (NAR EKŞİSİ) "/>
    <m/>
    <x v="1"/>
    <s v="ST00000001634"/>
    <s v="SATIŞ"/>
    <s v="NAKİT"/>
    <n v="1"/>
    <n v="60"/>
    <n v="0"/>
    <n v="0"/>
    <m/>
    <m/>
    <m/>
    <m/>
    <n v="60"/>
    <n v="0"/>
    <n v="73844.112167016108"/>
  </r>
  <r>
    <d v="2026-03-15T00:00:00"/>
    <x v="4"/>
    <s v="NANE İRİ"/>
    <m/>
    <x v="1"/>
    <s v="ST00000001634"/>
    <s v="SATIŞ"/>
    <s v="NAKİT"/>
    <n v="3.6000000000000004E-2"/>
    <n v="400"/>
    <n v="0"/>
    <n v="0"/>
    <m/>
    <m/>
    <m/>
    <m/>
    <n v="14.400000000000002"/>
    <n v="0"/>
    <n v="73858.512167016102"/>
  </r>
  <r>
    <d v="2026-03-15T00:00:00"/>
    <x v="4"/>
    <s v="EVLİK BİBER"/>
    <m/>
    <x v="1"/>
    <s v="ST00000001634"/>
    <s v="SATIŞ"/>
    <s v="NAKİT"/>
    <n v="0.08"/>
    <n v="400"/>
    <n v="0"/>
    <n v="0"/>
    <m/>
    <m/>
    <m/>
    <m/>
    <n v="32"/>
    <n v="0"/>
    <n v="73890.512167016102"/>
  </r>
  <r>
    <d v="2026-03-15T00:00:00"/>
    <x v="4"/>
    <s v="DOLMALIK SARI BİBER"/>
    <m/>
    <x v="5"/>
    <s v="ST00000001635"/>
    <s v="SATIŞ"/>
    <s v="POS"/>
    <n v="0.25"/>
    <n v="230"/>
    <n v="57.5"/>
    <n v="0"/>
    <m/>
    <m/>
    <m/>
    <m/>
    <n v="0"/>
    <n v="0"/>
    <n v="73890.512167016102"/>
  </r>
  <r>
    <d v="2026-03-15T00:00:00"/>
    <x v="4"/>
    <s v="DOLMALIK KURU TATLI KIRMIZI BİBER"/>
    <m/>
    <x v="5"/>
    <s v="ST00000001635"/>
    <s v="SATIŞ"/>
    <s v="POS"/>
    <n v="0.25"/>
    <n v="230"/>
    <n v="57.5"/>
    <n v="0"/>
    <m/>
    <m/>
    <m/>
    <m/>
    <n v="0"/>
    <n v="0"/>
    <n v="73890.512167016102"/>
  </r>
  <r>
    <d v="2026-03-15T00:00:00"/>
    <x v="4"/>
    <s v="DOLMALIK KURU PATLICAN"/>
    <m/>
    <x v="5"/>
    <s v="ST00000001635"/>
    <s v="SATIŞ"/>
    <s v="POS"/>
    <n v="0.5"/>
    <n v="250"/>
    <n v="125"/>
    <n v="0"/>
    <m/>
    <m/>
    <m/>
    <m/>
    <n v="0"/>
    <n v="0"/>
    <n v="73890.512167016102"/>
  </r>
  <r>
    <d v="2026-03-15T00:00:00"/>
    <x v="4"/>
    <s v="RUŞUR TAŞI"/>
    <m/>
    <x v="5"/>
    <s v="ST00000001635"/>
    <s v="SATIŞ"/>
    <s v="POS"/>
    <n v="1"/>
    <n v="20"/>
    <n v="20"/>
    <n v="0"/>
    <m/>
    <m/>
    <m/>
    <m/>
    <n v="0"/>
    <n v="0"/>
    <n v="73890.512167016102"/>
  </r>
  <r>
    <d v="2026-03-15T00:00:00"/>
    <x v="4"/>
    <s v="SUMAK"/>
    <m/>
    <x v="1"/>
    <s v="ST00000001636"/>
    <s v="SATIŞ"/>
    <s v="NAKİT"/>
    <n v="0.154"/>
    <n v="500"/>
    <n v="0"/>
    <n v="0"/>
    <m/>
    <m/>
    <m/>
    <m/>
    <n v="77"/>
    <n v="0"/>
    <n v="73967.512167016102"/>
  </r>
  <r>
    <d v="2026-03-15T00:00:00"/>
    <x v="4"/>
    <s v="KİMYON ÇEKİLMİŞ"/>
    <m/>
    <x v="1"/>
    <s v="ST00000001636"/>
    <s v="SATIŞ"/>
    <s v="NAKİT"/>
    <n v="7.400000000000001E-2"/>
    <n v="400"/>
    <n v="0"/>
    <n v="0"/>
    <m/>
    <m/>
    <m/>
    <m/>
    <n v="29.600000000000005"/>
    <n v="0"/>
    <n v="73997.112167016108"/>
  </r>
  <r>
    <d v="2026-03-15T00:00:00"/>
    <x v="4"/>
    <s v="NANE İRİ"/>
    <m/>
    <x v="1"/>
    <s v="ST00000001636"/>
    <s v="SATIŞ"/>
    <s v="NAKİT"/>
    <n v="6.7500000000000004E-2"/>
    <n v="400"/>
    <n v="0"/>
    <n v="0"/>
    <m/>
    <m/>
    <m/>
    <m/>
    <n v="27"/>
    <n v="0"/>
    <n v="74024.112167016108"/>
  </r>
  <r>
    <d v="2026-03-15T00:00:00"/>
    <x v="4"/>
    <s v="TÜDAB TURŞU BİBER"/>
    <m/>
    <x v="5"/>
    <s v="ST00000001637"/>
    <s v="SATIŞ"/>
    <s v="POS"/>
    <n v="1"/>
    <n v="350"/>
    <n v="350"/>
    <n v="0"/>
    <m/>
    <m/>
    <m/>
    <m/>
    <n v="0"/>
    <n v="0"/>
    <n v="74024.112167016108"/>
  </r>
  <r>
    <d v="2026-03-15T00:00:00"/>
    <x v="4"/>
    <s v="SALÇA ACI (EV YAPIMI)"/>
    <m/>
    <x v="5"/>
    <s v="ST00000001637"/>
    <s v="SATIŞ"/>
    <s v="POS"/>
    <n v="1"/>
    <n v="200"/>
    <n v="200"/>
    <n v="0"/>
    <m/>
    <m/>
    <m/>
    <m/>
    <n v="0"/>
    <n v="0"/>
    <n v="74024.112167016108"/>
  </r>
  <r>
    <d v="2026-03-15T00:00:00"/>
    <x v="4"/>
    <s v="YENİBAHAR TOZ"/>
    <m/>
    <x v="1"/>
    <s v="ST00000001638"/>
    <s v="SATIŞ"/>
    <s v="NAKİT"/>
    <n v="8.9610389610389612E-2"/>
    <n v="770"/>
    <n v="0"/>
    <n v="0"/>
    <m/>
    <m/>
    <m/>
    <m/>
    <n v="69"/>
    <n v="0"/>
    <n v="74093.112167016108"/>
  </r>
  <r>
    <d v="2026-03-15T00:00:00"/>
    <x v="4"/>
    <s v="YENİBAHAR TOZ"/>
    <m/>
    <x v="5"/>
    <s v="ST00000001639"/>
    <s v="SATIŞ"/>
    <s v="POS"/>
    <n v="8.3116883116883117E-2"/>
    <n v="770"/>
    <n v="64"/>
    <n v="0"/>
    <m/>
    <m/>
    <m/>
    <m/>
    <n v="0"/>
    <n v="0"/>
    <n v="74093.112167016108"/>
  </r>
  <r>
    <d v="2026-03-15T00:00:00"/>
    <x v="4"/>
    <s v="SUSAM YAĞI 50 CC"/>
    <m/>
    <x v="1"/>
    <s v="ST00000001640"/>
    <s v="SATIŞ"/>
    <s v="NAKİT"/>
    <n v="1"/>
    <n v="100"/>
    <n v="0"/>
    <n v="0"/>
    <m/>
    <m/>
    <m/>
    <m/>
    <n v="100"/>
    <n v="0"/>
    <n v="74193.112167016108"/>
  </r>
  <r>
    <d v="2026-03-16T00:00:00"/>
    <x v="4"/>
    <s v="SALÇA TATLI (EV YAPIMI)"/>
    <m/>
    <x v="1"/>
    <s v="ST00000001641"/>
    <s v="SATIŞ"/>
    <s v="NAKİT"/>
    <n v="0.5"/>
    <n v="200"/>
    <n v="0"/>
    <n v="0"/>
    <m/>
    <m/>
    <m/>
    <m/>
    <n v="100"/>
    <n v="0"/>
    <n v="74293.112167016108"/>
  </r>
  <r>
    <d v="2026-03-16T00:00:00"/>
    <x v="4"/>
    <s v="MANİSA YAPRAK DÖKME"/>
    <m/>
    <x v="5"/>
    <s v="ST00000001642"/>
    <s v="SATIŞ"/>
    <s v="POS"/>
    <n v="0.58571428571428574"/>
    <n v="350"/>
    <n v="205"/>
    <n v="0"/>
    <m/>
    <m/>
    <m/>
    <m/>
    <n v="0"/>
    <n v="0"/>
    <n v="74293.112167016108"/>
  </r>
  <r>
    <d v="2026-03-16T00:00:00"/>
    <x v="4"/>
    <s v="TÜDAB KARIŞIK TURŞU"/>
    <m/>
    <x v="5"/>
    <s v="ST00000001643"/>
    <s v="SATIŞ"/>
    <s v="POS"/>
    <n v="1"/>
    <n v="400"/>
    <n v="400"/>
    <n v="0"/>
    <m/>
    <m/>
    <m/>
    <m/>
    <n v="0"/>
    <n v="0"/>
    <n v="74293.112167016108"/>
  </r>
  <r>
    <d v="2026-03-16T00:00:00"/>
    <x v="4"/>
    <s v="DOLMALIK KURU PATLICAN"/>
    <m/>
    <x v="1"/>
    <s v="ST00000001644"/>
    <s v="SATIŞ"/>
    <s v="NAKİT"/>
    <n v="1"/>
    <n v="250"/>
    <n v="0"/>
    <n v="0"/>
    <m/>
    <m/>
    <m/>
    <m/>
    <n v="250"/>
    <n v="0"/>
    <n v="74543.112167016108"/>
  </r>
  <r>
    <d v="2026-03-16T00:00:00"/>
    <x v="4"/>
    <s v="KABUKLU CEVİZ (YERLİ)"/>
    <m/>
    <x v="1"/>
    <s v="ST00000001645"/>
    <s v="SATIŞ"/>
    <s v="NAKİT"/>
    <n v="1"/>
    <n v="200"/>
    <n v="0"/>
    <n v="0"/>
    <m/>
    <m/>
    <m/>
    <m/>
    <n v="200"/>
    <n v="0"/>
    <n v="74743.112167016108"/>
  </r>
  <r>
    <d v="2026-03-16T00:00:00"/>
    <x v="4"/>
    <s v="İPEK BİBER"/>
    <m/>
    <x v="1"/>
    <s v="ST00000001646"/>
    <s v="SATIŞ"/>
    <s v="NAKİT"/>
    <n v="0.2"/>
    <n v="500"/>
    <n v="0"/>
    <n v="0"/>
    <m/>
    <m/>
    <m/>
    <m/>
    <n v="100"/>
    <n v="0"/>
    <n v="74843.112167016108"/>
  </r>
  <r>
    <d v="2026-03-16T00:00:00"/>
    <x v="4"/>
    <s v="PUDRA ŞEKERİ"/>
    <m/>
    <x v="11"/>
    <s v="ST00000001647"/>
    <s v="SATIŞ - TOPTAN - HANİFE DİVLEK"/>
    <s v="CARİ"/>
    <n v="5"/>
    <n v="65"/>
    <n v="325"/>
    <n v="0"/>
    <m/>
    <m/>
    <m/>
    <m/>
    <n v="0"/>
    <n v="0"/>
    <n v="74843.112167016108"/>
  </r>
  <r>
    <d v="2026-03-16T00:00:00"/>
    <x v="4"/>
    <s v="KARABİBER ÇEKİLMİŞ"/>
    <m/>
    <x v="11"/>
    <s v="ST00000001647"/>
    <s v="SATIŞ - TOPTAN - HANİFE DİVLEK"/>
    <s v="CARİ"/>
    <n v="0.25"/>
    <n v="490"/>
    <n v="122.5"/>
    <n v="0"/>
    <m/>
    <m/>
    <m/>
    <m/>
    <n v="0"/>
    <n v="0"/>
    <n v="74843.112167016108"/>
  </r>
  <r>
    <d v="2026-03-16T00:00:00"/>
    <x v="4"/>
    <s v="KİMYON ÇEKİLMİŞ"/>
    <m/>
    <x v="11"/>
    <s v="ST00000001647"/>
    <s v="SATIŞ - TOPTAN - HANİFE DİVLEK"/>
    <s v="CARİ"/>
    <n v="0.25"/>
    <n v="295"/>
    <n v="73.75"/>
    <n v="0"/>
    <m/>
    <m/>
    <m/>
    <m/>
    <n v="0"/>
    <n v="0"/>
    <n v="74843.112167016108"/>
  </r>
  <r>
    <d v="2026-03-16T00:00:00"/>
    <x v="4"/>
    <s v="MANİSA YAPRAK DÖKME"/>
    <m/>
    <x v="1"/>
    <s v="ST00000001648"/>
    <s v="SATIŞ"/>
    <s v="NAKİT"/>
    <n v="0.372"/>
    <n v="350"/>
    <n v="0"/>
    <n v="0"/>
    <m/>
    <m/>
    <m/>
    <m/>
    <n v="130.19999999999999"/>
    <n v="0"/>
    <n v="74973.312167016105"/>
  </r>
  <r>
    <d v="2026-03-16T00:00:00"/>
    <x v="4"/>
    <s v="MANİSA YAPRAK DÖKME"/>
    <m/>
    <x v="1"/>
    <s v="ST00000001648"/>
    <s v="SATIŞ"/>
    <s v="NAKİT"/>
    <n v="0.4"/>
    <n v="350"/>
    <n v="0"/>
    <n v="0"/>
    <m/>
    <m/>
    <m/>
    <m/>
    <n v="140"/>
    <n v="0"/>
    <n v="75113.312167016105"/>
  </r>
  <r>
    <d v="2026-03-16T00:00:00"/>
    <x v="4"/>
    <s v="DOLMALIK KURU PATLICAN"/>
    <m/>
    <x v="1"/>
    <s v="ST00000001648"/>
    <s v="SATIŞ"/>
    <s v="NAKİT"/>
    <n v="1"/>
    <n v="250"/>
    <n v="0"/>
    <n v="0"/>
    <m/>
    <m/>
    <m/>
    <m/>
    <n v="250"/>
    <n v="0"/>
    <n v="75363.312167016105"/>
  </r>
  <r>
    <d v="2026-03-16T00:00:00"/>
    <x v="4"/>
    <s v="DOLMALIK SARI BİBER"/>
    <m/>
    <x v="1"/>
    <s v="ST00000001648"/>
    <s v="SATIŞ"/>
    <s v="NAKİT"/>
    <n v="1"/>
    <n v="230"/>
    <n v="0"/>
    <n v="0"/>
    <m/>
    <m/>
    <m/>
    <m/>
    <n v="230"/>
    <n v="0"/>
    <n v="75593.312167016105"/>
  </r>
  <r>
    <d v="2026-03-16T00:00:00"/>
    <x v="4"/>
    <s v="LİMONTUZU PARCA"/>
    <m/>
    <x v="1"/>
    <s v="ST00000001648"/>
    <s v="SATIŞ"/>
    <s v="NAKİT"/>
    <n v="0.27777777777777779"/>
    <n v="180"/>
    <n v="0"/>
    <n v="0"/>
    <m/>
    <m/>
    <m/>
    <m/>
    <n v="50"/>
    <n v="0"/>
    <n v="75643.312167016105"/>
  </r>
  <r>
    <d v="2026-03-16T00:00:00"/>
    <x v="4"/>
    <s v="DOLMALIK KURU PATLICAN"/>
    <m/>
    <x v="5"/>
    <s v="ST00000001649"/>
    <s v="SATIŞ"/>
    <s v="POS"/>
    <n v="0.5"/>
    <n v="250"/>
    <n v="125"/>
    <n v="0"/>
    <m/>
    <m/>
    <m/>
    <m/>
    <n v="0"/>
    <n v="0"/>
    <n v="75643.312167016105"/>
  </r>
  <r>
    <d v="2026-03-16T00:00:00"/>
    <x v="4"/>
    <s v="DOLMALIK SARI BİBER"/>
    <m/>
    <x v="5"/>
    <s v="ST00000001649"/>
    <s v="SATIŞ"/>
    <s v="POS"/>
    <n v="0.5"/>
    <n v="230"/>
    <n v="115"/>
    <n v="0"/>
    <m/>
    <m/>
    <m/>
    <m/>
    <n v="0"/>
    <n v="0"/>
    <n v="75643.312167016105"/>
  </r>
  <r>
    <d v="2026-03-16T00:00:00"/>
    <x v="4"/>
    <s v="NANE İRİ"/>
    <m/>
    <x v="5"/>
    <s v="ST00000001649"/>
    <s v="SATIŞ"/>
    <s v="POS"/>
    <n v="7.0000000000000007E-2"/>
    <n v="400"/>
    <n v="28.000000000000004"/>
    <n v="0"/>
    <m/>
    <m/>
    <m/>
    <m/>
    <n v="0"/>
    <n v="0"/>
    <n v="75643.312167016105"/>
  </r>
  <r>
    <d v="2026-03-16T00:00:00"/>
    <x v="4"/>
    <s v="HAŞİROĞLU TARHANA CİPS"/>
    <m/>
    <x v="5"/>
    <s v="ST00000001649"/>
    <s v="SATIŞ"/>
    <s v="POS"/>
    <n v="1"/>
    <n v="290"/>
    <n v="290"/>
    <n v="0"/>
    <m/>
    <m/>
    <m/>
    <m/>
    <n v="0"/>
    <n v="0"/>
    <n v="75643.312167016105"/>
  </r>
  <r>
    <d v="2026-03-16T00:00:00"/>
    <x v="4"/>
    <s v="LEBLEBİ ŞEKER RENKLİ"/>
    <m/>
    <x v="5"/>
    <s v="ST00000001649"/>
    <s v="SATIŞ"/>
    <s v="POS"/>
    <n v="0.21739130434782608"/>
    <n v="230"/>
    <n v="50"/>
    <n v="0"/>
    <m/>
    <m/>
    <m/>
    <m/>
    <n v="0"/>
    <n v="0"/>
    <n v="75643.312167016105"/>
  </r>
  <r>
    <d v="2026-03-16T00:00:00"/>
    <x v="4"/>
    <s v="MANİSA YAPRAK DÖKME"/>
    <m/>
    <x v="5"/>
    <s v="ST00000001649"/>
    <s v="SATIŞ"/>
    <s v="POS"/>
    <n v="0.56285714285714283"/>
    <n v="350"/>
    <n v="197"/>
    <n v="0"/>
    <m/>
    <m/>
    <m/>
    <m/>
    <n v="0"/>
    <n v="0"/>
    <n v="75643.312167016105"/>
  </r>
  <r>
    <d v="2026-03-16T00:00:00"/>
    <x v="4"/>
    <s v="ZENCEFİL TOZ"/>
    <m/>
    <x v="1"/>
    <s v="ST00000001650"/>
    <s v="SATIŞ"/>
    <s v="NAKİT"/>
    <n v="6.25E-2"/>
    <n v="400"/>
    <n v="0"/>
    <n v="0"/>
    <m/>
    <m/>
    <m/>
    <m/>
    <n v="25"/>
    <n v="0"/>
    <n v="75668.312167016105"/>
  </r>
  <r>
    <d v="2026-03-16T00:00:00"/>
    <x v="4"/>
    <s v="YENİBAHAR TOZ"/>
    <m/>
    <x v="5"/>
    <s v="ST00000001651"/>
    <s v="SATIŞ"/>
    <s v="POS"/>
    <n v="7.5324675324675322E-2"/>
    <n v="770"/>
    <n v="58"/>
    <n v="0"/>
    <m/>
    <m/>
    <m/>
    <m/>
    <n v="0"/>
    <n v="0"/>
    <n v="75668.312167016105"/>
  </r>
  <r>
    <d v="2026-03-16T00:00:00"/>
    <x v="4"/>
    <s v="KİMYON ÇEKİLMİŞ"/>
    <m/>
    <x v="5"/>
    <s v="ST00000001651"/>
    <s v="SATIŞ"/>
    <s v="POS"/>
    <n v="0.115"/>
    <n v="400"/>
    <n v="46"/>
    <n v="0"/>
    <m/>
    <m/>
    <m/>
    <m/>
    <n v="0"/>
    <n v="0"/>
    <n v="75668.312167016105"/>
  </r>
  <r>
    <d v="2026-03-16T00:00:00"/>
    <x v="4"/>
    <s v="TOZ BİBER - ACI"/>
    <m/>
    <x v="5"/>
    <s v="ST00000001651"/>
    <s v="SATIŞ"/>
    <s v="POS"/>
    <n v="0.1525"/>
    <n v="400"/>
    <n v="61"/>
    <n v="0"/>
    <m/>
    <m/>
    <m/>
    <m/>
    <n v="0"/>
    <n v="0"/>
    <n v="75668.312167016105"/>
  </r>
  <r>
    <d v="2026-03-16T00:00:00"/>
    <x v="4"/>
    <s v="TÜDAB KARIŞIK TURŞU"/>
    <m/>
    <x v="1"/>
    <s v="ST00000001652"/>
    <s v="SATIŞ"/>
    <s v="NAKİT"/>
    <n v="1"/>
    <n v="400"/>
    <n v="0"/>
    <n v="0"/>
    <m/>
    <m/>
    <m/>
    <m/>
    <n v="400"/>
    <n v="0"/>
    <n v="76068.312167016105"/>
  </r>
  <r>
    <d v="2026-03-16T00:00:00"/>
    <x v="4"/>
    <s v="LEBLEBİ ŞEKER RENKLİ"/>
    <m/>
    <x v="1"/>
    <s v="ST00000001653"/>
    <s v="SATIŞ"/>
    <s v="NAKİT"/>
    <n v="0.32608695652173914"/>
    <n v="230"/>
    <n v="0"/>
    <n v="0"/>
    <m/>
    <m/>
    <m/>
    <m/>
    <n v="75"/>
    <n v="0"/>
    <n v="76143.312167016105"/>
  </r>
  <r>
    <d v="2026-03-16T00:00:00"/>
    <x v="4"/>
    <s v="ŞİFAVER KÜKÜRTLÜ HATAY SABUNU"/>
    <m/>
    <x v="5"/>
    <s v="ST00000001654"/>
    <s v="SATIŞ"/>
    <s v="POS"/>
    <n v="1"/>
    <n v="50"/>
    <n v="50"/>
    <n v="0"/>
    <m/>
    <m/>
    <m/>
    <m/>
    <n v="0"/>
    <n v="0"/>
    <n v="76143.312167016105"/>
  </r>
  <r>
    <d v="2026-03-16T00:00:00"/>
    <x v="4"/>
    <s v="ŞİFAVER BITTIM HATAY SABUNU"/>
    <m/>
    <x v="5"/>
    <s v="ST00000001654"/>
    <s v="SATIŞ"/>
    <s v="POS"/>
    <n v="1"/>
    <n v="50"/>
    <n v="50"/>
    <n v="0"/>
    <m/>
    <m/>
    <m/>
    <m/>
    <n v="0"/>
    <n v="0"/>
    <n v="76143.312167016105"/>
  </r>
  <r>
    <d v="2026-03-16T00:00:00"/>
    <x v="4"/>
    <s v="COSMECİT PİRİNÇ PROTEİNLİ &amp; BEYAZLATICI SABUN 120 GR"/>
    <m/>
    <x v="5"/>
    <s v="ST00000001654"/>
    <s v="SATIŞ"/>
    <s v="POS"/>
    <n v="1"/>
    <n v="120"/>
    <n v="120"/>
    <n v="0"/>
    <m/>
    <m/>
    <m/>
    <m/>
    <n v="0"/>
    <n v="0"/>
    <n v="76143.312167016105"/>
  </r>
  <r>
    <d v="2026-03-16T00:00:00"/>
    <x v="4"/>
    <s v="MATCHA DETOX ÇAYI"/>
    <m/>
    <x v="5"/>
    <s v="ST00000001655"/>
    <s v="SATIŞ"/>
    <s v="POS"/>
    <n v="1"/>
    <n v="190"/>
    <n v="190"/>
    <n v="0"/>
    <m/>
    <m/>
    <m/>
    <m/>
    <n v="0"/>
    <n v="0"/>
    <n v="76143.312167016105"/>
  </r>
  <r>
    <d v="2026-03-16T00:00:00"/>
    <x v="4"/>
    <s v="AÇIK KAYISI İRİ (SARI)"/>
    <m/>
    <x v="5"/>
    <s v="ST00000001656"/>
    <s v="SATIŞ"/>
    <s v="POS"/>
    <n v="0.36"/>
    <n v="650"/>
    <n v="234"/>
    <n v="0"/>
    <m/>
    <m/>
    <m/>
    <m/>
    <n v="0"/>
    <n v="0"/>
    <n v="76143.312167016105"/>
  </r>
  <r>
    <d v="2026-03-16T00:00:00"/>
    <x v="4"/>
    <s v="ACVE SARI"/>
    <m/>
    <x v="5"/>
    <s v="ST00000001656"/>
    <s v="SATIŞ"/>
    <s v="POS"/>
    <n v="0.5"/>
    <n v="400"/>
    <n v="200"/>
    <n v="0"/>
    <m/>
    <m/>
    <m/>
    <m/>
    <n v="0"/>
    <n v="0"/>
    <n v="76143.312167016105"/>
  </r>
  <r>
    <d v="2026-03-16T00:00:00"/>
    <x v="4"/>
    <s v="PATLAK MISIR"/>
    <m/>
    <x v="5"/>
    <s v="ST00000001656"/>
    <s v="SATIŞ"/>
    <s v="POS"/>
    <n v="1"/>
    <n v="60"/>
    <n v="60"/>
    <n v="0"/>
    <m/>
    <m/>
    <m/>
    <m/>
    <n v="0"/>
    <n v="0"/>
    <n v="76143.312167016105"/>
  </r>
  <r>
    <d v="2026-03-16T00:00:00"/>
    <x v="4"/>
    <s v="DENİZ VANİLYALI PİŞMANİYE"/>
    <m/>
    <x v="1"/>
    <s v="ST00000001656"/>
    <s v="SATIŞ"/>
    <s v="NAKİT"/>
    <n v="1"/>
    <n v="90"/>
    <n v="0"/>
    <n v="0"/>
    <m/>
    <m/>
    <m/>
    <m/>
    <n v="90"/>
    <n v="0"/>
    <n v="76233.312167016105"/>
  </r>
  <r>
    <d v="2026-03-16T00:00:00"/>
    <x v="4"/>
    <s v="TOZ BİBER - TATLI"/>
    <m/>
    <x v="1"/>
    <s v="ST00000001657"/>
    <s v="SATIŞ"/>
    <s v="NAKİT"/>
    <n v="0.25"/>
    <n v="400"/>
    <n v="0"/>
    <n v="0"/>
    <m/>
    <m/>
    <m/>
    <m/>
    <n v="100"/>
    <n v="0"/>
    <n v="76333.312167016105"/>
  </r>
  <r>
    <d v="2026-03-16T00:00:00"/>
    <x v="1"/>
    <m/>
    <s v="MUHASEBE GİDERLERİ"/>
    <x v="1"/>
    <m/>
    <s v="MUHASEBE GİDERİ"/>
    <s v="NAKİT"/>
    <n v="1"/>
    <n v="2000"/>
    <n v="0"/>
    <n v="0"/>
    <m/>
    <m/>
    <m/>
    <m/>
    <n v="0"/>
    <n v="2000"/>
    <n v="74333.312167016105"/>
  </r>
  <r>
    <d v="2026-03-16T00:00:00"/>
    <x v="7"/>
    <m/>
    <m/>
    <x v="3"/>
    <m/>
    <s v="YALÇINTAT BAHARAT - ÖDEME"/>
    <s v="NAKİT"/>
    <n v="1"/>
    <n v="20000"/>
    <n v="20000"/>
    <n v="0"/>
    <m/>
    <m/>
    <m/>
    <m/>
    <n v="0"/>
    <n v="20000"/>
    <n v="54333.312167016105"/>
  </r>
  <r>
    <d v="2026-03-17T00:00:00"/>
    <x v="4"/>
    <s v="BAMYA TOHUMU"/>
    <m/>
    <x v="5"/>
    <s v="ST00000001658"/>
    <s v="SATIŞ"/>
    <s v="POS"/>
    <n v="0.1"/>
    <n v="900"/>
    <n v="90"/>
    <n v="0"/>
    <m/>
    <m/>
    <m/>
    <m/>
    <n v="0"/>
    <n v="0"/>
    <n v="54333.312167016105"/>
  </r>
  <r>
    <d v="2026-03-17T00:00:00"/>
    <x v="4"/>
    <s v="KEKİK LÜX"/>
    <m/>
    <x v="1"/>
    <s v="ST00000001659"/>
    <s v="SATIŞ"/>
    <s v="NAKİT"/>
    <n v="4.8000000000000001E-2"/>
    <n v="750"/>
    <n v="0"/>
    <n v="0"/>
    <m/>
    <m/>
    <m/>
    <m/>
    <n v="36"/>
    <n v="0"/>
    <n v="54369.312167016105"/>
  </r>
  <r>
    <d v="2026-03-17T00:00:00"/>
    <x v="4"/>
    <s v="DOLMALIK KURU PATLICAN"/>
    <m/>
    <x v="5"/>
    <s v="ST00000001660"/>
    <s v="SATIŞ"/>
    <s v="POS"/>
    <n v="1"/>
    <n v="250"/>
    <n v="250"/>
    <n v="0"/>
    <m/>
    <m/>
    <m/>
    <m/>
    <n v="0"/>
    <n v="0"/>
    <n v="54369.312167016105"/>
  </r>
  <r>
    <d v="2026-03-17T00:00:00"/>
    <x v="4"/>
    <s v="DOLMALIK SARI BİBER"/>
    <m/>
    <x v="5"/>
    <s v="ST00000001660"/>
    <s v="SATIŞ"/>
    <s v="POS"/>
    <n v="1"/>
    <n v="230"/>
    <n v="230"/>
    <n v="0"/>
    <m/>
    <m/>
    <m/>
    <m/>
    <n v="0"/>
    <n v="0"/>
    <n v="54369.312167016105"/>
  </r>
  <r>
    <d v="2026-03-17T00:00:00"/>
    <x v="4"/>
    <s v="MANİSA YAPRAK DÖKME"/>
    <m/>
    <x v="1"/>
    <s v="ST00000001661"/>
    <s v="SATIŞ"/>
    <s v="NAKİT"/>
    <n v="0.56285714285714283"/>
    <n v="350"/>
    <n v="0"/>
    <n v="0"/>
    <m/>
    <m/>
    <m/>
    <m/>
    <n v="197"/>
    <n v="0"/>
    <n v="54566.312167016105"/>
  </r>
  <r>
    <d v="2026-03-17T00:00:00"/>
    <x v="4"/>
    <s v="DOLMALIK KURU ACI BİBER"/>
    <m/>
    <x v="1"/>
    <s v="ST00000001662"/>
    <s v="SATIŞ"/>
    <s v="NAKİT"/>
    <n v="0.5"/>
    <n v="230"/>
    <n v="0"/>
    <n v="0"/>
    <m/>
    <m/>
    <m/>
    <m/>
    <n v="115"/>
    <n v="0"/>
    <n v="54681.312167016105"/>
  </r>
  <r>
    <d v="2026-03-17T00:00:00"/>
    <x v="4"/>
    <s v="BUĞDAY NİŞASTASI"/>
    <m/>
    <x v="5"/>
    <s v="ST00000001663"/>
    <s v="SATIŞ"/>
    <s v="POS"/>
    <n v="0.5"/>
    <n v="120"/>
    <n v="60"/>
    <n v="0"/>
    <m/>
    <m/>
    <m/>
    <m/>
    <n v="0"/>
    <n v="0"/>
    <n v="54681.312167016105"/>
  </r>
  <r>
    <d v="2026-03-17T00:00:00"/>
    <x v="4"/>
    <s v="GENÇAY ELMA SİRKESİ 500 CC"/>
    <m/>
    <x v="1"/>
    <s v="ST00000001664"/>
    <s v="SATIŞ"/>
    <s v="NAKİT"/>
    <n v="1"/>
    <n v="140"/>
    <n v="0"/>
    <n v="0"/>
    <m/>
    <m/>
    <m/>
    <m/>
    <n v="140"/>
    <n v="0"/>
    <n v="54821.312167016105"/>
  </r>
  <r>
    <d v="2026-03-17T00:00:00"/>
    <x v="4"/>
    <s v="TABİB LOKMAN ALABALIK YAĞI 100 ML"/>
    <m/>
    <x v="1"/>
    <s v="ST00000001664"/>
    <s v="SATIŞ"/>
    <s v="NAKİT"/>
    <n v="1"/>
    <n v="250"/>
    <n v="0"/>
    <n v="0"/>
    <m/>
    <m/>
    <m/>
    <m/>
    <n v="250"/>
    <n v="0"/>
    <n v="55071.312167016105"/>
  </r>
  <r>
    <d v="2026-03-17T00:00:00"/>
    <x v="4"/>
    <s v="LİMON MELİSA"/>
    <m/>
    <x v="5"/>
    <s v="ST00000001665"/>
    <s v="SATIŞ"/>
    <s v="POS"/>
    <n v="0.05"/>
    <n v="2000"/>
    <n v="100"/>
    <n v="0"/>
    <m/>
    <m/>
    <m/>
    <m/>
    <n v="0"/>
    <n v="0"/>
    <n v="55071.312167016105"/>
  </r>
  <r>
    <d v="2026-03-17T00:00:00"/>
    <x v="4"/>
    <s v="REZENE"/>
    <m/>
    <x v="5"/>
    <s v="ST00000001665"/>
    <s v="SATIŞ"/>
    <s v="POS"/>
    <n v="0.05"/>
    <n v="900"/>
    <n v="45"/>
    <n v="0"/>
    <m/>
    <m/>
    <m/>
    <m/>
    <n v="0"/>
    <n v="0"/>
    <n v="55071.312167016105"/>
  </r>
  <r>
    <d v="2026-03-17T00:00:00"/>
    <x v="4"/>
    <s v="NANE İRİ"/>
    <m/>
    <x v="1"/>
    <s v="ST00000001666"/>
    <s v="SATIŞ"/>
    <s v="NAKİT"/>
    <n v="0.1"/>
    <n v="400"/>
    <n v="0"/>
    <n v="0"/>
    <m/>
    <m/>
    <m/>
    <m/>
    <n v="40"/>
    <n v="0"/>
    <n v="55111.312167016105"/>
  </r>
  <r>
    <d v="2026-03-17T00:00:00"/>
    <x v="4"/>
    <s v="PİLAVLIK BULGUR"/>
    <m/>
    <x v="1"/>
    <s v="ST00000001667"/>
    <s v="SATIŞ"/>
    <s v="NAKİT"/>
    <n v="1.62"/>
    <n v="65"/>
    <n v="0"/>
    <n v="0"/>
    <m/>
    <m/>
    <m/>
    <m/>
    <n v="105.30000000000001"/>
    <n v="0"/>
    <n v="55216.612167016108"/>
  </r>
  <r>
    <d v="2026-03-17T00:00:00"/>
    <x v="4"/>
    <s v="ÜZÜM SİYAH KİLİS"/>
    <m/>
    <x v="1"/>
    <s v="ST00000001668"/>
    <s v="SATIŞ"/>
    <s v="NAKİT"/>
    <n v="0.46153846153846156"/>
    <n v="650"/>
    <n v="0"/>
    <n v="0"/>
    <m/>
    <m/>
    <m/>
    <m/>
    <n v="300"/>
    <n v="0"/>
    <n v="55516.612167016108"/>
  </r>
  <r>
    <d v="2026-03-17T00:00:00"/>
    <x v="4"/>
    <s v="ÖMRÜM VANİLYALI GOFRET 450 GR"/>
    <m/>
    <x v="1"/>
    <s v="ST00000001668"/>
    <s v="SATIŞ"/>
    <s v="NAKİT"/>
    <n v="1"/>
    <n v="90"/>
    <n v="0"/>
    <n v="0"/>
    <m/>
    <m/>
    <m/>
    <m/>
    <n v="90"/>
    <n v="0"/>
    <n v="55606.612167016108"/>
  </r>
  <r>
    <d v="2026-03-17T00:00:00"/>
    <x v="4"/>
    <s v="ÖMRÜM KAKAOLU GOFRET 450 GR"/>
    <m/>
    <x v="1"/>
    <s v="ST00000001668"/>
    <s v="SATIŞ"/>
    <s v="NAKİT"/>
    <n v="1"/>
    <n v="90"/>
    <n v="0"/>
    <n v="0"/>
    <m/>
    <m/>
    <m/>
    <m/>
    <n v="90"/>
    <n v="0"/>
    <n v="55696.612167016108"/>
  </r>
  <r>
    <d v="2026-03-17T00:00:00"/>
    <x v="4"/>
    <s v="KARAHALİLE"/>
    <m/>
    <x v="1"/>
    <s v="ST00000001668"/>
    <s v="SATIŞ"/>
    <s v="NAKİT"/>
    <n v="0.1"/>
    <n v="950"/>
    <n v="0"/>
    <n v="0"/>
    <m/>
    <m/>
    <m/>
    <m/>
    <n v="95"/>
    <n v="0"/>
    <n v="55791.612167016108"/>
  </r>
  <r>
    <d v="2026-03-17T00:00:00"/>
    <x v="4"/>
    <s v="MİSVAK KUTULU (HOLDER)"/>
    <m/>
    <x v="1"/>
    <s v="ST00000001668"/>
    <s v="SATIŞ"/>
    <s v="NAKİT"/>
    <n v="1"/>
    <n v="30"/>
    <n v="0"/>
    <n v="0"/>
    <m/>
    <m/>
    <m/>
    <m/>
    <n v="30"/>
    <n v="0"/>
    <n v="55821.612167016108"/>
  </r>
  <r>
    <d v="2026-03-17T00:00:00"/>
    <x v="4"/>
    <s v="SIKMA ANTEP TARHANA"/>
    <m/>
    <x v="1"/>
    <s v="ST00000001669"/>
    <s v="SATIŞ"/>
    <s v="NAKİT"/>
    <n v="0.28599999999999998"/>
    <n v="280"/>
    <n v="0"/>
    <n v="0"/>
    <m/>
    <m/>
    <m/>
    <m/>
    <n v="80.08"/>
    <n v="0"/>
    <n v="55901.69216701611"/>
  </r>
  <r>
    <d v="2026-03-17T00:00:00"/>
    <x v="4"/>
    <s v="DOMATES SALÇASI"/>
    <m/>
    <x v="1"/>
    <s v="ST00000001670"/>
    <s v="SATIŞ"/>
    <s v="NAKİT"/>
    <n v="1"/>
    <n v="150"/>
    <n v="0"/>
    <n v="0"/>
    <m/>
    <m/>
    <m/>
    <m/>
    <n v="150"/>
    <n v="0"/>
    <n v="56051.69216701611"/>
  </r>
  <r>
    <d v="2026-03-17T00:00:00"/>
    <x v="4"/>
    <s v="CEVİZLİ SUCUK ATOM (ESMER)"/>
    <m/>
    <x v="5"/>
    <s v="ST00000001671"/>
    <s v="SATIŞ"/>
    <s v="POS"/>
    <n v="0.36470588235294116"/>
    <n v="340"/>
    <n v="124"/>
    <n v="0"/>
    <m/>
    <m/>
    <m/>
    <m/>
    <n v="0"/>
    <n v="0"/>
    <n v="56051.69216701611"/>
  </r>
  <r>
    <d v="2026-03-17T00:00:00"/>
    <x v="4"/>
    <s v="MİNDİVAN ATOM ÇAYI"/>
    <m/>
    <x v="5"/>
    <s v="ST00000001671"/>
    <s v="SATIŞ"/>
    <s v="POS"/>
    <n v="1"/>
    <n v="100"/>
    <n v="100"/>
    <n v="0"/>
    <m/>
    <m/>
    <m/>
    <m/>
    <n v="0"/>
    <n v="0"/>
    <n v="56051.69216701611"/>
  </r>
  <r>
    <d v="2026-03-17T00:00:00"/>
    <x v="4"/>
    <s v="KUŞ ÜZÜMÜ"/>
    <m/>
    <x v="1"/>
    <s v="ST00000001672"/>
    <s v="SATIŞ"/>
    <s v="NAKİT"/>
    <n v="0.1"/>
    <n v="800"/>
    <n v="0"/>
    <n v="0"/>
    <m/>
    <m/>
    <m/>
    <m/>
    <n v="80"/>
    <n v="0"/>
    <n v="56131.69216701611"/>
  </r>
  <r>
    <d v="2026-03-17T00:00:00"/>
    <x v="4"/>
    <s v="KARABİBER ÇEKİLMİŞ"/>
    <m/>
    <x v="1"/>
    <s v="ST00000001672"/>
    <s v="SATIŞ"/>
    <s v="NAKİT"/>
    <n v="0.1"/>
    <n v="650"/>
    <n v="0"/>
    <n v="0"/>
    <m/>
    <m/>
    <m/>
    <m/>
    <n v="65"/>
    <n v="0"/>
    <n v="56196.69216701611"/>
  </r>
  <r>
    <d v="2026-03-17T00:00:00"/>
    <x v="4"/>
    <s v="SİNAMEKİ"/>
    <m/>
    <x v="1"/>
    <s v="ST00000001673"/>
    <s v="SATIŞ"/>
    <s v="NAKİT"/>
    <n v="0.1"/>
    <n v="500"/>
    <n v="0"/>
    <n v="0"/>
    <m/>
    <m/>
    <m/>
    <m/>
    <n v="50"/>
    <n v="0"/>
    <n v="56246.69216701611"/>
  </r>
  <r>
    <d v="2026-03-17T00:00:00"/>
    <x v="4"/>
    <s v="NANE İRİ"/>
    <m/>
    <x v="1"/>
    <s v="ST00000001674"/>
    <s v="SATIŞ"/>
    <s v="NAKİT"/>
    <n v="6.25E-2"/>
    <n v="400"/>
    <n v="0"/>
    <n v="0"/>
    <m/>
    <m/>
    <m/>
    <m/>
    <n v="25"/>
    <n v="0"/>
    <n v="56271.69216701611"/>
  </r>
  <r>
    <d v="2026-03-17T00:00:00"/>
    <x v="10"/>
    <m/>
    <m/>
    <x v="5"/>
    <m/>
    <s v="ON NUMARA POS ÇÖZÜMÜ - ELEKTRİK FATURA"/>
    <s v="POS"/>
    <n v="1"/>
    <n v="862.18"/>
    <n v="0"/>
    <n v="862.18"/>
    <m/>
    <m/>
    <m/>
    <m/>
    <n v="862.18"/>
    <n v="0"/>
    <n v="57133.87216701611"/>
  </r>
  <r>
    <d v="2026-03-17T00:00:00"/>
    <x v="1"/>
    <m/>
    <s v="FATURA GİDERLERİ"/>
    <x v="1"/>
    <m/>
    <s v="ON NUMARA POS ÇÖZÜMÜ - ELEKTRİK FATURA"/>
    <s v="NAKİT"/>
    <n v="1"/>
    <n v="862.18"/>
    <n v="0"/>
    <n v="0"/>
    <m/>
    <m/>
    <m/>
    <m/>
    <n v="0"/>
    <n v="862.18"/>
    <n v="56271.69216701611"/>
  </r>
  <r>
    <d v="2026-03-18T00:00:00"/>
    <x v="4"/>
    <s v="BUĞDAY NİŞASTASI"/>
    <m/>
    <x v="5"/>
    <s v="ST00000001675"/>
    <s v="SATIŞ"/>
    <s v="POS"/>
    <n v="1"/>
    <n v="120"/>
    <n v="120"/>
    <n v="0"/>
    <m/>
    <m/>
    <m/>
    <m/>
    <n v="0"/>
    <n v="0"/>
    <n v="56271.69216701611"/>
  </r>
  <r>
    <d v="2026-03-18T00:00:00"/>
    <x v="4"/>
    <s v="LEBLEBİ ŞEKER RENKLİ"/>
    <m/>
    <x v="5"/>
    <s v="ST00000001675"/>
    <s v="SATIŞ"/>
    <s v="POS"/>
    <n v="0.30434782608695654"/>
    <n v="230"/>
    <n v="70"/>
    <n v="0"/>
    <m/>
    <m/>
    <m/>
    <m/>
    <n v="0"/>
    <n v="0"/>
    <n v="56271.69216701611"/>
  </r>
  <r>
    <d v="2026-03-18T00:00:00"/>
    <x v="4"/>
    <s v="İRİ BEYAZ KABAK ÇEKİRDEĞİ - NEVŞEHİR"/>
    <m/>
    <x v="5"/>
    <s v="ST00000001675"/>
    <s v="SATIŞ"/>
    <s v="POS"/>
    <n v="0.23255813953488372"/>
    <n v="430"/>
    <n v="100"/>
    <n v="0"/>
    <m/>
    <m/>
    <m/>
    <m/>
    <n v="0"/>
    <n v="0"/>
    <n v="56271.69216701611"/>
  </r>
  <r>
    <d v="2026-03-18T00:00:00"/>
    <x v="4"/>
    <s v="DOLMALIK KURU TATLI KIRMIZI BİBER"/>
    <m/>
    <x v="1"/>
    <s v="ST00000001676"/>
    <s v="SATIŞ - ZEKAT"/>
    <s v="NAKİT"/>
    <n v="1"/>
    <n v="200"/>
    <n v="0"/>
    <n v="0"/>
    <m/>
    <m/>
    <m/>
    <m/>
    <n v="200"/>
    <n v="0"/>
    <n v="56471.69216701611"/>
  </r>
  <r>
    <d v="2026-03-18T00:00:00"/>
    <x v="4"/>
    <s v="DOLMALIK KURU ACI BİBER"/>
    <m/>
    <x v="1"/>
    <s v="ST00000001676"/>
    <s v="SATIŞ - ZEKAT"/>
    <s v="NAKİT"/>
    <n v="1"/>
    <n v="200"/>
    <n v="0"/>
    <n v="0"/>
    <m/>
    <m/>
    <m/>
    <m/>
    <n v="200"/>
    <n v="0"/>
    <n v="56671.69216701611"/>
  </r>
  <r>
    <d v="2026-03-18T00:00:00"/>
    <x v="4"/>
    <s v="DOLMALIK KURU PATLICAN"/>
    <m/>
    <x v="1"/>
    <s v="ST00000001676"/>
    <s v="SATIŞ - ZEKAT"/>
    <s v="NAKİT"/>
    <n v="1"/>
    <n v="230"/>
    <n v="0"/>
    <n v="0"/>
    <m/>
    <m/>
    <m/>
    <m/>
    <n v="230"/>
    <n v="0"/>
    <n v="56901.69216701611"/>
  </r>
  <r>
    <d v="2026-03-18T00:00:00"/>
    <x v="4"/>
    <s v="DOLMALIK SARI BİBER"/>
    <m/>
    <x v="1"/>
    <s v="ST00000001676"/>
    <s v="SATIŞ - ZEKAT"/>
    <s v="NAKİT"/>
    <n v="1"/>
    <n v="230"/>
    <n v="0"/>
    <n v="0"/>
    <m/>
    <m/>
    <m/>
    <m/>
    <n v="230"/>
    <n v="0"/>
    <n v="57131.69216701611"/>
  </r>
  <r>
    <d v="2026-03-18T00:00:00"/>
    <x v="4"/>
    <s v="SUMAK TANE EKŞİLİ"/>
    <m/>
    <x v="1"/>
    <s v="ST00000001676"/>
    <s v="SATIŞ - ZEKAT"/>
    <s v="NAKİT"/>
    <n v="0.2"/>
    <n v="500"/>
    <n v="0"/>
    <n v="0"/>
    <m/>
    <m/>
    <m/>
    <m/>
    <n v="100"/>
    <n v="0"/>
    <n v="57231.69216701611"/>
  </r>
  <r>
    <d v="2026-03-18T00:00:00"/>
    <x v="4"/>
    <s v="KEKİK LÜX"/>
    <m/>
    <x v="1"/>
    <s v="ST00000001676"/>
    <s v="SATIŞ - ZEKAT"/>
    <s v="NAKİT"/>
    <n v="0.1"/>
    <n v="750"/>
    <n v="0"/>
    <n v="0"/>
    <m/>
    <m/>
    <m/>
    <m/>
    <n v="75"/>
    <n v="0"/>
    <n v="57306.69216701611"/>
  </r>
  <r>
    <d v="2026-03-18T00:00:00"/>
    <x v="4"/>
    <s v="SUMAK"/>
    <m/>
    <x v="1"/>
    <s v="ST00000001676"/>
    <s v="SATIŞ - ZEKAT"/>
    <s v="NAKİT"/>
    <n v="0.28499999999999998"/>
    <n v="500"/>
    <n v="0"/>
    <n v="0"/>
    <m/>
    <m/>
    <m/>
    <m/>
    <n v="142.5"/>
    <n v="0"/>
    <n v="57449.19216701611"/>
  </r>
  <r>
    <d v="2026-03-18T00:00:00"/>
    <x v="4"/>
    <s v="ÇUBUK TARÇIN"/>
    <m/>
    <x v="1"/>
    <s v="ST00000001676"/>
    <s v="SATIŞ - ZEKAT"/>
    <s v="NAKİT"/>
    <n v="0.08"/>
    <n v="750"/>
    <n v="0"/>
    <n v="0"/>
    <m/>
    <m/>
    <m/>
    <m/>
    <n v="60"/>
    <n v="0"/>
    <n v="57509.19216701611"/>
  </r>
  <r>
    <d v="2026-03-18T00:00:00"/>
    <x v="4"/>
    <s v="TOZ BİBER - TATLI"/>
    <m/>
    <x v="1"/>
    <s v="ST00000001676"/>
    <s v="SATIŞ - ZEKAT"/>
    <s v="NAKİT"/>
    <n v="0.3"/>
    <n v="400"/>
    <n v="0"/>
    <n v="0"/>
    <m/>
    <m/>
    <m/>
    <m/>
    <n v="120"/>
    <n v="0"/>
    <n v="57629.19216701611"/>
  </r>
  <r>
    <d v="2026-03-18T00:00:00"/>
    <x v="4"/>
    <s v="DOMATES SALÇASI"/>
    <m/>
    <x v="1"/>
    <s v="ST00000001676"/>
    <s v="SATIŞ - ZEKAT"/>
    <s v="NAKİT"/>
    <n v="1"/>
    <n v="150"/>
    <n v="0"/>
    <n v="0"/>
    <m/>
    <m/>
    <m/>
    <m/>
    <n v="150"/>
    <n v="0"/>
    <n v="57779.19216701611"/>
  </r>
  <r>
    <d v="2026-03-18T00:00:00"/>
    <x v="4"/>
    <s v="SALÇA TATLI (EV YAPIMI)"/>
    <m/>
    <x v="1"/>
    <s v="ST00000001676"/>
    <s v="SATIŞ - ZEKAT"/>
    <s v="NAKİT"/>
    <n v="1"/>
    <n v="200"/>
    <n v="0"/>
    <n v="0"/>
    <m/>
    <m/>
    <m/>
    <m/>
    <n v="200"/>
    <n v="0"/>
    <n v="57979.19216701611"/>
  </r>
  <r>
    <d v="2026-03-18T00:00:00"/>
    <x v="4"/>
    <s v="CEVİZLİ SUCUK ATOM (ESMER)"/>
    <m/>
    <x v="1"/>
    <s v="ST00000001676"/>
    <s v="SATIŞ - ZEKAT"/>
    <s v="NAKİT"/>
    <n v="0.75294117647058822"/>
    <n v="340"/>
    <n v="0"/>
    <n v="0"/>
    <m/>
    <m/>
    <m/>
    <m/>
    <n v="256"/>
    <n v="0"/>
    <n v="58235.19216701611"/>
  </r>
  <r>
    <d v="2026-03-18T00:00:00"/>
    <x v="4"/>
    <s v="KARAHİNDİBA YAPRAK"/>
    <m/>
    <x v="1"/>
    <s v="ST00000001677"/>
    <s v="SATIŞ"/>
    <s v="NAKİT"/>
    <n v="0.1"/>
    <n v="1200"/>
    <n v="0"/>
    <n v="0"/>
    <m/>
    <m/>
    <m/>
    <m/>
    <n v="120"/>
    <n v="0"/>
    <n v="58355.19216701611"/>
  </r>
  <r>
    <d v="2026-03-18T00:00:00"/>
    <x v="4"/>
    <s v="BUĞDAY NİŞASTASI"/>
    <m/>
    <x v="1"/>
    <s v="ST00000001678"/>
    <s v="SATIŞ"/>
    <s v="NAKİT"/>
    <n v="1"/>
    <n v="120"/>
    <n v="0"/>
    <n v="0"/>
    <m/>
    <m/>
    <m/>
    <m/>
    <n v="120"/>
    <n v="0"/>
    <n v="58475.19216701611"/>
  </r>
  <r>
    <d v="2026-03-18T00:00:00"/>
    <x v="4"/>
    <s v="ÖMRÜM VANİLYALI GOFRET 450 GR"/>
    <m/>
    <x v="1"/>
    <s v="ST00000001679"/>
    <s v="SATIŞ"/>
    <s v="NAKİT"/>
    <n v="1"/>
    <n v="90"/>
    <n v="0"/>
    <n v="0"/>
    <m/>
    <m/>
    <m/>
    <m/>
    <n v="90"/>
    <n v="0"/>
    <n v="58565.19216701611"/>
  </r>
  <r>
    <d v="2026-03-18T00:00:00"/>
    <x v="4"/>
    <s v="EL-RUHA ÇAY (AÇIK)"/>
    <m/>
    <x v="1"/>
    <s v="ST00000001680"/>
    <s v="SATIŞ"/>
    <s v="NAKİT"/>
    <n v="0.25"/>
    <n v="600"/>
    <n v="0"/>
    <n v="0"/>
    <m/>
    <m/>
    <m/>
    <m/>
    <n v="150"/>
    <n v="0"/>
    <n v="58715.19216701611"/>
  </r>
  <r>
    <d v="2026-03-18T00:00:00"/>
    <x v="4"/>
    <s v="CHİA TOHUMU DÖKME"/>
    <m/>
    <x v="1"/>
    <s v="ST00000001680"/>
    <s v="SATIŞ"/>
    <s v="NAKİT"/>
    <n v="0.5"/>
    <n v="300"/>
    <n v="0"/>
    <n v="0"/>
    <m/>
    <m/>
    <m/>
    <m/>
    <n v="150"/>
    <n v="0"/>
    <n v="58865.19216701611"/>
  </r>
  <r>
    <d v="2026-03-18T00:00:00"/>
    <x v="4"/>
    <s v="ZÜHRE ANA BROMELAİN ANANAS İÇEREN DETOX ŞURUBU 250 ML"/>
    <m/>
    <x v="1"/>
    <s v="ST00000001681"/>
    <s v="SATIŞ"/>
    <s v="NAKİT"/>
    <n v="1"/>
    <n v="250"/>
    <n v="0"/>
    <n v="0"/>
    <m/>
    <m/>
    <m/>
    <m/>
    <n v="250"/>
    <n v="0"/>
    <n v="59115.19216701611"/>
  </r>
  <r>
    <d v="2026-03-18T00:00:00"/>
    <x v="4"/>
    <s v="SALÇA ACI (EV YAPIMI)"/>
    <m/>
    <x v="1"/>
    <s v="ST00000001682"/>
    <s v="SATIŞ"/>
    <s v="NAKİT"/>
    <n v="1"/>
    <n v="200"/>
    <n v="0"/>
    <n v="0"/>
    <m/>
    <m/>
    <m/>
    <m/>
    <n v="200"/>
    <n v="0"/>
    <n v="59315.19216701611"/>
  </r>
  <r>
    <d v="2026-03-18T00:00:00"/>
    <x v="4"/>
    <s v="KABAK ÇEKİRDEĞİ YAĞI 50 CC"/>
    <m/>
    <x v="1"/>
    <s v="ST00000001682"/>
    <s v="SATIŞ"/>
    <s v="NAKİT"/>
    <n v="1"/>
    <n v="125"/>
    <n v="0"/>
    <n v="0"/>
    <m/>
    <m/>
    <m/>
    <m/>
    <n v="125"/>
    <n v="0"/>
    <n v="59440.19216701611"/>
  </r>
  <r>
    <d v="2026-03-18T00:00:00"/>
    <x v="4"/>
    <s v="DOLMALIK KURU PATLICAN"/>
    <m/>
    <x v="5"/>
    <s v="ST00000001683"/>
    <s v="SATIŞ"/>
    <s v="POS"/>
    <n v="1"/>
    <n v="250"/>
    <n v="250"/>
    <n v="0"/>
    <m/>
    <m/>
    <m/>
    <m/>
    <n v="0"/>
    <n v="0"/>
    <n v="59440.19216701611"/>
  </r>
  <r>
    <d v="2026-03-18T00:00:00"/>
    <x v="4"/>
    <s v="KİMYON TANE"/>
    <m/>
    <x v="1"/>
    <s v="ST00000001683"/>
    <s v="SATIŞ"/>
    <s v="NAKİT"/>
    <n v="0.105"/>
    <n v="490"/>
    <n v="0"/>
    <n v="0"/>
    <m/>
    <m/>
    <m/>
    <m/>
    <n v="51.449999999999996"/>
    <n v="0"/>
    <n v="59491.642167016107"/>
  </r>
  <r>
    <d v="2026-03-18T00:00:00"/>
    <x v="4"/>
    <s v="PİLAVLIK BULGUR"/>
    <m/>
    <x v="1"/>
    <s v="ST00000001684"/>
    <s v="SATIŞ"/>
    <s v="NAKİT"/>
    <n v="4"/>
    <n v="62.5"/>
    <n v="0"/>
    <n v="0"/>
    <m/>
    <m/>
    <m/>
    <m/>
    <n v="250"/>
    <n v="0"/>
    <n v="59741.642167016107"/>
  </r>
  <r>
    <d v="2026-03-18T00:00:00"/>
    <x v="4"/>
    <s v="TOZ BİBER - TATLI"/>
    <m/>
    <x v="1"/>
    <s v="ST00000001684"/>
    <s v="SATIŞ"/>
    <s v="NAKİT"/>
    <n v="0.25"/>
    <n v="400"/>
    <n v="0"/>
    <n v="0"/>
    <m/>
    <m/>
    <m/>
    <m/>
    <n v="100"/>
    <n v="0"/>
    <n v="59841.642167016107"/>
  </r>
  <r>
    <d v="2026-03-18T00:00:00"/>
    <x v="4"/>
    <s v="DOLMALIK KURU PATLICAN"/>
    <m/>
    <x v="1"/>
    <s v="ST00000001684"/>
    <s v="SATIŞ"/>
    <s v="NAKİT"/>
    <n v="1"/>
    <n v="250"/>
    <n v="0"/>
    <n v="0"/>
    <m/>
    <m/>
    <m/>
    <m/>
    <n v="250"/>
    <n v="0"/>
    <n v="60091.642167016107"/>
  </r>
  <r>
    <d v="2026-03-18T00:00:00"/>
    <x v="4"/>
    <s v="TÜDAB KARIŞIK TURŞU"/>
    <m/>
    <x v="1"/>
    <s v="ST00000001684"/>
    <s v="SATIŞ"/>
    <s v="NAKİT"/>
    <n v="1"/>
    <n v="400"/>
    <n v="0"/>
    <n v="0"/>
    <m/>
    <m/>
    <m/>
    <m/>
    <n v="400"/>
    <n v="0"/>
    <n v="60491.642167016107"/>
  </r>
  <r>
    <d v="2026-03-18T00:00:00"/>
    <x v="4"/>
    <s v="DOLMALIK KURU PATLICAN"/>
    <m/>
    <x v="5"/>
    <s v="ST00000001685"/>
    <s v="SATIŞ"/>
    <s v="POS"/>
    <n v="1"/>
    <n v="250"/>
    <n v="250"/>
    <n v="0"/>
    <m/>
    <m/>
    <m/>
    <m/>
    <n v="0"/>
    <n v="0"/>
    <n v="60491.642167016107"/>
  </r>
  <r>
    <d v="2026-03-18T00:00:00"/>
    <x v="4"/>
    <s v="DOLMALIK SARI BİBER"/>
    <m/>
    <x v="5"/>
    <s v="ST00000001685"/>
    <s v="SATIŞ"/>
    <s v="POS"/>
    <n v="1"/>
    <n v="250"/>
    <n v="250"/>
    <n v="0"/>
    <m/>
    <m/>
    <m/>
    <m/>
    <n v="0"/>
    <n v="0"/>
    <n v="60491.642167016107"/>
  </r>
  <r>
    <d v="2026-03-18T00:00:00"/>
    <x v="4"/>
    <s v="DOLMALIK KURU PATLICAN"/>
    <m/>
    <x v="5"/>
    <s v="ST00000001686"/>
    <s v="SATIŞ"/>
    <s v="POS"/>
    <n v="1"/>
    <n v="250"/>
    <n v="250"/>
    <n v="0"/>
    <m/>
    <m/>
    <m/>
    <m/>
    <n v="0"/>
    <n v="0"/>
    <n v="60491.642167016107"/>
  </r>
  <r>
    <d v="2026-03-18T00:00:00"/>
    <x v="4"/>
    <s v="DOLMALIK SARI BİBER"/>
    <m/>
    <x v="5"/>
    <s v="ST00000001686"/>
    <s v="SATIŞ"/>
    <s v="POS"/>
    <n v="1"/>
    <n v="250"/>
    <n v="250"/>
    <n v="0"/>
    <m/>
    <m/>
    <m/>
    <m/>
    <n v="0"/>
    <n v="0"/>
    <n v="60491.642167016107"/>
  </r>
  <r>
    <d v="2026-03-18T00:00:00"/>
    <x v="4"/>
    <s v="TALA KARINCA YUMURTASI YAĞI 20 ML"/>
    <m/>
    <x v="5"/>
    <s v="ST00000001686"/>
    <s v="SATIŞ"/>
    <s v="POS"/>
    <n v="1"/>
    <n v="130"/>
    <n v="130"/>
    <n v="0"/>
    <m/>
    <m/>
    <m/>
    <m/>
    <n v="0"/>
    <n v="0"/>
    <n v="60491.642167016107"/>
  </r>
  <r>
    <d v="2026-03-18T00:00:00"/>
    <x v="4"/>
    <s v="DOLMALIK KURU PATLICAN"/>
    <m/>
    <x v="5"/>
    <s v="ST00000001687"/>
    <s v="SATIŞ"/>
    <s v="POS"/>
    <n v="1"/>
    <n v="250"/>
    <n v="250"/>
    <n v="0"/>
    <m/>
    <m/>
    <m/>
    <m/>
    <n v="0"/>
    <n v="0"/>
    <n v="60491.642167016107"/>
  </r>
  <r>
    <d v="2026-03-18T00:00:00"/>
    <x v="4"/>
    <s v="TOZ BİBER - TATLI"/>
    <m/>
    <x v="1"/>
    <s v="ST00000001688"/>
    <s v="SATIŞ"/>
    <s v="NAKİT"/>
    <n v="0.17499999999999999"/>
    <n v="400"/>
    <n v="0"/>
    <n v="0"/>
    <m/>
    <m/>
    <m/>
    <m/>
    <n v="70"/>
    <n v="0"/>
    <n v="60561.642167016107"/>
  </r>
  <r>
    <d v="2026-03-18T00:00:00"/>
    <x v="4"/>
    <s v="BOZ ANTEP FISTIK ÖĞÜTÜLMÜŞ"/>
    <m/>
    <x v="1"/>
    <s v="ST00000001688"/>
    <s v="SATIŞ"/>
    <s v="NAKİT"/>
    <n v="0.1"/>
    <n v="2500"/>
    <n v="0"/>
    <n v="0"/>
    <m/>
    <m/>
    <m/>
    <m/>
    <n v="250"/>
    <n v="0"/>
    <n v="60811.642167016107"/>
  </r>
  <r>
    <d v="2026-03-18T00:00:00"/>
    <x v="4"/>
    <s v="GENÇAY ELMA SİRKESİ 500 CC"/>
    <m/>
    <x v="1"/>
    <s v="ST00000001688"/>
    <s v="SATIŞ"/>
    <s v="NAKİT"/>
    <n v="1"/>
    <n v="140"/>
    <n v="0"/>
    <n v="0"/>
    <m/>
    <m/>
    <m/>
    <m/>
    <n v="140"/>
    <n v="0"/>
    <n v="60951.642167016107"/>
  </r>
  <r>
    <d v="2026-03-18T00:00:00"/>
    <x v="4"/>
    <s v="GENÇAY KEÇİ BOYNUZU ÖZÜ 675 GR"/>
    <m/>
    <x v="1"/>
    <s v="ST00000001688"/>
    <s v="SATIŞ"/>
    <s v="NAKİT"/>
    <n v="1"/>
    <n v="195"/>
    <n v="0"/>
    <n v="0"/>
    <m/>
    <m/>
    <m/>
    <m/>
    <n v="195"/>
    <n v="0"/>
    <n v="61146.642167016107"/>
  </r>
  <r>
    <d v="2026-03-18T00:00:00"/>
    <x v="4"/>
    <s v="KINA RGS DÖKME"/>
    <m/>
    <x v="1"/>
    <s v="ST00000001689"/>
    <s v="SATIŞ"/>
    <s v="NAKİT"/>
    <n v="0.2"/>
    <n v="400"/>
    <n v="0"/>
    <n v="0"/>
    <m/>
    <m/>
    <m/>
    <m/>
    <n v="80"/>
    <n v="0"/>
    <n v="61226.642167016107"/>
  </r>
  <r>
    <d v="2026-03-18T00:00:00"/>
    <x v="4"/>
    <s v="HAM KABAK LİFİ İŞLENMEMİŞ"/>
    <m/>
    <x v="1"/>
    <s v="ST00000001689"/>
    <s v="SATIŞ"/>
    <s v="NAKİT"/>
    <n v="0.2"/>
    <n v="250"/>
    <n v="0"/>
    <n v="0"/>
    <m/>
    <m/>
    <m/>
    <m/>
    <n v="50"/>
    <n v="0"/>
    <n v="61276.642167016107"/>
  </r>
  <r>
    <d v="2026-03-18T00:00:00"/>
    <x v="4"/>
    <s v="BUĞDAY NİŞASTASI"/>
    <m/>
    <x v="5"/>
    <s v="ST00000001690"/>
    <s v="SATIŞ"/>
    <s v="POS"/>
    <n v="0.5"/>
    <n v="120"/>
    <n v="60"/>
    <n v="0"/>
    <m/>
    <m/>
    <m/>
    <m/>
    <n v="0"/>
    <n v="0"/>
    <n v="61276.642167016107"/>
  </r>
  <r>
    <d v="2026-03-18T00:00:00"/>
    <x v="4"/>
    <s v="ÇUBUK TARÇIN"/>
    <m/>
    <x v="5"/>
    <s v="ST00000001690"/>
    <s v="SATIŞ"/>
    <s v="POS"/>
    <n v="0.08"/>
    <n v="750"/>
    <n v="60"/>
    <n v="0"/>
    <m/>
    <m/>
    <m/>
    <m/>
    <n v="0"/>
    <n v="0"/>
    <n v="61276.642167016107"/>
  </r>
  <r>
    <d v="2026-03-18T00:00:00"/>
    <x v="4"/>
    <s v="KEKİK LÜX"/>
    <m/>
    <x v="5"/>
    <s v="ST00000001690"/>
    <s v="SATIŞ"/>
    <s v="POS"/>
    <n v="0.04"/>
    <n v="750"/>
    <n v="30"/>
    <n v="0"/>
    <m/>
    <m/>
    <m/>
    <m/>
    <n v="0"/>
    <n v="0"/>
    <n v="61276.642167016107"/>
  </r>
  <r>
    <d v="2026-03-18T00:00:00"/>
    <x v="4"/>
    <s v="KÖFTE BAHARATI (YEDİTÜRLÜ)"/>
    <m/>
    <x v="5"/>
    <s v="ST00000001690"/>
    <s v="SATIŞ"/>
    <s v="POS"/>
    <n v="9.7560975609756101E-2"/>
    <n v="410"/>
    <n v="40"/>
    <n v="0"/>
    <m/>
    <m/>
    <m/>
    <m/>
    <n v="0"/>
    <n v="0"/>
    <n v="61276.642167016107"/>
  </r>
  <r>
    <d v="2026-03-18T00:00:00"/>
    <x v="4"/>
    <s v="ÇAM FISTIĞI (DOLMALIK YER FISTIĞI)"/>
    <m/>
    <x v="5"/>
    <s v="ST00000001690"/>
    <s v="SATIŞ"/>
    <s v="POS"/>
    <n v="0.1"/>
    <n v="250"/>
    <n v="25"/>
    <n v="0"/>
    <m/>
    <m/>
    <m/>
    <m/>
    <n v="0"/>
    <n v="0"/>
    <n v="61276.642167016107"/>
  </r>
  <r>
    <d v="2026-03-18T00:00:00"/>
    <x v="4"/>
    <s v="BUĞDAY NİŞASTASI"/>
    <m/>
    <x v="1"/>
    <s v="ST00000001691"/>
    <s v="SATIŞ"/>
    <s v="NAKİT"/>
    <n v="0.5"/>
    <n v="120"/>
    <n v="0"/>
    <n v="0"/>
    <m/>
    <m/>
    <m/>
    <m/>
    <n v="60"/>
    <n v="0"/>
    <n v="61336.642167016107"/>
  </r>
  <r>
    <d v="2026-03-18T00:00:00"/>
    <x v="4"/>
    <s v="TOMBUL KESE 500 GR ACI"/>
    <m/>
    <x v="1"/>
    <s v="ST00000001692"/>
    <s v="SATIŞ"/>
    <s v="NAKİT"/>
    <n v="1"/>
    <n v="200"/>
    <n v="0"/>
    <n v="0"/>
    <m/>
    <m/>
    <m/>
    <m/>
    <n v="200"/>
    <n v="0"/>
    <n v="61536.642167016107"/>
  </r>
  <r>
    <d v="2026-03-19T00:00:00"/>
    <x v="4"/>
    <s v="SALÇA ACI (EV YAPIMI)"/>
    <m/>
    <x v="1"/>
    <s v="ST00000001693"/>
    <s v="SATIŞ"/>
    <s v="NAKİT"/>
    <n v="0.5"/>
    <n v="200"/>
    <n v="0"/>
    <n v="0"/>
    <m/>
    <m/>
    <m/>
    <m/>
    <n v="100"/>
    <n v="0"/>
    <n v="61636.642167016107"/>
  </r>
  <r>
    <d v="2026-03-19T00:00:00"/>
    <x v="4"/>
    <s v="HASEVLİK"/>
    <m/>
    <x v="1"/>
    <s v="ST00000001693"/>
    <s v="SATIŞ"/>
    <s v="NAKİT"/>
    <n v="0.22222222222222221"/>
    <n v="450"/>
    <n v="0"/>
    <n v="0"/>
    <m/>
    <m/>
    <m/>
    <m/>
    <n v="100"/>
    <n v="0"/>
    <n v="61736.642167016107"/>
  </r>
  <r>
    <d v="2026-03-19T00:00:00"/>
    <x v="4"/>
    <s v="MİSVAK KUTULU (HOLDER)"/>
    <m/>
    <x v="1"/>
    <s v="ST00000001694"/>
    <s v="SATIŞ"/>
    <s v="NAKİT"/>
    <n v="3"/>
    <n v="30"/>
    <n v="0"/>
    <n v="0"/>
    <m/>
    <m/>
    <m/>
    <m/>
    <n v="90"/>
    <n v="0"/>
    <n v="61826.642167016107"/>
  </r>
  <r>
    <d v="2026-03-19T00:00:00"/>
    <x v="4"/>
    <s v="BİBERİYE"/>
    <m/>
    <x v="1"/>
    <s v="ST00000001695"/>
    <s v="SATIŞ"/>
    <s v="NAKİT"/>
    <n v="0.1"/>
    <n v="900"/>
    <n v="0"/>
    <n v="0"/>
    <m/>
    <m/>
    <m/>
    <m/>
    <n v="90"/>
    <n v="0"/>
    <n v="61916.642167016107"/>
  </r>
  <r>
    <d v="2026-03-19T00:00:00"/>
    <x v="4"/>
    <s v="KABUKLU CEVİZ (YERLİ)"/>
    <m/>
    <x v="1"/>
    <s v="ST00000001696"/>
    <s v="SATIŞ"/>
    <s v="NAKİT"/>
    <n v="1.2"/>
    <n v="250"/>
    <n v="0"/>
    <n v="0"/>
    <m/>
    <m/>
    <m/>
    <m/>
    <n v="300"/>
    <n v="0"/>
    <n v="62216.642167016107"/>
  </r>
  <r>
    <d v="2026-03-19T00:00:00"/>
    <x v="4"/>
    <s v="DOLMALIK KURU PATLICAN"/>
    <m/>
    <x v="5"/>
    <s v="ST00000001698"/>
    <s v="SATIŞ"/>
    <s v="POS"/>
    <n v="1"/>
    <n v="250"/>
    <n v="250"/>
    <n v="0"/>
    <m/>
    <m/>
    <m/>
    <m/>
    <n v="0"/>
    <n v="0"/>
    <n v="62216.642167016107"/>
  </r>
  <r>
    <d v="2026-03-19T00:00:00"/>
    <x v="4"/>
    <s v="DOLMALIK SARI BİBER"/>
    <m/>
    <x v="5"/>
    <s v="ST00000001698"/>
    <s v="SATIŞ"/>
    <s v="POS"/>
    <n v="1"/>
    <n v="250"/>
    <n v="250"/>
    <n v="0"/>
    <m/>
    <m/>
    <m/>
    <m/>
    <n v="0"/>
    <n v="0"/>
    <n v="62216.642167016107"/>
  </r>
  <r>
    <d v="2026-03-19T00:00:00"/>
    <x v="4"/>
    <s v="HASEVLİK"/>
    <m/>
    <x v="5"/>
    <s v="ST00000001699"/>
    <s v="SATIŞ"/>
    <s v="POS"/>
    <n v="0.14199999999999999"/>
    <n v="450"/>
    <n v="63.899999999999991"/>
    <n v="0"/>
    <m/>
    <m/>
    <m/>
    <m/>
    <n v="0"/>
    <n v="0"/>
    <n v="62216.642167016107"/>
  </r>
  <r>
    <d v="2026-03-19T00:00:00"/>
    <x v="4"/>
    <s v="KARABİBER ÇEKİLMİŞ"/>
    <m/>
    <x v="5"/>
    <s v="ST00000001699"/>
    <s v="SATIŞ"/>
    <s v="POS"/>
    <n v="0.154"/>
    <n v="650"/>
    <n v="100.1"/>
    <n v="0"/>
    <m/>
    <m/>
    <m/>
    <m/>
    <n v="0"/>
    <n v="0"/>
    <n v="62216.642167016107"/>
  </r>
  <r>
    <d v="2026-03-19T00:00:00"/>
    <x v="4"/>
    <s v="TOZ BİBER - TATLI"/>
    <m/>
    <x v="5"/>
    <s v="ST00000001699"/>
    <s v="SATIŞ"/>
    <s v="POS"/>
    <n v="0.16400000000000001"/>
    <n v="400"/>
    <n v="65.600000000000009"/>
    <n v="0"/>
    <m/>
    <m/>
    <m/>
    <m/>
    <n v="0"/>
    <n v="0"/>
    <n v="62216.642167016107"/>
  </r>
  <r>
    <d v="2026-03-19T00:00:00"/>
    <x v="4"/>
    <s v="ÜZÜM SİYAH KİLİS"/>
    <m/>
    <x v="5"/>
    <s v="ST00000001699"/>
    <s v="SATIŞ"/>
    <s v="POS"/>
    <n v="0.15"/>
    <n v="650"/>
    <n v="97.5"/>
    <n v="0"/>
    <m/>
    <m/>
    <m/>
    <m/>
    <n v="0"/>
    <n v="0"/>
    <n v="62216.642167016107"/>
  </r>
  <r>
    <d v="2026-03-19T00:00:00"/>
    <x v="4"/>
    <s v="KABUKLU CEVİZ (YERLİ)"/>
    <m/>
    <x v="1"/>
    <s v="ST00000001700"/>
    <s v="SATIŞ"/>
    <s v="NAKİT"/>
    <n v="2"/>
    <n v="250"/>
    <n v="0"/>
    <n v="0"/>
    <m/>
    <m/>
    <m/>
    <m/>
    <n v="500"/>
    <n v="0"/>
    <n v="62716.642167016107"/>
  </r>
  <r>
    <d v="2026-03-19T00:00:00"/>
    <x v="4"/>
    <s v="YENİ MAHSÜL PAPATYA"/>
    <m/>
    <x v="1"/>
    <s v="ST00000001700"/>
    <s v="SATIŞ"/>
    <s v="NAKİT"/>
    <n v="0.05"/>
    <n v="1000"/>
    <n v="0"/>
    <n v="0"/>
    <m/>
    <m/>
    <m/>
    <m/>
    <n v="50"/>
    <n v="0"/>
    <n v="62766.642167016107"/>
  </r>
  <r>
    <d v="2026-03-19T00:00:00"/>
    <x v="4"/>
    <s v="SALÇA TATLI (EV YAPIMI)"/>
    <m/>
    <x v="1"/>
    <s v="ST00000001701"/>
    <s v="SATIŞ"/>
    <s v="NAKİT"/>
    <n v="1"/>
    <n v="200"/>
    <n v="0"/>
    <n v="0"/>
    <m/>
    <m/>
    <m/>
    <m/>
    <n v="200"/>
    <n v="0"/>
    <n v="62966.642167016107"/>
  </r>
  <r>
    <d v="2026-03-19T00:00:00"/>
    <x v="4"/>
    <s v="DOMATES SALÇASI"/>
    <m/>
    <x v="1"/>
    <s v="ST00000001701"/>
    <s v="SATIŞ"/>
    <s v="NAKİT"/>
    <n v="0.5"/>
    <n v="150"/>
    <n v="0"/>
    <n v="0"/>
    <m/>
    <m/>
    <m/>
    <m/>
    <n v="75"/>
    <n v="0"/>
    <n v="63041.642167016107"/>
  </r>
  <r>
    <d v="2026-03-19T00:00:00"/>
    <x v="4"/>
    <s v="HASEVLİK"/>
    <m/>
    <x v="1"/>
    <s v="ST00000001701"/>
    <s v="SATIŞ"/>
    <s v="NAKİT"/>
    <n v="8.8888888888888892E-2"/>
    <n v="450"/>
    <n v="0"/>
    <n v="0"/>
    <m/>
    <m/>
    <m/>
    <m/>
    <n v="40"/>
    <n v="0"/>
    <n v="63081.642167016107"/>
  </r>
  <r>
    <d v="2026-03-19T00:00:00"/>
    <x v="4"/>
    <s v="LAVANTA YAĞI 10 CC"/>
    <m/>
    <x v="5"/>
    <s v="ST00000001702"/>
    <s v="SATIŞ"/>
    <s v="POS"/>
    <n v="1"/>
    <n v="130"/>
    <n v="130"/>
    <n v="0"/>
    <m/>
    <m/>
    <m/>
    <m/>
    <n v="0"/>
    <n v="0"/>
    <n v="63081.642167016107"/>
  </r>
  <r>
    <d v="2026-03-19T00:00:00"/>
    <x v="4"/>
    <s v="KINA RGS DÖKME"/>
    <m/>
    <x v="1"/>
    <s v="ST00000001703"/>
    <s v="SATIŞ"/>
    <s v="NAKİT"/>
    <n v="0.25"/>
    <n v="200"/>
    <n v="0"/>
    <n v="0"/>
    <m/>
    <m/>
    <m/>
    <m/>
    <n v="50"/>
    <n v="0"/>
    <n v="63131.642167016107"/>
  </r>
  <r>
    <d v="2026-03-19T00:00:00"/>
    <x v="4"/>
    <s v="DOMATES SALÇASI"/>
    <m/>
    <x v="1"/>
    <s v="ST00000001704"/>
    <s v="SATIŞ"/>
    <s v="NAKİT"/>
    <n v="4"/>
    <n v="150"/>
    <n v="0"/>
    <n v="0"/>
    <m/>
    <m/>
    <m/>
    <m/>
    <n v="600"/>
    <n v="0"/>
    <n v="63731.642167016107"/>
  </r>
  <r>
    <d v="2026-03-19T00:00:00"/>
    <x v="4"/>
    <s v="İSOT"/>
    <m/>
    <x v="1"/>
    <s v="ST00000001705"/>
    <s v="SATIŞ"/>
    <s v="NAKİT"/>
    <n v="0.5"/>
    <n v="400"/>
    <n v="0"/>
    <n v="0"/>
    <m/>
    <m/>
    <m/>
    <m/>
    <n v="200"/>
    <n v="0"/>
    <n v="63931.642167016107"/>
  </r>
  <r>
    <d v="2026-03-19T00:00:00"/>
    <x v="4"/>
    <s v="İSOT"/>
    <m/>
    <x v="1"/>
    <s v="ST00000001706"/>
    <s v="SATIŞ - FADİME"/>
    <s v="NAKİT"/>
    <n v="1"/>
    <n v="400"/>
    <n v="0"/>
    <n v="0"/>
    <m/>
    <m/>
    <m/>
    <m/>
    <n v="400"/>
    <n v="0"/>
    <n v="64331.642167016107"/>
  </r>
  <r>
    <d v="2026-03-19T00:00:00"/>
    <x v="4"/>
    <s v="SUMAK TANE EKŞİLİ"/>
    <m/>
    <x v="1"/>
    <s v="ST00000001706"/>
    <s v="SATIŞ - FADİME"/>
    <s v="NAKİT"/>
    <n v="1"/>
    <n v="500"/>
    <n v="0"/>
    <n v="0"/>
    <m/>
    <m/>
    <m/>
    <m/>
    <n v="500"/>
    <n v="0"/>
    <n v="64831.642167016107"/>
  </r>
  <r>
    <d v="2026-03-19T00:00:00"/>
    <x v="4"/>
    <s v="ESMER BULGUR (AKIN)"/>
    <m/>
    <x v="1"/>
    <s v="ST00000001706"/>
    <s v="SATIŞ - FADİME - İADE - ANNE EMANET"/>
    <s v="NAKİT"/>
    <n v="1"/>
    <n v="50"/>
    <n v="0"/>
    <n v="0"/>
    <m/>
    <m/>
    <m/>
    <m/>
    <n v="50"/>
    <n v="0"/>
    <n v="64881.642167016107"/>
  </r>
  <r>
    <d v="2026-03-19T00:00:00"/>
    <x v="4"/>
    <s v="DOMATES SALÇASI"/>
    <m/>
    <x v="1"/>
    <s v="ST00000001707"/>
    <s v="SATIŞ - TUĞBA"/>
    <s v="NAKİT"/>
    <n v="2"/>
    <n v="150"/>
    <n v="0"/>
    <n v="0"/>
    <m/>
    <m/>
    <m/>
    <m/>
    <n v="300"/>
    <n v="0"/>
    <n v="65181.642167016107"/>
  </r>
  <r>
    <d v="2026-03-19T00:00:00"/>
    <x v="4"/>
    <s v="SUMAK"/>
    <m/>
    <x v="1"/>
    <s v="ST00000001707"/>
    <s v="SATIŞ - TUĞBA"/>
    <s v="NAKİT"/>
    <n v="0.2"/>
    <n v="500"/>
    <n v="0"/>
    <n v="0"/>
    <m/>
    <m/>
    <m/>
    <m/>
    <n v="100"/>
    <n v="0"/>
    <n v="65281.642167016107"/>
  </r>
  <r>
    <d v="2026-03-19T00:00:00"/>
    <x v="4"/>
    <s v="GÜNAYDIN KAYA TUZU İNCE"/>
    <m/>
    <x v="1"/>
    <s v="ST00000001707"/>
    <s v="SATIŞ - TUĞBA"/>
    <s v="NAKİT"/>
    <n v="1"/>
    <n v="90"/>
    <n v="0"/>
    <n v="0"/>
    <m/>
    <m/>
    <m/>
    <m/>
    <n v="90"/>
    <n v="0"/>
    <n v="65371.642167016107"/>
  </r>
  <r>
    <d v="2026-03-19T00:00:00"/>
    <x v="4"/>
    <s v="NANE İRİ"/>
    <m/>
    <x v="1"/>
    <s v="ST00000001707"/>
    <s v="SATIŞ - TUĞBA"/>
    <s v="NAKİT"/>
    <n v="0.125"/>
    <n v="400"/>
    <n v="0"/>
    <n v="0"/>
    <m/>
    <m/>
    <m/>
    <m/>
    <n v="50"/>
    <n v="0"/>
    <n v="65421.642167016107"/>
  </r>
  <r>
    <d v="2026-03-19T00:00:00"/>
    <x v="4"/>
    <s v="ESMER BULGUR (AKIN)"/>
    <m/>
    <x v="1"/>
    <s v="ST00000001708"/>
    <s v="SATIŞ - ANNE - EMANET"/>
    <s v="NAKİT"/>
    <n v="3.0769230769230771"/>
    <n v="65"/>
    <n v="0"/>
    <n v="0"/>
    <m/>
    <m/>
    <m/>
    <m/>
    <n v="200"/>
    <n v="0"/>
    <n v="65621.642167016107"/>
  </r>
  <r>
    <d v="2026-03-19T00:00:00"/>
    <x v="4"/>
    <s v="NANE İRİ"/>
    <m/>
    <x v="1"/>
    <s v="ST00000001708"/>
    <s v="SATIŞ - ANNE - EMANET"/>
    <s v="NAKİT"/>
    <n v="0.5"/>
    <n v="400"/>
    <n v="0"/>
    <n v="0"/>
    <m/>
    <m/>
    <m/>
    <m/>
    <n v="200"/>
    <n v="0"/>
    <n v="65821.642167016107"/>
  </r>
  <r>
    <d v="2026-03-19T00:00:00"/>
    <x v="4"/>
    <s v="KEKİK LÜX"/>
    <m/>
    <x v="1"/>
    <s v="ST00000001708"/>
    <s v="SATIŞ - ANNE - EMANET"/>
    <s v="NAKİT"/>
    <n v="0.33333333333333331"/>
    <n v="750"/>
    <n v="0"/>
    <n v="0"/>
    <m/>
    <m/>
    <m/>
    <m/>
    <n v="250"/>
    <n v="0"/>
    <n v="66071.642167016107"/>
  </r>
  <r>
    <d v="2026-03-19T00:00:00"/>
    <x v="4"/>
    <s v="İSOT"/>
    <m/>
    <x v="1"/>
    <s v="ST00000001708"/>
    <s v="SATIŞ - ANNE - EMANET"/>
    <s v="NAKİT"/>
    <n v="1.25"/>
    <n v="400"/>
    <n v="0"/>
    <n v="0"/>
    <m/>
    <m/>
    <m/>
    <m/>
    <n v="500"/>
    <n v="0"/>
    <n v="66571.642167016107"/>
  </r>
  <r>
    <d v="2026-03-19T00:00:00"/>
    <x v="4"/>
    <s v="SUMAK"/>
    <m/>
    <x v="1"/>
    <s v="ST00000001708"/>
    <s v="SATIŞ - ANNE - EMANET"/>
    <s v="NAKİT"/>
    <n v="1"/>
    <n v="500"/>
    <n v="0"/>
    <n v="0"/>
    <m/>
    <m/>
    <m/>
    <m/>
    <n v="500"/>
    <n v="0"/>
    <n v="67071.642167016107"/>
  </r>
  <r>
    <d v="2026-03-19T00:00:00"/>
    <x v="4"/>
    <s v="KARABİBER ÇEKİLMİŞ"/>
    <m/>
    <x v="1"/>
    <s v="ST00000001708"/>
    <s v="SATIŞ - ANNE - EMANET"/>
    <s v="NAKİT"/>
    <n v="0.76923076923076927"/>
    <n v="650"/>
    <n v="0"/>
    <n v="0"/>
    <m/>
    <m/>
    <m/>
    <m/>
    <n v="500"/>
    <n v="0"/>
    <n v="67571.642167016107"/>
  </r>
  <r>
    <d v="2026-03-19T00:00:00"/>
    <x v="4"/>
    <s v="HASEVLİK"/>
    <m/>
    <x v="1"/>
    <s v="ST00000001708"/>
    <s v="SATIŞ - ANNE - EMANET"/>
    <s v="NAKİT"/>
    <n v="1.1111111111111112"/>
    <n v="450"/>
    <n v="0"/>
    <n v="0"/>
    <m/>
    <m/>
    <m/>
    <m/>
    <n v="500"/>
    <n v="0"/>
    <n v="68071.642167016107"/>
  </r>
  <r>
    <d v="2026-03-19T00:00:00"/>
    <x v="4"/>
    <s v="TOZ BİBER - TATLI"/>
    <m/>
    <x v="1"/>
    <s v="ST00000001708"/>
    <s v="SATIŞ - ANNE - EMANET"/>
    <s v="NAKİT"/>
    <n v="1.25"/>
    <n v="400"/>
    <n v="0"/>
    <n v="0"/>
    <m/>
    <m/>
    <m/>
    <m/>
    <n v="500"/>
    <n v="0"/>
    <n v="68571.642167016107"/>
  </r>
  <r>
    <d v="2026-03-19T00:00:00"/>
    <x v="4"/>
    <s v="DOLMALIK KURU PATLICAN"/>
    <m/>
    <x v="1"/>
    <s v="ST00000001708"/>
    <s v="SATIŞ - ANNE - EMANET"/>
    <s v="NAKİT"/>
    <n v="5"/>
    <n v="250"/>
    <n v="0"/>
    <n v="0"/>
    <m/>
    <m/>
    <m/>
    <m/>
    <n v="1250"/>
    <n v="0"/>
    <n v="69821.642167016107"/>
  </r>
  <r>
    <d v="2026-03-19T00:00:00"/>
    <x v="4"/>
    <s v="DOLMALIK SARI BİBER"/>
    <m/>
    <x v="1"/>
    <s v="ST00000001708"/>
    <s v="SATIŞ - ANNE - EMANET"/>
    <s v="NAKİT"/>
    <n v="2"/>
    <n v="250"/>
    <n v="0"/>
    <n v="0"/>
    <m/>
    <m/>
    <m/>
    <m/>
    <n v="500"/>
    <n v="0"/>
    <n v="70321.642167016107"/>
  </r>
  <r>
    <d v="2026-03-19T00:00:00"/>
    <x v="4"/>
    <s v="SALÇA TATLI (EV YAPIMI)"/>
    <m/>
    <x v="1"/>
    <s v="ST00000001708"/>
    <s v="SATIŞ - ANNE - EMANET"/>
    <s v="NAKİT"/>
    <n v="5"/>
    <n v="200"/>
    <n v="0"/>
    <n v="0"/>
    <m/>
    <m/>
    <m/>
    <m/>
    <n v="1000"/>
    <n v="0"/>
    <n v="71321.642167016107"/>
  </r>
  <r>
    <d v="2026-03-19T00:00:00"/>
    <x v="4"/>
    <s v="DOMATES SALÇASI"/>
    <m/>
    <x v="1"/>
    <s v="ST00000001708"/>
    <s v="SATIŞ - ANNE - EMANET"/>
    <s v="NAKİT"/>
    <n v="3"/>
    <n v="150"/>
    <n v="0"/>
    <n v="0"/>
    <m/>
    <m/>
    <m/>
    <m/>
    <n v="450"/>
    <n v="0"/>
    <n v="71771.642167016107"/>
  </r>
  <r>
    <d v="2026-03-23T00:00:00"/>
    <x v="4"/>
    <s v="HİMALAYA TUZU PEMBE ÖĞÜTÜLMÜŞ"/>
    <m/>
    <x v="1"/>
    <s v="ST00000001709"/>
    <s v="SATIŞ"/>
    <s v="NAKİT"/>
    <n v="0.5"/>
    <n v="140"/>
    <n v="0"/>
    <n v="0"/>
    <m/>
    <m/>
    <m/>
    <m/>
    <n v="70"/>
    <n v="0"/>
    <n v="71841.642167016107"/>
  </r>
  <r>
    <d v="2026-03-23T00:00:00"/>
    <x v="4"/>
    <s v="GÜNAYDIN KAYA TUZU İNCE"/>
    <m/>
    <x v="1"/>
    <s v="ST00000001709"/>
    <s v="SATIŞ"/>
    <s v="NAKİT"/>
    <n v="0.5"/>
    <n v="80"/>
    <n v="0"/>
    <n v="0"/>
    <m/>
    <m/>
    <m/>
    <m/>
    <n v="40"/>
    <n v="0"/>
    <n v="71881.642167016107"/>
  </r>
  <r>
    <d v="2026-03-23T00:00:00"/>
    <x v="4"/>
    <s v="HİNT YAĞI 50 CC"/>
    <m/>
    <x v="5"/>
    <s v="ST00000001710"/>
    <s v="SATIŞ"/>
    <s v="POS"/>
    <n v="1"/>
    <n v="130"/>
    <n v="130"/>
    <n v="0"/>
    <m/>
    <m/>
    <m/>
    <m/>
    <n v="0"/>
    <n v="0"/>
    <n v="71881.642167016107"/>
  </r>
  <r>
    <d v="2026-03-23T00:00:00"/>
    <x v="4"/>
    <s v="LAVANTA YAĞI 10 CC"/>
    <m/>
    <x v="5"/>
    <s v="ST00000001710"/>
    <s v="SATIŞ"/>
    <s v="POS"/>
    <n v="1"/>
    <n v="130"/>
    <n v="130"/>
    <n v="0"/>
    <m/>
    <m/>
    <m/>
    <m/>
    <n v="0"/>
    <n v="0"/>
    <n v="71881.642167016107"/>
  </r>
  <r>
    <d v="2026-03-23T00:00:00"/>
    <x v="4"/>
    <s v="NBN DAĞ İNCİRİ"/>
    <m/>
    <x v="5"/>
    <s v="ST00000001710"/>
    <s v="SATIŞ"/>
    <s v="POS"/>
    <n v="0.35"/>
    <n v="800"/>
    <n v="280"/>
    <n v="0"/>
    <m/>
    <m/>
    <m/>
    <m/>
    <n v="0"/>
    <n v="0"/>
    <n v="71881.642167016107"/>
  </r>
  <r>
    <d v="2026-03-23T00:00:00"/>
    <x v="4"/>
    <s v="AKGÜNLÜK BAHUR"/>
    <m/>
    <x v="1"/>
    <s v="ST00000001711"/>
    <s v="SATIŞ"/>
    <s v="NAKİT"/>
    <n v="0.1"/>
    <n v="2000"/>
    <n v="0"/>
    <n v="0"/>
    <m/>
    <m/>
    <m/>
    <m/>
    <n v="200"/>
    <n v="0"/>
    <n v="72081.642167016107"/>
  </r>
  <r>
    <d v="2026-03-23T00:00:00"/>
    <x v="4"/>
    <s v="KONTES HAMAM OTU - TÜY DÖKÜCÜ"/>
    <m/>
    <x v="1"/>
    <s v="ST00000001711"/>
    <s v="SATIŞ"/>
    <s v="NAKİT"/>
    <n v="3"/>
    <n v="15"/>
    <n v="0"/>
    <n v="0"/>
    <m/>
    <m/>
    <m/>
    <m/>
    <n v="45"/>
    <n v="0"/>
    <n v="72126.642167016107"/>
  </r>
  <r>
    <d v="2026-03-23T00:00:00"/>
    <x v="4"/>
    <s v="CHİA TOHUMU DÖKME"/>
    <m/>
    <x v="5"/>
    <s v="ST00000001712"/>
    <s v="SATIŞ"/>
    <s v="POS"/>
    <n v="0.5"/>
    <n v="300"/>
    <n v="150"/>
    <n v="0"/>
    <m/>
    <m/>
    <m/>
    <m/>
    <n v="0"/>
    <n v="0"/>
    <n v="72126.642167016107"/>
  </r>
  <r>
    <d v="2026-03-23T00:00:00"/>
    <x v="4"/>
    <s v="SALÇA ACI (EV YAPIMI)"/>
    <m/>
    <x v="1"/>
    <s v="ST00000001713"/>
    <s v="SATIŞ - NECAT"/>
    <s v="NAKİT"/>
    <n v="2"/>
    <n v="200"/>
    <n v="0"/>
    <n v="0"/>
    <m/>
    <m/>
    <m/>
    <m/>
    <n v="400"/>
    <n v="0"/>
    <n v="72526.642167016107"/>
  </r>
  <r>
    <d v="2026-03-23T00:00:00"/>
    <x v="4"/>
    <s v="DOMATES SALÇASI"/>
    <m/>
    <x v="1"/>
    <s v="ST00000001713"/>
    <s v="SATIŞ - NECAT"/>
    <s v="NAKİT"/>
    <n v="2"/>
    <n v="150"/>
    <n v="0"/>
    <n v="0"/>
    <m/>
    <m/>
    <m/>
    <m/>
    <n v="300"/>
    <n v="0"/>
    <n v="72826.642167016107"/>
  </r>
  <r>
    <d v="2026-03-23T00:00:00"/>
    <x v="4"/>
    <s v="MOR REYHAN"/>
    <m/>
    <x v="1"/>
    <s v="ST00000001713"/>
    <s v="SATIŞ - NECAT"/>
    <s v="NAKİT"/>
    <n v="0.05"/>
    <n v="1400"/>
    <n v="0"/>
    <n v="0"/>
    <m/>
    <m/>
    <m/>
    <m/>
    <n v="70"/>
    <n v="0"/>
    <n v="72896.642167016107"/>
  </r>
  <r>
    <d v="2026-03-23T00:00:00"/>
    <x v="4"/>
    <s v="CİVAN PERÇEMİ"/>
    <m/>
    <x v="15"/>
    <s v="ST00000001714"/>
    <s v="SATIŞ - ÖZNUR"/>
    <s v="CARİ"/>
    <n v="0.06"/>
    <n v="1000"/>
    <n v="60"/>
    <n v="0"/>
    <m/>
    <m/>
    <m/>
    <m/>
    <n v="0"/>
    <n v="0"/>
    <n v="72896.642167016107"/>
  </r>
  <r>
    <d v="2026-03-23T00:00:00"/>
    <x v="4"/>
    <s v="HAYIT TOHUMU"/>
    <m/>
    <x v="15"/>
    <s v="ST00000001714"/>
    <s v="SATIŞ - ÖZNUR"/>
    <s v="CARİ"/>
    <n v="0.1"/>
    <n v="900"/>
    <n v="90"/>
    <n v="0"/>
    <m/>
    <m/>
    <m/>
    <m/>
    <n v="0"/>
    <n v="0"/>
    <n v="72896.642167016107"/>
  </r>
  <r>
    <d v="2026-03-23T00:00:00"/>
    <x v="4"/>
    <s v="MOR REYHAN"/>
    <m/>
    <x v="1"/>
    <s v="ST00000001715"/>
    <s v="SATIŞ - SEVDA"/>
    <s v="NAKİT"/>
    <n v="0.1"/>
    <n v="1400"/>
    <n v="0"/>
    <n v="0"/>
    <m/>
    <m/>
    <m/>
    <m/>
    <n v="140"/>
    <n v="0"/>
    <n v="73036.642167016107"/>
  </r>
  <r>
    <d v="2026-03-23T00:00:00"/>
    <x v="4"/>
    <s v="SALÇA ACI (EV YAPIMI)"/>
    <m/>
    <x v="1"/>
    <s v="ST00000001716"/>
    <s v="SATIŞ - ÖZLEM"/>
    <s v="NAKİT"/>
    <n v="1"/>
    <n v="200"/>
    <n v="0"/>
    <n v="0"/>
    <m/>
    <m/>
    <m/>
    <m/>
    <n v="200"/>
    <n v="0"/>
    <n v="73236.642167016107"/>
  </r>
  <r>
    <d v="2026-03-23T00:00:00"/>
    <x v="4"/>
    <s v="MOR REYHAN"/>
    <m/>
    <x v="1"/>
    <s v="ST00000001716"/>
    <s v="SATIŞ - ÖZLEM"/>
    <s v="NAKİT"/>
    <n v="0.05"/>
    <n v="1400"/>
    <n v="0"/>
    <n v="0"/>
    <m/>
    <m/>
    <m/>
    <m/>
    <n v="70"/>
    <n v="0"/>
    <n v="73306.642167016107"/>
  </r>
  <r>
    <d v="2026-03-23T00:00:00"/>
    <x v="4"/>
    <s v="BOZ ANTEP FISTIK İÇİ"/>
    <m/>
    <x v="5"/>
    <s v="ST00000001717"/>
    <s v="SATIŞ"/>
    <s v="POS"/>
    <n v="0.1"/>
    <n v="2700"/>
    <n v="270"/>
    <n v="0"/>
    <m/>
    <m/>
    <m/>
    <m/>
    <n v="0"/>
    <n v="0"/>
    <n v="73306.642167016107"/>
  </r>
  <r>
    <d v="2026-03-23T00:00:00"/>
    <x v="4"/>
    <s v="YENİ MAHSÜL PAPATYA"/>
    <m/>
    <x v="5"/>
    <s v="ST00000001718"/>
    <s v="SATIŞ"/>
    <s v="POS"/>
    <n v="0.05"/>
    <n v="1800"/>
    <n v="90"/>
    <n v="0"/>
    <m/>
    <m/>
    <m/>
    <m/>
    <n v="0"/>
    <n v="0"/>
    <n v="73306.642167016107"/>
  </r>
  <r>
    <d v="2026-03-23T00:00:00"/>
    <x v="4"/>
    <s v="KEKİK YAĞI 10 CC"/>
    <m/>
    <x v="1"/>
    <s v="ST00000001719"/>
    <s v="SATIŞ"/>
    <s v="NAKİT"/>
    <n v="1"/>
    <n v="180"/>
    <n v="0"/>
    <n v="0"/>
    <m/>
    <m/>
    <m/>
    <m/>
    <n v="180"/>
    <n v="0"/>
    <n v="73486.642167016107"/>
  </r>
  <r>
    <d v="2026-03-23T00:00:00"/>
    <x v="4"/>
    <s v="KABUKLU CEVİZ (YERLİ)"/>
    <m/>
    <x v="1"/>
    <s v="ST00000001720"/>
    <s v="SATIŞ"/>
    <s v="NAKİT"/>
    <n v="1"/>
    <n v="250"/>
    <n v="0"/>
    <n v="0"/>
    <m/>
    <m/>
    <m/>
    <m/>
    <n v="250"/>
    <n v="0"/>
    <n v="73736.642167016107"/>
  </r>
  <r>
    <d v="2026-03-23T00:00:00"/>
    <x v="4"/>
    <s v="TÜDAB KEÇİ BOYNUZU (DÖKME)"/>
    <m/>
    <x v="1"/>
    <s v="ST00000001721"/>
    <s v="SATIŞ"/>
    <s v="NAKİT"/>
    <n v="0.44400000000000001"/>
    <n v="350"/>
    <n v="0"/>
    <n v="0"/>
    <m/>
    <m/>
    <m/>
    <m/>
    <n v="155.4"/>
    <n v="0"/>
    <n v="73892.042167016101"/>
  </r>
  <r>
    <d v="2026-03-23T00:00:00"/>
    <x v="2"/>
    <m/>
    <s v="DEMİRBAŞ"/>
    <x v="1"/>
    <m/>
    <s v="SALÇA ÜSTÜ TEZGAH"/>
    <s v="NAKİT"/>
    <n v="1"/>
    <n v="4600"/>
    <n v="0"/>
    <n v="0"/>
    <m/>
    <m/>
    <m/>
    <m/>
    <n v="0"/>
    <n v="4600"/>
    <n v="69292.042167016101"/>
  </r>
  <r>
    <d v="2026-03-23T00:00:00"/>
    <x v="10"/>
    <m/>
    <m/>
    <x v="5"/>
    <m/>
    <s v="ON NUMARA POS ÇÖZÜMÜ - ELEKTRİK TEMİNAT GİDERİ"/>
    <s v="POS"/>
    <n v="1"/>
    <n v="1865"/>
    <n v="0"/>
    <n v="1865"/>
    <m/>
    <m/>
    <m/>
    <m/>
    <n v="1865"/>
    <n v="0"/>
    <n v="71157.042167016101"/>
  </r>
  <r>
    <d v="2026-03-23T00:00:00"/>
    <x v="1"/>
    <m/>
    <s v="FATURA GİDERLERİ"/>
    <x v="1"/>
    <m/>
    <s v="ON NUMARA POS ÇÖZÜMÜ - ELEKTRİK TEMİNAT GİDERİ"/>
    <s v="NAKİT"/>
    <n v="1"/>
    <n v="1865"/>
    <n v="0"/>
    <n v="0"/>
    <m/>
    <m/>
    <m/>
    <m/>
    <n v="0"/>
    <n v="1865"/>
    <n v="69292.042167016101"/>
  </r>
  <r>
    <d v="2026-03-23T00:00:00"/>
    <x v="1"/>
    <m/>
    <s v="GİDER SAYILAN DEMİRBAŞ"/>
    <x v="1"/>
    <m/>
    <s v="KÜÇÜK HASSAS TARTI"/>
    <s v="NAKİT"/>
    <n v="1"/>
    <n v="150"/>
    <n v="0"/>
    <n v="0"/>
    <m/>
    <m/>
    <m/>
    <m/>
    <n v="0"/>
    <n v="150"/>
    <n v="69142.042167016101"/>
  </r>
  <r>
    <d v="2026-03-24T00:00:00"/>
    <x v="4"/>
    <s v="İPEK BİBER"/>
    <m/>
    <x v="5"/>
    <s v="ST00000001722"/>
    <s v="SATIŞ"/>
    <s v="POS"/>
    <n v="0.188"/>
    <n v="500"/>
    <n v="94"/>
    <n v="0"/>
    <m/>
    <m/>
    <m/>
    <m/>
    <n v="0"/>
    <n v="0"/>
    <n v="69142.042167016101"/>
  </r>
  <r>
    <d v="2026-03-24T00:00:00"/>
    <x v="4"/>
    <s v="İSOT"/>
    <m/>
    <x v="5"/>
    <s v="ST00000001722"/>
    <s v="SATIŞ"/>
    <s v="POS"/>
    <n v="0.09"/>
    <n v="400"/>
    <n v="36"/>
    <n v="0"/>
    <m/>
    <m/>
    <m/>
    <m/>
    <n v="0"/>
    <n v="0"/>
    <n v="69142.042167016101"/>
  </r>
  <r>
    <d v="2026-03-24T00:00:00"/>
    <x v="4"/>
    <s v="SUMAK"/>
    <m/>
    <x v="5"/>
    <s v="ST00000001722"/>
    <s v="SATIŞ"/>
    <s v="POS"/>
    <n v="0.186"/>
    <n v="500"/>
    <n v="93"/>
    <n v="0"/>
    <m/>
    <m/>
    <m/>
    <m/>
    <n v="0"/>
    <n v="0"/>
    <n v="69142.042167016101"/>
  </r>
  <r>
    <d v="2026-03-24T00:00:00"/>
    <x v="4"/>
    <s v="EL-RUHA ÇAY (AÇIK)"/>
    <m/>
    <x v="5"/>
    <s v="ST00000001722"/>
    <s v="SATIŞ"/>
    <s v="POS"/>
    <n v="0.16666666666666666"/>
    <n v="600"/>
    <n v="100"/>
    <n v="0"/>
    <m/>
    <m/>
    <m/>
    <m/>
    <n v="0"/>
    <n v="0"/>
    <n v="69142.042167016101"/>
  </r>
  <r>
    <d v="2026-03-24T00:00:00"/>
    <x v="4"/>
    <s v="İZMİR ÜZÜMÜ"/>
    <m/>
    <x v="1"/>
    <s v="ST00000001723"/>
    <s v="SATIŞ"/>
    <s v="NAKİT"/>
    <n v="1"/>
    <n v="250"/>
    <n v="0"/>
    <n v="0"/>
    <m/>
    <m/>
    <m/>
    <m/>
    <n v="250"/>
    <n v="0"/>
    <n v="69392.042167016101"/>
  </r>
  <r>
    <d v="2026-03-24T00:00:00"/>
    <x v="4"/>
    <s v="İPEK BİBER"/>
    <m/>
    <x v="1"/>
    <s v="ST00000001723"/>
    <s v="SATIŞ"/>
    <s v="NAKİT"/>
    <n v="0.1"/>
    <n v="500"/>
    <n v="0"/>
    <n v="0"/>
    <m/>
    <m/>
    <m/>
    <m/>
    <n v="50"/>
    <n v="0"/>
    <n v="69442.042167016101"/>
  </r>
  <r>
    <d v="2026-03-24T00:00:00"/>
    <x v="4"/>
    <s v="DOLMALIK KURU PATLICAN"/>
    <m/>
    <x v="1"/>
    <s v="ST00000001724"/>
    <s v="SATIŞ"/>
    <s v="NAKİT"/>
    <n v="1"/>
    <n v="250"/>
    <n v="0"/>
    <n v="0"/>
    <m/>
    <m/>
    <m/>
    <m/>
    <n v="250"/>
    <n v="0"/>
    <n v="69692.042167016101"/>
  </r>
  <r>
    <d v="2026-03-24T00:00:00"/>
    <x v="4"/>
    <s v="KARANFİL"/>
    <m/>
    <x v="1"/>
    <s v="ST00000001725"/>
    <s v="SATIŞ"/>
    <s v="NAKİT"/>
    <n v="0.05"/>
    <n v="1200"/>
    <n v="0"/>
    <n v="0"/>
    <m/>
    <m/>
    <m/>
    <m/>
    <n v="60"/>
    <n v="0"/>
    <n v="69752.042167016101"/>
  </r>
  <r>
    <d v="2026-03-24T00:00:00"/>
    <x v="4"/>
    <s v="KIRMIZI PUL BİBER TATLI"/>
    <m/>
    <x v="1"/>
    <s v="ST00000001726"/>
    <s v="SATIŞ"/>
    <s v="NAKİT"/>
    <n v="0.27777777777777779"/>
    <n v="360"/>
    <n v="0"/>
    <n v="0"/>
    <m/>
    <m/>
    <m/>
    <m/>
    <n v="100"/>
    <n v="0"/>
    <n v="69852.042167016101"/>
  </r>
  <r>
    <d v="2026-03-24T00:00:00"/>
    <x v="4"/>
    <s v="KAFFKA DİBEK KAHVESİ 150 GR"/>
    <m/>
    <x v="1"/>
    <s v="ST00000001727"/>
    <s v="SATIŞ"/>
    <s v="NAKİT"/>
    <n v="1"/>
    <n v="65"/>
    <n v="0"/>
    <n v="0"/>
    <m/>
    <m/>
    <m/>
    <m/>
    <n v="65"/>
    <n v="0"/>
    <n v="69917.042167016101"/>
  </r>
  <r>
    <d v="2026-03-24T00:00:00"/>
    <x v="4"/>
    <s v="KINA RGS DÖKME"/>
    <m/>
    <x v="1"/>
    <s v="ST00000001728"/>
    <s v="SATIŞ"/>
    <s v="NAKİT"/>
    <n v="0.25"/>
    <n v="400"/>
    <n v="0"/>
    <n v="0"/>
    <m/>
    <m/>
    <m/>
    <m/>
    <n v="100"/>
    <n v="0"/>
    <n v="70017.042167016101"/>
  </r>
  <r>
    <d v="2026-03-24T00:00:00"/>
    <x v="4"/>
    <s v="DOLMALIK KURU PATLICAN"/>
    <m/>
    <x v="5"/>
    <s v="ST00000001729"/>
    <s v="SATIŞ"/>
    <s v="POS"/>
    <n v="1"/>
    <n v="250"/>
    <n v="250"/>
    <n v="0"/>
    <m/>
    <m/>
    <m/>
    <m/>
    <n v="0"/>
    <n v="0"/>
    <n v="70017.042167016101"/>
  </r>
  <r>
    <d v="2026-03-24T00:00:00"/>
    <x v="4"/>
    <s v="DOLMALIK SARI BİBER"/>
    <m/>
    <x v="5"/>
    <s v="ST00000001729"/>
    <s v="SATIŞ"/>
    <s v="POS"/>
    <n v="1"/>
    <n v="250"/>
    <n v="250"/>
    <n v="0"/>
    <m/>
    <m/>
    <m/>
    <m/>
    <n v="0"/>
    <n v="0"/>
    <n v="70017.042167016101"/>
  </r>
  <r>
    <d v="2026-03-24T00:00:00"/>
    <x v="4"/>
    <s v="LİMONSOSU 1 KG"/>
    <m/>
    <x v="5"/>
    <s v="ST00000001729"/>
    <s v="SATIŞ"/>
    <s v="POS"/>
    <n v="1"/>
    <n v="80"/>
    <n v="80"/>
    <n v="0"/>
    <m/>
    <m/>
    <m/>
    <m/>
    <n v="0"/>
    <n v="0"/>
    <n v="70017.042167016101"/>
  </r>
  <r>
    <d v="2026-03-24T00:00:00"/>
    <x v="4"/>
    <s v="NATTE LEZZET SOSU 980 GR"/>
    <m/>
    <x v="5"/>
    <s v="ST00000001729"/>
    <s v="SATIŞ"/>
    <s v="POS"/>
    <n v="1"/>
    <n v="100"/>
    <n v="100"/>
    <n v="0"/>
    <m/>
    <m/>
    <m/>
    <m/>
    <n v="0"/>
    <n v="0"/>
    <n v="70017.042167016101"/>
  </r>
  <r>
    <d v="2026-03-24T00:00:00"/>
    <x v="4"/>
    <s v="ÇEBELİZADE NİOLİ YAĞI 20 ML"/>
    <m/>
    <x v="5"/>
    <s v="ST00000001730"/>
    <s v="SATIŞ"/>
    <s v="POS"/>
    <n v="1"/>
    <n v="165"/>
    <n v="165"/>
    <n v="0"/>
    <m/>
    <m/>
    <m/>
    <m/>
    <n v="0"/>
    <n v="0"/>
    <n v="70017.042167016101"/>
  </r>
  <r>
    <d v="2026-03-24T00:00:00"/>
    <x v="4"/>
    <s v="HASEVLİK"/>
    <m/>
    <x v="5"/>
    <s v="ST00000001731"/>
    <s v="SATIŞ"/>
    <s v="POS"/>
    <n v="0.22222222222222221"/>
    <n v="450"/>
    <n v="100"/>
    <n v="0"/>
    <m/>
    <m/>
    <m/>
    <m/>
    <n v="0"/>
    <n v="0"/>
    <n v="70017.042167016101"/>
  </r>
  <r>
    <d v="2026-03-24T00:00:00"/>
    <x v="4"/>
    <s v="TOZ BİBER - TATLI"/>
    <m/>
    <x v="5"/>
    <s v="ST00000001731"/>
    <s v="SATIŞ"/>
    <s v="POS"/>
    <n v="0.25"/>
    <n v="400"/>
    <n v="100"/>
    <n v="0"/>
    <m/>
    <m/>
    <m/>
    <m/>
    <n v="0"/>
    <n v="0"/>
    <n v="70017.042167016101"/>
  </r>
  <r>
    <d v="2026-03-24T00:00:00"/>
    <x v="4"/>
    <s v="ACVE SARI"/>
    <m/>
    <x v="5"/>
    <s v="ST00000001731"/>
    <s v="SATIŞ"/>
    <s v="POS"/>
    <n v="0.25"/>
    <n v="400"/>
    <n v="100"/>
    <n v="0"/>
    <m/>
    <m/>
    <m/>
    <m/>
    <n v="0"/>
    <n v="0"/>
    <n v="70017.042167016101"/>
  </r>
  <r>
    <d v="2026-03-24T00:00:00"/>
    <x v="4"/>
    <s v="ÇİĞ KABAK ÇEKİRDEĞİ"/>
    <m/>
    <x v="5"/>
    <s v="ST00000001731"/>
    <s v="SATIŞ"/>
    <s v="POS"/>
    <n v="0.27906976744186046"/>
    <n v="430"/>
    <n v="120"/>
    <n v="0"/>
    <m/>
    <m/>
    <m/>
    <m/>
    <n v="0"/>
    <n v="0"/>
    <n v="70017.042167016101"/>
  </r>
  <r>
    <d v="2026-03-24T00:00:00"/>
    <x v="4"/>
    <s v="AYÇEKİRDEĞİ DAKOTA TUZSUZ EKSTRA"/>
    <m/>
    <x v="5"/>
    <s v="ST00000001731"/>
    <s v="SATIŞ"/>
    <s v="POS"/>
    <n v="0.2608695652173913"/>
    <n v="230"/>
    <n v="60"/>
    <n v="0"/>
    <m/>
    <m/>
    <m/>
    <m/>
    <n v="0"/>
    <n v="0"/>
    <n v="70017.042167016101"/>
  </r>
  <r>
    <d v="2026-03-24T00:00:00"/>
    <x v="4"/>
    <s v="LEBLEBİ ÇİFTE SARI"/>
    <m/>
    <x v="5"/>
    <s v="ST00000001731"/>
    <s v="SATIŞ"/>
    <s v="POS"/>
    <n v="0.20833333333333334"/>
    <n v="240"/>
    <n v="50"/>
    <n v="0"/>
    <m/>
    <m/>
    <m/>
    <m/>
    <n v="0"/>
    <n v="0"/>
    <n v="70017.042167016101"/>
  </r>
  <r>
    <d v="2026-03-24T00:00:00"/>
    <x v="4"/>
    <s v="MANİSA YAPRAK DÖKME"/>
    <m/>
    <x v="5"/>
    <s v="ST00000001732"/>
    <s v="SATIŞ"/>
    <s v="POS"/>
    <n v="1.2"/>
    <n v="350"/>
    <n v="420"/>
    <n v="0"/>
    <m/>
    <m/>
    <m/>
    <m/>
    <n v="0"/>
    <n v="0"/>
    <n v="70017.042167016101"/>
  </r>
  <r>
    <d v="2026-03-24T00:00:00"/>
    <x v="4"/>
    <s v="ZENCEFİL TANE"/>
    <m/>
    <x v="1"/>
    <s v="ST00000001733"/>
    <s v="SATIŞ"/>
    <s v="NAKİT"/>
    <n v="8.2500000000000004E-2"/>
    <n v="400"/>
    <n v="0"/>
    <n v="0"/>
    <m/>
    <m/>
    <m/>
    <m/>
    <n v="33"/>
    <n v="0"/>
    <n v="70050.042167016101"/>
  </r>
  <r>
    <d v="2026-03-24T00:00:00"/>
    <x v="4"/>
    <s v="MECİTEFENDİ MİSVAK ÖZLÜ DOĞAL DİŞ MACUNU 75 ml"/>
    <m/>
    <x v="1"/>
    <s v="ST00000001734"/>
    <s v="SATIŞ"/>
    <s v="NAKİT"/>
    <n v="1"/>
    <n v="130"/>
    <n v="0"/>
    <n v="0"/>
    <m/>
    <m/>
    <m/>
    <m/>
    <n v="130"/>
    <n v="0"/>
    <n v="70180.042167016101"/>
  </r>
  <r>
    <d v="2026-03-24T00:00:00"/>
    <x v="4"/>
    <s v="MİSVAK KUTULU (HOLDER)"/>
    <m/>
    <x v="1"/>
    <s v="ST00000001734"/>
    <s v="SATIŞ"/>
    <s v="NAKİT"/>
    <n v="1"/>
    <n v="30"/>
    <n v="0"/>
    <n v="0"/>
    <m/>
    <m/>
    <m/>
    <m/>
    <n v="30"/>
    <n v="0"/>
    <n v="70210.042167016101"/>
  </r>
  <r>
    <d v="2026-03-24T00:00:00"/>
    <x v="4"/>
    <s v="TÜDAB KEÇİ BOYNUZU (DÖKME)"/>
    <m/>
    <x v="1"/>
    <s v="ST00000001734"/>
    <s v="SATIŞ"/>
    <s v="NAKİT"/>
    <n v="9.4E-2"/>
    <n v="350"/>
    <n v="0"/>
    <n v="0"/>
    <m/>
    <m/>
    <m/>
    <m/>
    <n v="32.9"/>
    <n v="0"/>
    <n v="70242.942167016095"/>
  </r>
  <r>
    <d v="2026-03-24T00:00:00"/>
    <x v="4"/>
    <s v="GÜNBAK 3Ü1 ARADA SADE KUTU 40 ADET"/>
    <m/>
    <x v="1"/>
    <s v="ST00000001734"/>
    <s v="SATIŞ"/>
    <s v="NAKİT"/>
    <n v="1"/>
    <n v="10"/>
    <n v="0"/>
    <n v="0"/>
    <m/>
    <m/>
    <m/>
    <m/>
    <n v="10"/>
    <n v="0"/>
    <n v="70252.942167016095"/>
  </r>
  <r>
    <d v="2026-03-24T00:00:00"/>
    <x v="4"/>
    <s v="FORTEM AĞRI KESİCİ KREM"/>
    <m/>
    <x v="5"/>
    <s v="ST00000001735"/>
    <s v="SATIŞ"/>
    <s v="POS"/>
    <n v="1"/>
    <n v="350"/>
    <n v="350"/>
    <n v="0"/>
    <m/>
    <m/>
    <m/>
    <m/>
    <n v="0"/>
    <n v="0"/>
    <n v="70252.942167016095"/>
  </r>
  <r>
    <d v="2026-03-24T00:00:00"/>
    <x v="1"/>
    <m/>
    <s v="VERGİ VE HARÇLAR"/>
    <x v="1"/>
    <m/>
    <s v="ESNAF SANATKARLAR FAALİYET BELGESİ"/>
    <s v="NAKİT"/>
    <n v="1"/>
    <n v="331"/>
    <n v="0"/>
    <n v="0"/>
    <m/>
    <m/>
    <m/>
    <m/>
    <n v="0"/>
    <n v="331"/>
    <n v="69921.942167016095"/>
  </r>
  <r>
    <d v="2026-03-25T00:00:00"/>
    <x v="4"/>
    <s v="DOLMALIK KURU PATLICAN"/>
    <m/>
    <x v="1"/>
    <s v="ST00000001736"/>
    <s v="SATIŞ"/>
    <s v="NAKİT"/>
    <n v="1"/>
    <n v="250"/>
    <n v="0"/>
    <n v="0"/>
    <m/>
    <m/>
    <m/>
    <m/>
    <n v="250"/>
    <n v="0"/>
    <n v="70171.942167016095"/>
  </r>
  <r>
    <d v="2026-03-25T00:00:00"/>
    <x v="4"/>
    <s v="MANİSA YAPRAK DÖKME"/>
    <m/>
    <x v="1"/>
    <s v="ST00000001736"/>
    <s v="SATIŞ"/>
    <s v="NAKİT"/>
    <n v="0.5"/>
    <n v="350"/>
    <n v="0"/>
    <n v="0"/>
    <m/>
    <m/>
    <m/>
    <m/>
    <n v="175"/>
    <n v="0"/>
    <n v="70346.942167016095"/>
  </r>
  <r>
    <d v="2026-03-25T00:00:00"/>
    <x v="4"/>
    <s v="TOZ BİBER - TATLI"/>
    <m/>
    <x v="1"/>
    <s v="ST00000001736"/>
    <s v="SATIŞ"/>
    <s v="NAKİT"/>
    <n v="9.2499999999999999E-2"/>
    <n v="400"/>
    <n v="0"/>
    <n v="0"/>
    <m/>
    <m/>
    <m/>
    <m/>
    <n v="37"/>
    <n v="0"/>
    <n v="70383.942167016095"/>
  </r>
  <r>
    <d v="2026-03-25T00:00:00"/>
    <x v="4"/>
    <s v="LİMONTUZU PARCA"/>
    <m/>
    <x v="5"/>
    <s v="ST00000001737"/>
    <s v="SATIŞ"/>
    <s v="POS"/>
    <n v="0.27777777777777779"/>
    <n v="180"/>
    <n v="50"/>
    <n v="0"/>
    <m/>
    <m/>
    <m/>
    <m/>
    <n v="0"/>
    <n v="0"/>
    <n v="70383.942167016095"/>
  </r>
  <r>
    <d v="2026-03-25T00:00:00"/>
    <x v="4"/>
    <s v="RUŞUR TAŞI"/>
    <m/>
    <x v="1"/>
    <s v="ST00000001738"/>
    <s v="SATIŞ"/>
    <s v="NAKİT"/>
    <n v="1"/>
    <n v="20"/>
    <n v="0"/>
    <n v="0"/>
    <m/>
    <m/>
    <m/>
    <m/>
    <n v="20"/>
    <n v="0"/>
    <n v="70403.942167016095"/>
  </r>
  <r>
    <d v="2026-03-25T00:00:00"/>
    <x v="4"/>
    <s v="DOLMALIK KURU PATLICAN"/>
    <m/>
    <x v="1"/>
    <s v="ST00000001738"/>
    <s v="SATIŞ"/>
    <s v="NAKİT"/>
    <n v="1"/>
    <n v="250"/>
    <n v="0"/>
    <n v="0"/>
    <m/>
    <m/>
    <m/>
    <m/>
    <n v="250"/>
    <n v="0"/>
    <n v="70653.942167016095"/>
  </r>
  <r>
    <d v="2026-03-25T00:00:00"/>
    <x v="4"/>
    <s v="DOLMALIK KURU TATLI KIRMIZI BİBER"/>
    <m/>
    <x v="1"/>
    <s v="ST00000001738"/>
    <s v="SATIŞ"/>
    <s v="NAKİT"/>
    <n v="1"/>
    <n v="230"/>
    <n v="0"/>
    <n v="0"/>
    <m/>
    <m/>
    <m/>
    <m/>
    <n v="230"/>
    <n v="0"/>
    <n v="70883.942167016095"/>
  </r>
  <r>
    <d v="2026-03-25T00:00:00"/>
    <x v="4"/>
    <s v="DOLMALIK KURU TATLI KIRMIZI BİBER"/>
    <m/>
    <x v="1"/>
    <s v="ST00000001739"/>
    <s v="SATIŞ"/>
    <s v="NAKİT"/>
    <n v="1"/>
    <n v="230"/>
    <n v="0"/>
    <n v="0"/>
    <m/>
    <m/>
    <m/>
    <m/>
    <n v="230"/>
    <n v="0"/>
    <n v="71113.942167016095"/>
  </r>
  <r>
    <d v="2026-03-25T00:00:00"/>
    <x v="4"/>
    <s v="DOLMALIK KURU PATLICAN"/>
    <m/>
    <x v="1"/>
    <s v="ST00000001739"/>
    <s v="SATIŞ"/>
    <s v="NAKİT"/>
    <n v="1"/>
    <n v="250"/>
    <n v="0"/>
    <n v="0"/>
    <m/>
    <m/>
    <m/>
    <m/>
    <n v="250"/>
    <n v="0"/>
    <n v="71363.942167016095"/>
  </r>
  <r>
    <d v="2026-03-25T00:00:00"/>
    <x v="4"/>
    <s v="KANTARON YAĞI 50 CC"/>
    <m/>
    <x v="1"/>
    <s v="ST00000001740"/>
    <s v="SATIŞ"/>
    <s v="NAKİT"/>
    <n v="1"/>
    <n v="125"/>
    <n v="0"/>
    <n v="0"/>
    <m/>
    <m/>
    <m/>
    <m/>
    <n v="125"/>
    <n v="0"/>
    <n v="71488.942167016095"/>
  </r>
  <r>
    <d v="2026-03-25T00:00:00"/>
    <x v="4"/>
    <s v="CİVAN PERÇEMİ"/>
    <m/>
    <x v="1"/>
    <s v="ST00000001741"/>
    <s v="SATIŞ"/>
    <s v="NAKİT"/>
    <n v="0.05"/>
    <n v="1000"/>
    <n v="0"/>
    <n v="0"/>
    <m/>
    <m/>
    <m/>
    <m/>
    <n v="50"/>
    <n v="0"/>
    <n v="71538.942167016095"/>
  </r>
  <r>
    <d v="2026-03-25T00:00:00"/>
    <x v="4"/>
    <s v="HAYIT TOHUMU"/>
    <m/>
    <x v="1"/>
    <s v="ST00000001741"/>
    <s v="SATIŞ"/>
    <s v="NAKİT"/>
    <n v="0.1"/>
    <n v="900"/>
    <n v="0"/>
    <n v="0"/>
    <m/>
    <m/>
    <m/>
    <m/>
    <n v="90"/>
    <n v="0"/>
    <n v="71628.942167016095"/>
  </r>
  <r>
    <d v="2026-03-25T00:00:00"/>
    <x v="4"/>
    <s v="KARABİBER ÇEKİLMİŞ"/>
    <m/>
    <x v="1"/>
    <s v="ST00000001741"/>
    <s v="SATIŞ"/>
    <s v="NAKİT"/>
    <n v="7.6923076923076927E-2"/>
    <n v="650"/>
    <n v="0"/>
    <n v="0"/>
    <m/>
    <m/>
    <m/>
    <m/>
    <n v="50"/>
    <n v="0"/>
    <n v="71678.942167016095"/>
  </r>
  <r>
    <d v="2026-03-25T00:00:00"/>
    <x v="4"/>
    <s v="EL-RUHA ÇAY (AÇIK)"/>
    <m/>
    <x v="5"/>
    <s v="ST00000001742"/>
    <s v="SATIŞ"/>
    <s v="POS"/>
    <n v="0.33333333333333331"/>
    <n v="600"/>
    <n v="200"/>
    <n v="0"/>
    <m/>
    <m/>
    <m/>
    <m/>
    <n v="0"/>
    <n v="0"/>
    <n v="71678.942167016095"/>
  </r>
  <r>
    <d v="2026-03-25T00:00:00"/>
    <x v="4"/>
    <s v="DURMUŞOĞULLARI KATI PEKMEZ TAHTA 700 GR"/>
    <m/>
    <x v="5"/>
    <s v="ST00000001743"/>
    <s v="SATIŞ"/>
    <s v="POS"/>
    <n v="1"/>
    <n v="300"/>
    <n v="300"/>
    <n v="0"/>
    <m/>
    <m/>
    <m/>
    <m/>
    <n v="0"/>
    <n v="0"/>
    <n v="71678.942167016095"/>
  </r>
  <r>
    <d v="2026-03-25T00:00:00"/>
    <x v="4"/>
    <s v="MANİSA YAPRAK DÖKME"/>
    <m/>
    <x v="5"/>
    <s v="ST00000001744"/>
    <s v="SATIŞ"/>
    <s v="POS"/>
    <n v="1"/>
    <n v="350"/>
    <n v="350"/>
    <n v="0"/>
    <m/>
    <m/>
    <m/>
    <m/>
    <n v="0"/>
    <n v="0"/>
    <n v="71678.942167016095"/>
  </r>
  <r>
    <d v="2026-03-25T00:00:00"/>
    <x v="4"/>
    <s v="BİBERİYE"/>
    <m/>
    <x v="1"/>
    <s v="ST00000001745"/>
    <s v="SATIŞ"/>
    <s v="NAKİT"/>
    <n v="0.1"/>
    <n v="900"/>
    <n v="0"/>
    <n v="0"/>
    <m/>
    <m/>
    <m/>
    <m/>
    <n v="90"/>
    <n v="0"/>
    <n v="71768.942167016095"/>
  </r>
  <r>
    <d v="2026-03-25T00:00:00"/>
    <x v="4"/>
    <s v="EVLİK BİBER"/>
    <m/>
    <x v="1"/>
    <s v="ST00000001745"/>
    <s v="SATIŞ"/>
    <s v="NAKİT"/>
    <n v="0.125"/>
    <n v="400"/>
    <n v="0"/>
    <n v="0"/>
    <m/>
    <m/>
    <m/>
    <m/>
    <n v="50"/>
    <n v="0"/>
    <n v="71818.942167016095"/>
  </r>
  <r>
    <d v="2026-03-25T00:00:00"/>
    <x v="4"/>
    <s v="İSOT"/>
    <m/>
    <x v="5"/>
    <s v="ST00000001746"/>
    <s v="SATIŞ"/>
    <s v="POS"/>
    <n v="0.19500000000000001"/>
    <n v="400"/>
    <n v="78"/>
    <n v="0"/>
    <m/>
    <m/>
    <m/>
    <m/>
    <n v="0"/>
    <n v="0"/>
    <n v="71818.942167016095"/>
  </r>
  <r>
    <d v="2026-03-25T00:00:00"/>
    <x v="10"/>
    <m/>
    <m/>
    <x v="5"/>
    <m/>
    <s v="ON NUMARA POS ÇÖZÜMÜ - BELEDİYE RUHSAT"/>
    <s v="POS"/>
    <n v="1"/>
    <n v="10035"/>
    <n v="0"/>
    <n v="10035"/>
    <m/>
    <m/>
    <m/>
    <m/>
    <n v="10035"/>
    <n v="0"/>
    <n v="81853.942167016095"/>
  </r>
  <r>
    <d v="2026-03-25T00:00:00"/>
    <x v="1"/>
    <m/>
    <s v="VERGİ VE HARÇLAR"/>
    <x v="1"/>
    <m/>
    <s v="ON NUMARA POS ÇÖZÜMÜ - BELEDİYE RUHSAT"/>
    <s v="NAKİT"/>
    <n v="1"/>
    <n v="10035"/>
    <n v="0"/>
    <n v="0"/>
    <m/>
    <m/>
    <m/>
    <m/>
    <n v="0"/>
    <n v="10035"/>
    <n v="71818.942167016095"/>
  </r>
  <r>
    <d v="2026-03-25T00:00:00"/>
    <x v="10"/>
    <m/>
    <m/>
    <x v="5"/>
    <m/>
    <s v="ON NUMARA POS ÇÖZÜMÜ - GENÇAY ÖDEME"/>
    <s v="POS"/>
    <n v="1"/>
    <n v="21870"/>
    <n v="0"/>
    <n v="21870"/>
    <m/>
    <m/>
    <m/>
    <m/>
    <m/>
    <n v="0"/>
    <n v="71818.942167016095"/>
  </r>
  <r>
    <d v="2026-03-25T00:00:00"/>
    <x v="7"/>
    <m/>
    <m/>
    <x v="8"/>
    <m/>
    <s v="ON NUMARA POS ÇÖZÜMÜ - GENÇAY ÖDEME"/>
    <s v="NAKİT"/>
    <n v="1"/>
    <n v="21870"/>
    <n v="21870"/>
    <n v="0"/>
    <m/>
    <m/>
    <m/>
    <m/>
    <n v="0"/>
    <m/>
    <n v="71818.942167016095"/>
  </r>
  <r>
    <d v="2026-03-25T00:00:00"/>
    <x v="10"/>
    <m/>
    <m/>
    <x v="5"/>
    <m/>
    <s v="ON NUMARA POS ÇÖZÜMÜ - EK KART ÜCRETİ"/>
    <s v="POS"/>
    <n v="1"/>
    <n v="777.45"/>
    <n v="0"/>
    <n v="777.45"/>
    <n v="10035"/>
    <n v="0"/>
    <m/>
    <m/>
    <n v="777.45"/>
    <n v="0"/>
    <n v="72596.392167016093"/>
  </r>
  <r>
    <d v="2026-03-25T00:00:00"/>
    <x v="1"/>
    <m/>
    <s v="BANKA GİDERLERİ"/>
    <x v="1"/>
    <m/>
    <s v="ON NUMARA POS ÇÖZÜMÜ - EK KART ÜCRETİ"/>
    <s v="NAKİT"/>
    <n v="1"/>
    <n v="777.45"/>
    <n v="0"/>
    <n v="0"/>
    <n v="0"/>
    <n v="10035"/>
    <m/>
    <m/>
    <n v="0"/>
    <n v="777.45"/>
    <n v="71818.942167016095"/>
  </r>
  <r>
    <d v="2026-03-26T00:00:00"/>
    <x v="4"/>
    <s v="SALÇA TATLI (EV YAPIMI)"/>
    <m/>
    <x v="5"/>
    <s v="ST00000001747"/>
    <s v="SATIŞ"/>
    <s v="POS"/>
    <n v="0.5"/>
    <n v="200"/>
    <n v="100"/>
    <n v="0"/>
    <m/>
    <m/>
    <m/>
    <m/>
    <n v="0"/>
    <n v="0"/>
    <n v="71818.942167016095"/>
  </r>
  <r>
    <d v="2026-03-26T00:00:00"/>
    <x v="4"/>
    <s v="HASEVLİK"/>
    <m/>
    <x v="5"/>
    <s v="ST00000001747"/>
    <s v="SATIŞ"/>
    <s v="POS"/>
    <n v="0.122"/>
    <n v="450"/>
    <n v="54.9"/>
    <n v="0"/>
    <m/>
    <m/>
    <m/>
    <m/>
    <n v="0"/>
    <n v="0"/>
    <n v="71818.942167016095"/>
  </r>
  <r>
    <d v="2026-03-26T00:00:00"/>
    <x v="4"/>
    <s v="KARABİBER ÇEKİLMİŞ"/>
    <m/>
    <x v="5"/>
    <s v="ST00000001747"/>
    <s v="SATIŞ"/>
    <s v="POS"/>
    <n v="7.3999999999999996E-2"/>
    <n v="650"/>
    <n v="48.099999999999994"/>
    <n v="0"/>
    <m/>
    <m/>
    <m/>
    <m/>
    <n v="0"/>
    <n v="0"/>
    <n v="71818.942167016095"/>
  </r>
  <r>
    <d v="2026-03-26T00:00:00"/>
    <x v="4"/>
    <s v="DOLMALIK KURU PATLICAN"/>
    <m/>
    <x v="1"/>
    <s v="ST00000001748"/>
    <s v="SATIŞ"/>
    <s v="NAKİT"/>
    <n v="1"/>
    <n v="250"/>
    <n v="0"/>
    <n v="0"/>
    <m/>
    <m/>
    <m/>
    <m/>
    <n v="250"/>
    <n v="0"/>
    <n v="72068.942167016095"/>
  </r>
  <r>
    <d v="2026-03-26T00:00:00"/>
    <x v="4"/>
    <s v="DOLMALIK KURU PATLICAN"/>
    <m/>
    <x v="5"/>
    <s v="ST00000001749"/>
    <s v="SATIŞ"/>
    <s v="POS"/>
    <n v="1"/>
    <n v="250"/>
    <n v="250"/>
    <n v="0"/>
    <m/>
    <m/>
    <m/>
    <m/>
    <n v="0"/>
    <n v="0"/>
    <n v="72068.942167016095"/>
  </r>
  <r>
    <d v="2026-03-26T00:00:00"/>
    <x v="4"/>
    <s v="SUMAK"/>
    <m/>
    <x v="5"/>
    <s v="ST00000001749"/>
    <s v="SATIŞ"/>
    <s v="POS"/>
    <n v="0.21"/>
    <n v="500"/>
    <n v="105"/>
    <n v="0"/>
    <m/>
    <m/>
    <m/>
    <m/>
    <n v="0"/>
    <n v="0"/>
    <n v="72068.942167016095"/>
  </r>
  <r>
    <d v="2026-03-26T00:00:00"/>
    <x v="4"/>
    <s v="İPEK BİBER"/>
    <m/>
    <x v="5"/>
    <s v="ST00000001749"/>
    <s v="SATIŞ"/>
    <s v="POS"/>
    <n v="0.246"/>
    <n v="500"/>
    <n v="123"/>
    <n v="0"/>
    <m/>
    <m/>
    <m/>
    <m/>
    <n v="0"/>
    <n v="0"/>
    <n v="72068.942167016095"/>
  </r>
  <r>
    <d v="2026-03-26T00:00:00"/>
    <x v="4"/>
    <s v="ATOM PUL BİBER ÇOK ACI"/>
    <m/>
    <x v="5"/>
    <s v="ST00000001749"/>
    <s v="SATIŞ"/>
    <s v="POS"/>
    <n v="0.114"/>
    <n v="550"/>
    <n v="62.7"/>
    <n v="0"/>
    <m/>
    <m/>
    <m/>
    <m/>
    <n v="0"/>
    <n v="0"/>
    <n v="72068.942167016095"/>
  </r>
  <r>
    <d v="2026-03-26T00:00:00"/>
    <x v="4"/>
    <s v="TOZ BİBER - ACI"/>
    <m/>
    <x v="5"/>
    <s v="ST00000001749"/>
    <s v="SATIŞ"/>
    <s v="POS"/>
    <n v="0.11799999999999999"/>
    <n v="400"/>
    <n v="47.199999999999996"/>
    <n v="0"/>
    <m/>
    <m/>
    <m/>
    <m/>
    <n v="0"/>
    <n v="0"/>
    <n v="72068.942167016095"/>
  </r>
  <r>
    <d v="2026-03-26T00:00:00"/>
    <x v="4"/>
    <s v="İSOT"/>
    <m/>
    <x v="5"/>
    <s v="ST00000001749"/>
    <s v="SATIŞ"/>
    <s v="POS"/>
    <n v="0.23"/>
    <n v="400"/>
    <n v="92"/>
    <n v="0"/>
    <m/>
    <m/>
    <m/>
    <m/>
    <n v="0"/>
    <n v="0"/>
    <n v="72068.942167016095"/>
  </r>
  <r>
    <d v="2026-03-26T00:00:00"/>
    <x v="4"/>
    <s v="ÇAY AĞACI YAĞI 10 CC"/>
    <m/>
    <x v="5"/>
    <s v="ST00000001750"/>
    <s v="SATIŞ"/>
    <s v="POS"/>
    <n v="1"/>
    <n v="130"/>
    <n v="130"/>
    <n v="0"/>
    <m/>
    <m/>
    <m/>
    <m/>
    <n v="0"/>
    <n v="0"/>
    <n v="72068.942167016095"/>
  </r>
  <r>
    <d v="2026-03-26T00:00:00"/>
    <x v="4"/>
    <s v="HİNT YAĞI 50 CC"/>
    <m/>
    <x v="5"/>
    <s v="ST00000001750"/>
    <s v="SATIŞ"/>
    <s v="POS"/>
    <n v="1"/>
    <n v="130"/>
    <n v="130"/>
    <n v="0"/>
    <m/>
    <m/>
    <m/>
    <m/>
    <n v="0"/>
    <n v="0"/>
    <n v="72068.942167016095"/>
  </r>
  <r>
    <d v="2026-03-26T00:00:00"/>
    <x v="4"/>
    <s v="LİMON MELİSA"/>
    <m/>
    <x v="1"/>
    <s v="ST00000001751"/>
    <s v="SATIŞ"/>
    <s v="NAKİT"/>
    <n v="0.05"/>
    <n v="2000"/>
    <n v="0"/>
    <n v="0"/>
    <m/>
    <m/>
    <m/>
    <m/>
    <n v="100"/>
    <n v="0"/>
    <n v="72168.942167016095"/>
  </r>
  <r>
    <d v="2026-03-26T00:00:00"/>
    <x v="4"/>
    <s v="KARANFİL"/>
    <m/>
    <x v="5"/>
    <s v="ST00000001751"/>
    <s v="SATIŞ"/>
    <s v="POS"/>
    <n v="0.05"/>
    <n v="1200"/>
    <n v="60"/>
    <n v="0"/>
    <m/>
    <m/>
    <m/>
    <m/>
    <n v="0"/>
    <n v="0"/>
    <n v="72168.942167016095"/>
  </r>
  <r>
    <d v="2026-03-26T00:00:00"/>
    <x v="4"/>
    <s v="POLAT ŞEKERİ (NÖBET ŞEKERİ)"/>
    <m/>
    <x v="5"/>
    <s v="ST00000001751"/>
    <s v="SATIŞ"/>
    <s v="POS"/>
    <n v="0.2"/>
    <n v="250"/>
    <n v="50"/>
    <n v="0"/>
    <m/>
    <m/>
    <m/>
    <m/>
    <n v="0"/>
    <n v="0"/>
    <n v="72168.942167016095"/>
  </r>
  <r>
    <d v="2026-03-26T00:00:00"/>
    <x v="4"/>
    <s v="HİNT KINASI KAHVERENGİ (TEKLİ SATILACAK - 6 ADET)"/>
    <m/>
    <x v="5"/>
    <s v="ST00000001751"/>
    <s v="SATIŞ"/>
    <s v="POS"/>
    <n v="2"/>
    <n v="35"/>
    <n v="70"/>
    <n v="0"/>
    <m/>
    <m/>
    <m/>
    <m/>
    <n v="0"/>
    <n v="0"/>
    <n v="72168.942167016095"/>
  </r>
  <r>
    <d v="2026-03-26T00:00:00"/>
    <x v="4"/>
    <s v="BUĞDAY NİŞASTASI"/>
    <m/>
    <x v="5"/>
    <s v="ST00000001751"/>
    <s v="SATIŞ"/>
    <s v="POS"/>
    <n v="0.5"/>
    <n v="120"/>
    <n v="60"/>
    <n v="0"/>
    <m/>
    <m/>
    <m/>
    <m/>
    <n v="0"/>
    <n v="0"/>
    <n v="72168.942167016095"/>
  </r>
  <r>
    <d v="2026-03-26T00:00:00"/>
    <x v="4"/>
    <s v="ZÜHRE ANA BROMELAİN ANANAS İÇEREN DETOX ŞURUBU 250 ML"/>
    <m/>
    <x v="5"/>
    <s v="ST00000001751"/>
    <s v="SATIŞ"/>
    <s v="POS"/>
    <n v="1"/>
    <n v="250"/>
    <n v="250"/>
    <n v="0"/>
    <m/>
    <m/>
    <m/>
    <m/>
    <n v="0"/>
    <n v="0"/>
    <n v="72168.942167016095"/>
  </r>
  <r>
    <d v="2026-03-26T00:00:00"/>
    <x v="4"/>
    <s v="SOSLU MISIR YERLİ"/>
    <m/>
    <x v="5"/>
    <s v="ST00000001751"/>
    <s v="SATIŞ"/>
    <s v="POS"/>
    <n v="0.22727272727272727"/>
    <n v="220"/>
    <n v="50"/>
    <n v="0"/>
    <m/>
    <m/>
    <m/>
    <m/>
    <n v="0"/>
    <n v="0"/>
    <n v="72168.942167016095"/>
  </r>
  <r>
    <d v="2026-03-26T00:00:00"/>
    <x v="4"/>
    <s v="RUŞUR TAŞI"/>
    <m/>
    <x v="5"/>
    <s v="ST00000001751"/>
    <s v="SATIŞ"/>
    <s v="POS"/>
    <n v="1"/>
    <n v="20"/>
    <n v="20"/>
    <n v="0"/>
    <m/>
    <m/>
    <m/>
    <m/>
    <n v="0"/>
    <n v="0"/>
    <n v="72168.942167016095"/>
  </r>
  <r>
    <d v="2026-03-26T00:00:00"/>
    <x v="4"/>
    <s v="PASTA SÜSÜ"/>
    <m/>
    <x v="5"/>
    <s v="ST00000001751"/>
    <s v="SATIŞ"/>
    <s v="POS"/>
    <n v="0.05"/>
    <n v="500"/>
    <n v="25"/>
    <n v="0"/>
    <m/>
    <m/>
    <m/>
    <m/>
    <n v="0"/>
    <n v="0"/>
    <n v="72168.942167016095"/>
  </r>
  <r>
    <d v="2026-03-26T00:00:00"/>
    <x v="4"/>
    <s v="MISIR PÜSKÜLÜ"/>
    <m/>
    <x v="1"/>
    <s v="ST00000001752"/>
    <s v="SATIŞ"/>
    <s v="NAKİT"/>
    <n v="3.7692307692307692E-2"/>
    <n v="1300"/>
    <n v="0"/>
    <n v="0"/>
    <m/>
    <m/>
    <m/>
    <m/>
    <n v="49"/>
    <n v="0"/>
    <n v="72217.942167016095"/>
  </r>
  <r>
    <d v="2026-03-26T00:00:00"/>
    <x v="4"/>
    <s v="KİRAZ SAPI"/>
    <m/>
    <x v="1"/>
    <s v="ST00000001752"/>
    <s v="SATIŞ"/>
    <s v="NAKİT"/>
    <n v="0.1"/>
    <n v="800"/>
    <n v="0"/>
    <n v="0"/>
    <m/>
    <m/>
    <m/>
    <m/>
    <n v="80"/>
    <n v="0"/>
    <n v="72297.942167016095"/>
  </r>
  <r>
    <d v="2026-03-26T00:00:00"/>
    <x v="4"/>
    <s v="LİMONTUZU PARCA"/>
    <m/>
    <x v="1"/>
    <s v="ST00000001752"/>
    <s v="SATIŞ"/>
    <s v="NAKİT"/>
    <n v="0.27777777777777779"/>
    <n v="180"/>
    <n v="0"/>
    <n v="0"/>
    <m/>
    <m/>
    <m/>
    <m/>
    <n v="50"/>
    <n v="0"/>
    <n v="72347.942167016095"/>
  </r>
  <r>
    <d v="2026-03-26T00:00:00"/>
    <x v="4"/>
    <s v="ORNATE KARINCA YUMURTASI 20 ML"/>
    <m/>
    <x v="1"/>
    <s v="ST00000001752"/>
    <s v="SATIŞ"/>
    <s v="NAKİT"/>
    <n v="1"/>
    <n v="140"/>
    <n v="0"/>
    <n v="0"/>
    <m/>
    <m/>
    <m/>
    <m/>
    <n v="140"/>
    <n v="0"/>
    <n v="72487.942167016095"/>
  </r>
  <r>
    <d v="2026-03-26T00:00:00"/>
    <x v="4"/>
    <s v="DOMATES SALÇASI"/>
    <m/>
    <x v="1"/>
    <s v="ST00000001753"/>
    <s v="SATIŞ"/>
    <s v="NAKİT"/>
    <n v="0.5"/>
    <n v="150"/>
    <n v="0"/>
    <n v="0"/>
    <m/>
    <m/>
    <m/>
    <m/>
    <n v="75"/>
    <n v="0"/>
    <n v="72562.942167016095"/>
  </r>
  <r>
    <d v="2026-03-26T00:00:00"/>
    <x v="4"/>
    <s v="SALÇA TATLI (EV YAPIMI)"/>
    <m/>
    <x v="1"/>
    <s v="ST00000001753"/>
    <s v="SATIŞ"/>
    <s v="NAKİT"/>
    <n v="0.52"/>
    <n v="200"/>
    <n v="0"/>
    <n v="0"/>
    <m/>
    <m/>
    <m/>
    <m/>
    <n v="104"/>
    <n v="0"/>
    <n v="72666.942167016095"/>
  </r>
  <r>
    <d v="2026-03-26T00:00:00"/>
    <x v="4"/>
    <s v="ADAÇAYI SIYIRMA"/>
    <m/>
    <x v="1"/>
    <s v="ST00000001754"/>
    <s v="SATIŞ"/>
    <s v="NAKİT"/>
    <n v="5.8108108108108111E-2"/>
    <n v="740"/>
    <n v="0"/>
    <n v="0"/>
    <m/>
    <m/>
    <m/>
    <m/>
    <n v="43"/>
    <n v="0"/>
    <n v="72709.942167016095"/>
  </r>
  <r>
    <d v="2026-03-26T00:00:00"/>
    <x v="4"/>
    <s v="LİMON MELİSA"/>
    <m/>
    <x v="1"/>
    <s v="ST00000001754"/>
    <s v="SATIŞ"/>
    <s v="NAKİT"/>
    <n v="2.5999999999999999E-2"/>
    <n v="2000"/>
    <n v="0"/>
    <n v="0"/>
    <m/>
    <m/>
    <m/>
    <m/>
    <n v="52"/>
    <n v="0"/>
    <n v="72761.942167016095"/>
  </r>
  <r>
    <d v="2026-03-26T00:00:00"/>
    <x v="4"/>
    <s v="DUT KURUSU ESMER"/>
    <m/>
    <x v="1"/>
    <s v="ST00000001754"/>
    <s v="SATIŞ"/>
    <s v="NAKİT"/>
    <n v="7.7777777777777779E-2"/>
    <n v="450"/>
    <n v="0"/>
    <n v="0"/>
    <m/>
    <m/>
    <m/>
    <m/>
    <n v="35"/>
    <n v="0"/>
    <n v="72796.942167016095"/>
  </r>
  <r>
    <d v="2026-03-26T00:00:00"/>
    <x v="1"/>
    <m/>
    <s v="BANKA GİDERLERİ"/>
    <x v="1"/>
    <m/>
    <s v="POS BAKIM ÜCRETİ"/>
    <s v="NAKİT"/>
    <n v="1"/>
    <n v="441"/>
    <n v="0"/>
    <n v="0"/>
    <m/>
    <m/>
    <m/>
    <m/>
    <n v="0"/>
    <n v="441"/>
    <n v="72355.942167016095"/>
  </r>
  <r>
    <d v="2026-03-27T00:00:00"/>
    <x v="4"/>
    <s v="LG ENGİNAR SUYU 1 LT"/>
    <m/>
    <x v="5"/>
    <s v="ST00000001755"/>
    <s v="SATIŞ"/>
    <s v="POS"/>
    <n v="1"/>
    <n v="190"/>
    <n v="190"/>
    <n v="0"/>
    <m/>
    <m/>
    <m/>
    <m/>
    <n v="0"/>
    <n v="0"/>
    <n v="72355.942167016095"/>
  </r>
  <r>
    <d v="2026-03-27T00:00:00"/>
    <x v="4"/>
    <s v="HİBİSKUS"/>
    <m/>
    <x v="5"/>
    <s v="ST00000001756"/>
    <s v="SATIŞ"/>
    <s v="POS"/>
    <n v="0.1"/>
    <n v="600"/>
    <n v="60"/>
    <n v="0"/>
    <m/>
    <m/>
    <m/>
    <m/>
    <n v="0"/>
    <n v="0"/>
    <n v="72355.942167016095"/>
  </r>
  <r>
    <d v="2026-03-27T00:00:00"/>
    <x v="4"/>
    <s v="HAM KABAK LİFİ İŞLENMEMİŞ"/>
    <m/>
    <x v="5"/>
    <s v="ST00000001757"/>
    <s v="SATIŞ"/>
    <s v="POS"/>
    <n v="0.2"/>
    <n v="200"/>
    <n v="40"/>
    <n v="0"/>
    <m/>
    <m/>
    <m/>
    <m/>
    <n v="0"/>
    <n v="0"/>
    <n v="72355.942167016095"/>
  </r>
  <r>
    <d v="2026-03-27T00:00:00"/>
    <x v="4"/>
    <s v="MS 32 DERMA BAMBU YÜZ TEMİZLEME"/>
    <m/>
    <x v="5"/>
    <s v="ST00000001757"/>
    <s v="SATIŞ"/>
    <s v="POS"/>
    <n v="1"/>
    <n v="100"/>
    <n v="100"/>
    <n v="0"/>
    <m/>
    <m/>
    <m/>
    <m/>
    <n v="0"/>
    <n v="0"/>
    <n v="72355.942167016095"/>
  </r>
  <r>
    <d v="2026-03-27T00:00:00"/>
    <x v="4"/>
    <s v="TÜDAB ACUR TURŞUSU"/>
    <m/>
    <x v="5"/>
    <s v="ST00000001758"/>
    <s v="SATIŞ"/>
    <s v="POS"/>
    <n v="1"/>
    <n v="350"/>
    <n v="350"/>
    <n v="0"/>
    <m/>
    <m/>
    <m/>
    <m/>
    <n v="0"/>
    <n v="0"/>
    <n v="72355.942167016095"/>
  </r>
  <r>
    <d v="2026-03-27T00:00:00"/>
    <x v="4"/>
    <s v="ŞİFAVER KÜKÜRTLÜ HATAY SABUNU"/>
    <m/>
    <x v="5"/>
    <s v="ST00000001759"/>
    <s v="SATIŞ"/>
    <s v="POS"/>
    <n v="2"/>
    <n v="50"/>
    <n v="100"/>
    <n v="0"/>
    <m/>
    <m/>
    <m/>
    <m/>
    <n v="0"/>
    <n v="0"/>
    <n v="72355.942167016095"/>
  </r>
  <r>
    <d v="2026-03-27T00:00:00"/>
    <x v="4"/>
    <s v="LG KEKİK SUYU 1 LT"/>
    <m/>
    <x v="1"/>
    <s v="ST00000001760"/>
    <s v="SATIŞ"/>
    <s v="NAKİT"/>
    <n v="1"/>
    <n v="190"/>
    <n v="0"/>
    <n v="0"/>
    <m/>
    <m/>
    <m/>
    <m/>
    <n v="190"/>
    <n v="0"/>
    <n v="72545.942167016095"/>
  </r>
  <r>
    <d v="2026-03-27T00:00:00"/>
    <x v="4"/>
    <s v="DOMATES SALÇASI"/>
    <m/>
    <x v="1"/>
    <s v="ST00000001761"/>
    <s v="SATIŞ"/>
    <s v="NAKİT"/>
    <n v="1"/>
    <n v="150"/>
    <n v="0"/>
    <n v="0"/>
    <m/>
    <m/>
    <m/>
    <m/>
    <n v="150"/>
    <n v="0"/>
    <n v="72695.942167016095"/>
  </r>
  <r>
    <d v="2026-03-27T00:00:00"/>
    <x v="4"/>
    <s v="AYÇEKİRDEĞİ DAKOTA TUZLU EKSTRA"/>
    <m/>
    <x v="1"/>
    <s v="ST00000001761"/>
    <s v="SATIŞ - MMT"/>
    <s v="NAKİT"/>
    <n v="0.52200000000000002"/>
    <n v="130"/>
    <n v="0"/>
    <n v="0"/>
    <m/>
    <m/>
    <m/>
    <m/>
    <n v="67.86"/>
    <n v="0"/>
    <n v="72763.802167016096"/>
  </r>
  <r>
    <d v="2026-03-27T00:00:00"/>
    <x v="4"/>
    <s v="LOBAS SAF NAR EKŞİSİ 1 KG"/>
    <m/>
    <x v="1"/>
    <s v="ST00000001761"/>
    <s v="SATIŞ - MMT"/>
    <s v="NAKİT"/>
    <n v="1"/>
    <n v="225"/>
    <n v="0"/>
    <n v="0"/>
    <m/>
    <m/>
    <m/>
    <m/>
    <n v="225"/>
    <n v="0"/>
    <n v="72988.802167016096"/>
  </r>
  <r>
    <d v="2026-03-28T00:00:00"/>
    <x v="4"/>
    <s v="EVLİK BİBER"/>
    <m/>
    <x v="1"/>
    <s v="ST00000001762"/>
    <s v="SATIŞ"/>
    <s v="NAKİT"/>
    <n v="0.25"/>
    <n v="400"/>
    <n v="0"/>
    <n v="0"/>
    <m/>
    <m/>
    <m/>
    <m/>
    <n v="100"/>
    <n v="0"/>
    <n v="73088.802167016096"/>
  </r>
  <r>
    <d v="2026-03-28T00:00:00"/>
    <x v="4"/>
    <s v="KEKİK LÜX"/>
    <m/>
    <x v="1"/>
    <s v="ST00000001762"/>
    <s v="SATIŞ"/>
    <s v="NAKİT"/>
    <n v="3.3333333333333333E-2"/>
    <n v="750"/>
    <n v="0"/>
    <n v="0"/>
    <m/>
    <m/>
    <m/>
    <m/>
    <n v="25"/>
    <n v="0"/>
    <n v="73113.802167016096"/>
  </r>
  <r>
    <d v="2026-03-28T00:00:00"/>
    <x v="4"/>
    <s v="GÜLSUYU LÜKS"/>
    <m/>
    <x v="1"/>
    <s v="ST00000001763"/>
    <s v="SATIŞ"/>
    <s v="NAKİT"/>
    <n v="1"/>
    <n v="130"/>
    <n v="0"/>
    <n v="0"/>
    <m/>
    <m/>
    <m/>
    <m/>
    <n v="130"/>
    <n v="0"/>
    <n v="73243.802167016096"/>
  </r>
  <r>
    <d v="2026-03-28T00:00:00"/>
    <x v="4"/>
    <s v="KEKİK LÜX"/>
    <m/>
    <x v="1"/>
    <s v="ST00000001763"/>
    <s v="SATIŞ"/>
    <s v="NAKİT"/>
    <n v="7.1999999999999995E-2"/>
    <n v="750"/>
    <n v="0"/>
    <n v="0"/>
    <m/>
    <m/>
    <m/>
    <m/>
    <n v="53.999999999999993"/>
    <n v="0"/>
    <n v="73297.802167016096"/>
  </r>
  <r>
    <d v="2026-03-28T00:00:00"/>
    <x v="4"/>
    <s v="GÜLŞAH SAHLEP AROMALI İÇECEK"/>
    <m/>
    <x v="1"/>
    <s v="ST00000001764"/>
    <s v="SATIŞ - RESUL"/>
    <s v="NAKİT"/>
    <n v="1"/>
    <n v="70"/>
    <n v="0"/>
    <n v="0"/>
    <m/>
    <m/>
    <m/>
    <m/>
    <n v="70"/>
    <n v="0"/>
    <n v="73367.802167016096"/>
  </r>
  <r>
    <d v="2026-03-28T00:00:00"/>
    <x v="4"/>
    <s v="ASLAN PENÇESİ"/>
    <m/>
    <x v="5"/>
    <s v="ST00000001765"/>
    <s v="SATIŞ"/>
    <s v="POS"/>
    <n v="3.5999999999999997E-2"/>
    <n v="750"/>
    <n v="26.999999999999996"/>
    <n v="0"/>
    <m/>
    <m/>
    <m/>
    <m/>
    <n v="0"/>
    <n v="0"/>
    <n v="73367.802167016096"/>
  </r>
  <r>
    <d v="2026-03-28T00:00:00"/>
    <x v="4"/>
    <s v="KARNIYARIK TOHUMU"/>
    <m/>
    <x v="5"/>
    <s v="ST00000001765"/>
    <s v="SATIŞ"/>
    <s v="POS"/>
    <n v="0.12"/>
    <n v="920"/>
    <n v="110.39999999999999"/>
    <n v="0"/>
    <m/>
    <m/>
    <m/>
    <m/>
    <n v="0"/>
    <n v="0"/>
    <n v="73367.802167016096"/>
  </r>
  <r>
    <d v="2026-03-28T00:00:00"/>
    <x v="4"/>
    <s v="HAYIT TOHUMU"/>
    <m/>
    <x v="5"/>
    <s v="ST00000001765"/>
    <s v="SATIŞ"/>
    <s v="POS"/>
    <n v="0.1"/>
    <n v="900"/>
    <n v="90"/>
    <n v="0"/>
    <m/>
    <m/>
    <m/>
    <m/>
    <n v="0"/>
    <n v="0"/>
    <n v="73367.802167016096"/>
  </r>
  <r>
    <d v="2026-03-28T00:00:00"/>
    <x v="4"/>
    <s v="NANE İRİ"/>
    <m/>
    <x v="5"/>
    <s v="ST00000001765"/>
    <s v="SATIŞ"/>
    <s v="POS"/>
    <n v="0.42"/>
    <n v="200"/>
    <n v="84"/>
    <n v="0"/>
    <m/>
    <m/>
    <m/>
    <m/>
    <n v="0"/>
    <n v="0"/>
    <n v="73367.802167016096"/>
  </r>
  <r>
    <d v="2026-03-28T00:00:00"/>
    <x v="4"/>
    <s v="HARMANA HİNDİBA KAHVESİ 150G 1 AYLIK 60 KULLANIM"/>
    <m/>
    <x v="1"/>
    <s v="ST00000001765"/>
    <s v="SATIŞ"/>
    <s v="NAKİT"/>
    <n v="1"/>
    <n v="350"/>
    <n v="0"/>
    <n v="0"/>
    <m/>
    <m/>
    <m/>
    <m/>
    <n v="350"/>
    <n v="0"/>
    <n v="73717.802167016096"/>
  </r>
  <r>
    <d v="2026-03-28T00:00:00"/>
    <x v="4"/>
    <s v="MATCHA DETOX ÇAYI"/>
    <m/>
    <x v="5"/>
    <s v="ST00000001765"/>
    <s v="SATIŞ"/>
    <s v="POS"/>
    <n v="1"/>
    <n v="220"/>
    <n v="220"/>
    <n v="0"/>
    <m/>
    <m/>
    <m/>
    <m/>
    <n v="0"/>
    <n v="0"/>
    <n v="73717.802167016096"/>
  </r>
  <r>
    <d v="2026-03-28T00:00:00"/>
    <x v="4"/>
    <s v="NANE İRİ"/>
    <m/>
    <x v="1"/>
    <s v="ST00000001765"/>
    <s v="SATIŞ"/>
    <s v="NAKİT"/>
    <n v="0.25"/>
    <n v="400"/>
    <n v="0"/>
    <n v="0"/>
    <m/>
    <m/>
    <m/>
    <m/>
    <n v="100"/>
    <n v="0"/>
    <n v="73817.802167016096"/>
  </r>
  <r>
    <d v="2026-03-28T00:00:00"/>
    <x v="4"/>
    <s v="KAFFKA OSMANLI KAHVESİ 150 GR"/>
    <m/>
    <x v="5"/>
    <s v="ST00000001766"/>
    <s v="SATIŞ"/>
    <s v="POS"/>
    <n v="1"/>
    <n v="65"/>
    <n v="65"/>
    <n v="0"/>
    <m/>
    <m/>
    <m/>
    <m/>
    <n v="0"/>
    <n v="0"/>
    <n v="73817.802167016096"/>
  </r>
  <r>
    <d v="2026-03-28T00:00:00"/>
    <x v="4"/>
    <s v="GENÇAY NAR EKŞİSİ 330 GR"/>
    <m/>
    <x v="5"/>
    <s v="ST00000001766"/>
    <s v="SATIŞ"/>
    <s v="POS"/>
    <n v="1"/>
    <n v="180"/>
    <n v="180"/>
    <n v="0"/>
    <m/>
    <m/>
    <m/>
    <m/>
    <n v="0"/>
    <n v="0"/>
    <n v="73817.802167016096"/>
  </r>
  <r>
    <d v="2026-03-28T00:00:00"/>
    <x v="4"/>
    <s v="ESMER BULGUR (AKIN)"/>
    <m/>
    <x v="5"/>
    <s v="ST00000001766"/>
    <s v="SATIŞ"/>
    <s v="POS"/>
    <n v="1.68"/>
    <n v="65"/>
    <n v="109.2"/>
    <n v="0"/>
    <m/>
    <m/>
    <m/>
    <m/>
    <n v="0"/>
    <n v="0"/>
    <n v="73817.802167016096"/>
  </r>
  <r>
    <d v="2026-03-28T00:00:00"/>
    <x v="4"/>
    <s v="SALÇA ACI (EV YAPIMI)"/>
    <m/>
    <x v="5"/>
    <s v="ST00000001766"/>
    <s v="SATIŞ"/>
    <s v="POS"/>
    <n v="1"/>
    <n v="200"/>
    <n v="200"/>
    <n v="0"/>
    <m/>
    <m/>
    <m/>
    <m/>
    <n v="0"/>
    <n v="0"/>
    <n v="73817.802167016096"/>
  </r>
  <r>
    <d v="2026-03-28T00:00:00"/>
    <x v="4"/>
    <s v="NANE İRİ"/>
    <m/>
    <x v="5"/>
    <s v="ST00000001766"/>
    <s v="SATIŞ"/>
    <s v="POS"/>
    <n v="6.2E-2"/>
    <n v="400"/>
    <n v="24.8"/>
    <n v="0"/>
    <m/>
    <m/>
    <m/>
    <m/>
    <n v="0"/>
    <n v="0"/>
    <n v="73817.802167016096"/>
  </r>
  <r>
    <d v="2026-03-28T00:00:00"/>
    <x v="4"/>
    <s v="SUMAK"/>
    <m/>
    <x v="5"/>
    <s v="ST00000001766"/>
    <s v="SATIŞ"/>
    <s v="POS"/>
    <n v="0.16800000000000001"/>
    <n v="500"/>
    <n v="84"/>
    <n v="0"/>
    <m/>
    <m/>
    <m/>
    <m/>
    <n v="0"/>
    <n v="0"/>
    <n v="73817.802167016096"/>
  </r>
  <r>
    <d v="2026-03-28T00:00:00"/>
    <x v="4"/>
    <s v="KİMYON ÇEKİLMİŞ"/>
    <m/>
    <x v="5"/>
    <s v="ST00000001766"/>
    <s v="SATIŞ"/>
    <s v="POS"/>
    <n v="0.104"/>
    <n v="400"/>
    <n v="41.6"/>
    <n v="0"/>
    <m/>
    <m/>
    <m/>
    <m/>
    <n v="0"/>
    <n v="0"/>
    <n v="73817.802167016096"/>
  </r>
  <r>
    <d v="2026-03-28T00:00:00"/>
    <x v="4"/>
    <s v="İSOT"/>
    <m/>
    <x v="5"/>
    <s v="ST00000001766"/>
    <s v="SATIŞ"/>
    <s v="POS"/>
    <n v="0.20200000000000001"/>
    <n v="400"/>
    <n v="80.800000000000011"/>
    <n v="0"/>
    <m/>
    <m/>
    <m/>
    <m/>
    <n v="0"/>
    <n v="0"/>
    <n v="73817.802167016096"/>
  </r>
  <r>
    <d v="2026-03-28T00:00:00"/>
    <x v="4"/>
    <s v="İPEK BİBER"/>
    <m/>
    <x v="5"/>
    <s v="ST00000001766"/>
    <s v="SATIŞ"/>
    <s v="POS"/>
    <n v="0.106"/>
    <n v="450"/>
    <n v="47.699999999999996"/>
    <n v="0"/>
    <m/>
    <m/>
    <m/>
    <m/>
    <n v="0"/>
    <n v="0"/>
    <n v="73817.802167016096"/>
  </r>
  <r>
    <d v="2026-03-28T00:00:00"/>
    <x v="4"/>
    <s v="KARABİBER ÇEKİLMİŞ"/>
    <m/>
    <x v="5"/>
    <s v="ST00000001766"/>
    <s v="SATIŞ"/>
    <s v="POS"/>
    <n v="0.11799999999999999"/>
    <n v="600"/>
    <n v="70.8"/>
    <n v="0"/>
    <m/>
    <m/>
    <m/>
    <m/>
    <n v="0"/>
    <n v="0"/>
    <n v="73817.802167016096"/>
  </r>
  <r>
    <d v="2026-03-28T00:00:00"/>
    <x v="4"/>
    <s v="ÖZBEK ÜZÜMÜ"/>
    <m/>
    <x v="5"/>
    <s v="ST00000001766"/>
    <s v="SATIŞ"/>
    <s v="POS"/>
    <n v="0.37"/>
    <n v="530"/>
    <n v="196.1"/>
    <n v="0"/>
    <m/>
    <m/>
    <m/>
    <m/>
    <n v="0"/>
    <n v="0"/>
    <n v="73817.802167016096"/>
  </r>
  <r>
    <d v="2026-03-28T00:00:00"/>
    <x v="10"/>
    <m/>
    <m/>
    <x v="5"/>
    <m/>
    <s v="ON NUMARA POS ÇÖZÜMÜ - YILLIK GELİR VERGİSİ"/>
    <s v="POS"/>
    <n v="1"/>
    <n v="1483.7"/>
    <n v="0"/>
    <n v="1483.7"/>
    <m/>
    <m/>
    <m/>
    <m/>
    <n v="1483.7"/>
    <n v="0"/>
    <n v="75301.502167016093"/>
  </r>
  <r>
    <d v="2026-03-28T00:00:00"/>
    <x v="1"/>
    <m/>
    <s v="VERGİ VE HARÇLAR"/>
    <x v="1"/>
    <m/>
    <s v="ON NUMARA POS ÇÖZÜMÜ - YILLIK GELİR VERGİSİ"/>
    <s v="NAKİT"/>
    <n v="1"/>
    <n v="1483.7"/>
    <n v="0"/>
    <n v="0"/>
    <m/>
    <m/>
    <m/>
    <m/>
    <n v="0"/>
    <n v="1483.7"/>
    <n v="73817.802167016096"/>
  </r>
  <r>
    <d v="2026-03-28T00:00:00"/>
    <x v="10"/>
    <m/>
    <m/>
    <x v="5"/>
    <m/>
    <s v="POS ÇÖZÜMÜ"/>
    <s v="POS"/>
    <n v="1"/>
    <n v="227"/>
    <n v="0"/>
    <n v="227"/>
    <m/>
    <m/>
    <m/>
    <m/>
    <n v="227"/>
    <n v="0"/>
    <n v="74044.802167016096"/>
  </r>
  <r>
    <d v="2026-03-29T00:00:00"/>
    <x v="4"/>
    <s v="KETEN TOHUMU"/>
    <m/>
    <x v="1"/>
    <s v="ST00000001762"/>
    <s v="SATIŞ"/>
    <s v="NAKİT"/>
    <n v="0.5"/>
    <n v="140"/>
    <n v="0"/>
    <n v="0"/>
    <m/>
    <m/>
    <m/>
    <m/>
    <n v="70"/>
    <n v="0"/>
    <n v="74114.802167016096"/>
  </r>
  <r>
    <d v="2026-03-29T00:00:00"/>
    <x v="4"/>
    <s v="KINA TÜP KIZIL"/>
    <m/>
    <x v="1"/>
    <s v="ST00000001763"/>
    <s v="SATIŞ"/>
    <s v="NAKİT"/>
    <n v="1"/>
    <n v="50"/>
    <n v="0"/>
    <n v="0"/>
    <m/>
    <m/>
    <m/>
    <m/>
    <n v="50"/>
    <n v="0"/>
    <n v="74164.802167016096"/>
  </r>
  <r>
    <d v="2026-03-29T00:00:00"/>
    <x v="4"/>
    <s v="SALÇA ACI (EV YAPIMI)"/>
    <m/>
    <x v="1"/>
    <s v="ST00000001764"/>
    <s v="SATIŞ - MMT"/>
    <s v="NAKİT"/>
    <n v="1"/>
    <n v="100"/>
    <n v="0"/>
    <n v="0"/>
    <m/>
    <m/>
    <m/>
    <m/>
    <n v="100"/>
    <n v="0"/>
    <n v="74264.802167016096"/>
  </r>
  <r>
    <d v="2026-03-29T00:00:00"/>
    <x v="4"/>
    <s v="ESMER BULGUR (AKIN)"/>
    <m/>
    <x v="1"/>
    <s v="ST00000001764"/>
    <s v="SATIŞ - MMT"/>
    <s v="NAKİT"/>
    <n v="0.73399999999999999"/>
    <n v="35"/>
    <n v="0"/>
    <n v="0"/>
    <m/>
    <m/>
    <m/>
    <m/>
    <n v="25.689999999999998"/>
    <n v="0"/>
    <n v="74290.492167016098"/>
  </r>
  <r>
    <d v="2026-03-29T00:00:00"/>
    <x v="4"/>
    <s v="MISIR UNU"/>
    <m/>
    <x v="1"/>
    <s v="ST00000001764"/>
    <s v="SATIŞ - MMT"/>
    <s v="NAKİT"/>
    <n v="0.5"/>
    <n v="30"/>
    <n v="0"/>
    <n v="0"/>
    <m/>
    <m/>
    <m/>
    <m/>
    <n v="15"/>
    <n v="0"/>
    <n v="74305.492167016098"/>
  </r>
  <r>
    <d v="2026-03-29T00:00:00"/>
    <x v="4"/>
    <s v="YEDİ TÜRLÜ BAHARAT  (LUXURY CHEF)"/>
    <m/>
    <x v="1"/>
    <s v="ST00000001764"/>
    <s v="SATIŞ - MMT"/>
    <s v="NAKİT"/>
    <n v="0.1"/>
    <n v="305"/>
    <n v="0"/>
    <n v="0"/>
    <m/>
    <m/>
    <m/>
    <m/>
    <n v="30.5"/>
    <n v="0"/>
    <n v="74335.992167016098"/>
  </r>
  <r>
    <d v="2026-03-29T00:00:00"/>
    <x v="4"/>
    <s v="SOSLU MISIR YERLİ"/>
    <m/>
    <x v="1"/>
    <s v="ST00000001764"/>
    <s v="SATIŞ - MMT"/>
    <s v="NAKİT"/>
    <n v="0.22727272727272727"/>
    <n v="130"/>
    <n v="0"/>
    <n v="0"/>
    <m/>
    <m/>
    <m/>
    <m/>
    <n v="29.545454545454543"/>
    <n v="0"/>
    <n v="74365.537621561554"/>
  </r>
  <r>
    <d v="2026-03-29T00:00:00"/>
    <x v="4"/>
    <s v="GÜNGÖR 5 LT SU"/>
    <m/>
    <x v="1"/>
    <s v="ST00000001764"/>
    <s v="SATIŞ - MMT"/>
    <s v="NAKİT"/>
    <n v="2"/>
    <n v="20"/>
    <n v="0"/>
    <n v="0"/>
    <m/>
    <m/>
    <m/>
    <m/>
    <n v="40"/>
    <n v="0"/>
    <n v="74405.537621561554"/>
  </r>
  <r>
    <d v="2026-03-30T00:00:00"/>
    <x v="4"/>
    <s v="TOMBUL KESE 500 GR TATLI"/>
    <m/>
    <x v="5"/>
    <s v="ST00000001765"/>
    <s v="SATIŞ"/>
    <s v="POS"/>
    <n v="1"/>
    <n v="200"/>
    <n v="200"/>
    <n v="0"/>
    <m/>
    <m/>
    <m/>
    <m/>
    <n v="0"/>
    <n v="0"/>
    <n v="74405.537621561554"/>
  </r>
  <r>
    <d v="2026-03-30T00:00:00"/>
    <x v="4"/>
    <s v="MOR REYHAN"/>
    <m/>
    <x v="1"/>
    <s v="ST00000001766"/>
    <s v="SATIŞ"/>
    <s v="NAKİT"/>
    <n v="0.05"/>
    <n v="1400"/>
    <n v="0"/>
    <n v="0"/>
    <m/>
    <m/>
    <m/>
    <m/>
    <n v="70"/>
    <n v="0"/>
    <n v="74475.537621561554"/>
  </r>
  <r>
    <d v="2026-03-30T00:00:00"/>
    <x v="4"/>
    <s v="HİBİSKUS"/>
    <m/>
    <x v="1"/>
    <s v="ST00000001766"/>
    <s v="SATIŞ"/>
    <s v="NAKİT"/>
    <n v="0.1"/>
    <n v="600"/>
    <n v="0"/>
    <n v="0"/>
    <m/>
    <m/>
    <m/>
    <m/>
    <n v="60"/>
    <n v="0"/>
    <n v="74535.537621561554"/>
  </r>
  <r>
    <d v="2026-03-30T00:00:00"/>
    <x v="4"/>
    <s v="KINA TÜP KIZIL"/>
    <m/>
    <x v="1"/>
    <s v="ST00000001767"/>
    <s v="SATIŞ"/>
    <s v="NAKİT"/>
    <n v="1"/>
    <n v="50"/>
    <n v="0"/>
    <n v="0"/>
    <m/>
    <m/>
    <m/>
    <m/>
    <n v="50"/>
    <n v="0"/>
    <n v="74585.537621561554"/>
  </r>
  <r>
    <d v="2026-03-30T00:00:00"/>
    <x v="4"/>
    <s v="KARABİBER ÇEKİLMİŞ"/>
    <m/>
    <x v="5"/>
    <s v="ST00000001768"/>
    <s v="SATIŞ"/>
    <s v="POS"/>
    <n v="6.5000000000000002E-2"/>
    <n v="650"/>
    <n v="42.25"/>
    <n v="0"/>
    <m/>
    <m/>
    <m/>
    <m/>
    <n v="0"/>
    <n v="0"/>
    <n v="74585.537621561554"/>
  </r>
  <r>
    <d v="2026-03-30T00:00:00"/>
    <x v="4"/>
    <s v="AYÇEKİRDEĞİ DAKOTA TUZLU EKSTRA"/>
    <m/>
    <x v="1"/>
    <s v="ST00000001769"/>
    <s v="SATIŞ - MMT"/>
    <s v="NAKİT"/>
    <n v="0.2608695652173913"/>
    <n v="140"/>
    <n v="0"/>
    <n v="0"/>
    <m/>
    <m/>
    <m/>
    <m/>
    <n v="36.521739130434781"/>
    <n v="0"/>
    <n v="74622.059360691987"/>
  </r>
  <r>
    <d v="2026-03-30T00:00:00"/>
    <x v="4"/>
    <s v="LİMONTUZU PARCA"/>
    <m/>
    <x v="1"/>
    <s v="ST00000001770"/>
    <s v="SATIŞ"/>
    <s v="NAKİT"/>
    <n v="0.27777777777777779"/>
    <n v="180"/>
    <n v="0"/>
    <n v="0"/>
    <m/>
    <m/>
    <m/>
    <m/>
    <n v="50"/>
    <n v="0"/>
    <n v="74672.059360691987"/>
  </r>
  <r>
    <d v="2026-03-30T00:00:00"/>
    <x v="4"/>
    <s v="KİMYON ÇEKİLMİŞ"/>
    <m/>
    <x v="1"/>
    <s v="ST00000001770"/>
    <s v="SATIŞ"/>
    <s v="NAKİT"/>
    <n v="0.125"/>
    <n v="400"/>
    <n v="0"/>
    <n v="0"/>
    <m/>
    <m/>
    <m/>
    <m/>
    <n v="50"/>
    <n v="0"/>
    <n v="74722.059360691987"/>
  </r>
  <r>
    <d v="2026-03-30T00:00:00"/>
    <x v="4"/>
    <s v="TOZ BİBER - ACI"/>
    <m/>
    <x v="1"/>
    <s v="ST00000001770"/>
    <s v="SATIŞ"/>
    <s v="NAKİT"/>
    <n v="6.25E-2"/>
    <n v="400"/>
    <n v="0"/>
    <n v="0"/>
    <m/>
    <m/>
    <m/>
    <m/>
    <n v="25"/>
    <n v="0"/>
    <n v="74747.059360691987"/>
  </r>
  <r>
    <d v="2026-03-30T00:00:00"/>
    <x v="4"/>
    <s v="TOZ BİBER - TATLI"/>
    <m/>
    <x v="1"/>
    <s v="ST00000001770"/>
    <s v="SATIŞ"/>
    <s v="NAKİT"/>
    <n v="6.25E-2"/>
    <n v="400"/>
    <n v="0"/>
    <n v="0"/>
    <m/>
    <m/>
    <m/>
    <m/>
    <n v="25"/>
    <n v="0"/>
    <n v="74772.059360691987"/>
  </r>
  <r>
    <d v="2026-03-30T00:00:00"/>
    <x v="4"/>
    <s v="KARABİBER ÇEKİLMİŞ"/>
    <m/>
    <x v="1"/>
    <s v="ST00000001770"/>
    <s v="SATIŞ"/>
    <s v="NAKİT"/>
    <n v="7.6923076923076927E-2"/>
    <n v="650"/>
    <n v="0"/>
    <n v="0"/>
    <m/>
    <m/>
    <m/>
    <m/>
    <n v="50"/>
    <n v="0"/>
    <n v="74822.059360691987"/>
  </r>
  <r>
    <d v="2026-03-30T00:00:00"/>
    <x v="4"/>
    <s v="ÇİĞ KABAK ÇEKİRDEĞİ"/>
    <m/>
    <x v="1"/>
    <s v="ST00000001771"/>
    <s v="SATIŞ"/>
    <s v="NAKİT"/>
    <n v="0.27906976744186046"/>
    <n v="430"/>
    <n v="0"/>
    <n v="0"/>
    <m/>
    <m/>
    <m/>
    <m/>
    <n v="120"/>
    <n v="0"/>
    <n v="74942.059360691987"/>
  </r>
  <r>
    <d v="2026-03-30T00:00:00"/>
    <x v="4"/>
    <s v="ÇUBUK TARÇIN"/>
    <m/>
    <x v="1"/>
    <s v="ST00000001772"/>
    <s v="SATIŞ"/>
    <s v="NAKİT"/>
    <n v="0.08"/>
    <n v="750"/>
    <n v="0"/>
    <n v="0"/>
    <m/>
    <m/>
    <m/>
    <m/>
    <n v="60"/>
    <n v="0"/>
    <n v="75002.059360691987"/>
  </r>
  <r>
    <d v="2026-03-31T00:00:00"/>
    <x v="4"/>
    <s v="SALÇA TATLI (EV YAPIMI)"/>
    <m/>
    <x v="1"/>
    <s v="ST00000001773"/>
    <s v="SATIŞ"/>
    <s v="NAKİT"/>
    <n v="2"/>
    <n v="200"/>
    <n v="0"/>
    <n v="0"/>
    <m/>
    <m/>
    <m/>
    <m/>
    <n v="400"/>
    <n v="0"/>
    <n v="75402.059360691987"/>
  </r>
  <r>
    <d v="2026-03-31T00:00:00"/>
    <x v="4"/>
    <s v="SALÇA ACI (EV YAPIMI)"/>
    <m/>
    <x v="1"/>
    <s v="ST00000001773"/>
    <s v="SATIŞ"/>
    <s v="NAKİT"/>
    <n v="1"/>
    <n v="200"/>
    <n v="0"/>
    <n v="0"/>
    <m/>
    <m/>
    <m/>
    <m/>
    <n v="200"/>
    <n v="0"/>
    <n v="75602.059360691987"/>
  </r>
  <r>
    <d v="2026-03-31T00:00:00"/>
    <x v="4"/>
    <s v="KARABİBER ÇEKİLMİŞ"/>
    <m/>
    <x v="5"/>
    <s v="ST00000001774"/>
    <s v="SATIŞ"/>
    <s v="POS"/>
    <n v="0.18461538461538463"/>
    <n v="650"/>
    <n v="120"/>
    <n v="0"/>
    <m/>
    <m/>
    <m/>
    <m/>
    <n v="0"/>
    <n v="0"/>
    <n v="75602.059360691987"/>
  </r>
  <r>
    <d v="2026-03-31T00:00:00"/>
    <x v="4"/>
    <s v="DOMATES SALÇASI"/>
    <m/>
    <x v="1"/>
    <s v="ST00000001774"/>
    <s v="SATIŞ"/>
    <s v="NAKİT"/>
    <n v="0.5"/>
    <n v="150"/>
    <n v="0"/>
    <n v="0"/>
    <m/>
    <m/>
    <m/>
    <m/>
    <n v="75"/>
    <n v="0"/>
    <n v="75677.059360691987"/>
  </r>
  <r>
    <d v="2026-03-31T00:00:00"/>
    <x v="4"/>
    <s v="REZENE"/>
    <m/>
    <x v="5"/>
    <s v="ST00000001775"/>
    <s v="SATIŞ"/>
    <s v="POS"/>
    <n v="0.05"/>
    <n v="900"/>
    <n v="45"/>
    <n v="0"/>
    <m/>
    <m/>
    <m/>
    <m/>
    <n v="0"/>
    <n v="0"/>
    <n v="75677.059360691987"/>
  </r>
  <r>
    <d v="2026-03-31T00:00:00"/>
    <x v="4"/>
    <s v="ANASON"/>
    <m/>
    <x v="5"/>
    <s v="ST00000001775"/>
    <s v="SATIŞ"/>
    <s v="POS"/>
    <n v="0.1"/>
    <n v="900"/>
    <n v="90"/>
    <n v="0"/>
    <m/>
    <m/>
    <m/>
    <m/>
    <n v="0"/>
    <n v="0"/>
    <n v="75677.059360691987"/>
  </r>
  <r>
    <d v="2026-03-31T00:00:00"/>
    <x v="4"/>
    <s v="DOLMALIK SARI BİBER"/>
    <m/>
    <x v="1"/>
    <s v="ST00000001776"/>
    <s v="SATIŞ"/>
    <s v="NAKİT"/>
    <n v="0.5"/>
    <n v="250"/>
    <n v="0"/>
    <n v="0"/>
    <m/>
    <m/>
    <m/>
    <m/>
    <n v="125"/>
    <n v="0"/>
    <n v="75802.059360691987"/>
  </r>
  <r>
    <d v="2026-03-31T00:00:00"/>
    <x v="4"/>
    <s v="HAYIT TOHUMU"/>
    <m/>
    <x v="1"/>
    <s v="ST00000001777"/>
    <s v="SATIŞ"/>
    <s v="NAKİT"/>
    <n v="0.1"/>
    <n v="900"/>
    <n v="0"/>
    <n v="0"/>
    <m/>
    <m/>
    <m/>
    <m/>
    <n v="90"/>
    <n v="0"/>
    <n v="75892.059360691987"/>
  </r>
  <r>
    <d v="2026-03-31T00:00:00"/>
    <x v="4"/>
    <s v="YENİBAHAR TOZ"/>
    <m/>
    <x v="1"/>
    <s v="ST00000001778"/>
    <s v="SATIŞ"/>
    <s v="NAKİT"/>
    <n v="3.2000000000000001E-2"/>
    <n v="770"/>
    <n v="0"/>
    <n v="0"/>
    <m/>
    <m/>
    <m/>
    <m/>
    <n v="24.64"/>
    <n v="0"/>
    <n v="75916.699360691986"/>
  </r>
  <r>
    <d v="2026-03-31T00:00:00"/>
    <x v="4"/>
    <s v="DOLMALIK SARI BİBER"/>
    <m/>
    <x v="5"/>
    <s v="ST00000001779"/>
    <s v="SATIŞ"/>
    <s v="POS"/>
    <n v="1"/>
    <n v="230"/>
    <n v="230"/>
    <n v="0"/>
    <m/>
    <m/>
    <m/>
    <m/>
    <n v="0"/>
    <n v="0"/>
    <n v="75916.699360691986"/>
  </r>
  <r>
    <d v="2026-03-31T00:00:00"/>
    <x v="4"/>
    <s v="DURMUŞOĞULLARI KATI PEKMEZ TAHTA 700 GR"/>
    <m/>
    <x v="5"/>
    <s v="ST00000001780"/>
    <s v="SATIŞ"/>
    <s v="POS"/>
    <n v="1"/>
    <n v="295"/>
    <n v="295"/>
    <n v="0"/>
    <m/>
    <m/>
    <m/>
    <m/>
    <n v="0"/>
    <n v="0"/>
    <n v="75916.699360691986"/>
  </r>
  <r>
    <d v="2026-03-31T00:00:00"/>
    <x v="4"/>
    <s v="POLAT ŞEKERİ (NÖBET ŞEKERİ)"/>
    <m/>
    <x v="5"/>
    <s v="ST00000001780"/>
    <s v="SATIŞ"/>
    <s v="POS"/>
    <n v="0.26"/>
    <n v="250"/>
    <n v="65"/>
    <n v="0"/>
    <m/>
    <m/>
    <m/>
    <m/>
    <n v="0"/>
    <n v="0"/>
    <n v="75916.699360691986"/>
  </r>
  <r>
    <d v="2026-03-31T00:00:00"/>
    <x v="4"/>
    <s v="EL-RUHA ÇAY (AÇIK)"/>
    <m/>
    <x v="1"/>
    <s v="ST00000001781"/>
    <s v="SATIŞ"/>
    <s v="NAKİT"/>
    <n v="0.16666666666666666"/>
    <n v="600"/>
    <n v="0"/>
    <n v="0"/>
    <m/>
    <m/>
    <m/>
    <m/>
    <n v="100"/>
    <n v="0"/>
    <n v="76016.699360691986"/>
  </r>
  <r>
    <d v="2026-03-31T00:00:00"/>
    <x v="4"/>
    <s v="SUMAK"/>
    <m/>
    <x v="1"/>
    <s v="ST00000001782"/>
    <s v="SATIŞ"/>
    <s v="NAKİT"/>
    <n v="7.0000000000000007E-2"/>
    <n v="500"/>
    <n v="0"/>
    <n v="0"/>
    <m/>
    <m/>
    <m/>
    <m/>
    <n v="35"/>
    <n v="0"/>
    <n v="76051.699360691986"/>
  </r>
  <r>
    <d v="2026-03-31T00:00:00"/>
    <x v="4"/>
    <s v="ZERDEÇAL TOZ"/>
    <m/>
    <x v="1"/>
    <s v="ST00000001782"/>
    <s v="SATIŞ"/>
    <s v="NAKİT"/>
    <n v="9.7500000000000003E-2"/>
    <n v="400"/>
    <n v="0"/>
    <n v="0"/>
    <m/>
    <m/>
    <m/>
    <m/>
    <n v="39"/>
    <n v="0"/>
    <n v="76090.699360691986"/>
  </r>
  <r>
    <d v="2026-03-31T00:00:00"/>
    <x v="4"/>
    <s v="YEŞİL ÇAY YAPRAK"/>
    <m/>
    <x v="5"/>
    <s v="ST00000001783"/>
    <s v="SATIŞ"/>
    <s v="POS"/>
    <n v="0.1"/>
    <n v="1350"/>
    <n v="135"/>
    <n v="0"/>
    <m/>
    <m/>
    <m/>
    <m/>
    <n v="0"/>
    <n v="0"/>
    <n v="76090.699360691986"/>
  </r>
  <r>
    <d v="2026-03-31T00:00:00"/>
    <x v="4"/>
    <s v="LAHANA TURŞUSU 5 KG"/>
    <m/>
    <x v="1"/>
    <s v="ST00000001784"/>
    <s v="SATIŞ"/>
    <s v="NAKİT"/>
    <n v="1"/>
    <n v="300"/>
    <n v="0"/>
    <n v="0"/>
    <m/>
    <m/>
    <m/>
    <m/>
    <n v="300"/>
    <n v="0"/>
    <n v="76390.699360691986"/>
  </r>
  <r>
    <d v="2026-03-31T00:00:00"/>
    <x v="4"/>
    <s v="SARIBELEN IŞGIN KÖKÜ SİRKESİ 500 ML"/>
    <m/>
    <x v="1"/>
    <s v="ST00000001785"/>
    <s v="SATIŞ"/>
    <s v="NAKİT"/>
    <n v="1"/>
    <n v="170"/>
    <n v="0"/>
    <n v="0"/>
    <m/>
    <m/>
    <m/>
    <m/>
    <n v="170"/>
    <n v="0"/>
    <n v="76560.699360691986"/>
  </r>
  <r>
    <d v="2026-04-01T00:00:00"/>
    <x v="4"/>
    <s v="NANE İRİ"/>
    <m/>
    <x v="1"/>
    <s v="ST00000001786"/>
    <s v="SATIŞ"/>
    <s v="NAKİT"/>
    <n v="7.3999999999999996E-2"/>
    <n v="400"/>
    <n v="0"/>
    <n v="0"/>
    <m/>
    <m/>
    <m/>
    <m/>
    <n v="29.599999999999998"/>
    <n v="0"/>
    <n v="76590.299360691992"/>
  </r>
  <r>
    <d v="2026-04-01T00:00:00"/>
    <x v="4"/>
    <s v="KIRMIZI PUL BİBER TATLI"/>
    <m/>
    <x v="1"/>
    <s v="ST00000001786"/>
    <s v="SATIŞ"/>
    <s v="NAKİT"/>
    <n v="0.17799999999999999"/>
    <n v="360"/>
    <n v="0"/>
    <n v="0"/>
    <m/>
    <m/>
    <m/>
    <m/>
    <n v="64.08"/>
    <n v="0"/>
    <n v="76654.379360691993"/>
  </r>
  <r>
    <d v="2026-04-01T00:00:00"/>
    <x v="4"/>
    <s v="KAJUN BAHARATI - CAJUN SEASONING 1000 GR"/>
    <m/>
    <x v="1"/>
    <s v="ST00000001786"/>
    <s v="SATIŞ"/>
    <s v="NAKİT"/>
    <n v="0.1"/>
    <n v="750"/>
    <n v="0"/>
    <n v="0"/>
    <m/>
    <m/>
    <m/>
    <m/>
    <n v="75"/>
    <n v="0"/>
    <n v="76729.379360691993"/>
  </r>
  <r>
    <d v="2026-04-01T00:00:00"/>
    <x v="4"/>
    <s v="ÇUBUK TARÇIN"/>
    <m/>
    <x v="1"/>
    <s v="ST00000001786"/>
    <s v="SATIŞ"/>
    <s v="NAKİT"/>
    <n v="0.08"/>
    <n v="750"/>
    <n v="0"/>
    <n v="0"/>
    <m/>
    <m/>
    <m/>
    <m/>
    <n v="60"/>
    <n v="0"/>
    <n v="76789.379360691993"/>
  </r>
  <r>
    <d v="2026-04-01T00:00:00"/>
    <x v="4"/>
    <s v="KEKİK LÜX"/>
    <m/>
    <x v="1"/>
    <s v="ST00000001786"/>
    <s v="SATIŞ"/>
    <s v="NAKİT"/>
    <n v="3.5999999999999997E-2"/>
    <n v="750"/>
    <n v="0"/>
    <n v="0"/>
    <m/>
    <m/>
    <m/>
    <m/>
    <n v="26.999999999999996"/>
    <n v="0"/>
    <n v="76816.379360691993"/>
  </r>
  <r>
    <d v="2026-04-01T00:00:00"/>
    <x v="4"/>
    <s v="YENİBAHAR TOZ"/>
    <m/>
    <x v="1"/>
    <s v="ST00000001786"/>
    <s v="SATIŞ"/>
    <s v="NAKİT"/>
    <n v="0.08"/>
    <n v="770"/>
    <n v="0"/>
    <n v="0"/>
    <m/>
    <m/>
    <m/>
    <m/>
    <n v="61.6"/>
    <n v="0"/>
    <n v="76877.979360691999"/>
  </r>
  <r>
    <d v="2026-04-01T00:00:00"/>
    <x v="4"/>
    <s v="KARABİBER ÇEKİLMİŞ"/>
    <m/>
    <x v="1"/>
    <s v="ST00000001786"/>
    <s v="SATIŞ"/>
    <s v="NAKİT"/>
    <n v="0.112"/>
    <n v="650"/>
    <n v="0"/>
    <n v="0"/>
    <m/>
    <m/>
    <m/>
    <m/>
    <n v="72.8"/>
    <n v="0"/>
    <n v="76950.779360692002"/>
  </r>
  <r>
    <d v="2026-04-01T00:00:00"/>
    <x v="4"/>
    <s v="İSOT"/>
    <m/>
    <x v="1"/>
    <s v="ST00000001786"/>
    <s v="SATIŞ"/>
    <s v="NAKİT"/>
    <n v="0.122"/>
    <n v="400"/>
    <n v="0"/>
    <n v="0"/>
    <m/>
    <m/>
    <m/>
    <m/>
    <n v="48.8"/>
    <n v="0"/>
    <n v="76999.579360692005"/>
  </r>
  <r>
    <d v="2026-04-01T00:00:00"/>
    <x v="4"/>
    <s v="LİMONTUZU PARCA"/>
    <m/>
    <x v="1"/>
    <s v="ST00000001786"/>
    <s v="SATIŞ"/>
    <s v="NAKİT"/>
    <n v="0.27777777777777779"/>
    <n v="180"/>
    <n v="0"/>
    <n v="0"/>
    <m/>
    <m/>
    <m/>
    <m/>
    <n v="50"/>
    <n v="0"/>
    <n v="77049.579360692005"/>
  </r>
  <r>
    <d v="2026-04-01T00:00:00"/>
    <x v="4"/>
    <s v="SALÇA ACI (EV YAPIMI)"/>
    <m/>
    <x v="5"/>
    <s v="ST00000001787"/>
    <s v="SATIŞ"/>
    <s v="POS"/>
    <n v="0.55000000000000004"/>
    <n v="180"/>
    <n v="99.000000000000014"/>
    <n v="0"/>
    <m/>
    <m/>
    <m/>
    <m/>
    <n v="0"/>
    <n v="0"/>
    <n v="77049.579360692005"/>
  </r>
  <r>
    <d v="2026-04-01T00:00:00"/>
    <x v="4"/>
    <s v="DOMATES SALÇASI"/>
    <m/>
    <x v="5"/>
    <s v="ST00000001787"/>
    <s v="SATIŞ"/>
    <s v="POS"/>
    <n v="1"/>
    <n v="130"/>
    <n v="130"/>
    <n v="0"/>
    <m/>
    <m/>
    <m/>
    <m/>
    <n v="0"/>
    <n v="0"/>
    <n v="77049.579360692005"/>
  </r>
  <r>
    <d v="2026-04-01T00:00:00"/>
    <x v="4"/>
    <s v="İZMİR ÜZÜMÜ"/>
    <m/>
    <x v="5"/>
    <s v="ST00000001787"/>
    <s v="SATIŞ"/>
    <s v="POS"/>
    <n v="0.34200000000000003"/>
    <n v="246"/>
    <n v="84.132000000000005"/>
    <n v="0"/>
    <m/>
    <m/>
    <m/>
    <m/>
    <n v="0"/>
    <n v="0"/>
    <n v="77049.579360692005"/>
  </r>
  <r>
    <d v="2026-04-01T00:00:00"/>
    <x v="4"/>
    <s v="CEVİZ KELEBEK (ŞİLİ)"/>
    <m/>
    <x v="5"/>
    <s v="ST00000001787"/>
    <s v="SATIŞ"/>
    <s v="POS"/>
    <n v="0.184"/>
    <n v="750"/>
    <n v="138"/>
    <n v="0"/>
    <m/>
    <m/>
    <m/>
    <m/>
    <n v="0"/>
    <n v="0"/>
    <n v="77049.579360692005"/>
  </r>
  <r>
    <d v="2026-04-01T00:00:00"/>
    <x v="4"/>
    <s v="SALÇA TATLI (EV YAPIMI)"/>
    <m/>
    <x v="5"/>
    <s v="ST00000001787"/>
    <s v="SATIŞ"/>
    <s v="POS"/>
    <n v="0.55000000000000004"/>
    <n v="180"/>
    <n v="99.000000000000014"/>
    <n v="0"/>
    <m/>
    <m/>
    <m/>
    <m/>
    <n v="0"/>
    <n v="0"/>
    <n v="77049.579360692005"/>
  </r>
  <r>
    <d v="2026-04-01T00:00:00"/>
    <x v="4"/>
    <s v="MİGREN TAŞI (MENTHO BOX)"/>
    <m/>
    <x v="5"/>
    <s v="ST00000001788"/>
    <s v="SATIŞ"/>
    <s v="POS"/>
    <n v="2"/>
    <n v="135"/>
    <n v="270"/>
    <n v="0"/>
    <m/>
    <m/>
    <m/>
    <m/>
    <n v="0"/>
    <n v="0"/>
    <n v="77049.579360692005"/>
  </r>
  <r>
    <d v="2026-04-01T00:00:00"/>
    <x v="4"/>
    <s v="ZÜHRE ANA BROMELAİN ANANAS İÇEREN DETOX ŞURUBU 250 ML"/>
    <m/>
    <x v="5"/>
    <s v="ST00000001788"/>
    <s v="SATIŞ"/>
    <s v="POS"/>
    <n v="1"/>
    <n v="250"/>
    <n v="250"/>
    <n v="0"/>
    <m/>
    <m/>
    <m/>
    <m/>
    <n v="0"/>
    <n v="0"/>
    <n v="77049.579360692005"/>
  </r>
  <r>
    <d v="2026-04-01T00:00:00"/>
    <x v="4"/>
    <s v="MANİSA YAPRAK DÖKME"/>
    <m/>
    <x v="5"/>
    <s v="ST00000001788"/>
    <s v="SATIŞ"/>
    <s v="POS"/>
    <n v="2"/>
    <n v="375"/>
    <n v="750"/>
    <n v="0"/>
    <m/>
    <m/>
    <m/>
    <m/>
    <n v="0"/>
    <n v="0"/>
    <n v="77049.579360692005"/>
  </r>
  <r>
    <d v="2026-04-01T00:00:00"/>
    <x v="4"/>
    <s v="MECİTEFENDİ AT KESTANESİ ÖZLÜ GÖZ ÇEVRESİ KREMİ (15 ml.)"/>
    <m/>
    <x v="1"/>
    <s v="ST00000001789"/>
    <s v="SATIŞ"/>
    <s v="NAKİT"/>
    <n v="1"/>
    <n v="310"/>
    <n v="0"/>
    <n v="0"/>
    <m/>
    <m/>
    <m/>
    <m/>
    <n v="310"/>
    <n v="0"/>
    <n v="77359.579360692005"/>
  </r>
  <r>
    <d v="2026-04-01T00:00:00"/>
    <x v="4"/>
    <s v="DOLMALIK KURU PATLICAN"/>
    <m/>
    <x v="1"/>
    <s v="ST00000001789"/>
    <s v="SATIŞ"/>
    <s v="NAKİT"/>
    <n v="1"/>
    <n v="250"/>
    <n v="0"/>
    <n v="0"/>
    <m/>
    <m/>
    <m/>
    <m/>
    <n v="250"/>
    <n v="0"/>
    <n v="77609.579360692005"/>
  </r>
  <r>
    <d v="2026-04-01T00:00:00"/>
    <x v="4"/>
    <s v="EL-RUHA ÇAY (AÇIK)"/>
    <m/>
    <x v="1"/>
    <s v="ST00000001790"/>
    <s v="SATIŞ"/>
    <s v="NAKİT"/>
    <n v="1"/>
    <n v="600"/>
    <n v="0"/>
    <n v="0"/>
    <m/>
    <m/>
    <m/>
    <m/>
    <n v="600"/>
    <n v="0"/>
    <n v="78209.579360692005"/>
  </r>
  <r>
    <d v="2026-04-01T00:00:00"/>
    <x v="4"/>
    <s v="DOLMALIK KURU PATLICAN"/>
    <m/>
    <x v="5"/>
    <s v="ST00000001791"/>
    <s v="SATIŞ"/>
    <s v="POS"/>
    <n v="0.5"/>
    <n v="250"/>
    <n v="125"/>
    <n v="0"/>
    <m/>
    <m/>
    <m/>
    <m/>
    <n v="0"/>
    <n v="0"/>
    <n v="78209.579360692005"/>
  </r>
  <r>
    <d v="2026-04-01T00:00:00"/>
    <x v="4"/>
    <s v="DOLMALIK SARI BİBER"/>
    <m/>
    <x v="5"/>
    <s v="ST00000001791"/>
    <s v="SATIŞ"/>
    <s v="POS"/>
    <n v="0.5"/>
    <n v="250"/>
    <n v="125"/>
    <n v="0"/>
    <m/>
    <m/>
    <m/>
    <m/>
    <n v="0"/>
    <n v="0"/>
    <n v="78209.579360692005"/>
  </r>
  <r>
    <d v="2026-04-01T00:00:00"/>
    <x v="4"/>
    <s v="DOMATES SALÇASI"/>
    <m/>
    <x v="1"/>
    <s v="ST00000001792"/>
    <s v="SATIŞ"/>
    <s v="NAKİT"/>
    <n v="1"/>
    <n v="150"/>
    <n v="0"/>
    <n v="0"/>
    <m/>
    <m/>
    <m/>
    <m/>
    <n v="150"/>
    <n v="0"/>
    <n v="78359.579360692005"/>
  </r>
  <r>
    <d v="2026-04-01T00:00:00"/>
    <x v="4"/>
    <s v="NANE İRİ"/>
    <m/>
    <x v="1"/>
    <s v="ST00000001792"/>
    <s v="SATIŞ"/>
    <s v="NAKİT"/>
    <n v="7.4999999999999997E-2"/>
    <n v="400"/>
    <n v="0"/>
    <n v="0"/>
    <m/>
    <m/>
    <m/>
    <m/>
    <n v="30"/>
    <n v="0"/>
    <n v="78389.579360692005"/>
  </r>
  <r>
    <d v="2026-04-01T00:00:00"/>
    <x v="4"/>
    <s v="EVLİK BİBER"/>
    <m/>
    <x v="1"/>
    <s v="ST00000001792"/>
    <s v="SATIŞ"/>
    <s v="NAKİT"/>
    <n v="0.1075"/>
    <n v="400"/>
    <n v="0"/>
    <n v="0"/>
    <m/>
    <m/>
    <m/>
    <m/>
    <n v="43"/>
    <n v="0"/>
    <n v="78432.579360692005"/>
  </r>
  <r>
    <d v="2026-04-01T00:00:00"/>
    <x v="4"/>
    <s v="KEKİK LÜX"/>
    <m/>
    <x v="5"/>
    <s v="ST00000001793"/>
    <s v="SATIŞ"/>
    <s v="POS"/>
    <n v="7.3999999999999996E-2"/>
    <n v="750"/>
    <n v="55.5"/>
    <n v="0"/>
    <m/>
    <m/>
    <m/>
    <m/>
    <n v="0"/>
    <n v="0"/>
    <n v="78432.579360692005"/>
  </r>
  <r>
    <d v="2026-04-01T00:00:00"/>
    <x v="4"/>
    <s v="TOZ BİBER - TATLI"/>
    <m/>
    <x v="5"/>
    <s v="ST00000001793"/>
    <s v="SATIŞ"/>
    <s v="POS"/>
    <n v="0.13"/>
    <n v="400"/>
    <n v="52"/>
    <n v="0"/>
    <m/>
    <m/>
    <m/>
    <m/>
    <n v="0"/>
    <n v="0"/>
    <n v="78432.579360692005"/>
  </r>
  <r>
    <d v="2026-04-01T00:00:00"/>
    <x v="4"/>
    <s v="KORİ (TAVUK BAHARATI)"/>
    <m/>
    <x v="5"/>
    <s v="ST00000001793"/>
    <s v="SATIŞ"/>
    <s v="POS"/>
    <n v="0.126"/>
    <n v="140"/>
    <n v="17.64"/>
    <n v="0"/>
    <m/>
    <m/>
    <m/>
    <m/>
    <n v="0"/>
    <n v="0"/>
    <n v="78432.579360692005"/>
  </r>
  <r>
    <d v="2026-04-01T00:00:00"/>
    <x v="4"/>
    <s v="ZERDEÇAL TOZ"/>
    <m/>
    <x v="5"/>
    <s v="ST00000001793"/>
    <s v="SATIŞ"/>
    <s v="POS"/>
    <n v="4.8000000000000001E-2"/>
    <n v="300"/>
    <n v="14.4"/>
    <n v="0"/>
    <m/>
    <m/>
    <m/>
    <m/>
    <n v="0"/>
    <n v="0"/>
    <n v="78432.579360692005"/>
  </r>
  <r>
    <d v="2026-04-01T00:00:00"/>
    <x v="4"/>
    <s v="DOLMALIK KURU PATLICAN"/>
    <m/>
    <x v="5"/>
    <s v="ST00000001793"/>
    <s v="SATIŞ"/>
    <s v="POS"/>
    <n v="1"/>
    <n v="250"/>
    <n v="250"/>
    <n v="0"/>
    <m/>
    <m/>
    <m/>
    <m/>
    <n v="0"/>
    <n v="0"/>
    <n v="78432.579360692005"/>
  </r>
  <r>
    <d v="2026-04-01T00:00:00"/>
    <x v="4"/>
    <s v="SALÇA TATLI (EV YAPIMI)"/>
    <m/>
    <x v="5"/>
    <s v="ST00000001793"/>
    <s v="SATIŞ"/>
    <s v="POS"/>
    <n v="0.44800000000000001"/>
    <n v="200"/>
    <n v="89.600000000000009"/>
    <n v="0"/>
    <m/>
    <m/>
    <m/>
    <m/>
    <n v="0"/>
    <n v="0"/>
    <n v="78432.579360692005"/>
  </r>
  <r>
    <d v="2026-04-01T00:00:00"/>
    <x v="4"/>
    <s v="PİLAVLIK BULGUR"/>
    <m/>
    <x v="1"/>
    <s v="ST00000001794"/>
    <s v="SATIŞ"/>
    <s v="NAKİT"/>
    <n v="2"/>
    <n v="50"/>
    <n v="0"/>
    <n v="0"/>
    <m/>
    <m/>
    <m/>
    <m/>
    <n v="100"/>
    <n v="0"/>
    <n v="78532.579360692005"/>
  </r>
  <r>
    <d v="2026-04-01T00:00:00"/>
    <x v="4"/>
    <s v="ABANT 5 LT SU"/>
    <m/>
    <x v="1"/>
    <s v="ST00000001794"/>
    <s v="SATIŞ"/>
    <s v="NAKİT"/>
    <n v="3"/>
    <n v="33.340000000000003"/>
    <n v="0"/>
    <n v="0"/>
    <m/>
    <m/>
    <m/>
    <m/>
    <n v="100.02000000000001"/>
    <n v="0"/>
    <n v="78632.599360692009"/>
  </r>
  <r>
    <d v="2026-04-01T00:00:00"/>
    <x v="4"/>
    <s v="DOLMALIK KURU PATLICAN"/>
    <m/>
    <x v="1"/>
    <s v="ST00000001795"/>
    <s v="SATIŞ"/>
    <s v="NAKİT"/>
    <n v="0.5"/>
    <n v="250"/>
    <n v="0"/>
    <n v="0"/>
    <m/>
    <m/>
    <m/>
    <m/>
    <n v="125"/>
    <n v="0"/>
    <n v="78757.599360692009"/>
  </r>
  <r>
    <d v="2026-04-01T00:00:00"/>
    <x v="4"/>
    <s v="DOLMALIK SARI BİBER"/>
    <m/>
    <x v="1"/>
    <s v="ST00000001795"/>
    <s v="SATIŞ"/>
    <s v="NAKİT"/>
    <n v="0.5"/>
    <n v="250"/>
    <n v="0"/>
    <n v="0"/>
    <m/>
    <m/>
    <m/>
    <m/>
    <n v="125"/>
    <n v="0"/>
    <n v="78882.599360692009"/>
  </r>
  <r>
    <d v="2026-04-01T00:00:00"/>
    <x v="4"/>
    <s v="REZENE"/>
    <m/>
    <x v="1"/>
    <s v="ST00000001795"/>
    <s v="SATIŞ"/>
    <s v="NAKİT"/>
    <n v="0.05"/>
    <n v="900"/>
    <n v="0"/>
    <n v="0"/>
    <m/>
    <m/>
    <m/>
    <m/>
    <n v="45"/>
    <n v="0"/>
    <n v="78927.599360692009"/>
  </r>
  <r>
    <d v="2026-04-01T00:00:00"/>
    <x v="4"/>
    <s v="YENİBAHAR TOZ"/>
    <m/>
    <x v="1"/>
    <s v="ST00000001796"/>
    <s v="SATIŞ"/>
    <s v="NAKİT"/>
    <n v="5.9740259740259739E-2"/>
    <n v="770"/>
    <n v="0"/>
    <n v="0"/>
    <m/>
    <m/>
    <m/>
    <m/>
    <n v="46"/>
    <n v="0"/>
    <n v="78973.599360692009"/>
  </r>
  <r>
    <d v="2026-04-01T00:00:00"/>
    <x v="4"/>
    <s v="EL-RUHA ÇAY (AÇIK)"/>
    <m/>
    <x v="1"/>
    <s v="ST00000001797"/>
    <s v="SATIŞ"/>
    <s v="NAKİT"/>
    <n v="1"/>
    <n v="600"/>
    <n v="0"/>
    <n v="0"/>
    <m/>
    <m/>
    <m/>
    <m/>
    <n v="600"/>
    <n v="0"/>
    <n v="79573.599360692009"/>
  </r>
  <r>
    <d v="2026-04-01T00:00:00"/>
    <x v="4"/>
    <s v="HASEVLİK"/>
    <m/>
    <x v="1"/>
    <s v="ST00000001797"/>
    <s v="SATIŞ"/>
    <s v="NAKİT"/>
    <n v="1"/>
    <n v="450"/>
    <n v="0"/>
    <n v="0"/>
    <m/>
    <m/>
    <m/>
    <m/>
    <n v="450"/>
    <n v="0"/>
    <n v="80023.599360692009"/>
  </r>
  <r>
    <d v="2026-04-01T00:00:00"/>
    <x v="4"/>
    <s v="KARANFİL"/>
    <m/>
    <x v="1"/>
    <s v="ST00000001797"/>
    <s v="SATIŞ"/>
    <s v="NAKİT"/>
    <n v="0.05"/>
    <n v="1000"/>
    <n v="0"/>
    <n v="0"/>
    <m/>
    <m/>
    <m/>
    <m/>
    <n v="50"/>
    <n v="0"/>
    <n v="80073.599360692009"/>
  </r>
  <r>
    <d v="2026-04-01T00:00:00"/>
    <x v="4"/>
    <s v="MANİSA YAPRAK DÖKME"/>
    <m/>
    <x v="1"/>
    <s v="ST00000001797"/>
    <s v="SATIŞ - ZEKAT"/>
    <s v="NAKİT"/>
    <n v="1"/>
    <n v="350"/>
    <n v="0"/>
    <n v="0"/>
    <m/>
    <m/>
    <m/>
    <m/>
    <n v="350"/>
    <n v="0"/>
    <n v="80423.599360692009"/>
  </r>
  <r>
    <d v="2026-04-01T00:00:00"/>
    <x v="4"/>
    <s v="KARNIYARIK TOHUMU"/>
    <m/>
    <x v="5"/>
    <s v="ST00000001798"/>
    <s v="SATIŞ"/>
    <s v="POS"/>
    <n v="0.191"/>
    <n v="1100"/>
    <n v="210.1"/>
    <n v="0"/>
    <m/>
    <m/>
    <m/>
    <m/>
    <n v="0"/>
    <n v="0"/>
    <n v="80423.599360692009"/>
  </r>
  <r>
    <d v="2026-04-01T00:00:00"/>
    <x v="4"/>
    <s v="KİŞNİŞ TANE"/>
    <m/>
    <x v="5"/>
    <s v="ST00000001798"/>
    <s v="SATIŞ"/>
    <s v="POS"/>
    <n v="0.1"/>
    <n v="500"/>
    <n v="50"/>
    <n v="0"/>
    <m/>
    <m/>
    <m/>
    <m/>
    <n v="0"/>
    <n v="0"/>
    <n v="80423.599360692009"/>
  </r>
  <r>
    <d v="2026-04-01T00:00:00"/>
    <x v="4"/>
    <s v="KARNIYARIK TOHUMU"/>
    <m/>
    <x v="1"/>
    <s v="ST00000001799"/>
    <s v="SATIŞ"/>
    <s v="NAKİT"/>
    <n v="0.188"/>
    <n v="1100"/>
    <n v="0"/>
    <n v="0"/>
    <m/>
    <m/>
    <m/>
    <m/>
    <n v="206.8"/>
    <n v="0"/>
    <n v="80630.399360692012"/>
  </r>
  <r>
    <d v="2026-04-01T00:00:00"/>
    <x v="4"/>
    <s v="DOLMALIK KURU PATLICAN"/>
    <m/>
    <x v="5"/>
    <s v="ST00000001800"/>
    <s v="SATIŞ"/>
    <s v="POS"/>
    <n v="1"/>
    <n v="250"/>
    <n v="250"/>
    <n v="0"/>
    <m/>
    <m/>
    <m/>
    <m/>
    <n v="0"/>
    <n v="0"/>
    <n v="80630.399360692012"/>
  </r>
  <r>
    <d v="2026-04-01T00:00:00"/>
    <x v="4"/>
    <s v="DOLMALIK SARI BİBER"/>
    <m/>
    <x v="5"/>
    <s v="ST00000001800"/>
    <s v="SATIŞ"/>
    <s v="POS"/>
    <n v="1"/>
    <n v="250"/>
    <n v="250"/>
    <n v="0"/>
    <m/>
    <m/>
    <m/>
    <m/>
    <n v="0"/>
    <n v="0"/>
    <n v="80630.399360692012"/>
  </r>
  <r>
    <d v="2026-04-01T00:00:00"/>
    <x v="4"/>
    <s v="SALÇA ACI (EV YAPIMI)"/>
    <m/>
    <x v="5"/>
    <s v="ST00000001801"/>
    <s v="SATIŞ"/>
    <s v="POS"/>
    <n v="0.4"/>
    <n v="200"/>
    <n v="80"/>
    <n v="0"/>
    <m/>
    <m/>
    <m/>
    <m/>
    <n v="0"/>
    <n v="0"/>
    <n v="80630.399360692012"/>
  </r>
  <r>
    <d v="2026-04-01T00:00:00"/>
    <x v="4"/>
    <s v="SALÇA ACI (EV YAPIMI)"/>
    <m/>
    <x v="1"/>
    <s v="ST00000001801"/>
    <s v="SATIŞ"/>
    <s v="NAKİT"/>
    <n v="0.5"/>
    <n v="200"/>
    <n v="0"/>
    <n v="0"/>
    <m/>
    <m/>
    <m/>
    <m/>
    <n v="100"/>
    <n v="0"/>
    <n v="80730.399360692012"/>
  </r>
  <r>
    <d v="2026-04-01T00:00:00"/>
    <x v="1"/>
    <m/>
    <s v="KİRA GİDERLERİ"/>
    <x v="1"/>
    <m/>
    <s v="KİRA GİDERİ - 2026/04"/>
    <s v="NAKİT"/>
    <n v="1"/>
    <n v="22000"/>
    <n v="0"/>
    <n v="0"/>
    <m/>
    <m/>
    <m/>
    <m/>
    <n v="0"/>
    <n v="22000"/>
    <n v="58730.399360692012"/>
  </r>
  <r>
    <d v="2026-04-02T00:00:00"/>
    <x v="4"/>
    <s v="HAM KABAK LİFİ İŞLENMEMİŞ"/>
    <m/>
    <x v="1"/>
    <s v="ST00000001802"/>
    <s v="SATIŞ"/>
    <s v="NAKİT"/>
    <n v="1"/>
    <n v="180"/>
    <n v="0"/>
    <n v="0"/>
    <m/>
    <m/>
    <m/>
    <m/>
    <n v="180"/>
    <n v="0"/>
    <n v="58910.399360692012"/>
  </r>
  <r>
    <d v="2026-04-02T00:00:00"/>
    <x v="4"/>
    <s v="GENÇAY ALIÇ SİRKESİ 500 CC"/>
    <m/>
    <x v="5"/>
    <s v="ST00000001803"/>
    <s v="SATIŞ"/>
    <s v="POS"/>
    <n v="1"/>
    <n v="140"/>
    <n v="140"/>
    <n v="0"/>
    <m/>
    <m/>
    <m/>
    <m/>
    <n v="0"/>
    <n v="0"/>
    <n v="58910.399360692012"/>
  </r>
  <r>
    <d v="2026-04-02T00:00:00"/>
    <x v="4"/>
    <s v="PİLAVLIK BULGUR"/>
    <m/>
    <x v="1"/>
    <s v="ST00000001804"/>
    <s v="SATIŞ"/>
    <s v="NAKİT"/>
    <n v="1"/>
    <n v="65"/>
    <n v="0"/>
    <n v="0"/>
    <m/>
    <m/>
    <m/>
    <m/>
    <n v="65"/>
    <n v="0"/>
    <n v="58975.399360692012"/>
  </r>
  <r>
    <d v="2026-04-02T00:00:00"/>
    <x v="4"/>
    <s v="HASEVLİK"/>
    <m/>
    <x v="1"/>
    <s v="ST00000001804"/>
    <s v="SATIŞ"/>
    <s v="NAKİT"/>
    <n v="0.1"/>
    <n v="450"/>
    <n v="0"/>
    <n v="0"/>
    <m/>
    <m/>
    <m/>
    <m/>
    <n v="45"/>
    <n v="0"/>
    <n v="59020.399360692012"/>
  </r>
  <r>
    <d v="2026-04-02T00:00:00"/>
    <x v="4"/>
    <s v="KINA RGS DÖKME"/>
    <m/>
    <x v="1"/>
    <s v="ST00000001805"/>
    <s v="SATIŞ"/>
    <s v="NAKİT"/>
    <n v="0.25"/>
    <n v="400"/>
    <n v="0"/>
    <n v="0"/>
    <m/>
    <m/>
    <m/>
    <m/>
    <n v="100"/>
    <n v="0"/>
    <n v="59120.399360692012"/>
  </r>
  <r>
    <d v="2026-04-02T00:00:00"/>
    <x v="4"/>
    <s v="MANİSA YAPRAK DÖKME"/>
    <m/>
    <x v="5"/>
    <s v="ST00000001806"/>
    <s v="SATIŞ"/>
    <s v="POS"/>
    <n v="0.316"/>
    <n v="350"/>
    <n v="110.6"/>
    <n v="0"/>
    <m/>
    <m/>
    <m/>
    <m/>
    <n v="0"/>
    <n v="0"/>
    <n v="59120.399360692012"/>
  </r>
  <r>
    <d v="2026-04-02T00:00:00"/>
    <x v="4"/>
    <s v="MECİTEFENDİ ARDIÇ KATRANI ŞAMPUAN 400 ML"/>
    <m/>
    <x v="1"/>
    <s v="ST00000001807"/>
    <s v="SATIŞ"/>
    <s v="NAKİT"/>
    <n v="1"/>
    <n v="220"/>
    <n v="0"/>
    <n v="0"/>
    <m/>
    <m/>
    <m/>
    <m/>
    <n v="220"/>
    <n v="0"/>
    <n v="59340.399360692012"/>
  </r>
  <r>
    <d v="2026-04-02T00:00:00"/>
    <x v="4"/>
    <s v="KARANFİL"/>
    <m/>
    <x v="1"/>
    <s v="ST00000001807"/>
    <s v="SATIŞ"/>
    <s v="NAKİT"/>
    <n v="0.05"/>
    <n v="1200"/>
    <n v="0"/>
    <n v="0"/>
    <m/>
    <m/>
    <m/>
    <m/>
    <n v="60"/>
    <n v="0"/>
    <n v="59400.399360692012"/>
  </r>
  <r>
    <d v="2026-04-02T00:00:00"/>
    <x v="4"/>
    <s v="ÇUBUK TARÇIN"/>
    <m/>
    <x v="1"/>
    <s v="ST00000001807"/>
    <s v="SATIŞ"/>
    <s v="NAKİT"/>
    <n v="0.08"/>
    <n v="750"/>
    <n v="0"/>
    <n v="0"/>
    <m/>
    <m/>
    <m/>
    <m/>
    <n v="60"/>
    <n v="0"/>
    <n v="59460.399360692012"/>
  </r>
  <r>
    <d v="2026-04-02T00:00:00"/>
    <x v="4"/>
    <s v="KARABİBER ÇEKİLMİŞ"/>
    <m/>
    <x v="1"/>
    <s v="ST00000001808"/>
    <s v="SATIŞ"/>
    <s v="NAKİT"/>
    <n v="5.3846153846153849E-2"/>
    <n v="650"/>
    <n v="0"/>
    <n v="0"/>
    <m/>
    <m/>
    <m/>
    <m/>
    <n v="35"/>
    <n v="0"/>
    <n v="59495.399360692012"/>
  </r>
  <r>
    <d v="2026-04-02T00:00:00"/>
    <x v="4"/>
    <s v="EVLİK BİBER"/>
    <m/>
    <x v="1"/>
    <s v="ST00000001808"/>
    <s v="SATIŞ"/>
    <s v="NAKİT"/>
    <n v="0.125"/>
    <n v="400"/>
    <n v="0"/>
    <n v="0"/>
    <m/>
    <m/>
    <m/>
    <m/>
    <n v="50"/>
    <n v="0"/>
    <n v="59545.399360692012"/>
  </r>
  <r>
    <d v="2026-04-02T00:00:00"/>
    <x v="4"/>
    <s v="SUMAK"/>
    <m/>
    <x v="1"/>
    <s v="ST00000001808"/>
    <s v="SATIŞ"/>
    <s v="NAKİT"/>
    <n v="0.1"/>
    <n v="500"/>
    <n v="0"/>
    <n v="0"/>
    <m/>
    <m/>
    <m/>
    <m/>
    <n v="50"/>
    <n v="0"/>
    <n v="59595.399360692012"/>
  </r>
  <r>
    <d v="2026-04-02T00:00:00"/>
    <x v="4"/>
    <s v="DOMATES SALÇASI"/>
    <m/>
    <x v="1"/>
    <s v="ST00000001808"/>
    <s v="SATIŞ"/>
    <s v="NAKİT"/>
    <n v="1"/>
    <n v="150"/>
    <n v="0"/>
    <n v="0"/>
    <m/>
    <m/>
    <m/>
    <m/>
    <n v="150"/>
    <n v="0"/>
    <n v="59745.399360692012"/>
  </r>
  <r>
    <d v="2026-04-02T00:00:00"/>
    <x v="4"/>
    <s v="ÇÖREKOTU YAĞI 50 CC"/>
    <m/>
    <x v="1"/>
    <s v="ST00000001809"/>
    <s v="SATIŞ"/>
    <s v="NAKİT"/>
    <n v="1"/>
    <n v="170"/>
    <n v="0"/>
    <n v="0"/>
    <m/>
    <m/>
    <m/>
    <m/>
    <n v="170"/>
    <n v="0"/>
    <n v="59915.399360692012"/>
  </r>
  <r>
    <d v="2026-04-03T00:00:00"/>
    <x v="4"/>
    <s v="DOLMALIK KURU PATLICAN"/>
    <m/>
    <x v="5"/>
    <s v="ST00000001810"/>
    <s v="SATIŞ"/>
    <s v="POS"/>
    <n v="1"/>
    <n v="250"/>
    <n v="250"/>
    <n v="0"/>
    <m/>
    <m/>
    <m/>
    <m/>
    <n v="0"/>
    <n v="0"/>
    <n v="59915.399360692012"/>
  </r>
  <r>
    <d v="2026-04-03T00:00:00"/>
    <x v="4"/>
    <s v="DOLMALIK SARI BİBER"/>
    <m/>
    <x v="5"/>
    <s v="ST00000001810"/>
    <s v="SATIŞ"/>
    <s v="POS"/>
    <n v="1"/>
    <n v="250"/>
    <n v="250"/>
    <n v="0"/>
    <m/>
    <m/>
    <m/>
    <m/>
    <n v="0"/>
    <n v="0"/>
    <n v="59915.399360692012"/>
  </r>
  <r>
    <d v="2026-04-03T00:00:00"/>
    <x v="4"/>
    <s v="EL-RUHA ÇAY (AÇIK)"/>
    <m/>
    <x v="5"/>
    <s v="ST00000001810"/>
    <s v="SATIŞ"/>
    <s v="POS"/>
    <n v="0.25"/>
    <n v="700"/>
    <n v="175"/>
    <n v="0"/>
    <m/>
    <m/>
    <m/>
    <m/>
    <n v="0"/>
    <n v="0"/>
    <n v="59915.399360692012"/>
  </r>
  <r>
    <d v="2026-04-03T00:00:00"/>
    <x v="4"/>
    <s v="LEBLEBİ ŞEKER RENKLİ"/>
    <m/>
    <x v="5"/>
    <s v="ST00000001810"/>
    <s v="SATIŞ"/>
    <s v="POS"/>
    <n v="0.58399999999999996"/>
    <n v="230"/>
    <n v="134.32"/>
    <n v="0"/>
    <m/>
    <m/>
    <m/>
    <m/>
    <n v="0"/>
    <n v="0"/>
    <n v="59915.399360692012"/>
  </r>
  <r>
    <d v="2026-04-03T00:00:00"/>
    <x v="4"/>
    <s v="HAM KABAK LİFİ İŞLENMEMİŞ"/>
    <m/>
    <x v="1"/>
    <s v="ST00000001811"/>
    <s v="SATIŞ"/>
    <s v="NAKİT"/>
    <n v="1"/>
    <n v="180"/>
    <n v="0"/>
    <n v="0"/>
    <m/>
    <m/>
    <m/>
    <m/>
    <n v="180"/>
    <n v="0"/>
    <n v="60095.399360692012"/>
  </r>
  <r>
    <d v="2026-04-03T00:00:00"/>
    <x v="4"/>
    <s v="TALA KARINCA YUMURTASI YAĞI 20 ML"/>
    <m/>
    <x v="1"/>
    <s v="ST00000001811"/>
    <s v="SATIŞ"/>
    <s v="NAKİT"/>
    <n v="1"/>
    <n v="130"/>
    <n v="0"/>
    <n v="0"/>
    <m/>
    <m/>
    <m/>
    <m/>
    <n v="130"/>
    <n v="0"/>
    <n v="60225.399360692012"/>
  </r>
  <r>
    <d v="2026-04-03T00:00:00"/>
    <x v="4"/>
    <s v="MECİTEFENDİ DOĞAL KİL MASKE-YOSUN (200 ml.)"/>
    <m/>
    <x v="1"/>
    <s v="ST00000001811"/>
    <s v="SATIŞ"/>
    <s v="NAKİT"/>
    <n v="1"/>
    <n v="100"/>
    <n v="0"/>
    <n v="0"/>
    <m/>
    <m/>
    <m/>
    <m/>
    <n v="100"/>
    <n v="0"/>
    <n v="60325.399360692012"/>
  </r>
  <r>
    <d v="2026-04-03T00:00:00"/>
    <x v="4"/>
    <s v="GÜNBAK 3Ü1 ARADA SADE KUTU 40 ADET"/>
    <m/>
    <x v="1"/>
    <s v="ST00000001811"/>
    <s v="SATIŞ"/>
    <s v="NAKİT"/>
    <n v="2"/>
    <n v="10"/>
    <n v="0"/>
    <n v="0"/>
    <m/>
    <m/>
    <m/>
    <m/>
    <n v="20"/>
    <n v="0"/>
    <n v="60345.399360692012"/>
  </r>
  <r>
    <d v="2026-04-03T00:00:00"/>
    <x v="4"/>
    <s v="AÇLIK OTU"/>
    <m/>
    <x v="1"/>
    <s v="ST00000001812"/>
    <s v="SATIŞ"/>
    <s v="NAKİT"/>
    <n v="0.12"/>
    <n v="417"/>
    <n v="0"/>
    <n v="0"/>
    <m/>
    <m/>
    <m/>
    <m/>
    <n v="50.04"/>
    <n v="0"/>
    <n v="60395.439360692013"/>
  </r>
  <r>
    <d v="2026-04-03T00:00:00"/>
    <x v="4"/>
    <s v="YENİBAHAR TOZ"/>
    <m/>
    <x v="1"/>
    <s v="ST00000001813"/>
    <s v="SATIŞ"/>
    <s v="NAKİT"/>
    <n v="6.7532467532467527E-2"/>
    <n v="770"/>
    <n v="0"/>
    <n v="0"/>
    <m/>
    <m/>
    <m/>
    <m/>
    <n v="51.999999999999993"/>
    <n v="0"/>
    <n v="60447.439360692013"/>
  </r>
  <r>
    <d v="2026-04-03T00:00:00"/>
    <x v="4"/>
    <s v="MISIR PREMİUM MEDİUM HURMA"/>
    <m/>
    <x v="5"/>
    <s v="ST00000001814"/>
    <s v="SATIŞ"/>
    <s v="POS"/>
    <n v="0.5"/>
    <n v="450"/>
    <n v="225"/>
    <n v="0"/>
    <m/>
    <m/>
    <m/>
    <m/>
    <n v="0"/>
    <n v="0"/>
    <n v="60447.439360692013"/>
  </r>
  <r>
    <d v="2026-04-03T00:00:00"/>
    <x v="4"/>
    <s v="KINA RGS DÖKME"/>
    <m/>
    <x v="1"/>
    <s v="ST00000001815"/>
    <s v="SATIŞ"/>
    <s v="NAKİT"/>
    <n v="1"/>
    <n v="400"/>
    <n v="0"/>
    <n v="0"/>
    <m/>
    <m/>
    <m/>
    <m/>
    <n v="400"/>
    <n v="0"/>
    <n v="60847.439360692013"/>
  </r>
  <r>
    <d v="2026-04-03T00:00:00"/>
    <x v="4"/>
    <s v="GÜNBAK 3Ü1 ARADA SADE KUTU 40 ADET"/>
    <m/>
    <x v="1"/>
    <s v="ST00000001815"/>
    <s v="SATIŞ"/>
    <s v="NAKİT"/>
    <n v="10"/>
    <n v="10"/>
    <n v="0"/>
    <n v="0"/>
    <m/>
    <m/>
    <m/>
    <m/>
    <n v="100"/>
    <n v="0"/>
    <n v="60947.439360692013"/>
  </r>
  <r>
    <d v="2026-04-03T00:00:00"/>
    <x v="4"/>
    <s v="ZERDEÇAL TOZ"/>
    <m/>
    <x v="1"/>
    <s v="ST00000001816"/>
    <s v="SATIŞ"/>
    <s v="NAKİT"/>
    <n v="7.5999999999999998E-2"/>
    <n v="300"/>
    <n v="0"/>
    <n v="0"/>
    <m/>
    <m/>
    <m/>
    <m/>
    <n v="22.8"/>
    <n v="0"/>
    <n v="60970.239360692016"/>
  </r>
  <r>
    <d v="2026-04-03T00:00:00"/>
    <x v="4"/>
    <s v="ZENCEFİL TOZ"/>
    <m/>
    <x v="1"/>
    <s v="ST00000001816"/>
    <s v="SATIŞ"/>
    <s v="NAKİT"/>
    <n v="0.09"/>
    <n v="400"/>
    <n v="0"/>
    <n v="0"/>
    <m/>
    <m/>
    <m/>
    <m/>
    <n v="36"/>
    <n v="0"/>
    <n v="61006.239360692016"/>
  </r>
  <r>
    <d v="2026-04-03T00:00:00"/>
    <x v="4"/>
    <s v="DOLMALIK KURU PATLICAN"/>
    <m/>
    <x v="5"/>
    <s v="ST00000001817"/>
    <s v="SATIŞ"/>
    <s v="POS"/>
    <n v="1"/>
    <n v="250"/>
    <n v="250"/>
    <n v="0"/>
    <m/>
    <m/>
    <m/>
    <m/>
    <n v="0"/>
    <n v="0"/>
    <n v="61006.239360692016"/>
  </r>
  <r>
    <d v="2026-04-03T00:00:00"/>
    <x v="4"/>
    <s v="DOLMALIK SARI BİBER"/>
    <m/>
    <x v="5"/>
    <s v="ST00000001817"/>
    <s v="SATIŞ"/>
    <s v="POS"/>
    <n v="1"/>
    <n v="250"/>
    <n v="250"/>
    <n v="0"/>
    <m/>
    <m/>
    <m/>
    <m/>
    <n v="0"/>
    <n v="0"/>
    <n v="61006.239360692016"/>
  </r>
  <r>
    <d v="2026-04-03T00:00:00"/>
    <x v="4"/>
    <s v="NBN DAĞ İNCİRİ"/>
    <m/>
    <x v="5"/>
    <s v="ST00000001818"/>
    <s v="SATIŞ"/>
    <s v="POS"/>
    <n v="1.2150000000000001"/>
    <n v="800"/>
    <n v="972.00000000000011"/>
    <n v="0"/>
    <m/>
    <m/>
    <m/>
    <m/>
    <n v="0"/>
    <n v="0"/>
    <n v="61006.239360692016"/>
  </r>
  <r>
    <d v="2026-04-03T00:00:00"/>
    <x v="4"/>
    <s v="ÖZBEK ÜZÜMÜ"/>
    <m/>
    <x v="5"/>
    <s v="ST00000001818"/>
    <s v="SATIŞ"/>
    <s v="POS"/>
    <n v="0.68600000000000005"/>
    <n v="550"/>
    <n v="377.3"/>
    <n v="0"/>
    <m/>
    <m/>
    <m/>
    <m/>
    <n v="0"/>
    <n v="0"/>
    <n v="61006.239360692016"/>
  </r>
  <r>
    <d v="2026-04-03T00:00:00"/>
    <x v="4"/>
    <s v="CEVİZ KELEBEK (ŞİLİ)"/>
    <m/>
    <x v="5"/>
    <s v="ST00000001818"/>
    <s v="SATIŞ"/>
    <s v="POS"/>
    <n v="1"/>
    <n v="750"/>
    <n v="750"/>
    <n v="0"/>
    <m/>
    <m/>
    <m/>
    <m/>
    <n v="0"/>
    <n v="0"/>
    <n v="61006.239360692016"/>
  </r>
  <r>
    <d v="2026-04-03T00:00:00"/>
    <x v="4"/>
    <s v="ÇUBUK TARÇIN"/>
    <m/>
    <x v="5"/>
    <s v="ST00000001818"/>
    <s v="SATIŞ"/>
    <s v="POS"/>
    <n v="0.08"/>
    <n v="510"/>
    <n v="40.800000000000004"/>
    <n v="0"/>
    <m/>
    <m/>
    <m/>
    <m/>
    <n v="0"/>
    <n v="0"/>
    <n v="61006.239360692016"/>
  </r>
  <r>
    <d v="2026-04-04T00:00:00"/>
    <x v="4"/>
    <s v="MISIR PREMİUM MEDİUM HURMA"/>
    <m/>
    <x v="1"/>
    <s v="ST00000001819"/>
    <s v="SATIŞ - MMT"/>
    <s v="NAKİT"/>
    <n v="0.4"/>
    <n v="350"/>
    <n v="0"/>
    <n v="0"/>
    <m/>
    <m/>
    <m/>
    <m/>
    <n v="140"/>
    <n v="0"/>
    <n v="61146.239360692016"/>
  </r>
  <r>
    <d v="2026-04-04T00:00:00"/>
    <x v="4"/>
    <s v="KINA TÜP SİYAH"/>
    <m/>
    <x v="1"/>
    <s v="ST00000001820"/>
    <s v="SATIŞ"/>
    <s v="NAKİT"/>
    <n v="1"/>
    <n v="50"/>
    <n v="0"/>
    <n v="0"/>
    <m/>
    <m/>
    <m/>
    <m/>
    <n v="50"/>
    <n v="0"/>
    <n v="61196.239360692016"/>
  </r>
  <r>
    <d v="2026-04-04T00:00:00"/>
    <x v="4"/>
    <s v="TANE MAHLEP"/>
    <m/>
    <x v="1"/>
    <s v="ST00000001821"/>
    <s v="SATIŞ"/>
    <s v="NAKİT"/>
    <n v="0.05"/>
    <n v="2600"/>
    <n v="0"/>
    <n v="0"/>
    <m/>
    <m/>
    <m/>
    <m/>
    <n v="130"/>
    <n v="0"/>
    <n v="61326.239360692016"/>
  </r>
  <r>
    <d v="2026-04-04T00:00:00"/>
    <x v="4"/>
    <s v="KONTES HAMAM OTU - TÜY DÖKÜCÜ"/>
    <m/>
    <x v="1"/>
    <s v="ST00000001822"/>
    <s v="SATIŞ"/>
    <s v="NAKİT"/>
    <n v="1"/>
    <n v="15"/>
    <n v="0"/>
    <n v="0"/>
    <m/>
    <m/>
    <m/>
    <m/>
    <n v="15"/>
    <n v="0"/>
    <n v="61341.239360692016"/>
  </r>
  <r>
    <d v="2026-04-04T00:00:00"/>
    <x v="4"/>
    <s v="MANİSA YAPRAK DÖKME"/>
    <m/>
    <x v="5"/>
    <s v="ST00000001823"/>
    <s v="SATIŞ"/>
    <s v="POS"/>
    <n v="1.7150000000000001"/>
    <n v="350"/>
    <n v="600.25"/>
    <n v="0"/>
    <m/>
    <m/>
    <m/>
    <m/>
    <n v="0"/>
    <n v="0"/>
    <n v="61341.239360692016"/>
  </r>
  <r>
    <d v="2026-04-04T00:00:00"/>
    <x v="4"/>
    <s v="PİLAVLIK BULGUR"/>
    <m/>
    <x v="5"/>
    <s v="ST00000001823"/>
    <s v="SATIŞ"/>
    <s v="POS"/>
    <n v="1.17"/>
    <n v="65"/>
    <n v="76.05"/>
    <n v="0"/>
    <m/>
    <m/>
    <m/>
    <m/>
    <n v="0"/>
    <n v="0"/>
    <n v="61341.239360692016"/>
  </r>
  <r>
    <d v="2026-04-04T00:00:00"/>
    <x v="4"/>
    <s v="NANE İRİ"/>
    <m/>
    <x v="5"/>
    <s v="ST00000001823"/>
    <s v="SATIŞ"/>
    <s v="POS"/>
    <n v="0.06"/>
    <n v="400"/>
    <n v="24"/>
    <n v="0"/>
    <m/>
    <m/>
    <m/>
    <m/>
    <n v="0"/>
    <n v="0"/>
    <n v="61341.239360692016"/>
  </r>
  <r>
    <d v="2026-04-04T00:00:00"/>
    <x v="4"/>
    <s v="DOLMALIK KURU PATLICAN"/>
    <m/>
    <x v="5"/>
    <s v="ST00000001823"/>
    <s v="SATIŞ"/>
    <s v="POS"/>
    <n v="1"/>
    <n v="250"/>
    <n v="250"/>
    <n v="0"/>
    <m/>
    <m/>
    <m/>
    <m/>
    <n v="0"/>
    <n v="0"/>
    <n v="61341.239360692016"/>
  </r>
  <r>
    <d v="2026-04-04T00:00:00"/>
    <x v="4"/>
    <s v="MEBRUM HURMA (3'LÜK)"/>
    <m/>
    <x v="5"/>
    <s v="ST00000001824"/>
    <s v="SATIŞ"/>
    <s v="POS"/>
    <n v="0.58333333333333337"/>
    <n v="420"/>
    <n v="245.00000000000003"/>
    <n v="0"/>
    <m/>
    <m/>
    <m/>
    <m/>
    <n v="0"/>
    <n v="0"/>
    <n v="61341.239360692016"/>
  </r>
  <r>
    <d v="2026-04-04T00:00:00"/>
    <x v="4"/>
    <s v="NBN DAĞ İNCİRİ"/>
    <m/>
    <x v="5"/>
    <s v="ST00000001824"/>
    <s v="SATIŞ"/>
    <s v="POS"/>
    <n v="0.50624999999999998"/>
    <n v="800"/>
    <n v="405"/>
    <n v="0"/>
    <m/>
    <m/>
    <m/>
    <m/>
    <n v="0"/>
    <n v="0"/>
    <n v="61341.239360692016"/>
  </r>
  <r>
    <d v="2026-04-04T00:00:00"/>
    <x v="4"/>
    <s v="TÜDAB KEÇİ BOYNUZU (DÖKME)"/>
    <m/>
    <x v="5"/>
    <s v="ST00000001824"/>
    <s v="SATIŞ"/>
    <s v="POS"/>
    <n v="0.14285714285714285"/>
    <n v="350"/>
    <n v="50"/>
    <n v="0"/>
    <m/>
    <m/>
    <m/>
    <m/>
    <n v="0"/>
    <n v="0"/>
    <n v="61341.239360692016"/>
  </r>
  <r>
    <d v="2026-04-04T00:00:00"/>
    <x v="4"/>
    <s v="COLLAGEN FORTE PLATİNUM OMEGA 3 90 SOFT JEL"/>
    <m/>
    <x v="1"/>
    <s v="ST00000001825"/>
    <s v="SATIŞ"/>
    <s v="NAKİT"/>
    <n v="1"/>
    <n v="400"/>
    <n v="0"/>
    <n v="0"/>
    <m/>
    <m/>
    <m/>
    <m/>
    <n v="400"/>
    <n v="0"/>
    <n v="61741.239360692016"/>
  </r>
  <r>
    <d v="2026-04-04T00:00:00"/>
    <x v="4"/>
    <s v="KARANFİL"/>
    <m/>
    <x v="1"/>
    <s v="ST00000001825"/>
    <s v="SATIŞ"/>
    <s v="NAKİT"/>
    <n v="0.05"/>
    <n v="1200"/>
    <n v="0"/>
    <n v="0"/>
    <m/>
    <m/>
    <m/>
    <m/>
    <n v="60"/>
    <n v="0"/>
    <n v="61801.239360692016"/>
  </r>
  <r>
    <d v="2026-04-04T00:00:00"/>
    <x v="4"/>
    <s v="POLAT ŞEKERİ (NÖBET ŞEKERİ)"/>
    <m/>
    <x v="1"/>
    <s v="ST00000001825"/>
    <s v="SATIŞ"/>
    <s v="NAKİT"/>
    <n v="0.24"/>
    <n v="250"/>
    <n v="0"/>
    <n v="0"/>
    <m/>
    <m/>
    <m/>
    <m/>
    <n v="60"/>
    <n v="0"/>
    <n v="61861.239360692016"/>
  </r>
  <r>
    <d v="2026-04-04T00:00:00"/>
    <x v="4"/>
    <s v="MANİSA YAPRAK DÖKME"/>
    <m/>
    <x v="1"/>
    <s v="ST00000001826"/>
    <s v="SATIŞ"/>
    <s v="NAKİT"/>
    <n v="0.74285714285714288"/>
    <n v="350"/>
    <n v="0"/>
    <n v="0"/>
    <m/>
    <m/>
    <m/>
    <m/>
    <n v="260"/>
    <n v="0"/>
    <n v="62121.239360692016"/>
  </r>
  <r>
    <d v="2026-04-04T00:00:00"/>
    <x v="4"/>
    <s v="HİBİSKUS"/>
    <m/>
    <x v="1"/>
    <s v="ST00000001827"/>
    <s v="SATIŞ - SUAT"/>
    <s v="NAKİT"/>
    <n v="0.23"/>
    <n v="600"/>
    <n v="0"/>
    <n v="0"/>
    <m/>
    <m/>
    <m/>
    <m/>
    <n v="138"/>
    <n v="0"/>
    <n v="62259.239360692016"/>
  </r>
  <r>
    <d v="2026-04-04T00:00:00"/>
    <x v="4"/>
    <s v="SEYİDOĞLU TAHİN 550 g"/>
    <m/>
    <x v="1"/>
    <s v="ST00000001827"/>
    <s v="SATIŞ - SUAT"/>
    <s v="NAKİT"/>
    <n v="1"/>
    <n v="160"/>
    <n v="0"/>
    <n v="0"/>
    <m/>
    <m/>
    <m/>
    <m/>
    <n v="160"/>
    <n v="0"/>
    <n v="62419.239360692016"/>
  </r>
  <r>
    <d v="2026-04-04T00:00:00"/>
    <x v="4"/>
    <s v="AGARTA DİŞ MACUNU"/>
    <m/>
    <x v="1"/>
    <s v="ST00000001827"/>
    <s v="SATIŞ - SUAT"/>
    <s v="NAKİT"/>
    <n v="1"/>
    <n v="135"/>
    <n v="0"/>
    <n v="0"/>
    <m/>
    <m/>
    <m/>
    <m/>
    <n v="135"/>
    <n v="0"/>
    <n v="62554.239360692016"/>
  </r>
  <r>
    <d v="2026-04-04T00:00:00"/>
    <x v="4"/>
    <s v="KEKİK LÜX"/>
    <m/>
    <x v="1"/>
    <s v="ST00000001827"/>
    <s v="SATIŞ - SUAT"/>
    <s v="NAKİT"/>
    <n v="0.04"/>
    <n v="850"/>
    <n v="0"/>
    <n v="0"/>
    <m/>
    <m/>
    <m/>
    <m/>
    <n v="34"/>
    <n v="0"/>
    <n v="62588.239360692016"/>
  </r>
  <r>
    <d v="2026-04-04T00:00:00"/>
    <x v="4"/>
    <s v="FINDIK BULACAK (13-15)"/>
    <m/>
    <x v="1"/>
    <s v="ST00000001827"/>
    <s v="SATIŞ - SUAT"/>
    <s v="NAKİT"/>
    <n v="0.25"/>
    <n v="1200"/>
    <n v="0"/>
    <n v="0"/>
    <m/>
    <m/>
    <m/>
    <m/>
    <n v="300"/>
    <n v="0"/>
    <n v="62888.239360692016"/>
  </r>
  <r>
    <d v="2026-04-04T00:00:00"/>
    <x v="4"/>
    <s v="CEVİZ KELEBEK (ŞİLİ)"/>
    <m/>
    <x v="1"/>
    <s v="ST00000001827"/>
    <s v="SATIŞ - SUAT"/>
    <s v="NAKİT"/>
    <n v="0.246"/>
    <n v="750"/>
    <n v="0"/>
    <n v="0"/>
    <m/>
    <m/>
    <m/>
    <m/>
    <n v="184.5"/>
    <n v="0"/>
    <n v="63072.739360692016"/>
  </r>
  <r>
    <d v="2026-04-05T00:00:00"/>
    <x v="4"/>
    <s v="MİSVAK KUTULU (HOLDER)"/>
    <m/>
    <x v="1"/>
    <s v="ST00000001828"/>
    <s v="SATIŞ"/>
    <s v="NAKİT"/>
    <n v="1"/>
    <n v="20"/>
    <n v="0"/>
    <n v="0"/>
    <m/>
    <m/>
    <m/>
    <m/>
    <n v="20"/>
    <n v="0"/>
    <n v="63092.739360692016"/>
  </r>
  <r>
    <d v="2026-04-05T00:00:00"/>
    <x v="4"/>
    <s v="MANİSA YAPRAK DÖKME"/>
    <m/>
    <x v="5"/>
    <s v="ST00000001829"/>
    <s v="SATIŞ"/>
    <s v="POS"/>
    <n v="0.5"/>
    <n v="350"/>
    <n v="175"/>
    <n v="0"/>
    <m/>
    <m/>
    <m/>
    <m/>
    <n v="0"/>
    <n v="0"/>
    <n v="63092.739360692016"/>
  </r>
  <r>
    <d v="2026-04-05T00:00:00"/>
    <x v="4"/>
    <s v="ADAÇAYI SIYIRMA"/>
    <m/>
    <x v="5"/>
    <s v="ST00000001830"/>
    <s v="SATIŞ"/>
    <s v="POS"/>
    <n v="4.0540540540540543E-2"/>
    <n v="740"/>
    <n v="30"/>
    <n v="0"/>
    <m/>
    <m/>
    <m/>
    <m/>
    <n v="0"/>
    <n v="0"/>
    <n v="63092.739360692016"/>
  </r>
  <r>
    <d v="2026-04-05T00:00:00"/>
    <x v="4"/>
    <s v="SALÇA TATLI (EV YAPIMI)"/>
    <m/>
    <x v="5"/>
    <s v="ST00000001831"/>
    <s v="SATIŞ"/>
    <s v="POS"/>
    <n v="0.5"/>
    <n v="200"/>
    <n v="100"/>
    <n v="0"/>
    <m/>
    <m/>
    <m/>
    <m/>
    <n v="0"/>
    <n v="0"/>
    <n v="63092.739360692016"/>
  </r>
  <r>
    <d v="2026-04-05T00:00:00"/>
    <x v="4"/>
    <s v="DOMATES SALÇASI"/>
    <m/>
    <x v="5"/>
    <s v="ST00000001831"/>
    <s v="SATIŞ"/>
    <s v="POS"/>
    <n v="1"/>
    <n v="150"/>
    <n v="150"/>
    <n v="0"/>
    <m/>
    <m/>
    <m/>
    <m/>
    <n v="0"/>
    <n v="0"/>
    <n v="63092.739360692016"/>
  </r>
  <r>
    <d v="2026-04-05T00:00:00"/>
    <x v="4"/>
    <s v="GENÇAY ALIÇ SİRKESİ 500 CC"/>
    <m/>
    <x v="5"/>
    <s v="ST00000001832"/>
    <s v="SATIŞ"/>
    <s v="POS"/>
    <n v="1"/>
    <n v="140"/>
    <n v="140"/>
    <n v="0"/>
    <m/>
    <m/>
    <m/>
    <m/>
    <n v="0"/>
    <n v="0"/>
    <n v="63092.739360692016"/>
  </r>
  <r>
    <d v="2026-04-05T00:00:00"/>
    <x v="4"/>
    <s v="SALÇA ACI (EV YAPIMI)"/>
    <m/>
    <x v="5"/>
    <s v="ST00000001832"/>
    <s v="SATIŞ"/>
    <s v="POS"/>
    <n v="1"/>
    <n v="200"/>
    <n v="200"/>
    <n v="0"/>
    <m/>
    <m/>
    <m/>
    <m/>
    <n v="0"/>
    <n v="0"/>
    <n v="63092.739360692016"/>
  </r>
  <r>
    <d v="2026-04-05T00:00:00"/>
    <x v="4"/>
    <s v="LAVANTA YAĞI 10 CC"/>
    <m/>
    <x v="5"/>
    <s v="ST00000001832"/>
    <s v="SATIŞ"/>
    <s v="POS"/>
    <n v="1"/>
    <n v="130"/>
    <n v="130"/>
    <n v="0"/>
    <m/>
    <m/>
    <m/>
    <m/>
    <n v="0"/>
    <n v="0"/>
    <n v="63092.739360692016"/>
  </r>
  <r>
    <d v="2026-04-05T00:00:00"/>
    <x v="4"/>
    <s v="TÜDAB HARNUP PEKMEZİ 800 GR (KEÇİBOYNUZU)"/>
    <m/>
    <x v="5"/>
    <s v="ST00000001832"/>
    <s v="SATIŞ"/>
    <s v="POS"/>
    <n v="1"/>
    <n v="180"/>
    <n v="180"/>
    <n v="0"/>
    <m/>
    <m/>
    <m/>
    <m/>
    <n v="0"/>
    <n v="0"/>
    <n v="63092.739360692016"/>
  </r>
  <r>
    <d v="2026-04-05T00:00:00"/>
    <x v="4"/>
    <s v="MS 01 DERMA BEBEK BANYO ELDİVENİ"/>
    <m/>
    <x v="5"/>
    <s v="ST00000001832"/>
    <s v="SATIŞ"/>
    <s v="POS"/>
    <n v="1"/>
    <n v="100"/>
    <n v="100"/>
    <n v="0"/>
    <m/>
    <m/>
    <m/>
    <m/>
    <n v="0"/>
    <n v="0"/>
    <n v="63092.739360692016"/>
  </r>
  <r>
    <d v="2026-04-05T00:00:00"/>
    <x v="4"/>
    <s v="EVLİK BİBER"/>
    <m/>
    <x v="1"/>
    <s v="ST00000001833"/>
    <s v="SATIŞ"/>
    <s v="NAKİT"/>
    <n v="0.5625"/>
    <n v="400"/>
    <n v="0"/>
    <n v="0"/>
    <m/>
    <m/>
    <m/>
    <m/>
    <n v="225"/>
    <n v="0"/>
    <n v="63317.739360692016"/>
  </r>
  <r>
    <d v="2026-04-05T00:00:00"/>
    <x v="4"/>
    <s v="ZERDEÇAL TOZ"/>
    <m/>
    <x v="1"/>
    <s v="ST00000001834"/>
    <s v="SATIŞ"/>
    <s v="NAKİT"/>
    <n v="1"/>
    <n v="300"/>
    <n v="0"/>
    <n v="0"/>
    <m/>
    <m/>
    <m/>
    <m/>
    <n v="300"/>
    <n v="0"/>
    <n v="63617.739360692016"/>
  </r>
  <r>
    <d v="2026-04-05T00:00:00"/>
    <x v="4"/>
    <s v="DOLMALIK KURU PATLICAN"/>
    <m/>
    <x v="5"/>
    <s v="ST00000001835"/>
    <s v="SATIŞ"/>
    <s v="POS"/>
    <n v="3"/>
    <n v="250"/>
    <n v="750"/>
    <n v="0"/>
    <m/>
    <m/>
    <m/>
    <m/>
    <n v="0"/>
    <n v="0"/>
    <n v="63617.739360692016"/>
  </r>
  <r>
    <d v="2026-04-05T00:00:00"/>
    <x v="4"/>
    <s v="DOLMALIK KURU ACI BİBER"/>
    <m/>
    <x v="5"/>
    <s v="ST00000001835"/>
    <s v="SATIŞ"/>
    <s v="POS"/>
    <n v="1"/>
    <n v="250"/>
    <n v="250"/>
    <n v="0"/>
    <m/>
    <m/>
    <m/>
    <m/>
    <n v="0"/>
    <n v="0"/>
    <n v="63617.739360692016"/>
  </r>
  <r>
    <d v="2026-04-05T00:00:00"/>
    <x v="4"/>
    <s v="WARITEX KABAK LİFİ ELDİVEN"/>
    <m/>
    <x v="5"/>
    <s v="ST00000001835"/>
    <s v="SATIŞ"/>
    <s v="POS"/>
    <n v="1"/>
    <n v="100"/>
    <n v="100"/>
    <n v="0"/>
    <m/>
    <m/>
    <m/>
    <m/>
    <n v="0"/>
    <n v="0"/>
    <n v="63617.739360692016"/>
  </r>
  <r>
    <d v="2026-04-05T00:00:00"/>
    <x v="4"/>
    <s v="FİTOZEN İNGİLİZ KARBONATI 200 GR"/>
    <m/>
    <x v="5"/>
    <s v="ST00000001835"/>
    <s v="SATIŞ"/>
    <s v="POS"/>
    <n v="1"/>
    <n v="80"/>
    <n v="80"/>
    <n v="0"/>
    <m/>
    <m/>
    <m/>
    <m/>
    <n v="0"/>
    <n v="0"/>
    <n v="63617.739360692016"/>
  </r>
  <r>
    <d v="2026-04-05T00:00:00"/>
    <x v="4"/>
    <s v="KAFFKA DİBEK KAHVESİ 150 GR"/>
    <m/>
    <x v="5"/>
    <s v="ST00000001835"/>
    <s v="SATIŞ"/>
    <s v="POS"/>
    <n v="1"/>
    <n v="65"/>
    <n v="65"/>
    <n v="0"/>
    <m/>
    <m/>
    <m/>
    <m/>
    <n v="0"/>
    <n v="0"/>
    <n v="63617.739360692016"/>
  </r>
  <r>
    <d v="2026-04-05T00:00:00"/>
    <x v="4"/>
    <s v="KARBONAT"/>
    <m/>
    <x v="5"/>
    <s v="ST00000001835"/>
    <s v="SATIŞ"/>
    <s v="POS"/>
    <n v="0.5"/>
    <n v="80"/>
    <n v="40"/>
    <n v="0"/>
    <m/>
    <m/>
    <m/>
    <m/>
    <n v="0"/>
    <n v="0"/>
    <n v="63617.739360692016"/>
  </r>
  <r>
    <d v="2026-04-05T00:00:00"/>
    <x v="4"/>
    <s v="KONTES HAMAM OTU - TÜY DÖKÜCÜ"/>
    <m/>
    <x v="5"/>
    <s v="ST00000001835"/>
    <s v="SATIŞ"/>
    <s v="POS"/>
    <n v="4"/>
    <n v="15"/>
    <n v="60"/>
    <n v="0"/>
    <m/>
    <m/>
    <m/>
    <m/>
    <n v="0"/>
    <n v="0"/>
    <n v="63617.739360692016"/>
  </r>
  <r>
    <d v="2026-04-05T00:00:00"/>
    <x v="4"/>
    <s v="ERBATAB VİTAMİN D3 K2 2'Sİ 1 ARADA DAMLA - D3K2"/>
    <m/>
    <x v="5"/>
    <s v="ST00000001836"/>
    <s v="SATIŞ"/>
    <s v="POS"/>
    <n v="1"/>
    <n v="330"/>
    <n v="330"/>
    <n v="0"/>
    <m/>
    <m/>
    <m/>
    <m/>
    <n v="0"/>
    <n v="0"/>
    <n v="63617.739360692016"/>
  </r>
  <r>
    <d v="2026-04-05T00:00:00"/>
    <x v="4"/>
    <s v="KARBONAT"/>
    <m/>
    <x v="5"/>
    <s v="ST00000001836"/>
    <s v="SATIŞ"/>
    <s v="POS"/>
    <n v="0.5"/>
    <n v="80"/>
    <n v="40"/>
    <n v="0"/>
    <m/>
    <m/>
    <m/>
    <m/>
    <n v="0"/>
    <n v="0"/>
    <n v="63617.739360692016"/>
  </r>
  <r>
    <d v="2026-04-05T00:00:00"/>
    <x v="4"/>
    <s v="SUSAM"/>
    <m/>
    <x v="5"/>
    <s v="ST00000001836"/>
    <s v="SATIŞ"/>
    <s v="POS"/>
    <n v="0.1"/>
    <n v="400"/>
    <n v="40"/>
    <n v="0"/>
    <m/>
    <m/>
    <m/>
    <m/>
    <n v="0"/>
    <n v="0"/>
    <n v="63617.739360692016"/>
  </r>
  <r>
    <d v="2026-04-05T00:00:00"/>
    <x v="4"/>
    <s v="DAMLA ÇİKOLATA"/>
    <m/>
    <x v="5"/>
    <s v="ST00000001836"/>
    <s v="SATIŞ"/>
    <s v="POS"/>
    <n v="0.1"/>
    <n v="500"/>
    <n v="50"/>
    <n v="0"/>
    <m/>
    <m/>
    <m/>
    <m/>
    <n v="0"/>
    <n v="0"/>
    <n v="63617.739360692016"/>
  </r>
  <r>
    <d v="2026-04-05T00:00:00"/>
    <x v="4"/>
    <s v="MISIR PÜSKÜLÜ"/>
    <m/>
    <x v="1"/>
    <s v="ST00000001837"/>
    <s v="SATIŞ"/>
    <s v="NAKİT"/>
    <n v="0.1"/>
    <n v="1300"/>
    <n v="0"/>
    <n v="0"/>
    <m/>
    <m/>
    <m/>
    <m/>
    <n v="130"/>
    <n v="0"/>
    <n v="63747.739360692016"/>
  </r>
  <r>
    <d v="2026-04-05T00:00:00"/>
    <x v="4"/>
    <s v="KINA RGS DÖKME"/>
    <m/>
    <x v="1"/>
    <s v="ST00000001837"/>
    <s v="SATIŞ"/>
    <s v="NAKİT"/>
    <n v="0.25"/>
    <n v="400"/>
    <n v="0"/>
    <n v="0"/>
    <m/>
    <m/>
    <m/>
    <m/>
    <n v="100"/>
    <n v="0"/>
    <n v="63847.739360692016"/>
  </r>
  <r>
    <d v="2026-04-05T00:00:00"/>
    <x v="4"/>
    <s v="SALÇA TATLI (EV YAPIMI)"/>
    <m/>
    <x v="5"/>
    <s v="ST00000001838"/>
    <s v="SATIŞ"/>
    <s v="POS"/>
    <n v="1"/>
    <n v="200"/>
    <n v="200"/>
    <n v="0"/>
    <m/>
    <m/>
    <m/>
    <m/>
    <n v="0"/>
    <n v="0"/>
    <n v="63847.739360692016"/>
  </r>
  <r>
    <d v="2026-04-05T00:00:00"/>
    <x v="4"/>
    <s v="ZERDEÇAL TOZ"/>
    <m/>
    <x v="5"/>
    <s v="ST00000001839"/>
    <s v="SATIŞ"/>
    <s v="POS"/>
    <n v="0.10333333333333333"/>
    <n v="300"/>
    <n v="31"/>
    <n v="0"/>
    <m/>
    <m/>
    <m/>
    <m/>
    <n v="0"/>
    <n v="0"/>
    <n v="63847.739360692016"/>
  </r>
  <r>
    <d v="2026-04-05T00:00:00"/>
    <x v="4"/>
    <s v="İRİ BEYAZ KABAK ÇEKİRDEĞİ - NEVŞEHİR"/>
    <m/>
    <x v="5"/>
    <s v="ST00000001839"/>
    <s v="SATIŞ"/>
    <s v="POS"/>
    <n v="0.46511627906976744"/>
    <n v="430"/>
    <n v="200"/>
    <n v="0"/>
    <m/>
    <m/>
    <m/>
    <m/>
    <n v="0"/>
    <n v="0"/>
    <n v="63847.739360692016"/>
  </r>
  <r>
    <d v="2026-04-05T00:00:00"/>
    <x v="4"/>
    <s v="DOMATES SALÇASI"/>
    <m/>
    <x v="5"/>
    <s v="ST00000001839"/>
    <s v="SATIŞ"/>
    <s v="POS"/>
    <n v="1"/>
    <n v="150"/>
    <n v="150"/>
    <n v="0"/>
    <m/>
    <m/>
    <m/>
    <m/>
    <n v="0"/>
    <n v="0"/>
    <n v="63847.739360692016"/>
  </r>
  <r>
    <d v="2026-04-05T00:00:00"/>
    <x v="4"/>
    <s v="SALÇA TATLI (EV YAPIMI)"/>
    <m/>
    <x v="5"/>
    <s v="ST00000001839"/>
    <s v="SATIŞ"/>
    <s v="POS"/>
    <n v="1"/>
    <n v="200"/>
    <n v="200"/>
    <n v="0"/>
    <m/>
    <m/>
    <m/>
    <m/>
    <n v="0"/>
    <n v="0"/>
    <n v="63847.739360692016"/>
  </r>
  <r>
    <d v="2026-04-05T00:00:00"/>
    <x v="4"/>
    <s v="TUZLU FISTIK DUBLE"/>
    <m/>
    <x v="5"/>
    <s v="ST00000001839"/>
    <s v="SATIŞ"/>
    <s v="POS"/>
    <n v="0.51282051282051277"/>
    <n v="195"/>
    <n v="99.999999999999986"/>
    <n v="0"/>
    <m/>
    <m/>
    <m/>
    <m/>
    <n v="0"/>
    <n v="0"/>
    <n v="63847.739360692016"/>
  </r>
  <r>
    <d v="2026-04-05T00:00:00"/>
    <x v="4"/>
    <s v="PATLAK MISIR"/>
    <m/>
    <x v="5"/>
    <s v="ST00000001839"/>
    <s v="SATIŞ"/>
    <s v="POS"/>
    <n v="0.5"/>
    <n v="60"/>
    <n v="30"/>
    <n v="0"/>
    <m/>
    <m/>
    <m/>
    <m/>
    <n v="0"/>
    <n v="0"/>
    <n v="63847.739360692016"/>
  </r>
  <r>
    <d v="2026-04-05T00:00:00"/>
    <x v="4"/>
    <s v="FINDIK BULACAK (13-15)"/>
    <m/>
    <x v="5"/>
    <s v="ST00000001839"/>
    <s v="SATIŞ"/>
    <s v="POS"/>
    <n v="0.5"/>
    <n v="1200"/>
    <n v="600"/>
    <n v="0"/>
    <m/>
    <m/>
    <m/>
    <m/>
    <n v="0"/>
    <n v="0"/>
    <n v="63847.739360692016"/>
  </r>
  <r>
    <d v="2026-04-05T00:00:00"/>
    <x v="4"/>
    <s v="NBN DAĞ İNCİRİ"/>
    <m/>
    <x v="5"/>
    <s v="ST00000001839"/>
    <s v="SATIŞ"/>
    <s v="POS"/>
    <n v="0.69499999999999995"/>
    <n v="800"/>
    <n v="556"/>
    <n v="0"/>
    <m/>
    <m/>
    <m/>
    <m/>
    <n v="0"/>
    <n v="0"/>
    <n v="63847.739360692016"/>
  </r>
  <r>
    <d v="2026-04-05T00:00:00"/>
    <x v="4"/>
    <s v="CEVİZLİ SUCUK ATOM (ESMER)"/>
    <m/>
    <x v="5"/>
    <s v="ST00000001839"/>
    <s v="SATIŞ"/>
    <s v="POS"/>
    <n v="0.43823529411764706"/>
    <n v="340"/>
    <n v="149"/>
    <n v="0"/>
    <m/>
    <m/>
    <m/>
    <m/>
    <n v="0"/>
    <n v="0"/>
    <n v="63847.739360692016"/>
  </r>
  <r>
    <d v="2026-04-05T00:00:00"/>
    <x v="4"/>
    <s v="LEBLEBİ ÇİFTE SARI"/>
    <m/>
    <x v="1"/>
    <s v="ST00000001840"/>
    <s v="SATIŞ"/>
    <s v="NAKİT"/>
    <n v="0.20833333333333334"/>
    <n v="240"/>
    <n v="0"/>
    <n v="0"/>
    <m/>
    <m/>
    <m/>
    <m/>
    <n v="50"/>
    <n v="0"/>
    <n v="63897.739360692016"/>
  </r>
  <r>
    <d v="2026-04-06T00:00:00"/>
    <x v="4"/>
    <s v="MATCHA DETOX ÇAYI"/>
    <m/>
    <x v="1"/>
    <s v="ST00000001841"/>
    <s v="SATIŞ"/>
    <s v="NAKİT"/>
    <n v="1"/>
    <n v="220"/>
    <n v="0"/>
    <n v="0"/>
    <m/>
    <m/>
    <m/>
    <m/>
    <n v="220"/>
    <n v="0"/>
    <n v="64117.739360692016"/>
  </r>
  <r>
    <d v="2026-04-06T00:00:00"/>
    <x v="4"/>
    <s v="BUĞDAY NİŞASTASI"/>
    <m/>
    <x v="1"/>
    <s v="ST00000001843"/>
    <s v="SATIŞ"/>
    <s v="NAKİT"/>
    <n v="0.5"/>
    <n v="120"/>
    <n v="0"/>
    <n v="0"/>
    <m/>
    <m/>
    <m/>
    <m/>
    <n v="60"/>
    <n v="0"/>
    <n v="64177.739360692016"/>
  </r>
  <r>
    <d v="2026-04-06T00:00:00"/>
    <x v="4"/>
    <s v="ZEYTİN YAPRAĞI"/>
    <m/>
    <x v="1"/>
    <s v="ST00000001844"/>
    <s v="SATIŞ"/>
    <s v="NAKİT"/>
    <n v="0.125"/>
    <n v="240"/>
    <n v="0"/>
    <n v="0"/>
    <m/>
    <m/>
    <m/>
    <m/>
    <n v="30"/>
    <n v="0"/>
    <n v="64207.739360692016"/>
  </r>
  <r>
    <d v="2026-04-06T00:00:00"/>
    <x v="4"/>
    <s v="TÜRK KAHVESİ"/>
    <m/>
    <x v="1"/>
    <s v="ST00000001845"/>
    <s v="SATIŞ"/>
    <s v="NAKİT"/>
    <n v="0.5"/>
    <n v="600"/>
    <n v="0"/>
    <n v="0"/>
    <m/>
    <m/>
    <m/>
    <m/>
    <n v="300"/>
    <n v="0"/>
    <n v="64507.739360692016"/>
  </r>
  <r>
    <d v="2026-04-06T00:00:00"/>
    <x v="4"/>
    <s v="TÜDAB KEÇİ BOYNUZU (DÖKME)"/>
    <m/>
    <x v="5"/>
    <s v="ST00000001846"/>
    <s v="SATIŞ"/>
    <s v="POS"/>
    <n v="0.5"/>
    <n v="350"/>
    <n v="175"/>
    <n v="0"/>
    <m/>
    <m/>
    <m/>
    <m/>
    <n v="0"/>
    <n v="0"/>
    <n v="64507.739360692016"/>
  </r>
  <r>
    <d v="2026-04-06T00:00:00"/>
    <x v="4"/>
    <s v="İSOT"/>
    <m/>
    <x v="5"/>
    <s v="ST00000001847"/>
    <s v="SATIŞ - TOPTAN - ERASLAN LAHMACUN PİDE"/>
    <s v="POS"/>
    <n v="2"/>
    <n v="260"/>
    <n v="520"/>
    <n v="0"/>
    <m/>
    <m/>
    <m/>
    <m/>
    <n v="0"/>
    <n v="0"/>
    <n v="64507.739360692016"/>
  </r>
  <r>
    <d v="2026-04-06T00:00:00"/>
    <x v="4"/>
    <s v="EVLİK BİBER"/>
    <m/>
    <x v="5"/>
    <s v="ST00000001847"/>
    <s v="SATIŞ - TOPTAN - ERASLAN LAHMACUN PİDE"/>
    <s v="POS"/>
    <n v="2"/>
    <n v="250"/>
    <n v="500"/>
    <n v="0"/>
    <m/>
    <m/>
    <m/>
    <m/>
    <n v="0"/>
    <n v="0"/>
    <n v="64507.739360692016"/>
  </r>
  <r>
    <d v="2026-04-06T00:00:00"/>
    <x v="4"/>
    <s v="TOZ BİBER - TATLI"/>
    <m/>
    <x v="5"/>
    <s v="ST00000001847"/>
    <s v="SATIŞ - TOPTAN - ERASLAN LAHMACUN PİDE"/>
    <s v="POS"/>
    <n v="2"/>
    <n v="265"/>
    <n v="530"/>
    <n v="0"/>
    <m/>
    <m/>
    <m/>
    <m/>
    <n v="0"/>
    <n v="0"/>
    <n v="64507.739360692016"/>
  </r>
  <r>
    <d v="2026-04-06T00:00:00"/>
    <x v="4"/>
    <s v="KABUKLU CEVİZ (YERLİ)"/>
    <m/>
    <x v="1"/>
    <s v="ST00000001848"/>
    <s v="SATIŞ"/>
    <s v="NAKİT"/>
    <n v="0.4"/>
    <n v="250"/>
    <n v="0"/>
    <n v="0"/>
    <m/>
    <m/>
    <m/>
    <m/>
    <n v="100"/>
    <n v="0"/>
    <n v="64607.739360692016"/>
  </r>
  <r>
    <d v="2026-04-06T00:00:00"/>
    <x v="4"/>
    <s v="AÇIK KAYISI İRİ (SARI)"/>
    <m/>
    <x v="5"/>
    <s v="ST00000001849"/>
    <s v="SATIŞ"/>
    <s v="POS"/>
    <n v="0.34200000000000003"/>
    <n v="650"/>
    <n v="222.3"/>
    <n v="0"/>
    <m/>
    <m/>
    <m/>
    <m/>
    <n v="0"/>
    <n v="0"/>
    <n v="64607.739360692016"/>
  </r>
  <r>
    <d v="2026-04-06T00:00:00"/>
    <x v="4"/>
    <s v="YENİ MAHSÜL PAPATYA"/>
    <m/>
    <x v="5"/>
    <s v="ST00000001849"/>
    <s v="SATIŞ"/>
    <s v="POS"/>
    <n v="0.05"/>
    <n v="1800"/>
    <n v="90"/>
    <n v="0"/>
    <m/>
    <m/>
    <m/>
    <m/>
    <n v="0"/>
    <n v="0"/>
    <n v="64607.739360692016"/>
  </r>
  <r>
    <d v="2026-04-06T00:00:00"/>
    <x v="4"/>
    <s v="MEBRUM HURMA  NO 1"/>
    <m/>
    <x v="5"/>
    <s v="ST00000001849"/>
    <s v="SATIŞ"/>
    <s v="POS"/>
    <n v="0.4"/>
    <n v="550"/>
    <n v="220"/>
    <n v="0"/>
    <m/>
    <m/>
    <m/>
    <m/>
    <n v="0"/>
    <n v="0"/>
    <n v="64607.739360692016"/>
  </r>
  <r>
    <d v="2026-04-06T00:00:00"/>
    <x v="4"/>
    <s v="KARBONAT"/>
    <m/>
    <x v="5"/>
    <s v="ST00000001849"/>
    <s v="SATIŞ"/>
    <s v="POS"/>
    <n v="0.5"/>
    <n v="80"/>
    <n v="40"/>
    <n v="0"/>
    <m/>
    <m/>
    <m/>
    <m/>
    <n v="0"/>
    <n v="0"/>
    <n v="64607.739360692016"/>
  </r>
  <r>
    <d v="2026-04-06T00:00:00"/>
    <x v="4"/>
    <s v="DAMLA ÇİKOLATA"/>
    <m/>
    <x v="5"/>
    <s v="ST00000001849"/>
    <s v="SATIŞ"/>
    <s v="POS"/>
    <n v="0.2"/>
    <n v="500"/>
    <n v="100"/>
    <n v="0"/>
    <m/>
    <m/>
    <m/>
    <m/>
    <n v="0"/>
    <n v="0"/>
    <n v="64607.739360692016"/>
  </r>
  <r>
    <d v="2026-04-06T00:00:00"/>
    <x v="4"/>
    <s v="TOZ BİBER - TATLI"/>
    <m/>
    <x v="5"/>
    <s v="ST00000001849"/>
    <s v="SATIŞ"/>
    <s v="POS"/>
    <n v="0.12"/>
    <n v="400"/>
    <n v="48"/>
    <n v="0"/>
    <m/>
    <m/>
    <m/>
    <m/>
    <n v="0"/>
    <n v="0"/>
    <n v="64607.739360692016"/>
  </r>
  <r>
    <d v="2026-04-06T00:00:00"/>
    <x v="4"/>
    <s v="LİMONTUZU TOZ"/>
    <m/>
    <x v="5"/>
    <s v="ST00000001849"/>
    <s v="SATIŞ"/>
    <s v="POS"/>
    <n v="0.25"/>
    <n v="180"/>
    <n v="45"/>
    <n v="0"/>
    <m/>
    <m/>
    <m/>
    <m/>
    <n v="0"/>
    <n v="0"/>
    <n v="64607.739360692016"/>
  </r>
  <r>
    <d v="2026-04-06T00:00:00"/>
    <x v="4"/>
    <s v="DERME GÜN KURUSU KAYISI JUMBO"/>
    <m/>
    <x v="5"/>
    <s v="ST00000001850"/>
    <s v="SATIŞ"/>
    <s v="POS"/>
    <n v="0.36533333333333334"/>
    <n v="750"/>
    <n v="274"/>
    <n v="0"/>
    <m/>
    <m/>
    <m/>
    <m/>
    <n v="0"/>
    <n v="0"/>
    <n v="64607.739360692016"/>
  </r>
  <r>
    <d v="2026-04-06T00:00:00"/>
    <x v="4"/>
    <s v="AÇIK KAYISI İRİ (SARI)"/>
    <m/>
    <x v="5"/>
    <s v="ST00000001850"/>
    <s v="SATIŞ"/>
    <s v="POS"/>
    <n v="0.30153846153846153"/>
    <n v="650"/>
    <n v="196"/>
    <n v="0"/>
    <m/>
    <m/>
    <m/>
    <m/>
    <n v="0"/>
    <n v="0"/>
    <n v="64607.739360692016"/>
  </r>
  <r>
    <d v="2026-04-06T00:00:00"/>
    <x v="4"/>
    <s v="AÇIK KAYISI İRİ (SARI)"/>
    <m/>
    <x v="5"/>
    <s v="ST00000001850"/>
    <s v="SATIŞ"/>
    <s v="POS"/>
    <n v="0.34153846153846151"/>
    <n v="650"/>
    <n v="221.99999999999997"/>
    <n v="0"/>
    <m/>
    <m/>
    <m/>
    <m/>
    <n v="0"/>
    <n v="0"/>
    <n v="64607.739360692016"/>
  </r>
  <r>
    <d v="2026-04-06T00:00:00"/>
    <x v="4"/>
    <s v="BADEM ÇİĞ "/>
    <m/>
    <x v="5"/>
    <s v="ST00000001850"/>
    <s v="SATIŞ"/>
    <s v="POS"/>
    <n v="0.23076923076923078"/>
    <n v="650"/>
    <n v="150"/>
    <n v="0"/>
    <m/>
    <m/>
    <m/>
    <m/>
    <n v="0"/>
    <n v="0"/>
    <n v="64607.739360692016"/>
  </r>
  <r>
    <d v="2026-04-06T00:00:00"/>
    <x v="4"/>
    <s v="İRİ BEYAZ KABAK ÇEKİRDEĞİ - NEVŞEHİR"/>
    <m/>
    <x v="5"/>
    <s v="ST00000001850"/>
    <s v="SATIŞ"/>
    <s v="POS"/>
    <n v="0.23255813953488372"/>
    <n v="430"/>
    <n v="100"/>
    <n v="0"/>
    <m/>
    <m/>
    <m/>
    <m/>
    <n v="0"/>
    <n v="0"/>
    <n v="64607.739360692016"/>
  </r>
  <r>
    <d v="2026-04-06T00:00:00"/>
    <x v="4"/>
    <s v="MİGREN TAŞI (MENTHO BOX)"/>
    <m/>
    <x v="5"/>
    <s v="ST00000001850"/>
    <s v="SATIŞ"/>
    <s v="POS"/>
    <n v="1"/>
    <n v="135"/>
    <n v="135"/>
    <n v="0"/>
    <m/>
    <m/>
    <m/>
    <m/>
    <n v="0"/>
    <n v="0"/>
    <n v="64607.739360692016"/>
  </r>
  <r>
    <d v="2026-04-06T00:00:00"/>
    <x v="4"/>
    <s v="FİTOZEN İNGİLİZ KARBONATI 200 GR"/>
    <m/>
    <x v="1"/>
    <s v="ST00000001851"/>
    <s v="SATIŞ"/>
    <s v="NAKİT"/>
    <n v="1"/>
    <n v="80"/>
    <n v="0"/>
    <n v="0"/>
    <m/>
    <m/>
    <m/>
    <m/>
    <n v="80"/>
    <n v="0"/>
    <n v="64687.739360692016"/>
  </r>
  <r>
    <d v="2026-04-06T00:00:00"/>
    <x v="4"/>
    <s v="NATTE LEZZET SOSU 500 GR (NAR EKŞİSİ) "/>
    <m/>
    <x v="1"/>
    <s v="ST00000001851"/>
    <s v="SATIŞ"/>
    <s v="NAKİT"/>
    <n v="1"/>
    <n v="60"/>
    <n v="0"/>
    <n v="0"/>
    <m/>
    <m/>
    <m/>
    <m/>
    <n v="60"/>
    <n v="0"/>
    <n v="64747.739360692016"/>
  </r>
  <r>
    <d v="2026-04-06T00:00:00"/>
    <x v="4"/>
    <s v="ZERDEÇAL TOZ"/>
    <m/>
    <x v="1"/>
    <s v="ST00000001851"/>
    <s v="SATIŞ"/>
    <s v="NAKİT"/>
    <n v="0.2"/>
    <n v="300"/>
    <n v="0"/>
    <n v="0"/>
    <m/>
    <m/>
    <m/>
    <m/>
    <n v="60"/>
    <n v="0"/>
    <n v="64807.739360692016"/>
  </r>
  <r>
    <d v="2026-04-06T00:00:00"/>
    <x v="4"/>
    <s v="AÇLIK OTU"/>
    <m/>
    <x v="1"/>
    <s v="ST00000001852"/>
    <s v="SATIŞ"/>
    <s v="NAKİT"/>
    <n v="0.24"/>
    <n v="417"/>
    <n v="0"/>
    <n v="0"/>
    <m/>
    <m/>
    <m/>
    <m/>
    <n v="100.08"/>
    <n v="0"/>
    <n v="64907.819360692018"/>
  </r>
  <r>
    <d v="2026-04-06T00:00:00"/>
    <x v="4"/>
    <s v="KETEN TOHUMU"/>
    <m/>
    <x v="5"/>
    <s v="ST00000001853"/>
    <s v="SATIŞ"/>
    <s v="POS"/>
    <n v="0.5"/>
    <n v="140"/>
    <n v="70"/>
    <n v="0"/>
    <m/>
    <m/>
    <m/>
    <m/>
    <n v="0"/>
    <n v="0"/>
    <n v="64907.819360692018"/>
  </r>
  <r>
    <d v="2026-04-06T00:00:00"/>
    <x v="4"/>
    <s v="CHİA TOHUMU DÖKME"/>
    <m/>
    <x v="5"/>
    <s v="ST00000001853"/>
    <s v="SATIŞ"/>
    <s v="POS"/>
    <n v="0.5"/>
    <n v="300"/>
    <n v="150"/>
    <n v="0"/>
    <m/>
    <m/>
    <m/>
    <m/>
    <n v="0"/>
    <n v="0"/>
    <n v="64907.819360692018"/>
  </r>
  <r>
    <d v="2026-04-06T00:00:00"/>
    <x v="4"/>
    <s v="ZERDEÇAL TOZ"/>
    <m/>
    <x v="5"/>
    <s v="ST00000001853"/>
    <s v="SATIŞ"/>
    <s v="POS"/>
    <n v="0.11600000000000001"/>
    <n v="300"/>
    <n v="34.800000000000004"/>
    <n v="0"/>
    <m/>
    <m/>
    <m/>
    <m/>
    <n v="0"/>
    <n v="0"/>
    <n v="64907.819360692018"/>
  </r>
  <r>
    <d v="2026-04-06T00:00:00"/>
    <x v="4"/>
    <s v="GENÇAY ELMA SİRKESİ 500 CC"/>
    <m/>
    <x v="5"/>
    <s v="ST00000001853"/>
    <s v="SATIŞ"/>
    <s v="POS"/>
    <n v="1"/>
    <n v="140"/>
    <n v="140"/>
    <n v="0"/>
    <m/>
    <m/>
    <m/>
    <m/>
    <n v="0"/>
    <n v="0"/>
    <n v="64907.819360692018"/>
  </r>
  <r>
    <d v="2026-04-06T00:00:00"/>
    <x v="4"/>
    <s v="DUT KURUSU ESMER"/>
    <m/>
    <x v="5"/>
    <s v="ST00000001853"/>
    <s v="SATIŞ"/>
    <s v="POS"/>
    <n v="0.224"/>
    <n v="450"/>
    <n v="100.8"/>
    <n v="0"/>
    <m/>
    <m/>
    <m/>
    <m/>
    <n v="0"/>
    <n v="0"/>
    <n v="64907.819360692018"/>
  </r>
  <r>
    <d v="2026-04-06T00:00:00"/>
    <x v="4"/>
    <s v="HASEVLİK"/>
    <m/>
    <x v="5"/>
    <s v="ST00000001853"/>
    <s v="SATIŞ"/>
    <s v="POS"/>
    <n v="0.5"/>
    <n v="400"/>
    <n v="200"/>
    <n v="0"/>
    <m/>
    <m/>
    <m/>
    <m/>
    <n v="0"/>
    <n v="0"/>
    <n v="64907.819360692018"/>
  </r>
  <r>
    <d v="2026-04-06T00:00:00"/>
    <x v="4"/>
    <s v="DUT KURUSU ESMER"/>
    <m/>
    <x v="1"/>
    <s v="ST00000001853"/>
    <s v="SATIŞ"/>
    <s v="NAKİT"/>
    <n v="0.28999999999999998"/>
    <n v="450"/>
    <n v="0"/>
    <n v="0"/>
    <m/>
    <m/>
    <m/>
    <m/>
    <n v="130.5"/>
    <n v="0"/>
    <n v="65038.319360692018"/>
  </r>
  <r>
    <d v="2026-04-06T00:00:00"/>
    <x v="4"/>
    <s v="DUT KURUSU ESMER"/>
    <m/>
    <x v="1"/>
    <s v="ST00000001853"/>
    <s v="SATIŞ"/>
    <s v="NAKİT"/>
    <n v="0.188"/>
    <n v="450"/>
    <n v="0"/>
    <n v="0"/>
    <m/>
    <m/>
    <m/>
    <m/>
    <n v="84.6"/>
    <n v="0"/>
    <n v="65122.919360692016"/>
  </r>
  <r>
    <d v="2026-04-07T00:00:00"/>
    <x v="3"/>
    <s v="BİZİM YAPRAK 1 LİK"/>
    <m/>
    <x v="4"/>
    <n v="1001726"/>
    <s v="TÜDAB A.Ş."/>
    <s v="CARİ"/>
    <n v="9"/>
    <n v="250"/>
    <n v="0"/>
    <n v="2250"/>
    <m/>
    <m/>
    <m/>
    <m/>
    <n v="0"/>
    <n v="0"/>
    <n v="65122.919360692016"/>
  </r>
  <r>
    <d v="2026-04-07T00:00:00"/>
    <x v="3"/>
    <s v="FORTEM AĞRI KESİCİ KREM"/>
    <m/>
    <x v="4"/>
    <n v="1001726"/>
    <s v="TÜDAB A.Ş."/>
    <s v="CARİ"/>
    <n v="5"/>
    <n v="270"/>
    <n v="0"/>
    <n v="1350"/>
    <m/>
    <m/>
    <m/>
    <m/>
    <n v="0"/>
    <n v="0"/>
    <n v="65122.919360692016"/>
  </r>
  <r>
    <d v="2026-04-07T00:00:00"/>
    <x v="3"/>
    <s v="AKGÜNLÜK BAHUR"/>
    <m/>
    <x v="4"/>
    <n v="1001726"/>
    <s v="TÜDAB A.Ş."/>
    <s v="CARİ"/>
    <n v="1"/>
    <n v="745"/>
    <n v="0"/>
    <n v="745"/>
    <m/>
    <m/>
    <m/>
    <m/>
    <n v="0"/>
    <n v="0"/>
    <n v="65122.919360692016"/>
  </r>
  <r>
    <d v="2026-04-07T00:00:00"/>
    <x v="3"/>
    <s v="HAM KABAK LİFİ İŞLENMEMİŞ"/>
    <m/>
    <x v="4"/>
    <n v="1001726"/>
    <s v="TÜDAB A.Ş."/>
    <s v="CARİ"/>
    <n v="10"/>
    <n v="105"/>
    <n v="0"/>
    <n v="1050"/>
    <m/>
    <m/>
    <m/>
    <m/>
    <n v="0"/>
    <n v="0"/>
    <n v="65122.919360692016"/>
  </r>
  <r>
    <d v="2026-04-07T00:00:00"/>
    <x v="3"/>
    <s v="KONTES HAMAM OTU - TÜY DÖKÜCÜ"/>
    <m/>
    <x v="4"/>
    <n v="1001726"/>
    <s v="TÜDAB A.Ş."/>
    <s v="CARİ"/>
    <n v="30"/>
    <n v="6.5"/>
    <n v="0"/>
    <n v="195"/>
    <m/>
    <m/>
    <m/>
    <m/>
    <n v="0"/>
    <n v="0"/>
    <n v="65122.919360692016"/>
  </r>
  <r>
    <d v="2026-04-07T00:00:00"/>
    <x v="3"/>
    <s v="NBN DAĞ İNCİRİ"/>
    <m/>
    <x v="4"/>
    <n v="1001726"/>
    <s v="TÜDAB A.Ş."/>
    <s v="CARİ"/>
    <n v="5"/>
    <n v="550"/>
    <n v="0"/>
    <n v="2750"/>
    <m/>
    <m/>
    <m/>
    <m/>
    <n v="0"/>
    <n v="0"/>
    <n v="65122.919360692016"/>
  </r>
  <r>
    <d v="2026-04-07T00:00:00"/>
    <x v="3"/>
    <s v="PİLAVLIK BULGUR"/>
    <m/>
    <x v="4"/>
    <n v="1001726"/>
    <s v="TÜDAB A.Ş."/>
    <s v="CARİ"/>
    <n v="25"/>
    <n v="39"/>
    <n v="0"/>
    <n v="975"/>
    <m/>
    <m/>
    <m/>
    <m/>
    <n v="0"/>
    <n v="0"/>
    <n v="65122.919360692016"/>
  </r>
  <r>
    <d v="2026-04-07T00:00:00"/>
    <x v="3"/>
    <s v="TOMBUL KESE 500 GR ACI"/>
    <m/>
    <x v="4"/>
    <n v="1001726"/>
    <s v="TÜDAB A.Ş."/>
    <s v="CARİ"/>
    <n v="3"/>
    <n v="135"/>
    <n v="0"/>
    <n v="405"/>
    <m/>
    <m/>
    <m/>
    <m/>
    <n v="0"/>
    <n v="0"/>
    <n v="65122.919360692016"/>
  </r>
  <r>
    <d v="2026-04-07T00:00:00"/>
    <x v="3"/>
    <s v="TOMBUL KESE 500 GR SEBZELİ TARHANA"/>
    <m/>
    <x v="4"/>
    <n v="1001726"/>
    <s v="TÜDAB A.Ş."/>
    <s v="CARİ"/>
    <n v="3"/>
    <n v="135"/>
    <n v="0"/>
    <n v="405"/>
    <m/>
    <m/>
    <m/>
    <m/>
    <n v="0"/>
    <n v="0"/>
    <n v="65122.919360692016"/>
  </r>
  <r>
    <d v="2026-04-07T00:00:00"/>
    <x v="3"/>
    <s v="TOMBUL KESE 500 GR TATLI"/>
    <m/>
    <x v="4"/>
    <n v="1001726"/>
    <s v="TÜDAB A.Ş."/>
    <s v="CARİ"/>
    <n v="3"/>
    <n v="135"/>
    <n v="0"/>
    <n v="405"/>
    <m/>
    <m/>
    <m/>
    <m/>
    <n v="0"/>
    <n v="0"/>
    <n v="65122.919360692016"/>
  </r>
  <r>
    <d v="2026-04-07T00:00:00"/>
    <x v="3"/>
    <s v="TÜDAB KEÇİ BOYNUZU (DÖKME)"/>
    <m/>
    <x v="4"/>
    <n v="1001726"/>
    <s v="TÜDAB A.Ş."/>
    <s v="CARİ"/>
    <n v="6"/>
    <n v="150"/>
    <n v="0"/>
    <n v="900"/>
    <m/>
    <m/>
    <m/>
    <m/>
    <n v="0"/>
    <n v="0"/>
    <n v="65122.919360692016"/>
  </r>
  <r>
    <d v="2026-04-07T00:00:00"/>
    <x v="3"/>
    <s v="ÖZBEK ÜZÜMÜ"/>
    <m/>
    <x v="4"/>
    <n v="1001726"/>
    <s v="TÜDAB A.Ş."/>
    <s v="CARİ"/>
    <n v="5"/>
    <n v="540"/>
    <n v="0"/>
    <n v="2700"/>
    <m/>
    <m/>
    <m/>
    <m/>
    <n v="0"/>
    <n v="0"/>
    <n v="65122.919360692016"/>
  </r>
  <r>
    <d v="2026-04-07T00:00:00"/>
    <x v="4"/>
    <s v="SALÇA TATLI (EV YAPIMI)"/>
    <m/>
    <x v="1"/>
    <s v="ST00000001854"/>
    <s v="SATIŞ"/>
    <s v="NAKİT"/>
    <n v="2"/>
    <n v="200"/>
    <n v="0"/>
    <n v="0"/>
    <m/>
    <m/>
    <m/>
    <m/>
    <n v="400"/>
    <n v="0"/>
    <n v="65522.919360692016"/>
  </r>
  <r>
    <d v="2026-04-07T00:00:00"/>
    <x v="4"/>
    <s v="HASPİR"/>
    <m/>
    <x v="1"/>
    <s v="ST00000001855"/>
    <s v="SATIŞ"/>
    <s v="NAKİT"/>
    <n v="2.5000000000000001E-2"/>
    <n v="2000"/>
    <n v="0"/>
    <n v="0"/>
    <m/>
    <m/>
    <m/>
    <m/>
    <n v="50"/>
    <n v="0"/>
    <n v="65572.919360692016"/>
  </r>
  <r>
    <d v="2026-04-07T00:00:00"/>
    <x v="4"/>
    <s v="DOLMALIK KURU PATLICAN"/>
    <m/>
    <x v="5"/>
    <s v="ST00000001856"/>
    <s v="SATIŞ"/>
    <s v="POS"/>
    <n v="1"/>
    <n v="240"/>
    <n v="240"/>
    <n v="0"/>
    <m/>
    <m/>
    <m/>
    <m/>
    <n v="0"/>
    <n v="0"/>
    <n v="65572.919360692016"/>
  </r>
  <r>
    <d v="2026-04-07T00:00:00"/>
    <x v="4"/>
    <s v="MECİTEFENDİ MİSVAK ÖZLÜ DOĞAL DİŞ MACUNU 75 ml"/>
    <m/>
    <x v="5"/>
    <s v="ST00000001857"/>
    <s v="SATIŞ"/>
    <s v="POS"/>
    <n v="1"/>
    <n v="135"/>
    <n v="135"/>
    <n v="0"/>
    <m/>
    <m/>
    <m/>
    <m/>
    <n v="0"/>
    <n v="0"/>
    <n v="65572.919360692016"/>
  </r>
  <r>
    <d v="2026-04-07T00:00:00"/>
    <x v="4"/>
    <s v="KARABİBER ÇEKİLMİŞ"/>
    <m/>
    <x v="1"/>
    <s v="ST00000001858"/>
    <s v="SATIŞ"/>
    <s v="NAKİT"/>
    <n v="9.6923076923076917E-2"/>
    <n v="650"/>
    <n v="0"/>
    <n v="0"/>
    <m/>
    <m/>
    <m/>
    <m/>
    <n v="62.999999999999993"/>
    <n v="0"/>
    <n v="65635.919360692016"/>
  </r>
  <r>
    <d v="2026-04-07T00:00:00"/>
    <x v="4"/>
    <s v="KEKİK LÜX"/>
    <m/>
    <x v="1"/>
    <s v="ST00000001858"/>
    <s v="SATIŞ"/>
    <s v="NAKİT"/>
    <n v="3.7647058823529408E-2"/>
    <n v="850"/>
    <n v="0"/>
    <n v="0"/>
    <m/>
    <m/>
    <m/>
    <m/>
    <n v="31.999999999999996"/>
    <n v="0"/>
    <n v="65667.919360692016"/>
  </r>
  <r>
    <d v="2026-04-07T00:00:00"/>
    <x v="4"/>
    <s v="DOLMALIK KURU PATLICAN"/>
    <m/>
    <x v="5"/>
    <s v="ST00000001859"/>
    <s v="SATIŞ"/>
    <s v="POS"/>
    <n v="1"/>
    <n v="250"/>
    <n v="250"/>
    <n v="0"/>
    <m/>
    <m/>
    <m/>
    <m/>
    <n v="0"/>
    <n v="0"/>
    <n v="65667.919360692016"/>
  </r>
  <r>
    <d v="2026-04-07T00:00:00"/>
    <x v="4"/>
    <s v="DOLMALIK SARI BİBER"/>
    <m/>
    <x v="1"/>
    <s v="ST00000001859"/>
    <s v="SATIŞ"/>
    <s v="NAKİT"/>
    <n v="1"/>
    <n v="250"/>
    <n v="0"/>
    <n v="0"/>
    <m/>
    <m/>
    <m/>
    <m/>
    <n v="250"/>
    <n v="0"/>
    <n v="65917.919360692016"/>
  </r>
  <r>
    <d v="2026-04-07T00:00:00"/>
    <x v="4"/>
    <s v="ETİ LİFALİF 950 GR YULAF EZMESİ"/>
    <m/>
    <x v="1"/>
    <s v="ST00000001859"/>
    <s v="SATIŞ"/>
    <s v="NAKİT"/>
    <n v="1"/>
    <n v="95"/>
    <n v="0"/>
    <n v="0"/>
    <m/>
    <m/>
    <m/>
    <m/>
    <n v="95"/>
    <n v="0"/>
    <n v="66012.919360692016"/>
  </r>
  <r>
    <d v="2026-04-07T00:00:00"/>
    <x v="4"/>
    <s v="DOLMALIK KURU PATLICAN"/>
    <m/>
    <x v="1"/>
    <s v="ST00000001860"/>
    <s v="SATIŞ"/>
    <s v="NAKİT"/>
    <n v="1"/>
    <n v="250"/>
    <n v="0"/>
    <n v="0"/>
    <m/>
    <m/>
    <m/>
    <m/>
    <n v="250"/>
    <n v="0"/>
    <n v="66262.919360692016"/>
  </r>
  <r>
    <d v="2026-04-07T00:00:00"/>
    <x v="4"/>
    <s v="DOMATES SALÇASI"/>
    <m/>
    <x v="5"/>
    <s v="ST00000001861"/>
    <s v="SATIŞ"/>
    <s v="POS"/>
    <n v="1"/>
    <n v="150"/>
    <n v="150"/>
    <n v="0"/>
    <m/>
    <m/>
    <m/>
    <m/>
    <n v="0"/>
    <n v="0"/>
    <n v="66262.919360692016"/>
  </r>
  <r>
    <d v="2026-04-07T00:00:00"/>
    <x v="4"/>
    <s v="HİBİSKUS"/>
    <m/>
    <x v="5"/>
    <s v="ST00000001861"/>
    <s v="SATIŞ"/>
    <s v="POS"/>
    <n v="0.1"/>
    <n v="600"/>
    <n v="60"/>
    <n v="0"/>
    <m/>
    <m/>
    <m/>
    <m/>
    <n v="0"/>
    <n v="0"/>
    <n v="66262.919360692016"/>
  </r>
  <r>
    <d v="2026-04-07T00:00:00"/>
    <x v="4"/>
    <s v="CEVİZLİ SUCUK ATOM (ESMER)"/>
    <m/>
    <x v="5"/>
    <s v="ST00000001861"/>
    <s v="SATIŞ"/>
    <s v="POS"/>
    <n v="0.29411764705882354"/>
    <n v="340"/>
    <n v="100"/>
    <n v="0"/>
    <m/>
    <m/>
    <m/>
    <m/>
    <n v="0"/>
    <n v="0"/>
    <n v="66262.919360692016"/>
  </r>
  <r>
    <d v="2026-04-07T00:00:00"/>
    <x v="4"/>
    <s v="TÜDAB KEÇİ BOYNUZU (DÖKME)"/>
    <m/>
    <x v="5"/>
    <s v="ST00000001862"/>
    <s v="SATIŞ"/>
    <s v="POS"/>
    <n v="0.5"/>
    <n v="350"/>
    <n v="175"/>
    <n v="0"/>
    <m/>
    <m/>
    <m/>
    <m/>
    <n v="0"/>
    <n v="0"/>
    <n v="66262.919360692016"/>
  </r>
  <r>
    <d v="2026-04-07T00:00:00"/>
    <x v="4"/>
    <s v="ATOM PUL BİBER ÇOK ACI"/>
    <m/>
    <x v="1"/>
    <s v="ST00000001863"/>
    <s v="SATIŞ"/>
    <s v="NAKİT"/>
    <n v="7.2727272727272724E-2"/>
    <n v="550"/>
    <n v="0"/>
    <n v="0"/>
    <m/>
    <m/>
    <m/>
    <m/>
    <n v="40"/>
    <n v="0"/>
    <n v="66302.919360692016"/>
  </r>
  <r>
    <d v="2026-04-07T00:00:00"/>
    <x v="4"/>
    <s v="HASEVLİK"/>
    <m/>
    <x v="1"/>
    <s v="ST00000001863"/>
    <s v="SATIŞ"/>
    <s v="NAKİT"/>
    <n v="0.32222222222222224"/>
    <n v="450"/>
    <n v="0"/>
    <n v="0"/>
    <m/>
    <m/>
    <m/>
    <m/>
    <n v="145"/>
    <n v="0"/>
    <n v="66447.919360692016"/>
  </r>
  <r>
    <d v="2026-04-07T00:00:00"/>
    <x v="4"/>
    <s v="AKGÜNLÜK BAHUR"/>
    <m/>
    <x v="1"/>
    <s v="ST00000001863"/>
    <s v="SATIŞ"/>
    <s v="NAKİT"/>
    <n v="0.1"/>
    <n v="2000"/>
    <n v="0"/>
    <n v="0"/>
    <m/>
    <m/>
    <m/>
    <m/>
    <n v="200"/>
    <n v="0"/>
    <n v="66647.919360692016"/>
  </r>
  <r>
    <d v="2026-04-07T00:00:00"/>
    <x v="4"/>
    <s v="GENÇAY ELMA SİRKESİ 500 CC"/>
    <m/>
    <x v="1"/>
    <s v="ST00000001864"/>
    <s v="SATIŞ"/>
    <s v="NAKİT"/>
    <n v="1"/>
    <n v="140"/>
    <n v="0"/>
    <n v="0"/>
    <m/>
    <m/>
    <m/>
    <m/>
    <n v="140"/>
    <n v="0"/>
    <n v="66787.919360692016"/>
  </r>
  <r>
    <d v="2026-04-07T00:00:00"/>
    <x v="4"/>
    <s v="KINA RGS DÖKME"/>
    <m/>
    <x v="1"/>
    <s v="ST00000001864"/>
    <s v="SATIŞ"/>
    <s v="NAKİT"/>
    <n v="0.25"/>
    <n v="400"/>
    <n v="0"/>
    <n v="0"/>
    <m/>
    <m/>
    <m/>
    <m/>
    <n v="100"/>
    <n v="0"/>
    <n v="66887.919360692016"/>
  </r>
  <r>
    <d v="2026-04-07T00:00:00"/>
    <x v="4"/>
    <s v="ARDIÇ YAĞI 20 CC"/>
    <m/>
    <x v="1"/>
    <s v="ST00000001864"/>
    <s v="SATIŞ"/>
    <s v="NAKİT"/>
    <n v="1"/>
    <n v="180"/>
    <n v="0"/>
    <n v="0"/>
    <m/>
    <m/>
    <m/>
    <m/>
    <n v="180"/>
    <n v="0"/>
    <n v="67067.919360692016"/>
  </r>
  <r>
    <d v="2026-04-07T00:00:00"/>
    <x v="4"/>
    <s v="BİBERİYE YAĞI 10 CC"/>
    <m/>
    <x v="1"/>
    <s v="ST00000001864"/>
    <s v="SATIŞ"/>
    <s v="NAKİT"/>
    <n v="1"/>
    <n v="120"/>
    <n v="0"/>
    <n v="0"/>
    <m/>
    <m/>
    <m/>
    <m/>
    <n v="120"/>
    <n v="0"/>
    <n v="67187.919360692016"/>
  </r>
  <r>
    <d v="2026-04-08T00:00:00"/>
    <x v="4"/>
    <s v="DOMATES SALÇASI"/>
    <m/>
    <x v="1"/>
    <s v="ST00000001865"/>
    <s v="SATIŞ"/>
    <s v="NAKİT"/>
    <n v="0.5"/>
    <n v="150"/>
    <n v="0"/>
    <n v="0"/>
    <m/>
    <m/>
    <m/>
    <m/>
    <n v="75"/>
    <n v="0"/>
    <n v="67262.919360692016"/>
  </r>
  <r>
    <d v="2026-04-08T00:00:00"/>
    <x v="4"/>
    <s v="DOLMALIK KURU PATLICAN"/>
    <m/>
    <x v="1"/>
    <s v="ST00000001865"/>
    <s v="SATIŞ"/>
    <s v="NAKİT"/>
    <n v="1"/>
    <n v="250"/>
    <n v="0"/>
    <n v="0"/>
    <m/>
    <m/>
    <m/>
    <m/>
    <n v="250"/>
    <n v="0"/>
    <n v="67512.919360692016"/>
  </r>
  <r>
    <d v="2026-04-08T00:00:00"/>
    <x v="4"/>
    <s v="HASEVLİK"/>
    <m/>
    <x v="1"/>
    <s v="ST00000001865"/>
    <s v="SATIŞ"/>
    <s v="NAKİT"/>
    <n v="6.222222222222222E-2"/>
    <n v="450"/>
    <n v="0"/>
    <n v="0"/>
    <m/>
    <m/>
    <m/>
    <m/>
    <n v="28"/>
    <n v="0"/>
    <n v="67540.919360692016"/>
  </r>
  <r>
    <d v="2026-04-08T00:00:00"/>
    <x v="4"/>
    <s v="MS 11 DERMA KABAK HAVLU ELDİVEN"/>
    <m/>
    <x v="1"/>
    <s v="ST00000001865"/>
    <s v="SATIŞ"/>
    <s v="NAKİT"/>
    <n v="1"/>
    <n v="150"/>
    <n v="0"/>
    <n v="0"/>
    <m/>
    <m/>
    <m/>
    <m/>
    <n v="150"/>
    <n v="0"/>
    <n v="67690.919360692016"/>
  </r>
  <r>
    <d v="2026-04-08T00:00:00"/>
    <x v="4"/>
    <s v="LİMONSOSU 1 KG"/>
    <m/>
    <x v="1"/>
    <s v="ST00000001866"/>
    <s v="SATIŞ"/>
    <s v="NAKİT"/>
    <n v="1"/>
    <n v="80"/>
    <n v="0"/>
    <n v="0"/>
    <m/>
    <m/>
    <m/>
    <m/>
    <n v="80"/>
    <n v="0"/>
    <n v="67770.919360692016"/>
  </r>
  <r>
    <d v="2026-04-08T00:00:00"/>
    <x v="4"/>
    <s v="CHİA TOHUMU DÖKME"/>
    <m/>
    <x v="1"/>
    <s v="ST00000001866"/>
    <s v="SATIŞ"/>
    <s v="NAKİT"/>
    <n v="0.5"/>
    <n v="280"/>
    <n v="0"/>
    <n v="0"/>
    <m/>
    <m/>
    <m/>
    <m/>
    <n v="140"/>
    <n v="0"/>
    <n v="67910.919360692016"/>
  </r>
  <r>
    <d v="2026-04-08T00:00:00"/>
    <x v="4"/>
    <s v="MANİSA YAPRAK DÖKME"/>
    <m/>
    <x v="1"/>
    <s v="ST00000001867"/>
    <s v="SATIŞ"/>
    <s v="NAKİT"/>
    <n v="0.5"/>
    <n v="350"/>
    <n v="0"/>
    <n v="0"/>
    <m/>
    <m/>
    <m/>
    <m/>
    <n v="175"/>
    <n v="0"/>
    <n v="68085.919360692016"/>
  </r>
  <r>
    <d v="2026-04-08T00:00:00"/>
    <x v="4"/>
    <s v="ETİ LİFALİF 950 GR YULAF EZMESİ"/>
    <m/>
    <x v="1"/>
    <s v="ST00000001868"/>
    <s v="SATIŞ - MMT"/>
    <s v="NAKİT"/>
    <n v="3"/>
    <n v="95"/>
    <n v="0"/>
    <n v="0"/>
    <m/>
    <m/>
    <m/>
    <m/>
    <n v="285"/>
    <n v="0"/>
    <n v="68370.919360692016"/>
  </r>
  <r>
    <d v="2026-04-08T00:00:00"/>
    <x v="4"/>
    <s v="İSOT"/>
    <m/>
    <x v="1"/>
    <s v="ST00000001868"/>
    <s v="SATIŞ - MMT"/>
    <s v="NAKİT"/>
    <n v="0.3"/>
    <n v="400"/>
    <n v="0"/>
    <n v="0"/>
    <m/>
    <m/>
    <m/>
    <m/>
    <n v="120"/>
    <n v="0"/>
    <n v="68490.919360692016"/>
  </r>
  <r>
    <d v="2026-04-08T00:00:00"/>
    <x v="4"/>
    <s v="DURMUŞOĞULLARI KATI PEKMEZ TAHTA 700 GR"/>
    <m/>
    <x v="1"/>
    <s v="ST00000001869"/>
    <s v="SATIŞ"/>
    <s v="NAKİT"/>
    <n v="1"/>
    <n v="300"/>
    <n v="0"/>
    <n v="0"/>
    <m/>
    <m/>
    <m/>
    <m/>
    <n v="300"/>
    <n v="0"/>
    <n v="68790.919360692016"/>
  </r>
  <r>
    <d v="2026-04-08T00:00:00"/>
    <x v="4"/>
    <s v="MANİSA YAPRAK DÖKME"/>
    <m/>
    <x v="1"/>
    <s v="ST00000001870"/>
    <s v="SATIŞ"/>
    <s v="NAKİT"/>
    <n v="0.5714285714285714"/>
    <n v="350"/>
    <n v="0"/>
    <n v="0"/>
    <m/>
    <m/>
    <m/>
    <m/>
    <n v="200"/>
    <n v="0"/>
    <n v="68990.919360692016"/>
  </r>
  <r>
    <d v="2026-04-08T00:00:00"/>
    <x v="4"/>
    <s v="SARIBELEN IŞGIN KÖKÜ SİRKESİ 500 ML"/>
    <m/>
    <x v="1"/>
    <s v="ST00000001871"/>
    <s v="SATIŞ"/>
    <s v="NAKİT"/>
    <n v="1"/>
    <n v="170"/>
    <n v="0"/>
    <n v="0"/>
    <m/>
    <m/>
    <m/>
    <m/>
    <n v="170"/>
    <n v="0"/>
    <n v="69160.919360692016"/>
  </r>
  <r>
    <d v="2026-04-08T00:00:00"/>
    <x v="4"/>
    <s v="NANE İRİ"/>
    <m/>
    <x v="1"/>
    <s v="ST00000001872"/>
    <s v="SATIŞ"/>
    <s v="NAKİT"/>
    <n v="0.125"/>
    <n v="400"/>
    <n v="0"/>
    <n v="0"/>
    <m/>
    <m/>
    <m/>
    <m/>
    <n v="50"/>
    <n v="0"/>
    <n v="69210.919360692016"/>
  </r>
  <r>
    <d v="2026-04-08T00:00:00"/>
    <x v="4"/>
    <s v="TÜDAB ACUR TURŞUSU"/>
    <m/>
    <x v="5"/>
    <s v="ST00000001873"/>
    <s v="SATIŞ"/>
    <s v="POS"/>
    <n v="1"/>
    <n v="340"/>
    <n v="340"/>
    <n v="0"/>
    <m/>
    <m/>
    <m/>
    <m/>
    <n v="0"/>
    <n v="0"/>
    <n v="69210.919360692016"/>
  </r>
  <r>
    <d v="2026-04-08T00:00:00"/>
    <x v="4"/>
    <s v="WARITEX KABAK LİFİ ELDİVEN"/>
    <m/>
    <x v="5"/>
    <s v="ST00000001874"/>
    <s v="SATIŞ"/>
    <s v="POS"/>
    <n v="1"/>
    <n v="100"/>
    <n v="100"/>
    <n v="0"/>
    <m/>
    <m/>
    <m/>
    <m/>
    <n v="0"/>
    <n v="0"/>
    <n v="69210.919360692016"/>
  </r>
  <r>
    <d v="2026-04-08T00:00:00"/>
    <x v="4"/>
    <s v="ZERDEÇAL TOZ"/>
    <m/>
    <x v="5"/>
    <s v="ST00000001874"/>
    <s v="SATIŞ"/>
    <s v="POS"/>
    <n v="9.6666666666666665E-2"/>
    <n v="300"/>
    <n v="29"/>
    <n v="0"/>
    <m/>
    <m/>
    <m/>
    <m/>
    <n v="0"/>
    <n v="0"/>
    <n v="69210.919360692016"/>
  </r>
  <r>
    <d v="2026-04-08T00:00:00"/>
    <x v="4"/>
    <s v="KARABİBER TANE"/>
    <m/>
    <x v="1"/>
    <s v="ST00000001875"/>
    <s v="SATIŞ"/>
    <s v="NAKİT"/>
    <n v="0.1"/>
    <n v="700"/>
    <n v="0"/>
    <n v="0"/>
    <m/>
    <m/>
    <m/>
    <m/>
    <n v="70"/>
    <n v="0"/>
    <n v="69280.919360692016"/>
  </r>
  <r>
    <d v="2026-04-08T00:00:00"/>
    <x v="4"/>
    <s v="MATCHA DETOX ÇAYI"/>
    <m/>
    <x v="1"/>
    <s v="ST00000001876"/>
    <s v="SATIŞ"/>
    <s v="NAKİT"/>
    <n v="1"/>
    <n v="220"/>
    <n v="0"/>
    <n v="0"/>
    <m/>
    <m/>
    <m/>
    <m/>
    <n v="220"/>
    <n v="0"/>
    <n v="69500.919360692016"/>
  </r>
  <r>
    <d v="2026-04-08T00:00:00"/>
    <x v="4"/>
    <s v="GENÇAY ELMA SİRKESİ 500 CC"/>
    <m/>
    <x v="5"/>
    <s v="ST00000001877"/>
    <s v="SATIŞ"/>
    <s v="POS"/>
    <n v="1"/>
    <n v="140"/>
    <n v="140"/>
    <n v="0"/>
    <m/>
    <m/>
    <m/>
    <m/>
    <n v="0"/>
    <n v="0"/>
    <n v="69500.919360692016"/>
  </r>
  <r>
    <d v="2026-04-08T00:00:00"/>
    <x v="4"/>
    <s v="AÇLIK OTU"/>
    <m/>
    <x v="5"/>
    <s v="ST00000001877"/>
    <s v="SATIŞ"/>
    <s v="POS"/>
    <n v="0.12"/>
    <n v="417"/>
    <n v="50.04"/>
    <n v="0"/>
    <m/>
    <m/>
    <m/>
    <m/>
    <n v="0"/>
    <n v="0"/>
    <n v="69500.919360692016"/>
  </r>
  <r>
    <d v="2026-04-08T00:00:00"/>
    <x v="4"/>
    <s v="ZENCEFİL TOZ"/>
    <m/>
    <x v="5"/>
    <s v="ST00000001878"/>
    <s v="SATIŞ"/>
    <s v="POS"/>
    <n v="0.09"/>
    <n v="400"/>
    <n v="36"/>
    <n v="0"/>
    <m/>
    <m/>
    <m/>
    <m/>
    <n v="0"/>
    <n v="0"/>
    <n v="69500.919360692016"/>
  </r>
  <r>
    <d v="2026-04-08T00:00:00"/>
    <x v="4"/>
    <s v="KARABİBER ÇEKİLMİŞ"/>
    <m/>
    <x v="5"/>
    <s v="ST00000001878"/>
    <s v="SATIŞ"/>
    <s v="POS"/>
    <n v="8.3076923076923076E-2"/>
    <n v="650"/>
    <n v="54"/>
    <n v="0"/>
    <m/>
    <m/>
    <m/>
    <m/>
    <n v="0"/>
    <n v="0"/>
    <n v="69500.919360692016"/>
  </r>
  <r>
    <d v="2026-04-09T00:00:00"/>
    <x v="4"/>
    <s v="ZÜHRE ANA SULTAN MACUNU 240 GR"/>
    <m/>
    <x v="1"/>
    <s v="ST00000001879"/>
    <s v="SATIŞ"/>
    <s v="NAKİT"/>
    <n v="1"/>
    <n v="260"/>
    <n v="0"/>
    <n v="0"/>
    <m/>
    <m/>
    <m/>
    <m/>
    <n v="260"/>
    <n v="0"/>
    <n v="69760.919360692016"/>
  </r>
  <r>
    <d v="2026-04-09T00:00:00"/>
    <x v="4"/>
    <s v="DOLMALIK SARI BİBER"/>
    <m/>
    <x v="5"/>
    <s v="ST00000001880"/>
    <s v="SATIŞ"/>
    <s v="POS"/>
    <n v="1"/>
    <n v="250"/>
    <n v="250"/>
    <n v="0"/>
    <m/>
    <m/>
    <m/>
    <m/>
    <n v="0"/>
    <n v="0"/>
    <n v="69760.919360692016"/>
  </r>
  <r>
    <d v="2026-04-09T00:00:00"/>
    <x v="4"/>
    <s v="DOMATES SALÇASI"/>
    <m/>
    <x v="1"/>
    <s v="ST00000001881"/>
    <s v="SATIŞ"/>
    <s v="NAKİT"/>
    <n v="0.5"/>
    <n v="150"/>
    <n v="0"/>
    <n v="0"/>
    <m/>
    <m/>
    <m/>
    <m/>
    <n v="75"/>
    <n v="0"/>
    <n v="69835.919360692016"/>
  </r>
  <r>
    <d v="2026-04-09T00:00:00"/>
    <x v="4"/>
    <s v="EVLİK BİBER"/>
    <m/>
    <x v="1"/>
    <s v="ST00000001881"/>
    <s v="SATIŞ"/>
    <s v="NAKİT"/>
    <n v="0.25"/>
    <n v="400"/>
    <n v="0"/>
    <n v="0"/>
    <m/>
    <m/>
    <m/>
    <m/>
    <n v="100"/>
    <n v="0"/>
    <n v="69935.919360692016"/>
  </r>
  <r>
    <d v="2026-04-09T00:00:00"/>
    <x v="4"/>
    <s v="KARABİBER ÇEKİLMİŞ"/>
    <m/>
    <x v="1"/>
    <s v="ST00000001881"/>
    <s v="SATIŞ"/>
    <s v="NAKİT"/>
    <n v="7.6923076923076927E-2"/>
    <n v="650"/>
    <n v="0"/>
    <n v="0"/>
    <m/>
    <m/>
    <m/>
    <m/>
    <n v="50"/>
    <n v="0"/>
    <n v="69985.919360692016"/>
  </r>
  <r>
    <d v="2026-04-09T00:00:00"/>
    <x v="4"/>
    <s v="DOMATES SALÇASI"/>
    <m/>
    <x v="5"/>
    <s v="ST00000001882"/>
    <s v="SATIŞ"/>
    <s v="POS"/>
    <n v="1"/>
    <n v="150"/>
    <n v="150"/>
    <n v="0"/>
    <m/>
    <m/>
    <m/>
    <m/>
    <n v="0"/>
    <n v="0"/>
    <n v="69985.919360692016"/>
  </r>
  <r>
    <d v="2026-04-09T00:00:00"/>
    <x v="4"/>
    <s v="SALÇA ACI (EV YAPIMI)"/>
    <m/>
    <x v="5"/>
    <s v="ST00000001882"/>
    <s v="SATIŞ"/>
    <s v="POS"/>
    <n v="1"/>
    <n v="200"/>
    <n v="200"/>
    <n v="0"/>
    <m/>
    <m/>
    <m/>
    <m/>
    <n v="0"/>
    <n v="0"/>
    <n v="69985.919360692016"/>
  </r>
  <r>
    <d v="2026-04-09T00:00:00"/>
    <x v="4"/>
    <s v="AÇIK KAYISI İRİ (SARI)"/>
    <m/>
    <x v="5"/>
    <s v="ST00000001883"/>
    <s v="SATIŞ"/>
    <s v="POS"/>
    <n v="0.22307692307692309"/>
    <n v="650"/>
    <n v="145"/>
    <n v="0"/>
    <m/>
    <m/>
    <m/>
    <m/>
    <n v="0"/>
    <n v="0"/>
    <n v="69985.919360692016"/>
  </r>
  <r>
    <d v="2026-04-09T00:00:00"/>
    <x v="0"/>
    <m/>
    <m/>
    <x v="0"/>
    <m/>
    <s v="SERMAYE - MMT ALIŞVERİŞLERİN DÜŞÜMÜ"/>
    <s v="NAKİT"/>
    <n v="1"/>
    <n v="35000"/>
    <n v="35000"/>
    <n v="0"/>
    <n v="0"/>
    <n v="15000"/>
    <m/>
    <m/>
    <n v="0"/>
    <n v="35000"/>
    <n v="34985.919360692016"/>
  </r>
  <r>
    <d v="2026-04-09T00:00:00"/>
    <x v="7"/>
    <m/>
    <m/>
    <x v="2"/>
    <m/>
    <s v="MMT KREDİ KARTI ÖDEME"/>
    <s v="NAKİT"/>
    <n v="1"/>
    <n v="23925.0177"/>
    <n v="23925.02"/>
    <n v="0"/>
    <m/>
    <m/>
    <m/>
    <m/>
    <n v="0"/>
    <n v="23925.02"/>
    <n v="11060.899360692016"/>
  </r>
  <r>
    <d v="2026-04-10T00:00:00"/>
    <x v="4"/>
    <s v="YENİBAHAR TOZ"/>
    <m/>
    <x v="5"/>
    <s v="ST00000001884"/>
    <s v="SATIŞ"/>
    <s v="POS"/>
    <n v="8.1818181818181818E-2"/>
    <n v="770"/>
    <n v="63"/>
    <n v="0"/>
    <m/>
    <m/>
    <m/>
    <m/>
    <n v="0"/>
    <n v="0"/>
    <n v="11060.899360692016"/>
  </r>
  <r>
    <d v="2026-04-10T00:00:00"/>
    <x v="4"/>
    <s v="ATOM PUL BİBER ÇOK ACI"/>
    <m/>
    <x v="1"/>
    <s v="ST00000001885"/>
    <s v="SATIŞ"/>
    <s v="NAKİT"/>
    <n v="0.19090909090909092"/>
    <n v="525"/>
    <n v="0"/>
    <n v="0"/>
    <m/>
    <m/>
    <m/>
    <m/>
    <n v="100.22727272727273"/>
    <n v="0"/>
    <n v="11161.126633419288"/>
  </r>
  <r>
    <d v="2026-04-10T00:00:00"/>
    <x v="4"/>
    <s v="EL-RUHA ÇAY (AÇIK)"/>
    <m/>
    <x v="1"/>
    <s v="ST00000001885"/>
    <s v="SATIŞ"/>
    <s v="NAKİT"/>
    <n v="0.25"/>
    <n v="600"/>
    <n v="0"/>
    <n v="0"/>
    <m/>
    <m/>
    <m/>
    <m/>
    <n v="150"/>
    <n v="0"/>
    <n v="11311.126633419288"/>
  </r>
  <r>
    <d v="2026-04-10T00:00:00"/>
    <x v="4"/>
    <s v="AKGÜNLÜK BAHUR"/>
    <m/>
    <x v="1"/>
    <s v="ST00000001886"/>
    <s v="SATIŞ"/>
    <s v="NAKİT"/>
    <n v="0.1"/>
    <n v="2000"/>
    <n v="0"/>
    <n v="0"/>
    <m/>
    <m/>
    <m/>
    <m/>
    <n v="200"/>
    <n v="0"/>
    <n v="11511.126633419288"/>
  </r>
  <r>
    <d v="2026-04-10T00:00:00"/>
    <x v="4"/>
    <s v="DUT KURUSU ESMER"/>
    <m/>
    <x v="5"/>
    <s v="ST00000001887"/>
    <s v="SATIŞ"/>
    <s v="POS"/>
    <n v="0.5"/>
    <n v="450"/>
    <n v="225"/>
    <n v="0"/>
    <m/>
    <m/>
    <m/>
    <m/>
    <n v="0"/>
    <n v="0"/>
    <n v="11511.126633419288"/>
  </r>
  <r>
    <d v="2026-04-10T00:00:00"/>
    <x v="4"/>
    <s v="AÇLIK OTU"/>
    <m/>
    <x v="1"/>
    <s v="ST00000001888"/>
    <s v="SATIŞ"/>
    <s v="NAKİT"/>
    <n v="0.12"/>
    <n v="417"/>
    <n v="0"/>
    <n v="0"/>
    <m/>
    <m/>
    <m/>
    <m/>
    <n v="50.04"/>
    <n v="0"/>
    <n v="11561.166633419289"/>
  </r>
  <r>
    <d v="2026-04-10T00:00:00"/>
    <x v="4"/>
    <s v="NBN DAĞ İNCİRİ"/>
    <m/>
    <x v="5"/>
    <s v="ST00000001889"/>
    <s v="SATIŞ"/>
    <s v="POS"/>
    <n v="0.24199999999999999"/>
    <n v="800"/>
    <n v="193.6"/>
    <n v="0"/>
    <m/>
    <m/>
    <m/>
    <m/>
    <n v="0"/>
    <n v="0"/>
    <n v="11561.166633419289"/>
  </r>
  <r>
    <d v="2026-04-10T00:00:00"/>
    <x v="4"/>
    <s v="BOZ ANTEP FISTIK ÖĞÜTÜLMÜŞ"/>
    <m/>
    <x v="5"/>
    <s v="ST00000001889"/>
    <s v="SATIŞ"/>
    <s v="POS"/>
    <n v="8.5999999999999993E-2"/>
    <n v="2900"/>
    <n v="249.39999999999998"/>
    <n v="0"/>
    <m/>
    <m/>
    <m/>
    <m/>
    <n v="0"/>
    <n v="0"/>
    <n v="11561.166633419289"/>
  </r>
  <r>
    <d v="2026-04-10T00:00:00"/>
    <x v="4"/>
    <s v="AKGÜNLÜK BAHUR"/>
    <m/>
    <x v="1"/>
    <s v="ST00000001890"/>
    <s v="SATIŞ"/>
    <s v="NAKİT"/>
    <n v="0.1"/>
    <n v="2000"/>
    <n v="0"/>
    <n v="0"/>
    <m/>
    <m/>
    <m/>
    <m/>
    <n v="200"/>
    <n v="0"/>
    <n v="11761.166633419289"/>
  </r>
  <r>
    <d v="2026-04-10T00:00:00"/>
    <x v="4"/>
    <s v="SUSAM SİMİTLİK"/>
    <m/>
    <x v="1"/>
    <s v="ST00000001890"/>
    <s v="SATIŞ"/>
    <s v="NAKİT"/>
    <n v="0.1"/>
    <n v="400"/>
    <n v="0"/>
    <n v="0"/>
    <m/>
    <m/>
    <m/>
    <m/>
    <n v="40"/>
    <n v="0"/>
    <n v="11801.166633419289"/>
  </r>
  <r>
    <d v="2026-04-10T00:00:00"/>
    <x v="4"/>
    <s v="SALÇA ACI (EV YAPIMI)"/>
    <m/>
    <x v="5"/>
    <s v="ST00000001891"/>
    <s v="SATIŞ"/>
    <s v="POS"/>
    <n v="1"/>
    <n v="200"/>
    <n v="200"/>
    <n v="0"/>
    <m/>
    <m/>
    <m/>
    <m/>
    <n v="0"/>
    <n v="0"/>
    <n v="11801.166633419289"/>
  </r>
  <r>
    <d v="2026-04-10T00:00:00"/>
    <x v="4"/>
    <s v="DOMATES SALÇASI"/>
    <m/>
    <x v="5"/>
    <s v="ST00000001891"/>
    <s v="SATIŞ"/>
    <s v="POS"/>
    <n v="1"/>
    <n v="150"/>
    <n v="150"/>
    <n v="0"/>
    <m/>
    <m/>
    <m/>
    <m/>
    <n v="0"/>
    <n v="0"/>
    <n v="11801.166633419289"/>
  </r>
  <r>
    <d v="2026-04-10T00:00:00"/>
    <x v="4"/>
    <s v="ÇUBUK TARÇIN"/>
    <m/>
    <x v="5"/>
    <s v="ST00000001891"/>
    <s v="SATIŞ"/>
    <s v="POS"/>
    <n v="0.08"/>
    <n v="750"/>
    <n v="60"/>
    <n v="0"/>
    <m/>
    <m/>
    <m/>
    <m/>
    <n v="0"/>
    <n v="0"/>
    <n v="11801.166633419289"/>
  </r>
  <r>
    <d v="2026-04-10T00:00:00"/>
    <x v="4"/>
    <s v="HİBİSKUS"/>
    <m/>
    <x v="5"/>
    <s v="ST00000001892"/>
    <s v="SATIŞ"/>
    <s v="POS"/>
    <n v="0.1"/>
    <n v="600"/>
    <n v="60"/>
    <n v="0"/>
    <m/>
    <m/>
    <m/>
    <m/>
    <n v="0"/>
    <n v="0"/>
    <n v="11801.166633419289"/>
  </r>
  <r>
    <d v="2026-04-10T00:00:00"/>
    <x v="4"/>
    <s v="İZMİR ÜZÜMÜ"/>
    <m/>
    <x v="1"/>
    <s v="ST00000001893"/>
    <s v="SATIŞ"/>
    <s v="NAKİT"/>
    <n v="1"/>
    <n v="250"/>
    <n v="0"/>
    <n v="0"/>
    <m/>
    <m/>
    <m/>
    <m/>
    <n v="250"/>
    <n v="0"/>
    <n v="12051.166633419289"/>
  </r>
  <r>
    <d v="2026-04-10T00:00:00"/>
    <x v="4"/>
    <s v="KÖFTELİK BULGUR"/>
    <m/>
    <x v="1"/>
    <s v="ST00000001894"/>
    <s v="SATIŞ"/>
    <s v="NAKİT"/>
    <n v="1.2"/>
    <n v="64.2"/>
    <n v="0"/>
    <n v="0"/>
    <m/>
    <m/>
    <m/>
    <m/>
    <n v="77.040000000000006"/>
    <n v="0"/>
    <n v="12128.20663341929"/>
  </r>
  <r>
    <d v="2026-04-10T00:00:00"/>
    <x v="4"/>
    <s v="İZMİR ÜZÜMÜ"/>
    <m/>
    <x v="1"/>
    <s v="ST00000001894"/>
    <s v="SATIŞ"/>
    <s v="NAKİT"/>
    <n v="0.47199999999999998"/>
    <n v="250"/>
    <n v="0"/>
    <n v="0"/>
    <m/>
    <m/>
    <m/>
    <m/>
    <n v="118"/>
    <n v="0"/>
    <n v="12246.20663341929"/>
  </r>
  <r>
    <d v="2026-04-10T00:00:00"/>
    <x v="4"/>
    <s v="DURMUŞOĞULLARI KATI PEKMEZ TAHTA 700 GR"/>
    <m/>
    <x v="5"/>
    <s v="ST00000001895"/>
    <s v="SATIŞ"/>
    <s v="POS"/>
    <n v="1"/>
    <n v="300"/>
    <n v="300"/>
    <n v="0"/>
    <m/>
    <m/>
    <m/>
    <m/>
    <n v="0"/>
    <n v="0"/>
    <n v="12246.20663341929"/>
  </r>
  <r>
    <d v="2026-04-10T00:00:00"/>
    <x v="4"/>
    <s v="DURMUŞOĞULLARI KATI PEKMEZ TAHTA 700 GR"/>
    <m/>
    <x v="1"/>
    <s v="ST00000001896"/>
    <s v="SATIŞ"/>
    <s v="NAKİT"/>
    <n v="1"/>
    <n v="300"/>
    <n v="0"/>
    <n v="0"/>
    <m/>
    <m/>
    <m/>
    <m/>
    <n v="300"/>
    <n v="0"/>
    <n v="12546.20663341929"/>
  </r>
  <r>
    <d v="2026-04-10T00:00:00"/>
    <x v="4"/>
    <s v="LAHANA TURŞUSU 5 KG"/>
    <m/>
    <x v="1"/>
    <s v="ST00000001897"/>
    <s v="SATIŞ"/>
    <s v="NAKİT"/>
    <n v="1"/>
    <n v="250"/>
    <n v="0"/>
    <n v="0"/>
    <m/>
    <m/>
    <m/>
    <m/>
    <n v="250"/>
    <n v="0"/>
    <n v="12796.20663341929"/>
  </r>
  <r>
    <d v="2026-04-10T00:00:00"/>
    <x v="4"/>
    <s v="EL-RUHA ÇAY (AÇIK)"/>
    <m/>
    <x v="1"/>
    <s v="ST00000001898"/>
    <s v="SATIŞ - NECAT"/>
    <s v="NAKİT"/>
    <n v="2"/>
    <n v="600"/>
    <n v="0"/>
    <n v="0"/>
    <m/>
    <m/>
    <m/>
    <m/>
    <n v="1200"/>
    <n v="0"/>
    <n v="13996.20663341929"/>
  </r>
  <r>
    <d v="2026-04-10T00:00:00"/>
    <x v="4"/>
    <s v="DOMATES SALÇASI"/>
    <m/>
    <x v="13"/>
    <s v="ST00000001899"/>
    <s v="SATIŞ - TOPTAN - MÜMİNE ÇELİKEL"/>
    <s v="CARİ"/>
    <n v="19.350000000000001"/>
    <n v="103.36"/>
    <n v="2000"/>
    <n v="0"/>
    <m/>
    <m/>
    <m/>
    <m/>
    <n v="0"/>
    <n v="0"/>
    <n v="13996.20663341929"/>
  </r>
  <r>
    <d v="2026-04-10T00:00:00"/>
    <x v="4"/>
    <s v="SALÇA TATLI (EV YAPIMI)"/>
    <m/>
    <x v="13"/>
    <s v="ST00000001899"/>
    <s v="SATIŞ - TOPTAN - MÜMİNE ÇELİKEL"/>
    <s v="CARİ"/>
    <n v="19.350000000000001"/>
    <n v="144.71"/>
    <n v="2800"/>
    <n v="0"/>
    <m/>
    <m/>
    <m/>
    <m/>
    <n v="0"/>
    <n v="0"/>
    <n v="13996.20663341929"/>
  </r>
  <r>
    <d v="2026-04-10T00:00:00"/>
    <x v="4"/>
    <s v="SHİFFA HOME ÇİNKO PİKOLİNAT 500 MG 60 KAPSÜL"/>
    <m/>
    <x v="1"/>
    <s v="ST00000001900"/>
    <s v="SATIŞ"/>
    <s v="NAKİT"/>
    <n v="1"/>
    <n v="300"/>
    <n v="0"/>
    <n v="0"/>
    <m/>
    <m/>
    <m/>
    <m/>
    <n v="300"/>
    <n v="0"/>
    <n v="14296.20663341929"/>
  </r>
  <r>
    <d v="2026-04-10T00:00:00"/>
    <x v="4"/>
    <s v="ERBATAB MAGNEZYUM 3 LÜ FORM (BİSGLİSİNAT, SİTRAT, MALAT) &amp; VİTAMİN B2 , B3 , B6 - 60 KAPSÜL"/>
    <m/>
    <x v="1"/>
    <s v="ST00000001900"/>
    <s v="SATIŞ"/>
    <s v="NAKİT"/>
    <n v="1"/>
    <n v="430"/>
    <n v="0"/>
    <n v="0"/>
    <m/>
    <m/>
    <m/>
    <m/>
    <n v="420"/>
    <n v="0"/>
    <n v="14716.20663341929"/>
  </r>
  <r>
    <d v="2026-04-10T00:00:00"/>
    <x v="4"/>
    <s v="ERBATAB DEMİR VİTAMİN 30 KAPSÜL"/>
    <m/>
    <x v="1"/>
    <s v="ST00000001900"/>
    <s v="SATIŞ"/>
    <s v="NAKİT"/>
    <n v="1"/>
    <n v="370"/>
    <n v="0"/>
    <n v="0"/>
    <m/>
    <m/>
    <m/>
    <m/>
    <n v="370"/>
    <n v="0"/>
    <n v="15086.20663341929"/>
  </r>
  <r>
    <d v="2026-04-10T00:00:00"/>
    <x v="4"/>
    <s v="LAVANTA YAĞI 10 CC"/>
    <m/>
    <x v="1"/>
    <s v="ST00000001900"/>
    <s v="SATIŞ"/>
    <s v="NAKİT"/>
    <n v="1"/>
    <n v="130"/>
    <n v="0"/>
    <n v="0"/>
    <m/>
    <m/>
    <m/>
    <m/>
    <n v="130"/>
    <n v="0"/>
    <n v="15216.20663341929"/>
  </r>
  <r>
    <d v="2026-04-10T00:00:00"/>
    <x v="4"/>
    <s v="NANE YAĞI 10 CC"/>
    <m/>
    <x v="1"/>
    <s v="ST00000001900"/>
    <s v="SATIŞ"/>
    <s v="NAKİT"/>
    <n v="1"/>
    <n v="145"/>
    <n v="0"/>
    <n v="0"/>
    <m/>
    <m/>
    <m/>
    <m/>
    <n v="145"/>
    <n v="0"/>
    <n v="15361.20663341929"/>
  </r>
  <r>
    <d v="2026-04-10T00:00:00"/>
    <x v="4"/>
    <s v="BİBERİYE YAĞI 10 CC"/>
    <m/>
    <x v="1"/>
    <s v="ST00000001900"/>
    <s v="SATIŞ"/>
    <s v="NAKİT"/>
    <n v="1"/>
    <n v="145"/>
    <n v="0"/>
    <n v="0"/>
    <m/>
    <m/>
    <m/>
    <m/>
    <n v="145"/>
    <n v="0"/>
    <n v="15506.20663341929"/>
  </r>
  <r>
    <d v="2026-04-10T00:00:00"/>
    <x v="4"/>
    <s v="ARGAN YAĞI 10 CC"/>
    <m/>
    <x v="1"/>
    <s v="ST00000001900"/>
    <s v="SATIŞ"/>
    <s v="NAKİT"/>
    <n v="1"/>
    <n v="130"/>
    <n v="0"/>
    <n v="0"/>
    <m/>
    <m/>
    <m/>
    <m/>
    <n v="130"/>
    <n v="0"/>
    <n v="15636.20663341929"/>
  </r>
  <r>
    <d v="2026-04-10T00:00:00"/>
    <x v="4"/>
    <s v="MİSVAK KUTULU (HOLDER)"/>
    <m/>
    <x v="1"/>
    <s v="ST00000001900"/>
    <s v="SATIŞ"/>
    <s v="NAKİT"/>
    <n v="1"/>
    <n v="30"/>
    <n v="0"/>
    <n v="0"/>
    <m/>
    <m/>
    <m/>
    <m/>
    <n v="30"/>
    <n v="0"/>
    <n v="15666.20663341929"/>
  </r>
  <r>
    <d v="2026-04-10T00:00:00"/>
    <x v="4"/>
    <s v="BİOBLAS SİYAH SARIMSAKLI 1000 ML SAÇ DÖKÜLMESİNE KARŞI ŞAMPUAN - SİYAH"/>
    <m/>
    <x v="1"/>
    <s v="ST00000001900"/>
    <s v="SATIŞ"/>
    <s v="NAKİT"/>
    <n v="1"/>
    <n v="230"/>
    <n v="0"/>
    <n v="0"/>
    <m/>
    <m/>
    <m/>
    <m/>
    <n v="230"/>
    <n v="0"/>
    <n v="15896.20663341929"/>
  </r>
  <r>
    <d v="2026-04-10T00:00:00"/>
    <x v="4"/>
    <s v="MEBRUM HURMA (3'LÜK)"/>
    <m/>
    <x v="1"/>
    <s v="ST00000001900"/>
    <s v="SATIŞ"/>
    <s v="NAKİT"/>
    <n v="0.25"/>
    <n v="400"/>
    <n v="0"/>
    <n v="0"/>
    <m/>
    <m/>
    <m/>
    <m/>
    <n v="100"/>
    <n v="0"/>
    <n v="15996.20663341929"/>
  </r>
  <r>
    <d v="2026-04-11T00:00:00"/>
    <x v="4"/>
    <s v="DOLMALIK KURU PATLICAN"/>
    <m/>
    <x v="5"/>
    <s v="ST00000001901"/>
    <s v="SATIŞ"/>
    <s v="POS"/>
    <n v="1"/>
    <n v="250"/>
    <n v="250"/>
    <n v="0"/>
    <m/>
    <m/>
    <m/>
    <m/>
    <n v="0"/>
    <n v="0"/>
    <n v="15996.20663341929"/>
  </r>
  <r>
    <d v="2026-04-11T00:00:00"/>
    <x v="4"/>
    <s v="DOLMALIK SARI BİBER"/>
    <m/>
    <x v="5"/>
    <s v="ST00000001901"/>
    <s v="SATIŞ"/>
    <s v="POS"/>
    <n v="1"/>
    <n v="250"/>
    <n v="250"/>
    <n v="0"/>
    <m/>
    <m/>
    <m/>
    <m/>
    <n v="0"/>
    <n v="0"/>
    <n v="15996.20663341929"/>
  </r>
  <r>
    <d v="2026-04-11T00:00:00"/>
    <x v="4"/>
    <s v="PUDRA ŞEKERİ"/>
    <m/>
    <x v="5"/>
    <s v="ST00000001902"/>
    <s v="SATIŞ"/>
    <s v="POS"/>
    <n v="1"/>
    <n v="100"/>
    <n v="100"/>
    <n v="0"/>
    <m/>
    <m/>
    <m/>
    <m/>
    <n v="0"/>
    <n v="0"/>
    <n v="15996.20663341929"/>
  </r>
  <r>
    <d v="2026-04-11T00:00:00"/>
    <x v="4"/>
    <s v="SUSAM SİMİTLİK"/>
    <m/>
    <x v="5"/>
    <s v="ST00000001902"/>
    <s v="SATIŞ"/>
    <s v="POS"/>
    <n v="1"/>
    <n v="320"/>
    <n v="320"/>
    <n v="0"/>
    <m/>
    <m/>
    <m/>
    <m/>
    <n v="0"/>
    <n v="0"/>
    <n v="15996.20663341929"/>
  </r>
  <r>
    <d v="2026-04-11T00:00:00"/>
    <x v="4"/>
    <s v="AÇLIK OTU"/>
    <m/>
    <x v="1"/>
    <s v="ST00000001903"/>
    <s v="SATIŞ"/>
    <s v="NAKİT"/>
    <n v="0.12"/>
    <n v="417"/>
    <n v="0"/>
    <n v="0"/>
    <m/>
    <m/>
    <m/>
    <m/>
    <n v="50.04"/>
    <n v="0"/>
    <n v="16046.24663341929"/>
  </r>
  <r>
    <d v="2026-04-11T00:00:00"/>
    <x v="4"/>
    <s v="MECİTEFENDİ MASAJ KREMİ 175 ML"/>
    <m/>
    <x v="1"/>
    <s v="ST00000001903"/>
    <s v="SATIŞ"/>
    <s v="NAKİT"/>
    <n v="1"/>
    <n v="190"/>
    <n v="0"/>
    <n v="0"/>
    <m/>
    <m/>
    <m/>
    <m/>
    <n v="190"/>
    <n v="0"/>
    <n v="16236.24663341929"/>
  </r>
  <r>
    <d v="2026-04-11T00:00:00"/>
    <x v="4"/>
    <s v="YEŞİL ÇAY YAPRAK"/>
    <m/>
    <x v="1"/>
    <s v="ST00000001903"/>
    <s v="SATIŞ"/>
    <s v="NAKİT"/>
    <n v="0.1"/>
    <n v="900"/>
    <n v="0"/>
    <n v="0"/>
    <m/>
    <m/>
    <m/>
    <m/>
    <n v="90"/>
    <n v="0"/>
    <n v="16326.24663341929"/>
  </r>
  <r>
    <d v="2026-04-11T00:00:00"/>
    <x v="4"/>
    <s v="BİBERİYE"/>
    <m/>
    <x v="1"/>
    <s v="ST00000001903"/>
    <s v="SATIŞ"/>
    <s v="NAKİT"/>
    <n v="0.05"/>
    <n v="900"/>
    <n v="0"/>
    <n v="0"/>
    <m/>
    <m/>
    <m/>
    <m/>
    <n v="45"/>
    <n v="0"/>
    <n v="16371.24663341929"/>
  </r>
  <r>
    <d v="2026-04-11T00:00:00"/>
    <x v="4"/>
    <s v="MISIR PÜSKÜLÜ"/>
    <m/>
    <x v="1"/>
    <s v="ST00000001903"/>
    <s v="SATIŞ"/>
    <s v="NAKİT"/>
    <n v="3.4799999999999998E-2"/>
    <n v="1300"/>
    <n v="0"/>
    <n v="0"/>
    <m/>
    <m/>
    <m/>
    <m/>
    <n v="45.239999999999995"/>
    <n v="0"/>
    <n v="16416.486633419292"/>
  </r>
  <r>
    <d v="2026-04-11T00:00:00"/>
    <x v="4"/>
    <s v="KİRAZ SAPI"/>
    <m/>
    <x v="1"/>
    <s v="ST00000001903"/>
    <s v="SATIŞ"/>
    <s v="NAKİT"/>
    <n v="3.7499999999999999E-2"/>
    <n v="800"/>
    <n v="0"/>
    <n v="0"/>
    <m/>
    <m/>
    <m/>
    <m/>
    <n v="30"/>
    <n v="0"/>
    <n v="16446.486633419292"/>
  </r>
  <r>
    <d v="2026-04-11T00:00:00"/>
    <x v="4"/>
    <s v="KÖFTELİK BULGUR"/>
    <m/>
    <x v="1"/>
    <s v="ST00000001904"/>
    <s v="SATIŞ"/>
    <s v="NAKİT"/>
    <n v="1.2"/>
    <n v="62.5"/>
    <n v="0"/>
    <n v="0"/>
    <m/>
    <m/>
    <m/>
    <m/>
    <n v="75"/>
    <n v="0"/>
    <n v="16521.486633419292"/>
  </r>
  <r>
    <d v="2026-04-11T00:00:00"/>
    <x v="4"/>
    <s v="SOSLU MISIR YERLİ"/>
    <m/>
    <x v="1"/>
    <s v="ST00000001904"/>
    <s v="SATIŞ"/>
    <s v="NAKİT"/>
    <n v="0.22800000000000001"/>
    <n v="220"/>
    <n v="0"/>
    <n v="0"/>
    <m/>
    <m/>
    <m/>
    <m/>
    <n v="50.160000000000004"/>
    <n v="0"/>
    <n v="16571.646633419292"/>
  </r>
  <r>
    <d v="2026-04-11T00:00:00"/>
    <x v="4"/>
    <s v="NANE İRİ"/>
    <m/>
    <x v="5"/>
    <s v="ST00000001905"/>
    <s v="SATIŞ"/>
    <s v="POS"/>
    <n v="7.1999999999999995E-2"/>
    <n v="400"/>
    <n v="28.799999999999997"/>
    <n v="0"/>
    <m/>
    <m/>
    <m/>
    <m/>
    <n v="0"/>
    <n v="0"/>
    <n v="16571.646633419292"/>
  </r>
  <r>
    <d v="2026-04-11T00:00:00"/>
    <x v="4"/>
    <s v="SUMAK"/>
    <m/>
    <x v="5"/>
    <s v="ST00000001905"/>
    <s v="SATIŞ"/>
    <s v="POS"/>
    <n v="0.25"/>
    <n v="500"/>
    <n v="125"/>
    <n v="0"/>
    <m/>
    <m/>
    <m/>
    <m/>
    <n v="0"/>
    <n v="0"/>
    <n v="16571.646633419292"/>
  </r>
  <r>
    <d v="2026-04-11T00:00:00"/>
    <x v="4"/>
    <s v="KEKİK LÜX"/>
    <m/>
    <x v="5"/>
    <s v="ST00000001905"/>
    <s v="SATIŞ"/>
    <s v="POS"/>
    <n v="7.3999999999999996E-2"/>
    <n v="850"/>
    <n v="62.9"/>
    <n v="0"/>
    <m/>
    <m/>
    <m/>
    <m/>
    <n v="0"/>
    <n v="0"/>
    <n v="16571.646633419292"/>
  </r>
  <r>
    <d v="2026-04-11T00:00:00"/>
    <x v="4"/>
    <s v="ŞİFAVER KÜKÜRTLÜ HATAY SABUNU"/>
    <m/>
    <x v="5"/>
    <s v="ST00000001905"/>
    <s v="SATIŞ"/>
    <s v="POS"/>
    <n v="1"/>
    <n v="42"/>
    <n v="42"/>
    <n v="0"/>
    <m/>
    <m/>
    <m/>
    <m/>
    <n v="0"/>
    <n v="0"/>
    <n v="16571.646633419292"/>
  </r>
  <r>
    <d v="2026-04-11T00:00:00"/>
    <x v="4"/>
    <s v="ŞİFAVER BITTIM HATAY SABUNU"/>
    <m/>
    <x v="5"/>
    <s v="ST00000001905"/>
    <s v="SATIŞ"/>
    <s v="POS"/>
    <n v="1"/>
    <n v="42"/>
    <n v="42"/>
    <n v="0"/>
    <m/>
    <m/>
    <m/>
    <m/>
    <n v="0"/>
    <n v="0"/>
    <n v="16571.646633419292"/>
  </r>
  <r>
    <d v="2026-04-11T00:00:00"/>
    <x v="4"/>
    <s v="KİMYON ÇEKİLMİŞ"/>
    <m/>
    <x v="1"/>
    <s v="ST00000001906"/>
    <s v="SATIŞ - ZEKAT"/>
    <s v="NAKİT"/>
    <n v="0.14499999999999999"/>
    <n v="400"/>
    <n v="0"/>
    <n v="0"/>
    <m/>
    <m/>
    <m/>
    <m/>
    <n v="57.999999999999993"/>
    <n v="0"/>
    <n v="16629.646633419292"/>
  </r>
  <r>
    <d v="2026-04-11T00:00:00"/>
    <x v="4"/>
    <s v="KABUKLU CEVİZ (YERLİ)"/>
    <m/>
    <x v="1"/>
    <s v="ST00000001906"/>
    <s v="SATIŞ - ZEKAT"/>
    <s v="NAKİT"/>
    <n v="0.14000000000000001"/>
    <n v="250"/>
    <n v="0"/>
    <n v="0"/>
    <m/>
    <m/>
    <m/>
    <m/>
    <n v="35"/>
    <n v="0"/>
    <n v="16664.646633419292"/>
  </r>
  <r>
    <d v="2026-04-11T00:00:00"/>
    <x v="4"/>
    <s v="SUMAK TANE EKŞİLİ"/>
    <m/>
    <x v="1"/>
    <s v="ST00000001907"/>
    <s v="SATIŞ"/>
    <s v="NAKİT"/>
    <n v="0.2"/>
    <n v="500"/>
    <n v="0"/>
    <n v="0"/>
    <m/>
    <m/>
    <m/>
    <m/>
    <n v="100"/>
    <n v="0"/>
    <n v="16764.646633419292"/>
  </r>
  <r>
    <d v="2026-04-11T00:00:00"/>
    <x v="4"/>
    <s v="HİNT YAĞI 50 CC"/>
    <m/>
    <x v="1"/>
    <s v="ST00000001908"/>
    <s v="SATIŞ"/>
    <s v="NAKİT"/>
    <n v="1"/>
    <n v="130"/>
    <n v="0"/>
    <n v="0"/>
    <m/>
    <m/>
    <m/>
    <m/>
    <n v="130"/>
    <n v="0"/>
    <n v="16894.646633419292"/>
  </r>
  <r>
    <d v="2026-04-11T00:00:00"/>
    <x v="4"/>
    <s v="EL-RUHA ÇAY (AÇIK)"/>
    <m/>
    <x v="1"/>
    <s v="ST00000001909"/>
    <s v="SATIŞ"/>
    <s v="NAKİT"/>
    <n v="0.25"/>
    <n v="700"/>
    <n v="0"/>
    <n v="0"/>
    <m/>
    <m/>
    <m/>
    <m/>
    <n v="175"/>
    <n v="0"/>
    <n v="17069.646633419292"/>
  </r>
  <r>
    <d v="2026-04-11T00:00:00"/>
    <x v="4"/>
    <s v="KARABİBER ÇEKİLMİŞ"/>
    <m/>
    <x v="1"/>
    <s v="ST00000001910"/>
    <s v="SATIŞ"/>
    <s v="NAKİT"/>
    <n v="0.12461538461538461"/>
    <n v="650"/>
    <n v="0"/>
    <n v="0"/>
    <m/>
    <m/>
    <m/>
    <m/>
    <n v="81"/>
    <n v="0"/>
    <n v="17150.646633419292"/>
  </r>
  <r>
    <d v="2026-04-11T00:00:00"/>
    <x v="4"/>
    <s v="ZERDEÇAL TOZ"/>
    <m/>
    <x v="1"/>
    <s v="ST00000001910"/>
    <s v="SATIŞ"/>
    <s v="NAKİT"/>
    <n v="0.19666666666666666"/>
    <n v="300"/>
    <n v="0"/>
    <n v="0"/>
    <m/>
    <m/>
    <m/>
    <m/>
    <n v="59"/>
    <n v="0"/>
    <n v="17209.646633419292"/>
  </r>
  <r>
    <d v="2026-04-11T00:00:00"/>
    <x v="4"/>
    <s v="AKGÜNLÜK BAHUR"/>
    <m/>
    <x v="1"/>
    <s v="ST00000001910"/>
    <s v="SATIŞ"/>
    <s v="NAKİT"/>
    <n v="0.1"/>
    <n v="1700"/>
    <n v="0"/>
    <n v="0"/>
    <m/>
    <m/>
    <m/>
    <m/>
    <n v="170"/>
    <n v="0"/>
    <n v="17379.646633419292"/>
  </r>
  <r>
    <d v="2026-04-11T00:00:00"/>
    <x v="4"/>
    <s v="YEŞİL ÇAY YAPRAK"/>
    <m/>
    <x v="1"/>
    <s v="ST00000001910"/>
    <s v="SATIŞ"/>
    <s v="NAKİT"/>
    <n v="0.1"/>
    <n v="900"/>
    <n v="0"/>
    <n v="0"/>
    <m/>
    <m/>
    <m/>
    <m/>
    <n v="90"/>
    <n v="0"/>
    <n v="17469.646633419292"/>
  </r>
  <r>
    <d v="2026-04-11T00:00:00"/>
    <x v="4"/>
    <s v="KEKİK YAĞI 10 CC"/>
    <m/>
    <x v="1"/>
    <s v="ST00000001911"/>
    <s v="SATIŞ - NECAT"/>
    <s v="NAKİT"/>
    <n v="1"/>
    <n v="180"/>
    <n v="0"/>
    <n v="0"/>
    <m/>
    <m/>
    <m/>
    <m/>
    <n v="180"/>
    <n v="0"/>
    <n v="17649.646633419292"/>
  </r>
  <r>
    <d v="2026-04-11T00:00:00"/>
    <x v="4"/>
    <s v="SALÇA TATLI (EV YAPIMI)"/>
    <m/>
    <x v="1"/>
    <s v="ST00000001912"/>
    <s v="SATIŞ - MMT"/>
    <s v="NAKİT"/>
    <n v="1"/>
    <n v="200"/>
    <n v="0"/>
    <n v="0"/>
    <m/>
    <m/>
    <m/>
    <m/>
    <n v="200"/>
    <n v="0"/>
    <n v="17849.646633419292"/>
  </r>
  <r>
    <d v="2026-04-11T00:00:00"/>
    <x v="4"/>
    <s v="DOLMALIK SARI BİBER"/>
    <m/>
    <x v="5"/>
    <s v="ST00000001913"/>
    <s v="SATIŞ"/>
    <s v="POS"/>
    <n v="1"/>
    <n v="250"/>
    <n v="250"/>
    <n v="0"/>
    <m/>
    <m/>
    <m/>
    <m/>
    <n v="0"/>
    <n v="0"/>
    <n v="17849.646633419292"/>
  </r>
  <r>
    <d v="2026-04-11T00:00:00"/>
    <x v="4"/>
    <s v="DOLMALIK KURU PATLICAN"/>
    <m/>
    <x v="5"/>
    <s v="ST00000001913"/>
    <s v="SATIŞ"/>
    <s v="POS"/>
    <n v="1"/>
    <n v="250"/>
    <n v="250"/>
    <n v="0"/>
    <m/>
    <m/>
    <m/>
    <m/>
    <n v="0"/>
    <n v="0"/>
    <n v="17849.646633419292"/>
  </r>
  <r>
    <d v="2026-04-11T00:00:00"/>
    <x v="4"/>
    <s v="DOLMALIK SARI BİBER"/>
    <m/>
    <x v="1"/>
    <s v="ST00000001914"/>
    <s v="SATIŞ"/>
    <s v="NAKİT"/>
    <n v="0.5"/>
    <n v="250"/>
    <n v="0"/>
    <n v="0"/>
    <m/>
    <m/>
    <m/>
    <m/>
    <n v="125"/>
    <n v="0"/>
    <n v="17974.646633419292"/>
  </r>
  <r>
    <d v="2026-04-11T00:00:00"/>
    <x v="4"/>
    <s v="DOLMALIK KURU PATLICAN"/>
    <m/>
    <x v="1"/>
    <s v="ST00000001914"/>
    <s v="SATIŞ"/>
    <s v="NAKİT"/>
    <n v="0.5"/>
    <n v="250"/>
    <n v="0"/>
    <n v="0"/>
    <m/>
    <m/>
    <m/>
    <m/>
    <n v="125"/>
    <n v="0"/>
    <n v="18099.646633419292"/>
  </r>
  <r>
    <d v="2026-04-11T00:00:00"/>
    <x v="4"/>
    <s v="DURMUŞOĞULLARI KATI PEKMEZ TAHTA 700 GR"/>
    <m/>
    <x v="5"/>
    <s v="ST00000001915"/>
    <s v="SATIŞ"/>
    <s v="POS"/>
    <n v="1"/>
    <n v="300"/>
    <n v="300"/>
    <n v="0"/>
    <m/>
    <m/>
    <m/>
    <m/>
    <n v="0"/>
    <n v="0"/>
    <n v="18099.646633419292"/>
  </r>
  <r>
    <d v="2026-04-12T00:00:00"/>
    <x v="4"/>
    <s v="EL-RUHA ÇAY 800 GR"/>
    <m/>
    <x v="1"/>
    <s v="ST00000001916"/>
    <s v="SATIŞ"/>
    <s v="NAKİT"/>
    <n v="1"/>
    <n v="550"/>
    <n v="0"/>
    <n v="0"/>
    <m/>
    <m/>
    <m/>
    <m/>
    <n v="550"/>
    <n v="0"/>
    <n v="18649.646633419292"/>
  </r>
  <r>
    <d v="2026-04-12T00:00:00"/>
    <x v="4"/>
    <s v="CEVİZ KELEBEK (ŞİLİ)"/>
    <m/>
    <x v="5"/>
    <s v="ST00000001917"/>
    <s v="SATIŞ"/>
    <s v="POS"/>
    <n v="0.5"/>
    <n v="750"/>
    <n v="375"/>
    <n v="0"/>
    <m/>
    <m/>
    <m/>
    <m/>
    <n v="0"/>
    <n v="0"/>
    <n v="18649.646633419292"/>
  </r>
  <r>
    <d v="2026-04-12T00:00:00"/>
    <x v="4"/>
    <s v="ÇÖREKOTU YAĞI 250 CC"/>
    <m/>
    <x v="5"/>
    <s v="ST00000001917"/>
    <s v="SATIŞ"/>
    <s v="POS"/>
    <n v="1"/>
    <n v="550"/>
    <n v="550"/>
    <n v="0"/>
    <m/>
    <m/>
    <m/>
    <m/>
    <n v="0"/>
    <n v="0"/>
    <n v="18649.646633419292"/>
  </r>
  <r>
    <d v="2026-04-12T00:00:00"/>
    <x v="4"/>
    <s v="TOMBUL KESE 500 GR SEBZELİ TARHANA"/>
    <m/>
    <x v="5"/>
    <s v="ST00000001917"/>
    <s v="SATIŞ"/>
    <s v="POS"/>
    <n v="1"/>
    <n v="200"/>
    <n v="200"/>
    <n v="0"/>
    <m/>
    <m/>
    <m/>
    <m/>
    <n v="0"/>
    <n v="0"/>
    <n v="18649.646633419292"/>
  </r>
  <r>
    <d v="2026-04-12T00:00:00"/>
    <x v="4"/>
    <s v="KUŞBURNU - KIRMIZI"/>
    <m/>
    <x v="5"/>
    <s v="ST00000001917"/>
    <s v="SATIŞ"/>
    <s v="POS"/>
    <n v="0.25"/>
    <n v="360"/>
    <n v="90"/>
    <n v="0"/>
    <m/>
    <m/>
    <m/>
    <m/>
    <n v="0"/>
    <n v="0"/>
    <n v="18649.646633419292"/>
  </r>
  <r>
    <d v="2026-04-12T00:00:00"/>
    <x v="4"/>
    <s v="HİBİSKUS"/>
    <m/>
    <x v="5"/>
    <s v="ST00000001917"/>
    <s v="SATIŞ"/>
    <s v="POS"/>
    <n v="0.1"/>
    <n v="600"/>
    <n v="60"/>
    <n v="0"/>
    <m/>
    <m/>
    <m/>
    <m/>
    <n v="0"/>
    <n v="0"/>
    <n v="18649.646633419292"/>
  </r>
  <r>
    <d v="2026-04-12T00:00:00"/>
    <x v="4"/>
    <s v="SEYİDOĞLU TAHİN 550 g"/>
    <m/>
    <x v="5"/>
    <s v="ST00000001917"/>
    <s v="SATIŞ"/>
    <s v="POS"/>
    <n v="1"/>
    <n v="160"/>
    <n v="160"/>
    <n v="0"/>
    <m/>
    <m/>
    <m/>
    <m/>
    <n v="0"/>
    <n v="0"/>
    <n v="18649.646633419292"/>
  </r>
  <r>
    <d v="2026-04-12T00:00:00"/>
    <x v="4"/>
    <s v="SOSLU MISIR YERLİ"/>
    <m/>
    <x v="5"/>
    <s v="ST00000001917"/>
    <s v="SATIŞ"/>
    <s v="POS"/>
    <n v="0.22800000000000001"/>
    <n v="220"/>
    <n v="50.160000000000004"/>
    <n v="0"/>
    <m/>
    <m/>
    <m/>
    <m/>
    <n v="0"/>
    <n v="0"/>
    <n v="18649.646633419292"/>
  </r>
  <r>
    <d v="2026-04-12T00:00:00"/>
    <x v="4"/>
    <s v="SUMAK"/>
    <m/>
    <x v="1"/>
    <s v="ST00000001918"/>
    <s v="SATIŞ"/>
    <s v="NAKİT"/>
    <n v="4.7E-2"/>
    <n v="500"/>
    <n v="0"/>
    <n v="0"/>
    <m/>
    <m/>
    <m/>
    <m/>
    <n v="23.5"/>
    <n v="0"/>
    <n v="18673.146633419292"/>
  </r>
  <r>
    <d v="2026-04-12T00:00:00"/>
    <x v="4"/>
    <s v="ÇİĞ KABAK ÇEKİRDEĞİ"/>
    <m/>
    <x v="1"/>
    <s v="ST00000001919"/>
    <s v="SATIŞ"/>
    <s v="NAKİT"/>
    <n v="0.27906976744186046"/>
    <n v="360"/>
    <n v="0"/>
    <n v="0"/>
    <m/>
    <m/>
    <m/>
    <m/>
    <n v="100.46511627906976"/>
    <n v="0"/>
    <n v="18773.611749698361"/>
  </r>
  <r>
    <d v="2026-04-12T00:00:00"/>
    <x v="4"/>
    <s v="KONTES HAMAM OTU - TÜY DÖKÜCÜ"/>
    <m/>
    <x v="1"/>
    <s v="ST00000001920"/>
    <s v="SATIŞ"/>
    <s v="NAKİT"/>
    <n v="2"/>
    <n v="15"/>
    <n v="0"/>
    <n v="0"/>
    <m/>
    <m/>
    <m/>
    <m/>
    <n v="30"/>
    <n v="0"/>
    <n v="18803.611749698361"/>
  </r>
  <r>
    <d v="2026-04-12T00:00:00"/>
    <x v="4"/>
    <s v="SALÇA TATLI (EV YAPIMI)"/>
    <m/>
    <x v="5"/>
    <s v="ST00000001921"/>
    <s v="SATIŞ"/>
    <s v="POS"/>
    <n v="1"/>
    <n v="200"/>
    <n v="200"/>
    <n v="0"/>
    <m/>
    <m/>
    <m/>
    <m/>
    <n v="0"/>
    <n v="0"/>
    <n v="18803.611749698361"/>
  </r>
  <r>
    <d v="2026-04-12T00:00:00"/>
    <x v="4"/>
    <s v="HİBİSKUS"/>
    <m/>
    <x v="1"/>
    <s v="ST00000001922"/>
    <s v="SATIŞ"/>
    <s v="NAKİT"/>
    <n v="0.24"/>
    <n v="600"/>
    <n v="0"/>
    <n v="0"/>
    <m/>
    <m/>
    <m/>
    <m/>
    <n v="144"/>
    <n v="0"/>
    <n v="18947.611749698361"/>
  </r>
  <r>
    <d v="2026-04-12T00:00:00"/>
    <x v="4"/>
    <s v="DEFNE YAPRAĞI"/>
    <m/>
    <x v="1"/>
    <s v="ST00000001922"/>
    <s v="SATIŞ"/>
    <s v="NAKİT"/>
    <n v="0.05"/>
    <n v="1400"/>
    <n v="0"/>
    <n v="0"/>
    <m/>
    <m/>
    <m/>
    <m/>
    <n v="70"/>
    <n v="0"/>
    <n v="19017.611749698361"/>
  </r>
  <r>
    <d v="2026-04-12T00:00:00"/>
    <x v="4"/>
    <s v="KAJUN BAHARATI - CAJUN SEASONING 1000 GR"/>
    <m/>
    <x v="1"/>
    <s v="ST00000001922"/>
    <s v="SATIŞ"/>
    <s v="NAKİT"/>
    <n v="0.1"/>
    <n v="700"/>
    <n v="0"/>
    <n v="0"/>
    <m/>
    <m/>
    <m/>
    <m/>
    <n v="70"/>
    <n v="0"/>
    <n v="19087.611749698361"/>
  </r>
  <r>
    <d v="2026-04-12T00:00:00"/>
    <x v="4"/>
    <s v="ÇUBUK TARÇIN"/>
    <m/>
    <x v="1"/>
    <s v="ST00000001922"/>
    <s v="SATIŞ"/>
    <s v="NAKİT"/>
    <n v="0.08"/>
    <n v="750"/>
    <n v="0"/>
    <n v="0"/>
    <m/>
    <m/>
    <m/>
    <m/>
    <n v="60"/>
    <n v="0"/>
    <n v="19147.611749698361"/>
  </r>
  <r>
    <d v="2026-04-12T00:00:00"/>
    <x v="4"/>
    <s v="LİMONTUZU PARCA"/>
    <m/>
    <x v="1"/>
    <s v="ST00000001922"/>
    <s v="SATIŞ"/>
    <s v="NAKİT"/>
    <n v="0.25"/>
    <n v="180"/>
    <n v="0"/>
    <n v="0"/>
    <m/>
    <m/>
    <m/>
    <m/>
    <n v="45"/>
    <n v="0"/>
    <n v="19192.611749698361"/>
  </r>
  <r>
    <d v="2026-04-12T00:00:00"/>
    <x v="4"/>
    <s v="DOLMALIK KURU PATLICAN"/>
    <m/>
    <x v="1"/>
    <s v="ST00000001922"/>
    <s v="SATIŞ"/>
    <s v="NAKİT"/>
    <n v="1"/>
    <n v="250"/>
    <n v="0"/>
    <n v="0"/>
    <m/>
    <m/>
    <m/>
    <m/>
    <n v="250"/>
    <n v="0"/>
    <n v="19442.611749698361"/>
  </r>
  <r>
    <d v="2026-04-12T00:00:00"/>
    <x v="4"/>
    <s v="DOLMALIK SARI BİBER"/>
    <m/>
    <x v="1"/>
    <s v="ST00000001922"/>
    <s v="SATIŞ"/>
    <s v="NAKİT"/>
    <n v="1"/>
    <n v="250"/>
    <n v="0"/>
    <n v="0"/>
    <m/>
    <m/>
    <m/>
    <m/>
    <n v="250"/>
    <n v="0"/>
    <n v="19692.611749698361"/>
  </r>
  <r>
    <d v="2026-04-12T00:00:00"/>
    <x v="4"/>
    <s v="SALÇA TATLI (EV YAPIMI)"/>
    <m/>
    <x v="5"/>
    <s v="ST00000001923"/>
    <s v="SATIŞ"/>
    <s v="POS"/>
    <n v="1"/>
    <n v="200"/>
    <n v="200"/>
    <n v="0"/>
    <m/>
    <m/>
    <m/>
    <m/>
    <n v="0"/>
    <n v="0"/>
    <n v="19692.611749698361"/>
  </r>
  <r>
    <d v="2026-04-12T00:00:00"/>
    <x v="4"/>
    <s v="KARIŞIK KURUYEMİŞ"/>
    <m/>
    <x v="5"/>
    <s v="ST00000001923"/>
    <s v="SATIŞ"/>
    <s v="POS"/>
    <n v="0.23599999999999999"/>
    <n v="850"/>
    <n v="200.6"/>
    <n v="0"/>
    <m/>
    <m/>
    <m/>
    <m/>
    <n v="0"/>
    <n v="0"/>
    <n v="19692.611749698361"/>
  </r>
  <r>
    <d v="2026-04-12T00:00:00"/>
    <x v="4"/>
    <s v="BADEM ÇİĞ "/>
    <m/>
    <x v="5"/>
    <s v="ST00000001923"/>
    <s v="SATIŞ"/>
    <s v="POS"/>
    <n v="0.23200000000000001"/>
    <n v="650"/>
    <n v="150.80000000000001"/>
    <n v="0"/>
    <m/>
    <m/>
    <m/>
    <m/>
    <n v="0"/>
    <n v="0"/>
    <n v="19692.611749698361"/>
  </r>
  <r>
    <d v="2026-04-12T00:00:00"/>
    <x v="1"/>
    <m/>
    <s v="AMBALAJ GİDERLERİ"/>
    <x v="1"/>
    <m/>
    <s v="PEMA AMBALAJ - ATLET POŞET"/>
    <s v="NAKİT"/>
    <n v="1"/>
    <n v="375"/>
    <n v="0"/>
    <n v="0"/>
    <m/>
    <m/>
    <m/>
    <m/>
    <n v="0"/>
    <n v="375"/>
    <n v="19317.611749698361"/>
  </r>
  <r>
    <d v="2026-04-12T00:00:00"/>
    <x v="10"/>
    <m/>
    <m/>
    <x v="5"/>
    <m/>
    <s v="POS ÇÖZÜMÜ"/>
    <s v="POS"/>
    <n v="1"/>
    <n v="392.3"/>
    <n v="0"/>
    <n v="392.3"/>
    <m/>
    <m/>
    <m/>
    <m/>
    <n v="392.3"/>
    <n v="0"/>
    <n v="19709.91174969836"/>
  </r>
  <r>
    <d v="2026-04-13T00:00:00"/>
    <x v="4"/>
    <s v="HİNDİSTAN CEVİZİ ( İRİ )"/>
    <m/>
    <x v="5"/>
    <s v="ST00000001924"/>
    <s v="SATIŞ"/>
    <s v="POS"/>
    <n v="0.1"/>
    <n v="600"/>
    <n v="60"/>
    <n v="0"/>
    <m/>
    <m/>
    <m/>
    <m/>
    <n v="0"/>
    <n v="0"/>
    <n v="19709.91174969836"/>
  </r>
  <r>
    <d v="2026-04-13T00:00:00"/>
    <x v="4"/>
    <s v="SUSAM"/>
    <m/>
    <x v="5"/>
    <s v="ST00000001924"/>
    <s v="SATIŞ"/>
    <s v="POS"/>
    <n v="0.1"/>
    <n v="400"/>
    <n v="40"/>
    <n v="0"/>
    <m/>
    <m/>
    <m/>
    <m/>
    <n v="0"/>
    <n v="0"/>
    <n v="19709.91174969836"/>
  </r>
  <r>
    <d v="2026-04-13T00:00:00"/>
    <x v="4"/>
    <s v="AYÇEKİRDEĞİ DAKOTA TUZLU EKSTRA"/>
    <m/>
    <x v="5"/>
    <s v="ST00000001924"/>
    <s v="SATIŞ"/>
    <s v="POS"/>
    <n v="0.2608695652173913"/>
    <n v="230"/>
    <n v="60"/>
    <n v="0"/>
    <m/>
    <m/>
    <m/>
    <m/>
    <n v="0"/>
    <n v="0"/>
    <n v="19709.91174969836"/>
  </r>
  <r>
    <d v="2026-04-13T00:00:00"/>
    <x v="4"/>
    <s v="DOLMALIK SARI BİBER"/>
    <m/>
    <x v="1"/>
    <s v="ST00000001925"/>
    <s v="SATIŞ"/>
    <s v="NAKİT"/>
    <n v="1"/>
    <n v="230"/>
    <n v="0"/>
    <n v="0"/>
    <m/>
    <m/>
    <m/>
    <m/>
    <n v="230"/>
    <n v="0"/>
    <n v="19939.91174969836"/>
  </r>
  <r>
    <d v="2026-04-13T00:00:00"/>
    <x v="4"/>
    <s v="GENÇAY VAZELİN 100 ML"/>
    <m/>
    <x v="1"/>
    <s v="ST00000001926"/>
    <s v="SATIŞ - MMT"/>
    <s v="NAKİT"/>
    <n v="1"/>
    <n v="45"/>
    <n v="0"/>
    <n v="0"/>
    <m/>
    <m/>
    <m/>
    <m/>
    <n v="45"/>
    <n v="0"/>
    <n v="19984.91174969836"/>
  </r>
  <r>
    <d v="2026-04-13T00:00:00"/>
    <x v="4"/>
    <s v="TATLI BADEM YAĞI 50 CC"/>
    <m/>
    <x v="1"/>
    <s v="ST00000001926"/>
    <s v="SATIŞ - MMT"/>
    <s v="NAKİT"/>
    <n v="1"/>
    <n v="65"/>
    <n v="0"/>
    <n v="0"/>
    <m/>
    <m/>
    <m/>
    <m/>
    <n v="65"/>
    <n v="0"/>
    <n v="20049.91174969836"/>
  </r>
  <r>
    <d v="2026-04-13T00:00:00"/>
    <x v="4"/>
    <s v="AÇIK KAYISI İRİ (SARI)"/>
    <m/>
    <x v="5"/>
    <s v="ST00000001927"/>
    <s v="SATIŞ"/>
    <s v="POS"/>
    <n v="0.5"/>
    <n v="650"/>
    <n v="325"/>
    <n v="0"/>
    <m/>
    <m/>
    <m/>
    <m/>
    <n v="0"/>
    <n v="0"/>
    <n v="20049.91174969836"/>
  </r>
  <r>
    <d v="2026-04-13T00:00:00"/>
    <x v="4"/>
    <s v="DERME GÜN KURUSU KAYISI JUMBO"/>
    <m/>
    <x v="5"/>
    <s v="ST00000001927"/>
    <s v="SATIŞ"/>
    <s v="POS"/>
    <n v="0.5"/>
    <n v="750"/>
    <n v="375"/>
    <n v="0"/>
    <m/>
    <m/>
    <m/>
    <m/>
    <n v="0"/>
    <n v="0"/>
    <n v="20049.91174969836"/>
  </r>
  <r>
    <d v="2026-04-13T00:00:00"/>
    <x v="4"/>
    <s v="SALÇA ACI (EV YAPIMI)"/>
    <m/>
    <x v="1"/>
    <s v="ST00000001928"/>
    <s v="SATIŞ - ROJBIN"/>
    <s v="NAKİT"/>
    <n v="3"/>
    <n v="200"/>
    <n v="0"/>
    <n v="0"/>
    <m/>
    <m/>
    <m/>
    <m/>
    <n v="600"/>
    <n v="0"/>
    <n v="20649.91174969836"/>
  </r>
  <r>
    <d v="2026-04-13T00:00:00"/>
    <x v="4"/>
    <s v="DOMATES SALÇASI"/>
    <m/>
    <x v="1"/>
    <s v="ST00000001928"/>
    <s v="SATIŞ - ROJBIN"/>
    <s v="NAKİT"/>
    <n v="2"/>
    <n v="150"/>
    <n v="0"/>
    <n v="0"/>
    <m/>
    <m/>
    <m/>
    <m/>
    <n v="300"/>
    <n v="0"/>
    <n v="20949.91174969836"/>
  </r>
  <r>
    <d v="2026-04-13T00:00:00"/>
    <x v="4"/>
    <s v="ÇÖREKOTU"/>
    <m/>
    <x v="1"/>
    <s v="ST00000001928"/>
    <s v="SATIŞ - ROJBIN"/>
    <s v="NAKİT"/>
    <n v="0.27500000000000002"/>
    <n v="400"/>
    <n v="0"/>
    <n v="0"/>
    <m/>
    <m/>
    <m/>
    <m/>
    <n v="110.00000000000001"/>
    <n v="0"/>
    <n v="21059.91174969836"/>
  </r>
  <r>
    <d v="2026-04-13T00:00:00"/>
    <x v="4"/>
    <s v="BAMYA TOHUMU"/>
    <m/>
    <x v="1"/>
    <s v="ST00000001928"/>
    <s v="SATIŞ - ROJBIN"/>
    <s v="NAKİT"/>
    <n v="0.1"/>
    <n v="900"/>
    <n v="0"/>
    <n v="0"/>
    <m/>
    <m/>
    <m/>
    <m/>
    <n v="90"/>
    <n v="0"/>
    <n v="21149.91174969836"/>
  </r>
  <r>
    <d v="2026-04-13T00:00:00"/>
    <x v="4"/>
    <s v="ÇÖREKOTU"/>
    <m/>
    <x v="5"/>
    <s v="ST00000001929"/>
    <s v="SATIŞ"/>
    <s v="POS"/>
    <n v="0.1"/>
    <n v="400"/>
    <n v="40"/>
    <n v="0"/>
    <m/>
    <m/>
    <m/>
    <m/>
    <n v="0"/>
    <n v="0"/>
    <n v="21149.91174969836"/>
  </r>
  <r>
    <d v="2026-04-13T00:00:00"/>
    <x v="4"/>
    <s v="BAMYA TOHUMU"/>
    <m/>
    <x v="5"/>
    <s v="ST00000001929"/>
    <s v="SATIŞ"/>
    <s v="POS"/>
    <n v="0.1"/>
    <n v="900"/>
    <n v="90"/>
    <n v="0"/>
    <m/>
    <m/>
    <m/>
    <m/>
    <n v="0"/>
    <n v="0"/>
    <n v="21149.91174969836"/>
  </r>
  <r>
    <d v="2026-04-13T00:00:00"/>
    <x v="4"/>
    <s v="SUSAM YAĞI 50 CC"/>
    <m/>
    <x v="5"/>
    <s v="ST00000001929"/>
    <s v="SATIŞ"/>
    <s v="POS"/>
    <n v="1"/>
    <n v="110"/>
    <n v="110"/>
    <n v="0"/>
    <m/>
    <m/>
    <m/>
    <m/>
    <n v="0"/>
    <n v="0"/>
    <n v="21149.91174969836"/>
  </r>
  <r>
    <d v="2026-04-13T00:00:00"/>
    <x v="4"/>
    <s v="KABAK ÇEKİRDEĞİ YAĞI 50 CC"/>
    <m/>
    <x v="5"/>
    <s v="ST00000001930"/>
    <s v="SATIŞ"/>
    <s v="POS"/>
    <n v="1"/>
    <n v="125"/>
    <n v="125"/>
    <n v="0"/>
    <m/>
    <m/>
    <m/>
    <m/>
    <n v="0"/>
    <n v="0"/>
    <n v="21149.91174969836"/>
  </r>
  <r>
    <d v="2026-04-13T00:00:00"/>
    <x v="4"/>
    <s v="IHLAMUR YAPRAK"/>
    <m/>
    <x v="5"/>
    <s v="ST00000001931"/>
    <s v="SATIŞ"/>
    <s v="POS"/>
    <n v="0.05"/>
    <n v="2600"/>
    <n v="130"/>
    <n v="0"/>
    <m/>
    <m/>
    <m/>
    <m/>
    <n v="0"/>
    <n v="0"/>
    <n v="21149.91174969836"/>
  </r>
  <r>
    <d v="2026-04-13T00:00:00"/>
    <x v="4"/>
    <s v="DOLMALIK KURU PATLICAN"/>
    <m/>
    <x v="5"/>
    <s v="ST00000001932"/>
    <s v="SATIŞ"/>
    <s v="POS"/>
    <n v="1"/>
    <n v="250"/>
    <n v="250"/>
    <n v="0"/>
    <m/>
    <m/>
    <m/>
    <m/>
    <n v="0"/>
    <n v="0"/>
    <n v="21149.91174969836"/>
  </r>
  <r>
    <d v="2026-04-13T00:00:00"/>
    <x v="4"/>
    <s v="DOLMALIK SARI BİBER"/>
    <m/>
    <x v="5"/>
    <s v="ST00000001932"/>
    <s v="SATIŞ"/>
    <s v="POS"/>
    <n v="1"/>
    <n v="250"/>
    <n v="250"/>
    <n v="0"/>
    <m/>
    <m/>
    <m/>
    <m/>
    <n v="0"/>
    <n v="0"/>
    <n v="21149.91174969836"/>
  </r>
  <r>
    <d v="2026-04-13T00:00:00"/>
    <x v="4"/>
    <s v="NAHİTA NAR EKŞİSİ 250 ML"/>
    <m/>
    <x v="5"/>
    <s v="ST00000001932"/>
    <s v="SATIŞ"/>
    <s v="POS"/>
    <n v="1"/>
    <n v="180"/>
    <n v="180"/>
    <n v="0"/>
    <m/>
    <m/>
    <m/>
    <m/>
    <n v="0"/>
    <n v="0"/>
    <n v="21149.91174969836"/>
  </r>
  <r>
    <d v="2026-04-13T00:00:00"/>
    <x v="4"/>
    <s v="KİMYON ÇEKİLMİŞ"/>
    <m/>
    <x v="5"/>
    <s v="ST00000001932"/>
    <s v="SATIŞ"/>
    <s v="POS"/>
    <n v="0.05"/>
    <n v="400"/>
    <n v="20"/>
    <n v="0"/>
    <m/>
    <m/>
    <m/>
    <m/>
    <n v="0"/>
    <n v="0"/>
    <n v="21149.91174969836"/>
  </r>
  <r>
    <d v="2026-04-13T00:00:00"/>
    <x v="4"/>
    <s v="KÖFTE BAHARATI (YEDİTÜRLÜ)"/>
    <m/>
    <x v="5"/>
    <s v="ST00000001932"/>
    <s v="SATIŞ"/>
    <s v="POS"/>
    <n v="0.1"/>
    <n v="500"/>
    <n v="50"/>
    <n v="0"/>
    <m/>
    <m/>
    <m/>
    <m/>
    <n v="0"/>
    <n v="0"/>
    <n v="21149.91174969836"/>
  </r>
  <r>
    <d v="2026-04-13T00:00:00"/>
    <x v="4"/>
    <s v="KARANFİL"/>
    <m/>
    <x v="5"/>
    <s v="ST00000001932"/>
    <s v="SATIŞ"/>
    <s v="POS"/>
    <n v="0.05"/>
    <n v="1200"/>
    <n v="60"/>
    <n v="0"/>
    <m/>
    <m/>
    <m/>
    <m/>
    <n v="0"/>
    <n v="0"/>
    <n v="21149.91174969836"/>
  </r>
  <r>
    <d v="2026-04-13T00:00:00"/>
    <x v="4"/>
    <s v="GENÇAY ELMA SİRKESİ 500 CC"/>
    <m/>
    <x v="1"/>
    <s v="ST00000001933"/>
    <s v="SATIŞ"/>
    <s v="NAKİT"/>
    <n v="1"/>
    <n v="140"/>
    <n v="0"/>
    <n v="0"/>
    <m/>
    <m/>
    <m/>
    <m/>
    <n v="140"/>
    <n v="0"/>
    <n v="21289.91174969836"/>
  </r>
  <r>
    <d v="2026-04-13T00:00:00"/>
    <x v="4"/>
    <s v="NANE İRİ"/>
    <m/>
    <x v="1"/>
    <s v="ST00000001933"/>
    <s v="SATIŞ"/>
    <s v="NAKİT"/>
    <n v="7.4999999999999997E-2"/>
    <n v="400"/>
    <n v="0"/>
    <n v="0"/>
    <m/>
    <m/>
    <m/>
    <m/>
    <n v="30"/>
    <n v="0"/>
    <n v="21319.91174969836"/>
  </r>
  <r>
    <d v="2026-04-13T00:00:00"/>
    <x v="4"/>
    <s v="LEBLEBİ ŞEKER RENKLİ"/>
    <m/>
    <x v="1"/>
    <s v="ST00000001934"/>
    <s v="SATIŞ - MMT"/>
    <s v="NAKİT"/>
    <n v="0.3"/>
    <n v="230"/>
    <n v="0"/>
    <n v="0"/>
    <m/>
    <m/>
    <m/>
    <m/>
    <n v="69"/>
    <n v="0"/>
    <n v="21388.91174969836"/>
  </r>
  <r>
    <d v="2026-04-13T00:00:00"/>
    <x v="4"/>
    <s v="SOSLU MISIR YERLİ"/>
    <m/>
    <x v="1"/>
    <s v="ST00000001934"/>
    <s v="SATIŞ - MMT"/>
    <s v="NAKİT"/>
    <n v="0.22727272727272727"/>
    <n v="220"/>
    <n v="0"/>
    <n v="0"/>
    <m/>
    <m/>
    <m/>
    <m/>
    <n v="50"/>
    <n v="0"/>
    <n v="21438.91174969836"/>
  </r>
  <r>
    <d v="2026-04-13T00:00:00"/>
    <x v="10"/>
    <m/>
    <m/>
    <x v="5"/>
    <m/>
    <s v="POS ÇÖZÜMÜ"/>
    <s v="POS"/>
    <n v="1"/>
    <n v="304"/>
    <n v="0"/>
    <n v="304"/>
    <m/>
    <m/>
    <m/>
    <m/>
    <n v="304"/>
    <n v="0"/>
    <n v="21742.91174969836"/>
  </r>
  <r>
    <d v="2026-04-14T00:00:00"/>
    <x v="4"/>
    <s v="KİŞNİŞ TANE"/>
    <m/>
    <x v="1"/>
    <s v="ST00000001935"/>
    <s v="SATIŞ"/>
    <s v="NAKİT"/>
    <n v="0.1"/>
    <n v="500"/>
    <n v="0"/>
    <n v="0"/>
    <m/>
    <m/>
    <m/>
    <m/>
    <n v="50"/>
    <n v="0"/>
    <n v="21792.91174969836"/>
  </r>
  <r>
    <d v="2026-04-14T00:00:00"/>
    <x v="4"/>
    <s v="KABUKLU CEVİZ (YERLİ)"/>
    <m/>
    <x v="5"/>
    <s v="ST00000001936"/>
    <s v="SATIŞ"/>
    <s v="POS"/>
    <n v="0.8"/>
    <n v="250"/>
    <n v="200"/>
    <n v="0"/>
    <m/>
    <m/>
    <m/>
    <m/>
    <n v="0"/>
    <n v="0"/>
    <n v="21792.91174969836"/>
  </r>
  <r>
    <d v="2026-04-14T00:00:00"/>
    <x v="4"/>
    <s v="ZAHTER"/>
    <m/>
    <x v="1"/>
    <s v="ST00000001937"/>
    <s v="SATIŞ"/>
    <s v="NAKİT"/>
    <n v="0.125"/>
    <n v="400"/>
    <n v="0"/>
    <n v="0"/>
    <m/>
    <m/>
    <m/>
    <m/>
    <n v="50"/>
    <n v="0"/>
    <n v="21842.91174969836"/>
  </r>
  <r>
    <d v="2026-04-14T00:00:00"/>
    <x v="4"/>
    <s v="İZMİR ÜZÜMÜ"/>
    <m/>
    <x v="5"/>
    <s v="ST00000001938"/>
    <s v="SATIŞ"/>
    <s v="POS"/>
    <n v="0.44"/>
    <n v="250"/>
    <n v="110"/>
    <n v="0"/>
    <m/>
    <m/>
    <m/>
    <m/>
    <n v="0"/>
    <n v="0"/>
    <n v="21842.91174969836"/>
  </r>
  <r>
    <d v="2026-04-14T00:00:00"/>
    <x v="4"/>
    <s v="AKİKSİR HİNDİSTAN CEVİZİ YAĞI 150 GR"/>
    <m/>
    <x v="1"/>
    <s v="ST00000001939"/>
    <s v="SATIŞ"/>
    <s v="NAKİT"/>
    <n v="1"/>
    <n v="190"/>
    <n v="0"/>
    <n v="0"/>
    <m/>
    <m/>
    <m/>
    <m/>
    <n v="190"/>
    <n v="0"/>
    <n v="22032.91174969836"/>
  </r>
  <r>
    <d v="2026-04-14T00:00:00"/>
    <x v="4"/>
    <s v="TATLI BADEM YAĞI 50 CC"/>
    <m/>
    <x v="1"/>
    <s v="ST00000001939"/>
    <s v="SATIŞ"/>
    <s v="NAKİT"/>
    <n v="1"/>
    <n v="125"/>
    <n v="0"/>
    <n v="0"/>
    <m/>
    <m/>
    <m/>
    <m/>
    <n v="125"/>
    <n v="0"/>
    <n v="22157.91174969836"/>
  </r>
  <r>
    <d v="2026-04-14T00:00:00"/>
    <x v="4"/>
    <s v="ŞİFAVER BITTIM HATAY SABUNU"/>
    <m/>
    <x v="1"/>
    <s v="ST00000001939"/>
    <s v="SATIŞ"/>
    <s v="NAKİT"/>
    <n v="1"/>
    <n v="50"/>
    <n v="0"/>
    <n v="0"/>
    <m/>
    <m/>
    <m/>
    <m/>
    <n v="50"/>
    <n v="0"/>
    <n v="22207.91174969836"/>
  </r>
  <r>
    <d v="2026-04-14T00:00:00"/>
    <x v="4"/>
    <s v="KARIŞIK KURUYEMİŞ"/>
    <m/>
    <x v="1"/>
    <s v="ST00000001940"/>
    <s v="SATIŞ"/>
    <s v="NAKİT"/>
    <n v="0.23529411764705882"/>
    <n v="850"/>
    <n v="0"/>
    <n v="0"/>
    <m/>
    <m/>
    <m/>
    <m/>
    <n v="200"/>
    <n v="0"/>
    <n v="22407.91174969836"/>
  </r>
  <r>
    <d v="2026-04-14T00:00:00"/>
    <x v="4"/>
    <s v="KINA RGS DÖKME"/>
    <m/>
    <x v="1"/>
    <s v="ST00000001940"/>
    <s v="SATIŞ"/>
    <s v="NAKİT"/>
    <n v="0.25"/>
    <n v="400"/>
    <n v="0"/>
    <n v="0"/>
    <m/>
    <m/>
    <m/>
    <m/>
    <n v="100"/>
    <n v="0"/>
    <n v="22507.91174969836"/>
  </r>
  <r>
    <d v="2026-04-14T00:00:00"/>
    <x v="4"/>
    <s v="HARMANA HİNDİBA KAHVESİ 150G 1 AYLIK 60 KULLANIM"/>
    <m/>
    <x v="1"/>
    <s v="ST00000001940"/>
    <s v="SATIŞ"/>
    <s v="NAKİT"/>
    <n v="1"/>
    <n v="350"/>
    <n v="0"/>
    <n v="0"/>
    <m/>
    <m/>
    <m/>
    <m/>
    <n v="350"/>
    <n v="0"/>
    <n v="22857.91174969836"/>
  </r>
  <r>
    <d v="2026-04-14T00:00:00"/>
    <x v="4"/>
    <s v="CHİA TOHUMU DÖKME"/>
    <m/>
    <x v="1"/>
    <s v="ST00000001940"/>
    <s v="SATIŞ"/>
    <s v="NAKİT"/>
    <n v="0.4107142857142857"/>
    <n v="280"/>
    <n v="0"/>
    <n v="0"/>
    <m/>
    <m/>
    <m/>
    <m/>
    <n v="115"/>
    <n v="0"/>
    <n v="22972.91174969836"/>
  </r>
  <r>
    <d v="2026-04-14T00:00:00"/>
    <x v="4"/>
    <s v="SEFAVİ HURMA"/>
    <m/>
    <x v="1"/>
    <s v="ST00000001940"/>
    <s v="SATIŞ"/>
    <s v="NAKİT"/>
    <n v="1"/>
    <n v="370"/>
    <n v="0"/>
    <n v="0"/>
    <m/>
    <m/>
    <m/>
    <m/>
    <n v="370"/>
    <n v="0"/>
    <n v="23342.91174969836"/>
  </r>
  <r>
    <d v="2026-04-14T00:00:00"/>
    <x v="4"/>
    <s v="TÜRK KAHVESİ"/>
    <m/>
    <x v="1"/>
    <s v="ST00000001940"/>
    <s v="SATIŞ"/>
    <s v="NAKİT"/>
    <n v="0.1"/>
    <n v="650"/>
    <n v="0"/>
    <n v="0"/>
    <m/>
    <m/>
    <m/>
    <m/>
    <n v="65"/>
    <n v="0"/>
    <n v="23407.91174969836"/>
  </r>
  <r>
    <d v="2026-04-14T00:00:00"/>
    <x v="4"/>
    <s v="SALÇA TATLI (EV YAPIMI)"/>
    <m/>
    <x v="5"/>
    <s v="ST00000001941"/>
    <s v="SATIŞ"/>
    <s v="POS"/>
    <n v="0.5"/>
    <n v="200"/>
    <n v="100"/>
    <n v="0"/>
    <m/>
    <m/>
    <m/>
    <m/>
    <n v="0"/>
    <n v="0"/>
    <n v="23407.91174969836"/>
  </r>
  <r>
    <d v="2026-04-14T00:00:00"/>
    <x v="4"/>
    <s v="DOLMALIK SARI BİBER"/>
    <m/>
    <x v="5"/>
    <s v="ST00000001941"/>
    <s v="SATIŞ"/>
    <s v="POS"/>
    <n v="1"/>
    <n v="250"/>
    <n v="250"/>
    <n v="0"/>
    <m/>
    <m/>
    <m/>
    <m/>
    <n v="0"/>
    <n v="0"/>
    <n v="23407.91174969836"/>
  </r>
  <r>
    <d v="2026-04-14T00:00:00"/>
    <x v="4"/>
    <s v="KÖFTELİK BULGUR"/>
    <m/>
    <x v="5"/>
    <s v="ST00000001941"/>
    <s v="SATIŞ"/>
    <s v="POS"/>
    <n v="0.58461538461538465"/>
    <n v="65"/>
    <n v="38"/>
    <n v="0"/>
    <m/>
    <m/>
    <m/>
    <m/>
    <n v="0"/>
    <n v="0"/>
    <n v="23407.91174969836"/>
  </r>
  <r>
    <d v="2026-04-14T00:00:00"/>
    <x v="4"/>
    <s v="DENİZ ÇİKOLATA KAPLAMALI PİŞMANİYE"/>
    <m/>
    <x v="1"/>
    <s v="ST00000001942"/>
    <s v="SATIŞ -MMT"/>
    <s v="NAKİT"/>
    <n v="1"/>
    <n v="60"/>
    <n v="0"/>
    <n v="0"/>
    <m/>
    <m/>
    <m/>
    <m/>
    <n v="60"/>
    <n v="0"/>
    <n v="23467.91174969836"/>
  </r>
  <r>
    <d v="2026-04-14T00:00:00"/>
    <x v="4"/>
    <s v="HİBİSKUS"/>
    <m/>
    <x v="1"/>
    <s v="ST00000001943"/>
    <s v="SATIŞ"/>
    <s v="NAKİT"/>
    <n v="0.1"/>
    <n v="600"/>
    <n v="0"/>
    <n v="0"/>
    <m/>
    <m/>
    <m/>
    <m/>
    <n v="60"/>
    <n v="0"/>
    <n v="23527.91174969836"/>
  </r>
  <r>
    <d v="2026-04-14T00:00:00"/>
    <x v="4"/>
    <s v="KUŞBURNU - KIRMIZI"/>
    <m/>
    <x v="1"/>
    <s v="ST00000001943"/>
    <s v="SATIŞ"/>
    <s v="NAKİT"/>
    <n v="0.25"/>
    <n v="360"/>
    <n v="0"/>
    <n v="0"/>
    <m/>
    <m/>
    <m/>
    <m/>
    <n v="90"/>
    <n v="0"/>
    <n v="23617.91174969836"/>
  </r>
  <r>
    <d v="2026-04-14T00:00:00"/>
    <x v="4"/>
    <s v="ZÜHRE ANA BROMELAİN ANANAS İÇEREN DETOX ŞURUBU 250 ML"/>
    <m/>
    <x v="1"/>
    <s v="ST00000001943"/>
    <s v="SATIŞ"/>
    <s v="NAKİT"/>
    <n v="1"/>
    <n v="250"/>
    <n v="0"/>
    <n v="0"/>
    <m/>
    <m/>
    <m/>
    <m/>
    <n v="250"/>
    <n v="0"/>
    <n v="23867.91174969836"/>
  </r>
  <r>
    <d v="2026-04-14T00:00:00"/>
    <x v="4"/>
    <s v="ÇUBUK TARÇIN"/>
    <m/>
    <x v="1"/>
    <s v="ST00000001943"/>
    <s v="SATIŞ"/>
    <s v="NAKİT"/>
    <n v="0.08"/>
    <n v="750"/>
    <n v="0"/>
    <n v="0"/>
    <m/>
    <m/>
    <m/>
    <m/>
    <n v="60"/>
    <n v="0"/>
    <n v="23927.91174969836"/>
  </r>
  <r>
    <d v="2026-04-14T00:00:00"/>
    <x v="4"/>
    <s v="KARANFİL"/>
    <m/>
    <x v="1"/>
    <s v="ST00000001943"/>
    <s v="SATIŞ"/>
    <s v="NAKİT"/>
    <n v="0.05"/>
    <n v="1200"/>
    <n v="0"/>
    <n v="0"/>
    <m/>
    <m/>
    <m/>
    <m/>
    <n v="60"/>
    <n v="0"/>
    <n v="23987.91174969836"/>
  </r>
  <r>
    <d v="2026-04-14T00:00:00"/>
    <x v="4"/>
    <s v="REZENE"/>
    <m/>
    <x v="1"/>
    <s v="ST00000001943"/>
    <s v="SATIŞ"/>
    <s v="NAKİT"/>
    <n v="0.05"/>
    <n v="900"/>
    <n v="0"/>
    <n v="0"/>
    <m/>
    <m/>
    <m/>
    <m/>
    <n v="45"/>
    <n v="0"/>
    <n v="24032.91174969836"/>
  </r>
  <r>
    <d v="2026-04-14T00:00:00"/>
    <x v="4"/>
    <s v="EL-RUHA ÇAY (AÇIK)"/>
    <m/>
    <x v="1"/>
    <s v="ST00000001943"/>
    <s v="SATIŞ"/>
    <s v="NAKİT"/>
    <n v="0.5"/>
    <n v="700"/>
    <n v="0"/>
    <n v="0"/>
    <m/>
    <m/>
    <m/>
    <m/>
    <n v="350"/>
    <n v="0"/>
    <n v="24382.91174969836"/>
  </r>
  <r>
    <d v="2026-04-14T00:00:00"/>
    <x v="4"/>
    <s v="ACVE SARI"/>
    <m/>
    <x v="1"/>
    <s v="ST00000001943"/>
    <s v="SATIŞ"/>
    <s v="NAKİT"/>
    <n v="0.25"/>
    <n v="340"/>
    <n v="0"/>
    <n v="0"/>
    <m/>
    <m/>
    <m/>
    <m/>
    <n v="85"/>
    <n v="0"/>
    <n v="24467.91174969836"/>
  </r>
  <r>
    <d v="2026-04-14T00:00:00"/>
    <x v="4"/>
    <s v="İPEK BİBER"/>
    <m/>
    <x v="1"/>
    <s v="ST00000001944"/>
    <s v="SATIŞ"/>
    <s v="NAKİT"/>
    <n v="0.2"/>
    <n v="500"/>
    <n v="0"/>
    <n v="0"/>
    <m/>
    <m/>
    <m/>
    <m/>
    <n v="100"/>
    <n v="0"/>
    <n v="24567.91174969836"/>
  </r>
  <r>
    <d v="2026-04-14T00:00:00"/>
    <x v="4"/>
    <s v="EL-RUHA ÇAY (AÇIK)"/>
    <m/>
    <x v="5"/>
    <s v="ST00000001945"/>
    <s v="SATIŞ"/>
    <s v="POS"/>
    <n v="1"/>
    <n v="650"/>
    <n v="650"/>
    <n v="0"/>
    <m/>
    <m/>
    <m/>
    <m/>
    <n v="0"/>
    <n v="0"/>
    <n v="24567.91174969836"/>
  </r>
  <r>
    <d v="2026-04-14T00:00:00"/>
    <x v="4"/>
    <s v="SALÇA TATLI (EV YAPIMI)"/>
    <m/>
    <x v="1"/>
    <s v="ST00000001946"/>
    <s v="SATIŞ"/>
    <s v="NAKİT"/>
    <n v="0.3"/>
    <n v="200"/>
    <n v="0"/>
    <n v="0"/>
    <m/>
    <m/>
    <m/>
    <m/>
    <n v="60"/>
    <n v="0"/>
    <n v="24627.91174969836"/>
  </r>
  <r>
    <d v="2026-04-14T00:00:00"/>
    <x v="4"/>
    <s v="İSOT"/>
    <m/>
    <x v="5"/>
    <s v="ST00000001947"/>
    <s v="SATIŞ"/>
    <s v="POS"/>
    <n v="0.16750000000000001"/>
    <n v="400"/>
    <n v="67"/>
    <n v="0"/>
    <m/>
    <m/>
    <m/>
    <m/>
    <n v="0"/>
    <n v="0"/>
    <n v="24627.91174969836"/>
  </r>
  <r>
    <d v="2026-04-15T00:00:00"/>
    <x v="4"/>
    <s v="ISIRGAN YAPRAĞI"/>
    <m/>
    <x v="1"/>
    <s v="ST00000001948"/>
    <s v="SATIŞ"/>
    <s v="NAKİT"/>
    <n v="0.05"/>
    <n v="1400"/>
    <n v="0"/>
    <n v="0"/>
    <m/>
    <m/>
    <m/>
    <m/>
    <n v="70"/>
    <n v="0"/>
    <n v="24697.91174969836"/>
  </r>
  <r>
    <d v="2026-04-15T00:00:00"/>
    <x v="4"/>
    <s v="IHLAMUR YAPRAK"/>
    <m/>
    <x v="1"/>
    <s v="ST00000001948"/>
    <s v="SATIŞ"/>
    <s v="NAKİT"/>
    <n v="0.05"/>
    <n v="2600"/>
    <n v="0"/>
    <n v="0"/>
    <m/>
    <m/>
    <m/>
    <m/>
    <n v="130"/>
    <n v="0"/>
    <n v="24827.91174969836"/>
  </r>
  <r>
    <d v="2026-04-15T00:00:00"/>
    <x v="4"/>
    <s v="KETEN TOHUMU"/>
    <m/>
    <x v="1"/>
    <s v="ST00000001949"/>
    <s v="SATIŞ"/>
    <s v="NAKİT"/>
    <n v="0.5"/>
    <n v="100"/>
    <n v="0"/>
    <n v="0"/>
    <m/>
    <m/>
    <m/>
    <m/>
    <n v="50"/>
    <n v="0"/>
    <n v="24877.91174969836"/>
  </r>
  <r>
    <d v="2026-04-15T00:00:00"/>
    <x v="4"/>
    <s v="ÖMRÜM VANİLYALI GOFRET 450 GR"/>
    <m/>
    <x v="1"/>
    <s v="ST00000001950"/>
    <s v="SATIŞ"/>
    <s v="NAKİT"/>
    <n v="1"/>
    <n v="90"/>
    <n v="0"/>
    <n v="0"/>
    <m/>
    <m/>
    <m/>
    <m/>
    <n v="90"/>
    <n v="0"/>
    <n v="24967.91174969836"/>
  </r>
  <r>
    <d v="2026-04-15T00:00:00"/>
    <x v="4"/>
    <s v="DOMATES SALÇASI"/>
    <m/>
    <x v="1"/>
    <s v="ST00000001950"/>
    <s v="SATIŞ"/>
    <s v="NAKİT"/>
    <n v="1"/>
    <n v="150"/>
    <n v="0"/>
    <n v="0"/>
    <m/>
    <m/>
    <m/>
    <m/>
    <n v="150"/>
    <n v="0"/>
    <n v="25117.91174969836"/>
  </r>
  <r>
    <d v="2026-04-15T00:00:00"/>
    <x v="4"/>
    <s v="HİBİSKUS"/>
    <m/>
    <x v="1"/>
    <s v="ST00000001951"/>
    <s v="SATIŞ"/>
    <s v="NAKİT"/>
    <n v="0.1"/>
    <n v="600"/>
    <n v="0"/>
    <n v="0"/>
    <m/>
    <m/>
    <m/>
    <m/>
    <n v="60"/>
    <n v="0"/>
    <n v="25177.91174969836"/>
  </r>
  <r>
    <d v="2026-04-15T00:00:00"/>
    <x v="4"/>
    <s v="KUŞBURNU - KIRMIZI"/>
    <m/>
    <x v="1"/>
    <s v="ST00000001951"/>
    <s v="SATIŞ"/>
    <s v="NAKİT"/>
    <n v="0.25"/>
    <n v="360"/>
    <n v="0"/>
    <n v="0"/>
    <m/>
    <m/>
    <m/>
    <m/>
    <n v="90"/>
    <n v="0"/>
    <n v="25267.91174969836"/>
  </r>
  <r>
    <d v="2026-04-15T00:00:00"/>
    <x v="4"/>
    <s v="TOMBUL KESE 500 GR SEBZELİ TARHANA"/>
    <m/>
    <x v="1"/>
    <s v="ST00000001952"/>
    <s v="SATIŞ"/>
    <s v="NAKİT"/>
    <n v="1"/>
    <n v="180"/>
    <n v="0"/>
    <n v="0"/>
    <m/>
    <m/>
    <m/>
    <m/>
    <n v="180"/>
    <n v="0"/>
    <n v="25447.91174969836"/>
  </r>
  <r>
    <d v="2026-04-15T00:00:00"/>
    <x v="4"/>
    <s v="YENİ MAHSÜL PAPATYA"/>
    <m/>
    <x v="1"/>
    <s v="ST00000001952"/>
    <s v="SATIŞ"/>
    <s v="NAKİT"/>
    <n v="0.05"/>
    <n v="1000"/>
    <n v="0"/>
    <n v="0"/>
    <m/>
    <m/>
    <m/>
    <m/>
    <n v="50"/>
    <n v="0"/>
    <n v="25497.91174969836"/>
  </r>
  <r>
    <d v="2026-04-15T00:00:00"/>
    <x v="4"/>
    <s v="LAHANA TURŞUSU 5 KG"/>
    <m/>
    <x v="1"/>
    <s v="ST00000001953"/>
    <s v="SATIŞ"/>
    <s v="NAKİT"/>
    <n v="1"/>
    <n v="300"/>
    <n v="0"/>
    <n v="0"/>
    <m/>
    <m/>
    <m/>
    <m/>
    <n v="300"/>
    <n v="0"/>
    <n v="25797.91174969836"/>
  </r>
  <r>
    <d v="2026-04-15T00:00:00"/>
    <x v="4"/>
    <s v="DOLMALIK KURU PATLICAN"/>
    <m/>
    <x v="1"/>
    <s v="ST00000001954"/>
    <s v="SATIŞ"/>
    <s v="NAKİT"/>
    <n v="1"/>
    <n v="250"/>
    <n v="0"/>
    <n v="0"/>
    <m/>
    <m/>
    <m/>
    <m/>
    <n v="250"/>
    <n v="0"/>
    <n v="26047.91174969836"/>
  </r>
  <r>
    <d v="2026-04-15T00:00:00"/>
    <x v="4"/>
    <s v="DOLMALIK KURU ACI BİBER"/>
    <m/>
    <x v="1"/>
    <s v="ST00000001954"/>
    <s v="SATIŞ"/>
    <s v="NAKİT"/>
    <n v="1"/>
    <n v="250"/>
    <n v="0"/>
    <n v="0"/>
    <m/>
    <m/>
    <m/>
    <m/>
    <n v="250"/>
    <n v="0"/>
    <n v="26297.91174969836"/>
  </r>
  <r>
    <d v="2026-04-15T00:00:00"/>
    <x v="4"/>
    <s v="TÜDAB TURŞU BİBER"/>
    <m/>
    <x v="1"/>
    <s v="ST00000001954"/>
    <s v="SATIŞ"/>
    <s v="NAKİT"/>
    <n v="1"/>
    <n v="350"/>
    <n v="0"/>
    <n v="0"/>
    <m/>
    <m/>
    <m/>
    <m/>
    <n v="350"/>
    <n v="0"/>
    <n v="26647.91174969836"/>
  </r>
  <r>
    <d v="2026-04-15T00:00:00"/>
    <x v="4"/>
    <s v="ORNATE KARINCA YUMURTASI 20 ML"/>
    <m/>
    <x v="1"/>
    <s v="ST00000001955"/>
    <s v="SATIŞ"/>
    <s v="NAKİT"/>
    <n v="1"/>
    <n v="140"/>
    <n v="0"/>
    <n v="0"/>
    <m/>
    <m/>
    <m/>
    <m/>
    <n v="140"/>
    <n v="0"/>
    <n v="26787.91174969836"/>
  </r>
  <r>
    <d v="2026-04-15T00:00:00"/>
    <x v="4"/>
    <s v="MECİTEFENDİ MASAJ KREMİ 175 ML"/>
    <m/>
    <x v="1"/>
    <s v="ST00000001956"/>
    <s v="SATIŞ"/>
    <s v="NAKİT"/>
    <n v="1"/>
    <n v="190"/>
    <n v="0"/>
    <n v="0"/>
    <m/>
    <m/>
    <m/>
    <m/>
    <n v="190"/>
    <n v="0"/>
    <n v="26977.91174969836"/>
  </r>
  <r>
    <d v="2026-04-15T00:00:00"/>
    <x v="4"/>
    <s v="TÜDAB ACUR TURŞUSU"/>
    <m/>
    <x v="5"/>
    <s v="ST00000001957"/>
    <s v="SATIŞ"/>
    <s v="POS"/>
    <n v="1"/>
    <n v="300"/>
    <n v="300"/>
    <n v="0"/>
    <m/>
    <m/>
    <m/>
    <m/>
    <n v="0"/>
    <n v="0"/>
    <n v="26977.91174969836"/>
  </r>
  <r>
    <d v="2026-04-15T00:00:00"/>
    <x v="4"/>
    <s v="KABUKLU CEVİZ (YERLİ)"/>
    <m/>
    <x v="5"/>
    <s v="ST00000001957"/>
    <s v="SATIŞ"/>
    <s v="POS"/>
    <n v="1"/>
    <n v="250"/>
    <n v="250"/>
    <n v="0"/>
    <m/>
    <m/>
    <m/>
    <m/>
    <n v="0"/>
    <n v="0"/>
    <n v="26977.91174969836"/>
  </r>
  <r>
    <d v="2026-04-15T00:00:00"/>
    <x v="4"/>
    <s v="CEVİZLİ SUCUK ATOM (ESMER)"/>
    <m/>
    <x v="5"/>
    <s v="ST00000001957"/>
    <s v="SATIŞ"/>
    <s v="POS"/>
    <n v="0.35882352941176471"/>
    <n v="335"/>
    <n v="120.20588235294117"/>
    <n v="0"/>
    <m/>
    <m/>
    <m/>
    <m/>
    <n v="0"/>
    <n v="0"/>
    <n v="26977.91174969836"/>
  </r>
  <r>
    <d v="2026-04-15T00:00:00"/>
    <x v="4"/>
    <s v="KINA RGS DÖKME"/>
    <m/>
    <x v="1"/>
    <s v="ST00000001958"/>
    <s v="SATIŞ"/>
    <s v="NAKİT"/>
    <n v="0.25"/>
    <n v="400"/>
    <n v="0"/>
    <n v="0"/>
    <m/>
    <m/>
    <m/>
    <m/>
    <n v="100"/>
    <n v="0"/>
    <n v="27077.91174969836"/>
  </r>
  <r>
    <d v="2026-04-15T00:00:00"/>
    <x v="4"/>
    <s v="SALÇA ACI (EV YAPIMI)"/>
    <m/>
    <x v="1"/>
    <s v="ST00000001958"/>
    <s v="SATIŞ"/>
    <s v="NAKİT"/>
    <n v="0.25"/>
    <n v="200"/>
    <n v="0"/>
    <n v="0"/>
    <m/>
    <m/>
    <m/>
    <m/>
    <n v="50"/>
    <n v="0"/>
    <n v="27127.91174969836"/>
  </r>
  <r>
    <d v="2026-04-15T00:00:00"/>
    <x v="4"/>
    <s v="SALÇA TATLI (EV YAPIMI)"/>
    <m/>
    <x v="1"/>
    <s v="ST00000001958"/>
    <s v="SATIŞ"/>
    <s v="NAKİT"/>
    <n v="0.25"/>
    <n v="200"/>
    <n v="0"/>
    <n v="0"/>
    <m/>
    <m/>
    <m/>
    <m/>
    <n v="50"/>
    <n v="0"/>
    <n v="27177.91174969836"/>
  </r>
  <r>
    <d v="2026-04-15T00:00:00"/>
    <x v="4"/>
    <s v="ÇOBAN ÇANTASI"/>
    <m/>
    <x v="5"/>
    <s v="ST00000001959"/>
    <s v="SATIŞ"/>
    <s v="POS"/>
    <n v="4.4999999999999998E-2"/>
    <n v="1111"/>
    <n v="49.994999999999997"/>
    <n v="0"/>
    <m/>
    <m/>
    <m/>
    <m/>
    <n v="0"/>
    <n v="0"/>
    <n v="27177.91174969836"/>
  </r>
  <r>
    <d v="2026-04-16T00:00:00"/>
    <x v="4"/>
    <s v="TOZ BİBER - TATLI"/>
    <m/>
    <x v="1"/>
    <s v="ST00000001960"/>
    <s v="SATIŞ"/>
    <s v="NAKİT"/>
    <n v="0.16"/>
    <n v="313"/>
    <n v="0"/>
    <n v="0"/>
    <m/>
    <m/>
    <m/>
    <m/>
    <n v="50.08"/>
    <n v="0"/>
    <n v="27227.991749698362"/>
  </r>
  <r>
    <d v="2026-04-16T00:00:00"/>
    <x v="4"/>
    <s v="KÖFTELİK BULGUR"/>
    <m/>
    <x v="1"/>
    <s v="ST00000001960"/>
    <s v="SATIŞ"/>
    <s v="NAKİT"/>
    <n v="2.02"/>
    <n v="49"/>
    <n v="0"/>
    <n v="0"/>
    <m/>
    <m/>
    <m/>
    <m/>
    <n v="98.98"/>
    <n v="0"/>
    <n v="27326.971749698361"/>
  </r>
  <r>
    <d v="2026-04-16T00:00:00"/>
    <x v="4"/>
    <s v="KABUKLU CEVİZ (YERLİ)"/>
    <m/>
    <x v="1"/>
    <s v="ST00000001961"/>
    <s v="SATIŞ"/>
    <s v="NAKİT"/>
    <n v="1"/>
    <n v="250"/>
    <n v="0"/>
    <n v="0"/>
    <m/>
    <m/>
    <m/>
    <m/>
    <n v="250"/>
    <n v="0"/>
    <n v="27576.971749698361"/>
  </r>
  <r>
    <d v="2026-04-16T00:00:00"/>
    <x v="4"/>
    <s v="KARANFİL"/>
    <m/>
    <x v="1"/>
    <s v="ST00000001961"/>
    <s v="SATIŞ"/>
    <s v="NAKİT"/>
    <n v="0.05"/>
    <n v="1000"/>
    <n v="0"/>
    <n v="0"/>
    <m/>
    <m/>
    <m/>
    <m/>
    <n v="50"/>
    <n v="0"/>
    <n v="27626.971749698361"/>
  </r>
  <r>
    <d v="2026-04-16T00:00:00"/>
    <x v="4"/>
    <s v="DURMUŞOĞULLARI KATI PEKMEZ TAHTA 700 GR"/>
    <m/>
    <x v="1"/>
    <s v="ST00000001962"/>
    <s v="SATIŞ"/>
    <s v="NAKİT"/>
    <n v="1"/>
    <n v="300"/>
    <n v="0"/>
    <n v="0"/>
    <m/>
    <m/>
    <m/>
    <m/>
    <n v="300"/>
    <n v="0"/>
    <n v="27926.971749698361"/>
  </r>
  <r>
    <d v="2026-04-16T00:00:00"/>
    <x v="4"/>
    <s v="SOSLU MISIR YERLİ"/>
    <m/>
    <x v="1"/>
    <s v="ST00000001962"/>
    <s v="SATIŞ"/>
    <s v="NAKİT"/>
    <n v="0.22800000000000001"/>
    <n v="220"/>
    <n v="0"/>
    <n v="0"/>
    <m/>
    <m/>
    <m/>
    <m/>
    <n v="50.160000000000004"/>
    <n v="0"/>
    <n v="27977.131749698361"/>
  </r>
  <r>
    <d v="2026-04-16T00:00:00"/>
    <x v="4"/>
    <s v="DOLMALIK KURU PATLICAN"/>
    <m/>
    <x v="1"/>
    <s v="ST00000001963"/>
    <s v="SATIŞ"/>
    <s v="NAKİT"/>
    <n v="1"/>
    <n v="250"/>
    <n v="0"/>
    <n v="0"/>
    <m/>
    <m/>
    <m/>
    <m/>
    <n v="250"/>
    <n v="0"/>
    <n v="28227.131749698361"/>
  </r>
  <r>
    <d v="2026-04-16T00:00:00"/>
    <x v="4"/>
    <s v="EVLİK BİBER"/>
    <m/>
    <x v="1"/>
    <s v="ST00000001964"/>
    <s v="SATIŞ"/>
    <s v="NAKİT"/>
    <n v="0.125"/>
    <n v="400"/>
    <n v="0"/>
    <n v="0"/>
    <m/>
    <m/>
    <m/>
    <m/>
    <n v="50"/>
    <n v="0"/>
    <n v="28277.131749698361"/>
  </r>
  <r>
    <d v="2026-04-16T00:00:00"/>
    <x v="4"/>
    <s v="ÇUBUK TARÇIN"/>
    <m/>
    <x v="1"/>
    <s v="ST00000001965"/>
    <s v="SATIŞ"/>
    <s v="NAKİT"/>
    <n v="0.08"/>
    <n v="750"/>
    <n v="0"/>
    <n v="0"/>
    <m/>
    <m/>
    <m/>
    <m/>
    <n v="60"/>
    <n v="0"/>
    <n v="28337.131749698361"/>
  </r>
  <r>
    <d v="2026-04-16T00:00:00"/>
    <x v="4"/>
    <s v="ÇÖREKOTU YAĞI 50 CC"/>
    <m/>
    <x v="1"/>
    <s v="ST00000001966"/>
    <s v="SATIŞ"/>
    <s v="NAKİT"/>
    <n v="1"/>
    <n v="170"/>
    <n v="0"/>
    <n v="0"/>
    <m/>
    <m/>
    <m/>
    <m/>
    <n v="170"/>
    <n v="0"/>
    <n v="28507.131749698361"/>
  </r>
  <r>
    <d v="2026-04-16T00:00:00"/>
    <x v="4"/>
    <s v="FİTOZEN İNGİLİZ TUZU 200 GR"/>
    <m/>
    <x v="1"/>
    <s v="ST00000001966"/>
    <s v="SATIŞ"/>
    <s v="NAKİT"/>
    <n v="1"/>
    <n v="80"/>
    <n v="0"/>
    <n v="0"/>
    <m/>
    <m/>
    <m/>
    <m/>
    <n v="80"/>
    <n v="0"/>
    <n v="28587.131749698361"/>
  </r>
  <r>
    <d v="2026-04-16T00:00:00"/>
    <x v="4"/>
    <s v="ÇOBAN ÇÖKERTEN"/>
    <m/>
    <x v="1"/>
    <s v="ST00000001966"/>
    <s v="SATIŞ"/>
    <s v="NAKİT"/>
    <n v="0.1"/>
    <n v="600"/>
    <n v="0"/>
    <n v="0"/>
    <m/>
    <m/>
    <m/>
    <m/>
    <n v="60"/>
    <n v="0"/>
    <n v="28647.131749698361"/>
  </r>
  <r>
    <d v="2026-04-16T00:00:00"/>
    <x v="4"/>
    <s v="İĞDE ÇEKİRDEĞİ TOZU"/>
    <m/>
    <x v="1"/>
    <s v="ST00000001966"/>
    <s v="SATIŞ"/>
    <s v="NAKİT"/>
    <n v="0.125"/>
    <n v="320"/>
    <n v="0"/>
    <n v="0"/>
    <m/>
    <m/>
    <m/>
    <m/>
    <n v="40"/>
    <n v="0"/>
    <n v="28687.131749698361"/>
  </r>
  <r>
    <d v="2026-04-16T00:00:00"/>
    <x v="4"/>
    <s v="ÜZÜM SİYAH KİLİS"/>
    <m/>
    <x v="5"/>
    <s v="ST00000001967"/>
    <s v="SATIŞ"/>
    <s v="POS"/>
    <n v="0.5"/>
    <n v="650"/>
    <n v="325"/>
    <n v="0"/>
    <m/>
    <m/>
    <m/>
    <m/>
    <n v="0"/>
    <n v="0"/>
    <n v="28687.131749698361"/>
  </r>
  <r>
    <d v="2026-04-16T00:00:00"/>
    <x v="4"/>
    <s v="KARANFİL"/>
    <m/>
    <x v="1"/>
    <s v="ST00000001968"/>
    <s v="SATIŞ"/>
    <s v="NAKİT"/>
    <n v="0.05"/>
    <n v="1000"/>
    <n v="0"/>
    <n v="0"/>
    <m/>
    <m/>
    <m/>
    <m/>
    <n v="50"/>
    <n v="0"/>
    <n v="28737.131749698361"/>
  </r>
  <r>
    <d v="2026-04-16T00:00:00"/>
    <x v="4"/>
    <s v="DOMATES SALÇASI"/>
    <m/>
    <x v="5"/>
    <s v="ST00000001969"/>
    <s v="SATIŞ"/>
    <s v="POS"/>
    <n v="1"/>
    <n v="150"/>
    <n v="150"/>
    <n v="0"/>
    <m/>
    <m/>
    <m/>
    <m/>
    <n v="0"/>
    <n v="0"/>
    <n v="28737.131749698361"/>
  </r>
  <r>
    <d v="2026-04-16T00:00:00"/>
    <x v="4"/>
    <s v="SALÇA TATLI (EV YAPIMI)"/>
    <m/>
    <x v="5"/>
    <s v="ST00000001969"/>
    <s v="SATIŞ"/>
    <s v="POS"/>
    <n v="1"/>
    <n v="200"/>
    <n v="200"/>
    <n v="0"/>
    <m/>
    <m/>
    <m/>
    <m/>
    <n v="0"/>
    <n v="0"/>
    <n v="28737.131749698361"/>
  </r>
  <r>
    <d v="2026-04-16T00:00:00"/>
    <x v="4"/>
    <s v="BİZİM YAPRAK 1 LİK"/>
    <m/>
    <x v="5"/>
    <s v="ST00000001970"/>
    <s v="SATIŞ"/>
    <s v="POS"/>
    <n v="1"/>
    <n v="350"/>
    <n v="350"/>
    <n v="0"/>
    <m/>
    <m/>
    <m/>
    <m/>
    <n v="0"/>
    <n v="0"/>
    <n v="28737.131749698361"/>
  </r>
  <r>
    <d v="2026-04-16T00:00:00"/>
    <x v="4"/>
    <s v="İPEK BİBER"/>
    <m/>
    <x v="5"/>
    <s v="ST00000001970"/>
    <s v="SATIŞ"/>
    <s v="POS"/>
    <n v="0.17199999999999999"/>
    <n v="500"/>
    <n v="86"/>
    <n v="0"/>
    <m/>
    <m/>
    <m/>
    <m/>
    <n v="0"/>
    <n v="0"/>
    <n v="28737.131749698361"/>
  </r>
  <r>
    <d v="2026-04-16T00:00:00"/>
    <x v="4"/>
    <s v="DOLMALIK KURU PATLICAN"/>
    <m/>
    <x v="5"/>
    <s v="ST00000001970"/>
    <s v="SATIŞ"/>
    <s v="POS"/>
    <n v="1"/>
    <n v="250"/>
    <n v="250"/>
    <n v="0"/>
    <m/>
    <m/>
    <m/>
    <m/>
    <n v="0"/>
    <n v="0"/>
    <n v="28737.131749698361"/>
  </r>
  <r>
    <d v="2026-04-16T00:00:00"/>
    <x v="4"/>
    <s v="DOLMALIK KURU ACI BİBER"/>
    <m/>
    <x v="5"/>
    <s v="ST00000001970"/>
    <s v="SATIŞ"/>
    <s v="POS"/>
    <n v="1"/>
    <n v="250"/>
    <n v="250"/>
    <n v="0"/>
    <m/>
    <m/>
    <m/>
    <m/>
    <n v="0"/>
    <n v="0"/>
    <n v="28737.131749698361"/>
  </r>
  <r>
    <d v="2026-04-16T00:00:00"/>
    <x v="4"/>
    <s v="CEVİZLİ SUCUK ATOM (ESMER)"/>
    <m/>
    <x v="5"/>
    <s v="ST00000001970"/>
    <s v="SATIŞ"/>
    <s v="POS"/>
    <n v="0.378"/>
    <n v="340"/>
    <n v="128.52000000000001"/>
    <n v="0"/>
    <m/>
    <m/>
    <m/>
    <m/>
    <n v="0"/>
    <n v="0"/>
    <n v="28737.131749698361"/>
  </r>
  <r>
    <d v="2026-04-16T00:00:00"/>
    <x v="4"/>
    <s v="LEBLEBİ SARI ÖZEL LÜX ÇITIR"/>
    <m/>
    <x v="5"/>
    <s v="ST00000001970"/>
    <s v="SATIŞ"/>
    <s v="POS"/>
    <n v="0.5"/>
    <n v="200"/>
    <n v="100"/>
    <n v="0"/>
    <m/>
    <m/>
    <m/>
    <m/>
    <n v="0"/>
    <n v="0"/>
    <n v="28737.131749698361"/>
  </r>
  <r>
    <d v="2026-04-16T00:00:00"/>
    <x v="4"/>
    <s v="MEBRUM HURMA 2 (5'LİK)"/>
    <m/>
    <x v="5"/>
    <s v="ST00000001970"/>
    <s v="SATIŞ"/>
    <s v="POS"/>
    <n v="0.38600000000000001"/>
    <n v="420"/>
    <n v="162.12"/>
    <n v="0"/>
    <m/>
    <m/>
    <m/>
    <m/>
    <n v="0"/>
    <n v="0"/>
    <n v="28737.131749698361"/>
  </r>
  <r>
    <d v="2026-04-16T00:00:00"/>
    <x v="4"/>
    <s v="WARITEX ÇİFT TARAFLI KABAK LİFİ"/>
    <m/>
    <x v="5"/>
    <s v="ST00000001970"/>
    <s v="SATIŞ"/>
    <s v="POS"/>
    <n v="1"/>
    <n v="120"/>
    <n v="120"/>
    <n v="0"/>
    <m/>
    <m/>
    <m/>
    <m/>
    <n v="0"/>
    <n v="0"/>
    <n v="28737.131749698361"/>
  </r>
  <r>
    <d v="2026-04-16T00:00:00"/>
    <x v="4"/>
    <s v="HAM KABAK LİFİ İŞLENMEMİŞ"/>
    <m/>
    <x v="5"/>
    <s v="ST00000001971"/>
    <s v="SATIŞ"/>
    <s v="POS"/>
    <n v="1"/>
    <n v="180"/>
    <n v="180"/>
    <n v="0"/>
    <m/>
    <m/>
    <m/>
    <m/>
    <n v="0"/>
    <n v="0"/>
    <n v="28737.131749698361"/>
  </r>
  <r>
    <d v="2026-04-16T00:00:00"/>
    <x v="4"/>
    <s v="KEKİK LÜX"/>
    <m/>
    <x v="5"/>
    <s v="ST00000001971"/>
    <s v="SATIŞ"/>
    <s v="POS"/>
    <n v="0.11764705882352941"/>
    <n v="850"/>
    <n v="100"/>
    <n v="0"/>
    <m/>
    <m/>
    <m/>
    <m/>
    <n v="0"/>
    <n v="0"/>
    <n v="28737.131749698361"/>
  </r>
  <r>
    <d v="2026-04-16T00:00:00"/>
    <x v="4"/>
    <s v="REZENE"/>
    <m/>
    <x v="1"/>
    <s v="ST00000001972"/>
    <s v="SATIŞ"/>
    <s v="NAKİT"/>
    <n v="0.05"/>
    <n v="900"/>
    <n v="0"/>
    <n v="0"/>
    <m/>
    <m/>
    <m/>
    <m/>
    <n v="45"/>
    <n v="0"/>
    <n v="28782.131749698361"/>
  </r>
  <r>
    <d v="2026-04-16T00:00:00"/>
    <x v="4"/>
    <s v="KINA RGS DÖKME"/>
    <m/>
    <x v="1"/>
    <s v="ST00000001973"/>
    <s v="SATIŞ"/>
    <s v="NAKİT"/>
    <n v="1"/>
    <n v="400"/>
    <n v="0"/>
    <n v="0"/>
    <m/>
    <m/>
    <m/>
    <m/>
    <n v="400"/>
    <n v="0"/>
    <n v="29182.131749698361"/>
  </r>
  <r>
    <d v="2026-04-16T00:00:00"/>
    <x v="4"/>
    <s v="DERME GÜN KURUSU KAYISI JUMBO"/>
    <m/>
    <x v="1"/>
    <s v="ST00000001974"/>
    <s v="SATIŞ"/>
    <s v="NAKİT"/>
    <n v="1"/>
    <n v="750"/>
    <n v="0"/>
    <n v="0"/>
    <m/>
    <m/>
    <m/>
    <m/>
    <n v="750"/>
    <n v="0"/>
    <n v="29932.131749698361"/>
  </r>
  <r>
    <d v="2026-04-16T00:00:00"/>
    <x v="4"/>
    <s v="PİLAVLIK BULGUR"/>
    <m/>
    <x v="1"/>
    <s v="ST00000001974"/>
    <s v="SATIŞ"/>
    <s v="NAKİT"/>
    <n v="3.1539999999999999"/>
    <n v="65"/>
    <n v="0"/>
    <n v="0"/>
    <m/>
    <m/>
    <m/>
    <m/>
    <n v="205.01"/>
    <n v="0"/>
    <n v="30137.141749698359"/>
  </r>
  <r>
    <d v="2026-04-16T00:00:00"/>
    <x v="4"/>
    <s v="DEMKAR TURUNCU PAKET ANTEP FISTIĞI"/>
    <m/>
    <x v="1"/>
    <s v="ST00000001974"/>
    <s v="SATIŞ"/>
    <s v="NAKİT"/>
    <n v="0.1"/>
    <n v="1250"/>
    <n v="0"/>
    <n v="0"/>
    <m/>
    <m/>
    <m/>
    <m/>
    <n v="125"/>
    <n v="0"/>
    <n v="30262.141749698359"/>
  </r>
  <r>
    <d v="2026-04-16T00:00:00"/>
    <x v="4"/>
    <s v="LEBLEBİ ÇİFTE SARI"/>
    <m/>
    <x v="1"/>
    <s v="ST00000001974"/>
    <s v="SATIŞ"/>
    <s v="NAKİT"/>
    <n v="0.20833333333333334"/>
    <n v="240"/>
    <n v="0"/>
    <n v="0"/>
    <m/>
    <m/>
    <m/>
    <m/>
    <n v="50"/>
    <n v="0"/>
    <n v="30312.141749698359"/>
  </r>
  <r>
    <d v="2026-04-16T00:00:00"/>
    <x v="4"/>
    <s v="LEBLEBİ SARI ÖZEL LÜX ÇITIR"/>
    <m/>
    <x v="1"/>
    <s v="ST00000001974"/>
    <s v="SATIŞ"/>
    <s v="NAKİT"/>
    <n v="0.5"/>
    <n v="200"/>
    <n v="0"/>
    <n v="0"/>
    <m/>
    <m/>
    <m/>
    <m/>
    <n v="100"/>
    <n v="0"/>
    <n v="30412.141749698359"/>
  </r>
  <r>
    <d v="2026-04-16T00:00:00"/>
    <x v="4"/>
    <s v="KAJU 240 LIK EKSTRA"/>
    <m/>
    <x v="1"/>
    <s v="ST00000001974"/>
    <s v="SATIŞ"/>
    <s v="NAKİT"/>
    <n v="0.15384615384615385"/>
    <n v="650"/>
    <n v="0"/>
    <n v="0"/>
    <m/>
    <m/>
    <m/>
    <m/>
    <n v="100"/>
    <n v="0"/>
    <n v="30512.141749698359"/>
  </r>
  <r>
    <d v="2026-04-16T00:00:00"/>
    <x v="4"/>
    <s v="İRİ BEYAZ KABAK ÇEKİRDEĞİ - NEVŞEHİR"/>
    <m/>
    <x v="1"/>
    <s v="ST00000001974"/>
    <s v="SATIŞ"/>
    <s v="NAKİT"/>
    <n v="0.51162790697674421"/>
    <n v="430"/>
    <n v="0"/>
    <n v="0"/>
    <m/>
    <m/>
    <m/>
    <m/>
    <n v="220"/>
    <n v="0"/>
    <n v="30732.141749698359"/>
  </r>
  <r>
    <d v="2026-04-16T00:00:00"/>
    <x v="4"/>
    <s v="GÜNAYDIN KAYA TUZU İRİ"/>
    <m/>
    <x v="1"/>
    <s v="ST00000001974"/>
    <s v="SATIŞ"/>
    <s v="NAKİT"/>
    <n v="1"/>
    <n v="80"/>
    <n v="0"/>
    <n v="0"/>
    <m/>
    <m/>
    <m/>
    <m/>
    <n v="80"/>
    <n v="0"/>
    <n v="30812.141749698359"/>
  </r>
  <r>
    <d v="2026-04-16T00:00:00"/>
    <x v="4"/>
    <s v="TÜDAB KEÇİ BOYNUZU (DÖKME)"/>
    <m/>
    <x v="1"/>
    <s v="ST00000001975"/>
    <s v="SATIŞ"/>
    <s v="NAKİT"/>
    <n v="0.312"/>
    <n v="350"/>
    <n v="0"/>
    <n v="0"/>
    <m/>
    <m/>
    <m/>
    <m/>
    <n v="109.2"/>
    <n v="0"/>
    <n v="30921.34174969836"/>
  </r>
  <r>
    <d v="2026-04-16T00:00:00"/>
    <x v="4"/>
    <s v="KABUKLU CEVİZ (YERLİ)"/>
    <m/>
    <x v="1"/>
    <s v="ST00000001975"/>
    <s v="SATIŞ"/>
    <s v="NAKİT"/>
    <n v="0.52800000000000002"/>
    <n v="250"/>
    <n v="0"/>
    <n v="0"/>
    <m/>
    <m/>
    <m/>
    <m/>
    <n v="132"/>
    <n v="0"/>
    <n v="31053.34174969836"/>
  </r>
  <r>
    <d v="2026-04-16T00:00:00"/>
    <x v="3"/>
    <s v="HARMANA HİNDİBA KAHVESİ 150G 1 AYLIK 60 KULLANIM"/>
    <m/>
    <x v="2"/>
    <m/>
    <s v="TR"/>
    <s v="K.K."/>
    <n v="2"/>
    <n v="249.5"/>
    <n v="0"/>
    <n v="499"/>
    <m/>
    <m/>
    <m/>
    <m/>
    <n v="0"/>
    <n v="0"/>
    <n v="31053.34174969836"/>
  </r>
  <r>
    <d v="2026-04-16T00:00:00"/>
    <x v="3"/>
    <s v="HARMANA BEFORM - HİNDİBA SİRKESİ 250 ML"/>
    <m/>
    <x v="2"/>
    <m/>
    <s v="TR"/>
    <s v="K.K."/>
    <n v="1"/>
    <n v="1"/>
    <n v="0"/>
    <n v="1"/>
    <m/>
    <m/>
    <m/>
    <m/>
    <n v="0"/>
    <n v="0"/>
    <n v="31053.34174969836"/>
  </r>
  <r>
    <d v="2026-04-16T00:00:00"/>
    <x v="3"/>
    <s v="HARMANA HİNDİBA KAHVESİ 150G 1 AYLIK 60 KULLANIM"/>
    <m/>
    <x v="2"/>
    <m/>
    <s v="TR"/>
    <s v="K.K."/>
    <n v="2"/>
    <n v="249.5"/>
    <n v="0"/>
    <n v="499"/>
    <m/>
    <m/>
    <m/>
    <m/>
    <n v="0"/>
    <n v="0"/>
    <n v="31053.34174969836"/>
  </r>
  <r>
    <d v="2026-04-16T00:00:00"/>
    <x v="3"/>
    <s v="HARMANA BEFORM - HİNDİBA SİRKESİ 250 ML"/>
    <m/>
    <x v="2"/>
    <m/>
    <s v="TR"/>
    <s v="K.K."/>
    <n v="1"/>
    <n v="1"/>
    <n v="0"/>
    <n v="1"/>
    <m/>
    <m/>
    <m/>
    <m/>
    <n v="0"/>
    <n v="0"/>
    <n v="31053.34174969836"/>
  </r>
  <r>
    <d v="2026-04-16T00:00:00"/>
    <x v="10"/>
    <m/>
    <m/>
    <x v="5"/>
    <m/>
    <s v="POS ÇÖZÜMÜ"/>
    <s v="POS"/>
    <n v="1"/>
    <n v="980"/>
    <n v="0"/>
    <n v="980"/>
    <m/>
    <m/>
    <m/>
    <m/>
    <n v="980"/>
    <n v="0"/>
    <n v="32033.34174969836"/>
  </r>
  <r>
    <d v="2026-04-17T00:00:00"/>
    <x v="4"/>
    <s v="EVLİK BİBER"/>
    <m/>
    <x v="5"/>
    <s v="ST00000001976"/>
    <s v="SATIŞ - TOPTAN - DÜKKANA ABLA"/>
    <s v="POS"/>
    <n v="1.548"/>
    <n v="250"/>
    <n v="387"/>
    <n v="0"/>
    <m/>
    <m/>
    <m/>
    <m/>
    <n v="0"/>
    <n v="0"/>
    <n v="32033.34174969836"/>
  </r>
  <r>
    <d v="2026-04-17T00:00:00"/>
    <x v="4"/>
    <s v="TOZ BİBER - TATLI"/>
    <m/>
    <x v="5"/>
    <s v="ST00000001976"/>
    <s v="SATIŞ - TOPTAN - DÜKKANA ABLA"/>
    <s v="POS"/>
    <n v="0.50600000000000001"/>
    <n v="250"/>
    <n v="126.5"/>
    <n v="0"/>
    <m/>
    <m/>
    <m/>
    <m/>
    <n v="0"/>
    <n v="0"/>
    <n v="32033.34174969836"/>
  </r>
  <r>
    <d v="2026-04-17T00:00:00"/>
    <x v="4"/>
    <s v="DAMLA ÇİKOLATA"/>
    <m/>
    <x v="5"/>
    <s v="ST00000001976"/>
    <s v="SATIŞ - TOPTAN - DÜKKANA ABLA"/>
    <s v="POS"/>
    <n v="0.1"/>
    <n v="500"/>
    <n v="50"/>
    <n v="0"/>
    <m/>
    <m/>
    <m/>
    <m/>
    <n v="0"/>
    <n v="0"/>
    <n v="32033.34174969836"/>
  </r>
  <r>
    <d v="2026-04-17T00:00:00"/>
    <x v="4"/>
    <s v="ZÜHRE ANA IŞGIN SİRKESİ 500 ML"/>
    <m/>
    <x v="1"/>
    <s v="ST00000001977"/>
    <s v="SATIŞ"/>
    <s v="NAKİT"/>
    <n v="1"/>
    <n v="220"/>
    <n v="0"/>
    <n v="0"/>
    <m/>
    <m/>
    <m/>
    <m/>
    <n v="220"/>
    <n v="0"/>
    <n v="32253.34174969836"/>
  </r>
  <r>
    <d v="2026-04-17T00:00:00"/>
    <x v="4"/>
    <s v="SALÇA TATLI (EV YAPIMI)"/>
    <m/>
    <x v="1"/>
    <s v="ST00000001978"/>
    <s v="SATIŞ"/>
    <s v="NAKİT"/>
    <n v="1"/>
    <n v="200"/>
    <n v="0"/>
    <n v="0"/>
    <m/>
    <m/>
    <m/>
    <m/>
    <n v="200"/>
    <n v="0"/>
    <n v="32453.34174969836"/>
  </r>
  <r>
    <d v="2026-04-17T00:00:00"/>
    <x v="4"/>
    <s v="DUT KURUSU ESMER"/>
    <m/>
    <x v="5"/>
    <s v="ST00000001979"/>
    <s v="SATIŞ"/>
    <s v="POS"/>
    <n v="0.35"/>
    <n v="500"/>
    <n v="175"/>
    <n v="0"/>
    <m/>
    <m/>
    <m/>
    <m/>
    <n v="0"/>
    <n v="0"/>
    <n v="32453.34174969836"/>
  </r>
  <r>
    <d v="2026-04-17T00:00:00"/>
    <x v="4"/>
    <s v="BİZİM YAPRAK 1 LİK"/>
    <m/>
    <x v="5"/>
    <s v="ST00000001980"/>
    <s v="SATIŞ"/>
    <s v="POS"/>
    <n v="0.46666666666666667"/>
    <n v="375"/>
    <n v="175"/>
    <n v="0"/>
    <m/>
    <m/>
    <m/>
    <m/>
    <n v="0"/>
    <n v="0"/>
    <n v="32453.34174969836"/>
  </r>
  <r>
    <d v="2026-04-17T00:00:00"/>
    <x v="4"/>
    <s v="DOLMALIK KURU PATLICAN"/>
    <m/>
    <x v="5"/>
    <s v="ST00000001980"/>
    <s v="SATIŞ"/>
    <s v="POS"/>
    <n v="1"/>
    <n v="250"/>
    <n v="250"/>
    <n v="0"/>
    <m/>
    <m/>
    <m/>
    <m/>
    <n v="0"/>
    <n v="0"/>
    <n v="32453.34174969836"/>
  </r>
  <r>
    <d v="2026-04-17T00:00:00"/>
    <x v="4"/>
    <s v="BOZ ANTEP FISTIK İÇİ"/>
    <m/>
    <x v="5"/>
    <s v="ST00000001980"/>
    <s v="SATIŞ"/>
    <s v="POS"/>
    <n v="0.1"/>
    <n v="2800"/>
    <n v="280"/>
    <n v="0"/>
    <m/>
    <m/>
    <m/>
    <m/>
    <n v="0"/>
    <n v="0"/>
    <n v="32453.34174969836"/>
  </r>
  <r>
    <d v="2026-04-17T00:00:00"/>
    <x v="4"/>
    <s v="SOSLU MISIR YERLİ"/>
    <m/>
    <x v="5"/>
    <s v="ST00000001981"/>
    <s v="SATIŞ"/>
    <s v="POS"/>
    <n v="0.22727272727272727"/>
    <n v="220"/>
    <n v="50"/>
    <n v="0"/>
    <m/>
    <m/>
    <m/>
    <m/>
    <n v="0"/>
    <n v="0"/>
    <n v="32453.34174969836"/>
  </r>
  <r>
    <d v="2026-04-17T00:00:00"/>
    <x v="4"/>
    <s v="DAMLA ÇİKOLATA"/>
    <m/>
    <x v="5"/>
    <s v="ST00000001981"/>
    <s v="SATIŞ"/>
    <s v="POS"/>
    <n v="0.1"/>
    <n v="500"/>
    <n v="50"/>
    <n v="0"/>
    <m/>
    <m/>
    <m/>
    <m/>
    <n v="0"/>
    <n v="0"/>
    <n v="32453.34174969836"/>
  </r>
  <r>
    <d v="2026-04-17T00:00:00"/>
    <x v="4"/>
    <s v="BİZİM YAPRAK 1 LİK"/>
    <m/>
    <x v="5"/>
    <s v="ST00000001981"/>
    <s v="SATIŞ"/>
    <s v="POS"/>
    <n v="0.53333333333333333"/>
    <n v="375"/>
    <n v="200"/>
    <n v="0"/>
    <m/>
    <m/>
    <m/>
    <m/>
    <n v="0"/>
    <n v="0"/>
    <n v="32453.34174969836"/>
  </r>
  <r>
    <d v="2026-04-17T00:00:00"/>
    <x v="4"/>
    <s v="SARIBELEN IŞGIN KÖKÜ SİRKESİ 500 ML"/>
    <m/>
    <x v="1"/>
    <s v="ST00000001982"/>
    <s v="SATIŞ"/>
    <s v="NAKİT"/>
    <n v="1"/>
    <n v="200"/>
    <n v="0"/>
    <n v="0"/>
    <m/>
    <m/>
    <m/>
    <m/>
    <n v="200"/>
    <n v="0"/>
    <n v="32653.34174969836"/>
  </r>
  <r>
    <d v="2026-04-17T00:00:00"/>
    <x v="4"/>
    <s v="DOLMALIK KURU PATLICAN"/>
    <m/>
    <x v="1"/>
    <s v="ST00000001983"/>
    <s v="SATIŞ"/>
    <s v="NAKİT"/>
    <n v="1"/>
    <n v="250"/>
    <n v="0"/>
    <n v="0"/>
    <m/>
    <m/>
    <m/>
    <m/>
    <n v="250"/>
    <n v="0"/>
    <n v="32903.34174969836"/>
  </r>
  <r>
    <d v="2026-04-17T00:00:00"/>
    <x v="4"/>
    <s v="İSOT"/>
    <m/>
    <x v="1"/>
    <s v="ST00000001984"/>
    <s v="SATIŞ"/>
    <s v="NAKİT"/>
    <n v="0.125"/>
    <n v="400"/>
    <n v="0"/>
    <n v="0"/>
    <m/>
    <m/>
    <m/>
    <m/>
    <n v="50"/>
    <n v="0"/>
    <n v="32953.34174969836"/>
  </r>
  <r>
    <d v="2026-04-17T00:00:00"/>
    <x v="4"/>
    <s v="KEKİK LÜX"/>
    <m/>
    <x v="1"/>
    <s v="ST00000001985"/>
    <s v="SATIŞ"/>
    <s v="NAKİT"/>
    <n v="4.1176470588235294E-2"/>
    <n v="850"/>
    <n v="0"/>
    <n v="0"/>
    <m/>
    <m/>
    <m/>
    <m/>
    <n v="35"/>
    <n v="0"/>
    <n v="32988.34174969836"/>
  </r>
  <r>
    <d v="2026-04-17T00:00:00"/>
    <x v="4"/>
    <s v="HASEVLİK"/>
    <m/>
    <x v="1"/>
    <s v="ST00000001986"/>
    <s v="SATIŞ"/>
    <s v="NAKİT"/>
    <n v="0.1111111111111111"/>
    <n v="450"/>
    <n v="0"/>
    <n v="0"/>
    <m/>
    <m/>
    <m/>
    <m/>
    <n v="50"/>
    <n v="0"/>
    <n v="33038.34174969836"/>
  </r>
  <r>
    <d v="2026-04-17T00:00:00"/>
    <x v="4"/>
    <s v="DOLMALIK KURU PATLICAN"/>
    <m/>
    <x v="5"/>
    <s v="ST00000001987"/>
    <s v="SATIŞ"/>
    <s v="POS"/>
    <n v="1"/>
    <n v="250"/>
    <n v="250"/>
    <n v="0"/>
    <m/>
    <m/>
    <m/>
    <m/>
    <n v="0"/>
    <n v="0"/>
    <n v="33038.34174969836"/>
  </r>
  <r>
    <d v="2026-04-17T00:00:00"/>
    <x v="4"/>
    <s v="KAYSERİ PAZARI ŞEKERSİZ 1000 ML - GİLABURU"/>
    <m/>
    <x v="5"/>
    <s v="ST00000001988"/>
    <s v="SATIŞ"/>
    <s v="POS"/>
    <n v="1"/>
    <n v="250"/>
    <n v="250"/>
    <n v="0"/>
    <m/>
    <m/>
    <m/>
    <m/>
    <n v="0"/>
    <n v="0"/>
    <n v="33038.34174969836"/>
  </r>
  <r>
    <d v="2026-04-17T00:00:00"/>
    <x v="4"/>
    <s v="TANE MAHLEP"/>
    <m/>
    <x v="11"/>
    <s v="ST00000001989"/>
    <s v="SATIŞ - TOPTAN - HANİFE DİVLEK"/>
    <s v="CARİ"/>
    <n v="0.25"/>
    <n v="1800"/>
    <n v="450"/>
    <n v="0"/>
    <m/>
    <m/>
    <m/>
    <m/>
    <n v="0"/>
    <n v="0"/>
    <n v="33038.34174969836"/>
  </r>
  <r>
    <d v="2026-04-17T00:00:00"/>
    <x v="11"/>
    <m/>
    <m/>
    <x v="13"/>
    <m/>
    <s v="GÜLFİYE KUVEYT GÖNDERİLEN"/>
    <s v="NAKİT"/>
    <n v="1"/>
    <n v="4800"/>
    <n v="0"/>
    <n v="4800"/>
    <m/>
    <m/>
    <m/>
    <m/>
    <n v="4800"/>
    <n v="0"/>
    <n v="37838.34174969836"/>
  </r>
  <r>
    <d v="2026-04-17T00:00:00"/>
    <x v="10"/>
    <m/>
    <m/>
    <x v="5"/>
    <m/>
    <s v="POS ÇÖZÜMÜ"/>
    <s v="POS"/>
    <n v="1"/>
    <n v="810"/>
    <n v="0"/>
    <n v="810"/>
    <m/>
    <m/>
    <m/>
    <m/>
    <n v="810"/>
    <n v="0"/>
    <n v="38648.34174969836"/>
  </r>
  <r>
    <d v="2026-04-18T00:00:00"/>
    <x v="4"/>
    <s v="KUŞBURNU - KIRMIZI"/>
    <m/>
    <x v="1"/>
    <s v="ST00000001990"/>
    <s v="SATIŞ"/>
    <s v="NAKİT"/>
    <n v="0.25"/>
    <n v="360"/>
    <n v="0"/>
    <n v="0"/>
    <m/>
    <m/>
    <m/>
    <m/>
    <n v="90"/>
    <n v="0"/>
    <n v="38738.34174969836"/>
  </r>
  <r>
    <d v="2026-04-18T00:00:00"/>
    <x v="4"/>
    <s v="DOLMALIK KURU PATLICAN"/>
    <m/>
    <x v="5"/>
    <s v="ST00000001991"/>
    <s v="SATIŞ"/>
    <s v="POS"/>
    <n v="1"/>
    <n v="250"/>
    <n v="250"/>
    <n v="0"/>
    <m/>
    <m/>
    <m/>
    <m/>
    <n v="0"/>
    <n v="0"/>
    <n v="38738.34174969836"/>
  </r>
  <r>
    <d v="2026-04-18T00:00:00"/>
    <x v="4"/>
    <s v="ÇUBUK TARÇIN"/>
    <m/>
    <x v="1"/>
    <s v="ST00000001992"/>
    <s v="SATIŞ"/>
    <s v="NAKİT"/>
    <n v="0.08"/>
    <n v="625"/>
    <n v="0"/>
    <n v="0"/>
    <m/>
    <m/>
    <m/>
    <m/>
    <n v="50"/>
    <n v="0"/>
    <n v="38788.34174969836"/>
  </r>
  <r>
    <d v="2026-04-18T00:00:00"/>
    <x v="4"/>
    <s v="EL-RUHA ÇAY (AÇIK)"/>
    <m/>
    <x v="1"/>
    <s v="ST00000001992"/>
    <s v="SATIŞ"/>
    <s v="NAKİT"/>
    <n v="0.25"/>
    <n v="700"/>
    <n v="0"/>
    <n v="0"/>
    <m/>
    <m/>
    <m/>
    <m/>
    <n v="175"/>
    <n v="0"/>
    <n v="38963.34174969836"/>
  </r>
  <r>
    <d v="2026-04-18T00:00:00"/>
    <x v="4"/>
    <s v="BUĞDAY NİŞASTASI"/>
    <m/>
    <x v="5"/>
    <s v="ST00000001993"/>
    <s v="SATIŞ"/>
    <s v="POS"/>
    <n v="1"/>
    <n v="120"/>
    <n v="120"/>
    <n v="0"/>
    <m/>
    <m/>
    <m/>
    <m/>
    <n v="0"/>
    <n v="0"/>
    <n v="38963.34174969836"/>
  </r>
  <r>
    <d v="2026-04-18T00:00:00"/>
    <x v="4"/>
    <s v="HARDAL TOHUMU - SİYAH"/>
    <m/>
    <x v="1"/>
    <s v="ST00000001994"/>
    <s v="SATIŞ"/>
    <s v="NAKİT"/>
    <n v="0.5"/>
    <n v="260"/>
    <n v="0"/>
    <n v="0"/>
    <m/>
    <m/>
    <m/>
    <m/>
    <n v="130"/>
    <n v="0"/>
    <n v="39093.34174969836"/>
  </r>
  <r>
    <d v="2026-04-18T00:00:00"/>
    <x v="4"/>
    <s v="KETEN TOHUMU"/>
    <m/>
    <x v="1"/>
    <s v="ST00000001994"/>
    <s v="SATIŞ"/>
    <s v="NAKİT"/>
    <n v="0.5"/>
    <n v="140"/>
    <n v="0"/>
    <n v="0"/>
    <m/>
    <m/>
    <m/>
    <m/>
    <n v="70"/>
    <n v="0"/>
    <n v="39163.34174969836"/>
  </r>
  <r>
    <d v="2026-04-18T00:00:00"/>
    <x v="4"/>
    <s v="MECİTEFENDİ MİSVAK ÖZLÜ DOĞAL DİŞ MACUNU 75 ml"/>
    <m/>
    <x v="1"/>
    <s v="ST00000001994"/>
    <s v="SATIŞ"/>
    <s v="NAKİT"/>
    <n v="1"/>
    <n v="125"/>
    <n v="0"/>
    <n v="0"/>
    <m/>
    <m/>
    <m/>
    <m/>
    <n v="125"/>
    <n v="0"/>
    <n v="39288.34174969836"/>
  </r>
  <r>
    <d v="2026-04-18T00:00:00"/>
    <x v="4"/>
    <s v="MECİTEFENDİ AKTİF KARBONLU DOĞAL DİŞ MACUNU 75 ml"/>
    <m/>
    <x v="1"/>
    <s v="ST00000001994"/>
    <s v="SATIŞ"/>
    <s v="NAKİT"/>
    <n v="1"/>
    <n v="125"/>
    <n v="0"/>
    <n v="0"/>
    <m/>
    <m/>
    <m/>
    <m/>
    <n v="125"/>
    <n v="0"/>
    <n v="39413.34174969836"/>
  </r>
  <r>
    <d v="2026-04-18T00:00:00"/>
    <x v="4"/>
    <s v="SALÇA TATLI (EV YAPIMI)"/>
    <m/>
    <x v="1"/>
    <s v="ST00000001995"/>
    <s v="SATIŞ - SAADET"/>
    <s v="NAKİT"/>
    <n v="1"/>
    <n v="200"/>
    <n v="0"/>
    <n v="0"/>
    <m/>
    <m/>
    <m/>
    <m/>
    <n v="200"/>
    <n v="0"/>
    <n v="39613.34174969836"/>
  </r>
  <r>
    <d v="2026-04-18T00:00:00"/>
    <x v="4"/>
    <s v="DOMATES SALÇASI"/>
    <m/>
    <x v="1"/>
    <s v="ST00000001995"/>
    <s v="SATIŞ - SAADET"/>
    <s v="NAKİT"/>
    <n v="1"/>
    <n v="150"/>
    <n v="0"/>
    <n v="0"/>
    <m/>
    <m/>
    <m/>
    <m/>
    <n v="150"/>
    <n v="0"/>
    <n v="39763.34174969836"/>
  </r>
  <r>
    <d v="2026-04-18T00:00:00"/>
    <x v="4"/>
    <s v="DOLMALIK KURU PATLICAN"/>
    <m/>
    <x v="1"/>
    <s v="ST00000001996"/>
    <s v="SATIŞ"/>
    <s v="NAKİT"/>
    <n v="1"/>
    <n v="250"/>
    <n v="0"/>
    <n v="0"/>
    <m/>
    <m/>
    <m/>
    <m/>
    <n v="250"/>
    <n v="0"/>
    <n v="40013.34174969836"/>
  </r>
  <r>
    <d v="2026-04-18T00:00:00"/>
    <x v="4"/>
    <s v="DOLMALIK SARI BİBER"/>
    <m/>
    <x v="1"/>
    <s v="ST00000001996"/>
    <s v="SATIŞ"/>
    <s v="NAKİT"/>
    <n v="0.5"/>
    <n v="250"/>
    <n v="0"/>
    <n v="0"/>
    <m/>
    <m/>
    <m/>
    <m/>
    <n v="125"/>
    <n v="0"/>
    <n v="40138.34174969836"/>
  </r>
  <r>
    <d v="2026-04-18T00:00:00"/>
    <x v="4"/>
    <s v="NANE İRİ"/>
    <m/>
    <x v="5"/>
    <s v="ST00000001997"/>
    <s v="SATIŞ"/>
    <s v="POS"/>
    <n v="5.5999999999999994E-2"/>
    <n v="360"/>
    <n v="20.159999999999997"/>
    <n v="0"/>
    <m/>
    <m/>
    <m/>
    <m/>
    <n v="0"/>
    <n v="0"/>
    <n v="40138.34174969836"/>
  </r>
  <r>
    <d v="2026-04-18T00:00:00"/>
    <x v="4"/>
    <s v="KAKAO"/>
    <m/>
    <x v="5"/>
    <s v="ST00000001997"/>
    <s v="SATIŞ"/>
    <s v="POS"/>
    <n v="0.1"/>
    <n v="600"/>
    <n v="60"/>
    <n v="0"/>
    <m/>
    <m/>
    <m/>
    <m/>
    <n v="0"/>
    <n v="0"/>
    <n v="40138.34174969836"/>
  </r>
  <r>
    <d v="2026-04-18T00:00:00"/>
    <x v="4"/>
    <s v="MISIR UNU"/>
    <m/>
    <x v="5"/>
    <s v="ST00000001997"/>
    <s v="SATIŞ"/>
    <s v="POS"/>
    <n v="0.5"/>
    <n v="60"/>
    <n v="30"/>
    <n v="0"/>
    <m/>
    <m/>
    <m/>
    <m/>
    <n v="0"/>
    <n v="0"/>
    <n v="40138.34174969836"/>
  </r>
  <r>
    <d v="2026-04-18T00:00:00"/>
    <x v="4"/>
    <s v="KÖFTE BAHARATI (YEDİTÜRLÜ)"/>
    <m/>
    <x v="5"/>
    <s v="ST00000001997"/>
    <s v="SATIŞ"/>
    <s v="POS"/>
    <n v="0.06"/>
    <n v="500"/>
    <n v="30"/>
    <n v="0"/>
    <m/>
    <m/>
    <m/>
    <m/>
    <n v="0"/>
    <n v="0"/>
    <n v="40138.34174969836"/>
  </r>
  <r>
    <d v="2026-04-18T00:00:00"/>
    <x v="4"/>
    <s v="MİSVAK KUTULU (HOLDER)"/>
    <m/>
    <x v="5"/>
    <s v="ST00000001997"/>
    <s v="SATIŞ"/>
    <s v="POS"/>
    <n v="1"/>
    <n v="30"/>
    <n v="30"/>
    <n v="0"/>
    <m/>
    <m/>
    <m/>
    <m/>
    <n v="0"/>
    <n v="0"/>
    <n v="40138.34174969836"/>
  </r>
  <r>
    <d v="2026-04-18T00:00:00"/>
    <x v="4"/>
    <s v="CLASY CARE AYAK VE TOPUK ÇATLAK KREMİ 100 ML"/>
    <m/>
    <x v="5"/>
    <s v="ST00000001998"/>
    <s v="SATIŞ"/>
    <s v="POS"/>
    <n v="1"/>
    <n v="255"/>
    <n v="255"/>
    <n v="0"/>
    <m/>
    <m/>
    <m/>
    <m/>
    <n v="0"/>
    <n v="0"/>
    <n v="40138.34174969836"/>
  </r>
  <r>
    <d v="2026-04-18T00:00:00"/>
    <x v="4"/>
    <s v="ŞİFAVER ALOE VERA HATAY SABUNU"/>
    <m/>
    <x v="1"/>
    <s v="ST00000001999"/>
    <s v="SATIŞ"/>
    <s v="NAKİT"/>
    <n v="1"/>
    <n v="50"/>
    <n v="0"/>
    <n v="0"/>
    <m/>
    <m/>
    <m/>
    <m/>
    <n v="50"/>
    <n v="0"/>
    <n v="40188.34174969836"/>
  </r>
  <r>
    <d v="2026-04-18T00:00:00"/>
    <x v="4"/>
    <s v="İRİ BEYAZ KABAK ÇEKİRDEĞİ - NEVŞEHİR"/>
    <m/>
    <x v="15"/>
    <s v="ST00000002000"/>
    <s v="SATIŞ - MAHALLE FATİH"/>
    <s v="CARİ"/>
    <n v="0.27906976744186046"/>
    <n v="430"/>
    <n v="120"/>
    <n v="0"/>
    <m/>
    <m/>
    <m/>
    <m/>
    <n v="0"/>
    <n v="0"/>
    <n v="40188.34174969836"/>
  </r>
  <r>
    <d v="2026-04-18T00:00:00"/>
    <x v="4"/>
    <s v="BİBERİYE YAĞI 10 CC"/>
    <m/>
    <x v="1"/>
    <s v="ST00000002001"/>
    <s v="SATIŞ"/>
    <s v="NAKİT"/>
    <n v="1"/>
    <n v="145"/>
    <n v="0"/>
    <n v="0"/>
    <m/>
    <m/>
    <m/>
    <m/>
    <n v="145"/>
    <n v="0"/>
    <n v="40333.34174969836"/>
  </r>
  <r>
    <d v="2026-04-18T00:00:00"/>
    <x v="4"/>
    <s v="NANE YAĞI 10 CC"/>
    <m/>
    <x v="1"/>
    <s v="ST00000002002"/>
    <s v="SATIŞ"/>
    <s v="NAKİT"/>
    <n v="1"/>
    <n v="145"/>
    <n v="0"/>
    <n v="0"/>
    <m/>
    <m/>
    <m/>
    <m/>
    <n v="145"/>
    <n v="0"/>
    <n v="40478.34174969836"/>
  </r>
  <r>
    <d v="2026-04-18T00:00:00"/>
    <x v="7"/>
    <m/>
    <m/>
    <x v="17"/>
    <m/>
    <s v="DURMUŞOĞULLARI - KATI PEKMEZ - TFK"/>
    <s v="CARİ"/>
    <n v="1"/>
    <n v="6908.4"/>
    <n v="6908.4"/>
    <n v="0"/>
    <m/>
    <m/>
    <m/>
    <m/>
    <n v="0"/>
    <n v="6908.4"/>
    <n v="33569.941749698359"/>
  </r>
  <r>
    <d v="2026-04-18T00:00:00"/>
    <x v="3"/>
    <s v="HARDAL TOHUMU - SİYAH"/>
    <m/>
    <x v="1"/>
    <m/>
    <s v="MAL ALIMI - ATAYOLU AKTAR - NAKİT"/>
    <s v="NAKİT"/>
    <n v="1"/>
    <n v="130"/>
    <n v="0"/>
    <n v="0"/>
    <m/>
    <m/>
    <m/>
    <m/>
    <n v="0"/>
    <n v="130"/>
    <n v="33439.941749698359"/>
  </r>
  <r>
    <d v="2026-04-18T00:00:00"/>
    <x v="1"/>
    <m/>
    <s v="AMBALAJ GİDERLERİ"/>
    <x v="1"/>
    <m/>
    <s v="KÜÇÜK JELETİN POŞETLER - PEMA"/>
    <s v="NAKİT"/>
    <n v="0.81499999999999995"/>
    <n v="160"/>
    <n v="0"/>
    <n v="0"/>
    <m/>
    <m/>
    <m/>
    <m/>
    <n v="0"/>
    <n v="130.39999999999998"/>
    <n v="33309.541749698357"/>
  </r>
  <r>
    <d v="2026-04-19T00:00:00"/>
    <x v="4"/>
    <s v="ÇUBUK TARÇIN"/>
    <m/>
    <x v="1"/>
    <s v="ST00000002003"/>
    <s v="SATIŞ"/>
    <s v="NAKİT"/>
    <n v="0.08"/>
    <n v="625"/>
    <n v="0"/>
    <n v="0"/>
    <m/>
    <m/>
    <m/>
    <m/>
    <n v="50"/>
    <n v="0"/>
    <n v="33359.541749698357"/>
  </r>
  <r>
    <d v="2026-04-19T00:00:00"/>
    <x v="4"/>
    <s v="MATCHA KAYISI VE YEŞİL ÇAYLI DETOX ÇAYI"/>
    <m/>
    <x v="1"/>
    <s v="ST00000002004"/>
    <s v="SATIŞ"/>
    <s v="NAKİT"/>
    <n v="1"/>
    <n v="220"/>
    <n v="0"/>
    <n v="0"/>
    <m/>
    <m/>
    <m/>
    <m/>
    <n v="220"/>
    <n v="0"/>
    <n v="33579.541749698357"/>
  </r>
  <r>
    <d v="2026-04-19T00:00:00"/>
    <x v="4"/>
    <s v="KARANFİL YAĞI 10 CC"/>
    <m/>
    <x v="1"/>
    <s v="ST00000002004"/>
    <s v="SATIŞ"/>
    <s v="NAKİT"/>
    <n v="1"/>
    <n v="130"/>
    <n v="0"/>
    <n v="0"/>
    <m/>
    <m/>
    <m/>
    <m/>
    <n v="130"/>
    <n v="0"/>
    <n v="33709.541749698357"/>
  </r>
  <r>
    <d v="2026-04-19T00:00:00"/>
    <x v="4"/>
    <s v="DOLMALIK KURU PATLICAN"/>
    <m/>
    <x v="1"/>
    <s v="ST00000002005"/>
    <s v="SATIŞ"/>
    <s v="NAKİT"/>
    <n v="0.5"/>
    <n v="250"/>
    <n v="0"/>
    <n v="0"/>
    <m/>
    <m/>
    <m/>
    <m/>
    <n v="125"/>
    <n v="0"/>
    <n v="33834.541749698357"/>
  </r>
  <r>
    <d v="2026-04-19T00:00:00"/>
    <x v="4"/>
    <s v="DOLMALIK SARI BİBER"/>
    <m/>
    <x v="1"/>
    <s v="ST00000002005"/>
    <s v="SATIŞ"/>
    <s v="NAKİT"/>
    <n v="0.5"/>
    <n v="250"/>
    <n v="0"/>
    <n v="0"/>
    <m/>
    <m/>
    <m/>
    <m/>
    <n v="125"/>
    <n v="0"/>
    <n v="33959.541749698357"/>
  </r>
  <r>
    <d v="2026-04-19T00:00:00"/>
    <x v="4"/>
    <s v="EVLİK BİBER"/>
    <m/>
    <x v="1"/>
    <s v="ST00000002005"/>
    <s v="SATIŞ"/>
    <s v="NAKİT"/>
    <n v="0.125"/>
    <n v="400"/>
    <n v="0"/>
    <n v="0"/>
    <m/>
    <m/>
    <m/>
    <m/>
    <n v="50"/>
    <n v="0"/>
    <n v="34009.541749698357"/>
  </r>
  <r>
    <d v="2026-04-19T00:00:00"/>
    <x v="4"/>
    <s v="KARANFİL"/>
    <m/>
    <x v="1"/>
    <s v="ST00000002005"/>
    <s v="SATIŞ"/>
    <s v="NAKİT"/>
    <n v="0.05"/>
    <n v="1200"/>
    <n v="0"/>
    <n v="0"/>
    <m/>
    <m/>
    <m/>
    <m/>
    <n v="60"/>
    <n v="0"/>
    <n v="34069.541749698357"/>
  </r>
  <r>
    <d v="2026-04-19T00:00:00"/>
    <x v="4"/>
    <s v="TOZ TARÇIN"/>
    <m/>
    <x v="1"/>
    <s v="ST00000002005"/>
    <s v="SATIŞ"/>
    <s v="NAKİT"/>
    <n v="0.1"/>
    <n v="400"/>
    <n v="0"/>
    <n v="0"/>
    <m/>
    <m/>
    <m/>
    <m/>
    <n v="40"/>
    <n v="0"/>
    <n v="34109.541749698357"/>
  </r>
  <r>
    <d v="2026-04-19T00:00:00"/>
    <x v="4"/>
    <s v="MECİTEFENDİ AT KESTANESİ ÖZLÜ MASAJ KREMİ (90 ML)"/>
    <m/>
    <x v="1"/>
    <s v="ST00000002006"/>
    <s v="SATIŞ - NECAT"/>
    <s v="NAKİT"/>
    <n v="1"/>
    <n v="155"/>
    <n v="0"/>
    <n v="0"/>
    <m/>
    <m/>
    <m/>
    <m/>
    <n v="155"/>
    <n v="0"/>
    <n v="34264.541749698357"/>
  </r>
  <r>
    <d v="2026-04-19T00:00:00"/>
    <x v="4"/>
    <s v="MECİTEFENDİ MASAJ KREMİ 175 ML"/>
    <m/>
    <x v="1"/>
    <s v="ST00000002006"/>
    <s v="SATIŞ - NECAT"/>
    <s v="NAKİT"/>
    <n v="1"/>
    <n v="190"/>
    <n v="0"/>
    <n v="0"/>
    <m/>
    <m/>
    <m/>
    <m/>
    <n v="190"/>
    <n v="0"/>
    <n v="34454.541749698357"/>
  </r>
  <r>
    <d v="2026-04-19T00:00:00"/>
    <x v="4"/>
    <s v="KARANFİL"/>
    <m/>
    <x v="1"/>
    <s v="ST00000002006"/>
    <s v="SATIŞ - NECAT"/>
    <s v="NAKİT"/>
    <n v="0.1"/>
    <n v="1200"/>
    <n v="0"/>
    <n v="0"/>
    <m/>
    <m/>
    <m/>
    <m/>
    <n v="120"/>
    <n v="0"/>
    <n v="34574.541749698357"/>
  </r>
  <r>
    <d v="2026-04-19T00:00:00"/>
    <x v="4"/>
    <s v="MANİSA YAPRAK DÖKME"/>
    <m/>
    <x v="5"/>
    <s v="ST00000002007"/>
    <s v="SATIŞ - EMRE"/>
    <s v="POS"/>
    <n v="2"/>
    <n v="350"/>
    <n v="700"/>
    <n v="0"/>
    <m/>
    <m/>
    <m/>
    <m/>
    <n v="0"/>
    <n v="0"/>
    <n v="34574.541749698357"/>
  </r>
  <r>
    <d v="2026-04-19T00:00:00"/>
    <x v="4"/>
    <s v="DOLMALIK KURU PATLICAN"/>
    <m/>
    <x v="5"/>
    <s v="ST00000002007"/>
    <s v="SATIŞ - EMRE"/>
    <s v="POS"/>
    <n v="1"/>
    <n v="250"/>
    <n v="250"/>
    <n v="0"/>
    <m/>
    <m/>
    <m/>
    <m/>
    <n v="0"/>
    <n v="0"/>
    <n v="34574.541749698357"/>
  </r>
  <r>
    <d v="2026-04-19T00:00:00"/>
    <x v="4"/>
    <s v="NAHİTA KOZALAK ŞURUBU 500 ML"/>
    <m/>
    <x v="5"/>
    <s v="ST00000002007"/>
    <s v="SATIŞ - EMRE"/>
    <s v="POS"/>
    <n v="1"/>
    <n v="170"/>
    <n v="170"/>
    <n v="0"/>
    <m/>
    <m/>
    <m/>
    <m/>
    <n v="0"/>
    <n v="0"/>
    <n v="34574.541749698357"/>
  </r>
  <r>
    <d v="2026-04-19T00:00:00"/>
    <x v="4"/>
    <s v="HİNT YAĞI 50 CC"/>
    <m/>
    <x v="5"/>
    <s v="ST00000002007"/>
    <s v="SATIŞ - EMRE"/>
    <s v="POS"/>
    <n v="1"/>
    <n v="130"/>
    <n v="130"/>
    <n v="0"/>
    <m/>
    <m/>
    <m/>
    <m/>
    <n v="0"/>
    <n v="0"/>
    <n v="34574.541749698357"/>
  </r>
  <r>
    <d v="2026-04-19T00:00:00"/>
    <x v="4"/>
    <s v="ÇUBUK TARÇIN"/>
    <m/>
    <x v="1"/>
    <s v="ST00000002008"/>
    <s v="SATIŞ"/>
    <s v="NAKİT"/>
    <n v="0.08"/>
    <n v="750"/>
    <n v="0"/>
    <n v="0"/>
    <m/>
    <m/>
    <m/>
    <m/>
    <n v="60"/>
    <n v="0"/>
    <n v="34634.541749698357"/>
  </r>
  <r>
    <d v="2026-04-19T00:00:00"/>
    <x v="4"/>
    <s v="İPEK BİBER"/>
    <m/>
    <x v="1"/>
    <s v="ST00000002009"/>
    <s v="SATIŞ"/>
    <s v="NAKİT"/>
    <n v="8.5999999999999993E-2"/>
    <n v="500"/>
    <n v="0"/>
    <n v="0"/>
    <m/>
    <m/>
    <m/>
    <m/>
    <n v="43"/>
    <n v="0"/>
    <n v="34677.541749698357"/>
  </r>
  <r>
    <d v="2026-04-19T00:00:00"/>
    <x v="4"/>
    <s v="ZERDEÇAL TOZ"/>
    <m/>
    <x v="1"/>
    <s v="ST00000002009"/>
    <s v="SATIŞ"/>
    <s v="NAKİT"/>
    <n v="5.8000000000000003E-2"/>
    <n v="300"/>
    <n v="0"/>
    <n v="0"/>
    <m/>
    <m/>
    <m/>
    <m/>
    <n v="17.400000000000002"/>
    <n v="0"/>
    <n v="34694.941749698359"/>
  </r>
  <r>
    <d v="2026-04-19T00:00:00"/>
    <x v="4"/>
    <s v="SALÇA ACI (EV YAPIMI)"/>
    <m/>
    <x v="1"/>
    <s v="ST00000002009"/>
    <s v="SATIŞ"/>
    <s v="NAKİT"/>
    <n v="0.5"/>
    <n v="200"/>
    <n v="0"/>
    <n v="0"/>
    <m/>
    <m/>
    <m/>
    <m/>
    <n v="100"/>
    <n v="0"/>
    <n v="34794.941749698359"/>
  </r>
  <r>
    <d v="2026-04-19T00:00:00"/>
    <x v="4"/>
    <s v="SALÇA TATLI (EV YAPIMI)"/>
    <m/>
    <x v="1"/>
    <s v="ST00000002009"/>
    <s v="SATIŞ"/>
    <s v="NAKİT"/>
    <n v="0.5"/>
    <n v="200"/>
    <n v="0"/>
    <n v="0"/>
    <m/>
    <m/>
    <m/>
    <m/>
    <n v="100"/>
    <n v="0"/>
    <n v="34894.941749698359"/>
  </r>
  <r>
    <d v="2026-04-19T00:00:00"/>
    <x v="4"/>
    <s v="YENİBAHAR TOZ"/>
    <m/>
    <x v="5"/>
    <s v="ST00000002010"/>
    <s v="SATIŞ"/>
    <s v="POS"/>
    <n v="5.8000000000000003E-2"/>
    <n v="770"/>
    <n v="44.660000000000004"/>
    <n v="0"/>
    <m/>
    <m/>
    <m/>
    <m/>
    <n v="0"/>
    <n v="0"/>
    <n v="34894.941749698359"/>
  </r>
  <r>
    <d v="2026-04-19T00:00:00"/>
    <x v="4"/>
    <s v="TOZ TARÇIN"/>
    <m/>
    <x v="5"/>
    <s v="ST00000002010"/>
    <s v="SATIŞ"/>
    <s v="POS"/>
    <n v="0.1"/>
    <n v="400"/>
    <n v="40"/>
    <n v="0"/>
    <m/>
    <m/>
    <m/>
    <m/>
    <n v="0"/>
    <n v="0"/>
    <n v="34894.941749698359"/>
  </r>
  <r>
    <d v="2026-04-19T00:00:00"/>
    <x v="4"/>
    <s v="KARABİBER ÇEKİLMİŞ"/>
    <m/>
    <x v="5"/>
    <s v="ST00000002010"/>
    <s v="SATIŞ"/>
    <s v="POS"/>
    <n v="6.6000000000000003E-2"/>
    <n v="650"/>
    <n v="42.9"/>
    <n v="0"/>
    <m/>
    <m/>
    <m/>
    <m/>
    <n v="0"/>
    <n v="0"/>
    <n v="34894.941749698359"/>
  </r>
  <r>
    <d v="2026-04-19T00:00:00"/>
    <x v="4"/>
    <s v="KINA RGS DÖKME"/>
    <m/>
    <x v="5"/>
    <s v="ST00000002010"/>
    <s v="SATIŞ"/>
    <s v="POS"/>
    <n v="0.25"/>
    <n v="400"/>
    <n v="100"/>
    <n v="0"/>
    <m/>
    <m/>
    <m/>
    <m/>
    <n v="0"/>
    <n v="0"/>
    <n v="34894.941749698359"/>
  </r>
  <r>
    <d v="2026-04-19T00:00:00"/>
    <x v="4"/>
    <s v="ŞİFAVER GÜL HATAY SABUNU"/>
    <m/>
    <x v="1"/>
    <s v="ST00000002011"/>
    <s v="SATIŞ"/>
    <s v="NAKİT"/>
    <n v="1"/>
    <n v="50"/>
    <n v="0"/>
    <n v="0"/>
    <m/>
    <m/>
    <m/>
    <m/>
    <n v="50"/>
    <n v="0"/>
    <n v="34944.941749698359"/>
  </r>
  <r>
    <d v="2026-04-19T00:00:00"/>
    <x v="4"/>
    <s v="ŞİFAVER KÜKÜRTLÜ HATAY SABUNU"/>
    <m/>
    <x v="1"/>
    <s v="ST00000002011"/>
    <s v="SATIŞ"/>
    <s v="NAKİT"/>
    <n v="1"/>
    <n v="50"/>
    <n v="0"/>
    <n v="0"/>
    <m/>
    <m/>
    <m/>
    <m/>
    <n v="50"/>
    <n v="0"/>
    <n v="34994.941749698359"/>
  </r>
  <r>
    <d v="2026-04-19T00:00:00"/>
    <x v="4"/>
    <s v="ŞİFAVER KİL HATAY SABUNU"/>
    <m/>
    <x v="1"/>
    <s v="ST00000002011"/>
    <s v="SATIŞ"/>
    <s v="NAKİT"/>
    <n v="1"/>
    <n v="50"/>
    <n v="0"/>
    <n v="0"/>
    <m/>
    <m/>
    <m/>
    <m/>
    <n v="50"/>
    <n v="0"/>
    <n v="35044.941749698359"/>
  </r>
  <r>
    <d v="2026-04-19T00:00:00"/>
    <x v="4"/>
    <s v="ACVE SARI"/>
    <m/>
    <x v="1"/>
    <s v="ST00000002012"/>
    <s v="SATIŞ"/>
    <s v="NAKİT"/>
    <n v="0.5"/>
    <n v="400"/>
    <n v="0"/>
    <n v="0"/>
    <m/>
    <m/>
    <m/>
    <m/>
    <n v="200"/>
    <n v="0"/>
    <n v="35244.941749698359"/>
  </r>
  <r>
    <d v="2026-04-19T00:00:00"/>
    <x v="4"/>
    <s v="SOSLU MISIR YERLİ"/>
    <m/>
    <x v="5"/>
    <s v="ST00000002012"/>
    <s v="SATIŞ"/>
    <s v="POS"/>
    <n v="0.22727272727272727"/>
    <n v="220"/>
    <n v="50"/>
    <n v="0"/>
    <m/>
    <m/>
    <m/>
    <m/>
    <n v="0"/>
    <n v="0"/>
    <n v="35244.941749698359"/>
  </r>
  <r>
    <d v="2026-04-19T00:00:00"/>
    <x v="4"/>
    <s v="ÇÖREKOTU YAĞI 50 CC"/>
    <m/>
    <x v="5"/>
    <s v="ST00000002013"/>
    <s v="SATIŞ"/>
    <s v="POS"/>
    <n v="1"/>
    <n v="170"/>
    <n v="170"/>
    <n v="0"/>
    <m/>
    <m/>
    <m/>
    <m/>
    <n v="0"/>
    <n v="0"/>
    <n v="35244.941749698359"/>
  </r>
  <r>
    <d v="2026-04-19T00:00:00"/>
    <x v="4"/>
    <s v="KÖFTE BAHARATI (YEDİTÜRLÜ)"/>
    <m/>
    <x v="5"/>
    <s v="ST00000002013"/>
    <s v="SATIŞ"/>
    <s v="POS"/>
    <n v="0.13600000000000001"/>
    <n v="500"/>
    <n v="68"/>
    <n v="0"/>
    <m/>
    <m/>
    <m/>
    <m/>
    <n v="0"/>
    <n v="0"/>
    <n v="35244.941749698359"/>
  </r>
  <r>
    <d v="2026-04-19T00:00:00"/>
    <x v="4"/>
    <s v="KARANFİL"/>
    <m/>
    <x v="5"/>
    <s v="ST00000002013"/>
    <s v="SATIŞ"/>
    <s v="POS"/>
    <n v="0.05"/>
    <n v="1200"/>
    <n v="60"/>
    <n v="0"/>
    <m/>
    <m/>
    <m/>
    <m/>
    <n v="0"/>
    <n v="0"/>
    <n v="35244.941749698359"/>
  </r>
  <r>
    <d v="2026-04-19T00:00:00"/>
    <x v="10"/>
    <m/>
    <m/>
    <x v="5"/>
    <m/>
    <s v="POS ÇÖZÜMÜ"/>
    <s v="POS"/>
    <n v="1"/>
    <n v="809"/>
    <n v="0"/>
    <n v="809"/>
    <m/>
    <m/>
    <m/>
    <m/>
    <n v="809"/>
    <n v="0"/>
    <n v="36053.941749698359"/>
  </r>
  <r>
    <d v="2026-04-20T00:00:00"/>
    <x v="4"/>
    <s v="İSOT"/>
    <m/>
    <x v="5"/>
    <s v="ST00000002014"/>
    <s v="SATIŞ"/>
    <s v="POS"/>
    <n v="0.125"/>
    <n v="400"/>
    <n v="50"/>
    <n v="0"/>
    <m/>
    <m/>
    <m/>
    <m/>
    <n v="0"/>
    <n v="0"/>
    <n v="36053.941749698359"/>
  </r>
  <r>
    <d v="2026-04-20T00:00:00"/>
    <x v="4"/>
    <s v="EVLİK BİBER"/>
    <m/>
    <x v="5"/>
    <s v="ST00000002014"/>
    <s v="SATIŞ"/>
    <s v="POS"/>
    <n v="0.125"/>
    <n v="400"/>
    <n v="50"/>
    <n v="0"/>
    <m/>
    <m/>
    <m/>
    <m/>
    <n v="0"/>
    <n v="0"/>
    <n v="36053.941749698359"/>
  </r>
  <r>
    <d v="2026-04-20T00:00:00"/>
    <x v="4"/>
    <s v="SUMAK"/>
    <m/>
    <x v="5"/>
    <s v="ST00000002014"/>
    <s v="SATIŞ"/>
    <s v="POS"/>
    <n v="0.1"/>
    <n v="500"/>
    <n v="50"/>
    <n v="0"/>
    <m/>
    <m/>
    <m/>
    <m/>
    <n v="0"/>
    <n v="0"/>
    <n v="36053.941749698359"/>
  </r>
  <r>
    <d v="2026-04-20T00:00:00"/>
    <x v="4"/>
    <s v="ŞİFAVER DEFNE GARLI HATAY SABUNU"/>
    <m/>
    <x v="5"/>
    <s v="ST00000002015"/>
    <s v="SATIŞ"/>
    <s v="POS"/>
    <n v="2"/>
    <n v="60"/>
    <n v="120"/>
    <n v="0"/>
    <m/>
    <m/>
    <m/>
    <m/>
    <n v="0"/>
    <n v="0"/>
    <n v="36053.941749698359"/>
  </r>
  <r>
    <d v="2026-04-20T00:00:00"/>
    <x v="4"/>
    <s v="ZÜHRE ANA IŞGIN SİRKESİ 500 ML"/>
    <m/>
    <x v="1"/>
    <s v="ST00000002016"/>
    <s v="SATIŞ"/>
    <s v="NAKİT"/>
    <n v="1"/>
    <n v="220"/>
    <n v="0"/>
    <n v="0"/>
    <m/>
    <m/>
    <m/>
    <m/>
    <n v="220"/>
    <n v="0"/>
    <n v="36273.941749698359"/>
  </r>
  <r>
    <d v="2026-04-20T00:00:00"/>
    <x v="4"/>
    <s v="KARNIYARIK TOHUMU"/>
    <m/>
    <x v="5"/>
    <s v="ST00000002017"/>
    <s v="SATIŞ"/>
    <s v="POS"/>
    <n v="0.10869565217391304"/>
    <n v="920"/>
    <n v="100"/>
    <n v="0"/>
    <m/>
    <m/>
    <m/>
    <m/>
    <n v="0"/>
    <n v="0"/>
    <n v="36273.941749698359"/>
  </r>
  <r>
    <d v="2026-04-20T00:00:00"/>
    <x v="4"/>
    <s v="ZERDEÇAL TOZ"/>
    <m/>
    <x v="1"/>
    <s v="ST00000002018"/>
    <s v="SATIŞ"/>
    <s v="NAKİT"/>
    <n v="6.3E-2"/>
    <n v="300"/>
    <n v="0"/>
    <n v="0"/>
    <m/>
    <m/>
    <m/>
    <m/>
    <n v="18.899999999999999"/>
    <n v="0"/>
    <n v="36292.84174969836"/>
  </r>
  <r>
    <d v="2026-04-20T00:00:00"/>
    <x v="4"/>
    <s v="ZENCEFİL TOZ"/>
    <m/>
    <x v="1"/>
    <s v="ST00000002018"/>
    <s v="SATIŞ"/>
    <s v="NAKİT"/>
    <n v="5.6000000000000001E-2"/>
    <n v="400"/>
    <n v="0"/>
    <n v="0"/>
    <m/>
    <m/>
    <m/>
    <m/>
    <n v="22.400000000000002"/>
    <n v="0"/>
    <n v="36315.241749698362"/>
  </r>
  <r>
    <d v="2026-04-20T00:00:00"/>
    <x v="4"/>
    <s v="YENİBAHAR TOZ"/>
    <m/>
    <x v="1"/>
    <s v="ST00000002018"/>
    <s v="SATIŞ"/>
    <s v="NAKİT"/>
    <n v="0.04"/>
    <n v="770"/>
    <n v="0"/>
    <n v="0"/>
    <m/>
    <m/>
    <m/>
    <m/>
    <n v="30.8"/>
    <n v="0"/>
    <n v="36346.041749698365"/>
  </r>
  <r>
    <d v="2026-04-20T00:00:00"/>
    <x v="4"/>
    <s v="ACVE SARI"/>
    <m/>
    <x v="1"/>
    <s v="ST00000002018"/>
    <s v="SATIŞ"/>
    <s v="NAKİT"/>
    <n v="0.22600000000000001"/>
    <n v="400"/>
    <n v="0"/>
    <n v="0"/>
    <m/>
    <m/>
    <m/>
    <m/>
    <n v="90.4"/>
    <n v="0"/>
    <n v="36436.441749698366"/>
  </r>
  <r>
    <d v="2026-04-20T00:00:00"/>
    <x v="4"/>
    <s v="TÜRK KAHVESİ"/>
    <m/>
    <x v="5"/>
    <s v="ST00000002019"/>
    <s v="SATIŞ"/>
    <s v="POS"/>
    <n v="0.30769230769230771"/>
    <n v="650"/>
    <n v="200"/>
    <n v="0"/>
    <m/>
    <m/>
    <m/>
    <m/>
    <n v="0"/>
    <n v="0"/>
    <n v="36436.441749698366"/>
  </r>
  <r>
    <d v="2026-04-20T00:00:00"/>
    <x v="4"/>
    <s v="SALÇA ACI (EV YAPIMI)"/>
    <m/>
    <x v="5"/>
    <s v="ST00000002020"/>
    <s v="SATIŞ"/>
    <s v="POS"/>
    <n v="1"/>
    <n v="200"/>
    <n v="200"/>
    <n v="0"/>
    <m/>
    <m/>
    <m/>
    <m/>
    <n v="0"/>
    <n v="0"/>
    <n v="36436.441749698366"/>
  </r>
  <r>
    <d v="2026-04-20T00:00:00"/>
    <x v="4"/>
    <s v="DOMATES SALÇASI"/>
    <m/>
    <x v="5"/>
    <s v="ST00000002020"/>
    <s v="SATIŞ"/>
    <s v="POS"/>
    <n v="1"/>
    <n v="150"/>
    <n v="150"/>
    <n v="0"/>
    <m/>
    <m/>
    <m/>
    <m/>
    <n v="0"/>
    <n v="0"/>
    <n v="36436.441749698366"/>
  </r>
  <r>
    <d v="2026-04-20T00:00:00"/>
    <x v="4"/>
    <s v="NAHİTA ÜZÜM SİRKESİ"/>
    <m/>
    <x v="5"/>
    <s v="ST00000002020"/>
    <s v="SATIŞ"/>
    <s v="POS"/>
    <n v="1"/>
    <n v="140"/>
    <n v="140"/>
    <n v="0"/>
    <m/>
    <m/>
    <m/>
    <m/>
    <n v="0"/>
    <n v="0"/>
    <n v="36436.441749698366"/>
  </r>
  <r>
    <d v="2026-04-20T00:00:00"/>
    <x v="4"/>
    <s v="GENÇAY ELMA SİRKESİ 500 CC"/>
    <m/>
    <x v="5"/>
    <s v="ST00000002020"/>
    <s v="SATIŞ"/>
    <s v="POS"/>
    <n v="1"/>
    <n v="140"/>
    <n v="140"/>
    <n v="0"/>
    <m/>
    <m/>
    <m/>
    <m/>
    <n v="0"/>
    <n v="0"/>
    <n v="36436.441749698366"/>
  </r>
  <r>
    <d v="2026-04-20T00:00:00"/>
    <x v="4"/>
    <s v="SUMAK"/>
    <m/>
    <x v="5"/>
    <s v="ST00000002020"/>
    <s v="SATIŞ"/>
    <s v="POS"/>
    <n v="7.8E-2"/>
    <n v="500"/>
    <n v="39"/>
    <n v="0"/>
    <m/>
    <m/>
    <m/>
    <m/>
    <n v="0"/>
    <n v="0"/>
    <n v="36436.441749698366"/>
  </r>
  <r>
    <d v="2026-04-20T00:00:00"/>
    <x v="4"/>
    <s v="KARANFİL"/>
    <m/>
    <x v="5"/>
    <s v="ST00000002020"/>
    <s v="SATIŞ"/>
    <s v="POS"/>
    <n v="0.05"/>
    <n v="1200"/>
    <n v="60"/>
    <n v="0"/>
    <m/>
    <m/>
    <m/>
    <m/>
    <n v="0"/>
    <n v="0"/>
    <n v="36436.441749698366"/>
  </r>
  <r>
    <d v="2026-04-20T00:00:00"/>
    <x v="4"/>
    <s v="ÇÖREKOTU"/>
    <m/>
    <x v="5"/>
    <s v="ST00000002020"/>
    <s v="SATIŞ"/>
    <s v="POS"/>
    <n v="0.1"/>
    <n v="400"/>
    <n v="40"/>
    <n v="0"/>
    <m/>
    <m/>
    <m/>
    <m/>
    <n v="0"/>
    <n v="0"/>
    <n v="36436.441749698366"/>
  </r>
  <r>
    <d v="2026-04-20T00:00:00"/>
    <x v="4"/>
    <s v="KAFFKA OSMANLI KAHVESİ 150 GR"/>
    <m/>
    <x v="5"/>
    <s v="ST00000002020"/>
    <s v="SATIŞ"/>
    <s v="POS"/>
    <n v="1"/>
    <n v="75"/>
    <n v="75"/>
    <n v="0"/>
    <m/>
    <m/>
    <m/>
    <m/>
    <n v="0"/>
    <n v="0"/>
    <n v="36436.441749698366"/>
  </r>
  <r>
    <d v="2026-04-20T00:00:00"/>
    <x v="4"/>
    <s v="KAFFKA DİBEK KAHVESİ 150 GR"/>
    <m/>
    <x v="5"/>
    <s v="ST00000002020"/>
    <s v="SATIŞ"/>
    <s v="POS"/>
    <n v="1"/>
    <n v="75"/>
    <n v="75"/>
    <n v="0"/>
    <m/>
    <m/>
    <m/>
    <m/>
    <n v="0"/>
    <n v="0"/>
    <n v="36436.441749698366"/>
  </r>
  <r>
    <d v="2026-04-20T00:00:00"/>
    <x v="4"/>
    <s v="DURMUŞOĞULLARI KATI PEKMEZ TAHTA 700 GR"/>
    <m/>
    <x v="5"/>
    <s v="ST00000002020"/>
    <s v="SATIŞ"/>
    <s v="POS"/>
    <n v="1"/>
    <n v="300"/>
    <n v="300"/>
    <n v="0"/>
    <m/>
    <m/>
    <m/>
    <m/>
    <n v="0"/>
    <n v="0"/>
    <n v="36436.441749698366"/>
  </r>
  <r>
    <d v="2026-04-20T00:00:00"/>
    <x v="4"/>
    <s v="NANE İRİ"/>
    <m/>
    <x v="1"/>
    <s v="ST00000002021"/>
    <s v="SATIŞ"/>
    <s v="NAKİT"/>
    <n v="4.8000000000000001E-2"/>
    <n v="400"/>
    <n v="0"/>
    <n v="0"/>
    <m/>
    <m/>
    <m/>
    <m/>
    <n v="19.2"/>
    <n v="0"/>
    <n v="36455.641749698363"/>
  </r>
  <r>
    <d v="2026-04-20T00:00:00"/>
    <x v="4"/>
    <s v="SUMAK"/>
    <m/>
    <x v="1"/>
    <s v="ST00000002021"/>
    <s v="SATIŞ"/>
    <s v="NAKİT"/>
    <n v="0.17599999999999999"/>
    <n v="500"/>
    <n v="0"/>
    <n v="0"/>
    <m/>
    <m/>
    <m/>
    <m/>
    <n v="88"/>
    <n v="0"/>
    <n v="36543.641749698363"/>
  </r>
  <r>
    <d v="2026-04-20T00:00:00"/>
    <x v="4"/>
    <s v="TOZ BİBER - TATLI"/>
    <m/>
    <x v="1"/>
    <s v="ST00000002021"/>
    <s v="SATIŞ"/>
    <s v="NAKİT"/>
    <n v="0.114"/>
    <n v="400"/>
    <n v="0"/>
    <n v="0"/>
    <m/>
    <m/>
    <m/>
    <m/>
    <n v="45.6"/>
    <n v="0"/>
    <n v="36589.241749698362"/>
  </r>
  <r>
    <d v="2026-04-20T00:00:00"/>
    <x v="4"/>
    <s v="EVLİK BİBER"/>
    <m/>
    <x v="5"/>
    <s v="ST00000002021"/>
    <s v="SATIŞ"/>
    <s v="POS"/>
    <n v="0.25"/>
    <n v="400"/>
    <n v="100"/>
    <n v="0"/>
    <m/>
    <m/>
    <m/>
    <m/>
    <n v="0"/>
    <n v="0"/>
    <n v="36589.241749698362"/>
  </r>
  <r>
    <d v="2026-04-20T00:00:00"/>
    <x v="4"/>
    <s v="KINA RGS DÖKME"/>
    <m/>
    <x v="5"/>
    <s v="ST00000002022"/>
    <s v="SATIŞ"/>
    <s v="POS"/>
    <n v="0.25"/>
    <n v="400"/>
    <n v="100"/>
    <n v="0"/>
    <m/>
    <m/>
    <m/>
    <m/>
    <n v="0"/>
    <n v="0"/>
    <n v="36589.241749698362"/>
  </r>
  <r>
    <d v="2026-04-20T00:00:00"/>
    <x v="4"/>
    <s v="KARANFİL"/>
    <m/>
    <x v="5"/>
    <s v="ST00000002022"/>
    <s v="SATIŞ"/>
    <s v="POS"/>
    <n v="0.05"/>
    <n v="1200"/>
    <n v="60"/>
    <n v="0"/>
    <m/>
    <m/>
    <m/>
    <m/>
    <n v="0"/>
    <n v="0"/>
    <n v="36589.241749698362"/>
  </r>
  <r>
    <d v="2026-04-20T00:00:00"/>
    <x v="1"/>
    <m/>
    <s v="YOL GİDERLERİ"/>
    <x v="1"/>
    <m/>
    <s v="DURMUŞOĞULLARI - KATI PEKMEZ - KARGO"/>
    <s v="NAKİT"/>
    <n v="1"/>
    <n v="528"/>
    <n v="0"/>
    <n v="0"/>
    <m/>
    <m/>
    <m/>
    <m/>
    <n v="0"/>
    <n v="528"/>
    <n v="36061.241749698362"/>
  </r>
  <r>
    <d v="2026-04-20T00:00:00"/>
    <x v="3"/>
    <s v="DURMUŞOĞULLARI KATI PEKMEZ TAHTA 700 GR"/>
    <m/>
    <x v="17"/>
    <m/>
    <s v="DURMUŞOĞULLARI - KATI PEKMEZ - MAL ALIMI"/>
    <s v="CARİ"/>
    <n v="36"/>
    <n v="191.9"/>
    <n v="0"/>
    <n v="6908.4"/>
    <m/>
    <m/>
    <m/>
    <m/>
    <n v="0"/>
    <n v="0"/>
    <n v="36061.241749698362"/>
  </r>
  <r>
    <d v="2026-04-20T00:00:00"/>
    <x v="3"/>
    <s v="MATCHA DETOX ÇAYI"/>
    <m/>
    <x v="2"/>
    <m/>
    <s v="TR"/>
    <s v="K.K."/>
    <n v="6"/>
    <n v="150"/>
    <n v="0"/>
    <n v="900"/>
    <m/>
    <m/>
    <m/>
    <m/>
    <n v="0"/>
    <n v="0"/>
    <n v="36061.241749698362"/>
  </r>
  <r>
    <d v="2026-04-20T00:00:00"/>
    <x v="10"/>
    <m/>
    <m/>
    <x v="5"/>
    <m/>
    <s v="POS ÇÖZÜMÜ"/>
    <s v="POS"/>
    <n v="1"/>
    <n v="950"/>
    <n v="0"/>
    <n v="950"/>
    <m/>
    <m/>
    <m/>
    <m/>
    <n v="950"/>
    <n v="0"/>
    <n v="37011.241749698362"/>
  </r>
  <r>
    <d v="2026-04-20T00:00:00"/>
    <x v="7"/>
    <m/>
    <m/>
    <x v="3"/>
    <m/>
    <s v="YALÇINTAT BAHARAT - ÖDEME"/>
    <s v="NAKİT"/>
    <n v="1"/>
    <n v="20000"/>
    <n v="20000"/>
    <n v="0"/>
    <n v="0"/>
    <n v="20000"/>
    <m/>
    <m/>
    <n v="0"/>
    <n v="20000"/>
    <n v="17011.241749698362"/>
  </r>
  <r>
    <d v="2026-04-20T00:00:00"/>
    <x v="10"/>
    <m/>
    <m/>
    <x v="5"/>
    <m/>
    <s v="ON NUMARA POS ÇÖZÜMÜ - ELEKTRİK FATURASI"/>
    <s v="POS"/>
    <n v="1"/>
    <n v="600"/>
    <n v="0"/>
    <n v="600"/>
    <m/>
    <m/>
    <m/>
    <m/>
    <n v="600"/>
    <n v="0"/>
    <n v="17611.241749698362"/>
  </r>
  <r>
    <d v="2026-04-20T00:00:00"/>
    <x v="1"/>
    <m/>
    <s v="FATURA GİDERLERİ"/>
    <x v="1"/>
    <m/>
    <s v="ON NUMARA POS ÇÖZÜMÜ - ELEKTRİK FATURASI"/>
    <s v="NAKİT"/>
    <n v="1"/>
    <n v="600"/>
    <n v="0"/>
    <n v="0"/>
    <m/>
    <m/>
    <m/>
    <m/>
    <n v="0"/>
    <n v="600"/>
    <n v="17011.241749698362"/>
  </r>
  <r>
    <d v="2026-04-20T00:00:00"/>
    <x v="1"/>
    <m/>
    <s v="VERGİ VE HARÇLAR"/>
    <x v="2"/>
    <m/>
    <s v="01/2026 - 03/2026 STP ÖDEME"/>
    <s v="K.K."/>
    <n v="1"/>
    <n v="18539.7"/>
    <n v="0"/>
    <n v="18539.7"/>
    <m/>
    <m/>
    <m/>
    <m/>
    <n v="0"/>
    <n v="0"/>
    <n v="17011.241749698362"/>
  </r>
  <r>
    <d v="2026-04-21T00:00:00"/>
    <x v="3"/>
    <s v="AÇIK KAYISI İRİ (SARI)"/>
    <m/>
    <x v="2"/>
    <s v="BHR2026000003917"/>
    <s v="GE MA GIDA LTD. ŞTİ."/>
    <s v="K.K."/>
    <n v="1"/>
    <n v="359.999956"/>
    <n v="0"/>
    <n v="359.999956"/>
    <m/>
    <m/>
    <m/>
    <m/>
    <n v="0"/>
    <n v="0"/>
    <n v="17011.241749698362"/>
  </r>
  <r>
    <d v="2026-04-21T00:00:00"/>
    <x v="3"/>
    <s v="CHİA TOHUMU DÖKME"/>
    <m/>
    <x v="2"/>
    <s v="BHR2026000003917"/>
    <s v="GE MA GIDA LTD. ŞTİ."/>
    <s v="K.K."/>
    <n v="5"/>
    <n v="157"/>
    <n v="0"/>
    <n v="785"/>
    <m/>
    <m/>
    <m/>
    <m/>
    <n v="0"/>
    <n v="0"/>
    <n v="17011.241749698362"/>
  </r>
  <r>
    <d v="2026-04-21T00:00:00"/>
    <x v="3"/>
    <s v="KETEN TOHUMU"/>
    <m/>
    <x v="2"/>
    <s v="BHR2026000003917"/>
    <s v="GE MA GIDA LTD. ŞTİ."/>
    <s v="K.K."/>
    <n v="5"/>
    <n v="60"/>
    <n v="0"/>
    <n v="300"/>
    <m/>
    <m/>
    <m/>
    <m/>
    <n v="0"/>
    <n v="0"/>
    <n v="17011.241749698362"/>
  </r>
  <r>
    <d v="2026-04-21T00:00:00"/>
    <x v="3"/>
    <s v="KINA RGS DÖKME"/>
    <m/>
    <x v="2"/>
    <s v="BHR2026000003917"/>
    <s v="GE MA GIDA LTD. ŞTİ."/>
    <s v="K.K."/>
    <n v="5"/>
    <n v="170"/>
    <n v="0"/>
    <n v="850"/>
    <m/>
    <m/>
    <m/>
    <m/>
    <n v="0"/>
    <n v="0"/>
    <n v="17011.241749698362"/>
  </r>
  <r>
    <d v="2026-04-21T00:00:00"/>
    <x v="3"/>
    <s v="DEEPSEA DEO STİCK 60 GR (TER ÖNLEME)"/>
    <m/>
    <x v="2"/>
    <s v="BHR2026000003917"/>
    <s v="GE MA GIDA LTD. ŞTİ."/>
    <s v="K.K."/>
    <n v="3"/>
    <n v="110"/>
    <n v="0"/>
    <n v="330"/>
    <m/>
    <m/>
    <m/>
    <m/>
    <n v="0"/>
    <n v="0"/>
    <n v="17011.241749698362"/>
  </r>
  <r>
    <d v="2026-04-21T00:00:00"/>
    <x v="3"/>
    <s v="YENİ MAHSÜL PAPATYA"/>
    <m/>
    <x v="2"/>
    <s v="BHR2026000003917"/>
    <s v="GE MA GIDA LTD. ŞTİ."/>
    <s v="K.K."/>
    <n v="1"/>
    <n v="699.99999300000002"/>
    <n v="0"/>
    <n v="699.99999300000002"/>
    <m/>
    <m/>
    <m/>
    <m/>
    <n v="0"/>
    <n v="0"/>
    <n v="17011.241749698362"/>
  </r>
  <r>
    <d v="2026-04-21T00:00:00"/>
    <x v="3"/>
    <s v="BİBERİYE"/>
    <m/>
    <x v="2"/>
    <s v="BHR2026000003917"/>
    <s v="GE MA GIDA LTD. ŞTİ."/>
    <s v="K.K."/>
    <n v="1"/>
    <n v="154.999953"/>
    <n v="0"/>
    <n v="154.999953"/>
    <m/>
    <m/>
    <m/>
    <m/>
    <n v="0"/>
    <n v="0"/>
    <n v="17011.241749698362"/>
  </r>
  <r>
    <d v="2026-04-21T00:00:00"/>
    <x v="3"/>
    <s v="HAYIT TOHUMU"/>
    <m/>
    <x v="2"/>
    <s v="BHR2026000003917"/>
    <s v="GE MA GIDA LTD. ŞTİ."/>
    <s v="K.K."/>
    <n v="1"/>
    <n v="150.00004900000002"/>
    <n v="0"/>
    <n v="150.00004900000002"/>
    <m/>
    <m/>
    <m/>
    <m/>
    <n v="0"/>
    <n v="0"/>
    <n v="17011.241749698362"/>
  </r>
  <r>
    <d v="2026-04-21T00:00:00"/>
    <x v="3"/>
    <s v="KARNIYARIK TOHUMU"/>
    <m/>
    <x v="2"/>
    <s v="BHR2026000003917"/>
    <s v="GE MA GIDA LTD. ŞTİ."/>
    <s v="K.K."/>
    <n v="1"/>
    <n v="174.99997300000001"/>
    <n v="0"/>
    <n v="174.99997300000001"/>
    <m/>
    <m/>
    <m/>
    <m/>
    <n v="0"/>
    <n v="0"/>
    <n v="17011.241749698362"/>
  </r>
  <r>
    <d v="2026-04-21T00:00:00"/>
    <x v="3"/>
    <s v="BAMYA TOHUMU"/>
    <m/>
    <x v="2"/>
    <s v="BHR2026000003917"/>
    <s v="GE MA GIDA LTD. ŞTİ."/>
    <s v="K.K."/>
    <n v="1"/>
    <n v="110.00000900000001"/>
    <n v="0"/>
    <n v="110.00000900000001"/>
    <m/>
    <m/>
    <m/>
    <m/>
    <n v="0"/>
    <n v="0"/>
    <n v="17011.241749698362"/>
  </r>
  <r>
    <d v="2026-04-21T00:00:00"/>
    <x v="3"/>
    <s v="DUT KURUSU ESMER"/>
    <m/>
    <x v="2"/>
    <s v="BHR2026000003917"/>
    <s v="GE MA GIDA LTD. ŞTİ."/>
    <s v="K.K."/>
    <n v="1"/>
    <n v="310.00000699999998"/>
    <n v="0"/>
    <n v="310.00000699999998"/>
    <m/>
    <m/>
    <m/>
    <m/>
    <n v="0"/>
    <n v="0"/>
    <n v="17011.241749698362"/>
  </r>
  <r>
    <d v="2026-04-21T00:00:00"/>
    <x v="4"/>
    <s v="KABUKLU CEVİZ (YERLİ)"/>
    <m/>
    <x v="1"/>
    <s v="ST00000002023"/>
    <s v="SATIŞ"/>
    <s v="NAKİT"/>
    <n v="0.08"/>
    <n v="250"/>
    <n v="0"/>
    <n v="0"/>
    <m/>
    <m/>
    <m/>
    <m/>
    <n v="20"/>
    <n v="0"/>
    <n v="17031.241749698362"/>
  </r>
  <r>
    <d v="2026-04-21T00:00:00"/>
    <x v="4"/>
    <s v="PİLAVLIK BULGUR"/>
    <m/>
    <x v="1"/>
    <s v="ST00000002024"/>
    <s v="SATIŞ"/>
    <s v="NAKİT"/>
    <n v="2.3119999999999998"/>
    <n v="65"/>
    <n v="0"/>
    <n v="0"/>
    <m/>
    <m/>
    <m/>
    <m/>
    <n v="150.28"/>
    <n v="0"/>
    <n v="17181.521749698361"/>
  </r>
  <r>
    <d v="2026-04-21T00:00:00"/>
    <x v="4"/>
    <s v="HASEVLİK"/>
    <m/>
    <x v="1"/>
    <s v="ST00000002025"/>
    <s v="SATIŞ"/>
    <s v="NAKİT"/>
    <n v="0.1"/>
    <n v="450"/>
    <n v="0"/>
    <n v="0"/>
    <m/>
    <m/>
    <m/>
    <m/>
    <n v="45"/>
    <n v="0"/>
    <n v="17226.521749698361"/>
  </r>
  <r>
    <d v="2026-04-21T00:00:00"/>
    <x v="4"/>
    <s v="NANE İRİ"/>
    <m/>
    <x v="5"/>
    <s v="ST00000002026"/>
    <s v="SATIŞ"/>
    <s v="POS"/>
    <n v="0.125"/>
    <n v="400"/>
    <n v="50"/>
    <n v="0"/>
    <m/>
    <m/>
    <m/>
    <m/>
    <n v="0"/>
    <n v="0"/>
    <n v="17226.521749698361"/>
  </r>
  <r>
    <d v="2026-04-21T00:00:00"/>
    <x v="4"/>
    <s v="DOLMALIK SARI BİBER"/>
    <m/>
    <x v="5"/>
    <s v="ST00000002026"/>
    <s v="SATIŞ"/>
    <s v="POS"/>
    <n v="1"/>
    <n v="250"/>
    <n v="250"/>
    <n v="0"/>
    <m/>
    <m/>
    <m/>
    <m/>
    <n v="0"/>
    <n v="0"/>
    <n v="17226.521749698361"/>
  </r>
  <r>
    <d v="2026-04-21T00:00:00"/>
    <x v="4"/>
    <s v="AÇIK KAYISI İRİ (SARI)"/>
    <m/>
    <x v="5"/>
    <s v="ST00000002027"/>
    <s v="SATIŞ"/>
    <s v="POS"/>
    <n v="0.52615384615384619"/>
    <n v="650"/>
    <n v="342"/>
    <n v="0"/>
    <m/>
    <m/>
    <m/>
    <m/>
    <n v="0"/>
    <n v="0"/>
    <n v="17226.521749698361"/>
  </r>
  <r>
    <d v="2026-04-21T00:00:00"/>
    <x v="4"/>
    <s v="ŞENAY ÇAM KOZALAĞI PEKMEZİ 800 G"/>
    <m/>
    <x v="5"/>
    <s v="ST00000002028"/>
    <s v="SATIŞ"/>
    <s v="POS"/>
    <n v="1"/>
    <n v="180"/>
    <n v="180"/>
    <n v="0"/>
    <m/>
    <m/>
    <m/>
    <m/>
    <n v="0"/>
    <n v="0"/>
    <n v="17226.521749698361"/>
  </r>
  <r>
    <d v="2026-04-21T00:00:00"/>
    <x v="4"/>
    <s v="NAHİTA KOZALAK ŞURUBU 500 ML"/>
    <m/>
    <x v="5"/>
    <s v="ST00000002029"/>
    <s v="SATIŞ"/>
    <s v="POS"/>
    <n v="1"/>
    <n v="170"/>
    <n v="170"/>
    <n v="0"/>
    <m/>
    <m/>
    <m/>
    <m/>
    <n v="0"/>
    <n v="0"/>
    <n v="17226.521749698361"/>
  </r>
  <r>
    <d v="2026-04-21T00:00:00"/>
    <x v="4"/>
    <s v="FİTOZEN İNGİLİZ KARBONATI 200 GR"/>
    <m/>
    <x v="1"/>
    <s v="ST00000002030"/>
    <s v="SATIŞ"/>
    <s v="NAKİT"/>
    <n v="1"/>
    <n v="80"/>
    <n v="0"/>
    <n v="0"/>
    <m/>
    <m/>
    <m/>
    <m/>
    <n v="80"/>
    <n v="0"/>
    <n v="17306.521749698361"/>
  </r>
  <r>
    <d v="2026-04-21T00:00:00"/>
    <x v="4"/>
    <s v="DOLMALIK KURU TATLI KIRMIZI BİBER"/>
    <m/>
    <x v="1"/>
    <s v="ST00000002031"/>
    <s v="SATIŞ"/>
    <s v="NAKİT"/>
    <n v="1"/>
    <n v="150"/>
    <n v="0"/>
    <n v="0"/>
    <m/>
    <m/>
    <m/>
    <m/>
    <n v="150"/>
    <n v="0"/>
    <n v="17456.521749698361"/>
  </r>
  <r>
    <d v="2026-04-21T00:00:00"/>
    <x v="4"/>
    <s v="ÇAY AĞACI YAĞI 10 CC"/>
    <m/>
    <x v="5"/>
    <s v="ST00000002032"/>
    <s v="SATIŞ"/>
    <s v="POS"/>
    <n v="1"/>
    <n v="130"/>
    <n v="130"/>
    <n v="0"/>
    <m/>
    <m/>
    <m/>
    <m/>
    <n v="0"/>
    <n v="0"/>
    <n v="17456.521749698361"/>
  </r>
  <r>
    <d v="2026-04-21T00:00:00"/>
    <x v="4"/>
    <s v="COSMECİT PİRİNÇ PROTEİNLİ &amp; BEYAZLATICI SABUN 120 GR"/>
    <m/>
    <x v="5"/>
    <s v="ST00000002032"/>
    <s v="SATIŞ"/>
    <s v="POS"/>
    <n v="1"/>
    <n v="125"/>
    <n v="125"/>
    <n v="0"/>
    <m/>
    <m/>
    <m/>
    <m/>
    <n v="0"/>
    <n v="0"/>
    <n v="17456.521749698361"/>
  </r>
  <r>
    <d v="2026-04-21T00:00:00"/>
    <x v="4"/>
    <s v="WARITEX KABAK LİFİ ELDİVEN"/>
    <m/>
    <x v="5"/>
    <s v="ST00000002032"/>
    <s v="SATIŞ"/>
    <s v="POS"/>
    <n v="1"/>
    <n v="100"/>
    <n v="100"/>
    <n v="0"/>
    <m/>
    <m/>
    <m/>
    <m/>
    <n v="0"/>
    <n v="0"/>
    <n v="17456.521749698361"/>
  </r>
  <r>
    <d v="2026-04-21T00:00:00"/>
    <x v="4"/>
    <s v="WARITEX ÇİFT TARAFLI KABAK LİFİ"/>
    <m/>
    <x v="5"/>
    <s v="ST00000002032"/>
    <s v="SATIŞ"/>
    <s v="POS"/>
    <n v="1"/>
    <n v="120"/>
    <n v="120"/>
    <n v="0"/>
    <m/>
    <m/>
    <m/>
    <m/>
    <n v="0"/>
    <n v="0"/>
    <n v="17456.521749698361"/>
  </r>
  <r>
    <d v="2026-04-21T00:00:00"/>
    <x v="4"/>
    <s v="YEŞİL ÇAY YAPRAK"/>
    <m/>
    <x v="5"/>
    <s v="ST00000002032"/>
    <s v="SATIŞ"/>
    <s v="POS"/>
    <n v="0.1"/>
    <n v="1350"/>
    <n v="135"/>
    <n v="0"/>
    <m/>
    <m/>
    <m/>
    <m/>
    <n v="0"/>
    <n v="0"/>
    <n v="17456.521749698361"/>
  </r>
  <r>
    <d v="2026-04-21T00:00:00"/>
    <x v="10"/>
    <m/>
    <m/>
    <x v="5"/>
    <m/>
    <s v="POS ÇÖZÜMÜ"/>
    <s v="POS"/>
    <n v="1"/>
    <n v="4221"/>
    <n v="0"/>
    <n v="4221"/>
    <m/>
    <m/>
    <m/>
    <m/>
    <n v="4221"/>
    <n v="0"/>
    <n v="21677.521749698361"/>
  </r>
  <r>
    <d v="2026-04-21T00:00:00"/>
    <x v="10"/>
    <m/>
    <m/>
    <x v="5"/>
    <m/>
    <s v="POS ÇÖZÜMÜ"/>
    <s v="POS"/>
    <n v="1"/>
    <n v="80.37"/>
    <n v="0"/>
    <n v="80.37"/>
    <m/>
    <m/>
    <m/>
    <m/>
    <n v="80.37"/>
    <n v="0"/>
    <n v="21757.891749698359"/>
  </r>
  <r>
    <d v="2026-04-22T00:00:00"/>
    <x v="3"/>
    <s v="YALÇINKAYA DOMATES SALÇASI"/>
    <m/>
    <x v="4"/>
    <n v="1002752"/>
    <s v="TÜDAB A.Ş."/>
    <s v="CARİ"/>
    <n v="19.350000000000001"/>
    <n v="80.099999999999994"/>
    <n v="0"/>
    <n v="1549.9349999999999"/>
    <m/>
    <m/>
    <m/>
    <m/>
    <n v="0"/>
    <n v="0"/>
    <n v="21757.891749698359"/>
  </r>
  <r>
    <d v="2026-04-22T00:00:00"/>
    <x v="3"/>
    <s v="YALÇINKAYA TATLI BİBER SALÇASI"/>
    <m/>
    <x v="4"/>
    <n v="1002752"/>
    <s v="TÜDAB A.Ş."/>
    <s v="CARİ"/>
    <n v="19.350000000000001"/>
    <n v="95.61"/>
    <n v="0"/>
    <n v="1850.0535000000002"/>
    <m/>
    <m/>
    <m/>
    <m/>
    <n v="0"/>
    <n v="0"/>
    <n v="21757.891749698359"/>
  </r>
  <r>
    <d v="2026-04-22T00:00:00"/>
    <x v="3"/>
    <s v="NAHİTA IŞGIN SİRKESİ"/>
    <m/>
    <x v="4"/>
    <n v="1002752"/>
    <s v="TÜDAB A.Ş."/>
    <s v="CARİ"/>
    <n v="5"/>
    <n v="105"/>
    <n v="0"/>
    <n v="525"/>
    <m/>
    <m/>
    <m/>
    <m/>
    <n v="0"/>
    <n v="0"/>
    <n v="21757.891749698359"/>
  </r>
  <r>
    <d v="2026-04-22T00:00:00"/>
    <x v="3"/>
    <s v="PUDRA ŞEKERİ"/>
    <m/>
    <x v="4"/>
    <n v="1002752"/>
    <s v="TÜDAB A.Ş."/>
    <s v="CARİ"/>
    <n v="10"/>
    <n v="52"/>
    <n v="0"/>
    <n v="520"/>
    <m/>
    <m/>
    <m/>
    <m/>
    <n v="0"/>
    <n v="0"/>
    <n v="21757.891749698359"/>
  </r>
  <r>
    <d v="2026-04-22T00:00:00"/>
    <x v="3"/>
    <s v="TOMBUL KESE 500 GR SEBZELİ TARHANA"/>
    <m/>
    <x v="4"/>
    <n v="1002752"/>
    <s v="TÜDAB A.Ş."/>
    <s v="CARİ"/>
    <n v="3"/>
    <n v="135"/>
    <n v="0"/>
    <n v="405"/>
    <m/>
    <m/>
    <m/>
    <m/>
    <n v="0"/>
    <n v="0"/>
    <n v="21757.891749698359"/>
  </r>
  <r>
    <d v="2026-04-22T00:00:00"/>
    <x v="3"/>
    <s v="ŞİFAVER BITTIM HATAY SABUNU"/>
    <m/>
    <x v="4"/>
    <n v="1002752"/>
    <s v="TÜDAB A.Ş."/>
    <s v="CARİ"/>
    <n v="1.06"/>
    <n v="175"/>
    <n v="0"/>
    <n v="185.5"/>
    <m/>
    <m/>
    <m/>
    <m/>
    <n v="0"/>
    <n v="0"/>
    <n v="21757.891749698359"/>
  </r>
  <r>
    <d v="2026-04-22T00:00:00"/>
    <x v="3"/>
    <s v="ŞİFAVER GÜL HATAY SABUNU"/>
    <m/>
    <x v="4"/>
    <n v="1002752"/>
    <s v="TÜDAB A.Ş."/>
    <s v="CARİ"/>
    <n v="1.04"/>
    <n v="175"/>
    <n v="0"/>
    <n v="182"/>
    <m/>
    <m/>
    <m/>
    <m/>
    <n v="0"/>
    <n v="0"/>
    <n v="21757.891749698359"/>
  </r>
  <r>
    <d v="2026-04-22T00:00:00"/>
    <x v="4"/>
    <s v="MANİSA YAPRAK DÖKME"/>
    <m/>
    <x v="5"/>
    <s v="ST00000002033"/>
    <s v="SATIŞ"/>
    <s v="POS"/>
    <n v="0.53142857142857147"/>
    <n v="350"/>
    <n v="186.00000000000003"/>
    <n v="0"/>
    <m/>
    <m/>
    <m/>
    <m/>
    <n v="0"/>
    <n v="0"/>
    <n v="21757.891749698359"/>
  </r>
  <r>
    <d v="2026-04-22T00:00:00"/>
    <x v="4"/>
    <s v="KEKİK LÜX"/>
    <m/>
    <x v="5"/>
    <s v="ST00000002033"/>
    <s v="SATIŞ"/>
    <s v="POS"/>
    <n v="3.7647058823529408E-2"/>
    <n v="850"/>
    <n v="31.999999999999996"/>
    <n v="0"/>
    <m/>
    <m/>
    <m/>
    <m/>
    <n v="0"/>
    <n v="0"/>
    <n v="21757.891749698359"/>
  </r>
  <r>
    <d v="2026-04-22T00:00:00"/>
    <x v="4"/>
    <s v="NANE İRİ"/>
    <m/>
    <x v="5"/>
    <s v="ST00000002033"/>
    <s v="SATIŞ"/>
    <s v="POS"/>
    <n v="6.5000000000000002E-2"/>
    <n v="400"/>
    <n v="26"/>
    <n v="0"/>
    <m/>
    <m/>
    <m/>
    <m/>
    <n v="0"/>
    <n v="0"/>
    <n v="21757.891749698359"/>
  </r>
  <r>
    <d v="2026-04-22T00:00:00"/>
    <x v="4"/>
    <s v="İPEK BİBER"/>
    <m/>
    <x v="5"/>
    <s v="ST00000002033"/>
    <s v="SATIŞ"/>
    <s v="POS"/>
    <n v="0.11799999999999999"/>
    <n v="500"/>
    <n v="59"/>
    <n v="0"/>
    <m/>
    <m/>
    <m/>
    <m/>
    <n v="0"/>
    <n v="0"/>
    <n v="21757.891749698359"/>
  </r>
  <r>
    <d v="2026-04-22T00:00:00"/>
    <x v="4"/>
    <s v="DOMATES KURUSU"/>
    <m/>
    <x v="5"/>
    <s v="ST00000002033"/>
    <s v="SATIŞ"/>
    <s v="POS"/>
    <n v="0.25"/>
    <n v="360"/>
    <n v="90"/>
    <n v="0"/>
    <m/>
    <m/>
    <m/>
    <m/>
    <n v="0"/>
    <n v="0"/>
    <n v="21757.891749698359"/>
  </r>
  <r>
    <d v="2026-04-22T00:00:00"/>
    <x v="4"/>
    <s v="AYÇEKİRDEĞİ DAKOTA TUZSUZ EKSTRA"/>
    <m/>
    <x v="1"/>
    <s v="ST00000002034"/>
    <s v="SATIŞ - MMT"/>
    <s v="NAKİT"/>
    <n v="0.78600000000000003"/>
    <n v="140"/>
    <n v="0"/>
    <n v="0"/>
    <m/>
    <m/>
    <m/>
    <m/>
    <n v="110.04"/>
    <n v="0"/>
    <n v="21867.93174969836"/>
  </r>
  <r>
    <d v="2026-04-22T00:00:00"/>
    <x v="4"/>
    <s v="MİSVAK KUTULU (HOLDER)"/>
    <m/>
    <x v="1"/>
    <s v="ST00000002035"/>
    <s v="SATIŞ"/>
    <s v="NAKİT"/>
    <n v="1"/>
    <n v="30"/>
    <n v="0"/>
    <n v="0"/>
    <m/>
    <m/>
    <m/>
    <m/>
    <n v="30"/>
    <n v="0"/>
    <n v="21897.93174969836"/>
  </r>
  <r>
    <d v="2026-04-22T00:00:00"/>
    <x v="4"/>
    <s v="ZENCEFİL TOZ"/>
    <m/>
    <x v="5"/>
    <s v="ST00000002036"/>
    <s v="SATIŞ"/>
    <s v="POS"/>
    <n v="9.1999999999999998E-2"/>
    <n v="400"/>
    <n v="36.799999999999997"/>
    <n v="0"/>
    <m/>
    <m/>
    <m/>
    <m/>
    <n v="0"/>
    <n v="0"/>
    <n v="21897.93174969836"/>
  </r>
  <r>
    <d v="2026-04-22T00:00:00"/>
    <x v="4"/>
    <s v="ZERDEÇAL TOZ"/>
    <m/>
    <x v="5"/>
    <s v="ST00000002036"/>
    <s v="SATIŞ"/>
    <s v="POS"/>
    <n v="8.2000000000000003E-2"/>
    <n v="300"/>
    <n v="24.6"/>
    <n v="0"/>
    <m/>
    <m/>
    <m/>
    <m/>
    <n v="0"/>
    <n v="0"/>
    <n v="21897.93174969836"/>
  </r>
  <r>
    <d v="2026-04-22T00:00:00"/>
    <x v="4"/>
    <s v="IHLAMUR YAPRAK"/>
    <m/>
    <x v="5"/>
    <s v="ST00000002036"/>
    <s v="SATIŞ"/>
    <s v="POS"/>
    <n v="0.05"/>
    <n v="2600"/>
    <n v="130"/>
    <n v="0"/>
    <m/>
    <m/>
    <m/>
    <m/>
    <n v="0"/>
    <n v="0"/>
    <n v="21897.93174969836"/>
  </r>
  <r>
    <d v="2026-04-22T00:00:00"/>
    <x v="4"/>
    <s v="TOMBUL KESE 500 GR ACI"/>
    <m/>
    <x v="5"/>
    <s v="ST00000002036"/>
    <s v="SATIŞ"/>
    <s v="POS"/>
    <n v="1"/>
    <n v="200"/>
    <n v="200"/>
    <n v="0"/>
    <m/>
    <m/>
    <m/>
    <m/>
    <n v="0"/>
    <n v="0"/>
    <n v="21897.93174969836"/>
  </r>
  <r>
    <d v="2026-04-22T00:00:00"/>
    <x v="4"/>
    <s v="TOMBUL KESE 500 GR TATLI"/>
    <m/>
    <x v="5"/>
    <s v="ST00000002036"/>
    <s v="SATIŞ"/>
    <s v="POS"/>
    <n v="1"/>
    <n v="200"/>
    <n v="200"/>
    <n v="0"/>
    <m/>
    <m/>
    <m/>
    <m/>
    <n v="0"/>
    <n v="0"/>
    <n v="21897.93174969836"/>
  </r>
  <r>
    <d v="2026-04-22T00:00:00"/>
    <x v="4"/>
    <s v="KETEN TOHUMU"/>
    <m/>
    <x v="5"/>
    <s v="ST00000002036"/>
    <s v="SATIŞ"/>
    <s v="POS"/>
    <n v="0.5"/>
    <n v="140"/>
    <n v="70"/>
    <n v="0"/>
    <m/>
    <m/>
    <m/>
    <m/>
    <n v="0"/>
    <n v="0"/>
    <n v="21897.93174969836"/>
  </r>
  <r>
    <d v="2026-04-22T00:00:00"/>
    <x v="4"/>
    <s v="ÇUBUK TARÇIN"/>
    <m/>
    <x v="5"/>
    <s v="ST00000002036"/>
    <s v="SATIŞ"/>
    <s v="POS"/>
    <n v="0.08"/>
    <n v="750"/>
    <n v="60"/>
    <n v="0"/>
    <m/>
    <m/>
    <m/>
    <m/>
    <n v="0"/>
    <n v="0"/>
    <n v="21897.93174969836"/>
  </r>
  <r>
    <d v="2026-04-22T00:00:00"/>
    <x v="4"/>
    <s v="KARANFİL"/>
    <m/>
    <x v="5"/>
    <s v="ST00000002036"/>
    <s v="SATIŞ"/>
    <s v="POS"/>
    <n v="0.05"/>
    <n v="1200"/>
    <n v="60"/>
    <n v="0"/>
    <m/>
    <m/>
    <m/>
    <m/>
    <n v="0"/>
    <n v="0"/>
    <n v="21897.93174969836"/>
  </r>
  <r>
    <d v="2026-04-22T00:00:00"/>
    <x v="4"/>
    <s v="REZENE"/>
    <m/>
    <x v="5"/>
    <s v="ST00000002036"/>
    <s v="SATIŞ"/>
    <s v="POS"/>
    <n v="0.05"/>
    <n v="900"/>
    <n v="45"/>
    <n v="0"/>
    <m/>
    <m/>
    <m/>
    <m/>
    <n v="0"/>
    <n v="0"/>
    <n v="21897.93174969836"/>
  </r>
  <r>
    <d v="2026-04-22T00:00:00"/>
    <x v="4"/>
    <s v="HİNDİSTAN CEVİZİ YAĞI 20 CC"/>
    <m/>
    <x v="5"/>
    <s v="ST00000002036"/>
    <s v="SATIŞ"/>
    <s v="POS"/>
    <n v="1"/>
    <n v="110"/>
    <n v="110"/>
    <n v="0"/>
    <m/>
    <m/>
    <m/>
    <m/>
    <n v="0"/>
    <n v="0"/>
    <n v="21897.93174969836"/>
  </r>
  <r>
    <d v="2026-04-22T00:00:00"/>
    <x v="4"/>
    <s v="MİSVAK KUTULU (HOLDER)"/>
    <m/>
    <x v="5"/>
    <s v="ST00000002036"/>
    <s v="SATIŞ"/>
    <s v="POS"/>
    <n v="1"/>
    <n v="30"/>
    <n v="30"/>
    <n v="0"/>
    <m/>
    <m/>
    <m/>
    <m/>
    <n v="0"/>
    <n v="0"/>
    <n v="21897.93174969836"/>
  </r>
  <r>
    <d v="2026-04-22T00:00:00"/>
    <x v="6"/>
    <s v="NBN DAĞ İNCİRİ"/>
    <m/>
    <x v="4"/>
    <m/>
    <s v="TÜDAB A.Ş. - İADE"/>
    <s v="CARİ"/>
    <n v="4.75"/>
    <n v="550"/>
    <n v="2612.5"/>
    <n v="0"/>
    <m/>
    <m/>
    <m/>
    <m/>
    <n v="0"/>
    <n v="0"/>
    <n v="21897.93174969836"/>
  </r>
  <r>
    <d v="2026-04-22T00:00:00"/>
    <x v="6"/>
    <s v="ÖZBEK ÜZÜMÜ"/>
    <m/>
    <x v="4"/>
    <m/>
    <s v="TÜDAB A.Ş. - İADE"/>
    <s v="CARİ"/>
    <n v="5"/>
    <n v="540"/>
    <n v="2700"/>
    <n v="0"/>
    <m/>
    <m/>
    <m/>
    <m/>
    <n v="0"/>
    <n v="0"/>
    <n v="21897.93174969836"/>
  </r>
  <r>
    <d v="2026-04-22T00:00:00"/>
    <x v="6"/>
    <s v="TÜDAB ACUR TURŞUSU"/>
    <m/>
    <x v="4"/>
    <m/>
    <s v="TÜDAB A.Ş. - İADE"/>
    <s v="CARİ"/>
    <n v="1"/>
    <n v="235"/>
    <n v="235"/>
    <n v="0"/>
    <m/>
    <m/>
    <m/>
    <m/>
    <n v="0"/>
    <n v="0"/>
    <n v="21897.93174969836"/>
  </r>
  <r>
    <d v="2026-04-22T00:00:00"/>
    <x v="10"/>
    <m/>
    <m/>
    <x v="5"/>
    <m/>
    <s v="TÜDAB A.Ş - CARİ ÖDEME - ON NUMARA KREDİ KARTI"/>
    <s v="POS"/>
    <n v="1"/>
    <n v="40000"/>
    <n v="0"/>
    <n v="40000"/>
    <m/>
    <m/>
    <m/>
    <m/>
    <n v="0"/>
    <n v="0"/>
    <n v="21897.93174969836"/>
  </r>
  <r>
    <d v="2026-04-22T00:00:00"/>
    <x v="7"/>
    <m/>
    <m/>
    <x v="4"/>
    <m/>
    <s v="TÜDAB A.Ş - CARİ ÖDEME - ON NUMARA KREDİ KARTI"/>
    <s v="CARİ"/>
    <n v="1"/>
    <n v="40000"/>
    <n v="40000"/>
    <n v="0"/>
    <m/>
    <m/>
    <m/>
    <m/>
    <n v="0"/>
    <n v="0"/>
    <n v="21897.93174969836"/>
  </r>
  <r>
    <d v="2026-04-22T00:00:00"/>
    <x v="10"/>
    <m/>
    <m/>
    <x v="5"/>
    <m/>
    <s v="POS ÇÖZÜMÜ"/>
    <s v="POS"/>
    <n v="1"/>
    <n v="533"/>
    <n v="0"/>
    <n v="533"/>
    <m/>
    <m/>
    <m/>
    <m/>
    <n v="533"/>
    <n v="0"/>
    <n v="22430.93174969836"/>
  </r>
  <r>
    <d v="2026-04-22T00:00:00"/>
    <x v="10"/>
    <m/>
    <m/>
    <x v="5"/>
    <m/>
    <s v="POS ÇÖZÜMÜ"/>
    <s v="POS"/>
    <n v="1"/>
    <n v="3322"/>
    <n v="0"/>
    <n v="3322"/>
    <m/>
    <m/>
    <m/>
    <m/>
    <n v="3322"/>
    <n v="0"/>
    <n v="25752.93174969836"/>
  </r>
  <r>
    <d v="2026-04-23T00:00:00"/>
    <x v="4"/>
    <s v="REZENE"/>
    <m/>
    <x v="5"/>
    <s v="ST00000002037"/>
    <s v="SATIŞ"/>
    <s v="POS"/>
    <n v="0.1"/>
    <n v="900"/>
    <n v="90"/>
    <n v="0"/>
    <m/>
    <m/>
    <m/>
    <m/>
    <n v="0"/>
    <n v="0"/>
    <n v="25752.93174969836"/>
  </r>
  <r>
    <d v="2026-04-23T00:00:00"/>
    <x v="4"/>
    <s v="DOMATES KURUSU"/>
    <m/>
    <x v="1"/>
    <s v="ST00000002038"/>
    <s v="SATIŞ"/>
    <s v="NAKİT"/>
    <n v="0.25"/>
    <n v="360"/>
    <n v="0"/>
    <n v="0"/>
    <m/>
    <m/>
    <m/>
    <m/>
    <n v="90"/>
    <n v="0"/>
    <n v="25842.93174969836"/>
  </r>
  <r>
    <d v="2026-04-23T00:00:00"/>
    <x v="4"/>
    <s v="MECİTEFENDİ AT KESTANESİ ÖZLÜ GÖZ ÇEVRESİ KREMİ (15 ml.)"/>
    <m/>
    <x v="5"/>
    <s v="ST00000002039"/>
    <s v="SATIŞ"/>
    <s v="POS"/>
    <n v="1"/>
    <n v="310"/>
    <n v="310"/>
    <n v="0"/>
    <m/>
    <m/>
    <m/>
    <m/>
    <n v="0"/>
    <n v="0"/>
    <n v="25842.93174969836"/>
  </r>
  <r>
    <d v="2026-04-23T00:00:00"/>
    <x v="4"/>
    <s v="NAHİTA KOZALAK ŞURUBU 500 ML"/>
    <m/>
    <x v="5"/>
    <s v="ST00000002039"/>
    <s v="SATIŞ"/>
    <s v="POS"/>
    <n v="1"/>
    <n v="170"/>
    <n v="170"/>
    <n v="0"/>
    <m/>
    <m/>
    <m/>
    <m/>
    <n v="0"/>
    <n v="0"/>
    <n v="25842.93174969836"/>
  </r>
  <r>
    <d v="2026-04-23T00:00:00"/>
    <x v="4"/>
    <s v="KARANFİL"/>
    <m/>
    <x v="5"/>
    <s v="ST00000002039"/>
    <s v="SATIŞ"/>
    <s v="POS"/>
    <n v="0.05"/>
    <n v="1200"/>
    <n v="60"/>
    <n v="0"/>
    <m/>
    <m/>
    <m/>
    <m/>
    <n v="0"/>
    <n v="0"/>
    <n v="25842.93174969836"/>
  </r>
  <r>
    <d v="2026-04-23T00:00:00"/>
    <x v="4"/>
    <s v="ÇUBUK TARÇIN"/>
    <m/>
    <x v="5"/>
    <s v="ST00000002039"/>
    <s v="SATIŞ"/>
    <s v="POS"/>
    <n v="0.08"/>
    <n v="750"/>
    <n v="60"/>
    <n v="0"/>
    <m/>
    <m/>
    <m/>
    <m/>
    <n v="0"/>
    <n v="0"/>
    <n v="25842.93174969836"/>
  </r>
  <r>
    <d v="2026-04-23T00:00:00"/>
    <x v="4"/>
    <s v="NANE YAĞI 10 CC"/>
    <m/>
    <x v="1"/>
    <s v="ST00000002040"/>
    <s v="SATIŞ"/>
    <s v="NAKİT"/>
    <n v="1"/>
    <n v="140"/>
    <n v="0"/>
    <n v="0"/>
    <m/>
    <m/>
    <m/>
    <m/>
    <n v="140"/>
    <n v="0"/>
    <n v="25982.93174969836"/>
  </r>
  <r>
    <d v="2026-04-23T00:00:00"/>
    <x v="4"/>
    <s v="İRİ BEYAZ KABAK ÇEKİRDEĞİ - NEVŞEHİR"/>
    <m/>
    <x v="1"/>
    <s v="ST00000002040"/>
    <s v="SATIŞ"/>
    <s v="NAKİT"/>
    <n v="0.75"/>
    <n v="400"/>
    <n v="0"/>
    <n v="0"/>
    <m/>
    <m/>
    <m/>
    <m/>
    <n v="300"/>
    <n v="0"/>
    <n v="26282.93174969836"/>
  </r>
  <r>
    <d v="2026-04-23T00:00:00"/>
    <x v="4"/>
    <s v="GENÇAY ELMA SİRKESİ 500 CC"/>
    <m/>
    <x v="1"/>
    <s v="ST00000002040"/>
    <s v="SATIŞ"/>
    <s v="NAKİT"/>
    <n v="2"/>
    <n v="140"/>
    <n v="0"/>
    <n v="0"/>
    <m/>
    <m/>
    <m/>
    <m/>
    <n v="280"/>
    <n v="0"/>
    <n v="26562.93174969836"/>
  </r>
  <r>
    <d v="2026-04-23T00:00:00"/>
    <x v="4"/>
    <s v="DOLMALIK KURU PATLICAN"/>
    <m/>
    <x v="5"/>
    <s v="ST00000002041"/>
    <s v="SATIŞ"/>
    <s v="POS"/>
    <n v="1"/>
    <n v="250"/>
    <n v="250"/>
    <n v="0"/>
    <m/>
    <m/>
    <m/>
    <m/>
    <n v="0"/>
    <n v="0"/>
    <n v="26562.93174969836"/>
  </r>
  <r>
    <d v="2026-04-23T00:00:00"/>
    <x v="4"/>
    <s v="DOLMALIK SARI BİBER"/>
    <m/>
    <x v="5"/>
    <s v="ST00000002041"/>
    <s v="SATIŞ"/>
    <s v="POS"/>
    <n v="1"/>
    <n v="250"/>
    <n v="250"/>
    <n v="0"/>
    <m/>
    <m/>
    <m/>
    <m/>
    <n v="0"/>
    <n v="0"/>
    <n v="26562.93174969836"/>
  </r>
  <r>
    <d v="2026-04-23T00:00:00"/>
    <x v="4"/>
    <s v="DOLMALIK KURU TATLI KIRMIZI BİBER"/>
    <m/>
    <x v="5"/>
    <s v="ST00000002041"/>
    <s v="SATIŞ"/>
    <s v="POS"/>
    <n v="2"/>
    <n v="150"/>
    <n v="300"/>
    <n v="0"/>
    <m/>
    <m/>
    <m/>
    <m/>
    <n v="0"/>
    <n v="0"/>
    <n v="26562.93174969836"/>
  </r>
  <r>
    <d v="2026-04-23T00:00:00"/>
    <x v="4"/>
    <s v="CEVİZLİ SUCUK ATOM (ESMER)"/>
    <m/>
    <x v="1"/>
    <s v="ST00000002042"/>
    <s v="SATIŞ"/>
    <s v="NAKİT"/>
    <n v="0.39705882352941174"/>
    <n v="340"/>
    <n v="0"/>
    <n v="0"/>
    <m/>
    <m/>
    <m/>
    <m/>
    <n v="135"/>
    <n v="0"/>
    <n v="26697.93174969836"/>
  </r>
  <r>
    <d v="2026-04-23T00:00:00"/>
    <x v="4"/>
    <s v="KAFFKA DİBEK KAHVESİ 150 GR"/>
    <m/>
    <x v="1"/>
    <s v="ST00000002042"/>
    <s v="SATIŞ"/>
    <s v="NAKİT"/>
    <n v="1"/>
    <n v="65"/>
    <n v="0"/>
    <n v="0"/>
    <m/>
    <m/>
    <m/>
    <m/>
    <n v="65"/>
    <n v="0"/>
    <n v="26762.93174969836"/>
  </r>
  <r>
    <d v="2026-04-23T00:00:00"/>
    <x v="4"/>
    <s v="MEBRUM HURMA  NO 1"/>
    <m/>
    <x v="1"/>
    <s v="ST00000002043"/>
    <s v="SATIŞ"/>
    <s v="NAKİT"/>
    <n v="1"/>
    <n v="550"/>
    <n v="0"/>
    <n v="0"/>
    <m/>
    <m/>
    <m/>
    <m/>
    <n v="550"/>
    <n v="0"/>
    <n v="27312.93174969836"/>
  </r>
  <r>
    <d v="2026-04-23T00:00:00"/>
    <x v="4"/>
    <s v="PİLAVLIK BULGUR"/>
    <m/>
    <x v="1"/>
    <s v="ST00000002043"/>
    <s v="SATIŞ"/>
    <s v="NAKİT"/>
    <n v="0.84615384615384615"/>
    <n v="65"/>
    <n v="0"/>
    <n v="0"/>
    <m/>
    <m/>
    <m/>
    <m/>
    <n v="55"/>
    <n v="0"/>
    <n v="27367.93174969836"/>
  </r>
  <r>
    <d v="2026-04-23T00:00:00"/>
    <x v="4"/>
    <s v="DOLMALIK KURU PATLICAN"/>
    <m/>
    <x v="1"/>
    <s v="ST00000002044"/>
    <s v="SATIŞ - TOPTAN - SEMERKAND EV"/>
    <s v="NAKİT"/>
    <n v="4"/>
    <n v="200"/>
    <n v="0"/>
    <n v="0"/>
    <m/>
    <m/>
    <m/>
    <m/>
    <n v="800"/>
    <n v="0"/>
    <n v="28167.93174969836"/>
  </r>
  <r>
    <d v="2026-04-23T00:00:00"/>
    <x v="4"/>
    <s v="BOZ ANTEP FISTIK ÖĞÜTÜLMÜŞ"/>
    <m/>
    <x v="1"/>
    <s v="ST00000002045"/>
    <s v="SATIŞ"/>
    <s v="NAKİT"/>
    <n v="0.02"/>
    <n v="2800"/>
    <n v="0"/>
    <n v="0"/>
    <m/>
    <m/>
    <m/>
    <m/>
    <n v="56"/>
    <n v="0"/>
    <n v="28223.93174969836"/>
  </r>
  <r>
    <d v="2026-04-23T00:00:00"/>
    <x v="4"/>
    <s v="DOMATES SALÇASI"/>
    <m/>
    <x v="5"/>
    <s v="ST00000002046"/>
    <s v="SATIŞ"/>
    <s v="POS"/>
    <n v="1"/>
    <n v="150"/>
    <n v="150"/>
    <n v="0"/>
    <m/>
    <m/>
    <m/>
    <m/>
    <n v="0"/>
    <n v="0"/>
    <n v="28223.93174969836"/>
  </r>
  <r>
    <d v="2026-04-23T00:00:00"/>
    <x v="4"/>
    <s v="CEVİZLİ SUCUK ATOM (ESMER)"/>
    <m/>
    <x v="1"/>
    <s v="ST00000002047"/>
    <s v="SATIŞ - MMT"/>
    <s v="NAKİT"/>
    <n v="0.2"/>
    <n v="220"/>
    <n v="0"/>
    <n v="0"/>
    <m/>
    <m/>
    <m/>
    <m/>
    <n v="44"/>
    <n v="0"/>
    <n v="28267.93174969836"/>
  </r>
  <r>
    <d v="2026-04-23T00:00:00"/>
    <x v="4"/>
    <s v="HAŞİROĞLU TARHANA ÇEREZLİK"/>
    <m/>
    <x v="1"/>
    <s v="ST00000002048"/>
    <s v="SATIŞ"/>
    <s v="NAKİT"/>
    <n v="1"/>
    <n v="290"/>
    <n v="0"/>
    <n v="0"/>
    <m/>
    <m/>
    <m/>
    <m/>
    <n v="290"/>
    <n v="0"/>
    <n v="28557.93174969836"/>
  </r>
  <r>
    <d v="2026-04-23T00:00:00"/>
    <x v="4"/>
    <s v="AÇLIK OTU"/>
    <m/>
    <x v="5"/>
    <s v="ST00000002048"/>
    <s v="SATIŞ"/>
    <s v="POS"/>
    <n v="0.12"/>
    <n v="417"/>
    <n v="50.04"/>
    <n v="0"/>
    <m/>
    <m/>
    <m/>
    <m/>
    <n v="0"/>
    <n v="0"/>
    <n v="28557.93174969836"/>
  </r>
  <r>
    <d v="2026-04-23T00:00:00"/>
    <x v="4"/>
    <s v="KARANFİL"/>
    <m/>
    <x v="1"/>
    <s v="ST00000002048"/>
    <s v="SATIŞ"/>
    <s v="NAKİT"/>
    <n v="0.05"/>
    <n v="1000"/>
    <n v="0"/>
    <n v="0"/>
    <m/>
    <m/>
    <m/>
    <m/>
    <n v="50"/>
    <n v="0"/>
    <n v="28607.93174969836"/>
  </r>
  <r>
    <d v="2026-04-24T00:00:00"/>
    <x v="4"/>
    <s v="TOZ BİBER - TATLI"/>
    <m/>
    <x v="1"/>
    <s v="ST00000002049"/>
    <s v="SATIŞ - TOPTAN - DÜKKANA ABLA"/>
    <s v="NAKİT"/>
    <n v="0.5"/>
    <n v="240"/>
    <n v="0"/>
    <n v="0"/>
    <m/>
    <m/>
    <m/>
    <m/>
    <n v="120"/>
    <n v="0"/>
    <n v="28727.93174969836"/>
  </r>
  <r>
    <d v="2026-04-24T00:00:00"/>
    <x v="4"/>
    <s v="EVLİK BİBER"/>
    <m/>
    <x v="1"/>
    <s v="ST00000002049"/>
    <s v="SATIŞ - TOPTAN - DÜKKANA ABLA"/>
    <s v="NAKİT"/>
    <n v="1"/>
    <n v="230"/>
    <n v="0"/>
    <n v="0"/>
    <m/>
    <m/>
    <m/>
    <m/>
    <n v="230"/>
    <n v="0"/>
    <n v="28957.93174969836"/>
  </r>
  <r>
    <d v="2026-04-24T00:00:00"/>
    <x v="4"/>
    <s v="DOLMALIK KURU PATLICAN"/>
    <m/>
    <x v="5"/>
    <s v="ST00000002050"/>
    <s v="SATIŞ"/>
    <s v="POS"/>
    <n v="0.5"/>
    <n v="250"/>
    <n v="125"/>
    <n v="0"/>
    <m/>
    <m/>
    <m/>
    <m/>
    <n v="0"/>
    <n v="0"/>
    <n v="28957.93174969836"/>
  </r>
  <r>
    <d v="2026-04-24T00:00:00"/>
    <x v="4"/>
    <s v="DOLMALIK SARI BİBER"/>
    <m/>
    <x v="5"/>
    <s v="ST00000002050"/>
    <s v="SATIŞ"/>
    <s v="POS"/>
    <n v="0.5"/>
    <n v="230"/>
    <n v="115"/>
    <n v="0"/>
    <m/>
    <m/>
    <m/>
    <m/>
    <n v="0"/>
    <n v="0"/>
    <n v="28957.93174969836"/>
  </r>
  <r>
    <d v="2026-04-24T00:00:00"/>
    <x v="4"/>
    <s v="HASEVLİK"/>
    <m/>
    <x v="1"/>
    <s v="ST00000002051"/>
    <s v="SATIŞ"/>
    <s v="NAKİT"/>
    <n v="0.25111111111111112"/>
    <n v="450"/>
    <n v="0"/>
    <n v="0"/>
    <m/>
    <m/>
    <m/>
    <m/>
    <n v="113"/>
    <n v="0"/>
    <n v="29070.93174969836"/>
  </r>
  <r>
    <d v="2026-04-24T00:00:00"/>
    <x v="4"/>
    <s v="KARABİBER ÇEKİLMİŞ"/>
    <m/>
    <x v="1"/>
    <s v="ST00000002051"/>
    <s v="SATIŞ"/>
    <s v="NAKİT"/>
    <n v="0.12307692307692308"/>
    <n v="650"/>
    <n v="0"/>
    <n v="0"/>
    <m/>
    <m/>
    <m/>
    <m/>
    <n v="80"/>
    <n v="0"/>
    <n v="29150.93174969836"/>
  </r>
  <r>
    <d v="2026-04-24T00:00:00"/>
    <x v="4"/>
    <s v="KABUKLU CEVİZ (YERLİ)"/>
    <m/>
    <x v="5"/>
    <s v="ST00000002052"/>
    <s v="SATIŞ"/>
    <s v="POS"/>
    <n v="4"/>
    <n v="250"/>
    <n v="1000"/>
    <n v="0"/>
    <m/>
    <m/>
    <m/>
    <m/>
    <n v="0"/>
    <n v="0"/>
    <n v="29150.93174969836"/>
  </r>
  <r>
    <d v="2026-04-24T00:00:00"/>
    <x v="4"/>
    <s v="DOLMALIK KURU PATLICAN"/>
    <m/>
    <x v="1"/>
    <s v="ST00000002053"/>
    <s v="SATIŞ - TOPTAN - SEMERKAND EV"/>
    <s v="NAKİT"/>
    <n v="2"/>
    <n v="200"/>
    <n v="0"/>
    <n v="0"/>
    <m/>
    <m/>
    <m/>
    <m/>
    <n v="400"/>
    <n v="0"/>
    <n v="29550.93174969836"/>
  </r>
  <r>
    <d v="2026-04-24T00:00:00"/>
    <x v="4"/>
    <s v="DOMATES SALÇASI"/>
    <m/>
    <x v="5"/>
    <s v="ST00000002054"/>
    <s v="SATIŞ"/>
    <s v="POS"/>
    <n v="0.5"/>
    <n v="140"/>
    <n v="70"/>
    <n v="0"/>
    <m/>
    <m/>
    <m/>
    <m/>
    <n v="0"/>
    <n v="0"/>
    <n v="29550.93174969836"/>
  </r>
  <r>
    <d v="2026-04-24T00:00:00"/>
    <x v="4"/>
    <s v="GÜNGÖR 5 LT SU"/>
    <m/>
    <x v="5"/>
    <s v="ST00000002055"/>
    <s v="SATIŞ"/>
    <s v="POS"/>
    <n v="2"/>
    <n v="30"/>
    <n v="60"/>
    <n v="0"/>
    <m/>
    <m/>
    <m/>
    <m/>
    <n v="0"/>
    <n v="0"/>
    <n v="29550.93174969836"/>
  </r>
  <r>
    <d v="2026-04-24T00:00:00"/>
    <x v="4"/>
    <s v="PİLAVLIK BULGUR"/>
    <m/>
    <x v="5"/>
    <s v="ST00000002056"/>
    <s v="SATIŞ"/>
    <s v="POS"/>
    <n v="1.3859999999999999"/>
    <n v="65"/>
    <n v="90.089999999999989"/>
    <n v="0"/>
    <m/>
    <m/>
    <m/>
    <m/>
    <n v="0"/>
    <n v="0"/>
    <n v="29550.93174969836"/>
  </r>
  <r>
    <d v="2026-04-24T00:00:00"/>
    <x v="4"/>
    <s v="ACVE SARI"/>
    <m/>
    <x v="1"/>
    <s v="ST00000002057"/>
    <s v="SATIŞ"/>
    <s v="NAKİT"/>
    <n v="0.78749999999999998"/>
    <n v="400"/>
    <n v="0"/>
    <n v="0"/>
    <m/>
    <m/>
    <m/>
    <m/>
    <n v="315"/>
    <n v="0"/>
    <n v="29865.93174969836"/>
  </r>
  <r>
    <d v="2026-04-24T00:00:00"/>
    <x v="4"/>
    <s v="MEBRUM HURMA  NO 1"/>
    <m/>
    <x v="1"/>
    <s v="ST00000002057"/>
    <s v="SATIŞ"/>
    <s v="NAKİT"/>
    <n v="1"/>
    <n v="550"/>
    <n v="0"/>
    <n v="0"/>
    <m/>
    <m/>
    <m/>
    <m/>
    <n v="550"/>
    <n v="0"/>
    <n v="30415.93174969836"/>
  </r>
  <r>
    <d v="2026-04-24T00:00:00"/>
    <x v="4"/>
    <s v="KABUKLU CEVİZ (YERLİ)"/>
    <m/>
    <x v="1"/>
    <s v="ST00000002057"/>
    <s v="SATIŞ"/>
    <s v="NAKİT"/>
    <n v="1"/>
    <n v="250"/>
    <n v="0"/>
    <n v="0"/>
    <m/>
    <m/>
    <m/>
    <m/>
    <n v="250"/>
    <n v="0"/>
    <n v="30665.93174969836"/>
  </r>
  <r>
    <d v="2026-04-24T00:00:00"/>
    <x v="4"/>
    <s v="TOZ BİBER - TATLI"/>
    <m/>
    <x v="1"/>
    <s v="ST00000002057"/>
    <s v="SATIŞ"/>
    <s v="NAKİT"/>
    <n v="0.28499999999999998"/>
    <n v="375"/>
    <n v="0"/>
    <n v="0"/>
    <m/>
    <m/>
    <m/>
    <m/>
    <n v="106.87499999999999"/>
    <n v="0"/>
    <n v="30772.80674969836"/>
  </r>
  <r>
    <d v="2026-04-24T00:00:00"/>
    <x v="4"/>
    <s v="İPEK BİBER"/>
    <m/>
    <x v="1"/>
    <s v="ST00000002058"/>
    <s v="SATIŞ"/>
    <s v="NAKİT"/>
    <n v="0.19"/>
    <n v="500"/>
    <n v="0"/>
    <n v="0"/>
    <m/>
    <m/>
    <m/>
    <m/>
    <n v="95"/>
    <n v="0"/>
    <n v="30867.80674969836"/>
  </r>
  <r>
    <d v="2026-04-24T00:00:00"/>
    <x v="4"/>
    <s v="DOLMALIK KURU TATLI KIRMIZI BİBER"/>
    <m/>
    <x v="1"/>
    <s v="ST00000002058"/>
    <s v="SATIŞ"/>
    <s v="NAKİT"/>
    <n v="2"/>
    <n v="175"/>
    <n v="0"/>
    <n v="0"/>
    <m/>
    <m/>
    <m/>
    <m/>
    <n v="350"/>
    <n v="0"/>
    <n v="31217.80674969836"/>
  </r>
  <r>
    <d v="2026-04-24T00:00:00"/>
    <x v="4"/>
    <s v="DOLMALIK KURU TATLI KIRMIZI BİBER"/>
    <m/>
    <x v="5"/>
    <s v="ST00000002059"/>
    <s v="SATIŞ"/>
    <s v="POS"/>
    <n v="2"/>
    <n v="175"/>
    <n v="350"/>
    <n v="0"/>
    <m/>
    <m/>
    <m/>
    <m/>
    <n v="0"/>
    <n v="0"/>
    <n v="31217.80674969836"/>
  </r>
  <r>
    <d v="2026-04-24T00:00:00"/>
    <x v="4"/>
    <s v="LOBAS SAF NAR EKŞİSİ 1 KG"/>
    <m/>
    <x v="5"/>
    <s v="ST00000002059"/>
    <s v="SATIŞ"/>
    <s v="POS"/>
    <n v="1"/>
    <n v="340"/>
    <n v="340"/>
    <n v="0"/>
    <m/>
    <m/>
    <m/>
    <m/>
    <n v="0"/>
    <n v="0"/>
    <n v="31217.80674969836"/>
  </r>
  <r>
    <d v="2026-04-24T00:00:00"/>
    <x v="4"/>
    <s v="DOMATES SALÇASI"/>
    <m/>
    <x v="1"/>
    <s v="ST00000002060"/>
    <s v="SATIŞ"/>
    <s v="NAKİT"/>
    <n v="1"/>
    <n v="150"/>
    <n v="0"/>
    <n v="0"/>
    <m/>
    <m/>
    <m/>
    <m/>
    <n v="150"/>
    <n v="0"/>
    <n v="31367.80674969836"/>
  </r>
  <r>
    <d v="2026-04-24T00:00:00"/>
    <x v="4"/>
    <s v="CİVAN PERÇEMİ"/>
    <m/>
    <x v="1"/>
    <s v="ST00000002060"/>
    <s v="SATIŞ"/>
    <s v="NAKİT"/>
    <n v="0.05"/>
    <n v="500"/>
    <n v="0"/>
    <n v="0"/>
    <m/>
    <m/>
    <m/>
    <m/>
    <n v="25"/>
    <n v="0"/>
    <n v="31392.80674969836"/>
  </r>
  <r>
    <d v="2026-04-24T00:00:00"/>
    <x v="4"/>
    <s v="HAYIT TOHUMU"/>
    <m/>
    <x v="1"/>
    <s v="ST00000002060"/>
    <s v="SATIŞ"/>
    <s v="NAKİT"/>
    <n v="0.1"/>
    <n v="500"/>
    <n v="0"/>
    <n v="0"/>
    <m/>
    <m/>
    <m/>
    <m/>
    <n v="50"/>
    <n v="0"/>
    <n v="31442.80674969836"/>
  </r>
  <r>
    <d v="2026-04-24T00:00:00"/>
    <x v="4"/>
    <s v="YENİ MAHSÜL PAPATYA"/>
    <m/>
    <x v="1"/>
    <s v="ST00000002060"/>
    <s v="SATIŞ"/>
    <s v="NAKİT"/>
    <n v="0.05"/>
    <n v="1500"/>
    <n v="0"/>
    <n v="0"/>
    <m/>
    <m/>
    <m/>
    <m/>
    <n v="75"/>
    <n v="0"/>
    <n v="31517.80674969836"/>
  </r>
  <r>
    <d v="2026-04-24T00:00:00"/>
    <x v="4"/>
    <s v="EL-RUHA ÇAY (AÇIK)"/>
    <m/>
    <x v="1"/>
    <s v="ST00000002061"/>
    <s v="SATIŞ"/>
    <s v="NAKİT"/>
    <n v="0.25"/>
    <n v="700"/>
    <n v="0"/>
    <n v="0"/>
    <m/>
    <m/>
    <m/>
    <m/>
    <n v="175"/>
    <n v="0"/>
    <n v="31692.80674969836"/>
  </r>
  <r>
    <d v="2026-04-24T00:00:00"/>
    <x v="4"/>
    <s v="KABUKLU CEVİZ (YERLİ)"/>
    <m/>
    <x v="1"/>
    <s v="ST00000002061"/>
    <s v="SATIŞ"/>
    <s v="NAKİT"/>
    <n v="2"/>
    <n v="250"/>
    <n v="0"/>
    <n v="0"/>
    <m/>
    <m/>
    <m/>
    <m/>
    <n v="500"/>
    <n v="0"/>
    <n v="32192.80674969836"/>
  </r>
  <r>
    <d v="2026-04-24T00:00:00"/>
    <x v="4"/>
    <s v="SARIHALİLE"/>
    <m/>
    <x v="5"/>
    <s v="ST00000002062"/>
    <s v="SATIŞ"/>
    <s v="POS"/>
    <n v="0.1"/>
    <n v="850"/>
    <n v="85"/>
    <n v="0"/>
    <m/>
    <m/>
    <m/>
    <m/>
    <n v="0"/>
    <n v="0"/>
    <n v="32192.80674969836"/>
  </r>
  <r>
    <d v="2026-04-24T00:00:00"/>
    <x v="4"/>
    <s v="FİTOZEN İNGİLİZ TUZU 200 GR"/>
    <m/>
    <x v="5"/>
    <s v="ST00000002062"/>
    <s v="SATIŞ"/>
    <s v="POS"/>
    <n v="1"/>
    <n v="80"/>
    <n v="80"/>
    <n v="0"/>
    <m/>
    <m/>
    <m/>
    <m/>
    <n v="0"/>
    <n v="0"/>
    <n v="32192.80674969836"/>
  </r>
  <r>
    <d v="2026-04-24T00:00:00"/>
    <x v="4"/>
    <s v="EL-RUHA ÇAY (AÇIK)"/>
    <m/>
    <x v="5"/>
    <s v="ST00000002062"/>
    <s v="SATIŞ"/>
    <s v="POS"/>
    <n v="0.25"/>
    <n v="700"/>
    <n v="175"/>
    <n v="0"/>
    <m/>
    <m/>
    <m/>
    <m/>
    <n v="0"/>
    <n v="0"/>
    <n v="32192.80674969836"/>
  </r>
  <r>
    <d v="2026-04-24T00:00:00"/>
    <x v="4"/>
    <s v="BAMYA TOHUMU"/>
    <m/>
    <x v="5"/>
    <s v="ST00000002062"/>
    <s v="SATIŞ"/>
    <s v="POS"/>
    <n v="0.1"/>
    <n v="900"/>
    <n v="90"/>
    <n v="0"/>
    <m/>
    <m/>
    <m/>
    <m/>
    <n v="0"/>
    <n v="0"/>
    <n v="32192.80674969836"/>
  </r>
  <r>
    <d v="2026-04-25T00:00:00"/>
    <x v="4"/>
    <s v="KARABİBER ÇEKİLMİŞ"/>
    <m/>
    <x v="5"/>
    <s v="ST00000002063"/>
    <s v="SATIŞ"/>
    <s v="POS"/>
    <n v="4.6153846153846156E-2"/>
    <n v="650"/>
    <n v="30"/>
    <n v="0"/>
    <m/>
    <m/>
    <m/>
    <m/>
    <n v="0"/>
    <n v="0"/>
    <n v="32192.80674969836"/>
  </r>
  <r>
    <d v="2026-04-25T00:00:00"/>
    <x v="4"/>
    <s v="HASEVLİK"/>
    <m/>
    <x v="1"/>
    <s v="ST00000002064"/>
    <s v="SATIŞ"/>
    <s v="NAKİT"/>
    <n v="9.555555555555556E-2"/>
    <n v="450"/>
    <n v="0"/>
    <n v="0"/>
    <m/>
    <m/>
    <m/>
    <m/>
    <n v="43"/>
    <n v="0"/>
    <n v="32235.80674969836"/>
  </r>
  <r>
    <d v="2026-04-25T00:00:00"/>
    <x v="4"/>
    <s v="EVLİK BİBER"/>
    <m/>
    <x v="1"/>
    <s v="ST00000002064"/>
    <s v="SATIŞ"/>
    <s v="NAKİT"/>
    <n v="0.17"/>
    <n v="400"/>
    <n v="0"/>
    <n v="0"/>
    <m/>
    <m/>
    <m/>
    <m/>
    <n v="68"/>
    <n v="0"/>
    <n v="32303.80674969836"/>
  </r>
  <r>
    <d v="2026-04-25T00:00:00"/>
    <x v="4"/>
    <s v="KARANFİL"/>
    <m/>
    <x v="1"/>
    <s v="ST00000002064"/>
    <s v="SATIŞ"/>
    <s v="NAKİT"/>
    <n v="0.05"/>
    <n v="1200"/>
    <n v="0"/>
    <n v="0"/>
    <m/>
    <m/>
    <m/>
    <m/>
    <n v="60"/>
    <n v="0"/>
    <n v="32363.80674969836"/>
  </r>
  <r>
    <d v="2026-04-25T00:00:00"/>
    <x v="4"/>
    <s v="NANE İRİ"/>
    <m/>
    <x v="1"/>
    <s v="ST00000002064"/>
    <s v="SATIŞ"/>
    <s v="NAKİT"/>
    <n v="0.25"/>
    <n v="400"/>
    <n v="0"/>
    <n v="0"/>
    <m/>
    <m/>
    <m/>
    <m/>
    <n v="100"/>
    <n v="0"/>
    <n v="32463.80674969836"/>
  </r>
  <r>
    <d v="2026-04-25T00:00:00"/>
    <x v="4"/>
    <s v="SALÇA TATLI (EV YAPIMI)"/>
    <m/>
    <x v="1"/>
    <s v="ST00000002064"/>
    <s v="SATIŞ"/>
    <s v="NAKİT"/>
    <n v="0.5"/>
    <n v="200"/>
    <n v="0"/>
    <n v="0"/>
    <m/>
    <m/>
    <m/>
    <m/>
    <n v="100"/>
    <n v="0"/>
    <n v="32563.80674969836"/>
  </r>
  <r>
    <d v="2026-04-25T00:00:00"/>
    <x v="4"/>
    <s v="CEVİZLİ SUCUK ATOM (ESMER)"/>
    <m/>
    <x v="1"/>
    <s v="ST00000002065"/>
    <s v="SATIŞ"/>
    <s v="NAKİT"/>
    <n v="0.1"/>
    <n v="350"/>
    <n v="0"/>
    <n v="0"/>
    <m/>
    <m/>
    <m/>
    <m/>
    <n v="35"/>
    <n v="0"/>
    <n v="32598.80674969836"/>
  </r>
  <r>
    <d v="2026-04-25T00:00:00"/>
    <x v="4"/>
    <s v="İSOT"/>
    <m/>
    <x v="5"/>
    <s v="ST00000002066"/>
    <s v="SATIŞ"/>
    <s v="POS"/>
    <n v="1"/>
    <n v="400"/>
    <n v="400"/>
    <n v="0"/>
    <m/>
    <m/>
    <m/>
    <m/>
    <n v="0"/>
    <n v="0"/>
    <n v="32598.80674969836"/>
  </r>
  <r>
    <d v="2026-04-25T00:00:00"/>
    <x v="4"/>
    <s v="DOMATES SALÇASI"/>
    <m/>
    <x v="5"/>
    <s v="ST00000002066"/>
    <s v="SATIŞ"/>
    <s v="POS"/>
    <n v="1"/>
    <n v="150"/>
    <n v="150"/>
    <n v="0"/>
    <m/>
    <m/>
    <m/>
    <m/>
    <n v="0"/>
    <n v="0"/>
    <n v="32598.80674969836"/>
  </r>
  <r>
    <d v="2026-04-25T00:00:00"/>
    <x v="4"/>
    <s v="ESMER BULGUR (AKIN)"/>
    <m/>
    <x v="5"/>
    <s v="ST00000002066"/>
    <s v="SATIŞ"/>
    <s v="POS"/>
    <n v="2"/>
    <n v="61"/>
    <n v="122"/>
    <n v="0"/>
    <m/>
    <m/>
    <m/>
    <m/>
    <n v="0"/>
    <n v="0"/>
    <n v="32598.80674969836"/>
  </r>
  <r>
    <d v="2026-04-25T00:00:00"/>
    <x v="4"/>
    <s v="KİMYON ÇEKİLMİŞ"/>
    <m/>
    <x v="5"/>
    <s v="ST00000002066"/>
    <s v="SATIŞ"/>
    <s v="POS"/>
    <n v="7.1999999999999995E-2"/>
    <n v="400"/>
    <n v="28.799999999999997"/>
    <n v="0"/>
    <m/>
    <m/>
    <m/>
    <m/>
    <n v="0"/>
    <n v="0"/>
    <n v="32598.80674969836"/>
  </r>
  <r>
    <d v="2026-04-25T00:00:00"/>
    <x v="4"/>
    <s v="BUĞDAY NİŞASTASI"/>
    <m/>
    <x v="1"/>
    <s v="ST00000002067"/>
    <s v="SATIŞ"/>
    <s v="NAKİT"/>
    <n v="1"/>
    <n v="120"/>
    <n v="0"/>
    <n v="0"/>
    <m/>
    <m/>
    <m/>
    <m/>
    <n v="120"/>
    <n v="0"/>
    <n v="32718.80674969836"/>
  </r>
  <r>
    <d v="2026-04-25T00:00:00"/>
    <x v="4"/>
    <s v="PUDRA ŞEKERİ"/>
    <m/>
    <x v="1"/>
    <s v="ST00000002067"/>
    <s v="SATIŞ"/>
    <s v="NAKİT"/>
    <n v="1"/>
    <n v="80"/>
    <n v="0"/>
    <n v="0"/>
    <m/>
    <m/>
    <m/>
    <m/>
    <n v="80"/>
    <n v="0"/>
    <n v="32798.806749698357"/>
  </r>
  <r>
    <d v="2026-04-25T00:00:00"/>
    <x v="4"/>
    <s v="SOSLU MISIR YERLİ"/>
    <m/>
    <x v="1"/>
    <s v="ST00000002067"/>
    <s v="SATIŞ"/>
    <s v="NAKİT"/>
    <n v="0.22727272727272727"/>
    <n v="220"/>
    <n v="0"/>
    <n v="0"/>
    <m/>
    <m/>
    <m/>
    <m/>
    <n v="50"/>
    <n v="0"/>
    <n v="32848.806749698357"/>
  </r>
  <r>
    <d v="2026-04-25T00:00:00"/>
    <x v="4"/>
    <s v="ŞİFAVER BITTIM HATAY SABUNU"/>
    <m/>
    <x v="1"/>
    <s v="ST00000002068"/>
    <s v="SATIŞ"/>
    <s v="NAKİT"/>
    <n v="1"/>
    <n v="50"/>
    <n v="0"/>
    <n v="0"/>
    <m/>
    <m/>
    <m/>
    <m/>
    <n v="50"/>
    <n v="0"/>
    <n v="32898.806749698357"/>
  </r>
  <r>
    <d v="2026-04-25T00:00:00"/>
    <x v="4"/>
    <s v="NAHİTA ÜZÜM SİRKESİ"/>
    <m/>
    <x v="5"/>
    <s v="ST00000002069"/>
    <s v="SATIŞ"/>
    <s v="POS"/>
    <n v="1"/>
    <n v="140"/>
    <n v="140"/>
    <n v="0"/>
    <m/>
    <m/>
    <m/>
    <m/>
    <n v="0"/>
    <n v="0"/>
    <n v="32898.806749698357"/>
  </r>
  <r>
    <d v="2026-04-25T00:00:00"/>
    <x v="4"/>
    <s v="ZEYTİN YAPRAĞI"/>
    <m/>
    <x v="5"/>
    <s v="ST00000002069"/>
    <s v="SATIŞ"/>
    <s v="POS"/>
    <n v="3.7499999999999999E-2"/>
    <n v="240"/>
    <n v="9"/>
    <n v="0"/>
    <m/>
    <m/>
    <m/>
    <m/>
    <n v="0"/>
    <n v="0"/>
    <n v="32898.806749698357"/>
  </r>
  <r>
    <d v="2026-04-25T00:00:00"/>
    <x v="4"/>
    <s v="MANİSA YAPRAK DÖKME"/>
    <m/>
    <x v="5"/>
    <s v="ST00000002070"/>
    <s v="SATIŞ"/>
    <s v="POS"/>
    <n v="0.65428571428571425"/>
    <n v="350"/>
    <n v="229"/>
    <n v="0"/>
    <m/>
    <m/>
    <m/>
    <m/>
    <n v="0"/>
    <n v="0"/>
    <n v="32898.806749698357"/>
  </r>
  <r>
    <d v="2026-04-25T00:00:00"/>
    <x v="4"/>
    <s v="DOLMALIK KURU PATLICAN"/>
    <m/>
    <x v="5"/>
    <s v="ST00000002071"/>
    <s v="SATIŞ"/>
    <s v="POS"/>
    <n v="1"/>
    <n v="250"/>
    <n v="250"/>
    <n v="0"/>
    <m/>
    <m/>
    <m/>
    <m/>
    <n v="0"/>
    <n v="0"/>
    <n v="32898.806749698357"/>
  </r>
  <r>
    <d v="2026-04-25T00:00:00"/>
    <x v="4"/>
    <s v="DOLMALIK SARI BİBER"/>
    <m/>
    <x v="5"/>
    <s v="ST00000002071"/>
    <s v="SATIŞ"/>
    <s v="POS"/>
    <n v="1"/>
    <n v="250"/>
    <n v="250"/>
    <n v="0"/>
    <m/>
    <m/>
    <m/>
    <m/>
    <n v="0"/>
    <n v="0"/>
    <n v="32898.806749698357"/>
  </r>
  <r>
    <d v="2026-04-25T00:00:00"/>
    <x v="4"/>
    <s v="KETEN TOHUMU"/>
    <m/>
    <x v="1"/>
    <s v="ST00000002072"/>
    <s v="SATIŞ"/>
    <s v="NAKİT"/>
    <n v="0.14399999999999999"/>
    <n v="140"/>
    <n v="0"/>
    <n v="0"/>
    <m/>
    <m/>
    <m/>
    <m/>
    <n v="20.16"/>
    <n v="0"/>
    <n v="32918.96674969836"/>
  </r>
  <r>
    <d v="2026-04-25T00:00:00"/>
    <x v="4"/>
    <s v="İPEK BİBER"/>
    <m/>
    <x v="5"/>
    <s v="ST00000002073"/>
    <s v="SATIŞ"/>
    <s v="POS"/>
    <n v="0.2"/>
    <n v="500"/>
    <n v="100"/>
    <n v="0"/>
    <m/>
    <m/>
    <m/>
    <m/>
    <n v="0"/>
    <n v="0"/>
    <n v="32918.96674969836"/>
  </r>
  <r>
    <d v="2026-04-25T00:00:00"/>
    <x v="4"/>
    <s v="KARABİBER ÇEKİLMİŞ"/>
    <m/>
    <x v="5"/>
    <s v="ST00000002073"/>
    <s v="SATIŞ"/>
    <s v="POS"/>
    <n v="0.15384615384615385"/>
    <n v="650"/>
    <n v="100"/>
    <n v="0"/>
    <m/>
    <m/>
    <m/>
    <m/>
    <n v="0"/>
    <n v="0"/>
    <n v="32918.96674969836"/>
  </r>
  <r>
    <d v="2026-04-25T00:00:00"/>
    <x v="4"/>
    <s v="NANE İRİ"/>
    <m/>
    <x v="5"/>
    <s v="ST00000002073"/>
    <s v="SATIŞ"/>
    <s v="POS"/>
    <n v="0.15"/>
    <n v="400"/>
    <n v="60"/>
    <n v="0"/>
    <m/>
    <m/>
    <m/>
    <m/>
    <n v="0"/>
    <n v="0"/>
    <n v="32918.96674969836"/>
  </r>
  <r>
    <d v="2026-04-25T00:00:00"/>
    <x v="4"/>
    <s v="ZERDEÇAL TOZ"/>
    <m/>
    <x v="5"/>
    <s v="ST00000002074"/>
    <s v="SATIŞ"/>
    <s v="POS"/>
    <n v="0.21333333333333335"/>
    <n v="300"/>
    <n v="64"/>
    <n v="0"/>
    <m/>
    <m/>
    <m/>
    <m/>
    <n v="0"/>
    <n v="0"/>
    <n v="32918.96674969836"/>
  </r>
  <r>
    <d v="2026-04-25T00:00:00"/>
    <x v="4"/>
    <s v="ZENCEFİL TOZ"/>
    <m/>
    <x v="5"/>
    <s v="ST00000002074"/>
    <s v="SATIŞ"/>
    <s v="POS"/>
    <n v="0.17499999999999999"/>
    <n v="400"/>
    <n v="70"/>
    <n v="0"/>
    <m/>
    <m/>
    <m/>
    <m/>
    <n v="0"/>
    <n v="0"/>
    <n v="32918.96674969836"/>
  </r>
  <r>
    <d v="2026-04-25T00:00:00"/>
    <x v="4"/>
    <s v="İZMİR ÜZÜMÜ"/>
    <m/>
    <x v="5"/>
    <s v="ST00000002074"/>
    <s v="SATIŞ"/>
    <s v="POS"/>
    <n v="0.56799999999999995"/>
    <n v="250"/>
    <n v="142"/>
    <n v="0"/>
    <m/>
    <m/>
    <m/>
    <m/>
    <n v="0"/>
    <n v="0"/>
    <n v="32918.96674969836"/>
  </r>
  <r>
    <d v="2026-04-25T00:00:00"/>
    <x v="4"/>
    <s v="DOLMALIK KURU PATLICAN"/>
    <m/>
    <x v="1"/>
    <s v="ST00000002075"/>
    <s v="SATIŞ"/>
    <s v="NAKİT"/>
    <n v="1"/>
    <n v="250"/>
    <n v="0"/>
    <n v="0"/>
    <m/>
    <m/>
    <m/>
    <m/>
    <n v="250"/>
    <n v="0"/>
    <n v="33168.96674969836"/>
  </r>
  <r>
    <d v="2026-04-25T00:00:00"/>
    <x v="4"/>
    <s v="DOLMALIK KURU TATLI KIRMIZI BİBER"/>
    <m/>
    <x v="1"/>
    <s v="ST00000002076"/>
    <s v="SATIŞ"/>
    <s v="NAKİT"/>
    <n v="1.2"/>
    <n v="167"/>
    <n v="0"/>
    <n v="0"/>
    <m/>
    <m/>
    <m/>
    <m/>
    <n v="200.4"/>
    <n v="0"/>
    <n v="33369.366749698362"/>
  </r>
  <r>
    <d v="2026-04-26T00:00:00"/>
    <x v="10"/>
    <m/>
    <m/>
    <x v="5"/>
    <m/>
    <s v="ON NUMARA POS ÇÖZÜMÜ KDV"/>
    <s v="POS"/>
    <n v="1"/>
    <n v="791"/>
    <n v="0"/>
    <n v="791"/>
    <m/>
    <m/>
    <m/>
    <m/>
    <n v="791"/>
    <n v="0"/>
    <n v="34160.366749698362"/>
  </r>
  <r>
    <d v="2026-04-26T00:00:00"/>
    <x v="1"/>
    <m/>
    <s v="VERGİ VE HARÇLAR"/>
    <x v="1"/>
    <m/>
    <s v="KDV ÖDEME - ON NUMARA KART İLE"/>
    <s v="NAKİT"/>
    <n v="1"/>
    <n v="791"/>
    <n v="0"/>
    <n v="0"/>
    <m/>
    <m/>
    <m/>
    <m/>
    <n v="0"/>
    <n v="791"/>
    <n v="33369.366749698362"/>
  </r>
  <r>
    <d v="2026-04-27T00:00:00"/>
    <x v="4"/>
    <s v="EL-RUHA ÇAY (AÇIK)"/>
    <m/>
    <x v="1"/>
    <s v="ST00000002077"/>
    <s v="SATIŞ"/>
    <s v="NAKİT"/>
    <n v="1"/>
    <n v="700"/>
    <n v="0"/>
    <n v="0"/>
    <m/>
    <m/>
    <m/>
    <m/>
    <n v="700"/>
    <n v="0"/>
    <n v="34069.366749698362"/>
  </r>
  <r>
    <d v="2026-04-27T00:00:00"/>
    <x v="4"/>
    <s v="TÜRK KAHVESİ"/>
    <m/>
    <x v="5"/>
    <s v="ST00000002078"/>
    <s v="SATIŞ"/>
    <s v="POS"/>
    <n v="1.458"/>
    <n v="600"/>
    <n v="874.8"/>
    <n v="0"/>
    <m/>
    <m/>
    <m/>
    <m/>
    <n v="0"/>
    <n v="0"/>
    <n v="34069.366749698362"/>
  </r>
  <r>
    <d v="2026-04-27T00:00:00"/>
    <x v="4"/>
    <s v="KARABİBER ÇEKİLMİŞ"/>
    <m/>
    <x v="1"/>
    <s v="ST00000002079"/>
    <s v="SATIŞ - TOPTAN - SEMERKAND EV"/>
    <s v="NAKİT"/>
    <n v="0.33600000000000002"/>
    <n v="500"/>
    <n v="0"/>
    <n v="0"/>
    <m/>
    <m/>
    <m/>
    <m/>
    <n v="168"/>
    <n v="0"/>
    <n v="34237.366749698362"/>
  </r>
  <r>
    <d v="2026-04-27T00:00:00"/>
    <x v="4"/>
    <s v="SUMAK"/>
    <m/>
    <x v="1"/>
    <s v="ST00000002079"/>
    <s v="SATIŞ - TOPTAN - SEMERKAND EV"/>
    <s v="NAKİT"/>
    <n v="1.1857142857142857"/>
    <n v="350"/>
    <n v="0"/>
    <n v="0"/>
    <m/>
    <m/>
    <m/>
    <m/>
    <n v="415"/>
    <n v="0"/>
    <n v="34652.366749698362"/>
  </r>
  <r>
    <d v="2026-04-27T00:00:00"/>
    <x v="4"/>
    <s v="KİMYON ÇEKİLMİŞ"/>
    <m/>
    <x v="1"/>
    <s v="ST00000002079"/>
    <s v="SATIŞ - TOPTAN - SEMERKAND EV"/>
    <s v="NAKİT"/>
    <n v="0.52333333333333332"/>
    <n v="300"/>
    <n v="0"/>
    <n v="0"/>
    <m/>
    <m/>
    <m/>
    <m/>
    <n v="157"/>
    <n v="0"/>
    <n v="34809.366749698362"/>
  </r>
  <r>
    <d v="2026-04-27T00:00:00"/>
    <x v="4"/>
    <s v="TOZ BİBER - TATLI"/>
    <m/>
    <x v="1"/>
    <s v="ST00000002079"/>
    <s v="SATIŞ - TOPTAN - SEMERKAND EV"/>
    <s v="NAKİT"/>
    <n v="0.61132075471698111"/>
    <n v="265"/>
    <n v="0"/>
    <n v="0"/>
    <m/>
    <m/>
    <m/>
    <m/>
    <n v="162"/>
    <n v="0"/>
    <n v="34971.366749698362"/>
  </r>
  <r>
    <d v="2026-04-27T00:00:00"/>
    <x v="4"/>
    <s v="MANİSA YAPRAK DÖKME"/>
    <m/>
    <x v="1"/>
    <s v="ST00000002079"/>
    <s v="SATIŞ - TOPTAN - SEMERKAND EV"/>
    <s v="NAKİT"/>
    <n v="5"/>
    <n v="300"/>
    <n v="0"/>
    <n v="0"/>
    <m/>
    <m/>
    <m/>
    <m/>
    <n v="1500"/>
    <n v="0"/>
    <n v="36471.366749698362"/>
  </r>
  <r>
    <d v="2026-04-27T00:00:00"/>
    <x v="4"/>
    <s v="DOLMALIK KURU PATLICAN"/>
    <m/>
    <x v="1"/>
    <s v="ST00000002079"/>
    <s v="SATIŞ - TOPTAN - SEMERKAND EV"/>
    <s v="NAKİT"/>
    <n v="5"/>
    <n v="200"/>
    <n v="0"/>
    <n v="0"/>
    <m/>
    <m/>
    <m/>
    <m/>
    <n v="1000"/>
    <n v="0"/>
    <n v="37471.366749698362"/>
  </r>
  <r>
    <d v="2026-04-27T00:00:00"/>
    <x v="4"/>
    <s v="DOMATES SALÇASI"/>
    <m/>
    <x v="1"/>
    <s v="ST00000002079"/>
    <s v="SATIŞ - TOPTAN - SEMERKAND EV"/>
    <s v="NAKİT"/>
    <n v="2.85"/>
    <n v="120"/>
    <n v="0"/>
    <n v="0"/>
    <m/>
    <m/>
    <m/>
    <m/>
    <n v="342"/>
    <n v="0"/>
    <n v="37813.366749698362"/>
  </r>
  <r>
    <d v="2026-04-27T00:00:00"/>
    <x v="4"/>
    <s v="CHİA TOHUMU DÖKME"/>
    <m/>
    <x v="5"/>
    <s v="ST00000002080"/>
    <s v="SATIŞ"/>
    <s v="POS"/>
    <n v="0.5"/>
    <n v="280"/>
    <n v="140"/>
    <n v="0"/>
    <m/>
    <m/>
    <m/>
    <m/>
    <n v="0"/>
    <n v="0"/>
    <n v="37813.366749698362"/>
  </r>
  <r>
    <d v="2026-04-27T00:00:00"/>
    <x v="4"/>
    <s v="GENÇAY KEÇİ BOYNUZU ÖZÜ 675 GR"/>
    <m/>
    <x v="1"/>
    <s v="ST00000002081"/>
    <s v="SATIŞ"/>
    <s v="NAKİT"/>
    <n v="1"/>
    <n v="190"/>
    <n v="0"/>
    <n v="0"/>
    <m/>
    <m/>
    <m/>
    <m/>
    <n v="190"/>
    <n v="0"/>
    <n v="38003.366749698362"/>
  </r>
  <r>
    <d v="2026-04-27T00:00:00"/>
    <x v="4"/>
    <s v="NAHİTA IŞGIN SİRKESİ"/>
    <m/>
    <x v="1"/>
    <s v="ST00000002081"/>
    <s v="SATIŞ"/>
    <s v="NAKİT"/>
    <n v="1"/>
    <n v="200"/>
    <n v="0"/>
    <n v="0"/>
    <m/>
    <m/>
    <m/>
    <m/>
    <n v="200"/>
    <n v="0"/>
    <n v="38203.366749698362"/>
  </r>
  <r>
    <d v="2026-04-27T00:00:00"/>
    <x v="4"/>
    <s v="MISIR PÜSKÜLÜ"/>
    <m/>
    <x v="1"/>
    <s v="ST00000002081"/>
    <s v="SATIŞ"/>
    <s v="NAKİT"/>
    <n v="1.8461538461538463E-2"/>
    <n v="1000"/>
    <n v="0"/>
    <n v="0"/>
    <m/>
    <m/>
    <m/>
    <m/>
    <n v="18.461538461538463"/>
    <n v="0"/>
    <n v="38221.828288159901"/>
  </r>
  <r>
    <d v="2026-04-27T00:00:00"/>
    <x v="4"/>
    <s v="KİRAZ SAPI"/>
    <m/>
    <x v="1"/>
    <s v="ST00000002081"/>
    <s v="SATIŞ"/>
    <s v="NAKİT"/>
    <n v="4.8750000000000002E-2"/>
    <n v="500"/>
    <n v="0"/>
    <n v="0"/>
    <m/>
    <m/>
    <m/>
    <m/>
    <n v="24.375"/>
    <n v="0"/>
    <n v="38246.203288159901"/>
  </r>
  <r>
    <d v="2026-04-27T00:00:00"/>
    <x v="4"/>
    <s v="BİBERİYE"/>
    <m/>
    <x v="1"/>
    <s v="ST00000002081"/>
    <s v="SATIŞ"/>
    <s v="NAKİT"/>
    <n v="0.05"/>
    <n v="600"/>
    <n v="0"/>
    <n v="0"/>
    <m/>
    <m/>
    <m/>
    <m/>
    <n v="30"/>
    <n v="0"/>
    <n v="38276.203288159901"/>
  </r>
  <r>
    <d v="2026-04-27T00:00:00"/>
    <x v="4"/>
    <s v="YEŞİL ÇAY YAPRAK"/>
    <m/>
    <x v="1"/>
    <s v="ST00000002081"/>
    <s v="SATIŞ"/>
    <s v="NAKİT"/>
    <n v="0.1"/>
    <n v="800"/>
    <n v="0"/>
    <n v="0"/>
    <m/>
    <m/>
    <m/>
    <m/>
    <n v="80"/>
    <n v="0"/>
    <n v="38356.203288159901"/>
  </r>
  <r>
    <d v="2026-04-27T00:00:00"/>
    <x v="4"/>
    <s v="ERBATAB LUGOL İYOT %2 SIVI TAKVİYE 20 ML TİROİD FONKSİYONUNU DESTEKLEYEN FORMÜL"/>
    <m/>
    <x v="1"/>
    <s v="ST00000002082"/>
    <s v="SATIŞ"/>
    <s v="NAKİT"/>
    <n v="1"/>
    <n v="310"/>
    <n v="0"/>
    <n v="0"/>
    <m/>
    <m/>
    <m/>
    <m/>
    <n v="310"/>
    <n v="0"/>
    <n v="38666.203288159901"/>
  </r>
  <r>
    <d v="2026-04-27T00:00:00"/>
    <x v="4"/>
    <s v="TÜDAB KEÇİ BOYNUZU (DÖKME)"/>
    <m/>
    <x v="1"/>
    <s v="ST00000002083"/>
    <s v="SATIŞ"/>
    <s v="NAKİT"/>
    <n v="1.0228571428571429"/>
    <n v="350"/>
    <n v="0"/>
    <n v="0"/>
    <m/>
    <m/>
    <m/>
    <m/>
    <n v="358"/>
    <n v="0"/>
    <n v="39024.203288159901"/>
  </r>
  <r>
    <d v="2026-04-27T00:00:00"/>
    <x v="4"/>
    <s v="CEVİZLİ SUCUK ATOM (ESMER)"/>
    <m/>
    <x v="1"/>
    <s v="ST00000002083"/>
    <s v="SATIŞ"/>
    <s v="NAKİT"/>
    <n v="0.45714285714285713"/>
    <n v="350"/>
    <n v="0"/>
    <n v="0"/>
    <m/>
    <m/>
    <m/>
    <m/>
    <n v="160"/>
    <n v="0"/>
    <n v="39184.203288159901"/>
  </r>
  <r>
    <d v="2026-04-27T00:00:00"/>
    <x v="10"/>
    <m/>
    <m/>
    <x v="5"/>
    <m/>
    <s v="ON NUMARA POS ÇÖZÜMÜ İSKİ"/>
    <s v="POS"/>
    <n v="1"/>
    <n v="307.89999999999998"/>
    <n v="0"/>
    <n v="307.89999999999998"/>
    <m/>
    <m/>
    <m/>
    <m/>
    <n v="307.89999999999998"/>
    <n v="0"/>
    <n v="39492.103288159902"/>
  </r>
  <r>
    <d v="2026-04-27T00:00:00"/>
    <x v="1"/>
    <m/>
    <s v="FATURA GİDERLERİ"/>
    <x v="1"/>
    <m/>
    <s v="ON NUMARA POS ÇÖZÜMÜ İSKİ"/>
    <s v="NAKİT"/>
    <n v="1"/>
    <n v="307.89999999999998"/>
    <n v="0"/>
    <n v="0"/>
    <m/>
    <m/>
    <m/>
    <m/>
    <n v="0"/>
    <n v="307.89999999999998"/>
    <n v="39184.203288159901"/>
  </r>
  <r>
    <d v="2026-04-27T00:00:00"/>
    <x v="10"/>
    <m/>
    <m/>
    <x v="5"/>
    <m/>
    <s v="ON NUMARA POS ÇÖZÜMÜ İSKİ"/>
    <s v="POS"/>
    <n v="1"/>
    <n v="1507.1"/>
    <n v="0"/>
    <n v="1507.1"/>
    <m/>
    <m/>
    <m/>
    <m/>
    <n v="1507.1"/>
    <n v="0"/>
    <n v="40691.303288159899"/>
  </r>
  <r>
    <d v="2026-04-27T00:00:00"/>
    <x v="1"/>
    <m/>
    <s v="FATURA GİDERLERİ"/>
    <x v="1"/>
    <m/>
    <s v="ON NUMARA POS ÇÖZÜMÜ İSKİ"/>
    <s v="NAKİT"/>
    <n v="1"/>
    <n v="1507.1"/>
    <n v="0"/>
    <n v="0"/>
    <m/>
    <m/>
    <m/>
    <m/>
    <n v="0"/>
    <n v="1507.1"/>
    <n v="39184.203288159901"/>
  </r>
  <r>
    <d v="2026-04-28T00:00:00"/>
    <x v="4"/>
    <s v="ZENCEFİL TOZ"/>
    <m/>
    <x v="1"/>
    <s v="ST00000002084"/>
    <s v="SATIŞ"/>
    <s v="NAKİT"/>
    <n v="0.14000000000000001"/>
    <n v="400"/>
    <n v="0"/>
    <n v="0"/>
    <m/>
    <m/>
    <m/>
    <m/>
    <n v="56.000000000000007"/>
    <n v="0"/>
    <n v="39240.203288159901"/>
  </r>
  <r>
    <d v="2026-04-28T00:00:00"/>
    <x v="4"/>
    <s v="İĞDE ÇEKİRDEĞİ TOZU"/>
    <m/>
    <x v="1"/>
    <s v="ST00000002084"/>
    <s v="SATIŞ"/>
    <s v="NAKİT"/>
    <n v="0.15625"/>
    <n v="320"/>
    <n v="0"/>
    <n v="0"/>
    <m/>
    <m/>
    <m/>
    <m/>
    <n v="50"/>
    <n v="0"/>
    <n v="39290.203288159901"/>
  </r>
  <r>
    <d v="2026-04-28T00:00:00"/>
    <x v="4"/>
    <s v="PEINEILI GİNSENG KUVVET BİTKİSEL KARIŞIMLI MACUN"/>
    <m/>
    <x v="1"/>
    <s v="ST00000002085"/>
    <s v="SATIŞ"/>
    <s v="NAKİT"/>
    <n v="1"/>
    <n v="450"/>
    <n v="0"/>
    <n v="0"/>
    <m/>
    <m/>
    <m/>
    <m/>
    <n v="450"/>
    <n v="0"/>
    <n v="39740.203288159901"/>
  </r>
  <r>
    <d v="2026-04-28T00:00:00"/>
    <x v="4"/>
    <s v="EL-RUHA ÇAY (AÇIK)"/>
    <m/>
    <x v="5"/>
    <s v="ST00000002086"/>
    <s v="SATIŞ"/>
    <s v="POS"/>
    <n v="0.25"/>
    <n v="600"/>
    <n v="150"/>
    <n v="0"/>
    <m/>
    <m/>
    <m/>
    <m/>
    <n v="0"/>
    <n v="0"/>
    <n v="39740.203288159901"/>
  </r>
  <r>
    <d v="2026-04-28T00:00:00"/>
    <x v="4"/>
    <s v="MUSKAT TANE (HİNT CEVİZİ)"/>
    <m/>
    <x v="5"/>
    <s v="ST00000002087"/>
    <s v="SATIŞ"/>
    <s v="POS"/>
    <n v="0.1"/>
    <n v="1200"/>
    <n v="120"/>
    <n v="0"/>
    <m/>
    <m/>
    <m/>
    <m/>
    <n v="0"/>
    <n v="0"/>
    <n v="39740.203288159901"/>
  </r>
  <r>
    <d v="2026-04-28T00:00:00"/>
    <x v="4"/>
    <s v="MISIR PÜSKÜLÜ"/>
    <m/>
    <x v="5"/>
    <s v="ST00000002087"/>
    <s v="SATIŞ"/>
    <s v="POS"/>
    <n v="8.199999999999999E-2"/>
    <n v="1300"/>
    <n v="106.59999999999998"/>
    <n v="0"/>
    <m/>
    <m/>
    <m/>
    <m/>
    <n v="0"/>
    <n v="0"/>
    <n v="39740.203288159901"/>
  </r>
  <r>
    <d v="2026-04-28T00:00:00"/>
    <x v="4"/>
    <s v="BAMYA TOHUMU"/>
    <m/>
    <x v="5"/>
    <s v="ST00000002087"/>
    <s v="SATIŞ"/>
    <s v="POS"/>
    <n v="0.1"/>
    <n v="900"/>
    <n v="90"/>
    <n v="0"/>
    <m/>
    <m/>
    <m/>
    <m/>
    <n v="0"/>
    <n v="0"/>
    <n v="39740.203288159901"/>
  </r>
  <r>
    <d v="2026-04-28T00:00:00"/>
    <x v="4"/>
    <s v="CİVAN PERÇEMİ"/>
    <m/>
    <x v="5"/>
    <s v="ST00000002087"/>
    <s v="SATIŞ"/>
    <s v="POS"/>
    <n v="0.05"/>
    <n v="1000"/>
    <n v="50"/>
    <n v="0"/>
    <m/>
    <m/>
    <m/>
    <m/>
    <n v="0"/>
    <n v="0"/>
    <n v="39740.203288159901"/>
  </r>
  <r>
    <d v="2026-04-28T00:00:00"/>
    <x v="4"/>
    <s v="HİNT YAĞI 50 CC"/>
    <m/>
    <x v="5"/>
    <s v="ST00000002087"/>
    <s v="SATIŞ"/>
    <s v="POS"/>
    <n v="1"/>
    <n v="130"/>
    <n v="130"/>
    <n v="0"/>
    <m/>
    <m/>
    <m/>
    <m/>
    <n v="0"/>
    <n v="0"/>
    <n v="39740.203288159901"/>
  </r>
  <r>
    <d v="2026-04-28T00:00:00"/>
    <x v="4"/>
    <s v="KARANFİL"/>
    <m/>
    <x v="5"/>
    <s v="ST00000002087"/>
    <s v="SATIŞ"/>
    <s v="POS"/>
    <n v="0.05"/>
    <n v="1200"/>
    <n v="60"/>
    <n v="0"/>
    <m/>
    <m/>
    <m/>
    <m/>
    <n v="0"/>
    <n v="0"/>
    <n v="39740.203288159901"/>
  </r>
  <r>
    <d v="2026-04-28T00:00:00"/>
    <x v="4"/>
    <s v="ÇUBUK TARÇIN"/>
    <m/>
    <x v="5"/>
    <s v="ST00000002087"/>
    <s v="SATIŞ"/>
    <s v="POS"/>
    <n v="0.05"/>
    <n v="1200"/>
    <n v="60"/>
    <n v="0"/>
    <m/>
    <m/>
    <m/>
    <m/>
    <n v="0"/>
    <n v="0"/>
    <n v="39740.203288159901"/>
  </r>
  <r>
    <d v="2026-04-28T00:00:00"/>
    <x v="4"/>
    <s v="KIRMIZI PUL BİBER TATLI"/>
    <m/>
    <x v="5"/>
    <s v="ST00000002088"/>
    <s v="SATIŞ"/>
    <s v="POS"/>
    <n v="0.27777777777777779"/>
    <n v="360"/>
    <n v="100"/>
    <n v="0"/>
    <m/>
    <m/>
    <m/>
    <m/>
    <n v="0"/>
    <n v="0"/>
    <n v="39740.203288159901"/>
  </r>
  <r>
    <d v="2026-04-28T00:00:00"/>
    <x v="4"/>
    <s v="SOSLU MISIR YERLİ"/>
    <m/>
    <x v="5"/>
    <s v="ST00000002088"/>
    <s v="SATIŞ"/>
    <s v="POS"/>
    <n v="0.22727272727272727"/>
    <n v="220"/>
    <n v="50"/>
    <n v="0"/>
    <m/>
    <m/>
    <m/>
    <m/>
    <n v="0"/>
    <n v="0"/>
    <n v="39740.203288159901"/>
  </r>
  <r>
    <d v="2026-04-28T00:00:00"/>
    <x v="4"/>
    <s v="NANE İRİ"/>
    <m/>
    <x v="5"/>
    <s v="ST00000002088"/>
    <s v="SATIŞ"/>
    <s v="POS"/>
    <n v="7.2499999999999995E-2"/>
    <n v="400"/>
    <n v="28.999999999999996"/>
    <n v="0"/>
    <m/>
    <m/>
    <m/>
    <m/>
    <n v="0"/>
    <n v="0"/>
    <n v="39740.203288159901"/>
  </r>
  <r>
    <d v="2026-04-28T00:00:00"/>
    <x v="4"/>
    <s v="TATLI BADEM YAĞI 50 CC"/>
    <m/>
    <x v="1"/>
    <s v="ST00000002089"/>
    <s v="SATIŞ"/>
    <s v="NAKİT"/>
    <n v="1"/>
    <n v="125"/>
    <n v="0"/>
    <n v="0"/>
    <m/>
    <m/>
    <m/>
    <m/>
    <n v="125"/>
    <n v="0"/>
    <n v="39865.203288159901"/>
  </r>
  <r>
    <d v="2026-04-28T00:00:00"/>
    <x v="4"/>
    <s v="LAVANTA YAĞI 10 CC"/>
    <m/>
    <x v="1"/>
    <s v="ST00000002089"/>
    <s v="SATIŞ"/>
    <s v="NAKİT"/>
    <n v="1"/>
    <n v="130"/>
    <n v="0"/>
    <n v="0"/>
    <m/>
    <m/>
    <m/>
    <m/>
    <n v="130"/>
    <n v="0"/>
    <n v="39995.203288159901"/>
  </r>
  <r>
    <d v="2026-04-28T00:00:00"/>
    <x v="4"/>
    <s v="MECİTEFENDİ LAVANTA ŞAMPUANI 400 ML"/>
    <m/>
    <x v="1"/>
    <s v="ST00000002089"/>
    <s v="SATIŞ"/>
    <s v="NAKİT"/>
    <n v="1"/>
    <n v="220"/>
    <n v="0"/>
    <n v="0"/>
    <m/>
    <m/>
    <m/>
    <m/>
    <n v="220"/>
    <n v="0"/>
    <n v="40215.203288159901"/>
  </r>
  <r>
    <d v="2026-04-28T00:00:00"/>
    <x v="4"/>
    <s v="AKGÜNLÜK BAHUR"/>
    <m/>
    <x v="1"/>
    <s v="ST00000002090"/>
    <s v="SATIŞ"/>
    <s v="NAKİT"/>
    <n v="0.1"/>
    <n v="2000"/>
    <n v="0"/>
    <n v="0"/>
    <m/>
    <m/>
    <m/>
    <m/>
    <n v="200"/>
    <n v="0"/>
    <n v="40415.203288159901"/>
  </r>
  <r>
    <d v="2026-04-28T00:00:00"/>
    <x v="4"/>
    <s v="KABAK ÇEKİRDEĞİ YAĞI 50 CC"/>
    <m/>
    <x v="5"/>
    <s v="ST00000002091"/>
    <s v="SATIŞ"/>
    <s v="POS"/>
    <n v="1"/>
    <n v="125"/>
    <n v="125"/>
    <n v="0"/>
    <m/>
    <m/>
    <m/>
    <m/>
    <n v="0"/>
    <n v="0"/>
    <n v="40415.203288159901"/>
  </r>
  <r>
    <d v="2026-04-28T00:00:00"/>
    <x v="4"/>
    <s v="AÇIK KAYISI İRİ (SARI)"/>
    <m/>
    <x v="5"/>
    <s v="ST00000002092"/>
    <s v="SATIŞ"/>
    <s v="POS"/>
    <n v="0.2153846153846154"/>
    <n v="650"/>
    <n v="140"/>
    <n v="0"/>
    <m/>
    <m/>
    <m/>
    <m/>
    <n v="0"/>
    <n v="0"/>
    <n v="40415.203288159901"/>
  </r>
  <r>
    <d v="2026-04-28T00:00:00"/>
    <x v="4"/>
    <s v="FINDIK İÇİ ÇİĞ"/>
    <m/>
    <x v="5"/>
    <s v="ST00000002092"/>
    <s v="SATIŞ"/>
    <s v="POS"/>
    <n v="0.2"/>
    <n v="1000"/>
    <n v="200"/>
    <n v="0"/>
    <m/>
    <m/>
    <m/>
    <m/>
    <n v="0"/>
    <n v="0"/>
    <n v="40415.203288159901"/>
  </r>
  <r>
    <d v="2026-04-28T00:00:00"/>
    <x v="4"/>
    <s v="KARIŞIK KURUYEMİŞ"/>
    <m/>
    <x v="1"/>
    <s v="ST00000002093"/>
    <s v="SATIŞ"/>
    <s v="NAKİT"/>
    <n v="0.23529411764705882"/>
    <n v="850"/>
    <n v="0"/>
    <n v="0"/>
    <m/>
    <m/>
    <m/>
    <m/>
    <n v="200"/>
    <n v="0"/>
    <n v="40615.203288159901"/>
  </r>
  <r>
    <d v="2026-04-28T00:00:00"/>
    <x v="4"/>
    <s v="İĞDE ÇEKİRDEĞİ TOZU"/>
    <m/>
    <x v="5"/>
    <s v="ST00000002094"/>
    <s v="SATIŞ"/>
    <s v="POS"/>
    <n v="0.121875"/>
    <n v="320"/>
    <n v="39"/>
    <n v="0"/>
    <m/>
    <m/>
    <m/>
    <m/>
    <n v="0"/>
    <n v="0"/>
    <n v="40615.203288159901"/>
  </r>
  <r>
    <d v="2026-04-28T00:00:00"/>
    <x v="4"/>
    <s v="DOMATES SALÇASI"/>
    <m/>
    <x v="5"/>
    <s v="ST00000002094"/>
    <s v="SATIŞ"/>
    <s v="POS"/>
    <n v="1"/>
    <n v="150"/>
    <n v="150"/>
    <n v="0"/>
    <m/>
    <m/>
    <m/>
    <m/>
    <n v="0"/>
    <n v="0"/>
    <n v="40615.203288159901"/>
  </r>
  <r>
    <d v="2026-04-28T00:00:00"/>
    <x v="4"/>
    <s v="SALÇA TATLI (EV YAPIMI)"/>
    <m/>
    <x v="5"/>
    <s v="ST00000002094"/>
    <s v="SATIŞ"/>
    <s v="POS"/>
    <n v="1"/>
    <n v="200"/>
    <n v="200"/>
    <n v="0"/>
    <m/>
    <m/>
    <m/>
    <m/>
    <n v="0"/>
    <n v="0"/>
    <n v="40615.203288159901"/>
  </r>
  <r>
    <d v="2026-04-28T00:00:00"/>
    <x v="4"/>
    <s v="MEBRUM HURMA 2 (5'LİK)"/>
    <m/>
    <x v="5"/>
    <s v="ST00000002094"/>
    <s v="SATIŞ"/>
    <s v="POS"/>
    <n v="0.5"/>
    <n v="420"/>
    <n v="210"/>
    <n v="0"/>
    <m/>
    <m/>
    <m/>
    <m/>
    <n v="0"/>
    <n v="0"/>
    <n v="40615.203288159901"/>
  </r>
  <r>
    <d v="2026-04-28T00:00:00"/>
    <x v="4"/>
    <s v="İPEK BİBER"/>
    <m/>
    <x v="1"/>
    <s v="ST00000002095"/>
    <s v="SATIŞ"/>
    <s v="NAKİT"/>
    <n v="0.2"/>
    <n v="500"/>
    <n v="0"/>
    <n v="0"/>
    <m/>
    <m/>
    <m/>
    <m/>
    <n v="100"/>
    <n v="0"/>
    <n v="40715.203288159901"/>
  </r>
  <r>
    <d v="2026-04-28T00:00:00"/>
    <x v="4"/>
    <s v="KEKİK LÜX"/>
    <m/>
    <x v="1"/>
    <s v="ST00000002095"/>
    <s v="SATIŞ"/>
    <s v="NAKİT"/>
    <n v="0.11764705882352941"/>
    <n v="850"/>
    <n v="0"/>
    <n v="0"/>
    <m/>
    <m/>
    <m/>
    <m/>
    <n v="100"/>
    <n v="0"/>
    <n v="40815.203288159901"/>
  </r>
  <r>
    <d v="2026-04-28T00:00:00"/>
    <x v="4"/>
    <s v="KARANFİL YAĞI 10 CC"/>
    <m/>
    <x v="1"/>
    <s v="ST00000002096"/>
    <s v="SATIŞ"/>
    <s v="NAKİT"/>
    <n v="1"/>
    <n v="130"/>
    <n v="0"/>
    <n v="0"/>
    <m/>
    <m/>
    <m/>
    <m/>
    <n v="130"/>
    <n v="0"/>
    <n v="40945.203288159901"/>
  </r>
  <r>
    <d v="2026-04-28T00:00:00"/>
    <x v="4"/>
    <s v="ACVE SARI"/>
    <m/>
    <x v="1"/>
    <s v="ST00000002097"/>
    <s v="SATIŞ"/>
    <s v="NAKİT"/>
    <n v="1"/>
    <n v="400"/>
    <n v="0"/>
    <n v="0"/>
    <m/>
    <m/>
    <m/>
    <m/>
    <n v="400"/>
    <n v="0"/>
    <n v="41345.203288159901"/>
  </r>
  <r>
    <d v="2026-04-29T00:00:00"/>
    <x v="4"/>
    <s v="DOMATES SALÇASI"/>
    <m/>
    <x v="1"/>
    <s v="ST00000002098"/>
    <s v="SATIŞ - ANNE - EMANET"/>
    <s v="NAKİT"/>
    <n v="4"/>
    <n v="150"/>
    <n v="0"/>
    <n v="0"/>
    <m/>
    <m/>
    <m/>
    <m/>
    <n v="600"/>
    <n v="0"/>
    <n v="41945.203288159901"/>
  </r>
  <r>
    <d v="2026-04-29T00:00:00"/>
    <x v="4"/>
    <s v="EL-RUHA ÇAY (AÇIK)"/>
    <m/>
    <x v="1"/>
    <s v="ST00000002098"/>
    <s v="SATIŞ - ANNE - EMANET"/>
    <s v="NAKİT"/>
    <n v="1.5"/>
    <n v="700"/>
    <n v="0"/>
    <n v="0"/>
    <m/>
    <m/>
    <m/>
    <m/>
    <n v="1050"/>
    <n v="0"/>
    <n v="42995.203288159901"/>
  </r>
  <r>
    <d v="2026-04-29T00:00:00"/>
    <x v="4"/>
    <s v="GÜNAYDIN KAYA TUZU İNCE"/>
    <m/>
    <x v="1"/>
    <s v="ST00000002098"/>
    <s v="SATIŞ - ANNE - EMANET"/>
    <s v="NAKİT"/>
    <n v="1.5"/>
    <n v="80"/>
    <n v="0"/>
    <n v="0"/>
    <m/>
    <m/>
    <m/>
    <m/>
    <n v="120"/>
    <n v="0"/>
    <n v="43115.203288159901"/>
  </r>
  <r>
    <d v="2026-04-29T00:00:00"/>
    <x v="4"/>
    <s v="DOLMALIK KURU PATLICAN"/>
    <m/>
    <x v="1"/>
    <s v="ST00000002099"/>
    <s v="SATIŞ"/>
    <s v="NAKİT"/>
    <n v="1"/>
    <n v="250"/>
    <n v="0"/>
    <n v="0"/>
    <m/>
    <m/>
    <m/>
    <m/>
    <n v="250"/>
    <n v="0"/>
    <n v="43365.203288159901"/>
  </r>
  <r>
    <d v="2026-04-29T00:00:00"/>
    <x v="4"/>
    <s v="DOMATES SALÇASI"/>
    <m/>
    <x v="1"/>
    <s v="ST00000002099"/>
    <s v="SATIŞ"/>
    <s v="NAKİT"/>
    <n v="1"/>
    <n v="150"/>
    <n v="0"/>
    <n v="0"/>
    <m/>
    <m/>
    <m/>
    <m/>
    <n v="150"/>
    <n v="0"/>
    <n v="43515.203288159901"/>
  </r>
  <r>
    <d v="2026-04-29T00:00:00"/>
    <x v="4"/>
    <s v="GENÇAY NAR EKŞİSİ 330 GR"/>
    <m/>
    <x v="1"/>
    <s v="ST00000002099"/>
    <s v="SATIŞ"/>
    <s v="NAKİT"/>
    <n v="1"/>
    <n v="180"/>
    <n v="0"/>
    <n v="0"/>
    <m/>
    <m/>
    <m/>
    <m/>
    <n v="180"/>
    <n v="0"/>
    <n v="43695.203288159901"/>
  </r>
  <r>
    <d v="2026-04-29T00:00:00"/>
    <x v="4"/>
    <s v="BİOBLAS ARGAN SIVI SAÇ KREMİ 200 ML"/>
    <m/>
    <x v="1"/>
    <s v="ST00000002099"/>
    <s v="SATIŞ"/>
    <s v="NAKİT"/>
    <n v="1"/>
    <n v="165"/>
    <n v="0"/>
    <n v="0"/>
    <m/>
    <m/>
    <m/>
    <m/>
    <n v="165"/>
    <n v="0"/>
    <n v="43860.203288159901"/>
  </r>
  <r>
    <d v="2026-04-29T00:00:00"/>
    <x v="4"/>
    <s v="DEMKAR TURUNCU PAKET ANTEP FISTIĞI"/>
    <m/>
    <x v="1"/>
    <s v="ST00000002099"/>
    <s v="SATIŞ"/>
    <s v="NAKİT"/>
    <n v="0.1"/>
    <n v="1250"/>
    <n v="0"/>
    <n v="0"/>
    <m/>
    <m/>
    <m/>
    <m/>
    <n v="125"/>
    <n v="0"/>
    <n v="43985.203288159901"/>
  </r>
  <r>
    <d v="2026-04-29T00:00:00"/>
    <x v="4"/>
    <s v="SOSLU MISIR YERLİ"/>
    <m/>
    <x v="1"/>
    <s v="ST00000002099"/>
    <s v="SATIŞ"/>
    <s v="NAKİT"/>
    <n v="0.22800000000000001"/>
    <n v="220"/>
    <n v="0"/>
    <n v="0"/>
    <m/>
    <m/>
    <m/>
    <m/>
    <n v="50.160000000000004"/>
    <n v="0"/>
    <n v="44035.363288159904"/>
  </r>
  <r>
    <d v="2026-04-29T00:00:00"/>
    <x v="4"/>
    <s v="RUŞUR TAŞI"/>
    <m/>
    <x v="1"/>
    <s v="ST00000002099"/>
    <s v="SATIŞ"/>
    <s v="NAKİT"/>
    <n v="2"/>
    <n v="20"/>
    <n v="0"/>
    <n v="0"/>
    <m/>
    <m/>
    <m/>
    <m/>
    <n v="40"/>
    <n v="0"/>
    <n v="44075.363288159904"/>
  </r>
  <r>
    <d v="2026-04-29T00:00:00"/>
    <x v="4"/>
    <s v="CEVİZLİ SUCUK ATOM (ESMER)"/>
    <m/>
    <x v="1"/>
    <s v="ST00000002099"/>
    <s v="SATIŞ"/>
    <s v="NAKİT"/>
    <n v="0.60799999999999998"/>
    <n v="350"/>
    <n v="0"/>
    <n v="0"/>
    <m/>
    <m/>
    <m/>
    <m/>
    <n v="212.79999999999998"/>
    <n v="0"/>
    <n v="44288.163288159907"/>
  </r>
  <r>
    <d v="2026-04-29T00:00:00"/>
    <x v="4"/>
    <s v="KABUKLU CEVİZ (YERLİ)"/>
    <m/>
    <x v="1"/>
    <s v="ST00000002099"/>
    <s v="SATIŞ"/>
    <s v="NAKİT"/>
    <n v="1"/>
    <n v="250"/>
    <n v="0"/>
    <n v="0"/>
    <m/>
    <m/>
    <m/>
    <m/>
    <n v="250"/>
    <n v="0"/>
    <n v="44538.163288159907"/>
  </r>
  <r>
    <d v="2026-04-29T00:00:00"/>
    <x v="4"/>
    <s v="AYÇEKİRDEĞİ DAKOTA TUZLU EKSTRA"/>
    <m/>
    <x v="1"/>
    <s v="ST00000002100"/>
    <s v="SATIŞ"/>
    <s v="NAKİT"/>
    <n v="0.2608695652173913"/>
    <n v="230"/>
    <n v="0"/>
    <n v="0"/>
    <m/>
    <m/>
    <m/>
    <m/>
    <n v="60"/>
    <n v="0"/>
    <n v="44598.163288159907"/>
  </r>
  <r>
    <d v="2026-04-29T00:00:00"/>
    <x v="4"/>
    <s v="LEBLEBİ ŞEKER LÜX"/>
    <m/>
    <x v="1"/>
    <s v="ST00000002100"/>
    <s v="SATIŞ"/>
    <s v="NAKİT"/>
    <n v="0.22"/>
    <n v="230"/>
    <n v="0"/>
    <n v="0"/>
    <m/>
    <m/>
    <m/>
    <m/>
    <n v="50.6"/>
    <n v="0"/>
    <n v="44648.763288159906"/>
  </r>
  <r>
    <d v="2026-04-29T00:00:00"/>
    <x v="4"/>
    <s v="LEBLEBİ ŞEKER RENKLİ"/>
    <m/>
    <x v="1"/>
    <s v="ST00000002100"/>
    <s v="SATIŞ"/>
    <s v="NAKİT"/>
    <n v="0.3"/>
    <n v="250"/>
    <n v="0"/>
    <n v="0"/>
    <m/>
    <m/>
    <m/>
    <m/>
    <n v="75"/>
    <n v="0"/>
    <n v="44723.763288159906"/>
  </r>
  <r>
    <d v="2026-04-29T00:00:00"/>
    <x v="4"/>
    <s v="SOSLU MISIR YERLİ"/>
    <m/>
    <x v="1"/>
    <s v="ST00000002100"/>
    <s v="SATIŞ"/>
    <s v="NAKİT"/>
    <n v="0.22800000000000001"/>
    <n v="220"/>
    <n v="0"/>
    <n v="0"/>
    <m/>
    <m/>
    <m/>
    <m/>
    <n v="50.160000000000004"/>
    <n v="0"/>
    <n v="44773.923288159909"/>
  </r>
  <r>
    <d v="2026-04-29T00:00:00"/>
    <x v="4"/>
    <s v="KARBONAT"/>
    <m/>
    <x v="1"/>
    <s v="ST00000002100"/>
    <s v="SATIŞ"/>
    <s v="NAKİT"/>
    <n v="0.5"/>
    <n v="80"/>
    <n v="0"/>
    <n v="0"/>
    <m/>
    <m/>
    <m/>
    <m/>
    <n v="40"/>
    <n v="0"/>
    <n v="44813.923288159909"/>
  </r>
  <r>
    <d v="2026-04-29T00:00:00"/>
    <x v="4"/>
    <s v="GENÇAY NAR EKŞİSİ 330 GR"/>
    <m/>
    <x v="1"/>
    <s v="ST00000002100"/>
    <s v="SATIŞ"/>
    <s v="NAKİT"/>
    <n v="1"/>
    <n v="180"/>
    <n v="0"/>
    <n v="0"/>
    <m/>
    <m/>
    <m/>
    <m/>
    <n v="180"/>
    <n v="0"/>
    <n v="44993.923288159909"/>
  </r>
  <r>
    <d v="2026-04-29T00:00:00"/>
    <x v="4"/>
    <s v="KABUKLU CEVİZ (YERLİ)"/>
    <m/>
    <x v="1"/>
    <s v="ST00000002100"/>
    <s v="SATIŞ"/>
    <s v="NAKİT"/>
    <n v="1"/>
    <n v="250"/>
    <n v="0"/>
    <n v="0"/>
    <m/>
    <m/>
    <m/>
    <m/>
    <n v="250"/>
    <n v="0"/>
    <n v="45243.923288159909"/>
  </r>
  <r>
    <d v="2026-04-29T00:00:00"/>
    <x v="4"/>
    <s v="ÖMRÜM KAKAOLU GOFRET 450 GR"/>
    <m/>
    <x v="1"/>
    <s v="ST00000002101"/>
    <s v="SATIŞ"/>
    <s v="NAKİT"/>
    <n v="2"/>
    <n v="50"/>
    <n v="0"/>
    <n v="0"/>
    <m/>
    <m/>
    <m/>
    <m/>
    <n v="100"/>
    <n v="0"/>
    <n v="45343.923288159909"/>
  </r>
  <r>
    <d v="2026-04-29T00:00:00"/>
    <x v="4"/>
    <s v="GÜNBAK 3Ü1 ARADA SADE KUTU 40 ADET"/>
    <m/>
    <x v="1"/>
    <s v="ST00000002101"/>
    <s v="SATIŞ"/>
    <s v="NAKİT"/>
    <n v="5"/>
    <n v="5"/>
    <n v="0"/>
    <n v="0"/>
    <m/>
    <m/>
    <m/>
    <m/>
    <n v="25"/>
    <n v="0"/>
    <n v="45368.923288159909"/>
  </r>
  <r>
    <d v="2026-04-29T00:00:00"/>
    <x v="4"/>
    <s v="AKGÜNLÜK BAHUR"/>
    <m/>
    <x v="1"/>
    <s v="ST00000002102"/>
    <s v="SATIŞ"/>
    <s v="NAKİT"/>
    <n v="0.1"/>
    <n v="2000"/>
    <n v="0"/>
    <n v="0"/>
    <m/>
    <m/>
    <m/>
    <m/>
    <n v="200"/>
    <n v="0"/>
    <n v="45568.923288159909"/>
  </r>
  <r>
    <d v="2026-04-29T00:00:00"/>
    <x v="4"/>
    <s v="AKGÜNLÜK BAHUR"/>
    <m/>
    <x v="5"/>
    <s v="ST00000002103"/>
    <s v="SATIŞ"/>
    <s v="POS"/>
    <n v="0.1"/>
    <n v="2000"/>
    <n v="200"/>
    <n v="0"/>
    <m/>
    <m/>
    <m/>
    <m/>
    <n v="0"/>
    <n v="0"/>
    <n v="45568.923288159909"/>
  </r>
  <r>
    <d v="2026-04-29T00:00:00"/>
    <x v="4"/>
    <s v="KARABİBER TANE"/>
    <m/>
    <x v="5"/>
    <s v="ST00000002103"/>
    <s v="SATIŞ"/>
    <s v="POS"/>
    <n v="0.1"/>
    <n v="700"/>
    <n v="70"/>
    <n v="0"/>
    <m/>
    <m/>
    <m/>
    <m/>
    <n v="0"/>
    <n v="0"/>
    <n v="45568.923288159909"/>
  </r>
  <r>
    <d v="2026-04-29T00:00:00"/>
    <x v="4"/>
    <s v="KABUKLU CEVİZ (YERLİ)"/>
    <m/>
    <x v="5"/>
    <s v="ST00000002103"/>
    <s v="SATIŞ"/>
    <s v="POS"/>
    <n v="0.5"/>
    <n v="250"/>
    <n v="125"/>
    <n v="0"/>
    <m/>
    <m/>
    <m/>
    <m/>
    <n v="0"/>
    <n v="0"/>
    <n v="45568.923288159909"/>
  </r>
  <r>
    <d v="2026-04-29T00:00:00"/>
    <x v="4"/>
    <s v="DUT KURUSU ESMER"/>
    <m/>
    <x v="5"/>
    <s v="ST00000002103"/>
    <s v="SATIŞ"/>
    <s v="POS"/>
    <n v="0.25"/>
    <n v="500"/>
    <n v="125"/>
    <n v="0"/>
    <m/>
    <m/>
    <m/>
    <m/>
    <n v="0"/>
    <n v="0"/>
    <n v="45568.923288159909"/>
  </r>
  <r>
    <d v="2026-04-29T00:00:00"/>
    <x v="4"/>
    <s v="ZÜHRE ANA IŞGIN SİRKESİ 500 ML"/>
    <m/>
    <x v="1"/>
    <s v="ST00000002104"/>
    <s v="SATIŞ"/>
    <s v="NAKİT"/>
    <n v="1"/>
    <n v="220"/>
    <n v="0"/>
    <n v="0"/>
    <m/>
    <m/>
    <m/>
    <m/>
    <n v="220"/>
    <n v="0"/>
    <n v="45788.923288159909"/>
  </r>
  <r>
    <d v="2026-04-29T00:00:00"/>
    <x v="4"/>
    <s v="DOLMALIK KURU PATLICAN"/>
    <m/>
    <x v="1"/>
    <s v="ST00000002105"/>
    <s v="SATIŞ"/>
    <s v="NAKİT"/>
    <n v="3"/>
    <n v="250"/>
    <n v="0"/>
    <n v="0"/>
    <m/>
    <m/>
    <m/>
    <m/>
    <n v="750"/>
    <n v="0"/>
    <n v="46538.923288159909"/>
  </r>
  <r>
    <d v="2026-04-29T00:00:00"/>
    <x v="4"/>
    <s v="DOMATES SALÇASI"/>
    <m/>
    <x v="1"/>
    <s v="ST00000002105"/>
    <s v="SATIŞ"/>
    <s v="NAKİT"/>
    <n v="1"/>
    <n v="150"/>
    <n v="0"/>
    <n v="0"/>
    <m/>
    <m/>
    <m/>
    <m/>
    <n v="150"/>
    <n v="0"/>
    <n v="46688.923288159909"/>
  </r>
  <r>
    <d v="2026-04-29T00:00:00"/>
    <x v="4"/>
    <s v="EVLİK BİBER"/>
    <m/>
    <x v="1"/>
    <s v="ST00000002105"/>
    <s v="SATIŞ"/>
    <s v="NAKİT"/>
    <n v="0.25"/>
    <n v="400"/>
    <n v="0"/>
    <n v="0"/>
    <m/>
    <m/>
    <m/>
    <m/>
    <n v="100"/>
    <n v="0"/>
    <n v="46788.923288159909"/>
  </r>
  <r>
    <d v="2026-04-29T00:00:00"/>
    <x v="4"/>
    <s v="KIRMIZI PUL BİBER TATLI"/>
    <m/>
    <x v="5"/>
    <s v="ST00000002106"/>
    <s v="SATIŞ"/>
    <s v="POS"/>
    <n v="0.27777777777777779"/>
    <n v="360"/>
    <n v="100"/>
    <n v="0"/>
    <m/>
    <m/>
    <m/>
    <m/>
    <n v="0"/>
    <n v="0"/>
    <n v="46788.923288159909"/>
  </r>
  <r>
    <d v="2026-04-29T00:00:00"/>
    <x v="4"/>
    <s v="BADEM ÇİĞ "/>
    <m/>
    <x v="5"/>
    <s v="ST00000002106"/>
    <s v="SATIŞ"/>
    <s v="POS"/>
    <n v="0.23076923076923078"/>
    <n v="650"/>
    <n v="150"/>
    <n v="0"/>
    <m/>
    <m/>
    <m/>
    <m/>
    <n v="0"/>
    <n v="0"/>
    <n v="46788.923288159909"/>
  </r>
  <r>
    <d v="2026-04-29T00:00:00"/>
    <x v="4"/>
    <s v="KARANFİL"/>
    <m/>
    <x v="5"/>
    <s v="ST00000002107"/>
    <s v="SATIŞ"/>
    <s v="POS"/>
    <n v="0.05"/>
    <n v="1200"/>
    <n v="60"/>
    <n v="0"/>
    <m/>
    <m/>
    <m/>
    <m/>
    <n v="0"/>
    <n v="0"/>
    <n v="46788.923288159909"/>
  </r>
  <r>
    <d v="2026-04-29T00:00:00"/>
    <x v="4"/>
    <s v="LEBLEBİ ŞEKER RENKLİ"/>
    <m/>
    <x v="5"/>
    <s v="ST00000002107"/>
    <s v="SATIŞ"/>
    <s v="POS"/>
    <n v="0.28260869565217389"/>
    <n v="250"/>
    <n v="70.65217391304347"/>
    <n v="0"/>
    <m/>
    <m/>
    <m/>
    <m/>
    <n v="0"/>
    <n v="0"/>
    <n v="46788.923288159909"/>
  </r>
  <r>
    <d v="2026-04-29T00:00:00"/>
    <x v="4"/>
    <s v="YEŞİL ÇAY YAPRAK"/>
    <m/>
    <x v="5"/>
    <s v="ST00000002107"/>
    <s v="SATIŞ"/>
    <s v="POS"/>
    <n v="0.1"/>
    <n v="1350"/>
    <n v="135"/>
    <n v="0"/>
    <m/>
    <m/>
    <m/>
    <m/>
    <n v="0"/>
    <n v="0"/>
    <n v="46788.923288159909"/>
  </r>
  <r>
    <d v="2026-04-29T00:00:00"/>
    <x v="4"/>
    <s v="DOLMALIK SARI BİBER"/>
    <m/>
    <x v="5"/>
    <s v="ST00000002108"/>
    <s v="SATIŞ"/>
    <s v="POS"/>
    <n v="1"/>
    <n v="250"/>
    <n v="250"/>
    <n v="0"/>
    <m/>
    <m/>
    <m/>
    <m/>
    <n v="0"/>
    <n v="0"/>
    <n v="46788.923288159909"/>
  </r>
  <r>
    <d v="2026-04-29T00:00:00"/>
    <x v="4"/>
    <s v="IHLAMUR YAPRAK"/>
    <m/>
    <x v="5"/>
    <s v="ST00000002109"/>
    <s v="SATIŞ"/>
    <s v="POS"/>
    <n v="0.05"/>
    <n v="2600"/>
    <n v="130"/>
    <n v="0"/>
    <m/>
    <m/>
    <m/>
    <m/>
    <n v="0"/>
    <n v="0"/>
    <n v="46788.923288159909"/>
  </r>
  <r>
    <d v="2026-04-29T00:00:00"/>
    <x v="4"/>
    <s v="KETEN TOHUMU YAĞI 50 CC"/>
    <m/>
    <x v="5"/>
    <s v="ST00000002110"/>
    <s v="SATIŞ"/>
    <s v="POS"/>
    <n v="1"/>
    <n v="110"/>
    <n v="110"/>
    <n v="0"/>
    <m/>
    <m/>
    <m/>
    <m/>
    <n v="0"/>
    <n v="0"/>
    <n v="46788.923288159909"/>
  </r>
  <r>
    <d v="2026-04-29T00:00:00"/>
    <x v="4"/>
    <s v="HİNDİSTAN CEVİZİ YAĞI 20 CC"/>
    <m/>
    <x v="5"/>
    <s v="ST00000002110"/>
    <s v="SATIŞ"/>
    <s v="POS"/>
    <n v="1"/>
    <n v="110"/>
    <n v="110"/>
    <n v="0"/>
    <m/>
    <m/>
    <m/>
    <m/>
    <n v="0"/>
    <n v="0"/>
    <n v="46788.923288159909"/>
  </r>
  <r>
    <d v="2026-04-29T00:00:00"/>
    <x v="4"/>
    <s v="AKGÜNLÜK BAHUR"/>
    <m/>
    <x v="5"/>
    <s v="ST00000002110"/>
    <s v="SATIŞ"/>
    <s v="POS"/>
    <n v="0.1"/>
    <n v="2000"/>
    <n v="200"/>
    <n v="0"/>
    <m/>
    <m/>
    <m/>
    <m/>
    <n v="0"/>
    <n v="0"/>
    <n v="46788.923288159909"/>
  </r>
  <r>
    <d v="2026-04-29T00:00:00"/>
    <x v="4"/>
    <s v="DOLMALIK KURU PATLICAN"/>
    <m/>
    <x v="5"/>
    <s v="ST00000002111"/>
    <s v="SATIŞ"/>
    <s v="POS"/>
    <n v="1"/>
    <n v="250"/>
    <n v="250"/>
    <n v="0"/>
    <m/>
    <m/>
    <m/>
    <m/>
    <n v="0"/>
    <n v="0"/>
    <n v="46788.923288159909"/>
  </r>
  <r>
    <d v="2026-04-29T00:00:00"/>
    <x v="4"/>
    <s v="CEVİZLİ SUCUK ATOM (ESMER)"/>
    <m/>
    <x v="1"/>
    <s v="ST00000002112"/>
    <s v="SATIŞ"/>
    <s v="NAKİT"/>
    <n v="0.44857142857142857"/>
    <n v="350"/>
    <n v="0"/>
    <n v="0"/>
    <m/>
    <m/>
    <m/>
    <m/>
    <n v="157"/>
    <n v="0"/>
    <n v="46945.923288159909"/>
  </r>
  <r>
    <d v="2026-04-29T00:00:00"/>
    <x v="4"/>
    <s v="TOZ BİBER - ACI"/>
    <m/>
    <x v="1"/>
    <s v="ST00000002113"/>
    <s v="SATIŞ"/>
    <s v="NAKİT"/>
    <n v="8.7499999999999994E-2"/>
    <n v="400"/>
    <n v="0"/>
    <n v="0"/>
    <m/>
    <m/>
    <m/>
    <m/>
    <n v="35"/>
    <n v="0"/>
    <n v="46980.923288159909"/>
  </r>
  <r>
    <d v="2026-04-29T00:00:00"/>
    <x v="4"/>
    <s v="TOZ BİBER - TATLI"/>
    <m/>
    <x v="1"/>
    <s v="ST00000002113"/>
    <s v="SATIŞ"/>
    <s v="NAKİT"/>
    <n v="8.7499999999999994E-2"/>
    <n v="400"/>
    <n v="0"/>
    <n v="0"/>
    <m/>
    <m/>
    <m/>
    <m/>
    <n v="35"/>
    <n v="0"/>
    <n v="47015.923288159909"/>
  </r>
  <r>
    <d v="2026-04-29T00:00:00"/>
    <x v="4"/>
    <s v="ŞİFAVER ZEYTİNYAĞLI HATAY SABUNU"/>
    <m/>
    <x v="1"/>
    <s v="ST00000002113"/>
    <s v="SATIŞ"/>
    <s v="NAKİT"/>
    <n v="1"/>
    <n v="50"/>
    <n v="0"/>
    <n v="0"/>
    <m/>
    <m/>
    <m/>
    <m/>
    <n v="50"/>
    <n v="0"/>
    <n v="47065.923288159909"/>
  </r>
  <r>
    <d v="2026-04-29T00:00:00"/>
    <x v="4"/>
    <s v="KARABİBER ÇEKİLMİŞ"/>
    <m/>
    <x v="1"/>
    <s v="ST00000002114"/>
    <s v="SATIŞ"/>
    <s v="NAKİT"/>
    <n v="9.0769230769230769E-2"/>
    <n v="650"/>
    <n v="0"/>
    <n v="0"/>
    <m/>
    <m/>
    <m/>
    <m/>
    <n v="59"/>
    <n v="0"/>
    <n v="47124.923288159909"/>
  </r>
  <r>
    <d v="2026-04-29T00:00:00"/>
    <x v="4"/>
    <s v="DOMATES SALÇASI"/>
    <m/>
    <x v="1"/>
    <s v="ST00000002114"/>
    <s v="SATIŞ"/>
    <s v="NAKİT"/>
    <n v="1.0466666666666666"/>
    <n v="150"/>
    <n v="0"/>
    <n v="0"/>
    <m/>
    <m/>
    <m/>
    <m/>
    <n v="157"/>
    <n v="0"/>
    <n v="47281.923288159909"/>
  </r>
  <r>
    <d v="2026-04-29T00:00:00"/>
    <x v="4"/>
    <s v="SUSAM SİMİTLİK"/>
    <m/>
    <x v="1"/>
    <s v="ST00000002114"/>
    <s v="SATIŞ"/>
    <s v="NAKİT"/>
    <n v="0.1"/>
    <n v="400"/>
    <n v="0"/>
    <n v="0"/>
    <m/>
    <m/>
    <m/>
    <m/>
    <n v="40"/>
    <n v="0"/>
    <n v="47321.923288159909"/>
  </r>
  <r>
    <d v="2026-04-29T00:00:00"/>
    <x v="4"/>
    <s v="KARNIYARIK TOHUMU"/>
    <m/>
    <x v="5"/>
    <s v="ST00000002115"/>
    <s v="SATIŞ"/>
    <s v="POS"/>
    <n v="0.1"/>
    <n v="900"/>
    <n v="90"/>
    <n v="0"/>
    <m/>
    <m/>
    <m/>
    <m/>
    <n v="0"/>
    <n v="0"/>
    <n v="47321.923288159909"/>
  </r>
  <r>
    <d v="2026-04-29T00:00:00"/>
    <x v="4"/>
    <s v="KARABİBER ÇEKİLMİŞ"/>
    <m/>
    <x v="1"/>
    <s v="ST00000002116"/>
    <s v="SATIŞ"/>
    <s v="NAKİT"/>
    <n v="0.16307692307692306"/>
    <n v="500"/>
    <n v="0"/>
    <n v="0"/>
    <m/>
    <m/>
    <m/>
    <m/>
    <n v="81.538461538461533"/>
    <n v="0"/>
    <n v="47403.46174969837"/>
  </r>
  <r>
    <d v="2026-04-29T00:00:00"/>
    <x v="4"/>
    <s v="LEBLEBİ ŞEKER RENKLİ"/>
    <m/>
    <x v="1"/>
    <s v="ST00000002116"/>
    <s v="SATIŞ"/>
    <s v="NAKİT"/>
    <n v="0.1"/>
    <n v="250"/>
    <n v="0"/>
    <n v="0"/>
    <m/>
    <m/>
    <m/>
    <m/>
    <n v="25"/>
    <n v="0"/>
    <n v="47428.46174969837"/>
  </r>
  <r>
    <d v="2026-04-29T00:00:00"/>
    <x v="4"/>
    <s v="FİTOZEN İNGİLİZ KARBONATI 200 GR"/>
    <m/>
    <x v="5"/>
    <s v="ST00000002117"/>
    <s v="SATIŞ"/>
    <s v="POS"/>
    <n v="1"/>
    <n v="80"/>
    <n v="80"/>
    <n v="0"/>
    <m/>
    <m/>
    <m/>
    <m/>
    <n v="0"/>
    <n v="0"/>
    <n v="47428.46174969837"/>
  </r>
  <r>
    <d v="2026-04-29T00:00:00"/>
    <x v="4"/>
    <s v="ÇUBUK TARÇIN"/>
    <m/>
    <x v="5"/>
    <s v="ST00000002118"/>
    <s v="SATIŞ"/>
    <s v="POS"/>
    <n v="0.08"/>
    <n v="750"/>
    <n v="60"/>
    <n v="0"/>
    <m/>
    <m/>
    <m/>
    <m/>
    <n v="0"/>
    <n v="0"/>
    <n v="47428.46174969837"/>
  </r>
  <r>
    <d v="2026-04-29T00:00:00"/>
    <x v="4"/>
    <s v="DOMATES SALÇASI"/>
    <m/>
    <x v="5"/>
    <s v="ST00000002119"/>
    <s v="SATIŞ"/>
    <s v="POS"/>
    <n v="1"/>
    <n v="150"/>
    <n v="150"/>
    <n v="0"/>
    <m/>
    <m/>
    <m/>
    <m/>
    <n v="0"/>
    <n v="0"/>
    <n v="47428.46174969837"/>
  </r>
  <r>
    <d v="2026-04-30T00:00:00"/>
    <x v="4"/>
    <s v="TÜDAB KIŞ ÇAYI 200 GR"/>
    <m/>
    <x v="5"/>
    <s v="ST00000002120"/>
    <s v="SATIŞ"/>
    <s v="POS"/>
    <n v="1"/>
    <n v="130"/>
    <n v="130"/>
    <n v="0"/>
    <m/>
    <m/>
    <m/>
    <m/>
    <n v="0"/>
    <n v="0"/>
    <n v="47428.46174969837"/>
  </r>
  <r>
    <d v="2026-04-30T00:00:00"/>
    <x v="4"/>
    <s v="MİX NANE LİMON ÇAYI"/>
    <m/>
    <x v="5"/>
    <s v="ST00000002120"/>
    <s v="SATIŞ"/>
    <s v="POS"/>
    <n v="0.1"/>
    <n v="900"/>
    <n v="90"/>
    <n v="0"/>
    <m/>
    <m/>
    <m/>
    <m/>
    <n v="0"/>
    <n v="0"/>
    <n v="47428.46174969837"/>
  </r>
  <r>
    <d v="2026-04-30T00:00:00"/>
    <x v="4"/>
    <s v="LİMONTUZU PARCA"/>
    <m/>
    <x v="1"/>
    <s v="ST00000002121"/>
    <s v="SATIŞ"/>
    <s v="NAKİT"/>
    <n v="0.27800000000000002"/>
    <n v="180"/>
    <n v="0"/>
    <n v="0"/>
    <m/>
    <m/>
    <m/>
    <m/>
    <n v="50.040000000000006"/>
    <n v="0"/>
    <n v="47478.501749698371"/>
  </r>
  <r>
    <d v="2026-04-30T00:00:00"/>
    <x v="4"/>
    <s v="İSOT"/>
    <m/>
    <x v="5"/>
    <s v="ST00000002122"/>
    <s v="SATIŞ"/>
    <s v="POS"/>
    <n v="0.14000000000000001"/>
    <n v="400"/>
    <n v="56.000000000000007"/>
    <n v="0"/>
    <m/>
    <m/>
    <m/>
    <m/>
    <n v="0"/>
    <n v="0"/>
    <n v="47478.501749698371"/>
  </r>
  <r>
    <d v="2026-04-30T00:00:00"/>
    <x v="4"/>
    <s v="EVLİK BİBER"/>
    <m/>
    <x v="5"/>
    <s v="ST00000002123"/>
    <s v="SATIŞ - TOPTAN - ERASLAN LAHMACUN PİDE"/>
    <s v="POS"/>
    <n v="1"/>
    <n v="250"/>
    <n v="250"/>
    <n v="0"/>
    <m/>
    <m/>
    <m/>
    <m/>
    <n v="0"/>
    <n v="0"/>
    <n v="47478.501749698371"/>
  </r>
  <r>
    <d v="2026-04-30T00:00:00"/>
    <x v="4"/>
    <s v="TOZ BİBER - TATLI"/>
    <m/>
    <x v="5"/>
    <s v="ST00000002123"/>
    <s v="SATIŞ - TOPTAN - ERASLAN LAHMACUN PİDE"/>
    <s v="POS"/>
    <n v="2"/>
    <n v="265"/>
    <n v="530"/>
    <n v="0"/>
    <m/>
    <m/>
    <m/>
    <m/>
    <n v="0"/>
    <n v="0"/>
    <n v="47478.501749698371"/>
  </r>
  <r>
    <d v="2026-04-30T00:00:00"/>
    <x v="4"/>
    <s v="DOMATES SALÇASI"/>
    <m/>
    <x v="5"/>
    <s v="ST00000002124"/>
    <s v="SATIŞ"/>
    <s v="POS"/>
    <n v="1"/>
    <n v="150"/>
    <n v="150"/>
    <n v="0"/>
    <m/>
    <m/>
    <m/>
    <m/>
    <n v="0"/>
    <n v="0"/>
    <n v="47478.501749698371"/>
  </r>
  <r>
    <d v="2026-04-30T00:00:00"/>
    <x v="4"/>
    <s v="ACVE SARI"/>
    <m/>
    <x v="5"/>
    <s v="ST00000002125"/>
    <s v="SATIŞ"/>
    <s v="POS"/>
    <n v="0.5"/>
    <n v="400"/>
    <n v="200"/>
    <n v="0"/>
    <m/>
    <m/>
    <m/>
    <m/>
    <n v="0"/>
    <n v="0"/>
    <n v="47478.501749698371"/>
  </r>
  <r>
    <d v="2026-04-30T00:00:00"/>
    <x v="4"/>
    <s v="ŞİFAVER ZEYTİNYAĞLI HATAY SABUNU"/>
    <m/>
    <x v="5"/>
    <s v="ST00000002126"/>
    <s v="SATIŞ"/>
    <s v="POS"/>
    <n v="1"/>
    <n v="50"/>
    <n v="50"/>
    <n v="0"/>
    <m/>
    <m/>
    <m/>
    <m/>
    <n v="0"/>
    <n v="0"/>
    <n v="47478.501749698371"/>
  </r>
  <r>
    <d v="2026-04-30T00:00:00"/>
    <x v="4"/>
    <s v="ŞİFAVER GÜL HATAY SABUNU"/>
    <m/>
    <x v="5"/>
    <s v="ST00000002126"/>
    <s v="SATIŞ"/>
    <s v="POS"/>
    <n v="1"/>
    <n v="50"/>
    <n v="50"/>
    <n v="0"/>
    <m/>
    <m/>
    <m/>
    <m/>
    <n v="0"/>
    <n v="0"/>
    <n v="47478.501749698371"/>
  </r>
  <r>
    <d v="2026-04-30T00:00:00"/>
    <x v="4"/>
    <s v="FORTEM AĞRI KESİCİ KREM"/>
    <m/>
    <x v="1"/>
    <s v="ST00000002127"/>
    <s v="SATIŞ"/>
    <s v="NAKİT"/>
    <n v="1"/>
    <n v="350"/>
    <n v="0"/>
    <n v="0"/>
    <m/>
    <m/>
    <m/>
    <m/>
    <n v="350"/>
    <n v="0"/>
    <n v="47828.501749698371"/>
  </r>
  <r>
    <d v="2026-04-30T00:00:00"/>
    <x v="4"/>
    <s v="UMUT ŞİFA KUYRUK YAĞI 100 ML"/>
    <m/>
    <x v="1"/>
    <s v="ST00000002127"/>
    <s v="SATIŞ"/>
    <s v="NAKİT"/>
    <n v="1"/>
    <n v="250"/>
    <n v="0"/>
    <n v="0"/>
    <m/>
    <m/>
    <m/>
    <m/>
    <n v="250"/>
    <n v="0"/>
    <n v="48078.501749698371"/>
  </r>
  <r>
    <d v="2026-04-30T00:00:00"/>
    <x v="4"/>
    <s v="ARKO EL VÜCUT KREMİ 150 ml"/>
    <m/>
    <x v="1"/>
    <s v="ST00000002127"/>
    <s v="SATIŞ"/>
    <s v="NAKİT"/>
    <n v="1"/>
    <n v="90"/>
    <n v="0"/>
    <n v="0"/>
    <m/>
    <m/>
    <m/>
    <m/>
    <n v="90"/>
    <n v="0"/>
    <n v="48168.501749698371"/>
  </r>
  <r>
    <d v="2026-05-01T00:00:00"/>
    <x v="4"/>
    <s v="ADAÇAYI SIYIRMA"/>
    <m/>
    <x v="1"/>
    <s v="ST00000002128"/>
    <s v="SATIŞ"/>
    <s v="NAKİT"/>
    <n v="0.1"/>
    <n v="720"/>
    <n v="0"/>
    <n v="0"/>
    <m/>
    <m/>
    <m/>
    <m/>
    <n v="72"/>
    <n v="0"/>
    <n v="48240.501749698371"/>
  </r>
  <r>
    <d v="2026-05-01T00:00:00"/>
    <x v="4"/>
    <s v="KARABİBER ÇEKİLMİŞ"/>
    <m/>
    <x v="1"/>
    <s v="ST00000002128"/>
    <s v="SATIŞ"/>
    <s v="NAKİT"/>
    <n v="0.13538461538461538"/>
    <n v="650"/>
    <n v="0"/>
    <n v="0"/>
    <m/>
    <m/>
    <m/>
    <m/>
    <n v="88"/>
    <n v="0"/>
    <n v="48328.501749698371"/>
  </r>
  <r>
    <d v="2026-05-01T00:00:00"/>
    <x v="4"/>
    <s v="NAHİTA IŞGIN SİRKESİ"/>
    <m/>
    <x v="1"/>
    <s v="ST00000002128"/>
    <s v="SATIŞ"/>
    <s v="NAKİT"/>
    <n v="1"/>
    <n v="200"/>
    <n v="0"/>
    <n v="0"/>
    <m/>
    <m/>
    <m/>
    <m/>
    <n v="200"/>
    <n v="0"/>
    <n v="48528.501749698371"/>
  </r>
  <r>
    <d v="2026-05-01T00:00:00"/>
    <x v="4"/>
    <s v="GENÇAY ALIÇ SİRKESİ 500 CC"/>
    <m/>
    <x v="1"/>
    <s v="ST00000002128"/>
    <s v="SATIŞ"/>
    <s v="NAKİT"/>
    <n v="1"/>
    <n v="150"/>
    <n v="0"/>
    <n v="0"/>
    <m/>
    <m/>
    <m/>
    <m/>
    <n v="150"/>
    <n v="0"/>
    <n v="48678.501749698371"/>
  </r>
  <r>
    <d v="2026-05-01T00:00:00"/>
    <x v="4"/>
    <s v="NANE İRİ"/>
    <m/>
    <x v="5"/>
    <s v="ST00000002129"/>
    <s v="SATIŞ"/>
    <s v="POS"/>
    <n v="7.4999999999999997E-2"/>
    <n v="400"/>
    <n v="30"/>
    <n v="0"/>
    <m/>
    <m/>
    <m/>
    <m/>
    <n v="0"/>
    <n v="0"/>
    <n v="48678.501749698371"/>
  </r>
  <r>
    <d v="2026-05-01T00:00:00"/>
    <x v="4"/>
    <s v="HASEVLİK"/>
    <m/>
    <x v="5"/>
    <s v="ST00000002129"/>
    <s v="SATIŞ"/>
    <s v="POS"/>
    <n v="0.16222222222222221"/>
    <n v="450"/>
    <n v="73"/>
    <n v="0"/>
    <m/>
    <m/>
    <m/>
    <m/>
    <n v="0"/>
    <n v="0"/>
    <n v="48678.501749698371"/>
  </r>
  <r>
    <d v="2026-05-01T00:00:00"/>
    <x v="4"/>
    <s v="SALÇA TATLI (EV YAPIMI)"/>
    <m/>
    <x v="5"/>
    <s v="ST00000002129"/>
    <s v="SATIŞ"/>
    <s v="POS"/>
    <n v="0.5"/>
    <n v="200"/>
    <n v="100"/>
    <n v="0"/>
    <m/>
    <m/>
    <m/>
    <m/>
    <n v="0"/>
    <n v="0"/>
    <n v="48678.501749698371"/>
  </r>
  <r>
    <d v="2026-05-01T00:00:00"/>
    <x v="4"/>
    <s v="DOLMALIK KURU ACI BİBER"/>
    <m/>
    <x v="5"/>
    <s v="ST00000002129"/>
    <s v="SATIŞ"/>
    <s v="POS"/>
    <n v="0.5"/>
    <n v="250"/>
    <n v="125"/>
    <n v="0"/>
    <m/>
    <m/>
    <m/>
    <m/>
    <n v="0"/>
    <n v="0"/>
    <n v="48678.501749698371"/>
  </r>
  <r>
    <d v="2026-05-01T00:00:00"/>
    <x v="4"/>
    <s v="DOLMALIK SARI BİBER"/>
    <m/>
    <x v="5"/>
    <s v="ST00000002129"/>
    <s v="SATIŞ"/>
    <s v="POS"/>
    <n v="0.5"/>
    <n v="250"/>
    <n v="125"/>
    <n v="0"/>
    <m/>
    <m/>
    <m/>
    <m/>
    <n v="0"/>
    <n v="0"/>
    <n v="48678.501749698371"/>
  </r>
  <r>
    <d v="2026-05-01T00:00:00"/>
    <x v="4"/>
    <s v="YALÇINKAYA DOMATES SALÇASI"/>
    <m/>
    <x v="11"/>
    <s v="ST00000002130"/>
    <s v="SATIŞ - TOPTAN - HANİFE DİVLEK"/>
    <s v="CARİ"/>
    <n v="19.350000000000001"/>
    <n v="105"/>
    <n v="2031.7500000000002"/>
    <n v="0"/>
    <m/>
    <m/>
    <m/>
    <m/>
    <n v="0"/>
    <n v="0"/>
    <n v="48678.501749698371"/>
  </r>
  <r>
    <d v="2026-05-01T00:00:00"/>
    <x v="4"/>
    <s v="YALÇINKAYA TATLI BİBER SALÇASI"/>
    <m/>
    <x v="11"/>
    <s v="ST00000002130"/>
    <s v="SATIŞ - TOPTAN - HANİFE DİVLEK"/>
    <s v="CARİ"/>
    <n v="19.350000000000001"/>
    <n v="130"/>
    <n v="2515.5"/>
    <n v="0"/>
    <m/>
    <m/>
    <m/>
    <m/>
    <n v="0"/>
    <n v="0"/>
    <n v="48678.501749698371"/>
  </r>
  <r>
    <d v="2026-05-01T00:00:00"/>
    <x v="4"/>
    <s v="PUDRA ŞEKERİ"/>
    <m/>
    <x v="11"/>
    <s v="ST00000002130"/>
    <s v="SATIŞ - TOPTAN - HANİFE DİVLEK"/>
    <s v="CARİ"/>
    <n v="5"/>
    <n v="65"/>
    <n v="325"/>
    <n v="0"/>
    <m/>
    <m/>
    <m/>
    <m/>
    <n v="0"/>
    <n v="0"/>
    <n v="48678.501749698371"/>
  </r>
  <r>
    <d v="2026-05-01T00:00:00"/>
    <x v="4"/>
    <s v="TOZ BİBER - TATLI"/>
    <m/>
    <x v="11"/>
    <s v="ST00000002130"/>
    <s v="SATIŞ - TOPTAN - HANİFE DİVLEK"/>
    <s v="CARİ"/>
    <n v="0.21"/>
    <n v="265"/>
    <n v="55.65"/>
    <n v="0"/>
    <m/>
    <m/>
    <m/>
    <m/>
    <n v="0"/>
    <n v="0"/>
    <n v="48678.501749698371"/>
  </r>
  <r>
    <d v="2026-05-01T00:00:00"/>
    <x v="4"/>
    <s v="AKGÜNLÜK BAHUR"/>
    <m/>
    <x v="5"/>
    <s v="ST00000002131"/>
    <s v="SATIŞ"/>
    <s v="POS"/>
    <n v="0.1"/>
    <n v="2000"/>
    <n v="200"/>
    <n v="0"/>
    <m/>
    <m/>
    <m/>
    <m/>
    <n v="0"/>
    <n v="0"/>
    <n v="48678.501749698371"/>
  </r>
  <r>
    <d v="2026-05-01T00:00:00"/>
    <x v="4"/>
    <s v="KARNIYARIK TOHUMU"/>
    <m/>
    <x v="5"/>
    <s v="ST00000002131"/>
    <s v="SATIŞ"/>
    <s v="POS"/>
    <n v="0.1"/>
    <n v="900"/>
    <n v="90"/>
    <n v="0"/>
    <m/>
    <m/>
    <m/>
    <m/>
    <n v="0"/>
    <n v="0"/>
    <n v="48678.501749698371"/>
  </r>
  <r>
    <d v="2026-05-01T00:00:00"/>
    <x v="4"/>
    <s v="MECİTEFENDİ BİBERİYE ŞAMPUANI 400 ML"/>
    <m/>
    <x v="5"/>
    <s v="ST00000002131"/>
    <s v="SATIŞ"/>
    <s v="POS"/>
    <n v="1"/>
    <n v="220"/>
    <n v="220"/>
    <n v="0"/>
    <m/>
    <m/>
    <m/>
    <m/>
    <n v="0"/>
    <n v="0"/>
    <n v="48678.501749698371"/>
  </r>
  <r>
    <d v="2026-05-01T00:00:00"/>
    <x v="4"/>
    <s v="AKGÜNLÜK BAHUR"/>
    <m/>
    <x v="5"/>
    <s v="ST00000002131"/>
    <s v="SATIŞ"/>
    <s v="POS"/>
    <n v="0.1"/>
    <n v="2000"/>
    <n v="200"/>
    <n v="0"/>
    <m/>
    <m/>
    <m/>
    <m/>
    <n v="0"/>
    <n v="0"/>
    <n v="48678.501749698371"/>
  </r>
  <r>
    <d v="2026-05-01T00:00:00"/>
    <x v="4"/>
    <s v="SHİFFA HOME SIVI PROPOLİS EKSTRESİ 20 ML"/>
    <m/>
    <x v="5"/>
    <s v="ST00000002131"/>
    <s v="SATIŞ"/>
    <s v="POS"/>
    <n v="1"/>
    <n v="200"/>
    <n v="200"/>
    <n v="0"/>
    <m/>
    <m/>
    <m/>
    <m/>
    <n v="0"/>
    <n v="0"/>
    <n v="48678.501749698371"/>
  </r>
  <r>
    <d v="2026-05-01T00:00:00"/>
    <x v="4"/>
    <s v="YENİ MAHSÜL PAPATYA"/>
    <m/>
    <x v="5"/>
    <s v="ST00000002131"/>
    <s v="SATIŞ"/>
    <s v="POS"/>
    <n v="0.05"/>
    <n v="1800"/>
    <n v="90"/>
    <n v="0"/>
    <m/>
    <m/>
    <m/>
    <m/>
    <n v="0"/>
    <n v="0"/>
    <n v="48678.501749698371"/>
  </r>
  <r>
    <d v="2026-05-01T00:00:00"/>
    <x v="4"/>
    <s v="BİBERİYE"/>
    <m/>
    <x v="5"/>
    <s v="ST00000002131"/>
    <s v="SATIŞ"/>
    <s v="POS"/>
    <n v="0.1"/>
    <n v="900"/>
    <n v="90"/>
    <n v="0"/>
    <m/>
    <m/>
    <m/>
    <m/>
    <n v="0"/>
    <n v="0"/>
    <n v="48678.501749698371"/>
  </r>
  <r>
    <d v="2026-05-01T00:00:00"/>
    <x v="4"/>
    <s v="FİTOZEN İNGİLİZ TUZU 200 GR"/>
    <m/>
    <x v="5"/>
    <s v="ST00000002131"/>
    <s v="SATIŞ"/>
    <s v="POS"/>
    <n v="1"/>
    <n v="80"/>
    <n v="80"/>
    <n v="0"/>
    <m/>
    <m/>
    <m/>
    <m/>
    <n v="0"/>
    <n v="0"/>
    <n v="48678.501749698371"/>
  </r>
  <r>
    <d v="2026-05-01T00:00:00"/>
    <x v="4"/>
    <s v="KARNIYARIK TOHUMU"/>
    <m/>
    <x v="5"/>
    <s v="ST00000002131"/>
    <s v="SATIŞ"/>
    <s v="POS"/>
    <n v="0.2"/>
    <n v="900"/>
    <n v="180"/>
    <n v="0"/>
    <m/>
    <m/>
    <m/>
    <m/>
    <n v="0"/>
    <n v="0"/>
    <n v="48678.501749698371"/>
  </r>
  <r>
    <d v="2026-05-01T00:00:00"/>
    <x v="4"/>
    <s v="TÜDAB DUT PEKMEZİ 800 GR"/>
    <m/>
    <x v="5"/>
    <s v="ST00000002132"/>
    <s v="SATIŞ"/>
    <s v="POS"/>
    <n v="1"/>
    <n v="170"/>
    <n v="170"/>
    <n v="0"/>
    <m/>
    <m/>
    <m/>
    <m/>
    <n v="0"/>
    <n v="0"/>
    <n v="48678.501749698371"/>
  </r>
  <r>
    <d v="2026-05-01T00:00:00"/>
    <x v="4"/>
    <s v="SALÇA TATLI (EV YAPIMI)"/>
    <m/>
    <x v="5"/>
    <s v="ST00000002132"/>
    <s v="SATIŞ"/>
    <s v="POS"/>
    <n v="0.5"/>
    <n v="200"/>
    <n v="100"/>
    <n v="0"/>
    <m/>
    <m/>
    <m/>
    <m/>
    <n v="0"/>
    <n v="0"/>
    <n v="48678.501749698371"/>
  </r>
  <r>
    <d v="2026-05-01T00:00:00"/>
    <x v="4"/>
    <s v="DOMATES SALÇASI"/>
    <m/>
    <x v="5"/>
    <s v="ST00000002132"/>
    <s v="SATIŞ"/>
    <s v="POS"/>
    <n v="0.5"/>
    <n v="150"/>
    <n v="75"/>
    <n v="0"/>
    <m/>
    <m/>
    <m/>
    <m/>
    <n v="0"/>
    <n v="0"/>
    <n v="48678.501749698371"/>
  </r>
  <r>
    <d v="2026-05-01T00:00:00"/>
    <x v="4"/>
    <s v="KÖFTE BAHARATI (YEDİTÜRLÜ)"/>
    <m/>
    <x v="5"/>
    <s v="ST00000002132"/>
    <s v="SATIŞ"/>
    <s v="POS"/>
    <n v="0.17799999999999999"/>
    <n v="450"/>
    <n v="80.099999999999994"/>
    <n v="0"/>
    <m/>
    <m/>
    <m/>
    <m/>
    <n v="0"/>
    <n v="0"/>
    <n v="48678.501749698371"/>
  </r>
  <r>
    <d v="2026-05-01T00:00:00"/>
    <x v="4"/>
    <s v="NANE İRİ"/>
    <m/>
    <x v="5"/>
    <s v="ST00000002132"/>
    <s v="SATIŞ"/>
    <s v="POS"/>
    <n v="7.2499999999999995E-2"/>
    <n v="400"/>
    <n v="28.999999999999996"/>
    <n v="0"/>
    <m/>
    <m/>
    <m/>
    <m/>
    <n v="0"/>
    <n v="0"/>
    <n v="48678.501749698371"/>
  </r>
  <r>
    <d v="2026-05-01T00:00:00"/>
    <x v="4"/>
    <s v="KARABİBER ÇEKİLMİŞ"/>
    <m/>
    <x v="5"/>
    <s v="ST00000002132"/>
    <s v="SATIŞ"/>
    <s v="POS"/>
    <n v="0.11538461538461539"/>
    <n v="650"/>
    <n v="75"/>
    <n v="0"/>
    <m/>
    <m/>
    <m/>
    <m/>
    <n v="0"/>
    <n v="0"/>
    <n v="48678.501749698371"/>
  </r>
  <r>
    <d v="2026-05-01T00:00:00"/>
    <x v="4"/>
    <s v="ACVE SARI"/>
    <m/>
    <x v="1"/>
    <s v="ST00000002133"/>
    <s v="SATIŞ"/>
    <s v="NAKİT"/>
    <n v="0.5"/>
    <n v="400"/>
    <n v="0"/>
    <n v="0"/>
    <m/>
    <m/>
    <m/>
    <m/>
    <n v="200"/>
    <n v="0"/>
    <n v="48878.501749698371"/>
  </r>
  <r>
    <d v="2026-05-01T00:00:00"/>
    <x v="4"/>
    <s v="DOLMALIK KURU PATLICAN"/>
    <m/>
    <x v="1"/>
    <s v="ST00000002133"/>
    <s v="SATIŞ"/>
    <s v="NAKİT"/>
    <n v="0.5"/>
    <n v="250"/>
    <n v="0"/>
    <n v="0"/>
    <m/>
    <m/>
    <m/>
    <m/>
    <n v="125"/>
    <n v="0"/>
    <n v="49003.501749698371"/>
  </r>
  <r>
    <d v="2026-05-01T00:00:00"/>
    <x v="4"/>
    <s v="DOLMALIK SARI BİBER"/>
    <m/>
    <x v="1"/>
    <s v="ST00000002133"/>
    <s v="SATIŞ"/>
    <s v="NAKİT"/>
    <n v="1"/>
    <n v="250"/>
    <n v="0"/>
    <n v="0"/>
    <m/>
    <m/>
    <m/>
    <m/>
    <n v="250"/>
    <n v="0"/>
    <n v="49253.501749698371"/>
  </r>
  <r>
    <d v="2026-05-01T00:00:00"/>
    <x v="4"/>
    <s v="MANİSA YAPRAK DÖKME"/>
    <m/>
    <x v="1"/>
    <s v="ST00000002133"/>
    <s v="SATIŞ"/>
    <s v="NAKİT"/>
    <n v="0.43142857142857144"/>
    <n v="350"/>
    <n v="0"/>
    <n v="0"/>
    <m/>
    <m/>
    <m/>
    <m/>
    <n v="151"/>
    <n v="0"/>
    <n v="49404.501749698371"/>
  </r>
  <r>
    <d v="2026-05-01T00:00:00"/>
    <x v="4"/>
    <s v="KÖFTE BAHARATI (YEDİTÜRLÜ)"/>
    <m/>
    <x v="1"/>
    <s v="ST00000002133"/>
    <s v="SATIŞ"/>
    <s v="NAKİT"/>
    <n v="7.8E-2"/>
    <n v="450"/>
    <n v="0"/>
    <n v="0"/>
    <m/>
    <m/>
    <m/>
    <m/>
    <n v="35.1"/>
    <n v="0"/>
    <n v="49439.60174969837"/>
  </r>
  <r>
    <d v="2026-05-01T00:00:00"/>
    <x v="4"/>
    <s v="NANE İRİ"/>
    <m/>
    <x v="1"/>
    <s v="ST00000002133"/>
    <s v="SATIŞ"/>
    <s v="NAKİT"/>
    <n v="5.2499999999999998E-2"/>
    <n v="400"/>
    <n v="0"/>
    <n v="0"/>
    <m/>
    <m/>
    <m/>
    <m/>
    <n v="21"/>
    <n v="0"/>
    <n v="49460.60174969837"/>
  </r>
  <r>
    <d v="2026-05-01T00:00:00"/>
    <x v="4"/>
    <s v="KEKİK LÜX"/>
    <m/>
    <x v="1"/>
    <s v="ST00000002133"/>
    <s v="SATIŞ"/>
    <s v="NAKİT"/>
    <n v="3.1764705882352938E-2"/>
    <n v="850"/>
    <n v="0"/>
    <n v="0"/>
    <m/>
    <m/>
    <m/>
    <m/>
    <n v="26.999999999999996"/>
    <n v="0"/>
    <n v="49487.60174969837"/>
  </r>
  <r>
    <d v="2026-05-01T00:00:00"/>
    <x v="4"/>
    <s v="TOZ BİBER - TATLI"/>
    <m/>
    <x v="1"/>
    <s v="ST00000002133"/>
    <s v="SATIŞ"/>
    <s v="NAKİT"/>
    <n v="0.16750000000000001"/>
    <n v="400"/>
    <n v="0"/>
    <n v="0"/>
    <m/>
    <m/>
    <m/>
    <m/>
    <n v="67"/>
    <n v="0"/>
    <n v="49554.60174969837"/>
  </r>
  <r>
    <d v="2026-05-01T00:00:00"/>
    <x v="4"/>
    <s v="ARKO EL VÜCUT KREMİ 150 ml"/>
    <m/>
    <x v="1"/>
    <s v="ST00000002133"/>
    <s v="SATIŞ"/>
    <s v="NAKİT"/>
    <n v="1"/>
    <n v="95"/>
    <n v="0"/>
    <n v="0"/>
    <m/>
    <m/>
    <m/>
    <m/>
    <n v="95"/>
    <n v="0"/>
    <n v="49649.60174969837"/>
  </r>
  <r>
    <d v="2026-05-01T00:00:00"/>
    <x v="4"/>
    <s v="KARANFİL"/>
    <m/>
    <x v="1"/>
    <s v="ST00000002133"/>
    <s v="SATIŞ"/>
    <s v="NAKİT"/>
    <n v="0.05"/>
    <n v="1200"/>
    <n v="0"/>
    <n v="0"/>
    <m/>
    <m/>
    <m/>
    <m/>
    <n v="60"/>
    <n v="0"/>
    <n v="49709.60174969837"/>
  </r>
  <r>
    <d v="2026-05-01T00:00:00"/>
    <x v="4"/>
    <s v="MISIR UNU"/>
    <m/>
    <x v="1"/>
    <s v="ST00000002133"/>
    <s v="SATIŞ"/>
    <s v="NAKİT"/>
    <n v="0.5"/>
    <n v="60"/>
    <n v="0"/>
    <n v="0"/>
    <m/>
    <m/>
    <m/>
    <m/>
    <n v="30"/>
    <n v="0"/>
    <n v="49739.60174969837"/>
  </r>
  <r>
    <d v="2026-05-01T00:00:00"/>
    <x v="4"/>
    <s v="SUMAK ÖZEL"/>
    <m/>
    <x v="1"/>
    <s v="ST00000002133"/>
    <s v="SATIŞ"/>
    <s v="NAKİT"/>
    <n v="0.19038461538461537"/>
    <n v="520"/>
    <n v="0"/>
    <n v="0"/>
    <m/>
    <m/>
    <m/>
    <m/>
    <n v="99"/>
    <n v="0"/>
    <n v="49838.60174969837"/>
  </r>
  <r>
    <d v="2026-05-01T00:00:00"/>
    <x v="4"/>
    <s v="KÖFTE BAHARATI (YEDİTÜRLÜ)"/>
    <m/>
    <x v="1"/>
    <s v="ST00000002133"/>
    <s v="SATIŞ"/>
    <s v="NAKİT"/>
    <n v="0.15"/>
    <n v="415"/>
    <n v="0"/>
    <n v="0"/>
    <m/>
    <m/>
    <m/>
    <m/>
    <n v="62.25"/>
    <n v="0"/>
    <n v="49900.85174969837"/>
  </r>
  <r>
    <d v="2026-05-01T00:00:00"/>
    <x v="4"/>
    <s v="KEKİK LÜX"/>
    <m/>
    <x v="1"/>
    <s v="ST00000002133"/>
    <s v="SATIŞ"/>
    <s v="NAKİT"/>
    <n v="0.16533333333333333"/>
    <n v="750"/>
    <n v="0"/>
    <n v="0"/>
    <m/>
    <m/>
    <m/>
    <m/>
    <n v="124"/>
    <n v="0"/>
    <n v="50024.85174969837"/>
  </r>
  <r>
    <d v="2026-05-01T00:00:00"/>
    <x v="4"/>
    <s v="DOMATES SALÇASI"/>
    <m/>
    <x v="1"/>
    <s v="ST00000002134"/>
    <s v="SATIŞ"/>
    <s v="NAKİT"/>
    <n v="1"/>
    <n v="150"/>
    <n v="0"/>
    <n v="0"/>
    <m/>
    <m/>
    <m/>
    <m/>
    <n v="150"/>
    <n v="0"/>
    <n v="50174.85174969837"/>
  </r>
  <r>
    <d v="2026-05-01T00:00:00"/>
    <x v="4"/>
    <s v="DOLMALIK KURU PATLICAN"/>
    <m/>
    <x v="1"/>
    <s v="ST00000002134"/>
    <s v="SATIŞ"/>
    <s v="NAKİT"/>
    <n v="1"/>
    <n v="250"/>
    <n v="0"/>
    <n v="0"/>
    <m/>
    <m/>
    <m/>
    <m/>
    <n v="250"/>
    <n v="0"/>
    <n v="50424.85174969837"/>
  </r>
  <r>
    <d v="2026-05-01T00:00:00"/>
    <x v="4"/>
    <s v="DOLMALIK SARI BİBER"/>
    <m/>
    <x v="1"/>
    <s v="ST00000002134"/>
    <s v="SATIŞ"/>
    <s v="NAKİT"/>
    <n v="1"/>
    <n v="250"/>
    <n v="0"/>
    <n v="0"/>
    <m/>
    <m/>
    <m/>
    <m/>
    <n v="250"/>
    <n v="0"/>
    <n v="50674.85174969837"/>
  </r>
  <r>
    <d v="2026-05-01T00:00:00"/>
    <x v="4"/>
    <s v="NANE İRİ"/>
    <m/>
    <x v="1"/>
    <s v="ST00000002134"/>
    <s v="SATIŞ"/>
    <s v="NAKİT"/>
    <n v="6.5000000000000002E-2"/>
    <n v="400"/>
    <n v="0"/>
    <n v="0"/>
    <m/>
    <m/>
    <m/>
    <m/>
    <n v="26"/>
    <n v="0"/>
    <n v="50700.85174969837"/>
  </r>
  <r>
    <d v="2026-05-01T00:00:00"/>
    <x v="4"/>
    <s v="KARABİBER ÇEKİLMİŞ"/>
    <m/>
    <x v="1"/>
    <s v="ST00000002134"/>
    <s v="SATIŞ"/>
    <s v="NAKİT"/>
    <n v="9.3846153846153843E-2"/>
    <n v="650"/>
    <n v="0"/>
    <n v="0"/>
    <m/>
    <m/>
    <m/>
    <m/>
    <n v="61"/>
    <n v="0"/>
    <n v="50761.85174969837"/>
  </r>
  <r>
    <d v="2026-05-01T00:00:00"/>
    <x v="4"/>
    <s v="KEKİK LÜX"/>
    <m/>
    <x v="1"/>
    <s v="ST00000002134"/>
    <s v="SATIŞ"/>
    <s v="NAKİT"/>
    <n v="3.7647058823529408E-2"/>
    <n v="850"/>
    <n v="0"/>
    <n v="0"/>
    <m/>
    <m/>
    <m/>
    <m/>
    <n v="31.999999999999996"/>
    <n v="0"/>
    <n v="50793.85174969837"/>
  </r>
  <r>
    <d v="2026-05-01T00:00:00"/>
    <x v="4"/>
    <s v="AÇIK KAYISI İRİ (SARI)"/>
    <m/>
    <x v="1"/>
    <s v="ST00000002134"/>
    <s v="SATIŞ"/>
    <s v="NAKİT"/>
    <n v="0.62923076923076926"/>
    <n v="650"/>
    <n v="0"/>
    <n v="0"/>
    <m/>
    <m/>
    <m/>
    <m/>
    <n v="409"/>
    <n v="0"/>
    <n v="51202.85174969837"/>
  </r>
  <r>
    <d v="2026-05-01T00:00:00"/>
    <x v="4"/>
    <s v="IHLAMUR YAPRAK"/>
    <m/>
    <x v="5"/>
    <s v="ST00000002135"/>
    <s v="SATIŞ"/>
    <s v="POS"/>
    <n v="0.05"/>
    <n v="2000"/>
    <n v="100"/>
    <n v="0"/>
    <m/>
    <m/>
    <m/>
    <m/>
    <n v="0"/>
    <n v="0"/>
    <n v="51202.85174969837"/>
  </r>
  <r>
    <d v="2026-05-01T00:00:00"/>
    <x v="4"/>
    <s v="ANASON"/>
    <m/>
    <x v="5"/>
    <s v="ST00000002135"/>
    <s v="SATIŞ"/>
    <s v="POS"/>
    <n v="0.1"/>
    <n v="900"/>
    <n v="90"/>
    <n v="0"/>
    <m/>
    <m/>
    <m/>
    <m/>
    <n v="0"/>
    <n v="0"/>
    <n v="51202.85174969837"/>
  </r>
  <r>
    <d v="2026-05-01T00:00:00"/>
    <x v="4"/>
    <s v="ÜZÜM SİYAH KİLİS"/>
    <m/>
    <x v="1"/>
    <s v="ST00000002136"/>
    <s v="SATIŞ"/>
    <s v="NAKİT"/>
    <n v="0.12307692307692308"/>
    <n v="650"/>
    <n v="0"/>
    <n v="0"/>
    <m/>
    <m/>
    <m/>
    <m/>
    <n v="80"/>
    <n v="0"/>
    <n v="51282.85174969837"/>
  </r>
  <r>
    <d v="2026-05-01T00:00:00"/>
    <x v="4"/>
    <s v="DUT KURUSU ESMER"/>
    <m/>
    <x v="1"/>
    <s v="ST00000002137"/>
    <s v="SATIŞ"/>
    <s v="NAKİT"/>
    <n v="0.5"/>
    <n v="500"/>
    <n v="0"/>
    <n v="0"/>
    <m/>
    <m/>
    <m/>
    <m/>
    <n v="250"/>
    <n v="0"/>
    <n v="51532.85174969837"/>
  </r>
  <r>
    <d v="2026-05-01T00:00:00"/>
    <x v="4"/>
    <s v="İPEK BİBER"/>
    <m/>
    <x v="5"/>
    <s v="ST00000002138"/>
    <s v="SATIŞ"/>
    <s v="POS"/>
    <n v="0.122"/>
    <n v="500"/>
    <n v="61"/>
    <n v="0"/>
    <m/>
    <m/>
    <m/>
    <m/>
    <n v="0"/>
    <n v="0"/>
    <n v="51532.85174969837"/>
  </r>
  <r>
    <d v="2026-05-01T00:00:00"/>
    <x v="4"/>
    <s v="KARABİBER ÇEKİLMİŞ"/>
    <m/>
    <x v="5"/>
    <s v="ST00000002138"/>
    <s v="SATIŞ"/>
    <s v="POS"/>
    <n v="8.7692307692307694E-2"/>
    <n v="650"/>
    <n v="57"/>
    <n v="0"/>
    <m/>
    <m/>
    <m/>
    <m/>
    <n v="0"/>
    <n v="0"/>
    <n v="51532.85174969837"/>
  </r>
  <r>
    <d v="2026-05-01T00:00:00"/>
    <x v="4"/>
    <s v="HİBİSKUS"/>
    <m/>
    <x v="5"/>
    <s v="ST00000002138"/>
    <s v="SATIŞ"/>
    <s v="POS"/>
    <n v="0.1"/>
    <n v="600"/>
    <n v="60"/>
    <n v="0"/>
    <m/>
    <m/>
    <m/>
    <m/>
    <n v="0"/>
    <n v="0"/>
    <n v="51532.85174969837"/>
  </r>
  <r>
    <d v="2026-05-01T00:00:00"/>
    <x v="4"/>
    <s v="TOZ BİBER - TATLI"/>
    <m/>
    <x v="5"/>
    <s v="ST00000002138"/>
    <s v="SATIŞ"/>
    <s v="POS"/>
    <n v="0.13250000000000001"/>
    <n v="400"/>
    <n v="53"/>
    <n v="0"/>
    <m/>
    <m/>
    <m/>
    <m/>
    <n v="0"/>
    <n v="0"/>
    <n v="51532.85174969837"/>
  </r>
  <r>
    <d v="2026-05-01T00:00:00"/>
    <x v="11"/>
    <m/>
    <m/>
    <x v="11"/>
    <m/>
    <s v="HANİFE DİVLEK - TFK TAHSİLAT"/>
    <s v="CARİ"/>
    <n v="1"/>
    <n v="6895"/>
    <n v="0"/>
    <n v="6895"/>
    <m/>
    <m/>
    <m/>
    <m/>
    <n v="0"/>
    <n v="0"/>
    <n v="51532.85174969837"/>
  </r>
  <r>
    <d v="2026-05-02T00:00:00"/>
    <x v="1"/>
    <m/>
    <s v="VERGİ VE HARÇLAR"/>
    <x v="2"/>
    <m/>
    <s v="KDV ÖDEME - 02/2026 DNM - MMT K.K."/>
    <s v="K.K."/>
    <n v="1"/>
    <n v="824.17"/>
    <n v="0"/>
    <n v="824.17"/>
    <m/>
    <m/>
    <m/>
    <m/>
    <n v="0"/>
    <n v="0"/>
    <n v="51532.85174969837"/>
  </r>
  <r>
    <d v="2026-05-01T00:00:00"/>
    <x v="1"/>
    <m/>
    <s v="KİRA GİDERLERİ"/>
    <x v="1"/>
    <m/>
    <s v="KİRA GİDERİ - 2026/05"/>
    <s v="NAKİT"/>
    <n v="1"/>
    <n v="22000"/>
    <n v="0"/>
    <n v="0"/>
    <m/>
    <m/>
    <m/>
    <m/>
    <n v="0"/>
    <n v="22000"/>
    <n v="29532.85174969837"/>
  </r>
  <r>
    <d v="2026-05-02T00:00:00"/>
    <x v="4"/>
    <s v="DURMUŞOĞULLARI KATI PEKMEZ TAHTA 700 GR"/>
    <m/>
    <x v="5"/>
    <s v="ST00000002139"/>
    <s v="SATIŞ"/>
    <s v="POS"/>
    <n v="1"/>
    <n v="300"/>
    <n v="300"/>
    <n v="0"/>
    <m/>
    <m/>
    <m/>
    <m/>
    <n v="0"/>
    <n v="0"/>
    <n v="29532.85174969837"/>
  </r>
  <r>
    <d v="2026-05-02T00:00:00"/>
    <x v="4"/>
    <s v="DOMATES SALÇASI"/>
    <m/>
    <x v="1"/>
    <s v="ST00000002139"/>
    <s v="SATIŞ"/>
    <s v="NAKİT"/>
    <n v="0.66666666666666663"/>
    <n v="150"/>
    <n v="0"/>
    <n v="0"/>
    <m/>
    <m/>
    <m/>
    <m/>
    <n v="100"/>
    <n v="0"/>
    <n v="29632.85174969837"/>
  </r>
  <r>
    <d v="2026-05-02T00:00:00"/>
    <x v="4"/>
    <s v="SALÇA TATLI (EV YAPIMI)"/>
    <m/>
    <x v="5"/>
    <s v="ST00000002140"/>
    <s v="SATIŞ"/>
    <s v="POS"/>
    <n v="1"/>
    <n v="200"/>
    <n v="200"/>
    <n v="0"/>
    <m/>
    <m/>
    <m/>
    <m/>
    <n v="0"/>
    <n v="0"/>
    <n v="29632.85174969837"/>
  </r>
  <r>
    <d v="2026-05-02T00:00:00"/>
    <x v="4"/>
    <s v="DOMATES SALÇASI"/>
    <m/>
    <x v="5"/>
    <s v="ST00000002140"/>
    <s v="SATIŞ"/>
    <s v="POS"/>
    <n v="1"/>
    <n v="150"/>
    <n v="150"/>
    <n v="0"/>
    <m/>
    <m/>
    <m/>
    <m/>
    <n v="0"/>
    <n v="0"/>
    <n v="29632.85174969837"/>
  </r>
  <r>
    <d v="2026-05-02T00:00:00"/>
    <x v="4"/>
    <s v="SUMAK ÖZEL"/>
    <m/>
    <x v="5"/>
    <s v="ST00000002140"/>
    <s v="SATIŞ"/>
    <s v="POS"/>
    <n v="0.1"/>
    <n v="520"/>
    <n v="52"/>
    <n v="0"/>
    <m/>
    <m/>
    <m/>
    <m/>
    <n v="0"/>
    <n v="0"/>
    <n v="29632.85174969837"/>
  </r>
  <r>
    <d v="2026-05-02T00:00:00"/>
    <x v="4"/>
    <s v="HİMALAYA TUZU PEMBE GRANÜL"/>
    <m/>
    <x v="5"/>
    <s v="ST00000002140"/>
    <s v="SATIŞ"/>
    <s v="POS"/>
    <n v="0.5"/>
    <n v="140"/>
    <n v="70"/>
    <n v="0"/>
    <m/>
    <m/>
    <m/>
    <m/>
    <n v="0"/>
    <n v="0"/>
    <n v="29632.85174969837"/>
  </r>
  <r>
    <d v="2026-05-02T00:00:00"/>
    <x v="4"/>
    <s v="EVLİK BİBER"/>
    <m/>
    <x v="5"/>
    <s v="ST00000002140"/>
    <s v="SATIŞ"/>
    <s v="POS"/>
    <n v="0.24"/>
    <n v="400"/>
    <n v="96"/>
    <n v="0"/>
    <m/>
    <m/>
    <m/>
    <m/>
    <n v="0"/>
    <n v="0"/>
    <n v="29632.85174969837"/>
  </r>
  <r>
    <d v="2026-05-02T00:00:00"/>
    <x v="4"/>
    <s v="DOLMALIK KURU PATLICAN"/>
    <m/>
    <x v="5"/>
    <s v="ST00000002141"/>
    <s v="SATIŞ"/>
    <s v="POS"/>
    <n v="1"/>
    <n v="250"/>
    <n v="250"/>
    <n v="0"/>
    <m/>
    <m/>
    <m/>
    <m/>
    <n v="0"/>
    <n v="0"/>
    <n v="29632.85174969837"/>
  </r>
  <r>
    <d v="2026-05-02T00:00:00"/>
    <x v="4"/>
    <s v="DOLMALIK SARI BİBER"/>
    <m/>
    <x v="5"/>
    <s v="ST00000002141"/>
    <s v="SATIŞ"/>
    <s v="POS"/>
    <n v="1"/>
    <n v="250"/>
    <n v="250"/>
    <n v="0"/>
    <m/>
    <m/>
    <m/>
    <m/>
    <n v="0"/>
    <n v="0"/>
    <n v="29632.85174969837"/>
  </r>
  <r>
    <d v="2026-05-02T00:00:00"/>
    <x v="4"/>
    <s v="EVLİK BİBER"/>
    <m/>
    <x v="5"/>
    <s v="ST00000002142"/>
    <s v="SATIŞ"/>
    <s v="POS"/>
    <n v="0.40500000000000003"/>
    <n v="400"/>
    <n v="162"/>
    <n v="0"/>
    <m/>
    <m/>
    <m/>
    <m/>
    <n v="0"/>
    <n v="0"/>
    <n v="29632.85174969837"/>
  </r>
  <r>
    <d v="2026-05-02T00:00:00"/>
    <x v="4"/>
    <s v="İPEK BİBER"/>
    <m/>
    <x v="5"/>
    <s v="ST00000002142"/>
    <s v="SATIŞ"/>
    <s v="POS"/>
    <n v="0.13600000000000001"/>
    <n v="500"/>
    <n v="68"/>
    <n v="0"/>
    <m/>
    <m/>
    <m/>
    <m/>
    <n v="0"/>
    <n v="0"/>
    <n v="29632.85174969837"/>
  </r>
  <r>
    <d v="2026-05-02T00:00:00"/>
    <x v="4"/>
    <s v="EL-RUHA ÇAY (AÇIK)"/>
    <m/>
    <x v="5"/>
    <s v="ST00000002142"/>
    <s v="SATIŞ"/>
    <s v="POS"/>
    <n v="0.25"/>
    <n v="700"/>
    <n v="175"/>
    <n v="0"/>
    <m/>
    <m/>
    <m/>
    <m/>
    <n v="0"/>
    <n v="0"/>
    <n v="29632.85174969837"/>
  </r>
  <r>
    <d v="2026-05-02T00:00:00"/>
    <x v="4"/>
    <s v="SUMAK ÖZEL"/>
    <m/>
    <x v="5"/>
    <s v="ST00000002142"/>
    <s v="SATIŞ"/>
    <s v="POS"/>
    <n v="0.20961538461538462"/>
    <n v="520"/>
    <n v="109"/>
    <n v="0"/>
    <m/>
    <m/>
    <m/>
    <m/>
    <n v="0"/>
    <n v="0"/>
    <n v="29632.85174969837"/>
  </r>
  <r>
    <d v="2026-05-02T00:00:00"/>
    <x v="4"/>
    <s v="SALÇA TATLI (EV YAPIMI)"/>
    <m/>
    <x v="5"/>
    <s v="ST00000002142"/>
    <s v="SATIŞ"/>
    <s v="POS"/>
    <n v="1"/>
    <n v="200"/>
    <n v="200"/>
    <n v="0"/>
    <m/>
    <m/>
    <m/>
    <m/>
    <n v="0"/>
    <n v="0"/>
    <n v="29632.85174969837"/>
  </r>
  <r>
    <d v="2026-05-02T00:00:00"/>
    <x v="4"/>
    <s v="DOLMALIK KURU PATLICAN"/>
    <m/>
    <x v="5"/>
    <s v="ST00000002142"/>
    <s v="SATIŞ"/>
    <s v="POS"/>
    <n v="1"/>
    <n v="250"/>
    <n v="250"/>
    <n v="0"/>
    <m/>
    <m/>
    <m/>
    <m/>
    <n v="0"/>
    <n v="0"/>
    <n v="29632.85174969837"/>
  </r>
  <r>
    <d v="2026-05-02T00:00:00"/>
    <x v="4"/>
    <s v="DOLMALIK SARI BİBER"/>
    <m/>
    <x v="5"/>
    <s v="ST00000002142"/>
    <s v="SATIŞ"/>
    <s v="POS"/>
    <n v="1"/>
    <n v="250"/>
    <n v="250"/>
    <n v="0"/>
    <m/>
    <m/>
    <m/>
    <m/>
    <n v="0"/>
    <n v="0"/>
    <n v="29632.85174969837"/>
  </r>
  <r>
    <d v="2026-05-02T00:00:00"/>
    <x v="4"/>
    <s v="ZERDEÇAL TOZ"/>
    <m/>
    <x v="1"/>
    <s v="ST00000002143"/>
    <s v="SATIŞ"/>
    <s v="NAKİT"/>
    <n v="6.3333333333333339E-2"/>
    <n v="300"/>
    <n v="0"/>
    <n v="0"/>
    <m/>
    <m/>
    <m/>
    <m/>
    <n v="19"/>
    <n v="0"/>
    <n v="29651.85174969837"/>
  </r>
  <r>
    <d v="2026-05-02T00:00:00"/>
    <x v="4"/>
    <s v="ZENCEFİL TOZ"/>
    <m/>
    <x v="1"/>
    <s v="ST00000002143"/>
    <s v="SATIŞ"/>
    <s v="NAKİT"/>
    <n v="5.7500000000000002E-2"/>
    <n v="400"/>
    <n v="0"/>
    <n v="0"/>
    <m/>
    <m/>
    <m/>
    <m/>
    <n v="23"/>
    <n v="0"/>
    <n v="29674.85174969837"/>
  </r>
  <r>
    <d v="2026-05-02T00:00:00"/>
    <x v="4"/>
    <s v="DOMATES SALÇASI"/>
    <m/>
    <x v="1"/>
    <s v="ST00000002144"/>
    <s v="SATIŞ"/>
    <s v="NAKİT"/>
    <n v="1"/>
    <n v="150"/>
    <n v="0"/>
    <n v="0"/>
    <m/>
    <m/>
    <m/>
    <m/>
    <n v="150"/>
    <n v="0"/>
    <n v="29824.85174969837"/>
  </r>
  <r>
    <d v="2026-05-02T00:00:00"/>
    <x v="4"/>
    <s v="İPEK BİBER"/>
    <m/>
    <x v="1"/>
    <s v="ST00000002144"/>
    <s v="SATIŞ"/>
    <s v="NAKİT"/>
    <n v="0.3"/>
    <n v="500"/>
    <n v="0"/>
    <n v="0"/>
    <m/>
    <m/>
    <m/>
    <m/>
    <n v="150"/>
    <n v="0"/>
    <n v="29974.85174969837"/>
  </r>
  <r>
    <d v="2026-05-02T00:00:00"/>
    <x v="4"/>
    <s v="İSOT"/>
    <m/>
    <x v="1"/>
    <s v="ST00000002145"/>
    <s v="SATIŞ"/>
    <s v="NAKİT"/>
    <n v="0.33250000000000002"/>
    <n v="400"/>
    <n v="0"/>
    <n v="0"/>
    <m/>
    <m/>
    <m/>
    <m/>
    <n v="133"/>
    <n v="0"/>
    <n v="30107.85174969837"/>
  </r>
  <r>
    <d v="2026-05-02T00:00:00"/>
    <x v="4"/>
    <s v="SUMAK"/>
    <m/>
    <x v="1"/>
    <s v="ST00000002145"/>
    <s v="SATIŞ"/>
    <s v="NAKİT"/>
    <n v="0.378"/>
    <n v="500"/>
    <n v="0"/>
    <n v="0"/>
    <m/>
    <m/>
    <m/>
    <m/>
    <n v="189"/>
    <n v="0"/>
    <n v="30296.85174969837"/>
  </r>
  <r>
    <d v="2026-05-02T00:00:00"/>
    <x v="4"/>
    <s v="TOZ BİBER - TATLI"/>
    <m/>
    <x v="1"/>
    <s v="ST00000002145"/>
    <s v="SATIŞ"/>
    <s v="NAKİT"/>
    <n v="0.28999999999999998"/>
    <n v="400"/>
    <n v="0"/>
    <n v="0"/>
    <m/>
    <m/>
    <m/>
    <m/>
    <n v="115.99999999999999"/>
    <n v="0"/>
    <n v="30412.85174969837"/>
  </r>
  <r>
    <d v="2026-05-02T00:00:00"/>
    <x v="4"/>
    <s v="ZÜHRE ANA KARADUT ÖZÜ 670 GR"/>
    <m/>
    <x v="1"/>
    <s v="ST00000002145"/>
    <s v="SATIŞ"/>
    <s v="NAKİT"/>
    <n v="1"/>
    <n v="250"/>
    <n v="0"/>
    <n v="0"/>
    <m/>
    <m/>
    <m/>
    <m/>
    <n v="250"/>
    <n v="0"/>
    <n v="30662.85174969837"/>
  </r>
  <r>
    <d v="2026-05-02T00:00:00"/>
    <x v="4"/>
    <s v="ESMER BULGUR (AKIN)"/>
    <m/>
    <x v="1"/>
    <s v="ST00000002145"/>
    <s v="SATIŞ"/>
    <s v="NAKİT"/>
    <n v="0.92307692307692313"/>
    <n v="65"/>
    <n v="0"/>
    <n v="0"/>
    <m/>
    <m/>
    <m/>
    <m/>
    <n v="60"/>
    <n v="0"/>
    <n v="30722.85174969837"/>
  </r>
  <r>
    <d v="2026-05-02T00:00:00"/>
    <x v="4"/>
    <s v="MANİSA YAPRAK DÖKME"/>
    <m/>
    <x v="1"/>
    <s v="ST00000002146"/>
    <s v="SATIŞ"/>
    <s v="NAKİT"/>
    <n v="1.1371428571428572"/>
    <n v="350"/>
    <n v="0"/>
    <n v="0"/>
    <m/>
    <m/>
    <m/>
    <m/>
    <n v="398.00000000000006"/>
    <n v="0"/>
    <n v="31120.85174969837"/>
  </r>
  <r>
    <d v="2026-05-02T00:00:00"/>
    <x v="4"/>
    <s v="SALÇA TATLI (EV YAPIMI)"/>
    <m/>
    <x v="13"/>
    <s v="ST00000002147"/>
    <s v="SATIŞ - TOPTAN - MÜMİNE ÇELİKEL"/>
    <s v="CARİ"/>
    <n v="38.700000000000003"/>
    <n v="155.03875968992199"/>
    <n v="6000"/>
    <n v="0"/>
    <m/>
    <m/>
    <m/>
    <m/>
    <n v="0"/>
    <n v="0"/>
    <n v="31120.85174969837"/>
  </r>
  <r>
    <d v="2026-05-02T00:00:00"/>
    <x v="4"/>
    <s v="KARANFİL YAĞI 10 CC"/>
    <m/>
    <x v="5"/>
    <s v="ST00000002148"/>
    <s v="SATIŞ"/>
    <s v="POS"/>
    <n v="1"/>
    <n v="130"/>
    <n v="130"/>
    <n v="0"/>
    <m/>
    <m/>
    <m/>
    <m/>
    <n v="0"/>
    <n v="0"/>
    <n v="31120.85174969837"/>
  </r>
  <r>
    <d v="2026-05-02T00:00:00"/>
    <x v="4"/>
    <s v="ZENCEFİL TOZ"/>
    <m/>
    <x v="1"/>
    <s v="ST00000002149"/>
    <s v="SATIŞ"/>
    <s v="NAKİT"/>
    <n v="7.4999999999999997E-2"/>
    <n v="400"/>
    <n v="0"/>
    <n v="0"/>
    <m/>
    <m/>
    <m/>
    <m/>
    <n v="30"/>
    <n v="0"/>
    <n v="31150.85174969837"/>
  </r>
  <r>
    <d v="2026-05-02T00:00:00"/>
    <x v="4"/>
    <s v="KARANFİL"/>
    <m/>
    <x v="1"/>
    <s v="ST00000002149"/>
    <s v="SATIŞ"/>
    <s v="NAKİT"/>
    <n v="0.05"/>
    <n v="1200"/>
    <n v="0"/>
    <n v="0"/>
    <m/>
    <m/>
    <m/>
    <m/>
    <n v="60"/>
    <n v="0"/>
    <n v="31210.85174969837"/>
  </r>
  <r>
    <d v="2026-05-02T00:00:00"/>
    <x v="4"/>
    <s v="HİBİSKUS"/>
    <m/>
    <x v="1"/>
    <s v="ST00000002149"/>
    <s v="SATIŞ"/>
    <s v="NAKİT"/>
    <n v="0.1"/>
    <n v="600"/>
    <n v="0"/>
    <n v="0"/>
    <m/>
    <m/>
    <m/>
    <m/>
    <n v="60"/>
    <n v="0"/>
    <n v="31270.85174969837"/>
  </r>
  <r>
    <d v="2026-05-02T00:00:00"/>
    <x v="4"/>
    <s v="HİBİSKUS"/>
    <m/>
    <x v="1"/>
    <s v="ST00000002150"/>
    <s v="SATIŞ"/>
    <s v="NAKİT"/>
    <n v="0.1"/>
    <n v="600"/>
    <n v="0"/>
    <n v="0"/>
    <m/>
    <m/>
    <m/>
    <m/>
    <n v="60"/>
    <n v="0"/>
    <n v="31330.85174969837"/>
  </r>
  <r>
    <d v="2026-05-02T00:00:00"/>
    <x v="4"/>
    <s v="KÖFTELİK BULGUR"/>
    <m/>
    <x v="1"/>
    <s v="ST00000002150"/>
    <s v="SATIŞ"/>
    <s v="NAKİT"/>
    <n v="1.2307692307692308"/>
    <n v="65"/>
    <n v="0"/>
    <n v="0"/>
    <m/>
    <m/>
    <m/>
    <m/>
    <n v="80"/>
    <n v="0"/>
    <n v="31410.85174969837"/>
  </r>
  <r>
    <d v="2026-05-02T00:00:00"/>
    <x v="4"/>
    <s v="SALÇA ACI (EV YAPIMI)"/>
    <m/>
    <x v="1"/>
    <s v="ST00000002150"/>
    <s v="SATIŞ"/>
    <s v="NAKİT"/>
    <n v="0.22500000000000001"/>
    <n v="200"/>
    <n v="0"/>
    <n v="0"/>
    <m/>
    <m/>
    <m/>
    <m/>
    <n v="45"/>
    <n v="0"/>
    <n v="31455.85174969837"/>
  </r>
  <r>
    <d v="2026-05-03T00:00:00"/>
    <x v="4"/>
    <s v="SALÇA TATLI (EV YAPIMI)"/>
    <m/>
    <x v="1"/>
    <s v="ST00000002151"/>
    <s v="SATIŞ"/>
    <s v="NAKİT"/>
    <n v="1"/>
    <n v="200"/>
    <n v="0"/>
    <n v="0"/>
    <m/>
    <m/>
    <m/>
    <m/>
    <n v="200"/>
    <n v="0"/>
    <n v="31655.85174969837"/>
  </r>
  <r>
    <d v="2026-05-03T00:00:00"/>
    <x v="4"/>
    <s v="ZÜBER FINDIK EZMESİ 315 G"/>
    <m/>
    <x v="1"/>
    <s v="ST00000002151"/>
    <s v="SATIŞ"/>
    <s v="NAKİT"/>
    <n v="1"/>
    <n v="210"/>
    <n v="0"/>
    <n v="0"/>
    <m/>
    <m/>
    <m/>
    <m/>
    <n v="210"/>
    <n v="0"/>
    <n v="31865.85174969837"/>
  </r>
  <r>
    <d v="2026-05-03T00:00:00"/>
    <x v="4"/>
    <s v="DEEPSEA DEO STİCK 60 GR (TER ÖNLEME)"/>
    <m/>
    <x v="1"/>
    <s v="ST00000002151"/>
    <s v="SATIŞ"/>
    <s v="NAKİT"/>
    <n v="1"/>
    <n v="170"/>
    <n v="0"/>
    <n v="0"/>
    <m/>
    <m/>
    <m/>
    <m/>
    <n v="170"/>
    <n v="0"/>
    <n v="32035.85174969837"/>
  </r>
  <r>
    <d v="2026-05-03T00:00:00"/>
    <x v="4"/>
    <s v="KIRMIZI PUL BİBER TATLI"/>
    <m/>
    <x v="1"/>
    <s v="ST00000002151"/>
    <s v="SATIŞ"/>
    <s v="NAKİT"/>
    <n v="0.39200000000000002"/>
    <n v="350"/>
    <n v="0"/>
    <n v="0"/>
    <m/>
    <m/>
    <m/>
    <m/>
    <n v="137.20000000000002"/>
    <n v="0"/>
    <n v="32173.05174969837"/>
  </r>
  <r>
    <d v="2026-05-03T00:00:00"/>
    <x v="4"/>
    <s v="SEFAVİ HURMA"/>
    <m/>
    <x v="1"/>
    <s v="ST00000002151"/>
    <s v="SATIŞ"/>
    <s v="NAKİT"/>
    <n v="0.32600000000000001"/>
    <n v="370"/>
    <n v="0"/>
    <n v="0"/>
    <m/>
    <m/>
    <m/>
    <m/>
    <n v="120.62"/>
    <n v="0"/>
    <n v="32293.671749698369"/>
  </r>
  <r>
    <d v="2026-05-03T00:00:00"/>
    <x v="4"/>
    <s v="KABUKLU CEVİZ (YERLİ)"/>
    <m/>
    <x v="1"/>
    <s v="ST00000002151"/>
    <s v="SATIŞ"/>
    <s v="NAKİT"/>
    <n v="1"/>
    <n v="250"/>
    <n v="0"/>
    <n v="0"/>
    <m/>
    <m/>
    <m/>
    <m/>
    <n v="250"/>
    <n v="0"/>
    <n v="32543.671749698369"/>
  </r>
  <r>
    <d v="2026-05-03T00:00:00"/>
    <x v="4"/>
    <s v="RUŞUR TAŞI"/>
    <m/>
    <x v="1"/>
    <s v="ST00000002151"/>
    <s v="SATIŞ"/>
    <s v="NAKİT"/>
    <n v="4"/>
    <n v="20"/>
    <n v="0"/>
    <n v="0"/>
    <m/>
    <m/>
    <m/>
    <m/>
    <n v="80"/>
    <n v="0"/>
    <n v="32623.671749698369"/>
  </r>
  <r>
    <d v="2026-05-03T00:00:00"/>
    <x v="4"/>
    <s v="MEBRUM HURMA 2 (5'LİK)"/>
    <m/>
    <x v="1"/>
    <s v="ST00000002151"/>
    <s v="SATIŞ"/>
    <s v="NAKİT"/>
    <n v="0.224"/>
    <n v="400"/>
    <n v="0"/>
    <n v="0"/>
    <m/>
    <m/>
    <m/>
    <m/>
    <n v="89.600000000000009"/>
    <n v="0"/>
    <n v="32713.271749698368"/>
  </r>
  <r>
    <d v="2026-05-03T00:00:00"/>
    <x v="4"/>
    <s v="EL-RUHA ÇAY (AÇIK)"/>
    <m/>
    <x v="1"/>
    <s v="ST00000002151"/>
    <s v="SATIŞ"/>
    <s v="NAKİT"/>
    <n v="0.25"/>
    <n v="600"/>
    <n v="0"/>
    <n v="0"/>
    <m/>
    <m/>
    <m/>
    <m/>
    <n v="150"/>
    <n v="0"/>
    <n v="32863.271749698368"/>
  </r>
  <r>
    <d v="2026-05-03T00:00:00"/>
    <x v="4"/>
    <s v="KİTEL BULGUR (SEFER)"/>
    <m/>
    <x v="1"/>
    <s v="ST00000002151"/>
    <s v="SATIŞ"/>
    <s v="NAKİT"/>
    <n v="0.5"/>
    <n v="60"/>
    <n v="0"/>
    <n v="0"/>
    <m/>
    <m/>
    <m/>
    <m/>
    <n v="30"/>
    <n v="0"/>
    <n v="32893.271749698368"/>
  </r>
  <r>
    <d v="2026-05-03T00:00:00"/>
    <x v="4"/>
    <s v="MATCHA DETOX ÇAYI"/>
    <m/>
    <x v="1"/>
    <s v="ST00000002151"/>
    <s v="SATIŞ"/>
    <s v="NAKİT"/>
    <n v="1"/>
    <n v="220"/>
    <n v="0"/>
    <n v="0"/>
    <m/>
    <m/>
    <m/>
    <m/>
    <n v="220"/>
    <n v="0"/>
    <n v="33113.271749698368"/>
  </r>
  <r>
    <d v="2026-05-03T00:00:00"/>
    <x v="4"/>
    <s v="COSMECİT KOLAJENLİ SABUN 120 GR"/>
    <m/>
    <x v="1"/>
    <s v="ST00000002151"/>
    <s v="SATIŞ"/>
    <s v="NAKİT"/>
    <n v="1"/>
    <n v="120"/>
    <n v="0"/>
    <n v="0"/>
    <m/>
    <m/>
    <m/>
    <m/>
    <n v="120"/>
    <n v="0"/>
    <n v="33233.271749698368"/>
  </r>
  <r>
    <d v="2026-05-03T00:00:00"/>
    <x v="4"/>
    <s v="MANİSA YAPRAK DÖKME"/>
    <m/>
    <x v="1"/>
    <s v="ST00000002151"/>
    <s v="SATIŞ"/>
    <s v="NAKİT"/>
    <n v="0.5"/>
    <n v="350"/>
    <n v="0"/>
    <n v="0"/>
    <m/>
    <m/>
    <m/>
    <m/>
    <n v="175"/>
    <n v="0"/>
    <n v="33408.271749698368"/>
  </r>
  <r>
    <d v="2026-05-03T00:00:00"/>
    <x v="4"/>
    <s v="ZÜHRE ANA BROMELAİN ANANAS İÇEREN DETOX ŞURUBU 250 ML"/>
    <m/>
    <x v="1"/>
    <s v="ST00000002151"/>
    <s v="SATIŞ"/>
    <s v="NAKİT"/>
    <n v="1"/>
    <n v="240"/>
    <n v="0"/>
    <n v="0"/>
    <m/>
    <m/>
    <m/>
    <m/>
    <n v="240"/>
    <n v="0"/>
    <n v="33648.271749698368"/>
  </r>
  <r>
    <d v="2026-05-03T00:00:00"/>
    <x v="4"/>
    <s v="SUSAM"/>
    <m/>
    <x v="1"/>
    <s v="ST00000002151"/>
    <s v="SATIŞ"/>
    <s v="NAKİT"/>
    <n v="1"/>
    <n v="40"/>
    <n v="0"/>
    <n v="0"/>
    <m/>
    <m/>
    <m/>
    <m/>
    <n v="40"/>
    <n v="0"/>
    <n v="33688.271749698368"/>
  </r>
  <r>
    <d v="2026-05-03T00:00:00"/>
    <x v="4"/>
    <s v="AÇIK KAYISI İRİ (SARI)"/>
    <m/>
    <x v="1"/>
    <s v="ST00000002151"/>
    <s v="SATIŞ"/>
    <s v="NAKİT"/>
    <n v="0.5"/>
    <n v="625"/>
    <n v="0"/>
    <n v="0"/>
    <m/>
    <m/>
    <m/>
    <m/>
    <n v="312.5"/>
    <n v="0"/>
    <n v="34000.771749698368"/>
  </r>
  <r>
    <d v="2026-05-03T00:00:00"/>
    <x v="4"/>
    <s v="MECİTEFENDİ AKTİF KARBONLU DOĞAL DİŞ MACUNU 75 ml"/>
    <m/>
    <x v="1"/>
    <s v="ST00000002151"/>
    <s v="SATIŞ"/>
    <s v="NAKİT"/>
    <n v="1"/>
    <n v="120"/>
    <n v="0"/>
    <n v="0"/>
    <m/>
    <m/>
    <m/>
    <m/>
    <n v="120"/>
    <n v="0"/>
    <n v="34120.771749698368"/>
  </r>
  <r>
    <d v="2026-05-03T00:00:00"/>
    <x v="4"/>
    <s v="AGARTA DİŞ MACUNU - ÇOCUK"/>
    <m/>
    <x v="1"/>
    <s v="ST00000002151"/>
    <s v="SATIŞ"/>
    <s v="NAKİT"/>
    <n v="1"/>
    <n v="120"/>
    <n v="0"/>
    <n v="0"/>
    <m/>
    <m/>
    <m/>
    <m/>
    <n v="120"/>
    <n v="0"/>
    <n v="34240.771749698368"/>
  </r>
  <r>
    <d v="2026-05-03T00:00:00"/>
    <x v="4"/>
    <s v="ERBATAB MAGNEZYUM 3 LÜ FORM (BİSGLİSİNAT, SİTRAT, MALAT) &amp; VİTAMİN B2 , B3 , B6 - 60 KAPSÜL"/>
    <m/>
    <x v="1"/>
    <s v="ST00000002151"/>
    <s v="SATIŞ"/>
    <s v="NAKİT"/>
    <n v="1"/>
    <n v="380"/>
    <n v="0"/>
    <n v="0"/>
    <m/>
    <m/>
    <m/>
    <m/>
    <n v="380"/>
    <n v="0"/>
    <n v="34620.771749698368"/>
  </r>
  <r>
    <d v="2026-05-03T00:00:00"/>
    <x v="4"/>
    <s v="LOBAS SAF NAR EKŞİSİ 1 KG"/>
    <m/>
    <x v="1"/>
    <s v="ST00000002151"/>
    <s v="SATIŞ"/>
    <s v="NAKİT"/>
    <n v="1"/>
    <n v="320"/>
    <n v="0"/>
    <n v="0"/>
    <m/>
    <m/>
    <m/>
    <m/>
    <n v="320"/>
    <n v="0"/>
    <n v="34940.771749698368"/>
  </r>
  <r>
    <d v="2026-05-03T00:00:00"/>
    <x v="4"/>
    <s v="BALPARMAK YAYLA VE OVA ÇİÇEK BALI 850 GR"/>
    <m/>
    <x v="1"/>
    <s v="ST00000002151"/>
    <s v="SATIŞ"/>
    <s v="NAKİT"/>
    <n v="1"/>
    <n v="500"/>
    <n v="0"/>
    <n v="0"/>
    <m/>
    <m/>
    <m/>
    <m/>
    <n v="500"/>
    <n v="0"/>
    <n v="35440.771749698368"/>
  </r>
  <r>
    <d v="2026-05-03T00:00:00"/>
    <x v="4"/>
    <s v="ZÜHRE ANA ANANAS SİRKESİ 500 ML"/>
    <m/>
    <x v="1"/>
    <s v="ST00000002151"/>
    <s v="SATIŞ"/>
    <s v="NAKİT"/>
    <n v="1"/>
    <n v="200"/>
    <n v="0"/>
    <n v="0"/>
    <m/>
    <m/>
    <m/>
    <m/>
    <n v="200"/>
    <n v="0"/>
    <n v="35640.771749698368"/>
  </r>
  <r>
    <d v="2026-05-03T00:00:00"/>
    <x v="4"/>
    <s v="ZÜHRE ANA KİDS ARI SÜTÜ PEKMEZ BAL MACUN 240 GR"/>
    <m/>
    <x v="1"/>
    <s v="ST00000002151"/>
    <s v="SATIŞ"/>
    <s v="NAKİT"/>
    <n v="1"/>
    <n v="240"/>
    <n v="0"/>
    <n v="0"/>
    <m/>
    <m/>
    <m/>
    <m/>
    <n v="240"/>
    <n v="0"/>
    <n v="35880.771749698368"/>
  </r>
  <r>
    <d v="2026-05-03T00:00:00"/>
    <x v="4"/>
    <s v="KEKİK LÜX"/>
    <m/>
    <x v="1"/>
    <s v="ST00000002151"/>
    <s v="SATIŞ"/>
    <s v="NAKİT"/>
    <n v="6.6000000000000003E-2"/>
    <n v="800"/>
    <n v="0"/>
    <n v="0"/>
    <m/>
    <m/>
    <m/>
    <m/>
    <n v="52.800000000000004"/>
    <n v="0"/>
    <n v="35933.571749698371"/>
  </r>
  <r>
    <d v="2026-05-03T00:00:00"/>
    <x v="4"/>
    <s v="KABAK LİFLİ EŞEK SÜTÜ BALLI SABUN"/>
    <m/>
    <x v="1"/>
    <s v="ST00000002151"/>
    <s v="SATIŞ"/>
    <s v="NAKİT"/>
    <n v="1"/>
    <n v="80"/>
    <n v="0"/>
    <n v="0"/>
    <m/>
    <m/>
    <m/>
    <m/>
    <n v="80"/>
    <n v="0"/>
    <n v="36013.571749698371"/>
  </r>
  <r>
    <d v="2026-05-03T00:00:00"/>
    <x v="4"/>
    <s v="TOMBUL KESE 500 GR SEBZELİ TARHANA"/>
    <m/>
    <x v="1"/>
    <s v="ST00000002151"/>
    <s v="SATIŞ"/>
    <s v="NAKİT"/>
    <n v="1"/>
    <n v="180"/>
    <n v="0"/>
    <n v="0"/>
    <m/>
    <m/>
    <m/>
    <m/>
    <n v="180"/>
    <n v="0"/>
    <n v="36193.571749698371"/>
  </r>
  <r>
    <d v="2026-05-03T00:00:00"/>
    <x v="4"/>
    <s v="NANE İRİ"/>
    <m/>
    <x v="1"/>
    <s v="ST00000002151"/>
    <s v="SATIŞ"/>
    <s v="NAKİT"/>
    <n v="0.126"/>
    <n v="300"/>
    <n v="0"/>
    <n v="0"/>
    <m/>
    <m/>
    <m/>
    <m/>
    <n v="37.799999999999997"/>
    <n v="0"/>
    <n v="36231.371749698374"/>
  </r>
  <r>
    <d v="2026-05-03T00:00:00"/>
    <x v="4"/>
    <s v="İSOT"/>
    <m/>
    <x v="1"/>
    <s v="ST00000002151"/>
    <s v="SATIŞ"/>
    <s v="NAKİT"/>
    <n v="0.80400000000000005"/>
    <n v="300"/>
    <n v="0"/>
    <n v="0"/>
    <m/>
    <m/>
    <m/>
    <m/>
    <n v="241.20000000000002"/>
    <n v="0"/>
    <n v="36472.571749698371"/>
  </r>
  <r>
    <d v="2026-05-03T00:00:00"/>
    <x v="4"/>
    <s v="HİNDİSTAN CEVİZİ YAĞI 20 CC"/>
    <m/>
    <x v="1"/>
    <s v="ST00000002151"/>
    <s v="SATIŞ"/>
    <s v="NAKİT"/>
    <n v="1"/>
    <n v="100"/>
    <n v="0"/>
    <n v="0"/>
    <m/>
    <m/>
    <m/>
    <m/>
    <n v="100"/>
    <n v="0"/>
    <n v="36572.571749698371"/>
  </r>
  <r>
    <d v="2026-05-03T00:00:00"/>
    <x v="4"/>
    <s v="ŞİFAVER KİL HATAY SABUNU"/>
    <m/>
    <x v="1"/>
    <s v="ST00000002151"/>
    <s v="SATIŞ"/>
    <s v="NAKİT"/>
    <n v="1"/>
    <n v="40"/>
    <n v="0"/>
    <n v="0"/>
    <m/>
    <m/>
    <m/>
    <m/>
    <n v="40"/>
    <n v="0"/>
    <n v="36612.571749698371"/>
  </r>
  <r>
    <d v="2026-05-03T00:00:00"/>
    <x v="4"/>
    <s v="FİTOZEN İNGİLİZ KARBONATI 200 GR"/>
    <m/>
    <x v="1"/>
    <s v="ST00000002151"/>
    <s v="SATIŞ"/>
    <s v="NAKİT"/>
    <n v="1"/>
    <n v="60"/>
    <n v="0"/>
    <n v="0"/>
    <m/>
    <m/>
    <m/>
    <m/>
    <n v="60"/>
    <n v="0"/>
    <n v="36672.571749698371"/>
  </r>
  <r>
    <d v="2026-05-03T00:00:00"/>
    <x v="4"/>
    <s v="FİTOZEN İNGİLİZ TUZU 200 GR"/>
    <m/>
    <x v="1"/>
    <s v="ST00000002151"/>
    <s v="SATIŞ"/>
    <s v="NAKİT"/>
    <n v="1"/>
    <n v="60"/>
    <n v="0"/>
    <n v="0"/>
    <m/>
    <m/>
    <m/>
    <m/>
    <n v="60"/>
    <n v="0"/>
    <n v="36732.571749698371"/>
  </r>
  <r>
    <d v="2026-05-03T00:00:00"/>
    <x v="4"/>
    <s v="DAMLA ÇİKOLATA"/>
    <m/>
    <x v="1"/>
    <s v="ST00000002151"/>
    <s v="SATIŞ"/>
    <s v="NAKİT"/>
    <n v="0.1"/>
    <n v="400"/>
    <n v="0"/>
    <n v="0"/>
    <m/>
    <m/>
    <m/>
    <m/>
    <n v="40"/>
    <n v="0"/>
    <n v="36772.571749698371"/>
  </r>
  <r>
    <d v="2026-05-03T00:00:00"/>
    <x v="4"/>
    <s v="ZERDEÇAL TOZ"/>
    <m/>
    <x v="1"/>
    <s v="ST00000002151"/>
    <s v="SATIŞ"/>
    <s v="NAKİT"/>
    <n v="0.126"/>
    <n v="250"/>
    <n v="0"/>
    <n v="0"/>
    <m/>
    <m/>
    <m/>
    <m/>
    <n v="31.5"/>
    <n v="0"/>
    <n v="36804.071749698371"/>
  </r>
  <r>
    <d v="2026-05-03T00:00:00"/>
    <x v="4"/>
    <s v="ZENCEFİL TOZ"/>
    <m/>
    <x v="1"/>
    <s v="ST00000002152"/>
    <s v="SATIŞ"/>
    <s v="NAKİT"/>
    <n v="0.125"/>
    <n v="400"/>
    <n v="0"/>
    <n v="0"/>
    <m/>
    <m/>
    <m/>
    <m/>
    <n v="50"/>
    <n v="0"/>
    <n v="36854.071749698371"/>
  </r>
  <r>
    <d v="2026-05-03T00:00:00"/>
    <x v="4"/>
    <s v="DURMUŞOĞULLARI KATI PEKMEZ TAHTA 700 GR"/>
    <m/>
    <x v="5"/>
    <s v="ST00000002153"/>
    <s v="SATIŞ"/>
    <s v="POS"/>
    <n v="1"/>
    <n v="300"/>
    <n v="300"/>
    <n v="0"/>
    <m/>
    <m/>
    <m/>
    <m/>
    <n v="0"/>
    <n v="0"/>
    <n v="36854.071749698371"/>
  </r>
  <r>
    <d v="2026-05-03T00:00:00"/>
    <x v="4"/>
    <s v="SALÇA TATLI (EV YAPIMI)"/>
    <m/>
    <x v="5"/>
    <s v="ST00000002154"/>
    <s v="SATIŞ"/>
    <s v="POS"/>
    <n v="0.5"/>
    <n v="200"/>
    <n v="100"/>
    <n v="0"/>
    <m/>
    <m/>
    <m/>
    <m/>
    <n v="0"/>
    <n v="0"/>
    <n v="36854.071749698371"/>
  </r>
  <r>
    <d v="2026-05-03T00:00:00"/>
    <x v="4"/>
    <s v="DOMATES SALÇASI"/>
    <m/>
    <x v="1"/>
    <s v="ST00000002155"/>
    <s v="SATIŞ"/>
    <s v="NAKİT"/>
    <n v="2"/>
    <n v="150"/>
    <n v="0"/>
    <n v="0"/>
    <m/>
    <m/>
    <m/>
    <m/>
    <n v="300"/>
    <n v="0"/>
    <n v="37154.071749698371"/>
  </r>
  <r>
    <d v="2026-05-03T00:00:00"/>
    <x v="4"/>
    <s v="SALÇA TATLI (EV YAPIMI)"/>
    <m/>
    <x v="1"/>
    <s v="ST00000002155"/>
    <s v="SATIŞ"/>
    <s v="NAKİT"/>
    <n v="1"/>
    <n v="200"/>
    <n v="0"/>
    <n v="0"/>
    <m/>
    <m/>
    <m/>
    <m/>
    <n v="200"/>
    <n v="0"/>
    <n v="37354.071749698371"/>
  </r>
  <r>
    <d v="2026-05-03T00:00:00"/>
    <x v="4"/>
    <s v="SALÇA ACI (EV YAPIMI)"/>
    <m/>
    <x v="1"/>
    <s v="ST00000002155"/>
    <s v="SATIŞ"/>
    <s v="NAKİT"/>
    <n v="1"/>
    <n v="200"/>
    <n v="0"/>
    <n v="0"/>
    <m/>
    <m/>
    <m/>
    <m/>
    <n v="200"/>
    <n v="0"/>
    <n v="37554.071749698371"/>
  </r>
  <r>
    <d v="2026-05-03T00:00:00"/>
    <x v="4"/>
    <s v="TÜRK KAHVESİ"/>
    <m/>
    <x v="5"/>
    <s v="ST00000002155"/>
    <s v="SATIŞ"/>
    <s v="POS"/>
    <n v="0.7"/>
    <n v="571.42999999999995"/>
    <n v="400.00099999999992"/>
    <n v="0"/>
    <m/>
    <m/>
    <m/>
    <m/>
    <n v="0"/>
    <n v="0"/>
    <n v="37554.071749698371"/>
  </r>
  <r>
    <d v="2026-05-03T00:00:00"/>
    <x v="4"/>
    <s v="KARANFİL"/>
    <m/>
    <x v="1"/>
    <s v="ST00000002155"/>
    <s v="SATIŞ"/>
    <s v="NAKİT"/>
    <n v="0.05"/>
    <n v="1600"/>
    <n v="0"/>
    <n v="0"/>
    <m/>
    <m/>
    <m/>
    <m/>
    <n v="80"/>
    <n v="0"/>
    <n v="37634.071749698371"/>
  </r>
  <r>
    <d v="2026-05-03T00:00:00"/>
    <x v="4"/>
    <s v="LİMONTUZU TOZ"/>
    <m/>
    <x v="5"/>
    <s v="ST00000002156"/>
    <s v="SATIŞ"/>
    <s v="POS"/>
    <n v="0.25"/>
    <n v="180"/>
    <n v="45"/>
    <n v="0"/>
    <m/>
    <m/>
    <m/>
    <m/>
    <n v="0"/>
    <n v="0"/>
    <n v="37634.071749698371"/>
  </r>
  <r>
    <d v="2026-05-03T00:00:00"/>
    <x v="4"/>
    <s v="KABUKLU CEVİZ (YERLİ)"/>
    <m/>
    <x v="1"/>
    <s v="ST00000002157"/>
    <s v="SATIŞ"/>
    <s v="NAKİT"/>
    <n v="2"/>
    <n v="240"/>
    <n v="0"/>
    <n v="0"/>
    <m/>
    <m/>
    <m/>
    <m/>
    <n v="480"/>
    <n v="0"/>
    <n v="38114.071749698371"/>
  </r>
  <r>
    <d v="2026-05-03T00:00:00"/>
    <x v="4"/>
    <s v="NANE İRİ"/>
    <m/>
    <x v="1"/>
    <s v="ST00000002157"/>
    <s v="SATIŞ"/>
    <s v="NAKİT"/>
    <n v="7.2499999999999995E-2"/>
    <n v="300"/>
    <n v="0"/>
    <n v="0"/>
    <m/>
    <m/>
    <m/>
    <m/>
    <n v="21.75"/>
    <n v="0"/>
    <n v="38135.821749698371"/>
  </r>
  <r>
    <d v="2026-05-04T00:00:00"/>
    <x v="4"/>
    <s v="ZENCEFİL TOZ"/>
    <m/>
    <x v="1"/>
    <s v="ST00000002158"/>
    <s v="SATIŞ"/>
    <s v="NAKİT"/>
    <n v="5.7500000000000002E-2"/>
    <n v="400"/>
    <n v="0"/>
    <n v="0"/>
    <m/>
    <m/>
    <m/>
    <m/>
    <n v="23"/>
    <n v="0"/>
    <n v="38158.821749698371"/>
  </r>
  <r>
    <d v="2026-05-04T00:00:00"/>
    <x v="4"/>
    <s v="KABUKLU CEVİZ (YERLİ)"/>
    <m/>
    <x v="5"/>
    <s v="ST00000002159"/>
    <s v="SATIŞ"/>
    <s v="POS"/>
    <n v="0.6"/>
    <n v="250"/>
    <n v="150"/>
    <n v="0"/>
    <m/>
    <m/>
    <m/>
    <m/>
    <n v="0"/>
    <n v="0"/>
    <n v="38158.821749698371"/>
  </r>
  <r>
    <d v="2026-05-04T00:00:00"/>
    <x v="4"/>
    <s v="SALÇA TATLI (EV YAPIMI)"/>
    <m/>
    <x v="5"/>
    <s v="ST00000002159"/>
    <s v="SATIŞ"/>
    <s v="POS"/>
    <n v="1"/>
    <n v="200"/>
    <n v="200"/>
    <n v="0"/>
    <m/>
    <m/>
    <m/>
    <m/>
    <n v="0"/>
    <n v="0"/>
    <n v="38158.821749698371"/>
  </r>
  <r>
    <d v="2026-05-04T00:00:00"/>
    <x v="4"/>
    <s v="DOMATES SALÇASI"/>
    <m/>
    <x v="5"/>
    <s v="ST00000002159"/>
    <s v="SATIŞ"/>
    <s v="POS"/>
    <n v="1"/>
    <n v="150"/>
    <n v="150"/>
    <n v="0"/>
    <m/>
    <m/>
    <m/>
    <m/>
    <n v="0"/>
    <n v="0"/>
    <n v="38158.821749698371"/>
  </r>
  <r>
    <d v="2026-05-04T00:00:00"/>
    <x v="4"/>
    <s v="GÜNAYDIN KAYA TUZU İNCE"/>
    <m/>
    <x v="5"/>
    <s v="ST00000002159"/>
    <s v="SATIŞ"/>
    <s v="POS"/>
    <n v="0.5"/>
    <n v="80"/>
    <n v="40"/>
    <n v="0"/>
    <m/>
    <m/>
    <m/>
    <m/>
    <n v="0"/>
    <n v="0"/>
    <n v="38158.821749698371"/>
  </r>
  <r>
    <d v="2026-05-04T00:00:00"/>
    <x v="4"/>
    <s v="AÇLIK OTU"/>
    <m/>
    <x v="1"/>
    <s v="ST00000002160"/>
    <s v="SATIŞ"/>
    <s v="NAKİT"/>
    <n v="0.11990407673860912"/>
    <n v="417"/>
    <n v="0"/>
    <n v="0"/>
    <m/>
    <m/>
    <m/>
    <m/>
    <n v="50"/>
    <n v="0"/>
    <n v="38208.821749698371"/>
  </r>
  <r>
    <d v="2026-05-04T00:00:00"/>
    <x v="4"/>
    <s v="WARITEX KABAK LİFİ ELDİVEN"/>
    <m/>
    <x v="1"/>
    <s v="ST00000002161"/>
    <s v="SATIŞ"/>
    <s v="NAKİT"/>
    <n v="1"/>
    <n v="100"/>
    <n v="0"/>
    <n v="0"/>
    <m/>
    <m/>
    <m/>
    <m/>
    <n v="100"/>
    <n v="0"/>
    <n v="38308.821749698371"/>
  </r>
  <r>
    <d v="2026-05-04T00:00:00"/>
    <x v="4"/>
    <s v="GÜLŞAH SAHLEP AROMALI İÇECEK"/>
    <m/>
    <x v="1"/>
    <s v="ST00000002161"/>
    <s v="SATIŞ"/>
    <s v="NAKİT"/>
    <n v="1"/>
    <n v="70"/>
    <n v="0"/>
    <n v="0"/>
    <m/>
    <m/>
    <m/>
    <m/>
    <n v="70"/>
    <n v="0"/>
    <n v="38378.821749698371"/>
  </r>
  <r>
    <d v="2026-05-04T00:00:00"/>
    <x v="4"/>
    <s v="NAHİTA ELMALI ENGİNAR SİRKESİ"/>
    <m/>
    <x v="1"/>
    <s v="ST00000002162"/>
    <s v="SATIŞ"/>
    <s v="NAKİT"/>
    <n v="1"/>
    <n v="150"/>
    <n v="0"/>
    <n v="0"/>
    <m/>
    <m/>
    <m/>
    <m/>
    <n v="150"/>
    <n v="0"/>
    <n v="38528.821749698371"/>
  </r>
  <r>
    <d v="2026-05-04T00:00:00"/>
    <x v="4"/>
    <s v="SALÇA TATLI (EV YAPIMI)"/>
    <m/>
    <x v="1"/>
    <s v="ST00000002163"/>
    <s v="SATIŞ"/>
    <s v="NAKİT"/>
    <n v="1"/>
    <n v="200"/>
    <n v="0"/>
    <n v="0"/>
    <m/>
    <m/>
    <m/>
    <m/>
    <n v="200"/>
    <n v="0"/>
    <n v="38728.821749698371"/>
  </r>
  <r>
    <d v="2026-05-04T00:00:00"/>
    <x v="4"/>
    <s v="DOMATES SALÇASI"/>
    <m/>
    <x v="1"/>
    <s v="ST00000002163"/>
    <s v="SATIŞ"/>
    <s v="NAKİT"/>
    <n v="1"/>
    <n v="150"/>
    <n v="0"/>
    <n v="0"/>
    <m/>
    <m/>
    <m/>
    <m/>
    <n v="150"/>
    <n v="0"/>
    <n v="38878.821749698371"/>
  </r>
  <r>
    <d v="2026-05-04T00:00:00"/>
    <x v="4"/>
    <s v="TOZ BİBER - TATLI"/>
    <m/>
    <x v="1"/>
    <s v="ST00000002163"/>
    <s v="SATIŞ"/>
    <s v="NAKİT"/>
    <n v="0.16500000000000001"/>
    <n v="400"/>
    <n v="0"/>
    <n v="0"/>
    <m/>
    <m/>
    <m/>
    <m/>
    <n v="66"/>
    <n v="0"/>
    <n v="38944.821749698371"/>
  </r>
  <r>
    <d v="2026-05-04T00:00:00"/>
    <x v="4"/>
    <s v="SALÇA TATLI (EV YAPIMI)"/>
    <m/>
    <x v="1"/>
    <s v="ST00000002164"/>
    <s v="SATIŞ"/>
    <s v="NAKİT"/>
    <n v="1"/>
    <n v="200"/>
    <n v="0"/>
    <n v="0"/>
    <m/>
    <m/>
    <m/>
    <m/>
    <n v="200"/>
    <n v="0"/>
    <n v="39144.821749698371"/>
  </r>
  <r>
    <d v="2026-05-04T00:00:00"/>
    <x v="4"/>
    <s v="KAJUN BAHARATI - CAJUN SEASONING 1000 GR"/>
    <m/>
    <x v="1"/>
    <s v="ST00000002164"/>
    <s v="SATIŞ"/>
    <s v="NAKİT"/>
    <n v="0.1"/>
    <n v="750"/>
    <n v="0"/>
    <n v="0"/>
    <m/>
    <m/>
    <m/>
    <m/>
    <n v="75"/>
    <n v="0"/>
    <n v="39219.821749698371"/>
  </r>
  <r>
    <d v="2026-05-04T00:00:00"/>
    <x v="4"/>
    <s v="KIRMIZI PUL BİBER TATLI"/>
    <m/>
    <x v="1"/>
    <s v="ST00000002164"/>
    <s v="SATIŞ"/>
    <s v="NAKİT"/>
    <n v="0.19444444444444445"/>
    <n v="360"/>
    <n v="0"/>
    <n v="0"/>
    <m/>
    <m/>
    <m/>
    <m/>
    <n v="70"/>
    <n v="0"/>
    <n v="39289.821749698371"/>
  </r>
  <r>
    <d v="2026-05-04T00:00:00"/>
    <x v="4"/>
    <s v="RUŞUR TAŞI"/>
    <m/>
    <x v="1"/>
    <s v="ST00000002164"/>
    <s v="SATIŞ"/>
    <s v="NAKİT"/>
    <n v="1"/>
    <n v="20"/>
    <n v="0"/>
    <n v="0"/>
    <m/>
    <m/>
    <m/>
    <m/>
    <n v="20"/>
    <n v="0"/>
    <n v="39309.821749698371"/>
  </r>
  <r>
    <d v="2026-05-04T00:00:00"/>
    <x v="4"/>
    <s v="DOMATES SALÇASI"/>
    <m/>
    <x v="1"/>
    <s v="ST00000002164"/>
    <s v="SATIŞ"/>
    <s v="NAKİT"/>
    <n v="1"/>
    <n v="150"/>
    <n v="0"/>
    <n v="0"/>
    <m/>
    <m/>
    <m/>
    <m/>
    <n v="150"/>
    <n v="0"/>
    <n v="39459.821749698371"/>
  </r>
  <r>
    <d v="2026-05-04T00:00:00"/>
    <x v="4"/>
    <s v="RUŞUR TAŞI"/>
    <m/>
    <x v="1"/>
    <s v="ST00000002165"/>
    <s v="SATIŞ"/>
    <s v="NAKİT"/>
    <n v="1"/>
    <n v="20"/>
    <n v="0"/>
    <n v="0"/>
    <m/>
    <m/>
    <m/>
    <m/>
    <n v="20"/>
    <n v="0"/>
    <n v="39479.821749698371"/>
  </r>
  <r>
    <d v="2026-05-04T00:00:00"/>
    <x v="4"/>
    <s v="KİRAZ SAPI"/>
    <m/>
    <x v="1"/>
    <s v="ST00000002166"/>
    <s v="SATIŞ"/>
    <s v="NAKİT"/>
    <n v="0.05"/>
    <n v="800"/>
    <n v="0"/>
    <n v="0"/>
    <m/>
    <m/>
    <m/>
    <m/>
    <n v="40"/>
    <n v="0"/>
    <n v="39519.821749698371"/>
  </r>
  <r>
    <d v="2026-05-04T00:00:00"/>
    <x v="4"/>
    <s v="DOLMALIK KURU PATLICAN"/>
    <m/>
    <x v="1"/>
    <s v="ST00000002167"/>
    <s v="SATIŞ"/>
    <s v="NAKİT"/>
    <n v="5"/>
    <n v="210"/>
    <n v="0"/>
    <n v="0"/>
    <m/>
    <m/>
    <m/>
    <m/>
    <n v="1050"/>
    <n v="0"/>
    <n v="40569.821749698371"/>
  </r>
  <r>
    <d v="2026-05-02T00:00:00"/>
    <x v="3"/>
    <s v="FİTOZEN İNGİLİZ KARBONATI 200 GR"/>
    <m/>
    <x v="4"/>
    <n v="1003408"/>
    <s v="TÜDAB A.Ş."/>
    <s v="CARİ"/>
    <n v="5"/>
    <n v="30"/>
    <n v="0"/>
    <n v="150"/>
    <m/>
    <m/>
    <m/>
    <m/>
    <n v="0"/>
    <n v="0"/>
    <n v="40569.821749698371"/>
  </r>
  <r>
    <d v="2026-05-02T00:00:00"/>
    <x v="3"/>
    <s v="FİTOZEN İNGİLİZ TUZU 200 GR"/>
    <m/>
    <x v="4"/>
    <n v="1003408"/>
    <s v="TÜDAB A.Ş."/>
    <s v="CARİ"/>
    <n v="5"/>
    <n v="25"/>
    <n v="0"/>
    <n v="125"/>
    <m/>
    <m/>
    <m/>
    <m/>
    <n v="0"/>
    <n v="0"/>
    <n v="40569.821749698371"/>
  </r>
  <r>
    <d v="2026-05-02T00:00:00"/>
    <x v="3"/>
    <s v="NAHİTA ÜZÜM SİRKESİ"/>
    <m/>
    <x v="4"/>
    <n v="1003408"/>
    <s v="TÜDAB A.Ş."/>
    <s v="CARİ"/>
    <n v="5"/>
    <n v="95"/>
    <n v="0"/>
    <n v="475"/>
    <m/>
    <m/>
    <m/>
    <m/>
    <n v="0"/>
    <n v="0"/>
    <n v="40569.821749698371"/>
  </r>
  <r>
    <d v="2026-05-02T00:00:00"/>
    <x v="3"/>
    <s v="YEŞİL ÇAY YAPRAK"/>
    <m/>
    <x v="4"/>
    <n v="1003408"/>
    <s v="TÜDAB A.Ş."/>
    <s v="CARİ"/>
    <n v="1"/>
    <n v="375"/>
    <n v="0"/>
    <n v="375"/>
    <m/>
    <m/>
    <m/>
    <m/>
    <n v="0"/>
    <n v="0"/>
    <n v="40569.821749698371"/>
  </r>
  <r>
    <d v="2026-05-05T00:00:00"/>
    <x v="4"/>
    <s v="NANE İRİ"/>
    <m/>
    <x v="5"/>
    <s v="ST00000002168"/>
    <s v="SATIŞ"/>
    <s v="POS"/>
    <n v="0.08"/>
    <n v="388"/>
    <n v="31.04"/>
    <n v="0"/>
    <m/>
    <m/>
    <m/>
    <m/>
    <n v="0"/>
    <n v="0"/>
    <n v="40569.821749698371"/>
  </r>
  <r>
    <d v="2026-05-05T00:00:00"/>
    <x v="4"/>
    <s v="KEKİK LÜX"/>
    <m/>
    <x v="5"/>
    <s v="ST00000002168"/>
    <s v="SATIŞ"/>
    <s v="POS"/>
    <n v="9.1764705882352943E-2"/>
    <n v="850"/>
    <n v="78"/>
    <n v="0"/>
    <m/>
    <m/>
    <m/>
    <m/>
    <n v="0"/>
    <n v="0"/>
    <n v="40569.821749698371"/>
  </r>
  <r>
    <d v="2026-05-05T00:00:00"/>
    <x v="4"/>
    <s v="İPEK BİBER"/>
    <m/>
    <x v="5"/>
    <s v="ST00000002168"/>
    <s v="SATIŞ"/>
    <s v="POS"/>
    <n v="0.26800000000000002"/>
    <n v="500"/>
    <n v="134"/>
    <n v="0"/>
    <m/>
    <m/>
    <m/>
    <m/>
    <n v="0"/>
    <n v="0"/>
    <n v="40569.821749698371"/>
  </r>
  <r>
    <d v="2026-05-05T00:00:00"/>
    <x v="4"/>
    <s v="ATOM PUL BİBER ÇOK ACI"/>
    <m/>
    <x v="5"/>
    <s v="ST00000002168"/>
    <s v="SATIŞ"/>
    <s v="POS"/>
    <n v="0.26727272727272727"/>
    <n v="550"/>
    <n v="147"/>
    <n v="0"/>
    <m/>
    <m/>
    <m/>
    <m/>
    <n v="0"/>
    <n v="0"/>
    <n v="40569.821749698371"/>
  </r>
  <r>
    <d v="2026-05-05T00:00:00"/>
    <x v="4"/>
    <s v="ZERDEÇAL TOZ"/>
    <m/>
    <x v="5"/>
    <s v="ST00000002169"/>
    <s v="SATIŞ"/>
    <s v="POS"/>
    <n v="7.0000000000000007E-2"/>
    <n v="300"/>
    <n v="21.000000000000004"/>
    <n v="0"/>
    <m/>
    <m/>
    <m/>
    <m/>
    <n v="0"/>
    <n v="0"/>
    <n v="40569.821749698371"/>
  </r>
  <r>
    <d v="2026-05-05T00:00:00"/>
    <x v="4"/>
    <s v="EVLİK BİBER"/>
    <m/>
    <x v="5"/>
    <s v="ST00000002169"/>
    <s v="SATIŞ"/>
    <s v="POS"/>
    <n v="0.1825"/>
    <n v="400"/>
    <n v="73"/>
    <n v="0"/>
    <m/>
    <m/>
    <m/>
    <m/>
    <n v="0"/>
    <n v="0"/>
    <n v="40569.821749698371"/>
  </r>
  <r>
    <d v="2026-05-05T00:00:00"/>
    <x v="4"/>
    <s v="SUMAK"/>
    <m/>
    <x v="5"/>
    <s v="ST00000002169"/>
    <s v="SATIŞ"/>
    <s v="POS"/>
    <n v="0.1"/>
    <n v="500"/>
    <n v="50"/>
    <n v="0"/>
    <m/>
    <m/>
    <m/>
    <m/>
    <n v="0"/>
    <n v="0"/>
    <n v="40569.821749698371"/>
  </r>
  <r>
    <d v="2026-05-05T00:00:00"/>
    <x v="4"/>
    <s v="KABUKLU CEVİZ (YERLİ)"/>
    <m/>
    <x v="5"/>
    <s v="ST00000002170"/>
    <s v="SATIŞ"/>
    <s v="POS"/>
    <n v="1"/>
    <n v="250"/>
    <n v="250"/>
    <n v="0"/>
    <m/>
    <m/>
    <m/>
    <m/>
    <n v="0"/>
    <n v="0"/>
    <n v="40569.821749698371"/>
  </r>
  <r>
    <d v="2026-05-05T00:00:00"/>
    <x v="4"/>
    <s v="MANİSA YAPRAK DÖKME"/>
    <m/>
    <x v="5"/>
    <s v="ST00000002170"/>
    <s v="SATIŞ"/>
    <s v="POS"/>
    <n v="0.5"/>
    <n v="350"/>
    <n v="175"/>
    <n v="0"/>
    <m/>
    <m/>
    <m/>
    <m/>
    <n v="0"/>
    <n v="0"/>
    <n v="40569.821749698371"/>
  </r>
  <r>
    <d v="2026-05-05T00:00:00"/>
    <x v="4"/>
    <s v="EVLİK BİBER"/>
    <m/>
    <x v="1"/>
    <s v="ST00000002171"/>
    <s v="SATIŞ"/>
    <s v="NAKİT"/>
    <n v="0.25"/>
    <n v="400"/>
    <n v="0"/>
    <n v="0"/>
    <m/>
    <m/>
    <m/>
    <m/>
    <n v="100"/>
    <n v="0"/>
    <n v="40669.821749698371"/>
  </r>
  <r>
    <d v="2026-05-05T00:00:00"/>
    <x v="4"/>
    <s v="YEDİ TÜRLÜ BAHARAT  (LUXURY CHEF)"/>
    <m/>
    <x v="1"/>
    <s v="ST00000002171"/>
    <s v="SATIŞ"/>
    <s v="NAKİT"/>
    <n v="0.1"/>
    <n v="900"/>
    <n v="0"/>
    <n v="0"/>
    <m/>
    <m/>
    <m/>
    <m/>
    <n v="90"/>
    <n v="0"/>
    <n v="40759.821749698371"/>
  </r>
  <r>
    <d v="2026-05-05T00:00:00"/>
    <x v="4"/>
    <s v="MEBRUM HURMA (3'LÜK)"/>
    <m/>
    <x v="1"/>
    <s v="ST00000002172"/>
    <s v="SATIŞ"/>
    <s v="NAKİT"/>
    <n v="0.76190476190476186"/>
    <n v="420"/>
    <n v="0"/>
    <n v="0"/>
    <m/>
    <m/>
    <m/>
    <m/>
    <n v="320"/>
    <n v="0"/>
    <n v="41079.821749698371"/>
  </r>
  <r>
    <d v="2026-05-05T00:00:00"/>
    <x v="4"/>
    <s v="HAŞİROĞLU TARHANA ÇEREZLİK"/>
    <m/>
    <x v="1"/>
    <s v="ST00000002172"/>
    <s v="SATIŞ"/>
    <s v="NAKİT"/>
    <n v="1"/>
    <n v="280"/>
    <n v="0"/>
    <n v="0"/>
    <m/>
    <m/>
    <m/>
    <m/>
    <n v="280"/>
    <n v="0"/>
    <n v="41359.821749698371"/>
  </r>
  <r>
    <d v="2026-05-05T00:00:00"/>
    <x v="4"/>
    <s v="DOLMALIK KURU PATLICAN"/>
    <m/>
    <x v="1"/>
    <s v="ST00000002173"/>
    <s v="SATIŞ"/>
    <s v="NAKİT"/>
    <n v="1"/>
    <n v="250"/>
    <n v="0"/>
    <n v="0"/>
    <m/>
    <m/>
    <m/>
    <m/>
    <n v="250"/>
    <n v="0"/>
    <n v="41609.821749698371"/>
  </r>
  <r>
    <d v="2026-05-05T00:00:00"/>
    <x v="4"/>
    <s v="EL-RUHA ÇAY (AÇIK)"/>
    <m/>
    <x v="1"/>
    <s v="ST00000002174"/>
    <s v="SATIŞ"/>
    <s v="NAKİT"/>
    <n v="4.2857142857142858E-2"/>
    <n v="700"/>
    <n v="0"/>
    <n v="0"/>
    <m/>
    <m/>
    <m/>
    <m/>
    <n v="30"/>
    <n v="0"/>
    <n v="41639.821749698371"/>
  </r>
  <r>
    <d v="2026-05-05T00:00:00"/>
    <x v="4"/>
    <s v="DUT KURUSU ESMER"/>
    <m/>
    <x v="1"/>
    <s v="ST00000002174"/>
    <s v="SATIŞ"/>
    <s v="NAKİT"/>
    <n v="0.24399999999999999"/>
    <n v="500"/>
    <n v="0"/>
    <n v="0"/>
    <m/>
    <m/>
    <m/>
    <m/>
    <n v="122"/>
    <n v="0"/>
    <n v="41761.821749698371"/>
  </r>
  <r>
    <d v="2026-05-05T00:00:00"/>
    <x v="4"/>
    <s v="TOZ BİBER - TATLI"/>
    <m/>
    <x v="5"/>
    <s v="ST00000002175"/>
    <s v="SATIŞ"/>
    <s v="POS"/>
    <n v="0.1"/>
    <n v="400"/>
    <n v="40"/>
    <n v="0"/>
    <m/>
    <m/>
    <m/>
    <m/>
    <n v="0"/>
    <n v="0"/>
    <n v="41761.821749698371"/>
  </r>
  <r>
    <d v="2026-05-05T00:00:00"/>
    <x v="4"/>
    <s v="HASEVLİK"/>
    <m/>
    <x v="5"/>
    <s v="ST00000002175"/>
    <s v="SATIŞ"/>
    <s v="POS"/>
    <n v="8.8888888888888892E-2"/>
    <n v="450"/>
    <n v="40"/>
    <n v="0"/>
    <m/>
    <m/>
    <m/>
    <m/>
    <n v="0"/>
    <n v="0"/>
    <n v="41761.821749698371"/>
  </r>
  <r>
    <d v="2026-05-05T00:00:00"/>
    <x v="4"/>
    <s v="SALÇA ACI (EV YAPIMI)"/>
    <m/>
    <x v="5"/>
    <s v="ST00000002176"/>
    <s v="SATIŞ"/>
    <s v="POS"/>
    <n v="1"/>
    <n v="200"/>
    <n v="200"/>
    <n v="0"/>
    <m/>
    <m/>
    <m/>
    <m/>
    <n v="0"/>
    <n v="0"/>
    <n v="41761.821749698371"/>
  </r>
  <r>
    <d v="2026-05-05T00:00:00"/>
    <x v="4"/>
    <s v="NANE İRİ"/>
    <m/>
    <x v="5"/>
    <s v="ST00000002176"/>
    <s v="SATIŞ"/>
    <s v="POS"/>
    <n v="0.13"/>
    <n v="400"/>
    <n v="52"/>
    <n v="0"/>
    <m/>
    <m/>
    <m/>
    <m/>
    <n v="0"/>
    <n v="0"/>
    <n v="41761.821749698371"/>
  </r>
  <r>
    <d v="2026-05-05T00:00:00"/>
    <x v="4"/>
    <s v="KEKİK LÜX"/>
    <m/>
    <x v="5"/>
    <s v="ST00000002176"/>
    <s v="SATIŞ"/>
    <s v="POS"/>
    <n v="5.647058823529412E-2"/>
    <n v="850"/>
    <n v="48"/>
    <n v="0"/>
    <m/>
    <m/>
    <m/>
    <m/>
    <n v="0"/>
    <n v="0"/>
    <n v="41761.821749698371"/>
  </r>
  <r>
    <d v="2026-05-05T00:00:00"/>
    <x v="4"/>
    <s v="HİNDİSTAN CEVİZİ ( İRİ )"/>
    <m/>
    <x v="5"/>
    <s v="ST00000002176"/>
    <s v="SATIŞ"/>
    <s v="POS"/>
    <n v="0.1"/>
    <n v="600"/>
    <n v="60"/>
    <n v="0"/>
    <m/>
    <m/>
    <m/>
    <m/>
    <n v="0"/>
    <n v="0"/>
    <n v="41761.821749698371"/>
  </r>
  <r>
    <d v="2026-05-05T00:00:00"/>
    <x v="4"/>
    <s v="SEFAVİ HURMA"/>
    <m/>
    <x v="1"/>
    <s v="ST00000002177"/>
    <s v="SATIŞ"/>
    <s v="NAKİT"/>
    <n v="0.21621621621621623"/>
    <n v="370"/>
    <n v="0"/>
    <n v="0"/>
    <m/>
    <m/>
    <m/>
    <m/>
    <n v="80"/>
    <n v="0"/>
    <n v="41841.821749698371"/>
  </r>
  <r>
    <d v="2026-05-05T00:00:00"/>
    <x v="4"/>
    <s v="AÇLIK OTU"/>
    <m/>
    <x v="1"/>
    <s v="ST00000002178"/>
    <s v="SATIŞ"/>
    <s v="NAKİT"/>
    <n v="0.23980815347721823"/>
    <n v="417"/>
    <n v="0"/>
    <n v="0"/>
    <m/>
    <m/>
    <m/>
    <m/>
    <n v="100"/>
    <n v="0"/>
    <n v="41941.821749698371"/>
  </r>
  <r>
    <d v="2026-05-05T00:00:00"/>
    <x v="4"/>
    <s v="LOBAS SAF NAR EKŞİSİ 1 KG"/>
    <m/>
    <x v="1"/>
    <s v="ST00000002179"/>
    <s v="SATIŞ"/>
    <s v="NAKİT"/>
    <n v="1"/>
    <n v="225"/>
    <n v="0"/>
    <n v="0"/>
    <m/>
    <m/>
    <m/>
    <m/>
    <n v="225"/>
    <n v="0"/>
    <n v="42166.821749698371"/>
  </r>
  <r>
    <d v="2026-05-05T00:00:00"/>
    <x v="4"/>
    <s v="MISIR UNU"/>
    <m/>
    <x v="1"/>
    <s v="ST00000002179"/>
    <s v="SATIŞ"/>
    <s v="NAKİT"/>
    <n v="0.5"/>
    <n v="30"/>
    <n v="0"/>
    <n v="0"/>
    <m/>
    <m/>
    <m/>
    <m/>
    <n v="15"/>
    <n v="0"/>
    <n v="42181.821749698371"/>
  </r>
  <r>
    <d v="2026-05-05T00:00:00"/>
    <x v="4"/>
    <s v="KİMYON ÇEKİLMİŞ"/>
    <m/>
    <x v="1"/>
    <s v="ST00000002179"/>
    <s v="SATIŞ"/>
    <s v="NAKİT"/>
    <n v="0.112"/>
    <n v="240"/>
    <n v="0"/>
    <n v="0"/>
    <m/>
    <m/>
    <m/>
    <m/>
    <n v="26.88"/>
    <n v="0"/>
    <n v="42208.701749698368"/>
  </r>
  <r>
    <d v="2026-05-05T00:00:00"/>
    <x v="4"/>
    <s v="TOZ BİBER - TATLI"/>
    <m/>
    <x v="1"/>
    <s v="ST00000002179"/>
    <s v="SATIŞ"/>
    <s v="NAKİT"/>
    <n v="0.192"/>
    <n v="190"/>
    <n v="0"/>
    <n v="0"/>
    <m/>
    <m/>
    <m/>
    <m/>
    <n v="36.480000000000004"/>
    <n v="0"/>
    <n v="42245.181749698371"/>
  </r>
  <r>
    <d v="2026-05-05T00:00:00"/>
    <x v="4"/>
    <s v="ESMER BULGUR (AKIN)"/>
    <m/>
    <x v="1"/>
    <s v="ST00000002179"/>
    <s v="SATIŞ"/>
    <s v="NAKİT"/>
    <n v="0.92200000000000004"/>
    <n v="35"/>
    <n v="0"/>
    <n v="0"/>
    <m/>
    <m/>
    <m/>
    <m/>
    <n v="32.270000000000003"/>
    <n v="0"/>
    <n v="42277.451749698368"/>
  </r>
  <r>
    <d v="2026-05-05T00:00:00"/>
    <x v="4"/>
    <s v="İPEK BİBER"/>
    <m/>
    <x v="1"/>
    <s v="ST00000002179"/>
    <s v="SATIŞ"/>
    <s v="NAKİT"/>
    <n v="0.20200000000000001"/>
    <n v="260"/>
    <n v="0"/>
    <n v="0"/>
    <m/>
    <m/>
    <m/>
    <m/>
    <n v="52.52"/>
    <n v="0"/>
    <n v="42329.971749698365"/>
  </r>
  <r>
    <d v="2026-05-05T00:00:00"/>
    <x v="4"/>
    <s v="CEVİZ KELEBEK (ŞİLİ)"/>
    <m/>
    <x v="1"/>
    <s v="ST00000002180"/>
    <s v="SATIŞ"/>
    <s v="NAKİT"/>
    <n v="0.13333333333333333"/>
    <n v="750"/>
    <n v="0"/>
    <n v="0"/>
    <m/>
    <m/>
    <m/>
    <m/>
    <n v="100"/>
    <n v="0"/>
    <n v="42429.971749698365"/>
  </r>
  <r>
    <d v="2026-05-05T00:00:00"/>
    <x v="4"/>
    <s v="KARABİBER ÇEKİLMİŞ"/>
    <m/>
    <x v="1"/>
    <s v="ST00000002181"/>
    <s v="SATIŞ"/>
    <s v="NAKİT"/>
    <n v="0.13384615384615384"/>
    <n v="650"/>
    <n v="0"/>
    <n v="0"/>
    <m/>
    <m/>
    <m/>
    <m/>
    <n v="87"/>
    <n v="0"/>
    <n v="42516.971749698365"/>
  </r>
  <r>
    <d v="2026-05-05T00:00:00"/>
    <x v="4"/>
    <s v="ZERDEÇAL TOZ"/>
    <m/>
    <x v="1"/>
    <s v="ST00000002181"/>
    <s v="SATIŞ"/>
    <s v="NAKİT"/>
    <n v="0.2"/>
    <n v="300"/>
    <n v="0"/>
    <n v="0"/>
    <m/>
    <m/>
    <m/>
    <m/>
    <n v="60"/>
    <n v="0"/>
    <n v="42576.971749698365"/>
  </r>
  <r>
    <d v="2026-05-05T00:00:00"/>
    <x v="4"/>
    <s v="EVLİK BİBER"/>
    <m/>
    <x v="1"/>
    <s v="ST00000002181"/>
    <s v="SATIŞ"/>
    <s v="NAKİT"/>
    <n v="0.25"/>
    <n v="400"/>
    <n v="0"/>
    <n v="0"/>
    <m/>
    <m/>
    <m/>
    <m/>
    <n v="100"/>
    <n v="0"/>
    <n v="42676.971749698365"/>
  </r>
  <r>
    <d v="2026-05-05T00:00:00"/>
    <x v="4"/>
    <s v="EVLİK BİBER"/>
    <m/>
    <x v="5"/>
    <s v="ST00000002182"/>
    <s v="SATIŞ"/>
    <s v="POS"/>
    <n v="0.41599999999999998"/>
    <n v="370"/>
    <n v="153.91999999999999"/>
    <n v="0"/>
    <m/>
    <m/>
    <m/>
    <m/>
    <n v="0"/>
    <n v="0"/>
    <n v="42676.971749698365"/>
  </r>
  <r>
    <d v="2026-05-05T00:00:00"/>
    <x v="4"/>
    <s v="TOZ BİBER - ACI"/>
    <m/>
    <x v="5"/>
    <s v="ST00000002182"/>
    <s v="SATIŞ"/>
    <s v="POS"/>
    <n v="0.186"/>
    <n v="375"/>
    <n v="69.75"/>
    <n v="0"/>
    <m/>
    <m/>
    <m/>
    <m/>
    <n v="0"/>
    <n v="0"/>
    <n v="42676.971749698365"/>
  </r>
  <r>
    <d v="2026-05-05T00:00:00"/>
    <x v="4"/>
    <s v="KARABİBER ÇEKİLMİŞ"/>
    <m/>
    <x v="5"/>
    <s v="ST00000002182"/>
    <s v="SATIŞ"/>
    <s v="POS"/>
    <n v="0.14399999999999999"/>
    <n v="600"/>
    <n v="86.399999999999991"/>
    <n v="0"/>
    <m/>
    <m/>
    <m/>
    <m/>
    <n v="0"/>
    <n v="0"/>
    <n v="42676.971749698365"/>
  </r>
  <r>
    <d v="2026-05-05T00:00:00"/>
    <x v="4"/>
    <s v="DOMATES KURUSU"/>
    <m/>
    <x v="5"/>
    <s v="ST00000002182"/>
    <s v="SATIŞ"/>
    <s v="POS"/>
    <n v="0.25"/>
    <n v="360"/>
    <n v="90"/>
    <n v="0"/>
    <m/>
    <m/>
    <m/>
    <m/>
    <n v="0"/>
    <n v="0"/>
    <n v="42676.971749698365"/>
  </r>
  <r>
    <d v="2026-05-05T00:00:00"/>
    <x v="4"/>
    <s v="KABUKLU CEVİZ (YERLİ)"/>
    <m/>
    <x v="1"/>
    <s v="ST00000002183"/>
    <s v="SATIŞ"/>
    <s v="NAKİT"/>
    <n v="0.62"/>
    <n v="250"/>
    <n v="0"/>
    <n v="0"/>
    <m/>
    <m/>
    <m/>
    <m/>
    <n v="155"/>
    <n v="0"/>
    <n v="42831.971749698365"/>
  </r>
  <r>
    <d v="2026-05-05T00:00:00"/>
    <x v="4"/>
    <s v="KIRMIZI PUL BİBER TATLI"/>
    <m/>
    <x v="1"/>
    <s v="ST00000002183"/>
    <s v="SATIŞ"/>
    <s v="NAKİT"/>
    <n v="0.30555555555555558"/>
    <n v="335"/>
    <n v="0"/>
    <n v="0"/>
    <m/>
    <m/>
    <m/>
    <m/>
    <n v="102.36111111111111"/>
    <n v="0"/>
    <n v="42934.332860809474"/>
  </r>
  <r>
    <d v="2026-05-05T00:00:00"/>
    <x v="4"/>
    <s v="EL-RUHA ÇAY (AÇIK)"/>
    <m/>
    <x v="1"/>
    <s v="ST00000002183"/>
    <s v="SATIŞ"/>
    <s v="NAKİT"/>
    <n v="0.25"/>
    <n v="700"/>
    <n v="0"/>
    <n v="0"/>
    <m/>
    <m/>
    <m/>
    <m/>
    <n v="175"/>
    <n v="0"/>
    <n v="43109.332860809474"/>
  </r>
  <r>
    <d v="2026-05-05T00:00:00"/>
    <x v="4"/>
    <s v="SOSLU MISIR YERLİ"/>
    <m/>
    <x v="1"/>
    <s v="ST00000002183"/>
    <s v="SATIŞ"/>
    <s v="NAKİT"/>
    <n v="0.22727272727272727"/>
    <n v="220"/>
    <n v="0"/>
    <n v="0"/>
    <m/>
    <m/>
    <m/>
    <m/>
    <n v="50"/>
    <n v="0"/>
    <n v="43159.332860809474"/>
  </r>
  <r>
    <d v="2026-05-05T00:00:00"/>
    <x v="4"/>
    <s v="KARANFİL"/>
    <m/>
    <x v="1"/>
    <s v="ST00000002183"/>
    <s v="SATIŞ"/>
    <s v="NAKİT"/>
    <n v="0.05"/>
    <n v="1200"/>
    <n v="0"/>
    <n v="0"/>
    <m/>
    <m/>
    <m/>
    <m/>
    <n v="60"/>
    <n v="0"/>
    <n v="43219.332860809474"/>
  </r>
  <r>
    <d v="2026-05-05T00:00:00"/>
    <x v="4"/>
    <s v="BADEM ÇİĞ "/>
    <m/>
    <x v="1"/>
    <s v="ST00000002183"/>
    <s v="SATIŞ"/>
    <s v="NAKİT"/>
    <n v="0.23076923076923078"/>
    <n v="650"/>
    <n v="0"/>
    <n v="0"/>
    <m/>
    <m/>
    <m/>
    <m/>
    <n v="150"/>
    <n v="0"/>
    <n v="43369.332860809474"/>
  </r>
  <r>
    <d v="2026-05-05T00:00:00"/>
    <x v="4"/>
    <s v="İZMİR ÜZÜMÜ"/>
    <m/>
    <x v="1"/>
    <s v="ST00000002183"/>
    <s v="SATIŞ"/>
    <s v="NAKİT"/>
    <n v="0.23200000000000001"/>
    <n v="250"/>
    <n v="0"/>
    <n v="0"/>
    <m/>
    <m/>
    <m/>
    <m/>
    <n v="58"/>
    <n v="0"/>
    <n v="43427.332860809474"/>
  </r>
  <r>
    <d v="2026-05-05T00:00:00"/>
    <x v="4"/>
    <s v="TUZSUZ FISTIK 1 NO"/>
    <m/>
    <x v="1"/>
    <s v="ST00000002183"/>
    <s v="SATIŞ"/>
    <s v="NAKİT"/>
    <n v="0.25641025641025639"/>
    <n v="195"/>
    <n v="0"/>
    <n v="0"/>
    <m/>
    <m/>
    <m/>
    <m/>
    <n v="49.999999999999993"/>
    <n v="0"/>
    <n v="43477.332860809474"/>
  </r>
  <r>
    <d v="2026-05-05T00:00:00"/>
    <x v="4"/>
    <s v="FINDIK BULACAK (13-15)"/>
    <m/>
    <x v="1"/>
    <s v="ST00000002183"/>
    <s v="SATIŞ"/>
    <s v="NAKİT"/>
    <n v="8.3333333333333329E-2"/>
    <n v="1200"/>
    <n v="0"/>
    <n v="0"/>
    <m/>
    <m/>
    <m/>
    <m/>
    <n v="100"/>
    <n v="0"/>
    <n v="43577.332860809474"/>
  </r>
  <r>
    <d v="2026-05-05T00:00:00"/>
    <x v="4"/>
    <s v="HAM KABAK LİFİ İŞLENMEMİŞ"/>
    <m/>
    <x v="5"/>
    <s v="ST00000002184"/>
    <s v="SATIŞ"/>
    <s v="POS"/>
    <n v="0.22222222222222221"/>
    <n v="180"/>
    <n v="40"/>
    <n v="0"/>
    <m/>
    <m/>
    <m/>
    <m/>
    <n v="0"/>
    <n v="0"/>
    <n v="43577.332860809474"/>
  </r>
  <r>
    <d v="2026-05-05T00:00:00"/>
    <x v="4"/>
    <s v="DOLMALIK KURU PATLICAN"/>
    <m/>
    <x v="5"/>
    <s v="ST00000002185"/>
    <s v="SATIŞ"/>
    <s v="POS"/>
    <n v="1"/>
    <n v="250"/>
    <n v="250"/>
    <n v="0"/>
    <m/>
    <m/>
    <m/>
    <m/>
    <n v="0"/>
    <n v="0"/>
    <n v="43577.332860809474"/>
  </r>
  <r>
    <d v="2026-05-05T00:00:00"/>
    <x v="4"/>
    <s v="DOLMALIK SARI BİBER"/>
    <m/>
    <x v="5"/>
    <s v="ST00000002185"/>
    <s v="SATIŞ"/>
    <s v="POS"/>
    <n v="0.5"/>
    <n v="250"/>
    <n v="125"/>
    <n v="0"/>
    <m/>
    <m/>
    <m/>
    <m/>
    <n v="0"/>
    <n v="0"/>
    <n v="43577.332860809474"/>
  </r>
  <r>
    <d v="2026-05-05T00:00:00"/>
    <x v="4"/>
    <s v="DOLMALIK KURU ACI BİBER"/>
    <m/>
    <x v="5"/>
    <s v="ST00000002185"/>
    <s v="SATIŞ"/>
    <s v="POS"/>
    <n v="0.5"/>
    <n v="250"/>
    <n v="125"/>
    <n v="0"/>
    <m/>
    <m/>
    <m/>
    <m/>
    <n v="0"/>
    <n v="0"/>
    <n v="43577.332860809474"/>
  </r>
  <r>
    <d v="2026-05-05T00:00:00"/>
    <x v="4"/>
    <s v="İPEK BİBER"/>
    <m/>
    <x v="5"/>
    <s v="ST00000002185"/>
    <s v="SATIŞ"/>
    <s v="POS"/>
    <n v="0.2"/>
    <n v="500"/>
    <n v="100"/>
    <n v="0"/>
    <m/>
    <m/>
    <m/>
    <m/>
    <n v="0"/>
    <n v="0"/>
    <n v="43577.332860809474"/>
  </r>
  <r>
    <d v="2026-05-06T00:00:00"/>
    <x v="4"/>
    <s v="SALÇA TATLI (EV YAPIMI)"/>
    <m/>
    <x v="1"/>
    <s v="ST00000002186"/>
    <s v="SATIŞ"/>
    <s v="NAKİT"/>
    <n v="2"/>
    <n v="200"/>
    <n v="0"/>
    <n v="0"/>
    <m/>
    <m/>
    <m/>
    <m/>
    <n v="400"/>
    <n v="0"/>
    <n v="43977.332860809474"/>
  </r>
  <r>
    <d v="2026-05-06T00:00:00"/>
    <x v="4"/>
    <s v="SALÇA ACI (EV YAPIMI)"/>
    <m/>
    <x v="1"/>
    <s v="ST00000002186"/>
    <s v="SATIŞ"/>
    <s v="NAKİT"/>
    <n v="2"/>
    <n v="200"/>
    <n v="0"/>
    <n v="0"/>
    <m/>
    <m/>
    <m/>
    <m/>
    <n v="400"/>
    <n v="0"/>
    <n v="44377.332860809474"/>
  </r>
  <r>
    <d v="2026-05-06T00:00:00"/>
    <x v="4"/>
    <s v="IHLAMUR YAPRAK"/>
    <m/>
    <x v="5"/>
    <s v="ST00000002187"/>
    <s v="SATIŞ"/>
    <s v="POS"/>
    <n v="0.05"/>
    <n v="2600"/>
    <n v="130"/>
    <n v="0"/>
    <m/>
    <m/>
    <m/>
    <m/>
    <n v="0"/>
    <n v="0"/>
    <n v="44377.332860809474"/>
  </r>
  <r>
    <d v="2026-05-06T00:00:00"/>
    <x v="4"/>
    <s v="NANE İRİ"/>
    <m/>
    <x v="5"/>
    <s v="ST00000002188"/>
    <s v="SATIŞ"/>
    <s v="POS"/>
    <n v="5.5999999999999994E-2"/>
    <n v="400"/>
    <n v="22.4"/>
    <n v="0"/>
    <m/>
    <m/>
    <m/>
    <m/>
    <n v="0"/>
    <n v="0"/>
    <n v="44377.332860809474"/>
  </r>
  <r>
    <d v="2026-05-06T00:00:00"/>
    <x v="4"/>
    <s v="ZAHTER"/>
    <m/>
    <x v="5"/>
    <s v="ST00000002188"/>
    <s v="SATIŞ"/>
    <s v="POS"/>
    <n v="3.6000000000000004E-2"/>
    <n v="400"/>
    <n v="14.400000000000002"/>
    <n v="0"/>
    <m/>
    <m/>
    <m/>
    <m/>
    <n v="0"/>
    <n v="0"/>
    <n v="44377.332860809474"/>
  </r>
  <r>
    <d v="2026-05-06T00:00:00"/>
    <x v="4"/>
    <s v="ÇAM SAKIZI"/>
    <m/>
    <x v="5"/>
    <s v="ST00000002189"/>
    <s v="SATIŞ"/>
    <s v="POS"/>
    <n v="0.12820512820512819"/>
    <n v="780"/>
    <n v="99.999999999999986"/>
    <n v="0"/>
    <m/>
    <m/>
    <m/>
    <m/>
    <n v="0"/>
    <n v="0"/>
    <n v="44377.332860809474"/>
  </r>
  <r>
    <d v="2026-05-06T00:00:00"/>
    <x v="4"/>
    <s v="KARANFİL"/>
    <m/>
    <x v="5"/>
    <s v="ST00000002189"/>
    <s v="SATIŞ"/>
    <s v="POS"/>
    <n v="0.05"/>
    <n v="1200"/>
    <n v="60"/>
    <n v="0"/>
    <m/>
    <m/>
    <m/>
    <m/>
    <n v="0"/>
    <n v="0"/>
    <n v="44377.332860809474"/>
  </r>
  <r>
    <d v="2026-05-06T00:00:00"/>
    <x v="4"/>
    <s v="ÇUBUK TARÇIN"/>
    <m/>
    <x v="5"/>
    <s v="ST00000002189"/>
    <s v="SATIŞ"/>
    <s v="POS"/>
    <n v="0.08"/>
    <n v="750"/>
    <n v="60"/>
    <n v="0"/>
    <m/>
    <m/>
    <m/>
    <m/>
    <n v="0"/>
    <n v="0"/>
    <n v="44377.332860809474"/>
  </r>
  <r>
    <d v="2026-05-06T00:00:00"/>
    <x v="4"/>
    <s v="KARNIYARIK TOHUMU"/>
    <m/>
    <x v="1"/>
    <s v="ST00000002190"/>
    <s v="SATIŞ"/>
    <s v="NAKİT"/>
    <n v="0.21739130434782608"/>
    <n v="900"/>
    <n v="0"/>
    <n v="0"/>
    <m/>
    <m/>
    <m/>
    <m/>
    <n v="195.65217391304347"/>
    <n v="0"/>
    <n v="44572.985034722515"/>
  </r>
  <r>
    <d v="2026-05-06T00:00:00"/>
    <x v="4"/>
    <s v="AÇIK KAYISI İRİ (SARI)"/>
    <m/>
    <x v="5"/>
    <s v="ST00000002191"/>
    <s v="SATIŞ"/>
    <s v="POS"/>
    <n v="0.28615384615384615"/>
    <n v="650"/>
    <n v="186"/>
    <n v="0"/>
    <m/>
    <m/>
    <m/>
    <m/>
    <n v="0"/>
    <n v="0"/>
    <n v="44572.985034722515"/>
  </r>
  <r>
    <d v="2026-05-06T00:00:00"/>
    <x v="4"/>
    <s v="EMBEAUTY KOLEJAN VE KERATİN SAÇ DÖKÜLMESİNE KARŞI ONARICI DOLGUNLAŞTIRICI ŞAMPUAN 400 ML"/>
    <m/>
    <x v="5"/>
    <s v="ST00000002191"/>
    <s v="SATIŞ"/>
    <s v="POS"/>
    <n v="1"/>
    <n v="290"/>
    <n v="290"/>
    <n v="0"/>
    <m/>
    <m/>
    <m/>
    <m/>
    <n v="0"/>
    <n v="0"/>
    <n v="44572.985034722515"/>
  </r>
  <r>
    <d v="2026-05-06T00:00:00"/>
    <x v="4"/>
    <s v="EL-RUHA ÇAY (AÇIK)"/>
    <m/>
    <x v="5"/>
    <s v="ST00000002191"/>
    <s v="SATIŞ"/>
    <s v="POS"/>
    <n v="0.25"/>
    <n v="700"/>
    <n v="175"/>
    <n v="0"/>
    <m/>
    <m/>
    <m/>
    <m/>
    <n v="0"/>
    <n v="0"/>
    <n v="44572.985034722515"/>
  </r>
  <r>
    <d v="2026-05-06T00:00:00"/>
    <x v="4"/>
    <s v="BADEM ÇİĞ "/>
    <m/>
    <x v="5"/>
    <s v="ST00000002191"/>
    <s v="SATIŞ"/>
    <s v="POS"/>
    <n v="0.23076923076923078"/>
    <n v="650"/>
    <n v="150"/>
    <n v="0"/>
    <m/>
    <m/>
    <m/>
    <m/>
    <n v="0"/>
    <n v="0"/>
    <n v="44572.985034722515"/>
  </r>
  <r>
    <d v="2026-05-06T00:00:00"/>
    <x v="4"/>
    <s v="FINDIK BULACAK (13-15)"/>
    <m/>
    <x v="5"/>
    <s v="ST00000002191"/>
    <s v="SATIŞ"/>
    <s v="POS"/>
    <n v="0.16666666666666666"/>
    <n v="1200"/>
    <n v="200"/>
    <n v="0"/>
    <m/>
    <m/>
    <m/>
    <m/>
    <n v="0"/>
    <n v="0"/>
    <n v="44572.985034722515"/>
  </r>
  <r>
    <d v="2026-05-06T00:00:00"/>
    <x v="4"/>
    <s v="İZMİR ÜZÜMÜ"/>
    <m/>
    <x v="5"/>
    <s v="ST00000002191"/>
    <s v="SATIŞ"/>
    <s v="POS"/>
    <n v="0.4"/>
    <n v="250"/>
    <n v="100"/>
    <n v="0"/>
    <m/>
    <m/>
    <m/>
    <m/>
    <n v="0"/>
    <n v="0"/>
    <n v="44572.985034722515"/>
  </r>
  <r>
    <d v="2026-05-07T00:00:00"/>
    <x v="4"/>
    <s v="DOMATES SALÇASI"/>
    <m/>
    <x v="5"/>
    <s v="ST00000002192"/>
    <s v="SATIŞ"/>
    <s v="POS"/>
    <n v="1"/>
    <n v="150"/>
    <n v="150"/>
    <n v="0"/>
    <m/>
    <m/>
    <m/>
    <m/>
    <n v="0"/>
    <n v="0"/>
    <n v="44572.985034722515"/>
  </r>
  <r>
    <d v="2026-05-07T00:00:00"/>
    <x v="4"/>
    <s v="GÜNAYDIN KAYA TUZU İRİ"/>
    <m/>
    <x v="5"/>
    <s v="ST00000002192"/>
    <s v="SATIŞ"/>
    <s v="POS"/>
    <n v="0.5"/>
    <n v="80"/>
    <n v="40"/>
    <n v="0"/>
    <m/>
    <m/>
    <m/>
    <m/>
    <n v="0"/>
    <n v="0"/>
    <n v="44572.985034722515"/>
  </r>
  <r>
    <d v="2026-05-07T00:00:00"/>
    <x v="4"/>
    <s v="EL-RUHA ÇAY (AÇIK)"/>
    <m/>
    <x v="5"/>
    <s v="ST00000002193"/>
    <s v="SATIŞ"/>
    <s v="POS"/>
    <n v="0.71599999999999997"/>
    <n v="698.33"/>
    <n v="500.00427999999999"/>
    <n v="0"/>
    <m/>
    <m/>
    <m/>
    <m/>
    <n v="0"/>
    <n v="0"/>
    <n v="44572.985034722515"/>
  </r>
  <r>
    <d v="2026-05-07T00:00:00"/>
    <x v="4"/>
    <s v="KABUKLU CEVİZ (YERLİ)"/>
    <m/>
    <x v="1"/>
    <s v="ST00000002194"/>
    <s v="SATIŞ"/>
    <s v="NAKİT"/>
    <n v="1"/>
    <n v="250"/>
    <n v="0"/>
    <n v="0"/>
    <m/>
    <m/>
    <m/>
    <m/>
    <n v="250"/>
    <n v="0"/>
    <n v="44822.985034722515"/>
  </r>
  <r>
    <d v="2026-05-07T00:00:00"/>
    <x v="4"/>
    <s v="PİLAVLIK BULGUR"/>
    <m/>
    <x v="5"/>
    <s v="ST00000002195"/>
    <s v="SATIŞ"/>
    <s v="POS"/>
    <n v="1.6160000000000001"/>
    <n v="65"/>
    <n v="105.04"/>
    <n v="0"/>
    <m/>
    <m/>
    <m/>
    <m/>
    <n v="0"/>
    <n v="0"/>
    <n v="44822.985034722515"/>
  </r>
  <r>
    <d v="2026-05-07T00:00:00"/>
    <x v="4"/>
    <s v="KIRMIZI PUL BİBER TATLI"/>
    <m/>
    <x v="5"/>
    <s v="ST00000002195"/>
    <s v="SATIŞ"/>
    <s v="POS"/>
    <n v="0.91400000000000003"/>
    <n v="360"/>
    <n v="329.04"/>
    <n v="0"/>
    <m/>
    <m/>
    <m/>
    <m/>
    <n v="0"/>
    <n v="0"/>
    <n v="44822.985034722515"/>
  </r>
  <r>
    <d v="2026-05-07T00:00:00"/>
    <x v="4"/>
    <s v="ÇUBUK TARÇIN"/>
    <m/>
    <x v="5"/>
    <s v="ST00000002195"/>
    <s v="SATIŞ"/>
    <s v="POS"/>
    <n v="0.08"/>
    <n v="750"/>
    <n v="60"/>
    <n v="0"/>
    <m/>
    <m/>
    <m/>
    <m/>
    <n v="0"/>
    <n v="0"/>
    <n v="44822.985034722515"/>
  </r>
  <r>
    <d v="2026-05-07T00:00:00"/>
    <x v="4"/>
    <s v="DOMATES KURUSU"/>
    <m/>
    <x v="5"/>
    <s v="ST00000002196"/>
    <s v="SATIŞ"/>
    <s v="POS"/>
    <n v="0.25"/>
    <n v="360"/>
    <n v="90"/>
    <n v="0"/>
    <m/>
    <m/>
    <m/>
    <m/>
    <n v="0"/>
    <n v="0"/>
    <n v="44822.985034722515"/>
  </r>
  <r>
    <d v="2026-05-07T00:00:00"/>
    <x v="4"/>
    <s v="KABUKLU CEVİZ (YERLİ)"/>
    <m/>
    <x v="5"/>
    <s v="ST00000002197"/>
    <s v="SATIŞ"/>
    <s v="POS"/>
    <n v="1"/>
    <n v="250"/>
    <n v="250"/>
    <n v="0"/>
    <m/>
    <m/>
    <m/>
    <m/>
    <n v="0"/>
    <n v="0"/>
    <n v="44822.985034722515"/>
  </r>
  <r>
    <d v="2026-05-07T00:00:00"/>
    <x v="4"/>
    <s v="HAYIT TOHUMU"/>
    <m/>
    <x v="1"/>
    <s v="ST00000002198"/>
    <s v="SATIŞ"/>
    <s v="NAKİT"/>
    <n v="0.1"/>
    <n v="900"/>
    <n v="0"/>
    <n v="0"/>
    <m/>
    <m/>
    <m/>
    <m/>
    <n v="90"/>
    <n v="0"/>
    <n v="44912.985034722515"/>
  </r>
  <r>
    <d v="2026-05-07T00:00:00"/>
    <x v="4"/>
    <s v="ÇUBUK TARÇIN"/>
    <m/>
    <x v="1"/>
    <s v="ST00000002198"/>
    <s v="SATIŞ"/>
    <s v="NAKİT"/>
    <n v="0.08"/>
    <n v="750"/>
    <n v="0"/>
    <n v="0"/>
    <m/>
    <m/>
    <m/>
    <m/>
    <n v="60"/>
    <n v="0"/>
    <n v="44972.985034722515"/>
  </r>
  <r>
    <d v="2026-05-07T00:00:00"/>
    <x v="4"/>
    <s v="IHLAMUR YAPRAK"/>
    <m/>
    <x v="1"/>
    <s v="ST00000002199"/>
    <s v="SATIŞ"/>
    <s v="NAKİT"/>
    <n v="0.05"/>
    <n v="2600"/>
    <n v="0"/>
    <n v="0"/>
    <m/>
    <m/>
    <m/>
    <m/>
    <n v="130"/>
    <n v="0"/>
    <n v="45102.985034722515"/>
  </r>
  <r>
    <d v="2026-05-08T00:00:00"/>
    <x v="4"/>
    <s v="KİŞNİŞ TANE"/>
    <m/>
    <x v="1"/>
    <s v="ST00000002200"/>
    <s v="SATIŞ"/>
    <s v="NAKİT"/>
    <n v="0.1"/>
    <n v="500"/>
    <n v="0"/>
    <n v="0"/>
    <m/>
    <m/>
    <m/>
    <m/>
    <n v="50"/>
    <n v="0"/>
    <n v="45152.985034722515"/>
  </r>
  <r>
    <d v="2026-05-08T00:00:00"/>
    <x v="4"/>
    <s v="KANTARON YAĞI 50 CC"/>
    <m/>
    <x v="1"/>
    <s v="ST00000002200"/>
    <s v="SATIŞ"/>
    <s v="NAKİT"/>
    <n v="1"/>
    <n v="125"/>
    <n v="0"/>
    <n v="0"/>
    <m/>
    <m/>
    <m/>
    <m/>
    <n v="125"/>
    <n v="0"/>
    <n v="45277.985034722515"/>
  </r>
  <r>
    <d v="2026-05-08T00:00:00"/>
    <x v="4"/>
    <s v="GÜNBAK 3Ü1 ARADA SADE KUTU 40 ADET"/>
    <m/>
    <x v="1"/>
    <s v="ST00000002200"/>
    <s v="SATIŞ"/>
    <s v="NAKİT"/>
    <n v="3"/>
    <n v="10"/>
    <n v="0"/>
    <n v="0"/>
    <m/>
    <m/>
    <m/>
    <m/>
    <n v="30"/>
    <n v="0"/>
    <n v="45307.985034722515"/>
  </r>
  <r>
    <d v="2026-05-08T00:00:00"/>
    <x v="4"/>
    <s v="TÜDAB HARNUP PEKMEZİ 800 GR (KEÇİBOYNUZU)"/>
    <m/>
    <x v="1"/>
    <s v="ST00000002201"/>
    <s v="SATIŞ"/>
    <s v="NAKİT"/>
    <n v="1"/>
    <n v="180"/>
    <n v="0"/>
    <n v="0"/>
    <m/>
    <m/>
    <m/>
    <m/>
    <n v="180"/>
    <n v="0"/>
    <n v="45487.985034722515"/>
  </r>
  <r>
    <d v="2026-05-08T00:00:00"/>
    <x v="4"/>
    <s v="DOLMALIK KURU PATLICAN"/>
    <m/>
    <x v="5"/>
    <s v="ST00000002202"/>
    <s v="SATIŞ"/>
    <s v="POS"/>
    <n v="1"/>
    <n v="250"/>
    <n v="250"/>
    <n v="0"/>
    <m/>
    <m/>
    <m/>
    <m/>
    <n v="0"/>
    <n v="0"/>
    <n v="45487.985034722515"/>
  </r>
  <r>
    <d v="2026-05-08T00:00:00"/>
    <x v="4"/>
    <s v="DOLMALIK SARI BİBER"/>
    <m/>
    <x v="5"/>
    <s v="ST00000002202"/>
    <s v="SATIŞ"/>
    <s v="POS"/>
    <n v="1"/>
    <n v="250"/>
    <n v="250"/>
    <n v="0"/>
    <m/>
    <m/>
    <m/>
    <m/>
    <n v="0"/>
    <n v="0"/>
    <n v="45487.985034722515"/>
  </r>
  <r>
    <d v="2026-05-08T00:00:00"/>
    <x v="4"/>
    <s v="DOMATES KURUSU"/>
    <m/>
    <x v="5"/>
    <s v="ST00000002204"/>
    <s v="SATIŞ"/>
    <s v="POS"/>
    <n v="0.125"/>
    <n v="320"/>
    <n v="40"/>
    <n v="0"/>
    <m/>
    <m/>
    <m/>
    <m/>
    <n v="0"/>
    <n v="0"/>
    <n v="45487.985034722515"/>
  </r>
  <r>
    <d v="2026-05-08T00:00:00"/>
    <x v="4"/>
    <s v="ŞİFAVER KÜKÜRTLÜ HATAY SABUNU"/>
    <m/>
    <x v="5"/>
    <s v="ST00000002203"/>
    <s v="SATIŞ"/>
    <s v="POS"/>
    <n v="1"/>
    <n v="50"/>
    <n v="50"/>
    <n v="0"/>
    <m/>
    <m/>
    <m/>
    <m/>
    <n v="0"/>
    <n v="0"/>
    <n v="45487.985034722515"/>
  </r>
  <r>
    <d v="2026-05-08T00:00:00"/>
    <x v="4"/>
    <s v="SUMAK ÖZEL"/>
    <m/>
    <x v="5"/>
    <s v="ST00000002204"/>
    <s v="SATIŞ"/>
    <s v="POS"/>
    <n v="0.28846153846153844"/>
    <n v="520"/>
    <n v="150"/>
    <n v="0"/>
    <m/>
    <m/>
    <m/>
    <m/>
    <n v="0"/>
    <n v="0"/>
    <n v="45487.985034722515"/>
  </r>
  <r>
    <d v="2026-05-08T00:00:00"/>
    <x v="4"/>
    <s v="ISIRGAN YAPRAĞI"/>
    <m/>
    <x v="5"/>
    <s v="ST00000002204"/>
    <s v="SATIŞ"/>
    <s v="POS"/>
    <n v="0.1"/>
    <n v="1200"/>
    <n v="120"/>
    <n v="0"/>
    <m/>
    <m/>
    <m/>
    <m/>
    <n v="0"/>
    <n v="0"/>
    <n v="45487.985034722515"/>
  </r>
  <r>
    <d v="2026-05-08T00:00:00"/>
    <x v="4"/>
    <s v="MİSVAK KUTULU (HOLDER)"/>
    <m/>
    <x v="5"/>
    <s v="ST00000002204"/>
    <s v="SATIŞ"/>
    <s v="POS"/>
    <n v="1"/>
    <n v="30"/>
    <n v="30"/>
    <n v="0"/>
    <m/>
    <m/>
    <m/>
    <m/>
    <n v="0"/>
    <n v="0"/>
    <n v="45487.985034722515"/>
  </r>
  <r>
    <d v="2026-05-08T00:00:00"/>
    <x v="4"/>
    <s v="KINA RGS DÖKME"/>
    <m/>
    <x v="1"/>
    <s v="ST00000002205"/>
    <s v="SATIŞ"/>
    <s v="NAKİT"/>
    <n v="0.25"/>
    <n v="400"/>
    <n v="0"/>
    <n v="0"/>
    <m/>
    <m/>
    <m/>
    <m/>
    <n v="100"/>
    <n v="0"/>
    <n v="45587.985034722515"/>
  </r>
  <r>
    <d v="2026-05-08T00:00:00"/>
    <x v="4"/>
    <s v="KARNIYARIK TOHUMU"/>
    <m/>
    <x v="1"/>
    <s v="ST00000002206"/>
    <s v="SATIŞ"/>
    <s v="NAKİT"/>
    <n v="0.1"/>
    <n v="900"/>
    <n v="0"/>
    <n v="0"/>
    <m/>
    <m/>
    <m/>
    <m/>
    <n v="90"/>
    <n v="0"/>
    <n v="45677.985034722515"/>
  </r>
  <r>
    <d v="2026-05-08T00:00:00"/>
    <x v="4"/>
    <s v="DOLMALIK KURU PATLICAN"/>
    <m/>
    <x v="5"/>
    <s v="ST00000002207"/>
    <s v="SATIŞ"/>
    <s v="POS"/>
    <n v="1"/>
    <n v="250"/>
    <n v="250"/>
    <n v="0"/>
    <m/>
    <m/>
    <m/>
    <m/>
    <n v="0"/>
    <n v="0"/>
    <n v="45677.985034722515"/>
  </r>
  <r>
    <d v="2026-05-08T00:00:00"/>
    <x v="4"/>
    <s v="DOLMALIK SARI BİBER"/>
    <m/>
    <x v="5"/>
    <s v="ST00000002207"/>
    <s v="SATIŞ"/>
    <s v="POS"/>
    <n v="1"/>
    <n v="250"/>
    <n v="250"/>
    <n v="0"/>
    <m/>
    <m/>
    <m/>
    <m/>
    <n v="0"/>
    <n v="0"/>
    <n v="45677.985034722515"/>
  </r>
  <r>
    <d v="2026-05-08T00:00:00"/>
    <x v="4"/>
    <s v="KİNOA DÖKME"/>
    <m/>
    <x v="5"/>
    <s v="ST00000002207"/>
    <s v="SATIŞ"/>
    <s v="POS"/>
    <n v="0.25416666666666665"/>
    <n v="240"/>
    <n v="61"/>
    <n v="0"/>
    <m/>
    <m/>
    <m/>
    <m/>
    <n v="0"/>
    <n v="0"/>
    <n v="45677.985034722515"/>
  </r>
  <r>
    <d v="2026-05-08T00:00:00"/>
    <x v="4"/>
    <s v="MANİSA YAPRAK DÖKME"/>
    <m/>
    <x v="5"/>
    <s v="ST00000002208"/>
    <s v="SATIŞ"/>
    <s v="POS"/>
    <n v="1"/>
    <n v="350"/>
    <n v="350"/>
    <n v="0"/>
    <m/>
    <m/>
    <m/>
    <m/>
    <n v="0"/>
    <n v="0"/>
    <n v="45677.985034722515"/>
  </r>
  <r>
    <d v="2026-05-08T00:00:00"/>
    <x v="4"/>
    <s v="DOMATES KURUSU"/>
    <m/>
    <x v="1"/>
    <s v="ST00000002209"/>
    <s v="SATIŞ - MMT"/>
    <s v="NAKİT"/>
    <n v="0.125"/>
    <n v="320"/>
    <n v="0"/>
    <n v="0"/>
    <m/>
    <m/>
    <m/>
    <m/>
    <n v="40"/>
    <n v="0"/>
    <n v="45717.985034722515"/>
  </r>
  <r>
    <d v="2026-05-09T00:00:00"/>
    <x v="4"/>
    <s v="TOZ BİBER - TATLI"/>
    <m/>
    <x v="5"/>
    <s v="ST00000002210"/>
    <s v="SATIŞ - TOPTAN - DÜKKANA ABLA"/>
    <s v="POS"/>
    <n v="1.554"/>
    <n v="265"/>
    <n v="411.81"/>
    <n v="0"/>
    <m/>
    <m/>
    <m/>
    <m/>
    <n v="0"/>
    <n v="0"/>
    <n v="45717.985034722515"/>
  </r>
  <r>
    <d v="2026-05-09T00:00:00"/>
    <x v="4"/>
    <s v="İPEK BİBER"/>
    <m/>
    <x v="5"/>
    <s v="ST00000002210"/>
    <s v="SATIŞ - TOPTAN - DÜKKANA ABLA"/>
    <s v="POS"/>
    <n v="1.238"/>
    <n v="375"/>
    <n v="464.25"/>
    <n v="0"/>
    <m/>
    <m/>
    <m/>
    <m/>
    <n v="0"/>
    <n v="0"/>
    <n v="45717.985034722515"/>
  </r>
  <r>
    <d v="2026-05-09T00:00:00"/>
    <x v="4"/>
    <s v="KIRMIZI PUL BİBER TATLI"/>
    <m/>
    <x v="5"/>
    <s v="ST00000002210"/>
    <s v="SATIŞ - TOPTAN - DÜKKANA ABLA"/>
    <s v="POS"/>
    <n v="2.0139999999999998"/>
    <n v="265"/>
    <n v="533.70999999999992"/>
    <n v="0"/>
    <m/>
    <m/>
    <m/>
    <m/>
    <n v="0"/>
    <n v="0"/>
    <n v="45717.985034722515"/>
  </r>
  <r>
    <d v="2026-05-09T00:00:00"/>
    <x v="4"/>
    <s v="GÜNAYDIN KAYA TUZU İNCE"/>
    <m/>
    <x v="5"/>
    <s v="ST00000002210"/>
    <s v="SATIŞ - TOPTAN - DÜKKANA ABLA"/>
    <s v="POS"/>
    <n v="0.5"/>
    <n v="80"/>
    <n v="40"/>
    <n v="0"/>
    <m/>
    <m/>
    <m/>
    <m/>
    <n v="0"/>
    <n v="0"/>
    <n v="45717.985034722515"/>
  </r>
  <r>
    <d v="2026-05-09T00:00:00"/>
    <x v="4"/>
    <s v="HAYIT TOHUMU"/>
    <m/>
    <x v="1"/>
    <s v="ST00000002211"/>
    <s v="SATIŞ"/>
    <s v="NAKİT"/>
    <n v="0.1"/>
    <n v="900"/>
    <n v="0"/>
    <n v="0"/>
    <m/>
    <m/>
    <m/>
    <m/>
    <n v="90"/>
    <n v="0"/>
    <n v="45807.985034722515"/>
  </r>
  <r>
    <d v="2026-05-09T00:00:00"/>
    <x v="4"/>
    <s v="LİMONSOSU 1 KG"/>
    <m/>
    <x v="5"/>
    <s v="ST00000002212"/>
    <s v="SATIŞ"/>
    <s v="POS"/>
    <n v="1"/>
    <n v="80"/>
    <n v="80"/>
    <n v="0"/>
    <m/>
    <m/>
    <m/>
    <m/>
    <n v="0"/>
    <n v="0"/>
    <n v="45807.985034722515"/>
  </r>
  <r>
    <d v="2026-05-09T00:00:00"/>
    <x v="4"/>
    <s v="NAHİTA ÜZÜM SİRKESİ"/>
    <m/>
    <x v="5"/>
    <s v="ST00000002212"/>
    <s v="SATIŞ"/>
    <s v="POS"/>
    <n v="1"/>
    <n v="150"/>
    <n v="150"/>
    <n v="0"/>
    <m/>
    <m/>
    <m/>
    <m/>
    <n v="0"/>
    <n v="0"/>
    <n v="45807.985034722515"/>
  </r>
  <r>
    <d v="2026-05-09T00:00:00"/>
    <x v="4"/>
    <s v="KARNIYARIK TOHUMU"/>
    <m/>
    <x v="1"/>
    <s v="ST00000002213"/>
    <s v="SATIŞ"/>
    <s v="NAKİT"/>
    <n v="0.1"/>
    <n v="900"/>
    <n v="0"/>
    <n v="0"/>
    <m/>
    <m/>
    <m/>
    <m/>
    <n v="90"/>
    <n v="0"/>
    <n v="45897.985034722515"/>
  </r>
  <r>
    <d v="2026-05-09T00:00:00"/>
    <x v="4"/>
    <s v="PİLAVLIK BULGUR"/>
    <m/>
    <x v="1"/>
    <s v="ST00000002214"/>
    <s v="SATIŞ"/>
    <s v="NAKİT"/>
    <n v="1.26"/>
    <n v="52"/>
    <n v="0"/>
    <n v="0"/>
    <m/>
    <m/>
    <m/>
    <m/>
    <n v="65.52"/>
    <n v="0"/>
    <n v="45963.505034722511"/>
  </r>
  <r>
    <d v="2026-05-09T00:00:00"/>
    <x v="4"/>
    <s v="KÖFTELİK BULGUR"/>
    <m/>
    <x v="1"/>
    <s v="ST00000002214"/>
    <s v="SATIŞ"/>
    <s v="NAKİT"/>
    <n v="1.244"/>
    <n v="52"/>
    <n v="0"/>
    <n v="0"/>
    <m/>
    <m/>
    <m/>
    <m/>
    <n v="64.688000000000002"/>
    <n v="0"/>
    <n v="46028.193034722513"/>
  </r>
  <r>
    <d v="2026-05-09T00:00:00"/>
    <x v="4"/>
    <s v="TÜDAB KEÇİ BOYNUZU (DÖKME)"/>
    <m/>
    <x v="1"/>
    <s v="ST00000002214"/>
    <s v="SATIŞ"/>
    <s v="NAKİT"/>
    <n v="0.2"/>
    <n v="350"/>
    <n v="0"/>
    <n v="0"/>
    <m/>
    <m/>
    <m/>
    <m/>
    <n v="70"/>
    <n v="0"/>
    <n v="46098.193034722513"/>
  </r>
  <r>
    <d v="2026-05-09T00:00:00"/>
    <x v="4"/>
    <s v="TUZLU FISTIK DUBLE"/>
    <m/>
    <x v="1"/>
    <s v="ST00000002214"/>
    <s v="SATIŞ"/>
    <s v="NAKİT"/>
    <n v="0.25641025641025639"/>
    <n v="195"/>
    <n v="0"/>
    <n v="0"/>
    <m/>
    <m/>
    <m/>
    <m/>
    <n v="49.999999999999993"/>
    <n v="0"/>
    <n v="46148.193034722513"/>
  </r>
  <r>
    <d v="2026-05-09T00:00:00"/>
    <x v="4"/>
    <s v="AYÇEKİRDEĞİ DAKOTA TUZLU EKSTRA"/>
    <m/>
    <x v="1"/>
    <s v="ST00000002214"/>
    <s v="SATIŞ"/>
    <s v="NAKİT"/>
    <n v="0.21739130434782608"/>
    <n v="230"/>
    <n v="0"/>
    <n v="0"/>
    <m/>
    <m/>
    <m/>
    <m/>
    <n v="50"/>
    <n v="0"/>
    <n v="46198.193034722513"/>
  </r>
  <r>
    <d v="2026-05-09T00:00:00"/>
    <x v="4"/>
    <s v="EVLİK BİBER"/>
    <m/>
    <x v="5"/>
    <s v="ST00000002215"/>
    <s v="SATIŞ"/>
    <s v="POS"/>
    <n v="0.32"/>
    <n v="400"/>
    <n v="128"/>
    <n v="0"/>
    <m/>
    <m/>
    <m/>
    <m/>
    <n v="0"/>
    <n v="0"/>
    <n v="46198.193034722513"/>
  </r>
  <r>
    <d v="2026-05-09T00:00:00"/>
    <x v="4"/>
    <s v="TOZ BİBER - TATLI"/>
    <m/>
    <x v="5"/>
    <s v="ST00000002215"/>
    <s v="SATIŞ"/>
    <s v="POS"/>
    <n v="0.26750000000000002"/>
    <n v="400"/>
    <n v="107"/>
    <n v="0"/>
    <m/>
    <m/>
    <m/>
    <m/>
    <n v="0"/>
    <n v="0"/>
    <n v="46198.193034722513"/>
  </r>
  <r>
    <d v="2026-05-09T00:00:00"/>
    <x v="4"/>
    <s v="İPEK BİBER"/>
    <m/>
    <x v="1"/>
    <s v="ST00000002216"/>
    <s v="SATIŞ"/>
    <s v="NAKİT"/>
    <n v="0.09"/>
    <n v="500"/>
    <n v="0"/>
    <n v="0"/>
    <m/>
    <m/>
    <m/>
    <m/>
    <n v="45"/>
    <n v="0"/>
    <n v="46243.193034722513"/>
  </r>
  <r>
    <d v="2026-05-09T00:00:00"/>
    <x v="4"/>
    <s v="DOLMALIK KURU PATLICAN"/>
    <m/>
    <x v="1"/>
    <s v="ST00000002216"/>
    <s v="SATIŞ"/>
    <s v="NAKİT"/>
    <n v="1"/>
    <n v="250"/>
    <n v="0"/>
    <n v="0"/>
    <m/>
    <m/>
    <m/>
    <m/>
    <n v="250"/>
    <n v="0"/>
    <n v="46493.193034722513"/>
  </r>
  <r>
    <d v="2026-05-09T00:00:00"/>
    <x v="4"/>
    <s v="KÖFTELİK BULGUR"/>
    <m/>
    <x v="5"/>
    <s v="ST00000002217"/>
    <s v="SATIŞ"/>
    <s v="POS"/>
    <n v="1"/>
    <n v="60"/>
    <n v="60"/>
    <n v="0"/>
    <m/>
    <m/>
    <m/>
    <m/>
    <n v="0"/>
    <n v="0"/>
    <n v="46493.193034722513"/>
  </r>
  <r>
    <d v="2026-05-09T00:00:00"/>
    <x v="4"/>
    <s v="PİLAVLIK BULGUR"/>
    <m/>
    <x v="5"/>
    <s v="ST00000002217"/>
    <s v="SATIŞ"/>
    <s v="POS"/>
    <n v="1"/>
    <n v="60"/>
    <n v="60"/>
    <n v="0"/>
    <m/>
    <m/>
    <m/>
    <m/>
    <n v="0"/>
    <n v="0"/>
    <n v="46493.193034722513"/>
  </r>
  <r>
    <d v="2026-05-09T00:00:00"/>
    <x v="4"/>
    <s v="AŞURELİK BUĞDAY İZMİR"/>
    <m/>
    <x v="5"/>
    <s v="ST00000002217"/>
    <s v="SATIŞ"/>
    <s v="POS"/>
    <n v="0.5"/>
    <n v="50"/>
    <n v="25"/>
    <n v="0"/>
    <m/>
    <m/>
    <m/>
    <m/>
    <n v="0"/>
    <n v="0"/>
    <n v="46493.193034722513"/>
  </r>
  <r>
    <d v="2026-05-10T00:00:00"/>
    <x v="4"/>
    <s v="DOLMALIK KURU PATLICAN"/>
    <m/>
    <x v="1"/>
    <s v="ST00000002218"/>
    <s v="SATIŞ"/>
    <s v="NAKİT"/>
    <n v="1"/>
    <n v="250"/>
    <n v="0"/>
    <n v="0"/>
    <m/>
    <m/>
    <m/>
    <m/>
    <n v="250"/>
    <n v="0"/>
    <n v="46743.193034722513"/>
  </r>
  <r>
    <d v="2026-05-10T00:00:00"/>
    <x v="4"/>
    <s v="DOLMALIK SARI BİBER"/>
    <m/>
    <x v="1"/>
    <s v="ST00000002218"/>
    <s v="SATIŞ"/>
    <s v="NAKİT"/>
    <n v="1"/>
    <n v="250"/>
    <n v="0"/>
    <n v="0"/>
    <m/>
    <m/>
    <m/>
    <m/>
    <n v="250"/>
    <n v="0"/>
    <n v="46993.193034722513"/>
  </r>
  <r>
    <d v="2026-05-10T00:00:00"/>
    <x v="4"/>
    <s v="LOBAS SAF NAR EKŞİSİ 1 KG"/>
    <m/>
    <x v="5"/>
    <s v="ST00000002219"/>
    <s v="SATIŞ"/>
    <s v="POS"/>
    <n v="1"/>
    <n v="340"/>
    <n v="340"/>
    <n v="0"/>
    <m/>
    <m/>
    <m/>
    <m/>
    <n v="0"/>
    <n v="0"/>
    <n v="46993.193034722513"/>
  </r>
  <r>
    <d v="2026-05-10T00:00:00"/>
    <x v="4"/>
    <s v="DOLMALIK KURU PATLICAN"/>
    <m/>
    <x v="5"/>
    <s v="ST00000002219"/>
    <s v="SATIŞ"/>
    <s v="POS"/>
    <n v="1"/>
    <n v="250"/>
    <n v="250"/>
    <n v="0"/>
    <m/>
    <m/>
    <m/>
    <m/>
    <n v="0"/>
    <n v="0"/>
    <n v="46993.193034722513"/>
  </r>
  <r>
    <d v="2026-05-10T00:00:00"/>
    <x v="4"/>
    <s v="DOLMALIK SARI BİBER"/>
    <m/>
    <x v="5"/>
    <s v="ST00000002219"/>
    <s v="SATIŞ"/>
    <s v="POS"/>
    <n v="1"/>
    <n v="250"/>
    <n v="250"/>
    <n v="0"/>
    <m/>
    <m/>
    <m/>
    <m/>
    <n v="0"/>
    <n v="0"/>
    <n v="46993.193034722513"/>
  </r>
  <r>
    <d v="2026-05-10T00:00:00"/>
    <x v="4"/>
    <s v="DURMUŞOĞULLARI KATI PEKMEZ TAHTA 700 GR"/>
    <m/>
    <x v="5"/>
    <s v="ST00000002220"/>
    <s v="SATIŞ"/>
    <s v="POS"/>
    <n v="1"/>
    <n v="300"/>
    <n v="300"/>
    <n v="0"/>
    <m/>
    <m/>
    <m/>
    <m/>
    <n v="0"/>
    <n v="0"/>
    <n v="46993.193034722513"/>
  </r>
  <r>
    <d v="2026-05-10T00:00:00"/>
    <x v="4"/>
    <s v="HATMİ ÇİÇEĞİ"/>
    <m/>
    <x v="1"/>
    <s v="ST00000002221"/>
    <s v="SATIŞ"/>
    <s v="NAKİT"/>
    <n v="0.05"/>
    <n v="1400"/>
    <n v="0"/>
    <n v="0"/>
    <m/>
    <m/>
    <m/>
    <m/>
    <n v="70"/>
    <n v="0"/>
    <n v="47063.193034722513"/>
  </r>
  <r>
    <d v="2026-05-10T00:00:00"/>
    <x v="4"/>
    <s v="BİBERİYE"/>
    <m/>
    <x v="1"/>
    <s v="ST00000002221"/>
    <s v="SATIŞ"/>
    <s v="NAKİT"/>
    <n v="0.05"/>
    <n v="1000"/>
    <n v="0"/>
    <n v="0"/>
    <m/>
    <m/>
    <m/>
    <m/>
    <n v="50"/>
    <n v="0"/>
    <n v="47113.193034722513"/>
  </r>
  <r>
    <d v="2026-05-10T00:00:00"/>
    <x v="4"/>
    <s v="YEŞİL ÇAY YAPRAK"/>
    <m/>
    <x v="1"/>
    <s v="ST00000002221"/>
    <s v="SATIŞ"/>
    <s v="NAKİT"/>
    <n v="0.1"/>
    <n v="1300"/>
    <n v="0"/>
    <n v="0"/>
    <m/>
    <m/>
    <m/>
    <m/>
    <n v="130"/>
    <n v="0"/>
    <n v="47243.193034722513"/>
  </r>
  <r>
    <d v="2026-05-10T00:00:00"/>
    <x v="4"/>
    <s v="KARANFİL"/>
    <m/>
    <x v="1"/>
    <s v="ST00000002221"/>
    <s v="SATIŞ"/>
    <s v="NAKİT"/>
    <n v="0.05"/>
    <n v="1200"/>
    <n v="0"/>
    <n v="0"/>
    <m/>
    <m/>
    <m/>
    <m/>
    <n v="60"/>
    <n v="0"/>
    <n v="47303.193034722513"/>
  </r>
  <r>
    <d v="2026-05-10T00:00:00"/>
    <x v="4"/>
    <s v="HARMANA HİNDİBA KAHVESİ 150G 1 AYLIK 60 KULLANIM"/>
    <m/>
    <x v="1"/>
    <s v="ST00000002222"/>
    <s v="SATIŞ"/>
    <s v="NAKİT"/>
    <n v="1"/>
    <n v="350"/>
    <n v="0"/>
    <n v="0"/>
    <m/>
    <m/>
    <m/>
    <m/>
    <n v="350"/>
    <n v="0"/>
    <n v="47653.193034722513"/>
  </r>
  <r>
    <d v="2026-05-10T00:00:00"/>
    <x v="4"/>
    <s v="FİTOZEN İNGİLİZ KARBONATI 200 GR"/>
    <m/>
    <x v="1"/>
    <s v="ST00000002222"/>
    <s v="SATIŞ"/>
    <s v="NAKİT"/>
    <n v="1"/>
    <n v="80"/>
    <n v="0"/>
    <n v="0"/>
    <m/>
    <m/>
    <m/>
    <m/>
    <n v="80"/>
    <n v="0"/>
    <n v="47733.193034722513"/>
  </r>
  <r>
    <d v="2026-05-10T00:00:00"/>
    <x v="4"/>
    <s v="NAHİTA IŞGIN SİRKESİ"/>
    <m/>
    <x v="1"/>
    <s v="ST00000002223"/>
    <s v="SATIŞ"/>
    <s v="NAKİT"/>
    <n v="1"/>
    <n v="190"/>
    <n v="0"/>
    <n v="0"/>
    <m/>
    <m/>
    <m/>
    <m/>
    <n v="190"/>
    <n v="0"/>
    <n v="47923.193034722513"/>
  </r>
  <r>
    <d v="2026-05-10T00:00:00"/>
    <x v="4"/>
    <s v="SİNAMEKİ"/>
    <m/>
    <x v="1"/>
    <s v="ST00000002224"/>
    <s v="SATIŞ"/>
    <s v="NAKİT"/>
    <n v="0.1"/>
    <n v="500"/>
    <n v="0"/>
    <n v="0"/>
    <m/>
    <m/>
    <m/>
    <m/>
    <n v="50"/>
    <n v="0"/>
    <n v="47973.193034722513"/>
  </r>
  <r>
    <d v="2026-05-10T00:00:00"/>
    <x v="4"/>
    <s v="TÜDAB KEÇİ BOYNUZU (DÖKME)"/>
    <m/>
    <x v="1"/>
    <s v="ST00000002225"/>
    <s v="SATIŞ"/>
    <s v="NAKİT"/>
    <n v="0.25"/>
    <n v="350"/>
    <n v="0"/>
    <n v="0"/>
    <m/>
    <m/>
    <m/>
    <m/>
    <n v="87.5"/>
    <n v="0"/>
    <n v="48060.693034722513"/>
  </r>
  <r>
    <d v="2026-05-12T00:00:00"/>
    <x v="7"/>
    <m/>
    <m/>
    <x v="3"/>
    <m/>
    <s v="YALÇINTAT ÖDEME - TFK"/>
    <s v="NAKİT"/>
    <n v="1"/>
    <n v="20000"/>
    <n v="20000"/>
    <n v="0"/>
    <m/>
    <m/>
    <m/>
    <m/>
    <n v="0"/>
    <n v="20000"/>
    <n v="28060.693034722513"/>
  </r>
  <r>
    <d v="2026-05-12T00:00:00"/>
    <x v="1"/>
    <m/>
    <s v="MUHASEBE GİDERLERİ"/>
    <x v="1"/>
    <m/>
    <s v="İBRAHİM ÜNLÜ MUHASEBE GİDERİ - NİSAN/MAYIS"/>
    <s v="NAKİT"/>
    <n v="2"/>
    <n v="2000"/>
    <n v="0"/>
    <n v="0"/>
    <m/>
    <m/>
    <m/>
    <m/>
    <n v="0"/>
    <n v="4000"/>
    <n v="24060.693034722513"/>
  </r>
  <r>
    <d v="2026-05-12T00:00:00"/>
    <x v="7"/>
    <m/>
    <m/>
    <x v="3"/>
    <m/>
    <s v="YALÇINTAT ÖDEME - TFK"/>
    <s v="NAKİT"/>
    <n v="1"/>
    <n v="7000"/>
    <n v="7000"/>
    <n v="0"/>
    <m/>
    <m/>
    <m/>
    <m/>
    <n v="0"/>
    <n v="7000"/>
    <n v="17060.693034722513"/>
  </r>
  <r>
    <d v="2026-05-11T00:00:00"/>
    <x v="4"/>
    <s v="DOLMALIK KURU PATLICAN"/>
    <m/>
    <x v="1"/>
    <s v="ST00000002226"/>
    <s v="SATIŞ"/>
    <s v="NAKİT"/>
    <n v="1"/>
    <n v="250"/>
    <n v="0"/>
    <n v="0"/>
    <m/>
    <m/>
    <m/>
    <m/>
    <n v="250"/>
    <n v="0"/>
    <n v="17310.693034722513"/>
  </r>
  <r>
    <d v="2026-05-11T00:00:00"/>
    <x v="4"/>
    <s v="DOLMALIK SARI BİBER"/>
    <m/>
    <x v="1"/>
    <s v="ST00000002226"/>
    <s v="SATIŞ"/>
    <s v="NAKİT"/>
    <n v="1"/>
    <n v="250"/>
    <n v="0"/>
    <n v="0"/>
    <m/>
    <m/>
    <m/>
    <m/>
    <n v="250"/>
    <n v="0"/>
    <n v="17560.693034722513"/>
  </r>
  <r>
    <d v="2026-05-11T00:00:00"/>
    <x v="4"/>
    <s v="FİTOZEN İNGİLİZ TUZU 200 GR"/>
    <m/>
    <x v="1"/>
    <s v="ST00000002227"/>
    <s v="SATIŞ"/>
    <s v="NAKİT"/>
    <n v="1"/>
    <n v="25"/>
    <n v="0"/>
    <n v="0"/>
    <m/>
    <m/>
    <m/>
    <m/>
    <n v="25"/>
    <n v="0"/>
    <n v="17585.693034722513"/>
  </r>
  <r>
    <d v="2026-05-11T00:00:00"/>
    <x v="4"/>
    <s v="LAVANTA YAĞI 10 CC"/>
    <m/>
    <x v="1"/>
    <s v="ST00000002227"/>
    <s v="SATIŞ"/>
    <s v="NAKİT"/>
    <n v="1"/>
    <n v="120"/>
    <n v="0"/>
    <n v="0"/>
    <m/>
    <m/>
    <m/>
    <m/>
    <n v="120"/>
    <n v="0"/>
    <n v="17705.693034722513"/>
  </r>
  <r>
    <d v="2026-05-11T00:00:00"/>
    <x v="4"/>
    <s v="SEFAVİ HURMA"/>
    <m/>
    <x v="1"/>
    <s v="ST00000002227"/>
    <s v="SATIŞ"/>
    <s v="NAKİT"/>
    <n v="1"/>
    <n v="370"/>
    <n v="0"/>
    <n v="0"/>
    <m/>
    <m/>
    <m/>
    <m/>
    <n v="370"/>
    <n v="0"/>
    <n v="18075.693034722513"/>
  </r>
  <r>
    <d v="2026-05-11T00:00:00"/>
    <x v="4"/>
    <s v="JAPON LİF"/>
    <m/>
    <x v="1"/>
    <s v="ST00000002227"/>
    <s v="SATIŞ"/>
    <s v="NAKİT"/>
    <n v="2"/>
    <n v="100"/>
    <n v="0"/>
    <n v="0"/>
    <m/>
    <m/>
    <m/>
    <m/>
    <n v="200"/>
    <n v="0"/>
    <n v="18275.693034722513"/>
  </r>
  <r>
    <d v="2026-05-11T00:00:00"/>
    <x v="4"/>
    <s v="ACVE SARI"/>
    <m/>
    <x v="15"/>
    <s v="ST00000002228"/>
    <s v="SATIŞ - MAHALLE HOCASI"/>
    <s v="CARİ"/>
    <n v="1.75"/>
    <n v="400"/>
    <n v="700"/>
    <n v="0"/>
    <m/>
    <m/>
    <m/>
    <m/>
    <n v="0"/>
    <n v="0"/>
    <n v="18275.693034722513"/>
  </r>
  <r>
    <d v="2026-05-11T00:00:00"/>
    <x v="4"/>
    <s v="YEŞİL ÇAY YAPRAK"/>
    <m/>
    <x v="15"/>
    <s v="ST00000002228"/>
    <s v="SATIŞ - MAHALLE HOCASI"/>
    <s v="CARİ"/>
    <n v="0.1"/>
    <n v="1000"/>
    <n v="100"/>
    <n v="0"/>
    <m/>
    <m/>
    <m/>
    <m/>
    <n v="0"/>
    <n v="0"/>
    <n v="18275.693034722513"/>
  </r>
  <r>
    <d v="2026-05-11T00:00:00"/>
    <x v="4"/>
    <s v="TUZLU FISTIK DUBLE"/>
    <m/>
    <x v="15"/>
    <s v="ST00000002228"/>
    <s v="SATIŞ - MAHALLE HOCASI"/>
    <s v="CARİ"/>
    <n v="0.25641025641025639"/>
    <n v="195"/>
    <n v="49.999999999999993"/>
    <n v="0"/>
    <m/>
    <m/>
    <m/>
    <m/>
    <n v="0"/>
    <n v="0"/>
    <n v="18275.693034722513"/>
  </r>
  <r>
    <d v="2026-05-11T00:00:00"/>
    <x v="4"/>
    <s v="HİBİSKUS"/>
    <m/>
    <x v="1"/>
    <s v="ST00000002229"/>
    <s v="SATIŞ"/>
    <s v="NAKİT"/>
    <n v="0.15"/>
    <n v="600"/>
    <n v="0"/>
    <n v="0"/>
    <m/>
    <m/>
    <m/>
    <m/>
    <n v="90"/>
    <n v="0"/>
    <n v="18365.693034722513"/>
  </r>
  <r>
    <d v="2026-05-11T00:00:00"/>
    <x v="4"/>
    <s v="ÇUBUK TARÇIN"/>
    <m/>
    <x v="1"/>
    <s v="ST00000002229"/>
    <s v="SATIŞ"/>
    <s v="NAKİT"/>
    <n v="0.08"/>
    <n v="750"/>
    <n v="0"/>
    <n v="0"/>
    <m/>
    <m/>
    <m/>
    <m/>
    <n v="60"/>
    <n v="0"/>
    <n v="18425.693034722513"/>
  </r>
  <r>
    <d v="2026-05-11T00:00:00"/>
    <x v="4"/>
    <s v="MATCHA BROMELAİN DETOX ÇAYI"/>
    <m/>
    <x v="1"/>
    <s v="ST00000002230"/>
    <s v="SATIŞ"/>
    <s v="NAKİT"/>
    <n v="1"/>
    <n v="220"/>
    <n v="0"/>
    <n v="0"/>
    <m/>
    <m/>
    <m/>
    <m/>
    <n v="220"/>
    <n v="0"/>
    <n v="18645.693034722513"/>
  </r>
  <r>
    <d v="2026-05-11T00:00:00"/>
    <x v="4"/>
    <s v="MATCHA BROMELAİN DETOX ÇAYI"/>
    <m/>
    <x v="5"/>
    <s v="ST00000002231"/>
    <s v="SATIŞ"/>
    <s v="POS"/>
    <n v="1"/>
    <n v="220"/>
    <n v="220"/>
    <n v="0"/>
    <m/>
    <m/>
    <m/>
    <m/>
    <n v="0"/>
    <n v="0"/>
    <n v="18645.693034722513"/>
  </r>
  <r>
    <d v="2026-05-11T00:00:00"/>
    <x v="4"/>
    <s v="ZÜHRE ANA BROMELAİN ANANAS İÇEREN DETOX ŞURUBU 250 ML"/>
    <m/>
    <x v="5"/>
    <s v="ST00000002231"/>
    <s v="SATIŞ"/>
    <s v="POS"/>
    <n v="1"/>
    <n v="250"/>
    <n v="250"/>
    <n v="0"/>
    <m/>
    <m/>
    <m/>
    <m/>
    <n v="0"/>
    <n v="0"/>
    <n v="18645.693034722513"/>
  </r>
  <r>
    <d v="2026-05-11T00:00:00"/>
    <x v="4"/>
    <s v="TOZ BİBER - TATLI"/>
    <m/>
    <x v="1"/>
    <s v="ST00000002232"/>
    <s v="SATIŞ"/>
    <s v="NAKİT"/>
    <n v="0.125"/>
    <n v="400"/>
    <n v="0"/>
    <n v="0"/>
    <m/>
    <m/>
    <m/>
    <m/>
    <n v="50"/>
    <n v="0"/>
    <n v="18695.693034722513"/>
  </r>
  <r>
    <d v="2026-05-11T00:00:00"/>
    <x v="4"/>
    <s v="MECİTEFENDİ DOĞAL DUDAK BALMI 15 ml"/>
    <m/>
    <x v="5"/>
    <s v="ST00000002233"/>
    <s v="SATIŞ"/>
    <s v="POS"/>
    <n v="1"/>
    <n v="140"/>
    <n v="140"/>
    <n v="0"/>
    <m/>
    <m/>
    <m/>
    <m/>
    <n v="0"/>
    <n v="0"/>
    <n v="18695.693034722513"/>
  </r>
  <r>
    <d v="2026-05-11T00:00:00"/>
    <x v="4"/>
    <s v="KEKİK LÜX"/>
    <m/>
    <x v="5"/>
    <s v="ST00000002233"/>
    <s v="SATIŞ"/>
    <s v="POS"/>
    <n v="3.6999999999999998E-2"/>
    <n v="850"/>
    <n v="31.45"/>
    <n v="0"/>
    <m/>
    <m/>
    <m/>
    <m/>
    <n v="0"/>
    <n v="0"/>
    <n v="18695.693034722513"/>
  </r>
  <r>
    <d v="2026-05-11T00:00:00"/>
    <x v="4"/>
    <s v="KİMYON ÇEKİLMİŞ"/>
    <m/>
    <x v="5"/>
    <s v="ST00000002233"/>
    <s v="SATIŞ"/>
    <s v="POS"/>
    <n v="8.199999999999999E-2"/>
    <n v="400"/>
    <n v="32.799999999999997"/>
    <n v="0"/>
    <m/>
    <m/>
    <m/>
    <m/>
    <n v="0"/>
    <n v="0"/>
    <n v="18695.693034722513"/>
  </r>
  <r>
    <d v="2026-05-11T00:00:00"/>
    <x v="4"/>
    <s v="İĞDE ÇEKİRDEĞİ TOZU"/>
    <m/>
    <x v="1"/>
    <s v="ST00000002234"/>
    <s v="SATIŞ"/>
    <s v="NAKİT"/>
    <n v="0.25"/>
    <n v="320"/>
    <n v="0"/>
    <n v="0"/>
    <m/>
    <m/>
    <m/>
    <m/>
    <n v="80"/>
    <n v="0"/>
    <n v="18775.693034722513"/>
  </r>
  <r>
    <d v="2026-05-11T00:00:00"/>
    <x v="4"/>
    <s v="MEBRUM HURMA  NO 1"/>
    <m/>
    <x v="1"/>
    <s v="ST00000002235"/>
    <s v="SATIŞ"/>
    <s v="NAKİT"/>
    <n v="0.40909090909090912"/>
    <n v="490"/>
    <n v="0"/>
    <n v="0"/>
    <m/>
    <m/>
    <m/>
    <m/>
    <n v="200.45454545454547"/>
    <n v="0"/>
    <n v="18976.147580177058"/>
  </r>
  <r>
    <d v="2026-05-11T00:00:00"/>
    <x v="4"/>
    <s v="ÇAY AĞACI YAĞI 10 CC"/>
    <m/>
    <x v="5"/>
    <s v="ST00000002236"/>
    <s v="SATIŞ"/>
    <s v="POS"/>
    <n v="1"/>
    <n v="100"/>
    <n v="100"/>
    <n v="0"/>
    <m/>
    <m/>
    <m/>
    <m/>
    <n v="0"/>
    <n v="0"/>
    <n v="18976.147580177058"/>
  </r>
  <r>
    <d v="2026-05-12T00:00:00"/>
    <x v="4"/>
    <s v="DOMATES SALÇASI"/>
    <m/>
    <x v="1"/>
    <s v="ST00000002237"/>
    <s v="SATIŞ"/>
    <s v="NAKİT"/>
    <n v="1"/>
    <n v="150"/>
    <n v="0"/>
    <n v="0"/>
    <m/>
    <m/>
    <m/>
    <m/>
    <n v="150"/>
    <n v="0"/>
    <n v="19126.147580177058"/>
  </r>
  <r>
    <d v="2026-05-12T00:00:00"/>
    <x v="4"/>
    <s v="SALÇA TATLI (EV YAPIMI)"/>
    <m/>
    <x v="1"/>
    <s v="ST00000002237"/>
    <s v="SATIŞ"/>
    <s v="NAKİT"/>
    <n v="1"/>
    <n v="200"/>
    <n v="0"/>
    <n v="0"/>
    <m/>
    <m/>
    <m/>
    <m/>
    <n v="200"/>
    <n v="0"/>
    <n v="19326.147580177058"/>
  </r>
  <r>
    <d v="2026-05-12T00:00:00"/>
    <x v="4"/>
    <s v="CHİA TOHUMU DÖKME"/>
    <m/>
    <x v="5"/>
    <s v="ST00000002238"/>
    <s v="SATIŞ"/>
    <s v="POS"/>
    <n v="0.5"/>
    <n v="300"/>
    <n v="150"/>
    <n v="0"/>
    <m/>
    <m/>
    <m/>
    <m/>
    <n v="0"/>
    <n v="0"/>
    <n v="19326.147580177058"/>
  </r>
  <r>
    <d v="2026-05-12T00:00:00"/>
    <x v="4"/>
    <s v="EVLİK BİBER"/>
    <m/>
    <x v="1"/>
    <s v="ST00000002239"/>
    <s v="SATIŞ"/>
    <s v="NAKİT"/>
    <n v="0.3"/>
    <n v="400"/>
    <n v="0"/>
    <n v="0"/>
    <m/>
    <m/>
    <m/>
    <m/>
    <n v="120"/>
    <n v="0"/>
    <n v="19446.147580177058"/>
  </r>
  <r>
    <d v="2026-05-12T00:00:00"/>
    <x v="4"/>
    <s v="NANE İRİ"/>
    <m/>
    <x v="1"/>
    <s v="ST00000002239"/>
    <s v="SATIŞ"/>
    <s v="NAKİT"/>
    <n v="7.4999999999999997E-2"/>
    <n v="400"/>
    <n v="0"/>
    <n v="0"/>
    <m/>
    <m/>
    <m/>
    <m/>
    <n v="30"/>
    <n v="0"/>
    <n v="19476.147580177058"/>
  </r>
  <r>
    <d v="2026-05-12T00:00:00"/>
    <x v="4"/>
    <s v="KİMYON ÇEKİLMİŞ"/>
    <m/>
    <x v="1"/>
    <s v="ST00000002240"/>
    <s v="SATIŞ"/>
    <s v="NAKİT"/>
    <n v="0.125"/>
    <n v="400"/>
    <n v="0"/>
    <n v="0"/>
    <m/>
    <m/>
    <m/>
    <m/>
    <n v="50"/>
    <n v="0"/>
    <n v="19526.147580177058"/>
  </r>
  <r>
    <d v="2026-05-12T00:00:00"/>
    <x v="4"/>
    <s v="SALÇA ACI (EV YAPIMI)"/>
    <m/>
    <x v="5"/>
    <s v="ST00000002241"/>
    <s v="SATIŞ"/>
    <s v="POS"/>
    <n v="0.5"/>
    <n v="200"/>
    <n v="100"/>
    <n v="0"/>
    <m/>
    <m/>
    <m/>
    <m/>
    <n v="0"/>
    <n v="0"/>
    <n v="19526.147580177058"/>
  </r>
  <r>
    <d v="2026-05-12T00:00:00"/>
    <x v="4"/>
    <s v="SALÇA TATLI (EV YAPIMI)"/>
    <m/>
    <x v="5"/>
    <s v="ST00000002241"/>
    <s v="SATIŞ"/>
    <s v="POS"/>
    <n v="0.5"/>
    <n v="200"/>
    <n v="100"/>
    <n v="0"/>
    <m/>
    <m/>
    <m/>
    <m/>
    <n v="0"/>
    <n v="0"/>
    <n v="19526.147580177058"/>
  </r>
  <r>
    <d v="2026-05-12T00:00:00"/>
    <x v="4"/>
    <s v="BİBERİYE"/>
    <m/>
    <x v="1"/>
    <s v="ST00000002242"/>
    <s v="SATIŞ"/>
    <s v="NAKİT"/>
    <n v="0.1"/>
    <n v="900"/>
    <n v="0"/>
    <n v="0"/>
    <m/>
    <m/>
    <m/>
    <m/>
    <n v="90"/>
    <n v="0"/>
    <n v="19616.147580177058"/>
  </r>
  <r>
    <d v="2026-05-12T00:00:00"/>
    <x v="4"/>
    <s v="NANE İRİ"/>
    <m/>
    <x v="1"/>
    <s v="ST00000002242"/>
    <s v="SATIŞ"/>
    <s v="NAKİT"/>
    <n v="0.1"/>
    <n v="400"/>
    <n v="0"/>
    <n v="0"/>
    <m/>
    <m/>
    <m/>
    <m/>
    <n v="40"/>
    <n v="0"/>
    <n v="19656.147580177058"/>
  </r>
  <r>
    <d v="2026-05-12T00:00:00"/>
    <x v="4"/>
    <s v="ÇEBELİZADE NİOLİ YAĞI 20 ML"/>
    <m/>
    <x v="5"/>
    <s v="ST00000002243"/>
    <s v="SATIŞ"/>
    <s v="POS"/>
    <n v="1"/>
    <n v="165"/>
    <n v="165"/>
    <n v="0"/>
    <m/>
    <m/>
    <m/>
    <m/>
    <n v="0"/>
    <n v="0"/>
    <n v="19656.147580177058"/>
  </r>
  <r>
    <d v="2026-05-12T00:00:00"/>
    <x v="4"/>
    <s v="MİSVAK KUTULU (HOLDER)"/>
    <m/>
    <x v="1"/>
    <s v="ST00000002244"/>
    <s v="SATIŞ"/>
    <s v="NAKİT"/>
    <n v="3"/>
    <n v="30"/>
    <n v="0"/>
    <n v="0"/>
    <m/>
    <m/>
    <m/>
    <m/>
    <n v="90"/>
    <n v="0"/>
    <n v="19746.147580177058"/>
  </r>
  <r>
    <d v="2026-05-12T00:00:00"/>
    <x v="4"/>
    <s v="ZENCEFİL TOZ"/>
    <m/>
    <x v="1"/>
    <s v="ST00000002245"/>
    <s v="SATIŞ"/>
    <s v="NAKİT"/>
    <n v="6.7500000000000004E-2"/>
    <n v="400"/>
    <n v="0"/>
    <n v="0"/>
    <m/>
    <m/>
    <m/>
    <m/>
    <n v="27"/>
    <n v="0"/>
    <n v="19773.147580177058"/>
  </r>
  <r>
    <d v="2026-05-12T00:00:00"/>
    <x v="4"/>
    <s v="AÇLIK OTU"/>
    <m/>
    <x v="1"/>
    <s v="ST00000002246"/>
    <s v="SATIŞ"/>
    <s v="NAKİT"/>
    <n v="0.12"/>
    <n v="417"/>
    <n v="0"/>
    <n v="0"/>
    <m/>
    <m/>
    <m/>
    <m/>
    <n v="50.04"/>
    <n v="0"/>
    <n v="19823.187580177058"/>
  </r>
  <r>
    <d v="2026-05-12T00:00:00"/>
    <x v="4"/>
    <s v="ORNATE KARINCA YUMURTASI TÜY DÖKÜCÜ KREM 150 ML"/>
    <m/>
    <x v="5"/>
    <s v="ST00000002247"/>
    <s v="SATIŞ"/>
    <s v="POS"/>
    <n v="1"/>
    <n v="240"/>
    <n v="240"/>
    <n v="0"/>
    <m/>
    <m/>
    <m/>
    <m/>
    <n v="0"/>
    <n v="0"/>
    <n v="19823.187580177058"/>
  </r>
  <r>
    <d v="2026-05-12T00:00:00"/>
    <x v="4"/>
    <s v="ORNATE KARINCA YUMURTASI 20 ML"/>
    <m/>
    <x v="5"/>
    <s v="ST00000002247"/>
    <s v="SATIŞ"/>
    <s v="POS"/>
    <n v="1"/>
    <n v="140"/>
    <n v="140"/>
    <n v="0"/>
    <m/>
    <m/>
    <m/>
    <m/>
    <n v="0"/>
    <n v="0"/>
    <n v="19823.187580177058"/>
  </r>
  <r>
    <d v="2026-05-12T00:00:00"/>
    <x v="4"/>
    <s v="AT KESTANESİ YAĞI 50 CC"/>
    <m/>
    <x v="5"/>
    <s v="ST00000002247"/>
    <s v="SATIŞ"/>
    <s v="POS"/>
    <n v="1"/>
    <n v="130"/>
    <n v="130"/>
    <n v="0"/>
    <m/>
    <m/>
    <m/>
    <m/>
    <n v="0"/>
    <n v="0"/>
    <n v="19823.187580177058"/>
  </r>
  <r>
    <d v="2026-05-12T00:00:00"/>
    <x v="4"/>
    <s v="KANTARON YAĞI 50 CC"/>
    <m/>
    <x v="5"/>
    <s v="ST00000002247"/>
    <s v="SATIŞ"/>
    <s v="POS"/>
    <n v="1"/>
    <n v="125"/>
    <n v="125"/>
    <n v="0"/>
    <m/>
    <m/>
    <m/>
    <m/>
    <n v="0"/>
    <n v="0"/>
    <n v="19823.187580177058"/>
  </r>
  <r>
    <d v="2026-05-12T00:00:00"/>
    <x v="4"/>
    <s v="ÇOBAN ÇANTASI"/>
    <m/>
    <x v="1"/>
    <s v="ST00000002248"/>
    <s v="SATIŞ - HEDİYE"/>
    <s v="NAKİT"/>
    <n v="0.05"/>
    <n v="280"/>
    <n v="0"/>
    <n v="0"/>
    <m/>
    <m/>
    <m/>
    <m/>
    <n v="14"/>
    <n v="0"/>
    <n v="19837.187580177058"/>
  </r>
  <r>
    <d v="2026-05-12T00:00:00"/>
    <x v="4"/>
    <s v="MATCHA DETOX ÇAYI"/>
    <m/>
    <x v="1"/>
    <s v="ST00000002249"/>
    <s v="SATIŞ"/>
    <s v="NAKİT"/>
    <n v="2"/>
    <n v="220"/>
    <n v="0"/>
    <n v="0"/>
    <m/>
    <m/>
    <m/>
    <m/>
    <n v="440"/>
    <n v="0"/>
    <n v="20277.187580177058"/>
  </r>
  <r>
    <d v="2026-05-12T00:00:00"/>
    <x v="4"/>
    <s v="KARANFİL"/>
    <m/>
    <x v="1"/>
    <s v="ST00000002249"/>
    <s v="SATIŞ"/>
    <s v="NAKİT"/>
    <n v="0.05"/>
    <n v="1200"/>
    <n v="0"/>
    <n v="0"/>
    <m/>
    <m/>
    <m/>
    <m/>
    <n v="60"/>
    <n v="0"/>
    <n v="20337.187580177058"/>
  </r>
  <r>
    <d v="2026-05-13T00:00:00"/>
    <x v="4"/>
    <s v="İZMİR ÜZÜMÜ"/>
    <m/>
    <x v="1"/>
    <s v="ST00000002250"/>
    <s v="SATIŞ - NİHAT"/>
    <s v="NAKİT"/>
    <n v="0.25"/>
    <n v="250"/>
    <n v="0"/>
    <n v="0"/>
    <m/>
    <m/>
    <m/>
    <m/>
    <n v="62.5"/>
    <n v="0"/>
    <n v="20399.687580177058"/>
  </r>
  <r>
    <d v="2026-05-13T00:00:00"/>
    <x v="4"/>
    <s v="ÜZÜM SİYAH KİLİS"/>
    <m/>
    <x v="1"/>
    <s v="ST00000002250"/>
    <s v="SATIŞ"/>
    <s v="NAKİT"/>
    <n v="0.16923076923076924"/>
    <n v="650"/>
    <n v="0"/>
    <n v="0"/>
    <m/>
    <m/>
    <m/>
    <m/>
    <n v="110"/>
    <n v="0"/>
    <n v="20509.687580177058"/>
  </r>
  <r>
    <d v="2026-05-13T00:00:00"/>
    <x v="4"/>
    <s v="LEBLEBİ ÇİFTE SARI"/>
    <m/>
    <x v="1"/>
    <s v="ST00000002250"/>
    <s v="SATIŞ"/>
    <s v="NAKİT"/>
    <n v="0.20833333333333334"/>
    <n v="250"/>
    <n v="0"/>
    <n v="0"/>
    <m/>
    <m/>
    <m/>
    <m/>
    <n v="52.083333333333336"/>
    <n v="0"/>
    <n v="20561.770913510391"/>
  </r>
  <r>
    <d v="2026-05-13T00:00:00"/>
    <x v="4"/>
    <s v="KEKİK LÜX"/>
    <m/>
    <x v="1"/>
    <s v="ST00000002251"/>
    <s v="SATIŞ - SEYİT"/>
    <s v="NAKİT"/>
    <n v="0.25"/>
    <n v="850"/>
    <n v="0"/>
    <n v="0"/>
    <m/>
    <m/>
    <m/>
    <m/>
    <n v="212.5"/>
    <n v="0"/>
    <n v="20774.270913510391"/>
  </r>
  <r>
    <d v="2026-05-13T00:00:00"/>
    <x v="4"/>
    <s v="TOZ BİBER - TATLI"/>
    <m/>
    <x v="1"/>
    <s v="ST00000002251"/>
    <s v="SATIŞ - SEYİT"/>
    <s v="NAKİT"/>
    <n v="0.5"/>
    <n v="400"/>
    <n v="0"/>
    <n v="0"/>
    <m/>
    <m/>
    <m/>
    <m/>
    <n v="200"/>
    <n v="0"/>
    <n v="20974.270913510391"/>
  </r>
  <r>
    <d v="2026-05-13T00:00:00"/>
    <x v="4"/>
    <s v="DOMATES SALÇASI"/>
    <m/>
    <x v="1"/>
    <s v="ST00000002251"/>
    <s v="SATIŞ - SEYİT"/>
    <s v="NAKİT"/>
    <n v="5"/>
    <n v="150"/>
    <n v="0"/>
    <n v="0"/>
    <m/>
    <m/>
    <m/>
    <m/>
    <n v="750"/>
    <n v="0"/>
    <n v="21724.270913510391"/>
  </r>
  <r>
    <d v="2026-05-13T00:00:00"/>
    <x v="4"/>
    <s v="SALÇA TATLI (EV YAPIMI)"/>
    <m/>
    <x v="1"/>
    <s v="ST00000002251"/>
    <s v="SATIŞ - SEYİT"/>
    <s v="NAKİT"/>
    <n v="2"/>
    <n v="200"/>
    <n v="0"/>
    <n v="0"/>
    <m/>
    <m/>
    <m/>
    <m/>
    <n v="400"/>
    <n v="0"/>
    <n v="22124.270913510391"/>
  </r>
  <r>
    <d v="2026-05-13T00:00:00"/>
    <x v="4"/>
    <s v="KIRMIZI PUL BİBER TATLI"/>
    <m/>
    <x v="1"/>
    <s v="ST00000002251"/>
    <s v="SATIŞ - SEYİT"/>
    <s v="NAKİT"/>
    <n v="0.5"/>
    <n v="360"/>
    <n v="0"/>
    <n v="0"/>
    <m/>
    <m/>
    <m/>
    <m/>
    <n v="180"/>
    <n v="0"/>
    <n v="22304.270913510391"/>
  </r>
  <r>
    <d v="2026-05-13T00:00:00"/>
    <x v="4"/>
    <s v="KAJUN BAHARATI - CAJUN SEASONING 1000 GR"/>
    <m/>
    <x v="1"/>
    <s v="ST00000002251"/>
    <s v="SATIŞ - SEYİT"/>
    <s v="NAKİT"/>
    <n v="0.1"/>
    <n v="750"/>
    <n v="0"/>
    <n v="0"/>
    <m/>
    <m/>
    <m/>
    <m/>
    <n v="75"/>
    <n v="0"/>
    <n v="22379.270913510391"/>
  </r>
  <r>
    <d v="2026-05-13T00:00:00"/>
    <x v="4"/>
    <s v="ZÜHRE ANA KİDS ARI SÜTÜ PEKMEZ BAL MACUN 240 GR"/>
    <m/>
    <x v="1"/>
    <s v="ST00000002251"/>
    <s v="SATIŞ - SEYİT"/>
    <s v="NAKİT"/>
    <n v="1"/>
    <n v="260"/>
    <n v="0"/>
    <n v="0"/>
    <m/>
    <m/>
    <m/>
    <m/>
    <n v="260"/>
    <n v="0"/>
    <n v="22639.270913510391"/>
  </r>
  <r>
    <d v="2026-05-13T00:00:00"/>
    <x v="4"/>
    <s v="ZÜHRE ANA BROMELAİN ANANAS İÇEREN DETOX ŞURUBU 250 ML"/>
    <m/>
    <x v="1"/>
    <s v="ST00000002251"/>
    <s v="SATIŞ - SEYİT"/>
    <s v="NAKİT"/>
    <n v="2"/>
    <n v="250"/>
    <n v="0"/>
    <n v="0"/>
    <m/>
    <m/>
    <m/>
    <m/>
    <n v="500"/>
    <n v="0"/>
    <n v="23139.270913510391"/>
  </r>
  <r>
    <d v="2026-05-13T00:00:00"/>
    <x v="4"/>
    <s v="ZÜHRE ANA KARADUT ÖZÜ 670 GR"/>
    <m/>
    <x v="1"/>
    <s v="ST00000002251"/>
    <s v="SATIŞ - SEYİT"/>
    <s v="NAKİT"/>
    <n v="1"/>
    <n v="250"/>
    <n v="0"/>
    <n v="0"/>
    <m/>
    <m/>
    <m/>
    <m/>
    <n v="250"/>
    <n v="0"/>
    <n v="23389.270913510391"/>
  </r>
  <r>
    <d v="2026-05-13T00:00:00"/>
    <x v="4"/>
    <s v="CEVİZLİ SUCUK ATOM (ESMER)"/>
    <m/>
    <x v="1"/>
    <s v="ST00000002251"/>
    <s v="SATIŞ - SEYİT"/>
    <s v="NAKİT"/>
    <n v="0.53"/>
    <n v="350"/>
    <n v="0"/>
    <n v="0"/>
    <m/>
    <m/>
    <m/>
    <m/>
    <n v="185.5"/>
    <n v="0"/>
    <n v="23574.770913510391"/>
  </r>
  <r>
    <d v="2026-05-13T00:00:00"/>
    <x v="4"/>
    <s v="KARANFİL YAĞI 10 CC"/>
    <m/>
    <x v="1"/>
    <s v="ST00000002251"/>
    <s v="SATIŞ - SEYİT"/>
    <s v="NAKİT"/>
    <n v="1"/>
    <n v="130"/>
    <n v="0"/>
    <n v="0"/>
    <m/>
    <m/>
    <m/>
    <m/>
    <n v="130"/>
    <n v="0"/>
    <n v="23704.770913510391"/>
  </r>
  <r>
    <d v="2026-05-13T00:00:00"/>
    <x v="4"/>
    <s v="SEFAVİ HURMA"/>
    <m/>
    <x v="1"/>
    <s v="ST00000002251"/>
    <s v="SATIŞ - SEYİT"/>
    <s v="NAKİT"/>
    <n v="0.5"/>
    <n v="370"/>
    <n v="0"/>
    <n v="0"/>
    <m/>
    <m/>
    <m/>
    <m/>
    <n v="185"/>
    <n v="0"/>
    <n v="23889.770913510391"/>
  </r>
  <r>
    <d v="2026-05-13T00:00:00"/>
    <x v="4"/>
    <s v="SALÇA ACI (EV YAPIMI)"/>
    <m/>
    <x v="1"/>
    <s v="ST00000002252"/>
    <s v="SATIŞ - SEYİT KOMŞUSU"/>
    <s v="NAKİT"/>
    <n v="1"/>
    <n v="200"/>
    <n v="0"/>
    <n v="0"/>
    <m/>
    <m/>
    <m/>
    <m/>
    <n v="200"/>
    <n v="0"/>
    <n v="24089.770913510391"/>
  </r>
  <r>
    <d v="2026-05-13T00:00:00"/>
    <x v="4"/>
    <s v="DOMATES SALÇASI"/>
    <m/>
    <x v="1"/>
    <s v="ST00000002252"/>
    <s v="SATIŞ - SEYİT KOMŞUSU"/>
    <s v="NAKİT"/>
    <n v="1"/>
    <n v="150"/>
    <n v="0"/>
    <n v="0"/>
    <m/>
    <m/>
    <m/>
    <m/>
    <n v="150"/>
    <n v="0"/>
    <n v="24239.770913510391"/>
  </r>
  <r>
    <d v="2026-05-13T00:00:00"/>
    <x v="4"/>
    <s v="KEKİK LÜX"/>
    <m/>
    <x v="1"/>
    <s v="ST00000002253"/>
    <s v="SATIŞ"/>
    <s v="NAKİT"/>
    <n v="5.8823529411764705E-2"/>
    <n v="850"/>
    <n v="0"/>
    <n v="0"/>
    <m/>
    <m/>
    <m/>
    <m/>
    <n v="50"/>
    <n v="0"/>
    <n v="24289.770913510391"/>
  </r>
  <r>
    <d v="2026-05-13T00:00:00"/>
    <x v="4"/>
    <s v="EVLİK BİBER"/>
    <m/>
    <x v="1"/>
    <s v="ST00000002253"/>
    <s v="SATIŞ"/>
    <s v="NAKİT"/>
    <n v="0.125"/>
    <n v="400"/>
    <n v="0"/>
    <n v="0"/>
    <m/>
    <m/>
    <m/>
    <m/>
    <n v="50"/>
    <n v="0"/>
    <n v="24339.770913510391"/>
  </r>
  <r>
    <d v="2026-05-13T00:00:00"/>
    <x v="4"/>
    <s v="ŞİFAVER ALOE VERA HATAY SABUNU"/>
    <m/>
    <x v="1"/>
    <s v="ST00000002254"/>
    <s v="SATIŞ"/>
    <s v="NAKİT"/>
    <n v="1"/>
    <n v="50"/>
    <n v="0"/>
    <n v="0"/>
    <m/>
    <m/>
    <m/>
    <m/>
    <n v="50"/>
    <n v="0"/>
    <n v="24389.770913510391"/>
  </r>
  <r>
    <d v="2026-05-13T00:00:00"/>
    <x v="4"/>
    <s v="ŞİFAVER ZEYTİNYAĞLI HATAY SABUNU"/>
    <m/>
    <x v="1"/>
    <s v="ST00000002254"/>
    <s v="SATIŞ"/>
    <s v="NAKİT"/>
    <n v="1"/>
    <n v="50"/>
    <n v="0"/>
    <n v="0"/>
    <m/>
    <m/>
    <m/>
    <m/>
    <n v="50"/>
    <n v="0"/>
    <n v="24439.770913510391"/>
  </r>
  <r>
    <d v="2026-05-13T00:00:00"/>
    <x v="4"/>
    <s v="ŞİFAVER KÜKÜRTLÜ HATAY SABUNU"/>
    <m/>
    <x v="1"/>
    <s v="ST00000002254"/>
    <s v="SATIŞ"/>
    <s v="NAKİT"/>
    <n v="1"/>
    <n v="50"/>
    <n v="0"/>
    <n v="0"/>
    <m/>
    <m/>
    <m/>
    <m/>
    <n v="50"/>
    <n v="0"/>
    <n v="24489.770913510391"/>
  </r>
  <r>
    <d v="2026-05-13T00:00:00"/>
    <x v="4"/>
    <s v="ŞİFAVER BITTIM HATAY SABUNU"/>
    <m/>
    <x v="1"/>
    <s v="ST00000002254"/>
    <s v="SATIŞ"/>
    <s v="NAKİT"/>
    <n v="1"/>
    <n v="50"/>
    <n v="0"/>
    <n v="0"/>
    <m/>
    <m/>
    <m/>
    <m/>
    <n v="50"/>
    <n v="0"/>
    <n v="24539.770913510391"/>
  </r>
  <r>
    <d v="2026-05-13T00:00:00"/>
    <x v="4"/>
    <s v="ŞİFAVER KİL HATAY SABUNU"/>
    <m/>
    <x v="1"/>
    <s v="ST00000002254"/>
    <s v="SATIŞ"/>
    <s v="NAKİT"/>
    <n v="1"/>
    <n v="50"/>
    <n v="0"/>
    <n v="0"/>
    <m/>
    <m/>
    <m/>
    <m/>
    <n v="50"/>
    <n v="0"/>
    <n v="24589.770913510391"/>
  </r>
  <r>
    <d v="2026-05-13T00:00:00"/>
    <x v="4"/>
    <s v="DOLMALIK KURU PATLICAN"/>
    <m/>
    <x v="5"/>
    <s v="ST00000002255"/>
    <s v="SATIŞ"/>
    <s v="POS"/>
    <n v="1"/>
    <n v="250"/>
    <n v="250"/>
    <n v="0"/>
    <m/>
    <m/>
    <m/>
    <m/>
    <n v="0"/>
    <n v="0"/>
    <n v="24589.770913510391"/>
  </r>
  <r>
    <d v="2026-05-13T00:00:00"/>
    <x v="4"/>
    <s v="CİVAN PERÇEMİ"/>
    <m/>
    <x v="1"/>
    <s v="ST00000002256"/>
    <s v="SATIŞ - KADER"/>
    <s v="NAKİT"/>
    <n v="0.05"/>
    <n v="1000"/>
    <n v="0"/>
    <n v="0"/>
    <m/>
    <m/>
    <m/>
    <m/>
    <n v="50"/>
    <n v="0"/>
    <n v="24639.770913510391"/>
  </r>
  <r>
    <d v="2026-05-13T00:00:00"/>
    <x v="4"/>
    <s v="ZÜHRE ANA KARADUT ÖZÜ 670 GR"/>
    <m/>
    <x v="1"/>
    <s v="ST00000002256"/>
    <s v="SATIŞ - KADER"/>
    <s v="NAKİT"/>
    <n v="1"/>
    <n v="250"/>
    <n v="0"/>
    <n v="0"/>
    <m/>
    <m/>
    <m/>
    <m/>
    <n v="250"/>
    <n v="0"/>
    <n v="24889.770913510391"/>
  </r>
  <r>
    <d v="2026-05-13T00:00:00"/>
    <x v="4"/>
    <s v="GENÇAY KEÇİ BOYNUZU ÖZÜ 675 GR"/>
    <m/>
    <x v="1"/>
    <s v="ST00000002256"/>
    <s v="SATIŞ - KADER"/>
    <s v="NAKİT"/>
    <n v="1"/>
    <n v="195"/>
    <n v="0"/>
    <n v="0"/>
    <m/>
    <m/>
    <m/>
    <m/>
    <n v="195"/>
    <n v="0"/>
    <n v="25084.770913510391"/>
  </r>
  <r>
    <d v="2026-05-13T00:00:00"/>
    <x v="4"/>
    <s v="ERBATAB MAGNEZYUM 3 LÜ FORM (BİSGLİSİNAT, SİTRAT, MALAT) &amp; VİTAMİN B2 , B3 , B6 - 60 KAPSÜL"/>
    <m/>
    <x v="1"/>
    <s v="ST00000002257"/>
    <s v="SATIŞ - RABİA"/>
    <s v="NAKİT"/>
    <n v="1"/>
    <n v="430"/>
    <n v="0"/>
    <n v="0"/>
    <m/>
    <m/>
    <m/>
    <m/>
    <n v="430"/>
    <n v="0"/>
    <n v="25514.770913510391"/>
  </r>
  <r>
    <d v="2026-05-13T00:00:00"/>
    <x v="4"/>
    <s v="COLLAGEN FORTE PLATİNUM OMEGA 3 90 SOFT JEL"/>
    <m/>
    <x v="1"/>
    <s v="ST00000002257"/>
    <s v="SATIŞ - RABİA"/>
    <s v="NAKİT"/>
    <n v="1"/>
    <n v="350"/>
    <n v="0"/>
    <n v="0"/>
    <m/>
    <m/>
    <m/>
    <m/>
    <n v="350"/>
    <n v="0"/>
    <n v="25864.770913510391"/>
  </r>
  <r>
    <d v="2026-05-13T00:00:00"/>
    <x v="4"/>
    <s v="ERBATAB VİTAMİN D3 K2 2'Sİ 1 ARADA DAMLA - D3K2"/>
    <m/>
    <x v="1"/>
    <s v="ST00000002257"/>
    <s v="SATIŞ - RABİA"/>
    <s v="NAKİT"/>
    <n v="1"/>
    <n v="360"/>
    <n v="0"/>
    <n v="0"/>
    <m/>
    <m/>
    <m/>
    <m/>
    <n v="360"/>
    <n v="0"/>
    <n v="26224.770913510391"/>
  </r>
  <r>
    <d v="2026-05-13T00:00:00"/>
    <x v="4"/>
    <s v="KINA RGS DÖKME"/>
    <m/>
    <x v="1"/>
    <s v="ST00000002257"/>
    <s v="SATIŞ - RABİA"/>
    <s v="NAKİT"/>
    <n v="0.25"/>
    <n v="400"/>
    <n v="0"/>
    <n v="0"/>
    <m/>
    <m/>
    <m/>
    <m/>
    <n v="100"/>
    <n v="0"/>
    <n v="26324.770913510391"/>
  </r>
  <r>
    <d v="2026-05-13T00:00:00"/>
    <x v="4"/>
    <s v="ERBATAB MAGNEZYUM 3 LÜ FORM (BİSGLİSİNAT, SİTRAT, MALAT) &amp; VİTAMİN B2 , B3 , B6 - 60 KAPSÜL"/>
    <m/>
    <x v="1"/>
    <s v="ST00000002257"/>
    <s v="SATIŞ - RABİA"/>
    <s v="NAKİT"/>
    <n v="1"/>
    <n v="430"/>
    <n v="0"/>
    <n v="0"/>
    <m/>
    <m/>
    <m/>
    <m/>
    <n v="430"/>
    <n v="0"/>
    <n v="26754.770913510391"/>
  </r>
  <r>
    <d v="2026-05-13T00:00:00"/>
    <x v="4"/>
    <s v="ÇÖREKOTU YAĞI 50 CC"/>
    <m/>
    <x v="1"/>
    <s v="ST00000002257"/>
    <s v="SATIŞ - RABİA"/>
    <s v="NAKİT"/>
    <n v="1"/>
    <n v="170"/>
    <n v="0"/>
    <n v="0"/>
    <m/>
    <m/>
    <m/>
    <m/>
    <n v="170"/>
    <n v="0"/>
    <n v="26924.770913510391"/>
  </r>
  <r>
    <d v="2026-05-13T00:00:00"/>
    <x v="4"/>
    <s v="ZENCEFİL TOZ"/>
    <m/>
    <x v="5"/>
    <s v="ST00000002258"/>
    <s v="SATIŞ"/>
    <s v="POS"/>
    <n v="0.2225"/>
    <n v="379"/>
    <n v="84.327500000000001"/>
    <n v="0"/>
    <m/>
    <m/>
    <m/>
    <m/>
    <n v="0"/>
    <n v="0"/>
    <n v="26924.770913510391"/>
  </r>
  <r>
    <d v="2026-05-13T00:00:00"/>
    <x v="4"/>
    <s v="ZERDEÇAL TOZ"/>
    <m/>
    <x v="5"/>
    <s v="ST00000002258"/>
    <s v="SATIŞ"/>
    <s v="POS"/>
    <n v="0.17"/>
    <n v="300"/>
    <n v="51.000000000000007"/>
    <n v="0"/>
    <m/>
    <m/>
    <m/>
    <m/>
    <n v="0"/>
    <n v="0"/>
    <n v="26924.770913510391"/>
  </r>
  <r>
    <d v="2026-05-13T00:00:00"/>
    <x v="4"/>
    <s v="KONTES HAMAM OTU - TÜY DÖKÜCÜ"/>
    <m/>
    <x v="5"/>
    <s v="ST00000002258"/>
    <s v="SATIŞ"/>
    <s v="POS"/>
    <n v="7"/>
    <n v="15"/>
    <n v="105"/>
    <n v="0"/>
    <m/>
    <m/>
    <m/>
    <m/>
    <n v="0"/>
    <n v="0"/>
    <n v="26924.770913510391"/>
  </r>
  <r>
    <d v="2026-05-13T00:00:00"/>
    <x v="4"/>
    <s v="NANE YAĞI 10 CC"/>
    <m/>
    <x v="5"/>
    <s v="ST00000002259"/>
    <s v="SATIŞ"/>
    <s v="POS"/>
    <n v="1"/>
    <n v="145"/>
    <n v="145"/>
    <n v="0"/>
    <m/>
    <m/>
    <m/>
    <m/>
    <n v="0"/>
    <n v="0"/>
    <n v="26924.770913510391"/>
  </r>
  <r>
    <d v="2026-05-14T00:00:00"/>
    <x v="4"/>
    <s v="TOZ BİBER - TATLI"/>
    <m/>
    <x v="1"/>
    <s v="ST00000002260"/>
    <s v="SATIŞ"/>
    <s v="NAKİT"/>
    <n v="0.44750000000000001"/>
    <n v="400"/>
    <n v="0"/>
    <n v="0"/>
    <m/>
    <m/>
    <m/>
    <m/>
    <n v="179"/>
    <n v="0"/>
    <n v="27103.770913510391"/>
  </r>
  <r>
    <d v="2026-05-14T00:00:00"/>
    <x v="4"/>
    <s v="ZÜHRE ANA IŞGIN SİRKESİ 500 ML"/>
    <m/>
    <x v="1"/>
    <s v="ST00000002261"/>
    <s v="SATIŞ"/>
    <s v="NAKİT"/>
    <n v="1"/>
    <n v="220"/>
    <n v="0"/>
    <n v="0"/>
    <m/>
    <m/>
    <m/>
    <m/>
    <n v="220"/>
    <n v="0"/>
    <n v="27323.770913510391"/>
  </r>
  <r>
    <d v="2026-05-14T00:00:00"/>
    <x v="4"/>
    <s v="EVLİK BİBER"/>
    <m/>
    <x v="5"/>
    <s v="ST00000002262"/>
    <s v="SATIŞ - TOPTAN - ERASLAN LAHMACUN PİDE"/>
    <s v="POS"/>
    <n v="2"/>
    <n v="250"/>
    <n v="500"/>
    <n v="0"/>
    <m/>
    <m/>
    <m/>
    <m/>
    <n v="0"/>
    <n v="0"/>
    <n v="27323.770913510391"/>
  </r>
  <r>
    <d v="2026-05-14T00:00:00"/>
    <x v="4"/>
    <s v="TOZ BİBER - TATLI"/>
    <m/>
    <x v="5"/>
    <s v="ST00000002262"/>
    <s v="SATIŞ - TOPTAN - ERASLAN LAHMACUN PİDE"/>
    <s v="POS"/>
    <n v="2"/>
    <n v="265"/>
    <n v="530"/>
    <n v="0"/>
    <m/>
    <m/>
    <m/>
    <m/>
    <n v="0"/>
    <n v="0"/>
    <n v="27323.770913510391"/>
  </r>
  <r>
    <d v="2026-05-14T00:00:00"/>
    <x v="4"/>
    <s v="SUMAK ÖZEL"/>
    <m/>
    <x v="5"/>
    <s v="ST00000002262"/>
    <s v="SATIŞ - TOPTAN - ERASLAN LAHMACUN PİDE"/>
    <s v="POS"/>
    <n v="1"/>
    <n v="375"/>
    <n v="375"/>
    <n v="0"/>
    <m/>
    <m/>
    <m/>
    <m/>
    <n v="0"/>
    <n v="0"/>
    <n v="27323.770913510391"/>
  </r>
  <r>
    <d v="2026-05-14T00:00:00"/>
    <x v="4"/>
    <s v="İSOT"/>
    <m/>
    <x v="5"/>
    <s v="ST00000002262"/>
    <s v="SATIŞ - TOPTAN - ERASLAN LAHMACUN PİDE"/>
    <s v="POS"/>
    <n v="1"/>
    <n v="260"/>
    <n v="260"/>
    <n v="0"/>
    <m/>
    <m/>
    <m/>
    <m/>
    <n v="0"/>
    <n v="0"/>
    <n v="27323.770913510391"/>
  </r>
  <r>
    <d v="2026-05-14T00:00:00"/>
    <x v="4"/>
    <s v="DEFNE YAPRAĞI"/>
    <m/>
    <x v="1"/>
    <s v="ST00000002263"/>
    <s v="SATIŞ"/>
    <s v="NAKİT"/>
    <n v="0.05"/>
    <n v="1400"/>
    <n v="0"/>
    <n v="0"/>
    <m/>
    <m/>
    <m/>
    <m/>
    <n v="70"/>
    <n v="0"/>
    <n v="27393.770913510391"/>
  </r>
  <r>
    <d v="2026-05-14T00:00:00"/>
    <x v="4"/>
    <s v="BUĞDAY NİŞASTASI"/>
    <m/>
    <x v="1"/>
    <s v="ST00000002263"/>
    <s v="SATIŞ"/>
    <s v="NAKİT"/>
    <n v="1"/>
    <n v="120"/>
    <n v="0"/>
    <n v="0"/>
    <m/>
    <m/>
    <m/>
    <m/>
    <n v="120"/>
    <n v="0"/>
    <n v="27513.770913510391"/>
  </r>
  <r>
    <d v="2026-05-14T00:00:00"/>
    <x v="4"/>
    <s v="MISIR UNU"/>
    <m/>
    <x v="1"/>
    <s v="ST00000002263"/>
    <s v="SATIŞ"/>
    <s v="NAKİT"/>
    <n v="0.5"/>
    <n v="60"/>
    <n v="0"/>
    <n v="0"/>
    <m/>
    <m/>
    <m/>
    <m/>
    <n v="30"/>
    <n v="0"/>
    <n v="27543.770913510391"/>
  </r>
  <r>
    <d v="2026-05-14T00:00:00"/>
    <x v="4"/>
    <s v="HİNDİSTAN CEVİZİ ( İRİ )"/>
    <m/>
    <x v="1"/>
    <s v="ST00000002263"/>
    <s v="SATIŞ"/>
    <s v="NAKİT"/>
    <n v="0.1"/>
    <n v="600"/>
    <n v="0"/>
    <n v="0"/>
    <m/>
    <m/>
    <m/>
    <m/>
    <n v="60"/>
    <n v="0"/>
    <n v="27603.770913510391"/>
  </r>
  <r>
    <d v="2026-05-14T00:00:00"/>
    <x v="4"/>
    <s v="LEBLEBİ ŞEKER RENKLİ"/>
    <m/>
    <x v="1"/>
    <s v="ST00000002264"/>
    <s v="SATIŞ"/>
    <s v="NAKİT"/>
    <n v="0.32800000000000001"/>
    <n v="250"/>
    <n v="0"/>
    <n v="0"/>
    <m/>
    <m/>
    <m/>
    <m/>
    <n v="82"/>
    <n v="0"/>
    <n v="27685.770913510391"/>
  </r>
  <r>
    <d v="2026-05-14T00:00:00"/>
    <x v="4"/>
    <s v="BOZ ANTEP FISTIK ÖĞÜTÜLMÜŞ"/>
    <m/>
    <x v="5"/>
    <s v="ST00000002265"/>
    <s v="SATIŞ"/>
    <s v="POS"/>
    <n v="0.05"/>
    <n v="2900"/>
    <n v="145"/>
    <n v="0"/>
    <m/>
    <m/>
    <m/>
    <m/>
    <n v="0"/>
    <n v="0"/>
    <n v="27685.770913510391"/>
  </r>
  <r>
    <d v="2026-05-14T00:00:00"/>
    <x v="4"/>
    <s v="HİNDİSTAN CEVİZİ ( İRİ )"/>
    <m/>
    <x v="1"/>
    <s v="ST00000002266"/>
    <s v="SATIŞ"/>
    <s v="NAKİT"/>
    <n v="0.1"/>
    <n v="600"/>
    <n v="0"/>
    <n v="0"/>
    <m/>
    <m/>
    <m/>
    <m/>
    <n v="60"/>
    <n v="0"/>
    <n v="27745.770913510391"/>
  </r>
  <r>
    <d v="2026-05-15T00:00:00"/>
    <x v="4"/>
    <s v="ZENCEFİL TOZ"/>
    <m/>
    <x v="5"/>
    <s v="ST00000002267"/>
    <s v="SATIŞ"/>
    <s v="POS"/>
    <n v="0.125"/>
    <n v="400"/>
    <n v="50"/>
    <n v="0"/>
    <m/>
    <m/>
    <m/>
    <m/>
    <n v="0"/>
    <n v="0"/>
    <n v="27745.770913510391"/>
  </r>
  <r>
    <d v="2026-05-15T00:00:00"/>
    <x v="4"/>
    <s v="KEKİK LÜX"/>
    <m/>
    <x v="5"/>
    <s v="ST00000002267"/>
    <s v="SATIŞ"/>
    <s v="POS"/>
    <n v="5.8823529411764705E-2"/>
    <n v="850"/>
    <n v="50"/>
    <n v="0"/>
    <m/>
    <m/>
    <m/>
    <m/>
    <n v="0"/>
    <n v="0"/>
    <n v="27745.770913510391"/>
  </r>
  <r>
    <d v="2026-05-15T00:00:00"/>
    <x v="4"/>
    <s v="GENÇAY ELMA SİRKESİ 500 CC"/>
    <m/>
    <x v="5"/>
    <s v="ST00000002267"/>
    <s v="SATIŞ"/>
    <s v="POS"/>
    <n v="1"/>
    <n v="150"/>
    <n v="150"/>
    <n v="0"/>
    <m/>
    <m/>
    <m/>
    <m/>
    <n v="0"/>
    <n v="0"/>
    <n v="27745.770913510391"/>
  </r>
  <r>
    <d v="2026-05-15T00:00:00"/>
    <x v="4"/>
    <s v="AÇLIK OTU"/>
    <m/>
    <x v="5"/>
    <s v="ST00000002267"/>
    <s v="SATIŞ"/>
    <s v="POS"/>
    <n v="0.12"/>
    <n v="417"/>
    <n v="50.04"/>
    <n v="0"/>
    <m/>
    <m/>
    <m/>
    <m/>
    <n v="0"/>
    <n v="0"/>
    <n v="27745.770913510391"/>
  </r>
  <r>
    <d v="2026-05-15T00:00:00"/>
    <x v="4"/>
    <s v="DEEPSEA DEO STİCK 60 GR (TER ÖNLEME)"/>
    <m/>
    <x v="5"/>
    <s v="ST00000002267"/>
    <s v="SATIŞ"/>
    <s v="POS"/>
    <n v="1"/>
    <n v="170"/>
    <n v="170"/>
    <n v="0"/>
    <m/>
    <m/>
    <m/>
    <m/>
    <n v="0"/>
    <n v="0"/>
    <n v="27745.770913510391"/>
  </r>
  <r>
    <d v="2026-05-15T00:00:00"/>
    <x v="4"/>
    <s v="KABUKLU CEVİZ (YERLİ)"/>
    <m/>
    <x v="5"/>
    <s v="ST00000002268"/>
    <s v="SATIŞ"/>
    <s v="POS"/>
    <n v="1.34"/>
    <n v="250"/>
    <n v="335"/>
    <n v="0"/>
    <m/>
    <m/>
    <m/>
    <m/>
    <n v="0"/>
    <n v="0"/>
    <n v="27745.770913510391"/>
  </r>
  <r>
    <d v="2026-05-15T00:00:00"/>
    <x v="4"/>
    <s v="KARABAŞ OTU"/>
    <m/>
    <x v="5"/>
    <s v="ST00000002269"/>
    <s v="SATIŞ"/>
    <s v="POS"/>
    <n v="0.05"/>
    <n v="1400"/>
    <n v="70"/>
    <n v="0"/>
    <m/>
    <m/>
    <m/>
    <m/>
    <n v="0"/>
    <n v="0"/>
    <n v="27745.770913510391"/>
  </r>
  <r>
    <d v="2026-05-15T00:00:00"/>
    <x v="4"/>
    <s v="IHLAMUR YAPRAK"/>
    <m/>
    <x v="5"/>
    <s v="ST00000002269"/>
    <s v="SATIŞ"/>
    <s v="POS"/>
    <n v="0.05"/>
    <n v="2600"/>
    <n v="130"/>
    <n v="0"/>
    <m/>
    <m/>
    <m/>
    <m/>
    <n v="0"/>
    <n v="0"/>
    <n v="27745.770913510391"/>
  </r>
  <r>
    <d v="2026-05-15T00:00:00"/>
    <x v="4"/>
    <s v="DOLMALIK KURU PATLICAN"/>
    <m/>
    <x v="1"/>
    <s v="ST00000002270"/>
    <s v="SATIŞ"/>
    <s v="NAKİT"/>
    <n v="1"/>
    <n v="250"/>
    <n v="0"/>
    <n v="0"/>
    <m/>
    <m/>
    <m/>
    <m/>
    <n v="250"/>
    <n v="0"/>
    <n v="27995.770913510391"/>
  </r>
  <r>
    <d v="2026-05-15T00:00:00"/>
    <x v="4"/>
    <s v="SALÇA ACI (EV YAPIMI)"/>
    <m/>
    <x v="1"/>
    <s v="ST00000002271"/>
    <s v="SATIŞ"/>
    <s v="NAKİT"/>
    <n v="0.25"/>
    <n v="200"/>
    <n v="0"/>
    <n v="0"/>
    <m/>
    <m/>
    <m/>
    <m/>
    <n v="50"/>
    <n v="0"/>
    <n v="28045.770913510391"/>
  </r>
  <r>
    <d v="2026-05-15T00:00:00"/>
    <x v="4"/>
    <s v="SALÇA TATLI (EV YAPIMI)"/>
    <m/>
    <x v="1"/>
    <s v="ST00000002271"/>
    <s v="SATIŞ"/>
    <s v="NAKİT"/>
    <n v="0.25"/>
    <n v="200"/>
    <n v="0"/>
    <n v="0"/>
    <m/>
    <m/>
    <m/>
    <m/>
    <n v="50"/>
    <n v="0"/>
    <n v="28095.770913510391"/>
  </r>
  <r>
    <d v="2026-05-15T00:00:00"/>
    <x v="4"/>
    <s v="KARANFİL"/>
    <m/>
    <x v="1"/>
    <s v="ST00000002271"/>
    <s v="SATIŞ"/>
    <s v="NAKİT"/>
    <n v="0.05"/>
    <n v="1200"/>
    <n v="0"/>
    <n v="0"/>
    <m/>
    <m/>
    <m/>
    <m/>
    <n v="60"/>
    <n v="0"/>
    <n v="28155.770913510391"/>
  </r>
  <r>
    <d v="2026-05-15T00:00:00"/>
    <x v="4"/>
    <s v="ATOM PUL BİBER ÇOK ACI"/>
    <m/>
    <x v="5"/>
    <s v="ST00000002272"/>
    <s v="SATIŞ"/>
    <s v="POS"/>
    <n v="0.50181818181818183"/>
    <n v="550"/>
    <n v="276"/>
    <n v="0"/>
    <m/>
    <m/>
    <m/>
    <m/>
    <n v="0"/>
    <n v="0"/>
    <n v="28155.770913510391"/>
  </r>
  <r>
    <d v="2026-05-15T00:00:00"/>
    <x v="4"/>
    <s v="DOMATES SALÇASI"/>
    <m/>
    <x v="5"/>
    <s v="ST00000002272"/>
    <s v="SATIŞ"/>
    <s v="POS"/>
    <n v="1"/>
    <n v="150"/>
    <n v="150"/>
    <n v="0"/>
    <m/>
    <m/>
    <m/>
    <m/>
    <n v="0"/>
    <n v="0"/>
    <n v="28155.770913510391"/>
  </r>
  <r>
    <d v="2026-05-15T00:00:00"/>
    <x v="4"/>
    <s v="TÜDAB TURŞU BİBER"/>
    <m/>
    <x v="1"/>
    <s v="ST00000002273"/>
    <s v="SATIŞ"/>
    <s v="NAKİT"/>
    <n v="1"/>
    <n v="350"/>
    <n v="0"/>
    <n v="0"/>
    <m/>
    <m/>
    <m/>
    <m/>
    <n v="350"/>
    <n v="0"/>
    <n v="28505.770913510391"/>
  </r>
  <r>
    <d v="2026-05-15T00:00:00"/>
    <x v="4"/>
    <s v="YENİ MAHSÜL PAPATYA"/>
    <m/>
    <x v="1"/>
    <s v="ST00000002274"/>
    <s v="SATIŞ"/>
    <s v="NAKİT"/>
    <n v="0.05"/>
    <n v="1800"/>
    <n v="0"/>
    <n v="0"/>
    <m/>
    <m/>
    <m/>
    <m/>
    <n v="90"/>
    <n v="0"/>
    <n v="28595.770913510391"/>
  </r>
  <r>
    <d v="2026-05-15T00:00:00"/>
    <x v="4"/>
    <s v="GENÇAY ELMA SİRKESİ 500 CC"/>
    <m/>
    <x v="1"/>
    <s v="ST00000002275"/>
    <s v="SATIŞ - MMT"/>
    <s v="NAKİT"/>
    <n v="1"/>
    <n v="90"/>
    <n v="0"/>
    <n v="0"/>
    <m/>
    <m/>
    <m/>
    <m/>
    <n v="90"/>
    <n v="0"/>
    <n v="28685.770913510391"/>
  </r>
  <r>
    <d v="2026-05-15T00:00:00"/>
    <x v="4"/>
    <s v="CHİA TOHUMU DÖKME"/>
    <m/>
    <x v="5"/>
    <s v="ST00000002276"/>
    <s v="SATIŞ"/>
    <s v="POS"/>
    <n v="0.5"/>
    <n v="280"/>
    <n v="140"/>
    <n v="0"/>
    <m/>
    <m/>
    <m/>
    <m/>
    <n v="0"/>
    <n v="0"/>
    <n v="28685.770913510391"/>
  </r>
  <r>
    <d v="2026-05-15T00:00:00"/>
    <x v="4"/>
    <s v="DOMATES SALÇASI"/>
    <m/>
    <x v="5"/>
    <s v="ST00000002277"/>
    <s v="SATIŞ"/>
    <s v="POS"/>
    <n v="1"/>
    <n v="150"/>
    <n v="150"/>
    <n v="0"/>
    <m/>
    <m/>
    <m/>
    <m/>
    <n v="0"/>
    <n v="0"/>
    <n v="28685.770913510391"/>
  </r>
  <r>
    <d v="2026-05-15T00:00:00"/>
    <x v="4"/>
    <s v="ATOM PUL BİBER ÇOK ACI"/>
    <m/>
    <x v="5"/>
    <s v="ST00000002277"/>
    <s v="SATIŞ"/>
    <s v="POS"/>
    <n v="0.36363636363636365"/>
    <n v="550"/>
    <n v="200"/>
    <n v="0"/>
    <m/>
    <m/>
    <m/>
    <m/>
    <n v="0"/>
    <n v="0"/>
    <n v="28685.770913510391"/>
  </r>
  <r>
    <d v="2026-05-15T00:00:00"/>
    <x v="4"/>
    <s v="JAPON LİF"/>
    <m/>
    <x v="1"/>
    <s v="ST00000002278"/>
    <s v="SATIŞ"/>
    <s v="NAKİT"/>
    <n v="3"/>
    <n v="100"/>
    <n v="0"/>
    <n v="0"/>
    <m/>
    <m/>
    <m/>
    <m/>
    <n v="300"/>
    <n v="0"/>
    <n v="28985.770913510391"/>
  </r>
  <r>
    <d v="2026-05-15T00:00:00"/>
    <x v="4"/>
    <s v="PATLAK MISIR"/>
    <m/>
    <x v="1"/>
    <s v="ST00000002279"/>
    <s v="SATIŞ - MÜMİNE"/>
    <s v="NAKİT"/>
    <n v="0.5"/>
    <n v="60"/>
    <n v="0"/>
    <n v="0"/>
    <m/>
    <m/>
    <m/>
    <m/>
    <n v="30"/>
    <n v="0"/>
    <n v="29015.770913510391"/>
  </r>
  <r>
    <d v="2026-05-15T00:00:00"/>
    <x v="4"/>
    <s v="BUĞDAY NİŞASTASI"/>
    <m/>
    <x v="1"/>
    <s v="ST00000002279"/>
    <s v="SATIŞ - MÜMİNE"/>
    <s v="NAKİT"/>
    <n v="0.5"/>
    <n v="120"/>
    <n v="0"/>
    <n v="0"/>
    <m/>
    <m/>
    <m/>
    <m/>
    <n v="60"/>
    <n v="0"/>
    <n v="29075.770913510391"/>
  </r>
  <r>
    <d v="2026-05-15T00:00:00"/>
    <x v="4"/>
    <s v="DAMLA ÇİKOLATA"/>
    <m/>
    <x v="1"/>
    <s v="ST00000002279"/>
    <s v="SATIŞ - MÜMİNE"/>
    <s v="NAKİT"/>
    <n v="0.2"/>
    <n v="500"/>
    <n v="0"/>
    <n v="0"/>
    <m/>
    <m/>
    <m/>
    <m/>
    <n v="100"/>
    <n v="0"/>
    <n v="29175.770913510391"/>
  </r>
  <r>
    <d v="2026-05-15T00:00:00"/>
    <x v="4"/>
    <s v="PASTA SÜSÜ"/>
    <m/>
    <x v="1"/>
    <s v="ST00000002279"/>
    <s v="SATIŞ - MÜMİNE"/>
    <s v="NAKİT"/>
    <n v="0.1"/>
    <n v="500"/>
    <n v="0"/>
    <n v="0"/>
    <m/>
    <m/>
    <m/>
    <m/>
    <n v="50"/>
    <n v="0"/>
    <n v="29225.770913510391"/>
  </r>
  <r>
    <d v="2026-05-15T00:00:00"/>
    <x v="4"/>
    <s v="KAKAO"/>
    <m/>
    <x v="1"/>
    <s v="ST00000002279"/>
    <s v="SATIŞ - MÜMİNE"/>
    <s v="NAKİT"/>
    <n v="0.1"/>
    <n v="700"/>
    <n v="0"/>
    <n v="0"/>
    <m/>
    <m/>
    <m/>
    <m/>
    <n v="70"/>
    <n v="0"/>
    <n v="29295.770913510391"/>
  </r>
  <r>
    <d v="2026-05-15T00:00:00"/>
    <x v="4"/>
    <s v="ZÜHRE ANA KARADUT ÖZÜ 670 GR"/>
    <m/>
    <x v="1"/>
    <s v="ST00000002279"/>
    <s v="SATIŞ - MÜMİNE"/>
    <s v="NAKİT"/>
    <n v="1"/>
    <n v="250"/>
    <n v="0"/>
    <n v="0"/>
    <m/>
    <m/>
    <m/>
    <m/>
    <n v="250"/>
    <n v="0"/>
    <n v="29545.770913510391"/>
  </r>
  <r>
    <d v="2026-05-15T00:00:00"/>
    <x v="4"/>
    <s v="BİOBLAS ARGAN SAÇ BAKIM YAĞI 100 ML"/>
    <m/>
    <x v="1"/>
    <s v="ST00000002279"/>
    <s v="SATIŞ - MÜMİNE"/>
    <s v="NAKİT"/>
    <n v="1"/>
    <n v="220"/>
    <n v="0"/>
    <n v="0"/>
    <m/>
    <m/>
    <m/>
    <m/>
    <n v="220"/>
    <n v="0"/>
    <n v="29765.770913510391"/>
  </r>
  <r>
    <d v="2026-05-15T00:00:00"/>
    <x v="4"/>
    <s v="TALA KARINCA YUMURTASI YAĞI 20 ML"/>
    <m/>
    <x v="1"/>
    <s v="ST00000002279"/>
    <s v="SATIŞ - MÜMİNE"/>
    <s v="NAKİT"/>
    <n v="1"/>
    <n v="130"/>
    <n v="0"/>
    <n v="0"/>
    <m/>
    <m/>
    <m/>
    <m/>
    <n v="130"/>
    <n v="0"/>
    <n v="29895.770913510391"/>
  </r>
  <r>
    <d v="2026-05-15T00:00:00"/>
    <x v="4"/>
    <s v="ESMER BULGUR (AKIN)"/>
    <m/>
    <x v="1"/>
    <s v="ST00000002279"/>
    <s v="SATIŞ - MÜMİNE"/>
    <s v="NAKİT"/>
    <n v="2.5"/>
    <n v="65"/>
    <n v="0"/>
    <n v="0"/>
    <m/>
    <m/>
    <m/>
    <m/>
    <n v="162.5"/>
    <n v="0"/>
    <n v="30058.270913510391"/>
  </r>
  <r>
    <d v="2026-05-15T00:00:00"/>
    <x v="4"/>
    <s v="CEVİZLİ SUCUK ATOM (ESMER)"/>
    <m/>
    <x v="1"/>
    <s v="ST00000002279"/>
    <s v="SATIŞ - MÜMİNE"/>
    <s v="NAKİT"/>
    <n v="0.19600000000000001"/>
    <n v="350"/>
    <n v="0"/>
    <n v="0"/>
    <m/>
    <m/>
    <m/>
    <m/>
    <n v="68.600000000000009"/>
    <n v="0"/>
    <n v="30126.870913510389"/>
  </r>
  <r>
    <d v="2026-05-15T00:00:00"/>
    <x v="4"/>
    <s v="YENİ MAHSÜL PAPATYA"/>
    <m/>
    <x v="1"/>
    <s v="ST00000002279"/>
    <s v="SATIŞ - MÜMİNE"/>
    <s v="NAKİT"/>
    <n v="0.05"/>
    <n v="1800"/>
    <n v="0"/>
    <n v="0"/>
    <m/>
    <m/>
    <m/>
    <m/>
    <n v="90"/>
    <n v="0"/>
    <n v="30216.870913510389"/>
  </r>
  <r>
    <d v="2026-05-16T00:00:00"/>
    <x v="4"/>
    <s v="DOLMALIK SARI BİBER"/>
    <m/>
    <x v="1"/>
    <s v="ST00000002280"/>
    <s v="SATIŞ"/>
    <s v="NAKİT"/>
    <n v="0.5"/>
    <n v="250"/>
    <n v="0"/>
    <n v="0"/>
    <m/>
    <m/>
    <m/>
    <m/>
    <n v="125"/>
    <n v="0"/>
    <n v="30341.870913510389"/>
  </r>
  <r>
    <d v="2026-05-16T00:00:00"/>
    <x v="4"/>
    <s v="DOLMALIK KURU PATLICAN"/>
    <m/>
    <x v="1"/>
    <s v="ST00000002280"/>
    <s v="SATIŞ"/>
    <s v="NAKİT"/>
    <n v="0.5"/>
    <n v="250"/>
    <n v="0"/>
    <n v="0"/>
    <m/>
    <m/>
    <m/>
    <m/>
    <n v="125"/>
    <n v="0"/>
    <n v="30466.870913510389"/>
  </r>
  <r>
    <d v="2026-05-16T00:00:00"/>
    <x v="4"/>
    <s v="NANE İRİ"/>
    <m/>
    <x v="1"/>
    <s v="ST00000002280"/>
    <s v="SATIŞ"/>
    <s v="NAKİT"/>
    <n v="0.125"/>
    <n v="400"/>
    <n v="0"/>
    <n v="0"/>
    <m/>
    <m/>
    <m/>
    <m/>
    <n v="50"/>
    <n v="0"/>
    <n v="30516.870913510389"/>
  </r>
  <r>
    <d v="2026-05-16T00:00:00"/>
    <x v="4"/>
    <s v="İPEK BİBER"/>
    <m/>
    <x v="1"/>
    <s v="ST00000002280"/>
    <s v="SATIŞ"/>
    <s v="NAKİT"/>
    <n v="0.1"/>
    <n v="500"/>
    <n v="0"/>
    <n v="0"/>
    <m/>
    <m/>
    <m/>
    <m/>
    <n v="50"/>
    <n v="0"/>
    <n v="30566.870913510389"/>
  </r>
  <r>
    <d v="2026-05-16T00:00:00"/>
    <x v="4"/>
    <s v="NANE YAĞI 10 CC"/>
    <m/>
    <x v="5"/>
    <s v="ST00000002281"/>
    <s v="SATIŞ"/>
    <s v="POS"/>
    <n v="2"/>
    <n v="145"/>
    <n v="290"/>
    <n v="0"/>
    <m/>
    <m/>
    <m/>
    <m/>
    <n v="0"/>
    <n v="0"/>
    <n v="30566.870913510389"/>
  </r>
  <r>
    <d v="2026-05-16T00:00:00"/>
    <x v="4"/>
    <s v="WARITEX ÇİFT TARAFLI KABAK LİFİ"/>
    <m/>
    <x v="5"/>
    <s v="ST00000002282"/>
    <s v="SATIŞ"/>
    <s v="POS"/>
    <n v="1"/>
    <n v="120"/>
    <n v="120"/>
    <n v="0"/>
    <m/>
    <m/>
    <m/>
    <m/>
    <n v="0"/>
    <n v="0"/>
    <n v="30566.870913510389"/>
  </r>
  <r>
    <d v="2026-05-16T00:00:00"/>
    <x v="4"/>
    <s v="DOLMALIK SARI BİBER"/>
    <m/>
    <x v="5"/>
    <s v="ST00000002282"/>
    <s v="SATIŞ"/>
    <s v="POS"/>
    <n v="1"/>
    <n v="250"/>
    <n v="250"/>
    <n v="0"/>
    <m/>
    <m/>
    <m/>
    <m/>
    <n v="0"/>
    <n v="0"/>
    <n v="30566.870913510389"/>
  </r>
  <r>
    <d v="2026-05-16T00:00:00"/>
    <x v="4"/>
    <s v="DOLMALIK KURU PATLICAN"/>
    <m/>
    <x v="5"/>
    <s v="ST00000002282"/>
    <s v="SATIŞ"/>
    <s v="POS"/>
    <n v="1"/>
    <n v="250"/>
    <n v="250"/>
    <n v="0"/>
    <m/>
    <m/>
    <m/>
    <m/>
    <n v="0"/>
    <n v="0"/>
    <n v="30566.870913510389"/>
  </r>
  <r>
    <d v="2026-05-16T00:00:00"/>
    <x v="4"/>
    <s v="LİMONTUZU PARCA"/>
    <m/>
    <x v="5"/>
    <s v="ST00000002282"/>
    <s v="SATIŞ"/>
    <s v="POS"/>
    <n v="0.27777777777777779"/>
    <n v="180"/>
    <n v="50"/>
    <n v="0"/>
    <m/>
    <m/>
    <m/>
    <m/>
    <n v="0"/>
    <n v="0"/>
    <n v="30566.870913510389"/>
  </r>
  <r>
    <d v="2026-05-16T00:00:00"/>
    <x v="4"/>
    <s v="EVLİK BİBER"/>
    <m/>
    <x v="1"/>
    <s v="ST00000002283"/>
    <s v="SATIŞ"/>
    <s v="NAKİT"/>
    <n v="0.5"/>
    <n v="400"/>
    <n v="0"/>
    <n v="0"/>
    <m/>
    <m/>
    <m/>
    <m/>
    <n v="200"/>
    <n v="0"/>
    <n v="30766.870913510389"/>
  </r>
  <r>
    <d v="2026-05-16T00:00:00"/>
    <x v="4"/>
    <s v="ÇEBELİZADE NİOLİ YAĞI 20 ML"/>
    <m/>
    <x v="1"/>
    <s v="ST00000002284"/>
    <s v="SATIŞ"/>
    <s v="NAKİT"/>
    <n v="1"/>
    <n v="90"/>
    <n v="0"/>
    <n v="0"/>
    <m/>
    <m/>
    <m/>
    <m/>
    <n v="90"/>
    <n v="0"/>
    <n v="30856.870913510389"/>
  </r>
  <r>
    <d v="2026-05-16T00:00:00"/>
    <x v="4"/>
    <s v="MECİTEFENDİ DOĞAL KİL MASKE-YOSUN (200 ml.)"/>
    <m/>
    <x v="1"/>
    <s v="ST00000002285"/>
    <s v="SATIŞ"/>
    <s v="NAKİT"/>
    <n v="1"/>
    <n v="100"/>
    <n v="0"/>
    <n v="0"/>
    <m/>
    <m/>
    <m/>
    <m/>
    <n v="100"/>
    <n v="0"/>
    <n v="30956.870913510389"/>
  </r>
  <r>
    <d v="2026-05-16T00:00:00"/>
    <x v="4"/>
    <s v="DOLMALIK SARI BİBER"/>
    <m/>
    <x v="5"/>
    <s v="ST00000002286"/>
    <s v="SATIŞ"/>
    <s v="POS"/>
    <n v="1"/>
    <n v="250"/>
    <n v="250"/>
    <n v="0"/>
    <m/>
    <m/>
    <m/>
    <m/>
    <n v="0"/>
    <n v="0"/>
    <n v="30956.870913510389"/>
  </r>
  <r>
    <d v="2026-05-16T00:00:00"/>
    <x v="4"/>
    <s v="DOLMALIK KURU PATLICAN"/>
    <m/>
    <x v="5"/>
    <s v="ST00000002286"/>
    <s v="SATIŞ"/>
    <s v="POS"/>
    <n v="1"/>
    <n v="250"/>
    <n v="250"/>
    <n v="0"/>
    <m/>
    <m/>
    <m/>
    <m/>
    <n v="0"/>
    <n v="0"/>
    <n v="30956.870913510389"/>
  </r>
  <r>
    <d v="2026-05-16T00:00:00"/>
    <x v="4"/>
    <s v="EVLİK BİBER"/>
    <m/>
    <x v="5"/>
    <s v="ST00000002286"/>
    <s v="SATIŞ"/>
    <s v="POS"/>
    <n v="0.31"/>
    <n v="400"/>
    <n v="124"/>
    <n v="0"/>
    <m/>
    <m/>
    <m/>
    <m/>
    <n v="0"/>
    <n v="0"/>
    <n v="30956.870913510389"/>
  </r>
  <r>
    <d v="2026-05-16T00:00:00"/>
    <x v="4"/>
    <s v="SUMAK"/>
    <m/>
    <x v="1"/>
    <s v="ST00000002287"/>
    <s v="SATIŞ"/>
    <s v="NAKİT"/>
    <n v="9.1999999999999998E-2"/>
    <n v="500"/>
    <n v="0"/>
    <n v="0"/>
    <m/>
    <m/>
    <m/>
    <m/>
    <n v="46"/>
    <n v="0"/>
    <n v="31002.870913510389"/>
  </r>
  <r>
    <d v="2026-05-16T00:00:00"/>
    <x v="4"/>
    <s v="DOLMALIK SARI BİBER"/>
    <m/>
    <x v="1"/>
    <s v="ST00000002287"/>
    <s v="SATIŞ"/>
    <s v="NAKİT"/>
    <n v="1"/>
    <n v="250"/>
    <n v="0"/>
    <n v="0"/>
    <m/>
    <m/>
    <m/>
    <m/>
    <n v="250"/>
    <n v="0"/>
    <n v="31252.870913510389"/>
  </r>
  <r>
    <d v="2026-05-16T00:00:00"/>
    <x v="4"/>
    <s v="DOLMALIK KURU PATLICAN"/>
    <m/>
    <x v="1"/>
    <s v="ST00000002287"/>
    <s v="SATIŞ"/>
    <s v="NAKİT"/>
    <n v="1"/>
    <n v="250"/>
    <n v="0"/>
    <n v="0"/>
    <m/>
    <m/>
    <m/>
    <m/>
    <n v="250"/>
    <n v="0"/>
    <n v="31502.870913510389"/>
  </r>
  <r>
    <d v="2026-05-16T00:00:00"/>
    <x v="4"/>
    <s v="KARIŞIK KURUYEMİŞ"/>
    <m/>
    <x v="5"/>
    <s v="ST00000002288"/>
    <s v="SATIŞ"/>
    <s v="POS"/>
    <n v="0.47058823529411764"/>
    <n v="850"/>
    <n v="400"/>
    <n v="0"/>
    <m/>
    <m/>
    <m/>
    <m/>
    <n v="0"/>
    <n v="0"/>
    <n v="31502.870913510389"/>
  </r>
  <r>
    <d v="2026-05-16T00:00:00"/>
    <x v="4"/>
    <s v="KINA RGS DÖKME"/>
    <m/>
    <x v="1"/>
    <s v="ST00000002289"/>
    <s v="SATIŞ"/>
    <s v="NAKİT"/>
    <n v="0.25"/>
    <n v="400"/>
    <n v="0"/>
    <n v="0"/>
    <m/>
    <m/>
    <m/>
    <m/>
    <n v="100"/>
    <n v="0"/>
    <n v="31602.870913510389"/>
  </r>
  <r>
    <d v="2026-05-17T00:00:00"/>
    <x v="4"/>
    <s v="DOLMALIK KURU PATLICAN"/>
    <m/>
    <x v="1"/>
    <s v="ST00000002290"/>
    <s v="SATIŞ"/>
    <s v="NAKİT"/>
    <n v="1"/>
    <n v="250"/>
    <n v="0"/>
    <n v="0"/>
    <m/>
    <m/>
    <m/>
    <m/>
    <n v="250"/>
    <n v="0"/>
    <n v="31852.870913510389"/>
  </r>
  <r>
    <d v="2026-05-17T00:00:00"/>
    <x v="4"/>
    <s v="AÇLIK OTU"/>
    <m/>
    <x v="1"/>
    <s v="ST00000002291"/>
    <s v="SATIŞ"/>
    <s v="NAKİT"/>
    <n v="0.12"/>
    <n v="417"/>
    <n v="0"/>
    <n v="0"/>
    <m/>
    <m/>
    <m/>
    <m/>
    <n v="50.04"/>
    <n v="0"/>
    <n v="31902.91091351039"/>
  </r>
  <r>
    <d v="2026-05-17T00:00:00"/>
    <x v="4"/>
    <s v="ZAHTER"/>
    <m/>
    <x v="1"/>
    <s v="ST00000002292"/>
    <s v="SATIŞ"/>
    <s v="NAKİT"/>
    <n v="0.2"/>
    <n v="400"/>
    <n v="0"/>
    <n v="0"/>
    <m/>
    <m/>
    <m/>
    <m/>
    <n v="80"/>
    <n v="0"/>
    <n v="31982.91091351039"/>
  </r>
  <r>
    <d v="2026-05-17T00:00:00"/>
    <x v="4"/>
    <s v="ZERDEÇAL TOZ"/>
    <m/>
    <x v="1"/>
    <s v="ST00000002292"/>
    <s v="SATIŞ"/>
    <s v="NAKİT"/>
    <n v="0.37333333333333335"/>
    <n v="300"/>
    <n v="0"/>
    <n v="0"/>
    <m/>
    <m/>
    <m/>
    <m/>
    <n v="112"/>
    <n v="0"/>
    <n v="32094.91091351039"/>
  </r>
  <r>
    <d v="2026-05-17T00:00:00"/>
    <x v="4"/>
    <s v="NANE İRİ"/>
    <m/>
    <x v="1"/>
    <s v="ST00000002292"/>
    <s v="SATIŞ"/>
    <s v="NAKİT"/>
    <n v="0.23499999999999999"/>
    <n v="400"/>
    <n v="0"/>
    <n v="0"/>
    <m/>
    <m/>
    <m/>
    <m/>
    <n v="94"/>
    <n v="0"/>
    <n v="32188.91091351039"/>
  </r>
  <r>
    <d v="2026-05-17T00:00:00"/>
    <x v="4"/>
    <s v="KARANFİL"/>
    <m/>
    <x v="1"/>
    <s v="ST00000002292"/>
    <s v="SATIŞ"/>
    <s v="NAKİT"/>
    <n v="0.05"/>
    <n v="1200"/>
    <n v="0"/>
    <n v="0"/>
    <m/>
    <m/>
    <m/>
    <m/>
    <n v="60"/>
    <n v="0"/>
    <n v="32248.91091351039"/>
  </r>
  <r>
    <d v="2026-05-17T00:00:00"/>
    <x v="4"/>
    <s v="KİMYON ÇEKİLMİŞ"/>
    <m/>
    <x v="1"/>
    <s v="ST00000002292"/>
    <s v="SATIŞ"/>
    <s v="NAKİT"/>
    <n v="0.14249999999999999"/>
    <n v="400"/>
    <n v="0"/>
    <n v="0"/>
    <m/>
    <m/>
    <m/>
    <m/>
    <n v="56.999999999999993"/>
    <n v="0"/>
    <n v="32305.91091351039"/>
  </r>
  <r>
    <d v="2026-05-17T00:00:00"/>
    <x v="4"/>
    <s v="KARABİBER ÇEKİLMİŞ"/>
    <m/>
    <x v="1"/>
    <s v="ST00000002292"/>
    <s v="SATIŞ"/>
    <s v="NAKİT"/>
    <n v="0.21692307692307691"/>
    <n v="650"/>
    <n v="0"/>
    <n v="0"/>
    <m/>
    <m/>
    <m/>
    <m/>
    <n v="141"/>
    <n v="0"/>
    <n v="32446.91091351039"/>
  </r>
  <r>
    <d v="2026-05-17T00:00:00"/>
    <x v="4"/>
    <s v="KÖFTE BAHARATI (YEDİTÜRLÜ)"/>
    <m/>
    <x v="1"/>
    <s v="ST00000002292"/>
    <s v="SATIŞ"/>
    <s v="NAKİT"/>
    <n v="0.16444444444444445"/>
    <n v="450"/>
    <n v="0"/>
    <n v="0"/>
    <m/>
    <m/>
    <m/>
    <m/>
    <n v="74"/>
    <n v="0"/>
    <n v="32520.91091351039"/>
  </r>
  <r>
    <d v="2026-05-17T00:00:00"/>
    <x v="4"/>
    <s v="ÇÖREKOTU"/>
    <m/>
    <x v="1"/>
    <s v="ST00000002292"/>
    <s v="SATIŞ"/>
    <s v="NAKİT"/>
    <n v="0.1"/>
    <n v="400"/>
    <n v="0"/>
    <n v="0"/>
    <m/>
    <m/>
    <m/>
    <m/>
    <n v="40"/>
    <n v="0"/>
    <n v="32560.91091351039"/>
  </r>
  <r>
    <d v="2026-05-17T00:00:00"/>
    <x v="4"/>
    <s v="İPEK BİBER"/>
    <m/>
    <x v="1"/>
    <s v="ST00000002292"/>
    <s v="SATIŞ"/>
    <s v="NAKİT"/>
    <n v="0.64600000000000002"/>
    <n v="500"/>
    <n v="0"/>
    <n v="0"/>
    <m/>
    <m/>
    <m/>
    <m/>
    <n v="323"/>
    <n v="0"/>
    <n v="32883.910913510394"/>
  </r>
  <r>
    <d v="2026-05-17T00:00:00"/>
    <x v="4"/>
    <s v="FESLEĞEN"/>
    <m/>
    <x v="1"/>
    <s v="ST00000002292"/>
    <s v="SATIŞ"/>
    <s v="NAKİT"/>
    <n v="0.2"/>
    <n v="700"/>
    <n v="0"/>
    <n v="0"/>
    <m/>
    <m/>
    <m/>
    <m/>
    <n v="140"/>
    <n v="0"/>
    <n v="33023.910913510394"/>
  </r>
  <r>
    <d v="2026-05-17T00:00:00"/>
    <x v="4"/>
    <s v="SALÇA TATLI (EV YAPIMI)"/>
    <m/>
    <x v="1"/>
    <s v="ST00000002292"/>
    <s v="SATIŞ"/>
    <s v="NAKİT"/>
    <n v="1"/>
    <n v="200"/>
    <n v="0"/>
    <n v="0"/>
    <m/>
    <m/>
    <m/>
    <m/>
    <n v="200"/>
    <n v="0"/>
    <n v="33223.910913510394"/>
  </r>
  <r>
    <d v="2026-05-18T00:00:00"/>
    <x v="4"/>
    <s v="NAHİTA IŞGIN SİRKESİ"/>
    <m/>
    <x v="1"/>
    <s v="ST00000002293"/>
    <s v="SATIŞ"/>
    <s v="NAKİT"/>
    <n v="1"/>
    <n v="200"/>
    <n v="0"/>
    <n v="0"/>
    <m/>
    <m/>
    <m/>
    <m/>
    <n v="200"/>
    <n v="0"/>
    <n v="33423.910913510394"/>
  </r>
  <r>
    <d v="2026-05-18T00:00:00"/>
    <x v="4"/>
    <s v="ZÜHRE ANA KARADUT ÖZÜ 670 GR"/>
    <m/>
    <x v="5"/>
    <s v="ST00000002294"/>
    <s v="SATIŞ"/>
    <s v="POS"/>
    <n v="1"/>
    <n v="250"/>
    <n v="250"/>
    <n v="0"/>
    <m/>
    <m/>
    <m/>
    <m/>
    <n v="0"/>
    <n v="0"/>
    <n v="33423.910913510394"/>
  </r>
  <r>
    <d v="2026-05-18T00:00:00"/>
    <x v="4"/>
    <s v="CEVİZ KELEBEK (ŞİLİ)"/>
    <m/>
    <x v="5"/>
    <s v="ST00000002294"/>
    <s v="SATIŞ"/>
    <s v="POS"/>
    <n v="0.5"/>
    <n v="750"/>
    <n v="375"/>
    <n v="0"/>
    <m/>
    <m/>
    <m/>
    <m/>
    <n v="0"/>
    <n v="0"/>
    <n v="33423.910913510394"/>
  </r>
  <r>
    <d v="2026-05-18T00:00:00"/>
    <x v="4"/>
    <s v="BOZ ANTEP FISTIK İÇİ"/>
    <m/>
    <x v="5"/>
    <s v="ST00000002294"/>
    <s v="SATIŞ"/>
    <s v="POS"/>
    <n v="0.1"/>
    <n v="2800"/>
    <n v="280"/>
    <n v="0"/>
    <m/>
    <m/>
    <m/>
    <m/>
    <n v="0"/>
    <n v="0"/>
    <n v="33423.910913510394"/>
  </r>
  <r>
    <d v="2026-05-18T00:00:00"/>
    <x v="4"/>
    <s v="SALÇA TATLI (EV YAPIMI)"/>
    <m/>
    <x v="1"/>
    <s v="ST00000002295"/>
    <s v="SATIŞ"/>
    <s v="NAKİT"/>
    <n v="1"/>
    <n v="200"/>
    <n v="0"/>
    <n v="0"/>
    <m/>
    <m/>
    <m/>
    <m/>
    <n v="200"/>
    <n v="0"/>
    <n v="33623.910913510394"/>
  </r>
  <r>
    <d v="2026-05-18T00:00:00"/>
    <x v="4"/>
    <s v="ÜZÜM SİYAH KİLİS"/>
    <m/>
    <x v="1"/>
    <s v="ST00000002296"/>
    <s v="SATIŞ"/>
    <s v="NAKİT"/>
    <n v="0.64615384615384619"/>
    <n v="650"/>
    <n v="0"/>
    <n v="0"/>
    <m/>
    <m/>
    <m/>
    <m/>
    <n v="420"/>
    <n v="0"/>
    <n v="34043.910913510394"/>
  </r>
  <r>
    <d v="2026-05-18T00:00:00"/>
    <x v="4"/>
    <s v="KONTES HAMAM OTU - TÜY DÖKÜCÜ"/>
    <m/>
    <x v="1"/>
    <s v="ST00000002297"/>
    <s v="SATIŞ"/>
    <s v="NAKİT"/>
    <n v="1"/>
    <n v="15"/>
    <n v="0"/>
    <n v="0"/>
    <m/>
    <m/>
    <m/>
    <m/>
    <n v="15"/>
    <n v="0"/>
    <n v="34058.910913510394"/>
  </r>
  <r>
    <d v="2026-05-18T00:00:00"/>
    <x v="4"/>
    <s v="TOMBUL KESE 500 GR TATLI"/>
    <m/>
    <x v="5"/>
    <s v="ST00000002298"/>
    <s v="SATIŞ"/>
    <s v="POS"/>
    <n v="1"/>
    <n v="200"/>
    <n v="200"/>
    <n v="0"/>
    <m/>
    <m/>
    <m/>
    <m/>
    <n v="0"/>
    <n v="0"/>
    <n v="34058.910913510394"/>
  </r>
  <r>
    <d v="2026-05-18T00:00:00"/>
    <x v="4"/>
    <s v="ATOM PUL BİBER ÇOK ACI"/>
    <m/>
    <x v="5"/>
    <s v="ST00000002299"/>
    <s v="SATIŞ"/>
    <s v="POS"/>
    <n v="0.34909090909090912"/>
    <n v="550"/>
    <n v="192.00000000000003"/>
    <n v="0"/>
    <m/>
    <m/>
    <m/>
    <m/>
    <n v="0"/>
    <n v="0"/>
    <n v="34058.910913510394"/>
  </r>
  <r>
    <d v="2026-05-18T00:00:00"/>
    <x v="4"/>
    <s v="KARABİBER ÇEKİLMİŞ"/>
    <m/>
    <x v="1"/>
    <s v="ST00000002300"/>
    <s v="SATIŞ"/>
    <s v="NAKİT"/>
    <n v="0.11076923076923077"/>
    <n v="650"/>
    <n v="0"/>
    <n v="0"/>
    <m/>
    <m/>
    <m/>
    <m/>
    <n v="72"/>
    <n v="0"/>
    <n v="34130.910913510394"/>
  </r>
  <r>
    <d v="2026-05-18T00:00:00"/>
    <x v="4"/>
    <s v="TÜDAB KEÇİ BOYNUZU (DÖKME)"/>
    <m/>
    <x v="5"/>
    <s v="ST00000002301"/>
    <s v="SATIŞ"/>
    <s v="POS"/>
    <n v="0.35142857142857142"/>
    <n v="350"/>
    <n v="123"/>
    <n v="0"/>
    <m/>
    <m/>
    <m/>
    <m/>
    <n v="0"/>
    <n v="0"/>
    <n v="34130.910913510394"/>
  </r>
  <r>
    <d v="2026-05-18T00:00:00"/>
    <x v="4"/>
    <s v="EVLİK BİBER"/>
    <m/>
    <x v="1"/>
    <s v="ST00000002302"/>
    <s v="SATIŞ"/>
    <s v="NAKİT"/>
    <n v="0.46"/>
    <n v="400"/>
    <n v="0"/>
    <n v="0"/>
    <m/>
    <m/>
    <m/>
    <m/>
    <n v="184"/>
    <n v="0"/>
    <n v="34314.910913510394"/>
  </r>
  <r>
    <d v="2026-05-18T00:00:00"/>
    <x v="4"/>
    <s v="NAHİTA SUMAK EKŞİSİ "/>
    <m/>
    <x v="1"/>
    <s v="ST00000002302"/>
    <s v="SATIŞ"/>
    <s v="NAKİT"/>
    <n v="1"/>
    <n v="170"/>
    <n v="0"/>
    <n v="0"/>
    <m/>
    <m/>
    <m/>
    <m/>
    <n v="170"/>
    <n v="0"/>
    <n v="34484.910913510394"/>
  </r>
  <r>
    <d v="2026-05-18T00:00:00"/>
    <x v="4"/>
    <s v="EL-RUHA ÇAY (AÇIK)"/>
    <m/>
    <x v="1"/>
    <s v="ST00000002302"/>
    <s v="SATIŞ"/>
    <s v="NAKİT"/>
    <n v="0.5"/>
    <n v="700"/>
    <n v="0"/>
    <n v="0"/>
    <m/>
    <m/>
    <m/>
    <m/>
    <n v="350"/>
    <n v="0"/>
    <n v="34834.910913510394"/>
  </r>
  <r>
    <d v="2026-05-18T00:00:00"/>
    <x v="4"/>
    <s v="SUSAM"/>
    <m/>
    <x v="1"/>
    <s v="ST00000002302"/>
    <s v="SATIŞ"/>
    <s v="NAKİT"/>
    <n v="0.1"/>
    <n v="400"/>
    <n v="0"/>
    <n v="0"/>
    <m/>
    <m/>
    <m/>
    <m/>
    <n v="40"/>
    <n v="0"/>
    <n v="34874.910913510394"/>
  </r>
  <r>
    <d v="2026-05-18T00:00:00"/>
    <x v="4"/>
    <s v="HİBİSKUS"/>
    <m/>
    <x v="1"/>
    <s v="ST00000002302"/>
    <s v="SATIŞ"/>
    <s v="NAKİT"/>
    <n v="0.1"/>
    <n v="600"/>
    <n v="0"/>
    <n v="0"/>
    <m/>
    <m/>
    <m/>
    <m/>
    <n v="60"/>
    <n v="0"/>
    <n v="34934.910913510394"/>
  </r>
  <r>
    <d v="2026-05-18T00:00:00"/>
    <x v="4"/>
    <s v="KABUKLU CEVİZ (YERLİ)"/>
    <m/>
    <x v="1"/>
    <s v="ST00000002302"/>
    <s v="SATIŞ"/>
    <s v="NAKİT"/>
    <n v="1.292"/>
    <n v="250"/>
    <n v="0"/>
    <n v="0"/>
    <m/>
    <m/>
    <m/>
    <m/>
    <n v="323"/>
    <n v="0"/>
    <n v="35257.910913510394"/>
  </r>
  <r>
    <d v="2026-05-18T00:00:00"/>
    <x v="4"/>
    <s v="SUSAM"/>
    <m/>
    <x v="1"/>
    <s v="ST00000002303"/>
    <s v="SATIŞ"/>
    <s v="NAKİT"/>
    <n v="0.2"/>
    <n v="400"/>
    <n v="0"/>
    <n v="0"/>
    <m/>
    <m/>
    <m/>
    <m/>
    <n v="80"/>
    <n v="0"/>
    <n v="35337.910913510394"/>
  </r>
  <r>
    <d v="2026-05-10T00:00:00"/>
    <x v="7"/>
    <m/>
    <m/>
    <x v="2"/>
    <m/>
    <s v="KREDİ KARTI ÖDEME"/>
    <s v="NAKİT"/>
    <n v="1"/>
    <n v="24664.7"/>
    <n v="24664.7"/>
    <n v="0"/>
    <m/>
    <m/>
    <m/>
    <m/>
    <n v="0"/>
    <n v="24664.7"/>
    <n v="10673.210913510393"/>
  </r>
  <r>
    <d v="2026-05-12T00:00:00"/>
    <x v="3"/>
    <m/>
    <m/>
    <x v="2"/>
    <m/>
    <s v="TR"/>
    <s v="CARİ"/>
    <n v="3"/>
    <n v="143.66999999999999"/>
    <n v="0"/>
    <n v="431.01"/>
    <m/>
    <m/>
    <m/>
    <m/>
    <n v="0"/>
    <n v="0"/>
    <n v="10673.210913510393"/>
  </r>
  <r>
    <d v="2026-05-13T00:00:00"/>
    <x v="1"/>
    <m/>
    <s v="BANKA GİDERLERİ"/>
    <x v="1"/>
    <m/>
    <s v="POS BAKIM ÜCRETİ"/>
    <s v="NAKİT"/>
    <n v="1"/>
    <n v="418.83"/>
    <n v="0"/>
    <n v="0"/>
    <m/>
    <m/>
    <m/>
    <m/>
    <n v="0"/>
    <n v="418.83"/>
    <n v="10254.380913510393"/>
  </r>
  <r>
    <d v="2026-05-14T00:00:00"/>
    <x v="1"/>
    <m/>
    <s v="BANKA GİDERLERİ"/>
    <x v="1"/>
    <m/>
    <s v="POS BAKIM ÜCRETİ"/>
    <s v="NAKİT"/>
    <n v="1"/>
    <n v="22.17"/>
    <n v="0"/>
    <n v="0"/>
    <m/>
    <m/>
    <m/>
    <m/>
    <n v="0"/>
    <n v="22.17"/>
    <n v="10232.210913510393"/>
  </r>
  <r>
    <d v="2026-05-14T00:00:00"/>
    <x v="10"/>
    <m/>
    <m/>
    <x v="5"/>
    <m/>
    <s v="POS ÇÖZÜMÜ"/>
    <s v="POS"/>
    <n v="1"/>
    <n v="1543"/>
    <n v="0"/>
    <n v="1543"/>
    <m/>
    <m/>
    <m/>
    <m/>
    <n v="1543"/>
    <n v="0"/>
    <n v="11775.210913510393"/>
  </r>
  <r>
    <d v="2026-05-14T00:00:00"/>
    <x v="10"/>
    <m/>
    <m/>
    <x v="5"/>
    <m/>
    <s v="ON NUMARA POS ÇÖZÜMÜ - GEÇİCİ VERGİ"/>
    <s v="POS"/>
    <n v="1"/>
    <n v="1085.2"/>
    <n v="0"/>
    <n v="1085.2"/>
    <m/>
    <m/>
    <m/>
    <m/>
    <n v="1085.2"/>
    <n v="0"/>
    <n v="12860.410913510394"/>
  </r>
  <r>
    <d v="2026-05-14T00:00:00"/>
    <x v="1"/>
    <m/>
    <s v="VERGİ VE HARÇLAR"/>
    <x v="1"/>
    <m/>
    <s v="ON NUMARA POS ÇÖZÜMÜ - GEÇİCİ VERGİ"/>
    <s v="NAKİT"/>
    <n v="1"/>
    <n v="1085.2"/>
    <n v="0"/>
    <n v="0"/>
    <m/>
    <m/>
    <m/>
    <m/>
    <n v="0"/>
    <n v="1085.2"/>
    <n v="11775.210913510393"/>
  </r>
  <r>
    <d v="2026-05-15T00:00:00"/>
    <x v="10"/>
    <m/>
    <m/>
    <x v="5"/>
    <m/>
    <s v="POS ÇÖZÜMÜ"/>
    <s v="POS"/>
    <n v="1"/>
    <n v="984.8"/>
    <n v="0"/>
    <n v="984.8"/>
    <m/>
    <m/>
    <m/>
    <m/>
    <n v="984.8"/>
    <n v="0"/>
    <n v="12760.010913510392"/>
  </r>
  <r>
    <d v="2026-05-16T00:00:00"/>
    <x v="10"/>
    <m/>
    <m/>
    <x v="5"/>
    <m/>
    <s v="POS ÇÖZÜMÜ"/>
    <s v="POS"/>
    <n v="1"/>
    <n v="1406"/>
    <n v="0"/>
    <n v="1406"/>
    <m/>
    <m/>
    <m/>
    <m/>
    <n v="1406"/>
    <n v="0"/>
    <n v="14166.010913510392"/>
  </r>
  <r>
    <d v="2026-05-17T00:00:00"/>
    <x v="10"/>
    <m/>
    <m/>
    <x v="5"/>
    <m/>
    <s v="POS ÇÖZÜMÜ"/>
    <s v="POS"/>
    <n v="1"/>
    <n v="972"/>
    <n v="0"/>
    <n v="972"/>
    <m/>
    <m/>
    <m/>
    <m/>
    <n v="972"/>
    <n v="0"/>
    <n v="15138.010913510392"/>
  </r>
  <r>
    <d v="2026-05-18T00:00:00"/>
    <x v="10"/>
    <m/>
    <m/>
    <x v="5"/>
    <m/>
    <s v="POS ÇÖZÜMÜ"/>
    <s v="POS"/>
    <n v="1"/>
    <n v="1514"/>
    <n v="0"/>
    <n v="1514"/>
    <m/>
    <m/>
    <m/>
    <m/>
    <n v="1514"/>
    <n v="0"/>
    <n v="16652.010913510392"/>
  </r>
  <r>
    <d v="2026-05-19T00:00:00"/>
    <x v="10"/>
    <m/>
    <m/>
    <x v="5"/>
    <m/>
    <s v="POS ÇÖZÜMÜ"/>
    <s v="POS"/>
    <n v="1"/>
    <n v="500"/>
    <n v="0"/>
    <n v="500"/>
    <m/>
    <m/>
    <m/>
    <m/>
    <n v="500"/>
    <n v="0"/>
    <n v="17152.010913510392"/>
  </r>
  <r>
    <d v="2026-05-19T00:00:00"/>
    <x v="4"/>
    <s v="TOZ BİBER - TATLI"/>
    <m/>
    <x v="1"/>
    <s v="ST00000002304"/>
    <s v="SATIŞ"/>
    <s v="NAKİT"/>
    <n v="0.1125"/>
    <n v="400"/>
    <n v="0"/>
    <n v="0"/>
    <m/>
    <m/>
    <m/>
    <m/>
    <n v="45"/>
    <n v="0"/>
    <n v="17197.010913510392"/>
  </r>
  <r>
    <d v="2026-05-19T00:00:00"/>
    <x v="4"/>
    <s v="KIRMIZI PUL BİBER TATLI"/>
    <m/>
    <x v="1"/>
    <s v="ST00000002304"/>
    <s v="SATIŞ"/>
    <s v="NAKİT"/>
    <n v="0.125"/>
    <n v="360"/>
    <n v="0"/>
    <n v="0"/>
    <m/>
    <m/>
    <m/>
    <m/>
    <n v="45"/>
    <n v="0"/>
    <n v="17242.010913510392"/>
  </r>
  <r>
    <d v="2026-05-19T00:00:00"/>
    <x v="4"/>
    <s v="ZERDEÇAL TOZ"/>
    <m/>
    <x v="1"/>
    <s v="ST00000002305"/>
    <s v="SATIŞ"/>
    <s v="NAKİT"/>
    <n v="0.16666666666666666"/>
    <n v="300"/>
    <n v="0"/>
    <n v="0"/>
    <m/>
    <m/>
    <m/>
    <m/>
    <n v="50"/>
    <n v="0"/>
    <n v="17292.010913510392"/>
  </r>
  <r>
    <d v="2026-05-19T00:00:00"/>
    <x v="4"/>
    <s v="HİBİSKUS"/>
    <m/>
    <x v="1"/>
    <s v="ST00000002306"/>
    <s v="SATIŞ"/>
    <s v="NAKİT"/>
    <n v="0.1"/>
    <n v="600"/>
    <n v="0"/>
    <n v="0"/>
    <m/>
    <m/>
    <m/>
    <m/>
    <n v="60"/>
    <n v="0"/>
    <n v="17352.010913510392"/>
  </r>
  <r>
    <d v="2026-05-19T00:00:00"/>
    <x v="4"/>
    <s v="DOLMALIK KURU PATLICAN"/>
    <m/>
    <x v="1"/>
    <s v="ST00000002307"/>
    <s v="SATIŞ"/>
    <s v="POS"/>
    <n v="1"/>
    <n v="250"/>
    <n v="250"/>
    <n v="0"/>
    <m/>
    <m/>
    <m/>
    <m/>
    <n v="0"/>
    <n v="0"/>
    <n v="17352.010913510392"/>
  </r>
  <r>
    <d v="2026-05-19T00:00:00"/>
    <x v="4"/>
    <s v="DOLMALIK SARI BİBER"/>
    <m/>
    <x v="1"/>
    <s v="ST00000002307"/>
    <s v="SATIŞ"/>
    <s v="POS"/>
    <n v="1"/>
    <n v="250"/>
    <n v="250"/>
    <n v="0"/>
    <m/>
    <m/>
    <m/>
    <m/>
    <n v="0"/>
    <n v="0"/>
    <n v="17352.010913510392"/>
  </r>
  <r>
    <d v="2026-05-19T00:00:00"/>
    <x v="4"/>
    <s v="ÇUBUK TARÇIN"/>
    <m/>
    <x v="1"/>
    <s v="ST00000002307"/>
    <s v="SATIŞ"/>
    <s v="POS"/>
    <n v="0.08"/>
    <n v="750"/>
    <n v="60"/>
    <n v="0"/>
    <m/>
    <m/>
    <m/>
    <m/>
    <n v="0"/>
    <n v="0"/>
    <n v="17352.010913510392"/>
  </r>
  <r>
    <d v="2026-05-19T00:00:00"/>
    <x v="4"/>
    <s v="PİLAVLIK BULGUR"/>
    <m/>
    <x v="1"/>
    <s v="ST00000002308"/>
    <s v="SATIŞ"/>
    <s v="NAKİT"/>
    <n v="2.1538461538461537"/>
    <n v="60.5"/>
    <n v="0"/>
    <n v="0"/>
    <m/>
    <m/>
    <m/>
    <m/>
    <n v="130.30769230769229"/>
    <n v="0"/>
    <n v="17482.318605818084"/>
  </r>
  <r>
    <d v="2026-05-19T00:00:00"/>
    <x v="4"/>
    <s v="TOZ BİBER - TATLI"/>
    <m/>
    <x v="1"/>
    <s v="ST00000002308"/>
    <s v="SATIŞ"/>
    <s v="NAKİT"/>
    <n v="0.35249999999999998"/>
    <n v="400"/>
    <n v="0"/>
    <n v="0"/>
    <m/>
    <m/>
    <m/>
    <m/>
    <n v="141"/>
    <n v="0"/>
    <n v="17623.318605818084"/>
  </r>
  <r>
    <d v="2026-05-19T00:00:00"/>
    <x v="4"/>
    <s v="MEBRUM HURMA  NO 1"/>
    <m/>
    <x v="1"/>
    <s v="ST00000002308"/>
    <s v="SATIŞ"/>
    <s v="NAKİT"/>
    <n v="0.44363636363636366"/>
    <n v="550"/>
    <n v="0"/>
    <n v="0"/>
    <m/>
    <m/>
    <m/>
    <m/>
    <n v="244"/>
    <n v="0"/>
    <n v="17867.318605818084"/>
  </r>
  <r>
    <d v="2026-05-19T00:00:00"/>
    <x v="4"/>
    <s v="KÜÇÜK BEYAZ ÇİĞ KABAK ÇEKİRDEĞİ - NEVŞEHİR"/>
    <m/>
    <x v="1"/>
    <s v="ST00000002308"/>
    <s v="SATIŞ"/>
    <s v="NAKİT"/>
    <n v="0.3"/>
    <n v="283.33999999999997"/>
    <n v="0"/>
    <n v="0"/>
    <m/>
    <m/>
    <m/>
    <m/>
    <n v="85.001999999999995"/>
    <n v="0"/>
    <n v="17952.320605818084"/>
  </r>
  <r>
    <d v="2026-05-19T00:00:00"/>
    <x v="4"/>
    <s v="NAHİTA IŞGIN SİRKESİ"/>
    <m/>
    <x v="1"/>
    <s v="ST00000002309"/>
    <s v="SATIŞ"/>
    <s v="POS"/>
    <n v="1"/>
    <n v="200"/>
    <n v="200"/>
    <n v="0"/>
    <m/>
    <m/>
    <m/>
    <m/>
    <n v="0"/>
    <n v="0"/>
    <n v="17952.320605818084"/>
  </r>
  <r>
    <d v="2026-05-19T00:00:00"/>
    <x v="4"/>
    <s v="KARANFİL"/>
    <m/>
    <x v="1"/>
    <s v="ST00000002309"/>
    <s v="SATIŞ"/>
    <s v="POS"/>
    <n v="0.05"/>
    <n v="1200"/>
    <n v="60"/>
    <n v="0"/>
    <m/>
    <m/>
    <m/>
    <m/>
    <n v="0"/>
    <n v="0"/>
    <n v="17952.320605818084"/>
  </r>
  <r>
    <d v="2026-05-19T00:00:00"/>
    <x v="4"/>
    <s v="ZEYTİN YAPRAĞI"/>
    <m/>
    <x v="1"/>
    <s v="ST00000002309"/>
    <s v="SATIŞ"/>
    <s v="POS"/>
    <n v="8.3333333333333329E-2"/>
    <n v="240"/>
    <n v="20"/>
    <n v="0"/>
    <m/>
    <m/>
    <m/>
    <m/>
    <n v="0"/>
    <n v="0"/>
    <n v="17952.320605818084"/>
  </r>
  <r>
    <d v="2026-05-19T00:00:00"/>
    <x v="4"/>
    <s v="LAHANA TURŞUSU 5 KG"/>
    <m/>
    <x v="1"/>
    <s v="ST00000002309"/>
    <s v="SATIŞ"/>
    <s v="POS"/>
    <n v="1"/>
    <n v="270"/>
    <n v="270"/>
    <n v="0"/>
    <m/>
    <m/>
    <m/>
    <m/>
    <n v="0"/>
    <n v="0"/>
    <n v="17952.320605818084"/>
  </r>
  <r>
    <d v="2026-05-19T00:00:00"/>
    <x v="4"/>
    <s v="TATBUL İNCE PİLAVLIK BULGUR"/>
    <m/>
    <x v="1"/>
    <s v="ST00000002310"/>
    <s v="SATIŞ"/>
    <s v="NAKİT"/>
    <n v="2"/>
    <n v="65"/>
    <n v="0"/>
    <n v="0"/>
    <m/>
    <m/>
    <m/>
    <m/>
    <n v="130"/>
    <n v="0"/>
    <n v="18082.320605818084"/>
  </r>
  <r>
    <d v="2026-05-13T00:00:00"/>
    <x v="3"/>
    <s v="KÜÇÜK BEYAZ KABAK ÇEKİRDEĞİ - NEVŞEHİR"/>
    <m/>
    <x v="1"/>
    <m/>
    <s v="TEDARİK - SEYYAR"/>
    <s v="NAKİT"/>
    <n v="10"/>
    <n v="133.33000000000001"/>
    <n v="0"/>
    <n v="0"/>
    <m/>
    <m/>
    <m/>
    <m/>
    <n v="0"/>
    <n v="1333.3000000000002"/>
    <n v="16749.020605818085"/>
  </r>
  <r>
    <d v="2026-05-13T00:00:00"/>
    <x v="3"/>
    <s v="KÜÇÜK BEYAZ ÇİĞ KABAK ÇEKİRDEĞİ - NEVŞEHİR"/>
    <m/>
    <x v="1"/>
    <m/>
    <s v="TEDARİK - SEYYAR"/>
    <s v="NAKİT"/>
    <n v="5"/>
    <n v="133.34"/>
    <n v="0"/>
    <n v="0"/>
    <m/>
    <m/>
    <m/>
    <m/>
    <n v="0"/>
    <n v="666.7"/>
    <n v="16082.320605818084"/>
  </r>
  <r>
    <d v="2026-05-20T00:00:00"/>
    <x v="4"/>
    <s v="YENİBAHAR TOZ"/>
    <m/>
    <x v="1"/>
    <s v="ST00000002311"/>
    <s v="SATIŞ"/>
    <s v="NAKİT"/>
    <n v="3.4000000000000002E-2"/>
    <n v="600"/>
    <n v="0"/>
    <n v="0"/>
    <m/>
    <m/>
    <m/>
    <m/>
    <n v="20.400000000000002"/>
    <n v="0"/>
    <n v="16102.720605818084"/>
  </r>
  <r>
    <d v="2026-05-20T00:00:00"/>
    <x v="4"/>
    <s v="AÇLIK OTU"/>
    <m/>
    <x v="1"/>
    <s v="ST00000002313"/>
    <s v="SATIŞ"/>
    <s v="POS"/>
    <n v="0.11990407673860912"/>
    <n v="417"/>
    <n v="50"/>
    <n v="0"/>
    <m/>
    <m/>
    <m/>
    <m/>
    <n v="0"/>
    <n v="0"/>
    <n v="16102.720605818084"/>
  </r>
  <r>
    <d v="2026-05-20T00:00:00"/>
    <x v="4"/>
    <s v="AÇIK KAYISI İRİ (SARI)"/>
    <m/>
    <x v="1"/>
    <s v="ST00000002313"/>
    <s v="SATIŞ"/>
    <s v="POS"/>
    <n v="0.17076923076923076"/>
    <n v="650"/>
    <n v="110.99999999999999"/>
    <n v="0"/>
    <m/>
    <m/>
    <m/>
    <m/>
    <n v="0"/>
    <n v="0"/>
    <n v="16102.720605818084"/>
  </r>
  <r>
    <d v="2026-05-20T00:00:00"/>
    <x v="4"/>
    <s v="DERME GÜN KURUSU KAYISI JUMBO"/>
    <m/>
    <x v="1"/>
    <s v="ST00000002313"/>
    <s v="SATIŞ"/>
    <s v="POS"/>
    <n v="0.11066666666666666"/>
    <n v="750"/>
    <n v="83"/>
    <n v="0"/>
    <m/>
    <m/>
    <m/>
    <m/>
    <n v="0"/>
    <n v="0"/>
    <n v="16102.720605818084"/>
  </r>
  <r>
    <d v="2026-05-20T00:00:00"/>
    <x v="4"/>
    <s v="KAJU 240 LIK EKSTRA"/>
    <m/>
    <x v="1"/>
    <s v="ST00000002313"/>
    <s v="SATIŞ"/>
    <s v="POS"/>
    <n v="0.15384615384615385"/>
    <n v="650"/>
    <n v="100"/>
    <n v="0"/>
    <m/>
    <m/>
    <m/>
    <m/>
    <n v="0"/>
    <n v="0"/>
    <n v="16102.720605818084"/>
  </r>
  <r>
    <d v="2026-05-20T00:00:00"/>
    <x v="4"/>
    <s v="SOSLU MISIR YERLİ"/>
    <m/>
    <x v="1"/>
    <s v="ST00000002314"/>
    <s v="SATIŞ"/>
    <s v="NAKİT"/>
    <n v="0.22727272727272727"/>
    <n v="220"/>
    <n v="0"/>
    <n v="0"/>
    <m/>
    <m/>
    <m/>
    <m/>
    <n v="50"/>
    <n v="0"/>
    <n v="16152.720605818084"/>
  </r>
  <r>
    <d v="2026-05-20T00:00:00"/>
    <x v="4"/>
    <s v="LEBLEBİ ŞEKER RENKLİ"/>
    <m/>
    <x v="1"/>
    <s v="ST00000002314"/>
    <s v="SATIŞ"/>
    <s v="NAKİT"/>
    <n v="0.32608695652173914"/>
    <n v="250"/>
    <n v="0"/>
    <n v="0"/>
    <m/>
    <m/>
    <m/>
    <m/>
    <n v="81.521739130434781"/>
    <n v="0"/>
    <n v="16234.242344948518"/>
  </r>
  <r>
    <d v="2026-05-20T00:00:00"/>
    <x v="4"/>
    <s v="LEBLEBİ ŞEKER LÜX"/>
    <m/>
    <x v="1"/>
    <s v="ST00000002314"/>
    <s v="SATIŞ"/>
    <s v="NAKİT"/>
    <n v="0.21739130434782608"/>
    <n v="230"/>
    <n v="0"/>
    <n v="0"/>
    <m/>
    <m/>
    <m/>
    <m/>
    <n v="50"/>
    <n v="0"/>
    <n v="16284.242344948518"/>
  </r>
  <r>
    <d v="2026-05-20T00:00:00"/>
    <x v="4"/>
    <s v="KEKİK LÜX"/>
    <m/>
    <x v="1"/>
    <s v="ST00000002314"/>
    <s v="SATIŞ"/>
    <s v="NAKİT"/>
    <n v="0.11764705882352941"/>
    <n v="850"/>
    <n v="0"/>
    <n v="0"/>
    <m/>
    <m/>
    <m/>
    <m/>
    <n v="100"/>
    <n v="0"/>
    <n v="16384.242344948518"/>
  </r>
  <r>
    <d v="2026-05-20T00:00:00"/>
    <x v="4"/>
    <s v="KINA RGS DÖKME"/>
    <m/>
    <x v="1"/>
    <s v="ST00000002315"/>
    <s v="SATIŞ"/>
    <s v="NAKİT"/>
    <n v="0.25"/>
    <n v="400"/>
    <n v="0"/>
    <n v="0"/>
    <m/>
    <m/>
    <m/>
    <m/>
    <n v="100"/>
    <n v="0"/>
    <n v="16484.242344948518"/>
  </r>
  <r>
    <d v="2026-05-20T00:00:00"/>
    <x v="4"/>
    <s v="KARABİBER ÇEKİLMİŞ"/>
    <m/>
    <x v="1"/>
    <s v="ST00000002315"/>
    <s v="SATIŞ"/>
    <s v="NAKİT"/>
    <n v="8.9230769230769225E-2"/>
    <n v="650"/>
    <n v="0"/>
    <n v="0"/>
    <m/>
    <m/>
    <m/>
    <m/>
    <n v="57.999999999999993"/>
    <n v="0"/>
    <n v="16542.242344948518"/>
  </r>
  <r>
    <d v="2026-05-20T00:00:00"/>
    <x v="4"/>
    <s v="EVLİK BİBER"/>
    <m/>
    <x v="1"/>
    <s v="ST00000002315"/>
    <s v="SATIŞ"/>
    <s v="NAKİT"/>
    <n v="0.18"/>
    <n v="400"/>
    <n v="0"/>
    <n v="0"/>
    <m/>
    <m/>
    <m/>
    <m/>
    <n v="72"/>
    <n v="0"/>
    <n v="16614.242344948518"/>
  </r>
  <r>
    <d v="2026-05-20T00:00:00"/>
    <x v="4"/>
    <s v="NANE İRİ"/>
    <m/>
    <x v="1"/>
    <s v="ST00000002315"/>
    <s v="SATIŞ"/>
    <s v="NAKİT"/>
    <n v="0.1"/>
    <n v="400"/>
    <n v="0"/>
    <n v="0"/>
    <m/>
    <m/>
    <m/>
    <m/>
    <n v="40"/>
    <n v="0"/>
    <n v="16654.242344948518"/>
  </r>
  <r>
    <d v="2026-05-20T00:00:00"/>
    <x v="4"/>
    <s v="KEKİK LÜX"/>
    <m/>
    <x v="1"/>
    <s v="ST00000002315"/>
    <s v="SATIŞ"/>
    <s v="NAKİT"/>
    <n v="6.1176470588235297E-2"/>
    <n v="850"/>
    <n v="0"/>
    <n v="0"/>
    <m/>
    <m/>
    <m/>
    <m/>
    <n v="52"/>
    <n v="0"/>
    <n v="16706.242344948518"/>
  </r>
  <r>
    <d v="2026-05-20T00:00:00"/>
    <x v="4"/>
    <s v="SALÇA TATLI (EV YAPIMI)"/>
    <m/>
    <x v="1"/>
    <s v="ST00000002315"/>
    <s v="SATIŞ"/>
    <s v="NAKİT"/>
    <n v="1"/>
    <n v="200"/>
    <n v="0"/>
    <n v="0"/>
    <m/>
    <m/>
    <m/>
    <m/>
    <n v="200"/>
    <n v="0"/>
    <n v="16906.242344948518"/>
  </r>
  <r>
    <d v="2026-05-20T00:00:00"/>
    <x v="4"/>
    <s v="ZERDEÇAL TOZ"/>
    <m/>
    <x v="1"/>
    <s v="ST00000002316"/>
    <s v="SATIŞ"/>
    <s v="POS"/>
    <n v="0.12666666666666668"/>
    <n v="300"/>
    <n v="38"/>
    <n v="0"/>
    <m/>
    <m/>
    <m/>
    <m/>
    <n v="0"/>
    <n v="0"/>
    <n v="16906.242344948518"/>
  </r>
  <r>
    <d v="2026-05-20T00:00:00"/>
    <x v="4"/>
    <s v="MISIR PÜSKÜLÜ"/>
    <m/>
    <x v="1"/>
    <s v="ST00000002316"/>
    <s v="SATIŞ"/>
    <s v="POS"/>
    <n v="0.04"/>
    <n v="1250"/>
    <n v="50"/>
    <n v="0"/>
    <m/>
    <m/>
    <m/>
    <m/>
    <n v="0"/>
    <n v="0"/>
    <n v="16906.242344948518"/>
  </r>
  <r>
    <d v="2026-05-20T00:00:00"/>
    <x v="4"/>
    <s v="KİRAZ SAPI"/>
    <m/>
    <x v="1"/>
    <s v="ST00000002316"/>
    <s v="SATIŞ"/>
    <s v="POS"/>
    <n v="0.05"/>
    <n v="800"/>
    <n v="40"/>
    <n v="0"/>
    <m/>
    <m/>
    <m/>
    <m/>
    <n v="0"/>
    <n v="0"/>
    <n v="16906.242344948518"/>
  </r>
  <r>
    <d v="2026-05-20T00:00:00"/>
    <x v="4"/>
    <s v="AVAKADO YAPRAĞI"/>
    <m/>
    <x v="1"/>
    <s v="ST00000002316"/>
    <s v="SATIŞ"/>
    <s v="POS"/>
    <n v="0.04"/>
    <n v="760"/>
    <n v="30.400000000000002"/>
    <n v="0"/>
    <m/>
    <m/>
    <m/>
    <m/>
    <n v="0"/>
    <n v="0"/>
    <n v="16906.242344948518"/>
  </r>
  <r>
    <d v="2026-05-20T00:00:00"/>
    <x v="4"/>
    <s v="SOSLU MISIR YERLİ"/>
    <m/>
    <x v="1"/>
    <s v="ST00000002316"/>
    <s v="SATIŞ"/>
    <s v="POS"/>
    <n v="0.22727272727272727"/>
    <n v="220"/>
    <n v="50"/>
    <n v="0"/>
    <m/>
    <m/>
    <m/>
    <m/>
    <n v="0"/>
    <n v="0"/>
    <n v="16906.242344948518"/>
  </r>
  <r>
    <d v="2026-05-20T00:00:00"/>
    <x v="4"/>
    <s v="NANE İRİ"/>
    <m/>
    <x v="1"/>
    <s v="ST00000002317"/>
    <s v="SATIŞ - TOPTAN - KÖŞE LOKANTA"/>
    <s v="NAKİT"/>
    <n v="0.53"/>
    <n v="190"/>
    <n v="0"/>
    <n v="0"/>
    <m/>
    <m/>
    <m/>
    <m/>
    <n v="100.7"/>
    <n v="0"/>
    <n v="17006.942344948518"/>
  </r>
  <r>
    <d v="2026-05-20T00:00:00"/>
    <x v="4"/>
    <s v="BİZİM YAPRAK 1 LİK"/>
    <m/>
    <x v="1"/>
    <s v="ST00000002318"/>
    <s v="SATIŞ"/>
    <s v="POS"/>
    <n v="1"/>
    <n v="375"/>
    <n v="375"/>
    <n v="0"/>
    <m/>
    <m/>
    <m/>
    <m/>
    <n v="0"/>
    <n v="0"/>
    <n v="17006.942344948518"/>
  </r>
  <r>
    <d v="2026-05-20T00:00:00"/>
    <x v="4"/>
    <s v="LEBLEBİ ŞEKER RENKLİ"/>
    <m/>
    <x v="1"/>
    <s v="ST00000002318"/>
    <s v="SATIŞ"/>
    <s v="POS"/>
    <n v="0.32608695652173914"/>
    <n v="250"/>
    <n v="81.521739130434781"/>
    <n v="0"/>
    <m/>
    <m/>
    <m/>
    <m/>
    <n v="0"/>
    <n v="0"/>
    <n v="17006.942344948518"/>
  </r>
  <r>
    <d v="2026-05-20T00:00:00"/>
    <x v="4"/>
    <s v="DEFNE YAPRAĞI"/>
    <m/>
    <x v="1"/>
    <s v="ST00000002318"/>
    <s v="SATIŞ"/>
    <s v="POS"/>
    <n v="0.05"/>
    <n v="1400"/>
    <n v="70"/>
    <n v="0"/>
    <m/>
    <m/>
    <m/>
    <m/>
    <n v="0"/>
    <n v="0"/>
    <n v="17006.942344948518"/>
  </r>
  <r>
    <d v="2026-05-20T00:00:00"/>
    <x v="4"/>
    <s v="DOMATES KURUSU"/>
    <m/>
    <x v="1"/>
    <s v="ST00000002319"/>
    <s v="SATIŞ"/>
    <s v="NAKİT"/>
    <n v="0.25"/>
    <n v="360"/>
    <n v="0"/>
    <n v="0"/>
    <m/>
    <m/>
    <m/>
    <m/>
    <n v="90"/>
    <n v="0"/>
    <n v="17096.942344948518"/>
  </r>
  <r>
    <d v="2026-05-21T00:00:00"/>
    <x v="4"/>
    <s v="PİLAVLIK BULGUR"/>
    <m/>
    <x v="1"/>
    <s v="ST00000002320"/>
    <s v="SATIŞ"/>
    <s v="NAKİT"/>
    <n v="1.1539999999999999"/>
    <n v="65"/>
    <n v="0"/>
    <n v="0"/>
    <m/>
    <m/>
    <m/>
    <m/>
    <n v="75.009999999999991"/>
    <n v="0"/>
    <n v="17171.952344948517"/>
  </r>
  <r>
    <d v="2026-05-21T00:00:00"/>
    <x v="4"/>
    <s v="ATOM PUL BİBER ÇOK ACI"/>
    <m/>
    <x v="1"/>
    <s v="ST00000002321"/>
    <s v="SATIŞ"/>
    <s v="POS"/>
    <n v="0.5"/>
    <n v="500"/>
    <n v="250"/>
    <n v="0"/>
    <m/>
    <m/>
    <m/>
    <m/>
    <n v="0"/>
    <n v="0"/>
    <n v="17171.952344948517"/>
  </r>
  <r>
    <d v="2026-05-21T00:00:00"/>
    <x v="4"/>
    <s v="EL-RUHA ÇAY (AÇIK)"/>
    <m/>
    <x v="1"/>
    <s v="ST00000002321"/>
    <s v="SATIŞ"/>
    <s v="POS"/>
    <n v="0.25"/>
    <n v="700"/>
    <n v="175"/>
    <n v="0"/>
    <m/>
    <m/>
    <m/>
    <m/>
    <n v="0"/>
    <n v="0"/>
    <n v="17171.952344948517"/>
  </r>
  <r>
    <d v="2026-05-21T00:00:00"/>
    <x v="4"/>
    <s v="KEKİK LÜX"/>
    <m/>
    <x v="1"/>
    <s v="ST00000002322"/>
    <s v="SATIŞ"/>
    <s v="NAKİT"/>
    <n v="0.26666666666666666"/>
    <n v="750"/>
    <n v="0"/>
    <n v="0"/>
    <m/>
    <m/>
    <m/>
    <m/>
    <n v="200"/>
    <n v="0"/>
    <n v="17371.952344948517"/>
  </r>
  <r>
    <d v="2026-05-21T00:00:00"/>
    <x v="4"/>
    <s v="NANE İRİ"/>
    <m/>
    <x v="1"/>
    <s v="ST00000002323"/>
    <s v="SATIŞ"/>
    <s v="NAKİT"/>
    <n v="0.25"/>
    <n v="400"/>
    <n v="0"/>
    <n v="0"/>
    <m/>
    <m/>
    <m/>
    <m/>
    <n v="100"/>
    <n v="0"/>
    <n v="17471.952344948517"/>
  </r>
  <r>
    <d v="2026-05-21T00:00:00"/>
    <x v="4"/>
    <s v="COSMECİT KÜKÜRTLÜ SABUN 120 GR"/>
    <m/>
    <x v="1"/>
    <s v="ST00000002324"/>
    <s v="SATIŞ"/>
    <s v="NAKİT"/>
    <n v="1"/>
    <n v="125"/>
    <n v="0"/>
    <n v="0"/>
    <m/>
    <m/>
    <m/>
    <m/>
    <n v="125"/>
    <n v="0"/>
    <n v="17596.952344948517"/>
  </r>
  <r>
    <d v="2026-05-21T00:00:00"/>
    <x v="4"/>
    <s v="TALA KARINCA YUMURTASI YAĞI 20 ML"/>
    <m/>
    <x v="1"/>
    <s v="ST00000002325"/>
    <s v="SATIŞ"/>
    <s v="NAKİT"/>
    <n v="1"/>
    <n v="130"/>
    <n v="0"/>
    <n v="0"/>
    <m/>
    <m/>
    <m/>
    <m/>
    <n v="130"/>
    <n v="0"/>
    <n v="17726.952344948517"/>
  </r>
  <r>
    <d v="2026-05-21T00:00:00"/>
    <x v="4"/>
    <s v="DEFNE YAPRAĞI"/>
    <m/>
    <x v="1"/>
    <s v="ST00000002326"/>
    <s v="SATIŞ"/>
    <s v="POS"/>
    <n v="0.05"/>
    <n v="1400"/>
    <n v="70"/>
    <n v="0"/>
    <m/>
    <m/>
    <m/>
    <m/>
    <n v="0"/>
    <n v="0"/>
    <n v="17726.952344948517"/>
  </r>
  <r>
    <d v="2026-05-21T00:00:00"/>
    <x v="4"/>
    <s v="BUĞDAY NİŞASTASI"/>
    <m/>
    <x v="1"/>
    <s v="ST00000002326"/>
    <s v="SATIŞ"/>
    <s v="POS"/>
    <n v="0.5"/>
    <n v="120"/>
    <n v="60"/>
    <n v="0"/>
    <m/>
    <m/>
    <m/>
    <m/>
    <n v="0"/>
    <n v="0"/>
    <n v="17726.952344948517"/>
  </r>
  <r>
    <d v="2026-05-21T00:00:00"/>
    <x v="4"/>
    <s v="ÜZÜM SİYAH KİLİS"/>
    <m/>
    <x v="1"/>
    <s v="ST00000002326"/>
    <s v="SATIŞ"/>
    <s v="POS"/>
    <n v="0.38400000000000001"/>
    <n v="650"/>
    <n v="249.6"/>
    <n v="0"/>
    <m/>
    <m/>
    <m/>
    <m/>
    <n v="0"/>
    <n v="0"/>
    <n v="17726.952344948517"/>
  </r>
  <r>
    <d v="2026-05-21T00:00:00"/>
    <x v="4"/>
    <s v="DOMATES SALÇASI"/>
    <m/>
    <x v="1"/>
    <s v="ST00000002326"/>
    <s v="SATIŞ"/>
    <s v="POS"/>
    <n v="1"/>
    <n v="150"/>
    <n v="150"/>
    <n v="0"/>
    <m/>
    <m/>
    <m/>
    <m/>
    <n v="0"/>
    <n v="0"/>
    <n v="17726.952344948517"/>
  </r>
  <r>
    <d v="2026-05-21T00:00:00"/>
    <x v="4"/>
    <s v="SALÇA ACI (EV YAPIMI)"/>
    <m/>
    <x v="1"/>
    <s v="ST00000002326"/>
    <s v="SATIŞ"/>
    <s v="POS"/>
    <n v="1"/>
    <n v="200"/>
    <n v="200"/>
    <n v="0"/>
    <m/>
    <m/>
    <m/>
    <m/>
    <n v="0"/>
    <n v="0"/>
    <n v="17726.952344948517"/>
  </r>
  <r>
    <d v="2026-05-21T00:00:00"/>
    <x v="4"/>
    <s v="KARNIYARIK TOHUMU"/>
    <m/>
    <x v="1"/>
    <s v="ST00000002327"/>
    <s v="SATIŞ"/>
    <s v="POS"/>
    <n v="0.1"/>
    <n v="900"/>
    <n v="90"/>
    <n v="0"/>
    <m/>
    <m/>
    <m/>
    <m/>
    <n v="0"/>
    <n v="0"/>
    <n v="17726.952344948517"/>
  </r>
  <r>
    <d v="2026-05-21T00:00:00"/>
    <x v="4"/>
    <s v="KARANFİL"/>
    <m/>
    <x v="1"/>
    <s v="ST00000002328"/>
    <s v="SATIŞ"/>
    <s v="NAKİT"/>
    <n v="0.1"/>
    <n v="1200"/>
    <n v="0"/>
    <n v="0"/>
    <m/>
    <m/>
    <m/>
    <m/>
    <n v="120"/>
    <n v="0"/>
    <n v="17846.952344948517"/>
  </r>
  <r>
    <d v="2026-05-21T00:00:00"/>
    <x v="4"/>
    <s v="DOLMALIK KURU PATLICAN"/>
    <m/>
    <x v="1"/>
    <s v="ST00000002329"/>
    <s v="SATIŞ"/>
    <s v="POS"/>
    <n v="1"/>
    <n v="250"/>
    <n v="250"/>
    <n v="0"/>
    <m/>
    <m/>
    <m/>
    <m/>
    <n v="0"/>
    <n v="0"/>
    <n v="17846.952344948517"/>
  </r>
  <r>
    <d v="2026-05-21T00:00:00"/>
    <x v="4"/>
    <s v="TOZ BİBER - TATLI"/>
    <m/>
    <x v="1"/>
    <s v="ST00000002330"/>
    <s v="SATIŞ"/>
    <s v="NAKİT"/>
    <n v="0.16500000000000001"/>
    <n v="400"/>
    <n v="0"/>
    <n v="0"/>
    <m/>
    <m/>
    <m/>
    <m/>
    <n v="66"/>
    <n v="0"/>
    <n v="17912.952344948517"/>
  </r>
  <r>
    <d v="2026-05-21T00:00:00"/>
    <x v="4"/>
    <s v="MECİTEFENDİ AKTİF KARBONLU DOĞAL DİŞ MACUNU 75 ml"/>
    <m/>
    <x v="1"/>
    <s v="ST00000002330"/>
    <s v="SATIŞ"/>
    <s v="NAKİT"/>
    <n v="1"/>
    <n v="135"/>
    <n v="0"/>
    <n v="0"/>
    <m/>
    <m/>
    <m/>
    <m/>
    <n v="135"/>
    <n v="0"/>
    <n v="18047.952344948517"/>
  </r>
  <r>
    <d v="2026-05-21T00:00:00"/>
    <x v="4"/>
    <s v="TÜDAB KARIŞIK TURŞU"/>
    <m/>
    <x v="1"/>
    <s v="ST00000002330"/>
    <s v="SATIŞ"/>
    <s v="NAKİT"/>
    <n v="1"/>
    <n v="400"/>
    <n v="0"/>
    <n v="0"/>
    <m/>
    <m/>
    <m/>
    <m/>
    <n v="400"/>
    <n v="0"/>
    <n v="18447.952344948517"/>
  </r>
  <r>
    <d v="2026-05-21T00:00:00"/>
    <x v="4"/>
    <s v="HİBİSKUS"/>
    <m/>
    <x v="1"/>
    <s v="ST00000002330"/>
    <s v="SATIŞ"/>
    <s v="NAKİT"/>
    <n v="0.45"/>
    <n v="540"/>
    <n v="0"/>
    <n v="0"/>
    <m/>
    <m/>
    <m/>
    <m/>
    <n v="243"/>
    <n v="0"/>
    <n v="18690.952344948517"/>
  </r>
  <r>
    <d v="2026-05-22T00:00:00"/>
    <x v="4"/>
    <s v="KARNIYARIK TOHUMU"/>
    <m/>
    <x v="1"/>
    <s v="ST00000002331"/>
    <s v="SATIŞ"/>
    <s v="NAKİT"/>
    <n v="0.2"/>
    <n v="900"/>
    <n v="0"/>
    <n v="0"/>
    <m/>
    <m/>
    <m/>
    <m/>
    <n v="180"/>
    <n v="0"/>
    <n v="18870.952344948517"/>
  </r>
  <r>
    <d v="2026-05-22T00:00:00"/>
    <x v="4"/>
    <s v="ŞİFAVER KÜKÜRTLÜ HATAY SABUNU"/>
    <m/>
    <x v="1"/>
    <s v="ST00000002332"/>
    <s v="SATIŞ"/>
    <s v="NAKİT"/>
    <n v="1"/>
    <n v="50"/>
    <n v="0"/>
    <n v="0"/>
    <m/>
    <m/>
    <m/>
    <m/>
    <n v="50"/>
    <n v="0"/>
    <n v="18920.952344948517"/>
  </r>
  <r>
    <d v="2026-05-22T00:00:00"/>
    <x v="4"/>
    <s v="RUŞUR TAŞI"/>
    <m/>
    <x v="1"/>
    <s v="ST00000002332"/>
    <s v="SATIŞ"/>
    <s v="NAKİT"/>
    <n v="1"/>
    <n v="20"/>
    <n v="0"/>
    <n v="0"/>
    <m/>
    <m/>
    <m/>
    <m/>
    <n v="20"/>
    <n v="0"/>
    <n v="18940.952344948517"/>
  </r>
  <r>
    <d v="2026-05-22T00:00:00"/>
    <x v="4"/>
    <s v="DOMATES SALÇASI"/>
    <m/>
    <x v="1"/>
    <s v="ST00000002333"/>
    <s v="SATIŞ"/>
    <s v="NAKİT"/>
    <n v="1"/>
    <n v="150"/>
    <n v="0"/>
    <n v="0"/>
    <m/>
    <m/>
    <m/>
    <m/>
    <n v="150"/>
    <n v="0"/>
    <n v="19090.952344948517"/>
  </r>
  <r>
    <d v="2026-05-22T00:00:00"/>
    <x v="4"/>
    <s v="SALÇA TATLI (EV YAPIMI)"/>
    <m/>
    <x v="1"/>
    <s v="ST00000002333"/>
    <s v="SATIŞ"/>
    <s v="NAKİT"/>
    <n v="1"/>
    <n v="200"/>
    <n v="0"/>
    <n v="0"/>
    <m/>
    <m/>
    <m/>
    <m/>
    <n v="200"/>
    <n v="0"/>
    <n v="19290.952344948517"/>
  </r>
  <r>
    <d v="2026-05-22T00:00:00"/>
    <x v="4"/>
    <s v="NANE İRİ"/>
    <m/>
    <x v="1"/>
    <s v="ST00000002334"/>
    <s v="SATIŞ"/>
    <s v="NAKİT"/>
    <n v="3.7499999999999999E-2"/>
    <n v="400"/>
    <n v="0"/>
    <n v="0"/>
    <m/>
    <m/>
    <m/>
    <m/>
    <n v="15"/>
    <n v="0"/>
    <n v="19305.952344948517"/>
  </r>
  <r>
    <d v="2026-05-22T00:00:00"/>
    <x v="4"/>
    <s v="KARABİBER ÇEKİLMİŞ"/>
    <m/>
    <x v="1"/>
    <s v="ST00000002334"/>
    <s v="SATIŞ"/>
    <s v="NAKİT"/>
    <n v="0.15384615384615385"/>
    <n v="650"/>
    <n v="0"/>
    <n v="0"/>
    <m/>
    <m/>
    <m/>
    <m/>
    <n v="100"/>
    <n v="0"/>
    <n v="19405.952344948517"/>
  </r>
  <r>
    <d v="2026-05-22T00:00:00"/>
    <x v="4"/>
    <s v="KARAHALİLE"/>
    <m/>
    <x v="1"/>
    <s v="ST00000002335"/>
    <s v="SATIŞ"/>
    <s v="NAKİT"/>
    <n v="0.1"/>
    <n v="950"/>
    <n v="0"/>
    <n v="0"/>
    <m/>
    <m/>
    <m/>
    <m/>
    <n v="95"/>
    <n v="0"/>
    <n v="19500.952344948517"/>
  </r>
  <r>
    <d v="2026-05-22T00:00:00"/>
    <x v="4"/>
    <s v="SARIHALİLE"/>
    <m/>
    <x v="1"/>
    <s v="ST00000002335"/>
    <s v="SATIŞ"/>
    <s v="NAKİT"/>
    <n v="0.1"/>
    <n v="850"/>
    <n v="0"/>
    <n v="0"/>
    <m/>
    <m/>
    <m/>
    <m/>
    <n v="85"/>
    <n v="0"/>
    <n v="19585.952344948517"/>
  </r>
  <r>
    <d v="2026-05-22T00:00:00"/>
    <x v="4"/>
    <s v="SEFAVİ HURMA"/>
    <m/>
    <x v="1"/>
    <s v="ST00000002336"/>
    <s v="SATIŞ"/>
    <s v="POS"/>
    <n v="0.5"/>
    <n v="370"/>
    <n v="185"/>
    <n v="0"/>
    <m/>
    <m/>
    <m/>
    <m/>
    <n v="0"/>
    <n v="0"/>
    <n v="19585.952344948517"/>
  </r>
  <r>
    <d v="2026-05-22T00:00:00"/>
    <x v="4"/>
    <s v="SALÇA TATLI (EV YAPIMI)"/>
    <m/>
    <x v="1"/>
    <s v="ST00000002337"/>
    <s v="SATIŞ"/>
    <s v="POS"/>
    <n v="0.5"/>
    <n v="200"/>
    <n v="100"/>
    <n v="0"/>
    <m/>
    <m/>
    <m/>
    <m/>
    <n v="0"/>
    <n v="0"/>
    <n v="19585.952344948517"/>
  </r>
  <r>
    <d v="2026-05-22T00:00:00"/>
    <x v="4"/>
    <s v="DOMATES SALÇASI"/>
    <m/>
    <x v="1"/>
    <s v="ST00000002337"/>
    <s v="SATIŞ"/>
    <s v="POS"/>
    <n v="1"/>
    <n v="150"/>
    <n v="150"/>
    <n v="0"/>
    <m/>
    <m/>
    <m/>
    <m/>
    <n v="0"/>
    <n v="0"/>
    <n v="19585.952344948517"/>
  </r>
  <r>
    <d v="2026-05-22T00:00:00"/>
    <x v="4"/>
    <s v="KARABİBER ÇEKİLMİŞ"/>
    <m/>
    <x v="1"/>
    <s v="ST00000002338"/>
    <s v="SATIŞ"/>
    <s v="NAKİT"/>
    <n v="0.19384615384615383"/>
    <n v="600"/>
    <n v="0"/>
    <n v="0"/>
    <m/>
    <m/>
    <m/>
    <m/>
    <n v="116.30769230769231"/>
    <n v="0"/>
    <n v="19702.260037256208"/>
  </r>
  <r>
    <d v="2026-05-22T00:00:00"/>
    <x v="4"/>
    <s v="TOZ BİBER - ACI"/>
    <m/>
    <x v="1"/>
    <s v="ST00000002338"/>
    <s v="SATIŞ"/>
    <s v="NAKİT"/>
    <n v="0.19"/>
    <n v="375"/>
    <n v="0"/>
    <n v="0"/>
    <m/>
    <m/>
    <m/>
    <m/>
    <n v="71.25"/>
    <n v="0"/>
    <n v="19773.510037256208"/>
  </r>
  <r>
    <d v="2026-05-22T00:00:00"/>
    <x v="4"/>
    <s v="TOZ BİBER - TATLI"/>
    <m/>
    <x v="1"/>
    <s v="ST00000002338"/>
    <s v="SATIŞ"/>
    <s v="NAKİT"/>
    <n v="0.22750000000000001"/>
    <n v="375"/>
    <n v="0"/>
    <n v="0"/>
    <m/>
    <m/>
    <m/>
    <m/>
    <n v="85.3125"/>
    <n v="0"/>
    <n v="19858.822537256208"/>
  </r>
  <r>
    <d v="2026-05-22T00:00:00"/>
    <x v="4"/>
    <s v="EVLİK BİBER"/>
    <m/>
    <x v="1"/>
    <s v="ST00000002338"/>
    <s v="SATIŞ"/>
    <s v="NAKİT"/>
    <n v="0.31"/>
    <n v="375"/>
    <n v="0"/>
    <n v="0"/>
    <m/>
    <m/>
    <m/>
    <m/>
    <n v="116.25"/>
    <n v="0"/>
    <n v="19975.072537256208"/>
  </r>
  <r>
    <d v="2026-05-22T00:00:00"/>
    <x v="4"/>
    <s v="HASEVLİK"/>
    <m/>
    <x v="1"/>
    <s v="ST00000002338"/>
    <s v="SATIŞ"/>
    <s v="NAKİT"/>
    <n v="0.27111111111111114"/>
    <n v="410"/>
    <n v="0"/>
    <n v="0"/>
    <m/>
    <m/>
    <m/>
    <m/>
    <n v="111.15555555555557"/>
    <n v="0"/>
    <n v="20086.228092811765"/>
  </r>
  <r>
    <d v="2026-05-22T00:00:00"/>
    <x v="4"/>
    <s v="EL-RUHA ÇAY 800 GR"/>
    <m/>
    <x v="1"/>
    <s v="ST00000002338"/>
    <s v="SATIŞ"/>
    <s v="NAKİT"/>
    <n v="1"/>
    <n v="550"/>
    <n v="0"/>
    <n v="0"/>
    <m/>
    <m/>
    <m/>
    <m/>
    <n v="550"/>
    <n v="0"/>
    <n v="20636.228092811765"/>
  </r>
  <r>
    <d v="2026-05-22T00:00:00"/>
    <x v="4"/>
    <s v="BUĞDAY NİŞASTASI"/>
    <m/>
    <x v="1"/>
    <s v="ST00000002339"/>
    <s v="SATIŞ"/>
    <s v="POS"/>
    <n v="0.5"/>
    <n v="100"/>
    <n v="50"/>
    <n v="0"/>
    <m/>
    <m/>
    <m/>
    <m/>
    <n v="0"/>
    <n v="0"/>
    <n v="20636.228092811765"/>
  </r>
  <r>
    <d v="2026-05-22T00:00:00"/>
    <x v="4"/>
    <s v="DOLMALIK KURU PATLICAN"/>
    <m/>
    <x v="1"/>
    <s v="ST00000002340"/>
    <s v="SATIŞ"/>
    <s v="POS"/>
    <n v="2"/>
    <n v="250"/>
    <n v="500"/>
    <n v="0"/>
    <m/>
    <m/>
    <m/>
    <m/>
    <n v="0"/>
    <n v="0"/>
    <n v="20636.228092811765"/>
  </r>
  <r>
    <d v="2026-05-23T00:00:00"/>
    <x v="4"/>
    <s v="KIRMIZI PUL BİBER TATLI"/>
    <m/>
    <x v="1"/>
    <s v="ST00000002341"/>
    <s v="SATIŞ"/>
    <s v="NAKİT"/>
    <n v="0.20833333333333334"/>
    <n v="360"/>
    <n v="0"/>
    <n v="0"/>
    <m/>
    <m/>
    <m/>
    <m/>
    <n v="75"/>
    <n v="0"/>
    <n v="20711.228092811765"/>
  </r>
  <r>
    <d v="2026-05-23T00:00:00"/>
    <x v="4"/>
    <s v="FİTOZEN İNGİLİZ KARBONATI 200 GR"/>
    <m/>
    <x v="1"/>
    <s v="ST00000002342"/>
    <s v="SATIŞ"/>
    <s v="NAKİT"/>
    <n v="1"/>
    <n v="80"/>
    <n v="0"/>
    <n v="0"/>
    <m/>
    <m/>
    <m/>
    <m/>
    <n v="80"/>
    <n v="0"/>
    <n v="20791.228092811765"/>
  </r>
  <r>
    <d v="2026-05-23T00:00:00"/>
    <x v="4"/>
    <s v="CİVAN PERÇEMİ"/>
    <m/>
    <x v="1"/>
    <s v="ST00000002343"/>
    <s v="SATIŞ"/>
    <s v="NAKİT"/>
    <n v="0.05"/>
    <n v="1000"/>
    <n v="0"/>
    <n v="0"/>
    <m/>
    <m/>
    <m/>
    <m/>
    <n v="50"/>
    <n v="0"/>
    <n v="20841.228092811765"/>
  </r>
  <r>
    <d v="2026-05-23T00:00:00"/>
    <x v="4"/>
    <s v="SUMAK"/>
    <m/>
    <x v="1"/>
    <s v="ST00000002343"/>
    <s v="SATIŞ"/>
    <s v="NAKİT"/>
    <n v="0.15"/>
    <n v="500"/>
    <n v="0"/>
    <n v="0"/>
    <m/>
    <m/>
    <m/>
    <m/>
    <n v="75"/>
    <n v="0"/>
    <n v="20916.228092811765"/>
  </r>
  <r>
    <d v="2026-05-23T00:00:00"/>
    <x v="4"/>
    <s v="KEKİK LÜX"/>
    <m/>
    <x v="1"/>
    <s v="ST00000002343"/>
    <s v="SATIŞ"/>
    <s v="NAKİT"/>
    <n v="3.411764705882353E-2"/>
    <n v="850"/>
    <n v="0"/>
    <n v="0"/>
    <m/>
    <m/>
    <m/>
    <m/>
    <n v="29"/>
    <n v="0"/>
    <n v="20945.228092811765"/>
  </r>
  <r>
    <d v="2026-05-23T00:00:00"/>
    <x v="4"/>
    <s v="ZERDEÇAL TOZ"/>
    <m/>
    <x v="1"/>
    <s v="ST00000002343"/>
    <s v="SATIŞ"/>
    <s v="NAKİT"/>
    <n v="0.16"/>
    <n v="300"/>
    <n v="0"/>
    <n v="0"/>
    <m/>
    <m/>
    <m/>
    <m/>
    <n v="48"/>
    <n v="0"/>
    <n v="20993.228092811765"/>
  </r>
  <r>
    <d v="2026-05-23T00:00:00"/>
    <x v="4"/>
    <s v="KİMYON ÇEKİLMİŞ"/>
    <m/>
    <x v="1"/>
    <s v="ST00000002344"/>
    <s v="SATIŞ"/>
    <s v="NAKİT"/>
    <n v="9.4E-2"/>
    <n v="400"/>
    <n v="0"/>
    <n v="0"/>
    <m/>
    <m/>
    <m/>
    <m/>
    <n v="37.6"/>
    <n v="0"/>
    <n v="21030.828092811764"/>
  </r>
  <r>
    <d v="2026-05-23T00:00:00"/>
    <x v="4"/>
    <s v="BADEM ÇİĞ "/>
    <m/>
    <x v="1"/>
    <s v="ST00000002344"/>
    <s v="SATIŞ"/>
    <s v="NAKİT"/>
    <n v="0.23076923076923078"/>
    <n v="650"/>
    <n v="0"/>
    <n v="0"/>
    <m/>
    <m/>
    <m/>
    <m/>
    <n v="150"/>
    <n v="0"/>
    <n v="21180.828092811764"/>
  </r>
  <r>
    <d v="2026-05-23T00:00:00"/>
    <x v="4"/>
    <s v="KÜÇÜK BEYAZ KABAK ÇEKİRDEĞİ - NEVŞEHİR"/>
    <m/>
    <x v="1"/>
    <s v="ST00000002344"/>
    <s v="SATIŞ"/>
    <s v="NAKİT"/>
    <n v="0.34"/>
    <n v="250"/>
    <n v="0"/>
    <n v="0"/>
    <m/>
    <m/>
    <m/>
    <m/>
    <n v="85"/>
    <n v="0"/>
    <n v="21265.828092811764"/>
  </r>
  <r>
    <d v="2026-05-23T00:00:00"/>
    <x v="4"/>
    <s v="HİNDİSTAN CEVİZİ ( İRİ )"/>
    <m/>
    <x v="1"/>
    <s v="ST00000002345"/>
    <s v="SATIŞ"/>
    <s v="POS"/>
    <n v="0.13"/>
    <n v="580"/>
    <n v="75.400000000000006"/>
    <n v="0"/>
    <m/>
    <m/>
    <m/>
    <m/>
    <n v="0"/>
    <n v="0"/>
    <n v="21265.828092811764"/>
  </r>
  <r>
    <d v="2026-05-23T00:00:00"/>
    <x v="4"/>
    <s v="İPEK BİBER"/>
    <m/>
    <x v="1"/>
    <s v="ST00000002345"/>
    <s v="SATIŞ"/>
    <s v="POS"/>
    <n v="0.4"/>
    <n v="500"/>
    <n v="200"/>
    <n v="0"/>
    <m/>
    <m/>
    <m/>
    <m/>
    <n v="0"/>
    <n v="0"/>
    <n v="21265.828092811764"/>
  </r>
  <r>
    <d v="2026-05-23T00:00:00"/>
    <x v="4"/>
    <s v="KAJU 240 LIK EKSTRA"/>
    <m/>
    <x v="1"/>
    <s v="ST00000002345"/>
    <s v="SATIŞ"/>
    <s v="POS"/>
    <n v="0.30769230769230771"/>
    <n v="650"/>
    <n v="200"/>
    <n v="0"/>
    <m/>
    <m/>
    <m/>
    <m/>
    <n v="0"/>
    <n v="0"/>
    <n v="21265.828092811764"/>
  </r>
  <r>
    <d v="2026-05-23T00:00:00"/>
    <x v="4"/>
    <s v="BADEM ÇİĞ "/>
    <m/>
    <x v="1"/>
    <s v="ST00000002345"/>
    <s v="SATIŞ"/>
    <s v="POS"/>
    <n v="0.23076923076923078"/>
    <n v="650"/>
    <n v="150"/>
    <n v="0"/>
    <m/>
    <m/>
    <m/>
    <m/>
    <n v="0"/>
    <n v="0"/>
    <n v="21265.828092811764"/>
  </r>
  <r>
    <d v="2026-05-23T00:00:00"/>
    <x v="4"/>
    <s v="FINDIK BULACAK (13-15)"/>
    <m/>
    <x v="1"/>
    <s v="ST00000002345"/>
    <s v="SATIŞ"/>
    <s v="POS"/>
    <n v="0.25"/>
    <n v="1200"/>
    <n v="300"/>
    <n v="0"/>
    <m/>
    <m/>
    <m/>
    <m/>
    <n v="0"/>
    <n v="0"/>
    <n v="21265.828092811764"/>
  </r>
  <r>
    <d v="2026-05-23T00:00:00"/>
    <x v="4"/>
    <s v="ÇÖREKOTU"/>
    <m/>
    <x v="1"/>
    <s v="ST00000002345"/>
    <s v="SATIŞ"/>
    <s v="POS"/>
    <n v="0.1"/>
    <n v="400"/>
    <n v="40"/>
    <n v="0"/>
    <m/>
    <m/>
    <m/>
    <m/>
    <n v="0"/>
    <n v="0"/>
    <n v="21265.828092811764"/>
  </r>
  <r>
    <d v="2026-05-23T00:00:00"/>
    <x v="4"/>
    <s v="EL-RUHA ÇAY (AÇIK)"/>
    <m/>
    <x v="1"/>
    <s v="ST00000002345"/>
    <s v="SATIŞ"/>
    <s v="POS"/>
    <n v="0.25"/>
    <n v="700"/>
    <n v="175"/>
    <n v="0"/>
    <m/>
    <m/>
    <m/>
    <m/>
    <n v="0"/>
    <n v="0"/>
    <n v="21265.828092811764"/>
  </r>
  <r>
    <d v="2026-05-23T00:00:00"/>
    <x v="4"/>
    <s v="EL-RUHA ÇAY (AÇIK)"/>
    <m/>
    <x v="1"/>
    <s v="ST00000002346"/>
    <s v="SATIŞ"/>
    <s v="POS"/>
    <n v="2"/>
    <n v="675"/>
    <n v="1350"/>
    <n v="0"/>
    <m/>
    <m/>
    <m/>
    <m/>
    <n v="0"/>
    <n v="0"/>
    <n v="21265.828092811764"/>
  </r>
  <r>
    <d v="2026-05-23T00:00:00"/>
    <x v="4"/>
    <s v="MİGREN TAŞI (MENTHO BOX)"/>
    <m/>
    <x v="1"/>
    <s v="ST00000002347"/>
    <s v="SATIŞ"/>
    <s v="NAKİT"/>
    <n v="1"/>
    <n v="130"/>
    <n v="0"/>
    <n v="0"/>
    <m/>
    <m/>
    <m/>
    <m/>
    <n v="130"/>
    <n v="0"/>
    <n v="21395.828092811764"/>
  </r>
  <r>
    <d v="2026-05-23T00:00:00"/>
    <x v="4"/>
    <s v="GENÇAY NAR EKŞİSİ 330 GR"/>
    <m/>
    <x v="1"/>
    <s v="ST00000002347"/>
    <s v="SATIŞ"/>
    <s v="NAKİT"/>
    <n v="1"/>
    <n v="180"/>
    <n v="0"/>
    <n v="0"/>
    <m/>
    <m/>
    <m/>
    <m/>
    <n v="180"/>
    <n v="0"/>
    <n v="21575.828092811764"/>
  </r>
  <r>
    <d v="2026-05-23T00:00:00"/>
    <x v="4"/>
    <s v="HİBİSKUS"/>
    <m/>
    <x v="1"/>
    <s v="ST00000002347"/>
    <s v="SATIŞ"/>
    <s v="NAKİT"/>
    <n v="0.1"/>
    <n v="600"/>
    <n v="0"/>
    <n v="0"/>
    <m/>
    <m/>
    <m/>
    <m/>
    <n v="60"/>
    <n v="0"/>
    <n v="21635.828092811764"/>
  </r>
  <r>
    <d v="2026-05-23T00:00:00"/>
    <x v="4"/>
    <s v="ZERDEÇAL TOZ"/>
    <m/>
    <x v="1"/>
    <s v="ST00000002347"/>
    <s v="SATIŞ"/>
    <s v="NAKİT"/>
    <n v="0.1"/>
    <n v="300"/>
    <n v="0"/>
    <n v="0"/>
    <m/>
    <m/>
    <m/>
    <m/>
    <n v="30"/>
    <n v="0"/>
    <n v="21665.828092811764"/>
  </r>
  <r>
    <d v="2026-05-23T00:00:00"/>
    <x v="4"/>
    <s v="IHLAMUR YAPRAK"/>
    <m/>
    <x v="1"/>
    <s v="ST00000002348"/>
    <s v="SATIŞ"/>
    <s v="POS"/>
    <n v="0.05"/>
    <n v="2600"/>
    <n v="130"/>
    <n v="0"/>
    <m/>
    <m/>
    <m/>
    <m/>
    <n v="0"/>
    <n v="0"/>
    <n v="21665.828092811764"/>
  </r>
  <r>
    <d v="2026-05-23T00:00:00"/>
    <x v="4"/>
    <s v="SUMAK"/>
    <m/>
    <x v="1"/>
    <s v="ST00000002349"/>
    <s v="SATIŞ"/>
    <s v="NAKİT"/>
    <n v="5.8000000000000003E-2"/>
    <n v="500"/>
    <n v="0"/>
    <n v="0"/>
    <m/>
    <m/>
    <m/>
    <m/>
    <n v="29"/>
    <n v="0"/>
    <n v="21694.828092811764"/>
  </r>
  <r>
    <d v="2026-05-23T00:00:00"/>
    <x v="4"/>
    <s v="KARABİBER ÇEKİLMİŞ"/>
    <m/>
    <x v="1"/>
    <s v="ST00000002349"/>
    <s v="SATIŞ"/>
    <s v="NAKİT"/>
    <n v="6.4000000000000001E-2"/>
    <n v="630"/>
    <n v="0"/>
    <n v="0"/>
    <m/>
    <m/>
    <m/>
    <m/>
    <n v="40.32"/>
    <n v="0"/>
    <n v="21735.148092811763"/>
  </r>
  <r>
    <d v="2026-05-23T00:00:00"/>
    <x v="4"/>
    <s v="KİMYON ÇEKİLMİŞ"/>
    <m/>
    <x v="1"/>
    <s v="ST00000002349"/>
    <s v="SATIŞ"/>
    <s v="NAKİT"/>
    <n v="5.2000000000000005E-2"/>
    <n v="400"/>
    <n v="0"/>
    <n v="0"/>
    <m/>
    <m/>
    <m/>
    <m/>
    <n v="20.8"/>
    <n v="0"/>
    <n v="21755.948092811763"/>
  </r>
  <r>
    <d v="2026-05-23T00:00:00"/>
    <x v="4"/>
    <s v="DOMATES SALÇASI"/>
    <m/>
    <x v="1"/>
    <s v="ST00000002349"/>
    <s v="SATIŞ"/>
    <s v="NAKİT"/>
    <n v="2"/>
    <n v="150"/>
    <n v="0"/>
    <n v="0"/>
    <m/>
    <m/>
    <m/>
    <m/>
    <n v="300"/>
    <n v="0"/>
    <n v="22055.948092811763"/>
  </r>
  <r>
    <d v="2026-05-23T00:00:00"/>
    <x v="4"/>
    <s v="AÇIK KAYISI İRİ (SARI)"/>
    <m/>
    <x v="1"/>
    <s v="ST00000002349"/>
    <s v="SATIŞ"/>
    <s v="NAKİT"/>
    <n v="0.15384615384615385"/>
    <n v="650"/>
    <n v="0"/>
    <n v="0"/>
    <m/>
    <m/>
    <m/>
    <m/>
    <n v="100"/>
    <n v="0"/>
    <n v="22155.948092811763"/>
  </r>
  <r>
    <d v="2026-05-23T00:00:00"/>
    <x v="4"/>
    <s v="MECİTEFENDİ DEFNE ŞAMPUANI 400 ML"/>
    <m/>
    <x v="1"/>
    <s v="ST00000002350"/>
    <s v="SATIŞ"/>
    <s v="NAKİT"/>
    <n v="1"/>
    <n v="220"/>
    <n v="0"/>
    <n v="0"/>
    <m/>
    <m/>
    <m/>
    <m/>
    <n v="220"/>
    <n v="0"/>
    <n v="22375.948092811763"/>
  </r>
  <r>
    <d v="2026-05-23T00:00:00"/>
    <x v="4"/>
    <s v="ÇUBUK TARÇIN"/>
    <m/>
    <x v="1"/>
    <s v="ST00000002351"/>
    <s v="SATIŞ"/>
    <s v="POS"/>
    <n v="0.1"/>
    <n v="600"/>
    <n v="60"/>
    <n v="0"/>
    <m/>
    <m/>
    <m/>
    <m/>
    <n v="0"/>
    <n v="0"/>
    <n v="22375.948092811763"/>
  </r>
  <r>
    <d v="2026-05-23T00:00:00"/>
    <x v="4"/>
    <s v="KARABİBER ÇEKİLMİŞ"/>
    <m/>
    <x v="1"/>
    <s v="ST00000002351"/>
    <s v="SATIŞ"/>
    <s v="POS"/>
    <n v="5.2307692307692305E-2"/>
    <n v="650"/>
    <n v="34"/>
    <n v="0"/>
    <m/>
    <m/>
    <m/>
    <m/>
    <n v="0"/>
    <n v="0"/>
    <n v="22375.948092811763"/>
  </r>
  <r>
    <d v="2026-05-25T00:00:00"/>
    <x v="4"/>
    <s v="LOBAS SAF NAR EKŞİSİ 1 KG"/>
    <m/>
    <x v="1"/>
    <s v="ST00000002352"/>
    <s v="SATIŞ"/>
    <s v="POS"/>
    <n v="1"/>
    <n v="320"/>
    <n v="320"/>
    <n v="0"/>
    <m/>
    <m/>
    <m/>
    <m/>
    <n v="0"/>
    <n v="0"/>
    <n v="22375.948092811763"/>
  </r>
  <r>
    <d v="2026-05-25T00:00:00"/>
    <x v="4"/>
    <s v="KÜÇÜK BEYAZ KABAK ÇEKİRDEĞİ - NEVŞEHİR"/>
    <m/>
    <x v="1"/>
    <s v="ST00000002352"/>
    <s v="SATIŞ"/>
    <s v="POS"/>
    <n v="0.34"/>
    <n v="235.5"/>
    <n v="80.070000000000007"/>
    <n v="0"/>
    <m/>
    <m/>
    <m/>
    <m/>
    <n v="0"/>
    <n v="0"/>
    <n v="22375.948092811763"/>
  </r>
  <r>
    <d v="2026-05-25T00:00:00"/>
    <x v="4"/>
    <s v="BİZİM YAPRAK 1 LİK"/>
    <m/>
    <x v="1"/>
    <s v="ST00000002353"/>
    <s v="SATIŞ"/>
    <s v="POS"/>
    <n v="1"/>
    <n v="375"/>
    <n v="375"/>
    <n v="0"/>
    <m/>
    <m/>
    <m/>
    <m/>
    <n v="0"/>
    <n v="0"/>
    <n v="22375.948092811763"/>
  </r>
  <r>
    <d v="2026-05-25T00:00:00"/>
    <x v="4"/>
    <s v="KİMYON ÇEKİLMİŞ"/>
    <m/>
    <x v="1"/>
    <s v="ST00000002354"/>
    <s v="SATIŞ"/>
    <s v="NAKİT"/>
    <n v="0.125"/>
    <n v="400"/>
    <n v="0"/>
    <n v="0"/>
    <m/>
    <m/>
    <m/>
    <m/>
    <n v="50"/>
    <n v="0"/>
    <n v="22425.948092811763"/>
  </r>
  <r>
    <d v="2026-05-25T00:00:00"/>
    <x v="4"/>
    <s v="DOMATES SALÇASI"/>
    <m/>
    <x v="1"/>
    <s v="ST00000002355"/>
    <s v="SATIŞ"/>
    <s v="POS"/>
    <n v="1"/>
    <n v="150"/>
    <n v="150"/>
    <n v="0"/>
    <m/>
    <m/>
    <m/>
    <m/>
    <n v="0"/>
    <n v="0"/>
    <n v="22425.948092811763"/>
  </r>
  <r>
    <d v="2026-05-25T00:00:00"/>
    <x v="4"/>
    <s v="CEVİZ KELEBEK (ŞİLİ)"/>
    <m/>
    <x v="1"/>
    <s v="ST00000002356"/>
    <s v="SATIŞ"/>
    <s v="POS"/>
    <n v="0.2"/>
    <n v="750"/>
    <n v="150"/>
    <n v="0"/>
    <m/>
    <m/>
    <m/>
    <m/>
    <n v="0"/>
    <n v="0"/>
    <n v="22425.948092811763"/>
  </r>
  <r>
    <d v="2026-05-25T00:00:00"/>
    <x v="4"/>
    <s v="BADEM ÇİĞ "/>
    <m/>
    <x v="1"/>
    <s v="ST00000002356"/>
    <s v="SATIŞ"/>
    <s v="POS"/>
    <n v="0.23200000000000001"/>
    <n v="650"/>
    <n v="150.80000000000001"/>
    <n v="0"/>
    <m/>
    <m/>
    <m/>
    <m/>
    <n v="0"/>
    <n v="0"/>
    <n v="22425.948092811763"/>
  </r>
  <r>
    <d v="2026-05-25T00:00:00"/>
    <x v="4"/>
    <s v="GENÇAY ALIÇ SİRKESİ 500 CC"/>
    <m/>
    <x v="1"/>
    <s v="ST00000002356"/>
    <s v="SATIŞ"/>
    <s v="POS"/>
    <n v="1"/>
    <n v="140"/>
    <n v="140"/>
    <n v="0"/>
    <m/>
    <m/>
    <m/>
    <m/>
    <n v="0"/>
    <n v="0"/>
    <n v="22425.948092811763"/>
  </r>
  <r>
    <d v="2026-05-25T00:00:00"/>
    <x v="4"/>
    <s v="KINA RGS DÖKME"/>
    <m/>
    <x v="1"/>
    <s v="ST00000002357"/>
    <s v="SATIŞ"/>
    <s v="NAKİT"/>
    <n v="0.25"/>
    <n v="400"/>
    <n v="0"/>
    <n v="0"/>
    <m/>
    <m/>
    <m/>
    <m/>
    <n v="100"/>
    <n v="0"/>
    <n v="22525.948092811763"/>
  </r>
  <r>
    <d v="2026-05-25T00:00:00"/>
    <x v="4"/>
    <s v="ÇAM FISTIĞI (DOLMALIK YER FISTIĞI)"/>
    <m/>
    <x v="1"/>
    <s v="ST00000002358"/>
    <s v="SATIŞ"/>
    <s v="NAKİT"/>
    <n v="0.1"/>
    <n v="250"/>
    <n v="0"/>
    <n v="0"/>
    <m/>
    <m/>
    <m/>
    <m/>
    <n v="25"/>
    <n v="0"/>
    <n v="22550.948092811763"/>
  </r>
  <r>
    <d v="2026-05-25T00:00:00"/>
    <x v="4"/>
    <s v="KARABİBER ÇEKİLMİŞ"/>
    <m/>
    <x v="1"/>
    <s v="ST00000002359"/>
    <s v="SATIŞ"/>
    <s v="NAKİT"/>
    <n v="0.11"/>
    <n v="650"/>
    <n v="0"/>
    <n v="0"/>
    <m/>
    <m/>
    <m/>
    <m/>
    <n v="71.5"/>
    <n v="0"/>
    <n v="22622.448092811763"/>
  </r>
  <r>
    <d v="2026-05-25T00:00:00"/>
    <x v="4"/>
    <s v="NANE İRİ"/>
    <m/>
    <x v="1"/>
    <s v="ST00000002359"/>
    <s v="SATIŞ"/>
    <s v="NAKİT"/>
    <n v="6.4000000000000001E-2"/>
    <n v="400"/>
    <n v="0"/>
    <n v="0"/>
    <m/>
    <m/>
    <m/>
    <m/>
    <n v="25.6"/>
    <n v="0"/>
    <n v="22648.048092811761"/>
  </r>
  <r>
    <d v="2026-05-25T00:00:00"/>
    <x v="4"/>
    <s v="TOZ BİBER - TATLI"/>
    <m/>
    <x v="1"/>
    <s v="ST00000002359"/>
    <s v="SATIŞ"/>
    <s v="NAKİT"/>
    <n v="0.13400000000000001"/>
    <n v="400"/>
    <n v="0"/>
    <n v="0"/>
    <m/>
    <m/>
    <m/>
    <m/>
    <n v="53.6"/>
    <n v="0"/>
    <n v="22701.64809281176"/>
  </r>
  <r>
    <d v="2026-05-25T00:00:00"/>
    <x v="4"/>
    <s v="GENÇAY NAR EKŞİSİ 330 GR"/>
    <m/>
    <x v="1"/>
    <s v="ST00000002359"/>
    <s v="SATIŞ"/>
    <s v="NAKİT"/>
    <n v="1"/>
    <n v="180"/>
    <n v="0"/>
    <n v="0"/>
    <m/>
    <m/>
    <m/>
    <m/>
    <n v="180"/>
    <n v="0"/>
    <n v="22881.64809281176"/>
  </r>
  <r>
    <d v="2026-05-25T00:00:00"/>
    <x v="4"/>
    <s v="EL-RUHA ÇAY (AÇIK)"/>
    <m/>
    <x v="1"/>
    <s v="ST00000002359"/>
    <s v="SATIŞ"/>
    <s v="NAKİT"/>
    <n v="0.25"/>
    <n v="700"/>
    <n v="0"/>
    <n v="0"/>
    <m/>
    <m/>
    <m/>
    <m/>
    <n v="175"/>
    <n v="0"/>
    <n v="23056.64809281176"/>
  </r>
  <r>
    <d v="2026-05-25T00:00:00"/>
    <x v="4"/>
    <s v="BUĞDAY NİŞASTASI"/>
    <m/>
    <x v="1"/>
    <s v="ST00000002359"/>
    <s v="SATIŞ"/>
    <s v="NAKİT"/>
    <n v="0.5"/>
    <n v="120"/>
    <n v="0"/>
    <n v="0"/>
    <m/>
    <m/>
    <m/>
    <m/>
    <n v="60"/>
    <n v="0"/>
    <n v="23116.64809281176"/>
  </r>
  <r>
    <d v="2026-05-25T00:00:00"/>
    <x v="4"/>
    <s v="LAHANA TURŞUSU 5 KG"/>
    <m/>
    <x v="1"/>
    <s v="ST00000002359"/>
    <s v="SATIŞ"/>
    <s v="NAKİT"/>
    <n v="1"/>
    <n v="250"/>
    <n v="0"/>
    <n v="0"/>
    <m/>
    <m/>
    <m/>
    <m/>
    <n v="250"/>
    <n v="0"/>
    <n v="23366.64809281176"/>
  </r>
  <r>
    <d v="2026-05-25T00:00:00"/>
    <x v="4"/>
    <s v="DOLMALIK KURU PATLICAN"/>
    <m/>
    <x v="1"/>
    <s v="ST00000002360"/>
    <s v="SATIŞ"/>
    <s v="POS"/>
    <n v="1"/>
    <n v="250"/>
    <n v="250"/>
    <n v="0"/>
    <m/>
    <m/>
    <m/>
    <m/>
    <n v="0"/>
    <n v="0"/>
    <n v="23366.64809281176"/>
  </r>
  <r>
    <d v="2026-05-25T00:00:00"/>
    <x v="4"/>
    <s v="DOLMALIK SARI BİBER"/>
    <m/>
    <x v="1"/>
    <s v="ST00000002360"/>
    <s v="SATIŞ"/>
    <s v="POS"/>
    <n v="1"/>
    <n v="250"/>
    <n v="250"/>
    <n v="0"/>
    <m/>
    <m/>
    <m/>
    <m/>
    <n v="0"/>
    <n v="0"/>
    <n v="23366.64809281176"/>
  </r>
  <r>
    <d v="2026-05-25T00:00:00"/>
    <x v="4"/>
    <s v="BİZİM YAPRAK 1 LİK"/>
    <m/>
    <x v="1"/>
    <s v="ST00000002360"/>
    <s v="SATIŞ"/>
    <s v="POS"/>
    <n v="1"/>
    <n v="375"/>
    <n v="375"/>
    <n v="0"/>
    <m/>
    <m/>
    <m/>
    <m/>
    <n v="0"/>
    <n v="0"/>
    <n v="23366.64809281176"/>
  </r>
  <r>
    <d v="2026-05-25T00:00:00"/>
    <x v="4"/>
    <s v="HİBİSKUS"/>
    <m/>
    <x v="1"/>
    <s v="ST00000002360"/>
    <s v="SATIŞ"/>
    <s v="POS"/>
    <n v="0.1"/>
    <n v="600"/>
    <n v="60"/>
    <n v="0"/>
    <m/>
    <m/>
    <m/>
    <m/>
    <n v="0"/>
    <n v="0"/>
    <n v="23366.64809281176"/>
  </r>
  <r>
    <d v="2026-05-25T00:00:00"/>
    <x v="4"/>
    <s v="SUMAK ÖZEL"/>
    <m/>
    <x v="11"/>
    <s v="ST00000002361"/>
    <s v="SATIŞ"/>
    <s v="CARİ"/>
    <n v="1"/>
    <n v="300"/>
    <n v="300"/>
    <n v="0"/>
    <m/>
    <m/>
    <m/>
    <m/>
    <n v="0"/>
    <n v="0"/>
    <n v="23366.64809281176"/>
  </r>
  <r>
    <d v="2026-05-25T00:00:00"/>
    <x v="4"/>
    <s v="ÇÖREKOTU"/>
    <m/>
    <x v="11"/>
    <s v="ST00000002361"/>
    <s v="SATIŞ"/>
    <s v="CARİ"/>
    <n v="1"/>
    <n v="230"/>
    <n v="230"/>
    <n v="0"/>
    <m/>
    <m/>
    <m/>
    <m/>
    <n v="0"/>
    <n v="0"/>
    <n v="23366.64809281176"/>
  </r>
  <r>
    <d v="2026-05-25T00:00:00"/>
    <x v="11"/>
    <m/>
    <m/>
    <x v="13"/>
    <m/>
    <s v="MÜMİNE ÇELİKEL - GÜLO KUVEYT GELEN"/>
    <s v="NAKİT"/>
    <n v="1"/>
    <n v="6000"/>
    <n v="0"/>
    <n v="6000"/>
    <m/>
    <m/>
    <m/>
    <m/>
    <n v="0"/>
    <n v="0"/>
    <n v="23366.64809281176"/>
  </r>
  <r>
    <d v="2026-05-26T00:00:00"/>
    <x v="4"/>
    <s v="AŞURELİK BUĞDAY İZMİR"/>
    <m/>
    <x v="1"/>
    <s v="ST00000002362"/>
    <s v="SATIŞ - MMT"/>
    <s v="NAKİT"/>
    <n v="1"/>
    <n v="30"/>
    <n v="0"/>
    <n v="0"/>
    <m/>
    <m/>
    <m/>
    <m/>
    <n v="30"/>
    <n v="0"/>
    <n v="23396.64809281176"/>
  </r>
  <r>
    <d v="2026-05-26T00:00:00"/>
    <x v="4"/>
    <s v="BOZ ANTEP FISTIK ÖĞÜTÜLMÜŞ"/>
    <m/>
    <x v="1"/>
    <s v="ST00000002363"/>
    <s v="SATIŞ"/>
    <s v="POS"/>
    <n v="7.1724137931034479E-2"/>
    <n v="2900"/>
    <n v="208"/>
    <n v="0"/>
    <m/>
    <m/>
    <m/>
    <m/>
    <n v="0"/>
    <n v="0"/>
    <n v="23396.64809281176"/>
  </r>
  <r>
    <d v="2026-05-26T00:00:00"/>
    <x v="4"/>
    <s v="SUSAM"/>
    <m/>
    <x v="1"/>
    <s v="ST00000002363"/>
    <s v="SATIŞ"/>
    <s v="POS"/>
    <n v="0.1"/>
    <n v="400"/>
    <n v="40"/>
    <n v="0"/>
    <m/>
    <m/>
    <m/>
    <m/>
    <n v="0"/>
    <n v="0"/>
    <n v="23396.64809281176"/>
  </r>
  <r>
    <d v="2026-05-26T00:00:00"/>
    <x v="4"/>
    <s v="LİMONTUZU PARCA"/>
    <m/>
    <x v="1"/>
    <s v="ST00000002363"/>
    <s v="SATIŞ"/>
    <s v="POS"/>
    <n v="0.27777777777777779"/>
    <n v="180"/>
    <n v="50"/>
    <n v="0"/>
    <m/>
    <m/>
    <m/>
    <m/>
    <n v="0"/>
    <n v="0"/>
    <n v="23396.64809281176"/>
  </r>
  <r>
    <d v="2026-05-26T00:00:00"/>
    <x v="4"/>
    <s v="KARANFİL"/>
    <m/>
    <x v="1"/>
    <s v="ST00000002363"/>
    <s v="SATIŞ"/>
    <s v="POS"/>
    <n v="0.05"/>
    <n v="1200"/>
    <n v="60"/>
    <n v="0"/>
    <m/>
    <m/>
    <m/>
    <m/>
    <n v="0"/>
    <n v="0"/>
    <n v="23396.64809281176"/>
  </r>
  <r>
    <d v="2026-05-26T00:00:00"/>
    <x v="4"/>
    <s v="ÇÖREKOTU"/>
    <m/>
    <x v="1"/>
    <s v="ST00000002363"/>
    <s v="SATIŞ"/>
    <s v="POS"/>
    <n v="0.1"/>
    <n v="400"/>
    <n v="40"/>
    <n v="0"/>
    <m/>
    <m/>
    <m/>
    <m/>
    <n v="0"/>
    <n v="0"/>
    <n v="23396.64809281176"/>
  </r>
  <r>
    <d v="2026-05-26T00:00:00"/>
    <x v="4"/>
    <s v="DOLMALIK KURU PATLICAN"/>
    <m/>
    <x v="1"/>
    <s v="ST00000002364"/>
    <s v="SATIŞ"/>
    <s v="POS"/>
    <n v="1"/>
    <n v="250"/>
    <n v="250"/>
    <n v="0"/>
    <m/>
    <m/>
    <m/>
    <m/>
    <n v="0"/>
    <n v="0"/>
    <n v="23396.64809281176"/>
  </r>
  <r>
    <d v="2026-05-26T00:00:00"/>
    <x v="4"/>
    <s v="DOLMALIK SARI BİBER"/>
    <m/>
    <x v="1"/>
    <s v="ST00000002364"/>
    <s v="SATIŞ"/>
    <s v="POS"/>
    <n v="1"/>
    <n v="250"/>
    <n v="250"/>
    <n v="0"/>
    <m/>
    <m/>
    <m/>
    <m/>
    <n v="0"/>
    <n v="0"/>
    <n v="23396.64809281176"/>
  </r>
  <r>
    <d v="2026-05-26T00:00:00"/>
    <x v="4"/>
    <s v="MANİSA YAPRAK DÖKME"/>
    <m/>
    <x v="1"/>
    <s v="ST00000002364"/>
    <s v="SATIŞ"/>
    <s v="POS"/>
    <n v="1"/>
    <n v="175"/>
    <n v="175"/>
    <n v="0"/>
    <m/>
    <m/>
    <m/>
    <m/>
    <n v="0"/>
    <n v="0"/>
    <n v="23396.64809281176"/>
  </r>
  <r>
    <d v="2026-05-26T00:00:00"/>
    <x v="4"/>
    <s v="MİNDİVAN ATOM ÇAYI"/>
    <m/>
    <x v="1"/>
    <s v="ST00000002365"/>
    <s v="SATIŞ"/>
    <s v="NAKİT"/>
    <n v="1"/>
    <n v="100"/>
    <n v="0"/>
    <n v="0"/>
    <m/>
    <m/>
    <m/>
    <m/>
    <n v="100"/>
    <n v="0"/>
    <n v="23496.64809281176"/>
  </r>
  <r>
    <d v="2026-05-26T00:00:00"/>
    <x v="4"/>
    <s v="DOLMALIK KURU PATLICAN"/>
    <m/>
    <x v="11"/>
    <s v="ST00000002366"/>
    <s v="SATIŞ"/>
    <s v="CARİ"/>
    <n v="2"/>
    <n v="210"/>
    <n v="420"/>
    <n v="0"/>
    <m/>
    <m/>
    <m/>
    <m/>
    <n v="0"/>
    <n v="0"/>
    <n v="23496.64809281176"/>
  </r>
  <r>
    <d v="2026-05-26T00:00:00"/>
    <x v="4"/>
    <s v="DOLMALIK SARI BİBER"/>
    <m/>
    <x v="11"/>
    <s v="ST00000002366"/>
    <s v="SATIŞ"/>
    <s v="CARİ"/>
    <n v="1"/>
    <n v="200"/>
    <n v="200"/>
    <n v="0"/>
    <m/>
    <m/>
    <m/>
    <m/>
    <n v="0"/>
    <n v="0"/>
    <n v="23496.64809281176"/>
  </r>
  <r>
    <d v="2026-05-26T00:00:00"/>
    <x v="4"/>
    <s v="EVLİK BİBER"/>
    <m/>
    <x v="11"/>
    <s v="ST00000002366"/>
    <s v="SATIŞ"/>
    <s v="CARİ"/>
    <n v="1"/>
    <n v="250"/>
    <n v="250"/>
    <n v="0"/>
    <m/>
    <m/>
    <m/>
    <m/>
    <n v="0"/>
    <n v="0"/>
    <n v="23496.64809281176"/>
  </r>
  <r>
    <d v="2026-05-26T00:00:00"/>
    <x v="4"/>
    <s v="İPEK BİBER"/>
    <m/>
    <x v="1"/>
    <s v="ST00000002367"/>
    <s v="SATIŞ"/>
    <s v="NAKİT"/>
    <n v="0.2"/>
    <n v="500"/>
    <n v="0"/>
    <n v="0"/>
    <m/>
    <m/>
    <m/>
    <m/>
    <n v="100"/>
    <n v="0"/>
    <n v="23596.64809281176"/>
  </r>
  <r>
    <d v="2026-05-26T00:00:00"/>
    <x v="4"/>
    <s v="EL-RUHA ÇAY (AÇIK)"/>
    <m/>
    <x v="1"/>
    <s v="ST00000002367"/>
    <s v="SATIŞ"/>
    <s v="NAKİT"/>
    <n v="0.14285714285714285"/>
    <n v="700"/>
    <n v="0"/>
    <n v="0"/>
    <m/>
    <m/>
    <m/>
    <m/>
    <n v="100"/>
    <n v="0"/>
    <n v="23696.64809281176"/>
  </r>
  <r>
    <d v="2026-05-26T00:00:00"/>
    <x v="4"/>
    <s v="UYUZ İLACI"/>
    <m/>
    <x v="1"/>
    <s v="ST00000002368"/>
    <s v="SATIŞ"/>
    <s v="POS"/>
    <n v="1"/>
    <n v="350"/>
    <n v="350"/>
    <n v="0"/>
    <m/>
    <m/>
    <m/>
    <m/>
    <n v="0"/>
    <n v="0"/>
    <n v="23696.64809281176"/>
  </r>
  <r>
    <d v="2026-05-26T00:00:00"/>
    <x v="4"/>
    <s v="SOSLU MISIR YERLİ"/>
    <m/>
    <x v="1"/>
    <s v="ST00000002368"/>
    <s v="SATIŞ"/>
    <s v="POS"/>
    <n v="0.22727272727272727"/>
    <n v="220"/>
    <n v="50"/>
    <n v="0"/>
    <m/>
    <m/>
    <m/>
    <m/>
    <n v="0"/>
    <n v="0"/>
    <n v="23696.64809281176"/>
  </r>
  <r>
    <d v="2026-05-26T00:00:00"/>
    <x v="4"/>
    <s v="KARABİBER ÇEKİLMİŞ"/>
    <m/>
    <x v="1"/>
    <s v="ST00000002368"/>
    <s v="SATIŞ"/>
    <s v="POS"/>
    <n v="0.16"/>
    <n v="625"/>
    <n v="100"/>
    <n v="0"/>
    <m/>
    <m/>
    <m/>
    <m/>
    <n v="0"/>
    <n v="0"/>
    <n v="23696.64809281176"/>
  </r>
  <r>
    <d v="2026-05-26T00:00:00"/>
    <x v="4"/>
    <s v="HAM KABAK LİFİ İŞLENMEMİŞ"/>
    <m/>
    <x v="1"/>
    <s v="ST00000002369"/>
    <s v="SATIŞ"/>
    <s v="NAKİT"/>
    <n v="1"/>
    <n v="180"/>
    <n v="0"/>
    <n v="0"/>
    <m/>
    <m/>
    <m/>
    <m/>
    <n v="180"/>
    <n v="0"/>
    <n v="23876.64809281176"/>
  </r>
  <r>
    <d v="2026-05-26T00:00:00"/>
    <x v="4"/>
    <s v="SALÇA ACI (EV YAPIMI)"/>
    <m/>
    <x v="1"/>
    <s v="ST00000002369"/>
    <s v="SATIŞ"/>
    <s v="NAKİT"/>
    <n v="1"/>
    <n v="200"/>
    <n v="0"/>
    <n v="0"/>
    <m/>
    <m/>
    <m/>
    <m/>
    <n v="200"/>
    <n v="0"/>
    <n v="24076.64809281176"/>
  </r>
  <r>
    <d v="2026-05-26T00:00:00"/>
    <x v="4"/>
    <s v="BUĞDAY NİŞASTASI"/>
    <m/>
    <x v="1"/>
    <s v="ST00000002369"/>
    <s v="SATIŞ"/>
    <s v="NAKİT"/>
    <n v="0.5"/>
    <n v="120"/>
    <n v="0"/>
    <n v="0"/>
    <m/>
    <m/>
    <m/>
    <m/>
    <n v="60"/>
    <n v="0"/>
    <n v="24136.64809281176"/>
  </r>
  <r>
    <d v="2026-05-26T00:00:00"/>
    <x v="4"/>
    <s v="YENİBAHAR TOZ"/>
    <m/>
    <x v="1"/>
    <s v="ST00000002370"/>
    <s v="SATIŞ"/>
    <s v="NAKİT"/>
    <n v="0.12987012987012986"/>
    <n v="770"/>
    <n v="0"/>
    <n v="0"/>
    <m/>
    <m/>
    <m/>
    <m/>
    <n v="99.999999999999986"/>
    <n v="0"/>
    <n v="24236.64809281176"/>
  </r>
  <r>
    <d v="2026-05-26T00:00:00"/>
    <x v="4"/>
    <s v="EVLİK BİBER"/>
    <m/>
    <x v="1"/>
    <s v="ST00000002371"/>
    <s v="SATIŞ"/>
    <s v="POS"/>
    <n v="0.17"/>
    <n v="400"/>
    <n v="68"/>
    <n v="0"/>
    <m/>
    <m/>
    <m/>
    <m/>
    <n v="0"/>
    <n v="0"/>
    <n v="24236.64809281176"/>
  </r>
  <r>
    <d v="2026-05-26T00:00:00"/>
    <x v="4"/>
    <s v="DOLMALIK SARI BİBER"/>
    <m/>
    <x v="1"/>
    <s v="ST00000002371"/>
    <s v="SATIŞ"/>
    <s v="POS"/>
    <n v="1"/>
    <n v="250"/>
    <n v="250"/>
    <n v="0"/>
    <m/>
    <m/>
    <m/>
    <m/>
    <n v="0"/>
    <n v="0"/>
    <n v="24236.64809281176"/>
  </r>
  <r>
    <d v="2026-05-26T00:00:00"/>
    <x v="4"/>
    <s v="DOLMALIK KURU PATLICAN"/>
    <m/>
    <x v="1"/>
    <s v="ST00000002372"/>
    <s v="SATIŞ"/>
    <s v="NAKİT"/>
    <n v="1"/>
    <n v="250"/>
    <n v="0"/>
    <n v="0"/>
    <m/>
    <m/>
    <m/>
    <m/>
    <n v="250"/>
    <n v="0"/>
    <n v="24486.64809281176"/>
  </r>
  <r>
    <d v="2026-05-26T00:00:00"/>
    <x v="4"/>
    <s v="AÇLIK OTU"/>
    <m/>
    <x v="1"/>
    <s v="ST00000002373"/>
    <s v="SATIŞ"/>
    <s v="NAKİT"/>
    <n v="0.24"/>
    <n v="417"/>
    <n v="0"/>
    <n v="0"/>
    <m/>
    <m/>
    <m/>
    <m/>
    <n v="100.08"/>
    <n v="0"/>
    <n v="24586.728092811762"/>
  </r>
  <r>
    <d v="2026-05-26T00:00:00"/>
    <x v="4"/>
    <s v="DOLMALIK KURU PATLICAN"/>
    <m/>
    <x v="1"/>
    <s v="ST00000002374"/>
    <s v="SATIŞ"/>
    <s v="POS"/>
    <n v="0.5"/>
    <n v="250"/>
    <n v="125"/>
    <n v="0"/>
    <m/>
    <m/>
    <m/>
    <m/>
    <n v="0"/>
    <n v="0"/>
    <n v="24586.728092811762"/>
  </r>
  <r>
    <d v="2026-05-26T00:00:00"/>
    <x v="4"/>
    <s v="DOLMALIK SARI BİBER"/>
    <m/>
    <x v="1"/>
    <s v="ST00000002374"/>
    <s v="SATIŞ"/>
    <s v="POS"/>
    <n v="0.5"/>
    <n v="250"/>
    <n v="125"/>
    <n v="0"/>
    <m/>
    <m/>
    <m/>
    <m/>
    <n v="0"/>
    <n v="0"/>
    <n v="24586.728092811762"/>
  </r>
  <r>
    <d v="2026-05-26T00:00:00"/>
    <x v="11"/>
    <m/>
    <m/>
    <x v="11"/>
    <m/>
    <s v="HANİFE DİVLEK - CARİ TAHSİLAT - GÜLO KUVEYT"/>
    <s v="NAKİT"/>
    <n v="1"/>
    <n v="1402.14"/>
    <n v="0"/>
    <n v="1402.14"/>
    <m/>
    <m/>
    <m/>
    <m/>
    <n v="0"/>
    <n v="0"/>
    <n v="24586.728092811762"/>
  </r>
  <r>
    <d v="2026-05-29T00:00:00"/>
    <x v="4"/>
    <s v="TOMBUL KESE 500 GR ACI"/>
    <m/>
    <x v="1"/>
    <s v="ST00000002375"/>
    <s v="SATIŞ"/>
    <s v="NAKİT"/>
    <n v="1"/>
    <n v="200"/>
    <n v="0"/>
    <n v="0"/>
    <m/>
    <m/>
    <m/>
    <m/>
    <n v="200"/>
    <n v="0"/>
    <n v="24786.728092811762"/>
  </r>
  <r>
    <d v="2026-05-29T00:00:00"/>
    <x v="4"/>
    <s v="DOLMALIK KURU PATLICAN"/>
    <m/>
    <x v="1"/>
    <s v="ST00000002376"/>
    <s v="SATIŞ"/>
    <s v="NAKİT"/>
    <n v="1"/>
    <n v="250"/>
    <n v="0"/>
    <n v="0"/>
    <m/>
    <m/>
    <m/>
    <m/>
    <n v="250"/>
    <n v="0"/>
    <n v="25036.728092811762"/>
  </r>
  <r>
    <d v="2026-05-29T00:00:00"/>
    <x v="4"/>
    <s v="DOLMALIK SARI BİBER"/>
    <m/>
    <x v="1"/>
    <s v="ST00000002376"/>
    <s v="SATIŞ"/>
    <s v="NAKİT"/>
    <n v="1"/>
    <n v="250"/>
    <n v="0"/>
    <n v="0"/>
    <m/>
    <m/>
    <m/>
    <m/>
    <n v="250"/>
    <n v="0"/>
    <n v="25286.728092811762"/>
  </r>
  <r>
    <d v="2026-05-29T00:00:00"/>
    <x v="4"/>
    <s v="SALÇA ACI (EV YAPIMI)"/>
    <m/>
    <x v="1"/>
    <s v="ST00000002377"/>
    <s v="SATIŞ"/>
    <s v="NAKİT"/>
    <n v="1"/>
    <n v="200"/>
    <n v="0"/>
    <n v="0"/>
    <m/>
    <m/>
    <m/>
    <m/>
    <n v="200"/>
    <n v="0"/>
    <n v="25486.728092811762"/>
  </r>
  <r>
    <d v="2026-05-29T00:00:00"/>
    <x v="4"/>
    <s v="DOMATES SALÇASI"/>
    <m/>
    <x v="1"/>
    <s v="ST00000002377"/>
    <s v="SATIŞ"/>
    <s v="NAKİT"/>
    <n v="1"/>
    <n v="150"/>
    <n v="0"/>
    <n v="0"/>
    <m/>
    <m/>
    <m/>
    <m/>
    <n v="150"/>
    <n v="0"/>
    <n v="25636.728092811762"/>
  </r>
  <r>
    <d v="2026-05-29T00:00:00"/>
    <x v="4"/>
    <s v="KÖFTELİK BULGUR"/>
    <m/>
    <x v="1"/>
    <s v="ST00000002377"/>
    <s v="SATIŞ"/>
    <s v="NAKİT"/>
    <n v="0.92307692307692313"/>
    <n v="65"/>
    <n v="0"/>
    <n v="0"/>
    <m/>
    <m/>
    <m/>
    <m/>
    <n v="60"/>
    <n v="0"/>
    <n v="25696.728092811762"/>
  </r>
  <r>
    <d v="2026-05-29T00:00:00"/>
    <x v="4"/>
    <s v="LİMONTUZU PARCA"/>
    <m/>
    <x v="1"/>
    <s v="ST00000002377"/>
    <s v="SATIŞ"/>
    <s v="NAKİT"/>
    <n v="0.27777777777777779"/>
    <n v="180"/>
    <n v="0"/>
    <n v="0"/>
    <m/>
    <m/>
    <m/>
    <m/>
    <n v="50"/>
    <n v="0"/>
    <n v="25746.728092811762"/>
  </r>
  <r>
    <d v="2026-05-29T00:00:00"/>
    <x v="4"/>
    <s v="GÜNAYDIN KAYA TUZU İNCE"/>
    <m/>
    <x v="1"/>
    <s v="ST00000002377"/>
    <s v="SATIŞ"/>
    <s v="NAKİT"/>
    <n v="0.5"/>
    <n v="90"/>
    <n v="0"/>
    <n v="0"/>
    <m/>
    <m/>
    <m/>
    <m/>
    <n v="45"/>
    <n v="0"/>
    <n v="25791.728092811762"/>
  </r>
  <r>
    <d v="2026-05-29T00:00:00"/>
    <x v="4"/>
    <s v="HİMALAYA TUZU PEMBE GRANÜL"/>
    <m/>
    <x v="1"/>
    <s v="ST00000002377"/>
    <s v="SATIŞ"/>
    <s v="NAKİT"/>
    <n v="0.5"/>
    <n v="140"/>
    <n v="0"/>
    <n v="0"/>
    <m/>
    <m/>
    <m/>
    <m/>
    <n v="70"/>
    <n v="0"/>
    <n v="25861.728092811762"/>
  </r>
  <r>
    <d v="2026-05-29T00:00:00"/>
    <x v="4"/>
    <s v="ŞİFAVER GÜL HATAY SABUNU"/>
    <m/>
    <x v="1"/>
    <s v="ST00000002377"/>
    <s v="SATIŞ"/>
    <s v="NAKİT"/>
    <n v="1"/>
    <n v="50"/>
    <n v="0"/>
    <n v="0"/>
    <m/>
    <m/>
    <m/>
    <m/>
    <n v="50"/>
    <n v="0"/>
    <n v="25911.728092811762"/>
  </r>
  <r>
    <d v="2026-05-29T00:00:00"/>
    <x v="4"/>
    <s v="ŞİFAVER ZEYTİNYAĞLI HATAY SABUNU"/>
    <m/>
    <x v="1"/>
    <s v="ST00000002377"/>
    <s v="SATIŞ"/>
    <s v="NAKİT"/>
    <n v="1"/>
    <n v="50"/>
    <n v="0"/>
    <n v="0"/>
    <m/>
    <m/>
    <m/>
    <m/>
    <n v="50"/>
    <n v="0"/>
    <n v="25961.728092811762"/>
  </r>
  <r>
    <d v="2026-05-29T00:00:00"/>
    <x v="4"/>
    <s v="COSMECİT KOLAJENLİ SABUN 120 GR"/>
    <m/>
    <x v="1"/>
    <s v="ST00000002377"/>
    <s v="SATIŞ"/>
    <s v="NAKİT"/>
    <n v="1"/>
    <n v="125"/>
    <n v="0"/>
    <n v="0"/>
    <m/>
    <m/>
    <m/>
    <m/>
    <n v="125"/>
    <n v="0"/>
    <n v="26086.728092811762"/>
  </r>
  <r>
    <d v="2026-05-29T00:00:00"/>
    <x v="4"/>
    <s v="COSMECİT KEÇİ SÜTÜ SABUNU 120 GR"/>
    <m/>
    <x v="1"/>
    <s v="ST00000002377"/>
    <s v="SATIŞ"/>
    <s v="NAKİT"/>
    <n v="1"/>
    <n v="125"/>
    <n v="0"/>
    <n v="0"/>
    <m/>
    <m/>
    <m/>
    <m/>
    <n v="125"/>
    <n v="0"/>
    <n v="26211.728092811762"/>
  </r>
  <r>
    <d v="2026-05-29T00:00:00"/>
    <x v="4"/>
    <s v="EMBEAUTY KOLEJAN VE KERATİN SAÇ DÖKÜLMESİNE KARŞI ONARICI DOLGUNLAŞTIRICI ŞAMPUAN 400 ML"/>
    <m/>
    <x v="1"/>
    <s v="ST00000002377"/>
    <s v="SATIŞ"/>
    <s v="NAKİT"/>
    <n v="1"/>
    <n v="290"/>
    <n v="0"/>
    <n v="0"/>
    <m/>
    <m/>
    <m/>
    <m/>
    <n v="290"/>
    <n v="0"/>
    <n v="26501.728092811762"/>
  </r>
  <r>
    <d v="2026-05-29T00:00:00"/>
    <x v="4"/>
    <s v="NANE İRİ"/>
    <m/>
    <x v="1"/>
    <s v="ST00000002377"/>
    <s v="SATIŞ"/>
    <s v="NAKİT"/>
    <n v="7.0000000000000007E-2"/>
    <n v="400"/>
    <n v="0"/>
    <n v="0"/>
    <m/>
    <m/>
    <m/>
    <m/>
    <n v="28.000000000000004"/>
    <n v="0"/>
    <n v="26529.728092811762"/>
  </r>
  <r>
    <d v="2026-05-29T00:00:00"/>
    <x v="4"/>
    <s v="TOZ BİBER - TATLI"/>
    <m/>
    <x v="1"/>
    <s v="ST00000002377"/>
    <s v="SATIŞ"/>
    <s v="NAKİT"/>
    <n v="5.5E-2"/>
    <n v="400"/>
    <n v="0"/>
    <n v="0"/>
    <m/>
    <m/>
    <m/>
    <m/>
    <n v="22"/>
    <n v="0"/>
    <n v="26551.728092811762"/>
  </r>
  <r>
    <d v="2026-05-29T00:00:00"/>
    <x v="4"/>
    <s v="KARABİBER ÇEKİLMİŞ"/>
    <m/>
    <x v="1"/>
    <s v="ST00000002377"/>
    <s v="SATIŞ"/>
    <s v="NAKİT"/>
    <n v="5.6923076923076923E-2"/>
    <n v="650"/>
    <n v="0"/>
    <n v="0"/>
    <m/>
    <m/>
    <m/>
    <m/>
    <n v="37"/>
    <n v="0"/>
    <n v="26588.728092811762"/>
  </r>
  <r>
    <d v="2026-05-29T00:00:00"/>
    <x v="4"/>
    <s v="KEKİK LÜX"/>
    <m/>
    <x v="1"/>
    <s v="ST00000002377"/>
    <s v="SATIŞ"/>
    <s v="NAKİT"/>
    <n v="0.04"/>
    <n v="850"/>
    <n v="0"/>
    <n v="0"/>
    <m/>
    <m/>
    <m/>
    <m/>
    <n v="34"/>
    <n v="0"/>
    <n v="26622.728092811762"/>
  </r>
  <r>
    <d v="2026-05-29T00:00:00"/>
    <x v="4"/>
    <s v="KÖFTE BAHARATI (YEDİTÜRLÜ)"/>
    <m/>
    <x v="1"/>
    <s v="ST00000002377"/>
    <s v="SATIŞ"/>
    <s v="NAKİT"/>
    <n v="3.111111111111111E-2"/>
    <n v="450"/>
    <n v="0"/>
    <n v="0"/>
    <m/>
    <m/>
    <m/>
    <m/>
    <n v="14"/>
    <n v="0"/>
    <n v="26636.728092811762"/>
  </r>
  <r>
    <d v="2026-05-29T00:00:00"/>
    <x v="4"/>
    <s v="PİLAVLIK BULGUR"/>
    <m/>
    <x v="1"/>
    <s v="ST00000002377"/>
    <s v="SATIŞ"/>
    <s v="NAKİT"/>
    <n v="0.58461538461538465"/>
    <n v="65"/>
    <n v="0"/>
    <n v="0"/>
    <m/>
    <m/>
    <m/>
    <m/>
    <n v="38"/>
    <n v="0"/>
    <n v="26674.728092811762"/>
  </r>
  <r>
    <d v="2026-05-29T00:00:00"/>
    <x v="4"/>
    <s v="BİOBLAS SAÇ DÖKÜLMESİNE KARŞI BİTKİSEL ŞAMPUAN 1000 ML - YEŞİL "/>
    <m/>
    <x v="1"/>
    <s v="ST00000002378"/>
    <s v="SATIŞ"/>
    <s v="NAKİT"/>
    <n v="1"/>
    <n v="230"/>
    <n v="0"/>
    <n v="0"/>
    <m/>
    <m/>
    <m/>
    <m/>
    <n v="230"/>
    <n v="0"/>
    <n v="26904.728092811762"/>
  </r>
  <r>
    <d v="2026-05-29T00:00:00"/>
    <x v="4"/>
    <s v="EMBEAUTY KOLEJAN VE KERATİN SAÇ DÖKÜLMESİNE KARŞI ONARICI DOLGUNLAŞTIRICI ŞAMPUAN 400 ML"/>
    <m/>
    <x v="1"/>
    <s v="ST00000002378"/>
    <s v="SATIŞ"/>
    <s v="NAKİT"/>
    <n v="1"/>
    <n v="290"/>
    <n v="0"/>
    <n v="0"/>
    <m/>
    <m/>
    <m/>
    <m/>
    <n v="290"/>
    <n v="0"/>
    <n v="27194.728092811762"/>
  </r>
  <r>
    <d v="2026-05-29T00:00:00"/>
    <x v="4"/>
    <s v="UNİ BABY BEBEK ŞAMPUANI 900 ML"/>
    <m/>
    <x v="1"/>
    <s v="ST00000002378"/>
    <s v="SATIŞ"/>
    <s v="NAKİT"/>
    <n v="1"/>
    <n v="149"/>
    <n v="0"/>
    <n v="0"/>
    <m/>
    <m/>
    <m/>
    <m/>
    <n v="149"/>
    <n v="0"/>
    <n v="27343.728092811762"/>
  </r>
  <r>
    <d v="2026-05-29T00:00:00"/>
    <x v="4"/>
    <s v="ŞİFAVER KÜKÜRTLÜ HATAY SABUNU"/>
    <m/>
    <x v="1"/>
    <s v="ST00000002378"/>
    <s v="SATIŞ"/>
    <s v="NAKİT"/>
    <n v="1"/>
    <n v="50"/>
    <n v="0"/>
    <n v="0"/>
    <m/>
    <m/>
    <m/>
    <m/>
    <n v="50"/>
    <n v="0"/>
    <n v="27393.728092811762"/>
  </r>
  <r>
    <d v="2026-05-29T00:00:00"/>
    <x v="4"/>
    <s v="ŞİFAVER ZEYTİNYAĞLI HATAY SABUNU"/>
    <m/>
    <x v="1"/>
    <s v="ST00000002378"/>
    <s v="SATIŞ"/>
    <s v="NAKİT"/>
    <n v="1"/>
    <n v="50"/>
    <n v="0"/>
    <n v="0"/>
    <m/>
    <m/>
    <m/>
    <m/>
    <n v="50"/>
    <n v="0"/>
    <n v="27443.728092811762"/>
  </r>
  <r>
    <d v="2026-05-29T00:00:00"/>
    <x v="4"/>
    <s v="HİMALAYA TUZU PEMBE GRANÜL"/>
    <m/>
    <x v="1"/>
    <s v="ST00000002378"/>
    <s v="SATIŞ"/>
    <s v="NAKİT"/>
    <n v="0.5"/>
    <n v="140"/>
    <n v="0"/>
    <n v="0"/>
    <m/>
    <m/>
    <m/>
    <m/>
    <n v="70"/>
    <n v="0"/>
    <n v="27513.728092811762"/>
  </r>
  <r>
    <d v="2026-05-29T00:00:00"/>
    <x v="4"/>
    <s v="GÜNAYDIN KAYA TUZU İNCE"/>
    <m/>
    <x v="1"/>
    <s v="ST00000002378"/>
    <s v="SATIŞ"/>
    <s v="NAKİT"/>
    <n v="0.5"/>
    <n v="90"/>
    <n v="0"/>
    <n v="0"/>
    <m/>
    <m/>
    <m/>
    <m/>
    <n v="45"/>
    <n v="0"/>
    <n v="27558.728092811762"/>
  </r>
  <r>
    <d v="2026-05-29T00:00:00"/>
    <x v="4"/>
    <s v="LİMONTUZU PARCA"/>
    <m/>
    <x v="1"/>
    <s v="ST00000002378"/>
    <s v="SATIŞ"/>
    <s v="NAKİT"/>
    <n v="0.27777777777777779"/>
    <n v="180"/>
    <n v="0"/>
    <n v="0"/>
    <m/>
    <m/>
    <m/>
    <m/>
    <n v="50"/>
    <n v="0"/>
    <n v="27608.728092811762"/>
  </r>
  <r>
    <d v="2026-05-29T00:00:00"/>
    <x v="4"/>
    <s v="HİMALAYA TUZU PEMBE ÖĞÜTÜLMÜŞ"/>
    <m/>
    <x v="1"/>
    <s v="ST00000002378"/>
    <s v="SATIŞ"/>
    <s v="NAKİT"/>
    <n v="0.5"/>
    <n v="140"/>
    <n v="0"/>
    <n v="0"/>
    <m/>
    <m/>
    <m/>
    <m/>
    <n v="70"/>
    <n v="0"/>
    <n v="27678.728092811762"/>
  </r>
  <r>
    <d v="2026-05-29T00:00:00"/>
    <x v="4"/>
    <s v="KÜÇÜK BEYAZ ÇİĞ KABAK ÇEKİRDEĞİ - NEVŞEHİR"/>
    <m/>
    <x v="1"/>
    <s v="ST00000002378"/>
    <s v="SATIŞ"/>
    <s v="NAKİT"/>
    <n v="0.34"/>
    <n v="250"/>
    <n v="0"/>
    <n v="0"/>
    <m/>
    <m/>
    <m/>
    <m/>
    <n v="85"/>
    <n v="0"/>
    <n v="27763.728092811762"/>
  </r>
  <r>
    <d v="2026-05-29T00:00:00"/>
    <x v="4"/>
    <s v="KÖFTE BAHARATI (YEDİTÜRLÜ)"/>
    <m/>
    <x v="1"/>
    <s v="ST00000002378"/>
    <s v="SATIŞ"/>
    <s v="NAKİT"/>
    <n v="6.222222222222222E-2"/>
    <n v="450"/>
    <n v="0"/>
    <n v="0"/>
    <m/>
    <m/>
    <m/>
    <m/>
    <n v="28"/>
    <n v="0"/>
    <n v="27791.728092811762"/>
  </r>
  <r>
    <d v="2026-05-29T00:00:00"/>
    <x v="4"/>
    <s v="SOSLU MISIR YERLİ"/>
    <m/>
    <x v="1"/>
    <s v="ST00000002378"/>
    <s v="SATIŞ"/>
    <s v="NAKİT"/>
    <n v="0.22727272727272727"/>
    <n v="220"/>
    <n v="0"/>
    <n v="0"/>
    <m/>
    <m/>
    <m/>
    <m/>
    <n v="50"/>
    <n v="0"/>
    <n v="27841.728092811762"/>
  </r>
  <r>
    <d v="2026-05-29T00:00:00"/>
    <x v="4"/>
    <s v="KÖFTELİK BULGUR"/>
    <m/>
    <x v="1"/>
    <s v="ST00000002378"/>
    <s v="SATIŞ"/>
    <s v="NAKİT"/>
    <n v="1.0153846153846153"/>
    <n v="65"/>
    <n v="0"/>
    <n v="0"/>
    <m/>
    <m/>
    <m/>
    <m/>
    <n v="66"/>
    <n v="0"/>
    <n v="27907.728092811762"/>
  </r>
  <r>
    <d v="2026-05-29T00:00:00"/>
    <x v="4"/>
    <s v="TÜDAB KARIŞIK TURŞU"/>
    <m/>
    <x v="1"/>
    <s v="ST00000002378"/>
    <s v="SATIŞ"/>
    <s v="NAKİT"/>
    <n v="1"/>
    <n v="350"/>
    <n v="0"/>
    <n v="0"/>
    <m/>
    <m/>
    <m/>
    <m/>
    <n v="350"/>
    <n v="0"/>
    <n v="28257.728092811762"/>
  </r>
  <r>
    <d v="2026-05-29T00:00:00"/>
    <x v="4"/>
    <s v="FINDIK İÇİ ÇİĞ"/>
    <m/>
    <x v="1"/>
    <s v="ST00000002379"/>
    <s v="SATIŞ"/>
    <s v="POS"/>
    <n v="0.1"/>
    <n v="1000"/>
    <n v="100"/>
    <n v="0"/>
    <m/>
    <m/>
    <m/>
    <m/>
    <n v="0"/>
    <n v="0"/>
    <n v="28257.728092811762"/>
  </r>
  <r>
    <d v="2026-05-20T00:00:00"/>
    <x v="10"/>
    <m/>
    <m/>
    <x v="5"/>
    <m/>
    <s v="ON NUMARA POS ÇÖZÜMÜ - ELEKTRİK"/>
    <s v="POS"/>
    <n v="1"/>
    <n v="2455"/>
    <n v="0"/>
    <n v="2455"/>
    <m/>
    <m/>
    <m/>
    <m/>
    <n v="2455"/>
    <n v="0"/>
    <n v="30712.728092811762"/>
  </r>
  <r>
    <d v="2026-05-20T00:00:00"/>
    <x v="1"/>
    <m/>
    <s v="FATURA GİDERLERİ"/>
    <x v="1"/>
    <m/>
    <s v="ON NUMARA POS ÇÖZÜMÜ - ELEKTRİK"/>
    <s v="NAKİT"/>
    <n v="1"/>
    <n v="2455"/>
    <n v="0"/>
    <n v="0"/>
    <m/>
    <m/>
    <m/>
    <m/>
    <n v="0"/>
    <n v="2455"/>
    <n v="28257.728092811762"/>
  </r>
  <r>
    <d v="2026-05-25T00:00:00"/>
    <x v="10"/>
    <m/>
    <m/>
    <x v="5"/>
    <m/>
    <s v="ON NUMARA POS ÇÖZÜMÜ - SU"/>
    <s v="POS"/>
    <n v="1"/>
    <n v="317.39999999999998"/>
    <n v="0"/>
    <n v="317.39999999999998"/>
    <m/>
    <m/>
    <m/>
    <m/>
    <n v="317.39999999999998"/>
    <n v="0"/>
    <n v="28575.128092811763"/>
  </r>
  <r>
    <d v="2026-05-25T00:00:00"/>
    <x v="1"/>
    <m/>
    <s v="FATURA GİDERLERİ"/>
    <x v="1"/>
    <m/>
    <s v="ON NUMARA POS ÇÖZÜMÜ - SU"/>
    <s v="NAKİT"/>
    <n v="1"/>
    <n v="317.39999999999998"/>
    <n v="0"/>
    <n v="0"/>
    <m/>
    <m/>
    <m/>
    <m/>
    <n v="0"/>
    <n v="317.39999999999998"/>
    <n v="28257.728092811762"/>
  </r>
  <r>
    <d v="2026-05-25T00:00:00"/>
    <x v="10"/>
    <m/>
    <m/>
    <x v="5"/>
    <m/>
    <s v="ON NUMARA POS ÇÖZÜMÜ - SU"/>
    <s v="POS"/>
    <n v="1"/>
    <n v="1562.6"/>
    <n v="0"/>
    <n v="1562.6"/>
    <m/>
    <m/>
    <m/>
    <m/>
    <n v="1562.6"/>
    <n v="0"/>
    <n v="29820.32809281176"/>
  </r>
  <r>
    <d v="2026-05-25T00:00:00"/>
    <x v="1"/>
    <m/>
    <s v="FATURA GİDERLERİ"/>
    <x v="1"/>
    <m/>
    <s v="ON NUMARA POS ÇÖZÜMÜ - SU"/>
    <s v="NAKİT"/>
    <n v="1"/>
    <n v="1562.6"/>
    <n v="0"/>
    <n v="0"/>
    <m/>
    <m/>
    <m/>
    <m/>
    <n v="0"/>
    <n v="1562.6"/>
    <n v="28257.728092811762"/>
  </r>
  <r>
    <d v="2026-06-02T00:00:00"/>
    <x v="10"/>
    <m/>
    <m/>
    <x v="5"/>
    <m/>
    <s v="ON NUMARA POS ÇÖZÜMÜ - KDV"/>
    <s v="POS"/>
    <n v="1"/>
    <n v="791"/>
    <n v="0"/>
    <n v="791"/>
    <m/>
    <m/>
    <m/>
    <m/>
    <n v="791"/>
    <n v="0"/>
    <n v="29048.728092811762"/>
  </r>
  <r>
    <d v="2026-06-02T00:00:00"/>
    <x v="1"/>
    <m/>
    <s v="VERGİ VE HARÇLAR"/>
    <x v="1"/>
    <m/>
    <s v="ON NUMARA POS ÇÖZÜMÜ - KDV"/>
    <s v="NAKİT"/>
    <n v="1"/>
    <n v="791"/>
    <n v="0"/>
    <n v="0"/>
    <m/>
    <m/>
    <m/>
    <m/>
    <n v="0"/>
    <n v="791"/>
    <n v="28257.728092811762"/>
  </r>
  <r>
    <d v="2026-06-02T00:00:00"/>
    <x v="1"/>
    <m/>
    <s v="KİRA GİDERLERİ"/>
    <x v="1"/>
    <m/>
    <s v="KİRA GİDERİ - HAZİRAN"/>
    <s v="NAKİT"/>
    <n v="1"/>
    <n v="22000"/>
    <n v="0"/>
    <n v="0"/>
    <m/>
    <m/>
    <m/>
    <m/>
    <n v="0"/>
    <n v="22000"/>
    <n v="6257.7280928117616"/>
  </r>
  <r>
    <d v="2026-06-02T00:00:00"/>
    <x v="4"/>
    <s v="KARABİBER ÇEKİLMİŞ"/>
    <m/>
    <x v="1"/>
    <s v="ST00000002380"/>
    <s v="SATIŞ"/>
    <s v="POS"/>
    <n v="6.615384615384616E-2"/>
    <n v="650"/>
    <n v="43.000000000000007"/>
    <n v="0"/>
    <m/>
    <m/>
    <m/>
    <m/>
    <n v="0"/>
    <n v="0"/>
    <n v="6257.7280928117616"/>
  </r>
  <r>
    <d v="2026-06-02T00:00:00"/>
    <x v="4"/>
    <s v="ZERDEÇAL TOZ"/>
    <m/>
    <x v="1"/>
    <s v="ST00000002380"/>
    <s v="SATIŞ"/>
    <s v="POS"/>
    <n v="0.12333333333333334"/>
    <n v="300"/>
    <n v="37"/>
    <n v="0"/>
    <m/>
    <m/>
    <m/>
    <m/>
    <n v="0"/>
    <n v="0"/>
    <n v="6257.7280928117616"/>
  </r>
  <r>
    <d v="2026-06-02T00:00:00"/>
    <x v="4"/>
    <s v="GÜNAYDIN KAYA TUZU İNCE"/>
    <m/>
    <x v="1"/>
    <s v="ST00000002380"/>
    <s v="SATIŞ"/>
    <s v="POS"/>
    <n v="0.5"/>
    <n v="90"/>
    <n v="45"/>
    <n v="0"/>
    <m/>
    <m/>
    <m/>
    <m/>
    <n v="0"/>
    <n v="0"/>
    <n v="6257.7280928117616"/>
  </r>
  <r>
    <d v="2026-06-02T00:00:00"/>
    <x v="4"/>
    <s v="KARANFİL"/>
    <m/>
    <x v="1"/>
    <s v="ST00000002380"/>
    <s v="SATIŞ"/>
    <s v="POS"/>
    <n v="0.05"/>
    <n v="1200"/>
    <n v="60"/>
    <n v="0"/>
    <m/>
    <m/>
    <m/>
    <m/>
    <n v="0"/>
    <n v="0"/>
    <n v="6257.7280928117616"/>
  </r>
  <r>
    <d v="2026-06-02T00:00:00"/>
    <x v="4"/>
    <s v="YEŞİL ÇAY YAPRAK"/>
    <m/>
    <x v="1"/>
    <s v="ST00000002380"/>
    <s v="SATIŞ"/>
    <s v="POS"/>
    <n v="0.1"/>
    <n v="1350"/>
    <n v="135"/>
    <n v="0"/>
    <m/>
    <m/>
    <m/>
    <m/>
    <n v="0"/>
    <n v="0"/>
    <n v="6257.7280928117616"/>
  </r>
  <r>
    <d v="2026-06-02T00:00:00"/>
    <x v="4"/>
    <s v="WARITEX ÇİFT TARAFLI KABAK LİFİ"/>
    <m/>
    <x v="1"/>
    <s v="ST00000002380"/>
    <s v="SATIŞ"/>
    <s v="POS"/>
    <n v="1"/>
    <n v="120"/>
    <n v="120"/>
    <n v="0"/>
    <m/>
    <m/>
    <m/>
    <m/>
    <n v="0"/>
    <n v="0"/>
    <n v="6257.7280928117616"/>
  </r>
  <r>
    <d v="2026-06-02T00:00:00"/>
    <x v="4"/>
    <s v="ZÜHRE ANA IŞGIN SİRKESİ 500 ML"/>
    <m/>
    <x v="1"/>
    <s v="ST00000002381"/>
    <s v="SATIŞ"/>
    <s v="NAKİT"/>
    <n v="1"/>
    <n v="220"/>
    <n v="0"/>
    <n v="0"/>
    <m/>
    <m/>
    <m/>
    <m/>
    <n v="220"/>
    <n v="0"/>
    <n v="6477.7280928117616"/>
  </r>
  <r>
    <d v="2026-06-02T00:00:00"/>
    <x v="4"/>
    <s v="DOLMALIK KURU PATLICAN"/>
    <m/>
    <x v="1"/>
    <s v="ST00000002382"/>
    <s v="SATIŞ"/>
    <s v="NAKİT"/>
    <n v="1"/>
    <n v="250"/>
    <n v="0"/>
    <n v="0"/>
    <m/>
    <m/>
    <m/>
    <m/>
    <n v="250"/>
    <n v="0"/>
    <n v="6727.7280928117616"/>
  </r>
  <r>
    <d v="2026-06-02T00:00:00"/>
    <x v="4"/>
    <s v="SOGAY HURMA"/>
    <m/>
    <x v="1"/>
    <s v="ST00000002383"/>
    <s v="SATIŞ"/>
    <s v="POS"/>
    <n v="0.13513513513513514"/>
    <n v="370"/>
    <n v="50"/>
    <n v="0"/>
    <m/>
    <m/>
    <m/>
    <m/>
    <n v="0"/>
    <n v="0"/>
    <n v="6727.7280928117616"/>
  </r>
  <r>
    <d v="2026-06-02T00:00:00"/>
    <x v="4"/>
    <s v="SEFAVİ HURMA"/>
    <m/>
    <x v="1"/>
    <s v="ST00000002383"/>
    <s v="SATIŞ"/>
    <s v="POS"/>
    <n v="0.14864864864864866"/>
    <n v="370"/>
    <n v="55"/>
    <n v="0"/>
    <m/>
    <m/>
    <m/>
    <m/>
    <n v="0"/>
    <n v="0"/>
    <n v="6727.7280928117616"/>
  </r>
  <r>
    <d v="2026-06-02T00:00:00"/>
    <x v="4"/>
    <s v="DERME GÜN KURUSU KAYISI JUMBO"/>
    <m/>
    <x v="1"/>
    <s v="ST00000002383"/>
    <s v="SATIŞ"/>
    <s v="POS"/>
    <n v="0.32"/>
    <n v="688"/>
    <n v="220.16"/>
    <n v="0"/>
    <m/>
    <m/>
    <m/>
    <m/>
    <n v="0"/>
    <n v="0"/>
    <n v="6727.7280928117616"/>
  </r>
  <r>
    <d v="2026-06-02T00:00:00"/>
    <x v="4"/>
    <s v="CHİA TOHUMU DÖKME"/>
    <m/>
    <x v="1"/>
    <s v="ST00000002384"/>
    <s v="SATIŞ"/>
    <s v="POS"/>
    <n v="0.42857142857142855"/>
    <n v="280"/>
    <n v="120"/>
    <n v="0"/>
    <m/>
    <m/>
    <m/>
    <m/>
    <n v="0"/>
    <n v="0"/>
    <n v="6727.7280928117616"/>
  </r>
  <r>
    <d v="2026-06-02T00:00:00"/>
    <x v="4"/>
    <s v="CHİA TOHUMU DÖKME"/>
    <m/>
    <x v="1"/>
    <s v="ST00000002384"/>
    <s v="SATIŞ"/>
    <s v="NAKİT"/>
    <n v="7.1428571428571425E-2"/>
    <n v="280"/>
    <n v="0"/>
    <n v="0"/>
    <m/>
    <m/>
    <m/>
    <m/>
    <n v="20"/>
    <n v="0"/>
    <n v="6747.7280928117616"/>
  </r>
  <r>
    <d v="2026-06-02T00:00:00"/>
    <x v="4"/>
    <s v="DOLMALIK KURU PATLICAN"/>
    <m/>
    <x v="1"/>
    <s v="ST00000002385"/>
    <s v="SATIŞ"/>
    <s v="NAKİT"/>
    <n v="1"/>
    <n v="250"/>
    <n v="0"/>
    <n v="0"/>
    <m/>
    <m/>
    <m/>
    <m/>
    <n v="250"/>
    <n v="0"/>
    <n v="6997.7280928117616"/>
  </r>
  <r>
    <d v="2026-06-02T00:00:00"/>
    <x v="4"/>
    <s v="DOLMALIK SARI BİBER"/>
    <m/>
    <x v="1"/>
    <s v="ST00000002385"/>
    <s v="SATIŞ"/>
    <s v="NAKİT"/>
    <n v="1"/>
    <n v="250"/>
    <n v="0"/>
    <n v="0"/>
    <m/>
    <m/>
    <m/>
    <m/>
    <n v="250"/>
    <n v="0"/>
    <n v="7247.7280928117616"/>
  </r>
  <r>
    <d v="2026-06-02T00:00:00"/>
    <x v="4"/>
    <s v="GENÇAY ELMA SİRKESİ 500 CC"/>
    <m/>
    <x v="1"/>
    <s v="ST00000002386"/>
    <s v="SATIŞ"/>
    <s v="POS"/>
    <n v="1"/>
    <n v="140"/>
    <n v="140"/>
    <n v="0"/>
    <m/>
    <m/>
    <m/>
    <m/>
    <n v="0"/>
    <n v="0"/>
    <n v="7247.7280928117616"/>
  </r>
  <r>
    <d v="2026-06-02T00:00:00"/>
    <x v="4"/>
    <s v="KARANFİL"/>
    <m/>
    <x v="1"/>
    <s v="ST00000002386"/>
    <s v="SATIŞ"/>
    <s v="POS"/>
    <n v="0.05"/>
    <n v="1200"/>
    <n v="60"/>
    <n v="0"/>
    <m/>
    <m/>
    <m/>
    <m/>
    <n v="0"/>
    <n v="0"/>
    <n v="7247.7280928117616"/>
  </r>
  <r>
    <d v="2026-06-02T00:00:00"/>
    <x v="4"/>
    <s v="SUMAK ÖZEL"/>
    <m/>
    <x v="1"/>
    <s v="ST00000002387"/>
    <s v="SATIŞ"/>
    <s v="NAKİT"/>
    <n v="0.12"/>
    <n v="520"/>
    <n v="0"/>
    <n v="0"/>
    <m/>
    <m/>
    <m/>
    <m/>
    <n v="62.4"/>
    <n v="0"/>
    <n v="7310.1280928117612"/>
  </r>
  <r>
    <d v="2026-06-02T00:00:00"/>
    <x v="4"/>
    <s v="İPEK BİBER"/>
    <m/>
    <x v="1"/>
    <s v="ST00000002387"/>
    <s v="SATIŞ"/>
    <s v="NAKİT"/>
    <n v="0.13400000000000001"/>
    <n v="500"/>
    <n v="0"/>
    <n v="0"/>
    <m/>
    <m/>
    <m/>
    <m/>
    <n v="67"/>
    <n v="0"/>
    <n v="7377.1280928117612"/>
  </r>
  <r>
    <d v="2026-06-02T00:00:00"/>
    <x v="4"/>
    <s v="SALÇA ACI (EV YAPIMI)"/>
    <m/>
    <x v="1"/>
    <s v="ST00000002387"/>
    <s v="SATIŞ"/>
    <s v="NAKİT"/>
    <n v="1"/>
    <n v="200"/>
    <n v="0"/>
    <n v="0"/>
    <m/>
    <m/>
    <m/>
    <m/>
    <n v="200"/>
    <n v="0"/>
    <n v="7577.1280928117612"/>
  </r>
  <r>
    <d v="2026-06-02T00:00:00"/>
    <x v="4"/>
    <s v="CHİA TOHUMU DÖKME"/>
    <m/>
    <x v="1"/>
    <s v="ST00000002388"/>
    <s v="SATIŞ"/>
    <s v="NAKİT"/>
    <n v="0.5"/>
    <n v="300"/>
    <n v="0"/>
    <n v="0"/>
    <m/>
    <m/>
    <m/>
    <m/>
    <n v="150"/>
    <n v="0"/>
    <n v="7727.1280928117612"/>
  </r>
  <r>
    <d v="2026-06-02T00:00:00"/>
    <x v="4"/>
    <s v="ÜZÜM SİYAH KİLİS"/>
    <m/>
    <x v="1"/>
    <s v="ST00000002389"/>
    <s v="SATIŞ"/>
    <s v="NAKİT"/>
    <n v="0.4"/>
    <n v="650"/>
    <n v="0"/>
    <n v="0"/>
    <m/>
    <m/>
    <m/>
    <m/>
    <n v="260"/>
    <n v="0"/>
    <n v="7987.1280928117612"/>
  </r>
  <r>
    <d v="2026-06-02T00:00:00"/>
    <x v="4"/>
    <s v="KARANFİL"/>
    <m/>
    <x v="1"/>
    <s v="ST00000002389"/>
    <s v="SATIŞ"/>
    <s v="NAKİT"/>
    <n v="0.05"/>
    <n v="800"/>
    <n v="0"/>
    <n v="0"/>
    <m/>
    <m/>
    <m/>
    <m/>
    <n v="40"/>
    <n v="0"/>
    <n v="8027.1280928117612"/>
  </r>
  <r>
    <d v="2026-06-02T00:00:00"/>
    <x v="4"/>
    <s v="NUTRAXİN BROMELAİN FORTE 750 MG 60 TABLET"/>
    <m/>
    <x v="1"/>
    <s v="ST00000002390"/>
    <s v="SATIŞ"/>
    <s v="POS"/>
    <n v="1"/>
    <n v="400"/>
    <n v="400"/>
    <n v="0"/>
    <m/>
    <m/>
    <m/>
    <m/>
    <n v="0"/>
    <n v="0"/>
    <n v="8027.1280928117612"/>
  </r>
  <r>
    <d v="2026-06-03T00:00:00"/>
    <x v="4"/>
    <s v="KÜÇÜK BEYAZ KABAK ÇEKİRDEĞİ - NEVŞEHİR"/>
    <m/>
    <x v="1"/>
    <s v="ST00000002391"/>
    <s v="SATIŞ"/>
    <s v="POS"/>
    <n v="0.34"/>
    <n v="250"/>
    <n v="85"/>
    <n v="0"/>
    <m/>
    <m/>
    <m/>
    <m/>
    <n v="0"/>
    <n v="0"/>
    <n v="8027.1280928117612"/>
  </r>
  <r>
    <d v="2026-06-03T00:00:00"/>
    <x v="4"/>
    <s v="KARIŞIK KURUYEMİŞ"/>
    <m/>
    <x v="1"/>
    <s v="ST00000002391"/>
    <s v="SATIŞ"/>
    <s v="POS"/>
    <n v="0.23529411764705882"/>
    <n v="850"/>
    <n v="200"/>
    <n v="0"/>
    <m/>
    <m/>
    <m/>
    <m/>
    <n v="0"/>
    <n v="0"/>
    <n v="8027.1280928117612"/>
  </r>
  <r>
    <d v="2026-06-03T00:00:00"/>
    <x v="4"/>
    <s v="AÇIK KAYISI İRİ (SARI)"/>
    <m/>
    <x v="1"/>
    <s v="ST00000002391"/>
    <s v="SATIŞ"/>
    <s v="POS"/>
    <n v="0.44461538461538463"/>
    <n v="650"/>
    <n v="289"/>
    <n v="0"/>
    <m/>
    <m/>
    <m/>
    <m/>
    <n v="0"/>
    <n v="0"/>
    <n v="8027.1280928117612"/>
  </r>
  <r>
    <d v="2026-06-03T00:00:00"/>
    <x v="4"/>
    <s v="EVLİK BİBER"/>
    <m/>
    <x v="1"/>
    <s v="ST00000002392"/>
    <s v="SATIŞ - TOPTAN - MAHALLE ABLA"/>
    <s v="POS"/>
    <n v="5"/>
    <n v="230"/>
    <n v="1150"/>
    <n v="0"/>
    <m/>
    <m/>
    <m/>
    <m/>
    <n v="0"/>
    <n v="0"/>
    <n v="8027.1280928117612"/>
  </r>
  <r>
    <d v="2026-06-03T00:00:00"/>
    <x v="4"/>
    <s v="TOZ BİBER - TATLI"/>
    <m/>
    <x v="1"/>
    <s v="ST00000002392"/>
    <s v="SATIŞ - TOPTAN - MAHALLE ABLA"/>
    <s v="POS"/>
    <n v="2.04"/>
    <n v="265"/>
    <n v="540.6"/>
    <n v="0"/>
    <m/>
    <m/>
    <m/>
    <m/>
    <n v="0"/>
    <n v="0"/>
    <n v="8027.1280928117612"/>
  </r>
  <r>
    <d v="2026-06-03T00:00:00"/>
    <x v="4"/>
    <s v="İPEK BİBER"/>
    <m/>
    <x v="1"/>
    <s v="ST00000002393"/>
    <s v="SATIŞ"/>
    <s v="POS"/>
    <n v="0.13600000000000001"/>
    <n v="500"/>
    <n v="68"/>
    <n v="0"/>
    <m/>
    <m/>
    <m/>
    <m/>
    <n v="0"/>
    <n v="0"/>
    <n v="8027.1280928117612"/>
  </r>
  <r>
    <d v="2026-06-03T00:00:00"/>
    <x v="4"/>
    <s v="TOZ BİBER - TATLI"/>
    <m/>
    <x v="1"/>
    <s v="ST00000002393"/>
    <s v="SATIŞ"/>
    <s v="POS"/>
    <n v="0.20600000000000002"/>
    <n v="400"/>
    <n v="82.4"/>
    <n v="0"/>
    <m/>
    <m/>
    <m/>
    <m/>
    <n v="0"/>
    <n v="0"/>
    <n v="8027.1280928117612"/>
  </r>
  <r>
    <d v="2026-06-03T00:00:00"/>
    <x v="4"/>
    <s v="SUSAM"/>
    <m/>
    <x v="1"/>
    <s v="ST00000002393"/>
    <s v="SATIŞ"/>
    <s v="POS"/>
    <n v="0.1"/>
    <n v="400"/>
    <n v="40"/>
    <n v="0"/>
    <m/>
    <m/>
    <m/>
    <m/>
    <n v="0"/>
    <n v="0"/>
    <n v="8027.1280928117612"/>
  </r>
  <r>
    <d v="2026-06-03T00:00:00"/>
    <x v="4"/>
    <s v="SALÇA ACI (EV YAPIMI)"/>
    <m/>
    <x v="1"/>
    <s v="ST00000002393"/>
    <s v="SATIŞ"/>
    <s v="POS"/>
    <n v="0.5"/>
    <n v="200"/>
    <n v="100"/>
    <n v="0"/>
    <m/>
    <m/>
    <m/>
    <m/>
    <n v="0"/>
    <n v="0"/>
    <n v="8027.1280928117612"/>
  </r>
  <r>
    <d v="2026-06-03T00:00:00"/>
    <x v="4"/>
    <s v="SALÇA TATLI (EV YAPIMI)"/>
    <m/>
    <x v="1"/>
    <s v="ST00000002393"/>
    <s v="SATIŞ"/>
    <s v="POS"/>
    <n v="0.5"/>
    <n v="200"/>
    <n v="100"/>
    <n v="0"/>
    <m/>
    <m/>
    <m/>
    <m/>
    <n v="0"/>
    <n v="0"/>
    <n v="8027.1280928117612"/>
  </r>
  <r>
    <d v="2026-06-03T00:00:00"/>
    <x v="4"/>
    <s v="DOMATES SALÇASI"/>
    <m/>
    <x v="1"/>
    <s v="ST00000002393"/>
    <s v="SATIŞ"/>
    <s v="POS"/>
    <n v="1"/>
    <n v="150"/>
    <n v="150"/>
    <n v="0"/>
    <m/>
    <m/>
    <m/>
    <m/>
    <n v="0"/>
    <n v="0"/>
    <n v="8027.1280928117612"/>
  </r>
  <r>
    <d v="2026-06-03T00:00:00"/>
    <x v="4"/>
    <s v="KEKİK LÜX"/>
    <m/>
    <x v="1"/>
    <s v="ST00000002393"/>
    <s v="SATIŞ"/>
    <s v="POS"/>
    <n v="2.823529411764706E-2"/>
    <n v="850"/>
    <n v="24"/>
    <n v="0"/>
    <m/>
    <m/>
    <m/>
    <m/>
    <n v="0"/>
    <n v="0"/>
    <n v="8027.1280928117612"/>
  </r>
  <r>
    <d v="2026-06-03T00:00:00"/>
    <x v="4"/>
    <s v="İPEK BİBER"/>
    <m/>
    <x v="1"/>
    <s v="ST00000002394"/>
    <s v="SATIŞ"/>
    <s v="POS"/>
    <n v="0.188"/>
    <n v="500"/>
    <n v="94"/>
    <n v="0"/>
    <m/>
    <m/>
    <m/>
    <m/>
    <n v="0"/>
    <n v="0"/>
    <n v="8027.1280928117612"/>
  </r>
  <r>
    <d v="2026-06-03T00:00:00"/>
    <x v="4"/>
    <s v="TOZ BİBER - TATLI"/>
    <m/>
    <x v="1"/>
    <s v="ST00000002394"/>
    <s v="SATIŞ"/>
    <s v="POS"/>
    <n v="0.185"/>
    <n v="400"/>
    <n v="74"/>
    <n v="0"/>
    <m/>
    <m/>
    <m/>
    <m/>
    <n v="0"/>
    <n v="0"/>
    <n v="8027.1280928117612"/>
  </r>
  <r>
    <d v="2026-06-03T00:00:00"/>
    <x v="4"/>
    <s v="SALÇA TATLI (EV YAPIMI)"/>
    <m/>
    <x v="1"/>
    <s v="ST00000002394"/>
    <s v="SATIŞ"/>
    <s v="POS"/>
    <n v="1"/>
    <n v="200"/>
    <n v="200"/>
    <n v="0"/>
    <m/>
    <m/>
    <m/>
    <m/>
    <n v="0"/>
    <n v="0"/>
    <n v="8027.1280928117612"/>
  </r>
  <r>
    <d v="2026-06-03T00:00:00"/>
    <x v="4"/>
    <s v="ZERDEÇAL TOZ"/>
    <m/>
    <x v="1"/>
    <s v="ST00000002395"/>
    <s v="SATIŞ"/>
    <s v="NAKİT"/>
    <n v="0.12333333333333334"/>
    <n v="300"/>
    <n v="0"/>
    <n v="0"/>
    <m/>
    <m/>
    <m/>
    <m/>
    <n v="37"/>
    <n v="0"/>
    <n v="8064.1280928117612"/>
  </r>
  <r>
    <d v="2026-06-03T00:00:00"/>
    <x v="4"/>
    <s v="DOMATES SALÇASI"/>
    <m/>
    <x v="1"/>
    <s v="ST00000002396"/>
    <s v="SATIŞ"/>
    <s v="NAKİT"/>
    <n v="1"/>
    <n v="150"/>
    <n v="0"/>
    <n v="0"/>
    <m/>
    <m/>
    <m/>
    <m/>
    <n v="150"/>
    <n v="0"/>
    <n v="8214.1280928117612"/>
  </r>
  <r>
    <d v="2026-06-03T00:00:00"/>
    <x v="4"/>
    <s v="SALÇA TATLI (EV YAPIMI)"/>
    <m/>
    <x v="1"/>
    <s v="ST00000002396"/>
    <s v="SATIŞ"/>
    <s v="NAKİT"/>
    <n v="1"/>
    <n v="200"/>
    <n v="0"/>
    <n v="0"/>
    <m/>
    <m/>
    <m/>
    <m/>
    <n v="200"/>
    <n v="0"/>
    <n v="8414.1280928117612"/>
  </r>
  <r>
    <d v="2026-06-03T00:00:00"/>
    <x v="4"/>
    <s v="NUTRAXİN BROMELAİN FORTE 750 MG 60 TABLET"/>
    <m/>
    <x v="1"/>
    <s v="ST00000002397"/>
    <s v="SATIŞ"/>
    <s v="POS"/>
    <n v="1"/>
    <n v="400"/>
    <n v="400"/>
    <n v="0"/>
    <m/>
    <m/>
    <m/>
    <m/>
    <n v="0"/>
    <n v="0"/>
    <n v="8414.1280928117612"/>
  </r>
  <r>
    <d v="2026-06-03T00:00:00"/>
    <x v="4"/>
    <s v="LAVANTA YAĞI 10 CC"/>
    <m/>
    <x v="1"/>
    <s v="ST00000002398"/>
    <s v="SATIŞ"/>
    <s v="POS"/>
    <n v="1"/>
    <n v="130"/>
    <n v="130"/>
    <n v="0"/>
    <m/>
    <m/>
    <m/>
    <m/>
    <n v="0"/>
    <n v="0"/>
    <n v="8414.1280928117612"/>
  </r>
  <r>
    <d v="2026-06-03T00:00:00"/>
    <x v="4"/>
    <s v="DOLMALIK KURU PATLICAN"/>
    <m/>
    <x v="1"/>
    <s v="ST00000002399"/>
    <s v="SATIŞ"/>
    <s v="POS"/>
    <n v="1"/>
    <n v="250"/>
    <n v="250"/>
    <n v="0"/>
    <m/>
    <m/>
    <m/>
    <m/>
    <n v="0"/>
    <n v="0"/>
    <n v="8414.1280928117612"/>
  </r>
  <r>
    <d v="2026-06-03T00:00:00"/>
    <x v="4"/>
    <s v="DERME GÜN KURUSU KAYISI JUMBO"/>
    <m/>
    <x v="1"/>
    <s v="ST00000002400"/>
    <s v="SATIŞ"/>
    <s v="NAKİT"/>
    <n v="0.6"/>
    <n v="750"/>
    <n v="0"/>
    <n v="0"/>
    <m/>
    <m/>
    <m/>
    <m/>
    <n v="450"/>
    <n v="0"/>
    <n v="8864.1280928117612"/>
  </r>
  <r>
    <d v="2026-06-03T00:00:00"/>
    <x v="4"/>
    <s v="GENÇAY ALIÇ SİRKESİ 500 CC"/>
    <m/>
    <x v="1"/>
    <s v="ST00000002400"/>
    <s v="SATIŞ"/>
    <s v="NAKİT"/>
    <n v="1"/>
    <n v="150"/>
    <n v="0"/>
    <n v="0"/>
    <m/>
    <m/>
    <m/>
    <m/>
    <n v="150"/>
    <n v="0"/>
    <n v="9014.1280928117612"/>
  </r>
  <r>
    <d v="2026-06-03T00:00:00"/>
    <x v="4"/>
    <s v="GENÇAY ELMA SİRKESİ 500 CC"/>
    <m/>
    <x v="1"/>
    <s v="ST00000002400"/>
    <s v="SATIŞ"/>
    <s v="NAKİT"/>
    <n v="1"/>
    <n v="150"/>
    <n v="0"/>
    <n v="0"/>
    <m/>
    <m/>
    <m/>
    <m/>
    <n v="150"/>
    <n v="0"/>
    <n v="9164.1280928117612"/>
  </r>
  <r>
    <d v="2026-06-03T00:00:00"/>
    <x v="4"/>
    <s v="KÜÇÜK BEYAZ ÇİĞ KABAK ÇEKİRDEĞİ - NEVŞEHİR"/>
    <m/>
    <x v="1"/>
    <s v="ST00000002400"/>
    <s v="SATIŞ"/>
    <s v="NAKİT"/>
    <n v="0.34"/>
    <n v="250"/>
    <n v="0"/>
    <n v="0"/>
    <m/>
    <m/>
    <m/>
    <m/>
    <n v="85"/>
    <n v="0"/>
    <n v="9249.1280928117612"/>
  </r>
  <r>
    <d v="2026-06-03T00:00:00"/>
    <x v="4"/>
    <s v="DOMATES SALÇASI"/>
    <m/>
    <x v="1"/>
    <s v="ST00000002401"/>
    <s v="SATIŞ"/>
    <s v="POS"/>
    <n v="2"/>
    <n v="150"/>
    <n v="300"/>
    <n v="0"/>
    <m/>
    <m/>
    <m/>
    <m/>
    <n v="0"/>
    <n v="0"/>
    <n v="9249.1280928117612"/>
  </r>
  <r>
    <d v="2026-06-03T00:00:00"/>
    <x v="4"/>
    <s v="EVLİK BİBER"/>
    <m/>
    <x v="1"/>
    <s v="ST00000002401"/>
    <s v="SATIŞ"/>
    <s v="POS"/>
    <n v="0.21249999999999999"/>
    <n v="400"/>
    <n v="85"/>
    <n v="0"/>
    <m/>
    <m/>
    <m/>
    <m/>
    <n v="0"/>
    <n v="0"/>
    <n v="9249.1280928117612"/>
  </r>
  <r>
    <d v="2026-06-04T00:00:00"/>
    <x v="4"/>
    <s v="NANE İRİ"/>
    <m/>
    <x v="1"/>
    <s v="ST00000002402"/>
    <s v="SATIŞ"/>
    <s v="NAKİT"/>
    <n v="0.105"/>
    <n v="400"/>
    <n v="0"/>
    <n v="0"/>
    <m/>
    <m/>
    <m/>
    <m/>
    <n v="42"/>
    <n v="0"/>
    <n v="9291.1280928117612"/>
  </r>
  <r>
    <d v="2026-06-04T00:00:00"/>
    <x v="4"/>
    <s v="FINDIK İÇİ ÇİĞ"/>
    <m/>
    <x v="1"/>
    <s v="ST00000002403"/>
    <s v="SATIŞ"/>
    <s v="POS"/>
    <n v="0.2"/>
    <n v="1000"/>
    <n v="200"/>
    <n v="0"/>
    <m/>
    <m/>
    <m/>
    <m/>
    <n v="0"/>
    <n v="0"/>
    <n v="9291.1280928117612"/>
  </r>
  <r>
    <d v="2026-06-04T00:00:00"/>
    <x v="4"/>
    <s v="EL-RUHA ÇAY (AÇIK)"/>
    <m/>
    <x v="1"/>
    <s v="ST00000002404"/>
    <s v="SATIŞ"/>
    <s v="POS"/>
    <n v="0.5"/>
    <n v="700"/>
    <n v="350"/>
    <n v="0"/>
    <m/>
    <m/>
    <m/>
    <m/>
    <n v="0"/>
    <n v="0"/>
    <n v="9291.1280928117612"/>
  </r>
  <r>
    <d v="2026-06-04T00:00:00"/>
    <x v="4"/>
    <s v="GÜNAYDIN KAYA TUZU İNCE"/>
    <m/>
    <x v="1"/>
    <s v="ST00000002405"/>
    <s v="SATIŞ"/>
    <s v="NAKİT"/>
    <n v="1.25"/>
    <n v="80"/>
    <n v="0"/>
    <n v="0"/>
    <m/>
    <m/>
    <m/>
    <m/>
    <n v="100"/>
    <n v="0"/>
    <n v="9391.1280928117612"/>
  </r>
  <r>
    <d v="2026-06-04T00:00:00"/>
    <x v="4"/>
    <s v="TOZ BİBER - TATLI"/>
    <m/>
    <x v="1"/>
    <s v="ST00000002406"/>
    <s v="SATIŞ"/>
    <s v="POS"/>
    <n v="0.1575"/>
    <n v="400"/>
    <n v="63"/>
    <n v="0"/>
    <m/>
    <m/>
    <m/>
    <m/>
    <n v="0"/>
    <n v="0"/>
    <n v="9391.1280928117612"/>
  </r>
  <r>
    <d v="2026-06-04T00:00:00"/>
    <x v="4"/>
    <s v="KAJU 240 LIK EKSTRA"/>
    <m/>
    <x v="1"/>
    <s v="ST00000002406"/>
    <s v="SATIŞ"/>
    <s v="POS"/>
    <n v="0.15384615384615385"/>
    <n v="650"/>
    <n v="100"/>
    <n v="0"/>
    <m/>
    <m/>
    <m/>
    <m/>
    <n v="0"/>
    <n v="0"/>
    <n v="9391.1280928117612"/>
  </r>
  <r>
    <d v="2026-06-04T00:00:00"/>
    <x v="4"/>
    <s v="KEKİK LÜX"/>
    <m/>
    <x v="1"/>
    <s v="ST00000002407"/>
    <s v="SATIŞ"/>
    <s v="NAKİT"/>
    <n v="3.7647058823529408E-2"/>
    <n v="850"/>
    <n v="0"/>
    <n v="0"/>
    <m/>
    <m/>
    <m/>
    <m/>
    <n v="31.999999999999996"/>
    <n v="0"/>
    <n v="9423.1280928117612"/>
  </r>
  <r>
    <d v="2026-06-04T00:00:00"/>
    <x v="4"/>
    <s v="ATOM PUL BİBER ÇOK ACI"/>
    <m/>
    <x v="1"/>
    <s v="ST00000002408"/>
    <s v="SATIŞ"/>
    <s v="POS"/>
    <n v="0.2"/>
    <n v="550"/>
    <n v="110"/>
    <n v="0"/>
    <m/>
    <m/>
    <m/>
    <m/>
    <n v="0"/>
    <n v="0"/>
    <n v="9423.1280928117612"/>
  </r>
  <r>
    <d v="2026-06-04T00:00:00"/>
    <x v="4"/>
    <s v="SUMAK"/>
    <m/>
    <x v="1"/>
    <s v="ST00000002408"/>
    <s v="SATIŞ"/>
    <s v="POS"/>
    <n v="0.15"/>
    <n v="500"/>
    <n v="75"/>
    <n v="0"/>
    <m/>
    <m/>
    <m/>
    <m/>
    <n v="0"/>
    <n v="0"/>
    <n v="9423.1280928117612"/>
  </r>
  <r>
    <d v="2026-06-04T00:00:00"/>
    <x v="4"/>
    <s v="BALPARMAK YAYLA VE OVA ÇİÇEK BALI 850 GR"/>
    <m/>
    <x v="1"/>
    <s v="ST00000002409"/>
    <s v="SATIŞ - MMT"/>
    <s v="NAKİT"/>
    <n v="1"/>
    <n v="400"/>
    <n v="0"/>
    <n v="0"/>
    <m/>
    <m/>
    <m/>
    <m/>
    <n v="400"/>
    <n v="0"/>
    <n v="9823.1280928117612"/>
  </r>
  <r>
    <d v="2026-06-04T00:00:00"/>
    <x v="4"/>
    <s v="DOLMALIK KURU PATLICAN"/>
    <m/>
    <x v="1"/>
    <s v="ST00000002410"/>
    <s v="SATIŞ"/>
    <s v="NAKİT"/>
    <n v="0.5"/>
    <n v="250"/>
    <n v="0"/>
    <n v="0"/>
    <m/>
    <m/>
    <m/>
    <m/>
    <n v="125"/>
    <n v="0"/>
    <n v="9948.1280928117612"/>
  </r>
  <r>
    <d v="2026-06-04T00:00:00"/>
    <x v="4"/>
    <s v="KİMYON ÇEKİLMİŞ"/>
    <m/>
    <x v="1"/>
    <s v="ST00000002410"/>
    <s v="SATIŞ"/>
    <s v="NAKİT"/>
    <n v="0.1"/>
    <n v="400"/>
    <n v="0"/>
    <n v="0"/>
    <m/>
    <m/>
    <m/>
    <m/>
    <n v="40"/>
    <n v="0"/>
    <n v="9988.1280928117612"/>
  </r>
  <r>
    <d v="2026-06-04T00:00:00"/>
    <x v="4"/>
    <s v="DOLMALIK KURU PATLICAN"/>
    <m/>
    <x v="15"/>
    <s v="ST00000002411"/>
    <s v="SATIŞ - PINAR"/>
    <s v="CARİ"/>
    <n v="2"/>
    <n v="250"/>
    <n v="500"/>
    <n v="0"/>
    <m/>
    <m/>
    <m/>
    <m/>
    <n v="0"/>
    <n v="0"/>
    <n v="9988.1280928117612"/>
  </r>
  <r>
    <d v="2026-06-04T00:00:00"/>
    <x v="4"/>
    <s v="ESMER BULGUR (AKIN)"/>
    <m/>
    <x v="15"/>
    <s v="ST00000002411"/>
    <s v="SATIŞ - PINAR"/>
    <s v="CARİ"/>
    <n v="3"/>
    <n v="65"/>
    <n v="195"/>
    <n v="0"/>
    <m/>
    <m/>
    <m/>
    <m/>
    <n v="0"/>
    <n v="0"/>
    <n v="9988.1280928117612"/>
  </r>
  <r>
    <d v="2026-06-04T00:00:00"/>
    <x v="4"/>
    <s v="DOMATES SALÇASI"/>
    <m/>
    <x v="15"/>
    <s v="ST00000002411"/>
    <s v="SATIŞ - PINAR"/>
    <s v="CARİ"/>
    <n v="5"/>
    <n v="150"/>
    <n v="750"/>
    <n v="0"/>
    <m/>
    <m/>
    <m/>
    <m/>
    <n v="0"/>
    <n v="0"/>
    <n v="9988.1280928117612"/>
  </r>
  <r>
    <d v="2026-06-04T00:00:00"/>
    <x v="4"/>
    <s v="SALÇA TATLI (EV YAPIMI)"/>
    <m/>
    <x v="15"/>
    <s v="ST00000002411"/>
    <s v="SATIŞ - PINAR"/>
    <s v="CARİ"/>
    <n v="2"/>
    <n v="200"/>
    <n v="400"/>
    <n v="0"/>
    <m/>
    <m/>
    <m/>
    <m/>
    <n v="0"/>
    <n v="0"/>
    <n v="9988.1280928117612"/>
  </r>
  <r>
    <d v="2026-06-04T00:00:00"/>
    <x v="4"/>
    <s v="DOLMALIK KURU PATLICAN"/>
    <m/>
    <x v="15"/>
    <s v="ST00000002411"/>
    <s v="SATIŞ - PINAR"/>
    <s v="CARİ"/>
    <n v="3"/>
    <n v="250"/>
    <n v="750"/>
    <n v="0"/>
    <m/>
    <m/>
    <m/>
    <m/>
    <n v="0"/>
    <n v="0"/>
    <n v="9988.1280928117612"/>
  </r>
  <r>
    <d v="2026-06-04T00:00:00"/>
    <x v="4"/>
    <s v="İNCİR KÜÇÜK"/>
    <m/>
    <x v="15"/>
    <s v="ST00000002411"/>
    <s v="SATIŞ - PINAR"/>
    <s v="CARİ"/>
    <n v="1"/>
    <n v="700"/>
    <n v="700"/>
    <n v="0"/>
    <m/>
    <m/>
    <m/>
    <m/>
    <n v="0"/>
    <n v="0"/>
    <n v="9988.1280928117612"/>
  </r>
  <r>
    <d v="2026-06-04T00:00:00"/>
    <x v="4"/>
    <s v="İNCİR KÜÇÜK"/>
    <m/>
    <x v="15"/>
    <s v="ST00000002412"/>
    <s v="SATIŞ - SAADET"/>
    <s v="CARİ"/>
    <n v="0.2857142857142857"/>
    <n v="700"/>
    <n v="200"/>
    <n v="0"/>
    <m/>
    <m/>
    <m/>
    <m/>
    <n v="0"/>
    <n v="0"/>
    <n v="9988.1280928117612"/>
  </r>
  <r>
    <d v="2026-06-04T00:00:00"/>
    <x v="4"/>
    <s v="TOZ BİBER - TATLI"/>
    <m/>
    <x v="15"/>
    <s v="ST00000002412"/>
    <s v="SATIŞ - SAADET"/>
    <s v="CARİ"/>
    <n v="0.25"/>
    <n v="400"/>
    <n v="100"/>
    <n v="0"/>
    <m/>
    <m/>
    <m/>
    <m/>
    <n v="0"/>
    <n v="0"/>
    <n v="9988.1280928117612"/>
  </r>
  <r>
    <d v="2026-06-04T00:00:00"/>
    <x v="4"/>
    <s v="EL-RUHA ÇAY (AÇIK)"/>
    <m/>
    <x v="1"/>
    <s v="ST00000002413"/>
    <s v="SATIŞ - NECAT"/>
    <s v="NAKİT"/>
    <n v="2"/>
    <n v="700"/>
    <n v="0"/>
    <n v="0"/>
    <m/>
    <m/>
    <m/>
    <m/>
    <n v="1400"/>
    <n v="0"/>
    <n v="11388.128092811761"/>
  </r>
  <r>
    <d v="2026-06-04T00:00:00"/>
    <x v="4"/>
    <s v="İNCİR KÜÇÜK"/>
    <m/>
    <x v="1"/>
    <s v="ST00000002413"/>
    <s v="SATIŞ - NECAT"/>
    <s v="NAKİT"/>
    <n v="2"/>
    <n v="700"/>
    <n v="0"/>
    <n v="0"/>
    <m/>
    <m/>
    <m/>
    <m/>
    <n v="1400"/>
    <n v="0"/>
    <n v="12788.128092811761"/>
  </r>
  <r>
    <d v="2026-06-04T00:00:00"/>
    <x v="4"/>
    <s v="MEBRUM HURMA  NO 1"/>
    <m/>
    <x v="1"/>
    <s v="ST00000002413"/>
    <s v="SATIŞ - NECAT"/>
    <s v="NAKİT"/>
    <n v="0.5"/>
    <n v="550"/>
    <n v="0"/>
    <n v="0"/>
    <m/>
    <m/>
    <m/>
    <m/>
    <n v="275"/>
    <n v="0"/>
    <n v="13063.128092811761"/>
  </r>
  <r>
    <d v="2026-06-04T00:00:00"/>
    <x v="4"/>
    <s v="EVLİK BİBER"/>
    <m/>
    <x v="15"/>
    <s v="ST00000002414"/>
    <s v="SATIŞ - ÖZNUR"/>
    <s v="CARİ"/>
    <n v="1"/>
    <n v="400"/>
    <n v="400"/>
    <n v="0"/>
    <m/>
    <m/>
    <m/>
    <m/>
    <n v="0"/>
    <n v="0"/>
    <n v="13063.128092811761"/>
  </r>
  <r>
    <d v="2026-06-04T00:00:00"/>
    <x v="4"/>
    <s v="KÖFTE BAHARATI (YEDİTÜRLÜ)"/>
    <m/>
    <x v="15"/>
    <s v="ST00000002414"/>
    <s v="SATIŞ - ÖZNUR"/>
    <s v="CARİ"/>
    <n v="0.44444444444444442"/>
    <n v="450"/>
    <n v="200"/>
    <n v="0"/>
    <m/>
    <m/>
    <m/>
    <m/>
    <n v="0"/>
    <n v="0"/>
    <n v="13063.128092811761"/>
  </r>
  <r>
    <d v="2026-06-04T00:00:00"/>
    <x v="4"/>
    <s v="YEŞİL ÇAY YAPRAK"/>
    <m/>
    <x v="15"/>
    <s v="ST00000002414"/>
    <s v="SATIŞ - ÖZNUR"/>
    <s v="CARİ"/>
    <n v="0.1"/>
    <n v="1350"/>
    <n v="135"/>
    <n v="0"/>
    <m/>
    <m/>
    <m/>
    <m/>
    <n v="0"/>
    <n v="0"/>
    <n v="13063.128092811761"/>
  </r>
  <r>
    <d v="2026-06-04T00:00:00"/>
    <x v="4"/>
    <s v="NUTRAXİN BROMELAİN 500 MG 60 TABLET"/>
    <m/>
    <x v="15"/>
    <s v="ST00000002414"/>
    <s v="SATIŞ - ÖZNUR"/>
    <s v="CARİ"/>
    <n v="1"/>
    <n v="250"/>
    <n v="250"/>
    <n v="0"/>
    <m/>
    <m/>
    <m/>
    <m/>
    <n v="0"/>
    <n v="0"/>
    <n v="13063.128092811761"/>
  </r>
  <r>
    <d v="2026-06-04T00:00:00"/>
    <x v="4"/>
    <s v="DOMATES SALÇASI"/>
    <m/>
    <x v="1"/>
    <s v="ST00000002415"/>
    <s v="SATIŞ"/>
    <s v="POS"/>
    <n v="1"/>
    <n v="150"/>
    <n v="150"/>
    <n v="0"/>
    <m/>
    <m/>
    <m/>
    <m/>
    <n v="0"/>
    <n v="0"/>
    <n v="13063.128092811761"/>
  </r>
  <r>
    <d v="2026-06-04T00:00:00"/>
    <x v="4"/>
    <s v="NAHİTA SUMAK EKŞİSİ "/>
    <m/>
    <x v="1"/>
    <s v="ST00000002415"/>
    <s v="SATIŞ"/>
    <s v="POS"/>
    <n v="1"/>
    <n v="170"/>
    <n v="170"/>
    <n v="0"/>
    <m/>
    <m/>
    <m/>
    <m/>
    <n v="0"/>
    <n v="0"/>
    <n v="13063.128092811761"/>
  </r>
  <r>
    <d v="2026-06-04T00:00:00"/>
    <x v="4"/>
    <s v="GENÇAY NAR EKŞİSİ 330 GR"/>
    <m/>
    <x v="1"/>
    <s v="ST00000002415"/>
    <s v="SATIŞ"/>
    <s v="POS"/>
    <n v="1"/>
    <n v="180"/>
    <n v="180"/>
    <n v="0"/>
    <m/>
    <m/>
    <m/>
    <m/>
    <n v="0"/>
    <n v="0"/>
    <n v="13063.128092811761"/>
  </r>
  <r>
    <d v="2026-06-04T00:00:00"/>
    <x v="4"/>
    <s v="SOGAY HURMA"/>
    <m/>
    <x v="15"/>
    <s v="ST00000002416"/>
    <s v="SATIŞ - SUAT"/>
    <s v="CARİ"/>
    <n v="0.86486486486486491"/>
    <n v="370"/>
    <n v="320"/>
    <n v="0"/>
    <m/>
    <m/>
    <m/>
    <m/>
    <n v="0"/>
    <n v="0"/>
    <n v="13063.128092811761"/>
  </r>
  <r>
    <d v="2026-06-04T00:00:00"/>
    <x v="4"/>
    <s v="DOMATES SALÇASI"/>
    <m/>
    <x v="15"/>
    <s v="ST00000002416"/>
    <s v="SATIŞ - SUAT"/>
    <s v="CARİ"/>
    <n v="1"/>
    <n v="150"/>
    <n v="150"/>
    <n v="0"/>
    <m/>
    <m/>
    <m/>
    <m/>
    <n v="0"/>
    <n v="0"/>
    <n v="13063.128092811761"/>
  </r>
  <r>
    <d v="2026-06-04T00:00:00"/>
    <x v="4"/>
    <s v="KARIŞIK KURUYEMİŞ"/>
    <m/>
    <x v="15"/>
    <s v="ST00000002416"/>
    <s v="SATIŞ - SUAT"/>
    <s v="CARİ"/>
    <n v="0.23529411764705882"/>
    <n v="850"/>
    <n v="200"/>
    <n v="0"/>
    <m/>
    <m/>
    <m/>
    <m/>
    <n v="0"/>
    <n v="0"/>
    <n v="13063.128092811761"/>
  </r>
  <r>
    <d v="2026-06-04T00:00:00"/>
    <x v="4"/>
    <s v="BADEM KAVRULMUŞ"/>
    <m/>
    <x v="15"/>
    <s v="ST00000002416"/>
    <s v="SATIŞ - SUAT"/>
    <s v="CARİ"/>
    <n v="0.23076923076923078"/>
    <n v="650"/>
    <n v="150"/>
    <n v="0"/>
    <m/>
    <m/>
    <m/>
    <m/>
    <n v="0"/>
    <n v="0"/>
    <n v="13063.128092811761"/>
  </r>
  <r>
    <d v="2026-06-04T00:00:00"/>
    <x v="12"/>
    <s v="İNCİR KÜÇÜK"/>
    <m/>
    <x v="18"/>
    <n v="26"/>
    <s v="YILMAZ KARDEŞLER GIDA LTD - MAL ALIMI"/>
    <s v="CARİ"/>
    <n v="10"/>
    <n v="450"/>
    <n v="0"/>
    <n v="4500"/>
    <m/>
    <m/>
    <m/>
    <m/>
    <n v="0"/>
    <n v="0"/>
    <n v="13063.128092811761"/>
  </r>
  <r>
    <d v="2026-06-04T00:00:00"/>
    <x v="12"/>
    <s v="ÜZÜM SİYAH KİLİS"/>
    <m/>
    <x v="18"/>
    <n v="26"/>
    <s v="YILMAZ KARDEŞLER GIDA LTD - MAL ALIMI"/>
    <s v="CARİ"/>
    <n v="10"/>
    <n v="350"/>
    <n v="0"/>
    <n v="3500"/>
    <m/>
    <m/>
    <m/>
    <m/>
    <n v="0"/>
    <n v="0"/>
    <n v="13063.128092811761"/>
  </r>
  <r>
    <d v="2026-06-04T00:00:00"/>
    <x v="12"/>
    <s v="DUT KURUSU ESMER"/>
    <m/>
    <x v="18"/>
    <n v="26"/>
    <s v="YILMAZ KARDEŞLER GIDA LTD - MAL ALIMI"/>
    <s v="CARİ"/>
    <n v="5"/>
    <n v="250"/>
    <n v="0"/>
    <n v="1250"/>
    <m/>
    <m/>
    <m/>
    <m/>
    <n v="0"/>
    <n v="0"/>
    <n v="13063.128092811761"/>
  </r>
  <r>
    <d v="2026-06-04T00:00:00"/>
    <x v="13"/>
    <m/>
    <m/>
    <x v="5"/>
    <m/>
    <s v="ON NUMARA POS ÇÖZÜMÜ - YILMAZ KARDEŞLER"/>
    <s v="POS"/>
    <n v="1"/>
    <n v="5250"/>
    <n v="0"/>
    <n v="5250"/>
    <m/>
    <m/>
    <m/>
    <m/>
    <n v="5250"/>
    <n v="0"/>
    <n v="18313.128092811763"/>
  </r>
  <r>
    <d v="2026-06-04T00:00:00"/>
    <x v="7"/>
    <m/>
    <m/>
    <x v="18"/>
    <m/>
    <s v="5250 ONNUMARA KART - 4000 NAKİT"/>
    <s v="NAKİT"/>
    <n v="1"/>
    <n v="9250"/>
    <n v="9250"/>
    <m/>
    <m/>
    <m/>
    <m/>
    <m/>
    <m/>
    <n v="9250"/>
    <n v="9063.1280928117631"/>
  </r>
  <r>
    <d v="2026-06-05T00:00:00"/>
    <x v="12"/>
    <s v="AYÇEKİRDEĞİ DAKOTA TUZLU EKSTRA"/>
    <m/>
    <x v="12"/>
    <m/>
    <s v="NEVANTAT MAL ALIMI"/>
    <s v="CARİ"/>
    <n v="5"/>
    <n v="105"/>
    <n v="0"/>
    <n v="525"/>
    <m/>
    <m/>
    <m/>
    <m/>
    <n v="0"/>
    <n v="0"/>
    <n v="9063.1280928117631"/>
  </r>
  <r>
    <d v="2026-06-05T00:00:00"/>
    <x v="12"/>
    <s v="İZMİR ÜZÜMÜ"/>
    <m/>
    <x v="12"/>
    <m/>
    <s v="NEVANTAT MAL ALIMI"/>
    <s v="CARİ"/>
    <n v="5"/>
    <n v="180"/>
    <n v="0"/>
    <n v="900"/>
    <m/>
    <m/>
    <m/>
    <m/>
    <n v="0"/>
    <n v="0"/>
    <n v="9063.1280928117631"/>
  </r>
  <r>
    <d v="2026-06-05T00:00:00"/>
    <x v="12"/>
    <s v="LEBLEBİ ŞEKER RENKLİ"/>
    <m/>
    <x v="12"/>
    <m/>
    <s v="NEVANTAT MAL ALIMI"/>
    <s v="CARİ"/>
    <n v="5"/>
    <n v="99"/>
    <n v="0"/>
    <n v="495"/>
    <m/>
    <m/>
    <m/>
    <m/>
    <n v="0"/>
    <n v="0"/>
    <n v="9063.1280928117631"/>
  </r>
  <r>
    <d v="2026-06-05T00:00:00"/>
    <x v="12"/>
    <s v="LEBLEBİ ÇİFTE SARI"/>
    <m/>
    <x v="12"/>
    <m/>
    <s v="NEVANTAT MAL ALIMI"/>
    <s v="CARİ"/>
    <n v="5"/>
    <n v="180"/>
    <n v="0"/>
    <n v="900"/>
    <m/>
    <m/>
    <m/>
    <m/>
    <n v="0"/>
    <n v="0"/>
    <n v="9063.1280928117631"/>
  </r>
  <r>
    <d v="2026-06-05T00:00:00"/>
    <x v="12"/>
    <s v="LEBLEBİ SARI ÖZEL LÜX ÇITIR"/>
    <m/>
    <x v="12"/>
    <m/>
    <s v="NEVANTAT MAL ALIMI"/>
    <s v="CARİ"/>
    <n v="5"/>
    <n v="95"/>
    <n v="0"/>
    <n v="475"/>
    <m/>
    <m/>
    <m/>
    <m/>
    <n v="0"/>
    <n v="0"/>
    <n v="9063.1280928117631"/>
  </r>
  <r>
    <d v="2026-06-05T00:00:00"/>
    <x v="12"/>
    <s v="ÖMRÜM VANİLYALI GOFRET 450 GR"/>
    <m/>
    <x v="12"/>
    <m/>
    <s v="NEVANTAT MAL ALIMI"/>
    <s v="CARİ"/>
    <n v="12"/>
    <n v="50"/>
    <n v="0"/>
    <n v="600"/>
    <m/>
    <m/>
    <m/>
    <m/>
    <n v="0"/>
    <n v="0"/>
    <n v="9063.1280928117631"/>
  </r>
  <r>
    <d v="2026-06-05T00:00:00"/>
    <x v="12"/>
    <s v="DEMKAR TURUNCU PAKET ANTEP FISTIĞI"/>
    <m/>
    <x v="12"/>
    <m/>
    <s v="NEVANTAT MAL ALIMI"/>
    <s v="CARİ"/>
    <n v="2"/>
    <n v="1260"/>
    <n v="0"/>
    <n v="2520"/>
    <m/>
    <m/>
    <m/>
    <m/>
    <n v="0"/>
    <n v="0"/>
    <n v="9063.1280928117631"/>
  </r>
  <r>
    <d v="2026-06-05T00:00:00"/>
    <x v="12"/>
    <s v="KAJU 240 LIK EKSTRA"/>
    <m/>
    <x v="12"/>
    <m/>
    <s v="NEVANTAT MAL ALIMI"/>
    <s v="CARİ"/>
    <n v="3"/>
    <n v="500"/>
    <n v="0"/>
    <n v="1500"/>
    <m/>
    <m/>
    <m/>
    <m/>
    <n v="0"/>
    <n v="0"/>
    <n v="9063.1280928117631"/>
  </r>
  <r>
    <d v="2026-06-05T00:00:00"/>
    <x v="12"/>
    <s v="GENÇLEBİ ÇAKILTAŞI DRAJE"/>
    <m/>
    <x v="12"/>
    <m/>
    <s v="NEVANTAT MAL ALIMI"/>
    <s v="CARİ"/>
    <n v="5"/>
    <n v="150"/>
    <n v="0"/>
    <n v="750"/>
    <m/>
    <m/>
    <m/>
    <m/>
    <n v="0"/>
    <n v="0"/>
    <n v="9063.1280928117631"/>
  </r>
  <r>
    <d v="2026-06-05T00:00:00"/>
    <x v="13"/>
    <m/>
    <m/>
    <x v="5"/>
    <m/>
    <s v="ON NUMARA POS ÇÖZÜMÜ - NEVANTAT - MEHMET GALİP SARIGÜL"/>
    <s v="POS"/>
    <n v="1"/>
    <n v="8665"/>
    <n v="0"/>
    <n v="8665"/>
    <m/>
    <m/>
    <m/>
    <m/>
    <n v="0"/>
    <n v="0"/>
    <n v="9063.1280928117631"/>
  </r>
  <r>
    <d v="2026-06-05T00:00:00"/>
    <x v="7"/>
    <m/>
    <m/>
    <x v="12"/>
    <m/>
    <s v="ON NUMARA POS ÇÖZÜMÜ - NEVANTAT - MEHMET GALİP SARIGÜL"/>
    <s v="NAKİT"/>
    <n v="1"/>
    <n v="8665"/>
    <n v="8665"/>
    <n v="0"/>
    <m/>
    <m/>
    <m/>
    <m/>
    <n v="0"/>
    <n v="0"/>
    <n v="9063.1280928117631"/>
  </r>
  <r>
    <d v="2026-06-05T00:00:00"/>
    <x v="4"/>
    <s v="HİNDİSTAN CEVİZİ ( İRİ )"/>
    <m/>
    <x v="1"/>
    <s v="ST00000002417"/>
    <s v="SATIŞ"/>
    <s v="NAKİT"/>
    <n v="0.1"/>
    <n v="600"/>
    <n v="0"/>
    <n v="0"/>
    <m/>
    <m/>
    <m/>
    <m/>
    <n v="60"/>
    <n v="0"/>
    <n v="9123.1280928117631"/>
  </r>
  <r>
    <d v="2026-06-05T00:00:00"/>
    <x v="4"/>
    <s v="SALÇA ACI (EV YAPIMI)"/>
    <m/>
    <x v="1"/>
    <s v="ST00000002418"/>
    <s v="SATIŞ"/>
    <s v="POS"/>
    <n v="1"/>
    <n v="200"/>
    <n v="200"/>
    <n v="0"/>
    <m/>
    <m/>
    <m/>
    <m/>
    <n v="0"/>
    <n v="0"/>
    <n v="9123.1280928117631"/>
  </r>
  <r>
    <d v="2026-06-05T00:00:00"/>
    <x v="4"/>
    <s v="SALÇA TATLI (EV YAPIMI)"/>
    <m/>
    <x v="1"/>
    <s v="ST00000002419"/>
    <s v="SATIŞ"/>
    <s v="POS"/>
    <n v="1"/>
    <n v="200"/>
    <n v="200"/>
    <n v="0"/>
    <m/>
    <m/>
    <m/>
    <m/>
    <n v="0"/>
    <n v="0"/>
    <n v="9123.1280928117631"/>
  </r>
  <r>
    <d v="2026-06-05T00:00:00"/>
    <x v="4"/>
    <s v="FESLEĞEN"/>
    <m/>
    <x v="1"/>
    <s v="ST00000002420"/>
    <s v="SATIŞ"/>
    <s v="POS"/>
    <n v="3.4000000000000002E-2"/>
    <n v="700"/>
    <n v="23.8"/>
    <n v="0"/>
    <m/>
    <m/>
    <m/>
    <m/>
    <n v="0"/>
    <n v="0"/>
    <n v="9123.1280928117631"/>
  </r>
  <r>
    <d v="2026-06-05T00:00:00"/>
    <x v="4"/>
    <s v="ZERDEÇAL TOZ"/>
    <m/>
    <x v="1"/>
    <s v="ST00000002420"/>
    <s v="SATIŞ"/>
    <s v="POS"/>
    <n v="0.08"/>
    <n v="300"/>
    <n v="24"/>
    <n v="0"/>
    <m/>
    <m/>
    <m/>
    <m/>
    <n v="0"/>
    <n v="0"/>
    <n v="9123.1280928117631"/>
  </r>
  <r>
    <d v="2026-06-05T00:00:00"/>
    <x v="4"/>
    <s v="KABAK LİFLİ KEÇİ SÜTÜ BALLI SABUN"/>
    <m/>
    <x v="1"/>
    <s v="ST00000002420"/>
    <s v="SATIŞ"/>
    <s v="POS"/>
    <n v="1"/>
    <n v="100"/>
    <n v="100"/>
    <n v="0"/>
    <m/>
    <m/>
    <m/>
    <m/>
    <n v="0"/>
    <n v="0"/>
    <n v="9123.1280928117631"/>
  </r>
  <r>
    <d v="2026-06-05T00:00:00"/>
    <x v="4"/>
    <s v="TOZ BİBER - TATLI"/>
    <m/>
    <x v="1"/>
    <s v="ST00000002421"/>
    <s v="SATIŞ"/>
    <s v="NAKİT"/>
    <n v="0.77358490566037741"/>
    <n v="265"/>
    <n v="0"/>
    <n v="0"/>
    <m/>
    <m/>
    <m/>
    <m/>
    <n v="205"/>
    <n v="0"/>
    <n v="9328.1280928117631"/>
  </r>
  <r>
    <d v="2026-06-05T00:00:00"/>
    <x v="4"/>
    <s v="KİMYON ÇEKİLMİŞ"/>
    <m/>
    <x v="1"/>
    <s v="ST00000002421"/>
    <s v="SATIŞ"/>
    <s v="NAKİT"/>
    <n v="0.69333333333333336"/>
    <n v="300"/>
    <n v="0"/>
    <n v="0"/>
    <m/>
    <m/>
    <m/>
    <m/>
    <n v="208"/>
    <n v="0"/>
    <n v="9536.1280928117631"/>
  </r>
  <r>
    <d v="2026-06-05T00:00:00"/>
    <x v="4"/>
    <s v="LAVANTA YAĞI 10 CC"/>
    <m/>
    <x v="1"/>
    <s v="ST00000002422"/>
    <s v="SATIŞ"/>
    <s v="NAKİT"/>
    <n v="1"/>
    <n v="130"/>
    <n v="0"/>
    <n v="0"/>
    <m/>
    <m/>
    <m/>
    <m/>
    <n v="130"/>
    <n v="0"/>
    <n v="9666.1280928117631"/>
  </r>
  <r>
    <d v="2026-06-05T00:00:00"/>
    <x v="4"/>
    <s v="ÇAY AĞACI YAĞI 10 CC"/>
    <m/>
    <x v="1"/>
    <s v="ST00000002422"/>
    <s v="SATIŞ"/>
    <s v="NAKİT"/>
    <n v="1"/>
    <n v="130"/>
    <n v="0"/>
    <n v="0"/>
    <m/>
    <m/>
    <m/>
    <m/>
    <n v="130"/>
    <n v="0"/>
    <n v="9796.1280928117631"/>
  </r>
  <r>
    <d v="2026-06-05T00:00:00"/>
    <x v="4"/>
    <s v="HİNDİSTAN CEVİZİ YAĞI 20 CC"/>
    <m/>
    <x v="1"/>
    <s v="ST00000002422"/>
    <s v="SATIŞ"/>
    <s v="NAKİT"/>
    <n v="1"/>
    <n v="110"/>
    <n v="0"/>
    <n v="0"/>
    <m/>
    <m/>
    <m/>
    <m/>
    <n v="110"/>
    <n v="0"/>
    <n v="9906.1280928117631"/>
  </r>
  <r>
    <d v="2026-06-05T00:00:00"/>
    <x v="4"/>
    <s v="KARBONAT"/>
    <m/>
    <x v="1"/>
    <s v="ST00000002422"/>
    <s v="SATIŞ"/>
    <s v="NAKİT"/>
    <n v="0.5"/>
    <n v="60"/>
    <n v="0"/>
    <n v="0"/>
    <m/>
    <m/>
    <m/>
    <m/>
    <n v="30"/>
    <n v="0"/>
    <n v="9936.1280928117631"/>
  </r>
  <r>
    <d v="2026-06-05T00:00:00"/>
    <x v="4"/>
    <s v="İSOT"/>
    <m/>
    <x v="1"/>
    <s v="ST00000002423"/>
    <s v="SATIŞ"/>
    <s v="NAKİT"/>
    <n v="0.25"/>
    <n v="400"/>
    <n v="0"/>
    <n v="0"/>
    <m/>
    <m/>
    <m/>
    <m/>
    <n v="100"/>
    <n v="0"/>
    <n v="10036.128092811763"/>
  </r>
  <r>
    <d v="2026-06-06T00:00:00"/>
    <x v="4"/>
    <s v="DURMUŞOĞULLARI KATI PEKMEZ TAHTA 700 GR"/>
    <m/>
    <x v="1"/>
    <s v="ST00000002424"/>
    <s v="SATIŞ"/>
    <s v="POS"/>
    <n v="1"/>
    <n v="300"/>
    <n v="300"/>
    <n v="0"/>
    <m/>
    <m/>
    <m/>
    <m/>
    <n v="0"/>
    <n v="0"/>
    <n v="10036.128092811763"/>
  </r>
  <r>
    <d v="2026-06-06T00:00:00"/>
    <x v="4"/>
    <s v="KARIŞIK KURUYEMİŞ"/>
    <m/>
    <x v="1"/>
    <s v="ST00000002424"/>
    <s v="SATIŞ"/>
    <s v="POS"/>
    <n v="0.47058823529411764"/>
    <n v="850"/>
    <n v="400"/>
    <n v="0"/>
    <m/>
    <m/>
    <m/>
    <m/>
    <n v="0"/>
    <n v="0"/>
    <n v="10036.128092811763"/>
  </r>
  <r>
    <d v="2026-06-06T00:00:00"/>
    <x v="4"/>
    <s v="KÜÇÜK BEYAZ KABAK ÇEKİRDEĞİ - NEVŞEHİR"/>
    <m/>
    <x v="1"/>
    <s v="ST00000002424"/>
    <s v="SATIŞ"/>
    <s v="POS"/>
    <n v="0.34"/>
    <n v="250"/>
    <n v="85"/>
    <n v="0"/>
    <m/>
    <m/>
    <m/>
    <m/>
    <n v="0"/>
    <n v="0"/>
    <n v="10036.128092811763"/>
  </r>
  <r>
    <d v="2026-06-06T00:00:00"/>
    <x v="4"/>
    <s v="LEBLEBİ ÇİFTE SARI"/>
    <m/>
    <x v="1"/>
    <s v="ST00000002424"/>
    <s v="SATIŞ"/>
    <s v="POS"/>
    <n v="0.2"/>
    <n v="250"/>
    <n v="50"/>
    <n v="0"/>
    <m/>
    <m/>
    <m/>
    <m/>
    <n v="0"/>
    <n v="0"/>
    <n v="10036.128092811763"/>
  </r>
  <r>
    <d v="2026-06-06T00:00:00"/>
    <x v="4"/>
    <s v="AYÇEKİRDEĞİ DAKOTA TUZSUZ EKSTRA"/>
    <m/>
    <x v="1"/>
    <s v="ST00000002424"/>
    <s v="SATIŞ"/>
    <s v="POS"/>
    <n v="0.2608695652173913"/>
    <n v="230"/>
    <n v="60"/>
    <n v="0"/>
    <m/>
    <m/>
    <m/>
    <m/>
    <n v="0"/>
    <n v="0"/>
    <n v="10036.128092811763"/>
  </r>
  <r>
    <d v="2026-06-06T00:00:00"/>
    <x v="4"/>
    <s v="DOLMALIK KURU PATLICAN"/>
    <m/>
    <x v="1"/>
    <s v="ST00000002425"/>
    <s v="SATIŞ"/>
    <s v="POS"/>
    <n v="1"/>
    <n v="240"/>
    <n v="240"/>
    <n v="0"/>
    <m/>
    <m/>
    <m/>
    <m/>
    <n v="0"/>
    <n v="0"/>
    <n v="10036.128092811763"/>
  </r>
  <r>
    <d v="2026-06-06T00:00:00"/>
    <x v="4"/>
    <s v="DOLMALIK SARI BİBER"/>
    <m/>
    <x v="1"/>
    <s v="ST00000002425"/>
    <s v="SATIŞ"/>
    <s v="POS"/>
    <n v="1"/>
    <n v="240"/>
    <n v="240"/>
    <n v="0"/>
    <m/>
    <m/>
    <m/>
    <m/>
    <n v="0"/>
    <n v="0"/>
    <n v="10036.128092811763"/>
  </r>
  <r>
    <d v="2026-06-06T00:00:00"/>
    <x v="4"/>
    <s v="AKİKSİR HİNDİSTAN CEVİZİ YAĞI 150 GR"/>
    <m/>
    <x v="1"/>
    <s v="ST00000002425"/>
    <s v="SATIŞ"/>
    <s v="POS"/>
    <n v="1"/>
    <n v="190"/>
    <n v="190"/>
    <n v="0"/>
    <m/>
    <m/>
    <m/>
    <m/>
    <n v="0"/>
    <n v="0"/>
    <n v="10036.128092811763"/>
  </r>
  <r>
    <d v="2026-06-06T00:00:00"/>
    <x v="4"/>
    <s v="HİNT YAĞI 50 CC"/>
    <m/>
    <x v="1"/>
    <s v="ST00000002425"/>
    <s v="SATIŞ"/>
    <s v="POS"/>
    <n v="1"/>
    <n v="130"/>
    <n v="130"/>
    <n v="0"/>
    <m/>
    <m/>
    <m/>
    <m/>
    <n v="0"/>
    <n v="0"/>
    <n v="10036.128092811763"/>
  </r>
  <r>
    <d v="2026-06-06T00:00:00"/>
    <x v="4"/>
    <s v="NAHİTA KOZALAK ŞURUBU 500 ML"/>
    <m/>
    <x v="1"/>
    <s v="ST00000002426"/>
    <s v="SATIŞ - 90 ALDIK 230 KALDI"/>
    <s v="NAKİT"/>
    <n v="1"/>
    <n v="170"/>
    <n v="0"/>
    <n v="0"/>
    <m/>
    <m/>
    <m/>
    <m/>
    <n v="170"/>
    <n v="0"/>
    <n v="10206.128092811763"/>
  </r>
  <r>
    <d v="2026-06-06T00:00:00"/>
    <x v="4"/>
    <s v="DOMATES SALÇASI"/>
    <m/>
    <x v="1"/>
    <s v="ST00000002426"/>
    <s v="SATIŞ - 90 ALDIK 230 KALDI"/>
    <s v="NAKİT"/>
    <n v="1"/>
    <n v="150"/>
    <n v="0"/>
    <n v="0"/>
    <m/>
    <m/>
    <m/>
    <m/>
    <n v="150"/>
    <n v="0"/>
    <n v="10356.128092811763"/>
  </r>
  <r>
    <d v="2026-06-06T00:00:00"/>
    <x v="4"/>
    <s v="KARANFİL"/>
    <m/>
    <x v="1"/>
    <s v="ST00000002427"/>
    <s v="SATIŞ"/>
    <s v="NAKİT"/>
    <n v="0.05"/>
    <n v="1200"/>
    <n v="0"/>
    <n v="0"/>
    <m/>
    <m/>
    <m/>
    <m/>
    <n v="60"/>
    <n v="0"/>
    <n v="10416.128092811763"/>
  </r>
  <r>
    <d v="2026-06-06T00:00:00"/>
    <x v="4"/>
    <s v="LEBLEBİ ŞEKER RENKLİ"/>
    <m/>
    <x v="1"/>
    <s v="ST00000002428"/>
    <s v="SATIŞ"/>
    <s v="POS"/>
    <n v="0.3"/>
    <n v="250"/>
    <n v="75"/>
    <n v="0"/>
    <m/>
    <m/>
    <m/>
    <m/>
    <n v="0"/>
    <n v="0"/>
    <n v="10416.128092811763"/>
  </r>
  <r>
    <d v="2026-06-06T00:00:00"/>
    <x v="4"/>
    <s v="LEBLEBİ ÇİFTE SARI"/>
    <m/>
    <x v="1"/>
    <s v="ST00000002428"/>
    <s v="SATIŞ"/>
    <s v="POS"/>
    <n v="0.3"/>
    <n v="250"/>
    <n v="75"/>
    <n v="0"/>
    <m/>
    <m/>
    <m/>
    <m/>
    <n v="0"/>
    <n v="0"/>
    <n v="10416.128092811763"/>
  </r>
  <r>
    <d v="2026-06-06T00:00:00"/>
    <x v="4"/>
    <s v="YENİBAHAR TOZ"/>
    <m/>
    <x v="1"/>
    <s v="ST00000002429"/>
    <s v="SATIŞ"/>
    <s v="NAKİT"/>
    <n v="7.1428571428571425E-2"/>
    <n v="770"/>
    <n v="0"/>
    <n v="0"/>
    <m/>
    <m/>
    <m/>
    <m/>
    <n v="55"/>
    <n v="0"/>
    <n v="10471.128092811763"/>
  </r>
  <r>
    <d v="2026-06-06T00:00:00"/>
    <x v="4"/>
    <s v="KÖFTE BAHARATI (YEDİTÜRLÜ)"/>
    <m/>
    <x v="1"/>
    <s v="ST00000002429"/>
    <s v="SATIŞ"/>
    <s v="NAKİT"/>
    <n v="7.7777777777777779E-2"/>
    <n v="450"/>
    <n v="0"/>
    <n v="0"/>
    <m/>
    <m/>
    <m/>
    <m/>
    <n v="35"/>
    <n v="0"/>
    <n v="10506.128092811763"/>
  </r>
  <r>
    <d v="2026-06-06T00:00:00"/>
    <x v="4"/>
    <s v="PİLAVLIK BULGUR"/>
    <m/>
    <x v="1"/>
    <s v="ST00000002430"/>
    <s v="SATIŞ"/>
    <s v="NAKİT"/>
    <n v="2"/>
    <n v="65"/>
    <n v="0"/>
    <n v="0"/>
    <m/>
    <m/>
    <m/>
    <m/>
    <n v="130"/>
    <n v="0"/>
    <n v="10636.128092811763"/>
  </r>
  <r>
    <d v="2026-06-06T00:00:00"/>
    <x v="4"/>
    <s v="EVLİK BİBER"/>
    <m/>
    <x v="1"/>
    <s v="ST00000002431"/>
    <s v="SATIŞ"/>
    <s v="POS"/>
    <n v="0.24"/>
    <n v="400"/>
    <n v="96"/>
    <n v="0"/>
    <m/>
    <m/>
    <m/>
    <m/>
    <n v="0"/>
    <n v="0"/>
    <n v="10636.128092811763"/>
  </r>
  <r>
    <d v="2026-06-06T00:00:00"/>
    <x v="4"/>
    <s v="KABUKLU CEVİZ (YERLİ)"/>
    <m/>
    <x v="1"/>
    <s v="ST00000002431"/>
    <s v="SATIŞ"/>
    <s v="POS"/>
    <n v="1.02"/>
    <n v="250"/>
    <n v="255"/>
    <n v="0"/>
    <m/>
    <m/>
    <m/>
    <m/>
    <n v="0"/>
    <n v="0"/>
    <n v="10636.128092811763"/>
  </r>
  <r>
    <d v="2026-06-06T00:00:00"/>
    <x v="4"/>
    <s v="LEBLEBİ ÇİFTE SARI"/>
    <m/>
    <x v="1"/>
    <s v="ST00000002431"/>
    <s v="SATIŞ"/>
    <s v="POS"/>
    <n v="0.3"/>
    <n v="250"/>
    <n v="75"/>
    <n v="0"/>
    <m/>
    <m/>
    <m/>
    <m/>
    <n v="0"/>
    <n v="0"/>
    <n v="10636.128092811763"/>
  </r>
  <r>
    <d v="2026-06-06T00:00:00"/>
    <x v="4"/>
    <s v="HAŞİROĞLU TARHANA ÇEREZLİK"/>
    <m/>
    <x v="1"/>
    <s v="ST00000002431"/>
    <s v="SATIŞ"/>
    <s v="POS"/>
    <n v="1"/>
    <n v="290"/>
    <n v="290"/>
    <n v="0"/>
    <m/>
    <m/>
    <m/>
    <m/>
    <n v="0"/>
    <n v="0"/>
    <n v="10636.128092811763"/>
  </r>
  <r>
    <d v="2026-06-06T00:00:00"/>
    <x v="4"/>
    <s v="DOMATES SALÇASI"/>
    <m/>
    <x v="1"/>
    <s v="ST00000002431"/>
    <s v="SATIŞ"/>
    <s v="POS"/>
    <n v="2"/>
    <n v="150"/>
    <n v="300"/>
    <n v="0"/>
    <m/>
    <m/>
    <m/>
    <m/>
    <n v="0"/>
    <n v="0"/>
    <n v="10636.128092811763"/>
  </r>
  <r>
    <d v="2026-06-06T00:00:00"/>
    <x v="4"/>
    <s v="HAŞHAŞ MAVİ"/>
    <m/>
    <x v="1"/>
    <s v="ST00000002431"/>
    <s v="SATIŞ"/>
    <s v="POS"/>
    <n v="0.1"/>
    <n v="450"/>
    <n v="45"/>
    <n v="0"/>
    <m/>
    <m/>
    <m/>
    <m/>
    <n v="0"/>
    <n v="0"/>
    <n v="10636.128092811763"/>
  </r>
  <r>
    <d v="2026-06-06T00:00:00"/>
    <x v="4"/>
    <s v="EL-RUHA ÇAY 400 GR"/>
    <m/>
    <x v="1"/>
    <s v="ST00000002431"/>
    <s v="SATIŞ"/>
    <s v="POS"/>
    <n v="1"/>
    <n v="275"/>
    <n v="275"/>
    <n v="0"/>
    <m/>
    <m/>
    <m/>
    <m/>
    <n v="0"/>
    <n v="0"/>
    <n v="10636.128092811763"/>
  </r>
  <r>
    <d v="2026-06-07T00:00:00"/>
    <x v="4"/>
    <s v="GENÇLEBİ ÇAKILTAŞI DRAJE"/>
    <m/>
    <x v="1"/>
    <s v="ST00000002432"/>
    <s v="SATIŞ"/>
    <s v="NAKİT"/>
    <n v="0.2"/>
    <n v="250"/>
    <n v="0"/>
    <n v="0"/>
    <m/>
    <m/>
    <m/>
    <m/>
    <n v="50"/>
    <n v="0"/>
    <n v="10686.128092811763"/>
  </r>
  <r>
    <d v="2026-06-07T00:00:00"/>
    <x v="4"/>
    <s v="KINA RGS DÖKME"/>
    <m/>
    <x v="1"/>
    <s v="ST00000002433"/>
    <s v="SATIŞ"/>
    <s v="NAKİT"/>
    <n v="0.25"/>
    <n v="400"/>
    <n v="0"/>
    <n v="0"/>
    <m/>
    <m/>
    <m/>
    <m/>
    <n v="100"/>
    <n v="0"/>
    <n v="10786.128092811763"/>
  </r>
  <r>
    <d v="2026-06-07T00:00:00"/>
    <x v="4"/>
    <s v="HASEVLİK"/>
    <m/>
    <x v="1"/>
    <s v="ST00000002434"/>
    <s v="SATIŞ"/>
    <s v="POS"/>
    <n v="0.21777777777777776"/>
    <n v="450"/>
    <n v="98"/>
    <n v="0"/>
    <m/>
    <m/>
    <m/>
    <m/>
    <n v="0"/>
    <n v="0"/>
    <n v="10786.128092811763"/>
  </r>
  <r>
    <d v="2026-06-07T00:00:00"/>
    <x v="4"/>
    <s v="TOMBUL KESE 500 GR ACI"/>
    <m/>
    <x v="1"/>
    <s v="ST00000002434"/>
    <s v="SATIŞ"/>
    <s v="POS"/>
    <n v="1"/>
    <n v="200"/>
    <n v="200"/>
    <n v="0"/>
    <m/>
    <m/>
    <m/>
    <m/>
    <n v="0"/>
    <n v="0"/>
    <n v="10786.128092811763"/>
  </r>
  <r>
    <d v="2026-06-07T00:00:00"/>
    <x v="4"/>
    <s v="ATOM PUL BİBER ÇOK ACI"/>
    <m/>
    <x v="1"/>
    <s v="ST00000002435"/>
    <s v="SATIŞ"/>
    <s v="POS"/>
    <n v="0.21818181818181817"/>
    <n v="550"/>
    <n v="120"/>
    <n v="0"/>
    <m/>
    <m/>
    <m/>
    <m/>
    <n v="0"/>
    <n v="0"/>
    <n v="10786.128092811763"/>
  </r>
  <r>
    <d v="2026-06-07T00:00:00"/>
    <x v="4"/>
    <s v="GENÇLEBİ ÇAKILTAŞI DRAJE"/>
    <m/>
    <x v="1"/>
    <s v="ST00000002435"/>
    <s v="SATIŞ"/>
    <s v="POS"/>
    <n v="0.2"/>
    <n v="375"/>
    <n v="75"/>
    <n v="0"/>
    <m/>
    <m/>
    <m/>
    <m/>
    <n v="0"/>
    <n v="0"/>
    <n v="10786.128092811763"/>
  </r>
  <r>
    <d v="2026-06-07T00:00:00"/>
    <x v="4"/>
    <s v="HİNDİSTAN CEVİZİ YAĞI 150 ML"/>
    <m/>
    <x v="1"/>
    <s v="ST00000002436"/>
    <s v="SATIŞ"/>
    <s v="POS"/>
    <n v="1"/>
    <n v="250"/>
    <n v="250"/>
    <n v="0"/>
    <m/>
    <m/>
    <m/>
    <m/>
    <n v="0"/>
    <n v="0"/>
    <n v="10786.128092811763"/>
  </r>
  <r>
    <d v="2026-06-07T00:00:00"/>
    <x v="4"/>
    <s v="HUNCA CARE AT KESTANESİ KREMİ 500 ML"/>
    <m/>
    <x v="1"/>
    <s v="ST00000002436"/>
    <s v="SATIŞ"/>
    <s v="POS"/>
    <n v="1"/>
    <n v="190"/>
    <n v="190"/>
    <n v="0"/>
    <m/>
    <m/>
    <m/>
    <m/>
    <n v="0"/>
    <n v="0"/>
    <n v="10786.128092811763"/>
  </r>
  <r>
    <d v="2026-06-07T00:00:00"/>
    <x v="4"/>
    <s v="İZMİR ÜZÜMÜ"/>
    <m/>
    <x v="1"/>
    <s v="ST00000002436"/>
    <s v="SATIŞ"/>
    <s v="POS"/>
    <n v="0.27600000000000002"/>
    <n v="250"/>
    <n v="69"/>
    <n v="0"/>
    <m/>
    <m/>
    <m/>
    <m/>
    <n v="0"/>
    <n v="0"/>
    <n v="10786.128092811763"/>
  </r>
  <r>
    <d v="2026-06-07T00:00:00"/>
    <x v="4"/>
    <s v="LEBLEBİ ÇİFTE SARI"/>
    <m/>
    <x v="1"/>
    <s v="ST00000002436"/>
    <s v="SATIŞ"/>
    <s v="POS"/>
    <n v="0.3"/>
    <n v="250"/>
    <n v="75"/>
    <n v="0"/>
    <m/>
    <m/>
    <m/>
    <m/>
    <n v="0"/>
    <n v="0"/>
    <n v="10786.128092811763"/>
  </r>
  <r>
    <d v="2026-06-07T00:00:00"/>
    <x v="4"/>
    <s v="YENİ MAHSÜL PAPATYA"/>
    <m/>
    <x v="1"/>
    <s v="ST00000002436"/>
    <s v="SATIŞ"/>
    <s v="POS"/>
    <n v="0.05"/>
    <n v="1800"/>
    <n v="90"/>
    <n v="0"/>
    <m/>
    <m/>
    <m/>
    <m/>
    <n v="0"/>
    <n v="0"/>
    <n v="10786.128092811763"/>
  </r>
  <r>
    <d v="2026-06-07T00:00:00"/>
    <x v="4"/>
    <s v="ZEYTİN YAPRAĞI"/>
    <m/>
    <x v="1"/>
    <s v="ST00000002436"/>
    <s v="SATIŞ"/>
    <s v="POS"/>
    <n v="3.7499999999999999E-2"/>
    <n v="240"/>
    <n v="9"/>
    <n v="0"/>
    <m/>
    <m/>
    <m/>
    <m/>
    <n v="0"/>
    <n v="0"/>
    <n v="10786.128092811763"/>
  </r>
  <r>
    <d v="2026-06-07T00:00:00"/>
    <x v="4"/>
    <s v="AÇLIK OTU"/>
    <m/>
    <x v="1"/>
    <s v="ST00000002437"/>
    <s v="SATIŞ"/>
    <s v="NAKİT"/>
    <n v="0.12"/>
    <n v="417"/>
    <n v="0"/>
    <n v="0"/>
    <m/>
    <m/>
    <m/>
    <m/>
    <n v="50.04"/>
    <n v="0"/>
    <n v="10836.168092811764"/>
  </r>
  <r>
    <d v="2026-06-08T00:00:00"/>
    <x v="4"/>
    <s v="EVLİK BİBER"/>
    <m/>
    <x v="1"/>
    <s v="ST00000002438"/>
    <s v="SATIŞ"/>
    <s v="NAKİT"/>
    <n v="0.192"/>
    <n v="400"/>
    <n v="0"/>
    <n v="0"/>
    <m/>
    <m/>
    <m/>
    <m/>
    <n v="76.8"/>
    <n v="0"/>
    <n v="10912.968092811763"/>
  </r>
  <r>
    <d v="2026-06-08T00:00:00"/>
    <x v="4"/>
    <s v="TOZ BİBER - TATLI"/>
    <m/>
    <x v="1"/>
    <s v="ST00000002438"/>
    <s v="SATIŞ"/>
    <s v="NAKİT"/>
    <n v="0.17600000000000002"/>
    <n v="400"/>
    <n v="0"/>
    <n v="0"/>
    <m/>
    <m/>
    <m/>
    <m/>
    <n v="70.400000000000006"/>
    <n v="0"/>
    <n v="10983.368092811763"/>
  </r>
  <r>
    <d v="2026-06-08T00:00:00"/>
    <x v="4"/>
    <s v="PEINEILI GİNSENG KUVVET BİTKİSEL KARIŞIMLI MACUN"/>
    <m/>
    <x v="1"/>
    <s v="ST00000002439"/>
    <s v="SATIŞ"/>
    <s v="POS"/>
    <n v="1"/>
    <n v="500"/>
    <n v="500"/>
    <n v="0"/>
    <m/>
    <m/>
    <m/>
    <m/>
    <n v="0"/>
    <n v="0"/>
    <n v="10983.368092811763"/>
  </r>
  <r>
    <d v="2026-06-08T00:00:00"/>
    <x v="4"/>
    <s v="TOZ TARÇIN"/>
    <m/>
    <x v="1"/>
    <s v="ST00000002439"/>
    <s v="SATIŞ"/>
    <s v="POS"/>
    <n v="0.1"/>
    <n v="400"/>
    <n v="40"/>
    <n v="0"/>
    <m/>
    <m/>
    <m/>
    <m/>
    <n v="0"/>
    <n v="0"/>
    <n v="10983.368092811763"/>
  </r>
  <r>
    <d v="2026-06-08T00:00:00"/>
    <x v="4"/>
    <s v="İZMİR ÜZÜMÜ"/>
    <m/>
    <x v="1"/>
    <s v="ST00000002440"/>
    <s v="SATIŞ"/>
    <s v="POS"/>
    <n v="0.49199999999999999"/>
    <n v="250"/>
    <n v="123"/>
    <n v="0"/>
    <m/>
    <m/>
    <m/>
    <m/>
    <n v="0"/>
    <n v="0"/>
    <n v="10983.368092811763"/>
  </r>
  <r>
    <d v="2026-06-08T00:00:00"/>
    <x v="4"/>
    <s v="AÇIK KAYISI İRİ (SARI)"/>
    <m/>
    <x v="1"/>
    <s v="ST00000002440"/>
    <s v="SATIŞ"/>
    <s v="POS"/>
    <n v="0.38"/>
    <n v="650"/>
    <n v="247"/>
    <n v="0"/>
    <m/>
    <m/>
    <m/>
    <m/>
    <n v="0"/>
    <n v="0"/>
    <n v="10983.368092811763"/>
  </r>
  <r>
    <d v="2026-06-08T00:00:00"/>
    <x v="4"/>
    <s v="DOMATES SALÇASI"/>
    <m/>
    <x v="1"/>
    <s v="ST00000002441"/>
    <s v="SATIŞ"/>
    <s v="NAKİT"/>
    <n v="2"/>
    <n v="150"/>
    <n v="0"/>
    <n v="0"/>
    <m/>
    <m/>
    <m/>
    <m/>
    <n v="300"/>
    <n v="0"/>
    <n v="11283.368092811763"/>
  </r>
  <r>
    <d v="2026-06-08T00:00:00"/>
    <x v="4"/>
    <s v="DOLMALIK KURU PATLICAN"/>
    <m/>
    <x v="1"/>
    <s v="ST00000002442"/>
    <s v="SATIŞ"/>
    <s v="NAKİT"/>
    <n v="4"/>
    <n v="250"/>
    <n v="0"/>
    <n v="0"/>
    <m/>
    <m/>
    <m/>
    <m/>
    <n v="1000"/>
    <n v="0"/>
    <n v="12283.368092811763"/>
  </r>
  <r>
    <d v="2026-06-08T00:00:00"/>
    <x v="4"/>
    <s v="SALÇA TATLI (EV YAPIMI)"/>
    <m/>
    <x v="1"/>
    <s v="ST00000002442"/>
    <s v="SATIŞ"/>
    <s v="NAKİT"/>
    <n v="2"/>
    <n v="200"/>
    <n v="0"/>
    <n v="0"/>
    <m/>
    <m/>
    <m/>
    <m/>
    <n v="400"/>
    <n v="0"/>
    <n v="12683.368092811763"/>
  </r>
  <r>
    <d v="2026-06-08T00:00:00"/>
    <x v="4"/>
    <s v="ŞENAY SUMAK EKŞİSİ 600 GR"/>
    <m/>
    <x v="1"/>
    <s v="ST00000002442"/>
    <s v="SATIŞ"/>
    <s v="NAKİT"/>
    <n v="1"/>
    <n v="190"/>
    <n v="0"/>
    <n v="0"/>
    <m/>
    <m/>
    <m/>
    <m/>
    <n v="190"/>
    <n v="0"/>
    <n v="12873.368092811763"/>
  </r>
  <r>
    <d v="2026-06-09T00:00:00"/>
    <x v="4"/>
    <s v="TALA KARINCA YUMURTASI YAĞI 20 ML"/>
    <m/>
    <x v="1"/>
    <s v="ST00000002443"/>
    <s v="SATIŞ"/>
    <s v="POS"/>
    <n v="1"/>
    <n v="130"/>
    <n v="130"/>
    <n v="0"/>
    <m/>
    <m/>
    <m/>
    <m/>
    <n v="0"/>
    <n v="0"/>
    <n v="12873.368092811763"/>
  </r>
  <r>
    <d v="2026-06-09T00:00:00"/>
    <x v="4"/>
    <s v="DOLMALIK KURU PATLICAN"/>
    <m/>
    <x v="1"/>
    <s v="ST00000002444"/>
    <s v="SATIŞ"/>
    <s v="POS"/>
    <n v="1"/>
    <n v="250"/>
    <n v="250"/>
    <n v="0"/>
    <m/>
    <m/>
    <m/>
    <m/>
    <n v="0"/>
    <n v="0"/>
    <n v="12873.368092811763"/>
  </r>
  <r>
    <d v="2026-06-09T00:00:00"/>
    <x v="4"/>
    <s v="DOLMALIK SARI BİBER"/>
    <m/>
    <x v="1"/>
    <s v="ST00000002444"/>
    <s v="SATIŞ"/>
    <s v="POS"/>
    <n v="1"/>
    <n v="250"/>
    <n v="250"/>
    <n v="0"/>
    <m/>
    <m/>
    <m/>
    <m/>
    <n v="0"/>
    <n v="0"/>
    <n v="12873.368092811763"/>
  </r>
  <r>
    <d v="2026-06-09T00:00:00"/>
    <x v="4"/>
    <s v="HİBİSKUS"/>
    <m/>
    <x v="1"/>
    <s v="ST00000002444"/>
    <s v="SATIŞ"/>
    <s v="POS"/>
    <n v="0.15"/>
    <n v="600"/>
    <n v="90"/>
    <n v="0"/>
    <m/>
    <m/>
    <m/>
    <m/>
    <n v="0"/>
    <n v="0"/>
    <n v="12873.368092811763"/>
  </r>
  <r>
    <d v="2026-06-09T00:00:00"/>
    <x v="4"/>
    <s v="EL-RUHA ÇAY (AÇIK)"/>
    <m/>
    <x v="1"/>
    <s v="ST00000002445"/>
    <s v="SATIŞ"/>
    <s v="NAKİT"/>
    <n v="0.5"/>
    <n v="700"/>
    <n v="0"/>
    <n v="0"/>
    <m/>
    <m/>
    <m/>
    <m/>
    <n v="350"/>
    <n v="0"/>
    <n v="13223.368092811763"/>
  </r>
  <r>
    <d v="2026-06-09T00:00:00"/>
    <x v="4"/>
    <s v="KETEN TOHUMU"/>
    <m/>
    <x v="1"/>
    <s v="ST00000002446"/>
    <s v="SATIŞ"/>
    <s v="NAKİT"/>
    <n v="0.05"/>
    <n v="140"/>
    <n v="0"/>
    <n v="0"/>
    <m/>
    <m/>
    <m/>
    <m/>
    <n v="7"/>
    <n v="0"/>
    <n v="13230.368092811763"/>
  </r>
  <r>
    <d v="2026-06-09T00:00:00"/>
    <x v="4"/>
    <s v="ZERDEÇAL TOZ"/>
    <m/>
    <x v="1"/>
    <s v="ST00000002447"/>
    <s v="SATIŞ"/>
    <s v="POS"/>
    <n v="0.16799999999999998"/>
    <n v="300"/>
    <n v="50.399999999999991"/>
    <n v="0"/>
    <m/>
    <m/>
    <m/>
    <m/>
    <n v="0"/>
    <n v="0"/>
    <n v="13230.368092811763"/>
  </r>
  <r>
    <d v="2026-06-09T00:00:00"/>
    <x v="4"/>
    <s v="ZENCEFİL TOZ"/>
    <m/>
    <x v="1"/>
    <s v="ST00000002447"/>
    <s v="SATIŞ"/>
    <s v="POS"/>
    <n v="0.17199999999999999"/>
    <n v="400"/>
    <n v="68.8"/>
    <n v="0"/>
    <m/>
    <m/>
    <m/>
    <m/>
    <n v="0"/>
    <n v="0"/>
    <n v="13230.368092811763"/>
  </r>
  <r>
    <d v="2026-06-09T00:00:00"/>
    <x v="4"/>
    <s v="KARABİBER TANE"/>
    <m/>
    <x v="1"/>
    <s v="ST00000002447"/>
    <s v="SATIŞ"/>
    <s v="POS"/>
    <n v="0.2"/>
    <n v="700"/>
    <n v="140"/>
    <n v="0"/>
    <m/>
    <m/>
    <m/>
    <m/>
    <n v="0"/>
    <n v="0"/>
    <n v="13230.368092811763"/>
  </r>
  <r>
    <d v="2026-06-09T00:00:00"/>
    <x v="4"/>
    <s v="NANE İRİ"/>
    <m/>
    <x v="15"/>
    <s v="ST00000002448"/>
    <s v="SATIŞ - MÜMİNE"/>
    <s v="CARİ"/>
    <n v="0.1"/>
    <n v="400"/>
    <n v="40"/>
    <n v="0"/>
    <m/>
    <m/>
    <m/>
    <m/>
    <n v="0"/>
    <n v="0"/>
    <n v="13230.368092811763"/>
  </r>
  <r>
    <d v="2026-06-09T00:00:00"/>
    <x v="4"/>
    <s v="KİMYON ÇEKİLMİŞ"/>
    <m/>
    <x v="15"/>
    <s v="ST00000002448"/>
    <s v="SATIŞ - MÜMİNE"/>
    <s v="CARİ"/>
    <n v="0.1"/>
    <n v="400"/>
    <n v="40"/>
    <n v="0"/>
    <m/>
    <m/>
    <m/>
    <m/>
    <n v="0"/>
    <n v="0"/>
    <n v="13230.368092811763"/>
  </r>
  <r>
    <d v="2026-06-09T00:00:00"/>
    <x v="4"/>
    <s v="BİOBLAS SİYAH SARIMSAKLI 1000 ML SAÇ DÖKÜLMESİNE KARŞI ŞAMPUAN - SİYAH"/>
    <m/>
    <x v="15"/>
    <s v="ST00000002448"/>
    <s v="SATIŞ - MÜMİNE"/>
    <s v="CARİ"/>
    <n v="1"/>
    <n v="220"/>
    <n v="220"/>
    <n v="0"/>
    <m/>
    <m/>
    <m/>
    <m/>
    <n v="0"/>
    <n v="0"/>
    <n v="13230.368092811763"/>
  </r>
  <r>
    <d v="2026-06-09T00:00:00"/>
    <x v="4"/>
    <s v="İSOT"/>
    <m/>
    <x v="15"/>
    <s v="ST00000002449"/>
    <s v="SATIŞ - EMRE AYCİBİN"/>
    <s v="CARİ"/>
    <n v="0.42599999999999999"/>
    <n v="400"/>
    <n v="170.4"/>
    <n v="0"/>
    <m/>
    <m/>
    <m/>
    <m/>
    <n v="0"/>
    <n v="0"/>
    <n v="13230.368092811763"/>
  </r>
  <r>
    <d v="2026-06-09T00:00:00"/>
    <x v="4"/>
    <s v="TOZ BİBER - TATLI"/>
    <m/>
    <x v="15"/>
    <s v="ST00000002449"/>
    <s v="SATIŞ - EMRE AYCİBİN"/>
    <s v="CARİ"/>
    <n v="0.47199999999999998"/>
    <n v="400"/>
    <n v="188.79999999999998"/>
    <n v="0"/>
    <m/>
    <m/>
    <m/>
    <m/>
    <n v="0"/>
    <n v="0"/>
    <n v="13230.368092811763"/>
  </r>
  <r>
    <d v="2026-06-09T00:00:00"/>
    <x v="4"/>
    <s v="SUMAK"/>
    <m/>
    <x v="15"/>
    <s v="ST00000002449"/>
    <s v="SATIŞ - EMRE AYCİBİN"/>
    <s v="CARİ"/>
    <n v="0.27800000000000002"/>
    <n v="500"/>
    <n v="139"/>
    <n v="0"/>
    <m/>
    <m/>
    <m/>
    <m/>
    <n v="0"/>
    <n v="0"/>
    <n v="13230.368092811763"/>
  </r>
  <r>
    <d v="2026-06-09T00:00:00"/>
    <x v="4"/>
    <s v="KİMYON ÇEKİLMİŞ"/>
    <m/>
    <x v="15"/>
    <s v="ST00000002449"/>
    <s v="SATIŞ - EMRE AYCİBİN"/>
    <s v="CARİ"/>
    <n v="0.252"/>
    <n v="400"/>
    <n v="100.8"/>
    <n v="0"/>
    <m/>
    <m/>
    <m/>
    <m/>
    <n v="0"/>
    <n v="0"/>
    <n v="13230.368092811763"/>
  </r>
  <r>
    <d v="2026-06-09T00:00:00"/>
    <x v="4"/>
    <s v="MİSVAK KUTULU (HOLDER)"/>
    <m/>
    <x v="1"/>
    <s v="ST00000002450"/>
    <s v="SATIŞ"/>
    <s v="POS"/>
    <n v="2"/>
    <n v="30"/>
    <n v="60"/>
    <n v="0"/>
    <m/>
    <m/>
    <m/>
    <m/>
    <n v="0"/>
    <n v="0"/>
    <n v="13230.368092811763"/>
  </r>
  <r>
    <d v="2026-06-09T00:00:00"/>
    <x v="12"/>
    <s v="AŞURELİK BUĞDAY İZMİR"/>
    <m/>
    <x v="4"/>
    <n v="1005550"/>
    <s v="TÜDAB A.Ş."/>
    <s v="CARİ"/>
    <n v="10"/>
    <n v="38"/>
    <n v="0"/>
    <n v="380"/>
    <m/>
    <m/>
    <m/>
    <m/>
    <n v="0"/>
    <n v="0"/>
    <n v="13230.368092811763"/>
  </r>
  <r>
    <d v="2026-06-09T00:00:00"/>
    <x v="12"/>
    <s v="LOBAS SAF NAR EKŞİSİ 1 KG"/>
    <m/>
    <x v="4"/>
    <n v="1005550"/>
    <s v="TÜDAB A.Ş."/>
    <s v="CARİ"/>
    <n v="6"/>
    <n v="240"/>
    <n v="0"/>
    <n v="1440"/>
    <m/>
    <m/>
    <m/>
    <m/>
    <n v="0"/>
    <n v="0"/>
    <n v="13230.368092811763"/>
  </r>
  <r>
    <d v="2026-06-09T00:00:00"/>
    <x v="12"/>
    <s v="MİSVAK KUTULU (HOLDER)"/>
    <m/>
    <x v="4"/>
    <n v="1005550"/>
    <s v="TÜDAB A.Ş."/>
    <s v="CARİ"/>
    <n v="60"/>
    <n v="18"/>
    <n v="0"/>
    <n v="1080"/>
    <m/>
    <m/>
    <m/>
    <m/>
    <n v="0"/>
    <n v="0"/>
    <n v="13230.368092811763"/>
  </r>
  <r>
    <d v="2026-06-09T00:00:00"/>
    <x v="12"/>
    <s v="NAHİTA IŞGIN SİRKESİ"/>
    <m/>
    <x v="4"/>
    <n v="1005550"/>
    <s v="TÜDAB A.Ş."/>
    <s v="CARİ"/>
    <n v="6"/>
    <n v="105"/>
    <n v="0"/>
    <n v="630"/>
    <m/>
    <m/>
    <m/>
    <m/>
    <n v="0"/>
    <n v="0"/>
    <n v="13230.368092811763"/>
  </r>
  <r>
    <d v="2026-06-09T00:00:00"/>
    <x v="12"/>
    <s v="NAHİTA NAR EKŞİSİ 250 ML"/>
    <m/>
    <x v="4"/>
    <n v="1005550"/>
    <s v="TÜDAB A.Ş."/>
    <s v="CARİ"/>
    <n v="6"/>
    <n v="190"/>
    <n v="0"/>
    <n v="1140"/>
    <m/>
    <m/>
    <m/>
    <m/>
    <n v="0"/>
    <n v="0"/>
    <n v="13230.368092811763"/>
  </r>
  <r>
    <d v="2026-06-09T00:00:00"/>
    <x v="12"/>
    <s v="KÖFTELİK BULGUR"/>
    <m/>
    <x v="4"/>
    <n v="1005550"/>
    <s v="TÜDAB A.Ş."/>
    <s v="CARİ"/>
    <n v="25"/>
    <n v="44.5"/>
    <n v="0"/>
    <n v="1112.5"/>
    <m/>
    <m/>
    <m/>
    <m/>
    <n v="0"/>
    <n v="0"/>
    <n v="13230.368092811763"/>
  </r>
  <r>
    <d v="2026-06-09T00:00:00"/>
    <x v="12"/>
    <s v="TOMBUL KESE 500 GR ACI"/>
    <m/>
    <x v="4"/>
    <n v="1005550"/>
    <s v="TÜDAB A.Ş."/>
    <s v="CARİ"/>
    <n v="6"/>
    <n v="135"/>
    <n v="0"/>
    <n v="810"/>
    <m/>
    <m/>
    <m/>
    <m/>
    <n v="0"/>
    <n v="0"/>
    <n v="13230.368092811763"/>
  </r>
  <r>
    <d v="2026-06-09T00:00:00"/>
    <x v="12"/>
    <s v="TOMBUL KESE 500 GR TATLI"/>
    <m/>
    <x v="4"/>
    <n v="1005550"/>
    <s v="TÜDAB A.Ş."/>
    <s v="CARİ"/>
    <n v="6"/>
    <n v="135"/>
    <n v="0"/>
    <n v="810"/>
    <m/>
    <m/>
    <m/>
    <m/>
    <n v="0"/>
    <n v="0"/>
    <n v="13230.368092811763"/>
  </r>
  <r>
    <d v="2026-06-09T00:00:00"/>
    <x v="12"/>
    <s v="WARITEX KABAK LİFİ ELDİVEN"/>
    <m/>
    <x v="4"/>
    <n v="1005550"/>
    <s v="TÜDAB A.Ş."/>
    <s v="CARİ"/>
    <n v="12"/>
    <n v="60"/>
    <n v="0"/>
    <n v="720"/>
    <m/>
    <m/>
    <m/>
    <m/>
    <n v="0"/>
    <n v="0"/>
    <n v="13230.368092811763"/>
  </r>
  <r>
    <d v="2026-06-09T00:00:00"/>
    <x v="12"/>
    <s v="WARITEX ÇİFT TARAFLI KABAK LİFİ"/>
    <m/>
    <x v="4"/>
    <n v="1005550"/>
    <s v="TÜDAB A.Ş."/>
    <s v="CARİ"/>
    <n v="12"/>
    <n v="70"/>
    <n v="0"/>
    <n v="840"/>
    <m/>
    <m/>
    <m/>
    <m/>
    <n v="0"/>
    <n v="0"/>
    <n v="13230.368092811763"/>
  </r>
  <r>
    <d v="2026-06-11T00:00:00"/>
    <x v="1"/>
    <s v="KARAHİNDİBA YAPRAK"/>
    <s v="FİRE GİDERLERİ"/>
    <x v="1"/>
    <m/>
    <s v="KARAHİNDİBA - FİRE GİDERİ"/>
    <s v="NAKİT"/>
    <n v="0.86"/>
    <n v="280"/>
    <n v="0"/>
    <n v="0"/>
    <m/>
    <m/>
    <m/>
    <m/>
    <n v="0"/>
    <n v="240.79999999999998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n v="0"/>
    <n v="0"/>
    <n v="0"/>
    <m/>
    <m/>
    <m/>
    <m/>
    <n v="0"/>
    <n v="0"/>
    <n v="12989.568092811764"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  <r>
    <m/>
    <x v="14"/>
    <m/>
    <m/>
    <x v="1"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83">
  <r>
    <x v="0"/>
    <x v="0"/>
    <x v="0"/>
    <x v="0"/>
    <x v="0"/>
    <x v="0"/>
    <x v="0"/>
    <s v="NAKİT"/>
    <n v="1"/>
    <n v="264000"/>
    <m/>
    <n v="264000"/>
    <n v="0"/>
    <n v="0"/>
    <n v="1"/>
    <m/>
    <n v="264000"/>
    <n v="0"/>
    <n v="264000"/>
  </r>
  <r>
    <x v="1"/>
    <x v="1"/>
    <x v="0"/>
    <x v="1"/>
    <x v="1"/>
    <x v="1"/>
    <x v="1"/>
    <s v="NAKİT"/>
    <n v="1"/>
    <n v="24000"/>
    <n v="0"/>
    <n v="0"/>
    <n v="0"/>
    <n v="1"/>
    <m/>
    <n v="24000"/>
    <n v="0"/>
    <n v="24000"/>
    <n v="240000"/>
  </r>
  <r>
    <x v="1"/>
    <x v="1"/>
    <x v="0"/>
    <x v="2"/>
    <x v="1"/>
    <x v="2"/>
    <x v="2"/>
    <s v="NAKİT"/>
    <n v="1"/>
    <n v="44000"/>
    <n v="0"/>
    <n v="0"/>
    <n v="0"/>
    <n v="1"/>
    <m/>
    <n v="44000"/>
    <n v="0"/>
    <n v="44000"/>
    <n v="196000"/>
  </r>
  <r>
    <x v="2"/>
    <x v="1"/>
    <x v="0"/>
    <x v="3"/>
    <x v="2"/>
    <x v="3"/>
    <x v="3"/>
    <s v="K.K."/>
    <n v="1"/>
    <n v="3900"/>
    <n v="0"/>
    <n v="3900"/>
    <n v="0"/>
    <n v="1"/>
    <m/>
    <n v="3900"/>
    <n v="0"/>
    <n v="0"/>
    <n v="196000"/>
  </r>
  <r>
    <x v="2"/>
    <x v="2"/>
    <x v="0"/>
    <x v="4"/>
    <x v="1"/>
    <x v="2"/>
    <x v="4"/>
    <s v="NAKİT"/>
    <n v="1"/>
    <n v="50000"/>
    <n v="0"/>
    <n v="0"/>
    <n v="0"/>
    <n v="1"/>
    <m/>
    <n v="50000"/>
    <n v="0"/>
    <n v="50000"/>
    <n v="146000"/>
  </r>
  <r>
    <x v="2"/>
    <x v="1"/>
    <x v="0"/>
    <x v="5"/>
    <x v="1"/>
    <x v="2"/>
    <x v="5"/>
    <s v="NAKİT"/>
    <n v="1"/>
    <n v="7500"/>
    <n v="0"/>
    <n v="0"/>
    <n v="0"/>
    <n v="1"/>
    <m/>
    <n v="7500"/>
    <n v="0"/>
    <n v="7500"/>
    <n v="138500"/>
  </r>
  <r>
    <x v="3"/>
    <x v="1"/>
    <x v="0"/>
    <x v="6"/>
    <x v="2"/>
    <x v="4"/>
    <x v="6"/>
    <s v="K.K."/>
    <n v="1"/>
    <n v="220"/>
    <n v="0"/>
    <n v="220"/>
    <n v="0"/>
    <n v="1"/>
    <m/>
    <n v="220"/>
    <n v="0"/>
    <n v="0"/>
    <n v="138500"/>
  </r>
  <r>
    <x v="3"/>
    <x v="3"/>
    <x v="1"/>
    <x v="0"/>
    <x v="2"/>
    <x v="5"/>
    <x v="7"/>
    <s v="K.K."/>
    <n v="3"/>
    <n v="99.899999999999991"/>
    <n v="0"/>
    <n v="299.7"/>
    <n v="0"/>
    <n v="3"/>
    <m/>
    <n v="99.899999999999991"/>
    <n v="0"/>
    <n v="0"/>
    <n v="138500"/>
  </r>
  <r>
    <x v="3"/>
    <x v="3"/>
    <x v="2"/>
    <x v="0"/>
    <x v="2"/>
    <x v="5"/>
    <x v="7"/>
    <s v="K.K."/>
    <n v="3"/>
    <n v="79.899999999999991"/>
    <n v="0"/>
    <n v="239.7"/>
    <m/>
    <n v="3"/>
    <m/>
    <n v="79.899999999999991"/>
    <n v="0"/>
    <n v="0"/>
    <n v="138500"/>
  </r>
  <r>
    <x v="3"/>
    <x v="3"/>
    <x v="3"/>
    <x v="0"/>
    <x v="2"/>
    <x v="5"/>
    <x v="7"/>
    <s v="K.K."/>
    <n v="3"/>
    <n v="75"/>
    <n v="0"/>
    <n v="225"/>
    <m/>
    <n v="3"/>
    <m/>
    <n v="75"/>
    <n v="0"/>
    <n v="0"/>
    <n v="138500"/>
  </r>
  <r>
    <x v="3"/>
    <x v="3"/>
    <x v="4"/>
    <x v="0"/>
    <x v="2"/>
    <x v="5"/>
    <x v="7"/>
    <s v="K.K."/>
    <n v="4"/>
    <n v="79.900000000000006"/>
    <n v="0"/>
    <n v="319.60000000000002"/>
    <m/>
    <n v="4"/>
    <m/>
    <n v="79.900000000000006"/>
    <n v="0"/>
    <n v="0"/>
    <n v="138500"/>
  </r>
  <r>
    <x v="3"/>
    <x v="1"/>
    <x v="0"/>
    <x v="7"/>
    <x v="2"/>
    <x v="6"/>
    <x v="8"/>
    <s v="K.K."/>
    <n v="1"/>
    <n v="102"/>
    <n v="0"/>
    <n v="102"/>
    <m/>
    <n v="1"/>
    <m/>
    <n v="102"/>
    <n v="0"/>
    <n v="0"/>
    <n v="138500"/>
  </r>
  <r>
    <x v="3"/>
    <x v="1"/>
    <x v="0"/>
    <x v="7"/>
    <x v="2"/>
    <x v="7"/>
    <x v="9"/>
    <s v="K.K."/>
    <n v="1"/>
    <n v="228"/>
    <n v="0"/>
    <n v="228"/>
    <m/>
    <n v="1"/>
    <m/>
    <n v="228"/>
    <n v="0"/>
    <n v="0"/>
    <n v="138500"/>
  </r>
  <r>
    <x v="4"/>
    <x v="3"/>
    <x v="5"/>
    <x v="0"/>
    <x v="2"/>
    <x v="8"/>
    <x v="10"/>
    <s v="K.K."/>
    <n v="5"/>
    <n v="199"/>
    <n v="0"/>
    <n v="995"/>
    <m/>
    <n v="5"/>
    <m/>
    <n v="199"/>
    <n v="0"/>
    <n v="0"/>
    <n v="138500"/>
  </r>
  <r>
    <x v="4"/>
    <x v="3"/>
    <x v="5"/>
    <x v="0"/>
    <x v="2"/>
    <x v="9"/>
    <x v="10"/>
    <s v="K.K."/>
    <n v="5"/>
    <n v="199"/>
    <n v="0"/>
    <n v="995"/>
    <m/>
    <n v="5"/>
    <m/>
    <n v="199"/>
    <n v="0"/>
    <n v="0"/>
    <n v="138500"/>
  </r>
  <r>
    <x v="4"/>
    <x v="1"/>
    <x v="0"/>
    <x v="6"/>
    <x v="2"/>
    <x v="10"/>
    <x v="11"/>
    <s v="K.K."/>
    <n v="1"/>
    <n v="1175"/>
    <n v="0"/>
    <n v="1175"/>
    <m/>
    <n v="1"/>
    <m/>
    <n v="1175"/>
    <n v="0"/>
    <n v="0"/>
    <n v="138500"/>
  </r>
  <r>
    <x v="5"/>
    <x v="1"/>
    <x v="0"/>
    <x v="8"/>
    <x v="2"/>
    <x v="11"/>
    <x v="12"/>
    <s v="K.K."/>
    <n v="1"/>
    <n v="52"/>
    <n v="0"/>
    <n v="52"/>
    <m/>
    <n v="1"/>
    <m/>
    <n v="52"/>
    <n v="0"/>
    <n v="0"/>
    <n v="138500"/>
  </r>
  <r>
    <x v="6"/>
    <x v="1"/>
    <x v="0"/>
    <x v="3"/>
    <x v="2"/>
    <x v="12"/>
    <x v="3"/>
    <s v="K.K."/>
    <n v="1"/>
    <n v="1000"/>
    <n v="0"/>
    <n v="1000"/>
    <m/>
    <n v="1"/>
    <m/>
    <n v="1000"/>
    <n v="0"/>
    <n v="0"/>
    <n v="138500"/>
  </r>
  <r>
    <x v="7"/>
    <x v="1"/>
    <x v="0"/>
    <x v="7"/>
    <x v="2"/>
    <x v="13"/>
    <x v="13"/>
    <s v="K.K."/>
    <n v="1"/>
    <n v="131.5"/>
    <n v="0"/>
    <n v="131.5"/>
    <m/>
    <n v="1"/>
    <m/>
    <n v="131.5"/>
    <n v="0"/>
    <n v="0"/>
    <n v="138500"/>
  </r>
  <r>
    <x v="8"/>
    <x v="3"/>
    <x v="6"/>
    <x v="0"/>
    <x v="2"/>
    <x v="14"/>
    <x v="14"/>
    <s v="K.K."/>
    <n v="1"/>
    <n v="125"/>
    <n v="0"/>
    <n v="125"/>
    <m/>
    <n v="1"/>
    <m/>
    <n v="125"/>
    <n v="0"/>
    <n v="0"/>
    <n v="138500"/>
  </r>
  <r>
    <x v="8"/>
    <x v="3"/>
    <x v="7"/>
    <x v="0"/>
    <x v="2"/>
    <x v="14"/>
    <x v="14"/>
    <s v="K.K."/>
    <n v="3"/>
    <n v="175"/>
    <n v="0"/>
    <n v="525"/>
    <m/>
    <n v="3"/>
    <m/>
    <n v="175"/>
    <n v="0"/>
    <n v="0"/>
    <n v="138500"/>
  </r>
  <r>
    <x v="9"/>
    <x v="1"/>
    <x v="0"/>
    <x v="6"/>
    <x v="2"/>
    <x v="15"/>
    <x v="15"/>
    <s v="K.K."/>
    <n v="1"/>
    <n v="1061.5"/>
    <n v="0"/>
    <n v="1061.5"/>
    <m/>
    <n v="1"/>
    <m/>
    <n v="1061.5"/>
    <n v="0"/>
    <n v="0"/>
    <n v="138500"/>
  </r>
  <r>
    <x v="9"/>
    <x v="2"/>
    <x v="0"/>
    <x v="4"/>
    <x v="1"/>
    <x v="2"/>
    <x v="16"/>
    <s v="NAKİT"/>
    <n v="1"/>
    <n v="8000"/>
    <n v="0"/>
    <n v="0"/>
    <m/>
    <n v="1"/>
    <m/>
    <n v="8000"/>
    <n v="0"/>
    <n v="8000"/>
    <n v="130500"/>
  </r>
  <r>
    <x v="10"/>
    <x v="3"/>
    <x v="8"/>
    <x v="0"/>
    <x v="2"/>
    <x v="16"/>
    <x v="14"/>
    <s v="K.K."/>
    <n v="7"/>
    <n v="53.5"/>
    <n v="0"/>
    <n v="374.5"/>
    <m/>
    <n v="7"/>
    <m/>
    <n v="53.5"/>
    <n v="0"/>
    <n v="0"/>
    <n v="130500"/>
  </r>
  <r>
    <x v="10"/>
    <x v="1"/>
    <x v="0"/>
    <x v="6"/>
    <x v="2"/>
    <x v="16"/>
    <x v="17"/>
    <s v="K.K."/>
    <n v="1"/>
    <n v="64"/>
    <n v="0"/>
    <n v="64"/>
    <m/>
    <n v="1"/>
    <m/>
    <n v="64"/>
    <n v="0"/>
    <n v="0"/>
    <n v="130500"/>
  </r>
  <r>
    <x v="11"/>
    <x v="3"/>
    <x v="9"/>
    <x v="0"/>
    <x v="2"/>
    <x v="17"/>
    <x v="18"/>
    <s v="K.K."/>
    <n v="12"/>
    <n v="90"/>
    <n v="0"/>
    <n v="1080"/>
    <m/>
    <n v="12"/>
    <m/>
    <n v="90"/>
    <n v="0"/>
    <n v="0"/>
    <n v="130500"/>
  </r>
  <r>
    <x v="11"/>
    <x v="3"/>
    <x v="10"/>
    <x v="0"/>
    <x v="2"/>
    <x v="17"/>
    <x v="18"/>
    <s v="K.K."/>
    <n v="12"/>
    <n v="95"/>
    <n v="0"/>
    <n v="1140"/>
    <m/>
    <n v="12"/>
    <m/>
    <n v="95"/>
    <n v="0"/>
    <n v="0"/>
    <n v="130500"/>
  </r>
  <r>
    <x v="11"/>
    <x v="3"/>
    <x v="11"/>
    <x v="0"/>
    <x v="2"/>
    <x v="17"/>
    <x v="18"/>
    <s v="K.K."/>
    <n v="6"/>
    <n v="75"/>
    <n v="0"/>
    <n v="450"/>
    <m/>
    <n v="6"/>
    <m/>
    <n v="75"/>
    <n v="0"/>
    <n v="0"/>
    <n v="130500"/>
  </r>
  <r>
    <x v="11"/>
    <x v="2"/>
    <x v="0"/>
    <x v="4"/>
    <x v="2"/>
    <x v="18"/>
    <x v="19"/>
    <s v="K.K."/>
    <n v="1"/>
    <n v="815"/>
    <n v="0"/>
    <n v="815"/>
    <m/>
    <n v="1"/>
    <m/>
    <n v="815"/>
    <n v="0"/>
    <n v="0"/>
    <n v="130500"/>
  </r>
  <r>
    <x v="12"/>
    <x v="3"/>
    <x v="12"/>
    <x v="0"/>
    <x v="2"/>
    <x v="19"/>
    <x v="18"/>
    <s v="K.K."/>
    <n v="5"/>
    <n v="159"/>
    <n v="0"/>
    <n v="795"/>
    <m/>
    <n v="5"/>
    <m/>
    <n v="159"/>
    <n v="0"/>
    <n v="0"/>
    <n v="130500"/>
  </r>
  <r>
    <x v="12"/>
    <x v="3"/>
    <x v="7"/>
    <x v="0"/>
    <x v="2"/>
    <x v="19"/>
    <x v="18"/>
    <s v="K.K."/>
    <n v="1"/>
    <n v="155"/>
    <n v="0"/>
    <n v="155"/>
    <m/>
    <n v="1"/>
    <m/>
    <n v="155"/>
    <n v="0"/>
    <n v="0"/>
    <n v="130500"/>
  </r>
  <r>
    <x v="12"/>
    <x v="3"/>
    <x v="13"/>
    <x v="0"/>
    <x v="2"/>
    <x v="20"/>
    <x v="20"/>
    <s v="K.K."/>
    <n v="4"/>
    <n v="146.25"/>
    <n v="0"/>
    <n v="585"/>
    <m/>
    <n v="4"/>
    <m/>
    <n v="146.25"/>
    <n v="0"/>
    <n v="0"/>
    <n v="130500"/>
  </r>
  <r>
    <x v="12"/>
    <x v="1"/>
    <x v="0"/>
    <x v="6"/>
    <x v="2"/>
    <x v="21"/>
    <x v="21"/>
    <s v="K.K."/>
    <n v="1"/>
    <n v="429.98"/>
    <n v="0"/>
    <n v="429.98"/>
    <m/>
    <n v="1"/>
    <m/>
    <n v="429.98"/>
    <n v="0"/>
    <n v="0"/>
    <n v="130500"/>
  </r>
  <r>
    <x v="12"/>
    <x v="2"/>
    <x v="0"/>
    <x v="4"/>
    <x v="2"/>
    <x v="22"/>
    <x v="22"/>
    <s v="K.K."/>
    <n v="1"/>
    <n v="6399"/>
    <n v="0"/>
    <n v="6399"/>
    <m/>
    <n v="1"/>
    <m/>
    <n v="6399"/>
    <n v="0"/>
    <n v="0"/>
    <n v="130500"/>
  </r>
  <r>
    <x v="13"/>
    <x v="2"/>
    <x v="0"/>
    <x v="4"/>
    <x v="1"/>
    <x v="2"/>
    <x v="23"/>
    <s v="NAKİT"/>
    <n v="1"/>
    <n v="8000"/>
    <n v="0"/>
    <n v="0"/>
    <m/>
    <n v="1"/>
    <m/>
    <n v="8000"/>
    <n v="0"/>
    <n v="8000"/>
    <n v="122500"/>
  </r>
  <r>
    <x v="14"/>
    <x v="3"/>
    <x v="14"/>
    <x v="0"/>
    <x v="2"/>
    <x v="23"/>
    <x v="24"/>
    <s v="K.K."/>
    <n v="10"/>
    <n v="160"/>
    <n v="0"/>
    <n v="1600"/>
    <m/>
    <n v="10"/>
    <m/>
    <n v="160"/>
    <n v="0"/>
    <n v="0"/>
    <n v="122500"/>
  </r>
  <r>
    <x v="14"/>
    <x v="3"/>
    <x v="15"/>
    <x v="0"/>
    <x v="2"/>
    <x v="23"/>
    <x v="24"/>
    <s v="K.K."/>
    <n v="5"/>
    <n v="133"/>
    <n v="0"/>
    <n v="665"/>
    <m/>
    <n v="5"/>
    <m/>
    <n v="133"/>
    <n v="0"/>
    <n v="0"/>
    <n v="122500"/>
  </r>
  <r>
    <x v="14"/>
    <x v="3"/>
    <x v="16"/>
    <x v="0"/>
    <x v="2"/>
    <x v="23"/>
    <x v="24"/>
    <s v="K.K."/>
    <n v="6"/>
    <n v="80"/>
    <n v="0"/>
    <n v="480"/>
    <m/>
    <n v="6"/>
    <m/>
    <n v="80"/>
    <n v="0"/>
    <n v="0"/>
    <n v="122500"/>
  </r>
  <r>
    <x v="14"/>
    <x v="4"/>
    <x v="5"/>
    <x v="0"/>
    <x v="1"/>
    <x v="24"/>
    <x v="25"/>
    <s v="NAKİT"/>
    <n v="1"/>
    <n v="250"/>
    <n v="0"/>
    <n v="0"/>
    <n v="1"/>
    <m/>
    <n v="250"/>
    <m/>
    <n v="250"/>
    <n v="0"/>
    <n v="122750"/>
  </r>
  <r>
    <x v="14"/>
    <x v="4"/>
    <x v="17"/>
    <x v="0"/>
    <x v="1"/>
    <x v="24"/>
    <x v="25"/>
    <s v="NAKİT"/>
    <n v="1"/>
    <n v="50"/>
    <n v="0"/>
    <n v="0"/>
    <n v="1"/>
    <m/>
    <n v="50"/>
    <m/>
    <n v="50"/>
    <n v="0"/>
    <n v="122800"/>
  </r>
  <r>
    <x v="14"/>
    <x v="4"/>
    <x v="9"/>
    <x v="0"/>
    <x v="1"/>
    <x v="24"/>
    <x v="25"/>
    <s v="NAKİT"/>
    <n v="1"/>
    <n v="160"/>
    <n v="0"/>
    <n v="0"/>
    <n v="1"/>
    <m/>
    <n v="160"/>
    <m/>
    <n v="160"/>
    <n v="0"/>
    <n v="122960"/>
  </r>
  <r>
    <x v="14"/>
    <x v="4"/>
    <x v="10"/>
    <x v="0"/>
    <x v="1"/>
    <x v="24"/>
    <x v="25"/>
    <s v="NAKİT"/>
    <n v="1"/>
    <n v="170"/>
    <n v="0"/>
    <n v="0"/>
    <n v="1"/>
    <m/>
    <n v="170"/>
    <m/>
    <n v="170"/>
    <n v="0"/>
    <n v="123130"/>
  </r>
  <r>
    <x v="14"/>
    <x v="4"/>
    <x v="12"/>
    <x v="0"/>
    <x v="1"/>
    <x v="24"/>
    <x v="25"/>
    <s v="NAKİT"/>
    <n v="1"/>
    <n v="220"/>
    <n v="0"/>
    <n v="0"/>
    <n v="1"/>
    <m/>
    <n v="220"/>
    <m/>
    <n v="220"/>
    <n v="0"/>
    <n v="123350"/>
  </r>
  <r>
    <x v="14"/>
    <x v="4"/>
    <x v="18"/>
    <x v="0"/>
    <x v="1"/>
    <x v="24"/>
    <x v="25"/>
    <s v="NAKİT"/>
    <n v="1"/>
    <n v="230"/>
    <n v="0"/>
    <n v="0"/>
    <n v="1"/>
    <m/>
    <n v="230"/>
    <m/>
    <n v="230"/>
    <n v="0"/>
    <n v="123580"/>
  </r>
  <r>
    <x v="14"/>
    <x v="4"/>
    <x v="19"/>
    <x v="0"/>
    <x v="1"/>
    <x v="24"/>
    <x v="25"/>
    <s v="NAKİT"/>
    <n v="1"/>
    <n v="200"/>
    <n v="0"/>
    <n v="0"/>
    <n v="1"/>
    <m/>
    <n v="200"/>
    <m/>
    <n v="200"/>
    <n v="0"/>
    <n v="123780"/>
  </r>
  <r>
    <x v="14"/>
    <x v="4"/>
    <x v="20"/>
    <x v="0"/>
    <x v="1"/>
    <x v="24"/>
    <x v="25"/>
    <s v="NAKİT"/>
    <n v="1"/>
    <n v="200"/>
    <n v="0"/>
    <n v="0"/>
    <n v="1"/>
    <m/>
    <n v="200"/>
    <m/>
    <n v="200"/>
    <n v="0"/>
    <n v="123980"/>
  </r>
  <r>
    <x v="14"/>
    <x v="4"/>
    <x v="21"/>
    <x v="0"/>
    <x v="1"/>
    <x v="24"/>
    <x v="25"/>
    <s v="NAKİT"/>
    <n v="1"/>
    <n v="260"/>
    <n v="0"/>
    <n v="0"/>
    <n v="1"/>
    <m/>
    <n v="260"/>
    <m/>
    <n v="260"/>
    <n v="0"/>
    <n v="124240"/>
  </r>
  <r>
    <x v="14"/>
    <x v="1"/>
    <x v="0"/>
    <x v="9"/>
    <x v="1"/>
    <x v="24"/>
    <x v="25"/>
    <s v="NAKİT"/>
    <n v="1"/>
    <n v="34"/>
    <n v="0"/>
    <n v="0"/>
    <m/>
    <n v="1"/>
    <m/>
    <n v="34"/>
    <n v="0"/>
    <n v="34"/>
    <n v="124206"/>
  </r>
  <r>
    <x v="14"/>
    <x v="4"/>
    <x v="22"/>
    <x v="0"/>
    <x v="1"/>
    <x v="25"/>
    <x v="26"/>
    <s v="NAKİT"/>
    <n v="0.35"/>
    <n v="260"/>
    <n v="0"/>
    <n v="0"/>
    <n v="0.35"/>
    <m/>
    <n v="260"/>
    <m/>
    <n v="91"/>
    <n v="0"/>
    <n v="124297"/>
  </r>
  <r>
    <x v="14"/>
    <x v="4"/>
    <x v="23"/>
    <x v="0"/>
    <x v="1"/>
    <x v="25"/>
    <x v="25"/>
    <s v="NAKİT"/>
    <n v="0.35"/>
    <n v="230"/>
    <n v="0"/>
    <n v="0"/>
    <n v="0.35"/>
    <m/>
    <n v="230"/>
    <m/>
    <n v="80.5"/>
    <n v="0"/>
    <n v="124377.5"/>
  </r>
  <r>
    <x v="14"/>
    <x v="3"/>
    <x v="24"/>
    <x v="0"/>
    <x v="3"/>
    <x v="26"/>
    <x v="27"/>
    <s v="CARİ"/>
    <n v="25"/>
    <n v="320"/>
    <n v="0"/>
    <n v="8000"/>
    <m/>
    <n v="25"/>
    <m/>
    <n v="320"/>
    <n v="0"/>
    <n v="0"/>
    <n v="124377.5"/>
  </r>
  <r>
    <x v="14"/>
    <x v="3"/>
    <x v="25"/>
    <x v="0"/>
    <x v="3"/>
    <x v="26"/>
    <x v="27"/>
    <s v="CARİ"/>
    <n v="25"/>
    <n v="170"/>
    <n v="0"/>
    <n v="4250"/>
    <m/>
    <n v="25"/>
    <m/>
    <n v="170"/>
    <n v="0"/>
    <n v="0"/>
    <n v="124377.5"/>
  </r>
  <r>
    <x v="14"/>
    <x v="3"/>
    <x v="26"/>
    <x v="0"/>
    <x v="3"/>
    <x v="26"/>
    <x v="27"/>
    <s v="CARİ"/>
    <n v="10"/>
    <n v="180"/>
    <n v="0"/>
    <n v="1800"/>
    <m/>
    <n v="10"/>
    <m/>
    <n v="180"/>
    <n v="0"/>
    <n v="0"/>
    <n v="124377.5"/>
  </r>
  <r>
    <x v="14"/>
    <x v="3"/>
    <x v="27"/>
    <x v="0"/>
    <x v="3"/>
    <x v="26"/>
    <x v="27"/>
    <s v="CARİ"/>
    <n v="25"/>
    <n v="125"/>
    <n v="0"/>
    <n v="3125"/>
    <m/>
    <n v="25"/>
    <m/>
    <n v="125"/>
    <n v="0"/>
    <n v="0"/>
    <n v="124377.5"/>
  </r>
  <r>
    <x v="14"/>
    <x v="3"/>
    <x v="28"/>
    <x v="0"/>
    <x v="3"/>
    <x v="26"/>
    <x v="27"/>
    <s v="CARİ"/>
    <n v="25"/>
    <n v="200"/>
    <n v="0"/>
    <n v="5000"/>
    <m/>
    <n v="25"/>
    <m/>
    <n v="200"/>
    <n v="0"/>
    <n v="0"/>
    <n v="124377.5"/>
  </r>
  <r>
    <x v="14"/>
    <x v="3"/>
    <x v="29"/>
    <x v="0"/>
    <x v="3"/>
    <x v="26"/>
    <x v="27"/>
    <s v="CARİ"/>
    <n v="10"/>
    <n v="420"/>
    <n v="0"/>
    <n v="4200"/>
    <m/>
    <n v="10"/>
    <m/>
    <n v="420"/>
    <n v="0"/>
    <n v="0"/>
    <n v="124377.5"/>
  </r>
  <r>
    <x v="14"/>
    <x v="3"/>
    <x v="30"/>
    <x v="0"/>
    <x v="3"/>
    <x v="26"/>
    <x v="27"/>
    <s v="CARİ"/>
    <n v="25"/>
    <n v="250"/>
    <n v="0"/>
    <n v="6250"/>
    <m/>
    <n v="25"/>
    <m/>
    <n v="250"/>
    <n v="0"/>
    <n v="0"/>
    <n v="124377.5"/>
  </r>
  <r>
    <x v="14"/>
    <x v="3"/>
    <x v="31"/>
    <x v="0"/>
    <x v="3"/>
    <x v="26"/>
    <x v="27"/>
    <s v="CARİ"/>
    <n v="25"/>
    <n v="180"/>
    <n v="0"/>
    <n v="4500"/>
    <m/>
    <n v="25"/>
    <m/>
    <n v="180"/>
    <n v="0"/>
    <n v="0"/>
    <n v="124377.5"/>
  </r>
  <r>
    <x v="14"/>
    <x v="3"/>
    <x v="32"/>
    <x v="0"/>
    <x v="3"/>
    <x v="26"/>
    <x v="27"/>
    <s v="CARİ"/>
    <n v="25"/>
    <n v="160"/>
    <n v="0"/>
    <n v="4000"/>
    <m/>
    <n v="25"/>
    <m/>
    <n v="160"/>
    <n v="0"/>
    <n v="0"/>
    <n v="124377.5"/>
  </r>
  <r>
    <x v="14"/>
    <x v="3"/>
    <x v="33"/>
    <x v="0"/>
    <x v="3"/>
    <x v="26"/>
    <x v="27"/>
    <s v="CARİ"/>
    <n v="25"/>
    <n v="180"/>
    <n v="0"/>
    <n v="4500"/>
    <m/>
    <n v="25"/>
    <m/>
    <n v="180"/>
    <n v="0"/>
    <n v="0"/>
    <n v="124377.5"/>
  </r>
  <r>
    <x v="14"/>
    <x v="3"/>
    <x v="34"/>
    <x v="0"/>
    <x v="3"/>
    <x v="26"/>
    <x v="27"/>
    <s v="CARİ"/>
    <n v="25"/>
    <n v="150"/>
    <n v="0"/>
    <n v="3750"/>
    <m/>
    <n v="25"/>
    <m/>
    <n v="150"/>
    <n v="0"/>
    <n v="0"/>
    <n v="124377.5"/>
  </r>
  <r>
    <x v="14"/>
    <x v="3"/>
    <x v="35"/>
    <x v="0"/>
    <x v="3"/>
    <x v="26"/>
    <x v="27"/>
    <s v="CARİ"/>
    <n v="25"/>
    <n v="70"/>
    <n v="0"/>
    <n v="1750"/>
    <m/>
    <n v="25"/>
    <m/>
    <n v="70"/>
    <n v="0"/>
    <n v="0"/>
    <n v="124377.5"/>
  </r>
  <r>
    <x v="14"/>
    <x v="3"/>
    <x v="36"/>
    <x v="0"/>
    <x v="3"/>
    <x v="26"/>
    <x v="27"/>
    <s v="CARİ"/>
    <n v="25"/>
    <n v="80"/>
    <n v="0"/>
    <n v="2000"/>
    <m/>
    <n v="25"/>
    <m/>
    <n v="80"/>
    <n v="0"/>
    <n v="0"/>
    <n v="124377.5"/>
  </r>
  <r>
    <x v="14"/>
    <x v="3"/>
    <x v="37"/>
    <x v="0"/>
    <x v="3"/>
    <x v="26"/>
    <x v="27"/>
    <s v="CARİ"/>
    <n v="25"/>
    <n v="115"/>
    <n v="0"/>
    <n v="2875"/>
    <m/>
    <n v="25"/>
    <m/>
    <n v="115"/>
    <n v="0"/>
    <n v="0"/>
    <n v="124377.5"/>
  </r>
  <r>
    <x v="14"/>
    <x v="3"/>
    <x v="38"/>
    <x v="0"/>
    <x v="3"/>
    <x v="26"/>
    <x v="27"/>
    <s v="CARİ"/>
    <n v="5"/>
    <n v="440"/>
    <n v="0"/>
    <n v="2200"/>
    <m/>
    <n v="5"/>
    <m/>
    <n v="440"/>
    <n v="0"/>
    <n v="0"/>
    <n v="124377.5"/>
  </r>
  <r>
    <x v="14"/>
    <x v="3"/>
    <x v="39"/>
    <x v="0"/>
    <x v="3"/>
    <x v="26"/>
    <x v="27"/>
    <s v="CARİ"/>
    <n v="5"/>
    <n v="190"/>
    <n v="0"/>
    <n v="950"/>
    <m/>
    <n v="5"/>
    <m/>
    <n v="190"/>
    <n v="0"/>
    <n v="0"/>
    <n v="124377.5"/>
  </r>
  <r>
    <x v="14"/>
    <x v="3"/>
    <x v="22"/>
    <x v="0"/>
    <x v="3"/>
    <x v="26"/>
    <x v="27"/>
    <s v="CARİ"/>
    <n v="5"/>
    <n v="180"/>
    <n v="0"/>
    <n v="900"/>
    <m/>
    <n v="5"/>
    <m/>
    <n v="180"/>
    <n v="0"/>
    <n v="0"/>
    <n v="124377.5"/>
  </r>
  <r>
    <x v="14"/>
    <x v="3"/>
    <x v="23"/>
    <x v="0"/>
    <x v="3"/>
    <x v="26"/>
    <x v="27"/>
    <s v="CARİ"/>
    <n v="10"/>
    <n v="125"/>
    <n v="0"/>
    <n v="1250"/>
    <m/>
    <n v="10"/>
    <m/>
    <n v="125"/>
    <n v="0"/>
    <n v="0"/>
    <n v="124377.5"/>
  </r>
  <r>
    <x v="14"/>
    <x v="3"/>
    <x v="40"/>
    <x v="0"/>
    <x v="3"/>
    <x v="26"/>
    <x v="27"/>
    <s v="CARİ"/>
    <n v="10"/>
    <n v="70"/>
    <n v="0"/>
    <n v="700"/>
    <m/>
    <n v="10"/>
    <m/>
    <n v="70"/>
    <n v="0"/>
    <n v="0"/>
    <n v="124377.5"/>
  </r>
  <r>
    <x v="14"/>
    <x v="3"/>
    <x v="41"/>
    <x v="0"/>
    <x v="3"/>
    <x v="26"/>
    <x v="27"/>
    <s v="CARİ"/>
    <n v="12"/>
    <n v="42"/>
    <n v="0"/>
    <n v="504"/>
    <m/>
    <n v="12"/>
    <m/>
    <n v="42"/>
    <n v="0"/>
    <n v="0"/>
    <n v="124377.5"/>
  </r>
  <r>
    <x v="14"/>
    <x v="3"/>
    <x v="17"/>
    <x v="0"/>
    <x v="3"/>
    <x v="26"/>
    <x v="27"/>
    <s v="CARİ"/>
    <n v="24"/>
    <n v="21"/>
    <n v="0"/>
    <n v="504"/>
    <m/>
    <n v="24"/>
    <m/>
    <n v="21"/>
    <n v="0"/>
    <n v="0"/>
    <n v="124377.5"/>
  </r>
  <r>
    <x v="14"/>
    <x v="3"/>
    <x v="42"/>
    <x v="0"/>
    <x v="3"/>
    <x v="26"/>
    <x v="27"/>
    <s v="CARİ"/>
    <n v="12"/>
    <n v="40"/>
    <n v="0"/>
    <n v="480"/>
    <m/>
    <n v="12"/>
    <m/>
    <n v="40"/>
    <n v="0"/>
    <n v="0"/>
    <n v="124377.5"/>
  </r>
  <r>
    <x v="14"/>
    <x v="3"/>
    <x v="43"/>
    <x v="0"/>
    <x v="3"/>
    <x v="26"/>
    <x v="27"/>
    <s v="CARİ"/>
    <n v="24"/>
    <n v="35"/>
    <n v="0"/>
    <n v="840"/>
    <m/>
    <n v="24"/>
    <m/>
    <n v="35"/>
    <n v="0"/>
    <n v="0"/>
    <n v="124377.5"/>
  </r>
  <r>
    <x v="14"/>
    <x v="3"/>
    <x v="44"/>
    <x v="0"/>
    <x v="3"/>
    <x v="26"/>
    <x v="27"/>
    <s v="CARİ"/>
    <n v="24"/>
    <n v="35"/>
    <n v="0"/>
    <n v="840"/>
    <m/>
    <n v="24"/>
    <m/>
    <n v="35"/>
    <n v="0"/>
    <n v="0"/>
    <n v="124377.5"/>
  </r>
  <r>
    <x v="14"/>
    <x v="3"/>
    <x v="45"/>
    <x v="0"/>
    <x v="3"/>
    <x v="26"/>
    <x v="27"/>
    <s v="CARİ"/>
    <n v="24"/>
    <n v="35"/>
    <n v="0"/>
    <n v="840"/>
    <m/>
    <n v="24"/>
    <m/>
    <n v="35"/>
    <n v="0"/>
    <n v="0"/>
    <n v="124377.5"/>
  </r>
  <r>
    <x v="14"/>
    <x v="3"/>
    <x v="46"/>
    <x v="0"/>
    <x v="3"/>
    <x v="26"/>
    <x v="27"/>
    <s v="CARİ"/>
    <n v="2"/>
    <n v="550"/>
    <n v="0"/>
    <n v="1100"/>
    <m/>
    <n v="2"/>
    <m/>
    <n v="550"/>
    <n v="0"/>
    <n v="0"/>
    <n v="124377.5"/>
  </r>
  <r>
    <x v="14"/>
    <x v="3"/>
    <x v="47"/>
    <x v="0"/>
    <x v="3"/>
    <x v="26"/>
    <x v="27"/>
    <s v="CARİ"/>
    <n v="5"/>
    <n v="200"/>
    <n v="0"/>
    <n v="1000"/>
    <m/>
    <n v="5"/>
    <m/>
    <n v="200"/>
    <n v="0"/>
    <n v="0"/>
    <n v="124377.5"/>
  </r>
  <r>
    <x v="14"/>
    <x v="3"/>
    <x v="48"/>
    <x v="0"/>
    <x v="3"/>
    <x v="26"/>
    <x v="27"/>
    <s v="CARİ"/>
    <n v="2"/>
    <n v="500"/>
    <n v="0"/>
    <n v="1000"/>
    <m/>
    <n v="2"/>
    <m/>
    <n v="500"/>
    <n v="0"/>
    <n v="0"/>
    <n v="124377.5"/>
  </r>
  <r>
    <x v="14"/>
    <x v="3"/>
    <x v="49"/>
    <x v="0"/>
    <x v="3"/>
    <x v="26"/>
    <x v="27"/>
    <s v="CARİ"/>
    <n v="5"/>
    <n v="125"/>
    <n v="0"/>
    <n v="625"/>
    <m/>
    <n v="5"/>
    <m/>
    <n v="125"/>
    <n v="0"/>
    <n v="0"/>
    <n v="124377.5"/>
  </r>
  <r>
    <x v="14"/>
    <x v="3"/>
    <x v="50"/>
    <x v="0"/>
    <x v="3"/>
    <x v="26"/>
    <x v="27"/>
    <s v="CARİ"/>
    <n v="10"/>
    <n v="220"/>
    <n v="0"/>
    <n v="2200"/>
    <m/>
    <n v="10"/>
    <m/>
    <n v="220"/>
    <n v="0"/>
    <n v="0"/>
    <n v="124377.5"/>
  </r>
  <r>
    <x v="14"/>
    <x v="3"/>
    <x v="51"/>
    <x v="0"/>
    <x v="3"/>
    <x v="26"/>
    <x v="27"/>
    <s v="CARİ"/>
    <n v="10"/>
    <n v="125"/>
    <n v="0"/>
    <n v="1250"/>
    <m/>
    <n v="10"/>
    <m/>
    <n v="125"/>
    <n v="0"/>
    <n v="0"/>
    <n v="124377.5"/>
  </r>
  <r>
    <x v="14"/>
    <x v="3"/>
    <x v="52"/>
    <x v="0"/>
    <x v="3"/>
    <x v="26"/>
    <x v="27"/>
    <s v="CARİ"/>
    <n v="25"/>
    <n v="80"/>
    <n v="0"/>
    <n v="2000"/>
    <m/>
    <n v="25"/>
    <m/>
    <n v="80"/>
    <n v="0"/>
    <n v="0"/>
    <n v="124377.5"/>
  </r>
  <r>
    <x v="14"/>
    <x v="3"/>
    <x v="53"/>
    <x v="0"/>
    <x v="3"/>
    <x v="26"/>
    <x v="27"/>
    <s v="CARİ"/>
    <n v="10"/>
    <n v="70"/>
    <n v="0"/>
    <n v="700"/>
    <m/>
    <n v="10"/>
    <m/>
    <n v="70"/>
    <n v="0"/>
    <n v="0"/>
    <n v="124377.5"/>
  </r>
  <r>
    <x v="14"/>
    <x v="3"/>
    <x v="54"/>
    <x v="0"/>
    <x v="3"/>
    <x v="26"/>
    <x v="27"/>
    <s v="CARİ"/>
    <n v="25"/>
    <n v="150"/>
    <n v="0"/>
    <n v="3750"/>
    <m/>
    <n v="25"/>
    <m/>
    <n v="150"/>
    <n v="0"/>
    <n v="0"/>
    <n v="124377.5"/>
  </r>
  <r>
    <x v="14"/>
    <x v="3"/>
    <x v="55"/>
    <x v="0"/>
    <x v="3"/>
    <x v="26"/>
    <x v="27"/>
    <s v="CARİ"/>
    <n v="38.700000000000003"/>
    <n v="98.191199999999995"/>
    <n v="0"/>
    <n v="3799.99944"/>
    <m/>
    <n v="40"/>
    <m/>
    <n v="95"/>
    <n v="0"/>
    <n v="0"/>
    <n v="124377.5"/>
  </r>
  <r>
    <x v="14"/>
    <x v="3"/>
    <x v="56"/>
    <x v="0"/>
    <x v="3"/>
    <x v="26"/>
    <x v="27"/>
    <s v="CARİ"/>
    <n v="38.700000000000003"/>
    <n v="98.191199999999995"/>
    <n v="0"/>
    <n v="3799.99944"/>
    <m/>
    <n v="40"/>
    <m/>
    <n v="95"/>
    <n v="0"/>
    <n v="0"/>
    <n v="124377.5"/>
  </r>
  <r>
    <x v="14"/>
    <x v="3"/>
    <x v="57"/>
    <x v="0"/>
    <x v="3"/>
    <x v="26"/>
    <x v="27"/>
    <s v="CARİ"/>
    <n v="38.700000000000003"/>
    <n v="67.183400000000006"/>
    <n v="0"/>
    <n v="2599.9975800000002"/>
    <m/>
    <n v="40"/>
    <m/>
    <n v="65"/>
    <n v="0"/>
    <n v="0"/>
    <n v="124377.5"/>
  </r>
  <r>
    <x v="14"/>
    <x v="3"/>
    <x v="18"/>
    <x v="0"/>
    <x v="3"/>
    <x v="26"/>
    <x v="27"/>
    <s v="CARİ"/>
    <n v="100"/>
    <n v="150"/>
    <n v="0"/>
    <n v="15000"/>
    <m/>
    <n v="100"/>
    <m/>
    <n v="150"/>
    <n v="0"/>
    <n v="0"/>
    <n v="124377.5"/>
  </r>
  <r>
    <x v="14"/>
    <x v="3"/>
    <x v="58"/>
    <x v="0"/>
    <x v="3"/>
    <x v="26"/>
    <x v="27"/>
    <s v="CARİ"/>
    <n v="60"/>
    <n v="130"/>
    <n v="0"/>
    <n v="7800"/>
    <m/>
    <n v="60"/>
    <m/>
    <n v="130"/>
    <n v="0"/>
    <n v="0"/>
    <n v="124377.5"/>
  </r>
  <r>
    <x v="14"/>
    <x v="3"/>
    <x v="21"/>
    <x v="0"/>
    <x v="3"/>
    <x v="26"/>
    <x v="27"/>
    <s v="CARİ"/>
    <n v="40"/>
    <n v="175"/>
    <n v="0"/>
    <n v="7000"/>
    <m/>
    <n v="40"/>
    <m/>
    <n v="175"/>
    <n v="0"/>
    <n v="0"/>
    <n v="124377.5"/>
  </r>
  <r>
    <x v="14"/>
    <x v="3"/>
    <x v="59"/>
    <x v="0"/>
    <x v="3"/>
    <x v="26"/>
    <x v="27"/>
    <s v="CARİ"/>
    <n v="25"/>
    <n v="210"/>
    <n v="0"/>
    <n v="5250"/>
    <m/>
    <n v="25"/>
    <m/>
    <n v="210"/>
    <n v="0"/>
    <n v="0"/>
    <n v="124377.5"/>
  </r>
  <r>
    <x v="14"/>
    <x v="3"/>
    <x v="60"/>
    <x v="0"/>
    <x v="3"/>
    <x v="26"/>
    <x v="27"/>
    <s v="CARİ"/>
    <n v="10"/>
    <n v="125"/>
    <n v="0"/>
    <n v="1250"/>
    <m/>
    <n v="10"/>
    <m/>
    <n v="125"/>
    <n v="0"/>
    <n v="0"/>
    <n v="124377.5"/>
  </r>
  <r>
    <x v="14"/>
    <x v="3"/>
    <x v="61"/>
    <x v="0"/>
    <x v="3"/>
    <x v="26"/>
    <x v="27"/>
    <s v="CARİ"/>
    <n v="5"/>
    <n v="425"/>
    <n v="0"/>
    <n v="2125"/>
    <m/>
    <n v="5"/>
    <m/>
    <n v="425"/>
    <n v="0"/>
    <n v="0"/>
    <n v="124377.5"/>
  </r>
  <r>
    <x v="14"/>
    <x v="3"/>
    <x v="19"/>
    <x v="0"/>
    <x v="3"/>
    <x v="26"/>
    <x v="27"/>
    <s v="CARİ"/>
    <n v="40"/>
    <n v="125"/>
    <n v="0"/>
    <n v="5000"/>
    <m/>
    <n v="40"/>
    <m/>
    <n v="125"/>
    <n v="0"/>
    <n v="0"/>
    <n v="124377.5"/>
  </r>
  <r>
    <x v="14"/>
    <x v="3"/>
    <x v="20"/>
    <x v="0"/>
    <x v="3"/>
    <x v="26"/>
    <x v="27"/>
    <s v="CARİ"/>
    <n v="40"/>
    <n v="110"/>
    <n v="0"/>
    <n v="4400"/>
    <m/>
    <n v="40"/>
    <m/>
    <n v="110"/>
    <n v="0"/>
    <n v="0"/>
    <n v="124377.5"/>
  </r>
  <r>
    <x v="15"/>
    <x v="2"/>
    <x v="0"/>
    <x v="4"/>
    <x v="1"/>
    <x v="27"/>
    <x v="28"/>
    <s v="NAKİT"/>
    <n v="1"/>
    <n v="19200"/>
    <n v="0"/>
    <n v="0"/>
    <m/>
    <n v="1"/>
    <m/>
    <n v="19200"/>
    <n v="0"/>
    <n v="19200"/>
    <n v="105177.5"/>
  </r>
  <r>
    <x v="15"/>
    <x v="1"/>
    <x v="0"/>
    <x v="5"/>
    <x v="1"/>
    <x v="2"/>
    <x v="29"/>
    <s v="NAKİT"/>
    <n v="1"/>
    <n v="2500"/>
    <n v="0"/>
    <n v="0"/>
    <m/>
    <n v="1"/>
    <m/>
    <n v="2500"/>
    <n v="0"/>
    <n v="2500"/>
    <n v="102677.5"/>
  </r>
  <r>
    <x v="16"/>
    <x v="1"/>
    <x v="0"/>
    <x v="10"/>
    <x v="2"/>
    <x v="28"/>
    <x v="30"/>
    <s v="K.K."/>
    <n v="1"/>
    <n v="2539.64"/>
    <n v="0"/>
    <n v="2539.64"/>
    <m/>
    <n v="1"/>
    <m/>
    <n v="2539.64"/>
    <n v="0"/>
    <n v="0"/>
    <n v="102677.5"/>
  </r>
  <r>
    <x v="16"/>
    <x v="1"/>
    <x v="0"/>
    <x v="10"/>
    <x v="2"/>
    <x v="29"/>
    <x v="30"/>
    <s v="K.K."/>
    <n v="1"/>
    <n v="3260.36"/>
    <n v="0"/>
    <n v="3260.36"/>
    <m/>
    <n v="1"/>
    <m/>
    <n v="3260.36"/>
    <n v="0"/>
    <n v="0"/>
    <n v="102677.5"/>
  </r>
  <r>
    <x v="16"/>
    <x v="2"/>
    <x v="0"/>
    <x v="4"/>
    <x v="2"/>
    <x v="30"/>
    <x v="31"/>
    <s v="K.K."/>
    <n v="1"/>
    <n v="3790"/>
    <n v="0"/>
    <n v="3790"/>
    <m/>
    <n v="1"/>
    <m/>
    <n v="3790"/>
    <n v="0"/>
    <n v="0"/>
    <n v="102677.5"/>
  </r>
  <r>
    <x v="16"/>
    <x v="4"/>
    <x v="23"/>
    <x v="0"/>
    <x v="1"/>
    <x v="31"/>
    <x v="25"/>
    <s v="NAKİT"/>
    <n v="0.14000000000000001"/>
    <n v="250"/>
    <n v="0"/>
    <n v="0"/>
    <n v="0.14000000000000001"/>
    <m/>
    <n v="250"/>
    <m/>
    <n v="35"/>
    <n v="0"/>
    <n v="102712.5"/>
  </r>
  <r>
    <x v="16"/>
    <x v="4"/>
    <x v="22"/>
    <x v="0"/>
    <x v="1"/>
    <x v="31"/>
    <x v="25"/>
    <s v="NAKİT"/>
    <n v="0.14000000000000001"/>
    <n v="290"/>
    <n v="0"/>
    <n v="0"/>
    <n v="0.14000000000000001"/>
    <m/>
    <n v="290"/>
    <m/>
    <n v="40.6"/>
    <n v="0"/>
    <n v="102753.1"/>
  </r>
  <r>
    <x v="16"/>
    <x v="4"/>
    <x v="2"/>
    <x v="0"/>
    <x v="1"/>
    <x v="31"/>
    <x v="25"/>
    <s v="NAKİT"/>
    <n v="1"/>
    <n v="110"/>
    <n v="0"/>
    <n v="0"/>
    <n v="1"/>
    <m/>
    <n v="110"/>
    <m/>
    <n v="110"/>
    <n v="0"/>
    <n v="102863.1"/>
  </r>
  <r>
    <x v="16"/>
    <x v="4"/>
    <x v="12"/>
    <x v="0"/>
    <x v="1"/>
    <x v="31"/>
    <x v="25"/>
    <s v="NAKİT"/>
    <n v="1"/>
    <n v="220"/>
    <n v="0"/>
    <n v="0"/>
    <n v="1"/>
    <m/>
    <n v="220"/>
    <m/>
    <n v="220"/>
    <n v="0"/>
    <n v="103083.1"/>
  </r>
  <r>
    <x v="16"/>
    <x v="5"/>
    <x v="0"/>
    <x v="11"/>
    <x v="1"/>
    <x v="31"/>
    <x v="25"/>
    <s v="NAKİT"/>
    <n v="1"/>
    <n v="594.4"/>
    <n v="0"/>
    <n v="0"/>
    <n v="1"/>
    <m/>
    <n v="594.4"/>
    <m/>
    <n v="594.4"/>
    <n v="0"/>
    <n v="103677.5"/>
  </r>
  <r>
    <x v="16"/>
    <x v="4"/>
    <x v="5"/>
    <x v="0"/>
    <x v="1"/>
    <x v="32"/>
    <x v="25"/>
    <s v="NAKİT"/>
    <n v="1"/>
    <n v="250"/>
    <n v="0"/>
    <n v="0"/>
    <n v="1"/>
    <m/>
    <n v="250"/>
    <m/>
    <n v="250"/>
    <n v="0"/>
    <n v="103927.5"/>
  </r>
  <r>
    <x v="16"/>
    <x v="4"/>
    <x v="9"/>
    <x v="0"/>
    <x v="1"/>
    <x v="32"/>
    <x v="25"/>
    <s v="NAKİT"/>
    <n v="1"/>
    <n v="160"/>
    <n v="0"/>
    <n v="0"/>
    <n v="1"/>
    <m/>
    <n v="160"/>
    <m/>
    <n v="160"/>
    <n v="0"/>
    <n v="104087.5"/>
  </r>
  <r>
    <x v="16"/>
    <x v="4"/>
    <x v="10"/>
    <x v="0"/>
    <x v="1"/>
    <x v="32"/>
    <x v="25"/>
    <s v="NAKİT"/>
    <n v="1"/>
    <n v="170"/>
    <n v="0"/>
    <n v="0"/>
    <n v="1"/>
    <m/>
    <n v="170"/>
    <m/>
    <n v="170"/>
    <n v="0"/>
    <n v="104257.5"/>
  </r>
  <r>
    <x v="16"/>
    <x v="4"/>
    <x v="8"/>
    <x v="0"/>
    <x v="1"/>
    <x v="32"/>
    <x v="25"/>
    <s v="NAKİT"/>
    <n v="1"/>
    <n v="90"/>
    <n v="0"/>
    <n v="0"/>
    <n v="1"/>
    <m/>
    <n v="90"/>
    <m/>
    <n v="90"/>
    <n v="0"/>
    <n v="104347.5"/>
  </r>
  <r>
    <x v="16"/>
    <x v="4"/>
    <x v="45"/>
    <x v="0"/>
    <x v="1"/>
    <x v="32"/>
    <x v="25"/>
    <s v="NAKİT"/>
    <n v="2"/>
    <n v="50"/>
    <n v="0"/>
    <n v="0"/>
    <n v="2"/>
    <m/>
    <n v="50"/>
    <m/>
    <n v="100"/>
    <n v="0"/>
    <n v="104447.5"/>
  </r>
  <r>
    <x v="16"/>
    <x v="5"/>
    <x v="0"/>
    <x v="11"/>
    <x v="1"/>
    <x v="32"/>
    <x v="25"/>
    <s v="NAKİT"/>
    <n v="1"/>
    <n v="230"/>
    <n v="0"/>
    <n v="0"/>
    <n v="1"/>
    <m/>
    <n v="230"/>
    <m/>
    <n v="230"/>
    <n v="0"/>
    <n v="104677.5"/>
  </r>
  <r>
    <x v="16"/>
    <x v="4"/>
    <x v="18"/>
    <x v="0"/>
    <x v="1"/>
    <x v="33"/>
    <x v="25"/>
    <s v="NAKİT"/>
    <n v="1"/>
    <n v="240"/>
    <n v="0"/>
    <n v="0"/>
    <n v="1"/>
    <m/>
    <n v="240"/>
    <m/>
    <n v="240"/>
    <n v="0"/>
    <n v="104917.5"/>
  </r>
  <r>
    <x v="16"/>
    <x v="4"/>
    <x v="19"/>
    <x v="0"/>
    <x v="1"/>
    <x v="33"/>
    <x v="25"/>
    <s v="NAKİT"/>
    <n v="1"/>
    <n v="200"/>
    <n v="0"/>
    <n v="0"/>
    <n v="1"/>
    <m/>
    <n v="200"/>
    <m/>
    <n v="200"/>
    <n v="0"/>
    <n v="105117.5"/>
  </r>
  <r>
    <x v="16"/>
    <x v="4"/>
    <x v="44"/>
    <x v="0"/>
    <x v="1"/>
    <x v="34"/>
    <x v="25"/>
    <s v="NAKİT"/>
    <n v="1"/>
    <n v="50"/>
    <n v="0"/>
    <n v="0"/>
    <n v="1"/>
    <m/>
    <n v="50"/>
    <m/>
    <n v="50"/>
    <n v="0"/>
    <n v="105167.5"/>
  </r>
  <r>
    <x v="16"/>
    <x v="4"/>
    <x v="17"/>
    <x v="0"/>
    <x v="1"/>
    <x v="34"/>
    <x v="25"/>
    <s v="NAKİT"/>
    <n v="1"/>
    <n v="50"/>
    <n v="0"/>
    <n v="0"/>
    <n v="1"/>
    <m/>
    <n v="50"/>
    <m/>
    <n v="50"/>
    <n v="0"/>
    <n v="105217.5"/>
  </r>
  <r>
    <x v="17"/>
    <x v="3"/>
    <x v="62"/>
    <x v="0"/>
    <x v="4"/>
    <x v="35"/>
    <x v="32"/>
    <s v="CARİ"/>
    <n v="10"/>
    <n v="20"/>
    <n v="0"/>
    <n v="200"/>
    <m/>
    <n v="10"/>
    <m/>
    <n v="20"/>
    <n v="0"/>
    <n v="0"/>
    <n v="105217.5"/>
  </r>
  <r>
    <x v="17"/>
    <x v="3"/>
    <x v="63"/>
    <x v="0"/>
    <x v="4"/>
    <x v="35"/>
    <x v="32"/>
    <s v="CARİ"/>
    <n v="1"/>
    <n v="245"/>
    <n v="0"/>
    <n v="245"/>
    <m/>
    <n v="1"/>
    <m/>
    <n v="245"/>
    <n v="0"/>
    <n v="0"/>
    <n v="105217.5"/>
  </r>
  <r>
    <x v="17"/>
    <x v="3"/>
    <x v="64"/>
    <x v="0"/>
    <x v="4"/>
    <x v="35"/>
    <x v="32"/>
    <s v="CARİ"/>
    <n v="1"/>
    <n v="590"/>
    <n v="0"/>
    <n v="590"/>
    <m/>
    <n v="1"/>
    <m/>
    <n v="590"/>
    <n v="0"/>
    <n v="0"/>
    <n v="105217.5"/>
  </r>
  <r>
    <x v="17"/>
    <x v="3"/>
    <x v="65"/>
    <x v="0"/>
    <x v="4"/>
    <x v="35"/>
    <x v="32"/>
    <s v="CARİ"/>
    <n v="1"/>
    <n v="95"/>
    <n v="0"/>
    <n v="95"/>
    <m/>
    <n v="1"/>
    <m/>
    <n v="95"/>
    <n v="0"/>
    <n v="0"/>
    <n v="105217.5"/>
  </r>
  <r>
    <x v="17"/>
    <x v="3"/>
    <x v="66"/>
    <x v="0"/>
    <x v="4"/>
    <x v="35"/>
    <x v="32"/>
    <s v="CARİ"/>
    <n v="1"/>
    <n v="85"/>
    <n v="0"/>
    <n v="85"/>
    <m/>
    <n v="1"/>
    <m/>
    <n v="85"/>
    <n v="0"/>
    <n v="0"/>
    <n v="105217.5"/>
  </r>
  <r>
    <x v="17"/>
    <x v="3"/>
    <x v="67"/>
    <x v="0"/>
    <x v="4"/>
    <x v="35"/>
    <x v="32"/>
    <s v="CARİ"/>
    <n v="1"/>
    <n v="200"/>
    <n v="0"/>
    <n v="200"/>
    <m/>
    <n v="1"/>
    <m/>
    <n v="200"/>
    <n v="0"/>
    <n v="0"/>
    <n v="105217.5"/>
  </r>
  <r>
    <x v="17"/>
    <x v="3"/>
    <x v="68"/>
    <x v="0"/>
    <x v="4"/>
    <x v="35"/>
    <x v="32"/>
    <s v="CARİ"/>
    <n v="5"/>
    <n v="570"/>
    <n v="0"/>
    <n v="2850"/>
    <m/>
    <n v="5"/>
    <m/>
    <n v="570"/>
    <n v="0"/>
    <n v="0"/>
    <n v="105217.5"/>
  </r>
  <r>
    <x v="17"/>
    <x v="3"/>
    <x v="69"/>
    <x v="0"/>
    <x v="4"/>
    <x v="35"/>
    <x v="32"/>
    <s v="CARİ"/>
    <n v="1"/>
    <n v="295"/>
    <n v="0"/>
    <n v="295"/>
    <m/>
    <n v="1"/>
    <m/>
    <n v="295"/>
    <n v="0"/>
    <n v="0"/>
    <n v="105217.5"/>
  </r>
  <r>
    <x v="17"/>
    <x v="3"/>
    <x v="70"/>
    <x v="0"/>
    <x v="4"/>
    <x v="35"/>
    <x v="32"/>
    <s v="CARİ"/>
    <n v="5"/>
    <n v="130"/>
    <n v="0"/>
    <n v="650"/>
    <m/>
    <n v="5"/>
    <m/>
    <n v="130"/>
    <n v="0"/>
    <n v="0"/>
    <n v="105217.5"/>
  </r>
  <r>
    <x v="17"/>
    <x v="3"/>
    <x v="71"/>
    <x v="0"/>
    <x v="4"/>
    <x v="35"/>
    <x v="32"/>
    <s v="CARİ"/>
    <n v="5"/>
    <n v="140"/>
    <n v="0"/>
    <n v="700"/>
    <m/>
    <n v="5"/>
    <m/>
    <n v="140"/>
    <n v="0"/>
    <n v="0"/>
    <n v="105217.5"/>
  </r>
  <r>
    <x v="17"/>
    <x v="3"/>
    <x v="72"/>
    <x v="0"/>
    <x v="4"/>
    <x v="35"/>
    <x v="32"/>
    <s v="CARİ"/>
    <n v="1"/>
    <n v="200"/>
    <n v="0"/>
    <n v="200"/>
    <m/>
    <n v="1"/>
    <m/>
    <n v="200"/>
    <n v="0"/>
    <n v="0"/>
    <n v="105217.5"/>
  </r>
  <r>
    <x v="17"/>
    <x v="3"/>
    <x v="73"/>
    <x v="0"/>
    <x v="4"/>
    <x v="35"/>
    <x v="32"/>
    <s v="CARİ"/>
    <n v="5"/>
    <n v="850"/>
    <n v="0"/>
    <n v="4250"/>
    <m/>
    <n v="5"/>
    <m/>
    <n v="850"/>
    <n v="0"/>
    <n v="0"/>
    <n v="105217.5"/>
  </r>
  <r>
    <x v="17"/>
    <x v="3"/>
    <x v="74"/>
    <x v="0"/>
    <x v="4"/>
    <x v="35"/>
    <x v="32"/>
    <s v="CARİ"/>
    <n v="5"/>
    <n v="195"/>
    <n v="0"/>
    <n v="975"/>
    <m/>
    <n v="5"/>
    <m/>
    <n v="195"/>
    <n v="0"/>
    <n v="0"/>
    <n v="105217.5"/>
  </r>
  <r>
    <x v="17"/>
    <x v="3"/>
    <x v="75"/>
    <x v="0"/>
    <x v="4"/>
    <x v="35"/>
    <x v="32"/>
    <s v="CARİ"/>
    <n v="5"/>
    <n v="620"/>
    <n v="0"/>
    <n v="3100"/>
    <m/>
    <n v="5"/>
    <m/>
    <n v="620"/>
    <n v="0"/>
    <n v="0"/>
    <n v="105217.5"/>
  </r>
  <r>
    <x v="17"/>
    <x v="3"/>
    <x v="76"/>
    <x v="0"/>
    <x v="4"/>
    <x v="35"/>
    <x v="32"/>
    <s v="CARİ"/>
    <n v="10"/>
    <n v="15"/>
    <n v="0"/>
    <n v="150"/>
    <m/>
    <n v="10"/>
    <m/>
    <n v="15"/>
    <n v="0"/>
    <n v="0"/>
    <n v="105217.5"/>
  </r>
  <r>
    <x v="17"/>
    <x v="3"/>
    <x v="77"/>
    <x v="0"/>
    <x v="4"/>
    <x v="35"/>
    <x v="32"/>
    <s v="CARİ"/>
    <n v="10"/>
    <n v="15"/>
    <n v="0"/>
    <n v="150"/>
    <m/>
    <n v="10"/>
    <m/>
    <n v="15"/>
    <n v="0"/>
    <n v="0"/>
    <n v="105217.5"/>
  </r>
  <r>
    <x v="17"/>
    <x v="3"/>
    <x v="78"/>
    <x v="0"/>
    <x v="4"/>
    <x v="35"/>
    <x v="32"/>
    <s v="CARİ"/>
    <n v="1"/>
    <n v="550"/>
    <n v="0"/>
    <n v="550"/>
    <m/>
    <n v="1"/>
    <m/>
    <n v="550"/>
    <n v="0"/>
    <n v="0"/>
    <n v="105217.5"/>
  </r>
  <r>
    <x v="17"/>
    <x v="3"/>
    <x v="79"/>
    <x v="0"/>
    <x v="4"/>
    <x v="35"/>
    <x v="32"/>
    <s v="CARİ"/>
    <n v="5"/>
    <n v="205"/>
    <n v="0"/>
    <n v="1025"/>
    <m/>
    <n v="5"/>
    <m/>
    <n v="205"/>
    <n v="0"/>
    <n v="0"/>
    <n v="105217.5"/>
  </r>
  <r>
    <x v="17"/>
    <x v="3"/>
    <x v="80"/>
    <x v="0"/>
    <x v="4"/>
    <x v="35"/>
    <x v="32"/>
    <s v="CARİ"/>
    <n v="5"/>
    <n v="185"/>
    <n v="0"/>
    <n v="925"/>
    <m/>
    <n v="5"/>
    <m/>
    <n v="185"/>
    <n v="0"/>
    <n v="0"/>
    <n v="105217.5"/>
  </r>
  <r>
    <x v="17"/>
    <x v="3"/>
    <x v="81"/>
    <x v="0"/>
    <x v="4"/>
    <x v="35"/>
    <x v="32"/>
    <s v="CARİ"/>
    <n v="10"/>
    <n v="26"/>
    <n v="0"/>
    <n v="260"/>
    <m/>
    <n v="10"/>
    <m/>
    <n v="26"/>
    <n v="0"/>
    <n v="0"/>
    <n v="105217.5"/>
  </r>
  <r>
    <x v="17"/>
    <x v="3"/>
    <x v="82"/>
    <x v="0"/>
    <x v="4"/>
    <x v="35"/>
    <x v="32"/>
    <s v="CARİ"/>
    <n v="10"/>
    <n v="26"/>
    <n v="0"/>
    <n v="260"/>
    <m/>
    <n v="10"/>
    <m/>
    <n v="26"/>
    <n v="0"/>
    <n v="0"/>
    <n v="105217.5"/>
  </r>
  <r>
    <x v="17"/>
    <x v="3"/>
    <x v="83"/>
    <x v="0"/>
    <x v="4"/>
    <x v="35"/>
    <x v="32"/>
    <s v="CARİ"/>
    <n v="1"/>
    <n v="1250"/>
    <n v="0"/>
    <n v="1250"/>
    <m/>
    <n v="1"/>
    <m/>
    <n v="1250"/>
    <n v="0"/>
    <n v="0"/>
    <n v="105217.5"/>
  </r>
  <r>
    <x v="17"/>
    <x v="3"/>
    <x v="84"/>
    <x v="0"/>
    <x v="4"/>
    <x v="35"/>
    <x v="32"/>
    <s v="CARİ"/>
    <n v="1"/>
    <n v="2250"/>
    <n v="0"/>
    <n v="2250"/>
    <m/>
    <n v="1"/>
    <m/>
    <n v="2250"/>
    <n v="0"/>
    <n v="0"/>
    <n v="105217.5"/>
  </r>
  <r>
    <x v="17"/>
    <x v="3"/>
    <x v="85"/>
    <x v="0"/>
    <x v="4"/>
    <x v="35"/>
    <x v="32"/>
    <s v="CARİ"/>
    <n v="25"/>
    <n v="240"/>
    <n v="0"/>
    <n v="6000"/>
    <m/>
    <n v="25"/>
    <m/>
    <n v="240"/>
    <n v="0"/>
    <n v="0"/>
    <n v="105217.5"/>
  </r>
  <r>
    <x v="17"/>
    <x v="3"/>
    <x v="86"/>
    <x v="0"/>
    <x v="4"/>
    <x v="35"/>
    <x v="32"/>
    <s v="CARİ"/>
    <n v="1"/>
    <n v="275"/>
    <n v="0"/>
    <n v="275"/>
    <m/>
    <n v="1"/>
    <m/>
    <n v="275"/>
    <n v="0"/>
    <n v="0"/>
    <n v="105217.5"/>
  </r>
  <r>
    <x v="17"/>
    <x v="3"/>
    <x v="87"/>
    <x v="0"/>
    <x v="4"/>
    <x v="35"/>
    <x v="32"/>
    <s v="CARİ"/>
    <n v="1"/>
    <n v="300"/>
    <n v="0"/>
    <n v="300"/>
    <m/>
    <n v="1"/>
    <m/>
    <n v="300"/>
    <n v="0"/>
    <n v="0"/>
    <n v="105217.5"/>
  </r>
  <r>
    <x v="17"/>
    <x v="3"/>
    <x v="88"/>
    <x v="0"/>
    <x v="4"/>
    <x v="35"/>
    <x v="32"/>
    <s v="CARİ"/>
    <n v="1"/>
    <n v="570"/>
    <n v="0"/>
    <n v="570"/>
    <m/>
    <n v="1"/>
    <m/>
    <n v="570"/>
    <n v="0"/>
    <n v="0"/>
    <n v="105217.5"/>
  </r>
  <r>
    <x v="17"/>
    <x v="3"/>
    <x v="89"/>
    <x v="0"/>
    <x v="4"/>
    <x v="35"/>
    <x v="32"/>
    <s v="CARİ"/>
    <n v="1"/>
    <n v="230"/>
    <n v="0"/>
    <n v="230"/>
    <m/>
    <n v="1"/>
    <m/>
    <n v="230"/>
    <n v="0"/>
    <n v="0"/>
    <n v="105217.5"/>
  </r>
  <r>
    <x v="17"/>
    <x v="3"/>
    <x v="90"/>
    <x v="0"/>
    <x v="4"/>
    <x v="35"/>
    <x v="32"/>
    <s v="CARİ"/>
    <n v="5"/>
    <n v="125"/>
    <n v="0"/>
    <n v="625"/>
    <m/>
    <n v="5"/>
    <m/>
    <n v="125"/>
    <n v="0"/>
    <n v="0"/>
    <n v="105217.5"/>
  </r>
  <r>
    <x v="17"/>
    <x v="3"/>
    <x v="91"/>
    <x v="0"/>
    <x v="4"/>
    <x v="35"/>
    <x v="32"/>
    <s v="CARİ"/>
    <n v="3"/>
    <n v="65"/>
    <n v="0"/>
    <n v="195"/>
    <m/>
    <n v="3"/>
    <m/>
    <n v="65"/>
    <n v="0"/>
    <n v="0"/>
    <n v="105217.5"/>
  </r>
  <r>
    <x v="17"/>
    <x v="3"/>
    <x v="92"/>
    <x v="0"/>
    <x v="4"/>
    <x v="35"/>
    <x v="32"/>
    <s v="CARİ"/>
    <n v="1"/>
    <n v="165"/>
    <n v="0"/>
    <n v="165"/>
    <m/>
    <n v="1"/>
    <m/>
    <n v="165"/>
    <n v="0"/>
    <n v="0"/>
    <n v="105217.5"/>
  </r>
  <r>
    <x v="17"/>
    <x v="3"/>
    <x v="93"/>
    <x v="0"/>
    <x v="4"/>
    <x v="35"/>
    <x v="32"/>
    <s v="CARİ"/>
    <n v="5"/>
    <n v="225"/>
    <n v="0"/>
    <n v="1125"/>
    <m/>
    <n v="5"/>
    <m/>
    <n v="225"/>
    <n v="0"/>
    <n v="0"/>
    <n v="105217.5"/>
  </r>
  <r>
    <x v="17"/>
    <x v="3"/>
    <x v="94"/>
    <x v="0"/>
    <x v="4"/>
    <x v="35"/>
    <x v="32"/>
    <s v="CARİ"/>
    <n v="1"/>
    <n v="1000"/>
    <n v="0"/>
    <n v="1000"/>
    <m/>
    <n v="1"/>
    <m/>
    <n v="1000"/>
    <n v="0"/>
    <n v="0"/>
    <n v="105217.5"/>
  </r>
  <r>
    <x v="17"/>
    <x v="3"/>
    <x v="95"/>
    <x v="0"/>
    <x v="4"/>
    <x v="35"/>
    <x v="32"/>
    <s v="CARİ"/>
    <n v="1"/>
    <n v="180"/>
    <n v="0"/>
    <n v="180"/>
    <m/>
    <n v="1"/>
    <m/>
    <n v="180"/>
    <n v="0"/>
    <n v="0"/>
    <n v="105217.5"/>
  </r>
  <r>
    <x v="17"/>
    <x v="3"/>
    <x v="96"/>
    <x v="0"/>
    <x v="4"/>
    <x v="35"/>
    <x v="32"/>
    <s v="CARİ"/>
    <n v="1"/>
    <n v="265"/>
    <n v="0"/>
    <n v="265"/>
    <m/>
    <n v="1"/>
    <m/>
    <n v="265"/>
    <n v="0"/>
    <n v="0"/>
    <n v="105217.5"/>
  </r>
  <r>
    <x v="17"/>
    <x v="3"/>
    <x v="97"/>
    <x v="0"/>
    <x v="4"/>
    <x v="35"/>
    <x v="32"/>
    <s v="CARİ"/>
    <n v="5"/>
    <n v="450"/>
    <n v="0"/>
    <n v="2250"/>
    <m/>
    <n v="5"/>
    <m/>
    <n v="450"/>
    <n v="0"/>
    <n v="0"/>
    <n v="105217.5"/>
  </r>
  <r>
    <x v="17"/>
    <x v="3"/>
    <x v="98"/>
    <x v="0"/>
    <x v="4"/>
    <x v="35"/>
    <x v="32"/>
    <s v="CARİ"/>
    <n v="5"/>
    <n v="550"/>
    <n v="0"/>
    <n v="2750"/>
    <m/>
    <n v="5"/>
    <m/>
    <n v="550"/>
    <n v="0"/>
    <n v="0"/>
    <n v="105217.5"/>
  </r>
  <r>
    <x v="17"/>
    <x v="3"/>
    <x v="99"/>
    <x v="0"/>
    <x v="4"/>
    <x v="35"/>
    <x v="32"/>
    <s v="CARİ"/>
    <n v="2"/>
    <n v="130"/>
    <n v="0"/>
    <n v="260"/>
    <m/>
    <n v="2"/>
    <m/>
    <n v="130"/>
    <n v="0"/>
    <n v="0"/>
    <n v="105217.5"/>
  </r>
  <r>
    <x v="17"/>
    <x v="3"/>
    <x v="100"/>
    <x v="0"/>
    <x v="4"/>
    <x v="35"/>
    <x v="32"/>
    <s v="CARİ"/>
    <n v="5"/>
    <n v="500"/>
    <n v="0"/>
    <n v="2500"/>
    <m/>
    <n v="5"/>
    <m/>
    <n v="500"/>
    <n v="0"/>
    <n v="0"/>
    <n v="105217.5"/>
  </r>
  <r>
    <x v="17"/>
    <x v="3"/>
    <x v="101"/>
    <x v="0"/>
    <x v="4"/>
    <x v="35"/>
    <x v="32"/>
    <s v="CARİ"/>
    <n v="5"/>
    <n v="110"/>
    <n v="0"/>
    <n v="550"/>
    <m/>
    <n v="5"/>
    <m/>
    <n v="110"/>
    <n v="0"/>
    <n v="0"/>
    <n v="105217.5"/>
  </r>
  <r>
    <x v="17"/>
    <x v="3"/>
    <x v="102"/>
    <x v="0"/>
    <x v="4"/>
    <x v="35"/>
    <x v="32"/>
    <s v="CARİ"/>
    <n v="1"/>
    <n v="75"/>
    <n v="0"/>
    <n v="75"/>
    <m/>
    <n v="1"/>
    <m/>
    <n v="75"/>
    <n v="0"/>
    <n v="0"/>
    <n v="105217.5"/>
  </r>
  <r>
    <x v="17"/>
    <x v="3"/>
    <x v="103"/>
    <x v="0"/>
    <x v="4"/>
    <x v="35"/>
    <x v="32"/>
    <s v="CARİ"/>
    <n v="5"/>
    <n v="170"/>
    <n v="0"/>
    <n v="850"/>
    <m/>
    <n v="5"/>
    <m/>
    <n v="170"/>
    <n v="0"/>
    <n v="0"/>
    <n v="105217.5"/>
  </r>
  <r>
    <x v="17"/>
    <x v="3"/>
    <x v="104"/>
    <x v="0"/>
    <x v="4"/>
    <x v="35"/>
    <x v="32"/>
    <s v="CARİ"/>
    <n v="5"/>
    <n v="135"/>
    <n v="0"/>
    <n v="675"/>
    <m/>
    <n v="5"/>
    <m/>
    <n v="135"/>
    <n v="0"/>
    <n v="0"/>
    <n v="105217.5"/>
  </r>
  <r>
    <x v="17"/>
    <x v="3"/>
    <x v="105"/>
    <x v="0"/>
    <x v="4"/>
    <x v="35"/>
    <x v="32"/>
    <s v="CARİ"/>
    <n v="5"/>
    <n v="135"/>
    <n v="0"/>
    <n v="675"/>
    <m/>
    <n v="5"/>
    <m/>
    <n v="135"/>
    <n v="0"/>
    <n v="0"/>
    <n v="105217.5"/>
  </r>
  <r>
    <x v="17"/>
    <x v="3"/>
    <x v="106"/>
    <x v="0"/>
    <x v="4"/>
    <x v="35"/>
    <x v="32"/>
    <s v="CARİ"/>
    <n v="5"/>
    <n v="135"/>
    <n v="0"/>
    <n v="675"/>
    <m/>
    <n v="5"/>
    <m/>
    <n v="135"/>
    <n v="0"/>
    <n v="0"/>
    <n v="105217.5"/>
  </r>
  <r>
    <x v="17"/>
    <x v="3"/>
    <x v="107"/>
    <x v="0"/>
    <x v="4"/>
    <x v="35"/>
    <x v="32"/>
    <s v="CARİ"/>
    <n v="5"/>
    <n v="170"/>
    <n v="0"/>
    <n v="850"/>
    <m/>
    <n v="5"/>
    <m/>
    <n v="170"/>
    <n v="0"/>
    <n v="0"/>
    <n v="105217.5"/>
  </r>
  <r>
    <x v="17"/>
    <x v="3"/>
    <x v="108"/>
    <x v="0"/>
    <x v="4"/>
    <x v="35"/>
    <x v="32"/>
    <s v="CARİ"/>
    <n v="5"/>
    <n v="95"/>
    <n v="0"/>
    <n v="475"/>
    <m/>
    <n v="5"/>
    <m/>
    <n v="95"/>
    <n v="0"/>
    <n v="0"/>
    <n v="105217.5"/>
  </r>
  <r>
    <x v="17"/>
    <x v="3"/>
    <x v="109"/>
    <x v="0"/>
    <x v="4"/>
    <x v="35"/>
    <x v="32"/>
    <s v="CARİ"/>
    <n v="5"/>
    <n v="90"/>
    <n v="0"/>
    <n v="450"/>
    <m/>
    <n v="5"/>
    <m/>
    <n v="90"/>
    <n v="0"/>
    <n v="0"/>
    <n v="105217.5"/>
  </r>
  <r>
    <x v="17"/>
    <x v="3"/>
    <x v="110"/>
    <x v="0"/>
    <x v="4"/>
    <x v="35"/>
    <x v="32"/>
    <s v="CARİ"/>
    <n v="5"/>
    <n v="100"/>
    <n v="0"/>
    <n v="500"/>
    <m/>
    <n v="5"/>
    <m/>
    <n v="100"/>
    <n v="0"/>
    <n v="0"/>
    <n v="105217.5"/>
  </r>
  <r>
    <x v="17"/>
    <x v="3"/>
    <x v="111"/>
    <x v="0"/>
    <x v="4"/>
    <x v="35"/>
    <x v="32"/>
    <s v="CARİ"/>
    <n v="5"/>
    <n v="140"/>
    <n v="0"/>
    <n v="700"/>
    <m/>
    <n v="5"/>
    <m/>
    <n v="140"/>
    <n v="0"/>
    <n v="0"/>
    <n v="105217.5"/>
  </r>
  <r>
    <x v="17"/>
    <x v="3"/>
    <x v="112"/>
    <x v="0"/>
    <x v="4"/>
    <x v="35"/>
    <x v="32"/>
    <s v="CARİ"/>
    <n v="1"/>
    <n v="750"/>
    <n v="0"/>
    <n v="750"/>
    <m/>
    <n v="1"/>
    <m/>
    <n v="750"/>
    <n v="0"/>
    <n v="0"/>
    <n v="105217.5"/>
  </r>
  <r>
    <x v="17"/>
    <x v="3"/>
    <x v="113"/>
    <x v="0"/>
    <x v="4"/>
    <x v="35"/>
    <x v="32"/>
    <s v="CARİ"/>
    <n v="1"/>
    <n v="270"/>
    <n v="0"/>
    <n v="270"/>
    <m/>
    <n v="1"/>
    <m/>
    <n v="270"/>
    <n v="0"/>
    <n v="0"/>
    <n v="105217.5"/>
  </r>
  <r>
    <x v="17"/>
    <x v="3"/>
    <x v="114"/>
    <x v="0"/>
    <x v="4"/>
    <x v="35"/>
    <x v="32"/>
    <s v="CARİ"/>
    <n v="1"/>
    <n v="160"/>
    <n v="0"/>
    <n v="160"/>
    <m/>
    <n v="1"/>
    <m/>
    <n v="160"/>
    <n v="0"/>
    <n v="0"/>
    <n v="105217.5"/>
  </r>
  <r>
    <x v="17"/>
    <x v="3"/>
    <x v="115"/>
    <x v="0"/>
    <x v="4"/>
    <x v="35"/>
    <x v="32"/>
    <s v="CARİ"/>
    <n v="1"/>
    <n v="40"/>
    <n v="0"/>
    <n v="40"/>
    <m/>
    <n v="1"/>
    <m/>
    <n v="40"/>
    <n v="0"/>
    <n v="0"/>
    <n v="105217.5"/>
  </r>
  <r>
    <x v="17"/>
    <x v="3"/>
    <x v="116"/>
    <x v="0"/>
    <x v="4"/>
    <x v="35"/>
    <x v="32"/>
    <s v="CARİ"/>
    <n v="5"/>
    <n v="265"/>
    <n v="0"/>
    <n v="1325"/>
    <m/>
    <n v="5"/>
    <m/>
    <n v="265"/>
    <n v="0"/>
    <n v="0"/>
    <n v="105217.5"/>
  </r>
  <r>
    <x v="17"/>
    <x v="3"/>
    <x v="117"/>
    <x v="0"/>
    <x v="4"/>
    <x v="35"/>
    <x v="32"/>
    <s v="CARİ"/>
    <n v="5"/>
    <n v="275"/>
    <n v="0"/>
    <n v="1375"/>
    <m/>
    <n v="5"/>
    <m/>
    <n v="275"/>
    <n v="0"/>
    <n v="0"/>
    <n v="105217.5"/>
  </r>
  <r>
    <x v="17"/>
    <x v="3"/>
    <x v="118"/>
    <x v="0"/>
    <x v="4"/>
    <x v="35"/>
    <x v="32"/>
    <s v="CARİ"/>
    <n v="5"/>
    <n v="95"/>
    <n v="0"/>
    <n v="475"/>
    <m/>
    <n v="5"/>
    <m/>
    <n v="95"/>
    <n v="0"/>
    <n v="0"/>
    <n v="105217.5"/>
  </r>
  <r>
    <x v="17"/>
    <x v="4"/>
    <x v="61"/>
    <x v="0"/>
    <x v="1"/>
    <x v="36"/>
    <x v="25"/>
    <s v="NAKİT"/>
    <n v="0.05"/>
    <n v="770"/>
    <n v="0"/>
    <n v="0"/>
    <n v="0.05"/>
    <m/>
    <n v="770"/>
    <m/>
    <n v="38.5"/>
    <n v="0"/>
    <n v="105256"/>
  </r>
  <r>
    <x v="17"/>
    <x v="4"/>
    <x v="28"/>
    <x v="0"/>
    <x v="1"/>
    <x v="36"/>
    <x v="25"/>
    <s v="NAKİT"/>
    <n v="0.05"/>
    <n v="360"/>
    <n v="0"/>
    <n v="0"/>
    <n v="0.05"/>
    <m/>
    <n v="360"/>
    <m/>
    <n v="18"/>
    <n v="0"/>
    <n v="105274"/>
  </r>
  <r>
    <x v="17"/>
    <x v="4"/>
    <x v="26"/>
    <x v="0"/>
    <x v="1"/>
    <x v="36"/>
    <x v="25"/>
    <s v="NAKİT"/>
    <n v="0.05"/>
    <n v="330"/>
    <n v="0"/>
    <n v="0"/>
    <n v="0.05"/>
    <m/>
    <n v="330"/>
    <m/>
    <n v="16.5"/>
    <n v="0"/>
    <n v="105290.5"/>
  </r>
  <r>
    <x v="17"/>
    <x v="4"/>
    <x v="23"/>
    <x v="0"/>
    <x v="1"/>
    <x v="36"/>
    <x v="25"/>
    <s v="NAKİT"/>
    <n v="0.05"/>
    <n v="250"/>
    <n v="0"/>
    <n v="0"/>
    <n v="0.05"/>
    <m/>
    <n v="250"/>
    <m/>
    <n v="12.5"/>
    <n v="0"/>
    <n v="105303"/>
  </r>
  <r>
    <x v="17"/>
    <x v="4"/>
    <x v="25"/>
    <x v="0"/>
    <x v="1"/>
    <x v="36"/>
    <x v="25"/>
    <s v="NAKİT"/>
    <n v="0.05"/>
    <n v="310"/>
    <n v="0"/>
    <n v="0"/>
    <n v="0.05"/>
    <m/>
    <n v="310"/>
    <m/>
    <n v="15.5"/>
    <n v="0"/>
    <n v="105318.5"/>
  </r>
  <r>
    <x v="17"/>
    <x v="4"/>
    <x v="1"/>
    <x v="0"/>
    <x v="1"/>
    <x v="36"/>
    <x v="25"/>
    <s v="NAKİT"/>
    <n v="2"/>
    <n v="130"/>
    <n v="0"/>
    <n v="0"/>
    <n v="2"/>
    <m/>
    <n v="130"/>
    <m/>
    <n v="260"/>
    <n v="0"/>
    <n v="105578.5"/>
  </r>
  <r>
    <x v="17"/>
    <x v="1"/>
    <x v="0"/>
    <x v="9"/>
    <x v="1"/>
    <x v="36"/>
    <x v="25"/>
    <s v="NAKİT"/>
    <n v="1"/>
    <n v="11"/>
    <n v="0"/>
    <n v="0"/>
    <m/>
    <n v="1"/>
    <m/>
    <n v="11"/>
    <n v="0"/>
    <n v="11"/>
    <n v="105567.5"/>
  </r>
  <r>
    <x v="17"/>
    <x v="4"/>
    <x v="30"/>
    <x v="0"/>
    <x v="1"/>
    <x v="37"/>
    <x v="25"/>
    <s v="NAKİT"/>
    <n v="0.9"/>
    <n v="450"/>
    <n v="0"/>
    <n v="0"/>
    <n v="0.9"/>
    <m/>
    <n v="450"/>
    <m/>
    <n v="405"/>
    <n v="0"/>
    <n v="105972.5"/>
  </r>
  <r>
    <x v="17"/>
    <x v="4"/>
    <x v="57"/>
    <x v="0"/>
    <x v="1"/>
    <x v="37"/>
    <x v="25"/>
    <s v="NAKİT"/>
    <n v="1"/>
    <n v="125"/>
    <n v="0"/>
    <n v="0"/>
    <n v="1"/>
    <m/>
    <n v="125"/>
    <m/>
    <n v="125"/>
    <n v="0"/>
    <n v="106097.5"/>
  </r>
  <r>
    <x v="17"/>
    <x v="4"/>
    <x v="24"/>
    <x v="0"/>
    <x v="1"/>
    <x v="37"/>
    <x v="25"/>
    <s v="NAKİT"/>
    <n v="0.26600000000000001"/>
    <n v="580"/>
    <n v="0"/>
    <n v="0"/>
    <n v="0.26600000000000001"/>
    <m/>
    <n v="580"/>
    <m/>
    <n v="154.28"/>
    <n v="0"/>
    <n v="106251.78"/>
  </r>
  <r>
    <x v="17"/>
    <x v="4"/>
    <x v="3"/>
    <x v="0"/>
    <x v="1"/>
    <x v="37"/>
    <x v="25"/>
    <s v="NAKİT"/>
    <n v="1"/>
    <n v="105"/>
    <n v="0"/>
    <n v="0"/>
    <n v="1"/>
    <m/>
    <n v="105"/>
    <m/>
    <n v="105"/>
    <n v="0"/>
    <n v="106356.78"/>
  </r>
  <r>
    <x v="17"/>
    <x v="4"/>
    <x v="2"/>
    <x v="0"/>
    <x v="1"/>
    <x v="37"/>
    <x v="25"/>
    <s v="NAKİT"/>
    <n v="1"/>
    <n v="110"/>
    <n v="0"/>
    <n v="0"/>
    <n v="1"/>
    <m/>
    <n v="110"/>
    <m/>
    <n v="110"/>
    <n v="0"/>
    <n v="106466.78"/>
  </r>
  <r>
    <x v="17"/>
    <x v="4"/>
    <x v="4"/>
    <x v="0"/>
    <x v="1"/>
    <x v="37"/>
    <x v="25"/>
    <s v="NAKİT"/>
    <n v="1"/>
    <n v="110"/>
    <n v="0"/>
    <n v="0"/>
    <n v="1"/>
    <m/>
    <n v="110"/>
    <m/>
    <n v="110"/>
    <n v="0"/>
    <n v="106576.78"/>
  </r>
  <r>
    <x v="17"/>
    <x v="5"/>
    <x v="0"/>
    <x v="11"/>
    <x v="1"/>
    <x v="37"/>
    <x v="25"/>
    <s v="NAKİT"/>
    <n v="1"/>
    <n v="90.72"/>
    <n v="0"/>
    <n v="0"/>
    <n v="1"/>
    <m/>
    <n v="90.72"/>
    <m/>
    <n v="90.72"/>
    <n v="0"/>
    <n v="106667.5"/>
  </r>
  <r>
    <x v="17"/>
    <x v="4"/>
    <x v="85"/>
    <x v="0"/>
    <x v="1"/>
    <x v="38"/>
    <x v="25"/>
    <s v="NAKİT"/>
    <n v="1.37"/>
    <n v="300"/>
    <n v="0"/>
    <n v="0"/>
    <n v="1.37"/>
    <m/>
    <n v="300"/>
    <m/>
    <n v="411.00000000000006"/>
    <n v="0"/>
    <n v="107078.5"/>
  </r>
  <r>
    <x v="17"/>
    <x v="4"/>
    <x v="3"/>
    <x v="0"/>
    <x v="1"/>
    <x v="38"/>
    <x v="25"/>
    <s v="NAKİT"/>
    <n v="1"/>
    <n v="105"/>
    <n v="0"/>
    <n v="0"/>
    <n v="1"/>
    <m/>
    <n v="105"/>
    <m/>
    <n v="105"/>
    <n v="0"/>
    <n v="107183.5"/>
  </r>
  <r>
    <x v="17"/>
    <x v="4"/>
    <x v="21"/>
    <x v="0"/>
    <x v="1"/>
    <x v="39"/>
    <x v="25"/>
    <s v="NAKİT"/>
    <n v="1"/>
    <n v="260"/>
    <n v="0"/>
    <n v="0"/>
    <n v="1"/>
    <m/>
    <n v="260"/>
    <m/>
    <n v="260"/>
    <n v="0"/>
    <n v="107443.5"/>
  </r>
  <r>
    <x v="17"/>
    <x v="4"/>
    <x v="18"/>
    <x v="0"/>
    <x v="1"/>
    <x v="39"/>
    <x v="25"/>
    <s v="NAKİT"/>
    <n v="1"/>
    <n v="240"/>
    <n v="0"/>
    <n v="0"/>
    <n v="1"/>
    <m/>
    <n v="240"/>
    <m/>
    <n v="240"/>
    <n v="0"/>
    <n v="107683.5"/>
  </r>
  <r>
    <x v="17"/>
    <x v="4"/>
    <x v="19"/>
    <x v="0"/>
    <x v="1"/>
    <x v="39"/>
    <x v="25"/>
    <s v="NAKİT"/>
    <n v="1"/>
    <n v="200"/>
    <n v="0"/>
    <n v="0"/>
    <n v="1"/>
    <m/>
    <n v="200"/>
    <m/>
    <n v="200"/>
    <n v="0"/>
    <n v="107883.5"/>
  </r>
  <r>
    <x v="17"/>
    <x v="4"/>
    <x v="24"/>
    <x v="0"/>
    <x v="1"/>
    <x v="40"/>
    <x v="25"/>
    <s v="NAKİT"/>
    <n v="0.156"/>
    <n v="580"/>
    <n v="0"/>
    <n v="0"/>
    <n v="0.156"/>
    <m/>
    <n v="580"/>
    <m/>
    <n v="90.48"/>
    <n v="0"/>
    <n v="107973.98"/>
  </r>
  <r>
    <x v="17"/>
    <x v="4"/>
    <x v="25"/>
    <x v="0"/>
    <x v="1"/>
    <x v="40"/>
    <x v="25"/>
    <s v="NAKİT"/>
    <n v="0.1"/>
    <n v="310"/>
    <n v="0"/>
    <n v="0"/>
    <n v="0.1"/>
    <m/>
    <n v="310"/>
    <m/>
    <n v="31"/>
    <n v="0"/>
    <n v="108004.98"/>
  </r>
  <r>
    <x v="17"/>
    <x v="4"/>
    <x v="29"/>
    <x v="0"/>
    <x v="1"/>
    <x v="40"/>
    <x v="25"/>
    <s v="NAKİT"/>
    <n v="5.2999999999999999E-2"/>
    <n v="760"/>
    <n v="0"/>
    <n v="0"/>
    <n v="5.2999999999999999E-2"/>
    <m/>
    <n v="760"/>
    <m/>
    <n v="40.28"/>
    <n v="0"/>
    <n v="108045.26"/>
  </r>
  <r>
    <x v="17"/>
    <x v="4"/>
    <x v="49"/>
    <x v="0"/>
    <x v="1"/>
    <x v="40"/>
    <x v="25"/>
    <s v="NAKİT"/>
    <n v="0.124"/>
    <n v="240"/>
    <n v="0"/>
    <n v="0"/>
    <n v="0.124"/>
    <m/>
    <n v="240"/>
    <m/>
    <n v="29.759999999999998"/>
    <n v="0"/>
    <n v="108075.01999999999"/>
  </r>
  <r>
    <x v="17"/>
    <x v="4"/>
    <x v="50"/>
    <x v="0"/>
    <x v="1"/>
    <x v="40"/>
    <x v="25"/>
    <s v="NAKİT"/>
    <n v="0.04"/>
    <n v="420"/>
    <n v="0"/>
    <n v="0"/>
    <n v="0.04"/>
    <m/>
    <n v="420"/>
    <m/>
    <n v="16.8"/>
    <n v="0"/>
    <n v="108091.81999999999"/>
  </r>
  <r>
    <x v="17"/>
    <x v="4"/>
    <x v="116"/>
    <x v="0"/>
    <x v="1"/>
    <x v="40"/>
    <x v="25"/>
    <s v="NAKİT"/>
    <n v="0.34399999999999997"/>
    <n v="350"/>
    <n v="0"/>
    <n v="0"/>
    <n v="0.34399999999999997"/>
    <m/>
    <n v="350"/>
    <m/>
    <n v="120.39999999999999"/>
    <n v="0"/>
    <n v="108212.21999999999"/>
  </r>
  <r>
    <x v="17"/>
    <x v="4"/>
    <x v="70"/>
    <x v="0"/>
    <x v="1"/>
    <x v="40"/>
    <x v="25"/>
    <s v="NAKİT"/>
    <n v="0.39800000000000002"/>
    <n v="180"/>
    <n v="0"/>
    <n v="0"/>
    <n v="0.39800000000000002"/>
    <m/>
    <n v="180"/>
    <m/>
    <n v="71.64"/>
    <n v="0"/>
    <n v="108283.85999999999"/>
  </r>
  <r>
    <x v="17"/>
    <x v="4"/>
    <x v="76"/>
    <x v="0"/>
    <x v="1"/>
    <x v="40"/>
    <x v="25"/>
    <s v="NAKİT"/>
    <n v="0.5"/>
    <n v="80"/>
    <n v="0"/>
    <n v="0"/>
    <n v="0.5"/>
    <m/>
    <n v="80"/>
    <m/>
    <n v="40"/>
    <n v="0"/>
    <n v="108323.85999999999"/>
  </r>
  <r>
    <x v="17"/>
    <x v="4"/>
    <x v="101"/>
    <x v="0"/>
    <x v="1"/>
    <x v="40"/>
    <x v="25"/>
    <s v="NAKİT"/>
    <n v="0.22"/>
    <n v="150"/>
    <n v="0"/>
    <n v="0"/>
    <n v="0.22"/>
    <m/>
    <n v="150"/>
    <m/>
    <n v="33"/>
    <n v="0"/>
    <n v="108356.85999999999"/>
  </r>
  <r>
    <x v="17"/>
    <x v="4"/>
    <x v="24"/>
    <x v="0"/>
    <x v="1"/>
    <x v="41"/>
    <x v="25"/>
    <s v="NAKİT"/>
    <n v="0.17299999999999999"/>
    <n v="580"/>
    <n v="0"/>
    <n v="0"/>
    <n v="0.17299999999999999"/>
    <m/>
    <n v="580"/>
    <m/>
    <n v="100.33999999999999"/>
    <n v="0"/>
    <n v="108457.19999999998"/>
  </r>
  <r>
    <x v="17"/>
    <x v="4"/>
    <x v="31"/>
    <x v="0"/>
    <x v="1"/>
    <x v="41"/>
    <x v="25"/>
    <s v="NAKİT"/>
    <n v="0.182"/>
    <n v="330"/>
    <n v="0"/>
    <n v="0"/>
    <n v="0.182"/>
    <m/>
    <n v="330"/>
    <m/>
    <n v="60.059999999999995"/>
    <n v="0"/>
    <n v="108517.25999999998"/>
  </r>
  <r>
    <x v="17"/>
    <x v="4"/>
    <x v="59"/>
    <x v="0"/>
    <x v="1"/>
    <x v="41"/>
    <x v="25"/>
    <s v="NAKİT"/>
    <n v="0.28299999999999997"/>
    <n v="340"/>
    <n v="0"/>
    <n v="0"/>
    <n v="0.28299999999999997"/>
    <m/>
    <n v="340"/>
    <m/>
    <n v="96.219999999999985"/>
    <n v="0"/>
    <n v="108613.47999999998"/>
  </r>
  <r>
    <x v="17"/>
    <x v="4"/>
    <x v="32"/>
    <x v="0"/>
    <x v="1"/>
    <x v="41"/>
    <x v="25"/>
    <s v="NAKİT"/>
    <n v="0.2"/>
    <n v="290"/>
    <n v="0"/>
    <n v="0"/>
    <n v="0.2"/>
    <m/>
    <n v="290"/>
    <m/>
    <n v="58"/>
    <n v="0"/>
    <n v="108671.47999999998"/>
  </r>
  <r>
    <x v="17"/>
    <x v="4"/>
    <x v="112"/>
    <x v="0"/>
    <x v="1"/>
    <x v="41"/>
    <x v="25"/>
    <s v="NAKİT"/>
    <n v="2.7E-2"/>
    <n v="1500"/>
    <n v="0"/>
    <n v="0"/>
    <n v="2.7E-2"/>
    <m/>
    <n v="1500"/>
    <m/>
    <n v="40.5"/>
    <n v="0"/>
    <n v="108711.97999999998"/>
  </r>
  <r>
    <x v="17"/>
    <x v="4"/>
    <x v="49"/>
    <x v="0"/>
    <x v="1"/>
    <x v="41"/>
    <x v="25"/>
    <s v="NAKİT"/>
    <n v="0.14000000000000001"/>
    <n v="375"/>
    <n v="0"/>
    <n v="0"/>
    <n v="0.14000000000000001"/>
    <m/>
    <n v="375"/>
    <m/>
    <n v="52.500000000000007"/>
    <n v="0"/>
    <n v="108764.47999999998"/>
  </r>
  <r>
    <x v="17"/>
    <x v="4"/>
    <x v="18"/>
    <x v="0"/>
    <x v="1"/>
    <x v="41"/>
    <x v="25"/>
    <s v="NAKİT"/>
    <n v="1"/>
    <n v="240"/>
    <n v="0"/>
    <n v="0"/>
    <n v="1"/>
    <m/>
    <n v="240"/>
    <m/>
    <n v="240"/>
    <n v="0"/>
    <n v="109004.47999999998"/>
  </r>
  <r>
    <x v="17"/>
    <x v="4"/>
    <x v="3"/>
    <x v="0"/>
    <x v="1"/>
    <x v="41"/>
    <x v="25"/>
    <s v="NAKİT"/>
    <n v="1"/>
    <n v="110"/>
    <n v="0"/>
    <n v="0"/>
    <n v="1"/>
    <m/>
    <n v="110"/>
    <m/>
    <n v="110"/>
    <n v="0"/>
    <n v="109114.47999999998"/>
  </r>
  <r>
    <x v="17"/>
    <x v="4"/>
    <x v="2"/>
    <x v="0"/>
    <x v="1"/>
    <x v="41"/>
    <x v="25"/>
    <s v="NAKİT"/>
    <n v="1"/>
    <n v="110"/>
    <n v="0"/>
    <n v="0"/>
    <n v="1"/>
    <m/>
    <n v="110"/>
    <m/>
    <n v="110"/>
    <n v="0"/>
    <n v="109224.47999999998"/>
  </r>
  <r>
    <x v="18"/>
    <x v="3"/>
    <x v="119"/>
    <x v="0"/>
    <x v="4"/>
    <x v="42"/>
    <x v="32"/>
    <s v="CARİ"/>
    <n v="5"/>
    <n v="495"/>
    <n v="0"/>
    <n v="2475"/>
    <m/>
    <n v="5"/>
    <m/>
    <n v="495"/>
    <n v="0"/>
    <n v="0"/>
    <n v="109224.47999999998"/>
  </r>
  <r>
    <x v="18"/>
    <x v="3"/>
    <x v="120"/>
    <x v="0"/>
    <x v="4"/>
    <x v="42"/>
    <x v="32"/>
    <s v="CARİ"/>
    <n v="5"/>
    <n v="475"/>
    <n v="0"/>
    <n v="2375"/>
    <m/>
    <n v="5"/>
    <m/>
    <n v="475"/>
    <n v="0"/>
    <n v="0"/>
    <n v="109224.47999999998"/>
  </r>
  <r>
    <x v="18"/>
    <x v="3"/>
    <x v="121"/>
    <x v="0"/>
    <x v="4"/>
    <x v="42"/>
    <x v="32"/>
    <s v="CARİ"/>
    <n v="4"/>
    <n v="1150"/>
    <n v="0"/>
    <n v="4600"/>
    <m/>
    <n v="4"/>
    <m/>
    <n v="1150"/>
    <n v="0"/>
    <n v="0"/>
    <n v="109224.47999999998"/>
  </r>
  <r>
    <x v="18"/>
    <x v="3"/>
    <x v="122"/>
    <x v="0"/>
    <x v="4"/>
    <x v="42"/>
    <x v="32"/>
    <s v="CARİ"/>
    <n v="5"/>
    <n v="1050"/>
    <n v="0"/>
    <n v="5250"/>
    <m/>
    <n v="5"/>
    <m/>
    <n v="1050"/>
    <n v="0"/>
    <n v="0"/>
    <n v="109224.47999999998"/>
  </r>
  <r>
    <x v="18"/>
    <x v="3"/>
    <x v="123"/>
    <x v="0"/>
    <x v="4"/>
    <x v="42"/>
    <x v="32"/>
    <s v="CARİ"/>
    <n v="5"/>
    <n v="900"/>
    <n v="0"/>
    <n v="4500"/>
    <m/>
    <n v="5"/>
    <m/>
    <n v="900"/>
    <n v="0"/>
    <n v="0"/>
    <n v="109224.47999999998"/>
  </r>
  <r>
    <x v="18"/>
    <x v="3"/>
    <x v="124"/>
    <x v="0"/>
    <x v="4"/>
    <x v="42"/>
    <x v="32"/>
    <s v="CARİ"/>
    <n v="1"/>
    <n v="150"/>
    <n v="0"/>
    <n v="150"/>
    <m/>
    <n v="1"/>
    <m/>
    <n v="150"/>
    <n v="0"/>
    <n v="0"/>
    <n v="109224.47999999998"/>
  </r>
  <r>
    <x v="18"/>
    <x v="3"/>
    <x v="125"/>
    <x v="0"/>
    <x v="4"/>
    <x v="42"/>
    <x v="32"/>
    <s v="CARİ"/>
    <n v="5"/>
    <n v="500"/>
    <n v="0"/>
    <n v="2500"/>
    <m/>
    <n v="5"/>
    <m/>
    <n v="500"/>
    <n v="0"/>
    <n v="0"/>
    <n v="109224.47999999998"/>
  </r>
  <r>
    <x v="18"/>
    <x v="3"/>
    <x v="126"/>
    <x v="0"/>
    <x v="4"/>
    <x v="42"/>
    <x v="32"/>
    <s v="CARİ"/>
    <n v="1"/>
    <n v="180"/>
    <n v="0"/>
    <n v="180"/>
    <m/>
    <n v="1"/>
    <m/>
    <n v="180"/>
    <n v="0"/>
    <n v="0"/>
    <n v="109224.47999999998"/>
  </r>
  <r>
    <x v="18"/>
    <x v="3"/>
    <x v="127"/>
    <x v="0"/>
    <x v="4"/>
    <x v="42"/>
    <x v="32"/>
    <s v="CARİ"/>
    <n v="5"/>
    <n v="510"/>
    <n v="0"/>
    <n v="2550"/>
    <m/>
    <n v="5"/>
    <m/>
    <n v="510"/>
    <n v="0"/>
    <n v="0"/>
    <n v="109224.47999999998"/>
  </r>
  <r>
    <x v="18"/>
    <x v="3"/>
    <x v="128"/>
    <x v="0"/>
    <x v="4"/>
    <x v="42"/>
    <x v="32"/>
    <s v="CARİ"/>
    <n v="5"/>
    <n v="120"/>
    <n v="0"/>
    <n v="600"/>
    <m/>
    <n v="5"/>
    <m/>
    <n v="120"/>
    <n v="0"/>
    <n v="0"/>
    <n v="109224.47999999998"/>
  </r>
  <r>
    <x v="18"/>
    <x v="3"/>
    <x v="129"/>
    <x v="0"/>
    <x v="4"/>
    <x v="42"/>
    <x v="32"/>
    <s v="CARİ"/>
    <n v="5"/>
    <n v="155"/>
    <n v="0"/>
    <n v="775"/>
    <m/>
    <n v="5"/>
    <m/>
    <n v="155"/>
    <n v="0"/>
    <n v="0"/>
    <n v="109224.47999999998"/>
  </r>
  <r>
    <x v="18"/>
    <x v="3"/>
    <x v="130"/>
    <x v="0"/>
    <x v="4"/>
    <x v="42"/>
    <x v="32"/>
    <s v="CARİ"/>
    <n v="5"/>
    <n v="115"/>
    <n v="0"/>
    <n v="575"/>
    <m/>
    <n v="5"/>
    <m/>
    <n v="115"/>
    <n v="0"/>
    <n v="0"/>
    <n v="109224.47999999998"/>
  </r>
  <r>
    <x v="18"/>
    <x v="3"/>
    <x v="131"/>
    <x v="0"/>
    <x v="4"/>
    <x v="42"/>
    <x v="32"/>
    <s v="CARİ"/>
    <n v="5"/>
    <n v="150"/>
    <n v="0"/>
    <n v="750"/>
    <m/>
    <n v="5"/>
    <m/>
    <n v="150"/>
    <n v="0"/>
    <n v="0"/>
    <n v="109224.47999999998"/>
  </r>
  <r>
    <x v="18"/>
    <x v="3"/>
    <x v="132"/>
    <x v="0"/>
    <x v="4"/>
    <x v="42"/>
    <x v="32"/>
    <s v="CARİ"/>
    <n v="5"/>
    <n v="150"/>
    <n v="0"/>
    <n v="750"/>
    <m/>
    <n v="5"/>
    <m/>
    <n v="150"/>
    <n v="0"/>
    <n v="0"/>
    <n v="109224.47999999998"/>
  </r>
  <r>
    <x v="18"/>
    <x v="3"/>
    <x v="133"/>
    <x v="0"/>
    <x v="4"/>
    <x v="42"/>
    <x v="32"/>
    <s v="CARİ"/>
    <n v="5"/>
    <n v="150"/>
    <n v="0"/>
    <n v="750"/>
    <m/>
    <n v="5"/>
    <m/>
    <n v="150"/>
    <n v="0"/>
    <n v="0"/>
    <n v="109224.47999999998"/>
  </r>
  <r>
    <x v="18"/>
    <x v="3"/>
    <x v="134"/>
    <x v="0"/>
    <x v="4"/>
    <x v="42"/>
    <x v="32"/>
    <s v="CARİ"/>
    <n v="5"/>
    <n v="470"/>
    <n v="0"/>
    <n v="2350"/>
    <m/>
    <n v="5"/>
    <m/>
    <n v="470"/>
    <n v="0"/>
    <n v="0"/>
    <n v="109224.47999999998"/>
  </r>
  <r>
    <x v="18"/>
    <x v="3"/>
    <x v="135"/>
    <x v="0"/>
    <x v="4"/>
    <x v="42"/>
    <x v="32"/>
    <s v="CARİ"/>
    <n v="12"/>
    <n v="42"/>
    <n v="0"/>
    <n v="504"/>
    <m/>
    <n v="12"/>
    <m/>
    <n v="42"/>
    <n v="0"/>
    <n v="0"/>
    <n v="109224.47999999998"/>
  </r>
  <r>
    <x v="18"/>
    <x v="3"/>
    <x v="136"/>
    <x v="0"/>
    <x v="4"/>
    <x v="42"/>
    <x v="32"/>
    <s v="CARİ"/>
    <n v="5"/>
    <n v="90"/>
    <n v="0"/>
    <n v="450"/>
    <m/>
    <n v="5"/>
    <m/>
    <n v="90"/>
    <n v="0"/>
    <n v="0"/>
    <n v="109224.47999999998"/>
  </r>
  <r>
    <x v="18"/>
    <x v="3"/>
    <x v="137"/>
    <x v="0"/>
    <x v="4"/>
    <x v="42"/>
    <x v="32"/>
    <s v="CARİ"/>
    <n v="5"/>
    <n v="105"/>
    <n v="0"/>
    <n v="525"/>
    <m/>
    <n v="5"/>
    <m/>
    <n v="105"/>
    <n v="0"/>
    <n v="0"/>
    <n v="109224.47999999998"/>
  </r>
  <r>
    <x v="18"/>
    <x v="3"/>
    <x v="138"/>
    <x v="0"/>
    <x v="4"/>
    <x v="42"/>
    <x v="32"/>
    <s v="CARİ"/>
    <n v="5"/>
    <n v="90"/>
    <n v="0"/>
    <n v="450"/>
    <m/>
    <n v="5"/>
    <m/>
    <n v="90"/>
    <n v="0"/>
    <n v="0"/>
    <n v="109224.47999999998"/>
  </r>
  <r>
    <x v="18"/>
    <x v="3"/>
    <x v="139"/>
    <x v="0"/>
    <x v="4"/>
    <x v="42"/>
    <x v="32"/>
    <s v="CARİ"/>
    <n v="5"/>
    <n v="105"/>
    <n v="0"/>
    <n v="525"/>
    <m/>
    <n v="5"/>
    <m/>
    <n v="105"/>
    <n v="0"/>
    <n v="0"/>
    <n v="109224.47999999998"/>
  </r>
  <r>
    <x v="18"/>
    <x v="3"/>
    <x v="140"/>
    <x v="0"/>
    <x v="4"/>
    <x v="42"/>
    <x v="32"/>
    <s v="CARİ"/>
    <n v="5"/>
    <n v="90"/>
    <n v="0"/>
    <n v="450"/>
    <m/>
    <n v="5"/>
    <m/>
    <n v="90"/>
    <n v="0"/>
    <n v="0"/>
    <n v="109224.47999999998"/>
  </r>
  <r>
    <x v="18"/>
    <x v="3"/>
    <x v="141"/>
    <x v="0"/>
    <x v="4"/>
    <x v="42"/>
    <x v="32"/>
    <s v="CARİ"/>
    <n v="15"/>
    <n v="48"/>
    <n v="0"/>
    <n v="720"/>
    <m/>
    <n v="15"/>
    <m/>
    <n v="48"/>
    <n v="0"/>
    <n v="0"/>
    <n v="109224.47999999998"/>
  </r>
  <r>
    <x v="18"/>
    <x v="3"/>
    <x v="142"/>
    <x v="0"/>
    <x v="4"/>
    <x v="42"/>
    <x v="32"/>
    <s v="CARİ"/>
    <n v="5"/>
    <n v="170"/>
    <n v="0"/>
    <n v="850"/>
    <m/>
    <n v="5"/>
    <m/>
    <n v="170"/>
    <n v="0"/>
    <n v="0"/>
    <n v="109224.47999999998"/>
  </r>
  <r>
    <x v="18"/>
    <x v="3"/>
    <x v="143"/>
    <x v="0"/>
    <x v="4"/>
    <x v="42"/>
    <x v="32"/>
    <s v="CARİ"/>
    <n v="3"/>
    <n v="110"/>
    <n v="0"/>
    <n v="330"/>
    <m/>
    <n v="3"/>
    <m/>
    <n v="110"/>
    <n v="0"/>
    <n v="0"/>
    <n v="109224.47999999998"/>
  </r>
  <r>
    <x v="18"/>
    <x v="3"/>
    <x v="144"/>
    <x v="0"/>
    <x v="4"/>
    <x v="42"/>
    <x v="32"/>
    <s v="CARİ"/>
    <n v="5"/>
    <n v="75"/>
    <n v="0"/>
    <n v="375"/>
    <m/>
    <n v="5"/>
    <m/>
    <n v="75"/>
    <n v="0"/>
    <n v="0"/>
    <n v="109224.47999999998"/>
  </r>
  <r>
    <x v="18"/>
    <x v="4"/>
    <x v="85"/>
    <x v="0"/>
    <x v="1"/>
    <x v="43"/>
    <x v="25"/>
    <s v="NAKİT"/>
    <n v="1.3"/>
    <n v="300"/>
    <n v="0"/>
    <n v="0"/>
    <n v="1.3"/>
    <m/>
    <n v="300"/>
    <m/>
    <n v="390"/>
    <n v="0"/>
    <n v="109614.47999999998"/>
  </r>
  <r>
    <x v="18"/>
    <x v="4"/>
    <x v="71"/>
    <x v="0"/>
    <x v="1"/>
    <x v="43"/>
    <x v="25"/>
    <s v="NAKİT"/>
    <n v="0.28399999999999997"/>
    <n v="180"/>
    <n v="0"/>
    <n v="0"/>
    <n v="0.28399999999999997"/>
    <m/>
    <n v="180"/>
    <m/>
    <n v="51.12"/>
    <n v="0"/>
    <n v="109665.59999999998"/>
  </r>
  <r>
    <x v="18"/>
    <x v="4"/>
    <x v="12"/>
    <x v="0"/>
    <x v="1"/>
    <x v="43"/>
    <x v="25"/>
    <s v="NAKİT"/>
    <n v="1"/>
    <n v="220"/>
    <n v="0"/>
    <n v="0"/>
    <n v="1"/>
    <m/>
    <n v="220"/>
    <m/>
    <n v="220"/>
    <n v="0"/>
    <n v="109885.59999999998"/>
  </r>
  <r>
    <x v="18"/>
    <x v="4"/>
    <x v="70"/>
    <x v="0"/>
    <x v="1"/>
    <x v="44"/>
    <x v="25"/>
    <s v="NAKİT"/>
    <n v="0.5"/>
    <n v="180"/>
    <n v="0"/>
    <n v="0"/>
    <n v="0.5"/>
    <m/>
    <n v="180"/>
    <m/>
    <n v="90"/>
    <n v="0"/>
    <n v="109975.59999999998"/>
  </r>
  <r>
    <x v="19"/>
    <x v="3"/>
    <x v="12"/>
    <x v="0"/>
    <x v="2"/>
    <x v="45"/>
    <x v="18"/>
    <s v="K.K."/>
    <n v="2"/>
    <n v="159"/>
    <n v="0"/>
    <n v="318"/>
    <m/>
    <n v="2"/>
    <m/>
    <n v="159"/>
    <n v="0"/>
    <n v="0"/>
    <n v="109975.59999999998"/>
  </r>
  <r>
    <x v="19"/>
    <x v="3"/>
    <x v="145"/>
    <x v="0"/>
    <x v="2"/>
    <x v="46"/>
    <x v="14"/>
    <s v="K.K."/>
    <n v="2"/>
    <n v="199"/>
    <n v="0"/>
    <n v="398"/>
    <m/>
    <n v="2"/>
    <m/>
    <n v="199"/>
    <n v="0"/>
    <n v="0"/>
    <n v="109975.59999999998"/>
  </r>
  <r>
    <x v="19"/>
    <x v="3"/>
    <x v="146"/>
    <x v="0"/>
    <x v="2"/>
    <x v="46"/>
    <x v="14"/>
    <s v="K.K."/>
    <n v="2"/>
    <n v="119"/>
    <n v="0"/>
    <n v="238"/>
    <m/>
    <n v="2"/>
    <m/>
    <n v="119"/>
    <n v="0"/>
    <n v="0"/>
    <n v="109975.59999999998"/>
  </r>
  <r>
    <x v="19"/>
    <x v="3"/>
    <x v="147"/>
    <x v="0"/>
    <x v="2"/>
    <x v="46"/>
    <x v="14"/>
    <s v="K.K."/>
    <n v="2"/>
    <n v="119"/>
    <n v="0"/>
    <n v="238"/>
    <m/>
    <n v="2"/>
    <m/>
    <n v="119"/>
    <n v="0"/>
    <n v="0"/>
    <n v="109975.59999999998"/>
  </r>
  <r>
    <x v="19"/>
    <x v="3"/>
    <x v="148"/>
    <x v="0"/>
    <x v="2"/>
    <x v="46"/>
    <x v="14"/>
    <s v="K.K."/>
    <n v="2"/>
    <n v="109"/>
    <n v="0"/>
    <n v="218"/>
    <m/>
    <n v="2"/>
    <m/>
    <n v="109"/>
    <n v="0"/>
    <n v="0"/>
    <n v="109975.59999999998"/>
  </r>
  <r>
    <x v="19"/>
    <x v="4"/>
    <x v="59"/>
    <x v="0"/>
    <x v="1"/>
    <x v="47"/>
    <x v="25"/>
    <s v="NAKİT"/>
    <n v="0.53"/>
    <n v="340"/>
    <n v="0"/>
    <n v="0"/>
    <n v="0.53"/>
    <m/>
    <n v="340"/>
    <m/>
    <n v="180.20000000000002"/>
    <n v="0"/>
    <n v="110155.79999999997"/>
  </r>
  <r>
    <x v="19"/>
    <x v="4"/>
    <x v="85"/>
    <x v="0"/>
    <x v="1"/>
    <x v="48"/>
    <x v="25"/>
    <s v="NAKİT"/>
    <n v="2"/>
    <n v="300"/>
    <n v="0"/>
    <n v="0"/>
    <n v="2"/>
    <m/>
    <n v="300"/>
    <m/>
    <n v="600"/>
    <n v="0"/>
    <n v="110755.79999999997"/>
  </r>
  <r>
    <x v="19"/>
    <x v="4"/>
    <x v="66"/>
    <x v="0"/>
    <x v="1"/>
    <x v="49"/>
    <x v="25"/>
    <s v="NAKİT"/>
    <n v="0.37"/>
    <n v="270"/>
    <n v="0"/>
    <n v="0"/>
    <n v="0.37"/>
    <m/>
    <n v="270"/>
    <m/>
    <n v="99.9"/>
    <n v="0"/>
    <n v="110855.69999999997"/>
  </r>
  <r>
    <x v="19"/>
    <x v="4"/>
    <x v="149"/>
    <x v="0"/>
    <x v="1"/>
    <x v="50"/>
    <x v="25"/>
    <s v="NAKİT"/>
    <n v="0.125"/>
    <n v="650"/>
    <n v="0"/>
    <n v="0"/>
    <n v="0.125"/>
    <m/>
    <n v="650"/>
    <m/>
    <n v="81.25"/>
    <n v="0"/>
    <n v="110936.94999999997"/>
  </r>
  <r>
    <x v="19"/>
    <x v="4"/>
    <x v="120"/>
    <x v="0"/>
    <x v="1"/>
    <x v="51"/>
    <x v="25"/>
    <s v="NAKİT"/>
    <n v="0.125"/>
    <n v="650"/>
    <n v="0"/>
    <n v="0"/>
    <n v="0.125"/>
    <m/>
    <n v="650"/>
    <m/>
    <n v="81.25"/>
    <n v="0"/>
    <n v="111018.19999999997"/>
  </r>
  <r>
    <x v="19"/>
    <x v="1"/>
    <x v="0"/>
    <x v="3"/>
    <x v="1"/>
    <x v="2"/>
    <x v="33"/>
    <s v="NAKİT"/>
    <n v="1"/>
    <n v="550"/>
    <n v="0"/>
    <n v="0"/>
    <m/>
    <n v="1"/>
    <m/>
    <n v="550"/>
    <n v="0"/>
    <n v="550"/>
    <n v="110468.19999999997"/>
  </r>
  <r>
    <x v="19"/>
    <x v="1"/>
    <x v="0"/>
    <x v="12"/>
    <x v="1"/>
    <x v="2"/>
    <x v="34"/>
    <s v="NAKİT"/>
    <n v="1"/>
    <n v="1500"/>
    <n v="0"/>
    <n v="0"/>
    <m/>
    <n v="1"/>
    <m/>
    <n v="1500"/>
    <n v="0"/>
    <n v="1500"/>
    <n v="108968.19999999997"/>
  </r>
  <r>
    <x v="20"/>
    <x v="4"/>
    <x v="59"/>
    <x v="0"/>
    <x v="1"/>
    <x v="52"/>
    <x v="25"/>
    <s v="NAKİT"/>
    <n v="0.59"/>
    <n v="340"/>
    <n v="0"/>
    <n v="0"/>
    <n v="0.59"/>
    <m/>
    <n v="340"/>
    <m/>
    <n v="200.6"/>
    <n v="0"/>
    <n v="109168.79999999997"/>
  </r>
  <r>
    <x v="20"/>
    <x v="4"/>
    <x v="98"/>
    <x v="0"/>
    <x v="1"/>
    <x v="52"/>
    <x v="25"/>
    <s v="NAKİT"/>
    <n v="1"/>
    <n v="700"/>
    <n v="0"/>
    <n v="0"/>
    <n v="1"/>
    <m/>
    <n v="700"/>
    <m/>
    <n v="700"/>
    <n v="0"/>
    <n v="109868.79999999997"/>
  </r>
  <r>
    <x v="20"/>
    <x v="4"/>
    <x v="75"/>
    <x v="0"/>
    <x v="1"/>
    <x v="52"/>
    <x v="25"/>
    <s v="NAKİT"/>
    <n v="1"/>
    <n v="800"/>
    <n v="0"/>
    <n v="0"/>
    <n v="1"/>
    <m/>
    <n v="800"/>
    <m/>
    <n v="800"/>
    <n v="0"/>
    <n v="110668.79999999997"/>
  </r>
  <r>
    <x v="20"/>
    <x v="4"/>
    <x v="116"/>
    <x v="0"/>
    <x v="1"/>
    <x v="52"/>
    <x v="25"/>
    <s v="NAKİT"/>
    <n v="1"/>
    <n v="350"/>
    <n v="0"/>
    <n v="0"/>
    <n v="1"/>
    <m/>
    <n v="350"/>
    <m/>
    <n v="350"/>
    <n v="0"/>
    <n v="111018.79999999997"/>
  </r>
  <r>
    <x v="20"/>
    <x v="4"/>
    <x v="100"/>
    <x v="0"/>
    <x v="1"/>
    <x v="52"/>
    <x v="25"/>
    <s v="NAKİT"/>
    <n v="1"/>
    <n v="650"/>
    <n v="0"/>
    <n v="0"/>
    <n v="1"/>
    <m/>
    <n v="650"/>
    <m/>
    <n v="650"/>
    <n v="0"/>
    <n v="111668.79999999997"/>
  </r>
  <r>
    <x v="20"/>
    <x v="4"/>
    <x v="57"/>
    <x v="0"/>
    <x v="1"/>
    <x v="52"/>
    <x v="25"/>
    <s v="NAKİT"/>
    <n v="2"/>
    <n v="125"/>
    <n v="0"/>
    <n v="0"/>
    <n v="2"/>
    <m/>
    <n v="125"/>
    <m/>
    <n v="250"/>
    <n v="0"/>
    <n v="111918.79999999997"/>
  </r>
  <r>
    <x v="20"/>
    <x v="4"/>
    <x v="138"/>
    <x v="0"/>
    <x v="1"/>
    <x v="52"/>
    <x v="25"/>
    <s v="NAKİT"/>
    <n v="1"/>
    <n v="160"/>
    <n v="0"/>
    <n v="0"/>
    <n v="1"/>
    <m/>
    <n v="160"/>
    <m/>
    <n v="160"/>
    <n v="0"/>
    <n v="112078.79999999997"/>
  </r>
  <r>
    <x v="20"/>
    <x v="4"/>
    <x v="85"/>
    <x v="0"/>
    <x v="1"/>
    <x v="52"/>
    <x v="25"/>
    <s v="NAKİT"/>
    <n v="1"/>
    <n v="300"/>
    <n v="0"/>
    <n v="0"/>
    <n v="1"/>
    <m/>
    <n v="300"/>
    <m/>
    <n v="300"/>
    <n v="0"/>
    <n v="112378.79999999997"/>
  </r>
  <r>
    <x v="20"/>
    <x v="4"/>
    <x v="101"/>
    <x v="0"/>
    <x v="1"/>
    <x v="52"/>
    <x v="25"/>
    <s v="NAKİT"/>
    <n v="0.23499999999999999"/>
    <n v="150"/>
    <n v="0"/>
    <n v="0"/>
    <n v="0.23499999999999999"/>
    <m/>
    <n v="150"/>
    <m/>
    <n v="35.25"/>
    <n v="0"/>
    <n v="112414.04999999997"/>
  </r>
  <r>
    <x v="20"/>
    <x v="1"/>
    <x v="0"/>
    <x v="9"/>
    <x v="1"/>
    <x v="52"/>
    <x v="25"/>
    <s v="NAKİT"/>
    <n v="1"/>
    <n v="45.25"/>
    <n v="0"/>
    <n v="0"/>
    <m/>
    <n v="1"/>
    <m/>
    <n v="45.25"/>
    <n v="0"/>
    <n v="45.25"/>
    <n v="112368.79999999997"/>
  </r>
  <r>
    <x v="20"/>
    <x v="4"/>
    <x v="19"/>
    <x v="0"/>
    <x v="1"/>
    <x v="53"/>
    <x v="25"/>
    <s v="NAKİT"/>
    <n v="1"/>
    <n v="200"/>
    <n v="0"/>
    <n v="0"/>
    <n v="1"/>
    <m/>
    <n v="200"/>
    <m/>
    <n v="200"/>
    <n v="0"/>
    <n v="112568.79999999997"/>
  </r>
  <r>
    <x v="20"/>
    <x v="4"/>
    <x v="18"/>
    <x v="0"/>
    <x v="1"/>
    <x v="53"/>
    <x v="25"/>
    <s v="NAKİT"/>
    <n v="1"/>
    <n v="240"/>
    <n v="0"/>
    <n v="0"/>
    <n v="1"/>
    <m/>
    <n v="240"/>
    <m/>
    <n v="240"/>
    <n v="0"/>
    <n v="112808.79999999997"/>
  </r>
  <r>
    <x v="20"/>
    <x v="4"/>
    <x v="71"/>
    <x v="0"/>
    <x v="1"/>
    <x v="54"/>
    <x v="25"/>
    <s v="NAKİT"/>
    <n v="0.17"/>
    <n v="180"/>
    <n v="0"/>
    <n v="0"/>
    <n v="0.17"/>
    <m/>
    <n v="180"/>
    <m/>
    <n v="30.6"/>
    <n v="0"/>
    <n v="112839.39999999998"/>
  </r>
  <r>
    <x v="20"/>
    <x v="4"/>
    <x v="117"/>
    <x v="0"/>
    <x v="1"/>
    <x v="54"/>
    <x v="25"/>
    <s v="NAKİT"/>
    <n v="0.17"/>
    <n v="350"/>
    <n v="0"/>
    <n v="0"/>
    <n v="0.17"/>
    <m/>
    <n v="350"/>
    <m/>
    <n v="59.500000000000007"/>
    <n v="0"/>
    <n v="112898.89999999998"/>
  </r>
  <r>
    <x v="21"/>
    <x v="6"/>
    <x v="68"/>
    <x v="0"/>
    <x v="4"/>
    <x v="55"/>
    <x v="32"/>
    <s v="CARİ"/>
    <n v="5"/>
    <n v="570"/>
    <n v="2850"/>
    <n v="0"/>
    <n v="5"/>
    <m/>
    <n v="570"/>
    <m/>
    <n v="0"/>
    <n v="0"/>
    <n v="112898.89999999998"/>
  </r>
  <r>
    <x v="21"/>
    <x v="6"/>
    <x v="125"/>
    <x v="0"/>
    <x v="4"/>
    <x v="56"/>
    <x v="32"/>
    <s v="CARİ"/>
    <n v="5"/>
    <n v="500"/>
    <n v="2500"/>
    <n v="0"/>
    <n v="5"/>
    <m/>
    <n v="500"/>
    <m/>
    <n v="0"/>
    <n v="0"/>
    <n v="112898.89999999998"/>
  </r>
  <r>
    <x v="21"/>
    <x v="4"/>
    <x v="27"/>
    <x v="0"/>
    <x v="1"/>
    <x v="57"/>
    <x v="25"/>
    <s v="NAKİT"/>
    <n v="0.44"/>
    <n v="230"/>
    <n v="0"/>
    <n v="0"/>
    <n v="0.44"/>
    <m/>
    <n v="230"/>
    <m/>
    <n v="101.2"/>
    <n v="0"/>
    <n v="113000.09999999998"/>
  </r>
  <r>
    <x v="21"/>
    <x v="4"/>
    <x v="29"/>
    <x v="0"/>
    <x v="1"/>
    <x v="57"/>
    <x v="25"/>
    <s v="NAKİT"/>
    <n v="0.13200000000000001"/>
    <n v="760"/>
    <n v="0"/>
    <n v="0"/>
    <n v="0.13200000000000001"/>
    <m/>
    <n v="760"/>
    <m/>
    <n v="100.32000000000001"/>
    <n v="0"/>
    <n v="113100.41999999998"/>
  </r>
  <r>
    <x v="21"/>
    <x v="4"/>
    <x v="51"/>
    <x v="0"/>
    <x v="1"/>
    <x v="58"/>
    <x v="25"/>
    <s v="NAKİT"/>
    <n v="0.21"/>
    <n v="240"/>
    <n v="0"/>
    <n v="0"/>
    <n v="0.21"/>
    <m/>
    <n v="240"/>
    <m/>
    <n v="50.4"/>
    <n v="0"/>
    <n v="113150.81999999998"/>
  </r>
  <r>
    <x v="21"/>
    <x v="4"/>
    <x v="85"/>
    <x v="0"/>
    <x v="1"/>
    <x v="59"/>
    <x v="25"/>
    <s v="NAKİT"/>
    <n v="0.66700000000000004"/>
    <n v="300"/>
    <n v="0"/>
    <n v="0"/>
    <n v="0.66700000000000004"/>
    <m/>
    <n v="300"/>
    <m/>
    <n v="200.10000000000002"/>
    <n v="0"/>
    <n v="113350.91999999998"/>
  </r>
  <r>
    <x v="21"/>
    <x v="4"/>
    <x v="18"/>
    <x v="0"/>
    <x v="1"/>
    <x v="60"/>
    <x v="25"/>
    <s v="NAKİT"/>
    <n v="1"/>
    <n v="240"/>
    <n v="0"/>
    <n v="0"/>
    <n v="1"/>
    <m/>
    <n v="240"/>
    <m/>
    <n v="240"/>
    <n v="0"/>
    <n v="113590.91999999998"/>
  </r>
  <r>
    <x v="21"/>
    <x v="4"/>
    <x v="19"/>
    <x v="0"/>
    <x v="1"/>
    <x v="60"/>
    <x v="25"/>
    <s v="NAKİT"/>
    <n v="1"/>
    <n v="200"/>
    <n v="0"/>
    <n v="0"/>
    <n v="1"/>
    <m/>
    <n v="200"/>
    <m/>
    <n v="200"/>
    <n v="0"/>
    <n v="113790.91999999998"/>
  </r>
  <r>
    <x v="21"/>
    <x v="4"/>
    <x v="88"/>
    <x v="0"/>
    <x v="1"/>
    <x v="60"/>
    <x v="25"/>
    <s v="NAKİT"/>
    <n v="0.04"/>
    <n v="1140"/>
    <n v="0"/>
    <n v="0"/>
    <n v="0.04"/>
    <m/>
    <n v="1140"/>
    <m/>
    <n v="45.6"/>
    <n v="0"/>
    <n v="113836.51999999999"/>
  </r>
  <r>
    <x v="21"/>
    <x v="4"/>
    <x v="100"/>
    <x v="0"/>
    <x v="1"/>
    <x v="60"/>
    <x v="25"/>
    <s v="NAKİT"/>
    <n v="0.188"/>
    <n v="650"/>
    <n v="0"/>
    <n v="0"/>
    <n v="0.188"/>
    <m/>
    <n v="650"/>
    <m/>
    <n v="122.2"/>
    <n v="0"/>
    <n v="113958.71999999999"/>
  </r>
  <r>
    <x v="21"/>
    <x v="4"/>
    <x v="75"/>
    <x v="0"/>
    <x v="1"/>
    <x v="60"/>
    <x v="25"/>
    <s v="NAKİT"/>
    <n v="0.2"/>
    <n v="800"/>
    <n v="0"/>
    <n v="0"/>
    <n v="0.2"/>
    <m/>
    <n v="800"/>
    <m/>
    <n v="160"/>
    <n v="0"/>
    <n v="114118.71999999999"/>
  </r>
  <r>
    <x v="21"/>
    <x v="4"/>
    <x v="116"/>
    <x v="0"/>
    <x v="1"/>
    <x v="60"/>
    <x v="25"/>
    <s v="NAKİT"/>
    <n v="0.17599999999999999"/>
    <n v="350"/>
    <n v="0"/>
    <n v="0"/>
    <n v="0.17599999999999999"/>
    <m/>
    <n v="350"/>
    <m/>
    <n v="61.599999999999994"/>
    <n v="0"/>
    <n v="114180.31999999999"/>
  </r>
  <r>
    <x v="21"/>
    <x v="1"/>
    <x v="0"/>
    <x v="9"/>
    <x v="1"/>
    <x v="60"/>
    <x v="25"/>
    <s v="NAKİT"/>
    <n v="1"/>
    <n v="29.4"/>
    <n v="0"/>
    <n v="0"/>
    <m/>
    <n v="1"/>
    <m/>
    <n v="29.4"/>
    <n v="0"/>
    <n v="29.4"/>
    <n v="114150.92"/>
  </r>
  <r>
    <x v="21"/>
    <x v="4"/>
    <x v="84"/>
    <x v="0"/>
    <x v="1"/>
    <x v="61"/>
    <x v="25"/>
    <s v="NAKİT"/>
    <n v="0.04"/>
    <n v="3000"/>
    <n v="0"/>
    <n v="0"/>
    <n v="0.04"/>
    <m/>
    <n v="3000"/>
    <m/>
    <n v="120"/>
    <n v="0"/>
    <n v="114270.92"/>
  </r>
  <r>
    <x v="21"/>
    <x v="4"/>
    <x v="83"/>
    <x v="0"/>
    <x v="1"/>
    <x v="61"/>
    <x v="25"/>
    <s v="NAKİT"/>
    <n v="5.6000000000000001E-2"/>
    <n v="2000"/>
    <n v="0"/>
    <n v="0"/>
    <n v="5.6000000000000001E-2"/>
    <m/>
    <n v="2000"/>
    <m/>
    <n v="112"/>
    <n v="0"/>
    <n v="114382.92"/>
  </r>
  <r>
    <x v="21"/>
    <x v="4"/>
    <x v="45"/>
    <x v="0"/>
    <x v="1"/>
    <x v="61"/>
    <x v="25"/>
    <s v="NAKİT"/>
    <n v="1"/>
    <n v="65"/>
    <n v="0"/>
    <n v="0"/>
    <n v="1"/>
    <m/>
    <n v="65"/>
    <m/>
    <n v="65"/>
    <n v="0"/>
    <n v="114447.92"/>
  </r>
  <r>
    <x v="21"/>
    <x v="4"/>
    <x v="85"/>
    <x v="0"/>
    <x v="1"/>
    <x v="62"/>
    <x v="25"/>
    <s v="NAKİT"/>
    <n v="1"/>
    <n v="300"/>
    <n v="0"/>
    <n v="0"/>
    <n v="1"/>
    <m/>
    <n v="300"/>
    <m/>
    <n v="300"/>
    <n v="0"/>
    <n v="114747.92"/>
  </r>
  <r>
    <x v="21"/>
    <x v="4"/>
    <x v="100"/>
    <x v="0"/>
    <x v="1"/>
    <x v="62"/>
    <x v="25"/>
    <s v="NAKİT"/>
    <n v="0.156"/>
    <n v="650"/>
    <n v="0"/>
    <n v="0"/>
    <n v="0.156"/>
    <m/>
    <n v="650"/>
    <m/>
    <n v="101.4"/>
    <n v="0"/>
    <n v="114849.31999999999"/>
  </r>
  <r>
    <x v="21"/>
    <x v="4"/>
    <x v="54"/>
    <x v="0"/>
    <x v="1"/>
    <x v="63"/>
    <x v="25"/>
    <s v="NAKİT"/>
    <n v="0.17499999999999999"/>
    <n v="290"/>
    <n v="0"/>
    <n v="0"/>
    <n v="0.17499999999999999"/>
    <m/>
    <n v="290"/>
    <m/>
    <n v="50.75"/>
    <n v="0"/>
    <n v="114900.06999999999"/>
  </r>
  <r>
    <x v="22"/>
    <x v="4"/>
    <x v="56"/>
    <x v="0"/>
    <x v="1"/>
    <x v="64"/>
    <x v="25"/>
    <s v="NAKİT"/>
    <n v="1.2"/>
    <n v="180"/>
    <n v="0"/>
    <n v="0"/>
    <n v="1.2"/>
    <m/>
    <n v="180"/>
    <m/>
    <n v="216"/>
    <n v="0"/>
    <n v="115116.06999999999"/>
  </r>
  <r>
    <x v="22"/>
    <x v="4"/>
    <x v="33"/>
    <x v="0"/>
    <x v="5"/>
    <x v="65"/>
    <x v="25"/>
    <s v="POS"/>
    <n v="0.222"/>
    <n v="340"/>
    <n v="75.48"/>
    <n v="0"/>
    <n v="0.222"/>
    <m/>
    <n v="340"/>
    <m/>
    <n v="0"/>
    <n v="0"/>
    <n v="115116.06999999999"/>
  </r>
  <r>
    <x v="22"/>
    <x v="4"/>
    <x v="73"/>
    <x v="0"/>
    <x v="5"/>
    <x v="66"/>
    <x v="25"/>
    <s v="POS"/>
    <n v="0.11"/>
    <n v="930"/>
    <n v="102.3"/>
    <n v="0"/>
    <n v="0.11"/>
    <m/>
    <n v="930"/>
    <m/>
    <n v="0"/>
    <n v="0"/>
    <n v="115116.06999999999"/>
  </r>
  <r>
    <x v="22"/>
    <x v="4"/>
    <x v="101"/>
    <x v="0"/>
    <x v="1"/>
    <x v="67"/>
    <x v="25"/>
    <s v="NAKİT"/>
    <n v="0.2"/>
    <n v="150"/>
    <n v="0"/>
    <n v="0"/>
    <n v="0.2"/>
    <m/>
    <n v="150"/>
    <m/>
    <n v="30"/>
    <n v="0"/>
    <n v="115146.06999999999"/>
  </r>
  <r>
    <x v="22"/>
    <x v="4"/>
    <x v="79"/>
    <x v="0"/>
    <x v="1"/>
    <x v="67"/>
    <x v="25"/>
    <s v="NAKİT"/>
    <n v="1"/>
    <n v="290"/>
    <n v="0"/>
    <n v="0"/>
    <n v="1"/>
    <m/>
    <n v="290"/>
    <m/>
    <n v="290"/>
    <n v="0"/>
    <n v="115436.06999999999"/>
  </r>
  <r>
    <x v="22"/>
    <x v="4"/>
    <x v="45"/>
    <x v="0"/>
    <x v="1"/>
    <x v="67"/>
    <x v="25"/>
    <s v="NAKİT"/>
    <n v="1"/>
    <n v="65"/>
    <n v="0"/>
    <n v="0"/>
    <n v="1"/>
    <m/>
    <n v="65"/>
    <m/>
    <n v="65"/>
    <n v="0"/>
    <n v="115501.06999999999"/>
  </r>
  <r>
    <x v="22"/>
    <x v="4"/>
    <x v="143"/>
    <x v="0"/>
    <x v="1"/>
    <x v="67"/>
    <x v="25"/>
    <s v="NAKİT"/>
    <n v="1"/>
    <n v="140"/>
    <n v="0"/>
    <n v="0"/>
    <n v="1"/>
    <m/>
    <n v="140"/>
    <m/>
    <n v="140"/>
    <n v="0"/>
    <n v="115641.06999999999"/>
  </r>
  <r>
    <x v="22"/>
    <x v="4"/>
    <x v="61"/>
    <x v="0"/>
    <x v="1"/>
    <x v="67"/>
    <x v="25"/>
    <s v="NAKİT"/>
    <n v="0.17199999999999999"/>
    <n v="770"/>
    <n v="0"/>
    <n v="0"/>
    <n v="0.17199999999999999"/>
    <m/>
    <n v="770"/>
    <m/>
    <n v="132.44"/>
    <n v="0"/>
    <n v="115773.51"/>
  </r>
  <r>
    <x v="22"/>
    <x v="4"/>
    <x v="26"/>
    <x v="0"/>
    <x v="1"/>
    <x v="67"/>
    <x v="25"/>
    <s v="NAKİT"/>
    <n v="0.12"/>
    <n v="330"/>
    <n v="0"/>
    <n v="0"/>
    <n v="0.12"/>
    <m/>
    <n v="330"/>
    <m/>
    <n v="39.6"/>
    <n v="0"/>
    <n v="115813.11"/>
  </r>
  <r>
    <x v="22"/>
    <x v="4"/>
    <x v="22"/>
    <x v="0"/>
    <x v="1"/>
    <x v="67"/>
    <x v="25"/>
    <s v="NAKİT"/>
    <n v="6.4000000000000001E-2"/>
    <n v="290"/>
    <n v="0"/>
    <n v="0"/>
    <n v="6.4000000000000001E-2"/>
    <m/>
    <n v="290"/>
    <m/>
    <n v="18.559999999999999"/>
    <n v="0"/>
    <n v="115831.67"/>
  </r>
  <r>
    <x v="22"/>
    <x v="4"/>
    <x v="49"/>
    <x v="0"/>
    <x v="1"/>
    <x v="67"/>
    <x v="25"/>
    <s v="NAKİT"/>
    <n v="0.50800000000000001"/>
    <n v="375"/>
    <n v="0"/>
    <n v="0"/>
    <n v="0.50800000000000001"/>
    <m/>
    <n v="375"/>
    <m/>
    <n v="190.5"/>
    <n v="0"/>
    <n v="116022.17"/>
  </r>
  <r>
    <x v="22"/>
    <x v="4"/>
    <x v="55"/>
    <x v="0"/>
    <x v="1"/>
    <x v="67"/>
    <x v="25"/>
    <s v="NAKİT"/>
    <n v="0.85199999999999998"/>
    <n v="180"/>
    <n v="0"/>
    <n v="0"/>
    <n v="0.85199999999999998"/>
    <m/>
    <n v="180"/>
    <m/>
    <n v="153.35999999999999"/>
    <n v="0"/>
    <n v="116175.53"/>
  </r>
  <r>
    <x v="22"/>
    <x v="4"/>
    <x v="57"/>
    <x v="0"/>
    <x v="1"/>
    <x v="67"/>
    <x v="25"/>
    <s v="NAKİT"/>
    <n v="0.98399999999999999"/>
    <n v="125"/>
    <n v="0"/>
    <n v="0"/>
    <n v="0.98399999999999999"/>
    <m/>
    <n v="125"/>
    <m/>
    <n v="123"/>
    <n v="0"/>
    <n v="116298.53"/>
  </r>
  <r>
    <x v="22"/>
    <x v="4"/>
    <x v="18"/>
    <x v="0"/>
    <x v="1"/>
    <x v="67"/>
    <x v="25"/>
    <s v="NAKİT"/>
    <n v="1"/>
    <n v="240"/>
    <n v="0"/>
    <n v="0"/>
    <n v="1"/>
    <m/>
    <n v="240"/>
    <m/>
    <n v="240"/>
    <n v="0"/>
    <n v="116538.53"/>
  </r>
  <r>
    <x v="22"/>
    <x v="4"/>
    <x v="19"/>
    <x v="0"/>
    <x v="1"/>
    <x v="67"/>
    <x v="25"/>
    <s v="NAKİT"/>
    <n v="1"/>
    <n v="200"/>
    <n v="0"/>
    <n v="0"/>
    <n v="1"/>
    <m/>
    <n v="200"/>
    <m/>
    <n v="200"/>
    <n v="0"/>
    <n v="116738.53"/>
  </r>
  <r>
    <x v="22"/>
    <x v="4"/>
    <x v="21"/>
    <x v="0"/>
    <x v="1"/>
    <x v="67"/>
    <x v="25"/>
    <s v="NAKİT"/>
    <n v="1"/>
    <n v="260"/>
    <n v="0"/>
    <n v="0"/>
    <n v="1"/>
    <m/>
    <n v="260"/>
    <m/>
    <n v="260"/>
    <n v="0"/>
    <n v="116998.53"/>
  </r>
  <r>
    <x v="22"/>
    <x v="5"/>
    <x v="0"/>
    <x v="11"/>
    <x v="1"/>
    <x v="67"/>
    <x v="25"/>
    <s v="NAKİT"/>
    <n v="1"/>
    <n v="320"/>
    <n v="0"/>
    <n v="0"/>
    <n v="1"/>
    <m/>
    <n v="320"/>
    <m/>
    <n v="320"/>
    <n v="0"/>
    <n v="117318.53"/>
  </r>
  <r>
    <x v="22"/>
    <x v="4"/>
    <x v="57"/>
    <x v="0"/>
    <x v="1"/>
    <x v="68"/>
    <x v="25"/>
    <s v="NAKİT"/>
    <n v="0.71599999999999997"/>
    <n v="125"/>
    <n v="0"/>
    <n v="0"/>
    <n v="0.71599999999999997"/>
    <m/>
    <n v="125"/>
    <m/>
    <n v="89.5"/>
    <n v="0"/>
    <n v="117408.03"/>
  </r>
  <r>
    <x v="22"/>
    <x v="4"/>
    <x v="55"/>
    <x v="0"/>
    <x v="1"/>
    <x v="68"/>
    <x v="25"/>
    <s v="NAKİT"/>
    <n v="0.68400000000000005"/>
    <n v="180"/>
    <n v="0"/>
    <n v="0"/>
    <n v="0.68400000000000005"/>
    <m/>
    <n v="180"/>
    <m/>
    <n v="123.12"/>
    <n v="0"/>
    <n v="117531.15"/>
  </r>
  <r>
    <x v="22"/>
    <x v="4"/>
    <x v="57"/>
    <x v="0"/>
    <x v="1"/>
    <x v="69"/>
    <x v="25"/>
    <s v="NAKİT"/>
    <n v="0.65"/>
    <n v="125"/>
    <n v="0"/>
    <n v="0"/>
    <n v="0.65"/>
    <m/>
    <n v="125"/>
    <m/>
    <n v="81.25"/>
    <n v="0"/>
    <n v="117612.4"/>
  </r>
  <r>
    <x v="22"/>
    <x v="4"/>
    <x v="19"/>
    <x v="0"/>
    <x v="1"/>
    <x v="69"/>
    <x v="25"/>
    <s v="NAKİT"/>
    <n v="1"/>
    <n v="200"/>
    <n v="0"/>
    <n v="0"/>
    <n v="1"/>
    <m/>
    <n v="200"/>
    <m/>
    <n v="200"/>
    <n v="0"/>
    <n v="117812.4"/>
  </r>
  <r>
    <x v="22"/>
    <x v="4"/>
    <x v="135"/>
    <x v="0"/>
    <x v="5"/>
    <x v="70"/>
    <x v="25"/>
    <s v="POS"/>
    <n v="2"/>
    <n v="100"/>
    <n v="200"/>
    <n v="0"/>
    <n v="2"/>
    <m/>
    <n v="100"/>
    <m/>
    <n v="0"/>
    <n v="0"/>
    <n v="117812.4"/>
  </r>
  <r>
    <x v="23"/>
    <x v="4"/>
    <x v="33"/>
    <x v="0"/>
    <x v="1"/>
    <x v="71"/>
    <x v="25"/>
    <s v="NAKİT"/>
    <n v="0.186"/>
    <n v="360"/>
    <n v="0"/>
    <n v="0"/>
    <n v="0.186"/>
    <m/>
    <n v="360"/>
    <m/>
    <n v="66.959999999999994"/>
    <n v="0"/>
    <n v="117879.36"/>
  </r>
  <r>
    <x v="23"/>
    <x v="4"/>
    <x v="88"/>
    <x v="0"/>
    <x v="5"/>
    <x v="72"/>
    <x v="25"/>
    <s v="POS"/>
    <n v="0.05"/>
    <n v="1100"/>
    <n v="55"/>
    <n v="0"/>
    <n v="0.05"/>
    <m/>
    <n v="1100"/>
    <m/>
    <n v="0"/>
    <n v="0"/>
    <n v="117879.36"/>
  </r>
  <r>
    <x v="23"/>
    <x v="4"/>
    <x v="49"/>
    <x v="0"/>
    <x v="5"/>
    <x v="72"/>
    <x v="25"/>
    <s v="POS"/>
    <n v="0.1"/>
    <n v="625"/>
    <n v="62.5"/>
    <n v="0"/>
    <n v="0.1"/>
    <m/>
    <n v="625"/>
    <m/>
    <n v="0"/>
    <n v="0"/>
    <n v="117879.36"/>
  </r>
  <r>
    <x v="23"/>
    <x v="4"/>
    <x v="113"/>
    <x v="0"/>
    <x v="1"/>
    <x v="73"/>
    <x v="25"/>
    <s v="NAKİT"/>
    <n v="0.254"/>
    <n v="810"/>
    <n v="0"/>
    <n v="0"/>
    <n v="0.254"/>
    <m/>
    <n v="810"/>
    <m/>
    <n v="205.74"/>
    <n v="0"/>
    <n v="118085.1"/>
  </r>
  <r>
    <x v="23"/>
    <x v="4"/>
    <x v="50"/>
    <x v="0"/>
    <x v="1"/>
    <x v="73"/>
    <x v="25"/>
    <s v="NAKİT"/>
    <n v="0.26200000000000001"/>
    <n v="660"/>
    <n v="0"/>
    <n v="0"/>
    <n v="0.26200000000000001"/>
    <m/>
    <n v="660"/>
    <m/>
    <n v="172.92000000000002"/>
    <n v="0"/>
    <n v="118258.02"/>
  </r>
  <r>
    <x v="23"/>
    <x v="4"/>
    <x v="99"/>
    <x v="0"/>
    <x v="1"/>
    <x v="73"/>
    <x v="25"/>
    <s v="NAKİT"/>
    <n v="0.27800000000000002"/>
    <n v="450"/>
    <n v="0"/>
    <n v="0"/>
    <n v="0.27800000000000002"/>
    <m/>
    <n v="450"/>
    <m/>
    <n v="125.10000000000001"/>
    <n v="0"/>
    <n v="118383.12000000001"/>
  </r>
  <r>
    <x v="23"/>
    <x v="4"/>
    <x v="49"/>
    <x v="0"/>
    <x v="1"/>
    <x v="73"/>
    <x v="25"/>
    <s v="NAKİT"/>
    <n v="0.5"/>
    <n v="625"/>
    <n v="0"/>
    <n v="0"/>
    <n v="0.5"/>
    <m/>
    <n v="625"/>
    <m/>
    <n v="312.5"/>
    <n v="0"/>
    <n v="118695.62000000001"/>
  </r>
  <r>
    <x v="23"/>
    <x v="1"/>
    <x v="0"/>
    <x v="9"/>
    <x v="1"/>
    <x v="73"/>
    <x v="25"/>
    <s v="NAKİT"/>
    <n v="1"/>
    <n v="16.260000000000002"/>
    <n v="0"/>
    <n v="0"/>
    <m/>
    <n v="1"/>
    <m/>
    <n v="16.260000000000002"/>
    <n v="0"/>
    <n v="16.260000000000002"/>
    <n v="118679.36000000002"/>
  </r>
  <r>
    <x v="23"/>
    <x v="4"/>
    <x v="83"/>
    <x v="0"/>
    <x v="1"/>
    <x v="74"/>
    <x v="25"/>
    <s v="NAKİT"/>
    <n v="0.05"/>
    <n v="2500"/>
    <n v="0"/>
    <n v="0"/>
    <n v="0.05"/>
    <m/>
    <n v="2500"/>
    <m/>
    <n v="125"/>
    <n v="0"/>
    <n v="118804.36000000002"/>
  </r>
  <r>
    <x v="23"/>
    <x v="4"/>
    <x v="141"/>
    <x v="0"/>
    <x v="1"/>
    <x v="74"/>
    <x v="25"/>
    <s v="NAKİT"/>
    <n v="1"/>
    <n v="140"/>
    <n v="0"/>
    <n v="0"/>
    <n v="1"/>
    <m/>
    <n v="140"/>
    <m/>
    <n v="140"/>
    <n v="0"/>
    <n v="118944.36000000002"/>
  </r>
  <r>
    <x v="23"/>
    <x v="4"/>
    <x v="132"/>
    <x v="0"/>
    <x v="1"/>
    <x v="74"/>
    <x v="25"/>
    <s v="NAKİT"/>
    <n v="1"/>
    <n v="270"/>
    <n v="0"/>
    <n v="0"/>
    <n v="1"/>
    <m/>
    <n v="270"/>
    <m/>
    <n v="270"/>
    <n v="0"/>
    <n v="119214.36000000002"/>
  </r>
  <r>
    <x v="23"/>
    <x v="4"/>
    <x v="127"/>
    <x v="0"/>
    <x v="1"/>
    <x v="74"/>
    <x v="25"/>
    <s v="NAKİT"/>
    <n v="0.376"/>
    <n v="670"/>
    <n v="0"/>
    <n v="0"/>
    <n v="0.376"/>
    <m/>
    <n v="670"/>
    <m/>
    <n v="251.92"/>
    <n v="0"/>
    <n v="119466.28000000001"/>
  </r>
  <r>
    <x v="23"/>
    <x v="4"/>
    <x v="100"/>
    <x v="0"/>
    <x v="1"/>
    <x v="74"/>
    <x v="25"/>
    <s v="NAKİT"/>
    <n v="0.41199999999999998"/>
    <n v="650"/>
    <n v="0"/>
    <n v="0"/>
    <n v="0.41199999999999998"/>
    <m/>
    <n v="650"/>
    <m/>
    <n v="267.8"/>
    <n v="0"/>
    <n v="119734.08000000002"/>
  </r>
  <r>
    <x v="23"/>
    <x v="4"/>
    <x v="121"/>
    <x v="0"/>
    <x v="1"/>
    <x v="74"/>
    <x v="25"/>
    <s v="NAKİT"/>
    <n v="0.43"/>
    <n v="1250"/>
    <n v="0"/>
    <n v="0"/>
    <n v="0.43"/>
    <m/>
    <n v="1250"/>
    <m/>
    <n v="537.5"/>
    <n v="0"/>
    <n v="120271.58000000002"/>
  </r>
  <r>
    <x v="23"/>
    <x v="4"/>
    <x v="122"/>
    <x v="0"/>
    <x v="1"/>
    <x v="74"/>
    <x v="25"/>
    <s v="NAKİT"/>
    <n v="0.312"/>
    <n v="1150"/>
    <n v="0"/>
    <n v="0"/>
    <n v="0.312"/>
    <m/>
    <n v="1150"/>
    <m/>
    <n v="358.8"/>
    <n v="0"/>
    <n v="120630.38000000002"/>
  </r>
  <r>
    <x v="23"/>
    <x v="4"/>
    <x v="73"/>
    <x v="0"/>
    <x v="1"/>
    <x v="74"/>
    <x v="25"/>
    <s v="NAKİT"/>
    <n v="0.47"/>
    <n v="930"/>
    <n v="0"/>
    <n v="0"/>
    <n v="0.47"/>
    <m/>
    <n v="930"/>
    <m/>
    <n v="437.09999999999997"/>
    <n v="0"/>
    <n v="121067.48000000003"/>
  </r>
  <r>
    <x v="23"/>
    <x v="4"/>
    <x v="98"/>
    <x v="0"/>
    <x v="1"/>
    <x v="74"/>
    <x v="25"/>
    <s v="NAKİT"/>
    <n v="0.56999999999999995"/>
    <n v="700"/>
    <n v="0"/>
    <n v="0"/>
    <n v="0.56999999999999995"/>
    <m/>
    <n v="700"/>
    <m/>
    <n v="398.99999999999994"/>
    <n v="0"/>
    <n v="121466.48000000003"/>
  </r>
  <r>
    <x v="23"/>
    <x v="4"/>
    <x v="119"/>
    <x v="0"/>
    <x v="1"/>
    <x v="74"/>
    <x v="25"/>
    <s v="NAKİT"/>
    <n v="0.374"/>
    <n v="650"/>
    <n v="0"/>
    <n v="0"/>
    <n v="0.374"/>
    <m/>
    <n v="650"/>
    <m/>
    <n v="243.1"/>
    <n v="0"/>
    <n v="121709.58000000003"/>
  </r>
  <r>
    <x v="23"/>
    <x v="1"/>
    <x v="0"/>
    <x v="9"/>
    <x v="1"/>
    <x v="74"/>
    <x v="25"/>
    <s v="NAKİT"/>
    <n v="1"/>
    <n v="30.22"/>
    <n v="0"/>
    <n v="0"/>
    <m/>
    <n v="1"/>
    <m/>
    <n v="30.22"/>
    <n v="0"/>
    <n v="30.22"/>
    <n v="121679.36000000003"/>
  </r>
  <r>
    <x v="23"/>
    <x v="4"/>
    <x v="56"/>
    <x v="0"/>
    <x v="1"/>
    <x v="75"/>
    <x v="25"/>
    <s v="NAKİT"/>
    <n v="1.0640000000000001"/>
    <n v="180"/>
    <n v="0"/>
    <n v="0"/>
    <n v="1.0640000000000001"/>
    <m/>
    <n v="180"/>
    <m/>
    <n v="191.52"/>
    <n v="0"/>
    <n v="121870.88000000003"/>
  </r>
  <r>
    <x v="23"/>
    <x v="4"/>
    <x v="57"/>
    <x v="0"/>
    <x v="1"/>
    <x v="75"/>
    <x v="25"/>
    <s v="NAKİT"/>
    <n v="4.7240000000000002"/>
    <n v="130"/>
    <n v="0"/>
    <n v="0"/>
    <n v="4.7240000000000002"/>
    <m/>
    <n v="130"/>
    <m/>
    <n v="614.12"/>
    <n v="0"/>
    <n v="122485.00000000003"/>
  </r>
  <r>
    <x v="23"/>
    <x v="4"/>
    <x v="50"/>
    <x v="0"/>
    <x v="1"/>
    <x v="75"/>
    <x v="25"/>
    <s v="NAKİT"/>
    <n v="0.2"/>
    <n v="660"/>
    <n v="0"/>
    <n v="0"/>
    <n v="0.2"/>
    <m/>
    <n v="660"/>
    <m/>
    <n v="132"/>
    <n v="0"/>
    <n v="122617.00000000003"/>
  </r>
  <r>
    <x v="23"/>
    <x v="4"/>
    <x v="101"/>
    <x v="0"/>
    <x v="1"/>
    <x v="75"/>
    <x v="25"/>
    <s v="NAKİT"/>
    <n v="0.32400000000000001"/>
    <n v="150"/>
    <n v="0"/>
    <n v="0"/>
    <n v="0.32400000000000001"/>
    <m/>
    <n v="150"/>
    <m/>
    <n v="48.6"/>
    <n v="0"/>
    <n v="122665.60000000003"/>
  </r>
  <r>
    <x v="23"/>
    <x v="4"/>
    <x v="100"/>
    <x v="0"/>
    <x v="1"/>
    <x v="75"/>
    <x v="25"/>
    <s v="NAKİT"/>
    <n v="0.66200000000000003"/>
    <n v="650"/>
    <n v="0"/>
    <n v="0"/>
    <n v="0.66200000000000003"/>
    <m/>
    <n v="650"/>
    <m/>
    <n v="430.3"/>
    <n v="0"/>
    <n v="123095.90000000004"/>
  </r>
  <r>
    <x v="23"/>
    <x v="4"/>
    <x v="75"/>
    <x v="0"/>
    <x v="1"/>
    <x v="75"/>
    <x v="25"/>
    <s v="NAKİT"/>
    <n v="0.33200000000000002"/>
    <n v="800"/>
    <n v="0"/>
    <n v="0"/>
    <n v="0.33200000000000002"/>
    <m/>
    <n v="800"/>
    <m/>
    <n v="265.60000000000002"/>
    <n v="0"/>
    <n v="123361.50000000004"/>
  </r>
  <r>
    <x v="23"/>
    <x v="4"/>
    <x v="112"/>
    <x v="0"/>
    <x v="1"/>
    <x v="75"/>
    <x v="25"/>
    <s v="NAKİT"/>
    <n v="0.08"/>
    <n v="2250"/>
    <n v="0"/>
    <n v="0"/>
    <n v="0.08"/>
    <m/>
    <n v="2250"/>
    <m/>
    <n v="180"/>
    <n v="0"/>
    <n v="123541.50000000004"/>
  </r>
  <r>
    <x v="23"/>
    <x v="4"/>
    <x v="88"/>
    <x v="0"/>
    <x v="1"/>
    <x v="75"/>
    <x v="25"/>
    <s v="NAKİT"/>
    <n v="0.05"/>
    <n v="1100"/>
    <n v="0"/>
    <n v="0"/>
    <n v="0.05"/>
    <m/>
    <n v="1100"/>
    <m/>
    <n v="55"/>
    <n v="0"/>
    <n v="123596.50000000004"/>
  </r>
  <r>
    <x v="23"/>
    <x v="4"/>
    <x v="143"/>
    <x v="0"/>
    <x v="1"/>
    <x v="75"/>
    <x v="25"/>
    <s v="NAKİT"/>
    <n v="1"/>
    <n v="190"/>
    <n v="0"/>
    <n v="0"/>
    <n v="1"/>
    <m/>
    <n v="190"/>
    <m/>
    <n v="190"/>
    <n v="0"/>
    <n v="123786.50000000004"/>
  </r>
  <r>
    <x v="23"/>
    <x v="4"/>
    <x v="135"/>
    <x v="0"/>
    <x v="1"/>
    <x v="75"/>
    <x v="25"/>
    <s v="NAKİT"/>
    <n v="1"/>
    <n v="100"/>
    <n v="0"/>
    <n v="0"/>
    <n v="1"/>
    <m/>
    <n v="100"/>
    <m/>
    <n v="100"/>
    <n v="0"/>
    <n v="123886.50000000004"/>
  </r>
  <r>
    <x v="23"/>
    <x v="4"/>
    <x v="5"/>
    <x v="0"/>
    <x v="1"/>
    <x v="75"/>
    <x v="25"/>
    <s v="NAKİT"/>
    <n v="1"/>
    <n v="270"/>
    <n v="0"/>
    <n v="0"/>
    <n v="1"/>
    <m/>
    <n v="270"/>
    <m/>
    <n v="270"/>
    <n v="0"/>
    <n v="124156.50000000004"/>
  </r>
  <r>
    <x v="23"/>
    <x v="4"/>
    <x v="8"/>
    <x v="0"/>
    <x v="1"/>
    <x v="75"/>
    <x v="25"/>
    <s v="NAKİT"/>
    <n v="1"/>
    <n v="95"/>
    <n v="0"/>
    <n v="0"/>
    <n v="1"/>
    <m/>
    <n v="95"/>
    <m/>
    <n v="95"/>
    <n v="0"/>
    <n v="124251.50000000004"/>
  </r>
  <r>
    <x v="23"/>
    <x v="5"/>
    <x v="0"/>
    <x v="11"/>
    <x v="1"/>
    <x v="75"/>
    <x v="25"/>
    <s v="NAKİT"/>
    <n v="1"/>
    <n v="28"/>
    <n v="0"/>
    <n v="0"/>
    <n v="1"/>
    <m/>
    <n v="28"/>
    <m/>
    <n v="28"/>
    <n v="0"/>
    <n v="124279.50000000004"/>
  </r>
  <r>
    <x v="23"/>
    <x v="4"/>
    <x v="18"/>
    <x v="0"/>
    <x v="1"/>
    <x v="75"/>
    <x v="25"/>
    <s v="NAKİT"/>
    <n v="3"/>
    <n v="240"/>
    <n v="0"/>
    <n v="0"/>
    <n v="3"/>
    <m/>
    <n v="240"/>
    <m/>
    <n v="720"/>
    <n v="0"/>
    <n v="124999.50000000004"/>
  </r>
  <r>
    <x v="23"/>
    <x v="4"/>
    <x v="18"/>
    <x v="0"/>
    <x v="5"/>
    <x v="76"/>
    <x v="25"/>
    <s v="POS"/>
    <n v="2"/>
    <n v="240"/>
    <n v="480"/>
    <n v="0"/>
    <n v="2"/>
    <m/>
    <n v="240"/>
    <m/>
    <n v="0"/>
    <n v="0"/>
    <n v="124999.50000000004"/>
  </r>
  <r>
    <x v="23"/>
    <x v="4"/>
    <x v="20"/>
    <x v="0"/>
    <x v="5"/>
    <x v="76"/>
    <x v="25"/>
    <s v="POS"/>
    <n v="1"/>
    <n v="200"/>
    <n v="200"/>
    <n v="0"/>
    <n v="1"/>
    <m/>
    <n v="200"/>
    <m/>
    <n v="0"/>
    <n v="0"/>
    <n v="124999.50000000004"/>
  </r>
  <r>
    <x v="23"/>
    <x v="4"/>
    <x v="45"/>
    <x v="0"/>
    <x v="5"/>
    <x v="76"/>
    <x v="25"/>
    <s v="POS"/>
    <n v="1"/>
    <n v="65"/>
    <n v="65"/>
    <n v="0"/>
    <n v="1"/>
    <m/>
    <n v="65"/>
    <m/>
    <n v="0"/>
    <n v="0"/>
    <n v="124999.50000000004"/>
  </r>
  <r>
    <x v="23"/>
    <x v="4"/>
    <x v="128"/>
    <x v="0"/>
    <x v="5"/>
    <x v="77"/>
    <x v="25"/>
    <s v="POS"/>
    <n v="0.48899999999999999"/>
    <n v="180"/>
    <n v="88.02"/>
    <n v="0"/>
    <n v="0.48899999999999999"/>
    <m/>
    <n v="180"/>
    <m/>
    <n v="0"/>
    <n v="0"/>
    <n v="124999.50000000004"/>
  </r>
  <r>
    <x v="23"/>
    <x v="4"/>
    <x v="77"/>
    <x v="0"/>
    <x v="5"/>
    <x v="77"/>
    <x v="25"/>
    <s v="POS"/>
    <n v="0.5"/>
    <n v="80"/>
    <n v="40"/>
    <n v="0"/>
    <n v="0.5"/>
    <m/>
    <n v="80"/>
    <m/>
    <n v="0"/>
    <n v="0"/>
    <n v="124999.50000000004"/>
  </r>
  <r>
    <x v="24"/>
    <x v="4"/>
    <x v="62"/>
    <x v="0"/>
    <x v="1"/>
    <x v="78"/>
    <x v="25"/>
    <s v="NAKİT"/>
    <n v="1"/>
    <n v="60"/>
    <n v="0"/>
    <n v="0"/>
    <n v="1"/>
    <m/>
    <n v="60"/>
    <m/>
    <n v="60"/>
    <n v="0"/>
    <n v="125059.50000000004"/>
  </r>
  <r>
    <x v="24"/>
    <x v="4"/>
    <x v="100"/>
    <x v="0"/>
    <x v="1"/>
    <x v="79"/>
    <x v="25"/>
    <s v="NAKİT"/>
    <n v="0.2"/>
    <n v="650"/>
    <n v="0"/>
    <n v="0"/>
    <n v="0.2"/>
    <m/>
    <n v="650"/>
    <m/>
    <n v="130"/>
    <n v="0"/>
    <n v="125189.50000000004"/>
  </r>
  <r>
    <x v="24"/>
    <x v="4"/>
    <x v="57"/>
    <x v="0"/>
    <x v="1"/>
    <x v="80"/>
    <x v="25"/>
    <s v="NAKİT"/>
    <n v="3.798"/>
    <n v="130"/>
    <n v="0"/>
    <n v="0"/>
    <n v="3.798"/>
    <m/>
    <n v="130"/>
    <m/>
    <n v="493.74"/>
    <n v="0"/>
    <n v="125683.24000000005"/>
  </r>
  <r>
    <x v="24"/>
    <x v="4"/>
    <x v="18"/>
    <x v="0"/>
    <x v="1"/>
    <x v="80"/>
    <x v="25"/>
    <s v="NAKİT"/>
    <n v="1"/>
    <n v="240"/>
    <n v="0"/>
    <n v="0"/>
    <n v="1"/>
    <m/>
    <n v="240"/>
    <m/>
    <n v="240"/>
    <n v="0"/>
    <n v="125923.24000000005"/>
  </r>
  <r>
    <x v="24"/>
    <x v="4"/>
    <x v="19"/>
    <x v="0"/>
    <x v="1"/>
    <x v="80"/>
    <x v="25"/>
    <s v="NAKİT"/>
    <n v="1"/>
    <n v="200"/>
    <n v="0"/>
    <n v="0"/>
    <n v="1"/>
    <m/>
    <n v="200"/>
    <m/>
    <n v="200"/>
    <n v="0"/>
    <n v="126123.24000000005"/>
  </r>
  <r>
    <x v="24"/>
    <x v="4"/>
    <x v="56"/>
    <x v="0"/>
    <x v="1"/>
    <x v="80"/>
    <x v="25"/>
    <s v="NAKİT"/>
    <n v="1.24"/>
    <n v="180"/>
    <n v="0"/>
    <n v="0"/>
    <n v="1.24"/>
    <m/>
    <n v="180"/>
    <m/>
    <n v="223.2"/>
    <n v="0"/>
    <n v="126346.44000000005"/>
  </r>
  <r>
    <x v="24"/>
    <x v="4"/>
    <x v="142"/>
    <x v="0"/>
    <x v="1"/>
    <x v="80"/>
    <x v="25"/>
    <s v="NAKİT"/>
    <n v="0.86799999999999999"/>
    <n v="250"/>
    <n v="0"/>
    <n v="0"/>
    <n v="0.86799999999999999"/>
    <m/>
    <n v="250"/>
    <m/>
    <n v="217"/>
    <n v="0"/>
    <n v="126563.44000000005"/>
  </r>
  <r>
    <x v="24"/>
    <x v="4"/>
    <x v="121"/>
    <x v="0"/>
    <x v="1"/>
    <x v="80"/>
    <x v="25"/>
    <s v="NAKİT"/>
    <n v="0.25600000000000001"/>
    <n v="1250"/>
    <n v="0"/>
    <n v="0"/>
    <n v="0.25600000000000001"/>
    <m/>
    <n v="1250"/>
    <m/>
    <n v="320"/>
    <n v="0"/>
    <n v="126883.44000000005"/>
  </r>
  <r>
    <x v="24"/>
    <x v="4"/>
    <x v="119"/>
    <x v="0"/>
    <x v="1"/>
    <x v="80"/>
    <x v="25"/>
    <s v="NAKİT"/>
    <n v="0.45600000000000002"/>
    <n v="650"/>
    <n v="0"/>
    <n v="0"/>
    <n v="0.45600000000000002"/>
    <m/>
    <n v="650"/>
    <m/>
    <n v="296.40000000000003"/>
    <n v="0"/>
    <n v="127179.84000000004"/>
  </r>
  <r>
    <x v="24"/>
    <x v="4"/>
    <x v="97"/>
    <x v="0"/>
    <x v="1"/>
    <x v="80"/>
    <x v="25"/>
    <s v="NAKİT"/>
    <n v="0.50600000000000001"/>
    <n v="600"/>
    <n v="0"/>
    <n v="0"/>
    <n v="0.50600000000000001"/>
    <m/>
    <n v="600"/>
    <m/>
    <n v="303.60000000000002"/>
    <n v="0"/>
    <n v="127483.44000000005"/>
  </r>
  <r>
    <x v="24"/>
    <x v="4"/>
    <x v="122"/>
    <x v="0"/>
    <x v="1"/>
    <x v="80"/>
    <x v="25"/>
    <s v="NAKİT"/>
    <n v="0.23400000000000001"/>
    <n v="1150"/>
    <n v="0"/>
    <n v="0"/>
    <n v="0.23400000000000001"/>
    <m/>
    <n v="1150"/>
    <m/>
    <n v="269.10000000000002"/>
    <n v="0"/>
    <n v="127752.54000000005"/>
  </r>
  <r>
    <x v="24"/>
    <x v="4"/>
    <x v="75"/>
    <x v="0"/>
    <x v="1"/>
    <x v="80"/>
    <x v="25"/>
    <s v="NAKİT"/>
    <n v="0.152"/>
    <n v="800"/>
    <n v="0"/>
    <n v="0"/>
    <n v="0.152"/>
    <m/>
    <n v="800"/>
    <m/>
    <n v="121.6"/>
    <n v="0"/>
    <n v="127874.14000000006"/>
  </r>
  <r>
    <x v="24"/>
    <x v="4"/>
    <x v="73"/>
    <x v="0"/>
    <x v="1"/>
    <x v="80"/>
    <x v="25"/>
    <s v="NAKİT"/>
    <n v="0.35599999999999998"/>
    <n v="930"/>
    <n v="0"/>
    <n v="0"/>
    <n v="0.35599999999999998"/>
    <m/>
    <n v="930"/>
    <m/>
    <n v="331.08"/>
    <n v="0"/>
    <n v="128205.22000000006"/>
  </r>
  <r>
    <x v="24"/>
    <x v="4"/>
    <x v="127"/>
    <x v="0"/>
    <x v="1"/>
    <x v="80"/>
    <x v="25"/>
    <s v="NAKİT"/>
    <n v="0.29399999999999998"/>
    <n v="670"/>
    <n v="0"/>
    <n v="0"/>
    <n v="0.29399999999999998"/>
    <m/>
    <n v="670"/>
    <m/>
    <n v="196.98"/>
    <n v="0"/>
    <n v="128402.20000000006"/>
  </r>
  <r>
    <x v="24"/>
    <x v="4"/>
    <x v="9"/>
    <x v="0"/>
    <x v="1"/>
    <x v="80"/>
    <x v="25"/>
    <s v="NAKİT"/>
    <n v="1"/>
    <n v="160"/>
    <n v="0"/>
    <n v="0"/>
    <n v="1"/>
    <m/>
    <n v="160"/>
    <m/>
    <n v="160"/>
    <n v="0"/>
    <n v="128562.20000000006"/>
  </r>
  <r>
    <x v="24"/>
    <x v="4"/>
    <x v="32"/>
    <x v="0"/>
    <x v="1"/>
    <x v="80"/>
    <x v="25"/>
    <s v="NAKİT"/>
    <n v="0.18"/>
    <n v="320"/>
    <n v="0"/>
    <n v="0"/>
    <n v="0.18"/>
    <m/>
    <n v="320"/>
    <m/>
    <n v="57.599999999999994"/>
    <n v="0"/>
    <n v="128619.80000000006"/>
  </r>
  <r>
    <x v="24"/>
    <x v="4"/>
    <x v="50"/>
    <x v="0"/>
    <x v="1"/>
    <x v="80"/>
    <x v="25"/>
    <s v="NAKİT"/>
    <n v="5.6000000000000001E-2"/>
    <n v="660"/>
    <n v="0"/>
    <n v="0"/>
    <n v="5.6000000000000001E-2"/>
    <m/>
    <n v="660"/>
    <m/>
    <n v="36.96"/>
    <n v="0"/>
    <n v="128656.76000000007"/>
  </r>
  <r>
    <x v="24"/>
    <x v="4"/>
    <x v="24"/>
    <x v="0"/>
    <x v="1"/>
    <x v="80"/>
    <x v="25"/>
    <s v="NAKİT"/>
    <n v="0.16600000000000001"/>
    <n v="640"/>
    <n v="0"/>
    <n v="0"/>
    <n v="0.16600000000000001"/>
    <m/>
    <n v="640"/>
    <m/>
    <n v="106.24000000000001"/>
    <n v="0"/>
    <n v="128763.00000000007"/>
  </r>
  <r>
    <x v="24"/>
    <x v="4"/>
    <x v="23"/>
    <x v="0"/>
    <x v="1"/>
    <x v="80"/>
    <x v="25"/>
    <s v="NAKİT"/>
    <n v="7.1999999999999995E-2"/>
    <n v="250"/>
    <n v="0"/>
    <n v="0"/>
    <n v="7.1999999999999995E-2"/>
    <m/>
    <n v="250"/>
    <m/>
    <n v="18"/>
    <n v="0"/>
    <n v="128781.00000000007"/>
  </r>
  <r>
    <x v="24"/>
    <x v="4"/>
    <x v="62"/>
    <x v="0"/>
    <x v="1"/>
    <x v="80"/>
    <x v="25"/>
    <s v="NAKİT"/>
    <n v="1"/>
    <n v="60"/>
    <n v="0"/>
    <n v="0"/>
    <n v="1"/>
    <m/>
    <n v="60"/>
    <m/>
    <n v="60"/>
    <n v="0"/>
    <n v="128841.00000000007"/>
  </r>
  <r>
    <x v="24"/>
    <x v="4"/>
    <x v="83"/>
    <x v="0"/>
    <x v="1"/>
    <x v="80"/>
    <x v="25"/>
    <s v="NAKİT"/>
    <n v="0.05"/>
    <n v="2500"/>
    <n v="0"/>
    <n v="0"/>
    <n v="0.05"/>
    <m/>
    <n v="2500"/>
    <m/>
    <n v="125"/>
    <n v="0"/>
    <n v="128966.00000000007"/>
  </r>
  <r>
    <x v="24"/>
    <x v="4"/>
    <x v="53"/>
    <x v="0"/>
    <x v="1"/>
    <x v="80"/>
    <x v="25"/>
    <s v="NAKİT"/>
    <n v="0.1"/>
    <n v="350"/>
    <n v="0"/>
    <n v="0"/>
    <n v="0.1"/>
    <m/>
    <n v="350"/>
    <m/>
    <n v="35"/>
    <n v="0"/>
    <n v="129001.00000000007"/>
  </r>
  <r>
    <x v="24"/>
    <x v="4"/>
    <x v="25"/>
    <x v="0"/>
    <x v="1"/>
    <x v="80"/>
    <x v="25"/>
    <s v="NAKİT"/>
    <n v="7.3999999999999996E-2"/>
    <n v="390"/>
    <n v="0"/>
    <n v="0"/>
    <n v="7.3999999999999996E-2"/>
    <m/>
    <n v="390"/>
    <m/>
    <n v="28.86"/>
    <n v="0"/>
    <n v="129029.86000000007"/>
  </r>
  <r>
    <x v="24"/>
    <x v="4"/>
    <x v="136"/>
    <x v="0"/>
    <x v="1"/>
    <x v="80"/>
    <x v="25"/>
    <s v="NAKİT"/>
    <n v="1"/>
    <n v="160"/>
    <n v="0"/>
    <n v="0"/>
    <n v="1"/>
    <m/>
    <n v="160"/>
    <m/>
    <n v="160"/>
    <n v="0"/>
    <n v="129189.86000000007"/>
  </r>
  <r>
    <x v="24"/>
    <x v="4"/>
    <x v="100"/>
    <x v="0"/>
    <x v="1"/>
    <x v="80"/>
    <x v="25"/>
    <s v="NAKİT"/>
    <n v="0.30599999999999999"/>
    <n v="650"/>
    <n v="0"/>
    <n v="0"/>
    <n v="0.30599999999999999"/>
    <m/>
    <n v="650"/>
    <m/>
    <n v="198.9"/>
    <n v="0"/>
    <n v="129388.76000000007"/>
  </r>
  <r>
    <x v="24"/>
    <x v="4"/>
    <x v="32"/>
    <x v="0"/>
    <x v="1"/>
    <x v="80"/>
    <x v="25"/>
    <s v="NAKİT"/>
    <n v="0.14399999999999999"/>
    <n v="320"/>
    <n v="0"/>
    <n v="0"/>
    <n v="0.14399999999999999"/>
    <m/>
    <n v="320"/>
    <m/>
    <n v="46.08"/>
    <n v="0"/>
    <n v="129434.84000000007"/>
  </r>
  <r>
    <x v="24"/>
    <x v="4"/>
    <x v="54"/>
    <x v="0"/>
    <x v="1"/>
    <x v="80"/>
    <x v="25"/>
    <s v="NAKİT"/>
    <n v="0.1"/>
    <n v="400"/>
    <n v="0"/>
    <n v="0"/>
    <n v="0.1"/>
    <m/>
    <n v="400"/>
    <m/>
    <n v="40"/>
    <n v="0"/>
    <n v="129474.84000000007"/>
  </r>
  <r>
    <x v="24"/>
    <x v="4"/>
    <x v="39"/>
    <x v="0"/>
    <x v="1"/>
    <x v="80"/>
    <x v="25"/>
    <s v="NAKİT"/>
    <n v="0.08"/>
    <n v="380"/>
    <n v="0"/>
    <n v="0"/>
    <n v="0.08"/>
    <m/>
    <n v="380"/>
    <m/>
    <n v="30.400000000000002"/>
    <n v="0"/>
    <n v="129505.24000000006"/>
  </r>
  <r>
    <x v="24"/>
    <x v="1"/>
    <x v="0"/>
    <x v="9"/>
    <x v="1"/>
    <x v="80"/>
    <x v="25"/>
    <s v="NAKİT"/>
    <n v="1"/>
    <n v="15.74"/>
    <n v="0"/>
    <n v="0"/>
    <m/>
    <n v="1"/>
    <m/>
    <n v="15.74"/>
    <n v="0"/>
    <n v="15.74"/>
    <n v="129489.50000000006"/>
  </r>
  <r>
    <x v="24"/>
    <x v="4"/>
    <x v="71"/>
    <x v="0"/>
    <x v="5"/>
    <x v="81"/>
    <x v="25"/>
    <s v="POS"/>
    <n v="0.25"/>
    <n v="180"/>
    <n v="45"/>
    <n v="0"/>
    <n v="0.25"/>
    <m/>
    <n v="180"/>
    <m/>
    <n v="0"/>
    <n v="0"/>
    <n v="129489.50000000006"/>
  </r>
  <r>
    <x v="24"/>
    <x v="4"/>
    <x v="101"/>
    <x v="0"/>
    <x v="5"/>
    <x v="82"/>
    <x v="25"/>
    <s v="POS"/>
    <n v="0.434"/>
    <n v="150"/>
    <n v="65.099999999999994"/>
    <n v="0"/>
    <n v="0.434"/>
    <m/>
    <n v="150"/>
    <m/>
    <n v="0"/>
    <n v="0"/>
    <n v="129489.50000000006"/>
  </r>
  <r>
    <x v="24"/>
    <x v="4"/>
    <x v="86"/>
    <x v="0"/>
    <x v="1"/>
    <x v="83"/>
    <x v="35"/>
    <s v="NAKİT"/>
    <n v="1"/>
    <n v="400"/>
    <n v="0"/>
    <n v="0"/>
    <n v="1"/>
    <m/>
    <n v="400"/>
    <m/>
    <n v="400"/>
    <n v="0"/>
    <n v="129889.50000000006"/>
  </r>
  <r>
    <x v="24"/>
    <x v="4"/>
    <x v="85"/>
    <x v="0"/>
    <x v="1"/>
    <x v="83"/>
    <x v="25"/>
    <s v="NAKİT"/>
    <n v="0.76700000000000002"/>
    <n v="300"/>
    <n v="0"/>
    <n v="0"/>
    <n v="0.76700000000000002"/>
    <m/>
    <n v="300"/>
    <m/>
    <n v="230.1"/>
    <n v="0"/>
    <n v="130119.60000000006"/>
  </r>
  <r>
    <x v="24"/>
    <x v="4"/>
    <x v="18"/>
    <x v="0"/>
    <x v="5"/>
    <x v="84"/>
    <x v="25"/>
    <s v="POS"/>
    <n v="1"/>
    <n v="240"/>
    <n v="240"/>
    <n v="0"/>
    <n v="1"/>
    <m/>
    <n v="240"/>
    <m/>
    <n v="0"/>
    <n v="0"/>
    <n v="130119.60000000006"/>
  </r>
  <r>
    <x v="24"/>
    <x v="4"/>
    <x v="19"/>
    <x v="0"/>
    <x v="5"/>
    <x v="84"/>
    <x v="25"/>
    <s v="POS"/>
    <n v="1"/>
    <n v="200"/>
    <n v="200"/>
    <n v="0"/>
    <n v="1"/>
    <m/>
    <n v="200"/>
    <m/>
    <n v="0"/>
    <n v="0"/>
    <n v="130119.60000000006"/>
  </r>
  <r>
    <x v="24"/>
    <x v="4"/>
    <x v="74"/>
    <x v="0"/>
    <x v="1"/>
    <x v="85"/>
    <x v="25"/>
    <s v="NAKİT"/>
    <n v="0.25"/>
    <n v="360"/>
    <n v="0"/>
    <n v="0"/>
    <n v="1"/>
    <m/>
    <n v="90"/>
    <m/>
    <n v="90"/>
    <n v="0"/>
    <n v="130209.60000000006"/>
  </r>
  <r>
    <x v="24"/>
    <x v="2"/>
    <x v="0"/>
    <x v="4"/>
    <x v="1"/>
    <x v="2"/>
    <x v="36"/>
    <s v="NAKİT"/>
    <n v="1"/>
    <n v="10500"/>
    <n v="0"/>
    <n v="0"/>
    <m/>
    <n v="1"/>
    <m/>
    <n v="10500"/>
    <n v="0"/>
    <n v="10500"/>
    <n v="119709.60000000006"/>
  </r>
  <r>
    <x v="24"/>
    <x v="1"/>
    <x v="0"/>
    <x v="13"/>
    <x v="2"/>
    <x v="2"/>
    <x v="37"/>
    <s v="K.K."/>
    <n v="1"/>
    <n v="665"/>
    <n v="0"/>
    <n v="665"/>
    <m/>
    <m/>
    <m/>
    <m/>
    <n v="0"/>
    <n v="0"/>
    <n v="119709.60000000006"/>
  </r>
  <r>
    <x v="25"/>
    <x v="4"/>
    <x v="18"/>
    <x v="0"/>
    <x v="1"/>
    <x v="86"/>
    <x v="25"/>
    <s v="NAKİT"/>
    <n v="1"/>
    <n v="240"/>
    <n v="0"/>
    <n v="0"/>
    <n v="1"/>
    <m/>
    <n v="240"/>
    <m/>
    <n v="240"/>
    <n v="0"/>
    <n v="119949.60000000006"/>
  </r>
  <r>
    <x v="25"/>
    <x v="4"/>
    <x v="18"/>
    <x v="0"/>
    <x v="5"/>
    <x v="87"/>
    <x v="25"/>
    <s v="POS"/>
    <n v="1"/>
    <n v="240"/>
    <n v="240"/>
    <n v="0"/>
    <n v="1"/>
    <m/>
    <n v="240"/>
    <m/>
    <n v="0"/>
    <n v="0"/>
    <n v="119949.60000000006"/>
  </r>
  <r>
    <x v="25"/>
    <x v="4"/>
    <x v="21"/>
    <x v="0"/>
    <x v="5"/>
    <x v="87"/>
    <x v="25"/>
    <s v="POS"/>
    <n v="1"/>
    <n v="260"/>
    <n v="260"/>
    <n v="0"/>
    <n v="1"/>
    <m/>
    <n v="260"/>
    <m/>
    <n v="0"/>
    <n v="0"/>
    <n v="119949.60000000006"/>
  </r>
  <r>
    <x v="25"/>
    <x v="4"/>
    <x v="22"/>
    <x v="0"/>
    <x v="1"/>
    <x v="88"/>
    <x v="25"/>
    <s v="NAKİT"/>
    <n v="0.158"/>
    <n v="360"/>
    <n v="0"/>
    <n v="0"/>
    <n v="0.158"/>
    <m/>
    <n v="360"/>
    <m/>
    <n v="56.88"/>
    <n v="0"/>
    <n v="120006.48000000007"/>
  </r>
  <r>
    <x v="25"/>
    <x v="4"/>
    <x v="23"/>
    <x v="0"/>
    <x v="1"/>
    <x v="88"/>
    <x v="25"/>
    <s v="NAKİT"/>
    <n v="0.19400000000000001"/>
    <n v="250"/>
    <n v="0"/>
    <n v="0"/>
    <n v="0.19400000000000001"/>
    <m/>
    <n v="250"/>
    <m/>
    <n v="48.5"/>
    <n v="0"/>
    <n v="120054.98000000007"/>
  </r>
  <r>
    <x v="25"/>
    <x v="4"/>
    <x v="112"/>
    <x v="0"/>
    <x v="1"/>
    <x v="89"/>
    <x v="25"/>
    <s v="NAKİT"/>
    <n v="0.04"/>
    <n v="2250"/>
    <n v="0"/>
    <n v="0"/>
    <n v="0.04"/>
    <m/>
    <n v="2250"/>
    <m/>
    <n v="90"/>
    <n v="0"/>
    <n v="120144.98000000007"/>
  </r>
  <r>
    <x v="25"/>
    <x v="4"/>
    <x v="22"/>
    <x v="0"/>
    <x v="1"/>
    <x v="89"/>
    <x v="25"/>
    <s v="NAKİT"/>
    <n v="0.13"/>
    <n v="360"/>
    <n v="0"/>
    <n v="0"/>
    <n v="0.13"/>
    <m/>
    <n v="360"/>
    <m/>
    <n v="46.800000000000004"/>
    <n v="0"/>
    <n v="120191.78000000007"/>
  </r>
  <r>
    <x v="25"/>
    <x v="4"/>
    <x v="23"/>
    <x v="0"/>
    <x v="1"/>
    <x v="89"/>
    <x v="25"/>
    <s v="NAKİT"/>
    <n v="0.13600000000000001"/>
    <n v="250"/>
    <n v="0"/>
    <n v="0"/>
    <n v="0.13600000000000001"/>
    <m/>
    <n v="250"/>
    <m/>
    <n v="34"/>
    <n v="0"/>
    <n v="120225.78000000007"/>
  </r>
  <r>
    <x v="25"/>
    <x v="4"/>
    <x v="120"/>
    <x v="0"/>
    <x v="1"/>
    <x v="89"/>
    <x v="25"/>
    <s v="NAKİT"/>
    <n v="0.19400000000000001"/>
    <n v="650"/>
    <n v="0"/>
    <n v="0"/>
    <n v="0.19400000000000001"/>
    <m/>
    <n v="650"/>
    <m/>
    <n v="126.10000000000001"/>
    <n v="0"/>
    <n v="120351.88000000008"/>
  </r>
  <r>
    <x v="25"/>
    <x v="4"/>
    <x v="116"/>
    <x v="0"/>
    <x v="1"/>
    <x v="90"/>
    <x v="25"/>
    <s v="NAKİT"/>
    <n v="0.748"/>
    <n v="350"/>
    <n v="0"/>
    <n v="0"/>
    <n v="0.748"/>
    <m/>
    <n v="350"/>
    <m/>
    <n v="261.8"/>
    <n v="0"/>
    <n v="120613.68000000008"/>
  </r>
  <r>
    <x v="25"/>
    <x v="4"/>
    <x v="85"/>
    <x v="0"/>
    <x v="1"/>
    <x v="90"/>
    <x v="25"/>
    <s v="NAKİT"/>
    <n v="1"/>
    <n v="300"/>
    <n v="0"/>
    <n v="0"/>
    <n v="1"/>
    <m/>
    <n v="300"/>
    <m/>
    <n v="300"/>
    <n v="0"/>
    <n v="120913.68000000008"/>
  </r>
  <r>
    <x v="25"/>
    <x v="4"/>
    <x v="101"/>
    <x v="0"/>
    <x v="5"/>
    <x v="91"/>
    <x v="25"/>
    <s v="POS"/>
    <n v="0.14000000000000001"/>
    <n v="150"/>
    <n v="21.000000000000004"/>
    <n v="0"/>
    <n v="0.14000000000000001"/>
    <m/>
    <n v="150"/>
    <m/>
    <n v="0"/>
    <n v="0"/>
    <n v="120913.68000000008"/>
  </r>
  <r>
    <x v="25"/>
    <x v="4"/>
    <x v="88"/>
    <x v="0"/>
    <x v="5"/>
    <x v="91"/>
    <x v="25"/>
    <s v="POS"/>
    <n v="0.05"/>
    <n v="1100"/>
    <n v="55"/>
    <n v="0"/>
    <n v="0.05"/>
    <m/>
    <n v="1100"/>
    <m/>
    <n v="0"/>
    <n v="0"/>
    <n v="120913.68000000008"/>
  </r>
  <r>
    <x v="25"/>
    <x v="4"/>
    <x v="141"/>
    <x v="0"/>
    <x v="5"/>
    <x v="91"/>
    <x v="25"/>
    <s v="POS"/>
    <n v="1"/>
    <n v="140"/>
    <n v="140"/>
    <n v="0"/>
    <n v="1"/>
    <m/>
    <n v="140"/>
    <m/>
    <n v="0"/>
    <n v="0"/>
    <n v="120913.68000000008"/>
  </r>
  <r>
    <x v="25"/>
    <x v="4"/>
    <x v="83"/>
    <x v="0"/>
    <x v="5"/>
    <x v="91"/>
    <x v="25"/>
    <s v="POS"/>
    <n v="0.05"/>
    <n v="2500"/>
    <n v="125"/>
    <n v="0"/>
    <n v="0.05"/>
    <m/>
    <n v="2500"/>
    <m/>
    <n v="0"/>
    <n v="0"/>
    <n v="120913.68000000008"/>
  </r>
  <r>
    <x v="25"/>
    <x v="4"/>
    <x v="112"/>
    <x v="0"/>
    <x v="5"/>
    <x v="91"/>
    <x v="25"/>
    <s v="POS"/>
    <n v="0.04"/>
    <n v="2250"/>
    <n v="90"/>
    <n v="0"/>
    <n v="0.04"/>
    <m/>
    <n v="2250"/>
    <m/>
    <n v="0"/>
    <n v="0"/>
    <n v="120913.68000000008"/>
  </r>
  <r>
    <x v="25"/>
    <x v="1"/>
    <x v="0"/>
    <x v="9"/>
    <x v="1"/>
    <x v="91"/>
    <x v="25"/>
    <s v="NAKİT"/>
    <n v="1"/>
    <n v="30"/>
    <n v="0"/>
    <n v="0"/>
    <m/>
    <n v="1"/>
    <m/>
    <n v="30"/>
    <n v="0"/>
    <n v="30"/>
    <n v="120883.68000000008"/>
  </r>
  <r>
    <x v="25"/>
    <x v="4"/>
    <x v="59"/>
    <x v="0"/>
    <x v="5"/>
    <x v="92"/>
    <x v="25"/>
    <s v="POS"/>
    <n v="0.53600000000000003"/>
    <n v="420"/>
    <n v="225.12"/>
    <n v="0"/>
    <n v="0.53600000000000003"/>
    <m/>
    <n v="420"/>
    <m/>
    <n v="0"/>
    <n v="0"/>
    <n v="120883.68000000008"/>
  </r>
  <r>
    <x v="25"/>
    <x v="4"/>
    <x v="57"/>
    <x v="0"/>
    <x v="5"/>
    <x v="93"/>
    <x v="25"/>
    <s v="POS"/>
    <n v="1"/>
    <n v="130"/>
    <n v="130"/>
    <n v="0"/>
    <n v="1"/>
    <m/>
    <n v="130"/>
    <m/>
    <n v="0"/>
    <n v="0"/>
    <n v="120883.68000000008"/>
  </r>
  <r>
    <x v="25"/>
    <x v="4"/>
    <x v="18"/>
    <x v="0"/>
    <x v="1"/>
    <x v="94"/>
    <x v="25"/>
    <s v="NAKİT"/>
    <n v="2"/>
    <n v="240"/>
    <n v="0"/>
    <n v="0"/>
    <n v="2"/>
    <m/>
    <n v="240"/>
    <m/>
    <n v="480"/>
    <n v="0"/>
    <n v="121363.68000000008"/>
  </r>
  <r>
    <x v="25"/>
    <x v="4"/>
    <x v="21"/>
    <x v="0"/>
    <x v="1"/>
    <x v="94"/>
    <x v="25"/>
    <s v="NAKİT"/>
    <n v="1"/>
    <n v="260"/>
    <n v="0"/>
    <n v="0"/>
    <n v="1"/>
    <m/>
    <n v="260"/>
    <m/>
    <n v="260"/>
    <n v="0"/>
    <n v="121623.68000000008"/>
  </r>
  <r>
    <x v="25"/>
    <x v="4"/>
    <x v="19"/>
    <x v="0"/>
    <x v="1"/>
    <x v="94"/>
    <x v="25"/>
    <s v="NAKİT"/>
    <n v="1"/>
    <n v="200"/>
    <n v="0"/>
    <n v="0"/>
    <n v="1"/>
    <m/>
    <n v="200"/>
    <m/>
    <n v="200"/>
    <n v="0"/>
    <n v="121823.68000000008"/>
  </r>
  <r>
    <x v="25"/>
    <x v="4"/>
    <x v="20"/>
    <x v="0"/>
    <x v="1"/>
    <x v="94"/>
    <x v="25"/>
    <s v="NAKİT"/>
    <n v="1"/>
    <n v="200"/>
    <n v="0"/>
    <n v="0"/>
    <n v="1"/>
    <m/>
    <n v="200"/>
    <m/>
    <n v="200"/>
    <n v="0"/>
    <n v="122023.68000000008"/>
  </r>
  <r>
    <x v="25"/>
    <x v="4"/>
    <x v="38"/>
    <x v="0"/>
    <x v="1"/>
    <x v="94"/>
    <x v="25"/>
    <s v="NAKİT"/>
    <n v="0.1"/>
    <n v="650"/>
    <n v="0"/>
    <n v="0"/>
    <n v="1"/>
    <m/>
    <n v="65"/>
    <m/>
    <n v="65"/>
    <n v="0"/>
    <n v="122088.68000000008"/>
  </r>
  <r>
    <x v="25"/>
    <x v="4"/>
    <x v="143"/>
    <x v="0"/>
    <x v="1"/>
    <x v="94"/>
    <x v="25"/>
    <s v="NAKİT"/>
    <n v="1"/>
    <n v="190"/>
    <n v="0"/>
    <n v="0"/>
    <n v="1"/>
    <m/>
    <n v="190"/>
    <m/>
    <n v="190"/>
    <n v="0"/>
    <n v="122278.68000000008"/>
  </r>
  <r>
    <x v="26"/>
    <x v="4"/>
    <x v="59"/>
    <x v="0"/>
    <x v="5"/>
    <x v="95"/>
    <x v="25"/>
    <s v="POS"/>
    <n v="0.441"/>
    <n v="420"/>
    <n v="185.22"/>
    <n v="0"/>
    <n v="0.441"/>
    <m/>
    <n v="420"/>
    <m/>
    <n v="0"/>
    <n v="0"/>
    <n v="122278.68000000008"/>
  </r>
  <r>
    <x v="26"/>
    <x v="4"/>
    <x v="18"/>
    <x v="0"/>
    <x v="5"/>
    <x v="96"/>
    <x v="25"/>
    <s v="POS"/>
    <n v="1"/>
    <n v="240"/>
    <n v="240"/>
    <n v="0"/>
    <n v="1"/>
    <m/>
    <n v="240"/>
    <m/>
    <n v="0"/>
    <n v="0"/>
    <n v="122278.68000000008"/>
  </r>
  <r>
    <x v="26"/>
    <x v="4"/>
    <x v="32"/>
    <x v="0"/>
    <x v="1"/>
    <x v="97"/>
    <x v="25"/>
    <s v="NAKİT"/>
    <n v="0.27100000000000002"/>
    <n v="370"/>
    <n v="0"/>
    <n v="0"/>
    <n v="0.27100000000000002"/>
    <m/>
    <n v="370"/>
    <m/>
    <n v="100.27000000000001"/>
    <n v="0"/>
    <n v="122378.95000000008"/>
  </r>
  <r>
    <x v="26"/>
    <x v="4"/>
    <x v="144"/>
    <x v="0"/>
    <x v="5"/>
    <x v="98"/>
    <x v="25"/>
    <s v="POS"/>
    <n v="1"/>
    <n v="140"/>
    <n v="140"/>
    <n v="0"/>
    <n v="1"/>
    <m/>
    <n v="140"/>
    <m/>
    <n v="0"/>
    <n v="0"/>
    <n v="122378.95000000008"/>
  </r>
  <r>
    <x v="26"/>
    <x v="4"/>
    <x v="38"/>
    <x v="0"/>
    <x v="5"/>
    <x v="98"/>
    <x v="25"/>
    <s v="POS"/>
    <n v="0.1"/>
    <n v="600"/>
    <n v="60"/>
    <n v="0"/>
    <n v="1"/>
    <m/>
    <n v="60"/>
    <m/>
    <n v="0"/>
    <n v="0"/>
    <n v="122378.95000000008"/>
  </r>
  <r>
    <x v="26"/>
    <x v="4"/>
    <x v="18"/>
    <x v="0"/>
    <x v="5"/>
    <x v="99"/>
    <x v="25"/>
    <s v="POS"/>
    <n v="1"/>
    <n v="240"/>
    <n v="240"/>
    <n v="0"/>
    <n v="1"/>
    <m/>
    <n v="240"/>
    <m/>
    <n v="0"/>
    <n v="0"/>
    <n v="122378.95000000008"/>
  </r>
  <r>
    <x v="26"/>
    <x v="4"/>
    <x v="71"/>
    <x v="0"/>
    <x v="5"/>
    <x v="100"/>
    <x v="25"/>
    <s v="POS"/>
    <n v="0.27800000000000002"/>
    <n v="180"/>
    <n v="50.040000000000006"/>
    <n v="0"/>
    <n v="0.27800000000000002"/>
    <m/>
    <n v="180"/>
    <m/>
    <n v="0"/>
    <n v="0"/>
    <n v="122378.95000000008"/>
  </r>
  <r>
    <x v="26"/>
    <x v="4"/>
    <x v="70"/>
    <x v="0"/>
    <x v="5"/>
    <x v="101"/>
    <x v="25"/>
    <s v="POS"/>
    <n v="0.25800000000000001"/>
    <n v="180"/>
    <n v="46.44"/>
    <n v="0"/>
    <n v="0.25800000000000001"/>
    <m/>
    <n v="180"/>
    <m/>
    <n v="0"/>
    <n v="0"/>
    <n v="122378.95000000008"/>
  </r>
  <r>
    <x v="26"/>
    <x v="4"/>
    <x v="101"/>
    <x v="0"/>
    <x v="5"/>
    <x v="101"/>
    <x v="25"/>
    <s v="POS"/>
    <n v="0.14599999999999999"/>
    <n v="150"/>
    <n v="21.9"/>
    <n v="0"/>
    <n v="0.14599999999999999"/>
    <m/>
    <n v="150"/>
    <m/>
    <n v="0"/>
    <n v="0"/>
    <n v="122378.95000000008"/>
  </r>
  <r>
    <x v="27"/>
    <x v="3"/>
    <x v="150"/>
    <x v="0"/>
    <x v="1"/>
    <x v="102"/>
    <x v="38"/>
    <s v="NAKİT"/>
    <n v="10"/>
    <n v="200"/>
    <n v="0"/>
    <n v="0"/>
    <m/>
    <m/>
    <m/>
    <m/>
    <n v="0"/>
    <n v="2000"/>
    <n v="120378.95000000008"/>
  </r>
  <r>
    <x v="27"/>
    <x v="4"/>
    <x v="44"/>
    <x v="0"/>
    <x v="1"/>
    <x v="103"/>
    <x v="25"/>
    <s v="NAKİT"/>
    <n v="1"/>
    <n v="65"/>
    <n v="0"/>
    <n v="0"/>
    <n v="1"/>
    <m/>
    <n v="65"/>
    <m/>
    <n v="65"/>
    <n v="0"/>
    <n v="120443.95000000008"/>
  </r>
  <r>
    <x v="27"/>
    <x v="4"/>
    <x v="36"/>
    <x v="0"/>
    <x v="1"/>
    <x v="103"/>
    <x v="25"/>
    <s v="NAKİT"/>
    <n v="0.36"/>
    <n v="250"/>
    <n v="0"/>
    <n v="0"/>
    <n v="0.36"/>
    <m/>
    <n v="250"/>
    <m/>
    <n v="90"/>
    <n v="0"/>
    <n v="120533.95000000008"/>
  </r>
  <r>
    <x v="27"/>
    <x v="4"/>
    <x v="66"/>
    <x v="0"/>
    <x v="1"/>
    <x v="104"/>
    <x v="25"/>
    <s v="NAKİT"/>
    <n v="5.5599999999999997E-2"/>
    <n v="270"/>
    <n v="0"/>
    <n v="0"/>
    <n v="5.5599999999999997E-2"/>
    <m/>
    <n v="270"/>
    <m/>
    <n v="15.011999999999999"/>
    <n v="0"/>
    <n v="120548.96200000009"/>
  </r>
  <r>
    <x v="27"/>
    <x v="4"/>
    <x v="25"/>
    <x v="0"/>
    <x v="1"/>
    <x v="105"/>
    <x v="35"/>
    <s v="NAKİT"/>
    <n v="1"/>
    <n v="220"/>
    <n v="0"/>
    <n v="0"/>
    <n v="1"/>
    <m/>
    <n v="220"/>
    <m/>
    <n v="220"/>
    <n v="0"/>
    <n v="120768.96200000009"/>
  </r>
  <r>
    <x v="27"/>
    <x v="4"/>
    <x v="14"/>
    <x v="0"/>
    <x v="5"/>
    <x v="106"/>
    <x v="25"/>
    <s v="POS"/>
    <n v="0.5"/>
    <n v="240"/>
    <n v="120"/>
    <n v="0"/>
    <n v="1"/>
    <m/>
    <n v="120"/>
    <m/>
    <n v="0"/>
    <n v="0"/>
    <n v="120768.96200000009"/>
  </r>
  <r>
    <x v="27"/>
    <x v="4"/>
    <x v="88"/>
    <x v="0"/>
    <x v="5"/>
    <x v="106"/>
    <x v="25"/>
    <s v="POS"/>
    <n v="0.05"/>
    <n v="1100"/>
    <n v="55"/>
    <n v="0"/>
    <n v="0.05"/>
    <m/>
    <n v="1100"/>
    <m/>
    <n v="0"/>
    <n v="0"/>
    <n v="120768.96200000009"/>
  </r>
  <r>
    <x v="27"/>
    <x v="4"/>
    <x v="23"/>
    <x v="0"/>
    <x v="5"/>
    <x v="106"/>
    <x v="25"/>
    <s v="POS"/>
    <n v="0.106"/>
    <n v="236"/>
    <n v="25.015999999999998"/>
    <n v="0"/>
    <n v="0.106"/>
    <m/>
    <n v="236"/>
    <m/>
    <n v="0"/>
    <n v="0"/>
    <n v="120768.96200000009"/>
  </r>
  <r>
    <x v="27"/>
    <x v="4"/>
    <x v="33"/>
    <x v="0"/>
    <x v="1"/>
    <x v="107"/>
    <x v="25"/>
    <s v="NAKİT"/>
    <n v="0.12"/>
    <n v="420"/>
    <n v="0"/>
    <n v="0"/>
    <n v="0.12"/>
    <m/>
    <n v="420"/>
    <m/>
    <n v="50.4"/>
    <n v="0"/>
    <n v="120819.36200000008"/>
  </r>
  <r>
    <x v="27"/>
    <x v="4"/>
    <x v="56"/>
    <x v="0"/>
    <x v="1"/>
    <x v="108"/>
    <x v="25"/>
    <s v="NAKİT"/>
    <n v="1"/>
    <n v="120"/>
    <n v="0"/>
    <n v="0"/>
    <n v="1"/>
    <m/>
    <n v="120"/>
    <m/>
    <n v="120"/>
    <n v="0"/>
    <n v="120939.36200000008"/>
  </r>
  <r>
    <x v="27"/>
    <x v="4"/>
    <x v="57"/>
    <x v="0"/>
    <x v="1"/>
    <x v="108"/>
    <x v="25"/>
    <s v="NAKİT"/>
    <n v="1"/>
    <n v="180"/>
    <n v="0"/>
    <n v="0"/>
    <n v="1"/>
    <m/>
    <n v="180"/>
    <m/>
    <n v="180"/>
    <n v="0"/>
    <n v="121119.36200000008"/>
  </r>
  <r>
    <x v="27"/>
    <x v="7"/>
    <x v="0"/>
    <x v="0"/>
    <x v="4"/>
    <x v="2"/>
    <x v="39"/>
    <s v="NAKİT"/>
    <n v="1"/>
    <n v="0"/>
    <n v="8000"/>
    <n v="0"/>
    <m/>
    <m/>
    <m/>
    <m/>
    <n v="0"/>
    <n v="8000"/>
    <n v="113119.36200000008"/>
  </r>
  <r>
    <x v="28"/>
    <x v="3"/>
    <x v="151"/>
    <x v="0"/>
    <x v="4"/>
    <x v="109"/>
    <x v="32"/>
    <s v="CARİ"/>
    <n v="1"/>
    <n v="255"/>
    <n v="0"/>
    <n v="255"/>
    <m/>
    <n v="1"/>
    <m/>
    <n v="255"/>
    <n v="0"/>
    <n v="0"/>
    <n v="113119.36200000008"/>
  </r>
  <r>
    <x v="28"/>
    <x v="3"/>
    <x v="152"/>
    <x v="0"/>
    <x v="4"/>
    <x v="109"/>
    <x v="32"/>
    <s v="CARİ"/>
    <n v="5"/>
    <n v="25"/>
    <n v="0"/>
    <n v="125"/>
    <m/>
    <n v="5"/>
    <m/>
    <n v="25"/>
    <n v="0"/>
    <n v="0"/>
    <n v="113119.36200000008"/>
  </r>
  <r>
    <x v="28"/>
    <x v="3"/>
    <x v="153"/>
    <x v="0"/>
    <x v="4"/>
    <x v="109"/>
    <x v="32"/>
    <s v="CARİ"/>
    <n v="5"/>
    <n v="25"/>
    <n v="0"/>
    <n v="125"/>
    <m/>
    <n v="5"/>
    <m/>
    <n v="25"/>
    <n v="0"/>
    <n v="0"/>
    <n v="113119.36200000008"/>
  </r>
  <r>
    <x v="28"/>
    <x v="3"/>
    <x v="154"/>
    <x v="0"/>
    <x v="4"/>
    <x v="109"/>
    <x v="32"/>
    <s v="CARİ"/>
    <n v="10"/>
    <n v="90"/>
    <n v="0"/>
    <n v="900"/>
    <m/>
    <n v="10"/>
    <m/>
    <n v="90"/>
    <n v="0"/>
    <n v="0"/>
    <n v="113119.36200000008"/>
  </r>
  <r>
    <x v="28"/>
    <x v="3"/>
    <x v="86"/>
    <x v="0"/>
    <x v="4"/>
    <x v="109"/>
    <x v="32"/>
    <s v="CARİ"/>
    <n v="1"/>
    <n v="275"/>
    <n v="0"/>
    <n v="275"/>
    <m/>
    <n v="1"/>
    <m/>
    <n v="275"/>
    <n v="0"/>
    <n v="0"/>
    <n v="113119.36200000008"/>
  </r>
  <r>
    <x v="28"/>
    <x v="3"/>
    <x v="155"/>
    <x v="0"/>
    <x v="4"/>
    <x v="109"/>
    <x v="32"/>
    <s v="CARİ"/>
    <n v="1"/>
    <n v="400"/>
    <n v="0"/>
    <n v="400"/>
    <m/>
    <n v="1"/>
    <m/>
    <n v="400"/>
    <n v="0"/>
    <n v="0"/>
    <n v="113119.36200000008"/>
  </r>
  <r>
    <x v="28"/>
    <x v="3"/>
    <x v="156"/>
    <x v="0"/>
    <x v="4"/>
    <x v="109"/>
    <x v="32"/>
    <s v="CARİ"/>
    <n v="1"/>
    <n v="28.5"/>
    <n v="0"/>
    <n v="28.5"/>
    <m/>
    <n v="1"/>
    <m/>
    <n v="28.5"/>
    <n v="0"/>
    <n v="0"/>
    <n v="113119.36200000008"/>
  </r>
  <r>
    <x v="28"/>
    <x v="3"/>
    <x v="157"/>
    <x v="0"/>
    <x v="4"/>
    <x v="109"/>
    <x v="32"/>
    <s v="CARİ"/>
    <n v="2"/>
    <n v="70"/>
    <n v="0"/>
    <n v="140"/>
    <m/>
    <n v="2"/>
    <m/>
    <n v="70"/>
    <n v="0"/>
    <n v="0"/>
    <n v="113119.36200000008"/>
  </r>
  <r>
    <x v="28"/>
    <x v="3"/>
    <x v="158"/>
    <x v="0"/>
    <x v="4"/>
    <x v="109"/>
    <x v="32"/>
    <s v="CARİ"/>
    <n v="20"/>
    <n v="6.5"/>
    <n v="0"/>
    <n v="130"/>
    <m/>
    <n v="20"/>
    <m/>
    <n v="6.5"/>
    <n v="0"/>
    <n v="0"/>
    <n v="113119.36200000008"/>
  </r>
  <r>
    <x v="28"/>
    <x v="3"/>
    <x v="159"/>
    <x v="0"/>
    <x v="4"/>
    <x v="109"/>
    <x v="32"/>
    <s v="CARİ"/>
    <n v="6"/>
    <n v="50"/>
    <n v="0"/>
    <n v="300"/>
    <m/>
    <n v="6"/>
    <m/>
    <n v="50"/>
    <n v="0"/>
    <n v="0"/>
    <n v="113119.36200000008"/>
  </r>
  <r>
    <x v="28"/>
    <x v="3"/>
    <x v="160"/>
    <x v="0"/>
    <x v="4"/>
    <x v="109"/>
    <x v="32"/>
    <s v="CARİ"/>
    <n v="6"/>
    <n v="60"/>
    <n v="0"/>
    <n v="360"/>
    <m/>
    <n v="6"/>
    <m/>
    <n v="60"/>
    <n v="0"/>
    <n v="0"/>
    <n v="113119.36200000008"/>
  </r>
  <r>
    <x v="28"/>
    <x v="3"/>
    <x v="161"/>
    <x v="0"/>
    <x v="4"/>
    <x v="109"/>
    <x v="32"/>
    <s v="CARİ"/>
    <n v="5"/>
    <n v="210"/>
    <n v="0"/>
    <n v="1050"/>
    <m/>
    <n v="5"/>
    <m/>
    <n v="210"/>
    <n v="0"/>
    <n v="0"/>
    <n v="113119.36200000008"/>
  </r>
  <r>
    <x v="28"/>
    <x v="3"/>
    <x v="143"/>
    <x v="0"/>
    <x v="4"/>
    <x v="109"/>
    <x v="32"/>
    <s v="CARİ"/>
    <n v="10"/>
    <n v="110"/>
    <n v="0"/>
    <n v="1100"/>
    <m/>
    <n v="10"/>
    <m/>
    <n v="110"/>
    <n v="0"/>
    <n v="0"/>
    <n v="113119.36200000008"/>
  </r>
  <r>
    <x v="28"/>
    <x v="3"/>
    <x v="162"/>
    <x v="0"/>
    <x v="4"/>
    <x v="109"/>
    <x v="32"/>
    <s v="CARİ"/>
    <n v="14"/>
    <n v="21.375"/>
    <n v="0"/>
    <n v="299.25"/>
    <m/>
    <n v="1.71"/>
    <m/>
    <n v="175"/>
    <n v="0"/>
    <n v="0"/>
    <n v="113119.36200000008"/>
  </r>
  <r>
    <x v="28"/>
    <x v="3"/>
    <x v="163"/>
    <x v="0"/>
    <x v="4"/>
    <x v="109"/>
    <x v="32"/>
    <s v="CARİ"/>
    <n v="14"/>
    <n v="21.625"/>
    <n v="0"/>
    <n v="302.75"/>
    <m/>
    <n v="1.73"/>
    <m/>
    <n v="175"/>
    <n v="0"/>
    <n v="0"/>
    <n v="113119.36200000008"/>
  </r>
  <r>
    <x v="28"/>
    <x v="3"/>
    <x v="164"/>
    <x v="0"/>
    <x v="4"/>
    <x v="109"/>
    <x v="32"/>
    <s v="CARİ"/>
    <n v="15"/>
    <n v="21.35"/>
    <n v="0"/>
    <n v="320.25"/>
    <m/>
    <n v="1.83"/>
    <m/>
    <n v="175"/>
    <n v="0"/>
    <n v="0"/>
    <n v="113119.36200000008"/>
  </r>
  <r>
    <x v="28"/>
    <x v="3"/>
    <x v="165"/>
    <x v="0"/>
    <x v="4"/>
    <x v="109"/>
    <x v="32"/>
    <s v="CARİ"/>
    <n v="14"/>
    <n v="21.375"/>
    <n v="0"/>
    <n v="299.25"/>
    <m/>
    <n v="1.71"/>
    <m/>
    <n v="175"/>
    <n v="0"/>
    <n v="0"/>
    <n v="113119.36200000008"/>
  </r>
  <r>
    <x v="28"/>
    <x v="3"/>
    <x v="166"/>
    <x v="0"/>
    <x v="4"/>
    <x v="109"/>
    <x v="32"/>
    <s v="CARİ"/>
    <n v="15"/>
    <n v="21.35"/>
    <n v="0"/>
    <n v="320.25"/>
    <m/>
    <n v="1.83"/>
    <m/>
    <n v="175"/>
    <n v="0"/>
    <n v="0"/>
    <n v="113119.36200000008"/>
  </r>
  <r>
    <x v="28"/>
    <x v="3"/>
    <x v="167"/>
    <x v="0"/>
    <x v="4"/>
    <x v="109"/>
    <x v="32"/>
    <s v="CARİ"/>
    <n v="13"/>
    <n v="21.134615384615383"/>
    <n v="0"/>
    <n v="274.75"/>
    <m/>
    <n v="1.57"/>
    <m/>
    <n v="175"/>
    <n v="0"/>
    <n v="0"/>
    <n v="113119.36200000008"/>
  </r>
  <r>
    <x v="28"/>
    <x v="3"/>
    <x v="168"/>
    <x v="0"/>
    <x v="4"/>
    <x v="109"/>
    <x v="32"/>
    <s v="CARİ"/>
    <n v="14"/>
    <n v="21.375"/>
    <n v="0"/>
    <n v="299.25"/>
    <m/>
    <n v="1.71"/>
    <m/>
    <n v="175"/>
    <n v="0"/>
    <n v="0"/>
    <n v="113119.36200000008"/>
  </r>
  <r>
    <x v="28"/>
    <x v="4"/>
    <x v="30"/>
    <x v="0"/>
    <x v="1"/>
    <x v="110"/>
    <x v="25"/>
    <s v="NAKİT"/>
    <n v="0.04"/>
    <n v="500"/>
    <n v="0"/>
    <n v="0"/>
    <n v="0.04"/>
    <m/>
    <n v="500"/>
    <m/>
    <n v="20"/>
    <n v="0"/>
    <n v="113139.36200000008"/>
  </r>
  <r>
    <x v="28"/>
    <x v="4"/>
    <x v="31"/>
    <x v="0"/>
    <x v="1"/>
    <x v="111"/>
    <x v="25"/>
    <s v="NAKİT"/>
    <n v="8.5999999999999993E-2"/>
    <n v="380"/>
    <n v="0"/>
    <n v="0"/>
    <n v="8.5999999999999993E-2"/>
    <m/>
    <n v="380"/>
    <m/>
    <n v="32.68"/>
    <n v="0"/>
    <n v="113172.04200000007"/>
  </r>
  <r>
    <x v="28"/>
    <x v="4"/>
    <x v="28"/>
    <x v="0"/>
    <x v="1"/>
    <x v="111"/>
    <x v="25"/>
    <s v="NAKİT"/>
    <n v="0.11600000000000001"/>
    <n v="500"/>
    <n v="0"/>
    <n v="0"/>
    <n v="0.11600000000000001"/>
    <m/>
    <n v="500"/>
    <m/>
    <n v="58"/>
    <n v="0"/>
    <n v="113230.04200000007"/>
  </r>
  <r>
    <x v="28"/>
    <x v="4"/>
    <x v="17"/>
    <x v="0"/>
    <x v="1"/>
    <x v="111"/>
    <x v="25"/>
    <s v="NAKİT"/>
    <n v="1"/>
    <n v="50"/>
    <n v="0"/>
    <n v="0"/>
    <n v="1"/>
    <m/>
    <n v="50"/>
    <m/>
    <n v="50"/>
    <n v="0"/>
    <n v="113280.04200000007"/>
  </r>
  <r>
    <x v="28"/>
    <x v="4"/>
    <x v="25"/>
    <x v="0"/>
    <x v="5"/>
    <x v="112"/>
    <x v="25"/>
    <s v="POS"/>
    <n v="0.18"/>
    <n v="390"/>
    <n v="70.2"/>
    <n v="0"/>
    <n v="0.18"/>
    <m/>
    <n v="390"/>
    <m/>
    <n v="0"/>
    <n v="0"/>
    <n v="113280.04200000007"/>
  </r>
  <r>
    <x v="28"/>
    <x v="4"/>
    <x v="32"/>
    <x v="0"/>
    <x v="5"/>
    <x v="112"/>
    <x v="25"/>
    <s v="POS"/>
    <n v="8.5999999999999993E-2"/>
    <n v="370"/>
    <n v="31.819999999999997"/>
    <n v="0"/>
    <n v="8.5999999999999993E-2"/>
    <m/>
    <n v="370"/>
    <m/>
    <n v="0"/>
    <n v="0"/>
    <n v="113280.04200000007"/>
  </r>
  <r>
    <x v="28"/>
    <x v="4"/>
    <x v="131"/>
    <x v="0"/>
    <x v="1"/>
    <x v="113"/>
    <x v="25"/>
    <s v="NAKİT"/>
    <n v="1"/>
    <n v="203"/>
    <n v="0"/>
    <n v="0"/>
    <n v="1"/>
    <m/>
    <n v="203"/>
    <m/>
    <n v="203"/>
    <n v="0"/>
    <n v="113483.04200000007"/>
  </r>
  <r>
    <x v="28"/>
    <x v="4"/>
    <x v="133"/>
    <x v="0"/>
    <x v="1"/>
    <x v="113"/>
    <x v="25"/>
    <s v="NAKİT"/>
    <n v="1"/>
    <n v="203"/>
    <n v="0"/>
    <n v="0"/>
    <n v="1"/>
    <m/>
    <n v="203"/>
    <m/>
    <n v="203"/>
    <n v="0"/>
    <n v="113686.04200000007"/>
  </r>
  <r>
    <x v="28"/>
    <x v="4"/>
    <x v="74"/>
    <x v="0"/>
    <x v="1"/>
    <x v="114"/>
    <x v="25"/>
    <s v="NAKİT"/>
    <n v="0.26400000000000001"/>
    <n v="360"/>
    <n v="0"/>
    <n v="0"/>
    <n v="0.26400000000000001"/>
    <m/>
    <n v="360"/>
    <m/>
    <n v="95.04"/>
    <n v="0"/>
    <n v="113781.08200000007"/>
  </r>
  <r>
    <x v="28"/>
    <x v="4"/>
    <x v="39"/>
    <x v="0"/>
    <x v="1"/>
    <x v="114"/>
    <x v="25"/>
    <s v="NAKİT"/>
    <n v="0.182"/>
    <n v="380"/>
    <n v="0"/>
    <n v="0"/>
    <n v="0.182"/>
    <m/>
    <n v="380"/>
    <m/>
    <n v="69.16"/>
    <n v="0"/>
    <n v="113850.24200000007"/>
  </r>
  <r>
    <x v="28"/>
    <x v="4"/>
    <x v="25"/>
    <x v="0"/>
    <x v="1"/>
    <x v="114"/>
    <x v="25"/>
    <s v="NAKİT"/>
    <n v="0.13800000000000001"/>
    <n v="390"/>
    <n v="0"/>
    <n v="0"/>
    <n v="0.13800000000000001"/>
    <m/>
    <n v="390"/>
    <m/>
    <n v="53.820000000000007"/>
    <n v="0"/>
    <n v="113904.06200000008"/>
  </r>
  <r>
    <x v="28"/>
    <x v="4"/>
    <x v="21"/>
    <x v="0"/>
    <x v="1"/>
    <x v="114"/>
    <x v="25"/>
    <s v="NAKİT"/>
    <n v="1"/>
    <n v="260"/>
    <n v="0"/>
    <n v="0"/>
    <n v="1"/>
    <m/>
    <n v="260"/>
    <m/>
    <n v="260"/>
    <n v="0"/>
    <n v="114164.06200000008"/>
  </r>
  <r>
    <x v="28"/>
    <x v="4"/>
    <x v="18"/>
    <x v="0"/>
    <x v="1"/>
    <x v="114"/>
    <x v="25"/>
    <s v="NAKİT"/>
    <n v="1"/>
    <n v="240"/>
    <n v="0"/>
    <n v="0"/>
    <n v="1"/>
    <m/>
    <n v="240"/>
    <m/>
    <n v="240"/>
    <n v="0"/>
    <n v="114404.06200000008"/>
  </r>
  <r>
    <x v="28"/>
    <x v="4"/>
    <x v="161"/>
    <x v="0"/>
    <x v="1"/>
    <x v="114"/>
    <x v="25"/>
    <s v="NAKİT"/>
    <n v="0.17"/>
    <n v="370"/>
    <n v="0"/>
    <n v="0"/>
    <n v="0.17"/>
    <m/>
    <n v="370"/>
    <m/>
    <n v="62.900000000000006"/>
    <n v="0"/>
    <n v="114466.96200000007"/>
  </r>
  <r>
    <x v="28"/>
    <x v="4"/>
    <x v="24"/>
    <x v="0"/>
    <x v="1"/>
    <x v="114"/>
    <x v="25"/>
    <s v="NAKİT"/>
    <n v="0.126"/>
    <n v="640"/>
    <n v="0"/>
    <n v="0"/>
    <n v="0.126"/>
    <m/>
    <n v="640"/>
    <m/>
    <n v="80.64"/>
    <n v="0"/>
    <n v="114547.60200000007"/>
  </r>
  <r>
    <x v="28"/>
    <x v="4"/>
    <x v="26"/>
    <x v="0"/>
    <x v="1"/>
    <x v="114"/>
    <x v="25"/>
    <s v="NAKİT"/>
    <n v="0.185"/>
    <n v="410"/>
    <n v="0"/>
    <n v="0"/>
    <n v="0.185"/>
    <m/>
    <n v="410"/>
    <m/>
    <n v="75.849999999999994"/>
    <n v="0"/>
    <n v="114623.45200000008"/>
  </r>
  <r>
    <x v="28"/>
    <x v="4"/>
    <x v="83"/>
    <x v="0"/>
    <x v="1"/>
    <x v="114"/>
    <x v="25"/>
    <s v="NAKİT"/>
    <n v="0.05"/>
    <n v="2500"/>
    <n v="0"/>
    <n v="0"/>
    <n v="0.05"/>
    <m/>
    <n v="2500"/>
    <m/>
    <n v="125"/>
    <n v="0"/>
    <n v="114748.45200000008"/>
  </r>
  <r>
    <x v="28"/>
    <x v="4"/>
    <x v="160"/>
    <x v="0"/>
    <x v="1"/>
    <x v="114"/>
    <x v="25"/>
    <s v="NAKİT"/>
    <n v="1"/>
    <n v="90"/>
    <n v="0"/>
    <n v="0"/>
    <n v="1"/>
    <m/>
    <n v="90"/>
    <m/>
    <n v="90"/>
    <n v="0"/>
    <n v="114838.45200000008"/>
  </r>
  <r>
    <x v="28"/>
    <x v="4"/>
    <x v="108"/>
    <x v="0"/>
    <x v="1"/>
    <x v="114"/>
    <x v="25"/>
    <s v="NAKİT"/>
    <n v="1"/>
    <n v="190"/>
    <n v="0"/>
    <n v="0"/>
    <n v="1"/>
    <m/>
    <n v="190"/>
    <m/>
    <n v="190"/>
    <n v="0"/>
    <n v="115028.45200000008"/>
  </r>
  <r>
    <x v="28"/>
    <x v="4"/>
    <x v="20"/>
    <x v="0"/>
    <x v="1"/>
    <x v="114"/>
    <x v="25"/>
    <s v="NAKİT"/>
    <n v="1"/>
    <n v="200"/>
    <n v="0"/>
    <n v="0"/>
    <n v="1"/>
    <m/>
    <n v="200"/>
    <m/>
    <n v="200"/>
    <n v="0"/>
    <n v="115228.45200000008"/>
  </r>
  <r>
    <x v="28"/>
    <x v="4"/>
    <x v="24"/>
    <x v="0"/>
    <x v="1"/>
    <x v="115"/>
    <x v="25"/>
    <s v="NAKİT"/>
    <n v="0.16800000000000001"/>
    <n v="640"/>
    <n v="0"/>
    <n v="0"/>
    <n v="0.16800000000000001"/>
    <m/>
    <n v="640"/>
    <m/>
    <n v="107.52000000000001"/>
    <n v="0"/>
    <n v="115335.97200000008"/>
  </r>
  <r>
    <x v="28"/>
    <x v="4"/>
    <x v="38"/>
    <x v="0"/>
    <x v="1"/>
    <x v="115"/>
    <x v="25"/>
    <s v="NAKİT"/>
    <n v="0.1"/>
    <n v="650"/>
    <n v="0"/>
    <n v="0"/>
    <n v="0.1"/>
    <m/>
    <n v="650"/>
    <m/>
    <n v="65"/>
    <n v="0"/>
    <n v="115400.97200000008"/>
  </r>
  <r>
    <x v="28"/>
    <x v="4"/>
    <x v="108"/>
    <x v="0"/>
    <x v="1"/>
    <x v="115"/>
    <x v="25"/>
    <s v="NAKİT"/>
    <n v="1"/>
    <n v="190"/>
    <n v="0"/>
    <n v="0"/>
    <n v="1"/>
    <m/>
    <n v="190"/>
    <m/>
    <n v="190"/>
    <n v="0"/>
    <n v="115590.97200000008"/>
  </r>
  <r>
    <x v="28"/>
    <x v="4"/>
    <x v="76"/>
    <x v="0"/>
    <x v="1"/>
    <x v="115"/>
    <x v="25"/>
    <s v="NAKİT"/>
    <n v="0.5"/>
    <n v="80"/>
    <n v="0"/>
    <n v="0"/>
    <n v="0.5"/>
    <m/>
    <n v="80"/>
    <m/>
    <n v="40"/>
    <n v="0"/>
    <n v="115630.97200000008"/>
  </r>
  <r>
    <x v="28"/>
    <x v="4"/>
    <x v="98"/>
    <x v="0"/>
    <x v="1"/>
    <x v="115"/>
    <x v="25"/>
    <s v="NAKİT"/>
    <n v="0.47199999999999998"/>
    <n v="700"/>
    <n v="0"/>
    <n v="0"/>
    <n v="0.47199999999999998"/>
    <m/>
    <n v="700"/>
    <m/>
    <n v="330.4"/>
    <n v="0"/>
    <n v="115961.37200000008"/>
  </r>
  <r>
    <x v="28"/>
    <x v="4"/>
    <x v="18"/>
    <x v="0"/>
    <x v="1"/>
    <x v="116"/>
    <x v="25"/>
    <s v="NAKİT"/>
    <n v="1"/>
    <n v="240"/>
    <n v="0"/>
    <n v="0"/>
    <n v="1"/>
    <m/>
    <n v="240"/>
    <m/>
    <n v="240"/>
    <n v="0"/>
    <n v="116201.37200000008"/>
  </r>
  <r>
    <x v="28"/>
    <x v="4"/>
    <x v="19"/>
    <x v="0"/>
    <x v="1"/>
    <x v="116"/>
    <x v="25"/>
    <s v="NAKİT"/>
    <n v="1"/>
    <n v="200"/>
    <n v="0"/>
    <n v="0"/>
    <n v="1"/>
    <m/>
    <n v="200"/>
    <m/>
    <n v="200"/>
    <n v="0"/>
    <n v="116401.37200000008"/>
  </r>
  <r>
    <x v="28"/>
    <x v="4"/>
    <x v="76"/>
    <x v="0"/>
    <x v="1"/>
    <x v="116"/>
    <x v="25"/>
    <s v="NAKİT"/>
    <n v="0.5"/>
    <n v="80"/>
    <n v="0"/>
    <n v="0"/>
    <n v="0.5"/>
    <m/>
    <n v="80"/>
    <m/>
    <n v="40"/>
    <n v="0"/>
    <n v="116441.37200000008"/>
  </r>
  <r>
    <x v="28"/>
    <x v="4"/>
    <x v="38"/>
    <x v="0"/>
    <x v="1"/>
    <x v="116"/>
    <x v="25"/>
    <s v="NAKİT"/>
    <n v="0.1"/>
    <n v="650"/>
    <n v="0"/>
    <n v="0"/>
    <n v="0.1"/>
    <m/>
    <n v="650"/>
    <m/>
    <n v="65"/>
    <n v="0"/>
    <n v="116506.37200000008"/>
  </r>
  <r>
    <x v="28"/>
    <x v="4"/>
    <x v="24"/>
    <x v="0"/>
    <x v="1"/>
    <x v="116"/>
    <x v="25"/>
    <s v="NAKİT"/>
    <n v="0.13200000000000001"/>
    <n v="640"/>
    <n v="0"/>
    <n v="0"/>
    <n v="0.13200000000000001"/>
    <m/>
    <n v="640"/>
    <m/>
    <n v="84.48"/>
    <n v="0"/>
    <n v="116590.85200000007"/>
  </r>
  <r>
    <x v="28"/>
    <x v="4"/>
    <x v="30"/>
    <x v="0"/>
    <x v="1"/>
    <x v="116"/>
    <x v="25"/>
    <s v="NAKİT"/>
    <n v="0.18"/>
    <n v="500"/>
    <n v="0"/>
    <n v="0"/>
    <n v="0.18"/>
    <m/>
    <n v="500"/>
    <m/>
    <n v="90"/>
    <n v="0"/>
    <n v="116680.85200000007"/>
  </r>
  <r>
    <x v="28"/>
    <x v="4"/>
    <x v="22"/>
    <x v="0"/>
    <x v="1"/>
    <x v="116"/>
    <x v="25"/>
    <s v="NAKİT"/>
    <n v="0.11600000000000001"/>
    <n v="360"/>
    <n v="0"/>
    <n v="0"/>
    <n v="0.11600000000000001"/>
    <m/>
    <n v="360"/>
    <m/>
    <n v="41.760000000000005"/>
    <n v="0"/>
    <n v="116722.61200000007"/>
  </r>
  <r>
    <x v="28"/>
    <x v="4"/>
    <x v="23"/>
    <x v="0"/>
    <x v="1"/>
    <x v="116"/>
    <x v="25"/>
    <s v="NAKİT"/>
    <n v="0.128"/>
    <n v="250"/>
    <n v="0"/>
    <n v="0"/>
    <n v="0.128"/>
    <m/>
    <n v="250"/>
    <m/>
    <n v="32"/>
    <n v="0"/>
    <n v="116754.61200000007"/>
  </r>
  <r>
    <x v="28"/>
    <x v="4"/>
    <x v="27"/>
    <x v="0"/>
    <x v="1"/>
    <x v="116"/>
    <x v="25"/>
    <s v="NAKİT"/>
    <n v="0.106"/>
    <n v="300"/>
    <n v="0"/>
    <n v="0"/>
    <n v="0.106"/>
    <m/>
    <n v="300"/>
    <m/>
    <n v="31.8"/>
    <n v="0"/>
    <n v="116786.41200000007"/>
  </r>
  <r>
    <x v="28"/>
    <x v="4"/>
    <x v="98"/>
    <x v="0"/>
    <x v="1"/>
    <x v="117"/>
    <x v="25"/>
    <s v="NAKİT"/>
    <n v="0.60399999999999998"/>
    <n v="700"/>
    <n v="0"/>
    <n v="0"/>
    <n v="0.60399999999999998"/>
    <m/>
    <n v="700"/>
    <m/>
    <n v="422.8"/>
    <n v="0"/>
    <n v="117209.21200000007"/>
  </r>
  <r>
    <x v="28"/>
    <x v="4"/>
    <x v="38"/>
    <x v="0"/>
    <x v="1"/>
    <x v="117"/>
    <x v="25"/>
    <s v="NAKİT"/>
    <n v="0.2"/>
    <n v="650"/>
    <n v="0"/>
    <n v="0"/>
    <n v="0.2"/>
    <m/>
    <n v="650"/>
    <m/>
    <n v="130"/>
    <n v="0"/>
    <n v="117339.21200000007"/>
  </r>
  <r>
    <x v="28"/>
    <x v="4"/>
    <x v="70"/>
    <x v="0"/>
    <x v="1"/>
    <x v="117"/>
    <x v="25"/>
    <s v="NAKİT"/>
    <n v="0.94"/>
    <n v="180"/>
    <n v="0"/>
    <n v="0"/>
    <n v="0.94"/>
    <m/>
    <n v="180"/>
    <m/>
    <n v="169.2"/>
    <n v="0"/>
    <n v="117508.41200000007"/>
  </r>
  <r>
    <x v="28"/>
    <x v="4"/>
    <x v="116"/>
    <x v="0"/>
    <x v="1"/>
    <x v="117"/>
    <x v="25"/>
    <s v="NAKİT"/>
    <n v="0.434"/>
    <n v="350"/>
    <n v="0"/>
    <n v="0"/>
    <n v="0.434"/>
    <m/>
    <n v="350"/>
    <m/>
    <n v="151.9"/>
    <n v="0"/>
    <n v="117660.31200000006"/>
  </r>
  <r>
    <x v="28"/>
    <x v="4"/>
    <x v="160"/>
    <x v="0"/>
    <x v="1"/>
    <x v="117"/>
    <x v="25"/>
    <s v="NAKİT"/>
    <n v="2"/>
    <n v="120"/>
    <n v="0"/>
    <n v="0"/>
    <n v="2"/>
    <m/>
    <n v="120"/>
    <m/>
    <n v="240"/>
    <n v="0"/>
    <n v="117900.31200000006"/>
  </r>
  <r>
    <x v="28"/>
    <x v="4"/>
    <x v="169"/>
    <x v="0"/>
    <x v="1"/>
    <x v="118"/>
    <x v="25"/>
    <s v="NAKİT"/>
    <n v="0.3"/>
    <n v="650"/>
    <n v="0"/>
    <n v="0"/>
    <n v="0.3"/>
    <m/>
    <n v="650"/>
    <m/>
    <n v="195"/>
    <n v="0"/>
    <n v="118095.31200000006"/>
  </r>
  <r>
    <x v="28"/>
    <x v="4"/>
    <x v="122"/>
    <x v="0"/>
    <x v="1"/>
    <x v="118"/>
    <x v="25"/>
    <s v="NAKİT"/>
    <n v="0.2"/>
    <n v="1150"/>
    <n v="0"/>
    <n v="0"/>
    <n v="0.2"/>
    <m/>
    <n v="1150"/>
    <m/>
    <n v="230"/>
    <n v="0"/>
    <n v="118325.31200000006"/>
  </r>
  <r>
    <x v="28"/>
    <x v="4"/>
    <x v="121"/>
    <x v="0"/>
    <x v="1"/>
    <x v="118"/>
    <x v="25"/>
    <s v="NAKİT"/>
    <n v="0.2"/>
    <n v="1250"/>
    <n v="0"/>
    <n v="0"/>
    <n v="0.2"/>
    <m/>
    <n v="1250"/>
    <m/>
    <n v="250"/>
    <n v="0"/>
    <n v="118575.31200000006"/>
  </r>
  <r>
    <x v="28"/>
    <x v="4"/>
    <x v="119"/>
    <x v="0"/>
    <x v="1"/>
    <x v="118"/>
    <x v="25"/>
    <s v="NAKİT"/>
    <n v="0.4"/>
    <n v="650"/>
    <n v="0"/>
    <n v="0"/>
    <n v="0.4"/>
    <m/>
    <n v="650"/>
    <m/>
    <n v="260"/>
    <n v="0"/>
    <n v="118835.31200000006"/>
  </r>
  <r>
    <x v="28"/>
    <x v="4"/>
    <x v="70"/>
    <x v="0"/>
    <x v="1"/>
    <x v="118"/>
    <x v="25"/>
    <s v="NAKİT"/>
    <n v="0.25"/>
    <n v="180"/>
    <n v="0"/>
    <n v="0"/>
    <n v="0.25"/>
    <m/>
    <n v="180"/>
    <m/>
    <n v="45"/>
    <n v="0"/>
    <n v="118880.31200000006"/>
  </r>
  <r>
    <x v="28"/>
    <x v="4"/>
    <x v="71"/>
    <x v="0"/>
    <x v="1"/>
    <x v="118"/>
    <x v="25"/>
    <s v="NAKİT"/>
    <n v="0.25"/>
    <n v="180"/>
    <n v="0"/>
    <n v="0"/>
    <n v="0.25"/>
    <m/>
    <n v="180"/>
    <m/>
    <n v="45"/>
    <n v="0"/>
    <n v="118925.31200000006"/>
  </r>
  <r>
    <x v="28"/>
    <x v="4"/>
    <x v="116"/>
    <x v="0"/>
    <x v="1"/>
    <x v="118"/>
    <x v="25"/>
    <s v="NAKİT"/>
    <n v="0.25"/>
    <n v="350"/>
    <n v="0"/>
    <n v="0"/>
    <n v="0.25"/>
    <m/>
    <n v="350"/>
    <m/>
    <n v="87.5"/>
    <n v="0"/>
    <n v="119012.81200000006"/>
  </r>
  <r>
    <x v="28"/>
    <x v="4"/>
    <x v="117"/>
    <x v="0"/>
    <x v="1"/>
    <x v="118"/>
    <x v="25"/>
    <s v="NAKİT"/>
    <n v="0.25"/>
    <n v="350"/>
    <n v="0"/>
    <n v="0"/>
    <n v="0.25"/>
    <m/>
    <n v="350"/>
    <m/>
    <n v="87.5"/>
    <n v="0"/>
    <n v="119100.31200000006"/>
  </r>
  <r>
    <x v="28"/>
    <x v="4"/>
    <x v="49"/>
    <x v="0"/>
    <x v="1"/>
    <x v="119"/>
    <x v="25"/>
    <s v="NAKİT"/>
    <n v="4.2000000000000003E-2"/>
    <n v="600"/>
    <n v="0"/>
    <n v="0"/>
    <n v="4.2000000000000003E-2"/>
    <m/>
    <n v="600"/>
    <m/>
    <n v="25.200000000000003"/>
    <n v="0"/>
    <n v="119125.51200000006"/>
  </r>
  <r>
    <x v="28"/>
    <x v="3"/>
    <x v="170"/>
    <x v="0"/>
    <x v="6"/>
    <x v="2"/>
    <x v="40"/>
    <s v="CARİ"/>
    <n v="10"/>
    <n v="150"/>
    <n v="0"/>
    <n v="1500"/>
    <m/>
    <m/>
    <m/>
    <m/>
    <n v="0"/>
    <n v="0"/>
    <n v="119125.51200000006"/>
  </r>
  <r>
    <x v="28"/>
    <x v="3"/>
    <x v="171"/>
    <x v="0"/>
    <x v="6"/>
    <x v="2"/>
    <x v="40"/>
    <s v="CARİ"/>
    <n v="10"/>
    <n v="150"/>
    <n v="0"/>
    <n v="1500"/>
    <m/>
    <m/>
    <m/>
    <m/>
    <n v="0"/>
    <n v="0"/>
    <n v="119125.51200000006"/>
  </r>
  <r>
    <x v="28"/>
    <x v="3"/>
    <x v="172"/>
    <x v="0"/>
    <x v="6"/>
    <x v="2"/>
    <x v="40"/>
    <s v="CARİ"/>
    <n v="10"/>
    <n v="50"/>
    <n v="0"/>
    <n v="500"/>
    <m/>
    <m/>
    <m/>
    <m/>
    <n v="0"/>
    <n v="0"/>
    <n v="119125.51200000006"/>
  </r>
  <r>
    <x v="29"/>
    <x v="3"/>
    <x v="173"/>
    <x v="0"/>
    <x v="2"/>
    <x v="120"/>
    <x v="41"/>
    <s v="K.K."/>
    <n v="1"/>
    <n v="109"/>
    <n v="0"/>
    <n v="109"/>
    <m/>
    <n v="1"/>
    <m/>
    <n v="109"/>
    <n v="0"/>
    <n v="0"/>
    <n v="119125.51200000006"/>
  </r>
  <r>
    <x v="29"/>
    <x v="3"/>
    <x v="174"/>
    <x v="0"/>
    <x v="2"/>
    <x v="120"/>
    <x v="41"/>
    <s v="K.K."/>
    <n v="2"/>
    <n v="119"/>
    <n v="0"/>
    <n v="238"/>
    <m/>
    <n v="2"/>
    <m/>
    <n v="119"/>
    <n v="0"/>
    <n v="0"/>
    <n v="119125.51200000006"/>
  </r>
  <r>
    <x v="29"/>
    <x v="3"/>
    <x v="175"/>
    <x v="0"/>
    <x v="2"/>
    <x v="120"/>
    <x v="41"/>
    <s v="K.K."/>
    <n v="5"/>
    <n v="99.9"/>
    <n v="0"/>
    <n v="499.5"/>
    <m/>
    <n v="5"/>
    <m/>
    <n v="99.9"/>
    <n v="0"/>
    <n v="0"/>
    <n v="119125.51200000006"/>
  </r>
  <r>
    <x v="29"/>
    <x v="3"/>
    <x v="176"/>
    <x v="0"/>
    <x v="2"/>
    <x v="120"/>
    <x v="41"/>
    <s v="K.K."/>
    <n v="1"/>
    <n v="109"/>
    <n v="0"/>
    <n v="109"/>
    <m/>
    <n v="1"/>
    <m/>
    <n v="109"/>
    <n v="0"/>
    <n v="0"/>
    <n v="119125.51200000006"/>
  </r>
  <r>
    <x v="29"/>
    <x v="3"/>
    <x v="177"/>
    <x v="0"/>
    <x v="2"/>
    <x v="120"/>
    <x v="41"/>
    <s v="K.K."/>
    <n v="3"/>
    <n v="119"/>
    <n v="0"/>
    <n v="357"/>
    <m/>
    <n v="3"/>
    <m/>
    <n v="119"/>
    <n v="0"/>
    <n v="0"/>
    <n v="119125.51200000006"/>
  </r>
  <r>
    <x v="29"/>
    <x v="3"/>
    <x v="178"/>
    <x v="0"/>
    <x v="2"/>
    <x v="120"/>
    <x v="41"/>
    <s v="K.K."/>
    <n v="3"/>
    <n v="119"/>
    <n v="0"/>
    <n v="357"/>
    <m/>
    <n v="3"/>
    <m/>
    <n v="119"/>
    <n v="0"/>
    <n v="0"/>
    <n v="119125.51200000006"/>
  </r>
  <r>
    <x v="29"/>
    <x v="4"/>
    <x v="56"/>
    <x v="0"/>
    <x v="1"/>
    <x v="121"/>
    <x v="25"/>
    <s v="NAKİT"/>
    <n v="1"/>
    <n v="180"/>
    <n v="0"/>
    <n v="0"/>
    <n v="1"/>
    <m/>
    <n v="180"/>
    <m/>
    <n v="180"/>
    <n v="0"/>
    <n v="119305.51200000006"/>
  </r>
  <r>
    <x v="29"/>
    <x v="4"/>
    <x v="57"/>
    <x v="0"/>
    <x v="1"/>
    <x v="121"/>
    <x v="25"/>
    <s v="NAKİT"/>
    <n v="1"/>
    <n v="130"/>
    <n v="0"/>
    <n v="0"/>
    <n v="1"/>
    <m/>
    <n v="130"/>
    <m/>
    <n v="130"/>
    <n v="0"/>
    <n v="119435.51200000006"/>
  </r>
  <r>
    <x v="29"/>
    <x v="4"/>
    <x v="72"/>
    <x v="0"/>
    <x v="1"/>
    <x v="121"/>
    <x v="25"/>
    <s v="NAKİT"/>
    <n v="0.1"/>
    <n v="1400"/>
    <n v="0"/>
    <n v="0"/>
    <n v="0.1"/>
    <m/>
    <n v="1400"/>
    <m/>
    <n v="140"/>
    <n v="0"/>
    <n v="119575.51200000006"/>
  </r>
  <r>
    <x v="29"/>
    <x v="4"/>
    <x v="38"/>
    <x v="0"/>
    <x v="1"/>
    <x v="121"/>
    <x v="25"/>
    <s v="NAKİT"/>
    <n v="0.1"/>
    <n v="650"/>
    <n v="0"/>
    <n v="0"/>
    <n v="0.1"/>
    <m/>
    <n v="650"/>
    <m/>
    <n v="65"/>
    <n v="0"/>
    <n v="119640.51200000006"/>
  </r>
  <r>
    <x v="29"/>
    <x v="4"/>
    <x v="34"/>
    <x v="0"/>
    <x v="1"/>
    <x v="121"/>
    <x v="25"/>
    <s v="NAKİT"/>
    <n v="0.1"/>
    <n v="300"/>
    <n v="0"/>
    <n v="0"/>
    <n v="0.1"/>
    <m/>
    <n v="300"/>
    <m/>
    <n v="30"/>
    <n v="0"/>
    <n v="119670.51200000006"/>
  </r>
  <r>
    <x v="29"/>
    <x v="4"/>
    <x v="52"/>
    <x v="0"/>
    <x v="1"/>
    <x v="121"/>
    <x v="25"/>
    <s v="NAKİT"/>
    <n v="0.1"/>
    <n v="400"/>
    <n v="0"/>
    <n v="0"/>
    <n v="0.1"/>
    <m/>
    <n v="400"/>
    <m/>
    <n v="40"/>
    <n v="0"/>
    <n v="119710.51200000006"/>
  </r>
  <r>
    <x v="29"/>
    <x v="4"/>
    <x v="54"/>
    <x v="0"/>
    <x v="1"/>
    <x v="121"/>
    <x v="25"/>
    <s v="NAKİT"/>
    <n v="0.1"/>
    <n v="400"/>
    <n v="0"/>
    <n v="0"/>
    <n v="0.1"/>
    <m/>
    <n v="400"/>
    <m/>
    <n v="40"/>
    <n v="0"/>
    <n v="119750.51200000006"/>
  </r>
  <r>
    <x v="29"/>
    <x v="4"/>
    <x v="22"/>
    <x v="0"/>
    <x v="1"/>
    <x v="121"/>
    <x v="25"/>
    <s v="NAKİT"/>
    <n v="0.12"/>
    <n v="360"/>
    <n v="0"/>
    <n v="0"/>
    <n v="0.12"/>
    <m/>
    <n v="360"/>
    <m/>
    <n v="43.199999999999996"/>
    <n v="0"/>
    <n v="119793.71200000006"/>
  </r>
  <r>
    <x v="29"/>
    <x v="4"/>
    <x v="23"/>
    <x v="0"/>
    <x v="1"/>
    <x v="121"/>
    <x v="25"/>
    <s v="NAKİT"/>
    <n v="0.114"/>
    <n v="250"/>
    <n v="0"/>
    <n v="0"/>
    <n v="0.114"/>
    <m/>
    <n v="250"/>
    <m/>
    <n v="28.5"/>
    <n v="0"/>
    <n v="119822.21200000006"/>
  </r>
  <r>
    <x v="29"/>
    <x v="4"/>
    <x v="168"/>
    <x v="0"/>
    <x v="1"/>
    <x v="121"/>
    <x v="25"/>
    <s v="NAKİT"/>
    <n v="1"/>
    <n v="40"/>
    <n v="0"/>
    <n v="0"/>
    <n v="1"/>
    <m/>
    <n v="40"/>
    <m/>
    <n v="40"/>
    <n v="0"/>
    <n v="119862.21200000006"/>
  </r>
  <r>
    <x v="29"/>
    <x v="4"/>
    <x v="163"/>
    <x v="0"/>
    <x v="1"/>
    <x v="121"/>
    <x v="25"/>
    <s v="NAKİT"/>
    <n v="1"/>
    <n v="40"/>
    <n v="0"/>
    <n v="0"/>
    <n v="1"/>
    <m/>
    <n v="40"/>
    <m/>
    <n v="40"/>
    <n v="0"/>
    <n v="119902.21200000006"/>
  </r>
  <r>
    <x v="29"/>
    <x v="4"/>
    <x v="25"/>
    <x v="0"/>
    <x v="1"/>
    <x v="122"/>
    <x v="25"/>
    <s v="NAKİT"/>
    <n v="0.28000000000000003"/>
    <n v="390"/>
    <n v="0"/>
    <n v="0"/>
    <n v="0.28000000000000003"/>
    <m/>
    <n v="390"/>
    <m/>
    <n v="109.20000000000002"/>
    <n v="0"/>
    <n v="120011.41200000005"/>
  </r>
  <r>
    <x v="29"/>
    <x v="4"/>
    <x v="33"/>
    <x v="0"/>
    <x v="1"/>
    <x v="122"/>
    <x v="25"/>
    <s v="NAKİT"/>
    <n v="0.4"/>
    <n v="380"/>
    <n v="0"/>
    <n v="0"/>
    <n v="0.4"/>
    <m/>
    <n v="380"/>
    <m/>
    <n v="152"/>
    <n v="0"/>
    <n v="120163.41200000005"/>
  </r>
  <r>
    <x v="29"/>
    <x v="4"/>
    <x v="54"/>
    <x v="0"/>
    <x v="1"/>
    <x v="122"/>
    <x v="25"/>
    <s v="NAKİT"/>
    <n v="0.1"/>
    <n v="400"/>
    <n v="0"/>
    <n v="0"/>
    <n v="0.1"/>
    <m/>
    <n v="400"/>
    <m/>
    <n v="40"/>
    <n v="0"/>
    <n v="120203.41200000005"/>
  </r>
  <r>
    <x v="29"/>
    <x v="4"/>
    <x v="18"/>
    <x v="0"/>
    <x v="1"/>
    <x v="123"/>
    <x v="25"/>
    <s v="NAKİT"/>
    <n v="1"/>
    <n v="240"/>
    <n v="0"/>
    <n v="0"/>
    <n v="1"/>
    <m/>
    <n v="240"/>
    <m/>
    <n v="240"/>
    <n v="0"/>
    <n v="120443.41200000005"/>
  </r>
  <r>
    <x v="29"/>
    <x v="4"/>
    <x v="74"/>
    <x v="0"/>
    <x v="1"/>
    <x v="123"/>
    <x v="25"/>
    <s v="NAKİT"/>
    <n v="0.25"/>
    <n v="360"/>
    <n v="0"/>
    <n v="0"/>
    <n v="1"/>
    <m/>
    <n v="90"/>
    <m/>
    <n v="90"/>
    <n v="0"/>
    <n v="120533.41200000005"/>
  </r>
  <r>
    <x v="29"/>
    <x v="4"/>
    <x v="14"/>
    <x v="0"/>
    <x v="5"/>
    <x v="124"/>
    <x v="25"/>
    <s v="POS"/>
    <n v="1"/>
    <n v="280"/>
    <n v="280"/>
    <n v="0"/>
    <n v="2"/>
    <m/>
    <n v="140"/>
    <m/>
    <n v="0"/>
    <n v="0"/>
    <n v="120533.41200000005"/>
  </r>
  <r>
    <x v="29"/>
    <x v="4"/>
    <x v="22"/>
    <x v="0"/>
    <x v="5"/>
    <x v="124"/>
    <x v="25"/>
    <s v="POS"/>
    <n v="0.14000000000000001"/>
    <n v="360"/>
    <n v="50.400000000000006"/>
    <n v="0"/>
    <n v="0.14000000000000001"/>
    <m/>
    <n v="360"/>
    <m/>
    <n v="0"/>
    <n v="0"/>
    <n v="120533.41200000005"/>
  </r>
  <r>
    <x v="29"/>
    <x v="4"/>
    <x v="117"/>
    <x v="0"/>
    <x v="1"/>
    <x v="125"/>
    <x v="25"/>
    <s v="NAKİT"/>
    <n v="0.30399999999999999"/>
    <n v="350"/>
    <n v="0"/>
    <n v="0"/>
    <n v="0.30399999999999999"/>
    <m/>
    <n v="350"/>
    <m/>
    <n v="106.39999999999999"/>
    <n v="0"/>
    <n v="120639.81200000005"/>
  </r>
  <r>
    <x v="29"/>
    <x v="4"/>
    <x v="128"/>
    <x v="0"/>
    <x v="1"/>
    <x v="125"/>
    <x v="25"/>
    <s v="NAKİT"/>
    <n v="0.14399999999999999"/>
    <n v="190"/>
    <n v="0"/>
    <n v="0"/>
    <n v="0.14399999999999999"/>
    <m/>
    <n v="190"/>
    <m/>
    <n v="27.36"/>
    <n v="0"/>
    <n v="120667.17200000005"/>
  </r>
  <r>
    <x v="29"/>
    <x v="4"/>
    <x v="130"/>
    <x v="0"/>
    <x v="1"/>
    <x v="125"/>
    <x v="25"/>
    <s v="NAKİT"/>
    <n v="0.16400000000000001"/>
    <n v="190"/>
    <n v="0"/>
    <n v="0"/>
    <n v="0.16400000000000001"/>
    <m/>
    <n v="190"/>
    <m/>
    <n v="31.16"/>
    <n v="0"/>
    <n v="120698.33200000005"/>
  </r>
  <r>
    <x v="29"/>
    <x v="4"/>
    <x v="119"/>
    <x v="0"/>
    <x v="1"/>
    <x v="125"/>
    <x v="25"/>
    <s v="NAKİT"/>
    <n v="0.216"/>
    <n v="650"/>
    <n v="0"/>
    <n v="0"/>
    <n v="0.216"/>
    <m/>
    <n v="650"/>
    <m/>
    <n v="140.4"/>
    <n v="0"/>
    <n v="120838.73200000005"/>
  </r>
  <r>
    <x v="29"/>
    <x v="4"/>
    <x v="127"/>
    <x v="0"/>
    <x v="1"/>
    <x v="125"/>
    <x v="25"/>
    <s v="NAKİT"/>
    <n v="0.432"/>
    <n v="670"/>
    <n v="0"/>
    <n v="0"/>
    <n v="0.432"/>
    <m/>
    <n v="670"/>
    <m/>
    <n v="289.44"/>
    <n v="0"/>
    <n v="121128.17200000005"/>
  </r>
  <r>
    <x v="29"/>
    <x v="4"/>
    <x v="98"/>
    <x v="0"/>
    <x v="1"/>
    <x v="125"/>
    <x v="25"/>
    <s v="NAKİT"/>
    <n v="0.38600000000000001"/>
    <n v="700"/>
    <n v="0"/>
    <n v="0"/>
    <n v="0.38600000000000001"/>
    <m/>
    <n v="700"/>
    <m/>
    <n v="270.2"/>
    <n v="0"/>
    <n v="121398.37200000005"/>
  </r>
  <r>
    <x v="29"/>
    <x v="4"/>
    <x v="31"/>
    <x v="0"/>
    <x v="5"/>
    <x v="126"/>
    <x v="25"/>
    <s v="POS"/>
    <n v="0.182"/>
    <n v="380"/>
    <n v="69.16"/>
    <n v="0"/>
    <n v="0.182"/>
    <m/>
    <n v="380"/>
    <m/>
    <n v="0"/>
    <n v="0"/>
    <n v="121398.37200000005"/>
  </r>
  <r>
    <x v="29"/>
    <x v="4"/>
    <x v="38"/>
    <x v="0"/>
    <x v="5"/>
    <x v="127"/>
    <x v="25"/>
    <s v="POS"/>
    <n v="0.2"/>
    <n v="650"/>
    <n v="130"/>
    <n v="0"/>
    <n v="0.2"/>
    <m/>
    <n v="650"/>
    <m/>
    <n v="0"/>
    <n v="0"/>
    <n v="121398.37200000005"/>
  </r>
  <r>
    <x v="29"/>
    <x v="4"/>
    <x v="28"/>
    <x v="0"/>
    <x v="1"/>
    <x v="128"/>
    <x v="25"/>
    <s v="NAKİT"/>
    <n v="0.5"/>
    <n v="500"/>
    <n v="0"/>
    <n v="0"/>
    <n v="0.5"/>
    <m/>
    <n v="500"/>
    <m/>
    <n v="250"/>
    <n v="0"/>
    <n v="121648.37200000005"/>
  </r>
  <r>
    <x v="29"/>
    <x v="4"/>
    <x v="101"/>
    <x v="0"/>
    <x v="1"/>
    <x v="128"/>
    <x v="25"/>
    <s v="NAKİT"/>
    <n v="0.32"/>
    <n v="320"/>
    <n v="0"/>
    <n v="0"/>
    <n v="0.32"/>
    <m/>
    <n v="320"/>
    <m/>
    <n v="102.4"/>
    <n v="0"/>
    <n v="121750.77200000004"/>
  </r>
  <r>
    <x v="29"/>
    <x v="4"/>
    <x v="27"/>
    <x v="0"/>
    <x v="1"/>
    <x v="129"/>
    <x v="25"/>
    <s v="NAKİT"/>
    <n v="6.4000000000000001E-2"/>
    <n v="300"/>
    <n v="0"/>
    <n v="0"/>
    <n v="6.4000000000000001E-2"/>
    <m/>
    <n v="300"/>
    <m/>
    <n v="19.2"/>
    <n v="0"/>
    <n v="121769.97200000004"/>
  </r>
  <r>
    <x v="29"/>
    <x v="4"/>
    <x v="112"/>
    <x v="0"/>
    <x v="1"/>
    <x v="129"/>
    <x v="25"/>
    <s v="NAKİT"/>
    <n v="0.04"/>
    <n v="2250"/>
    <n v="0"/>
    <n v="0"/>
    <n v="0.04"/>
    <m/>
    <n v="2250"/>
    <m/>
    <n v="90"/>
    <n v="0"/>
    <n v="121859.97200000004"/>
  </r>
  <r>
    <x v="29"/>
    <x v="4"/>
    <x v="34"/>
    <x v="0"/>
    <x v="1"/>
    <x v="129"/>
    <x v="25"/>
    <s v="NAKİT"/>
    <n v="0.10199999999999999"/>
    <n v="300"/>
    <n v="0"/>
    <n v="0"/>
    <n v="0.10199999999999999"/>
    <m/>
    <n v="300"/>
    <m/>
    <n v="30.599999999999998"/>
    <n v="0"/>
    <n v="121890.57200000004"/>
  </r>
  <r>
    <x v="29"/>
    <x v="4"/>
    <x v="129"/>
    <x v="0"/>
    <x v="1"/>
    <x v="129"/>
    <x v="25"/>
    <s v="NAKİT"/>
    <n v="0.26100000000000001"/>
    <n v="230"/>
    <n v="0"/>
    <n v="0"/>
    <n v="0.26100000000000001"/>
    <m/>
    <n v="230"/>
    <m/>
    <n v="60.03"/>
    <n v="0"/>
    <n v="121950.60200000004"/>
  </r>
  <r>
    <x v="29"/>
    <x v="4"/>
    <x v="18"/>
    <x v="0"/>
    <x v="5"/>
    <x v="130"/>
    <x v="25"/>
    <s v="POS"/>
    <n v="1"/>
    <n v="240"/>
    <n v="240"/>
    <n v="0"/>
    <n v="1"/>
    <m/>
    <n v="240"/>
    <m/>
    <n v="0"/>
    <n v="0"/>
    <n v="121950.60200000004"/>
  </r>
  <r>
    <x v="29"/>
    <x v="4"/>
    <x v="19"/>
    <x v="0"/>
    <x v="5"/>
    <x v="130"/>
    <x v="25"/>
    <s v="POS"/>
    <n v="1"/>
    <n v="200"/>
    <n v="200"/>
    <n v="0"/>
    <n v="1"/>
    <m/>
    <n v="200"/>
    <m/>
    <n v="0"/>
    <n v="0"/>
    <n v="121950.60200000004"/>
  </r>
  <r>
    <x v="29"/>
    <x v="4"/>
    <x v="92"/>
    <x v="0"/>
    <x v="5"/>
    <x v="130"/>
    <x v="25"/>
    <s v="POS"/>
    <n v="9.1999999999999998E-2"/>
    <n v="330"/>
    <n v="30.36"/>
    <n v="0"/>
    <n v="9.1999999999999998E-2"/>
    <m/>
    <n v="330"/>
    <m/>
    <n v="0"/>
    <n v="0"/>
    <n v="121950.60200000004"/>
  </r>
  <r>
    <x v="29"/>
    <x v="4"/>
    <x v="142"/>
    <x v="0"/>
    <x v="5"/>
    <x v="130"/>
    <x v="25"/>
    <s v="POS"/>
    <n v="0.3"/>
    <n v="250"/>
    <n v="75"/>
    <n v="0"/>
    <n v="0.3"/>
    <m/>
    <n v="250"/>
    <m/>
    <n v="0"/>
    <n v="0"/>
    <n v="121950.60200000004"/>
  </r>
  <r>
    <x v="29"/>
    <x v="4"/>
    <x v="172"/>
    <x v="0"/>
    <x v="1"/>
    <x v="131"/>
    <x v="25"/>
    <s v="NAKİT"/>
    <n v="1"/>
    <n v="100"/>
    <n v="0"/>
    <n v="0"/>
    <m/>
    <m/>
    <m/>
    <m/>
    <n v="100"/>
    <n v="0"/>
    <n v="122050.60200000004"/>
  </r>
  <r>
    <x v="29"/>
    <x v="4"/>
    <x v="170"/>
    <x v="0"/>
    <x v="1"/>
    <x v="132"/>
    <x v="25"/>
    <s v="NAKİT"/>
    <n v="1"/>
    <n v="250"/>
    <n v="0"/>
    <n v="0"/>
    <m/>
    <m/>
    <m/>
    <m/>
    <n v="250"/>
    <n v="0"/>
    <n v="122300.60200000004"/>
  </r>
  <r>
    <x v="29"/>
    <x v="4"/>
    <x v="179"/>
    <x v="0"/>
    <x v="1"/>
    <x v="133"/>
    <x v="25"/>
    <s v="NAKİT"/>
    <n v="0.25"/>
    <n v="850"/>
    <n v="0"/>
    <n v="0"/>
    <m/>
    <m/>
    <m/>
    <m/>
    <n v="212.5"/>
    <n v="0"/>
    <n v="122513.10200000004"/>
  </r>
  <r>
    <x v="29"/>
    <x v="4"/>
    <x v="169"/>
    <x v="0"/>
    <x v="1"/>
    <x v="133"/>
    <x v="25"/>
    <s v="NAKİT"/>
    <n v="0.19"/>
    <n v="650"/>
    <n v="0"/>
    <n v="0"/>
    <m/>
    <m/>
    <m/>
    <m/>
    <n v="123.5"/>
    <n v="0"/>
    <n v="122636.60200000004"/>
  </r>
  <r>
    <x v="29"/>
    <x v="3"/>
    <x v="83"/>
    <x v="0"/>
    <x v="1"/>
    <x v="2"/>
    <x v="42"/>
    <s v="NAKİT"/>
    <n v="3.5"/>
    <n v="1000"/>
    <n v="0"/>
    <n v="0"/>
    <m/>
    <n v="3.5"/>
    <m/>
    <n v="1000"/>
    <n v="0"/>
    <n v="3500"/>
    <n v="119136.60200000004"/>
  </r>
  <r>
    <x v="29"/>
    <x v="1"/>
    <x v="0"/>
    <x v="2"/>
    <x v="1"/>
    <x v="2"/>
    <x v="43"/>
    <s v="NAKİT"/>
    <n v="1"/>
    <n v="22000"/>
    <n v="0"/>
    <n v="0"/>
    <m/>
    <n v="1"/>
    <m/>
    <n v="22000"/>
    <n v="0"/>
    <n v="22000"/>
    <n v="97136.602000000043"/>
  </r>
  <r>
    <x v="29"/>
    <x v="1"/>
    <x v="0"/>
    <x v="13"/>
    <x v="2"/>
    <x v="2"/>
    <x v="44"/>
    <s v="K.K."/>
    <n v="1"/>
    <n v="6337"/>
    <n v="0"/>
    <n v="6337"/>
    <m/>
    <n v="1"/>
    <m/>
    <n v="6337"/>
    <n v="0"/>
    <n v="0"/>
    <n v="97136.602000000043"/>
  </r>
  <r>
    <x v="29"/>
    <x v="8"/>
    <x v="122"/>
    <x v="0"/>
    <x v="1"/>
    <x v="2"/>
    <x v="45"/>
    <s v="ÜRETİM"/>
    <n v="0.48"/>
    <n v="1050"/>
    <n v="0"/>
    <n v="0"/>
    <m/>
    <m/>
    <m/>
    <m/>
    <n v="504"/>
    <n v="0"/>
    <n v="97640.602000000043"/>
  </r>
  <r>
    <x v="29"/>
    <x v="8"/>
    <x v="119"/>
    <x v="0"/>
    <x v="1"/>
    <x v="2"/>
    <x v="45"/>
    <s v="ÜRETİM"/>
    <n v="0.94599999999999995"/>
    <n v="495"/>
    <n v="0"/>
    <n v="0"/>
    <m/>
    <m/>
    <m/>
    <m/>
    <n v="468.27"/>
    <n v="0"/>
    <n v="98108.872000000047"/>
  </r>
  <r>
    <x v="29"/>
    <x v="8"/>
    <x v="149"/>
    <x v="0"/>
    <x v="1"/>
    <x v="2"/>
    <x v="45"/>
    <s v="ÜRETİM"/>
    <n v="0.94599999999999995"/>
    <n v="435"/>
    <n v="0"/>
    <n v="0"/>
    <m/>
    <m/>
    <m/>
    <m/>
    <n v="411.51"/>
    <n v="0"/>
    <n v="98520.382000000041"/>
  </r>
  <r>
    <x v="29"/>
    <x v="8"/>
    <x v="121"/>
    <x v="0"/>
    <x v="1"/>
    <x v="2"/>
    <x v="45"/>
    <s v="ÜRETİM"/>
    <n v="0.48"/>
    <n v="1150"/>
    <n v="0"/>
    <n v="0"/>
    <m/>
    <m/>
    <m/>
    <m/>
    <n v="552"/>
    <n v="0"/>
    <n v="99072.382000000041"/>
  </r>
  <r>
    <x v="29"/>
    <x v="9"/>
    <x v="179"/>
    <x v="0"/>
    <x v="1"/>
    <x v="2"/>
    <x v="45"/>
    <s v="ÜRETİM"/>
    <n v="2.8519999999999999"/>
    <n v="678.74447399999997"/>
    <n v="0"/>
    <n v="0"/>
    <m/>
    <m/>
    <m/>
    <m/>
    <n v="0"/>
    <n v="1935.7792398479999"/>
    <n v="97136.602760152047"/>
  </r>
  <r>
    <x v="30"/>
    <x v="3"/>
    <x v="180"/>
    <x v="0"/>
    <x v="2"/>
    <x v="134"/>
    <x v="41"/>
    <s v="K.K."/>
    <n v="1"/>
    <n v="89.9"/>
    <n v="0"/>
    <n v="89.9"/>
    <m/>
    <n v="1"/>
    <m/>
    <n v="89.9"/>
    <n v="0"/>
    <n v="0"/>
    <n v="97136.602760152047"/>
  </r>
  <r>
    <x v="30"/>
    <x v="3"/>
    <x v="181"/>
    <x v="0"/>
    <x v="2"/>
    <x v="134"/>
    <x v="41"/>
    <s v="K.K."/>
    <n v="1"/>
    <n v="89.9"/>
    <n v="0"/>
    <n v="89.9"/>
    <m/>
    <n v="1"/>
    <m/>
    <n v="89.9"/>
    <n v="0"/>
    <n v="0"/>
    <n v="97136.602760152047"/>
  </r>
  <r>
    <x v="30"/>
    <x v="3"/>
    <x v="174"/>
    <x v="0"/>
    <x v="2"/>
    <x v="134"/>
    <x v="41"/>
    <s v="K.K."/>
    <n v="1"/>
    <n v="119"/>
    <n v="0"/>
    <n v="119"/>
    <m/>
    <n v="1"/>
    <m/>
    <n v="119"/>
    <n v="0"/>
    <n v="0"/>
    <n v="97136.602760152047"/>
  </r>
  <r>
    <x v="30"/>
    <x v="3"/>
    <x v="182"/>
    <x v="0"/>
    <x v="2"/>
    <x v="134"/>
    <x v="41"/>
    <s v="K.K."/>
    <n v="1"/>
    <n v="119"/>
    <n v="0"/>
    <n v="119"/>
    <m/>
    <n v="1"/>
    <m/>
    <n v="119"/>
    <n v="0"/>
    <n v="0"/>
    <n v="97136.602760152047"/>
  </r>
  <r>
    <x v="30"/>
    <x v="3"/>
    <x v="173"/>
    <x v="0"/>
    <x v="2"/>
    <x v="134"/>
    <x v="41"/>
    <s v="K.K."/>
    <n v="3"/>
    <n v="109"/>
    <n v="0"/>
    <n v="327"/>
    <m/>
    <n v="3"/>
    <m/>
    <n v="109"/>
    <n v="0"/>
    <n v="0"/>
    <n v="97136.602760152047"/>
  </r>
  <r>
    <x v="30"/>
    <x v="3"/>
    <x v="176"/>
    <x v="0"/>
    <x v="2"/>
    <x v="134"/>
    <x v="41"/>
    <s v="K.K."/>
    <n v="3"/>
    <n v="109"/>
    <n v="0"/>
    <n v="327"/>
    <m/>
    <n v="3"/>
    <m/>
    <n v="109"/>
    <n v="0"/>
    <n v="0"/>
    <n v="97136.602760152047"/>
  </r>
  <r>
    <x v="30"/>
    <x v="3"/>
    <x v="183"/>
    <x v="0"/>
    <x v="2"/>
    <x v="134"/>
    <x v="41"/>
    <s v="K.K."/>
    <n v="3"/>
    <n v="129"/>
    <n v="0"/>
    <n v="387"/>
    <m/>
    <n v="3"/>
    <m/>
    <n v="129"/>
    <n v="0"/>
    <n v="0"/>
    <n v="97136.602760152047"/>
  </r>
  <r>
    <x v="30"/>
    <x v="3"/>
    <x v="184"/>
    <x v="0"/>
    <x v="2"/>
    <x v="134"/>
    <x v="41"/>
    <s v="K.K."/>
    <n v="1"/>
    <n v="129"/>
    <n v="0"/>
    <n v="129"/>
    <m/>
    <n v="1"/>
    <m/>
    <n v="129"/>
    <n v="0"/>
    <n v="0"/>
    <n v="97136.602760152047"/>
  </r>
  <r>
    <x v="30"/>
    <x v="3"/>
    <x v="185"/>
    <x v="0"/>
    <x v="2"/>
    <x v="134"/>
    <x v="41"/>
    <s v="K.K."/>
    <n v="5"/>
    <n v="69.900000000000006"/>
    <n v="0"/>
    <n v="349.5"/>
    <m/>
    <n v="5"/>
    <m/>
    <n v="69.900000000000006"/>
    <n v="0"/>
    <n v="0"/>
    <n v="97136.602760152047"/>
  </r>
  <r>
    <x v="30"/>
    <x v="3"/>
    <x v="186"/>
    <x v="0"/>
    <x v="2"/>
    <x v="134"/>
    <x v="41"/>
    <s v="K.K."/>
    <n v="2"/>
    <n v="69.900000000000006"/>
    <n v="0"/>
    <n v="139.80000000000001"/>
    <m/>
    <n v="2"/>
    <m/>
    <n v="69.900000000000006"/>
    <n v="0"/>
    <n v="0"/>
    <n v="97136.602760152047"/>
  </r>
  <r>
    <x v="30"/>
    <x v="2"/>
    <x v="0"/>
    <x v="4"/>
    <x v="2"/>
    <x v="135"/>
    <x v="46"/>
    <s v="K.K."/>
    <n v="1"/>
    <n v="1099"/>
    <n v="0"/>
    <n v="1099"/>
    <m/>
    <n v="1"/>
    <m/>
    <n v="1099"/>
    <n v="0"/>
    <n v="0"/>
    <n v="97136.602760152047"/>
  </r>
  <r>
    <x v="30"/>
    <x v="3"/>
    <x v="187"/>
    <x v="0"/>
    <x v="2"/>
    <x v="136"/>
    <x v="47"/>
    <s v="K.K."/>
    <n v="6"/>
    <n v="145.33000000000001"/>
    <n v="0"/>
    <n v="871.98"/>
    <m/>
    <n v="6"/>
    <m/>
    <n v="145.33000000000001"/>
    <n v="0"/>
    <n v="0"/>
    <n v="97136.602760152047"/>
  </r>
  <r>
    <x v="30"/>
    <x v="3"/>
    <x v="188"/>
    <x v="0"/>
    <x v="2"/>
    <x v="137"/>
    <x v="47"/>
    <s v="K.K."/>
    <n v="6"/>
    <n v="140"/>
    <n v="0"/>
    <n v="840"/>
    <m/>
    <n v="6"/>
    <m/>
    <n v="140"/>
    <n v="0"/>
    <n v="0"/>
    <n v="97136.602760152047"/>
  </r>
  <r>
    <x v="31"/>
    <x v="3"/>
    <x v="182"/>
    <x v="0"/>
    <x v="2"/>
    <x v="138"/>
    <x v="41"/>
    <s v="K.K."/>
    <n v="3"/>
    <n v="119"/>
    <n v="0"/>
    <n v="357"/>
    <m/>
    <n v="3"/>
    <m/>
    <n v="119"/>
    <n v="0"/>
    <n v="0"/>
    <n v="97136.602760152047"/>
  </r>
  <r>
    <x v="31"/>
    <x v="3"/>
    <x v="189"/>
    <x v="0"/>
    <x v="2"/>
    <x v="139"/>
    <x v="47"/>
    <s v="K.K."/>
    <n v="6"/>
    <n v="132.11666666666667"/>
    <n v="0"/>
    <n v="792.7"/>
    <m/>
    <n v="6"/>
    <m/>
    <n v="132.11666666666667"/>
    <n v="0"/>
    <n v="0"/>
    <n v="97136.602760152047"/>
  </r>
  <r>
    <x v="31"/>
    <x v="4"/>
    <x v="24"/>
    <x v="0"/>
    <x v="1"/>
    <x v="140"/>
    <x v="25"/>
    <s v="NAKİT"/>
    <n v="7.9000000000000001E-2"/>
    <n v="640"/>
    <n v="0"/>
    <n v="0"/>
    <n v="7.9000000000000001E-2"/>
    <m/>
    <n v="640"/>
    <m/>
    <n v="50.56"/>
    <n v="0"/>
    <n v="97187.162760152045"/>
  </r>
  <r>
    <x v="31"/>
    <x v="4"/>
    <x v="27"/>
    <x v="0"/>
    <x v="1"/>
    <x v="140"/>
    <x v="25"/>
    <s v="NAKİT"/>
    <n v="0.17"/>
    <n v="300"/>
    <n v="0"/>
    <n v="0"/>
    <n v="0.17"/>
    <m/>
    <n v="300"/>
    <m/>
    <n v="51.000000000000007"/>
    <n v="0"/>
    <n v="97238.162760152045"/>
  </r>
  <r>
    <x v="31"/>
    <x v="4"/>
    <x v="29"/>
    <x v="0"/>
    <x v="1"/>
    <x v="141"/>
    <x v="25"/>
    <s v="NAKİT"/>
    <n v="0.1"/>
    <n v="750"/>
    <n v="0"/>
    <n v="0"/>
    <n v="0.1"/>
    <m/>
    <n v="750"/>
    <m/>
    <n v="75"/>
    <n v="0"/>
    <n v="97313.162760152045"/>
  </r>
  <r>
    <x v="31"/>
    <x v="4"/>
    <x v="55"/>
    <x v="0"/>
    <x v="1"/>
    <x v="141"/>
    <x v="25"/>
    <s v="NAKİT"/>
    <n v="0.56000000000000005"/>
    <n v="180"/>
    <n v="0"/>
    <n v="0"/>
    <n v="0.56000000000000005"/>
    <m/>
    <n v="180"/>
    <m/>
    <n v="100.80000000000001"/>
    <n v="0"/>
    <n v="97413.962760152048"/>
  </r>
  <r>
    <x v="31"/>
    <x v="4"/>
    <x v="24"/>
    <x v="0"/>
    <x v="1"/>
    <x v="141"/>
    <x v="25"/>
    <s v="NAKİT"/>
    <n v="7.9000000000000001E-2"/>
    <n v="640"/>
    <n v="0"/>
    <n v="0"/>
    <n v="7.9000000000000001E-2"/>
    <m/>
    <n v="640"/>
    <m/>
    <n v="50.56"/>
    <n v="0"/>
    <n v="97464.522760152046"/>
  </r>
  <r>
    <x v="31"/>
    <x v="4"/>
    <x v="27"/>
    <x v="0"/>
    <x v="1"/>
    <x v="142"/>
    <x v="25"/>
    <s v="NAKİT"/>
    <n v="0.1"/>
    <n v="300"/>
    <n v="0"/>
    <n v="0"/>
    <n v="0.1"/>
    <m/>
    <n v="300"/>
    <m/>
    <n v="30"/>
    <n v="0"/>
    <n v="97494.522760152046"/>
  </r>
  <r>
    <x v="31"/>
    <x v="4"/>
    <x v="18"/>
    <x v="0"/>
    <x v="1"/>
    <x v="143"/>
    <x v="25"/>
    <s v="NAKİT"/>
    <n v="1"/>
    <n v="240"/>
    <n v="0"/>
    <n v="0"/>
    <n v="1"/>
    <m/>
    <n v="240"/>
    <m/>
    <n v="240"/>
    <n v="0"/>
    <n v="97734.522760152046"/>
  </r>
  <r>
    <x v="32"/>
    <x v="3"/>
    <x v="190"/>
    <x v="0"/>
    <x v="7"/>
    <x v="144"/>
    <x v="48"/>
    <s v="CARİ"/>
    <n v="50"/>
    <n v="150"/>
    <n v="0"/>
    <n v="7500"/>
    <m/>
    <n v="50"/>
    <m/>
    <n v="150"/>
    <n v="0"/>
    <n v="0"/>
    <n v="97734.522760152046"/>
  </r>
  <r>
    <x v="32"/>
    <x v="3"/>
    <x v="191"/>
    <x v="0"/>
    <x v="7"/>
    <x v="144"/>
    <x v="48"/>
    <s v="CARİ"/>
    <n v="50"/>
    <n v="300"/>
    <n v="0"/>
    <n v="15000"/>
    <m/>
    <n v="50"/>
    <m/>
    <n v="300"/>
    <n v="0"/>
    <n v="0"/>
    <n v="97734.522760152046"/>
  </r>
  <r>
    <x v="32"/>
    <x v="3"/>
    <x v="192"/>
    <x v="0"/>
    <x v="2"/>
    <x v="145"/>
    <x v="47"/>
    <s v="K.K."/>
    <n v="2"/>
    <n v="225"/>
    <n v="0"/>
    <n v="450"/>
    <m/>
    <n v="2"/>
    <m/>
    <n v="225"/>
    <n v="0"/>
    <n v="0"/>
    <n v="97734.522760152046"/>
  </r>
  <r>
    <x v="32"/>
    <x v="3"/>
    <x v="193"/>
    <x v="0"/>
    <x v="2"/>
    <x v="146"/>
    <x v="47"/>
    <s v="K.K."/>
    <n v="2"/>
    <n v="145.32499999999999"/>
    <n v="0"/>
    <n v="290.64999999999998"/>
    <m/>
    <n v="2"/>
    <m/>
    <n v="145.32499999999999"/>
    <n v="0"/>
    <n v="0"/>
    <n v="97734.522760152046"/>
  </r>
  <r>
    <x v="32"/>
    <x v="3"/>
    <x v="194"/>
    <x v="0"/>
    <x v="2"/>
    <x v="146"/>
    <x v="47"/>
    <s v="K.K."/>
    <n v="2"/>
    <n v="179.35"/>
    <n v="0"/>
    <n v="358.7"/>
    <m/>
    <n v="2"/>
    <m/>
    <n v="179.35"/>
    <n v="0"/>
    <n v="0"/>
    <n v="97734.522760152046"/>
  </r>
  <r>
    <x v="32"/>
    <x v="3"/>
    <x v="195"/>
    <x v="0"/>
    <x v="2"/>
    <x v="146"/>
    <x v="47"/>
    <s v="K.K."/>
    <n v="2"/>
    <n v="145.32499999999999"/>
    <n v="0"/>
    <n v="290.64999999999998"/>
    <m/>
    <n v="2"/>
    <m/>
    <n v="145.32499999999999"/>
    <n v="0"/>
    <n v="0"/>
    <n v="97734.522760152046"/>
  </r>
  <r>
    <x v="32"/>
    <x v="4"/>
    <x v="20"/>
    <x v="0"/>
    <x v="1"/>
    <x v="147"/>
    <x v="25"/>
    <s v="NAKİT"/>
    <n v="1"/>
    <n v="200"/>
    <n v="0"/>
    <n v="0"/>
    <n v="1"/>
    <m/>
    <n v="200"/>
    <m/>
    <n v="200"/>
    <n v="0"/>
    <n v="97934.522760152046"/>
  </r>
  <r>
    <x v="32"/>
    <x v="4"/>
    <x v="57"/>
    <x v="0"/>
    <x v="1"/>
    <x v="147"/>
    <x v="25"/>
    <s v="NAKİT"/>
    <n v="1"/>
    <n v="130"/>
    <n v="0"/>
    <n v="0"/>
    <n v="1"/>
    <m/>
    <n v="130"/>
    <m/>
    <n v="130"/>
    <n v="0"/>
    <n v="98064.522760152046"/>
  </r>
  <r>
    <x v="32"/>
    <x v="4"/>
    <x v="21"/>
    <x v="0"/>
    <x v="5"/>
    <x v="148"/>
    <x v="25"/>
    <s v="POS"/>
    <n v="1"/>
    <n v="260"/>
    <n v="260"/>
    <n v="0"/>
    <n v="1"/>
    <m/>
    <n v="260"/>
    <m/>
    <n v="0"/>
    <n v="0"/>
    <n v="98064.522760152046"/>
  </r>
  <r>
    <x v="32"/>
    <x v="4"/>
    <x v="105"/>
    <x v="0"/>
    <x v="1"/>
    <x v="149"/>
    <x v="25"/>
    <s v="NAKİT"/>
    <n v="1"/>
    <n v="260"/>
    <n v="0"/>
    <n v="0"/>
    <n v="1"/>
    <m/>
    <n v="260"/>
    <m/>
    <n v="260"/>
    <n v="0"/>
    <n v="98324.522760152046"/>
  </r>
  <r>
    <x v="32"/>
    <x v="4"/>
    <x v="22"/>
    <x v="0"/>
    <x v="1"/>
    <x v="149"/>
    <x v="25"/>
    <s v="NAKİT"/>
    <n v="0.14000000000000001"/>
    <n v="360"/>
    <n v="0"/>
    <n v="0"/>
    <n v="0.14000000000000001"/>
    <m/>
    <n v="360"/>
    <m/>
    <n v="50.400000000000006"/>
    <n v="0"/>
    <n v="98374.92276015204"/>
  </r>
  <r>
    <x v="32"/>
    <x v="4"/>
    <x v="100"/>
    <x v="0"/>
    <x v="1"/>
    <x v="150"/>
    <x v="25"/>
    <s v="NAKİT"/>
    <n v="0.34"/>
    <n v="650"/>
    <n v="0"/>
    <n v="0"/>
    <n v="0.34"/>
    <m/>
    <n v="650"/>
    <m/>
    <n v="221.00000000000003"/>
    <n v="0"/>
    <n v="98595.92276015204"/>
  </r>
  <r>
    <x v="32"/>
    <x v="4"/>
    <x v="18"/>
    <x v="0"/>
    <x v="5"/>
    <x v="151"/>
    <x v="25"/>
    <s v="POS"/>
    <n v="2"/>
    <n v="240"/>
    <n v="480"/>
    <n v="0"/>
    <n v="2"/>
    <m/>
    <n v="240"/>
    <m/>
    <n v="0"/>
    <n v="0"/>
    <n v="98595.92276015204"/>
  </r>
  <r>
    <x v="32"/>
    <x v="4"/>
    <x v="116"/>
    <x v="0"/>
    <x v="5"/>
    <x v="151"/>
    <x v="25"/>
    <s v="POS"/>
    <n v="0.41"/>
    <n v="350"/>
    <n v="143.5"/>
    <n v="0"/>
    <n v="0.41"/>
    <m/>
    <n v="350"/>
    <m/>
    <n v="0"/>
    <n v="0"/>
    <n v="98595.92276015204"/>
  </r>
  <r>
    <x v="32"/>
    <x v="4"/>
    <x v="72"/>
    <x v="0"/>
    <x v="5"/>
    <x v="151"/>
    <x v="25"/>
    <s v="POS"/>
    <n v="4.3999999999999997E-2"/>
    <n v="1400"/>
    <n v="61.599999999999994"/>
    <n v="0"/>
    <n v="4.3999999999999997E-2"/>
    <m/>
    <n v="1400"/>
    <m/>
    <n v="0"/>
    <n v="0"/>
    <n v="98595.92276015204"/>
  </r>
  <r>
    <x v="32"/>
    <x v="4"/>
    <x v="142"/>
    <x v="0"/>
    <x v="5"/>
    <x v="151"/>
    <x v="25"/>
    <s v="POS"/>
    <n v="0.51800000000000002"/>
    <n v="250"/>
    <n v="129.5"/>
    <n v="0"/>
    <n v="0.51800000000000002"/>
    <m/>
    <n v="250"/>
    <m/>
    <n v="0"/>
    <n v="0"/>
    <n v="98595.92276015204"/>
  </r>
  <r>
    <x v="32"/>
    <x v="4"/>
    <x v="83"/>
    <x v="0"/>
    <x v="5"/>
    <x v="151"/>
    <x v="25"/>
    <s v="POS"/>
    <n v="0.05"/>
    <n v="2600"/>
    <n v="130"/>
    <n v="0"/>
    <n v="1"/>
    <m/>
    <n v="130"/>
    <m/>
    <n v="0"/>
    <n v="0"/>
    <n v="98595.92276015204"/>
  </r>
  <r>
    <x v="32"/>
    <x v="4"/>
    <x v="56"/>
    <x v="0"/>
    <x v="1"/>
    <x v="152"/>
    <x v="25"/>
    <s v="NAKİT"/>
    <n v="0.27800000000000002"/>
    <n v="180"/>
    <n v="0"/>
    <n v="0"/>
    <n v="0.27800000000000002"/>
    <m/>
    <n v="180"/>
    <m/>
    <n v="50.040000000000006"/>
    <n v="0"/>
    <n v="98645.962760152033"/>
  </r>
  <r>
    <x v="32"/>
    <x v="4"/>
    <x v="79"/>
    <x v="0"/>
    <x v="5"/>
    <x v="152"/>
    <x v="25"/>
    <s v="POS"/>
    <n v="1"/>
    <n v="250"/>
    <n v="250"/>
    <n v="0"/>
    <n v="1"/>
    <m/>
    <n v="250"/>
    <m/>
    <n v="0"/>
    <n v="0"/>
    <n v="98645.962760152033"/>
  </r>
  <r>
    <x v="32"/>
    <x v="4"/>
    <x v="121"/>
    <x v="0"/>
    <x v="5"/>
    <x v="153"/>
    <x v="25"/>
    <s v="POS"/>
    <n v="0.13400000000000001"/>
    <n v="1250"/>
    <n v="167.5"/>
    <n v="0"/>
    <n v="0.13400000000000001"/>
    <m/>
    <n v="1250"/>
    <m/>
    <n v="0"/>
    <n v="0"/>
    <n v="98645.962760152033"/>
  </r>
  <r>
    <x v="32"/>
    <x v="4"/>
    <x v="122"/>
    <x v="0"/>
    <x v="5"/>
    <x v="153"/>
    <x v="25"/>
    <s v="POS"/>
    <n v="0.08"/>
    <n v="1150"/>
    <n v="92"/>
    <n v="0"/>
    <n v="0.08"/>
    <m/>
    <n v="1150"/>
    <m/>
    <n v="0"/>
    <n v="0"/>
    <n v="98645.962760152033"/>
  </r>
  <r>
    <x v="32"/>
    <x v="4"/>
    <x v="119"/>
    <x v="0"/>
    <x v="5"/>
    <x v="153"/>
    <x v="25"/>
    <s v="POS"/>
    <n v="8.2000000000000003E-2"/>
    <n v="650"/>
    <n v="53.300000000000004"/>
    <n v="0"/>
    <n v="8.2000000000000003E-2"/>
    <m/>
    <n v="650"/>
    <m/>
    <n v="0"/>
    <n v="0"/>
    <n v="98645.962760152033"/>
  </r>
  <r>
    <x v="32"/>
    <x v="4"/>
    <x v="191"/>
    <x v="0"/>
    <x v="1"/>
    <x v="154"/>
    <x v="25"/>
    <s v="NAKİT"/>
    <n v="2"/>
    <n v="600"/>
    <n v="0"/>
    <n v="0"/>
    <n v="2"/>
    <m/>
    <n v="600"/>
    <m/>
    <n v="1200"/>
    <n v="0"/>
    <n v="99845.962760152033"/>
  </r>
  <r>
    <x v="32"/>
    <x v="4"/>
    <x v="33"/>
    <x v="0"/>
    <x v="1"/>
    <x v="155"/>
    <x v="25"/>
    <s v="NAKİT"/>
    <n v="1"/>
    <n v="380"/>
    <n v="0"/>
    <n v="0"/>
    <n v="1"/>
    <m/>
    <n v="380"/>
    <m/>
    <n v="380"/>
    <n v="0"/>
    <n v="100225.96276015203"/>
  </r>
  <r>
    <x v="32"/>
    <x v="4"/>
    <x v="97"/>
    <x v="0"/>
    <x v="1"/>
    <x v="155"/>
    <x v="25"/>
    <s v="NAKİT"/>
    <n v="0.2"/>
    <n v="600"/>
    <n v="0"/>
    <n v="0"/>
    <n v="0.2"/>
    <m/>
    <n v="600"/>
    <m/>
    <n v="120"/>
    <n v="0"/>
    <n v="100345.96276015203"/>
  </r>
  <r>
    <x v="32"/>
    <x v="4"/>
    <x v="85"/>
    <x v="0"/>
    <x v="1"/>
    <x v="156"/>
    <x v="25"/>
    <s v="NAKİT"/>
    <n v="1"/>
    <n v="300"/>
    <n v="0"/>
    <n v="0"/>
    <n v="1"/>
    <m/>
    <n v="300"/>
    <m/>
    <n v="300"/>
    <n v="0"/>
    <n v="100645.96276015203"/>
  </r>
  <r>
    <x v="32"/>
    <x v="7"/>
    <x v="0"/>
    <x v="0"/>
    <x v="4"/>
    <x v="2"/>
    <x v="39"/>
    <s v="NAKİT"/>
    <n v="1"/>
    <n v="0"/>
    <n v="10000"/>
    <n v="0"/>
    <m/>
    <m/>
    <m/>
    <m/>
    <n v="0"/>
    <n v="10000"/>
    <n v="90645.962760152033"/>
  </r>
  <r>
    <x v="33"/>
    <x v="3"/>
    <x v="196"/>
    <x v="0"/>
    <x v="4"/>
    <x v="157"/>
    <x v="32"/>
    <s v="CARİ"/>
    <n v="20"/>
    <n v="235"/>
    <n v="0"/>
    <n v="4700"/>
    <m/>
    <n v="20"/>
    <m/>
    <n v="235"/>
    <n v="0"/>
    <n v="0"/>
    <n v="90645.962760152033"/>
  </r>
  <r>
    <x v="33"/>
    <x v="3"/>
    <x v="197"/>
    <x v="0"/>
    <x v="4"/>
    <x v="157"/>
    <x v="32"/>
    <s v="CARİ"/>
    <n v="19.350000000000001"/>
    <n v="93.023255813953483"/>
    <n v="0"/>
    <n v="1800"/>
    <m/>
    <n v="19.350000000000001"/>
    <m/>
    <n v="93.023255813953483"/>
    <n v="0"/>
    <n v="0"/>
    <n v="90645.962760152033"/>
  </r>
  <r>
    <x v="33"/>
    <x v="3"/>
    <x v="198"/>
    <x v="0"/>
    <x v="4"/>
    <x v="157"/>
    <x v="32"/>
    <s v="CARİ"/>
    <n v="19.350000000000001"/>
    <n v="93.02"/>
    <n v="0"/>
    <n v="1799.9370000000001"/>
    <m/>
    <n v="19.350000000000001"/>
    <m/>
    <n v="93.02"/>
    <n v="0"/>
    <n v="0"/>
    <n v="90645.962760152033"/>
  </r>
  <r>
    <x v="33"/>
    <x v="3"/>
    <x v="199"/>
    <x v="0"/>
    <x v="4"/>
    <x v="157"/>
    <x v="32"/>
    <s v="CARİ"/>
    <n v="19.350000000000001"/>
    <n v="64.599999999999994"/>
    <n v="0"/>
    <n v="1250.01"/>
    <m/>
    <n v="19.350000000000001"/>
    <m/>
    <n v="64.599999999999994"/>
    <n v="0"/>
    <n v="0"/>
    <n v="90645.962760152033"/>
  </r>
  <r>
    <x v="33"/>
    <x v="3"/>
    <x v="200"/>
    <x v="0"/>
    <x v="4"/>
    <x v="157"/>
    <x v="32"/>
    <s v="CARİ"/>
    <n v="12"/>
    <n v="18.332999999999998"/>
    <n v="0"/>
    <n v="219.99599999999998"/>
    <m/>
    <n v="2"/>
    <m/>
    <n v="110"/>
    <n v="0"/>
    <n v="0"/>
    <n v="90645.962760152033"/>
  </r>
  <r>
    <x v="33"/>
    <x v="3"/>
    <x v="201"/>
    <x v="0"/>
    <x v="4"/>
    <x v="157"/>
    <x v="32"/>
    <s v="CARİ"/>
    <n v="6"/>
    <n v="18.332999999999998"/>
    <n v="0"/>
    <n v="109.99799999999999"/>
    <m/>
    <n v="1"/>
    <m/>
    <n v="110"/>
    <n v="0"/>
    <n v="0"/>
    <n v="90645.962760152033"/>
  </r>
  <r>
    <x v="33"/>
    <x v="3"/>
    <x v="202"/>
    <x v="0"/>
    <x v="4"/>
    <x v="157"/>
    <x v="32"/>
    <s v="CARİ"/>
    <n v="12"/>
    <n v="18.332999999999998"/>
    <n v="0"/>
    <n v="219.99599999999998"/>
    <m/>
    <n v="2"/>
    <m/>
    <n v="110"/>
    <n v="0"/>
    <n v="0"/>
    <n v="90645.962760152033"/>
  </r>
  <r>
    <x v="33"/>
    <x v="3"/>
    <x v="203"/>
    <x v="0"/>
    <x v="4"/>
    <x v="157"/>
    <x v="32"/>
    <s v="CARİ"/>
    <n v="6"/>
    <n v="18.332999999999998"/>
    <n v="0"/>
    <n v="109.99799999999999"/>
    <m/>
    <n v="1"/>
    <m/>
    <n v="110"/>
    <n v="0"/>
    <n v="0"/>
    <n v="90645.962760152033"/>
  </r>
  <r>
    <x v="33"/>
    <x v="3"/>
    <x v="204"/>
    <x v="0"/>
    <x v="4"/>
    <x v="157"/>
    <x v="32"/>
    <s v="CARİ"/>
    <n v="1"/>
    <n v="395"/>
    <n v="0"/>
    <n v="395"/>
    <m/>
    <n v="1"/>
    <m/>
    <n v="395"/>
    <n v="0"/>
    <n v="0"/>
    <n v="90645.962760152033"/>
  </r>
  <r>
    <x v="33"/>
    <x v="3"/>
    <x v="205"/>
    <x v="0"/>
    <x v="4"/>
    <x v="157"/>
    <x v="32"/>
    <s v="CARİ"/>
    <n v="5"/>
    <n v="52"/>
    <n v="0"/>
    <n v="260"/>
    <m/>
    <n v="5"/>
    <m/>
    <n v="52"/>
    <n v="0"/>
    <n v="0"/>
    <n v="90645.962760152033"/>
  </r>
  <r>
    <x v="33"/>
    <x v="3"/>
    <x v="206"/>
    <x v="0"/>
    <x v="4"/>
    <x v="157"/>
    <x v="32"/>
    <s v="CARİ"/>
    <n v="20"/>
    <n v="235"/>
    <n v="0"/>
    <n v="4700"/>
    <m/>
    <n v="20"/>
    <m/>
    <n v="235"/>
    <n v="0"/>
    <n v="0"/>
    <n v="90645.962760152033"/>
  </r>
  <r>
    <x v="33"/>
    <x v="3"/>
    <x v="207"/>
    <x v="0"/>
    <x v="2"/>
    <x v="158"/>
    <x v="49"/>
    <s v="K.K."/>
    <n v="2"/>
    <n v="346.16500000000002"/>
    <n v="0"/>
    <n v="692.33"/>
    <m/>
    <n v="2"/>
    <m/>
    <n v="346.16500000000002"/>
    <n v="0"/>
    <n v="0"/>
    <n v="90645.962760152033"/>
  </r>
  <r>
    <x v="33"/>
    <x v="3"/>
    <x v="207"/>
    <x v="0"/>
    <x v="2"/>
    <x v="159"/>
    <x v="49"/>
    <s v="K.K."/>
    <n v="2"/>
    <n v="346.16500000000002"/>
    <n v="0"/>
    <n v="692.33"/>
    <m/>
    <n v="2"/>
    <m/>
    <n v="346.16500000000002"/>
    <n v="0"/>
    <n v="0"/>
    <n v="90645.962760152033"/>
  </r>
  <r>
    <x v="33"/>
    <x v="3"/>
    <x v="207"/>
    <x v="0"/>
    <x v="2"/>
    <x v="160"/>
    <x v="49"/>
    <s v="K.K."/>
    <n v="2"/>
    <n v="346.16500000000002"/>
    <n v="0"/>
    <n v="692.33"/>
    <m/>
    <n v="2"/>
    <m/>
    <n v="346.16500000000002"/>
    <n v="0"/>
    <n v="0"/>
    <n v="90645.962760152033"/>
  </r>
  <r>
    <x v="33"/>
    <x v="4"/>
    <x v="85"/>
    <x v="0"/>
    <x v="1"/>
    <x v="161"/>
    <x v="25"/>
    <s v="NAKİT"/>
    <n v="0.67"/>
    <n v="300"/>
    <n v="0"/>
    <n v="0"/>
    <n v="0.67"/>
    <m/>
    <n v="300"/>
    <m/>
    <n v="201"/>
    <n v="0"/>
    <n v="90846.962760152033"/>
  </r>
  <r>
    <x v="33"/>
    <x v="4"/>
    <x v="88"/>
    <x v="0"/>
    <x v="1"/>
    <x v="161"/>
    <x v="25"/>
    <s v="NAKİT"/>
    <n v="4.5449999999999997E-2"/>
    <n v="1100"/>
    <n v="0"/>
    <n v="0"/>
    <n v="1"/>
    <m/>
    <n v="50"/>
    <m/>
    <n v="49.994999999999997"/>
    <n v="0"/>
    <n v="90896.957760152029"/>
  </r>
  <r>
    <x v="33"/>
    <x v="4"/>
    <x v="24"/>
    <x v="0"/>
    <x v="1"/>
    <x v="162"/>
    <x v="25"/>
    <s v="NAKİT"/>
    <n v="0.2"/>
    <n v="640"/>
    <n v="0"/>
    <n v="0"/>
    <n v="0.2"/>
    <m/>
    <n v="640"/>
    <m/>
    <n v="128"/>
    <n v="0"/>
    <n v="91024.957760152029"/>
  </r>
  <r>
    <x v="33"/>
    <x v="4"/>
    <x v="59"/>
    <x v="0"/>
    <x v="1"/>
    <x v="162"/>
    <x v="25"/>
    <s v="NAKİT"/>
    <n v="0.2"/>
    <n v="420"/>
    <n v="0"/>
    <n v="0"/>
    <n v="0.2"/>
    <m/>
    <n v="420"/>
    <m/>
    <n v="84"/>
    <n v="0"/>
    <n v="91108.957760152029"/>
  </r>
  <r>
    <x v="33"/>
    <x v="4"/>
    <x v="23"/>
    <x v="0"/>
    <x v="1"/>
    <x v="163"/>
    <x v="25"/>
    <s v="NAKİT"/>
    <n v="8.7999999999999995E-2"/>
    <n v="250"/>
    <n v="0"/>
    <n v="0"/>
    <n v="8.7999999999999995E-2"/>
    <m/>
    <n v="250"/>
    <m/>
    <n v="22"/>
    <n v="0"/>
    <n v="91130.957760152029"/>
  </r>
  <r>
    <x v="33"/>
    <x v="4"/>
    <x v="27"/>
    <x v="0"/>
    <x v="1"/>
    <x v="163"/>
    <x v="25"/>
    <s v="NAKİT"/>
    <n v="4.3400000000000001E-2"/>
    <n v="300"/>
    <n v="0"/>
    <n v="0"/>
    <n v="4.3400000000000001E-2"/>
    <m/>
    <n v="300"/>
    <m/>
    <n v="13.02"/>
    <n v="0"/>
    <n v="91143.977760152033"/>
  </r>
  <r>
    <x v="33"/>
    <x v="4"/>
    <x v="29"/>
    <x v="0"/>
    <x v="1"/>
    <x v="163"/>
    <x v="25"/>
    <s v="NAKİT"/>
    <n v="0.04"/>
    <n v="760"/>
    <n v="0"/>
    <n v="0"/>
    <n v="0.04"/>
    <m/>
    <n v="760"/>
    <m/>
    <n v="30.400000000000002"/>
    <n v="0"/>
    <n v="91174.377760152027"/>
  </r>
  <r>
    <x v="33"/>
    <x v="4"/>
    <x v="45"/>
    <x v="0"/>
    <x v="1"/>
    <x v="163"/>
    <x v="25"/>
    <s v="NAKİT"/>
    <n v="1"/>
    <n v="65"/>
    <n v="0"/>
    <n v="0"/>
    <n v="1"/>
    <m/>
    <n v="65"/>
    <m/>
    <n v="65"/>
    <n v="0"/>
    <n v="91239.377760152027"/>
  </r>
  <r>
    <x v="33"/>
    <x v="4"/>
    <x v="50"/>
    <x v="0"/>
    <x v="1"/>
    <x v="164"/>
    <x v="25"/>
    <s v="NAKİT"/>
    <n v="0.1"/>
    <n v="650"/>
    <n v="0"/>
    <n v="0"/>
    <n v="1"/>
    <m/>
    <n v="65"/>
    <m/>
    <n v="65"/>
    <n v="0"/>
    <n v="91304.377760152027"/>
  </r>
  <r>
    <x v="33"/>
    <x v="4"/>
    <x v="55"/>
    <x v="0"/>
    <x v="5"/>
    <x v="165"/>
    <x v="25"/>
    <s v="POS"/>
    <n v="1.1120000000000001"/>
    <n v="180"/>
    <n v="200.16000000000003"/>
    <n v="0"/>
    <n v="1.1120000000000001"/>
    <m/>
    <n v="180"/>
    <m/>
    <n v="0"/>
    <n v="0"/>
    <n v="91304.377760152027"/>
  </r>
  <r>
    <x v="33"/>
    <x v="4"/>
    <x v="100"/>
    <x v="0"/>
    <x v="5"/>
    <x v="165"/>
    <x v="25"/>
    <s v="POS"/>
    <n v="0.309"/>
    <n v="650"/>
    <n v="200.85"/>
    <n v="0"/>
    <n v="0.309"/>
    <m/>
    <n v="650"/>
    <m/>
    <n v="0"/>
    <n v="0"/>
    <n v="91304.377760152027"/>
  </r>
  <r>
    <x v="33"/>
    <x v="4"/>
    <x v="55"/>
    <x v="0"/>
    <x v="1"/>
    <x v="166"/>
    <x v="25"/>
    <s v="NAKİT"/>
    <n v="1.1120000000000001"/>
    <n v="180"/>
    <n v="0"/>
    <n v="0"/>
    <n v="1.1120000000000001"/>
    <m/>
    <n v="180"/>
    <m/>
    <n v="200.16000000000003"/>
    <n v="0"/>
    <n v="91504.53776015203"/>
  </r>
  <r>
    <x v="33"/>
    <x v="4"/>
    <x v="46"/>
    <x v="0"/>
    <x v="1"/>
    <x v="167"/>
    <x v="25"/>
    <s v="NAKİT"/>
    <n v="2.5000000000000001E-2"/>
    <n v="2000"/>
    <n v="0"/>
    <n v="0"/>
    <n v="1"/>
    <m/>
    <n v="50"/>
    <m/>
    <n v="50"/>
    <n v="0"/>
    <n v="91554.53776015203"/>
  </r>
  <r>
    <x v="33"/>
    <x v="4"/>
    <x v="18"/>
    <x v="0"/>
    <x v="1"/>
    <x v="168"/>
    <x v="25"/>
    <s v="NAKİT"/>
    <n v="1"/>
    <n v="240"/>
    <n v="0"/>
    <n v="0"/>
    <n v="1"/>
    <m/>
    <n v="240"/>
    <m/>
    <n v="240"/>
    <n v="0"/>
    <n v="91794.53776015203"/>
  </r>
  <r>
    <x v="33"/>
    <x v="4"/>
    <x v="163"/>
    <x v="0"/>
    <x v="1"/>
    <x v="169"/>
    <x v="25"/>
    <s v="NAKİT"/>
    <n v="1"/>
    <n v="40"/>
    <n v="0"/>
    <n v="0"/>
    <n v="1"/>
    <m/>
    <n v="40"/>
    <m/>
    <n v="40"/>
    <n v="0"/>
    <n v="91834.53776015203"/>
  </r>
  <r>
    <x v="33"/>
    <x v="4"/>
    <x v="85"/>
    <x v="0"/>
    <x v="1"/>
    <x v="170"/>
    <x v="25"/>
    <s v="NAKİT"/>
    <n v="1"/>
    <n v="300"/>
    <n v="0"/>
    <n v="0"/>
    <n v="1"/>
    <m/>
    <n v="300"/>
    <m/>
    <n v="300"/>
    <n v="0"/>
    <n v="92134.53776015203"/>
  </r>
  <r>
    <x v="33"/>
    <x v="4"/>
    <x v="55"/>
    <x v="0"/>
    <x v="1"/>
    <x v="170"/>
    <x v="25"/>
    <s v="NAKİT"/>
    <n v="1"/>
    <n v="180"/>
    <n v="0"/>
    <n v="0"/>
    <n v="1"/>
    <m/>
    <n v="180"/>
    <m/>
    <n v="180"/>
    <n v="0"/>
    <n v="92314.53776015203"/>
  </r>
  <r>
    <x v="33"/>
    <x v="4"/>
    <x v="56"/>
    <x v="0"/>
    <x v="1"/>
    <x v="170"/>
    <x v="25"/>
    <s v="NAKİT"/>
    <n v="1"/>
    <n v="180"/>
    <n v="0"/>
    <n v="0"/>
    <n v="1"/>
    <m/>
    <n v="180"/>
    <m/>
    <n v="180"/>
    <n v="0"/>
    <n v="92494.53776015203"/>
  </r>
  <r>
    <x v="33"/>
    <x v="4"/>
    <x v="57"/>
    <x v="0"/>
    <x v="1"/>
    <x v="170"/>
    <x v="25"/>
    <s v="NAKİT"/>
    <n v="1.032"/>
    <n v="130"/>
    <n v="0"/>
    <n v="0"/>
    <n v="1.032"/>
    <m/>
    <n v="130"/>
    <m/>
    <n v="134.16"/>
    <n v="0"/>
    <n v="92628.697760152034"/>
  </r>
  <r>
    <x v="33"/>
    <x v="4"/>
    <x v="93"/>
    <x v="0"/>
    <x v="1"/>
    <x v="170"/>
    <x v="25"/>
    <s v="NAKİT"/>
    <n v="1"/>
    <n v="295"/>
    <n v="0"/>
    <n v="0"/>
    <n v="1"/>
    <m/>
    <n v="295"/>
    <m/>
    <n v="295"/>
    <n v="0"/>
    <n v="92923.697760152034"/>
  </r>
  <r>
    <x v="33"/>
    <x v="4"/>
    <x v="9"/>
    <x v="0"/>
    <x v="1"/>
    <x v="170"/>
    <x v="25"/>
    <s v="NAKİT"/>
    <n v="1"/>
    <n v="160"/>
    <n v="0"/>
    <n v="0"/>
    <n v="1"/>
    <m/>
    <n v="160"/>
    <m/>
    <n v="160"/>
    <n v="0"/>
    <n v="93083.697760152034"/>
  </r>
  <r>
    <x v="33"/>
    <x v="4"/>
    <x v="127"/>
    <x v="0"/>
    <x v="1"/>
    <x v="170"/>
    <x v="25"/>
    <s v="NAKİT"/>
    <n v="0.76800000000000002"/>
    <n v="670"/>
    <n v="0"/>
    <n v="0"/>
    <n v="0.76800000000000002"/>
    <m/>
    <n v="670"/>
    <m/>
    <n v="514.56000000000006"/>
    <n v="0"/>
    <n v="93598.257760152032"/>
  </r>
  <r>
    <x v="33"/>
    <x v="4"/>
    <x v="71"/>
    <x v="0"/>
    <x v="1"/>
    <x v="170"/>
    <x v="25"/>
    <s v="NAKİT"/>
    <n v="0.51"/>
    <n v="180"/>
    <n v="0"/>
    <n v="0"/>
    <n v="0.51"/>
    <m/>
    <n v="180"/>
    <m/>
    <n v="91.8"/>
    <n v="0"/>
    <n v="93690.057760152034"/>
  </r>
  <r>
    <x v="33"/>
    <x v="4"/>
    <x v="100"/>
    <x v="0"/>
    <x v="1"/>
    <x v="170"/>
    <x v="25"/>
    <s v="NAKİT"/>
    <n v="0.57799999999999996"/>
    <n v="650"/>
    <n v="0"/>
    <n v="0"/>
    <n v="0.57799999999999996"/>
    <m/>
    <n v="650"/>
    <m/>
    <n v="375.7"/>
    <n v="0"/>
    <n v="94065.757760152032"/>
  </r>
  <r>
    <x v="33"/>
    <x v="4"/>
    <x v="50"/>
    <x v="0"/>
    <x v="1"/>
    <x v="170"/>
    <x v="25"/>
    <s v="NAKİT"/>
    <n v="0.1"/>
    <n v="650"/>
    <n v="0"/>
    <n v="0"/>
    <n v="1"/>
    <m/>
    <n v="65"/>
    <m/>
    <n v="65"/>
    <n v="0"/>
    <n v="94130.757760152032"/>
  </r>
  <r>
    <x v="33"/>
    <x v="4"/>
    <x v="12"/>
    <x v="0"/>
    <x v="1"/>
    <x v="170"/>
    <x v="25"/>
    <s v="NAKİT"/>
    <n v="1"/>
    <n v="220"/>
    <n v="0"/>
    <n v="0"/>
    <n v="1"/>
    <m/>
    <n v="220"/>
    <m/>
    <n v="220"/>
    <n v="0"/>
    <n v="94350.757760152032"/>
  </r>
  <r>
    <x v="33"/>
    <x v="4"/>
    <x v="117"/>
    <x v="0"/>
    <x v="1"/>
    <x v="170"/>
    <x v="25"/>
    <s v="NAKİT"/>
    <n v="0.51800000000000002"/>
    <n v="350"/>
    <n v="0"/>
    <n v="0"/>
    <n v="0.51800000000000002"/>
    <m/>
    <n v="350"/>
    <m/>
    <n v="181.3"/>
    <n v="0"/>
    <n v="94532.057760152034"/>
  </r>
  <r>
    <x v="33"/>
    <x v="4"/>
    <x v="142"/>
    <x v="0"/>
    <x v="1"/>
    <x v="170"/>
    <x v="25"/>
    <s v="NAKİT"/>
    <n v="0.55800000000000005"/>
    <n v="250"/>
    <n v="0"/>
    <n v="0"/>
    <n v="0.55800000000000005"/>
    <m/>
    <n v="250"/>
    <m/>
    <n v="139.5"/>
    <n v="0"/>
    <n v="94671.557760152034"/>
  </r>
  <r>
    <x v="33"/>
    <x v="4"/>
    <x v="129"/>
    <x v="0"/>
    <x v="1"/>
    <x v="170"/>
    <x v="25"/>
    <s v="NAKİT"/>
    <n v="0.51200000000000001"/>
    <n v="230"/>
    <n v="0"/>
    <n v="0"/>
    <n v="0.51200000000000001"/>
    <m/>
    <n v="230"/>
    <m/>
    <n v="117.76"/>
    <n v="0"/>
    <n v="94789.317760152029"/>
  </r>
  <r>
    <x v="33"/>
    <x v="4"/>
    <x v="18"/>
    <x v="0"/>
    <x v="5"/>
    <x v="171"/>
    <x v="25"/>
    <s v="POS"/>
    <n v="1"/>
    <n v="240"/>
    <n v="240"/>
    <n v="0"/>
    <n v="1"/>
    <m/>
    <n v="240"/>
    <m/>
    <n v="0"/>
    <n v="0"/>
    <n v="94789.317760152029"/>
  </r>
  <r>
    <x v="33"/>
    <x v="4"/>
    <x v="20"/>
    <x v="0"/>
    <x v="5"/>
    <x v="171"/>
    <x v="25"/>
    <s v="POS"/>
    <n v="1"/>
    <n v="200"/>
    <n v="200"/>
    <n v="0"/>
    <n v="1"/>
    <m/>
    <n v="200"/>
    <m/>
    <n v="0"/>
    <n v="0"/>
    <n v="94789.317760152029"/>
  </r>
  <r>
    <x v="33"/>
    <x v="4"/>
    <x v="18"/>
    <x v="0"/>
    <x v="5"/>
    <x v="172"/>
    <x v="25"/>
    <s v="POS"/>
    <n v="2"/>
    <n v="240"/>
    <n v="480"/>
    <n v="0"/>
    <n v="2"/>
    <m/>
    <n v="240"/>
    <m/>
    <n v="0"/>
    <n v="0"/>
    <n v="94789.317760152029"/>
  </r>
  <r>
    <x v="33"/>
    <x v="4"/>
    <x v="20"/>
    <x v="0"/>
    <x v="5"/>
    <x v="172"/>
    <x v="25"/>
    <s v="POS"/>
    <n v="2"/>
    <n v="200"/>
    <n v="400"/>
    <n v="0"/>
    <n v="2"/>
    <m/>
    <n v="200"/>
    <m/>
    <n v="0"/>
    <n v="0"/>
    <n v="94789.317760152029"/>
  </r>
  <r>
    <x v="33"/>
    <x v="4"/>
    <x v="5"/>
    <x v="0"/>
    <x v="1"/>
    <x v="173"/>
    <x v="25"/>
    <s v="NAKİT"/>
    <n v="2"/>
    <n v="270"/>
    <n v="0"/>
    <n v="0"/>
    <n v="2"/>
    <m/>
    <n v="270"/>
    <m/>
    <n v="540"/>
    <n v="0"/>
    <n v="95329.317760152029"/>
  </r>
  <r>
    <x v="33"/>
    <x v="4"/>
    <x v="116"/>
    <x v="0"/>
    <x v="1"/>
    <x v="173"/>
    <x v="25"/>
    <s v="NAKİT"/>
    <n v="0.36599999999999999"/>
    <n v="350"/>
    <n v="0"/>
    <n v="0"/>
    <n v="0.36599999999999999"/>
    <m/>
    <n v="350"/>
    <m/>
    <n v="128.1"/>
    <n v="0"/>
    <n v="95457.417760152035"/>
  </r>
  <r>
    <x v="33"/>
    <x v="4"/>
    <x v="97"/>
    <x v="0"/>
    <x v="1"/>
    <x v="173"/>
    <x v="25"/>
    <s v="NAKİT"/>
    <n v="0.34399999999999997"/>
    <n v="600"/>
    <n v="0"/>
    <n v="0"/>
    <n v="0.34399999999999997"/>
    <m/>
    <n v="600"/>
    <m/>
    <n v="206.39999999999998"/>
    <n v="0"/>
    <n v="95663.817760152029"/>
  </r>
  <r>
    <x v="33"/>
    <x v="4"/>
    <x v="88"/>
    <x v="0"/>
    <x v="1"/>
    <x v="173"/>
    <x v="25"/>
    <s v="NAKİT"/>
    <n v="5.4550000000000001E-2"/>
    <n v="1100"/>
    <n v="0"/>
    <n v="0"/>
    <n v="1"/>
    <m/>
    <n v="60"/>
    <m/>
    <n v="60.005000000000003"/>
    <n v="0"/>
    <n v="95723.822760152034"/>
  </r>
  <r>
    <x v="33"/>
    <x v="4"/>
    <x v="38"/>
    <x v="0"/>
    <x v="1"/>
    <x v="173"/>
    <x v="25"/>
    <s v="NAKİT"/>
    <n v="0.1"/>
    <n v="650"/>
    <n v="0"/>
    <n v="0"/>
    <n v="1"/>
    <m/>
    <n v="65"/>
    <m/>
    <n v="65"/>
    <n v="0"/>
    <n v="95788.822760152034"/>
  </r>
  <r>
    <x v="33"/>
    <x v="4"/>
    <x v="43"/>
    <x v="0"/>
    <x v="1"/>
    <x v="173"/>
    <x v="25"/>
    <s v="NAKİT"/>
    <n v="1"/>
    <n v="65"/>
    <n v="0"/>
    <n v="0"/>
    <n v="1"/>
    <m/>
    <n v="65"/>
    <m/>
    <n v="65"/>
    <n v="0"/>
    <n v="95853.822760152034"/>
  </r>
  <r>
    <x v="33"/>
    <x v="4"/>
    <x v="100"/>
    <x v="0"/>
    <x v="1"/>
    <x v="173"/>
    <x v="25"/>
    <s v="NAKİT"/>
    <n v="0.32600000000000001"/>
    <n v="650"/>
    <n v="0"/>
    <n v="0"/>
    <n v="0.32600000000000001"/>
    <m/>
    <n v="650"/>
    <m/>
    <n v="211.9"/>
    <n v="0"/>
    <n v="96065.722760152028"/>
  </r>
  <r>
    <x v="33"/>
    <x v="4"/>
    <x v="141"/>
    <x v="0"/>
    <x v="1"/>
    <x v="173"/>
    <x v="25"/>
    <s v="NAKİT"/>
    <n v="1"/>
    <n v="140"/>
    <n v="0"/>
    <n v="0"/>
    <n v="1"/>
    <m/>
    <n v="140"/>
    <m/>
    <n v="140"/>
    <n v="0"/>
    <n v="96205.722760152028"/>
  </r>
  <r>
    <x v="33"/>
    <x v="4"/>
    <x v="121"/>
    <x v="0"/>
    <x v="1"/>
    <x v="173"/>
    <x v="25"/>
    <s v="NAKİT"/>
    <n v="0.16400000000000001"/>
    <n v="1250"/>
    <n v="0"/>
    <n v="0"/>
    <n v="0.16400000000000001"/>
    <m/>
    <n v="1250"/>
    <m/>
    <n v="205"/>
    <n v="0"/>
    <n v="96410.722760152028"/>
  </r>
  <r>
    <x v="33"/>
    <x v="4"/>
    <x v="18"/>
    <x v="0"/>
    <x v="1"/>
    <x v="174"/>
    <x v="25"/>
    <s v="NAKİT"/>
    <n v="1"/>
    <n v="240"/>
    <n v="0"/>
    <n v="0"/>
    <n v="1"/>
    <m/>
    <n v="240"/>
    <m/>
    <n v="240"/>
    <n v="0"/>
    <n v="96650.722760152028"/>
  </r>
  <r>
    <x v="33"/>
    <x v="4"/>
    <x v="198"/>
    <x v="0"/>
    <x v="1"/>
    <x v="175"/>
    <x v="35"/>
    <s v="NAKİT"/>
    <n v="19.350000000000001"/>
    <n v="125"/>
    <n v="0"/>
    <n v="0"/>
    <n v="20"/>
    <m/>
    <n v="125"/>
    <m/>
    <n v="2418.75"/>
    <n v="0"/>
    <n v="99069.472760152028"/>
  </r>
  <r>
    <x v="33"/>
    <x v="4"/>
    <x v="199"/>
    <x v="0"/>
    <x v="1"/>
    <x v="175"/>
    <x v="35"/>
    <s v="NAKİT"/>
    <n v="19.350000000000001"/>
    <n v="85"/>
    <n v="0"/>
    <n v="0"/>
    <n v="20"/>
    <m/>
    <n v="85"/>
    <m/>
    <n v="1644.7500000000002"/>
    <n v="0"/>
    <n v="100714.22276015203"/>
  </r>
  <r>
    <x v="33"/>
    <x v="4"/>
    <x v="52"/>
    <x v="0"/>
    <x v="1"/>
    <x v="175"/>
    <x v="35"/>
    <s v="NAKİT"/>
    <n v="5"/>
    <n v="100"/>
    <n v="0"/>
    <n v="0"/>
    <n v="5"/>
    <m/>
    <n v="100"/>
    <m/>
    <n v="500"/>
    <n v="0"/>
    <n v="101214.22276015203"/>
  </r>
  <r>
    <x v="33"/>
    <x v="4"/>
    <x v="205"/>
    <x v="0"/>
    <x v="1"/>
    <x v="175"/>
    <x v="35"/>
    <s v="NAKİT"/>
    <n v="5"/>
    <n v="65"/>
    <n v="0"/>
    <n v="0"/>
    <n v="5"/>
    <m/>
    <n v="65"/>
    <m/>
    <n v="325"/>
    <n v="0"/>
    <n v="101539.22276015203"/>
  </r>
  <r>
    <x v="33"/>
    <x v="4"/>
    <x v="104"/>
    <x v="0"/>
    <x v="1"/>
    <x v="175"/>
    <x v="35"/>
    <s v="NAKİT"/>
    <n v="3"/>
    <n v="165"/>
    <n v="0"/>
    <n v="0"/>
    <n v="3"/>
    <m/>
    <n v="165"/>
    <m/>
    <n v="495"/>
    <n v="0"/>
    <n v="102034.22276015203"/>
  </r>
  <r>
    <x v="33"/>
    <x v="4"/>
    <x v="105"/>
    <x v="0"/>
    <x v="1"/>
    <x v="175"/>
    <x v="35"/>
    <s v="NAKİT"/>
    <n v="4"/>
    <n v="165"/>
    <n v="0"/>
    <n v="0"/>
    <n v="4"/>
    <m/>
    <n v="165"/>
    <m/>
    <n v="660"/>
    <n v="0"/>
    <n v="102694.22276015203"/>
  </r>
  <r>
    <x v="33"/>
    <x v="4"/>
    <x v="106"/>
    <x v="0"/>
    <x v="1"/>
    <x v="175"/>
    <x v="35"/>
    <s v="NAKİT"/>
    <n v="3"/>
    <n v="165"/>
    <n v="0"/>
    <n v="0"/>
    <n v="3"/>
    <m/>
    <n v="165"/>
    <m/>
    <n v="495"/>
    <n v="0"/>
    <n v="103189.22276015203"/>
  </r>
  <r>
    <x v="34"/>
    <x v="3"/>
    <x v="208"/>
    <x v="0"/>
    <x v="4"/>
    <x v="176"/>
    <x v="32"/>
    <s v="CARİ"/>
    <n v="18"/>
    <n v="235"/>
    <n v="0"/>
    <n v="4230"/>
    <m/>
    <n v="18"/>
    <m/>
    <n v="235"/>
    <n v="0"/>
    <n v="0"/>
    <n v="103189.22276015203"/>
  </r>
  <r>
    <x v="34"/>
    <x v="3"/>
    <x v="209"/>
    <x v="0"/>
    <x v="4"/>
    <x v="176"/>
    <x v="32"/>
    <s v="CARİ"/>
    <n v="10"/>
    <n v="225"/>
    <n v="0"/>
    <n v="2250"/>
    <m/>
    <n v="10"/>
    <m/>
    <n v="225"/>
    <n v="0"/>
    <n v="0"/>
    <n v="103189.22276015203"/>
  </r>
  <r>
    <x v="34"/>
    <x v="3"/>
    <x v="210"/>
    <x v="0"/>
    <x v="4"/>
    <x v="176"/>
    <x v="32"/>
    <s v="CARİ"/>
    <n v="12"/>
    <n v="25"/>
    <n v="0"/>
    <n v="300"/>
    <m/>
    <n v="12"/>
    <m/>
    <n v="25"/>
    <n v="0"/>
    <n v="0"/>
    <n v="103189.22276015203"/>
  </r>
  <r>
    <x v="34"/>
    <x v="3"/>
    <x v="211"/>
    <x v="0"/>
    <x v="4"/>
    <x v="176"/>
    <x v="32"/>
    <s v="CARİ"/>
    <n v="12"/>
    <n v="25"/>
    <n v="0"/>
    <n v="300"/>
    <m/>
    <n v="12"/>
    <m/>
    <n v="25"/>
    <n v="0"/>
    <n v="0"/>
    <n v="103189.22276015203"/>
  </r>
  <r>
    <x v="34"/>
    <x v="3"/>
    <x v="100"/>
    <x v="0"/>
    <x v="4"/>
    <x v="176"/>
    <x v="32"/>
    <s v="CARİ"/>
    <n v="5"/>
    <n v="500"/>
    <n v="0"/>
    <n v="2500"/>
    <m/>
    <n v="5"/>
    <m/>
    <n v="500"/>
    <n v="0"/>
    <n v="0"/>
    <n v="103189.22276015203"/>
  </r>
  <r>
    <x v="34"/>
    <x v="3"/>
    <x v="212"/>
    <x v="0"/>
    <x v="4"/>
    <x v="176"/>
    <x v="32"/>
    <s v="CARİ"/>
    <n v="5"/>
    <n v="370"/>
    <n v="0"/>
    <n v="1850"/>
    <m/>
    <n v="5"/>
    <m/>
    <n v="370"/>
    <n v="0"/>
    <n v="0"/>
    <n v="103189.22276015203"/>
  </r>
  <r>
    <x v="34"/>
    <x v="3"/>
    <x v="192"/>
    <x v="0"/>
    <x v="2"/>
    <x v="177"/>
    <x v="47"/>
    <s v="K.K."/>
    <n v="2"/>
    <n v="224.16"/>
    <n v="0"/>
    <n v="448.32"/>
    <m/>
    <n v="2"/>
    <m/>
    <n v="224.16"/>
    <n v="0"/>
    <n v="0"/>
    <n v="103189.22276015203"/>
  </r>
  <r>
    <x v="34"/>
    <x v="3"/>
    <x v="213"/>
    <x v="0"/>
    <x v="2"/>
    <x v="177"/>
    <x v="47"/>
    <s v="K.K."/>
    <n v="2"/>
    <n v="143.30000000000001"/>
    <n v="0"/>
    <n v="286.60000000000002"/>
    <m/>
    <n v="2"/>
    <m/>
    <n v="143.30000000000001"/>
    <n v="0"/>
    <n v="0"/>
    <n v="103189.22276015203"/>
  </r>
  <r>
    <x v="34"/>
    <x v="3"/>
    <x v="214"/>
    <x v="0"/>
    <x v="2"/>
    <x v="177"/>
    <x v="47"/>
    <s v="K.K."/>
    <n v="2"/>
    <n v="147.99"/>
    <n v="0"/>
    <n v="295.98"/>
    <m/>
    <n v="2"/>
    <m/>
    <n v="147.99"/>
    <n v="0"/>
    <n v="0"/>
    <n v="103189.22276015203"/>
  </r>
  <r>
    <x v="34"/>
    <x v="3"/>
    <x v="215"/>
    <x v="0"/>
    <x v="2"/>
    <x v="178"/>
    <x v="50"/>
    <s v="K.K."/>
    <n v="5"/>
    <n v="154.9"/>
    <n v="0"/>
    <n v="774.5"/>
    <m/>
    <n v="5"/>
    <m/>
    <n v="154.9"/>
    <n v="0"/>
    <n v="0"/>
    <n v="103189.22276015203"/>
  </r>
  <r>
    <x v="34"/>
    <x v="3"/>
    <x v="216"/>
    <x v="0"/>
    <x v="2"/>
    <x v="179"/>
    <x v="50"/>
    <s v="K.K."/>
    <n v="5"/>
    <n v="159.9"/>
    <n v="0"/>
    <n v="799.5"/>
    <m/>
    <n v="5"/>
    <m/>
    <n v="159.9"/>
    <n v="0"/>
    <n v="0"/>
    <n v="103189.22276015203"/>
  </r>
  <r>
    <x v="34"/>
    <x v="3"/>
    <x v="188"/>
    <x v="0"/>
    <x v="2"/>
    <x v="180"/>
    <x v="50"/>
    <s v="K.K."/>
    <n v="5"/>
    <n v="148.82"/>
    <n v="0"/>
    <n v="744.09999999999991"/>
    <m/>
    <n v="5"/>
    <m/>
    <n v="148.82"/>
    <n v="0"/>
    <n v="0"/>
    <n v="103189.22276015203"/>
  </r>
  <r>
    <x v="34"/>
    <x v="3"/>
    <x v="217"/>
    <x v="0"/>
    <x v="2"/>
    <x v="180"/>
    <x v="50"/>
    <s v="K.K."/>
    <n v="4"/>
    <n v="140.97999999999999"/>
    <n v="0"/>
    <n v="563.91999999999996"/>
    <m/>
    <n v="4"/>
    <m/>
    <n v="140.97999999999999"/>
    <n v="0"/>
    <n v="0"/>
    <n v="103189.22276015203"/>
  </r>
  <r>
    <x v="34"/>
    <x v="3"/>
    <x v="218"/>
    <x v="0"/>
    <x v="2"/>
    <x v="181"/>
    <x v="50"/>
    <s v="K.K."/>
    <n v="3"/>
    <n v="248.91"/>
    <n v="0"/>
    <n v="746.73"/>
    <m/>
    <n v="3"/>
    <m/>
    <n v="248.91"/>
    <n v="0"/>
    <n v="0"/>
    <n v="103189.22276015203"/>
  </r>
  <r>
    <x v="34"/>
    <x v="3"/>
    <x v="219"/>
    <x v="0"/>
    <x v="2"/>
    <x v="181"/>
    <x v="50"/>
    <s v="K.K."/>
    <n v="4"/>
    <n v="158.38"/>
    <n v="0"/>
    <n v="633.52"/>
    <m/>
    <n v="4"/>
    <m/>
    <n v="158.38"/>
    <n v="0"/>
    <n v="0"/>
    <n v="103189.22276015203"/>
  </r>
  <r>
    <x v="34"/>
    <x v="3"/>
    <x v="220"/>
    <x v="0"/>
    <x v="2"/>
    <x v="181"/>
    <x v="50"/>
    <s v="K.K."/>
    <n v="3"/>
    <n v="226.36"/>
    <n v="0"/>
    <n v="679.08"/>
    <m/>
    <n v="3"/>
    <m/>
    <n v="226.36"/>
    <n v="0"/>
    <n v="0"/>
    <n v="103189.22276015203"/>
  </r>
  <r>
    <x v="34"/>
    <x v="3"/>
    <x v="221"/>
    <x v="0"/>
    <x v="2"/>
    <x v="182"/>
    <x v="50"/>
    <s v="K.K."/>
    <n v="6"/>
    <n v="144.16999999999999"/>
    <n v="0"/>
    <n v="865.02"/>
    <m/>
    <n v="6"/>
    <m/>
    <n v="144.16999999999999"/>
    <n v="0"/>
    <n v="0"/>
    <n v="103189.22276015203"/>
  </r>
  <r>
    <x v="34"/>
    <x v="3"/>
    <x v="222"/>
    <x v="0"/>
    <x v="2"/>
    <x v="183"/>
    <x v="50"/>
    <s v="K.K."/>
    <n v="5"/>
    <n v="180.11"/>
    <n v="0"/>
    <n v="900.55000000000007"/>
    <m/>
    <n v="5"/>
    <m/>
    <n v="180.11"/>
    <n v="0"/>
    <n v="0"/>
    <n v="103189.22276015203"/>
  </r>
  <r>
    <x v="34"/>
    <x v="3"/>
    <x v="188"/>
    <x v="0"/>
    <x v="2"/>
    <x v="183"/>
    <x v="50"/>
    <s v="K.K."/>
    <n v="5"/>
    <n v="148.78"/>
    <n v="0"/>
    <n v="743.9"/>
    <m/>
    <n v="5"/>
    <m/>
    <n v="148.78"/>
    <n v="0"/>
    <n v="0"/>
    <n v="103189.22276015203"/>
  </r>
  <r>
    <x v="34"/>
    <x v="3"/>
    <x v="223"/>
    <x v="0"/>
    <x v="2"/>
    <x v="183"/>
    <x v="50"/>
    <s v="K.K."/>
    <n v="4"/>
    <n v="156.61000000000001"/>
    <n v="0"/>
    <n v="626.44000000000005"/>
    <m/>
    <n v="4"/>
    <m/>
    <n v="156.61000000000001"/>
    <n v="0"/>
    <n v="0"/>
    <n v="103189.22276015203"/>
  </r>
  <r>
    <x v="34"/>
    <x v="3"/>
    <x v="224"/>
    <x v="0"/>
    <x v="2"/>
    <x v="183"/>
    <x v="50"/>
    <s v="K.K."/>
    <n v="5"/>
    <n v="156.61000000000001"/>
    <n v="0"/>
    <n v="783.05000000000007"/>
    <m/>
    <n v="5"/>
    <m/>
    <n v="156.61000000000001"/>
    <n v="0"/>
    <n v="0"/>
    <n v="103189.22276015203"/>
  </r>
  <r>
    <x v="34"/>
    <x v="3"/>
    <x v="207"/>
    <x v="0"/>
    <x v="2"/>
    <x v="183"/>
    <x v="50"/>
    <s v="K.K."/>
    <n v="3"/>
    <n v="376.24"/>
    <n v="0"/>
    <n v="1128.72"/>
    <m/>
    <n v="3"/>
    <m/>
    <n v="376.24"/>
    <n v="0"/>
    <n v="0"/>
    <n v="103189.22276015203"/>
  </r>
  <r>
    <x v="34"/>
    <x v="3"/>
    <x v="225"/>
    <x v="0"/>
    <x v="2"/>
    <x v="183"/>
    <x v="50"/>
    <s v="K.K."/>
    <n v="3"/>
    <n v="232.67"/>
    <n v="0"/>
    <n v="698.01"/>
    <m/>
    <n v="3"/>
    <m/>
    <n v="232.67"/>
    <n v="0"/>
    <n v="0"/>
    <n v="103189.22276015203"/>
  </r>
  <r>
    <x v="34"/>
    <x v="4"/>
    <x v="94"/>
    <x v="0"/>
    <x v="1"/>
    <x v="184"/>
    <x v="25"/>
    <s v="NAKİT"/>
    <n v="0.05"/>
    <n v="2000"/>
    <n v="0"/>
    <n v="0"/>
    <n v="0.05"/>
    <m/>
    <n v="2000"/>
    <m/>
    <n v="100"/>
    <n v="0"/>
    <n v="103289.22276015203"/>
  </r>
  <r>
    <x v="34"/>
    <x v="4"/>
    <x v="21"/>
    <x v="0"/>
    <x v="5"/>
    <x v="185"/>
    <x v="25"/>
    <s v="POS"/>
    <n v="1"/>
    <n v="260"/>
    <n v="260"/>
    <n v="0"/>
    <n v="1"/>
    <m/>
    <n v="260"/>
    <m/>
    <n v="0"/>
    <n v="0"/>
    <n v="103289.22276015203"/>
  </r>
  <r>
    <x v="34"/>
    <x v="4"/>
    <x v="75"/>
    <x v="0"/>
    <x v="5"/>
    <x v="185"/>
    <x v="25"/>
    <s v="POS"/>
    <n v="0.125"/>
    <n v="800"/>
    <n v="100"/>
    <n v="0"/>
    <n v="0.125"/>
    <m/>
    <n v="800"/>
    <m/>
    <n v="0"/>
    <n v="0"/>
    <n v="103289.22276015203"/>
  </r>
  <r>
    <x v="34"/>
    <x v="4"/>
    <x v="134"/>
    <x v="0"/>
    <x v="1"/>
    <x v="186"/>
    <x v="25"/>
    <s v="NAKİT"/>
    <n v="0.16200000000000001"/>
    <n v="620"/>
    <n v="0"/>
    <n v="0"/>
    <n v="0.16200000000000001"/>
    <m/>
    <n v="620"/>
    <m/>
    <n v="100.44"/>
    <n v="0"/>
    <n v="103389.66276015203"/>
  </r>
  <r>
    <x v="34"/>
    <x v="4"/>
    <x v="49"/>
    <x v="0"/>
    <x v="5"/>
    <x v="187"/>
    <x v="25"/>
    <s v="POS"/>
    <n v="0.1"/>
    <n v="600"/>
    <n v="60"/>
    <n v="0"/>
    <n v="1"/>
    <m/>
    <n v="60"/>
    <m/>
    <n v="0"/>
    <n v="0"/>
    <n v="103389.66276015203"/>
  </r>
  <r>
    <x v="34"/>
    <x v="4"/>
    <x v="44"/>
    <x v="0"/>
    <x v="5"/>
    <x v="187"/>
    <x v="25"/>
    <s v="POS"/>
    <n v="1"/>
    <n v="65"/>
    <n v="65"/>
    <n v="0"/>
    <n v="1"/>
    <m/>
    <n v="65"/>
    <m/>
    <n v="0"/>
    <n v="0"/>
    <n v="103389.66276015203"/>
  </r>
  <r>
    <x v="34"/>
    <x v="4"/>
    <x v="85"/>
    <x v="0"/>
    <x v="5"/>
    <x v="188"/>
    <x v="25"/>
    <s v="POS"/>
    <n v="1"/>
    <n v="300"/>
    <n v="300"/>
    <n v="0"/>
    <n v="1"/>
    <m/>
    <n v="300"/>
    <m/>
    <n v="0"/>
    <n v="0"/>
    <n v="103389.66276015203"/>
  </r>
  <r>
    <x v="34"/>
    <x v="4"/>
    <x v="161"/>
    <x v="0"/>
    <x v="1"/>
    <x v="189"/>
    <x v="25"/>
    <s v="NAKİT"/>
    <n v="0.19400000000000001"/>
    <n v="370"/>
    <n v="0"/>
    <n v="0"/>
    <n v="0.19400000000000001"/>
    <m/>
    <n v="370"/>
    <m/>
    <n v="71.78"/>
    <n v="0"/>
    <n v="103461.44276015203"/>
  </r>
  <r>
    <x v="34"/>
    <x v="4"/>
    <x v="24"/>
    <x v="0"/>
    <x v="1"/>
    <x v="189"/>
    <x v="25"/>
    <s v="NAKİT"/>
    <n v="0.14799999999999999"/>
    <n v="640"/>
    <n v="0"/>
    <n v="0"/>
    <n v="0.14799999999999999"/>
    <m/>
    <n v="640"/>
    <m/>
    <n v="94.72"/>
    <n v="0"/>
    <n v="103556.16276015203"/>
  </r>
  <r>
    <x v="34"/>
    <x v="4"/>
    <x v="18"/>
    <x v="0"/>
    <x v="1"/>
    <x v="190"/>
    <x v="25"/>
    <s v="NAKİT"/>
    <n v="1"/>
    <n v="200"/>
    <n v="0"/>
    <n v="0"/>
    <n v="1"/>
    <m/>
    <n v="200"/>
    <m/>
    <n v="200"/>
    <n v="0"/>
    <n v="103756.16276015203"/>
  </r>
  <r>
    <x v="34"/>
    <x v="4"/>
    <x v="142"/>
    <x v="0"/>
    <x v="1"/>
    <x v="191"/>
    <x v="25"/>
    <s v="NAKİT"/>
    <n v="1"/>
    <n v="200"/>
    <n v="0"/>
    <n v="0"/>
    <n v="1"/>
    <m/>
    <n v="200"/>
    <m/>
    <n v="200"/>
    <n v="0"/>
    <n v="103956.16276015203"/>
  </r>
  <r>
    <x v="34"/>
    <x v="4"/>
    <x v="33"/>
    <x v="0"/>
    <x v="5"/>
    <x v="192"/>
    <x v="25"/>
    <s v="POS"/>
    <n v="0.372"/>
    <n v="420"/>
    <n v="156.24"/>
    <n v="0"/>
    <n v="0.372"/>
    <m/>
    <n v="420"/>
    <m/>
    <n v="0"/>
    <n v="0"/>
    <n v="103956.16276015203"/>
  </r>
  <r>
    <x v="34"/>
    <x v="4"/>
    <x v="116"/>
    <x v="0"/>
    <x v="5"/>
    <x v="192"/>
    <x v="25"/>
    <s v="POS"/>
    <n v="0.25"/>
    <n v="350"/>
    <n v="87.5"/>
    <n v="0"/>
    <n v="0.25"/>
    <m/>
    <n v="350"/>
    <m/>
    <n v="0"/>
    <n v="0"/>
    <n v="103956.16276015203"/>
  </r>
  <r>
    <x v="34"/>
    <x v="4"/>
    <x v="30"/>
    <x v="0"/>
    <x v="5"/>
    <x v="192"/>
    <x v="25"/>
    <s v="POS"/>
    <n v="0.5"/>
    <n v="500"/>
    <n v="250"/>
    <n v="0"/>
    <n v="0.5"/>
    <m/>
    <n v="500"/>
    <m/>
    <n v="0"/>
    <n v="0"/>
    <n v="103956.16276015203"/>
  </r>
  <r>
    <x v="34"/>
    <x v="4"/>
    <x v="18"/>
    <x v="0"/>
    <x v="5"/>
    <x v="192"/>
    <x v="25"/>
    <s v="POS"/>
    <n v="1"/>
    <n v="240"/>
    <n v="240"/>
    <n v="0"/>
    <n v="1"/>
    <m/>
    <n v="240"/>
    <m/>
    <n v="0"/>
    <n v="0"/>
    <n v="103956.16276015203"/>
  </r>
  <r>
    <x v="34"/>
    <x v="4"/>
    <x v="49"/>
    <x v="0"/>
    <x v="5"/>
    <x v="193"/>
    <x v="25"/>
    <s v="POS"/>
    <n v="0.1"/>
    <n v="600"/>
    <n v="60"/>
    <n v="0"/>
    <n v="1"/>
    <m/>
    <n v="60"/>
    <m/>
    <n v="0"/>
    <n v="0"/>
    <n v="103956.16276015203"/>
  </r>
  <r>
    <x v="34"/>
    <x v="4"/>
    <x v="122"/>
    <x v="0"/>
    <x v="5"/>
    <x v="193"/>
    <x v="25"/>
    <s v="POS"/>
    <n v="8.5000000000000006E-2"/>
    <n v="1150"/>
    <n v="97.75"/>
    <n v="0"/>
    <n v="8.5000000000000006E-2"/>
    <m/>
    <n v="1150"/>
    <m/>
    <n v="0"/>
    <n v="0"/>
    <n v="103956.16276015203"/>
  </r>
  <r>
    <x v="34"/>
    <x v="4"/>
    <x v="22"/>
    <x v="0"/>
    <x v="5"/>
    <x v="194"/>
    <x v="25"/>
    <s v="POS"/>
    <n v="0.11600000000000001"/>
    <n v="360"/>
    <n v="41.760000000000005"/>
    <n v="0"/>
    <n v="0.11600000000000001"/>
    <m/>
    <n v="360"/>
    <m/>
    <n v="0"/>
    <n v="0"/>
    <n v="103956.16276015203"/>
  </r>
  <r>
    <x v="34"/>
    <x v="4"/>
    <x v="23"/>
    <x v="0"/>
    <x v="5"/>
    <x v="194"/>
    <x v="25"/>
    <s v="POS"/>
    <n v="0.126"/>
    <n v="250"/>
    <n v="31.5"/>
    <n v="0"/>
    <n v="0.126"/>
    <m/>
    <n v="250"/>
    <m/>
    <n v="0"/>
    <n v="0"/>
    <n v="103956.16276015203"/>
  </r>
  <r>
    <x v="34"/>
    <x v="4"/>
    <x v="83"/>
    <x v="0"/>
    <x v="5"/>
    <x v="194"/>
    <x v="25"/>
    <s v="POS"/>
    <n v="0.05"/>
    <n v="2600"/>
    <n v="130"/>
    <n v="0"/>
    <n v="1"/>
    <m/>
    <n v="130"/>
    <m/>
    <n v="0"/>
    <n v="0"/>
    <n v="103956.16276015203"/>
  </r>
  <r>
    <x v="34"/>
    <x v="4"/>
    <x v="18"/>
    <x v="0"/>
    <x v="5"/>
    <x v="194"/>
    <x v="25"/>
    <s v="POS"/>
    <n v="1"/>
    <n v="240"/>
    <n v="240"/>
    <n v="0"/>
    <n v="1"/>
    <m/>
    <n v="240"/>
    <m/>
    <n v="0"/>
    <n v="0"/>
    <n v="103956.16276015203"/>
  </r>
  <r>
    <x v="34"/>
    <x v="4"/>
    <x v="29"/>
    <x v="0"/>
    <x v="5"/>
    <x v="194"/>
    <x v="25"/>
    <s v="POS"/>
    <n v="4.3999999999999997E-2"/>
    <n v="760"/>
    <n v="33.44"/>
    <n v="0"/>
    <n v="4.3999999999999997E-2"/>
    <m/>
    <n v="760"/>
    <m/>
    <n v="0"/>
    <n v="0"/>
    <n v="103956.16276015203"/>
  </r>
  <r>
    <x v="34"/>
    <x v="4"/>
    <x v="103"/>
    <x v="0"/>
    <x v="5"/>
    <x v="194"/>
    <x v="25"/>
    <s v="POS"/>
    <n v="1"/>
    <n v="260"/>
    <n v="260"/>
    <n v="0"/>
    <n v="1"/>
    <m/>
    <n v="260"/>
    <m/>
    <n v="0"/>
    <n v="0"/>
    <n v="103956.16276015203"/>
  </r>
  <r>
    <x v="34"/>
    <x v="4"/>
    <x v="74"/>
    <x v="0"/>
    <x v="5"/>
    <x v="194"/>
    <x v="25"/>
    <s v="POS"/>
    <n v="0.25"/>
    <n v="380"/>
    <n v="95"/>
    <n v="0"/>
    <n v="1"/>
    <m/>
    <n v="95"/>
    <m/>
    <n v="0"/>
    <n v="0"/>
    <n v="103956.16276015203"/>
  </r>
  <r>
    <x v="34"/>
    <x v="4"/>
    <x v="30"/>
    <x v="0"/>
    <x v="1"/>
    <x v="195"/>
    <x v="25"/>
    <s v="NAKİT"/>
    <n v="0.2"/>
    <n v="500"/>
    <n v="0"/>
    <n v="0"/>
    <n v="0.2"/>
    <m/>
    <n v="500"/>
    <m/>
    <n v="100"/>
    <n v="0"/>
    <n v="104056.16276015203"/>
  </r>
  <r>
    <x v="34"/>
    <x v="4"/>
    <x v="20"/>
    <x v="0"/>
    <x v="5"/>
    <x v="196"/>
    <x v="25"/>
    <s v="POS"/>
    <n v="1"/>
    <n v="200"/>
    <n v="200"/>
    <n v="0"/>
    <n v="1"/>
    <m/>
    <n v="200"/>
    <m/>
    <n v="0"/>
    <n v="0"/>
    <n v="104056.16276015203"/>
  </r>
  <r>
    <x v="34"/>
    <x v="4"/>
    <x v="19"/>
    <x v="0"/>
    <x v="5"/>
    <x v="196"/>
    <x v="25"/>
    <s v="POS"/>
    <n v="1"/>
    <n v="200"/>
    <n v="200"/>
    <n v="0"/>
    <n v="1"/>
    <m/>
    <n v="200"/>
    <m/>
    <n v="0"/>
    <n v="0"/>
    <n v="104056.16276015203"/>
  </r>
  <r>
    <x v="35"/>
    <x v="4"/>
    <x v="55"/>
    <x v="0"/>
    <x v="5"/>
    <x v="197"/>
    <x v="25"/>
    <s v="POS"/>
    <n v="3.2250000000000001"/>
    <n v="180"/>
    <n v="580.5"/>
    <n v="0"/>
    <n v="3.2250000000000001"/>
    <m/>
    <n v="180"/>
    <m/>
    <n v="0"/>
    <n v="0"/>
    <n v="104056.16276015203"/>
  </r>
  <r>
    <x v="35"/>
    <x v="4"/>
    <x v="49"/>
    <x v="0"/>
    <x v="1"/>
    <x v="198"/>
    <x v="25"/>
    <s v="NAKİT"/>
    <n v="0.1"/>
    <n v="600"/>
    <n v="0"/>
    <n v="0"/>
    <n v="1"/>
    <m/>
    <n v="60"/>
    <m/>
    <n v="60"/>
    <n v="0"/>
    <n v="104116.16276015203"/>
  </r>
  <r>
    <x v="35"/>
    <x v="4"/>
    <x v="50"/>
    <x v="0"/>
    <x v="1"/>
    <x v="198"/>
    <x v="25"/>
    <s v="NAKİT"/>
    <n v="0.1"/>
    <n v="650"/>
    <n v="0"/>
    <n v="0"/>
    <n v="1"/>
    <m/>
    <n v="65"/>
    <m/>
    <n v="65"/>
    <n v="0"/>
    <n v="104181.16276015203"/>
  </r>
  <r>
    <x v="35"/>
    <x v="4"/>
    <x v="23"/>
    <x v="0"/>
    <x v="1"/>
    <x v="198"/>
    <x v="25"/>
    <s v="NAKİT"/>
    <n v="0.1"/>
    <n v="250"/>
    <n v="0"/>
    <n v="0"/>
    <n v="0.1"/>
    <m/>
    <n v="250"/>
    <m/>
    <n v="25"/>
    <n v="0"/>
    <n v="104206.16276015203"/>
  </r>
  <r>
    <x v="35"/>
    <x v="4"/>
    <x v="101"/>
    <x v="0"/>
    <x v="1"/>
    <x v="198"/>
    <x v="25"/>
    <s v="NAKİT"/>
    <n v="7.0000000000000007E-2"/>
    <n v="150"/>
    <n v="0"/>
    <n v="0"/>
    <n v="7.0000000000000007E-2"/>
    <m/>
    <n v="150"/>
    <m/>
    <n v="10.500000000000002"/>
    <n v="0"/>
    <n v="104216.66276015203"/>
  </r>
  <r>
    <x v="35"/>
    <x v="4"/>
    <x v="61"/>
    <x v="0"/>
    <x v="1"/>
    <x v="199"/>
    <x v="25"/>
    <s v="NAKİT"/>
    <n v="8.5999999999999993E-2"/>
    <n v="770"/>
    <n v="0"/>
    <n v="0"/>
    <n v="8.5999999999999993E-2"/>
    <m/>
    <n v="770"/>
    <m/>
    <n v="66.22"/>
    <n v="0"/>
    <n v="104282.88276015203"/>
  </r>
  <r>
    <x v="35"/>
    <x v="4"/>
    <x v="74"/>
    <x v="0"/>
    <x v="1"/>
    <x v="200"/>
    <x v="25"/>
    <s v="NAKİT"/>
    <n v="0.25"/>
    <n v="380"/>
    <n v="0"/>
    <n v="0"/>
    <n v="1"/>
    <m/>
    <n v="95"/>
    <m/>
    <n v="95"/>
    <n v="0"/>
    <n v="104377.88276015203"/>
  </r>
  <r>
    <x v="35"/>
    <x v="4"/>
    <x v="24"/>
    <x v="0"/>
    <x v="1"/>
    <x v="201"/>
    <x v="25"/>
    <s v="NAKİT"/>
    <n v="0.156"/>
    <n v="640"/>
    <n v="0"/>
    <n v="0"/>
    <n v="0.156"/>
    <m/>
    <n v="640"/>
    <m/>
    <n v="99.84"/>
    <n v="0"/>
    <n v="104477.72276015203"/>
  </r>
  <r>
    <x v="35"/>
    <x v="4"/>
    <x v="117"/>
    <x v="0"/>
    <x v="1"/>
    <x v="202"/>
    <x v="25"/>
    <s v="NAKİT"/>
    <n v="0.25900000000000001"/>
    <n v="350"/>
    <n v="0"/>
    <n v="0"/>
    <n v="0.25900000000000001"/>
    <m/>
    <n v="350"/>
    <m/>
    <n v="90.65"/>
    <n v="0"/>
    <n v="104568.37276015202"/>
  </r>
  <r>
    <x v="35"/>
    <x v="4"/>
    <x v="88"/>
    <x v="0"/>
    <x v="1"/>
    <x v="202"/>
    <x v="25"/>
    <s v="NAKİT"/>
    <n v="0.05"/>
    <n v="1100"/>
    <n v="0"/>
    <n v="0"/>
    <n v="1"/>
    <m/>
    <n v="55"/>
    <m/>
    <n v="55"/>
    <n v="0"/>
    <n v="104623.37276015202"/>
  </r>
  <r>
    <x v="35"/>
    <x v="4"/>
    <x v="212"/>
    <x v="0"/>
    <x v="1"/>
    <x v="203"/>
    <x v="25"/>
    <s v="NAKİT"/>
    <n v="0.502"/>
    <n v="520"/>
    <n v="0"/>
    <n v="0"/>
    <n v="0.502"/>
    <m/>
    <n v="520"/>
    <m/>
    <n v="261.04000000000002"/>
    <n v="0"/>
    <n v="104884.41276015202"/>
  </r>
  <r>
    <x v="35"/>
    <x v="4"/>
    <x v="127"/>
    <x v="0"/>
    <x v="1"/>
    <x v="203"/>
    <x v="25"/>
    <s v="NAKİT"/>
    <n v="0.58799999999999997"/>
    <n v="670"/>
    <n v="0"/>
    <n v="0"/>
    <n v="0.58799999999999997"/>
    <m/>
    <n v="670"/>
    <m/>
    <n v="393.96"/>
    <n v="0"/>
    <n v="105278.37276015202"/>
  </r>
  <r>
    <x v="35"/>
    <x v="4"/>
    <x v="97"/>
    <x v="0"/>
    <x v="1"/>
    <x v="203"/>
    <x v="25"/>
    <s v="NAKİT"/>
    <n v="0.36599999999999999"/>
    <n v="600"/>
    <n v="0"/>
    <n v="0"/>
    <n v="0.36599999999999999"/>
    <m/>
    <n v="600"/>
    <m/>
    <n v="219.6"/>
    <n v="0"/>
    <n v="105497.97276015203"/>
  </r>
  <r>
    <x v="35"/>
    <x v="4"/>
    <x v="111"/>
    <x v="0"/>
    <x v="1"/>
    <x v="203"/>
    <x v="25"/>
    <s v="NAKİT"/>
    <n v="0.19800000000000001"/>
    <n v="350"/>
    <n v="0"/>
    <n v="0"/>
    <n v="0.19800000000000001"/>
    <m/>
    <n v="350"/>
    <m/>
    <n v="69.3"/>
    <n v="0"/>
    <n v="105567.27276015203"/>
  </r>
  <r>
    <x v="35"/>
    <x v="4"/>
    <x v="73"/>
    <x v="0"/>
    <x v="1"/>
    <x v="203"/>
    <x v="25"/>
    <s v="NAKİT"/>
    <n v="0.39600000000000002"/>
    <n v="930"/>
    <n v="0"/>
    <n v="0"/>
    <n v="0.39600000000000002"/>
    <m/>
    <n v="930"/>
    <m/>
    <n v="368.28000000000003"/>
    <n v="0"/>
    <n v="105935.55276015203"/>
  </r>
  <r>
    <x v="35"/>
    <x v="4"/>
    <x v="209"/>
    <x v="0"/>
    <x v="1"/>
    <x v="203"/>
    <x v="25"/>
    <s v="NAKİT"/>
    <n v="0.47799999999999998"/>
    <n v="290"/>
    <n v="0"/>
    <n v="0"/>
    <n v="0.47799999999999998"/>
    <m/>
    <n v="290"/>
    <m/>
    <n v="138.62"/>
    <n v="0"/>
    <n v="106074.17276015203"/>
  </r>
  <r>
    <x v="35"/>
    <x v="4"/>
    <x v="162"/>
    <x v="0"/>
    <x v="1"/>
    <x v="203"/>
    <x v="25"/>
    <s v="NAKİT"/>
    <n v="1"/>
    <n v="40"/>
    <n v="0"/>
    <n v="0"/>
    <n v="1"/>
    <m/>
    <n v="40"/>
    <m/>
    <n v="40"/>
    <n v="0"/>
    <n v="106114.17276015203"/>
  </r>
  <r>
    <x v="35"/>
    <x v="4"/>
    <x v="79"/>
    <x v="0"/>
    <x v="1"/>
    <x v="203"/>
    <x v="25"/>
    <s v="NAKİT"/>
    <n v="2"/>
    <n v="250"/>
    <n v="0"/>
    <n v="0"/>
    <n v="2"/>
    <m/>
    <n v="250"/>
    <m/>
    <n v="500"/>
    <n v="0"/>
    <n v="106614.17276015203"/>
  </r>
  <r>
    <x v="35"/>
    <x v="4"/>
    <x v="23"/>
    <x v="0"/>
    <x v="5"/>
    <x v="204"/>
    <x v="25"/>
    <s v="POS"/>
    <n v="0.09"/>
    <n v="250"/>
    <n v="22.5"/>
    <n v="0"/>
    <n v="0.09"/>
    <m/>
    <n v="250"/>
    <m/>
    <n v="0"/>
    <n v="0"/>
    <n v="106614.17276015203"/>
  </r>
  <r>
    <x v="35"/>
    <x v="4"/>
    <x v="33"/>
    <x v="0"/>
    <x v="5"/>
    <x v="204"/>
    <x v="25"/>
    <s v="POS"/>
    <n v="8.5999999999999993E-2"/>
    <n v="380"/>
    <n v="32.68"/>
    <n v="0"/>
    <n v="8.5999999999999993E-2"/>
    <m/>
    <n v="380"/>
    <m/>
    <n v="0"/>
    <n v="0"/>
    <n v="106614.17276015203"/>
  </r>
  <r>
    <x v="35"/>
    <x v="4"/>
    <x v="25"/>
    <x v="0"/>
    <x v="5"/>
    <x v="204"/>
    <x v="25"/>
    <s v="POS"/>
    <n v="0.122"/>
    <n v="390"/>
    <n v="47.58"/>
    <n v="0"/>
    <n v="0.122"/>
    <m/>
    <n v="390"/>
    <m/>
    <n v="0"/>
    <n v="0"/>
    <n v="106614.17276015203"/>
  </r>
  <r>
    <x v="35"/>
    <x v="4"/>
    <x v="29"/>
    <x v="0"/>
    <x v="5"/>
    <x v="204"/>
    <x v="25"/>
    <s v="POS"/>
    <n v="6.4000000000000001E-2"/>
    <n v="760"/>
    <n v="48.64"/>
    <n v="0"/>
    <n v="6.4000000000000001E-2"/>
    <m/>
    <n v="760"/>
    <m/>
    <n v="0"/>
    <n v="0"/>
    <n v="106614.17276015203"/>
  </r>
  <r>
    <x v="36"/>
    <x v="1"/>
    <x v="0"/>
    <x v="14"/>
    <x v="2"/>
    <x v="205"/>
    <x v="51"/>
    <s v="K.K."/>
    <n v="1"/>
    <n v="373.72"/>
    <n v="0"/>
    <n v="373.72"/>
    <m/>
    <n v="1"/>
    <m/>
    <n v="373.72"/>
    <n v="0"/>
    <n v="0"/>
    <n v="106614.17276015203"/>
  </r>
  <r>
    <x v="36"/>
    <x v="3"/>
    <x v="226"/>
    <x v="0"/>
    <x v="2"/>
    <x v="206"/>
    <x v="50"/>
    <s v="K.K."/>
    <n v="3"/>
    <n v="141.02000000000001"/>
    <n v="0"/>
    <n v="423.06000000000006"/>
    <m/>
    <n v="3"/>
    <m/>
    <n v="141.02000000000001"/>
    <n v="0"/>
    <n v="0"/>
    <n v="106614.17276015203"/>
  </r>
  <r>
    <x v="36"/>
    <x v="3"/>
    <x v="227"/>
    <x v="0"/>
    <x v="2"/>
    <x v="206"/>
    <x v="50"/>
    <s v="K.K."/>
    <n v="3"/>
    <n v="56.696666666666665"/>
    <n v="0"/>
    <n v="170.09"/>
    <m/>
    <n v="3"/>
    <m/>
    <n v="56.696666666666665"/>
    <n v="0"/>
    <n v="0"/>
    <n v="106614.17276015203"/>
  </r>
  <r>
    <x v="36"/>
    <x v="1"/>
    <x v="0"/>
    <x v="5"/>
    <x v="2"/>
    <x v="206"/>
    <x v="52"/>
    <s v="K.K."/>
    <n v="1"/>
    <n v="44.9"/>
    <n v="0"/>
    <n v="44.9"/>
    <m/>
    <n v="1"/>
    <m/>
    <n v="44.9"/>
    <n v="0"/>
    <n v="0"/>
    <n v="106614.17276015203"/>
  </r>
  <r>
    <x v="36"/>
    <x v="3"/>
    <x v="132"/>
    <x v="0"/>
    <x v="2"/>
    <x v="207"/>
    <x v="50"/>
    <s v="K.K."/>
    <n v="3"/>
    <n v="135.59"/>
    <n v="0"/>
    <n v="406.77"/>
    <m/>
    <n v="3"/>
    <m/>
    <n v="135.59"/>
    <n v="0"/>
    <n v="0"/>
    <n v="106614.17276015203"/>
  </r>
  <r>
    <x v="36"/>
    <x v="3"/>
    <x v="133"/>
    <x v="0"/>
    <x v="2"/>
    <x v="207"/>
    <x v="50"/>
    <s v="K.K."/>
    <n v="3"/>
    <n v="124.17"/>
    <n v="0"/>
    <n v="372.51"/>
    <m/>
    <n v="3"/>
    <m/>
    <n v="124.17"/>
    <n v="0"/>
    <n v="0"/>
    <n v="106614.17276015203"/>
  </r>
  <r>
    <x v="36"/>
    <x v="3"/>
    <x v="228"/>
    <x v="0"/>
    <x v="2"/>
    <x v="207"/>
    <x v="50"/>
    <s v="K.K."/>
    <n v="2"/>
    <n v="170.97"/>
    <n v="0"/>
    <n v="341.94"/>
    <m/>
    <n v="2"/>
    <m/>
    <n v="170.97"/>
    <n v="0"/>
    <n v="0"/>
    <n v="106614.17276015203"/>
  </r>
  <r>
    <x v="36"/>
    <x v="4"/>
    <x v="101"/>
    <x v="0"/>
    <x v="1"/>
    <x v="208"/>
    <x v="25"/>
    <s v="NAKİT"/>
    <n v="0.13400000000000001"/>
    <n v="150"/>
    <n v="0"/>
    <n v="0"/>
    <n v="0.13400000000000001"/>
    <m/>
    <n v="150"/>
    <m/>
    <n v="20.100000000000001"/>
    <n v="0"/>
    <n v="106634.27276015203"/>
  </r>
  <r>
    <x v="36"/>
    <x v="4"/>
    <x v="130"/>
    <x v="0"/>
    <x v="1"/>
    <x v="208"/>
    <x v="25"/>
    <s v="NAKİT"/>
    <n v="0.182"/>
    <n v="190"/>
    <n v="0"/>
    <n v="0"/>
    <n v="0.182"/>
    <m/>
    <n v="190"/>
    <m/>
    <n v="34.58"/>
    <n v="0"/>
    <n v="106668.85276015203"/>
  </r>
  <r>
    <x v="36"/>
    <x v="4"/>
    <x v="9"/>
    <x v="0"/>
    <x v="1"/>
    <x v="208"/>
    <x v="25"/>
    <s v="NAKİT"/>
    <n v="1"/>
    <n v="160"/>
    <n v="0"/>
    <n v="0"/>
    <n v="1"/>
    <m/>
    <n v="160"/>
    <m/>
    <n v="160"/>
    <n v="0"/>
    <n v="106828.85276015203"/>
  </r>
  <r>
    <x v="36"/>
    <x v="4"/>
    <x v="57"/>
    <x v="0"/>
    <x v="1"/>
    <x v="208"/>
    <x v="25"/>
    <s v="NAKİT"/>
    <n v="1.042"/>
    <n v="130"/>
    <n v="0"/>
    <n v="0"/>
    <n v="1.042"/>
    <m/>
    <n v="130"/>
    <m/>
    <n v="135.46"/>
    <n v="0"/>
    <n v="106964.31276015204"/>
  </r>
  <r>
    <x v="36"/>
    <x v="4"/>
    <x v="34"/>
    <x v="0"/>
    <x v="1"/>
    <x v="208"/>
    <x v="25"/>
    <s v="NAKİT"/>
    <n v="0.1"/>
    <n v="600"/>
    <n v="0"/>
    <n v="0"/>
    <n v="1"/>
    <m/>
    <n v="60"/>
    <m/>
    <n v="60"/>
    <n v="0"/>
    <n v="107024.31276015204"/>
  </r>
  <r>
    <x v="36"/>
    <x v="4"/>
    <x v="25"/>
    <x v="0"/>
    <x v="1"/>
    <x v="209"/>
    <x v="25"/>
    <s v="NAKİT"/>
    <n v="0.51300000000000001"/>
    <n v="390"/>
    <n v="0"/>
    <n v="0"/>
    <n v="0.51300000000000001"/>
    <m/>
    <n v="390"/>
    <m/>
    <n v="200.07"/>
    <n v="0"/>
    <n v="107224.38276015205"/>
  </r>
  <r>
    <x v="36"/>
    <x v="4"/>
    <x v="24"/>
    <x v="0"/>
    <x v="1"/>
    <x v="209"/>
    <x v="25"/>
    <s v="NAKİT"/>
    <n v="0.313"/>
    <n v="640"/>
    <n v="0"/>
    <n v="0"/>
    <n v="0.313"/>
    <m/>
    <n v="640"/>
    <m/>
    <n v="200.32"/>
    <n v="0"/>
    <n v="107424.70276015205"/>
  </r>
  <r>
    <x v="36"/>
    <x v="4"/>
    <x v="58"/>
    <x v="0"/>
    <x v="1"/>
    <x v="209"/>
    <x v="25"/>
    <s v="NAKİT"/>
    <n v="1"/>
    <n v="200"/>
    <n v="0"/>
    <n v="0"/>
    <n v="1"/>
    <m/>
    <n v="200"/>
    <m/>
    <n v="200"/>
    <n v="0"/>
    <n v="107624.70276015205"/>
  </r>
  <r>
    <x v="36"/>
    <x v="4"/>
    <x v="57"/>
    <x v="0"/>
    <x v="1"/>
    <x v="209"/>
    <x v="25"/>
    <s v="NAKİT"/>
    <n v="5"/>
    <n v="180"/>
    <n v="0"/>
    <n v="0"/>
    <n v="5"/>
    <m/>
    <n v="180"/>
    <m/>
    <n v="900"/>
    <n v="0"/>
    <n v="108524.70276015205"/>
  </r>
  <r>
    <x v="36"/>
    <x v="4"/>
    <x v="58"/>
    <x v="0"/>
    <x v="1"/>
    <x v="209"/>
    <x v="25"/>
    <s v="NAKİT"/>
    <n v="1"/>
    <n v="200"/>
    <n v="0"/>
    <n v="0"/>
    <n v="1"/>
    <m/>
    <n v="200"/>
    <m/>
    <n v="200"/>
    <n v="0"/>
    <n v="108724.70276015205"/>
  </r>
  <r>
    <x v="36"/>
    <x v="4"/>
    <x v="118"/>
    <x v="0"/>
    <x v="1"/>
    <x v="209"/>
    <x v="25"/>
    <s v="NAKİT"/>
    <n v="1"/>
    <n v="180"/>
    <n v="0"/>
    <n v="0"/>
    <n v="1"/>
    <m/>
    <n v="180"/>
    <m/>
    <n v="180"/>
    <n v="0"/>
    <n v="108904.70276015205"/>
  </r>
  <r>
    <x v="36"/>
    <x v="4"/>
    <x v="93"/>
    <x v="0"/>
    <x v="1"/>
    <x v="209"/>
    <x v="25"/>
    <s v="NAKİT"/>
    <n v="1"/>
    <n v="295"/>
    <n v="0"/>
    <n v="0"/>
    <n v="1"/>
    <m/>
    <n v="295"/>
    <m/>
    <n v="295"/>
    <n v="0"/>
    <n v="109199.70276015205"/>
  </r>
  <r>
    <x v="36"/>
    <x v="4"/>
    <x v="101"/>
    <x v="0"/>
    <x v="1"/>
    <x v="209"/>
    <x v="25"/>
    <s v="NAKİT"/>
    <n v="0.25800000000000001"/>
    <n v="150"/>
    <n v="0"/>
    <n v="0"/>
    <n v="0.25800000000000001"/>
    <m/>
    <n v="150"/>
    <m/>
    <n v="38.700000000000003"/>
    <n v="0"/>
    <n v="109238.40276015205"/>
  </r>
  <r>
    <x v="36"/>
    <x v="4"/>
    <x v="209"/>
    <x v="0"/>
    <x v="1"/>
    <x v="209"/>
    <x v="25"/>
    <s v="NAKİT"/>
    <n v="0.58399999999999996"/>
    <n v="290"/>
    <n v="0"/>
    <n v="0"/>
    <n v="0.58399999999999996"/>
    <m/>
    <n v="290"/>
    <m/>
    <n v="169.35999999999999"/>
    <n v="0"/>
    <n v="109407.76276015205"/>
  </r>
  <r>
    <x v="36"/>
    <x v="4"/>
    <x v="120"/>
    <x v="0"/>
    <x v="1"/>
    <x v="209"/>
    <x v="25"/>
    <s v="NAKİT"/>
    <n v="0.50800000000000001"/>
    <n v="650"/>
    <n v="0"/>
    <n v="0"/>
    <n v="0.50800000000000001"/>
    <m/>
    <n v="650"/>
    <m/>
    <n v="330.2"/>
    <n v="0"/>
    <n v="109737.96276015205"/>
  </r>
  <r>
    <x v="36"/>
    <x v="4"/>
    <x v="123"/>
    <x v="0"/>
    <x v="1"/>
    <x v="209"/>
    <x v="25"/>
    <s v="NAKİT"/>
    <n v="0.30599999999999999"/>
    <n v="990"/>
    <n v="0"/>
    <n v="0"/>
    <n v="0.30599999999999999"/>
    <m/>
    <n v="990"/>
    <m/>
    <n v="302.94"/>
    <n v="0"/>
    <n v="110040.90276015205"/>
  </r>
  <r>
    <x v="36"/>
    <x v="4"/>
    <x v="128"/>
    <x v="0"/>
    <x v="1"/>
    <x v="209"/>
    <x v="25"/>
    <s v="NAKİT"/>
    <n v="0.3"/>
    <n v="190"/>
    <n v="0"/>
    <n v="0"/>
    <n v="0.3"/>
    <m/>
    <n v="190"/>
    <m/>
    <n v="57"/>
    <n v="0"/>
    <n v="110097.90276015205"/>
  </r>
  <r>
    <x v="36"/>
    <x v="4"/>
    <x v="12"/>
    <x v="0"/>
    <x v="1"/>
    <x v="209"/>
    <x v="25"/>
    <s v="NAKİT"/>
    <n v="1"/>
    <n v="220"/>
    <n v="0"/>
    <n v="0"/>
    <n v="1"/>
    <m/>
    <n v="220"/>
    <m/>
    <n v="220"/>
    <n v="0"/>
    <n v="110317.90276015205"/>
  </r>
  <r>
    <x v="36"/>
    <x v="4"/>
    <x v="108"/>
    <x v="0"/>
    <x v="1"/>
    <x v="209"/>
    <x v="25"/>
    <s v="NAKİT"/>
    <n v="1"/>
    <n v="190"/>
    <n v="0"/>
    <n v="0"/>
    <n v="1"/>
    <m/>
    <n v="190"/>
    <m/>
    <n v="190"/>
    <n v="0"/>
    <n v="110507.90276015205"/>
  </r>
  <r>
    <x v="36"/>
    <x v="4"/>
    <x v="85"/>
    <x v="0"/>
    <x v="1"/>
    <x v="209"/>
    <x v="25"/>
    <s v="NAKİT"/>
    <n v="1"/>
    <n v="300"/>
    <n v="0"/>
    <n v="0"/>
    <n v="1"/>
    <m/>
    <n v="300"/>
    <m/>
    <n v="300"/>
    <n v="0"/>
    <n v="110807.90276015205"/>
  </r>
  <r>
    <x v="36"/>
    <x v="4"/>
    <x v="196"/>
    <x v="0"/>
    <x v="1"/>
    <x v="209"/>
    <x v="25"/>
    <s v="NAKİT"/>
    <n v="1"/>
    <n v="350"/>
    <n v="0"/>
    <n v="0"/>
    <n v="1"/>
    <m/>
    <n v="350"/>
    <m/>
    <n v="350"/>
    <n v="0"/>
    <n v="111157.90276015205"/>
  </r>
  <r>
    <x v="36"/>
    <x v="4"/>
    <x v="18"/>
    <x v="0"/>
    <x v="1"/>
    <x v="209"/>
    <x v="25"/>
    <s v="NAKİT"/>
    <n v="1"/>
    <n v="240"/>
    <n v="0"/>
    <n v="0"/>
    <n v="1"/>
    <m/>
    <n v="240"/>
    <m/>
    <n v="240"/>
    <n v="0"/>
    <n v="111397.90276015205"/>
  </r>
  <r>
    <x v="36"/>
    <x v="4"/>
    <x v="58"/>
    <x v="0"/>
    <x v="1"/>
    <x v="209"/>
    <x v="25"/>
    <s v="NAKİT"/>
    <n v="1"/>
    <n v="200"/>
    <n v="0"/>
    <n v="0"/>
    <n v="1"/>
    <m/>
    <n v="200"/>
    <m/>
    <n v="200"/>
    <n v="0"/>
    <n v="111597.90276015205"/>
  </r>
  <r>
    <x v="36"/>
    <x v="4"/>
    <x v="30"/>
    <x v="0"/>
    <x v="1"/>
    <x v="209"/>
    <x v="25"/>
    <s v="NAKİT"/>
    <n v="0.5"/>
    <n v="500"/>
    <n v="0"/>
    <n v="0"/>
    <n v="0.5"/>
    <m/>
    <n v="500"/>
    <m/>
    <n v="250"/>
    <n v="0"/>
    <n v="111847.90276015205"/>
  </r>
  <r>
    <x v="36"/>
    <x v="4"/>
    <x v="76"/>
    <x v="0"/>
    <x v="1"/>
    <x v="209"/>
    <x v="25"/>
    <s v="NAKİT"/>
    <n v="0.5"/>
    <n v="80"/>
    <n v="0"/>
    <n v="0"/>
    <n v="1"/>
    <m/>
    <n v="40"/>
    <m/>
    <n v="40"/>
    <n v="0"/>
    <n v="111887.90276015205"/>
  </r>
  <r>
    <x v="36"/>
    <x v="4"/>
    <x v="82"/>
    <x v="0"/>
    <x v="1"/>
    <x v="209"/>
    <x v="25"/>
    <s v="NAKİT"/>
    <n v="0.5"/>
    <n v="140"/>
    <n v="0"/>
    <n v="0"/>
    <n v="1"/>
    <m/>
    <n v="70"/>
    <m/>
    <n v="70"/>
    <n v="0"/>
    <n v="111957.90276015205"/>
  </r>
  <r>
    <x v="36"/>
    <x v="4"/>
    <x v="29"/>
    <x v="0"/>
    <x v="1"/>
    <x v="209"/>
    <x v="25"/>
    <s v="NAKİT"/>
    <n v="0.14000000000000001"/>
    <n v="760"/>
    <n v="0"/>
    <n v="0"/>
    <n v="0.14000000000000001"/>
    <m/>
    <n v="760"/>
    <m/>
    <n v="106.4"/>
    <n v="0"/>
    <n v="112064.30276015204"/>
  </r>
  <r>
    <x v="36"/>
    <x v="4"/>
    <x v="162"/>
    <x v="0"/>
    <x v="1"/>
    <x v="209"/>
    <x v="25"/>
    <s v="NAKİT"/>
    <n v="3"/>
    <n v="40"/>
    <n v="0"/>
    <n v="0"/>
    <n v="3"/>
    <m/>
    <n v="40"/>
    <m/>
    <n v="120"/>
    <n v="0"/>
    <n v="112184.30276015204"/>
  </r>
  <r>
    <x v="36"/>
    <x v="4"/>
    <x v="22"/>
    <x v="0"/>
    <x v="1"/>
    <x v="209"/>
    <x v="25"/>
    <s v="NAKİT"/>
    <n v="0.19600000000000001"/>
    <n v="360"/>
    <n v="0"/>
    <n v="0"/>
    <n v="0.19600000000000001"/>
    <m/>
    <n v="360"/>
    <m/>
    <n v="70.56"/>
    <n v="0"/>
    <n v="112254.86276015204"/>
  </r>
  <r>
    <x v="36"/>
    <x v="4"/>
    <x v="44"/>
    <x v="0"/>
    <x v="1"/>
    <x v="209"/>
    <x v="25"/>
    <s v="NAKİT"/>
    <n v="1"/>
    <n v="65"/>
    <n v="0"/>
    <n v="0"/>
    <n v="1"/>
    <m/>
    <n v="65"/>
    <m/>
    <n v="65"/>
    <n v="0"/>
    <n v="112319.86276015204"/>
  </r>
  <r>
    <x v="36"/>
    <x v="4"/>
    <x v="49"/>
    <x v="0"/>
    <x v="1"/>
    <x v="209"/>
    <x v="25"/>
    <s v="NAKİT"/>
    <n v="0.1"/>
    <n v="600"/>
    <n v="0"/>
    <n v="0"/>
    <n v="1"/>
    <m/>
    <n v="60"/>
    <m/>
    <n v="60"/>
    <n v="0"/>
    <n v="112379.86276015204"/>
  </r>
  <r>
    <x v="36"/>
    <x v="4"/>
    <x v="174"/>
    <x v="0"/>
    <x v="1"/>
    <x v="209"/>
    <x v="25"/>
    <s v="NAKİT"/>
    <n v="1"/>
    <n v="230"/>
    <n v="0"/>
    <n v="0"/>
    <n v="1"/>
    <m/>
    <n v="230"/>
    <m/>
    <n v="230"/>
    <n v="0"/>
    <n v="112609.86276015204"/>
  </r>
  <r>
    <x v="36"/>
    <x v="4"/>
    <x v="141"/>
    <x v="0"/>
    <x v="1"/>
    <x v="209"/>
    <x v="25"/>
    <s v="NAKİT"/>
    <n v="1"/>
    <n v="140"/>
    <n v="0"/>
    <n v="0"/>
    <n v="1"/>
    <m/>
    <n v="140"/>
    <m/>
    <n v="140"/>
    <n v="0"/>
    <n v="112749.86276015204"/>
  </r>
  <r>
    <x v="36"/>
    <x v="4"/>
    <x v="116"/>
    <x v="0"/>
    <x v="1"/>
    <x v="209"/>
    <x v="25"/>
    <s v="NAKİT"/>
    <n v="0.57199999999999995"/>
    <n v="350"/>
    <n v="0"/>
    <n v="0"/>
    <n v="0.57199999999999995"/>
    <m/>
    <n v="350"/>
    <m/>
    <n v="200.2"/>
    <n v="0"/>
    <n v="112950.06276015204"/>
  </r>
  <r>
    <x v="36"/>
    <x v="4"/>
    <x v="55"/>
    <x v="0"/>
    <x v="1"/>
    <x v="209"/>
    <x v="25"/>
    <s v="NAKİT"/>
    <n v="1.1080000000000001"/>
    <n v="180"/>
    <n v="0"/>
    <n v="0"/>
    <n v="1.1080000000000001"/>
    <m/>
    <n v="180"/>
    <m/>
    <n v="199.44000000000003"/>
    <n v="0"/>
    <n v="113149.50276015204"/>
  </r>
  <r>
    <x v="36"/>
    <x v="4"/>
    <x v="47"/>
    <x v="0"/>
    <x v="1"/>
    <x v="209"/>
    <x v="25"/>
    <s v="NAKİT"/>
    <n v="8.2000000000000003E-2"/>
    <n v="400"/>
    <n v="0"/>
    <n v="0"/>
    <n v="8.2000000000000003E-2"/>
    <m/>
    <n v="400"/>
    <m/>
    <n v="32.800000000000004"/>
    <n v="0"/>
    <n v="113182.30276015204"/>
  </r>
  <r>
    <x v="36"/>
    <x v="4"/>
    <x v="136"/>
    <x v="0"/>
    <x v="1"/>
    <x v="210"/>
    <x v="25"/>
    <s v="NAKİT"/>
    <n v="1"/>
    <n v="140"/>
    <n v="0"/>
    <n v="0"/>
    <n v="1"/>
    <m/>
    <n v="140"/>
    <m/>
    <n v="140"/>
    <n v="0"/>
    <n v="113322.30276015204"/>
  </r>
  <r>
    <x v="36"/>
    <x v="4"/>
    <x v="112"/>
    <x v="0"/>
    <x v="1"/>
    <x v="210"/>
    <x v="25"/>
    <s v="NAKİT"/>
    <n v="0.04"/>
    <n v="2250"/>
    <n v="0"/>
    <n v="0"/>
    <n v="1"/>
    <m/>
    <n v="90"/>
    <m/>
    <n v="90"/>
    <n v="0"/>
    <n v="113412.30276015204"/>
  </r>
  <r>
    <x v="36"/>
    <x v="4"/>
    <x v="23"/>
    <x v="0"/>
    <x v="1"/>
    <x v="211"/>
    <x v="25"/>
    <s v="NAKİT"/>
    <n v="0.2"/>
    <n v="250"/>
    <n v="0"/>
    <n v="0"/>
    <n v="0.2"/>
    <m/>
    <n v="250"/>
    <m/>
    <n v="50"/>
    <n v="0"/>
    <n v="113462.30276015204"/>
  </r>
  <r>
    <x v="36"/>
    <x v="4"/>
    <x v="22"/>
    <x v="0"/>
    <x v="1"/>
    <x v="211"/>
    <x v="25"/>
    <s v="NAKİT"/>
    <n v="0.14000000000000001"/>
    <n v="360"/>
    <n v="0"/>
    <n v="0"/>
    <n v="0.14000000000000001"/>
    <m/>
    <n v="360"/>
    <m/>
    <n v="50.400000000000006"/>
    <n v="0"/>
    <n v="113512.70276015204"/>
  </r>
  <r>
    <x v="36"/>
    <x v="4"/>
    <x v="142"/>
    <x v="0"/>
    <x v="1"/>
    <x v="211"/>
    <x v="25"/>
    <s v="NAKİT"/>
    <n v="0.4"/>
    <n v="250"/>
    <n v="0"/>
    <n v="0"/>
    <n v="0.4"/>
    <m/>
    <n v="250"/>
    <m/>
    <n v="100"/>
    <n v="0"/>
    <n v="113612.70276015204"/>
  </r>
  <r>
    <x v="36"/>
    <x v="4"/>
    <x v="62"/>
    <x v="0"/>
    <x v="5"/>
    <x v="212"/>
    <x v="25"/>
    <s v="POS"/>
    <n v="1"/>
    <n v="60"/>
    <n v="60"/>
    <n v="0"/>
    <n v="1"/>
    <m/>
    <n v="60"/>
    <m/>
    <n v="0"/>
    <n v="0"/>
    <n v="113612.70276015204"/>
  </r>
  <r>
    <x v="36"/>
    <x v="4"/>
    <x v="49"/>
    <x v="0"/>
    <x v="5"/>
    <x v="212"/>
    <x v="25"/>
    <s v="POS"/>
    <n v="0.1"/>
    <n v="600"/>
    <n v="60"/>
    <n v="0"/>
    <n v="1"/>
    <m/>
    <n v="60"/>
    <m/>
    <n v="0"/>
    <n v="0"/>
    <n v="113612.70276015204"/>
  </r>
  <r>
    <x v="36"/>
    <x v="4"/>
    <x v="18"/>
    <x v="0"/>
    <x v="5"/>
    <x v="213"/>
    <x v="25"/>
    <s v="POS"/>
    <n v="1"/>
    <n v="240"/>
    <n v="240"/>
    <n v="0"/>
    <n v="1"/>
    <m/>
    <n v="240"/>
    <m/>
    <n v="0"/>
    <n v="0"/>
    <n v="113612.70276015204"/>
  </r>
  <r>
    <x v="36"/>
    <x v="4"/>
    <x v="58"/>
    <x v="0"/>
    <x v="5"/>
    <x v="213"/>
    <x v="25"/>
    <s v="POS"/>
    <n v="1"/>
    <n v="200"/>
    <n v="200"/>
    <n v="0"/>
    <n v="1"/>
    <m/>
    <n v="200"/>
    <m/>
    <n v="0"/>
    <n v="0"/>
    <n v="113612.70276015204"/>
  </r>
  <r>
    <x v="36"/>
    <x v="4"/>
    <x v="204"/>
    <x v="0"/>
    <x v="5"/>
    <x v="213"/>
    <x v="25"/>
    <s v="POS"/>
    <n v="0.05"/>
    <n v="800"/>
    <n v="40"/>
    <n v="0"/>
    <n v="1"/>
    <m/>
    <n v="40"/>
    <m/>
    <n v="0"/>
    <n v="0"/>
    <n v="113612.70276015204"/>
  </r>
  <r>
    <x v="36"/>
    <x v="4"/>
    <x v="159"/>
    <x v="0"/>
    <x v="1"/>
    <x v="214"/>
    <x v="25"/>
    <s v="NAKİT"/>
    <n v="1"/>
    <n v="100"/>
    <n v="0"/>
    <n v="0"/>
    <n v="1"/>
    <m/>
    <n v="100"/>
    <m/>
    <n v="100"/>
    <n v="0"/>
    <n v="113712.70276015204"/>
  </r>
  <r>
    <x v="37"/>
    <x v="3"/>
    <x v="169"/>
    <x v="0"/>
    <x v="2"/>
    <x v="215"/>
    <x v="53"/>
    <s v="K.K."/>
    <n v="1.26"/>
    <n v="595"/>
    <n v="0"/>
    <n v="749.7"/>
    <m/>
    <n v="1.26"/>
    <m/>
    <n v="595"/>
    <n v="0"/>
    <n v="0"/>
    <n v="113712.70276015204"/>
  </r>
  <r>
    <x v="37"/>
    <x v="3"/>
    <x v="229"/>
    <x v="0"/>
    <x v="2"/>
    <x v="215"/>
    <x v="53"/>
    <s v="K.K."/>
    <n v="1"/>
    <n v="139.5"/>
    <n v="0"/>
    <n v="139.5"/>
    <m/>
    <n v="1"/>
    <m/>
    <n v="139.5"/>
    <n v="0"/>
    <n v="0"/>
    <n v="113712.70276015204"/>
  </r>
  <r>
    <x v="37"/>
    <x v="3"/>
    <x v="230"/>
    <x v="0"/>
    <x v="2"/>
    <x v="215"/>
    <x v="53"/>
    <s v="K.K."/>
    <n v="1.06"/>
    <n v="109.5"/>
    <n v="0"/>
    <n v="116.07000000000001"/>
    <m/>
    <n v="1.06"/>
    <m/>
    <n v="109.5"/>
    <n v="0"/>
    <n v="0"/>
    <n v="113712.70276015204"/>
  </r>
  <r>
    <x v="37"/>
    <x v="3"/>
    <x v="229"/>
    <x v="0"/>
    <x v="2"/>
    <x v="215"/>
    <x v="53"/>
    <s v="K.K."/>
    <n v="1.1000000000000001"/>
    <n v="139.5"/>
    <n v="0"/>
    <n v="153.45000000000002"/>
    <m/>
    <n v="1.1000000000000001"/>
    <m/>
    <n v="139.5"/>
    <n v="0"/>
    <n v="0"/>
    <n v="113712.70276015204"/>
  </r>
  <r>
    <x v="37"/>
    <x v="4"/>
    <x v="38"/>
    <x v="0"/>
    <x v="5"/>
    <x v="216"/>
    <x v="25"/>
    <s v="POS"/>
    <n v="0.1"/>
    <n v="650"/>
    <n v="65"/>
    <n v="0"/>
    <n v="1"/>
    <m/>
    <n v="65"/>
    <m/>
    <n v="0"/>
    <n v="0"/>
    <n v="113712.70276015204"/>
  </r>
  <r>
    <x v="37"/>
    <x v="4"/>
    <x v="45"/>
    <x v="0"/>
    <x v="5"/>
    <x v="216"/>
    <x v="25"/>
    <s v="POS"/>
    <n v="1"/>
    <n v="65"/>
    <n v="65"/>
    <n v="0"/>
    <n v="1"/>
    <m/>
    <n v="65"/>
    <m/>
    <n v="0"/>
    <n v="0"/>
    <n v="113712.70276015204"/>
  </r>
  <r>
    <x v="37"/>
    <x v="4"/>
    <x v="71"/>
    <x v="0"/>
    <x v="5"/>
    <x v="216"/>
    <x v="25"/>
    <s v="POS"/>
    <n v="0.58340000000000003"/>
    <n v="180"/>
    <n v="105.012"/>
    <n v="0"/>
    <n v="0.58340000000000003"/>
    <m/>
    <n v="180"/>
    <m/>
    <n v="0"/>
    <n v="0"/>
    <n v="113712.70276015204"/>
  </r>
  <r>
    <x v="37"/>
    <x v="4"/>
    <x v="24"/>
    <x v="0"/>
    <x v="1"/>
    <x v="217"/>
    <x v="25"/>
    <s v="NAKİT"/>
    <n v="0.122"/>
    <n v="640"/>
    <n v="0"/>
    <n v="0"/>
    <n v="0.122"/>
    <m/>
    <n v="640"/>
    <m/>
    <n v="78.08"/>
    <n v="0"/>
    <n v="113790.78276015204"/>
  </r>
  <r>
    <x v="37"/>
    <x v="4"/>
    <x v="31"/>
    <x v="0"/>
    <x v="1"/>
    <x v="217"/>
    <x v="25"/>
    <s v="NAKİT"/>
    <n v="8.7999999999999995E-2"/>
    <n v="380"/>
    <n v="0"/>
    <n v="0"/>
    <n v="8.7999999999999995E-2"/>
    <m/>
    <n v="380"/>
    <m/>
    <n v="33.44"/>
    <n v="0"/>
    <n v="113824.22276015204"/>
  </r>
  <r>
    <x v="37"/>
    <x v="4"/>
    <x v="57"/>
    <x v="0"/>
    <x v="1"/>
    <x v="218"/>
    <x v="25"/>
    <s v="NAKİT"/>
    <n v="0.99399999999999999"/>
    <n v="130"/>
    <n v="0"/>
    <n v="0"/>
    <n v="0.99399999999999999"/>
    <m/>
    <n v="130"/>
    <m/>
    <n v="129.22"/>
    <n v="0"/>
    <n v="113953.44276015204"/>
  </r>
  <r>
    <x v="37"/>
    <x v="4"/>
    <x v="55"/>
    <x v="0"/>
    <x v="1"/>
    <x v="218"/>
    <x v="25"/>
    <s v="NAKİT"/>
    <n v="1.0760000000000001"/>
    <n v="180"/>
    <n v="0"/>
    <n v="0"/>
    <n v="1.0760000000000001"/>
    <m/>
    <n v="180"/>
    <m/>
    <n v="193.68"/>
    <n v="0"/>
    <n v="114147.12276015204"/>
  </r>
  <r>
    <x v="37"/>
    <x v="4"/>
    <x v="70"/>
    <x v="0"/>
    <x v="1"/>
    <x v="218"/>
    <x v="25"/>
    <s v="NAKİT"/>
    <n v="0.29199999999999998"/>
    <n v="180"/>
    <n v="0"/>
    <n v="0"/>
    <n v="0.29199999999999998"/>
    <m/>
    <n v="180"/>
    <m/>
    <n v="52.559999999999995"/>
    <n v="0"/>
    <n v="114199.68276015203"/>
  </r>
  <r>
    <x v="37"/>
    <x v="4"/>
    <x v="157"/>
    <x v="0"/>
    <x v="1"/>
    <x v="218"/>
    <x v="25"/>
    <s v="NAKİT"/>
    <n v="0.1"/>
    <n v="200"/>
    <n v="0"/>
    <n v="0"/>
    <n v="1"/>
    <m/>
    <n v="20"/>
    <m/>
    <n v="20"/>
    <n v="0"/>
    <n v="114219.68276015203"/>
  </r>
  <r>
    <x v="37"/>
    <x v="4"/>
    <x v="99"/>
    <x v="0"/>
    <x v="1"/>
    <x v="218"/>
    <x v="25"/>
    <s v="NAKİT"/>
    <n v="0.1"/>
    <n v="900"/>
    <n v="0"/>
    <n v="0"/>
    <n v="1"/>
    <m/>
    <n v="90"/>
    <m/>
    <n v="90"/>
    <n v="0"/>
    <n v="114309.68276015203"/>
  </r>
  <r>
    <x v="37"/>
    <x v="4"/>
    <x v="74"/>
    <x v="0"/>
    <x v="1"/>
    <x v="218"/>
    <x v="25"/>
    <s v="NAKİT"/>
    <n v="0.25"/>
    <n v="380"/>
    <n v="0"/>
    <n v="0"/>
    <n v="1"/>
    <m/>
    <n v="95"/>
    <m/>
    <n v="95"/>
    <n v="0"/>
    <n v="114404.68276015203"/>
  </r>
  <r>
    <x v="37"/>
    <x v="4"/>
    <x v="77"/>
    <x v="0"/>
    <x v="1"/>
    <x v="218"/>
    <x v="25"/>
    <s v="NAKİT"/>
    <n v="0.5"/>
    <n v="80"/>
    <n v="0"/>
    <n v="0"/>
    <n v="1"/>
    <m/>
    <n v="40"/>
    <m/>
    <n v="40"/>
    <n v="0"/>
    <n v="114444.68276015203"/>
  </r>
  <r>
    <x v="37"/>
    <x v="4"/>
    <x v="36"/>
    <x v="0"/>
    <x v="1"/>
    <x v="218"/>
    <x v="25"/>
    <s v="NAKİT"/>
    <n v="0.25"/>
    <n v="180"/>
    <n v="0"/>
    <n v="0"/>
    <n v="1"/>
    <m/>
    <n v="45"/>
    <m/>
    <n v="45"/>
    <n v="0"/>
    <n v="114489.68276015203"/>
  </r>
  <r>
    <x v="37"/>
    <x v="4"/>
    <x v="119"/>
    <x v="0"/>
    <x v="1"/>
    <x v="218"/>
    <x v="25"/>
    <s v="NAKİT"/>
    <n v="0.23"/>
    <n v="650"/>
    <n v="0"/>
    <n v="0"/>
    <n v="0.23"/>
    <m/>
    <n v="650"/>
    <m/>
    <n v="149.5"/>
    <n v="0"/>
    <n v="114639.18276015203"/>
  </r>
  <r>
    <x v="37"/>
    <x v="4"/>
    <x v="52"/>
    <x v="0"/>
    <x v="1"/>
    <x v="218"/>
    <x v="25"/>
    <s v="NAKİT"/>
    <n v="0.1"/>
    <n v="400"/>
    <n v="0"/>
    <n v="0"/>
    <n v="1"/>
    <m/>
    <n v="40"/>
    <m/>
    <n v="40"/>
    <n v="0"/>
    <n v="114679.18276015203"/>
  </r>
  <r>
    <x v="37"/>
    <x v="4"/>
    <x v="130"/>
    <x v="0"/>
    <x v="1"/>
    <x v="218"/>
    <x v="25"/>
    <s v="NAKİT"/>
    <n v="0.22500000000000001"/>
    <n v="190"/>
    <n v="0"/>
    <n v="0"/>
    <n v="0.22500000000000001"/>
    <m/>
    <n v="190"/>
    <m/>
    <n v="42.75"/>
    <n v="0"/>
    <n v="114721.93276015203"/>
  </r>
  <r>
    <x v="37"/>
    <x v="4"/>
    <x v="24"/>
    <x v="0"/>
    <x v="1"/>
    <x v="218"/>
    <x v="25"/>
    <s v="NAKİT"/>
    <n v="0.12"/>
    <n v="640"/>
    <n v="0"/>
    <n v="0"/>
    <n v="0.12"/>
    <m/>
    <n v="640"/>
    <m/>
    <n v="76.8"/>
    <n v="0"/>
    <n v="114798.73276015204"/>
  </r>
  <r>
    <x v="37"/>
    <x v="4"/>
    <x v="111"/>
    <x v="0"/>
    <x v="1"/>
    <x v="218"/>
    <x v="25"/>
    <s v="NAKİT"/>
    <n v="8.7999999999999995E-2"/>
    <n v="350"/>
    <n v="0"/>
    <n v="0"/>
    <n v="8.7999999999999995E-2"/>
    <m/>
    <n v="350"/>
    <m/>
    <n v="30.799999999999997"/>
    <n v="0"/>
    <n v="114829.53276015204"/>
  </r>
  <r>
    <x v="37"/>
    <x v="4"/>
    <x v="75"/>
    <x v="0"/>
    <x v="1"/>
    <x v="218"/>
    <x v="25"/>
    <s v="NAKİT"/>
    <n v="0.05"/>
    <n v="800"/>
    <n v="0"/>
    <n v="0"/>
    <n v="0.05"/>
    <m/>
    <n v="800"/>
    <m/>
    <n v="40"/>
    <n v="0"/>
    <n v="114869.53276015204"/>
  </r>
  <r>
    <x v="37"/>
    <x v="4"/>
    <x v="40"/>
    <x v="0"/>
    <x v="1"/>
    <x v="218"/>
    <x v="25"/>
    <s v="NAKİT"/>
    <n v="3.5999999999999997E-2"/>
    <n v="140"/>
    <n v="0"/>
    <n v="0"/>
    <n v="3.5999999999999997E-2"/>
    <m/>
    <n v="140"/>
    <m/>
    <n v="5.04"/>
    <n v="0"/>
    <n v="114874.57276015203"/>
  </r>
  <r>
    <x v="37"/>
    <x v="4"/>
    <x v="180"/>
    <x v="0"/>
    <x v="1"/>
    <x v="218"/>
    <x v="25"/>
    <s v="NAKİT"/>
    <n v="1"/>
    <n v="135"/>
    <n v="0"/>
    <n v="0"/>
    <n v="1"/>
    <m/>
    <n v="135"/>
    <m/>
    <n v="135"/>
    <n v="0"/>
    <n v="115009.57276015203"/>
  </r>
  <r>
    <x v="37"/>
    <x v="4"/>
    <x v="210"/>
    <x v="0"/>
    <x v="1"/>
    <x v="218"/>
    <x v="25"/>
    <s v="NAKİT"/>
    <n v="1"/>
    <n v="50"/>
    <n v="0"/>
    <n v="0"/>
    <n v="1"/>
    <m/>
    <n v="50"/>
    <m/>
    <n v="50"/>
    <n v="0"/>
    <n v="115059.57276015203"/>
  </r>
  <r>
    <x v="37"/>
    <x v="4"/>
    <x v="161"/>
    <x v="0"/>
    <x v="1"/>
    <x v="218"/>
    <x v="25"/>
    <s v="NAKİT"/>
    <n v="0.05"/>
    <n v="370"/>
    <n v="0"/>
    <n v="0"/>
    <n v="0.05"/>
    <m/>
    <n v="370"/>
    <m/>
    <n v="18.5"/>
    <n v="0"/>
    <n v="115078.07276015203"/>
  </r>
  <r>
    <x v="37"/>
    <x v="4"/>
    <x v="182"/>
    <x v="0"/>
    <x v="1"/>
    <x v="219"/>
    <x v="25"/>
    <s v="NAKİT"/>
    <n v="1"/>
    <n v="230"/>
    <n v="0"/>
    <n v="0"/>
    <n v="1"/>
    <m/>
    <n v="230"/>
    <m/>
    <n v="230"/>
    <n v="0"/>
    <n v="115308.07276015203"/>
  </r>
  <r>
    <x v="37"/>
    <x v="4"/>
    <x v="111"/>
    <x v="0"/>
    <x v="1"/>
    <x v="219"/>
    <x v="25"/>
    <s v="NAKİT"/>
    <n v="0.14799999999999999"/>
    <n v="350"/>
    <n v="0"/>
    <n v="0"/>
    <n v="0.14799999999999999"/>
    <m/>
    <n v="350"/>
    <m/>
    <n v="51.8"/>
    <n v="0"/>
    <n v="115359.87276015204"/>
  </r>
  <r>
    <x v="37"/>
    <x v="4"/>
    <x v="163"/>
    <x v="0"/>
    <x v="1"/>
    <x v="219"/>
    <x v="25"/>
    <s v="NAKİT"/>
    <n v="4"/>
    <n v="40"/>
    <n v="0"/>
    <n v="0"/>
    <n v="4"/>
    <m/>
    <n v="40"/>
    <m/>
    <n v="160"/>
    <n v="0"/>
    <n v="115519.87276015204"/>
  </r>
  <r>
    <x v="37"/>
    <x v="4"/>
    <x v="154"/>
    <x v="0"/>
    <x v="1"/>
    <x v="219"/>
    <x v="25"/>
    <s v="NAKİT"/>
    <n v="1"/>
    <n v="90"/>
    <n v="0"/>
    <n v="0"/>
    <n v="1"/>
    <m/>
    <n v="90"/>
    <m/>
    <n v="90"/>
    <n v="0"/>
    <n v="115609.87276015204"/>
  </r>
  <r>
    <x v="37"/>
    <x v="4"/>
    <x v="55"/>
    <x v="0"/>
    <x v="1"/>
    <x v="219"/>
    <x v="25"/>
    <s v="NAKİT"/>
    <n v="2.0179999999999998"/>
    <n v="180"/>
    <n v="0"/>
    <n v="0"/>
    <n v="2.0179999999999998"/>
    <m/>
    <n v="180"/>
    <m/>
    <n v="363.23999999999995"/>
    <n v="0"/>
    <n v="115973.11276015204"/>
  </r>
  <r>
    <x v="37"/>
    <x v="4"/>
    <x v="57"/>
    <x v="0"/>
    <x v="1"/>
    <x v="219"/>
    <x v="25"/>
    <s v="NAKİT"/>
    <n v="0.97799999999999998"/>
    <n v="130"/>
    <n v="0"/>
    <n v="0"/>
    <n v="0.97799999999999998"/>
    <m/>
    <n v="130"/>
    <m/>
    <n v="127.14"/>
    <n v="0"/>
    <n v="116100.25276015204"/>
  </r>
  <r>
    <x v="37"/>
    <x v="4"/>
    <x v="25"/>
    <x v="0"/>
    <x v="1"/>
    <x v="219"/>
    <x v="25"/>
    <s v="NAKİT"/>
    <n v="0.19600000000000001"/>
    <n v="390"/>
    <n v="0"/>
    <n v="0"/>
    <n v="0.19600000000000001"/>
    <m/>
    <n v="390"/>
    <m/>
    <n v="76.44"/>
    <n v="0"/>
    <n v="116176.69276015204"/>
  </r>
  <r>
    <x v="37"/>
    <x v="4"/>
    <x v="61"/>
    <x v="0"/>
    <x v="1"/>
    <x v="219"/>
    <x v="25"/>
    <s v="NAKİT"/>
    <n v="9.1999999999999998E-2"/>
    <n v="770"/>
    <n v="0"/>
    <n v="0"/>
    <n v="9.1999999999999998E-2"/>
    <m/>
    <n v="770"/>
    <m/>
    <n v="70.84"/>
    <n v="0"/>
    <n v="116247.53276015204"/>
  </r>
  <r>
    <x v="37"/>
    <x v="4"/>
    <x v="22"/>
    <x v="0"/>
    <x v="1"/>
    <x v="219"/>
    <x v="25"/>
    <s v="NAKİT"/>
    <n v="9.6000000000000002E-2"/>
    <n v="360"/>
    <n v="0"/>
    <n v="0"/>
    <n v="9.6000000000000002E-2"/>
    <m/>
    <n v="360"/>
    <m/>
    <n v="34.56"/>
    <n v="0"/>
    <n v="116282.09276015204"/>
  </r>
  <r>
    <x v="37"/>
    <x v="4"/>
    <x v="88"/>
    <x v="0"/>
    <x v="1"/>
    <x v="219"/>
    <x v="25"/>
    <s v="NAKİT"/>
    <n v="5.4550000000000001E-2"/>
    <n v="1100"/>
    <n v="0"/>
    <n v="0"/>
    <n v="1"/>
    <m/>
    <n v="60"/>
    <m/>
    <n v="60.005000000000003"/>
    <n v="0"/>
    <n v="116342.09776015204"/>
  </r>
  <r>
    <x v="37"/>
    <x v="4"/>
    <x v="54"/>
    <x v="0"/>
    <x v="1"/>
    <x v="219"/>
    <x v="25"/>
    <s v="NAKİT"/>
    <n v="0.1"/>
    <n v="400"/>
    <n v="0"/>
    <n v="0"/>
    <n v="1"/>
    <m/>
    <n v="40"/>
    <m/>
    <n v="40"/>
    <n v="0"/>
    <n v="116382.09776015204"/>
  </r>
  <r>
    <x v="37"/>
    <x v="4"/>
    <x v="157"/>
    <x v="0"/>
    <x v="1"/>
    <x v="219"/>
    <x v="25"/>
    <s v="NAKİT"/>
    <n v="0.2"/>
    <n v="200"/>
    <n v="0"/>
    <n v="0"/>
    <n v="1"/>
    <m/>
    <n v="40"/>
    <m/>
    <n v="40"/>
    <n v="0"/>
    <n v="116422.09776015204"/>
  </r>
  <r>
    <x v="37"/>
    <x v="4"/>
    <x v="82"/>
    <x v="0"/>
    <x v="1"/>
    <x v="219"/>
    <x v="25"/>
    <s v="NAKİT"/>
    <n v="2"/>
    <n v="140"/>
    <n v="0"/>
    <n v="0"/>
    <n v="4"/>
    <m/>
    <n v="70"/>
    <m/>
    <n v="280"/>
    <n v="0"/>
    <n v="116702.09776015204"/>
  </r>
  <r>
    <x v="37"/>
    <x v="4"/>
    <x v="14"/>
    <x v="0"/>
    <x v="1"/>
    <x v="219"/>
    <x v="25"/>
    <s v="NAKİT"/>
    <n v="0.5"/>
    <n v="280"/>
    <n v="0"/>
    <n v="0"/>
    <n v="1"/>
    <m/>
    <n v="140"/>
    <m/>
    <n v="140"/>
    <n v="0"/>
    <n v="116842.09776015204"/>
  </r>
  <r>
    <x v="37"/>
    <x v="4"/>
    <x v="31"/>
    <x v="0"/>
    <x v="1"/>
    <x v="219"/>
    <x v="25"/>
    <s v="NAKİT"/>
    <n v="0.754"/>
    <n v="380"/>
    <n v="0"/>
    <n v="0"/>
    <n v="0.754"/>
    <m/>
    <n v="380"/>
    <m/>
    <n v="286.52"/>
    <n v="0"/>
    <n v="117128.61776015205"/>
  </r>
  <r>
    <x v="37"/>
    <x v="4"/>
    <x v="113"/>
    <x v="0"/>
    <x v="1"/>
    <x v="219"/>
    <x v="25"/>
    <s v="NAKİT"/>
    <n v="0.1"/>
    <n v="1350"/>
    <n v="0"/>
    <n v="0"/>
    <n v="1"/>
    <m/>
    <n v="135"/>
    <m/>
    <n v="135"/>
    <n v="0"/>
    <n v="117263.61776015205"/>
  </r>
  <r>
    <x v="37"/>
    <x v="4"/>
    <x v="30"/>
    <x v="0"/>
    <x v="1"/>
    <x v="219"/>
    <x v="25"/>
    <s v="NAKİT"/>
    <n v="0.79600000000000004"/>
    <n v="500"/>
    <n v="0"/>
    <n v="0"/>
    <n v="0.79600000000000004"/>
    <m/>
    <n v="500"/>
    <m/>
    <n v="398"/>
    <n v="0"/>
    <n v="117661.61776015205"/>
  </r>
  <r>
    <x v="37"/>
    <x v="4"/>
    <x v="93"/>
    <x v="0"/>
    <x v="1"/>
    <x v="219"/>
    <x v="25"/>
    <s v="NAKİT"/>
    <n v="1"/>
    <n v="295"/>
    <n v="0"/>
    <n v="0"/>
    <n v="1"/>
    <m/>
    <n v="295"/>
    <m/>
    <n v="295"/>
    <n v="0"/>
    <n v="117956.61776015205"/>
  </r>
  <r>
    <x v="37"/>
    <x v="4"/>
    <x v="116"/>
    <x v="0"/>
    <x v="1"/>
    <x v="219"/>
    <x v="25"/>
    <s v="NAKİT"/>
    <n v="0.28999999999999998"/>
    <n v="350"/>
    <n v="0"/>
    <n v="0"/>
    <n v="0.28999999999999998"/>
    <m/>
    <n v="350"/>
    <m/>
    <n v="101.5"/>
    <n v="0"/>
    <n v="118058.11776015205"/>
  </r>
  <r>
    <x v="37"/>
    <x v="4"/>
    <x v="27"/>
    <x v="0"/>
    <x v="1"/>
    <x v="219"/>
    <x v="25"/>
    <s v="NAKİT"/>
    <n v="0.14799999999999999"/>
    <n v="400"/>
    <n v="0"/>
    <n v="0"/>
    <n v="0.14799999999999999"/>
    <m/>
    <n v="400"/>
    <m/>
    <n v="59.199999999999996"/>
    <n v="0"/>
    <n v="118117.31776015204"/>
  </r>
  <r>
    <x v="37"/>
    <x v="4"/>
    <x v="230"/>
    <x v="0"/>
    <x v="1"/>
    <x v="219"/>
    <x v="25"/>
    <s v="NAKİT"/>
    <n v="0.35399999999999998"/>
    <n v="155"/>
    <n v="0"/>
    <n v="0"/>
    <n v="0.35399999999999998"/>
    <m/>
    <n v="155"/>
    <m/>
    <n v="54.87"/>
    <n v="0"/>
    <n v="118172.18776015204"/>
  </r>
  <r>
    <x v="37"/>
    <x v="4"/>
    <x v="85"/>
    <x v="0"/>
    <x v="1"/>
    <x v="219"/>
    <x v="25"/>
    <s v="NAKİT"/>
    <n v="1.4059999999999999"/>
    <n v="290"/>
    <n v="0"/>
    <n v="0"/>
    <n v="1.4059999999999999"/>
    <m/>
    <n v="290"/>
    <m/>
    <n v="407.73999999999995"/>
    <n v="0"/>
    <n v="118579.92776015204"/>
  </r>
  <r>
    <x v="37"/>
    <x v="4"/>
    <x v="220"/>
    <x v="0"/>
    <x v="1"/>
    <x v="219"/>
    <x v="25"/>
    <s v="NAKİT"/>
    <n v="1"/>
    <n v="300"/>
    <n v="0"/>
    <n v="0"/>
    <n v="1"/>
    <m/>
    <n v="300"/>
    <m/>
    <n v="300"/>
    <n v="0"/>
    <n v="118879.92776015204"/>
  </r>
  <r>
    <x v="37"/>
    <x v="4"/>
    <x v="18"/>
    <x v="0"/>
    <x v="1"/>
    <x v="219"/>
    <x v="25"/>
    <s v="NAKİT"/>
    <n v="1"/>
    <n v="240"/>
    <n v="0"/>
    <n v="0"/>
    <n v="1"/>
    <m/>
    <n v="240"/>
    <m/>
    <n v="240"/>
    <n v="0"/>
    <n v="119119.92776015204"/>
  </r>
  <r>
    <x v="37"/>
    <x v="4"/>
    <x v="19"/>
    <x v="0"/>
    <x v="1"/>
    <x v="219"/>
    <x v="25"/>
    <s v="NAKİT"/>
    <n v="2"/>
    <n v="200"/>
    <n v="0"/>
    <n v="0"/>
    <n v="2"/>
    <m/>
    <n v="200"/>
    <m/>
    <n v="400"/>
    <n v="0"/>
    <n v="119519.92776015204"/>
  </r>
  <r>
    <x v="37"/>
    <x v="4"/>
    <x v="85"/>
    <x v="0"/>
    <x v="1"/>
    <x v="220"/>
    <x v="25"/>
    <s v="NAKİT"/>
    <n v="1.292"/>
    <n v="290"/>
    <n v="0"/>
    <n v="0"/>
    <n v="1.292"/>
    <m/>
    <n v="290"/>
    <m/>
    <n v="374.68"/>
    <n v="0"/>
    <n v="119894.60776015204"/>
  </r>
  <r>
    <x v="37"/>
    <x v="4"/>
    <x v="142"/>
    <x v="0"/>
    <x v="1"/>
    <x v="220"/>
    <x v="25"/>
    <s v="NAKİT"/>
    <n v="0.29199999999999998"/>
    <n v="250"/>
    <n v="0"/>
    <n v="0"/>
    <n v="0.29199999999999998"/>
    <m/>
    <n v="250"/>
    <m/>
    <n v="73"/>
    <n v="0"/>
    <n v="119967.60776015204"/>
  </r>
  <r>
    <x v="37"/>
    <x v="4"/>
    <x v="44"/>
    <x v="0"/>
    <x v="1"/>
    <x v="220"/>
    <x v="25"/>
    <s v="NAKİT"/>
    <n v="1"/>
    <n v="65"/>
    <n v="0"/>
    <n v="0"/>
    <n v="1"/>
    <m/>
    <n v="65"/>
    <m/>
    <n v="65"/>
    <n v="0"/>
    <n v="120032.60776015204"/>
  </r>
  <r>
    <x v="37"/>
    <x v="4"/>
    <x v="55"/>
    <x v="0"/>
    <x v="1"/>
    <x v="220"/>
    <x v="25"/>
    <s v="NAKİT"/>
    <n v="1.6539999999999999"/>
    <n v="180"/>
    <n v="0"/>
    <n v="0"/>
    <n v="1.6539999999999999"/>
    <m/>
    <n v="180"/>
    <m/>
    <n v="297.71999999999997"/>
    <n v="0"/>
    <n v="120330.32776015204"/>
  </r>
  <r>
    <x v="37"/>
    <x v="4"/>
    <x v="118"/>
    <x v="0"/>
    <x v="1"/>
    <x v="220"/>
    <x v="25"/>
    <s v="NAKİT"/>
    <n v="1"/>
    <n v="180"/>
    <n v="0"/>
    <n v="0"/>
    <n v="1"/>
    <m/>
    <n v="180"/>
    <m/>
    <n v="180"/>
    <n v="0"/>
    <n v="120510.32776015204"/>
  </r>
  <r>
    <x v="37"/>
    <x v="4"/>
    <x v="54"/>
    <x v="0"/>
    <x v="1"/>
    <x v="220"/>
    <x v="25"/>
    <s v="NAKİT"/>
    <n v="0.1"/>
    <n v="400"/>
    <n v="0"/>
    <n v="0"/>
    <n v="1"/>
    <m/>
    <n v="40"/>
    <m/>
    <n v="40"/>
    <n v="0"/>
    <n v="120550.32776015204"/>
  </r>
  <r>
    <x v="37"/>
    <x v="4"/>
    <x v="50"/>
    <x v="0"/>
    <x v="1"/>
    <x v="220"/>
    <x v="25"/>
    <s v="NAKİT"/>
    <n v="0.1"/>
    <n v="650"/>
    <n v="0"/>
    <n v="0"/>
    <n v="1"/>
    <m/>
    <n v="65"/>
    <m/>
    <n v="65"/>
    <n v="0"/>
    <n v="120615.32776015204"/>
  </r>
  <r>
    <x v="37"/>
    <x v="4"/>
    <x v="157"/>
    <x v="0"/>
    <x v="1"/>
    <x v="220"/>
    <x v="25"/>
    <s v="NAKİT"/>
    <n v="0.1"/>
    <n v="200"/>
    <n v="0"/>
    <n v="0"/>
    <n v="1"/>
    <m/>
    <n v="20"/>
    <m/>
    <n v="20"/>
    <n v="0"/>
    <n v="120635.32776015204"/>
  </r>
  <r>
    <x v="37"/>
    <x v="4"/>
    <x v="23"/>
    <x v="0"/>
    <x v="1"/>
    <x v="220"/>
    <x v="25"/>
    <s v="NAKİT"/>
    <n v="0.192"/>
    <n v="250"/>
    <n v="0"/>
    <n v="0"/>
    <n v="0.192"/>
    <m/>
    <n v="250"/>
    <m/>
    <n v="48"/>
    <n v="0"/>
    <n v="120683.32776015204"/>
  </r>
  <r>
    <x v="37"/>
    <x v="4"/>
    <x v="97"/>
    <x v="0"/>
    <x v="1"/>
    <x v="220"/>
    <x v="25"/>
    <s v="NAKİT"/>
    <n v="0.18"/>
    <n v="600"/>
    <n v="0"/>
    <n v="0"/>
    <n v="0.18"/>
    <m/>
    <n v="600"/>
    <m/>
    <n v="108"/>
    <n v="0"/>
    <n v="120791.32776015204"/>
  </r>
  <r>
    <x v="37"/>
    <x v="4"/>
    <x v="116"/>
    <x v="0"/>
    <x v="1"/>
    <x v="220"/>
    <x v="25"/>
    <s v="NAKİT"/>
    <n v="0.24"/>
    <n v="350"/>
    <n v="0"/>
    <n v="0"/>
    <n v="0.24"/>
    <m/>
    <n v="350"/>
    <m/>
    <n v="84"/>
    <n v="0"/>
    <n v="120875.32776015204"/>
  </r>
  <r>
    <x v="37"/>
    <x v="4"/>
    <x v="27"/>
    <x v="0"/>
    <x v="1"/>
    <x v="220"/>
    <x v="25"/>
    <s v="NAKİT"/>
    <n v="5.8000000000000003E-2"/>
    <n v="400"/>
    <n v="0"/>
    <n v="0"/>
    <n v="5.8000000000000003E-2"/>
    <m/>
    <n v="400"/>
    <m/>
    <n v="23.200000000000003"/>
    <n v="0"/>
    <n v="120898.52776015204"/>
  </r>
  <r>
    <x v="37"/>
    <x v="4"/>
    <x v="24"/>
    <x v="0"/>
    <x v="1"/>
    <x v="220"/>
    <x v="25"/>
    <s v="NAKİT"/>
    <n v="0.11799999999999999"/>
    <n v="640"/>
    <n v="0"/>
    <n v="0"/>
    <n v="0.11799999999999999"/>
    <m/>
    <n v="640"/>
    <m/>
    <n v="75.52"/>
    <n v="0"/>
    <n v="120974.04776015204"/>
  </r>
  <r>
    <x v="37"/>
    <x v="4"/>
    <x v="38"/>
    <x v="0"/>
    <x v="1"/>
    <x v="220"/>
    <x v="25"/>
    <s v="NAKİT"/>
    <n v="0.1"/>
    <n v="650"/>
    <n v="0"/>
    <n v="0"/>
    <n v="1"/>
    <m/>
    <n v="65"/>
    <m/>
    <n v="65"/>
    <n v="0"/>
    <n v="121039.04776015204"/>
  </r>
  <r>
    <x v="37"/>
    <x v="4"/>
    <x v="111"/>
    <x v="0"/>
    <x v="1"/>
    <x v="220"/>
    <x v="25"/>
    <s v="NAKİT"/>
    <n v="0.154"/>
    <n v="350"/>
    <n v="0"/>
    <n v="0"/>
    <n v="0.154"/>
    <m/>
    <n v="350"/>
    <m/>
    <n v="53.9"/>
    <n v="0"/>
    <n v="121092.94776015203"/>
  </r>
  <r>
    <x v="37"/>
    <x v="4"/>
    <x v="164"/>
    <x v="0"/>
    <x v="1"/>
    <x v="220"/>
    <x v="25"/>
    <s v="NAKİT"/>
    <n v="2"/>
    <n v="40"/>
    <n v="0"/>
    <n v="0"/>
    <n v="2"/>
    <m/>
    <n v="40"/>
    <m/>
    <n v="80"/>
    <n v="0"/>
    <n v="121172.94776015203"/>
  </r>
  <r>
    <x v="37"/>
    <x v="4"/>
    <x v="99"/>
    <x v="0"/>
    <x v="1"/>
    <x v="220"/>
    <x v="25"/>
    <s v="NAKİT"/>
    <n v="0.1"/>
    <n v="900"/>
    <n v="0"/>
    <n v="0"/>
    <n v="1"/>
    <m/>
    <n v="90"/>
    <m/>
    <n v="90"/>
    <n v="0"/>
    <n v="121262.94776015203"/>
  </r>
  <r>
    <x v="37"/>
    <x v="4"/>
    <x v="18"/>
    <x v="0"/>
    <x v="1"/>
    <x v="221"/>
    <x v="25"/>
    <s v="NAKİT"/>
    <n v="1"/>
    <n v="240"/>
    <n v="0"/>
    <n v="0"/>
    <n v="1"/>
    <m/>
    <n v="240"/>
    <m/>
    <n v="240"/>
    <n v="0"/>
    <n v="121502.94776015203"/>
  </r>
  <r>
    <x v="37"/>
    <x v="4"/>
    <x v="43"/>
    <x v="0"/>
    <x v="1"/>
    <x v="221"/>
    <x v="25"/>
    <s v="NAKİT"/>
    <n v="1"/>
    <n v="65"/>
    <n v="0"/>
    <n v="0"/>
    <n v="1"/>
    <m/>
    <n v="65"/>
    <m/>
    <n v="65"/>
    <n v="0"/>
    <n v="121567.94776015203"/>
  </r>
  <r>
    <x v="37"/>
    <x v="4"/>
    <x v="45"/>
    <x v="0"/>
    <x v="1"/>
    <x v="221"/>
    <x v="25"/>
    <s v="NAKİT"/>
    <n v="1"/>
    <n v="65"/>
    <n v="0"/>
    <n v="0"/>
    <n v="1"/>
    <m/>
    <n v="65"/>
    <m/>
    <n v="65"/>
    <n v="0"/>
    <n v="121632.94776015203"/>
  </r>
  <r>
    <x v="37"/>
    <x v="4"/>
    <x v="209"/>
    <x v="0"/>
    <x v="1"/>
    <x v="221"/>
    <x v="25"/>
    <s v="NAKİT"/>
    <n v="0.92200000000000004"/>
    <n v="290"/>
    <n v="0"/>
    <n v="0"/>
    <n v="0.92200000000000004"/>
    <m/>
    <n v="290"/>
    <m/>
    <n v="267.38"/>
    <n v="0"/>
    <n v="121900.32776015204"/>
  </r>
  <r>
    <x v="37"/>
    <x v="4"/>
    <x v="154"/>
    <x v="0"/>
    <x v="1"/>
    <x v="221"/>
    <x v="25"/>
    <s v="NAKİT"/>
    <n v="1"/>
    <n v="90"/>
    <n v="0"/>
    <n v="0"/>
    <n v="1"/>
    <m/>
    <n v="90"/>
    <m/>
    <n v="90"/>
    <n v="0"/>
    <n v="121990.32776015204"/>
  </r>
  <r>
    <x v="37"/>
    <x v="4"/>
    <x v="85"/>
    <x v="0"/>
    <x v="1"/>
    <x v="221"/>
    <x v="25"/>
    <s v="NAKİT"/>
    <n v="0.88800000000000001"/>
    <n v="290"/>
    <n v="0"/>
    <n v="0"/>
    <n v="0.88800000000000001"/>
    <m/>
    <n v="290"/>
    <m/>
    <n v="257.52"/>
    <n v="0"/>
    <n v="122247.84776015204"/>
  </r>
  <r>
    <x v="37"/>
    <x v="4"/>
    <x v="118"/>
    <x v="0"/>
    <x v="1"/>
    <x v="221"/>
    <x v="25"/>
    <s v="NAKİT"/>
    <n v="1"/>
    <n v="180"/>
    <n v="0"/>
    <n v="0"/>
    <n v="1"/>
    <m/>
    <n v="180"/>
    <m/>
    <n v="180"/>
    <n v="0"/>
    <n v="122427.84776015204"/>
  </r>
  <r>
    <x v="37"/>
    <x v="4"/>
    <x v="57"/>
    <x v="0"/>
    <x v="1"/>
    <x v="221"/>
    <x v="25"/>
    <s v="NAKİT"/>
    <n v="1.038"/>
    <n v="130"/>
    <n v="0"/>
    <n v="0"/>
    <n v="1.038"/>
    <m/>
    <n v="130"/>
    <m/>
    <n v="134.94"/>
    <n v="0"/>
    <n v="122562.78776015204"/>
  </r>
  <r>
    <x v="37"/>
    <x v="4"/>
    <x v="97"/>
    <x v="0"/>
    <x v="1"/>
    <x v="221"/>
    <x v="25"/>
    <s v="NAKİT"/>
    <n v="0.48799999999999999"/>
    <n v="600"/>
    <n v="0"/>
    <n v="0"/>
    <n v="0.48799999999999999"/>
    <m/>
    <n v="600"/>
    <m/>
    <n v="292.8"/>
    <n v="0"/>
    <n v="122855.58776015205"/>
  </r>
  <r>
    <x v="37"/>
    <x v="4"/>
    <x v="116"/>
    <x v="0"/>
    <x v="1"/>
    <x v="221"/>
    <x v="25"/>
    <s v="NAKİT"/>
    <n v="0.24399999999999999"/>
    <n v="350"/>
    <n v="0"/>
    <n v="0"/>
    <n v="0.24399999999999999"/>
    <m/>
    <n v="350"/>
    <m/>
    <n v="85.399999999999991"/>
    <n v="0"/>
    <n v="122940.98776015204"/>
  </r>
  <r>
    <x v="37"/>
    <x v="4"/>
    <x v="69"/>
    <x v="0"/>
    <x v="1"/>
    <x v="221"/>
    <x v="25"/>
    <s v="NAKİT"/>
    <n v="3.4000000000000002E-2"/>
    <n v="1000"/>
    <n v="0"/>
    <n v="0"/>
    <n v="3.4000000000000002E-2"/>
    <m/>
    <n v="1000"/>
    <m/>
    <n v="34"/>
    <n v="0"/>
    <n v="122974.98776015204"/>
  </r>
  <r>
    <x v="37"/>
    <x v="4"/>
    <x v="31"/>
    <x v="0"/>
    <x v="1"/>
    <x v="221"/>
    <x v="25"/>
    <s v="NAKİT"/>
    <n v="0.40799999999999997"/>
    <n v="380"/>
    <n v="0"/>
    <n v="0"/>
    <n v="0.40799999999999997"/>
    <m/>
    <n v="380"/>
    <m/>
    <n v="155.04"/>
    <n v="0"/>
    <n v="123130.02776015204"/>
  </r>
  <r>
    <x v="37"/>
    <x v="4"/>
    <x v="129"/>
    <x v="0"/>
    <x v="1"/>
    <x v="221"/>
    <x v="25"/>
    <s v="NAKİT"/>
    <n v="0.224"/>
    <n v="230"/>
    <n v="0"/>
    <n v="0"/>
    <n v="0.224"/>
    <m/>
    <n v="230"/>
    <m/>
    <n v="51.52"/>
    <n v="0"/>
    <n v="123181.54776015204"/>
  </r>
  <r>
    <x v="37"/>
    <x v="4"/>
    <x v="27"/>
    <x v="0"/>
    <x v="1"/>
    <x v="221"/>
    <x v="25"/>
    <s v="NAKİT"/>
    <n v="0.114"/>
    <n v="400"/>
    <n v="0"/>
    <n v="0"/>
    <n v="0.114"/>
    <m/>
    <n v="400"/>
    <m/>
    <n v="45.6"/>
    <n v="0"/>
    <n v="123227.14776015205"/>
  </r>
  <r>
    <x v="37"/>
    <x v="4"/>
    <x v="29"/>
    <x v="0"/>
    <x v="1"/>
    <x v="221"/>
    <x v="25"/>
    <s v="NAKİT"/>
    <n v="6.8000000000000005E-2"/>
    <n v="760"/>
    <n v="0"/>
    <n v="0"/>
    <n v="6.8000000000000005E-2"/>
    <m/>
    <n v="760"/>
    <m/>
    <n v="51.680000000000007"/>
    <n v="0"/>
    <n v="123278.82776015204"/>
  </r>
  <r>
    <x v="37"/>
    <x v="4"/>
    <x v="22"/>
    <x v="0"/>
    <x v="1"/>
    <x v="221"/>
    <x v="25"/>
    <s v="NAKİT"/>
    <n v="7.3999999999999996E-2"/>
    <n v="360"/>
    <n v="0"/>
    <n v="0"/>
    <n v="7.3999999999999996E-2"/>
    <m/>
    <n v="360"/>
    <m/>
    <n v="26.639999999999997"/>
    <n v="0"/>
    <n v="123305.46776015204"/>
  </r>
  <r>
    <x v="37"/>
    <x v="4"/>
    <x v="36"/>
    <x v="0"/>
    <x v="1"/>
    <x v="221"/>
    <x v="25"/>
    <s v="NAKİT"/>
    <n v="0.25"/>
    <n v="190"/>
    <n v="0"/>
    <n v="0"/>
    <n v="0.25"/>
    <m/>
    <n v="190"/>
    <m/>
    <n v="47.5"/>
    <n v="0"/>
    <n v="123352.96776015204"/>
  </r>
  <r>
    <x v="37"/>
    <x v="4"/>
    <x v="219"/>
    <x v="0"/>
    <x v="1"/>
    <x v="221"/>
    <x v="25"/>
    <s v="NAKİT"/>
    <n v="1"/>
    <n v="210"/>
    <n v="0"/>
    <n v="0"/>
    <n v="1"/>
    <m/>
    <n v="210"/>
    <m/>
    <n v="210"/>
    <n v="0"/>
    <n v="123562.96776015204"/>
  </r>
  <r>
    <x v="37"/>
    <x v="4"/>
    <x v="16"/>
    <x v="0"/>
    <x v="1"/>
    <x v="221"/>
    <x v="25"/>
    <s v="NAKİT"/>
    <n v="1"/>
    <n v="140"/>
    <n v="0"/>
    <n v="0"/>
    <n v="1"/>
    <m/>
    <n v="140"/>
    <m/>
    <n v="140"/>
    <n v="0"/>
    <n v="123702.96776015204"/>
  </r>
  <r>
    <x v="37"/>
    <x v="4"/>
    <x v="50"/>
    <x v="0"/>
    <x v="1"/>
    <x v="221"/>
    <x v="25"/>
    <s v="NAKİT"/>
    <n v="0.1"/>
    <n v="650"/>
    <n v="0"/>
    <n v="0"/>
    <n v="1"/>
    <m/>
    <n v="65"/>
    <m/>
    <n v="65"/>
    <n v="0"/>
    <n v="123767.96776015204"/>
  </r>
  <r>
    <x v="37"/>
    <x v="4"/>
    <x v="74"/>
    <x v="0"/>
    <x v="1"/>
    <x v="221"/>
    <x v="25"/>
    <s v="NAKİT"/>
    <n v="0.25"/>
    <n v="380"/>
    <n v="0"/>
    <n v="0"/>
    <n v="1"/>
    <m/>
    <n v="95"/>
    <m/>
    <n v="95"/>
    <n v="0"/>
    <n v="123862.96776015204"/>
  </r>
  <r>
    <x v="37"/>
    <x v="4"/>
    <x v="18"/>
    <x v="0"/>
    <x v="1"/>
    <x v="221"/>
    <x v="25"/>
    <s v="NAKİT"/>
    <n v="1"/>
    <n v="240"/>
    <n v="0"/>
    <n v="0"/>
    <n v="1"/>
    <m/>
    <n v="240"/>
    <m/>
    <n v="240"/>
    <n v="0"/>
    <n v="124102.96776015204"/>
  </r>
  <r>
    <x v="37"/>
    <x v="4"/>
    <x v="19"/>
    <x v="0"/>
    <x v="1"/>
    <x v="221"/>
    <x v="25"/>
    <s v="NAKİT"/>
    <n v="1"/>
    <n v="200"/>
    <n v="0"/>
    <n v="0"/>
    <n v="1"/>
    <m/>
    <n v="200"/>
    <m/>
    <n v="200"/>
    <n v="0"/>
    <n v="124302.96776015204"/>
  </r>
  <r>
    <x v="37"/>
    <x v="4"/>
    <x v="58"/>
    <x v="0"/>
    <x v="1"/>
    <x v="221"/>
    <x v="25"/>
    <s v="NAKİT"/>
    <n v="1"/>
    <n v="200"/>
    <n v="0"/>
    <n v="0"/>
    <n v="1"/>
    <m/>
    <n v="200"/>
    <m/>
    <n v="200"/>
    <n v="0"/>
    <n v="124502.96776015204"/>
  </r>
  <r>
    <x v="37"/>
    <x v="4"/>
    <x v="31"/>
    <x v="0"/>
    <x v="1"/>
    <x v="222"/>
    <x v="25"/>
    <s v="NAKİT"/>
    <n v="0.57399999999999995"/>
    <n v="380"/>
    <n v="0"/>
    <n v="0"/>
    <n v="0.57399999999999995"/>
    <m/>
    <n v="380"/>
    <m/>
    <n v="218.11999999999998"/>
    <n v="0"/>
    <n v="124721.08776015203"/>
  </r>
  <r>
    <x v="37"/>
    <x v="4"/>
    <x v="27"/>
    <x v="0"/>
    <x v="1"/>
    <x v="222"/>
    <x v="25"/>
    <s v="NAKİT"/>
    <n v="0.16"/>
    <n v="400"/>
    <n v="0"/>
    <n v="0"/>
    <n v="0.16"/>
    <m/>
    <n v="400"/>
    <m/>
    <n v="64"/>
    <n v="0"/>
    <n v="124785.08776015203"/>
  </r>
  <r>
    <x v="37"/>
    <x v="4"/>
    <x v="27"/>
    <x v="0"/>
    <x v="1"/>
    <x v="222"/>
    <x v="25"/>
    <s v="NAKİT"/>
    <n v="0.156"/>
    <n v="400"/>
    <n v="0"/>
    <n v="0"/>
    <n v="0.156"/>
    <m/>
    <n v="400"/>
    <m/>
    <n v="62.4"/>
    <n v="0"/>
    <n v="124847.48776015203"/>
  </r>
  <r>
    <x v="37"/>
    <x v="4"/>
    <x v="29"/>
    <x v="0"/>
    <x v="1"/>
    <x v="222"/>
    <x v="25"/>
    <s v="NAKİT"/>
    <n v="5.8000000000000003E-2"/>
    <n v="760"/>
    <n v="0"/>
    <n v="0"/>
    <n v="5.8000000000000003E-2"/>
    <m/>
    <n v="760"/>
    <m/>
    <n v="44.080000000000005"/>
    <n v="0"/>
    <n v="124891.56776015203"/>
  </r>
  <r>
    <x v="37"/>
    <x v="4"/>
    <x v="74"/>
    <x v="0"/>
    <x v="1"/>
    <x v="222"/>
    <x v="25"/>
    <s v="NAKİT"/>
    <n v="0.25"/>
    <n v="380"/>
    <n v="0"/>
    <n v="0"/>
    <n v="1"/>
    <m/>
    <n v="95"/>
    <m/>
    <n v="95"/>
    <n v="0"/>
    <n v="124986.56776015203"/>
  </r>
  <r>
    <x v="37"/>
    <x v="4"/>
    <x v="159"/>
    <x v="0"/>
    <x v="1"/>
    <x v="222"/>
    <x v="25"/>
    <s v="NAKİT"/>
    <n v="1"/>
    <n v="100"/>
    <n v="0"/>
    <n v="0"/>
    <n v="1"/>
    <m/>
    <n v="100"/>
    <m/>
    <n v="100"/>
    <n v="0"/>
    <n v="125086.56776015203"/>
  </r>
  <r>
    <x v="37"/>
    <x v="4"/>
    <x v="209"/>
    <x v="0"/>
    <x v="1"/>
    <x v="222"/>
    <x v="25"/>
    <s v="NAKİT"/>
    <n v="0.46600000000000003"/>
    <n v="290"/>
    <n v="0"/>
    <n v="0"/>
    <n v="0.46600000000000003"/>
    <m/>
    <n v="290"/>
    <m/>
    <n v="135.14000000000001"/>
    <n v="0"/>
    <n v="125221.70776015203"/>
  </r>
  <r>
    <x v="37"/>
    <x v="4"/>
    <x v="229"/>
    <x v="0"/>
    <x v="1"/>
    <x v="222"/>
    <x v="25"/>
    <s v="NAKİT"/>
    <n v="0.34200000000000003"/>
    <n v="195"/>
    <n v="0"/>
    <n v="0"/>
    <n v="0.34200000000000003"/>
    <m/>
    <n v="195"/>
    <m/>
    <n v="66.690000000000012"/>
    <n v="0"/>
    <n v="125288.39776015203"/>
  </r>
  <r>
    <x v="37"/>
    <x v="4"/>
    <x v="55"/>
    <x v="0"/>
    <x v="1"/>
    <x v="222"/>
    <x v="25"/>
    <s v="NAKİT"/>
    <n v="0.872"/>
    <n v="180"/>
    <n v="0"/>
    <n v="0"/>
    <n v="0.872"/>
    <m/>
    <n v="180"/>
    <m/>
    <n v="156.96"/>
    <n v="0"/>
    <n v="125445.35776015204"/>
  </r>
  <r>
    <x v="37"/>
    <x v="4"/>
    <x v="161"/>
    <x v="0"/>
    <x v="1"/>
    <x v="222"/>
    <x v="25"/>
    <s v="NAKİT"/>
    <n v="0.29799999999999999"/>
    <n v="370"/>
    <n v="0"/>
    <n v="0"/>
    <n v="0.29799999999999999"/>
    <m/>
    <n v="370"/>
    <m/>
    <n v="110.25999999999999"/>
    <n v="0"/>
    <n v="125555.61776015203"/>
  </r>
  <r>
    <x v="37"/>
    <x v="4"/>
    <x v="26"/>
    <x v="0"/>
    <x v="1"/>
    <x v="222"/>
    <x v="25"/>
    <s v="NAKİT"/>
    <n v="0.126"/>
    <n v="410"/>
    <n v="0"/>
    <n v="0"/>
    <n v="0.126"/>
    <m/>
    <n v="410"/>
    <m/>
    <n v="51.660000000000004"/>
    <n v="0"/>
    <n v="125607.27776015204"/>
  </r>
  <r>
    <x v="37"/>
    <x v="4"/>
    <x v="101"/>
    <x v="0"/>
    <x v="1"/>
    <x v="222"/>
    <x v="25"/>
    <s v="NAKİT"/>
    <n v="0.06"/>
    <n v="150"/>
    <n v="0"/>
    <n v="0"/>
    <n v="0.06"/>
    <m/>
    <n v="150"/>
    <m/>
    <n v="9"/>
    <n v="0"/>
    <n v="125616.27776015204"/>
  </r>
  <r>
    <x v="37"/>
    <x v="4"/>
    <x v="164"/>
    <x v="0"/>
    <x v="1"/>
    <x v="222"/>
    <x v="25"/>
    <s v="NAKİT"/>
    <n v="2"/>
    <n v="40"/>
    <n v="0"/>
    <n v="0"/>
    <n v="2"/>
    <m/>
    <n v="40"/>
    <m/>
    <n v="80"/>
    <n v="0"/>
    <n v="125696.27776015204"/>
  </r>
  <r>
    <x v="37"/>
    <x v="4"/>
    <x v="188"/>
    <x v="0"/>
    <x v="1"/>
    <x v="222"/>
    <x v="25"/>
    <s v="NAKİT"/>
    <n v="1"/>
    <n v="220"/>
    <n v="0"/>
    <n v="0"/>
    <n v="1"/>
    <m/>
    <n v="220"/>
    <m/>
    <n v="220"/>
    <n v="0"/>
    <n v="125916.27776015204"/>
  </r>
  <r>
    <x v="37"/>
    <x v="4"/>
    <x v="93"/>
    <x v="0"/>
    <x v="1"/>
    <x v="222"/>
    <x v="25"/>
    <s v="NAKİT"/>
    <n v="1"/>
    <n v="295"/>
    <n v="0"/>
    <n v="0"/>
    <n v="1"/>
    <m/>
    <n v="295"/>
    <m/>
    <n v="295"/>
    <n v="0"/>
    <n v="126211.27776015204"/>
  </r>
  <r>
    <x v="37"/>
    <x v="4"/>
    <x v="207"/>
    <x v="0"/>
    <x v="1"/>
    <x v="222"/>
    <x v="25"/>
    <s v="NAKİT"/>
    <n v="1"/>
    <n v="440"/>
    <n v="0"/>
    <n v="0"/>
    <n v="1"/>
    <m/>
    <n v="440"/>
    <m/>
    <n v="440"/>
    <n v="0"/>
    <n v="126651.27776015204"/>
  </r>
  <r>
    <x v="37"/>
    <x v="4"/>
    <x v="118"/>
    <x v="0"/>
    <x v="1"/>
    <x v="222"/>
    <x v="25"/>
    <s v="NAKİT"/>
    <n v="1"/>
    <n v="180"/>
    <n v="0"/>
    <n v="0"/>
    <n v="1"/>
    <m/>
    <n v="180"/>
    <m/>
    <n v="180"/>
    <n v="0"/>
    <n v="126831.27776015204"/>
  </r>
  <r>
    <x v="37"/>
    <x v="4"/>
    <x v="175"/>
    <x v="0"/>
    <x v="1"/>
    <x v="222"/>
    <x v="25"/>
    <s v="NAKİT"/>
    <n v="1"/>
    <n v="149"/>
    <n v="0"/>
    <n v="0"/>
    <n v="1"/>
    <m/>
    <n v="149"/>
    <m/>
    <n v="149"/>
    <n v="0"/>
    <n v="126980.27776015204"/>
  </r>
  <r>
    <x v="37"/>
    <x v="4"/>
    <x v="8"/>
    <x v="0"/>
    <x v="1"/>
    <x v="222"/>
    <x v="25"/>
    <s v="NAKİT"/>
    <n v="1"/>
    <n v="95"/>
    <n v="0"/>
    <n v="0"/>
    <n v="1"/>
    <m/>
    <n v="95"/>
    <m/>
    <n v="95"/>
    <n v="0"/>
    <n v="127075.27776015204"/>
  </r>
  <r>
    <x v="37"/>
    <x v="4"/>
    <x v="16"/>
    <x v="0"/>
    <x v="1"/>
    <x v="222"/>
    <x v="25"/>
    <s v="NAKİT"/>
    <n v="1"/>
    <n v="140"/>
    <n v="0"/>
    <n v="0"/>
    <n v="1"/>
    <m/>
    <n v="140"/>
    <m/>
    <n v="140"/>
    <n v="0"/>
    <n v="127215.27776015204"/>
  </r>
  <r>
    <x v="37"/>
    <x v="4"/>
    <x v="193"/>
    <x v="0"/>
    <x v="1"/>
    <x v="222"/>
    <x v="25"/>
    <s v="NAKİT"/>
    <n v="1"/>
    <n v="190"/>
    <n v="0"/>
    <n v="0"/>
    <n v="1"/>
    <m/>
    <n v="190"/>
    <m/>
    <n v="190"/>
    <n v="0"/>
    <n v="127405.27776015204"/>
  </r>
  <r>
    <x v="37"/>
    <x v="4"/>
    <x v="196"/>
    <x v="0"/>
    <x v="1"/>
    <x v="222"/>
    <x v="25"/>
    <s v="NAKİT"/>
    <n v="1"/>
    <n v="350"/>
    <n v="0"/>
    <n v="0"/>
    <n v="1"/>
    <m/>
    <n v="350"/>
    <m/>
    <n v="350"/>
    <n v="0"/>
    <n v="127755.27776015204"/>
  </r>
  <r>
    <x v="37"/>
    <x v="4"/>
    <x v="24"/>
    <x v="0"/>
    <x v="1"/>
    <x v="223"/>
    <x v="25"/>
    <s v="NAKİT"/>
    <n v="0.26"/>
    <n v="640"/>
    <n v="0"/>
    <n v="0"/>
    <n v="0.26"/>
    <m/>
    <n v="640"/>
    <m/>
    <n v="166.4"/>
    <n v="0"/>
    <n v="127921.67776015203"/>
  </r>
  <r>
    <x v="37"/>
    <x v="4"/>
    <x v="34"/>
    <x v="0"/>
    <x v="1"/>
    <x v="223"/>
    <x v="25"/>
    <s v="NAKİT"/>
    <n v="0.1"/>
    <n v="600"/>
    <n v="0"/>
    <n v="0"/>
    <n v="1"/>
    <m/>
    <n v="60"/>
    <m/>
    <n v="60"/>
    <n v="0"/>
    <n v="127981.67776015203"/>
  </r>
  <r>
    <x v="37"/>
    <x v="4"/>
    <x v="28"/>
    <x v="0"/>
    <x v="1"/>
    <x v="223"/>
    <x v="25"/>
    <s v="NAKİT"/>
    <n v="0.27"/>
    <n v="500"/>
    <n v="0"/>
    <n v="0"/>
    <n v="0.27"/>
    <m/>
    <n v="500"/>
    <m/>
    <n v="135"/>
    <n v="0"/>
    <n v="128116.67776015203"/>
  </r>
  <r>
    <x v="37"/>
    <x v="4"/>
    <x v="31"/>
    <x v="0"/>
    <x v="1"/>
    <x v="223"/>
    <x v="25"/>
    <s v="NAKİT"/>
    <n v="0.248"/>
    <n v="380"/>
    <n v="0"/>
    <n v="0"/>
    <n v="0.248"/>
    <m/>
    <n v="380"/>
    <m/>
    <n v="94.24"/>
    <n v="0"/>
    <n v="128210.91776015204"/>
  </r>
  <r>
    <x v="37"/>
    <x v="4"/>
    <x v="52"/>
    <x v="0"/>
    <x v="1"/>
    <x v="223"/>
    <x v="25"/>
    <s v="NAKİT"/>
    <n v="0.1"/>
    <n v="400"/>
    <n v="0"/>
    <n v="0"/>
    <n v="1"/>
    <m/>
    <n v="40"/>
    <m/>
    <n v="40"/>
    <n v="0"/>
    <n v="128250.91776015204"/>
  </r>
  <r>
    <x v="37"/>
    <x v="4"/>
    <x v="179"/>
    <x v="0"/>
    <x v="1"/>
    <x v="223"/>
    <x v="25"/>
    <s v="NAKİT"/>
    <n v="0.23599999999999999"/>
    <n v="850"/>
    <n v="0"/>
    <n v="0"/>
    <n v="1"/>
    <m/>
    <n v="200"/>
    <m/>
    <n v="200.6"/>
    <n v="0"/>
    <n v="128451.51776015204"/>
  </r>
  <r>
    <x v="37"/>
    <x v="4"/>
    <x v="136"/>
    <x v="0"/>
    <x v="1"/>
    <x v="223"/>
    <x v="25"/>
    <s v="NAKİT"/>
    <n v="1"/>
    <n v="140"/>
    <n v="0"/>
    <n v="0"/>
    <n v="1"/>
    <m/>
    <n v="140"/>
    <m/>
    <n v="140"/>
    <n v="0"/>
    <n v="128591.51776015204"/>
  </r>
  <r>
    <x v="37"/>
    <x v="4"/>
    <x v="151"/>
    <x v="0"/>
    <x v="1"/>
    <x v="224"/>
    <x v="25"/>
    <s v="NAKİT"/>
    <n v="0.1"/>
    <n v="750"/>
    <n v="0"/>
    <n v="0"/>
    <n v="1"/>
    <m/>
    <n v="75"/>
    <m/>
    <n v="75"/>
    <n v="0"/>
    <n v="128666.51776015204"/>
  </r>
  <r>
    <x v="37"/>
    <x v="4"/>
    <x v="108"/>
    <x v="0"/>
    <x v="1"/>
    <x v="224"/>
    <x v="25"/>
    <s v="NAKİT"/>
    <n v="1"/>
    <n v="190"/>
    <n v="0"/>
    <n v="0"/>
    <n v="1"/>
    <m/>
    <n v="190"/>
    <m/>
    <n v="190"/>
    <n v="0"/>
    <n v="128856.51776015204"/>
  </r>
  <r>
    <x v="37"/>
    <x v="4"/>
    <x v="50"/>
    <x v="0"/>
    <x v="1"/>
    <x v="224"/>
    <x v="25"/>
    <s v="NAKİT"/>
    <n v="0.1"/>
    <n v="650"/>
    <n v="0"/>
    <n v="0"/>
    <n v="1"/>
    <m/>
    <n v="65"/>
    <m/>
    <n v="65"/>
    <n v="0"/>
    <n v="128921.51776015204"/>
  </r>
  <r>
    <x v="37"/>
    <x v="4"/>
    <x v="191"/>
    <x v="0"/>
    <x v="1"/>
    <x v="224"/>
    <x v="25"/>
    <s v="NAKİT"/>
    <n v="1"/>
    <n v="600"/>
    <n v="0"/>
    <n v="0"/>
    <n v="1"/>
    <m/>
    <n v="600"/>
    <m/>
    <n v="600"/>
    <n v="0"/>
    <n v="129521.51776015204"/>
  </r>
  <r>
    <x v="37"/>
    <x v="4"/>
    <x v="33"/>
    <x v="0"/>
    <x v="5"/>
    <x v="225"/>
    <x v="25"/>
    <s v="POS"/>
    <n v="0.26400000000000001"/>
    <n v="420"/>
    <n v="110.88000000000001"/>
    <n v="0"/>
    <n v="0.26400000000000001"/>
    <m/>
    <n v="420"/>
    <m/>
    <n v="0"/>
    <n v="0"/>
    <n v="129521.51776015204"/>
  </r>
  <r>
    <x v="37"/>
    <x v="4"/>
    <x v="50"/>
    <x v="0"/>
    <x v="5"/>
    <x v="225"/>
    <x v="25"/>
    <s v="POS"/>
    <n v="0.1"/>
    <n v="650"/>
    <n v="65"/>
    <n v="0"/>
    <n v="1"/>
    <m/>
    <n v="65"/>
    <m/>
    <n v="0"/>
    <n v="0"/>
    <n v="129521.51776015204"/>
  </r>
  <r>
    <x v="37"/>
    <x v="4"/>
    <x v="77"/>
    <x v="0"/>
    <x v="5"/>
    <x v="225"/>
    <x v="25"/>
    <s v="POS"/>
    <n v="0.5"/>
    <n v="80"/>
    <n v="40"/>
    <n v="0"/>
    <n v="1"/>
    <m/>
    <n v="40"/>
    <m/>
    <n v="0"/>
    <n v="0"/>
    <n v="129521.51776015204"/>
  </r>
  <r>
    <x v="37"/>
    <x v="4"/>
    <x v="58"/>
    <x v="0"/>
    <x v="1"/>
    <x v="226"/>
    <x v="25"/>
    <s v="NAKİT"/>
    <n v="1"/>
    <n v="200"/>
    <n v="0"/>
    <n v="0"/>
    <n v="1"/>
    <m/>
    <n v="200"/>
    <m/>
    <n v="200"/>
    <n v="0"/>
    <n v="129721.51776015204"/>
  </r>
  <r>
    <x v="37"/>
    <x v="4"/>
    <x v="33"/>
    <x v="0"/>
    <x v="1"/>
    <x v="226"/>
    <x v="25"/>
    <s v="NAKİT"/>
    <n v="0.316"/>
    <n v="380"/>
    <n v="0"/>
    <n v="0"/>
    <n v="0.316"/>
    <m/>
    <n v="380"/>
    <m/>
    <n v="120.08"/>
    <n v="0"/>
    <n v="129841.59776015204"/>
  </r>
  <r>
    <x v="37"/>
    <x v="4"/>
    <x v="24"/>
    <x v="0"/>
    <x v="1"/>
    <x v="226"/>
    <x v="25"/>
    <s v="NAKİT"/>
    <n v="8.4000000000000005E-2"/>
    <n v="640"/>
    <n v="0"/>
    <n v="0"/>
    <n v="8.4000000000000005E-2"/>
    <m/>
    <n v="640"/>
    <m/>
    <n v="53.760000000000005"/>
    <n v="0"/>
    <n v="129895.35776015204"/>
  </r>
  <r>
    <x v="37"/>
    <x v="4"/>
    <x v="77"/>
    <x v="0"/>
    <x v="1"/>
    <x v="226"/>
    <x v="25"/>
    <s v="NAKİT"/>
    <n v="0.5"/>
    <n v="80"/>
    <n v="0"/>
    <n v="0"/>
    <n v="1"/>
    <m/>
    <n v="40"/>
    <m/>
    <n v="40"/>
    <n v="0"/>
    <n v="129935.35776015204"/>
  </r>
  <r>
    <x v="37"/>
    <x v="4"/>
    <x v="58"/>
    <x v="0"/>
    <x v="1"/>
    <x v="227"/>
    <x v="25"/>
    <s v="NAKİT"/>
    <n v="1"/>
    <n v="200"/>
    <n v="0"/>
    <n v="0"/>
    <n v="1"/>
    <m/>
    <n v="200"/>
    <m/>
    <n v="200"/>
    <n v="0"/>
    <n v="130135.35776015204"/>
  </r>
  <r>
    <x v="37"/>
    <x v="4"/>
    <x v="58"/>
    <x v="0"/>
    <x v="1"/>
    <x v="228"/>
    <x v="25"/>
    <s v="NAKİT"/>
    <n v="2"/>
    <n v="200"/>
    <n v="0"/>
    <n v="0"/>
    <n v="2"/>
    <m/>
    <n v="200"/>
    <m/>
    <n v="400"/>
    <n v="0"/>
    <n v="130535.35776015204"/>
  </r>
  <r>
    <x v="37"/>
    <x v="4"/>
    <x v="229"/>
    <x v="0"/>
    <x v="1"/>
    <x v="229"/>
    <x v="25"/>
    <s v="NAKİT"/>
    <n v="0.39600000000000002"/>
    <n v="195"/>
    <n v="0"/>
    <n v="0"/>
    <n v="0.39600000000000002"/>
    <m/>
    <n v="195"/>
    <m/>
    <n v="77.22"/>
    <n v="0"/>
    <n v="130612.57776015204"/>
  </r>
  <r>
    <x v="37"/>
    <x v="4"/>
    <x v="101"/>
    <x v="0"/>
    <x v="1"/>
    <x v="229"/>
    <x v="25"/>
    <s v="NAKİT"/>
    <n v="0.25"/>
    <n v="150"/>
    <n v="0"/>
    <n v="0"/>
    <n v="0.25"/>
    <m/>
    <n v="150"/>
    <m/>
    <n v="37.5"/>
    <n v="0"/>
    <n v="130650.07776015204"/>
  </r>
  <r>
    <x v="37"/>
    <x v="4"/>
    <x v="85"/>
    <x v="0"/>
    <x v="1"/>
    <x v="229"/>
    <x v="25"/>
    <s v="NAKİT"/>
    <n v="0.52200000000000002"/>
    <n v="290"/>
    <n v="0"/>
    <n v="0"/>
    <n v="0.52200000000000002"/>
    <m/>
    <n v="290"/>
    <m/>
    <n v="151.38"/>
    <n v="0"/>
    <n v="130801.45776015204"/>
  </r>
  <r>
    <x v="38"/>
    <x v="3"/>
    <x v="231"/>
    <x v="0"/>
    <x v="4"/>
    <x v="176"/>
    <x v="32"/>
    <s v="CARİ"/>
    <n v="5"/>
    <n v="125"/>
    <n v="0"/>
    <n v="625"/>
    <m/>
    <n v="5"/>
    <m/>
    <n v="125"/>
    <n v="0"/>
    <n v="0"/>
    <n v="130801.45776015204"/>
  </r>
  <r>
    <x v="38"/>
    <x v="3"/>
    <x v="149"/>
    <x v="0"/>
    <x v="4"/>
    <x v="176"/>
    <x v="32"/>
    <s v="CARİ"/>
    <n v="5"/>
    <n v="435"/>
    <n v="0"/>
    <n v="2175"/>
    <m/>
    <n v="5"/>
    <m/>
    <n v="435"/>
    <n v="0"/>
    <n v="0"/>
    <n v="130801.45776015204"/>
  </r>
  <r>
    <x v="38"/>
    <x v="3"/>
    <x v="232"/>
    <x v="0"/>
    <x v="4"/>
    <x v="176"/>
    <x v="32"/>
    <s v="CARİ"/>
    <n v="10"/>
    <n v="205"/>
    <n v="0"/>
    <n v="2050"/>
    <m/>
    <n v="10"/>
    <m/>
    <n v="205"/>
    <n v="0"/>
    <n v="0"/>
    <n v="130801.45776015204"/>
  </r>
  <r>
    <x v="38"/>
    <x v="3"/>
    <x v="93"/>
    <x v="0"/>
    <x v="4"/>
    <x v="176"/>
    <x v="32"/>
    <s v="CARİ"/>
    <n v="6"/>
    <n v="225"/>
    <n v="0"/>
    <n v="1350"/>
    <m/>
    <n v="6"/>
    <m/>
    <n v="225"/>
    <n v="0"/>
    <n v="0"/>
    <n v="130801.45776015204"/>
  </r>
  <r>
    <x v="38"/>
    <x v="3"/>
    <x v="98"/>
    <x v="0"/>
    <x v="4"/>
    <x v="176"/>
    <x v="32"/>
    <s v="CARİ"/>
    <n v="5"/>
    <n v="550"/>
    <n v="0"/>
    <n v="2750"/>
    <m/>
    <n v="5"/>
    <m/>
    <n v="550"/>
    <n v="0"/>
    <n v="0"/>
    <n v="130801.45776015204"/>
  </r>
  <r>
    <x v="38"/>
    <x v="3"/>
    <x v="108"/>
    <x v="0"/>
    <x v="4"/>
    <x v="176"/>
    <x v="32"/>
    <s v="CARİ"/>
    <n v="11"/>
    <n v="115"/>
    <n v="0"/>
    <n v="1265"/>
    <m/>
    <n v="11"/>
    <m/>
    <n v="115"/>
    <n v="0"/>
    <n v="0"/>
    <n v="130801.45776015204"/>
  </r>
  <r>
    <x v="38"/>
    <x v="3"/>
    <x v="233"/>
    <x v="0"/>
    <x v="4"/>
    <x v="176"/>
    <x v="32"/>
    <s v="CARİ"/>
    <n v="10"/>
    <n v="265"/>
    <n v="0"/>
    <n v="2650"/>
    <m/>
    <n v="10"/>
    <m/>
    <n v="265"/>
    <n v="0"/>
    <n v="0"/>
    <n v="130801.45776015204"/>
  </r>
  <r>
    <x v="38"/>
    <x v="3"/>
    <x v="113"/>
    <x v="0"/>
    <x v="4"/>
    <x v="176"/>
    <x v="32"/>
    <s v="CARİ"/>
    <n v="1"/>
    <n v="290"/>
    <n v="0"/>
    <n v="290"/>
    <m/>
    <n v="1"/>
    <m/>
    <n v="290"/>
    <n v="0"/>
    <n v="0"/>
    <n v="130801.45776015204"/>
  </r>
  <r>
    <x v="38"/>
    <x v="3"/>
    <x v="118"/>
    <x v="0"/>
    <x v="4"/>
    <x v="176"/>
    <x v="32"/>
    <s v="CARİ"/>
    <n v="12"/>
    <n v="95"/>
    <n v="0"/>
    <n v="1140"/>
    <m/>
    <n v="12"/>
    <m/>
    <n v="95"/>
    <n v="0"/>
    <n v="0"/>
    <n v="130801.45776015204"/>
  </r>
  <r>
    <x v="38"/>
    <x v="1"/>
    <x v="0"/>
    <x v="6"/>
    <x v="2"/>
    <x v="230"/>
    <x v="54"/>
    <s v="K.K."/>
    <n v="1"/>
    <n v="450.41"/>
    <n v="0"/>
    <n v="450.41"/>
    <m/>
    <n v="1"/>
    <m/>
    <n v="450.41"/>
    <n v="0"/>
    <n v="0"/>
    <n v="130801.45776015204"/>
  </r>
  <r>
    <x v="38"/>
    <x v="3"/>
    <x v="217"/>
    <x v="0"/>
    <x v="2"/>
    <x v="231"/>
    <x v="50"/>
    <s v="K.K."/>
    <n v="5"/>
    <n v="141.9"/>
    <n v="0"/>
    <n v="709.5"/>
    <m/>
    <n v="5"/>
    <m/>
    <n v="141.9"/>
    <n v="0"/>
    <n v="0"/>
    <n v="130801.45776015204"/>
  </r>
  <r>
    <x v="38"/>
    <x v="3"/>
    <x v="234"/>
    <x v="0"/>
    <x v="2"/>
    <x v="232"/>
    <x v="50"/>
    <s v="K.K."/>
    <n v="1"/>
    <n v="140.77000000000001"/>
    <n v="0"/>
    <n v="140.77000000000001"/>
    <m/>
    <n v="1"/>
    <m/>
    <n v="140.77000000000001"/>
    <n v="0"/>
    <n v="0"/>
    <n v="130801.45776015204"/>
  </r>
  <r>
    <x v="38"/>
    <x v="3"/>
    <x v="235"/>
    <x v="0"/>
    <x v="2"/>
    <x v="232"/>
    <x v="50"/>
    <s v="K.K."/>
    <n v="2"/>
    <n v="140.77000000000001"/>
    <n v="0"/>
    <n v="281.54000000000002"/>
    <m/>
    <n v="2"/>
    <m/>
    <n v="140.77000000000001"/>
    <n v="0"/>
    <n v="0"/>
    <n v="130801.45776015204"/>
  </r>
  <r>
    <x v="38"/>
    <x v="3"/>
    <x v="236"/>
    <x v="0"/>
    <x v="2"/>
    <x v="232"/>
    <x v="50"/>
    <s v="K.K."/>
    <n v="2"/>
    <n v="148.6"/>
    <n v="0"/>
    <n v="297.2"/>
    <m/>
    <n v="2"/>
    <m/>
    <n v="148.6"/>
    <n v="0"/>
    <n v="0"/>
    <n v="130801.45776015204"/>
  </r>
  <r>
    <x v="38"/>
    <x v="4"/>
    <x v="24"/>
    <x v="0"/>
    <x v="1"/>
    <x v="233"/>
    <x v="25"/>
    <s v="NAKİT"/>
    <n v="0.06"/>
    <n v="640"/>
    <n v="0"/>
    <n v="0"/>
    <n v="0.06"/>
    <m/>
    <n v="640"/>
    <m/>
    <n v="38.4"/>
    <n v="0"/>
    <n v="130839.85776015204"/>
  </r>
  <r>
    <x v="38"/>
    <x v="4"/>
    <x v="33"/>
    <x v="0"/>
    <x v="1"/>
    <x v="233"/>
    <x v="25"/>
    <s v="NAKİT"/>
    <n v="5.1999999999999998E-2"/>
    <n v="380"/>
    <n v="0"/>
    <n v="0"/>
    <n v="5.1999999999999998E-2"/>
    <m/>
    <n v="380"/>
    <m/>
    <n v="19.759999999999998"/>
    <n v="0"/>
    <n v="130859.61776015203"/>
  </r>
  <r>
    <x v="38"/>
    <x v="4"/>
    <x v="27"/>
    <x v="0"/>
    <x v="1"/>
    <x v="233"/>
    <x v="25"/>
    <s v="NAKİT"/>
    <n v="2.8000000000000001E-2"/>
    <n v="400"/>
    <n v="0"/>
    <n v="0"/>
    <n v="2.8000000000000001E-2"/>
    <m/>
    <n v="400"/>
    <m/>
    <n v="11.200000000000001"/>
    <n v="0"/>
    <n v="130870.81776015203"/>
  </r>
  <r>
    <x v="38"/>
    <x v="4"/>
    <x v="29"/>
    <x v="0"/>
    <x v="1"/>
    <x v="233"/>
    <x v="25"/>
    <s v="NAKİT"/>
    <n v="2.4E-2"/>
    <n v="760"/>
    <n v="0"/>
    <n v="0"/>
    <n v="2.4E-2"/>
    <m/>
    <n v="760"/>
    <m/>
    <n v="18.240000000000002"/>
    <n v="0"/>
    <n v="130889.05776015203"/>
  </r>
  <r>
    <x v="38"/>
    <x v="4"/>
    <x v="134"/>
    <x v="0"/>
    <x v="1"/>
    <x v="234"/>
    <x v="25"/>
    <s v="NAKİT"/>
    <n v="1"/>
    <n v="600"/>
    <n v="0"/>
    <n v="0"/>
    <n v="1"/>
    <m/>
    <n v="600"/>
    <m/>
    <n v="600"/>
    <n v="0"/>
    <n v="131489.05776015203"/>
  </r>
  <r>
    <x v="38"/>
    <x v="4"/>
    <x v="98"/>
    <x v="0"/>
    <x v="1"/>
    <x v="234"/>
    <x v="25"/>
    <s v="NAKİT"/>
    <n v="1"/>
    <n v="700"/>
    <n v="0"/>
    <n v="0"/>
    <n v="1"/>
    <m/>
    <n v="700"/>
    <m/>
    <n v="700"/>
    <n v="0"/>
    <n v="132189.05776015203"/>
  </r>
  <r>
    <x v="38"/>
    <x v="4"/>
    <x v="24"/>
    <x v="0"/>
    <x v="1"/>
    <x v="235"/>
    <x v="25"/>
    <s v="NAKİT"/>
    <n v="0.157"/>
    <n v="640"/>
    <n v="0"/>
    <n v="0"/>
    <n v="0.157"/>
    <m/>
    <n v="640"/>
    <m/>
    <n v="100.48"/>
    <n v="0"/>
    <n v="132289.53776015204"/>
  </r>
  <r>
    <x v="38"/>
    <x v="4"/>
    <x v="29"/>
    <x v="0"/>
    <x v="1"/>
    <x v="235"/>
    <x v="25"/>
    <s v="NAKİT"/>
    <n v="0.13500000000000001"/>
    <n v="760"/>
    <n v="0"/>
    <n v="0"/>
    <n v="0.13500000000000001"/>
    <m/>
    <n v="760"/>
    <m/>
    <n v="102.60000000000001"/>
    <n v="0"/>
    <n v="132392.13776015205"/>
  </r>
  <r>
    <x v="38"/>
    <x v="4"/>
    <x v="143"/>
    <x v="0"/>
    <x v="1"/>
    <x v="235"/>
    <x v="25"/>
    <s v="NAKİT"/>
    <n v="1"/>
    <n v="190"/>
    <n v="0"/>
    <n v="0"/>
    <n v="1"/>
    <m/>
    <n v="190"/>
    <m/>
    <n v="190"/>
    <n v="0"/>
    <n v="132582.13776015205"/>
  </r>
  <r>
    <x v="38"/>
    <x v="4"/>
    <x v="21"/>
    <x v="0"/>
    <x v="1"/>
    <x v="235"/>
    <x v="25"/>
    <s v="NAKİT"/>
    <n v="1"/>
    <n v="260"/>
    <n v="0"/>
    <n v="0"/>
    <n v="1"/>
    <m/>
    <n v="260"/>
    <m/>
    <n v="260"/>
    <n v="0"/>
    <n v="132842.13776015205"/>
  </r>
  <r>
    <x v="38"/>
    <x v="4"/>
    <x v="24"/>
    <x v="0"/>
    <x v="1"/>
    <x v="236"/>
    <x v="25"/>
    <s v="NAKİT"/>
    <n v="1"/>
    <n v="640"/>
    <n v="0"/>
    <n v="0"/>
    <n v="1"/>
    <m/>
    <n v="640"/>
    <m/>
    <n v="640"/>
    <n v="0"/>
    <n v="133482.13776015205"/>
  </r>
  <r>
    <x v="38"/>
    <x v="4"/>
    <x v="161"/>
    <x v="0"/>
    <x v="1"/>
    <x v="236"/>
    <x v="25"/>
    <s v="NAKİT"/>
    <n v="1"/>
    <n v="370"/>
    <n v="0"/>
    <n v="0"/>
    <n v="1"/>
    <m/>
    <n v="370"/>
    <m/>
    <n v="370"/>
    <n v="0"/>
    <n v="133852.13776015205"/>
  </r>
  <r>
    <x v="38"/>
    <x v="4"/>
    <x v="27"/>
    <x v="0"/>
    <x v="1"/>
    <x v="236"/>
    <x v="25"/>
    <s v="NAKİT"/>
    <n v="0.29399999999999998"/>
    <n v="400"/>
    <n v="0"/>
    <n v="0"/>
    <n v="0.29399999999999998"/>
    <m/>
    <n v="400"/>
    <m/>
    <n v="117.6"/>
    <n v="0"/>
    <n v="133969.73776015206"/>
  </r>
  <r>
    <x v="38"/>
    <x v="4"/>
    <x v="143"/>
    <x v="0"/>
    <x v="1"/>
    <x v="236"/>
    <x v="25"/>
    <s v="NAKİT"/>
    <n v="1"/>
    <n v="190"/>
    <n v="0"/>
    <n v="0"/>
    <n v="1"/>
    <m/>
    <n v="190"/>
    <m/>
    <n v="190"/>
    <n v="0"/>
    <n v="134159.73776015206"/>
  </r>
  <r>
    <x v="38"/>
    <x v="4"/>
    <x v="188"/>
    <x v="0"/>
    <x v="1"/>
    <x v="236"/>
    <x v="25"/>
    <s v="NAKİT"/>
    <n v="1"/>
    <n v="220"/>
    <n v="0"/>
    <n v="0"/>
    <n v="1"/>
    <m/>
    <n v="220"/>
    <m/>
    <n v="220"/>
    <n v="0"/>
    <n v="134379.73776015206"/>
  </r>
  <r>
    <x v="38"/>
    <x v="4"/>
    <x v="161"/>
    <x v="0"/>
    <x v="1"/>
    <x v="237"/>
    <x v="25"/>
    <s v="NAKİT"/>
    <n v="1"/>
    <n v="370"/>
    <n v="0"/>
    <n v="0"/>
    <n v="1"/>
    <m/>
    <n v="370"/>
    <m/>
    <n v="370"/>
    <n v="0"/>
    <n v="134749.73776015206"/>
  </r>
  <r>
    <x v="38"/>
    <x v="4"/>
    <x v="143"/>
    <x v="0"/>
    <x v="1"/>
    <x v="237"/>
    <x v="25"/>
    <s v="NAKİT"/>
    <n v="1"/>
    <n v="190"/>
    <n v="0"/>
    <n v="0"/>
    <n v="1"/>
    <m/>
    <n v="190"/>
    <m/>
    <n v="190"/>
    <n v="0"/>
    <n v="134939.73776015206"/>
  </r>
  <r>
    <x v="38"/>
    <x v="4"/>
    <x v="29"/>
    <x v="0"/>
    <x v="1"/>
    <x v="237"/>
    <x v="25"/>
    <s v="NAKİT"/>
    <n v="0.21199999999999999"/>
    <n v="760"/>
    <n v="0"/>
    <n v="0"/>
    <n v="0.21199999999999999"/>
    <m/>
    <n v="760"/>
    <m/>
    <n v="161.12"/>
    <n v="0"/>
    <n v="135100.85776015205"/>
  </r>
  <r>
    <x v="38"/>
    <x v="4"/>
    <x v="90"/>
    <x v="0"/>
    <x v="1"/>
    <x v="237"/>
    <x v="25"/>
    <s v="NAKİT"/>
    <n v="1"/>
    <n v="225"/>
    <n v="0"/>
    <n v="0"/>
    <n v="1"/>
    <m/>
    <n v="225"/>
    <m/>
    <n v="225"/>
    <n v="0"/>
    <n v="135325.85776015205"/>
  </r>
  <r>
    <x v="38"/>
    <x v="4"/>
    <x v="129"/>
    <x v="0"/>
    <x v="1"/>
    <x v="238"/>
    <x v="25"/>
    <s v="NAKİT"/>
    <n v="0.22600000000000001"/>
    <n v="230"/>
    <n v="0"/>
    <n v="0"/>
    <n v="0.22600000000000001"/>
    <m/>
    <n v="230"/>
    <m/>
    <n v="51.980000000000004"/>
    <n v="0"/>
    <n v="135377.83776015206"/>
  </r>
  <r>
    <x v="38"/>
    <x v="4"/>
    <x v="130"/>
    <x v="0"/>
    <x v="1"/>
    <x v="238"/>
    <x v="25"/>
    <s v="NAKİT"/>
    <n v="0.24399999999999999"/>
    <n v="190"/>
    <n v="0"/>
    <n v="0"/>
    <n v="0.24399999999999999"/>
    <m/>
    <n v="190"/>
    <m/>
    <n v="46.36"/>
    <n v="0"/>
    <n v="135424.19776015205"/>
  </r>
  <r>
    <x v="38"/>
    <x v="4"/>
    <x v="179"/>
    <x v="0"/>
    <x v="1"/>
    <x v="238"/>
    <x v="25"/>
    <s v="NAKİT"/>
    <n v="0.23599999999999999"/>
    <n v="850"/>
    <n v="0"/>
    <n v="0"/>
    <n v="1"/>
    <m/>
    <n v="200"/>
    <m/>
    <n v="200.6"/>
    <n v="0"/>
    <n v="135624.79776015205"/>
  </r>
  <r>
    <x v="38"/>
    <x v="4"/>
    <x v="100"/>
    <x v="0"/>
    <x v="1"/>
    <x v="239"/>
    <x v="25"/>
    <s v="NAKİT"/>
    <n v="0.15"/>
    <n v="670"/>
    <n v="0"/>
    <n v="0"/>
    <n v="0.15"/>
    <m/>
    <n v="670"/>
    <m/>
    <n v="100.5"/>
    <n v="0"/>
    <n v="135725.29776015205"/>
  </r>
  <r>
    <x v="38"/>
    <x v="4"/>
    <x v="163"/>
    <x v="0"/>
    <x v="5"/>
    <x v="240"/>
    <x v="25"/>
    <s v="POS"/>
    <n v="1"/>
    <n v="40"/>
    <n v="40"/>
    <n v="0"/>
    <n v="1"/>
    <m/>
    <n v="40"/>
    <m/>
    <n v="0"/>
    <n v="0"/>
    <n v="135725.29776015205"/>
  </r>
  <r>
    <x v="38"/>
    <x v="4"/>
    <x v="29"/>
    <x v="0"/>
    <x v="5"/>
    <x v="240"/>
    <x v="25"/>
    <s v="POS"/>
    <n v="0.05"/>
    <n v="760"/>
    <n v="38"/>
    <n v="0"/>
    <n v="0.05"/>
    <m/>
    <n v="760"/>
    <m/>
    <n v="0"/>
    <n v="0"/>
    <n v="135725.29776015205"/>
  </r>
  <r>
    <x v="38"/>
    <x v="4"/>
    <x v="209"/>
    <x v="0"/>
    <x v="5"/>
    <x v="241"/>
    <x v="25"/>
    <s v="POS"/>
    <n v="0.55600000000000005"/>
    <n v="290"/>
    <n v="161.24"/>
    <n v="0"/>
    <n v="0.55600000000000005"/>
    <m/>
    <n v="290"/>
    <m/>
    <n v="0"/>
    <n v="0"/>
    <n v="135725.29776015205"/>
  </r>
  <r>
    <x v="38"/>
    <x v="4"/>
    <x v="161"/>
    <x v="0"/>
    <x v="1"/>
    <x v="241"/>
    <x v="25"/>
    <s v="NAKİT"/>
    <n v="0.13200000000000001"/>
    <n v="380"/>
    <n v="0"/>
    <n v="0"/>
    <n v="0.13200000000000001"/>
    <m/>
    <n v="380"/>
    <m/>
    <n v="50.160000000000004"/>
    <n v="0"/>
    <n v="135775.45776015206"/>
  </r>
  <r>
    <x v="38"/>
    <x v="4"/>
    <x v="73"/>
    <x v="0"/>
    <x v="1"/>
    <x v="242"/>
    <x v="25"/>
    <s v="NAKİT"/>
    <n v="0.57599999999999996"/>
    <n v="930"/>
    <n v="0"/>
    <n v="0"/>
    <n v="0.57599999999999996"/>
    <m/>
    <n v="930"/>
    <m/>
    <n v="535.67999999999995"/>
    <n v="0"/>
    <n v="136311.13776015205"/>
  </r>
  <r>
    <x v="38"/>
    <x v="4"/>
    <x v="209"/>
    <x v="0"/>
    <x v="1"/>
    <x v="242"/>
    <x v="25"/>
    <s v="NAKİT"/>
    <n v="0.51800000000000002"/>
    <n v="290"/>
    <n v="0"/>
    <n v="0"/>
    <n v="0.51800000000000002"/>
    <m/>
    <n v="290"/>
    <m/>
    <n v="150.22"/>
    <n v="0"/>
    <n v="136461.35776015205"/>
  </r>
  <r>
    <x v="38"/>
    <x v="4"/>
    <x v="212"/>
    <x v="0"/>
    <x v="1"/>
    <x v="242"/>
    <x v="25"/>
    <s v="NAKİT"/>
    <n v="0.51200000000000001"/>
    <n v="520"/>
    <n v="0"/>
    <n v="0"/>
    <n v="0.51200000000000001"/>
    <m/>
    <n v="520"/>
    <m/>
    <n v="266.24"/>
    <n v="0"/>
    <n v="136727.59776015204"/>
  </r>
  <r>
    <x v="38"/>
    <x v="4"/>
    <x v="88"/>
    <x v="0"/>
    <x v="1"/>
    <x v="242"/>
    <x v="25"/>
    <s v="NAKİT"/>
    <n v="5.4550000000000001E-2"/>
    <n v="1100"/>
    <n v="0"/>
    <n v="0"/>
    <n v="1"/>
    <m/>
    <n v="60"/>
    <m/>
    <n v="60.005000000000003"/>
    <n v="0"/>
    <n v="136787.60276015205"/>
  </r>
  <r>
    <x v="38"/>
    <x v="4"/>
    <x v="117"/>
    <x v="0"/>
    <x v="1"/>
    <x v="243"/>
    <x v="25"/>
    <s v="NAKİT"/>
    <n v="0.20399999999999999"/>
    <n v="350"/>
    <n v="0"/>
    <n v="0"/>
    <n v="0.20399999999999999"/>
    <m/>
    <n v="350"/>
    <m/>
    <n v="71.399999999999991"/>
    <n v="0"/>
    <n v="136859.00276015204"/>
  </r>
  <r>
    <x v="38"/>
    <x v="4"/>
    <x v="129"/>
    <x v="0"/>
    <x v="1"/>
    <x v="243"/>
    <x v="25"/>
    <s v="NAKİT"/>
    <n v="0.152"/>
    <n v="230"/>
    <n v="0"/>
    <n v="0"/>
    <n v="0.152"/>
    <m/>
    <n v="230"/>
    <m/>
    <n v="34.96"/>
    <n v="0"/>
    <n v="136893.96276015203"/>
  </r>
  <r>
    <x v="38"/>
    <x v="4"/>
    <x v="142"/>
    <x v="0"/>
    <x v="1"/>
    <x v="243"/>
    <x v="25"/>
    <s v="NAKİT"/>
    <n v="0.25"/>
    <n v="250"/>
    <n v="0"/>
    <n v="0"/>
    <n v="0.25"/>
    <m/>
    <n v="250"/>
    <m/>
    <n v="62.5"/>
    <n v="0"/>
    <n v="136956.46276015203"/>
  </r>
  <r>
    <x v="38"/>
    <x v="4"/>
    <x v="85"/>
    <x v="0"/>
    <x v="1"/>
    <x v="243"/>
    <x v="25"/>
    <s v="NAKİT"/>
    <n v="0.5"/>
    <n v="290"/>
    <n v="0"/>
    <n v="0"/>
    <n v="0.5"/>
    <m/>
    <n v="290"/>
    <m/>
    <n v="145"/>
    <n v="0"/>
    <n v="137101.46276015203"/>
  </r>
  <r>
    <x v="38"/>
    <x v="7"/>
    <x v="0"/>
    <x v="0"/>
    <x v="2"/>
    <x v="2"/>
    <x v="55"/>
    <s v="K.K."/>
    <n v="1"/>
    <n v="0"/>
    <n v="38291.480000000003"/>
    <n v="0"/>
    <m/>
    <m/>
    <m/>
    <m/>
    <n v="0"/>
    <n v="38291.480000000003"/>
    <n v="98809.982760152023"/>
  </r>
  <r>
    <x v="39"/>
    <x v="2"/>
    <x v="0"/>
    <x v="4"/>
    <x v="1"/>
    <x v="244"/>
    <x v="56"/>
    <s v="NAKİT"/>
    <n v="1"/>
    <n v="1920"/>
    <n v="0"/>
    <n v="0"/>
    <m/>
    <m/>
    <m/>
    <m/>
    <n v="0"/>
    <n v="1920"/>
    <n v="96889.982760152023"/>
  </r>
  <r>
    <x v="39"/>
    <x v="3"/>
    <x v="235"/>
    <x v="0"/>
    <x v="2"/>
    <x v="245"/>
    <x v="50"/>
    <s v="K.K."/>
    <n v="5"/>
    <n v="139.9"/>
    <n v="0"/>
    <n v="699.5"/>
    <m/>
    <n v="5"/>
    <m/>
    <n v="139.9"/>
    <n v="0"/>
    <n v="0"/>
    <n v="96889.982760152023"/>
  </r>
  <r>
    <x v="39"/>
    <x v="3"/>
    <x v="237"/>
    <x v="0"/>
    <x v="2"/>
    <x v="246"/>
    <x v="50"/>
    <s v="K.K."/>
    <n v="6"/>
    <n v="112.87"/>
    <n v="0"/>
    <n v="677.22"/>
    <m/>
    <n v="6"/>
    <m/>
    <n v="112.87"/>
    <n v="0"/>
    <n v="0"/>
    <n v="96889.982760152023"/>
  </r>
  <r>
    <x v="39"/>
    <x v="3"/>
    <x v="234"/>
    <x v="0"/>
    <x v="2"/>
    <x v="247"/>
    <x v="50"/>
    <s v="K.K."/>
    <n v="3"/>
    <n v="140.77000000000001"/>
    <n v="0"/>
    <n v="422.31000000000006"/>
    <m/>
    <n v="3"/>
    <m/>
    <n v="140.77000000000001"/>
    <n v="0"/>
    <n v="0"/>
    <n v="96889.982760152023"/>
  </r>
  <r>
    <x v="39"/>
    <x v="3"/>
    <x v="217"/>
    <x v="0"/>
    <x v="2"/>
    <x v="247"/>
    <x v="50"/>
    <s v="K.K."/>
    <n v="2"/>
    <n v="148.6"/>
    <n v="0"/>
    <n v="297.2"/>
    <m/>
    <n v="2"/>
    <m/>
    <n v="148.6"/>
    <n v="0"/>
    <n v="0"/>
    <n v="96889.982760152023"/>
  </r>
  <r>
    <x v="39"/>
    <x v="3"/>
    <x v="217"/>
    <x v="0"/>
    <x v="2"/>
    <x v="248"/>
    <x v="50"/>
    <s v="K.K."/>
    <n v="3"/>
    <n v="149.9"/>
    <n v="0"/>
    <n v="449.70000000000005"/>
    <m/>
    <n v="3"/>
    <m/>
    <n v="149.9"/>
    <n v="0"/>
    <n v="0"/>
    <n v="96889.982760152023"/>
  </r>
  <r>
    <x v="39"/>
    <x v="3"/>
    <x v="186"/>
    <x v="0"/>
    <x v="2"/>
    <x v="249"/>
    <x v="49"/>
    <s v="K.K."/>
    <n v="6"/>
    <n v="127.36"/>
    <n v="0"/>
    <n v="764.16"/>
    <m/>
    <n v="6"/>
    <m/>
    <n v="127.36"/>
    <n v="0"/>
    <n v="0"/>
    <n v="96889.982760152023"/>
  </r>
  <r>
    <x v="39"/>
    <x v="4"/>
    <x v="49"/>
    <x v="0"/>
    <x v="1"/>
    <x v="250"/>
    <x v="25"/>
    <s v="NAKİT"/>
    <n v="0.1"/>
    <n v="600"/>
    <n v="0"/>
    <n v="0"/>
    <n v="1"/>
    <m/>
    <n v="60"/>
    <m/>
    <n v="60"/>
    <n v="0"/>
    <n v="96949.982760152023"/>
  </r>
  <r>
    <x v="39"/>
    <x v="4"/>
    <x v="76"/>
    <x v="0"/>
    <x v="1"/>
    <x v="250"/>
    <x v="25"/>
    <s v="NAKİT"/>
    <n v="0.5"/>
    <n v="80"/>
    <n v="0"/>
    <n v="0"/>
    <n v="1"/>
    <m/>
    <n v="40"/>
    <m/>
    <n v="40"/>
    <n v="0"/>
    <n v="96989.982760152023"/>
  </r>
  <r>
    <x v="39"/>
    <x v="4"/>
    <x v="209"/>
    <x v="0"/>
    <x v="1"/>
    <x v="250"/>
    <x v="25"/>
    <s v="NAKİT"/>
    <n v="0.55500000000000005"/>
    <n v="290"/>
    <n v="0"/>
    <n v="0"/>
    <n v="0.55500000000000005"/>
    <m/>
    <n v="290"/>
    <m/>
    <n v="160.95000000000002"/>
    <n v="0"/>
    <n v="97150.93276015202"/>
  </r>
  <r>
    <x v="39"/>
    <x v="4"/>
    <x v="9"/>
    <x v="0"/>
    <x v="1"/>
    <x v="251"/>
    <x v="25"/>
    <s v="NAKİT"/>
    <n v="1"/>
    <n v="160"/>
    <n v="0"/>
    <n v="0"/>
    <n v="1"/>
    <m/>
    <n v="160"/>
    <m/>
    <n v="160"/>
    <n v="0"/>
    <n v="97310.93276015202"/>
  </r>
  <r>
    <x v="39"/>
    <x v="4"/>
    <x v="130"/>
    <x v="0"/>
    <x v="1"/>
    <x v="252"/>
    <x v="25"/>
    <s v="NAKİT"/>
    <n v="0.32"/>
    <n v="190"/>
    <n v="0"/>
    <n v="0"/>
    <n v="0.32"/>
    <m/>
    <n v="190"/>
    <m/>
    <n v="60.800000000000004"/>
    <n v="0"/>
    <n v="97371.732760152023"/>
  </r>
  <r>
    <x v="39"/>
    <x v="4"/>
    <x v="231"/>
    <x v="0"/>
    <x v="1"/>
    <x v="252"/>
    <x v="25"/>
    <s v="NAKİT"/>
    <n v="0.25"/>
    <n v="400"/>
    <n v="0"/>
    <n v="0"/>
    <n v="1"/>
    <m/>
    <n v="100"/>
    <m/>
    <n v="100"/>
    <n v="0"/>
    <n v="97471.732760152023"/>
  </r>
  <r>
    <x v="39"/>
    <x v="4"/>
    <x v="18"/>
    <x v="0"/>
    <x v="1"/>
    <x v="253"/>
    <x v="25"/>
    <s v="NAKİT"/>
    <n v="1"/>
    <n v="240"/>
    <n v="0"/>
    <n v="0"/>
    <n v="1"/>
    <m/>
    <n v="240"/>
    <m/>
    <n v="240"/>
    <n v="0"/>
    <n v="97711.732760152023"/>
  </r>
  <r>
    <x v="39"/>
    <x v="4"/>
    <x v="58"/>
    <x v="0"/>
    <x v="1"/>
    <x v="253"/>
    <x v="25"/>
    <s v="NAKİT"/>
    <n v="1"/>
    <n v="200"/>
    <n v="0"/>
    <n v="0"/>
    <n v="1"/>
    <m/>
    <n v="200"/>
    <m/>
    <n v="200"/>
    <n v="0"/>
    <n v="97911.732760152023"/>
  </r>
  <r>
    <x v="39"/>
    <x v="4"/>
    <x v="34"/>
    <x v="0"/>
    <x v="1"/>
    <x v="254"/>
    <x v="25"/>
    <s v="NAKİT"/>
    <n v="0.1"/>
    <n v="600"/>
    <n v="0"/>
    <n v="0"/>
    <n v="1"/>
    <m/>
    <n v="60"/>
    <m/>
    <n v="60"/>
    <n v="0"/>
    <n v="97971.732760152023"/>
  </r>
  <r>
    <x v="39"/>
    <x v="4"/>
    <x v="60"/>
    <x v="0"/>
    <x v="1"/>
    <x v="255"/>
    <x v="25"/>
    <s v="NAKİT"/>
    <n v="0.1"/>
    <n v="250"/>
    <n v="0"/>
    <n v="0"/>
    <n v="1"/>
    <m/>
    <n v="25"/>
    <m/>
    <n v="25"/>
    <n v="0"/>
    <n v="97996.732760152023"/>
  </r>
  <r>
    <x v="39"/>
    <x v="4"/>
    <x v="70"/>
    <x v="0"/>
    <x v="1"/>
    <x v="256"/>
    <x v="25"/>
    <s v="NAKİT"/>
    <n v="0.19445000000000001"/>
    <n v="180"/>
    <n v="0"/>
    <n v="0"/>
    <n v="1"/>
    <m/>
    <n v="35"/>
    <m/>
    <n v="35.001000000000005"/>
    <n v="0"/>
    <n v="98031.733760152027"/>
  </r>
  <r>
    <x v="39"/>
    <x v="4"/>
    <x v="186"/>
    <x v="0"/>
    <x v="1"/>
    <x v="257"/>
    <x v="25"/>
    <s v="NAKİT"/>
    <n v="1"/>
    <n v="190"/>
    <n v="0"/>
    <n v="0"/>
    <n v="1"/>
    <m/>
    <n v="190"/>
    <m/>
    <n v="190"/>
    <n v="0"/>
    <n v="98221.733760152027"/>
  </r>
  <r>
    <x v="39"/>
    <x v="4"/>
    <x v="70"/>
    <x v="0"/>
    <x v="5"/>
    <x v="258"/>
    <x v="25"/>
    <s v="POS"/>
    <n v="0.45"/>
    <n v="180"/>
    <n v="81"/>
    <n v="0"/>
    <n v="0.45"/>
    <m/>
    <n v="180"/>
    <m/>
    <n v="0"/>
    <n v="0"/>
    <n v="98221.733760152027"/>
  </r>
  <r>
    <x v="39"/>
    <x v="4"/>
    <x v="117"/>
    <x v="0"/>
    <x v="5"/>
    <x v="258"/>
    <x v="25"/>
    <s v="POS"/>
    <n v="0.38"/>
    <n v="350"/>
    <n v="133"/>
    <n v="0"/>
    <n v="0.38"/>
    <m/>
    <n v="350"/>
    <m/>
    <n v="0"/>
    <n v="0"/>
    <n v="98221.733760152027"/>
  </r>
  <r>
    <x v="39"/>
    <x v="1"/>
    <x v="0"/>
    <x v="5"/>
    <x v="2"/>
    <x v="2"/>
    <x v="57"/>
    <s v="K.K."/>
    <n v="1"/>
    <n v="300"/>
    <n v="0"/>
    <n v="300"/>
    <m/>
    <n v="1"/>
    <m/>
    <n v="300"/>
    <n v="0"/>
    <n v="0"/>
    <n v="98221.733760152027"/>
  </r>
  <r>
    <x v="39"/>
    <x v="1"/>
    <x v="0"/>
    <x v="13"/>
    <x v="2"/>
    <x v="2"/>
    <x v="58"/>
    <s v="K.K."/>
    <n v="1"/>
    <n v="562.5"/>
    <n v="0"/>
    <n v="562.5"/>
    <m/>
    <n v="1"/>
    <m/>
    <n v="562.5"/>
    <n v="0"/>
    <n v="0"/>
    <n v="98221.733760152027"/>
  </r>
  <r>
    <x v="39"/>
    <x v="1"/>
    <x v="0"/>
    <x v="13"/>
    <x v="2"/>
    <x v="2"/>
    <x v="59"/>
    <s v="K.K."/>
    <n v="1"/>
    <n v="146.22999999999999"/>
    <n v="0"/>
    <n v="146.22999999999999"/>
    <m/>
    <n v="1"/>
    <m/>
    <n v="146.22999999999999"/>
    <n v="0"/>
    <n v="0"/>
    <n v="98221.733760152027"/>
  </r>
  <r>
    <x v="40"/>
    <x v="3"/>
    <x v="238"/>
    <x v="0"/>
    <x v="4"/>
    <x v="259"/>
    <x v="32"/>
    <s v="CARİ"/>
    <n v="10"/>
    <n v="225"/>
    <n v="0"/>
    <n v="2250"/>
    <m/>
    <n v="10"/>
    <m/>
    <n v="225"/>
    <n v="0"/>
    <n v="0"/>
    <n v="98221.733760152027"/>
  </r>
  <r>
    <x v="40"/>
    <x v="3"/>
    <x v="239"/>
    <x v="0"/>
    <x v="4"/>
    <x v="259"/>
    <x v="32"/>
    <s v="CARİ"/>
    <n v="5"/>
    <n v="200"/>
    <n v="0"/>
    <n v="1000"/>
    <m/>
    <n v="5"/>
    <m/>
    <n v="200"/>
    <n v="0"/>
    <n v="0"/>
    <n v="98221.733760152027"/>
  </r>
  <r>
    <x v="40"/>
    <x v="3"/>
    <x v="240"/>
    <x v="0"/>
    <x v="4"/>
    <x v="259"/>
    <x v="32"/>
    <s v="CARİ"/>
    <n v="5"/>
    <n v="115"/>
    <n v="0"/>
    <n v="575"/>
    <m/>
    <n v="5"/>
    <m/>
    <n v="115"/>
    <n v="0"/>
    <n v="0"/>
    <n v="98221.733760152027"/>
  </r>
  <r>
    <x v="40"/>
    <x v="3"/>
    <x v="241"/>
    <x v="0"/>
    <x v="4"/>
    <x v="259"/>
    <x v="32"/>
    <s v="CARİ"/>
    <n v="5"/>
    <n v="33"/>
    <n v="0"/>
    <n v="165"/>
    <m/>
    <n v="5"/>
    <m/>
    <n v="33"/>
    <n v="0"/>
    <n v="0"/>
    <n v="98221.733760152027"/>
  </r>
  <r>
    <x v="40"/>
    <x v="3"/>
    <x v="101"/>
    <x v="0"/>
    <x v="4"/>
    <x v="259"/>
    <x v="32"/>
    <s v="CARİ"/>
    <n v="5"/>
    <n v="110"/>
    <n v="0"/>
    <n v="550"/>
    <m/>
    <n v="5"/>
    <m/>
    <n v="110"/>
    <n v="0"/>
    <n v="0"/>
    <n v="98221.733760152027"/>
  </r>
  <r>
    <x v="40"/>
    <x v="3"/>
    <x v="242"/>
    <x v="0"/>
    <x v="4"/>
    <x v="259"/>
    <x v="32"/>
    <s v="CARİ"/>
    <n v="5"/>
    <n v="145"/>
    <n v="0"/>
    <n v="725"/>
    <m/>
    <n v="5"/>
    <m/>
    <n v="145"/>
    <n v="0"/>
    <n v="0"/>
    <n v="98221.733760152027"/>
  </r>
  <r>
    <x v="40"/>
    <x v="3"/>
    <x v="243"/>
    <x v="0"/>
    <x v="4"/>
    <x v="259"/>
    <x v="32"/>
    <s v="CARİ"/>
    <n v="5"/>
    <n v="150"/>
    <n v="0"/>
    <n v="750"/>
    <m/>
    <n v="5"/>
    <m/>
    <n v="150"/>
    <n v="0"/>
    <n v="0"/>
    <n v="98221.733760152027"/>
  </r>
  <r>
    <x v="40"/>
    <x v="3"/>
    <x v="116"/>
    <x v="0"/>
    <x v="4"/>
    <x v="259"/>
    <x v="32"/>
    <s v="CARİ"/>
    <n v="5"/>
    <n v="290"/>
    <n v="0"/>
    <n v="1450"/>
    <m/>
    <n v="5"/>
    <m/>
    <n v="290"/>
    <n v="0"/>
    <n v="0"/>
    <n v="98221.733760152027"/>
  </r>
  <r>
    <x v="40"/>
    <x v="3"/>
    <x v="244"/>
    <x v="0"/>
    <x v="4"/>
    <x v="259"/>
    <x v="32"/>
    <s v="CARİ"/>
    <n v="5"/>
    <n v="63"/>
    <n v="0"/>
    <n v="315"/>
    <m/>
    <n v="5"/>
    <m/>
    <n v="63"/>
    <n v="0"/>
    <n v="0"/>
    <n v="98221.733760152027"/>
  </r>
  <r>
    <x v="40"/>
    <x v="4"/>
    <x v="59"/>
    <x v="0"/>
    <x v="1"/>
    <x v="175"/>
    <x v="25"/>
    <s v="NAKİT"/>
    <n v="0.5"/>
    <n v="420"/>
    <n v="0"/>
    <n v="0"/>
    <n v="0.5"/>
    <m/>
    <n v="420"/>
    <m/>
    <n v="210"/>
    <n v="0"/>
    <n v="98431.733760152027"/>
  </r>
  <r>
    <x v="40"/>
    <x v="4"/>
    <x v="18"/>
    <x v="0"/>
    <x v="1"/>
    <x v="260"/>
    <x v="25"/>
    <s v="NAKİT"/>
    <n v="1"/>
    <n v="240"/>
    <n v="0"/>
    <n v="0"/>
    <n v="1"/>
    <m/>
    <n v="240"/>
    <m/>
    <n v="240"/>
    <n v="0"/>
    <n v="98671.733760152027"/>
  </r>
  <r>
    <x v="40"/>
    <x v="4"/>
    <x v="38"/>
    <x v="0"/>
    <x v="1"/>
    <x v="261"/>
    <x v="25"/>
    <s v="NAKİT"/>
    <n v="0.2"/>
    <n v="650"/>
    <n v="0"/>
    <n v="0"/>
    <n v="2"/>
    <m/>
    <n v="65"/>
    <m/>
    <n v="130"/>
    <n v="0"/>
    <n v="98801.733760152027"/>
  </r>
  <r>
    <x v="40"/>
    <x v="4"/>
    <x v="98"/>
    <x v="0"/>
    <x v="5"/>
    <x v="262"/>
    <x v="25"/>
    <s v="POS"/>
    <n v="0.57199999999999995"/>
    <n v="700"/>
    <n v="400.4"/>
    <n v="0"/>
    <n v="0.57199999999999995"/>
    <m/>
    <n v="700"/>
    <m/>
    <n v="0"/>
    <n v="0"/>
    <n v="98801.733760152027"/>
  </r>
  <r>
    <x v="40"/>
    <x v="4"/>
    <x v="24"/>
    <x v="0"/>
    <x v="5"/>
    <x v="263"/>
    <x v="25"/>
    <s v="POS"/>
    <n v="0.23499999999999999"/>
    <n v="640"/>
    <n v="150.39999999999998"/>
    <n v="0"/>
    <n v="0.23499999999999999"/>
    <m/>
    <n v="640"/>
    <m/>
    <n v="0"/>
    <n v="0"/>
    <n v="98801.733760152027"/>
  </r>
  <r>
    <x v="40"/>
    <x v="4"/>
    <x v="231"/>
    <x v="0"/>
    <x v="5"/>
    <x v="263"/>
    <x v="25"/>
    <s v="POS"/>
    <n v="0.25"/>
    <n v="400"/>
    <n v="100"/>
    <n v="0"/>
    <n v="1"/>
    <m/>
    <n v="100"/>
    <m/>
    <n v="0"/>
    <n v="0"/>
    <n v="98801.733760152027"/>
  </r>
  <r>
    <x v="40"/>
    <x v="4"/>
    <x v="24"/>
    <x v="0"/>
    <x v="1"/>
    <x v="264"/>
    <x v="25"/>
    <s v="NAKİT"/>
    <n v="0.04"/>
    <n v="640"/>
    <n v="0"/>
    <n v="0"/>
    <n v="0.04"/>
    <m/>
    <n v="640"/>
    <m/>
    <n v="25.6"/>
    <n v="0"/>
    <n v="98827.333760152032"/>
  </r>
  <r>
    <x v="40"/>
    <x v="4"/>
    <x v="57"/>
    <x v="0"/>
    <x v="1"/>
    <x v="264"/>
    <x v="25"/>
    <s v="NAKİT"/>
    <n v="0.53"/>
    <n v="130"/>
    <n v="0"/>
    <n v="0"/>
    <n v="0.53"/>
    <m/>
    <n v="130"/>
    <m/>
    <n v="68.900000000000006"/>
    <n v="0"/>
    <n v="98896.233760152027"/>
  </r>
  <r>
    <x v="40"/>
    <x v="4"/>
    <x v="70"/>
    <x v="0"/>
    <x v="1"/>
    <x v="264"/>
    <x v="25"/>
    <s v="NAKİT"/>
    <n v="0.32"/>
    <n v="180"/>
    <n v="0"/>
    <n v="0"/>
    <n v="0.32"/>
    <m/>
    <n v="180"/>
    <m/>
    <n v="57.6"/>
    <n v="0"/>
    <n v="98953.833760152032"/>
  </r>
  <r>
    <x v="40"/>
    <x v="4"/>
    <x v="38"/>
    <x v="0"/>
    <x v="1"/>
    <x v="264"/>
    <x v="25"/>
    <s v="NAKİT"/>
    <n v="0.1"/>
    <n v="650"/>
    <n v="0"/>
    <n v="0"/>
    <n v="1"/>
    <m/>
    <n v="65"/>
    <m/>
    <n v="65"/>
    <n v="0"/>
    <n v="99018.833760152032"/>
  </r>
  <r>
    <x v="40"/>
    <x v="4"/>
    <x v="43"/>
    <x v="0"/>
    <x v="1"/>
    <x v="264"/>
    <x v="25"/>
    <s v="NAKİT"/>
    <n v="1"/>
    <n v="65"/>
    <n v="0"/>
    <n v="0"/>
    <n v="1"/>
    <m/>
    <n v="65"/>
    <m/>
    <n v="65"/>
    <n v="0"/>
    <n v="99083.833760152032"/>
  </r>
  <r>
    <x v="40"/>
    <x v="4"/>
    <x v="239"/>
    <x v="0"/>
    <x v="1"/>
    <x v="265"/>
    <x v="25"/>
    <s v="NAKİT"/>
    <n v="0.25"/>
    <n v="400"/>
    <n v="0"/>
    <n v="0"/>
    <n v="1"/>
    <m/>
    <n v="100"/>
    <m/>
    <n v="100"/>
    <n v="0"/>
    <n v="99183.833760152032"/>
  </r>
  <r>
    <x v="40"/>
    <x v="4"/>
    <x v="72"/>
    <x v="0"/>
    <x v="1"/>
    <x v="266"/>
    <x v="25"/>
    <s v="NAKİT"/>
    <n v="3.5999999999999997E-2"/>
    <n v="1400"/>
    <n v="0"/>
    <n v="0"/>
    <n v="3.5999999999999997E-2"/>
    <m/>
    <n v="1400"/>
    <m/>
    <n v="50.4"/>
    <n v="0"/>
    <n v="99234.233760152027"/>
  </r>
  <r>
    <x v="40"/>
    <x v="4"/>
    <x v="30"/>
    <x v="0"/>
    <x v="1"/>
    <x v="266"/>
    <x v="25"/>
    <s v="NAKİT"/>
    <n v="0.16600000000000001"/>
    <n v="500"/>
    <n v="0"/>
    <n v="0"/>
    <n v="0.16600000000000001"/>
    <m/>
    <n v="500"/>
    <m/>
    <n v="83"/>
    <n v="0"/>
    <n v="99317.233760152027"/>
  </r>
  <r>
    <x v="40"/>
    <x v="4"/>
    <x v="61"/>
    <x v="0"/>
    <x v="1"/>
    <x v="266"/>
    <x v="25"/>
    <s v="NAKİT"/>
    <n v="9.6000000000000002E-2"/>
    <n v="770"/>
    <n v="0"/>
    <n v="0"/>
    <n v="9.6000000000000002E-2"/>
    <m/>
    <n v="770"/>
    <m/>
    <n v="73.92"/>
    <n v="0"/>
    <n v="99391.153760152025"/>
  </r>
  <r>
    <x v="40"/>
    <x v="4"/>
    <x v="206"/>
    <x v="0"/>
    <x v="1"/>
    <x v="266"/>
    <x v="25"/>
    <s v="NAKİT"/>
    <n v="1"/>
    <n v="350"/>
    <n v="0"/>
    <n v="0"/>
    <n v="1"/>
    <m/>
    <n v="350"/>
    <m/>
    <n v="350"/>
    <n v="0"/>
    <n v="99741.153760152025"/>
  </r>
  <r>
    <x v="40"/>
    <x v="7"/>
    <x v="0"/>
    <x v="0"/>
    <x v="4"/>
    <x v="2"/>
    <x v="39"/>
    <s v="NAKİT"/>
    <n v="1"/>
    <n v="0"/>
    <n v="40000"/>
    <n v="0"/>
    <m/>
    <m/>
    <m/>
    <m/>
    <n v="0"/>
    <n v="40000"/>
    <n v="59741.153760152025"/>
  </r>
  <r>
    <x v="41"/>
    <x v="4"/>
    <x v="209"/>
    <x v="0"/>
    <x v="1"/>
    <x v="267"/>
    <x v="25"/>
    <s v="NAKİT"/>
    <n v="0.497"/>
    <n v="290"/>
    <n v="0"/>
    <n v="0"/>
    <n v="0.497"/>
    <m/>
    <n v="290"/>
    <m/>
    <n v="144.13"/>
    <n v="0"/>
    <n v="59885.283760152022"/>
  </r>
  <r>
    <x v="41"/>
    <x v="4"/>
    <x v="43"/>
    <x v="0"/>
    <x v="1"/>
    <x v="267"/>
    <x v="25"/>
    <s v="NAKİT"/>
    <n v="1"/>
    <n v="65"/>
    <n v="0"/>
    <n v="0"/>
    <n v="1"/>
    <m/>
    <n v="65"/>
    <m/>
    <n v="65"/>
    <n v="0"/>
    <n v="59950.283760152022"/>
  </r>
  <r>
    <x v="41"/>
    <x v="4"/>
    <x v="217"/>
    <x v="0"/>
    <x v="1"/>
    <x v="268"/>
    <x v="25"/>
    <s v="NAKİT"/>
    <n v="1"/>
    <n v="220"/>
    <n v="0"/>
    <n v="0"/>
    <n v="1"/>
    <m/>
    <n v="220"/>
    <m/>
    <n v="220"/>
    <n v="0"/>
    <n v="60170.283760152022"/>
  </r>
  <r>
    <x v="41"/>
    <x v="4"/>
    <x v="44"/>
    <x v="0"/>
    <x v="1"/>
    <x v="268"/>
    <x v="25"/>
    <s v="NAKİT"/>
    <n v="1"/>
    <n v="65"/>
    <n v="0"/>
    <n v="0"/>
    <n v="1"/>
    <m/>
    <n v="65"/>
    <m/>
    <n v="65"/>
    <n v="0"/>
    <n v="60235.283760152022"/>
  </r>
  <r>
    <x v="41"/>
    <x v="4"/>
    <x v="144"/>
    <x v="0"/>
    <x v="1"/>
    <x v="268"/>
    <x v="25"/>
    <s v="NAKİT"/>
    <n v="1"/>
    <n v="140"/>
    <n v="0"/>
    <n v="0"/>
    <n v="1"/>
    <m/>
    <n v="140"/>
    <m/>
    <n v="140"/>
    <n v="0"/>
    <n v="60375.283760152022"/>
  </r>
  <r>
    <x v="41"/>
    <x v="4"/>
    <x v="59"/>
    <x v="0"/>
    <x v="1"/>
    <x v="269"/>
    <x v="25"/>
    <s v="NAKİT"/>
    <n v="0.36"/>
    <n v="420"/>
    <n v="0"/>
    <n v="0"/>
    <n v="0.36"/>
    <m/>
    <n v="420"/>
    <m/>
    <n v="151.19999999999999"/>
    <n v="0"/>
    <n v="60526.483760152019"/>
  </r>
  <r>
    <x v="41"/>
    <x v="4"/>
    <x v="158"/>
    <x v="0"/>
    <x v="5"/>
    <x v="270"/>
    <x v="25"/>
    <s v="POS"/>
    <n v="6"/>
    <n v="15"/>
    <n v="90"/>
    <n v="0"/>
    <n v="6"/>
    <m/>
    <n v="15"/>
    <m/>
    <n v="0"/>
    <n v="0"/>
    <n v="60526.483760152019"/>
  </r>
  <r>
    <x v="41"/>
    <x v="4"/>
    <x v="19"/>
    <x v="0"/>
    <x v="5"/>
    <x v="270"/>
    <x v="25"/>
    <s v="POS"/>
    <n v="1"/>
    <n v="200"/>
    <n v="200"/>
    <n v="0"/>
    <n v="1"/>
    <m/>
    <n v="200"/>
    <m/>
    <n v="0"/>
    <n v="0"/>
    <n v="60526.483760152019"/>
  </r>
  <r>
    <x v="41"/>
    <x v="4"/>
    <x v="48"/>
    <x v="0"/>
    <x v="5"/>
    <x v="270"/>
    <x v="25"/>
    <s v="POS"/>
    <n v="0.05"/>
    <n v="1500"/>
    <n v="75"/>
    <n v="0"/>
    <n v="1"/>
    <m/>
    <n v="75"/>
    <m/>
    <n v="0"/>
    <n v="0"/>
    <n v="60526.483760152019"/>
  </r>
  <r>
    <x v="41"/>
    <x v="4"/>
    <x v="158"/>
    <x v="0"/>
    <x v="1"/>
    <x v="271"/>
    <x v="25"/>
    <s v="NAKİT"/>
    <n v="2"/>
    <n v="15"/>
    <n v="0"/>
    <n v="0"/>
    <n v="2"/>
    <m/>
    <n v="15"/>
    <m/>
    <n v="30"/>
    <n v="0"/>
    <n v="60556.483760152019"/>
  </r>
  <r>
    <x v="41"/>
    <x v="4"/>
    <x v="163"/>
    <x v="0"/>
    <x v="1"/>
    <x v="271"/>
    <x v="25"/>
    <s v="NAKİT"/>
    <n v="2"/>
    <n v="40"/>
    <n v="0"/>
    <n v="0"/>
    <n v="2"/>
    <m/>
    <n v="40"/>
    <m/>
    <n v="80"/>
    <n v="0"/>
    <n v="60636.483760152019"/>
  </r>
  <r>
    <x v="41"/>
    <x v="4"/>
    <x v="185"/>
    <x v="0"/>
    <x v="1"/>
    <x v="271"/>
    <x v="25"/>
    <s v="NAKİT"/>
    <n v="1"/>
    <n v="190"/>
    <n v="0"/>
    <n v="0"/>
    <n v="1"/>
    <m/>
    <n v="190"/>
    <m/>
    <n v="190"/>
    <n v="0"/>
    <n v="60826.483760152019"/>
  </r>
  <r>
    <x v="41"/>
    <x v="4"/>
    <x v="19"/>
    <x v="0"/>
    <x v="1"/>
    <x v="271"/>
    <x v="25"/>
    <s v="NAKİT"/>
    <n v="1"/>
    <n v="200"/>
    <n v="0"/>
    <n v="0"/>
    <n v="1"/>
    <m/>
    <n v="200"/>
    <m/>
    <n v="200"/>
    <n v="0"/>
    <n v="61026.483760152019"/>
  </r>
  <r>
    <x v="41"/>
    <x v="4"/>
    <x v="98"/>
    <x v="0"/>
    <x v="1"/>
    <x v="272"/>
    <x v="25"/>
    <s v="NAKİT"/>
    <n v="0.67400000000000004"/>
    <n v="350"/>
    <n v="0"/>
    <n v="0"/>
    <n v="0.67400000000000004"/>
    <m/>
    <n v="350"/>
    <m/>
    <n v="235.9"/>
    <n v="0"/>
    <n v="61262.383760152021"/>
  </r>
  <r>
    <x v="41"/>
    <x v="4"/>
    <x v="116"/>
    <x v="0"/>
    <x v="1"/>
    <x v="272"/>
    <x v="25"/>
    <s v="NAKİT"/>
    <n v="0.51800000000000002"/>
    <n v="700"/>
    <n v="0"/>
    <n v="0"/>
    <n v="0.51800000000000002"/>
    <m/>
    <n v="700"/>
    <m/>
    <n v="362.6"/>
    <n v="0"/>
    <n v="61624.983760152019"/>
  </r>
  <r>
    <x v="41"/>
    <x v="4"/>
    <x v="58"/>
    <x v="0"/>
    <x v="1"/>
    <x v="273"/>
    <x v="25"/>
    <s v="NAKİT"/>
    <n v="1"/>
    <n v="200"/>
    <n v="0"/>
    <n v="0"/>
    <n v="1"/>
    <m/>
    <n v="200"/>
    <m/>
    <n v="200"/>
    <n v="0"/>
    <n v="61824.983760152019"/>
  </r>
  <r>
    <x v="41"/>
    <x v="4"/>
    <x v="231"/>
    <x v="0"/>
    <x v="1"/>
    <x v="274"/>
    <x v="25"/>
    <s v="NAKİT"/>
    <n v="0.25"/>
    <n v="400"/>
    <n v="0"/>
    <n v="0"/>
    <n v="1"/>
    <m/>
    <n v="100"/>
    <m/>
    <n v="100"/>
    <n v="0"/>
    <n v="61924.983760152019"/>
  </r>
  <r>
    <x v="41"/>
    <x v="4"/>
    <x v="86"/>
    <x v="0"/>
    <x v="5"/>
    <x v="275"/>
    <x v="25"/>
    <s v="POS"/>
    <n v="0.24"/>
    <n v="834"/>
    <n v="200.16"/>
    <n v="0"/>
    <n v="0.24"/>
    <m/>
    <n v="834"/>
    <m/>
    <n v="0"/>
    <n v="0"/>
    <n v="61924.983760152019"/>
  </r>
  <r>
    <x v="42"/>
    <x v="3"/>
    <x v="245"/>
    <x v="0"/>
    <x v="2"/>
    <x v="249"/>
    <x v="60"/>
    <s v="K.K."/>
    <n v="6"/>
    <n v="59.5"/>
    <n v="0"/>
    <n v="357"/>
    <m/>
    <n v="6"/>
    <m/>
    <n v="59.5"/>
    <n v="0"/>
    <n v="0"/>
    <n v="61924.983760152019"/>
  </r>
  <r>
    <x v="42"/>
    <x v="3"/>
    <x v="246"/>
    <x v="0"/>
    <x v="2"/>
    <x v="249"/>
    <x v="60"/>
    <s v="K.K."/>
    <n v="7"/>
    <n v="59.5"/>
    <n v="0"/>
    <n v="416.5"/>
    <m/>
    <n v="7"/>
    <m/>
    <n v="59.5"/>
    <n v="0"/>
    <n v="0"/>
    <n v="61924.983760152019"/>
  </r>
  <r>
    <x v="42"/>
    <x v="3"/>
    <x v="247"/>
    <x v="0"/>
    <x v="2"/>
    <x v="249"/>
    <x v="60"/>
    <s v="K.K."/>
    <n v="6"/>
    <n v="59.5"/>
    <n v="0"/>
    <n v="357"/>
    <m/>
    <n v="6"/>
    <m/>
    <n v="59.5"/>
    <n v="0"/>
    <n v="0"/>
    <n v="61924.983760152019"/>
  </r>
  <r>
    <x v="42"/>
    <x v="3"/>
    <x v="248"/>
    <x v="0"/>
    <x v="2"/>
    <x v="249"/>
    <x v="60"/>
    <s v="K.K."/>
    <n v="2.5649999999999999"/>
    <n v="595"/>
    <n v="0"/>
    <n v="1526.175"/>
    <m/>
    <n v="2.5649999999999999"/>
    <m/>
    <n v="595"/>
    <n v="0"/>
    <n v="0"/>
    <n v="61924.983760152019"/>
  </r>
  <r>
    <x v="42"/>
    <x v="3"/>
    <x v="229"/>
    <x v="0"/>
    <x v="2"/>
    <x v="249"/>
    <x v="60"/>
    <s v="K.K."/>
    <n v="1.2649999999999999"/>
    <n v="139.86857699999999"/>
    <n v="0"/>
    <n v="176.93374990499998"/>
    <m/>
    <n v="1.2649999999999999"/>
    <m/>
    <n v="139.86857699999999"/>
    <n v="0"/>
    <n v="0"/>
    <n v="61924.983760152019"/>
  </r>
  <r>
    <x v="42"/>
    <x v="3"/>
    <x v="230"/>
    <x v="0"/>
    <x v="2"/>
    <x v="249"/>
    <x v="60"/>
    <s v="K.K."/>
    <n v="1.25"/>
    <n v="109.776"/>
    <n v="0"/>
    <n v="137.22"/>
    <m/>
    <n v="1.25"/>
    <m/>
    <n v="109.776"/>
    <n v="0"/>
    <n v="0"/>
    <n v="61924.983760152019"/>
  </r>
  <r>
    <x v="42"/>
    <x v="3"/>
    <x v="229"/>
    <x v="0"/>
    <x v="2"/>
    <x v="249"/>
    <x v="60"/>
    <s v="K.K."/>
    <n v="0.97499999999999998"/>
    <n v="139.87"/>
    <n v="0"/>
    <n v="136.37325000000001"/>
    <m/>
    <n v="0.97499999999999998"/>
    <m/>
    <n v="139.87"/>
    <n v="0"/>
    <n v="0"/>
    <n v="61924.983760152019"/>
  </r>
  <r>
    <x v="42"/>
    <x v="4"/>
    <x v="24"/>
    <x v="0"/>
    <x v="5"/>
    <x v="276"/>
    <x v="25"/>
    <s v="POS"/>
    <n v="9.1999999999999998E-2"/>
    <n v="640"/>
    <n v="58.879999999999995"/>
    <n v="0"/>
    <n v="9.1999999999999998E-2"/>
    <m/>
    <n v="640"/>
    <m/>
    <n v="0"/>
    <n v="0"/>
    <n v="61924.983760152019"/>
  </r>
  <r>
    <x v="42"/>
    <x v="4"/>
    <x v="161"/>
    <x v="0"/>
    <x v="5"/>
    <x v="276"/>
    <x v="25"/>
    <s v="POS"/>
    <n v="0.21199999999999999"/>
    <n v="370"/>
    <n v="78.44"/>
    <n v="0"/>
    <n v="0.21199999999999999"/>
    <m/>
    <n v="370"/>
    <m/>
    <n v="0"/>
    <n v="0"/>
    <n v="61924.983760152019"/>
  </r>
  <r>
    <x v="42"/>
    <x v="4"/>
    <x v="33"/>
    <x v="0"/>
    <x v="5"/>
    <x v="276"/>
    <x v="25"/>
    <s v="POS"/>
    <n v="0.17799999999999999"/>
    <n v="380"/>
    <n v="67.64"/>
    <n v="0"/>
    <n v="0.17799999999999999"/>
    <m/>
    <n v="380"/>
    <m/>
    <n v="0"/>
    <n v="0"/>
    <n v="61924.983760152019"/>
  </r>
  <r>
    <x v="42"/>
    <x v="4"/>
    <x v="93"/>
    <x v="0"/>
    <x v="1"/>
    <x v="277"/>
    <x v="25"/>
    <s v="NAKİT"/>
    <n v="1"/>
    <n v="295"/>
    <n v="0"/>
    <n v="0"/>
    <n v="1"/>
    <m/>
    <n v="295"/>
    <m/>
    <n v="295"/>
    <n v="0"/>
    <n v="62219.983760152019"/>
  </r>
  <r>
    <x v="42"/>
    <x v="4"/>
    <x v="31"/>
    <x v="0"/>
    <x v="5"/>
    <x v="277"/>
    <x v="25"/>
    <s v="POS"/>
    <n v="8.5000000000000006E-2"/>
    <n v="380"/>
    <n v="32.300000000000004"/>
    <n v="0"/>
    <n v="8.5000000000000006E-2"/>
    <m/>
    <n v="380"/>
    <m/>
    <n v="0"/>
    <n v="0"/>
    <n v="62219.983760152019"/>
  </r>
  <r>
    <x v="42"/>
    <x v="4"/>
    <x v="185"/>
    <x v="0"/>
    <x v="1"/>
    <x v="278"/>
    <x v="25"/>
    <s v="NAKİT"/>
    <n v="1"/>
    <n v="190"/>
    <n v="0"/>
    <n v="0"/>
    <n v="1"/>
    <m/>
    <n v="190"/>
    <m/>
    <n v="190"/>
    <n v="0"/>
    <n v="62409.983760152019"/>
  </r>
  <r>
    <x v="42"/>
    <x v="4"/>
    <x v="25"/>
    <x v="0"/>
    <x v="1"/>
    <x v="278"/>
    <x v="25"/>
    <s v="NAKİT"/>
    <n v="0.13"/>
    <n v="390"/>
    <n v="0"/>
    <n v="0"/>
    <n v="0.13"/>
    <m/>
    <n v="390"/>
    <m/>
    <n v="50.7"/>
    <n v="0"/>
    <n v="62460.683760152016"/>
  </r>
  <r>
    <x v="42"/>
    <x v="4"/>
    <x v="21"/>
    <x v="0"/>
    <x v="1"/>
    <x v="278"/>
    <x v="25"/>
    <s v="NAKİT"/>
    <n v="1"/>
    <n v="260"/>
    <n v="0"/>
    <n v="0"/>
    <n v="1"/>
    <m/>
    <n v="260"/>
    <m/>
    <n v="260"/>
    <n v="0"/>
    <n v="62720.683760152016"/>
  </r>
  <r>
    <x v="42"/>
    <x v="4"/>
    <x v="67"/>
    <x v="0"/>
    <x v="1"/>
    <x v="278"/>
    <x v="25"/>
    <s v="NAKİT"/>
    <n v="0.14299999999999999"/>
    <n v="1400"/>
    <n v="0"/>
    <n v="0"/>
    <n v="0.14299999999999999"/>
    <m/>
    <n v="1400"/>
    <m/>
    <n v="200.2"/>
    <n v="0"/>
    <n v="62920.883760152014"/>
  </r>
  <r>
    <x v="42"/>
    <x v="4"/>
    <x v="20"/>
    <x v="0"/>
    <x v="5"/>
    <x v="279"/>
    <x v="25"/>
    <s v="POS"/>
    <n v="1"/>
    <n v="200"/>
    <n v="200"/>
    <n v="0"/>
    <n v="1"/>
    <m/>
    <n v="200"/>
    <m/>
    <n v="0"/>
    <n v="0"/>
    <n v="62920.883760152014"/>
  </r>
  <r>
    <x v="42"/>
    <x v="4"/>
    <x v="117"/>
    <x v="0"/>
    <x v="1"/>
    <x v="280"/>
    <x v="25"/>
    <s v="NAKİT"/>
    <n v="0.28999999999999998"/>
    <n v="350"/>
    <n v="0"/>
    <n v="0"/>
    <n v="0.28999999999999998"/>
    <m/>
    <n v="350"/>
    <m/>
    <n v="101.5"/>
    <n v="0"/>
    <n v="63022.383760152014"/>
  </r>
  <r>
    <x v="42"/>
    <x v="4"/>
    <x v="100"/>
    <x v="0"/>
    <x v="1"/>
    <x v="280"/>
    <x v="25"/>
    <s v="NAKİT"/>
    <n v="0.26"/>
    <n v="650"/>
    <n v="0"/>
    <n v="0"/>
    <n v="0.26"/>
    <m/>
    <n v="650"/>
    <m/>
    <n v="169"/>
    <n v="0"/>
    <n v="63191.383760152014"/>
  </r>
  <r>
    <x v="42"/>
    <x v="4"/>
    <x v="179"/>
    <x v="0"/>
    <x v="5"/>
    <x v="281"/>
    <x v="25"/>
    <s v="POS"/>
    <n v="0.23599999999999999"/>
    <n v="850"/>
    <n v="200.6"/>
    <n v="0"/>
    <n v="1"/>
    <m/>
    <n v="200"/>
    <m/>
    <n v="0"/>
    <n v="0"/>
    <n v="63191.383760152014"/>
  </r>
  <r>
    <x v="43"/>
    <x v="3"/>
    <x v="8"/>
    <x v="0"/>
    <x v="2"/>
    <x v="282"/>
    <x v="61"/>
    <s v="K.K."/>
    <n v="15"/>
    <n v="44.5"/>
    <n v="0"/>
    <n v="667.5"/>
    <m/>
    <n v="15"/>
    <m/>
    <n v="44.5"/>
    <n v="0"/>
    <n v="0"/>
    <n v="63191.383760152014"/>
  </r>
  <r>
    <x v="43"/>
    <x v="3"/>
    <x v="249"/>
    <x v="0"/>
    <x v="2"/>
    <x v="283"/>
    <x v="62"/>
    <s v="K.K."/>
    <n v="5"/>
    <n v="79.5"/>
    <n v="0"/>
    <n v="397.5"/>
    <m/>
    <n v="5"/>
    <m/>
    <n v="79.5"/>
    <n v="0"/>
    <n v="0"/>
    <n v="63191.383760152014"/>
  </r>
  <r>
    <x v="43"/>
    <x v="4"/>
    <x v="27"/>
    <x v="0"/>
    <x v="1"/>
    <x v="284"/>
    <x v="25"/>
    <s v="NAKİT"/>
    <n v="0.05"/>
    <n v="400"/>
    <n v="0"/>
    <n v="0"/>
    <n v="0.05"/>
    <m/>
    <n v="400"/>
    <m/>
    <n v="20"/>
    <n v="0"/>
    <n v="63211.383760152014"/>
  </r>
  <r>
    <x v="43"/>
    <x v="4"/>
    <x v="29"/>
    <x v="0"/>
    <x v="1"/>
    <x v="284"/>
    <x v="25"/>
    <s v="NAKİT"/>
    <n v="2.7E-2"/>
    <n v="760"/>
    <n v="0"/>
    <n v="0"/>
    <n v="2.7E-2"/>
    <m/>
    <n v="760"/>
    <m/>
    <n v="20.52"/>
    <n v="0"/>
    <n v="63231.90376015201"/>
  </r>
  <r>
    <x v="43"/>
    <x v="4"/>
    <x v="32"/>
    <x v="0"/>
    <x v="1"/>
    <x v="284"/>
    <x v="25"/>
    <s v="NAKİT"/>
    <n v="0.16300000000000001"/>
    <n v="370"/>
    <n v="0"/>
    <n v="0"/>
    <n v="0.16300000000000001"/>
    <m/>
    <n v="370"/>
    <m/>
    <n v="60.31"/>
    <n v="0"/>
    <n v="63292.213760152008"/>
  </r>
  <r>
    <x v="43"/>
    <x v="4"/>
    <x v="57"/>
    <x v="0"/>
    <x v="5"/>
    <x v="285"/>
    <x v="25"/>
    <s v="POS"/>
    <n v="0.5"/>
    <n v="130"/>
    <n v="65"/>
    <n v="0"/>
    <n v="0.5"/>
    <m/>
    <n v="130"/>
    <m/>
    <n v="0"/>
    <n v="0"/>
    <n v="63292.213760152008"/>
  </r>
  <r>
    <x v="43"/>
    <x v="4"/>
    <x v="56"/>
    <x v="0"/>
    <x v="5"/>
    <x v="285"/>
    <x v="25"/>
    <s v="POS"/>
    <n v="0.5"/>
    <n v="180"/>
    <n v="90"/>
    <n v="0"/>
    <n v="0.5"/>
    <m/>
    <n v="180"/>
    <m/>
    <n v="0"/>
    <n v="0"/>
    <n v="63292.213760152008"/>
  </r>
  <r>
    <x v="43"/>
    <x v="4"/>
    <x v="50"/>
    <x v="0"/>
    <x v="5"/>
    <x v="286"/>
    <x v="25"/>
    <s v="POS"/>
    <n v="0.1"/>
    <n v="650"/>
    <n v="65"/>
    <n v="0"/>
    <n v="1"/>
    <m/>
    <n v="65"/>
    <m/>
    <n v="0"/>
    <n v="0"/>
    <n v="63292.213760152008"/>
  </r>
  <r>
    <x v="43"/>
    <x v="4"/>
    <x v="54"/>
    <x v="0"/>
    <x v="5"/>
    <x v="286"/>
    <x v="25"/>
    <s v="POS"/>
    <n v="0.1"/>
    <n v="400"/>
    <n v="40"/>
    <n v="0"/>
    <n v="1"/>
    <m/>
    <n v="40"/>
    <m/>
    <n v="0"/>
    <n v="0"/>
    <n v="63292.213760152008"/>
  </r>
  <r>
    <x v="43"/>
    <x v="4"/>
    <x v="18"/>
    <x v="0"/>
    <x v="1"/>
    <x v="287"/>
    <x v="25"/>
    <s v="NAKİT"/>
    <n v="1"/>
    <n v="135"/>
    <n v="0"/>
    <n v="0"/>
    <n v="1"/>
    <m/>
    <n v="135"/>
    <m/>
    <n v="135"/>
    <n v="0"/>
    <n v="63427.213760152008"/>
  </r>
  <r>
    <x v="43"/>
    <x v="4"/>
    <x v="57"/>
    <x v="0"/>
    <x v="1"/>
    <x v="288"/>
    <x v="25"/>
    <s v="NAKİT"/>
    <n v="1"/>
    <n v="130"/>
    <n v="0"/>
    <n v="0"/>
    <n v="1"/>
    <m/>
    <n v="130"/>
    <m/>
    <n v="130"/>
    <n v="0"/>
    <n v="63557.213760152008"/>
  </r>
  <r>
    <x v="43"/>
    <x v="4"/>
    <x v="27"/>
    <x v="0"/>
    <x v="5"/>
    <x v="289"/>
    <x v="25"/>
    <s v="POS"/>
    <n v="5.3999999999999999E-2"/>
    <n v="400"/>
    <n v="21.6"/>
    <n v="0"/>
    <n v="5.3999999999999999E-2"/>
    <m/>
    <n v="400"/>
    <m/>
    <n v="0"/>
    <n v="0"/>
    <n v="63557.213760152008"/>
  </r>
  <r>
    <x v="43"/>
    <x v="4"/>
    <x v="28"/>
    <x v="0"/>
    <x v="5"/>
    <x v="289"/>
    <x v="25"/>
    <s v="POS"/>
    <n v="0.13400000000000001"/>
    <n v="500"/>
    <n v="67"/>
    <n v="0"/>
    <n v="0.13400000000000001"/>
    <m/>
    <n v="500"/>
    <m/>
    <n v="0"/>
    <n v="0"/>
    <n v="63557.213760152008"/>
  </r>
  <r>
    <x v="43"/>
    <x v="4"/>
    <x v="238"/>
    <x v="0"/>
    <x v="5"/>
    <x v="289"/>
    <x v="25"/>
    <s v="POS"/>
    <n v="0.35599999999999998"/>
    <n v="340"/>
    <n v="121.03999999999999"/>
    <n v="0"/>
    <n v="0.35599999999999998"/>
    <m/>
    <n v="340"/>
    <m/>
    <n v="0"/>
    <n v="0"/>
    <n v="63557.213760152008"/>
  </r>
  <r>
    <x v="43"/>
    <x v="4"/>
    <x v="30"/>
    <x v="0"/>
    <x v="5"/>
    <x v="289"/>
    <x v="25"/>
    <s v="POS"/>
    <n v="9.4E-2"/>
    <n v="500"/>
    <n v="47"/>
    <n v="0"/>
    <n v="9.4E-2"/>
    <m/>
    <n v="500"/>
    <m/>
    <n v="0"/>
    <n v="0"/>
    <n v="63557.213760152008"/>
  </r>
  <r>
    <x v="43"/>
    <x v="4"/>
    <x v="60"/>
    <x v="0"/>
    <x v="5"/>
    <x v="289"/>
    <x v="25"/>
    <s v="POS"/>
    <n v="0.1"/>
    <n v="250"/>
    <n v="25"/>
    <n v="0"/>
    <n v="1"/>
    <m/>
    <n v="25"/>
    <m/>
    <n v="0"/>
    <n v="0"/>
    <n v="63557.213760152008"/>
  </r>
  <r>
    <x v="43"/>
    <x v="4"/>
    <x v="206"/>
    <x v="0"/>
    <x v="5"/>
    <x v="289"/>
    <x v="25"/>
    <s v="POS"/>
    <n v="0.5"/>
    <n v="350"/>
    <n v="175"/>
    <n v="0"/>
    <n v="0.5"/>
    <m/>
    <n v="350"/>
    <m/>
    <n v="0"/>
    <n v="0"/>
    <n v="63557.213760152008"/>
  </r>
  <r>
    <x v="43"/>
    <x v="4"/>
    <x v="24"/>
    <x v="0"/>
    <x v="5"/>
    <x v="290"/>
    <x v="25"/>
    <s v="POS"/>
    <n v="7.3999999999999996E-2"/>
    <n v="640"/>
    <n v="47.36"/>
    <n v="0"/>
    <n v="7.3999999999999996E-2"/>
    <m/>
    <n v="640"/>
    <m/>
    <n v="0"/>
    <n v="0"/>
    <n v="63557.213760152008"/>
  </r>
  <r>
    <x v="43"/>
    <x v="4"/>
    <x v="74"/>
    <x v="0"/>
    <x v="5"/>
    <x v="290"/>
    <x v="25"/>
    <s v="POS"/>
    <n v="0.25"/>
    <n v="380"/>
    <n v="95"/>
    <n v="0"/>
    <n v="1"/>
    <m/>
    <n v="95"/>
    <m/>
    <n v="0"/>
    <n v="0"/>
    <n v="63557.213760152008"/>
  </r>
  <r>
    <x v="43"/>
    <x v="4"/>
    <x v="53"/>
    <x v="0"/>
    <x v="5"/>
    <x v="290"/>
    <x v="25"/>
    <s v="POS"/>
    <n v="0.1"/>
    <n v="400"/>
    <n v="40"/>
    <n v="0"/>
    <n v="1"/>
    <m/>
    <n v="40"/>
    <m/>
    <n v="0"/>
    <n v="0"/>
    <n v="63557.213760152008"/>
  </r>
  <r>
    <x v="43"/>
    <x v="4"/>
    <x v="238"/>
    <x v="0"/>
    <x v="5"/>
    <x v="290"/>
    <x v="25"/>
    <s v="POS"/>
    <n v="0.36599999999999999"/>
    <n v="340"/>
    <n v="124.44"/>
    <n v="0"/>
    <n v="0.36599999999999999"/>
    <m/>
    <n v="340"/>
    <m/>
    <n v="0"/>
    <n v="0"/>
    <n v="63557.213760152008"/>
  </r>
  <r>
    <x v="43"/>
    <x v="4"/>
    <x v="206"/>
    <x v="0"/>
    <x v="5"/>
    <x v="290"/>
    <x v="25"/>
    <s v="POS"/>
    <n v="0.5"/>
    <n v="350"/>
    <n v="175"/>
    <n v="0"/>
    <n v="0.5"/>
    <m/>
    <n v="350"/>
    <m/>
    <n v="0"/>
    <n v="0"/>
    <n v="63557.213760152008"/>
  </r>
  <r>
    <x v="43"/>
    <x v="4"/>
    <x v="75"/>
    <x v="0"/>
    <x v="1"/>
    <x v="291"/>
    <x v="25"/>
    <s v="NAKİT"/>
    <n v="0.21299999999999999"/>
    <n v="800"/>
    <n v="0"/>
    <n v="0"/>
    <n v="0.21299999999999999"/>
    <m/>
    <n v="800"/>
    <m/>
    <n v="170.4"/>
    <n v="0"/>
    <n v="63727.613760152009"/>
  </r>
  <r>
    <x v="43"/>
    <x v="4"/>
    <x v="20"/>
    <x v="0"/>
    <x v="5"/>
    <x v="292"/>
    <x v="25"/>
    <s v="POS"/>
    <n v="1"/>
    <n v="200"/>
    <n v="200"/>
    <n v="0"/>
    <n v="1"/>
    <m/>
    <n v="200"/>
    <m/>
    <n v="0"/>
    <n v="0"/>
    <n v="63727.613760152009"/>
  </r>
  <r>
    <x v="43"/>
    <x v="4"/>
    <x v="18"/>
    <x v="0"/>
    <x v="5"/>
    <x v="292"/>
    <x v="25"/>
    <s v="POS"/>
    <n v="1"/>
    <n v="240"/>
    <n v="240"/>
    <n v="0"/>
    <n v="1"/>
    <m/>
    <n v="240"/>
    <m/>
    <n v="0"/>
    <n v="0"/>
    <n v="63727.613760152009"/>
  </r>
  <r>
    <x v="43"/>
    <x v="4"/>
    <x v="24"/>
    <x v="0"/>
    <x v="5"/>
    <x v="293"/>
    <x v="25"/>
    <s v="POS"/>
    <n v="0.157"/>
    <n v="640"/>
    <n v="100.48"/>
    <n v="0"/>
    <n v="0.157"/>
    <m/>
    <n v="640"/>
    <m/>
    <n v="0"/>
    <n v="0"/>
    <n v="63727.613760152009"/>
  </r>
  <r>
    <x v="43"/>
    <x v="4"/>
    <x v="18"/>
    <x v="0"/>
    <x v="5"/>
    <x v="293"/>
    <x v="25"/>
    <s v="POS"/>
    <n v="1"/>
    <n v="240"/>
    <n v="240"/>
    <n v="0"/>
    <n v="1"/>
    <m/>
    <n v="240"/>
    <m/>
    <n v="0"/>
    <n v="0"/>
    <n v="63727.613760152009"/>
  </r>
  <r>
    <x v="43"/>
    <x v="4"/>
    <x v="58"/>
    <x v="0"/>
    <x v="5"/>
    <x v="293"/>
    <x v="25"/>
    <s v="POS"/>
    <n v="1"/>
    <n v="200"/>
    <n v="200"/>
    <n v="0"/>
    <n v="1"/>
    <m/>
    <n v="200"/>
    <m/>
    <n v="0"/>
    <n v="0"/>
    <n v="63727.613760152009"/>
  </r>
  <r>
    <x v="43"/>
    <x v="4"/>
    <x v="21"/>
    <x v="0"/>
    <x v="5"/>
    <x v="293"/>
    <x v="25"/>
    <s v="POS"/>
    <n v="1"/>
    <n v="260"/>
    <n v="260"/>
    <n v="0"/>
    <n v="1"/>
    <m/>
    <n v="260"/>
    <m/>
    <n v="0"/>
    <n v="0"/>
    <n v="63727.613760152009"/>
  </r>
  <r>
    <x v="43"/>
    <x v="4"/>
    <x v="233"/>
    <x v="0"/>
    <x v="1"/>
    <x v="294"/>
    <x v="25"/>
    <s v="NAKİT"/>
    <n v="1"/>
    <n v="400"/>
    <n v="0"/>
    <n v="0"/>
    <n v="1"/>
    <m/>
    <n v="400"/>
    <m/>
    <n v="400"/>
    <n v="0"/>
    <n v="64127.613760152009"/>
  </r>
  <r>
    <x v="43"/>
    <x v="4"/>
    <x v="196"/>
    <x v="0"/>
    <x v="1"/>
    <x v="294"/>
    <x v="25"/>
    <s v="NAKİT"/>
    <n v="1"/>
    <n v="350"/>
    <n v="0"/>
    <n v="0"/>
    <n v="1"/>
    <m/>
    <n v="350"/>
    <m/>
    <n v="350"/>
    <n v="0"/>
    <n v="64477.613760152009"/>
  </r>
  <r>
    <x v="43"/>
    <x v="4"/>
    <x v="28"/>
    <x v="0"/>
    <x v="5"/>
    <x v="295"/>
    <x v="35"/>
    <s v="POS"/>
    <n v="1"/>
    <n v="300"/>
    <n v="300"/>
    <n v="0"/>
    <n v="1"/>
    <m/>
    <n v="300"/>
    <m/>
    <n v="0"/>
    <n v="0"/>
    <n v="64477.613760152009"/>
  </r>
  <r>
    <x v="44"/>
    <x v="4"/>
    <x v="109"/>
    <x v="0"/>
    <x v="5"/>
    <x v="279"/>
    <x v="25"/>
    <s v="POS"/>
    <n v="1"/>
    <n v="180"/>
    <n v="180"/>
    <n v="0"/>
    <n v="1"/>
    <m/>
    <n v="180"/>
    <m/>
    <n v="0"/>
    <n v="0"/>
    <n v="64477.613760152009"/>
  </r>
  <r>
    <x v="44"/>
    <x v="4"/>
    <x v="10"/>
    <x v="0"/>
    <x v="5"/>
    <x v="279"/>
    <x v="25"/>
    <s v="POS"/>
    <n v="1"/>
    <n v="170"/>
    <n v="170"/>
    <n v="0"/>
    <n v="1"/>
    <m/>
    <n v="170"/>
    <m/>
    <n v="0"/>
    <n v="0"/>
    <n v="64477.613760152009"/>
  </r>
  <r>
    <x v="44"/>
    <x v="4"/>
    <x v="83"/>
    <x v="0"/>
    <x v="5"/>
    <x v="280"/>
    <x v="25"/>
    <s v="POS"/>
    <n v="0.05"/>
    <n v="2600"/>
    <n v="130"/>
    <n v="0"/>
    <n v="1"/>
    <m/>
    <n v="130"/>
    <m/>
    <n v="0"/>
    <n v="0"/>
    <n v="64477.613760152009"/>
  </r>
  <r>
    <x v="44"/>
    <x v="4"/>
    <x v="142"/>
    <x v="0"/>
    <x v="1"/>
    <x v="281"/>
    <x v="25"/>
    <s v="NAKİT"/>
    <n v="0.24"/>
    <n v="250"/>
    <n v="0"/>
    <n v="0"/>
    <n v="0.24"/>
    <m/>
    <n v="250"/>
    <m/>
    <n v="60"/>
    <n v="0"/>
    <n v="64537.613760152009"/>
  </r>
  <r>
    <x v="44"/>
    <x v="4"/>
    <x v="122"/>
    <x v="0"/>
    <x v="1"/>
    <x v="281"/>
    <x v="25"/>
    <s v="NAKİT"/>
    <n v="0.17199999999999999"/>
    <n v="1150"/>
    <n v="0"/>
    <n v="0"/>
    <n v="0.17199999999999999"/>
    <m/>
    <n v="1150"/>
    <m/>
    <n v="197.79999999999998"/>
    <n v="0"/>
    <n v="64735.413760152012"/>
  </r>
  <r>
    <x v="44"/>
    <x v="4"/>
    <x v="243"/>
    <x v="0"/>
    <x v="1"/>
    <x v="281"/>
    <x v="25"/>
    <s v="NAKİT"/>
    <n v="0.52200000000000002"/>
    <n v="195"/>
    <n v="0"/>
    <n v="0"/>
    <n v="0.52200000000000002"/>
    <m/>
    <n v="195"/>
    <m/>
    <n v="101.79"/>
    <n v="0"/>
    <n v="64837.203760152013"/>
  </r>
  <r>
    <x v="44"/>
    <x v="4"/>
    <x v="237"/>
    <x v="0"/>
    <x v="1"/>
    <x v="281"/>
    <x v="25"/>
    <s v="NAKİT"/>
    <n v="1"/>
    <n v="170"/>
    <n v="0"/>
    <n v="0"/>
    <n v="1"/>
    <m/>
    <n v="170"/>
    <m/>
    <n v="170"/>
    <n v="0"/>
    <n v="65007.203760152013"/>
  </r>
  <r>
    <x v="44"/>
    <x v="4"/>
    <x v="117"/>
    <x v="0"/>
    <x v="1"/>
    <x v="281"/>
    <x v="25"/>
    <s v="NAKİT"/>
    <n v="0.15"/>
    <n v="350"/>
    <n v="0"/>
    <n v="0"/>
    <n v="0.15"/>
    <m/>
    <n v="350"/>
    <m/>
    <n v="52.5"/>
    <n v="0"/>
    <n v="65059.703760152013"/>
  </r>
  <r>
    <x v="44"/>
    <x v="4"/>
    <x v="71"/>
    <x v="0"/>
    <x v="1"/>
    <x v="281"/>
    <x v="25"/>
    <s v="NAKİT"/>
    <n v="0.192"/>
    <n v="180"/>
    <n v="0"/>
    <n v="0"/>
    <n v="0.192"/>
    <m/>
    <n v="180"/>
    <m/>
    <n v="34.56"/>
    <n v="0"/>
    <n v="65094.263760152011"/>
  </r>
  <r>
    <x v="44"/>
    <x v="4"/>
    <x v="209"/>
    <x v="0"/>
    <x v="1"/>
    <x v="281"/>
    <x v="25"/>
    <s v="NAKİT"/>
    <n v="0.49"/>
    <n v="290"/>
    <n v="0"/>
    <n v="0"/>
    <n v="0.49"/>
    <m/>
    <n v="290"/>
    <m/>
    <n v="142.1"/>
    <n v="0"/>
    <n v="65236.363760152009"/>
  </r>
  <r>
    <x v="44"/>
    <x v="4"/>
    <x v="67"/>
    <x v="0"/>
    <x v="1"/>
    <x v="284"/>
    <x v="25"/>
    <s v="NAKİT"/>
    <n v="7.8E-2"/>
    <n v="1400"/>
    <n v="0"/>
    <n v="0"/>
    <n v="7.8E-2"/>
    <m/>
    <n v="1400"/>
    <m/>
    <n v="109.2"/>
    <n v="0"/>
    <n v="65345.563760152007"/>
  </r>
  <r>
    <x v="44"/>
    <x v="4"/>
    <x v="100"/>
    <x v="0"/>
    <x v="1"/>
    <x v="284"/>
    <x v="25"/>
    <s v="NAKİT"/>
    <n v="0.216"/>
    <n v="650"/>
    <n v="0"/>
    <n v="0"/>
    <n v="0.216"/>
    <m/>
    <n v="650"/>
    <m/>
    <n v="140.4"/>
    <n v="0"/>
    <n v="65485.963760152008"/>
  </r>
  <r>
    <x v="44"/>
    <x v="4"/>
    <x v="209"/>
    <x v="0"/>
    <x v="1"/>
    <x v="284"/>
    <x v="25"/>
    <s v="NAKİT"/>
    <n v="0.47"/>
    <n v="290"/>
    <n v="0"/>
    <n v="0"/>
    <n v="0.47"/>
    <m/>
    <n v="290"/>
    <m/>
    <n v="136.29999999999998"/>
    <n v="0"/>
    <n v="65622.263760152011"/>
  </r>
  <r>
    <x v="44"/>
    <x v="4"/>
    <x v="93"/>
    <x v="0"/>
    <x v="1"/>
    <x v="285"/>
    <x v="25"/>
    <s v="NAKİT"/>
    <n v="1"/>
    <n v="295"/>
    <n v="0"/>
    <n v="0"/>
    <n v="1"/>
    <m/>
    <n v="295"/>
    <m/>
    <n v="295"/>
    <n v="0"/>
    <n v="65917.263760152011"/>
  </r>
  <r>
    <x v="44"/>
    <x v="4"/>
    <x v="186"/>
    <x v="0"/>
    <x v="1"/>
    <x v="285"/>
    <x v="25"/>
    <s v="NAKİT"/>
    <n v="1"/>
    <n v="190"/>
    <n v="0"/>
    <n v="0"/>
    <n v="1"/>
    <m/>
    <n v="190"/>
    <m/>
    <n v="190"/>
    <n v="0"/>
    <n v="66107.263760152011"/>
  </r>
  <r>
    <x v="44"/>
    <x v="4"/>
    <x v="232"/>
    <x v="0"/>
    <x v="1"/>
    <x v="285"/>
    <x v="25"/>
    <s v="NAKİT"/>
    <n v="1"/>
    <n v="350"/>
    <n v="0"/>
    <n v="0"/>
    <n v="1"/>
    <m/>
    <n v="350"/>
    <m/>
    <n v="350"/>
    <n v="0"/>
    <n v="66457.263760152011"/>
  </r>
  <r>
    <x v="44"/>
    <x v="4"/>
    <x v="18"/>
    <x v="0"/>
    <x v="1"/>
    <x v="285"/>
    <x v="25"/>
    <s v="NAKİT"/>
    <n v="1"/>
    <n v="240"/>
    <n v="0"/>
    <n v="0"/>
    <n v="1"/>
    <m/>
    <n v="240"/>
    <m/>
    <n v="240"/>
    <n v="0"/>
    <n v="66697.263760152011"/>
  </r>
  <r>
    <x v="44"/>
    <x v="4"/>
    <x v="19"/>
    <x v="0"/>
    <x v="1"/>
    <x v="285"/>
    <x v="25"/>
    <s v="NAKİT"/>
    <n v="1"/>
    <n v="200"/>
    <n v="0"/>
    <n v="0"/>
    <n v="1"/>
    <m/>
    <n v="200"/>
    <m/>
    <n v="200"/>
    <n v="0"/>
    <n v="66897.263760152011"/>
  </r>
  <r>
    <x v="44"/>
    <x v="4"/>
    <x v="20"/>
    <x v="0"/>
    <x v="1"/>
    <x v="285"/>
    <x v="25"/>
    <s v="NAKİT"/>
    <n v="1"/>
    <n v="200"/>
    <n v="0"/>
    <n v="0"/>
    <n v="1"/>
    <m/>
    <n v="200"/>
    <m/>
    <n v="200"/>
    <n v="0"/>
    <n v="67097.263760152011"/>
  </r>
  <r>
    <x v="44"/>
    <x v="4"/>
    <x v="109"/>
    <x v="0"/>
    <x v="1"/>
    <x v="285"/>
    <x v="25"/>
    <s v="NAKİT"/>
    <n v="1"/>
    <n v="180"/>
    <n v="0"/>
    <n v="0"/>
    <n v="1"/>
    <m/>
    <n v="180"/>
    <m/>
    <n v="180"/>
    <n v="0"/>
    <n v="67277.263760152011"/>
  </r>
  <r>
    <x v="44"/>
    <x v="4"/>
    <x v="44"/>
    <x v="0"/>
    <x v="1"/>
    <x v="285"/>
    <x v="25"/>
    <s v="NAKİT"/>
    <n v="1"/>
    <n v="65"/>
    <n v="0"/>
    <n v="0"/>
    <n v="1"/>
    <m/>
    <n v="65"/>
    <m/>
    <n v="65"/>
    <n v="0"/>
    <n v="67342.263760152011"/>
  </r>
  <r>
    <x v="44"/>
    <x v="4"/>
    <x v="157"/>
    <x v="0"/>
    <x v="1"/>
    <x v="285"/>
    <x v="25"/>
    <s v="NAKİT"/>
    <n v="0.2"/>
    <n v="200"/>
    <n v="0"/>
    <n v="0"/>
    <n v="2"/>
    <m/>
    <n v="20"/>
    <m/>
    <n v="40"/>
    <n v="0"/>
    <n v="67382.263760152011"/>
  </r>
  <r>
    <x v="44"/>
    <x v="4"/>
    <x v="57"/>
    <x v="0"/>
    <x v="1"/>
    <x v="285"/>
    <x v="25"/>
    <s v="NAKİT"/>
    <n v="0.99399999999999999"/>
    <n v="130"/>
    <n v="0"/>
    <n v="0"/>
    <n v="0.99399999999999999"/>
    <m/>
    <n v="130"/>
    <m/>
    <n v="129.22"/>
    <n v="0"/>
    <n v="67511.483760152012"/>
  </r>
  <r>
    <x v="44"/>
    <x v="4"/>
    <x v="56"/>
    <x v="0"/>
    <x v="1"/>
    <x v="285"/>
    <x v="25"/>
    <s v="NAKİT"/>
    <n v="0.59799999999999998"/>
    <n v="180"/>
    <n v="0"/>
    <n v="0"/>
    <n v="0.59799999999999998"/>
    <m/>
    <n v="180"/>
    <m/>
    <n v="107.64"/>
    <n v="0"/>
    <n v="67619.123760152012"/>
  </r>
  <r>
    <x v="44"/>
    <x v="4"/>
    <x v="179"/>
    <x v="0"/>
    <x v="1"/>
    <x v="285"/>
    <x v="25"/>
    <s v="NAKİT"/>
    <n v="0.23599999999999999"/>
    <n v="850"/>
    <n v="0"/>
    <n v="0"/>
    <n v="0.23599999999999999"/>
    <m/>
    <n v="850"/>
    <m/>
    <n v="200.6"/>
    <n v="0"/>
    <n v="67819.723760152017"/>
  </r>
  <r>
    <x v="44"/>
    <x v="4"/>
    <x v="238"/>
    <x v="0"/>
    <x v="1"/>
    <x v="285"/>
    <x v="25"/>
    <s v="NAKİT"/>
    <n v="0.51400000000000001"/>
    <n v="340"/>
    <n v="0"/>
    <n v="0"/>
    <n v="0.51400000000000001"/>
    <m/>
    <n v="340"/>
    <m/>
    <n v="174.76"/>
    <n v="0"/>
    <n v="67994.483760152012"/>
  </r>
  <r>
    <x v="44"/>
    <x v="4"/>
    <x v="82"/>
    <x v="0"/>
    <x v="1"/>
    <x v="285"/>
    <x v="25"/>
    <s v="NAKİT"/>
    <n v="0.5"/>
    <n v="140"/>
    <n v="0"/>
    <n v="0"/>
    <n v="1"/>
    <m/>
    <n v="70"/>
    <m/>
    <n v="70"/>
    <n v="0"/>
    <n v="68064.483760152012"/>
  </r>
  <r>
    <x v="44"/>
    <x v="4"/>
    <x v="73"/>
    <x v="0"/>
    <x v="1"/>
    <x v="285"/>
    <x v="25"/>
    <s v="NAKİT"/>
    <n v="0.38400000000000001"/>
    <n v="930"/>
    <n v="0"/>
    <n v="0"/>
    <n v="0.38400000000000001"/>
    <m/>
    <n v="930"/>
    <m/>
    <n v="357.12"/>
    <n v="0"/>
    <n v="68421.603760152007"/>
  </r>
  <r>
    <x v="44"/>
    <x v="4"/>
    <x v="161"/>
    <x v="0"/>
    <x v="1"/>
    <x v="285"/>
    <x v="25"/>
    <s v="NAKİT"/>
    <n v="0.192"/>
    <n v="370"/>
    <n v="0"/>
    <n v="0"/>
    <n v="0.192"/>
    <m/>
    <n v="370"/>
    <m/>
    <n v="71.040000000000006"/>
    <n v="0"/>
    <n v="68492.643760152001"/>
  </r>
  <r>
    <x v="44"/>
    <x v="4"/>
    <x v="59"/>
    <x v="0"/>
    <x v="1"/>
    <x v="285"/>
    <x v="25"/>
    <s v="NAKİT"/>
    <n v="0.24199999999999999"/>
    <n v="420"/>
    <n v="0"/>
    <n v="0"/>
    <n v="0.24199999999999999"/>
    <m/>
    <n v="420"/>
    <m/>
    <n v="101.64"/>
    <n v="0"/>
    <n v="68594.283760152"/>
  </r>
  <r>
    <x v="44"/>
    <x v="4"/>
    <x v="25"/>
    <x v="0"/>
    <x v="1"/>
    <x v="285"/>
    <x v="25"/>
    <s v="NAKİT"/>
    <n v="0.13400000000000001"/>
    <n v="390"/>
    <n v="0"/>
    <n v="0"/>
    <n v="0.13400000000000001"/>
    <m/>
    <n v="390"/>
    <m/>
    <n v="52.260000000000005"/>
    <n v="0"/>
    <n v="68646.543760151995"/>
  </r>
  <r>
    <x v="44"/>
    <x v="4"/>
    <x v="23"/>
    <x v="0"/>
    <x v="1"/>
    <x v="285"/>
    <x v="25"/>
    <s v="NAKİT"/>
    <n v="7.5999999999999998E-2"/>
    <n v="250"/>
    <n v="0"/>
    <n v="0"/>
    <n v="7.5999999999999998E-2"/>
    <m/>
    <n v="250"/>
    <m/>
    <n v="19"/>
    <n v="0"/>
    <n v="68665.543760151995"/>
  </r>
  <r>
    <x v="44"/>
    <x v="4"/>
    <x v="28"/>
    <x v="0"/>
    <x v="1"/>
    <x v="285"/>
    <x v="25"/>
    <s v="NAKİT"/>
    <n v="0.32400000000000001"/>
    <n v="500"/>
    <n v="0"/>
    <n v="0"/>
    <n v="0.32400000000000001"/>
    <m/>
    <n v="500"/>
    <m/>
    <n v="162"/>
    <n v="0"/>
    <n v="68827.543760151995"/>
  </r>
  <r>
    <x v="44"/>
    <x v="4"/>
    <x v="98"/>
    <x v="0"/>
    <x v="1"/>
    <x v="285"/>
    <x v="25"/>
    <s v="NAKİT"/>
    <n v="0.53800000000000003"/>
    <n v="700"/>
    <n v="0"/>
    <n v="0"/>
    <n v="0.53800000000000003"/>
    <m/>
    <n v="700"/>
    <m/>
    <n v="376.6"/>
    <n v="0"/>
    <n v="69204.143760152001"/>
  </r>
  <r>
    <x v="44"/>
    <x v="4"/>
    <x v="22"/>
    <x v="0"/>
    <x v="1"/>
    <x v="285"/>
    <x v="25"/>
    <s v="NAKİT"/>
    <n v="8.5999999999999993E-2"/>
    <n v="360"/>
    <n v="0"/>
    <n v="0"/>
    <n v="8.5999999999999993E-2"/>
    <m/>
    <n v="360"/>
    <m/>
    <n v="30.959999999999997"/>
    <n v="0"/>
    <n v="69235.103760152007"/>
  </r>
  <r>
    <x v="44"/>
    <x v="4"/>
    <x v="116"/>
    <x v="0"/>
    <x v="1"/>
    <x v="285"/>
    <x v="25"/>
    <s v="NAKİT"/>
    <n v="0.19400000000000001"/>
    <n v="350"/>
    <n v="0"/>
    <n v="0"/>
    <n v="0.19400000000000001"/>
    <m/>
    <n v="350"/>
    <m/>
    <n v="67.900000000000006"/>
    <n v="0"/>
    <n v="69303.003760152002"/>
  </r>
  <r>
    <x v="44"/>
    <x v="4"/>
    <x v="100"/>
    <x v="0"/>
    <x v="1"/>
    <x v="285"/>
    <x v="25"/>
    <s v="NAKİT"/>
    <n v="0.38800000000000001"/>
    <n v="650"/>
    <n v="0"/>
    <n v="0"/>
    <n v="0.38800000000000001"/>
    <m/>
    <n v="650"/>
    <m/>
    <n v="252.20000000000002"/>
    <n v="0"/>
    <n v="69555.203760151999"/>
  </r>
  <r>
    <x v="44"/>
    <x v="4"/>
    <x v="27"/>
    <x v="0"/>
    <x v="1"/>
    <x v="285"/>
    <x v="25"/>
    <s v="NAKİT"/>
    <n v="5.3999999999999999E-2"/>
    <n v="400"/>
    <n v="0"/>
    <n v="0"/>
    <n v="5.3999999999999999E-2"/>
    <m/>
    <n v="400"/>
    <m/>
    <n v="21.6"/>
    <n v="0"/>
    <n v="69576.803760152005"/>
  </r>
  <r>
    <x v="44"/>
    <x v="4"/>
    <x v="29"/>
    <x v="0"/>
    <x v="1"/>
    <x v="285"/>
    <x v="25"/>
    <s v="NAKİT"/>
    <n v="4.3999999999999997E-2"/>
    <n v="760"/>
    <n v="0"/>
    <n v="0"/>
    <n v="4.3999999999999997E-2"/>
    <m/>
    <n v="760"/>
    <m/>
    <n v="33.44"/>
    <n v="0"/>
    <n v="69610.243760152007"/>
  </r>
  <r>
    <x v="44"/>
    <x v="4"/>
    <x v="54"/>
    <x v="0"/>
    <x v="1"/>
    <x v="285"/>
    <x v="25"/>
    <s v="NAKİT"/>
    <n v="0.1"/>
    <n v="400"/>
    <n v="0"/>
    <n v="0"/>
    <n v="1"/>
    <m/>
    <n v="40"/>
    <m/>
    <n v="40"/>
    <n v="0"/>
    <n v="69650.243760152007"/>
  </r>
  <r>
    <x v="44"/>
    <x v="4"/>
    <x v="136"/>
    <x v="0"/>
    <x v="1"/>
    <x v="286"/>
    <x v="25"/>
    <s v="NAKİT"/>
    <n v="1"/>
    <n v="140"/>
    <n v="0"/>
    <n v="0"/>
    <n v="1"/>
    <m/>
    <n v="140"/>
    <m/>
    <n v="140"/>
    <n v="0"/>
    <n v="69790.243760152007"/>
  </r>
  <r>
    <x v="44"/>
    <x v="4"/>
    <x v="159"/>
    <x v="0"/>
    <x v="1"/>
    <x v="287"/>
    <x v="25"/>
    <s v="NAKİT"/>
    <n v="1"/>
    <n v="100"/>
    <n v="0"/>
    <n v="0"/>
    <n v="1"/>
    <m/>
    <n v="100"/>
    <m/>
    <n v="100"/>
    <n v="0"/>
    <n v="69890.243760152007"/>
  </r>
  <r>
    <x v="44"/>
    <x v="4"/>
    <x v="128"/>
    <x v="0"/>
    <x v="1"/>
    <x v="288"/>
    <x v="25"/>
    <s v="NAKİT"/>
    <n v="0.32"/>
    <n v="190"/>
    <n v="0"/>
    <n v="0"/>
    <n v="0.32"/>
    <m/>
    <n v="190"/>
    <m/>
    <n v="60.800000000000004"/>
    <n v="0"/>
    <n v="69951.04376015201"/>
  </r>
  <r>
    <x v="44"/>
    <x v="4"/>
    <x v="150"/>
    <x v="0"/>
    <x v="1"/>
    <x v="288"/>
    <x v="25"/>
    <s v="NAKİT"/>
    <n v="1"/>
    <n v="290"/>
    <n v="0"/>
    <n v="0"/>
    <n v="1"/>
    <m/>
    <n v="290"/>
    <m/>
    <n v="290"/>
    <n v="0"/>
    <n v="70241.04376015201"/>
  </r>
  <r>
    <x v="44"/>
    <x v="4"/>
    <x v="34"/>
    <x v="0"/>
    <x v="1"/>
    <x v="288"/>
    <x v="25"/>
    <s v="NAKİT"/>
    <n v="0.1"/>
    <n v="600"/>
    <n v="0"/>
    <n v="0"/>
    <n v="1"/>
    <m/>
    <n v="60"/>
    <m/>
    <n v="60"/>
    <n v="0"/>
    <n v="70301.04376015201"/>
  </r>
  <r>
    <x v="44"/>
    <x v="4"/>
    <x v="239"/>
    <x v="0"/>
    <x v="5"/>
    <x v="289"/>
    <x v="25"/>
    <s v="POS"/>
    <n v="1"/>
    <n v="400"/>
    <n v="400"/>
    <n v="0"/>
    <n v="1"/>
    <m/>
    <n v="400"/>
    <m/>
    <n v="0"/>
    <n v="0"/>
    <n v="70301.04376015201"/>
  </r>
  <r>
    <x v="44"/>
    <x v="4"/>
    <x v="165"/>
    <x v="0"/>
    <x v="5"/>
    <x v="289"/>
    <x v="25"/>
    <s v="POS"/>
    <n v="1"/>
    <n v="40"/>
    <n v="40"/>
    <n v="0"/>
    <n v="1"/>
    <m/>
    <n v="40"/>
    <m/>
    <n v="0"/>
    <n v="0"/>
    <n v="70301.04376015201"/>
  </r>
  <r>
    <x v="44"/>
    <x v="4"/>
    <x v="75"/>
    <x v="0"/>
    <x v="5"/>
    <x v="289"/>
    <x v="25"/>
    <s v="POS"/>
    <n v="0.20399999999999999"/>
    <n v="800"/>
    <n v="163.19999999999999"/>
    <n v="0"/>
    <n v="0.20399999999999999"/>
    <m/>
    <n v="800"/>
    <m/>
    <n v="0"/>
    <n v="0"/>
    <n v="70301.04376015201"/>
  </r>
  <r>
    <x v="44"/>
    <x v="4"/>
    <x v="242"/>
    <x v="0"/>
    <x v="5"/>
    <x v="289"/>
    <x v="25"/>
    <s v="POS"/>
    <n v="0.30399999999999999"/>
    <n v="195"/>
    <n v="59.28"/>
    <n v="0"/>
    <n v="0.30399999999999999"/>
    <m/>
    <n v="195"/>
    <m/>
    <n v="0"/>
    <n v="0"/>
    <n v="70301.04376015201"/>
  </r>
  <r>
    <x v="44"/>
    <x v="4"/>
    <x v="24"/>
    <x v="0"/>
    <x v="5"/>
    <x v="289"/>
    <x v="25"/>
    <s v="POS"/>
    <n v="0.224"/>
    <n v="640"/>
    <n v="143.36000000000001"/>
    <n v="0"/>
    <n v="0.224"/>
    <m/>
    <n v="640"/>
    <m/>
    <n v="0"/>
    <n v="0"/>
    <n v="70301.04376015201"/>
  </r>
  <r>
    <x v="44"/>
    <x v="4"/>
    <x v="238"/>
    <x v="0"/>
    <x v="5"/>
    <x v="289"/>
    <x v="25"/>
    <s v="POS"/>
    <n v="0.45600000000000002"/>
    <n v="340"/>
    <n v="155.04"/>
    <n v="0"/>
    <n v="0.45600000000000002"/>
    <m/>
    <n v="340"/>
    <m/>
    <n v="0"/>
    <n v="0"/>
    <n v="70301.04376015201"/>
  </r>
  <r>
    <x v="44"/>
    <x v="4"/>
    <x v="55"/>
    <x v="0"/>
    <x v="5"/>
    <x v="289"/>
    <x v="25"/>
    <s v="POS"/>
    <n v="1.046"/>
    <n v="180"/>
    <n v="188.28"/>
    <n v="0"/>
    <n v="1.046"/>
    <m/>
    <n v="180"/>
    <m/>
    <n v="0"/>
    <n v="0"/>
    <n v="70301.04376015201"/>
  </r>
  <r>
    <x v="44"/>
    <x v="4"/>
    <x v="57"/>
    <x v="0"/>
    <x v="5"/>
    <x v="289"/>
    <x v="25"/>
    <s v="POS"/>
    <n v="1.026"/>
    <n v="130"/>
    <n v="133.38"/>
    <n v="0"/>
    <n v="1.026"/>
    <m/>
    <n v="130"/>
    <m/>
    <n v="0"/>
    <n v="0"/>
    <n v="70301.04376015201"/>
  </r>
  <r>
    <x v="44"/>
    <x v="4"/>
    <x v="240"/>
    <x v="0"/>
    <x v="1"/>
    <x v="289"/>
    <x v="25"/>
    <s v="NAKİT"/>
    <n v="0.2"/>
    <n v="190"/>
    <n v="0"/>
    <n v="0"/>
    <n v="0.2"/>
    <m/>
    <n v="190"/>
    <m/>
    <n v="38"/>
    <n v="0"/>
    <n v="70339.04376015201"/>
  </r>
  <r>
    <x v="44"/>
    <x v="4"/>
    <x v="101"/>
    <x v="0"/>
    <x v="1"/>
    <x v="289"/>
    <x v="25"/>
    <s v="NAKİT"/>
    <n v="0.2"/>
    <n v="150"/>
    <n v="0"/>
    <n v="0"/>
    <n v="0.2"/>
    <m/>
    <n v="150"/>
    <m/>
    <n v="30"/>
    <n v="0"/>
    <n v="70369.04376015201"/>
  </r>
  <r>
    <x v="44"/>
    <x v="10"/>
    <x v="0"/>
    <x v="0"/>
    <x v="5"/>
    <x v="2"/>
    <x v="63"/>
    <s v="POS"/>
    <n v="1"/>
    <n v="100"/>
    <n v="0"/>
    <n v="100"/>
    <m/>
    <m/>
    <m/>
    <m/>
    <n v="100"/>
    <n v="0"/>
    <n v="70469.04376015201"/>
  </r>
  <r>
    <x v="44"/>
    <x v="1"/>
    <x v="0"/>
    <x v="13"/>
    <x v="1"/>
    <x v="2"/>
    <x v="64"/>
    <s v="NAKİT"/>
    <n v="1"/>
    <n v="912.4"/>
    <n v="0"/>
    <n v="0"/>
    <m/>
    <m/>
    <m/>
    <m/>
    <n v="0"/>
    <n v="912.4"/>
    <n v="69556.643760152016"/>
  </r>
  <r>
    <x v="44"/>
    <x v="10"/>
    <x v="0"/>
    <x v="0"/>
    <x v="5"/>
    <x v="2"/>
    <x v="64"/>
    <s v="POS"/>
    <n v="1"/>
    <n v="912.4"/>
    <n v="0"/>
    <n v="912.4"/>
    <n v="912.4"/>
    <m/>
    <m/>
    <m/>
    <n v="912.4"/>
    <n v="0"/>
    <n v="70469.04376015201"/>
  </r>
  <r>
    <x v="44"/>
    <x v="10"/>
    <x v="0"/>
    <x v="0"/>
    <x v="5"/>
    <x v="2"/>
    <x v="63"/>
    <s v="POS"/>
    <n v="1"/>
    <n v="350"/>
    <n v="0"/>
    <n v="350"/>
    <m/>
    <m/>
    <m/>
    <m/>
    <n v="350"/>
    <n v="0"/>
    <n v="70819.04376015201"/>
  </r>
  <r>
    <x v="45"/>
    <x v="3"/>
    <x v="250"/>
    <x v="0"/>
    <x v="8"/>
    <x v="249"/>
    <x v="65"/>
    <s v="CARİ"/>
    <n v="12"/>
    <n v="64.8"/>
    <n v="0"/>
    <n v="777.59999999999991"/>
    <m/>
    <n v="12"/>
    <m/>
    <n v="64.8"/>
    <n v="0"/>
    <n v="0"/>
    <n v="70819.04376015201"/>
  </r>
  <r>
    <x v="45"/>
    <x v="3"/>
    <x v="251"/>
    <x v="0"/>
    <x v="8"/>
    <x v="249"/>
    <x v="65"/>
    <s v="CARİ"/>
    <n v="6"/>
    <n v="272.7"/>
    <n v="0"/>
    <n v="1636.1999999999998"/>
    <m/>
    <n v="6"/>
    <m/>
    <n v="272.7"/>
    <n v="0"/>
    <n v="0"/>
    <n v="70819.04376015201"/>
  </r>
  <r>
    <x v="45"/>
    <x v="3"/>
    <x v="252"/>
    <x v="0"/>
    <x v="8"/>
    <x v="249"/>
    <x v="65"/>
    <s v="CARİ"/>
    <n v="12"/>
    <n v="90.9"/>
    <n v="0"/>
    <n v="1090.8000000000002"/>
    <m/>
    <n v="12"/>
    <m/>
    <n v="90.9"/>
    <n v="0"/>
    <n v="0"/>
    <n v="70819.04376015201"/>
  </r>
  <r>
    <x v="45"/>
    <x v="3"/>
    <x v="253"/>
    <x v="0"/>
    <x v="8"/>
    <x v="249"/>
    <x v="65"/>
    <s v="CARİ"/>
    <n v="12"/>
    <n v="54.54"/>
    <n v="0"/>
    <n v="654.48"/>
    <m/>
    <n v="12"/>
    <m/>
    <n v="54.54"/>
    <n v="0"/>
    <n v="0"/>
    <n v="70819.04376015201"/>
  </r>
  <r>
    <x v="45"/>
    <x v="3"/>
    <x v="254"/>
    <x v="0"/>
    <x v="8"/>
    <x v="249"/>
    <x v="65"/>
    <s v="CARİ"/>
    <n v="12"/>
    <n v="64.8"/>
    <n v="0"/>
    <n v="777.59999999999991"/>
    <m/>
    <n v="12"/>
    <m/>
    <n v="64.8"/>
    <n v="0"/>
    <n v="0"/>
    <n v="70819.04376015201"/>
  </r>
  <r>
    <x v="45"/>
    <x v="3"/>
    <x v="255"/>
    <x v="0"/>
    <x v="8"/>
    <x v="249"/>
    <x v="65"/>
    <s v="CARİ"/>
    <n v="12"/>
    <n v="64.8"/>
    <n v="0"/>
    <n v="777.59999999999991"/>
    <m/>
    <n v="12"/>
    <m/>
    <n v="64.8"/>
    <n v="0"/>
    <n v="0"/>
    <n v="70819.04376015201"/>
  </r>
  <r>
    <x v="45"/>
    <x v="3"/>
    <x v="256"/>
    <x v="0"/>
    <x v="8"/>
    <x v="249"/>
    <x v="65"/>
    <s v="CARİ"/>
    <n v="12"/>
    <n v="54.54"/>
    <n v="0"/>
    <n v="654.48"/>
    <m/>
    <n v="12"/>
    <m/>
    <n v="54.54"/>
    <n v="0"/>
    <n v="0"/>
    <n v="70819.04376015201"/>
  </r>
  <r>
    <x v="45"/>
    <x v="3"/>
    <x v="257"/>
    <x v="0"/>
    <x v="8"/>
    <x v="249"/>
    <x v="65"/>
    <s v="CARİ"/>
    <n v="12"/>
    <n v="83.325000000000003"/>
    <n v="0"/>
    <n v="999.90000000000009"/>
    <m/>
    <n v="12"/>
    <m/>
    <n v="83.325000000000003"/>
    <n v="0"/>
    <n v="0"/>
    <n v="70819.04376015201"/>
  </r>
  <r>
    <x v="45"/>
    <x v="3"/>
    <x v="258"/>
    <x v="0"/>
    <x v="8"/>
    <x v="249"/>
    <x v="65"/>
    <s v="CARİ"/>
    <n v="12"/>
    <n v="60.6"/>
    <n v="0"/>
    <n v="727.2"/>
    <m/>
    <n v="12"/>
    <m/>
    <n v="60.6"/>
    <n v="0"/>
    <n v="0"/>
    <n v="70819.04376015201"/>
  </r>
  <r>
    <x v="45"/>
    <x v="3"/>
    <x v="259"/>
    <x v="0"/>
    <x v="8"/>
    <x v="249"/>
    <x v="65"/>
    <s v="CARİ"/>
    <n v="12"/>
    <n v="60.6"/>
    <n v="0"/>
    <n v="727.2"/>
    <m/>
    <n v="12"/>
    <m/>
    <n v="60.6"/>
    <n v="0"/>
    <n v="0"/>
    <n v="70819.04376015201"/>
  </r>
  <r>
    <x v="45"/>
    <x v="3"/>
    <x v="260"/>
    <x v="0"/>
    <x v="8"/>
    <x v="249"/>
    <x v="65"/>
    <s v="CARİ"/>
    <n v="12"/>
    <n v="90"/>
    <n v="0"/>
    <n v="1080"/>
    <m/>
    <n v="12"/>
    <m/>
    <n v="90"/>
    <n v="0"/>
    <n v="0"/>
    <n v="70819.04376015201"/>
  </r>
  <r>
    <x v="45"/>
    <x v="3"/>
    <x v="261"/>
    <x v="0"/>
    <x v="8"/>
    <x v="249"/>
    <x v="65"/>
    <s v="CARİ"/>
    <n v="12"/>
    <n v="64.8"/>
    <n v="0"/>
    <n v="777.59999999999991"/>
    <m/>
    <n v="12"/>
    <m/>
    <n v="64.8"/>
    <n v="0"/>
    <n v="0"/>
    <n v="70819.04376015201"/>
  </r>
  <r>
    <x v="45"/>
    <x v="3"/>
    <x v="262"/>
    <x v="0"/>
    <x v="8"/>
    <x v="249"/>
    <x v="65"/>
    <s v="CARİ"/>
    <n v="12"/>
    <n v="64.8"/>
    <n v="0"/>
    <n v="777.59999999999991"/>
    <m/>
    <n v="12"/>
    <m/>
    <n v="64.8"/>
    <n v="0"/>
    <n v="0"/>
    <n v="70819.04376015201"/>
  </r>
  <r>
    <x v="45"/>
    <x v="3"/>
    <x v="263"/>
    <x v="0"/>
    <x v="8"/>
    <x v="249"/>
    <x v="65"/>
    <s v="CARİ"/>
    <n v="12"/>
    <n v="72"/>
    <n v="0"/>
    <n v="864"/>
    <m/>
    <n v="12"/>
    <m/>
    <n v="72"/>
    <n v="0"/>
    <n v="0"/>
    <n v="70819.04376015201"/>
  </r>
  <r>
    <x v="45"/>
    <x v="3"/>
    <x v="264"/>
    <x v="0"/>
    <x v="8"/>
    <x v="249"/>
    <x v="65"/>
    <s v="CARİ"/>
    <n v="12"/>
    <n v="72"/>
    <n v="0"/>
    <n v="864"/>
    <m/>
    <n v="12"/>
    <m/>
    <n v="72"/>
    <n v="0"/>
    <n v="0"/>
    <n v="70819.04376015201"/>
  </r>
  <r>
    <x v="45"/>
    <x v="3"/>
    <x v="265"/>
    <x v="0"/>
    <x v="8"/>
    <x v="249"/>
    <x v="65"/>
    <s v="CARİ"/>
    <n v="12"/>
    <n v="64.8"/>
    <n v="0"/>
    <n v="777.59999999999991"/>
    <m/>
    <n v="12"/>
    <m/>
    <n v="64.8"/>
    <n v="0"/>
    <n v="0"/>
    <n v="70819.04376015201"/>
  </r>
  <r>
    <x v="45"/>
    <x v="3"/>
    <x v="266"/>
    <x v="0"/>
    <x v="8"/>
    <x v="249"/>
    <x v="65"/>
    <s v="CARİ"/>
    <n v="12"/>
    <n v="72"/>
    <n v="0"/>
    <n v="864"/>
    <m/>
    <n v="12"/>
    <m/>
    <n v="72"/>
    <n v="0"/>
    <n v="0"/>
    <n v="70819.04376015201"/>
  </r>
  <r>
    <x v="45"/>
    <x v="3"/>
    <x v="267"/>
    <x v="0"/>
    <x v="8"/>
    <x v="249"/>
    <x v="65"/>
    <s v="CARİ"/>
    <n v="12"/>
    <n v="72"/>
    <n v="0"/>
    <n v="864"/>
    <m/>
    <n v="12"/>
    <m/>
    <n v="72"/>
    <n v="0"/>
    <n v="0"/>
    <n v="70819.04376015201"/>
  </r>
  <r>
    <x v="45"/>
    <x v="3"/>
    <x v="268"/>
    <x v="0"/>
    <x v="8"/>
    <x v="249"/>
    <x v="65"/>
    <s v="CARİ"/>
    <n v="12"/>
    <n v="86.4"/>
    <n v="0"/>
    <n v="1036.8000000000002"/>
    <m/>
    <n v="12"/>
    <m/>
    <n v="86.4"/>
    <n v="0"/>
    <n v="0"/>
    <n v="70819.04376015201"/>
  </r>
  <r>
    <x v="45"/>
    <x v="3"/>
    <x v="269"/>
    <x v="0"/>
    <x v="8"/>
    <x v="249"/>
    <x v="65"/>
    <s v="CARİ"/>
    <n v="12"/>
    <n v="54.54"/>
    <n v="0"/>
    <n v="654.48"/>
    <m/>
    <n v="12"/>
    <m/>
    <n v="54.54"/>
    <n v="0"/>
    <n v="0"/>
    <n v="70819.04376015201"/>
  </r>
  <r>
    <x v="45"/>
    <x v="3"/>
    <x v="270"/>
    <x v="0"/>
    <x v="8"/>
    <x v="249"/>
    <x v="65"/>
    <s v="CARİ"/>
    <n v="12"/>
    <n v="64.8"/>
    <n v="0"/>
    <n v="777.59999999999991"/>
    <m/>
    <n v="12"/>
    <m/>
    <n v="64.8"/>
    <n v="0"/>
    <n v="0"/>
    <n v="70819.04376015201"/>
  </r>
  <r>
    <x v="45"/>
    <x v="3"/>
    <x v="271"/>
    <x v="0"/>
    <x v="8"/>
    <x v="249"/>
    <x v="65"/>
    <s v="CARİ"/>
    <n v="12"/>
    <n v="60.6"/>
    <n v="0"/>
    <n v="727.2"/>
    <m/>
    <m/>
    <m/>
    <m/>
    <n v="0"/>
    <n v="0"/>
    <n v="70819.04376015201"/>
  </r>
  <r>
    <x v="45"/>
    <x v="3"/>
    <x v="272"/>
    <x v="0"/>
    <x v="8"/>
    <x v="249"/>
    <x v="65"/>
    <s v="CARİ"/>
    <n v="12"/>
    <n v="64.8"/>
    <n v="0"/>
    <n v="777.59999999999991"/>
    <m/>
    <m/>
    <m/>
    <m/>
    <n v="0"/>
    <n v="0"/>
    <n v="70819.04376015201"/>
  </r>
  <r>
    <x v="45"/>
    <x v="3"/>
    <x v="199"/>
    <x v="0"/>
    <x v="4"/>
    <x v="296"/>
    <x v="32"/>
    <s v="CARİ"/>
    <n v="19.350000000000001"/>
    <n v="72.349999999999994"/>
    <n v="0"/>
    <n v="1399.9725000000001"/>
    <m/>
    <n v="19.350000000000001"/>
    <m/>
    <n v="72.349999999999994"/>
    <n v="0"/>
    <n v="0"/>
    <n v="70819.04376015201"/>
  </r>
  <r>
    <x v="45"/>
    <x v="3"/>
    <x v="158"/>
    <x v="0"/>
    <x v="4"/>
    <x v="296"/>
    <x v="32"/>
    <s v="CARİ"/>
    <n v="20"/>
    <n v="6.5"/>
    <n v="0"/>
    <n v="130"/>
    <m/>
    <n v="20"/>
    <m/>
    <n v="6.5"/>
    <n v="0"/>
    <n v="0"/>
    <n v="70819.04376015201"/>
  </r>
  <r>
    <x v="45"/>
    <x v="3"/>
    <x v="273"/>
    <x v="0"/>
    <x v="4"/>
    <x v="296"/>
    <x v="32"/>
    <s v="CARİ"/>
    <n v="2"/>
    <n v="180"/>
    <n v="0"/>
    <n v="360"/>
    <m/>
    <n v="2"/>
    <m/>
    <n v="180"/>
    <n v="0"/>
    <n v="0"/>
    <n v="70819.04376015201"/>
  </r>
  <r>
    <x v="45"/>
    <x v="3"/>
    <x v="274"/>
    <x v="0"/>
    <x v="4"/>
    <x v="296"/>
    <x v="32"/>
    <s v="CARİ"/>
    <n v="5"/>
    <n v="70"/>
    <n v="0"/>
    <n v="350"/>
    <m/>
    <n v="5"/>
    <m/>
    <n v="70"/>
    <n v="0"/>
    <n v="0"/>
    <n v="70819.04376015201"/>
  </r>
  <r>
    <x v="45"/>
    <x v="3"/>
    <x v="275"/>
    <x v="0"/>
    <x v="4"/>
    <x v="296"/>
    <x v="32"/>
    <s v="CARİ"/>
    <n v="5"/>
    <n v="95"/>
    <n v="0"/>
    <n v="475"/>
    <m/>
    <n v="5"/>
    <m/>
    <n v="95"/>
    <n v="0"/>
    <n v="0"/>
    <n v="70819.04376015201"/>
  </r>
  <r>
    <x v="45"/>
    <x v="3"/>
    <x v="276"/>
    <x v="0"/>
    <x v="4"/>
    <x v="296"/>
    <x v="32"/>
    <s v="CARİ"/>
    <n v="1"/>
    <n v="500"/>
    <n v="0"/>
    <n v="500"/>
    <m/>
    <n v="1"/>
    <m/>
    <n v="500"/>
    <n v="0"/>
    <n v="0"/>
    <n v="70819.04376015201"/>
  </r>
  <r>
    <x v="45"/>
    <x v="3"/>
    <x v="136"/>
    <x v="0"/>
    <x v="4"/>
    <x v="296"/>
    <x v="32"/>
    <s v="CARİ"/>
    <n v="6"/>
    <n v="90"/>
    <n v="0"/>
    <n v="540"/>
    <m/>
    <n v="6"/>
    <m/>
    <n v="90"/>
    <n v="0"/>
    <n v="0"/>
    <n v="70819.04376015201"/>
  </r>
  <r>
    <x v="45"/>
    <x v="3"/>
    <x v="277"/>
    <x v="0"/>
    <x v="4"/>
    <x v="296"/>
    <x v="32"/>
    <s v="CARİ"/>
    <n v="6"/>
    <n v="115"/>
    <n v="0"/>
    <n v="690"/>
    <m/>
    <n v="6"/>
    <m/>
    <n v="115"/>
    <n v="0"/>
    <n v="0"/>
    <n v="70819.04376015201"/>
  </r>
  <r>
    <x v="45"/>
    <x v="3"/>
    <x v="205"/>
    <x v="0"/>
    <x v="4"/>
    <x v="296"/>
    <x v="32"/>
    <s v="CARİ"/>
    <n v="5"/>
    <n v="52"/>
    <n v="0"/>
    <n v="260"/>
    <m/>
    <n v="5"/>
    <m/>
    <n v="52"/>
    <n v="0"/>
    <n v="0"/>
    <n v="70819.04376015201"/>
  </r>
  <r>
    <x v="45"/>
    <x v="3"/>
    <x v="106"/>
    <x v="0"/>
    <x v="4"/>
    <x v="296"/>
    <x v="32"/>
    <s v="CARİ"/>
    <n v="10"/>
    <n v="135"/>
    <n v="0"/>
    <n v="1350"/>
    <m/>
    <n v="10"/>
    <m/>
    <n v="135"/>
    <n v="0"/>
    <n v="0"/>
    <n v="70819.04376015201"/>
  </r>
  <r>
    <x v="45"/>
    <x v="3"/>
    <x v="109"/>
    <x v="0"/>
    <x v="4"/>
    <x v="296"/>
    <x v="32"/>
    <s v="CARİ"/>
    <n v="6"/>
    <n v="90"/>
    <n v="0"/>
    <n v="540"/>
    <m/>
    <n v="6"/>
    <m/>
    <n v="90"/>
    <n v="0"/>
    <n v="0"/>
    <n v="70819.04376015201"/>
  </r>
  <r>
    <x v="45"/>
    <x v="3"/>
    <x v="160"/>
    <x v="0"/>
    <x v="4"/>
    <x v="296"/>
    <x v="32"/>
    <s v="CARİ"/>
    <n v="12"/>
    <n v="60"/>
    <n v="0"/>
    <n v="720"/>
    <m/>
    <n v="12"/>
    <m/>
    <n v="60"/>
    <n v="0"/>
    <n v="0"/>
    <n v="70819.04376015201"/>
  </r>
  <r>
    <x v="45"/>
    <x v="3"/>
    <x v="278"/>
    <x v="0"/>
    <x v="4"/>
    <x v="296"/>
    <x v="32"/>
    <s v="CARİ"/>
    <n v="6"/>
    <n v="105"/>
    <n v="0"/>
    <n v="630"/>
    <m/>
    <n v="6"/>
    <m/>
    <n v="105"/>
    <n v="0"/>
    <n v="0"/>
    <n v="70819.04376015201"/>
  </r>
  <r>
    <x v="45"/>
    <x v="4"/>
    <x v="97"/>
    <x v="0"/>
    <x v="5"/>
    <x v="290"/>
    <x v="25"/>
    <s v="POS"/>
    <n v="0.45600000000000002"/>
    <n v="600"/>
    <n v="273.60000000000002"/>
    <n v="0"/>
    <n v="0.45600000000000002"/>
    <m/>
    <n v="600"/>
    <m/>
    <n v="0"/>
    <n v="0"/>
    <n v="70819.04376015201"/>
  </r>
  <r>
    <x v="45"/>
    <x v="4"/>
    <x v="212"/>
    <x v="0"/>
    <x v="5"/>
    <x v="290"/>
    <x v="25"/>
    <s v="POS"/>
    <n v="0.38800000000000001"/>
    <n v="520"/>
    <n v="201.76000000000002"/>
    <n v="0"/>
    <n v="0.38800000000000001"/>
    <m/>
    <n v="520"/>
    <m/>
    <n v="0"/>
    <n v="0"/>
    <n v="70819.04376015201"/>
  </r>
  <r>
    <x v="45"/>
    <x v="4"/>
    <x v="241"/>
    <x v="0"/>
    <x v="5"/>
    <x v="290"/>
    <x v="25"/>
    <s v="POS"/>
    <n v="1"/>
    <n v="60"/>
    <n v="60"/>
    <n v="0"/>
    <n v="1"/>
    <m/>
    <n v="60"/>
    <m/>
    <n v="0"/>
    <n v="0"/>
    <n v="70819.04376015201"/>
  </r>
  <r>
    <x v="45"/>
    <x v="4"/>
    <x v="75"/>
    <x v="0"/>
    <x v="1"/>
    <x v="291"/>
    <x v="25"/>
    <s v="NAKİT"/>
    <n v="0.125"/>
    <n v="800"/>
    <n v="0"/>
    <n v="0"/>
    <n v="0.125"/>
    <m/>
    <n v="800"/>
    <m/>
    <n v="100"/>
    <n v="0"/>
    <n v="70919.04376015201"/>
  </r>
  <r>
    <x v="45"/>
    <x v="4"/>
    <x v="241"/>
    <x v="0"/>
    <x v="1"/>
    <x v="292"/>
    <x v="25"/>
    <s v="NAKİT"/>
    <n v="1"/>
    <n v="60"/>
    <n v="0"/>
    <n v="0"/>
    <n v="1"/>
    <m/>
    <n v="60"/>
    <m/>
    <n v="60"/>
    <n v="0"/>
    <n v="70979.04376015201"/>
  </r>
  <r>
    <x v="45"/>
    <x v="4"/>
    <x v="57"/>
    <x v="0"/>
    <x v="1"/>
    <x v="293"/>
    <x v="25"/>
    <s v="NAKİT"/>
    <n v="5"/>
    <n v="120"/>
    <n v="0"/>
    <n v="0"/>
    <n v="5"/>
    <m/>
    <n v="120"/>
    <m/>
    <n v="600"/>
    <n v="0"/>
    <n v="71579.04376015201"/>
  </r>
  <r>
    <x v="45"/>
    <x v="4"/>
    <x v="100"/>
    <x v="0"/>
    <x v="5"/>
    <x v="294"/>
    <x v="25"/>
    <s v="POS"/>
    <n v="0.46200000000000002"/>
    <n v="650"/>
    <n v="300.3"/>
    <n v="0"/>
    <n v="0.46200000000000002"/>
    <m/>
    <n v="650"/>
    <m/>
    <n v="0"/>
    <n v="0"/>
    <n v="71579.04376015201"/>
  </r>
  <r>
    <x v="45"/>
    <x v="4"/>
    <x v="35"/>
    <x v="0"/>
    <x v="1"/>
    <x v="295"/>
    <x v="25"/>
    <s v="NAKİT"/>
    <n v="0.25"/>
    <n v="180"/>
    <n v="0"/>
    <n v="0"/>
    <n v="1"/>
    <m/>
    <n v="45"/>
    <m/>
    <n v="45"/>
    <n v="0"/>
    <n v="71624.04376015201"/>
  </r>
  <r>
    <x v="45"/>
    <x v="4"/>
    <x v="24"/>
    <x v="0"/>
    <x v="1"/>
    <x v="295"/>
    <x v="25"/>
    <s v="NAKİT"/>
    <n v="0.08"/>
    <n v="640"/>
    <n v="0"/>
    <n v="0"/>
    <n v="0.08"/>
    <m/>
    <n v="640"/>
    <m/>
    <n v="51.2"/>
    <n v="0"/>
    <n v="71675.243760152007"/>
  </r>
  <r>
    <x v="45"/>
    <x v="4"/>
    <x v="43"/>
    <x v="0"/>
    <x v="1"/>
    <x v="295"/>
    <x v="25"/>
    <s v="NAKİT"/>
    <n v="1"/>
    <n v="65"/>
    <n v="0"/>
    <n v="0"/>
    <n v="1"/>
    <m/>
    <n v="65"/>
    <m/>
    <n v="65"/>
    <n v="0"/>
    <n v="71740.243760152007"/>
  </r>
  <r>
    <x v="45"/>
    <x v="4"/>
    <x v="55"/>
    <x v="0"/>
    <x v="1"/>
    <x v="297"/>
    <x v="25"/>
    <s v="NAKİT"/>
    <n v="0.56000000000000005"/>
    <n v="180"/>
    <n v="0"/>
    <n v="0"/>
    <n v="0.56000000000000005"/>
    <m/>
    <n v="180"/>
    <m/>
    <n v="100.80000000000001"/>
    <n v="0"/>
    <n v="71841.04376015201"/>
  </r>
  <r>
    <x v="45"/>
    <x v="4"/>
    <x v="57"/>
    <x v="0"/>
    <x v="1"/>
    <x v="297"/>
    <x v="25"/>
    <s v="NAKİT"/>
    <n v="0.77"/>
    <n v="130"/>
    <n v="0"/>
    <n v="0"/>
    <n v="0.77"/>
    <m/>
    <n v="130"/>
    <m/>
    <n v="100.10000000000001"/>
    <n v="0"/>
    <n v="71941.143760152016"/>
  </r>
  <r>
    <x v="45"/>
    <x v="4"/>
    <x v="229"/>
    <x v="0"/>
    <x v="5"/>
    <x v="298"/>
    <x v="25"/>
    <s v="POS"/>
    <n v="0.41399999999999998"/>
    <n v="195"/>
    <n v="80.72999999999999"/>
    <n v="0"/>
    <n v="0.41399999999999998"/>
    <m/>
    <n v="195"/>
    <m/>
    <n v="0"/>
    <n v="0"/>
    <n v="71941.143760152016"/>
  </r>
  <r>
    <x v="45"/>
    <x v="4"/>
    <x v="55"/>
    <x v="0"/>
    <x v="1"/>
    <x v="299"/>
    <x v="25"/>
    <s v="NAKİT"/>
    <n v="0.34"/>
    <n v="180"/>
    <n v="0"/>
    <n v="0"/>
    <n v="0.34"/>
    <m/>
    <n v="180"/>
    <m/>
    <n v="61.2"/>
    <n v="0"/>
    <n v="72002.343760152013"/>
  </r>
  <r>
    <x v="45"/>
    <x v="4"/>
    <x v="57"/>
    <x v="0"/>
    <x v="1"/>
    <x v="299"/>
    <x v="25"/>
    <s v="NAKİT"/>
    <n v="0.53200000000000003"/>
    <n v="130"/>
    <n v="0"/>
    <n v="0"/>
    <n v="0.53200000000000003"/>
    <m/>
    <n v="130"/>
    <m/>
    <n v="69.16"/>
    <n v="0"/>
    <n v="72071.503760152016"/>
  </r>
  <r>
    <x v="45"/>
    <x v="4"/>
    <x v="23"/>
    <x v="0"/>
    <x v="1"/>
    <x v="300"/>
    <x v="25"/>
    <s v="NAKİT"/>
    <n v="0.12"/>
    <n v="250"/>
    <n v="0"/>
    <n v="0"/>
    <n v="0.12"/>
    <m/>
    <n v="250"/>
    <m/>
    <n v="30"/>
    <n v="0"/>
    <n v="72101.503760152016"/>
  </r>
  <r>
    <x v="45"/>
    <x v="4"/>
    <x v="18"/>
    <x v="0"/>
    <x v="1"/>
    <x v="301"/>
    <x v="25"/>
    <s v="NAKİT"/>
    <n v="1"/>
    <n v="240"/>
    <n v="0"/>
    <n v="0"/>
    <n v="1"/>
    <m/>
    <n v="240"/>
    <m/>
    <n v="240"/>
    <n v="0"/>
    <n v="72341.503760152016"/>
  </r>
  <r>
    <x v="45"/>
    <x v="4"/>
    <x v="161"/>
    <x v="0"/>
    <x v="1"/>
    <x v="301"/>
    <x v="25"/>
    <s v="NAKİT"/>
    <n v="0.16400000000000001"/>
    <n v="370"/>
    <n v="0"/>
    <n v="0"/>
    <n v="0.16400000000000001"/>
    <m/>
    <n v="370"/>
    <m/>
    <n v="60.68"/>
    <n v="0"/>
    <n v="72402.183760152009"/>
  </r>
  <r>
    <x v="45"/>
    <x v="4"/>
    <x v="83"/>
    <x v="0"/>
    <x v="5"/>
    <x v="302"/>
    <x v="25"/>
    <s v="POS"/>
    <n v="0.05"/>
    <n v="2600"/>
    <n v="130"/>
    <n v="0"/>
    <n v="1"/>
    <m/>
    <n v="130"/>
    <m/>
    <n v="0"/>
    <n v="0"/>
    <n v="72402.183760152009"/>
  </r>
  <r>
    <x v="45"/>
    <x v="4"/>
    <x v="67"/>
    <x v="0"/>
    <x v="5"/>
    <x v="302"/>
    <x v="25"/>
    <s v="POS"/>
    <n v="4.2000000000000003E-2"/>
    <n v="1400"/>
    <n v="58.800000000000004"/>
    <n v="0"/>
    <n v="4.2000000000000003E-2"/>
    <m/>
    <n v="1400"/>
    <m/>
    <n v="0"/>
    <n v="0"/>
    <n v="72402.183760152009"/>
  </r>
  <r>
    <x v="45"/>
    <x v="4"/>
    <x v="66"/>
    <x v="0"/>
    <x v="1"/>
    <x v="303"/>
    <x v="25"/>
    <s v="NAKİT"/>
    <n v="0.19"/>
    <n v="270"/>
    <n v="0"/>
    <n v="0"/>
    <n v="0.19"/>
    <m/>
    <n v="270"/>
    <m/>
    <n v="51.3"/>
    <n v="0"/>
    <n v="72453.483760152012"/>
  </r>
  <r>
    <x v="45"/>
    <x v="4"/>
    <x v="75"/>
    <x v="0"/>
    <x v="5"/>
    <x v="304"/>
    <x v="25"/>
    <s v="POS"/>
    <n v="0.5"/>
    <n v="800"/>
    <n v="400"/>
    <n v="0"/>
    <n v="0.5"/>
    <m/>
    <n v="800"/>
    <m/>
    <n v="0"/>
    <n v="0"/>
    <n v="72453.483760152012"/>
  </r>
  <r>
    <x v="45"/>
    <x v="4"/>
    <x v="116"/>
    <x v="0"/>
    <x v="5"/>
    <x v="305"/>
    <x v="25"/>
    <s v="POS"/>
    <n v="0.372"/>
    <n v="350"/>
    <n v="130.19999999999999"/>
    <n v="0"/>
    <n v="0.372"/>
    <m/>
    <n v="350"/>
    <m/>
    <n v="0"/>
    <n v="0"/>
    <n v="72453.483760152012"/>
  </r>
  <r>
    <x v="45"/>
    <x v="4"/>
    <x v="212"/>
    <x v="0"/>
    <x v="5"/>
    <x v="305"/>
    <x v="25"/>
    <s v="POS"/>
    <n v="0.27600000000000002"/>
    <n v="520"/>
    <n v="143.52000000000001"/>
    <n v="0"/>
    <n v="0.27600000000000002"/>
    <m/>
    <n v="520"/>
    <m/>
    <n v="0"/>
    <n v="0"/>
    <n v="72453.483760152012"/>
  </r>
  <r>
    <x v="45"/>
    <x v="4"/>
    <x v="238"/>
    <x v="0"/>
    <x v="5"/>
    <x v="305"/>
    <x v="25"/>
    <s v="POS"/>
    <n v="0.38500000000000001"/>
    <n v="340"/>
    <n v="130.9"/>
    <n v="0"/>
    <n v="0.38500000000000001"/>
    <m/>
    <n v="340"/>
    <m/>
    <n v="0"/>
    <n v="0"/>
    <n v="72453.483760152012"/>
  </r>
  <r>
    <x v="45"/>
    <x v="4"/>
    <x v="64"/>
    <x v="0"/>
    <x v="1"/>
    <x v="306"/>
    <x v="25"/>
    <s v="NAKİT"/>
    <n v="5.7000000000000002E-2"/>
    <n v="1770"/>
    <n v="0"/>
    <n v="0"/>
    <n v="5.7000000000000002E-2"/>
    <m/>
    <n v="1770"/>
    <m/>
    <n v="100.89"/>
    <n v="0"/>
    <n v="72554.373760152012"/>
  </r>
  <r>
    <x v="46"/>
    <x v="3"/>
    <x v="142"/>
    <x v="0"/>
    <x v="2"/>
    <x v="307"/>
    <x v="60"/>
    <s v="K.K."/>
    <n v="0.44800000000000001"/>
    <n v="189.5"/>
    <n v="0"/>
    <n v="84.896000000000001"/>
    <m/>
    <n v="0.44800000000000001"/>
    <m/>
    <n v="189.5"/>
    <n v="0"/>
    <n v="0"/>
    <n v="72554.373760152012"/>
  </r>
  <r>
    <x v="46"/>
    <x v="4"/>
    <x v="87"/>
    <x v="0"/>
    <x v="1"/>
    <x v="308"/>
    <x v="25"/>
    <s v="NAKİT"/>
    <n v="0.1"/>
    <n v="1400"/>
    <n v="0"/>
    <n v="0"/>
    <n v="0.1"/>
    <m/>
    <n v="1400"/>
    <m/>
    <n v="140"/>
    <n v="0"/>
    <n v="72694.373760152012"/>
  </r>
  <r>
    <x v="46"/>
    <x v="4"/>
    <x v="253"/>
    <x v="0"/>
    <x v="1"/>
    <x v="309"/>
    <x v="25"/>
    <s v="NAKİT"/>
    <n v="1"/>
    <n v="110"/>
    <n v="0"/>
    <n v="0"/>
    <n v="1"/>
    <m/>
    <n v="110"/>
    <m/>
    <n v="110"/>
    <n v="0"/>
    <n v="72804.373760152012"/>
  </r>
  <r>
    <x v="46"/>
    <x v="4"/>
    <x v="149"/>
    <x v="0"/>
    <x v="1"/>
    <x v="310"/>
    <x v="25"/>
    <s v="NAKİT"/>
    <n v="0.155"/>
    <n v="650"/>
    <n v="0"/>
    <n v="0"/>
    <n v="0.155"/>
    <m/>
    <n v="650"/>
    <m/>
    <n v="100.75"/>
    <n v="0"/>
    <n v="72905.123760152012"/>
  </r>
  <r>
    <x v="46"/>
    <x v="4"/>
    <x v="27"/>
    <x v="0"/>
    <x v="1"/>
    <x v="311"/>
    <x v="25"/>
    <s v="NAKİT"/>
    <n v="0.1"/>
    <n v="400"/>
    <n v="0"/>
    <n v="0"/>
    <n v="0.1"/>
    <m/>
    <n v="400"/>
    <m/>
    <n v="40"/>
    <n v="0"/>
    <n v="72945.123760152012"/>
  </r>
  <r>
    <x v="46"/>
    <x v="4"/>
    <x v="56"/>
    <x v="0"/>
    <x v="1"/>
    <x v="311"/>
    <x v="25"/>
    <s v="NAKİT"/>
    <n v="0.35399999999999998"/>
    <n v="180"/>
    <n v="0"/>
    <n v="0"/>
    <n v="0.35399999999999998"/>
    <m/>
    <n v="180"/>
    <m/>
    <n v="63.72"/>
    <n v="0"/>
    <n v="73008.843760152013"/>
  </r>
  <r>
    <x v="46"/>
    <x v="4"/>
    <x v="57"/>
    <x v="0"/>
    <x v="1"/>
    <x v="311"/>
    <x v="25"/>
    <s v="NAKİT"/>
    <n v="0.5"/>
    <n v="130"/>
    <n v="0"/>
    <n v="0"/>
    <n v="0.5"/>
    <m/>
    <n v="130"/>
    <m/>
    <n v="65"/>
    <n v="0"/>
    <n v="73073.843760152013"/>
  </r>
  <r>
    <x v="46"/>
    <x v="4"/>
    <x v="24"/>
    <x v="0"/>
    <x v="1"/>
    <x v="311"/>
    <x v="25"/>
    <s v="NAKİT"/>
    <n v="7.1999999999999995E-2"/>
    <n v="640"/>
    <n v="0"/>
    <n v="0"/>
    <n v="7.1999999999999995E-2"/>
    <m/>
    <n v="640"/>
    <m/>
    <n v="46.08"/>
    <n v="0"/>
    <n v="73119.923760152014"/>
  </r>
  <r>
    <x v="46"/>
    <x v="4"/>
    <x v="25"/>
    <x v="0"/>
    <x v="1"/>
    <x v="311"/>
    <x v="25"/>
    <s v="NAKİT"/>
    <n v="7.0000000000000007E-2"/>
    <n v="390"/>
    <n v="0"/>
    <n v="0"/>
    <n v="7.0000000000000007E-2"/>
    <m/>
    <n v="390"/>
    <m/>
    <n v="27.300000000000004"/>
    <n v="0"/>
    <n v="73147.223760152017"/>
  </r>
  <r>
    <x v="46"/>
    <x v="4"/>
    <x v="116"/>
    <x v="0"/>
    <x v="1"/>
    <x v="311"/>
    <x v="25"/>
    <s v="NAKİT"/>
    <n v="0.57199999999999995"/>
    <n v="350"/>
    <n v="0"/>
    <n v="0"/>
    <n v="0.57199999999999995"/>
    <m/>
    <n v="350"/>
    <m/>
    <n v="200.2"/>
    <n v="0"/>
    <n v="73347.423760152014"/>
  </r>
  <r>
    <x v="46"/>
    <x v="4"/>
    <x v="188"/>
    <x v="0"/>
    <x v="1"/>
    <x v="311"/>
    <x v="25"/>
    <s v="NAKİT"/>
    <n v="1"/>
    <n v="220"/>
    <n v="0"/>
    <n v="0"/>
    <n v="1"/>
    <m/>
    <n v="220"/>
    <m/>
    <n v="220"/>
    <n v="0"/>
    <n v="73567.423760152014"/>
  </r>
  <r>
    <x v="46"/>
    <x v="4"/>
    <x v="116"/>
    <x v="0"/>
    <x v="5"/>
    <x v="312"/>
    <x v="25"/>
    <s v="POS"/>
    <n v="0.61199999999999999"/>
    <n v="350"/>
    <n v="214.2"/>
    <n v="0"/>
    <n v="0.61199999999999999"/>
    <m/>
    <n v="350"/>
    <m/>
    <n v="0"/>
    <n v="0"/>
    <n v="73567.423760152014"/>
  </r>
  <r>
    <x v="46"/>
    <x v="4"/>
    <x v="25"/>
    <x v="0"/>
    <x v="5"/>
    <x v="312"/>
    <x v="25"/>
    <s v="POS"/>
    <n v="0.11"/>
    <n v="390"/>
    <n v="42.9"/>
    <n v="0"/>
    <n v="0.11"/>
    <m/>
    <n v="390"/>
    <m/>
    <n v="0"/>
    <n v="0"/>
    <n v="73567.423760152014"/>
  </r>
  <r>
    <x v="46"/>
    <x v="4"/>
    <x v="28"/>
    <x v="0"/>
    <x v="5"/>
    <x v="312"/>
    <x v="25"/>
    <s v="POS"/>
    <n v="0.21"/>
    <n v="500"/>
    <n v="105"/>
    <n v="0"/>
    <n v="0.21"/>
    <m/>
    <n v="500"/>
    <m/>
    <n v="0"/>
    <n v="0"/>
    <n v="73567.423760152014"/>
  </r>
  <r>
    <x v="46"/>
    <x v="4"/>
    <x v="24"/>
    <x v="0"/>
    <x v="5"/>
    <x v="312"/>
    <x v="25"/>
    <s v="POS"/>
    <n v="0.09"/>
    <n v="640"/>
    <n v="57.599999999999994"/>
    <n v="0"/>
    <n v="0.09"/>
    <m/>
    <n v="640"/>
    <m/>
    <n v="0"/>
    <n v="0"/>
    <n v="73567.423760152014"/>
  </r>
  <r>
    <x v="46"/>
    <x v="4"/>
    <x v="238"/>
    <x v="0"/>
    <x v="5"/>
    <x v="312"/>
    <x v="25"/>
    <s v="POS"/>
    <n v="0.42599999999999999"/>
    <n v="340"/>
    <n v="144.84"/>
    <n v="0"/>
    <n v="0.42599999999999999"/>
    <m/>
    <n v="340"/>
    <m/>
    <n v="0"/>
    <n v="0"/>
    <n v="73567.423760152014"/>
  </r>
  <r>
    <x v="46"/>
    <x v="4"/>
    <x v="118"/>
    <x v="0"/>
    <x v="5"/>
    <x v="312"/>
    <x v="25"/>
    <s v="POS"/>
    <n v="1"/>
    <n v="180"/>
    <n v="180"/>
    <n v="0"/>
    <n v="1"/>
    <m/>
    <n v="180"/>
    <m/>
    <n v="0"/>
    <n v="0"/>
    <n v="73567.423760152014"/>
  </r>
  <r>
    <x v="46"/>
    <x v="4"/>
    <x v="109"/>
    <x v="0"/>
    <x v="5"/>
    <x v="312"/>
    <x v="25"/>
    <s v="POS"/>
    <n v="1"/>
    <n v="180"/>
    <n v="180"/>
    <n v="0"/>
    <n v="1"/>
    <m/>
    <n v="180"/>
    <m/>
    <n v="0"/>
    <n v="0"/>
    <n v="73567.423760152014"/>
  </r>
  <r>
    <x v="46"/>
    <x v="4"/>
    <x v="108"/>
    <x v="0"/>
    <x v="5"/>
    <x v="312"/>
    <x v="25"/>
    <s v="POS"/>
    <n v="1"/>
    <n v="190"/>
    <n v="190"/>
    <n v="0"/>
    <n v="1"/>
    <m/>
    <n v="190"/>
    <m/>
    <n v="0"/>
    <n v="0"/>
    <n v="73567.423760152014"/>
  </r>
  <r>
    <x v="46"/>
    <x v="4"/>
    <x v="227"/>
    <x v="0"/>
    <x v="5"/>
    <x v="312"/>
    <x v="25"/>
    <s v="POS"/>
    <n v="1"/>
    <n v="95"/>
    <n v="95"/>
    <n v="0"/>
    <n v="1"/>
    <m/>
    <n v="95"/>
    <m/>
    <n v="0"/>
    <n v="0"/>
    <n v="73567.423760152014"/>
  </r>
  <r>
    <x v="46"/>
    <x v="4"/>
    <x v="148"/>
    <x v="0"/>
    <x v="5"/>
    <x v="312"/>
    <x v="25"/>
    <s v="POS"/>
    <n v="1"/>
    <n v="195"/>
    <n v="195"/>
    <n v="0"/>
    <n v="1"/>
    <m/>
    <n v="195"/>
    <m/>
    <n v="0"/>
    <n v="0"/>
    <n v="73567.423760152014"/>
  </r>
  <r>
    <x v="46"/>
    <x v="4"/>
    <x v="234"/>
    <x v="0"/>
    <x v="5"/>
    <x v="312"/>
    <x v="25"/>
    <s v="POS"/>
    <n v="1"/>
    <n v="220"/>
    <n v="220"/>
    <n v="0"/>
    <n v="1"/>
    <m/>
    <n v="220"/>
    <m/>
    <n v="0"/>
    <n v="0"/>
    <n v="73567.423760152014"/>
  </r>
  <r>
    <x v="46"/>
    <x v="4"/>
    <x v="235"/>
    <x v="0"/>
    <x v="5"/>
    <x v="312"/>
    <x v="25"/>
    <s v="POS"/>
    <n v="1"/>
    <n v="220"/>
    <n v="220"/>
    <n v="0"/>
    <n v="1"/>
    <m/>
    <n v="220"/>
    <m/>
    <n v="0"/>
    <n v="0"/>
    <n v="73567.423760152014"/>
  </r>
  <r>
    <x v="46"/>
    <x v="4"/>
    <x v="33"/>
    <x v="0"/>
    <x v="1"/>
    <x v="313"/>
    <x v="25"/>
    <s v="NAKİT"/>
    <n v="0.26500000000000001"/>
    <n v="380"/>
    <n v="0"/>
    <n v="0"/>
    <n v="0.26500000000000001"/>
    <m/>
    <n v="380"/>
    <m/>
    <n v="100.7"/>
    <n v="0"/>
    <n v="73668.123760152012"/>
  </r>
  <r>
    <x v="46"/>
    <x v="4"/>
    <x v="157"/>
    <x v="0"/>
    <x v="1"/>
    <x v="314"/>
    <x v="25"/>
    <s v="NAKİT"/>
    <n v="0.1"/>
    <n v="200"/>
    <n v="0"/>
    <n v="0"/>
    <n v="1"/>
    <m/>
    <n v="20"/>
    <m/>
    <n v="20"/>
    <n v="0"/>
    <n v="73688.123760152012"/>
  </r>
  <r>
    <x v="46"/>
    <x v="4"/>
    <x v="14"/>
    <x v="0"/>
    <x v="1"/>
    <x v="314"/>
    <x v="25"/>
    <s v="NAKİT"/>
    <n v="0.5"/>
    <n v="260"/>
    <n v="0"/>
    <n v="0"/>
    <n v="1"/>
    <m/>
    <n v="130"/>
    <m/>
    <n v="130"/>
    <n v="0"/>
    <n v="73818.123760152012"/>
  </r>
  <r>
    <x v="46"/>
    <x v="4"/>
    <x v="64"/>
    <x v="0"/>
    <x v="1"/>
    <x v="315"/>
    <x v="25"/>
    <s v="NAKİT"/>
    <n v="0.104"/>
    <n v="1770"/>
    <n v="0"/>
    <n v="0"/>
    <n v="0.104"/>
    <m/>
    <n v="1770"/>
    <m/>
    <n v="184.07999999999998"/>
    <n v="0"/>
    <n v="74002.203760152013"/>
  </r>
  <r>
    <x v="46"/>
    <x v="4"/>
    <x v="69"/>
    <x v="0"/>
    <x v="1"/>
    <x v="315"/>
    <x v="25"/>
    <s v="NAKİT"/>
    <n v="0.06"/>
    <n v="1000"/>
    <n v="0"/>
    <n v="0"/>
    <n v="0.06"/>
    <m/>
    <n v="1000"/>
    <m/>
    <n v="60"/>
    <n v="0"/>
    <n v="74062.203760152013"/>
  </r>
  <r>
    <x v="46"/>
    <x v="4"/>
    <x v="63"/>
    <x v="0"/>
    <x v="1"/>
    <x v="315"/>
    <x v="25"/>
    <s v="NAKİT"/>
    <n v="7.1999999999999995E-2"/>
    <n v="735"/>
    <n v="0"/>
    <n v="0"/>
    <n v="7.1999999999999995E-2"/>
    <m/>
    <n v="735"/>
    <m/>
    <n v="52.919999999999995"/>
    <n v="0"/>
    <n v="74115.123760152012"/>
  </r>
  <r>
    <x v="46"/>
    <x v="4"/>
    <x v="127"/>
    <x v="0"/>
    <x v="1"/>
    <x v="315"/>
    <x v="25"/>
    <s v="NAKİT"/>
    <n v="0.36599999999999999"/>
    <n v="670"/>
    <n v="0"/>
    <n v="0"/>
    <n v="0.36599999999999999"/>
    <m/>
    <n v="670"/>
    <m/>
    <n v="245.22"/>
    <n v="0"/>
    <n v="74360.343760152013"/>
  </r>
  <r>
    <x v="46"/>
    <x v="4"/>
    <x v="88"/>
    <x v="0"/>
    <x v="1"/>
    <x v="315"/>
    <x v="25"/>
    <s v="NAKİT"/>
    <n v="5.4550000000000001E-2"/>
    <n v="1100"/>
    <n v="0"/>
    <n v="0"/>
    <n v="1"/>
    <m/>
    <n v="60"/>
    <m/>
    <n v="60.005000000000003"/>
    <n v="0"/>
    <n v="74420.348760152017"/>
  </r>
  <r>
    <x v="46"/>
    <x v="4"/>
    <x v="257"/>
    <x v="0"/>
    <x v="1"/>
    <x v="315"/>
    <x v="25"/>
    <s v="NAKİT"/>
    <n v="1"/>
    <n v="170"/>
    <n v="0"/>
    <n v="0"/>
    <n v="1"/>
    <m/>
    <n v="170"/>
    <m/>
    <n v="170"/>
    <n v="0"/>
    <n v="74590.348760152017"/>
  </r>
  <r>
    <x v="46"/>
    <x v="7"/>
    <x v="0"/>
    <x v="0"/>
    <x v="8"/>
    <x v="2"/>
    <x v="66"/>
    <s v="NAKİT"/>
    <n v="1"/>
    <n v="0"/>
    <n v="15000"/>
    <n v="0"/>
    <m/>
    <m/>
    <m/>
    <m/>
    <n v="0"/>
    <n v="15000"/>
    <n v="59590.348760152017"/>
  </r>
  <r>
    <x v="46"/>
    <x v="7"/>
    <x v="0"/>
    <x v="0"/>
    <x v="4"/>
    <x v="2"/>
    <x v="39"/>
    <s v="NAKİT"/>
    <n v="1"/>
    <n v="0"/>
    <n v="8000"/>
    <n v="0"/>
    <m/>
    <m/>
    <m/>
    <m/>
    <n v="0"/>
    <n v="8000"/>
    <n v="51590.348760152017"/>
  </r>
  <r>
    <x v="46"/>
    <x v="1"/>
    <x v="0"/>
    <x v="12"/>
    <x v="1"/>
    <x v="2"/>
    <x v="67"/>
    <s v="NAKİT"/>
    <n v="1"/>
    <n v="1500"/>
    <n v="0"/>
    <n v="0"/>
    <m/>
    <m/>
    <m/>
    <m/>
    <n v="0"/>
    <n v="1500"/>
    <n v="50090.348760152017"/>
  </r>
  <r>
    <x v="47"/>
    <x v="3"/>
    <x v="279"/>
    <x v="0"/>
    <x v="2"/>
    <x v="316"/>
    <x v="50"/>
    <s v="K.K."/>
    <n v="8"/>
    <n v="72.3"/>
    <n v="0"/>
    <n v="578.4"/>
    <m/>
    <n v="8"/>
    <m/>
    <n v="72.3"/>
    <n v="0"/>
    <n v="0"/>
    <n v="50090.348760152017"/>
  </r>
  <r>
    <x v="47"/>
    <x v="4"/>
    <x v="200"/>
    <x v="0"/>
    <x v="1"/>
    <x v="317"/>
    <x v="25"/>
    <s v="NAKİT"/>
    <n v="2"/>
    <n v="35"/>
    <n v="0"/>
    <n v="0"/>
    <n v="2"/>
    <m/>
    <n v="35"/>
    <m/>
    <n v="70"/>
    <n v="0"/>
    <n v="50160.348760152017"/>
  </r>
  <r>
    <x v="47"/>
    <x v="4"/>
    <x v="244"/>
    <x v="0"/>
    <x v="1"/>
    <x v="318"/>
    <x v="25"/>
    <s v="NAKİT"/>
    <n v="1"/>
    <n v="100"/>
    <n v="0"/>
    <n v="0"/>
    <n v="1"/>
    <m/>
    <n v="100"/>
    <m/>
    <n v="100"/>
    <n v="0"/>
    <n v="50260.348760152017"/>
  </r>
  <r>
    <x v="47"/>
    <x v="4"/>
    <x v="85"/>
    <x v="0"/>
    <x v="1"/>
    <x v="318"/>
    <x v="25"/>
    <s v="NAKİT"/>
    <n v="0.33500000000000002"/>
    <n v="300"/>
    <n v="0"/>
    <n v="0"/>
    <n v="0.33500000000000002"/>
    <m/>
    <n v="300"/>
    <m/>
    <n v="100.5"/>
    <n v="0"/>
    <n v="50360.848760152017"/>
  </r>
  <r>
    <x v="47"/>
    <x v="4"/>
    <x v="34"/>
    <x v="0"/>
    <x v="1"/>
    <x v="318"/>
    <x v="25"/>
    <s v="NAKİT"/>
    <n v="0.2"/>
    <n v="600"/>
    <n v="0"/>
    <n v="0"/>
    <n v="2"/>
    <m/>
    <n v="60"/>
    <m/>
    <n v="120"/>
    <n v="0"/>
    <n v="50480.848760152017"/>
  </r>
  <r>
    <x v="47"/>
    <x v="4"/>
    <x v="55"/>
    <x v="0"/>
    <x v="1"/>
    <x v="319"/>
    <x v="25"/>
    <s v="NAKİT"/>
    <n v="0.86199999999999999"/>
    <n v="180"/>
    <n v="0"/>
    <n v="0"/>
    <n v="0.86199999999999999"/>
    <m/>
    <n v="180"/>
    <m/>
    <n v="155.16"/>
    <n v="0"/>
    <n v="50636.008760152021"/>
  </r>
  <r>
    <x v="47"/>
    <x v="4"/>
    <x v="57"/>
    <x v="0"/>
    <x v="1"/>
    <x v="319"/>
    <x v="25"/>
    <s v="NAKİT"/>
    <n v="0.89"/>
    <n v="130"/>
    <n v="0"/>
    <n v="0"/>
    <n v="0.89"/>
    <m/>
    <n v="130"/>
    <m/>
    <n v="115.7"/>
    <n v="0"/>
    <n v="50751.708760152018"/>
  </r>
  <r>
    <x v="47"/>
    <x v="4"/>
    <x v="55"/>
    <x v="0"/>
    <x v="5"/>
    <x v="320"/>
    <x v="25"/>
    <s v="POS"/>
    <n v="0.55600000000000005"/>
    <n v="180"/>
    <n v="100.08000000000001"/>
    <n v="0"/>
    <n v="0.55600000000000005"/>
    <m/>
    <n v="180"/>
    <m/>
    <n v="0"/>
    <n v="0"/>
    <n v="50751.708760152018"/>
  </r>
  <r>
    <x v="47"/>
    <x v="4"/>
    <x v="137"/>
    <x v="0"/>
    <x v="5"/>
    <x v="321"/>
    <x v="25"/>
    <s v="POS"/>
    <n v="1"/>
    <n v="150"/>
    <n v="150"/>
    <n v="0"/>
    <n v="1"/>
    <m/>
    <n v="150"/>
    <m/>
    <n v="0"/>
    <n v="0"/>
    <n v="50751.708760152018"/>
  </r>
  <r>
    <x v="47"/>
    <x v="4"/>
    <x v="231"/>
    <x v="0"/>
    <x v="5"/>
    <x v="321"/>
    <x v="25"/>
    <s v="POS"/>
    <n v="0.25"/>
    <n v="400"/>
    <n v="100"/>
    <n v="0"/>
    <n v="1"/>
    <m/>
    <n v="100"/>
    <m/>
    <n v="0"/>
    <n v="0"/>
    <n v="50751.708760152018"/>
  </r>
  <r>
    <x v="47"/>
    <x v="4"/>
    <x v="69"/>
    <x v="0"/>
    <x v="5"/>
    <x v="321"/>
    <x v="25"/>
    <s v="POS"/>
    <n v="0.05"/>
    <n v="1000"/>
    <n v="50"/>
    <n v="0"/>
    <n v="0.05"/>
    <m/>
    <n v="1000"/>
    <m/>
    <n v="0"/>
    <n v="0"/>
    <n v="50751.708760152018"/>
  </r>
  <r>
    <x v="47"/>
    <x v="4"/>
    <x v="165"/>
    <x v="0"/>
    <x v="5"/>
    <x v="321"/>
    <x v="25"/>
    <s v="POS"/>
    <n v="1"/>
    <n v="40"/>
    <n v="40"/>
    <n v="0"/>
    <n v="1"/>
    <m/>
    <n v="40"/>
    <m/>
    <n v="0"/>
    <n v="0"/>
    <n v="50751.708760152018"/>
  </r>
  <r>
    <x v="47"/>
    <x v="4"/>
    <x v="14"/>
    <x v="0"/>
    <x v="5"/>
    <x v="322"/>
    <x v="25"/>
    <s v="POS"/>
    <n v="0.5"/>
    <n v="260"/>
    <n v="130"/>
    <n v="0"/>
    <n v="1"/>
    <m/>
    <n v="130"/>
    <m/>
    <n v="0"/>
    <n v="0"/>
    <n v="50751.708760152018"/>
  </r>
  <r>
    <x v="47"/>
    <x v="4"/>
    <x v="137"/>
    <x v="0"/>
    <x v="5"/>
    <x v="322"/>
    <x v="25"/>
    <s v="POS"/>
    <n v="1"/>
    <n v="140"/>
    <n v="140"/>
    <n v="0"/>
    <n v="1"/>
    <m/>
    <n v="140"/>
    <m/>
    <n v="0"/>
    <n v="0"/>
    <n v="50751.708760152018"/>
  </r>
  <r>
    <x v="47"/>
    <x v="4"/>
    <x v="28"/>
    <x v="0"/>
    <x v="5"/>
    <x v="323"/>
    <x v="25"/>
    <s v="POS"/>
    <n v="0.214"/>
    <n v="500"/>
    <n v="107"/>
    <n v="0"/>
    <n v="0.214"/>
    <m/>
    <n v="500"/>
    <m/>
    <n v="0"/>
    <n v="0"/>
    <n v="50751.708760152018"/>
  </r>
  <r>
    <x v="47"/>
    <x v="4"/>
    <x v="24"/>
    <x v="0"/>
    <x v="5"/>
    <x v="323"/>
    <x v="25"/>
    <s v="POS"/>
    <n v="0.21"/>
    <n v="640"/>
    <n v="134.4"/>
    <n v="0"/>
    <n v="0.21"/>
    <m/>
    <n v="640"/>
    <m/>
    <n v="0"/>
    <n v="0"/>
    <n v="50751.708760152018"/>
  </r>
  <r>
    <x v="47"/>
    <x v="4"/>
    <x v="73"/>
    <x v="0"/>
    <x v="5"/>
    <x v="323"/>
    <x v="25"/>
    <s v="POS"/>
    <n v="0.215"/>
    <n v="950"/>
    <n v="204.25"/>
    <n v="0"/>
    <n v="0.215"/>
    <m/>
    <n v="950"/>
    <m/>
    <n v="0"/>
    <n v="0"/>
    <n v="50751.708760152018"/>
  </r>
  <r>
    <x v="47"/>
    <x v="4"/>
    <x v="231"/>
    <x v="0"/>
    <x v="5"/>
    <x v="323"/>
    <x v="25"/>
    <s v="POS"/>
    <n v="0.25"/>
    <n v="400"/>
    <n v="100"/>
    <n v="0"/>
    <n v="1"/>
    <m/>
    <n v="100"/>
    <m/>
    <n v="0"/>
    <n v="0"/>
    <n v="50751.708760152018"/>
  </r>
  <r>
    <x v="47"/>
    <x v="4"/>
    <x v="205"/>
    <x v="0"/>
    <x v="1"/>
    <x v="324"/>
    <x v="35"/>
    <s v="NAKİT"/>
    <n v="5"/>
    <n v="65"/>
    <n v="0"/>
    <n v="0"/>
    <n v="5"/>
    <m/>
    <n v="65"/>
    <m/>
    <n v="325"/>
    <n v="0"/>
    <n v="51076.708760152018"/>
  </r>
  <r>
    <x v="47"/>
    <x v="4"/>
    <x v="106"/>
    <x v="0"/>
    <x v="1"/>
    <x v="324"/>
    <x v="35"/>
    <s v="NAKİT"/>
    <n v="10"/>
    <n v="165"/>
    <n v="0"/>
    <n v="0"/>
    <n v="10"/>
    <m/>
    <n v="165"/>
    <m/>
    <n v="1650"/>
    <n v="0"/>
    <n v="52726.708760152018"/>
  </r>
  <r>
    <x v="47"/>
    <x v="4"/>
    <x v="10"/>
    <x v="0"/>
    <x v="1"/>
    <x v="325"/>
    <x v="25"/>
    <s v="NAKİT"/>
    <n v="1"/>
    <n v="170"/>
    <n v="0"/>
    <n v="0"/>
    <n v="1"/>
    <m/>
    <n v="170"/>
    <m/>
    <n v="170"/>
    <n v="0"/>
    <n v="52896.708760152018"/>
  </r>
  <r>
    <x v="47"/>
    <x v="4"/>
    <x v="30"/>
    <x v="0"/>
    <x v="1"/>
    <x v="325"/>
    <x v="25"/>
    <s v="NAKİT"/>
    <n v="0.09"/>
    <n v="500"/>
    <n v="0"/>
    <n v="0"/>
    <n v="0.09"/>
    <m/>
    <n v="500"/>
    <m/>
    <n v="45"/>
    <n v="0"/>
    <n v="52941.708760152018"/>
  </r>
  <r>
    <x v="47"/>
    <x v="4"/>
    <x v="30"/>
    <x v="0"/>
    <x v="5"/>
    <x v="326"/>
    <x v="25"/>
    <s v="POS"/>
    <n v="0.5"/>
    <n v="500"/>
    <n v="250"/>
    <n v="0"/>
    <n v="0.5"/>
    <m/>
    <n v="500"/>
    <m/>
    <n v="0"/>
    <n v="0"/>
    <n v="52941.708760152018"/>
  </r>
  <r>
    <x v="47"/>
    <x v="4"/>
    <x v="191"/>
    <x v="0"/>
    <x v="5"/>
    <x v="326"/>
    <x v="25"/>
    <s v="POS"/>
    <n v="1"/>
    <n v="600"/>
    <n v="600"/>
    <n v="0"/>
    <n v="1"/>
    <m/>
    <n v="600"/>
    <m/>
    <n v="0"/>
    <n v="0"/>
    <n v="52941.708760152018"/>
  </r>
  <r>
    <x v="48"/>
    <x v="4"/>
    <x v="56"/>
    <x v="0"/>
    <x v="5"/>
    <x v="327"/>
    <x v="25"/>
    <s v="POS"/>
    <n v="1.046"/>
    <n v="180"/>
    <n v="188.28"/>
    <n v="0"/>
    <n v="1.046"/>
    <m/>
    <n v="180"/>
    <m/>
    <n v="0"/>
    <n v="0"/>
    <n v="52941.708760152018"/>
  </r>
  <r>
    <x v="48"/>
    <x v="4"/>
    <x v="25"/>
    <x v="0"/>
    <x v="5"/>
    <x v="327"/>
    <x v="25"/>
    <s v="POS"/>
    <n v="0.214"/>
    <n v="390"/>
    <n v="83.46"/>
    <n v="0"/>
    <n v="0.214"/>
    <m/>
    <n v="390"/>
    <m/>
    <n v="0"/>
    <n v="0"/>
    <n v="52941.708760152018"/>
  </r>
  <r>
    <x v="48"/>
    <x v="4"/>
    <x v="28"/>
    <x v="0"/>
    <x v="5"/>
    <x v="327"/>
    <x v="25"/>
    <s v="POS"/>
    <n v="0.23200000000000001"/>
    <n v="500"/>
    <n v="116"/>
    <n v="0"/>
    <n v="0.23200000000000001"/>
    <m/>
    <n v="500"/>
    <m/>
    <n v="0"/>
    <n v="0"/>
    <n v="52941.708760152018"/>
  </r>
  <r>
    <x v="48"/>
    <x v="4"/>
    <x v="24"/>
    <x v="0"/>
    <x v="5"/>
    <x v="327"/>
    <x v="25"/>
    <s v="POS"/>
    <n v="0.17599999999999999"/>
    <n v="640"/>
    <n v="112.63999999999999"/>
    <n v="0"/>
    <n v="0.17599999999999999"/>
    <m/>
    <n v="640"/>
    <m/>
    <n v="0"/>
    <n v="0"/>
    <n v="52941.708760152018"/>
  </r>
  <r>
    <x v="48"/>
    <x v="4"/>
    <x v="161"/>
    <x v="0"/>
    <x v="5"/>
    <x v="327"/>
    <x v="25"/>
    <s v="POS"/>
    <n v="0.316"/>
    <n v="370"/>
    <n v="116.92"/>
    <n v="0"/>
    <n v="0.316"/>
    <m/>
    <n v="370"/>
    <m/>
    <n v="0"/>
    <n v="0"/>
    <n v="52941.708760152018"/>
  </r>
  <r>
    <x v="48"/>
    <x v="4"/>
    <x v="238"/>
    <x v="0"/>
    <x v="5"/>
    <x v="327"/>
    <x v="25"/>
    <s v="POS"/>
    <n v="0.35199999999999998"/>
    <n v="340"/>
    <n v="119.67999999999999"/>
    <n v="0"/>
    <n v="0.35199999999999998"/>
    <m/>
    <n v="340"/>
    <m/>
    <n v="0"/>
    <n v="0"/>
    <n v="52941.708760152018"/>
  </r>
  <r>
    <x v="48"/>
    <x v="4"/>
    <x v="199"/>
    <x v="0"/>
    <x v="5"/>
    <x v="328"/>
    <x v="25"/>
    <s v="POS"/>
    <n v="1.304"/>
    <n v="130"/>
    <n v="169.52"/>
    <n v="0"/>
    <n v="1.304"/>
    <m/>
    <n v="130"/>
    <m/>
    <n v="0"/>
    <n v="0"/>
    <n v="52941.708760152018"/>
  </r>
  <r>
    <x v="48"/>
    <x v="4"/>
    <x v="19"/>
    <x v="0"/>
    <x v="1"/>
    <x v="329"/>
    <x v="25"/>
    <s v="NAKİT"/>
    <n v="0.5"/>
    <n v="200"/>
    <n v="0"/>
    <n v="0"/>
    <n v="0.5"/>
    <m/>
    <n v="200"/>
    <m/>
    <n v="100"/>
    <n v="0"/>
    <n v="53041.708760152018"/>
  </r>
  <r>
    <x v="48"/>
    <x v="4"/>
    <x v="100"/>
    <x v="0"/>
    <x v="1"/>
    <x v="330"/>
    <x v="25"/>
    <s v="NAKİT"/>
    <n v="7.6999999999999999E-2"/>
    <n v="650"/>
    <n v="0"/>
    <n v="0"/>
    <n v="7.6999999999999999E-2"/>
    <m/>
    <n v="650"/>
    <m/>
    <n v="50.05"/>
    <n v="0"/>
    <n v="53091.758760152021"/>
  </r>
  <r>
    <x v="48"/>
    <x v="4"/>
    <x v="33"/>
    <x v="0"/>
    <x v="1"/>
    <x v="331"/>
    <x v="25"/>
    <s v="NAKİT"/>
    <n v="0.19800000000000001"/>
    <n v="380"/>
    <n v="0"/>
    <n v="0"/>
    <n v="0.19800000000000001"/>
    <m/>
    <n v="380"/>
    <m/>
    <n v="75.240000000000009"/>
    <n v="0"/>
    <n v="53166.998760152019"/>
  </r>
  <r>
    <x v="48"/>
    <x v="4"/>
    <x v="138"/>
    <x v="0"/>
    <x v="1"/>
    <x v="331"/>
    <x v="25"/>
    <s v="NAKİT"/>
    <n v="1"/>
    <n v="140"/>
    <n v="0"/>
    <n v="0"/>
    <n v="1"/>
    <m/>
    <n v="140"/>
    <m/>
    <n v="140"/>
    <n v="0"/>
    <n v="53306.998760152019"/>
  </r>
  <r>
    <x v="48"/>
    <x v="4"/>
    <x v="38"/>
    <x v="0"/>
    <x v="1"/>
    <x v="331"/>
    <x v="25"/>
    <s v="NAKİT"/>
    <n v="0.1"/>
    <n v="650"/>
    <n v="0"/>
    <n v="0"/>
    <n v="1"/>
    <m/>
    <n v="65"/>
    <m/>
    <n v="65"/>
    <n v="0"/>
    <n v="53371.998760152019"/>
  </r>
  <r>
    <x v="48"/>
    <x v="4"/>
    <x v="232"/>
    <x v="0"/>
    <x v="1"/>
    <x v="331"/>
    <x v="25"/>
    <s v="NAKİT"/>
    <n v="1"/>
    <n v="350"/>
    <n v="0"/>
    <n v="0"/>
    <n v="1"/>
    <m/>
    <n v="350"/>
    <m/>
    <n v="350"/>
    <n v="0"/>
    <n v="53721.998760152019"/>
  </r>
  <r>
    <x v="48"/>
    <x v="4"/>
    <x v="142"/>
    <x v="0"/>
    <x v="1"/>
    <x v="332"/>
    <x v="25"/>
    <s v="NAKİT"/>
    <n v="0.45500000000000002"/>
    <n v="300"/>
    <n v="0"/>
    <n v="0"/>
    <n v="0.45500000000000002"/>
    <m/>
    <n v="300"/>
    <m/>
    <n v="136.5"/>
    <n v="0"/>
    <n v="53858.498760152019"/>
  </r>
  <r>
    <x v="48"/>
    <x v="4"/>
    <x v="116"/>
    <x v="0"/>
    <x v="1"/>
    <x v="332"/>
    <x v="25"/>
    <s v="NAKİT"/>
    <n v="0.28000000000000003"/>
    <n v="360"/>
    <n v="0"/>
    <n v="0"/>
    <n v="0.28000000000000003"/>
    <m/>
    <n v="360"/>
    <m/>
    <n v="100.80000000000001"/>
    <n v="0"/>
    <n v="53959.298760152022"/>
  </r>
  <r>
    <x v="48"/>
    <x v="4"/>
    <x v="27"/>
    <x v="0"/>
    <x v="5"/>
    <x v="333"/>
    <x v="25"/>
    <s v="POS"/>
    <n v="0.1"/>
    <n v="400"/>
    <n v="40"/>
    <n v="0"/>
    <n v="0.1"/>
    <m/>
    <n v="400"/>
    <m/>
    <n v="0"/>
    <n v="0"/>
    <n v="53959.298760152022"/>
  </r>
  <r>
    <x v="48"/>
    <x v="4"/>
    <x v="22"/>
    <x v="0"/>
    <x v="5"/>
    <x v="333"/>
    <x v="25"/>
    <s v="POS"/>
    <n v="0.13200000000000001"/>
    <n v="360"/>
    <n v="47.52"/>
    <n v="0"/>
    <n v="0.13200000000000001"/>
    <m/>
    <n v="360"/>
    <m/>
    <n v="0"/>
    <n v="0"/>
    <n v="53959.298760152022"/>
  </r>
  <r>
    <x v="48"/>
    <x v="4"/>
    <x v="50"/>
    <x v="0"/>
    <x v="5"/>
    <x v="333"/>
    <x v="25"/>
    <s v="POS"/>
    <n v="0.1"/>
    <n v="650"/>
    <n v="65"/>
    <n v="0"/>
    <n v="1"/>
    <m/>
    <n v="65"/>
    <m/>
    <n v="0"/>
    <n v="0"/>
    <n v="53959.298760152022"/>
  </r>
  <r>
    <x v="48"/>
    <x v="4"/>
    <x v="112"/>
    <x v="0"/>
    <x v="5"/>
    <x v="333"/>
    <x v="25"/>
    <s v="POS"/>
    <n v="0.04"/>
    <n v="2250"/>
    <n v="90"/>
    <n v="0"/>
    <n v="1"/>
    <m/>
    <n v="90"/>
    <m/>
    <n v="0"/>
    <n v="0"/>
    <n v="53959.298760152022"/>
  </r>
  <r>
    <x v="48"/>
    <x v="4"/>
    <x v="208"/>
    <x v="0"/>
    <x v="5"/>
    <x v="334"/>
    <x v="25"/>
    <s v="POS"/>
    <n v="2"/>
    <n v="290"/>
    <n v="580"/>
    <n v="0"/>
    <n v="2"/>
    <m/>
    <n v="290"/>
    <m/>
    <n v="0"/>
    <n v="0"/>
    <n v="53959.298760152022"/>
  </r>
  <r>
    <x v="48"/>
    <x v="4"/>
    <x v="206"/>
    <x v="0"/>
    <x v="1"/>
    <x v="335"/>
    <x v="25"/>
    <s v="NAKİT"/>
    <n v="1"/>
    <n v="350"/>
    <n v="0"/>
    <n v="0"/>
    <n v="1"/>
    <m/>
    <n v="350"/>
    <m/>
    <n v="350"/>
    <n v="0"/>
    <n v="54309.298760152022"/>
  </r>
  <r>
    <x v="49"/>
    <x v="3"/>
    <x v="66"/>
    <x v="0"/>
    <x v="4"/>
    <x v="336"/>
    <x v="32"/>
    <s v="CARİ"/>
    <n v="1"/>
    <n v="85"/>
    <n v="0"/>
    <n v="85"/>
    <m/>
    <n v="1"/>
    <m/>
    <n v="85"/>
    <n v="0"/>
    <n v="0"/>
    <n v="54309.298760152022"/>
  </r>
  <r>
    <x v="49"/>
    <x v="3"/>
    <x v="127"/>
    <x v="0"/>
    <x v="4"/>
    <x v="336"/>
    <x v="32"/>
    <s v="CARİ"/>
    <n v="5"/>
    <n v="400"/>
    <n v="0"/>
    <n v="2000"/>
    <m/>
    <n v="5"/>
    <m/>
    <n v="400"/>
    <n v="0"/>
    <n v="0"/>
    <n v="54309.298760152022"/>
  </r>
  <r>
    <x v="49"/>
    <x v="3"/>
    <x v="280"/>
    <x v="0"/>
    <x v="4"/>
    <x v="336"/>
    <x v="32"/>
    <s v="CARİ"/>
    <n v="10"/>
    <n v="24.5"/>
    <n v="0"/>
    <n v="245"/>
    <m/>
    <n v="10"/>
    <m/>
    <n v="24.5"/>
    <n v="0"/>
    <n v="0"/>
    <n v="54309.298760152022"/>
  </r>
  <r>
    <x v="49"/>
    <x v="3"/>
    <x v="281"/>
    <x v="0"/>
    <x v="4"/>
    <x v="336"/>
    <x v="32"/>
    <s v="CARİ"/>
    <n v="12"/>
    <n v="95"/>
    <n v="0"/>
    <n v="1140"/>
    <m/>
    <n v="12"/>
    <m/>
    <n v="95"/>
    <n v="0"/>
    <n v="0"/>
    <n v="54309.298760152022"/>
  </r>
  <r>
    <x v="49"/>
    <x v="3"/>
    <x v="282"/>
    <x v="0"/>
    <x v="4"/>
    <x v="336"/>
    <x v="32"/>
    <s v="CARİ"/>
    <n v="12"/>
    <n v="145"/>
    <n v="0"/>
    <n v="1740"/>
    <m/>
    <n v="12"/>
    <m/>
    <n v="145"/>
    <n v="0"/>
    <n v="0"/>
    <n v="54309.298760152022"/>
  </r>
  <r>
    <x v="49"/>
    <x v="3"/>
    <x v="161"/>
    <x v="0"/>
    <x v="4"/>
    <x v="336"/>
    <x v="32"/>
    <s v="CARİ"/>
    <n v="2"/>
    <n v="210"/>
    <n v="0"/>
    <n v="420"/>
    <m/>
    <n v="2"/>
    <m/>
    <n v="210"/>
    <n v="0"/>
    <n v="0"/>
    <n v="54309.298760152022"/>
  </r>
  <r>
    <x v="49"/>
    <x v="3"/>
    <x v="142"/>
    <x v="0"/>
    <x v="4"/>
    <x v="336"/>
    <x v="32"/>
    <s v="CARİ"/>
    <n v="5"/>
    <n v="170"/>
    <n v="0"/>
    <n v="850"/>
    <m/>
    <n v="5"/>
    <m/>
    <n v="170"/>
    <n v="0"/>
    <n v="0"/>
    <n v="54309.298760152022"/>
  </r>
  <r>
    <x v="49"/>
    <x v="4"/>
    <x v="27"/>
    <x v="0"/>
    <x v="1"/>
    <x v="337"/>
    <x v="25"/>
    <s v="NAKİT"/>
    <n v="0.1"/>
    <n v="400"/>
    <n v="0"/>
    <n v="0"/>
    <n v="0.1"/>
    <m/>
    <n v="400"/>
    <m/>
    <n v="40"/>
    <n v="0"/>
    <n v="54349.298760152022"/>
  </r>
  <r>
    <x v="49"/>
    <x v="4"/>
    <x v="120"/>
    <x v="0"/>
    <x v="5"/>
    <x v="338"/>
    <x v="25"/>
    <s v="POS"/>
    <n v="0.23100000000000001"/>
    <n v="650"/>
    <n v="150.15"/>
    <n v="0"/>
    <n v="0.23100000000000001"/>
    <m/>
    <n v="650"/>
    <m/>
    <n v="0"/>
    <n v="0"/>
    <n v="54349.298760152022"/>
  </r>
  <r>
    <x v="49"/>
    <x v="4"/>
    <x v="20"/>
    <x v="0"/>
    <x v="5"/>
    <x v="339"/>
    <x v="25"/>
    <s v="POS"/>
    <n v="0.5"/>
    <n v="200"/>
    <n v="100"/>
    <n v="0"/>
    <n v="0.5"/>
    <m/>
    <n v="200"/>
    <m/>
    <n v="0"/>
    <n v="0"/>
    <n v="54349.298760152022"/>
  </r>
  <r>
    <x v="49"/>
    <x v="4"/>
    <x v="18"/>
    <x v="0"/>
    <x v="5"/>
    <x v="339"/>
    <x v="25"/>
    <s v="POS"/>
    <n v="1"/>
    <n v="240"/>
    <n v="240"/>
    <n v="0"/>
    <n v="1"/>
    <m/>
    <n v="240"/>
    <m/>
    <n v="0"/>
    <n v="0"/>
    <n v="54349.298760152022"/>
  </r>
  <r>
    <x v="49"/>
    <x v="4"/>
    <x v="20"/>
    <x v="0"/>
    <x v="5"/>
    <x v="340"/>
    <x v="25"/>
    <s v="POS"/>
    <n v="1"/>
    <n v="150"/>
    <n v="150"/>
    <n v="0"/>
    <n v="1"/>
    <m/>
    <n v="150"/>
    <m/>
    <n v="0"/>
    <n v="0"/>
    <n v="54349.298760152022"/>
  </r>
  <r>
    <x v="49"/>
    <x v="4"/>
    <x v="88"/>
    <x v="0"/>
    <x v="5"/>
    <x v="340"/>
    <x v="25"/>
    <s v="POS"/>
    <n v="4.5449999999999997E-2"/>
    <n v="1100"/>
    <n v="49.994999999999997"/>
    <n v="0"/>
    <n v="1"/>
    <m/>
    <n v="50"/>
    <m/>
    <n v="0"/>
    <n v="0"/>
    <n v="54349.298760152022"/>
  </r>
  <r>
    <x v="49"/>
    <x v="4"/>
    <x v="31"/>
    <x v="0"/>
    <x v="5"/>
    <x v="340"/>
    <x v="25"/>
    <s v="POS"/>
    <n v="0.13200000000000001"/>
    <n v="380"/>
    <n v="50.160000000000004"/>
    <n v="0"/>
    <n v="0.13200000000000001"/>
    <m/>
    <n v="380"/>
    <m/>
    <n v="0"/>
    <n v="0"/>
    <n v="54349.298760152022"/>
  </r>
  <r>
    <x v="49"/>
    <x v="4"/>
    <x v="56"/>
    <x v="0"/>
    <x v="5"/>
    <x v="341"/>
    <x v="25"/>
    <s v="POS"/>
    <n v="0.28000000000000003"/>
    <n v="180"/>
    <n v="50.400000000000006"/>
    <n v="0"/>
    <n v="0.28000000000000003"/>
    <m/>
    <n v="180"/>
    <m/>
    <n v="0"/>
    <n v="0"/>
    <n v="54349.298760152022"/>
  </r>
  <r>
    <x v="49"/>
    <x v="4"/>
    <x v="29"/>
    <x v="0"/>
    <x v="1"/>
    <x v="341"/>
    <x v="25"/>
    <s v="NAKİT"/>
    <n v="2.5999999999999999E-2"/>
    <n v="780"/>
    <n v="0"/>
    <n v="0"/>
    <n v="2.5999999999999999E-2"/>
    <m/>
    <n v="780"/>
    <m/>
    <n v="20.279999999999998"/>
    <n v="0"/>
    <n v="54369.578760152021"/>
  </r>
  <r>
    <x v="49"/>
    <x v="4"/>
    <x v="230"/>
    <x v="0"/>
    <x v="1"/>
    <x v="342"/>
    <x v="25"/>
    <s v="NAKİT"/>
    <n v="0.318"/>
    <n v="340"/>
    <n v="0"/>
    <n v="0"/>
    <n v="0.318"/>
    <m/>
    <n v="340"/>
    <m/>
    <n v="108.12"/>
    <n v="0"/>
    <n v="54477.698760152023"/>
  </r>
  <r>
    <x v="49"/>
    <x v="4"/>
    <x v="238"/>
    <x v="0"/>
    <x v="1"/>
    <x v="342"/>
    <x v="25"/>
    <s v="NAKİT"/>
    <n v="0.42"/>
    <n v="155"/>
    <n v="0"/>
    <n v="0"/>
    <n v="0.42"/>
    <m/>
    <n v="155"/>
    <m/>
    <n v="65.099999999999994"/>
    <n v="0"/>
    <n v="54542.798760152022"/>
  </r>
  <r>
    <x v="49"/>
    <x v="4"/>
    <x v="27"/>
    <x v="0"/>
    <x v="1"/>
    <x v="343"/>
    <x v="25"/>
    <s v="NAKİT"/>
    <n v="0.11"/>
    <n v="400"/>
    <n v="0"/>
    <n v="0"/>
    <n v="0.11"/>
    <m/>
    <n v="400"/>
    <m/>
    <n v="44"/>
    <n v="0"/>
    <n v="54586.798760152022"/>
  </r>
  <r>
    <x v="49"/>
    <x v="4"/>
    <x v="36"/>
    <x v="0"/>
    <x v="1"/>
    <x v="344"/>
    <x v="25"/>
    <s v="NAKİT"/>
    <n v="0.25"/>
    <n v="180"/>
    <n v="0"/>
    <n v="0"/>
    <n v="1"/>
    <m/>
    <n v="45"/>
    <m/>
    <n v="45"/>
    <n v="0"/>
    <n v="54631.798760152022"/>
  </r>
  <r>
    <x v="49"/>
    <x v="4"/>
    <x v="55"/>
    <x v="0"/>
    <x v="1"/>
    <x v="345"/>
    <x v="25"/>
    <s v="NAKİT"/>
    <n v="0.5"/>
    <n v="180"/>
    <n v="0"/>
    <n v="0"/>
    <n v="0.5"/>
    <m/>
    <n v="180"/>
    <m/>
    <n v="90"/>
    <n v="0"/>
    <n v="54721.798760152022"/>
  </r>
  <r>
    <x v="49"/>
    <x v="4"/>
    <x v="56"/>
    <x v="0"/>
    <x v="1"/>
    <x v="345"/>
    <x v="25"/>
    <s v="NAKİT"/>
    <n v="1.7250000000000001"/>
    <n v="180"/>
    <n v="0"/>
    <n v="0"/>
    <n v="2.2799999999999998"/>
    <m/>
    <n v="180"/>
    <m/>
    <n v="310.5"/>
    <n v="0"/>
    <n v="55032.298760152022"/>
  </r>
  <r>
    <x v="49"/>
    <x v="4"/>
    <x v="161"/>
    <x v="0"/>
    <x v="1"/>
    <x v="345"/>
    <x v="25"/>
    <s v="NAKİT"/>
    <n v="0.27100000000000002"/>
    <n v="370"/>
    <n v="0"/>
    <n v="0"/>
    <n v="0.27100000000000002"/>
    <m/>
    <n v="370"/>
    <m/>
    <n v="100.27"/>
    <n v="0"/>
    <n v="55132.568760152019"/>
  </r>
  <r>
    <x v="49"/>
    <x v="4"/>
    <x v="58"/>
    <x v="0"/>
    <x v="1"/>
    <x v="346"/>
    <x v="25"/>
    <s v="NAKİT"/>
    <n v="1"/>
    <n v="200"/>
    <n v="0"/>
    <n v="0"/>
    <n v="1"/>
    <m/>
    <n v="200"/>
    <m/>
    <n v="200"/>
    <n v="0"/>
    <n v="55332.568760152019"/>
  </r>
  <r>
    <x v="49"/>
    <x v="4"/>
    <x v="18"/>
    <x v="0"/>
    <x v="1"/>
    <x v="346"/>
    <x v="25"/>
    <s v="NAKİT"/>
    <n v="1"/>
    <n v="200"/>
    <n v="0"/>
    <n v="0"/>
    <n v="1"/>
    <m/>
    <n v="200"/>
    <m/>
    <n v="200"/>
    <n v="0"/>
    <n v="55532.568760152019"/>
  </r>
  <r>
    <x v="49"/>
    <x v="4"/>
    <x v="112"/>
    <x v="0"/>
    <x v="5"/>
    <x v="347"/>
    <x v="25"/>
    <s v="POS"/>
    <n v="0.04"/>
    <n v="2250"/>
    <n v="90"/>
    <n v="0"/>
    <n v="1"/>
    <m/>
    <n v="90"/>
    <m/>
    <n v="0"/>
    <n v="0"/>
    <n v="55532.568760152019"/>
  </r>
  <r>
    <x v="49"/>
    <x v="4"/>
    <x v="171"/>
    <x v="0"/>
    <x v="1"/>
    <x v="348"/>
    <x v="25"/>
    <s v="NAKİT"/>
    <n v="1"/>
    <n v="250"/>
    <n v="0"/>
    <n v="0"/>
    <n v="1"/>
    <m/>
    <n v="250"/>
    <m/>
    <n v="250"/>
    <n v="0"/>
    <n v="55782.568760152019"/>
  </r>
  <r>
    <x v="49"/>
    <x v="4"/>
    <x v="58"/>
    <x v="0"/>
    <x v="5"/>
    <x v="349"/>
    <x v="25"/>
    <s v="POS"/>
    <n v="1"/>
    <n v="200"/>
    <n v="200"/>
    <n v="0"/>
    <n v="1"/>
    <m/>
    <n v="200"/>
    <m/>
    <n v="0"/>
    <n v="0"/>
    <n v="55782.568760152019"/>
  </r>
  <r>
    <x v="49"/>
    <x v="4"/>
    <x v="66"/>
    <x v="0"/>
    <x v="1"/>
    <x v="350"/>
    <x v="25"/>
    <s v="NAKİT"/>
    <n v="0.05"/>
    <n v="500"/>
    <n v="0"/>
    <n v="0"/>
    <n v="0.05"/>
    <m/>
    <n v="500"/>
    <m/>
    <n v="25"/>
    <n v="0"/>
    <n v="55807.568760152019"/>
  </r>
  <r>
    <x v="49"/>
    <x v="4"/>
    <x v="196"/>
    <x v="0"/>
    <x v="1"/>
    <x v="351"/>
    <x v="25"/>
    <s v="NAKİT"/>
    <n v="1"/>
    <n v="350"/>
    <n v="0"/>
    <n v="0"/>
    <n v="1"/>
    <m/>
    <n v="350"/>
    <m/>
    <n v="350"/>
    <n v="0"/>
    <n v="56157.568760152019"/>
  </r>
  <r>
    <x v="49"/>
    <x v="4"/>
    <x v="83"/>
    <x v="0"/>
    <x v="1"/>
    <x v="351"/>
    <x v="25"/>
    <s v="NAKİT"/>
    <n v="0.05"/>
    <n v="2600"/>
    <n v="0"/>
    <n v="0"/>
    <n v="1"/>
    <m/>
    <n v="130"/>
    <m/>
    <n v="130"/>
    <n v="0"/>
    <n v="56287.568760152019"/>
  </r>
  <r>
    <x v="49"/>
    <x v="4"/>
    <x v="137"/>
    <x v="0"/>
    <x v="1"/>
    <x v="352"/>
    <x v="25"/>
    <s v="NAKİT"/>
    <n v="1"/>
    <n v="150"/>
    <n v="0"/>
    <n v="0"/>
    <n v="1"/>
    <m/>
    <n v="150"/>
    <m/>
    <n v="150"/>
    <n v="0"/>
    <n v="56437.568760152019"/>
  </r>
  <r>
    <x v="49"/>
    <x v="4"/>
    <x v="157"/>
    <x v="0"/>
    <x v="1"/>
    <x v="352"/>
    <x v="25"/>
    <s v="NAKİT"/>
    <n v="0.1"/>
    <n v="200"/>
    <n v="0"/>
    <n v="0"/>
    <n v="1"/>
    <m/>
    <n v="20"/>
    <m/>
    <n v="20"/>
    <n v="0"/>
    <n v="56457.568760152019"/>
  </r>
  <r>
    <x v="49"/>
    <x v="10"/>
    <x v="0"/>
    <x v="0"/>
    <x v="5"/>
    <x v="2"/>
    <x v="63"/>
    <s v="POS"/>
    <n v="1"/>
    <n v="347.6"/>
    <n v="0"/>
    <n v="347.6"/>
    <m/>
    <m/>
    <m/>
    <m/>
    <n v="347.6"/>
    <n v="0"/>
    <n v="56805.168760152017"/>
  </r>
  <r>
    <x v="50"/>
    <x v="4"/>
    <x v="248"/>
    <x v="0"/>
    <x v="5"/>
    <x v="353"/>
    <x v="25"/>
    <s v="POS"/>
    <n v="0.28599999999999998"/>
    <n v="750"/>
    <n v="214.49999999999997"/>
    <n v="0"/>
    <n v="0.28599999999999998"/>
    <m/>
    <n v="750"/>
    <m/>
    <n v="0"/>
    <n v="0"/>
    <n v="56805.168760152017"/>
  </r>
  <r>
    <x v="50"/>
    <x v="4"/>
    <x v="112"/>
    <x v="0"/>
    <x v="5"/>
    <x v="353"/>
    <x v="25"/>
    <s v="POS"/>
    <n v="0.04"/>
    <n v="2250"/>
    <n v="90"/>
    <n v="0"/>
    <n v="1"/>
    <m/>
    <n v="90"/>
    <m/>
    <n v="0"/>
    <n v="0"/>
    <n v="56805.168760152017"/>
  </r>
  <r>
    <x v="50"/>
    <x v="4"/>
    <x v="59"/>
    <x v="0"/>
    <x v="5"/>
    <x v="353"/>
    <x v="25"/>
    <s v="POS"/>
    <n v="8.5999999999999993E-2"/>
    <n v="420"/>
    <n v="36.119999999999997"/>
    <n v="0"/>
    <n v="8.5999999999999993E-2"/>
    <m/>
    <n v="420"/>
    <m/>
    <n v="0"/>
    <n v="0"/>
    <n v="56805.168760152017"/>
  </r>
  <r>
    <x v="50"/>
    <x v="4"/>
    <x v="97"/>
    <x v="0"/>
    <x v="5"/>
    <x v="353"/>
    <x v="25"/>
    <s v="POS"/>
    <n v="0.27"/>
    <n v="600"/>
    <n v="162"/>
    <n v="0"/>
    <n v="0.27"/>
    <m/>
    <n v="600"/>
    <m/>
    <n v="0"/>
    <n v="0"/>
    <n v="56805.168760152017"/>
  </r>
  <r>
    <x v="50"/>
    <x v="4"/>
    <x v="179"/>
    <x v="0"/>
    <x v="5"/>
    <x v="353"/>
    <x v="25"/>
    <s v="POS"/>
    <n v="0.23599999999999999"/>
    <n v="850"/>
    <n v="200.6"/>
    <n v="0"/>
    <n v="1"/>
    <m/>
    <n v="200"/>
    <m/>
    <n v="0"/>
    <n v="0"/>
    <n v="56805.168760152017"/>
  </r>
  <r>
    <x v="50"/>
    <x v="4"/>
    <x v="18"/>
    <x v="0"/>
    <x v="1"/>
    <x v="354"/>
    <x v="25"/>
    <s v="NAKİT"/>
    <n v="0.5"/>
    <n v="220"/>
    <n v="0"/>
    <n v="0"/>
    <n v="0.5"/>
    <m/>
    <n v="220"/>
    <m/>
    <n v="110"/>
    <n v="0"/>
    <n v="56915.168760152017"/>
  </r>
  <r>
    <x v="50"/>
    <x v="4"/>
    <x v="19"/>
    <x v="0"/>
    <x v="1"/>
    <x v="354"/>
    <x v="25"/>
    <s v="NAKİT"/>
    <n v="0.5"/>
    <n v="200"/>
    <n v="0"/>
    <n v="0"/>
    <n v="0.5"/>
    <m/>
    <n v="200"/>
    <m/>
    <n v="100"/>
    <n v="0"/>
    <n v="57015.168760152017"/>
  </r>
  <r>
    <x v="50"/>
    <x v="4"/>
    <x v="21"/>
    <x v="0"/>
    <x v="1"/>
    <x v="354"/>
    <x v="25"/>
    <s v="NAKİT"/>
    <n v="0.5"/>
    <n v="240"/>
    <n v="0"/>
    <n v="0"/>
    <n v="0.5"/>
    <m/>
    <n v="240"/>
    <m/>
    <n v="120"/>
    <n v="0"/>
    <n v="57135.168760152017"/>
  </r>
  <r>
    <x v="50"/>
    <x v="4"/>
    <x v="145"/>
    <x v="0"/>
    <x v="1"/>
    <x v="355"/>
    <x v="25"/>
    <s v="NAKİT"/>
    <n v="1"/>
    <n v="295"/>
    <n v="0"/>
    <n v="0"/>
    <n v="1"/>
    <m/>
    <n v="295"/>
    <m/>
    <n v="295"/>
    <n v="0"/>
    <n v="57430.168760152017"/>
  </r>
  <r>
    <x v="50"/>
    <x v="4"/>
    <x v="174"/>
    <x v="0"/>
    <x v="1"/>
    <x v="355"/>
    <x v="25"/>
    <s v="NAKİT"/>
    <n v="1"/>
    <n v="230"/>
    <n v="0"/>
    <n v="0"/>
    <n v="1"/>
    <m/>
    <n v="230"/>
    <m/>
    <n v="230"/>
    <n v="0"/>
    <n v="57660.168760152017"/>
  </r>
  <r>
    <x v="50"/>
    <x v="4"/>
    <x v="9"/>
    <x v="0"/>
    <x v="1"/>
    <x v="355"/>
    <x v="25"/>
    <s v="NAKİT"/>
    <n v="1"/>
    <n v="160"/>
    <n v="0"/>
    <n v="0"/>
    <n v="1"/>
    <m/>
    <n v="160"/>
    <m/>
    <n v="160"/>
    <n v="0"/>
    <n v="57820.168760152017"/>
  </r>
  <r>
    <x v="50"/>
    <x v="4"/>
    <x v="199"/>
    <x v="0"/>
    <x v="1"/>
    <x v="355"/>
    <x v="25"/>
    <s v="NAKİT"/>
    <n v="1.242"/>
    <n v="130"/>
    <n v="0"/>
    <n v="0"/>
    <n v="1.242"/>
    <m/>
    <n v="130"/>
    <m/>
    <n v="161.46"/>
    <n v="0"/>
    <n v="57981.628760152016"/>
  </r>
  <r>
    <x v="50"/>
    <x v="4"/>
    <x v="71"/>
    <x v="0"/>
    <x v="1"/>
    <x v="355"/>
    <x v="25"/>
    <s v="NAKİT"/>
    <n v="0.26500000000000001"/>
    <n v="190"/>
    <n v="0"/>
    <n v="0"/>
    <n v="0.26500000000000001"/>
    <m/>
    <n v="190"/>
    <m/>
    <n v="50.35"/>
    <n v="0"/>
    <n v="58031.978760152015"/>
  </r>
  <r>
    <x v="50"/>
    <x v="4"/>
    <x v="247"/>
    <x v="0"/>
    <x v="1"/>
    <x v="355"/>
    <x v="25"/>
    <s v="NAKİT"/>
    <n v="1"/>
    <n v="90"/>
    <n v="0"/>
    <n v="0"/>
    <n v="1"/>
    <m/>
    <n v="90"/>
    <m/>
    <n v="90"/>
    <n v="0"/>
    <n v="58121.978760152015"/>
  </r>
  <r>
    <x v="50"/>
    <x v="4"/>
    <x v="85"/>
    <x v="0"/>
    <x v="5"/>
    <x v="356"/>
    <x v="25"/>
    <s v="POS"/>
    <n v="0.69"/>
    <n v="290"/>
    <n v="200.1"/>
    <n v="0"/>
    <n v="0.69"/>
    <m/>
    <n v="290"/>
    <m/>
    <n v="0"/>
    <n v="0"/>
    <n v="58121.978760152015"/>
  </r>
  <r>
    <x v="50"/>
    <x v="4"/>
    <x v="101"/>
    <x v="0"/>
    <x v="5"/>
    <x v="356"/>
    <x v="25"/>
    <s v="POS"/>
    <n v="0.2"/>
    <n v="150"/>
    <n v="30"/>
    <n v="0"/>
    <n v="0.2"/>
    <m/>
    <n v="150"/>
    <m/>
    <n v="0"/>
    <n v="0"/>
    <n v="58121.978760152015"/>
  </r>
  <r>
    <x v="50"/>
    <x v="4"/>
    <x v="33"/>
    <x v="0"/>
    <x v="1"/>
    <x v="357"/>
    <x v="25"/>
    <s v="NAKİT"/>
    <n v="0.3"/>
    <n v="380"/>
    <n v="0"/>
    <n v="0"/>
    <n v="0.3"/>
    <m/>
    <n v="380"/>
    <m/>
    <n v="114"/>
    <n v="0"/>
    <n v="58235.978760152015"/>
  </r>
  <r>
    <x v="50"/>
    <x v="4"/>
    <x v="56"/>
    <x v="0"/>
    <x v="1"/>
    <x v="358"/>
    <x v="68"/>
    <s v="NAKİT"/>
    <n v="1.1499999999999999"/>
    <n v="180"/>
    <n v="0"/>
    <n v="0"/>
    <n v="1.1499999999999999"/>
    <m/>
    <n v="180"/>
    <m/>
    <n v="206.99999999999997"/>
    <n v="0"/>
    <n v="58442.978760152015"/>
  </r>
  <r>
    <x v="50"/>
    <x v="4"/>
    <x v="59"/>
    <x v="0"/>
    <x v="1"/>
    <x v="358"/>
    <x v="68"/>
    <s v="NAKİT"/>
    <n v="0.20499999999999999"/>
    <n v="420"/>
    <n v="0"/>
    <n v="0"/>
    <n v="0.20499999999999999"/>
    <m/>
    <n v="420"/>
    <m/>
    <n v="86.1"/>
    <n v="0"/>
    <n v="58529.078760152013"/>
  </r>
  <r>
    <x v="50"/>
    <x v="4"/>
    <x v="42"/>
    <x v="0"/>
    <x v="1"/>
    <x v="358"/>
    <x v="68"/>
    <s v="NAKİT"/>
    <n v="1"/>
    <n v="80"/>
    <n v="0"/>
    <n v="0"/>
    <n v="1"/>
    <m/>
    <n v="80"/>
    <m/>
    <n v="80"/>
    <n v="0"/>
    <n v="58609.078760152013"/>
  </r>
  <r>
    <x v="50"/>
    <x v="4"/>
    <x v="241"/>
    <x v="0"/>
    <x v="1"/>
    <x v="358"/>
    <x v="68"/>
    <s v="NAKİT"/>
    <n v="1.17"/>
    <n v="60"/>
    <n v="0"/>
    <n v="0"/>
    <n v="1.17"/>
    <m/>
    <n v="60"/>
    <m/>
    <n v="70.199999999999989"/>
    <n v="0"/>
    <n v="58679.27876015201"/>
  </r>
  <r>
    <x v="50"/>
    <x v="4"/>
    <x v="164"/>
    <x v="0"/>
    <x v="1"/>
    <x v="358"/>
    <x v="68"/>
    <s v="NAKİT"/>
    <n v="1"/>
    <n v="40"/>
    <n v="0"/>
    <n v="0"/>
    <n v="1"/>
    <m/>
    <n v="40"/>
    <m/>
    <n v="40"/>
    <n v="0"/>
    <n v="58719.27876015201"/>
  </r>
  <r>
    <x v="50"/>
    <x v="4"/>
    <x v="158"/>
    <x v="0"/>
    <x v="1"/>
    <x v="359"/>
    <x v="25"/>
    <s v="NAKİT"/>
    <n v="1"/>
    <n v="15"/>
    <n v="0"/>
    <n v="0"/>
    <n v="1"/>
    <m/>
    <n v="15"/>
    <m/>
    <n v="15"/>
    <n v="0"/>
    <n v="58734.27876015201"/>
  </r>
  <r>
    <x v="50"/>
    <x v="4"/>
    <x v="141"/>
    <x v="0"/>
    <x v="5"/>
    <x v="360"/>
    <x v="25"/>
    <s v="POS"/>
    <n v="1"/>
    <n v="140"/>
    <n v="140"/>
    <n v="0"/>
    <n v="1"/>
    <m/>
    <n v="140"/>
    <m/>
    <n v="0"/>
    <n v="0"/>
    <n v="58734.27876015201"/>
  </r>
  <r>
    <x v="50"/>
    <x v="4"/>
    <x v="90"/>
    <x v="0"/>
    <x v="1"/>
    <x v="361"/>
    <x v="25"/>
    <s v="NAKİT"/>
    <n v="2"/>
    <n v="225"/>
    <n v="0"/>
    <n v="0"/>
    <n v="2"/>
    <m/>
    <n v="225"/>
    <m/>
    <n v="450"/>
    <n v="0"/>
    <n v="59184.27876015201"/>
  </r>
  <r>
    <x v="50"/>
    <x v="4"/>
    <x v="250"/>
    <x v="0"/>
    <x v="1"/>
    <x v="362"/>
    <x v="25"/>
    <s v="NAKİT"/>
    <n v="1"/>
    <n v="110"/>
    <n v="0"/>
    <n v="0"/>
    <n v="1"/>
    <m/>
    <n v="110"/>
    <m/>
    <n v="110"/>
    <n v="0"/>
    <n v="59294.27876015201"/>
  </r>
  <r>
    <x v="50"/>
    <x v="4"/>
    <x v="112"/>
    <x v="0"/>
    <x v="1"/>
    <x v="362"/>
    <x v="25"/>
    <s v="NAKİT"/>
    <n v="0.04"/>
    <n v="2250"/>
    <n v="0"/>
    <n v="0"/>
    <n v="1"/>
    <m/>
    <n v="90"/>
    <m/>
    <n v="90"/>
    <n v="0"/>
    <n v="59384.27876015201"/>
  </r>
  <r>
    <x v="50"/>
    <x v="4"/>
    <x v="112"/>
    <x v="0"/>
    <x v="1"/>
    <x v="362"/>
    <x v="25"/>
    <s v="NAKİT"/>
    <n v="0.04"/>
    <n v="1250"/>
    <n v="0"/>
    <n v="0"/>
    <n v="1"/>
    <m/>
    <n v="50"/>
    <m/>
    <n v="50"/>
    <n v="0"/>
    <n v="59434.27876015201"/>
  </r>
  <r>
    <x v="50"/>
    <x v="4"/>
    <x v="25"/>
    <x v="0"/>
    <x v="1"/>
    <x v="363"/>
    <x v="25"/>
    <s v="NAKİT"/>
    <n v="0.51500000000000001"/>
    <n v="390"/>
    <n v="0"/>
    <n v="0"/>
    <n v="0.51500000000000001"/>
    <m/>
    <n v="390"/>
    <m/>
    <n v="200.85"/>
    <n v="0"/>
    <n v="59635.128760152009"/>
  </r>
  <r>
    <x v="50"/>
    <x v="4"/>
    <x v="239"/>
    <x v="0"/>
    <x v="1"/>
    <x v="364"/>
    <x v="25"/>
    <s v="NAKİT"/>
    <n v="0.5"/>
    <n v="400"/>
    <n v="0"/>
    <n v="0"/>
    <n v="0.5"/>
    <m/>
    <n v="400"/>
    <m/>
    <n v="200"/>
    <n v="0"/>
    <n v="59835.128760152009"/>
  </r>
  <r>
    <x v="50"/>
    <x v="4"/>
    <x v="150"/>
    <x v="0"/>
    <x v="1"/>
    <x v="365"/>
    <x v="25"/>
    <s v="NAKİT"/>
    <n v="2"/>
    <n v="290"/>
    <n v="0"/>
    <n v="0"/>
    <n v="2"/>
    <m/>
    <n v="290"/>
    <m/>
    <n v="580"/>
    <n v="0"/>
    <n v="60415.128760152009"/>
  </r>
  <r>
    <x v="50"/>
    <x v="4"/>
    <x v="111"/>
    <x v="0"/>
    <x v="1"/>
    <x v="365"/>
    <x v="25"/>
    <s v="NAKİT"/>
    <n v="0.43"/>
    <n v="350"/>
    <n v="0"/>
    <n v="0"/>
    <n v="0.43"/>
    <m/>
    <n v="350"/>
    <m/>
    <n v="150.5"/>
    <n v="0"/>
    <n v="60565.628760152009"/>
  </r>
  <r>
    <x v="50"/>
    <x v="4"/>
    <x v="28"/>
    <x v="0"/>
    <x v="1"/>
    <x v="366"/>
    <x v="25"/>
    <s v="NAKİT"/>
    <n v="0.154"/>
    <n v="500"/>
    <n v="0"/>
    <n v="0"/>
    <n v="0.154"/>
    <m/>
    <n v="500"/>
    <m/>
    <n v="77"/>
    <n v="0"/>
    <n v="60642.628760152009"/>
  </r>
  <r>
    <x v="50"/>
    <x v="4"/>
    <x v="24"/>
    <x v="0"/>
    <x v="1"/>
    <x v="366"/>
    <x v="25"/>
    <s v="NAKİT"/>
    <n v="0.128"/>
    <n v="640"/>
    <n v="0"/>
    <n v="0"/>
    <n v="0.128"/>
    <m/>
    <n v="640"/>
    <m/>
    <n v="81.92"/>
    <n v="0"/>
    <n v="60724.548760152007"/>
  </r>
  <r>
    <x v="50"/>
    <x v="4"/>
    <x v="25"/>
    <x v="0"/>
    <x v="1"/>
    <x v="366"/>
    <x v="25"/>
    <s v="NAKİT"/>
    <n v="0.11600000000000001"/>
    <n v="390"/>
    <n v="0"/>
    <n v="0"/>
    <n v="0.11600000000000001"/>
    <m/>
    <n v="390"/>
    <m/>
    <n v="45.24"/>
    <n v="0"/>
    <n v="60769.788760152005"/>
  </r>
  <r>
    <x v="50"/>
    <x v="4"/>
    <x v="76"/>
    <x v="0"/>
    <x v="1"/>
    <x v="366"/>
    <x v="25"/>
    <s v="NAKİT"/>
    <n v="0.5"/>
    <n v="80"/>
    <n v="0"/>
    <n v="0"/>
    <n v="1"/>
    <m/>
    <n v="40"/>
    <m/>
    <n v="40"/>
    <n v="0"/>
    <n v="60809.788760152005"/>
  </r>
  <r>
    <x v="50"/>
    <x v="4"/>
    <x v="36"/>
    <x v="0"/>
    <x v="1"/>
    <x v="366"/>
    <x v="25"/>
    <s v="NAKİT"/>
    <n v="0.25"/>
    <n v="180"/>
    <n v="0"/>
    <n v="0"/>
    <n v="1"/>
    <m/>
    <n v="45"/>
    <m/>
    <n v="45"/>
    <n v="0"/>
    <n v="60854.788760152005"/>
  </r>
  <r>
    <x v="50"/>
    <x v="4"/>
    <x v="58"/>
    <x v="0"/>
    <x v="1"/>
    <x v="366"/>
    <x v="25"/>
    <s v="NAKİT"/>
    <n v="1"/>
    <n v="200"/>
    <n v="0"/>
    <n v="0"/>
    <n v="1"/>
    <m/>
    <n v="200"/>
    <m/>
    <n v="200"/>
    <n v="0"/>
    <n v="61054.788760152005"/>
  </r>
  <r>
    <x v="50"/>
    <x v="4"/>
    <x v="21"/>
    <x v="0"/>
    <x v="1"/>
    <x v="366"/>
    <x v="25"/>
    <s v="NAKİT"/>
    <n v="0.5"/>
    <n v="260"/>
    <n v="0"/>
    <n v="0"/>
    <n v="0.5"/>
    <m/>
    <n v="260"/>
    <m/>
    <n v="130"/>
    <n v="0"/>
    <n v="61184.788760152005"/>
  </r>
  <r>
    <x v="50"/>
    <x v="4"/>
    <x v="85"/>
    <x v="0"/>
    <x v="1"/>
    <x v="366"/>
    <x v="25"/>
    <s v="NAKİT"/>
    <n v="0.5"/>
    <n v="290"/>
    <n v="0"/>
    <n v="0"/>
    <n v="0.5"/>
    <m/>
    <n v="290"/>
    <m/>
    <n v="145"/>
    <n v="0"/>
    <n v="61329.788760152005"/>
  </r>
  <r>
    <x v="50"/>
    <x v="4"/>
    <x v="249"/>
    <x v="0"/>
    <x v="1"/>
    <x v="366"/>
    <x v="25"/>
    <s v="NAKİT"/>
    <n v="1"/>
    <n v="125"/>
    <n v="0"/>
    <n v="0"/>
    <n v="1"/>
    <m/>
    <n v="125"/>
    <m/>
    <n v="125"/>
    <n v="0"/>
    <n v="61454.788760152005"/>
  </r>
  <r>
    <x v="50"/>
    <x v="4"/>
    <x v="199"/>
    <x v="0"/>
    <x v="1"/>
    <x v="366"/>
    <x v="25"/>
    <s v="NAKİT"/>
    <n v="1"/>
    <n v="130"/>
    <n v="0"/>
    <n v="0"/>
    <n v="1"/>
    <m/>
    <n v="130"/>
    <m/>
    <n v="130"/>
    <n v="0"/>
    <n v="61584.788760152005"/>
  </r>
  <r>
    <x v="50"/>
    <x v="4"/>
    <x v="100"/>
    <x v="0"/>
    <x v="1"/>
    <x v="366"/>
    <x v="25"/>
    <s v="NAKİT"/>
    <n v="0.34799999999999998"/>
    <n v="650"/>
    <n v="0"/>
    <n v="0"/>
    <n v="0.34799999999999998"/>
    <m/>
    <n v="650"/>
    <m/>
    <n v="226.2"/>
    <n v="0"/>
    <n v="61810.988760152002"/>
  </r>
  <r>
    <x v="50"/>
    <x v="4"/>
    <x v="238"/>
    <x v="0"/>
    <x v="1"/>
    <x v="366"/>
    <x v="25"/>
    <s v="NAKİT"/>
    <n v="0.44"/>
    <n v="340"/>
    <n v="0"/>
    <n v="0"/>
    <n v="0.44"/>
    <m/>
    <n v="340"/>
    <m/>
    <n v="149.6"/>
    <n v="0"/>
    <n v="61960.588760152001"/>
  </r>
  <r>
    <x v="50"/>
    <x v="4"/>
    <x v="38"/>
    <x v="0"/>
    <x v="1"/>
    <x v="366"/>
    <x v="25"/>
    <s v="NAKİT"/>
    <n v="0.1"/>
    <n v="650"/>
    <n v="0"/>
    <n v="0"/>
    <n v="1"/>
    <m/>
    <n v="65"/>
    <m/>
    <n v="65"/>
    <n v="0"/>
    <n v="62025.588760152001"/>
  </r>
  <r>
    <x v="50"/>
    <x v="4"/>
    <x v="75"/>
    <x v="0"/>
    <x v="1"/>
    <x v="366"/>
    <x v="25"/>
    <s v="NAKİT"/>
    <n v="0.12"/>
    <n v="800"/>
    <n v="0"/>
    <n v="0"/>
    <n v="0.12"/>
    <m/>
    <n v="800"/>
    <m/>
    <n v="96"/>
    <n v="0"/>
    <n v="62121.588760152001"/>
  </r>
  <r>
    <x v="50"/>
    <x v="10"/>
    <x v="0"/>
    <x v="0"/>
    <x v="5"/>
    <x v="2"/>
    <x v="63"/>
    <s v="POS"/>
    <n v="1"/>
    <n v="1915"/>
    <n v="0"/>
    <n v="1915"/>
    <m/>
    <m/>
    <m/>
    <m/>
    <n v="1915"/>
    <n v="0"/>
    <n v="64036.588760152001"/>
  </r>
  <r>
    <x v="51"/>
    <x v="4"/>
    <x v="233"/>
    <x v="0"/>
    <x v="5"/>
    <x v="367"/>
    <x v="25"/>
    <s v="POS"/>
    <n v="1"/>
    <n v="400"/>
    <n v="400"/>
    <n v="0"/>
    <n v="1"/>
    <m/>
    <n v="400"/>
    <m/>
    <n v="0"/>
    <n v="0"/>
    <n v="64036.588760152001"/>
  </r>
  <r>
    <x v="51"/>
    <x v="4"/>
    <x v="89"/>
    <x v="0"/>
    <x v="1"/>
    <x v="368"/>
    <x v="25"/>
    <s v="NAKİT"/>
    <n v="0.112"/>
    <n v="900"/>
    <n v="0"/>
    <n v="0"/>
    <m/>
    <m/>
    <m/>
    <m/>
    <n v="100.8"/>
    <n v="0"/>
    <n v="64137.388760152004"/>
  </r>
  <r>
    <x v="51"/>
    <x v="4"/>
    <x v="23"/>
    <x v="0"/>
    <x v="1"/>
    <x v="368"/>
    <x v="25"/>
    <s v="NAKİT"/>
    <n v="0.12"/>
    <n v="250"/>
    <n v="0"/>
    <n v="0"/>
    <m/>
    <m/>
    <m/>
    <m/>
    <n v="30"/>
    <n v="0"/>
    <n v="64167.388760152004"/>
  </r>
  <r>
    <x v="51"/>
    <x v="4"/>
    <x v="58"/>
    <x v="0"/>
    <x v="5"/>
    <x v="369"/>
    <x v="25"/>
    <s v="POS"/>
    <n v="1"/>
    <n v="200"/>
    <n v="200"/>
    <n v="0"/>
    <m/>
    <m/>
    <m/>
    <m/>
    <n v="0"/>
    <n v="0"/>
    <n v="64167.388760152004"/>
  </r>
  <r>
    <x v="51"/>
    <x v="4"/>
    <x v="18"/>
    <x v="0"/>
    <x v="5"/>
    <x v="369"/>
    <x v="25"/>
    <s v="POS"/>
    <n v="1"/>
    <n v="240"/>
    <n v="240"/>
    <n v="0"/>
    <m/>
    <m/>
    <m/>
    <m/>
    <n v="0"/>
    <n v="0"/>
    <n v="64167.388760152004"/>
  </r>
  <r>
    <x v="51"/>
    <x v="4"/>
    <x v="50"/>
    <x v="0"/>
    <x v="5"/>
    <x v="369"/>
    <x v="25"/>
    <s v="POS"/>
    <n v="0.1"/>
    <n v="650"/>
    <n v="65"/>
    <n v="0"/>
    <m/>
    <m/>
    <m/>
    <m/>
    <n v="0"/>
    <n v="0"/>
    <n v="64167.388760152004"/>
  </r>
  <r>
    <x v="51"/>
    <x v="4"/>
    <x v="158"/>
    <x v="0"/>
    <x v="1"/>
    <x v="370"/>
    <x v="25"/>
    <s v="NAKİT"/>
    <n v="2"/>
    <n v="15"/>
    <n v="0"/>
    <n v="0"/>
    <m/>
    <m/>
    <m/>
    <m/>
    <n v="30"/>
    <n v="0"/>
    <n v="64197.388760152004"/>
  </r>
  <r>
    <x v="51"/>
    <x v="4"/>
    <x v="248"/>
    <x v="0"/>
    <x v="1"/>
    <x v="370"/>
    <x v="25"/>
    <s v="NAKİT"/>
    <n v="7.0000000000000007E-2"/>
    <n v="750"/>
    <n v="0"/>
    <n v="0"/>
    <m/>
    <m/>
    <m/>
    <m/>
    <n v="52.500000000000007"/>
    <n v="0"/>
    <n v="64249.888760152004"/>
  </r>
  <r>
    <x v="51"/>
    <x v="4"/>
    <x v="233"/>
    <x v="0"/>
    <x v="5"/>
    <x v="371"/>
    <x v="25"/>
    <s v="POS"/>
    <n v="1"/>
    <n v="400"/>
    <n v="400"/>
    <n v="0"/>
    <m/>
    <m/>
    <m/>
    <m/>
    <n v="0"/>
    <n v="0"/>
    <n v="64249.888760152004"/>
  </r>
  <r>
    <x v="51"/>
    <x v="4"/>
    <x v="157"/>
    <x v="0"/>
    <x v="5"/>
    <x v="371"/>
    <x v="25"/>
    <s v="POS"/>
    <n v="0.1"/>
    <n v="200"/>
    <n v="20"/>
    <n v="0"/>
    <m/>
    <m/>
    <m/>
    <m/>
    <n v="0"/>
    <n v="0"/>
    <n v="64249.888760152004"/>
  </r>
  <r>
    <x v="51"/>
    <x v="4"/>
    <x v="109"/>
    <x v="0"/>
    <x v="5"/>
    <x v="371"/>
    <x v="25"/>
    <s v="POS"/>
    <n v="1"/>
    <n v="180"/>
    <n v="180"/>
    <n v="0"/>
    <m/>
    <m/>
    <m/>
    <m/>
    <n v="0"/>
    <n v="0"/>
    <n v="64249.888760152004"/>
  </r>
  <r>
    <x v="51"/>
    <x v="4"/>
    <x v="138"/>
    <x v="0"/>
    <x v="5"/>
    <x v="371"/>
    <x v="25"/>
    <s v="POS"/>
    <n v="1"/>
    <n v="140"/>
    <n v="140"/>
    <n v="0"/>
    <m/>
    <m/>
    <m/>
    <m/>
    <n v="0"/>
    <n v="0"/>
    <n v="64249.888760152004"/>
  </r>
  <r>
    <x v="51"/>
    <x v="4"/>
    <x v="98"/>
    <x v="0"/>
    <x v="1"/>
    <x v="372"/>
    <x v="25"/>
    <s v="NAKİT"/>
    <n v="0.215"/>
    <n v="700"/>
    <n v="0"/>
    <n v="0"/>
    <m/>
    <m/>
    <m/>
    <m/>
    <n v="150.5"/>
    <n v="0"/>
    <n v="64400.388760152004"/>
  </r>
  <r>
    <x v="51"/>
    <x v="4"/>
    <x v="24"/>
    <x v="0"/>
    <x v="1"/>
    <x v="373"/>
    <x v="25"/>
    <s v="NAKİT"/>
    <n v="0.157"/>
    <n v="640"/>
    <n v="0"/>
    <n v="0"/>
    <m/>
    <m/>
    <m/>
    <m/>
    <n v="100.48"/>
    <n v="0"/>
    <n v="64500.868760152007"/>
  </r>
  <r>
    <x v="51"/>
    <x v="4"/>
    <x v="117"/>
    <x v="0"/>
    <x v="1"/>
    <x v="373"/>
    <x v="25"/>
    <s v="NAKİT"/>
    <n v="0.28000000000000003"/>
    <n v="360"/>
    <n v="0"/>
    <n v="0"/>
    <m/>
    <m/>
    <m/>
    <m/>
    <n v="100.80000000000001"/>
    <n v="0"/>
    <n v="64601.66876015201"/>
  </r>
  <r>
    <x v="51"/>
    <x v="4"/>
    <x v="238"/>
    <x v="0"/>
    <x v="1"/>
    <x v="373"/>
    <x v="25"/>
    <s v="NAKİT"/>
    <n v="0.45800000000000002"/>
    <n v="340"/>
    <n v="0"/>
    <n v="0"/>
    <m/>
    <m/>
    <m/>
    <m/>
    <n v="155.72"/>
    <n v="0"/>
    <n v="64757.388760152011"/>
  </r>
  <r>
    <x v="51"/>
    <x v="4"/>
    <x v="72"/>
    <x v="0"/>
    <x v="1"/>
    <x v="374"/>
    <x v="25"/>
    <s v="NAKİT"/>
    <n v="0.05"/>
    <n v="1400"/>
    <n v="0"/>
    <n v="0"/>
    <m/>
    <m/>
    <m/>
    <m/>
    <n v="70"/>
    <n v="0"/>
    <n v="64827.388760152011"/>
  </r>
  <r>
    <x v="51"/>
    <x v="4"/>
    <x v="179"/>
    <x v="0"/>
    <x v="1"/>
    <x v="375"/>
    <x v="25"/>
    <s v="NAKİT"/>
    <n v="0.23599999999999999"/>
    <n v="850"/>
    <n v="0"/>
    <n v="0"/>
    <m/>
    <m/>
    <m/>
    <m/>
    <n v="200.6"/>
    <n v="0"/>
    <n v="65027.988760152009"/>
  </r>
  <r>
    <x v="51"/>
    <x v="4"/>
    <x v="242"/>
    <x v="0"/>
    <x v="1"/>
    <x v="375"/>
    <x v="25"/>
    <s v="NAKİT"/>
    <n v="0.26"/>
    <n v="195"/>
    <n v="0"/>
    <n v="0"/>
    <m/>
    <m/>
    <m/>
    <m/>
    <n v="50.7"/>
    <n v="0"/>
    <n v="65078.688760152007"/>
  </r>
  <r>
    <x v="51"/>
    <x v="4"/>
    <x v="238"/>
    <x v="0"/>
    <x v="1"/>
    <x v="375"/>
    <x v="25"/>
    <s v="NAKİT"/>
    <n v="0.439"/>
    <n v="340"/>
    <n v="0"/>
    <n v="0"/>
    <m/>
    <m/>
    <m/>
    <m/>
    <n v="149.26"/>
    <n v="0"/>
    <n v="65227.948760152009"/>
  </r>
  <r>
    <x v="51"/>
    <x v="4"/>
    <x v="101"/>
    <x v="0"/>
    <x v="1"/>
    <x v="375"/>
    <x v="25"/>
    <s v="NAKİT"/>
    <n v="0.27500000000000002"/>
    <n v="150"/>
    <n v="0"/>
    <n v="0"/>
    <m/>
    <m/>
    <m/>
    <m/>
    <n v="41.25"/>
    <n v="0"/>
    <n v="65269.198760152009"/>
  </r>
  <r>
    <x v="51"/>
    <x v="4"/>
    <x v="59"/>
    <x v="0"/>
    <x v="1"/>
    <x v="376"/>
    <x v="25"/>
    <s v="NAKİT"/>
    <n v="0.24"/>
    <n v="420"/>
    <n v="0"/>
    <n v="0"/>
    <m/>
    <m/>
    <m/>
    <m/>
    <n v="100.8"/>
    <n v="0"/>
    <n v="65369.998760152012"/>
  </r>
  <r>
    <x v="51"/>
    <x v="4"/>
    <x v="31"/>
    <x v="0"/>
    <x v="1"/>
    <x v="376"/>
    <x v="25"/>
    <s v="NAKİT"/>
    <n v="0.26500000000000001"/>
    <n v="380"/>
    <n v="0"/>
    <n v="0"/>
    <m/>
    <m/>
    <m/>
    <m/>
    <n v="100.7"/>
    <n v="0"/>
    <n v="65470.698760152009"/>
  </r>
  <r>
    <x v="51"/>
    <x v="4"/>
    <x v="83"/>
    <x v="0"/>
    <x v="1"/>
    <x v="376"/>
    <x v="25"/>
    <s v="NAKİT"/>
    <n v="0.05"/>
    <n v="2600"/>
    <n v="0"/>
    <n v="0"/>
    <m/>
    <m/>
    <m/>
    <m/>
    <n v="130"/>
    <n v="0"/>
    <n v="65600.698760152009"/>
  </r>
  <r>
    <x v="51"/>
    <x v="4"/>
    <x v="19"/>
    <x v="0"/>
    <x v="1"/>
    <x v="376"/>
    <x v="25"/>
    <s v="NAKİT"/>
    <n v="1"/>
    <n v="200"/>
    <n v="0"/>
    <n v="0"/>
    <m/>
    <m/>
    <m/>
    <m/>
    <n v="200"/>
    <n v="0"/>
    <n v="65800.698760152009"/>
  </r>
  <r>
    <x v="51"/>
    <x v="4"/>
    <x v="116"/>
    <x v="0"/>
    <x v="1"/>
    <x v="377"/>
    <x v="25"/>
    <s v="NAKİT"/>
    <n v="0.28000000000000003"/>
    <n v="360"/>
    <n v="0"/>
    <n v="0"/>
    <m/>
    <m/>
    <m/>
    <m/>
    <n v="100.80000000000001"/>
    <n v="0"/>
    <n v="65901.498760152012"/>
  </r>
  <r>
    <x v="51"/>
    <x v="10"/>
    <x v="0"/>
    <x v="0"/>
    <x v="5"/>
    <x v="2"/>
    <x v="63"/>
    <s v="POS"/>
    <n v="1"/>
    <n v="580"/>
    <n v="0"/>
    <n v="580"/>
    <m/>
    <m/>
    <m/>
    <m/>
    <n v="580"/>
    <n v="0"/>
    <n v="66481.498760152012"/>
  </r>
  <r>
    <x v="51"/>
    <x v="10"/>
    <x v="0"/>
    <x v="0"/>
    <x v="5"/>
    <x v="2"/>
    <x v="63"/>
    <s v="POS"/>
    <n v="1"/>
    <n v="400"/>
    <n v="0"/>
    <n v="400"/>
    <m/>
    <m/>
    <m/>
    <m/>
    <n v="400"/>
    <n v="0"/>
    <n v="66881.498760152012"/>
  </r>
  <r>
    <x v="52"/>
    <x v="1"/>
    <x v="0"/>
    <x v="10"/>
    <x v="2"/>
    <x v="378"/>
    <x v="69"/>
    <s v="K.K."/>
    <n v="1"/>
    <n v="3138"/>
    <n v="0"/>
    <n v="3138"/>
    <m/>
    <m/>
    <m/>
    <m/>
    <n v="0"/>
    <n v="0"/>
    <n v="66881.498760152012"/>
  </r>
  <r>
    <x v="52"/>
    <x v="6"/>
    <x v="69"/>
    <x v="0"/>
    <x v="4"/>
    <x v="379"/>
    <x v="32"/>
    <s v="CARİ"/>
    <n v="1"/>
    <n v="295"/>
    <n v="295"/>
    <n v="0"/>
    <m/>
    <m/>
    <m/>
    <m/>
    <n v="0"/>
    <n v="0"/>
    <n v="66881.498760152012"/>
  </r>
  <r>
    <x v="52"/>
    <x v="6"/>
    <x v="134"/>
    <x v="0"/>
    <x v="4"/>
    <x v="379"/>
    <x v="32"/>
    <s v="CARİ"/>
    <n v="3.37"/>
    <n v="470"/>
    <n v="1583.4"/>
    <n v="0"/>
    <m/>
    <m/>
    <m/>
    <m/>
    <n v="0"/>
    <n v="0"/>
    <n v="66881.498760152012"/>
  </r>
  <r>
    <x v="52"/>
    <x v="3"/>
    <x v="283"/>
    <x v="0"/>
    <x v="4"/>
    <x v="379"/>
    <x v="32"/>
    <s v="CARİ"/>
    <n v="2"/>
    <n v="95"/>
    <n v="0"/>
    <n v="190"/>
    <m/>
    <m/>
    <m/>
    <m/>
    <n v="0"/>
    <n v="0"/>
    <n v="66881.498760152012"/>
  </r>
  <r>
    <x v="52"/>
    <x v="3"/>
    <x v="90"/>
    <x v="0"/>
    <x v="4"/>
    <x v="379"/>
    <x v="32"/>
    <s v="CARİ"/>
    <n v="10"/>
    <n v="125"/>
    <n v="0"/>
    <n v="1250"/>
    <m/>
    <m/>
    <m/>
    <m/>
    <n v="0"/>
    <n v="0"/>
    <n v="66881.498760152012"/>
  </r>
  <r>
    <x v="52"/>
    <x v="3"/>
    <x v="241"/>
    <x v="0"/>
    <x v="4"/>
    <x v="379"/>
    <x v="32"/>
    <s v="CARİ"/>
    <n v="10"/>
    <n v="33"/>
    <n v="0"/>
    <n v="330"/>
    <m/>
    <m/>
    <m/>
    <m/>
    <n v="0"/>
    <n v="0"/>
    <n v="66881.498760152012"/>
  </r>
  <r>
    <x v="52"/>
    <x v="3"/>
    <x v="141"/>
    <x v="0"/>
    <x v="4"/>
    <x v="379"/>
    <x v="32"/>
    <s v="CARİ"/>
    <n v="20"/>
    <n v="48"/>
    <n v="0"/>
    <n v="960"/>
    <m/>
    <m/>
    <m/>
    <m/>
    <n v="0"/>
    <n v="0"/>
    <n v="66881.498760152012"/>
  </r>
  <r>
    <x v="52"/>
    <x v="3"/>
    <x v="284"/>
    <x v="0"/>
    <x v="4"/>
    <x v="379"/>
    <x v="32"/>
    <s v="CARİ"/>
    <n v="6"/>
    <n v="275"/>
    <n v="0"/>
    <n v="1650"/>
    <m/>
    <m/>
    <m/>
    <m/>
    <n v="0"/>
    <n v="0"/>
    <n v="66881.498760152012"/>
  </r>
  <r>
    <x v="52"/>
    <x v="3"/>
    <x v="285"/>
    <x v="0"/>
    <x v="4"/>
    <x v="379"/>
    <x v="32"/>
    <s v="CARİ"/>
    <n v="1"/>
    <n v="160"/>
    <n v="0"/>
    <n v="160"/>
    <m/>
    <m/>
    <m/>
    <m/>
    <n v="0"/>
    <n v="0"/>
    <n v="66881.498760152012"/>
  </r>
  <r>
    <x v="52"/>
    <x v="3"/>
    <x v="244"/>
    <x v="0"/>
    <x v="4"/>
    <x v="379"/>
    <x v="32"/>
    <s v="CARİ"/>
    <n v="10"/>
    <n v="63"/>
    <n v="0"/>
    <n v="630"/>
    <m/>
    <m/>
    <m/>
    <m/>
    <n v="0"/>
    <n v="0"/>
    <n v="66881.498760152012"/>
  </r>
  <r>
    <x v="52"/>
    <x v="4"/>
    <x v="58"/>
    <x v="0"/>
    <x v="5"/>
    <x v="380"/>
    <x v="25"/>
    <s v="POS"/>
    <n v="1"/>
    <n v="200"/>
    <n v="200"/>
    <n v="0"/>
    <m/>
    <m/>
    <m/>
    <m/>
    <n v="0"/>
    <n v="0"/>
    <n v="66881.498760152012"/>
  </r>
  <r>
    <x v="52"/>
    <x v="4"/>
    <x v="18"/>
    <x v="0"/>
    <x v="5"/>
    <x v="380"/>
    <x v="25"/>
    <s v="POS"/>
    <n v="1"/>
    <n v="240"/>
    <n v="240"/>
    <n v="0"/>
    <m/>
    <m/>
    <m/>
    <m/>
    <n v="0"/>
    <n v="0"/>
    <n v="66881.498760152012"/>
  </r>
  <r>
    <x v="52"/>
    <x v="4"/>
    <x v="113"/>
    <x v="0"/>
    <x v="1"/>
    <x v="381"/>
    <x v="25"/>
    <s v="NAKİT"/>
    <n v="0.1"/>
    <n v="1350"/>
    <n v="0"/>
    <n v="0"/>
    <m/>
    <m/>
    <m/>
    <m/>
    <n v="135"/>
    <n v="0"/>
    <n v="67016.498760152012"/>
  </r>
  <r>
    <x v="52"/>
    <x v="4"/>
    <x v="238"/>
    <x v="0"/>
    <x v="1"/>
    <x v="381"/>
    <x v="25"/>
    <s v="NAKİT"/>
    <n v="0.40600000000000003"/>
    <n v="340"/>
    <n v="0"/>
    <n v="0"/>
    <m/>
    <m/>
    <m/>
    <m/>
    <n v="138.04000000000002"/>
    <n v="0"/>
    <n v="67154.538760152005"/>
  </r>
  <r>
    <x v="52"/>
    <x v="4"/>
    <x v="189"/>
    <x v="0"/>
    <x v="1"/>
    <x v="381"/>
    <x v="25"/>
    <s v="NAKİT"/>
    <n v="1"/>
    <n v="220"/>
    <n v="0"/>
    <n v="0"/>
    <m/>
    <m/>
    <m/>
    <m/>
    <n v="220"/>
    <n v="0"/>
    <n v="67374.538760152005"/>
  </r>
  <r>
    <x v="52"/>
    <x v="4"/>
    <x v="18"/>
    <x v="0"/>
    <x v="5"/>
    <x v="382"/>
    <x v="25"/>
    <s v="POS"/>
    <n v="1"/>
    <n v="240"/>
    <n v="240"/>
    <n v="0"/>
    <m/>
    <m/>
    <m/>
    <m/>
    <n v="0"/>
    <n v="0"/>
    <n v="67374.538760152005"/>
  </r>
  <r>
    <x v="52"/>
    <x v="4"/>
    <x v="98"/>
    <x v="0"/>
    <x v="5"/>
    <x v="383"/>
    <x v="25"/>
    <s v="POS"/>
    <n v="0.26200000000000001"/>
    <n v="700"/>
    <n v="183.4"/>
    <n v="0"/>
    <m/>
    <m/>
    <m/>
    <m/>
    <n v="0"/>
    <n v="0"/>
    <n v="67374.538760152005"/>
  </r>
  <r>
    <x v="52"/>
    <x v="4"/>
    <x v="248"/>
    <x v="0"/>
    <x v="5"/>
    <x v="383"/>
    <x v="25"/>
    <s v="POS"/>
    <n v="0.25800000000000001"/>
    <n v="750"/>
    <n v="193.5"/>
    <n v="0"/>
    <m/>
    <m/>
    <m/>
    <m/>
    <n v="0"/>
    <n v="0"/>
    <n v="67374.538760152005"/>
  </r>
  <r>
    <x v="52"/>
    <x v="4"/>
    <x v="257"/>
    <x v="0"/>
    <x v="5"/>
    <x v="383"/>
    <x v="25"/>
    <s v="POS"/>
    <n v="1"/>
    <n v="130"/>
    <n v="130"/>
    <n v="0"/>
    <m/>
    <m/>
    <m/>
    <m/>
    <n v="0"/>
    <n v="0"/>
    <n v="67374.538760152005"/>
  </r>
  <r>
    <x v="52"/>
    <x v="4"/>
    <x v="263"/>
    <x v="0"/>
    <x v="5"/>
    <x v="383"/>
    <x v="25"/>
    <s v="POS"/>
    <n v="1"/>
    <n v="145"/>
    <n v="145"/>
    <n v="0"/>
    <m/>
    <m/>
    <m/>
    <m/>
    <n v="0"/>
    <n v="0"/>
    <n v="67374.538760152005"/>
  </r>
  <r>
    <x v="52"/>
    <x v="4"/>
    <x v="122"/>
    <x v="0"/>
    <x v="5"/>
    <x v="383"/>
    <x v="25"/>
    <s v="POS"/>
    <n v="0.5"/>
    <n v="1200"/>
    <n v="600"/>
    <n v="0"/>
    <m/>
    <m/>
    <m/>
    <m/>
    <n v="0"/>
    <n v="0"/>
    <n v="67374.538760152005"/>
  </r>
  <r>
    <x v="52"/>
    <x v="4"/>
    <x v="179"/>
    <x v="0"/>
    <x v="5"/>
    <x v="383"/>
    <x v="25"/>
    <s v="POS"/>
    <n v="0.47199999999999998"/>
    <n v="850"/>
    <n v="400"/>
    <n v="0"/>
    <m/>
    <m/>
    <m/>
    <m/>
    <n v="0"/>
    <n v="0"/>
    <n v="67374.538760152005"/>
  </r>
  <r>
    <x v="52"/>
    <x v="4"/>
    <x v="169"/>
    <x v="0"/>
    <x v="5"/>
    <x v="383"/>
    <x v="25"/>
    <s v="POS"/>
    <n v="0.30769999999999997"/>
    <n v="650"/>
    <n v="200.005"/>
    <n v="0"/>
    <m/>
    <m/>
    <m/>
    <m/>
    <n v="0"/>
    <n v="0"/>
    <n v="67374.538760152005"/>
  </r>
  <r>
    <x v="52"/>
    <x v="4"/>
    <x v="242"/>
    <x v="0"/>
    <x v="5"/>
    <x v="383"/>
    <x v="25"/>
    <s v="POS"/>
    <n v="0.26"/>
    <n v="195"/>
    <n v="50"/>
    <n v="0"/>
    <m/>
    <m/>
    <m/>
    <m/>
    <n v="0"/>
    <n v="0"/>
    <n v="67374.538760152005"/>
  </r>
  <r>
    <x v="52"/>
    <x v="4"/>
    <x v="242"/>
    <x v="0"/>
    <x v="5"/>
    <x v="384"/>
    <x v="25"/>
    <s v="POS"/>
    <n v="0.51300000000000001"/>
    <n v="195"/>
    <n v="100.035"/>
    <n v="0"/>
    <m/>
    <m/>
    <m/>
    <m/>
    <n v="0"/>
    <n v="0"/>
    <n v="67374.538760152005"/>
  </r>
  <r>
    <x v="52"/>
    <x v="4"/>
    <x v="243"/>
    <x v="0"/>
    <x v="5"/>
    <x v="384"/>
    <x v="25"/>
    <s v="POS"/>
    <n v="0.51300000000000001"/>
    <n v="195"/>
    <n v="100.035"/>
    <n v="0"/>
    <m/>
    <m/>
    <m/>
    <m/>
    <n v="0"/>
    <n v="0"/>
    <n v="67374.538760152005"/>
  </r>
  <r>
    <x v="52"/>
    <x v="4"/>
    <x v="142"/>
    <x v="0"/>
    <x v="5"/>
    <x v="384"/>
    <x v="25"/>
    <s v="POS"/>
    <n v="0.52"/>
    <n v="250"/>
    <n v="130"/>
    <n v="0"/>
    <m/>
    <m/>
    <m/>
    <m/>
    <n v="0"/>
    <n v="0"/>
    <n v="67374.538760152005"/>
  </r>
  <r>
    <x v="52"/>
    <x v="4"/>
    <x v="70"/>
    <x v="0"/>
    <x v="5"/>
    <x v="384"/>
    <x v="25"/>
    <s v="POS"/>
    <n v="0.26500000000000001"/>
    <n v="190"/>
    <n v="50.35"/>
    <n v="0"/>
    <m/>
    <m/>
    <m/>
    <m/>
    <n v="0"/>
    <n v="0"/>
    <n v="67374.538760152005"/>
  </r>
  <r>
    <x v="52"/>
    <x v="4"/>
    <x v="24"/>
    <x v="0"/>
    <x v="5"/>
    <x v="385"/>
    <x v="25"/>
    <s v="POS"/>
    <n v="0.09"/>
    <n v="640"/>
    <n v="57.599999999999994"/>
    <n v="0"/>
    <m/>
    <m/>
    <m/>
    <m/>
    <n v="0"/>
    <n v="0"/>
    <n v="67374.538760152005"/>
  </r>
  <r>
    <x v="52"/>
    <x v="4"/>
    <x v="30"/>
    <x v="0"/>
    <x v="5"/>
    <x v="385"/>
    <x v="25"/>
    <s v="POS"/>
    <n v="7.0000000000000007E-2"/>
    <n v="500"/>
    <n v="35"/>
    <n v="0"/>
    <m/>
    <m/>
    <m/>
    <m/>
    <n v="0"/>
    <n v="0"/>
    <n v="67374.538760152005"/>
  </r>
  <r>
    <x v="52"/>
    <x v="4"/>
    <x v="54"/>
    <x v="0"/>
    <x v="5"/>
    <x v="385"/>
    <x v="25"/>
    <s v="POS"/>
    <n v="0.1"/>
    <n v="400"/>
    <n v="40"/>
    <n v="0"/>
    <m/>
    <m/>
    <m/>
    <m/>
    <n v="0"/>
    <n v="0"/>
    <n v="67374.538760152005"/>
  </r>
  <r>
    <x v="52"/>
    <x v="4"/>
    <x v="64"/>
    <x v="0"/>
    <x v="5"/>
    <x v="385"/>
    <x v="25"/>
    <s v="POS"/>
    <n v="0.05"/>
    <n v="1770"/>
    <n v="88.5"/>
    <n v="0"/>
    <m/>
    <m/>
    <m/>
    <m/>
    <n v="0"/>
    <n v="0"/>
    <n v="67374.538760152005"/>
  </r>
  <r>
    <x v="52"/>
    <x v="4"/>
    <x v="18"/>
    <x v="0"/>
    <x v="5"/>
    <x v="386"/>
    <x v="25"/>
    <s v="POS"/>
    <n v="1"/>
    <n v="240"/>
    <n v="240"/>
    <n v="0"/>
    <m/>
    <m/>
    <m/>
    <m/>
    <n v="0"/>
    <n v="0"/>
    <n v="67374.538760152005"/>
  </r>
  <r>
    <x v="52"/>
    <x v="4"/>
    <x v="206"/>
    <x v="0"/>
    <x v="1"/>
    <x v="387"/>
    <x v="25"/>
    <s v="NAKİT"/>
    <n v="1"/>
    <n v="350"/>
    <n v="0"/>
    <n v="0"/>
    <m/>
    <m/>
    <m/>
    <m/>
    <n v="350"/>
    <n v="0"/>
    <n v="67724.538760152005"/>
  </r>
  <r>
    <x v="52"/>
    <x v="1"/>
    <x v="0"/>
    <x v="15"/>
    <x v="1"/>
    <x v="2"/>
    <x v="70"/>
    <s v="NAKİT"/>
    <n v="1"/>
    <n v="415"/>
    <n v="0"/>
    <n v="0"/>
    <m/>
    <m/>
    <m/>
    <m/>
    <n v="0"/>
    <n v="415"/>
    <n v="67309.538760152005"/>
  </r>
  <r>
    <x v="52"/>
    <x v="1"/>
    <x v="0"/>
    <x v="15"/>
    <x v="1"/>
    <x v="2"/>
    <x v="71"/>
    <s v="NAKİT"/>
    <n v="1"/>
    <n v="490"/>
    <n v="0"/>
    <n v="0"/>
    <m/>
    <m/>
    <m/>
    <m/>
    <n v="0"/>
    <n v="490"/>
    <n v="66819.538760152005"/>
  </r>
  <r>
    <x v="52"/>
    <x v="10"/>
    <x v="0"/>
    <x v="0"/>
    <x v="5"/>
    <x v="2"/>
    <x v="63"/>
    <s v="POS"/>
    <n v="1"/>
    <n v="600"/>
    <n v="0"/>
    <n v="600"/>
    <m/>
    <m/>
    <m/>
    <m/>
    <n v="600"/>
    <n v="0"/>
    <n v="67419.538760152005"/>
  </r>
  <r>
    <x v="52"/>
    <x v="1"/>
    <x v="0"/>
    <x v="13"/>
    <x v="1"/>
    <x v="2"/>
    <x v="72"/>
    <s v="NAKİT"/>
    <n v="1"/>
    <n v="665"/>
    <n v="0"/>
    <n v="0"/>
    <m/>
    <m/>
    <m/>
    <m/>
    <n v="0"/>
    <n v="665"/>
    <n v="66754.538760152005"/>
  </r>
  <r>
    <x v="52"/>
    <x v="10"/>
    <x v="0"/>
    <x v="0"/>
    <x v="5"/>
    <x v="2"/>
    <x v="72"/>
    <s v="POS"/>
    <n v="1"/>
    <n v="665"/>
    <n v="0"/>
    <n v="665"/>
    <n v="665"/>
    <m/>
    <m/>
    <m/>
    <n v="665"/>
    <n v="0"/>
    <n v="67419.538760152005"/>
  </r>
  <r>
    <x v="53"/>
    <x v="4"/>
    <x v="159"/>
    <x v="0"/>
    <x v="5"/>
    <x v="388"/>
    <x v="25"/>
    <s v="POS"/>
    <n v="1"/>
    <n v="100"/>
    <n v="100"/>
    <n v="0"/>
    <m/>
    <m/>
    <m/>
    <m/>
    <n v="0"/>
    <n v="0"/>
    <n v="67419.538760152005"/>
  </r>
  <r>
    <x v="53"/>
    <x v="4"/>
    <x v="72"/>
    <x v="0"/>
    <x v="5"/>
    <x v="388"/>
    <x v="25"/>
    <s v="POS"/>
    <n v="0.05"/>
    <n v="1400"/>
    <n v="70"/>
    <n v="0"/>
    <m/>
    <m/>
    <m/>
    <m/>
    <n v="0"/>
    <n v="0"/>
    <n v="67419.538760152005"/>
  </r>
  <r>
    <x v="53"/>
    <x v="4"/>
    <x v="141"/>
    <x v="0"/>
    <x v="5"/>
    <x v="388"/>
    <x v="25"/>
    <s v="POS"/>
    <n v="1"/>
    <n v="140"/>
    <n v="140"/>
    <n v="0"/>
    <m/>
    <m/>
    <m/>
    <m/>
    <n v="0"/>
    <n v="0"/>
    <n v="67419.538760152005"/>
  </r>
  <r>
    <x v="53"/>
    <x v="4"/>
    <x v="98"/>
    <x v="0"/>
    <x v="5"/>
    <x v="388"/>
    <x v="25"/>
    <s v="POS"/>
    <n v="0.24399999999999999"/>
    <n v="700"/>
    <n v="170.79999999999998"/>
    <n v="0"/>
    <m/>
    <m/>
    <m/>
    <m/>
    <n v="0"/>
    <n v="0"/>
    <n v="67419.538760152005"/>
  </r>
  <r>
    <x v="53"/>
    <x v="4"/>
    <x v="248"/>
    <x v="0"/>
    <x v="5"/>
    <x v="388"/>
    <x v="25"/>
    <s v="POS"/>
    <n v="0.25800000000000001"/>
    <n v="750"/>
    <n v="193.5"/>
    <n v="0"/>
    <m/>
    <m/>
    <m/>
    <m/>
    <n v="0"/>
    <n v="0"/>
    <n v="67419.538760152005"/>
  </r>
  <r>
    <x v="53"/>
    <x v="4"/>
    <x v="57"/>
    <x v="0"/>
    <x v="5"/>
    <x v="388"/>
    <x v="25"/>
    <s v="POS"/>
    <n v="1.1459999999999999"/>
    <n v="130"/>
    <n v="148.97999999999999"/>
    <n v="0"/>
    <m/>
    <m/>
    <m/>
    <m/>
    <n v="0"/>
    <n v="0"/>
    <n v="67419.538760152005"/>
  </r>
  <r>
    <x v="53"/>
    <x v="4"/>
    <x v="56"/>
    <x v="0"/>
    <x v="5"/>
    <x v="388"/>
    <x v="25"/>
    <s v="POS"/>
    <n v="0.60399999999999998"/>
    <n v="180"/>
    <n v="108.72"/>
    <n v="0"/>
    <m/>
    <m/>
    <m/>
    <m/>
    <n v="0"/>
    <n v="0"/>
    <n v="67419.538760152005"/>
  </r>
  <r>
    <x v="53"/>
    <x v="4"/>
    <x v="60"/>
    <x v="0"/>
    <x v="5"/>
    <x v="388"/>
    <x v="25"/>
    <s v="POS"/>
    <n v="0.1"/>
    <n v="250"/>
    <n v="25"/>
    <n v="0"/>
    <m/>
    <m/>
    <m/>
    <m/>
    <n v="0"/>
    <n v="0"/>
    <n v="67419.538760152005"/>
  </r>
  <r>
    <x v="53"/>
    <x v="4"/>
    <x v="57"/>
    <x v="0"/>
    <x v="5"/>
    <x v="389"/>
    <x v="25"/>
    <s v="POS"/>
    <n v="1.19"/>
    <n v="130"/>
    <n v="154.69999999999999"/>
    <n v="0"/>
    <m/>
    <m/>
    <m/>
    <m/>
    <n v="0"/>
    <n v="0"/>
    <n v="67419.538760152005"/>
  </r>
  <r>
    <x v="53"/>
    <x v="4"/>
    <x v="217"/>
    <x v="0"/>
    <x v="5"/>
    <x v="389"/>
    <x v="25"/>
    <s v="POS"/>
    <n v="1"/>
    <n v="220"/>
    <n v="220"/>
    <n v="0"/>
    <m/>
    <m/>
    <m/>
    <m/>
    <n v="0"/>
    <n v="0"/>
    <n v="67419.538760152005"/>
  </r>
  <r>
    <x v="53"/>
    <x v="4"/>
    <x v="60"/>
    <x v="0"/>
    <x v="5"/>
    <x v="389"/>
    <x v="25"/>
    <s v="POS"/>
    <n v="0.1"/>
    <n v="250"/>
    <n v="25"/>
    <n v="0"/>
    <m/>
    <m/>
    <m/>
    <m/>
    <n v="0"/>
    <n v="0"/>
    <n v="67419.538760152005"/>
  </r>
  <r>
    <x v="53"/>
    <x v="4"/>
    <x v="159"/>
    <x v="0"/>
    <x v="5"/>
    <x v="389"/>
    <x v="25"/>
    <s v="POS"/>
    <n v="1"/>
    <n v="100"/>
    <n v="100"/>
    <n v="0"/>
    <m/>
    <m/>
    <m/>
    <m/>
    <n v="0"/>
    <n v="0"/>
    <n v="67419.538760152005"/>
  </r>
  <r>
    <x v="53"/>
    <x v="4"/>
    <x v="136"/>
    <x v="0"/>
    <x v="5"/>
    <x v="390"/>
    <x v="25"/>
    <s v="POS"/>
    <n v="1"/>
    <n v="140"/>
    <n v="140"/>
    <n v="0"/>
    <m/>
    <m/>
    <m/>
    <m/>
    <n v="0"/>
    <n v="0"/>
    <n v="67419.538760152005"/>
  </r>
  <r>
    <x v="53"/>
    <x v="4"/>
    <x v="161"/>
    <x v="0"/>
    <x v="1"/>
    <x v="391"/>
    <x v="25"/>
    <s v="NAKİT"/>
    <n v="0.29399999999999998"/>
    <n v="370"/>
    <n v="0"/>
    <n v="0"/>
    <m/>
    <m/>
    <m/>
    <m/>
    <n v="108.77999999999999"/>
    <n v="0"/>
    <n v="67528.318760152004"/>
  </r>
  <r>
    <x v="53"/>
    <x v="4"/>
    <x v="150"/>
    <x v="0"/>
    <x v="1"/>
    <x v="391"/>
    <x v="25"/>
    <s v="NAKİT"/>
    <n v="1.03"/>
    <n v="290"/>
    <n v="0"/>
    <n v="0"/>
    <m/>
    <m/>
    <m/>
    <m/>
    <n v="298.7"/>
    <n v="0"/>
    <n v="67827.018760152001"/>
  </r>
  <r>
    <x v="53"/>
    <x v="4"/>
    <x v="261"/>
    <x v="0"/>
    <x v="1"/>
    <x v="391"/>
    <x v="25"/>
    <s v="NAKİT"/>
    <n v="1"/>
    <n v="130"/>
    <n v="0"/>
    <n v="0"/>
    <m/>
    <m/>
    <m/>
    <m/>
    <n v="130"/>
    <n v="0"/>
    <n v="67957.018760152001"/>
  </r>
  <r>
    <x v="53"/>
    <x v="4"/>
    <x v="244"/>
    <x v="0"/>
    <x v="1"/>
    <x v="392"/>
    <x v="35"/>
    <s v="NAKİT"/>
    <n v="5"/>
    <n v="90"/>
    <n v="0"/>
    <n v="0"/>
    <m/>
    <m/>
    <m/>
    <m/>
    <n v="450"/>
    <n v="0"/>
    <n v="68407.018760152001"/>
  </r>
  <r>
    <x v="53"/>
    <x v="4"/>
    <x v="30"/>
    <x v="0"/>
    <x v="1"/>
    <x v="393"/>
    <x v="25"/>
    <s v="NAKİT"/>
    <n v="1"/>
    <n v="500"/>
    <n v="0"/>
    <n v="0"/>
    <m/>
    <m/>
    <m/>
    <m/>
    <n v="500"/>
    <n v="0"/>
    <n v="68907.018760152001"/>
  </r>
  <r>
    <x v="53"/>
    <x v="4"/>
    <x v="161"/>
    <x v="0"/>
    <x v="1"/>
    <x v="393"/>
    <x v="25"/>
    <s v="NAKİT"/>
    <n v="0.5"/>
    <n v="370"/>
    <n v="0"/>
    <n v="0"/>
    <m/>
    <m/>
    <m/>
    <m/>
    <n v="185"/>
    <n v="0"/>
    <n v="69092.018760152001"/>
  </r>
  <r>
    <x v="53"/>
    <x v="4"/>
    <x v="88"/>
    <x v="0"/>
    <x v="1"/>
    <x v="393"/>
    <x v="25"/>
    <s v="NAKİT"/>
    <n v="0.05"/>
    <n v="1200"/>
    <n v="0"/>
    <n v="0"/>
    <m/>
    <m/>
    <m/>
    <m/>
    <n v="60"/>
    <n v="0"/>
    <n v="69152.018760152001"/>
  </r>
  <r>
    <x v="53"/>
    <x v="4"/>
    <x v="57"/>
    <x v="0"/>
    <x v="1"/>
    <x v="393"/>
    <x v="25"/>
    <s v="NAKİT"/>
    <n v="1.53"/>
    <n v="120"/>
    <n v="0"/>
    <n v="0"/>
    <m/>
    <m/>
    <m/>
    <m/>
    <n v="183.6"/>
    <n v="0"/>
    <n v="69335.618760152007"/>
  </r>
  <r>
    <x v="53"/>
    <x v="4"/>
    <x v="55"/>
    <x v="0"/>
    <x v="1"/>
    <x v="393"/>
    <x v="25"/>
    <s v="NAKİT"/>
    <n v="1.0349999999999999"/>
    <n v="166"/>
    <n v="0"/>
    <n v="0"/>
    <m/>
    <m/>
    <m/>
    <m/>
    <n v="171.80999999999997"/>
    <n v="0"/>
    <n v="69507.428760152005"/>
  </r>
  <r>
    <x v="53"/>
    <x v="4"/>
    <x v="50"/>
    <x v="0"/>
    <x v="1"/>
    <x v="394"/>
    <x v="25"/>
    <s v="NAKİT"/>
    <n v="0.1"/>
    <n v="650"/>
    <n v="0"/>
    <n v="0"/>
    <m/>
    <m/>
    <m/>
    <m/>
    <n v="65"/>
    <n v="0"/>
    <n v="69572.428760152005"/>
  </r>
  <r>
    <x v="53"/>
    <x v="4"/>
    <x v="88"/>
    <x v="0"/>
    <x v="1"/>
    <x v="394"/>
    <x v="25"/>
    <s v="NAKİT"/>
    <n v="0.05"/>
    <n v="1200"/>
    <n v="0"/>
    <n v="0"/>
    <m/>
    <m/>
    <m/>
    <m/>
    <n v="60"/>
    <n v="0"/>
    <n v="69632.428760152005"/>
  </r>
  <r>
    <x v="53"/>
    <x v="4"/>
    <x v="110"/>
    <x v="0"/>
    <x v="1"/>
    <x v="395"/>
    <x v="25"/>
    <s v="NAKİT"/>
    <n v="1"/>
    <n v="190"/>
    <n v="0"/>
    <n v="0"/>
    <m/>
    <m/>
    <m/>
    <m/>
    <n v="190"/>
    <n v="0"/>
    <n v="69822.428760152005"/>
  </r>
  <r>
    <x v="53"/>
    <x v="4"/>
    <x v="57"/>
    <x v="0"/>
    <x v="1"/>
    <x v="396"/>
    <x v="25"/>
    <s v="NAKİT"/>
    <n v="1.0549999999999999"/>
    <n v="130"/>
    <n v="0"/>
    <n v="0"/>
    <m/>
    <m/>
    <m/>
    <m/>
    <n v="137.15"/>
    <n v="0"/>
    <n v="69959.578760151999"/>
  </r>
  <r>
    <x v="53"/>
    <x v="4"/>
    <x v="24"/>
    <x v="0"/>
    <x v="1"/>
    <x v="396"/>
    <x v="25"/>
    <s v="NAKİT"/>
    <n v="6.0999999999999999E-2"/>
    <n v="640"/>
    <n v="0"/>
    <n v="0"/>
    <m/>
    <m/>
    <m/>
    <m/>
    <n v="39.04"/>
    <n v="0"/>
    <n v="69998.618760151992"/>
  </r>
  <r>
    <x v="53"/>
    <x v="4"/>
    <x v="30"/>
    <x v="0"/>
    <x v="1"/>
    <x v="396"/>
    <x v="25"/>
    <s v="NAKİT"/>
    <n v="0.182"/>
    <n v="500"/>
    <n v="0"/>
    <n v="0"/>
    <m/>
    <m/>
    <m/>
    <m/>
    <n v="91"/>
    <n v="0"/>
    <n v="70089.618760151992"/>
  </r>
  <r>
    <x v="53"/>
    <x v="4"/>
    <x v="70"/>
    <x v="0"/>
    <x v="1"/>
    <x v="396"/>
    <x v="25"/>
    <s v="NAKİT"/>
    <n v="0.26400000000000001"/>
    <n v="190"/>
    <n v="0"/>
    <n v="0"/>
    <m/>
    <m/>
    <m/>
    <m/>
    <n v="50.160000000000004"/>
    <n v="0"/>
    <n v="70139.778760151996"/>
  </r>
  <r>
    <x v="53"/>
    <x v="4"/>
    <x v="233"/>
    <x v="0"/>
    <x v="1"/>
    <x v="396"/>
    <x v="25"/>
    <s v="NAKİT"/>
    <n v="1"/>
    <n v="383"/>
    <n v="0"/>
    <n v="0"/>
    <m/>
    <m/>
    <m/>
    <m/>
    <n v="383"/>
    <n v="0"/>
    <n v="70522.778760151996"/>
  </r>
  <r>
    <x v="53"/>
    <x v="4"/>
    <x v="111"/>
    <x v="0"/>
    <x v="1"/>
    <x v="397"/>
    <x v="25"/>
    <s v="NAKİT"/>
    <n v="1.34"/>
    <n v="350"/>
    <n v="0"/>
    <n v="0"/>
    <m/>
    <m/>
    <m/>
    <m/>
    <n v="469"/>
    <n v="0"/>
    <n v="70991.778760151996"/>
  </r>
  <r>
    <x v="53"/>
    <x v="4"/>
    <x v="19"/>
    <x v="0"/>
    <x v="1"/>
    <x v="398"/>
    <x v="25"/>
    <s v="NAKİT"/>
    <n v="1"/>
    <n v="200"/>
    <n v="0"/>
    <n v="0"/>
    <m/>
    <m/>
    <m/>
    <m/>
    <n v="200"/>
    <n v="0"/>
    <n v="71191.778760151996"/>
  </r>
  <r>
    <x v="53"/>
    <x v="4"/>
    <x v="22"/>
    <x v="0"/>
    <x v="1"/>
    <x v="399"/>
    <x v="25"/>
    <s v="NAKİT"/>
    <n v="5.6000000000000001E-2"/>
    <n v="360"/>
    <n v="0"/>
    <n v="0"/>
    <m/>
    <m/>
    <m/>
    <m/>
    <n v="20.16"/>
    <n v="0"/>
    <n v="71211.938760151999"/>
  </r>
  <r>
    <x v="53"/>
    <x v="4"/>
    <x v="212"/>
    <x v="0"/>
    <x v="1"/>
    <x v="400"/>
    <x v="25"/>
    <s v="NAKİT"/>
    <n v="0.193"/>
    <n v="520"/>
    <n v="0"/>
    <n v="0"/>
    <m/>
    <m/>
    <m/>
    <m/>
    <n v="100.36"/>
    <n v="0"/>
    <n v="71312.298760152"/>
  </r>
  <r>
    <x v="53"/>
    <x v="4"/>
    <x v="238"/>
    <x v="0"/>
    <x v="1"/>
    <x v="400"/>
    <x v="25"/>
    <s v="NAKİT"/>
    <n v="0.41199999999999998"/>
    <n v="340"/>
    <n v="0"/>
    <n v="0"/>
    <m/>
    <m/>
    <m/>
    <m/>
    <n v="140.07999999999998"/>
    <n v="0"/>
    <n v="71452.378760152002"/>
  </r>
  <r>
    <x v="53"/>
    <x v="4"/>
    <x v="142"/>
    <x v="0"/>
    <x v="1"/>
    <x v="401"/>
    <x v="25"/>
    <s v="NAKİT"/>
    <n v="0.5"/>
    <n v="250"/>
    <n v="0"/>
    <n v="0"/>
    <m/>
    <m/>
    <m/>
    <m/>
    <n v="125"/>
    <n v="0"/>
    <n v="71577.378760152002"/>
  </r>
  <r>
    <x v="53"/>
    <x v="4"/>
    <x v="28"/>
    <x v="0"/>
    <x v="1"/>
    <x v="401"/>
    <x v="25"/>
    <s v="NAKİT"/>
    <n v="0.1"/>
    <n v="500"/>
    <n v="0"/>
    <n v="0"/>
    <m/>
    <m/>
    <m/>
    <m/>
    <n v="50"/>
    <n v="0"/>
    <n v="71627.378760152002"/>
  </r>
  <r>
    <x v="53"/>
    <x v="4"/>
    <x v="55"/>
    <x v="0"/>
    <x v="1"/>
    <x v="402"/>
    <x v="25"/>
    <s v="NAKİT"/>
    <n v="0.6"/>
    <n v="180"/>
    <n v="0"/>
    <n v="0"/>
    <m/>
    <m/>
    <m/>
    <m/>
    <n v="108"/>
    <n v="0"/>
    <n v="71735.378760152002"/>
  </r>
  <r>
    <x v="53"/>
    <x v="4"/>
    <x v="110"/>
    <x v="0"/>
    <x v="5"/>
    <x v="403"/>
    <x v="25"/>
    <s v="POS"/>
    <n v="1"/>
    <n v="190"/>
    <n v="190"/>
    <n v="0"/>
    <m/>
    <m/>
    <m/>
    <m/>
    <n v="0"/>
    <n v="0"/>
    <n v="71735.378760152002"/>
  </r>
  <r>
    <x v="53"/>
    <x v="4"/>
    <x v="19"/>
    <x v="0"/>
    <x v="1"/>
    <x v="404"/>
    <x v="25"/>
    <s v="NAKİT"/>
    <n v="1"/>
    <n v="200"/>
    <n v="0"/>
    <n v="0"/>
    <m/>
    <m/>
    <m/>
    <m/>
    <n v="200"/>
    <n v="0"/>
    <n v="71935.378760152002"/>
  </r>
  <r>
    <x v="53"/>
    <x v="4"/>
    <x v="21"/>
    <x v="0"/>
    <x v="1"/>
    <x v="405"/>
    <x v="25"/>
    <s v="NAKİT"/>
    <n v="1"/>
    <n v="260"/>
    <n v="0"/>
    <n v="0"/>
    <m/>
    <m/>
    <m/>
    <m/>
    <n v="260"/>
    <n v="0"/>
    <n v="72195.378760152002"/>
  </r>
  <r>
    <x v="53"/>
    <x v="4"/>
    <x v="27"/>
    <x v="0"/>
    <x v="1"/>
    <x v="405"/>
    <x v="25"/>
    <s v="NAKİT"/>
    <n v="7.4999999999999997E-2"/>
    <n v="400"/>
    <n v="0"/>
    <n v="0"/>
    <m/>
    <m/>
    <m/>
    <m/>
    <n v="30"/>
    <n v="0"/>
    <n v="72225.378760152002"/>
  </r>
  <r>
    <x v="53"/>
    <x v="4"/>
    <x v="72"/>
    <x v="0"/>
    <x v="1"/>
    <x v="406"/>
    <x v="25"/>
    <s v="NAKİT"/>
    <n v="0.05"/>
    <n v="1400"/>
    <n v="0"/>
    <n v="0"/>
    <m/>
    <m/>
    <m/>
    <m/>
    <n v="70"/>
    <n v="0"/>
    <n v="72295.378760152002"/>
  </r>
  <r>
    <x v="53"/>
    <x v="4"/>
    <x v="201"/>
    <x v="0"/>
    <x v="1"/>
    <x v="406"/>
    <x v="25"/>
    <s v="NAKİT"/>
    <n v="2"/>
    <n v="35"/>
    <n v="0"/>
    <n v="0"/>
    <m/>
    <m/>
    <m/>
    <m/>
    <n v="70"/>
    <n v="0"/>
    <n v="72365.378760152002"/>
  </r>
  <r>
    <x v="53"/>
    <x v="4"/>
    <x v="239"/>
    <x v="0"/>
    <x v="1"/>
    <x v="406"/>
    <x v="25"/>
    <s v="NAKİT"/>
    <n v="0.25"/>
    <n v="400"/>
    <n v="0"/>
    <n v="0"/>
    <m/>
    <m/>
    <m/>
    <m/>
    <n v="100"/>
    <n v="0"/>
    <n v="72465.378760152002"/>
  </r>
  <r>
    <x v="53"/>
    <x v="4"/>
    <x v="240"/>
    <x v="0"/>
    <x v="1"/>
    <x v="407"/>
    <x v="25"/>
    <s v="NAKİT"/>
    <n v="0.53"/>
    <n v="190"/>
    <n v="0"/>
    <n v="0"/>
    <m/>
    <m/>
    <m/>
    <m/>
    <n v="100.7"/>
    <n v="0"/>
    <n v="72566.078760151999"/>
  </r>
  <r>
    <x v="53"/>
    <x v="4"/>
    <x v="231"/>
    <x v="0"/>
    <x v="1"/>
    <x v="407"/>
    <x v="25"/>
    <s v="NAKİT"/>
    <n v="0.25"/>
    <n v="400"/>
    <n v="0"/>
    <n v="0"/>
    <m/>
    <m/>
    <m/>
    <m/>
    <n v="100"/>
    <n v="0"/>
    <n v="72666.078760151999"/>
  </r>
  <r>
    <x v="53"/>
    <x v="4"/>
    <x v="150"/>
    <x v="0"/>
    <x v="1"/>
    <x v="408"/>
    <x v="25"/>
    <s v="NAKİT"/>
    <n v="1"/>
    <n v="290"/>
    <n v="0"/>
    <n v="0"/>
    <m/>
    <m/>
    <m/>
    <m/>
    <n v="290"/>
    <n v="0"/>
    <n v="72956.078760151999"/>
  </r>
  <r>
    <x v="53"/>
    <x v="4"/>
    <x v="49"/>
    <x v="0"/>
    <x v="1"/>
    <x v="408"/>
    <x v="25"/>
    <s v="NAKİT"/>
    <n v="0.1"/>
    <n v="600"/>
    <n v="0"/>
    <n v="0"/>
    <m/>
    <m/>
    <m/>
    <m/>
    <n v="60"/>
    <n v="0"/>
    <n v="73016.078760151999"/>
  </r>
  <r>
    <x v="53"/>
    <x v="4"/>
    <x v="116"/>
    <x v="0"/>
    <x v="1"/>
    <x v="408"/>
    <x v="25"/>
    <s v="NAKİT"/>
    <n v="0.28000000000000003"/>
    <n v="360"/>
    <n v="0"/>
    <n v="0"/>
    <m/>
    <m/>
    <m/>
    <m/>
    <n v="100.80000000000001"/>
    <n v="0"/>
    <n v="73116.878760152002"/>
  </r>
  <r>
    <x v="53"/>
    <x v="5"/>
    <x v="0"/>
    <x v="11"/>
    <x v="4"/>
    <x v="2"/>
    <x v="73"/>
    <s v="CARİ"/>
    <n v="1"/>
    <n v="7926.45"/>
    <n v="7926.45"/>
    <n v="0"/>
    <m/>
    <m/>
    <m/>
    <m/>
    <n v="0"/>
    <n v="0"/>
    <n v="73116.878760152002"/>
  </r>
  <r>
    <x v="54"/>
    <x v="4"/>
    <x v="169"/>
    <x v="0"/>
    <x v="1"/>
    <x v="409"/>
    <x v="25"/>
    <s v="NAKİT"/>
    <n v="0.15229999999999999"/>
    <n v="650"/>
    <n v="0"/>
    <n v="0"/>
    <m/>
    <m/>
    <m/>
    <m/>
    <n v="98.99499999999999"/>
    <n v="0"/>
    <n v="73215.873760151997"/>
  </r>
  <r>
    <x v="54"/>
    <x v="4"/>
    <x v="199"/>
    <x v="0"/>
    <x v="1"/>
    <x v="409"/>
    <x v="25"/>
    <s v="NAKİT"/>
    <n v="0.41"/>
    <n v="130"/>
    <n v="0"/>
    <n v="0"/>
    <m/>
    <m/>
    <m/>
    <m/>
    <n v="53.3"/>
    <n v="0"/>
    <n v="73269.173760152"/>
  </r>
  <r>
    <x v="54"/>
    <x v="4"/>
    <x v="27"/>
    <x v="0"/>
    <x v="1"/>
    <x v="409"/>
    <x v="25"/>
    <s v="NAKİT"/>
    <n v="7.4999999999999997E-2"/>
    <n v="400"/>
    <n v="0"/>
    <n v="0"/>
    <m/>
    <m/>
    <m/>
    <m/>
    <n v="30"/>
    <n v="0"/>
    <n v="73299.173760152"/>
  </r>
  <r>
    <x v="54"/>
    <x v="4"/>
    <x v="261"/>
    <x v="0"/>
    <x v="5"/>
    <x v="410"/>
    <x v="25"/>
    <s v="POS"/>
    <n v="2"/>
    <n v="130"/>
    <n v="260"/>
    <n v="0"/>
    <m/>
    <m/>
    <m/>
    <m/>
    <n v="0"/>
    <n v="0"/>
    <n v="73299.173760152"/>
  </r>
  <r>
    <x v="54"/>
    <x v="4"/>
    <x v="262"/>
    <x v="0"/>
    <x v="5"/>
    <x v="410"/>
    <x v="25"/>
    <s v="POS"/>
    <n v="1"/>
    <n v="130"/>
    <n v="130"/>
    <n v="0"/>
    <m/>
    <m/>
    <m/>
    <m/>
    <n v="0"/>
    <n v="0"/>
    <n v="73299.173760152"/>
  </r>
  <r>
    <x v="54"/>
    <x v="4"/>
    <x v="259"/>
    <x v="0"/>
    <x v="5"/>
    <x v="410"/>
    <x v="25"/>
    <s v="POS"/>
    <n v="1"/>
    <n v="125"/>
    <n v="125"/>
    <n v="0"/>
    <m/>
    <m/>
    <m/>
    <m/>
    <n v="0"/>
    <n v="0"/>
    <n v="73299.173760152"/>
  </r>
  <r>
    <x v="54"/>
    <x v="4"/>
    <x v="76"/>
    <x v="0"/>
    <x v="5"/>
    <x v="410"/>
    <x v="25"/>
    <s v="POS"/>
    <n v="1"/>
    <n v="40"/>
    <n v="40"/>
    <n v="0"/>
    <m/>
    <m/>
    <m/>
    <m/>
    <n v="0"/>
    <n v="0"/>
    <n v="73299.173760152"/>
  </r>
  <r>
    <x v="54"/>
    <x v="4"/>
    <x v="88"/>
    <x v="0"/>
    <x v="5"/>
    <x v="410"/>
    <x v="25"/>
    <s v="POS"/>
    <n v="0.05"/>
    <n v="1200"/>
    <n v="60"/>
    <n v="0"/>
    <m/>
    <m/>
    <m/>
    <m/>
    <n v="0"/>
    <n v="0"/>
    <n v="73299.173760152"/>
  </r>
  <r>
    <x v="54"/>
    <x v="4"/>
    <x v="50"/>
    <x v="0"/>
    <x v="5"/>
    <x v="410"/>
    <x v="25"/>
    <s v="POS"/>
    <n v="0.1"/>
    <n v="650"/>
    <n v="65"/>
    <n v="0"/>
    <m/>
    <m/>
    <m/>
    <m/>
    <n v="0"/>
    <n v="0"/>
    <n v="73299.173760152"/>
  </r>
  <r>
    <x v="54"/>
    <x v="4"/>
    <x v="30"/>
    <x v="0"/>
    <x v="1"/>
    <x v="411"/>
    <x v="25"/>
    <s v="NAKİT"/>
    <n v="7.8E-2"/>
    <n v="500"/>
    <n v="0"/>
    <n v="0"/>
    <m/>
    <m/>
    <m/>
    <m/>
    <n v="39"/>
    <n v="0"/>
    <n v="73338.173760152"/>
  </r>
  <r>
    <x v="54"/>
    <x v="4"/>
    <x v="22"/>
    <x v="0"/>
    <x v="1"/>
    <x v="411"/>
    <x v="25"/>
    <s v="NAKİT"/>
    <n v="7.8E-2"/>
    <n v="360"/>
    <n v="0"/>
    <n v="0"/>
    <m/>
    <m/>
    <m/>
    <m/>
    <n v="28.08"/>
    <n v="0"/>
    <n v="73366.253760152002"/>
  </r>
  <r>
    <x v="54"/>
    <x v="4"/>
    <x v="161"/>
    <x v="0"/>
    <x v="1"/>
    <x v="411"/>
    <x v="25"/>
    <s v="NAKİT"/>
    <n v="0.12"/>
    <n v="370"/>
    <n v="0"/>
    <n v="0"/>
    <m/>
    <m/>
    <m/>
    <m/>
    <n v="44.4"/>
    <n v="0"/>
    <n v="73410.653760151996"/>
  </r>
  <r>
    <x v="54"/>
    <x v="4"/>
    <x v="111"/>
    <x v="0"/>
    <x v="1"/>
    <x v="411"/>
    <x v="25"/>
    <s v="NAKİT"/>
    <n v="0.23200000000000001"/>
    <n v="350"/>
    <n v="0"/>
    <n v="0"/>
    <m/>
    <m/>
    <m/>
    <m/>
    <n v="81.2"/>
    <n v="0"/>
    <n v="73491.853760151993"/>
  </r>
  <r>
    <x v="54"/>
    <x v="4"/>
    <x v="157"/>
    <x v="0"/>
    <x v="1"/>
    <x v="411"/>
    <x v="25"/>
    <s v="NAKİT"/>
    <n v="0.1"/>
    <n v="200"/>
    <n v="0"/>
    <n v="0"/>
    <m/>
    <m/>
    <m/>
    <m/>
    <n v="20"/>
    <n v="0"/>
    <n v="73511.853760151993"/>
  </r>
  <r>
    <x v="54"/>
    <x v="4"/>
    <x v="34"/>
    <x v="0"/>
    <x v="1"/>
    <x v="411"/>
    <x v="25"/>
    <s v="NAKİT"/>
    <n v="0.1"/>
    <n v="600"/>
    <n v="0"/>
    <n v="0"/>
    <m/>
    <m/>
    <m/>
    <m/>
    <n v="60"/>
    <n v="0"/>
    <n v="73571.853760151993"/>
  </r>
  <r>
    <x v="54"/>
    <x v="4"/>
    <x v="36"/>
    <x v="0"/>
    <x v="1"/>
    <x v="411"/>
    <x v="25"/>
    <s v="NAKİT"/>
    <n v="0.25"/>
    <n v="180"/>
    <n v="0"/>
    <n v="0"/>
    <m/>
    <m/>
    <m/>
    <m/>
    <n v="45"/>
    <n v="0"/>
    <n v="73616.853760151993"/>
  </r>
  <r>
    <x v="54"/>
    <x v="4"/>
    <x v="209"/>
    <x v="0"/>
    <x v="1"/>
    <x v="411"/>
    <x v="25"/>
    <s v="NAKİT"/>
    <n v="0.53"/>
    <n v="290"/>
    <n v="0"/>
    <n v="0"/>
    <m/>
    <m/>
    <m/>
    <m/>
    <n v="153.70000000000002"/>
    <n v="0"/>
    <n v="73770.55376015199"/>
  </r>
  <r>
    <x v="54"/>
    <x v="4"/>
    <x v="217"/>
    <x v="0"/>
    <x v="5"/>
    <x v="412"/>
    <x v="25"/>
    <s v="POS"/>
    <n v="1"/>
    <n v="220"/>
    <n v="220"/>
    <n v="0"/>
    <m/>
    <m/>
    <m/>
    <m/>
    <n v="0"/>
    <n v="0"/>
    <n v="73770.55376015199"/>
  </r>
  <r>
    <x v="54"/>
    <x v="4"/>
    <x v="238"/>
    <x v="0"/>
    <x v="5"/>
    <x v="413"/>
    <x v="25"/>
    <s v="POS"/>
    <n v="0.374"/>
    <n v="340"/>
    <n v="127.16"/>
    <n v="0"/>
    <m/>
    <m/>
    <m/>
    <m/>
    <n v="0"/>
    <n v="0"/>
    <n v="73770.55376015199"/>
  </r>
  <r>
    <x v="54"/>
    <x v="4"/>
    <x v="39"/>
    <x v="0"/>
    <x v="1"/>
    <x v="414"/>
    <x v="25"/>
    <s v="NAKİT"/>
    <n v="0.13200000000000001"/>
    <n v="760"/>
    <n v="0"/>
    <n v="0"/>
    <m/>
    <m/>
    <m/>
    <m/>
    <n v="100.32000000000001"/>
    <n v="0"/>
    <n v="73870.873760151997"/>
  </r>
  <r>
    <x v="54"/>
    <x v="4"/>
    <x v="30"/>
    <x v="0"/>
    <x v="1"/>
    <x v="415"/>
    <x v="25"/>
    <s v="NAKİT"/>
    <n v="0.2"/>
    <n v="500"/>
    <n v="0"/>
    <n v="0"/>
    <m/>
    <m/>
    <m/>
    <m/>
    <n v="100"/>
    <n v="0"/>
    <n v="73970.873760151997"/>
  </r>
  <r>
    <x v="54"/>
    <x v="4"/>
    <x v="56"/>
    <x v="0"/>
    <x v="1"/>
    <x v="416"/>
    <x v="25"/>
    <s v="NAKİT"/>
    <n v="1"/>
    <n v="180"/>
    <n v="0"/>
    <n v="0"/>
    <m/>
    <m/>
    <m/>
    <m/>
    <n v="180"/>
    <n v="0"/>
    <n v="74150.873760151997"/>
  </r>
  <r>
    <x v="54"/>
    <x v="4"/>
    <x v="39"/>
    <x v="0"/>
    <x v="1"/>
    <x v="417"/>
    <x v="25"/>
    <s v="NAKİT"/>
    <n v="0.375"/>
    <n v="400"/>
    <n v="0"/>
    <n v="0"/>
    <m/>
    <m/>
    <m/>
    <m/>
    <n v="150"/>
    <n v="0"/>
    <n v="74300.873760151997"/>
  </r>
  <r>
    <x v="54"/>
    <x v="4"/>
    <x v="166"/>
    <x v="0"/>
    <x v="5"/>
    <x v="418"/>
    <x v="25"/>
    <s v="POS"/>
    <n v="1"/>
    <n v="40"/>
    <n v="40"/>
    <n v="0"/>
    <m/>
    <m/>
    <m/>
    <m/>
    <n v="0"/>
    <n v="0"/>
    <n v="74300.873760151997"/>
  </r>
  <r>
    <x v="54"/>
    <x v="4"/>
    <x v="98"/>
    <x v="0"/>
    <x v="1"/>
    <x v="419"/>
    <x v="25"/>
    <s v="NAKİT"/>
    <n v="0.5"/>
    <n v="700"/>
    <n v="0"/>
    <n v="0"/>
    <m/>
    <m/>
    <m/>
    <m/>
    <n v="350"/>
    <n v="0"/>
    <n v="74650.873760151997"/>
  </r>
  <r>
    <x v="54"/>
    <x v="4"/>
    <x v="238"/>
    <x v="0"/>
    <x v="1"/>
    <x v="419"/>
    <x v="25"/>
    <s v="NAKİT"/>
    <n v="0.46"/>
    <n v="340"/>
    <n v="0"/>
    <n v="0"/>
    <m/>
    <m/>
    <m/>
    <m/>
    <n v="156.4"/>
    <n v="0"/>
    <n v="74807.273760151991"/>
  </r>
  <r>
    <x v="54"/>
    <x v="4"/>
    <x v="29"/>
    <x v="0"/>
    <x v="5"/>
    <x v="420"/>
    <x v="25"/>
    <s v="POS"/>
    <n v="2.63E-2"/>
    <n v="760"/>
    <n v="19.988"/>
    <n v="0"/>
    <m/>
    <m/>
    <m/>
    <m/>
    <n v="0"/>
    <n v="0"/>
    <n v="74807.273760151991"/>
  </r>
  <r>
    <x v="54"/>
    <x v="4"/>
    <x v="129"/>
    <x v="0"/>
    <x v="5"/>
    <x v="420"/>
    <x v="25"/>
    <s v="POS"/>
    <n v="0.21"/>
    <n v="240"/>
    <n v="50.4"/>
    <n v="0"/>
    <m/>
    <m/>
    <m/>
    <m/>
    <n v="0"/>
    <n v="0"/>
    <n v="74807.273760151991"/>
  </r>
  <r>
    <x v="54"/>
    <x v="4"/>
    <x v="36"/>
    <x v="0"/>
    <x v="5"/>
    <x v="420"/>
    <x v="25"/>
    <s v="POS"/>
    <n v="0.25"/>
    <n v="180"/>
    <n v="45"/>
    <n v="0"/>
    <m/>
    <m/>
    <m/>
    <m/>
    <n v="0"/>
    <n v="0"/>
    <n v="74807.273760151991"/>
  </r>
  <r>
    <x v="54"/>
    <x v="4"/>
    <x v="231"/>
    <x v="0"/>
    <x v="1"/>
    <x v="421"/>
    <x v="25"/>
    <s v="NAKİT"/>
    <n v="0.25"/>
    <n v="400"/>
    <n v="0"/>
    <n v="0"/>
    <m/>
    <m/>
    <m/>
    <m/>
    <n v="100"/>
    <n v="0"/>
    <n v="74907.273760151991"/>
  </r>
  <r>
    <x v="54"/>
    <x v="4"/>
    <x v="56"/>
    <x v="0"/>
    <x v="1"/>
    <x v="421"/>
    <x v="25"/>
    <s v="NAKİT"/>
    <n v="0.5"/>
    <n v="180"/>
    <n v="0"/>
    <n v="0"/>
    <m/>
    <m/>
    <m/>
    <m/>
    <n v="90"/>
    <n v="0"/>
    <n v="74997.273760151991"/>
  </r>
  <r>
    <x v="54"/>
    <x v="4"/>
    <x v="262"/>
    <x v="0"/>
    <x v="5"/>
    <x v="422"/>
    <x v="25"/>
    <s v="POS"/>
    <n v="1"/>
    <n v="130"/>
    <n v="130"/>
    <n v="0"/>
    <m/>
    <m/>
    <m/>
    <m/>
    <n v="0"/>
    <n v="0"/>
    <n v="74997.273760151991"/>
  </r>
  <r>
    <x v="54"/>
    <x v="4"/>
    <x v="24"/>
    <x v="0"/>
    <x v="1"/>
    <x v="423"/>
    <x v="25"/>
    <s v="NAKİT"/>
    <n v="9.4E-2"/>
    <n v="640"/>
    <n v="0"/>
    <n v="0"/>
    <m/>
    <m/>
    <m/>
    <m/>
    <n v="60.16"/>
    <n v="0"/>
    <n v="75057.433760151995"/>
  </r>
  <r>
    <x v="54"/>
    <x v="4"/>
    <x v="88"/>
    <x v="0"/>
    <x v="1"/>
    <x v="424"/>
    <x v="25"/>
    <s v="NAKİT"/>
    <n v="0.05"/>
    <n v="1200"/>
    <n v="0"/>
    <n v="0"/>
    <m/>
    <m/>
    <m/>
    <m/>
    <n v="60"/>
    <n v="0"/>
    <n v="75117.433760151995"/>
  </r>
  <r>
    <x v="54"/>
    <x v="4"/>
    <x v="88"/>
    <x v="0"/>
    <x v="1"/>
    <x v="425"/>
    <x v="25"/>
    <s v="NAKİT"/>
    <n v="0.15090000000000001"/>
    <n v="1200"/>
    <n v="0"/>
    <n v="0"/>
    <m/>
    <m/>
    <m/>
    <m/>
    <n v="181.08"/>
    <n v="0"/>
    <n v="75298.513760151996"/>
  </r>
  <r>
    <x v="55"/>
    <x v="4"/>
    <x v="129"/>
    <x v="0"/>
    <x v="5"/>
    <x v="426"/>
    <x v="25"/>
    <s v="POS"/>
    <n v="0.21"/>
    <n v="240"/>
    <n v="50.4"/>
    <n v="0"/>
    <m/>
    <m/>
    <m/>
    <m/>
    <n v="0"/>
    <n v="0"/>
    <n v="75298.513760151996"/>
  </r>
  <r>
    <x v="55"/>
    <x v="4"/>
    <x v="38"/>
    <x v="0"/>
    <x v="5"/>
    <x v="426"/>
    <x v="25"/>
    <s v="POS"/>
    <n v="0.1"/>
    <n v="650"/>
    <n v="65"/>
    <n v="0"/>
    <m/>
    <m/>
    <m/>
    <m/>
    <n v="0"/>
    <n v="0"/>
    <n v="75298.513760151996"/>
  </r>
  <r>
    <x v="55"/>
    <x v="4"/>
    <x v="215"/>
    <x v="0"/>
    <x v="5"/>
    <x v="427"/>
    <x v="25"/>
    <s v="POS"/>
    <n v="1"/>
    <n v="220"/>
    <n v="220"/>
    <n v="0"/>
    <m/>
    <m/>
    <m/>
    <m/>
    <n v="0"/>
    <n v="0"/>
    <n v="75298.513760151996"/>
  </r>
  <r>
    <x v="55"/>
    <x v="4"/>
    <x v="110"/>
    <x v="0"/>
    <x v="5"/>
    <x v="428"/>
    <x v="25"/>
    <s v="POS"/>
    <n v="1"/>
    <n v="190"/>
    <n v="190"/>
    <n v="0"/>
    <m/>
    <m/>
    <m/>
    <m/>
    <n v="0"/>
    <n v="0"/>
    <n v="75298.513760151996"/>
  </r>
  <r>
    <x v="55"/>
    <x v="4"/>
    <x v="88"/>
    <x v="0"/>
    <x v="5"/>
    <x v="428"/>
    <x v="25"/>
    <s v="POS"/>
    <n v="0.05"/>
    <n v="1200"/>
    <n v="60"/>
    <n v="0"/>
    <m/>
    <m/>
    <m/>
    <m/>
    <n v="0"/>
    <n v="0"/>
    <n v="75298.513760151996"/>
  </r>
  <r>
    <x v="55"/>
    <x v="4"/>
    <x v="160"/>
    <x v="0"/>
    <x v="5"/>
    <x v="428"/>
    <x v="25"/>
    <s v="POS"/>
    <n v="1"/>
    <n v="100"/>
    <n v="100"/>
    <n v="0"/>
    <m/>
    <m/>
    <m/>
    <m/>
    <n v="0"/>
    <n v="0"/>
    <n v="75298.513760151996"/>
  </r>
  <r>
    <x v="55"/>
    <x v="4"/>
    <x v="27"/>
    <x v="0"/>
    <x v="1"/>
    <x v="429"/>
    <x v="35"/>
    <s v="NAKİT"/>
    <n v="0.5"/>
    <n v="300"/>
    <n v="0"/>
    <n v="0"/>
    <m/>
    <m/>
    <m/>
    <m/>
    <n v="150"/>
    <n v="0"/>
    <n v="75448.513760151996"/>
  </r>
  <r>
    <x v="55"/>
    <x v="4"/>
    <x v="25"/>
    <x v="0"/>
    <x v="1"/>
    <x v="429"/>
    <x v="35"/>
    <s v="NAKİT"/>
    <n v="0.78500000000000003"/>
    <n v="255"/>
    <n v="0"/>
    <n v="0"/>
    <m/>
    <m/>
    <m/>
    <m/>
    <n v="200.17500000000001"/>
    <n v="0"/>
    <n v="75648.688760151999"/>
  </r>
  <r>
    <x v="55"/>
    <x v="4"/>
    <x v="113"/>
    <x v="0"/>
    <x v="1"/>
    <x v="429"/>
    <x v="25"/>
    <s v="NAKİT"/>
    <n v="0.1"/>
    <n v="1350"/>
    <n v="0"/>
    <n v="0"/>
    <m/>
    <m/>
    <m/>
    <m/>
    <n v="135"/>
    <n v="0"/>
    <n v="75783.688760151999"/>
  </r>
  <r>
    <x v="55"/>
    <x v="4"/>
    <x v="27"/>
    <x v="0"/>
    <x v="1"/>
    <x v="430"/>
    <x v="25"/>
    <s v="NAKİT"/>
    <n v="7.0000000000000007E-2"/>
    <n v="400"/>
    <n v="0"/>
    <n v="0"/>
    <m/>
    <m/>
    <m/>
    <m/>
    <n v="28.000000000000004"/>
    <n v="0"/>
    <n v="75811.688760151999"/>
  </r>
  <r>
    <x v="55"/>
    <x v="4"/>
    <x v="30"/>
    <x v="0"/>
    <x v="1"/>
    <x v="430"/>
    <x v="25"/>
    <s v="NAKİT"/>
    <n v="9.6000000000000002E-2"/>
    <n v="500"/>
    <n v="0"/>
    <n v="0"/>
    <m/>
    <m/>
    <m/>
    <m/>
    <n v="48"/>
    <n v="0"/>
    <n v="75859.688760151999"/>
  </r>
  <r>
    <x v="55"/>
    <x v="4"/>
    <x v="24"/>
    <x v="0"/>
    <x v="1"/>
    <x v="430"/>
    <x v="25"/>
    <s v="NAKİT"/>
    <n v="5.8000000000000003E-2"/>
    <n v="640"/>
    <n v="0"/>
    <n v="0"/>
    <m/>
    <m/>
    <m/>
    <m/>
    <n v="37.120000000000005"/>
    <n v="0"/>
    <n v="75896.808760151995"/>
  </r>
  <r>
    <x v="55"/>
    <x v="4"/>
    <x v="72"/>
    <x v="0"/>
    <x v="1"/>
    <x v="430"/>
    <x v="25"/>
    <s v="NAKİT"/>
    <n v="0.05"/>
    <n v="1400"/>
    <n v="0"/>
    <n v="0"/>
    <m/>
    <m/>
    <m/>
    <m/>
    <n v="70"/>
    <n v="0"/>
    <n v="75966.808760151995"/>
  </r>
  <r>
    <x v="55"/>
    <x v="4"/>
    <x v="23"/>
    <x v="0"/>
    <x v="1"/>
    <x v="430"/>
    <x v="25"/>
    <s v="NAKİT"/>
    <n v="0.13600000000000001"/>
    <n v="250"/>
    <n v="0"/>
    <n v="0"/>
    <m/>
    <m/>
    <m/>
    <m/>
    <n v="34"/>
    <n v="0"/>
    <n v="76000.808760151995"/>
  </r>
  <r>
    <x v="55"/>
    <x v="4"/>
    <x v="280"/>
    <x v="0"/>
    <x v="1"/>
    <x v="431"/>
    <x v="25"/>
    <s v="NAKİT"/>
    <n v="0.5"/>
    <n v="60"/>
    <n v="0"/>
    <n v="0"/>
    <m/>
    <m/>
    <m/>
    <m/>
    <n v="30"/>
    <n v="0"/>
    <n v="76030.808760151995"/>
  </r>
  <r>
    <x v="55"/>
    <x v="4"/>
    <x v="124"/>
    <x v="0"/>
    <x v="1"/>
    <x v="432"/>
    <x v="25"/>
    <s v="NAKİT"/>
    <n v="0.05"/>
    <n v="900"/>
    <n v="0"/>
    <n v="0"/>
    <m/>
    <m/>
    <m/>
    <m/>
    <n v="45"/>
    <n v="0"/>
    <n v="76075.808760151995"/>
  </r>
  <r>
    <x v="55"/>
    <x v="4"/>
    <x v="279"/>
    <x v="0"/>
    <x v="1"/>
    <x v="433"/>
    <x v="25"/>
    <s v="NAKİT"/>
    <n v="2"/>
    <n v="170"/>
    <n v="0"/>
    <n v="0"/>
    <m/>
    <m/>
    <m/>
    <m/>
    <n v="340"/>
    <n v="0"/>
    <n v="76415.808760151995"/>
  </r>
  <r>
    <x v="55"/>
    <x v="4"/>
    <x v="124"/>
    <x v="0"/>
    <x v="1"/>
    <x v="433"/>
    <x v="25"/>
    <s v="NAKİT"/>
    <n v="0.1"/>
    <n v="900"/>
    <n v="0"/>
    <n v="0"/>
    <m/>
    <m/>
    <m/>
    <m/>
    <n v="90"/>
    <n v="0"/>
    <n v="76505.808760151995"/>
  </r>
  <r>
    <x v="55"/>
    <x v="4"/>
    <x v="15"/>
    <x v="0"/>
    <x v="1"/>
    <x v="434"/>
    <x v="25"/>
    <s v="NAKİT"/>
    <n v="0.20899999999999999"/>
    <n v="240"/>
    <n v="0"/>
    <n v="0"/>
    <m/>
    <m/>
    <m/>
    <m/>
    <n v="50.16"/>
    <n v="0"/>
    <n v="76555.968760151998"/>
  </r>
  <r>
    <x v="55"/>
    <x v="4"/>
    <x v="232"/>
    <x v="0"/>
    <x v="1"/>
    <x v="435"/>
    <x v="25"/>
    <s v="NAKİT"/>
    <n v="1"/>
    <n v="300"/>
    <n v="0"/>
    <n v="0"/>
    <m/>
    <m/>
    <m/>
    <m/>
    <n v="300"/>
    <n v="0"/>
    <n v="76855.968760151998"/>
  </r>
  <r>
    <x v="55"/>
    <x v="4"/>
    <x v="72"/>
    <x v="0"/>
    <x v="1"/>
    <x v="436"/>
    <x v="25"/>
    <s v="NAKİT"/>
    <n v="0.05"/>
    <n v="1400"/>
    <n v="0"/>
    <n v="0"/>
    <m/>
    <m/>
    <m/>
    <m/>
    <n v="70"/>
    <n v="0"/>
    <n v="76925.968760151998"/>
  </r>
  <r>
    <x v="55"/>
    <x v="4"/>
    <x v="76"/>
    <x v="0"/>
    <x v="1"/>
    <x v="437"/>
    <x v="25"/>
    <s v="NAKİT"/>
    <n v="0.5"/>
    <n v="80"/>
    <n v="0"/>
    <n v="0"/>
    <m/>
    <m/>
    <m/>
    <m/>
    <n v="40"/>
    <n v="0"/>
    <n v="76965.968760151998"/>
  </r>
  <r>
    <x v="55"/>
    <x v="4"/>
    <x v="83"/>
    <x v="0"/>
    <x v="5"/>
    <x v="438"/>
    <x v="25"/>
    <s v="POS"/>
    <n v="0.05"/>
    <n v="2600"/>
    <n v="130"/>
    <n v="0"/>
    <m/>
    <m/>
    <m/>
    <m/>
    <n v="0"/>
    <n v="0"/>
    <n v="76965.968760151998"/>
  </r>
  <r>
    <x v="55"/>
    <x v="4"/>
    <x v="84"/>
    <x v="0"/>
    <x v="5"/>
    <x v="438"/>
    <x v="25"/>
    <s v="POS"/>
    <n v="0.04"/>
    <n v="4500"/>
    <n v="180"/>
    <n v="0"/>
    <m/>
    <m/>
    <m/>
    <m/>
    <n v="0"/>
    <n v="0"/>
    <n v="76965.968760151998"/>
  </r>
  <r>
    <x v="55"/>
    <x v="4"/>
    <x v="121"/>
    <x v="0"/>
    <x v="1"/>
    <x v="439"/>
    <x v="25"/>
    <s v="NAKİT"/>
    <n v="0.1"/>
    <n v="1250"/>
    <n v="0"/>
    <n v="0"/>
    <m/>
    <m/>
    <m/>
    <m/>
    <n v="125"/>
    <n v="0"/>
    <n v="77090.968760151998"/>
  </r>
  <r>
    <x v="55"/>
    <x v="4"/>
    <x v="16"/>
    <x v="0"/>
    <x v="5"/>
    <x v="440"/>
    <x v="25"/>
    <s v="POS"/>
    <n v="1"/>
    <n v="140"/>
    <n v="140"/>
    <n v="0"/>
    <m/>
    <m/>
    <m/>
    <m/>
    <n v="0"/>
    <n v="0"/>
    <n v="77090.968760151998"/>
  </r>
  <r>
    <x v="56"/>
    <x v="3"/>
    <x v="286"/>
    <x v="0"/>
    <x v="4"/>
    <x v="441"/>
    <x v="32"/>
    <s v="CARİ"/>
    <n v="10"/>
    <n v="37"/>
    <n v="0"/>
    <n v="370"/>
    <m/>
    <m/>
    <m/>
    <m/>
    <n v="0"/>
    <n v="0"/>
    <n v="77090.968760151998"/>
  </r>
  <r>
    <x v="56"/>
    <x v="3"/>
    <x v="287"/>
    <x v="0"/>
    <x v="4"/>
    <x v="441"/>
    <x v="32"/>
    <s v="CARİ"/>
    <n v="10"/>
    <n v="37"/>
    <n v="0"/>
    <n v="370"/>
    <m/>
    <m/>
    <m/>
    <m/>
    <n v="0"/>
    <n v="0"/>
    <n v="77090.968760151998"/>
  </r>
  <r>
    <x v="56"/>
    <x v="1"/>
    <x v="0"/>
    <x v="14"/>
    <x v="1"/>
    <x v="442"/>
    <x v="74"/>
    <s v="NAKİT"/>
    <n v="1"/>
    <n v="800"/>
    <n v="0"/>
    <n v="0"/>
    <m/>
    <m/>
    <m/>
    <m/>
    <n v="0"/>
    <n v="800"/>
    <n v="76290.968760151998"/>
  </r>
  <r>
    <x v="56"/>
    <x v="3"/>
    <x v="150"/>
    <x v="0"/>
    <x v="1"/>
    <x v="443"/>
    <x v="38"/>
    <s v="NAKİT"/>
    <n v="20"/>
    <n v="200"/>
    <n v="0"/>
    <n v="0"/>
    <m/>
    <m/>
    <m/>
    <m/>
    <n v="0"/>
    <n v="4000"/>
    <n v="72290.968760151998"/>
  </r>
  <r>
    <x v="56"/>
    <x v="4"/>
    <x v="124"/>
    <x v="0"/>
    <x v="5"/>
    <x v="444"/>
    <x v="25"/>
    <s v="POS"/>
    <n v="0.1"/>
    <n v="900"/>
    <n v="90"/>
    <n v="0"/>
    <m/>
    <m/>
    <m/>
    <m/>
    <n v="0"/>
    <n v="0"/>
    <n v="72290.968760151998"/>
  </r>
  <r>
    <x v="56"/>
    <x v="4"/>
    <x v="36"/>
    <x v="0"/>
    <x v="1"/>
    <x v="445"/>
    <x v="25"/>
    <s v="NAKİT"/>
    <n v="0.25"/>
    <n v="180"/>
    <n v="0"/>
    <n v="0"/>
    <m/>
    <m/>
    <m/>
    <m/>
    <n v="45"/>
    <n v="0"/>
    <n v="72335.968760151998"/>
  </r>
  <r>
    <x v="56"/>
    <x v="4"/>
    <x v="158"/>
    <x v="0"/>
    <x v="1"/>
    <x v="446"/>
    <x v="25"/>
    <s v="NAKİT"/>
    <n v="2"/>
    <n v="15"/>
    <n v="0"/>
    <n v="0"/>
    <m/>
    <m/>
    <m/>
    <m/>
    <n v="30"/>
    <n v="0"/>
    <n v="72365.968760151998"/>
  </r>
  <r>
    <x v="56"/>
    <x v="4"/>
    <x v="233"/>
    <x v="0"/>
    <x v="5"/>
    <x v="447"/>
    <x v="25"/>
    <s v="POS"/>
    <n v="1"/>
    <n v="350"/>
    <n v="350"/>
    <n v="0"/>
    <m/>
    <m/>
    <m/>
    <m/>
    <n v="0"/>
    <n v="0"/>
    <n v="72365.968760151998"/>
  </r>
  <r>
    <x v="56"/>
    <x v="4"/>
    <x v="22"/>
    <x v="0"/>
    <x v="1"/>
    <x v="448"/>
    <x v="25"/>
    <s v="NAKİT"/>
    <n v="0.223"/>
    <n v="360"/>
    <n v="0"/>
    <n v="0"/>
    <m/>
    <m/>
    <m/>
    <m/>
    <n v="80.28"/>
    <n v="0"/>
    <n v="72446.248760151997"/>
  </r>
  <r>
    <x v="56"/>
    <x v="4"/>
    <x v="154"/>
    <x v="0"/>
    <x v="1"/>
    <x v="448"/>
    <x v="25"/>
    <s v="NAKİT"/>
    <n v="1"/>
    <n v="180"/>
    <n v="0"/>
    <n v="0"/>
    <m/>
    <m/>
    <m/>
    <m/>
    <n v="180"/>
    <n v="0"/>
    <n v="72626.248760151997"/>
  </r>
  <r>
    <x v="56"/>
    <x v="4"/>
    <x v="201"/>
    <x v="0"/>
    <x v="5"/>
    <x v="449"/>
    <x v="25"/>
    <s v="POS"/>
    <n v="4"/>
    <n v="35"/>
    <n v="140"/>
    <n v="0"/>
    <m/>
    <m/>
    <m/>
    <m/>
    <n v="0"/>
    <n v="0"/>
    <n v="72626.248760151997"/>
  </r>
  <r>
    <x v="56"/>
    <x v="4"/>
    <x v="159"/>
    <x v="0"/>
    <x v="5"/>
    <x v="450"/>
    <x v="25"/>
    <s v="POS"/>
    <n v="1"/>
    <n v="100"/>
    <n v="100"/>
    <n v="0"/>
    <m/>
    <m/>
    <m/>
    <m/>
    <n v="0"/>
    <n v="0"/>
    <n v="72626.248760151997"/>
  </r>
  <r>
    <x v="56"/>
    <x v="4"/>
    <x v="274"/>
    <x v="0"/>
    <x v="1"/>
    <x v="451"/>
    <x v="25"/>
    <s v="NAKİT"/>
    <n v="2"/>
    <n v="100"/>
    <n v="0"/>
    <n v="0"/>
    <m/>
    <m/>
    <m/>
    <m/>
    <n v="200"/>
    <n v="0"/>
    <n v="72826.248760151997"/>
  </r>
  <r>
    <x v="56"/>
    <x v="4"/>
    <x v="18"/>
    <x v="0"/>
    <x v="5"/>
    <x v="452"/>
    <x v="25"/>
    <s v="POS"/>
    <n v="1"/>
    <n v="240"/>
    <n v="240"/>
    <n v="0"/>
    <m/>
    <m/>
    <m/>
    <m/>
    <n v="0"/>
    <n v="0"/>
    <n v="72826.248760151997"/>
  </r>
  <r>
    <x v="56"/>
    <x v="4"/>
    <x v="158"/>
    <x v="0"/>
    <x v="1"/>
    <x v="453"/>
    <x v="25"/>
    <s v="NAKİT"/>
    <n v="2"/>
    <n v="15"/>
    <n v="0"/>
    <n v="0"/>
    <m/>
    <m/>
    <m/>
    <m/>
    <n v="30"/>
    <n v="0"/>
    <n v="72856.248760151997"/>
  </r>
  <r>
    <x v="56"/>
    <x v="4"/>
    <x v="155"/>
    <x v="0"/>
    <x v="1"/>
    <x v="454"/>
    <x v="25"/>
    <s v="NAKİT"/>
    <n v="0.1"/>
    <n v="700"/>
    <n v="0"/>
    <n v="0"/>
    <m/>
    <m/>
    <m/>
    <m/>
    <n v="70"/>
    <n v="0"/>
    <n v="72926.248760151997"/>
  </r>
  <r>
    <x v="56"/>
    <x v="4"/>
    <x v="280"/>
    <x v="0"/>
    <x v="1"/>
    <x v="454"/>
    <x v="25"/>
    <s v="NAKİT"/>
    <n v="0.5"/>
    <n v="60"/>
    <n v="0"/>
    <n v="0"/>
    <m/>
    <m/>
    <m/>
    <m/>
    <n v="30"/>
    <n v="0"/>
    <n v="72956.248760151997"/>
  </r>
  <r>
    <x v="56"/>
    <x v="4"/>
    <x v="196"/>
    <x v="0"/>
    <x v="5"/>
    <x v="455"/>
    <x v="25"/>
    <s v="POS"/>
    <n v="1"/>
    <n v="350"/>
    <n v="350"/>
    <n v="0"/>
    <m/>
    <m/>
    <m/>
    <m/>
    <n v="0"/>
    <n v="0"/>
    <n v="72956.248760151997"/>
  </r>
  <r>
    <x v="56"/>
    <x v="10"/>
    <x v="0"/>
    <x v="0"/>
    <x v="5"/>
    <x v="2"/>
    <x v="63"/>
    <s v="POS"/>
    <n v="1"/>
    <n v="221"/>
    <n v="0"/>
    <n v="221"/>
    <m/>
    <m/>
    <m/>
    <m/>
    <n v="221"/>
    <n v="0"/>
    <n v="73177.248760151997"/>
  </r>
  <r>
    <x v="57"/>
    <x v="3"/>
    <x v="161"/>
    <x v="0"/>
    <x v="3"/>
    <x v="456"/>
    <x v="27"/>
    <s v="CARİ"/>
    <n v="50"/>
    <n v="185"/>
    <n v="0"/>
    <n v="9250"/>
    <m/>
    <m/>
    <m/>
    <m/>
    <n v="0"/>
    <n v="0"/>
    <n v="73177.248760151997"/>
  </r>
  <r>
    <x v="57"/>
    <x v="3"/>
    <x v="18"/>
    <x v="0"/>
    <x v="3"/>
    <x v="456"/>
    <x v="27"/>
    <s v="CARİ"/>
    <n v="60"/>
    <n v="150"/>
    <n v="0"/>
    <n v="9000"/>
    <m/>
    <m/>
    <m/>
    <m/>
    <n v="0"/>
    <n v="0"/>
    <n v="73177.248760151997"/>
  </r>
  <r>
    <x v="57"/>
    <x v="3"/>
    <x v="58"/>
    <x v="0"/>
    <x v="3"/>
    <x v="456"/>
    <x v="27"/>
    <s v="CARİ"/>
    <n v="60"/>
    <n v="130"/>
    <n v="0"/>
    <n v="7800"/>
    <m/>
    <m/>
    <m/>
    <m/>
    <n v="0"/>
    <n v="0"/>
    <n v="73177.248760151997"/>
  </r>
  <r>
    <x v="57"/>
    <x v="3"/>
    <x v="19"/>
    <x v="0"/>
    <x v="3"/>
    <x v="456"/>
    <x v="27"/>
    <s v="CARİ"/>
    <n v="60"/>
    <n v="125"/>
    <n v="0"/>
    <n v="7500"/>
    <m/>
    <m/>
    <m/>
    <m/>
    <n v="0"/>
    <n v="0"/>
    <n v="73177.248760151997"/>
  </r>
  <r>
    <x v="57"/>
    <x v="3"/>
    <x v="55"/>
    <x v="0"/>
    <x v="3"/>
    <x v="456"/>
    <x v="27"/>
    <s v="CARİ"/>
    <n v="58.05"/>
    <n v="98.191199999999995"/>
    <n v="0"/>
    <n v="5699.9991599999994"/>
    <m/>
    <m/>
    <m/>
    <m/>
    <n v="0"/>
    <n v="0"/>
    <n v="73177.248760151997"/>
  </r>
  <r>
    <x v="57"/>
    <x v="3"/>
    <x v="56"/>
    <x v="0"/>
    <x v="3"/>
    <x v="456"/>
    <x v="27"/>
    <s v="CARİ"/>
    <n v="58.05"/>
    <n v="98.191199999999995"/>
    <n v="0"/>
    <n v="5699.9991599999994"/>
    <m/>
    <m/>
    <m/>
    <m/>
    <n v="0"/>
    <n v="0"/>
    <n v="73177.248760151997"/>
  </r>
  <r>
    <x v="57"/>
    <x v="3"/>
    <x v="57"/>
    <x v="0"/>
    <x v="3"/>
    <x v="456"/>
    <x v="27"/>
    <s v="CARİ"/>
    <n v="58.050000000000004"/>
    <n v="67.183400000000006"/>
    <n v="0"/>
    <n v="3899.9963700000008"/>
    <m/>
    <m/>
    <m/>
    <m/>
    <n v="0"/>
    <n v="0"/>
    <n v="73177.248760151997"/>
  </r>
  <r>
    <x v="57"/>
    <x v="3"/>
    <x v="22"/>
    <x v="0"/>
    <x v="3"/>
    <x v="456"/>
    <x v="27"/>
    <s v="CARİ"/>
    <n v="10"/>
    <n v="180"/>
    <n v="0"/>
    <n v="1800"/>
    <m/>
    <m/>
    <m/>
    <m/>
    <n v="0"/>
    <n v="0"/>
    <n v="73177.248760151997"/>
  </r>
  <r>
    <x v="57"/>
    <x v="3"/>
    <x v="23"/>
    <x v="0"/>
    <x v="3"/>
    <x v="456"/>
    <x v="27"/>
    <s v="CARİ"/>
    <n v="10"/>
    <n v="125"/>
    <n v="0"/>
    <n v="1250"/>
    <m/>
    <m/>
    <m/>
    <m/>
    <n v="0"/>
    <n v="0"/>
    <n v="73177.248760151997"/>
  </r>
  <r>
    <x v="57"/>
    <x v="3"/>
    <x v="288"/>
    <x v="0"/>
    <x v="3"/>
    <x v="456"/>
    <x v="27"/>
    <s v="CARİ"/>
    <n v="5"/>
    <n v="270"/>
    <n v="0"/>
    <n v="1350"/>
    <m/>
    <m/>
    <m/>
    <m/>
    <n v="0"/>
    <n v="0"/>
    <n v="73177.248760151997"/>
  </r>
  <r>
    <x v="57"/>
    <x v="3"/>
    <x v="49"/>
    <x v="0"/>
    <x v="3"/>
    <x v="456"/>
    <x v="27"/>
    <s v="CARİ"/>
    <n v="10"/>
    <n v="125"/>
    <n v="0"/>
    <n v="1250"/>
    <m/>
    <m/>
    <m/>
    <m/>
    <n v="0"/>
    <n v="0"/>
    <n v="73177.248760151997"/>
  </r>
  <r>
    <x v="57"/>
    <x v="3"/>
    <x v="289"/>
    <x v="0"/>
    <x v="3"/>
    <x v="456"/>
    <x v="27"/>
    <s v="CARİ"/>
    <n v="10"/>
    <n v="180"/>
    <n v="0"/>
    <n v="1800"/>
    <m/>
    <m/>
    <m/>
    <m/>
    <n v="0"/>
    <n v="0"/>
    <n v="73177.248760151997"/>
  </r>
  <r>
    <x v="57"/>
    <x v="4"/>
    <x v="23"/>
    <x v="0"/>
    <x v="5"/>
    <x v="457"/>
    <x v="25"/>
    <s v="POS"/>
    <n v="0.122"/>
    <n v="250"/>
    <n v="30.5"/>
    <n v="0"/>
    <m/>
    <m/>
    <m/>
    <m/>
    <n v="0"/>
    <n v="0"/>
    <n v="73177.248760151997"/>
  </r>
  <r>
    <x v="57"/>
    <x v="4"/>
    <x v="50"/>
    <x v="0"/>
    <x v="5"/>
    <x v="457"/>
    <x v="25"/>
    <s v="POS"/>
    <n v="0.1"/>
    <n v="650"/>
    <n v="65"/>
    <n v="0"/>
    <m/>
    <m/>
    <m/>
    <m/>
    <n v="0"/>
    <n v="0"/>
    <n v="73177.248760151997"/>
  </r>
  <r>
    <x v="57"/>
    <x v="4"/>
    <x v="111"/>
    <x v="0"/>
    <x v="5"/>
    <x v="458"/>
    <x v="25"/>
    <s v="POS"/>
    <n v="0.28000000000000003"/>
    <n v="350"/>
    <n v="98.000000000000014"/>
    <n v="0"/>
    <m/>
    <m/>
    <m/>
    <m/>
    <n v="0"/>
    <n v="0"/>
    <n v="73177.248760151997"/>
  </r>
  <r>
    <x v="57"/>
    <x v="4"/>
    <x v="209"/>
    <x v="0"/>
    <x v="5"/>
    <x v="459"/>
    <x v="25"/>
    <s v="POS"/>
    <n v="0.47"/>
    <n v="290"/>
    <n v="136.29999999999998"/>
    <n v="0"/>
    <m/>
    <m/>
    <m/>
    <m/>
    <n v="0"/>
    <n v="0"/>
    <n v="73177.248760151997"/>
  </r>
  <r>
    <x v="57"/>
    <x v="4"/>
    <x v="231"/>
    <x v="0"/>
    <x v="5"/>
    <x v="460"/>
    <x v="25"/>
    <s v="POS"/>
    <n v="0.25"/>
    <n v="400"/>
    <n v="100"/>
    <n v="0"/>
    <m/>
    <m/>
    <m/>
    <m/>
    <n v="0"/>
    <n v="0"/>
    <n v="73177.248760151997"/>
  </r>
  <r>
    <x v="57"/>
    <x v="4"/>
    <x v="229"/>
    <x v="0"/>
    <x v="5"/>
    <x v="461"/>
    <x v="25"/>
    <s v="POS"/>
    <n v="0.42"/>
    <n v="195"/>
    <n v="81.899999999999991"/>
    <n v="0"/>
    <m/>
    <m/>
    <m/>
    <m/>
    <n v="0"/>
    <n v="0"/>
    <n v="73177.248760151997"/>
  </r>
  <r>
    <x v="57"/>
    <x v="4"/>
    <x v="242"/>
    <x v="0"/>
    <x v="5"/>
    <x v="462"/>
    <x v="25"/>
    <s v="POS"/>
    <n v="0.26"/>
    <n v="195"/>
    <n v="50.7"/>
    <n v="0"/>
    <m/>
    <m/>
    <m/>
    <m/>
    <n v="0"/>
    <n v="0"/>
    <n v="73177.248760151997"/>
  </r>
  <r>
    <x v="57"/>
    <x v="4"/>
    <x v="169"/>
    <x v="0"/>
    <x v="5"/>
    <x v="463"/>
    <x v="25"/>
    <s v="POS"/>
    <n v="0.154"/>
    <n v="650"/>
    <n v="100.1"/>
    <n v="0"/>
    <m/>
    <m/>
    <m/>
    <m/>
    <n v="0"/>
    <n v="0"/>
    <n v="73177.248760151997"/>
  </r>
  <r>
    <x v="57"/>
    <x v="4"/>
    <x v="286"/>
    <x v="0"/>
    <x v="1"/>
    <x v="464"/>
    <x v="25"/>
    <s v="NAKİT"/>
    <n v="0.65400000000000003"/>
    <n v="65"/>
    <n v="0"/>
    <n v="0"/>
    <m/>
    <m/>
    <m/>
    <m/>
    <n v="42.510000000000005"/>
    <n v="0"/>
    <n v="73219.758760151992"/>
  </r>
  <r>
    <x v="57"/>
    <x v="4"/>
    <x v="287"/>
    <x v="0"/>
    <x v="1"/>
    <x v="464"/>
    <x v="25"/>
    <s v="NAKİT"/>
    <n v="0.81799999999999995"/>
    <n v="65"/>
    <n v="0"/>
    <n v="0"/>
    <m/>
    <m/>
    <m/>
    <m/>
    <n v="53.169999999999995"/>
    <n v="0"/>
    <n v="73272.92876015199"/>
  </r>
  <r>
    <x v="57"/>
    <x v="4"/>
    <x v="161"/>
    <x v="0"/>
    <x v="1"/>
    <x v="464"/>
    <x v="25"/>
    <s v="NAKİT"/>
    <n v="0.25"/>
    <n v="370"/>
    <n v="0"/>
    <n v="0"/>
    <m/>
    <m/>
    <m/>
    <m/>
    <n v="92.5"/>
    <n v="0"/>
    <n v="73365.42876015199"/>
  </r>
  <r>
    <x v="57"/>
    <x v="4"/>
    <x v="24"/>
    <x v="0"/>
    <x v="1"/>
    <x v="464"/>
    <x v="25"/>
    <s v="NAKİT"/>
    <n v="8.4000000000000005E-2"/>
    <n v="640"/>
    <n v="0"/>
    <n v="0"/>
    <m/>
    <m/>
    <m/>
    <m/>
    <n v="53.760000000000005"/>
    <n v="0"/>
    <n v="73419.188760151985"/>
  </r>
  <r>
    <x v="57"/>
    <x v="4"/>
    <x v="111"/>
    <x v="0"/>
    <x v="1"/>
    <x v="464"/>
    <x v="25"/>
    <s v="NAKİT"/>
    <n v="0.19600000000000001"/>
    <n v="350"/>
    <n v="0"/>
    <n v="0"/>
    <m/>
    <m/>
    <m/>
    <m/>
    <n v="68.600000000000009"/>
    <n v="0"/>
    <n v="73487.788760151991"/>
  </r>
  <r>
    <x v="57"/>
    <x v="4"/>
    <x v="238"/>
    <x v="0"/>
    <x v="1"/>
    <x v="464"/>
    <x v="25"/>
    <s v="NAKİT"/>
    <n v="0.376"/>
    <n v="340"/>
    <n v="0"/>
    <n v="0"/>
    <m/>
    <m/>
    <m/>
    <m/>
    <n v="127.84"/>
    <n v="0"/>
    <n v="73615.628760151987"/>
  </r>
  <r>
    <x v="57"/>
    <x v="4"/>
    <x v="113"/>
    <x v="0"/>
    <x v="1"/>
    <x v="464"/>
    <x v="25"/>
    <s v="NAKİT"/>
    <n v="0.1"/>
    <n v="1350"/>
    <n v="0"/>
    <n v="0"/>
    <m/>
    <m/>
    <m/>
    <m/>
    <n v="135"/>
    <n v="0"/>
    <n v="73750.628760151987"/>
  </r>
  <r>
    <x v="57"/>
    <x v="4"/>
    <x v="31"/>
    <x v="0"/>
    <x v="1"/>
    <x v="464"/>
    <x v="25"/>
    <s v="NAKİT"/>
    <n v="0.14399999999999999"/>
    <n v="380"/>
    <n v="0"/>
    <n v="0"/>
    <m/>
    <m/>
    <m/>
    <m/>
    <n v="54.72"/>
    <n v="0"/>
    <n v="73805.348760151988"/>
  </r>
  <r>
    <x v="57"/>
    <x v="4"/>
    <x v="199"/>
    <x v="0"/>
    <x v="1"/>
    <x v="464"/>
    <x v="25"/>
    <s v="NAKİT"/>
    <n v="0.504"/>
    <n v="130"/>
    <n v="0"/>
    <n v="0"/>
    <m/>
    <m/>
    <m/>
    <m/>
    <n v="65.52"/>
    <n v="0"/>
    <n v="73870.868760151992"/>
  </r>
  <r>
    <x v="57"/>
    <x v="4"/>
    <x v="56"/>
    <x v="0"/>
    <x v="1"/>
    <x v="464"/>
    <x v="25"/>
    <s v="NAKİT"/>
    <n v="1"/>
    <n v="180"/>
    <n v="0"/>
    <n v="0"/>
    <m/>
    <m/>
    <m/>
    <m/>
    <n v="180"/>
    <n v="0"/>
    <n v="74050.868760151992"/>
  </r>
  <r>
    <x v="57"/>
    <x v="4"/>
    <x v="38"/>
    <x v="0"/>
    <x v="1"/>
    <x v="464"/>
    <x v="25"/>
    <s v="NAKİT"/>
    <n v="0.1"/>
    <n v="650"/>
    <n v="0"/>
    <n v="0"/>
    <m/>
    <m/>
    <m/>
    <m/>
    <n v="65"/>
    <n v="0"/>
    <n v="74115.868760151992"/>
  </r>
  <r>
    <x v="57"/>
    <x v="4"/>
    <x v="76"/>
    <x v="0"/>
    <x v="1"/>
    <x v="464"/>
    <x v="25"/>
    <s v="NAKİT"/>
    <n v="0.5"/>
    <n v="80"/>
    <n v="0"/>
    <n v="0"/>
    <m/>
    <m/>
    <m/>
    <m/>
    <n v="40"/>
    <n v="0"/>
    <n v="74155.868760151992"/>
  </r>
  <r>
    <x v="57"/>
    <x v="4"/>
    <x v="25"/>
    <x v="0"/>
    <x v="1"/>
    <x v="464"/>
    <x v="25"/>
    <s v="NAKİT"/>
    <n v="8.7999999999999995E-2"/>
    <n v="390"/>
    <n v="0"/>
    <n v="0"/>
    <m/>
    <m/>
    <m/>
    <m/>
    <n v="34.32"/>
    <n v="0"/>
    <n v="74190.188760151999"/>
  </r>
  <r>
    <x v="57"/>
    <x v="4"/>
    <x v="23"/>
    <x v="0"/>
    <x v="1"/>
    <x v="464"/>
    <x v="25"/>
    <s v="NAKİT"/>
    <n v="0.14000000000000001"/>
    <n v="250"/>
    <n v="0"/>
    <n v="0"/>
    <m/>
    <m/>
    <m/>
    <m/>
    <n v="35"/>
    <n v="0"/>
    <n v="74225.188760151999"/>
  </r>
  <r>
    <x v="57"/>
    <x v="4"/>
    <x v="28"/>
    <x v="0"/>
    <x v="1"/>
    <x v="464"/>
    <x v="25"/>
    <s v="NAKİT"/>
    <n v="0.16800000000000001"/>
    <n v="500"/>
    <n v="0"/>
    <n v="0"/>
    <m/>
    <m/>
    <m/>
    <m/>
    <n v="84"/>
    <n v="0"/>
    <n v="74309.188760151999"/>
  </r>
  <r>
    <x v="57"/>
    <x v="4"/>
    <x v="47"/>
    <x v="0"/>
    <x v="1"/>
    <x v="464"/>
    <x v="25"/>
    <s v="NAKİT"/>
    <n v="8.7999999999999995E-2"/>
    <n v="400"/>
    <n v="0"/>
    <n v="0"/>
    <m/>
    <m/>
    <m/>
    <m/>
    <n v="35.199999999999996"/>
    <n v="0"/>
    <n v="74344.388760151996"/>
  </r>
  <r>
    <x v="57"/>
    <x v="4"/>
    <x v="194"/>
    <x v="0"/>
    <x v="1"/>
    <x v="464"/>
    <x v="25"/>
    <s v="NAKİT"/>
    <n v="1"/>
    <n v="220"/>
    <n v="0"/>
    <n v="0"/>
    <m/>
    <m/>
    <m/>
    <m/>
    <n v="220"/>
    <n v="0"/>
    <n v="74564.388760151996"/>
  </r>
  <r>
    <x v="57"/>
    <x v="4"/>
    <x v="39"/>
    <x v="0"/>
    <x v="1"/>
    <x v="464"/>
    <x v="25"/>
    <s v="NAKİT"/>
    <n v="0.13"/>
    <n v="760"/>
    <n v="0"/>
    <n v="0"/>
    <m/>
    <m/>
    <m/>
    <m/>
    <n v="98.8"/>
    <n v="0"/>
    <n v="74663.188760151999"/>
  </r>
  <r>
    <x v="57"/>
    <x v="4"/>
    <x v="168"/>
    <x v="0"/>
    <x v="1"/>
    <x v="464"/>
    <x v="25"/>
    <s v="NAKİT"/>
    <n v="1"/>
    <n v="40"/>
    <n v="0"/>
    <n v="0"/>
    <m/>
    <m/>
    <m/>
    <m/>
    <n v="40"/>
    <n v="0"/>
    <n v="74703.188760151999"/>
  </r>
  <r>
    <x v="57"/>
    <x v="4"/>
    <x v="232"/>
    <x v="0"/>
    <x v="1"/>
    <x v="464"/>
    <x v="25"/>
    <s v="NAKİT"/>
    <n v="1"/>
    <n v="300"/>
    <n v="0"/>
    <n v="0"/>
    <m/>
    <m/>
    <m/>
    <m/>
    <n v="300"/>
    <n v="0"/>
    <n v="75003.188760151999"/>
  </r>
  <r>
    <x v="57"/>
    <x v="4"/>
    <x v="24"/>
    <x v="0"/>
    <x v="5"/>
    <x v="465"/>
    <x v="25"/>
    <s v="POS"/>
    <n v="0.140625"/>
    <n v="640"/>
    <n v="90"/>
    <n v="0"/>
    <m/>
    <m/>
    <m/>
    <m/>
    <n v="0"/>
    <n v="0"/>
    <n v="75003.188760151999"/>
  </r>
  <r>
    <x v="57"/>
    <x v="4"/>
    <x v="22"/>
    <x v="0"/>
    <x v="5"/>
    <x v="465"/>
    <x v="25"/>
    <s v="POS"/>
    <n v="0.11"/>
    <n v="360"/>
    <n v="39.6"/>
    <n v="0"/>
    <m/>
    <m/>
    <m/>
    <m/>
    <n v="0"/>
    <n v="0"/>
    <n v="75003.188760151999"/>
  </r>
  <r>
    <x v="57"/>
    <x v="4"/>
    <x v="27"/>
    <x v="0"/>
    <x v="5"/>
    <x v="465"/>
    <x v="25"/>
    <s v="POS"/>
    <n v="0.125"/>
    <n v="400"/>
    <n v="50"/>
    <n v="0"/>
    <m/>
    <m/>
    <m/>
    <m/>
    <n v="0"/>
    <n v="0"/>
    <n v="75003.188760151999"/>
  </r>
  <r>
    <x v="57"/>
    <x v="4"/>
    <x v="138"/>
    <x v="0"/>
    <x v="1"/>
    <x v="466"/>
    <x v="25"/>
    <s v="NAKİT"/>
    <n v="1"/>
    <n v="140"/>
    <n v="0"/>
    <n v="0"/>
    <m/>
    <m/>
    <m/>
    <m/>
    <n v="140"/>
    <n v="0"/>
    <n v="75143.188760151999"/>
  </r>
  <r>
    <x v="57"/>
    <x v="4"/>
    <x v="57"/>
    <x v="0"/>
    <x v="5"/>
    <x v="467"/>
    <x v="25"/>
    <s v="POS"/>
    <n v="1"/>
    <n v="130"/>
    <n v="130"/>
    <n v="0"/>
    <m/>
    <m/>
    <m/>
    <m/>
    <n v="0"/>
    <n v="0"/>
    <n v="75143.188760151999"/>
  </r>
  <r>
    <x v="57"/>
    <x v="4"/>
    <x v="101"/>
    <x v="0"/>
    <x v="5"/>
    <x v="467"/>
    <x v="25"/>
    <s v="POS"/>
    <n v="0.13333333333333333"/>
    <n v="150"/>
    <n v="20"/>
    <n v="0"/>
    <m/>
    <m/>
    <m/>
    <m/>
    <n v="0"/>
    <n v="0"/>
    <n v="75143.188760151999"/>
  </r>
  <r>
    <x v="57"/>
    <x v="10"/>
    <x v="0"/>
    <x v="0"/>
    <x v="5"/>
    <x v="2"/>
    <x v="63"/>
    <s v="POS"/>
    <n v="1"/>
    <n v="200"/>
    <n v="0"/>
    <n v="200"/>
    <m/>
    <m/>
    <m/>
    <m/>
    <n v="200"/>
    <n v="0"/>
    <n v="75343.188760151999"/>
  </r>
  <r>
    <x v="57"/>
    <x v="1"/>
    <x v="0"/>
    <x v="13"/>
    <x v="2"/>
    <x v="2"/>
    <x v="75"/>
    <s v="K.K."/>
    <n v="1"/>
    <n v="632.16999999999996"/>
    <n v="0"/>
    <n v="632.16999999999996"/>
    <m/>
    <m/>
    <m/>
    <m/>
    <n v="0"/>
    <n v="0"/>
    <n v="75343.188760151999"/>
  </r>
  <r>
    <x v="58"/>
    <x v="4"/>
    <x v="24"/>
    <x v="0"/>
    <x v="1"/>
    <x v="468"/>
    <x v="25"/>
    <s v="NAKİT"/>
    <n v="7.8125E-2"/>
    <n v="640"/>
    <n v="0"/>
    <n v="0"/>
    <m/>
    <m/>
    <m/>
    <m/>
    <n v="50"/>
    <n v="0"/>
    <n v="75393.188760151999"/>
  </r>
  <r>
    <x v="58"/>
    <x v="4"/>
    <x v="27"/>
    <x v="0"/>
    <x v="1"/>
    <x v="468"/>
    <x v="25"/>
    <s v="NAKİT"/>
    <n v="0.125"/>
    <n v="400"/>
    <n v="0"/>
    <n v="0"/>
    <m/>
    <m/>
    <m/>
    <m/>
    <n v="50"/>
    <n v="0"/>
    <n v="75443.188760151999"/>
  </r>
  <r>
    <x v="58"/>
    <x v="4"/>
    <x v="28"/>
    <x v="0"/>
    <x v="5"/>
    <x v="469"/>
    <x v="25"/>
    <s v="POS"/>
    <n v="0.2"/>
    <n v="500"/>
    <n v="100"/>
    <n v="0"/>
    <m/>
    <m/>
    <m/>
    <m/>
    <n v="0"/>
    <n v="0"/>
    <n v="75443.188760151999"/>
  </r>
  <r>
    <x v="58"/>
    <x v="4"/>
    <x v="30"/>
    <x v="0"/>
    <x v="5"/>
    <x v="469"/>
    <x v="25"/>
    <s v="POS"/>
    <n v="0.2"/>
    <n v="500"/>
    <n v="100"/>
    <n v="0"/>
    <m/>
    <m/>
    <m/>
    <m/>
    <n v="0"/>
    <n v="0"/>
    <n v="75443.188760151999"/>
  </r>
  <r>
    <x v="58"/>
    <x v="4"/>
    <x v="18"/>
    <x v="0"/>
    <x v="1"/>
    <x v="470"/>
    <x v="25"/>
    <s v="NAKİT"/>
    <n v="0.5"/>
    <n v="240"/>
    <n v="0"/>
    <n v="0"/>
    <m/>
    <m/>
    <m/>
    <m/>
    <n v="120"/>
    <n v="0"/>
    <n v="75563.188760151999"/>
  </r>
  <r>
    <x v="58"/>
    <x v="4"/>
    <x v="20"/>
    <x v="0"/>
    <x v="1"/>
    <x v="470"/>
    <x v="25"/>
    <s v="NAKİT"/>
    <n v="0.5"/>
    <n v="200"/>
    <n v="0"/>
    <n v="0"/>
    <m/>
    <m/>
    <m/>
    <m/>
    <n v="100"/>
    <n v="0"/>
    <n v="75663.188760151999"/>
  </r>
  <r>
    <x v="58"/>
    <x v="4"/>
    <x v="124"/>
    <x v="0"/>
    <x v="5"/>
    <x v="471"/>
    <x v="25"/>
    <s v="POS"/>
    <n v="0.1"/>
    <n v="900"/>
    <n v="90"/>
    <n v="0"/>
    <m/>
    <m/>
    <m/>
    <m/>
    <n v="0"/>
    <n v="0"/>
    <n v="75663.188760151999"/>
  </r>
  <r>
    <x v="58"/>
    <x v="4"/>
    <x v="85"/>
    <x v="0"/>
    <x v="5"/>
    <x v="471"/>
    <x v="25"/>
    <s v="POS"/>
    <n v="0.14899999999999999"/>
    <n v="270"/>
    <n v="40.229999999999997"/>
    <n v="0"/>
    <m/>
    <m/>
    <m/>
    <m/>
    <n v="0"/>
    <n v="0"/>
    <n v="75663.188760151999"/>
  </r>
  <r>
    <x v="58"/>
    <x v="4"/>
    <x v="38"/>
    <x v="0"/>
    <x v="1"/>
    <x v="472"/>
    <x v="25"/>
    <s v="NAKİT"/>
    <n v="0.35"/>
    <n v="575"/>
    <n v="0"/>
    <n v="0"/>
    <m/>
    <m/>
    <m/>
    <m/>
    <n v="201.25"/>
    <n v="0"/>
    <n v="75864.438760151999"/>
  </r>
  <r>
    <x v="58"/>
    <x v="4"/>
    <x v="38"/>
    <x v="0"/>
    <x v="1"/>
    <x v="472"/>
    <x v="25"/>
    <s v="NAKİT"/>
    <n v="0.35"/>
    <n v="575"/>
    <n v="0"/>
    <n v="0"/>
    <m/>
    <m/>
    <m/>
    <m/>
    <n v="201.25"/>
    <n v="0"/>
    <n v="76065.688760151999"/>
  </r>
  <r>
    <x v="58"/>
    <x v="4"/>
    <x v="242"/>
    <x v="0"/>
    <x v="1"/>
    <x v="473"/>
    <x v="25"/>
    <s v="NAKİT"/>
    <n v="0.51500000000000001"/>
    <n v="195"/>
    <n v="0"/>
    <n v="0"/>
    <m/>
    <m/>
    <m/>
    <m/>
    <n v="100.425"/>
    <n v="0"/>
    <n v="76166.113760152002"/>
  </r>
  <r>
    <x v="58"/>
    <x v="4"/>
    <x v="57"/>
    <x v="0"/>
    <x v="1"/>
    <x v="474"/>
    <x v="25"/>
    <s v="NAKİT"/>
    <n v="1"/>
    <n v="100"/>
    <n v="0"/>
    <n v="0"/>
    <m/>
    <m/>
    <m/>
    <m/>
    <n v="100"/>
    <n v="0"/>
    <n v="76266.113760152002"/>
  </r>
  <r>
    <x v="58"/>
    <x v="4"/>
    <x v="27"/>
    <x v="0"/>
    <x v="1"/>
    <x v="474"/>
    <x v="25"/>
    <s v="NAKİT"/>
    <n v="0.15"/>
    <n v="400"/>
    <n v="0"/>
    <n v="0"/>
    <m/>
    <m/>
    <m/>
    <m/>
    <n v="60"/>
    <n v="0"/>
    <n v="76326.113760152002"/>
  </r>
  <r>
    <x v="58"/>
    <x v="4"/>
    <x v="233"/>
    <x v="0"/>
    <x v="1"/>
    <x v="475"/>
    <x v="25"/>
    <s v="NAKİT"/>
    <n v="1"/>
    <n v="400"/>
    <n v="0"/>
    <n v="0"/>
    <m/>
    <m/>
    <m/>
    <m/>
    <n v="400"/>
    <n v="0"/>
    <n v="76726.113760152002"/>
  </r>
  <r>
    <x v="58"/>
    <x v="4"/>
    <x v="238"/>
    <x v="0"/>
    <x v="5"/>
    <x v="476"/>
    <x v="25"/>
    <s v="POS"/>
    <n v="0.4"/>
    <n v="340"/>
    <n v="136"/>
    <n v="0"/>
    <m/>
    <m/>
    <m/>
    <m/>
    <n v="0"/>
    <n v="0"/>
    <n v="76726.113760152002"/>
  </r>
  <r>
    <x v="58"/>
    <x v="4"/>
    <x v="51"/>
    <x v="0"/>
    <x v="1"/>
    <x v="477"/>
    <x v="25"/>
    <s v="NAKİT"/>
    <n v="0.1"/>
    <n v="400"/>
    <n v="0"/>
    <n v="0"/>
    <m/>
    <m/>
    <m/>
    <m/>
    <n v="40"/>
    <n v="0"/>
    <n v="76766.113760152002"/>
  </r>
  <r>
    <x v="58"/>
    <x v="4"/>
    <x v="284"/>
    <x v="0"/>
    <x v="1"/>
    <x v="478"/>
    <x v="25"/>
    <s v="NAKİT"/>
    <n v="1"/>
    <n v="390"/>
    <n v="0"/>
    <n v="0"/>
    <m/>
    <m/>
    <m/>
    <m/>
    <n v="390"/>
    <n v="0"/>
    <n v="77156.113760152002"/>
  </r>
  <r>
    <x v="58"/>
    <x v="4"/>
    <x v="255"/>
    <x v="0"/>
    <x v="1"/>
    <x v="479"/>
    <x v="25"/>
    <s v="NAKİT"/>
    <n v="1"/>
    <n v="130"/>
    <n v="0"/>
    <n v="0"/>
    <m/>
    <m/>
    <m/>
    <m/>
    <n v="130"/>
    <n v="0"/>
    <n v="77286.113760152002"/>
  </r>
  <r>
    <x v="58"/>
    <x v="4"/>
    <x v="230"/>
    <x v="0"/>
    <x v="1"/>
    <x v="479"/>
    <x v="25"/>
    <s v="NAKİT"/>
    <n v="0.41935483870967744"/>
    <n v="155"/>
    <n v="0"/>
    <n v="0"/>
    <m/>
    <m/>
    <m/>
    <m/>
    <n v="65"/>
    <n v="0"/>
    <n v="77351.113760152002"/>
  </r>
  <r>
    <x v="58"/>
    <x v="4"/>
    <x v="157"/>
    <x v="0"/>
    <x v="5"/>
    <x v="480"/>
    <x v="25"/>
    <s v="POS"/>
    <n v="0.1"/>
    <n v="200"/>
    <n v="20"/>
    <n v="0"/>
    <m/>
    <m/>
    <m/>
    <m/>
    <n v="0"/>
    <n v="0"/>
    <n v="77351.113760152002"/>
  </r>
  <r>
    <x v="58"/>
    <x v="4"/>
    <x v="212"/>
    <x v="0"/>
    <x v="5"/>
    <x v="480"/>
    <x v="25"/>
    <s v="POS"/>
    <n v="9.6199999999999994E-2"/>
    <n v="520"/>
    <n v="50.023999999999994"/>
    <n v="0"/>
    <m/>
    <m/>
    <m/>
    <m/>
    <n v="0"/>
    <n v="0"/>
    <n v="77351.113760152002"/>
  </r>
  <r>
    <x v="58"/>
    <x v="4"/>
    <x v="41"/>
    <x v="0"/>
    <x v="5"/>
    <x v="480"/>
    <x v="25"/>
    <s v="POS"/>
    <n v="1"/>
    <n v="100"/>
    <n v="100"/>
    <n v="0"/>
    <m/>
    <m/>
    <m/>
    <m/>
    <n v="0"/>
    <n v="0"/>
    <n v="77351.113760152002"/>
  </r>
  <r>
    <x v="58"/>
    <x v="4"/>
    <x v="56"/>
    <x v="0"/>
    <x v="1"/>
    <x v="481"/>
    <x v="25"/>
    <s v="NAKİT"/>
    <n v="1"/>
    <n v="180"/>
    <n v="0"/>
    <n v="0"/>
    <m/>
    <m/>
    <m/>
    <m/>
    <n v="180"/>
    <n v="0"/>
    <n v="77531.113760152002"/>
  </r>
  <r>
    <x v="58"/>
    <x v="4"/>
    <x v="57"/>
    <x v="0"/>
    <x v="1"/>
    <x v="481"/>
    <x v="25"/>
    <s v="NAKİT"/>
    <n v="1"/>
    <n v="130"/>
    <n v="0"/>
    <n v="0"/>
    <m/>
    <m/>
    <m/>
    <m/>
    <n v="130"/>
    <n v="0"/>
    <n v="77661.113760152002"/>
  </r>
  <r>
    <x v="58"/>
    <x v="4"/>
    <x v="55"/>
    <x v="0"/>
    <x v="1"/>
    <x v="481"/>
    <x v="25"/>
    <s v="NAKİT"/>
    <n v="0.5"/>
    <n v="180"/>
    <n v="0"/>
    <n v="0"/>
    <m/>
    <m/>
    <m/>
    <m/>
    <n v="90"/>
    <n v="0"/>
    <n v="77751.113760152002"/>
  </r>
  <r>
    <x v="59"/>
    <x v="3"/>
    <x v="279"/>
    <x v="0"/>
    <x v="2"/>
    <x v="482"/>
    <x v="50"/>
    <s v="K.K."/>
    <n v="12"/>
    <n v="64.701666666666668"/>
    <n v="0"/>
    <n v="776.42000000000007"/>
    <m/>
    <m/>
    <m/>
    <m/>
    <n v="0"/>
    <n v="0"/>
    <n v="77751.113760152002"/>
  </r>
  <r>
    <x v="59"/>
    <x v="3"/>
    <x v="290"/>
    <x v="0"/>
    <x v="2"/>
    <x v="483"/>
    <x v="50"/>
    <s v="K.K."/>
    <n v="8"/>
    <n v="102.52500000000001"/>
    <n v="0"/>
    <n v="820.2"/>
    <m/>
    <m/>
    <m/>
    <m/>
    <n v="0"/>
    <n v="0"/>
    <n v="77751.113760152002"/>
  </r>
  <r>
    <x v="59"/>
    <x v="3"/>
    <x v="291"/>
    <x v="0"/>
    <x v="2"/>
    <x v="484"/>
    <x v="50"/>
    <s v="K.K."/>
    <n v="6"/>
    <n v="146.6"/>
    <n v="0"/>
    <n v="879.59999999999991"/>
    <m/>
    <m/>
    <m/>
    <m/>
    <n v="0"/>
    <n v="0"/>
    <n v="77751.113760152002"/>
  </r>
  <r>
    <x v="59"/>
    <x v="3"/>
    <x v="292"/>
    <x v="0"/>
    <x v="2"/>
    <x v="485"/>
    <x v="50"/>
    <s v="K.K."/>
    <n v="4"/>
    <n v="168"/>
    <n v="0"/>
    <n v="672"/>
    <m/>
    <m/>
    <m/>
    <m/>
    <n v="0"/>
    <n v="0"/>
    <n v="77751.113760152002"/>
  </r>
  <r>
    <x v="59"/>
    <x v="4"/>
    <x v="100"/>
    <x v="0"/>
    <x v="5"/>
    <x v="486"/>
    <x v="25"/>
    <s v="POS"/>
    <n v="0.17"/>
    <n v="650"/>
    <n v="110.50000000000001"/>
    <n v="0"/>
    <m/>
    <m/>
    <m/>
    <m/>
    <n v="0"/>
    <n v="0"/>
    <n v="77751.113760152002"/>
  </r>
  <r>
    <x v="59"/>
    <x v="4"/>
    <x v="98"/>
    <x v="0"/>
    <x v="5"/>
    <x v="486"/>
    <x v="25"/>
    <s v="POS"/>
    <n v="0.316"/>
    <n v="700"/>
    <n v="221.2"/>
    <n v="0"/>
    <m/>
    <m/>
    <m/>
    <m/>
    <n v="0"/>
    <n v="0"/>
    <n v="77751.113760152002"/>
  </r>
  <r>
    <x v="59"/>
    <x v="4"/>
    <x v="238"/>
    <x v="0"/>
    <x v="5"/>
    <x v="486"/>
    <x v="25"/>
    <s v="POS"/>
    <n v="0.47199999999999998"/>
    <n v="340"/>
    <n v="160.47999999999999"/>
    <n v="0"/>
    <m/>
    <m/>
    <m/>
    <m/>
    <n v="0"/>
    <n v="0"/>
    <n v="77751.113760152002"/>
  </r>
  <r>
    <x v="59"/>
    <x v="4"/>
    <x v="150"/>
    <x v="0"/>
    <x v="5"/>
    <x v="486"/>
    <x v="25"/>
    <s v="POS"/>
    <n v="1"/>
    <n v="270"/>
    <n v="270"/>
    <n v="0"/>
    <m/>
    <m/>
    <m/>
    <m/>
    <n v="0"/>
    <n v="0"/>
    <n v="77751.113760152002"/>
  </r>
  <r>
    <x v="59"/>
    <x v="4"/>
    <x v="286"/>
    <x v="0"/>
    <x v="1"/>
    <x v="487"/>
    <x v="25"/>
    <s v="NAKİT"/>
    <n v="1.385"/>
    <n v="65"/>
    <n v="0"/>
    <n v="0"/>
    <m/>
    <m/>
    <m/>
    <m/>
    <n v="90.025000000000006"/>
    <n v="0"/>
    <n v="77841.138760151996"/>
  </r>
  <r>
    <x v="59"/>
    <x v="4"/>
    <x v="33"/>
    <x v="0"/>
    <x v="1"/>
    <x v="487"/>
    <x v="25"/>
    <s v="NAKİT"/>
    <n v="0.14299999999999999"/>
    <n v="420"/>
    <n v="0"/>
    <n v="0"/>
    <m/>
    <m/>
    <m/>
    <m/>
    <n v="60.059999999999995"/>
    <n v="0"/>
    <n v="77901.198760151994"/>
  </r>
  <r>
    <x v="59"/>
    <x v="4"/>
    <x v="113"/>
    <x v="0"/>
    <x v="5"/>
    <x v="488"/>
    <x v="25"/>
    <s v="POS"/>
    <n v="0.1"/>
    <n v="1350"/>
    <n v="135"/>
    <n v="0"/>
    <m/>
    <m/>
    <m/>
    <m/>
    <n v="0"/>
    <n v="0"/>
    <n v="77901.198760151994"/>
  </r>
  <r>
    <x v="59"/>
    <x v="4"/>
    <x v="208"/>
    <x v="0"/>
    <x v="5"/>
    <x v="488"/>
    <x v="25"/>
    <s v="POS"/>
    <n v="1"/>
    <n v="290"/>
    <n v="290"/>
    <n v="0"/>
    <m/>
    <m/>
    <m/>
    <m/>
    <n v="0"/>
    <n v="0"/>
    <n v="77901.198760151994"/>
  </r>
  <r>
    <x v="59"/>
    <x v="4"/>
    <x v="155"/>
    <x v="0"/>
    <x v="1"/>
    <x v="489"/>
    <x v="25"/>
    <s v="NAKİT"/>
    <n v="0.1"/>
    <n v="700"/>
    <n v="0"/>
    <n v="0"/>
    <m/>
    <m/>
    <m/>
    <m/>
    <n v="70"/>
    <n v="0"/>
    <n v="77971.198760151994"/>
  </r>
  <r>
    <x v="59"/>
    <x v="4"/>
    <x v="72"/>
    <x v="0"/>
    <x v="1"/>
    <x v="489"/>
    <x v="25"/>
    <s v="NAKİT"/>
    <n v="0.05"/>
    <n v="1400"/>
    <n v="0"/>
    <n v="0"/>
    <m/>
    <m/>
    <m/>
    <m/>
    <n v="70"/>
    <n v="0"/>
    <n v="78041.198760151994"/>
  </r>
  <r>
    <x v="59"/>
    <x v="4"/>
    <x v="18"/>
    <x v="0"/>
    <x v="5"/>
    <x v="490"/>
    <x v="25"/>
    <s v="POS"/>
    <n v="1"/>
    <n v="240"/>
    <n v="240"/>
    <n v="0"/>
    <m/>
    <m/>
    <m/>
    <m/>
    <n v="0"/>
    <n v="0"/>
    <n v="78041.198760151994"/>
  </r>
  <r>
    <x v="59"/>
    <x v="4"/>
    <x v="58"/>
    <x v="0"/>
    <x v="5"/>
    <x v="490"/>
    <x v="25"/>
    <s v="POS"/>
    <n v="1"/>
    <n v="200"/>
    <n v="200"/>
    <n v="0"/>
    <m/>
    <m/>
    <m/>
    <m/>
    <n v="0"/>
    <n v="0"/>
    <n v="78041.198760151994"/>
  </r>
  <r>
    <x v="59"/>
    <x v="4"/>
    <x v="28"/>
    <x v="0"/>
    <x v="5"/>
    <x v="490"/>
    <x v="25"/>
    <s v="POS"/>
    <n v="0.17"/>
    <n v="500"/>
    <n v="85"/>
    <n v="0"/>
    <m/>
    <m/>
    <m/>
    <m/>
    <n v="0"/>
    <n v="0"/>
    <n v="78041.198760151994"/>
  </r>
  <r>
    <x v="59"/>
    <x v="4"/>
    <x v="71"/>
    <x v="0"/>
    <x v="5"/>
    <x v="491"/>
    <x v="25"/>
    <s v="POS"/>
    <n v="0.26400000000000001"/>
    <n v="190"/>
    <n v="50.160000000000004"/>
    <n v="0"/>
    <m/>
    <m/>
    <m/>
    <m/>
    <n v="0"/>
    <n v="0"/>
    <n v="78041.198760151994"/>
  </r>
  <r>
    <x v="59"/>
    <x v="4"/>
    <x v="34"/>
    <x v="0"/>
    <x v="5"/>
    <x v="491"/>
    <x v="25"/>
    <s v="POS"/>
    <n v="0.1"/>
    <n v="600"/>
    <n v="60"/>
    <n v="0"/>
    <m/>
    <m/>
    <m/>
    <m/>
    <n v="0"/>
    <n v="0"/>
    <n v="78041.198760151994"/>
  </r>
  <r>
    <x v="59"/>
    <x v="4"/>
    <x v="34"/>
    <x v="0"/>
    <x v="1"/>
    <x v="492"/>
    <x v="35"/>
    <s v="NAKİT"/>
    <n v="3"/>
    <n v="190"/>
    <n v="0"/>
    <n v="0"/>
    <m/>
    <m/>
    <m/>
    <m/>
    <n v="570"/>
    <n v="0"/>
    <n v="78611.198760151994"/>
  </r>
  <r>
    <x v="59"/>
    <x v="4"/>
    <x v="54"/>
    <x v="0"/>
    <x v="1"/>
    <x v="492"/>
    <x v="35"/>
    <s v="NAKİT"/>
    <n v="1"/>
    <n v="190"/>
    <n v="0"/>
    <n v="0"/>
    <m/>
    <m/>
    <m/>
    <m/>
    <n v="190"/>
    <n v="0"/>
    <n v="78801.198760151994"/>
  </r>
  <r>
    <x v="59"/>
    <x v="4"/>
    <x v="51"/>
    <x v="0"/>
    <x v="1"/>
    <x v="492"/>
    <x v="35"/>
    <s v="NAKİT"/>
    <n v="1"/>
    <n v="150"/>
    <n v="0"/>
    <n v="0"/>
    <m/>
    <m/>
    <m/>
    <m/>
    <n v="150"/>
    <n v="0"/>
    <n v="78951.198760151994"/>
  </r>
  <r>
    <x v="59"/>
    <x v="10"/>
    <x v="0"/>
    <x v="0"/>
    <x v="5"/>
    <x v="2"/>
    <x v="63"/>
    <s v="POS"/>
    <n v="1"/>
    <n v="405"/>
    <n v="0"/>
    <n v="405"/>
    <m/>
    <m/>
    <m/>
    <m/>
    <n v="405"/>
    <n v="0"/>
    <n v="79356.198760151994"/>
  </r>
  <r>
    <x v="59"/>
    <x v="1"/>
    <x v="0"/>
    <x v="2"/>
    <x v="1"/>
    <x v="2"/>
    <x v="76"/>
    <s v="NAKİT"/>
    <n v="1"/>
    <n v="22000"/>
    <n v="0"/>
    <n v="0"/>
    <m/>
    <m/>
    <m/>
    <m/>
    <n v="0"/>
    <n v="22000"/>
    <n v="57356.198760151994"/>
  </r>
  <r>
    <x v="60"/>
    <x v="4"/>
    <x v="150"/>
    <x v="0"/>
    <x v="1"/>
    <x v="493"/>
    <x v="25"/>
    <s v="NAKİT"/>
    <n v="1"/>
    <n v="290"/>
    <n v="0"/>
    <n v="0"/>
    <m/>
    <m/>
    <m/>
    <m/>
    <n v="290"/>
    <n v="0"/>
    <n v="57646.198760151994"/>
  </r>
  <r>
    <x v="60"/>
    <x v="4"/>
    <x v="28"/>
    <x v="0"/>
    <x v="1"/>
    <x v="493"/>
    <x v="25"/>
    <s v="NAKİT"/>
    <n v="0.1"/>
    <n v="500"/>
    <n v="0"/>
    <n v="0"/>
    <m/>
    <m/>
    <m/>
    <m/>
    <n v="50"/>
    <n v="0"/>
    <n v="57696.198760151994"/>
  </r>
  <r>
    <x v="60"/>
    <x v="4"/>
    <x v="49"/>
    <x v="0"/>
    <x v="1"/>
    <x v="494"/>
    <x v="25"/>
    <s v="NAKİT"/>
    <n v="0.1"/>
    <n v="600"/>
    <n v="0"/>
    <n v="0"/>
    <m/>
    <m/>
    <m/>
    <m/>
    <n v="60"/>
    <n v="0"/>
    <n v="57756.198760151994"/>
  </r>
  <r>
    <x v="60"/>
    <x v="4"/>
    <x v="100"/>
    <x v="0"/>
    <x v="5"/>
    <x v="495"/>
    <x v="25"/>
    <s v="POS"/>
    <n v="0.50461538461538458"/>
    <n v="650"/>
    <n v="328"/>
    <n v="0"/>
    <m/>
    <m/>
    <m/>
    <m/>
    <n v="0"/>
    <n v="0"/>
    <n v="57756.198760151994"/>
  </r>
  <r>
    <x v="60"/>
    <x v="4"/>
    <x v="98"/>
    <x v="0"/>
    <x v="5"/>
    <x v="495"/>
    <x v="25"/>
    <s v="POS"/>
    <n v="0.51714285714285713"/>
    <n v="700"/>
    <n v="362"/>
    <n v="0"/>
    <m/>
    <m/>
    <m/>
    <m/>
    <n v="0"/>
    <n v="0"/>
    <n v="57756.198760151994"/>
  </r>
  <r>
    <x v="60"/>
    <x v="4"/>
    <x v="207"/>
    <x v="0"/>
    <x v="5"/>
    <x v="495"/>
    <x v="25"/>
    <s v="POS"/>
    <n v="1"/>
    <n v="440"/>
    <n v="440"/>
    <n v="0"/>
    <m/>
    <m/>
    <m/>
    <m/>
    <n v="0"/>
    <n v="0"/>
    <n v="57756.198760151994"/>
  </r>
  <r>
    <x v="60"/>
    <x v="4"/>
    <x v="154"/>
    <x v="0"/>
    <x v="5"/>
    <x v="496"/>
    <x v="25"/>
    <s v="POS"/>
    <n v="1"/>
    <n v="180"/>
    <n v="180"/>
    <n v="0"/>
    <m/>
    <m/>
    <m/>
    <m/>
    <n v="0"/>
    <n v="0"/>
    <n v="57756.198760151994"/>
  </r>
  <r>
    <x v="60"/>
    <x v="4"/>
    <x v="58"/>
    <x v="0"/>
    <x v="5"/>
    <x v="496"/>
    <x v="25"/>
    <s v="POS"/>
    <n v="1"/>
    <n v="200"/>
    <n v="200"/>
    <n v="0"/>
    <m/>
    <m/>
    <m/>
    <m/>
    <n v="0"/>
    <n v="0"/>
    <n v="57756.198760151994"/>
  </r>
  <r>
    <x v="60"/>
    <x v="4"/>
    <x v="124"/>
    <x v="0"/>
    <x v="1"/>
    <x v="497"/>
    <x v="25"/>
    <s v="NAKİT"/>
    <n v="0.1"/>
    <n v="900"/>
    <n v="0"/>
    <n v="0"/>
    <m/>
    <m/>
    <m/>
    <m/>
    <n v="90"/>
    <n v="0"/>
    <n v="57846.198760151994"/>
  </r>
  <r>
    <x v="60"/>
    <x v="4"/>
    <x v="279"/>
    <x v="0"/>
    <x v="1"/>
    <x v="498"/>
    <x v="25"/>
    <s v="NAKİT"/>
    <n v="1"/>
    <n v="170"/>
    <n v="0"/>
    <n v="0"/>
    <m/>
    <m/>
    <m/>
    <m/>
    <n v="170"/>
    <n v="0"/>
    <n v="58016.198760151994"/>
  </r>
  <r>
    <x v="60"/>
    <x v="4"/>
    <x v="155"/>
    <x v="0"/>
    <x v="1"/>
    <x v="498"/>
    <x v="25"/>
    <s v="NAKİT"/>
    <n v="0.1"/>
    <n v="700"/>
    <n v="0"/>
    <n v="0"/>
    <m/>
    <m/>
    <m/>
    <m/>
    <n v="70"/>
    <n v="0"/>
    <n v="58086.198760151994"/>
  </r>
  <r>
    <x v="60"/>
    <x v="4"/>
    <x v="34"/>
    <x v="0"/>
    <x v="1"/>
    <x v="498"/>
    <x v="25"/>
    <s v="NAKİT"/>
    <n v="0.1"/>
    <n v="600"/>
    <n v="0"/>
    <n v="0"/>
    <m/>
    <m/>
    <m/>
    <m/>
    <n v="60"/>
    <n v="0"/>
    <n v="58146.198760151994"/>
  </r>
  <r>
    <x v="60"/>
    <x v="4"/>
    <x v="141"/>
    <x v="0"/>
    <x v="1"/>
    <x v="498"/>
    <x v="25"/>
    <s v="NAKİT"/>
    <n v="1"/>
    <n v="140"/>
    <n v="0"/>
    <n v="0"/>
    <m/>
    <m/>
    <m/>
    <m/>
    <n v="140"/>
    <n v="0"/>
    <n v="58286.198760151994"/>
  </r>
  <r>
    <x v="60"/>
    <x v="4"/>
    <x v="161"/>
    <x v="0"/>
    <x v="1"/>
    <x v="499"/>
    <x v="25"/>
    <s v="NAKİT"/>
    <n v="0.114"/>
    <n v="370"/>
    <n v="0"/>
    <n v="0"/>
    <m/>
    <m/>
    <m/>
    <m/>
    <n v="42.18"/>
    <n v="0"/>
    <n v="58328.378760151994"/>
  </r>
  <r>
    <x v="60"/>
    <x v="4"/>
    <x v="31"/>
    <x v="0"/>
    <x v="1"/>
    <x v="499"/>
    <x v="25"/>
    <s v="NAKİT"/>
    <n v="0.108"/>
    <n v="380"/>
    <n v="0"/>
    <n v="0"/>
    <m/>
    <m/>
    <m/>
    <m/>
    <n v="41.04"/>
    <n v="0"/>
    <n v="58369.418760151995"/>
  </r>
  <r>
    <x v="60"/>
    <x v="4"/>
    <x v="116"/>
    <x v="0"/>
    <x v="5"/>
    <x v="499"/>
    <x v="25"/>
    <s v="POS"/>
    <n v="0.28000000000000003"/>
    <n v="360"/>
    <n v="100.80000000000001"/>
    <n v="0"/>
    <m/>
    <m/>
    <m/>
    <m/>
    <n v="0"/>
    <n v="0"/>
    <n v="58369.418760151995"/>
  </r>
  <r>
    <x v="60"/>
    <x v="4"/>
    <x v="124"/>
    <x v="0"/>
    <x v="5"/>
    <x v="500"/>
    <x v="25"/>
    <s v="POS"/>
    <n v="0.1"/>
    <n v="900"/>
    <n v="90"/>
    <n v="0"/>
    <m/>
    <m/>
    <m/>
    <m/>
    <n v="0"/>
    <n v="0"/>
    <n v="58369.418760151995"/>
  </r>
  <r>
    <x v="60"/>
    <x v="4"/>
    <x v="112"/>
    <x v="0"/>
    <x v="5"/>
    <x v="500"/>
    <x v="25"/>
    <s v="POS"/>
    <n v="0.04"/>
    <n v="2250"/>
    <n v="90"/>
    <n v="0"/>
    <m/>
    <m/>
    <m/>
    <m/>
    <n v="0"/>
    <n v="0"/>
    <n v="58369.418760151995"/>
  </r>
  <r>
    <x v="60"/>
    <x v="4"/>
    <x v="62"/>
    <x v="0"/>
    <x v="5"/>
    <x v="501"/>
    <x v="25"/>
    <s v="POS"/>
    <n v="1"/>
    <n v="60"/>
    <n v="60"/>
    <n v="0"/>
    <m/>
    <m/>
    <m/>
    <m/>
    <n v="0"/>
    <n v="0"/>
    <n v="58369.418760151995"/>
  </r>
  <r>
    <x v="60"/>
    <x v="4"/>
    <x v="142"/>
    <x v="0"/>
    <x v="5"/>
    <x v="501"/>
    <x v="25"/>
    <s v="POS"/>
    <n v="0.32"/>
    <n v="250"/>
    <n v="80"/>
    <n v="0"/>
    <m/>
    <m/>
    <m/>
    <m/>
    <n v="0"/>
    <n v="0"/>
    <n v="58369.418760151995"/>
  </r>
  <r>
    <x v="60"/>
    <x v="4"/>
    <x v="230"/>
    <x v="0"/>
    <x v="5"/>
    <x v="501"/>
    <x v="25"/>
    <s v="POS"/>
    <n v="0.52258064516129032"/>
    <n v="155"/>
    <n v="81"/>
    <n v="0"/>
    <m/>
    <m/>
    <m/>
    <m/>
    <n v="0"/>
    <n v="0"/>
    <n v="58369.418760151995"/>
  </r>
  <r>
    <x v="60"/>
    <x v="4"/>
    <x v="273"/>
    <x v="0"/>
    <x v="5"/>
    <x v="501"/>
    <x v="25"/>
    <s v="POS"/>
    <n v="0.25"/>
    <n v="360"/>
    <n v="90"/>
    <n v="0"/>
    <m/>
    <m/>
    <m/>
    <m/>
    <n v="0"/>
    <n v="0"/>
    <n v="58369.418760151995"/>
  </r>
  <r>
    <x v="60"/>
    <x v="4"/>
    <x v="208"/>
    <x v="0"/>
    <x v="5"/>
    <x v="501"/>
    <x v="25"/>
    <s v="POS"/>
    <n v="1"/>
    <n v="290"/>
    <n v="290"/>
    <n v="0"/>
    <m/>
    <m/>
    <m/>
    <m/>
    <n v="0"/>
    <n v="0"/>
    <n v="58369.418760151995"/>
  </r>
  <r>
    <x v="60"/>
    <x v="4"/>
    <x v="156"/>
    <x v="0"/>
    <x v="5"/>
    <x v="502"/>
    <x v="25"/>
    <s v="POS"/>
    <n v="0.25"/>
    <n v="80"/>
    <n v="20"/>
    <n v="0"/>
    <m/>
    <m/>
    <m/>
    <m/>
    <n v="0"/>
    <n v="0"/>
    <n v="58369.418760151995"/>
  </r>
  <r>
    <x v="60"/>
    <x v="4"/>
    <x v="113"/>
    <x v="0"/>
    <x v="1"/>
    <x v="503"/>
    <x v="25"/>
    <s v="NAKİT"/>
    <n v="0.1"/>
    <n v="1350"/>
    <n v="0"/>
    <n v="0"/>
    <m/>
    <m/>
    <m/>
    <m/>
    <n v="135"/>
    <n v="0"/>
    <n v="58504.418760151995"/>
  </r>
  <r>
    <x v="60"/>
    <x v="10"/>
    <x v="0"/>
    <x v="0"/>
    <x v="5"/>
    <x v="2"/>
    <x v="63"/>
    <s v="POS"/>
    <n v="1"/>
    <n v="2130"/>
    <n v="0"/>
    <n v="2130"/>
    <m/>
    <m/>
    <m/>
    <m/>
    <n v="2130"/>
    <n v="0"/>
    <n v="60634.418760151995"/>
  </r>
  <r>
    <x v="61"/>
    <x v="4"/>
    <x v="243"/>
    <x v="0"/>
    <x v="1"/>
    <x v="504"/>
    <x v="25"/>
    <s v="NAKİT"/>
    <n v="0.25641025641025639"/>
    <n v="195"/>
    <n v="0"/>
    <n v="0"/>
    <m/>
    <m/>
    <m/>
    <m/>
    <n v="49.999999999999993"/>
    <n v="0"/>
    <n v="60684.418760151995"/>
  </r>
  <r>
    <x v="61"/>
    <x v="4"/>
    <x v="75"/>
    <x v="0"/>
    <x v="5"/>
    <x v="505"/>
    <x v="25"/>
    <s v="POS"/>
    <n v="9.375E-2"/>
    <n v="800"/>
    <n v="75"/>
    <n v="0"/>
    <m/>
    <m/>
    <m/>
    <m/>
    <n v="0"/>
    <n v="0"/>
    <n v="60684.418760151995"/>
  </r>
  <r>
    <x v="61"/>
    <x v="4"/>
    <x v="154"/>
    <x v="0"/>
    <x v="5"/>
    <x v="505"/>
    <x v="25"/>
    <s v="POS"/>
    <n v="2"/>
    <n v="180"/>
    <n v="360"/>
    <n v="0"/>
    <m/>
    <m/>
    <m/>
    <m/>
    <n v="0"/>
    <n v="0"/>
    <n v="60684.418760151995"/>
  </r>
  <r>
    <x v="61"/>
    <x v="4"/>
    <x v="83"/>
    <x v="0"/>
    <x v="5"/>
    <x v="505"/>
    <x v="25"/>
    <s v="POS"/>
    <n v="0.05"/>
    <n v="2600"/>
    <n v="130"/>
    <n v="0"/>
    <m/>
    <m/>
    <m/>
    <m/>
    <n v="0"/>
    <n v="0"/>
    <n v="60684.418760151995"/>
  </r>
  <r>
    <x v="61"/>
    <x v="4"/>
    <x v="97"/>
    <x v="0"/>
    <x v="1"/>
    <x v="506"/>
    <x v="25"/>
    <s v="NAKİT"/>
    <n v="8.3333333333333329E-2"/>
    <n v="600"/>
    <n v="0"/>
    <n v="0"/>
    <m/>
    <m/>
    <m/>
    <m/>
    <n v="50"/>
    <n v="0"/>
    <n v="60734.418760151995"/>
  </r>
  <r>
    <x v="61"/>
    <x v="4"/>
    <x v="248"/>
    <x v="0"/>
    <x v="1"/>
    <x v="506"/>
    <x v="25"/>
    <s v="NAKİT"/>
    <n v="6.6666666666666666E-2"/>
    <n v="750"/>
    <n v="0"/>
    <n v="0"/>
    <m/>
    <m/>
    <m/>
    <m/>
    <n v="50"/>
    <n v="0"/>
    <n v="60784.418760151995"/>
  </r>
  <r>
    <x v="61"/>
    <x v="4"/>
    <x v="33"/>
    <x v="0"/>
    <x v="1"/>
    <x v="506"/>
    <x v="25"/>
    <s v="NAKİT"/>
    <n v="7.3684210526315783E-2"/>
    <n v="380"/>
    <n v="0"/>
    <n v="0"/>
    <m/>
    <m/>
    <m/>
    <m/>
    <n v="27.999999999999996"/>
    <n v="0"/>
    <n v="60812.418760151995"/>
  </r>
  <r>
    <x v="61"/>
    <x v="4"/>
    <x v="18"/>
    <x v="0"/>
    <x v="1"/>
    <x v="507"/>
    <x v="25"/>
    <s v="NAKİT"/>
    <n v="1"/>
    <n v="240"/>
    <n v="0"/>
    <n v="0"/>
    <m/>
    <m/>
    <m/>
    <m/>
    <n v="240"/>
    <n v="0"/>
    <n v="61052.418760151995"/>
  </r>
  <r>
    <x v="61"/>
    <x v="4"/>
    <x v="55"/>
    <x v="0"/>
    <x v="5"/>
    <x v="508"/>
    <x v="25"/>
    <s v="POS"/>
    <n v="0.5"/>
    <n v="180"/>
    <n v="90"/>
    <n v="0"/>
    <m/>
    <m/>
    <m/>
    <m/>
    <n v="0"/>
    <n v="0"/>
    <n v="61052.418760151995"/>
  </r>
  <r>
    <x v="61"/>
    <x v="4"/>
    <x v="30"/>
    <x v="0"/>
    <x v="5"/>
    <x v="509"/>
    <x v="25"/>
    <s v="POS"/>
    <n v="0.23200000000000001"/>
    <n v="500"/>
    <n v="116"/>
    <n v="0"/>
    <m/>
    <m/>
    <m/>
    <m/>
    <n v="0"/>
    <n v="0"/>
    <n v="61052.418760151995"/>
  </r>
  <r>
    <x v="61"/>
    <x v="4"/>
    <x v="71"/>
    <x v="0"/>
    <x v="5"/>
    <x v="509"/>
    <x v="25"/>
    <s v="POS"/>
    <n v="0.18421052631578946"/>
    <n v="190"/>
    <n v="35"/>
    <n v="0"/>
    <m/>
    <m/>
    <m/>
    <m/>
    <n v="0"/>
    <n v="0"/>
    <n v="61052.418760151995"/>
  </r>
  <r>
    <x v="61"/>
    <x v="4"/>
    <x v="189"/>
    <x v="0"/>
    <x v="5"/>
    <x v="510"/>
    <x v="25"/>
    <s v="POS"/>
    <n v="1"/>
    <n v="220"/>
    <n v="220"/>
    <n v="0"/>
    <m/>
    <m/>
    <m/>
    <m/>
    <n v="0"/>
    <n v="0"/>
    <n v="61052.418760151995"/>
  </r>
  <r>
    <x v="61"/>
    <x v="4"/>
    <x v="50"/>
    <x v="0"/>
    <x v="5"/>
    <x v="510"/>
    <x v="25"/>
    <s v="POS"/>
    <n v="0.1"/>
    <n v="650"/>
    <n v="65"/>
    <n v="0"/>
    <m/>
    <m/>
    <m/>
    <m/>
    <n v="0"/>
    <n v="0"/>
    <n v="61052.418760151995"/>
  </r>
  <r>
    <x v="61"/>
    <x v="4"/>
    <x v="51"/>
    <x v="0"/>
    <x v="5"/>
    <x v="510"/>
    <x v="25"/>
    <s v="POS"/>
    <n v="0.1"/>
    <n v="400"/>
    <n v="40"/>
    <n v="0"/>
    <m/>
    <m/>
    <m/>
    <m/>
    <n v="0"/>
    <n v="0"/>
    <n v="61052.418760151995"/>
  </r>
  <r>
    <x v="61"/>
    <x v="4"/>
    <x v="45"/>
    <x v="0"/>
    <x v="5"/>
    <x v="511"/>
    <x v="25"/>
    <s v="POS"/>
    <n v="1"/>
    <n v="60"/>
    <n v="60"/>
    <n v="0"/>
    <m/>
    <m/>
    <m/>
    <m/>
    <n v="0"/>
    <n v="0"/>
    <n v="61052.418760151995"/>
  </r>
  <r>
    <x v="61"/>
    <x v="4"/>
    <x v="27"/>
    <x v="0"/>
    <x v="5"/>
    <x v="511"/>
    <x v="25"/>
    <s v="POS"/>
    <n v="0.1"/>
    <n v="400"/>
    <n v="40"/>
    <n v="0"/>
    <m/>
    <m/>
    <m/>
    <m/>
    <n v="0"/>
    <n v="0"/>
    <n v="61052.418760151995"/>
  </r>
  <r>
    <x v="61"/>
    <x v="4"/>
    <x v="61"/>
    <x v="0"/>
    <x v="5"/>
    <x v="511"/>
    <x v="25"/>
    <s v="POS"/>
    <n v="0.12987012987012986"/>
    <n v="770"/>
    <n v="99.999999999999986"/>
    <n v="0"/>
    <m/>
    <m/>
    <m/>
    <m/>
    <n v="0"/>
    <n v="0"/>
    <n v="61052.418760151995"/>
  </r>
  <r>
    <x v="61"/>
    <x v="4"/>
    <x v="124"/>
    <x v="0"/>
    <x v="5"/>
    <x v="512"/>
    <x v="25"/>
    <s v="POS"/>
    <n v="0.1"/>
    <n v="900"/>
    <n v="90"/>
    <n v="0"/>
    <m/>
    <m/>
    <m/>
    <m/>
    <n v="0"/>
    <n v="0"/>
    <n v="61052.418760151995"/>
  </r>
  <r>
    <x v="61"/>
    <x v="4"/>
    <x v="129"/>
    <x v="0"/>
    <x v="5"/>
    <x v="513"/>
    <x v="25"/>
    <s v="POS"/>
    <n v="0.20833333333333334"/>
    <n v="240"/>
    <n v="50"/>
    <n v="0"/>
    <m/>
    <m/>
    <m/>
    <m/>
    <n v="0"/>
    <n v="0"/>
    <n v="61052.418760151995"/>
  </r>
  <r>
    <x v="61"/>
    <x v="4"/>
    <x v="242"/>
    <x v="0"/>
    <x v="5"/>
    <x v="513"/>
    <x v="25"/>
    <s v="POS"/>
    <n v="0.25641025641025639"/>
    <n v="195"/>
    <n v="49.999999999999993"/>
    <n v="0"/>
    <m/>
    <m/>
    <m/>
    <m/>
    <n v="0"/>
    <n v="0"/>
    <n v="61052.418760151995"/>
  </r>
  <r>
    <x v="61"/>
    <x v="4"/>
    <x v="150"/>
    <x v="0"/>
    <x v="5"/>
    <x v="513"/>
    <x v="25"/>
    <s v="POS"/>
    <n v="0.44827586206896552"/>
    <n v="290"/>
    <n v="130"/>
    <n v="0"/>
    <m/>
    <m/>
    <m/>
    <m/>
    <n v="0"/>
    <n v="0"/>
    <n v="61052.418760151995"/>
  </r>
  <r>
    <x v="61"/>
    <x v="4"/>
    <x v="30"/>
    <x v="0"/>
    <x v="5"/>
    <x v="514"/>
    <x v="25"/>
    <s v="POS"/>
    <n v="0.1"/>
    <n v="500"/>
    <n v="50"/>
    <n v="0"/>
    <m/>
    <m/>
    <m/>
    <m/>
    <n v="0"/>
    <n v="0"/>
    <n v="61052.418760151995"/>
  </r>
  <r>
    <x v="61"/>
    <x v="4"/>
    <x v="27"/>
    <x v="0"/>
    <x v="5"/>
    <x v="514"/>
    <x v="25"/>
    <s v="POS"/>
    <n v="0.1"/>
    <n v="400"/>
    <n v="40"/>
    <n v="0"/>
    <m/>
    <m/>
    <m/>
    <m/>
    <n v="0"/>
    <n v="0"/>
    <n v="61052.418760151995"/>
  </r>
  <r>
    <x v="61"/>
    <x v="4"/>
    <x v="101"/>
    <x v="0"/>
    <x v="5"/>
    <x v="514"/>
    <x v="25"/>
    <s v="POS"/>
    <n v="0.23333333333333334"/>
    <n v="150"/>
    <n v="35"/>
    <n v="0"/>
    <m/>
    <m/>
    <m/>
    <m/>
    <n v="0"/>
    <n v="0"/>
    <n v="61052.418760151995"/>
  </r>
  <r>
    <x v="61"/>
    <x v="4"/>
    <x v="236"/>
    <x v="0"/>
    <x v="5"/>
    <x v="514"/>
    <x v="25"/>
    <s v="POS"/>
    <n v="1"/>
    <n v="220"/>
    <n v="220"/>
    <n v="0"/>
    <m/>
    <m/>
    <m/>
    <m/>
    <n v="0"/>
    <n v="0"/>
    <n v="61052.418760151995"/>
  </r>
  <r>
    <x v="61"/>
    <x v="4"/>
    <x v="129"/>
    <x v="0"/>
    <x v="5"/>
    <x v="514"/>
    <x v="25"/>
    <s v="POS"/>
    <n v="0.20833333333333334"/>
    <n v="240"/>
    <n v="50"/>
    <n v="0"/>
    <m/>
    <m/>
    <m/>
    <m/>
    <n v="0"/>
    <n v="0"/>
    <n v="61052.418760151995"/>
  </r>
  <r>
    <x v="61"/>
    <x v="4"/>
    <x v="34"/>
    <x v="0"/>
    <x v="5"/>
    <x v="515"/>
    <x v="25"/>
    <s v="POS"/>
    <n v="0.2"/>
    <n v="600"/>
    <n v="120"/>
    <n v="0"/>
    <m/>
    <m/>
    <m/>
    <m/>
    <n v="0"/>
    <n v="0"/>
    <n v="61052.418760151995"/>
  </r>
  <r>
    <x v="61"/>
    <x v="7"/>
    <x v="0"/>
    <x v="0"/>
    <x v="3"/>
    <x v="2"/>
    <x v="77"/>
    <s v="NAKİT"/>
    <n v="1"/>
    <n v="0"/>
    <n v="20000"/>
    <n v="0"/>
    <m/>
    <m/>
    <m/>
    <m/>
    <n v="0"/>
    <n v="20000"/>
    <n v="41052.418760151995"/>
  </r>
  <r>
    <x v="61"/>
    <x v="10"/>
    <x v="0"/>
    <x v="0"/>
    <x v="5"/>
    <x v="2"/>
    <x v="63"/>
    <s v="POS"/>
    <n v="1"/>
    <n v="1415"/>
    <n v="0"/>
    <n v="1415"/>
    <m/>
    <m/>
    <m/>
    <m/>
    <n v="1415"/>
    <n v="0"/>
    <n v="42467.418760151995"/>
  </r>
  <r>
    <x v="62"/>
    <x v="3"/>
    <x v="293"/>
    <x v="0"/>
    <x v="4"/>
    <x v="516"/>
    <x v="32"/>
    <s v="CARİ"/>
    <n v="3"/>
    <n v="205"/>
    <n v="0"/>
    <n v="615"/>
    <m/>
    <m/>
    <m/>
    <m/>
    <n v="0"/>
    <n v="0"/>
    <n v="42467.418760151995"/>
  </r>
  <r>
    <x v="62"/>
    <x v="3"/>
    <x v="294"/>
    <x v="0"/>
    <x v="4"/>
    <x v="516"/>
    <x v="32"/>
    <s v="CARİ"/>
    <n v="3"/>
    <n v="270"/>
    <n v="0"/>
    <n v="810"/>
    <m/>
    <m/>
    <m/>
    <m/>
    <n v="0"/>
    <n v="0"/>
    <n v="42467.418760151995"/>
  </r>
  <r>
    <x v="62"/>
    <x v="3"/>
    <x v="76"/>
    <x v="0"/>
    <x v="4"/>
    <x v="516"/>
    <x v="32"/>
    <s v="CARİ"/>
    <n v="10"/>
    <n v="15"/>
    <n v="0"/>
    <n v="150"/>
    <m/>
    <m/>
    <m/>
    <m/>
    <n v="0"/>
    <n v="0"/>
    <n v="42467.418760151995"/>
  </r>
  <r>
    <x v="62"/>
    <x v="3"/>
    <x v="77"/>
    <x v="0"/>
    <x v="4"/>
    <x v="516"/>
    <x v="32"/>
    <s v="CARİ"/>
    <n v="10"/>
    <n v="15"/>
    <n v="0"/>
    <n v="150"/>
    <m/>
    <m/>
    <m/>
    <m/>
    <n v="0"/>
    <n v="0"/>
    <n v="42467.418760151995"/>
  </r>
  <r>
    <x v="62"/>
    <x v="3"/>
    <x v="154"/>
    <x v="0"/>
    <x v="4"/>
    <x v="516"/>
    <x v="32"/>
    <s v="CARİ"/>
    <n v="20"/>
    <n v="90"/>
    <n v="0"/>
    <n v="1800"/>
    <m/>
    <m/>
    <m/>
    <m/>
    <n v="0"/>
    <n v="0"/>
    <n v="42467.418760151995"/>
  </r>
  <r>
    <x v="62"/>
    <x v="3"/>
    <x v="124"/>
    <x v="0"/>
    <x v="4"/>
    <x v="516"/>
    <x v="32"/>
    <s v="CARİ"/>
    <n v="1"/>
    <n v="150"/>
    <n v="0"/>
    <n v="150"/>
    <m/>
    <m/>
    <m/>
    <m/>
    <n v="0"/>
    <n v="0"/>
    <n v="42467.418760151995"/>
  </r>
  <r>
    <x v="62"/>
    <x v="3"/>
    <x v="155"/>
    <x v="0"/>
    <x v="4"/>
    <x v="516"/>
    <x v="32"/>
    <s v="CARİ"/>
    <n v="1"/>
    <n v="400"/>
    <n v="0"/>
    <n v="400"/>
    <m/>
    <m/>
    <m/>
    <m/>
    <n v="0"/>
    <n v="0"/>
    <n v="42467.418760151995"/>
  </r>
  <r>
    <x v="62"/>
    <x v="3"/>
    <x v="295"/>
    <x v="0"/>
    <x v="4"/>
    <x v="516"/>
    <x v="32"/>
    <s v="CARİ"/>
    <n v="1"/>
    <n v="245"/>
    <n v="0"/>
    <n v="245"/>
    <m/>
    <m/>
    <m/>
    <m/>
    <n v="0"/>
    <n v="0"/>
    <n v="42467.418760151995"/>
  </r>
  <r>
    <x v="62"/>
    <x v="3"/>
    <x v="296"/>
    <x v="0"/>
    <x v="4"/>
    <x v="516"/>
    <x v="32"/>
    <s v="CARİ"/>
    <n v="6"/>
    <n v="75"/>
    <n v="0"/>
    <n v="450"/>
    <m/>
    <m/>
    <m/>
    <m/>
    <n v="0"/>
    <n v="0"/>
    <n v="42467.418760151995"/>
  </r>
  <r>
    <x v="62"/>
    <x v="3"/>
    <x v="98"/>
    <x v="0"/>
    <x v="4"/>
    <x v="516"/>
    <x v="32"/>
    <s v="CARİ"/>
    <n v="5"/>
    <n v="550"/>
    <n v="0"/>
    <n v="2750"/>
    <m/>
    <m/>
    <m/>
    <m/>
    <n v="0"/>
    <n v="0"/>
    <n v="42467.418760151995"/>
  </r>
  <r>
    <x v="62"/>
    <x v="3"/>
    <x v="297"/>
    <x v="0"/>
    <x v="4"/>
    <x v="516"/>
    <x v="32"/>
    <s v="CARİ"/>
    <n v="6"/>
    <n v="65"/>
    <n v="0"/>
    <n v="390"/>
    <m/>
    <m/>
    <m/>
    <m/>
    <n v="0"/>
    <n v="0"/>
    <n v="42467.418760151995"/>
  </r>
  <r>
    <x v="62"/>
    <x v="4"/>
    <x v="30"/>
    <x v="0"/>
    <x v="1"/>
    <x v="517"/>
    <x v="25"/>
    <s v="NAKİT"/>
    <n v="0.33800000000000002"/>
    <n v="500"/>
    <n v="0"/>
    <n v="0"/>
    <m/>
    <m/>
    <m/>
    <m/>
    <n v="169"/>
    <n v="0"/>
    <n v="42636.418760151995"/>
  </r>
  <r>
    <x v="62"/>
    <x v="4"/>
    <x v="25"/>
    <x v="0"/>
    <x v="1"/>
    <x v="517"/>
    <x v="25"/>
    <s v="NAKİT"/>
    <n v="0.17599999999999999"/>
    <n v="390"/>
    <n v="0"/>
    <n v="0"/>
    <m/>
    <m/>
    <m/>
    <m/>
    <n v="68.64"/>
    <n v="0"/>
    <n v="42705.058760151995"/>
  </r>
  <r>
    <x v="62"/>
    <x v="4"/>
    <x v="47"/>
    <x v="0"/>
    <x v="1"/>
    <x v="517"/>
    <x v="25"/>
    <s v="NAKİT"/>
    <n v="6.4000000000000001E-2"/>
    <n v="400"/>
    <n v="0"/>
    <n v="0"/>
    <m/>
    <m/>
    <m/>
    <m/>
    <n v="25.6"/>
    <n v="0"/>
    <n v="42730.658760151993"/>
  </r>
  <r>
    <x v="62"/>
    <x v="4"/>
    <x v="56"/>
    <x v="0"/>
    <x v="1"/>
    <x v="517"/>
    <x v="25"/>
    <s v="NAKİT"/>
    <n v="0.5"/>
    <n v="180"/>
    <n v="0"/>
    <n v="0"/>
    <m/>
    <m/>
    <m/>
    <m/>
    <n v="90"/>
    <n v="0"/>
    <n v="42820.658760151993"/>
  </r>
  <r>
    <x v="62"/>
    <x v="4"/>
    <x v="286"/>
    <x v="0"/>
    <x v="1"/>
    <x v="518"/>
    <x v="25"/>
    <s v="NAKİT"/>
    <n v="0.65"/>
    <n v="65"/>
    <n v="0"/>
    <n v="0"/>
    <m/>
    <m/>
    <m/>
    <m/>
    <n v="42.25"/>
    <n v="0"/>
    <n v="42862.908760151993"/>
  </r>
  <r>
    <x v="62"/>
    <x v="4"/>
    <x v="287"/>
    <x v="0"/>
    <x v="1"/>
    <x v="518"/>
    <x v="25"/>
    <s v="NAKİT"/>
    <n v="0.65"/>
    <n v="65"/>
    <n v="0"/>
    <n v="0"/>
    <m/>
    <m/>
    <m/>
    <m/>
    <n v="42.25"/>
    <n v="0"/>
    <n v="42905.158760151993"/>
  </r>
  <r>
    <x v="62"/>
    <x v="4"/>
    <x v="56"/>
    <x v="0"/>
    <x v="5"/>
    <x v="519"/>
    <x v="25"/>
    <s v="POS"/>
    <n v="0.5"/>
    <n v="180"/>
    <n v="90"/>
    <n v="0"/>
    <m/>
    <m/>
    <m/>
    <m/>
    <n v="0"/>
    <n v="0"/>
    <n v="42905.158760151993"/>
  </r>
  <r>
    <x v="62"/>
    <x v="4"/>
    <x v="197"/>
    <x v="0"/>
    <x v="5"/>
    <x v="519"/>
    <x v="25"/>
    <s v="POS"/>
    <n v="0.5"/>
    <n v="180"/>
    <n v="90"/>
    <n v="0"/>
    <m/>
    <m/>
    <m/>
    <m/>
    <n v="0"/>
    <n v="0"/>
    <n v="42905.158760151993"/>
  </r>
  <r>
    <x v="62"/>
    <x v="4"/>
    <x v="56"/>
    <x v="0"/>
    <x v="5"/>
    <x v="520"/>
    <x v="25"/>
    <s v="POS"/>
    <n v="1"/>
    <n v="180"/>
    <n v="180"/>
    <n v="0"/>
    <m/>
    <m/>
    <m/>
    <m/>
    <n v="0"/>
    <n v="0"/>
    <n v="42905.158760151993"/>
  </r>
  <r>
    <x v="62"/>
    <x v="4"/>
    <x v="197"/>
    <x v="0"/>
    <x v="5"/>
    <x v="520"/>
    <x v="25"/>
    <s v="POS"/>
    <n v="1"/>
    <n v="180"/>
    <n v="180"/>
    <n v="0"/>
    <m/>
    <m/>
    <m/>
    <m/>
    <n v="0"/>
    <n v="0"/>
    <n v="42905.158760151993"/>
  </r>
  <r>
    <x v="62"/>
    <x v="4"/>
    <x v="27"/>
    <x v="0"/>
    <x v="5"/>
    <x v="521"/>
    <x v="25"/>
    <s v="POS"/>
    <n v="6.8000000000000005E-2"/>
    <n v="400"/>
    <n v="27.200000000000003"/>
    <n v="0"/>
    <m/>
    <m/>
    <m/>
    <m/>
    <n v="0"/>
    <n v="0"/>
    <n v="42905.158760151993"/>
  </r>
  <r>
    <x v="62"/>
    <x v="4"/>
    <x v="33"/>
    <x v="0"/>
    <x v="5"/>
    <x v="521"/>
    <x v="25"/>
    <s v="POS"/>
    <n v="0.224"/>
    <n v="380"/>
    <n v="85.12"/>
    <n v="0"/>
    <m/>
    <m/>
    <m/>
    <m/>
    <n v="0"/>
    <n v="0"/>
    <n v="42905.158760151993"/>
  </r>
  <r>
    <x v="62"/>
    <x v="4"/>
    <x v="24"/>
    <x v="0"/>
    <x v="5"/>
    <x v="521"/>
    <x v="25"/>
    <s v="POS"/>
    <n v="8.4000000000000005E-2"/>
    <n v="640"/>
    <n v="53.760000000000005"/>
    <n v="0"/>
    <m/>
    <m/>
    <m/>
    <m/>
    <n v="0"/>
    <n v="0"/>
    <n v="42905.158760151993"/>
  </r>
  <r>
    <x v="62"/>
    <x v="4"/>
    <x v="28"/>
    <x v="0"/>
    <x v="5"/>
    <x v="521"/>
    <x v="25"/>
    <s v="POS"/>
    <n v="0.14599999999999999"/>
    <n v="500"/>
    <n v="73"/>
    <n v="0"/>
    <m/>
    <m/>
    <m/>
    <m/>
    <n v="0"/>
    <n v="0"/>
    <n v="42905.158760151993"/>
  </r>
  <r>
    <x v="62"/>
    <x v="4"/>
    <x v="29"/>
    <x v="0"/>
    <x v="5"/>
    <x v="521"/>
    <x v="25"/>
    <s v="POS"/>
    <n v="0.04"/>
    <n v="760"/>
    <n v="30.400000000000002"/>
    <n v="0"/>
    <m/>
    <m/>
    <m/>
    <m/>
    <n v="0"/>
    <n v="0"/>
    <n v="42905.158760151993"/>
  </r>
  <r>
    <x v="62"/>
    <x v="4"/>
    <x v="25"/>
    <x v="0"/>
    <x v="5"/>
    <x v="521"/>
    <x v="25"/>
    <s v="POS"/>
    <n v="0.17399999999999999"/>
    <n v="390"/>
    <n v="67.86"/>
    <n v="0"/>
    <m/>
    <m/>
    <m/>
    <m/>
    <n v="0"/>
    <n v="0"/>
    <n v="42905.158760151993"/>
  </r>
  <r>
    <x v="62"/>
    <x v="4"/>
    <x v="31"/>
    <x v="0"/>
    <x v="5"/>
    <x v="521"/>
    <x v="25"/>
    <s v="POS"/>
    <n v="0.14000000000000001"/>
    <n v="380"/>
    <n v="53.2"/>
    <n v="0"/>
    <m/>
    <m/>
    <m/>
    <m/>
    <n v="0"/>
    <n v="0"/>
    <n v="42905.158760151993"/>
  </r>
  <r>
    <x v="62"/>
    <x v="4"/>
    <x v="27"/>
    <x v="0"/>
    <x v="1"/>
    <x v="522"/>
    <x v="25"/>
    <s v="NAKİT"/>
    <n v="6.8000000000000005E-2"/>
    <n v="400"/>
    <n v="0"/>
    <n v="0"/>
    <m/>
    <m/>
    <m/>
    <m/>
    <n v="27.200000000000003"/>
    <n v="0"/>
    <n v="42932.35876015199"/>
  </r>
  <r>
    <x v="62"/>
    <x v="4"/>
    <x v="33"/>
    <x v="0"/>
    <x v="1"/>
    <x v="522"/>
    <x v="25"/>
    <s v="NAKİT"/>
    <n v="0.185"/>
    <n v="380"/>
    <n v="0"/>
    <n v="0"/>
    <m/>
    <m/>
    <m/>
    <m/>
    <n v="70.3"/>
    <n v="0"/>
    <n v="43002.658760151993"/>
  </r>
  <r>
    <x v="62"/>
    <x v="4"/>
    <x v="24"/>
    <x v="0"/>
    <x v="1"/>
    <x v="522"/>
    <x v="25"/>
    <s v="NAKİT"/>
    <n v="8.3000000000000004E-2"/>
    <n v="640"/>
    <n v="0"/>
    <n v="0"/>
    <m/>
    <m/>
    <m/>
    <m/>
    <n v="53.120000000000005"/>
    <n v="0"/>
    <n v="43055.778760151996"/>
  </r>
  <r>
    <x v="62"/>
    <x v="4"/>
    <x v="241"/>
    <x v="0"/>
    <x v="1"/>
    <x v="522"/>
    <x v="25"/>
    <s v="NAKİT"/>
    <n v="0.83333333333333337"/>
    <n v="60"/>
    <n v="0"/>
    <n v="0"/>
    <m/>
    <m/>
    <m/>
    <m/>
    <n v="50"/>
    <n v="0"/>
    <n v="43105.778760151996"/>
  </r>
  <r>
    <x v="62"/>
    <x v="4"/>
    <x v="142"/>
    <x v="0"/>
    <x v="5"/>
    <x v="523"/>
    <x v="25"/>
    <s v="POS"/>
    <n v="0.27200000000000002"/>
    <n v="250"/>
    <n v="68"/>
    <n v="0"/>
    <m/>
    <m/>
    <m/>
    <m/>
    <n v="0"/>
    <n v="0"/>
    <n v="43105.778760151996"/>
  </r>
  <r>
    <x v="62"/>
    <x v="4"/>
    <x v="83"/>
    <x v="0"/>
    <x v="5"/>
    <x v="524"/>
    <x v="25"/>
    <s v="POS"/>
    <n v="0.05"/>
    <n v="2600"/>
    <n v="130"/>
    <n v="0"/>
    <m/>
    <m/>
    <m/>
    <m/>
    <n v="0"/>
    <n v="0"/>
    <n v="43105.778760151996"/>
  </r>
  <r>
    <x v="62"/>
    <x v="4"/>
    <x v="56"/>
    <x v="0"/>
    <x v="5"/>
    <x v="524"/>
    <x v="25"/>
    <s v="POS"/>
    <n v="0.5"/>
    <n v="180"/>
    <n v="90"/>
    <n v="0"/>
    <m/>
    <m/>
    <m/>
    <m/>
    <n v="0"/>
    <n v="0"/>
    <n v="43105.778760151996"/>
  </r>
  <r>
    <x v="62"/>
    <x v="4"/>
    <x v="18"/>
    <x v="0"/>
    <x v="5"/>
    <x v="524"/>
    <x v="25"/>
    <s v="POS"/>
    <n v="1"/>
    <n v="240"/>
    <n v="240"/>
    <n v="0"/>
    <m/>
    <m/>
    <m/>
    <m/>
    <n v="0"/>
    <n v="0"/>
    <n v="43105.778760151996"/>
  </r>
  <r>
    <x v="62"/>
    <x v="4"/>
    <x v="245"/>
    <x v="0"/>
    <x v="1"/>
    <x v="525"/>
    <x v="25"/>
    <s v="NAKİT"/>
    <n v="1"/>
    <n v="90"/>
    <n v="0"/>
    <n v="0"/>
    <m/>
    <m/>
    <m/>
    <m/>
    <n v="90"/>
    <n v="0"/>
    <n v="43195.778760151996"/>
  </r>
  <r>
    <x v="62"/>
    <x v="4"/>
    <x v="249"/>
    <x v="0"/>
    <x v="1"/>
    <x v="525"/>
    <x v="25"/>
    <s v="NAKİT"/>
    <n v="1"/>
    <n v="125"/>
    <n v="0"/>
    <n v="0"/>
    <m/>
    <m/>
    <m/>
    <m/>
    <n v="125"/>
    <n v="0"/>
    <n v="43320.778760151996"/>
  </r>
  <r>
    <x v="62"/>
    <x v="4"/>
    <x v="116"/>
    <x v="0"/>
    <x v="1"/>
    <x v="525"/>
    <x v="25"/>
    <s v="NAKİT"/>
    <n v="0.17688888888888776"/>
    <n v="360"/>
    <n v="0"/>
    <n v="0"/>
    <m/>
    <m/>
    <m/>
    <m/>
    <n v="63.679999999999595"/>
    <n v="0"/>
    <n v="43384.458760151996"/>
  </r>
  <r>
    <x v="62"/>
    <x v="4"/>
    <x v="117"/>
    <x v="0"/>
    <x v="1"/>
    <x v="525"/>
    <x v="25"/>
    <s v="NAKİT"/>
    <n v="2.1950000000000003"/>
    <n v="360"/>
    <n v="0"/>
    <n v="0"/>
    <m/>
    <m/>
    <m/>
    <m/>
    <n v="790.2"/>
    <n v="0"/>
    <n v="44174.658760151993"/>
  </r>
  <r>
    <x v="62"/>
    <x v="10"/>
    <x v="0"/>
    <x v="0"/>
    <x v="5"/>
    <x v="2"/>
    <x v="63"/>
    <s v="POS"/>
    <n v="1"/>
    <n v="1840"/>
    <n v="0"/>
    <n v="1840"/>
    <m/>
    <m/>
    <m/>
    <m/>
    <n v="1840"/>
    <n v="0"/>
    <n v="46014.658760151993"/>
  </r>
  <r>
    <x v="62"/>
    <x v="3"/>
    <x v="298"/>
    <x v="0"/>
    <x v="2"/>
    <x v="2"/>
    <x v="24"/>
    <s v="K.K."/>
    <n v="1"/>
    <n v="585"/>
    <n v="0"/>
    <n v="585"/>
    <m/>
    <m/>
    <m/>
    <m/>
    <n v="0"/>
    <n v="0"/>
    <n v="46014.658760151993"/>
  </r>
  <r>
    <x v="62"/>
    <x v="3"/>
    <x v="69"/>
    <x v="0"/>
    <x v="2"/>
    <x v="2"/>
    <x v="24"/>
    <s v="K.K."/>
    <n v="1"/>
    <n v="280"/>
    <n v="0"/>
    <n v="280"/>
    <m/>
    <m/>
    <m/>
    <m/>
    <n v="0"/>
    <n v="0"/>
    <n v="46014.658760151993"/>
  </r>
  <r>
    <x v="62"/>
    <x v="3"/>
    <x v="156"/>
    <x v="0"/>
    <x v="2"/>
    <x v="2"/>
    <x v="24"/>
    <s v="K.K."/>
    <n v="5"/>
    <n v="40"/>
    <n v="0"/>
    <n v="200"/>
    <m/>
    <m/>
    <m/>
    <m/>
    <n v="0"/>
    <n v="0"/>
    <n v="46014.658760151993"/>
  </r>
  <r>
    <x v="62"/>
    <x v="3"/>
    <x v="157"/>
    <x v="0"/>
    <x v="2"/>
    <x v="2"/>
    <x v="24"/>
    <s v="K.K."/>
    <n v="5"/>
    <n v="60"/>
    <n v="0"/>
    <n v="300"/>
    <m/>
    <m/>
    <m/>
    <m/>
    <n v="0"/>
    <n v="0"/>
    <n v="46014.658760151993"/>
  </r>
  <r>
    <x v="62"/>
    <x v="3"/>
    <x v="72"/>
    <x v="0"/>
    <x v="2"/>
    <x v="2"/>
    <x v="24"/>
    <s v="K.K."/>
    <n v="1"/>
    <n v="155"/>
    <n v="0"/>
    <n v="155"/>
    <m/>
    <m/>
    <m/>
    <m/>
    <n v="0"/>
    <n v="0"/>
    <n v="46014.658760151993"/>
  </r>
  <r>
    <x v="62"/>
    <x v="3"/>
    <x v="112"/>
    <x v="0"/>
    <x v="2"/>
    <x v="2"/>
    <x v="24"/>
    <s v="K.K."/>
    <n v="1"/>
    <n v="600"/>
    <n v="0"/>
    <n v="600"/>
    <m/>
    <m/>
    <m/>
    <m/>
    <n v="0"/>
    <n v="0"/>
    <n v="46014.658760151993"/>
  </r>
  <r>
    <x v="62"/>
    <x v="3"/>
    <x v="299"/>
    <x v="0"/>
    <x v="2"/>
    <x v="2"/>
    <x v="24"/>
    <s v="K.K."/>
    <n v="2.5"/>
    <n v="400"/>
    <n v="0"/>
    <n v="1000"/>
    <m/>
    <m/>
    <m/>
    <m/>
    <n v="0"/>
    <n v="0"/>
    <n v="46014.658760151993"/>
  </r>
  <r>
    <x v="62"/>
    <x v="3"/>
    <x v="300"/>
    <x v="0"/>
    <x v="2"/>
    <x v="2"/>
    <x v="24"/>
    <s v="K.K."/>
    <n v="1"/>
    <n v="340"/>
    <n v="0"/>
    <n v="340"/>
    <m/>
    <m/>
    <m/>
    <m/>
    <n v="0"/>
    <n v="0"/>
    <n v="46014.658760151993"/>
  </r>
  <r>
    <x v="62"/>
    <x v="3"/>
    <x v="301"/>
    <x v="0"/>
    <x v="2"/>
    <x v="2"/>
    <x v="24"/>
    <s v="K.K."/>
    <n v="2"/>
    <n v="217"/>
    <n v="0"/>
    <n v="434"/>
    <m/>
    <m/>
    <m/>
    <m/>
    <n v="0"/>
    <n v="0"/>
    <n v="46014.658760151993"/>
  </r>
  <r>
    <x v="62"/>
    <x v="3"/>
    <x v="302"/>
    <x v="0"/>
    <x v="2"/>
    <x v="2"/>
    <x v="24"/>
    <s v="K.K."/>
    <n v="2"/>
    <n v="237"/>
    <n v="0"/>
    <n v="474"/>
    <m/>
    <m/>
    <m/>
    <m/>
    <n v="0"/>
    <n v="0"/>
    <n v="46014.658760151993"/>
  </r>
  <r>
    <x v="62"/>
    <x v="3"/>
    <x v="303"/>
    <x v="0"/>
    <x v="2"/>
    <x v="2"/>
    <x v="24"/>
    <s v="K.K."/>
    <n v="2"/>
    <n v="210"/>
    <n v="0"/>
    <n v="420"/>
    <m/>
    <m/>
    <m/>
    <m/>
    <n v="0"/>
    <n v="0"/>
    <n v="46014.658760151993"/>
  </r>
  <r>
    <x v="62"/>
    <x v="3"/>
    <x v="304"/>
    <x v="0"/>
    <x v="2"/>
    <x v="2"/>
    <x v="24"/>
    <s v="K.K."/>
    <n v="3"/>
    <n v="108"/>
    <n v="0"/>
    <n v="324"/>
    <m/>
    <m/>
    <m/>
    <m/>
    <n v="0"/>
    <n v="0"/>
    <n v="46014.658760151993"/>
  </r>
  <r>
    <x v="62"/>
    <x v="3"/>
    <x v="88"/>
    <x v="0"/>
    <x v="2"/>
    <x v="2"/>
    <x v="24"/>
    <s v="K.K."/>
    <n v="1"/>
    <n v="445"/>
    <n v="0"/>
    <n v="445"/>
    <m/>
    <m/>
    <m/>
    <m/>
    <n v="0"/>
    <n v="0"/>
    <n v="46014.658760151993"/>
  </r>
  <r>
    <x v="62"/>
    <x v="3"/>
    <x v="305"/>
    <x v="0"/>
    <x v="2"/>
    <x v="2"/>
    <x v="24"/>
    <s v="K.K."/>
    <n v="1"/>
    <n v="125"/>
    <n v="0"/>
    <n v="125"/>
    <m/>
    <m/>
    <m/>
    <m/>
    <n v="0"/>
    <n v="0"/>
    <n v="46014.658760151993"/>
  </r>
  <r>
    <x v="62"/>
    <x v="3"/>
    <x v="306"/>
    <x v="0"/>
    <x v="2"/>
    <x v="2"/>
    <x v="24"/>
    <s v="K.K."/>
    <n v="1"/>
    <n v="190"/>
    <n v="0"/>
    <n v="190"/>
    <m/>
    <m/>
    <m/>
    <m/>
    <n v="0"/>
    <n v="0"/>
    <n v="46014.658760151993"/>
  </r>
  <r>
    <x v="62"/>
    <x v="1"/>
    <x v="0"/>
    <x v="5"/>
    <x v="1"/>
    <x v="2"/>
    <x v="78"/>
    <s v="NAKİT"/>
    <n v="1"/>
    <n v="2000"/>
    <n v="0"/>
    <n v="0"/>
    <m/>
    <m/>
    <m/>
    <m/>
    <n v="0"/>
    <n v="2000"/>
    <n v="44014.658760151993"/>
  </r>
  <r>
    <x v="63"/>
    <x v="4"/>
    <x v="116"/>
    <x v="0"/>
    <x v="5"/>
    <x v="526"/>
    <x v="25"/>
    <s v="POS"/>
    <n v="0.27777777777777779"/>
    <n v="360"/>
    <n v="100"/>
    <n v="0"/>
    <m/>
    <m/>
    <m/>
    <m/>
    <n v="0"/>
    <n v="0"/>
    <n v="44014.658760151993"/>
  </r>
  <r>
    <x v="63"/>
    <x v="4"/>
    <x v="149"/>
    <x v="0"/>
    <x v="5"/>
    <x v="526"/>
    <x v="25"/>
    <s v="POS"/>
    <n v="0.15384615384615385"/>
    <n v="650"/>
    <n v="100"/>
    <n v="0"/>
    <m/>
    <m/>
    <m/>
    <m/>
    <n v="0"/>
    <n v="0"/>
    <n v="44014.658760151993"/>
  </r>
  <r>
    <x v="63"/>
    <x v="4"/>
    <x v="102"/>
    <x v="0"/>
    <x v="5"/>
    <x v="526"/>
    <x v="25"/>
    <s v="POS"/>
    <n v="0.125"/>
    <n v="400"/>
    <n v="50"/>
    <n v="0"/>
    <m/>
    <m/>
    <m/>
    <m/>
    <n v="0"/>
    <n v="0"/>
    <n v="44014.658760151993"/>
  </r>
  <r>
    <x v="63"/>
    <x v="4"/>
    <x v="230"/>
    <x v="0"/>
    <x v="1"/>
    <x v="527"/>
    <x v="25"/>
    <s v="NAKİT"/>
    <n v="0.4"/>
    <n v="150"/>
    <n v="0"/>
    <n v="0"/>
    <m/>
    <m/>
    <m/>
    <m/>
    <n v="60"/>
    <n v="0"/>
    <n v="44074.658760151993"/>
  </r>
  <r>
    <x v="63"/>
    <x v="4"/>
    <x v="208"/>
    <x v="0"/>
    <x v="5"/>
    <x v="528"/>
    <x v="25"/>
    <s v="POS"/>
    <n v="1"/>
    <n v="290"/>
    <n v="290"/>
    <n v="0"/>
    <m/>
    <m/>
    <m/>
    <m/>
    <n v="0"/>
    <n v="0"/>
    <n v="44074.658760151993"/>
  </r>
  <r>
    <x v="63"/>
    <x v="4"/>
    <x v="141"/>
    <x v="0"/>
    <x v="5"/>
    <x v="528"/>
    <x v="25"/>
    <s v="POS"/>
    <n v="1"/>
    <n v="140"/>
    <n v="140"/>
    <n v="0"/>
    <m/>
    <m/>
    <m/>
    <m/>
    <n v="0"/>
    <n v="0"/>
    <n v="44074.658760151993"/>
  </r>
  <r>
    <x v="63"/>
    <x v="4"/>
    <x v="120"/>
    <x v="0"/>
    <x v="1"/>
    <x v="529"/>
    <x v="25"/>
    <s v="NAKİT"/>
    <n v="0.23"/>
    <n v="650"/>
    <n v="0"/>
    <n v="0"/>
    <m/>
    <m/>
    <m/>
    <m/>
    <n v="149.5"/>
    <n v="0"/>
    <n v="44224.158760151993"/>
  </r>
  <r>
    <x v="63"/>
    <x v="4"/>
    <x v="129"/>
    <x v="0"/>
    <x v="1"/>
    <x v="529"/>
    <x v="25"/>
    <s v="NAKİT"/>
    <n v="0.2"/>
    <n v="240"/>
    <n v="0"/>
    <n v="0"/>
    <m/>
    <m/>
    <m/>
    <m/>
    <n v="48"/>
    <n v="0"/>
    <n v="44272.158760151993"/>
  </r>
  <r>
    <x v="63"/>
    <x v="4"/>
    <x v="212"/>
    <x v="0"/>
    <x v="1"/>
    <x v="529"/>
    <x v="25"/>
    <s v="NAKİT"/>
    <n v="0.28000000000000003"/>
    <n v="520"/>
    <n v="0"/>
    <n v="0"/>
    <m/>
    <m/>
    <m/>
    <m/>
    <n v="145.60000000000002"/>
    <n v="0"/>
    <n v="44417.758760151992"/>
  </r>
  <r>
    <x v="63"/>
    <x v="4"/>
    <x v="179"/>
    <x v="0"/>
    <x v="1"/>
    <x v="529"/>
    <x v="25"/>
    <s v="NAKİT"/>
    <n v="0.47199999999999998"/>
    <n v="850"/>
    <n v="0"/>
    <n v="0"/>
    <m/>
    <m/>
    <m/>
    <m/>
    <n v="401.2"/>
    <n v="0"/>
    <n v="44818.958760151989"/>
  </r>
  <r>
    <x v="63"/>
    <x v="4"/>
    <x v="98"/>
    <x v="0"/>
    <x v="1"/>
    <x v="529"/>
    <x v="25"/>
    <s v="NAKİT"/>
    <n v="0.69299999999999995"/>
    <n v="700"/>
    <n v="0"/>
    <n v="0"/>
    <m/>
    <m/>
    <m/>
    <m/>
    <n v="485.09999999999997"/>
    <n v="0"/>
    <n v="45304.058760151987"/>
  </r>
  <r>
    <x v="63"/>
    <x v="4"/>
    <x v="184"/>
    <x v="0"/>
    <x v="1"/>
    <x v="530"/>
    <x v="25"/>
    <s v="NAKİT"/>
    <n v="1"/>
    <n v="165"/>
    <n v="0"/>
    <n v="0"/>
    <m/>
    <m/>
    <m/>
    <m/>
    <n v="165"/>
    <n v="0"/>
    <n v="45469.058760151987"/>
  </r>
  <r>
    <x v="63"/>
    <x v="4"/>
    <x v="215"/>
    <x v="0"/>
    <x v="1"/>
    <x v="530"/>
    <x v="25"/>
    <s v="NAKİT"/>
    <n v="1"/>
    <n v="220"/>
    <n v="0"/>
    <n v="0"/>
    <m/>
    <m/>
    <m/>
    <m/>
    <n v="220"/>
    <n v="0"/>
    <n v="45689.058760151987"/>
  </r>
  <r>
    <x v="63"/>
    <x v="4"/>
    <x v="192"/>
    <x v="0"/>
    <x v="1"/>
    <x v="530"/>
    <x v="25"/>
    <s v="NAKİT"/>
    <n v="1"/>
    <n v="265"/>
    <n v="0"/>
    <n v="0"/>
    <m/>
    <m/>
    <m/>
    <m/>
    <n v="265"/>
    <n v="0"/>
    <n v="45954.058760151987"/>
  </r>
  <r>
    <x v="63"/>
    <x v="4"/>
    <x v="160"/>
    <x v="0"/>
    <x v="1"/>
    <x v="530"/>
    <x v="25"/>
    <s v="NAKİT"/>
    <n v="1"/>
    <n v="120"/>
    <n v="0"/>
    <n v="0"/>
    <m/>
    <m/>
    <m/>
    <m/>
    <n v="120"/>
    <n v="0"/>
    <n v="46074.058760151987"/>
  </r>
  <r>
    <x v="63"/>
    <x v="4"/>
    <x v="221"/>
    <x v="0"/>
    <x v="1"/>
    <x v="530"/>
    <x v="25"/>
    <s v="NAKİT"/>
    <n v="1"/>
    <n v="280"/>
    <n v="0"/>
    <n v="0"/>
    <m/>
    <m/>
    <m/>
    <m/>
    <n v="280"/>
    <n v="0"/>
    <n v="46354.058760151987"/>
  </r>
  <r>
    <x v="63"/>
    <x v="4"/>
    <x v="50"/>
    <x v="0"/>
    <x v="1"/>
    <x v="531"/>
    <x v="25"/>
    <s v="NAKİT"/>
    <n v="0.1"/>
    <n v="650"/>
    <n v="0"/>
    <n v="0"/>
    <m/>
    <m/>
    <m/>
    <m/>
    <n v="65"/>
    <n v="0"/>
    <n v="46419.058760151987"/>
  </r>
  <r>
    <x v="63"/>
    <x v="4"/>
    <x v="208"/>
    <x v="0"/>
    <x v="1"/>
    <x v="532"/>
    <x v="25"/>
    <s v="NAKİT"/>
    <n v="1"/>
    <n v="290"/>
    <n v="0"/>
    <n v="0"/>
    <m/>
    <m/>
    <m/>
    <m/>
    <n v="290"/>
    <n v="0"/>
    <n v="46709.058760151987"/>
  </r>
  <r>
    <x v="63"/>
    <x v="4"/>
    <x v="32"/>
    <x v="0"/>
    <x v="5"/>
    <x v="533"/>
    <x v="25"/>
    <s v="POS"/>
    <n v="5.675675675675676E-2"/>
    <n v="370"/>
    <n v="21"/>
    <n v="0"/>
    <m/>
    <m/>
    <m/>
    <m/>
    <n v="0"/>
    <n v="0"/>
    <n v="46709.058760151987"/>
  </r>
  <r>
    <x v="63"/>
    <x v="4"/>
    <x v="25"/>
    <x v="0"/>
    <x v="5"/>
    <x v="533"/>
    <x v="25"/>
    <s v="POS"/>
    <n v="0.11538461538461539"/>
    <n v="390"/>
    <n v="45"/>
    <n v="0"/>
    <m/>
    <m/>
    <m/>
    <m/>
    <n v="0"/>
    <n v="0"/>
    <n v="46709.058760151987"/>
  </r>
  <r>
    <x v="63"/>
    <x v="4"/>
    <x v="287"/>
    <x v="0"/>
    <x v="5"/>
    <x v="533"/>
    <x v="25"/>
    <s v="POS"/>
    <n v="0.66153846153846152"/>
    <n v="65"/>
    <n v="43"/>
    <n v="0"/>
    <m/>
    <m/>
    <m/>
    <m/>
    <n v="0"/>
    <n v="0"/>
    <n v="46709.058760151987"/>
  </r>
  <r>
    <x v="63"/>
    <x v="4"/>
    <x v="99"/>
    <x v="0"/>
    <x v="5"/>
    <x v="534"/>
    <x v="25"/>
    <s v="POS"/>
    <n v="0.1"/>
    <n v="900"/>
    <n v="90"/>
    <n v="0"/>
    <m/>
    <m/>
    <m/>
    <m/>
    <n v="0"/>
    <n v="0"/>
    <n v="46709.058760151987"/>
  </r>
  <r>
    <x v="63"/>
    <x v="4"/>
    <x v="208"/>
    <x v="0"/>
    <x v="5"/>
    <x v="535"/>
    <x v="25"/>
    <s v="POS"/>
    <n v="1"/>
    <n v="290"/>
    <n v="290"/>
    <n v="0"/>
    <m/>
    <m/>
    <m/>
    <m/>
    <n v="0"/>
    <n v="0"/>
    <n v="46709.058760151987"/>
  </r>
  <r>
    <x v="63"/>
    <x v="4"/>
    <x v="18"/>
    <x v="0"/>
    <x v="5"/>
    <x v="535"/>
    <x v="25"/>
    <s v="POS"/>
    <n v="1"/>
    <n v="240"/>
    <n v="240"/>
    <n v="0"/>
    <m/>
    <m/>
    <m/>
    <m/>
    <n v="0"/>
    <n v="0"/>
    <n v="46709.058760151987"/>
  </r>
  <r>
    <x v="63"/>
    <x v="4"/>
    <x v="49"/>
    <x v="0"/>
    <x v="5"/>
    <x v="535"/>
    <x v="25"/>
    <s v="POS"/>
    <n v="0.1"/>
    <n v="600"/>
    <n v="60"/>
    <n v="0"/>
    <m/>
    <m/>
    <m/>
    <m/>
    <n v="0"/>
    <n v="0"/>
    <n v="46709.058760151987"/>
  </r>
  <r>
    <x v="63"/>
    <x v="4"/>
    <x v="36"/>
    <x v="0"/>
    <x v="1"/>
    <x v="536"/>
    <x v="25"/>
    <s v="NAKİT"/>
    <n v="0.25"/>
    <n v="180"/>
    <n v="0"/>
    <n v="0"/>
    <m/>
    <m/>
    <m/>
    <m/>
    <n v="45"/>
    <n v="0"/>
    <n v="46754.058760151987"/>
  </r>
  <r>
    <x v="63"/>
    <x v="4"/>
    <x v="18"/>
    <x v="0"/>
    <x v="5"/>
    <x v="537"/>
    <x v="25"/>
    <s v="POS"/>
    <n v="0.5"/>
    <n v="240"/>
    <n v="120"/>
    <n v="0"/>
    <m/>
    <m/>
    <m/>
    <m/>
    <n v="0"/>
    <n v="0"/>
    <n v="46754.058760151987"/>
  </r>
  <r>
    <x v="63"/>
    <x v="4"/>
    <x v="58"/>
    <x v="0"/>
    <x v="5"/>
    <x v="537"/>
    <x v="25"/>
    <s v="POS"/>
    <n v="0.5"/>
    <n v="200"/>
    <n v="100"/>
    <n v="0"/>
    <m/>
    <m/>
    <m/>
    <m/>
    <n v="0"/>
    <n v="0"/>
    <n v="46754.058760151987"/>
  </r>
  <r>
    <x v="63"/>
    <x v="4"/>
    <x v="18"/>
    <x v="0"/>
    <x v="1"/>
    <x v="538"/>
    <x v="25"/>
    <s v="NAKİT"/>
    <n v="1"/>
    <n v="220"/>
    <n v="0"/>
    <n v="0"/>
    <m/>
    <m/>
    <m/>
    <m/>
    <n v="220"/>
    <n v="0"/>
    <n v="46974.058760151987"/>
  </r>
  <r>
    <x v="63"/>
    <x v="4"/>
    <x v="45"/>
    <x v="0"/>
    <x v="5"/>
    <x v="538"/>
    <x v="25"/>
    <s v="POS"/>
    <n v="1"/>
    <n v="65"/>
    <n v="65"/>
    <n v="0"/>
    <m/>
    <m/>
    <m/>
    <m/>
    <n v="0"/>
    <n v="0"/>
    <n v="46974.058760151987"/>
  </r>
  <r>
    <x v="63"/>
    <x v="4"/>
    <x v="208"/>
    <x v="0"/>
    <x v="5"/>
    <x v="538"/>
    <x v="25"/>
    <s v="POS"/>
    <n v="1"/>
    <n v="310"/>
    <n v="310"/>
    <n v="0"/>
    <m/>
    <m/>
    <m/>
    <m/>
    <n v="0"/>
    <n v="0"/>
    <n v="46974.058760151987"/>
  </r>
  <r>
    <x v="63"/>
    <x v="4"/>
    <x v="222"/>
    <x v="0"/>
    <x v="1"/>
    <x v="539"/>
    <x v="25"/>
    <s v="NAKİT"/>
    <n v="1"/>
    <n v="280"/>
    <n v="0"/>
    <n v="0"/>
    <m/>
    <m/>
    <m/>
    <m/>
    <n v="280"/>
    <n v="0"/>
    <n v="47254.058760151987"/>
  </r>
  <r>
    <x v="63"/>
    <x v="4"/>
    <x v="161"/>
    <x v="0"/>
    <x v="1"/>
    <x v="540"/>
    <x v="25"/>
    <s v="NAKİT"/>
    <n v="0.15405405405405406"/>
    <n v="370"/>
    <n v="0"/>
    <n v="0"/>
    <m/>
    <m/>
    <m/>
    <m/>
    <n v="57"/>
    <n v="0"/>
    <n v="47311.058760151987"/>
  </r>
  <r>
    <x v="63"/>
    <x v="4"/>
    <x v="229"/>
    <x v="0"/>
    <x v="5"/>
    <x v="541"/>
    <x v="25"/>
    <s v="POS"/>
    <n v="1.0205128205128204"/>
    <n v="195"/>
    <n v="199"/>
    <n v="0"/>
    <m/>
    <m/>
    <m/>
    <m/>
    <n v="0"/>
    <n v="0"/>
    <n v="47311.058760151987"/>
  </r>
  <r>
    <x v="63"/>
    <x v="4"/>
    <x v="280"/>
    <x v="0"/>
    <x v="5"/>
    <x v="542"/>
    <x v="25"/>
    <s v="POS"/>
    <n v="0.5"/>
    <n v="60"/>
    <n v="30"/>
    <n v="0"/>
    <m/>
    <m/>
    <m/>
    <m/>
    <n v="0"/>
    <n v="0"/>
    <n v="47311.058760151987"/>
  </r>
  <r>
    <x v="63"/>
    <x v="4"/>
    <x v="244"/>
    <x v="0"/>
    <x v="5"/>
    <x v="542"/>
    <x v="25"/>
    <s v="POS"/>
    <n v="0.5"/>
    <n v="120"/>
    <n v="60"/>
    <n v="0"/>
    <m/>
    <m/>
    <m/>
    <m/>
    <n v="0"/>
    <n v="0"/>
    <n v="47311.058760151987"/>
  </r>
  <r>
    <x v="63"/>
    <x v="4"/>
    <x v="27"/>
    <x v="0"/>
    <x v="5"/>
    <x v="542"/>
    <x v="25"/>
    <s v="POS"/>
    <n v="0.06"/>
    <n v="400"/>
    <n v="24"/>
    <n v="0"/>
    <m/>
    <m/>
    <m/>
    <m/>
    <n v="0"/>
    <n v="0"/>
    <n v="47311.058760151987"/>
  </r>
  <r>
    <x v="63"/>
    <x v="4"/>
    <x v="160"/>
    <x v="0"/>
    <x v="5"/>
    <x v="543"/>
    <x v="25"/>
    <s v="POS"/>
    <n v="1"/>
    <n v="120"/>
    <n v="120"/>
    <n v="0"/>
    <m/>
    <m/>
    <m/>
    <m/>
    <n v="0"/>
    <n v="0"/>
    <n v="47311.058760151987"/>
  </r>
  <r>
    <x v="63"/>
    <x v="4"/>
    <x v="192"/>
    <x v="0"/>
    <x v="5"/>
    <x v="543"/>
    <x v="25"/>
    <s v="POS"/>
    <n v="1"/>
    <n v="270"/>
    <n v="270"/>
    <n v="0"/>
    <m/>
    <m/>
    <m/>
    <m/>
    <n v="0"/>
    <n v="0"/>
    <n v="47311.058760151987"/>
  </r>
  <r>
    <x v="63"/>
    <x v="4"/>
    <x v="223"/>
    <x v="0"/>
    <x v="5"/>
    <x v="543"/>
    <x v="25"/>
    <s v="POS"/>
    <n v="1"/>
    <n v="220"/>
    <n v="220"/>
    <n v="0"/>
    <m/>
    <m/>
    <m/>
    <m/>
    <n v="0"/>
    <n v="0"/>
    <n v="47311.058760151987"/>
  </r>
  <r>
    <x v="63"/>
    <x v="4"/>
    <x v="187"/>
    <x v="0"/>
    <x v="5"/>
    <x v="543"/>
    <x v="25"/>
    <s v="POS"/>
    <n v="1"/>
    <n v="220"/>
    <n v="220"/>
    <n v="0"/>
    <m/>
    <m/>
    <m/>
    <m/>
    <n v="0"/>
    <n v="0"/>
    <n v="47311.058760151987"/>
  </r>
  <r>
    <x v="63"/>
    <x v="4"/>
    <x v="279"/>
    <x v="0"/>
    <x v="5"/>
    <x v="543"/>
    <x v="25"/>
    <s v="POS"/>
    <n v="1"/>
    <n v="150"/>
    <n v="150"/>
    <n v="0"/>
    <m/>
    <m/>
    <m/>
    <m/>
    <n v="0"/>
    <n v="0"/>
    <n v="47311.058760151987"/>
  </r>
  <r>
    <x v="63"/>
    <x v="4"/>
    <x v="274"/>
    <x v="0"/>
    <x v="5"/>
    <x v="543"/>
    <x v="25"/>
    <s v="POS"/>
    <n v="1"/>
    <n v="100"/>
    <n v="100"/>
    <n v="0"/>
    <m/>
    <m/>
    <m/>
    <m/>
    <n v="0"/>
    <n v="0"/>
    <n v="47311.058760151987"/>
  </r>
  <r>
    <x v="63"/>
    <x v="4"/>
    <x v="21"/>
    <x v="0"/>
    <x v="5"/>
    <x v="544"/>
    <x v="25"/>
    <s v="POS"/>
    <n v="1"/>
    <n v="260"/>
    <n v="260"/>
    <n v="0"/>
    <m/>
    <m/>
    <m/>
    <m/>
    <n v="0"/>
    <n v="0"/>
    <n v="47311.058760151987"/>
  </r>
  <r>
    <x v="63"/>
    <x v="4"/>
    <x v="18"/>
    <x v="0"/>
    <x v="5"/>
    <x v="544"/>
    <x v="25"/>
    <s v="POS"/>
    <n v="1"/>
    <n v="240"/>
    <n v="240"/>
    <n v="0"/>
    <m/>
    <m/>
    <m/>
    <m/>
    <n v="0"/>
    <n v="0"/>
    <n v="47311.058760151987"/>
  </r>
  <r>
    <x v="63"/>
    <x v="4"/>
    <x v="193"/>
    <x v="0"/>
    <x v="5"/>
    <x v="544"/>
    <x v="25"/>
    <s v="POS"/>
    <n v="1"/>
    <n v="172"/>
    <n v="172"/>
    <n v="0"/>
    <m/>
    <m/>
    <m/>
    <m/>
    <n v="0"/>
    <n v="0"/>
    <n v="47311.058760151987"/>
  </r>
  <r>
    <x v="63"/>
    <x v="4"/>
    <x v="238"/>
    <x v="0"/>
    <x v="5"/>
    <x v="544"/>
    <x v="25"/>
    <s v="POS"/>
    <n v="0.42058823529411765"/>
    <n v="340"/>
    <n v="143"/>
    <n v="0"/>
    <m/>
    <m/>
    <m/>
    <m/>
    <n v="0"/>
    <n v="0"/>
    <n v="47311.058760151987"/>
  </r>
  <r>
    <x v="63"/>
    <x v="4"/>
    <x v="44"/>
    <x v="0"/>
    <x v="5"/>
    <x v="544"/>
    <x v="25"/>
    <s v="POS"/>
    <n v="1"/>
    <n v="65"/>
    <n v="65"/>
    <n v="0"/>
    <m/>
    <m/>
    <m/>
    <m/>
    <n v="0"/>
    <n v="0"/>
    <n v="47311.058760151987"/>
  </r>
  <r>
    <x v="63"/>
    <x v="4"/>
    <x v="279"/>
    <x v="0"/>
    <x v="1"/>
    <x v="545"/>
    <x v="25"/>
    <s v="NAKİT"/>
    <n v="1"/>
    <n v="150"/>
    <n v="0"/>
    <n v="0"/>
    <m/>
    <m/>
    <m/>
    <m/>
    <n v="150"/>
    <n v="0"/>
    <n v="47461.058760151987"/>
  </r>
  <r>
    <x v="63"/>
    <x v="4"/>
    <x v="274"/>
    <x v="0"/>
    <x v="1"/>
    <x v="545"/>
    <x v="25"/>
    <s v="NAKİT"/>
    <n v="1"/>
    <n v="100"/>
    <n v="0"/>
    <n v="0"/>
    <m/>
    <m/>
    <m/>
    <m/>
    <n v="100"/>
    <n v="0"/>
    <n v="47561.058760151987"/>
  </r>
  <r>
    <x v="63"/>
    <x v="4"/>
    <x v="236"/>
    <x v="0"/>
    <x v="1"/>
    <x v="546"/>
    <x v="25"/>
    <s v="NAKİT"/>
    <n v="1"/>
    <n v="200"/>
    <n v="0"/>
    <n v="0"/>
    <m/>
    <m/>
    <m/>
    <m/>
    <n v="200"/>
    <n v="0"/>
    <n v="47761.058760151987"/>
  </r>
  <r>
    <x v="63"/>
    <x v="4"/>
    <x v="116"/>
    <x v="0"/>
    <x v="1"/>
    <x v="547"/>
    <x v="25"/>
    <s v="NAKİT"/>
    <n v="0.27777777777777779"/>
    <n v="360"/>
    <n v="0"/>
    <n v="0"/>
    <m/>
    <m/>
    <m/>
    <m/>
    <n v="100"/>
    <n v="0"/>
    <n v="47861.058760151987"/>
  </r>
  <r>
    <x v="63"/>
    <x v="4"/>
    <x v="242"/>
    <x v="0"/>
    <x v="1"/>
    <x v="547"/>
    <x v="25"/>
    <s v="NAKİT"/>
    <n v="0.25641025641025639"/>
    <n v="195"/>
    <n v="0"/>
    <n v="0"/>
    <m/>
    <m/>
    <m/>
    <m/>
    <n v="49.999999999999993"/>
    <n v="0"/>
    <n v="47911.058760151987"/>
  </r>
  <r>
    <x v="63"/>
    <x v="4"/>
    <x v="243"/>
    <x v="0"/>
    <x v="1"/>
    <x v="547"/>
    <x v="25"/>
    <s v="NAKİT"/>
    <n v="0.25641025641025639"/>
    <n v="195"/>
    <n v="0"/>
    <n v="0"/>
    <m/>
    <m/>
    <m/>
    <m/>
    <n v="49.999999999999993"/>
    <n v="0"/>
    <n v="47961.058760151987"/>
  </r>
  <r>
    <x v="63"/>
    <x v="4"/>
    <x v="179"/>
    <x v="0"/>
    <x v="1"/>
    <x v="547"/>
    <x v="25"/>
    <s v="NAKİT"/>
    <n v="0.23529411764705882"/>
    <n v="850"/>
    <n v="0"/>
    <n v="0"/>
    <m/>
    <m/>
    <m/>
    <m/>
    <n v="200"/>
    <n v="0"/>
    <n v="48161.058760151987"/>
  </r>
  <r>
    <x v="63"/>
    <x v="4"/>
    <x v="16"/>
    <x v="0"/>
    <x v="1"/>
    <x v="548"/>
    <x v="25"/>
    <s v="NAKİT"/>
    <n v="2"/>
    <n v="140"/>
    <n v="0"/>
    <n v="0"/>
    <m/>
    <m/>
    <m/>
    <m/>
    <n v="280"/>
    <n v="0"/>
    <n v="48441.058760151987"/>
  </r>
  <r>
    <x v="63"/>
    <x v="7"/>
    <x v="0"/>
    <x v="0"/>
    <x v="4"/>
    <x v="2"/>
    <x v="39"/>
    <s v="NAKİT"/>
    <n v="1"/>
    <n v="0"/>
    <n v="5000"/>
    <n v="0"/>
    <m/>
    <m/>
    <m/>
    <m/>
    <n v="0"/>
    <n v="5000"/>
    <n v="43441.058760151987"/>
  </r>
  <r>
    <x v="63"/>
    <x v="10"/>
    <x v="0"/>
    <x v="0"/>
    <x v="5"/>
    <x v="2"/>
    <x v="63"/>
    <s v="POS"/>
    <n v="1"/>
    <n v="375"/>
    <n v="0"/>
    <n v="375"/>
    <m/>
    <m/>
    <m/>
    <m/>
    <n v="375"/>
    <n v="0"/>
    <n v="43816.058760151987"/>
  </r>
  <r>
    <x v="63"/>
    <x v="10"/>
    <x v="0"/>
    <x v="0"/>
    <x v="5"/>
    <x v="2"/>
    <x v="63"/>
    <s v="POS"/>
    <n v="1"/>
    <n v="101"/>
    <n v="0"/>
    <n v="101"/>
    <m/>
    <m/>
    <m/>
    <m/>
    <n v="101"/>
    <n v="0"/>
    <n v="43917.058760151987"/>
  </r>
  <r>
    <x v="63"/>
    <x v="6"/>
    <x v="108"/>
    <x v="0"/>
    <x v="4"/>
    <x v="2"/>
    <x v="79"/>
    <s v="CARİ"/>
    <n v="1"/>
    <n v="115"/>
    <n v="115"/>
    <n v="0"/>
    <m/>
    <m/>
    <m/>
    <m/>
    <n v="0"/>
    <n v="0"/>
    <n v="43917.058760151987"/>
  </r>
  <r>
    <x v="63"/>
    <x v="6"/>
    <x v="91"/>
    <x v="0"/>
    <x v="4"/>
    <x v="2"/>
    <x v="79"/>
    <s v="CARİ"/>
    <n v="3"/>
    <n v="65"/>
    <n v="195"/>
    <n v="0"/>
    <m/>
    <m/>
    <m/>
    <m/>
    <n v="0"/>
    <n v="0"/>
    <n v="43917.058760151987"/>
  </r>
  <r>
    <x v="64"/>
    <x v="1"/>
    <x v="0"/>
    <x v="10"/>
    <x v="2"/>
    <x v="549"/>
    <x v="69"/>
    <s v="K.K."/>
    <n v="1"/>
    <n v="8660.44"/>
    <n v="0"/>
    <n v="8660.44"/>
    <m/>
    <m/>
    <m/>
    <m/>
    <n v="0"/>
    <n v="0"/>
    <n v="43917.058760151987"/>
  </r>
  <r>
    <x v="64"/>
    <x v="4"/>
    <x v="83"/>
    <x v="0"/>
    <x v="1"/>
    <x v="550"/>
    <x v="25"/>
    <s v="NAKİT"/>
    <n v="0.05"/>
    <n v="2600"/>
    <n v="0"/>
    <n v="0"/>
    <m/>
    <m/>
    <m/>
    <m/>
    <n v="130"/>
    <n v="0"/>
    <n v="44047.058760151987"/>
  </r>
  <r>
    <x v="64"/>
    <x v="4"/>
    <x v="56"/>
    <x v="0"/>
    <x v="1"/>
    <x v="550"/>
    <x v="25"/>
    <s v="NAKİT"/>
    <n v="0.5"/>
    <n v="180"/>
    <n v="0"/>
    <n v="0"/>
    <m/>
    <m/>
    <m/>
    <m/>
    <n v="90"/>
    <n v="0"/>
    <n v="44137.058760151987"/>
  </r>
  <r>
    <x v="64"/>
    <x v="4"/>
    <x v="199"/>
    <x v="0"/>
    <x v="1"/>
    <x v="550"/>
    <x v="25"/>
    <s v="NAKİT"/>
    <n v="0.5"/>
    <n v="130"/>
    <n v="0"/>
    <n v="0"/>
    <m/>
    <m/>
    <m/>
    <m/>
    <n v="65"/>
    <n v="0"/>
    <n v="44202.058760151987"/>
  </r>
  <r>
    <x v="64"/>
    <x v="4"/>
    <x v="18"/>
    <x v="0"/>
    <x v="1"/>
    <x v="550"/>
    <x v="25"/>
    <s v="NAKİT"/>
    <n v="1"/>
    <n v="240"/>
    <n v="0"/>
    <n v="0"/>
    <m/>
    <m/>
    <m/>
    <m/>
    <n v="240"/>
    <n v="0"/>
    <n v="44442.058760151987"/>
  </r>
  <r>
    <x v="64"/>
    <x v="4"/>
    <x v="154"/>
    <x v="0"/>
    <x v="1"/>
    <x v="550"/>
    <x v="25"/>
    <s v="NAKİT"/>
    <n v="1"/>
    <n v="180"/>
    <n v="0"/>
    <n v="0"/>
    <m/>
    <m/>
    <m/>
    <m/>
    <n v="180"/>
    <n v="0"/>
    <n v="44622.058760151987"/>
  </r>
  <r>
    <x v="64"/>
    <x v="4"/>
    <x v="138"/>
    <x v="0"/>
    <x v="1"/>
    <x v="550"/>
    <x v="25"/>
    <s v="NAKİT"/>
    <n v="1"/>
    <n v="140"/>
    <n v="0"/>
    <n v="0"/>
    <m/>
    <m/>
    <m/>
    <m/>
    <n v="140"/>
    <n v="0"/>
    <n v="44762.058760151987"/>
  </r>
  <r>
    <x v="64"/>
    <x v="4"/>
    <x v="238"/>
    <x v="0"/>
    <x v="1"/>
    <x v="550"/>
    <x v="25"/>
    <s v="NAKİT"/>
    <n v="0.46200000000000002"/>
    <n v="340"/>
    <n v="0"/>
    <n v="0"/>
    <m/>
    <m/>
    <m/>
    <m/>
    <n v="157.08000000000001"/>
    <n v="0"/>
    <n v="44919.138760151989"/>
  </r>
  <r>
    <x v="64"/>
    <x v="4"/>
    <x v="76"/>
    <x v="0"/>
    <x v="1"/>
    <x v="550"/>
    <x v="25"/>
    <s v="NAKİT"/>
    <n v="0.5"/>
    <n v="80"/>
    <n v="0"/>
    <n v="0"/>
    <m/>
    <m/>
    <m/>
    <m/>
    <n v="40"/>
    <n v="0"/>
    <n v="44959.138760151989"/>
  </r>
  <r>
    <x v="64"/>
    <x v="4"/>
    <x v="166"/>
    <x v="0"/>
    <x v="1"/>
    <x v="550"/>
    <x v="25"/>
    <s v="NAKİT"/>
    <n v="1"/>
    <n v="40"/>
    <n v="0"/>
    <n v="0"/>
    <m/>
    <m/>
    <m/>
    <m/>
    <n v="40"/>
    <n v="0"/>
    <n v="44999.138760151989"/>
  </r>
  <r>
    <x v="64"/>
    <x v="4"/>
    <x v="216"/>
    <x v="0"/>
    <x v="1"/>
    <x v="550"/>
    <x v="25"/>
    <s v="NAKİT"/>
    <n v="1"/>
    <n v="220"/>
    <n v="0"/>
    <n v="0"/>
    <m/>
    <m/>
    <m/>
    <m/>
    <n v="220"/>
    <n v="0"/>
    <n v="45219.138760151989"/>
  </r>
  <r>
    <x v="64"/>
    <x v="4"/>
    <x v="258"/>
    <x v="0"/>
    <x v="1"/>
    <x v="550"/>
    <x v="25"/>
    <s v="NAKİT"/>
    <n v="1"/>
    <n v="125"/>
    <n v="0"/>
    <n v="0"/>
    <m/>
    <m/>
    <m/>
    <m/>
    <n v="125"/>
    <n v="0"/>
    <n v="45344.138760151989"/>
  </r>
  <r>
    <x v="64"/>
    <x v="4"/>
    <x v="50"/>
    <x v="0"/>
    <x v="1"/>
    <x v="550"/>
    <x v="25"/>
    <s v="NAKİT"/>
    <n v="0.1"/>
    <n v="650"/>
    <n v="0"/>
    <n v="0"/>
    <m/>
    <m/>
    <m/>
    <m/>
    <n v="65"/>
    <n v="0"/>
    <n v="45409.138760151989"/>
  </r>
  <r>
    <x v="64"/>
    <x v="4"/>
    <x v="220"/>
    <x v="0"/>
    <x v="1"/>
    <x v="550"/>
    <x v="25"/>
    <s v="NAKİT"/>
    <n v="1"/>
    <n v="320"/>
    <n v="0"/>
    <n v="0"/>
    <m/>
    <m/>
    <m/>
    <m/>
    <n v="320"/>
    <n v="0"/>
    <n v="45729.138760151989"/>
  </r>
  <r>
    <x v="64"/>
    <x v="4"/>
    <x v="231"/>
    <x v="0"/>
    <x v="1"/>
    <x v="550"/>
    <x v="25"/>
    <s v="NAKİT"/>
    <n v="0.25"/>
    <n v="400"/>
    <n v="0"/>
    <n v="0"/>
    <m/>
    <m/>
    <m/>
    <m/>
    <n v="100"/>
    <n v="0"/>
    <n v="45829.138760151989"/>
  </r>
  <r>
    <x v="64"/>
    <x v="4"/>
    <x v="130"/>
    <x v="0"/>
    <x v="1"/>
    <x v="550"/>
    <x v="25"/>
    <s v="NAKİT"/>
    <n v="0.41"/>
    <n v="190"/>
    <n v="0"/>
    <n v="0"/>
    <m/>
    <m/>
    <m/>
    <m/>
    <n v="77.899999999999991"/>
    <n v="0"/>
    <n v="45907.038760151991"/>
  </r>
  <r>
    <x v="64"/>
    <x v="4"/>
    <x v="27"/>
    <x v="0"/>
    <x v="1"/>
    <x v="550"/>
    <x v="25"/>
    <s v="NAKİT"/>
    <n v="7.5999999999999998E-2"/>
    <n v="400"/>
    <n v="0"/>
    <n v="0"/>
    <m/>
    <m/>
    <m/>
    <m/>
    <n v="30.4"/>
    <n v="0"/>
    <n v="45937.438760151992"/>
  </r>
  <r>
    <x v="64"/>
    <x v="4"/>
    <x v="241"/>
    <x v="0"/>
    <x v="1"/>
    <x v="550"/>
    <x v="25"/>
    <s v="NAKİT"/>
    <n v="0.71199999999999997"/>
    <n v="60"/>
    <n v="0"/>
    <n v="0"/>
    <m/>
    <m/>
    <m/>
    <m/>
    <n v="42.72"/>
    <n v="0"/>
    <n v="45980.158760151993"/>
  </r>
  <r>
    <x v="64"/>
    <x v="4"/>
    <x v="129"/>
    <x v="0"/>
    <x v="1"/>
    <x v="550"/>
    <x v="25"/>
    <s v="NAKİT"/>
    <n v="0.214"/>
    <n v="240"/>
    <n v="0"/>
    <n v="0"/>
    <m/>
    <m/>
    <m/>
    <m/>
    <n v="51.36"/>
    <n v="0"/>
    <n v="46031.518760151994"/>
  </r>
  <r>
    <x v="64"/>
    <x v="4"/>
    <x v="31"/>
    <x v="0"/>
    <x v="1"/>
    <x v="550"/>
    <x v="25"/>
    <s v="NAKİT"/>
    <n v="0.17199999999999999"/>
    <n v="380"/>
    <n v="0"/>
    <n v="0"/>
    <m/>
    <m/>
    <m/>
    <m/>
    <n v="65.36"/>
    <n v="0"/>
    <n v="46096.878760151994"/>
  </r>
  <r>
    <x v="64"/>
    <x v="4"/>
    <x v="25"/>
    <x v="0"/>
    <x v="1"/>
    <x v="550"/>
    <x v="25"/>
    <s v="NAKİT"/>
    <n v="0.10199999999999999"/>
    <n v="390"/>
    <n v="0"/>
    <n v="0"/>
    <m/>
    <m/>
    <m/>
    <m/>
    <n v="39.779999999999994"/>
    <n v="0"/>
    <n v="46136.658760151993"/>
  </r>
  <r>
    <x v="64"/>
    <x v="4"/>
    <x v="38"/>
    <x v="0"/>
    <x v="1"/>
    <x v="550"/>
    <x v="25"/>
    <s v="NAKİT"/>
    <n v="0.1"/>
    <n v="650"/>
    <n v="0"/>
    <n v="0"/>
    <m/>
    <m/>
    <m/>
    <m/>
    <n v="65"/>
    <n v="0"/>
    <n v="46201.658760151993"/>
  </r>
  <r>
    <x v="64"/>
    <x v="4"/>
    <x v="101"/>
    <x v="0"/>
    <x v="1"/>
    <x v="550"/>
    <x v="25"/>
    <s v="NAKİT"/>
    <n v="0.14000000000000001"/>
    <n v="150"/>
    <n v="0"/>
    <n v="0"/>
    <m/>
    <m/>
    <m/>
    <m/>
    <n v="21.000000000000004"/>
    <n v="0"/>
    <n v="46222.658760151993"/>
  </r>
  <r>
    <x v="64"/>
    <x v="4"/>
    <x v="208"/>
    <x v="0"/>
    <x v="1"/>
    <x v="550"/>
    <x v="25"/>
    <s v="NAKİT"/>
    <n v="1"/>
    <n v="290"/>
    <n v="0"/>
    <n v="0"/>
    <m/>
    <m/>
    <m/>
    <m/>
    <n v="290"/>
    <n v="0"/>
    <n v="46512.658760151993"/>
  </r>
  <r>
    <x v="64"/>
    <x v="4"/>
    <x v="24"/>
    <x v="0"/>
    <x v="5"/>
    <x v="551"/>
    <x v="25"/>
    <s v="POS"/>
    <n v="7.8125E-2"/>
    <n v="640"/>
    <n v="50"/>
    <n v="0"/>
    <m/>
    <m/>
    <m/>
    <m/>
    <n v="0"/>
    <n v="0"/>
    <n v="46512.658760151993"/>
  </r>
  <r>
    <x v="64"/>
    <x v="4"/>
    <x v="33"/>
    <x v="0"/>
    <x v="5"/>
    <x v="551"/>
    <x v="25"/>
    <s v="POS"/>
    <n v="9.2105263157894732E-2"/>
    <n v="380"/>
    <n v="35"/>
    <n v="0"/>
    <m/>
    <m/>
    <m/>
    <m/>
    <n v="0"/>
    <n v="0"/>
    <n v="46512.658760151993"/>
  </r>
  <r>
    <x v="64"/>
    <x v="4"/>
    <x v="109"/>
    <x v="0"/>
    <x v="5"/>
    <x v="551"/>
    <x v="25"/>
    <s v="POS"/>
    <n v="1"/>
    <n v="180"/>
    <n v="180"/>
    <n v="0"/>
    <m/>
    <m/>
    <m/>
    <m/>
    <n v="0"/>
    <n v="0"/>
    <n v="46512.658760151993"/>
  </r>
  <r>
    <x v="64"/>
    <x v="4"/>
    <x v="98"/>
    <x v="0"/>
    <x v="5"/>
    <x v="552"/>
    <x v="25"/>
    <s v="POS"/>
    <n v="0.65"/>
    <n v="700"/>
    <n v="455"/>
    <n v="0"/>
    <m/>
    <m/>
    <m/>
    <m/>
    <n v="0"/>
    <n v="0"/>
    <n v="46512.658760151993"/>
  </r>
  <r>
    <x v="64"/>
    <x v="4"/>
    <x v="150"/>
    <x v="0"/>
    <x v="5"/>
    <x v="552"/>
    <x v="25"/>
    <s v="POS"/>
    <n v="1"/>
    <n v="290"/>
    <n v="290"/>
    <n v="0"/>
    <m/>
    <m/>
    <m/>
    <m/>
    <n v="0"/>
    <n v="0"/>
    <n v="46512.658760151993"/>
  </r>
  <r>
    <x v="64"/>
    <x v="4"/>
    <x v="280"/>
    <x v="0"/>
    <x v="5"/>
    <x v="553"/>
    <x v="25"/>
    <s v="POS"/>
    <n v="1"/>
    <n v="60"/>
    <n v="60"/>
    <n v="0"/>
    <m/>
    <m/>
    <m/>
    <m/>
    <n v="0"/>
    <n v="0"/>
    <n v="46512.658760151993"/>
  </r>
  <r>
    <x v="64"/>
    <x v="4"/>
    <x v="129"/>
    <x v="0"/>
    <x v="1"/>
    <x v="554"/>
    <x v="25"/>
    <s v="NAKİT"/>
    <n v="0.20833333333333334"/>
    <n v="240"/>
    <n v="0"/>
    <n v="0"/>
    <m/>
    <m/>
    <m/>
    <m/>
    <n v="50"/>
    <n v="0"/>
    <n v="46562.658760151993"/>
  </r>
  <r>
    <x v="64"/>
    <x v="4"/>
    <x v="97"/>
    <x v="0"/>
    <x v="1"/>
    <x v="554"/>
    <x v="25"/>
    <s v="NAKİT"/>
    <n v="0.21666666666666667"/>
    <n v="600"/>
    <n v="0"/>
    <n v="0"/>
    <m/>
    <m/>
    <m/>
    <m/>
    <n v="130"/>
    <n v="0"/>
    <n v="46692.658760151993"/>
  </r>
  <r>
    <x v="64"/>
    <x v="4"/>
    <x v="260"/>
    <x v="0"/>
    <x v="1"/>
    <x v="555"/>
    <x v="25"/>
    <s v="NAKİT"/>
    <n v="1"/>
    <n v="180"/>
    <n v="0"/>
    <n v="0"/>
    <m/>
    <m/>
    <m/>
    <m/>
    <n v="180"/>
    <n v="0"/>
    <n v="46872.658760151993"/>
  </r>
  <r>
    <x v="64"/>
    <x v="4"/>
    <x v="185"/>
    <x v="0"/>
    <x v="5"/>
    <x v="556"/>
    <x v="25"/>
    <s v="POS"/>
    <n v="1"/>
    <n v="190"/>
    <n v="190"/>
    <n v="0"/>
    <m/>
    <m/>
    <m/>
    <m/>
    <n v="0"/>
    <n v="0"/>
    <n v="46872.658760151993"/>
  </r>
  <r>
    <x v="64"/>
    <x v="4"/>
    <x v="161"/>
    <x v="0"/>
    <x v="1"/>
    <x v="557"/>
    <x v="25"/>
    <s v="NAKİT"/>
    <n v="0.11621621621621622"/>
    <n v="370"/>
    <n v="0"/>
    <n v="0"/>
    <m/>
    <m/>
    <m/>
    <m/>
    <n v="43"/>
    <n v="0"/>
    <n v="46915.658760151993"/>
  </r>
  <r>
    <x v="64"/>
    <x v="4"/>
    <x v="178"/>
    <x v="0"/>
    <x v="1"/>
    <x v="558"/>
    <x v="25"/>
    <s v="NAKİT"/>
    <n v="1"/>
    <n v="200"/>
    <n v="0"/>
    <n v="0"/>
    <m/>
    <m/>
    <m/>
    <m/>
    <n v="200"/>
    <n v="0"/>
    <n v="47115.658760151993"/>
  </r>
  <r>
    <x v="64"/>
    <x v="4"/>
    <x v="99"/>
    <x v="0"/>
    <x v="5"/>
    <x v="559"/>
    <x v="25"/>
    <s v="POS"/>
    <n v="0.1"/>
    <n v="900"/>
    <n v="90"/>
    <n v="0"/>
    <m/>
    <m/>
    <m/>
    <m/>
    <n v="0"/>
    <n v="0"/>
    <n v="47115.658760151993"/>
  </r>
  <r>
    <x v="64"/>
    <x v="4"/>
    <x v="239"/>
    <x v="0"/>
    <x v="1"/>
    <x v="560"/>
    <x v="80"/>
    <s v="NAKİT"/>
    <n v="0.25"/>
    <n v="400"/>
    <n v="0"/>
    <n v="0"/>
    <m/>
    <m/>
    <m/>
    <m/>
    <n v="100"/>
    <n v="0"/>
    <n v="47215.658760151993"/>
  </r>
  <r>
    <x v="64"/>
    <x v="4"/>
    <x v="81"/>
    <x v="0"/>
    <x v="1"/>
    <x v="560"/>
    <x v="80"/>
    <s v="NAKİT"/>
    <n v="0.5"/>
    <n v="140"/>
    <n v="0"/>
    <n v="0"/>
    <m/>
    <m/>
    <m/>
    <m/>
    <n v="70"/>
    <n v="0"/>
    <n v="47285.658760151993"/>
  </r>
  <r>
    <x v="64"/>
    <x v="4"/>
    <x v="36"/>
    <x v="0"/>
    <x v="1"/>
    <x v="560"/>
    <x v="80"/>
    <s v="NAKİT"/>
    <n v="0.25"/>
    <n v="180"/>
    <n v="0"/>
    <n v="0"/>
    <m/>
    <m/>
    <m/>
    <m/>
    <n v="45"/>
    <n v="0"/>
    <n v="47330.658760151993"/>
  </r>
  <r>
    <x v="64"/>
    <x v="4"/>
    <x v="58"/>
    <x v="0"/>
    <x v="5"/>
    <x v="561"/>
    <x v="25"/>
    <s v="POS"/>
    <n v="1"/>
    <n v="240"/>
    <n v="240"/>
    <n v="0"/>
    <m/>
    <m/>
    <m/>
    <m/>
    <n v="0"/>
    <n v="0"/>
    <n v="47330.658760151993"/>
  </r>
  <r>
    <x v="64"/>
    <x v="4"/>
    <x v="18"/>
    <x v="0"/>
    <x v="5"/>
    <x v="562"/>
    <x v="25"/>
    <s v="POS"/>
    <n v="1"/>
    <n v="200"/>
    <n v="200"/>
    <n v="0"/>
    <m/>
    <m/>
    <m/>
    <m/>
    <n v="0"/>
    <n v="0"/>
    <n v="47330.658760151993"/>
  </r>
  <r>
    <x v="64"/>
    <x v="4"/>
    <x v="36"/>
    <x v="0"/>
    <x v="5"/>
    <x v="563"/>
    <x v="25"/>
    <s v="POS"/>
    <n v="0.25"/>
    <n v="180"/>
    <n v="45"/>
    <n v="0"/>
    <m/>
    <m/>
    <m/>
    <m/>
    <n v="0"/>
    <n v="0"/>
    <n v="47330.658760151993"/>
  </r>
  <r>
    <x v="64"/>
    <x v="10"/>
    <x v="0"/>
    <x v="0"/>
    <x v="5"/>
    <x v="2"/>
    <x v="63"/>
    <s v="POS"/>
    <n v="1"/>
    <n v="1723"/>
    <n v="0"/>
    <n v="1723"/>
    <m/>
    <m/>
    <m/>
    <m/>
    <n v="1723"/>
    <n v="0"/>
    <n v="49053.658760151993"/>
  </r>
  <r>
    <x v="64"/>
    <x v="3"/>
    <x v="307"/>
    <x v="0"/>
    <x v="2"/>
    <x v="2"/>
    <x v="50"/>
    <s v="K.K."/>
    <n v="8"/>
    <n v="71.03"/>
    <n v="0"/>
    <n v="568.24"/>
    <m/>
    <m/>
    <m/>
    <m/>
    <n v="0"/>
    <n v="0"/>
    <n v="49053.658760151993"/>
  </r>
  <r>
    <x v="65"/>
    <x v="4"/>
    <x v="23"/>
    <x v="0"/>
    <x v="5"/>
    <x v="564"/>
    <x v="25"/>
    <s v="POS"/>
    <n v="0.128"/>
    <n v="250"/>
    <n v="32"/>
    <n v="0"/>
    <m/>
    <m/>
    <m/>
    <m/>
    <n v="0"/>
    <n v="0"/>
    <n v="49053.658760151993"/>
  </r>
  <r>
    <x v="65"/>
    <x v="4"/>
    <x v="18"/>
    <x v="0"/>
    <x v="5"/>
    <x v="564"/>
    <x v="25"/>
    <s v="POS"/>
    <n v="1"/>
    <n v="240"/>
    <n v="240"/>
    <n v="0"/>
    <m/>
    <m/>
    <m/>
    <m/>
    <n v="0"/>
    <n v="0"/>
    <n v="49053.658760151993"/>
  </r>
  <r>
    <x v="65"/>
    <x v="4"/>
    <x v="58"/>
    <x v="0"/>
    <x v="5"/>
    <x v="564"/>
    <x v="25"/>
    <s v="POS"/>
    <n v="1"/>
    <n v="200"/>
    <n v="200"/>
    <n v="0"/>
    <m/>
    <m/>
    <m/>
    <m/>
    <n v="0"/>
    <n v="0"/>
    <n v="49053.658760151993"/>
  </r>
  <r>
    <x v="65"/>
    <x v="4"/>
    <x v="45"/>
    <x v="0"/>
    <x v="5"/>
    <x v="564"/>
    <x v="25"/>
    <s v="POS"/>
    <n v="1"/>
    <n v="65"/>
    <n v="65"/>
    <n v="0"/>
    <m/>
    <m/>
    <m/>
    <m/>
    <n v="0"/>
    <n v="0"/>
    <n v="49053.658760151993"/>
  </r>
  <r>
    <x v="65"/>
    <x v="4"/>
    <x v="72"/>
    <x v="0"/>
    <x v="5"/>
    <x v="564"/>
    <x v="25"/>
    <s v="POS"/>
    <n v="0.05"/>
    <n v="1400"/>
    <n v="70"/>
    <n v="0"/>
    <m/>
    <m/>
    <m/>
    <m/>
    <n v="0"/>
    <n v="0"/>
    <n v="49053.658760151993"/>
  </r>
  <r>
    <x v="65"/>
    <x v="4"/>
    <x v="83"/>
    <x v="0"/>
    <x v="5"/>
    <x v="564"/>
    <x v="25"/>
    <s v="POS"/>
    <n v="0.05"/>
    <n v="2600"/>
    <n v="130"/>
    <n v="0"/>
    <m/>
    <m/>
    <m/>
    <m/>
    <n v="0"/>
    <n v="0"/>
    <n v="49053.658760151993"/>
  </r>
  <r>
    <x v="65"/>
    <x v="4"/>
    <x v="50"/>
    <x v="0"/>
    <x v="5"/>
    <x v="564"/>
    <x v="25"/>
    <s v="POS"/>
    <n v="0.1"/>
    <n v="650"/>
    <n v="65"/>
    <n v="0"/>
    <m/>
    <m/>
    <m/>
    <m/>
    <n v="0"/>
    <n v="0"/>
    <n v="49053.658760151993"/>
  </r>
  <r>
    <x v="65"/>
    <x v="4"/>
    <x v="141"/>
    <x v="0"/>
    <x v="5"/>
    <x v="564"/>
    <x v="25"/>
    <s v="POS"/>
    <n v="1"/>
    <n v="140"/>
    <n v="140"/>
    <n v="0"/>
    <m/>
    <m/>
    <m/>
    <m/>
    <n v="0"/>
    <n v="0"/>
    <n v="49053.658760151993"/>
  </r>
  <r>
    <x v="65"/>
    <x v="4"/>
    <x v="141"/>
    <x v="0"/>
    <x v="1"/>
    <x v="565"/>
    <x v="25"/>
    <s v="NAKİT"/>
    <n v="1"/>
    <n v="140"/>
    <n v="0"/>
    <n v="0"/>
    <m/>
    <m/>
    <m/>
    <m/>
    <n v="140"/>
    <n v="0"/>
    <n v="49193.658760151993"/>
  </r>
  <r>
    <x v="65"/>
    <x v="4"/>
    <x v="98"/>
    <x v="0"/>
    <x v="1"/>
    <x v="566"/>
    <x v="25"/>
    <s v="NAKİT"/>
    <n v="0.5"/>
    <n v="700"/>
    <n v="0"/>
    <n v="0"/>
    <m/>
    <m/>
    <m/>
    <m/>
    <n v="350"/>
    <n v="0"/>
    <n v="49543.658760151993"/>
  </r>
  <r>
    <x v="65"/>
    <x v="4"/>
    <x v="150"/>
    <x v="0"/>
    <x v="1"/>
    <x v="566"/>
    <x v="25"/>
    <s v="NAKİT"/>
    <n v="1.05"/>
    <n v="290"/>
    <n v="0"/>
    <n v="0"/>
    <m/>
    <m/>
    <m/>
    <m/>
    <n v="304.5"/>
    <n v="0"/>
    <n v="49848.158760151993"/>
  </r>
  <r>
    <x v="65"/>
    <x v="4"/>
    <x v="38"/>
    <x v="0"/>
    <x v="1"/>
    <x v="567"/>
    <x v="25"/>
    <s v="NAKİT"/>
    <n v="0.3"/>
    <n v="650"/>
    <n v="0"/>
    <n v="0"/>
    <m/>
    <m/>
    <m/>
    <m/>
    <n v="195"/>
    <n v="0"/>
    <n v="50043.158760151993"/>
  </r>
  <r>
    <x v="65"/>
    <x v="4"/>
    <x v="231"/>
    <x v="0"/>
    <x v="1"/>
    <x v="567"/>
    <x v="25"/>
    <s v="NAKİT"/>
    <n v="0.25"/>
    <n v="400"/>
    <n v="0"/>
    <n v="0"/>
    <m/>
    <m/>
    <m/>
    <m/>
    <n v="100"/>
    <n v="0"/>
    <n v="50143.158760151993"/>
  </r>
  <r>
    <x v="65"/>
    <x v="4"/>
    <x v="149"/>
    <x v="0"/>
    <x v="1"/>
    <x v="567"/>
    <x v="25"/>
    <s v="NAKİT"/>
    <n v="0.15384615384615385"/>
    <n v="650"/>
    <n v="0"/>
    <n v="0"/>
    <m/>
    <m/>
    <m/>
    <m/>
    <n v="100"/>
    <n v="0"/>
    <n v="50243.158760151993"/>
  </r>
  <r>
    <x v="65"/>
    <x v="4"/>
    <x v="190"/>
    <x v="0"/>
    <x v="1"/>
    <x v="568"/>
    <x v="25"/>
    <s v="NAKİT"/>
    <n v="1"/>
    <n v="300"/>
    <n v="0"/>
    <n v="0"/>
    <m/>
    <m/>
    <m/>
    <m/>
    <n v="300"/>
    <n v="0"/>
    <n v="50543.158760151993"/>
  </r>
  <r>
    <x v="65"/>
    <x v="4"/>
    <x v="116"/>
    <x v="0"/>
    <x v="1"/>
    <x v="569"/>
    <x v="25"/>
    <s v="NAKİT"/>
    <n v="0.27777777777777779"/>
    <n v="360"/>
    <n v="0"/>
    <n v="0"/>
    <m/>
    <m/>
    <m/>
    <m/>
    <n v="100"/>
    <n v="0"/>
    <n v="50643.158760151993"/>
  </r>
  <r>
    <x v="65"/>
    <x v="4"/>
    <x v="144"/>
    <x v="0"/>
    <x v="5"/>
    <x v="570"/>
    <x v="25"/>
    <s v="POS"/>
    <n v="2"/>
    <n v="140"/>
    <n v="280"/>
    <n v="0"/>
    <m/>
    <m/>
    <m/>
    <m/>
    <n v="0"/>
    <n v="0"/>
    <n v="50643.158760151993"/>
  </r>
  <r>
    <x v="65"/>
    <x v="4"/>
    <x v="165"/>
    <x v="0"/>
    <x v="5"/>
    <x v="570"/>
    <x v="25"/>
    <s v="POS"/>
    <n v="1"/>
    <n v="40"/>
    <n v="40"/>
    <n v="0"/>
    <m/>
    <m/>
    <m/>
    <m/>
    <n v="0"/>
    <n v="0"/>
    <n v="50643.158760151993"/>
  </r>
  <r>
    <x v="65"/>
    <x v="4"/>
    <x v="57"/>
    <x v="0"/>
    <x v="1"/>
    <x v="571"/>
    <x v="25"/>
    <s v="NAKİT"/>
    <n v="2"/>
    <n v="130"/>
    <n v="0"/>
    <n v="0"/>
    <m/>
    <m/>
    <m/>
    <m/>
    <n v="260"/>
    <n v="0"/>
    <n v="50903.158760151993"/>
  </r>
  <r>
    <x v="65"/>
    <x v="4"/>
    <x v="58"/>
    <x v="0"/>
    <x v="1"/>
    <x v="572"/>
    <x v="25"/>
    <s v="NAKİT"/>
    <n v="2"/>
    <n v="200"/>
    <n v="0"/>
    <n v="0"/>
    <m/>
    <m/>
    <m/>
    <m/>
    <n v="400"/>
    <n v="0"/>
    <n v="51303.158760151993"/>
  </r>
  <r>
    <x v="65"/>
    <x v="4"/>
    <x v="18"/>
    <x v="0"/>
    <x v="1"/>
    <x v="573"/>
    <x v="25"/>
    <s v="NAKİT"/>
    <n v="1"/>
    <n v="200"/>
    <n v="0"/>
    <n v="0"/>
    <m/>
    <m/>
    <m/>
    <m/>
    <n v="200"/>
    <n v="0"/>
    <n v="51503.158760151993"/>
  </r>
  <r>
    <x v="65"/>
    <x v="4"/>
    <x v="25"/>
    <x v="0"/>
    <x v="5"/>
    <x v="574"/>
    <x v="25"/>
    <s v="POS"/>
    <n v="0.13"/>
    <n v="390"/>
    <n v="50.7"/>
    <n v="0"/>
    <m/>
    <m/>
    <m/>
    <m/>
    <n v="0"/>
    <n v="0"/>
    <n v="51503.158760151993"/>
  </r>
  <r>
    <x v="65"/>
    <x v="4"/>
    <x v="33"/>
    <x v="0"/>
    <x v="5"/>
    <x v="574"/>
    <x v="25"/>
    <s v="POS"/>
    <n v="0.13600000000000001"/>
    <n v="380"/>
    <n v="51.680000000000007"/>
    <n v="0"/>
    <m/>
    <m/>
    <m/>
    <m/>
    <n v="0"/>
    <n v="0"/>
    <n v="51503.158760151993"/>
  </r>
  <r>
    <x v="65"/>
    <x v="4"/>
    <x v="24"/>
    <x v="0"/>
    <x v="5"/>
    <x v="574"/>
    <x v="25"/>
    <s v="POS"/>
    <n v="0.128"/>
    <n v="640"/>
    <n v="81.92"/>
    <n v="0"/>
    <m/>
    <m/>
    <m/>
    <m/>
    <n v="0"/>
    <n v="0"/>
    <n v="51503.158760151993"/>
  </r>
  <r>
    <x v="65"/>
    <x v="4"/>
    <x v="150"/>
    <x v="0"/>
    <x v="5"/>
    <x v="574"/>
    <x v="25"/>
    <s v="POS"/>
    <n v="0.36399999999999999"/>
    <n v="240"/>
    <n v="87.36"/>
    <n v="0"/>
    <m/>
    <m/>
    <m/>
    <m/>
    <n v="0"/>
    <n v="0"/>
    <n v="51503.158760151993"/>
  </r>
  <r>
    <x v="65"/>
    <x v="10"/>
    <x v="0"/>
    <x v="0"/>
    <x v="5"/>
    <x v="2"/>
    <x v="63"/>
    <s v="POS"/>
    <n v="1"/>
    <n v="245"/>
    <n v="0"/>
    <n v="245"/>
    <m/>
    <m/>
    <m/>
    <m/>
    <n v="245"/>
    <n v="0"/>
    <n v="51748.158760151993"/>
  </r>
  <r>
    <x v="65"/>
    <x v="10"/>
    <x v="0"/>
    <x v="0"/>
    <x v="5"/>
    <x v="2"/>
    <x v="63"/>
    <s v="POS"/>
    <n v="1"/>
    <n v="506"/>
    <n v="0"/>
    <n v="506"/>
    <m/>
    <m/>
    <m/>
    <m/>
    <n v="506"/>
    <n v="0"/>
    <n v="52254.158760151993"/>
  </r>
  <r>
    <x v="66"/>
    <x v="4"/>
    <x v="51"/>
    <x v="0"/>
    <x v="1"/>
    <x v="575"/>
    <x v="25"/>
    <s v="NAKİT"/>
    <n v="0.1"/>
    <n v="400"/>
    <n v="0"/>
    <n v="0"/>
    <m/>
    <m/>
    <m/>
    <m/>
    <n v="40"/>
    <n v="0"/>
    <n v="52294.158760151993"/>
  </r>
  <r>
    <x v="66"/>
    <x v="4"/>
    <x v="50"/>
    <x v="0"/>
    <x v="1"/>
    <x v="575"/>
    <x v="25"/>
    <s v="NAKİT"/>
    <n v="0.1"/>
    <n v="650"/>
    <n v="0"/>
    <n v="0"/>
    <m/>
    <m/>
    <m/>
    <m/>
    <n v="65"/>
    <n v="0"/>
    <n v="52359.158760151993"/>
  </r>
  <r>
    <x v="66"/>
    <x v="4"/>
    <x v="73"/>
    <x v="0"/>
    <x v="1"/>
    <x v="575"/>
    <x v="25"/>
    <s v="NAKİT"/>
    <n v="0.218"/>
    <n v="950"/>
    <n v="0"/>
    <n v="0"/>
    <m/>
    <m/>
    <m/>
    <m/>
    <n v="207.1"/>
    <n v="0"/>
    <n v="52566.258760151992"/>
  </r>
  <r>
    <x v="66"/>
    <x v="4"/>
    <x v="71"/>
    <x v="0"/>
    <x v="1"/>
    <x v="575"/>
    <x v="25"/>
    <s v="NAKİT"/>
    <n v="0.26800000000000002"/>
    <n v="190"/>
    <n v="0"/>
    <n v="0"/>
    <m/>
    <m/>
    <m/>
    <m/>
    <n v="50.92"/>
    <n v="0"/>
    <n v="52617.17876015199"/>
  </r>
  <r>
    <x v="66"/>
    <x v="4"/>
    <x v="121"/>
    <x v="0"/>
    <x v="1"/>
    <x v="575"/>
    <x v="25"/>
    <s v="NAKİT"/>
    <n v="0.10199999999999999"/>
    <n v="1250"/>
    <n v="0"/>
    <n v="0"/>
    <m/>
    <m/>
    <m/>
    <m/>
    <n v="127.49999999999999"/>
    <n v="0"/>
    <n v="52744.67876015199"/>
  </r>
  <r>
    <x v="66"/>
    <x v="4"/>
    <x v="127"/>
    <x v="0"/>
    <x v="1"/>
    <x v="575"/>
    <x v="25"/>
    <s v="NAKİT"/>
    <n v="0.30599999999999999"/>
    <n v="670"/>
    <n v="0"/>
    <n v="0"/>
    <m/>
    <m/>
    <m/>
    <m/>
    <n v="205.02"/>
    <n v="0"/>
    <n v="52949.698760151987"/>
  </r>
  <r>
    <x v="66"/>
    <x v="4"/>
    <x v="286"/>
    <x v="0"/>
    <x v="1"/>
    <x v="575"/>
    <x v="25"/>
    <s v="NAKİT"/>
    <n v="2"/>
    <n v="65"/>
    <n v="0"/>
    <n v="0"/>
    <m/>
    <m/>
    <m/>
    <m/>
    <n v="130"/>
    <n v="0"/>
    <n v="53079.698760151987"/>
  </r>
  <r>
    <x v="66"/>
    <x v="4"/>
    <x v="280"/>
    <x v="0"/>
    <x v="1"/>
    <x v="575"/>
    <x v="25"/>
    <s v="NAKİT"/>
    <n v="0.5"/>
    <n v="60"/>
    <n v="0"/>
    <n v="0"/>
    <m/>
    <m/>
    <m/>
    <m/>
    <n v="30"/>
    <n v="0"/>
    <n v="53109.698760151987"/>
  </r>
  <r>
    <x v="66"/>
    <x v="4"/>
    <x v="9"/>
    <x v="0"/>
    <x v="1"/>
    <x v="575"/>
    <x v="25"/>
    <s v="NAKİT"/>
    <n v="1"/>
    <n v="160"/>
    <n v="0"/>
    <n v="0"/>
    <m/>
    <m/>
    <m/>
    <m/>
    <n v="160"/>
    <n v="0"/>
    <n v="53269.698760151987"/>
  </r>
  <r>
    <x v="66"/>
    <x v="4"/>
    <x v="241"/>
    <x v="0"/>
    <x v="1"/>
    <x v="575"/>
    <x v="25"/>
    <s v="NAKİT"/>
    <n v="0.68600000000000005"/>
    <n v="60"/>
    <n v="0"/>
    <n v="0"/>
    <m/>
    <m/>
    <m/>
    <m/>
    <n v="41.160000000000004"/>
    <n v="0"/>
    <n v="53310.85876015199"/>
  </r>
  <r>
    <x v="66"/>
    <x v="4"/>
    <x v="30"/>
    <x v="0"/>
    <x v="1"/>
    <x v="575"/>
    <x v="25"/>
    <s v="NAKİT"/>
    <n v="0.47"/>
    <n v="500"/>
    <n v="0"/>
    <n v="0"/>
    <m/>
    <m/>
    <m/>
    <m/>
    <n v="235"/>
    <n v="0"/>
    <n v="53545.85876015199"/>
  </r>
  <r>
    <x v="66"/>
    <x v="4"/>
    <x v="257"/>
    <x v="0"/>
    <x v="5"/>
    <x v="576"/>
    <x v="25"/>
    <s v="POS"/>
    <n v="1"/>
    <n v="170"/>
    <n v="170"/>
    <n v="0"/>
    <m/>
    <m/>
    <m/>
    <m/>
    <n v="0"/>
    <n v="0"/>
    <n v="53545.85876015199"/>
  </r>
  <r>
    <x v="66"/>
    <x v="4"/>
    <x v="22"/>
    <x v="0"/>
    <x v="5"/>
    <x v="577"/>
    <x v="25"/>
    <s v="POS"/>
    <n v="0.19600000000000001"/>
    <n v="250"/>
    <n v="49"/>
    <n v="0"/>
    <m/>
    <m/>
    <m/>
    <m/>
    <n v="0"/>
    <n v="0"/>
    <n v="53545.85876015199"/>
  </r>
  <r>
    <x v="66"/>
    <x v="4"/>
    <x v="50"/>
    <x v="0"/>
    <x v="5"/>
    <x v="577"/>
    <x v="25"/>
    <s v="POS"/>
    <n v="0.1"/>
    <n v="650"/>
    <n v="65"/>
    <n v="0"/>
    <m/>
    <m/>
    <m/>
    <m/>
    <n v="0"/>
    <n v="0"/>
    <n v="53545.85876015199"/>
  </r>
  <r>
    <x v="66"/>
    <x v="4"/>
    <x v="75"/>
    <x v="0"/>
    <x v="5"/>
    <x v="577"/>
    <x v="25"/>
    <s v="POS"/>
    <n v="0.13125000000000001"/>
    <n v="800"/>
    <n v="105"/>
    <n v="0"/>
    <m/>
    <m/>
    <m/>
    <m/>
    <n v="0"/>
    <n v="0"/>
    <n v="53545.85876015199"/>
  </r>
  <r>
    <x v="66"/>
    <x v="4"/>
    <x v="33"/>
    <x v="0"/>
    <x v="5"/>
    <x v="578"/>
    <x v="25"/>
    <s v="POS"/>
    <n v="0.13421052631578947"/>
    <n v="380"/>
    <n v="51"/>
    <n v="0"/>
    <m/>
    <m/>
    <m/>
    <m/>
    <n v="0"/>
    <n v="0"/>
    <n v="53545.85876015199"/>
  </r>
  <r>
    <x v="66"/>
    <x v="4"/>
    <x v="24"/>
    <x v="0"/>
    <x v="5"/>
    <x v="578"/>
    <x v="25"/>
    <s v="POS"/>
    <n v="0.1171875"/>
    <n v="640"/>
    <n v="75"/>
    <n v="0"/>
    <m/>
    <m/>
    <m/>
    <m/>
    <n v="0"/>
    <n v="0"/>
    <n v="53545.85876015199"/>
  </r>
  <r>
    <x v="66"/>
    <x v="4"/>
    <x v="32"/>
    <x v="0"/>
    <x v="5"/>
    <x v="578"/>
    <x v="25"/>
    <s v="POS"/>
    <n v="6.2162162162162166E-2"/>
    <n v="370"/>
    <n v="23"/>
    <n v="0"/>
    <m/>
    <m/>
    <m/>
    <m/>
    <n v="0"/>
    <n v="0"/>
    <n v="53545.85876015199"/>
  </r>
  <r>
    <x v="66"/>
    <x v="4"/>
    <x v="23"/>
    <x v="0"/>
    <x v="5"/>
    <x v="578"/>
    <x v="25"/>
    <s v="POS"/>
    <n v="4.3999999999999997E-2"/>
    <n v="250"/>
    <n v="11"/>
    <n v="0"/>
    <m/>
    <m/>
    <m/>
    <m/>
    <n v="0"/>
    <n v="0"/>
    <n v="53545.85876015199"/>
  </r>
  <r>
    <x v="66"/>
    <x v="4"/>
    <x v="89"/>
    <x v="0"/>
    <x v="5"/>
    <x v="579"/>
    <x v="25"/>
    <s v="POS"/>
    <n v="0.12"/>
    <n v="920"/>
    <n v="110.39999999999999"/>
    <n v="0"/>
    <m/>
    <m/>
    <m/>
    <m/>
    <n v="0"/>
    <n v="0"/>
    <n v="53545.85876015199"/>
  </r>
  <r>
    <x v="66"/>
    <x v="4"/>
    <x v="14"/>
    <x v="0"/>
    <x v="5"/>
    <x v="579"/>
    <x v="25"/>
    <s v="POS"/>
    <n v="0.5"/>
    <n v="280"/>
    <n v="140"/>
    <n v="0"/>
    <m/>
    <m/>
    <m/>
    <m/>
    <n v="0"/>
    <n v="0"/>
    <n v="53545.85876015199"/>
  </r>
  <r>
    <x v="66"/>
    <x v="4"/>
    <x v="150"/>
    <x v="0"/>
    <x v="1"/>
    <x v="580"/>
    <x v="25"/>
    <s v="NAKİT"/>
    <n v="0.8"/>
    <n v="250"/>
    <n v="0"/>
    <n v="0"/>
    <m/>
    <m/>
    <m/>
    <m/>
    <n v="200"/>
    <n v="0"/>
    <n v="53745.85876015199"/>
  </r>
  <r>
    <x v="66"/>
    <x v="4"/>
    <x v="29"/>
    <x v="0"/>
    <x v="1"/>
    <x v="581"/>
    <x v="25"/>
    <s v="NAKİT"/>
    <n v="5.3999999999999999E-2"/>
    <n v="760"/>
    <n v="0"/>
    <n v="0"/>
    <m/>
    <m/>
    <m/>
    <m/>
    <n v="41.04"/>
    <n v="0"/>
    <n v="53786.898760151991"/>
  </r>
  <r>
    <x v="66"/>
    <x v="4"/>
    <x v="30"/>
    <x v="0"/>
    <x v="1"/>
    <x v="581"/>
    <x v="25"/>
    <s v="NAKİT"/>
    <n v="0.29199999999999998"/>
    <n v="500"/>
    <n v="0"/>
    <n v="0"/>
    <m/>
    <m/>
    <m/>
    <m/>
    <n v="146"/>
    <n v="0"/>
    <n v="53932.898760151991"/>
  </r>
  <r>
    <x v="66"/>
    <x v="4"/>
    <x v="83"/>
    <x v="0"/>
    <x v="1"/>
    <x v="581"/>
    <x v="25"/>
    <s v="NAKİT"/>
    <n v="0.05"/>
    <n v="2600"/>
    <n v="0"/>
    <n v="0"/>
    <m/>
    <m/>
    <m/>
    <m/>
    <n v="130"/>
    <n v="0"/>
    <n v="54062.898760151991"/>
  </r>
  <r>
    <x v="66"/>
    <x v="4"/>
    <x v="241"/>
    <x v="0"/>
    <x v="1"/>
    <x v="581"/>
    <x v="25"/>
    <s v="NAKİT"/>
    <n v="1"/>
    <n v="60"/>
    <n v="0"/>
    <n v="0"/>
    <m/>
    <m/>
    <m/>
    <m/>
    <n v="60"/>
    <n v="0"/>
    <n v="54122.898760151991"/>
  </r>
  <r>
    <x v="66"/>
    <x v="4"/>
    <x v="76"/>
    <x v="0"/>
    <x v="1"/>
    <x v="581"/>
    <x v="25"/>
    <s v="NAKİT"/>
    <n v="0.5"/>
    <n v="80"/>
    <n v="0"/>
    <n v="0"/>
    <m/>
    <m/>
    <m/>
    <m/>
    <n v="40"/>
    <n v="0"/>
    <n v="54162.898760151991"/>
  </r>
  <r>
    <x v="66"/>
    <x v="4"/>
    <x v="55"/>
    <x v="0"/>
    <x v="5"/>
    <x v="582"/>
    <x v="25"/>
    <s v="POS"/>
    <n v="0.5"/>
    <n v="180"/>
    <n v="90"/>
    <n v="0"/>
    <m/>
    <m/>
    <m/>
    <m/>
    <n v="0"/>
    <n v="0"/>
    <n v="54162.898760151991"/>
  </r>
  <r>
    <x v="66"/>
    <x v="4"/>
    <x v="98"/>
    <x v="0"/>
    <x v="5"/>
    <x v="583"/>
    <x v="25"/>
    <s v="POS"/>
    <n v="1"/>
    <n v="700"/>
    <n v="700"/>
    <n v="0"/>
    <m/>
    <m/>
    <m/>
    <m/>
    <n v="0"/>
    <n v="0"/>
    <n v="54162.898760151991"/>
  </r>
  <r>
    <x v="66"/>
    <x v="10"/>
    <x v="0"/>
    <x v="0"/>
    <x v="5"/>
    <x v="2"/>
    <x v="63"/>
    <s v="POS"/>
    <n v="1"/>
    <n v="225"/>
    <n v="0"/>
    <n v="225"/>
    <m/>
    <m/>
    <m/>
    <m/>
    <n v="225"/>
    <n v="0"/>
    <n v="54387.898760151991"/>
  </r>
  <r>
    <x v="66"/>
    <x v="10"/>
    <x v="0"/>
    <x v="0"/>
    <x v="5"/>
    <x v="2"/>
    <x v="63"/>
    <s v="POS"/>
    <n v="1"/>
    <n v="1030"/>
    <n v="0"/>
    <n v="1030"/>
    <m/>
    <m/>
    <m/>
    <m/>
    <n v="1030"/>
    <n v="0"/>
    <n v="55417.898760151991"/>
  </r>
  <r>
    <x v="67"/>
    <x v="1"/>
    <x v="0"/>
    <x v="5"/>
    <x v="2"/>
    <x v="215"/>
    <x v="81"/>
    <s v="K.K."/>
    <n v="1"/>
    <n v="300"/>
    <n v="0"/>
    <n v="300"/>
    <m/>
    <m/>
    <m/>
    <m/>
    <n v="0"/>
    <n v="0"/>
    <n v="55417.898760151991"/>
  </r>
  <r>
    <x v="67"/>
    <x v="2"/>
    <x v="0"/>
    <x v="4"/>
    <x v="2"/>
    <x v="584"/>
    <x v="82"/>
    <s v="K.K."/>
    <n v="1"/>
    <n v="1850"/>
    <n v="0"/>
    <n v="1850"/>
    <m/>
    <m/>
    <m/>
    <m/>
    <n v="0"/>
    <n v="0"/>
    <n v="55417.898760151991"/>
  </r>
  <r>
    <x v="67"/>
    <x v="4"/>
    <x v="62"/>
    <x v="0"/>
    <x v="5"/>
    <x v="585"/>
    <x v="25"/>
    <s v="POS"/>
    <n v="1"/>
    <n v="60"/>
    <n v="60"/>
    <n v="0"/>
    <m/>
    <m/>
    <m/>
    <m/>
    <n v="0"/>
    <n v="0"/>
    <n v="55417.898760151991"/>
  </r>
  <r>
    <x v="67"/>
    <x v="4"/>
    <x v="57"/>
    <x v="0"/>
    <x v="1"/>
    <x v="586"/>
    <x v="25"/>
    <s v="NAKİT"/>
    <n v="1"/>
    <n v="130"/>
    <n v="0"/>
    <n v="0"/>
    <m/>
    <m/>
    <m/>
    <m/>
    <n v="130"/>
    <n v="0"/>
    <n v="55547.898760151991"/>
  </r>
  <r>
    <x v="67"/>
    <x v="4"/>
    <x v="167"/>
    <x v="0"/>
    <x v="1"/>
    <x v="587"/>
    <x v="25"/>
    <s v="NAKİT"/>
    <n v="1"/>
    <n v="40"/>
    <n v="0"/>
    <n v="0"/>
    <m/>
    <m/>
    <m/>
    <m/>
    <n v="40"/>
    <n v="0"/>
    <n v="55587.898760151991"/>
  </r>
  <r>
    <x v="67"/>
    <x v="4"/>
    <x v="168"/>
    <x v="0"/>
    <x v="1"/>
    <x v="587"/>
    <x v="25"/>
    <s v="NAKİT"/>
    <n v="1"/>
    <n v="40"/>
    <n v="0"/>
    <n v="0"/>
    <m/>
    <m/>
    <m/>
    <m/>
    <n v="40"/>
    <n v="0"/>
    <n v="55627.898760151991"/>
  </r>
  <r>
    <x v="67"/>
    <x v="4"/>
    <x v="270"/>
    <x v="0"/>
    <x v="1"/>
    <x v="587"/>
    <x v="25"/>
    <s v="NAKİT"/>
    <n v="1"/>
    <n v="130"/>
    <n v="0"/>
    <n v="0"/>
    <m/>
    <m/>
    <m/>
    <m/>
    <n v="130"/>
    <n v="0"/>
    <n v="55757.898760151991"/>
  </r>
  <r>
    <x v="67"/>
    <x v="4"/>
    <x v="76"/>
    <x v="0"/>
    <x v="1"/>
    <x v="587"/>
    <x v="25"/>
    <s v="NAKİT"/>
    <n v="1"/>
    <n v="40"/>
    <n v="0"/>
    <n v="0"/>
    <m/>
    <m/>
    <m/>
    <m/>
    <n v="40"/>
    <n v="0"/>
    <n v="55797.898760151991"/>
  </r>
  <r>
    <x v="67"/>
    <x v="4"/>
    <x v="22"/>
    <x v="0"/>
    <x v="1"/>
    <x v="588"/>
    <x v="25"/>
    <s v="NAKİT"/>
    <n v="0.1388888888888889"/>
    <n v="360"/>
    <n v="0"/>
    <n v="0"/>
    <m/>
    <m/>
    <m/>
    <m/>
    <n v="50"/>
    <n v="0"/>
    <n v="55847.898760151991"/>
  </r>
  <r>
    <x v="67"/>
    <x v="4"/>
    <x v="163"/>
    <x v="0"/>
    <x v="1"/>
    <x v="589"/>
    <x v="25"/>
    <s v="NAKİT"/>
    <n v="1"/>
    <n v="40"/>
    <n v="0"/>
    <n v="0"/>
    <m/>
    <m/>
    <m/>
    <m/>
    <n v="40"/>
    <n v="0"/>
    <n v="55887.898760151991"/>
  </r>
  <r>
    <x v="67"/>
    <x v="4"/>
    <x v="83"/>
    <x v="0"/>
    <x v="5"/>
    <x v="590"/>
    <x v="25"/>
    <s v="POS"/>
    <n v="0.05"/>
    <n v="2600"/>
    <n v="130"/>
    <n v="0"/>
    <m/>
    <m/>
    <m/>
    <m/>
    <n v="0"/>
    <n v="0"/>
    <n v="55887.898760151991"/>
  </r>
  <r>
    <x v="67"/>
    <x v="4"/>
    <x v="18"/>
    <x v="0"/>
    <x v="5"/>
    <x v="591"/>
    <x v="25"/>
    <s v="POS"/>
    <n v="1"/>
    <n v="240"/>
    <n v="240"/>
    <n v="0"/>
    <m/>
    <m/>
    <m/>
    <m/>
    <n v="0"/>
    <n v="0"/>
    <n v="55887.898760151991"/>
  </r>
  <r>
    <x v="67"/>
    <x v="4"/>
    <x v="58"/>
    <x v="0"/>
    <x v="5"/>
    <x v="591"/>
    <x v="25"/>
    <s v="POS"/>
    <n v="1"/>
    <n v="200"/>
    <n v="200"/>
    <n v="0"/>
    <m/>
    <m/>
    <m/>
    <m/>
    <n v="0"/>
    <n v="0"/>
    <n v="55887.898760151991"/>
  </r>
  <r>
    <x v="67"/>
    <x v="4"/>
    <x v="288"/>
    <x v="0"/>
    <x v="5"/>
    <x v="591"/>
    <x v="25"/>
    <s v="POS"/>
    <n v="0.126"/>
    <n v="540"/>
    <n v="68.040000000000006"/>
    <n v="0"/>
    <m/>
    <m/>
    <m/>
    <m/>
    <n v="0"/>
    <n v="0"/>
    <n v="55887.898760151991"/>
  </r>
  <r>
    <x v="67"/>
    <x v="4"/>
    <x v="273"/>
    <x v="0"/>
    <x v="1"/>
    <x v="592"/>
    <x v="25"/>
    <s v="NAKİT"/>
    <n v="0.25"/>
    <n v="360"/>
    <n v="0"/>
    <n v="0"/>
    <m/>
    <m/>
    <m/>
    <m/>
    <n v="90"/>
    <n v="0"/>
    <n v="55977.898760151991"/>
  </r>
  <r>
    <x v="67"/>
    <x v="4"/>
    <x v="116"/>
    <x v="0"/>
    <x v="1"/>
    <x v="593"/>
    <x v="25"/>
    <s v="NAKİT"/>
    <n v="0.27777777777777779"/>
    <n v="360"/>
    <n v="0"/>
    <n v="0"/>
    <m/>
    <m/>
    <m/>
    <m/>
    <n v="100"/>
    <n v="0"/>
    <n v="56077.898760151991"/>
  </r>
  <r>
    <x v="67"/>
    <x v="4"/>
    <x v="9"/>
    <x v="0"/>
    <x v="1"/>
    <x v="594"/>
    <x v="25"/>
    <s v="NAKİT"/>
    <n v="1"/>
    <n v="160"/>
    <n v="0"/>
    <n v="0"/>
    <m/>
    <m/>
    <m/>
    <m/>
    <n v="160"/>
    <n v="0"/>
    <n v="56237.898760151991"/>
  </r>
  <r>
    <x v="67"/>
    <x v="4"/>
    <x v="10"/>
    <x v="0"/>
    <x v="1"/>
    <x v="594"/>
    <x v="25"/>
    <s v="NAKİT"/>
    <n v="1"/>
    <n v="170"/>
    <n v="0"/>
    <n v="0"/>
    <m/>
    <m/>
    <m/>
    <m/>
    <n v="170"/>
    <n v="0"/>
    <n v="56407.898760151991"/>
  </r>
  <r>
    <x v="67"/>
    <x v="4"/>
    <x v="165"/>
    <x v="0"/>
    <x v="1"/>
    <x v="594"/>
    <x v="25"/>
    <s v="NAKİT"/>
    <n v="1"/>
    <n v="40"/>
    <n v="0"/>
    <n v="0"/>
    <m/>
    <m/>
    <m/>
    <m/>
    <n v="40"/>
    <n v="0"/>
    <n v="56447.898760151991"/>
  </r>
  <r>
    <x v="67"/>
    <x v="4"/>
    <x v="27"/>
    <x v="0"/>
    <x v="1"/>
    <x v="594"/>
    <x v="25"/>
    <s v="NAKİT"/>
    <n v="0.15"/>
    <n v="400"/>
    <n v="0"/>
    <n v="0"/>
    <m/>
    <m/>
    <m/>
    <m/>
    <n v="60"/>
    <n v="0"/>
    <n v="56507.898760151991"/>
  </r>
  <r>
    <x v="67"/>
    <x v="4"/>
    <x v="196"/>
    <x v="0"/>
    <x v="1"/>
    <x v="594"/>
    <x v="25"/>
    <s v="NAKİT"/>
    <n v="1"/>
    <n v="350"/>
    <n v="0"/>
    <n v="0"/>
    <m/>
    <m/>
    <m/>
    <m/>
    <n v="350"/>
    <n v="0"/>
    <n v="56857.898760151991"/>
  </r>
  <r>
    <x v="67"/>
    <x v="4"/>
    <x v="18"/>
    <x v="0"/>
    <x v="1"/>
    <x v="595"/>
    <x v="25"/>
    <s v="NAKİT"/>
    <n v="3"/>
    <n v="240"/>
    <n v="0"/>
    <n v="0"/>
    <m/>
    <m/>
    <m/>
    <m/>
    <n v="720"/>
    <n v="0"/>
    <n v="57577.898760151991"/>
  </r>
  <r>
    <x v="67"/>
    <x v="4"/>
    <x v="58"/>
    <x v="0"/>
    <x v="1"/>
    <x v="595"/>
    <x v="25"/>
    <s v="NAKİT"/>
    <n v="2"/>
    <n v="200"/>
    <n v="0"/>
    <n v="0"/>
    <m/>
    <m/>
    <m/>
    <m/>
    <n v="400"/>
    <n v="0"/>
    <n v="57977.898760151991"/>
  </r>
  <r>
    <x v="67"/>
    <x v="4"/>
    <x v="57"/>
    <x v="0"/>
    <x v="1"/>
    <x v="595"/>
    <x v="25"/>
    <s v="NAKİT"/>
    <n v="2"/>
    <n v="130"/>
    <n v="0"/>
    <n v="0"/>
    <m/>
    <m/>
    <m/>
    <m/>
    <n v="260"/>
    <n v="0"/>
    <n v="58237.898760151991"/>
  </r>
  <r>
    <x v="67"/>
    <x v="4"/>
    <x v="208"/>
    <x v="0"/>
    <x v="1"/>
    <x v="596"/>
    <x v="25"/>
    <s v="NAKİT"/>
    <n v="1"/>
    <n v="290"/>
    <n v="0"/>
    <n v="0"/>
    <m/>
    <m/>
    <m/>
    <m/>
    <n v="290"/>
    <n v="0"/>
    <n v="58527.898760151991"/>
  </r>
  <r>
    <x v="67"/>
    <x v="4"/>
    <x v="55"/>
    <x v="0"/>
    <x v="1"/>
    <x v="596"/>
    <x v="25"/>
    <s v="NAKİT"/>
    <n v="0.5"/>
    <n v="200"/>
    <n v="0"/>
    <n v="0"/>
    <m/>
    <m/>
    <m/>
    <m/>
    <n v="100"/>
    <n v="0"/>
    <n v="58627.898760151991"/>
  </r>
  <r>
    <x v="67"/>
    <x v="4"/>
    <x v="57"/>
    <x v="0"/>
    <x v="1"/>
    <x v="597"/>
    <x v="25"/>
    <s v="NAKİT"/>
    <n v="5"/>
    <n v="150"/>
    <n v="0"/>
    <n v="0"/>
    <m/>
    <m/>
    <m/>
    <m/>
    <n v="750"/>
    <n v="0"/>
    <n v="59377.898760151991"/>
  </r>
  <r>
    <x v="67"/>
    <x v="4"/>
    <x v="150"/>
    <x v="0"/>
    <x v="1"/>
    <x v="597"/>
    <x v="25"/>
    <s v="NAKİT"/>
    <n v="2"/>
    <n v="300"/>
    <n v="0"/>
    <n v="0"/>
    <m/>
    <m/>
    <m/>
    <m/>
    <n v="600"/>
    <n v="0"/>
    <n v="59977.898760151991"/>
  </r>
  <r>
    <x v="67"/>
    <x v="4"/>
    <x v="20"/>
    <x v="0"/>
    <x v="1"/>
    <x v="598"/>
    <x v="25"/>
    <s v="NAKİT"/>
    <n v="1"/>
    <n v="220"/>
    <n v="0"/>
    <n v="0"/>
    <m/>
    <m/>
    <m/>
    <m/>
    <n v="220"/>
    <n v="0"/>
    <n v="60197.898760151991"/>
  </r>
  <r>
    <x v="67"/>
    <x v="4"/>
    <x v="199"/>
    <x v="0"/>
    <x v="1"/>
    <x v="598"/>
    <x v="25"/>
    <s v="NAKİT"/>
    <n v="1"/>
    <n v="150"/>
    <n v="0"/>
    <n v="0"/>
    <m/>
    <m/>
    <m/>
    <m/>
    <n v="150"/>
    <n v="0"/>
    <n v="60347.898760151991"/>
  </r>
  <r>
    <x v="67"/>
    <x v="4"/>
    <x v="27"/>
    <x v="0"/>
    <x v="1"/>
    <x v="599"/>
    <x v="25"/>
    <s v="NAKİT"/>
    <n v="0.23809523809523808"/>
    <n v="420"/>
    <n v="0"/>
    <n v="0"/>
    <m/>
    <m/>
    <m/>
    <m/>
    <n v="100"/>
    <n v="0"/>
    <n v="60447.898760151991"/>
  </r>
  <r>
    <x v="67"/>
    <x v="4"/>
    <x v="199"/>
    <x v="0"/>
    <x v="1"/>
    <x v="599"/>
    <x v="25"/>
    <s v="NAKİT"/>
    <n v="5"/>
    <n v="150"/>
    <n v="0"/>
    <n v="0"/>
    <m/>
    <m/>
    <m/>
    <m/>
    <n v="750"/>
    <n v="0"/>
    <n v="61197.898760151991"/>
  </r>
  <r>
    <x v="67"/>
    <x v="4"/>
    <x v="100"/>
    <x v="0"/>
    <x v="1"/>
    <x v="599"/>
    <x v="25"/>
    <s v="NAKİT"/>
    <n v="0.5"/>
    <n v="800"/>
    <n v="0"/>
    <n v="0"/>
    <m/>
    <m/>
    <m/>
    <m/>
    <n v="400"/>
    <n v="0"/>
    <n v="61597.898760151991"/>
  </r>
  <r>
    <x v="67"/>
    <x v="4"/>
    <x v="199"/>
    <x v="0"/>
    <x v="1"/>
    <x v="600"/>
    <x v="25"/>
    <s v="NAKİT"/>
    <n v="3.3333333333333335"/>
    <n v="150"/>
    <n v="0"/>
    <n v="0"/>
    <m/>
    <m/>
    <m/>
    <m/>
    <n v="500"/>
    <n v="0"/>
    <n v="62097.898760151991"/>
  </r>
  <r>
    <x v="67"/>
    <x v="4"/>
    <x v="55"/>
    <x v="0"/>
    <x v="1"/>
    <x v="600"/>
    <x v="25"/>
    <s v="NAKİT"/>
    <n v="2.5"/>
    <n v="200"/>
    <n v="0"/>
    <n v="0"/>
    <m/>
    <m/>
    <m/>
    <m/>
    <n v="500"/>
    <n v="0"/>
    <n v="62597.898760151991"/>
  </r>
  <r>
    <x v="67"/>
    <x v="4"/>
    <x v="150"/>
    <x v="0"/>
    <x v="1"/>
    <x v="601"/>
    <x v="25"/>
    <s v="NAKİT"/>
    <n v="3"/>
    <n v="300"/>
    <n v="0"/>
    <n v="0"/>
    <m/>
    <m/>
    <m/>
    <m/>
    <n v="900"/>
    <n v="0"/>
    <n v="63497.898760151991"/>
  </r>
  <r>
    <x v="67"/>
    <x v="4"/>
    <x v="57"/>
    <x v="0"/>
    <x v="1"/>
    <x v="602"/>
    <x v="25"/>
    <s v="NAKİT"/>
    <n v="5"/>
    <n v="150"/>
    <n v="0"/>
    <n v="0"/>
    <m/>
    <m/>
    <m/>
    <m/>
    <n v="750"/>
    <n v="0"/>
    <n v="64247.898760151991"/>
  </r>
  <r>
    <x v="67"/>
    <x v="4"/>
    <x v="55"/>
    <x v="0"/>
    <x v="1"/>
    <x v="602"/>
    <x v="25"/>
    <s v="NAKİT"/>
    <n v="5"/>
    <n v="200"/>
    <n v="0"/>
    <n v="0"/>
    <m/>
    <m/>
    <m/>
    <m/>
    <n v="1000"/>
    <n v="0"/>
    <n v="65247.898760151991"/>
  </r>
  <r>
    <x v="67"/>
    <x v="4"/>
    <x v="56"/>
    <x v="0"/>
    <x v="1"/>
    <x v="602"/>
    <x v="25"/>
    <s v="NAKİT"/>
    <n v="5"/>
    <n v="200"/>
    <n v="0"/>
    <n v="0"/>
    <m/>
    <m/>
    <m/>
    <m/>
    <n v="1000"/>
    <n v="0"/>
    <n v="66247.898760151991"/>
  </r>
  <r>
    <x v="67"/>
    <x v="4"/>
    <x v="18"/>
    <x v="0"/>
    <x v="1"/>
    <x v="602"/>
    <x v="25"/>
    <s v="NAKİT"/>
    <n v="5"/>
    <n v="250"/>
    <n v="0"/>
    <n v="0"/>
    <m/>
    <m/>
    <m/>
    <m/>
    <n v="1250"/>
    <n v="0"/>
    <n v="67497.898760151991"/>
  </r>
  <r>
    <x v="67"/>
    <x v="4"/>
    <x v="58"/>
    <x v="0"/>
    <x v="1"/>
    <x v="602"/>
    <x v="25"/>
    <s v="NAKİT"/>
    <n v="2"/>
    <n v="220"/>
    <n v="0"/>
    <n v="0"/>
    <m/>
    <m/>
    <m/>
    <m/>
    <n v="440"/>
    <n v="0"/>
    <n v="67937.898760151991"/>
  </r>
  <r>
    <x v="67"/>
    <x v="4"/>
    <x v="58"/>
    <x v="0"/>
    <x v="1"/>
    <x v="602"/>
    <x v="25"/>
    <s v="NAKİT"/>
    <n v="3"/>
    <n v="220"/>
    <n v="0"/>
    <n v="0"/>
    <m/>
    <m/>
    <m/>
    <m/>
    <n v="660"/>
    <n v="0"/>
    <n v="68597.898760151991"/>
  </r>
  <r>
    <x v="67"/>
    <x v="4"/>
    <x v="27"/>
    <x v="0"/>
    <x v="1"/>
    <x v="602"/>
    <x v="25"/>
    <s v="NAKİT"/>
    <n v="0.59523809523809523"/>
    <n v="420"/>
    <n v="0"/>
    <n v="0"/>
    <m/>
    <m/>
    <m/>
    <m/>
    <n v="250"/>
    <n v="0"/>
    <n v="68847.898760151991"/>
  </r>
  <r>
    <x v="67"/>
    <x v="10"/>
    <x v="0"/>
    <x v="0"/>
    <x v="5"/>
    <x v="2"/>
    <x v="63"/>
    <s v="POS"/>
    <n v="1"/>
    <n v="453"/>
    <n v="0"/>
    <n v="453"/>
    <m/>
    <m/>
    <m/>
    <m/>
    <n v="453"/>
    <n v="0"/>
    <n v="69300.898760151991"/>
  </r>
  <r>
    <x v="67"/>
    <x v="10"/>
    <x v="0"/>
    <x v="0"/>
    <x v="5"/>
    <x v="2"/>
    <x v="63"/>
    <s v="POS"/>
    <n v="1"/>
    <n v="2340"/>
    <n v="0"/>
    <n v="2340"/>
    <m/>
    <m/>
    <m/>
    <m/>
    <n v="2340"/>
    <n v="0"/>
    <n v="71640.898760151991"/>
  </r>
  <r>
    <x v="68"/>
    <x v="4"/>
    <x v="161"/>
    <x v="0"/>
    <x v="5"/>
    <x v="603"/>
    <x v="25"/>
    <s v="POS"/>
    <n v="0.14799999999999999"/>
    <n v="370"/>
    <n v="54.76"/>
    <n v="0"/>
    <m/>
    <m/>
    <m/>
    <m/>
    <n v="0"/>
    <n v="0"/>
    <n v="71640.898760151991"/>
  </r>
  <r>
    <x v="68"/>
    <x v="4"/>
    <x v="25"/>
    <x v="0"/>
    <x v="5"/>
    <x v="603"/>
    <x v="25"/>
    <s v="POS"/>
    <n v="0.17799999999999999"/>
    <n v="390"/>
    <n v="69.42"/>
    <n v="0"/>
    <m/>
    <m/>
    <m/>
    <m/>
    <n v="0"/>
    <n v="0"/>
    <n v="71640.898760151991"/>
  </r>
  <r>
    <x v="68"/>
    <x v="4"/>
    <x v="18"/>
    <x v="0"/>
    <x v="5"/>
    <x v="603"/>
    <x v="25"/>
    <s v="POS"/>
    <n v="1"/>
    <n v="240"/>
    <n v="240"/>
    <n v="0"/>
    <m/>
    <m/>
    <m/>
    <m/>
    <n v="0"/>
    <n v="0"/>
    <n v="71640.898760151991"/>
  </r>
  <r>
    <x v="68"/>
    <x v="4"/>
    <x v="20"/>
    <x v="0"/>
    <x v="5"/>
    <x v="603"/>
    <x v="25"/>
    <s v="POS"/>
    <n v="1"/>
    <n v="200"/>
    <n v="200"/>
    <n v="0"/>
    <m/>
    <m/>
    <m/>
    <m/>
    <n v="0"/>
    <n v="0"/>
    <n v="71640.898760151991"/>
  </r>
  <r>
    <x v="68"/>
    <x v="4"/>
    <x v="23"/>
    <x v="0"/>
    <x v="5"/>
    <x v="604"/>
    <x v="25"/>
    <s v="POS"/>
    <n v="0.14599999999999999"/>
    <n v="250"/>
    <n v="36.5"/>
    <n v="0"/>
    <m/>
    <m/>
    <m/>
    <m/>
    <n v="0"/>
    <n v="0"/>
    <n v="71640.898760151991"/>
  </r>
  <r>
    <x v="68"/>
    <x v="4"/>
    <x v="22"/>
    <x v="0"/>
    <x v="5"/>
    <x v="604"/>
    <x v="25"/>
    <s v="POS"/>
    <n v="0.16583333333333333"/>
    <n v="360"/>
    <n v="59.7"/>
    <n v="0"/>
    <m/>
    <m/>
    <m/>
    <m/>
    <n v="0"/>
    <n v="0"/>
    <n v="71640.898760151991"/>
  </r>
  <r>
    <x v="68"/>
    <x v="4"/>
    <x v="238"/>
    <x v="0"/>
    <x v="5"/>
    <x v="604"/>
    <x v="25"/>
    <s v="POS"/>
    <n v="0.35"/>
    <n v="340"/>
    <n v="118.99999999999999"/>
    <n v="0"/>
    <m/>
    <m/>
    <m/>
    <m/>
    <n v="0"/>
    <n v="0"/>
    <n v="71640.898760151991"/>
  </r>
  <r>
    <x v="68"/>
    <x v="4"/>
    <x v="199"/>
    <x v="0"/>
    <x v="5"/>
    <x v="604"/>
    <x v="25"/>
    <s v="POS"/>
    <n v="4.04"/>
    <n v="120"/>
    <n v="484.8"/>
    <n v="0"/>
    <m/>
    <m/>
    <m/>
    <m/>
    <n v="0"/>
    <n v="0"/>
    <n v="71640.898760151991"/>
  </r>
  <r>
    <x v="68"/>
    <x v="4"/>
    <x v="161"/>
    <x v="0"/>
    <x v="5"/>
    <x v="605"/>
    <x v="25"/>
    <s v="POS"/>
    <n v="0.12162162162162163"/>
    <n v="370"/>
    <n v="45"/>
    <n v="0"/>
    <m/>
    <m/>
    <m/>
    <m/>
    <n v="0"/>
    <n v="0"/>
    <n v="71640.898760151991"/>
  </r>
  <r>
    <x v="68"/>
    <x v="4"/>
    <x v="199"/>
    <x v="0"/>
    <x v="5"/>
    <x v="605"/>
    <x v="25"/>
    <s v="POS"/>
    <n v="0.5"/>
    <n v="130"/>
    <n v="65"/>
    <n v="0"/>
    <m/>
    <m/>
    <m/>
    <m/>
    <n v="0"/>
    <n v="0"/>
    <n v="71640.898760151991"/>
  </r>
  <r>
    <x v="68"/>
    <x v="4"/>
    <x v="82"/>
    <x v="0"/>
    <x v="5"/>
    <x v="605"/>
    <x v="25"/>
    <s v="POS"/>
    <n v="0.5"/>
    <n v="140"/>
    <n v="70"/>
    <n v="0"/>
    <m/>
    <m/>
    <m/>
    <m/>
    <n v="0"/>
    <n v="0"/>
    <n v="71640.898760151991"/>
  </r>
  <r>
    <x v="68"/>
    <x v="4"/>
    <x v="88"/>
    <x v="0"/>
    <x v="5"/>
    <x v="605"/>
    <x v="25"/>
    <s v="POS"/>
    <n v="0.05"/>
    <n v="1200"/>
    <n v="60"/>
    <n v="0"/>
    <m/>
    <m/>
    <m/>
    <m/>
    <n v="0"/>
    <n v="0"/>
    <n v="71640.898760151991"/>
  </r>
  <r>
    <x v="68"/>
    <x v="4"/>
    <x v="56"/>
    <x v="0"/>
    <x v="1"/>
    <x v="606"/>
    <x v="35"/>
    <s v="NAKİT"/>
    <n v="38.700000000000003"/>
    <n v="144.7028"/>
    <n v="0"/>
    <n v="0"/>
    <m/>
    <m/>
    <m/>
    <m/>
    <n v="5599.9983600000005"/>
    <n v="0"/>
    <n v="77240.897120151989"/>
  </r>
  <r>
    <x v="68"/>
    <x v="4"/>
    <x v="55"/>
    <x v="0"/>
    <x v="1"/>
    <x v="607"/>
    <x v="25"/>
    <s v="NAKİT"/>
    <n v="1"/>
    <n v="180"/>
    <n v="0"/>
    <n v="0"/>
    <m/>
    <m/>
    <m/>
    <m/>
    <n v="180"/>
    <n v="0"/>
    <n v="77420.897120151989"/>
  </r>
  <r>
    <x v="68"/>
    <x v="4"/>
    <x v="55"/>
    <x v="0"/>
    <x v="1"/>
    <x v="608"/>
    <x v="25"/>
    <s v="NAKİT"/>
    <n v="1"/>
    <n v="180"/>
    <n v="0"/>
    <n v="0"/>
    <m/>
    <m/>
    <m/>
    <m/>
    <n v="180"/>
    <n v="0"/>
    <n v="77600.897120151989"/>
  </r>
  <r>
    <x v="68"/>
    <x v="4"/>
    <x v="85"/>
    <x v="0"/>
    <x v="1"/>
    <x v="608"/>
    <x v="25"/>
    <s v="NAKİT"/>
    <n v="0.2413793103448276"/>
    <n v="290"/>
    <n v="0"/>
    <n v="0"/>
    <m/>
    <m/>
    <m/>
    <m/>
    <n v="70"/>
    <n v="0"/>
    <n v="77670.897120151989"/>
  </r>
  <r>
    <x v="68"/>
    <x v="4"/>
    <x v="66"/>
    <x v="0"/>
    <x v="1"/>
    <x v="609"/>
    <x v="25"/>
    <s v="NAKİT"/>
    <n v="0.12"/>
    <n v="417"/>
    <n v="0"/>
    <n v="0"/>
    <m/>
    <m/>
    <m/>
    <m/>
    <n v="50.04"/>
    <n v="0"/>
    <n v="77720.937120151983"/>
  </r>
  <r>
    <x v="68"/>
    <x v="4"/>
    <x v="83"/>
    <x v="0"/>
    <x v="1"/>
    <x v="610"/>
    <x v="25"/>
    <s v="NAKİT"/>
    <n v="0.05"/>
    <n v="2600"/>
    <n v="0"/>
    <n v="0"/>
    <m/>
    <m/>
    <m/>
    <m/>
    <n v="130"/>
    <n v="0"/>
    <n v="77850.937120151983"/>
  </r>
  <r>
    <x v="68"/>
    <x v="4"/>
    <x v="100"/>
    <x v="0"/>
    <x v="5"/>
    <x v="611"/>
    <x v="25"/>
    <s v="POS"/>
    <n v="0.5"/>
    <n v="650"/>
    <n v="325"/>
    <n v="0"/>
    <m/>
    <m/>
    <m/>
    <m/>
    <n v="0"/>
    <n v="0"/>
    <n v="77850.937120151983"/>
  </r>
  <r>
    <x v="68"/>
    <x v="4"/>
    <x v="190"/>
    <x v="0"/>
    <x v="5"/>
    <x v="612"/>
    <x v="25"/>
    <s v="POS"/>
    <n v="1"/>
    <n v="300"/>
    <n v="300"/>
    <n v="0"/>
    <m/>
    <m/>
    <m/>
    <m/>
    <n v="0"/>
    <n v="0"/>
    <n v="77850.937120151983"/>
  </r>
  <r>
    <x v="68"/>
    <x v="4"/>
    <x v="118"/>
    <x v="0"/>
    <x v="5"/>
    <x v="612"/>
    <x v="25"/>
    <s v="POS"/>
    <n v="1"/>
    <n v="180"/>
    <n v="180"/>
    <n v="0"/>
    <m/>
    <m/>
    <m/>
    <m/>
    <n v="0"/>
    <n v="0"/>
    <n v="77850.937120151983"/>
  </r>
  <r>
    <x v="68"/>
    <x v="4"/>
    <x v="122"/>
    <x v="0"/>
    <x v="5"/>
    <x v="612"/>
    <x v="25"/>
    <s v="POS"/>
    <n v="8.5999999999999993E-2"/>
    <n v="1200"/>
    <n v="103.19999999999999"/>
    <n v="0"/>
    <m/>
    <m/>
    <m/>
    <m/>
    <n v="0"/>
    <n v="0"/>
    <n v="77850.937120151983"/>
  </r>
  <r>
    <x v="68"/>
    <x v="4"/>
    <x v="169"/>
    <x v="0"/>
    <x v="5"/>
    <x v="612"/>
    <x v="25"/>
    <s v="POS"/>
    <n v="0.156"/>
    <n v="650"/>
    <n v="101.4"/>
    <n v="0"/>
    <m/>
    <m/>
    <m/>
    <m/>
    <n v="0"/>
    <n v="0"/>
    <n v="77850.937120151983"/>
  </r>
  <r>
    <x v="68"/>
    <x v="4"/>
    <x v="238"/>
    <x v="0"/>
    <x v="5"/>
    <x v="612"/>
    <x v="25"/>
    <s v="POS"/>
    <n v="0.37"/>
    <n v="340"/>
    <n v="125.8"/>
    <n v="0"/>
    <m/>
    <m/>
    <m/>
    <m/>
    <n v="0"/>
    <n v="0"/>
    <n v="77850.937120151983"/>
  </r>
  <r>
    <x v="68"/>
    <x v="4"/>
    <x v="142"/>
    <x v="0"/>
    <x v="5"/>
    <x v="612"/>
    <x v="25"/>
    <s v="POS"/>
    <n v="0.29199999999999998"/>
    <n v="250"/>
    <n v="73"/>
    <n v="0"/>
    <m/>
    <m/>
    <m/>
    <m/>
    <n v="0"/>
    <n v="0"/>
    <n v="77850.937120151983"/>
  </r>
  <r>
    <x v="68"/>
    <x v="4"/>
    <x v="88"/>
    <x v="0"/>
    <x v="5"/>
    <x v="613"/>
    <x v="25"/>
    <s v="POS"/>
    <n v="0.05"/>
    <n v="1200"/>
    <n v="60"/>
    <n v="0"/>
    <m/>
    <m/>
    <m/>
    <m/>
    <n v="0"/>
    <n v="0"/>
    <n v="77850.937120151983"/>
  </r>
  <r>
    <x v="68"/>
    <x v="4"/>
    <x v="207"/>
    <x v="0"/>
    <x v="5"/>
    <x v="613"/>
    <x v="25"/>
    <s v="POS"/>
    <n v="1"/>
    <n v="440"/>
    <n v="440"/>
    <n v="0"/>
    <m/>
    <m/>
    <m/>
    <m/>
    <n v="0"/>
    <n v="0"/>
    <n v="77850.937120151983"/>
  </r>
  <r>
    <x v="68"/>
    <x v="4"/>
    <x v="22"/>
    <x v="0"/>
    <x v="5"/>
    <x v="613"/>
    <x v="25"/>
    <s v="POS"/>
    <n v="0.1388888888888889"/>
    <n v="360"/>
    <n v="50"/>
    <n v="0"/>
    <m/>
    <m/>
    <m/>
    <m/>
    <n v="0"/>
    <n v="0"/>
    <n v="77850.937120151983"/>
  </r>
  <r>
    <x v="68"/>
    <x v="4"/>
    <x v="139"/>
    <x v="0"/>
    <x v="5"/>
    <x v="613"/>
    <x v="25"/>
    <s v="POS"/>
    <n v="1"/>
    <n v="140"/>
    <n v="140"/>
    <n v="0"/>
    <m/>
    <m/>
    <m/>
    <m/>
    <n v="0"/>
    <n v="0"/>
    <n v="77850.937120151983"/>
  </r>
  <r>
    <x v="68"/>
    <x v="7"/>
    <x v="0"/>
    <x v="0"/>
    <x v="2"/>
    <x v="2"/>
    <x v="55"/>
    <s v="NAKİT"/>
    <n v="1"/>
    <n v="0"/>
    <n v="44186.827999904999"/>
    <n v="0"/>
    <m/>
    <m/>
    <m/>
    <m/>
    <n v="0"/>
    <n v="44186.83"/>
    <n v="33664.107120151981"/>
  </r>
  <r>
    <x v="68"/>
    <x v="10"/>
    <x v="0"/>
    <x v="0"/>
    <x v="5"/>
    <x v="2"/>
    <x v="63"/>
    <s v="POS"/>
    <n v="1"/>
    <n v="200"/>
    <n v="0"/>
    <n v="200"/>
    <m/>
    <m/>
    <m/>
    <m/>
    <n v="200"/>
    <n v="0"/>
    <n v="33864.107120151981"/>
  </r>
  <r>
    <x v="68"/>
    <x v="10"/>
    <x v="0"/>
    <x v="0"/>
    <x v="5"/>
    <x v="2"/>
    <x v="63"/>
    <s v="POS"/>
    <n v="1"/>
    <n v="620"/>
    <n v="0"/>
    <n v="620"/>
    <m/>
    <m/>
    <m/>
    <m/>
    <n v="620"/>
    <n v="0"/>
    <n v="34484.107120151981"/>
  </r>
  <r>
    <x v="68"/>
    <x v="10"/>
    <x v="0"/>
    <x v="0"/>
    <x v="5"/>
    <x v="2"/>
    <x v="63"/>
    <s v="POS"/>
    <n v="1"/>
    <n v="240"/>
    <n v="0"/>
    <n v="240"/>
    <m/>
    <m/>
    <m/>
    <m/>
    <n v="240"/>
    <n v="0"/>
    <n v="34724.107120151981"/>
  </r>
  <r>
    <x v="69"/>
    <x v="1"/>
    <x v="0"/>
    <x v="10"/>
    <x v="2"/>
    <x v="614"/>
    <x v="69"/>
    <s v="K.K."/>
    <n v="1"/>
    <n v="586.79999999999995"/>
    <n v="0"/>
    <n v="586.79999999999995"/>
    <m/>
    <m/>
    <m/>
    <m/>
    <n v="0"/>
    <n v="0"/>
    <n v="34724.107120151981"/>
  </r>
  <r>
    <x v="69"/>
    <x v="4"/>
    <x v="54"/>
    <x v="0"/>
    <x v="1"/>
    <x v="615"/>
    <x v="25"/>
    <s v="NAKİT"/>
    <n v="0.1"/>
    <n v="400"/>
    <n v="0"/>
    <n v="0"/>
    <m/>
    <m/>
    <m/>
    <m/>
    <n v="40"/>
    <n v="0"/>
    <n v="34764.107120151981"/>
  </r>
  <r>
    <x v="69"/>
    <x v="4"/>
    <x v="27"/>
    <x v="0"/>
    <x v="1"/>
    <x v="615"/>
    <x v="25"/>
    <s v="NAKİT"/>
    <n v="0.08"/>
    <n v="400"/>
    <n v="0"/>
    <n v="0"/>
    <m/>
    <m/>
    <m/>
    <m/>
    <n v="32"/>
    <n v="0"/>
    <n v="34796.107120151981"/>
  </r>
  <r>
    <x v="69"/>
    <x v="4"/>
    <x v="28"/>
    <x v="0"/>
    <x v="1"/>
    <x v="615"/>
    <x v="25"/>
    <s v="NAKİT"/>
    <n v="0.24"/>
    <n v="500"/>
    <n v="0"/>
    <n v="0"/>
    <m/>
    <m/>
    <m/>
    <m/>
    <n v="120"/>
    <n v="0"/>
    <n v="34916.107120151981"/>
  </r>
  <r>
    <x v="69"/>
    <x v="4"/>
    <x v="161"/>
    <x v="0"/>
    <x v="1"/>
    <x v="615"/>
    <x v="25"/>
    <s v="NAKİT"/>
    <n v="0.184"/>
    <n v="370"/>
    <n v="0"/>
    <n v="0"/>
    <m/>
    <m/>
    <m/>
    <m/>
    <n v="68.08"/>
    <n v="0"/>
    <n v="34984.187120151983"/>
  </r>
  <r>
    <x v="69"/>
    <x v="4"/>
    <x v="24"/>
    <x v="0"/>
    <x v="1"/>
    <x v="615"/>
    <x v="25"/>
    <s v="NAKİT"/>
    <n v="0.11"/>
    <n v="640"/>
    <n v="0"/>
    <n v="0"/>
    <m/>
    <m/>
    <m/>
    <m/>
    <n v="70.400000000000006"/>
    <n v="0"/>
    <n v="35054.587120151984"/>
  </r>
  <r>
    <x v="69"/>
    <x v="4"/>
    <x v="49"/>
    <x v="0"/>
    <x v="1"/>
    <x v="615"/>
    <x v="25"/>
    <s v="NAKİT"/>
    <n v="0.1"/>
    <n v="600"/>
    <n v="0"/>
    <n v="0"/>
    <m/>
    <m/>
    <m/>
    <m/>
    <n v="60"/>
    <n v="0"/>
    <n v="35114.587120151984"/>
  </r>
  <r>
    <x v="69"/>
    <x v="4"/>
    <x v="30"/>
    <x v="0"/>
    <x v="1"/>
    <x v="616"/>
    <x v="25"/>
    <s v="NAKİT"/>
    <n v="0.17"/>
    <n v="500"/>
    <n v="0"/>
    <n v="0"/>
    <m/>
    <m/>
    <m/>
    <m/>
    <n v="85"/>
    <n v="0"/>
    <n v="35199.587120151984"/>
  </r>
  <r>
    <x v="69"/>
    <x v="4"/>
    <x v="24"/>
    <x v="0"/>
    <x v="1"/>
    <x v="616"/>
    <x v="25"/>
    <s v="NAKİT"/>
    <n v="0.109375"/>
    <n v="640"/>
    <n v="0"/>
    <n v="0"/>
    <m/>
    <m/>
    <m/>
    <m/>
    <n v="70"/>
    <n v="0"/>
    <n v="35269.587120151984"/>
  </r>
  <r>
    <x v="69"/>
    <x v="4"/>
    <x v="166"/>
    <x v="0"/>
    <x v="1"/>
    <x v="617"/>
    <x v="25"/>
    <s v="NAKİT"/>
    <n v="1"/>
    <n v="40"/>
    <n v="0"/>
    <n v="0"/>
    <m/>
    <m/>
    <m/>
    <m/>
    <n v="40"/>
    <n v="0"/>
    <n v="35309.587120151984"/>
  </r>
  <r>
    <x v="69"/>
    <x v="4"/>
    <x v="157"/>
    <x v="0"/>
    <x v="1"/>
    <x v="618"/>
    <x v="25"/>
    <s v="NAKİT"/>
    <n v="0.1"/>
    <n v="200"/>
    <n v="0"/>
    <n v="0"/>
    <m/>
    <m/>
    <m/>
    <m/>
    <n v="20"/>
    <n v="0"/>
    <n v="35329.587120151984"/>
  </r>
  <r>
    <x v="69"/>
    <x v="4"/>
    <x v="83"/>
    <x v="0"/>
    <x v="1"/>
    <x v="619"/>
    <x v="25"/>
    <s v="NAKİT"/>
    <n v="0.05"/>
    <n v="2600"/>
    <n v="0"/>
    <n v="0"/>
    <m/>
    <m/>
    <m/>
    <m/>
    <n v="130"/>
    <n v="0"/>
    <n v="35459.587120151984"/>
  </r>
  <r>
    <x v="69"/>
    <x v="4"/>
    <x v="231"/>
    <x v="0"/>
    <x v="1"/>
    <x v="620"/>
    <x v="25"/>
    <s v="NAKİT"/>
    <n v="0.25"/>
    <n v="400"/>
    <n v="0"/>
    <n v="0"/>
    <m/>
    <m/>
    <m/>
    <m/>
    <n v="100"/>
    <n v="0"/>
    <n v="35559.587120151984"/>
  </r>
  <r>
    <x v="69"/>
    <x v="4"/>
    <x v="44"/>
    <x v="0"/>
    <x v="1"/>
    <x v="621"/>
    <x v="25"/>
    <s v="NAKİT"/>
    <n v="1"/>
    <n v="65"/>
    <n v="0"/>
    <n v="0"/>
    <m/>
    <m/>
    <m/>
    <m/>
    <n v="65"/>
    <n v="0"/>
    <n v="35624.587120151984"/>
  </r>
  <r>
    <x v="69"/>
    <x v="4"/>
    <x v="120"/>
    <x v="0"/>
    <x v="5"/>
    <x v="622"/>
    <x v="25"/>
    <s v="POS"/>
    <n v="0.23076923076923078"/>
    <n v="650"/>
    <n v="150"/>
    <n v="0"/>
    <m/>
    <m/>
    <m/>
    <m/>
    <n v="0"/>
    <n v="0"/>
    <n v="35624.587120151984"/>
  </r>
  <r>
    <x v="69"/>
    <x v="4"/>
    <x v="38"/>
    <x v="0"/>
    <x v="5"/>
    <x v="622"/>
    <x v="25"/>
    <s v="POS"/>
    <n v="0.1"/>
    <n v="650"/>
    <n v="65"/>
    <n v="0"/>
    <m/>
    <m/>
    <m/>
    <m/>
    <n v="0"/>
    <n v="0"/>
    <n v="35624.587120151984"/>
  </r>
  <r>
    <x v="69"/>
    <x v="4"/>
    <x v="45"/>
    <x v="0"/>
    <x v="5"/>
    <x v="622"/>
    <x v="25"/>
    <s v="POS"/>
    <n v="1"/>
    <n v="65"/>
    <n v="65"/>
    <n v="0"/>
    <m/>
    <m/>
    <m/>
    <m/>
    <n v="0"/>
    <n v="0"/>
    <n v="35624.587120151984"/>
  </r>
  <r>
    <x v="69"/>
    <x v="4"/>
    <x v="231"/>
    <x v="0"/>
    <x v="5"/>
    <x v="622"/>
    <x v="25"/>
    <s v="POS"/>
    <n v="0.25"/>
    <n v="400"/>
    <n v="100"/>
    <n v="0"/>
    <m/>
    <m/>
    <m/>
    <m/>
    <n v="0"/>
    <n v="0"/>
    <n v="35624.587120151984"/>
  </r>
  <r>
    <x v="69"/>
    <x v="4"/>
    <x v="129"/>
    <x v="0"/>
    <x v="5"/>
    <x v="623"/>
    <x v="25"/>
    <s v="POS"/>
    <n v="0.20833333333333334"/>
    <n v="240"/>
    <n v="50"/>
    <n v="0"/>
    <m/>
    <m/>
    <m/>
    <m/>
    <n v="0"/>
    <n v="0"/>
    <n v="35624.587120151984"/>
  </r>
  <r>
    <x v="69"/>
    <x v="4"/>
    <x v="38"/>
    <x v="0"/>
    <x v="5"/>
    <x v="623"/>
    <x v="25"/>
    <s v="POS"/>
    <n v="0.1"/>
    <n v="650"/>
    <n v="65"/>
    <n v="0"/>
    <m/>
    <m/>
    <m/>
    <m/>
    <n v="0"/>
    <n v="0"/>
    <n v="35624.587120151984"/>
  </r>
  <r>
    <x v="69"/>
    <x v="4"/>
    <x v="122"/>
    <x v="0"/>
    <x v="5"/>
    <x v="623"/>
    <x v="25"/>
    <s v="POS"/>
    <n v="0.16666666666666666"/>
    <n v="1200"/>
    <n v="200"/>
    <n v="0"/>
    <m/>
    <m/>
    <m/>
    <m/>
    <n v="0"/>
    <n v="0"/>
    <n v="35624.587120151984"/>
  </r>
  <r>
    <x v="69"/>
    <x v="4"/>
    <x v="16"/>
    <x v="0"/>
    <x v="5"/>
    <x v="624"/>
    <x v="25"/>
    <s v="POS"/>
    <n v="1"/>
    <n v="140"/>
    <n v="140"/>
    <n v="0"/>
    <m/>
    <m/>
    <m/>
    <m/>
    <n v="0"/>
    <n v="0"/>
    <n v="35624.587120151984"/>
  </r>
  <r>
    <x v="69"/>
    <x v="4"/>
    <x v="20"/>
    <x v="0"/>
    <x v="5"/>
    <x v="625"/>
    <x v="25"/>
    <s v="POS"/>
    <n v="1"/>
    <n v="200"/>
    <n v="200"/>
    <n v="0"/>
    <m/>
    <m/>
    <m/>
    <m/>
    <n v="0"/>
    <n v="0"/>
    <n v="35624.587120151984"/>
  </r>
  <r>
    <x v="69"/>
    <x v="4"/>
    <x v="100"/>
    <x v="0"/>
    <x v="5"/>
    <x v="625"/>
    <x v="25"/>
    <s v="POS"/>
    <n v="0.252"/>
    <n v="750"/>
    <n v="189"/>
    <n v="0"/>
    <m/>
    <m/>
    <m/>
    <m/>
    <n v="0"/>
    <n v="0"/>
    <n v="35624.587120151984"/>
  </r>
  <r>
    <x v="69"/>
    <x v="4"/>
    <x v="163"/>
    <x v="0"/>
    <x v="5"/>
    <x v="625"/>
    <x v="25"/>
    <s v="POS"/>
    <n v="1"/>
    <n v="40"/>
    <n v="40"/>
    <n v="0"/>
    <m/>
    <m/>
    <m/>
    <m/>
    <n v="0"/>
    <n v="0"/>
    <n v="35624.587120151984"/>
  </r>
  <r>
    <x v="69"/>
    <x v="4"/>
    <x v="240"/>
    <x v="0"/>
    <x v="5"/>
    <x v="626"/>
    <x v="25"/>
    <s v="POS"/>
    <n v="0.52631578947368418"/>
    <n v="190"/>
    <n v="100"/>
    <n v="0"/>
    <m/>
    <m/>
    <m/>
    <m/>
    <n v="0"/>
    <n v="0"/>
    <n v="35624.587120151984"/>
  </r>
  <r>
    <x v="69"/>
    <x v="4"/>
    <x v="101"/>
    <x v="0"/>
    <x v="5"/>
    <x v="626"/>
    <x v="25"/>
    <s v="POS"/>
    <n v="0.26666666666666666"/>
    <n v="150"/>
    <n v="40"/>
    <n v="0"/>
    <m/>
    <m/>
    <m/>
    <m/>
    <n v="0"/>
    <n v="0"/>
    <n v="35624.587120151984"/>
  </r>
  <r>
    <x v="69"/>
    <x v="4"/>
    <x v="231"/>
    <x v="0"/>
    <x v="5"/>
    <x v="626"/>
    <x v="25"/>
    <s v="POS"/>
    <n v="0.25"/>
    <n v="400"/>
    <n v="100"/>
    <n v="0"/>
    <m/>
    <m/>
    <m/>
    <m/>
    <n v="0"/>
    <n v="0"/>
    <n v="35624.587120151984"/>
  </r>
  <r>
    <x v="69"/>
    <x v="4"/>
    <x v="101"/>
    <x v="0"/>
    <x v="5"/>
    <x v="627"/>
    <x v="25"/>
    <s v="POS"/>
    <n v="0.14666666666666667"/>
    <n v="150"/>
    <n v="22"/>
    <n v="0"/>
    <m/>
    <m/>
    <m/>
    <m/>
    <n v="0"/>
    <n v="0"/>
    <n v="35624.587120151984"/>
  </r>
  <r>
    <x v="69"/>
    <x v="4"/>
    <x v="231"/>
    <x v="0"/>
    <x v="5"/>
    <x v="627"/>
    <x v="25"/>
    <s v="POS"/>
    <n v="0.25"/>
    <n v="400"/>
    <n v="100"/>
    <n v="0"/>
    <m/>
    <m/>
    <m/>
    <m/>
    <n v="0"/>
    <n v="0"/>
    <n v="35624.587120151984"/>
  </r>
  <r>
    <x v="69"/>
    <x v="4"/>
    <x v="44"/>
    <x v="0"/>
    <x v="5"/>
    <x v="627"/>
    <x v="25"/>
    <s v="POS"/>
    <n v="1"/>
    <n v="65"/>
    <n v="65"/>
    <n v="0"/>
    <m/>
    <m/>
    <m/>
    <m/>
    <n v="0"/>
    <n v="0"/>
    <n v="35624.587120151984"/>
  </r>
  <r>
    <x v="69"/>
    <x v="4"/>
    <x v="62"/>
    <x v="0"/>
    <x v="5"/>
    <x v="628"/>
    <x v="25"/>
    <s v="POS"/>
    <n v="1"/>
    <n v="60"/>
    <n v="60"/>
    <n v="0"/>
    <m/>
    <m/>
    <m/>
    <m/>
    <n v="0"/>
    <n v="0"/>
    <n v="35624.587120151984"/>
  </r>
  <r>
    <x v="69"/>
    <x v="4"/>
    <x v="21"/>
    <x v="0"/>
    <x v="5"/>
    <x v="628"/>
    <x v="25"/>
    <s v="POS"/>
    <n v="1"/>
    <n v="260"/>
    <n v="260"/>
    <n v="0"/>
    <m/>
    <m/>
    <m/>
    <m/>
    <n v="0"/>
    <n v="0"/>
    <n v="35624.587120151984"/>
  </r>
  <r>
    <x v="69"/>
    <x v="4"/>
    <x v="83"/>
    <x v="0"/>
    <x v="5"/>
    <x v="628"/>
    <x v="25"/>
    <s v="POS"/>
    <n v="0.05"/>
    <n v="2600"/>
    <n v="130"/>
    <n v="0"/>
    <m/>
    <m/>
    <m/>
    <m/>
    <n v="0"/>
    <n v="0"/>
    <n v="35624.587120151984"/>
  </r>
  <r>
    <x v="69"/>
    <x v="4"/>
    <x v="206"/>
    <x v="0"/>
    <x v="5"/>
    <x v="628"/>
    <x v="25"/>
    <s v="POS"/>
    <n v="1"/>
    <n v="300"/>
    <n v="300"/>
    <n v="0"/>
    <m/>
    <m/>
    <m/>
    <m/>
    <n v="0"/>
    <n v="0"/>
    <n v="35624.587120151984"/>
  </r>
  <r>
    <x v="69"/>
    <x v="4"/>
    <x v="47"/>
    <x v="0"/>
    <x v="5"/>
    <x v="628"/>
    <x v="25"/>
    <s v="POS"/>
    <n v="0.1"/>
    <n v="400"/>
    <n v="40"/>
    <n v="0"/>
    <m/>
    <m/>
    <m/>
    <m/>
    <n v="0"/>
    <n v="0"/>
    <n v="35624.587120151984"/>
  </r>
  <r>
    <x v="69"/>
    <x v="4"/>
    <x v="141"/>
    <x v="0"/>
    <x v="5"/>
    <x v="628"/>
    <x v="25"/>
    <s v="POS"/>
    <n v="1"/>
    <n v="110"/>
    <n v="110"/>
    <n v="0"/>
    <m/>
    <m/>
    <m/>
    <m/>
    <n v="0"/>
    <n v="0"/>
    <n v="35624.587120151984"/>
  </r>
  <r>
    <x v="69"/>
    <x v="4"/>
    <x v="111"/>
    <x v="0"/>
    <x v="1"/>
    <x v="629"/>
    <x v="25"/>
    <s v="NAKİT"/>
    <n v="0.2"/>
    <n v="350"/>
    <n v="0"/>
    <n v="0"/>
    <m/>
    <m/>
    <m/>
    <m/>
    <n v="70"/>
    <n v="0"/>
    <n v="35694.587120151984"/>
  </r>
  <r>
    <x v="69"/>
    <x v="4"/>
    <x v="150"/>
    <x v="0"/>
    <x v="1"/>
    <x v="630"/>
    <x v="25"/>
    <s v="NAKİT"/>
    <n v="1"/>
    <n v="250"/>
    <n v="0"/>
    <n v="0"/>
    <m/>
    <m/>
    <m/>
    <m/>
    <n v="250"/>
    <n v="0"/>
    <n v="35944.587120151984"/>
  </r>
  <r>
    <x v="69"/>
    <x v="4"/>
    <x v="85"/>
    <x v="0"/>
    <x v="1"/>
    <x v="630"/>
    <x v="25"/>
    <s v="NAKİT"/>
    <n v="1"/>
    <n v="250"/>
    <n v="0"/>
    <n v="0"/>
    <m/>
    <m/>
    <m/>
    <m/>
    <n v="250"/>
    <n v="0"/>
    <n v="36194.587120151984"/>
  </r>
  <r>
    <x v="69"/>
    <x v="4"/>
    <x v="112"/>
    <x v="0"/>
    <x v="1"/>
    <x v="630"/>
    <x v="25"/>
    <s v="NAKİT"/>
    <n v="0.04"/>
    <n v="1250"/>
    <n v="0"/>
    <n v="0"/>
    <m/>
    <m/>
    <m/>
    <m/>
    <n v="50"/>
    <n v="0"/>
    <n v="36244.587120151984"/>
  </r>
  <r>
    <x v="69"/>
    <x v="4"/>
    <x v="150"/>
    <x v="0"/>
    <x v="1"/>
    <x v="631"/>
    <x v="25"/>
    <s v="NAKİT"/>
    <n v="2.0699999999999998"/>
    <n v="290"/>
    <n v="0"/>
    <n v="0"/>
    <m/>
    <m/>
    <m/>
    <m/>
    <n v="600.29999999999995"/>
    <n v="0"/>
    <n v="36844.887120151987"/>
  </r>
  <r>
    <x v="69"/>
    <x v="4"/>
    <x v="98"/>
    <x v="0"/>
    <x v="1"/>
    <x v="631"/>
    <x v="25"/>
    <s v="NAKİT"/>
    <n v="0.5"/>
    <n v="800"/>
    <n v="0"/>
    <n v="0"/>
    <m/>
    <m/>
    <m/>
    <m/>
    <n v="400"/>
    <n v="0"/>
    <n v="37244.887120151987"/>
  </r>
  <r>
    <x v="69"/>
    <x v="10"/>
    <x v="0"/>
    <x v="0"/>
    <x v="5"/>
    <x v="2"/>
    <x v="63"/>
    <s v="POS"/>
    <n v="1"/>
    <n v="1287"/>
    <n v="0"/>
    <n v="1287"/>
    <n v="240"/>
    <n v="0"/>
    <n v="27948.412999999957"/>
    <m/>
    <n v="1287"/>
    <n v="0"/>
    <n v="38531.887120151987"/>
  </r>
  <r>
    <x v="70"/>
    <x v="4"/>
    <x v="199"/>
    <x v="0"/>
    <x v="1"/>
    <x v="632"/>
    <x v="25"/>
    <s v="NAKİT"/>
    <n v="0.5"/>
    <n v="130"/>
    <n v="0"/>
    <n v="0"/>
    <m/>
    <m/>
    <m/>
    <m/>
    <n v="65"/>
    <n v="0"/>
    <n v="38596.887120151987"/>
  </r>
  <r>
    <x v="70"/>
    <x v="4"/>
    <x v="24"/>
    <x v="0"/>
    <x v="1"/>
    <x v="632"/>
    <x v="25"/>
    <s v="NAKİT"/>
    <n v="6.7968749999999994E-2"/>
    <n v="640"/>
    <n v="0"/>
    <n v="0"/>
    <m/>
    <m/>
    <m/>
    <m/>
    <n v="43.5"/>
    <n v="0"/>
    <n v="38640.387120151987"/>
  </r>
  <r>
    <x v="70"/>
    <x v="4"/>
    <x v="29"/>
    <x v="0"/>
    <x v="1"/>
    <x v="632"/>
    <x v="25"/>
    <s v="NAKİT"/>
    <n v="2.6000000000000002E-2"/>
    <n v="760"/>
    <n v="0"/>
    <n v="0"/>
    <m/>
    <m/>
    <m/>
    <m/>
    <n v="19.760000000000002"/>
    <n v="0"/>
    <n v="38660.147120151989"/>
  </r>
  <r>
    <x v="70"/>
    <x v="4"/>
    <x v="33"/>
    <x v="0"/>
    <x v="1"/>
    <x v="632"/>
    <x v="25"/>
    <s v="NAKİT"/>
    <n v="7.8947368421052627E-2"/>
    <n v="380"/>
    <n v="0"/>
    <n v="0"/>
    <m/>
    <m/>
    <m/>
    <m/>
    <n v="30"/>
    <n v="0"/>
    <n v="38690.147120151989"/>
  </r>
  <r>
    <x v="70"/>
    <x v="4"/>
    <x v="141"/>
    <x v="0"/>
    <x v="5"/>
    <x v="633"/>
    <x v="25"/>
    <s v="POS"/>
    <n v="1"/>
    <n v="140"/>
    <n v="140"/>
    <n v="0"/>
    <m/>
    <m/>
    <m/>
    <m/>
    <n v="0"/>
    <n v="0"/>
    <n v="38690.147120151989"/>
  </r>
  <r>
    <x v="70"/>
    <x v="4"/>
    <x v="83"/>
    <x v="0"/>
    <x v="5"/>
    <x v="633"/>
    <x v="25"/>
    <s v="POS"/>
    <n v="0.05"/>
    <n v="2600"/>
    <n v="130"/>
    <n v="0"/>
    <m/>
    <m/>
    <m/>
    <m/>
    <n v="0"/>
    <n v="0"/>
    <n v="38690.147120151989"/>
  </r>
  <r>
    <x v="70"/>
    <x v="4"/>
    <x v="296"/>
    <x v="0"/>
    <x v="5"/>
    <x v="633"/>
    <x v="25"/>
    <s v="POS"/>
    <n v="1"/>
    <n v="125"/>
    <n v="125"/>
    <n v="0"/>
    <m/>
    <m/>
    <m/>
    <m/>
    <n v="0"/>
    <n v="0"/>
    <n v="38690.147120151989"/>
  </r>
  <r>
    <x v="70"/>
    <x v="4"/>
    <x v="61"/>
    <x v="0"/>
    <x v="5"/>
    <x v="634"/>
    <x v="25"/>
    <s v="POS"/>
    <n v="0.104"/>
    <n v="770"/>
    <n v="80.08"/>
    <n v="0"/>
    <m/>
    <m/>
    <m/>
    <m/>
    <n v="0"/>
    <n v="0"/>
    <n v="38690.147120151989"/>
  </r>
  <r>
    <x v="70"/>
    <x v="4"/>
    <x v="58"/>
    <x v="0"/>
    <x v="5"/>
    <x v="634"/>
    <x v="25"/>
    <s v="POS"/>
    <n v="1"/>
    <n v="200"/>
    <n v="200"/>
    <n v="0"/>
    <m/>
    <m/>
    <m/>
    <m/>
    <n v="0"/>
    <n v="0"/>
    <n v="38690.147120151989"/>
  </r>
  <r>
    <x v="70"/>
    <x v="4"/>
    <x v="18"/>
    <x v="0"/>
    <x v="5"/>
    <x v="634"/>
    <x v="25"/>
    <s v="POS"/>
    <n v="1"/>
    <n v="240"/>
    <n v="240"/>
    <n v="0"/>
    <m/>
    <m/>
    <m/>
    <m/>
    <n v="0"/>
    <n v="0"/>
    <n v="38690.147120151989"/>
  </r>
  <r>
    <x v="70"/>
    <x v="4"/>
    <x v="137"/>
    <x v="0"/>
    <x v="5"/>
    <x v="634"/>
    <x v="25"/>
    <s v="POS"/>
    <n v="1"/>
    <n v="150"/>
    <n v="150"/>
    <n v="0"/>
    <m/>
    <m/>
    <m/>
    <m/>
    <n v="0"/>
    <n v="0"/>
    <n v="38690.147120151989"/>
  </r>
  <r>
    <x v="70"/>
    <x v="4"/>
    <x v="112"/>
    <x v="0"/>
    <x v="5"/>
    <x v="634"/>
    <x v="25"/>
    <s v="POS"/>
    <n v="0.04"/>
    <n v="2050"/>
    <n v="82"/>
    <n v="0"/>
    <m/>
    <m/>
    <m/>
    <m/>
    <n v="0"/>
    <n v="0"/>
    <n v="38690.147120151989"/>
  </r>
  <r>
    <x v="70"/>
    <x v="4"/>
    <x v="94"/>
    <x v="0"/>
    <x v="5"/>
    <x v="634"/>
    <x v="25"/>
    <s v="POS"/>
    <n v="3.5999999999999997E-2"/>
    <n v="2000"/>
    <n v="72"/>
    <n v="0"/>
    <m/>
    <m/>
    <m/>
    <m/>
    <n v="0"/>
    <n v="0"/>
    <n v="38690.147120151989"/>
  </r>
  <r>
    <x v="70"/>
    <x v="4"/>
    <x v="28"/>
    <x v="0"/>
    <x v="5"/>
    <x v="634"/>
    <x v="25"/>
    <s v="POS"/>
    <n v="0.248"/>
    <n v="500"/>
    <n v="124"/>
    <n v="0"/>
    <m/>
    <m/>
    <m/>
    <m/>
    <n v="0"/>
    <n v="0"/>
    <n v="38690.147120151989"/>
  </r>
  <r>
    <x v="70"/>
    <x v="4"/>
    <x v="59"/>
    <x v="0"/>
    <x v="5"/>
    <x v="634"/>
    <x v="25"/>
    <s v="POS"/>
    <n v="0.12"/>
    <n v="420"/>
    <n v="50.4"/>
    <n v="0"/>
    <m/>
    <m/>
    <m/>
    <m/>
    <n v="0"/>
    <n v="0"/>
    <n v="38690.147120151989"/>
  </r>
  <r>
    <x v="70"/>
    <x v="4"/>
    <x v="27"/>
    <x v="0"/>
    <x v="5"/>
    <x v="634"/>
    <x v="25"/>
    <s v="POS"/>
    <n v="0.126"/>
    <n v="400"/>
    <n v="50.4"/>
    <n v="0"/>
    <m/>
    <m/>
    <m/>
    <m/>
    <n v="0"/>
    <n v="0"/>
    <n v="38690.147120151989"/>
  </r>
  <r>
    <x v="70"/>
    <x v="4"/>
    <x v="161"/>
    <x v="0"/>
    <x v="5"/>
    <x v="634"/>
    <x v="25"/>
    <s v="POS"/>
    <n v="0.20200000000000001"/>
    <n v="370"/>
    <n v="74.740000000000009"/>
    <n v="0"/>
    <m/>
    <m/>
    <m/>
    <m/>
    <n v="0"/>
    <n v="0"/>
    <n v="38690.147120151989"/>
  </r>
  <r>
    <x v="70"/>
    <x v="4"/>
    <x v="24"/>
    <x v="0"/>
    <x v="5"/>
    <x v="634"/>
    <x v="25"/>
    <s v="POS"/>
    <n v="0.21199999999999999"/>
    <n v="640"/>
    <n v="135.68"/>
    <n v="0"/>
    <m/>
    <m/>
    <m/>
    <m/>
    <n v="0"/>
    <n v="0"/>
    <n v="38690.147120151989"/>
  </r>
  <r>
    <x v="70"/>
    <x v="4"/>
    <x v="31"/>
    <x v="0"/>
    <x v="5"/>
    <x v="634"/>
    <x v="25"/>
    <s v="POS"/>
    <n v="0.152"/>
    <n v="380"/>
    <n v="57.76"/>
    <n v="0"/>
    <m/>
    <m/>
    <m/>
    <m/>
    <n v="0"/>
    <n v="0"/>
    <n v="38690.147120151989"/>
  </r>
  <r>
    <x v="70"/>
    <x v="4"/>
    <x v="155"/>
    <x v="0"/>
    <x v="5"/>
    <x v="634"/>
    <x v="25"/>
    <s v="POS"/>
    <n v="0.1"/>
    <n v="700"/>
    <n v="70"/>
    <n v="0"/>
    <m/>
    <m/>
    <m/>
    <m/>
    <n v="0"/>
    <n v="0"/>
    <n v="38690.147120151989"/>
  </r>
  <r>
    <x v="70"/>
    <x v="4"/>
    <x v="25"/>
    <x v="0"/>
    <x v="5"/>
    <x v="634"/>
    <x v="25"/>
    <s v="POS"/>
    <n v="0.06"/>
    <n v="390"/>
    <n v="23.4"/>
    <n v="0"/>
    <m/>
    <m/>
    <m/>
    <m/>
    <n v="0"/>
    <n v="0"/>
    <n v="38690.147120151989"/>
  </r>
  <r>
    <x v="70"/>
    <x v="4"/>
    <x v="25"/>
    <x v="0"/>
    <x v="5"/>
    <x v="635"/>
    <x v="25"/>
    <s v="POS"/>
    <n v="0.13200000000000001"/>
    <n v="390"/>
    <n v="51.480000000000004"/>
    <n v="0"/>
    <m/>
    <m/>
    <m/>
    <m/>
    <n v="0"/>
    <n v="0"/>
    <n v="38690.147120151989"/>
  </r>
  <r>
    <x v="70"/>
    <x v="4"/>
    <x v="61"/>
    <x v="0"/>
    <x v="5"/>
    <x v="635"/>
    <x v="25"/>
    <s v="POS"/>
    <n v="0.14199999999999999"/>
    <n v="711"/>
    <n v="100.96199999999999"/>
    <n v="0"/>
    <m/>
    <m/>
    <m/>
    <m/>
    <n v="0"/>
    <n v="0"/>
    <n v="38690.147120151989"/>
  </r>
  <r>
    <x v="70"/>
    <x v="4"/>
    <x v="288"/>
    <x v="0"/>
    <x v="5"/>
    <x v="635"/>
    <x v="25"/>
    <s v="POS"/>
    <n v="5.1999999999999998E-2"/>
    <n v="540"/>
    <n v="28.08"/>
    <n v="0"/>
    <m/>
    <m/>
    <m/>
    <m/>
    <n v="0"/>
    <n v="0"/>
    <n v="38690.147120151989"/>
  </r>
  <r>
    <x v="70"/>
    <x v="4"/>
    <x v="18"/>
    <x v="0"/>
    <x v="5"/>
    <x v="635"/>
    <x v="25"/>
    <s v="POS"/>
    <n v="1"/>
    <n v="240"/>
    <n v="240"/>
    <n v="0"/>
    <m/>
    <m/>
    <m/>
    <m/>
    <n v="0"/>
    <n v="0"/>
    <n v="38690.147120151989"/>
  </r>
  <r>
    <x v="70"/>
    <x v="4"/>
    <x v="58"/>
    <x v="0"/>
    <x v="5"/>
    <x v="635"/>
    <x v="25"/>
    <s v="POS"/>
    <n v="1"/>
    <n v="200"/>
    <n v="200"/>
    <n v="0"/>
    <m/>
    <m/>
    <m/>
    <m/>
    <n v="0"/>
    <n v="0"/>
    <n v="38690.147120151989"/>
  </r>
  <r>
    <x v="70"/>
    <x v="4"/>
    <x v="25"/>
    <x v="0"/>
    <x v="1"/>
    <x v="636"/>
    <x v="25"/>
    <s v="NAKİT"/>
    <n v="0.11"/>
    <n v="390"/>
    <n v="0"/>
    <n v="0"/>
    <m/>
    <m/>
    <m/>
    <m/>
    <n v="42.9"/>
    <n v="0"/>
    <n v="38733.04712015199"/>
  </r>
  <r>
    <x v="70"/>
    <x v="4"/>
    <x v="61"/>
    <x v="0"/>
    <x v="1"/>
    <x v="636"/>
    <x v="25"/>
    <s v="NAKİT"/>
    <n v="0.13800000000000001"/>
    <n v="770"/>
    <n v="0"/>
    <n v="0"/>
    <m/>
    <m/>
    <m/>
    <m/>
    <n v="106.26"/>
    <n v="0"/>
    <n v="38839.307120151992"/>
  </r>
  <r>
    <x v="70"/>
    <x v="4"/>
    <x v="209"/>
    <x v="0"/>
    <x v="1"/>
    <x v="636"/>
    <x v="25"/>
    <s v="NAKİT"/>
    <n v="0.55200000000000005"/>
    <n v="290"/>
    <n v="0"/>
    <n v="0"/>
    <m/>
    <m/>
    <m/>
    <m/>
    <n v="160.08000000000001"/>
    <n v="0"/>
    <n v="38999.387120151994"/>
  </r>
  <r>
    <x v="70"/>
    <x v="4"/>
    <x v="270"/>
    <x v="0"/>
    <x v="5"/>
    <x v="637"/>
    <x v="25"/>
    <s v="POS"/>
    <n v="1"/>
    <n v="130"/>
    <n v="130"/>
    <n v="0"/>
    <m/>
    <m/>
    <m/>
    <m/>
    <n v="0"/>
    <n v="0"/>
    <n v="38999.387120151994"/>
  </r>
  <r>
    <x v="70"/>
    <x v="4"/>
    <x v="257"/>
    <x v="0"/>
    <x v="5"/>
    <x v="637"/>
    <x v="25"/>
    <s v="POS"/>
    <n v="1"/>
    <n v="170"/>
    <n v="170"/>
    <n v="0"/>
    <m/>
    <m/>
    <m/>
    <m/>
    <n v="0"/>
    <n v="0"/>
    <n v="38999.387120151994"/>
  </r>
  <r>
    <x v="70"/>
    <x v="4"/>
    <x v="273"/>
    <x v="0"/>
    <x v="5"/>
    <x v="638"/>
    <x v="25"/>
    <s v="POS"/>
    <n v="0.25"/>
    <n v="360"/>
    <n v="90"/>
    <n v="0"/>
    <m/>
    <m/>
    <m/>
    <m/>
    <n v="0"/>
    <n v="0"/>
    <n v="38999.387120151994"/>
  </r>
  <r>
    <x v="70"/>
    <x v="4"/>
    <x v="88"/>
    <x v="0"/>
    <x v="5"/>
    <x v="638"/>
    <x v="25"/>
    <s v="POS"/>
    <n v="0.05"/>
    <n v="1200"/>
    <n v="60"/>
    <n v="0"/>
    <m/>
    <m/>
    <m/>
    <m/>
    <n v="0"/>
    <n v="0"/>
    <n v="38999.387120151994"/>
  </r>
  <r>
    <x v="70"/>
    <x v="4"/>
    <x v="58"/>
    <x v="0"/>
    <x v="1"/>
    <x v="639"/>
    <x v="25"/>
    <s v="NAKİT"/>
    <n v="1"/>
    <n v="200"/>
    <n v="0"/>
    <n v="0"/>
    <m/>
    <m/>
    <m/>
    <m/>
    <n v="200"/>
    <n v="0"/>
    <n v="39199.387120151994"/>
  </r>
  <r>
    <x v="70"/>
    <x v="4"/>
    <x v="18"/>
    <x v="0"/>
    <x v="1"/>
    <x v="639"/>
    <x v="25"/>
    <s v="NAKİT"/>
    <n v="1"/>
    <n v="240"/>
    <n v="0"/>
    <n v="0"/>
    <m/>
    <m/>
    <m/>
    <m/>
    <n v="240"/>
    <n v="0"/>
    <n v="39439.387120151994"/>
  </r>
  <r>
    <x v="70"/>
    <x v="4"/>
    <x v="18"/>
    <x v="0"/>
    <x v="5"/>
    <x v="640"/>
    <x v="25"/>
    <s v="POS"/>
    <n v="1"/>
    <n v="240"/>
    <n v="240"/>
    <n v="0"/>
    <m/>
    <m/>
    <m/>
    <m/>
    <n v="0"/>
    <n v="0"/>
    <n v="39439.387120151994"/>
  </r>
  <r>
    <x v="70"/>
    <x v="4"/>
    <x v="21"/>
    <x v="0"/>
    <x v="5"/>
    <x v="640"/>
    <x v="25"/>
    <s v="POS"/>
    <n v="1"/>
    <n v="260"/>
    <n v="260"/>
    <n v="0"/>
    <m/>
    <m/>
    <m/>
    <m/>
    <n v="0"/>
    <n v="0"/>
    <n v="39439.387120151994"/>
  </r>
  <r>
    <x v="70"/>
    <x v="4"/>
    <x v="20"/>
    <x v="0"/>
    <x v="5"/>
    <x v="641"/>
    <x v="25"/>
    <s v="POS"/>
    <n v="1"/>
    <n v="200"/>
    <n v="200"/>
    <n v="0"/>
    <m/>
    <m/>
    <m/>
    <m/>
    <n v="0"/>
    <n v="0"/>
    <n v="39439.387120151994"/>
  </r>
  <r>
    <x v="70"/>
    <x v="4"/>
    <x v="18"/>
    <x v="0"/>
    <x v="5"/>
    <x v="641"/>
    <x v="25"/>
    <s v="POS"/>
    <n v="1"/>
    <n v="240"/>
    <n v="240"/>
    <n v="0"/>
    <m/>
    <m/>
    <m/>
    <m/>
    <n v="0"/>
    <n v="0"/>
    <n v="39439.387120151994"/>
  </r>
  <r>
    <x v="70"/>
    <x v="4"/>
    <x v="204"/>
    <x v="0"/>
    <x v="5"/>
    <x v="641"/>
    <x v="25"/>
    <s v="POS"/>
    <n v="0.06"/>
    <n v="750"/>
    <n v="45"/>
    <n v="0"/>
    <m/>
    <m/>
    <m/>
    <m/>
    <n v="0"/>
    <n v="0"/>
    <n v="39439.387120151994"/>
  </r>
  <r>
    <x v="70"/>
    <x v="4"/>
    <x v="50"/>
    <x v="0"/>
    <x v="5"/>
    <x v="641"/>
    <x v="25"/>
    <s v="POS"/>
    <n v="0.1"/>
    <n v="650"/>
    <n v="65"/>
    <n v="0"/>
    <m/>
    <m/>
    <m/>
    <m/>
    <n v="0"/>
    <n v="0"/>
    <n v="39439.387120151994"/>
  </r>
  <r>
    <x v="70"/>
    <x v="4"/>
    <x v="18"/>
    <x v="0"/>
    <x v="5"/>
    <x v="642"/>
    <x v="25"/>
    <s v="POS"/>
    <n v="1"/>
    <n v="240"/>
    <n v="240"/>
    <n v="0"/>
    <m/>
    <m/>
    <m/>
    <m/>
    <n v="0"/>
    <n v="0"/>
    <n v="39439.387120151994"/>
  </r>
  <r>
    <x v="70"/>
    <x v="4"/>
    <x v="58"/>
    <x v="0"/>
    <x v="5"/>
    <x v="642"/>
    <x v="25"/>
    <s v="POS"/>
    <n v="1"/>
    <n v="200"/>
    <n v="200"/>
    <n v="0"/>
    <m/>
    <m/>
    <m/>
    <m/>
    <n v="0"/>
    <n v="0"/>
    <n v="39439.387120151994"/>
  </r>
  <r>
    <x v="70"/>
    <x v="4"/>
    <x v="88"/>
    <x v="0"/>
    <x v="1"/>
    <x v="643"/>
    <x v="25"/>
    <s v="NAKİT"/>
    <n v="0.05"/>
    <n v="1200"/>
    <n v="0"/>
    <n v="0"/>
    <m/>
    <m/>
    <m/>
    <m/>
    <n v="60"/>
    <n v="0"/>
    <n v="39499.387120151994"/>
  </r>
  <r>
    <x v="70"/>
    <x v="4"/>
    <x v="18"/>
    <x v="0"/>
    <x v="5"/>
    <x v="644"/>
    <x v="25"/>
    <s v="POS"/>
    <n v="1"/>
    <n v="240"/>
    <n v="240"/>
    <n v="0"/>
    <m/>
    <m/>
    <m/>
    <m/>
    <n v="0"/>
    <n v="0"/>
    <n v="39499.387120151994"/>
  </r>
  <r>
    <x v="70"/>
    <x v="4"/>
    <x v="165"/>
    <x v="0"/>
    <x v="1"/>
    <x v="645"/>
    <x v="25"/>
    <s v="NAKİT"/>
    <n v="1"/>
    <n v="40"/>
    <n v="0"/>
    <n v="0"/>
    <m/>
    <m/>
    <m/>
    <m/>
    <n v="40"/>
    <n v="0"/>
    <n v="39539.387120151994"/>
  </r>
  <r>
    <x v="70"/>
    <x v="4"/>
    <x v="141"/>
    <x v="0"/>
    <x v="1"/>
    <x v="645"/>
    <x v="25"/>
    <s v="NAKİT"/>
    <n v="1"/>
    <n v="130"/>
    <n v="0"/>
    <n v="0"/>
    <m/>
    <m/>
    <m/>
    <m/>
    <n v="130"/>
    <n v="0"/>
    <n v="39669.387120151994"/>
  </r>
  <r>
    <x v="70"/>
    <x v="4"/>
    <x v="55"/>
    <x v="0"/>
    <x v="1"/>
    <x v="646"/>
    <x v="25"/>
    <s v="NAKİT"/>
    <n v="1"/>
    <n v="180"/>
    <n v="0"/>
    <n v="0"/>
    <m/>
    <m/>
    <m/>
    <m/>
    <n v="180"/>
    <n v="0"/>
    <n v="39849.387120151994"/>
  </r>
  <r>
    <x v="70"/>
    <x v="6"/>
    <x v="299"/>
    <x v="0"/>
    <x v="2"/>
    <x v="2"/>
    <x v="83"/>
    <s v="K.K."/>
    <n v="2.5"/>
    <n v="400"/>
    <n v="1000"/>
    <n v="0"/>
    <n v="0"/>
    <n v="0"/>
    <m/>
    <m/>
    <n v="0"/>
    <n v="0"/>
    <n v="39849.387120151994"/>
  </r>
  <r>
    <x v="70"/>
    <x v="6"/>
    <x v="300"/>
    <x v="0"/>
    <x v="2"/>
    <x v="2"/>
    <x v="83"/>
    <s v="K.K."/>
    <n v="1"/>
    <n v="340"/>
    <n v="340"/>
    <n v="0"/>
    <m/>
    <m/>
    <m/>
    <m/>
    <n v="0"/>
    <n v="0"/>
    <n v="39849.387120151994"/>
  </r>
  <r>
    <x v="70"/>
    <x v="10"/>
    <x v="0"/>
    <x v="0"/>
    <x v="5"/>
    <x v="2"/>
    <x v="63"/>
    <s v="POS"/>
    <n v="1"/>
    <n v="465"/>
    <n v="0"/>
    <n v="465"/>
    <n v="240"/>
    <n v="0"/>
    <n v="27949.413"/>
    <m/>
    <n v="465"/>
    <n v="0"/>
    <n v="40314.387120151994"/>
  </r>
  <r>
    <x v="71"/>
    <x v="4"/>
    <x v="58"/>
    <x v="0"/>
    <x v="1"/>
    <x v="647"/>
    <x v="25"/>
    <s v="NAKİT"/>
    <n v="1"/>
    <n v="200"/>
    <n v="0"/>
    <n v="0"/>
    <m/>
    <m/>
    <m/>
    <m/>
    <n v="200"/>
    <n v="0"/>
    <n v="40514.387120151994"/>
  </r>
  <r>
    <x v="71"/>
    <x v="4"/>
    <x v="18"/>
    <x v="0"/>
    <x v="1"/>
    <x v="647"/>
    <x v="25"/>
    <s v="NAKİT"/>
    <n v="1"/>
    <n v="240"/>
    <n v="0"/>
    <n v="0"/>
    <m/>
    <m/>
    <m/>
    <m/>
    <n v="240"/>
    <n v="0"/>
    <n v="40754.387120151994"/>
  </r>
  <r>
    <x v="71"/>
    <x v="4"/>
    <x v="56"/>
    <x v="0"/>
    <x v="1"/>
    <x v="647"/>
    <x v="25"/>
    <s v="NAKİT"/>
    <n v="0.33333333333333331"/>
    <n v="180"/>
    <n v="0"/>
    <n v="0"/>
    <m/>
    <m/>
    <m/>
    <m/>
    <n v="60"/>
    <n v="0"/>
    <n v="40814.387120151994"/>
  </r>
  <r>
    <x v="71"/>
    <x v="4"/>
    <x v="260"/>
    <x v="0"/>
    <x v="5"/>
    <x v="648"/>
    <x v="25"/>
    <s v="POS"/>
    <n v="3"/>
    <n v="180"/>
    <n v="540"/>
    <n v="0"/>
    <m/>
    <m/>
    <m/>
    <m/>
    <n v="0"/>
    <n v="0"/>
    <n v="40814.387120151994"/>
  </r>
  <r>
    <x v="71"/>
    <x v="4"/>
    <x v="51"/>
    <x v="0"/>
    <x v="1"/>
    <x v="649"/>
    <x v="25"/>
    <s v="NAKİT"/>
    <n v="0.1"/>
    <n v="300"/>
    <n v="0"/>
    <n v="0"/>
    <m/>
    <m/>
    <m/>
    <m/>
    <n v="30"/>
    <n v="0"/>
    <n v="40844.387120151994"/>
  </r>
  <r>
    <x v="71"/>
    <x v="4"/>
    <x v="18"/>
    <x v="0"/>
    <x v="1"/>
    <x v="650"/>
    <x v="25"/>
    <s v="NAKİT"/>
    <n v="1"/>
    <n v="240"/>
    <n v="0"/>
    <n v="0"/>
    <m/>
    <m/>
    <m/>
    <m/>
    <n v="240"/>
    <n v="0"/>
    <n v="41084.387120151994"/>
  </r>
  <r>
    <x v="71"/>
    <x v="4"/>
    <x v="58"/>
    <x v="0"/>
    <x v="1"/>
    <x v="650"/>
    <x v="25"/>
    <s v="NAKİT"/>
    <n v="1"/>
    <n v="200"/>
    <n v="0"/>
    <n v="0"/>
    <m/>
    <m/>
    <m/>
    <m/>
    <n v="200"/>
    <n v="0"/>
    <n v="41284.387120151994"/>
  </r>
  <r>
    <x v="71"/>
    <x v="4"/>
    <x v="30"/>
    <x v="0"/>
    <x v="5"/>
    <x v="651"/>
    <x v="25"/>
    <s v="POS"/>
    <n v="0.13800000000000001"/>
    <n v="500"/>
    <n v="69"/>
    <n v="0"/>
    <m/>
    <m/>
    <m/>
    <m/>
    <n v="0"/>
    <n v="0"/>
    <n v="41284.387120151994"/>
  </r>
  <r>
    <x v="71"/>
    <x v="4"/>
    <x v="57"/>
    <x v="0"/>
    <x v="5"/>
    <x v="652"/>
    <x v="25"/>
    <s v="POS"/>
    <n v="1"/>
    <n v="130"/>
    <n v="130"/>
    <n v="0"/>
    <m/>
    <m/>
    <m/>
    <m/>
    <n v="0"/>
    <n v="0"/>
    <n v="41284.387120151994"/>
  </r>
  <r>
    <x v="71"/>
    <x v="4"/>
    <x v="56"/>
    <x v="0"/>
    <x v="5"/>
    <x v="652"/>
    <x v="25"/>
    <s v="POS"/>
    <n v="1"/>
    <n v="180"/>
    <n v="180"/>
    <n v="0"/>
    <m/>
    <m/>
    <m/>
    <m/>
    <n v="0"/>
    <n v="0"/>
    <n v="41284.387120151994"/>
  </r>
  <r>
    <x v="71"/>
    <x v="4"/>
    <x v="112"/>
    <x v="0"/>
    <x v="1"/>
    <x v="653"/>
    <x v="25"/>
    <s v="NAKİT"/>
    <n v="0.04"/>
    <n v="2250"/>
    <n v="0"/>
    <n v="0"/>
    <m/>
    <m/>
    <m/>
    <m/>
    <n v="90"/>
    <n v="0"/>
    <n v="41374.387120151994"/>
  </r>
  <r>
    <x v="71"/>
    <x v="10"/>
    <x v="0"/>
    <x v="0"/>
    <x v="5"/>
    <x v="2"/>
    <x v="63"/>
    <s v="POS"/>
    <n v="1"/>
    <n v="255"/>
    <n v="0"/>
    <n v="255"/>
    <m/>
    <m/>
    <m/>
    <m/>
    <n v="255"/>
    <n v="0"/>
    <n v="41629.387120151994"/>
  </r>
  <r>
    <x v="72"/>
    <x v="4"/>
    <x v="233"/>
    <x v="0"/>
    <x v="1"/>
    <x v="654"/>
    <x v="25"/>
    <s v="NAKİT"/>
    <n v="1"/>
    <n v="400"/>
    <n v="0"/>
    <n v="0"/>
    <m/>
    <m/>
    <m/>
    <m/>
    <n v="400"/>
    <n v="0"/>
    <n v="42029.387120151994"/>
  </r>
  <r>
    <x v="72"/>
    <x v="4"/>
    <x v="168"/>
    <x v="0"/>
    <x v="1"/>
    <x v="654"/>
    <x v="25"/>
    <s v="NAKİT"/>
    <n v="1"/>
    <n v="40"/>
    <n v="0"/>
    <n v="0"/>
    <m/>
    <m/>
    <m/>
    <m/>
    <n v="40"/>
    <n v="0"/>
    <n v="42069.387120151994"/>
  </r>
  <r>
    <x v="72"/>
    <x v="4"/>
    <x v="9"/>
    <x v="0"/>
    <x v="1"/>
    <x v="655"/>
    <x v="25"/>
    <s v="NAKİT"/>
    <n v="1"/>
    <n v="160"/>
    <n v="0"/>
    <n v="0"/>
    <m/>
    <m/>
    <m/>
    <m/>
    <n v="160"/>
    <n v="0"/>
    <n v="42229.387120151994"/>
  </r>
  <r>
    <x v="72"/>
    <x v="4"/>
    <x v="10"/>
    <x v="0"/>
    <x v="1"/>
    <x v="655"/>
    <x v="25"/>
    <s v="NAKİT"/>
    <n v="1"/>
    <n v="170"/>
    <n v="0"/>
    <n v="0"/>
    <m/>
    <m/>
    <m/>
    <m/>
    <n v="170"/>
    <n v="0"/>
    <n v="42399.387120151994"/>
  </r>
  <r>
    <x v="72"/>
    <x v="4"/>
    <x v="279"/>
    <x v="0"/>
    <x v="1"/>
    <x v="655"/>
    <x v="25"/>
    <s v="NAKİT"/>
    <n v="1"/>
    <n v="130"/>
    <n v="0"/>
    <n v="0"/>
    <m/>
    <m/>
    <m/>
    <m/>
    <n v="130"/>
    <n v="0"/>
    <n v="42529.387120151994"/>
  </r>
  <r>
    <x v="72"/>
    <x v="4"/>
    <x v="158"/>
    <x v="0"/>
    <x v="1"/>
    <x v="655"/>
    <x v="25"/>
    <s v="NAKİT"/>
    <n v="3"/>
    <n v="15"/>
    <n v="0"/>
    <n v="0"/>
    <m/>
    <m/>
    <m/>
    <m/>
    <n v="45"/>
    <n v="0"/>
    <n v="42574.387120151994"/>
  </r>
  <r>
    <x v="72"/>
    <x v="4"/>
    <x v="186"/>
    <x v="0"/>
    <x v="1"/>
    <x v="655"/>
    <x v="25"/>
    <s v="NAKİT"/>
    <n v="1"/>
    <n v="190"/>
    <n v="0"/>
    <n v="0"/>
    <m/>
    <m/>
    <m/>
    <m/>
    <n v="190"/>
    <n v="0"/>
    <n v="42764.387120151994"/>
  </r>
  <r>
    <x v="72"/>
    <x v="4"/>
    <x v="83"/>
    <x v="0"/>
    <x v="1"/>
    <x v="655"/>
    <x v="25"/>
    <s v="NAKİT"/>
    <n v="0.05"/>
    <n v="2600"/>
    <n v="0"/>
    <n v="0"/>
    <m/>
    <m/>
    <m/>
    <m/>
    <n v="130"/>
    <n v="0"/>
    <n v="42894.387120151994"/>
  </r>
  <r>
    <x v="72"/>
    <x v="4"/>
    <x v="76"/>
    <x v="0"/>
    <x v="1"/>
    <x v="655"/>
    <x v="25"/>
    <s v="NAKİT"/>
    <n v="0.5"/>
    <n v="80"/>
    <n v="0"/>
    <n v="0"/>
    <m/>
    <m/>
    <m/>
    <m/>
    <n v="40"/>
    <n v="0"/>
    <n v="42934.387120151994"/>
  </r>
  <r>
    <x v="72"/>
    <x v="4"/>
    <x v="28"/>
    <x v="0"/>
    <x v="1"/>
    <x v="655"/>
    <x v="25"/>
    <s v="NAKİT"/>
    <n v="0.17199999999999999"/>
    <n v="500"/>
    <n v="0"/>
    <n v="0"/>
    <m/>
    <m/>
    <m/>
    <m/>
    <n v="86"/>
    <n v="0"/>
    <n v="43020.387120151994"/>
  </r>
  <r>
    <x v="72"/>
    <x v="4"/>
    <x v="32"/>
    <x v="0"/>
    <x v="1"/>
    <x v="655"/>
    <x v="25"/>
    <s v="NAKİT"/>
    <n v="9.1999999999999998E-2"/>
    <n v="370"/>
    <n v="0"/>
    <n v="0"/>
    <m/>
    <m/>
    <m/>
    <m/>
    <n v="34.04"/>
    <n v="0"/>
    <n v="43054.427120151995"/>
  </r>
  <r>
    <x v="72"/>
    <x v="4"/>
    <x v="161"/>
    <x v="0"/>
    <x v="1"/>
    <x v="655"/>
    <x v="25"/>
    <s v="NAKİT"/>
    <n v="0.23599999999999999"/>
    <n v="370"/>
    <n v="0"/>
    <n v="0"/>
    <m/>
    <m/>
    <m/>
    <m/>
    <n v="87.32"/>
    <n v="0"/>
    <n v="43141.747120151995"/>
  </r>
  <r>
    <x v="72"/>
    <x v="4"/>
    <x v="27"/>
    <x v="0"/>
    <x v="1"/>
    <x v="655"/>
    <x v="25"/>
    <s v="NAKİT"/>
    <n v="7.8E-2"/>
    <n v="400"/>
    <n v="0"/>
    <n v="0"/>
    <m/>
    <m/>
    <m/>
    <m/>
    <n v="31.2"/>
    <n v="0"/>
    <n v="43172.947120151992"/>
  </r>
  <r>
    <x v="72"/>
    <x v="4"/>
    <x v="29"/>
    <x v="0"/>
    <x v="1"/>
    <x v="655"/>
    <x v="25"/>
    <s v="NAKİT"/>
    <n v="0.04"/>
    <n v="760"/>
    <n v="0"/>
    <n v="0"/>
    <m/>
    <m/>
    <m/>
    <m/>
    <n v="30.400000000000002"/>
    <n v="0"/>
    <n v="43203.347120151993"/>
  </r>
  <r>
    <x v="72"/>
    <x v="4"/>
    <x v="61"/>
    <x v="0"/>
    <x v="1"/>
    <x v="655"/>
    <x v="25"/>
    <s v="NAKİT"/>
    <n v="0.108"/>
    <n v="770"/>
    <n v="0"/>
    <n v="0"/>
    <m/>
    <m/>
    <m/>
    <m/>
    <n v="83.16"/>
    <n v="0"/>
    <n v="43286.507120151997"/>
  </r>
  <r>
    <x v="72"/>
    <x v="4"/>
    <x v="25"/>
    <x v="0"/>
    <x v="1"/>
    <x v="655"/>
    <x v="25"/>
    <s v="NAKİT"/>
    <n v="0.10199999999999999"/>
    <n v="390"/>
    <n v="0"/>
    <n v="0"/>
    <m/>
    <m/>
    <m/>
    <m/>
    <n v="39.779999999999994"/>
    <n v="0"/>
    <n v="43326.287120151996"/>
  </r>
  <r>
    <x v="72"/>
    <x v="4"/>
    <x v="238"/>
    <x v="0"/>
    <x v="1"/>
    <x v="655"/>
    <x v="25"/>
    <s v="NAKİT"/>
    <n v="0.442"/>
    <n v="340"/>
    <n v="0"/>
    <n v="0"/>
    <m/>
    <m/>
    <m/>
    <m/>
    <n v="150.28"/>
    <n v="0"/>
    <n v="43476.567120151994"/>
  </r>
  <r>
    <x v="72"/>
    <x v="4"/>
    <x v="57"/>
    <x v="0"/>
    <x v="1"/>
    <x v="655"/>
    <x v="25"/>
    <s v="NAKİT"/>
    <n v="1"/>
    <n v="130"/>
    <n v="0"/>
    <n v="0"/>
    <m/>
    <m/>
    <m/>
    <m/>
    <n v="130"/>
    <n v="0"/>
    <n v="43606.567120151994"/>
  </r>
  <r>
    <x v="72"/>
    <x v="4"/>
    <x v="55"/>
    <x v="0"/>
    <x v="1"/>
    <x v="655"/>
    <x v="25"/>
    <s v="NAKİT"/>
    <n v="1"/>
    <n v="180"/>
    <n v="0"/>
    <n v="0"/>
    <m/>
    <m/>
    <m/>
    <m/>
    <n v="180"/>
    <n v="0"/>
    <n v="43786.567120151994"/>
  </r>
  <r>
    <x v="72"/>
    <x v="4"/>
    <x v="258"/>
    <x v="0"/>
    <x v="5"/>
    <x v="656"/>
    <x v="25"/>
    <s v="POS"/>
    <n v="1"/>
    <n v="125"/>
    <n v="125"/>
    <n v="0"/>
    <m/>
    <m/>
    <m/>
    <m/>
    <n v="0"/>
    <n v="0"/>
    <n v="43786.567120151994"/>
  </r>
  <r>
    <x v="72"/>
    <x v="4"/>
    <x v="88"/>
    <x v="0"/>
    <x v="5"/>
    <x v="656"/>
    <x v="25"/>
    <s v="POS"/>
    <n v="0.05"/>
    <n v="1200"/>
    <n v="60"/>
    <n v="0"/>
    <m/>
    <m/>
    <m/>
    <m/>
    <n v="0"/>
    <n v="0"/>
    <n v="43786.567120151994"/>
  </r>
  <r>
    <x v="72"/>
    <x v="4"/>
    <x v="287"/>
    <x v="0"/>
    <x v="5"/>
    <x v="656"/>
    <x v="25"/>
    <s v="POS"/>
    <n v="1.2"/>
    <n v="65"/>
    <n v="78"/>
    <n v="0"/>
    <m/>
    <m/>
    <m/>
    <m/>
    <n v="0"/>
    <n v="0"/>
    <n v="43786.567120151994"/>
  </r>
  <r>
    <x v="72"/>
    <x v="4"/>
    <x v="232"/>
    <x v="0"/>
    <x v="5"/>
    <x v="657"/>
    <x v="25"/>
    <s v="POS"/>
    <n v="1"/>
    <n v="350"/>
    <n v="350"/>
    <n v="0"/>
    <m/>
    <m/>
    <m/>
    <m/>
    <n v="0"/>
    <n v="0"/>
    <n v="43786.567120151994"/>
  </r>
  <r>
    <x v="72"/>
    <x v="4"/>
    <x v="58"/>
    <x v="0"/>
    <x v="5"/>
    <x v="658"/>
    <x v="25"/>
    <s v="POS"/>
    <n v="1"/>
    <n v="200"/>
    <n v="200"/>
    <n v="0"/>
    <m/>
    <m/>
    <m/>
    <m/>
    <n v="0"/>
    <n v="0"/>
    <n v="43786.567120151994"/>
  </r>
  <r>
    <x v="72"/>
    <x v="4"/>
    <x v="18"/>
    <x v="0"/>
    <x v="5"/>
    <x v="658"/>
    <x v="25"/>
    <s v="POS"/>
    <n v="1"/>
    <n v="240"/>
    <n v="240"/>
    <n v="0"/>
    <m/>
    <m/>
    <m/>
    <m/>
    <n v="0"/>
    <n v="0"/>
    <n v="43786.567120151994"/>
  </r>
  <r>
    <x v="72"/>
    <x v="4"/>
    <x v="88"/>
    <x v="0"/>
    <x v="5"/>
    <x v="658"/>
    <x v="25"/>
    <s v="POS"/>
    <n v="0.05"/>
    <n v="1200"/>
    <n v="60"/>
    <n v="0"/>
    <m/>
    <m/>
    <m/>
    <m/>
    <n v="0"/>
    <n v="0"/>
    <n v="43786.567120151994"/>
  </r>
  <r>
    <x v="72"/>
    <x v="4"/>
    <x v="55"/>
    <x v="0"/>
    <x v="5"/>
    <x v="658"/>
    <x v="25"/>
    <s v="POS"/>
    <n v="0.5"/>
    <n v="180"/>
    <n v="90"/>
    <n v="0"/>
    <m/>
    <m/>
    <m/>
    <m/>
    <n v="0"/>
    <n v="0"/>
    <n v="43786.567120151994"/>
  </r>
  <r>
    <x v="72"/>
    <x v="4"/>
    <x v="76"/>
    <x v="0"/>
    <x v="1"/>
    <x v="659"/>
    <x v="25"/>
    <s v="NAKİT"/>
    <n v="1"/>
    <n v="80"/>
    <n v="0"/>
    <n v="0"/>
    <m/>
    <m/>
    <m/>
    <m/>
    <n v="80"/>
    <n v="0"/>
    <n v="43866.567120151994"/>
  </r>
  <r>
    <x v="72"/>
    <x v="4"/>
    <x v="57"/>
    <x v="0"/>
    <x v="1"/>
    <x v="659"/>
    <x v="25"/>
    <s v="NAKİT"/>
    <n v="1"/>
    <n v="150"/>
    <n v="0"/>
    <n v="0"/>
    <m/>
    <m/>
    <m/>
    <m/>
    <n v="150"/>
    <n v="0"/>
    <n v="44016.567120151994"/>
  </r>
  <r>
    <x v="72"/>
    <x v="4"/>
    <x v="56"/>
    <x v="0"/>
    <x v="1"/>
    <x v="659"/>
    <x v="25"/>
    <s v="NAKİT"/>
    <n v="1"/>
    <n v="200"/>
    <n v="0"/>
    <n v="0"/>
    <m/>
    <m/>
    <m/>
    <m/>
    <n v="200"/>
    <n v="0"/>
    <n v="44216.567120151994"/>
  </r>
  <r>
    <x v="72"/>
    <x v="4"/>
    <x v="208"/>
    <x v="0"/>
    <x v="1"/>
    <x v="659"/>
    <x v="25"/>
    <s v="NAKİT"/>
    <n v="1"/>
    <n v="290"/>
    <n v="0"/>
    <n v="0"/>
    <m/>
    <m/>
    <m/>
    <m/>
    <n v="290"/>
    <n v="0"/>
    <n v="44506.567120151994"/>
  </r>
  <r>
    <x v="72"/>
    <x v="4"/>
    <x v="77"/>
    <x v="0"/>
    <x v="1"/>
    <x v="660"/>
    <x v="25"/>
    <s v="NAKİT"/>
    <n v="0.5"/>
    <n v="80"/>
    <n v="0"/>
    <n v="0"/>
    <m/>
    <m/>
    <m/>
    <m/>
    <n v="40"/>
    <n v="0"/>
    <n v="44546.567120151994"/>
  </r>
  <r>
    <x v="72"/>
    <x v="4"/>
    <x v="76"/>
    <x v="0"/>
    <x v="1"/>
    <x v="661"/>
    <x v="25"/>
    <s v="NAKİT"/>
    <n v="1.5"/>
    <n v="80"/>
    <n v="0"/>
    <n v="0"/>
    <m/>
    <m/>
    <m/>
    <m/>
    <n v="120"/>
    <n v="0"/>
    <n v="44666.567120151994"/>
  </r>
  <r>
    <x v="72"/>
    <x v="4"/>
    <x v="29"/>
    <x v="0"/>
    <x v="1"/>
    <x v="661"/>
    <x v="25"/>
    <s v="NAKİT"/>
    <n v="0.25641025641025639"/>
    <n v="780"/>
    <n v="0"/>
    <n v="0"/>
    <m/>
    <m/>
    <m/>
    <m/>
    <n v="199.99999999999997"/>
    <n v="0"/>
    <n v="44866.567120151994"/>
  </r>
  <r>
    <x v="72"/>
    <x v="4"/>
    <x v="24"/>
    <x v="0"/>
    <x v="1"/>
    <x v="661"/>
    <x v="25"/>
    <s v="NAKİT"/>
    <n v="0.30303030303030304"/>
    <n v="660"/>
    <n v="0"/>
    <n v="0"/>
    <m/>
    <m/>
    <m/>
    <m/>
    <n v="200"/>
    <n v="0"/>
    <n v="45066.567120151994"/>
  </r>
  <r>
    <x v="72"/>
    <x v="4"/>
    <x v="27"/>
    <x v="0"/>
    <x v="1"/>
    <x v="661"/>
    <x v="25"/>
    <s v="NAKİT"/>
    <n v="0.59523809523809523"/>
    <n v="420"/>
    <n v="0"/>
    <n v="0"/>
    <m/>
    <m/>
    <m/>
    <m/>
    <n v="250"/>
    <n v="0"/>
    <n v="45316.567120151994"/>
  </r>
  <r>
    <x v="72"/>
    <x v="4"/>
    <x v="57"/>
    <x v="0"/>
    <x v="1"/>
    <x v="661"/>
    <x v="25"/>
    <s v="NAKİT"/>
    <n v="2"/>
    <n v="150"/>
    <n v="0"/>
    <n v="0"/>
    <m/>
    <m/>
    <m/>
    <m/>
    <n v="300"/>
    <n v="0"/>
    <n v="45616.567120151994"/>
  </r>
  <r>
    <x v="72"/>
    <x v="10"/>
    <x v="0"/>
    <x v="0"/>
    <x v="5"/>
    <x v="2"/>
    <x v="63"/>
    <s v="POS"/>
    <n v="1"/>
    <n v="450"/>
    <n v="0"/>
    <n v="450"/>
    <m/>
    <m/>
    <m/>
    <m/>
    <n v="450"/>
    <n v="0"/>
    <n v="46066.567120151994"/>
  </r>
  <r>
    <x v="72"/>
    <x v="10"/>
    <x v="0"/>
    <x v="0"/>
    <x v="5"/>
    <x v="2"/>
    <x v="63"/>
    <s v="POS"/>
    <n v="1"/>
    <n v="944"/>
    <n v="0"/>
    <n v="944"/>
    <m/>
    <m/>
    <m/>
    <m/>
    <n v="944"/>
    <n v="0"/>
    <n v="47010.567120151994"/>
  </r>
  <r>
    <x v="73"/>
    <x v="3"/>
    <x v="308"/>
    <x v="0"/>
    <x v="8"/>
    <x v="662"/>
    <x v="65"/>
    <s v="CARİ"/>
    <n v="12"/>
    <n v="90"/>
    <n v="0"/>
    <n v="1080"/>
    <m/>
    <m/>
    <m/>
    <m/>
    <n v="0"/>
    <n v="0"/>
    <n v="47010.567120151994"/>
  </r>
  <r>
    <x v="73"/>
    <x v="4"/>
    <x v="18"/>
    <x v="0"/>
    <x v="5"/>
    <x v="663"/>
    <x v="25"/>
    <s v="POS"/>
    <n v="2"/>
    <n v="230"/>
    <n v="460"/>
    <n v="0"/>
    <m/>
    <m/>
    <m/>
    <m/>
    <n v="0"/>
    <n v="0"/>
    <n v="47010.567120151994"/>
  </r>
  <r>
    <x v="73"/>
    <x v="4"/>
    <x v="58"/>
    <x v="0"/>
    <x v="5"/>
    <x v="663"/>
    <x v="25"/>
    <s v="POS"/>
    <n v="1"/>
    <n v="200"/>
    <n v="200"/>
    <n v="0"/>
    <m/>
    <m/>
    <m/>
    <m/>
    <n v="0"/>
    <n v="0"/>
    <n v="47010.567120151994"/>
  </r>
  <r>
    <x v="73"/>
    <x v="4"/>
    <x v="33"/>
    <x v="0"/>
    <x v="1"/>
    <x v="664"/>
    <x v="25"/>
    <s v="NAKİT"/>
    <n v="0.24399999999999999"/>
    <n v="380"/>
    <n v="0"/>
    <n v="0"/>
    <m/>
    <m/>
    <m/>
    <m/>
    <n v="92.72"/>
    <n v="0"/>
    <n v="47103.287120151996"/>
  </r>
  <r>
    <x v="73"/>
    <x v="4"/>
    <x v="24"/>
    <x v="0"/>
    <x v="1"/>
    <x v="664"/>
    <x v="25"/>
    <s v="NAKİT"/>
    <n v="0.14000000000000001"/>
    <n v="640"/>
    <n v="0"/>
    <n v="0"/>
    <m/>
    <m/>
    <m/>
    <m/>
    <n v="89.600000000000009"/>
    <n v="0"/>
    <n v="47192.887120151994"/>
  </r>
  <r>
    <x v="73"/>
    <x v="4"/>
    <x v="32"/>
    <x v="0"/>
    <x v="1"/>
    <x v="664"/>
    <x v="25"/>
    <s v="NAKİT"/>
    <n v="0.16600000000000001"/>
    <n v="370"/>
    <n v="0"/>
    <n v="0"/>
    <m/>
    <m/>
    <m/>
    <m/>
    <n v="61.42"/>
    <n v="0"/>
    <n v="47254.307120151992"/>
  </r>
  <r>
    <x v="73"/>
    <x v="4"/>
    <x v="57"/>
    <x v="0"/>
    <x v="1"/>
    <x v="664"/>
    <x v="25"/>
    <s v="NAKİT"/>
    <n v="1"/>
    <n v="130"/>
    <n v="0"/>
    <n v="0"/>
    <m/>
    <m/>
    <m/>
    <m/>
    <n v="130"/>
    <n v="0"/>
    <n v="47384.307120151992"/>
  </r>
  <r>
    <x v="73"/>
    <x v="4"/>
    <x v="55"/>
    <x v="0"/>
    <x v="1"/>
    <x v="664"/>
    <x v="25"/>
    <s v="NAKİT"/>
    <n v="1"/>
    <n v="180"/>
    <n v="0"/>
    <n v="0"/>
    <m/>
    <m/>
    <m/>
    <m/>
    <n v="180"/>
    <n v="0"/>
    <n v="47564.307120151992"/>
  </r>
  <r>
    <x v="73"/>
    <x v="4"/>
    <x v="25"/>
    <x v="0"/>
    <x v="1"/>
    <x v="664"/>
    <x v="25"/>
    <s v="NAKİT"/>
    <n v="0.11"/>
    <n v="390"/>
    <n v="0"/>
    <n v="0"/>
    <m/>
    <m/>
    <m/>
    <m/>
    <n v="42.9"/>
    <n v="0"/>
    <n v="47607.207120151994"/>
  </r>
  <r>
    <x v="73"/>
    <x v="4"/>
    <x v="27"/>
    <x v="0"/>
    <x v="1"/>
    <x v="665"/>
    <x v="25"/>
    <s v="NAKİT"/>
    <n v="0.05"/>
    <n v="400"/>
    <n v="0"/>
    <n v="0"/>
    <m/>
    <m/>
    <m/>
    <m/>
    <n v="20"/>
    <n v="0"/>
    <n v="47627.207120151994"/>
  </r>
  <r>
    <x v="73"/>
    <x v="4"/>
    <x v="261"/>
    <x v="0"/>
    <x v="1"/>
    <x v="666"/>
    <x v="25"/>
    <s v="NAKİT"/>
    <n v="1"/>
    <n v="130"/>
    <n v="0"/>
    <n v="0"/>
    <m/>
    <m/>
    <m/>
    <m/>
    <n v="130"/>
    <n v="0"/>
    <n v="47757.207120151994"/>
  </r>
  <r>
    <x v="73"/>
    <x v="4"/>
    <x v="250"/>
    <x v="0"/>
    <x v="1"/>
    <x v="666"/>
    <x v="25"/>
    <s v="NAKİT"/>
    <n v="1"/>
    <n v="130"/>
    <n v="0"/>
    <n v="0"/>
    <m/>
    <m/>
    <m/>
    <m/>
    <n v="130"/>
    <n v="0"/>
    <n v="47887.207120151994"/>
  </r>
  <r>
    <x v="73"/>
    <x v="4"/>
    <x v="31"/>
    <x v="0"/>
    <x v="1"/>
    <x v="667"/>
    <x v="25"/>
    <s v="NAKİT"/>
    <n v="0.14210526315789473"/>
    <n v="380"/>
    <n v="0"/>
    <n v="0"/>
    <m/>
    <m/>
    <m/>
    <m/>
    <n v="54"/>
    <n v="0"/>
    <n v="47941.207120151994"/>
  </r>
  <r>
    <x v="73"/>
    <x v="4"/>
    <x v="239"/>
    <x v="0"/>
    <x v="1"/>
    <x v="668"/>
    <x v="25"/>
    <s v="NAKİT"/>
    <n v="0.25"/>
    <n v="400"/>
    <n v="0"/>
    <n v="0"/>
    <m/>
    <m/>
    <m/>
    <m/>
    <n v="100"/>
    <n v="0"/>
    <n v="48041.207120151994"/>
  </r>
  <r>
    <x v="73"/>
    <x v="10"/>
    <x v="0"/>
    <x v="0"/>
    <x v="5"/>
    <x v="2"/>
    <x v="63"/>
    <s v="POS"/>
    <n v="1"/>
    <n v="1500"/>
    <n v="0"/>
    <n v="1500"/>
    <m/>
    <m/>
    <m/>
    <m/>
    <n v="1500"/>
    <n v="0"/>
    <n v="49541.207120151994"/>
  </r>
  <r>
    <x v="73"/>
    <x v="10"/>
    <x v="0"/>
    <x v="0"/>
    <x v="5"/>
    <x v="2"/>
    <x v="63"/>
    <s v="POS"/>
    <n v="1"/>
    <n v="240"/>
    <n v="0"/>
    <n v="240"/>
    <m/>
    <m/>
    <m/>
    <m/>
    <n v="240"/>
    <n v="0"/>
    <n v="49781.207120151994"/>
  </r>
  <r>
    <x v="74"/>
    <x v="4"/>
    <x v="47"/>
    <x v="0"/>
    <x v="1"/>
    <x v="669"/>
    <x v="25"/>
    <s v="NAKİT"/>
    <n v="6.2E-2"/>
    <n v="400"/>
    <n v="0"/>
    <n v="0"/>
    <m/>
    <m/>
    <m/>
    <m/>
    <n v="24.8"/>
    <n v="0"/>
    <n v="49806.007120151997"/>
  </r>
  <r>
    <x v="74"/>
    <x v="4"/>
    <x v="83"/>
    <x v="0"/>
    <x v="1"/>
    <x v="669"/>
    <x v="25"/>
    <s v="NAKİT"/>
    <n v="0.05"/>
    <n v="2600"/>
    <n v="0"/>
    <n v="0"/>
    <m/>
    <m/>
    <m/>
    <m/>
    <n v="130"/>
    <n v="0"/>
    <n v="49936.007120151997"/>
  </r>
  <r>
    <x v="74"/>
    <x v="4"/>
    <x v="24"/>
    <x v="0"/>
    <x v="1"/>
    <x v="669"/>
    <x v="25"/>
    <s v="NAKİT"/>
    <n v="5.6000000000000001E-2"/>
    <n v="640"/>
    <n v="0"/>
    <n v="0"/>
    <m/>
    <m/>
    <m/>
    <m/>
    <n v="35.840000000000003"/>
    <n v="0"/>
    <n v="49971.847120151993"/>
  </r>
  <r>
    <x v="74"/>
    <x v="4"/>
    <x v="22"/>
    <x v="0"/>
    <x v="1"/>
    <x v="669"/>
    <x v="25"/>
    <s v="NAKİT"/>
    <n v="0.19400000000000001"/>
    <n v="400"/>
    <n v="0"/>
    <n v="0"/>
    <m/>
    <m/>
    <m/>
    <m/>
    <n v="77.600000000000009"/>
    <n v="0"/>
    <n v="50049.447120151992"/>
  </r>
  <r>
    <x v="74"/>
    <x v="4"/>
    <x v="23"/>
    <x v="0"/>
    <x v="1"/>
    <x v="669"/>
    <x v="25"/>
    <s v="NAKİT"/>
    <n v="0.218"/>
    <n v="300"/>
    <n v="0"/>
    <n v="0"/>
    <m/>
    <m/>
    <m/>
    <m/>
    <n v="65.400000000000006"/>
    <n v="0"/>
    <n v="50114.847120151993"/>
  </r>
  <r>
    <x v="74"/>
    <x v="4"/>
    <x v="63"/>
    <x v="0"/>
    <x v="1"/>
    <x v="669"/>
    <x v="25"/>
    <s v="NAKİT"/>
    <n v="7.0000000000000007E-2"/>
    <n v="735"/>
    <n v="0"/>
    <n v="0"/>
    <m/>
    <m/>
    <m/>
    <m/>
    <n v="51.45"/>
    <n v="0"/>
    <n v="50166.29712015199"/>
  </r>
  <r>
    <x v="74"/>
    <x v="4"/>
    <x v="31"/>
    <x v="0"/>
    <x v="1"/>
    <x v="670"/>
    <x v="25"/>
    <s v="NAKİT"/>
    <n v="0.19800000000000001"/>
    <n v="380"/>
    <n v="0"/>
    <n v="0"/>
    <m/>
    <m/>
    <m/>
    <m/>
    <n v="75.240000000000009"/>
    <n v="0"/>
    <n v="50241.537120151988"/>
  </r>
  <r>
    <x v="74"/>
    <x v="4"/>
    <x v="33"/>
    <x v="0"/>
    <x v="1"/>
    <x v="670"/>
    <x v="25"/>
    <s v="NAKİT"/>
    <n v="0.248"/>
    <n v="380"/>
    <n v="0"/>
    <n v="0"/>
    <m/>
    <m/>
    <m/>
    <m/>
    <n v="94.24"/>
    <n v="0"/>
    <n v="50335.777120151986"/>
  </r>
  <r>
    <x v="74"/>
    <x v="4"/>
    <x v="24"/>
    <x v="0"/>
    <x v="1"/>
    <x v="665"/>
    <x v="25"/>
    <s v="NAKİT"/>
    <n v="0.05"/>
    <n v="640"/>
    <n v="0"/>
    <n v="0"/>
    <m/>
    <m/>
    <m/>
    <m/>
    <n v="32"/>
    <n v="0"/>
    <n v="50367.777120151986"/>
  </r>
  <r>
    <x v="74"/>
    <x v="4"/>
    <x v="29"/>
    <x v="0"/>
    <x v="1"/>
    <x v="665"/>
    <x v="25"/>
    <s v="NAKİT"/>
    <n v="0.05"/>
    <n v="760"/>
    <n v="0"/>
    <n v="0"/>
    <m/>
    <m/>
    <m/>
    <m/>
    <n v="38"/>
    <n v="0"/>
    <n v="50405.777120151986"/>
  </r>
  <r>
    <x v="74"/>
    <x v="4"/>
    <x v="28"/>
    <x v="0"/>
    <x v="1"/>
    <x v="665"/>
    <x v="25"/>
    <s v="NAKİT"/>
    <n v="0.05"/>
    <n v="500"/>
    <n v="0"/>
    <n v="0"/>
    <m/>
    <m/>
    <m/>
    <m/>
    <n v="25"/>
    <n v="0"/>
    <n v="50430.777120151986"/>
  </r>
  <r>
    <x v="74"/>
    <x v="4"/>
    <x v="30"/>
    <x v="0"/>
    <x v="1"/>
    <x v="666"/>
    <x v="25"/>
    <s v="NAKİT"/>
    <n v="0.108"/>
    <n v="500"/>
    <n v="0"/>
    <n v="0"/>
    <m/>
    <m/>
    <m/>
    <m/>
    <n v="54"/>
    <n v="0"/>
    <n v="50484.777120151986"/>
  </r>
  <r>
    <x v="74"/>
    <x v="4"/>
    <x v="30"/>
    <x v="0"/>
    <x v="1"/>
    <x v="667"/>
    <x v="25"/>
    <s v="NAKİT"/>
    <n v="0.108"/>
    <n v="500"/>
    <n v="0"/>
    <n v="0"/>
    <m/>
    <m/>
    <m/>
    <m/>
    <n v="54"/>
    <n v="0"/>
    <n v="50538.777120151986"/>
  </r>
  <r>
    <x v="74"/>
    <x v="4"/>
    <x v="67"/>
    <x v="0"/>
    <x v="1"/>
    <x v="668"/>
    <x v="25"/>
    <s v="NAKİT"/>
    <n v="0.05"/>
    <n v="1400"/>
    <n v="0"/>
    <n v="0"/>
    <m/>
    <m/>
    <m/>
    <m/>
    <n v="70"/>
    <n v="0"/>
    <n v="50608.777120151986"/>
  </r>
  <r>
    <x v="74"/>
    <x v="4"/>
    <x v="303"/>
    <x v="0"/>
    <x v="1"/>
    <x v="671"/>
    <x v="25"/>
    <s v="NAKİT"/>
    <n v="1"/>
    <n v="440"/>
    <n v="0"/>
    <n v="0"/>
    <m/>
    <m/>
    <m/>
    <m/>
    <n v="440"/>
    <n v="0"/>
    <n v="51048.777120151986"/>
  </r>
  <r>
    <x v="74"/>
    <x v="4"/>
    <x v="216"/>
    <x v="0"/>
    <x v="1"/>
    <x v="671"/>
    <x v="25"/>
    <s v="NAKİT"/>
    <n v="1"/>
    <n v="210"/>
    <n v="0"/>
    <n v="0"/>
    <m/>
    <m/>
    <m/>
    <m/>
    <n v="210"/>
    <n v="0"/>
    <n v="51258.777120151986"/>
  </r>
  <r>
    <x v="74"/>
    <x v="7"/>
    <x v="0"/>
    <x v="0"/>
    <x v="3"/>
    <x v="2"/>
    <x v="77"/>
    <s v="NAKİT"/>
    <n v="1"/>
    <n v="0"/>
    <n v="20000"/>
    <n v="0"/>
    <m/>
    <m/>
    <m/>
    <m/>
    <n v="0"/>
    <n v="20000"/>
    <n v="31258.777120151986"/>
  </r>
  <r>
    <x v="74"/>
    <x v="7"/>
    <x v="0"/>
    <x v="0"/>
    <x v="4"/>
    <x v="2"/>
    <x v="84"/>
    <s v="NAKİT"/>
    <n v="1"/>
    <n v="0"/>
    <n v="10000"/>
    <n v="0"/>
    <m/>
    <m/>
    <m/>
    <m/>
    <n v="0"/>
    <n v="10000"/>
    <n v="21258.777120151986"/>
  </r>
  <r>
    <x v="74"/>
    <x v="1"/>
    <x v="0"/>
    <x v="12"/>
    <x v="1"/>
    <x v="2"/>
    <x v="85"/>
    <s v="NAKİT"/>
    <n v="1"/>
    <n v="1500"/>
    <n v="0"/>
    <n v="0"/>
    <m/>
    <m/>
    <m/>
    <m/>
    <n v="0"/>
    <n v="1500"/>
    <n v="19758.777120151986"/>
  </r>
  <r>
    <x v="74"/>
    <x v="10"/>
    <x v="0"/>
    <x v="0"/>
    <x v="5"/>
    <x v="2"/>
    <x v="63"/>
    <s v="POS"/>
    <n v="1"/>
    <n v="840"/>
    <n v="0"/>
    <n v="840"/>
    <m/>
    <m/>
    <m/>
    <m/>
    <n v="840"/>
    <n v="0"/>
    <n v="20598.777120151986"/>
  </r>
  <r>
    <x v="74"/>
    <x v="10"/>
    <x v="0"/>
    <x v="0"/>
    <x v="5"/>
    <x v="2"/>
    <x v="63"/>
    <s v="POS"/>
    <n v="1"/>
    <n v="330"/>
    <n v="0"/>
    <n v="330"/>
    <m/>
    <m/>
    <m/>
    <m/>
    <n v="330"/>
    <n v="0"/>
    <n v="20928.777120151986"/>
  </r>
  <r>
    <x v="74"/>
    <x v="2"/>
    <x v="0"/>
    <x v="4"/>
    <x v="2"/>
    <x v="2"/>
    <x v="86"/>
    <s v="K.K."/>
    <n v="5"/>
    <n v="100"/>
    <n v="0"/>
    <n v="500"/>
    <m/>
    <m/>
    <m/>
    <m/>
    <n v="0"/>
    <n v="0"/>
    <n v="20928.777120151986"/>
  </r>
  <r>
    <x v="75"/>
    <x v="4"/>
    <x v="32"/>
    <x v="0"/>
    <x v="1"/>
    <x v="672"/>
    <x v="25"/>
    <s v="NAKİT"/>
    <n v="0.17399999999999999"/>
    <n v="370"/>
    <n v="0"/>
    <n v="0"/>
    <m/>
    <m/>
    <m/>
    <m/>
    <n v="64.38"/>
    <n v="0"/>
    <n v="20993.157120151987"/>
  </r>
  <r>
    <x v="75"/>
    <x v="4"/>
    <x v="28"/>
    <x v="0"/>
    <x v="1"/>
    <x v="672"/>
    <x v="25"/>
    <s v="NAKİT"/>
    <n v="0.16800000000000001"/>
    <n v="500"/>
    <n v="0"/>
    <n v="0"/>
    <m/>
    <m/>
    <m/>
    <m/>
    <n v="84"/>
    <n v="0"/>
    <n v="21077.157120151987"/>
  </r>
  <r>
    <x v="75"/>
    <x v="4"/>
    <x v="31"/>
    <x v="0"/>
    <x v="1"/>
    <x v="672"/>
    <x v="25"/>
    <s v="NAKİT"/>
    <n v="0.14799999999999999"/>
    <n v="380"/>
    <n v="0"/>
    <n v="0"/>
    <m/>
    <m/>
    <m/>
    <m/>
    <n v="56.239999999999995"/>
    <n v="0"/>
    <n v="21133.397120151989"/>
  </r>
  <r>
    <x v="75"/>
    <x v="4"/>
    <x v="55"/>
    <x v="0"/>
    <x v="1"/>
    <x v="672"/>
    <x v="25"/>
    <s v="NAKİT"/>
    <n v="1"/>
    <n v="200"/>
    <n v="0"/>
    <n v="0"/>
    <m/>
    <m/>
    <m/>
    <m/>
    <n v="200"/>
    <n v="0"/>
    <n v="21333.397120151989"/>
  </r>
  <r>
    <x v="75"/>
    <x v="4"/>
    <x v="100"/>
    <x v="0"/>
    <x v="1"/>
    <x v="672"/>
    <x v="25"/>
    <s v="NAKİT"/>
    <n v="0.34200000000000003"/>
    <n v="750"/>
    <n v="0"/>
    <n v="0"/>
    <m/>
    <m/>
    <m/>
    <m/>
    <n v="256.5"/>
    <n v="0"/>
    <n v="21589.897120151989"/>
  </r>
  <r>
    <x v="75"/>
    <x v="4"/>
    <x v="142"/>
    <x v="0"/>
    <x v="1"/>
    <x v="672"/>
    <x v="25"/>
    <s v="NAKİT"/>
    <n v="0.36599999999999999"/>
    <n v="250"/>
    <n v="0"/>
    <n v="0"/>
    <m/>
    <m/>
    <m/>
    <m/>
    <n v="91.5"/>
    <n v="0"/>
    <n v="21681.397120151989"/>
  </r>
  <r>
    <x v="75"/>
    <x v="4"/>
    <x v="93"/>
    <x v="0"/>
    <x v="1"/>
    <x v="672"/>
    <x v="25"/>
    <s v="NAKİT"/>
    <n v="1"/>
    <n v="295"/>
    <n v="0"/>
    <n v="0"/>
    <m/>
    <m/>
    <m/>
    <m/>
    <n v="295"/>
    <n v="0"/>
    <n v="21976.397120151989"/>
  </r>
  <r>
    <x v="75"/>
    <x v="4"/>
    <x v="50"/>
    <x v="0"/>
    <x v="1"/>
    <x v="672"/>
    <x v="25"/>
    <s v="NAKİT"/>
    <n v="0.1"/>
    <n v="650"/>
    <n v="0"/>
    <n v="0"/>
    <m/>
    <m/>
    <m/>
    <m/>
    <n v="65"/>
    <n v="0"/>
    <n v="22041.397120151989"/>
  </r>
  <r>
    <x v="75"/>
    <x v="4"/>
    <x v="298"/>
    <x v="0"/>
    <x v="5"/>
    <x v="673"/>
    <x v="25"/>
    <s v="POS"/>
    <n v="0.1"/>
    <n v="1000"/>
    <n v="100"/>
    <n v="0"/>
    <m/>
    <m/>
    <m/>
    <m/>
    <n v="0"/>
    <n v="0"/>
    <n v="22041.397120151989"/>
  </r>
  <r>
    <x v="75"/>
    <x v="4"/>
    <x v="54"/>
    <x v="0"/>
    <x v="5"/>
    <x v="673"/>
    <x v="25"/>
    <s v="POS"/>
    <n v="0.1"/>
    <n v="400"/>
    <n v="40"/>
    <n v="0"/>
    <m/>
    <m/>
    <m/>
    <m/>
    <n v="0"/>
    <n v="0"/>
    <n v="22041.397120151989"/>
  </r>
  <r>
    <x v="75"/>
    <x v="4"/>
    <x v="52"/>
    <x v="0"/>
    <x v="5"/>
    <x v="673"/>
    <x v="25"/>
    <s v="POS"/>
    <n v="0.1"/>
    <n v="400"/>
    <n v="40"/>
    <n v="0"/>
    <m/>
    <m/>
    <m/>
    <m/>
    <n v="0"/>
    <n v="0"/>
    <n v="22041.397120151989"/>
  </r>
  <r>
    <x v="75"/>
    <x v="4"/>
    <x v="151"/>
    <x v="0"/>
    <x v="5"/>
    <x v="673"/>
    <x v="25"/>
    <s v="POS"/>
    <n v="0.1"/>
    <n v="750"/>
    <n v="75"/>
    <n v="0"/>
    <m/>
    <m/>
    <m/>
    <m/>
    <n v="0"/>
    <n v="0"/>
    <n v="22041.397120151989"/>
  </r>
  <r>
    <x v="75"/>
    <x v="4"/>
    <x v="270"/>
    <x v="0"/>
    <x v="5"/>
    <x v="673"/>
    <x v="25"/>
    <s v="POS"/>
    <n v="1"/>
    <n v="130"/>
    <n v="130"/>
    <n v="0"/>
    <m/>
    <m/>
    <m/>
    <m/>
    <n v="0"/>
    <n v="0"/>
    <n v="22041.397120151989"/>
  </r>
  <r>
    <x v="75"/>
    <x v="4"/>
    <x v="238"/>
    <x v="0"/>
    <x v="5"/>
    <x v="673"/>
    <x v="25"/>
    <s v="POS"/>
    <n v="0.42"/>
    <n v="340"/>
    <n v="142.79999999999998"/>
    <n v="0"/>
    <m/>
    <m/>
    <m/>
    <m/>
    <n v="0"/>
    <n v="0"/>
    <n v="22041.397120151989"/>
  </r>
  <r>
    <x v="75"/>
    <x v="4"/>
    <x v="154"/>
    <x v="0"/>
    <x v="5"/>
    <x v="673"/>
    <x v="25"/>
    <s v="POS"/>
    <n v="1"/>
    <n v="180"/>
    <n v="180"/>
    <n v="0"/>
    <m/>
    <m/>
    <m/>
    <m/>
    <n v="0"/>
    <n v="0"/>
    <n v="22041.397120151989"/>
  </r>
  <r>
    <x v="75"/>
    <x v="4"/>
    <x v="161"/>
    <x v="0"/>
    <x v="1"/>
    <x v="674"/>
    <x v="25"/>
    <s v="NAKİT"/>
    <n v="0.10277777777777777"/>
    <n v="360"/>
    <n v="0"/>
    <n v="0"/>
    <m/>
    <m/>
    <m/>
    <m/>
    <n v="37"/>
    <n v="0"/>
    <n v="22078.397120151989"/>
  </r>
  <r>
    <x v="75"/>
    <x v="4"/>
    <x v="61"/>
    <x v="0"/>
    <x v="1"/>
    <x v="674"/>
    <x v="25"/>
    <s v="NAKİT"/>
    <n v="9.4805194805194809E-2"/>
    <n v="770"/>
    <n v="0"/>
    <n v="0"/>
    <m/>
    <m/>
    <m/>
    <m/>
    <n v="73"/>
    <n v="0"/>
    <n v="22151.397120151989"/>
  </r>
  <r>
    <x v="75"/>
    <x v="4"/>
    <x v="280"/>
    <x v="0"/>
    <x v="5"/>
    <x v="675"/>
    <x v="25"/>
    <s v="POS"/>
    <n v="1"/>
    <n v="60"/>
    <n v="60"/>
    <n v="0"/>
    <m/>
    <m/>
    <m/>
    <m/>
    <n v="0"/>
    <n v="0"/>
    <n v="22151.397120151989"/>
  </r>
  <r>
    <x v="75"/>
    <x v="4"/>
    <x v="258"/>
    <x v="0"/>
    <x v="1"/>
    <x v="676"/>
    <x v="25"/>
    <s v="NAKİT"/>
    <n v="1"/>
    <n v="125"/>
    <n v="0"/>
    <n v="0"/>
    <m/>
    <m/>
    <m/>
    <m/>
    <n v="125"/>
    <n v="0"/>
    <n v="22276.397120151989"/>
  </r>
  <r>
    <x v="75"/>
    <x v="4"/>
    <x v="270"/>
    <x v="0"/>
    <x v="1"/>
    <x v="676"/>
    <x v="25"/>
    <s v="NAKİT"/>
    <n v="1"/>
    <n v="130"/>
    <n v="0"/>
    <n v="0"/>
    <m/>
    <m/>
    <m/>
    <m/>
    <n v="130"/>
    <n v="0"/>
    <n v="22406.397120151989"/>
  </r>
  <r>
    <x v="75"/>
    <x v="4"/>
    <x v="240"/>
    <x v="0"/>
    <x v="1"/>
    <x v="676"/>
    <x v="25"/>
    <s v="NAKİT"/>
    <n v="0.21739130434782608"/>
    <n v="230"/>
    <n v="0"/>
    <n v="0"/>
    <m/>
    <m/>
    <m/>
    <m/>
    <n v="50"/>
    <n v="0"/>
    <n v="22456.397120151989"/>
  </r>
  <r>
    <x v="75"/>
    <x v="4"/>
    <x v="21"/>
    <x v="0"/>
    <x v="1"/>
    <x v="677"/>
    <x v="25"/>
    <s v="NAKİT"/>
    <n v="1"/>
    <n v="250"/>
    <n v="0"/>
    <n v="0"/>
    <m/>
    <m/>
    <m/>
    <m/>
    <n v="250"/>
    <n v="0"/>
    <n v="22706.397120151989"/>
  </r>
  <r>
    <x v="75"/>
    <x v="4"/>
    <x v="18"/>
    <x v="0"/>
    <x v="1"/>
    <x v="677"/>
    <x v="25"/>
    <s v="NAKİT"/>
    <n v="1"/>
    <n v="250"/>
    <n v="0"/>
    <n v="0"/>
    <m/>
    <m/>
    <m/>
    <m/>
    <n v="250"/>
    <n v="0"/>
    <n v="22956.397120151989"/>
  </r>
  <r>
    <x v="75"/>
    <x v="4"/>
    <x v="144"/>
    <x v="0"/>
    <x v="1"/>
    <x v="678"/>
    <x v="25"/>
    <s v="NAKİT"/>
    <n v="1"/>
    <n v="140"/>
    <n v="0"/>
    <n v="0"/>
    <m/>
    <m/>
    <m/>
    <m/>
    <n v="140"/>
    <n v="0"/>
    <n v="23096.397120151989"/>
  </r>
  <r>
    <x v="75"/>
    <x v="4"/>
    <x v="257"/>
    <x v="0"/>
    <x v="1"/>
    <x v="678"/>
    <x v="25"/>
    <s v="NAKİT"/>
    <n v="1"/>
    <n v="170"/>
    <n v="0"/>
    <n v="0"/>
    <m/>
    <m/>
    <m/>
    <m/>
    <n v="170"/>
    <n v="0"/>
    <n v="23266.397120151989"/>
  </r>
  <r>
    <x v="75"/>
    <x v="4"/>
    <x v="279"/>
    <x v="0"/>
    <x v="1"/>
    <x v="678"/>
    <x v="25"/>
    <s v="NAKİT"/>
    <n v="1"/>
    <n v="130"/>
    <n v="0"/>
    <n v="0"/>
    <m/>
    <m/>
    <m/>
    <m/>
    <n v="130"/>
    <n v="0"/>
    <n v="23396.397120151989"/>
  </r>
  <r>
    <x v="75"/>
    <x v="4"/>
    <x v="33"/>
    <x v="0"/>
    <x v="5"/>
    <x v="679"/>
    <x v="25"/>
    <s v="POS"/>
    <n v="0.28421052631578947"/>
    <n v="380"/>
    <n v="108"/>
    <n v="0"/>
    <m/>
    <m/>
    <m/>
    <m/>
    <n v="0"/>
    <n v="0"/>
    <n v="23396.397120151989"/>
  </r>
  <r>
    <x v="75"/>
    <x v="4"/>
    <x v="59"/>
    <x v="0"/>
    <x v="5"/>
    <x v="679"/>
    <x v="25"/>
    <s v="POS"/>
    <n v="0.21904761904761905"/>
    <n v="420"/>
    <n v="92"/>
    <n v="0"/>
    <m/>
    <m/>
    <m/>
    <m/>
    <n v="0"/>
    <n v="0"/>
    <n v="23396.397120151989"/>
  </r>
  <r>
    <x v="75"/>
    <x v="4"/>
    <x v="88"/>
    <x v="0"/>
    <x v="1"/>
    <x v="680"/>
    <x v="25"/>
    <s v="NAKİT"/>
    <n v="0.05"/>
    <n v="1200"/>
    <n v="0"/>
    <n v="0"/>
    <m/>
    <m/>
    <m/>
    <m/>
    <n v="60"/>
    <n v="0"/>
    <n v="23456.397120151989"/>
  </r>
  <r>
    <x v="75"/>
    <x v="4"/>
    <x v="55"/>
    <x v="0"/>
    <x v="1"/>
    <x v="681"/>
    <x v="25"/>
    <s v="NAKİT"/>
    <n v="1"/>
    <n v="180"/>
    <n v="0"/>
    <n v="0"/>
    <m/>
    <m/>
    <m/>
    <m/>
    <n v="180"/>
    <n v="0"/>
    <n v="23636.397120151989"/>
  </r>
  <r>
    <x v="75"/>
    <x v="4"/>
    <x v="58"/>
    <x v="0"/>
    <x v="1"/>
    <x v="682"/>
    <x v="25"/>
    <s v="NAKİT"/>
    <n v="1"/>
    <n v="200"/>
    <n v="0"/>
    <n v="0"/>
    <m/>
    <m/>
    <m/>
    <m/>
    <n v="200"/>
    <n v="0"/>
    <n v="23836.397120151989"/>
  </r>
  <r>
    <x v="75"/>
    <x v="4"/>
    <x v="233"/>
    <x v="0"/>
    <x v="5"/>
    <x v="683"/>
    <x v="25"/>
    <s v="POS"/>
    <n v="1"/>
    <n v="350"/>
    <n v="350"/>
    <n v="0"/>
    <m/>
    <m/>
    <m/>
    <m/>
    <n v="0"/>
    <n v="0"/>
    <n v="23836.397120151989"/>
  </r>
  <r>
    <x v="75"/>
    <x v="4"/>
    <x v="196"/>
    <x v="0"/>
    <x v="5"/>
    <x v="684"/>
    <x v="25"/>
    <s v="POS"/>
    <n v="1"/>
    <n v="350"/>
    <n v="350"/>
    <n v="0"/>
    <m/>
    <m/>
    <m/>
    <m/>
    <n v="0"/>
    <n v="0"/>
    <n v="23836.397120151989"/>
  </r>
  <r>
    <x v="75"/>
    <x v="3"/>
    <x v="309"/>
    <x v="0"/>
    <x v="2"/>
    <x v="2"/>
    <x v="87"/>
    <s v="K.K."/>
    <n v="6"/>
    <n v="89"/>
    <n v="0"/>
    <n v="534"/>
    <m/>
    <m/>
    <m/>
    <m/>
    <n v="0"/>
    <n v="0"/>
    <n v="23836.397120151989"/>
  </r>
  <r>
    <x v="75"/>
    <x v="3"/>
    <x v="310"/>
    <x v="0"/>
    <x v="2"/>
    <x v="2"/>
    <x v="87"/>
    <s v="K.K."/>
    <n v="3"/>
    <n v="89"/>
    <n v="0"/>
    <n v="267"/>
    <m/>
    <m/>
    <m/>
    <m/>
    <n v="0"/>
    <n v="0"/>
    <n v="23836.397120151989"/>
  </r>
  <r>
    <x v="75"/>
    <x v="3"/>
    <x v="311"/>
    <x v="0"/>
    <x v="2"/>
    <x v="2"/>
    <x v="50"/>
    <s v="K.K."/>
    <n v="4"/>
    <n v="166.7"/>
    <n v="0"/>
    <n v="666.8"/>
    <m/>
    <m/>
    <m/>
    <m/>
    <n v="0"/>
    <n v="0"/>
    <n v="23836.397120151989"/>
  </r>
  <r>
    <x v="75"/>
    <x v="10"/>
    <x v="0"/>
    <x v="0"/>
    <x v="5"/>
    <x v="2"/>
    <x v="63"/>
    <s v="POS"/>
    <n v="1"/>
    <n v="985"/>
    <n v="0"/>
    <n v="985"/>
    <n v="330"/>
    <m/>
    <m/>
    <m/>
    <n v="985"/>
    <n v="0"/>
    <n v="24821.397120151989"/>
  </r>
  <r>
    <x v="75"/>
    <x v="10"/>
    <x v="0"/>
    <x v="0"/>
    <x v="5"/>
    <x v="2"/>
    <x v="63"/>
    <s v="POS"/>
    <n v="1"/>
    <n v="1395"/>
    <n v="0"/>
    <n v="1395"/>
    <m/>
    <m/>
    <m/>
    <m/>
    <n v="1395"/>
    <n v="0"/>
    <n v="26216.397120151989"/>
  </r>
  <r>
    <x v="76"/>
    <x v="4"/>
    <x v="154"/>
    <x v="0"/>
    <x v="5"/>
    <x v="685"/>
    <x v="25"/>
    <s v="POS"/>
    <n v="1"/>
    <n v="180"/>
    <n v="180"/>
    <n v="0"/>
    <m/>
    <m/>
    <m/>
    <m/>
    <n v="0"/>
    <n v="0"/>
    <n v="26216.397120151989"/>
  </r>
  <r>
    <x v="76"/>
    <x v="4"/>
    <x v="257"/>
    <x v="0"/>
    <x v="5"/>
    <x v="686"/>
    <x v="25"/>
    <s v="POS"/>
    <n v="1"/>
    <n v="170"/>
    <n v="170"/>
    <n v="0"/>
    <m/>
    <m/>
    <m/>
    <m/>
    <n v="0"/>
    <n v="0"/>
    <n v="26216.397120151989"/>
  </r>
  <r>
    <x v="76"/>
    <x v="4"/>
    <x v="280"/>
    <x v="0"/>
    <x v="1"/>
    <x v="687"/>
    <x v="25"/>
    <s v="NAKİT"/>
    <n v="0.5"/>
    <n v="60"/>
    <n v="0"/>
    <n v="0"/>
    <m/>
    <m/>
    <m/>
    <m/>
    <n v="30"/>
    <n v="0"/>
    <n v="26246.397120151989"/>
  </r>
  <r>
    <x v="76"/>
    <x v="4"/>
    <x v="289"/>
    <x v="0"/>
    <x v="1"/>
    <x v="688"/>
    <x v="25"/>
    <s v="NAKİT"/>
    <n v="0.15555555555555556"/>
    <n v="360"/>
    <n v="0"/>
    <n v="0"/>
    <m/>
    <m/>
    <m/>
    <m/>
    <n v="56"/>
    <n v="0"/>
    <n v="26302.397120151989"/>
  </r>
  <r>
    <x v="76"/>
    <x v="4"/>
    <x v="23"/>
    <x v="0"/>
    <x v="1"/>
    <x v="688"/>
    <x v="25"/>
    <s v="NAKİT"/>
    <n v="0.16"/>
    <n v="300"/>
    <n v="0"/>
    <n v="0"/>
    <m/>
    <m/>
    <m/>
    <m/>
    <n v="48"/>
    <n v="0"/>
    <n v="26350.397120151989"/>
  </r>
  <r>
    <x v="76"/>
    <x v="4"/>
    <x v="72"/>
    <x v="0"/>
    <x v="1"/>
    <x v="689"/>
    <x v="25"/>
    <s v="NAKİT"/>
    <n v="0.05"/>
    <n v="1400"/>
    <n v="0"/>
    <n v="0"/>
    <m/>
    <m/>
    <m/>
    <m/>
    <n v="70"/>
    <n v="0"/>
    <n v="26420.397120151989"/>
  </r>
  <r>
    <x v="76"/>
    <x v="4"/>
    <x v="38"/>
    <x v="0"/>
    <x v="5"/>
    <x v="690"/>
    <x v="25"/>
    <s v="POS"/>
    <n v="0.1"/>
    <n v="650"/>
    <n v="65"/>
    <n v="0"/>
    <m/>
    <m/>
    <m/>
    <m/>
    <n v="0"/>
    <n v="0"/>
    <n v="26420.397120151989"/>
  </r>
  <r>
    <x v="76"/>
    <x v="4"/>
    <x v="88"/>
    <x v="0"/>
    <x v="5"/>
    <x v="690"/>
    <x v="25"/>
    <s v="POS"/>
    <n v="0.05"/>
    <n v="1200"/>
    <n v="60"/>
    <n v="0"/>
    <m/>
    <m/>
    <m/>
    <m/>
    <n v="0"/>
    <n v="0"/>
    <n v="26420.397120151989"/>
  </r>
  <r>
    <x v="76"/>
    <x v="4"/>
    <x v="161"/>
    <x v="0"/>
    <x v="5"/>
    <x v="690"/>
    <x v="25"/>
    <s v="POS"/>
    <n v="0.11351351351351352"/>
    <n v="370"/>
    <n v="42"/>
    <n v="0"/>
    <m/>
    <m/>
    <m/>
    <m/>
    <n v="0"/>
    <n v="0"/>
    <n v="26420.397120151989"/>
  </r>
  <r>
    <x v="76"/>
    <x v="4"/>
    <x v="157"/>
    <x v="0"/>
    <x v="5"/>
    <x v="690"/>
    <x v="25"/>
    <s v="POS"/>
    <n v="0.5"/>
    <n v="140"/>
    <n v="70"/>
    <n v="0"/>
    <m/>
    <m/>
    <m/>
    <m/>
    <n v="0"/>
    <n v="0"/>
    <n v="26420.397120151989"/>
  </r>
  <r>
    <x v="76"/>
    <x v="4"/>
    <x v="280"/>
    <x v="0"/>
    <x v="1"/>
    <x v="691"/>
    <x v="25"/>
    <s v="NAKİT"/>
    <n v="0.5"/>
    <n v="60"/>
    <n v="0"/>
    <n v="0"/>
    <m/>
    <m/>
    <m/>
    <m/>
    <n v="30"/>
    <n v="0"/>
    <n v="26450.397120151989"/>
  </r>
  <r>
    <x v="76"/>
    <x v="4"/>
    <x v="85"/>
    <x v="0"/>
    <x v="1"/>
    <x v="692"/>
    <x v="25"/>
    <s v="NAKİT"/>
    <n v="3"/>
    <n v="300"/>
    <n v="0"/>
    <n v="0"/>
    <m/>
    <m/>
    <m/>
    <m/>
    <n v="900"/>
    <n v="0"/>
    <n v="27350.397120151989"/>
  </r>
  <r>
    <x v="76"/>
    <x v="4"/>
    <x v="119"/>
    <x v="0"/>
    <x v="5"/>
    <x v="693"/>
    <x v="25"/>
    <s v="POS"/>
    <n v="0.23076923076923078"/>
    <n v="650"/>
    <n v="150"/>
    <n v="0"/>
    <m/>
    <m/>
    <m/>
    <m/>
    <n v="0"/>
    <n v="0"/>
    <n v="27350.397120151989"/>
  </r>
  <r>
    <x v="76"/>
    <x v="4"/>
    <x v="83"/>
    <x v="0"/>
    <x v="5"/>
    <x v="693"/>
    <x v="25"/>
    <s v="POS"/>
    <n v="0.05"/>
    <n v="2600"/>
    <n v="130"/>
    <n v="0"/>
    <m/>
    <m/>
    <m/>
    <m/>
    <n v="0"/>
    <n v="0"/>
    <n v="27350.397120151989"/>
  </r>
  <r>
    <x v="76"/>
    <x v="4"/>
    <x v="127"/>
    <x v="0"/>
    <x v="5"/>
    <x v="693"/>
    <x v="25"/>
    <s v="POS"/>
    <n v="0.37462686567164177"/>
    <n v="670"/>
    <n v="251"/>
    <n v="0"/>
    <m/>
    <m/>
    <m/>
    <m/>
    <n v="0"/>
    <n v="0"/>
    <n v="27350.397120151989"/>
  </r>
  <r>
    <x v="76"/>
    <x v="4"/>
    <x v="141"/>
    <x v="0"/>
    <x v="5"/>
    <x v="693"/>
    <x v="25"/>
    <s v="POS"/>
    <n v="1"/>
    <n v="140"/>
    <n v="140"/>
    <n v="0"/>
    <m/>
    <m/>
    <m/>
    <m/>
    <n v="0"/>
    <n v="0"/>
    <n v="27350.397120151989"/>
  </r>
  <r>
    <x v="76"/>
    <x v="4"/>
    <x v="238"/>
    <x v="0"/>
    <x v="5"/>
    <x v="693"/>
    <x v="25"/>
    <s v="POS"/>
    <n v="0.41764705882352943"/>
    <n v="340"/>
    <n v="142"/>
    <n v="0"/>
    <m/>
    <m/>
    <m/>
    <m/>
    <n v="0"/>
    <n v="0"/>
    <n v="27350.397120151989"/>
  </r>
  <r>
    <x v="76"/>
    <x v="4"/>
    <x v="76"/>
    <x v="0"/>
    <x v="5"/>
    <x v="693"/>
    <x v="25"/>
    <s v="POS"/>
    <n v="0.5"/>
    <n v="80"/>
    <n v="40"/>
    <n v="0"/>
    <m/>
    <m/>
    <m/>
    <m/>
    <n v="0"/>
    <n v="0"/>
    <n v="27350.397120151989"/>
  </r>
  <r>
    <x v="76"/>
    <x v="4"/>
    <x v="269"/>
    <x v="0"/>
    <x v="5"/>
    <x v="693"/>
    <x v="25"/>
    <s v="POS"/>
    <n v="1"/>
    <n v="110"/>
    <n v="110"/>
    <n v="0"/>
    <m/>
    <m/>
    <m/>
    <m/>
    <n v="0"/>
    <n v="0"/>
    <n v="27350.397120151989"/>
  </r>
  <r>
    <x v="76"/>
    <x v="4"/>
    <x v="263"/>
    <x v="0"/>
    <x v="5"/>
    <x v="693"/>
    <x v="25"/>
    <s v="POS"/>
    <n v="1"/>
    <n v="145"/>
    <n v="145"/>
    <n v="0"/>
    <m/>
    <m/>
    <m/>
    <m/>
    <n v="0"/>
    <n v="0"/>
    <n v="27350.397120151989"/>
  </r>
  <r>
    <x v="76"/>
    <x v="10"/>
    <x v="0"/>
    <x v="0"/>
    <x v="5"/>
    <x v="2"/>
    <x v="63"/>
    <s v="POS"/>
    <n v="1"/>
    <n v="150"/>
    <n v="0"/>
    <n v="150"/>
    <n v="330"/>
    <m/>
    <m/>
    <m/>
    <n v="150"/>
    <n v="0"/>
    <n v="27500.397120151989"/>
  </r>
  <r>
    <x v="76"/>
    <x v="10"/>
    <x v="0"/>
    <x v="0"/>
    <x v="5"/>
    <x v="2"/>
    <x v="63"/>
    <s v="POS"/>
    <n v="1"/>
    <n v="901"/>
    <n v="0"/>
    <n v="901"/>
    <n v="330"/>
    <m/>
    <m/>
    <m/>
    <n v="901"/>
    <n v="0"/>
    <n v="28401.397120151989"/>
  </r>
  <r>
    <x v="77"/>
    <x v="4"/>
    <x v="208"/>
    <x v="0"/>
    <x v="1"/>
    <x v="694"/>
    <x v="25"/>
    <s v="NAKİT"/>
    <n v="1"/>
    <n v="290"/>
    <n v="0"/>
    <n v="0"/>
    <m/>
    <m/>
    <m/>
    <m/>
    <n v="290"/>
    <n v="0"/>
    <n v="28691.397120151989"/>
  </r>
  <r>
    <x v="77"/>
    <x v="4"/>
    <x v="280"/>
    <x v="0"/>
    <x v="5"/>
    <x v="695"/>
    <x v="25"/>
    <s v="POS"/>
    <n v="1"/>
    <n v="60"/>
    <n v="60"/>
    <n v="0"/>
    <m/>
    <m/>
    <m/>
    <m/>
    <n v="0"/>
    <n v="0"/>
    <n v="28691.397120151989"/>
  </r>
  <r>
    <x v="77"/>
    <x v="4"/>
    <x v="32"/>
    <x v="0"/>
    <x v="5"/>
    <x v="696"/>
    <x v="25"/>
    <s v="POS"/>
    <n v="0.27567567567567569"/>
    <n v="370"/>
    <n v="102"/>
    <n v="0"/>
    <m/>
    <m/>
    <m/>
    <m/>
    <n v="0"/>
    <n v="0"/>
    <n v="28691.397120151989"/>
  </r>
  <r>
    <x v="77"/>
    <x v="4"/>
    <x v="142"/>
    <x v="0"/>
    <x v="5"/>
    <x v="696"/>
    <x v="25"/>
    <s v="POS"/>
    <n v="0.46800000000000003"/>
    <n v="250"/>
    <n v="117"/>
    <n v="0"/>
    <m/>
    <m/>
    <m/>
    <m/>
    <n v="0"/>
    <n v="0"/>
    <n v="28691.397120151989"/>
  </r>
  <r>
    <x v="77"/>
    <x v="4"/>
    <x v="78"/>
    <x v="0"/>
    <x v="5"/>
    <x v="697"/>
    <x v="25"/>
    <s v="POS"/>
    <n v="7.571428571428572E-2"/>
    <n v="1400"/>
    <n v="106.00000000000001"/>
    <n v="0"/>
    <m/>
    <m/>
    <m/>
    <m/>
    <n v="0"/>
    <n v="0"/>
    <n v="28691.397120151989"/>
  </r>
  <r>
    <x v="77"/>
    <x v="4"/>
    <x v="239"/>
    <x v="0"/>
    <x v="5"/>
    <x v="698"/>
    <x v="25"/>
    <s v="POS"/>
    <n v="0.25"/>
    <n v="400"/>
    <n v="100"/>
    <n v="0"/>
    <m/>
    <m/>
    <m/>
    <m/>
    <n v="0"/>
    <n v="0"/>
    <n v="28691.397120151989"/>
  </r>
  <r>
    <x v="77"/>
    <x v="4"/>
    <x v="10"/>
    <x v="0"/>
    <x v="1"/>
    <x v="699"/>
    <x v="25"/>
    <s v="NAKİT"/>
    <n v="1"/>
    <n v="170"/>
    <n v="0"/>
    <n v="0"/>
    <m/>
    <m/>
    <m/>
    <m/>
    <n v="170"/>
    <n v="0"/>
    <n v="28861.397120151989"/>
  </r>
  <r>
    <x v="77"/>
    <x v="4"/>
    <x v="206"/>
    <x v="0"/>
    <x v="1"/>
    <x v="699"/>
    <x v="25"/>
    <s v="NAKİT"/>
    <n v="1"/>
    <n v="350"/>
    <n v="0"/>
    <n v="0"/>
    <m/>
    <m/>
    <m/>
    <m/>
    <n v="350"/>
    <n v="0"/>
    <n v="29211.397120151989"/>
  </r>
  <r>
    <x v="77"/>
    <x v="4"/>
    <x v="66"/>
    <x v="0"/>
    <x v="1"/>
    <x v="700"/>
    <x v="25"/>
    <s v="NAKİT"/>
    <n v="0.12"/>
    <n v="417"/>
    <n v="0"/>
    <n v="0"/>
    <m/>
    <m/>
    <m/>
    <m/>
    <n v="50.04"/>
    <n v="0"/>
    <n v="29261.43712015199"/>
  </r>
  <r>
    <x v="77"/>
    <x v="4"/>
    <x v="58"/>
    <x v="0"/>
    <x v="1"/>
    <x v="701"/>
    <x v="25"/>
    <s v="NAKİT"/>
    <n v="1"/>
    <n v="230"/>
    <n v="0"/>
    <n v="0"/>
    <m/>
    <m/>
    <m/>
    <m/>
    <n v="230"/>
    <n v="0"/>
    <n v="29491.43712015199"/>
  </r>
  <r>
    <x v="77"/>
    <x v="4"/>
    <x v="80"/>
    <x v="0"/>
    <x v="5"/>
    <x v="702"/>
    <x v="25"/>
    <s v="POS"/>
    <n v="1"/>
    <n v="250"/>
    <n v="250"/>
    <n v="0"/>
    <m/>
    <m/>
    <m/>
    <m/>
    <n v="0"/>
    <n v="0"/>
    <n v="29491.43712015199"/>
  </r>
  <r>
    <x v="77"/>
    <x v="4"/>
    <x v="61"/>
    <x v="0"/>
    <x v="5"/>
    <x v="703"/>
    <x v="25"/>
    <s v="POS"/>
    <n v="0.12987012987012986"/>
    <n v="770"/>
    <n v="99.999999999999986"/>
    <n v="0"/>
    <m/>
    <m/>
    <m/>
    <m/>
    <n v="0"/>
    <n v="0"/>
    <n v="29491.43712015199"/>
  </r>
  <r>
    <x v="77"/>
    <x v="4"/>
    <x v="15"/>
    <x v="0"/>
    <x v="5"/>
    <x v="703"/>
    <x v="25"/>
    <s v="POS"/>
    <n v="0.41666666666666669"/>
    <n v="240"/>
    <n v="100"/>
    <n v="0"/>
    <m/>
    <m/>
    <m/>
    <m/>
    <n v="0"/>
    <n v="0"/>
    <n v="29491.43712015199"/>
  </r>
  <r>
    <x v="77"/>
    <x v="4"/>
    <x v="286"/>
    <x v="0"/>
    <x v="5"/>
    <x v="704"/>
    <x v="25"/>
    <s v="POS"/>
    <n v="1.6307692307692307"/>
    <n v="65"/>
    <n v="106"/>
    <n v="0"/>
    <m/>
    <m/>
    <m/>
    <m/>
    <n v="0"/>
    <n v="0"/>
    <n v="29491.43712015199"/>
  </r>
  <r>
    <x v="77"/>
    <x v="4"/>
    <x v="249"/>
    <x v="0"/>
    <x v="5"/>
    <x v="704"/>
    <x v="25"/>
    <s v="POS"/>
    <n v="1"/>
    <n v="125"/>
    <n v="125"/>
    <n v="0"/>
    <m/>
    <m/>
    <m/>
    <m/>
    <n v="0"/>
    <n v="0"/>
    <n v="29491.43712015199"/>
  </r>
  <r>
    <x v="77"/>
    <x v="4"/>
    <x v="161"/>
    <x v="0"/>
    <x v="1"/>
    <x v="705"/>
    <x v="35"/>
    <s v="NAKİT"/>
    <n v="0.63492063492063489"/>
    <n v="315"/>
    <n v="0"/>
    <n v="0"/>
    <m/>
    <m/>
    <m/>
    <m/>
    <n v="200"/>
    <n v="0"/>
    <n v="29691.43712015199"/>
  </r>
  <r>
    <x v="77"/>
    <x v="4"/>
    <x v="25"/>
    <x v="0"/>
    <x v="1"/>
    <x v="705"/>
    <x v="35"/>
    <s v="NAKİT"/>
    <n v="0.98039215686274506"/>
    <n v="255"/>
    <n v="0"/>
    <n v="0"/>
    <m/>
    <m/>
    <m/>
    <m/>
    <n v="250"/>
    <n v="0"/>
    <n v="29941.43712015199"/>
  </r>
  <r>
    <x v="77"/>
    <x v="4"/>
    <x v="129"/>
    <x v="0"/>
    <x v="5"/>
    <x v="706"/>
    <x v="25"/>
    <s v="POS"/>
    <n v="0.41399999999999998"/>
    <n v="240"/>
    <n v="99.36"/>
    <n v="0"/>
    <m/>
    <m/>
    <m/>
    <m/>
    <n v="0"/>
    <n v="0"/>
    <n v="29941.43712015199"/>
  </r>
  <r>
    <x v="77"/>
    <x v="4"/>
    <x v="122"/>
    <x v="0"/>
    <x v="5"/>
    <x v="706"/>
    <x v="25"/>
    <s v="POS"/>
    <n v="0.51600000000000001"/>
    <n v="1200"/>
    <n v="619.20000000000005"/>
    <n v="0"/>
    <m/>
    <m/>
    <m/>
    <m/>
    <n v="0"/>
    <n v="0"/>
    <n v="29941.43712015199"/>
  </r>
  <r>
    <x v="77"/>
    <x v="4"/>
    <x v="120"/>
    <x v="0"/>
    <x v="5"/>
    <x v="706"/>
    <x v="25"/>
    <s v="POS"/>
    <n v="0.23200000000000001"/>
    <n v="650"/>
    <n v="150.80000000000001"/>
    <n v="0"/>
    <m/>
    <m/>
    <m/>
    <m/>
    <n v="0"/>
    <n v="0"/>
    <n v="29941.43712015199"/>
  </r>
  <r>
    <x v="77"/>
    <x v="4"/>
    <x v="242"/>
    <x v="0"/>
    <x v="5"/>
    <x v="706"/>
    <x v="25"/>
    <s v="POS"/>
    <n v="0.52800000000000002"/>
    <n v="195"/>
    <n v="102.96000000000001"/>
    <n v="0"/>
    <m/>
    <m/>
    <m/>
    <m/>
    <n v="0"/>
    <n v="0"/>
    <n v="29941.43712015199"/>
  </r>
  <r>
    <x v="77"/>
    <x v="4"/>
    <x v="98"/>
    <x v="0"/>
    <x v="5"/>
    <x v="706"/>
    <x v="25"/>
    <s v="POS"/>
    <n v="0.62"/>
    <n v="800"/>
    <n v="496"/>
    <n v="0"/>
    <m/>
    <m/>
    <m/>
    <m/>
    <n v="0"/>
    <n v="0"/>
    <n v="29941.43712015199"/>
  </r>
  <r>
    <x v="77"/>
    <x v="4"/>
    <x v="248"/>
    <x v="0"/>
    <x v="5"/>
    <x v="706"/>
    <x v="25"/>
    <s v="POS"/>
    <n v="0.58199999999999996"/>
    <n v="750"/>
    <n v="436.49999999999994"/>
    <n v="0"/>
    <m/>
    <m/>
    <m/>
    <m/>
    <n v="0"/>
    <n v="0"/>
    <n v="29941.43712015199"/>
  </r>
  <r>
    <x v="77"/>
    <x v="4"/>
    <x v="127"/>
    <x v="0"/>
    <x v="5"/>
    <x v="706"/>
    <x v="25"/>
    <s v="POS"/>
    <n v="0.98199999999999998"/>
    <n v="670"/>
    <n v="657.93999999999994"/>
    <n v="0"/>
    <m/>
    <m/>
    <m/>
    <m/>
    <n v="0"/>
    <n v="0"/>
    <n v="29941.43712015199"/>
  </r>
  <r>
    <x v="77"/>
    <x v="4"/>
    <x v="85"/>
    <x v="0"/>
    <x v="5"/>
    <x v="706"/>
    <x v="25"/>
    <s v="POS"/>
    <n v="0.47599999999999998"/>
    <n v="290"/>
    <n v="138.04"/>
    <n v="0"/>
    <m/>
    <m/>
    <m/>
    <m/>
    <n v="0"/>
    <n v="0"/>
    <n v="29941.43712015199"/>
  </r>
  <r>
    <x v="77"/>
    <x v="4"/>
    <x v="278"/>
    <x v="0"/>
    <x v="5"/>
    <x v="706"/>
    <x v="25"/>
    <s v="POS"/>
    <n v="1"/>
    <n v="160"/>
    <n v="160"/>
    <n v="0"/>
    <m/>
    <m/>
    <m/>
    <m/>
    <n v="0"/>
    <n v="0"/>
    <n v="29941.43712015199"/>
  </r>
  <r>
    <x v="77"/>
    <x v="4"/>
    <x v="246"/>
    <x v="0"/>
    <x v="5"/>
    <x v="706"/>
    <x v="25"/>
    <s v="POS"/>
    <n v="1"/>
    <n v="90"/>
    <n v="90"/>
    <n v="0"/>
    <m/>
    <m/>
    <m/>
    <m/>
    <n v="0"/>
    <n v="0"/>
    <n v="29941.43712015199"/>
  </r>
  <r>
    <x v="77"/>
    <x v="4"/>
    <x v="18"/>
    <x v="0"/>
    <x v="5"/>
    <x v="706"/>
    <x v="25"/>
    <s v="POS"/>
    <n v="1"/>
    <n v="260"/>
    <n v="260"/>
    <n v="0"/>
    <m/>
    <m/>
    <m/>
    <m/>
    <n v="0"/>
    <n v="0"/>
    <n v="29941.43712015199"/>
  </r>
  <r>
    <x v="77"/>
    <x v="4"/>
    <x v="58"/>
    <x v="0"/>
    <x v="5"/>
    <x v="706"/>
    <x v="25"/>
    <s v="POS"/>
    <n v="1"/>
    <n v="230"/>
    <n v="230"/>
    <n v="0"/>
    <m/>
    <m/>
    <m/>
    <m/>
    <n v="0"/>
    <n v="0"/>
    <n v="29941.43712015199"/>
  </r>
  <r>
    <x v="77"/>
    <x v="4"/>
    <x v="58"/>
    <x v="0"/>
    <x v="5"/>
    <x v="706"/>
    <x v="25"/>
    <s v="POS"/>
    <n v="1"/>
    <n v="230"/>
    <n v="230"/>
    <n v="0"/>
    <m/>
    <m/>
    <m/>
    <m/>
    <n v="0"/>
    <n v="0"/>
    <n v="29941.43712015199"/>
  </r>
  <r>
    <x v="77"/>
    <x v="4"/>
    <x v="57"/>
    <x v="0"/>
    <x v="5"/>
    <x v="706"/>
    <x v="25"/>
    <s v="POS"/>
    <n v="1"/>
    <n v="150"/>
    <n v="150"/>
    <n v="0"/>
    <m/>
    <m/>
    <m/>
    <m/>
    <n v="0"/>
    <n v="0"/>
    <n v="29941.43712015199"/>
  </r>
  <r>
    <x v="77"/>
    <x v="4"/>
    <x v="18"/>
    <x v="0"/>
    <x v="5"/>
    <x v="707"/>
    <x v="25"/>
    <s v="POS"/>
    <n v="1"/>
    <n v="220"/>
    <n v="220"/>
    <n v="0"/>
    <m/>
    <m/>
    <m/>
    <m/>
    <n v="0"/>
    <n v="0"/>
    <n v="29941.43712015199"/>
  </r>
  <r>
    <x v="77"/>
    <x v="4"/>
    <x v="20"/>
    <x v="0"/>
    <x v="5"/>
    <x v="707"/>
    <x v="25"/>
    <s v="POS"/>
    <n v="1"/>
    <n v="200"/>
    <n v="200"/>
    <n v="0"/>
    <m/>
    <m/>
    <m/>
    <m/>
    <n v="0"/>
    <n v="0"/>
    <n v="29941.43712015199"/>
  </r>
  <r>
    <x v="77"/>
    <x v="4"/>
    <x v="297"/>
    <x v="0"/>
    <x v="5"/>
    <x v="707"/>
    <x v="25"/>
    <s v="POS"/>
    <n v="1"/>
    <n v="130"/>
    <n v="130"/>
    <n v="0"/>
    <m/>
    <m/>
    <m/>
    <m/>
    <n v="0"/>
    <n v="0"/>
    <n v="29941.43712015199"/>
  </r>
  <r>
    <x v="77"/>
    <x v="4"/>
    <x v="217"/>
    <x v="0"/>
    <x v="5"/>
    <x v="707"/>
    <x v="25"/>
    <s v="POS"/>
    <n v="1"/>
    <n v="195"/>
    <n v="195"/>
    <n v="0"/>
    <m/>
    <m/>
    <m/>
    <m/>
    <n v="0"/>
    <n v="0"/>
    <n v="29941.43712015199"/>
  </r>
  <r>
    <x v="77"/>
    <x v="4"/>
    <x v="35"/>
    <x v="0"/>
    <x v="5"/>
    <x v="707"/>
    <x v="25"/>
    <s v="POS"/>
    <n v="0.25"/>
    <n v="180"/>
    <n v="45"/>
    <n v="0"/>
    <m/>
    <m/>
    <m/>
    <m/>
    <n v="0"/>
    <n v="0"/>
    <n v="29941.43712015199"/>
  </r>
  <r>
    <x v="77"/>
    <x v="4"/>
    <x v="36"/>
    <x v="0"/>
    <x v="5"/>
    <x v="707"/>
    <x v="25"/>
    <s v="POS"/>
    <n v="0.25"/>
    <n v="180"/>
    <n v="45"/>
    <n v="0"/>
    <m/>
    <m/>
    <m/>
    <m/>
    <n v="0"/>
    <n v="0"/>
    <n v="29941.43712015199"/>
  </r>
  <r>
    <x v="77"/>
    <x v="4"/>
    <x v="48"/>
    <x v="0"/>
    <x v="5"/>
    <x v="707"/>
    <x v="25"/>
    <s v="POS"/>
    <n v="0.05"/>
    <n v="1300"/>
    <n v="65"/>
    <n v="0"/>
    <m/>
    <m/>
    <m/>
    <m/>
    <n v="0"/>
    <n v="0"/>
    <n v="29941.43712015199"/>
  </r>
  <r>
    <x v="77"/>
    <x v="3"/>
    <x v="312"/>
    <x v="0"/>
    <x v="2"/>
    <x v="2"/>
    <x v="88"/>
    <s v="K.K."/>
    <n v="20.75"/>
    <n v="209.64"/>
    <n v="0"/>
    <n v="4350.03"/>
    <m/>
    <m/>
    <m/>
    <m/>
    <n v="0"/>
    <n v="0"/>
    <n v="29941.43712015199"/>
  </r>
  <r>
    <x v="77"/>
    <x v="7"/>
    <x v="0"/>
    <x v="0"/>
    <x v="3"/>
    <x v="2"/>
    <x v="77"/>
    <s v="NAKİT"/>
    <n v="1"/>
    <n v="0"/>
    <n v="15000"/>
    <n v="0"/>
    <m/>
    <m/>
    <m/>
    <m/>
    <n v="0"/>
    <n v="15000"/>
    <n v="14941.43712015199"/>
  </r>
  <r>
    <x v="77"/>
    <x v="7"/>
    <x v="0"/>
    <x v="0"/>
    <x v="3"/>
    <x v="2"/>
    <x v="77"/>
    <s v="NAKİT"/>
    <n v="1"/>
    <n v="0"/>
    <n v="10000"/>
    <n v="0"/>
    <m/>
    <m/>
    <m/>
    <m/>
    <n v="0"/>
    <n v="10000"/>
    <n v="4941.4371201519898"/>
  </r>
  <r>
    <x v="77"/>
    <x v="10"/>
    <x v="0"/>
    <x v="0"/>
    <x v="5"/>
    <x v="2"/>
    <x v="63"/>
    <s v="POS"/>
    <n v="1"/>
    <n v="1185"/>
    <n v="0"/>
    <n v="1185"/>
    <n v="330"/>
    <m/>
    <m/>
    <m/>
    <n v="1185"/>
    <n v="0"/>
    <n v="6126.4371201519898"/>
  </r>
  <r>
    <x v="77"/>
    <x v="10"/>
    <x v="0"/>
    <x v="0"/>
    <x v="5"/>
    <x v="2"/>
    <x v="63"/>
    <s v="POS"/>
    <n v="1"/>
    <n v="1"/>
    <n v="0"/>
    <n v="1000"/>
    <m/>
    <m/>
    <m/>
    <m/>
    <n v="1000"/>
    <n v="0"/>
    <n v="7126.4371201519898"/>
  </r>
  <r>
    <x v="78"/>
    <x v="3"/>
    <x v="313"/>
    <x v="0"/>
    <x v="8"/>
    <x v="708"/>
    <x v="65"/>
    <s v="CARİ"/>
    <n v="12"/>
    <n v="81"/>
    <n v="0"/>
    <n v="972"/>
    <m/>
    <m/>
    <m/>
    <m/>
    <n v="0"/>
    <n v="0"/>
    <n v="7126.4371201519898"/>
  </r>
  <r>
    <x v="78"/>
    <x v="3"/>
    <x v="314"/>
    <x v="0"/>
    <x v="8"/>
    <x v="708"/>
    <x v="65"/>
    <s v="CARİ"/>
    <n v="36"/>
    <n v="81"/>
    <n v="0"/>
    <n v="2916"/>
    <m/>
    <m/>
    <m/>
    <m/>
    <n v="0"/>
    <n v="0"/>
    <n v="7126.4371201519898"/>
  </r>
  <r>
    <x v="78"/>
    <x v="3"/>
    <x v="315"/>
    <x v="0"/>
    <x v="8"/>
    <x v="708"/>
    <x v="65"/>
    <s v="CARİ"/>
    <n v="36"/>
    <n v="126"/>
    <n v="0"/>
    <n v="4536"/>
    <m/>
    <m/>
    <m/>
    <m/>
    <n v="0"/>
    <n v="0"/>
    <n v="7126.4371201519898"/>
  </r>
  <r>
    <x v="78"/>
    <x v="3"/>
    <x v="316"/>
    <x v="0"/>
    <x v="8"/>
    <x v="708"/>
    <x v="65"/>
    <s v="CARİ"/>
    <n v="12"/>
    <n v="108"/>
    <n v="0"/>
    <n v="1296"/>
    <m/>
    <m/>
    <m/>
    <m/>
    <n v="0"/>
    <n v="0"/>
    <n v="7126.4371201519898"/>
  </r>
  <r>
    <x v="78"/>
    <x v="3"/>
    <x v="258"/>
    <x v="0"/>
    <x v="8"/>
    <x v="708"/>
    <x v="65"/>
    <s v="CARİ"/>
    <n v="12"/>
    <n v="60"/>
    <n v="0"/>
    <n v="720"/>
    <m/>
    <m/>
    <m/>
    <m/>
    <n v="0"/>
    <n v="0"/>
    <n v="7126.4371201519898"/>
  </r>
  <r>
    <x v="78"/>
    <x v="3"/>
    <x v="260"/>
    <x v="0"/>
    <x v="8"/>
    <x v="708"/>
    <x v="65"/>
    <s v="CARİ"/>
    <n v="12"/>
    <n v="75"/>
    <n v="0"/>
    <n v="900"/>
    <m/>
    <m/>
    <m/>
    <m/>
    <n v="0"/>
    <n v="0"/>
    <n v="7126.4371201519898"/>
  </r>
  <r>
    <x v="78"/>
    <x v="3"/>
    <x v="261"/>
    <x v="0"/>
    <x v="8"/>
    <x v="708"/>
    <x v="65"/>
    <s v="CARİ"/>
    <n v="12"/>
    <n v="54"/>
    <n v="0"/>
    <n v="648"/>
    <m/>
    <m/>
    <m/>
    <m/>
    <n v="0"/>
    <n v="0"/>
    <n v="7126.4371201519898"/>
  </r>
  <r>
    <x v="78"/>
    <x v="3"/>
    <x v="257"/>
    <x v="0"/>
    <x v="8"/>
    <x v="708"/>
    <x v="65"/>
    <s v="CARİ"/>
    <n v="12"/>
    <n v="82.5"/>
    <n v="0"/>
    <n v="990"/>
    <m/>
    <m/>
    <m/>
    <m/>
    <n v="0"/>
    <n v="0"/>
    <n v="7126.4371201519898"/>
  </r>
  <r>
    <x v="78"/>
    <x v="3"/>
    <x v="263"/>
    <x v="0"/>
    <x v="8"/>
    <x v="708"/>
    <x v="65"/>
    <s v="CARİ"/>
    <n v="12"/>
    <n v="60"/>
    <n v="0"/>
    <n v="720"/>
    <m/>
    <m/>
    <m/>
    <m/>
    <n v="0"/>
    <n v="0"/>
    <n v="7126.4371201519898"/>
  </r>
  <r>
    <x v="78"/>
    <x v="4"/>
    <x v="75"/>
    <x v="0"/>
    <x v="1"/>
    <x v="709"/>
    <x v="25"/>
    <s v="NAKİT"/>
    <n v="0.25"/>
    <n v="800"/>
    <n v="0"/>
    <n v="0"/>
    <m/>
    <m/>
    <m/>
    <m/>
    <n v="200"/>
    <n v="0"/>
    <n v="7326.4371201519898"/>
  </r>
  <r>
    <x v="78"/>
    <x v="4"/>
    <x v="38"/>
    <x v="0"/>
    <x v="1"/>
    <x v="709"/>
    <x v="25"/>
    <s v="NAKİT"/>
    <n v="0.1"/>
    <n v="500"/>
    <n v="0"/>
    <n v="0"/>
    <m/>
    <m/>
    <m/>
    <m/>
    <n v="50"/>
    <n v="0"/>
    <n v="7376.4371201519898"/>
  </r>
  <r>
    <x v="78"/>
    <x v="4"/>
    <x v="75"/>
    <x v="0"/>
    <x v="5"/>
    <x v="710"/>
    <x v="25"/>
    <s v="POS"/>
    <n v="0.23749999999999999"/>
    <n v="800"/>
    <n v="190"/>
    <n v="0"/>
    <m/>
    <m/>
    <m/>
    <m/>
    <n v="0"/>
    <n v="0"/>
    <n v="7376.4371201519898"/>
  </r>
  <r>
    <x v="78"/>
    <x v="4"/>
    <x v="273"/>
    <x v="0"/>
    <x v="5"/>
    <x v="710"/>
    <x v="25"/>
    <s v="POS"/>
    <n v="0.25"/>
    <n v="360"/>
    <n v="90"/>
    <n v="0"/>
    <m/>
    <m/>
    <m/>
    <m/>
    <n v="0"/>
    <n v="0"/>
    <n v="7376.4371201519898"/>
  </r>
  <r>
    <x v="78"/>
    <x v="4"/>
    <x v="97"/>
    <x v="0"/>
    <x v="1"/>
    <x v="711"/>
    <x v="25"/>
    <s v="NAKİT"/>
    <n v="0.48799999999999999"/>
    <n v="600"/>
    <n v="0"/>
    <n v="0"/>
    <m/>
    <m/>
    <m/>
    <m/>
    <n v="292.8"/>
    <n v="0"/>
    <n v="7669.23712015199"/>
  </r>
  <r>
    <x v="78"/>
    <x v="4"/>
    <x v="212"/>
    <x v="0"/>
    <x v="1"/>
    <x v="711"/>
    <x v="25"/>
    <s v="NAKİT"/>
    <n v="0.29399999999999998"/>
    <n v="550"/>
    <n v="0"/>
    <n v="0"/>
    <m/>
    <m/>
    <m/>
    <m/>
    <n v="161.69999999999999"/>
    <n v="0"/>
    <n v="7830.9371201519898"/>
  </r>
  <r>
    <x v="78"/>
    <x v="4"/>
    <x v="60"/>
    <x v="0"/>
    <x v="1"/>
    <x v="711"/>
    <x v="25"/>
    <s v="NAKİT"/>
    <n v="0.1"/>
    <n v="250"/>
    <n v="0"/>
    <n v="0"/>
    <m/>
    <m/>
    <m/>
    <m/>
    <n v="25"/>
    <n v="0"/>
    <n v="7855.9371201519898"/>
  </r>
  <r>
    <x v="78"/>
    <x v="4"/>
    <x v="122"/>
    <x v="0"/>
    <x v="1"/>
    <x v="711"/>
    <x v="25"/>
    <s v="NAKİT"/>
    <n v="0.25800000000000001"/>
    <n v="1200"/>
    <n v="0"/>
    <n v="0"/>
    <m/>
    <m/>
    <m/>
    <m/>
    <n v="309.60000000000002"/>
    <n v="0"/>
    <n v="8165.5371201519902"/>
  </r>
  <r>
    <x v="78"/>
    <x v="4"/>
    <x v="142"/>
    <x v="0"/>
    <x v="1"/>
    <x v="711"/>
    <x v="25"/>
    <s v="NAKİT"/>
    <n v="0.36599999999999999"/>
    <n v="250"/>
    <n v="0"/>
    <n v="0"/>
    <m/>
    <m/>
    <m/>
    <m/>
    <n v="91.5"/>
    <n v="0"/>
    <n v="8257.0371201519902"/>
  </r>
  <r>
    <x v="78"/>
    <x v="4"/>
    <x v="32"/>
    <x v="0"/>
    <x v="1"/>
    <x v="711"/>
    <x v="25"/>
    <s v="NAKİT"/>
    <n v="0.13600000000000001"/>
    <n v="370"/>
    <n v="0"/>
    <n v="0"/>
    <m/>
    <m/>
    <m/>
    <m/>
    <n v="50.32"/>
    <n v="0"/>
    <n v="8307.3571201519899"/>
  </r>
  <r>
    <x v="78"/>
    <x v="4"/>
    <x v="33"/>
    <x v="0"/>
    <x v="1"/>
    <x v="711"/>
    <x v="25"/>
    <s v="NAKİT"/>
    <n v="0.13200000000000001"/>
    <n v="380"/>
    <n v="0"/>
    <n v="0"/>
    <m/>
    <m/>
    <m/>
    <m/>
    <n v="50.160000000000004"/>
    <n v="0"/>
    <n v="8357.5171201519897"/>
  </r>
  <r>
    <x v="78"/>
    <x v="4"/>
    <x v="127"/>
    <x v="0"/>
    <x v="1"/>
    <x v="711"/>
    <x v="25"/>
    <s v="NAKİT"/>
    <n v="0.154"/>
    <n v="670"/>
    <n v="0"/>
    <n v="0"/>
    <m/>
    <m/>
    <m/>
    <m/>
    <n v="103.17999999999999"/>
    <n v="0"/>
    <n v="8460.69712015199"/>
  </r>
  <r>
    <x v="78"/>
    <x v="4"/>
    <x v="23"/>
    <x v="0"/>
    <x v="1"/>
    <x v="712"/>
    <x v="25"/>
    <s v="NAKİT"/>
    <n v="0.11700000000000001"/>
    <n v="300"/>
    <n v="0"/>
    <n v="0"/>
    <m/>
    <m/>
    <m/>
    <m/>
    <n v="35.1"/>
    <n v="0"/>
    <n v="8495.7971201519904"/>
  </r>
  <r>
    <x v="78"/>
    <x v="4"/>
    <x v="123"/>
    <x v="0"/>
    <x v="1"/>
    <x v="712"/>
    <x v="25"/>
    <s v="NAKİT"/>
    <n v="0.1"/>
    <n v="1000"/>
    <n v="0"/>
    <n v="0"/>
    <m/>
    <m/>
    <m/>
    <m/>
    <n v="100"/>
    <n v="0"/>
    <n v="8595.7971201519904"/>
  </r>
  <r>
    <x v="78"/>
    <x v="4"/>
    <x v="30"/>
    <x v="0"/>
    <x v="1"/>
    <x v="713"/>
    <x v="25"/>
    <s v="NAKİT"/>
    <n v="0.28000000000000003"/>
    <n v="500"/>
    <n v="0"/>
    <n v="0"/>
    <m/>
    <m/>
    <m/>
    <m/>
    <n v="140"/>
    <n v="0"/>
    <n v="8735.7971201519904"/>
  </r>
  <r>
    <x v="78"/>
    <x v="4"/>
    <x v="32"/>
    <x v="0"/>
    <x v="1"/>
    <x v="714"/>
    <x v="25"/>
    <s v="NAKİT"/>
    <n v="9.1999999999999998E-2"/>
    <n v="370"/>
    <n v="0"/>
    <n v="0"/>
    <m/>
    <m/>
    <m/>
    <m/>
    <n v="34.04"/>
    <n v="0"/>
    <n v="8769.8371201519913"/>
  </r>
  <r>
    <x v="78"/>
    <x v="4"/>
    <x v="28"/>
    <x v="0"/>
    <x v="1"/>
    <x v="714"/>
    <x v="25"/>
    <s v="NAKİT"/>
    <n v="0.126"/>
    <n v="500"/>
    <n v="0"/>
    <n v="0"/>
    <m/>
    <m/>
    <m/>
    <m/>
    <n v="63"/>
    <n v="0"/>
    <n v="8832.8371201519913"/>
  </r>
  <r>
    <x v="78"/>
    <x v="4"/>
    <x v="29"/>
    <x v="0"/>
    <x v="1"/>
    <x v="714"/>
    <x v="25"/>
    <s v="NAKİT"/>
    <n v="2.5999999999999999E-2"/>
    <n v="760"/>
    <n v="0"/>
    <n v="0"/>
    <m/>
    <m/>
    <m/>
    <m/>
    <n v="19.759999999999998"/>
    <n v="0"/>
    <n v="8852.5971201519915"/>
  </r>
  <r>
    <x v="78"/>
    <x v="4"/>
    <x v="69"/>
    <x v="0"/>
    <x v="1"/>
    <x v="714"/>
    <x v="25"/>
    <s v="NAKİT"/>
    <n v="5.3999999999999999E-2"/>
    <n v="1000"/>
    <n v="0"/>
    <n v="0"/>
    <m/>
    <m/>
    <m/>
    <m/>
    <n v="54"/>
    <n v="0"/>
    <n v="8906.5971201519915"/>
  </r>
  <r>
    <x v="78"/>
    <x v="4"/>
    <x v="94"/>
    <x v="0"/>
    <x v="1"/>
    <x v="714"/>
    <x v="25"/>
    <s v="NAKİT"/>
    <n v="2.4E-2"/>
    <n v="2000"/>
    <n v="0"/>
    <n v="0"/>
    <m/>
    <m/>
    <m/>
    <m/>
    <n v="48"/>
    <n v="0"/>
    <n v="8954.5971201519915"/>
  </r>
  <r>
    <x v="78"/>
    <x v="4"/>
    <x v="99"/>
    <x v="0"/>
    <x v="1"/>
    <x v="714"/>
    <x v="25"/>
    <s v="NAKİT"/>
    <n v="0.1"/>
    <n v="900"/>
    <n v="0"/>
    <n v="0"/>
    <m/>
    <m/>
    <m/>
    <m/>
    <n v="90"/>
    <n v="0"/>
    <n v="9044.5971201519915"/>
  </r>
  <r>
    <x v="78"/>
    <x v="4"/>
    <x v="114"/>
    <x v="0"/>
    <x v="1"/>
    <x v="714"/>
    <x v="25"/>
    <s v="NAKİT"/>
    <n v="9.8000000000000004E-2"/>
    <n v="420"/>
    <n v="0"/>
    <n v="0"/>
    <m/>
    <m/>
    <m/>
    <m/>
    <n v="41.160000000000004"/>
    <n v="0"/>
    <n v="9085.7571201519913"/>
  </r>
  <r>
    <x v="78"/>
    <x v="4"/>
    <x v="89"/>
    <x v="0"/>
    <x v="1"/>
    <x v="714"/>
    <x v="25"/>
    <s v="NAKİT"/>
    <n v="0.122"/>
    <n v="900"/>
    <n v="0"/>
    <n v="0"/>
    <m/>
    <m/>
    <m/>
    <m/>
    <n v="109.8"/>
    <n v="0"/>
    <n v="9195.5571201519906"/>
  </r>
  <r>
    <x v="78"/>
    <x v="4"/>
    <x v="292"/>
    <x v="0"/>
    <x v="1"/>
    <x v="714"/>
    <x v="25"/>
    <s v="NAKİT"/>
    <n v="1"/>
    <n v="350"/>
    <n v="0"/>
    <n v="0"/>
    <m/>
    <m/>
    <m/>
    <m/>
    <n v="350"/>
    <n v="0"/>
    <n v="9545.5571201519906"/>
  </r>
  <r>
    <x v="78"/>
    <x v="4"/>
    <x v="49"/>
    <x v="0"/>
    <x v="1"/>
    <x v="714"/>
    <x v="25"/>
    <s v="NAKİT"/>
    <n v="0.1"/>
    <n v="600"/>
    <n v="0"/>
    <n v="0"/>
    <m/>
    <m/>
    <m/>
    <m/>
    <n v="60"/>
    <n v="0"/>
    <n v="9605.5571201519906"/>
  </r>
  <r>
    <x v="78"/>
    <x v="4"/>
    <x v="245"/>
    <x v="0"/>
    <x v="1"/>
    <x v="714"/>
    <x v="25"/>
    <s v="NAKİT"/>
    <n v="1"/>
    <n v="90"/>
    <n v="0"/>
    <n v="0"/>
    <m/>
    <m/>
    <m/>
    <m/>
    <n v="90"/>
    <n v="0"/>
    <n v="9695.5571201519906"/>
  </r>
  <r>
    <x v="78"/>
    <x v="4"/>
    <x v="296"/>
    <x v="0"/>
    <x v="1"/>
    <x v="714"/>
    <x v="25"/>
    <s v="NAKİT"/>
    <n v="1"/>
    <n v="135"/>
    <n v="0"/>
    <n v="0"/>
    <m/>
    <m/>
    <m/>
    <m/>
    <n v="135"/>
    <n v="0"/>
    <n v="9830.5571201519906"/>
  </r>
  <r>
    <x v="78"/>
    <x v="4"/>
    <x v="39"/>
    <x v="0"/>
    <x v="1"/>
    <x v="714"/>
    <x v="25"/>
    <s v="NAKİT"/>
    <n v="0.08"/>
    <n v="475"/>
    <n v="0"/>
    <n v="0"/>
    <m/>
    <m/>
    <m/>
    <m/>
    <n v="38"/>
    <n v="0"/>
    <n v="9868.5571201519906"/>
  </r>
  <r>
    <x v="78"/>
    <x v="4"/>
    <x v="113"/>
    <x v="0"/>
    <x v="1"/>
    <x v="714"/>
    <x v="25"/>
    <s v="NAKİT"/>
    <n v="0.1"/>
    <n v="1350"/>
    <n v="0"/>
    <n v="0"/>
    <m/>
    <m/>
    <m/>
    <m/>
    <n v="135"/>
    <n v="0"/>
    <n v="10003.557120151991"/>
  </r>
  <r>
    <x v="78"/>
    <x v="4"/>
    <x v="47"/>
    <x v="0"/>
    <x v="1"/>
    <x v="714"/>
    <x v="25"/>
    <s v="NAKİT"/>
    <n v="5.1999999999999998E-2"/>
    <n v="400"/>
    <n v="0"/>
    <n v="0"/>
    <m/>
    <m/>
    <m/>
    <m/>
    <n v="20.8"/>
    <n v="0"/>
    <n v="10024.35712015199"/>
  </r>
  <r>
    <x v="78"/>
    <x v="4"/>
    <x v="217"/>
    <x v="0"/>
    <x v="1"/>
    <x v="714"/>
    <x v="25"/>
    <s v="NAKİT"/>
    <n v="1"/>
    <n v="220"/>
    <n v="0"/>
    <n v="0"/>
    <m/>
    <m/>
    <m/>
    <m/>
    <n v="220"/>
    <n v="0"/>
    <n v="10244.35712015199"/>
  </r>
  <r>
    <x v="78"/>
    <x v="4"/>
    <x v="0"/>
    <x v="0"/>
    <x v="1"/>
    <x v="714"/>
    <x v="25"/>
    <s v="NAKİT"/>
    <n v="1"/>
    <n v="300"/>
    <n v="0"/>
    <n v="0"/>
    <m/>
    <m/>
    <m/>
    <m/>
    <n v="300"/>
    <n v="0"/>
    <n v="10544.35712015199"/>
  </r>
  <r>
    <x v="78"/>
    <x v="4"/>
    <x v="108"/>
    <x v="0"/>
    <x v="5"/>
    <x v="715"/>
    <x v="25"/>
    <s v="POS"/>
    <n v="1"/>
    <n v="190"/>
    <n v="190"/>
    <n v="0"/>
    <m/>
    <m/>
    <m/>
    <m/>
    <n v="0"/>
    <n v="0"/>
    <n v="10544.35712015199"/>
  </r>
  <r>
    <x v="78"/>
    <x v="4"/>
    <x v="28"/>
    <x v="0"/>
    <x v="5"/>
    <x v="715"/>
    <x v="25"/>
    <s v="POS"/>
    <n v="0.13800000000000001"/>
    <n v="500"/>
    <n v="69"/>
    <n v="0"/>
    <m/>
    <m/>
    <m/>
    <m/>
    <n v="0"/>
    <n v="0"/>
    <n v="10544.35712015199"/>
  </r>
  <r>
    <x v="78"/>
    <x v="4"/>
    <x v="22"/>
    <x v="0"/>
    <x v="5"/>
    <x v="715"/>
    <x v="25"/>
    <s v="POS"/>
    <n v="7.8E-2"/>
    <n v="400"/>
    <n v="31.2"/>
    <n v="0"/>
    <m/>
    <m/>
    <m/>
    <m/>
    <n v="0"/>
    <n v="0"/>
    <n v="10544.35712015199"/>
  </r>
  <r>
    <x v="78"/>
    <x v="4"/>
    <x v="45"/>
    <x v="0"/>
    <x v="5"/>
    <x v="716"/>
    <x v="25"/>
    <s v="POS"/>
    <n v="1"/>
    <n v="65"/>
    <n v="65"/>
    <n v="0"/>
    <m/>
    <m/>
    <m/>
    <m/>
    <n v="0"/>
    <n v="0"/>
    <n v="10544.35712015199"/>
  </r>
  <r>
    <x v="78"/>
    <x v="4"/>
    <x v="281"/>
    <x v="0"/>
    <x v="1"/>
    <x v="717"/>
    <x v="25"/>
    <s v="NAKİT"/>
    <n v="1"/>
    <n v="170"/>
    <n v="0"/>
    <n v="0"/>
    <m/>
    <m/>
    <m/>
    <m/>
    <n v="170"/>
    <n v="0"/>
    <n v="10714.35712015199"/>
  </r>
  <r>
    <x v="78"/>
    <x v="2"/>
    <x v="0"/>
    <x v="4"/>
    <x v="2"/>
    <x v="2"/>
    <x v="86"/>
    <s v="K.K."/>
    <n v="12"/>
    <n v="125"/>
    <n v="0"/>
    <n v="1500"/>
    <m/>
    <m/>
    <m/>
    <m/>
    <n v="0"/>
    <n v="0"/>
    <n v="10714.35712015199"/>
  </r>
  <r>
    <x v="78"/>
    <x v="10"/>
    <x v="0"/>
    <x v="0"/>
    <x v="5"/>
    <x v="2"/>
    <x v="63"/>
    <s v="POS"/>
    <n v="1"/>
    <n v="450"/>
    <n v="0"/>
    <n v="450"/>
    <n v="330"/>
    <m/>
    <m/>
    <m/>
    <n v="450"/>
    <n v="0"/>
    <n v="11164.35712015199"/>
  </r>
  <r>
    <x v="79"/>
    <x v="10"/>
    <x v="0"/>
    <x v="0"/>
    <x v="5"/>
    <x v="2"/>
    <x v="63"/>
    <s v="POS"/>
    <n v="1"/>
    <n v="2992"/>
    <n v="0"/>
    <n v="2992"/>
    <n v="330"/>
    <m/>
    <m/>
    <m/>
    <n v="2992"/>
    <n v="0"/>
    <n v="14156.35712015199"/>
  </r>
  <r>
    <x v="80"/>
    <x v="3"/>
    <x v="317"/>
    <x v="0"/>
    <x v="2"/>
    <x v="718"/>
    <x v="89"/>
    <s v="K.K."/>
    <n v="5"/>
    <n v="118.8"/>
    <n v="0"/>
    <n v="594"/>
    <m/>
    <m/>
    <m/>
    <m/>
    <n v="0"/>
    <n v="0"/>
    <n v="14156.35712015199"/>
  </r>
  <r>
    <x v="80"/>
    <x v="3"/>
    <x v="318"/>
    <x v="0"/>
    <x v="2"/>
    <x v="718"/>
    <x v="89"/>
    <s v="K.K."/>
    <n v="5"/>
    <n v="118.8"/>
    <n v="0"/>
    <n v="594"/>
    <m/>
    <m/>
    <m/>
    <m/>
    <n v="0"/>
    <n v="0"/>
    <n v="14156.35712015199"/>
  </r>
  <r>
    <x v="80"/>
    <x v="3"/>
    <x v="319"/>
    <x v="0"/>
    <x v="2"/>
    <x v="718"/>
    <x v="89"/>
    <s v="K.K."/>
    <n v="3"/>
    <n v="118.8"/>
    <n v="0"/>
    <n v="356.4"/>
    <m/>
    <m/>
    <m/>
    <m/>
    <n v="0"/>
    <n v="0"/>
    <n v="14156.35712015199"/>
  </r>
  <r>
    <x v="80"/>
    <x v="3"/>
    <x v="320"/>
    <x v="0"/>
    <x v="2"/>
    <x v="718"/>
    <x v="89"/>
    <s v="K.K."/>
    <n v="5"/>
    <n v="118.8"/>
    <n v="0"/>
    <n v="594"/>
    <m/>
    <m/>
    <m/>
    <m/>
    <n v="0"/>
    <n v="0"/>
    <n v="14156.35712015199"/>
  </r>
  <r>
    <x v="80"/>
    <x v="3"/>
    <x v="321"/>
    <x v="0"/>
    <x v="2"/>
    <x v="718"/>
    <x v="89"/>
    <s v="K.K."/>
    <n v="3"/>
    <n v="106.8"/>
    <n v="0"/>
    <n v="320.39999999999998"/>
    <m/>
    <m/>
    <m/>
    <m/>
    <n v="0"/>
    <n v="0"/>
    <n v="14156.35712015199"/>
  </r>
  <r>
    <x v="80"/>
    <x v="3"/>
    <x v="322"/>
    <x v="0"/>
    <x v="2"/>
    <x v="718"/>
    <x v="89"/>
    <s v="K.K."/>
    <n v="3"/>
    <n v="106.8"/>
    <n v="0"/>
    <n v="320.39999999999998"/>
    <m/>
    <m/>
    <m/>
    <m/>
    <n v="0"/>
    <n v="0"/>
    <n v="14156.35712015199"/>
  </r>
  <r>
    <x v="80"/>
    <x v="3"/>
    <x v="323"/>
    <x v="0"/>
    <x v="2"/>
    <x v="718"/>
    <x v="89"/>
    <s v="K.K."/>
    <n v="5"/>
    <n v="111"/>
    <n v="0"/>
    <n v="555"/>
    <m/>
    <m/>
    <m/>
    <m/>
    <n v="0"/>
    <n v="0"/>
    <n v="14156.35712015199"/>
  </r>
  <r>
    <x v="80"/>
    <x v="3"/>
    <x v="324"/>
    <x v="0"/>
    <x v="2"/>
    <x v="718"/>
    <x v="89"/>
    <s v="K.K."/>
    <n v="3"/>
    <n v="118.8"/>
    <n v="0"/>
    <n v="356.4"/>
    <m/>
    <m/>
    <m/>
    <m/>
    <n v="0"/>
    <n v="0"/>
    <n v="14156.35712015199"/>
  </r>
  <r>
    <x v="80"/>
    <x v="3"/>
    <x v="325"/>
    <x v="0"/>
    <x v="2"/>
    <x v="718"/>
    <x v="89"/>
    <s v="K.K."/>
    <n v="3"/>
    <n v="118.8"/>
    <n v="0"/>
    <n v="356.4"/>
    <m/>
    <m/>
    <m/>
    <m/>
    <n v="0"/>
    <n v="0"/>
    <n v="14156.35712015199"/>
  </r>
  <r>
    <x v="80"/>
    <x v="3"/>
    <x v="326"/>
    <x v="0"/>
    <x v="2"/>
    <x v="718"/>
    <x v="89"/>
    <s v="K.K."/>
    <n v="5"/>
    <n v="118.8"/>
    <n v="0"/>
    <n v="594"/>
    <m/>
    <m/>
    <m/>
    <m/>
    <n v="0"/>
    <n v="0"/>
    <n v="14156.35712015199"/>
  </r>
  <r>
    <x v="80"/>
    <x v="3"/>
    <x v="327"/>
    <x v="0"/>
    <x v="2"/>
    <x v="718"/>
    <x v="89"/>
    <s v="K.K."/>
    <n v="3"/>
    <n v="142.79999999999998"/>
    <n v="0"/>
    <n v="428.4"/>
    <m/>
    <m/>
    <m/>
    <m/>
    <n v="0"/>
    <n v="0"/>
    <n v="14156.35712015199"/>
  </r>
  <r>
    <x v="80"/>
    <x v="3"/>
    <x v="328"/>
    <x v="0"/>
    <x v="2"/>
    <x v="718"/>
    <x v="89"/>
    <s v="K.K."/>
    <n v="3"/>
    <n v="138"/>
    <n v="0"/>
    <n v="414"/>
    <m/>
    <m/>
    <m/>
    <m/>
    <n v="0"/>
    <n v="0"/>
    <n v="14156.35712015199"/>
  </r>
  <r>
    <x v="80"/>
    <x v="3"/>
    <x v="329"/>
    <x v="0"/>
    <x v="2"/>
    <x v="718"/>
    <x v="89"/>
    <s v="K.K."/>
    <n v="3"/>
    <n v="78"/>
    <n v="0"/>
    <n v="234"/>
    <m/>
    <m/>
    <m/>
    <m/>
    <n v="0"/>
    <n v="0"/>
    <n v="14156.35712015199"/>
  </r>
  <r>
    <x v="80"/>
    <x v="3"/>
    <x v="330"/>
    <x v="0"/>
    <x v="2"/>
    <x v="718"/>
    <x v="89"/>
    <s v="K.K."/>
    <n v="3"/>
    <n v="94.8"/>
    <n v="0"/>
    <n v="284.39999999999998"/>
    <m/>
    <m/>
    <m/>
    <m/>
    <n v="0"/>
    <n v="0"/>
    <n v="14156.35712015199"/>
  </r>
  <r>
    <x v="80"/>
    <x v="3"/>
    <x v="331"/>
    <x v="0"/>
    <x v="2"/>
    <x v="718"/>
    <x v="89"/>
    <s v="K.K."/>
    <n v="3"/>
    <n v="118.8"/>
    <n v="0"/>
    <n v="356.4"/>
    <m/>
    <m/>
    <m/>
    <m/>
    <n v="0"/>
    <n v="0"/>
    <n v="14156.35712015199"/>
  </r>
  <r>
    <x v="80"/>
    <x v="3"/>
    <x v="332"/>
    <x v="0"/>
    <x v="2"/>
    <x v="718"/>
    <x v="89"/>
    <s v="K.K."/>
    <n v="3"/>
    <n v="178.79999999999998"/>
    <n v="0"/>
    <n v="536.4"/>
    <m/>
    <m/>
    <m/>
    <m/>
    <n v="0"/>
    <n v="0"/>
    <n v="14156.35712015199"/>
  </r>
  <r>
    <x v="80"/>
    <x v="3"/>
    <x v="333"/>
    <x v="0"/>
    <x v="2"/>
    <x v="718"/>
    <x v="89"/>
    <s v="K.K."/>
    <n v="5"/>
    <n v="72"/>
    <n v="0"/>
    <n v="360"/>
    <m/>
    <m/>
    <m/>
    <m/>
    <n v="0"/>
    <n v="0"/>
    <n v="14156.35712015199"/>
  </r>
  <r>
    <x v="80"/>
    <x v="3"/>
    <x v="334"/>
    <x v="0"/>
    <x v="2"/>
    <x v="718"/>
    <x v="89"/>
    <s v="K.K."/>
    <n v="5"/>
    <n v="87"/>
    <n v="0"/>
    <n v="435"/>
    <m/>
    <m/>
    <m/>
    <m/>
    <n v="0"/>
    <n v="0"/>
    <n v="14156.35712015199"/>
  </r>
  <r>
    <x v="80"/>
    <x v="3"/>
    <x v="335"/>
    <x v="0"/>
    <x v="2"/>
    <x v="718"/>
    <x v="89"/>
    <s v="K.K."/>
    <n v="5"/>
    <n v="75"/>
    <n v="0"/>
    <n v="375"/>
    <m/>
    <m/>
    <m/>
    <m/>
    <n v="0"/>
    <n v="0"/>
    <n v="14156.35712015199"/>
  </r>
  <r>
    <x v="80"/>
    <x v="3"/>
    <x v="336"/>
    <x v="0"/>
    <x v="2"/>
    <x v="718"/>
    <x v="89"/>
    <s v="K.K."/>
    <n v="5"/>
    <n v="60"/>
    <n v="0"/>
    <n v="300"/>
    <m/>
    <m/>
    <m/>
    <m/>
    <n v="0"/>
    <n v="0"/>
    <n v="14156.35712015199"/>
  </r>
  <r>
    <x v="80"/>
    <x v="3"/>
    <x v="337"/>
    <x v="0"/>
    <x v="2"/>
    <x v="718"/>
    <x v="89"/>
    <s v="K.K."/>
    <n v="3"/>
    <n v="64.993499999999997"/>
    <n v="0"/>
    <n v="194.98050000000001"/>
    <m/>
    <m/>
    <m/>
    <m/>
    <n v="0"/>
    <n v="0"/>
    <n v="14156.35712015199"/>
  </r>
  <r>
    <x v="80"/>
    <x v="3"/>
    <x v="338"/>
    <x v="0"/>
    <x v="2"/>
    <x v="718"/>
    <x v="89"/>
    <s v="K.K."/>
    <n v="3"/>
    <n v="39.783900000000003"/>
    <n v="0"/>
    <n v="119.35170000000001"/>
    <m/>
    <m/>
    <m/>
    <m/>
    <n v="0"/>
    <n v="0"/>
    <n v="14156.35712015199"/>
  </r>
  <r>
    <x v="80"/>
    <x v="3"/>
    <x v="339"/>
    <x v="0"/>
    <x v="2"/>
    <x v="718"/>
    <x v="89"/>
    <s v="K.K."/>
    <n v="5"/>
    <n v="64.900000000000006"/>
    <n v="0"/>
    <n v="324.5"/>
    <m/>
    <m/>
    <m/>
    <m/>
    <n v="0"/>
    <n v="0"/>
    <n v="14156.35712015199"/>
  </r>
  <r>
    <x v="80"/>
    <x v="3"/>
    <x v="340"/>
    <x v="0"/>
    <x v="2"/>
    <x v="718"/>
    <x v="89"/>
    <s v="K.K."/>
    <n v="5"/>
    <n v="71.5"/>
    <n v="0"/>
    <n v="357.5"/>
    <m/>
    <m/>
    <m/>
    <m/>
    <n v="0"/>
    <n v="0"/>
    <n v="14156.35712015199"/>
  </r>
  <r>
    <x v="80"/>
    <x v="3"/>
    <x v="341"/>
    <x v="0"/>
    <x v="2"/>
    <x v="718"/>
    <x v="89"/>
    <s v="K.K."/>
    <n v="3"/>
    <n v="78"/>
    <n v="0"/>
    <n v="234"/>
    <m/>
    <m/>
    <m/>
    <m/>
    <n v="0"/>
    <n v="0"/>
    <n v="14156.35712015199"/>
  </r>
  <r>
    <x v="80"/>
    <x v="3"/>
    <x v="342"/>
    <x v="0"/>
    <x v="2"/>
    <x v="718"/>
    <x v="89"/>
    <s v="K.K."/>
    <n v="3"/>
    <n v="51"/>
    <n v="0"/>
    <n v="153"/>
    <m/>
    <m/>
    <m/>
    <m/>
    <n v="0"/>
    <n v="0"/>
    <n v="14156.35712015199"/>
  </r>
  <r>
    <x v="80"/>
    <x v="3"/>
    <x v="343"/>
    <x v="0"/>
    <x v="2"/>
    <x v="718"/>
    <x v="89"/>
    <s v="K.K."/>
    <n v="5"/>
    <n v="58.8"/>
    <n v="0"/>
    <n v="294"/>
    <m/>
    <m/>
    <m/>
    <m/>
    <n v="0"/>
    <n v="0"/>
    <n v="14156.35712015199"/>
  </r>
  <r>
    <x v="80"/>
    <x v="4"/>
    <x v="24"/>
    <x v="0"/>
    <x v="1"/>
    <x v="715"/>
    <x v="25"/>
    <s v="NAKİT"/>
    <n v="0.11799999999999999"/>
    <n v="640"/>
    <n v="0"/>
    <n v="0"/>
    <m/>
    <m/>
    <m/>
    <m/>
    <n v="75.52"/>
    <n v="0"/>
    <n v="14231.87712015199"/>
  </r>
  <r>
    <x v="80"/>
    <x v="4"/>
    <x v="27"/>
    <x v="0"/>
    <x v="1"/>
    <x v="715"/>
    <x v="25"/>
    <s v="NAKİT"/>
    <n v="0.108"/>
    <n v="400"/>
    <n v="0"/>
    <n v="0"/>
    <m/>
    <m/>
    <m/>
    <m/>
    <n v="43.2"/>
    <n v="0"/>
    <n v="14275.077120151991"/>
  </r>
  <r>
    <x v="80"/>
    <x v="4"/>
    <x v="161"/>
    <x v="0"/>
    <x v="1"/>
    <x v="715"/>
    <x v="25"/>
    <s v="NAKİT"/>
    <n v="0.16"/>
    <n v="370"/>
    <n v="0"/>
    <n v="0"/>
    <m/>
    <m/>
    <m/>
    <m/>
    <n v="59.2"/>
    <n v="0"/>
    <n v="14334.277120151992"/>
  </r>
  <r>
    <x v="80"/>
    <x v="4"/>
    <x v="142"/>
    <x v="0"/>
    <x v="5"/>
    <x v="716"/>
    <x v="25"/>
    <s v="POS"/>
    <n v="0.27400000000000002"/>
    <n v="250"/>
    <n v="68.5"/>
    <n v="0"/>
    <m/>
    <m/>
    <m/>
    <m/>
    <n v="0"/>
    <n v="0"/>
    <n v="14334.277120151992"/>
  </r>
  <r>
    <x v="80"/>
    <x v="4"/>
    <x v="155"/>
    <x v="0"/>
    <x v="5"/>
    <x v="716"/>
    <x v="25"/>
    <s v="POS"/>
    <n v="0.1"/>
    <n v="700"/>
    <n v="70"/>
    <n v="0"/>
    <m/>
    <m/>
    <m/>
    <m/>
    <n v="0"/>
    <n v="0"/>
    <n v="14334.277120151992"/>
  </r>
  <r>
    <x v="80"/>
    <x v="4"/>
    <x v="98"/>
    <x v="0"/>
    <x v="5"/>
    <x v="716"/>
    <x v="25"/>
    <s v="POS"/>
    <n v="0.32600000000000001"/>
    <n v="800"/>
    <n v="260.8"/>
    <n v="0"/>
    <m/>
    <m/>
    <m/>
    <m/>
    <n v="0"/>
    <n v="0"/>
    <n v="14334.277120151992"/>
  </r>
  <r>
    <x v="80"/>
    <x v="4"/>
    <x v="108"/>
    <x v="0"/>
    <x v="5"/>
    <x v="717"/>
    <x v="25"/>
    <s v="POS"/>
    <n v="1"/>
    <n v="190"/>
    <n v="190"/>
    <n v="0"/>
    <m/>
    <m/>
    <m/>
    <m/>
    <n v="0"/>
    <n v="0"/>
    <n v="14334.277120151992"/>
  </r>
  <r>
    <x v="80"/>
    <x v="4"/>
    <x v="50"/>
    <x v="0"/>
    <x v="5"/>
    <x v="717"/>
    <x v="25"/>
    <s v="POS"/>
    <n v="0.1"/>
    <n v="650"/>
    <n v="65"/>
    <n v="0"/>
    <m/>
    <m/>
    <m/>
    <m/>
    <n v="0"/>
    <n v="0"/>
    <n v="14334.277120151992"/>
  </r>
  <r>
    <x v="80"/>
    <x v="4"/>
    <x v="75"/>
    <x v="0"/>
    <x v="1"/>
    <x v="719"/>
    <x v="25"/>
    <s v="NAKİT"/>
    <n v="0.15625"/>
    <n v="800"/>
    <n v="0"/>
    <n v="0"/>
    <m/>
    <m/>
    <m/>
    <m/>
    <n v="125"/>
    <n v="0"/>
    <n v="14459.277120151992"/>
  </r>
  <r>
    <x v="80"/>
    <x v="4"/>
    <x v="21"/>
    <x v="0"/>
    <x v="1"/>
    <x v="720"/>
    <x v="25"/>
    <s v="NAKİT"/>
    <n v="0.5"/>
    <n v="260"/>
    <n v="0"/>
    <n v="0"/>
    <m/>
    <m/>
    <m/>
    <m/>
    <n v="130"/>
    <n v="0"/>
    <n v="14589.277120151992"/>
  </r>
  <r>
    <x v="80"/>
    <x v="4"/>
    <x v="58"/>
    <x v="0"/>
    <x v="1"/>
    <x v="720"/>
    <x v="25"/>
    <s v="NAKİT"/>
    <n v="0.5"/>
    <n v="230"/>
    <n v="0"/>
    <n v="0"/>
    <m/>
    <m/>
    <m/>
    <m/>
    <n v="115"/>
    <n v="0"/>
    <n v="14704.277120151992"/>
  </r>
  <r>
    <x v="80"/>
    <x v="4"/>
    <x v="18"/>
    <x v="0"/>
    <x v="1"/>
    <x v="720"/>
    <x v="25"/>
    <s v="NAKİT"/>
    <n v="1"/>
    <n v="260"/>
    <n v="0"/>
    <n v="0"/>
    <m/>
    <m/>
    <m/>
    <m/>
    <n v="260"/>
    <n v="0"/>
    <n v="14964.277120151992"/>
  </r>
  <r>
    <x v="80"/>
    <x v="4"/>
    <x v="275"/>
    <x v="0"/>
    <x v="1"/>
    <x v="720"/>
    <x v="25"/>
    <s v="NAKİT"/>
    <n v="1"/>
    <n v="150"/>
    <n v="0"/>
    <n v="0"/>
    <m/>
    <m/>
    <m/>
    <m/>
    <n v="150"/>
    <n v="0"/>
    <n v="15114.277120151992"/>
  </r>
  <r>
    <x v="80"/>
    <x v="4"/>
    <x v="149"/>
    <x v="0"/>
    <x v="1"/>
    <x v="720"/>
    <x v="25"/>
    <s v="NAKİT"/>
    <n v="0.156"/>
    <n v="650"/>
    <n v="0"/>
    <n v="0"/>
    <m/>
    <m/>
    <m/>
    <m/>
    <n v="101.4"/>
    <n v="0"/>
    <n v="15215.677120151991"/>
  </r>
  <r>
    <x v="80"/>
    <x v="4"/>
    <x v="32"/>
    <x v="0"/>
    <x v="1"/>
    <x v="720"/>
    <x v="25"/>
    <s v="NAKİT"/>
    <n v="0.14199999999999999"/>
    <n v="370"/>
    <n v="0"/>
    <n v="0"/>
    <m/>
    <m/>
    <m/>
    <m/>
    <n v="52.539999999999992"/>
    <n v="0"/>
    <n v="15268.217120151992"/>
  </r>
  <r>
    <x v="80"/>
    <x v="4"/>
    <x v="161"/>
    <x v="0"/>
    <x v="1"/>
    <x v="720"/>
    <x v="25"/>
    <s v="NAKİT"/>
    <n v="0.2"/>
    <n v="370"/>
    <n v="0"/>
    <n v="0"/>
    <m/>
    <m/>
    <m/>
    <m/>
    <n v="74"/>
    <n v="0"/>
    <n v="15342.217120151992"/>
  </r>
  <r>
    <x v="80"/>
    <x v="4"/>
    <x v="59"/>
    <x v="0"/>
    <x v="1"/>
    <x v="720"/>
    <x v="25"/>
    <s v="NAKİT"/>
    <n v="0.11"/>
    <n v="420"/>
    <n v="0"/>
    <n v="0"/>
    <m/>
    <m/>
    <m/>
    <m/>
    <n v="46.2"/>
    <n v="0"/>
    <n v="15388.417120151993"/>
  </r>
  <r>
    <x v="80"/>
    <x v="4"/>
    <x v="142"/>
    <x v="0"/>
    <x v="1"/>
    <x v="720"/>
    <x v="25"/>
    <s v="NAKİT"/>
    <n v="0.56599999999999995"/>
    <n v="250"/>
    <n v="0"/>
    <n v="0"/>
    <m/>
    <m/>
    <m/>
    <m/>
    <n v="141.5"/>
    <n v="0"/>
    <n v="15529.917120151993"/>
  </r>
  <r>
    <x v="80"/>
    <x v="4"/>
    <x v="49"/>
    <x v="0"/>
    <x v="1"/>
    <x v="720"/>
    <x v="25"/>
    <s v="NAKİT"/>
    <n v="0.1"/>
    <n v="600"/>
    <n v="0"/>
    <n v="0"/>
    <m/>
    <m/>
    <m/>
    <m/>
    <n v="60"/>
    <n v="0"/>
    <n v="15589.917120151993"/>
  </r>
  <r>
    <x v="80"/>
    <x v="4"/>
    <x v="231"/>
    <x v="0"/>
    <x v="1"/>
    <x v="720"/>
    <x v="25"/>
    <s v="NAKİT"/>
    <n v="0.25"/>
    <n v="400"/>
    <n v="0"/>
    <n v="0"/>
    <m/>
    <m/>
    <m/>
    <m/>
    <n v="100"/>
    <n v="0"/>
    <n v="15689.917120151993"/>
  </r>
  <r>
    <x v="80"/>
    <x v="4"/>
    <x v="52"/>
    <x v="0"/>
    <x v="1"/>
    <x v="720"/>
    <x v="25"/>
    <s v="NAKİT"/>
    <n v="0.1"/>
    <n v="400"/>
    <n v="0"/>
    <n v="0"/>
    <m/>
    <m/>
    <m/>
    <m/>
    <n v="40"/>
    <n v="0"/>
    <n v="15729.917120151993"/>
  </r>
  <r>
    <x v="80"/>
    <x v="4"/>
    <x v="112"/>
    <x v="0"/>
    <x v="1"/>
    <x v="720"/>
    <x v="25"/>
    <s v="NAKİT"/>
    <n v="0.04"/>
    <n v="2250"/>
    <n v="0"/>
    <n v="0"/>
    <m/>
    <m/>
    <m/>
    <m/>
    <n v="90"/>
    <n v="0"/>
    <n v="15819.917120151993"/>
  </r>
  <r>
    <x v="80"/>
    <x v="4"/>
    <x v="109"/>
    <x v="0"/>
    <x v="1"/>
    <x v="720"/>
    <x v="25"/>
    <s v="NAKİT"/>
    <n v="1"/>
    <n v="180"/>
    <n v="0"/>
    <n v="0"/>
    <m/>
    <m/>
    <m/>
    <m/>
    <n v="180"/>
    <n v="0"/>
    <n v="15999.917120151993"/>
  </r>
  <r>
    <x v="80"/>
    <x v="4"/>
    <x v="241"/>
    <x v="0"/>
    <x v="1"/>
    <x v="721"/>
    <x v="25"/>
    <s v="NAKİT"/>
    <n v="0.5"/>
    <n v="60"/>
    <n v="0"/>
    <n v="0"/>
    <m/>
    <m/>
    <m/>
    <m/>
    <n v="30"/>
    <n v="0"/>
    <n v="16029.917120151993"/>
  </r>
  <r>
    <x v="80"/>
    <x v="4"/>
    <x v="20"/>
    <x v="0"/>
    <x v="1"/>
    <x v="722"/>
    <x v="25"/>
    <s v="NAKİT"/>
    <n v="1"/>
    <n v="200"/>
    <n v="0"/>
    <n v="0"/>
    <m/>
    <m/>
    <m/>
    <m/>
    <n v="200"/>
    <n v="0"/>
    <n v="16229.917120151993"/>
  </r>
  <r>
    <x v="80"/>
    <x v="4"/>
    <x v="18"/>
    <x v="0"/>
    <x v="1"/>
    <x v="723"/>
    <x v="25"/>
    <s v="NAKİT"/>
    <n v="1"/>
    <n v="260"/>
    <n v="0"/>
    <n v="0"/>
    <m/>
    <m/>
    <m/>
    <m/>
    <n v="260"/>
    <n v="0"/>
    <n v="16489.917120151993"/>
  </r>
  <r>
    <x v="80"/>
    <x v="4"/>
    <x v="215"/>
    <x v="0"/>
    <x v="1"/>
    <x v="724"/>
    <x v="25"/>
    <s v="NAKİT"/>
    <n v="1"/>
    <n v="220"/>
    <n v="0"/>
    <n v="0"/>
    <m/>
    <m/>
    <m/>
    <m/>
    <n v="220"/>
    <n v="0"/>
    <n v="16709.917120151993"/>
  </r>
  <r>
    <x v="80"/>
    <x v="4"/>
    <x v="163"/>
    <x v="0"/>
    <x v="5"/>
    <x v="725"/>
    <x v="25"/>
    <s v="POS"/>
    <n v="2"/>
    <n v="40"/>
    <n v="80"/>
    <n v="0"/>
    <m/>
    <m/>
    <m/>
    <m/>
    <n v="0"/>
    <n v="0"/>
    <n v="16709.917120151993"/>
  </r>
  <r>
    <x v="80"/>
    <x v="4"/>
    <x v="115"/>
    <x v="0"/>
    <x v="1"/>
    <x v="726"/>
    <x v="25"/>
    <s v="NAKİT"/>
    <n v="0.125"/>
    <n v="80"/>
    <n v="0"/>
    <n v="0"/>
    <m/>
    <m/>
    <m/>
    <m/>
    <n v="10"/>
    <n v="0"/>
    <n v="16719.917120151993"/>
  </r>
  <r>
    <x v="80"/>
    <x v="4"/>
    <x v="248"/>
    <x v="0"/>
    <x v="1"/>
    <x v="726"/>
    <x v="25"/>
    <s v="NAKİT"/>
    <n v="6.6666666666666666E-2"/>
    <n v="600"/>
    <n v="0"/>
    <n v="0"/>
    <m/>
    <m/>
    <m/>
    <m/>
    <n v="40"/>
    <n v="0"/>
    <n v="16759.917120151993"/>
  </r>
  <r>
    <x v="80"/>
    <x v="4"/>
    <x v="247"/>
    <x v="0"/>
    <x v="1"/>
    <x v="727"/>
    <x v="25"/>
    <s v="NAKİT"/>
    <n v="1"/>
    <n v="90"/>
    <n v="0"/>
    <n v="0"/>
    <m/>
    <m/>
    <m/>
    <m/>
    <n v="90"/>
    <n v="0"/>
    <n v="16849.917120151993"/>
  </r>
  <r>
    <x v="80"/>
    <x v="4"/>
    <x v="246"/>
    <x v="0"/>
    <x v="1"/>
    <x v="727"/>
    <x v="25"/>
    <s v="NAKİT"/>
    <n v="1"/>
    <n v="90"/>
    <n v="0"/>
    <n v="0"/>
    <m/>
    <m/>
    <m/>
    <m/>
    <n v="90"/>
    <n v="0"/>
    <n v="16939.917120151993"/>
  </r>
  <r>
    <x v="80"/>
    <x v="4"/>
    <x v="99"/>
    <x v="0"/>
    <x v="1"/>
    <x v="727"/>
    <x v="25"/>
    <s v="NAKİT"/>
    <n v="0.1"/>
    <n v="900"/>
    <n v="0"/>
    <n v="0"/>
    <m/>
    <m/>
    <m/>
    <m/>
    <n v="90"/>
    <n v="0"/>
    <n v="17029.917120151993"/>
  </r>
  <r>
    <x v="80"/>
    <x v="4"/>
    <x v="49"/>
    <x v="0"/>
    <x v="1"/>
    <x v="727"/>
    <x v="25"/>
    <s v="NAKİT"/>
    <n v="0.1"/>
    <n v="600"/>
    <n v="0"/>
    <n v="0"/>
    <m/>
    <m/>
    <m/>
    <m/>
    <n v="60"/>
    <n v="0"/>
    <n v="17089.917120151993"/>
  </r>
  <r>
    <x v="80"/>
    <x v="4"/>
    <x v="240"/>
    <x v="0"/>
    <x v="1"/>
    <x v="727"/>
    <x v="25"/>
    <s v="NAKİT"/>
    <n v="0.15"/>
    <n v="200"/>
    <n v="0"/>
    <n v="0"/>
    <m/>
    <m/>
    <m/>
    <m/>
    <n v="30"/>
    <n v="0"/>
    <n v="17119.917120151993"/>
  </r>
  <r>
    <x v="80"/>
    <x v="4"/>
    <x v="70"/>
    <x v="0"/>
    <x v="1"/>
    <x v="727"/>
    <x v="25"/>
    <s v="NAKİT"/>
    <n v="0.15"/>
    <n v="180"/>
    <n v="0"/>
    <n v="0"/>
    <m/>
    <m/>
    <m/>
    <m/>
    <n v="27"/>
    <n v="0"/>
    <n v="17146.917120151993"/>
  </r>
  <r>
    <x v="80"/>
    <x v="4"/>
    <x v="142"/>
    <x v="0"/>
    <x v="1"/>
    <x v="728"/>
    <x v="25"/>
    <s v="NAKİT"/>
    <n v="0.28000000000000003"/>
    <n v="250"/>
    <n v="0"/>
    <n v="0"/>
    <m/>
    <m/>
    <m/>
    <m/>
    <n v="70"/>
    <n v="0"/>
    <n v="17216.917120151993"/>
  </r>
  <r>
    <x v="80"/>
    <x v="4"/>
    <x v="71"/>
    <x v="0"/>
    <x v="1"/>
    <x v="728"/>
    <x v="25"/>
    <s v="NAKİT"/>
    <n v="0.5"/>
    <n v="180"/>
    <n v="0"/>
    <n v="0"/>
    <m/>
    <m/>
    <m/>
    <m/>
    <n v="90"/>
    <n v="0"/>
    <n v="17306.917120151993"/>
  </r>
  <r>
    <x v="80"/>
    <x v="4"/>
    <x v="246"/>
    <x v="0"/>
    <x v="1"/>
    <x v="728"/>
    <x v="25"/>
    <s v="NAKİT"/>
    <n v="1"/>
    <n v="90"/>
    <n v="0"/>
    <n v="0"/>
    <m/>
    <m/>
    <m/>
    <m/>
    <n v="90"/>
    <n v="0"/>
    <n v="17396.917120151993"/>
  </r>
  <r>
    <x v="80"/>
    <x v="4"/>
    <x v="83"/>
    <x v="0"/>
    <x v="5"/>
    <x v="728"/>
    <x v="25"/>
    <s v="POS"/>
    <n v="0.05"/>
    <n v="2600"/>
    <n v="130"/>
    <n v="0"/>
    <m/>
    <m/>
    <m/>
    <m/>
    <n v="0"/>
    <n v="0"/>
    <n v="17396.917120151993"/>
  </r>
  <r>
    <x v="80"/>
    <x v="3"/>
    <x v="150"/>
    <x v="0"/>
    <x v="9"/>
    <x v="729"/>
    <x v="90"/>
    <s v="CARİ"/>
    <n v="75"/>
    <n v="190"/>
    <n v="0"/>
    <n v="14250"/>
    <m/>
    <m/>
    <m/>
    <m/>
    <n v="0"/>
    <n v="0"/>
    <n v="17396.917120151993"/>
  </r>
  <r>
    <x v="80"/>
    <x v="3"/>
    <x v="119"/>
    <x v="0"/>
    <x v="9"/>
    <x v="729"/>
    <x v="90"/>
    <s v="CARİ"/>
    <n v="5"/>
    <n v="525"/>
    <n v="0"/>
    <n v="2625"/>
    <m/>
    <m/>
    <m/>
    <m/>
    <n v="0"/>
    <n v="0"/>
    <n v="17396.917120151993"/>
  </r>
  <r>
    <x v="80"/>
    <x v="3"/>
    <x v="149"/>
    <x v="0"/>
    <x v="9"/>
    <x v="729"/>
    <x v="90"/>
    <s v="CARİ"/>
    <n v="5"/>
    <n v="420"/>
    <n v="0"/>
    <n v="2100"/>
    <m/>
    <m/>
    <m/>
    <m/>
    <n v="0"/>
    <n v="0"/>
    <n v="17396.917120151993"/>
  </r>
  <r>
    <x v="80"/>
    <x v="3"/>
    <x v="248"/>
    <x v="0"/>
    <x v="9"/>
    <x v="729"/>
    <x v="90"/>
    <s v="CARİ"/>
    <n v="10"/>
    <n v="460"/>
    <n v="0"/>
    <n v="4600"/>
    <m/>
    <m/>
    <m/>
    <m/>
    <n v="0"/>
    <n v="0"/>
    <n v="17396.917120151993"/>
  </r>
  <r>
    <x v="80"/>
    <x v="3"/>
    <x v="344"/>
    <x v="0"/>
    <x v="9"/>
    <x v="729"/>
    <x v="90"/>
    <s v="CARİ"/>
    <n v="10"/>
    <n v="300"/>
    <n v="0"/>
    <n v="3000"/>
    <m/>
    <m/>
    <m/>
    <m/>
    <n v="0"/>
    <n v="0"/>
    <n v="17396.917120151993"/>
  </r>
  <r>
    <x v="80"/>
    <x v="3"/>
    <x v="345"/>
    <x v="0"/>
    <x v="9"/>
    <x v="729"/>
    <x v="90"/>
    <s v="CARİ"/>
    <n v="10"/>
    <n v="270"/>
    <n v="0"/>
    <n v="2700"/>
    <m/>
    <m/>
    <m/>
    <m/>
    <n v="0"/>
    <n v="0"/>
    <n v="17396.917120151993"/>
  </r>
  <r>
    <x v="80"/>
    <x v="3"/>
    <x v="346"/>
    <x v="0"/>
    <x v="9"/>
    <x v="729"/>
    <x v="90"/>
    <s v="CARİ"/>
    <n v="10"/>
    <n v="310"/>
    <n v="0"/>
    <n v="3100"/>
    <m/>
    <m/>
    <m/>
    <m/>
    <n v="0"/>
    <n v="0"/>
    <n v="17396.917120151993"/>
  </r>
  <r>
    <x v="80"/>
    <x v="3"/>
    <x v="347"/>
    <x v="0"/>
    <x v="9"/>
    <x v="729"/>
    <x v="90"/>
    <s v="CARİ"/>
    <n v="20"/>
    <n v="380"/>
    <n v="0"/>
    <n v="7600"/>
    <m/>
    <m/>
    <m/>
    <m/>
    <n v="0"/>
    <n v="0"/>
    <n v="17396.917120151993"/>
  </r>
  <r>
    <x v="80"/>
    <x v="2"/>
    <x v="0"/>
    <x v="4"/>
    <x v="2"/>
    <x v="2"/>
    <x v="91"/>
    <s v="K.K."/>
    <n v="5"/>
    <n v="175"/>
    <n v="0"/>
    <n v="875"/>
    <m/>
    <m/>
    <m/>
    <m/>
    <n v="0"/>
    <n v="0"/>
    <n v="17396.917120151993"/>
  </r>
  <r>
    <x v="80"/>
    <x v="2"/>
    <x v="0"/>
    <x v="4"/>
    <x v="2"/>
    <x v="2"/>
    <x v="92"/>
    <s v="K.K."/>
    <n v="3"/>
    <n v="12"/>
    <n v="0"/>
    <n v="36"/>
    <m/>
    <m/>
    <m/>
    <m/>
    <n v="0"/>
    <n v="0"/>
    <n v="17396.917120151993"/>
  </r>
  <r>
    <x v="80"/>
    <x v="2"/>
    <x v="0"/>
    <x v="4"/>
    <x v="1"/>
    <x v="2"/>
    <x v="93"/>
    <s v="K.K."/>
    <n v="1"/>
    <n v="5350"/>
    <n v="0"/>
    <n v="0"/>
    <m/>
    <m/>
    <m/>
    <m/>
    <n v="0"/>
    <n v="5350"/>
    <n v="12046.917120151993"/>
  </r>
  <r>
    <x v="80"/>
    <x v="3"/>
    <x v="236"/>
    <x v="0"/>
    <x v="2"/>
    <x v="2"/>
    <x v="94"/>
    <s v="K.K."/>
    <n v="3"/>
    <n v="165"/>
    <n v="0"/>
    <n v="495"/>
    <m/>
    <m/>
    <m/>
    <m/>
    <n v="0"/>
    <n v="0"/>
    <n v="12046.917120151993"/>
  </r>
  <r>
    <x v="80"/>
    <x v="10"/>
    <x v="0"/>
    <x v="0"/>
    <x v="5"/>
    <x v="2"/>
    <x v="63"/>
    <s v="POS"/>
    <n v="1"/>
    <n v="214"/>
    <n v="0"/>
    <n v="214"/>
    <n v="330"/>
    <m/>
    <m/>
    <m/>
    <n v="214"/>
    <n v="0"/>
    <n v="12260.917120151993"/>
  </r>
  <r>
    <x v="80"/>
    <x v="10"/>
    <x v="0"/>
    <x v="0"/>
    <x v="5"/>
    <x v="2"/>
    <x v="63"/>
    <s v="POS"/>
    <n v="1"/>
    <n v="250"/>
    <n v="0"/>
    <n v="250"/>
    <n v="330"/>
    <m/>
    <m/>
    <m/>
    <n v="250"/>
    <n v="0"/>
    <n v="12510.917120151993"/>
  </r>
  <r>
    <x v="80"/>
    <x v="0"/>
    <x v="0"/>
    <x v="0"/>
    <x v="0"/>
    <x v="2"/>
    <x v="95"/>
    <s v="NAKİT"/>
    <n v="1"/>
    <n v="20000"/>
    <n v="0"/>
    <n v="20000"/>
    <m/>
    <m/>
    <m/>
    <m/>
    <n v="20000"/>
    <n v="0"/>
    <n v="32510.917120151993"/>
  </r>
  <r>
    <x v="81"/>
    <x v="3"/>
    <x v="348"/>
    <x v="0"/>
    <x v="4"/>
    <x v="730"/>
    <x v="32"/>
    <s v="CARİ"/>
    <n v="10"/>
    <n v="33"/>
    <n v="0"/>
    <n v="330"/>
    <m/>
    <m/>
    <m/>
    <m/>
    <n v="0"/>
    <n v="0"/>
    <n v="32510.917120151993"/>
  </r>
  <r>
    <x v="81"/>
    <x v="3"/>
    <x v="349"/>
    <x v="0"/>
    <x v="4"/>
    <x v="730"/>
    <x v="32"/>
    <s v="CARİ"/>
    <n v="4"/>
    <n v="58"/>
    <n v="0"/>
    <n v="232"/>
    <m/>
    <m/>
    <m/>
    <m/>
    <n v="0"/>
    <n v="0"/>
    <n v="32510.917120151993"/>
  </r>
  <r>
    <x v="81"/>
    <x v="3"/>
    <x v="350"/>
    <x v="0"/>
    <x v="4"/>
    <x v="730"/>
    <x v="32"/>
    <s v="CARİ"/>
    <n v="4"/>
    <n v="58"/>
    <n v="0"/>
    <n v="232"/>
    <m/>
    <m/>
    <m/>
    <m/>
    <n v="0"/>
    <n v="0"/>
    <n v="32510.917120151993"/>
  </r>
  <r>
    <x v="81"/>
    <x v="3"/>
    <x v="351"/>
    <x v="0"/>
    <x v="4"/>
    <x v="730"/>
    <x v="32"/>
    <s v="CARİ"/>
    <n v="4"/>
    <n v="45"/>
    <n v="0"/>
    <n v="180"/>
    <m/>
    <m/>
    <m/>
    <m/>
    <n v="0"/>
    <n v="0"/>
    <n v="32510.917120151993"/>
  </r>
  <r>
    <x v="81"/>
    <x v="3"/>
    <x v="352"/>
    <x v="0"/>
    <x v="4"/>
    <x v="730"/>
    <x v="32"/>
    <s v="CARİ"/>
    <n v="4"/>
    <n v="58"/>
    <n v="0"/>
    <n v="232"/>
    <m/>
    <m/>
    <m/>
    <m/>
    <n v="0"/>
    <n v="0"/>
    <n v="32510.917120151993"/>
  </r>
  <r>
    <x v="81"/>
    <x v="3"/>
    <x v="353"/>
    <x v="0"/>
    <x v="4"/>
    <x v="730"/>
    <x v="32"/>
    <s v="CARİ"/>
    <n v="4"/>
    <n v="58"/>
    <n v="0"/>
    <n v="232"/>
    <m/>
    <m/>
    <m/>
    <m/>
    <n v="0"/>
    <n v="0"/>
    <n v="32510.917120151993"/>
  </r>
  <r>
    <x v="81"/>
    <x v="3"/>
    <x v="354"/>
    <x v="0"/>
    <x v="4"/>
    <x v="730"/>
    <x v="32"/>
    <s v="CARİ"/>
    <n v="1"/>
    <n v="450"/>
    <n v="0"/>
    <n v="450"/>
    <m/>
    <m/>
    <m/>
    <m/>
    <n v="0"/>
    <n v="0"/>
    <n v="32510.917120151993"/>
  </r>
  <r>
    <x v="81"/>
    <x v="3"/>
    <x v="355"/>
    <x v="0"/>
    <x v="4"/>
    <x v="730"/>
    <x v="32"/>
    <s v="CARİ"/>
    <n v="6"/>
    <n v="95"/>
    <n v="0"/>
    <n v="570"/>
    <m/>
    <m/>
    <m/>
    <m/>
    <n v="0"/>
    <n v="0"/>
    <n v="32510.917120151993"/>
  </r>
  <r>
    <x v="81"/>
    <x v="3"/>
    <x v="205"/>
    <x v="0"/>
    <x v="4"/>
    <x v="730"/>
    <x v="32"/>
    <s v="CARİ"/>
    <n v="4.92"/>
    <n v="52"/>
    <n v="0"/>
    <n v="255.84"/>
    <m/>
    <m/>
    <m/>
    <m/>
    <n v="0"/>
    <n v="0"/>
    <n v="32510.917120151993"/>
  </r>
  <r>
    <x v="81"/>
    <x v="3"/>
    <x v="286"/>
    <x v="0"/>
    <x v="4"/>
    <x v="730"/>
    <x v="32"/>
    <s v="CARİ"/>
    <n v="10"/>
    <n v="37"/>
    <n v="0"/>
    <n v="370"/>
    <m/>
    <m/>
    <m/>
    <m/>
    <n v="0"/>
    <n v="0"/>
    <n v="32510.917120151993"/>
  </r>
  <r>
    <x v="81"/>
    <x v="3"/>
    <x v="287"/>
    <x v="0"/>
    <x v="4"/>
    <x v="730"/>
    <x v="32"/>
    <s v="CARİ"/>
    <n v="10"/>
    <n v="37"/>
    <n v="0"/>
    <n v="370"/>
    <m/>
    <m/>
    <m/>
    <m/>
    <n v="0"/>
    <n v="0"/>
    <n v="32510.917120151993"/>
  </r>
  <r>
    <x v="81"/>
    <x v="4"/>
    <x v="86"/>
    <x v="0"/>
    <x v="5"/>
    <x v="731"/>
    <x v="25"/>
    <s v="POS"/>
    <n v="0.12"/>
    <n v="817"/>
    <n v="98.039999999999992"/>
    <n v="0"/>
    <m/>
    <m/>
    <m/>
    <m/>
    <n v="0"/>
    <n v="0"/>
    <n v="32510.917120151993"/>
  </r>
  <r>
    <x v="81"/>
    <x v="4"/>
    <x v="150"/>
    <x v="0"/>
    <x v="5"/>
    <x v="731"/>
    <x v="25"/>
    <s v="POS"/>
    <n v="1"/>
    <n v="250"/>
    <n v="250"/>
    <n v="0"/>
    <m/>
    <m/>
    <m/>
    <m/>
    <n v="0"/>
    <n v="0"/>
    <n v="32510.917120151993"/>
  </r>
  <r>
    <x v="81"/>
    <x v="4"/>
    <x v="287"/>
    <x v="0"/>
    <x v="5"/>
    <x v="731"/>
    <x v="25"/>
    <s v="POS"/>
    <n v="1.1399999999999999"/>
    <n v="65"/>
    <n v="74.099999999999994"/>
    <n v="0"/>
    <m/>
    <m/>
    <m/>
    <m/>
    <n v="0"/>
    <n v="0"/>
    <n v="32510.917120151993"/>
  </r>
  <r>
    <x v="81"/>
    <x v="4"/>
    <x v="47"/>
    <x v="0"/>
    <x v="5"/>
    <x v="731"/>
    <x v="25"/>
    <s v="POS"/>
    <n v="5.7500000000000002E-2"/>
    <n v="400"/>
    <n v="23"/>
    <n v="0"/>
    <m/>
    <m/>
    <m/>
    <m/>
    <n v="0"/>
    <n v="0"/>
    <n v="32510.917120151993"/>
  </r>
  <r>
    <x v="81"/>
    <x v="4"/>
    <x v="88"/>
    <x v="0"/>
    <x v="1"/>
    <x v="732"/>
    <x v="25"/>
    <s v="NAKİT"/>
    <n v="0.05"/>
    <n v="1200"/>
    <n v="0"/>
    <n v="0"/>
    <m/>
    <m/>
    <m/>
    <m/>
    <n v="60"/>
    <n v="0"/>
    <n v="32570.917120151993"/>
  </r>
  <r>
    <x v="81"/>
    <x v="4"/>
    <x v="83"/>
    <x v="0"/>
    <x v="1"/>
    <x v="733"/>
    <x v="25"/>
    <s v="NAKİT"/>
    <n v="0.05"/>
    <n v="2600"/>
    <n v="0"/>
    <n v="0"/>
    <m/>
    <m/>
    <m/>
    <m/>
    <n v="130"/>
    <n v="0"/>
    <n v="32700.917120151993"/>
  </r>
  <r>
    <x v="81"/>
    <x v="4"/>
    <x v="80"/>
    <x v="0"/>
    <x v="5"/>
    <x v="734"/>
    <x v="25"/>
    <s v="POS"/>
    <n v="1"/>
    <n v="250"/>
    <n v="250"/>
    <n v="0"/>
    <m/>
    <m/>
    <m/>
    <m/>
    <n v="0"/>
    <n v="0"/>
    <n v="32700.917120151993"/>
  </r>
  <r>
    <x v="81"/>
    <x v="4"/>
    <x v="217"/>
    <x v="0"/>
    <x v="5"/>
    <x v="735"/>
    <x v="25"/>
    <s v="POS"/>
    <n v="1"/>
    <n v="220"/>
    <n v="220"/>
    <n v="0"/>
    <m/>
    <m/>
    <m/>
    <m/>
    <n v="0"/>
    <n v="0"/>
    <n v="32700.917120151993"/>
  </r>
  <r>
    <x v="81"/>
    <x v="4"/>
    <x v="163"/>
    <x v="0"/>
    <x v="1"/>
    <x v="736"/>
    <x v="25"/>
    <s v="NAKİT"/>
    <n v="1"/>
    <n v="40"/>
    <n v="0"/>
    <n v="0"/>
    <m/>
    <m/>
    <m/>
    <m/>
    <n v="40"/>
    <n v="0"/>
    <n v="32740.917120151993"/>
  </r>
  <r>
    <x v="81"/>
    <x v="4"/>
    <x v="111"/>
    <x v="0"/>
    <x v="1"/>
    <x v="737"/>
    <x v="25"/>
    <s v="NAKİT"/>
    <n v="0.5"/>
    <n v="350"/>
    <n v="0"/>
    <n v="0"/>
    <m/>
    <m/>
    <m/>
    <m/>
    <n v="175"/>
    <n v="0"/>
    <n v="32915.917120151993"/>
  </r>
  <r>
    <x v="81"/>
    <x v="4"/>
    <x v="347"/>
    <x v="0"/>
    <x v="1"/>
    <x v="737"/>
    <x v="25"/>
    <s v="NAKİT"/>
    <n v="0.5"/>
    <n v="600"/>
    <n v="0"/>
    <n v="0"/>
    <m/>
    <m/>
    <m/>
    <m/>
    <n v="300"/>
    <n v="0"/>
    <n v="33215.917120151993"/>
  </r>
  <r>
    <x v="81"/>
    <x v="4"/>
    <x v="289"/>
    <x v="0"/>
    <x v="5"/>
    <x v="738"/>
    <x v="25"/>
    <s v="POS"/>
    <n v="0.11282051282051282"/>
    <n v="390"/>
    <n v="44"/>
    <n v="0"/>
    <m/>
    <m/>
    <m/>
    <m/>
    <n v="0"/>
    <n v="0"/>
    <n v="33215.917120151993"/>
  </r>
  <r>
    <x v="81"/>
    <x v="4"/>
    <x v="59"/>
    <x v="0"/>
    <x v="5"/>
    <x v="738"/>
    <x v="25"/>
    <s v="POS"/>
    <n v="9.7619047619047619E-2"/>
    <n v="420"/>
    <n v="41"/>
    <n v="0"/>
    <m/>
    <m/>
    <m/>
    <m/>
    <n v="0"/>
    <n v="0"/>
    <n v="33215.917120151993"/>
  </r>
  <r>
    <x v="81"/>
    <x v="4"/>
    <x v="101"/>
    <x v="0"/>
    <x v="5"/>
    <x v="738"/>
    <x v="25"/>
    <s v="POS"/>
    <n v="0.5"/>
    <n v="200"/>
    <n v="100"/>
    <n v="0"/>
    <m/>
    <m/>
    <m/>
    <m/>
    <n v="0"/>
    <n v="0"/>
    <n v="33215.917120151993"/>
  </r>
  <r>
    <x v="81"/>
    <x v="4"/>
    <x v="100"/>
    <x v="0"/>
    <x v="5"/>
    <x v="739"/>
    <x v="25"/>
    <s v="POS"/>
    <n v="0.29333333333333333"/>
    <n v="750"/>
    <n v="220"/>
    <n v="0"/>
    <m/>
    <m/>
    <m/>
    <m/>
    <n v="0"/>
    <n v="0"/>
    <n v="33215.917120151993"/>
  </r>
  <r>
    <x v="81"/>
    <x v="4"/>
    <x v="232"/>
    <x v="0"/>
    <x v="1"/>
    <x v="740"/>
    <x v="25"/>
    <s v="NAKİT"/>
    <n v="1"/>
    <n v="350"/>
    <n v="0"/>
    <n v="0"/>
    <m/>
    <m/>
    <m/>
    <m/>
    <n v="350"/>
    <n v="0"/>
    <n v="33565.917120151993"/>
  </r>
  <r>
    <x v="81"/>
    <x v="4"/>
    <x v="217"/>
    <x v="0"/>
    <x v="1"/>
    <x v="741"/>
    <x v="25"/>
    <s v="NAKİT"/>
    <n v="2"/>
    <n v="215"/>
    <n v="0"/>
    <n v="0"/>
    <m/>
    <m/>
    <m/>
    <m/>
    <n v="430"/>
    <n v="0"/>
    <n v="33995.917120151993"/>
  </r>
  <r>
    <x v="81"/>
    <x v="4"/>
    <x v="93"/>
    <x v="0"/>
    <x v="1"/>
    <x v="742"/>
    <x v="25"/>
    <s v="NAKİT"/>
    <n v="1"/>
    <n v="295"/>
    <n v="0"/>
    <n v="0"/>
    <m/>
    <m/>
    <m/>
    <m/>
    <n v="295"/>
    <n v="0"/>
    <n v="34290.917120151993"/>
  </r>
  <r>
    <x v="81"/>
    <x v="10"/>
    <x v="0"/>
    <x v="0"/>
    <x v="5"/>
    <x v="2"/>
    <x v="63"/>
    <s v="POS"/>
    <n v="1"/>
    <n v="940"/>
    <n v="0"/>
    <n v="940"/>
    <n v="330"/>
    <m/>
    <m/>
    <m/>
    <n v="940"/>
    <n v="0"/>
    <n v="35230.917120151993"/>
  </r>
  <r>
    <x v="81"/>
    <x v="7"/>
    <x v="0"/>
    <x v="0"/>
    <x v="9"/>
    <x v="2"/>
    <x v="90"/>
    <s v="NAKİT"/>
    <n v="1"/>
    <n v="0"/>
    <n v="18331.5"/>
    <n v="0"/>
    <m/>
    <m/>
    <m/>
    <m/>
    <n v="0"/>
    <n v="18331.5"/>
    <n v="16899.417120151993"/>
  </r>
  <r>
    <x v="82"/>
    <x v="4"/>
    <x v="150"/>
    <x v="0"/>
    <x v="5"/>
    <x v="743"/>
    <x v="25"/>
    <s v="POS"/>
    <n v="0.54"/>
    <n v="250"/>
    <n v="135"/>
    <n v="0"/>
    <m/>
    <m/>
    <m/>
    <m/>
    <n v="0"/>
    <n v="0"/>
    <n v="16899.417120151993"/>
  </r>
  <r>
    <x v="82"/>
    <x v="4"/>
    <x v="270"/>
    <x v="0"/>
    <x v="1"/>
    <x v="744"/>
    <x v="25"/>
    <s v="NAKİT"/>
    <n v="1"/>
    <n v="130"/>
    <n v="0"/>
    <n v="0"/>
    <m/>
    <m/>
    <m/>
    <m/>
    <n v="130"/>
    <n v="0"/>
    <n v="17029.417120151993"/>
  </r>
  <r>
    <x v="82"/>
    <x v="4"/>
    <x v="27"/>
    <x v="0"/>
    <x v="1"/>
    <x v="745"/>
    <x v="25"/>
    <s v="NAKİT"/>
    <n v="0.09"/>
    <n v="400"/>
    <n v="0"/>
    <n v="0"/>
    <m/>
    <m/>
    <m/>
    <m/>
    <n v="36"/>
    <n v="0"/>
    <n v="17065.417120151993"/>
  </r>
  <r>
    <x v="82"/>
    <x v="4"/>
    <x v="23"/>
    <x v="0"/>
    <x v="1"/>
    <x v="745"/>
    <x v="25"/>
    <s v="NAKİT"/>
    <n v="0.15333333333333332"/>
    <n v="300"/>
    <n v="0"/>
    <n v="0"/>
    <m/>
    <m/>
    <m/>
    <m/>
    <n v="46"/>
    <n v="0"/>
    <n v="17111.417120151993"/>
  </r>
  <r>
    <x v="82"/>
    <x v="4"/>
    <x v="22"/>
    <x v="0"/>
    <x v="1"/>
    <x v="745"/>
    <x v="25"/>
    <s v="NAKİT"/>
    <n v="0.1225"/>
    <n v="400"/>
    <n v="0"/>
    <n v="0"/>
    <m/>
    <m/>
    <m/>
    <m/>
    <n v="49"/>
    <n v="0"/>
    <n v="17160.417120151993"/>
  </r>
  <r>
    <x v="82"/>
    <x v="4"/>
    <x v="355"/>
    <x v="0"/>
    <x v="5"/>
    <x v="746"/>
    <x v="25"/>
    <s v="POS"/>
    <n v="1"/>
    <n v="170"/>
    <n v="170"/>
    <n v="0"/>
    <m/>
    <m/>
    <m/>
    <m/>
    <n v="0"/>
    <n v="0"/>
    <n v="17160.417120151993"/>
  </r>
  <r>
    <x v="82"/>
    <x v="4"/>
    <x v="56"/>
    <x v="0"/>
    <x v="1"/>
    <x v="747"/>
    <x v="25"/>
    <s v="NAKİT"/>
    <n v="1"/>
    <n v="180"/>
    <n v="0"/>
    <n v="0"/>
    <m/>
    <m/>
    <m/>
    <m/>
    <n v="180"/>
    <n v="0"/>
    <n v="17340.417120151993"/>
  </r>
  <r>
    <x v="82"/>
    <x v="4"/>
    <x v="285"/>
    <x v="0"/>
    <x v="1"/>
    <x v="747"/>
    <x v="25"/>
    <s v="NAKİT"/>
    <n v="0.3125"/>
    <n v="320"/>
    <n v="0"/>
    <n v="0"/>
    <m/>
    <m/>
    <m/>
    <m/>
    <n v="100"/>
    <n v="0"/>
    <n v="17440.417120151993"/>
  </r>
  <r>
    <x v="82"/>
    <x v="4"/>
    <x v="99"/>
    <x v="0"/>
    <x v="1"/>
    <x v="748"/>
    <x v="25"/>
    <s v="NAKİT"/>
    <n v="5.5555555555555552E-2"/>
    <n v="900"/>
    <n v="0"/>
    <n v="0"/>
    <m/>
    <m/>
    <m/>
    <m/>
    <n v="50"/>
    <n v="0"/>
    <n v="17490.417120151993"/>
  </r>
  <r>
    <x v="82"/>
    <x v="4"/>
    <x v="347"/>
    <x v="0"/>
    <x v="1"/>
    <x v="749"/>
    <x v="25"/>
    <s v="NAKİT"/>
    <n v="0.18070175438596492"/>
    <n v="570"/>
    <n v="0"/>
    <n v="0"/>
    <m/>
    <m/>
    <m/>
    <m/>
    <n v="103"/>
    <n v="0"/>
    <n v="17593.417120151993"/>
  </r>
  <r>
    <x v="82"/>
    <x v="4"/>
    <x v="248"/>
    <x v="0"/>
    <x v="1"/>
    <x v="749"/>
    <x v="25"/>
    <s v="NAKİT"/>
    <n v="0.17391304347826086"/>
    <n v="690"/>
    <n v="0"/>
    <n v="0"/>
    <m/>
    <m/>
    <m/>
    <m/>
    <n v="120"/>
    <n v="0"/>
    <n v="17713.417120151993"/>
  </r>
  <r>
    <x v="82"/>
    <x v="4"/>
    <x v="315"/>
    <x v="0"/>
    <x v="5"/>
    <x v="750"/>
    <x v="25"/>
    <s v="POS"/>
    <n v="1"/>
    <n v="195"/>
    <n v="195"/>
    <n v="0"/>
    <m/>
    <m/>
    <m/>
    <m/>
    <n v="0"/>
    <n v="0"/>
    <n v="17713.417120151993"/>
  </r>
  <r>
    <x v="82"/>
    <x v="4"/>
    <x v="216"/>
    <x v="0"/>
    <x v="5"/>
    <x v="750"/>
    <x v="25"/>
    <s v="POS"/>
    <n v="1"/>
    <n v="220"/>
    <n v="220"/>
    <n v="0"/>
    <m/>
    <m/>
    <m/>
    <m/>
    <n v="0"/>
    <n v="0"/>
    <n v="17713.417120151993"/>
  </r>
  <r>
    <x v="82"/>
    <x v="4"/>
    <x v="18"/>
    <x v="0"/>
    <x v="5"/>
    <x v="751"/>
    <x v="25"/>
    <s v="POS"/>
    <n v="1"/>
    <n v="250"/>
    <n v="250"/>
    <n v="0"/>
    <m/>
    <m/>
    <m/>
    <m/>
    <n v="0"/>
    <n v="0"/>
    <n v="17713.417120151993"/>
  </r>
  <r>
    <x v="82"/>
    <x v="4"/>
    <x v="58"/>
    <x v="0"/>
    <x v="5"/>
    <x v="751"/>
    <x v="25"/>
    <s v="POS"/>
    <n v="1"/>
    <n v="200"/>
    <n v="200"/>
    <n v="0"/>
    <m/>
    <m/>
    <m/>
    <m/>
    <n v="0"/>
    <n v="0"/>
    <n v="17713.417120151993"/>
  </r>
  <r>
    <x v="82"/>
    <x v="4"/>
    <x v="58"/>
    <x v="0"/>
    <x v="5"/>
    <x v="751"/>
    <x v="25"/>
    <s v="POS"/>
    <n v="1"/>
    <n v="200"/>
    <n v="200"/>
    <n v="0"/>
    <m/>
    <m/>
    <m/>
    <m/>
    <n v="0"/>
    <n v="0"/>
    <n v="17713.417120151993"/>
  </r>
  <r>
    <x v="82"/>
    <x v="4"/>
    <x v="278"/>
    <x v="0"/>
    <x v="1"/>
    <x v="751"/>
    <x v="25"/>
    <s v="NAKİT"/>
    <n v="1"/>
    <n v="150"/>
    <n v="0"/>
    <n v="0"/>
    <m/>
    <m/>
    <m/>
    <m/>
    <n v="150"/>
    <n v="0"/>
    <n v="17863.417120151993"/>
  </r>
  <r>
    <x v="82"/>
    <x v="4"/>
    <x v="29"/>
    <x v="0"/>
    <x v="1"/>
    <x v="752"/>
    <x v="25"/>
    <s v="NAKİT"/>
    <n v="3.9473684210526314E-2"/>
    <n v="760"/>
    <n v="0"/>
    <n v="0"/>
    <m/>
    <m/>
    <m/>
    <m/>
    <n v="30"/>
    <n v="0"/>
    <n v="17893.417120151993"/>
  </r>
  <r>
    <x v="82"/>
    <x v="4"/>
    <x v="151"/>
    <x v="0"/>
    <x v="1"/>
    <x v="753"/>
    <x v="25"/>
    <s v="NAKİT"/>
    <n v="0.1"/>
    <n v="750"/>
    <n v="0"/>
    <n v="0"/>
    <m/>
    <m/>
    <m/>
    <m/>
    <n v="75"/>
    <n v="0"/>
    <n v="17968.417120151993"/>
  </r>
  <r>
    <x v="82"/>
    <x v="4"/>
    <x v="233"/>
    <x v="0"/>
    <x v="1"/>
    <x v="754"/>
    <x v="25"/>
    <s v="NAKİT"/>
    <n v="1"/>
    <n v="400"/>
    <n v="0"/>
    <n v="0"/>
    <m/>
    <m/>
    <m/>
    <m/>
    <n v="400"/>
    <n v="0"/>
    <n v="18368.417120151993"/>
  </r>
  <r>
    <x v="82"/>
    <x v="4"/>
    <x v="289"/>
    <x v="0"/>
    <x v="1"/>
    <x v="754"/>
    <x v="25"/>
    <s v="NAKİT"/>
    <n v="0.20200000000000001"/>
    <n v="360"/>
    <n v="0"/>
    <n v="0"/>
    <m/>
    <m/>
    <m/>
    <m/>
    <n v="72.72"/>
    <n v="0"/>
    <n v="18441.137120151994"/>
  </r>
  <r>
    <x v="82"/>
    <x v="4"/>
    <x v="51"/>
    <x v="0"/>
    <x v="1"/>
    <x v="754"/>
    <x v="25"/>
    <s v="NAKİT"/>
    <n v="0.1"/>
    <n v="400"/>
    <n v="0"/>
    <n v="0"/>
    <m/>
    <m/>
    <m/>
    <m/>
    <n v="40"/>
    <n v="0"/>
    <n v="18481.137120151994"/>
  </r>
  <r>
    <x v="82"/>
    <x v="4"/>
    <x v="54"/>
    <x v="0"/>
    <x v="1"/>
    <x v="754"/>
    <x v="25"/>
    <s v="NAKİT"/>
    <n v="0.1"/>
    <n v="400"/>
    <n v="0"/>
    <n v="0"/>
    <m/>
    <m/>
    <m/>
    <m/>
    <n v="40"/>
    <n v="0"/>
    <n v="18521.137120151994"/>
  </r>
  <r>
    <x v="82"/>
    <x v="4"/>
    <x v="88"/>
    <x v="0"/>
    <x v="1"/>
    <x v="754"/>
    <x v="25"/>
    <s v="NAKİT"/>
    <n v="0.05"/>
    <n v="1200"/>
    <n v="0"/>
    <n v="0"/>
    <m/>
    <m/>
    <m/>
    <m/>
    <n v="60"/>
    <n v="0"/>
    <n v="18581.137120151994"/>
  </r>
  <r>
    <x v="82"/>
    <x v="4"/>
    <x v="34"/>
    <x v="0"/>
    <x v="1"/>
    <x v="754"/>
    <x v="25"/>
    <s v="NAKİT"/>
    <n v="0.1"/>
    <n v="600"/>
    <n v="0"/>
    <n v="0"/>
    <m/>
    <m/>
    <m/>
    <m/>
    <n v="60"/>
    <n v="0"/>
    <n v="18641.137120151994"/>
  </r>
  <r>
    <x v="82"/>
    <x v="4"/>
    <x v="208"/>
    <x v="0"/>
    <x v="1"/>
    <x v="755"/>
    <x v="25"/>
    <s v="NAKİT"/>
    <n v="1"/>
    <n v="280"/>
    <n v="0"/>
    <n v="0"/>
    <m/>
    <m/>
    <m/>
    <m/>
    <n v="280"/>
    <n v="0"/>
    <n v="18921.137120151994"/>
  </r>
  <r>
    <x v="82"/>
    <x v="4"/>
    <x v="150"/>
    <x v="0"/>
    <x v="1"/>
    <x v="756"/>
    <x v="25"/>
    <s v="NAKİT"/>
    <n v="2"/>
    <n v="250"/>
    <n v="0"/>
    <n v="0"/>
    <m/>
    <m/>
    <m/>
    <m/>
    <n v="500"/>
    <n v="0"/>
    <n v="19421.137120151994"/>
  </r>
  <r>
    <x v="82"/>
    <x v="4"/>
    <x v="57"/>
    <x v="0"/>
    <x v="1"/>
    <x v="756"/>
    <x v="25"/>
    <s v="NAKİT"/>
    <n v="1"/>
    <n v="150"/>
    <n v="0"/>
    <n v="0"/>
    <m/>
    <m/>
    <m/>
    <m/>
    <n v="150"/>
    <n v="0"/>
    <n v="19571.137120151994"/>
  </r>
  <r>
    <x v="82"/>
    <x v="4"/>
    <x v="112"/>
    <x v="0"/>
    <x v="1"/>
    <x v="756"/>
    <x v="25"/>
    <s v="NAKİT"/>
    <n v="0.05"/>
    <n v="1200"/>
    <n v="0"/>
    <n v="0"/>
    <m/>
    <m/>
    <m/>
    <m/>
    <n v="60"/>
    <n v="0"/>
    <n v="19631.137120151994"/>
  </r>
  <r>
    <x v="82"/>
    <x v="4"/>
    <x v="34"/>
    <x v="0"/>
    <x v="1"/>
    <x v="756"/>
    <x v="25"/>
    <s v="NAKİT"/>
    <n v="0.1"/>
    <n v="600"/>
    <n v="0"/>
    <n v="0"/>
    <m/>
    <m/>
    <m/>
    <m/>
    <n v="60"/>
    <n v="0"/>
    <n v="19691.137120151994"/>
  </r>
  <r>
    <x v="82"/>
    <x v="4"/>
    <x v="29"/>
    <x v="0"/>
    <x v="1"/>
    <x v="756"/>
    <x v="25"/>
    <s v="NAKİT"/>
    <n v="3.9473684210526314E-2"/>
    <n v="760"/>
    <n v="0"/>
    <n v="0"/>
    <m/>
    <m/>
    <m/>
    <m/>
    <n v="30"/>
    <n v="0"/>
    <n v="19721.137120151994"/>
  </r>
  <r>
    <x v="82"/>
    <x v="4"/>
    <x v="49"/>
    <x v="0"/>
    <x v="1"/>
    <x v="757"/>
    <x v="25"/>
    <s v="NAKİT"/>
    <n v="0.1"/>
    <n v="600"/>
    <n v="0"/>
    <n v="0"/>
    <m/>
    <m/>
    <m/>
    <m/>
    <n v="60"/>
    <n v="0"/>
    <n v="19781.137120151994"/>
  </r>
  <r>
    <x v="82"/>
    <x v="10"/>
    <x v="0"/>
    <x v="0"/>
    <x v="5"/>
    <x v="2"/>
    <x v="63"/>
    <s v="POS"/>
    <n v="1"/>
    <n v="365"/>
    <n v="0"/>
    <n v="365"/>
    <n v="330"/>
    <m/>
    <m/>
    <m/>
    <n v="365"/>
    <n v="0"/>
    <n v="20146.137120151994"/>
  </r>
  <r>
    <x v="82"/>
    <x v="10"/>
    <x v="0"/>
    <x v="0"/>
    <x v="5"/>
    <x v="2"/>
    <x v="63"/>
    <s v="POS"/>
    <n v="1"/>
    <n v="639"/>
    <n v="0"/>
    <n v="639"/>
    <n v="330"/>
    <m/>
    <m/>
    <m/>
    <n v="639"/>
    <n v="0"/>
    <n v="20785.137120151994"/>
  </r>
  <r>
    <x v="82"/>
    <x v="10"/>
    <x v="0"/>
    <x v="0"/>
    <x v="5"/>
    <x v="2"/>
    <x v="63"/>
    <s v="POS"/>
    <n v="1"/>
    <n v="135"/>
    <n v="0"/>
    <n v="135"/>
    <n v="330"/>
    <m/>
    <m/>
    <m/>
    <n v="135"/>
    <n v="0"/>
    <n v="20920.137120151994"/>
  </r>
  <r>
    <x v="83"/>
    <x v="4"/>
    <x v="55"/>
    <x v="0"/>
    <x v="1"/>
    <x v="758"/>
    <x v="25"/>
    <s v="NAKİT"/>
    <n v="1"/>
    <n v="200"/>
    <n v="0"/>
    <n v="0"/>
    <m/>
    <m/>
    <m/>
    <m/>
    <n v="200"/>
    <n v="0"/>
    <n v="21120.137120151994"/>
  </r>
  <r>
    <x v="83"/>
    <x v="4"/>
    <x v="150"/>
    <x v="0"/>
    <x v="5"/>
    <x v="759"/>
    <x v="25"/>
    <s v="POS"/>
    <n v="1"/>
    <n v="250"/>
    <n v="250"/>
    <n v="0"/>
    <m/>
    <m/>
    <m/>
    <m/>
    <n v="0"/>
    <n v="0"/>
    <n v="21120.137120151994"/>
  </r>
  <r>
    <x v="83"/>
    <x v="4"/>
    <x v="298"/>
    <x v="0"/>
    <x v="5"/>
    <x v="759"/>
    <x v="25"/>
    <s v="POS"/>
    <n v="0.1"/>
    <n v="1500"/>
    <n v="150"/>
    <n v="0"/>
    <m/>
    <m/>
    <m/>
    <m/>
    <n v="0"/>
    <n v="0"/>
    <n v="21120.137120151994"/>
  </r>
  <r>
    <x v="83"/>
    <x v="4"/>
    <x v="83"/>
    <x v="0"/>
    <x v="5"/>
    <x v="760"/>
    <x v="25"/>
    <s v="POS"/>
    <n v="0.05"/>
    <n v="2600"/>
    <n v="130"/>
    <n v="0"/>
    <m/>
    <m/>
    <m/>
    <m/>
    <n v="0"/>
    <n v="0"/>
    <n v="21120.137120151994"/>
  </r>
  <r>
    <x v="83"/>
    <x v="4"/>
    <x v="257"/>
    <x v="0"/>
    <x v="5"/>
    <x v="760"/>
    <x v="25"/>
    <s v="POS"/>
    <n v="1"/>
    <n v="170"/>
    <n v="170"/>
    <n v="0"/>
    <m/>
    <m/>
    <m/>
    <m/>
    <n v="0"/>
    <n v="0"/>
    <n v="21120.137120151994"/>
  </r>
  <r>
    <x v="83"/>
    <x v="4"/>
    <x v="99"/>
    <x v="0"/>
    <x v="5"/>
    <x v="760"/>
    <x v="25"/>
    <s v="POS"/>
    <n v="0.1"/>
    <n v="900"/>
    <n v="90"/>
    <n v="0"/>
    <m/>
    <m/>
    <m/>
    <m/>
    <n v="0"/>
    <n v="0"/>
    <n v="21120.137120151994"/>
  </r>
  <r>
    <x v="83"/>
    <x v="4"/>
    <x v="30"/>
    <x v="0"/>
    <x v="1"/>
    <x v="761"/>
    <x v="25"/>
    <s v="NAKİT"/>
    <n v="7.0000000000000007E-2"/>
    <n v="500"/>
    <n v="0"/>
    <n v="0"/>
    <m/>
    <m/>
    <m/>
    <m/>
    <n v="35"/>
    <n v="0"/>
    <n v="21155.137120151994"/>
  </r>
  <r>
    <x v="83"/>
    <x v="4"/>
    <x v="150"/>
    <x v="0"/>
    <x v="1"/>
    <x v="762"/>
    <x v="25"/>
    <s v="NAKİT"/>
    <n v="1"/>
    <n v="250"/>
    <n v="0"/>
    <n v="0"/>
    <m/>
    <m/>
    <m/>
    <m/>
    <n v="250"/>
    <n v="0"/>
    <n v="21405.137120151994"/>
  </r>
  <r>
    <x v="83"/>
    <x v="4"/>
    <x v="285"/>
    <x v="0"/>
    <x v="1"/>
    <x v="763"/>
    <x v="25"/>
    <s v="NAKİT"/>
    <n v="0.109375"/>
    <n v="320"/>
    <n v="0"/>
    <n v="0"/>
    <m/>
    <m/>
    <m/>
    <m/>
    <n v="35"/>
    <n v="0"/>
    <n v="21440.137120151994"/>
  </r>
  <r>
    <x v="83"/>
    <x v="4"/>
    <x v="31"/>
    <x v="0"/>
    <x v="5"/>
    <x v="764"/>
    <x v="35"/>
    <s v="POS"/>
    <n v="2"/>
    <n v="235"/>
    <n v="470"/>
    <n v="0"/>
    <m/>
    <m/>
    <m/>
    <m/>
    <n v="0"/>
    <n v="0"/>
    <n v="21440.137120151994"/>
  </r>
  <r>
    <x v="83"/>
    <x v="4"/>
    <x v="161"/>
    <x v="0"/>
    <x v="5"/>
    <x v="764"/>
    <x v="35"/>
    <s v="POS"/>
    <n v="3"/>
    <n v="210"/>
    <n v="630"/>
    <n v="0"/>
    <m/>
    <m/>
    <m/>
    <m/>
    <n v="0"/>
    <n v="0"/>
    <n v="21440.137120151994"/>
  </r>
  <r>
    <x v="83"/>
    <x v="4"/>
    <x v="33"/>
    <x v="0"/>
    <x v="5"/>
    <x v="764"/>
    <x v="35"/>
    <s v="POS"/>
    <n v="2"/>
    <n v="235"/>
    <n v="470"/>
    <n v="0"/>
    <m/>
    <m/>
    <m/>
    <m/>
    <n v="0"/>
    <n v="0"/>
    <n v="21440.137120151994"/>
  </r>
  <r>
    <x v="83"/>
    <x v="4"/>
    <x v="76"/>
    <x v="0"/>
    <x v="1"/>
    <x v="765"/>
    <x v="25"/>
    <s v="NAKİT"/>
    <n v="0.5"/>
    <n v="80"/>
    <n v="0"/>
    <n v="0"/>
    <m/>
    <m/>
    <m/>
    <m/>
    <n v="40"/>
    <n v="0"/>
    <n v="21480.137120151994"/>
  </r>
  <r>
    <x v="83"/>
    <x v="4"/>
    <x v="233"/>
    <x v="0"/>
    <x v="1"/>
    <x v="766"/>
    <x v="25"/>
    <s v="NAKİT"/>
    <n v="1"/>
    <n v="400"/>
    <n v="0"/>
    <n v="0"/>
    <m/>
    <m/>
    <m/>
    <m/>
    <n v="400"/>
    <n v="0"/>
    <n v="21880.137120151994"/>
  </r>
  <r>
    <x v="83"/>
    <x v="4"/>
    <x v="49"/>
    <x v="0"/>
    <x v="1"/>
    <x v="767"/>
    <x v="25"/>
    <s v="NAKİT"/>
    <n v="0.1"/>
    <n v="500"/>
    <n v="0"/>
    <n v="0"/>
    <m/>
    <m/>
    <m/>
    <m/>
    <n v="50"/>
    <n v="0"/>
    <n v="21930.137120151994"/>
  </r>
  <r>
    <x v="83"/>
    <x v="4"/>
    <x v="150"/>
    <x v="0"/>
    <x v="1"/>
    <x v="767"/>
    <x v="25"/>
    <s v="NAKİT"/>
    <n v="0.22"/>
    <n v="250"/>
    <n v="0"/>
    <n v="0"/>
    <m/>
    <m/>
    <m/>
    <m/>
    <n v="55"/>
    <n v="0"/>
    <n v="21985.137120151994"/>
  </r>
  <r>
    <x v="83"/>
    <x v="4"/>
    <x v="87"/>
    <x v="0"/>
    <x v="1"/>
    <x v="768"/>
    <x v="25"/>
    <s v="NAKİT"/>
    <n v="2.5714285714285714E-2"/>
    <n v="1400"/>
    <n v="0"/>
    <n v="0"/>
    <m/>
    <m/>
    <m/>
    <m/>
    <n v="36"/>
    <n v="0"/>
    <n v="22021.137120151994"/>
  </r>
  <r>
    <x v="83"/>
    <x v="4"/>
    <x v="94"/>
    <x v="0"/>
    <x v="1"/>
    <x v="768"/>
    <x v="25"/>
    <s v="NAKİT"/>
    <n v="2.1999999999999999E-2"/>
    <n v="2000"/>
    <n v="0"/>
    <n v="0"/>
    <m/>
    <m/>
    <m/>
    <m/>
    <n v="44"/>
    <n v="0"/>
    <n v="22065.137120151994"/>
  </r>
  <r>
    <x v="84"/>
    <x v="4"/>
    <x v="25"/>
    <x v="0"/>
    <x v="5"/>
    <x v="769"/>
    <x v="25"/>
    <s v="POS"/>
    <n v="0.13400000000000001"/>
    <n v="390"/>
    <n v="52.260000000000005"/>
    <n v="0"/>
    <m/>
    <m/>
    <m/>
    <m/>
    <n v="0"/>
    <n v="0"/>
    <n v="22065.137120151994"/>
  </r>
  <r>
    <x v="84"/>
    <x v="4"/>
    <x v="161"/>
    <x v="0"/>
    <x v="5"/>
    <x v="769"/>
    <x v="25"/>
    <s v="POS"/>
    <n v="0.12"/>
    <n v="370"/>
    <n v="44.4"/>
    <n v="0"/>
    <m/>
    <m/>
    <m/>
    <m/>
    <n v="0"/>
    <n v="0"/>
    <n v="22065.137120151994"/>
  </r>
  <r>
    <x v="84"/>
    <x v="4"/>
    <x v="61"/>
    <x v="0"/>
    <x v="5"/>
    <x v="769"/>
    <x v="25"/>
    <s v="POS"/>
    <n v="0.05"/>
    <n v="770"/>
    <n v="38.5"/>
    <n v="0"/>
    <m/>
    <m/>
    <m/>
    <m/>
    <n v="0"/>
    <n v="0"/>
    <n v="22065.137120151994"/>
  </r>
  <r>
    <x v="84"/>
    <x v="4"/>
    <x v="160"/>
    <x v="0"/>
    <x v="5"/>
    <x v="769"/>
    <x v="25"/>
    <s v="POS"/>
    <n v="1"/>
    <n v="120"/>
    <n v="120"/>
    <n v="0"/>
    <m/>
    <m/>
    <m/>
    <m/>
    <n v="0"/>
    <n v="0"/>
    <n v="22065.137120151994"/>
  </r>
  <r>
    <x v="84"/>
    <x v="4"/>
    <x v="312"/>
    <x v="0"/>
    <x v="5"/>
    <x v="769"/>
    <x v="25"/>
    <s v="POS"/>
    <n v="0.5"/>
    <n v="400"/>
    <n v="200"/>
    <n v="0"/>
    <m/>
    <m/>
    <m/>
    <m/>
    <n v="0"/>
    <n v="0"/>
    <n v="22065.137120151994"/>
  </r>
  <r>
    <x v="84"/>
    <x v="4"/>
    <x v="82"/>
    <x v="0"/>
    <x v="5"/>
    <x v="769"/>
    <x v="25"/>
    <s v="POS"/>
    <n v="0.5"/>
    <n v="140"/>
    <n v="70"/>
    <n v="0"/>
    <m/>
    <m/>
    <m/>
    <m/>
    <n v="0"/>
    <n v="0"/>
    <n v="22065.137120151994"/>
  </r>
  <r>
    <x v="84"/>
    <x v="4"/>
    <x v="237"/>
    <x v="0"/>
    <x v="5"/>
    <x v="769"/>
    <x v="25"/>
    <s v="POS"/>
    <n v="1"/>
    <n v="170"/>
    <n v="170"/>
    <n v="0"/>
    <m/>
    <m/>
    <m/>
    <m/>
    <n v="0"/>
    <n v="0"/>
    <n v="22065.137120151994"/>
  </r>
  <r>
    <x v="84"/>
    <x v="4"/>
    <x v="56"/>
    <x v="0"/>
    <x v="5"/>
    <x v="769"/>
    <x v="25"/>
    <s v="POS"/>
    <n v="1"/>
    <n v="200"/>
    <n v="200"/>
    <n v="0"/>
    <m/>
    <m/>
    <m/>
    <m/>
    <n v="0"/>
    <n v="0"/>
    <n v="22065.137120151994"/>
  </r>
  <r>
    <x v="84"/>
    <x v="4"/>
    <x v="57"/>
    <x v="0"/>
    <x v="5"/>
    <x v="769"/>
    <x v="25"/>
    <s v="POS"/>
    <n v="1"/>
    <n v="150"/>
    <n v="150"/>
    <n v="0"/>
    <m/>
    <m/>
    <m/>
    <m/>
    <n v="0"/>
    <n v="0"/>
    <n v="22065.137120151994"/>
  </r>
  <r>
    <x v="84"/>
    <x v="4"/>
    <x v="38"/>
    <x v="0"/>
    <x v="5"/>
    <x v="770"/>
    <x v="25"/>
    <s v="POS"/>
    <n v="0.1"/>
    <n v="650"/>
    <n v="65"/>
    <n v="0"/>
    <m/>
    <m/>
    <m/>
    <m/>
    <n v="0"/>
    <n v="0"/>
    <n v="22065.137120151994"/>
  </r>
  <r>
    <x v="84"/>
    <x v="4"/>
    <x v="83"/>
    <x v="0"/>
    <x v="1"/>
    <x v="771"/>
    <x v="25"/>
    <s v="NAKİT"/>
    <n v="0.05"/>
    <n v="2600"/>
    <n v="0"/>
    <n v="0"/>
    <m/>
    <m/>
    <m/>
    <m/>
    <n v="130"/>
    <n v="0"/>
    <n v="22195.137120151994"/>
  </r>
  <r>
    <x v="84"/>
    <x v="4"/>
    <x v="18"/>
    <x v="0"/>
    <x v="1"/>
    <x v="772"/>
    <x v="25"/>
    <s v="NAKİT"/>
    <n v="1"/>
    <n v="250"/>
    <n v="0"/>
    <n v="0"/>
    <m/>
    <m/>
    <m/>
    <m/>
    <n v="250"/>
    <n v="0"/>
    <n v="22445.137120151994"/>
  </r>
  <r>
    <x v="84"/>
    <x v="4"/>
    <x v="28"/>
    <x v="0"/>
    <x v="5"/>
    <x v="773"/>
    <x v="25"/>
    <s v="POS"/>
    <n v="9.4E-2"/>
    <n v="500"/>
    <n v="47"/>
    <n v="0"/>
    <m/>
    <m/>
    <m/>
    <m/>
    <n v="0"/>
    <n v="0"/>
    <n v="22445.137120151994"/>
  </r>
  <r>
    <x v="84"/>
    <x v="4"/>
    <x v="239"/>
    <x v="0"/>
    <x v="5"/>
    <x v="773"/>
    <x v="25"/>
    <s v="POS"/>
    <n v="0.25"/>
    <n v="400"/>
    <n v="100"/>
    <n v="0"/>
    <m/>
    <m/>
    <m/>
    <m/>
    <n v="0"/>
    <n v="0"/>
    <n v="22445.137120151994"/>
  </r>
  <r>
    <x v="84"/>
    <x v="4"/>
    <x v="344"/>
    <x v="0"/>
    <x v="1"/>
    <x v="774"/>
    <x v="25"/>
    <s v="NAKİT"/>
    <n v="0.35333333333333333"/>
    <n v="450"/>
    <n v="0"/>
    <n v="0"/>
    <m/>
    <m/>
    <m/>
    <m/>
    <n v="159"/>
    <n v="0"/>
    <n v="22604.137120151994"/>
  </r>
  <r>
    <x v="84"/>
    <x v="4"/>
    <x v="18"/>
    <x v="0"/>
    <x v="1"/>
    <x v="774"/>
    <x v="25"/>
    <s v="NAKİT"/>
    <n v="1"/>
    <n v="215"/>
    <n v="0"/>
    <n v="0"/>
    <m/>
    <m/>
    <m/>
    <m/>
    <n v="215"/>
    <n v="0"/>
    <n v="22819.137120151994"/>
  </r>
  <r>
    <x v="84"/>
    <x v="4"/>
    <x v="18"/>
    <x v="0"/>
    <x v="5"/>
    <x v="775"/>
    <x v="25"/>
    <s v="POS"/>
    <n v="1"/>
    <n v="250"/>
    <n v="250"/>
    <n v="0"/>
    <m/>
    <m/>
    <m/>
    <m/>
    <n v="0"/>
    <n v="0"/>
    <n v="22819.137120151994"/>
  </r>
  <r>
    <x v="84"/>
    <x v="4"/>
    <x v="303"/>
    <x v="0"/>
    <x v="5"/>
    <x v="776"/>
    <x v="25"/>
    <s v="POS"/>
    <n v="1"/>
    <n v="440"/>
    <n v="440"/>
    <n v="0"/>
    <m/>
    <m/>
    <m/>
    <m/>
    <n v="0"/>
    <n v="0"/>
    <n v="22819.137120151994"/>
  </r>
  <r>
    <x v="84"/>
    <x v="4"/>
    <x v="98"/>
    <x v="0"/>
    <x v="5"/>
    <x v="776"/>
    <x v="25"/>
    <s v="POS"/>
    <n v="0.5"/>
    <n v="800"/>
    <n v="400"/>
    <n v="0"/>
    <m/>
    <m/>
    <m/>
    <m/>
    <n v="0"/>
    <n v="0"/>
    <n v="22819.137120151994"/>
  </r>
  <r>
    <x v="84"/>
    <x v="4"/>
    <x v="170"/>
    <x v="0"/>
    <x v="5"/>
    <x v="776"/>
    <x v="25"/>
    <s v="POS"/>
    <n v="1"/>
    <n v="250"/>
    <n v="250"/>
    <n v="0"/>
    <m/>
    <m/>
    <m/>
    <m/>
    <n v="0"/>
    <n v="0"/>
    <n v="22819.137120151994"/>
  </r>
  <r>
    <x v="84"/>
    <x v="4"/>
    <x v="88"/>
    <x v="0"/>
    <x v="1"/>
    <x v="777"/>
    <x v="25"/>
    <s v="NAKİT"/>
    <n v="0.05"/>
    <n v="1200"/>
    <n v="0"/>
    <n v="0"/>
    <m/>
    <m/>
    <m/>
    <m/>
    <n v="60"/>
    <n v="0"/>
    <n v="22879.137120151994"/>
  </r>
  <r>
    <x v="84"/>
    <x v="7"/>
    <x v="0"/>
    <x v="0"/>
    <x v="9"/>
    <x v="2"/>
    <x v="96"/>
    <s v="NAKİT"/>
    <n v="1"/>
    <n v="0"/>
    <n v="10000"/>
    <n v="0"/>
    <m/>
    <m/>
    <m/>
    <m/>
    <n v="0"/>
    <n v="10000"/>
    <n v="12879.137120151994"/>
  </r>
  <r>
    <x v="84"/>
    <x v="10"/>
    <x v="0"/>
    <x v="0"/>
    <x v="5"/>
    <x v="2"/>
    <x v="63"/>
    <s v="POS"/>
    <n v="1"/>
    <n v="232"/>
    <n v="0"/>
    <n v="232"/>
    <n v="330"/>
    <m/>
    <m/>
    <m/>
    <n v="232"/>
    <n v="0"/>
    <n v="13111.137120151994"/>
  </r>
  <r>
    <x v="84"/>
    <x v="10"/>
    <x v="0"/>
    <x v="0"/>
    <x v="5"/>
    <x v="2"/>
    <x v="63"/>
    <s v="POS"/>
    <n v="1"/>
    <n v="1314"/>
    <n v="0"/>
    <n v="1314"/>
    <n v="330"/>
    <m/>
    <m/>
    <m/>
    <n v="1314"/>
    <n v="0"/>
    <n v="14425.137120151994"/>
  </r>
  <r>
    <x v="84"/>
    <x v="3"/>
    <x v="86"/>
    <x v="0"/>
    <x v="4"/>
    <x v="2"/>
    <x v="32"/>
    <s v="CARİ"/>
    <n v="10"/>
    <n v="275"/>
    <n v="0"/>
    <n v="2750"/>
    <m/>
    <m/>
    <m/>
    <m/>
    <n v="0"/>
    <n v="0"/>
    <n v="14425.137120151994"/>
  </r>
  <r>
    <x v="84"/>
    <x v="3"/>
    <x v="273"/>
    <x v="0"/>
    <x v="4"/>
    <x v="2"/>
    <x v="32"/>
    <s v="CARİ"/>
    <n v="3"/>
    <n v="180"/>
    <n v="0"/>
    <n v="540"/>
    <m/>
    <m/>
    <m/>
    <m/>
    <n v="0"/>
    <n v="0"/>
    <n v="14425.137120151994"/>
  </r>
  <r>
    <x v="84"/>
    <x v="3"/>
    <x v="232"/>
    <x v="0"/>
    <x v="4"/>
    <x v="2"/>
    <x v="32"/>
    <s v="CARİ"/>
    <n v="20"/>
    <n v="205"/>
    <n v="0"/>
    <n v="4100"/>
    <m/>
    <m/>
    <m/>
    <m/>
    <n v="0"/>
    <n v="0"/>
    <n v="14425.137120151994"/>
  </r>
  <r>
    <x v="84"/>
    <x v="3"/>
    <x v="137"/>
    <x v="0"/>
    <x v="4"/>
    <x v="2"/>
    <x v="32"/>
    <s v="CARİ"/>
    <n v="6"/>
    <n v="105"/>
    <n v="0"/>
    <n v="630"/>
    <m/>
    <m/>
    <m/>
    <m/>
    <n v="0"/>
    <n v="0"/>
    <n v="14425.137120151994"/>
  </r>
  <r>
    <x v="84"/>
    <x v="3"/>
    <x v="98"/>
    <x v="0"/>
    <x v="4"/>
    <x v="2"/>
    <x v="32"/>
    <s v="CARİ"/>
    <n v="5"/>
    <n v="550"/>
    <n v="0"/>
    <n v="2750"/>
    <m/>
    <m/>
    <m/>
    <m/>
    <n v="0"/>
    <n v="0"/>
    <n v="14425.137120151994"/>
  </r>
  <r>
    <x v="84"/>
    <x v="3"/>
    <x v="356"/>
    <x v="0"/>
    <x v="4"/>
    <x v="2"/>
    <x v="32"/>
    <s v="CARİ"/>
    <n v="30"/>
    <n v="4.6666699999999999"/>
    <n v="0"/>
    <n v="140.0001"/>
    <m/>
    <m/>
    <m/>
    <m/>
    <n v="0"/>
    <n v="0"/>
    <n v="14425.137120151994"/>
  </r>
  <r>
    <x v="84"/>
    <x v="3"/>
    <x v="100"/>
    <x v="0"/>
    <x v="4"/>
    <x v="2"/>
    <x v="32"/>
    <s v="CARİ"/>
    <n v="5"/>
    <n v="500"/>
    <n v="0"/>
    <n v="2500"/>
    <m/>
    <m/>
    <m/>
    <m/>
    <n v="0"/>
    <n v="0"/>
    <n v="14425.137120151994"/>
  </r>
  <r>
    <x v="84"/>
    <x v="3"/>
    <x v="233"/>
    <x v="0"/>
    <x v="4"/>
    <x v="2"/>
    <x v="32"/>
    <s v="CARİ"/>
    <n v="20"/>
    <n v="265"/>
    <n v="0"/>
    <n v="5300"/>
    <m/>
    <m/>
    <m/>
    <m/>
    <n v="0"/>
    <n v="0"/>
    <n v="14425.137120151994"/>
  </r>
  <r>
    <x v="84"/>
    <x v="3"/>
    <x v="357"/>
    <x v="0"/>
    <x v="4"/>
    <x v="2"/>
    <x v="32"/>
    <s v="CARİ"/>
    <n v="5"/>
    <n v="160"/>
    <n v="0"/>
    <n v="800"/>
    <m/>
    <m/>
    <m/>
    <m/>
    <n v="0"/>
    <n v="0"/>
    <n v="14425.137120151994"/>
  </r>
  <r>
    <x v="84"/>
    <x v="7"/>
    <x v="0"/>
    <x v="0"/>
    <x v="3"/>
    <x v="2"/>
    <x v="77"/>
    <s v="NAKİT"/>
    <n v="1"/>
    <n v="0"/>
    <n v="10000"/>
    <n v="0"/>
    <n v="0"/>
    <n v="10000"/>
    <m/>
    <m/>
    <n v="0"/>
    <n v="10000"/>
    <n v="4425.1371201519942"/>
  </r>
  <r>
    <x v="84"/>
    <x v="1"/>
    <x v="0"/>
    <x v="16"/>
    <x v="1"/>
    <x v="2"/>
    <x v="97"/>
    <s v="NAKİT"/>
    <n v="1"/>
    <n v="441"/>
    <n v="0"/>
    <n v="0"/>
    <m/>
    <m/>
    <m/>
    <m/>
    <n v="0"/>
    <n v="441"/>
    <n v="3984.1371201519942"/>
  </r>
  <r>
    <x v="84"/>
    <x v="1"/>
    <x v="0"/>
    <x v="16"/>
    <x v="1"/>
    <x v="2"/>
    <x v="98"/>
    <s v="NAKİT"/>
    <n v="1"/>
    <n v="441"/>
    <n v="0"/>
    <n v="0"/>
    <m/>
    <m/>
    <m/>
    <m/>
    <n v="0"/>
    <n v="441"/>
    <n v="3543.1371201519942"/>
  </r>
  <r>
    <x v="85"/>
    <x v="4"/>
    <x v="18"/>
    <x v="0"/>
    <x v="1"/>
    <x v="778"/>
    <x v="25"/>
    <s v="NAKİT"/>
    <n v="1"/>
    <n v="200"/>
    <n v="0"/>
    <n v="0"/>
    <m/>
    <m/>
    <m/>
    <m/>
    <n v="200"/>
    <n v="0"/>
    <n v="3743.1371201519942"/>
  </r>
  <r>
    <x v="85"/>
    <x v="4"/>
    <x v="23"/>
    <x v="0"/>
    <x v="1"/>
    <x v="779"/>
    <x v="25"/>
    <s v="NAKİT"/>
    <n v="0.24333333333333335"/>
    <n v="300"/>
    <n v="0"/>
    <n v="0"/>
    <m/>
    <m/>
    <m/>
    <m/>
    <n v="73"/>
    <n v="0"/>
    <n v="3816.1371201519942"/>
  </r>
  <r>
    <x v="85"/>
    <x v="4"/>
    <x v="101"/>
    <x v="0"/>
    <x v="5"/>
    <x v="780"/>
    <x v="25"/>
    <s v="POS"/>
    <n v="0.22727272727272727"/>
    <n v="220"/>
    <n v="50"/>
    <n v="0"/>
    <m/>
    <m/>
    <m/>
    <m/>
    <n v="0"/>
    <n v="0"/>
    <n v="3816.1371201519942"/>
  </r>
  <r>
    <x v="85"/>
    <x v="4"/>
    <x v="150"/>
    <x v="0"/>
    <x v="5"/>
    <x v="780"/>
    <x v="25"/>
    <s v="POS"/>
    <n v="1"/>
    <n v="250"/>
    <n v="250"/>
    <n v="0"/>
    <m/>
    <m/>
    <m/>
    <m/>
    <n v="0"/>
    <n v="0"/>
    <n v="3816.1371201519942"/>
  </r>
  <r>
    <x v="85"/>
    <x v="4"/>
    <x v="287"/>
    <x v="0"/>
    <x v="5"/>
    <x v="780"/>
    <x v="25"/>
    <s v="POS"/>
    <n v="1.016"/>
    <n v="65"/>
    <n v="66.040000000000006"/>
    <n v="0"/>
    <m/>
    <m/>
    <m/>
    <m/>
    <n v="0"/>
    <n v="0"/>
    <n v="3816.1371201519942"/>
  </r>
  <r>
    <x v="85"/>
    <x v="4"/>
    <x v="88"/>
    <x v="0"/>
    <x v="5"/>
    <x v="780"/>
    <x v="25"/>
    <s v="POS"/>
    <n v="0.05"/>
    <n v="1200"/>
    <n v="60"/>
    <n v="0"/>
    <m/>
    <m/>
    <m/>
    <m/>
    <n v="0"/>
    <n v="0"/>
    <n v="3816.1371201519942"/>
  </r>
  <r>
    <x v="85"/>
    <x v="4"/>
    <x v="98"/>
    <x v="0"/>
    <x v="5"/>
    <x v="781"/>
    <x v="25"/>
    <s v="POS"/>
    <n v="0.5625"/>
    <n v="800"/>
    <n v="450"/>
    <n v="0"/>
    <m/>
    <m/>
    <m/>
    <m/>
    <n v="0"/>
    <n v="0"/>
    <n v="3816.1371201519942"/>
  </r>
  <r>
    <x v="85"/>
    <x v="4"/>
    <x v="248"/>
    <x v="0"/>
    <x v="5"/>
    <x v="781"/>
    <x v="25"/>
    <s v="POS"/>
    <n v="0.28985507246376813"/>
    <n v="690"/>
    <n v="200"/>
    <n v="0"/>
    <m/>
    <m/>
    <m/>
    <m/>
    <n v="0"/>
    <n v="0"/>
    <n v="3816.1371201519942"/>
  </r>
  <r>
    <x v="85"/>
    <x v="4"/>
    <x v="73"/>
    <x v="0"/>
    <x v="5"/>
    <x v="781"/>
    <x v="25"/>
    <s v="POS"/>
    <n v="0.21052631578947367"/>
    <n v="950"/>
    <n v="200"/>
    <n v="0"/>
    <m/>
    <m/>
    <m/>
    <m/>
    <n v="0"/>
    <n v="0"/>
    <n v="3816.1371201519942"/>
  </r>
  <r>
    <x v="85"/>
    <x v="4"/>
    <x v="100"/>
    <x v="0"/>
    <x v="1"/>
    <x v="781"/>
    <x v="25"/>
    <s v="NAKİT"/>
    <n v="0.3"/>
    <n v="750"/>
    <n v="0"/>
    <n v="0"/>
    <m/>
    <m/>
    <m/>
    <m/>
    <n v="225"/>
    <n v="0"/>
    <n v="4041.1371201519942"/>
  </r>
  <r>
    <x v="85"/>
    <x v="4"/>
    <x v="204"/>
    <x v="0"/>
    <x v="1"/>
    <x v="781"/>
    <x v="25"/>
    <s v="NAKİT"/>
    <n v="0.04"/>
    <n v="800"/>
    <n v="0"/>
    <n v="0"/>
    <m/>
    <m/>
    <m/>
    <m/>
    <n v="32"/>
    <n v="0"/>
    <n v="4073.1371201519942"/>
  </r>
  <r>
    <x v="85"/>
    <x v="4"/>
    <x v="94"/>
    <x v="0"/>
    <x v="5"/>
    <x v="782"/>
    <x v="25"/>
    <s v="POS"/>
    <n v="1.7500000000000002E-2"/>
    <n v="2000"/>
    <n v="35"/>
    <n v="0"/>
    <m/>
    <m/>
    <m/>
    <m/>
    <n v="0"/>
    <n v="0"/>
    <n v="4073.1371201519942"/>
  </r>
  <r>
    <x v="85"/>
    <x v="4"/>
    <x v="83"/>
    <x v="0"/>
    <x v="5"/>
    <x v="782"/>
    <x v="25"/>
    <s v="POS"/>
    <n v="0.05"/>
    <n v="2600"/>
    <n v="130"/>
    <n v="0"/>
    <m/>
    <m/>
    <m/>
    <m/>
    <n v="0"/>
    <n v="0"/>
    <n v="4073.1371201519942"/>
  </r>
  <r>
    <x v="85"/>
    <x v="4"/>
    <x v="112"/>
    <x v="0"/>
    <x v="5"/>
    <x v="782"/>
    <x v="25"/>
    <s v="POS"/>
    <n v="0.04"/>
    <n v="2250"/>
    <n v="90"/>
    <n v="0"/>
    <m/>
    <m/>
    <m/>
    <m/>
    <n v="0"/>
    <n v="0"/>
    <n v="4073.1371201519942"/>
  </r>
  <r>
    <x v="85"/>
    <x v="4"/>
    <x v="50"/>
    <x v="0"/>
    <x v="1"/>
    <x v="783"/>
    <x v="25"/>
    <s v="NAKİT"/>
    <n v="0.1"/>
    <n v="650"/>
    <n v="0"/>
    <n v="0"/>
    <m/>
    <m/>
    <m/>
    <m/>
    <n v="65"/>
    <n v="0"/>
    <n v="4138.1371201519942"/>
  </r>
  <r>
    <x v="85"/>
    <x v="4"/>
    <x v="88"/>
    <x v="0"/>
    <x v="1"/>
    <x v="783"/>
    <x v="25"/>
    <s v="NAKİT"/>
    <n v="0.05"/>
    <n v="1200"/>
    <n v="0"/>
    <n v="0"/>
    <m/>
    <m/>
    <m/>
    <m/>
    <n v="60"/>
    <n v="0"/>
    <n v="4198.1371201519942"/>
  </r>
  <r>
    <x v="85"/>
    <x v="4"/>
    <x v="239"/>
    <x v="0"/>
    <x v="1"/>
    <x v="783"/>
    <x v="25"/>
    <s v="NAKİT"/>
    <n v="0.25"/>
    <n v="400"/>
    <n v="0"/>
    <n v="0"/>
    <m/>
    <m/>
    <m/>
    <m/>
    <n v="100"/>
    <n v="0"/>
    <n v="4298.1371201519942"/>
  </r>
  <r>
    <x v="85"/>
    <x v="4"/>
    <x v="29"/>
    <x v="0"/>
    <x v="1"/>
    <x v="784"/>
    <x v="25"/>
    <s v="NAKİT"/>
    <n v="0.05"/>
    <n v="760"/>
    <n v="0"/>
    <n v="0"/>
    <m/>
    <m/>
    <m/>
    <m/>
    <n v="38"/>
    <n v="0"/>
    <n v="4336.1371201519942"/>
  </r>
  <r>
    <x v="85"/>
    <x v="4"/>
    <x v="241"/>
    <x v="0"/>
    <x v="1"/>
    <x v="784"/>
    <x v="25"/>
    <s v="NAKİT"/>
    <n v="0.5"/>
    <n v="60"/>
    <n v="0"/>
    <n v="0"/>
    <m/>
    <m/>
    <m/>
    <m/>
    <n v="30"/>
    <n v="0"/>
    <n v="4366.1371201519942"/>
  </r>
  <r>
    <x v="85"/>
    <x v="4"/>
    <x v="40"/>
    <x v="0"/>
    <x v="1"/>
    <x v="784"/>
    <x v="25"/>
    <s v="NAKİT"/>
    <n v="0.106"/>
    <n v="140"/>
    <n v="0"/>
    <n v="0"/>
    <m/>
    <m/>
    <m/>
    <m/>
    <n v="14.84"/>
    <n v="0"/>
    <n v="4380.9771201519943"/>
  </r>
  <r>
    <x v="85"/>
    <x v="4"/>
    <x v="233"/>
    <x v="0"/>
    <x v="1"/>
    <x v="784"/>
    <x v="25"/>
    <s v="NAKİT"/>
    <n v="1"/>
    <n v="400"/>
    <n v="0"/>
    <n v="0"/>
    <m/>
    <m/>
    <m/>
    <m/>
    <n v="400"/>
    <n v="0"/>
    <n v="4780.9771201519943"/>
  </r>
  <r>
    <x v="85"/>
    <x v="4"/>
    <x v="295"/>
    <x v="0"/>
    <x v="1"/>
    <x v="784"/>
    <x v="25"/>
    <s v="NAKİT"/>
    <n v="0.05"/>
    <n v="400"/>
    <n v="0"/>
    <n v="0"/>
    <m/>
    <m/>
    <m/>
    <m/>
    <n v="20"/>
    <n v="0"/>
    <n v="4800.9771201519943"/>
  </r>
  <r>
    <x v="85"/>
    <x v="4"/>
    <x v="298"/>
    <x v="0"/>
    <x v="1"/>
    <x v="784"/>
    <x v="25"/>
    <s v="NAKİT"/>
    <n v="0.1"/>
    <n v="1500"/>
    <n v="0"/>
    <n v="0"/>
    <m/>
    <m/>
    <m/>
    <m/>
    <n v="150"/>
    <n v="0"/>
    <n v="4950.9771201519943"/>
  </r>
  <r>
    <x v="85"/>
    <x v="10"/>
    <x v="0"/>
    <x v="0"/>
    <x v="5"/>
    <x v="2"/>
    <x v="63"/>
    <s v="POS"/>
    <n v="1"/>
    <n v="2035"/>
    <n v="0"/>
    <n v="2035"/>
    <m/>
    <m/>
    <m/>
    <m/>
    <n v="2035"/>
    <n v="0"/>
    <n v="6985.9771201519943"/>
  </r>
  <r>
    <x v="85"/>
    <x v="10"/>
    <x v="0"/>
    <x v="0"/>
    <x v="5"/>
    <x v="2"/>
    <x v="63"/>
    <s v="POS"/>
    <n v="1"/>
    <n v="1364"/>
    <n v="0"/>
    <n v="1364"/>
    <m/>
    <m/>
    <m/>
    <m/>
    <n v="1364"/>
    <n v="0"/>
    <n v="8349.9771201519943"/>
  </r>
  <r>
    <x v="86"/>
    <x v="4"/>
    <x v="83"/>
    <x v="0"/>
    <x v="5"/>
    <x v="785"/>
    <x v="25"/>
    <s v="POS"/>
    <n v="0.05"/>
    <n v="2600"/>
    <n v="130"/>
    <n v="0"/>
    <m/>
    <m/>
    <m/>
    <m/>
    <n v="0"/>
    <n v="0"/>
    <n v="8349.9771201519943"/>
  </r>
  <r>
    <x v="86"/>
    <x v="4"/>
    <x v="276"/>
    <x v="0"/>
    <x v="5"/>
    <x v="785"/>
    <x v="25"/>
    <s v="POS"/>
    <n v="0.1"/>
    <n v="900"/>
    <n v="90"/>
    <n v="0"/>
    <m/>
    <m/>
    <m/>
    <m/>
    <n v="0"/>
    <n v="0"/>
    <n v="8349.9771201519943"/>
  </r>
  <r>
    <x v="86"/>
    <x v="4"/>
    <x v="231"/>
    <x v="0"/>
    <x v="5"/>
    <x v="785"/>
    <x v="25"/>
    <s v="POS"/>
    <n v="0.25"/>
    <n v="400"/>
    <n v="100"/>
    <n v="0"/>
    <m/>
    <m/>
    <m/>
    <m/>
    <n v="0"/>
    <n v="0"/>
    <n v="8349.9771201519943"/>
  </r>
  <r>
    <x v="86"/>
    <x v="4"/>
    <x v="161"/>
    <x v="0"/>
    <x v="1"/>
    <x v="786"/>
    <x v="25"/>
    <s v="NAKİT"/>
    <n v="0.18611111111111112"/>
    <n v="360"/>
    <n v="0"/>
    <n v="0"/>
    <m/>
    <m/>
    <m/>
    <m/>
    <n v="67"/>
    <n v="0"/>
    <n v="8416.9771201519943"/>
  </r>
  <r>
    <x v="86"/>
    <x v="4"/>
    <x v="289"/>
    <x v="0"/>
    <x v="1"/>
    <x v="786"/>
    <x v="25"/>
    <s v="NAKİT"/>
    <n v="0.1891891891891892"/>
    <n v="370"/>
    <n v="0"/>
    <n v="0"/>
    <m/>
    <m/>
    <m/>
    <m/>
    <n v="70"/>
    <n v="0"/>
    <n v="8486.9771201519943"/>
  </r>
  <r>
    <x v="86"/>
    <x v="4"/>
    <x v="280"/>
    <x v="0"/>
    <x v="1"/>
    <x v="787"/>
    <x v="25"/>
    <s v="NAKİT"/>
    <n v="1"/>
    <n v="60"/>
    <n v="0"/>
    <n v="0"/>
    <m/>
    <m/>
    <m/>
    <m/>
    <n v="60"/>
    <n v="0"/>
    <n v="8546.9771201519943"/>
  </r>
  <r>
    <x v="86"/>
    <x v="4"/>
    <x v="98"/>
    <x v="0"/>
    <x v="5"/>
    <x v="788"/>
    <x v="25"/>
    <s v="POS"/>
    <n v="0.25"/>
    <n v="800"/>
    <n v="200"/>
    <n v="0"/>
    <m/>
    <m/>
    <m/>
    <m/>
    <n v="0"/>
    <n v="0"/>
    <n v="8546.9771201519943"/>
  </r>
  <r>
    <x v="86"/>
    <x v="4"/>
    <x v="344"/>
    <x v="0"/>
    <x v="5"/>
    <x v="788"/>
    <x v="25"/>
    <s v="POS"/>
    <n v="0.21739130434782608"/>
    <n v="460"/>
    <n v="100"/>
    <n v="0"/>
    <m/>
    <m/>
    <m/>
    <m/>
    <n v="0"/>
    <n v="0"/>
    <n v="8546.9771201519943"/>
  </r>
  <r>
    <x v="86"/>
    <x v="4"/>
    <x v="22"/>
    <x v="0"/>
    <x v="5"/>
    <x v="789"/>
    <x v="25"/>
    <s v="POS"/>
    <n v="0.1545"/>
    <n v="400"/>
    <n v="61.8"/>
    <n v="0"/>
    <m/>
    <m/>
    <m/>
    <m/>
    <n v="0"/>
    <n v="0"/>
    <n v="8546.9771201519943"/>
  </r>
  <r>
    <x v="86"/>
    <x v="4"/>
    <x v="23"/>
    <x v="0"/>
    <x v="5"/>
    <x v="789"/>
    <x v="25"/>
    <s v="POS"/>
    <n v="0.28000000000000003"/>
    <n v="280"/>
    <n v="78.400000000000006"/>
    <n v="0"/>
    <m/>
    <m/>
    <m/>
    <m/>
    <n v="0"/>
    <n v="0"/>
    <n v="8546.9771201519943"/>
  </r>
  <r>
    <x v="86"/>
    <x v="4"/>
    <x v="88"/>
    <x v="0"/>
    <x v="5"/>
    <x v="789"/>
    <x v="25"/>
    <s v="POS"/>
    <n v="0.05"/>
    <n v="1200"/>
    <n v="60"/>
    <n v="0"/>
    <m/>
    <m/>
    <m/>
    <m/>
    <n v="0"/>
    <n v="0"/>
    <n v="8546.9771201519943"/>
  </r>
  <r>
    <x v="86"/>
    <x v="4"/>
    <x v="312"/>
    <x v="0"/>
    <x v="5"/>
    <x v="790"/>
    <x v="25"/>
    <s v="POS"/>
    <n v="0.5"/>
    <n v="400"/>
    <n v="200"/>
    <n v="0"/>
    <m/>
    <m/>
    <m/>
    <m/>
    <n v="0"/>
    <n v="0"/>
    <n v="8546.9771201519943"/>
  </r>
  <r>
    <x v="86"/>
    <x v="10"/>
    <x v="0"/>
    <x v="0"/>
    <x v="5"/>
    <x v="2"/>
    <x v="63"/>
    <s v="POS"/>
    <n v="1"/>
    <n v="488"/>
    <n v="0"/>
    <n v="488"/>
    <m/>
    <m/>
    <m/>
    <m/>
    <n v="488"/>
    <n v="0"/>
    <n v="9034.9771201519943"/>
  </r>
  <r>
    <x v="87"/>
    <x v="6"/>
    <x v="357"/>
    <x v="0"/>
    <x v="4"/>
    <x v="379"/>
    <x v="32"/>
    <s v="CARİ"/>
    <n v="5"/>
    <n v="160"/>
    <n v="800"/>
    <n v="0"/>
    <m/>
    <m/>
    <m/>
    <m/>
    <n v="0"/>
    <n v="0"/>
    <n v="9034.9771201519943"/>
  </r>
  <r>
    <x v="87"/>
    <x v="4"/>
    <x v="22"/>
    <x v="0"/>
    <x v="1"/>
    <x v="791"/>
    <x v="25"/>
    <s v="NAKİT"/>
    <n v="6.6000000000000003E-2"/>
    <n v="400"/>
    <n v="0"/>
    <n v="0"/>
    <m/>
    <m/>
    <m/>
    <m/>
    <n v="26.400000000000002"/>
    <n v="0"/>
    <n v="9061.3771201519939"/>
  </r>
  <r>
    <x v="87"/>
    <x v="4"/>
    <x v="23"/>
    <x v="0"/>
    <x v="1"/>
    <x v="791"/>
    <x v="25"/>
    <s v="NAKİT"/>
    <n v="0.112"/>
    <n v="300"/>
    <n v="0"/>
    <n v="0"/>
    <m/>
    <m/>
    <m/>
    <m/>
    <n v="33.6"/>
    <n v="0"/>
    <n v="9094.9771201519943"/>
  </r>
  <r>
    <x v="87"/>
    <x v="4"/>
    <x v="355"/>
    <x v="0"/>
    <x v="1"/>
    <x v="791"/>
    <x v="25"/>
    <s v="NAKİT"/>
    <n v="1"/>
    <n v="145"/>
    <n v="0"/>
    <n v="0"/>
    <m/>
    <m/>
    <m/>
    <m/>
    <n v="145"/>
    <n v="0"/>
    <n v="9239.9771201519943"/>
  </r>
  <r>
    <x v="87"/>
    <x v="4"/>
    <x v="50"/>
    <x v="0"/>
    <x v="1"/>
    <x v="791"/>
    <x v="25"/>
    <s v="NAKİT"/>
    <n v="0.1"/>
    <n v="650"/>
    <n v="0"/>
    <n v="0"/>
    <m/>
    <m/>
    <m/>
    <m/>
    <n v="65"/>
    <n v="0"/>
    <n v="9304.9771201519943"/>
  </r>
  <r>
    <x v="87"/>
    <x v="4"/>
    <x v="142"/>
    <x v="0"/>
    <x v="1"/>
    <x v="791"/>
    <x v="25"/>
    <s v="NAKİT"/>
    <n v="0.77400000000000002"/>
    <n v="245"/>
    <n v="0"/>
    <n v="0"/>
    <m/>
    <m/>
    <m/>
    <m/>
    <n v="189.63"/>
    <n v="0"/>
    <n v="9494.6071201519935"/>
  </r>
  <r>
    <x v="87"/>
    <x v="4"/>
    <x v="24"/>
    <x v="0"/>
    <x v="1"/>
    <x v="791"/>
    <x v="25"/>
    <s v="NAKİT"/>
    <n v="7.1999999999999995E-2"/>
    <n v="600"/>
    <n v="0"/>
    <n v="0"/>
    <m/>
    <m/>
    <m/>
    <m/>
    <n v="43.199999999999996"/>
    <n v="0"/>
    <n v="9537.8071201519942"/>
  </r>
  <r>
    <x v="87"/>
    <x v="4"/>
    <x v="88"/>
    <x v="0"/>
    <x v="1"/>
    <x v="791"/>
    <x v="25"/>
    <s v="NAKİT"/>
    <n v="0.05"/>
    <n v="1200"/>
    <n v="0"/>
    <n v="0"/>
    <m/>
    <m/>
    <m/>
    <m/>
    <n v="60"/>
    <n v="0"/>
    <n v="9597.8071201519942"/>
  </r>
  <r>
    <x v="87"/>
    <x v="4"/>
    <x v="57"/>
    <x v="0"/>
    <x v="1"/>
    <x v="792"/>
    <x v="25"/>
    <s v="NAKİT"/>
    <n v="0.5"/>
    <n v="150"/>
    <n v="0"/>
    <n v="0"/>
    <m/>
    <m/>
    <m/>
    <m/>
    <n v="75"/>
    <n v="0"/>
    <n v="9672.8071201519942"/>
  </r>
  <r>
    <x v="87"/>
    <x v="4"/>
    <x v="56"/>
    <x v="0"/>
    <x v="1"/>
    <x v="792"/>
    <x v="25"/>
    <s v="NAKİT"/>
    <n v="0.5"/>
    <n v="200"/>
    <n v="0"/>
    <n v="0"/>
    <m/>
    <m/>
    <m/>
    <m/>
    <n v="100"/>
    <n v="0"/>
    <n v="9772.8071201519942"/>
  </r>
  <r>
    <x v="87"/>
    <x v="4"/>
    <x v="88"/>
    <x v="0"/>
    <x v="1"/>
    <x v="792"/>
    <x v="25"/>
    <s v="NAKİT"/>
    <n v="0.05"/>
    <n v="1200"/>
    <n v="0"/>
    <n v="0"/>
    <m/>
    <m/>
    <m/>
    <m/>
    <n v="60"/>
    <n v="0"/>
    <n v="9832.8071201519942"/>
  </r>
  <r>
    <x v="87"/>
    <x v="4"/>
    <x v="204"/>
    <x v="0"/>
    <x v="5"/>
    <x v="793"/>
    <x v="25"/>
    <s v="POS"/>
    <n v="0.82599999999999996"/>
    <n v="80"/>
    <n v="66.08"/>
    <n v="0"/>
    <m/>
    <m/>
    <m/>
    <m/>
    <n v="0"/>
    <n v="0"/>
    <n v="9832.8071201519942"/>
  </r>
  <r>
    <x v="87"/>
    <x v="4"/>
    <x v="166"/>
    <x v="0"/>
    <x v="5"/>
    <x v="794"/>
    <x v="25"/>
    <s v="POS"/>
    <n v="1"/>
    <n v="50"/>
    <n v="50"/>
    <n v="0"/>
    <m/>
    <m/>
    <m/>
    <m/>
    <n v="0"/>
    <n v="0"/>
    <n v="9832.8071201519942"/>
  </r>
  <r>
    <x v="87"/>
    <x v="4"/>
    <x v="150"/>
    <x v="0"/>
    <x v="1"/>
    <x v="795"/>
    <x v="25"/>
    <s v="NAKİT"/>
    <n v="0.4"/>
    <n v="250"/>
    <n v="0"/>
    <n v="0"/>
    <m/>
    <m/>
    <m/>
    <m/>
    <n v="100"/>
    <n v="0"/>
    <n v="9932.8071201519942"/>
  </r>
  <r>
    <x v="87"/>
    <x v="4"/>
    <x v="312"/>
    <x v="0"/>
    <x v="5"/>
    <x v="796"/>
    <x v="25"/>
    <s v="POS"/>
    <n v="1.5"/>
    <n v="400"/>
    <n v="600"/>
    <n v="0"/>
    <m/>
    <m/>
    <m/>
    <m/>
    <n v="0"/>
    <n v="0"/>
    <n v="9932.8071201519942"/>
  </r>
  <r>
    <x v="87"/>
    <x v="4"/>
    <x v="312"/>
    <x v="0"/>
    <x v="1"/>
    <x v="796"/>
    <x v="25"/>
    <s v="NAKİT"/>
    <n v="0.26250000000000001"/>
    <n v="400"/>
    <n v="0"/>
    <n v="0"/>
    <m/>
    <m/>
    <m/>
    <m/>
    <n v="105"/>
    <n v="0"/>
    <n v="10037.807120151994"/>
  </r>
  <r>
    <x v="87"/>
    <x v="4"/>
    <x v="161"/>
    <x v="0"/>
    <x v="5"/>
    <x v="797"/>
    <x v="25"/>
    <s v="POS"/>
    <n v="0.58918918918918917"/>
    <n v="370"/>
    <n v="218"/>
    <n v="0"/>
    <m/>
    <m/>
    <m/>
    <m/>
    <n v="0"/>
    <n v="0"/>
    <n v="10037.807120151994"/>
  </r>
  <r>
    <x v="87"/>
    <x v="4"/>
    <x v="57"/>
    <x v="0"/>
    <x v="5"/>
    <x v="797"/>
    <x v="25"/>
    <s v="POS"/>
    <n v="2"/>
    <n v="150"/>
    <n v="300"/>
    <n v="0"/>
    <m/>
    <m/>
    <m/>
    <m/>
    <n v="0"/>
    <n v="0"/>
    <n v="10037.807120151994"/>
  </r>
  <r>
    <x v="87"/>
    <x v="4"/>
    <x v="312"/>
    <x v="0"/>
    <x v="5"/>
    <x v="797"/>
    <x v="25"/>
    <s v="POS"/>
    <n v="0.5"/>
    <n v="400"/>
    <n v="200"/>
    <n v="0"/>
    <m/>
    <m/>
    <m/>
    <m/>
    <n v="0"/>
    <n v="0"/>
    <n v="10037.807120151994"/>
  </r>
  <r>
    <x v="87"/>
    <x v="4"/>
    <x v="240"/>
    <x v="0"/>
    <x v="5"/>
    <x v="797"/>
    <x v="25"/>
    <s v="POS"/>
    <n v="0.32173913043478258"/>
    <n v="230"/>
    <n v="74"/>
    <n v="0"/>
    <m/>
    <m/>
    <m/>
    <m/>
    <n v="0"/>
    <n v="0"/>
    <n v="10037.807120151994"/>
  </r>
  <r>
    <x v="87"/>
    <x v="4"/>
    <x v="347"/>
    <x v="0"/>
    <x v="5"/>
    <x v="798"/>
    <x v="25"/>
    <s v="POS"/>
    <n v="7.192982456140351E-2"/>
    <n v="570"/>
    <n v="41"/>
    <n v="0"/>
    <m/>
    <m/>
    <m/>
    <m/>
    <n v="0"/>
    <n v="0"/>
    <n v="10037.807120151994"/>
  </r>
  <r>
    <x v="87"/>
    <x v="4"/>
    <x v="22"/>
    <x v="0"/>
    <x v="1"/>
    <x v="799"/>
    <x v="25"/>
    <s v="NAKİT"/>
    <n v="0.11749999999999999"/>
    <n v="400"/>
    <n v="0"/>
    <n v="0"/>
    <m/>
    <m/>
    <m/>
    <m/>
    <n v="47"/>
    <n v="0"/>
    <n v="10084.807120151994"/>
  </r>
  <r>
    <x v="87"/>
    <x v="4"/>
    <x v="23"/>
    <x v="0"/>
    <x v="1"/>
    <x v="799"/>
    <x v="25"/>
    <s v="NAKİT"/>
    <n v="0.16"/>
    <n v="300"/>
    <n v="0"/>
    <n v="0"/>
    <m/>
    <m/>
    <m/>
    <m/>
    <n v="48"/>
    <n v="0"/>
    <n v="10132.807120151994"/>
  </r>
  <r>
    <x v="87"/>
    <x v="4"/>
    <x v="33"/>
    <x v="0"/>
    <x v="1"/>
    <x v="799"/>
    <x v="25"/>
    <s v="NAKİT"/>
    <n v="0.28947368421052633"/>
    <n v="380"/>
    <n v="0"/>
    <n v="0"/>
    <m/>
    <m/>
    <m/>
    <m/>
    <n v="110"/>
    <n v="0"/>
    <n v="10242.807120151994"/>
  </r>
  <r>
    <x v="87"/>
    <x v="4"/>
    <x v="27"/>
    <x v="0"/>
    <x v="1"/>
    <x v="799"/>
    <x v="25"/>
    <s v="NAKİT"/>
    <n v="0.14000000000000001"/>
    <n v="400"/>
    <n v="0"/>
    <n v="0"/>
    <m/>
    <m/>
    <m/>
    <m/>
    <n v="56.000000000000007"/>
    <n v="0"/>
    <n v="10298.807120151994"/>
  </r>
  <r>
    <x v="87"/>
    <x v="4"/>
    <x v="29"/>
    <x v="0"/>
    <x v="1"/>
    <x v="800"/>
    <x v="25"/>
    <s v="NAKİT"/>
    <n v="0.11710526315789474"/>
    <n v="760"/>
    <n v="0"/>
    <n v="0"/>
    <m/>
    <m/>
    <m/>
    <m/>
    <n v="89"/>
    <n v="0"/>
    <n v="10387.807120151994"/>
  </r>
  <r>
    <x v="87"/>
    <x v="4"/>
    <x v="345"/>
    <x v="0"/>
    <x v="1"/>
    <x v="801"/>
    <x v="25"/>
    <s v="NAKİT"/>
    <n v="0.5"/>
    <n v="400"/>
    <n v="0"/>
    <n v="0"/>
    <m/>
    <m/>
    <m/>
    <m/>
    <n v="200"/>
    <n v="0"/>
    <n v="10587.807120151994"/>
  </r>
  <r>
    <x v="87"/>
    <x v="4"/>
    <x v="205"/>
    <x v="0"/>
    <x v="1"/>
    <x v="802"/>
    <x v="35"/>
    <s v="NAKİT"/>
    <n v="4.92"/>
    <n v="65"/>
    <n v="0"/>
    <n v="0"/>
    <m/>
    <m/>
    <m/>
    <m/>
    <n v="319.8"/>
    <n v="0"/>
    <n v="10907.607120151994"/>
  </r>
  <r>
    <x v="87"/>
    <x v="4"/>
    <x v="86"/>
    <x v="0"/>
    <x v="1"/>
    <x v="802"/>
    <x v="35"/>
    <s v="NAKİT"/>
    <n v="5"/>
    <n v="360"/>
    <n v="0"/>
    <n v="0"/>
    <m/>
    <m/>
    <m/>
    <m/>
    <n v="1800"/>
    <n v="0"/>
    <n v="12707.607120151994"/>
  </r>
  <r>
    <x v="87"/>
    <x v="1"/>
    <x v="0"/>
    <x v="5"/>
    <x v="1"/>
    <x v="2"/>
    <x v="99"/>
    <s v="NAKİT"/>
    <n v="1"/>
    <n v="2500"/>
    <n v="0"/>
    <n v="0"/>
    <m/>
    <m/>
    <m/>
    <m/>
    <n v="0"/>
    <n v="2500"/>
    <n v="10207.607120151994"/>
  </r>
  <r>
    <x v="87"/>
    <x v="3"/>
    <x v="358"/>
    <x v="0"/>
    <x v="10"/>
    <x v="2"/>
    <x v="100"/>
    <s v="CARİ"/>
    <n v="48"/>
    <n v="178.41666666666666"/>
    <n v="0"/>
    <n v="8564"/>
    <m/>
    <m/>
    <m/>
    <m/>
    <n v="0"/>
    <n v="0"/>
    <n v="10207.607120151994"/>
  </r>
  <r>
    <x v="87"/>
    <x v="3"/>
    <x v="359"/>
    <x v="0"/>
    <x v="10"/>
    <x v="2"/>
    <x v="100"/>
    <s v="CARİ"/>
    <n v="36"/>
    <n v="356.83333333333331"/>
    <n v="0"/>
    <n v="12846"/>
    <m/>
    <m/>
    <m/>
    <m/>
    <n v="0"/>
    <n v="0"/>
    <n v="10207.607120151994"/>
  </r>
  <r>
    <x v="87"/>
    <x v="3"/>
    <x v="360"/>
    <x v="0"/>
    <x v="10"/>
    <x v="2"/>
    <x v="100"/>
    <s v="CARİ"/>
    <n v="99"/>
    <n v="428.18181818181819"/>
    <n v="0"/>
    <n v="42390"/>
    <m/>
    <m/>
    <m/>
    <m/>
    <n v="0"/>
    <n v="0"/>
    <n v="10207.607120151994"/>
  </r>
  <r>
    <x v="87"/>
    <x v="3"/>
    <x v="38"/>
    <x v="0"/>
    <x v="3"/>
    <x v="2"/>
    <x v="27"/>
    <s v="CARİ"/>
    <n v="5"/>
    <n v="440"/>
    <n v="0"/>
    <n v="2200"/>
    <m/>
    <m/>
    <m/>
    <m/>
    <n v="0"/>
    <n v="0"/>
    <n v="10207.607120151994"/>
  </r>
  <r>
    <x v="87"/>
    <x v="3"/>
    <x v="24"/>
    <x v="0"/>
    <x v="3"/>
    <x v="2"/>
    <x v="27"/>
    <s v="CARİ"/>
    <n v="25"/>
    <n v="340"/>
    <n v="0"/>
    <n v="8500"/>
    <m/>
    <m/>
    <m/>
    <m/>
    <n v="0"/>
    <n v="0"/>
    <n v="10207.607120151994"/>
  </r>
  <r>
    <x v="87"/>
    <x v="3"/>
    <x v="57"/>
    <x v="0"/>
    <x v="3"/>
    <x v="2"/>
    <x v="27"/>
    <s v="CARİ"/>
    <n v="193.5"/>
    <n v="67.183440000000004"/>
    <n v="0"/>
    <n v="12999.995640000001"/>
    <m/>
    <m/>
    <m/>
    <m/>
    <n v="0"/>
    <n v="0"/>
    <n v="10207.607120151994"/>
  </r>
  <r>
    <x v="87"/>
    <x v="3"/>
    <x v="56"/>
    <x v="0"/>
    <x v="3"/>
    <x v="2"/>
    <x v="27"/>
    <s v="CARİ"/>
    <n v="96.75"/>
    <n v="98.191199999999995"/>
    <n v="0"/>
    <n v="9499.998599999999"/>
    <m/>
    <m/>
    <m/>
    <m/>
    <n v="0"/>
    <n v="0"/>
    <n v="10207.607120151994"/>
  </r>
  <r>
    <x v="87"/>
    <x v="10"/>
    <x v="0"/>
    <x v="0"/>
    <x v="5"/>
    <x v="2"/>
    <x v="63"/>
    <s v="POS"/>
    <n v="1"/>
    <n v="1610"/>
    <n v="0"/>
    <n v="1610"/>
    <m/>
    <m/>
    <m/>
    <m/>
    <n v="1610"/>
    <n v="0"/>
    <n v="11817.607120151994"/>
  </r>
  <r>
    <x v="87"/>
    <x v="10"/>
    <x v="0"/>
    <x v="0"/>
    <x v="5"/>
    <x v="2"/>
    <x v="72"/>
    <s v="POS"/>
    <n v="1"/>
    <n v="665"/>
    <n v="0"/>
    <n v="665"/>
    <m/>
    <m/>
    <m/>
    <m/>
    <n v="665"/>
    <n v="0"/>
    <n v="12482.607120151994"/>
  </r>
  <r>
    <x v="87"/>
    <x v="1"/>
    <x v="0"/>
    <x v="13"/>
    <x v="1"/>
    <x v="2"/>
    <x v="72"/>
    <s v="NAKİT"/>
    <n v="1"/>
    <n v="665"/>
    <n v="0"/>
    <n v="0"/>
    <n v="0"/>
    <n v="665"/>
    <m/>
    <m/>
    <n v="0"/>
    <n v="665"/>
    <n v="11817.607120151994"/>
  </r>
  <r>
    <x v="88"/>
    <x v="4"/>
    <x v="26"/>
    <x v="0"/>
    <x v="1"/>
    <x v="803"/>
    <x v="25"/>
    <s v="NAKİT"/>
    <n v="0.19"/>
    <n v="410"/>
    <n v="0"/>
    <n v="0"/>
    <m/>
    <m/>
    <m/>
    <m/>
    <n v="77.900000000000006"/>
    <n v="0"/>
    <n v="11895.507120151993"/>
  </r>
  <r>
    <x v="88"/>
    <x v="4"/>
    <x v="24"/>
    <x v="0"/>
    <x v="1"/>
    <x v="803"/>
    <x v="25"/>
    <s v="NAKİT"/>
    <n v="0.154"/>
    <n v="640"/>
    <n v="0"/>
    <n v="0"/>
    <m/>
    <m/>
    <m/>
    <m/>
    <n v="98.56"/>
    <n v="0"/>
    <n v="11994.067120151993"/>
  </r>
  <r>
    <x v="88"/>
    <x v="4"/>
    <x v="40"/>
    <x v="0"/>
    <x v="1"/>
    <x v="803"/>
    <x v="25"/>
    <s v="NAKİT"/>
    <n v="0.186"/>
    <n v="140"/>
    <n v="0"/>
    <n v="0"/>
    <m/>
    <m/>
    <m/>
    <m/>
    <n v="26.04"/>
    <n v="0"/>
    <n v="12020.107120151994"/>
  </r>
  <r>
    <x v="88"/>
    <x v="4"/>
    <x v="141"/>
    <x v="0"/>
    <x v="1"/>
    <x v="803"/>
    <x v="25"/>
    <s v="NAKİT"/>
    <n v="1"/>
    <n v="140"/>
    <n v="0"/>
    <n v="0"/>
    <m/>
    <m/>
    <m/>
    <m/>
    <n v="140"/>
    <n v="0"/>
    <n v="12160.107120151994"/>
  </r>
  <r>
    <x v="88"/>
    <x v="4"/>
    <x v="46"/>
    <x v="0"/>
    <x v="1"/>
    <x v="803"/>
    <x v="25"/>
    <s v="NAKİT"/>
    <n v="2.5000000000000001E-2"/>
    <n v="2000"/>
    <n v="0"/>
    <n v="0"/>
    <m/>
    <m/>
    <m/>
    <m/>
    <n v="50"/>
    <n v="0"/>
    <n v="12210.107120151994"/>
  </r>
  <r>
    <x v="88"/>
    <x v="4"/>
    <x v="47"/>
    <x v="0"/>
    <x v="1"/>
    <x v="803"/>
    <x v="25"/>
    <s v="NAKİT"/>
    <n v="5.3999999999999999E-2"/>
    <n v="400"/>
    <n v="0"/>
    <n v="0"/>
    <m/>
    <m/>
    <m/>
    <m/>
    <n v="21.6"/>
    <n v="0"/>
    <n v="12231.707120151994"/>
  </r>
  <r>
    <x v="88"/>
    <x v="4"/>
    <x v="29"/>
    <x v="0"/>
    <x v="1"/>
    <x v="803"/>
    <x v="25"/>
    <s v="NAKİT"/>
    <n v="5.3999999999999999E-2"/>
    <n v="760"/>
    <n v="0"/>
    <n v="0"/>
    <m/>
    <m/>
    <m/>
    <m/>
    <n v="41.04"/>
    <n v="0"/>
    <n v="12272.747120151995"/>
  </r>
  <r>
    <x v="88"/>
    <x v="4"/>
    <x v="27"/>
    <x v="0"/>
    <x v="1"/>
    <x v="803"/>
    <x v="25"/>
    <s v="NAKİT"/>
    <n v="0.126"/>
    <n v="400"/>
    <n v="0"/>
    <n v="0"/>
    <m/>
    <m/>
    <m/>
    <m/>
    <n v="50.4"/>
    <n v="0"/>
    <n v="12323.147120151994"/>
  </r>
  <r>
    <x v="88"/>
    <x v="4"/>
    <x v="66"/>
    <x v="0"/>
    <x v="1"/>
    <x v="803"/>
    <x v="25"/>
    <s v="NAKİT"/>
    <n v="0.122"/>
    <n v="417"/>
    <n v="0"/>
    <n v="0"/>
    <m/>
    <m/>
    <m/>
    <m/>
    <n v="50.874000000000002"/>
    <n v="0"/>
    <n v="12374.021120151994"/>
  </r>
  <r>
    <x v="88"/>
    <x v="4"/>
    <x v="297"/>
    <x v="0"/>
    <x v="1"/>
    <x v="803"/>
    <x v="25"/>
    <s v="NAKİT"/>
    <n v="1"/>
    <n v="130"/>
    <n v="0"/>
    <n v="0"/>
    <m/>
    <m/>
    <m/>
    <m/>
    <n v="130"/>
    <n v="0"/>
    <n v="12504.021120151994"/>
  </r>
  <r>
    <x v="88"/>
    <x v="4"/>
    <x v="360"/>
    <x v="0"/>
    <x v="5"/>
    <x v="803"/>
    <x v="25"/>
    <s v="POS"/>
    <n v="1"/>
    <n v="600"/>
    <n v="600"/>
    <n v="0"/>
    <m/>
    <m/>
    <m/>
    <m/>
    <n v="0"/>
    <n v="0"/>
    <n v="12504.021120151994"/>
  </r>
  <r>
    <x v="88"/>
    <x v="4"/>
    <x v="23"/>
    <x v="0"/>
    <x v="1"/>
    <x v="804"/>
    <x v="25"/>
    <s v="NAKİT"/>
    <n v="0.12"/>
    <n v="300"/>
    <n v="0"/>
    <n v="0"/>
    <m/>
    <m/>
    <m/>
    <m/>
    <n v="36"/>
    <n v="0"/>
    <n v="12540.021120151994"/>
  </r>
  <r>
    <x v="88"/>
    <x v="4"/>
    <x v="34"/>
    <x v="0"/>
    <x v="1"/>
    <x v="805"/>
    <x v="25"/>
    <s v="NAKİT"/>
    <n v="0.1"/>
    <n v="600"/>
    <n v="0"/>
    <n v="0"/>
    <m/>
    <m/>
    <m/>
    <m/>
    <n v="60"/>
    <n v="0"/>
    <n v="12600.021120151994"/>
  </r>
  <r>
    <x v="88"/>
    <x v="4"/>
    <x v="38"/>
    <x v="0"/>
    <x v="1"/>
    <x v="805"/>
    <x v="25"/>
    <s v="NAKİT"/>
    <n v="0.1"/>
    <n v="650"/>
    <n v="0"/>
    <n v="0"/>
    <m/>
    <m/>
    <m/>
    <m/>
    <n v="65"/>
    <n v="0"/>
    <n v="12665.021120151994"/>
  </r>
  <r>
    <x v="88"/>
    <x v="4"/>
    <x v="59"/>
    <x v="0"/>
    <x v="1"/>
    <x v="806"/>
    <x v="25"/>
    <s v="NAKİT"/>
    <n v="0.189"/>
    <n v="420"/>
    <n v="0"/>
    <n v="0"/>
    <m/>
    <m/>
    <m/>
    <m/>
    <n v="79.38"/>
    <n v="0"/>
    <n v="12744.401120151993"/>
  </r>
  <r>
    <x v="88"/>
    <x v="4"/>
    <x v="287"/>
    <x v="0"/>
    <x v="1"/>
    <x v="806"/>
    <x v="25"/>
    <s v="NAKİT"/>
    <n v="1"/>
    <n v="65"/>
    <n v="0"/>
    <n v="0"/>
    <m/>
    <m/>
    <m/>
    <m/>
    <n v="65"/>
    <n v="0"/>
    <n v="12809.401120151993"/>
  </r>
  <r>
    <x v="88"/>
    <x v="4"/>
    <x v="50"/>
    <x v="0"/>
    <x v="1"/>
    <x v="806"/>
    <x v="25"/>
    <s v="NAKİT"/>
    <n v="0.1"/>
    <n v="650"/>
    <n v="0"/>
    <n v="0"/>
    <m/>
    <m/>
    <m/>
    <m/>
    <n v="65"/>
    <n v="0"/>
    <n v="12874.401120151993"/>
  </r>
  <r>
    <x v="88"/>
    <x v="4"/>
    <x v="360"/>
    <x v="0"/>
    <x v="5"/>
    <x v="807"/>
    <x v="25"/>
    <s v="POS"/>
    <n v="1"/>
    <n v="600"/>
    <n v="600"/>
    <n v="0"/>
    <m/>
    <m/>
    <m/>
    <m/>
    <n v="0"/>
    <n v="0"/>
    <n v="12874.401120151993"/>
  </r>
  <r>
    <x v="88"/>
    <x v="4"/>
    <x v="55"/>
    <x v="0"/>
    <x v="5"/>
    <x v="807"/>
    <x v="25"/>
    <s v="POS"/>
    <n v="1"/>
    <n v="200"/>
    <n v="200"/>
    <n v="0"/>
    <m/>
    <m/>
    <m/>
    <m/>
    <n v="0"/>
    <n v="0"/>
    <n v="12874.401120151993"/>
  </r>
  <r>
    <x v="88"/>
    <x v="4"/>
    <x v="57"/>
    <x v="0"/>
    <x v="5"/>
    <x v="807"/>
    <x v="25"/>
    <s v="POS"/>
    <n v="1"/>
    <n v="150"/>
    <n v="150"/>
    <n v="0"/>
    <m/>
    <m/>
    <m/>
    <m/>
    <n v="0"/>
    <n v="0"/>
    <n v="12874.401120151993"/>
  </r>
  <r>
    <x v="88"/>
    <x v="4"/>
    <x v="360"/>
    <x v="0"/>
    <x v="1"/>
    <x v="808"/>
    <x v="25"/>
    <s v="NAKİT"/>
    <n v="1"/>
    <n v="600"/>
    <n v="0"/>
    <n v="0"/>
    <m/>
    <m/>
    <m/>
    <m/>
    <n v="600"/>
    <n v="0"/>
    <n v="13474.401120151993"/>
  </r>
  <r>
    <x v="88"/>
    <x v="4"/>
    <x v="262"/>
    <x v="0"/>
    <x v="1"/>
    <x v="809"/>
    <x v="25"/>
    <s v="NAKİT"/>
    <n v="1"/>
    <n v="100"/>
    <n v="0"/>
    <n v="0"/>
    <m/>
    <m/>
    <m/>
    <m/>
    <n v="100"/>
    <n v="0"/>
    <n v="13574.401120151993"/>
  </r>
  <r>
    <x v="88"/>
    <x v="4"/>
    <x v="106"/>
    <x v="0"/>
    <x v="1"/>
    <x v="810"/>
    <x v="25"/>
    <s v="NAKİT"/>
    <n v="1"/>
    <n v="200"/>
    <n v="0"/>
    <n v="0"/>
    <m/>
    <m/>
    <m/>
    <m/>
    <n v="200"/>
    <n v="0"/>
    <n v="13774.401120151993"/>
  </r>
  <r>
    <x v="88"/>
    <x v="4"/>
    <x v="30"/>
    <x v="0"/>
    <x v="1"/>
    <x v="810"/>
    <x v="25"/>
    <s v="NAKİT"/>
    <n v="0.08"/>
    <n v="500"/>
    <n v="0"/>
    <n v="0"/>
    <m/>
    <m/>
    <m/>
    <m/>
    <n v="40"/>
    <n v="0"/>
    <n v="13814.401120151993"/>
  </r>
  <r>
    <x v="88"/>
    <x v="4"/>
    <x v="83"/>
    <x v="0"/>
    <x v="5"/>
    <x v="811"/>
    <x v="25"/>
    <s v="POS"/>
    <n v="0.05"/>
    <n v="2600"/>
    <n v="130"/>
    <n v="0"/>
    <m/>
    <m/>
    <m/>
    <m/>
    <n v="0"/>
    <n v="0"/>
    <n v="13814.401120151993"/>
  </r>
  <r>
    <x v="88"/>
    <x v="4"/>
    <x v="25"/>
    <x v="0"/>
    <x v="1"/>
    <x v="812"/>
    <x v="25"/>
    <s v="NAKİT"/>
    <n v="0.09"/>
    <n v="390"/>
    <n v="0"/>
    <n v="0"/>
    <m/>
    <m/>
    <m/>
    <m/>
    <n v="35.1"/>
    <n v="0"/>
    <n v="13849.501120151994"/>
  </r>
  <r>
    <x v="88"/>
    <x v="4"/>
    <x v="29"/>
    <x v="0"/>
    <x v="1"/>
    <x v="813"/>
    <x v="25"/>
    <s v="NAKİT"/>
    <n v="6.5789473684210523E-2"/>
    <n v="760"/>
    <n v="0"/>
    <n v="0"/>
    <m/>
    <m/>
    <m/>
    <m/>
    <n v="50"/>
    <n v="0"/>
    <n v="13899.501120151994"/>
  </r>
  <r>
    <x v="88"/>
    <x v="4"/>
    <x v="121"/>
    <x v="0"/>
    <x v="1"/>
    <x v="814"/>
    <x v="25"/>
    <s v="NAKİT"/>
    <n v="0.2"/>
    <n v="1250"/>
    <n v="0"/>
    <n v="0"/>
    <m/>
    <m/>
    <m/>
    <m/>
    <n v="250"/>
    <n v="0"/>
    <n v="14149.501120151994"/>
  </r>
  <r>
    <x v="88"/>
    <x v="4"/>
    <x v="57"/>
    <x v="0"/>
    <x v="1"/>
    <x v="815"/>
    <x v="25"/>
    <s v="NAKİT"/>
    <n v="1"/>
    <n v="150"/>
    <n v="0"/>
    <n v="0"/>
    <m/>
    <m/>
    <m/>
    <m/>
    <n v="150"/>
    <n v="0"/>
    <n v="14299.501120151994"/>
  </r>
  <r>
    <x v="88"/>
    <x v="4"/>
    <x v="55"/>
    <x v="0"/>
    <x v="1"/>
    <x v="816"/>
    <x v="25"/>
    <s v="NAKİT"/>
    <n v="1"/>
    <n v="200"/>
    <n v="0"/>
    <n v="0"/>
    <m/>
    <m/>
    <m/>
    <m/>
    <n v="200"/>
    <n v="0"/>
    <n v="14499.501120151994"/>
  </r>
  <r>
    <x v="88"/>
    <x v="4"/>
    <x v="153"/>
    <x v="0"/>
    <x v="1"/>
    <x v="817"/>
    <x v="25"/>
    <s v="NAKİT"/>
    <n v="1"/>
    <n v="80"/>
    <n v="0"/>
    <n v="0"/>
    <m/>
    <m/>
    <m/>
    <m/>
    <n v="80"/>
    <n v="0"/>
    <n v="14579.501120151994"/>
  </r>
  <r>
    <x v="88"/>
    <x v="4"/>
    <x v="89"/>
    <x v="0"/>
    <x v="1"/>
    <x v="817"/>
    <x v="25"/>
    <s v="NAKİT"/>
    <n v="0.12"/>
    <n v="920"/>
    <n v="0"/>
    <n v="0"/>
    <m/>
    <m/>
    <m/>
    <m/>
    <n v="110.39999999999999"/>
    <n v="0"/>
    <n v="14689.901120151993"/>
  </r>
  <r>
    <x v="88"/>
    <x v="4"/>
    <x v="98"/>
    <x v="0"/>
    <x v="1"/>
    <x v="817"/>
    <x v="25"/>
    <s v="NAKİT"/>
    <n v="0.13"/>
    <n v="800"/>
    <n v="0"/>
    <n v="0"/>
    <m/>
    <m/>
    <m/>
    <m/>
    <n v="104"/>
    <n v="0"/>
    <n v="14793.901120151993"/>
  </r>
  <r>
    <x v="88"/>
    <x v="4"/>
    <x v="248"/>
    <x v="0"/>
    <x v="1"/>
    <x v="817"/>
    <x v="25"/>
    <s v="NAKİT"/>
    <n v="0.15"/>
    <n v="690"/>
    <n v="0"/>
    <n v="0"/>
    <m/>
    <m/>
    <m/>
    <m/>
    <n v="103.5"/>
    <n v="0"/>
    <n v="14897.401120151993"/>
  </r>
  <r>
    <x v="88"/>
    <x v="4"/>
    <x v="360"/>
    <x v="0"/>
    <x v="1"/>
    <x v="817"/>
    <x v="25"/>
    <s v="NAKİT"/>
    <n v="8.4000000000000005E-2"/>
    <n v="600"/>
    <n v="0"/>
    <n v="0"/>
    <m/>
    <m/>
    <m/>
    <m/>
    <n v="50.400000000000006"/>
    <n v="0"/>
    <n v="14947.801120151993"/>
  </r>
  <r>
    <x v="88"/>
    <x v="4"/>
    <x v="166"/>
    <x v="0"/>
    <x v="1"/>
    <x v="818"/>
    <x v="25"/>
    <s v="NAKİT"/>
    <n v="1"/>
    <n v="50"/>
    <n v="0"/>
    <n v="0"/>
    <m/>
    <m/>
    <m/>
    <m/>
    <n v="50"/>
    <n v="0"/>
    <n v="14997.801120151993"/>
  </r>
  <r>
    <x v="88"/>
    <x v="4"/>
    <x v="18"/>
    <x v="0"/>
    <x v="5"/>
    <x v="818"/>
    <x v="25"/>
    <s v="POS"/>
    <n v="1"/>
    <n v="250"/>
    <n v="250"/>
    <n v="0"/>
    <m/>
    <m/>
    <m/>
    <m/>
    <n v="0"/>
    <n v="0"/>
    <n v="14997.801120151993"/>
  </r>
  <r>
    <x v="88"/>
    <x v="4"/>
    <x v="58"/>
    <x v="0"/>
    <x v="5"/>
    <x v="818"/>
    <x v="25"/>
    <s v="POS"/>
    <n v="1"/>
    <n v="230"/>
    <n v="230"/>
    <n v="0"/>
    <m/>
    <m/>
    <m/>
    <m/>
    <n v="0"/>
    <n v="0"/>
    <n v="14997.801120151993"/>
  </r>
  <r>
    <x v="88"/>
    <x v="4"/>
    <x v="66"/>
    <x v="0"/>
    <x v="1"/>
    <x v="819"/>
    <x v="25"/>
    <s v="NAKİT"/>
    <n v="0.12"/>
    <n v="420"/>
    <n v="0"/>
    <n v="0"/>
    <m/>
    <m/>
    <m/>
    <m/>
    <n v="50.4"/>
    <n v="0"/>
    <n v="15048.201120151993"/>
  </r>
  <r>
    <x v="88"/>
    <x v="10"/>
    <x v="0"/>
    <x v="0"/>
    <x v="5"/>
    <x v="2"/>
    <x v="63"/>
    <s v="POS"/>
    <n v="1"/>
    <n v="1340"/>
    <n v="0"/>
    <n v="1340"/>
    <m/>
    <m/>
    <m/>
    <m/>
    <n v="1340"/>
    <n v="0"/>
    <n v="16388.201120151993"/>
  </r>
  <r>
    <x v="89"/>
    <x v="4"/>
    <x v="57"/>
    <x v="0"/>
    <x v="5"/>
    <x v="820"/>
    <x v="25"/>
    <s v="POS"/>
    <n v="1"/>
    <n v="150"/>
    <n v="150"/>
    <n v="0"/>
    <m/>
    <m/>
    <m/>
    <m/>
    <n v="0"/>
    <n v="0"/>
    <n v="16388.201120151993"/>
  </r>
  <r>
    <x v="89"/>
    <x v="4"/>
    <x v="55"/>
    <x v="0"/>
    <x v="5"/>
    <x v="820"/>
    <x v="25"/>
    <s v="POS"/>
    <n v="1"/>
    <n v="200"/>
    <n v="200"/>
    <n v="0"/>
    <m/>
    <m/>
    <m/>
    <m/>
    <n v="0"/>
    <n v="0"/>
    <n v="16388.201120151993"/>
  </r>
  <r>
    <x v="89"/>
    <x v="4"/>
    <x v="120"/>
    <x v="0"/>
    <x v="1"/>
    <x v="821"/>
    <x v="25"/>
    <s v="NAKİT"/>
    <n v="0.16615384615384615"/>
    <n v="650"/>
    <n v="0"/>
    <n v="0"/>
    <m/>
    <m/>
    <m/>
    <m/>
    <n v="108"/>
    <n v="0"/>
    <n v="16496.201120151993"/>
  </r>
  <r>
    <x v="89"/>
    <x v="4"/>
    <x v="240"/>
    <x v="0"/>
    <x v="1"/>
    <x v="821"/>
    <x v="25"/>
    <s v="NAKİT"/>
    <n v="9.1304347826086957E-2"/>
    <n v="230"/>
    <n v="0"/>
    <n v="0"/>
    <m/>
    <m/>
    <m/>
    <m/>
    <n v="21"/>
    <n v="0"/>
    <n v="16517.201120151993"/>
  </r>
  <r>
    <x v="89"/>
    <x v="4"/>
    <x v="60"/>
    <x v="0"/>
    <x v="1"/>
    <x v="821"/>
    <x v="25"/>
    <s v="NAKİT"/>
    <n v="0.1"/>
    <n v="250"/>
    <n v="0"/>
    <n v="0"/>
    <m/>
    <m/>
    <m/>
    <m/>
    <n v="25"/>
    <n v="0"/>
    <n v="16542.201120151993"/>
  </r>
  <r>
    <x v="89"/>
    <x v="4"/>
    <x v="57"/>
    <x v="0"/>
    <x v="5"/>
    <x v="822"/>
    <x v="25"/>
    <s v="POS"/>
    <n v="1"/>
    <n v="150"/>
    <n v="150"/>
    <n v="0"/>
    <m/>
    <m/>
    <m/>
    <m/>
    <n v="0"/>
    <n v="0"/>
    <n v="16542.201120151993"/>
  </r>
  <r>
    <x v="89"/>
    <x v="4"/>
    <x v="78"/>
    <x v="0"/>
    <x v="1"/>
    <x v="823"/>
    <x v="25"/>
    <s v="NAKİT"/>
    <n v="0.05"/>
    <n v="1400"/>
    <n v="0"/>
    <n v="0"/>
    <m/>
    <m/>
    <m/>
    <m/>
    <n v="70"/>
    <n v="0"/>
    <n v="16612.201120151993"/>
  </r>
  <r>
    <x v="89"/>
    <x v="4"/>
    <x v="150"/>
    <x v="0"/>
    <x v="5"/>
    <x v="824"/>
    <x v="25"/>
    <s v="POS"/>
    <n v="1"/>
    <n v="250"/>
    <n v="250"/>
    <n v="0"/>
    <m/>
    <m/>
    <m/>
    <m/>
    <n v="0"/>
    <n v="0"/>
    <n v="16612.201120151993"/>
  </r>
  <r>
    <x v="89"/>
    <x v="4"/>
    <x v="133"/>
    <x v="0"/>
    <x v="5"/>
    <x v="824"/>
    <x v="25"/>
    <s v="POS"/>
    <n v="1"/>
    <n v="190"/>
    <n v="190"/>
    <n v="0"/>
    <m/>
    <m/>
    <m/>
    <m/>
    <n v="0"/>
    <n v="0"/>
    <n v="16612.201120151993"/>
  </r>
  <r>
    <x v="89"/>
    <x v="4"/>
    <x v="150"/>
    <x v="0"/>
    <x v="5"/>
    <x v="825"/>
    <x v="25"/>
    <s v="POS"/>
    <n v="0.8"/>
    <n v="250"/>
    <n v="200"/>
    <n v="0"/>
    <m/>
    <m/>
    <m/>
    <m/>
    <n v="0"/>
    <n v="0"/>
    <n v="16612.201120151993"/>
  </r>
  <r>
    <x v="89"/>
    <x v="4"/>
    <x v="22"/>
    <x v="0"/>
    <x v="1"/>
    <x v="826"/>
    <x v="25"/>
    <s v="NAKİT"/>
    <n v="0.125"/>
    <n v="400"/>
    <n v="0"/>
    <n v="0"/>
    <m/>
    <m/>
    <m/>
    <m/>
    <n v="50"/>
    <n v="0"/>
    <n v="16662.201120151993"/>
  </r>
  <r>
    <x v="89"/>
    <x v="4"/>
    <x v="276"/>
    <x v="0"/>
    <x v="1"/>
    <x v="827"/>
    <x v="25"/>
    <s v="NAKİT"/>
    <n v="0.1"/>
    <n v="900"/>
    <n v="0"/>
    <n v="0"/>
    <m/>
    <m/>
    <m/>
    <m/>
    <n v="90"/>
    <n v="0"/>
    <n v="16752.201120151993"/>
  </r>
  <r>
    <x v="89"/>
    <x v="4"/>
    <x v="88"/>
    <x v="0"/>
    <x v="1"/>
    <x v="827"/>
    <x v="25"/>
    <s v="NAKİT"/>
    <n v="0.05"/>
    <n v="1200"/>
    <n v="0"/>
    <n v="0"/>
    <m/>
    <m/>
    <m/>
    <m/>
    <n v="60"/>
    <n v="0"/>
    <n v="16812.201120151993"/>
  </r>
  <r>
    <x v="89"/>
    <x v="4"/>
    <x v="50"/>
    <x v="0"/>
    <x v="1"/>
    <x v="827"/>
    <x v="25"/>
    <s v="NAKİT"/>
    <n v="0.1"/>
    <n v="600"/>
    <n v="0"/>
    <n v="0"/>
    <m/>
    <m/>
    <m/>
    <m/>
    <n v="60"/>
    <n v="0"/>
    <n v="16872.201120151993"/>
  </r>
  <r>
    <x v="89"/>
    <x v="10"/>
    <x v="0"/>
    <x v="0"/>
    <x v="5"/>
    <x v="2"/>
    <x v="63"/>
    <s v="POS"/>
    <n v="1"/>
    <n v="660"/>
    <n v="0"/>
    <n v="660"/>
    <m/>
    <m/>
    <m/>
    <m/>
    <n v="660"/>
    <n v="0"/>
    <n v="17532.201120151993"/>
  </r>
  <r>
    <x v="89"/>
    <x v="10"/>
    <x v="0"/>
    <x v="0"/>
    <x v="5"/>
    <x v="2"/>
    <x v="63"/>
    <s v="POS"/>
    <n v="1"/>
    <n v="989"/>
    <n v="0"/>
    <n v="989"/>
    <m/>
    <m/>
    <m/>
    <m/>
    <n v="989"/>
    <n v="0"/>
    <n v="18521.201120151993"/>
  </r>
  <r>
    <x v="90"/>
    <x v="3"/>
    <x v="16"/>
    <x v="0"/>
    <x v="2"/>
    <x v="828"/>
    <x v="101"/>
    <s v="K.K."/>
    <n v="24"/>
    <n v="83"/>
    <n v="0"/>
    <n v="1992"/>
    <m/>
    <m/>
    <m/>
    <m/>
    <n v="0"/>
    <n v="0"/>
    <n v="18521.201120151993"/>
  </r>
  <r>
    <x v="90"/>
    <x v="3"/>
    <x v="361"/>
    <x v="0"/>
    <x v="2"/>
    <x v="828"/>
    <x v="101"/>
    <s v="K.K."/>
    <n v="1"/>
    <n v="95"/>
    <n v="0"/>
    <n v="95"/>
    <m/>
    <m/>
    <m/>
    <m/>
    <n v="0"/>
    <n v="0"/>
    <n v="18521.201120151993"/>
  </r>
  <r>
    <x v="90"/>
    <x v="3"/>
    <x v="362"/>
    <x v="0"/>
    <x v="2"/>
    <x v="828"/>
    <x v="101"/>
    <s v="K.K."/>
    <n v="1"/>
    <n v="345"/>
    <n v="0"/>
    <n v="345"/>
    <m/>
    <m/>
    <m/>
    <m/>
    <n v="0"/>
    <n v="0"/>
    <n v="18521.201120151993"/>
  </r>
  <r>
    <x v="90"/>
    <x v="3"/>
    <x v="363"/>
    <x v="0"/>
    <x v="2"/>
    <x v="828"/>
    <x v="101"/>
    <s v="K.K."/>
    <n v="1"/>
    <n v="245"/>
    <n v="0"/>
    <n v="245"/>
    <m/>
    <m/>
    <m/>
    <m/>
    <n v="0"/>
    <n v="0"/>
    <n v="18521.201120151993"/>
  </r>
  <r>
    <x v="90"/>
    <x v="3"/>
    <x v="364"/>
    <x v="0"/>
    <x v="2"/>
    <x v="828"/>
    <x v="101"/>
    <s v="K.K."/>
    <n v="1"/>
    <n v="205"/>
    <n v="0"/>
    <n v="205"/>
    <m/>
    <m/>
    <m/>
    <m/>
    <n v="0"/>
    <n v="0"/>
    <n v="18521.201120151993"/>
  </r>
  <r>
    <x v="90"/>
    <x v="3"/>
    <x v="67"/>
    <x v="0"/>
    <x v="2"/>
    <x v="828"/>
    <x v="101"/>
    <s v="K.K."/>
    <n v="1"/>
    <n v="150"/>
    <n v="0"/>
    <n v="150"/>
    <m/>
    <m/>
    <m/>
    <m/>
    <n v="0"/>
    <n v="0"/>
    <n v="18521.201120151993"/>
  </r>
  <r>
    <x v="90"/>
    <x v="3"/>
    <x v="365"/>
    <x v="0"/>
    <x v="2"/>
    <x v="828"/>
    <x v="101"/>
    <s v="K.K."/>
    <n v="1"/>
    <n v="140"/>
    <n v="0"/>
    <n v="140"/>
    <m/>
    <m/>
    <m/>
    <m/>
    <n v="0"/>
    <n v="0"/>
    <n v="18521.201120151993"/>
  </r>
  <r>
    <x v="90"/>
    <x v="3"/>
    <x v="366"/>
    <x v="0"/>
    <x v="2"/>
    <x v="828"/>
    <x v="101"/>
    <s v="K.K."/>
    <n v="1"/>
    <n v="270"/>
    <n v="0"/>
    <n v="270"/>
    <m/>
    <m/>
    <m/>
    <m/>
    <n v="0"/>
    <n v="0"/>
    <n v="18521.201120151993"/>
  </r>
  <r>
    <x v="90"/>
    <x v="3"/>
    <x v="367"/>
    <x v="0"/>
    <x v="2"/>
    <x v="828"/>
    <x v="101"/>
    <s v="K.K."/>
    <n v="1"/>
    <n v="65"/>
    <n v="0"/>
    <n v="65"/>
    <m/>
    <m/>
    <m/>
    <m/>
    <n v="0"/>
    <n v="0"/>
    <n v="18521.201120151993"/>
  </r>
  <r>
    <x v="90"/>
    <x v="3"/>
    <x v="368"/>
    <x v="0"/>
    <x v="2"/>
    <x v="828"/>
    <x v="101"/>
    <s v="K.K."/>
    <n v="1"/>
    <n v="195"/>
    <n v="0"/>
    <n v="195"/>
    <m/>
    <m/>
    <m/>
    <m/>
    <n v="0"/>
    <n v="0"/>
    <n v="18521.201120151993"/>
  </r>
  <r>
    <x v="90"/>
    <x v="3"/>
    <x v="369"/>
    <x v="0"/>
    <x v="2"/>
    <x v="828"/>
    <x v="101"/>
    <s v="K.K."/>
    <n v="1"/>
    <n v="115"/>
    <n v="0"/>
    <n v="115"/>
    <m/>
    <m/>
    <m/>
    <m/>
    <n v="0"/>
    <n v="0"/>
    <n v="18521.201120151993"/>
  </r>
  <r>
    <x v="90"/>
    <x v="3"/>
    <x v="370"/>
    <x v="0"/>
    <x v="2"/>
    <x v="828"/>
    <x v="101"/>
    <s v="K.K."/>
    <n v="1"/>
    <n v="280"/>
    <n v="0"/>
    <n v="280"/>
    <m/>
    <m/>
    <m/>
    <m/>
    <n v="0"/>
    <n v="0"/>
    <n v="18521.201120151993"/>
  </r>
  <r>
    <x v="90"/>
    <x v="3"/>
    <x v="371"/>
    <x v="0"/>
    <x v="2"/>
    <x v="828"/>
    <x v="101"/>
    <s v="K.K."/>
    <n v="1"/>
    <n v="280"/>
    <n v="0"/>
    <n v="280"/>
    <m/>
    <m/>
    <m/>
    <m/>
    <n v="0"/>
    <n v="0"/>
    <n v="18521.201120151993"/>
  </r>
  <r>
    <x v="90"/>
    <x v="3"/>
    <x v="372"/>
    <x v="0"/>
    <x v="2"/>
    <x v="828"/>
    <x v="101"/>
    <s v="K.K."/>
    <n v="1"/>
    <n v="95"/>
    <n v="0"/>
    <n v="95"/>
    <m/>
    <m/>
    <m/>
    <m/>
    <n v="0"/>
    <n v="0"/>
    <n v="18521.201120151993"/>
  </r>
  <r>
    <x v="90"/>
    <x v="3"/>
    <x v="373"/>
    <x v="0"/>
    <x v="2"/>
    <x v="828"/>
    <x v="101"/>
    <s v="K.K."/>
    <n v="1"/>
    <n v="230"/>
    <n v="0"/>
    <n v="230"/>
    <m/>
    <m/>
    <m/>
    <m/>
    <n v="0"/>
    <n v="0"/>
    <n v="18521.201120151993"/>
  </r>
  <r>
    <x v="90"/>
    <x v="3"/>
    <x v="374"/>
    <x v="0"/>
    <x v="2"/>
    <x v="828"/>
    <x v="101"/>
    <s v="K.K."/>
    <n v="1"/>
    <n v="220"/>
    <n v="0"/>
    <n v="220"/>
    <m/>
    <m/>
    <m/>
    <m/>
    <n v="0"/>
    <n v="0"/>
    <n v="18521.201120151993"/>
  </r>
  <r>
    <x v="90"/>
    <x v="3"/>
    <x v="204"/>
    <x v="0"/>
    <x v="2"/>
    <x v="828"/>
    <x v="101"/>
    <s v="K.K."/>
    <n v="1"/>
    <n v="240"/>
    <n v="0"/>
    <n v="240"/>
    <m/>
    <m/>
    <m/>
    <m/>
    <n v="0"/>
    <n v="0"/>
    <n v="18521.201120151993"/>
  </r>
  <r>
    <x v="90"/>
    <x v="3"/>
    <x v="375"/>
    <x v="0"/>
    <x v="2"/>
    <x v="828"/>
    <x v="101"/>
    <s v="K.K."/>
    <n v="1"/>
    <n v="315"/>
    <n v="0"/>
    <n v="315"/>
    <m/>
    <m/>
    <m/>
    <m/>
    <n v="0"/>
    <n v="0"/>
    <n v="18521.201120151993"/>
  </r>
  <r>
    <x v="90"/>
    <x v="3"/>
    <x v="303"/>
    <x v="0"/>
    <x v="2"/>
    <x v="828"/>
    <x v="101"/>
    <s v="K.K."/>
    <n v="2"/>
    <n v="328"/>
    <n v="0"/>
    <n v="656"/>
    <m/>
    <m/>
    <m/>
    <m/>
    <n v="0"/>
    <n v="0"/>
    <n v="18521.201120151993"/>
  </r>
  <r>
    <x v="90"/>
    <x v="4"/>
    <x v="27"/>
    <x v="0"/>
    <x v="1"/>
    <x v="829"/>
    <x v="25"/>
    <s v="NAKİT"/>
    <n v="4.2000000000000003E-2"/>
    <n v="400"/>
    <n v="0"/>
    <n v="0"/>
    <m/>
    <m/>
    <m/>
    <m/>
    <n v="16.8"/>
    <n v="0"/>
    <n v="18538.001120151992"/>
  </r>
  <r>
    <x v="90"/>
    <x v="4"/>
    <x v="28"/>
    <x v="0"/>
    <x v="1"/>
    <x v="829"/>
    <x v="25"/>
    <s v="NAKİT"/>
    <n v="0.122"/>
    <n v="500"/>
    <n v="0"/>
    <n v="0"/>
    <m/>
    <m/>
    <m/>
    <m/>
    <n v="61"/>
    <n v="0"/>
    <n v="18599.001120151992"/>
  </r>
  <r>
    <x v="90"/>
    <x v="4"/>
    <x v="47"/>
    <x v="0"/>
    <x v="1"/>
    <x v="829"/>
    <x v="25"/>
    <s v="NAKİT"/>
    <n v="2.8000000000000001E-2"/>
    <n v="400"/>
    <n v="0"/>
    <n v="0"/>
    <m/>
    <m/>
    <m/>
    <m/>
    <n v="11.200000000000001"/>
    <n v="0"/>
    <n v="18610.201120151993"/>
  </r>
  <r>
    <x v="90"/>
    <x v="4"/>
    <x v="60"/>
    <x v="0"/>
    <x v="1"/>
    <x v="829"/>
    <x v="25"/>
    <s v="NAKİT"/>
    <n v="0.1"/>
    <n v="250"/>
    <n v="0"/>
    <n v="0"/>
    <m/>
    <m/>
    <m/>
    <m/>
    <n v="25"/>
    <n v="0"/>
    <n v="18635.201120151993"/>
  </r>
  <r>
    <x v="90"/>
    <x v="4"/>
    <x v="354"/>
    <x v="0"/>
    <x v="5"/>
    <x v="830"/>
    <x v="25"/>
    <s v="POS"/>
    <n v="0.1"/>
    <n v="800"/>
    <n v="80"/>
    <n v="0"/>
    <m/>
    <m/>
    <m/>
    <m/>
    <n v="0"/>
    <n v="0"/>
    <n v="18635.201120151993"/>
  </r>
  <r>
    <x v="90"/>
    <x v="4"/>
    <x v="61"/>
    <x v="0"/>
    <x v="5"/>
    <x v="830"/>
    <x v="25"/>
    <s v="POS"/>
    <n v="3.896103896103896E-2"/>
    <n v="770"/>
    <n v="30"/>
    <n v="0"/>
    <m/>
    <m/>
    <m/>
    <m/>
    <n v="0"/>
    <n v="0"/>
    <n v="18635.201120151993"/>
  </r>
  <r>
    <x v="90"/>
    <x v="4"/>
    <x v="60"/>
    <x v="0"/>
    <x v="5"/>
    <x v="830"/>
    <x v="25"/>
    <s v="POS"/>
    <n v="0.1"/>
    <n v="250"/>
    <n v="25"/>
    <n v="0"/>
    <m/>
    <m/>
    <m/>
    <m/>
    <n v="0"/>
    <n v="0"/>
    <n v="18635.201120151993"/>
  </r>
  <r>
    <x v="90"/>
    <x v="4"/>
    <x v="24"/>
    <x v="0"/>
    <x v="1"/>
    <x v="831"/>
    <x v="25"/>
    <s v="NAKİT"/>
    <n v="0.20156250000000001"/>
    <n v="640"/>
    <n v="0"/>
    <n v="0"/>
    <m/>
    <m/>
    <m/>
    <m/>
    <n v="129"/>
    <n v="0"/>
    <n v="18764.201120151993"/>
  </r>
  <r>
    <x v="90"/>
    <x v="4"/>
    <x v="25"/>
    <x v="0"/>
    <x v="1"/>
    <x v="831"/>
    <x v="25"/>
    <s v="NAKİT"/>
    <n v="0.2"/>
    <n v="390"/>
    <n v="0"/>
    <n v="0"/>
    <m/>
    <m/>
    <m/>
    <m/>
    <n v="78"/>
    <n v="0"/>
    <n v="18842.201120151993"/>
  </r>
  <r>
    <x v="90"/>
    <x v="4"/>
    <x v="161"/>
    <x v="0"/>
    <x v="1"/>
    <x v="831"/>
    <x v="25"/>
    <s v="NAKİT"/>
    <n v="0.21351351351351353"/>
    <n v="370"/>
    <n v="0"/>
    <n v="0"/>
    <m/>
    <m/>
    <m/>
    <m/>
    <n v="79"/>
    <n v="0"/>
    <n v="18921.201120151993"/>
  </r>
  <r>
    <x v="90"/>
    <x v="4"/>
    <x v="59"/>
    <x v="0"/>
    <x v="1"/>
    <x v="831"/>
    <x v="25"/>
    <s v="NAKİT"/>
    <n v="0.25"/>
    <n v="420"/>
    <n v="0"/>
    <n v="0"/>
    <m/>
    <m/>
    <m/>
    <m/>
    <n v="105"/>
    <n v="0"/>
    <n v="19026.201120151993"/>
  </r>
  <r>
    <x v="90"/>
    <x v="4"/>
    <x v="27"/>
    <x v="0"/>
    <x v="1"/>
    <x v="831"/>
    <x v="25"/>
    <s v="NAKİT"/>
    <n v="0.1075"/>
    <n v="400"/>
    <n v="0"/>
    <n v="0"/>
    <m/>
    <m/>
    <m/>
    <m/>
    <n v="43"/>
    <n v="0"/>
    <n v="19069.201120151993"/>
  </r>
  <r>
    <x v="90"/>
    <x v="4"/>
    <x v="355"/>
    <x v="0"/>
    <x v="5"/>
    <x v="832"/>
    <x v="25"/>
    <s v="POS"/>
    <n v="1"/>
    <n v="170"/>
    <n v="170"/>
    <n v="0"/>
    <m/>
    <m/>
    <m/>
    <m/>
    <n v="0"/>
    <n v="0"/>
    <n v="19069.201120151993"/>
  </r>
  <r>
    <x v="90"/>
    <x v="4"/>
    <x v="141"/>
    <x v="0"/>
    <x v="1"/>
    <x v="833"/>
    <x v="25"/>
    <s v="NAKİT"/>
    <n v="1"/>
    <n v="130"/>
    <n v="0"/>
    <n v="0"/>
    <m/>
    <m/>
    <m/>
    <m/>
    <n v="130"/>
    <n v="0"/>
    <n v="19199.201120151993"/>
  </r>
  <r>
    <x v="90"/>
    <x v="4"/>
    <x v="136"/>
    <x v="0"/>
    <x v="5"/>
    <x v="834"/>
    <x v="25"/>
    <s v="POS"/>
    <n v="1"/>
    <n v="140"/>
    <n v="140"/>
    <n v="0"/>
    <m/>
    <m/>
    <m/>
    <m/>
    <n v="0"/>
    <n v="0"/>
    <n v="19199.201120151993"/>
  </r>
  <r>
    <x v="90"/>
    <x v="4"/>
    <x v="249"/>
    <x v="0"/>
    <x v="1"/>
    <x v="835"/>
    <x v="25"/>
    <s v="NAKİT"/>
    <n v="1"/>
    <n v="125"/>
    <n v="0"/>
    <n v="0"/>
    <m/>
    <m/>
    <m/>
    <m/>
    <n v="125"/>
    <n v="0"/>
    <n v="19324.201120151993"/>
  </r>
  <r>
    <x v="90"/>
    <x v="4"/>
    <x v="161"/>
    <x v="0"/>
    <x v="1"/>
    <x v="836"/>
    <x v="35"/>
    <s v="NAKİT"/>
    <n v="0.63600000000000001"/>
    <n v="300"/>
    <n v="0"/>
    <n v="0"/>
    <m/>
    <m/>
    <m/>
    <m/>
    <n v="190.8"/>
    <n v="0"/>
    <n v="19515.001120151992"/>
  </r>
  <r>
    <x v="90"/>
    <x v="4"/>
    <x v="22"/>
    <x v="0"/>
    <x v="1"/>
    <x v="837"/>
    <x v="25"/>
    <s v="NAKİT"/>
    <n v="0.12"/>
    <n v="400"/>
    <n v="0"/>
    <n v="0"/>
    <m/>
    <m/>
    <m/>
    <m/>
    <n v="48"/>
    <n v="0"/>
    <n v="19563.001120151992"/>
  </r>
  <r>
    <x v="90"/>
    <x v="4"/>
    <x v="23"/>
    <x v="0"/>
    <x v="1"/>
    <x v="837"/>
    <x v="25"/>
    <s v="NAKİT"/>
    <n v="0.12"/>
    <n v="300"/>
    <n v="0"/>
    <n v="0"/>
    <m/>
    <m/>
    <m/>
    <m/>
    <n v="36"/>
    <n v="0"/>
    <n v="19599.001120151992"/>
  </r>
  <r>
    <x v="90"/>
    <x v="4"/>
    <x v="27"/>
    <x v="0"/>
    <x v="1"/>
    <x v="837"/>
    <x v="25"/>
    <s v="NAKİT"/>
    <n v="0.06"/>
    <n v="400"/>
    <n v="0"/>
    <n v="0"/>
    <m/>
    <m/>
    <m/>
    <m/>
    <n v="24"/>
    <n v="0"/>
    <n v="19623.001120151992"/>
  </r>
  <r>
    <x v="90"/>
    <x v="4"/>
    <x v="29"/>
    <x v="0"/>
    <x v="1"/>
    <x v="837"/>
    <x v="25"/>
    <s v="NAKİT"/>
    <n v="0.06"/>
    <n v="760"/>
    <n v="0"/>
    <n v="0"/>
    <m/>
    <m/>
    <m/>
    <m/>
    <n v="45.6"/>
    <n v="0"/>
    <n v="19668.60112015199"/>
  </r>
  <r>
    <x v="90"/>
    <x v="4"/>
    <x v="199"/>
    <x v="0"/>
    <x v="1"/>
    <x v="837"/>
    <x v="25"/>
    <s v="NAKİT"/>
    <n v="1"/>
    <n v="150"/>
    <n v="0"/>
    <n v="0"/>
    <m/>
    <m/>
    <m/>
    <m/>
    <n v="150"/>
    <n v="0"/>
    <n v="19818.60112015199"/>
  </r>
  <r>
    <x v="90"/>
    <x v="4"/>
    <x v="285"/>
    <x v="0"/>
    <x v="1"/>
    <x v="837"/>
    <x v="25"/>
    <s v="NAKİT"/>
    <n v="0.3125"/>
    <n v="320"/>
    <n v="0"/>
    <n v="0"/>
    <m/>
    <m/>
    <m/>
    <m/>
    <n v="100"/>
    <n v="0"/>
    <n v="19918.60112015199"/>
  </r>
  <r>
    <x v="90"/>
    <x v="10"/>
    <x v="0"/>
    <x v="0"/>
    <x v="5"/>
    <x v="2"/>
    <x v="63"/>
    <s v="POS"/>
    <n v="1"/>
    <n v="880"/>
    <n v="0"/>
    <n v="880"/>
    <n v="989"/>
    <m/>
    <m/>
    <m/>
    <n v="880"/>
    <n v="0"/>
    <n v="20798.60112015199"/>
  </r>
  <r>
    <x v="91"/>
    <x v="4"/>
    <x v="179"/>
    <x v="0"/>
    <x v="1"/>
    <x v="838"/>
    <x v="25"/>
    <s v="NAKİT"/>
    <n v="0.2"/>
    <n v="850"/>
    <n v="0"/>
    <n v="0"/>
    <m/>
    <m/>
    <m/>
    <m/>
    <n v="170"/>
    <n v="0"/>
    <n v="20968.60112015199"/>
  </r>
  <r>
    <x v="91"/>
    <x v="4"/>
    <x v="30"/>
    <x v="0"/>
    <x v="5"/>
    <x v="839"/>
    <x v="25"/>
    <s v="POS"/>
    <n v="1"/>
    <n v="500"/>
    <n v="500"/>
    <n v="0"/>
    <m/>
    <m/>
    <m/>
    <m/>
    <n v="0"/>
    <n v="0"/>
    <n v="20968.60112015199"/>
  </r>
  <r>
    <x v="91"/>
    <x v="4"/>
    <x v="35"/>
    <x v="0"/>
    <x v="5"/>
    <x v="839"/>
    <x v="25"/>
    <s v="POS"/>
    <n v="0.25"/>
    <n v="180"/>
    <n v="45"/>
    <n v="0"/>
    <m/>
    <m/>
    <m/>
    <m/>
    <n v="0"/>
    <n v="0"/>
    <n v="20968.60112015199"/>
  </r>
  <r>
    <x v="91"/>
    <x v="4"/>
    <x v="29"/>
    <x v="0"/>
    <x v="1"/>
    <x v="840"/>
    <x v="25"/>
    <s v="NAKİT"/>
    <n v="7.3684210526315783E-2"/>
    <n v="760"/>
    <n v="0"/>
    <n v="0"/>
    <m/>
    <m/>
    <m/>
    <m/>
    <n v="55.999999999999993"/>
    <n v="0"/>
    <n v="21024.60112015199"/>
  </r>
  <r>
    <x v="91"/>
    <x v="4"/>
    <x v="347"/>
    <x v="0"/>
    <x v="1"/>
    <x v="841"/>
    <x v="25"/>
    <s v="NAKİT"/>
    <n v="0.13157894736842105"/>
    <n v="570"/>
    <n v="0"/>
    <n v="0"/>
    <m/>
    <m/>
    <m/>
    <m/>
    <n v="75"/>
    <n v="0"/>
    <n v="21099.60112015199"/>
  </r>
  <r>
    <x v="91"/>
    <x v="4"/>
    <x v="121"/>
    <x v="0"/>
    <x v="1"/>
    <x v="841"/>
    <x v="25"/>
    <s v="NAKİT"/>
    <n v="0.1"/>
    <n v="1250"/>
    <n v="0"/>
    <n v="0"/>
    <m/>
    <m/>
    <m/>
    <m/>
    <n v="125"/>
    <n v="0"/>
    <n v="21224.60112015199"/>
  </r>
  <r>
    <x v="91"/>
    <x v="4"/>
    <x v="122"/>
    <x v="0"/>
    <x v="1"/>
    <x v="841"/>
    <x v="25"/>
    <s v="NAKİT"/>
    <n v="8.5000000000000006E-2"/>
    <n v="1200"/>
    <n v="0"/>
    <n v="0"/>
    <m/>
    <m/>
    <m/>
    <m/>
    <n v="102.00000000000001"/>
    <n v="0"/>
    <n v="21326.60112015199"/>
  </r>
  <r>
    <x v="91"/>
    <x v="4"/>
    <x v="120"/>
    <x v="0"/>
    <x v="1"/>
    <x v="841"/>
    <x v="25"/>
    <s v="NAKİT"/>
    <n v="0.23200000000000001"/>
    <n v="650"/>
    <n v="0"/>
    <n v="0"/>
    <m/>
    <m/>
    <m/>
    <m/>
    <n v="150.80000000000001"/>
    <n v="0"/>
    <n v="21477.40112015199"/>
  </r>
  <r>
    <x v="91"/>
    <x v="4"/>
    <x v="150"/>
    <x v="0"/>
    <x v="1"/>
    <x v="842"/>
    <x v="25"/>
    <s v="NAKİT"/>
    <n v="3.3"/>
    <n v="250"/>
    <n v="0"/>
    <n v="0"/>
    <m/>
    <m/>
    <m/>
    <m/>
    <n v="825"/>
    <n v="0"/>
    <n v="22302.40112015199"/>
  </r>
  <r>
    <x v="91"/>
    <x v="4"/>
    <x v="344"/>
    <x v="0"/>
    <x v="1"/>
    <x v="843"/>
    <x v="25"/>
    <s v="NAKİT"/>
    <n v="0.22"/>
    <n v="460"/>
    <n v="0"/>
    <n v="0"/>
    <m/>
    <m/>
    <m/>
    <m/>
    <n v="101.2"/>
    <n v="0"/>
    <n v="22403.60112015199"/>
  </r>
  <r>
    <x v="91"/>
    <x v="4"/>
    <x v="345"/>
    <x v="0"/>
    <x v="5"/>
    <x v="844"/>
    <x v="25"/>
    <s v="POS"/>
    <n v="0.25"/>
    <n v="400"/>
    <n v="100"/>
    <n v="0"/>
    <m/>
    <m/>
    <m/>
    <m/>
    <n v="0"/>
    <n v="0"/>
    <n v="22403.60112015199"/>
  </r>
  <r>
    <x v="91"/>
    <x v="4"/>
    <x v="38"/>
    <x v="0"/>
    <x v="5"/>
    <x v="844"/>
    <x v="25"/>
    <s v="POS"/>
    <n v="0.2"/>
    <n v="650"/>
    <n v="130"/>
    <n v="0"/>
    <m/>
    <m/>
    <m/>
    <m/>
    <n v="0"/>
    <n v="0"/>
    <n v="22403.60112015199"/>
  </r>
  <r>
    <x v="91"/>
    <x v="4"/>
    <x v="122"/>
    <x v="0"/>
    <x v="5"/>
    <x v="844"/>
    <x v="25"/>
    <s v="POS"/>
    <n v="8.5000000000000006E-2"/>
    <n v="1200"/>
    <n v="102.00000000000001"/>
    <n v="0"/>
    <m/>
    <m/>
    <m/>
    <m/>
    <n v="0"/>
    <n v="0"/>
    <n v="22403.60112015199"/>
  </r>
  <r>
    <x v="91"/>
    <x v="4"/>
    <x v="121"/>
    <x v="0"/>
    <x v="5"/>
    <x v="844"/>
    <x v="25"/>
    <s v="POS"/>
    <n v="0.1"/>
    <n v="1250"/>
    <n v="125"/>
    <n v="0"/>
    <m/>
    <m/>
    <m/>
    <m/>
    <n v="0"/>
    <n v="0"/>
    <n v="22403.60112015199"/>
  </r>
  <r>
    <x v="91"/>
    <x v="4"/>
    <x v="14"/>
    <x v="0"/>
    <x v="1"/>
    <x v="845"/>
    <x v="25"/>
    <s v="NAKİT"/>
    <n v="0.5"/>
    <n v="280"/>
    <n v="0"/>
    <n v="0"/>
    <m/>
    <m/>
    <m/>
    <m/>
    <n v="140"/>
    <n v="0"/>
    <n v="22543.60112015199"/>
  </r>
  <r>
    <x v="91"/>
    <x v="4"/>
    <x v="38"/>
    <x v="0"/>
    <x v="1"/>
    <x v="845"/>
    <x v="25"/>
    <s v="NAKİT"/>
    <n v="0.1"/>
    <n v="650"/>
    <n v="0"/>
    <n v="0"/>
    <m/>
    <m/>
    <m/>
    <m/>
    <n v="65"/>
    <n v="0"/>
    <n v="22608.60112015199"/>
  </r>
  <r>
    <x v="91"/>
    <x v="4"/>
    <x v="360"/>
    <x v="0"/>
    <x v="1"/>
    <x v="845"/>
    <x v="25"/>
    <s v="NAKİT"/>
    <n v="0.17"/>
    <n v="600"/>
    <n v="0"/>
    <n v="0"/>
    <m/>
    <m/>
    <m/>
    <m/>
    <n v="102.00000000000001"/>
    <n v="0"/>
    <n v="22710.60112015199"/>
  </r>
  <r>
    <x v="91"/>
    <x v="4"/>
    <x v="151"/>
    <x v="0"/>
    <x v="1"/>
    <x v="845"/>
    <x v="25"/>
    <s v="NAKİT"/>
    <n v="0.1"/>
    <n v="600"/>
    <n v="0"/>
    <n v="0"/>
    <m/>
    <m/>
    <m/>
    <m/>
    <n v="60"/>
    <n v="0"/>
    <n v="22770.60112015199"/>
  </r>
  <r>
    <x v="91"/>
    <x v="4"/>
    <x v="248"/>
    <x v="0"/>
    <x v="1"/>
    <x v="846"/>
    <x v="25"/>
    <s v="NAKİT"/>
    <n v="0.52400000000000002"/>
    <n v="690"/>
    <n v="0"/>
    <n v="0"/>
    <m/>
    <m/>
    <m/>
    <m/>
    <n v="361.56"/>
    <n v="0"/>
    <n v="23132.161120151992"/>
  </r>
  <r>
    <x v="91"/>
    <x v="4"/>
    <x v="142"/>
    <x v="0"/>
    <x v="1"/>
    <x v="846"/>
    <x v="25"/>
    <s v="NAKİT"/>
    <n v="0.17799999999999999"/>
    <n v="250"/>
    <n v="0"/>
    <n v="0"/>
    <m/>
    <m/>
    <m/>
    <m/>
    <n v="44.5"/>
    <n v="0"/>
    <n v="23176.661120151992"/>
  </r>
  <r>
    <x v="91"/>
    <x v="4"/>
    <x v="27"/>
    <x v="0"/>
    <x v="1"/>
    <x v="847"/>
    <x v="25"/>
    <s v="NAKİT"/>
    <n v="0.25"/>
    <n v="400"/>
    <n v="0"/>
    <n v="0"/>
    <m/>
    <m/>
    <m/>
    <m/>
    <n v="100"/>
    <n v="0"/>
    <n v="23276.661120151992"/>
  </r>
  <r>
    <x v="91"/>
    <x v="4"/>
    <x v="344"/>
    <x v="0"/>
    <x v="5"/>
    <x v="848"/>
    <x v="25"/>
    <s v="POS"/>
    <n v="0.22222222222222221"/>
    <n v="450"/>
    <n v="100"/>
    <n v="0"/>
    <m/>
    <m/>
    <m/>
    <m/>
    <n v="0"/>
    <n v="0"/>
    <n v="23276.661120151992"/>
  </r>
  <r>
    <x v="91"/>
    <x v="4"/>
    <x v="36"/>
    <x v="0"/>
    <x v="5"/>
    <x v="848"/>
    <x v="25"/>
    <s v="POS"/>
    <n v="0.25"/>
    <n v="180"/>
    <n v="45"/>
    <n v="0"/>
    <m/>
    <m/>
    <m/>
    <m/>
    <n v="0"/>
    <n v="0"/>
    <n v="23276.661120151992"/>
  </r>
  <r>
    <x v="91"/>
    <x v="4"/>
    <x v="260"/>
    <x v="0"/>
    <x v="1"/>
    <x v="849"/>
    <x v="25"/>
    <s v="NAKİT"/>
    <n v="1"/>
    <n v="180"/>
    <n v="0"/>
    <n v="0"/>
    <m/>
    <m/>
    <m/>
    <m/>
    <n v="180"/>
    <n v="0"/>
    <n v="23456.661120151992"/>
  </r>
  <r>
    <x v="91"/>
    <x v="4"/>
    <x v="161"/>
    <x v="0"/>
    <x v="1"/>
    <x v="850"/>
    <x v="25"/>
    <s v="NAKİT"/>
    <n v="0.21621621621621623"/>
    <n v="370"/>
    <n v="0"/>
    <n v="0"/>
    <m/>
    <m/>
    <m/>
    <m/>
    <n v="80"/>
    <n v="0"/>
    <n v="23536.661120151992"/>
  </r>
  <r>
    <x v="91"/>
    <x v="4"/>
    <x v="18"/>
    <x v="0"/>
    <x v="1"/>
    <x v="851"/>
    <x v="25"/>
    <s v="NAKİT"/>
    <n v="1"/>
    <n v="240"/>
    <n v="0"/>
    <n v="0"/>
    <m/>
    <m/>
    <m/>
    <m/>
    <n v="240"/>
    <n v="0"/>
    <n v="23776.661120151992"/>
  </r>
  <r>
    <x v="91"/>
    <x v="4"/>
    <x v="58"/>
    <x v="0"/>
    <x v="1"/>
    <x v="851"/>
    <x v="25"/>
    <s v="NAKİT"/>
    <n v="1"/>
    <n v="230"/>
    <n v="0"/>
    <n v="0"/>
    <m/>
    <m/>
    <m/>
    <m/>
    <n v="230"/>
    <n v="0"/>
    <n v="24006.661120151992"/>
  </r>
  <r>
    <x v="91"/>
    <x v="4"/>
    <x v="288"/>
    <x v="0"/>
    <x v="1"/>
    <x v="851"/>
    <x v="25"/>
    <s v="NAKİT"/>
    <n v="5.6000000000000001E-2"/>
    <n v="540"/>
    <n v="0"/>
    <n v="0"/>
    <m/>
    <m/>
    <m/>
    <m/>
    <n v="30.240000000000002"/>
    <n v="0"/>
    <n v="24036.901120151993"/>
  </r>
  <r>
    <x v="91"/>
    <x v="4"/>
    <x v="245"/>
    <x v="0"/>
    <x v="5"/>
    <x v="852"/>
    <x v="25"/>
    <s v="POS"/>
    <n v="1"/>
    <n v="90"/>
    <n v="90"/>
    <n v="0"/>
    <m/>
    <m/>
    <m/>
    <m/>
    <n v="0"/>
    <n v="0"/>
    <n v="24036.901120151993"/>
  </r>
  <r>
    <x v="91"/>
    <x v="4"/>
    <x v="345"/>
    <x v="0"/>
    <x v="5"/>
    <x v="853"/>
    <x v="25"/>
    <s v="POS"/>
    <n v="0.5"/>
    <n v="400"/>
    <n v="200"/>
    <n v="0"/>
    <m/>
    <m/>
    <m/>
    <m/>
    <n v="0"/>
    <n v="0"/>
    <n v="24036.901120151993"/>
  </r>
  <r>
    <x v="91"/>
    <x v="4"/>
    <x v="197"/>
    <x v="0"/>
    <x v="1"/>
    <x v="854"/>
    <x v="25"/>
    <s v="NAKİT"/>
    <n v="2.0699999999999998"/>
    <n v="200"/>
    <n v="0"/>
    <n v="0"/>
    <m/>
    <m/>
    <m/>
    <m/>
    <n v="413.99999999999994"/>
    <n v="0"/>
    <n v="24450.901120151993"/>
  </r>
  <r>
    <x v="91"/>
    <x v="4"/>
    <x v="28"/>
    <x v="0"/>
    <x v="1"/>
    <x v="854"/>
    <x v="25"/>
    <s v="NAKİT"/>
    <n v="0.2"/>
    <n v="500"/>
    <n v="0"/>
    <n v="0"/>
    <m/>
    <m/>
    <m/>
    <m/>
    <n v="100"/>
    <n v="0"/>
    <n v="24550.901120151993"/>
  </r>
  <r>
    <x v="91"/>
    <x v="4"/>
    <x v="31"/>
    <x v="0"/>
    <x v="1"/>
    <x v="854"/>
    <x v="25"/>
    <s v="NAKİT"/>
    <n v="0.2"/>
    <n v="380"/>
    <n v="0"/>
    <n v="0"/>
    <m/>
    <m/>
    <m/>
    <m/>
    <n v="76"/>
    <n v="0"/>
    <n v="24626.901120151993"/>
  </r>
  <r>
    <x v="91"/>
    <x v="4"/>
    <x v="83"/>
    <x v="0"/>
    <x v="5"/>
    <x v="855"/>
    <x v="25"/>
    <s v="POS"/>
    <n v="0.1"/>
    <n v="2600"/>
    <n v="260"/>
    <n v="0"/>
    <m/>
    <m/>
    <m/>
    <m/>
    <n v="0"/>
    <n v="0"/>
    <n v="24626.901120151993"/>
  </r>
  <r>
    <x v="91"/>
    <x v="4"/>
    <x v="23"/>
    <x v="0"/>
    <x v="1"/>
    <x v="856"/>
    <x v="25"/>
    <s v="NAKİT"/>
    <n v="0.214"/>
    <n v="281"/>
    <n v="0"/>
    <n v="0"/>
    <m/>
    <m/>
    <m/>
    <m/>
    <n v="60.134"/>
    <n v="0"/>
    <n v="24687.035120151992"/>
  </r>
  <r>
    <x v="91"/>
    <x v="4"/>
    <x v="302"/>
    <x v="0"/>
    <x v="5"/>
    <x v="857"/>
    <x v="25"/>
    <s v="POS"/>
    <n v="1"/>
    <n v="490"/>
    <n v="490"/>
    <n v="0"/>
    <m/>
    <m/>
    <m/>
    <m/>
    <n v="0"/>
    <n v="0"/>
    <n v="24687.035120151992"/>
  </r>
  <r>
    <x v="91"/>
    <x v="0"/>
    <x v="0"/>
    <x v="0"/>
    <x v="0"/>
    <x v="2"/>
    <x v="95"/>
    <s v="NAKİT"/>
    <n v="1"/>
    <n v="45800"/>
    <n v="0"/>
    <n v="45800"/>
    <n v="0"/>
    <n v="10000"/>
    <m/>
    <m/>
    <n v="45800"/>
    <n v="0"/>
    <n v="70487.035120151995"/>
  </r>
  <r>
    <x v="91"/>
    <x v="7"/>
    <x v="0"/>
    <x v="0"/>
    <x v="9"/>
    <x v="2"/>
    <x v="102"/>
    <s v="NAKİT"/>
    <n v="1"/>
    <n v="0"/>
    <n v="11643.5"/>
    <n v="0"/>
    <n v="10000"/>
    <m/>
    <m/>
    <n v="0"/>
    <n v="0"/>
    <n v="11643.5"/>
    <n v="58843.535120151995"/>
  </r>
  <r>
    <x v="91"/>
    <x v="1"/>
    <x v="0"/>
    <x v="2"/>
    <x v="1"/>
    <x v="2"/>
    <x v="103"/>
    <s v="NAKİT"/>
    <n v="1"/>
    <n v="22000"/>
    <n v="0"/>
    <n v="0"/>
    <m/>
    <m/>
    <m/>
    <n v="0"/>
    <n v="0"/>
    <n v="22000"/>
    <n v="36843.535120151995"/>
  </r>
  <r>
    <x v="91"/>
    <x v="7"/>
    <x v="0"/>
    <x v="0"/>
    <x v="4"/>
    <x v="2"/>
    <x v="104"/>
    <s v="NAKİT"/>
    <n v="1"/>
    <n v="0"/>
    <n v="15000"/>
    <n v="0"/>
    <n v="10000"/>
    <m/>
    <m/>
    <n v="0"/>
    <n v="0"/>
    <n v="15000"/>
    <n v="21843.535120151995"/>
  </r>
  <r>
    <x v="91"/>
    <x v="7"/>
    <x v="0"/>
    <x v="0"/>
    <x v="3"/>
    <x v="2"/>
    <x v="105"/>
    <s v="NAKİT"/>
    <n v="1"/>
    <n v="0"/>
    <n v="15000"/>
    <n v="0"/>
    <n v="10000"/>
    <m/>
    <m/>
    <n v="0"/>
    <n v="0"/>
    <n v="15000"/>
    <n v="6843.5351201519952"/>
  </r>
  <r>
    <x v="91"/>
    <x v="8"/>
    <x v="121"/>
    <x v="0"/>
    <x v="1"/>
    <x v="2"/>
    <x v="45"/>
    <s v="ÜRETİM"/>
    <n v="0.7"/>
    <n v="1150"/>
    <n v="0"/>
    <n v="0"/>
    <m/>
    <m/>
    <m/>
    <m/>
    <n v="804.99999999999989"/>
    <n v="0"/>
    <n v="7648.5351201519952"/>
  </r>
  <r>
    <x v="91"/>
    <x v="8"/>
    <x v="122"/>
    <x v="0"/>
    <x v="1"/>
    <x v="2"/>
    <x v="45"/>
    <s v="ÜRETİM"/>
    <n v="0.7"/>
    <n v="1050"/>
    <n v="0"/>
    <n v="0"/>
    <m/>
    <m/>
    <m/>
    <m/>
    <n v="735"/>
    <n v="0"/>
    <n v="8383.5351201519952"/>
  </r>
  <r>
    <x v="91"/>
    <x v="8"/>
    <x v="149"/>
    <x v="0"/>
    <x v="1"/>
    <x v="2"/>
    <x v="45"/>
    <s v="ÜRETİM"/>
    <n v="1.4"/>
    <n v="435"/>
    <n v="0"/>
    <n v="0"/>
    <m/>
    <m/>
    <m/>
    <m/>
    <n v="609"/>
    <n v="0"/>
    <n v="8992.5351201519952"/>
  </r>
  <r>
    <x v="91"/>
    <x v="8"/>
    <x v="119"/>
    <x v="0"/>
    <x v="1"/>
    <x v="2"/>
    <x v="45"/>
    <s v="ÜRETİM"/>
    <n v="1.4"/>
    <n v="495"/>
    <n v="0"/>
    <n v="0"/>
    <m/>
    <m/>
    <m/>
    <m/>
    <n v="693"/>
    <n v="0"/>
    <n v="9685.5351201519952"/>
  </r>
  <r>
    <x v="91"/>
    <x v="9"/>
    <x v="179"/>
    <x v="0"/>
    <x v="1"/>
    <x v="2"/>
    <x v="45"/>
    <s v="ÜRETİM"/>
    <n v="4.2"/>
    <n v="676.66666666666663"/>
    <n v="0"/>
    <n v="0"/>
    <m/>
    <m/>
    <m/>
    <m/>
    <n v="0"/>
    <n v="2842"/>
    <n v="6843.5351201519952"/>
  </r>
  <r>
    <x v="91"/>
    <x v="3"/>
    <x v="238"/>
    <x v="0"/>
    <x v="4"/>
    <x v="2"/>
    <x v="32"/>
    <s v="CARİ"/>
    <n v="10"/>
    <n v="225"/>
    <n v="0"/>
    <n v="2250"/>
    <m/>
    <m/>
    <m/>
    <m/>
    <n v="0"/>
    <n v="0"/>
    <n v="6843.5351201519952"/>
  </r>
  <r>
    <x v="91"/>
    <x v="3"/>
    <x v="88"/>
    <x v="0"/>
    <x v="4"/>
    <x v="2"/>
    <x v="32"/>
    <s v="CARİ"/>
    <n v="2"/>
    <n v="570"/>
    <n v="0"/>
    <n v="1140"/>
    <m/>
    <m/>
    <m/>
    <m/>
    <n v="0"/>
    <n v="0"/>
    <n v="6843.5351201519952"/>
  </r>
  <r>
    <x v="91"/>
    <x v="3"/>
    <x v="355"/>
    <x v="0"/>
    <x v="4"/>
    <x v="2"/>
    <x v="32"/>
    <s v="CARİ"/>
    <n v="12"/>
    <n v="95"/>
    <n v="0"/>
    <n v="1140"/>
    <m/>
    <m/>
    <m/>
    <m/>
    <n v="0"/>
    <n v="0"/>
    <n v="6843.5351201519952"/>
  </r>
  <r>
    <x v="92"/>
    <x v="4"/>
    <x v="312"/>
    <x v="0"/>
    <x v="1"/>
    <x v="858"/>
    <x v="25"/>
    <s v="NAKİT"/>
    <n v="1.5"/>
    <n v="400"/>
    <n v="0"/>
    <n v="0"/>
    <m/>
    <m/>
    <m/>
    <m/>
    <n v="600"/>
    <n v="0"/>
    <n v="7443.5351201519952"/>
  </r>
  <r>
    <x v="92"/>
    <x v="4"/>
    <x v="344"/>
    <x v="0"/>
    <x v="1"/>
    <x v="859"/>
    <x v="25"/>
    <s v="NAKİT"/>
    <n v="0.10888888888888888"/>
    <n v="450"/>
    <n v="0"/>
    <n v="0"/>
    <m/>
    <m/>
    <m/>
    <m/>
    <n v="49"/>
    <n v="0"/>
    <n v="7492.5351201519952"/>
  </r>
  <r>
    <x v="92"/>
    <x v="4"/>
    <x v="150"/>
    <x v="0"/>
    <x v="1"/>
    <x v="860"/>
    <x v="25"/>
    <s v="NAKİT"/>
    <n v="0.8"/>
    <n v="250"/>
    <n v="0"/>
    <n v="0"/>
    <m/>
    <m/>
    <m/>
    <m/>
    <n v="200"/>
    <n v="0"/>
    <n v="7692.5351201519952"/>
  </r>
  <r>
    <x v="92"/>
    <x v="4"/>
    <x v="356"/>
    <x v="0"/>
    <x v="1"/>
    <x v="860"/>
    <x v="25"/>
    <s v="NAKİT"/>
    <n v="5"/>
    <n v="10"/>
    <n v="0"/>
    <n v="0"/>
    <m/>
    <m/>
    <m/>
    <m/>
    <n v="50"/>
    <n v="0"/>
    <n v="7742.5351201519952"/>
  </r>
  <r>
    <x v="92"/>
    <x v="4"/>
    <x v="24"/>
    <x v="0"/>
    <x v="1"/>
    <x v="861"/>
    <x v="25"/>
    <s v="NAKİT"/>
    <n v="0.10312499999999999"/>
    <n v="640"/>
    <n v="0"/>
    <n v="0"/>
    <m/>
    <m/>
    <m/>
    <m/>
    <n v="66"/>
    <n v="0"/>
    <n v="7808.5351201519952"/>
  </r>
  <r>
    <x v="92"/>
    <x v="4"/>
    <x v="25"/>
    <x v="0"/>
    <x v="1"/>
    <x v="861"/>
    <x v="25"/>
    <s v="NAKİT"/>
    <n v="0.12051282051282051"/>
    <n v="390"/>
    <n v="0"/>
    <n v="0"/>
    <m/>
    <m/>
    <m/>
    <m/>
    <n v="47"/>
    <n v="0"/>
    <n v="7855.5351201519952"/>
  </r>
  <r>
    <x v="92"/>
    <x v="4"/>
    <x v="25"/>
    <x v="0"/>
    <x v="1"/>
    <x v="862"/>
    <x v="25"/>
    <s v="NAKİT"/>
    <n v="0.12820512820512819"/>
    <n v="390"/>
    <n v="0"/>
    <n v="0"/>
    <m/>
    <m/>
    <m/>
    <m/>
    <n v="49.999999999999993"/>
    <n v="0"/>
    <n v="7905.5351201519952"/>
  </r>
  <r>
    <x v="92"/>
    <x v="4"/>
    <x v="24"/>
    <x v="0"/>
    <x v="1"/>
    <x v="862"/>
    <x v="25"/>
    <s v="NAKİT"/>
    <n v="0.125"/>
    <n v="640"/>
    <n v="0"/>
    <n v="0"/>
    <m/>
    <m/>
    <m/>
    <m/>
    <n v="80"/>
    <n v="0"/>
    <n v="7985.5351201519952"/>
  </r>
  <r>
    <x v="92"/>
    <x v="4"/>
    <x v="269"/>
    <x v="0"/>
    <x v="1"/>
    <x v="863"/>
    <x v="25"/>
    <s v="NAKİT"/>
    <n v="1"/>
    <n v="110"/>
    <n v="0"/>
    <n v="0"/>
    <m/>
    <m/>
    <m/>
    <m/>
    <n v="110"/>
    <n v="0"/>
    <n v="8095.5351201519952"/>
  </r>
  <r>
    <x v="92"/>
    <x v="4"/>
    <x v="253"/>
    <x v="0"/>
    <x v="5"/>
    <x v="864"/>
    <x v="25"/>
    <s v="POS"/>
    <n v="1"/>
    <n v="110"/>
    <n v="110"/>
    <n v="0"/>
    <m/>
    <m/>
    <m/>
    <m/>
    <n v="0"/>
    <n v="0"/>
    <n v="8095.5351201519952"/>
  </r>
  <r>
    <x v="92"/>
    <x v="4"/>
    <x v="270"/>
    <x v="0"/>
    <x v="5"/>
    <x v="864"/>
    <x v="25"/>
    <s v="POS"/>
    <n v="1"/>
    <n v="130"/>
    <n v="130"/>
    <n v="0"/>
    <m/>
    <m/>
    <m/>
    <m/>
    <n v="0"/>
    <n v="0"/>
    <n v="8095.5351201519952"/>
  </r>
  <r>
    <x v="92"/>
    <x v="4"/>
    <x v="248"/>
    <x v="0"/>
    <x v="5"/>
    <x v="865"/>
    <x v="25"/>
    <s v="POS"/>
    <n v="0.18840579710144928"/>
    <n v="690"/>
    <n v="130"/>
    <n v="0"/>
    <m/>
    <m/>
    <m/>
    <m/>
    <n v="0"/>
    <n v="0"/>
    <n v="8095.5351201519952"/>
  </r>
  <r>
    <x v="92"/>
    <x v="4"/>
    <x v="58"/>
    <x v="0"/>
    <x v="5"/>
    <x v="866"/>
    <x v="25"/>
    <s v="POS"/>
    <n v="1"/>
    <n v="230"/>
    <n v="230"/>
    <n v="0"/>
    <m/>
    <m/>
    <m/>
    <m/>
    <n v="0"/>
    <n v="0"/>
    <n v="8095.5351201519952"/>
  </r>
  <r>
    <x v="92"/>
    <x v="4"/>
    <x v="150"/>
    <x v="0"/>
    <x v="5"/>
    <x v="866"/>
    <x v="25"/>
    <s v="POS"/>
    <n v="0.61199999999999999"/>
    <n v="250"/>
    <n v="153"/>
    <n v="0"/>
    <m/>
    <m/>
    <m/>
    <m/>
    <n v="0"/>
    <n v="0"/>
    <n v="8095.5351201519952"/>
  </r>
  <r>
    <x v="92"/>
    <x v="4"/>
    <x v="78"/>
    <x v="0"/>
    <x v="5"/>
    <x v="867"/>
    <x v="25"/>
    <s v="POS"/>
    <n v="0.05"/>
    <n v="1400"/>
    <n v="70"/>
    <n v="0"/>
    <m/>
    <m/>
    <m/>
    <m/>
    <n v="0"/>
    <n v="0"/>
    <n v="8095.5351201519952"/>
  </r>
  <r>
    <x v="92"/>
    <x v="4"/>
    <x v="231"/>
    <x v="0"/>
    <x v="5"/>
    <x v="867"/>
    <x v="25"/>
    <s v="POS"/>
    <n v="0.25"/>
    <n v="400"/>
    <n v="100"/>
    <n v="0"/>
    <m/>
    <m/>
    <m/>
    <m/>
    <n v="0"/>
    <n v="0"/>
    <n v="8095.5351201519952"/>
  </r>
  <r>
    <x v="92"/>
    <x v="4"/>
    <x v="88"/>
    <x v="0"/>
    <x v="5"/>
    <x v="867"/>
    <x v="25"/>
    <s v="POS"/>
    <n v="0.05"/>
    <n v="1200"/>
    <n v="60"/>
    <n v="0"/>
    <m/>
    <m/>
    <m/>
    <m/>
    <n v="0"/>
    <n v="0"/>
    <n v="8095.5351201519952"/>
  </r>
  <r>
    <x v="92"/>
    <x v="4"/>
    <x v="356"/>
    <x v="0"/>
    <x v="1"/>
    <x v="868"/>
    <x v="25"/>
    <s v="NAKİT"/>
    <n v="2"/>
    <n v="10"/>
    <n v="0"/>
    <n v="0"/>
    <m/>
    <m/>
    <m/>
    <m/>
    <n v="20"/>
    <n v="0"/>
    <n v="8115.5351201519952"/>
  </r>
  <r>
    <x v="92"/>
    <x v="4"/>
    <x v="123"/>
    <x v="0"/>
    <x v="1"/>
    <x v="869"/>
    <x v="25"/>
    <s v="NAKİT"/>
    <n v="0.1"/>
    <n v="1000"/>
    <n v="0"/>
    <n v="0"/>
    <m/>
    <m/>
    <m/>
    <m/>
    <n v="100"/>
    <n v="0"/>
    <n v="8215.5351201519952"/>
  </r>
  <r>
    <x v="92"/>
    <x v="4"/>
    <x v="345"/>
    <x v="0"/>
    <x v="1"/>
    <x v="869"/>
    <x v="25"/>
    <s v="NAKİT"/>
    <n v="1.25"/>
    <n v="400"/>
    <n v="0"/>
    <n v="0"/>
    <m/>
    <m/>
    <m/>
    <m/>
    <n v="500"/>
    <n v="0"/>
    <n v="8715.5351201519952"/>
  </r>
  <r>
    <x v="92"/>
    <x v="4"/>
    <x v="250"/>
    <x v="0"/>
    <x v="1"/>
    <x v="869"/>
    <x v="25"/>
    <s v="NAKİT"/>
    <n v="1"/>
    <n v="130"/>
    <n v="0"/>
    <n v="0"/>
    <m/>
    <m/>
    <m/>
    <m/>
    <n v="130"/>
    <n v="0"/>
    <n v="8845.5351201519952"/>
  </r>
  <r>
    <x v="92"/>
    <x v="4"/>
    <x v="212"/>
    <x v="0"/>
    <x v="1"/>
    <x v="869"/>
    <x v="25"/>
    <s v="NAKİT"/>
    <n v="0.54600000000000004"/>
    <n v="550"/>
    <n v="0"/>
    <n v="0"/>
    <m/>
    <m/>
    <m/>
    <m/>
    <n v="300.3"/>
    <n v="0"/>
    <n v="9145.8351201519945"/>
  </r>
  <r>
    <x v="92"/>
    <x v="4"/>
    <x v="347"/>
    <x v="0"/>
    <x v="1"/>
    <x v="869"/>
    <x v="25"/>
    <s v="NAKİT"/>
    <n v="1"/>
    <n v="570"/>
    <n v="0"/>
    <n v="0"/>
    <m/>
    <m/>
    <m/>
    <m/>
    <n v="570"/>
    <n v="0"/>
    <n v="9715.8351201519945"/>
  </r>
  <r>
    <x v="92"/>
    <x v="4"/>
    <x v="179"/>
    <x v="0"/>
    <x v="1"/>
    <x v="869"/>
    <x v="25"/>
    <s v="NAKİT"/>
    <n v="0.47099999999999997"/>
    <n v="850"/>
    <n v="0"/>
    <n v="0"/>
    <m/>
    <m/>
    <m/>
    <m/>
    <n v="400.34999999999997"/>
    <n v="0"/>
    <n v="10116.185120151995"/>
  </r>
  <r>
    <x v="92"/>
    <x v="4"/>
    <x v="182"/>
    <x v="0"/>
    <x v="1"/>
    <x v="869"/>
    <x v="25"/>
    <s v="NAKİT"/>
    <n v="1"/>
    <n v="230"/>
    <n v="0"/>
    <n v="0"/>
    <m/>
    <m/>
    <m/>
    <m/>
    <n v="230"/>
    <n v="0"/>
    <n v="10346.185120151995"/>
  </r>
  <r>
    <x v="92"/>
    <x v="4"/>
    <x v="360"/>
    <x v="0"/>
    <x v="1"/>
    <x v="869"/>
    <x v="25"/>
    <s v="NAKİT"/>
    <n v="1"/>
    <n v="750"/>
    <n v="0"/>
    <n v="0"/>
    <m/>
    <m/>
    <m/>
    <m/>
    <n v="750"/>
    <n v="0"/>
    <n v="11096.185120151995"/>
  </r>
  <r>
    <x v="92"/>
    <x v="4"/>
    <x v="199"/>
    <x v="0"/>
    <x v="1"/>
    <x v="869"/>
    <x v="25"/>
    <s v="NAKİT"/>
    <n v="4"/>
    <n v="150"/>
    <n v="0"/>
    <n v="0"/>
    <m/>
    <m/>
    <m/>
    <m/>
    <n v="600"/>
    <n v="0"/>
    <n v="11696.185120151995"/>
  </r>
  <r>
    <x v="92"/>
    <x v="4"/>
    <x v="198"/>
    <x v="0"/>
    <x v="1"/>
    <x v="869"/>
    <x v="25"/>
    <s v="NAKİT"/>
    <n v="2"/>
    <n v="200"/>
    <n v="0"/>
    <n v="0"/>
    <m/>
    <m/>
    <m/>
    <m/>
    <n v="400"/>
    <n v="0"/>
    <n v="12096.185120151995"/>
  </r>
  <r>
    <x v="92"/>
    <x v="4"/>
    <x v="196"/>
    <x v="0"/>
    <x v="5"/>
    <x v="870"/>
    <x v="25"/>
    <s v="POS"/>
    <n v="1"/>
    <n v="350"/>
    <n v="350"/>
    <n v="0"/>
    <m/>
    <m/>
    <m/>
    <m/>
    <n v="0"/>
    <n v="0"/>
    <n v="12096.185120151995"/>
  </r>
  <r>
    <x v="92"/>
    <x v="4"/>
    <x v="206"/>
    <x v="0"/>
    <x v="5"/>
    <x v="870"/>
    <x v="25"/>
    <s v="POS"/>
    <n v="1"/>
    <n v="350"/>
    <n v="350"/>
    <n v="0"/>
    <m/>
    <m/>
    <m/>
    <m/>
    <n v="0"/>
    <n v="0"/>
    <n v="12096.185120151995"/>
  </r>
  <r>
    <x v="92"/>
    <x v="4"/>
    <x v="206"/>
    <x v="0"/>
    <x v="5"/>
    <x v="871"/>
    <x v="25"/>
    <s v="POS"/>
    <n v="1"/>
    <n v="350"/>
    <n v="350"/>
    <n v="0"/>
    <m/>
    <m/>
    <m/>
    <m/>
    <n v="0"/>
    <n v="0"/>
    <n v="12096.185120151995"/>
  </r>
  <r>
    <x v="92"/>
    <x v="10"/>
    <x v="0"/>
    <x v="0"/>
    <x v="5"/>
    <x v="2"/>
    <x v="63"/>
    <s v="POS"/>
    <n v="1"/>
    <n v="285"/>
    <n v="0"/>
    <n v="285"/>
    <n v="880"/>
    <n v="0"/>
    <n v="-10288.138239847995"/>
    <m/>
    <n v="285"/>
    <n v="0"/>
    <n v="12381.185120151995"/>
  </r>
  <r>
    <x v="92"/>
    <x v="10"/>
    <x v="0"/>
    <x v="0"/>
    <x v="5"/>
    <x v="2"/>
    <x v="63"/>
    <s v="POS"/>
    <n v="1"/>
    <n v="1718"/>
    <n v="0"/>
    <n v="1718"/>
    <m/>
    <m/>
    <m/>
    <m/>
    <n v="1718"/>
    <n v="0"/>
    <n v="14099.185120151995"/>
  </r>
  <r>
    <x v="92"/>
    <x v="6"/>
    <x v="196"/>
    <x v="0"/>
    <x v="4"/>
    <x v="2"/>
    <x v="79"/>
    <s v="CARİ"/>
    <n v="1"/>
    <n v="235"/>
    <n v="235"/>
    <n v="0"/>
    <m/>
    <m/>
    <m/>
    <m/>
    <n v="0"/>
    <n v="0"/>
    <n v="14099.185120151995"/>
  </r>
  <r>
    <x v="92"/>
    <x v="6"/>
    <x v="232"/>
    <x v="0"/>
    <x v="4"/>
    <x v="2"/>
    <x v="79"/>
    <s v="CARİ"/>
    <n v="1"/>
    <n v="205"/>
    <n v="205"/>
    <n v="0"/>
    <m/>
    <m/>
    <m/>
    <m/>
    <n v="0"/>
    <n v="0"/>
    <n v="14099.185120151995"/>
  </r>
  <r>
    <x v="93"/>
    <x v="4"/>
    <x v="30"/>
    <x v="0"/>
    <x v="1"/>
    <x v="872"/>
    <x v="25"/>
    <s v="NAKİT"/>
    <n v="0.52"/>
    <n v="500"/>
    <n v="0"/>
    <n v="0"/>
    <m/>
    <m/>
    <m/>
    <m/>
    <n v="260"/>
    <n v="0"/>
    <n v="14359.185120151995"/>
  </r>
  <r>
    <x v="93"/>
    <x v="4"/>
    <x v="33"/>
    <x v="0"/>
    <x v="1"/>
    <x v="872"/>
    <x v="25"/>
    <s v="NAKİT"/>
    <n v="0.55400000000000005"/>
    <n v="380"/>
    <n v="0"/>
    <n v="0"/>
    <m/>
    <m/>
    <m/>
    <m/>
    <n v="210.52"/>
    <n v="0"/>
    <n v="14569.705120151995"/>
  </r>
  <r>
    <x v="93"/>
    <x v="4"/>
    <x v="209"/>
    <x v="0"/>
    <x v="1"/>
    <x v="872"/>
    <x v="25"/>
    <s v="NAKİT"/>
    <n v="0.46400000000000002"/>
    <n v="290"/>
    <n v="0"/>
    <n v="0"/>
    <m/>
    <m/>
    <m/>
    <m/>
    <n v="134.56"/>
    <n v="0"/>
    <n v="14704.265120151995"/>
  </r>
  <r>
    <x v="93"/>
    <x v="4"/>
    <x v="50"/>
    <x v="0"/>
    <x v="1"/>
    <x v="872"/>
    <x v="25"/>
    <s v="NAKİT"/>
    <n v="0.2"/>
    <n v="650"/>
    <n v="0"/>
    <n v="0"/>
    <m/>
    <m/>
    <m/>
    <m/>
    <n v="130"/>
    <n v="0"/>
    <n v="14834.265120151995"/>
  </r>
  <r>
    <x v="93"/>
    <x v="4"/>
    <x v="29"/>
    <x v="0"/>
    <x v="1"/>
    <x v="872"/>
    <x v="25"/>
    <s v="NAKİT"/>
    <n v="7.5999999999999998E-2"/>
    <n v="760"/>
    <n v="0"/>
    <n v="0"/>
    <m/>
    <m/>
    <m/>
    <m/>
    <n v="57.76"/>
    <n v="0"/>
    <n v="14892.025120151995"/>
  </r>
  <r>
    <x v="93"/>
    <x v="4"/>
    <x v="29"/>
    <x v="0"/>
    <x v="1"/>
    <x v="872"/>
    <x v="25"/>
    <s v="NAKİT"/>
    <n v="6.4000000000000001E-2"/>
    <n v="760"/>
    <n v="0"/>
    <n v="0"/>
    <m/>
    <m/>
    <m/>
    <m/>
    <n v="48.64"/>
    <n v="0"/>
    <n v="14940.665120151994"/>
  </r>
  <r>
    <x v="93"/>
    <x v="4"/>
    <x v="54"/>
    <x v="0"/>
    <x v="1"/>
    <x v="872"/>
    <x v="25"/>
    <s v="NAKİT"/>
    <n v="0.1"/>
    <n v="400"/>
    <n v="0"/>
    <n v="0"/>
    <m/>
    <m/>
    <m/>
    <m/>
    <n v="40"/>
    <n v="0"/>
    <n v="14980.665120151994"/>
  </r>
  <r>
    <x v="93"/>
    <x v="4"/>
    <x v="52"/>
    <x v="0"/>
    <x v="1"/>
    <x v="872"/>
    <x v="25"/>
    <s v="NAKİT"/>
    <n v="0.1"/>
    <n v="400"/>
    <n v="0"/>
    <n v="0"/>
    <m/>
    <m/>
    <m/>
    <m/>
    <n v="40"/>
    <n v="0"/>
    <n v="15020.665120151994"/>
  </r>
  <r>
    <x v="93"/>
    <x v="4"/>
    <x v="35"/>
    <x v="0"/>
    <x v="1"/>
    <x v="872"/>
    <x v="25"/>
    <s v="NAKİT"/>
    <n v="0.25"/>
    <n v="180"/>
    <n v="0"/>
    <n v="0"/>
    <m/>
    <m/>
    <m/>
    <m/>
    <n v="45"/>
    <n v="0"/>
    <n v="15065.665120151994"/>
  </r>
  <r>
    <x v="93"/>
    <x v="4"/>
    <x v="38"/>
    <x v="0"/>
    <x v="1"/>
    <x v="872"/>
    <x v="25"/>
    <s v="NAKİT"/>
    <n v="0.1"/>
    <n v="650"/>
    <n v="0"/>
    <n v="0"/>
    <m/>
    <m/>
    <m/>
    <m/>
    <n v="65"/>
    <n v="0"/>
    <n v="15130.665120151994"/>
  </r>
  <r>
    <x v="93"/>
    <x v="4"/>
    <x v="161"/>
    <x v="0"/>
    <x v="1"/>
    <x v="872"/>
    <x v="25"/>
    <s v="NAKİT"/>
    <n v="0.124"/>
    <n v="370"/>
    <n v="0"/>
    <n v="0"/>
    <m/>
    <m/>
    <m/>
    <m/>
    <n v="45.88"/>
    <n v="0"/>
    <n v="15176.545120151994"/>
  </r>
  <r>
    <x v="93"/>
    <x v="4"/>
    <x v="161"/>
    <x v="0"/>
    <x v="1"/>
    <x v="872"/>
    <x v="25"/>
    <s v="NAKİT"/>
    <n v="0.186"/>
    <n v="370"/>
    <n v="0"/>
    <n v="0"/>
    <m/>
    <m/>
    <m/>
    <m/>
    <n v="68.819999999999993"/>
    <n v="0"/>
    <n v="15245.365120151993"/>
  </r>
  <r>
    <x v="93"/>
    <x v="4"/>
    <x v="86"/>
    <x v="0"/>
    <x v="1"/>
    <x v="872"/>
    <x v="25"/>
    <s v="NAKİT"/>
    <n v="0.1"/>
    <n v="1100"/>
    <n v="0"/>
    <n v="0"/>
    <m/>
    <m/>
    <m/>
    <m/>
    <n v="110"/>
    <n v="0"/>
    <n v="15355.365120151993"/>
  </r>
  <r>
    <x v="93"/>
    <x v="4"/>
    <x v="229"/>
    <x v="0"/>
    <x v="1"/>
    <x v="872"/>
    <x v="25"/>
    <s v="NAKİT"/>
    <n v="0.40600000000000003"/>
    <n v="195"/>
    <n v="0"/>
    <n v="0"/>
    <m/>
    <m/>
    <m/>
    <m/>
    <n v="79.17"/>
    <n v="0"/>
    <n v="15434.535120151993"/>
  </r>
  <r>
    <x v="93"/>
    <x v="4"/>
    <x v="247"/>
    <x v="0"/>
    <x v="1"/>
    <x v="872"/>
    <x v="25"/>
    <s v="NAKİT"/>
    <n v="1"/>
    <n v="90"/>
    <n v="0"/>
    <n v="0"/>
    <m/>
    <m/>
    <m/>
    <m/>
    <n v="90"/>
    <n v="0"/>
    <n v="15524.535120151993"/>
  </r>
  <r>
    <x v="93"/>
    <x v="4"/>
    <x v="197"/>
    <x v="0"/>
    <x v="1"/>
    <x v="872"/>
    <x v="25"/>
    <s v="NAKİT"/>
    <n v="0.5"/>
    <n v="200"/>
    <n v="0"/>
    <n v="0"/>
    <m/>
    <m/>
    <m/>
    <m/>
    <n v="100"/>
    <n v="0"/>
    <n v="15624.535120151993"/>
  </r>
  <r>
    <x v="93"/>
    <x v="4"/>
    <x v="198"/>
    <x v="0"/>
    <x v="1"/>
    <x v="872"/>
    <x v="25"/>
    <s v="NAKİT"/>
    <n v="0.5"/>
    <n v="200"/>
    <n v="0"/>
    <n v="0"/>
    <m/>
    <m/>
    <m/>
    <m/>
    <n v="100"/>
    <n v="0"/>
    <n v="15724.535120151993"/>
  </r>
  <r>
    <x v="93"/>
    <x v="4"/>
    <x v="199"/>
    <x v="0"/>
    <x v="1"/>
    <x v="872"/>
    <x v="25"/>
    <s v="NAKİT"/>
    <n v="1"/>
    <n v="150"/>
    <n v="0"/>
    <n v="0"/>
    <m/>
    <m/>
    <m/>
    <m/>
    <n v="150"/>
    <n v="0"/>
    <n v="15874.535120151993"/>
  </r>
  <r>
    <x v="93"/>
    <x v="4"/>
    <x v="241"/>
    <x v="0"/>
    <x v="1"/>
    <x v="872"/>
    <x v="25"/>
    <s v="NAKİT"/>
    <n v="0.504"/>
    <n v="60"/>
    <n v="0"/>
    <n v="0"/>
    <m/>
    <m/>
    <m/>
    <m/>
    <n v="30.240000000000002"/>
    <n v="0"/>
    <n v="15904.775120151993"/>
  </r>
  <r>
    <x v="93"/>
    <x v="4"/>
    <x v="88"/>
    <x v="0"/>
    <x v="1"/>
    <x v="872"/>
    <x v="25"/>
    <s v="NAKİT"/>
    <n v="0.05"/>
    <n v="1200"/>
    <n v="0"/>
    <n v="0"/>
    <m/>
    <m/>
    <m/>
    <m/>
    <n v="60"/>
    <n v="0"/>
    <n v="15964.775120151993"/>
  </r>
  <r>
    <x v="93"/>
    <x v="4"/>
    <x v="101"/>
    <x v="0"/>
    <x v="1"/>
    <x v="872"/>
    <x v="25"/>
    <s v="NAKİT"/>
    <n v="0.24"/>
    <n v="220"/>
    <n v="0"/>
    <n v="0"/>
    <m/>
    <m/>
    <m/>
    <m/>
    <n v="52.8"/>
    <n v="0"/>
    <n v="16017.575120151992"/>
  </r>
  <r>
    <x v="93"/>
    <x v="4"/>
    <x v="280"/>
    <x v="0"/>
    <x v="1"/>
    <x v="872"/>
    <x v="25"/>
    <s v="NAKİT"/>
    <n v="0.5"/>
    <n v="60"/>
    <n v="0"/>
    <n v="0"/>
    <m/>
    <m/>
    <m/>
    <m/>
    <n v="30"/>
    <n v="0"/>
    <n v="16047.575120151992"/>
  </r>
  <r>
    <x v="93"/>
    <x v="4"/>
    <x v="88"/>
    <x v="0"/>
    <x v="1"/>
    <x v="873"/>
    <x v="25"/>
    <s v="NAKİT"/>
    <n v="0.05"/>
    <n v="1200"/>
    <n v="0"/>
    <n v="0"/>
    <m/>
    <m/>
    <m/>
    <m/>
    <n v="60"/>
    <n v="0"/>
    <n v="16107.575120151992"/>
  </r>
  <r>
    <x v="93"/>
    <x v="4"/>
    <x v="28"/>
    <x v="0"/>
    <x v="1"/>
    <x v="873"/>
    <x v="25"/>
    <s v="NAKİT"/>
    <n v="0.224"/>
    <n v="500"/>
    <n v="0"/>
    <n v="0"/>
    <m/>
    <m/>
    <m/>
    <m/>
    <n v="112"/>
    <n v="0"/>
    <n v="16219.575120151992"/>
  </r>
  <r>
    <x v="93"/>
    <x v="4"/>
    <x v="163"/>
    <x v="0"/>
    <x v="1"/>
    <x v="873"/>
    <x v="25"/>
    <s v="NAKİT"/>
    <n v="2"/>
    <n v="50"/>
    <n v="0"/>
    <n v="0"/>
    <m/>
    <m/>
    <m/>
    <m/>
    <n v="100"/>
    <n v="0"/>
    <n v="16319.575120151992"/>
  </r>
  <r>
    <x v="93"/>
    <x v="4"/>
    <x v="257"/>
    <x v="0"/>
    <x v="1"/>
    <x v="873"/>
    <x v="25"/>
    <s v="NAKİT"/>
    <n v="1"/>
    <n v="170"/>
    <n v="0"/>
    <n v="0"/>
    <m/>
    <m/>
    <m/>
    <m/>
    <n v="170"/>
    <n v="0"/>
    <n v="16489.575120151992"/>
  </r>
  <r>
    <x v="93"/>
    <x v="4"/>
    <x v="255"/>
    <x v="0"/>
    <x v="1"/>
    <x v="873"/>
    <x v="25"/>
    <s v="NAKİT"/>
    <n v="1"/>
    <n v="130"/>
    <n v="0"/>
    <n v="0"/>
    <m/>
    <m/>
    <m/>
    <m/>
    <n v="130"/>
    <n v="0"/>
    <n v="16619.575120151992"/>
  </r>
  <r>
    <x v="93"/>
    <x v="4"/>
    <x v="43"/>
    <x v="0"/>
    <x v="1"/>
    <x v="873"/>
    <x v="25"/>
    <s v="NAKİT"/>
    <n v="1"/>
    <n v="65"/>
    <n v="0"/>
    <n v="0"/>
    <m/>
    <m/>
    <m/>
    <m/>
    <n v="65"/>
    <n v="0"/>
    <n v="16684.575120151992"/>
  </r>
  <r>
    <x v="93"/>
    <x v="4"/>
    <x v="275"/>
    <x v="0"/>
    <x v="1"/>
    <x v="873"/>
    <x v="25"/>
    <s v="NAKİT"/>
    <n v="2"/>
    <n v="150"/>
    <n v="0"/>
    <n v="0"/>
    <m/>
    <m/>
    <m/>
    <m/>
    <n v="300"/>
    <n v="0"/>
    <n v="16984.575120151992"/>
  </r>
  <r>
    <x v="93"/>
    <x v="4"/>
    <x v="188"/>
    <x v="0"/>
    <x v="1"/>
    <x v="873"/>
    <x v="25"/>
    <s v="NAKİT"/>
    <n v="1"/>
    <n v="220"/>
    <n v="0"/>
    <n v="0"/>
    <m/>
    <m/>
    <m/>
    <m/>
    <n v="220"/>
    <n v="0"/>
    <n v="17204.575120151992"/>
  </r>
  <r>
    <x v="93"/>
    <x v="4"/>
    <x v="31"/>
    <x v="0"/>
    <x v="1"/>
    <x v="874"/>
    <x v="25"/>
    <s v="NAKİT"/>
    <n v="0.3"/>
    <n v="380"/>
    <n v="0"/>
    <n v="0"/>
    <m/>
    <m/>
    <m/>
    <m/>
    <n v="114"/>
    <n v="0"/>
    <n v="17318.575120151992"/>
  </r>
  <r>
    <x v="93"/>
    <x v="4"/>
    <x v="93"/>
    <x v="0"/>
    <x v="1"/>
    <x v="874"/>
    <x v="25"/>
    <s v="NAKİT"/>
    <n v="1"/>
    <n v="295"/>
    <n v="0"/>
    <n v="0"/>
    <m/>
    <m/>
    <m/>
    <m/>
    <n v="295"/>
    <n v="0"/>
    <n v="17613.575120151992"/>
  </r>
  <r>
    <x v="93"/>
    <x v="4"/>
    <x v="22"/>
    <x v="0"/>
    <x v="5"/>
    <x v="875"/>
    <x v="25"/>
    <s v="POS"/>
    <n v="0.17749999999999999"/>
    <n v="400"/>
    <n v="71"/>
    <n v="0"/>
    <m/>
    <m/>
    <m/>
    <m/>
    <n v="0"/>
    <n v="0"/>
    <n v="17613.575120151992"/>
  </r>
  <r>
    <x v="93"/>
    <x v="4"/>
    <x v="39"/>
    <x v="0"/>
    <x v="5"/>
    <x v="875"/>
    <x v="25"/>
    <s v="POS"/>
    <n v="0.25"/>
    <n v="400"/>
    <n v="100"/>
    <n v="0"/>
    <m/>
    <m/>
    <m/>
    <m/>
    <n v="0"/>
    <n v="0"/>
    <n v="17613.575120151992"/>
  </r>
  <r>
    <x v="93"/>
    <x v="4"/>
    <x v="36"/>
    <x v="0"/>
    <x v="5"/>
    <x v="875"/>
    <x v="25"/>
    <s v="POS"/>
    <n v="0.25"/>
    <n v="180"/>
    <n v="45"/>
    <n v="0"/>
    <m/>
    <m/>
    <m/>
    <m/>
    <n v="0"/>
    <n v="0"/>
    <n v="17613.575120151992"/>
  </r>
  <r>
    <x v="93"/>
    <x v="4"/>
    <x v="239"/>
    <x v="0"/>
    <x v="1"/>
    <x v="876"/>
    <x v="25"/>
    <s v="NAKİT"/>
    <n v="0.5"/>
    <n v="400"/>
    <n v="0"/>
    <n v="0"/>
    <m/>
    <m/>
    <m/>
    <m/>
    <n v="200"/>
    <n v="0"/>
    <n v="17813.575120151992"/>
  </r>
  <r>
    <x v="93"/>
    <x v="4"/>
    <x v="111"/>
    <x v="0"/>
    <x v="1"/>
    <x v="877"/>
    <x v="25"/>
    <s v="NAKİT"/>
    <n v="0.68571428571428572"/>
    <n v="350"/>
    <n v="0"/>
    <n v="0"/>
    <m/>
    <m/>
    <m/>
    <m/>
    <n v="240"/>
    <n v="0"/>
    <n v="18053.575120151992"/>
  </r>
  <r>
    <x v="93"/>
    <x v="4"/>
    <x v="30"/>
    <x v="0"/>
    <x v="1"/>
    <x v="878"/>
    <x v="25"/>
    <s v="NAKİT"/>
    <n v="0.08"/>
    <n v="500"/>
    <n v="0"/>
    <n v="0"/>
    <m/>
    <m/>
    <m/>
    <m/>
    <n v="40"/>
    <n v="0"/>
    <n v="18093.575120151992"/>
  </r>
  <r>
    <x v="93"/>
    <x v="4"/>
    <x v="150"/>
    <x v="0"/>
    <x v="1"/>
    <x v="879"/>
    <x v="25"/>
    <s v="NAKİT"/>
    <n v="1"/>
    <n v="250"/>
    <n v="0"/>
    <n v="0"/>
    <m/>
    <m/>
    <m/>
    <m/>
    <n v="250"/>
    <n v="0"/>
    <n v="18343.575120151992"/>
  </r>
  <r>
    <x v="93"/>
    <x v="4"/>
    <x v="30"/>
    <x v="0"/>
    <x v="1"/>
    <x v="880"/>
    <x v="25"/>
    <s v="NAKİT"/>
    <n v="0.52800000000000002"/>
    <n v="500"/>
    <n v="0"/>
    <n v="0"/>
    <m/>
    <m/>
    <m/>
    <m/>
    <n v="264"/>
    <n v="0"/>
    <n v="18607.575120151992"/>
  </r>
  <r>
    <x v="93"/>
    <x v="4"/>
    <x v="28"/>
    <x v="0"/>
    <x v="1"/>
    <x v="880"/>
    <x v="25"/>
    <s v="NAKİT"/>
    <n v="0.128"/>
    <n v="500"/>
    <n v="0"/>
    <n v="0"/>
    <m/>
    <m/>
    <m/>
    <m/>
    <n v="64"/>
    <n v="0"/>
    <n v="18671.575120151992"/>
  </r>
  <r>
    <x v="93"/>
    <x v="4"/>
    <x v="199"/>
    <x v="0"/>
    <x v="1"/>
    <x v="880"/>
    <x v="25"/>
    <s v="NAKİT"/>
    <n v="0.5"/>
    <n v="150"/>
    <n v="0"/>
    <n v="0"/>
    <m/>
    <m/>
    <m/>
    <m/>
    <n v="75"/>
    <n v="0"/>
    <n v="18746.575120151992"/>
  </r>
  <r>
    <x v="93"/>
    <x v="4"/>
    <x v="280"/>
    <x v="0"/>
    <x v="1"/>
    <x v="880"/>
    <x v="25"/>
    <s v="NAKİT"/>
    <n v="0.5"/>
    <n v="60"/>
    <n v="0"/>
    <n v="0"/>
    <m/>
    <m/>
    <m/>
    <m/>
    <n v="30"/>
    <n v="0"/>
    <n v="18776.575120151992"/>
  </r>
  <r>
    <x v="93"/>
    <x v="4"/>
    <x v="199"/>
    <x v="0"/>
    <x v="1"/>
    <x v="881"/>
    <x v="25"/>
    <s v="NAKİT"/>
    <n v="1"/>
    <n v="150"/>
    <n v="0"/>
    <n v="0"/>
    <m/>
    <m/>
    <m/>
    <m/>
    <n v="150"/>
    <n v="0"/>
    <n v="18926.575120151992"/>
  </r>
  <r>
    <x v="93"/>
    <x v="4"/>
    <x v="198"/>
    <x v="0"/>
    <x v="1"/>
    <x v="881"/>
    <x v="25"/>
    <s v="NAKİT"/>
    <n v="1"/>
    <n v="200"/>
    <n v="0"/>
    <n v="0"/>
    <m/>
    <m/>
    <m/>
    <m/>
    <n v="200"/>
    <n v="0"/>
    <n v="19126.575120151992"/>
  </r>
  <r>
    <x v="93"/>
    <x v="4"/>
    <x v="257"/>
    <x v="0"/>
    <x v="5"/>
    <x v="882"/>
    <x v="25"/>
    <s v="POS"/>
    <n v="1"/>
    <n v="170"/>
    <n v="170"/>
    <n v="0"/>
    <m/>
    <m/>
    <m/>
    <m/>
    <n v="0"/>
    <n v="0"/>
    <n v="19126.575120151992"/>
  </r>
  <r>
    <x v="93"/>
    <x v="4"/>
    <x v="87"/>
    <x v="0"/>
    <x v="5"/>
    <x v="882"/>
    <x v="25"/>
    <s v="POS"/>
    <n v="0.05"/>
    <n v="1400"/>
    <n v="70"/>
    <n v="0"/>
    <m/>
    <m/>
    <m/>
    <m/>
    <n v="0"/>
    <n v="0"/>
    <n v="19126.575120151992"/>
  </r>
  <r>
    <x v="93"/>
    <x v="4"/>
    <x v="94"/>
    <x v="0"/>
    <x v="5"/>
    <x v="882"/>
    <x v="25"/>
    <s v="POS"/>
    <n v="0.05"/>
    <n v="2000"/>
    <n v="100"/>
    <n v="0"/>
    <m/>
    <m/>
    <m/>
    <m/>
    <n v="0"/>
    <n v="0"/>
    <n v="19126.575120151992"/>
  </r>
  <r>
    <x v="93"/>
    <x v="10"/>
    <x v="0"/>
    <x v="0"/>
    <x v="5"/>
    <x v="2"/>
    <x v="63"/>
    <s v="POS"/>
    <n v="1"/>
    <n v="240"/>
    <n v="0"/>
    <n v="240"/>
    <m/>
    <m/>
    <m/>
    <m/>
    <n v="240"/>
    <n v="0"/>
    <n v="19366.575120151992"/>
  </r>
  <r>
    <x v="93"/>
    <x v="10"/>
    <x v="0"/>
    <x v="0"/>
    <x v="5"/>
    <x v="2"/>
    <x v="63"/>
    <s v="POS"/>
    <n v="1"/>
    <n v="940"/>
    <n v="0"/>
    <n v="940"/>
    <m/>
    <m/>
    <m/>
    <m/>
    <n v="940"/>
    <n v="0"/>
    <n v="20306.575120151992"/>
  </r>
  <r>
    <x v="93"/>
    <x v="10"/>
    <x v="0"/>
    <x v="0"/>
    <x v="5"/>
    <x v="2"/>
    <x v="63"/>
    <s v="POS"/>
    <n v="1"/>
    <n v="2560"/>
    <n v="0"/>
    <n v="2560"/>
    <m/>
    <m/>
    <m/>
    <m/>
    <n v="2560"/>
    <n v="0"/>
    <n v="22866.575120151992"/>
  </r>
  <r>
    <x v="94"/>
    <x v="3"/>
    <x v="70"/>
    <x v="0"/>
    <x v="4"/>
    <x v="883"/>
    <x v="32"/>
    <s v="CARİ"/>
    <n v="3"/>
    <n v="130"/>
    <n v="0"/>
    <n v="390"/>
    <m/>
    <m/>
    <m/>
    <m/>
    <n v="0"/>
    <n v="0"/>
    <n v="22866.575120151992"/>
  </r>
  <r>
    <x v="94"/>
    <x v="3"/>
    <x v="71"/>
    <x v="0"/>
    <x v="4"/>
    <x v="883"/>
    <x v="32"/>
    <s v="CARİ"/>
    <n v="3"/>
    <n v="140"/>
    <n v="0"/>
    <n v="420"/>
    <m/>
    <m/>
    <m/>
    <m/>
    <n v="0"/>
    <n v="0"/>
    <n v="22866.575120151992"/>
  </r>
  <r>
    <x v="94"/>
    <x v="3"/>
    <x v="129"/>
    <x v="0"/>
    <x v="4"/>
    <x v="883"/>
    <x v="32"/>
    <s v="CARİ"/>
    <n v="3"/>
    <n v="170"/>
    <n v="0"/>
    <n v="510"/>
    <m/>
    <m/>
    <m/>
    <m/>
    <n v="0"/>
    <n v="0"/>
    <n v="22866.575120151992"/>
  </r>
  <r>
    <x v="94"/>
    <x v="3"/>
    <x v="376"/>
    <x v="0"/>
    <x v="4"/>
    <x v="883"/>
    <x v="32"/>
    <s v="CARİ"/>
    <n v="3"/>
    <n v="70"/>
    <n v="0"/>
    <n v="210"/>
    <m/>
    <m/>
    <m/>
    <m/>
    <n v="0"/>
    <n v="0"/>
    <n v="22866.575120151992"/>
  </r>
  <r>
    <x v="94"/>
    <x v="3"/>
    <x v="377"/>
    <x v="0"/>
    <x v="4"/>
    <x v="883"/>
    <x v="32"/>
    <s v="CARİ"/>
    <n v="3"/>
    <n v="65"/>
    <n v="0"/>
    <n v="195"/>
    <m/>
    <m/>
    <m/>
    <m/>
    <n v="0"/>
    <n v="0"/>
    <n v="22866.575120151992"/>
  </r>
  <r>
    <x v="94"/>
    <x v="3"/>
    <x v="378"/>
    <x v="0"/>
    <x v="4"/>
    <x v="883"/>
    <x v="32"/>
    <s v="CARİ"/>
    <n v="3"/>
    <n v="70"/>
    <n v="0"/>
    <n v="210"/>
    <m/>
    <m/>
    <m/>
    <m/>
    <n v="0"/>
    <n v="0"/>
    <n v="22866.575120151992"/>
  </r>
  <r>
    <x v="94"/>
    <x v="3"/>
    <x v="379"/>
    <x v="0"/>
    <x v="4"/>
    <x v="883"/>
    <x v="32"/>
    <s v="CARİ"/>
    <n v="3"/>
    <n v="85"/>
    <n v="0"/>
    <n v="255"/>
    <m/>
    <m/>
    <m/>
    <m/>
    <n v="0"/>
    <n v="0"/>
    <n v="22866.575120151992"/>
  </r>
  <r>
    <x v="94"/>
    <x v="3"/>
    <x v="380"/>
    <x v="0"/>
    <x v="4"/>
    <x v="883"/>
    <x v="32"/>
    <s v="CARİ"/>
    <n v="3"/>
    <n v="100"/>
    <n v="0"/>
    <n v="300"/>
    <m/>
    <m/>
    <m/>
    <m/>
    <n v="0"/>
    <n v="0"/>
    <n v="22866.575120151992"/>
  </r>
  <r>
    <x v="94"/>
    <x v="3"/>
    <x v="381"/>
    <x v="0"/>
    <x v="4"/>
    <x v="883"/>
    <x v="32"/>
    <s v="CARİ"/>
    <n v="3"/>
    <n v="70"/>
    <n v="0"/>
    <n v="210"/>
    <m/>
    <m/>
    <m/>
    <m/>
    <n v="0"/>
    <n v="0"/>
    <n v="22866.575120151992"/>
  </r>
  <r>
    <x v="94"/>
    <x v="3"/>
    <x v="116"/>
    <x v="0"/>
    <x v="4"/>
    <x v="883"/>
    <x v="32"/>
    <s v="CARİ"/>
    <n v="3"/>
    <n v="290"/>
    <n v="0"/>
    <n v="870"/>
    <m/>
    <m/>
    <m/>
    <m/>
    <n v="0"/>
    <n v="0"/>
    <n v="22866.575120151992"/>
  </r>
  <r>
    <x v="94"/>
    <x v="3"/>
    <x v="142"/>
    <x v="0"/>
    <x v="4"/>
    <x v="883"/>
    <x v="32"/>
    <s v="CARİ"/>
    <n v="5"/>
    <n v="170"/>
    <n v="0"/>
    <n v="850"/>
    <m/>
    <m/>
    <m/>
    <m/>
    <n v="0"/>
    <n v="0"/>
    <n v="22866.575120151992"/>
  </r>
  <r>
    <x v="94"/>
    <x v="4"/>
    <x v="210"/>
    <x v="0"/>
    <x v="1"/>
    <x v="884"/>
    <x v="25"/>
    <s v="NAKİT"/>
    <n v="1"/>
    <n v="50"/>
    <n v="0"/>
    <n v="0"/>
    <m/>
    <m/>
    <m/>
    <m/>
    <n v="50"/>
    <n v="0"/>
    <n v="22916.575120151992"/>
  </r>
  <r>
    <x v="94"/>
    <x v="4"/>
    <x v="33"/>
    <x v="0"/>
    <x v="1"/>
    <x v="885"/>
    <x v="25"/>
    <s v="NAKİT"/>
    <n v="0.13157894736842105"/>
    <n v="380"/>
    <n v="0"/>
    <n v="0"/>
    <m/>
    <m/>
    <m/>
    <m/>
    <n v="50"/>
    <n v="0"/>
    <n v="22966.575120151992"/>
  </r>
  <r>
    <x v="94"/>
    <x v="4"/>
    <x v="208"/>
    <x v="0"/>
    <x v="1"/>
    <x v="886"/>
    <x v="25"/>
    <s v="NAKİT"/>
    <n v="1"/>
    <n v="290"/>
    <n v="0"/>
    <n v="0"/>
    <m/>
    <m/>
    <m/>
    <m/>
    <n v="290"/>
    <n v="0"/>
    <n v="23256.575120151992"/>
  </r>
  <r>
    <x v="94"/>
    <x v="4"/>
    <x v="18"/>
    <x v="0"/>
    <x v="1"/>
    <x v="887"/>
    <x v="25"/>
    <s v="NAKİT"/>
    <n v="1"/>
    <n v="250"/>
    <n v="0"/>
    <n v="0"/>
    <m/>
    <m/>
    <m/>
    <m/>
    <n v="250"/>
    <n v="0"/>
    <n v="23506.575120151992"/>
  </r>
  <r>
    <x v="94"/>
    <x v="4"/>
    <x v="360"/>
    <x v="0"/>
    <x v="1"/>
    <x v="888"/>
    <x v="25"/>
    <s v="NAKİT"/>
    <n v="0.16666666666666666"/>
    <n v="600"/>
    <n v="0"/>
    <n v="0"/>
    <m/>
    <m/>
    <m/>
    <m/>
    <n v="100"/>
    <n v="0"/>
    <n v="23606.575120151992"/>
  </r>
  <r>
    <x v="94"/>
    <x v="4"/>
    <x v="161"/>
    <x v="0"/>
    <x v="1"/>
    <x v="888"/>
    <x v="25"/>
    <s v="NAKİT"/>
    <n v="0.27027027027027029"/>
    <n v="370"/>
    <n v="0"/>
    <n v="0"/>
    <m/>
    <m/>
    <m/>
    <m/>
    <n v="100"/>
    <n v="0"/>
    <n v="23706.575120151992"/>
  </r>
  <r>
    <x v="94"/>
    <x v="4"/>
    <x v="27"/>
    <x v="0"/>
    <x v="5"/>
    <x v="889"/>
    <x v="25"/>
    <s v="POS"/>
    <n v="0.04"/>
    <n v="400"/>
    <n v="16"/>
    <n v="0"/>
    <m/>
    <m/>
    <m/>
    <m/>
    <n v="0"/>
    <n v="0"/>
    <n v="23706.575120151992"/>
  </r>
  <r>
    <x v="94"/>
    <x v="4"/>
    <x v="24"/>
    <x v="0"/>
    <x v="5"/>
    <x v="889"/>
    <x v="25"/>
    <s v="POS"/>
    <n v="0.10625"/>
    <n v="640"/>
    <n v="68"/>
    <n v="0"/>
    <m/>
    <m/>
    <m/>
    <m/>
    <n v="0"/>
    <n v="0"/>
    <n v="23706.575120151992"/>
  </r>
  <r>
    <x v="94"/>
    <x v="4"/>
    <x v="289"/>
    <x v="0"/>
    <x v="5"/>
    <x v="889"/>
    <x v="25"/>
    <s v="POS"/>
    <n v="0.15277777777777779"/>
    <n v="360"/>
    <n v="55.000000000000007"/>
    <n v="0"/>
    <m/>
    <m/>
    <m/>
    <m/>
    <n v="0"/>
    <n v="0"/>
    <n v="23706.575120151992"/>
  </r>
  <r>
    <x v="94"/>
    <x v="4"/>
    <x v="52"/>
    <x v="0"/>
    <x v="5"/>
    <x v="889"/>
    <x v="25"/>
    <s v="POS"/>
    <n v="0.2"/>
    <n v="400"/>
    <n v="80"/>
    <n v="0"/>
    <m/>
    <m/>
    <m/>
    <m/>
    <n v="0"/>
    <n v="0"/>
    <n v="23706.575120151992"/>
  </r>
  <r>
    <x v="94"/>
    <x v="4"/>
    <x v="100"/>
    <x v="0"/>
    <x v="5"/>
    <x v="890"/>
    <x v="25"/>
    <s v="POS"/>
    <n v="0.36666666666666664"/>
    <n v="750"/>
    <n v="275"/>
    <n v="0"/>
    <m/>
    <m/>
    <m/>
    <m/>
    <n v="0"/>
    <n v="0"/>
    <n v="23706.575120151992"/>
  </r>
  <r>
    <x v="94"/>
    <x v="4"/>
    <x v="344"/>
    <x v="0"/>
    <x v="5"/>
    <x v="891"/>
    <x v="25"/>
    <s v="POS"/>
    <n v="0.22222222222222221"/>
    <n v="450"/>
    <n v="100"/>
    <n v="0"/>
    <m/>
    <m/>
    <m/>
    <m/>
    <n v="0"/>
    <n v="0"/>
    <n v="23706.575120151992"/>
  </r>
  <r>
    <x v="94"/>
    <x v="4"/>
    <x v="98"/>
    <x v="0"/>
    <x v="5"/>
    <x v="891"/>
    <x v="25"/>
    <s v="POS"/>
    <n v="0.34749999999999998"/>
    <n v="800"/>
    <n v="278"/>
    <n v="0"/>
    <m/>
    <m/>
    <m/>
    <m/>
    <n v="0"/>
    <n v="0"/>
    <n v="23706.575120151992"/>
  </r>
  <r>
    <x v="94"/>
    <x v="4"/>
    <x v="264"/>
    <x v="0"/>
    <x v="5"/>
    <x v="891"/>
    <x v="25"/>
    <s v="POS"/>
    <n v="1"/>
    <n v="145"/>
    <n v="145"/>
    <n v="0"/>
    <m/>
    <m/>
    <m/>
    <m/>
    <n v="0"/>
    <n v="0"/>
    <n v="23706.575120151992"/>
  </r>
  <r>
    <x v="94"/>
    <x v="4"/>
    <x v="276"/>
    <x v="0"/>
    <x v="5"/>
    <x v="892"/>
    <x v="25"/>
    <s v="POS"/>
    <n v="0.1"/>
    <n v="900"/>
    <n v="90"/>
    <n v="0"/>
    <m/>
    <m/>
    <m/>
    <m/>
    <n v="0"/>
    <n v="0"/>
    <n v="23706.575120151992"/>
  </r>
  <r>
    <x v="94"/>
    <x v="4"/>
    <x v="40"/>
    <x v="0"/>
    <x v="1"/>
    <x v="893"/>
    <x v="25"/>
    <s v="NAKİT"/>
    <n v="0.2857142857142857"/>
    <n v="140"/>
    <n v="0"/>
    <n v="0"/>
    <m/>
    <m/>
    <m/>
    <m/>
    <n v="40"/>
    <n v="0"/>
    <n v="23746.575120151992"/>
  </r>
  <r>
    <x v="94"/>
    <x v="4"/>
    <x v="50"/>
    <x v="0"/>
    <x v="1"/>
    <x v="894"/>
    <x v="25"/>
    <s v="NAKİT"/>
    <n v="0.1"/>
    <n v="650"/>
    <n v="0"/>
    <n v="0"/>
    <m/>
    <m/>
    <m/>
    <m/>
    <n v="65"/>
    <n v="0"/>
    <n v="23811.575120151992"/>
  </r>
  <r>
    <x v="94"/>
    <x v="4"/>
    <x v="83"/>
    <x v="0"/>
    <x v="1"/>
    <x v="895"/>
    <x v="25"/>
    <s v="NAKİT"/>
    <n v="0.05"/>
    <n v="2600"/>
    <n v="0"/>
    <n v="0"/>
    <m/>
    <m/>
    <m/>
    <m/>
    <n v="130"/>
    <n v="0"/>
    <n v="23941.575120151992"/>
  </r>
  <r>
    <x v="94"/>
    <x v="4"/>
    <x v="141"/>
    <x v="0"/>
    <x v="1"/>
    <x v="895"/>
    <x v="25"/>
    <s v="NAKİT"/>
    <n v="1"/>
    <n v="130"/>
    <n v="0"/>
    <n v="0"/>
    <m/>
    <m/>
    <m/>
    <m/>
    <n v="130"/>
    <n v="0"/>
    <n v="24071.575120151992"/>
  </r>
  <r>
    <x v="94"/>
    <x v="4"/>
    <x v="360"/>
    <x v="0"/>
    <x v="1"/>
    <x v="896"/>
    <x v="106"/>
    <s v="NAKİT"/>
    <n v="1"/>
    <n v="600"/>
    <n v="0"/>
    <n v="0"/>
    <m/>
    <m/>
    <m/>
    <m/>
    <n v="600"/>
    <n v="0"/>
    <n v="24671.575120151992"/>
  </r>
  <r>
    <x v="94"/>
    <x v="4"/>
    <x v="28"/>
    <x v="0"/>
    <x v="1"/>
    <x v="896"/>
    <x v="106"/>
    <s v="NAKİT"/>
    <n v="0.2"/>
    <n v="500"/>
    <n v="0"/>
    <n v="0"/>
    <m/>
    <m/>
    <m/>
    <m/>
    <n v="100"/>
    <n v="0"/>
    <n v="24771.575120151992"/>
  </r>
  <r>
    <x v="94"/>
    <x v="4"/>
    <x v="288"/>
    <x v="0"/>
    <x v="1"/>
    <x v="896"/>
    <x v="106"/>
    <s v="NAKİT"/>
    <n v="0.186"/>
    <n v="540"/>
    <n v="0"/>
    <n v="0"/>
    <m/>
    <m/>
    <m/>
    <m/>
    <n v="100.44"/>
    <n v="0"/>
    <n v="24872.015120151991"/>
  </r>
  <r>
    <x v="94"/>
    <x v="4"/>
    <x v="360"/>
    <x v="0"/>
    <x v="1"/>
    <x v="897"/>
    <x v="107"/>
    <s v="NAKİT"/>
    <n v="1"/>
    <n v="600"/>
    <n v="0"/>
    <n v="0"/>
    <m/>
    <m/>
    <m/>
    <m/>
    <n v="600"/>
    <n v="0"/>
    <n v="25472.015120151991"/>
  </r>
  <r>
    <x v="94"/>
    <x v="4"/>
    <x v="150"/>
    <x v="0"/>
    <x v="1"/>
    <x v="897"/>
    <x v="107"/>
    <s v="NAKİT"/>
    <n v="2"/>
    <n v="250"/>
    <n v="0"/>
    <n v="0"/>
    <m/>
    <m/>
    <m/>
    <m/>
    <n v="500"/>
    <n v="0"/>
    <n v="25972.015120151991"/>
  </r>
  <r>
    <x v="94"/>
    <x v="4"/>
    <x v="150"/>
    <x v="0"/>
    <x v="1"/>
    <x v="898"/>
    <x v="108"/>
    <s v="NAKİT"/>
    <n v="2"/>
    <n v="250"/>
    <n v="0"/>
    <n v="0"/>
    <m/>
    <m/>
    <m/>
    <m/>
    <n v="500"/>
    <n v="0"/>
    <n v="26472.015120151991"/>
  </r>
  <r>
    <x v="94"/>
    <x v="4"/>
    <x v="360"/>
    <x v="0"/>
    <x v="1"/>
    <x v="898"/>
    <x v="108"/>
    <s v="NAKİT"/>
    <n v="1"/>
    <n v="600"/>
    <n v="0"/>
    <n v="0"/>
    <m/>
    <m/>
    <m/>
    <m/>
    <n v="600"/>
    <n v="0"/>
    <n v="27072.015120151991"/>
  </r>
  <r>
    <x v="94"/>
    <x v="4"/>
    <x v="51"/>
    <x v="0"/>
    <x v="1"/>
    <x v="898"/>
    <x v="108"/>
    <s v="NAKİT"/>
    <n v="0.1"/>
    <n v="400"/>
    <n v="0"/>
    <n v="0"/>
    <m/>
    <m/>
    <m/>
    <m/>
    <n v="40"/>
    <n v="0"/>
    <n v="27112.015120151991"/>
  </r>
  <r>
    <x v="94"/>
    <x v="4"/>
    <x v="25"/>
    <x v="0"/>
    <x v="1"/>
    <x v="898"/>
    <x v="108"/>
    <s v="NAKİT"/>
    <n v="0.25700000000000001"/>
    <n v="390"/>
    <n v="0"/>
    <n v="0"/>
    <m/>
    <m/>
    <m/>
    <m/>
    <n v="100.23"/>
    <n v="0"/>
    <n v="27212.245120151991"/>
  </r>
  <r>
    <x v="94"/>
    <x v="4"/>
    <x v="54"/>
    <x v="0"/>
    <x v="1"/>
    <x v="898"/>
    <x v="108"/>
    <s v="NAKİT"/>
    <n v="0.1"/>
    <n v="400"/>
    <n v="0"/>
    <n v="0"/>
    <m/>
    <m/>
    <m/>
    <m/>
    <n v="40"/>
    <n v="0"/>
    <n v="27252.245120151991"/>
  </r>
  <r>
    <x v="94"/>
    <x v="4"/>
    <x v="360"/>
    <x v="0"/>
    <x v="1"/>
    <x v="899"/>
    <x v="109"/>
    <s v="NAKİT"/>
    <n v="1"/>
    <n v="600"/>
    <n v="0"/>
    <n v="0"/>
    <m/>
    <m/>
    <m/>
    <m/>
    <n v="600"/>
    <n v="0"/>
    <n v="27852.245120151991"/>
  </r>
  <r>
    <x v="94"/>
    <x v="4"/>
    <x v="150"/>
    <x v="0"/>
    <x v="1"/>
    <x v="899"/>
    <x v="109"/>
    <s v="NAKİT"/>
    <n v="1.6"/>
    <n v="250"/>
    <n v="0"/>
    <n v="0"/>
    <m/>
    <m/>
    <m/>
    <m/>
    <n v="400"/>
    <n v="0"/>
    <n v="28252.245120151991"/>
  </r>
  <r>
    <x v="94"/>
    <x v="4"/>
    <x v="38"/>
    <x v="0"/>
    <x v="1"/>
    <x v="900"/>
    <x v="110"/>
    <s v="NAKİT"/>
    <n v="0.1"/>
    <n v="650"/>
    <n v="0"/>
    <n v="0"/>
    <m/>
    <m/>
    <m/>
    <m/>
    <n v="65"/>
    <n v="0"/>
    <n v="28317.245120151991"/>
  </r>
  <r>
    <x v="94"/>
    <x v="4"/>
    <x v="150"/>
    <x v="0"/>
    <x v="1"/>
    <x v="900"/>
    <x v="110"/>
    <s v="NAKİT"/>
    <n v="0.49"/>
    <n v="250"/>
    <n v="0"/>
    <n v="0"/>
    <m/>
    <m/>
    <m/>
    <m/>
    <n v="122.5"/>
    <n v="0"/>
    <n v="28439.745120151991"/>
  </r>
  <r>
    <x v="94"/>
    <x v="4"/>
    <x v="100"/>
    <x v="0"/>
    <x v="1"/>
    <x v="900"/>
    <x v="110"/>
    <s v="NAKİT"/>
    <n v="0.28999999999999998"/>
    <n v="750"/>
    <n v="0"/>
    <n v="0"/>
    <m/>
    <m/>
    <m/>
    <m/>
    <n v="217.49999999999997"/>
    <n v="0"/>
    <n v="28657.245120151991"/>
  </r>
  <r>
    <x v="94"/>
    <x v="4"/>
    <x v="360"/>
    <x v="0"/>
    <x v="1"/>
    <x v="900"/>
    <x v="110"/>
    <s v="NAKİT"/>
    <n v="0.5"/>
    <n v="600"/>
    <n v="0"/>
    <n v="0"/>
    <m/>
    <m/>
    <m/>
    <m/>
    <n v="300"/>
    <n v="0"/>
    <n v="28957.245120151991"/>
  </r>
  <r>
    <x v="94"/>
    <x v="4"/>
    <x v="286"/>
    <x v="0"/>
    <x v="1"/>
    <x v="900"/>
    <x v="110"/>
    <s v="NAKİT"/>
    <n v="1"/>
    <n v="65"/>
    <n v="0"/>
    <n v="0"/>
    <m/>
    <m/>
    <m/>
    <m/>
    <n v="65"/>
    <n v="0"/>
    <n v="29022.245120151991"/>
  </r>
  <r>
    <x v="94"/>
    <x v="4"/>
    <x v="161"/>
    <x v="0"/>
    <x v="1"/>
    <x v="900"/>
    <x v="110"/>
    <s v="NAKİT"/>
    <n v="0.2"/>
    <n v="370"/>
    <n v="0"/>
    <n v="0"/>
    <m/>
    <m/>
    <m/>
    <m/>
    <n v="74"/>
    <n v="0"/>
    <n v="29096.245120151991"/>
  </r>
  <r>
    <x v="94"/>
    <x v="4"/>
    <x v="238"/>
    <x v="0"/>
    <x v="1"/>
    <x v="900"/>
    <x v="110"/>
    <s v="NAKİT"/>
    <n v="0.31"/>
    <n v="340"/>
    <n v="0"/>
    <n v="0"/>
    <m/>
    <m/>
    <m/>
    <m/>
    <n v="105.4"/>
    <n v="0"/>
    <n v="29201.645120151992"/>
  </r>
  <r>
    <x v="94"/>
    <x v="4"/>
    <x v="25"/>
    <x v="0"/>
    <x v="1"/>
    <x v="900"/>
    <x v="110"/>
    <s v="NAKİT"/>
    <n v="0.2"/>
    <n v="390"/>
    <n v="0"/>
    <n v="0"/>
    <m/>
    <m/>
    <m/>
    <m/>
    <n v="78"/>
    <n v="0"/>
    <n v="29279.645120151992"/>
  </r>
  <r>
    <x v="94"/>
    <x v="4"/>
    <x v="18"/>
    <x v="0"/>
    <x v="1"/>
    <x v="900"/>
    <x v="110"/>
    <s v="NAKİT"/>
    <n v="1"/>
    <n v="250"/>
    <n v="0"/>
    <n v="0"/>
    <m/>
    <m/>
    <m/>
    <m/>
    <n v="250"/>
    <n v="0"/>
    <n v="29529.645120151992"/>
  </r>
  <r>
    <x v="94"/>
    <x v="4"/>
    <x v="58"/>
    <x v="0"/>
    <x v="1"/>
    <x v="900"/>
    <x v="110"/>
    <s v="NAKİT"/>
    <n v="1"/>
    <n v="230"/>
    <n v="0"/>
    <n v="0"/>
    <m/>
    <m/>
    <m/>
    <m/>
    <n v="230"/>
    <n v="0"/>
    <n v="29759.645120151992"/>
  </r>
  <r>
    <x v="94"/>
    <x v="4"/>
    <x v="21"/>
    <x v="0"/>
    <x v="1"/>
    <x v="900"/>
    <x v="110"/>
    <s v="NAKİT"/>
    <n v="1"/>
    <n v="250"/>
    <n v="0"/>
    <n v="0"/>
    <m/>
    <m/>
    <m/>
    <m/>
    <n v="250"/>
    <n v="0"/>
    <n v="30009.645120151992"/>
  </r>
  <r>
    <x v="94"/>
    <x v="4"/>
    <x v="166"/>
    <x v="0"/>
    <x v="1"/>
    <x v="900"/>
    <x v="110"/>
    <s v="NAKİT"/>
    <n v="1"/>
    <n v="50"/>
    <n v="0"/>
    <n v="0"/>
    <m/>
    <m/>
    <m/>
    <m/>
    <n v="50"/>
    <n v="0"/>
    <n v="30059.645120151992"/>
  </r>
  <r>
    <x v="94"/>
    <x v="4"/>
    <x v="346"/>
    <x v="0"/>
    <x v="1"/>
    <x v="901"/>
    <x v="26"/>
    <s v="NAKİT"/>
    <n v="0.59199999999999997"/>
    <n v="450"/>
    <n v="0"/>
    <n v="0"/>
    <m/>
    <m/>
    <m/>
    <m/>
    <n v="266.39999999999998"/>
    <n v="0"/>
    <n v="30326.045120151994"/>
  </r>
  <r>
    <x v="94"/>
    <x v="4"/>
    <x v="78"/>
    <x v="0"/>
    <x v="1"/>
    <x v="901"/>
    <x v="26"/>
    <s v="NAKİT"/>
    <n v="4.8000000000000001E-2"/>
    <n v="1400"/>
    <n v="0"/>
    <n v="0"/>
    <m/>
    <m/>
    <m/>
    <m/>
    <n v="67.2"/>
    <n v="0"/>
    <n v="30393.245120151994"/>
  </r>
  <r>
    <x v="94"/>
    <x v="4"/>
    <x v="344"/>
    <x v="0"/>
    <x v="1"/>
    <x v="901"/>
    <x v="26"/>
    <s v="NAKİT"/>
    <n v="0.224"/>
    <n v="450"/>
    <n v="0"/>
    <n v="0"/>
    <m/>
    <m/>
    <m/>
    <m/>
    <n v="100.8"/>
    <n v="0"/>
    <n v="30494.045120151994"/>
  </r>
  <r>
    <x v="94"/>
    <x v="4"/>
    <x v="291"/>
    <x v="0"/>
    <x v="1"/>
    <x v="901"/>
    <x v="26"/>
    <s v="NAKİT"/>
    <n v="1"/>
    <n v="290"/>
    <n v="0"/>
    <n v="0"/>
    <m/>
    <m/>
    <m/>
    <m/>
    <n v="290"/>
    <n v="0"/>
    <n v="30784.045120151994"/>
  </r>
  <r>
    <x v="94"/>
    <x v="4"/>
    <x v="279"/>
    <x v="0"/>
    <x v="1"/>
    <x v="901"/>
    <x v="26"/>
    <s v="NAKİT"/>
    <n v="1"/>
    <n v="130"/>
    <n v="0"/>
    <n v="0"/>
    <m/>
    <m/>
    <m/>
    <m/>
    <n v="130"/>
    <n v="0"/>
    <n v="30914.045120151994"/>
  </r>
  <r>
    <x v="94"/>
    <x v="4"/>
    <x v="310"/>
    <x v="0"/>
    <x v="1"/>
    <x v="901"/>
    <x v="26"/>
    <s v="NAKİT"/>
    <n v="1"/>
    <n v="135"/>
    <n v="0"/>
    <n v="0"/>
    <m/>
    <m/>
    <m/>
    <m/>
    <n v="135"/>
    <n v="0"/>
    <n v="31049.045120151994"/>
  </r>
  <r>
    <x v="94"/>
    <x v="4"/>
    <x v="215"/>
    <x v="0"/>
    <x v="1"/>
    <x v="901"/>
    <x v="26"/>
    <s v="NAKİT"/>
    <n v="1"/>
    <n v="220"/>
    <n v="0"/>
    <n v="0"/>
    <m/>
    <m/>
    <m/>
    <m/>
    <n v="220"/>
    <n v="0"/>
    <n v="31269.045120151994"/>
  </r>
  <r>
    <x v="94"/>
    <x v="4"/>
    <x v="25"/>
    <x v="0"/>
    <x v="1"/>
    <x v="901"/>
    <x v="26"/>
    <s v="NAKİT"/>
    <n v="0.19600000000000001"/>
    <n v="390"/>
    <n v="0"/>
    <n v="0"/>
    <m/>
    <m/>
    <m/>
    <m/>
    <n v="76.44"/>
    <n v="0"/>
    <n v="31345.485120151992"/>
  </r>
  <r>
    <x v="94"/>
    <x v="4"/>
    <x v="31"/>
    <x v="0"/>
    <x v="1"/>
    <x v="901"/>
    <x v="26"/>
    <s v="NAKİT"/>
    <n v="0.16"/>
    <n v="380"/>
    <n v="0"/>
    <n v="0"/>
    <m/>
    <m/>
    <m/>
    <m/>
    <n v="60.800000000000004"/>
    <n v="0"/>
    <n v="31406.285120151992"/>
  </r>
  <r>
    <x v="94"/>
    <x v="4"/>
    <x v="27"/>
    <x v="0"/>
    <x v="1"/>
    <x v="901"/>
    <x v="26"/>
    <s v="NAKİT"/>
    <n v="7.8E-2"/>
    <n v="400"/>
    <n v="0"/>
    <n v="0"/>
    <m/>
    <m/>
    <m/>
    <m/>
    <n v="31.2"/>
    <n v="0"/>
    <n v="31437.485120151992"/>
  </r>
  <r>
    <x v="94"/>
    <x v="4"/>
    <x v="30"/>
    <x v="0"/>
    <x v="1"/>
    <x v="901"/>
    <x v="26"/>
    <s v="NAKİT"/>
    <n v="0.188"/>
    <n v="500"/>
    <n v="0"/>
    <n v="0"/>
    <m/>
    <m/>
    <m/>
    <m/>
    <n v="94"/>
    <n v="0"/>
    <n v="31531.485120151992"/>
  </r>
  <r>
    <x v="94"/>
    <x v="4"/>
    <x v="76"/>
    <x v="0"/>
    <x v="1"/>
    <x v="901"/>
    <x v="26"/>
    <s v="NAKİT"/>
    <n v="0.5"/>
    <n v="80"/>
    <n v="0"/>
    <n v="0"/>
    <m/>
    <m/>
    <m/>
    <m/>
    <n v="40"/>
    <n v="0"/>
    <n v="31571.485120151992"/>
  </r>
  <r>
    <x v="94"/>
    <x v="4"/>
    <x v="24"/>
    <x v="0"/>
    <x v="1"/>
    <x v="901"/>
    <x v="26"/>
    <s v="NAKİT"/>
    <n v="9.8000000000000004E-2"/>
    <n v="640"/>
    <n v="0"/>
    <n v="0"/>
    <m/>
    <m/>
    <m/>
    <m/>
    <n v="62.72"/>
    <n v="0"/>
    <n v="31634.205120151993"/>
  </r>
  <r>
    <x v="94"/>
    <x v="4"/>
    <x v="82"/>
    <x v="0"/>
    <x v="1"/>
    <x v="901"/>
    <x v="26"/>
    <s v="NAKİT"/>
    <n v="0.5"/>
    <n v="140"/>
    <n v="0"/>
    <n v="0"/>
    <m/>
    <m/>
    <m/>
    <m/>
    <n v="70"/>
    <n v="0"/>
    <n v="31704.205120151993"/>
  </r>
  <r>
    <x v="94"/>
    <x v="4"/>
    <x v="233"/>
    <x v="0"/>
    <x v="1"/>
    <x v="901"/>
    <x v="26"/>
    <s v="NAKİT"/>
    <n v="1"/>
    <n v="400"/>
    <n v="0"/>
    <n v="0"/>
    <m/>
    <m/>
    <m/>
    <m/>
    <n v="400"/>
    <n v="0"/>
    <n v="32104.205120151993"/>
  </r>
  <r>
    <x v="94"/>
    <x v="4"/>
    <x v="199"/>
    <x v="0"/>
    <x v="1"/>
    <x v="901"/>
    <x v="26"/>
    <s v="NAKİT"/>
    <n v="1"/>
    <n v="150"/>
    <n v="0"/>
    <n v="0"/>
    <m/>
    <m/>
    <m/>
    <m/>
    <n v="150"/>
    <n v="0"/>
    <n v="32254.205120151993"/>
  </r>
  <r>
    <x v="94"/>
    <x v="4"/>
    <x v="197"/>
    <x v="0"/>
    <x v="1"/>
    <x v="901"/>
    <x v="26"/>
    <s v="NAKİT"/>
    <n v="1"/>
    <n v="200"/>
    <n v="0"/>
    <n v="0"/>
    <m/>
    <m/>
    <m/>
    <m/>
    <n v="200"/>
    <n v="0"/>
    <n v="32454.205120151993"/>
  </r>
  <r>
    <x v="94"/>
    <x v="4"/>
    <x v="164"/>
    <x v="0"/>
    <x v="1"/>
    <x v="901"/>
    <x v="26"/>
    <s v="NAKİT"/>
    <n v="1"/>
    <n v="35"/>
    <n v="0"/>
    <n v="0"/>
    <m/>
    <m/>
    <m/>
    <m/>
    <n v="35"/>
    <n v="0"/>
    <n v="32489.205120151993"/>
  </r>
  <r>
    <x v="94"/>
    <x v="4"/>
    <x v="163"/>
    <x v="0"/>
    <x v="1"/>
    <x v="901"/>
    <x v="26"/>
    <s v="NAKİT"/>
    <n v="1"/>
    <n v="35"/>
    <n v="0"/>
    <n v="0"/>
    <m/>
    <m/>
    <m/>
    <m/>
    <n v="35"/>
    <n v="0"/>
    <n v="32524.205120151993"/>
  </r>
  <r>
    <x v="94"/>
    <x v="4"/>
    <x v="165"/>
    <x v="0"/>
    <x v="1"/>
    <x v="901"/>
    <x v="26"/>
    <s v="NAKİT"/>
    <n v="1"/>
    <n v="35"/>
    <n v="0"/>
    <n v="0"/>
    <m/>
    <m/>
    <m/>
    <m/>
    <n v="35"/>
    <n v="0"/>
    <n v="32559.205120151993"/>
  </r>
  <r>
    <x v="94"/>
    <x v="4"/>
    <x v="166"/>
    <x v="0"/>
    <x v="1"/>
    <x v="901"/>
    <x v="26"/>
    <s v="NAKİT"/>
    <n v="1"/>
    <n v="35"/>
    <n v="0"/>
    <n v="0"/>
    <m/>
    <m/>
    <m/>
    <m/>
    <n v="35"/>
    <n v="0"/>
    <n v="32594.205120151993"/>
  </r>
  <r>
    <x v="94"/>
    <x v="4"/>
    <x v="165"/>
    <x v="0"/>
    <x v="1"/>
    <x v="901"/>
    <x v="26"/>
    <s v="NAKİT"/>
    <n v="1"/>
    <n v="35"/>
    <n v="0"/>
    <n v="0"/>
    <m/>
    <m/>
    <m/>
    <m/>
    <n v="35"/>
    <n v="0"/>
    <n v="32629.205120151993"/>
  </r>
  <r>
    <x v="94"/>
    <x v="4"/>
    <x v="165"/>
    <x v="0"/>
    <x v="1"/>
    <x v="901"/>
    <x v="26"/>
    <s v="NAKİT"/>
    <n v="1"/>
    <n v="35"/>
    <n v="0"/>
    <n v="0"/>
    <m/>
    <m/>
    <m/>
    <m/>
    <n v="35"/>
    <n v="0"/>
    <n v="32664.205120151993"/>
  </r>
  <r>
    <x v="94"/>
    <x v="4"/>
    <x v="164"/>
    <x v="0"/>
    <x v="1"/>
    <x v="901"/>
    <x v="26"/>
    <s v="NAKİT"/>
    <n v="1"/>
    <n v="35"/>
    <n v="0"/>
    <n v="0"/>
    <m/>
    <m/>
    <m/>
    <m/>
    <n v="35"/>
    <n v="0"/>
    <n v="32699.205120151993"/>
  </r>
  <r>
    <x v="94"/>
    <x v="4"/>
    <x v="116"/>
    <x v="0"/>
    <x v="1"/>
    <x v="901"/>
    <x v="26"/>
    <s v="NAKİT"/>
    <n v="0.78400000000000003"/>
    <n v="350"/>
    <n v="0"/>
    <n v="0"/>
    <m/>
    <m/>
    <m/>
    <m/>
    <n v="274.40000000000003"/>
    <n v="0"/>
    <n v="32973.605120151995"/>
  </r>
  <r>
    <x v="94"/>
    <x v="4"/>
    <x v="25"/>
    <x v="0"/>
    <x v="1"/>
    <x v="902"/>
    <x v="111"/>
    <s v="NAKİT"/>
    <n v="1.3"/>
    <n v="390"/>
    <n v="0"/>
    <n v="0"/>
    <m/>
    <m/>
    <m/>
    <m/>
    <n v="507"/>
    <n v="0"/>
    <n v="33480.605120151995"/>
  </r>
  <r>
    <x v="94"/>
    <x v="4"/>
    <x v="288"/>
    <x v="0"/>
    <x v="1"/>
    <x v="902"/>
    <x v="111"/>
    <s v="NAKİT"/>
    <n v="0.74399999999999999"/>
    <n v="540"/>
    <n v="0"/>
    <n v="0"/>
    <m/>
    <m/>
    <m/>
    <m/>
    <n v="401.76"/>
    <n v="0"/>
    <n v="33882.365120151997"/>
  </r>
  <r>
    <x v="94"/>
    <x v="4"/>
    <x v="24"/>
    <x v="0"/>
    <x v="1"/>
    <x v="902"/>
    <x v="111"/>
    <s v="NAKİT"/>
    <n v="0.46799999999999997"/>
    <n v="640"/>
    <n v="0"/>
    <n v="0"/>
    <m/>
    <m/>
    <m/>
    <m/>
    <n v="299.52"/>
    <n v="0"/>
    <n v="34181.885120151994"/>
  </r>
  <r>
    <x v="94"/>
    <x v="4"/>
    <x v="30"/>
    <x v="0"/>
    <x v="1"/>
    <x v="902"/>
    <x v="111"/>
    <s v="NAKİT"/>
    <n v="1"/>
    <n v="500"/>
    <n v="0"/>
    <n v="0"/>
    <m/>
    <m/>
    <m/>
    <m/>
    <n v="500"/>
    <n v="0"/>
    <n v="34681.885120151994"/>
  </r>
  <r>
    <x v="94"/>
    <x v="4"/>
    <x v="33"/>
    <x v="0"/>
    <x v="1"/>
    <x v="902"/>
    <x v="111"/>
    <s v="NAKİT"/>
    <n v="1.06"/>
    <n v="380"/>
    <n v="0"/>
    <n v="0"/>
    <m/>
    <m/>
    <m/>
    <m/>
    <n v="402.8"/>
    <n v="0"/>
    <n v="35084.685120151997"/>
  </r>
  <r>
    <x v="94"/>
    <x v="4"/>
    <x v="28"/>
    <x v="0"/>
    <x v="1"/>
    <x v="902"/>
    <x v="111"/>
    <s v="NAKİT"/>
    <n v="0.2"/>
    <n v="500"/>
    <n v="0"/>
    <n v="0"/>
    <m/>
    <m/>
    <m/>
    <m/>
    <n v="100"/>
    <n v="0"/>
    <n v="35184.685120151997"/>
  </r>
  <r>
    <x v="94"/>
    <x v="4"/>
    <x v="27"/>
    <x v="0"/>
    <x v="1"/>
    <x v="902"/>
    <x v="111"/>
    <s v="NAKİT"/>
    <n v="1.024"/>
    <n v="400"/>
    <n v="0"/>
    <n v="0"/>
    <m/>
    <m/>
    <m/>
    <m/>
    <n v="409.6"/>
    <n v="0"/>
    <n v="35594.285120151995"/>
  </r>
  <r>
    <x v="94"/>
    <x v="4"/>
    <x v="29"/>
    <x v="0"/>
    <x v="1"/>
    <x v="902"/>
    <x v="111"/>
    <s v="NAKİT"/>
    <n v="0.34"/>
    <n v="760"/>
    <n v="0"/>
    <n v="0"/>
    <m/>
    <m/>
    <m/>
    <m/>
    <n v="258.40000000000003"/>
    <n v="0"/>
    <n v="35852.685120151997"/>
  </r>
  <r>
    <x v="94"/>
    <x v="4"/>
    <x v="161"/>
    <x v="0"/>
    <x v="1"/>
    <x v="902"/>
    <x v="111"/>
    <s v="NAKİT"/>
    <n v="0.82200000000000006"/>
    <n v="370"/>
    <n v="0"/>
    <n v="0"/>
    <m/>
    <m/>
    <m/>
    <m/>
    <n v="304.14000000000004"/>
    <n v="0"/>
    <n v="36156.825120151996"/>
  </r>
  <r>
    <x v="94"/>
    <x v="4"/>
    <x v="360"/>
    <x v="0"/>
    <x v="1"/>
    <x v="902"/>
    <x v="111"/>
    <s v="NAKİT"/>
    <n v="1"/>
    <n v="600"/>
    <n v="0"/>
    <n v="0"/>
    <m/>
    <m/>
    <m/>
    <m/>
    <n v="600"/>
    <n v="0"/>
    <n v="36756.825120151996"/>
  </r>
  <r>
    <x v="94"/>
    <x v="4"/>
    <x v="18"/>
    <x v="0"/>
    <x v="1"/>
    <x v="902"/>
    <x v="111"/>
    <s v="NAKİT"/>
    <n v="5"/>
    <n v="250"/>
    <n v="0"/>
    <n v="0"/>
    <m/>
    <m/>
    <m/>
    <m/>
    <n v="1250"/>
    <n v="0"/>
    <n v="38006.825120151996"/>
  </r>
  <r>
    <x v="94"/>
    <x v="4"/>
    <x v="58"/>
    <x v="0"/>
    <x v="1"/>
    <x v="902"/>
    <x v="111"/>
    <s v="NAKİT"/>
    <n v="3"/>
    <n v="230"/>
    <n v="0"/>
    <n v="0"/>
    <m/>
    <m/>
    <m/>
    <m/>
    <n v="690"/>
    <n v="0"/>
    <n v="38696.825120151996"/>
  </r>
  <r>
    <x v="94"/>
    <x v="4"/>
    <x v="21"/>
    <x v="0"/>
    <x v="1"/>
    <x v="902"/>
    <x v="111"/>
    <s v="NAKİT"/>
    <n v="3"/>
    <n v="250"/>
    <n v="0"/>
    <n v="0"/>
    <m/>
    <m/>
    <m/>
    <m/>
    <n v="750"/>
    <n v="0"/>
    <n v="39446.825120151996"/>
  </r>
  <r>
    <x v="94"/>
    <x v="10"/>
    <x v="0"/>
    <x v="0"/>
    <x v="5"/>
    <x v="2"/>
    <x v="63"/>
    <s v="POS"/>
    <n v="1"/>
    <n v="355"/>
    <n v="0"/>
    <n v="355"/>
    <m/>
    <m/>
    <m/>
    <m/>
    <n v="355"/>
    <n v="0"/>
    <n v="39801.825120151996"/>
  </r>
  <r>
    <x v="94"/>
    <x v="10"/>
    <x v="0"/>
    <x v="0"/>
    <x v="5"/>
    <x v="2"/>
    <x v="63"/>
    <s v="POS"/>
    <n v="1"/>
    <n v="499"/>
    <n v="0"/>
    <n v="499"/>
    <m/>
    <m/>
    <m/>
    <m/>
    <n v="499"/>
    <n v="0"/>
    <n v="40300.825120151996"/>
  </r>
  <r>
    <x v="95"/>
    <x v="4"/>
    <x v="99"/>
    <x v="0"/>
    <x v="1"/>
    <x v="903"/>
    <x v="25"/>
    <s v="NAKİT"/>
    <n v="0.1"/>
    <n v="900"/>
    <n v="0"/>
    <n v="0"/>
    <m/>
    <m/>
    <m/>
    <m/>
    <n v="90"/>
    <n v="0"/>
    <n v="40390.825120151996"/>
  </r>
  <r>
    <x v="95"/>
    <x v="4"/>
    <x v="88"/>
    <x v="0"/>
    <x v="5"/>
    <x v="904"/>
    <x v="25"/>
    <s v="POS"/>
    <n v="0.05"/>
    <n v="1200"/>
    <n v="60"/>
    <n v="0"/>
    <m/>
    <m/>
    <m/>
    <m/>
    <n v="0"/>
    <n v="0"/>
    <n v="40390.825120151996"/>
  </r>
  <r>
    <x v="95"/>
    <x v="4"/>
    <x v="248"/>
    <x v="0"/>
    <x v="5"/>
    <x v="904"/>
    <x v="25"/>
    <s v="POS"/>
    <n v="0.10299999999999999"/>
    <n v="690"/>
    <n v="71.069999999999993"/>
    <n v="0"/>
    <m/>
    <m/>
    <m/>
    <m/>
    <n v="0"/>
    <n v="0"/>
    <n v="40390.825120151996"/>
  </r>
  <r>
    <x v="95"/>
    <x v="4"/>
    <x v="344"/>
    <x v="0"/>
    <x v="5"/>
    <x v="905"/>
    <x v="25"/>
    <s v="POS"/>
    <n v="0.223"/>
    <n v="450"/>
    <n v="100.35000000000001"/>
    <n v="0"/>
    <m/>
    <m/>
    <m/>
    <m/>
    <n v="0"/>
    <n v="0"/>
    <n v="40390.825120151996"/>
  </r>
  <r>
    <x v="95"/>
    <x v="4"/>
    <x v="18"/>
    <x v="0"/>
    <x v="5"/>
    <x v="906"/>
    <x v="25"/>
    <s v="POS"/>
    <n v="1"/>
    <n v="200"/>
    <n v="200"/>
    <n v="0"/>
    <m/>
    <m/>
    <m/>
    <m/>
    <n v="0"/>
    <n v="0"/>
    <n v="40390.825120151996"/>
  </r>
  <r>
    <x v="95"/>
    <x v="4"/>
    <x v="19"/>
    <x v="0"/>
    <x v="5"/>
    <x v="906"/>
    <x v="25"/>
    <s v="POS"/>
    <n v="1"/>
    <n v="200"/>
    <n v="200"/>
    <n v="0"/>
    <m/>
    <m/>
    <m/>
    <m/>
    <n v="0"/>
    <n v="0"/>
    <n v="40390.825120151996"/>
  </r>
  <r>
    <x v="95"/>
    <x v="4"/>
    <x v="18"/>
    <x v="0"/>
    <x v="1"/>
    <x v="906"/>
    <x v="25"/>
    <s v="NAKİT"/>
    <n v="1"/>
    <n v="200"/>
    <n v="0"/>
    <n v="0"/>
    <m/>
    <m/>
    <m/>
    <m/>
    <n v="200"/>
    <n v="0"/>
    <n v="40590.825120151996"/>
  </r>
  <r>
    <x v="95"/>
    <x v="4"/>
    <x v="29"/>
    <x v="0"/>
    <x v="1"/>
    <x v="907"/>
    <x v="25"/>
    <s v="NAKİT"/>
    <n v="0.03"/>
    <n v="760"/>
    <n v="0"/>
    <n v="0"/>
    <m/>
    <m/>
    <m/>
    <m/>
    <n v="22.8"/>
    <n v="0"/>
    <n v="40613.625120151999"/>
  </r>
  <r>
    <x v="95"/>
    <x v="4"/>
    <x v="23"/>
    <x v="0"/>
    <x v="1"/>
    <x v="907"/>
    <x v="25"/>
    <s v="NAKİT"/>
    <n v="6.8000000000000005E-2"/>
    <n v="300"/>
    <n v="0"/>
    <n v="0"/>
    <m/>
    <m/>
    <m/>
    <m/>
    <n v="20.400000000000002"/>
    <n v="0"/>
    <n v="40634.025120152"/>
  </r>
  <r>
    <x v="95"/>
    <x v="4"/>
    <x v="30"/>
    <x v="0"/>
    <x v="1"/>
    <x v="907"/>
    <x v="25"/>
    <s v="NAKİT"/>
    <n v="0.14199999999999999"/>
    <n v="500"/>
    <n v="0"/>
    <n v="0"/>
    <m/>
    <m/>
    <m/>
    <m/>
    <n v="71"/>
    <n v="0"/>
    <n v="40705.025120152"/>
  </r>
  <r>
    <x v="95"/>
    <x v="4"/>
    <x v="161"/>
    <x v="0"/>
    <x v="1"/>
    <x v="907"/>
    <x v="25"/>
    <s v="NAKİT"/>
    <n v="9.1999999999999998E-2"/>
    <n v="370"/>
    <n v="0"/>
    <n v="0"/>
    <m/>
    <m/>
    <m/>
    <m/>
    <n v="34.04"/>
    <n v="0"/>
    <n v="40739.065120152001"/>
  </r>
  <r>
    <x v="95"/>
    <x v="4"/>
    <x v="314"/>
    <x v="0"/>
    <x v="5"/>
    <x v="908"/>
    <x v="25"/>
    <s v="POS"/>
    <n v="1"/>
    <n v="140"/>
    <n v="140"/>
    <n v="0"/>
    <m/>
    <m/>
    <m/>
    <m/>
    <n v="0"/>
    <n v="0"/>
    <n v="40739.065120152001"/>
  </r>
  <r>
    <x v="95"/>
    <x v="4"/>
    <x v="50"/>
    <x v="0"/>
    <x v="1"/>
    <x v="909"/>
    <x v="25"/>
    <s v="NAKİT"/>
    <n v="0.1"/>
    <n v="650"/>
    <n v="0"/>
    <n v="0"/>
    <m/>
    <m/>
    <m/>
    <m/>
    <n v="65"/>
    <n v="0"/>
    <n v="40804.065120152001"/>
  </r>
  <r>
    <x v="95"/>
    <x v="4"/>
    <x v="49"/>
    <x v="0"/>
    <x v="1"/>
    <x v="909"/>
    <x v="25"/>
    <s v="NAKİT"/>
    <n v="0.1"/>
    <n v="600"/>
    <n v="0"/>
    <n v="0"/>
    <m/>
    <m/>
    <m/>
    <m/>
    <n v="60"/>
    <n v="0"/>
    <n v="40864.065120152001"/>
  </r>
  <r>
    <x v="95"/>
    <x v="4"/>
    <x v="94"/>
    <x v="0"/>
    <x v="1"/>
    <x v="909"/>
    <x v="25"/>
    <s v="NAKİT"/>
    <n v="7.4999999999999997E-2"/>
    <n v="2000"/>
    <n v="0"/>
    <n v="0"/>
    <m/>
    <m/>
    <m/>
    <m/>
    <n v="150"/>
    <n v="0"/>
    <n v="41014.065120152001"/>
  </r>
  <r>
    <x v="95"/>
    <x v="4"/>
    <x v="199"/>
    <x v="0"/>
    <x v="1"/>
    <x v="910"/>
    <x v="25"/>
    <s v="NAKİT"/>
    <n v="0.5"/>
    <n v="150"/>
    <n v="0"/>
    <n v="0"/>
    <m/>
    <m/>
    <m/>
    <m/>
    <n v="75"/>
    <n v="0"/>
    <n v="41089.065120152001"/>
  </r>
  <r>
    <x v="95"/>
    <x v="4"/>
    <x v="25"/>
    <x v="0"/>
    <x v="1"/>
    <x v="910"/>
    <x v="25"/>
    <s v="NAKİT"/>
    <n v="8.5999999999999993E-2"/>
    <n v="390"/>
    <n v="0"/>
    <n v="0"/>
    <m/>
    <m/>
    <m/>
    <m/>
    <n v="33.54"/>
    <n v="0"/>
    <n v="41122.605120152002"/>
  </r>
  <r>
    <x v="95"/>
    <x v="4"/>
    <x v="344"/>
    <x v="0"/>
    <x v="1"/>
    <x v="910"/>
    <x v="25"/>
    <s v="NAKİT"/>
    <n v="0.28599999999999998"/>
    <n v="450"/>
    <n v="0"/>
    <n v="0"/>
    <m/>
    <m/>
    <m/>
    <m/>
    <n v="128.69999999999999"/>
    <n v="0"/>
    <n v="41251.305120151999"/>
  </r>
  <r>
    <x v="95"/>
    <x v="4"/>
    <x v="212"/>
    <x v="0"/>
    <x v="1"/>
    <x v="910"/>
    <x v="25"/>
    <s v="NAKİT"/>
    <n v="0.29799999999999999"/>
    <n v="550"/>
    <n v="0"/>
    <n v="0"/>
    <m/>
    <m/>
    <m/>
    <m/>
    <n v="163.9"/>
    <n v="0"/>
    <n v="41415.205120152001"/>
  </r>
  <r>
    <x v="95"/>
    <x v="4"/>
    <x v="238"/>
    <x v="0"/>
    <x v="1"/>
    <x v="910"/>
    <x v="25"/>
    <s v="NAKİT"/>
    <n v="0.34399999999999997"/>
    <n v="340"/>
    <n v="0"/>
    <n v="0"/>
    <m/>
    <m/>
    <m/>
    <m/>
    <n v="116.96"/>
    <n v="0"/>
    <n v="41532.165120152"/>
  </r>
  <r>
    <x v="95"/>
    <x v="4"/>
    <x v="197"/>
    <x v="0"/>
    <x v="1"/>
    <x v="910"/>
    <x v="25"/>
    <s v="NAKİT"/>
    <n v="0.5"/>
    <n v="200"/>
    <n v="0"/>
    <n v="0"/>
    <m/>
    <m/>
    <m/>
    <m/>
    <n v="100"/>
    <n v="0"/>
    <n v="41632.165120152"/>
  </r>
  <r>
    <x v="95"/>
    <x v="4"/>
    <x v="198"/>
    <x v="0"/>
    <x v="1"/>
    <x v="910"/>
    <x v="25"/>
    <s v="NAKİT"/>
    <n v="0.5"/>
    <n v="200"/>
    <n v="0"/>
    <n v="0"/>
    <m/>
    <m/>
    <m/>
    <m/>
    <n v="100"/>
    <n v="0"/>
    <n v="41732.165120152"/>
  </r>
  <r>
    <x v="95"/>
    <x v="4"/>
    <x v="50"/>
    <x v="0"/>
    <x v="1"/>
    <x v="910"/>
    <x v="25"/>
    <s v="NAKİT"/>
    <n v="0.1"/>
    <n v="650"/>
    <n v="0"/>
    <n v="0"/>
    <m/>
    <m/>
    <m/>
    <m/>
    <n v="65"/>
    <n v="0"/>
    <n v="41797.165120152"/>
  </r>
  <r>
    <x v="95"/>
    <x v="4"/>
    <x v="34"/>
    <x v="0"/>
    <x v="1"/>
    <x v="910"/>
    <x v="25"/>
    <s v="NAKİT"/>
    <n v="0.1"/>
    <n v="600"/>
    <n v="0"/>
    <n v="0"/>
    <m/>
    <m/>
    <m/>
    <m/>
    <n v="60"/>
    <n v="0"/>
    <n v="41857.165120152"/>
  </r>
  <r>
    <x v="95"/>
    <x v="4"/>
    <x v="27"/>
    <x v="0"/>
    <x v="1"/>
    <x v="910"/>
    <x v="25"/>
    <s v="NAKİT"/>
    <n v="0.14199999999999999"/>
    <n v="400"/>
    <n v="0"/>
    <n v="0"/>
    <m/>
    <m/>
    <m/>
    <m/>
    <n v="56.8"/>
    <n v="0"/>
    <n v="41913.965120152003"/>
  </r>
  <r>
    <x v="95"/>
    <x v="4"/>
    <x v="70"/>
    <x v="0"/>
    <x v="1"/>
    <x v="911"/>
    <x v="25"/>
    <s v="NAKİT"/>
    <n v="0.26400000000000001"/>
    <n v="266"/>
    <n v="0"/>
    <n v="0"/>
    <m/>
    <m/>
    <m/>
    <m/>
    <n v="70.224000000000004"/>
    <n v="0"/>
    <n v="41984.189120152005"/>
  </r>
  <r>
    <x v="95"/>
    <x v="4"/>
    <x v="356"/>
    <x v="0"/>
    <x v="1"/>
    <x v="911"/>
    <x v="25"/>
    <s v="NAKİT"/>
    <n v="2"/>
    <n v="10"/>
    <n v="0"/>
    <n v="0"/>
    <m/>
    <m/>
    <m/>
    <m/>
    <n v="20"/>
    <n v="0"/>
    <n v="42004.189120152005"/>
  </r>
  <r>
    <x v="95"/>
    <x v="4"/>
    <x v="216"/>
    <x v="0"/>
    <x v="1"/>
    <x v="911"/>
    <x v="25"/>
    <s v="NAKİT"/>
    <n v="1"/>
    <n v="220"/>
    <n v="0"/>
    <n v="0"/>
    <m/>
    <m/>
    <m/>
    <m/>
    <n v="220"/>
    <n v="0"/>
    <n v="42224.189120152005"/>
  </r>
  <r>
    <x v="95"/>
    <x v="4"/>
    <x v="98"/>
    <x v="0"/>
    <x v="1"/>
    <x v="911"/>
    <x v="25"/>
    <s v="NAKİT"/>
    <n v="0.5"/>
    <n v="800"/>
    <n v="0"/>
    <n v="0"/>
    <m/>
    <m/>
    <m/>
    <m/>
    <n v="400"/>
    <n v="0"/>
    <n v="42624.189120152005"/>
  </r>
  <r>
    <x v="95"/>
    <x v="10"/>
    <x v="0"/>
    <x v="0"/>
    <x v="5"/>
    <x v="2"/>
    <x v="63"/>
    <s v="POS"/>
    <n v="1"/>
    <n v="847"/>
    <n v="0"/>
    <n v="847"/>
    <m/>
    <m/>
    <m/>
    <m/>
    <n v="847"/>
    <n v="0"/>
    <n v="43471.189120152005"/>
  </r>
  <r>
    <x v="96"/>
    <x v="4"/>
    <x v="72"/>
    <x v="0"/>
    <x v="5"/>
    <x v="912"/>
    <x v="25"/>
    <s v="POS"/>
    <n v="0.05"/>
    <n v="1400"/>
    <n v="70"/>
    <n v="0"/>
    <m/>
    <m/>
    <m/>
    <m/>
    <n v="0"/>
    <n v="0"/>
    <n v="43471.189120152005"/>
  </r>
  <r>
    <x v="96"/>
    <x v="4"/>
    <x v="18"/>
    <x v="0"/>
    <x v="5"/>
    <x v="913"/>
    <x v="25"/>
    <s v="POS"/>
    <n v="0.5"/>
    <n v="250"/>
    <n v="125"/>
    <n v="0"/>
    <m/>
    <m/>
    <m/>
    <m/>
    <n v="0"/>
    <n v="0"/>
    <n v="43471.189120152005"/>
  </r>
  <r>
    <x v="96"/>
    <x v="4"/>
    <x v="58"/>
    <x v="0"/>
    <x v="5"/>
    <x v="913"/>
    <x v="25"/>
    <s v="POS"/>
    <n v="0.5"/>
    <n v="230"/>
    <n v="115"/>
    <n v="0"/>
    <m/>
    <m/>
    <m/>
    <m/>
    <n v="0"/>
    <n v="0"/>
    <n v="43471.189120152005"/>
  </r>
  <r>
    <x v="96"/>
    <x v="4"/>
    <x v="288"/>
    <x v="0"/>
    <x v="5"/>
    <x v="913"/>
    <x v="25"/>
    <s v="POS"/>
    <n v="0.112"/>
    <n v="540"/>
    <n v="60.480000000000004"/>
    <n v="0"/>
    <m/>
    <m/>
    <m/>
    <m/>
    <n v="0"/>
    <n v="0"/>
    <n v="43471.189120152005"/>
  </r>
  <r>
    <x v="96"/>
    <x v="4"/>
    <x v="18"/>
    <x v="0"/>
    <x v="5"/>
    <x v="914"/>
    <x v="25"/>
    <s v="POS"/>
    <n v="0.5"/>
    <n v="250"/>
    <n v="125"/>
    <n v="0"/>
    <m/>
    <m/>
    <m/>
    <m/>
    <n v="0"/>
    <n v="0"/>
    <n v="43471.189120152005"/>
  </r>
  <r>
    <x v="96"/>
    <x v="4"/>
    <x v="58"/>
    <x v="0"/>
    <x v="5"/>
    <x v="914"/>
    <x v="25"/>
    <s v="POS"/>
    <n v="0.5"/>
    <n v="230"/>
    <n v="115"/>
    <n v="0"/>
    <m/>
    <m/>
    <m/>
    <m/>
    <n v="0"/>
    <n v="0"/>
    <n v="43471.189120152005"/>
  </r>
  <r>
    <x v="96"/>
    <x v="4"/>
    <x v="61"/>
    <x v="0"/>
    <x v="5"/>
    <x v="915"/>
    <x v="25"/>
    <s v="POS"/>
    <n v="9.8000000000000004E-2"/>
    <n v="770"/>
    <n v="75.460000000000008"/>
    <n v="0"/>
    <m/>
    <m/>
    <m/>
    <m/>
    <n v="0"/>
    <n v="0"/>
    <n v="43471.189120152005"/>
  </r>
  <r>
    <x v="96"/>
    <x v="4"/>
    <x v="316"/>
    <x v="0"/>
    <x v="5"/>
    <x v="915"/>
    <x v="25"/>
    <s v="POS"/>
    <n v="1"/>
    <n v="180"/>
    <n v="180"/>
    <n v="0"/>
    <m/>
    <m/>
    <m/>
    <m/>
    <n v="0"/>
    <n v="0"/>
    <n v="43471.189120152005"/>
  </r>
  <r>
    <x v="96"/>
    <x v="4"/>
    <x v="312"/>
    <x v="0"/>
    <x v="5"/>
    <x v="915"/>
    <x v="25"/>
    <s v="POS"/>
    <n v="1"/>
    <n v="400"/>
    <n v="400"/>
    <n v="0"/>
    <m/>
    <m/>
    <m/>
    <m/>
    <n v="0"/>
    <n v="0"/>
    <n v="43471.189120152005"/>
  </r>
  <r>
    <x v="96"/>
    <x v="4"/>
    <x v="50"/>
    <x v="0"/>
    <x v="1"/>
    <x v="916"/>
    <x v="25"/>
    <s v="NAKİT"/>
    <n v="0.1"/>
    <n v="650"/>
    <n v="0"/>
    <n v="0"/>
    <m/>
    <m/>
    <m/>
    <m/>
    <n v="65"/>
    <n v="0"/>
    <n v="43536.189120152005"/>
  </r>
  <r>
    <x v="96"/>
    <x v="4"/>
    <x v="88"/>
    <x v="0"/>
    <x v="1"/>
    <x v="916"/>
    <x v="25"/>
    <s v="NAKİT"/>
    <n v="0.05"/>
    <n v="1200"/>
    <n v="0"/>
    <n v="0"/>
    <m/>
    <m/>
    <m/>
    <m/>
    <n v="60"/>
    <n v="0"/>
    <n v="43596.189120152005"/>
  </r>
  <r>
    <x v="96"/>
    <x v="4"/>
    <x v="47"/>
    <x v="0"/>
    <x v="1"/>
    <x v="917"/>
    <x v="25"/>
    <s v="NAKİT"/>
    <n v="0.05"/>
    <n v="400"/>
    <n v="0"/>
    <n v="0"/>
    <m/>
    <m/>
    <m/>
    <m/>
    <n v="20"/>
    <n v="0"/>
    <n v="43616.189120152005"/>
  </r>
  <r>
    <x v="96"/>
    <x v="4"/>
    <x v="273"/>
    <x v="0"/>
    <x v="1"/>
    <x v="917"/>
    <x v="25"/>
    <s v="NAKİT"/>
    <n v="0.25"/>
    <n v="360"/>
    <n v="0"/>
    <n v="0"/>
    <m/>
    <m/>
    <m/>
    <m/>
    <n v="90"/>
    <n v="0"/>
    <n v="43706.189120152005"/>
  </r>
  <r>
    <x v="96"/>
    <x v="4"/>
    <x v="58"/>
    <x v="0"/>
    <x v="1"/>
    <x v="918"/>
    <x v="25"/>
    <s v="NAKİT"/>
    <n v="0.5"/>
    <n v="200"/>
    <n v="0"/>
    <n v="0"/>
    <m/>
    <m/>
    <m/>
    <m/>
    <n v="100"/>
    <n v="0"/>
    <n v="43806.189120152005"/>
  </r>
  <r>
    <x v="96"/>
    <x v="4"/>
    <x v="142"/>
    <x v="0"/>
    <x v="1"/>
    <x v="918"/>
    <x v="25"/>
    <s v="NAKİT"/>
    <n v="0.4"/>
    <n v="250"/>
    <n v="0"/>
    <n v="0"/>
    <m/>
    <m/>
    <m/>
    <m/>
    <n v="100"/>
    <n v="0"/>
    <n v="43906.189120152005"/>
  </r>
  <r>
    <x v="96"/>
    <x v="4"/>
    <x v="285"/>
    <x v="0"/>
    <x v="5"/>
    <x v="919"/>
    <x v="25"/>
    <s v="POS"/>
    <n v="0.15625"/>
    <n v="320"/>
    <n v="50"/>
    <n v="0"/>
    <m/>
    <m/>
    <m/>
    <m/>
    <n v="0"/>
    <n v="0"/>
    <n v="43906.189120152005"/>
  </r>
  <r>
    <x v="96"/>
    <x v="4"/>
    <x v="150"/>
    <x v="0"/>
    <x v="5"/>
    <x v="919"/>
    <x v="25"/>
    <s v="POS"/>
    <n v="1"/>
    <n v="250"/>
    <n v="250"/>
    <n v="0"/>
    <m/>
    <m/>
    <m/>
    <m/>
    <n v="0"/>
    <n v="0"/>
    <n v="43906.189120152005"/>
  </r>
  <r>
    <x v="96"/>
    <x v="4"/>
    <x v="248"/>
    <x v="0"/>
    <x v="5"/>
    <x v="920"/>
    <x v="25"/>
    <s v="POS"/>
    <n v="0.5"/>
    <n v="690"/>
    <n v="345"/>
    <n v="0"/>
    <m/>
    <m/>
    <m/>
    <m/>
    <n v="0"/>
    <n v="0"/>
    <n v="43906.189120152005"/>
  </r>
  <r>
    <x v="96"/>
    <x v="4"/>
    <x v="141"/>
    <x v="0"/>
    <x v="5"/>
    <x v="920"/>
    <x v="25"/>
    <s v="POS"/>
    <n v="1"/>
    <n v="130"/>
    <n v="130"/>
    <n v="0"/>
    <m/>
    <m/>
    <m/>
    <m/>
    <n v="0"/>
    <n v="0"/>
    <n v="43906.189120152005"/>
  </r>
  <r>
    <x v="96"/>
    <x v="4"/>
    <x v="296"/>
    <x v="0"/>
    <x v="5"/>
    <x v="920"/>
    <x v="25"/>
    <s v="POS"/>
    <n v="1"/>
    <n v="135"/>
    <n v="135"/>
    <n v="0"/>
    <m/>
    <m/>
    <m/>
    <m/>
    <n v="0"/>
    <n v="0"/>
    <n v="43906.189120152005"/>
  </r>
  <r>
    <x v="96"/>
    <x v="4"/>
    <x v="296"/>
    <x v="0"/>
    <x v="1"/>
    <x v="921"/>
    <x v="25"/>
    <s v="NAKİT"/>
    <n v="1"/>
    <n v="135"/>
    <n v="0"/>
    <n v="0"/>
    <m/>
    <m/>
    <m/>
    <m/>
    <n v="100"/>
    <n v="0"/>
    <n v="44006.189120152005"/>
  </r>
  <r>
    <x v="96"/>
    <x v="4"/>
    <x v="36"/>
    <x v="0"/>
    <x v="1"/>
    <x v="921"/>
    <x v="25"/>
    <s v="NAKİT"/>
    <n v="0.25"/>
    <n v="180"/>
    <n v="0"/>
    <n v="0"/>
    <m/>
    <m/>
    <m/>
    <m/>
    <n v="45"/>
    <n v="0"/>
    <n v="44051.189120152005"/>
  </r>
  <r>
    <x v="96"/>
    <x v="4"/>
    <x v="261"/>
    <x v="0"/>
    <x v="1"/>
    <x v="921"/>
    <x v="25"/>
    <s v="NAKİT"/>
    <n v="1"/>
    <n v="130"/>
    <n v="0"/>
    <n v="0"/>
    <m/>
    <m/>
    <m/>
    <m/>
    <n v="130"/>
    <n v="0"/>
    <n v="44181.189120152005"/>
  </r>
  <r>
    <x v="96"/>
    <x v="4"/>
    <x v="101"/>
    <x v="0"/>
    <x v="5"/>
    <x v="922"/>
    <x v="25"/>
    <s v="POS"/>
    <n v="0.18"/>
    <n v="220"/>
    <n v="39.6"/>
    <n v="0"/>
    <m/>
    <m/>
    <m/>
    <m/>
    <n v="0"/>
    <n v="0"/>
    <n v="44181.189120152005"/>
  </r>
  <r>
    <x v="96"/>
    <x v="4"/>
    <x v="248"/>
    <x v="0"/>
    <x v="5"/>
    <x v="922"/>
    <x v="25"/>
    <s v="POS"/>
    <n v="0.39800000000000002"/>
    <n v="690"/>
    <n v="274.62"/>
    <n v="0"/>
    <m/>
    <m/>
    <m/>
    <m/>
    <n v="0"/>
    <n v="0"/>
    <n v="44181.189120152005"/>
  </r>
  <r>
    <x v="96"/>
    <x v="4"/>
    <x v="72"/>
    <x v="0"/>
    <x v="5"/>
    <x v="922"/>
    <x v="25"/>
    <s v="POS"/>
    <n v="0.05"/>
    <n v="1400"/>
    <n v="70"/>
    <n v="0"/>
    <m/>
    <m/>
    <m/>
    <m/>
    <n v="0"/>
    <n v="0"/>
    <n v="44181.189120152005"/>
  </r>
  <r>
    <x v="96"/>
    <x v="4"/>
    <x v="18"/>
    <x v="0"/>
    <x v="5"/>
    <x v="922"/>
    <x v="25"/>
    <s v="POS"/>
    <n v="1"/>
    <n v="250"/>
    <n v="250"/>
    <n v="0"/>
    <m/>
    <m/>
    <m/>
    <m/>
    <n v="0"/>
    <n v="0"/>
    <n v="44181.189120152005"/>
  </r>
  <r>
    <x v="96"/>
    <x v="4"/>
    <x v="58"/>
    <x v="0"/>
    <x v="5"/>
    <x v="922"/>
    <x v="25"/>
    <s v="POS"/>
    <n v="0.5"/>
    <n v="230"/>
    <n v="115"/>
    <n v="0"/>
    <m/>
    <m/>
    <m/>
    <m/>
    <n v="0"/>
    <n v="0"/>
    <n v="44181.189120152005"/>
  </r>
  <r>
    <x v="96"/>
    <x v="4"/>
    <x v="233"/>
    <x v="0"/>
    <x v="5"/>
    <x v="922"/>
    <x v="25"/>
    <s v="POS"/>
    <n v="1"/>
    <n v="400"/>
    <n v="400"/>
    <n v="0"/>
    <m/>
    <m/>
    <m/>
    <m/>
    <n v="0"/>
    <n v="0"/>
    <n v="44181.189120152005"/>
  </r>
  <r>
    <x v="96"/>
    <x v="4"/>
    <x v="209"/>
    <x v="0"/>
    <x v="5"/>
    <x v="922"/>
    <x v="25"/>
    <s v="POS"/>
    <n v="0.55400000000000005"/>
    <n v="290"/>
    <n v="160.66000000000003"/>
    <n v="0"/>
    <m/>
    <m/>
    <m/>
    <m/>
    <n v="0"/>
    <n v="0"/>
    <n v="44181.189120152005"/>
  </r>
  <r>
    <x v="96"/>
    <x v="4"/>
    <x v="199"/>
    <x v="0"/>
    <x v="5"/>
    <x v="922"/>
    <x v="25"/>
    <s v="POS"/>
    <n v="1"/>
    <n v="150"/>
    <n v="150"/>
    <n v="0"/>
    <m/>
    <m/>
    <m/>
    <m/>
    <n v="0"/>
    <n v="0"/>
    <n v="44181.189120152005"/>
  </r>
  <r>
    <x v="96"/>
    <x v="10"/>
    <x v="0"/>
    <x v="0"/>
    <x v="5"/>
    <x v="2"/>
    <x v="63"/>
    <s v="POS"/>
    <n v="1"/>
    <n v="880"/>
    <n v="0"/>
    <n v="880"/>
    <m/>
    <m/>
    <m/>
    <m/>
    <n v="880"/>
    <n v="0"/>
    <n v="45061.189120152005"/>
  </r>
  <r>
    <x v="96"/>
    <x v="10"/>
    <x v="0"/>
    <x v="0"/>
    <x v="5"/>
    <x v="2"/>
    <x v="63"/>
    <s v="POS"/>
    <n v="1"/>
    <n v="734"/>
    <n v="0"/>
    <n v="734"/>
    <m/>
    <m/>
    <m/>
    <m/>
    <n v="734"/>
    <n v="0"/>
    <n v="45795.189120152005"/>
  </r>
  <r>
    <x v="97"/>
    <x v="4"/>
    <x v="261"/>
    <x v="0"/>
    <x v="5"/>
    <x v="923"/>
    <x v="25"/>
    <s v="POS"/>
    <n v="1"/>
    <n v="150"/>
    <n v="150"/>
    <n v="0"/>
    <m/>
    <m/>
    <m/>
    <m/>
    <n v="0"/>
    <n v="0"/>
    <n v="45795.189120152005"/>
  </r>
  <r>
    <x v="97"/>
    <x v="4"/>
    <x v="154"/>
    <x v="0"/>
    <x v="5"/>
    <x v="923"/>
    <x v="25"/>
    <s v="POS"/>
    <n v="1"/>
    <n v="180"/>
    <n v="180"/>
    <n v="0"/>
    <m/>
    <m/>
    <m/>
    <m/>
    <n v="0"/>
    <n v="0"/>
    <n v="45795.189120152005"/>
  </r>
  <r>
    <x v="97"/>
    <x v="4"/>
    <x v="356"/>
    <x v="0"/>
    <x v="5"/>
    <x v="923"/>
    <x v="25"/>
    <s v="POS"/>
    <n v="2"/>
    <n v="10"/>
    <n v="20"/>
    <n v="0"/>
    <m/>
    <m/>
    <m/>
    <m/>
    <n v="0"/>
    <n v="0"/>
    <n v="45795.189120152005"/>
  </r>
  <r>
    <x v="97"/>
    <x v="4"/>
    <x v="347"/>
    <x v="0"/>
    <x v="1"/>
    <x v="924"/>
    <x v="25"/>
    <s v="NAKİT"/>
    <n v="0.35087719298245612"/>
    <n v="570"/>
    <n v="0"/>
    <n v="0"/>
    <m/>
    <m/>
    <m/>
    <m/>
    <n v="200"/>
    <n v="0"/>
    <n v="45995.189120152005"/>
  </r>
  <r>
    <x v="97"/>
    <x v="4"/>
    <x v="199"/>
    <x v="0"/>
    <x v="1"/>
    <x v="925"/>
    <x v="25"/>
    <s v="NAKİT"/>
    <n v="0.5"/>
    <n v="150"/>
    <n v="0"/>
    <n v="0"/>
    <m/>
    <m/>
    <m/>
    <m/>
    <n v="75"/>
    <n v="0"/>
    <n v="46070.189120152005"/>
  </r>
  <r>
    <x v="97"/>
    <x v="4"/>
    <x v="197"/>
    <x v="0"/>
    <x v="1"/>
    <x v="925"/>
    <x v="25"/>
    <s v="NAKİT"/>
    <n v="0.15"/>
    <n v="200"/>
    <n v="0"/>
    <n v="0"/>
    <m/>
    <m/>
    <m/>
    <m/>
    <n v="30"/>
    <n v="0"/>
    <n v="46100.189120152005"/>
  </r>
  <r>
    <x v="97"/>
    <x v="4"/>
    <x v="59"/>
    <x v="0"/>
    <x v="1"/>
    <x v="926"/>
    <x v="25"/>
    <s v="NAKİT"/>
    <n v="0.15952380952380951"/>
    <n v="420"/>
    <n v="0"/>
    <n v="0"/>
    <m/>
    <m/>
    <m/>
    <m/>
    <n v="67"/>
    <n v="0"/>
    <n v="46167.189120152005"/>
  </r>
  <r>
    <x v="97"/>
    <x v="4"/>
    <x v="23"/>
    <x v="0"/>
    <x v="1"/>
    <x v="926"/>
    <x v="25"/>
    <s v="NAKİT"/>
    <n v="0.16333333333333333"/>
    <n v="300"/>
    <n v="0"/>
    <n v="0"/>
    <m/>
    <m/>
    <m/>
    <m/>
    <n v="49"/>
    <n v="0"/>
    <n v="46216.189120152005"/>
  </r>
  <r>
    <x v="97"/>
    <x v="4"/>
    <x v="156"/>
    <x v="0"/>
    <x v="1"/>
    <x v="927"/>
    <x v="25"/>
    <s v="NAKİT"/>
    <n v="0.5"/>
    <n v="80"/>
    <n v="0"/>
    <n v="0"/>
    <m/>
    <m/>
    <m/>
    <m/>
    <n v="40"/>
    <n v="0"/>
    <n v="46256.189120152005"/>
  </r>
  <r>
    <x v="97"/>
    <x v="4"/>
    <x v="49"/>
    <x v="0"/>
    <x v="1"/>
    <x v="927"/>
    <x v="25"/>
    <s v="NAKİT"/>
    <n v="0.1"/>
    <n v="600"/>
    <n v="0"/>
    <n v="0"/>
    <m/>
    <m/>
    <m/>
    <m/>
    <n v="60"/>
    <n v="0"/>
    <n v="46316.189120152005"/>
  </r>
  <r>
    <x v="97"/>
    <x v="4"/>
    <x v="76"/>
    <x v="0"/>
    <x v="1"/>
    <x v="928"/>
    <x v="25"/>
    <s v="NAKİT"/>
    <n v="0.5"/>
    <n v="80"/>
    <n v="0"/>
    <n v="0"/>
    <m/>
    <m/>
    <m/>
    <m/>
    <n v="40"/>
    <n v="0"/>
    <n v="46356.189120152005"/>
  </r>
  <r>
    <x v="97"/>
    <x v="4"/>
    <x v="344"/>
    <x v="0"/>
    <x v="1"/>
    <x v="929"/>
    <x v="25"/>
    <s v="NAKİT"/>
    <n v="0.44444444444444442"/>
    <n v="450"/>
    <n v="0"/>
    <n v="0"/>
    <m/>
    <m/>
    <m/>
    <m/>
    <n v="200"/>
    <n v="0"/>
    <n v="46556.189120152005"/>
  </r>
  <r>
    <x v="97"/>
    <x v="4"/>
    <x v="233"/>
    <x v="0"/>
    <x v="5"/>
    <x v="930"/>
    <x v="25"/>
    <s v="POS"/>
    <n v="1"/>
    <n v="400"/>
    <n v="400"/>
    <n v="0"/>
    <m/>
    <m/>
    <m/>
    <m/>
    <n v="0"/>
    <n v="0"/>
    <n v="46556.189120152005"/>
  </r>
  <r>
    <x v="97"/>
    <x v="4"/>
    <x v="233"/>
    <x v="0"/>
    <x v="5"/>
    <x v="931"/>
    <x v="25"/>
    <s v="POS"/>
    <n v="1"/>
    <n v="400"/>
    <n v="400"/>
    <n v="0"/>
    <m/>
    <m/>
    <m/>
    <m/>
    <n v="0"/>
    <n v="0"/>
    <n v="46556.189120152005"/>
  </r>
  <r>
    <x v="97"/>
    <x v="4"/>
    <x v="298"/>
    <x v="0"/>
    <x v="1"/>
    <x v="932"/>
    <x v="25"/>
    <s v="NAKİT"/>
    <n v="0.1"/>
    <n v="1500"/>
    <n v="0"/>
    <n v="0"/>
    <m/>
    <m/>
    <m/>
    <m/>
    <n v="150"/>
    <n v="0"/>
    <n v="46706.189120152005"/>
  </r>
  <r>
    <x v="97"/>
    <x v="4"/>
    <x v="83"/>
    <x v="0"/>
    <x v="5"/>
    <x v="933"/>
    <x v="25"/>
    <s v="POS"/>
    <n v="0.05"/>
    <n v="2600"/>
    <n v="130"/>
    <n v="0"/>
    <m/>
    <m/>
    <m/>
    <m/>
    <n v="0"/>
    <n v="0"/>
    <n v="46706.189120152005"/>
  </r>
  <r>
    <x v="97"/>
    <x v="10"/>
    <x v="0"/>
    <x v="0"/>
    <x v="5"/>
    <x v="2"/>
    <x v="63"/>
    <s v="POS"/>
    <n v="1"/>
    <n v="820"/>
    <n v="0"/>
    <n v="820"/>
    <m/>
    <m/>
    <m/>
    <m/>
    <n v="820"/>
    <n v="0"/>
    <n v="47526.189120152005"/>
  </r>
  <r>
    <x v="98"/>
    <x v="4"/>
    <x v="39"/>
    <x v="0"/>
    <x v="1"/>
    <x v="934"/>
    <x v="25"/>
    <s v="NAKİT"/>
    <n v="6.25E-2"/>
    <n v="400"/>
    <n v="0"/>
    <n v="0"/>
    <m/>
    <m/>
    <m/>
    <m/>
    <n v="25"/>
    <n v="0"/>
    <n v="47551.189120152005"/>
  </r>
  <r>
    <x v="98"/>
    <x v="4"/>
    <x v="155"/>
    <x v="0"/>
    <x v="1"/>
    <x v="935"/>
    <x v="25"/>
    <s v="NAKİT"/>
    <n v="0.1"/>
    <n v="700"/>
    <n v="0"/>
    <n v="0"/>
    <m/>
    <m/>
    <m/>
    <m/>
    <n v="70"/>
    <n v="0"/>
    <n v="47621.189120152005"/>
  </r>
  <r>
    <x v="98"/>
    <x v="4"/>
    <x v="83"/>
    <x v="0"/>
    <x v="1"/>
    <x v="935"/>
    <x v="25"/>
    <s v="NAKİT"/>
    <n v="0.05"/>
    <n v="2600"/>
    <n v="0"/>
    <n v="0"/>
    <m/>
    <m/>
    <m/>
    <m/>
    <n v="130"/>
    <n v="0"/>
    <n v="47751.189120152005"/>
  </r>
  <r>
    <x v="98"/>
    <x v="4"/>
    <x v="18"/>
    <x v="0"/>
    <x v="1"/>
    <x v="936"/>
    <x v="25"/>
    <s v="NAKİT"/>
    <n v="1"/>
    <n v="250"/>
    <n v="0"/>
    <n v="0"/>
    <m/>
    <m/>
    <m/>
    <m/>
    <n v="250"/>
    <n v="0"/>
    <n v="48001.189120152005"/>
  </r>
  <r>
    <x v="98"/>
    <x v="4"/>
    <x v="21"/>
    <x v="0"/>
    <x v="1"/>
    <x v="936"/>
    <x v="25"/>
    <s v="NAKİT"/>
    <n v="0.5"/>
    <n v="250"/>
    <n v="0"/>
    <n v="0"/>
    <m/>
    <m/>
    <m/>
    <m/>
    <n v="125"/>
    <n v="0"/>
    <n v="48126.189120152005"/>
  </r>
  <r>
    <x v="98"/>
    <x v="4"/>
    <x v="312"/>
    <x v="0"/>
    <x v="1"/>
    <x v="937"/>
    <x v="25"/>
    <s v="NAKİT"/>
    <n v="1"/>
    <n v="300"/>
    <n v="0"/>
    <n v="0"/>
    <m/>
    <m/>
    <m/>
    <m/>
    <n v="300"/>
    <n v="0"/>
    <n v="48426.189120152005"/>
  </r>
  <r>
    <x v="98"/>
    <x v="4"/>
    <x v="225"/>
    <x v="0"/>
    <x v="5"/>
    <x v="938"/>
    <x v="25"/>
    <s v="POS"/>
    <n v="1"/>
    <n v="350"/>
    <n v="350"/>
    <n v="0"/>
    <m/>
    <m/>
    <m/>
    <m/>
    <n v="0"/>
    <n v="0"/>
    <n v="48426.189120152005"/>
  </r>
  <r>
    <x v="98"/>
    <x v="4"/>
    <x v="98"/>
    <x v="0"/>
    <x v="5"/>
    <x v="939"/>
    <x v="25"/>
    <s v="POS"/>
    <n v="0.11749999999999999"/>
    <n v="800"/>
    <n v="94"/>
    <n v="0"/>
    <m/>
    <m/>
    <m/>
    <m/>
    <n v="0"/>
    <n v="0"/>
    <n v="48426.189120152005"/>
  </r>
  <r>
    <x v="98"/>
    <x v="4"/>
    <x v="347"/>
    <x v="0"/>
    <x v="5"/>
    <x v="939"/>
    <x v="25"/>
    <s v="POS"/>
    <n v="7.3684210526315783E-2"/>
    <n v="570"/>
    <n v="41.999999999999993"/>
    <n v="0"/>
    <m/>
    <m/>
    <m/>
    <m/>
    <n v="0"/>
    <n v="0"/>
    <n v="48426.189120152005"/>
  </r>
  <r>
    <x v="98"/>
    <x v="4"/>
    <x v="248"/>
    <x v="0"/>
    <x v="5"/>
    <x v="939"/>
    <x v="25"/>
    <s v="POS"/>
    <n v="0.16521739130434782"/>
    <n v="690"/>
    <n v="114"/>
    <n v="0"/>
    <m/>
    <m/>
    <m/>
    <m/>
    <n v="0"/>
    <n v="0"/>
    <n v="48426.189120152005"/>
  </r>
  <r>
    <x v="98"/>
    <x v="4"/>
    <x v="129"/>
    <x v="0"/>
    <x v="5"/>
    <x v="939"/>
    <x v="25"/>
    <s v="POS"/>
    <n v="0.21"/>
    <n v="240"/>
    <n v="50.4"/>
    <n v="0"/>
    <m/>
    <m/>
    <m/>
    <m/>
    <n v="0"/>
    <n v="0"/>
    <n v="48426.189120152005"/>
  </r>
  <r>
    <x v="98"/>
    <x v="4"/>
    <x v="233"/>
    <x v="0"/>
    <x v="5"/>
    <x v="940"/>
    <x v="25"/>
    <s v="POS"/>
    <n v="1"/>
    <n v="400"/>
    <n v="400"/>
    <n v="0"/>
    <m/>
    <m/>
    <m/>
    <m/>
    <n v="0"/>
    <n v="0"/>
    <n v="48426.189120152005"/>
  </r>
  <r>
    <x v="98"/>
    <x v="4"/>
    <x v="30"/>
    <x v="0"/>
    <x v="5"/>
    <x v="941"/>
    <x v="25"/>
    <s v="POS"/>
    <n v="0.5"/>
    <n v="500"/>
    <n v="250"/>
    <n v="0"/>
    <m/>
    <m/>
    <m/>
    <m/>
    <n v="0"/>
    <n v="0"/>
    <n v="48426.189120152005"/>
  </r>
  <r>
    <x v="98"/>
    <x v="4"/>
    <x v="20"/>
    <x v="0"/>
    <x v="5"/>
    <x v="942"/>
    <x v="25"/>
    <s v="POS"/>
    <n v="1"/>
    <n v="230"/>
    <n v="230"/>
    <n v="0"/>
    <m/>
    <m/>
    <m/>
    <m/>
    <n v="0"/>
    <n v="0"/>
    <n v="48426.189120152005"/>
  </r>
  <r>
    <x v="98"/>
    <x v="4"/>
    <x v="88"/>
    <x v="0"/>
    <x v="5"/>
    <x v="942"/>
    <x v="25"/>
    <s v="POS"/>
    <n v="0.05"/>
    <n v="1200"/>
    <n v="60"/>
    <n v="0"/>
    <m/>
    <m/>
    <m/>
    <m/>
    <n v="0"/>
    <n v="0"/>
    <n v="48426.189120152005"/>
  </r>
  <r>
    <x v="98"/>
    <x v="4"/>
    <x v="356"/>
    <x v="0"/>
    <x v="1"/>
    <x v="942"/>
    <x v="25"/>
    <s v="NAKİT"/>
    <n v="1"/>
    <n v="10"/>
    <n v="0"/>
    <n v="0"/>
    <m/>
    <m/>
    <m/>
    <m/>
    <n v="10"/>
    <n v="0"/>
    <n v="48436.189120152005"/>
  </r>
  <r>
    <x v="98"/>
    <x v="4"/>
    <x v="29"/>
    <x v="0"/>
    <x v="1"/>
    <x v="943"/>
    <x v="25"/>
    <s v="NAKİT"/>
    <n v="8.2000000000000003E-2"/>
    <n v="760"/>
    <n v="0"/>
    <n v="0"/>
    <m/>
    <m/>
    <m/>
    <m/>
    <n v="62.32"/>
    <n v="0"/>
    <n v="48498.509120152004"/>
  </r>
  <r>
    <x v="98"/>
    <x v="4"/>
    <x v="27"/>
    <x v="0"/>
    <x v="1"/>
    <x v="943"/>
    <x v="25"/>
    <s v="NAKİT"/>
    <n v="9.8000000000000004E-2"/>
    <n v="400"/>
    <n v="0"/>
    <n v="0"/>
    <m/>
    <m/>
    <m/>
    <m/>
    <n v="39.200000000000003"/>
    <n v="0"/>
    <n v="48537.709120152002"/>
  </r>
  <r>
    <x v="98"/>
    <x v="4"/>
    <x v="33"/>
    <x v="0"/>
    <x v="5"/>
    <x v="944"/>
    <x v="25"/>
    <s v="POS"/>
    <n v="0.25800000000000001"/>
    <n v="350"/>
    <n v="90.3"/>
    <n v="0"/>
    <m/>
    <m/>
    <m/>
    <m/>
    <n v="0"/>
    <n v="0"/>
    <n v="48537.709120152002"/>
  </r>
  <r>
    <x v="98"/>
    <x v="4"/>
    <x v="28"/>
    <x v="0"/>
    <x v="5"/>
    <x v="944"/>
    <x v="25"/>
    <s v="POS"/>
    <n v="0.14799999999999999"/>
    <n v="450"/>
    <n v="66.599999999999994"/>
    <n v="0"/>
    <m/>
    <m/>
    <m/>
    <m/>
    <n v="0"/>
    <n v="0"/>
    <n v="48537.709120152002"/>
  </r>
  <r>
    <x v="98"/>
    <x v="4"/>
    <x v="25"/>
    <x v="0"/>
    <x v="5"/>
    <x v="944"/>
    <x v="25"/>
    <s v="POS"/>
    <n v="0.16600000000000001"/>
    <n v="350"/>
    <n v="58.1"/>
    <n v="0"/>
    <m/>
    <m/>
    <m/>
    <m/>
    <n v="0"/>
    <n v="0"/>
    <n v="48537.709120152002"/>
  </r>
  <r>
    <x v="98"/>
    <x v="4"/>
    <x v="27"/>
    <x v="0"/>
    <x v="5"/>
    <x v="944"/>
    <x v="25"/>
    <s v="POS"/>
    <n v="6.4000000000000001E-2"/>
    <n v="300"/>
    <n v="19.2"/>
    <n v="0"/>
    <m/>
    <m/>
    <m/>
    <m/>
    <n v="0"/>
    <n v="0"/>
    <n v="48537.709120152002"/>
  </r>
  <r>
    <x v="98"/>
    <x v="4"/>
    <x v="24"/>
    <x v="0"/>
    <x v="5"/>
    <x v="944"/>
    <x v="25"/>
    <s v="POS"/>
    <n v="7.3999999999999996E-2"/>
    <n v="600"/>
    <n v="44.4"/>
    <n v="0"/>
    <m/>
    <m/>
    <m/>
    <m/>
    <n v="0"/>
    <n v="0"/>
    <n v="48537.709120152002"/>
  </r>
  <r>
    <x v="98"/>
    <x v="4"/>
    <x v="29"/>
    <x v="0"/>
    <x v="5"/>
    <x v="944"/>
    <x v="25"/>
    <s v="POS"/>
    <n v="3.4000000000000002E-2"/>
    <n v="630"/>
    <n v="21.42"/>
    <n v="0"/>
    <m/>
    <m/>
    <m/>
    <m/>
    <n v="0"/>
    <n v="0"/>
    <n v="48537.709120152002"/>
  </r>
  <r>
    <x v="98"/>
    <x v="4"/>
    <x v="248"/>
    <x v="0"/>
    <x v="5"/>
    <x v="945"/>
    <x v="25"/>
    <s v="POS"/>
    <n v="0.27600000000000002"/>
    <n v="730"/>
    <n v="201.48000000000002"/>
    <n v="0"/>
    <m/>
    <m/>
    <m/>
    <m/>
    <n v="0"/>
    <n v="0"/>
    <n v="48537.709120152002"/>
  </r>
  <r>
    <x v="98"/>
    <x v="7"/>
    <x v="0"/>
    <x v="0"/>
    <x v="2"/>
    <x v="2"/>
    <x v="55"/>
    <s v="NAKİT"/>
    <n v="1"/>
    <n v="0"/>
    <n v="42049.46"/>
    <n v="0"/>
    <m/>
    <m/>
    <m/>
    <m/>
    <n v="0"/>
    <n v="42049.46"/>
    <n v="6488.2491201520024"/>
  </r>
  <r>
    <x v="98"/>
    <x v="10"/>
    <x v="0"/>
    <x v="0"/>
    <x v="5"/>
    <x v="2"/>
    <x v="63"/>
    <s v="POS"/>
    <n v="1"/>
    <n v="1105"/>
    <n v="0"/>
    <n v="1105"/>
    <m/>
    <m/>
    <m/>
    <m/>
    <n v="1105"/>
    <n v="0"/>
    <n v="7593.2491201520024"/>
  </r>
  <r>
    <x v="98"/>
    <x v="10"/>
    <x v="0"/>
    <x v="0"/>
    <x v="5"/>
    <x v="2"/>
    <x v="63"/>
    <s v="POS"/>
    <n v="1"/>
    <n v="744"/>
    <n v="0"/>
    <n v="744"/>
    <m/>
    <m/>
    <m/>
    <m/>
    <n v="744"/>
    <n v="0"/>
    <n v="8337.2491201520024"/>
  </r>
  <r>
    <x v="99"/>
    <x v="4"/>
    <x v="51"/>
    <x v="0"/>
    <x v="1"/>
    <x v="946"/>
    <x v="25"/>
    <s v="NAKİT"/>
    <n v="0.1"/>
    <n v="400"/>
    <n v="0"/>
    <n v="0"/>
    <m/>
    <m/>
    <m/>
    <m/>
    <n v="40"/>
    <n v="0"/>
    <n v="8377.2491201520024"/>
  </r>
  <r>
    <x v="99"/>
    <x v="4"/>
    <x v="186"/>
    <x v="0"/>
    <x v="1"/>
    <x v="947"/>
    <x v="25"/>
    <s v="NAKİT"/>
    <n v="1"/>
    <n v="190"/>
    <n v="0"/>
    <n v="0"/>
    <m/>
    <m/>
    <m/>
    <m/>
    <n v="190"/>
    <n v="0"/>
    <n v="8567.2491201520024"/>
  </r>
  <r>
    <x v="99"/>
    <x v="4"/>
    <x v="150"/>
    <x v="0"/>
    <x v="1"/>
    <x v="948"/>
    <x v="25"/>
    <s v="NAKİT"/>
    <n v="2"/>
    <n v="250"/>
    <n v="0"/>
    <n v="0"/>
    <m/>
    <m/>
    <m/>
    <m/>
    <n v="500"/>
    <n v="0"/>
    <n v="9067.2491201520024"/>
  </r>
  <r>
    <x v="99"/>
    <x v="4"/>
    <x v="289"/>
    <x v="0"/>
    <x v="1"/>
    <x v="949"/>
    <x v="25"/>
    <s v="NAKİT"/>
    <n v="0.5"/>
    <n v="300"/>
    <n v="0"/>
    <n v="0"/>
    <m/>
    <m/>
    <m/>
    <m/>
    <n v="150"/>
    <n v="0"/>
    <n v="9217.2491201520024"/>
  </r>
  <r>
    <x v="99"/>
    <x v="4"/>
    <x v="116"/>
    <x v="0"/>
    <x v="5"/>
    <x v="950"/>
    <x v="25"/>
    <s v="POS"/>
    <n v="0.28000000000000003"/>
    <n v="430"/>
    <n v="120.4"/>
    <n v="0"/>
    <m/>
    <m/>
    <m/>
    <m/>
    <n v="0"/>
    <n v="0"/>
    <n v="9217.2491201520024"/>
  </r>
  <r>
    <x v="99"/>
    <x v="4"/>
    <x v="50"/>
    <x v="0"/>
    <x v="5"/>
    <x v="950"/>
    <x v="25"/>
    <s v="POS"/>
    <n v="0.1"/>
    <n v="650"/>
    <n v="65"/>
    <n v="0"/>
    <m/>
    <m/>
    <m/>
    <m/>
    <n v="0"/>
    <n v="0"/>
    <n v="9217.2491201520024"/>
  </r>
  <r>
    <x v="99"/>
    <x v="4"/>
    <x v="56"/>
    <x v="0"/>
    <x v="1"/>
    <x v="951"/>
    <x v="35"/>
    <s v="NAKİT"/>
    <n v="19.350000000000001"/>
    <n v="134.36689999999999"/>
    <n v="0"/>
    <n v="0"/>
    <m/>
    <m/>
    <m/>
    <m/>
    <n v="2599.999515"/>
    <n v="0"/>
    <n v="11817.248635152002"/>
  </r>
  <r>
    <x v="99"/>
    <x v="4"/>
    <x v="101"/>
    <x v="0"/>
    <x v="1"/>
    <x v="952"/>
    <x v="112"/>
    <s v="NAKİT"/>
    <n v="0.2"/>
    <n v="220"/>
    <n v="0"/>
    <n v="0"/>
    <m/>
    <m/>
    <m/>
    <m/>
    <n v="44"/>
    <n v="0"/>
    <n v="11861.248635152002"/>
  </r>
  <r>
    <x v="99"/>
    <x v="4"/>
    <x v="309"/>
    <x v="0"/>
    <x v="1"/>
    <x v="952"/>
    <x v="112"/>
    <s v="NAKİT"/>
    <n v="1"/>
    <n v="135"/>
    <n v="0"/>
    <n v="0"/>
    <m/>
    <m/>
    <m/>
    <m/>
    <n v="135"/>
    <n v="0"/>
    <n v="11996.248635152002"/>
  </r>
  <r>
    <x v="99"/>
    <x v="4"/>
    <x v="50"/>
    <x v="0"/>
    <x v="1"/>
    <x v="952"/>
    <x v="112"/>
    <s v="NAKİT"/>
    <n v="0.1"/>
    <n v="650"/>
    <n v="0"/>
    <n v="0"/>
    <m/>
    <m/>
    <m/>
    <m/>
    <n v="65"/>
    <n v="0"/>
    <n v="12061.248635152002"/>
  </r>
  <r>
    <x v="99"/>
    <x v="4"/>
    <x v="118"/>
    <x v="0"/>
    <x v="1"/>
    <x v="952"/>
    <x v="112"/>
    <s v="NAKİT"/>
    <n v="1"/>
    <n v="180"/>
    <n v="0"/>
    <n v="0"/>
    <m/>
    <m/>
    <m/>
    <m/>
    <n v="180"/>
    <n v="0"/>
    <n v="12241.248635152002"/>
  </r>
  <r>
    <x v="99"/>
    <x v="4"/>
    <x v="82"/>
    <x v="0"/>
    <x v="5"/>
    <x v="953"/>
    <x v="25"/>
    <s v="POS"/>
    <n v="1.45"/>
    <n v="140"/>
    <n v="203"/>
    <n v="0"/>
    <m/>
    <m/>
    <m/>
    <m/>
    <n v="0"/>
    <n v="0"/>
    <n v="12241.248635152002"/>
  </r>
  <r>
    <x v="99"/>
    <x v="4"/>
    <x v="344"/>
    <x v="0"/>
    <x v="5"/>
    <x v="954"/>
    <x v="25"/>
    <s v="POS"/>
    <n v="0.22222222222222221"/>
    <n v="450"/>
    <n v="100"/>
    <n v="0"/>
    <m/>
    <m/>
    <m/>
    <m/>
    <n v="0"/>
    <n v="0"/>
    <n v="12241.248635152002"/>
  </r>
  <r>
    <x v="99"/>
    <x v="4"/>
    <x v="142"/>
    <x v="0"/>
    <x v="5"/>
    <x v="954"/>
    <x v="25"/>
    <s v="POS"/>
    <n v="0.46400000000000002"/>
    <n v="250"/>
    <n v="116"/>
    <n v="0"/>
    <m/>
    <m/>
    <m/>
    <m/>
    <n v="0"/>
    <n v="0"/>
    <n v="12241.248635152002"/>
  </r>
  <r>
    <x v="99"/>
    <x v="10"/>
    <x v="0"/>
    <x v="0"/>
    <x v="5"/>
    <x v="2"/>
    <x v="63"/>
    <s v="POS"/>
    <n v="1"/>
    <n v="1960"/>
    <n v="0"/>
    <n v="1960"/>
    <m/>
    <m/>
    <m/>
    <m/>
    <n v="1960"/>
    <n v="0"/>
    <n v="14201.248635152002"/>
  </r>
  <r>
    <x v="99"/>
    <x v="10"/>
    <x v="0"/>
    <x v="0"/>
    <x v="5"/>
    <x v="2"/>
    <x v="63"/>
    <s v="POS"/>
    <n v="1"/>
    <n v="306"/>
    <n v="0"/>
    <n v="306"/>
    <m/>
    <m/>
    <m/>
    <m/>
    <n v="306"/>
    <n v="0"/>
    <n v="14507.248635152002"/>
  </r>
  <r>
    <x v="100"/>
    <x v="4"/>
    <x v="197"/>
    <x v="0"/>
    <x v="1"/>
    <x v="955"/>
    <x v="25"/>
    <s v="NAKİT"/>
    <n v="1"/>
    <n v="200"/>
    <n v="0"/>
    <n v="0"/>
    <m/>
    <m/>
    <m/>
    <m/>
    <n v="200"/>
    <n v="0"/>
    <n v="14707.248635152002"/>
  </r>
  <r>
    <x v="100"/>
    <x v="4"/>
    <x v="88"/>
    <x v="0"/>
    <x v="1"/>
    <x v="955"/>
    <x v="25"/>
    <s v="NAKİT"/>
    <n v="0.05"/>
    <n v="1200"/>
    <n v="0"/>
    <n v="0"/>
    <m/>
    <m/>
    <m/>
    <m/>
    <n v="60"/>
    <n v="0"/>
    <n v="14767.248635152002"/>
  </r>
  <r>
    <x v="100"/>
    <x v="4"/>
    <x v="54"/>
    <x v="0"/>
    <x v="1"/>
    <x v="955"/>
    <x v="25"/>
    <s v="NAKİT"/>
    <n v="0.1"/>
    <n v="600"/>
    <n v="0"/>
    <n v="0"/>
    <m/>
    <m/>
    <m/>
    <m/>
    <n v="60"/>
    <n v="0"/>
    <n v="14827.248635152002"/>
  </r>
  <r>
    <x v="100"/>
    <x v="4"/>
    <x v="179"/>
    <x v="0"/>
    <x v="1"/>
    <x v="956"/>
    <x v="25"/>
    <s v="NAKİT"/>
    <n v="0.47099999999999997"/>
    <n v="850"/>
    <n v="0"/>
    <n v="0"/>
    <m/>
    <m/>
    <m/>
    <m/>
    <n v="400.34999999999997"/>
    <n v="0"/>
    <n v="15227.598635152002"/>
  </r>
  <r>
    <x v="100"/>
    <x v="4"/>
    <x v="116"/>
    <x v="0"/>
    <x v="1"/>
    <x v="956"/>
    <x v="25"/>
    <s v="NAKİT"/>
    <n v="0.28000000000000003"/>
    <n v="430"/>
    <n v="0"/>
    <n v="0"/>
    <m/>
    <m/>
    <m/>
    <m/>
    <n v="120.4"/>
    <n v="0"/>
    <n v="15347.998635152002"/>
  </r>
  <r>
    <x v="100"/>
    <x v="4"/>
    <x v="344"/>
    <x v="0"/>
    <x v="1"/>
    <x v="956"/>
    <x v="25"/>
    <s v="NAKİT"/>
    <n v="0.22222222222222221"/>
    <n v="450"/>
    <n v="0"/>
    <n v="0"/>
    <m/>
    <m/>
    <m/>
    <m/>
    <n v="100"/>
    <n v="0"/>
    <n v="15447.998635152002"/>
  </r>
  <r>
    <x v="100"/>
    <x v="4"/>
    <x v="240"/>
    <x v="0"/>
    <x v="1"/>
    <x v="956"/>
    <x v="25"/>
    <s v="NAKİT"/>
    <n v="0.33043478260869563"/>
    <n v="230"/>
    <n v="0"/>
    <n v="0"/>
    <m/>
    <m/>
    <m/>
    <m/>
    <n v="76"/>
    <n v="0"/>
    <n v="15523.998635152002"/>
  </r>
  <r>
    <x v="100"/>
    <x v="10"/>
    <x v="0"/>
    <x v="0"/>
    <x v="5"/>
    <x v="2"/>
    <x v="63"/>
    <s v="POS"/>
    <n v="1"/>
    <n v="425"/>
    <n v="0"/>
    <n v="425"/>
    <m/>
    <m/>
    <m/>
    <m/>
    <n v="425"/>
    <n v="0"/>
    <n v="15948.998635152002"/>
  </r>
  <r>
    <x v="100"/>
    <x v="10"/>
    <x v="0"/>
    <x v="0"/>
    <x v="5"/>
    <x v="2"/>
    <x v="63"/>
    <s v="POS"/>
    <n v="1"/>
    <n v="2282"/>
    <n v="0"/>
    <n v="2282"/>
    <m/>
    <m/>
    <m/>
    <m/>
    <n v="2282"/>
    <n v="0"/>
    <n v="18230.998635152002"/>
  </r>
  <r>
    <x v="101"/>
    <x v="4"/>
    <x v="150"/>
    <x v="0"/>
    <x v="1"/>
    <x v="957"/>
    <x v="25"/>
    <s v="NAKİT"/>
    <n v="1"/>
    <n v="250"/>
    <n v="0"/>
    <n v="0"/>
    <m/>
    <m/>
    <m/>
    <m/>
    <n v="250"/>
    <n v="0"/>
    <n v="18480.998635152002"/>
  </r>
  <r>
    <x v="101"/>
    <x v="4"/>
    <x v="78"/>
    <x v="0"/>
    <x v="1"/>
    <x v="958"/>
    <x v="25"/>
    <s v="NAKİT"/>
    <n v="2.8571428571428571E-2"/>
    <n v="1400"/>
    <n v="0"/>
    <n v="0"/>
    <m/>
    <m/>
    <m/>
    <m/>
    <n v="40"/>
    <n v="0"/>
    <n v="18520.998635152002"/>
  </r>
  <r>
    <x v="101"/>
    <x v="4"/>
    <x v="24"/>
    <x v="0"/>
    <x v="1"/>
    <x v="959"/>
    <x v="25"/>
    <s v="NAKİT"/>
    <n v="0.11874999999999999"/>
    <n v="640"/>
    <n v="0"/>
    <n v="0"/>
    <m/>
    <m/>
    <m/>
    <m/>
    <n v="76"/>
    <n v="0"/>
    <n v="18596.998635152002"/>
  </r>
  <r>
    <x v="101"/>
    <x v="4"/>
    <x v="51"/>
    <x v="0"/>
    <x v="1"/>
    <x v="959"/>
    <x v="25"/>
    <s v="NAKİT"/>
    <n v="0.1"/>
    <n v="400"/>
    <n v="0"/>
    <n v="0"/>
    <m/>
    <m/>
    <m/>
    <m/>
    <n v="40"/>
    <n v="0"/>
    <n v="18636.998635152002"/>
  </r>
  <r>
    <x v="101"/>
    <x v="4"/>
    <x v="33"/>
    <x v="0"/>
    <x v="1"/>
    <x v="960"/>
    <x v="25"/>
    <s v="NAKİT"/>
    <n v="0.26319999999999999"/>
    <n v="380"/>
    <n v="0"/>
    <n v="0"/>
    <m/>
    <m/>
    <m/>
    <m/>
    <n v="100.01599999999999"/>
    <n v="0"/>
    <n v="18737.014635152002"/>
  </r>
  <r>
    <x v="101"/>
    <x v="4"/>
    <x v="196"/>
    <x v="0"/>
    <x v="1"/>
    <x v="961"/>
    <x v="25"/>
    <s v="NAKİT"/>
    <n v="1"/>
    <n v="350"/>
    <n v="0"/>
    <n v="0"/>
    <m/>
    <m/>
    <m/>
    <m/>
    <n v="350"/>
    <n v="0"/>
    <n v="19087.014635152002"/>
  </r>
  <r>
    <x v="101"/>
    <x v="4"/>
    <x v="206"/>
    <x v="0"/>
    <x v="1"/>
    <x v="961"/>
    <x v="25"/>
    <s v="NAKİT"/>
    <n v="1"/>
    <n v="350"/>
    <n v="0"/>
    <n v="0"/>
    <m/>
    <m/>
    <m/>
    <m/>
    <n v="350"/>
    <n v="0"/>
    <n v="19437.014635152002"/>
  </r>
  <r>
    <x v="101"/>
    <x v="4"/>
    <x v="312"/>
    <x v="0"/>
    <x v="1"/>
    <x v="961"/>
    <x v="25"/>
    <s v="NAKİT"/>
    <n v="0.5"/>
    <n v="300"/>
    <n v="0"/>
    <n v="0"/>
    <m/>
    <m/>
    <m/>
    <m/>
    <n v="150"/>
    <n v="0"/>
    <n v="19587.014635152002"/>
  </r>
  <r>
    <x v="101"/>
    <x v="4"/>
    <x v="241"/>
    <x v="0"/>
    <x v="5"/>
    <x v="962"/>
    <x v="25"/>
    <s v="POS"/>
    <n v="0.5"/>
    <n v="60"/>
    <n v="30"/>
    <n v="0"/>
    <m/>
    <m/>
    <m/>
    <m/>
    <n v="0"/>
    <n v="0"/>
    <n v="19587.014635152002"/>
  </r>
  <r>
    <x v="101"/>
    <x v="4"/>
    <x v="83"/>
    <x v="0"/>
    <x v="5"/>
    <x v="962"/>
    <x v="25"/>
    <s v="POS"/>
    <n v="0.05"/>
    <n v="2600"/>
    <n v="130"/>
    <n v="0"/>
    <m/>
    <m/>
    <m/>
    <m/>
    <n v="0"/>
    <n v="0"/>
    <n v="19587.014635152002"/>
  </r>
  <r>
    <x v="101"/>
    <x v="4"/>
    <x v="197"/>
    <x v="0"/>
    <x v="5"/>
    <x v="963"/>
    <x v="25"/>
    <s v="POS"/>
    <n v="0.5"/>
    <n v="200"/>
    <n v="100"/>
    <n v="0"/>
    <m/>
    <m/>
    <m/>
    <m/>
    <n v="0"/>
    <n v="0"/>
    <n v="19587.014635152002"/>
  </r>
  <r>
    <x v="101"/>
    <x v="4"/>
    <x v="198"/>
    <x v="0"/>
    <x v="5"/>
    <x v="963"/>
    <x v="25"/>
    <s v="POS"/>
    <n v="0.5"/>
    <n v="200"/>
    <n v="100"/>
    <n v="0"/>
    <m/>
    <m/>
    <m/>
    <m/>
    <n v="0"/>
    <n v="0"/>
    <n v="19587.014635152002"/>
  </r>
  <r>
    <x v="101"/>
    <x v="4"/>
    <x v="197"/>
    <x v="0"/>
    <x v="1"/>
    <x v="964"/>
    <x v="25"/>
    <s v="NAKİT"/>
    <n v="0.5"/>
    <n v="200"/>
    <n v="0"/>
    <n v="0"/>
    <m/>
    <m/>
    <m/>
    <m/>
    <n v="100"/>
    <n v="0"/>
    <n v="19687.014635152002"/>
  </r>
  <r>
    <x v="101"/>
    <x v="4"/>
    <x v="198"/>
    <x v="0"/>
    <x v="1"/>
    <x v="964"/>
    <x v="25"/>
    <s v="NAKİT"/>
    <n v="0.5"/>
    <n v="200"/>
    <n v="0"/>
    <n v="0"/>
    <m/>
    <m/>
    <m/>
    <m/>
    <n v="100"/>
    <n v="0"/>
    <n v="19787.014635152002"/>
  </r>
  <r>
    <x v="101"/>
    <x v="4"/>
    <x v="212"/>
    <x v="0"/>
    <x v="5"/>
    <x v="965"/>
    <x v="25"/>
    <s v="POS"/>
    <n v="0.30727272727272725"/>
    <n v="500"/>
    <n v="153.63636363636363"/>
    <n v="0"/>
    <m/>
    <m/>
    <m/>
    <m/>
    <n v="0"/>
    <n v="0"/>
    <n v="19787.014635152002"/>
  </r>
  <r>
    <x v="101"/>
    <x v="4"/>
    <x v="120"/>
    <x v="0"/>
    <x v="5"/>
    <x v="965"/>
    <x v="25"/>
    <s v="POS"/>
    <n v="0.23076923076923078"/>
    <n v="635"/>
    <n v="146.53846153846155"/>
    <n v="0"/>
    <m/>
    <m/>
    <m/>
    <m/>
    <n v="0"/>
    <n v="0"/>
    <n v="19787.014635152002"/>
  </r>
  <r>
    <x v="101"/>
    <x v="4"/>
    <x v="312"/>
    <x v="0"/>
    <x v="5"/>
    <x v="965"/>
    <x v="25"/>
    <s v="POS"/>
    <n v="1"/>
    <n v="300"/>
    <n v="300"/>
    <n v="0"/>
    <m/>
    <m/>
    <m/>
    <m/>
    <n v="0"/>
    <n v="0"/>
    <n v="19787.014635152002"/>
  </r>
  <r>
    <x v="101"/>
    <x v="4"/>
    <x v="360"/>
    <x v="0"/>
    <x v="1"/>
    <x v="965"/>
    <x v="25"/>
    <s v="NAKİT"/>
    <n v="1.218"/>
    <n v="600"/>
    <n v="0"/>
    <n v="0"/>
    <m/>
    <m/>
    <m/>
    <m/>
    <n v="730.8"/>
    <n v="0"/>
    <n v="20517.814635152001"/>
  </r>
  <r>
    <x v="101"/>
    <x v="4"/>
    <x v="356"/>
    <x v="0"/>
    <x v="1"/>
    <x v="965"/>
    <x v="25"/>
    <s v="NAKİT"/>
    <n v="2"/>
    <n v="10"/>
    <n v="0"/>
    <n v="0"/>
    <m/>
    <m/>
    <m/>
    <m/>
    <n v="20"/>
    <n v="0"/>
    <n v="20537.814635152001"/>
  </r>
  <r>
    <x v="101"/>
    <x v="4"/>
    <x v="233"/>
    <x v="0"/>
    <x v="5"/>
    <x v="965"/>
    <x v="25"/>
    <s v="POS"/>
    <n v="1"/>
    <n v="400"/>
    <n v="400"/>
    <n v="0"/>
    <m/>
    <m/>
    <m/>
    <m/>
    <n v="0"/>
    <n v="0"/>
    <n v="20537.814635152001"/>
  </r>
  <r>
    <x v="101"/>
    <x v="4"/>
    <x v="27"/>
    <x v="0"/>
    <x v="1"/>
    <x v="966"/>
    <x v="25"/>
    <s v="NAKİT"/>
    <n v="0.16250000000000001"/>
    <n v="400"/>
    <n v="0"/>
    <n v="0"/>
    <m/>
    <m/>
    <m/>
    <m/>
    <n v="65"/>
    <n v="0"/>
    <n v="20602.814635152001"/>
  </r>
  <r>
    <x v="101"/>
    <x v="4"/>
    <x v="240"/>
    <x v="0"/>
    <x v="1"/>
    <x v="966"/>
    <x v="25"/>
    <s v="NAKİT"/>
    <n v="0.23599999999999999"/>
    <n v="230"/>
    <n v="0"/>
    <n v="0"/>
    <m/>
    <m/>
    <m/>
    <m/>
    <n v="54.279999999999994"/>
    <n v="0"/>
    <n v="20657.094635152"/>
  </r>
  <r>
    <x v="101"/>
    <x v="10"/>
    <x v="0"/>
    <x v="0"/>
    <x v="5"/>
    <x v="2"/>
    <x v="63"/>
    <s v="POS"/>
    <n v="1"/>
    <n v="1510"/>
    <n v="0"/>
    <n v="1510"/>
    <m/>
    <m/>
    <m/>
    <m/>
    <n v="1510"/>
    <n v="0"/>
    <n v="22167.094635152"/>
  </r>
  <r>
    <x v="101"/>
    <x v="10"/>
    <x v="0"/>
    <x v="0"/>
    <x v="5"/>
    <x v="2"/>
    <x v="63"/>
    <s v="POS"/>
    <n v="1"/>
    <n v="681"/>
    <n v="0"/>
    <n v="681"/>
    <m/>
    <m/>
    <m/>
    <m/>
    <n v="681"/>
    <n v="0"/>
    <n v="22848.094635152"/>
  </r>
  <r>
    <x v="102"/>
    <x v="4"/>
    <x v="150"/>
    <x v="0"/>
    <x v="1"/>
    <x v="967"/>
    <x v="25"/>
    <s v="NAKİT"/>
    <n v="1"/>
    <n v="250"/>
    <n v="0"/>
    <n v="0"/>
    <m/>
    <m/>
    <m/>
    <m/>
    <n v="250"/>
    <n v="0"/>
    <n v="23098.094635152"/>
  </r>
  <r>
    <x v="102"/>
    <x v="4"/>
    <x v="58"/>
    <x v="0"/>
    <x v="1"/>
    <x v="968"/>
    <x v="25"/>
    <s v="NAKİT"/>
    <n v="1"/>
    <n v="230"/>
    <n v="0"/>
    <n v="0"/>
    <m/>
    <m/>
    <m/>
    <m/>
    <n v="230"/>
    <n v="0"/>
    <n v="23328.094635152"/>
  </r>
  <r>
    <x v="102"/>
    <x v="4"/>
    <x v="99"/>
    <x v="0"/>
    <x v="5"/>
    <x v="969"/>
    <x v="25"/>
    <s v="POS"/>
    <n v="0.05"/>
    <n v="900"/>
    <n v="45"/>
    <n v="0"/>
    <m/>
    <m/>
    <m/>
    <m/>
    <n v="0"/>
    <n v="0"/>
    <n v="23328.094635152"/>
  </r>
  <r>
    <x v="102"/>
    <x v="4"/>
    <x v="88"/>
    <x v="0"/>
    <x v="5"/>
    <x v="969"/>
    <x v="25"/>
    <s v="POS"/>
    <n v="0.05"/>
    <n v="1200"/>
    <n v="60"/>
    <n v="0"/>
    <m/>
    <m/>
    <m/>
    <m/>
    <n v="0"/>
    <n v="0"/>
    <n v="23328.094635152"/>
  </r>
  <r>
    <x v="102"/>
    <x v="4"/>
    <x v="78"/>
    <x v="0"/>
    <x v="5"/>
    <x v="969"/>
    <x v="25"/>
    <s v="POS"/>
    <n v="0.05"/>
    <n v="1400"/>
    <n v="70"/>
    <n v="0"/>
    <m/>
    <m/>
    <m/>
    <m/>
    <n v="0"/>
    <n v="0"/>
    <n v="23328.094635152"/>
  </r>
  <r>
    <x v="102"/>
    <x v="4"/>
    <x v="47"/>
    <x v="0"/>
    <x v="5"/>
    <x v="969"/>
    <x v="25"/>
    <s v="POS"/>
    <n v="2.5000000000000001E-2"/>
    <n v="400"/>
    <n v="10"/>
    <n v="0"/>
    <m/>
    <m/>
    <m/>
    <m/>
    <n v="0"/>
    <n v="0"/>
    <n v="23328.094635152"/>
  </r>
  <r>
    <x v="102"/>
    <x v="4"/>
    <x v="59"/>
    <x v="0"/>
    <x v="5"/>
    <x v="970"/>
    <x v="25"/>
    <s v="POS"/>
    <n v="0.47619047619047616"/>
    <n v="420"/>
    <n v="200"/>
    <n v="0"/>
    <m/>
    <m/>
    <m/>
    <m/>
    <n v="0"/>
    <n v="0"/>
    <n v="23328.094635152"/>
  </r>
  <r>
    <x v="102"/>
    <x v="4"/>
    <x v="30"/>
    <x v="0"/>
    <x v="5"/>
    <x v="970"/>
    <x v="25"/>
    <s v="POS"/>
    <n v="0.41"/>
    <n v="500"/>
    <n v="205"/>
    <n v="0"/>
    <m/>
    <m/>
    <m/>
    <m/>
    <n v="0"/>
    <n v="0"/>
    <n v="23328.094635152"/>
  </r>
  <r>
    <x v="102"/>
    <x v="4"/>
    <x v="29"/>
    <x v="0"/>
    <x v="5"/>
    <x v="970"/>
    <x v="25"/>
    <s v="POS"/>
    <n v="0.125"/>
    <n v="760"/>
    <n v="95"/>
    <n v="0"/>
    <m/>
    <m/>
    <m/>
    <m/>
    <n v="0"/>
    <n v="0"/>
    <n v="23328.094635152"/>
  </r>
  <r>
    <x v="102"/>
    <x v="4"/>
    <x v="40"/>
    <x v="0"/>
    <x v="1"/>
    <x v="970"/>
    <x v="25"/>
    <s v="NAKİT"/>
    <n v="0.35714285714285715"/>
    <n v="140"/>
    <n v="0"/>
    <n v="0"/>
    <m/>
    <m/>
    <m/>
    <m/>
    <n v="50"/>
    <n v="0"/>
    <n v="23378.094635152"/>
  </r>
  <r>
    <x v="102"/>
    <x v="4"/>
    <x v="161"/>
    <x v="0"/>
    <x v="1"/>
    <x v="970"/>
    <x v="25"/>
    <s v="NAKİT"/>
    <n v="0.14864864864864866"/>
    <n v="370"/>
    <n v="0"/>
    <n v="0"/>
    <m/>
    <m/>
    <m/>
    <m/>
    <n v="55"/>
    <n v="0"/>
    <n v="23433.094635152"/>
  </r>
  <r>
    <x v="102"/>
    <x v="4"/>
    <x v="25"/>
    <x v="0"/>
    <x v="1"/>
    <x v="970"/>
    <x v="25"/>
    <s v="NAKİT"/>
    <n v="0.11538461538461539"/>
    <n v="390"/>
    <n v="0"/>
    <n v="0"/>
    <m/>
    <m/>
    <m/>
    <m/>
    <n v="45"/>
    <n v="0"/>
    <n v="23478.094635152"/>
  </r>
  <r>
    <x v="102"/>
    <x v="4"/>
    <x v="38"/>
    <x v="0"/>
    <x v="5"/>
    <x v="971"/>
    <x v="25"/>
    <s v="POS"/>
    <n v="0.2"/>
    <n v="650"/>
    <n v="130"/>
    <n v="0"/>
    <m/>
    <m/>
    <m/>
    <m/>
    <n v="0"/>
    <n v="0"/>
    <n v="23478.094635152"/>
  </r>
  <r>
    <x v="102"/>
    <x v="4"/>
    <x v="53"/>
    <x v="0"/>
    <x v="1"/>
    <x v="972"/>
    <x v="25"/>
    <s v="NAKİT"/>
    <n v="0.1"/>
    <n v="400"/>
    <n v="0"/>
    <n v="0"/>
    <m/>
    <m/>
    <m/>
    <m/>
    <n v="40"/>
    <n v="0"/>
    <n v="23518.094635152"/>
  </r>
  <r>
    <x v="102"/>
    <x v="4"/>
    <x v="18"/>
    <x v="0"/>
    <x v="1"/>
    <x v="972"/>
    <x v="25"/>
    <s v="NAKİT"/>
    <n v="0.5"/>
    <n v="250"/>
    <n v="0"/>
    <n v="0"/>
    <m/>
    <m/>
    <m/>
    <m/>
    <n v="125"/>
    <n v="0"/>
    <n v="23643.094635152"/>
  </r>
  <r>
    <x v="102"/>
    <x v="4"/>
    <x v="58"/>
    <x v="0"/>
    <x v="1"/>
    <x v="972"/>
    <x v="25"/>
    <s v="NAKİT"/>
    <n v="0.5"/>
    <n v="230"/>
    <n v="0"/>
    <n v="0"/>
    <m/>
    <m/>
    <m/>
    <m/>
    <n v="115"/>
    <n v="0"/>
    <n v="23758.094635152"/>
  </r>
  <r>
    <x v="102"/>
    <x v="4"/>
    <x v="21"/>
    <x v="0"/>
    <x v="1"/>
    <x v="972"/>
    <x v="25"/>
    <s v="NAKİT"/>
    <n v="0.2"/>
    <n v="250"/>
    <n v="0"/>
    <n v="0"/>
    <m/>
    <m/>
    <m/>
    <m/>
    <n v="50"/>
    <n v="0"/>
    <n v="23808.094635152"/>
  </r>
  <r>
    <x v="102"/>
    <x v="4"/>
    <x v="76"/>
    <x v="0"/>
    <x v="1"/>
    <x v="972"/>
    <x v="25"/>
    <s v="NAKİT"/>
    <n v="0.5"/>
    <n v="80"/>
    <n v="0"/>
    <n v="0"/>
    <m/>
    <m/>
    <m/>
    <m/>
    <n v="40"/>
    <n v="0"/>
    <n v="23848.094635152"/>
  </r>
  <r>
    <x v="102"/>
    <x v="4"/>
    <x v="233"/>
    <x v="0"/>
    <x v="5"/>
    <x v="973"/>
    <x v="25"/>
    <s v="POS"/>
    <n v="1"/>
    <n v="400"/>
    <n v="400"/>
    <n v="0"/>
    <m/>
    <m/>
    <m/>
    <m/>
    <n v="0"/>
    <n v="0"/>
    <n v="23848.094635152"/>
  </r>
  <r>
    <x v="102"/>
    <x v="4"/>
    <x v="83"/>
    <x v="0"/>
    <x v="5"/>
    <x v="974"/>
    <x v="25"/>
    <s v="POS"/>
    <n v="0.05"/>
    <n v="2600"/>
    <n v="130"/>
    <n v="0"/>
    <m/>
    <m/>
    <m/>
    <m/>
    <n v="0"/>
    <n v="0"/>
    <n v="23848.094635152"/>
  </r>
  <r>
    <x v="102"/>
    <x v="4"/>
    <x v="197"/>
    <x v="0"/>
    <x v="5"/>
    <x v="975"/>
    <x v="25"/>
    <s v="POS"/>
    <n v="1"/>
    <n v="200"/>
    <n v="200"/>
    <n v="0"/>
    <m/>
    <m/>
    <m/>
    <m/>
    <n v="0"/>
    <n v="0"/>
    <n v="23848.094635152"/>
  </r>
  <r>
    <x v="102"/>
    <x v="4"/>
    <x v="27"/>
    <x v="0"/>
    <x v="1"/>
    <x v="976"/>
    <x v="25"/>
    <s v="NAKİT"/>
    <n v="0.125"/>
    <n v="400"/>
    <n v="0"/>
    <n v="0"/>
    <m/>
    <m/>
    <m/>
    <m/>
    <n v="50"/>
    <n v="0"/>
    <n v="23898.094635152"/>
  </r>
  <r>
    <x v="102"/>
    <x v="4"/>
    <x v="99"/>
    <x v="0"/>
    <x v="1"/>
    <x v="976"/>
    <x v="25"/>
    <s v="NAKİT"/>
    <n v="0.05"/>
    <n v="900"/>
    <n v="0"/>
    <n v="0"/>
    <m/>
    <m/>
    <m/>
    <m/>
    <n v="45"/>
    <n v="0"/>
    <n v="23943.094635152"/>
  </r>
  <r>
    <x v="102"/>
    <x v="4"/>
    <x v="170"/>
    <x v="0"/>
    <x v="5"/>
    <x v="977"/>
    <x v="25"/>
    <s v="POS"/>
    <n v="1"/>
    <n v="250"/>
    <n v="250"/>
    <n v="0"/>
    <m/>
    <m/>
    <m/>
    <m/>
    <n v="0"/>
    <n v="0"/>
    <n v="23943.094635152"/>
  </r>
  <r>
    <x v="102"/>
    <x v="4"/>
    <x v="113"/>
    <x v="0"/>
    <x v="1"/>
    <x v="978"/>
    <x v="25"/>
    <s v="NAKİT"/>
    <n v="0.1"/>
    <n v="1350"/>
    <n v="0"/>
    <n v="0"/>
    <m/>
    <m/>
    <m/>
    <m/>
    <n v="135"/>
    <n v="0"/>
    <n v="24078.094635152"/>
  </r>
  <r>
    <x v="102"/>
    <x v="4"/>
    <x v="198"/>
    <x v="0"/>
    <x v="5"/>
    <x v="979"/>
    <x v="25"/>
    <s v="POS"/>
    <n v="1"/>
    <n v="200"/>
    <n v="200"/>
    <n v="0"/>
    <m/>
    <m/>
    <m/>
    <m/>
    <n v="0"/>
    <n v="0"/>
    <n v="24078.094635152"/>
  </r>
  <r>
    <x v="102"/>
    <x v="4"/>
    <x v="198"/>
    <x v="0"/>
    <x v="1"/>
    <x v="980"/>
    <x v="113"/>
    <s v="NAKİT"/>
    <n v="3"/>
    <n v="200"/>
    <n v="0"/>
    <n v="0"/>
    <m/>
    <m/>
    <m/>
    <m/>
    <n v="600"/>
    <n v="0"/>
    <n v="24678.094635152"/>
  </r>
  <r>
    <x v="102"/>
    <x v="10"/>
    <x v="0"/>
    <x v="0"/>
    <x v="5"/>
    <x v="2"/>
    <x v="63"/>
    <s v="POS"/>
    <n v="1"/>
    <n v="1020"/>
    <n v="0"/>
    <n v="1020"/>
    <m/>
    <m/>
    <m/>
    <m/>
    <n v="1020"/>
    <n v="0"/>
    <n v="25698.094635152"/>
  </r>
  <r>
    <x v="102"/>
    <x v="10"/>
    <x v="0"/>
    <x v="0"/>
    <x v="5"/>
    <x v="2"/>
    <x v="63"/>
    <s v="POS"/>
    <n v="1"/>
    <n v="980"/>
    <n v="0"/>
    <n v="980"/>
    <m/>
    <m/>
    <m/>
    <m/>
    <n v="980"/>
    <n v="0"/>
    <n v="26678.094635152"/>
  </r>
  <r>
    <x v="103"/>
    <x v="3"/>
    <x v="163"/>
    <x v="0"/>
    <x v="4"/>
    <x v="981"/>
    <x v="32"/>
    <s v="CARİ"/>
    <n v="16"/>
    <n v="29.612500000000001"/>
    <n v="0"/>
    <n v="473.8"/>
    <m/>
    <m/>
    <m/>
    <m/>
    <n v="0"/>
    <n v="0"/>
    <n v="26678.094635152"/>
  </r>
  <r>
    <x v="103"/>
    <x v="3"/>
    <x v="199"/>
    <x v="0"/>
    <x v="4"/>
    <x v="981"/>
    <x v="32"/>
    <s v="CARİ"/>
    <n v="38.700000000000003"/>
    <n v="74.94"/>
    <n v="0"/>
    <n v="2900.1780000000003"/>
    <m/>
    <m/>
    <m/>
    <m/>
    <n v="0"/>
    <n v="0"/>
    <n v="26678.094635152"/>
  </r>
  <r>
    <x v="103"/>
    <x v="3"/>
    <x v="93"/>
    <x v="0"/>
    <x v="4"/>
    <x v="981"/>
    <x v="32"/>
    <s v="CARİ"/>
    <n v="12"/>
    <n v="225"/>
    <n v="0"/>
    <n v="2700"/>
    <m/>
    <m/>
    <m/>
    <m/>
    <n v="0"/>
    <n v="0"/>
    <n v="26678.094635152"/>
  </r>
  <r>
    <x v="103"/>
    <x v="3"/>
    <x v="296"/>
    <x v="0"/>
    <x v="4"/>
    <x v="981"/>
    <x v="32"/>
    <s v="CARİ"/>
    <n v="12"/>
    <n v="75"/>
    <n v="0"/>
    <n v="900"/>
    <m/>
    <m/>
    <m/>
    <m/>
    <n v="0"/>
    <n v="0"/>
    <n v="26678.094635152"/>
  </r>
  <r>
    <x v="103"/>
    <x v="3"/>
    <x v="356"/>
    <x v="0"/>
    <x v="4"/>
    <x v="981"/>
    <x v="32"/>
    <s v="CARİ"/>
    <n v="75"/>
    <n v="4.6666699999999999"/>
    <n v="0"/>
    <n v="350.00024999999999"/>
    <m/>
    <m/>
    <m/>
    <m/>
    <n v="0"/>
    <n v="0"/>
    <n v="26678.094635152"/>
  </r>
  <r>
    <x v="103"/>
    <x v="3"/>
    <x v="212"/>
    <x v="0"/>
    <x v="4"/>
    <x v="981"/>
    <x v="32"/>
    <s v="CARİ"/>
    <n v="5"/>
    <n v="350"/>
    <n v="0"/>
    <n v="1750"/>
    <m/>
    <m/>
    <m/>
    <m/>
    <n v="0"/>
    <n v="0"/>
    <n v="26678.094635152"/>
  </r>
  <r>
    <x v="103"/>
    <x v="3"/>
    <x v="285"/>
    <x v="0"/>
    <x v="4"/>
    <x v="981"/>
    <x v="32"/>
    <s v="CARİ"/>
    <n v="3"/>
    <n v="160"/>
    <n v="0"/>
    <n v="480"/>
    <m/>
    <m/>
    <m/>
    <m/>
    <n v="0"/>
    <n v="0"/>
    <n v="26678.094635152"/>
  </r>
  <r>
    <x v="103"/>
    <x v="4"/>
    <x v="22"/>
    <x v="0"/>
    <x v="5"/>
    <x v="982"/>
    <x v="25"/>
    <s v="POS"/>
    <n v="0.06"/>
    <n v="400"/>
    <n v="24"/>
    <n v="0"/>
    <m/>
    <m/>
    <m/>
    <m/>
    <n v="0"/>
    <n v="0"/>
    <n v="26678.094635152"/>
  </r>
  <r>
    <x v="103"/>
    <x v="4"/>
    <x v="28"/>
    <x v="0"/>
    <x v="5"/>
    <x v="982"/>
    <x v="25"/>
    <s v="POS"/>
    <n v="0.15"/>
    <n v="500"/>
    <n v="75"/>
    <n v="0"/>
    <m/>
    <m/>
    <m/>
    <m/>
    <n v="0"/>
    <n v="0"/>
    <n v="26678.094635152"/>
  </r>
  <r>
    <x v="103"/>
    <x v="4"/>
    <x v="88"/>
    <x v="0"/>
    <x v="5"/>
    <x v="982"/>
    <x v="25"/>
    <s v="POS"/>
    <n v="0.05"/>
    <n v="1200"/>
    <n v="60"/>
    <n v="0"/>
    <m/>
    <m/>
    <m/>
    <m/>
    <n v="0"/>
    <n v="0"/>
    <n v="26678.094635152"/>
  </r>
  <r>
    <x v="103"/>
    <x v="4"/>
    <x v="283"/>
    <x v="0"/>
    <x v="5"/>
    <x v="982"/>
    <x v="25"/>
    <s v="POS"/>
    <n v="1"/>
    <n v="225"/>
    <n v="225"/>
    <n v="0"/>
    <m/>
    <m/>
    <m/>
    <m/>
    <n v="0"/>
    <n v="0"/>
    <n v="26678.094635152"/>
  </r>
  <r>
    <x v="103"/>
    <x v="4"/>
    <x v="308"/>
    <x v="0"/>
    <x v="5"/>
    <x v="983"/>
    <x v="25"/>
    <s v="POS"/>
    <n v="1"/>
    <n v="190"/>
    <n v="190"/>
    <n v="0"/>
    <m/>
    <m/>
    <m/>
    <m/>
    <n v="0"/>
    <n v="0"/>
    <n v="26678.094635152"/>
  </r>
  <r>
    <x v="103"/>
    <x v="4"/>
    <x v="18"/>
    <x v="0"/>
    <x v="1"/>
    <x v="984"/>
    <x v="25"/>
    <s v="NAKİT"/>
    <n v="0.5"/>
    <n v="250"/>
    <n v="0"/>
    <n v="0"/>
    <m/>
    <m/>
    <m/>
    <m/>
    <n v="125"/>
    <n v="0"/>
    <n v="26803.094635152"/>
  </r>
  <r>
    <x v="103"/>
    <x v="4"/>
    <x v="58"/>
    <x v="0"/>
    <x v="1"/>
    <x v="984"/>
    <x v="25"/>
    <s v="NAKİT"/>
    <n v="0.5"/>
    <n v="230"/>
    <n v="0"/>
    <n v="0"/>
    <m/>
    <m/>
    <m/>
    <m/>
    <n v="115"/>
    <n v="0"/>
    <n v="26918.094635152"/>
  </r>
  <r>
    <x v="103"/>
    <x v="4"/>
    <x v="21"/>
    <x v="0"/>
    <x v="1"/>
    <x v="984"/>
    <x v="25"/>
    <s v="NAKİT"/>
    <n v="0.24"/>
    <n v="250"/>
    <n v="0"/>
    <n v="0"/>
    <m/>
    <m/>
    <m/>
    <m/>
    <n v="60"/>
    <n v="0"/>
    <n v="26978.094635152"/>
  </r>
  <r>
    <x v="103"/>
    <x v="4"/>
    <x v="312"/>
    <x v="0"/>
    <x v="5"/>
    <x v="985"/>
    <x v="25"/>
    <s v="POS"/>
    <n v="0.5"/>
    <n v="300"/>
    <n v="150"/>
    <n v="0"/>
    <m/>
    <m/>
    <m/>
    <m/>
    <n v="0"/>
    <n v="0"/>
    <n v="26978.094635152"/>
  </r>
  <r>
    <x v="103"/>
    <x v="4"/>
    <x v="241"/>
    <x v="0"/>
    <x v="1"/>
    <x v="986"/>
    <x v="25"/>
    <s v="NAKİT"/>
    <n v="0.5"/>
    <n v="60"/>
    <n v="0"/>
    <n v="0"/>
    <m/>
    <m/>
    <m/>
    <m/>
    <n v="30"/>
    <n v="0"/>
    <n v="27008.094635152"/>
  </r>
  <r>
    <x v="103"/>
    <x v="4"/>
    <x v="141"/>
    <x v="0"/>
    <x v="1"/>
    <x v="987"/>
    <x v="25"/>
    <s v="NAKİT"/>
    <n v="1"/>
    <n v="130"/>
    <n v="0"/>
    <n v="0"/>
    <m/>
    <m/>
    <m/>
    <m/>
    <n v="130"/>
    <n v="0"/>
    <n v="27138.094635152"/>
  </r>
  <r>
    <x v="103"/>
    <x v="4"/>
    <x v="103"/>
    <x v="0"/>
    <x v="5"/>
    <x v="988"/>
    <x v="25"/>
    <s v="POS"/>
    <n v="1"/>
    <n v="260"/>
    <n v="260"/>
    <n v="0"/>
    <m/>
    <m/>
    <m/>
    <m/>
    <n v="0"/>
    <n v="0"/>
    <n v="27138.094635152"/>
  </r>
  <r>
    <x v="103"/>
    <x v="4"/>
    <x v="161"/>
    <x v="0"/>
    <x v="1"/>
    <x v="989"/>
    <x v="35"/>
    <s v="NAKİT"/>
    <n v="0.71499999999999997"/>
    <n v="280"/>
    <n v="0"/>
    <n v="0"/>
    <m/>
    <m/>
    <m/>
    <m/>
    <n v="200.2"/>
    <n v="0"/>
    <n v="27338.294635152"/>
  </r>
  <r>
    <x v="103"/>
    <x v="4"/>
    <x v="27"/>
    <x v="0"/>
    <x v="5"/>
    <x v="990"/>
    <x v="25"/>
    <s v="POS"/>
    <n v="8.7999999999999995E-2"/>
    <n v="400"/>
    <n v="35.199999999999996"/>
    <n v="0"/>
    <m/>
    <m/>
    <m/>
    <m/>
    <n v="0"/>
    <n v="0"/>
    <n v="27338.294635152"/>
  </r>
  <r>
    <x v="103"/>
    <x v="4"/>
    <x v="24"/>
    <x v="0"/>
    <x v="5"/>
    <x v="990"/>
    <x v="25"/>
    <s v="POS"/>
    <n v="9.6000000000000002E-2"/>
    <n v="610"/>
    <n v="58.56"/>
    <n v="0"/>
    <m/>
    <m/>
    <m/>
    <m/>
    <n v="0"/>
    <n v="0"/>
    <n v="27338.294635152"/>
  </r>
  <r>
    <x v="103"/>
    <x v="4"/>
    <x v="23"/>
    <x v="0"/>
    <x v="5"/>
    <x v="990"/>
    <x v="25"/>
    <s v="POS"/>
    <n v="0.11"/>
    <n v="300"/>
    <n v="33"/>
    <n v="0"/>
    <m/>
    <m/>
    <m/>
    <m/>
    <n v="0"/>
    <n v="0"/>
    <n v="27338.294635152"/>
  </r>
  <r>
    <x v="103"/>
    <x v="4"/>
    <x v="59"/>
    <x v="0"/>
    <x v="5"/>
    <x v="990"/>
    <x v="25"/>
    <s v="POS"/>
    <n v="0.15"/>
    <n v="420"/>
    <n v="63"/>
    <n v="0"/>
    <m/>
    <m/>
    <m/>
    <m/>
    <n v="0"/>
    <n v="0"/>
    <n v="27338.294635152"/>
  </r>
  <r>
    <x v="103"/>
    <x v="4"/>
    <x v="29"/>
    <x v="0"/>
    <x v="5"/>
    <x v="990"/>
    <x v="25"/>
    <s v="POS"/>
    <n v="0.04"/>
    <n v="760"/>
    <n v="30.400000000000002"/>
    <n v="0"/>
    <m/>
    <m/>
    <m/>
    <m/>
    <n v="0"/>
    <n v="0"/>
    <n v="27338.294635152"/>
  </r>
  <r>
    <x v="103"/>
    <x v="4"/>
    <x v="36"/>
    <x v="0"/>
    <x v="5"/>
    <x v="990"/>
    <x v="25"/>
    <s v="POS"/>
    <n v="0.25"/>
    <n v="180"/>
    <n v="45"/>
    <n v="0"/>
    <m/>
    <m/>
    <m/>
    <m/>
    <n v="0"/>
    <n v="0"/>
    <n v="27338.294635152"/>
  </r>
  <r>
    <x v="103"/>
    <x v="4"/>
    <x v="265"/>
    <x v="0"/>
    <x v="5"/>
    <x v="990"/>
    <x v="25"/>
    <s v="POS"/>
    <n v="1"/>
    <n v="130"/>
    <n v="130"/>
    <n v="0"/>
    <m/>
    <m/>
    <m/>
    <m/>
    <n v="0"/>
    <n v="0"/>
    <n v="27338.294635152"/>
  </r>
  <r>
    <x v="103"/>
    <x v="4"/>
    <x v="354"/>
    <x v="0"/>
    <x v="5"/>
    <x v="990"/>
    <x v="25"/>
    <s v="POS"/>
    <n v="0.1"/>
    <n v="800"/>
    <n v="80"/>
    <n v="0"/>
    <m/>
    <m/>
    <m/>
    <m/>
    <n v="0"/>
    <n v="0"/>
    <n v="27338.294635152"/>
  </r>
  <r>
    <x v="103"/>
    <x v="4"/>
    <x v="60"/>
    <x v="0"/>
    <x v="5"/>
    <x v="990"/>
    <x v="25"/>
    <s v="POS"/>
    <n v="0.1"/>
    <n v="250"/>
    <n v="25"/>
    <n v="0"/>
    <m/>
    <m/>
    <m/>
    <m/>
    <n v="0"/>
    <n v="0"/>
    <n v="27338.294635152"/>
  </r>
  <r>
    <x v="103"/>
    <x v="7"/>
    <x v="0"/>
    <x v="0"/>
    <x v="3"/>
    <x v="2"/>
    <x v="77"/>
    <s v="NAKİT"/>
    <n v="1"/>
    <n v="0"/>
    <n v="20000"/>
    <n v="0"/>
    <m/>
    <m/>
    <m/>
    <m/>
    <n v="0"/>
    <n v="20000"/>
    <n v="7338.2946351520004"/>
  </r>
  <r>
    <x v="103"/>
    <x v="10"/>
    <x v="0"/>
    <x v="0"/>
    <x v="5"/>
    <x v="2"/>
    <x v="63"/>
    <s v="POS"/>
    <n v="1"/>
    <n v="641"/>
    <n v="0"/>
    <n v="641"/>
    <m/>
    <m/>
    <m/>
    <m/>
    <n v="641"/>
    <n v="0"/>
    <n v="7979.2946351520004"/>
  </r>
  <r>
    <x v="104"/>
    <x v="4"/>
    <x v="28"/>
    <x v="0"/>
    <x v="1"/>
    <x v="991"/>
    <x v="25"/>
    <s v="NAKİT"/>
    <n v="0.06"/>
    <n v="500"/>
    <n v="0"/>
    <n v="0"/>
    <m/>
    <m/>
    <m/>
    <m/>
    <n v="30"/>
    <n v="0"/>
    <n v="8009.2946351520004"/>
  </r>
  <r>
    <x v="104"/>
    <x v="4"/>
    <x v="59"/>
    <x v="0"/>
    <x v="1"/>
    <x v="991"/>
    <x v="25"/>
    <s v="NAKİT"/>
    <n v="0.11904761904761904"/>
    <n v="420"/>
    <n v="0"/>
    <n v="0"/>
    <m/>
    <m/>
    <m/>
    <m/>
    <n v="50"/>
    <n v="0"/>
    <n v="8059.2946351520004"/>
  </r>
  <r>
    <x v="104"/>
    <x v="4"/>
    <x v="286"/>
    <x v="0"/>
    <x v="1"/>
    <x v="991"/>
    <x v="25"/>
    <s v="NAKİT"/>
    <n v="0.46153846153846156"/>
    <n v="65"/>
    <n v="0"/>
    <n v="0"/>
    <m/>
    <m/>
    <m/>
    <m/>
    <n v="30"/>
    <n v="0"/>
    <n v="8089.2946351520004"/>
  </r>
  <r>
    <x v="104"/>
    <x v="4"/>
    <x v="188"/>
    <x v="0"/>
    <x v="5"/>
    <x v="992"/>
    <x v="25"/>
    <s v="POS"/>
    <n v="1"/>
    <n v="220"/>
    <n v="220"/>
    <n v="0"/>
    <m/>
    <m/>
    <m/>
    <m/>
    <n v="0"/>
    <n v="0"/>
    <n v="8089.2946351520004"/>
  </r>
  <r>
    <x v="104"/>
    <x v="4"/>
    <x v="18"/>
    <x v="0"/>
    <x v="5"/>
    <x v="992"/>
    <x v="25"/>
    <s v="POS"/>
    <n v="1"/>
    <n v="250"/>
    <n v="250"/>
    <n v="0"/>
    <m/>
    <m/>
    <m/>
    <m/>
    <n v="0"/>
    <n v="0"/>
    <n v="8089.2946351520004"/>
  </r>
  <r>
    <x v="104"/>
    <x v="4"/>
    <x v="58"/>
    <x v="0"/>
    <x v="5"/>
    <x v="992"/>
    <x v="25"/>
    <s v="POS"/>
    <n v="1"/>
    <n v="230"/>
    <n v="230"/>
    <n v="0"/>
    <m/>
    <m/>
    <m/>
    <m/>
    <n v="0"/>
    <n v="0"/>
    <n v="8089.2946351520004"/>
  </r>
  <r>
    <x v="104"/>
    <x v="4"/>
    <x v="44"/>
    <x v="0"/>
    <x v="1"/>
    <x v="993"/>
    <x v="25"/>
    <s v="NAKİT"/>
    <n v="1"/>
    <n v="65"/>
    <n v="0"/>
    <n v="0"/>
    <m/>
    <m/>
    <m/>
    <m/>
    <n v="65"/>
    <n v="0"/>
    <n v="8154.2946351520004"/>
  </r>
  <r>
    <x v="104"/>
    <x v="4"/>
    <x v="47"/>
    <x v="0"/>
    <x v="1"/>
    <x v="994"/>
    <x v="25"/>
    <s v="NAKİT"/>
    <n v="3.7499999999999999E-2"/>
    <n v="400"/>
    <n v="0"/>
    <n v="0"/>
    <m/>
    <m/>
    <m/>
    <m/>
    <n v="15"/>
    <n v="0"/>
    <n v="8169.2946351520004"/>
  </r>
  <r>
    <x v="104"/>
    <x v="4"/>
    <x v="199"/>
    <x v="0"/>
    <x v="1"/>
    <x v="995"/>
    <x v="25"/>
    <s v="NAKİT"/>
    <n v="1"/>
    <n v="150"/>
    <n v="0"/>
    <n v="0"/>
    <m/>
    <m/>
    <m/>
    <m/>
    <n v="150"/>
    <n v="0"/>
    <n v="8319.2946351520004"/>
  </r>
  <r>
    <x v="104"/>
    <x v="4"/>
    <x v="24"/>
    <x v="0"/>
    <x v="5"/>
    <x v="996"/>
    <x v="35"/>
    <s v="POS"/>
    <n v="0.5"/>
    <n v="500"/>
    <n v="250"/>
    <n v="0"/>
    <m/>
    <m/>
    <m/>
    <m/>
    <n v="0"/>
    <n v="0"/>
    <n v="8319.2946351520004"/>
  </r>
  <r>
    <x v="104"/>
    <x v="4"/>
    <x v="58"/>
    <x v="0"/>
    <x v="1"/>
    <x v="997"/>
    <x v="25"/>
    <s v="NAKİT"/>
    <n v="0.5"/>
    <n v="230"/>
    <n v="0"/>
    <n v="0"/>
    <m/>
    <m/>
    <m/>
    <m/>
    <n v="115"/>
    <n v="0"/>
    <n v="8434.2946351520004"/>
  </r>
  <r>
    <x v="104"/>
    <x v="4"/>
    <x v="19"/>
    <x v="0"/>
    <x v="1"/>
    <x v="997"/>
    <x v="25"/>
    <s v="NAKİT"/>
    <n v="0.5"/>
    <n v="230"/>
    <n v="0"/>
    <n v="0"/>
    <m/>
    <m/>
    <m/>
    <m/>
    <n v="115"/>
    <n v="0"/>
    <n v="8549.2946351520004"/>
  </r>
  <r>
    <x v="104"/>
    <x v="4"/>
    <x v="67"/>
    <x v="0"/>
    <x v="5"/>
    <x v="998"/>
    <x v="25"/>
    <s v="POS"/>
    <n v="0.1"/>
    <n v="1400"/>
    <n v="140"/>
    <n v="0"/>
    <m/>
    <m/>
    <m/>
    <m/>
    <n v="0"/>
    <n v="0"/>
    <n v="8549.2946351520004"/>
  </r>
  <r>
    <x v="104"/>
    <x v="4"/>
    <x v="263"/>
    <x v="0"/>
    <x v="5"/>
    <x v="998"/>
    <x v="25"/>
    <s v="POS"/>
    <n v="1"/>
    <n v="145"/>
    <n v="145"/>
    <n v="0"/>
    <m/>
    <m/>
    <m/>
    <m/>
    <n v="0"/>
    <n v="0"/>
    <n v="8549.2946351520004"/>
  </r>
  <r>
    <x v="104"/>
    <x v="4"/>
    <x v="204"/>
    <x v="0"/>
    <x v="1"/>
    <x v="999"/>
    <x v="25"/>
    <s v="NAKİT"/>
    <n v="6.25E-2"/>
    <n v="800"/>
    <n v="0"/>
    <n v="0"/>
    <m/>
    <m/>
    <m/>
    <m/>
    <n v="50"/>
    <n v="0"/>
    <n v="8599.2946351520004"/>
  </r>
  <r>
    <x v="104"/>
    <x v="4"/>
    <x v="22"/>
    <x v="0"/>
    <x v="1"/>
    <x v="999"/>
    <x v="25"/>
    <s v="NAKİT"/>
    <n v="0.125"/>
    <n v="400"/>
    <n v="0"/>
    <n v="0"/>
    <m/>
    <m/>
    <m/>
    <m/>
    <n v="50"/>
    <n v="0"/>
    <n v="8649.2946351520004"/>
  </r>
  <r>
    <x v="104"/>
    <x v="4"/>
    <x v="24"/>
    <x v="0"/>
    <x v="1"/>
    <x v="999"/>
    <x v="25"/>
    <s v="NAKİT"/>
    <n v="0.11562500000000001"/>
    <n v="640"/>
    <n v="0"/>
    <n v="0"/>
    <m/>
    <m/>
    <m/>
    <m/>
    <n v="74"/>
    <n v="0"/>
    <n v="8723.2946351520004"/>
  </r>
  <r>
    <x v="104"/>
    <x v="4"/>
    <x v="31"/>
    <x v="0"/>
    <x v="1"/>
    <x v="1000"/>
    <x v="25"/>
    <s v="NAKİT"/>
    <n v="0.26315789473684209"/>
    <n v="380"/>
    <n v="0"/>
    <n v="0"/>
    <m/>
    <m/>
    <m/>
    <m/>
    <n v="100"/>
    <n v="0"/>
    <n v="8823.2946351520004"/>
  </r>
  <r>
    <x v="104"/>
    <x v="4"/>
    <x v="31"/>
    <x v="0"/>
    <x v="5"/>
    <x v="1001"/>
    <x v="25"/>
    <s v="POS"/>
    <n v="0.48"/>
    <n v="380"/>
    <n v="182.4"/>
    <n v="0"/>
    <m/>
    <m/>
    <m/>
    <m/>
    <n v="0"/>
    <n v="0"/>
    <n v="8823.2946351520004"/>
  </r>
  <r>
    <x v="104"/>
    <x v="4"/>
    <x v="53"/>
    <x v="0"/>
    <x v="5"/>
    <x v="1001"/>
    <x v="25"/>
    <s v="POS"/>
    <n v="0.47199999999999998"/>
    <n v="350"/>
    <n v="165.2"/>
    <n v="0"/>
    <m/>
    <m/>
    <m/>
    <m/>
    <n v="0"/>
    <n v="0"/>
    <n v="8823.2946351520004"/>
  </r>
  <r>
    <x v="104"/>
    <x v="4"/>
    <x v="40"/>
    <x v="0"/>
    <x v="5"/>
    <x v="1001"/>
    <x v="25"/>
    <s v="POS"/>
    <n v="0.23599999999999999"/>
    <n v="140"/>
    <n v="33.04"/>
    <n v="0"/>
    <m/>
    <m/>
    <m/>
    <m/>
    <n v="0"/>
    <n v="0"/>
    <n v="8823.2946351520004"/>
  </r>
  <r>
    <x v="104"/>
    <x v="4"/>
    <x v="25"/>
    <x v="0"/>
    <x v="5"/>
    <x v="1001"/>
    <x v="25"/>
    <s v="POS"/>
    <n v="0.128"/>
    <n v="390"/>
    <n v="49.92"/>
    <n v="0"/>
    <m/>
    <m/>
    <m/>
    <m/>
    <n v="0"/>
    <n v="0"/>
    <n v="8823.2946351520004"/>
  </r>
  <r>
    <x v="104"/>
    <x v="4"/>
    <x v="36"/>
    <x v="0"/>
    <x v="5"/>
    <x v="1001"/>
    <x v="25"/>
    <s v="POS"/>
    <n v="0.25"/>
    <n v="180"/>
    <n v="45"/>
    <n v="0"/>
    <m/>
    <m/>
    <m/>
    <m/>
    <n v="0"/>
    <n v="0"/>
    <n v="8823.2946351520004"/>
  </r>
  <r>
    <x v="104"/>
    <x v="4"/>
    <x v="197"/>
    <x v="0"/>
    <x v="5"/>
    <x v="1001"/>
    <x v="25"/>
    <s v="POS"/>
    <n v="0.5"/>
    <n v="200"/>
    <n v="100"/>
    <n v="0"/>
    <m/>
    <m/>
    <m/>
    <m/>
    <n v="0"/>
    <n v="0"/>
    <n v="8823.2946351520004"/>
  </r>
  <r>
    <x v="104"/>
    <x v="4"/>
    <x v="198"/>
    <x v="0"/>
    <x v="5"/>
    <x v="1001"/>
    <x v="25"/>
    <s v="POS"/>
    <n v="0.5"/>
    <n v="200"/>
    <n v="100"/>
    <n v="0"/>
    <m/>
    <m/>
    <m/>
    <m/>
    <n v="0"/>
    <n v="0"/>
    <n v="8823.2946351520004"/>
  </r>
  <r>
    <x v="104"/>
    <x v="4"/>
    <x v="24"/>
    <x v="0"/>
    <x v="5"/>
    <x v="1001"/>
    <x v="25"/>
    <s v="POS"/>
    <n v="0.13200000000000001"/>
    <n v="640"/>
    <n v="84.48"/>
    <n v="0"/>
    <m/>
    <m/>
    <m/>
    <m/>
    <n v="0"/>
    <n v="0"/>
    <n v="8823.2946351520004"/>
  </r>
  <r>
    <x v="104"/>
    <x v="4"/>
    <x v="345"/>
    <x v="0"/>
    <x v="1"/>
    <x v="1002"/>
    <x v="25"/>
    <s v="NAKİT"/>
    <n v="0.33400000000000002"/>
    <n v="400"/>
    <n v="0"/>
    <n v="0"/>
    <m/>
    <m/>
    <m/>
    <m/>
    <n v="133.6"/>
    <n v="0"/>
    <n v="8956.8946351520008"/>
  </r>
  <r>
    <x v="104"/>
    <x v="4"/>
    <x v="18"/>
    <x v="0"/>
    <x v="1"/>
    <x v="1002"/>
    <x v="25"/>
    <s v="NAKİT"/>
    <n v="0.5"/>
    <n v="250"/>
    <n v="0"/>
    <n v="0"/>
    <m/>
    <m/>
    <m/>
    <m/>
    <n v="125"/>
    <n v="0"/>
    <n v="9081.8946351520008"/>
  </r>
  <r>
    <x v="104"/>
    <x v="4"/>
    <x v="58"/>
    <x v="0"/>
    <x v="1"/>
    <x v="1002"/>
    <x v="25"/>
    <s v="NAKİT"/>
    <n v="0.5"/>
    <n v="230"/>
    <n v="0"/>
    <n v="0"/>
    <m/>
    <m/>
    <m/>
    <m/>
    <n v="115"/>
    <n v="0"/>
    <n v="9196.8946351520008"/>
  </r>
  <r>
    <x v="104"/>
    <x v="4"/>
    <x v="21"/>
    <x v="0"/>
    <x v="1"/>
    <x v="1002"/>
    <x v="25"/>
    <s v="NAKİT"/>
    <n v="0.5"/>
    <n v="250"/>
    <n v="0"/>
    <n v="0"/>
    <m/>
    <m/>
    <m/>
    <m/>
    <n v="125"/>
    <n v="0"/>
    <n v="9321.8946351520008"/>
  </r>
  <r>
    <x v="104"/>
    <x v="4"/>
    <x v="347"/>
    <x v="0"/>
    <x v="1"/>
    <x v="1002"/>
    <x v="25"/>
    <s v="NAKİT"/>
    <n v="0.33400000000000002"/>
    <n v="570"/>
    <n v="0"/>
    <n v="0"/>
    <m/>
    <m/>
    <m/>
    <m/>
    <n v="190.38000000000002"/>
    <n v="0"/>
    <n v="9512.274635152"/>
  </r>
  <r>
    <x v="104"/>
    <x v="4"/>
    <x v="360"/>
    <x v="0"/>
    <x v="1"/>
    <x v="1003"/>
    <x v="25"/>
    <s v="NAKİT"/>
    <n v="0.5"/>
    <n v="500"/>
    <n v="0"/>
    <n v="0"/>
    <m/>
    <m/>
    <m/>
    <m/>
    <n v="250"/>
    <n v="0"/>
    <n v="9762.274635152"/>
  </r>
  <r>
    <x v="104"/>
    <x v="4"/>
    <x v="70"/>
    <x v="0"/>
    <x v="1"/>
    <x v="1004"/>
    <x v="25"/>
    <s v="NAKİT"/>
    <n v="0.26200000000000001"/>
    <n v="230"/>
    <n v="0"/>
    <n v="0"/>
    <m/>
    <m/>
    <m/>
    <m/>
    <n v="60.260000000000005"/>
    <n v="0"/>
    <n v="9822.5346351520002"/>
  </r>
  <r>
    <x v="104"/>
    <x v="4"/>
    <x v="206"/>
    <x v="0"/>
    <x v="1"/>
    <x v="1005"/>
    <x v="25"/>
    <s v="NAKİT"/>
    <n v="1"/>
    <n v="350"/>
    <n v="0"/>
    <n v="0"/>
    <m/>
    <m/>
    <m/>
    <m/>
    <n v="350"/>
    <n v="0"/>
    <n v="10172.534635152"/>
  </r>
  <r>
    <x v="104"/>
    <x v="4"/>
    <x v="18"/>
    <x v="0"/>
    <x v="1"/>
    <x v="1005"/>
    <x v="25"/>
    <s v="NAKİT"/>
    <n v="0.5"/>
    <n v="250"/>
    <n v="0"/>
    <n v="0"/>
    <m/>
    <m/>
    <m/>
    <m/>
    <n v="125"/>
    <n v="0"/>
    <n v="10297.534635152"/>
  </r>
  <r>
    <x v="104"/>
    <x v="4"/>
    <x v="58"/>
    <x v="0"/>
    <x v="1"/>
    <x v="1005"/>
    <x v="25"/>
    <s v="NAKİT"/>
    <n v="0.5"/>
    <n v="230"/>
    <n v="0"/>
    <n v="0"/>
    <m/>
    <m/>
    <m/>
    <m/>
    <n v="115"/>
    <n v="0"/>
    <n v="10412.534635152"/>
  </r>
  <r>
    <x v="104"/>
    <x v="10"/>
    <x v="0"/>
    <x v="0"/>
    <x v="5"/>
    <x v="2"/>
    <x v="63"/>
    <s v="POS"/>
    <n v="1"/>
    <n v="3053"/>
    <n v="0"/>
    <n v="3053"/>
    <m/>
    <m/>
    <m/>
    <m/>
    <n v="3053"/>
    <n v="0"/>
    <n v="13465.534635152"/>
  </r>
  <r>
    <x v="104"/>
    <x v="10"/>
    <x v="0"/>
    <x v="0"/>
    <x v="5"/>
    <x v="2"/>
    <x v="63"/>
    <s v="POS"/>
    <n v="1"/>
    <n v="950"/>
    <n v="0"/>
    <n v="950"/>
    <m/>
    <m/>
    <m/>
    <m/>
    <n v="950"/>
    <n v="0"/>
    <n v="14415.534635152"/>
  </r>
  <r>
    <x v="105"/>
    <x v="4"/>
    <x v="315"/>
    <x v="0"/>
    <x v="1"/>
    <x v="1006"/>
    <x v="25"/>
    <s v="NAKİT"/>
    <n v="1"/>
    <n v="195"/>
    <n v="0"/>
    <n v="0"/>
    <m/>
    <m/>
    <m/>
    <m/>
    <n v="195"/>
    <n v="0"/>
    <n v="14610.534635152"/>
  </r>
  <r>
    <x v="105"/>
    <x v="4"/>
    <x v="88"/>
    <x v="0"/>
    <x v="1"/>
    <x v="1007"/>
    <x v="25"/>
    <s v="NAKİT"/>
    <n v="0.05"/>
    <n v="1200"/>
    <n v="0"/>
    <n v="0"/>
    <m/>
    <m/>
    <m/>
    <m/>
    <n v="60"/>
    <n v="0"/>
    <n v="14670.534635152"/>
  </r>
  <r>
    <x v="105"/>
    <x v="4"/>
    <x v="233"/>
    <x v="0"/>
    <x v="5"/>
    <x v="1008"/>
    <x v="25"/>
    <s v="POS"/>
    <n v="1"/>
    <n v="400"/>
    <n v="400"/>
    <n v="0"/>
    <m/>
    <m/>
    <m/>
    <m/>
    <n v="0"/>
    <n v="0"/>
    <n v="14670.534635152"/>
  </r>
  <r>
    <x v="105"/>
    <x v="4"/>
    <x v="347"/>
    <x v="0"/>
    <x v="5"/>
    <x v="1009"/>
    <x v="25"/>
    <s v="POS"/>
    <n v="1"/>
    <n v="570"/>
    <n v="570"/>
    <n v="0"/>
    <m/>
    <m/>
    <m/>
    <m/>
    <n v="0"/>
    <n v="0"/>
    <n v="14670.534635152"/>
  </r>
  <r>
    <x v="105"/>
    <x v="4"/>
    <x v="83"/>
    <x v="0"/>
    <x v="5"/>
    <x v="1009"/>
    <x v="25"/>
    <s v="POS"/>
    <n v="0.05"/>
    <n v="2600"/>
    <n v="130"/>
    <n v="0"/>
    <m/>
    <m/>
    <m/>
    <m/>
    <n v="0"/>
    <n v="0"/>
    <n v="14670.534635152"/>
  </r>
  <r>
    <x v="105"/>
    <x v="4"/>
    <x v="112"/>
    <x v="0"/>
    <x v="5"/>
    <x v="1009"/>
    <x v="25"/>
    <s v="POS"/>
    <n v="0.04"/>
    <n v="2250"/>
    <n v="90"/>
    <n v="0"/>
    <m/>
    <m/>
    <m/>
    <m/>
    <n v="0"/>
    <n v="0"/>
    <n v="14670.534635152"/>
  </r>
  <r>
    <x v="105"/>
    <x v="4"/>
    <x v="124"/>
    <x v="0"/>
    <x v="5"/>
    <x v="1010"/>
    <x v="25"/>
    <s v="POS"/>
    <n v="0.1"/>
    <n v="900"/>
    <n v="90"/>
    <n v="0"/>
    <m/>
    <m/>
    <m/>
    <m/>
    <n v="0"/>
    <n v="0"/>
    <n v="14670.534635152"/>
  </r>
  <r>
    <x v="105"/>
    <x v="1"/>
    <x v="0"/>
    <x v="12"/>
    <x v="1"/>
    <x v="2"/>
    <x v="67"/>
    <s v="NAKİT"/>
    <n v="1"/>
    <n v="1500"/>
    <n v="0"/>
    <n v="0"/>
    <m/>
    <m/>
    <m/>
    <m/>
    <n v="0"/>
    <n v="1500"/>
    <n v="13170.534635152"/>
  </r>
  <r>
    <x v="105"/>
    <x v="7"/>
    <x v="0"/>
    <x v="0"/>
    <x v="4"/>
    <x v="2"/>
    <x v="39"/>
    <s v="NAKİT"/>
    <n v="1"/>
    <n v="0"/>
    <n v="10000"/>
    <n v="0"/>
    <m/>
    <m/>
    <m/>
    <m/>
    <n v="0"/>
    <n v="10000"/>
    <n v="3170.5346351520002"/>
  </r>
  <r>
    <x v="105"/>
    <x v="10"/>
    <x v="0"/>
    <x v="0"/>
    <x v="5"/>
    <x v="2"/>
    <x v="63"/>
    <s v="POS"/>
    <n v="1"/>
    <n v="1585"/>
    <n v="0"/>
    <n v="1585"/>
    <n v="950"/>
    <m/>
    <m/>
    <m/>
    <n v="1585"/>
    <n v="0"/>
    <n v="4755.5346351520002"/>
  </r>
  <r>
    <x v="106"/>
    <x v="4"/>
    <x v="150"/>
    <x v="0"/>
    <x v="1"/>
    <x v="1011"/>
    <x v="25"/>
    <s v="NAKİT"/>
    <n v="1"/>
    <n v="250"/>
    <n v="0"/>
    <n v="0"/>
    <m/>
    <m/>
    <m/>
    <m/>
    <n v="250"/>
    <n v="0"/>
    <n v="5005.5346351520002"/>
  </r>
  <r>
    <x v="106"/>
    <x v="4"/>
    <x v="199"/>
    <x v="0"/>
    <x v="1"/>
    <x v="1011"/>
    <x v="25"/>
    <s v="NAKİT"/>
    <n v="2"/>
    <n v="150"/>
    <n v="0"/>
    <n v="0"/>
    <m/>
    <m/>
    <m/>
    <m/>
    <n v="300"/>
    <n v="0"/>
    <n v="5305.5346351520002"/>
  </r>
  <r>
    <x v="106"/>
    <x v="4"/>
    <x v="198"/>
    <x v="0"/>
    <x v="1"/>
    <x v="1011"/>
    <x v="25"/>
    <s v="NAKİT"/>
    <n v="1"/>
    <n v="200"/>
    <n v="0"/>
    <n v="0"/>
    <m/>
    <m/>
    <m/>
    <m/>
    <n v="200"/>
    <n v="0"/>
    <n v="5505.5346351520002"/>
  </r>
  <r>
    <x v="106"/>
    <x v="4"/>
    <x v="50"/>
    <x v="0"/>
    <x v="1"/>
    <x v="1012"/>
    <x v="25"/>
    <s v="NAKİT"/>
    <n v="0.1"/>
    <n v="650"/>
    <n v="0"/>
    <n v="0"/>
    <m/>
    <m/>
    <m/>
    <m/>
    <n v="65"/>
    <n v="0"/>
    <n v="5570.5346351520002"/>
  </r>
  <r>
    <x v="106"/>
    <x v="4"/>
    <x v="30"/>
    <x v="0"/>
    <x v="5"/>
    <x v="1013"/>
    <x v="25"/>
    <s v="POS"/>
    <n v="0.2"/>
    <n v="500"/>
    <n v="100"/>
    <n v="0"/>
    <m/>
    <m/>
    <m/>
    <m/>
    <n v="0"/>
    <n v="0"/>
    <n v="5570.5346351520002"/>
  </r>
  <r>
    <x v="106"/>
    <x v="4"/>
    <x v="198"/>
    <x v="0"/>
    <x v="5"/>
    <x v="1013"/>
    <x v="25"/>
    <s v="POS"/>
    <n v="0.5"/>
    <n v="200"/>
    <n v="100"/>
    <n v="0"/>
    <m/>
    <m/>
    <m/>
    <m/>
    <n v="0"/>
    <n v="0"/>
    <n v="5570.5346351520002"/>
  </r>
  <r>
    <x v="106"/>
    <x v="4"/>
    <x v="30"/>
    <x v="0"/>
    <x v="5"/>
    <x v="1014"/>
    <x v="25"/>
    <s v="POS"/>
    <n v="0.2"/>
    <n v="500"/>
    <n v="100"/>
    <n v="0"/>
    <m/>
    <m/>
    <m/>
    <m/>
    <n v="0"/>
    <n v="0"/>
    <n v="5570.5346351520002"/>
  </r>
  <r>
    <x v="106"/>
    <x v="4"/>
    <x v="237"/>
    <x v="0"/>
    <x v="5"/>
    <x v="1014"/>
    <x v="25"/>
    <s v="POS"/>
    <n v="1"/>
    <n v="170"/>
    <n v="170"/>
    <n v="0"/>
    <m/>
    <m/>
    <m/>
    <m/>
    <n v="0"/>
    <n v="0"/>
    <n v="5570.5346351520002"/>
  </r>
  <r>
    <x v="106"/>
    <x v="4"/>
    <x v="198"/>
    <x v="0"/>
    <x v="5"/>
    <x v="1015"/>
    <x v="25"/>
    <s v="POS"/>
    <n v="0.5"/>
    <n v="200"/>
    <n v="100"/>
    <n v="0"/>
    <m/>
    <m/>
    <m/>
    <m/>
    <n v="0"/>
    <n v="0"/>
    <n v="5570.5346351520002"/>
  </r>
  <r>
    <x v="106"/>
    <x v="4"/>
    <x v="197"/>
    <x v="0"/>
    <x v="5"/>
    <x v="1015"/>
    <x v="25"/>
    <s v="POS"/>
    <n v="0.5"/>
    <n v="200"/>
    <n v="100"/>
    <n v="0"/>
    <m/>
    <m/>
    <m/>
    <m/>
    <n v="0"/>
    <n v="0"/>
    <n v="5570.5346351520002"/>
  </r>
  <r>
    <x v="106"/>
    <x v="4"/>
    <x v="199"/>
    <x v="0"/>
    <x v="5"/>
    <x v="1015"/>
    <x v="25"/>
    <s v="POS"/>
    <n v="1"/>
    <n v="150"/>
    <n v="150"/>
    <n v="0"/>
    <m/>
    <m/>
    <m/>
    <m/>
    <n v="0"/>
    <n v="0"/>
    <n v="5570.5346351520002"/>
  </r>
  <r>
    <x v="106"/>
    <x v="4"/>
    <x v="314"/>
    <x v="0"/>
    <x v="1"/>
    <x v="1016"/>
    <x v="25"/>
    <s v="NAKİT"/>
    <n v="1"/>
    <n v="140"/>
    <n v="0"/>
    <n v="0"/>
    <m/>
    <m/>
    <m/>
    <m/>
    <n v="140"/>
    <n v="0"/>
    <n v="5710.5346351520002"/>
  </r>
  <r>
    <x v="106"/>
    <x v="4"/>
    <x v="116"/>
    <x v="0"/>
    <x v="1"/>
    <x v="1016"/>
    <x v="25"/>
    <s v="NAKİT"/>
    <n v="0.28000000000000003"/>
    <n v="430"/>
    <n v="0"/>
    <n v="0"/>
    <m/>
    <m/>
    <m/>
    <m/>
    <n v="120.4"/>
    <n v="0"/>
    <n v="5830.9346351519998"/>
  </r>
  <r>
    <x v="106"/>
    <x v="4"/>
    <x v="233"/>
    <x v="0"/>
    <x v="1"/>
    <x v="1017"/>
    <x v="25"/>
    <s v="NAKİT"/>
    <n v="1"/>
    <n v="400"/>
    <n v="0"/>
    <n v="0"/>
    <m/>
    <m/>
    <m/>
    <m/>
    <n v="400"/>
    <n v="0"/>
    <n v="6230.9346351519998"/>
  </r>
  <r>
    <x v="106"/>
    <x v="4"/>
    <x v="273"/>
    <x v="0"/>
    <x v="1"/>
    <x v="1018"/>
    <x v="25"/>
    <s v="NAKİT"/>
    <n v="0.25"/>
    <n v="360"/>
    <n v="0"/>
    <n v="0"/>
    <m/>
    <m/>
    <m/>
    <m/>
    <n v="90"/>
    <n v="0"/>
    <n v="6320.9346351519998"/>
  </r>
  <r>
    <x v="106"/>
    <x v="4"/>
    <x v="24"/>
    <x v="0"/>
    <x v="1"/>
    <x v="1018"/>
    <x v="25"/>
    <s v="NAKİT"/>
    <n v="1.7187500000000001E-2"/>
    <n v="640"/>
    <n v="0"/>
    <n v="0"/>
    <m/>
    <m/>
    <m/>
    <m/>
    <n v="11"/>
    <n v="0"/>
    <n v="6331.9346351519998"/>
  </r>
  <r>
    <x v="106"/>
    <x v="4"/>
    <x v="67"/>
    <x v="0"/>
    <x v="5"/>
    <x v="1019"/>
    <x v="25"/>
    <s v="POS"/>
    <n v="0.1"/>
    <n v="1400"/>
    <n v="140"/>
    <n v="0"/>
    <m/>
    <m/>
    <m/>
    <m/>
    <n v="0"/>
    <n v="0"/>
    <n v="6331.9346351519998"/>
  </r>
  <r>
    <x v="106"/>
    <x v="4"/>
    <x v="150"/>
    <x v="0"/>
    <x v="1"/>
    <x v="1020"/>
    <x v="25"/>
    <s v="NAKİT"/>
    <n v="0.85"/>
    <n v="250"/>
    <n v="0"/>
    <n v="0"/>
    <m/>
    <m/>
    <m/>
    <m/>
    <n v="212.5"/>
    <n v="0"/>
    <n v="6544.4346351519998"/>
  </r>
  <r>
    <x v="106"/>
    <x v="4"/>
    <x v="242"/>
    <x v="0"/>
    <x v="1"/>
    <x v="1021"/>
    <x v="25"/>
    <s v="NAKİT"/>
    <n v="0.25641025641025639"/>
    <n v="195"/>
    <n v="0"/>
    <n v="0"/>
    <m/>
    <m/>
    <m/>
    <m/>
    <n v="49.999999999999993"/>
    <n v="0"/>
    <n v="6594.4346351519998"/>
  </r>
  <r>
    <x v="106"/>
    <x v="4"/>
    <x v="238"/>
    <x v="0"/>
    <x v="1"/>
    <x v="1021"/>
    <x v="25"/>
    <s v="NAKİT"/>
    <n v="0.33823529411764708"/>
    <n v="340"/>
    <n v="0"/>
    <n v="0"/>
    <m/>
    <m/>
    <m/>
    <m/>
    <n v="115"/>
    <n v="0"/>
    <n v="6709.4346351519998"/>
  </r>
  <r>
    <x v="106"/>
    <x v="4"/>
    <x v="59"/>
    <x v="0"/>
    <x v="1"/>
    <x v="1022"/>
    <x v="25"/>
    <s v="NAKİT"/>
    <n v="0.23809523809523808"/>
    <n v="420"/>
    <n v="0"/>
    <n v="0"/>
    <m/>
    <m/>
    <m/>
    <m/>
    <n v="100"/>
    <n v="0"/>
    <n v="6809.4346351519998"/>
  </r>
  <r>
    <x v="106"/>
    <x v="4"/>
    <x v="50"/>
    <x v="0"/>
    <x v="1"/>
    <x v="1022"/>
    <x v="25"/>
    <s v="NAKİT"/>
    <n v="0.1"/>
    <n v="650"/>
    <n v="0"/>
    <n v="0"/>
    <m/>
    <m/>
    <m/>
    <m/>
    <n v="65"/>
    <n v="0"/>
    <n v="6874.4346351519998"/>
  </r>
  <r>
    <x v="106"/>
    <x v="4"/>
    <x v="179"/>
    <x v="0"/>
    <x v="1"/>
    <x v="1023"/>
    <x v="25"/>
    <s v="NAKİT"/>
    <n v="0.23529411764705882"/>
    <n v="850"/>
    <n v="0"/>
    <n v="0"/>
    <m/>
    <m/>
    <m/>
    <m/>
    <n v="200"/>
    <n v="0"/>
    <n v="7074.4346351519998"/>
  </r>
  <r>
    <x v="106"/>
    <x v="4"/>
    <x v="116"/>
    <x v="0"/>
    <x v="1"/>
    <x v="1023"/>
    <x v="25"/>
    <s v="NAKİT"/>
    <n v="0.27906976744186046"/>
    <n v="430"/>
    <n v="0"/>
    <n v="0"/>
    <m/>
    <m/>
    <m/>
    <m/>
    <n v="120"/>
    <n v="0"/>
    <n v="7194.4346351519998"/>
  </r>
  <r>
    <x v="106"/>
    <x v="4"/>
    <x v="99"/>
    <x v="0"/>
    <x v="1"/>
    <x v="1023"/>
    <x v="25"/>
    <s v="NAKİT"/>
    <n v="0.05"/>
    <n v="900"/>
    <n v="0"/>
    <n v="0"/>
    <m/>
    <m/>
    <m/>
    <m/>
    <n v="45"/>
    <n v="0"/>
    <n v="7239.4346351519998"/>
  </r>
  <r>
    <x v="106"/>
    <x v="4"/>
    <x v="88"/>
    <x v="0"/>
    <x v="1"/>
    <x v="1023"/>
    <x v="25"/>
    <s v="NAKİT"/>
    <n v="0.05"/>
    <n v="1200"/>
    <n v="0"/>
    <n v="0"/>
    <m/>
    <m/>
    <m/>
    <m/>
    <n v="60"/>
    <n v="0"/>
    <n v="7299.4346351519998"/>
  </r>
  <r>
    <x v="106"/>
    <x v="4"/>
    <x v="31"/>
    <x v="0"/>
    <x v="5"/>
    <x v="1024"/>
    <x v="25"/>
    <s v="POS"/>
    <n v="0.2"/>
    <n v="380"/>
    <n v="76"/>
    <n v="0"/>
    <m/>
    <m/>
    <m/>
    <m/>
    <n v="0"/>
    <n v="0"/>
    <n v="7299.4346351519998"/>
  </r>
  <r>
    <x v="106"/>
    <x v="4"/>
    <x v="74"/>
    <x v="0"/>
    <x v="5"/>
    <x v="1024"/>
    <x v="25"/>
    <s v="POS"/>
    <n v="0.25"/>
    <n v="380"/>
    <n v="95"/>
    <n v="0"/>
    <m/>
    <m/>
    <m/>
    <m/>
    <n v="0"/>
    <n v="0"/>
    <n v="7299.4346351519998"/>
  </r>
  <r>
    <x v="106"/>
    <x v="4"/>
    <x v="197"/>
    <x v="0"/>
    <x v="5"/>
    <x v="1024"/>
    <x v="25"/>
    <s v="POS"/>
    <n v="1"/>
    <n v="200"/>
    <n v="200"/>
    <n v="0"/>
    <m/>
    <m/>
    <m/>
    <m/>
    <n v="0"/>
    <n v="0"/>
    <n v="7299.4346351519998"/>
  </r>
  <r>
    <x v="106"/>
    <x v="4"/>
    <x v="23"/>
    <x v="0"/>
    <x v="5"/>
    <x v="1024"/>
    <x v="25"/>
    <s v="POS"/>
    <n v="0.124"/>
    <n v="300"/>
    <n v="37.200000000000003"/>
    <n v="0"/>
    <m/>
    <m/>
    <m/>
    <m/>
    <n v="0"/>
    <n v="0"/>
    <n v="7299.4346351519998"/>
  </r>
  <r>
    <x v="106"/>
    <x v="4"/>
    <x v="49"/>
    <x v="0"/>
    <x v="5"/>
    <x v="1024"/>
    <x v="25"/>
    <s v="POS"/>
    <n v="0.1"/>
    <n v="600"/>
    <n v="60"/>
    <n v="0"/>
    <m/>
    <m/>
    <m/>
    <m/>
    <n v="0"/>
    <n v="0"/>
    <n v="7299.4346351519998"/>
  </r>
  <r>
    <x v="106"/>
    <x v="4"/>
    <x v="58"/>
    <x v="0"/>
    <x v="5"/>
    <x v="1024"/>
    <x v="25"/>
    <s v="POS"/>
    <n v="1"/>
    <n v="230"/>
    <n v="230"/>
    <n v="0"/>
    <m/>
    <m/>
    <m/>
    <m/>
    <n v="0"/>
    <n v="0"/>
    <n v="7299.4346351519998"/>
  </r>
  <r>
    <x v="106"/>
    <x v="4"/>
    <x v="337"/>
    <x v="0"/>
    <x v="1"/>
    <x v="1025"/>
    <x v="25"/>
    <s v="NAKİT"/>
    <n v="1"/>
    <n v="170"/>
    <n v="0"/>
    <n v="0"/>
    <m/>
    <m/>
    <m/>
    <m/>
    <n v="170"/>
    <n v="0"/>
    <n v="7469.4346351519998"/>
  </r>
  <r>
    <x v="106"/>
    <x v="4"/>
    <x v="142"/>
    <x v="0"/>
    <x v="1"/>
    <x v="1025"/>
    <x v="25"/>
    <s v="NAKİT"/>
    <n v="0.52"/>
    <n v="250"/>
    <n v="0"/>
    <n v="0"/>
    <m/>
    <m/>
    <m/>
    <m/>
    <n v="130"/>
    <n v="0"/>
    <n v="7599.4346351519998"/>
  </r>
  <r>
    <x v="106"/>
    <x v="4"/>
    <x v="358"/>
    <x v="0"/>
    <x v="1"/>
    <x v="1026"/>
    <x v="25"/>
    <s v="NAKİT"/>
    <n v="1"/>
    <n v="300"/>
    <n v="0"/>
    <n v="0"/>
    <m/>
    <m/>
    <m/>
    <m/>
    <n v="300"/>
    <n v="0"/>
    <n v="7899.4346351519998"/>
  </r>
  <r>
    <x v="106"/>
    <x v="4"/>
    <x v="379"/>
    <x v="0"/>
    <x v="1"/>
    <x v="1026"/>
    <x v="25"/>
    <s v="NAKİT"/>
    <n v="1"/>
    <n v="150"/>
    <n v="0"/>
    <n v="0"/>
    <m/>
    <m/>
    <m/>
    <m/>
    <n v="150"/>
    <n v="0"/>
    <n v="8049.4346351519998"/>
  </r>
  <r>
    <x v="106"/>
    <x v="4"/>
    <x v="347"/>
    <x v="0"/>
    <x v="5"/>
    <x v="1027"/>
    <x v="25"/>
    <s v="POS"/>
    <n v="1"/>
    <n v="570"/>
    <n v="570"/>
    <n v="0"/>
    <m/>
    <m/>
    <m/>
    <m/>
    <n v="0"/>
    <n v="0"/>
    <n v="8049.4346351519998"/>
  </r>
  <r>
    <x v="106"/>
    <x v="4"/>
    <x v="150"/>
    <x v="0"/>
    <x v="5"/>
    <x v="1028"/>
    <x v="25"/>
    <s v="POS"/>
    <n v="1"/>
    <n v="250"/>
    <n v="250"/>
    <n v="0"/>
    <m/>
    <m/>
    <m/>
    <m/>
    <n v="0"/>
    <n v="0"/>
    <n v="8049.4346351519998"/>
  </r>
  <r>
    <x v="106"/>
    <x v="4"/>
    <x v="240"/>
    <x v="0"/>
    <x v="5"/>
    <x v="1028"/>
    <x v="25"/>
    <s v="POS"/>
    <n v="0.15217391304347827"/>
    <n v="230"/>
    <n v="35"/>
    <n v="0"/>
    <m/>
    <m/>
    <m/>
    <m/>
    <n v="0"/>
    <n v="0"/>
    <n v="8049.4346351519998"/>
  </r>
  <r>
    <x v="106"/>
    <x v="4"/>
    <x v="262"/>
    <x v="0"/>
    <x v="5"/>
    <x v="1029"/>
    <x v="25"/>
    <s v="POS"/>
    <n v="1"/>
    <n v="130"/>
    <n v="130"/>
    <n v="0"/>
    <m/>
    <m/>
    <m/>
    <m/>
    <n v="0"/>
    <n v="0"/>
    <n v="8049.4346351519998"/>
  </r>
  <r>
    <x v="106"/>
    <x v="4"/>
    <x v="112"/>
    <x v="0"/>
    <x v="1"/>
    <x v="1030"/>
    <x v="25"/>
    <s v="NAKİT"/>
    <n v="0.04"/>
    <n v="1250"/>
    <n v="0"/>
    <n v="0"/>
    <m/>
    <m/>
    <m/>
    <m/>
    <n v="50"/>
    <n v="0"/>
    <n v="8099.4346351519998"/>
  </r>
  <r>
    <x v="106"/>
    <x v="4"/>
    <x v="150"/>
    <x v="0"/>
    <x v="1"/>
    <x v="1030"/>
    <x v="25"/>
    <s v="NAKİT"/>
    <n v="2"/>
    <n v="250"/>
    <n v="0"/>
    <n v="0"/>
    <m/>
    <m/>
    <m/>
    <m/>
    <n v="500"/>
    <n v="0"/>
    <n v="8599.4346351519998"/>
  </r>
  <r>
    <x v="106"/>
    <x v="10"/>
    <x v="0"/>
    <x v="0"/>
    <x v="5"/>
    <x v="2"/>
    <x v="63"/>
    <s v="POS"/>
    <n v="1"/>
    <n v="590"/>
    <n v="0"/>
    <n v="590"/>
    <m/>
    <m/>
    <m/>
    <m/>
    <n v="590"/>
    <n v="0"/>
    <n v="9189.4346351519998"/>
  </r>
  <r>
    <x v="106"/>
    <x v="10"/>
    <x v="0"/>
    <x v="0"/>
    <x v="5"/>
    <x v="2"/>
    <x v="63"/>
    <s v="POS"/>
    <n v="1"/>
    <n v="1065"/>
    <n v="0"/>
    <n v="1065"/>
    <m/>
    <m/>
    <m/>
    <m/>
    <n v="1065"/>
    <n v="0"/>
    <n v="10254.434635152"/>
  </r>
  <r>
    <x v="107"/>
    <x v="4"/>
    <x v="248"/>
    <x v="0"/>
    <x v="5"/>
    <x v="1031"/>
    <x v="25"/>
    <s v="POS"/>
    <n v="0.28999999999999998"/>
    <n v="690"/>
    <n v="200.1"/>
    <n v="0"/>
    <m/>
    <m/>
    <m/>
    <m/>
    <n v="0"/>
    <n v="0"/>
    <n v="10254.434635152"/>
  </r>
  <r>
    <x v="107"/>
    <x v="4"/>
    <x v="161"/>
    <x v="0"/>
    <x v="5"/>
    <x v="1031"/>
    <x v="25"/>
    <s v="POS"/>
    <n v="9.6000000000000002E-2"/>
    <n v="370"/>
    <n v="35.520000000000003"/>
    <n v="0"/>
    <m/>
    <m/>
    <m/>
    <m/>
    <n v="0"/>
    <n v="0"/>
    <n v="10254.434635152"/>
  </r>
  <r>
    <x v="107"/>
    <x v="4"/>
    <x v="27"/>
    <x v="0"/>
    <x v="5"/>
    <x v="1031"/>
    <x v="25"/>
    <s v="POS"/>
    <n v="3.4000000000000002E-2"/>
    <n v="400"/>
    <n v="13.600000000000001"/>
    <n v="0"/>
    <m/>
    <m/>
    <m/>
    <m/>
    <n v="0"/>
    <n v="0"/>
    <n v="10254.434635152"/>
  </r>
  <r>
    <x v="107"/>
    <x v="4"/>
    <x v="29"/>
    <x v="0"/>
    <x v="5"/>
    <x v="1031"/>
    <x v="25"/>
    <s v="POS"/>
    <n v="1.7999999999999999E-2"/>
    <n v="760"/>
    <n v="13.68"/>
    <n v="0"/>
    <m/>
    <m/>
    <m/>
    <m/>
    <n v="0"/>
    <n v="0"/>
    <n v="10254.434635152"/>
  </r>
  <r>
    <x v="107"/>
    <x v="4"/>
    <x v="99"/>
    <x v="0"/>
    <x v="5"/>
    <x v="1031"/>
    <x v="25"/>
    <s v="POS"/>
    <n v="0.05"/>
    <n v="800"/>
    <n v="40"/>
    <n v="0"/>
    <m/>
    <m/>
    <m/>
    <m/>
    <n v="0"/>
    <n v="0"/>
    <n v="10254.434635152"/>
  </r>
  <r>
    <x v="107"/>
    <x v="4"/>
    <x v="269"/>
    <x v="0"/>
    <x v="5"/>
    <x v="1031"/>
    <x v="25"/>
    <s v="POS"/>
    <n v="1"/>
    <n v="110"/>
    <n v="110"/>
    <n v="0"/>
    <m/>
    <m/>
    <m/>
    <m/>
    <n v="0"/>
    <n v="0"/>
    <n v="10254.434635152"/>
  </r>
  <r>
    <x v="107"/>
    <x v="4"/>
    <x v="142"/>
    <x v="0"/>
    <x v="5"/>
    <x v="1031"/>
    <x v="25"/>
    <s v="POS"/>
    <n v="0.35199999999999998"/>
    <n v="250"/>
    <n v="88"/>
    <n v="0"/>
    <m/>
    <m/>
    <m/>
    <m/>
    <n v="0"/>
    <n v="0"/>
    <n v="10254.434635152"/>
  </r>
  <r>
    <x v="107"/>
    <x v="4"/>
    <x v="66"/>
    <x v="0"/>
    <x v="5"/>
    <x v="1032"/>
    <x v="25"/>
    <s v="POS"/>
    <n v="9.6000000000000002E-2"/>
    <n v="420"/>
    <n v="40.32"/>
    <n v="0"/>
    <m/>
    <m/>
    <m/>
    <m/>
    <n v="0"/>
    <n v="0"/>
    <n v="10254.434635152"/>
  </r>
  <r>
    <x v="107"/>
    <x v="4"/>
    <x v="197"/>
    <x v="0"/>
    <x v="1"/>
    <x v="1033"/>
    <x v="114"/>
    <s v="NAKİT"/>
    <n v="2"/>
    <n v="200"/>
    <n v="0"/>
    <n v="0"/>
    <m/>
    <m/>
    <m/>
    <m/>
    <n v="400"/>
    <n v="0"/>
    <n v="10654.434635152"/>
  </r>
  <r>
    <x v="107"/>
    <x v="4"/>
    <x v="199"/>
    <x v="0"/>
    <x v="1"/>
    <x v="1033"/>
    <x v="114"/>
    <s v="NAKİT"/>
    <n v="2"/>
    <n v="150"/>
    <n v="0"/>
    <n v="0"/>
    <m/>
    <m/>
    <m/>
    <m/>
    <n v="300"/>
    <n v="0"/>
    <n v="10954.434635152"/>
  </r>
  <r>
    <x v="107"/>
    <x v="4"/>
    <x v="360"/>
    <x v="0"/>
    <x v="1"/>
    <x v="1034"/>
    <x v="115"/>
    <s v="NAKİT"/>
    <n v="13"/>
    <n v="600"/>
    <n v="0"/>
    <n v="0"/>
    <m/>
    <m/>
    <m/>
    <m/>
    <n v="7800"/>
    <n v="0"/>
    <n v="18754.434635152"/>
  </r>
  <r>
    <x v="107"/>
    <x v="4"/>
    <x v="6"/>
    <x v="0"/>
    <x v="1"/>
    <x v="1035"/>
    <x v="116"/>
    <s v="NAKİT"/>
    <n v="1"/>
    <n v="190"/>
    <n v="0"/>
    <n v="0"/>
    <m/>
    <m/>
    <m/>
    <m/>
    <n v="190"/>
    <n v="0"/>
    <n v="18944.434635152"/>
  </r>
  <r>
    <x v="107"/>
    <x v="4"/>
    <x v="257"/>
    <x v="0"/>
    <x v="1"/>
    <x v="1035"/>
    <x v="116"/>
    <s v="NAKİT"/>
    <n v="1"/>
    <n v="170"/>
    <n v="0"/>
    <n v="0"/>
    <m/>
    <m/>
    <m/>
    <m/>
    <n v="170"/>
    <n v="0"/>
    <n v="19114.434635152"/>
  </r>
  <r>
    <x v="107"/>
    <x v="4"/>
    <x v="270"/>
    <x v="0"/>
    <x v="1"/>
    <x v="1035"/>
    <x v="116"/>
    <s v="NAKİT"/>
    <n v="1"/>
    <n v="130"/>
    <n v="0"/>
    <n v="0"/>
    <m/>
    <m/>
    <m/>
    <m/>
    <n v="130"/>
    <n v="0"/>
    <n v="19244.434635152"/>
  </r>
  <r>
    <x v="107"/>
    <x v="4"/>
    <x v="124"/>
    <x v="0"/>
    <x v="1"/>
    <x v="1036"/>
    <x v="117"/>
    <s v="NAKİT"/>
    <n v="0.1"/>
    <n v="900"/>
    <n v="0"/>
    <n v="0"/>
    <m/>
    <m/>
    <m/>
    <m/>
    <n v="90"/>
    <n v="0"/>
    <n v="19334.434635152"/>
  </r>
  <r>
    <x v="107"/>
    <x v="4"/>
    <x v="270"/>
    <x v="0"/>
    <x v="1"/>
    <x v="1037"/>
    <x v="117"/>
    <s v="NAKİT"/>
    <n v="1"/>
    <n v="130"/>
    <n v="0"/>
    <n v="0"/>
    <m/>
    <m/>
    <m/>
    <m/>
    <n v="130"/>
    <n v="0"/>
    <n v="19464.434635152"/>
  </r>
  <r>
    <x v="107"/>
    <x v="4"/>
    <x v="69"/>
    <x v="0"/>
    <x v="1"/>
    <x v="1038"/>
    <x v="117"/>
    <s v="NAKİT"/>
    <n v="0.1"/>
    <n v="1000"/>
    <n v="0"/>
    <n v="0"/>
    <m/>
    <m/>
    <m/>
    <m/>
    <n v="100"/>
    <n v="0"/>
    <n v="19564.434635152"/>
  </r>
  <r>
    <x v="107"/>
    <x v="4"/>
    <x v="78"/>
    <x v="0"/>
    <x v="1"/>
    <x v="1039"/>
    <x v="117"/>
    <s v="NAKİT"/>
    <n v="0.05"/>
    <n v="1400"/>
    <n v="0"/>
    <n v="0"/>
    <m/>
    <m/>
    <m/>
    <m/>
    <n v="70"/>
    <n v="0"/>
    <n v="19634.434635152"/>
  </r>
  <r>
    <x v="107"/>
    <x v="4"/>
    <x v="206"/>
    <x v="0"/>
    <x v="5"/>
    <x v="1040"/>
    <x v="25"/>
    <s v="POS"/>
    <n v="1"/>
    <n v="350"/>
    <n v="350"/>
    <n v="0"/>
    <m/>
    <m/>
    <m/>
    <m/>
    <n v="0"/>
    <n v="0"/>
    <n v="19634.434635152"/>
  </r>
  <r>
    <x v="107"/>
    <x v="10"/>
    <x v="0"/>
    <x v="0"/>
    <x v="5"/>
    <x v="2"/>
    <x v="63"/>
    <s v="POS"/>
    <n v="1"/>
    <n v="1235"/>
    <n v="0"/>
    <n v="1235"/>
    <m/>
    <m/>
    <m/>
    <m/>
    <n v="1235"/>
    <n v="0"/>
    <n v="20869.434635152"/>
  </r>
  <r>
    <x v="107"/>
    <x v="10"/>
    <x v="0"/>
    <x v="0"/>
    <x v="5"/>
    <x v="2"/>
    <x v="63"/>
    <s v="POS"/>
    <n v="1"/>
    <n v="950"/>
    <n v="0"/>
    <n v="950"/>
    <m/>
    <m/>
    <m/>
    <m/>
    <n v="950"/>
    <n v="0"/>
    <n v="21819.434635152"/>
  </r>
  <r>
    <x v="108"/>
    <x v="4"/>
    <x v="88"/>
    <x v="0"/>
    <x v="1"/>
    <x v="1041"/>
    <x v="25"/>
    <s v="NAKİT"/>
    <n v="0.05"/>
    <n v="800"/>
    <n v="0"/>
    <n v="0"/>
    <m/>
    <m/>
    <m/>
    <m/>
    <n v="40"/>
    <n v="0"/>
    <n v="21859.434635152"/>
  </r>
  <r>
    <x v="108"/>
    <x v="4"/>
    <x v="54"/>
    <x v="0"/>
    <x v="1"/>
    <x v="1041"/>
    <x v="25"/>
    <s v="NAKİT"/>
    <n v="0.1"/>
    <n v="400"/>
    <n v="0"/>
    <n v="0"/>
    <m/>
    <m/>
    <m/>
    <m/>
    <n v="40"/>
    <n v="0"/>
    <n v="21899.434635152"/>
  </r>
  <r>
    <x v="108"/>
    <x v="4"/>
    <x v="27"/>
    <x v="0"/>
    <x v="1"/>
    <x v="1041"/>
    <x v="25"/>
    <s v="NAKİT"/>
    <n v="0.05"/>
    <n v="400"/>
    <n v="0"/>
    <n v="0"/>
    <m/>
    <m/>
    <m/>
    <m/>
    <n v="20"/>
    <n v="0"/>
    <n v="21919.434635152"/>
  </r>
  <r>
    <x v="108"/>
    <x v="4"/>
    <x v="32"/>
    <x v="0"/>
    <x v="1"/>
    <x v="1041"/>
    <x v="25"/>
    <s v="NAKİT"/>
    <n v="0.13513513513513514"/>
    <n v="370"/>
    <n v="0"/>
    <n v="0"/>
    <m/>
    <m/>
    <m/>
    <m/>
    <n v="50"/>
    <n v="0"/>
    <n v="21969.434635152"/>
  </r>
  <r>
    <x v="108"/>
    <x v="4"/>
    <x v="24"/>
    <x v="0"/>
    <x v="1"/>
    <x v="1041"/>
    <x v="25"/>
    <s v="NAKİT"/>
    <n v="4.6875E-2"/>
    <n v="640"/>
    <n v="0"/>
    <n v="0"/>
    <m/>
    <m/>
    <m/>
    <m/>
    <n v="30"/>
    <n v="0"/>
    <n v="21999.434635152"/>
  </r>
  <r>
    <x v="108"/>
    <x v="4"/>
    <x v="33"/>
    <x v="0"/>
    <x v="1"/>
    <x v="1042"/>
    <x v="25"/>
    <s v="NAKİT"/>
    <n v="0.26400000000000001"/>
    <n v="380"/>
    <n v="0"/>
    <n v="0"/>
    <m/>
    <m/>
    <m/>
    <m/>
    <n v="100.32000000000001"/>
    <n v="0"/>
    <n v="22099.754635152"/>
  </r>
  <r>
    <x v="108"/>
    <x v="4"/>
    <x v="29"/>
    <x v="0"/>
    <x v="1"/>
    <x v="1042"/>
    <x v="25"/>
    <s v="NAKİT"/>
    <n v="6.5789473684210523E-2"/>
    <n v="760"/>
    <n v="0"/>
    <n v="0"/>
    <m/>
    <m/>
    <m/>
    <m/>
    <n v="50"/>
    <n v="0"/>
    <n v="22149.754635152"/>
  </r>
  <r>
    <x v="108"/>
    <x v="4"/>
    <x v="141"/>
    <x v="0"/>
    <x v="1"/>
    <x v="1042"/>
    <x v="25"/>
    <s v="NAKİT"/>
    <n v="1"/>
    <n v="100"/>
    <n v="0"/>
    <n v="0"/>
    <m/>
    <m/>
    <m/>
    <m/>
    <n v="100"/>
    <n v="0"/>
    <n v="22249.754635152"/>
  </r>
  <r>
    <x v="108"/>
    <x v="4"/>
    <x v="360"/>
    <x v="0"/>
    <x v="1"/>
    <x v="1042"/>
    <x v="25"/>
    <s v="NAKİT"/>
    <n v="0.16800000000000001"/>
    <n v="600"/>
    <n v="0"/>
    <n v="0"/>
    <m/>
    <m/>
    <m/>
    <m/>
    <n v="100.80000000000001"/>
    <n v="0"/>
    <n v="22350.554635151999"/>
  </r>
  <r>
    <x v="108"/>
    <x v="4"/>
    <x v="29"/>
    <x v="0"/>
    <x v="1"/>
    <x v="1043"/>
    <x v="25"/>
    <s v="NAKİT"/>
    <n v="6.5789473684210523E-2"/>
    <n v="760"/>
    <n v="0"/>
    <n v="0"/>
    <m/>
    <m/>
    <m/>
    <m/>
    <n v="50"/>
    <n v="0"/>
    <n v="22400.554635151999"/>
  </r>
  <r>
    <x v="108"/>
    <x v="4"/>
    <x v="197"/>
    <x v="0"/>
    <x v="1"/>
    <x v="1043"/>
    <x v="25"/>
    <s v="NAKİT"/>
    <n v="2"/>
    <n v="200"/>
    <n v="0"/>
    <n v="0"/>
    <m/>
    <m/>
    <m/>
    <m/>
    <n v="400"/>
    <n v="0"/>
    <n v="22800.554635151999"/>
  </r>
  <r>
    <x v="108"/>
    <x v="4"/>
    <x v="233"/>
    <x v="0"/>
    <x v="5"/>
    <x v="1044"/>
    <x v="25"/>
    <s v="POS"/>
    <n v="1"/>
    <n v="400"/>
    <n v="400"/>
    <n v="0"/>
    <m/>
    <m/>
    <m/>
    <m/>
    <n v="0"/>
    <n v="0"/>
    <n v="22800.554635151999"/>
  </r>
  <r>
    <x v="108"/>
    <x v="4"/>
    <x v="347"/>
    <x v="0"/>
    <x v="5"/>
    <x v="1044"/>
    <x v="25"/>
    <s v="POS"/>
    <n v="1"/>
    <n v="570"/>
    <n v="570"/>
    <n v="0"/>
    <m/>
    <m/>
    <m/>
    <m/>
    <n v="0"/>
    <n v="0"/>
    <n v="22800.554635151999"/>
  </r>
  <r>
    <x v="108"/>
    <x v="4"/>
    <x v="200"/>
    <x v="0"/>
    <x v="5"/>
    <x v="1044"/>
    <x v="25"/>
    <s v="POS"/>
    <n v="2"/>
    <n v="35"/>
    <n v="70"/>
    <n v="0"/>
    <m/>
    <m/>
    <m/>
    <m/>
    <n v="0"/>
    <n v="0"/>
    <n v="22800.554635151999"/>
  </r>
  <r>
    <x v="108"/>
    <x v="4"/>
    <x v="150"/>
    <x v="0"/>
    <x v="5"/>
    <x v="1044"/>
    <x v="25"/>
    <s v="POS"/>
    <n v="1"/>
    <n v="250"/>
    <n v="250"/>
    <n v="0"/>
    <m/>
    <m/>
    <m/>
    <m/>
    <n v="0"/>
    <n v="0"/>
    <n v="22800.554635151999"/>
  </r>
  <r>
    <x v="108"/>
    <x v="4"/>
    <x v="293"/>
    <x v="0"/>
    <x v="5"/>
    <x v="1045"/>
    <x v="25"/>
    <s v="POS"/>
    <n v="1"/>
    <n v="350"/>
    <n v="350"/>
    <n v="0"/>
    <m/>
    <m/>
    <m/>
    <m/>
    <n v="0"/>
    <n v="0"/>
    <n v="22800.554635151999"/>
  </r>
  <r>
    <x v="108"/>
    <x v="4"/>
    <x v="163"/>
    <x v="0"/>
    <x v="5"/>
    <x v="1045"/>
    <x v="25"/>
    <s v="POS"/>
    <n v="1"/>
    <n v="50"/>
    <n v="50"/>
    <n v="0"/>
    <m/>
    <m/>
    <m/>
    <m/>
    <n v="0"/>
    <n v="0"/>
    <n v="22800.554635151999"/>
  </r>
  <r>
    <x v="108"/>
    <x v="4"/>
    <x v="59"/>
    <x v="0"/>
    <x v="1"/>
    <x v="1046"/>
    <x v="25"/>
    <s v="NAKİT"/>
    <n v="0.16800000000000001"/>
    <n v="420"/>
    <n v="0"/>
    <n v="0"/>
    <m/>
    <m/>
    <m/>
    <m/>
    <n v="70.56"/>
    <n v="0"/>
    <n v="22871.114635152"/>
  </r>
  <r>
    <x v="108"/>
    <x v="4"/>
    <x v="31"/>
    <x v="0"/>
    <x v="1"/>
    <x v="1046"/>
    <x v="25"/>
    <s v="NAKİT"/>
    <n v="0.14799999999999999"/>
    <n v="380"/>
    <n v="0"/>
    <n v="0"/>
    <m/>
    <m/>
    <m/>
    <m/>
    <n v="56.239999999999995"/>
    <n v="0"/>
    <n v="22927.354635152002"/>
  </r>
  <r>
    <x v="108"/>
    <x v="4"/>
    <x v="163"/>
    <x v="0"/>
    <x v="1"/>
    <x v="1047"/>
    <x v="25"/>
    <s v="NAKİT"/>
    <n v="1"/>
    <n v="50"/>
    <n v="0"/>
    <n v="0"/>
    <m/>
    <m/>
    <m/>
    <m/>
    <n v="50"/>
    <n v="0"/>
    <n v="22977.354635152002"/>
  </r>
  <r>
    <x v="108"/>
    <x v="4"/>
    <x v="166"/>
    <x v="0"/>
    <x v="1"/>
    <x v="1047"/>
    <x v="25"/>
    <s v="NAKİT"/>
    <n v="1"/>
    <n v="50"/>
    <n v="0"/>
    <n v="0"/>
    <m/>
    <m/>
    <m/>
    <m/>
    <n v="50"/>
    <n v="0"/>
    <n v="23027.354635152002"/>
  </r>
  <r>
    <x v="108"/>
    <x v="4"/>
    <x v="52"/>
    <x v="0"/>
    <x v="1"/>
    <x v="1048"/>
    <x v="35"/>
    <s v="NAKİT"/>
    <n v="4"/>
    <n v="120"/>
    <n v="0"/>
    <n v="0"/>
    <m/>
    <m/>
    <m/>
    <m/>
    <n v="480"/>
    <n v="0"/>
    <n v="23507.354635152002"/>
  </r>
  <r>
    <x v="108"/>
    <x v="4"/>
    <x v="28"/>
    <x v="0"/>
    <x v="1"/>
    <x v="1048"/>
    <x v="35"/>
    <s v="NAKİT"/>
    <n v="1"/>
    <n v="300"/>
    <n v="0"/>
    <n v="0"/>
    <m/>
    <m/>
    <m/>
    <m/>
    <n v="300"/>
    <n v="0"/>
    <n v="23807.354635152002"/>
  </r>
  <r>
    <x v="108"/>
    <x v="4"/>
    <x v="199"/>
    <x v="0"/>
    <x v="1"/>
    <x v="1048"/>
    <x v="35"/>
    <s v="NAKİT"/>
    <n v="19.350000000000001"/>
    <n v="100"/>
    <n v="0"/>
    <n v="0"/>
    <m/>
    <m/>
    <m/>
    <m/>
    <n v="1935.0000000000002"/>
    <n v="0"/>
    <n v="25742.354635152002"/>
  </r>
  <r>
    <x v="108"/>
    <x v="10"/>
    <x v="0"/>
    <x v="0"/>
    <x v="5"/>
    <x v="2"/>
    <x v="63"/>
    <s v="POS"/>
    <n v="1"/>
    <n v="1080"/>
    <n v="0"/>
    <n v="1080"/>
    <m/>
    <m/>
    <m/>
    <m/>
    <n v="1080"/>
    <n v="0"/>
    <n v="26822.354635152002"/>
  </r>
  <r>
    <x v="109"/>
    <x v="3"/>
    <x v="197"/>
    <x v="0"/>
    <x v="4"/>
    <x v="1049"/>
    <x v="32"/>
    <s v="CARİ"/>
    <n v="19.350000000000001"/>
    <n v="95.61"/>
    <n v="0"/>
    <n v="1850"/>
    <m/>
    <m/>
    <m/>
    <m/>
    <n v="0"/>
    <n v="0"/>
    <n v="26822.354635152002"/>
  </r>
  <r>
    <x v="109"/>
    <x v="3"/>
    <x v="199"/>
    <x v="0"/>
    <x v="4"/>
    <x v="1049"/>
    <x v="32"/>
    <s v="CARİ"/>
    <n v="19.350000000000001"/>
    <n v="74.94"/>
    <n v="0"/>
    <n v="1450"/>
    <m/>
    <m/>
    <m/>
    <m/>
    <n v="0"/>
    <n v="0"/>
    <n v="26822.354635152002"/>
  </r>
  <r>
    <x v="109"/>
    <x v="3"/>
    <x v="198"/>
    <x v="0"/>
    <x v="4"/>
    <x v="1049"/>
    <x v="32"/>
    <s v="CARİ"/>
    <n v="19.350000000000001"/>
    <n v="95.61"/>
    <n v="0"/>
    <n v="1850"/>
    <m/>
    <m/>
    <m/>
    <m/>
    <n v="0"/>
    <n v="0"/>
    <n v="26822.354635152002"/>
  </r>
  <r>
    <x v="109"/>
    <x v="3"/>
    <x v="241"/>
    <x v="0"/>
    <x v="4"/>
    <x v="1049"/>
    <x v="32"/>
    <s v="CARİ"/>
    <n v="9.9499999999999993"/>
    <n v="33"/>
    <n v="0"/>
    <n v="328.34999999999997"/>
    <m/>
    <m/>
    <m/>
    <m/>
    <n v="0"/>
    <n v="0"/>
    <n v="26822.354635152002"/>
  </r>
  <r>
    <x v="109"/>
    <x v="3"/>
    <x v="116"/>
    <x v="0"/>
    <x v="4"/>
    <x v="1049"/>
    <x v="32"/>
    <s v="CARİ"/>
    <n v="5"/>
    <n v="290"/>
    <n v="0"/>
    <n v="1450"/>
    <m/>
    <m/>
    <m/>
    <m/>
    <n v="0"/>
    <n v="0"/>
    <n v="26822.354635152002"/>
  </r>
  <r>
    <x v="109"/>
    <x v="3"/>
    <x v="142"/>
    <x v="0"/>
    <x v="4"/>
    <x v="1049"/>
    <x v="32"/>
    <s v="CARİ"/>
    <n v="5"/>
    <n v="170"/>
    <n v="0"/>
    <n v="850"/>
    <m/>
    <m/>
    <m/>
    <m/>
    <n v="0"/>
    <n v="0"/>
    <n v="26822.354635152002"/>
  </r>
  <r>
    <x v="109"/>
    <x v="4"/>
    <x v="18"/>
    <x v="0"/>
    <x v="1"/>
    <x v="1050"/>
    <x v="25"/>
    <s v="NAKİT"/>
    <n v="1"/>
    <n v="250"/>
    <n v="0"/>
    <n v="0"/>
    <m/>
    <m/>
    <m/>
    <m/>
    <n v="250"/>
    <n v="0"/>
    <n v="27072.354635152002"/>
  </r>
  <r>
    <x v="109"/>
    <x v="4"/>
    <x v="74"/>
    <x v="0"/>
    <x v="1"/>
    <x v="1050"/>
    <x v="25"/>
    <s v="NAKİT"/>
    <n v="0.25"/>
    <n v="360"/>
    <n v="0"/>
    <n v="0"/>
    <m/>
    <m/>
    <m/>
    <m/>
    <n v="90"/>
    <n v="0"/>
    <n v="27162.354635152002"/>
  </r>
  <r>
    <x v="109"/>
    <x v="4"/>
    <x v="58"/>
    <x v="0"/>
    <x v="1"/>
    <x v="1050"/>
    <x v="25"/>
    <s v="NAKİT"/>
    <n v="1"/>
    <n v="230"/>
    <n v="0"/>
    <n v="0"/>
    <m/>
    <m/>
    <m/>
    <m/>
    <n v="230"/>
    <n v="0"/>
    <n v="27392.354635152002"/>
  </r>
  <r>
    <x v="109"/>
    <x v="4"/>
    <x v="235"/>
    <x v="0"/>
    <x v="5"/>
    <x v="1051"/>
    <x v="25"/>
    <s v="POS"/>
    <n v="1"/>
    <n v="170"/>
    <n v="170"/>
    <n v="0"/>
    <m/>
    <m/>
    <m/>
    <m/>
    <n v="0"/>
    <n v="0"/>
    <n v="27392.354635152002"/>
  </r>
  <r>
    <x v="109"/>
    <x v="4"/>
    <x v="83"/>
    <x v="0"/>
    <x v="5"/>
    <x v="1051"/>
    <x v="25"/>
    <s v="POS"/>
    <n v="0.05"/>
    <n v="2600"/>
    <n v="130"/>
    <n v="0"/>
    <m/>
    <m/>
    <m/>
    <m/>
    <n v="0"/>
    <n v="0"/>
    <n v="27392.354635152002"/>
  </r>
  <r>
    <x v="109"/>
    <x v="4"/>
    <x v="208"/>
    <x v="0"/>
    <x v="5"/>
    <x v="1051"/>
    <x v="25"/>
    <s v="POS"/>
    <n v="1"/>
    <n v="290"/>
    <n v="290"/>
    <n v="0"/>
    <m/>
    <m/>
    <m/>
    <m/>
    <n v="0"/>
    <n v="0"/>
    <n v="27392.354635152002"/>
  </r>
  <r>
    <x v="109"/>
    <x v="4"/>
    <x v="355"/>
    <x v="0"/>
    <x v="1"/>
    <x v="1052"/>
    <x v="25"/>
    <s v="NAKİT"/>
    <n v="1"/>
    <n v="170"/>
    <n v="0"/>
    <n v="0"/>
    <m/>
    <m/>
    <m/>
    <m/>
    <n v="170"/>
    <n v="0"/>
    <n v="27562.354635152002"/>
  </r>
  <r>
    <x v="109"/>
    <x v="4"/>
    <x v="59"/>
    <x v="0"/>
    <x v="5"/>
    <x v="1053"/>
    <x v="25"/>
    <s v="POS"/>
    <n v="0.24399999999999999"/>
    <n v="410"/>
    <n v="100.03999999999999"/>
    <n v="0"/>
    <m/>
    <m/>
    <m/>
    <m/>
    <n v="0"/>
    <n v="0"/>
    <n v="27562.354635152002"/>
  </r>
  <r>
    <x v="109"/>
    <x v="4"/>
    <x v="29"/>
    <x v="0"/>
    <x v="5"/>
    <x v="1053"/>
    <x v="25"/>
    <s v="POS"/>
    <n v="6.6000000000000003E-2"/>
    <n v="760"/>
    <n v="50.160000000000004"/>
    <n v="0"/>
    <m/>
    <m/>
    <m/>
    <m/>
    <n v="0"/>
    <n v="0"/>
    <n v="27562.354635152002"/>
  </r>
  <r>
    <x v="109"/>
    <x v="4"/>
    <x v="244"/>
    <x v="0"/>
    <x v="5"/>
    <x v="1053"/>
    <x v="25"/>
    <s v="POS"/>
    <n v="0.5"/>
    <n v="120"/>
    <n v="60"/>
    <n v="0"/>
    <m/>
    <m/>
    <m/>
    <m/>
    <n v="0"/>
    <n v="0"/>
    <n v="27562.354635152002"/>
  </r>
  <r>
    <x v="109"/>
    <x v="4"/>
    <x v="28"/>
    <x v="0"/>
    <x v="5"/>
    <x v="1053"/>
    <x v="25"/>
    <s v="POS"/>
    <n v="0.20399999999999999"/>
    <n v="490"/>
    <n v="99.96"/>
    <n v="0"/>
    <m/>
    <m/>
    <m/>
    <m/>
    <n v="0"/>
    <n v="0"/>
    <n v="27562.354635152002"/>
  </r>
  <r>
    <x v="109"/>
    <x v="4"/>
    <x v="116"/>
    <x v="0"/>
    <x v="1"/>
    <x v="1054"/>
    <x v="25"/>
    <s v="NAKİT"/>
    <n v="0.28000000000000003"/>
    <n v="390"/>
    <n v="0"/>
    <n v="0"/>
    <m/>
    <m/>
    <m/>
    <m/>
    <n v="109.20000000000002"/>
    <n v="0"/>
    <n v="27671.554635152002"/>
  </r>
  <r>
    <x v="109"/>
    <x v="4"/>
    <x v="30"/>
    <x v="0"/>
    <x v="5"/>
    <x v="1055"/>
    <x v="25"/>
    <s v="POS"/>
    <n v="0.372"/>
    <n v="500"/>
    <n v="186"/>
    <n v="0"/>
    <m/>
    <m/>
    <m/>
    <m/>
    <n v="0"/>
    <n v="0"/>
    <n v="27671.554635152002"/>
  </r>
  <r>
    <x v="109"/>
    <x v="4"/>
    <x v="58"/>
    <x v="0"/>
    <x v="1"/>
    <x v="1056"/>
    <x v="25"/>
    <s v="NAKİT"/>
    <n v="1"/>
    <n v="230"/>
    <n v="0"/>
    <n v="0"/>
    <m/>
    <m/>
    <m/>
    <m/>
    <n v="230"/>
    <n v="0"/>
    <n v="27901.554635152002"/>
  </r>
  <r>
    <x v="109"/>
    <x v="4"/>
    <x v="18"/>
    <x v="0"/>
    <x v="1"/>
    <x v="1056"/>
    <x v="25"/>
    <s v="NAKİT"/>
    <n v="1"/>
    <n v="250"/>
    <n v="0"/>
    <n v="0"/>
    <m/>
    <m/>
    <m/>
    <m/>
    <n v="250"/>
    <n v="0"/>
    <n v="28151.554635152002"/>
  </r>
  <r>
    <x v="109"/>
    <x v="4"/>
    <x v="21"/>
    <x v="0"/>
    <x v="1"/>
    <x v="1056"/>
    <x v="25"/>
    <s v="NAKİT"/>
    <n v="1"/>
    <n v="250"/>
    <n v="0"/>
    <n v="0"/>
    <m/>
    <m/>
    <m/>
    <m/>
    <n v="250"/>
    <n v="0"/>
    <n v="28401.554635152002"/>
  </r>
  <r>
    <x v="109"/>
    <x v="4"/>
    <x v="296"/>
    <x v="0"/>
    <x v="1"/>
    <x v="1056"/>
    <x v="25"/>
    <s v="NAKİT"/>
    <n v="1"/>
    <n v="135"/>
    <n v="0"/>
    <n v="0"/>
    <m/>
    <m/>
    <m/>
    <m/>
    <n v="135"/>
    <n v="0"/>
    <n v="28536.554635152002"/>
  </r>
  <r>
    <x v="109"/>
    <x v="4"/>
    <x v="143"/>
    <x v="0"/>
    <x v="1"/>
    <x v="1056"/>
    <x v="25"/>
    <s v="NAKİT"/>
    <n v="1"/>
    <n v="190"/>
    <n v="0"/>
    <n v="0"/>
    <m/>
    <m/>
    <m/>
    <m/>
    <n v="190"/>
    <n v="0"/>
    <n v="28726.554635152002"/>
  </r>
  <r>
    <x v="109"/>
    <x v="4"/>
    <x v="356"/>
    <x v="0"/>
    <x v="1"/>
    <x v="1056"/>
    <x v="25"/>
    <s v="NAKİT"/>
    <n v="15"/>
    <n v="10"/>
    <n v="0"/>
    <n v="0"/>
    <m/>
    <m/>
    <m/>
    <m/>
    <n v="150"/>
    <n v="0"/>
    <n v="28876.554635152002"/>
  </r>
  <r>
    <x v="109"/>
    <x v="4"/>
    <x v="74"/>
    <x v="0"/>
    <x v="1"/>
    <x v="1056"/>
    <x v="25"/>
    <s v="NAKİT"/>
    <n v="0.25"/>
    <n v="360"/>
    <n v="0"/>
    <n v="0"/>
    <m/>
    <m/>
    <m/>
    <m/>
    <n v="90"/>
    <n v="0"/>
    <n v="28966.554635152002"/>
  </r>
  <r>
    <x v="109"/>
    <x v="4"/>
    <x v="120"/>
    <x v="0"/>
    <x v="1"/>
    <x v="1056"/>
    <x v="25"/>
    <s v="NAKİT"/>
    <n v="0.23200000000000001"/>
    <n v="650"/>
    <n v="0"/>
    <n v="0"/>
    <m/>
    <m/>
    <m/>
    <m/>
    <n v="150.80000000000001"/>
    <n v="0"/>
    <n v="29117.354635152002"/>
  </r>
  <r>
    <x v="109"/>
    <x v="4"/>
    <x v="88"/>
    <x v="0"/>
    <x v="1"/>
    <x v="1057"/>
    <x v="25"/>
    <s v="NAKİT"/>
    <n v="0.05"/>
    <n v="1200"/>
    <n v="0"/>
    <n v="0"/>
    <m/>
    <m/>
    <m/>
    <m/>
    <n v="60"/>
    <n v="0"/>
    <n v="29177.354635152002"/>
  </r>
  <r>
    <x v="109"/>
    <x v="4"/>
    <x v="18"/>
    <x v="0"/>
    <x v="1"/>
    <x v="1058"/>
    <x v="25"/>
    <s v="NAKİT"/>
    <n v="1"/>
    <n v="250"/>
    <n v="0"/>
    <n v="0"/>
    <m/>
    <m/>
    <m/>
    <m/>
    <n v="250"/>
    <n v="0"/>
    <n v="29427.354635152002"/>
  </r>
  <r>
    <x v="109"/>
    <x v="4"/>
    <x v="20"/>
    <x v="0"/>
    <x v="1"/>
    <x v="1058"/>
    <x v="25"/>
    <s v="NAKİT"/>
    <n v="1"/>
    <n v="230"/>
    <n v="0"/>
    <n v="0"/>
    <m/>
    <m/>
    <m/>
    <m/>
    <n v="230"/>
    <n v="0"/>
    <n v="29657.354635152002"/>
  </r>
  <r>
    <x v="109"/>
    <x v="4"/>
    <x v="48"/>
    <x v="0"/>
    <x v="1"/>
    <x v="1058"/>
    <x v="25"/>
    <s v="NAKİT"/>
    <n v="0.05"/>
    <n v="1500"/>
    <n v="0"/>
    <n v="0"/>
    <m/>
    <m/>
    <m/>
    <m/>
    <n v="75"/>
    <n v="0"/>
    <n v="29732.354635152002"/>
  </r>
  <r>
    <x v="109"/>
    <x v="4"/>
    <x v="150"/>
    <x v="0"/>
    <x v="1"/>
    <x v="1058"/>
    <x v="25"/>
    <s v="NAKİT"/>
    <n v="0.8"/>
    <n v="250"/>
    <n v="0"/>
    <n v="0"/>
    <m/>
    <m/>
    <m/>
    <m/>
    <n v="200"/>
    <n v="0"/>
    <n v="29932.354635152002"/>
  </r>
  <r>
    <x v="109"/>
    <x v="4"/>
    <x v="360"/>
    <x v="0"/>
    <x v="5"/>
    <x v="1059"/>
    <x v="25"/>
    <s v="POS"/>
    <n v="0.22500000000000001"/>
    <n v="600"/>
    <n v="135"/>
    <n v="0"/>
    <m/>
    <m/>
    <m/>
    <m/>
    <n v="0"/>
    <n v="0"/>
    <n v="29932.354635152002"/>
  </r>
  <r>
    <x v="109"/>
    <x v="4"/>
    <x v="150"/>
    <x v="0"/>
    <x v="1"/>
    <x v="1060"/>
    <x v="25"/>
    <s v="NAKİT"/>
    <n v="1"/>
    <n v="250"/>
    <n v="0"/>
    <n v="0"/>
    <m/>
    <m/>
    <m/>
    <m/>
    <n v="250"/>
    <n v="0"/>
    <n v="30182.354635152002"/>
  </r>
  <r>
    <x v="109"/>
    <x v="4"/>
    <x v="245"/>
    <x v="0"/>
    <x v="1"/>
    <x v="1060"/>
    <x v="25"/>
    <s v="NAKİT"/>
    <n v="1"/>
    <n v="90"/>
    <n v="0"/>
    <n v="0"/>
    <m/>
    <m/>
    <m/>
    <m/>
    <n v="90"/>
    <n v="0"/>
    <n v="30272.354635152002"/>
  </r>
  <r>
    <x v="109"/>
    <x v="4"/>
    <x v="127"/>
    <x v="0"/>
    <x v="1"/>
    <x v="1060"/>
    <x v="25"/>
    <s v="NAKİT"/>
    <n v="0.2537313432835821"/>
    <n v="670"/>
    <n v="0"/>
    <n v="0"/>
    <m/>
    <m/>
    <m/>
    <m/>
    <n v="170"/>
    <n v="0"/>
    <n v="30442.354635152002"/>
  </r>
  <r>
    <x v="109"/>
    <x v="0"/>
    <x v="0"/>
    <x v="0"/>
    <x v="0"/>
    <x v="2"/>
    <x v="0"/>
    <s v="CARİ"/>
    <n v="1"/>
    <n v="55000"/>
    <n v="0"/>
    <n v="55000"/>
    <m/>
    <m/>
    <m/>
    <m/>
    <n v="55000"/>
    <n v="0"/>
    <n v="85442.354635152005"/>
  </r>
  <r>
    <x v="109"/>
    <x v="7"/>
    <x v="0"/>
    <x v="0"/>
    <x v="10"/>
    <x v="2"/>
    <x v="118"/>
    <s v="NAKİT"/>
    <n v="1"/>
    <n v="0"/>
    <n v="63800"/>
    <n v="0"/>
    <m/>
    <m/>
    <m/>
    <m/>
    <n v="0"/>
    <n v="63800"/>
    <n v="21642.354635152005"/>
  </r>
  <r>
    <x v="109"/>
    <x v="10"/>
    <x v="0"/>
    <x v="0"/>
    <x v="5"/>
    <x v="2"/>
    <x v="63"/>
    <s v="POS"/>
    <n v="1"/>
    <n v="2546"/>
    <n v="0"/>
    <n v="2546"/>
    <m/>
    <m/>
    <m/>
    <m/>
    <n v="2546"/>
    <n v="0"/>
    <n v="24188.354635152005"/>
  </r>
  <r>
    <x v="109"/>
    <x v="10"/>
    <x v="0"/>
    <x v="0"/>
    <x v="5"/>
    <x v="2"/>
    <x v="63"/>
    <s v="POS"/>
    <n v="1"/>
    <n v="215"/>
    <n v="0"/>
    <n v="215"/>
    <m/>
    <m/>
    <m/>
    <m/>
    <n v="215"/>
    <n v="0"/>
    <n v="24403.354635152005"/>
  </r>
  <r>
    <x v="110"/>
    <x v="4"/>
    <x v="199"/>
    <x v="0"/>
    <x v="5"/>
    <x v="1061"/>
    <x v="25"/>
    <s v="POS"/>
    <n v="1"/>
    <n v="150"/>
    <n v="150"/>
    <n v="0"/>
    <m/>
    <m/>
    <m/>
    <m/>
    <n v="0"/>
    <n v="0"/>
    <n v="24403.354635152005"/>
  </r>
  <r>
    <x v="110"/>
    <x v="4"/>
    <x v="18"/>
    <x v="0"/>
    <x v="1"/>
    <x v="1062"/>
    <x v="25"/>
    <s v="NAKİT"/>
    <n v="1"/>
    <n v="250"/>
    <n v="0"/>
    <n v="0"/>
    <m/>
    <m/>
    <m/>
    <m/>
    <n v="250"/>
    <n v="0"/>
    <n v="24653.354635152005"/>
  </r>
  <r>
    <x v="110"/>
    <x v="4"/>
    <x v="93"/>
    <x v="0"/>
    <x v="5"/>
    <x v="1063"/>
    <x v="25"/>
    <s v="POS"/>
    <n v="1"/>
    <n v="305"/>
    <n v="305"/>
    <n v="0"/>
    <m/>
    <m/>
    <m/>
    <m/>
    <n v="0"/>
    <n v="0"/>
    <n v="24653.354635152005"/>
  </r>
  <r>
    <x v="110"/>
    <x v="4"/>
    <x v="28"/>
    <x v="0"/>
    <x v="5"/>
    <x v="1063"/>
    <x v="25"/>
    <s v="POS"/>
    <n v="0.28999999999999998"/>
    <n v="500"/>
    <n v="145"/>
    <n v="0"/>
    <m/>
    <m/>
    <m/>
    <m/>
    <n v="0"/>
    <n v="0"/>
    <n v="24653.354635152005"/>
  </r>
  <r>
    <x v="110"/>
    <x v="4"/>
    <x v="360"/>
    <x v="0"/>
    <x v="5"/>
    <x v="1063"/>
    <x v="25"/>
    <s v="POS"/>
    <n v="1"/>
    <n v="600"/>
    <n v="600"/>
    <n v="0"/>
    <m/>
    <m/>
    <m/>
    <m/>
    <n v="0"/>
    <n v="0"/>
    <n v="24653.354635152005"/>
  </r>
  <r>
    <x v="110"/>
    <x v="4"/>
    <x v="18"/>
    <x v="0"/>
    <x v="5"/>
    <x v="1064"/>
    <x v="25"/>
    <s v="POS"/>
    <n v="1"/>
    <n v="200"/>
    <n v="200"/>
    <n v="0"/>
    <m/>
    <m/>
    <m/>
    <m/>
    <n v="0"/>
    <n v="0"/>
    <n v="24653.354635152005"/>
  </r>
  <r>
    <x v="110"/>
    <x v="4"/>
    <x v="18"/>
    <x v="0"/>
    <x v="5"/>
    <x v="1065"/>
    <x v="25"/>
    <s v="POS"/>
    <n v="1"/>
    <n v="250"/>
    <n v="250"/>
    <n v="0"/>
    <m/>
    <m/>
    <m/>
    <m/>
    <n v="0"/>
    <n v="0"/>
    <n v="24653.354635152005"/>
  </r>
  <r>
    <x v="110"/>
    <x v="4"/>
    <x v="18"/>
    <x v="0"/>
    <x v="1"/>
    <x v="1066"/>
    <x v="25"/>
    <s v="NAKİT"/>
    <n v="1"/>
    <n v="250"/>
    <n v="0"/>
    <n v="0"/>
    <m/>
    <m/>
    <m/>
    <m/>
    <n v="250"/>
    <n v="0"/>
    <n v="24903.354635152005"/>
  </r>
  <r>
    <x v="110"/>
    <x v="4"/>
    <x v="140"/>
    <x v="0"/>
    <x v="1"/>
    <x v="1067"/>
    <x v="25"/>
    <s v="NAKİT"/>
    <n v="1"/>
    <n v="140"/>
    <n v="0"/>
    <n v="0"/>
    <m/>
    <m/>
    <m/>
    <m/>
    <n v="140"/>
    <n v="0"/>
    <n v="25043.354635152005"/>
  </r>
  <r>
    <x v="110"/>
    <x v="4"/>
    <x v="27"/>
    <x v="0"/>
    <x v="1"/>
    <x v="1067"/>
    <x v="25"/>
    <s v="NAKİT"/>
    <n v="2.75E-2"/>
    <n v="400"/>
    <n v="0"/>
    <n v="0"/>
    <m/>
    <m/>
    <m/>
    <m/>
    <n v="11"/>
    <n v="0"/>
    <n v="25054.354635152005"/>
  </r>
  <r>
    <x v="110"/>
    <x v="4"/>
    <x v="276"/>
    <x v="0"/>
    <x v="1"/>
    <x v="1068"/>
    <x v="25"/>
    <s v="NAKİT"/>
    <n v="0.1"/>
    <n v="900"/>
    <n v="0"/>
    <n v="0"/>
    <m/>
    <m/>
    <m/>
    <m/>
    <n v="90"/>
    <n v="0"/>
    <n v="25144.354635152005"/>
  </r>
  <r>
    <x v="110"/>
    <x v="4"/>
    <x v="18"/>
    <x v="0"/>
    <x v="5"/>
    <x v="1069"/>
    <x v="25"/>
    <s v="POS"/>
    <n v="1"/>
    <n v="250"/>
    <n v="250"/>
    <n v="0"/>
    <m/>
    <m/>
    <m/>
    <m/>
    <n v="0"/>
    <n v="0"/>
    <n v="25144.354635152005"/>
  </r>
  <r>
    <x v="110"/>
    <x v="4"/>
    <x v="199"/>
    <x v="0"/>
    <x v="1"/>
    <x v="1070"/>
    <x v="25"/>
    <s v="NAKİT"/>
    <n v="1"/>
    <n v="150"/>
    <n v="0"/>
    <n v="0"/>
    <m/>
    <m/>
    <m/>
    <m/>
    <n v="150"/>
    <n v="0"/>
    <n v="25294.354635152005"/>
  </r>
  <r>
    <x v="110"/>
    <x v="4"/>
    <x v="59"/>
    <x v="0"/>
    <x v="1"/>
    <x v="1071"/>
    <x v="25"/>
    <s v="NAKİT"/>
    <n v="0.47619047619047616"/>
    <n v="420"/>
    <n v="0"/>
    <n v="0"/>
    <m/>
    <m/>
    <m/>
    <m/>
    <n v="200"/>
    <n v="0"/>
    <n v="25494.354635152005"/>
  </r>
  <r>
    <x v="110"/>
    <x v="4"/>
    <x v="197"/>
    <x v="0"/>
    <x v="1"/>
    <x v="1071"/>
    <x v="25"/>
    <s v="NAKİT"/>
    <n v="0.5"/>
    <n v="200"/>
    <n v="0"/>
    <n v="0"/>
    <m/>
    <m/>
    <m/>
    <m/>
    <n v="100"/>
    <n v="0"/>
    <n v="25594.354635152005"/>
  </r>
  <r>
    <x v="110"/>
    <x v="10"/>
    <x v="0"/>
    <x v="0"/>
    <x v="5"/>
    <x v="2"/>
    <x v="63"/>
    <s v="POS"/>
    <n v="1"/>
    <n v="1107"/>
    <n v="0"/>
    <n v="1107"/>
    <m/>
    <m/>
    <m/>
    <m/>
    <n v="1107"/>
    <n v="0"/>
    <n v="26701.354635152005"/>
  </r>
  <r>
    <x v="110"/>
    <x v="10"/>
    <x v="0"/>
    <x v="0"/>
    <x v="5"/>
    <x v="2"/>
    <x v="63"/>
    <s v="POS"/>
    <n v="1"/>
    <n v="1227"/>
    <n v="0"/>
    <n v="1227"/>
    <m/>
    <m/>
    <m/>
    <m/>
    <n v="1227"/>
    <n v="0"/>
    <n v="27928.354635152005"/>
  </r>
  <r>
    <x v="111"/>
    <x v="4"/>
    <x v="197"/>
    <x v="0"/>
    <x v="1"/>
    <x v="1072"/>
    <x v="25"/>
    <s v="NAKİT"/>
    <n v="0.3"/>
    <n v="200"/>
    <n v="0"/>
    <n v="0"/>
    <m/>
    <m/>
    <m/>
    <m/>
    <n v="60"/>
    <n v="0"/>
    <n v="27988.354635152005"/>
  </r>
  <r>
    <x v="111"/>
    <x v="4"/>
    <x v="58"/>
    <x v="0"/>
    <x v="1"/>
    <x v="1072"/>
    <x v="25"/>
    <s v="NAKİT"/>
    <n v="1"/>
    <n v="230"/>
    <n v="0"/>
    <n v="0"/>
    <m/>
    <m/>
    <m/>
    <m/>
    <n v="230"/>
    <n v="0"/>
    <n v="28218.354635152005"/>
  </r>
  <r>
    <x v="111"/>
    <x v="4"/>
    <x v="291"/>
    <x v="0"/>
    <x v="5"/>
    <x v="1073"/>
    <x v="25"/>
    <s v="POS"/>
    <n v="1"/>
    <n v="290"/>
    <n v="290"/>
    <n v="0"/>
    <m/>
    <m/>
    <m/>
    <m/>
    <n v="0"/>
    <n v="0"/>
    <n v="28218.354635152005"/>
  </r>
  <r>
    <x v="111"/>
    <x v="4"/>
    <x v="258"/>
    <x v="0"/>
    <x v="1"/>
    <x v="1074"/>
    <x v="25"/>
    <s v="NAKİT"/>
    <n v="1"/>
    <n v="125"/>
    <n v="0"/>
    <n v="0"/>
    <m/>
    <m/>
    <m/>
    <m/>
    <n v="125"/>
    <n v="0"/>
    <n v="28343.354635152005"/>
  </r>
  <r>
    <x v="111"/>
    <x v="4"/>
    <x v="18"/>
    <x v="0"/>
    <x v="5"/>
    <x v="1075"/>
    <x v="25"/>
    <s v="POS"/>
    <n v="1"/>
    <n v="250"/>
    <n v="250"/>
    <n v="0"/>
    <m/>
    <m/>
    <m/>
    <m/>
    <n v="0"/>
    <n v="0"/>
    <n v="28343.354635152005"/>
  </r>
  <r>
    <x v="111"/>
    <x v="4"/>
    <x v="58"/>
    <x v="0"/>
    <x v="5"/>
    <x v="1075"/>
    <x v="25"/>
    <s v="POS"/>
    <n v="1"/>
    <n v="230"/>
    <n v="230"/>
    <n v="0"/>
    <m/>
    <m/>
    <m/>
    <m/>
    <n v="0"/>
    <n v="0"/>
    <n v="28343.354635152005"/>
  </r>
  <r>
    <x v="111"/>
    <x v="4"/>
    <x v="27"/>
    <x v="0"/>
    <x v="1"/>
    <x v="1076"/>
    <x v="25"/>
    <s v="NAKİT"/>
    <n v="8.2000000000000003E-2"/>
    <n v="400"/>
    <n v="0"/>
    <n v="0"/>
    <m/>
    <m/>
    <m/>
    <m/>
    <n v="32.800000000000004"/>
    <n v="0"/>
    <n v="28376.154635152005"/>
  </r>
  <r>
    <x v="111"/>
    <x v="4"/>
    <x v="25"/>
    <x v="0"/>
    <x v="1"/>
    <x v="1076"/>
    <x v="25"/>
    <s v="NAKİT"/>
    <n v="9.1999999999999998E-2"/>
    <n v="390"/>
    <n v="0"/>
    <n v="0"/>
    <m/>
    <m/>
    <m/>
    <m/>
    <n v="35.880000000000003"/>
    <n v="0"/>
    <n v="28412.034635152006"/>
  </r>
  <r>
    <x v="111"/>
    <x v="4"/>
    <x v="23"/>
    <x v="0"/>
    <x v="1"/>
    <x v="1076"/>
    <x v="25"/>
    <s v="NAKİT"/>
    <n v="0.156"/>
    <n v="300"/>
    <n v="0"/>
    <n v="0"/>
    <m/>
    <m/>
    <m/>
    <m/>
    <n v="46.8"/>
    <n v="0"/>
    <n v="28458.834635152005"/>
  </r>
  <r>
    <x v="111"/>
    <x v="4"/>
    <x v="28"/>
    <x v="0"/>
    <x v="1"/>
    <x v="1076"/>
    <x v="25"/>
    <s v="NAKİT"/>
    <n v="0.1"/>
    <n v="500"/>
    <n v="0"/>
    <n v="0"/>
    <m/>
    <m/>
    <m/>
    <m/>
    <n v="50"/>
    <n v="0"/>
    <n v="28508.834635152005"/>
  </r>
  <r>
    <x v="111"/>
    <x v="4"/>
    <x v="52"/>
    <x v="0"/>
    <x v="1"/>
    <x v="1076"/>
    <x v="25"/>
    <s v="NAKİT"/>
    <n v="0.1"/>
    <n v="400"/>
    <n v="0"/>
    <n v="0"/>
    <m/>
    <m/>
    <m/>
    <m/>
    <n v="40"/>
    <n v="0"/>
    <n v="28548.834635152005"/>
  </r>
  <r>
    <x v="111"/>
    <x v="4"/>
    <x v="34"/>
    <x v="0"/>
    <x v="1"/>
    <x v="1076"/>
    <x v="25"/>
    <s v="NAKİT"/>
    <n v="0.1"/>
    <n v="350"/>
    <n v="0"/>
    <n v="0"/>
    <m/>
    <m/>
    <m/>
    <m/>
    <n v="35"/>
    <n v="0"/>
    <n v="28583.834635152005"/>
  </r>
  <r>
    <x v="111"/>
    <x v="4"/>
    <x v="161"/>
    <x v="0"/>
    <x v="5"/>
    <x v="1077"/>
    <x v="35"/>
    <s v="POS"/>
    <n v="2"/>
    <n v="250"/>
    <n v="500"/>
    <n v="0"/>
    <m/>
    <m/>
    <m/>
    <m/>
    <n v="0"/>
    <n v="0"/>
    <n v="28583.834635152005"/>
  </r>
  <r>
    <x v="111"/>
    <x v="4"/>
    <x v="28"/>
    <x v="0"/>
    <x v="5"/>
    <x v="1077"/>
    <x v="35"/>
    <s v="POS"/>
    <n v="1"/>
    <n v="260"/>
    <n v="260"/>
    <n v="0"/>
    <m/>
    <m/>
    <m/>
    <m/>
    <n v="0"/>
    <n v="0"/>
    <n v="28583.834635152005"/>
  </r>
  <r>
    <x v="111"/>
    <x v="4"/>
    <x v="33"/>
    <x v="0"/>
    <x v="5"/>
    <x v="1077"/>
    <x v="35"/>
    <s v="POS"/>
    <n v="1"/>
    <n v="235"/>
    <n v="235"/>
    <n v="0"/>
    <m/>
    <m/>
    <m/>
    <m/>
    <n v="0"/>
    <n v="0"/>
    <n v="28583.834635152005"/>
  </r>
  <r>
    <x v="111"/>
    <x v="4"/>
    <x v="31"/>
    <x v="0"/>
    <x v="5"/>
    <x v="1077"/>
    <x v="35"/>
    <s v="POS"/>
    <n v="1"/>
    <n v="235"/>
    <n v="235"/>
    <n v="0"/>
    <m/>
    <m/>
    <m/>
    <m/>
    <n v="0"/>
    <n v="0"/>
    <n v="28583.834635152005"/>
  </r>
  <r>
    <x v="111"/>
    <x v="4"/>
    <x v="240"/>
    <x v="0"/>
    <x v="5"/>
    <x v="1078"/>
    <x v="25"/>
    <s v="POS"/>
    <n v="0.45652173913043476"/>
    <n v="230"/>
    <n v="105"/>
    <n v="0"/>
    <m/>
    <m/>
    <m/>
    <m/>
    <n v="0"/>
    <n v="0"/>
    <n v="28583.834635152005"/>
  </r>
  <r>
    <x v="111"/>
    <x v="4"/>
    <x v="312"/>
    <x v="0"/>
    <x v="5"/>
    <x v="1078"/>
    <x v="25"/>
    <s v="POS"/>
    <n v="0.5"/>
    <n v="300"/>
    <n v="150"/>
    <n v="0"/>
    <m/>
    <m/>
    <m/>
    <m/>
    <n v="0"/>
    <n v="0"/>
    <n v="28583.834635152005"/>
  </r>
  <r>
    <x v="111"/>
    <x v="4"/>
    <x v="102"/>
    <x v="0"/>
    <x v="1"/>
    <x v="1079"/>
    <x v="25"/>
    <s v="NAKİT"/>
    <n v="0.1"/>
    <n v="500"/>
    <n v="0"/>
    <n v="0"/>
    <m/>
    <m/>
    <m/>
    <m/>
    <n v="50"/>
    <n v="0"/>
    <n v="28633.834635152005"/>
  </r>
  <r>
    <x v="111"/>
    <x v="4"/>
    <x v="66"/>
    <x v="0"/>
    <x v="1"/>
    <x v="1080"/>
    <x v="25"/>
    <s v="NAKİT"/>
    <n v="0.12"/>
    <n v="420"/>
    <n v="0"/>
    <n v="0"/>
    <m/>
    <m/>
    <m/>
    <m/>
    <n v="50.4"/>
    <n v="0"/>
    <n v="28684.234635152006"/>
  </r>
  <r>
    <x v="111"/>
    <x v="4"/>
    <x v="241"/>
    <x v="0"/>
    <x v="1"/>
    <x v="1080"/>
    <x v="25"/>
    <s v="NAKİT"/>
    <n v="0.5"/>
    <n v="60"/>
    <n v="0"/>
    <n v="0"/>
    <m/>
    <m/>
    <m/>
    <m/>
    <n v="30"/>
    <n v="0"/>
    <n v="28714.234635152006"/>
  </r>
  <r>
    <x v="111"/>
    <x v="4"/>
    <x v="38"/>
    <x v="0"/>
    <x v="5"/>
    <x v="1081"/>
    <x v="25"/>
    <s v="POS"/>
    <n v="0.1"/>
    <n v="650"/>
    <n v="65"/>
    <n v="0"/>
    <m/>
    <m/>
    <m/>
    <m/>
    <n v="0"/>
    <n v="0"/>
    <n v="28714.234635152006"/>
  </r>
  <r>
    <x v="111"/>
    <x v="4"/>
    <x v="23"/>
    <x v="0"/>
    <x v="5"/>
    <x v="1082"/>
    <x v="25"/>
    <s v="POS"/>
    <n v="0.182"/>
    <n v="300"/>
    <n v="54.6"/>
    <n v="0"/>
    <m/>
    <m/>
    <m/>
    <m/>
    <n v="0"/>
    <n v="0"/>
    <n v="28714.234635152006"/>
  </r>
  <r>
    <x v="111"/>
    <x v="4"/>
    <x v="22"/>
    <x v="0"/>
    <x v="5"/>
    <x v="1082"/>
    <x v="25"/>
    <s v="POS"/>
    <n v="0.21"/>
    <n v="400"/>
    <n v="84"/>
    <n v="0"/>
    <m/>
    <m/>
    <m/>
    <m/>
    <n v="0"/>
    <n v="0"/>
    <n v="28714.234635152006"/>
  </r>
  <r>
    <x v="111"/>
    <x v="4"/>
    <x v="30"/>
    <x v="0"/>
    <x v="5"/>
    <x v="1082"/>
    <x v="25"/>
    <s v="POS"/>
    <n v="0.378"/>
    <n v="500"/>
    <n v="189"/>
    <n v="0"/>
    <m/>
    <m/>
    <m/>
    <m/>
    <n v="0"/>
    <n v="0"/>
    <n v="28714.234635152006"/>
  </r>
  <r>
    <x v="111"/>
    <x v="10"/>
    <x v="0"/>
    <x v="0"/>
    <x v="5"/>
    <x v="2"/>
    <x v="63"/>
    <s v="POS"/>
    <n v="1"/>
    <n v="540"/>
    <n v="0"/>
    <n v="540"/>
    <m/>
    <m/>
    <m/>
    <m/>
    <n v="540"/>
    <n v="0"/>
    <n v="29254.234635152006"/>
  </r>
  <r>
    <x v="112"/>
    <x v="4"/>
    <x v="248"/>
    <x v="0"/>
    <x v="1"/>
    <x v="1083"/>
    <x v="25"/>
    <s v="NAKİT"/>
    <n v="0.27536231884057971"/>
    <n v="727"/>
    <n v="0"/>
    <n v="0"/>
    <m/>
    <m/>
    <m/>
    <m/>
    <n v="200.18840579710144"/>
    <n v="0"/>
    <n v="29454.423040949107"/>
  </r>
  <r>
    <x v="112"/>
    <x v="4"/>
    <x v="70"/>
    <x v="0"/>
    <x v="1"/>
    <x v="1084"/>
    <x v="25"/>
    <s v="NAKİT"/>
    <n v="0.2608695652173913"/>
    <n v="230"/>
    <n v="0"/>
    <n v="0"/>
    <m/>
    <m/>
    <m/>
    <m/>
    <n v="60"/>
    <n v="0"/>
    <n v="29514.423040949107"/>
  </r>
  <r>
    <x v="112"/>
    <x v="4"/>
    <x v="22"/>
    <x v="0"/>
    <x v="1"/>
    <x v="1084"/>
    <x v="25"/>
    <s v="NAKİT"/>
    <n v="0.1875"/>
    <n v="400"/>
    <n v="0"/>
    <n v="0"/>
    <m/>
    <m/>
    <m/>
    <m/>
    <n v="75"/>
    <n v="0"/>
    <n v="29589.423040949107"/>
  </r>
  <r>
    <x v="112"/>
    <x v="4"/>
    <x v="344"/>
    <x v="0"/>
    <x v="1"/>
    <x v="1084"/>
    <x v="25"/>
    <s v="NAKİT"/>
    <n v="0.22222222222222221"/>
    <n v="450"/>
    <n v="0"/>
    <n v="0"/>
    <m/>
    <m/>
    <m/>
    <m/>
    <n v="100"/>
    <n v="0"/>
    <n v="29689.423040949107"/>
  </r>
  <r>
    <x v="112"/>
    <x v="4"/>
    <x v="244"/>
    <x v="0"/>
    <x v="1"/>
    <x v="1085"/>
    <x v="25"/>
    <s v="NAKİT"/>
    <n v="1.5"/>
    <n v="120"/>
    <n v="0"/>
    <n v="0"/>
    <m/>
    <m/>
    <m/>
    <m/>
    <n v="180"/>
    <n v="0"/>
    <n v="29869.423040949107"/>
  </r>
  <r>
    <x v="112"/>
    <x v="4"/>
    <x v="127"/>
    <x v="0"/>
    <x v="5"/>
    <x v="1086"/>
    <x v="25"/>
    <s v="POS"/>
    <n v="1"/>
    <n v="650"/>
    <n v="650"/>
    <n v="0"/>
    <m/>
    <m/>
    <m/>
    <m/>
    <n v="0"/>
    <n v="0"/>
    <n v="29869.423040949107"/>
  </r>
  <r>
    <x v="112"/>
    <x v="4"/>
    <x v="22"/>
    <x v="0"/>
    <x v="1"/>
    <x v="1087"/>
    <x v="25"/>
    <s v="NAKİT"/>
    <n v="9.8000000000000004E-2"/>
    <n v="400"/>
    <n v="0"/>
    <n v="0"/>
    <m/>
    <m/>
    <m/>
    <m/>
    <n v="39.200000000000003"/>
    <n v="0"/>
    <n v="29908.623040949107"/>
  </r>
  <r>
    <x v="112"/>
    <x v="4"/>
    <x v="16"/>
    <x v="0"/>
    <x v="5"/>
    <x v="1088"/>
    <x v="25"/>
    <s v="POS"/>
    <n v="1"/>
    <n v="165"/>
    <n v="165"/>
    <n v="0"/>
    <m/>
    <m/>
    <m/>
    <m/>
    <n v="0"/>
    <n v="0"/>
    <n v="29908.623040949107"/>
  </r>
  <r>
    <x v="112"/>
    <x v="4"/>
    <x v="241"/>
    <x v="0"/>
    <x v="5"/>
    <x v="1088"/>
    <x v="25"/>
    <s v="POS"/>
    <n v="0.5"/>
    <n v="60"/>
    <n v="30"/>
    <n v="0"/>
    <m/>
    <m/>
    <m/>
    <m/>
    <n v="0"/>
    <n v="0"/>
    <n v="29908.623040949107"/>
  </r>
  <r>
    <x v="112"/>
    <x v="4"/>
    <x v="194"/>
    <x v="0"/>
    <x v="1"/>
    <x v="1088"/>
    <x v="25"/>
    <s v="NAKİT"/>
    <n v="1"/>
    <n v="270"/>
    <n v="0"/>
    <n v="0"/>
    <m/>
    <m/>
    <m/>
    <m/>
    <n v="270"/>
    <n v="0"/>
    <n v="30178.623040949107"/>
  </r>
  <r>
    <x v="112"/>
    <x v="4"/>
    <x v="217"/>
    <x v="0"/>
    <x v="1"/>
    <x v="1089"/>
    <x v="25"/>
    <s v="NAKİT"/>
    <n v="1"/>
    <n v="220"/>
    <n v="0"/>
    <n v="0"/>
    <m/>
    <m/>
    <m/>
    <m/>
    <n v="220"/>
    <n v="0"/>
    <n v="30398.623040949107"/>
  </r>
  <r>
    <x v="112"/>
    <x v="4"/>
    <x v="38"/>
    <x v="0"/>
    <x v="1"/>
    <x v="1090"/>
    <x v="25"/>
    <s v="NAKİT"/>
    <n v="0.1"/>
    <n v="650"/>
    <n v="0"/>
    <n v="0"/>
    <m/>
    <m/>
    <m/>
    <m/>
    <n v="65"/>
    <n v="0"/>
    <n v="30463.623040949107"/>
  </r>
  <r>
    <x v="112"/>
    <x v="4"/>
    <x v="345"/>
    <x v="0"/>
    <x v="1"/>
    <x v="1091"/>
    <x v="25"/>
    <s v="NAKİT"/>
    <n v="0.5"/>
    <n v="400"/>
    <n v="0"/>
    <n v="0"/>
    <m/>
    <m/>
    <m/>
    <m/>
    <n v="200"/>
    <n v="0"/>
    <n v="30663.623040949107"/>
  </r>
  <r>
    <x v="112"/>
    <x v="7"/>
    <x v="0"/>
    <x v="0"/>
    <x v="4"/>
    <x v="2"/>
    <x v="104"/>
    <s v="NAKİT"/>
    <n v="1"/>
    <n v="0"/>
    <n v="20000"/>
    <n v="0"/>
    <m/>
    <m/>
    <m/>
    <m/>
    <n v="0"/>
    <n v="20000"/>
    <n v="10663.623040949107"/>
  </r>
  <r>
    <x v="112"/>
    <x v="10"/>
    <x v="0"/>
    <x v="0"/>
    <x v="5"/>
    <x v="2"/>
    <x v="63"/>
    <s v="POS"/>
    <n v="1"/>
    <n v="680"/>
    <n v="0"/>
    <n v="680"/>
    <n v="540"/>
    <m/>
    <m/>
    <m/>
    <n v="680"/>
    <n v="0"/>
    <n v="11343.623040949107"/>
  </r>
  <r>
    <x v="112"/>
    <x v="10"/>
    <x v="0"/>
    <x v="0"/>
    <x v="5"/>
    <x v="2"/>
    <x v="63"/>
    <s v="POS"/>
    <n v="1"/>
    <n v="3914"/>
    <n v="0"/>
    <n v="3914"/>
    <m/>
    <m/>
    <m/>
    <m/>
    <n v="3914"/>
    <n v="0"/>
    <n v="15257.623040949107"/>
  </r>
  <r>
    <x v="113"/>
    <x v="4"/>
    <x v="66"/>
    <x v="0"/>
    <x v="5"/>
    <x v="1092"/>
    <x v="25"/>
    <s v="POS"/>
    <n v="0.12"/>
    <n v="417"/>
    <n v="50.04"/>
    <n v="0"/>
    <m/>
    <m/>
    <m/>
    <m/>
    <n v="0"/>
    <n v="0"/>
    <n v="15257.623040949107"/>
  </r>
  <r>
    <x v="113"/>
    <x v="4"/>
    <x v="344"/>
    <x v="0"/>
    <x v="5"/>
    <x v="1093"/>
    <x v="25"/>
    <s v="POS"/>
    <n v="0.22222222222222221"/>
    <n v="450"/>
    <n v="100"/>
    <n v="0"/>
    <m/>
    <m/>
    <m/>
    <m/>
    <n v="0"/>
    <n v="0"/>
    <n v="15257.623040949107"/>
  </r>
  <r>
    <x v="113"/>
    <x v="4"/>
    <x v="52"/>
    <x v="0"/>
    <x v="5"/>
    <x v="1093"/>
    <x v="25"/>
    <s v="POS"/>
    <n v="0.1"/>
    <n v="400"/>
    <n v="40"/>
    <n v="0"/>
    <m/>
    <m/>
    <m/>
    <m/>
    <n v="0"/>
    <n v="0"/>
    <n v="15257.623040949107"/>
  </r>
  <r>
    <x v="113"/>
    <x v="4"/>
    <x v="241"/>
    <x v="0"/>
    <x v="1"/>
    <x v="1094"/>
    <x v="25"/>
    <s v="NAKİT"/>
    <n v="1"/>
    <n v="60"/>
    <n v="0"/>
    <n v="0"/>
    <m/>
    <m/>
    <m/>
    <m/>
    <n v="60"/>
    <n v="0"/>
    <n v="15317.623040949107"/>
  </r>
  <r>
    <x v="113"/>
    <x v="4"/>
    <x v="161"/>
    <x v="0"/>
    <x v="1"/>
    <x v="1094"/>
    <x v="25"/>
    <s v="NAKİT"/>
    <n v="0.51351351351351349"/>
    <n v="370"/>
    <n v="0"/>
    <n v="0"/>
    <m/>
    <m/>
    <m/>
    <m/>
    <n v="190"/>
    <n v="0"/>
    <n v="15507.623040949107"/>
  </r>
  <r>
    <x v="113"/>
    <x v="4"/>
    <x v="150"/>
    <x v="0"/>
    <x v="1"/>
    <x v="1094"/>
    <x v="25"/>
    <s v="NAKİT"/>
    <n v="1"/>
    <n v="250"/>
    <n v="0"/>
    <n v="0"/>
    <m/>
    <m/>
    <m/>
    <m/>
    <n v="250"/>
    <n v="0"/>
    <n v="15757.623040949107"/>
  </r>
  <r>
    <x v="113"/>
    <x v="4"/>
    <x v="289"/>
    <x v="0"/>
    <x v="1"/>
    <x v="1094"/>
    <x v="25"/>
    <s v="NAKİT"/>
    <n v="0.55555555555555558"/>
    <n v="360"/>
    <n v="0"/>
    <n v="0"/>
    <m/>
    <m/>
    <m/>
    <m/>
    <n v="200"/>
    <n v="0"/>
    <n v="15957.623040949107"/>
  </r>
  <r>
    <x v="113"/>
    <x v="4"/>
    <x v="347"/>
    <x v="0"/>
    <x v="1"/>
    <x v="1095"/>
    <x v="25"/>
    <s v="NAKİT"/>
    <n v="1"/>
    <n v="600"/>
    <n v="0"/>
    <n v="0"/>
    <m/>
    <m/>
    <m/>
    <m/>
    <n v="600"/>
    <n v="0"/>
    <n v="16557.623040949107"/>
  </r>
  <r>
    <x v="113"/>
    <x v="4"/>
    <x v="18"/>
    <x v="0"/>
    <x v="5"/>
    <x v="1096"/>
    <x v="25"/>
    <s v="POS"/>
    <n v="0.5"/>
    <n v="250"/>
    <n v="125"/>
    <n v="0"/>
    <m/>
    <m/>
    <m/>
    <m/>
    <n v="0"/>
    <n v="0"/>
    <n v="16557.623040949107"/>
  </r>
  <r>
    <x v="113"/>
    <x v="4"/>
    <x v="58"/>
    <x v="0"/>
    <x v="5"/>
    <x v="1096"/>
    <x v="25"/>
    <s v="POS"/>
    <n v="0.5"/>
    <n v="230"/>
    <n v="115"/>
    <n v="0"/>
    <m/>
    <m/>
    <m/>
    <m/>
    <n v="0"/>
    <n v="0"/>
    <n v="16557.623040949107"/>
  </r>
  <r>
    <x v="113"/>
    <x v="4"/>
    <x v="312"/>
    <x v="0"/>
    <x v="5"/>
    <x v="1097"/>
    <x v="25"/>
    <s v="POS"/>
    <n v="0.5"/>
    <n v="300"/>
    <n v="150"/>
    <n v="0"/>
    <m/>
    <m/>
    <m/>
    <m/>
    <n v="0"/>
    <n v="0"/>
    <n v="16557.623040949107"/>
  </r>
  <r>
    <x v="113"/>
    <x v="4"/>
    <x v="233"/>
    <x v="0"/>
    <x v="1"/>
    <x v="1098"/>
    <x v="25"/>
    <s v="NAKİT"/>
    <n v="1"/>
    <n v="400"/>
    <n v="0"/>
    <n v="0"/>
    <m/>
    <m/>
    <m/>
    <m/>
    <n v="400"/>
    <n v="0"/>
    <n v="16957.623040949107"/>
  </r>
  <r>
    <x v="113"/>
    <x v="4"/>
    <x v="18"/>
    <x v="0"/>
    <x v="1"/>
    <x v="1098"/>
    <x v="25"/>
    <s v="NAKİT"/>
    <n v="0.5"/>
    <n v="250"/>
    <n v="0"/>
    <n v="0"/>
    <m/>
    <m/>
    <m/>
    <m/>
    <n v="125"/>
    <n v="0"/>
    <n v="17082.623040949107"/>
  </r>
  <r>
    <x v="113"/>
    <x v="4"/>
    <x v="58"/>
    <x v="0"/>
    <x v="1"/>
    <x v="1098"/>
    <x v="25"/>
    <s v="NAKİT"/>
    <n v="0.5"/>
    <n v="230"/>
    <n v="0"/>
    <n v="0"/>
    <m/>
    <m/>
    <m/>
    <m/>
    <n v="115"/>
    <n v="0"/>
    <n v="17197.623040949107"/>
  </r>
  <r>
    <x v="113"/>
    <x v="4"/>
    <x v="30"/>
    <x v="0"/>
    <x v="1"/>
    <x v="1098"/>
    <x v="25"/>
    <s v="NAKİT"/>
    <n v="0.26600000000000001"/>
    <n v="500"/>
    <n v="0"/>
    <n v="0"/>
    <m/>
    <m/>
    <m/>
    <m/>
    <n v="133"/>
    <n v="0"/>
    <n v="17330.623040949107"/>
  </r>
  <r>
    <x v="113"/>
    <x v="4"/>
    <x v="38"/>
    <x v="0"/>
    <x v="5"/>
    <x v="1099"/>
    <x v="25"/>
    <s v="POS"/>
    <n v="0.374"/>
    <n v="650"/>
    <n v="243.1"/>
    <n v="0"/>
    <m/>
    <m/>
    <m/>
    <m/>
    <n v="0"/>
    <n v="0"/>
    <n v="17330.623040949107"/>
  </r>
  <r>
    <x v="113"/>
    <x v="4"/>
    <x v="116"/>
    <x v="0"/>
    <x v="5"/>
    <x v="1099"/>
    <x v="25"/>
    <s v="POS"/>
    <n v="0.28000000000000003"/>
    <n v="430"/>
    <n v="120.4"/>
    <n v="0"/>
    <m/>
    <m/>
    <m/>
    <m/>
    <n v="0"/>
    <n v="0"/>
    <n v="17330.623040949107"/>
  </r>
  <r>
    <x v="113"/>
    <x v="4"/>
    <x v="248"/>
    <x v="0"/>
    <x v="1"/>
    <x v="1100"/>
    <x v="25"/>
    <s v="NAKİT"/>
    <n v="0.22"/>
    <n v="690"/>
    <n v="0"/>
    <n v="0"/>
    <m/>
    <m/>
    <m/>
    <m/>
    <n v="151.80000000000001"/>
    <n v="0"/>
    <n v="17482.423040949107"/>
  </r>
  <r>
    <x v="113"/>
    <x v="4"/>
    <x v="347"/>
    <x v="0"/>
    <x v="1"/>
    <x v="1100"/>
    <x v="25"/>
    <s v="NAKİT"/>
    <n v="0.23200000000000001"/>
    <n v="570"/>
    <n v="0"/>
    <n v="0"/>
    <m/>
    <m/>
    <m/>
    <m/>
    <n v="132.24"/>
    <n v="0"/>
    <n v="17614.663040949108"/>
  </r>
  <r>
    <x v="113"/>
    <x v="4"/>
    <x v="286"/>
    <x v="0"/>
    <x v="1"/>
    <x v="1100"/>
    <x v="25"/>
    <s v="NAKİT"/>
    <n v="2.27"/>
    <n v="65"/>
    <n v="0"/>
    <n v="0"/>
    <m/>
    <m/>
    <m/>
    <m/>
    <n v="147.55000000000001"/>
    <n v="0"/>
    <n v="17762.213040949107"/>
  </r>
  <r>
    <x v="113"/>
    <x v="4"/>
    <x v="32"/>
    <x v="0"/>
    <x v="1"/>
    <x v="1100"/>
    <x v="25"/>
    <s v="NAKİT"/>
    <n v="0.25"/>
    <n v="370"/>
    <n v="0"/>
    <n v="0"/>
    <m/>
    <m/>
    <m/>
    <m/>
    <n v="92.5"/>
    <n v="0"/>
    <n v="17854.713040949107"/>
  </r>
  <r>
    <x v="113"/>
    <x v="4"/>
    <x v="161"/>
    <x v="0"/>
    <x v="1"/>
    <x v="1100"/>
    <x v="25"/>
    <s v="NAKİT"/>
    <n v="0.25"/>
    <n v="370"/>
    <n v="0"/>
    <n v="0"/>
    <m/>
    <m/>
    <m/>
    <m/>
    <n v="92.5"/>
    <n v="0"/>
    <n v="17947.213040949107"/>
  </r>
  <r>
    <x v="113"/>
    <x v="4"/>
    <x v="30"/>
    <x v="0"/>
    <x v="1"/>
    <x v="1100"/>
    <x v="25"/>
    <s v="NAKİT"/>
    <n v="0.20399999999999999"/>
    <n v="500"/>
    <n v="0"/>
    <n v="0"/>
    <m/>
    <m/>
    <m/>
    <m/>
    <n v="102"/>
    <n v="0"/>
    <n v="18049.213040949107"/>
  </r>
  <r>
    <x v="113"/>
    <x v="4"/>
    <x v="150"/>
    <x v="0"/>
    <x v="1"/>
    <x v="1100"/>
    <x v="25"/>
    <s v="NAKİT"/>
    <n v="1.1499999999999999"/>
    <n v="250"/>
    <n v="0"/>
    <n v="0"/>
    <m/>
    <m/>
    <m/>
    <m/>
    <n v="287.5"/>
    <n v="0"/>
    <n v="18336.713040949107"/>
  </r>
  <r>
    <x v="113"/>
    <x v="4"/>
    <x v="21"/>
    <x v="0"/>
    <x v="5"/>
    <x v="1101"/>
    <x v="25"/>
    <s v="POS"/>
    <n v="1"/>
    <n v="250"/>
    <n v="250"/>
    <n v="0"/>
    <m/>
    <m/>
    <m/>
    <m/>
    <n v="0"/>
    <n v="0"/>
    <n v="18336.713040949107"/>
  </r>
  <r>
    <x v="113"/>
    <x v="4"/>
    <x v="18"/>
    <x v="0"/>
    <x v="5"/>
    <x v="1101"/>
    <x v="25"/>
    <s v="POS"/>
    <n v="1"/>
    <n v="250"/>
    <n v="250"/>
    <n v="0"/>
    <m/>
    <m/>
    <m/>
    <m/>
    <n v="0"/>
    <n v="0"/>
    <n v="18336.713040949107"/>
  </r>
  <r>
    <x v="113"/>
    <x v="4"/>
    <x v="196"/>
    <x v="0"/>
    <x v="5"/>
    <x v="1101"/>
    <x v="25"/>
    <s v="POS"/>
    <n v="1"/>
    <n v="350"/>
    <n v="350"/>
    <n v="0"/>
    <m/>
    <m/>
    <m/>
    <m/>
    <n v="0"/>
    <n v="0"/>
    <n v="18336.713040949107"/>
  </r>
  <r>
    <x v="113"/>
    <x v="4"/>
    <x v="33"/>
    <x v="0"/>
    <x v="5"/>
    <x v="1101"/>
    <x v="25"/>
    <s v="POS"/>
    <n v="0.13900000000000001"/>
    <n v="360"/>
    <n v="50.040000000000006"/>
    <n v="0"/>
    <m/>
    <m/>
    <m/>
    <m/>
    <n v="0"/>
    <n v="0"/>
    <n v="18336.713040949107"/>
  </r>
  <r>
    <x v="113"/>
    <x v="4"/>
    <x v="36"/>
    <x v="0"/>
    <x v="5"/>
    <x v="1101"/>
    <x v="25"/>
    <s v="POS"/>
    <n v="0.25"/>
    <n v="180"/>
    <n v="45"/>
    <n v="0"/>
    <m/>
    <m/>
    <m/>
    <m/>
    <n v="0"/>
    <n v="0"/>
    <n v="18336.713040949107"/>
  </r>
  <r>
    <x v="113"/>
    <x v="4"/>
    <x v="312"/>
    <x v="0"/>
    <x v="5"/>
    <x v="1101"/>
    <x v="25"/>
    <s v="POS"/>
    <n v="0.5"/>
    <n v="300"/>
    <n v="150"/>
    <n v="0"/>
    <m/>
    <m/>
    <m/>
    <m/>
    <n v="0"/>
    <n v="0"/>
    <n v="18336.713040949107"/>
  </r>
  <r>
    <x v="113"/>
    <x v="10"/>
    <x v="0"/>
    <x v="0"/>
    <x v="5"/>
    <x v="2"/>
    <x v="63"/>
    <s v="POS"/>
    <n v="1"/>
    <n v="530"/>
    <n v="0"/>
    <n v="530"/>
    <m/>
    <m/>
    <m/>
    <m/>
    <n v="530"/>
    <n v="0"/>
    <n v="18866.713040949107"/>
  </r>
  <r>
    <x v="113"/>
    <x v="10"/>
    <x v="0"/>
    <x v="0"/>
    <x v="5"/>
    <x v="2"/>
    <x v="63"/>
    <s v="POS"/>
    <n v="1"/>
    <n v="1203"/>
    <n v="0"/>
    <n v="1203"/>
    <m/>
    <m/>
    <m/>
    <m/>
    <n v="1203"/>
    <n v="0"/>
    <n v="20069.713040949107"/>
  </r>
  <r>
    <x v="114"/>
    <x v="4"/>
    <x v="345"/>
    <x v="0"/>
    <x v="1"/>
    <x v="1102"/>
    <x v="25"/>
    <s v="NAKİT"/>
    <n v="1"/>
    <n v="400"/>
    <n v="0"/>
    <n v="0"/>
    <m/>
    <m/>
    <m/>
    <m/>
    <n v="400"/>
    <n v="0"/>
    <n v="20469.713040949107"/>
  </r>
  <r>
    <x v="114"/>
    <x v="4"/>
    <x v="28"/>
    <x v="0"/>
    <x v="1"/>
    <x v="1102"/>
    <x v="25"/>
    <s v="NAKİT"/>
    <n v="0.2"/>
    <n v="500"/>
    <n v="0"/>
    <n v="0"/>
    <m/>
    <m/>
    <m/>
    <m/>
    <n v="100"/>
    <n v="0"/>
    <n v="20569.713040949107"/>
  </r>
  <r>
    <x v="114"/>
    <x v="4"/>
    <x v="281"/>
    <x v="0"/>
    <x v="1"/>
    <x v="1102"/>
    <x v="25"/>
    <s v="NAKİT"/>
    <n v="1"/>
    <n v="170"/>
    <n v="0"/>
    <n v="0"/>
    <m/>
    <m/>
    <m/>
    <m/>
    <n v="170"/>
    <n v="0"/>
    <n v="20739.713040949107"/>
  </r>
  <r>
    <x v="114"/>
    <x v="4"/>
    <x v="18"/>
    <x v="0"/>
    <x v="1"/>
    <x v="1102"/>
    <x v="25"/>
    <s v="NAKİT"/>
    <n v="0.5"/>
    <n v="250"/>
    <n v="0"/>
    <n v="0"/>
    <m/>
    <m/>
    <m/>
    <m/>
    <n v="125"/>
    <n v="0"/>
    <n v="20864.713040949107"/>
  </r>
  <r>
    <x v="114"/>
    <x v="4"/>
    <x v="58"/>
    <x v="0"/>
    <x v="1"/>
    <x v="1102"/>
    <x v="25"/>
    <s v="NAKİT"/>
    <n v="0.5"/>
    <n v="230"/>
    <n v="0"/>
    <n v="0"/>
    <m/>
    <m/>
    <m/>
    <m/>
    <n v="115"/>
    <n v="0"/>
    <n v="20979.713040949107"/>
  </r>
  <r>
    <x v="114"/>
    <x v="4"/>
    <x v="161"/>
    <x v="0"/>
    <x v="1"/>
    <x v="1103"/>
    <x v="25"/>
    <s v="NAKİT"/>
    <n v="0.14799999999999999"/>
    <n v="370"/>
    <n v="0"/>
    <n v="0"/>
    <m/>
    <m/>
    <m/>
    <m/>
    <n v="54.76"/>
    <n v="0"/>
    <n v="21034.473040949106"/>
  </r>
  <r>
    <x v="114"/>
    <x v="4"/>
    <x v="28"/>
    <x v="0"/>
    <x v="1"/>
    <x v="1103"/>
    <x v="25"/>
    <s v="NAKİT"/>
    <n v="0.184"/>
    <n v="500"/>
    <n v="0"/>
    <n v="0"/>
    <m/>
    <m/>
    <m/>
    <m/>
    <n v="92"/>
    <n v="0"/>
    <n v="21126.473040949106"/>
  </r>
  <r>
    <x v="114"/>
    <x v="4"/>
    <x v="30"/>
    <x v="0"/>
    <x v="1"/>
    <x v="1103"/>
    <x v="25"/>
    <s v="NAKİT"/>
    <n v="0.186"/>
    <n v="500"/>
    <n v="0"/>
    <n v="0"/>
    <m/>
    <m/>
    <m/>
    <m/>
    <n v="93"/>
    <n v="0"/>
    <n v="21219.473040949106"/>
  </r>
  <r>
    <x v="114"/>
    <x v="4"/>
    <x v="314"/>
    <x v="0"/>
    <x v="1"/>
    <x v="1103"/>
    <x v="25"/>
    <s v="NAKİT"/>
    <n v="1"/>
    <n v="140"/>
    <n v="0"/>
    <n v="0"/>
    <m/>
    <m/>
    <m/>
    <m/>
    <n v="140"/>
    <n v="0"/>
    <n v="21359.473040949106"/>
  </r>
  <r>
    <x v="114"/>
    <x v="4"/>
    <x v="161"/>
    <x v="0"/>
    <x v="1"/>
    <x v="1104"/>
    <x v="25"/>
    <s v="NAKİT"/>
    <n v="0.14799999999999999"/>
    <n v="370"/>
    <n v="0"/>
    <n v="0"/>
    <m/>
    <m/>
    <m/>
    <m/>
    <n v="54.76"/>
    <n v="0"/>
    <n v="21414.233040949104"/>
  </r>
  <r>
    <x v="114"/>
    <x v="4"/>
    <x v="289"/>
    <x v="0"/>
    <x v="1"/>
    <x v="1104"/>
    <x v="25"/>
    <s v="NAKİT"/>
    <n v="0.32200000000000001"/>
    <n v="360"/>
    <n v="0"/>
    <n v="0"/>
    <m/>
    <m/>
    <m/>
    <m/>
    <n v="115.92"/>
    <n v="0"/>
    <n v="21530.153040949102"/>
  </r>
  <r>
    <x v="114"/>
    <x v="4"/>
    <x v="88"/>
    <x v="0"/>
    <x v="1"/>
    <x v="1104"/>
    <x v="25"/>
    <s v="NAKİT"/>
    <n v="0.05"/>
    <n v="1200"/>
    <n v="0"/>
    <n v="0"/>
    <m/>
    <m/>
    <m/>
    <m/>
    <n v="60"/>
    <n v="0"/>
    <n v="21590.153040949102"/>
  </r>
  <r>
    <x v="114"/>
    <x v="4"/>
    <x v="141"/>
    <x v="0"/>
    <x v="5"/>
    <x v="1105"/>
    <x v="25"/>
    <s v="POS"/>
    <n v="1"/>
    <n v="100"/>
    <n v="100"/>
    <n v="0"/>
    <m/>
    <m/>
    <m/>
    <m/>
    <n v="0"/>
    <n v="0"/>
    <n v="21590.153040949102"/>
  </r>
  <r>
    <x v="114"/>
    <x v="4"/>
    <x v="150"/>
    <x v="0"/>
    <x v="5"/>
    <x v="1105"/>
    <x v="25"/>
    <s v="POS"/>
    <n v="0.67"/>
    <n v="250"/>
    <n v="167.5"/>
    <n v="0"/>
    <m/>
    <m/>
    <m/>
    <m/>
    <n v="0"/>
    <n v="0"/>
    <n v="21590.153040949102"/>
  </r>
  <r>
    <x v="114"/>
    <x v="4"/>
    <x v="360"/>
    <x v="0"/>
    <x v="1"/>
    <x v="1106"/>
    <x v="25"/>
    <s v="NAKİT"/>
    <n v="0.5"/>
    <n v="600"/>
    <n v="0"/>
    <n v="0"/>
    <m/>
    <m/>
    <m/>
    <m/>
    <n v="300"/>
    <n v="0"/>
    <n v="21890.153040949102"/>
  </r>
  <r>
    <x v="114"/>
    <x v="4"/>
    <x v="32"/>
    <x v="0"/>
    <x v="1"/>
    <x v="1106"/>
    <x v="25"/>
    <s v="NAKİT"/>
    <n v="0.13800000000000001"/>
    <n v="370"/>
    <n v="0"/>
    <n v="0"/>
    <m/>
    <m/>
    <m/>
    <m/>
    <n v="51.06"/>
    <n v="0"/>
    <n v="21941.213040949104"/>
  </r>
  <r>
    <x v="114"/>
    <x v="4"/>
    <x v="238"/>
    <x v="0"/>
    <x v="1"/>
    <x v="1106"/>
    <x v="25"/>
    <s v="NAKİT"/>
    <n v="0.35799999999999998"/>
    <n v="340"/>
    <n v="0"/>
    <n v="0"/>
    <m/>
    <m/>
    <m/>
    <m/>
    <n v="121.72"/>
    <n v="0"/>
    <n v="22062.933040949105"/>
  </r>
  <r>
    <x v="114"/>
    <x v="4"/>
    <x v="116"/>
    <x v="0"/>
    <x v="1"/>
    <x v="1106"/>
    <x v="25"/>
    <s v="NAKİT"/>
    <n v="0.28000000000000003"/>
    <n v="430"/>
    <n v="0"/>
    <n v="0"/>
    <m/>
    <m/>
    <m/>
    <m/>
    <n v="120.4"/>
    <n v="0"/>
    <n v="22183.333040949106"/>
  </r>
  <r>
    <x v="114"/>
    <x v="4"/>
    <x v="70"/>
    <x v="0"/>
    <x v="1"/>
    <x v="1106"/>
    <x v="25"/>
    <s v="NAKİT"/>
    <n v="0.52800000000000002"/>
    <n v="230"/>
    <n v="0"/>
    <n v="0"/>
    <m/>
    <m/>
    <m/>
    <m/>
    <n v="121.44000000000001"/>
    <n v="0"/>
    <n v="22304.773040949105"/>
  </r>
  <r>
    <x v="114"/>
    <x v="4"/>
    <x v="238"/>
    <x v="0"/>
    <x v="1"/>
    <x v="1106"/>
    <x v="25"/>
    <s v="NAKİT"/>
    <n v="0.30199999999999999"/>
    <n v="340"/>
    <n v="0"/>
    <n v="0"/>
    <m/>
    <m/>
    <m/>
    <m/>
    <n v="102.67999999999999"/>
    <n v="0"/>
    <n v="22407.453040949105"/>
  </r>
  <r>
    <x v="114"/>
    <x v="4"/>
    <x v="347"/>
    <x v="0"/>
    <x v="1"/>
    <x v="1106"/>
    <x v="25"/>
    <s v="NAKİT"/>
    <n v="1"/>
    <n v="570"/>
    <n v="0"/>
    <n v="0"/>
    <m/>
    <m/>
    <m/>
    <m/>
    <n v="570"/>
    <n v="0"/>
    <n v="22977.453040949105"/>
  </r>
  <r>
    <x v="114"/>
    <x v="4"/>
    <x v="197"/>
    <x v="0"/>
    <x v="1"/>
    <x v="1106"/>
    <x v="25"/>
    <s v="NAKİT"/>
    <n v="1"/>
    <n v="200"/>
    <n v="0"/>
    <n v="0"/>
    <m/>
    <m/>
    <m/>
    <m/>
    <n v="200"/>
    <n v="0"/>
    <n v="23177.453040949105"/>
  </r>
  <r>
    <x v="114"/>
    <x v="4"/>
    <x v="309"/>
    <x v="0"/>
    <x v="1"/>
    <x v="1106"/>
    <x v="25"/>
    <s v="NAKİT"/>
    <n v="1"/>
    <n v="135"/>
    <n v="0"/>
    <n v="0"/>
    <m/>
    <m/>
    <m/>
    <m/>
    <n v="135"/>
    <n v="0"/>
    <n v="23312.453040949105"/>
  </r>
  <r>
    <x v="114"/>
    <x v="4"/>
    <x v="45"/>
    <x v="0"/>
    <x v="1"/>
    <x v="1106"/>
    <x v="25"/>
    <s v="NAKİT"/>
    <n v="1"/>
    <n v="65"/>
    <n v="0"/>
    <n v="0"/>
    <m/>
    <m/>
    <m/>
    <m/>
    <n v="65"/>
    <n v="0"/>
    <n v="23377.453040949105"/>
  </r>
  <r>
    <x v="114"/>
    <x v="4"/>
    <x v="43"/>
    <x v="0"/>
    <x v="1"/>
    <x v="1106"/>
    <x v="25"/>
    <s v="NAKİT"/>
    <n v="1"/>
    <n v="65"/>
    <n v="0"/>
    <n v="0"/>
    <m/>
    <m/>
    <m/>
    <m/>
    <n v="65"/>
    <n v="0"/>
    <n v="23442.453040949105"/>
  </r>
  <r>
    <x v="114"/>
    <x v="4"/>
    <x v="310"/>
    <x v="0"/>
    <x v="1"/>
    <x v="1106"/>
    <x v="25"/>
    <s v="NAKİT"/>
    <n v="1"/>
    <n v="135"/>
    <n v="0"/>
    <n v="0"/>
    <m/>
    <m/>
    <m/>
    <m/>
    <n v="135"/>
    <n v="0"/>
    <n v="23577.453040949105"/>
  </r>
  <r>
    <x v="114"/>
    <x v="4"/>
    <x v="27"/>
    <x v="0"/>
    <x v="1"/>
    <x v="1106"/>
    <x v="25"/>
    <s v="NAKİT"/>
    <n v="8.4000000000000005E-2"/>
    <n v="400"/>
    <n v="0"/>
    <n v="0"/>
    <m/>
    <m/>
    <m/>
    <m/>
    <n v="33.6"/>
    <n v="0"/>
    <n v="23611.053040949104"/>
  </r>
  <r>
    <x v="114"/>
    <x v="4"/>
    <x v="29"/>
    <x v="0"/>
    <x v="1"/>
    <x v="1106"/>
    <x v="25"/>
    <s v="NAKİT"/>
    <n v="6.6000000000000003E-2"/>
    <n v="760"/>
    <n v="0"/>
    <n v="0"/>
    <m/>
    <m/>
    <m/>
    <m/>
    <n v="50.160000000000004"/>
    <n v="0"/>
    <n v="23661.213040949104"/>
  </r>
  <r>
    <x v="114"/>
    <x v="4"/>
    <x v="30"/>
    <x v="0"/>
    <x v="1"/>
    <x v="1106"/>
    <x v="25"/>
    <s v="NAKİT"/>
    <n v="0.19"/>
    <n v="500"/>
    <n v="0"/>
    <n v="0"/>
    <m/>
    <m/>
    <m/>
    <m/>
    <n v="95"/>
    <n v="0"/>
    <n v="23756.213040949104"/>
  </r>
  <r>
    <x v="114"/>
    <x v="4"/>
    <x v="40"/>
    <x v="0"/>
    <x v="1"/>
    <x v="1106"/>
    <x v="25"/>
    <s v="NAKİT"/>
    <n v="0.14799999999999999"/>
    <n v="140"/>
    <n v="0"/>
    <n v="0"/>
    <m/>
    <m/>
    <m/>
    <m/>
    <n v="20.72"/>
    <n v="0"/>
    <n v="23776.933040949105"/>
  </r>
  <r>
    <x v="114"/>
    <x v="4"/>
    <x v="31"/>
    <x v="0"/>
    <x v="1"/>
    <x v="1106"/>
    <x v="25"/>
    <s v="NAKİT"/>
    <n v="0.20200000000000001"/>
    <n v="380"/>
    <n v="0"/>
    <n v="0"/>
    <m/>
    <m/>
    <m/>
    <m/>
    <n v="76.760000000000005"/>
    <n v="0"/>
    <n v="23853.693040949103"/>
  </r>
  <r>
    <x v="114"/>
    <x v="4"/>
    <x v="28"/>
    <x v="0"/>
    <x v="1"/>
    <x v="1106"/>
    <x v="25"/>
    <s v="NAKİT"/>
    <n v="0.29799999999999999"/>
    <n v="500"/>
    <n v="0"/>
    <n v="0"/>
    <m/>
    <m/>
    <m/>
    <m/>
    <n v="149"/>
    <n v="0"/>
    <n v="24002.693040949103"/>
  </r>
  <r>
    <x v="114"/>
    <x v="4"/>
    <x v="26"/>
    <x v="0"/>
    <x v="1"/>
    <x v="1106"/>
    <x v="25"/>
    <s v="NAKİT"/>
    <n v="0.17399999999999999"/>
    <n v="410"/>
    <n v="0"/>
    <n v="0"/>
    <m/>
    <m/>
    <m/>
    <m/>
    <n v="71.339999999999989"/>
    <n v="0"/>
    <n v="24074.033040949103"/>
  </r>
  <r>
    <x v="114"/>
    <x v="4"/>
    <x v="376"/>
    <x v="0"/>
    <x v="1"/>
    <x v="1106"/>
    <x v="25"/>
    <s v="NAKİT"/>
    <n v="1"/>
    <n v="150"/>
    <n v="0"/>
    <n v="0"/>
    <m/>
    <m/>
    <m/>
    <m/>
    <n v="150"/>
    <n v="0"/>
    <n v="24224.033040949103"/>
  </r>
  <r>
    <x v="114"/>
    <x v="4"/>
    <x v="18"/>
    <x v="0"/>
    <x v="1"/>
    <x v="1106"/>
    <x v="25"/>
    <s v="NAKİT"/>
    <n v="1"/>
    <n v="250"/>
    <n v="0"/>
    <n v="0"/>
    <m/>
    <m/>
    <m/>
    <m/>
    <n v="250"/>
    <n v="0"/>
    <n v="24474.033040949103"/>
  </r>
  <r>
    <x v="114"/>
    <x v="4"/>
    <x v="58"/>
    <x v="0"/>
    <x v="1"/>
    <x v="1106"/>
    <x v="25"/>
    <s v="NAKİT"/>
    <n v="1"/>
    <n v="230"/>
    <n v="0"/>
    <n v="0"/>
    <m/>
    <m/>
    <m/>
    <m/>
    <n v="230"/>
    <n v="0"/>
    <n v="24704.033040949103"/>
  </r>
  <r>
    <x v="114"/>
    <x v="4"/>
    <x v="21"/>
    <x v="0"/>
    <x v="1"/>
    <x v="1106"/>
    <x v="25"/>
    <s v="NAKİT"/>
    <n v="1"/>
    <n v="250"/>
    <n v="0"/>
    <n v="0"/>
    <m/>
    <m/>
    <m/>
    <m/>
    <n v="250"/>
    <n v="0"/>
    <n v="24954.033040949103"/>
  </r>
  <r>
    <x v="114"/>
    <x v="10"/>
    <x v="0"/>
    <x v="0"/>
    <x v="5"/>
    <x v="2"/>
    <x v="63"/>
    <s v="POS"/>
    <n v="1"/>
    <n v="1200"/>
    <n v="0"/>
    <n v="1200"/>
    <m/>
    <m/>
    <m/>
    <m/>
    <n v="1200"/>
    <n v="0"/>
    <n v="26154.033040949103"/>
  </r>
  <r>
    <x v="115"/>
    <x v="4"/>
    <x v="312"/>
    <x v="0"/>
    <x v="5"/>
    <x v="1107"/>
    <x v="25"/>
    <s v="POS"/>
    <n v="1"/>
    <n v="300"/>
    <n v="300"/>
    <n v="0"/>
    <m/>
    <m/>
    <m/>
    <m/>
    <n v="0"/>
    <n v="0"/>
    <n v="26154.033040949103"/>
  </r>
  <r>
    <x v="115"/>
    <x v="4"/>
    <x v="199"/>
    <x v="0"/>
    <x v="1"/>
    <x v="1108"/>
    <x v="25"/>
    <s v="NAKİT"/>
    <n v="0.5"/>
    <n v="150"/>
    <n v="0"/>
    <n v="0"/>
    <m/>
    <m/>
    <m/>
    <m/>
    <n v="75"/>
    <n v="0"/>
    <n v="26229.033040949103"/>
  </r>
  <r>
    <x v="115"/>
    <x v="4"/>
    <x v="239"/>
    <x v="0"/>
    <x v="5"/>
    <x v="1109"/>
    <x v="25"/>
    <s v="POS"/>
    <n v="0.25"/>
    <n v="400"/>
    <n v="100"/>
    <n v="0"/>
    <m/>
    <m/>
    <m/>
    <m/>
    <n v="0"/>
    <n v="0"/>
    <n v="26229.033040949103"/>
  </r>
  <r>
    <x v="115"/>
    <x v="4"/>
    <x v="264"/>
    <x v="0"/>
    <x v="5"/>
    <x v="1109"/>
    <x v="25"/>
    <s v="POS"/>
    <n v="1"/>
    <n v="145"/>
    <n v="145"/>
    <n v="0"/>
    <m/>
    <m/>
    <m/>
    <m/>
    <n v="0"/>
    <n v="0"/>
    <n v="26229.033040949103"/>
  </r>
  <r>
    <x v="115"/>
    <x v="4"/>
    <x v="123"/>
    <x v="0"/>
    <x v="5"/>
    <x v="1109"/>
    <x v="25"/>
    <s v="POS"/>
    <n v="0.16800000000000001"/>
    <n v="1200"/>
    <n v="201.60000000000002"/>
    <n v="0"/>
    <m/>
    <m/>
    <m/>
    <m/>
    <n v="0"/>
    <n v="0"/>
    <n v="26229.033040949103"/>
  </r>
  <r>
    <x v="115"/>
    <x v="4"/>
    <x v="347"/>
    <x v="0"/>
    <x v="5"/>
    <x v="1109"/>
    <x v="25"/>
    <s v="POS"/>
    <n v="0.17599999999999999"/>
    <n v="570"/>
    <n v="100.32"/>
    <n v="0"/>
    <m/>
    <m/>
    <m/>
    <m/>
    <n v="0"/>
    <n v="0"/>
    <n v="26229.033040949103"/>
  </r>
  <r>
    <x v="115"/>
    <x v="4"/>
    <x v="31"/>
    <x v="0"/>
    <x v="1"/>
    <x v="1110"/>
    <x v="25"/>
    <s v="NAKİT"/>
    <n v="0.52400000000000002"/>
    <n v="380"/>
    <n v="0"/>
    <n v="0"/>
    <m/>
    <m/>
    <m/>
    <m/>
    <n v="199.12"/>
    <n v="0"/>
    <n v="26428.153040949102"/>
  </r>
  <r>
    <x v="115"/>
    <x v="4"/>
    <x v="161"/>
    <x v="0"/>
    <x v="1"/>
    <x v="1110"/>
    <x v="25"/>
    <s v="NAKİT"/>
    <n v="0.5"/>
    <n v="370"/>
    <n v="0"/>
    <n v="0"/>
    <m/>
    <m/>
    <m/>
    <m/>
    <n v="185"/>
    <n v="0"/>
    <n v="26613.153040949102"/>
  </r>
  <r>
    <x v="115"/>
    <x v="4"/>
    <x v="244"/>
    <x v="0"/>
    <x v="1"/>
    <x v="1110"/>
    <x v="25"/>
    <s v="NAKİT"/>
    <n v="0.5"/>
    <n v="120"/>
    <n v="0"/>
    <n v="0"/>
    <m/>
    <m/>
    <m/>
    <m/>
    <n v="60"/>
    <n v="0"/>
    <n v="26673.153040949102"/>
  </r>
  <r>
    <x v="115"/>
    <x v="4"/>
    <x v="198"/>
    <x v="0"/>
    <x v="1"/>
    <x v="1110"/>
    <x v="25"/>
    <s v="NAKİT"/>
    <n v="0.5"/>
    <n v="200"/>
    <n v="0"/>
    <n v="0"/>
    <m/>
    <m/>
    <m/>
    <m/>
    <n v="100"/>
    <n v="0"/>
    <n v="26773.153040949102"/>
  </r>
  <r>
    <x v="115"/>
    <x v="4"/>
    <x v="217"/>
    <x v="0"/>
    <x v="1"/>
    <x v="1111"/>
    <x v="25"/>
    <s v="NAKİT"/>
    <n v="2"/>
    <n v="220"/>
    <n v="0"/>
    <n v="0"/>
    <m/>
    <m/>
    <m/>
    <m/>
    <n v="440"/>
    <n v="0"/>
    <n v="27213.153040949102"/>
  </r>
  <r>
    <x v="115"/>
    <x v="4"/>
    <x v="88"/>
    <x v="0"/>
    <x v="1"/>
    <x v="1111"/>
    <x v="25"/>
    <s v="NAKİT"/>
    <n v="0.05"/>
    <n v="1200"/>
    <n v="0"/>
    <n v="0"/>
    <m/>
    <m/>
    <m/>
    <m/>
    <n v="60"/>
    <n v="0"/>
    <n v="27273.153040949102"/>
  </r>
  <r>
    <x v="115"/>
    <x v="4"/>
    <x v="66"/>
    <x v="0"/>
    <x v="1"/>
    <x v="1111"/>
    <x v="25"/>
    <s v="NAKİT"/>
    <n v="0.12"/>
    <n v="417"/>
    <n v="0"/>
    <n v="0"/>
    <m/>
    <m/>
    <m/>
    <m/>
    <n v="50.04"/>
    <n v="0"/>
    <n v="27323.193040949103"/>
  </r>
  <r>
    <x v="115"/>
    <x v="4"/>
    <x v="100"/>
    <x v="0"/>
    <x v="1"/>
    <x v="1112"/>
    <x v="25"/>
    <s v="NAKİT"/>
    <n v="0.16533333333333333"/>
    <n v="750"/>
    <n v="0"/>
    <n v="0"/>
    <m/>
    <m/>
    <m/>
    <m/>
    <n v="124"/>
    <n v="0"/>
    <n v="27447.193040949103"/>
  </r>
  <r>
    <x v="115"/>
    <x v="4"/>
    <x v="142"/>
    <x v="0"/>
    <x v="1"/>
    <x v="1113"/>
    <x v="25"/>
    <s v="NAKİT"/>
    <n v="0.39400000000000002"/>
    <n v="250"/>
    <n v="0"/>
    <n v="0"/>
    <m/>
    <m/>
    <m/>
    <m/>
    <n v="98.5"/>
    <n v="0"/>
    <n v="27545.693040949103"/>
  </r>
  <r>
    <x v="115"/>
    <x v="4"/>
    <x v="248"/>
    <x v="0"/>
    <x v="1"/>
    <x v="1113"/>
    <x v="25"/>
    <s v="NAKİT"/>
    <n v="0.376"/>
    <n v="690"/>
    <n v="0"/>
    <n v="0"/>
    <m/>
    <m/>
    <m/>
    <m/>
    <n v="259.44"/>
    <n v="0"/>
    <n v="27805.133040949102"/>
  </r>
  <r>
    <x v="115"/>
    <x v="4"/>
    <x v="240"/>
    <x v="0"/>
    <x v="1"/>
    <x v="1113"/>
    <x v="25"/>
    <s v="NAKİT"/>
    <n v="0.374"/>
    <n v="230"/>
    <n v="0"/>
    <n v="0"/>
    <m/>
    <m/>
    <m/>
    <m/>
    <n v="86.02"/>
    <n v="0"/>
    <n v="27891.153040949102"/>
  </r>
  <r>
    <x v="115"/>
    <x v="4"/>
    <x v="346"/>
    <x v="0"/>
    <x v="1"/>
    <x v="1113"/>
    <x v="25"/>
    <s v="NAKİT"/>
    <n v="0.24199999999999999"/>
    <n v="450"/>
    <n v="0"/>
    <n v="0"/>
    <m/>
    <m/>
    <m/>
    <m/>
    <n v="108.89999999999999"/>
    <n v="0"/>
    <n v="28000.053040949104"/>
  </r>
  <r>
    <x v="115"/>
    <x v="4"/>
    <x v="199"/>
    <x v="0"/>
    <x v="5"/>
    <x v="1114"/>
    <x v="25"/>
    <s v="POS"/>
    <n v="0.5"/>
    <n v="150"/>
    <n v="75"/>
    <n v="0"/>
    <m/>
    <m/>
    <m/>
    <m/>
    <n v="0"/>
    <n v="0"/>
    <n v="28000.053040949104"/>
  </r>
  <r>
    <x v="115"/>
    <x v="4"/>
    <x v="198"/>
    <x v="0"/>
    <x v="5"/>
    <x v="1114"/>
    <x v="25"/>
    <s v="POS"/>
    <n v="0.5"/>
    <n v="200"/>
    <n v="100"/>
    <n v="0"/>
    <m/>
    <m/>
    <m/>
    <m/>
    <n v="0"/>
    <n v="0"/>
    <n v="28000.053040949104"/>
  </r>
  <r>
    <x v="115"/>
    <x v="1"/>
    <x v="0"/>
    <x v="16"/>
    <x v="1"/>
    <x v="2"/>
    <x v="98"/>
    <s v="NAKİT"/>
    <n v="1"/>
    <n v="441"/>
    <n v="0"/>
    <n v="0"/>
    <m/>
    <m/>
    <m/>
    <m/>
    <n v="0"/>
    <n v="441"/>
    <n v="27559.053040949104"/>
  </r>
  <r>
    <x v="115"/>
    <x v="10"/>
    <x v="0"/>
    <x v="0"/>
    <x v="5"/>
    <x v="2"/>
    <x v="63"/>
    <s v="POS"/>
    <n v="1"/>
    <n v="385"/>
    <n v="0"/>
    <n v="385"/>
    <m/>
    <m/>
    <m/>
    <m/>
    <n v="385"/>
    <n v="0"/>
    <n v="27944.053040949104"/>
  </r>
  <r>
    <x v="116"/>
    <x v="4"/>
    <x v="197"/>
    <x v="0"/>
    <x v="1"/>
    <x v="1115"/>
    <x v="25"/>
    <s v="NAKİT"/>
    <n v="1"/>
    <n v="200"/>
    <n v="0"/>
    <n v="0"/>
    <m/>
    <m/>
    <m/>
    <m/>
    <n v="200"/>
    <n v="0"/>
    <n v="28144.053040949104"/>
  </r>
  <r>
    <x v="116"/>
    <x v="4"/>
    <x v="199"/>
    <x v="0"/>
    <x v="1"/>
    <x v="1116"/>
    <x v="25"/>
    <s v="NAKİT"/>
    <n v="1"/>
    <n v="150"/>
    <n v="0"/>
    <n v="0"/>
    <m/>
    <m/>
    <m/>
    <m/>
    <n v="150"/>
    <n v="0"/>
    <n v="28294.053040949104"/>
  </r>
  <r>
    <x v="116"/>
    <x v="4"/>
    <x v="11"/>
    <x v="0"/>
    <x v="1"/>
    <x v="1117"/>
    <x v="25"/>
    <s v="NAKİT"/>
    <n v="1"/>
    <n v="95"/>
    <n v="0"/>
    <n v="0"/>
    <m/>
    <m/>
    <m/>
    <m/>
    <n v="95"/>
    <n v="0"/>
    <n v="28389.053040949104"/>
  </r>
  <r>
    <x v="116"/>
    <x v="4"/>
    <x v="244"/>
    <x v="0"/>
    <x v="1"/>
    <x v="1118"/>
    <x v="25"/>
    <s v="NAKİT"/>
    <n v="0.5"/>
    <n v="120"/>
    <n v="0"/>
    <n v="0"/>
    <m/>
    <m/>
    <m/>
    <m/>
    <n v="60"/>
    <n v="0"/>
    <n v="28449.053040949104"/>
  </r>
  <r>
    <x v="116"/>
    <x v="4"/>
    <x v="53"/>
    <x v="0"/>
    <x v="1"/>
    <x v="1119"/>
    <x v="35"/>
    <s v="NAKİT"/>
    <n v="0.52800000000000002"/>
    <n v="95"/>
    <n v="0"/>
    <n v="0"/>
    <m/>
    <m/>
    <m/>
    <m/>
    <n v="50.160000000000004"/>
    <n v="0"/>
    <n v="28499.213040949104"/>
  </r>
  <r>
    <x v="116"/>
    <x v="4"/>
    <x v="34"/>
    <x v="0"/>
    <x v="1"/>
    <x v="1120"/>
    <x v="25"/>
    <s v="NAKİT"/>
    <n v="0.2"/>
    <n v="600"/>
    <n v="0"/>
    <n v="0"/>
    <m/>
    <m/>
    <m/>
    <m/>
    <n v="120"/>
    <n v="0"/>
    <n v="28619.213040949104"/>
  </r>
  <r>
    <x v="116"/>
    <x v="4"/>
    <x v="53"/>
    <x v="0"/>
    <x v="1"/>
    <x v="1120"/>
    <x v="25"/>
    <s v="NAKİT"/>
    <n v="0.4"/>
    <n v="400"/>
    <n v="0"/>
    <n v="0"/>
    <m/>
    <m/>
    <m/>
    <m/>
    <n v="160"/>
    <n v="0"/>
    <n v="28779.213040949104"/>
  </r>
  <r>
    <x v="116"/>
    <x v="4"/>
    <x v="298"/>
    <x v="0"/>
    <x v="1"/>
    <x v="1120"/>
    <x v="25"/>
    <s v="NAKİT"/>
    <n v="0.1"/>
    <n v="1500"/>
    <n v="0"/>
    <n v="0"/>
    <m/>
    <m/>
    <m/>
    <m/>
    <n v="150"/>
    <n v="0"/>
    <n v="28929.213040949104"/>
  </r>
  <r>
    <x v="116"/>
    <x v="4"/>
    <x v="264"/>
    <x v="0"/>
    <x v="1"/>
    <x v="1120"/>
    <x v="25"/>
    <s v="NAKİT"/>
    <n v="1"/>
    <n v="145"/>
    <n v="0"/>
    <n v="0"/>
    <m/>
    <m/>
    <m/>
    <m/>
    <n v="145"/>
    <n v="0"/>
    <n v="29074.213040949104"/>
  </r>
  <r>
    <x v="116"/>
    <x v="4"/>
    <x v="136"/>
    <x v="0"/>
    <x v="5"/>
    <x v="1121"/>
    <x v="25"/>
    <s v="POS"/>
    <n v="1"/>
    <n v="140"/>
    <n v="140"/>
    <n v="0"/>
    <m/>
    <m/>
    <m/>
    <m/>
    <n v="0"/>
    <n v="0"/>
    <n v="29074.213040949104"/>
  </r>
  <r>
    <x v="116"/>
    <x v="4"/>
    <x v="101"/>
    <x v="0"/>
    <x v="5"/>
    <x v="1121"/>
    <x v="25"/>
    <s v="POS"/>
    <n v="0.35799999999999998"/>
    <n v="220"/>
    <n v="78.759999999999991"/>
    <n v="0"/>
    <m/>
    <m/>
    <m/>
    <m/>
    <n v="0"/>
    <n v="0"/>
    <n v="29074.213040949104"/>
  </r>
  <r>
    <x v="116"/>
    <x v="4"/>
    <x v="126"/>
    <x v="0"/>
    <x v="5"/>
    <x v="1121"/>
    <x v="25"/>
    <s v="POS"/>
    <n v="0.05"/>
    <n v="900"/>
    <n v="45"/>
    <n v="0"/>
    <m/>
    <m/>
    <m/>
    <m/>
    <n v="0"/>
    <n v="0"/>
    <n v="29074.213040949104"/>
  </r>
  <r>
    <x v="116"/>
    <x v="4"/>
    <x v="347"/>
    <x v="0"/>
    <x v="5"/>
    <x v="1121"/>
    <x v="25"/>
    <s v="POS"/>
    <n v="1"/>
    <n v="570"/>
    <n v="570"/>
    <n v="0"/>
    <m/>
    <m/>
    <m/>
    <m/>
    <n v="0"/>
    <n v="0"/>
    <n v="29074.213040949104"/>
  </r>
  <r>
    <x v="116"/>
    <x v="4"/>
    <x v="67"/>
    <x v="0"/>
    <x v="5"/>
    <x v="1121"/>
    <x v="25"/>
    <s v="POS"/>
    <n v="0.1"/>
    <n v="1000"/>
    <n v="100"/>
    <n v="0"/>
    <m/>
    <m/>
    <m/>
    <m/>
    <n v="0"/>
    <n v="0"/>
    <n v="29074.213040949104"/>
  </r>
  <r>
    <x v="116"/>
    <x v="4"/>
    <x v="88"/>
    <x v="0"/>
    <x v="5"/>
    <x v="1121"/>
    <x v="25"/>
    <s v="POS"/>
    <n v="0.05"/>
    <n v="1200"/>
    <n v="60"/>
    <n v="0"/>
    <m/>
    <m/>
    <m/>
    <m/>
    <n v="0"/>
    <n v="0"/>
    <n v="29074.213040949104"/>
  </r>
  <r>
    <x v="116"/>
    <x v="4"/>
    <x v="344"/>
    <x v="0"/>
    <x v="5"/>
    <x v="1121"/>
    <x v="25"/>
    <s v="POS"/>
    <n v="0.374"/>
    <n v="450"/>
    <n v="168.3"/>
    <n v="0"/>
    <m/>
    <m/>
    <m/>
    <m/>
    <n v="0"/>
    <n v="0"/>
    <n v="29074.213040949104"/>
  </r>
  <r>
    <x v="116"/>
    <x v="4"/>
    <x v="29"/>
    <x v="0"/>
    <x v="5"/>
    <x v="1121"/>
    <x v="25"/>
    <s v="POS"/>
    <n v="7.5999999999999998E-2"/>
    <n v="760"/>
    <n v="57.76"/>
    <n v="0"/>
    <m/>
    <m/>
    <m/>
    <m/>
    <n v="0"/>
    <n v="0"/>
    <n v="29074.213040949104"/>
  </r>
  <r>
    <x v="116"/>
    <x v="4"/>
    <x v="70"/>
    <x v="0"/>
    <x v="5"/>
    <x v="1121"/>
    <x v="25"/>
    <s v="POS"/>
    <n v="0.26400000000000001"/>
    <n v="230"/>
    <n v="60.720000000000006"/>
    <n v="0"/>
    <m/>
    <m/>
    <m/>
    <m/>
    <n v="0"/>
    <n v="0"/>
    <n v="29074.213040949104"/>
  </r>
  <r>
    <x v="116"/>
    <x v="4"/>
    <x v="320"/>
    <x v="0"/>
    <x v="5"/>
    <x v="1121"/>
    <x v="25"/>
    <s v="POS"/>
    <n v="1"/>
    <n v="220"/>
    <n v="220"/>
    <n v="0"/>
    <m/>
    <m/>
    <m/>
    <m/>
    <n v="0"/>
    <n v="0"/>
    <n v="29074.213040949104"/>
  </r>
  <r>
    <x v="116"/>
    <x v="4"/>
    <x v="360"/>
    <x v="0"/>
    <x v="1"/>
    <x v="1122"/>
    <x v="115"/>
    <s v="NAKİT"/>
    <n v="2"/>
    <n v="600"/>
    <n v="0"/>
    <n v="0"/>
    <m/>
    <m/>
    <m/>
    <m/>
    <n v="1200"/>
    <n v="0"/>
    <n v="30274.213040949104"/>
  </r>
  <r>
    <x v="116"/>
    <x v="4"/>
    <x v="347"/>
    <x v="0"/>
    <x v="1"/>
    <x v="1122"/>
    <x v="115"/>
    <s v="NAKİT"/>
    <n v="1"/>
    <n v="570"/>
    <n v="0"/>
    <n v="0"/>
    <m/>
    <m/>
    <m/>
    <m/>
    <n v="570"/>
    <n v="0"/>
    <n v="30844.213040949104"/>
  </r>
  <r>
    <x v="116"/>
    <x v="4"/>
    <x v="257"/>
    <x v="0"/>
    <x v="1"/>
    <x v="1122"/>
    <x v="115"/>
    <s v="NAKİT"/>
    <n v="1"/>
    <n v="170"/>
    <n v="0"/>
    <n v="0"/>
    <m/>
    <m/>
    <m/>
    <m/>
    <n v="170"/>
    <n v="0"/>
    <n v="31014.213040949104"/>
  </r>
  <r>
    <x v="116"/>
    <x v="4"/>
    <x v="296"/>
    <x v="0"/>
    <x v="1"/>
    <x v="1122"/>
    <x v="115"/>
    <s v="NAKİT"/>
    <n v="2"/>
    <n v="135"/>
    <n v="0"/>
    <n v="0"/>
    <m/>
    <m/>
    <m/>
    <m/>
    <n v="270"/>
    <n v="0"/>
    <n v="31284.213040949104"/>
  </r>
  <r>
    <x v="116"/>
    <x v="4"/>
    <x v="8"/>
    <x v="0"/>
    <x v="1"/>
    <x v="1122"/>
    <x v="115"/>
    <s v="NAKİT"/>
    <n v="1"/>
    <n v="95"/>
    <n v="0"/>
    <n v="0"/>
    <m/>
    <m/>
    <m/>
    <m/>
    <n v="95"/>
    <n v="0"/>
    <n v="31379.213040949104"/>
  </r>
  <r>
    <x v="116"/>
    <x v="4"/>
    <x v="349"/>
    <x v="0"/>
    <x v="1"/>
    <x v="1122"/>
    <x v="115"/>
    <s v="NAKİT"/>
    <n v="2"/>
    <n v="100"/>
    <n v="0"/>
    <n v="0"/>
    <m/>
    <m/>
    <m/>
    <m/>
    <n v="200"/>
    <n v="0"/>
    <n v="31579.213040949104"/>
  </r>
  <r>
    <x v="116"/>
    <x v="4"/>
    <x v="88"/>
    <x v="0"/>
    <x v="1"/>
    <x v="1122"/>
    <x v="115"/>
    <s v="NAKİT"/>
    <n v="0.05"/>
    <n v="1200"/>
    <n v="0"/>
    <n v="0"/>
    <m/>
    <m/>
    <m/>
    <m/>
    <n v="60"/>
    <n v="0"/>
    <n v="31639.213040949104"/>
  </r>
  <r>
    <x v="116"/>
    <x v="4"/>
    <x v="380"/>
    <x v="0"/>
    <x v="1"/>
    <x v="1122"/>
    <x v="115"/>
    <s v="NAKİT"/>
    <n v="1"/>
    <n v="150"/>
    <n v="0"/>
    <n v="0"/>
    <m/>
    <m/>
    <m/>
    <m/>
    <n v="150"/>
    <n v="0"/>
    <n v="31789.213040949104"/>
  </r>
  <r>
    <x v="116"/>
    <x v="4"/>
    <x v="69"/>
    <x v="0"/>
    <x v="1"/>
    <x v="1122"/>
    <x v="115"/>
    <s v="NAKİT"/>
    <n v="0.1"/>
    <n v="1000"/>
    <n v="0"/>
    <n v="0"/>
    <m/>
    <m/>
    <m/>
    <m/>
    <n v="100"/>
    <n v="0"/>
    <n v="31889.213040949104"/>
  </r>
  <r>
    <x v="116"/>
    <x v="4"/>
    <x v="344"/>
    <x v="0"/>
    <x v="1"/>
    <x v="1122"/>
    <x v="115"/>
    <s v="NAKİT"/>
    <n v="0.35"/>
    <n v="450"/>
    <n v="0"/>
    <n v="0"/>
    <m/>
    <m/>
    <m/>
    <m/>
    <n v="157.5"/>
    <n v="0"/>
    <n v="32046.713040949104"/>
  </r>
  <r>
    <x v="116"/>
    <x v="4"/>
    <x v="225"/>
    <x v="0"/>
    <x v="1"/>
    <x v="1122"/>
    <x v="115"/>
    <s v="NAKİT"/>
    <n v="1"/>
    <n v="350"/>
    <n v="0"/>
    <n v="0"/>
    <m/>
    <m/>
    <m/>
    <m/>
    <n v="350"/>
    <n v="0"/>
    <n v="32396.713040949104"/>
  </r>
  <r>
    <x v="116"/>
    <x v="4"/>
    <x v="175"/>
    <x v="0"/>
    <x v="1"/>
    <x v="1122"/>
    <x v="115"/>
    <s v="NAKİT"/>
    <n v="1"/>
    <n v="149"/>
    <n v="0"/>
    <n v="0"/>
    <m/>
    <m/>
    <m/>
    <m/>
    <n v="149"/>
    <n v="0"/>
    <n v="32545.713040949104"/>
  </r>
  <r>
    <x v="116"/>
    <x v="4"/>
    <x v="316"/>
    <x v="0"/>
    <x v="1"/>
    <x v="1122"/>
    <x v="115"/>
    <s v="NAKİT"/>
    <n v="1"/>
    <n v="180"/>
    <n v="0"/>
    <n v="0"/>
    <m/>
    <m/>
    <m/>
    <m/>
    <n v="180"/>
    <n v="0"/>
    <n v="32725.713040949104"/>
  </r>
  <r>
    <x v="116"/>
    <x v="4"/>
    <x v="136"/>
    <x v="0"/>
    <x v="1"/>
    <x v="1122"/>
    <x v="115"/>
    <s v="NAKİT"/>
    <n v="2"/>
    <n v="140"/>
    <n v="0"/>
    <n v="0"/>
    <m/>
    <m/>
    <m/>
    <m/>
    <n v="280"/>
    <n v="0"/>
    <n v="33005.713040949107"/>
  </r>
  <r>
    <x v="116"/>
    <x v="4"/>
    <x v="113"/>
    <x v="0"/>
    <x v="1"/>
    <x v="1122"/>
    <x v="115"/>
    <s v="NAKİT"/>
    <n v="0.1"/>
    <n v="1350"/>
    <n v="0"/>
    <n v="0"/>
    <m/>
    <m/>
    <m/>
    <m/>
    <n v="135"/>
    <n v="0"/>
    <n v="33140.713040949107"/>
  </r>
  <r>
    <x v="116"/>
    <x v="4"/>
    <x v="112"/>
    <x v="0"/>
    <x v="1"/>
    <x v="1122"/>
    <x v="115"/>
    <s v="NAKİT"/>
    <n v="0.05"/>
    <n v="1800"/>
    <n v="0"/>
    <n v="0"/>
    <m/>
    <m/>
    <m/>
    <m/>
    <n v="90"/>
    <n v="0"/>
    <n v="33230.713040949107"/>
  </r>
  <r>
    <x v="116"/>
    <x v="4"/>
    <x v="45"/>
    <x v="0"/>
    <x v="1"/>
    <x v="1122"/>
    <x v="115"/>
    <s v="NAKİT"/>
    <n v="2"/>
    <n v="65"/>
    <n v="0"/>
    <n v="0"/>
    <m/>
    <m/>
    <m/>
    <m/>
    <n v="130"/>
    <n v="0"/>
    <n v="33360.713040949107"/>
  </r>
  <r>
    <x v="116"/>
    <x v="4"/>
    <x v="126"/>
    <x v="0"/>
    <x v="1"/>
    <x v="1122"/>
    <x v="115"/>
    <s v="NAKİT"/>
    <n v="0.05"/>
    <n v="900"/>
    <n v="0"/>
    <n v="0"/>
    <m/>
    <m/>
    <m/>
    <m/>
    <n v="45"/>
    <n v="0"/>
    <n v="33405.713040949107"/>
  </r>
  <r>
    <x v="116"/>
    <x v="4"/>
    <x v="293"/>
    <x v="0"/>
    <x v="1"/>
    <x v="1122"/>
    <x v="115"/>
    <s v="NAKİT"/>
    <n v="1"/>
    <n v="350"/>
    <n v="0"/>
    <n v="0"/>
    <m/>
    <m/>
    <m/>
    <m/>
    <n v="350"/>
    <n v="0"/>
    <n v="33755.713040949107"/>
  </r>
  <r>
    <x v="116"/>
    <x v="4"/>
    <x v="360"/>
    <x v="0"/>
    <x v="1"/>
    <x v="1123"/>
    <x v="114"/>
    <s v="NAKİT"/>
    <n v="2"/>
    <n v="600"/>
    <n v="0"/>
    <n v="0"/>
    <m/>
    <m/>
    <m/>
    <m/>
    <n v="1200"/>
    <n v="0"/>
    <n v="34955.713040949107"/>
  </r>
  <r>
    <x v="116"/>
    <x v="4"/>
    <x v="47"/>
    <x v="0"/>
    <x v="1"/>
    <x v="1123"/>
    <x v="114"/>
    <s v="NAKİT"/>
    <n v="6.4000000000000001E-2"/>
    <n v="400"/>
    <n v="0"/>
    <n v="0"/>
    <m/>
    <m/>
    <m/>
    <m/>
    <n v="25.6"/>
    <n v="0"/>
    <n v="34981.313040949106"/>
  </r>
  <r>
    <x v="116"/>
    <x v="4"/>
    <x v="83"/>
    <x v="0"/>
    <x v="1"/>
    <x v="1123"/>
    <x v="114"/>
    <s v="NAKİT"/>
    <n v="0.1"/>
    <n v="2500"/>
    <n v="0"/>
    <n v="0"/>
    <m/>
    <m/>
    <m/>
    <m/>
    <n v="250"/>
    <n v="0"/>
    <n v="35231.313040949106"/>
  </r>
  <r>
    <x v="116"/>
    <x v="4"/>
    <x v="112"/>
    <x v="0"/>
    <x v="1"/>
    <x v="1123"/>
    <x v="114"/>
    <s v="NAKİT"/>
    <n v="0.1"/>
    <n v="1750"/>
    <n v="0"/>
    <n v="0"/>
    <m/>
    <m/>
    <m/>
    <m/>
    <n v="175"/>
    <n v="0"/>
    <n v="35406.313040949106"/>
  </r>
  <r>
    <x v="116"/>
    <x v="4"/>
    <x v="213"/>
    <x v="0"/>
    <x v="1"/>
    <x v="1123"/>
    <x v="114"/>
    <s v="NAKİT"/>
    <n v="1"/>
    <n v="250"/>
    <n v="0"/>
    <n v="0"/>
    <m/>
    <m/>
    <m/>
    <m/>
    <n v="250"/>
    <n v="0"/>
    <n v="35656.313040949106"/>
  </r>
  <r>
    <x v="116"/>
    <x v="4"/>
    <x v="213"/>
    <x v="0"/>
    <x v="1"/>
    <x v="1123"/>
    <x v="119"/>
    <s v="NAKİT"/>
    <n v="1"/>
    <n v="250"/>
    <n v="0"/>
    <n v="0"/>
    <m/>
    <m/>
    <m/>
    <m/>
    <n v="250"/>
    <n v="0"/>
    <n v="35906.313040949106"/>
  </r>
  <r>
    <x v="116"/>
    <x v="4"/>
    <x v="195"/>
    <x v="0"/>
    <x v="1"/>
    <x v="1123"/>
    <x v="119"/>
    <s v="NAKİT"/>
    <n v="1"/>
    <n v="250"/>
    <n v="0"/>
    <n v="0"/>
    <m/>
    <m/>
    <m/>
    <m/>
    <n v="250"/>
    <n v="0"/>
    <n v="36156.313040949106"/>
  </r>
  <r>
    <x v="116"/>
    <x v="4"/>
    <x v="150"/>
    <x v="0"/>
    <x v="5"/>
    <x v="1124"/>
    <x v="25"/>
    <s v="POS"/>
    <n v="1"/>
    <n v="250"/>
    <n v="250"/>
    <n v="0"/>
    <m/>
    <m/>
    <m/>
    <m/>
    <n v="0"/>
    <n v="0"/>
    <n v="36156.313040949106"/>
  </r>
  <r>
    <x v="116"/>
    <x v="4"/>
    <x v="179"/>
    <x v="0"/>
    <x v="5"/>
    <x v="1124"/>
    <x v="25"/>
    <s v="POS"/>
    <n v="0.23599999999999999"/>
    <n v="850"/>
    <n v="200.6"/>
    <n v="0"/>
    <m/>
    <m/>
    <m/>
    <m/>
    <n v="0"/>
    <n v="0"/>
    <n v="36156.313040949106"/>
  </r>
  <r>
    <x v="116"/>
    <x v="4"/>
    <x v="248"/>
    <x v="0"/>
    <x v="5"/>
    <x v="1124"/>
    <x v="25"/>
    <s v="POS"/>
    <n v="0.41594202898550725"/>
    <n v="650"/>
    <n v="270.36231884057969"/>
    <n v="0"/>
    <m/>
    <m/>
    <m/>
    <m/>
    <n v="0"/>
    <n v="0"/>
    <n v="36156.313040949106"/>
  </r>
  <r>
    <x v="116"/>
    <x v="4"/>
    <x v="240"/>
    <x v="0"/>
    <x v="5"/>
    <x v="1124"/>
    <x v="25"/>
    <s v="POS"/>
    <n v="0.34782608695652173"/>
    <n v="230"/>
    <n v="80"/>
    <n v="0"/>
    <m/>
    <m/>
    <m/>
    <m/>
    <n v="0"/>
    <n v="0"/>
    <n v="36156.313040949106"/>
  </r>
  <r>
    <x v="116"/>
    <x v="4"/>
    <x v="163"/>
    <x v="0"/>
    <x v="1"/>
    <x v="1125"/>
    <x v="25"/>
    <s v="NAKİT"/>
    <n v="1"/>
    <n v="50"/>
    <n v="0"/>
    <n v="0"/>
    <m/>
    <m/>
    <m/>
    <m/>
    <n v="50"/>
    <n v="0"/>
    <n v="36206.313040949106"/>
  </r>
  <r>
    <x v="116"/>
    <x v="4"/>
    <x v="111"/>
    <x v="0"/>
    <x v="1"/>
    <x v="1125"/>
    <x v="25"/>
    <s v="NAKİT"/>
    <n v="0.09"/>
    <n v="350"/>
    <n v="0"/>
    <n v="0"/>
    <m/>
    <m/>
    <m/>
    <m/>
    <n v="31.5"/>
    <n v="0"/>
    <n v="36237.813040949106"/>
  </r>
  <r>
    <x v="116"/>
    <x v="4"/>
    <x v="347"/>
    <x v="0"/>
    <x v="1"/>
    <x v="1125"/>
    <x v="25"/>
    <s v="NAKİT"/>
    <n v="0.17599999999999999"/>
    <n v="570"/>
    <n v="0"/>
    <n v="0"/>
    <m/>
    <m/>
    <m/>
    <m/>
    <n v="100.32"/>
    <n v="0"/>
    <n v="36338.133040949106"/>
  </r>
  <r>
    <x v="116"/>
    <x v="4"/>
    <x v="199"/>
    <x v="0"/>
    <x v="1"/>
    <x v="1126"/>
    <x v="120"/>
    <s v="NAKİT"/>
    <n v="2"/>
    <n v="150"/>
    <n v="0"/>
    <n v="0"/>
    <m/>
    <m/>
    <m/>
    <m/>
    <n v="300"/>
    <n v="0"/>
    <n v="36638.133040949106"/>
  </r>
  <r>
    <x v="116"/>
    <x v="10"/>
    <x v="0"/>
    <x v="0"/>
    <x v="5"/>
    <x v="2"/>
    <x v="121"/>
    <s v="POS"/>
    <n v="1"/>
    <n v="12855.54"/>
    <n v="0"/>
    <n v="12855.54"/>
    <n v="912.4"/>
    <m/>
    <m/>
    <m/>
    <n v="12855.54"/>
    <n v="0"/>
    <n v="49493.673040949107"/>
  </r>
  <r>
    <x v="116"/>
    <x v="1"/>
    <x v="0"/>
    <x v="13"/>
    <x v="1"/>
    <x v="2"/>
    <x v="121"/>
    <s v="NAKİT"/>
    <n v="1"/>
    <n v="12855.54"/>
    <n v="0"/>
    <n v="0"/>
    <m/>
    <m/>
    <m/>
    <m/>
    <n v="0"/>
    <n v="12855.54"/>
    <n v="36638.133040949106"/>
  </r>
  <r>
    <x v="116"/>
    <x v="10"/>
    <x v="0"/>
    <x v="0"/>
    <x v="5"/>
    <x v="2"/>
    <x v="72"/>
    <s v="POS"/>
    <n v="1"/>
    <n v="791"/>
    <n v="0"/>
    <n v="791"/>
    <m/>
    <m/>
    <m/>
    <m/>
    <n v="791"/>
    <n v="0"/>
    <n v="37429.133040949106"/>
  </r>
  <r>
    <x v="116"/>
    <x v="1"/>
    <x v="0"/>
    <x v="13"/>
    <x v="1"/>
    <x v="2"/>
    <x v="72"/>
    <s v="NAKİT"/>
    <n v="1"/>
    <n v="791"/>
    <n v="0"/>
    <n v="0"/>
    <m/>
    <m/>
    <m/>
    <m/>
    <n v="0"/>
    <n v="791"/>
    <n v="36638.133040949106"/>
  </r>
  <r>
    <x v="116"/>
    <x v="3"/>
    <x v="217"/>
    <x v="0"/>
    <x v="2"/>
    <x v="2"/>
    <x v="50"/>
    <s v="K.K."/>
    <n v="4"/>
    <n v="169.9"/>
    <n v="0"/>
    <n v="679.6"/>
    <m/>
    <m/>
    <m/>
    <m/>
    <n v="0"/>
    <n v="0"/>
    <n v="36638.133040949106"/>
  </r>
  <r>
    <x v="116"/>
    <x v="3"/>
    <x v="217"/>
    <x v="0"/>
    <x v="2"/>
    <x v="2"/>
    <x v="50"/>
    <s v="K.K."/>
    <n v="4"/>
    <n v="169.9"/>
    <n v="0"/>
    <n v="679.6"/>
    <m/>
    <m/>
    <m/>
    <m/>
    <n v="0"/>
    <n v="0"/>
    <n v="36638.133040949106"/>
  </r>
  <r>
    <x v="117"/>
    <x v="3"/>
    <x v="66"/>
    <x v="0"/>
    <x v="4"/>
    <x v="1127"/>
    <x v="32"/>
    <s v="CARİ"/>
    <n v="2"/>
    <n v="85"/>
    <n v="0"/>
    <n v="170"/>
    <m/>
    <m/>
    <m/>
    <m/>
    <n v="0"/>
    <n v="0"/>
    <n v="36638.133040949106"/>
  </r>
  <r>
    <x v="117"/>
    <x v="3"/>
    <x v="70"/>
    <x v="0"/>
    <x v="4"/>
    <x v="1127"/>
    <x v="32"/>
    <s v="CARİ"/>
    <n v="3"/>
    <n v="130"/>
    <n v="0"/>
    <n v="390"/>
    <m/>
    <m/>
    <m/>
    <m/>
    <n v="0"/>
    <n v="0"/>
    <n v="36638.133040949106"/>
  </r>
  <r>
    <x v="117"/>
    <x v="3"/>
    <x v="71"/>
    <x v="0"/>
    <x v="4"/>
    <x v="1127"/>
    <x v="32"/>
    <s v="CARİ"/>
    <n v="3"/>
    <n v="140"/>
    <n v="0"/>
    <n v="420"/>
    <m/>
    <m/>
    <m/>
    <m/>
    <n v="0"/>
    <n v="0"/>
    <n v="36638.133040949106"/>
  </r>
  <r>
    <x v="117"/>
    <x v="3"/>
    <x v="382"/>
    <x v="0"/>
    <x v="4"/>
    <x v="1127"/>
    <x v="32"/>
    <s v="CARİ"/>
    <n v="5"/>
    <n v="35"/>
    <n v="0"/>
    <n v="175"/>
    <m/>
    <m/>
    <m/>
    <m/>
    <n v="0"/>
    <n v="0"/>
    <n v="36638.133040949106"/>
  </r>
  <r>
    <x v="117"/>
    <x v="3"/>
    <x v="240"/>
    <x v="0"/>
    <x v="4"/>
    <x v="1127"/>
    <x v="32"/>
    <s v="CARİ"/>
    <n v="5"/>
    <n v="125"/>
    <n v="0"/>
    <n v="625"/>
    <m/>
    <m/>
    <m/>
    <m/>
    <n v="0"/>
    <n v="0"/>
    <n v="36638.133040949106"/>
  </r>
  <r>
    <x v="117"/>
    <x v="3"/>
    <x v="233"/>
    <x v="0"/>
    <x v="4"/>
    <x v="1127"/>
    <x v="32"/>
    <s v="CARİ"/>
    <n v="5"/>
    <n v="265"/>
    <n v="0"/>
    <n v="1325"/>
    <m/>
    <m/>
    <m/>
    <m/>
    <n v="0"/>
    <n v="0"/>
    <n v="36638.133040949106"/>
  </r>
  <r>
    <x v="117"/>
    <x v="3"/>
    <x v="111"/>
    <x v="0"/>
    <x v="4"/>
    <x v="1127"/>
    <x v="32"/>
    <s v="CARİ"/>
    <n v="3"/>
    <n v="140"/>
    <n v="0"/>
    <n v="420"/>
    <m/>
    <m/>
    <m/>
    <m/>
    <n v="0"/>
    <n v="0"/>
    <n v="36638.133040949106"/>
  </r>
  <r>
    <x v="117"/>
    <x v="6"/>
    <x v="37"/>
    <x v="0"/>
    <x v="3"/>
    <x v="1128"/>
    <x v="122"/>
    <s v="CARİ"/>
    <n v="21"/>
    <n v="115"/>
    <n v="2415"/>
    <n v="0"/>
    <m/>
    <m/>
    <m/>
    <m/>
    <n v="0"/>
    <n v="0"/>
    <n v="36638.133040949106"/>
  </r>
  <r>
    <x v="117"/>
    <x v="6"/>
    <x v="60"/>
    <x v="0"/>
    <x v="3"/>
    <x v="1129"/>
    <x v="122"/>
    <s v="CARİ"/>
    <n v="6.94"/>
    <n v="125"/>
    <n v="867.5"/>
    <n v="0"/>
    <m/>
    <m/>
    <m/>
    <m/>
    <n v="0"/>
    <n v="0"/>
    <n v="36638.133040949106"/>
  </r>
  <r>
    <x v="117"/>
    <x v="6"/>
    <x v="46"/>
    <x v="0"/>
    <x v="3"/>
    <x v="1130"/>
    <x v="122"/>
    <s v="CARİ"/>
    <n v="1.85"/>
    <n v="550"/>
    <n v="1017.5"/>
    <n v="0"/>
    <m/>
    <m/>
    <m/>
    <m/>
    <n v="0"/>
    <n v="0"/>
    <n v="36638.133040949106"/>
  </r>
  <r>
    <x v="117"/>
    <x v="6"/>
    <x v="34"/>
    <x v="0"/>
    <x v="3"/>
    <x v="1131"/>
    <x v="122"/>
    <s v="CARİ"/>
    <n v="13.5"/>
    <n v="150"/>
    <n v="2025"/>
    <n v="0"/>
    <m/>
    <m/>
    <m/>
    <m/>
    <n v="0"/>
    <n v="0"/>
    <n v="36638.133040949106"/>
  </r>
  <r>
    <x v="117"/>
    <x v="6"/>
    <x v="53"/>
    <x v="0"/>
    <x v="3"/>
    <x v="1132"/>
    <x v="122"/>
    <s v="CARİ"/>
    <n v="7.86"/>
    <n v="70"/>
    <n v="550.20000000000005"/>
    <n v="0"/>
    <m/>
    <m/>
    <m/>
    <m/>
    <n v="0"/>
    <n v="0"/>
    <n v="36638.133040949106"/>
  </r>
  <r>
    <x v="117"/>
    <x v="6"/>
    <x v="48"/>
    <x v="0"/>
    <x v="3"/>
    <x v="1133"/>
    <x v="122"/>
    <s v="CARİ"/>
    <n v="1"/>
    <n v="500"/>
    <n v="500"/>
    <n v="0"/>
    <m/>
    <m/>
    <m/>
    <m/>
    <n v="0"/>
    <n v="0"/>
    <n v="36638.133040949106"/>
  </r>
  <r>
    <x v="117"/>
    <x v="6"/>
    <x v="52"/>
    <x v="0"/>
    <x v="3"/>
    <x v="1134"/>
    <x v="122"/>
    <s v="CARİ"/>
    <n v="11"/>
    <n v="80"/>
    <n v="880"/>
    <n v="0"/>
    <m/>
    <m/>
    <m/>
    <m/>
    <n v="0"/>
    <n v="0"/>
    <n v="36638.133040949106"/>
  </r>
  <r>
    <x v="117"/>
    <x v="6"/>
    <x v="32"/>
    <x v="0"/>
    <x v="3"/>
    <x v="1135"/>
    <x v="122"/>
    <s v="CARİ"/>
    <n v="16.2"/>
    <n v="160"/>
    <n v="2592"/>
    <n v="0"/>
    <m/>
    <m/>
    <m/>
    <m/>
    <n v="0"/>
    <n v="0"/>
    <n v="36638.133040949106"/>
  </r>
  <r>
    <x v="117"/>
    <x v="5"/>
    <x v="0"/>
    <x v="11"/>
    <x v="3"/>
    <x v="1135"/>
    <x v="122"/>
    <s v="CARİ"/>
    <n v="1"/>
    <n v="67.69"/>
    <n v="67.69"/>
    <n v="0"/>
    <m/>
    <m/>
    <m/>
    <m/>
    <n v="0"/>
    <n v="0"/>
    <n v="36638.133040949106"/>
  </r>
  <r>
    <x v="117"/>
    <x v="4"/>
    <x v="161"/>
    <x v="0"/>
    <x v="1"/>
    <x v="1124"/>
    <x v="35"/>
    <s v="NAKİT"/>
    <n v="1"/>
    <n v="250"/>
    <n v="0"/>
    <n v="0"/>
    <m/>
    <m/>
    <m/>
    <m/>
    <n v="250"/>
    <n v="0"/>
    <n v="36888.133040949106"/>
  </r>
  <r>
    <x v="117"/>
    <x v="4"/>
    <x v="18"/>
    <x v="0"/>
    <x v="5"/>
    <x v="1125"/>
    <x v="25"/>
    <s v="POS"/>
    <n v="1"/>
    <n v="250"/>
    <n v="250"/>
    <n v="0"/>
    <m/>
    <m/>
    <m/>
    <m/>
    <n v="0"/>
    <n v="0"/>
    <n v="36888.133040949106"/>
  </r>
  <r>
    <x v="117"/>
    <x v="4"/>
    <x v="58"/>
    <x v="0"/>
    <x v="5"/>
    <x v="1125"/>
    <x v="25"/>
    <s v="POS"/>
    <n v="1"/>
    <n v="230"/>
    <n v="230"/>
    <n v="0"/>
    <m/>
    <m/>
    <m/>
    <m/>
    <n v="0"/>
    <n v="0"/>
    <n v="36888.133040949106"/>
  </r>
  <r>
    <x v="117"/>
    <x v="4"/>
    <x v="150"/>
    <x v="0"/>
    <x v="5"/>
    <x v="1136"/>
    <x v="25"/>
    <s v="POS"/>
    <n v="2"/>
    <n v="250"/>
    <n v="500"/>
    <n v="0"/>
    <m/>
    <m/>
    <m/>
    <m/>
    <n v="0"/>
    <n v="0"/>
    <n v="36888.133040949106"/>
  </r>
  <r>
    <x v="117"/>
    <x v="4"/>
    <x v="150"/>
    <x v="0"/>
    <x v="5"/>
    <x v="1137"/>
    <x v="25"/>
    <s v="POS"/>
    <n v="1"/>
    <n v="250"/>
    <n v="250"/>
    <n v="0"/>
    <m/>
    <m/>
    <m/>
    <m/>
    <n v="0"/>
    <n v="0"/>
    <n v="36888.133040949106"/>
  </r>
  <r>
    <x v="117"/>
    <x v="4"/>
    <x v="309"/>
    <x v="0"/>
    <x v="5"/>
    <x v="1138"/>
    <x v="25"/>
    <s v="POS"/>
    <n v="1"/>
    <n v="135"/>
    <n v="135"/>
    <n v="0"/>
    <m/>
    <m/>
    <m/>
    <m/>
    <n v="0"/>
    <n v="0"/>
    <n v="36888.133040949106"/>
  </r>
  <r>
    <x v="117"/>
    <x v="4"/>
    <x v="377"/>
    <x v="0"/>
    <x v="5"/>
    <x v="1138"/>
    <x v="25"/>
    <s v="POS"/>
    <n v="1"/>
    <n v="100"/>
    <n v="100"/>
    <n v="0"/>
    <m/>
    <m/>
    <m/>
    <m/>
    <n v="0"/>
    <n v="0"/>
    <n v="36888.133040949106"/>
  </r>
  <r>
    <x v="117"/>
    <x v="4"/>
    <x v="59"/>
    <x v="0"/>
    <x v="1"/>
    <x v="1139"/>
    <x v="25"/>
    <s v="NAKİT"/>
    <n v="0.19"/>
    <n v="450"/>
    <n v="0"/>
    <n v="0"/>
    <m/>
    <m/>
    <m/>
    <m/>
    <n v="85.5"/>
    <n v="0"/>
    <n v="36973.633040949106"/>
  </r>
  <r>
    <x v="117"/>
    <x v="4"/>
    <x v="28"/>
    <x v="0"/>
    <x v="1"/>
    <x v="1139"/>
    <x v="25"/>
    <s v="NAKİT"/>
    <n v="0.21"/>
    <n v="500"/>
    <n v="0"/>
    <n v="0"/>
    <m/>
    <m/>
    <m/>
    <m/>
    <n v="105"/>
    <n v="0"/>
    <n v="37078.633040949106"/>
  </r>
  <r>
    <x v="117"/>
    <x v="4"/>
    <x v="47"/>
    <x v="0"/>
    <x v="1"/>
    <x v="1139"/>
    <x v="25"/>
    <s v="NAKİT"/>
    <n v="7.1999999999999995E-2"/>
    <n v="400"/>
    <n v="0"/>
    <n v="0"/>
    <m/>
    <m/>
    <m/>
    <m/>
    <n v="28.799999999999997"/>
    <n v="0"/>
    <n v="37107.433040949109"/>
  </r>
  <r>
    <x v="117"/>
    <x v="4"/>
    <x v="30"/>
    <x v="0"/>
    <x v="1"/>
    <x v="1139"/>
    <x v="25"/>
    <s v="NAKİT"/>
    <n v="0.14599999999999999"/>
    <n v="500"/>
    <n v="0"/>
    <n v="0"/>
    <m/>
    <m/>
    <m/>
    <m/>
    <n v="73"/>
    <n v="0"/>
    <n v="37180.433040949109"/>
  </r>
  <r>
    <x v="117"/>
    <x v="4"/>
    <x v="40"/>
    <x v="0"/>
    <x v="1"/>
    <x v="1139"/>
    <x v="25"/>
    <s v="NAKİT"/>
    <n v="0.14199999999999999"/>
    <n v="140"/>
    <n v="0"/>
    <n v="0"/>
    <m/>
    <m/>
    <m/>
    <m/>
    <n v="19.88"/>
    <n v="0"/>
    <n v="37200.313040949106"/>
  </r>
  <r>
    <x v="117"/>
    <x v="4"/>
    <x v="154"/>
    <x v="0"/>
    <x v="5"/>
    <x v="1140"/>
    <x v="25"/>
    <s v="POS"/>
    <n v="1"/>
    <n v="180"/>
    <n v="180"/>
    <n v="0"/>
    <m/>
    <m/>
    <m/>
    <m/>
    <n v="0"/>
    <n v="0"/>
    <n v="37200.313040949106"/>
  </r>
  <r>
    <x v="117"/>
    <x v="4"/>
    <x v="345"/>
    <x v="0"/>
    <x v="5"/>
    <x v="1140"/>
    <x v="25"/>
    <s v="POS"/>
    <n v="1.03"/>
    <n v="400"/>
    <n v="412"/>
    <n v="0"/>
    <m/>
    <m/>
    <m/>
    <m/>
    <n v="0"/>
    <n v="0"/>
    <n v="37200.313040949106"/>
  </r>
  <r>
    <x v="117"/>
    <x v="4"/>
    <x v="150"/>
    <x v="0"/>
    <x v="5"/>
    <x v="1140"/>
    <x v="25"/>
    <s v="POS"/>
    <n v="2.84"/>
    <n v="250"/>
    <n v="710"/>
    <n v="0"/>
    <m/>
    <m/>
    <m/>
    <m/>
    <n v="0"/>
    <n v="0"/>
    <n v="37200.313040949106"/>
  </r>
  <r>
    <x v="117"/>
    <x v="4"/>
    <x v="58"/>
    <x v="0"/>
    <x v="5"/>
    <x v="1140"/>
    <x v="25"/>
    <s v="POS"/>
    <n v="1"/>
    <n v="230"/>
    <n v="230"/>
    <n v="0"/>
    <m/>
    <m/>
    <m/>
    <m/>
    <n v="0"/>
    <n v="0"/>
    <n v="37200.313040949106"/>
  </r>
  <r>
    <x v="117"/>
    <x v="4"/>
    <x v="18"/>
    <x v="0"/>
    <x v="5"/>
    <x v="1140"/>
    <x v="25"/>
    <s v="POS"/>
    <n v="1"/>
    <n v="250"/>
    <n v="250"/>
    <n v="0"/>
    <m/>
    <m/>
    <m/>
    <m/>
    <n v="0"/>
    <n v="0"/>
    <n v="37200.313040949106"/>
  </r>
  <r>
    <x v="117"/>
    <x v="4"/>
    <x v="150"/>
    <x v="0"/>
    <x v="5"/>
    <x v="1141"/>
    <x v="25"/>
    <s v="POS"/>
    <n v="2"/>
    <n v="250"/>
    <n v="500"/>
    <n v="0"/>
    <m/>
    <m/>
    <m/>
    <m/>
    <n v="0"/>
    <n v="0"/>
    <n v="37200.313040949106"/>
  </r>
  <r>
    <x v="117"/>
    <x v="4"/>
    <x v="345"/>
    <x v="0"/>
    <x v="5"/>
    <x v="1141"/>
    <x v="25"/>
    <s v="POS"/>
    <n v="1"/>
    <n v="400"/>
    <n v="400"/>
    <n v="0"/>
    <m/>
    <m/>
    <m/>
    <m/>
    <n v="0"/>
    <n v="0"/>
    <n v="37200.313040949106"/>
  </r>
  <r>
    <x v="117"/>
    <x v="4"/>
    <x v="161"/>
    <x v="0"/>
    <x v="1"/>
    <x v="1142"/>
    <x v="35"/>
    <s v="NAKİT"/>
    <n v="0.754"/>
    <n v="266"/>
    <n v="0"/>
    <n v="0"/>
    <m/>
    <m/>
    <m/>
    <m/>
    <n v="200.56399999999999"/>
    <n v="0"/>
    <n v="37400.877040949104"/>
  </r>
  <r>
    <x v="117"/>
    <x v="4"/>
    <x v="232"/>
    <x v="0"/>
    <x v="1"/>
    <x v="1143"/>
    <x v="25"/>
    <s v="NAKİT"/>
    <n v="1"/>
    <n v="300"/>
    <n v="0"/>
    <n v="0"/>
    <m/>
    <m/>
    <m/>
    <m/>
    <n v="300"/>
    <n v="0"/>
    <n v="37700.877040949104"/>
  </r>
  <r>
    <x v="117"/>
    <x v="4"/>
    <x v="346"/>
    <x v="0"/>
    <x v="1"/>
    <x v="1144"/>
    <x v="25"/>
    <s v="NAKİT"/>
    <n v="1"/>
    <n v="450"/>
    <n v="0"/>
    <n v="0"/>
    <m/>
    <m/>
    <m/>
    <m/>
    <n v="450"/>
    <n v="0"/>
    <n v="38150.877040949104"/>
  </r>
  <r>
    <x v="117"/>
    <x v="4"/>
    <x v="77"/>
    <x v="0"/>
    <x v="5"/>
    <x v="1145"/>
    <x v="25"/>
    <s v="POS"/>
    <n v="0.5"/>
    <n v="80"/>
    <n v="40"/>
    <n v="0"/>
    <m/>
    <m/>
    <m/>
    <m/>
    <n v="0"/>
    <n v="0"/>
    <n v="38150.877040949104"/>
  </r>
  <r>
    <x v="117"/>
    <x v="4"/>
    <x v="140"/>
    <x v="0"/>
    <x v="5"/>
    <x v="1145"/>
    <x v="25"/>
    <s v="POS"/>
    <n v="1"/>
    <n v="140"/>
    <n v="140"/>
    <n v="0"/>
    <m/>
    <m/>
    <m/>
    <m/>
    <n v="0"/>
    <n v="0"/>
    <n v="38150.877040949104"/>
  </r>
  <r>
    <x v="117"/>
    <x v="4"/>
    <x v="47"/>
    <x v="0"/>
    <x v="5"/>
    <x v="1145"/>
    <x v="25"/>
    <s v="POS"/>
    <n v="3.7499999999999999E-2"/>
    <n v="400"/>
    <n v="15"/>
    <n v="0"/>
    <m/>
    <m/>
    <m/>
    <m/>
    <n v="0"/>
    <n v="0"/>
    <n v="38150.877040949104"/>
  </r>
  <r>
    <x v="117"/>
    <x v="4"/>
    <x v="66"/>
    <x v="0"/>
    <x v="1"/>
    <x v="1146"/>
    <x v="123"/>
    <s v="NAKİT"/>
    <n v="0.4"/>
    <n v="270"/>
    <n v="0"/>
    <n v="0"/>
    <m/>
    <m/>
    <m/>
    <m/>
    <n v="108"/>
    <n v="0"/>
    <n v="38258.877040949104"/>
  </r>
  <r>
    <x v="118"/>
    <x v="4"/>
    <x v="18"/>
    <x v="0"/>
    <x v="1"/>
    <x v="1147"/>
    <x v="25"/>
    <s v="NAKİT"/>
    <n v="5"/>
    <n v="230"/>
    <n v="0"/>
    <n v="0"/>
    <m/>
    <m/>
    <m/>
    <m/>
    <n v="1150"/>
    <n v="0"/>
    <n v="39408.877040949104"/>
  </r>
  <r>
    <x v="118"/>
    <x v="4"/>
    <x v="19"/>
    <x v="0"/>
    <x v="1"/>
    <x v="1147"/>
    <x v="25"/>
    <s v="NAKİT"/>
    <n v="8"/>
    <n v="230"/>
    <n v="0"/>
    <n v="0"/>
    <m/>
    <m/>
    <m/>
    <m/>
    <n v="1840"/>
    <n v="0"/>
    <n v="41248.877040949104"/>
  </r>
  <r>
    <x v="118"/>
    <x v="4"/>
    <x v="58"/>
    <x v="0"/>
    <x v="1"/>
    <x v="1147"/>
    <x v="25"/>
    <s v="NAKİT"/>
    <n v="5"/>
    <n v="230"/>
    <n v="0"/>
    <n v="0"/>
    <m/>
    <m/>
    <m/>
    <m/>
    <n v="1150"/>
    <n v="0"/>
    <n v="42398.877040949104"/>
  </r>
  <r>
    <x v="118"/>
    <x v="4"/>
    <x v="359"/>
    <x v="0"/>
    <x v="1"/>
    <x v="1147"/>
    <x v="25"/>
    <s v="NAKİT"/>
    <n v="4"/>
    <n v="515"/>
    <n v="0"/>
    <n v="0"/>
    <m/>
    <m/>
    <m/>
    <m/>
    <n v="2060"/>
    <n v="0"/>
    <n v="44458.877040949104"/>
  </r>
  <r>
    <x v="118"/>
    <x v="4"/>
    <x v="198"/>
    <x v="0"/>
    <x v="1"/>
    <x v="1148"/>
    <x v="25"/>
    <s v="NAKİT"/>
    <n v="0.5"/>
    <n v="200"/>
    <n v="0"/>
    <n v="0"/>
    <m/>
    <m/>
    <m/>
    <m/>
    <n v="100"/>
    <n v="0"/>
    <n v="44558.877040949104"/>
  </r>
  <r>
    <x v="118"/>
    <x v="4"/>
    <x v="98"/>
    <x v="0"/>
    <x v="1"/>
    <x v="1149"/>
    <x v="25"/>
    <s v="NAKİT"/>
    <n v="0.25"/>
    <n v="800"/>
    <n v="0"/>
    <n v="0"/>
    <m/>
    <m/>
    <m/>
    <m/>
    <n v="200"/>
    <n v="0"/>
    <n v="44758.877040949104"/>
  </r>
  <r>
    <x v="118"/>
    <x v="4"/>
    <x v="18"/>
    <x v="0"/>
    <x v="1"/>
    <x v="1150"/>
    <x v="25"/>
    <s v="NAKİT"/>
    <n v="0.5"/>
    <n v="230"/>
    <n v="0"/>
    <n v="0"/>
    <m/>
    <m/>
    <m/>
    <m/>
    <n v="115"/>
    <n v="0"/>
    <n v="44873.877040949104"/>
  </r>
  <r>
    <x v="118"/>
    <x v="4"/>
    <x v="58"/>
    <x v="0"/>
    <x v="1"/>
    <x v="1150"/>
    <x v="25"/>
    <s v="NAKİT"/>
    <n v="0.5"/>
    <n v="250"/>
    <n v="0"/>
    <n v="0"/>
    <m/>
    <m/>
    <m/>
    <m/>
    <n v="125"/>
    <n v="0"/>
    <n v="44998.877040949104"/>
  </r>
  <r>
    <x v="118"/>
    <x v="4"/>
    <x v="66"/>
    <x v="0"/>
    <x v="1"/>
    <x v="1151"/>
    <x v="25"/>
    <s v="NAKİT"/>
    <n v="0.1"/>
    <n v="400"/>
    <n v="0"/>
    <n v="0"/>
    <m/>
    <m/>
    <m/>
    <m/>
    <n v="40"/>
    <n v="0"/>
    <n v="45038.877040949104"/>
  </r>
  <r>
    <x v="118"/>
    <x v="4"/>
    <x v="50"/>
    <x v="0"/>
    <x v="1"/>
    <x v="1152"/>
    <x v="25"/>
    <s v="NAKİT"/>
    <n v="0.1"/>
    <n v="650"/>
    <n v="0"/>
    <n v="0"/>
    <m/>
    <m/>
    <m/>
    <m/>
    <n v="65"/>
    <n v="0"/>
    <n v="45103.877040949104"/>
  </r>
  <r>
    <x v="118"/>
    <x v="4"/>
    <x v="150"/>
    <x v="0"/>
    <x v="5"/>
    <x v="1153"/>
    <x v="25"/>
    <s v="POS"/>
    <n v="1"/>
    <n v="250"/>
    <n v="250"/>
    <n v="0"/>
    <m/>
    <m/>
    <m/>
    <m/>
    <n v="0"/>
    <n v="0"/>
    <n v="45103.877040949104"/>
  </r>
  <r>
    <x v="118"/>
    <x v="4"/>
    <x v="93"/>
    <x v="0"/>
    <x v="5"/>
    <x v="1154"/>
    <x v="25"/>
    <s v="POS"/>
    <n v="1"/>
    <n v="340"/>
    <n v="340"/>
    <n v="0"/>
    <m/>
    <m/>
    <m/>
    <m/>
    <n v="0"/>
    <n v="0"/>
    <n v="45103.877040949104"/>
  </r>
  <r>
    <x v="118"/>
    <x v="4"/>
    <x v="150"/>
    <x v="0"/>
    <x v="5"/>
    <x v="1154"/>
    <x v="25"/>
    <s v="POS"/>
    <n v="2"/>
    <n v="250"/>
    <n v="500"/>
    <n v="0"/>
    <m/>
    <m/>
    <m/>
    <m/>
    <n v="0"/>
    <n v="0"/>
    <n v="45103.877040949104"/>
  </r>
  <r>
    <x v="118"/>
    <x v="4"/>
    <x v="179"/>
    <x v="0"/>
    <x v="5"/>
    <x v="1154"/>
    <x v="25"/>
    <s v="POS"/>
    <n v="0.47199999999999998"/>
    <n v="850"/>
    <n v="401.2"/>
    <n v="0"/>
    <m/>
    <m/>
    <m/>
    <m/>
    <n v="0"/>
    <n v="0"/>
    <n v="45103.877040949104"/>
  </r>
  <r>
    <x v="118"/>
    <x v="4"/>
    <x v="116"/>
    <x v="0"/>
    <x v="5"/>
    <x v="1154"/>
    <x v="25"/>
    <s v="POS"/>
    <n v="0.28000000000000003"/>
    <n v="400"/>
    <n v="112.00000000000001"/>
    <n v="0"/>
    <m/>
    <m/>
    <m/>
    <m/>
    <n v="0"/>
    <n v="0"/>
    <n v="45103.877040949104"/>
  </r>
  <r>
    <x v="118"/>
    <x v="4"/>
    <x v="70"/>
    <x v="0"/>
    <x v="5"/>
    <x v="1154"/>
    <x v="25"/>
    <s v="POS"/>
    <n v="0.26200000000000001"/>
    <n v="180"/>
    <n v="47.160000000000004"/>
    <n v="0"/>
    <m/>
    <m/>
    <m/>
    <m/>
    <n v="0"/>
    <n v="0"/>
    <n v="45103.877040949104"/>
  </r>
  <r>
    <x v="118"/>
    <x v="4"/>
    <x v="100"/>
    <x v="0"/>
    <x v="5"/>
    <x v="1154"/>
    <x v="25"/>
    <s v="POS"/>
    <n v="1"/>
    <n v="750"/>
    <n v="750"/>
    <n v="0"/>
    <m/>
    <m/>
    <m/>
    <m/>
    <n v="0"/>
    <n v="0"/>
    <n v="45103.877040949104"/>
  </r>
  <r>
    <x v="119"/>
    <x v="3"/>
    <x v="199"/>
    <x v="0"/>
    <x v="4"/>
    <x v="1155"/>
    <x v="32"/>
    <s v="CARİ"/>
    <n v="19.350000000000001"/>
    <n v="74.935400516795866"/>
    <n v="0"/>
    <n v="1450.0000000000002"/>
    <m/>
    <m/>
    <m/>
    <m/>
    <n v="0"/>
    <n v="0"/>
    <n v="45103.877040949104"/>
  </r>
  <r>
    <x v="119"/>
    <x v="3"/>
    <x v="383"/>
    <x v="0"/>
    <x v="4"/>
    <x v="1155"/>
    <x v="32"/>
    <s v="CARİ"/>
    <n v="1"/>
    <n v="120"/>
    <n v="0"/>
    <n v="120"/>
    <m/>
    <m/>
    <m/>
    <m/>
    <n v="0"/>
    <n v="0"/>
    <n v="45103.877040949104"/>
  </r>
  <r>
    <x v="119"/>
    <x v="3"/>
    <x v="384"/>
    <x v="0"/>
    <x v="4"/>
    <x v="1155"/>
    <x v="32"/>
    <s v="CARİ"/>
    <n v="10"/>
    <n v="215"/>
    <n v="0"/>
    <n v="2150"/>
    <m/>
    <m/>
    <m/>
    <m/>
    <n v="0"/>
    <n v="0"/>
    <n v="45103.877040949104"/>
  </r>
  <r>
    <x v="119"/>
    <x v="4"/>
    <x v="344"/>
    <x v="0"/>
    <x v="5"/>
    <x v="1156"/>
    <x v="25"/>
    <s v="POS"/>
    <n v="0.44444444444444442"/>
    <n v="450"/>
    <n v="200"/>
    <n v="0"/>
    <m/>
    <m/>
    <m/>
    <m/>
    <n v="0"/>
    <n v="0"/>
    <n v="45103.877040949104"/>
  </r>
  <r>
    <x v="119"/>
    <x v="4"/>
    <x v="25"/>
    <x v="0"/>
    <x v="5"/>
    <x v="1156"/>
    <x v="25"/>
    <s v="POS"/>
    <n v="7.4999999999999997E-2"/>
    <n v="400"/>
    <n v="30"/>
    <n v="0"/>
    <m/>
    <m/>
    <m/>
    <m/>
    <n v="0"/>
    <n v="0"/>
    <n v="45103.877040949104"/>
  </r>
  <r>
    <x v="119"/>
    <x v="4"/>
    <x v="24"/>
    <x v="0"/>
    <x v="1"/>
    <x v="1157"/>
    <x v="25"/>
    <s v="NAKİT"/>
    <n v="0.15384615384615385"/>
    <n v="650"/>
    <n v="0"/>
    <n v="0"/>
    <m/>
    <m/>
    <m/>
    <m/>
    <n v="100"/>
    <n v="0"/>
    <n v="45203.877040949104"/>
  </r>
  <r>
    <x v="119"/>
    <x v="4"/>
    <x v="30"/>
    <x v="0"/>
    <x v="1"/>
    <x v="1157"/>
    <x v="25"/>
    <s v="NAKİT"/>
    <n v="0.2"/>
    <n v="500"/>
    <n v="0"/>
    <n v="0"/>
    <m/>
    <m/>
    <m/>
    <m/>
    <n v="100"/>
    <n v="0"/>
    <n v="45303.877040949104"/>
  </r>
  <r>
    <x v="119"/>
    <x v="4"/>
    <x v="198"/>
    <x v="0"/>
    <x v="1"/>
    <x v="1157"/>
    <x v="25"/>
    <s v="NAKİT"/>
    <n v="0.4"/>
    <n v="200"/>
    <n v="0"/>
    <n v="0"/>
    <m/>
    <m/>
    <m/>
    <m/>
    <n v="80"/>
    <n v="0"/>
    <n v="45383.877040949104"/>
  </r>
  <r>
    <x v="119"/>
    <x v="4"/>
    <x v="197"/>
    <x v="0"/>
    <x v="1"/>
    <x v="1157"/>
    <x v="25"/>
    <s v="NAKİT"/>
    <n v="0.6"/>
    <n v="200"/>
    <n v="0"/>
    <n v="0"/>
    <m/>
    <m/>
    <m/>
    <m/>
    <n v="120"/>
    <n v="0"/>
    <n v="45503.877040949104"/>
  </r>
  <r>
    <x v="119"/>
    <x v="4"/>
    <x v="267"/>
    <x v="0"/>
    <x v="5"/>
    <x v="1158"/>
    <x v="25"/>
    <s v="POS"/>
    <n v="2"/>
    <n v="145"/>
    <n v="290"/>
    <n v="0"/>
    <m/>
    <m/>
    <m/>
    <m/>
    <n v="0"/>
    <n v="0"/>
    <n v="45503.877040949104"/>
  </r>
  <r>
    <x v="119"/>
    <x v="4"/>
    <x v="256"/>
    <x v="0"/>
    <x v="5"/>
    <x v="1158"/>
    <x v="25"/>
    <s v="POS"/>
    <n v="1"/>
    <n v="110"/>
    <n v="110"/>
    <n v="0"/>
    <m/>
    <m/>
    <m/>
    <m/>
    <n v="0"/>
    <n v="0"/>
    <n v="45503.877040949104"/>
  </r>
  <r>
    <x v="119"/>
    <x v="4"/>
    <x v="87"/>
    <x v="0"/>
    <x v="1"/>
    <x v="1159"/>
    <x v="25"/>
    <s v="NAKİT"/>
    <n v="0.04"/>
    <n v="1400"/>
    <n v="0"/>
    <n v="0"/>
    <m/>
    <m/>
    <m/>
    <m/>
    <n v="56"/>
    <n v="0"/>
    <n v="45559.877040949104"/>
  </r>
  <r>
    <x v="119"/>
    <x v="4"/>
    <x v="364"/>
    <x v="0"/>
    <x v="1"/>
    <x v="1159"/>
    <x v="25"/>
    <s v="NAKİT"/>
    <n v="0.1"/>
    <n v="820"/>
    <n v="0"/>
    <n v="0"/>
    <m/>
    <m/>
    <m/>
    <m/>
    <n v="82"/>
    <n v="0"/>
    <n v="45641.877040949104"/>
  </r>
  <r>
    <x v="119"/>
    <x v="4"/>
    <x v="363"/>
    <x v="0"/>
    <x v="1"/>
    <x v="1159"/>
    <x v="25"/>
    <s v="NAKİT"/>
    <n v="0.1"/>
    <n v="980"/>
    <n v="0"/>
    <n v="0"/>
    <m/>
    <m/>
    <m/>
    <m/>
    <n v="98"/>
    <n v="0"/>
    <n v="45739.877040949104"/>
  </r>
  <r>
    <x v="119"/>
    <x v="4"/>
    <x v="94"/>
    <x v="0"/>
    <x v="1"/>
    <x v="1159"/>
    <x v="25"/>
    <s v="NAKİT"/>
    <n v="2.5999999999999999E-2"/>
    <n v="2000"/>
    <n v="0"/>
    <n v="0"/>
    <m/>
    <m/>
    <m/>
    <m/>
    <n v="52"/>
    <n v="0"/>
    <n v="45791.877040949104"/>
  </r>
  <r>
    <x v="119"/>
    <x v="4"/>
    <x v="199"/>
    <x v="0"/>
    <x v="5"/>
    <x v="1160"/>
    <x v="25"/>
    <s v="POS"/>
    <n v="1"/>
    <n v="150"/>
    <n v="150"/>
    <n v="0"/>
    <m/>
    <m/>
    <m/>
    <m/>
    <n v="0"/>
    <n v="0"/>
    <n v="45791.877040949104"/>
  </r>
  <r>
    <x v="119"/>
    <x v="4"/>
    <x v="197"/>
    <x v="0"/>
    <x v="5"/>
    <x v="1160"/>
    <x v="25"/>
    <s v="POS"/>
    <n v="1"/>
    <n v="200"/>
    <n v="200"/>
    <n v="0"/>
    <m/>
    <m/>
    <m/>
    <m/>
    <n v="0"/>
    <n v="0"/>
    <n v="45791.877040949104"/>
  </r>
  <r>
    <x v="119"/>
    <x v="4"/>
    <x v="198"/>
    <x v="0"/>
    <x v="5"/>
    <x v="1160"/>
    <x v="25"/>
    <s v="POS"/>
    <n v="1"/>
    <n v="200"/>
    <n v="200"/>
    <n v="0"/>
    <m/>
    <m/>
    <m/>
    <m/>
    <n v="0"/>
    <n v="0"/>
    <n v="45791.877040949104"/>
  </r>
  <r>
    <x v="119"/>
    <x v="4"/>
    <x v="355"/>
    <x v="0"/>
    <x v="5"/>
    <x v="1161"/>
    <x v="25"/>
    <s v="POS"/>
    <n v="1"/>
    <n v="170"/>
    <n v="170"/>
    <n v="0"/>
    <m/>
    <m/>
    <m/>
    <m/>
    <n v="0"/>
    <n v="0"/>
    <n v="45791.877040949104"/>
  </r>
  <r>
    <x v="120"/>
    <x v="4"/>
    <x v="150"/>
    <x v="0"/>
    <x v="1"/>
    <x v="1162"/>
    <x v="25"/>
    <s v="NAKİT"/>
    <n v="1.6"/>
    <n v="250"/>
    <n v="0"/>
    <n v="0"/>
    <m/>
    <m/>
    <m/>
    <m/>
    <n v="400"/>
    <n v="0"/>
    <n v="46191.877040949104"/>
  </r>
  <r>
    <x v="120"/>
    <x v="4"/>
    <x v="218"/>
    <x v="0"/>
    <x v="1"/>
    <x v="1163"/>
    <x v="25"/>
    <s v="NAKİT"/>
    <n v="1"/>
    <n v="350"/>
    <n v="0"/>
    <n v="0"/>
    <m/>
    <m/>
    <m/>
    <m/>
    <n v="350"/>
    <n v="0"/>
    <n v="46541.877040949104"/>
  </r>
  <r>
    <x v="120"/>
    <x v="4"/>
    <x v="161"/>
    <x v="0"/>
    <x v="1"/>
    <x v="1163"/>
    <x v="25"/>
    <s v="NAKİT"/>
    <n v="0.125"/>
    <n v="400"/>
    <n v="0"/>
    <n v="0"/>
    <m/>
    <m/>
    <m/>
    <m/>
    <n v="50"/>
    <n v="0"/>
    <n v="46591.877040949104"/>
  </r>
  <r>
    <x v="120"/>
    <x v="4"/>
    <x v="150"/>
    <x v="0"/>
    <x v="1"/>
    <x v="1164"/>
    <x v="25"/>
    <s v="NAKİT"/>
    <n v="1.08"/>
    <n v="250"/>
    <n v="0"/>
    <n v="0"/>
    <m/>
    <m/>
    <m/>
    <m/>
    <n v="270"/>
    <n v="0"/>
    <n v="46861.877040949104"/>
  </r>
  <r>
    <x v="120"/>
    <x v="4"/>
    <x v="154"/>
    <x v="0"/>
    <x v="5"/>
    <x v="1165"/>
    <x v="25"/>
    <s v="POS"/>
    <n v="1"/>
    <n v="180"/>
    <n v="180"/>
    <n v="0"/>
    <m/>
    <m/>
    <m/>
    <m/>
    <n v="0"/>
    <n v="0"/>
    <n v="46861.877040949104"/>
  </r>
  <r>
    <x v="120"/>
    <x v="4"/>
    <x v="240"/>
    <x v="0"/>
    <x v="1"/>
    <x v="1166"/>
    <x v="25"/>
    <s v="NAKİT"/>
    <n v="0.21739130434782608"/>
    <n v="230"/>
    <n v="0"/>
    <n v="0"/>
    <m/>
    <m/>
    <m/>
    <m/>
    <n v="50"/>
    <n v="0"/>
    <n v="46911.877040949104"/>
  </r>
  <r>
    <x v="120"/>
    <x v="4"/>
    <x v="70"/>
    <x v="0"/>
    <x v="1"/>
    <x v="1166"/>
    <x v="25"/>
    <s v="NAKİT"/>
    <n v="0.2608695652173913"/>
    <n v="230"/>
    <n v="0"/>
    <n v="0"/>
    <m/>
    <m/>
    <m/>
    <m/>
    <n v="60"/>
    <n v="0"/>
    <n v="46971.877040949104"/>
  </r>
  <r>
    <x v="120"/>
    <x v="4"/>
    <x v="116"/>
    <x v="0"/>
    <x v="1"/>
    <x v="1166"/>
    <x v="25"/>
    <s v="NAKİT"/>
    <n v="0.27906976744186046"/>
    <n v="430"/>
    <n v="0"/>
    <n v="0"/>
    <m/>
    <m/>
    <m/>
    <m/>
    <n v="120"/>
    <n v="0"/>
    <n v="47091.877040949104"/>
  </r>
  <r>
    <x v="120"/>
    <x v="4"/>
    <x v="128"/>
    <x v="0"/>
    <x v="1"/>
    <x v="1166"/>
    <x v="25"/>
    <s v="NAKİT"/>
    <n v="0.25"/>
    <n v="200"/>
    <n v="0"/>
    <n v="0"/>
    <m/>
    <m/>
    <m/>
    <m/>
    <n v="50"/>
    <n v="0"/>
    <n v="47141.877040949104"/>
  </r>
  <r>
    <x v="120"/>
    <x v="4"/>
    <x v="149"/>
    <x v="0"/>
    <x v="1"/>
    <x v="1166"/>
    <x v="25"/>
    <s v="NAKİT"/>
    <n v="0.154"/>
    <n v="650"/>
    <n v="0"/>
    <n v="0"/>
    <m/>
    <m/>
    <m/>
    <m/>
    <n v="100.1"/>
    <n v="0"/>
    <n v="47241.977040949103"/>
  </r>
  <r>
    <x v="120"/>
    <x v="4"/>
    <x v="261"/>
    <x v="0"/>
    <x v="1"/>
    <x v="1167"/>
    <x v="25"/>
    <s v="NAKİT"/>
    <n v="1"/>
    <n v="130"/>
    <n v="0"/>
    <n v="0"/>
    <m/>
    <m/>
    <m/>
    <m/>
    <n v="130"/>
    <n v="0"/>
    <n v="47371.977040949103"/>
  </r>
  <r>
    <x v="120"/>
    <x v="4"/>
    <x v="18"/>
    <x v="0"/>
    <x v="1"/>
    <x v="1167"/>
    <x v="35"/>
    <s v="NAKİT"/>
    <n v="2"/>
    <n v="200"/>
    <n v="0"/>
    <n v="0"/>
    <m/>
    <m/>
    <m/>
    <m/>
    <n v="400"/>
    <n v="0"/>
    <n v="47771.977040949103"/>
  </r>
  <r>
    <x v="120"/>
    <x v="4"/>
    <x v="58"/>
    <x v="0"/>
    <x v="1"/>
    <x v="1167"/>
    <x v="35"/>
    <s v="NAKİT"/>
    <n v="1"/>
    <n v="180"/>
    <n v="0"/>
    <n v="0"/>
    <m/>
    <m/>
    <m/>
    <m/>
    <n v="180"/>
    <n v="0"/>
    <n v="47951.977040949103"/>
  </r>
  <r>
    <x v="120"/>
    <x v="4"/>
    <x v="54"/>
    <x v="0"/>
    <x v="1"/>
    <x v="1167"/>
    <x v="35"/>
    <s v="NAKİT"/>
    <n v="0.26666666666666666"/>
    <n v="225"/>
    <n v="0"/>
    <n v="0"/>
    <m/>
    <m/>
    <m/>
    <m/>
    <n v="60"/>
    <n v="0"/>
    <n v="48011.977040949103"/>
  </r>
  <r>
    <x v="120"/>
    <x v="4"/>
    <x v="154"/>
    <x v="0"/>
    <x v="1"/>
    <x v="1167"/>
    <x v="25"/>
    <s v="NAKİT"/>
    <n v="1"/>
    <n v="180"/>
    <n v="0"/>
    <n v="0"/>
    <m/>
    <m/>
    <m/>
    <m/>
    <n v="180"/>
    <n v="0"/>
    <n v="48191.977040949103"/>
  </r>
  <r>
    <x v="120"/>
    <x v="4"/>
    <x v="94"/>
    <x v="0"/>
    <x v="1"/>
    <x v="1167"/>
    <x v="25"/>
    <s v="NAKİT"/>
    <n v="2.5000000000000001E-2"/>
    <n v="2000"/>
    <n v="0"/>
    <n v="0"/>
    <m/>
    <m/>
    <m/>
    <m/>
    <n v="50"/>
    <n v="0"/>
    <n v="48241.977040949103"/>
  </r>
  <r>
    <x v="120"/>
    <x v="4"/>
    <x v="29"/>
    <x v="0"/>
    <x v="5"/>
    <x v="1156"/>
    <x v="25"/>
    <s v="POS"/>
    <n v="0.04"/>
    <n v="750"/>
    <n v="30"/>
    <n v="0"/>
    <m/>
    <m/>
    <m/>
    <m/>
    <n v="0"/>
    <n v="0"/>
    <n v="48241.977040949103"/>
  </r>
  <r>
    <x v="120"/>
    <x v="4"/>
    <x v="59"/>
    <x v="0"/>
    <x v="5"/>
    <x v="1156"/>
    <x v="25"/>
    <s v="POS"/>
    <n v="9.5000000000000001E-2"/>
    <n v="400"/>
    <n v="38"/>
    <n v="0"/>
    <m/>
    <m/>
    <m/>
    <m/>
    <n v="0"/>
    <n v="0"/>
    <n v="48241.977040949103"/>
  </r>
  <r>
    <x v="120"/>
    <x v="4"/>
    <x v="285"/>
    <x v="0"/>
    <x v="5"/>
    <x v="1156"/>
    <x v="25"/>
    <s v="POS"/>
    <n v="0.20937500000000001"/>
    <n v="320"/>
    <n v="67"/>
    <n v="0"/>
    <m/>
    <m/>
    <m/>
    <m/>
    <n v="0"/>
    <n v="0"/>
    <n v="48241.977040949103"/>
  </r>
  <r>
    <x v="120"/>
    <x v="4"/>
    <x v="78"/>
    <x v="0"/>
    <x v="5"/>
    <x v="1156"/>
    <x v="25"/>
    <s v="POS"/>
    <n v="2.1428571428571429E-2"/>
    <n v="950"/>
    <n v="20.357142857142858"/>
    <n v="0"/>
    <m/>
    <m/>
    <m/>
    <m/>
    <n v="0"/>
    <n v="0"/>
    <n v="48241.977040949103"/>
  </r>
  <r>
    <x v="120"/>
    <x v="4"/>
    <x v="99"/>
    <x v="0"/>
    <x v="5"/>
    <x v="1156"/>
    <x v="25"/>
    <s v="POS"/>
    <n v="0.05"/>
    <n v="900"/>
    <n v="45"/>
    <n v="0"/>
    <m/>
    <m/>
    <m/>
    <m/>
    <n v="0"/>
    <n v="0"/>
    <n v="48241.977040949103"/>
  </r>
  <r>
    <x v="120"/>
    <x v="4"/>
    <x v="384"/>
    <x v="0"/>
    <x v="1"/>
    <x v="1157"/>
    <x v="25"/>
    <s v="NAKİT"/>
    <n v="1"/>
    <n v="290"/>
    <n v="0"/>
    <n v="0"/>
    <m/>
    <m/>
    <m/>
    <m/>
    <n v="290"/>
    <n v="0"/>
    <n v="48531.977040949103"/>
  </r>
  <r>
    <x v="120"/>
    <x v="4"/>
    <x v="199"/>
    <x v="0"/>
    <x v="1"/>
    <x v="1157"/>
    <x v="25"/>
    <s v="NAKİT"/>
    <n v="1"/>
    <n v="150"/>
    <n v="0"/>
    <n v="0"/>
    <m/>
    <m/>
    <m/>
    <m/>
    <n v="150"/>
    <n v="0"/>
    <n v="48681.977040949103"/>
  </r>
  <r>
    <x v="120"/>
    <x v="4"/>
    <x v="199"/>
    <x v="0"/>
    <x v="1"/>
    <x v="1158"/>
    <x v="25"/>
    <s v="NAKİT"/>
    <n v="1"/>
    <n v="150"/>
    <n v="0"/>
    <n v="0"/>
    <m/>
    <m/>
    <m/>
    <m/>
    <n v="150"/>
    <n v="0"/>
    <n v="48831.977040949103"/>
  </r>
  <r>
    <x v="120"/>
    <x v="4"/>
    <x v="161"/>
    <x v="0"/>
    <x v="1"/>
    <x v="1158"/>
    <x v="25"/>
    <s v="NAKİT"/>
    <n v="0.125"/>
    <n v="400"/>
    <n v="0"/>
    <n v="0"/>
    <m/>
    <m/>
    <m/>
    <m/>
    <n v="50"/>
    <n v="0"/>
    <n v="48881.977040949103"/>
  </r>
  <r>
    <x v="120"/>
    <x v="4"/>
    <x v="215"/>
    <x v="0"/>
    <x v="5"/>
    <x v="1159"/>
    <x v="25"/>
    <s v="POS"/>
    <n v="1"/>
    <n v="240"/>
    <n v="240"/>
    <n v="0"/>
    <m/>
    <m/>
    <m/>
    <m/>
    <n v="0"/>
    <n v="0"/>
    <n v="48881.977040949103"/>
  </r>
  <r>
    <x v="120"/>
    <x v="4"/>
    <x v="141"/>
    <x v="0"/>
    <x v="5"/>
    <x v="1159"/>
    <x v="25"/>
    <s v="POS"/>
    <n v="1"/>
    <n v="130"/>
    <n v="130"/>
    <n v="0"/>
    <m/>
    <m/>
    <m/>
    <m/>
    <n v="0"/>
    <n v="0"/>
    <n v="48881.977040949103"/>
  </r>
  <r>
    <x v="120"/>
    <x v="4"/>
    <x v="83"/>
    <x v="0"/>
    <x v="5"/>
    <x v="1159"/>
    <x v="25"/>
    <s v="POS"/>
    <n v="0.05"/>
    <n v="2600"/>
    <n v="130"/>
    <n v="0"/>
    <m/>
    <m/>
    <m/>
    <m/>
    <n v="0"/>
    <n v="0"/>
    <n v="48881.977040949103"/>
  </r>
  <r>
    <x v="120"/>
    <x v="4"/>
    <x v="46"/>
    <x v="0"/>
    <x v="1"/>
    <x v="1160"/>
    <x v="25"/>
    <s v="NAKİT"/>
    <n v="2.5000000000000001E-2"/>
    <n v="2000"/>
    <n v="0"/>
    <n v="0"/>
    <m/>
    <m/>
    <m/>
    <m/>
    <n v="50"/>
    <n v="0"/>
    <n v="48931.977040949103"/>
  </r>
  <r>
    <x v="120"/>
    <x v="4"/>
    <x v="70"/>
    <x v="0"/>
    <x v="1"/>
    <x v="1160"/>
    <x v="25"/>
    <s v="NAKİT"/>
    <n v="0.2608695652173913"/>
    <n v="192"/>
    <n v="0"/>
    <n v="0"/>
    <m/>
    <m/>
    <m/>
    <m/>
    <n v="50.086956521739125"/>
    <n v="0"/>
    <n v="48982.063997470839"/>
  </r>
  <r>
    <x v="120"/>
    <x v="4"/>
    <x v="314"/>
    <x v="0"/>
    <x v="1"/>
    <x v="1161"/>
    <x v="25"/>
    <s v="NAKİT"/>
    <n v="1"/>
    <n v="140"/>
    <n v="0"/>
    <n v="0"/>
    <m/>
    <m/>
    <m/>
    <m/>
    <n v="140"/>
    <n v="0"/>
    <n v="49122.063997470839"/>
  </r>
  <r>
    <x v="120"/>
    <x v="4"/>
    <x v="76"/>
    <x v="0"/>
    <x v="1"/>
    <x v="1161"/>
    <x v="25"/>
    <s v="NAKİT"/>
    <n v="1"/>
    <n v="80"/>
    <n v="0"/>
    <n v="0"/>
    <m/>
    <m/>
    <m/>
    <m/>
    <n v="80"/>
    <n v="0"/>
    <n v="49202.063997470839"/>
  </r>
  <r>
    <x v="120"/>
    <x v="4"/>
    <x v="87"/>
    <x v="0"/>
    <x v="1"/>
    <x v="1161"/>
    <x v="25"/>
    <s v="NAKİT"/>
    <n v="3.2000000000000001E-2"/>
    <n v="1400"/>
    <n v="0"/>
    <n v="0"/>
    <m/>
    <m/>
    <m/>
    <m/>
    <n v="44.800000000000004"/>
    <n v="0"/>
    <n v="49246.863997470842"/>
  </r>
  <r>
    <x v="120"/>
    <x v="4"/>
    <x v="212"/>
    <x v="0"/>
    <x v="1"/>
    <x v="1161"/>
    <x v="25"/>
    <s v="NAKİT"/>
    <n v="0.36399999999999999"/>
    <n v="550"/>
    <n v="0"/>
    <n v="0"/>
    <m/>
    <m/>
    <m/>
    <m/>
    <n v="200.2"/>
    <n v="0"/>
    <n v="49447.063997470839"/>
  </r>
  <r>
    <x v="121"/>
    <x v="4"/>
    <x v="18"/>
    <x v="0"/>
    <x v="5"/>
    <x v="1126"/>
    <x v="25"/>
    <s v="POS"/>
    <n v="1"/>
    <n v="250"/>
    <n v="250"/>
    <n v="0"/>
    <m/>
    <m/>
    <m/>
    <m/>
    <n v="0"/>
    <n v="0"/>
    <n v="49447.063997470839"/>
  </r>
  <r>
    <x v="121"/>
    <x v="4"/>
    <x v="312"/>
    <x v="0"/>
    <x v="5"/>
    <x v="1126"/>
    <x v="25"/>
    <s v="POS"/>
    <n v="1"/>
    <n v="335"/>
    <n v="335"/>
    <n v="0"/>
    <m/>
    <m/>
    <m/>
    <m/>
    <n v="0"/>
    <n v="0"/>
    <n v="49447.063997470839"/>
  </r>
  <r>
    <x v="121"/>
    <x v="4"/>
    <x v="50"/>
    <x v="0"/>
    <x v="5"/>
    <x v="1126"/>
    <x v="25"/>
    <s v="POS"/>
    <n v="0.1"/>
    <n v="650"/>
    <n v="65"/>
    <n v="0"/>
    <m/>
    <m/>
    <m/>
    <m/>
    <n v="0"/>
    <n v="0"/>
    <n v="49447.063997470839"/>
  </r>
  <r>
    <x v="121"/>
    <x v="4"/>
    <x v="77"/>
    <x v="0"/>
    <x v="1"/>
    <x v="1168"/>
    <x v="25"/>
    <s v="NAKİT"/>
    <n v="0.5"/>
    <n v="80"/>
    <n v="0"/>
    <n v="0"/>
    <m/>
    <m/>
    <m/>
    <m/>
    <n v="40"/>
    <n v="0"/>
    <n v="49487.063997470839"/>
  </r>
  <r>
    <x v="121"/>
    <x v="4"/>
    <x v="356"/>
    <x v="0"/>
    <x v="1"/>
    <x v="1168"/>
    <x v="25"/>
    <s v="NAKİT"/>
    <n v="2"/>
    <n v="10"/>
    <n v="0"/>
    <n v="0"/>
    <m/>
    <m/>
    <m/>
    <m/>
    <n v="20"/>
    <n v="0"/>
    <n v="49507.063997470839"/>
  </r>
  <r>
    <x v="121"/>
    <x v="4"/>
    <x v="383"/>
    <x v="0"/>
    <x v="1"/>
    <x v="1169"/>
    <x v="25"/>
    <s v="NAKİT"/>
    <n v="0.1275"/>
    <n v="400"/>
    <n v="0"/>
    <n v="0"/>
    <m/>
    <m/>
    <m/>
    <m/>
    <n v="51"/>
    <n v="0"/>
    <n v="49558.063997470839"/>
  </r>
  <r>
    <x v="121"/>
    <x v="4"/>
    <x v="240"/>
    <x v="0"/>
    <x v="1"/>
    <x v="1170"/>
    <x v="25"/>
    <s v="NAKİT"/>
    <n v="0.218"/>
    <n v="230"/>
    <n v="0"/>
    <n v="0"/>
    <m/>
    <m/>
    <m/>
    <m/>
    <n v="50.14"/>
    <n v="0"/>
    <n v="49608.203997470839"/>
  </r>
  <r>
    <x v="121"/>
    <x v="4"/>
    <x v="249"/>
    <x v="0"/>
    <x v="5"/>
    <x v="1171"/>
    <x v="25"/>
    <s v="POS"/>
    <n v="1"/>
    <n v="125"/>
    <n v="125"/>
    <n v="0"/>
    <m/>
    <m/>
    <m/>
    <m/>
    <n v="0"/>
    <n v="0"/>
    <n v="49608.203997470839"/>
  </r>
  <r>
    <x v="121"/>
    <x v="4"/>
    <x v="46"/>
    <x v="0"/>
    <x v="5"/>
    <x v="1171"/>
    <x v="25"/>
    <s v="POS"/>
    <n v="2.5000000000000001E-2"/>
    <n v="2000"/>
    <n v="50"/>
    <n v="0"/>
    <m/>
    <m/>
    <m/>
    <m/>
    <n v="0"/>
    <n v="0"/>
    <n v="49608.203997470839"/>
  </r>
  <r>
    <x v="121"/>
    <x v="4"/>
    <x v="288"/>
    <x v="0"/>
    <x v="5"/>
    <x v="1171"/>
    <x v="25"/>
    <s v="POS"/>
    <n v="8.7999999999999995E-2"/>
    <n v="540"/>
    <n v="47.519999999999996"/>
    <n v="0"/>
    <m/>
    <m/>
    <m/>
    <m/>
    <n v="0"/>
    <n v="0"/>
    <n v="49608.203997470839"/>
  </r>
  <r>
    <x v="121"/>
    <x v="4"/>
    <x v="18"/>
    <x v="0"/>
    <x v="5"/>
    <x v="1171"/>
    <x v="25"/>
    <s v="POS"/>
    <n v="1"/>
    <n v="250"/>
    <n v="250"/>
    <n v="0"/>
    <m/>
    <m/>
    <m/>
    <m/>
    <n v="0"/>
    <n v="0"/>
    <n v="49608.203997470839"/>
  </r>
  <r>
    <x v="121"/>
    <x v="4"/>
    <x v="58"/>
    <x v="0"/>
    <x v="5"/>
    <x v="1171"/>
    <x v="25"/>
    <s v="POS"/>
    <n v="1"/>
    <n v="230"/>
    <n v="230"/>
    <n v="0"/>
    <m/>
    <m/>
    <m/>
    <m/>
    <n v="0"/>
    <n v="0"/>
    <n v="49608.203997470839"/>
  </r>
  <r>
    <x v="121"/>
    <x v="4"/>
    <x v="197"/>
    <x v="0"/>
    <x v="5"/>
    <x v="1172"/>
    <x v="25"/>
    <s v="POS"/>
    <n v="0.5"/>
    <n v="200"/>
    <n v="100"/>
    <n v="0"/>
    <m/>
    <m/>
    <m/>
    <m/>
    <n v="0"/>
    <n v="0"/>
    <n v="49608.203997470839"/>
  </r>
  <r>
    <x v="121"/>
    <x v="4"/>
    <x v="198"/>
    <x v="0"/>
    <x v="5"/>
    <x v="1172"/>
    <x v="25"/>
    <s v="POS"/>
    <n v="0.5"/>
    <n v="200"/>
    <n v="100"/>
    <n v="0"/>
    <m/>
    <m/>
    <m/>
    <m/>
    <n v="0"/>
    <n v="0"/>
    <n v="49608.203997470839"/>
  </r>
  <r>
    <x v="121"/>
    <x v="4"/>
    <x v="199"/>
    <x v="0"/>
    <x v="5"/>
    <x v="1172"/>
    <x v="25"/>
    <s v="POS"/>
    <n v="1"/>
    <n v="150"/>
    <n v="150"/>
    <n v="0"/>
    <m/>
    <m/>
    <m/>
    <m/>
    <n v="0"/>
    <n v="0"/>
    <n v="49608.203997470839"/>
  </r>
  <r>
    <x v="121"/>
    <x v="4"/>
    <x v="28"/>
    <x v="0"/>
    <x v="5"/>
    <x v="1172"/>
    <x v="25"/>
    <s v="POS"/>
    <n v="0.114"/>
    <n v="500"/>
    <n v="57"/>
    <n v="0"/>
    <m/>
    <m/>
    <m/>
    <m/>
    <n v="0"/>
    <n v="0"/>
    <n v="49608.203997470839"/>
  </r>
  <r>
    <x v="121"/>
    <x v="4"/>
    <x v="31"/>
    <x v="0"/>
    <x v="5"/>
    <x v="1172"/>
    <x v="25"/>
    <s v="POS"/>
    <n v="0.08"/>
    <n v="400"/>
    <n v="32"/>
    <n v="0"/>
    <m/>
    <m/>
    <m/>
    <m/>
    <n v="0"/>
    <n v="0"/>
    <n v="49608.203997470839"/>
  </r>
  <r>
    <x v="121"/>
    <x v="4"/>
    <x v="27"/>
    <x v="0"/>
    <x v="5"/>
    <x v="1172"/>
    <x v="25"/>
    <s v="POS"/>
    <n v="6.4000000000000001E-2"/>
    <n v="400"/>
    <n v="25.6"/>
    <n v="0"/>
    <m/>
    <m/>
    <m/>
    <m/>
    <n v="0"/>
    <n v="0"/>
    <n v="49608.203997470839"/>
  </r>
  <r>
    <x v="121"/>
    <x v="4"/>
    <x v="286"/>
    <x v="0"/>
    <x v="1"/>
    <x v="1173"/>
    <x v="124"/>
    <s v="NAKİT"/>
    <n v="5"/>
    <n v="60"/>
    <n v="0"/>
    <n v="0"/>
    <m/>
    <m/>
    <m/>
    <m/>
    <n v="300"/>
    <n v="0"/>
    <n v="49908.203997470839"/>
  </r>
  <r>
    <x v="121"/>
    <x v="4"/>
    <x v="197"/>
    <x v="0"/>
    <x v="1"/>
    <x v="1173"/>
    <x v="124"/>
    <s v="NAKİT"/>
    <n v="1"/>
    <n v="200"/>
    <n v="0"/>
    <n v="0"/>
    <m/>
    <m/>
    <m/>
    <m/>
    <n v="200"/>
    <n v="0"/>
    <n v="50108.203997470839"/>
  </r>
  <r>
    <x v="121"/>
    <x v="4"/>
    <x v="198"/>
    <x v="0"/>
    <x v="1"/>
    <x v="1174"/>
    <x v="125"/>
    <s v="NAKİT"/>
    <n v="1"/>
    <n v="200"/>
    <n v="0"/>
    <n v="0"/>
    <m/>
    <m/>
    <m/>
    <m/>
    <n v="200"/>
    <n v="0"/>
    <n v="50308.203997470839"/>
  </r>
  <r>
    <x v="121"/>
    <x v="4"/>
    <x v="199"/>
    <x v="0"/>
    <x v="1"/>
    <x v="1174"/>
    <x v="125"/>
    <s v="NAKİT"/>
    <n v="1"/>
    <n v="150"/>
    <n v="0"/>
    <n v="0"/>
    <m/>
    <m/>
    <m/>
    <m/>
    <n v="150"/>
    <n v="0"/>
    <n v="50458.203997470839"/>
  </r>
  <r>
    <x v="121"/>
    <x v="4"/>
    <x v="18"/>
    <x v="0"/>
    <x v="1"/>
    <x v="1175"/>
    <x v="126"/>
    <s v="NAKİT"/>
    <n v="1"/>
    <n v="250"/>
    <n v="0"/>
    <n v="0"/>
    <m/>
    <m/>
    <m/>
    <m/>
    <n v="250"/>
    <n v="0"/>
    <n v="50708.203997470839"/>
  </r>
  <r>
    <x v="121"/>
    <x v="4"/>
    <x v="58"/>
    <x v="0"/>
    <x v="1"/>
    <x v="1175"/>
    <x v="126"/>
    <s v="NAKİT"/>
    <n v="2"/>
    <n v="230"/>
    <n v="0"/>
    <n v="0"/>
    <m/>
    <m/>
    <m/>
    <m/>
    <n v="460"/>
    <n v="0"/>
    <n v="51168.203997470839"/>
  </r>
  <r>
    <x v="121"/>
    <x v="4"/>
    <x v="25"/>
    <x v="0"/>
    <x v="1"/>
    <x v="1175"/>
    <x v="126"/>
    <s v="NAKİT"/>
    <n v="0.75"/>
    <n v="400"/>
    <n v="0"/>
    <n v="0"/>
    <m/>
    <m/>
    <m/>
    <m/>
    <n v="300"/>
    <n v="0"/>
    <n v="51468.203997470839"/>
  </r>
  <r>
    <x v="121"/>
    <x v="4"/>
    <x v="24"/>
    <x v="0"/>
    <x v="1"/>
    <x v="1175"/>
    <x v="126"/>
    <s v="NAKİT"/>
    <n v="0.46153846153846156"/>
    <n v="650"/>
    <n v="0"/>
    <n v="0"/>
    <m/>
    <m/>
    <m/>
    <m/>
    <n v="300"/>
    <n v="0"/>
    <n v="51768.203997470839"/>
  </r>
  <r>
    <x v="121"/>
    <x v="4"/>
    <x v="27"/>
    <x v="0"/>
    <x v="1"/>
    <x v="1175"/>
    <x v="126"/>
    <s v="NAKİT"/>
    <n v="0.34"/>
    <n v="400"/>
    <n v="0"/>
    <n v="0"/>
    <m/>
    <m/>
    <m/>
    <m/>
    <n v="136"/>
    <n v="0"/>
    <n v="51904.203997470839"/>
  </r>
  <r>
    <x v="121"/>
    <x v="4"/>
    <x v="161"/>
    <x v="0"/>
    <x v="1"/>
    <x v="1175"/>
    <x v="126"/>
    <s v="NAKİT"/>
    <n v="0.53200000000000003"/>
    <n v="400"/>
    <n v="0"/>
    <n v="0"/>
    <m/>
    <m/>
    <m/>
    <m/>
    <n v="212.8"/>
    <n v="0"/>
    <n v="52117.003997470842"/>
  </r>
  <r>
    <x v="121"/>
    <x v="4"/>
    <x v="33"/>
    <x v="0"/>
    <x v="1"/>
    <x v="1175"/>
    <x v="126"/>
    <s v="NAKİT"/>
    <n v="0.52400000000000002"/>
    <n v="400"/>
    <n v="0"/>
    <n v="0"/>
    <m/>
    <m/>
    <m/>
    <m/>
    <n v="209.60000000000002"/>
    <n v="0"/>
    <n v="52326.60399747084"/>
  </r>
  <r>
    <x v="121"/>
    <x v="4"/>
    <x v="56"/>
    <x v="0"/>
    <x v="1"/>
    <x v="1176"/>
    <x v="127"/>
    <s v="NAKİT"/>
    <n v="1"/>
    <n v="200"/>
    <n v="0"/>
    <n v="0"/>
    <m/>
    <m/>
    <m/>
    <m/>
    <n v="200"/>
    <n v="0"/>
    <n v="52526.60399747084"/>
  </r>
  <r>
    <x v="121"/>
    <x v="4"/>
    <x v="316"/>
    <x v="0"/>
    <x v="1"/>
    <x v="1177"/>
    <x v="106"/>
    <s v="NAKİT"/>
    <n v="1"/>
    <n v="150"/>
    <n v="0"/>
    <n v="0"/>
    <m/>
    <m/>
    <m/>
    <m/>
    <n v="150"/>
    <n v="0"/>
    <n v="52676.60399747084"/>
  </r>
  <r>
    <x v="121"/>
    <x v="4"/>
    <x v="94"/>
    <x v="0"/>
    <x v="1"/>
    <x v="1177"/>
    <x v="106"/>
    <s v="NAKİT"/>
    <n v="0.03"/>
    <n v="1000"/>
    <n v="0"/>
    <n v="0"/>
    <m/>
    <m/>
    <m/>
    <m/>
    <n v="30"/>
    <n v="0"/>
    <n v="52706.60399747084"/>
  </r>
  <r>
    <x v="121"/>
    <x v="4"/>
    <x v="197"/>
    <x v="0"/>
    <x v="1"/>
    <x v="1177"/>
    <x v="106"/>
    <s v="NAKİT"/>
    <n v="2"/>
    <n v="200"/>
    <n v="0"/>
    <n v="0"/>
    <m/>
    <m/>
    <m/>
    <m/>
    <n v="400"/>
    <n v="0"/>
    <n v="53106.60399747084"/>
  </r>
  <r>
    <x v="121"/>
    <x v="4"/>
    <x v="56"/>
    <x v="0"/>
    <x v="1"/>
    <x v="1177"/>
    <x v="106"/>
    <s v="NAKİT"/>
    <n v="2"/>
    <n v="200"/>
    <n v="0"/>
    <n v="0"/>
    <m/>
    <m/>
    <m/>
    <m/>
    <n v="400"/>
    <n v="0"/>
    <n v="53506.60399747084"/>
  </r>
  <r>
    <x v="121"/>
    <x v="4"/>
    <x v="199"/>
    <x v="0"/>
    <x v="1"/>
    <x v="1177"/>
    <x v="106"/>
    <s v="NAKİT"/>
    <n v="2"/>
    <n v="150"/>
    <n v="0"/>
    <n v="0"/>
    <m/>
    <m/>
    <m/>
    <m/>
    <n v="300"/>
    <n v="0"/>
    <n v="53806.60399747084"/>
  </r>
  <r>
    <x v="121"/>
    <x v="4"/>
    <x v="356"/>
    <x v="0"/>
    <x v="1"/>
    <x v="1177"/>
    <x v="106"/>
    <s v="NAKİT"/>
    <n v="15"/>
    <n v="10"/>
    <n v="0"/>
    <n v="0"/>
    <m/>
    <m/>
    <m/>
    <m/>
    <n v="150"/>
    <n v="0"/>
    <n v="53956.60399747084"/>
  </r>
  <r>
    <x v="121"/>
    <x v="4"/>
    <x v="130"/>
    <x v="0"/>
    <x v="1"/>
    <x v="1177"/>
    <x v="106"/>
    <s v="NAKİT"/>
    <n v="0.218"/>
    <n v="230"/>
    <n v="0"/>
    <n v="0"/>
    <m/>
    <m/>
    <m/>
    <m/>
    <n v="50.14"/>
    <n v="0"/>
    <n v="54006.74399747084"/>
  </r>
  <r>
    <x v="121"/>
    <x v="4"/>
    <x v="307"/>
    <x v="0"/>
    <x v="1"/>
    <x v="1177"/>
    <x v="106"/>
    <s v="NAKİT"/>
    <n v="1"/>
    <n v="140"/>
    <n v="0"/>
    <n v="0"/>
    <m/>
    <m/>
    <m/>
    <m/>
    <n v="140"/>
    <n v="0"/>
    <n v="54146.74399747084"/>
  </r>
  <r>
    <x v="121"/>
    <x v="4"/>
    <x v="116"/>
    <x v="0"/>
    <x v="1"/>
    <x v="1178"/>
    <x v="110"/>
    <s v="NAKİT"/>
    <n v="0.28000000000000003"/>
    <n v="430"/>
    <n v="0"/>
    <n v="0"/>
    <m/>
    <m/>
    <m/>
    <m/>
    <n v="120.4"/>
    <n v="0"/>
    <n v="54267.143997470841"/>
  </r>
  <r>
    <x v="121"/>
    <x v="4"/>
    <x v="129"/>
    <x v="0"/>
    <x v="1"/>
    <x v="1178"/>
    <x v="110"/>
    <s v="NAKİT"/>
    <n v="1"/>
    <n v="240"/>
    <n v="0"/>
    <n v="0"/>
    <m/>
    <m/>
    <m/>
    <m/>
    <n v="240"/>
    <n v="0"/>
    <n v="54507.143997470841"/>
  </r>
  <r>
    <x v="121"/>
    <x v="4"/>
    <x v="209"/>
    <x v="0"/>
    <x v="1"/>
    <x v="1178"/>
    <x v="110"/>
    <s v="NAKİT"/>
    <n v="0.51724137931034486"/>
    <n v="290"/>
    <n v="0"/>
    <n v="0"/>
    <m/>
    <m/>
    <m/>
    <m/>
    <n v="150"/>
    <n v="0"/>
    <n v="54657.143997470841"/>
  </r>
  <r>
    <x v="121"/>
    <x v="4"/>
    <x v="100"/>
    <x v="0"/>
    <x v="1"/>
    <x v="1178"/>
    <x v="110"/>
    <s v="NAKİT"/>
    <n v="0.5"/>
    <n v="750"/>
    <n v="0"/>
    <n v="0"/>
    <m/>
    <m/>
    <m/>
    <m/>
    <n v="375"/>
    <n v="0"/>
    <n v="55032.143997470841"/>
  </r>
  <r>
    <x v="121"/>
    <x v="4"/>
    <x v="199"/>
    <x v="0"/>
    <x v="1"/>
    <x v="1178"/>
    <x v="110"/>
    <s v="NAKİT"/>
    <n v="1"/>
    <n v="150"/>
    <n v="0"/>
    <n v="0"/>
    <m/>
    <m/>
    <m/>
    <m/>
    <n v="150"/>
    <n v="0"/>
    <n v="55182.143997470841"/>
  </r>
  <r>
    <x v="121"/>
    <x v="4"/>
    <x v="21"/>
    <x v="0"/>
    <x v="1"/>
    <x v="1178"/>
    <x v="110"/>
    <s v="NAKİT"/>
    <n v="1"/>
    <n v="250"/>
    <n v="0"/>
    <n v="0"/>
    <m/>
    <m/>
    <m/>
    <m/>
    <n v="250"/>
    <n v="0"/>
    <n v="55432.143997470841"/>
  </r>
  <r>
    <x v="121"/>
    <x v="4"/>
    <x v="10"/>
    <x v="0"/>
    <x v="1"/>
    <x v="1178"/>
    <x v="110"/>
    <s v="NAKİT"/>
    <n v="1"/>
    <n v="170"/>
    <n v="0"/>
    <n v="0"/>
    <m/>
    <m/>
    <m/>
    <m/>
    <n v="170"/>
    <n v="0"/>
    <n v="55602.143997470841"/>
  </r>
  <r>
    <x v="121"/>
    <x v="4"/>
    <x v="18"/>
    <x v="0"/>
    <x v="1"/>
    <x v="1178"/>
    <x v="110"/>
    <s v="NAKİT"/>
    <n v="1"/>
    <n v="250"/>
    <n v="0"/>
    <n v="0"/>
    <m/>
    <m/>
    <m/>
    <m/>
    <n v="250"/>
    <n v="0"/>
    <n v="55852.143997470841"/>
  </r>
  <r>
    <x v="121"/>
    <x v="4"/>
    <x v="163"/>
    <x v="0"/>
    <x v="1"/>
    <x v="1178"/>
    <x v="110"/>
    <s v="NAKİT"/>
    <n v="1"/>
    <n v="50"/>
    <n v="0"/>
    <n v="0"/>
    <m/>
    <m/>
    <m/>
    <m/>
    <n v="50"/>
    <n v="0"/>
    <n v="55902.143997470841"/>
  </r>
  <r>
    <x v="121"/>
    <x v="4"/>
    <x v="156"/>
    <x v="0"/>
    <x v="1"/>
    <x v="1178"/>
    <x v="110"/>
    <s v="NAKİT"/>
    <n v="0.5"/>
    <n v="80"/>
    <n v="0"/>
    <n v="0"/>
    <m/>
    <m/>
    <m/>
    <m/>
    <n v="40"/>
    <n v="0"/>
    <n v="55942.143997470841"/>
  </r>
  <r>
    <x v="122"/>
    <x v="4"/>
    <x v="287"/>
    <x v="0"/>
    <x v="1"/>
    <x v="1179"/>
    <x v="25"/>
    <s v="NAKİT"/>
    <n v="1.5386"/>
    <n v="65"/>
    <n v="0"/>
    <n v="0"/>
    <m/>
    <m/>
    <m/>
    <m/>
    <n v="100.009"/>
    <n v="0"/>
    <n v="56042.152997470839"/>
  </r>
  <r>
    <x v="122"/>
    <x v="4"/>
    <x v="116"/>
    <x v="0"/>
    <x v="1"/>
    <x v="1180"/>
    <x v="25"/>
    <s v="NAKİT"/>
    <n v="0.27906976744186046"/>
    <n v="430"/>
    <n v="0"/>
    <n v="0"/>
    <m/>
    <m/>
    <m/>
    <m/>
    <n v="120"/>
    <n v="0"/>
    <n v="56162.152997470839"/>
  </r>
  <r>
    <x v="122"/>
    <x v="4"/>
    <x v="319"/>
    <x v="0"/>
    <x v="1"/>
    <x v="1181"/>
    <x v="25"/>
    <s v="NAKİT"/>
    <n v="1"/>
    <n v="220"/>
    <n v="0"/>
    <n v="0"/>
    <m/>
    <m/>
    <m/>
    <m/>
    <n v="220"/>
    <n v="0"/>
    <n v="56382.152997470839"/>
  </r>
  <r>
    <x v="122"/>
    <x v="4"/>
    <x v="18"/>
    <x v="0"/>
    <x v="5"/>
    <x v="1182"/>
    <x v="25"/>
    <s v="POS"/>
    <n v="1"/>
    <n v="250"/>
    <n v="250"/>
    <n v="0"/>
    <m/>
    <m/>
    <m/>
    <m/>
    <n v="0"/>
    <n v="0"/>
    <n v="56382.152997470839"/>
  </r>
  <r>
    <x v="122"/>
    <x v="4"/>
    <x v="58"/>
    <x v="0"/>
    <x v="5"/>
    <x v="1182"/>
    <x v="25"/>
    <s v="POS"/>
    <n v="1"/>
    <n v="230"/>
    <n v="230"/>
    <n v="0"/>
    <m/>
    <m/>
    <m/>
    <m/>
    <n v="0"/>
    <n v="0"/>
    <n v="56382.152997470839"/>
  </r>
  <r>
    <x v="122"/>
    <x v="4"/>
    <x v="111"/>
    <x v="0"/>
    <x v="1"/>
    <x v="1183"/>
    <x v="25"/>
    <s v="NAKİT"/>
    <n v="0.51"/>
    <n v="350"/>
    <n v="0"/>
    <n v="0"/>
    <m/>
    <m/>
    <m/>
    <m/>
    <n v="178.5"/>
    <n v="0"/>
    <n v="56560.652997470839"/>
  </r>
  <r>
    <x v="122"/>
    <x v="4"/>
    <x v="18"/>
    <x v="0"/>
    <x v="5"/>
    <x v="1184"/>
    <x v="25"/>
    <s v="POS"/>
    <n v="1"/>
    <n v="250"/>
    <n v="250"/>
    <n v="0"/>
    <m/>
    <m/>
    <m/>
    <m/>
    <n v="0"/>
    <n v="0"/>
    <n v="56560.652997470839"/>
  </r>
  <r>
    <x v="122"/>
    <x v="4"/>
    <x v="58"/>
    <x v="0"/>
    <x v="5"/>
    <x v="1184"/>
    <x v="25"/>
    <s v="POS"/>
    <n v="1"/>
    <n v="230"/>
    <n v="230"/>
    <n v="0"/>
    <m/>
    <m/>
    <m/>
    <m/>
    <n v="0"/>
    <n v="0"/>
    <n v="56560.652997470839"/>
  </r>
  <r>
    <x v="122"/>
    <x v="4"/>
    <x v="197"/>
    <x v="0"/>
    <x v="5"/>
    <x v="1184"/>
    <x v="25"/>
    <s v="POS"/>
    <n v="1"/>
    <n v="200"/>
    <n v="200"/>
    <n v="0"/>
    <m/>
    <m/>
    <m/>
    <m/>
    <n v="0"/>
    <n v="0"/>
    <n v="56560.652997470839"/>
  </r>
  <r>
    <x v="122"/>
    <x v="4"/>
    <x v="24"/>
    <x v="0"/>
    <x v="5"/>
    <x v="1184"/>
    <x v="25"/>
    <s v="POS"/>
    <n v="0.15384615384615385"/>
    <n v="650"/>
    <n v="100"/>
    <n v="0"/>
    <m/>
    <m/>
    <m/>
    <m/>
    <n v="0"/>
    <n v="0"/>
    <n v="56560.652997470839"/>
  </r>
  <r>
    <x v="122"/>
    <x v="4"/>
    <x v="33"/>
    <x v="0"/>
    <x v="5"/>
    <x v="1184"/>
    <x v="25"/>
    <s v="POS"/>
    <n v="0.25"/>
    <n v="400"/>
    <n v="100"/>
    <n v="0"/>
    <m/>
    <m/>
    <m/>
    <m/>
    <n v="0"/>
    <n v="0"/>
    <n v="56560.652997470839"/>
  </r>
  <r>
    <x v="122"/>
    <x v="4"/>
    <x v="94"/>
    <x v="0"/>
    <x v="1"/>
    <x v="1184"/>
    <x v="25"/>
    <s v="NAKİT"/>
    <n v="2.5000000000000001E-2"/>
    <n v="2000"/>
    <n v="0"/>
    <n v="0"/>
    <m/>
    <m/>
    <m/>
    <m/>
    <n v="50"/>
    <n v="0"/>
    <n v="56610.652997470839"/>
  </r>
  <r>
    <x v="122"/>
    <x v="4"/>
    <x v="87"/>
    <x v="0"/>
    <x v="1"/>
    <x v="1184"/>
    <x v="25"/>
    <s v="NAKİT"/>
    <n v="3.5714285714285712E-2"/>
    <n v="1400"/>
    <n v="0"/>
    <n v="0"/>
    <m/>
    <m/>
    <m/>
    <m/>
    <n v="50"/>
    <n v="0"/>
    <n v="56660.652997470839"/>
  </r>
  <r>
    <x v="122"/>
    <x v="4"/>
    <x v="111"/>
    <x v="0"/>
    <x v="1"/>
    <x v="1185"/>
    <x v="25"/>
    <s v="NAKİT"/>
    <n v="0.14299999999999999"/>
    <n v="350"/>
    <n v="0"/>
    <n v="0"/>
    <m/>
    <m/>
    <m/>
    <m/>
    <n v="50.05"/>
    <n v="0"/>
    <n v="56710.702997470842"/>
  </r>
  <r>
    <x v="122"/>
    <x v="1"/>
    <x v="0"/>
    <x v="2"/>
    <x v="1"/>
    <x v="2"/>
    <x v="128"/>
    <s v="NAKİT"/>
    <n v="1"/>
    <n v="22000"/>
    <n v="0"/>
    <n v="0"/>
    <m/>
    <m/>
    <m/>
    <m/>
    <n v="0"/>
    <n v="22000"/>
    <n v="34710.702997470842"/>
  </r>
  <r>
    <x v="123"/>
    <x v="4"/>
    <x v="360"/>
    <x v="0"/>
    <x v="5"/>
    <x v="1186"/>
    <x v="25"/>
    <s v="POS"/>
    <n v="0.5"/>
    <n v="600"/>
    <n v="300"/>
    <n v="0"/>
    <m/>
    <m/>
    <m/>
    <m/>
    <n v="0"/>
    <n v="0"/>
    <n v="34710.702997470842"/>
  </r>
  <r>
    <x v="123"/>
    <x v="4"/>
    <x v="257"/>
    <x v="0"/>
    <x v="5"/>
    <x v="1186"/>
    <x v="25"/>
    <s v="POS"/>
    <n v="1"/>
    <n v="170"/>
    <n v="170"/>
    <n v="0"/>
    <m/>
    <m/>
    <m/>
    <m/>
    <n v="0"/>
    <n v="0"/>
    <n v="34710.702997470842"/>
  </r>
  <r>
    <x v="123"/>
    <x v="4"/>
    <x v="238"/>
    <x v="0"/>
    <x v="5"/>
    <x v="1186"/>
    <x v="25"/>
    <s v="POS"/>
    <n v="0.39"/>
    <n v="340"/>
    <n v="132.6"/>
    <n v="0"/>
    <m/>
    <m/>
    <m/>
    <m/>
    <n v="0"/>
    <n v="0"/>
    <n v="34710.702997470842"/>
  </r>
  <r>
    <x v="123"/>
    <x v="4"/>
    <x v="337"/>
    <x v="0"/>
    <x v="1"/>
    <x v="1187"/>
    <x v="25"/>
    <s v="NAKİT"/>
    <n v="1"/>
    <n v="170"/>
    <n v="0"/>
    <n v="0"/>
    <m/>
    <m/>
    <m/>
    <m/>
    <n v="170"/>
    <n v="0"/>
    <n v="34880.702997470842"/>
  </r>
  <r>
    <x v="123"/>
    <x v="4"/>
    <x v="88"/>
    <x v="0"/>
    <x v="1"/>
    <x v="1187"/>
    <x v="25"/>
    <s v="NAKİT"/>
    <n v="0.05"/>
    <n v="1200"/>
    <n v="0"/>
    <n v="0"/>
    <m/>
    <m/>
    <m/>
    <m/>
    <n v="60"/>
    <n v="0"/>
    <n v="34940.702997470842"/>
  </r>
  <r>
    <x v="123"/>
    <x v="4"/>
    <x v="248"/>
    <x v="0"/>
    <x v="1"/>
    <x v="1187"/>
    <x v="25"/>
    <s v="NAKİT"/>
    <n v="7.2463768115942032E-2"/>
    <n v="690"/>
    <n v="0"/>
    <n v="0"/>
    <m/>
    <m/>
    <m/>
    <m/>
    <n v="50"/>
    <n v="0"/>
    <n v="34990.702997470842"/>
  </r>
  <r>
    <x v="123"/>
    <x v="4"/>
    <x v="142"/>
    <x v="0"/>
    <x v="1"/>
    <x v="1187"/>
    <x v="25"/>
    <s v="NAKİT"/>
    <n v="0.2"/>
    <n v="250"/>
    <n v="0"/>
    <n v="0"/>
    <m/>
    <m/>
    <m/>
    <m/>
    <n v="50"/>
    <n v="0"/>
    <n v="35040.702997470842"/>
  </r>
  <r>
    <x v="123"/>
    <x v="4"/>
    <x v="347"/>
    <x v="0"/>
    <x v="1"/>
    <x v="1188"/>
    <x v="25"/>
    <s v="NAKİT"/>
    <n v="0.26400000000000001"/>
    <n v="570"/>
    <n v="0"/>
    <n v="0"/>
    <m/>
    <m/>
    <m/>
    <m/>
    <n v="150.48000000000002"/>
    <n v="0"/>
    <n v="35191.182997470845"/>
  </r>
  <r>
    <x v="123"/>
    <x v="4"/>
    <x v="248"/>
    <x v="0"/>
    <x v="1"/>
    <x v="1188"/>
    <x v="25"/>
    <s v="NAKİT"/>
    <n v="0.218"/>
    <n v="690"/>
    <n v="0"/>
    <n v="0"/>
    <m/>
    <m/>
    <m/>
    <m/>
    <n v="150.41999999999999"/>
    <n v="0"/>
    <n v="35341.602997470844"/>
  </r>
  <r>
    <x v="123"/>
    <x v="4"/>
    <x v="241"/>
    <x v="0"/>
    <x v="5"/>
    <x v="1189"/>
    <x v="25"/>
    <s v="POS"/>
    <n v="0.5"/>
    <n v="60"/>
    <n v="30"/>
    <n v="0"/>
    <m/>
    <m/>
    <m/>
    <m/>
    <n v="0"/>
    <n v="0"/>
    <n v="35341.602997470844"/>
  </r>
  <r>
    <x v="123"/>
    <x v="4"/>
    <x v="51"/>
    <x v="0"/>
    <x v="1"/>
    <x v="1190"/>
    <x v="25"/>
    <s v="NAKİT"/>
    <n v="0.1"/>
    <n v="400"/>
    <n v="0"/>
    <n v="0"/>
    <m/>
    <m/>
    <m/>
    <m/>
    <n v="40"/>
    <n v="0"/>
    <n v="35381.602997470844"/>
  </r>
  <r>
    <x v="123"/>
    <x v="4"/>
    <x v="66"/>
    <x v="0"/>
    <x v="1"/>
    <x v="1191"/>
    <x v="25"/>
    <s v="NAKİT"/>
    <n v="0.12"/>
    <n v="417"/>
    <n v="0"/>
    <n v="0"/>
    <m/>
    <m/>
    <m/>
    <m/>
    <n v="50.04"/>
    <n v="0"/>
    <n v="35431.642997470844"/>
  </r>
  <r>
    <x v="123"/>
    <x v="4"/>
    <x v="56"/>
    <x v="0"/>
    <x v="5"/>
    <x v="1192"/>
    <x v="25"/>
    <s v="POS"/>
    <n v="2"/>
    <n v="200"/>
    <n v="400"/>
    <n v="0"/>
    <m/>
    <m/>
    <m/>
    <m/>
    <n v="0"/>
    <n v="0"/>
    <n v="35431.642997470844"/>
  </r>
  <r>
    <x v="123"/>
    <x v="4"/>
    <x v="30"/>
    <x v="0"/>
    <x v="5"/>
    <x v="1193"/>
    <x v="35"/>
    <s v="POS"/>
    <n v="2"/>
    <n v="325"/>
    <n v="650"/>
    <n v="0"/>
    <m/>
    <m/>
    <m/>
    <m/>
    <n v="0"/>
    <n v="0"/>
    <n v="35431.642997470844"/>
  </r>
  <r>
    <x v="123"/>
    <x v="4"/>
    <x v="31"/>
    <x v="0"/>
    <x v="5"/>
    <x v="1193"/>
    <x v="35"/>
    <s v="POS"/>
    <n v="1"/>
    <n v="250"/>
    <n v="250"/>
    <n v="0"/>
    <m/>
    <m/>
    <m/>
    <m/>
    <n v="0"/>
    <n v="0"/>
    <n v="35431.642997470844"/>
  </r>
  <r>
    <x v="123"/>
    <x v="4"/>
    <x v="33"/>
    <x v="0"/>
    <x v="1"/>
    <x v="1193"/>
    <x v="35"/>
    <s v="NAKİT"/>
    <n v="0.26800000000000002"/>
    <n v="250"/>
    <n v="0"/>
    <n v="0"/>
    <m/>
    <m/>
    <m/>
    <m/>
    <n v="67"/>
    <n v="0"/>
    <n v="35498.642997470844"/>
  </r>
  <r>
    <x v="123"/>
    <x v="4"/>
    <x v="289"/>
    <x v="0"/>
    <x v="1"/>
    <x v="1194"/>
    <x v="25"/>
    <s v="NAKİT"/>
    <n v="0.55600000000000005"/>
    <n v="360"/>
    <n v="0"/>
    <n v="0"/>
    <m/>
    <m/>
    <m/>
    <m/>
    <n v="200.16000000000003"/>
    <n v="0"/>
    <n v="35698.802997470848"/>
  </r>
  <r>
    <x v="123"/>
    <x v="4"/>
    <x v="286"/>
    <x v="0"/>
    <x v="1"/>
    <x v="1195"/>
    <x v="129"/>
    <s v="NAKİT"/>
    <n v="1.5"/>
    <n v="65"/>
    <n v="0"/>
    <n v="0"/>
    <m/>
    <m/>
    <m/>
    <m/>
    <n v="97.5"/>
    <n v="0"/>
    <n v="35796.302997470848"/>
  </r>
  <r>
    <x v="123"/>
    <x v="4"/>
    <x v="287"/>
    <x v="0"/>
    <x v="1"/>
    <x v="1195"/>
    <x v="129"/>
    <s v="NAKİT"/>
    <n v="1"/>
    <n v="65"/>
    <n v="0"/>
    <n v="0"/>
    <m/>
    <m/>
    <m/>
    <m/>
    <n v="65"/>
    <n v="0"/>
    <n v="35861.302997470848"/>
  </r>
  <r>
    <x v="123"/>
    <x v="4"/>
    <x v="111"/>
    <x v="0"/>
    <x v="1"/>
    <x v="1195"/>
    <x v="129"/>
    <s v="NAKİT"/>
    <n v="0.14299999999999999"/>
    <n v="350"/>
    <n v="0"/>
    <n v="0"/>
    <m/>
    <m/>
    <m/>
    <m/>
    <n v="50.05"/>
    <n v="0"/>
    <n v="35911.352997470851"/>
  </r>
  <r>
    <x v="123"/>
    <x v="4"/>
    <x v="163"/>
    <x v="0"/>
    <x v="1"/>
    <x v="1195"/>
    <x v="129"/>
    <s v="NAKİT"/>
    <n v="1"/>
    <n v="50"/>
    <n v="0"/>
    <n v="0"/>
    <m/>
    <m/>
    <m/>
    <m/>
    <n v="50"/>
    <n v="0"/>
    <n v="35961.352997470851"/>
  </r>
  <r>
    <x v="123"/>
    <x v="4"/>
    <x v="136"/>
    <x v="0"/>
    <x v="1"/>
    <x v="1195"/>
    <x v="129"/>
    <s v="NAKİT"/>
    <n v="1"/>
    <n v="140"/>
    <n v="0"/>
    <n v="0"/>
    <m/>
    <m/>
    <m/>
    <m/>
    <n v="140"/>
    <n v="0"/>
    <n v="36101.352997470851"/>
  </r>
  <r>
    <x v="123"/>
    <x v="4"/>
    <x v="348"/>
    <x v="0"/>
    <x v="1"/>
    <x v="1195"/>
    <x v="129"/>
    <s v="NAKİT"/>
    <n v="1"/>
    <n v="55"/>
    <n v="0"/>
    <n v="0"/>
    <m/>
    <m/>
    <m/>
    <m/>
    <n v="55"/>
    <n v="0"/>
    <n v="36156.352997470851"/>
  </r>
  <r>
    <x v="123"/>
    <x v="4"/>
    <x v="70"/>
    <x v="0"/>
    <x v="1"/>
    <x v="1195"/>
    <x v="129"/>
    <s v="NAKİT"/>
    <n v="0.21739130434782608"/>
    <n v="230"/>
    <n v="0"/>
    <n v="0"/>
    <m/>
    <m/>
    <m/>
    <m/>
    <n v="50"/>
    <n v="0"/>
    <n v="36206.352997470851"/>
  </r>
  <r>
    <x v="123"/>
    <x v="10"/>
    <x v="0"/>
    <x v="0"/>
    <x v="5"/>
    <x v="2"/>
    <x v="63"/>
    <s v="POS"/>
    <n v="1"/>
    <n v="651.46"/>
    <n v="0"/>
    <n v="651.46"/>
    <m/>
    <m/>
    <m/>
    <m/>
    <n v="651.46"/>
    <n v="0"/>
    <n v="36857.81299747085"/>
  </r>
  <r>
    <x v="124"/>
    <x v="4"/>
    <x v="344"/>
    <x v="0"/>
    <x v="5"/>
    <x v="1196"/>
    <x v="25"/>
    <s v="POS"/>
    <n v="0.44500000000000001"/>
    <n v="450"/>
    <n v="200.25"/>
    <n v="0"/>
    <m/>
    <m/>
    <m/>
    <m/>
    <n v="0"/>
    <n v="0"/>
    <n v="36857.81299747085"/>
  </r>
  <r>
    <x v="124"/>
    <x v="4"/>
    <x v="243"/>
    <x v="0"/>
    <x v="5"/>
    <x v="1196"/>
    <x v="25"/>
    <s v="POS"/>
    <n v="0.25641025641025639"/>
    <n v="195"/>
    <n v="49.999999999999993"/>
    <n v="0"/>
    <m/>
    <m/>
    <m/>
    <m/>
    <n v="0"/>
    <n v="0"/>
    <n v="36857.81299747085"/>
  </r>
  <r>
    <x v="124"/>
    <x v="4"/>
    <x v="199"/>
    <x v="0"/>
    <x v="5"/>
    <x v="1196"/>
    <x v="25"/>
    <s v="POS"/>
    <n v="1"/>
    <n v="150"/>
    <n v="150"/>
    <n v="0"/>
    <m/>
    <m/>
    <m/>
    <m/>
    <n v="0"/>
    <n v="0"/>
    <n v="36857.81299747085"/>
  </r>
  <r>
    <x v="124"/>
    <x v="4"/>
    <x v="348"/>
    <x v="0"/>
    <x v="1"/>
    <x v="1197"/>
    <x v="25"/>
    <s v="NAKİT"/>
    <n v="0.5"/>
    <n v="50"/>
    <n v="0"/>
    <n v="0"/>
    <m/>
    <m/>
    <m/>
    <m/>
    <n v="25"/>
    <n v="0"/>
    <n v="36882.81299747085"/>
  </r>
  <r>
    <x v="124"/>
    <x v="4"/>
    <x v="18"/>
    <x v="0"/>
    <x v="1"/>
    <x v="1198"/>
    <x v="25"/>
    <s v="NAKİT"/>
    <n v="1"/>
    <n v="250"/>
    <n v="0"/>
    <n v="0"/>
    <m/>
    <m/>
    <m/>
    <m/>
    <n v="250"/>
    <n v="0"/>
    <n v="37132.81299747085"/>
  </r>
  <r>
    <x v="124"/>
    <x v="4"/>
    <x v="58"/>
    <x v="0"/>
    <x v="1"/>
    <x v="1198"/>
    <x v="25"/>
    <s v="NAKİT"/>
    <n v="0.5"/>
    <n v="230"/>
    <n v="0"/>
    <n v="0"/>
    <m/>
    <m/>
    <m/>
    <m/>
    <n v="115"/>
    <n v="0"/>
    <n v="37247.81299747085"/>
  </r>
  <r>
    <x v="124"/>
    <x v="4"/>
    <x v="20"/>
    <x v="0"/>
    <x v="1"/>
    <x v="1198"/>
    <x v="25"/>
    <s v="NAKİT"/>
    <n v="0.15217391304347827"/>
    <n v="230"/>
    <n v="0"/>
    <n v="0"/>
    <m/>
    <m/>
    <m/>
    <m/>
    <n v="35"/>
    <n v="0"/>
    <n v="37282.81299747085"/>
  </r>
  <r>
    <x v="124"/>
    <x v="4"/>
    <x v="298"/>
    <x v="0"/>
    <x v="1"/>
    <x v="1199"/>
    <x v="25"/>
    <s v="NAKİT"/>
    <n v="0.1"/>
    <n v="1500"/>
    <n v="0"/>
    <n v="0"/>
    <m/>
    <m/>
    <m/>
    <m/>
    <n v="150"/>
    <n v="0"/>
    <n v="37432.81299747085"/>
  </r>
  <r>
    <x v="124"/>
    <x v="4"/>
    <x v="18"/>
    <x v="0"/>
    <x v="5"/>
    <x v="1200"/>
    <x v="25"/>
    <s v="POS"/>
    <n v="1"/>
    <n v="250"/>
    <n v="250"/>
    <n v="0"/>
    <m/>
    <m/>
    <m/>
    <m/>
    <n v="0"/>
    <n v="0"/>
    <n v="37432.81299747085"/>
  </r>
  <r>
    <x v="124"/>
    <x v="4"/>
    <x v="58"/>
    <x v="0"/>
    <x v="5"/>
    <x v="1200"/>
    <x v="25"/>
    <s v="POS"/>
    <n v="0.5"/>
    <n v="230"/>
    <n v="115"/>
    <n v="0"/>
    <m/>
    <m/>
    <m/>
    <m/>
    <n v="0"/>
    <n v="0"/>
    <n v="37432.81299747085"/>
  </r>
  <r>
    <x v="124"/>
    <x v="10"/>
    <x v="0"/>
    <x v="0"/>
    <x v="5"/>
    <x v="2"/>
    <x v="63"/>
    <s v="POS"/>
    <n v="1"/>
    <n v="1690"/>
    <n v="0"/>
    <n v="1690"/>
    <m/>
    <m/>
    <m/>
    <m/>
    <n v="1690"/>
    <n v="0"/>
    <n v="39122.81299747085"/>
  </r>
  <r>
    <x v="124"/>
    <x v="10"/>
    <x v="0"/>
    <x v="0"/>
    <x v="5"/>
    <x v="2"/>
    <x v="63"/>
    <s v="POS"/>
    <n v="1"/>
    <n v="400"/>
    <n v="0"/>
    <n v="400"/>
    <m/>
    <m/>
    <m/>
    <m/>
    <n v="400"/>
    <n v="0"/>
    <n v="39522.81299747085"/>
  </r>
  <r>
    <x v="125"/>
    <x v="4"/>
    <x v="88"/>
    <x v="0"/>
    <x v="1"/>
    <x v="1201"/>
    <x v="25"/>
    <s v="NAKİT"/>
    <n v="0.05"/>
    <n v="1200"/>
    <n v="0"/>
    <n v="0"/>
    <m/>
    <m/>
    <m/>
    <m/>
    <n v="60"/>
    <n v="0"/>
    <n v="39582.81299747085"/>
  </r>
  <r>
    <x v="125"/>
    <x v="4"/>
    <x v="197"/>
    <x v="0"/>
    <x v="5"/>
    <x v="1202"/>
    <x v="25"/>
    <s v="POS"/>
    <n v="1"/>
    <n v="200"/>
    <n v="200"/>
    <n v="0"/>
    <m/>
    <m/>
    <m/>
    <m/>
    <n v="0"/>
    <n v="0"/>
    <n v="39582.81299747085"/>
  </r>
  <r>
    <x v="125"/>
    <x v="4"/>
    <x v="199"/>
    <x v="0"/>
    <x v="5"/>
    <x v="1202"/>
    <x v="25"/>
    <s v="POS"/>
    <n v="1"/>
    <n v="150"/>
    <n v="150"/>
    <n v="0"/>
    <m/>
    <m/>
    <m/>
    <m/>
    <n v="0"/>
    <n v="0"/>
    <n v="39582.81299747085"/>
  </r>
  <r>
    <x v="125"/>
    <x v="4"/>
    <x v="31"/>
    <x v="0"/>
    <x v="1"/>
    <x v="1203"/>
    <x v="25"/>
    <s v="NAKİT"/>
    <n v="0.25"/>
    <n v="400"/>
    <n v="0"/>
    <n v="0"/>
    <m/>
    <m/>
    <m/>
    <m/>
    <n v="100"/>
    <n v="0"/>
    <n v="39682.81299747085"/>
  </r>
  <r>
    <x v="125"/>
    <x v="4"/>
    <x v="18"/>
    <x v="0"/>
    <x v="1"/>
    <x v="1203"/>
    <x v="25"/>
    <s v="NAKİT"/>
    <n v="1"/>
    <n v="250"/>
    <n v="0"/>
    <n v="0"/>
    <m/>
    <m/>
    <m/>
    <m/>
    <n v="250"/>
    <n v="0"/>
    <n v="39932.81299747085"/>
  </r>
  <r>
    <x v="125"/>
    <x v="4"/>
    <x v="58"/>
    <x v="0"/>
    <x v="1"/>
    <x v="1203"/>
    <x v="25"/>
    <s v="NAKİT"/>
    <n v="1"/>
    <n v="230"/>
    <n v="0"/>
    <n v="0"/>
    <m/>
    <m/>
    <m/>
    <m/>
    <n v="230"/>
    <n v="0"/>
    <n v="40162.81299747085"/>
  </r>
  <r>
    <x v="125"/>
    <x v="4"/>
    <x v="66"/>
    <x v="0"/>
    <x v="1"/>
    <x v="1204"/>
    <x v="25"/>
    <s v="NAKİT"/>
    <n v="0.12"/>
    <n v="417"/>
    <n v="0"/>
    <n v="0"/>
    <m/>
    <m/>
    <m/>
    <m/>
    <n v="50.04"/>
    <n v="0"/>
    <n v="40212.852997470851"/>
  </r>
  <r>
    <x v="125"/>
    <x v="4"/>
    <x v="312"/>
    <x v="0"/>
    <x v="1"/>
    <x v="1205"/>
    <x v="25"/>
    <s v="NAKİT"/>
    <n v="0.5"/>
    <n v="300"/>
    <n v="0"/>
    <n v="0"/>
    <m/>
    <m/>
    <m/>
    <m/>
    <n v="150"/>
    <n v="0"/>
    <n v="40362.852997470851"/>
  </r>
  <r>
    <x v="125"/>
    <x v="4"/>
    <x v="124"/>
    <x v="0"/>
    <x v="5"/>
    <x v="1206"/>
    <x v="25"/>
    <s v="POS"/>
    <n v="0.1"/>
    <n v="900"/>
    <n v="90"/>
    <n v="0"/>
    <m/>
    <m/>
    <m/>
    <m/>
    <n v="0"/>
    <n v="0"/>
    <n v="40362.852997470851"/>
  </r>
  <r>
    <x v="125"/>
    <x v="4"/>
    <x v="69"/>
    <x v="0"/>
    <x v="5"/>
    <x v="1206"/>
    <x v="25"/>
    <s v="POS"/>
    <n v="0.05"/>
    <n v="1000"/>
    <n v="50"/>
    <n v="0"/>
    <m/>
    <m/>
    <m/>
    <m/>
    <n v="0"/>
    <n v="0"/>
    <n v="40362.852997470851"/>
  </r>
  <r>
    <x v="125"/>
    <x v="4"/>
    <x v="347"/>
    <x v="0"/>
    <x v="5"/>
    <x v="1206"/>
    <x v="25"/>
    <s v="POS"/>
    <n v="1"/>
    <n v="570"/>
    <n v="570"/>
    <n v="0"/>
    <m/>
    <m/>
    <m/>
    <m/>
    <n v="0"/>
    <n v="0"/>
    <n v="40362.852997470851"/>
  </r>
  <r>
    <x v="125"/>
    <x v="4"/>
    <x v="58"/>
    <x v="0"/>
    <x v="5"/>
    <x v="1207"/>
    <x v="25"/>
    <s v="POS"/>
    <n v="1"/>
    <n v="230"/>
    <n v="230"/>
    <n v="0"/>
    <m/>
    <m/>
    <m/>
    <m/>
    <n v="0"/>
    <n v="0"/>
    <n v="40362.852997470851"/>
  </r>
  <r>
    <x v="125"/>
    <x v="4"/>
    <x v="18"/>
    <x v="0"/>
    <x v="5"/>
    <x v="1208"/>
    <x v="25"/>
    <s v="POS"/>
    <n v="1"/>
    <n v="250"/>
    <n v="250"/>
    <n v="0"/>
    <m/>
    <m/>
    <m/>
    <m/>
    <n v="0"/>
    <n v="0"/>
    <n v="40362.852997470851"/>
  </r>
  <r>
    <x v="125"/>
    <x v="4"/>
    <x v="58"/>
    <x v="0"/>
    <x v="5"/>
    <x v="1208"/>
    <x v="25"/>
    <s v="POS"/>
    <n v="1"/>
    <n v="230"/>
    <n v="230"/>
    <n v="0"/>
    <m/>
    <m/>
    <m/>
    <m/>
    <n v="0"/>
    <n v="0"/>
    <n v="40362.852997470851"/>
  </r>
  <r>
    <x v="125"/>
    <x v="4"/>
    <x v="49"/>
    <x v="0"/>
    <x v="5"/>
    <x v="1208"/>
    <x v="25"/>
    <s v="POS"/>
    <n v="0.1"/>
    <n v="600"/>
    <n v="60"/>
    <n v="0"/>
    <m/>
    <m/>
    <m/>
    <m/>
    <n v="0"/>
    <n v="0"/>
    <n v="40362.852997470851"/>
  </r>
  <r>
    <x v="125"/>
    <x v="4"/>
    <x v="212"/>
    <x v="0"/>
    <x v="5"/>
    <x v="1208"/>
    <x v="25"/>
    <s v="POS"/>
    <n v="0.152"/>
    <n v="550"/>
    <n v="83.6"/>
    <n v="0"/>
    <m/>
    <m/>
    <m/>
    <m/>
    <n v="0"/>
    <n v="0"/>
    <n v="40362.852997470851"/>
  </r>
  <r>
    <x v="125"/>
    <x v="4"/>
    <x v="248"/>
    <x v="0"/>
    <x v="1"/>
    <x v="1209"/>
    <x v="25"/>
    <s v="NAKİT"/>
    <n v="0.44800000000000001"/>
    <n v="690"/>
    <n v="0"/>
    <n v="0"/>
    <m/>
    <m/>
    <m/>
    <m/>
    <n v="309.12"/>
    <n v="0"/>
    <n v="40671.972997470853"/>
  </r>
  <r>
    <x v="125"/>
    <x v="4"/>
    <x v="142"/>
    <x v="0"/>
    <x v="1"/>
    <x v="1209"/>
    <x v="25"/>
    <s v="NAKİT"/>
    <n v="0.2"/>
    <n v="250"/>
    <n v="0"/>
    <n v="0"/>
    <m/>
    <m/>
    <m/>
    <m/>
    <n v="50"/>
    <n v="0"/>
    <n v="40721.972997470853"/>
  </r>
  <r>
    <x v="125"/>
    <x v="4"/>
    <x v="312"/>
    <x v="0"/>
    <x v="1"/>
    <x v="1210"/>
    <x v="25"/>
    <s v="NAKİT"/>
    <n v="0.5"/>
    <n v="300"/>
    <n v="0"/>
    <n v="0"/>
    <m/>
    <m/>
    <m/>
    <m/>
    <n v="150"/>
    <n v="0"/>
    <n v="40871.972997470853"/>
  </r>
  <r>
    <x v="125"/>
    <x v="4"/>
    <x v="30"/>
    <x v="0"/>
    <x v="1"/>
    <x v="1211"/>
    <x v="25"/>
    <s v="NAKİT"/>
    <n v="0.2"/>
    <n v="500"/>
    <n v="0"/>
    <n v="0"/>
    <m/>
    <m/>
    <m/>
    <m/>
    <n v="100"/>
    <n v="0"/>
    <n v="40971.972997470853"/>
  </r>
  <r>
    <x v="125"/>
    <x v="4"/>
    <x v="199"/>
    <x v="0"/>
    <x v="1"/>
    <x v="1212"/>
    <x v="25"/>
    <s v="NAKİT"/>
    <n v="1.3340000000000001"/>
    <n v="150"/>
    <n v="0"/>
    <n v="0"/>
    <m/>
    <m/>
    <m/>
    <m/>
    <n v="200.10000000000002"/>
    <n v="0"/>
    <n v="41172.072997470852"/>
  </r>
  <r>
    <x v="125"/>
    <x v="4"/>
    <x v="268"/>
    <x v="0"/>
    <x v="1"/>
    <x v="1213"/>
    <x v="25"/>
    <s v="NAKİT"/>
    <n v="1"/>
    <n v="175"/>
    <n v="0"/>
    <n v="0"/>
    <m/>
    <m/>
    <m/>
    <m/>
    <n v="175"/>
    <n v="0"/>
    <n v="41347.072997470852"/>
  </r>
  <r>
    <x v="125"/>
    <x v="4"/>
    <x v="150"/>
    <x v="0"/>
    <x v="1"/>
    <x v="1213"/>
    <x v="25"/>
    <s v="NAKİT"/>
    <n v="1"/>
    <n v="250"/>
    <n v="0"/>
    <n v="0"/>
    <m/>
    <m/>
    <m/>
    <m/>
    <n v="250"/>
    <n v="0"/>
    <n v="41597.072997470852"/>
  </r>
  <r>
    <x v="125"/>
    <x v="4"/>
    <x v="88"/>
    <x v="0"/>
    <x v="1"/>
    <x v="1213"/>
    <x v="25"/>
    <s v="NAKİT"/>
    <n v="0.05"/>
    <n v="1200"/>
    <n v="0"/>
    <n v="0"/>
    <m/>
    <m/>
    <m/>
    <m/>
    <n v="60"/>
    <n v="0"/>
    <n v="41657.072997470852"/>
  </r>
  <r>
    <x v="125"/>
    <x v="4"/>
    <x v="54"/>
    <x v="0"/>
    <x v="1"/>
    <x v="1214"/>
    <x v="130"/>
    <s v="NAKİT"/>
    <n v="0.1"/>
    <n v="400"/>
    <n v="0"/>
    <n v="0"/>
    <m/>
    <m/>
    <m/>
    <m/>
    <n v="40"/>
    <n v="0"/>
    <n v="41697.072997470852"/>
  </r>
  <r>
    <x v="125"/>
    <x v="4"/>
    <x v="52"/>
    <x v="0"/>
    <x v="1"/>
    <x v="1214"/>
    <x v="130"/>
    <s v="NAKİT"/>
    <n v="0.1"/>
    <n v="400"/>
    <n v="0"/>
    <n v="0"/>
    <m/>
    <m/>
    <m/>
    <m/>
    <n v="40"/>
    <n v="0"/>
    <n v="41737.072997470852"/>
  </r>
  <r>
    <x v="125"/>
    <x v="4"/>
    <x v="154"/>
    <x v="0"/>
    <x v="5"/>
    <x v="1215"/>
    <x v="25"/>
    <s v="POS"/>
    <n v="1"/>
    <n v="180"/>
    <n v="180"/>
    <n v="0"/>
    <m/>
    <m/>
    <m/>
    <m/>
    <n v="0"/>
    <n v="0"/>
    <n v="41737.072997470852"/>
  </r>
  <r>
    <x v="125"/>
    <x v="4"/>
    <x v="22"/>
    <x v="0"/>
    <x v="1"/>
    <x v="1216"/>
    <x v="25"/>
    <s v="NAKİT"/>
    <n v="7.7499999999999999E-2"/>
    <n v="400"/>
    <n v="0"/>
    <n v="0"/>
    <m/>
    <m/>
    <m/>
    <m/>
    <n v="31"/>
    <n v="0"/>
    <n v="41768.072997470852"/>
  </r>
  <r>
    <x v="125"/>
    <x v="4"/>
    <x v="23"/>
    <x v="0"/>
    <x v="1"/>
    <x v="1216"/>
    <x v="25"/>
    <s v="NAKİT"/>
    <n v="8.666666666666667E-2"/>
    <n v="300"/>
    <n v="0"/>
    <n v="0"/>
    <m/>
    <m/>
    <m/>
    <m/>
    <n v="26"/>
    <n v="0"/>
    <n v="41794.072997470852"/>
  </r>
  <r>
    <x v="125"/>
    <x v="4"/>
    <x v="88"/>
    <x v="0"/>
    <x v="1"/>
    <x v="1216"/>
    <x v="25"/>
    <s v="NAKİT"/>
    <n v="0.05"/>
    <n v="1200"/>
    <n v="0"/>
    <n v="0"/>
    <m/>
    <m/>
    <m/>
    <m/>
    <n v="60"/>
    <n v="0"/>
    <n v="41854.072997470852"/>
  </r>
  <r>
    <x v="125"/>
    <x v="4"/>
    <x v="289"/>
    <x v="0"/>
    <x v="1"/>
    <x v="1217"/>
    <x v="131"/>
    <s v="NAKİT"/>
    <n v="1.0820000000000001"/>
    <n v="250"/>
    <n v="0"/>
    <n v="0"/>
    <m/>
    <m/>
    <m/>
    <m/>
    <n v="270.5"/>
    <n v="0"/>
    <n v="42124.572997470852"/>
  </r>
  <r>
    <x v="125"/>
    <x v="4"/>
    <x v="18"/>
    <x v="0"/>
    <x v="1"/>
    <x v="1217"/>
    <x v="131"/>
    <s v="NAKİT"/>
    <n v="1"/>
    <n v="200"/>
    <n v="0"/>
    <n v="0"/>
    <m/>
    <m/>
    <m/>
    <m/>
    <n v="200"/>
    <n v="0"/>
    <n v="42324.572997470852"/>
  </r>
  <r>
    <x v="125"/>
    <x v="4"/>
    <x v="161"/>
    <x v="0"/>
    <x v="1"/>
    <x v="1218"/>
    <x v="25"/>
    <s v="NAKİT"/>
    <n v="7.4999999999999997E-2"/>
    <n v="400"/>
    <n v="0"/>
    <n v="0"/>
    <m/>
    <m/>
    <m/>
    <m/>
    <n v="30"/>
    <n v="0"/>
    <n v="42354.572997470852"/>
  </r>
  <r>
    <x v="125"/>
    <x v="4"/>
    <x v="112"/>
    <x v="0"/>
    <x v="1"/>
    <x v="1219"/>
    <x v="112"/>
    <s v="NAKİT"/>
    <n v="0.05"/>
    <n v="1800"/>
    <n v="0"/>
    <n v="0"/>
    <m/>
    <m/>
    <m/>
    <m/>
    <n v="90"/>
    <n v="0"/>
    <n v="42444.572997470852"/>
  </r>
  <r>
    <x v="125"/>
    <x v="4"/>
    <x v="199"/>
    <x v="0"/>
    <x v="1"/>
    <x v="1219"/>
    <x v="112"/>
    <s v="NAKİT"/>
    <n v="1"/>
    <n v="150"/>
    <n v="0"/>
    <n v="0"/>
    <m/>
    <m/>
    <m/>
    <m/>
    <n v="150"/>
    <n v="0"/>
    <n v="42594.572997470852"/>
  </r>
  <r>
    <x v="125"/>
    <x v="4"/>
    <x v="197"/>
    <x v="0"/>
    <x v="1"/>
    <x v="1219"/>
    <x v="112"/>
    <s v="NAKİT"/>
    <n v="1"/>
    <n v="200"/>
    <n v="0"/>
    <n v="0"/>
    <m/>
    <m/>
    <m/>
    <m/>
    <n v="200"/>
    <n v="0"/>
    <n v="42794.572997470852"/>
  </r>
  <r>
    <x v="125"/>
    <x v="4"/>
    <x v="57"/>
    <x v="0"/>
    <x v="1"/>
    <x v="1220"/>
    <x v="132"/>
    <s v="NAKİT"/>
    <n v="19.350000000000001"/>
    <n v="103.36"/>
    <n v="0"/>
    <n v="0"/>
    <m/>
    <m/>
    <m/>
    <m/>
    <n v="2000.0160000000001"/>
    <n v="0"/>
    <n v="44794.588997470855"/>
  </r>
  <r>
    <x v="125"/>
    <x v="10"/>
    <x v="0"/>
    <x v="0"/>
    <x v="5"/>
    <x v="2"/>
    <x v="63"/>
    <s v="POS"/>
    <n v="1"/>
    <n v="445"/>
    <n v="0"/>
    <n v="445"/>
    <m/>
    <m/>
    <m/>
    <m/>
    <n v="445"/>
    <n v="0"/>
    <n v="45239.588997470855"/>
  </r>
  <r>
    <x v="125"/>
    <x v="10"/>
    <x v="0"/>
    <x v="0"/>
    <x v="5"/>
    <x v="2"/>
    <x v="63"/>
    <s v="POS"/>
    <n v="1"/>
    <n v="315"/>
    <n v="0"/>
    <n v="315"/>
    <m/>
    <m/>
    <m/>
    <m/>
    <n v="315"/>
    <n v="0"/>
    <n v="45554.588997470855"/>
  </r>
  <r>
    <x v="126"/>
    <x v="4"/>
    <x v="88"/>
    <x v="0"/>
    <x v="5"/>
    <x v="1221"/>
    <x v="25"/>
    <s v="POS"/>
    <n v="0.05"/>
    <n v="1200"/>
    <n v="60"/>
    <n v="0"/>
    <m/>
    <m/>
    <m/>
    <m/>
    <n v="0"/>
    <n v="0"/>
    <n v="45554.588997470855"/>
  </r>
  <r>
    <x v="126"/>
    <x v="4"/>
    <x v="153"/>
    <x v="0"/>
    <x v="5"/>
    <x v="1222"/>
    <x v="25"/>
    <s v="POS"/>
    <n v="1"/>
    <n v="80"/>
    <n v="80"/>
    <n v="0"/>
    <m/>
    <m/>
    <m/>
    <m/>
    <n v="0"/>
    <n v="0"/>
    <n v="45554.588997470855"/>
  </r>
  <r>
    <x v="126"/>
    <x v="4"/>
    <x v="314"/>
    <x v="0"/>
    <x v="1"/>
    <x v="1223"/>
    <x v="25"/>
    <s v="NAKİT"/>
    <n v="1"/>
    <n v="140"/>
    <n v="0"/>
    <n v="0"/>
    <m/>
    <m/>
    <m/>
    <m/>
    <n v="140"/>
    <n v="0"/>
    <n v="45694.588997470855"/>
  </r>
  <r>
    <x v="126"/>
    <x v="4"/>
    <x v="150"/>
    <x v="0"/>
    <x v="1"/>
    <x v="1223"/>
    <x v="25"/>
    <s v="NAKİT"/>
    <n v="2.4"/>
    <n v="250"/>
    <n v="0"/>
    <n v="0"/>
    <m/>
    <m/>
    <m/>
    <m/>
    <n v="600"/>
    <n v="0"/>
    <n v="46294.588997470855"/>
  </r>
  <r>
    <x v="126"/>
    <x v="4"/>
    <x v="57"/>
    <x v="0"/>
    <x v="1"/>
    <x v="1224"/>
    <x v="25"/>
    <s v="NAKİT"/>
    <n v="1"/>
    <n v="150"/>
    <n v="0"/>
    <n v="0"/>
    <m/>
    <m/>
    <m/>
    <m/>
    <n v="150"/>
    <n v="0"/>
    <n v="46444.588997470855"/>
  </r>
  <r>
    <x v="126"/>
    <x v="4"/>
    <x v="287"/>
    <x v="0"/>
    <x v="1"/>
    <x v="1224"/>
    <x v="25"/>
    <s v="NAKİT"/>
    <n v="1"/>
    <n v="65"/>
    <n v="0"/>
    <n v="0"/>
    <m/>
    <m/>
    <m/>
    <m/>
    <n v="65"/>
    <n v="0"/>
    <n v="46509.588997470855"/>
  </r>
  <r>
    <x v="126"/>
    <x v="4"/>
    <x v="56"/>
    <x v="0"/>
    <x v="1"/>
    <x v="1224"/>
    <x v="25"/>
    <s v="NAKİT"/>
    <n v="1"/>
    <n v="200"/>
    <n v="0"/>
    <n v="0"/>
    <m/>
    <m/>
    <m/>
    <m/>
    <n v="200"/>
    <n v="0"/>
    <n v="46709.588997470855"/>
  </r>
  <r>
    <x v="126"/>
    <x v="4"/>
    <x v="18"/>
    <x v="0"/>
    <x v="5"/>
    <x v="1225"/>
    <x v="25"/>
    <s v="POS"/>
    <n v="1"/>
    <n v="250"/>
    <n v="250"/>
    <n v="0"/>
    <m/>
    <m/>
    <m/>
    <m/>
    <n v="0"/>
    <n v="0"/>
    <n v="46709.588997470855"/>
  </r>
  <r>
    <x v="126"/>
    <x v="4"/>
    <x v="142"/>
    <x v="0"/>
    <x v="1"/>
    <x v="1226"/>
    <x v="25"/>
    <s v="NAKİT"/>
    <n v="0.4"/>
    <n v="250"/>
    <n v="0"/>
    <n v="0"/>
    <m/>
    <m/>
    <m/>
    <m/>
    <n v="100"/>
    <n v="0"/>
    <n v="46809.588997470855"/>
  </r>
  <r>
    <x v="126"/>
    <x v="4"/>
    <x v="165"/>
    <x v="0"/>
    <x v="1"/>
    <x v="1227"/>
    <x v="25"/>
    <s v="NAKİT"/>
    <n v="1"/>
    <n v="40"/>
    <n v="0"/>
    <n v="0"/>
    <m/>
    <m/>
    <m/>
    <m/>
    <n v="40"/>
    <n v="0"/>
    <n v="46849.588997470855"/>
  </r>
  <r>
    <x v="126"/>
    <x v="4"/>
    <x v="248"/>
    <x v="0"/>
    <x v="1"/>
    <x v="1228"/>
    <x v="25"/>
    <s v="NAKİT"/>
    <n v="0.51"/>
    <n v="690"/>
    <n v="0"/>
    <n v="0"/>
    <m/>
    <m/>
    <m/>
    <m/>
    <n v="351.90000000000003"/>
    <n v="0"/>
    <n v="47201.488997470857"/>
  </r>
  <r>
    <x v="126"/>
    <x v="4"/>
    <x v="30"/>
    <x v="0"/>
    <x v="1"/>
    <x v="1228"/>
    <x v="25"/>
    <s v="NAKİT"/>
    <n v="0.2"/>
    <n v="500"/>
    <n v="0"/>
    <n v="0"/>
    <m/>
    <m/>
    <m/>
    <m/>
    <n v="100"/>
    <n v="0"/>
    <n v="47301.488997470857"/>
  </r>
  <r>
    <x v="126"/>
    <x v="4"/>
    <x v="116"/>
    <x v="0"/>
    <x v="1"/>
    <x v="1228"/>
    <x v="25"/>
    <s v="NAKİT"/>
    <n v="0.28000000000000003"/>
    <n v="358"/>
    <n v="0"/>
    <n v="0"/>
    <m/>
    <m/>
    <m/>
    <m/>
    <n v="100.24000000000001"/>
    <n v="0"/>
    <n v="47401.728997470855"/>
  </r>
  <r>
    <x v="126"/>
    <x v="4"/>
    <x v="67"/>
    <x v="0"/>
    <x v="1"/>
    <x v="1229"/>
    <x v="25"/>
    <s v="NAKİT"/>
    <n v="0.1"/>
    <n v="1400"/>
    <n v="0"/>
    <n v="0"/>
    <m/>
    <m/>
    <m/>
    <m/>
    <n v="140"/>
    <n v="0"/>
    <n v="47541.728997470855"/>
  </r>
  <r>
    <x v="126"/>
    <x v="4"/>
    <x v="228"/>
    <x v="0"/>
    <x v="1"/>
    <x v="1229"/>
    <x v="25"/>
    <s v="NAKİT"/>
    <n v="1"/>
    <n v="250"/>
    <n v="0"/>
    <n v="0"/>
    <m/>
    <m/>
    <m/>
    <m/>
    <n v="250"/>
    <n v="0"/>
    <n v="47791.728997470855"/>
  </r>
  <r>
    <x v="126"/>
    <x v="4"/>
    <x v="73"/>
    <x v="0"/>
    <x v="5"/>
    <x v="1230"/>
    <x v="25"/>
    <s v="POS"/>
    <n v="0.42199999999999999"/>
    <n v="950"/>
    <n v="400.9"/>
    <n v="0"/>
    <m/>
    <m/>
    <m/>
    <m/>
    <n v="0"/>
    <n v="0"/>
    <n v="47791.728997470855"/>
  </r>
  <r>
    <x v="126"/>
    <x v="4"/>
    <x v="179"/>
    <x v="0"/>
    <x v="5"/>
    <x v="1230"/>
    <x v="25"/>
    <s v="POS"/>
    <n v="0.48"/>
    <n v="850"/>
    <n v="408"/>
    <n v="0"/>
    <m/>
    <m/>
    <m/>
    <m/>
    <n v="0"/>
    <n v="0"/>
    <n v="47791.728997470855"/>
  </r>
  <r>
    <x v="126"/>
    <x v="4"/>
    <x v="101"/>
    <x v="0"/>
    <x v="5"/>
    <x v="1230"/>
    <x v="25"/>
    <s v="POS"/>
    <n v="0.218"/>
    <n v="200"/>
    <n v="43.6"/>
    <n v="0"/>
    <m/>
    <m/>
    <m/>
    <m/>
    <n v="0"/>
    <n v="0"/>
    <n v="47791.728997470855"/>
  </r>
  <r>
    <x v="126"/>
    <x v="4"/>
    <x v="123"/>
    <x v="0"/>
    <x v="5"/>
    <x v="1230"/>
    <x v="25"/>
    <s v="POS"/>
    <n v="0.2"/>
    <n v="1000"/>
    <n v="200"/>
    <n v="0"/>
    <m/>
    <m/>
    <m/>
    <m/>
    <n v="0"/>
    <n v="0"/>
    <n v="47791.728997470855"/>
  </r>
  <r>
    <x v="126"/>
    <x v="4"/>
    <x v="18"/>
    <x v="0"/>
    <x v="1"/>
    <x v="1231"/>
    <x v="25"/>
    <s v="NAKİT"/>
    <n v="1"/>
    <n v="200"/>
    <n v="0"/>
    <n v="0"/>
    <m/>
    <m/>
    <m/>
    <m/>
    <n v="200"/>
    <n v="0"/>
    <n v="47991.728997470855"/>
  </r>
  <r>
    <x v="126"/>
    <x v="4"/>
    <x v="112"/>
    <x v="0"/>
    <x v="1"/>
    <x v="1231"/>
    <x v="25"/>
    <s v="NAKİT"/>
    <n v="0.05"/>
    <n v="1000"/>
    <n v="0"/>
    <n v="0"/>
    <m/>
    <m/>
    <m/>
    <m/>
    <n v="50"/>
    <n v="0"/>
    <n v="48041.728997470855"/>
  </r>
  <r>
    <x v="126"/>
    <x v="10"/>
    <x v="0"/>
    <x v="0"/>
    <x v="5"/>
    <x v="2"/>
    <x v="63"/>
    <s v="POS"/>
    <n v="1"/>
    <n v="850"/>
    <n v="0"/>
    <n v="850"/>
    <m/>
    <m/>
    <m/>
    <m/>
    <n v="850"/>
    <n v="0"/>
    <n v="48891.728997470855"/>
  </r>
  <r>
    <x v="126"/>
    <x v="10"/>
    <x v="0"/>
    <x v="0"/>
    <x v="5"/>
    <x v="2"/>
    <x v="63"/>
    <s v="POS"/>
    <n v="1"/>
    <n v="600"/>
    <n v="0"/>
    <n v="600"/>
    <m/>
    <m/>
    <m/>
    <m/>
    <n v="600"/>
    <n v="0"/>
    <n v="49491.728997470855"/>
  </r>
  <r>
    <x v="127"/>
    <x v="3"/>
    <x v="58"/>
    <x v="0"/>
    <x v="3"/>
    <x v="1232"/>
    <x v="133"/>
    <s v="CARİ"/>
    <n v="100"/>
    <n v="140"/>
    <n v="0"/>
    <n v="14000"/>
    <m/>
    <m/>
    <m/>
    <m/>
    <n v="0"/>
    <n v="0"/>
    <n v="49491.728997470855"/>
  </r>
  <r>
    <x v="127"/>
    <x v="3"/>
    <x v="18"/>
    <x v="0"/>
    <x v="3"/>
    <x v="1232"/>
    <x v="133"/>
    <s v="CARİ"/>
    <n v="100"/>
    <n v="155"/>
    <n v="0"/>
    <n v="15500"/>
    <m/>
    <m/>
    <m/>
    <m/>
    <n v="0"/>
    <n v="0"/>
    <n v="49491.728997470855"/>
  </r>
  <r>
    <x v="127"/>
    <x v="3"/>
    <x v="385"/>
    <x v="0"/>
    <x v="3"/>
    <x v="1232"/>
    <x v="133"/>
    <s v="CARİ"/>
    <n v="25"/>
    <n v="260"/>
    <n v="0"/>
    <n v="6500"/>
    <m/>
    <m/>
    <m/>
    <m/>
    <n v="0"/>
    <n v="0"/>
    <n v="49491.728997470855"/>
  </r>
  <r>
    <x v="127"/>
    <x v="3"/>
    <x v="33"/>
    <x v="0"/>
    <x v="3"/>
    <x v="1232"/>
    <x v="133"/>
    <s v="CARİ"/>
    <n v="25"/>
    <n v="170"/>
    <n v="0"/>
    <n v="4250"/>
    <m/>
    <m/>
    <m/>
    <m/>
    <n v="0"/>
    <n v="0"/>
    <n v="49491.728997470855"/>
  </r>
  <r>
    <x v="127"/>
    <x v="3"/>
    <x v="30"/>
    <x v="0"/>
    <x v="3"/>
    <x v="1232"/>
    <x v="133"/>
    <s v="CARİ"/>
    <n v="20"/>
    <n v="260"/>
    <n v="0"/>
    <n v="5200"/>
    <m/>
    <m/>
    <m/>
    <m/>
    <n v="0"/>
    <n v="0"/>
    <n v="49491.728997470855"/>
  </r>
  <r>
    <x v="127"/>
    <x v="3"/>
    <x v="56"/>
    <x v="0"/>
    <x v="3"/>
    <x v="1232"/>
    <x v="133"/>
    <s v="CARİ"/>
    <n v="96.75"/>
    <n v="98.191199999999995"/>
    <n v="0"/>
    <n v="9499.998599999999"/>
    <m/>
    <m/>
    <m/>
    <m/>
    <n v="0"/>
    <n v="0"/>
    <n v="49491.728997470855"/>
  </r>
  <r>
    <x v="127"/>
    <x v="3"/>
    <x v="55"/>
    <x v="0"/>
    <x v="3"/>
    <x v="1232"/>
    <x v="133"/>
    <s v="CARİ"/>
    <n v="96.75"/>
    <n v="98.191199999999995"/>
    <n v="0"/>
    <n v="9499.998599999999"/>
    <m/>
    <m/>
    <m/>
    <m/>
    <n v="0"/>
    <n v="0"/>
    <n v="49491.728997470855"/>
  </r>
  <r>
    <x v="127"/>
    <x v="3"/>
    <x v="57"/>
    <x v="0"/>
    <x v="3"/>
    <x v="1232"/>
    <x v="133"/>
    <s v="CARİ"/>
    <n v="193.5"/>
    <n v="62.015500000000003"/>
    <n v="0"/>
    <n v="11999.999250000001"/>
    <m/>
    <m/>
    <m/>
    <m/>
    <n v="0"/>
    <n v="0"/>
    <n v="49491.728997470855"/>
  </r>
  <r>
    <x v="127"/>
    <x v="4"/>
    <x v="344"/>
    <x v="0"/>
    <x v="1"/>
    <x v="1233"/>
    <x v="25"/>
    <s v="NAKİT"/>
    <n v="0.5"/>
    <n v="450"/>
    <n v="0"/>
    <n v="0"/>
    <m/>
    <m/>
    <m/>
    <m/>
    <n v="225"/>
    <n v="0"/>
    <n v="49716.728997470855"/>
  </r>
  <r>
    <x v="127"/>
    <x v="4"/>
    <x v="56"/>
    <x v="0"/>
    <x v="1"/>
    <x v="1233"/>
    <x v="25"/>
    <s v="NAKİT"/>
    <n v="5"/>
    <n v="200"/>
    <n v="0"/>
    <n v="0"/>
    <m/>
    <m/>
    <m/>
    <m/>
    <n v="1000"/>
    <n v="0"/>
    <n v="50716.728997470855"/>
  </r>
  <r>
    <x v="127"/>
    <x v="4"/>
    <x v="286"/>
    <x v="0"/>
    <x v="1"/>
    <x v="1233"/>
    <x v="25"/>
    <s v="NAKİT"/>
    <n v="1.0149999999999999"/>
    <n v="65"/>
    <n v="0"/>
    <n v="0"/>
    <m/>
    <m/>
    <m/>
    <m/>
    <n v="65.974999999999994"/>
    <n v="0"/>
    <n v="50782.703997470853"/>
  </r>
  <r>
    <x v="127"/>
    <x v="4"/>
    <x v="286"/>
    <x v="0"/>
    <x v="1"/>
    <x v="1233"/>
    <x v="25"/>
    <s v="NAKİT"/>
    <n v="1.0149999999999999"/>
    <n v="65"/>
    <n v="0"/>
    <n v="0"/>
    <m/>
    <m/>
    <m/>
    <m/>
    <n v="65.974999999999994"/>
    <n v="0"/>
    <n v="50848.678997470852"/>
  </r>
  <r>
    <x v="127"/>
    <x v="4"/>
    <x v="98"/>
    <x v="0"/>
    <x v="1"/>
    <x v="1233"/>
    <x v="25"/>
    <s v="NAKİT"/>
    <n v="0.51200000000000001"/>
    <n v="800"/>
    <n v="0"/>
    <n v="0"/>
    <m/>
    <m/>
    <m/>
    <m/>
    <n v="409.6"/>
    <n v="0"/>
    <n v="51258.27899747085"/>
  </r>
  <r>
    <x v="127"/>
    <x v="4"/>
    <x v="26"/>
    <x v="0"/>
    <x v="1"/>
    <x v="1233"/>
    <x v="25"/>
    <s v="NAKİT"/>
    <n v="0.1"/>
    <n v="410"/>
    <n v="0"/>
    <n v="0"/>
    <m/>
    <m/>
    <m/>
    <m/>
    <n v="41"/>
    <n v="0"/>
    <n v="51299.27899747085"/>
  </r>
  <r>
    <x v="127"/>
    <x v="4"/>
    <x v="43"/>
    <x v="0"/>
    <x v="1"/>
    <x v="1233"/>
    <x v="25"/>
    <s v="NAKİT"/>
    <n v="1"/>
    <n v="65"/>
    <n v="0"/>
    <n v="0"/>
    <m/>
    <m/>
    <m/>
    <m/>
    <n v="65"/>
    <n v="0"/>
    <n v="51364.27899747085"/>
  </r>
  <r>
    <x v="127"/>
    <x v="4"/>
    <x v="70"/>
    <x v="0"/>
    <x v="1"/>
    <x v="1233"/>
    <x v="25"/>
    <s v="NAKİT"/>
    <n v="0.52800000000000002"/>
    <n v="230"/>
    <n v="0"/>
    <n v="0"/>
    <m/>
    <m/>
    <m/>
    <m/>
    <n v="121.44000000000001"/>
    <n v="0"/>
    <n v="51485.718997470853"/>
  </r>
  <r>
    <x v="127"/>
    <x v="4"/>
    <x v="71"/>
    <x v="0"/>
    <x v="1"/>
    <x v="1233"/>
    <x v="25"/>
    <s v="NAKİT"/>
    <n v="0.26400000000000001"/>
    <n v="230"/>
    <n v="0"/>
    <n v="0"/>
    <m/>
    <m/>
    <m/>
    <m/>
    <n v="60.720000000000006"/>
    <n v="0"/>
    <n v="51546.438997470854"/>
  </r>
  <r>
    <x v="127"/>
    <x v="4"/>
    <x v="116"/>
    <x v="0"/>
    <x v="1"/>
    <x v="1233"/>
    <x v="25"/>
    <s v="NAKİT"/>
    <n v="0.27800000000000002"/>
    <n v="430"/>
    <n v="0"/>
    <n v="0"/>
    <m/>
    <m/>
    <m/>
    <m/>
    <n v="119.54"/>
    <n v="0"/>
    <n v="51665.978997470855"/>
  </r>
  <r>
    <x v="127"/>
    <x v="4"/>
    <x v="52"/>
    <x v="0"/>
    <x v="1"/>
    <x v="1233"/>
    <x v="25"/>
    <s v="NAKİT"/>
    <n v="2"/>
    <n v="300"/>
    <n v="0"/>
    <n v="0"/>
    <m/>
    <m/>
    <m/>
    <m/>
    <n v="600"/>
    <n v="0"/>
    <n v="52265.978997470855"/>
  </r>
  <r>
    <x v="127"/>
    <x v="4"/>
    <x v="290"/>
    <x v="0"/>
    <x v="5"/>
    <x v="1234"/>
    <x v="25"/>
    <s v="POS"/>
    <n v="1"/>
    <n v="205"/>
    <n v="205"/>
    <n v="0"/>
    <m/>
    <m/>
    <m/>
    <m/>
    <n v="0"/>
    <n v="0"/>
    <n v="52265.978997470855"/>
  </r>
  <r>
    <x v="127"/>
    <x v="4"/>
    <x v="188"/>
    <x v="0"/>
    <x v="5"/>
    <x v="1234"/>
    <x v="25"/>
    <s v="POS"/>
    <n v="1"/>
    <n v="220"/>
    <n v="220"/>
    <n v="0"/>
    <m/>
    <m/>
    <m/>
    <m/>
    <n v="0"/>
    <n v="0"/>
    <n v="52265.978997470855"/>
  </r>
  <r>
    <x v="127"/>
    <x v="4"/>
    <x v="40"/>
    <x v="0"/>
    <x v="5"/>
    <x v="1234"/>
    <x v="25"/>
    <s v="POS"/>
    <n v="0.05"/>
    <n v="140"/>
    <n v="7"/>
    <n v="0"/>
    <m/>
    <m/>
    <m/>
    <m/>
    <n v="0"/>
    <n v="0"/>
    <n v="52265.978997470855"/>
  </r>
  <r>
    <x v="127"/>
    <x v="4"/>
    <x v="161"/>
    <x v="0"/>
    <x v="5"/>
    <x v="1234"/>
    <x v="25"/>
    <s v="POS"/>
    <n v="9.6000000000000002E-2"/>
    <n v="400"/>
    <n v="38.4"/>
    <n v="0"/>
    <m/>
    <m/>
    <m/>
    <m/>
    <n v="0"/>
    <n v="0"/>
    <n v="52265.978997470855"/>
  </r>
  <r>
    <x v="127"/>
    <x v="4"/>
    <x v="27"/>
    <x v="0"/>
    <x v="5"/>
    <x v="1234"/>
    <x v="25"/>
    <s v="POS"/>
    <n v="4.5999999999999999E-2"/>
    <n v="400"/>
    <n v="18.399999999999999"/>
    <n v="0"/>
    <m/>
    <m/>
    <m/>
    <m/>
    <n v="0"/>
    <n v="0"/>
    <n v="52265.978997470855"/>
  </r>
  <r>
    <x v="127"/>
    <x v="4"/>
    <x v="28"/>
    <x v="0"/>
    <x v="5"/>
    <x v="1234"/>
    <x v="25"/>
    <s v="POS"/>
    <n v="0.14799999999999999"/>
    <n v="500"/>
    <n v="74"/>
    <n v="0"/>
    <m/>
    <m/>
    <m/>
    <m/>
    <n v="0"/>
    <n v="0"/>
    <n v="52265.978997470855"/>
  </r>
  <r>
    <x v="127"/>
    <x v="4"/>
    <x v="348"/>
    <x v="0"/>
    <x v="5"/>
    <x v="1234"/>
    <x v="25"/>
    <s v="POS"/>
    <n v="0.5"/>
    <n v="50"/>
    <n v="25"/>
    <n v="0"/>
    <m/>
    <m/>
    <m/>
    <m/>
    <n v="0"/>
    <n v="0"/>
    <n v="52265.978997470855"/>
  </r>
  <r>
    <x v="127"/>
    <x v="4"/>
    <x v="238"/>
    <x v="0"/>
    <x v="5"/>
    <x v="1234"/>
    <x v="25"/>
    <s v="POS"/>
    <n v="0.39400000000000002"/>
    <n v="340"/>
    <n v="133.96"/>
    <n v="0"/>
    <m/>
    <m/>
    <m/>
    <m/>
    <n v="0"/>
    <n v="0"/>
    <n v="52265.978997470855"/>
  </r>
  <r>
    <x v="127"/>
    <x v="4"/>
    <x v="57"/>
    <x v="0"/>
    <x v="5"/>
    <x v="1234"/>
    <x v="25"/>
    <s v="POS"/>
    <n v="1"/>
    <n v="150"/>
    <n v="150"/>
    <n v="0"/>
    <m/>
    <m/>
    <m/>
    <m/>
    <n v="0"/>
    <n v="0"/>
    <n v="52265.978997470855"/>
  </r>
  <r>
    <x v="127"/>
    <x v="4"/>
    <x v="246"/>
    <x v="0"/>
    <x v="5"/>
    <x v="1234"/>
    <x v="25"/>
    <s v="POS"/>
    <n v="1"/>
    <n v="90"/>
    <n v="90"/>
    <n v="0"/>
    <m/>
    <m/>
    <m/>
    <m/>
    <n v="0"/>
    <n v="0"/>
    <n v="52265.978997470855"/>
  </r>
  <r>
    <x v="127"/>
    <x v="4"/>
    <x v="150"/>
    <x v="0"/>
    <x v="5"/>
    <x v="1234"/>
    <x v="25"/>
    <s v="POS"/>
    <n v="1.1319999999999999"/>
    <n v="250"/>
    <n v="283"/>
    <n v="0"/>
    <m/>
    <m/>
    <m/>
    <m/>
    <n v="0"/>
    <n v="0"/>
    <n v="52265.978997470855"/>
  </r>
  <r>
    <x v="127"/>
    <x v="4"/>
    <x v="248"/>
    <x v="0"/>
    <x v="5"/>
    <x v="1235"/>
    <x v="25"/>
    <s v="POS"/>
    <n v="0.30434782608695654"/>
    <n v="690"/>
    <n v="210"/>
    <n v="0"/>
    <m/>
    <m/>
    <m/>
    <m/>
    <n v="0"/>
    <n v="0"/>
    <n v="52265.978997470855"/>
  </r>
  <r>
    <x v="127"/>
    <x v="4"/>
    <x v="128"/>
    <x v="0"/>
    <x v="1"/>
    <x v="1236"/>
    <x v="25"/>
    <s v="NAKİT"/>
    <n v="0.5"/>
    <n v="200"/>
    <n v="0"/>
    <n v="0"/>
    <m/>
    <m/>
    <m/>
    <m/>
    <n v="100"/>
    <n v="0"/>
    <n v="52365.978997470855"/>
  </r>
  <r>
    <x v="127"/>
    <x v="4"/>
    <x v="150"/>
    <x v="0"/>
    <x v="1"/>
    <x v="1236"/>
    <x v="25"/>
    <s v="NAKİT"/>
    <n v="1"/>
    <n v="250"/>
    <n v="0"/>
    <n v="0"/>
    <m/>
    <m/>
    <m/>
    <m/>
    <n v="250"/>
    <n v="0"/>
    <n v="52615.978997470855"/>
  </r>
  <r>
    <x v="127"/>
    <x v="4"/>
    <x v="349"/>
    <x v="0"/>
    <x v="1"/>
    <x v="1236"/>
    <x v="25"/>
    <s v="NAKİT"/>
    <n v="1"/>
    <n v="100"/>
    <n v="0"/>
    <n v="0"/>
    <m/>
    <m/>
    <m/>
    <m/>
    <n v="100"/>
    <n v="0"/>
    <n v="52715.978997470855"/>
  </r>
  <r>
    <x v="127"/>
    <x v="4"/>
    <x v="337"/>
    <x v="0"/>
    <x v="1"/>
    <x v="1237"/>
    <x v="25"/>
    <s v="NAKİT"/>
    <n v="1"/>
    <n v="170"/>
    <n v="0"/>
    <n v="0"/>
    <m/>
    <m/>
    <m/>
    <m/>
    <n v="170"/>
    <n v="0"/>
    <n v="52885.978997470855"/>
  </r>
  <r>
    <x v="127"/>
    <x v="4"/>
    <x v="150"/>
    <x v="0"/>
    <x v="1"/>
    <x v="1237"/>
    <x v="25"/>
    <s v="NAKİT"/>
    <n v="1"/>
    <n v="250"/>
    <n v="0"/>
    <n v="0"/>
    <m/>
    <m/>
    <m/>
    <m/>
    <n v="250"/>
    <n v="0"/>
    <n v="53135.978997470855"/>
  </r>
  <r>
    <x v="127"/>
    <x v="4"/>
    <x v="345"/>
    <x v="0"/>
    <x v="1"/>
    <x v="1237"/>
    <x v="25"/>
    <s v="NAKİT"/>
    <n v="0.5"/>
    <n v="400"/>
    <n v="0"/>
    <n v="0"/>
    <m/>
    <m/>
    <m/>
    <m/>
    <n v="200"/>
    <n v="0"/>
    <n v="53335.978997470855"/>
  </r>
  <r>
    <x v="127"/>
    <x v="4"/>
    <x v="33"/>
    <x v="0"/>
    <x v="1"/>
    <x v="1238"/>
    <x v="25"/>
    <s v="NAKİT"/>
    <n v="0.125"/>
    <n v="400"/>
    <n v="0"/>
    <n v="0"/>
    <m/>
    <m/>
    <m/>
    <m/>
    <n v="50"/>
    <n v="0"/>
    <n v="53385.978997470855"/>
  </r>
  <r>
    <x v="127"/>
    <x v="4"/>
    <x v="24"/>
    <x v="0"/>
    <x v="1"/>
    <x v="1238"/>
    <x v="25"/>
    <s v="NAKİT"/>
    <n v="0.10307692307692308"/>
    <n v="650"/>
    <n v="0"/>
    <n v="0"/>
    <m/>
    <m/>
    <m/>
    <m/>
    <n v="67"/>
    <n v="0"/>
    <n v="53452.978997470855"/>
  </r>
  <r>
    <x v="127"/>
    <x v="4"/>
    <x v="18"/>
    <x v="0"/>
    <x v="1"/>
    <x v="1239"/>
    <x v="25"/>
    <s v="NAKİT"/>
    <n v="1"/>
    <n v="250"/>
    <n v="0"/>
    <n v="0"/>
    <m/>
    <m/>
    <m/>
    <m/>
    <n v="250"/>
    <n v="0"/>
    <n v="53702.978997470855"/>
  </r>
  <r>
    <x v="127"/>
    <x v="4"/>
    <x v="208"/>
    <x v="0"/>
    <x v="5"/>
    <x v="1240"/>
    <x v="25"/>
    <s v="POS"/>
    <n v="1"/>
    <n v="290"/>
    <n v="290"/>
    <n v="0"/>
    <m/>
    <m/>
    <m/>
    <m/>
    <n v="0"/>
    <n v="0"/>
    <n v="53702.978997470855"/>
  </r>
  <r>
    <x v="127"/>
    <x v="4"/>
    <x v="18"/>
    <x v="0"/>
    <x v="5"/>
    <x v="1240"/>
    <x v="25"/>
    <s v="POS"/>
    <n v="1"/>
    <n v="250"/>
    <n v="250"/>
    <n v="0"/>
    <m/>
    <m/>
    <m/>
    <m/>
    <n v="0"/>
    <n v="0"/>
    <n v="53702.978997470855"/>
  </r>
  <r>
    <x v="127"/>
    <x v="4"/>
    <x v="57"/>
    <x v="0"/>
    <x v="1"/>
    <x v="1241"/>
    <x v="25"/>
    <s v="NAKİT"/>
    <n v="5"/>
    <n v="150"/>
    <n v="0"/>
    <n v="0"/>
    <m/>
    <m/>
    <m/>
    <m/>
    <n v="750"/>
    <n v="0"/>
    <n v="54452.978997470855"/>
  </r>
  <r>
    <x v="127"/>
    <x v="4"/>
    <x v="56"/>
    <x v="0"/>
    <x v="1"/>
    <x v="1241"/>
    <x v="25"/>
    <s v="NAKİT"/>
    <n v="5"/>
    <n v="200"/>
    <n v="0"/>
    <n v="0"/>
    <m/>
    <m/>
    <m/>
    <m/>
    <n v="1000"/>
    <n v="0"/>
    <n v="55452.978997470855"/>
  </r>
  <r>
    <x v="127"/>
    <x v="4"/>
    <x v="28"/>
    <x v="0"/>
    <x v="1"/>
    <x v="1241"/>
    <x v="25"/>
    <s v="NAKİT"/>
    <n v="0.1"/>
    <n v="500"/>
    <n v="0"/>
    <n v="0"/>
    <m/>
    <m/>
    <m/>
    <m/>
    <n v="50"/>
    <n v="0"/>
    <n v="55502.978997470855"/>
  </r>
  <r>
    <x v="127"/>
    <x v="4"/>
    <x v="38"/>
    <x v="0"/>
    <x v="5"/>
    <x v="1242"/>
    <x v="25"/>
    <s v="POS"/>
    <n v="0.1"/>
    <n v="650"/>
    <n v="65"/>
    <n v="0"/>
    <m/>
    <m/>
    <m/>
    <m/>
    <n v="0"/>
    <n v="0"/>
    <n v="55502.978997470855"/>
  </r>
  <r>
    <x v="127"/>
    <x v="4"/>
    <x v="29"/>
    <x v="0"/>
    <x v="5"/>
    <x v="1242"/>
    <x v="25"/>
    <s v="POS"/>
    <n v="5.3999999999999999E-2"/>
    <n v="750"/>
    <n v="40.5"/>
    <n v="0"/>
    <m/>
    <m/>
    <m/>
    <m/>
    <n v="0"/>
    <n v="0"/>
    <n v="55502.978997470855"/>
  </r>
  <r>
    <x v="127"/>
    <x v="4"/>
    <x v="27"/>
    <x v="0"/>
    <x v="5"/>
    <x v="1242"/>
    <x v="25"/>
    <s v="POS"/>
    <n v="9.2499999999999999E-2"/>
    <n v="400"/>
    <n v="37"/>
    <n v="0"/>
    <m/>
    <m/>
    <m/>
    <m/>
    <n v="0"/>
    <n v="0"/>
    <n v="55502.978997470855"/>
  </r>
  <r>
    <x v="127"/>
    <x v="4"/>
    <x v="196"/>
    <x v="0"/>
    <x v="1"/>
    <x v="1243"/>
    <x v="25"/>
    <s v="NAKİT"/>
    <n v="1"/>
    <n v="350"/>
    <n v="0"/>
    <n v="0"/>
    <m/>
    <m/>
    <m/>
    <m/>
    <n v="350"/>
    <n v="0"/>
    <n v="55852.978997470855"/>
  </r>
  <r>
    <x v="127"/>
    <x v="4"/>
    <x v="288"/>
    <x v="0"/>
    <x v="1"/>
    <x v="1243"/>
    <x v="25"/>
    <s v="NAKİT"/>
    <n v="0.6"/>
    <n v="500"/>
    <n v="0"/>
    <n v="0"/>
    <m/>
    <m/>
    <m/>
    <m/>
    <n v="300"/>
    <n v="0"/>
    <n v="56152.978997470855"/>
  </r>
  <r>
    <x v="127"/>
    <x v="4"/>
    <x v="88"/>
    <x v="0"/>
    <x v="1"/>
    <x v="1244"/>
    <x v="25"/>
    <s v="NAKİT"/>
    <n v="0.05"/>
    <n v="1000"/>
    <n v="0"/>
    <n v="0"/>
    <m/>
    <m/>
    <m/>
    <m/>
    <n v="50"/>
    <n v="0"/>
    <n v="56202.978997470855"/>
  </r>
  <r>
    <x v="127"/>
    <x v="4"/>
    <x v="150"/>
    <x v="0"/>
    <x v="5"/>
    <x v="1245"/>
    <x v="25"/>
    <s v="POS"/>
    <n v="2.4"/>
    <n v="250"/>
    <n v="600"/>
    <n v="0"/>
    <m/>
    <m/>
    <m/>
    <m/>
    <n v="0"/>
    <n v="0"/>
    <n v="56202.978997470855"/>
  </r>
  <r>
    <x v="127"/>
    <x v="4"/>
    <x v="30"/>
    <x v="0"/>
    <x v="5"/>
    <x v="1245"/>
    <x v="25"/>
    <s v="POS"/>
    <n v="0.21"/>
    <n v="500"/>
    <n v="105"/>
    <n v="0"/>
    <m/>
    <m/>
    <m/>
    <m/>
    <n v="0"/>
    <n v="0"/>
    <n v="56202.978997470855"/>
  </r>
  <r>
    <x v="127"/>
    <x v="4"/>
    <x v="238"/>
    <x v="0"/>
    <x v="5"/>
    <x v="1245"/>
    <x v="25"/>
    <s v="POS"/>
    <n v="0.39200000000000002"/>
    <n v="320"/>
    <n v="125.44"/>
    <n v="0"/>
    <m/>
    <m/>
    <m/>
    <m/>
    <n v="0"/>
    <n v="0"/>
    <n v="56202.978997470855"/>
  </r>
  <r>
    <x v="127"/>
    <x v="4"/>
    <x v="98"/>
    <x v="0"/>
    <x v="5"/>
    <x v="1245"/>
    <x v="25"/>
    <s v="POS"/>
    <n v="0.5"/>
    <n v="800"/>
    <n v="400"/>
    <n v="0"/>
    <m/>
    <m/>
    <m/>
    <m/>
    <n v="0"/>
    <n v="0"/>
    <n v="56202.978997470855"/>
  </r>
  <r>
    <x v="127"/>
    <x v="4"/>
    <x v="28"/>
    <x v="0"/>
    <x v="1"/>
    <x v="1246"/>
    <x v="25"/>
    <s v="NAKİT"/>
    <n v="0.1"/>
    <n v="500"/>
    <n v="0"/>
    <n v="0"/>
    <m/>
    <m/>
    <m/>
    <m/>
    <n v="50"/>
    <n v="0"/>
    <n v="56252.978997470855"/>
  </r>
  <r>
    <x v="127"/>
    <x v="4"/>
    <x v="27"/>
    <x v="0"/>
    <x v="1"/>
    <x v="1247"/>
    <x v="25"/>
    <s v="NAKİT"/>
    <n v="7.4999999999999997E-2"/>
    <n v="400"/>
    <n v="0"/>
    <n v="0"/>
    <m/>
    <m/>
    <m/>
    <m/>
    <n v="30"/>
    <n v="0"/>
    <n v="56282.978997470855"/>
  </r>
  <r>
    <x v="127"/>
    <x v="4"/>
    <x v="59"/>
    <x v="0"/>
    <x v="1"/>
    <x v="1247"/>
    <x v="25"/>
    <s v="NAKİT"/>
    <n v="0.23333333333333334"/>
    <n v="450"/>
    <n v="0"/>
    <n v="0"/>
    <m/>
    <m/>
    <m/>
    <m/>
    <n v="105"/>
    <n v="0"/>
    <n v="56387.978997470855"/>
  </r>
  <r>
    <x v="127"/>
    <x v="4"/>
    <x v="29"/>
    <x v="0"/>
    <x v="1"/>
    <x v="1247"/>
    <x v="25"/>
    <s v="NAKİT"/>
    <n v="6.6666666666666666E-2"/>
    <n v="750"/>
    <n v="0"/>
    <n v="0"/>
    <m/>
    <m/>
    <m/>
    <m/>
    <n v="50"/>
    <n v="0"/>
    <n v="56437.978997470855"/>
  </r>
  <r>
    <x v="127"/>
    <x v="4"/>
    <x v="346"/>
    <x v="0"/>
    <x v="5"/>
    <x v="1248"/>
    <x v="25"/>
    <s v="POS"/>
    <n v="1"/>
    <n v="450"/>
    <n v="450"/>
    <n v="0"/>
    <m/>
    <m/>
    <m/>
    <m/>
    <n v="0"/>
    <n v="0"/>
    <n v="56437.978997470855"/>
  </r>
  <r>
    <x v="127"/>
    <x v="4"/>
    <x v="238"/>
    <x v="0"/>
    <x v="1"/>
    <x v="1249"/>
    <x v="25"/>
    <s v="NAKİT"/>
    <n v="0.32400000000000001"/>
    <n v="340"/>
    <n v="0"/>
    <n v="0"/>
    <m/>
    <m/>
    <m/>
    <m/>
    <n v="110.16"/>
    <n v="0"/>
    <n v="56548.138997470858"/>
  </r>
  <r>
    <x v="127"/>
    <x v="4"/>
    <x v="238"/>
    <x v="0"/>
    <x v="1"/>
    <x v="1250"/>
    <x v="25"/>
    <s v="NAKİT"/>
    <n v="0.41199999999999998"/>
    <n v="340"/>
    <n v="0"/>
    <n v="0"/>
    <m/>
    <m/>
    <m/>
    <m/>
    <n v="140.07999999999998"/>
    <n v="0"/>
    <n v="56688.21899747086"/>
  </r>
  <r>
    <x v="127"/>
    <x v="4"/>
    <x v="243"/>
    <x v="0"/>
    <x v="1"/>
    <x v="1250"/>
    <x v="25"/>
    <s v="NAKİT"/>
    <n v="0.25641025641025639"/>
    <n v="195"/>
    <n v="0"/>
    <n v="0"/>
    <m/>
    <m/>
    <m/>
    <m/>
    <n v="49.999999999999993"/>
    <n v="0"/>
    <n v="56738.21899747086"/>
  </r>
  <r>
    <x v="127"/>
    <x v="4"/>
    <x v="58"/>
    <x v="0"/>
    <x v="1"/>
    <x v="1251"/>
    <x v="25"/>
    <s v="NAKİT"/>
    <n v="1"/>
    <n v="230"/>
    <n v="0"/>
    <n v="0"/>
    <m/>
    <m/>
    <m/>
    <m/>
    <n v="230"/>
    <n v="0"/>
    <n v="56968.21899747086"/>
  </r>
  <r>
    <x v="127"/>
    <x v="4"/>
    <x v="18"/>
    <x v="0"/>
    <x v="5"/>
    <x v="1252"/>
    <x v="25"/>
    <s v="POS"/>
    <n v="1"/>
    <n v="250"/>
    <n v="250"/>
    <n v="0"/>
    <m/>
    <m/>
    <m/>
    <m/>
    <n v="0"/>
    <n v="0"/>
    <n v="56968.21899747086"/>
  </r>
  <r>
    <x v="127"/>
    <x v="4"/>
    <x v="58"/>
    <x v="0"/>
    <x v="5"/>
    <x v="1252"/>
    <x v="25"/>
    <s v="POS"/>
    <n v="1"/>
    <n v="230"/>
    <n v="230"/>
    <n v="0"/>
    <m/>
    <m/>
    <m/>
    <m/>
    <n v="0"/>
    <n v="0"/>
    <n v="56968.21899747086"/>
  </r>
  <r>
    <x v="127"/>
    <x v="4"/>
    <x v="18"/>
    <x v="0"/>
    <x v="1"/>
    <x v="1253"/>
    <x v="25"/>
    <s v="NAKİT"/>
    <n v="0.5"/>
    <n v="250"/>
    <n v="0"/>
    <n v="0"/>
    <m/>
    <m/>
    <m/>
    <m/>
    <n v="125"/>
    <n v="0"/>
    <n v="57093.21899747086"/>
  </r>
  <r>
    <x v="127"/>
    <x v="4"/>
    <x v="58"/>
    <x v="0"/>
    <x v="1"/>
    <x v="1253"/>
    <x v="25"/>
    <s v="NAKİT"/>
    <n v="0.5"/>
    <n v="210"/>
    <n v="0"/>
    <n v="0"/>
    <m/>
    <m/>
    <m/>
    <m/>
    <n v="105"/>
    <n v="0"/>
    <n v="57198.21899747086"/>
  </r>
  <r>
    <x v="127"/>
    <x v="4"/>
    <x v="20"/>
    <x v="0"/>
    <x v="1"/>
    <x v="1253"/>
    <x v="25"/>
    <s v="NAKİT"/>
    <n v="1"/>
    <n v="200"/>
    <n v="0"/>
    <n v="0"/>
    <m/>
    <m/>
    <m/>
    <m/>
    <n v="200"/>
    <n v="0"/>
    <n v="57398.21899747086"/>
  </r>
  <r>
    <x v="127"/>
    <x v="4"/>
    <x v="360"/>
    <x v="0"/>
    <x v="1"/>
    <x v="1253"/>
    <x v="25"/>
    <s v="NAKİT"/>
    <n v="0.16666666666666666"/>
    <n v="600"/>
    <n v="0"/>
    <n v="0"/>
    <m/>
    <m/>
    <m/>
    <m/>
    <n v="100"/>
    <n v="0"/>
    <n v="57498.21899747086"/>
  </r>
  <r>
    <x v="127"/>
    <x v="4"/>
    <x v="356"/>
    <x v="0"/>
    <x v="1"/>
    <x v="1253"/>
    <x v="25"/>
    <s v="NAKİT"/>
    <n v="2"/>
    <n v="10"/>
    <n v="0"/>
    <n v="0"/>
    <m/>
    <m/>
    <m/>
    <m/>
    <n v="20"/>
    <n v="0"/>
    <n v="57518.21899747086"/>
  </r>
  <r>
    <x v="127"/>
    <x v="4"/>
    <x v="340"/>
    <x v="0"/>
    <x v="5"/>
    <x v="1254"/>
    <x v="25"/>
    <s v="POS"/>
    <n v="1"/>
    <n v="135"/>
    <n v="135"/>
    <n v="0"/>
    <m/>
    <m/>
    <m/>
    <m/>
    <n v="0"/>
    <n v="0"/>
    <n v="57518.21899747086"/>
  </r>
  <r>
    <x v="127"/>
    <x v="4"/>
    <x v="238"/>
    <x v="0"/>
    <x v="5"/>
    <x v="1254"/>
    <x v="25"/>
    <s v="POS"/>
    <n v="0.203125"/>
    <n v="320"/>
    <n v="65"/>
    <n v="0"/>
    <m/>
    <m/>
    <m/>
    <m/>
    <n v="0"/>
    <n v="0"/>
    <n v="57518.21899747086"/>
  </r>
  <r>
    <x v="127"/>
    <x v="4"/>
    <x v="166"/>
    <x v="0"/>
    <x v="1"/>
    <x v="1255"/>
    <x v="25"/>
    <s v="NAKİT"/>
    <n v="1"/>
    <n v="50"/>
    <n v="0"/>
    <n v="0"/>
    <m/>
    <m/>
    <m/>
    <m/>
    <n v="50"/>
    <n v="0"/>
    <n v="57568.21899747086"/>
  </r>
  <r>
    <x v="127"/>
    <x v="4"/>
    <x v="168"/>
    <x v="0"/>
    <x v="1"/>
    <x v="1255"/>
    <x v="25"/>
    <s v="NAKİT"/>
    <n v="1"/>
    <n v="50"/>
    <n v="0"/>
    <n v="0"/>
    <m/>
    <m/>
    <m/>
    <m/>
    <n v="50"/>
    <n v="0"/>
    <n v="57618.21899747086"/>
  </r>
  <r>
    <x v="127"/>
    <x v="2"/>
    <x v="0"/>
    <x v="4"/>
    <x v="2"/>
    <x v="2"/>
    <x v="91"/>
    <s v="K.K."/>
    <n v="1"/>
    <n v="880"/>
    <n v="0"/>
    <n v="880"/>
    <m/>
    <m/>
    <m/>
    <m/>
    <n v="0"/>
    <n v="0"/>
    <n v="57618.21899747086"/>
  </r>
  <r>
    <x v="128"/>
    <x v="4"/>
    <x v="31"/>
    <x v="0"/>
    <x v="1"/>
    <x v="1256"/>
    <x v="25"/>
    <s v="NAKİT"/>
    <n v="0.25"/>
    <n v="400"/>
    <n v="0"/>
    <n v="0"/>
    <m/>
    <m/>
    <m/>
    <m/>
    <n v="100"/>
    <n v="0"/>
    <n v="57718.21899747086"/>
  </r>
  <r>
    <x v="128"/>
    <x v="4"/>
    <x v="88"/>
    <x v="0"/>
    <x v="1"/>
    <x v="1257"/>
    <x v="25"/>
    <s v="NAKİT"/>
    <n v="0.05"/>
    <n v="1000"/>
    <n v="0"/>
    <n v="0"/>
    <m/>
    <m/>
    <m/>
    <m/>
    <n v="50"/>
    <n v="0"/>
    <n v="57768.21899747086"/>
  </r>
  <r>
    <x v="128"/>
    <x v="4"/>
    <x v="50"/>
    <x v="0"/>
    <x v="1"/>
    <x v="1257"/>
    <x v="25"/>
    <s v="NAKİT"/>
    <n v="0.1"/>
    <n v="500"/>
    <n v="0"/>
    <n v="0"/>
    <m/>
    <m/>
    <m/>
    <m/>
    <n v="50"/>
    <n v="0"/>
    <n v="57818.21899747086"/>
  </r>
  <r>
    <x v="128"/>
    <x v="4"/>
    <x v="166"/>
    <x v="0"/>
    <x v="5"/>
    <x v="1258"/>
    <x v="25"/>
    <s v="POS"/>
    <n v="1"/>
    <n v="50"/>
    <n v="50"/>
    <n v="0"/>
    <m/>
    <m/>
    <m/>
    <m/>
    <n v="0"/>
    <n v="0"/>
    <n v="57818.21899747086"/>
  </r>
  <r>
    <x v="128"/>
    <x v="4"/>
    <x v="83"/>
    <x v="0"/>
    <x v="1"/>
    <x v="1259"/>
    <x v="25"/>
    <s v="NAKİT"/>
    <n v="0.05"/>
    <n v="2600"/>
    <n v="0"/>
    <n v="0"/>
    <m/>
    <m/>
    <m/>
    <m/>
    <n v="130"/>
    <n v="0"/>
    <n v="57948.21899747086"/>
  </r>
  <r>
    <x v="128"/>
    <x v="4"/>
    <x v="84"/>
    <x v="0"/>
    <x v="1"/>
    <x v="1259"/>
    <x v="25"/>
    <s v="NAKİT"/>
    <n v="0.04"/>
    <n v="4500"/>
    <n v="0"/>
    <n v="0"/>
    <m/>
    <m/>
    <m/>
    <m/>
    <n v="180"/>
    <n v="0"/>
    <n v="58128.21899747086"/>
  </r>
  <r>
    <x v="128"/>
    <x v="4"/>
    <x v="98"/>
    <x v="0"/>
    <x v="5"/>
    <x v="1260"/>
    <x v="25"/>
    <s v="POS"/>
    <n v="0.5"/>
    <n v="800"/>
    <n v="400"/>
    <n v="0"/>
    <m/>
    <m/>
    <m/>
    <m/>
    <n v="0"/>
    <n v="0"/>
    <n v="58128.21899747086"/>
  </r>
  <r>
    <x v="128"/>
    <x v="4"/>
    <x v="345"/>
    <x v="0"/>
    <x v="5"/>
    <x v="1260"/>
    <x v="25"/>
    <s v="POS"/>
    <n v="0.5"/>
    <n v="400"/>
    <n v="200"/>
    <n v="0"/>
    <m/>
    <m/>
    <m/>
    <m/>
    <n v="0"/>
    <n v="0"/>
    <n v="58128.21899747086"/>
  </r>
  <r>
    <x v="128"/>
    <x v="4"/>
    <x v="150"/>
    <x v="0"/>
    <x v="1"/>
    <x v="1261"/>
    <x v="25"/>
    <s v="NAKİT"/>
    <n v="1"/>
    <n v="250"/>
    <n v="0"/>
    <n v="0"/>
    <m/>
    <m/>
    <m/>
    <m/>
    <n v="250"/>
    <n v="0"/>
    <n v="58378.21899747086"/>
  </r>
  <r>
    <x v="128"/>
    <x v="4"/>
    <x v="240"/>
    <x v="0"/>
    <x v="1"/>
    <x v="1261"/>
    <x v="25"/>
    <s v="NAKİT"/>
    <n v="0.28260869565217389"/>
    <n v="230"/>
    <n v="0"/>
    <n v="0"/>
    <m/>
    <m/>
    <m/>
    <m/>
    <n v="65"/>
    <n v="0"/>
    <n v="58443.21899747086"/>
  </r>
  <r>
    <x v="128"/>
    <x v="4"/>
    <x v="142"/>
    <x v="0"/>
    <x v="1"/>
    <x v="1262"/>
    <x v="25"/>
    <s v="NAKİT"/>
    <n v="0.216"/>
    <n v="250"/>
    <n v="0"/>
    <n v="0"/>
    <m/>
    <m/>
    <m/>
    <m/>
    <n v="54"/>
    <n v="0"/>
    <n v="58497.21899747086"/>
  </r>
  <r>
    <x v="128"/>
    <x v="4"/>
    <x v="248"/>
    <x v="0"/>
    <x v="1"/>
    <x v="1262"/>
    <x v="25"/>
    <s v="NAKİT"/>
    <n v="0.33913043478260868"/>
    <n v="690"/>
    <n v="0"/>
    <n v="0"/>
    <m/>
    <m/>
    <m/>
    <m/>
    <n v="234"/>
    <n v="0"/>
    <n v="58731.21899747086"/>
  </r>
  <r>
    <x v="128"/>
    <x v="4"/>
    <x v="241"/>
    <x v="0"/>
    <x v="1"/>
    <x v="1262"/>
    <x v="25"/>
    <s v="NAKİT"/>
    <n v="0.5"/>
    <n v="60"/>
    <n v="0"/>
    <n v="0"/>
    <m/>
    <m/>
    <m/>
    <m/>
    <n v="30"/>
    <n v="0"/>
    <n v="58761.21899747086"/>
  </r>
  <r>
    <x v="128"/>
    <x v="4"/>
    <x v="347"/>
    <x v="0"/>
    <x v="1"/>
    <x v="1262"/>
    <x v="25"/>
    <s v="NAKİT"/>
    <n v="0.19298245614035087"/>
    <n v="570"/>
    <n v="0"/>
    <n v="0"/>
    <m/>
    <m/>
    <m/>
    <m/>
    <n v="110"/>
    <n v="0"/>
    <n v="58871.21899747086"/>
  </r>
  <r>
    <x v="128"/>
    <x v="4"/>
    <x v="57"/>
    <x v="0"/>
    <x v="1"/>
    <x v="1262"/>
    <x v="25"/>
    <s v="NAKİT"/>
    <n v="1"/>
    <n v="150"/>
    <n v="0"/>
    <n v="0"/>
    <m/>
    <m/>
    <m/>
    <m/>
    <n v="150"/>
    <n v="0"/>
    <n v="59021.21899747086"/>
  </r>
  <r>
    <x v="128"/>
    <x v="4"/>
    <x v="88"/>
    <x v="0"/>
    <x v="1"/>
    <x v="1263"/>
    <x v="25"/>
    <s v="NAKİT"/>
    <n v="0.05"/>
    <n v="1000"/>
    <n v="0"/>
    <n v="0"/>
    <m/>
    <m/>
    <m/>
    <m/>
    <n v="50"/>
    <n v="0"/>
    <n v="59071.21899747086"/>
  </r>
  <r>
    <x v="128"/>
    <x v="4"/>
    <x v="50"/>
    <x v="0"/>
    <x v="1"/>
    <x v="1263"/>
    <x v="25"/>
    <s v="NAKİT"/>
    <n v="0.1"/>
    <n v="500"/>
    <n v="0"/>
    <n v="0"/>
    <m/>
    <m/>
    <m/>
    <m/>
    <n v="50"/>
    <n v="0"/>
    <n v="59121.21899747086"/>
  </r>
  <r>
    <x v="128"/>
    <x v="4"/>
    <x v="57"/>
    <x v="0"/>
    <x v="1"/>
    <x v="1263"/>
    <x v="25"/>
    <s v="NAKİT"/>
    <n v="1"/>
    <n v="150"/>
    <n v="0"/>
    <n v="0"/>
    <m/>
    <m/>
    <m/>
    <m/>
    <n v="150"/>
    <n v="0"/>
    <n v="59271.21899747086"/>
  </r>
  <r>
    <x v="128"/>
    <x v="4"/>
    <x v="83"/>
    <x v="0"/>
    <x v="1"/>
    <x v="1264"/>
    <x v="25"/>
    <s v="NAKİT"/>
    <n v="0.05"/>
    <n v="2600"/>
    <n v="0"/>
    <n v="0"/>
    <m/>
    <m/>
    <m/>
    <m/>
    <n v="130"/>
    <n v="0"/>
    <n v="59401.21899747086"/>
  </r>
  <r>
    <x v="128"/>
    <x v="4"/>
    <x v="197"/>
    <x v="0"/>
    <x v="1"/>
    <x v="1265"/>
    <x v="25"/>
    <s v="NAKİT"/>
    <n v="1"/>
    <n v="200"/>
    <n v="0"/>
    <n v="0"/>
    <m/>
    <m/>
    <m/>
    <m/>
    <n v="200"/>
    <n v="0"/>
    <n v="59601.21899747086"/>
  </r>
  <r>
    <x v="128"/>
    <x v="4"/>
    <x v="57"/>
    <x v="0"/>
    <x v="1"/>
    <x v="1266"/>
    <x v="25"/>
    <s v="NAKİT"/>
    <n v="1"/>
    <n v="150"/>
    <n v="0"/>
    <n v="0"/>
    <m/>
    <m/>
    <m/>
    <m/>
    <n v="150"/>
    <n v="0"/>
    <n v="59751.21899747086"/>
  </r>
  <r>
    <x v="128"/>
    <x v="4"/>
    <x v="27"/>
    <x v="0"/>
    <x v="1"/>
    <x v="1266"/>
    <x v="25"/>
    <s v="NAKİT"/>
    <n v="4.5999999999999999E-2"/>
    <n v="400"/>
    <n v="0"/>
    <n v="0"/>
    <m/>
    <m/>
    <m/>
    <m/>
    <n v="18.399999999999999"/>
    <n v="0"/>
    <n v="59769.618997470861"/>
  </r>
  <r>
    <x v="128"/>
    <x v="4"/>
    <x v="29"/>
    <x v="0"/>
    <x v="1"/>
    <x v="1266"/>
    <x v="25"/>
    <s v="NAKİT"/>
    <n v="2.1999999999999999E-2"/>
    <n v="750"/>
    <n v="0"/>
    <n v="0"/>
    <m/>
    <m/>
    <m/>
    <m/>
    <n v="16.5"/>
    <n v="0"/>
    <n v="59786.118997470861"/>
  </r>
  <r>
    <x v="128"/>
    <x v="4"/>
    <x v="70"/>
    <x v="0"/>
    <x v="1"/>
    <x v="1266"/>
    <x v="25"/>
    <s v="NAKİT"/>
    <n v="0.26200000000000001"/>
    <n v="230"/>
    <n v="0"/>
    <n v="0"/>
    <m/>
    <m/>
    <m/>
    <m/>
    <n v="60.260000000000005"/>
    <n v="0"/>
    <n v="59846.378997470863"/>
  </r>
  <r>
    <x v="128"/>
    <x v="4"/>
    <x v="71"/>
    <x v="0"/>
    <x v="1"/>
    <x v="1266"/>
    <x v="25"/>
    <s v="NAKİT"/>
    <n v="0.26200000000000001"/>
    <n v="230"/>
    <n v="0"/>
    <n v="0"/>
    <m/>
    <m/>
    <m/>
    <m/>
    <n v="60.260000000000005"/>
    <n v="0"/>
    <n v="59906.638997470865"/>
  </r>
  <r>
    <x v="128"/>
    <x v="4"/>
    <x v="132"/>
    <x v="0"/>
    <x v="1"/>
    <x v="1267"/>
    <x v="25"/>
    <s v="NAKİT"/>
    <n v="1"/>
    <n v="190"/>
    <n v="0"/>
    <n v="0"/>
    <m/>
    <m/>
    <m/>
    <m/>
    <n v="190"/>
    <n v="0"/>
    <n v="60096.638997470865"/>
  </r>
  <r>
    <x v="128"/>
    <x v="4"/>
    <x v="33"/>
    <x v="0"/>
    <x v="1"/>
    <x v="1267"/>
    <x v="25"/>
    <s v="NAKİT"/>
    <n v="8.7499999999999994E-2"/>
    <n v="400"/>
    <n v="0"/>
    <n v="0"/>
    <m/>
    <m/>
    <m/>
    <m/>
    <n v="35"/>
    <n v="0"/>
    <n v="60131.638997470865"/>
  </r>
  <r>
    <x v="128"/>
    <x v="4"/>
    <x v="29"/>
    <x v="0"/>
    <x v="1"/>
    <x v="1267"/>
    <x v="25"/>
    <s v="NAKİT"/>
    <n v="0.06"/>
    <n v="750"/>
    <n v="0"/>
    <n v="0"/>
    <m/>
    <m/>
    <m/>
    <m/>
    <n v="45"/>
    <n v="0"/>
    <n v="60176.638997470865"/>
  </r>
  <r>
    <x v="128"/>
    <x v="10"/>
    <x v="0"/>
    <x v="0"/>
    <x v="5"/>
    <x v="2"/>
    <x v="63"/>
    <s v="POS"/>
    <n v="1"/>
    <n v="908"/>
    <n v="0"/>
    <n v="908"/>
    <n v="600"/>
    <m/>
    <m/>
    <m/>
    <n v="908"/>
    <n v="0"/>
    <n v="61084.638997470865"/>
  </r>
  <r>
    <x v="128"/>
    <x v="10"/>
    <x v="0"/>
    <x v="0"/>
    <x v="5"/>
    <x v="2"/>
    <x v="63"/>
    <s v="POS"/>
    <n v="1"/>
    <n v="1345"/>
    <n v="0"/>
    <n v="1345"/>
    <m/>
    <m/>
    <m/>
    <m/>
    <n v="1345"/>
    <n v="0"/>
    <n v="62429.638997470865"/>
  </r>
  <r>
    <x v="129"/>
    <x v="3"/>
    <x v="70"/>
    <x v="0"/>
    <x v="4"/>
    <x v="1268"/>
    <x v="32"/>
    <s v="CARİ"/>
    <n v="3"/>
    <n v="130"/>
    <n v="0"/>
    <n v="390"/>
    <m/>
    <m/>
    <m/>
    <m/>
    <n v="0"/>
    <n v="0"/>
    <n v="62429.638997470865"/>
  </r>
  <r>
    <x v="129"/>
    <x v="3"/>
    <x v="199"/>
    <x v="0"/>
    <x v="4"/>
    <x v="1268"/>
    <x v="32"/>
    <s v="CARİ"/>
    <n v="19.350000000000001"/>
    <n v="74.94"/>
    <n v="0"/>
    <n v="1450.0890000000002"/>
    <m/>
    <m/>
    <m/>
    <m/>
    <n v="0"/>
    <n v="0"/>
    <n v="62429.638997470865"/>
  </r>
  <r>
    <x v="129"/>
    <x v="3"/>
    <x v="198"/>
    <x v="0"/>
    <x v="4"/>
    <x v="1268"/>
    <x v="32"/>
    <s v="CARİ"/>
    <n v="19.350000000000001"/>
    <n v="95.61"/>
    <n v="0"/>
    <n v="1850.0535000000002"/>
    <m/>
    <m/>
    <m/>
    <m/>
    <n v="0"/>
    <n v="0"/>
    <n v="62429.638997470865"/>
  </r>
  <r>
    <x v="129"/>
    <x v="3"/>
    <x v="98"/>
    <x v="0"/>
    <x v="4"/>
    <x v="1268"/>
    <x v="32"/>
    <s v="CARİ"/>
    <n v="5"/>
    <n v="600"/>
    <n v="0"/>
    <n v="3000"/>
    <m/>
    <m/>
    <m/>
    <m/>
    <n v="0"/>
    <n v="0"/>
    <n v="62429.638997470865"/>
  </r>
  <r>
    <x v="129"/>
    <x v="3"/>
    <x v="156"/>
    <x v="0"/>
    <x v="4"/>
    <x v="1268"/>
    <x v="32"/>
    <s v="CARİ"/>
    <n v="10"/>
    <n v="30"/>
    <n v="0"/>
    <n v="300"/>
    <m/>
    <m/>
    <m/>
    <m/>
    <n v="0"/>
    <n v="0"/>
    <n v="62429.638997470865"/>
  </r>
  <r>
    <x v="129"/>
    <x v="3"/>
    <x v="386"/>
    <x v="0"/>
    <x v="4"/>
    <x v="1268"/>
    <x v="32"/>
    <s v="CARİ"/>
    <n v="20"/>
    <n v="16.5"/>
    <n v="0"/>
    <n v="330"/>
    <m/>
    <m/>
    <m/>
    <m/>
    <n v="0"/>
    <n v="0"/>
    <n v="62429.638997470865"/>
  </r>
  <r>
    <x v="129"/>
    <x v="3"/>
    <x v="387"/>
    <x v="0"/>
    <x v="4"/>
    <x v="1268"/>
    <x v="32"/>
    <s v="CARİ"/>
    <n v="6"/>
    <n v="95"/>
    <n v="0"/>
    <n v="570"/>
    <m/>
    <m/>
    <m/>
    <m/>
    <n v="0"/>
    <n v="0"/>
    <n v="62429.638997470865"/>
  </r>
  <r>
    <x v="129"/>
    <x v="3"/>
    <x v="101"/>
    <x v="0"/>
    <x v="4"/>
    <x v="1268"/>
    <x v="32"/>
    <s v="CARİ"/>
    <n v="3"/>
    <n v="145"/>
    <n v="0"/>
    <n v="435"/>
    <m/>
    <m/>
    <m/>
    <m/>
    <n v="0"/>
    <n v="0"/>
    <n v="62429.638997470865"/>
  </r>
  <r>
    <x v="129"/>
    <x v="3"/>
    <x v="383"/>
    <x v="0"/>
    <x v="4"/>
    <x v="1268"/>
    <x v="32"/>
    <s v="CARİ"/>
    <n v="3"/>
    <n v="120"/>
    <n v="0"/>
    <n v="360"/>
    <m/>
    <m/>
    <m/>
    <m/>
    <n v="0"/>
    <n v="0"/>
    <n v="62429.638997470865"/>
  </r>
  <r>
    <x v="129"/>
    <x v="3"/>
    <x v="286"/>
    <x v="0"/>
    <x v="4"/>
    <x v="1268"/>
    <x v="32"/>
    <s v="CARİ"/>
    <n v="15"/>
    <n v="39"/>
    <n v="0"/>
    <n v="585"/>
    <m/>
    <m/>
    <m/>
    <m/>
    <n v="0"/>
    <n v="0"/>
    <n v="62429.638997470865"/>
  </r>
  <r>
    <x v="129"/>
    <x v="3"/>
    <x v="287"/>
    <x v="0"/>
    <x v="4"/>
    <x v="1268"/>
    <x v="32"/>
    <s v="CARİ"/>
    <n v="10"/>
    <n v="39"/>
    <n v="0"/>
    <n v="390"/>
    <m/>
    <m/>
    <m/>
    <m/>
    <n v="0"/>
    <n v="0"/>
    <n v="62429.638997470865"/>
  </r>
  <r>
    <x v="129"/>
    <x v="3"/>
    <x v="388"/>
    <x v="0"/>
    <x v="4"/>
    <x v="1268"/>
    <x v="32"/>
    <s v="CARİ"/>
    <n v="3"/>
    <n v="130"/>
    <n v="0"/>
    <n v="390"/>
    <m/>
    <m/>
    <m/>
    <m/>
    <n v="0"/>
    <n v="0"/>
    <n v="62429.638997470865"/>
  </r>
  <r>
    <x v="129"/>
    <x v="3"/>
    <x v="166"/>
    <x v="0"/>
    <x v="4"/>
    <x v="1268"/>
    <x v="32"/>
    <s v="CARİ"/>
    <n v="16"/>
    <n v="21.4375"/>
    <n v="0"/>
    <n v="343"/>
    <m/>
    <m/>
    <m/>
    <m/>
    <n v="0"/>
    <n v="0"/>
    <n v="62429.638997470865"/>
  </r>
  <r>
    <x v="129"/>
    <x v="4"/>
    <x v="29"/>
    <x v="0"/>
    <x v="5"/>
    <x v="1269"/>
    <x v="25"/>
    <s v="POS"/>
    <n v="0.04"/>
    <n v="750"/>
    <n v="30"/>
    <n v="0"/>
    <m/>
    <m/>
    <m/>
    <m/>
    <n v="0"/>
    <n v="0"/>
    <n v="62429.638997470865"/>
  </r>
  <r>
    <x v="129"/>
    <x v="4"/>
    <x v="30"/>
    <x v="0"/>
    <x v="5"/>
    <x v="1269"/>
    <x v="25"/>
    <s v="POS"/>
    <n v="0.2"/>
    <n v="500"/>
    <n v="100"/>
    <n v="0"/>
    <m/>
    <m/>
    <m/>
    <m/>
    <n v="0"/>
    <n v="0"/>
    <n v="62429.638997470865"/>
  </r>
  <r>
    <x v="129"/>
    <x v="4"/>
    <x v="206"/>
    <x v="0"/>
    <x v="5"/>
    <x v="1270"/>
    <x v="25"/>
    <s v="POS"/>
    <n v="3"/>
    <n v="350"/>
    <n v="1050"/>
    <n v="0"/>
    <m/>
    <m/>
    <m/>
    <m/>
    <n v="0"/>
    <n v="0"/>
    <n v="62429.638997470865"/>
  </r>
  <r>
    <x v="129"/>
    <x v="4"/>
    <x v="18"/>
    <x v="0"/>
    <x v="5"/>
    <x v="1271"/>
    <x v="25"/>
    <s v="POS"/>
    <n v="1"/>
    <n v="250"/>
    <n v="250"/>
    <n v="0"/>
    <m/>
    <m/>
    <m/>
    <m/>
    <n v="0"/>
    <n v="0"/>
    <n v="62429.638997470865"/>
  </r>
  <r>
    <x v="129"/>
    <x v="4"/>
    <x v="58"/>
    <x v="0"/>
    <x v="5"/>
    <x v="1271"/>
    <x v="25"/>
    <s v="POS"/>
    <n v="1"/>
    <n v="230"/>
    <n v="230"/>
    <n v="0"/>
    <m/>
    <m/>
    <m/>
    <m/>
    <n v="0"/>
    <n v="0"/>
    <n v="62429.638997470865"/>
  </r>
  <r>
    <x v="129"/>
    <x v="4"/>
    <x v="18"/>
    <x v="0"/>
    <x v="5"/>
    <x v="1272"/>
    <x v="25"/>
    <s v="POS"/>
    <n v="0.5"/>
    <n v="250"/>
    <n v="125"/>
    <n v="0"/>
    <m/>
    <m/>
    <m/>
    <m/>
    <n v="0"/>
    <n v="0"/>
    <n v="62429.638997470865"/>
  </r>
  <r>
    <x v="129"/>
    <x v="4"/>
    <x v="58"/>
    <x v="0"/>
    <x v="5"/>
    <x v="1272"/>
    <x v="25"/>
    <s v="POS"/>
    <n v="0.5"/>
    <n v="230"/>
    <n v="115"/>
    <n v="0"/>
    <m/>
    <m/>
    <m/>
    <m/>
    <n v="0"/>
    <n v="0"/>
    <n v="62429.638997470865"/>
  </r>
  <r>
    <x v="129"/>
    <x v="4"/>
    <x v="23"/>
    <x v="0"/>
    <x v="1"/>
    <x v="1273"/>
    <x v="25"/>
    <s v="NAKİT"/>
    <n v="0.17"/>
    <n v="300"/>
    <n v="0"/>
    <n v="0"/>
    <m/>
    <m/>
    <m/>
    <m/>
    <n v="51.000000000000007"/>
    <n v="0"/>
    <n v="62480.638997470865"/>
  </r>
  <r>
    <x v="129"/>
    <x v="4"/>
    <x v="238"/>
    <x v="0"/>
    <x v="1"/>
    <x v="1273"/>
    <x v="25"/>
    <s v="NAKİT"/>
    <n v="0.36199999999999999"/>
    <n v="340"/>
    <n v="0"/>
    <n v="0"/>
    <m/>
    <m/>
    <m/>
    <m/>
    <n v="123.08"/>
    <n v="0"/>
    <n v="62603.718997470867"/>
  </r>
  <r>
    <x v="129"/>
    <x v="4"/>
    <x v="270"/>
    <x v="0"/>
    <x v="1"/>
    <x v="1274"/>
    <x v="25"/>
    <s v="NAKİT"/>
    <n v="1"/>
    <n v="130"/>
    <n v="0"/>
    <n v="0"/>
    <m/>
    <m/>
    <m/>
    <m/>
    <n v="130"/>
    <n v="0"/>
    <n v="62733.718997470867"/>
  </r>
  <r>
    <x v="129"/>
    <x v="4"/>
    <x v="116"/>
    <x v="0"/>
    <x v="5"/>
    <x v="1275"/>
    <x v="25"/>
    <s v="POS"/>
    <n v="0.28000000000000003"/>
    <n v="430"/>
    <n v="120.4"/>
    <n v="0"/>
    <m/>
    <m/>
    <m/>
    <m/>
    <n v="0"/>
    <n v="0"/>
    <n v="62733.718997470867"/>
  </r>
  <r>
    <x v="129"/>
    <x v="4"/>
    <x v="27"/>
    <x v="0"/>
    <x v="5"/>
    <x v="1275"/>
    <x v="25"/>
    <s v="POS"/>
    <n v="6.7500000000000004E-2"/>
    <n v="400"/>
    <n v="27"/>
    <n v="0"/>
    <m/>
    <m/>
    <m/>
    <m/>
    <n v="0"/>
    <n v="0"/>
    <n v="62733.718997470867"/>
  </r>
  <r>
    <x v="129"/>
    <x v="4"/>
    <x v="162"/>
    <x v="0"/>
    <x v="5"/>
    <x v="1275"/>
    <x v="25"/>
    <s v="POS"/>
    <n v="1"/>
    <n v="50"/>
    <n v="50"/>
    <n v="0"/>
    <m/>
    <m/>
    <m/>
    <m/>
    <n v="0"/>
    <n v="0"/>
    <n v="62733.718997470867"/>
  </r>
  <r>
    <x v="129"/>
    <x v="4"/>
    <x v="238"/>
    <x v="0"/>
    <x v="5"/>
    <x v="1275"/>
    <x v="25"/>
    <s v="POS"/>
    <n v="0.39200000000000002"/>
    <n v="340"/>
    <n v="133.28"/>
    <n v="0"/>
    <m/>
    <m/>
    <m/>
    <m/>
    <n v="0"/>
    <n v="0"/>
    <n v="62733.718997470867"/>
  </r>
  <r>
    <x v="129"/>
    <x v="4"/>
    <x v="236"/>
    <x v="0"/>
    <x v="5"/>
    <x v="1276"/>
    <x v="25"/>
    <s v="POS"/>
    <n v="1"/>
    <n v="220"/>
    <n v="220"/>
    <n v="0"/>
    <m/>
    <m/>
    <m/>
    <m/>
    <n v="0"/>
    <n v="0"/>
    <n v="62733.718997470867"/>
  </r>
  <r>
    <x v="129"/>
    <x v="4"/>
    <x v="51"/>
    <x v="0"/>
    <x v="5"/>
    <x v="1277"/>
    <x v="25"/>
    <s v="POS"/>
    <n v="0.1"/>
    <n v="400"/>
    <n v="40"/>
    <n v="0"/>
    <m/>
    <m/>
    <m/>
    <m/>
    <n v="0"/>
    <n v="0"/>
    <n v="62733.718997470867"/>
  </r>
  <r>
    <x v="129"/>
    <x v="4"/>
    <x v="61"/>
    <x v="0"/>
    <x v="5"/>
    <x v="1277"/>
    <x v="25"/>
    <s v="POS"/>
    <n v="4.5999999999999999E-2"/>
    <n v="770"/>
    <n v="35.42"/>
    <n v="0"/>
    <m/>
    <m/>
    <m/>
    <m/>
    <n v="0"/>
    <n v="0"/>
    <n v="62733.718997470867"/>
  </r>
  <r>
    <x v="129"/>
    <x v="4"/>
    <x v="208"/>
    <x v="0"/>
    <x v="5"/>
    <x v="1277"/>
    <x v="25"/>
    <s v="POS"/>
    <n v="1"/>
    <n v="290"/>
    <n v="290"/>
    <n v="0"/>
    <m/>
    <m/>
    <m/>
    <m/>
    <n v="0"/>
    <n v="0"/>
    <n v="62733.718997470867"/>
  </r>
  <r>
    <x v="129"/>
    <x v="4"/>
    <x v="312"/>
    <x v="0"/>
    <x v="5"/>
    <x v="1277"/>
    <x v="25"/>
    <s v="POS"/>
    <n v="0.5"/>
    <n v="300"/>
    <n v="150"/>
    <n v="0"/>
    <m/>
    <m/>
    <m/>
    <m/>
    <n v="0"/>
    <n v="0"/>
    <n v="62733.718997470867"/>
  </r>
  <r>
    <x v="129"/>
    <x v="4"/>
    <x v="296"/>
    <x v="0"/>
    <x v="5"/>
    <x v="1277"/>
    <x v="25"/>
    <s v="POS"/>
    <n v="1"/>
    <n v="135"/>
    <n v="135"/>
    <n v="0"/>
    <m/>
    <m/>
    <m/>
    <m/>
    <n v="0"/>
    <n v="0"/>
    <n v="62733.718997470867"/>
  </r>
  <r>
    <x v="129"/>
    <x v="4"/>
    <x v="360"/>
    <x v="0"/>
    <x v="1"/>
    <x v="1278"/>
    <x v="25"/>
    <s v="NAKİT"/>
    <n v="0.16666666666666666"/>
    <n v="600"/>
    <n v="0"/>
    <n v="0"/>
    <m/>
    <m/>
    <m/>
    <m/>
    <n v="100"/>
    <n v="0"/>
    <n v="62833.718997470867"/>
  </r>
  <r>
    <x v="129"/>
    <x v="4"/>
    <x v="163"/>
    <x v="0"/>
    <x v="1"/>
    <x v="1278"/>
    <x v="25"/>
    <s v="NAKİT"/>
    <n v="1"/>
    <n v="50"/>
    <n v="0"/>
    <n v="0"/>
    <m/>
    <m/>
    <m/>
    <m/>
    <n v="50"/>
    <n v="0"/>
    <n v="62883.718997470867"/>
  </r>
  <r>
    <x v="129"/>
    <x v="4"/>
    <x v="162"/>
    <x v="0"/>
    <x v="1"/>
    <x v="1278"/>
    <x v="25"/>
    <s v="NAKİT"/>
    <n v="1"/>
    <n v="50"/>
    <n v="0"/>
    <n v="0"/>
    <m/>
    <m/>
    <m/>
    <m/>
    <n v="50"/>
    <n v="0"/>
    <n v="62933.718997470867"/>
  </r>
  <r>
    <x v="129"/>
    <x v="4"/>
    <x v="30"/>
    <x v="0"/>
    <x v="1"/>
    <x v="1279"/>
    <x v="25"/>
    <s v="NAKİT"/>
    <n v="0.1"/>
    <n v="500"/>
    <n v="0"/>
    <n v="0"/>
    <m/>
    <m/>
    <m/>
    <m/>
    <n v="50"/>
    <n v="0"/>
    <n v="62983.718997470867"/>
  </r>
  <r>
    <x v="129"/>
    <x v="4"/>
    <x v="23"/>
    <x v="0"/>
    <x v="1"/>
    <x v="1279"/>
    <x v="25"/>
    <s v="NAKİT"/>
    <n v="0.1"/>
    <n v="300"/>
    <n v="0"/>
    <n v="0"/>
    <m/>
    <m/>
    <m/>
    <m/>
    <n v="30"/>
    <n v="0"/>
    <n v="63013.718997470867"/>
  </r>
  <r>
    <x v="129"/>
    <x v="4"/>
    <x v="88"/>
    <x v="0"/>
    <x v="1"/>
    <x v="1279"/>
    <x v="25"/>
    <s v="NAKİT"/>
    <n v="0.05"/>
    <n v="1000"/>
    <n v="0"/>
    <n v="0"/>
    <m/>
    <m/>
    <m/>
    <m/>
    <n v="50"/>
    <n v="0"/>
    <n v="63063.718997470867"/>
  </r>
  <r>
    <x v="129"/>
    <x v="4"/>
    <x v="88"/>
    <x v="0"/>
    <x v="1"/>
    <x v="1279"/>
    <x v="25"/>
    <s v="NAKİT"/>
    <n v="0.05"/>
    <n v="1000"/>
    <n v="0"/>
    <n v="0"/>
    <m/>
    <m/>
    <m/>
    <m/>
    <n v="50"/>
    <n v="0"/>
    <n v="63113.718997470867"/>
  </r>
  <r>
    <x v="129"/>
    <x v="4"/>
    <x v="208"/>
    <x v="0"/>
    <x v="5"/>
    <x v="1280"/>
    <x v="25"/>
    <s v="POS"/>
    <n v="1"/>
    <n v="290"/>
    <n v="290"/>
    <n v="0"/>
    <m/>
    <m/>
    <m/>
    <m/>
    <n v="0"/>
    <n v="0"/>
    <n v="63113.718997470867"/>
  </r>
  <r>
    <x v="129"/>
    <x v="4"/>
    <x v="33"/>
    <x v="0"/>
    <x v="5"/>
    <x v="1281"/>
    <x v="25"/>
    <s v="POS"/>
    <n v="0.5"/>
    <n v="400"/>
    <n v="200"/>
    <n v="0"/>
    <m/>
    <m/>
    <m/>
    <m/>
    <n v="0"/>
    <n v="0"/>
    <n v="63113.718997470867"/>
  </r>
  <r>
    <x v="129"/>
    <x v="4"/>
    <x v="59"/>
    <x v="0"/>
    <x v="5"/>
    <x v="1281"/>
    <x v="25"/>
    <s v="POS"/>
    <n v="0.48888888888888887"/>
    <n v="450"/>
    <n v="220"/>
    <n v="0"/>
    <m/>
    <m/>
    <m/>
    <m/>
    <n v="0"/>
    <n v="0"/>
    <n v="63113.718997470867"/>
  </r>
  <r>
    <x v="129"/>
    <x v="4"/>
    <x v="70"/>
    <x v="0"/>
    <x v="5"/>
    <x v="1281"/>
    <x v="25"/>
    <s v="POS"/>
    <n v="0.2608695652173913"/>
    <n v="230"/>
    <n v="60"/>
    <n v="0"/>
    <m/>
    <m/>
    <m/>
    <m/>
    <n v="0"/>
    <n v="0"/>
    <n v="63113.718997470867"/>
  </r>
  <r>
    <x v="129"/>
    <x v="4"/>
    <x v="238"/>
    <x v="0"/>
    <x v="5"/>
    <x v="1281"/>
    <x v="25"/>
    <s v="POS"/>
    <n v="0.4"/>
    <n v="340"/>
    <n v="136"/>
    <n v="0"/>
    <m/>
    <m/>
    <m/>
    <m/>
    <n v="0"/>
    <n v="0"/>
    <n v="63113.718997470867"/>
  </r>
  <r>
    <x v="129"/>
    <x v="4"/>
    <x v="24"/>
    <x v="0"/>
    <x v="1"/>
    <x v="1282"/>
    <x v="25"/>
    <s v="NAKİT"/>
    <n v="7.1999999999999995E-2"/>
    <n v="650"/>
    <n v="0"/>
    <n v="0"/>
    <m/>
    <m/>
    <m/>
    <m/>
    <n v="46.8"/>
    <n v="0"/>
    <n v="63160.51899747087"/>
  </r>
  <r>
    <x v="129"/>
    <x v="4"/>
    <x v="39"/>
    <x v="0"/>
    <x v="1"/>
    <x v="1282"/>
    <x v="25"/>
    <s v="NAKİT"/>
    <n v="0.108"/>
    <n v="400"/>
    <n v="0"/>
    <n v="0"/>
    <m/>
    <m/>
    <m/>
    <m/>
    <n v="43.2"/>
    <n v="0"/>
    <n v="63203.718997470867"/>
  </r>
  <r>
    <x v="129"/>
    <x v="4"/>
    <x v="23"/>
    <x v="0"/>
    <x v="1"/>
    <x v="1282"/>
    <x v="25"/>
    <s v="NAKİT"/>
    <n v="0.126"/>
    <n v="300"/>
    <n v="0"/>
    <n v="0"/>
    <m/>
    <m/>
    <m/>
    <m/>
    <n v="37.799999999999997"/>
    <n v="0"/>
    <n v="63241.51899747087"/>
  </r>
  <r>
    <x v="129"/>
    <x v="4"/>
    <x v="88"/>
    <x v="0"/>
    <x v="1"/>
    <x v="1282"/>
    <x v="25"/>
    <s v="NAKİT"/>
    <n v="0.05"/>
    <n v="1000"/>
    <n v="0"/>
    <n v="0"/>
    <m/>
    <m/>
    <m/>
    <m/>
    <n v="50"/>
    <n v="0"/>
    <n v="63291.51899747087"/>
  </r>
  <r>
    <x v="129"/>
    <x v="4"/>
    <x v="50"/>
    <x v="0"/>
    <x v="1"/>
    <x v="1282"/>
    <x v="25"/>
    <s v="NAKİT"/>
    <n v="0.1"/>
    <n v="650"/>
    <n v="0"/>
    <n v="0"/>
    <m/>
    <m/>
    <m/>
    <m/>
    <n v="65"/>
    <n v="0"/>
    <n v="63356.51899747087"/>
  </r>
  <r>
    <x v="129"/>
    <x v="4"/>
    <x v="83"/>
    <x v="0"/>
    <x v="1"/>
    <x v="1282"/>
    <x v="25"/>
    <s v="NAKİT"/>
    <n v="0.05"/>
    <n v="2600"/>
    <n v="0"/>
    <n v="0"/>
    <m/>
    <m/>
    <m/>
    <m/>
    <n v="130"/>
    <n v="0"/>
    <n v="63486.51899747087"/>
  </r>
  <r>
    <x v="129"/>
    <x v="4"/>
    <x v="49"/>
    <x v="0"/>
    <x v="1"/>
    <x v="1282"/>
    <x v="25"/>
    <s v="NAKİT"/>
    <n v="0.1"/>
    <n v="600"/>
    <n v="0"/>
    <n v="0"/>
    <m/>
    <m/>
    <m/>
    <m/>
    <n v="60"/>
    <n v="0"/>
    <n v="63546.51899747087"/>
  </r>
  <r>
    <x v="129"/>
    <x v="4"/>
    <x v="273"/>
    <x v="0"/>
    <x v="1"/>
    <x v="1282"/>
    <x v="25"/>
    <s v="NAKİT"/>
    <n v="0.25"/>
    <n v="360"/>
    <n v="0"/>
    <n v="0"/>
    <m/>
    <m/>
    <m/>
    <m/>
    <n v="90"/>
    <n v="0"/>
    <n v="63636.51899747087"/>
  </r>
  <r>
    <x v="129"/>
    <x v="10"/>
    <x v="0"/>
    <x v="0"/>
    <x v="5"/>
    <x v="2"/>
    <x v="63"/>
    <s v="POS"/>
    <n v="1"/>
    <n v="1210"/>
    <n v="0"/>
    <n v="1210"/>
    <m/>
    <m/>
    <m/>
    <m/>
    <n v="1210"/>
    <n v="0"/>
    <n v="64846.51899747087"/>
  </r>
  <r>
    <x v="129"/>
    <x v="10"/>
    <x v="0"/>
    <x v="0"/>
    <x v="5"/>
    <x v="2"/>
    <x v="63"/>
    <s v="POS"/>
    <n v="1"/>
    <n v="625"/>
    <n v="0"/>
    <n v="625"/>
    <m/>
    <m/>
    <m/>
    <m/>
    <n v="625"/>
    <n v="0"/>
    <n v="65471.51899747087"/>
  </r>
  <r>
    <x v="129"/>
    <x v="7"/>
    <x v="0"/>
    <x v="0"/>
    <x v="2"/>
    <x v="2"/>
    <x v="55"/>
    <s v="NAKİT"/>
    <n v="1"/>
    <n v="0"/>
    <n v="7492.2"/>
    <n v="0"/>
    <n v="0"/>
    <n v="42049.46"/>
    <m/>
    <m/>
    <n v="0"/>
    <n v="7492.2"/>
    <n v="57979.318997470873"/>
  </r>
  <r>
    <x v="130"/>
    <x v="4"/>
    <x v="127"/>
    <x v="0"/>
    <x v="5"/>
    <x v="1283"/>
    <x v="25"/>
    <s v="POS"/>
    <n v="0.28059701492537314"/>
    <n v="670"/>
    <n v="188"/>
    <n v="0"/>
    <m/>
    <m/>
    <m/>
    <m/>
    <n v="0"/>
    <n v="0"/>
    <n v="57979.318997470873"/>
  </r>
  <r>
    <x v="130"/>
    <x v="4"/>
    <x v="212"/>
    <x v="0"/>
    <x v="5"/>
    <x v="1284"/>
    <x v="25"/>
    <s v="POS"/>
    <n v="0.44363636363636366"/>
    <n v="550"/>
    <n v="244"/>
    <n v="0"/>
    <m/>
    <m/>
    <m/>
    <m/>
    <n v="0"/>
    <n v="0"/>
    <n v="57979.318997470873"/>
  </r>
  <r>
    <x v="130"/>
    <x v="4"/>
    <x v="98"/>
    <x v="0"/>
    <x v="5"/>
    <x v="1284"/>
    <x v="25"/>
    <s v="POS"/>
    <n v="0.53749999999999998"/>
    <n v="800"/>
    <n v="430"/>
    <n v="0"/>
    <m/>
    <m/>
    <m/>
    <m/>
    <n v="0"/>
    <n v="0"/>
    <n v="57979.318997470873"/>
  </r>
  <r>
    <x v="130"/>
    <x v="4"/>
    <x v="83"/>
    <x v="0"/>
    <x v="5"/>
    <x v="1284"/>
    <x v="25"/>
    <s v="POS"/>
    <n v="0.05"/>
    <n v="2600"/>
    <n v="130"/>
    <n v="0"/>
    <m/>
    <m/>
    <m/>
    <m/>
    <n v="0"/>
    <n v="0"/>
    <n v="57979.318997470873"/>
  </r>
  <r>
    <x v="130"/>
    <x v="4"/>
    <x v="90"/>
    <x v="0"/>
    <x v="5"/>
    <x v="1285"/>
    <x v="25"/>
    <s v="POS"/>
    <n v="1"/>
    <n v="225"/>
    <n v="225"/>
    <n v="0"/>
    <m/>
    <m/>
    <m/>
    <m/>
    <n v="0"/>
    <n v="0"/>
    <n v="57979.318997470873"/>
  </r>
  <r>
    <x v="130"/>
    <x v="4"/>
    <x v="296"/>
    <x v="0"/>
    <x v="5"/>
    <x v="1286"/>
    <x v="25"/>
    <s v="POS"/>
    <n v="1"/>
    <n v="135"/>
    <n v="135"/>
    <n v="0"/>
    <m/>
    <m/>
    <m/>
    <m/>
    <n v="0"/>
    <n v="0"/>
    <n v="57979.318997470873"/>
  </r>
  <r>
    <x v="130"/>
    <x v="4"/>
    <x v="356"/>
    <x v="0"/>
    <x v="5"/>
    <x v="1286"/>
    <x v="25"/>
    <s v="POS"/>
    <n v="1"/>
    <n v="10"/>
    <n v="10"/>
    <n v="0"/>
    <m/>
    <m/>
    <m/>
    <m/>
    <n v="0"/>
    <n v="0"/>
    <n v="57979.318997470873"/>
  </r>
  <r>
    <x v="130"/>
    <x v="4"/>
    <x v="150"/>
    <x v="0"/>
    <x v="5"/>
    <x v="1286"/>
    <x v="25"/>
    <s v="POS"/>
    <n v="0.624"/>
    <n v="250"/>
    <n v="156"/>
    <n v="0"/>
    <m/>
    <m/>
    <m/>
    <m/>
    <n v="0"/>
    <n v="0"/>
    <n v="57979.318997470873"/>
  </r>
  <r>
    <x v="130"/>
    <x v="4"/>
    <x v="24"/>
    <x v="0"/>
    <x v="5"/>
    <x v="1287"/>
    <x v="25"/>
    <s v="POS"/>
    <n v="3.2307692307692308E-2"/>
    <n v="650"/>
    <n v="21"/>
    <n v="0"/>
    <m/>
    <m/>
    <m/>
    <m/>
    <n v="0"/>
    <n v="0"/>
    <n v="57979.318997470873"/>
  </r>
  <r>
    <x v="130"/>
    <x v="4"/>
    <x v="345"/>
    <x v="0"/>
    <x v="5"/>
    <x v="1287"/>
    <x v="25"/>
    <s v="POS"/>
    <n v="0.25"/>
    <n v="400"/>
    <n v="100"/>
    <n v="0"/>
    <m/>
    <m/>
    <m/>
    <m/>
    <n v="0"/>
    <n v="0"/>
    <n v="57979.318997470873"/>
  </r>
  <r>
    <x v="130"/>
    <x v="4"/>
    <x v="356"/>
    <x v="0"/>
    <x v="5"/>
    <x v="1287"/>
    <x v="25"/>
    <s v="POS"/>
    <n v="3"/>
    <n v="10"/>
    <n v="30"/>
    <n v="0"/>
    <m/>
    <m/>
    <m/>
    <m/>
    <n v="0"/>
    <n v="0"/>
    <n v="57979.318997470873"/>
  </r>
  <r>
    <x v="130"/>
    <x v="4"/>
    <x v="142"/>
    <x v="0"/>
    <x v="1"/>
    <x v="1288"/>
    <x v="25"/>
    <s v="NAKİT"/>
    <n v="0.4"/>
    <n v="250"/>
    <n v="0"/>
    <n v="0"/>
    <m/>
    <m/>
    <m/>
    <m/>
    <n v="100"/>
    <n v="0"/>
    <n v="58079.318997470873"/>
  </r>
  <r>
    <x v="130"/>
    <x v="4"/>
    <x v="88"/>
    <x v="0"/>
    <x v="1"/>
    <x v="1288"/>
    <x v="25"/>
    <s v="NAKİT"/>
    <n v="0.05"/>
    <n v="1000"/>
    <n v="0"/>
    <n v="0"/>
    <m/>
    <m/>
    <m/>
    <m/>
    <n v="50"/>
    <n v="0"/>
    <n v="58129.318997470873"/>
  </r>
  <r>
    <x v="130"/>
    <x v="4"/>
    <x v="363"/>
    <x v="0"/>
    <x v="1"/>
    <x v="1289"/>
    <x v="25"/>
    <s v="NAKİT"/>
    <n v="0.1"/>
    <n v="1000"/>
    <n v="0"/>
    <n v="0"/>
    <m/>
    <m/>
    <m/>
    <m/>
    <n v="100"/>
    <n v="0"/>
    <n v="58229.318997470873"/>
  </r>
  <r>
    <x v="130"/>
    <x v="4"/>
    <x v="28"/>
    <x v="0"/>
    <x v="1"/>
    <x v="1289"/>
    <x v="25"/>
    <s v="NAKİT"/>
    <n v="0.1"/>
    <n v="500"/>
    <n v="0"/>
    <n v="0"/>
    <m/>
    <m/>
    <m/>
    <m/>
    <n v="50"/>
    <n v="0"/>
    <n v="58279.318997470873"/>
  </r>
  <r>
    <x v="130"/>
    <x v="4"/>
    <x v="386"/>
    <x v="0"/>
    <x v="1"/>
    <x v="1290"/>
    <x v="25"/>
    <s v="NAKİT"/>
    <n v="1"/>
    <n v="30"/>
    <n v="0"/>
    <n v="0"/>
    <m/>
    <m/>
    <m/>
    <m/>
    <n v="30"/>
    <n v="0"/>
    <n v="58309.318997470873"/>
  </r>
  <r>
    <x v="130"/>
    <x v="4"/>
    <x v="198"/>
    <x v="0"/>
    <x v="11"/>
    <x v="1291"/>
    <x v="134"/>
    <s v="CARİ"/>
    <n v="19.350000000000001"/>
    <n v="130"/>
    <n v="2515.5"/>
    <n v="0"/>
    <m/>
    <m/>
    <m/>
    <m/>
    <n v="0"/>
    <n v="0"/>
    <n v="58309.318997470873"/>
  </r>
  <r>
    <x v="130"/>
    <x v="4"/>
    <x v="199"/>
    <x v="0"/>
    <x v="11"/>
    <x v="1291"/>
    <x v="134"/>
    <s v="CARİ"/>
    <n v="19.350000000000001"/>
    <n v="100"/>
    <n v="1935"/>
    <n v="0"/>
    <m/>
    <m/>
    <m/>
    <m/>
    <n v="0"/>
    <n v="0"/>
    <n v="58309.318997470873"/>
  </r>
  <r>
    <x v="130"/>
    <x v="4"/>
    <x v="27"/>
    <x v="0"/>
    <x v="11"/>
    <x v="1291"/>
    <x v="134"/>
    <s v="CARİ"/>
    <n v="0.625"/>
    <n v="280"/>
    <n v="175"/>
    <n v="0"/>
    <m/>
    <m/>
    <m/>
    <m/>
    <n v="0"/>
    <n v="0"/>
    <n v="58309.318997470873"/>
  </r>
  <r>
    <x v="130"/>
    <x v="4"/>
    <x v="29"/>
    <x v="0"/>
    <x v="11"/>
    <x v="1291"/>
    <x v="134"/>
    <s v="CARİ"/>
    <n v="0.32500000000000001"/>
    <n v="615"/>
    <n v="199.875"/>
    <n v="0"/>
    <m/>
    <m/>
    <m/>
    <m/>
    <n v="0"/>
    <n v="0"/>
    <n v="58309.318997470873"/>
  </r>
  <r>
    <x v="130"/>
    <x v="4"/>
    <x v="24"/>
    <x v="0"/>
    <x v="11"/>
    <x v="1291"/>
    <x v="134"/>
    <s v="CARİ"/>
    <n v="0.375"/>
    <n v="534"/>
    <n v="200.25"/>
    <n v="0"/>
    <m/>
    <m/>
    <m/>
    <m/>
    <n v="0"/>
    <n v="0"/>
    <n v="58309.318997470873"/>
  </r>
  <r>
    <x v="130"/>
    <x v="4"/>
    <x v="31"/>
    <x v="0"/>
    <x v="11"/>
    <x v="1291"/>
    <x v="134"/>
    <s v="CARİ"/>
    <n v="1.25"/>
    <n v="300"/>
    <n v="375"/>
    <n v="0"/>
    <m/>
    <m/>
    <m/>
    <m/>
    <n v="0"/>
    <n v="0"/>
    <n v="58309.318997470873"/>
  </r>
  <r>
    <x v="130"/>
    <x v="4"/>
    <x v="28"/>
    <x v="0"/>
    <x v="11"/>
    <x v="1291"/>
    <x v="134"/>
    <s v="CARİ"/>
    <n v="0.5"/>
    <n v="350"/>
    <n v="175"/>
    <n v="0"/>
    <m/>
    <m/>
    <m/>
    <m/>
    <n v="0"/>
    <n v="0"/>
    <n v="58309.318997470873"/>
  </r>
  <r>
    <x v="130"/>
    <x v="4"/>
    <x v="34"/>
    <x v="0"/>
    <x v="11"/>
    <x v="1291"/>
    <x v="134"/>
    <s v="CARİ"/>
    <n v="0.42499999999999999"/>
    <n v="412"/>
    <n v="175.1"/>
    <n v="0"/>
    <m/>
    <m/>
    <m/>
    <m/>
    <n v="0"/>
    <n v="0"/>
    <n v="58309.318997470873"/>
  </r>
  <r>
    <x v="130"/>
    <x v="4"/>
    <x v="51"/>
    <x v="0"/>
    <x v="11"/>
    <x v="1291"/>
    <x v="134"/>
    <s v="CARİ"/>
    <n v="0.5"/>
    <n v="350"/>
    <n v="175"/>
    <n v="0"/>
    <m/>
    <m/>
    <m/>
    <m/>
    <n v="0"/>
    <n v="0"/>
    <n v="58309.318997470873"/>
  </r>
  <r>
    <x v="130"/>
    <x v="4"/>
    <x v="383"/>
    <x v="0"/>
    <x v="11"/>
    <x v="1291"/>
    <x v="134"/>
    <s v="CARİ"/>
    <n v="0.55000000000000004"/>
    <n v="318"/>
    <n v="174.9"/>
    <n v="0"/>
    <m/>
    <m/>
    <m/>
    <m/>
    <n v="0"/>
    <n v="0"/>
    <n v="58309.318997470873"/>
  </r>
  <r>
    <x v="130"/>
    <x v="4"/>
    <x v="52"/>
    <x v="0"/>
    <x v="11"/>
    <x v="1291"/>
    <x v="134"/>
    <s v="CARİ"/>
    <n v="0.5"/>
    <n v="350"/>
    <n v="175"/>
    <n v="0"/>
    <m/>
    <m/>
    <m/>
    <m/>
    <n v="0"/>
    <n v="0"/>
    <n v="58309.318997470873"/>
  </r>
  <r>
    <x v="130"/>
    <x v="4"/>
    <x v="88"/>
    <x v="0"/>
    <x v="11"/>
    <x v="1291"/>
    <x v="134"/>
    <s v="CARİ"/>
    <n v="0.25"/>
    <n v="900"/>
    <n v="225"/>
    <n v="0"/>
    <m/>
    <m/>
    <m/>
    <m/>
    <n v="0"/>
    <n v="0"/>
    <n v="58309.318997470873"/>
  </r>
  <r>
    <x v="130"/>
    <x v="4"/>
    <x v="54"/>
    <x v="0"/>
    <x v="11"/>
    <x v="1291"/>
    <x v="134"/>
    <s v="CARİ"/>
    <n v="0.5"/>
    <n v="350"/>
    <n v="175"/>
    <n v="0"/>
    <m/>
    <m/>
    <m/>
    <m/>
    <n v="0"/>
    <n v="0"/>
    <n v="58309.318997470873"/>
  </r>
  <r>
    <x v="130"/>
    <x v="4"/>
    <x v="50"/>
    <x v="0"/>
    <x v="11"/>
    <x v="1291"/>
    <x v="134"/>
    <s v="CARİ"/>
    <n v="0.4"/>
    <n v="438"/>
    <n v="175.20000000000002"/>
    <n v="0"/>
    <m/>
    <m/>
    <m/>
    <m/>
    <n v="0"/>
    <n v="0"/>
    <n v="58309.318997470873"/>
  </r>
  <r>
    <x v="130"/>
    <x v="4"/>
    <x v="77"/>
    <x v="0"/>
    <x v="11"/>
    <x v="1291"/>
    <x v="134"/>
    <s v="CARİ"/>
    <n v="2.5"/>
    <n v="60"/>
    <n v="150"/>
    <n v="0"/>
    <m/>
    <m/>
    <m/>
    <m/>
    <n v="0"/>
    <n v="0"/>
    <n v="58309.318997470873"/>
  </r>
  <r>
    <x v="130"/>
    <x v="4"/>
    <x v="99"/>
    <x v="0"/>
    <x v="11"/>
    <x v="1291"/>
    <x v="134"/>
    <s v="CARİ"/>
    <n v="0.25"/>
    <n v="800"/>
    <n v="200"/>
    <n v="0"/>
    <m/>
    <m/>
    <m/>
    <m/>
    <n v="0"/>
    <n v="0"/>
    <n v="58309.318997470873"/>
  </r>
  <r>
    <x v="130"/>
    <x v="4"/>
    <x v="23"/>
    <x v="0"/>
    <x v="11"/>
    <x v="1291"/>
    <x v="134"/>
    <s v="CARİ"/>
    <n v="0.82499999999999996"/>
    <n v="212"/>
    <n v="174.89999999999998"/>
    <n v="0"/>
    <m/>
    <m/>
    <m/>
    <m/>
    <n v="0"/>
    <n v="0"/>
    <n v="58309.318997470873"/>
  </r>
  <r>
    <x v="130"/>
    <x v="4"/>
    <x v="22"/>
    <x v="0"/>
    <x v="11"/>
    <x v="1291"/>
    <x v="134"/>
    <s v="CARİ"/>
    <n v="0.625"/>
    <n v="280"/>
    <n v="175"/>
    <n v="0"/>
    <m/>
    <m/>
    <m/>
    <m/>
    <n v="0"/>
    <n v="0"/>
    <n v="58309.318997470873"/>
  </r>
  <r>
    <x v="130"/>
    <x v="4"/>
    <x v="161"/>
    <x v="0"/>
    <x v="11"/>
    <x v="1291"/>
    <x v="134"/>
    <s v="CARİ"/>
    <n v="0.625"/>
    <n v="320"/>
    <n v="200"/>
    <n v="0"/>
    <m/>
    <m/>
    <m/>
    <m/>
    <n v="0"/>
    <n v="0"/>
    <n v="58309.318997470873"/>
  </r>
  <r>
    <x v="130"/>
    <x v="4"/>
    <x v="25"/>
    <x v="0"/>
    <x v="11"/>
    <x v="1291"/>
    <x v="134"/>
    <s v="CARİ"/>
    <n v="0.625"/>
    <n v="280"/>
    <n v="175"/>
    <n v="0"/>
    <m/>
    <m/>
    <m/>
    <m/>
    <n v="0"/>
    <n v="0"/>
    <n v="58309.318997470873"/>
  </r>
  <r>
    <x v="130"/>
    <x v="4"/>
    <x v="33"/>
    <x v="0"/>
    <x v="11"/>
    <x v="1291"/>
    <x v="134"/>
    <s v="CARİ"/>
    <n v="1.25"/>
    <n v="300"/>
    <n v="375"/>
    <n v="0"/>
    <m/>
    <m/>
    <m/>
    <m/>
    <n v="0"/>
    <n v="0"/>
    <n v="58309.318997470873"/>
  </r>
  <r>
    <x v="130"/>
    <x v="4"/>
    <x v="30"/>
    <x v="0"/>
    <x v="11"/>
    <x v="1291"/>
    <x v="134"/>
    <s v="CARİ"/>
    <n v="1"/>
    <n v="375"/>
    <n v="375"/>
    <n v="0"/>
    <m/>
    <m/>
    <m/>
    <m/>
    <n v="0"/>
    <n v="0"/>
    <n v="58309.318997470873"/>
  </r>
  <r>
    <x v="130"/>
    <x v="4"/>
    <x v="36"/>
    <x v="0"/>
    <x v="11"/>
    <x v="1291"/>
    <x v="134"/>
    <s v="CARİ"/>
    <n v="1.25"/>
    <n v="140"/>
    <n v="175"/>
    <n v="0"/>
    <m/>
    <m/>
    <m/>
    <m/>
    <n v="0"/>
    <n v="0"/>
    <n v="58309.318997470873"/>
  </r>
  <r>
    <x v="130"/>
    <x v="4"/>
    <x v="35"/>
    <x v="0"/>
    <x v="11"/>
    <x v="1291"/>
    <x v="134"/>
    <s v="CARİ"/>
    <n v="1.25"/>
    <n v="140"/>
    <n v="175"/>
    <n v="0"/>
    <m/>
    <m/>
    <m/>
    <m/>
    <n v="0"/>
    <n v="0"/>
    <n v="58309.318997470873"/>
  </r>
  <r>
    <x v="130"/>
    <x v="10"/>
    <x v="0"/>
    <x v="0"/>
    <x v="5"/>
    <x v="2"/>
    <x v="63"/>
    <s v="POS"/>
    <n v="1"/>
    <n v="267.5"/>
    <n v="0"/>
    <n v="267.5"/>
    <m/>
    <m/>
    <m/>
    <m/>
    <n v="267.5"/>
    <n v="0"/>
    <n v="58576.818997470873"/>
  </r>
  <r>
    <x v="130"/>
    <x v="3"/>
    <x v="389"/>
    <x v="0"/>
    <x v="9"/>
    <x v="2"/>
    <x v="90"/>
    <s v="CARİ"/>
    <n v="10"/>
    <n v="400"/>
    <n v="0"/>
    <n v="4000"/>
    <m/>
    <m/>
    <m/>
    <m/>
    <n v="0"/>
    <n v="0"/>
    <n v="58576.818997470873"/>
  </r>
  <r>
    <x v="130"/>
    <x v="3"/>
    <x v="390"/>
    <x v="0"/>
    <x v="9"/>
    <x v="2"/>
    <x v="90"/>
    <s v="CARİ"/>
    <n v="6"/>
    <n v="300"/>
    <n v="0"/>
    <n v="1800"/>
    <m/>
    <m/>
    <m/>
    <m/>
    <n v="0"/>
    <n v="0"/>
    <n v="58576.818997470873"/>
  </r>
  <r>
    <x v="130"/>
    <x v="3"/>
    <x v="391"/>
    <x v="0"/>
    <x v="9"/>
    <x v="2"/>
    <x v="90"/>
    <s v="CARİ"/>
    <n v="10"/>
    <n v="305"/>
    <n v="0"/>
    <n v="3050"/>
    <m/>
    <m/>
    <m/>
    <m/>
    <n v="0"/>
    <n v="0"/>
    <n v="58576.818997470873"/>
  </r>
  <r>
    <x v="130"/>
    <x v="3"/>
    <x v="392"/>
    <x v="0"/>
    <x v="9"/>
    <x v="2"/>
    <x v="90"/>
    <s v="CARİ"/>
    <n v="10"/>
    <n v="270"/>
    <n v="0"/>
    <n v="2700"/>
    <m/>
    <m/>
    <m/>
    <m/>
    <n v="0"/>
    <n v="0"/>
    <n v="58576.818997470873"/>
  </r>
  <r>
    <x v="130"/>
    <x v="3"/>
    <x v="393"/>
    <x v="0"/>
    <x v="9"/>
    <x v="2"/>
    <x v="90"/>
    <s v="CARİ"/>
    <n v="10"/>
    <n v="270"/>
    <n v="0"/>
    <n v="2700"/>
    <m/>
    <m/>
    <m/>
    <m/>
    <n v="0"/>
    <n v="0"/>
    <n v="58576.818997470873"/>
  </r>
  <r>
    <x v="130"/>
    <x v="3"/>
    <x v="394"/>
    <x v="0"/>
    <x v="9"/>
    <x v="2"/>
    <x v="90"/>
    <s v="CARİ"/>
    <n v="10"/>
    <n v="300"/>
    <n v="0"/>
    <n v="3000"/>
    <m/>
    <m/>
    <m/>
    <m/>
    <n v="0"/>
    <n v="0"/>
    <n v="58576.818997470873"/>
  </r>
  <r>
    <x v="130"/>
    <x v="3"/>
    <x v="150"/>
    <x v="0"/>
    <x v="9"/>
    <x v="2"/>
    <x v="90"/>
    <s v="CARİ"/>
    <n v="50"/>
    <n v="185"/>
    <n v="0"/>
    <n v="9250"/>
    <m/>
    <m/>
    <m/>
    <m/>
    <n v="0"/>
    <n v="0"/>
    <n v="58576.818997470873"/>
  </r>
  <r>
    <x v="130"/>
    <x v="3"/>
    <x v="248"/>
    <x v="0"/>
    <x v="9"/>
    <x v="2"/>
    <x v="90"/>
    <s v="CARİ"/>
    <n v="10"/>
    <n v="450"/>
    <n v="0"/>
    <n v="4500"/>
    <m/>
    <m/>
    <m/>
    <m/>
    <n v="0"/>
    <n v="0"/>
    <n v="58576.818997470873"/>
  </r>
  <r>
    <x v="130"/>
    <x v="6"/>
    <x v="346"/>
    <x v="0"/>
    <x v="9"/>
    <x v="2"/>
    <x v="135"/>
    <s v="CARİ"/>
    <n v="5"/>
    <n v="300"/>
    <n v="1500"/>
    <n v="0"/>
    <m/>
    <m/>
    <m/>
    <m/>
    <n v="0"/>
    <n v="0"/>
    <n v="58576.818997470873"/>
  </r>
  <r>
    <x v="130"/>
    <x v="1"/>
    <x v="0"/>
    <x v="5"/>
    <x v="1"/>
    <x v="2"/>
    <x v="136"/>
    <s v="NAKİT"/>
    <n v="1"/>
    <n v="4400"/>
    <n v="0"/>
    <n v="0"/>
    <m/>
    <m/>
    <m/>
    <m/>
    <n v="0"/>
    <n v="4400"/>
    <n v="54176.818997470873"/>
  </r>
  <r>
    <x v="131"/>
    <x v="4"/>
    <x v="348"/>
    <x v="0"/>
    <x v="5"/>
    <x v="1292"/>
    <x v="25"/>
    <s v="POS"/>
    <n v="1"/>
    <n v="60"/>
    <n v="60"/>
    <n v="0"/>
    <m/>
    <m/>
    <m/>
    <m/>
    <n v="0"/>
    <n v="0"/>
    <n v="54176.818997470873"/>
  </r>
  <r>
    <x v="131"/>
    <x v="4"/>
    <x v="150"/>
    <x v="0"/>
    <x v="1"/>
    <x v="1293"/>
    <x v="25"/>
    <s v="NAKİT"/>
    <n v="0.4"/>
    <n v="250"/>
    <n v="0"/>
    <n v="0"/>
    <m/>
    <m/>
    <m/>
    <m/>
    <n v="100"/>
    <n v="0"/>
    <n v="54276.818997470873"/>
  </r>
  <r>
    <x v="131"/>
    <x v="4"/>
    <x v="177"/>
    <x v="0"/>
    <x v="1"/>
    <x v="1294"/>
    <x v="25"/>
    <s v="NAKİT"/>
    <n v="1"/>
    <n v="210"/>
    <n v="0"/>
    <n v="0"/>
    <m/>
    <m/>
    <m/>
    <m/>
    <n v="210"/>
    <n v="0"/>
    <n v="54486.818997470873"/>
  </r>
  <r>
    <x v="131"/>
    <x v="4"/>
    <x v="258"/>
    <x v="0"/>
    <x v="1"/>
    <x v="1295"/>
    <x v="25"/>
    <s v="NAKİT"/>
    <n v="1"/>
    <n v="125"/>
    <n v="0"/>
    <n v="0"/>
    <m/>
    <m/>
    <m/>
    <m/>
    <n v="125"/>
    <n v="0"/>
    <n v="54611.818997470873"/>
  </r>
  <r>
    <x v="131"/>
    <x v="4"/>
    <x v="20"/>
    <x v="0"/>
    <x v="1"/>
    <x v="1296"/>
    <x v="25"/>
    <s v="NAKİT"/>
    <n v="1"/>
    <n v="230"/>
    <n v="0"/>
    <n v="0"/>
    <m/>
    <m/>
    <m/>
    <m/>
    <n v="230"/>
    <n v="0"/>
    <n v="54841.818997470873"/>
  </r>
  <r>
    <x v="131"/>
    <x v="4"/>
    <x v="28"/>
    <x v="0"/>
    <x v="1"/>
    <x v="1296"/>
    <x v="25"/>
    <s v="NAKİT"/>
    <n v="0.1"/>
    <n v="500"/>
    <n v="0"/>
    <n v="0"/>
    <m/>
    <m/>
    <m/>
    <m/>
    <n v="50"/>
    <n v="0"/>
    <n v="54891.818997470873"/>
  </r>
  <r>
    <x v="131"/>
    <x v="4"/>
    <x v="18"/>
    <x v="0"/>
    <x v="5"/>
    <x v="1297"/>
    <x v="25"/>
    <s v="POS"/>
    <n v="1"/>
    <n v="250"/>
    <n v="250"/>
    <n v="0"/>
    <m/>
    <m/>
    <m/>
    <m/>
    <n v="0"/>
    <n v="0"/>
    <n v="54891.818997470873"/>
  </r>
  <r>
    <x v="131"/>
    <x v="4"/>
    <x v="351"/>
    <x v="0"/>
    <x v="5"/>
    <x v="1297"/>
    <x v="25"/>
    <s v="POS"/>
    <n v="1"/>
    <n v="100"/>
    <n v="100"/>
    <n v="0"/>
    <m/>
    <m/>
    <m/>
    <m/>
    <n v="0"/>
    <n v="0"/>
    <n v="54891.818997470873"/>
  </r>
  <r>
    <x v="131"/>
    <x v="4"/>
    <x v="98"/>
    <x v="0"/>
    <x v="5"/>
    <x v="1298"/>
    <x v="25"/>
    <s v="POS"/>
    <n v="0.155"/>
    <n v="800"/>
    <n v="124"/>
    <n v="0"/>
    <m/>
    <m/>
    <m/>
    <m/>
    <n v="0"/>
    <n v="0"/>
    <n v="54891.818997470873"/>
  </r>
  <r>
    <x v="131"/>
    <x v="4"/>
    <x v="248"/>
    <x v="0"/>
    <x v="5"/>
    <x v="1298"/>
    <x v="25"/>
    <s v="POS"/>
    <n v="0.156"/>
    <n v="690"/>
    <n v="107.64"/>
    <n v="0"/>
    <m/>
    <m/>
    <m/>
    <m/>
    <n v="0"/>
    <n v="0"/>
    <n v="54891.818997470873"/>
  </r>
  <r>
    <x v="131"/>
    <x v="4"/>
    <x v="73"/>
    <x v="0"/>
    <x v="5"/>
    <x v="1298"/>
    <x v="25"/>
    <s v="POS"/>
    <n v="0.23"/>
    <n v="950"/>
    <n v="218.5"/>
    <n v="0"/>
    <m/>
    <m/>
    <m/>
    <m/>
    <n v="0"/>
    <n v="0"/>
    <n v="54891.818997470873"/>
  </r>
  <r>
    <x v="131"/>
    <x v="4"/>
    <x v="89"/>
    <x v="0"/>
    <x v="5"/>
    <x v="1298"/>
    <x v="25"/>
    <s v="POS"/>
    <n v="0.12"/>
    <n v="920"/>
    <n v="110.39999999999999"/>
    <n v="0"/>
    <m/>
    <m/>
    <m/>
    <m/>
    <n v="0"/>
    <n v="0"/>
    <n v="54891.818997470873"/>
  </r>
  <r>
    <x v="131"/>
    <x v="4"/>
    <x v="238"/>
    <x v="0"/>
    <x v="1"/>
    <x v="1299"/>
    <x v="25"/>
    <s v="NAKİT"/>
    <n v="0.39800000000000002"/>
    <n v="340"/>
    <n v="0"/>
    <n v="0"/>
    <m/>
    <m/>
    <m/>
    <m/>
    <n v="135.32"/>
    <n v="0"/>
    <n v="55027.138997470873"/>
  </r>
  <r>
    <x v="131"/>
    <x v="4"/>
    <x v="72"/>
    <x v="0"/>
    <x v="1"/>
    <x v="1300"/>
    <x v="25"/>
    <s v="NAKİT"/>
    <n v="0.05"/>
    <n v="1400"/>
    <n v="0"/>
    <n v="0"/>
    <m/>
    <m/>
    <m/>
    <m/>
    <n v="70"/>
    <n v="0"/>
    <n v="55097.138997470873"/>
  </r>
  <r>
    <x v="131"/>
    <x v="4"/>
    <x v="59"/>
    <x v="0"/>
    <x v="1"/>
    <x v="1301"/>
    <x v="25"/>
    <s v="NAKİT"/>
    <n v="0.53400000000000003"/>
    <n v="450"/>
    <n v="0"/>
    <n v="0"/>
    <m/>
    <m/>
    <m/>
    <m/>
    <n v="240.3"/>
    <n v="0"/>
    <n v="55337.438997470876"/>
  </r>
  <r>
    <x v="131"/>
    <x v="4"/>
    <x v="279"/>
    <x v="0"/>
    <x v="1"/>
    <x v="1302"/>
    <x v="25"/>
    <s v="NAKİT"/>
    <n v="1"/>
    <n v="130"/>
    <n v="0"/>
    <n v="0"/>
    <m/>
    <m/>
    <m/>
    <m/>
    <n v="130"/>
    <n v="0"/>
    <n v="55467.438997470876"/>
  </r>
  <r>
    <x v="131"/>
    <x v="4"/>
    <x v="16"/>
    <x v="0"/>
    <x v="1"/>
    <x v="1302"/>
    <x v="25"/>
    <s v="NAKİT"/>
    <n v="1"/>
    <n v="165"/>
    <n v="0"/>
    <n v="0"/>
    <m/>
    <m/>
    <m/>
    <m/>
    <n v="165"/>
    <n v="0"/>
    <n v="55632.438997470876"/>
  </r>
  <r>
    <x v="131"/>
    <x v="4"/>
    <x v="136"/>
    <x v="0"/>
    <x v="1"/>
    <x v="1302"/>
    <x v="25"/>
    <s v="NAKİT"/>
    <n v="1"/>
    <n v="140"/>
    <n v="0"/>
    <n v="0"/>
    <m/>
    <m/>
    <m/>
    <m/>
    <n v="140"/>
    <n v="0"/>
    <n v="55772.438997470876"/>
  </r>
  <r>
    <x v="131"/>
    <x v="4"/>
    <x v="356"/>
    <x v="0"/>
    <x v="1"/>
    <x v="1302"/>
    <x v="25"/>
    <s v="NAKİT"/>
    <n v="1"/>
    <n v="10"/>
    <n v="0"/>
    <n v="0"/>
    <m/>
    <m/>
    <m/>
    <m/>
    <n v="10"/>
    <n v="0"/>
    <n v="55782.438997470876"/>
  </r>
  <r>
    <x v="131"/>
    <x v="4"/>
    <x v="56"/>
    <x v="0"/>
    <x v="5"/>
    <x v="1303"/>
    <x v="25"/>
    <s v="POS"/>
    <n v="1"/>
    <n v="200"/>
    <n v="200"/>
    <n v="0"/>
    <m/>
    <m/>
    <m/>
    <m/>
    <n v="0"/>
    <n v="0"/>
    <n v="55782.438997470876"/>
  </r>
  <r>
    <x v="131"/>
    <x v="4"/>
    <x v="57"/>
    <x v="0"/>
    <x v="5"/>
    <x v="1303"/>
    <x v="25"/>
    <s v="POS"/>
    <n v="1"/>
    <n v="150"/>
    <n v="150"/>
    <n v="0"/>
    <m/>
    <m/>
    <m/>
    <m/>
    <n v="0"/>
    <n v="0"/>
    <n v="55782.438997470876"/>
  </r>
  <r>
    <x v="131"/>
    <x v="4"/>
    <x v="240"/>
    <x v="0"/>
    <x v="5"/>
    <x v="1303"/>
    <x v="25"/>
    <s v="POS"/>
    <n v="0.218"/>
    <n v="230"/>
    <n v="50.14"/>
    <n v="0"/>
    <m/>
    <m/>
    <m/>
    <m/>
    <n v="0"/>
    <n v="0"/>
    <n v="55782.438997470876"/>
  </r>
  <r>
    <x v="131"/>
    <x v="4"/>
    <x v="273"/>
    <x v="0"/>
    <x v="1"/>
    <x v="1304"/>
    <x v="25"/>
    <s v="NAKİT"/>
    <n v="0.34399999999999997"/>
    <n v="291"/>
    <n v="0"/>
    <n v="0"/>
    <m/>
    <m/>
    <m/>
    <m/>
    <n v="100.10399999999998"/>
    <n v="0"/>
    <n v="55882.542997470875"/>
  </r>
  <r>
    <x v="131"/>
    <x v="7"/>
    <x v="0"/>
    <x v="0"/>
    <x v="4"/>
    <x v="2"/>
    <x v="104"/>
    <s v="NAKİT"/>
    <n v="1"/>
    <n v="0"/>
    <n v="10000"/>
    <n v="0"/>
    <n v="0"/>
    <n v="20000"/>
    <m/>
    <m/>
    <n v="0"/>
    <n v="10000"/>
    <n v="45882.542997470875"/>
  </r>
  <r>
    <x v="131"/>
    <x v="10"/>
    <x v="0"/>
    <x v="0"/>
    <x v="5"/>
    <x v="2"/>
    <x v="63"/>
    <s v="POS"/>
    <n v="1"/>
    <n v="520"/>
    <n v="0"/>
    <n v="520"/>
    <m/>
    <m/>
    <m/>
    <m/>
    <n v="520"/>
    <n v="0"/>
    <n v="46402.542997470875"/>
  </r>
  <r>
    <x v="131"/>
    <x v="10"/>
    <x v="0"/>
    <x v="0"/>
    <x v="5"/>
    <x v="2"/>
    <x v="63"/>
    <s v="POS"/>
    <n v="1"/>
    <n v="720"/>
    <n v="0"/>
    <n v="720"/>
    <m/>
    <m/>
    <m/>
    <m/>
    <n v="720"/>
    <n v="0"/>
    <n v="47122.542997470875"/>
  </r>
  <r>
    <x v="132"/>
    <x v="4"/>
    <x v="111"/>
    <x v="0"/>
    <x v="5"/>
    <x v="1305"/>
    <x v="25"/>
    <s v="POS"/>
    <n v="9.1428571428571428E-2"/>
    <n v="350"/>
    <n v="32"/>
    <n v="0"/>
    <m/>
    <m/>
    <m/>
    <m/>
    <n v="0"/>
    <n v="0"/>
    <n v="47122.542997470875"/>
  </r>
  <r>
    <x v="132"/>
    <x v="4"/>
    <x v="59"/>
    <x v="0"/>
    <x v="1"/>
    <x v="1306"/>
    <x v="25"/>
    <s v="NAKİT"/>
    <n v="0.22222222222222221"/>
    <n v="450"/>
    <n v="0"/>
    <n v="0"/>
    <m/>
    <m/>
    <m/>
    <m/>
    <n v="100"/>
    <n v="0"/>
    <n v="47222.542997470875"/>
  </r>
  <r>
    <x v="132"/>
    <x v="4"/>
    <x v="356"/>
    <x v="0"/>
    <x v="1"/>
    <x v="1307"/>
    <x v="25"/>
    <s v="NAKİT"/>
    <n v="2"/>
    <n v="10"/>
    <n v="0"/>
    <n v="0"/>
    <m/>
    <m/>
    <m/>
    <m/>
    <n v="20"/>
    <n v="0"/>
    <n v="47242.542997470875"/>
  </r>
  <r>
    <x v="132"/>
    <x v="4"/>
    <x v="29"/>
    <x v="0"/>
    <x v="1"/>
    <x v="1308"/>
    <x v="25"/>
    <s v="NAKİT"/>
    <n v="6.6666666666666666E-2"/>
    <n v="750"/>
    <n v="0"/>
    <n v="0"/>
    <m/>
    <m/>
    <m/>
    <m/>
    <n v="50"/>
    <n v="0"/>
    <n v="47292.542997470875"/>
  </r>
  <r>
    <x v="132"/>
    <x v="4"/>
    <x v="27"/>
    <x v="0"/>
    <x v="1"/>
    <x v="1308"/>
    <x v="25"/>
    <s v="NAKİT"/>
    <n v="0.125"/>
    <n v="400"/>
    <n v="0"/>
    <n v="0"/>
    <m/>
    <m/>
    <m/>
    <m/>
    <n v="50"/>
    <n v="0"/>
    <n v="47342.542997470875"/>
  </r>
  <r>
    <x v="132"/>
    <x v="4"/>
    <x v="248"/>
    <x v="0"/>
    <x v="1"/>
    <x v="1309"/>
    <x v="25"/>
    <s v="NAKİT"/>
    <n v="0.43478260869565216"/>
    <n v="690"/>
    <n v="0"/>
    <n v="0"/>
    <m/>
    <m/>
    <m/>
    <m/>
    <n v="300"/>
    <n v="0"/>
    <n v="47642.542997470875"/>
  </r>
  <r>
    <x v="132"/>
    <x v="4"/>
    <x v="360"/>
    <x v="0"/>
    <x v="1"/>
    <x v="1310"/>
    <x v="25"/>
    <s v="NAKİT"/>
    <n v="0.25"/>
    <n v="600"/>
    <n v="0"/>
    <n v="0"/>
    <m/>
    <m/>
    <m/>
    <m/>
    <n v="150"/>
    <n v="0"/>
    <n v="47792.542997470875"/>
  </r>
  <r>
    <x v="132"/>
    <x v="4"/>
    <x v="344"/>
    <x v="0"/>
    <x v="1"/>
    <x v="1311"/>
    <x v="25"/>
    <s v="NAKİT"/>
    <n v="0.14888888888888888"/>
    <n v="450"/>
    <n v="0"/>
    <n v="0"/>
    <m/>
    <m/>
    <m/>
    <m/>
    <n v="67"/>
    <n v="0"/>
    <n v="47859.542997470875"/>
  </r>
  <r>
    <x v="132"/>
    <x v="4"/>
    <x v="21"/>
    <x v="0"/>
    <x v="1"/>
    <x v="1312"/>
    <x v="25"/>
    <s v="NAKİT"/>
    <n v="0.3"/>
    <n v="250"/>
    <n v="0"/>
    <n v="0"/>
    <m/>
    <m/>
    <m/>
    <m/>
    <n v="75"/>
    <n v="0"/>
    <n v="47934.542997470875"/>
  </r>
  <r>
    <x v="132"/>
    <x v="4"/>
    <x v="58"/>
    <x v="0"/>
    <x v="1"/>
    <x v="1312"/>
    <x v="25"/>
    <s v="NAKİT"/>
    <n v="0.22"/>
    <n v="230"/>
    <n v="0"/>
    <n v="0"/>
    <m/>
    <m/>
    <m/>
    <m/>
    <n v="50.6"/>
    <n v="0"/>
    <n v="47985.142997470874"/>
  </r>
  <r>
    <x v="132"/>
    <x v="4"/>
    <x v="18"/>
    <x v="0"/>
    <x v="1"/>
    <x v="1312"/>
    <x v="25"/>
    <s v="NAKİT"/>
    <n v="0.5"/>
    <n v="250"/>
    <n v="0"/>
    <n v="0"/>
    <m/>
    <m/>
    <m/>
    <m/>
    <n v="125"/>
    <n v="0"/>
    <n v="48110.142997470874"/>
  </r>
  <r>
    <x v="132"/>
    <x v="4"/>
    <x v="283"/>
    <x v="0"/>
    <x v="5"/>
    <x v="1313"/>
    <x v="25"/>
    <s v="POS"/>
    <n v="1"/>
    <n v="225"/>
    <n v="225"/>
    <n v="0"/>
    <m/>
    <m/>
    <m/>
    <m/>
    <n v="0"/>
    <n v="0"/>
    <n v="48110.142997470874"/>
  </r>
  <r>
    <x v="132"/>
    <x v="4"/>
    <x v="284"/>
    <x v="0"/>
    <x v="5"/>
    <x v="1313"/>
    <x v="25"/>
    <s v="POS"/>
    <n v="1"/>
    <n v="390"/>
    <n v="390"/>
    <n v="0"/>
    <m/>
    <m/>
    <m/>
    <m/>
    <n v="0"/>
    <n v="0"/>
    <n v="48110.142997470874"/>
  </r>
  <r>
    <x v="132"/>
    <x v="4"/>
    <x v="312"/>
    <x v="0"/>
    <x v="1"/>
    <x v="1313"/>
    <x v="25"/>
    <s v="NAKİT"/>
    <n v="0.5"/>
    <n v="300"/>
    <n v="0"/>
    <n v="0"/>
    <m/>
    <m/>
    <m/>
    <m/>
    <n v="150"/>
    <n v="0"/>
    <n v="48260.142997470874"/>
  </r>
  <r>
    <x v="132"/>
    <x v="4"/>
    <x v="132"/>
    <x v="0"/>
    <x v="1"/>
    <x v="1314"/>
    <x v="25"/>
    <s v="NAKİT"/>
    <n v="1"/>
    <n v="190"/>
    <n v="0"/>
    <n v="0"/>
    <m/>
    <m/>
    <m/>
    <m/>
    <n v="190"/>
    <n v="0"/>
    <n v="48450.142997470874"/>
  </r>
  <r>
    <x v="132"/>
    <x v="4"/>
    <x v="94"/>
    <x v="0"/>
    <x v="5"/>
    <x v="1315"/>
    <x v="25"/>
    <s v="POS"/>
    <n v="0.1"/>
    <n v="2000"/>
    <n v="200"/>
    <n v="0"/>
    <m/>
    <m/>
    <m/>
    <m/>
    <n v="0"/>
    <n v="0"/>
    <n v="48450.142997470874"/>
  </r>
  <r>
    <x v="132"/>
    <x v="4"/>
    <x v="141"/>
    <x v="0"/>
    <x v="5"/>
    <x v="1316"/>
    <x v="25"/>
    <s v="POS"/>
    <n v="1"/>
    <n v="130"/>
    <n v="130"/>
    <n v="0"/>
    <m/>
    <m/>
    <m/>
    <m/>
    <n v="0"/>
    <n v="0"/>
    <n v="48450.142997470874"/>
  </r>
  <r>
    <x v="132"/>
    <x v="4"/>
    <x v="377"/>
    <x v="0"/>
    <x v="5"/>
    <x v="1316"/>
    <x v="25"/>
    <s v="POS"/>
    <n v="1"/>
    <n v="100"/>
    <n v="100"/>
    <n v="0"/>
    <m/>
    <m/>
    <m/>
    <m/>
    <n v="0"/>
    <n v="0"/>
    <n v="48450.142997470874"/>
  </r>
  <r>
    <x v="132"/>
    <x v="10"/>
    <x v="0"/>
    <x v="0"/>
    <x v="5"/>
    <x v="2"/>
    <x v="63"/>
    <s v="POS"/>
    <n v="1"/>
    <n v="950"/>
    <n v="0"/>
    <n v="950"/>
    <m/>
    <m/>
    <m/>
    <m/>
    <n v="950"/>
    <n v="0"/>
    <n v="49400.142997470874"/>
  </r>
  <r>
    <x v="133"/>
    <x v="4"/>
    <x v="18"/>
    <x v="0"/>
    <x v="1"/>
    <x v="1317"/>
    <x v="25"/>
    <s v="NAKİT"/>
    <n v="1"/>
    <n v="250"/>
    <n v="0"/>
    <n v="0"/>
    <m/>
    <m/>
    <m/>
    <m/>
    <n v="250"/>
    <n v="0"/>
    <n v="49650.142997470874"/>
  </r>
  <r>
    <x v="133"/>
    <x v="4"/>
    <x v="18"/>
    <x v="0"/>
    <x v="5"/>
    <x v="1318"/>
    <x v="25"/>
    <s v="POS"/>
    <n v="0.5"/>
    <n v="250"/>
    <n v="125"/>
    <n v="0"/>
    <m/>
    <m/>
    <m/>
    <m/>
    <n v="0"/>
    <n v="0"/>
    <n v="49650.142997470874"/>
  </r>
  <r>
    <x v="133"/>
    <x v="4"/>
    <x v="58"/>
    <x v="0"/>
    <x v="5"/>
    <x v="1318"/>
    <x v="25"/>
    <s v="POS"/>
    <n v="0.5"/>
    <n v="230"/>
    <n v="115"/>
    <n v="0"/>
    <m/>
    <m/>
    <m/>
    <m/>
    <n v="0"/>
    <n v="0"/>
    <n v="49650.142997470874"/>
  </r>
  <r>
    <x v="133"/>
    <x v="4"/>
    <x v="360"/>
    <x v="0"/>
    <x v="5"/>
    <x v="1318"/>
    <x v="25"/>
    <s v="POS"/>
    <n v="0.25"/>
    <n v="600"/>
    <n v="150"/>
    <n v="0"/>
    <m/>
    <m/>
    <m/>
    <m/>
    <n v="0"/>
    <n v="0"/>
    <n v="49650.142997470874"/>
  </r>
  <r>
    <x v="133"/>
    <x v="4"/>
    <x v="312"/>
    <x v="0"/>
    <x v="5"/>
    <x v="1318"/>
    <x v="25"/>
    <s v="POS"/>
    <n v="0.5"/>
    <n v="300"/>
    <n v="150"/>
    <n v="0"/>
    <m/>
    <m/>
    <m/>
    <m/>
    <n v="0"/>
    <n v="0"/>
    <n v="49650.142997470874"/>
  </r>
  <r>
    <x v="133"/>
    <x v="4"/>
    <x v="38"/>
    <x v="0"/>
    <x v="1"/>
    <x v="1319"/>
    <x v="25"/>
    <s v="NAKİT"/>
    <n v="0.2"/>
    <n v="650"/>
    <n v="0"/>
    <n v="0"/>
    <m/>
    <m/>
    <m/>
    <m/>
    <n v="130"/>
    <n v="0"/>
    <n v="49780.142997470874"/>
  </r>
  <r>
    <x v="133"/>
    <x v="4"/>
    <x v="24"/>
    <x v="0"/>
    <x v="1"/>
    <x v="1319"/>
    <x v="25"/>
    <s v="NAKİT"/>
    <n v="7.6923076923076927E-2"/>
    <n v="650"/>
    <n v="0"/>
    <n v="0"/>
    <m/>
    <m/>
    <m/>
    <m/>
    <n v="50"/>
    <n v="0"/>
    <n v="49830.142997470874"/>
  </r>
  <r>
    <x v="133"/>
    <x v="4"/>
    <x v="259"/>
    <x v="0"/>
    <x v="1"/>
    <x v="1320"/>
    <x v="25"/>
    <s v="NAKİT"/>
    <n v="2"/>
    <n v="100"/>
    <n v="0"/>
    <n v="0"/>
    <m/>
    <m/>
    <m/>
    <m/>
    <n v="200"/>
    <n v="0"/>
    <n v="50030.142997470874"/>
  </r>
  <r>
    <x v="133"/>
    <x v="4"/>
    <x v="28"/>
    <x v="0"/>
    <x v="1"/>
    <x v="1321"/>
    <x v="25"/>
    <s v="NAKİT"/>
    <n v="0.2"/>
    <n v="500"/>
    <n v="0"/>
    <n v="0"/>
    <m/>
    <m/>
    <m/>
    <m/>
    <n v="100"/>
    <n v="0"/>
    <n v="50130.142997470874"/>
  </r>
  <r>
    <x v="133"/>
    <x v="4"/>
    <x v="100"/>
    <x v="0"/>
    <x v="1"/>
    <x v="1321"/>
    <x v="25"/>
    <s v="NAKİT"/>
    <n v="0.26666666666666666"/>
    <n v="750"/>
    <n v="0"/>
    <n v="0"/>
    <m/>
    <m/>
    <m/>
    <m/>
    <n v="200"/>
    <n v="0"/>
    <n v="50330.142997470874"/>
  </r>
  <r>
    <x v="133"/>
    <x v="4"/>
    <x v="303"/>
    <x v="0"/>
    <x v="1"/>
    <x v="1322"/>
    <x v="25"/>
    <s v="NAKİT"/>
    <n v="1"/>
    <n v="400"/>
    <n v="0"/>
    <n v="0"/>
    <m/>
    <m/>
    <m/>
    <m/>
    <n v="400"/>
    <n v="0"/>
    <n v="50730.142997470874"/>
  </r>
  <r>
    <x v="133"/>
    <x v="10"/>
    <x v="0"/>
    <x v="0"/>
    <x v="5"/>
    <x v="2"/>
    <x v="63"/>
    <s v="POS"/>
    <n v="1"/>
    <n v="950"/>
    <n v="0"/>
    <n v="950"/>
    <m/>
    <m/>
    <m/>
    <m/>
    <n v="950"/>
    <n v="0"/>
    <n v="51680.142997470874"/>
  </r>
  <r>
    <x v="133"/>
    <x v="10"/>
    <x v="0"/>
    <x v="0"/>
    <x v="5"/>
    <x v="2"/>
    <x v="63"/>
    <s v="POS"/>
    <n v="1"/>
    <n v="1635"/>
    <n v="0"/>
    <n v="1635"/>
    <m/>
    <m/>
    <m/>
    <m/>
    <n v="1635"/>
    <n v="0"/>
    <n v="53315.142997470874"/>
  </r>
  <r>
    <x v="134"/>
    <x v="3"/>
    <x v="395"/>
    <x v="0"/>
    <x v="4"/>
    <x v="1323"/>
    <x v="32"/>
    <s v="CARİ"/>
    <n v="5"/>
    <n v="31"/>
    <n v="0"/>
    <n v="155"/>
    <m/>
    <m/>
    <m/>
    <m/>
    <n v="0"/>
    <n v="0"/>
    <n v="53315.142997470874"/>
  </r>
  <r>
    <x v="134"/>
    <x v="3"/>
    <x v="283"/>
    <x v="0"/>
    <x v="4"/>
    <x v="1323"/>
    <x v="32"/>
    <s v="CARİ"/>
    <n v="6"/>
    <n v="195"/>
    <n v="0"/>
    <n v="1170"/>
    <m/>
    <m/>
    <m/>
    <m/>
    <n v="0"/>
    <n v="0"/>
    <n v="53315.142997470874"/>
  </r>
  <r>
    <x v="134"/>
    <x v="3"/>
    <x v="151"/>
    <x v="0"/>
    <x v="4"/>
    <x v="1323"/>
    <x v="32"/>
    <s v="CARİ"/>
    <n v="3"/>
    <n v="265"/>
    <n v="0"/>
    <n v="795"/>
    <m/>
    <m/>
    <m/>
    <m/>
    <n v="0"/>
    <n v="0"/>
    <n v="53315.142997470874"/>
  </r>
  <r>
    <x v="134"/>
    <x v="3"/>
    <x v="238"/>
    <x v="0"/>
    <x v="4"/>
    <x v="1323"/>
    <x v="32"/>
    <s v="CARİ"/>
    <n v="10"/>
    <n v="225"/>
    <n v="0"/>
    <n v="2250"/>
    <m/>
    <m/>
    <m/>
    <m/>
    <n v="0"/>
    <n v="0"/>
    <n v="53315.142997470874"/>
  </r>
  <r>
    <x v="134"/>
    <x v="3"/>
    <x v="273"/>
    <x v="0"/>
    <x v="4"/>
    <x v="1323"/>
    <x v="32"/>
    <s v="CARİ"/>
    <n v="3"/>
    <n v="180"/>
    <n v="0"/>
    <n v="540"/>
    <m/>
    <m/>
    <m/>
    <m/>
    <n v="0"/>
    <n v="0"/>
    <n v="53315.142997470874"/>
  </r>
  <r>
    <x v="134"/>
    <x v="3"/>
    <x v="99"/>
    <x v="0"/>
    <x v="4"/>
    <x v="1323"/>
    <x v="32"/>
    <s v="CARİ"/>
    <n v="2"/>
    <n v="150"/>
    <n v="0"/>
    <n v="300"/>
    <m/>
    <m/>
    <m/>
    <m/>
    <n v="0"/>
    <n v="0"/>
    <n v="53315.142997470874"/>
  </r>
  <r>
    <x v="134"/>
    <x v="3"/>
    <x v="396"/>
    <x v="0"/>
    <x v="4"/>
    <x v="1323"/>
    <x v="32"/>
    <s v="CARİ"/>
    <n v="5"/>
    <n v="32"/>
    <n v="0"/>
    <n v="160"/>
    <m/>
    <m/>
    <m/>
    <m/>
    <n v="0"/>
    <n v="0"/>
    <n v="53315.142997470874"/>
  </r>
  <r>
    <x v="134"/>
    <x v="3"/>
    <x v="52"/>
    <x v="0"/>
    <x v="4"/>
    <x v="1323"/>
    <x v="32"/>
    <s v="CARİ"/>
    <n v="3"/>
    <n v="110"/>
    <n v="0"/>
    <n v="330"/>
    <m/>
    <m/>
    <m/>
    <m/>
    <n v="0"/>
    <n v="0"/>
    <n v="53315.142997470874"/>
  </r>
  <r>
    <x v="134"/>
    <x v="3"/>
    <x v="397"/>
    <x v="0"/>
    <x v="4"/>
    <x v="1323"/>
    <x v="32"/>
    <s v="CARİ"/>
    <n v="1"/>
    <n v="305"/>
    <n v="0"/>
    <n v="305"/>
    <m/>
    <m/>
    <m/>
    <m/>
    <n v="0"/>
    <n v="0"/>
    <n v="53315.142997470874"/>
  </r>
  <r>
    <x v="134"/>
    <x v="3"/>
    <x v="398"/>
    <x v="0"/>
    <x v="4"/>
    <x v="1323"/>
    <x v="32"/>
    <s v="CARİ"/>
    <n v="3"/>
    <n v="270"/>
    <n v="0"/>
    <n v="810"/>
    <m/>
    <m/>
    <m/>
    <m/>
    <n v="0"/>
    <n v="0"/>
    <n v="53315.142997470874"/>
  </r>
  <r>
    <x v="134"/>
    <x v="4"/>
    <x v="48"/>
    <x v="0"/>
    <x v="5"/>
    <x v="1324"/>
    <x v="25"/>
    <s v="POS"/>
    <n v="0.05"/>
    <n v="1500"/>
    <n v="75"/>
    <n v="0"/>
    <m/>
    <m/>
    <m/>
    <m/>
    <n v="0"/>
    <n v="0"/>
    <n v="53315.142997470874"/>
  </r>
  <r>
    <x v="134"/>
    <x v="4"/>
    <x v="59"/>
    <x v="0"/>
    <x v="1"/>
    <x v="1325"/>
    <x v="25"/>
    <s v="NAKİT"/>
    <n v="0.22222222222222221"/>
    <n v="450"/>
    <n v="0"/>
    <n v="0"/>
    <m/>
    <m/>
    <m/>
    <m/>
    <n v="100"/>
    <n v="0"/>
    <n v="53415.142997470874"/>
  </r>
  <r>
    <x v="134"/>
    <x v="4"/>
    <x v="179"/>
    <x v="0"/>
    <x v="5"/>
    <x v="1326"/>
    <x v="25"/>
    <s v="POS"/>
    <n v="0.23529411764705882"/>
    <n v="850"/>
    <n v="200"/>
    <n v="0"/>
    <m/>
    <m/>
    <m/>
    <m/>
    <n v="0"/>
    <n v="0"/>
    <n v="53415.142997470874"/>
  </r>
  <r>
    <x v="134"/>
    <x v="4"/>
    <x v="238"/>
    <x v="0"/>
    <x v="5"/>
    <x v="1326"/>
    <x v="25"/>
    <s v="POS"/>
    <n v="0.38235294117647056"/>
    <n v="262"/>
    <n v="100.17647058823529"/>
    <n v="0"/>
    <m/>
    <m/>
    <m/>
    <m/>
    <n v="0"/>
    <n v="0"/>
    <n v="53415.142997470874"/>
  </r>
  <r>
    <x v="134"/>
    <x v="4"/>
    <x v="27"/>
    <x v="0"/>
    <x v="5"/>
    <x v="1327"/>
    <x v="25"/>
    <s v="POS"/>
    <n v="7.1999999999999995E-2"/>
    <n v="400"/>
    <n v="28.799999999999997"/>
    <n v="0"/>
    <m/>
    <m/>
    <m/>
    <m/>
    <n v="0"/>
    <n v="0"/>
    <n v="53415.142997470874"/>
  </r>
  <r>
    <x v="134"/>
    <x v="4"/>
    <x v="25"/>
    <x v="0"/>
    <x v="5"/>
    <x v="1327"/>
    <x v="25"/>
    <s v="POS"/>
    <n v="0.11600000000000001"/>
    <n v="400"/>
    <n v="46.400000000000006"/>
    <n v="0"/>
    <m/>
    <m/>
    <m/>
    <m/>
    <n v="0"/>
    <n v="0"/>
    <n v="53415.142997470874"/>
  </r>
  <r>
    <x v="134"/>
    <x v="4"/>
    <x v="23"/>
    <x v="0"/>
    <x v="5"/>
    <x v="1327"/>
    <x v="25"/>
    <s v="POS"/>
    <n v="0.192"/>
    <n v="300"/>
    <n v="57.6"/>
    <n v="0"/>
    <m/>
    <m/>
    <m/>
    <m/>
    <n v="0"/>
    <n v="0"/>
    <n v="53415.142997470874"/>
  </r>
  <r>
    <x v="134"/>
    <x v="4"/>
    <x v="24"/>
    <x v="0"/>
    <x v="5"/>
    <x v="1327"/>
    <x v="25"/>
    <s v="POS"/>
    <n v="0.09"/>
    <n v="650"/>
    <n v="58.5"/>
    <n v="0"/>
    <m/>
    <m/>
    <m/>
    <m/>
    <n v="0"/>
    <n v="0"/>
    <n v="53415.142997470874"/>
  </r>
  <r>
    <x v="134"/>
    <x v="4"/>
    <x v="52"/>
    <x v="0"/>
    <x v="5"/>
    <x v="1327"/>
    <x v="25"/>
    <s v="POS"/>
    <n v="0.1"/>
    <n v="400"/>
    <n v="40"/>
    <n v="0"/>
    <m/>
    <m/>
    <m/>
    <m/>
    <n v="0"/>
    <n v="0"/>
    <n v="53415.142997470874"/>
  </r>
  <r>
    <x v="134"/>
    <x v="4"/>
    <x v="54"/>
    <x v="0"/>
    <x v="5"/>
    <x v="1327"/>
    <x v="25"/>
    <s v="POS"/>
    <n v="0.1"/>
    <n v="400"/>
    <n v="40"/>
    <n v="0"/>
    <m/>
    <m/>
    <m/>
    <m/>
    <n v="0"/>
    <n v="0"/>
    <n v="53415.142997470874"/>
  </r>
  <r>
    <x v="134"/>
    <x v="4"/>
    <x v="156"/>
    <x v="0"/>
    <x v="5"/>
    <x v="1328"/>
    <x v="25"/>
    <s v="POS"/>
    <n v="0.5"/>
    <n v="80"/>
    <n v="40"/>
    <n v="0"/>
    <m/>
    <m/>
    <m/>
    <m/>
    <n v="0"/>
    <n v="0"/>
    <n v="53415.142997470874"/>
  </r>
  <r>
    <x v="134"/>
    <x v="4"/>
    <x v="166"/>
    <x v="0"/>
    <x v="5"/>
    <x v="1328"/>
    <x v="25"/>
    <s v="POS"/>
    <n v="1"/>
    <n v="50"/>
    <n v="50"/>
    <n v="0"/>
    <m/>
    <m/>
    <m/>
    <m/>
    <n v="0"/>
    <n v="0"/>
    <n v="53415.142997470874"/>
  </r>
  <r>
    <x v="134"/>
    <x v="4"/>
    <x v="353"/>
    <x v="0"/>
    <x v="5"/>
    <x v="1328"/>
    <x v="25"/>
    <s v="POS"/>
    <n v="1"/>
    <n v="80"/>
    <n v="80"/>
    <n v="0"/>
    <m/>
    <m/>
    <m/>
    <m/>
    <n v="0"/>
    <n v="0"/>
    <n v="53415.142997470874"/>
  </r>
  <r>
    <x v="134"/>
    <x v="4"/>
    <x v="195"/>
    <x v="0"/>
    <x v="5"/>
    <x v="1328"/>
    <x v="25"/>
    <s v="POS"/>
    <n v="1"/>
    <n v="250"/>
    <n v="250"/>
    <n v="0"/>
    <m/>
    <m/>
    <m/>
    <m/>
    <n v="0"/>
    <n v="0"/>
    <n v="53415.142997470874"/>
  </r>
  <r>
    <x v="134"/>
    <x v="4"/>
    <x v="99"/>
    <x v="0"/>
    <x v="5"/>
    <x v="1329"/>
    <x v="25"/>
    <s v="POS"/>
    <n v="0.1"/>
    <n v="900"/>
    <n v="90"/>
    <n v="0"/>
    <m/>
    <m/>
    <m/>
    <m/>
    <n v="0"/>
    <n v="0"/>
    <n v="53415.142997470874"/>
  </r>
  <r>
    <x v="134"/>
    <x v="4"/>
    <x v="127"/>
    <x v="0"/>
    <x v="5"/>
    <x v="1329"/>
    <x v="25"/>
    <s v="POS"/>
    <n v="0.33800000000000002"/>
    <n v="670"/>
    <n v="226.46"/>
    <n v="0"/>
    <m/>
    <m/>
    <m/>
    <m/>
    <n v="0"/>
    <n v="0"/>
    <n v="53415.142997470874"/>
  </r>
  <r>
    <x v="134"/>
    <x v="4"/>
    <x v="306"/>
    <x v="0"/>
    <x v="5"/>
    <x v="1329"/>
    <x v="25"/>
    <s v="POS"/>
    <n v="0.13400000000000001"/>
    <n v="760"/>
    <n v="101.84"/>
    <n v="0"/>
    <m/>
    <m/>
    <m/>
    <m/>
    <n v="0"/>
    <n v="0"/>
    <n v="53415.142997470874"/>
  </r>
  <r>
    <x v="134"/>
    <x v="4"/>
    <x v="312"/>
    <x v="0"/>
    <x v="5"/>
    <x v="1330"/>
    <x v="25"/>
    <s v="POS"/>
    <n v="1"/>
    <n v="300"/>
    <n v="300"/>
    <n v="0"/>
    <m/>
    <m/>
    <m/>
    <m/>
    <n v="0"/>
    <n v="0"/>
    <n v="53415.142997470874"/>
  </r>
  <r>
    <x v="134"/>
    <x v="4"/>
    <x v="24"/>
    <x v="0"/>
    <x v="5"/>
    <x v="1330"/>
    <x v="25"/>
    <s v="POS"/>
    <n v="7.3846153846153853E-2"/>
    <n v="650"/>
    <n v="48.000000000000007"/>
    <n v="0"/>
    <m/>
    <m/>
    <m/>
    <m/>
    <n v="0"/>
    <n v="0"/>
    <n v="53415.142997470874"/>
  </r>
  <r>
    <x v="134"/>
    <x v="4"/>
    <x v="22"/>
    <x v="0"/>
    <x v="1"/>
    <x v="1331"/>
    <x v="25"/>
    <s v="NAKİT"/>
    <n v="0.125"/>
    <n v="400"/>
    <n v="0"/>
    <n v="0"/>
    <m/>
    <m/>
    <m/>
    <m/>
    <n v="50"/>
    <n v="0"/>
    <n v="53465.142997470874"/>
  </r>
  <r>
    <x v="134"/>
    <x v="4"/>
    <x v="360"/>
    <x v="0"/>
    <x v="5"/>
    <x v="1332"/>
    <x v="25"/>
    <s v="POS"/>
    <n v="0.5"/>
    <n v="600"/>
    <n v="300"/>
    <n v="0"/>
    <m/>
    <m/>
    <m/>
    <m/>
    <n v="0"/>
    <n v="0"/>
    <n v="53465.142997470874"/>
  </r>
  <r>
    <x v="134"/>
    <x v="10"/>
    <x v="0"/>
    <x v="0"/>
    <x v="5"/>
    <x v="2"/>
    <x v="63"/>
    <s v="POS"/>
    <n v="1"/>
    <n v="340"/>
    <n v="0"/>
    <n v="340"/>
    <m/>
    <m/>
    <m/>
    <m/>
    <n v="340"/>
    <n v="0"/>
    <n v="53805.142997470874"/>
  </r>
  <r>
    <x v="134"/>
    <x v="6"/>
    <x v="283"/>
    <x v="0"/>
    <x v="4"/>
    <x v="2"/>
    <x v="79"/>
    <s v="CARİ"/>
    <n v="6"/>
    <n v="195"/>
    <n v="1170"/>
    <n v="0"/>
    <m/>
    <m/>
    <m/>
    <m/>
    <n v="0"/>
    <n v="0"/>
    <n v="53805.142997470874"/>
  </r>
  <r>
    <x v="135"/>
    <x v="4"/>
    <x v="217"/>
    <x v="0"/>
    <x v="1"/>
    <x v="1333"/>
    <x v="25"/>
    <s v="NAKİT"/>
    <n v="2"/>
    <n v="220"/>
    <n v="0"/>
    <n v="0"/>
    <m/>
    <m/>
    <m/>
    <m/>
    <n v="440"/>
    <n v="0"/>
    <n v="54245.142997470874"/>
  </r>
  <r>
    <x v="135"/>
    <x v="4"/>
    <x v="49"/>
    <x v="0"/>
    <x v="1"/>
    <x v="1333"/>
    <x v="25"/>
    <s v="NAKİT"/>
    <n v="0.1"/>
    <n v="600"/>
    <n v="0"/>
    <n v="0"/>
    <m/>
    <m/>
    <m/>
    <m/>
    <n v="60"/>
    <n v="0"/>
    <n v="54305.142997470874"/>
  </r>
  <r>
    <x v="135"/>
    <x v="4"/>
    <x v="291"/>
    <x v="0"/>
    <x v="1"/>
    <x v="1333"/>
    <x v="25"/>
    <s v="NAKİT"/>
    <n v="1"/>
    <n v="290"/>
    <n v="0"/>
    <n v="0"/>
    <m/>
    <m/>
    <m/>
    <m/>
    <n v="290"/>
    <n v="0"/>
    <n v="54595.142997470874"/>
  </r>
  <r>
    <x v="135"/>
    <x v="4"/>
    <x v="50"/>
    <x v="0"/>
    <x v="5"/>
    <x v="1334"/>
    <x v="25"/>
    <s v="POS"/>
    <n v="0.1"/>
    <n v="650"/>
    <n v="65"/>
    <n v="0"/>
    <m/>
    <m/>
    <m/>
    <m/>
    <n v="0"/>
    <n v="0"/>
    <n v="54595.142997470874"/>
  </r>
  <r>
    <x v="135"/>
    <x v="4"/>
    <x v="238"/>
    <x v="0"/>
    <x v="5"/>
    <x v="1335"/>
    <x v="25"/>
    <s v="POS"/>
    <n v="0.38235294117647056"/>
    <n v="340"/>
    <n v="130"/>
    <n v="0"/>
    <m/>
    <m/>
    <m/>
    <m/>
    <n v="0"/>
    <n v="0"/>
    <n v="54595.142997470874"/>
  </r>
  <r>
    <x v="135"/>
    <x v="4"/>
    <x v="98"/>
    <x v="0"/>
    <x v="5"/>
    <x v="1335"/>
    <x v="25"/>
    <s v="POS"/>
    <n v="0.49375000000000002"/>
    <n v="800"/>
    <n v="395"/>
    <n v="0"/>
    <m/>
    <m/>
    <m/>
    <m/>
    <n v="0"/>
    <n v="0"/>
    <n v="54595.142997470874"/>
  </r>
  <r>
    <x v="135"/>
    <x v="4"/>
    <x v="18"/>
    <x v="0"/>
    <x v="1"/>
    <x v="1336"/>
    <x v="25"/>
    <s v="NAKİT"/>
    <n v="0.4"/>
    <n v="250"/>
    <n v="0"/>
    <n v="0"/>
    <m/>
    <m/>
    <m/>
    <m/>
    <n v="100"/>
    <n v="0"/>
    <n v="54695.142997470874"/>
  </r>
  <r>
    <x v="135"/>
    <x v="4"/>
    <x v="27"/>
    <x v="0"/>
    <x v="1"/>
    <x v="1337"/>
    <x v="25"/>
    <s v="NAKİT"/>
    <n v="0.25"/>
    <n v="400"/>
    <n v="0"/>
    <n v="0"/>
    <m/>
    <m/>
    <m/>
    <m/>
    <n v="100"/>
    <n v="0"/>
    <n v="54795.142997470874"/>
  </r>
  <r>
    <x v="135"/>
    <x v="4"/>
    <x v="233"/>
    <x v="0"/>
    <x v="1"/>
    <x v="1338"/>
    <x v="25"/>
    <s v="NAKİT"/>
    <n v="1"/>
    <n v="400"/>
    <n v="0"/>
    <n v="0"/>
    <m/>
    <m/>
    <m/>
    <m/>
    <n v="400"/>
    <n v="0"/>
    <n v="55195.142997470874"/>
  </r>
  <r>
    <x v="135"/>
    <x v="4"/>
    <x v="197"/>
    <x v="0"/>
    <x v="1"/>
    <x v="1339"/>
    <x v="25"/>
    <s v="NAKİT"/>
    <n v="1"/>
    <n v="200"/>
    <n v="0"/>
    <n v="0"/>
    <m/>
    <m/>
    <m/>
    <m/>
    <n v="200"/>
    <n v="0"/>
    <n v="55395.142997470874"/>
  </r>
  <r>
    <x v="135"/>
    <x v="4"/>
    <x v="56"/>
    <x v="0"/>
    <x v="1"/>
    <x v="1339"/>
    <x v="25"/>
    <s v="NAKİT"/>
    <n v="1"/>
    <n v="200"/>
    <n v="0"/>
    <n v="0"/>
    <m/>
    <m/>
    <m/>
    <m/>
    <n v="200"/>
    <n v="0"/>
    <n v="55595.142997470874"/>
  </r>
  <r>
    <x v="135"/>
    <x v="4"/>
    <x v="204"/>
    <x v="0"/>
    <x v="1"/>
    <x v="1340"/>
    <x v="25"/>
    <s v="NAKİT"/>
    <n v="2.5000000000000001E-2"/>
    <n v="800"/>
    <n v="0"/>
    <n v="0"/>
    <m/>
    <m/>
    <m/>
    <m/>
    <n v="20"/>
    <n v="0"/>
    <n v="55615.142997470874"/>
  </r>
  <r>
    <x v="135"/>
    <x v="4"/>
    <x v="30"/>
    <x v="0"/>
    <x v="5"/>
    <x v="1341"/>
    <x v="25"/>
    <s v="POS"/>
    <n v="0.112"/>
    <n v="500"/>
    <n v="56"/>
    <n v="0"/>
    <m/>
    <m/>
    <m/>
    <m/>
    <n v="0"/>
    <n v="0"/>
    <n v="55615.142997470874"/>
  </r>
  <r>
    <x v="135"/>
    <x v="4"/>
    <x v="25"/>
    <x v="0"/>
    <x v="5"/>
    <x v="1341"/>
    <x v="25"/>
    <s v="POS"/>
    <n v="8.2500000000000004E-2"/>
    <n v="400"/>
    <n v="33"/>
    <n v="0"/>
    <m/>
    <m/>
    <m/>
    <m/>
    <n v="0"/>
    <n v="0"/>
    <n v="55615.142997470874"/>
  </r>
  <r>
    <x v="135"/>
    <x v="4"/>
    <x v="27"/>
    <x v="0"/>
    <x v="5"/>
    <x v="1341"/>
    <x v="25"/>
    <s v="POS"/>
    <n v="4.4999999999999998E-2"/>
    <n v="400"/>
    <n v="18"/>
    <n v="0"/>
    <m/>
    <m/>
    <m/>
    <m/>
    <n v="0"/>
    <n v="0"/>
    <n v="55615.142997470874"/>
  </r>
  <r>
    <x v="135"/>
    <x v="4"/>
    <x v="150"/>
    <x v="0"/>
    <x v="5"/>
    <x v="1341"/>
    <x v="25"/>
    <s v="POS"/>
    <n v="0.56000000000000005"/>
    <n v="250"/>
    <n v="140"/>
    <n v="0"/>
    <m/>
    <m/>
    <m/>
    <m/>
    <n v="0"/>
    <n v="0"/>
    <n v="55615.142997470874"/>
  </r>
  <r>
    <x v="135"/>
    <x v="4"/>
    <x v="27"/>
    <x v="0"/>
    <x v="5"/>
    <x v="1342"/>
    <x v="25"/>
    <s v="POS"/>
    <n v="4.7500000000000001E-2"/>
    <n v="400"/>
    <n v="19"/>
    <n v="0"/>
    <m/>
    <m/>
    <m/>
    <m/>
    <n v="0"/>
    <n v="0"/>
    <n v="55615.142997470874"/>
  </r>
  <r>
    <x v="135"/>
    <x v="4"/>
    <x v="25"/>
    <x v="0"/>
    <x v="5"/>
    <x v="1342"/>
    <x v="25"/>
    <s v="POS"/>
    <n v="0.09"/>
    <n v="400"/>
    <n v="36"/>
    <n v="0"/>
    <m/>
    <m/>
    <m/>
    <m/>
    <n v="0"/>
    <n v="0"/>
    <n v="55615.142997470874"/>
  </r>
  <r>
    <x v="135"/>
    <x v="4"/>
    <x v="57"/>
    <x v="0"/>
    <x v="5"/>
    <x v="1342"/>
    <x v="25"/>
    <s v="POS"/>
    <n v="1"/>
    <n v="75"/>
    <n v="75"/>
    <n v="0"/>
    <m/>
    <m/>
    <m/>
    <m/>
    <n v="0"/>
    <n v="0"/>
    <n v="55615.142997470874"/>
  </r>
  <r>
    <x v="135"/>
    <x v="4"/>
    <x v="18"/>
    <x v="0"/>
    <x v="5"/>
    <x v="1342"/>
    <x v="25"/>
    <s v="POS"/>
    <n v="1"/>
    <n v="250"/>
    <n v="250"/>
    <n v="0"/>
    <m/>
    <m/>
    <m/>
    <m/>
    <n v="0"/>
    <n v="0"/>
    <n v="55615.142997470874"/>
  </r>
  <r>
    <x v="135"/>
    <x v="4"/>
    <x v="58"/>
    <x v="0"/>
    <x v="5"/>
    <x v="1342"/>
    <x v="25"/>
    <s v="POS"/>
    <n v="1"/>
    <n v="230"/>
    <n v="230"/>
    <n v="0"/>
    <m/>
    <m/>
    <m/>
    <m/>
    <n v="0"/>
    <n v="0"/>
    <n v="55615.142997470874"/>
  </r>
  <r>
    <x v="135"/>
    <x v="4"/>
    <x v="303"/>
    <x v="0"/>
    <x v="1"/>
    <x v="1343"/>
    <x v="25"/>
    <s v="NAKİT"/>
    <n v="1"/>
    <n v="440"/>
    <n v="0"/>
    <n v="0"/>
    <m/>
    <m/>
    <m/>
    <m/>
    <n v="440"/>
    <n v="0"/>
    <n v="56055.142997470874"/>
  </r>
  <r>
    <x v="135"/>
    <x v="4"/>
    <x v="398"/>
    <x v="0"/>
    <x v="1"/>
    <x v="1344"/>
    <x v="25"/>
    <s v="NAKİT"/>
    <n v="1"/>
    <n v="350"/>
    <n v="0"/>
    <n v="0"/>
    <m/>
    <m/>
    <m/>
    <m/>
    <n v="350"/>
    <n v="0"/>
    <n v="56405.142997470874"/>
  </r>
  <r>
    <x v="135"/>
    <x v="4"/>
    <x v="88"/>
    <x v="0"/>
    <x v="1"/>
    <x v="1344"/>
    <x v="25"/>
    <s v="NAKİT"/>
    <n v="0.1"/>
    <n v="1000"/>
    <n v="0"/>
    <n v="0"/>
    <m/>
    <m/>
    <m/>
    <m/>
    <n v="100"/>
    <n v="0"/>
    <n v="56505.142997470874"/>
  </r>
  <r>
    <x v="135"/>
    <x v="4"/>
    <x v="312"/>
    <x v="0"/>
    <x v="1"/>
    <x v="1345"/>
    <x v="25"/>
    <s v="NAKİT"/>
    <n v="1.5"/>
    <n v="300"/>
    <n v="0"/>
    <n v="0"/>
    <m/>
    <m/>
    <m/>
    <m/>
    <n v="450"/>
    <n v="0"/>
    <n v="56955.142997470874"/>
  </r>
  <r>
    <x v="135"/>
    <x v="4"/>
    <x v="397"/>
    <x v="0"/>
    <x v="1"/>
    <x v="1346"/>
    <x v="119"/>
    <s v="NAKİT"/>
    <n v="0.1"/>
    <n v="900"/>
    <n v="0"/>
    <n v="0"/>
    <m/>
    <m/>
    <m/>
    <m/>
    <n v="90"/>
    <n v="0"/>
    <n v="57045.142997470874"/>
  </r>
  <r>
    <x v="135"/>
    <x v="4"/>
    <x v="397"/>
    <x v="0"/>
    <x v="1"/>
    <x v="1347"/>
    <x v="25"/>
    <s v="NAKİT"/>
    <n v="0.1"/>
    <n v="900"/>
    <n v="0"/>
    <n v="0"/>
    <m/>
    <m/>
    <m/>
    <m/>
    <n v="90"/>
    <n v="0"/>
    <n v="57135.142997470874"/>
  </r>
  <r>
    <x v="135"/>
    <x v="4"/>
    <x v="69"/>
    <x v="0"/>
    <x v="1"/>
    <x v="1347"/>
    <x v="25"/>
    <s v="NAKİT"/>
    <n v="0.05"/>
    <n v="1000"/>
    <n v="0"/>
    <n v="0"/>
    <m/>
    <m/>
    <m/>
    <m/>
    <n v="50"/>
    <n v="0"/>
    <n v="57185.142997470874"/>
  </r>
  <r>
    <x v="135"/>
    <x v="10"/>
    <x v="0"/>
    <x v="0"/>
    <x v="5"/>
    <x v="2"/>
    <x v="63"/>
    <s v="POS"/>
    <n v="1"/>
    <n v="970"/>
    <n v="0"/>
    <n v="970"/>
    <m/>
    <m/>
    <m/>
    <m/>
    <n v="970"/>
    <n v="0"/>
    <n v="58155.142997470874"/>
  </r>
  <r>
    <x v="136"/>
    <x v="4"/>
    <x v="290"/>
    <x v="0"/>
    <x v="1"/>
    <x v="1348"/>
    <x v="25"/>
    <s v="NAKİT"/>
    <n v="1"/>
    <n v="205"/>
    <n v="0"/>
    <n v="0"/>
    <m/>
    <m/>
    <m/>
    <m/>
    <n v="205"/>
    <n v="0"/>
    <n v="58360.142997470874"/>
  </r>
  <r>
    <x v="136"/>
    <x v="4"/>
    <x v="93"/>
    <x v="0"/>
    <x v="1"/>
    <x v="1348"/>
    <x v="25"/>
    <s v="NAKİT"/>
    <n v="1"/>
    <n v="340"/>
    <n v="0"/>
    <n v="0"/>
    <m/>
    <m/>
    <m/>
    <m/>
    <n v="340"/>
    <n v="0"/>
    <n v="58700.142997470874"/>
  </r>
  <r>
    <x v="136"/>
    <x v="4"/>
    <x v="32"/>
    <x v="0"/>
    <x v="1"/>
    <x v="1348"/>
    <x v="25"/>
    <s v="NAKİT"/>
    <n v="0.35"/>
    <n v="350"/>
    <n v="0"/>
    <n v="0"/>
    <m/>
    <m/>
    <m/>
    <m/>
    <n v="122.49999999999999"/>
    <n v="0"/>
    <n v="58822.642997470874"/>
  </r>
  <r>
    <x v="136"/>
    <x v="4"/>
    <x v="28"/>
    <x v="0"/>
    <x v="1"/>
    <x v="1348"/>
    <x v="25"/>
    <s v="NAKİT"/>
    <n v="0.23799999999999999"/>
    <n v="500"/>
    <n v="0"/>
    <n v="0"/>
    <m/>
    <m/>
    <m/>
    <m/>
    <n v="119"/>
    <n v="0"/>
    <n v="58941.642997470874"/>
  </r>
  <r>
    <x v="136"/>
    <x v="4"/>
    <x v="25"/>
    <x v="0"/>
    <x v="1"/>
    <x v="1348"/>
    <x v="25"/>
    <s v="NAKİT"/>
    <n v="0.78"/>
    <n v="400"/>
    <n v="0"/>
    <n v="0"/>
    <m/>
    <m/>
    <m/>
    <m/>
    <n v="312"/>
    <n v="0"/>
    <n v="59253.642997470874"/>
  </r>
  <r>
    <x v="136"/>
    <x v="4"/>
    <x v="142"/>
    <x v="0"/>
    <x v="1"/>
    <x v="1348"/>
    <x v="25"/>
    <s v="NAKİT"/>
    <n v="0.38"/>
    <n v="250"/>
    <n v="0"/>
    <n v="0"/>
    <m/>
    <m/>
    <m/>
    <m/>
    <n v="95"/>
    <n v="0"/>
    <n v="59348.642997470874"/>
  </r>
  <r>
    <x v="136"/>
    <x v="4"/>
    <x v="94"/>
    <x v="0"/>
    <x v="1"/>
    <x v="1348"/>
    <x v="25"/>
    <s v="NAKİT"/>
    <n v="0.05"/>
    <n v="1000"/>
    <n v="0"/>
    <n v="0"/>
    <m/>
    <m/>
    <m/>
    <m/>
    <n v="50"/>
    <n v="0"/>
    <n v="59398.642997470874"/>
  </r>
  <r>
    <x v="136"/>
    <x v="4"/>
    <x v="58"/>
    <x v="0"/>
    <x v="1"/>
    <x v="1348"/>
    <x v="25"/>
    <s v="NAKİT"/>
    <n v="0.7"/>
    <n v="210"/>
    <n v="0"/>
    <n v="0"/>
    <m/>
    <m/>
    <m/>
    <m/>
    <n v="147"/>
    <n v="0"/>
    <n v="59545.642997470874"/>
  </r>
  <r>
    <x v="136"/>
    <x v="4"/>
    <x v="18"/>
    <x v="0"/>
    <x v="1"/>
    <x v="1348"/>
    <x v="25"/>
    <s v="NAKİT"/>
    <n v="0.5"/>
    <n v="230"/>
    <n v="0"/>
    <n v="0"/>
    <m/>
    <m/>
    <m/>
    <m/>
    <n v="115"/>
    <n v="0"/>
    <n v="59660.642997470874"/>
  </r>
  <r>
    <x v="136"/>
    <x v="4"/>
    <x v="18"/>
    <x v="0"/>
    <x v="5"/>
    <x v="1349"/>
    <x v="25"/>
    <s v="POS"/>
    <n v="1"/>
    <n v="250"/>
    <n v="250"/>
    <n v="0"/>
    <m/>
    <m/>
    <m/>
    <m/>
    <n v="0"/>
    <n v="0"/>
    <n v="59660.642997470874"/>
  </r>
  <r>
    <x v="136"/>
    <x v="4"/>
    <x v="58"/>
    <x v="0"/>
    <x v="5"/>
    <x v="1349"/>
    <x v="25"/>
    <s v="POS"/>
    <n v="0.26100000000000001"/>
    <n v="230"/>
    <n v="60.03"/>
    <n v="0"/>
    <m/>
    <m/>
    <m/>
    <m/>
    <n v="0"/>
    <n v="0"/>
    <n v="59660.642997470874"/>
  </r>
  <r>
    <x v="136"/>
    <x v="4"/>
    <x v="384"/>
    <x v="0"/>
    <x v="5"/>
    <x v="1350"/>
    <x v="25"/>
    <s v="POS"/>
    <n v="1"/>
    <n v="295"/>
    <n v="295"/>
    <n v="0"/>
    <m/>
    <m/>
    <m/>
    <m/>
    <n v="0"/>
    <n v="0"/>
    <n v="59660.642997470874"/>
  </r>
  <r>
    <x v="136"/>
    <x v="4"/>
    <x v="50"/>
    <x v="0"/>
    <x v="5"/>
    <x v="1350"/>
    <x v="25"/>
    <s v="POS"/>
    <n v="0.1"/>
    <n v="650"/>
    <n v="65"/>
    <n v="0"/>
    <m/>
    <m/>
    <m/>
    <m/>
    <n v="0"/>
    <n v="0"/>
    <n v="59660.642997470874"/>
  </r>
  <r>
    <x v="136"/>
    <x v="4"/>
    <x v="212"/>
    <x v="0"/>
    <x v="1"/>
    <x v="1351"/>
    <x v="25"/>
    <s v="NAKİT"/>
    <n v="0.28363636363636363"/>
    <n v="550"/>
    <n v="0"/>
    <n v="0"/>
    <m/>
    <m/>
    <m/>
    <m/>
    <n v="156"/>
    <n v="0"/>
    <n v="59816.642997470874"/>
  </r>
  <r>
    <x v="136"/>
    <x v="4"/>
    <x v="240"/>
    <x v="0"/>
    <x v="1"/>
    <x v="1351"/>
    <x v="25"/>
    <s v="NAKİT"/>
    <n v="0.12173913043478261"/>
    <n v="230"/>
    <n v="0"/>
    <n v="0"/>
    <m/>
    <m/>
    <m/>
    <m/>
    <n v="28"/>
    <n v="0"/>
    <n v="59844.642997470874"/>
  </r>
  <r>
    <x v="136"/>
    <x v="4"/>
    <x v="150"/>
    <x v="0"/>
    <x v="1"/>
    <x v="1351"/>
    <x v="25"/>
    <s v="NAKİT"/>
    <n v="1"/>
    <n v="250"/>
    <n v="0"/>
    <n v="0"/>
    <m/>
    <m/>
    <m/>
    <m/>
    <n v="250"/>
    <n v="0"/>
    <n v="60094.642997470874"/>
  </r>
  <r>
    <x v="136"/>
    <x v="4"/>
    <x v="316"/>
    <x v="0"/>
    <x v="1"/>
    <x v="1352"/>
    <x v="25"/>
    <s v="NAKİT"/>
    <n v="1"/>
    <n v="180"/>
    <n v="0"/>
    <n v="0"/>
    <m/>
    <m/>
    <m/>
    <m/>
    <n v="180"/>
    <n v="0"/>
    <n v="60274.642997470874"/>
  </r>
  <r>
    <x v="136"/>
    <x v="4"/>
    <x v="38"/>
    <x v="0"/>
    <x v="5"/>
    <x v="1353"/>
    <x v="25"/>
    <s v="POS"/>
    <n v="0.2"/>
    <n v="650"/>
    <n v="130"/>
    <n v="0"/>
    <m/>
    <m/>
    <m/>
    <m/>
    <n v="0"/>
    <n v="0"/>
    <n v="60274.642997470874"/>
  </r>
  <r>
    <x v="136"/>
    <x v="4"/>
    <x v="56"/>
    <x v="0"/>
    <x v="5"/>
    <x v="1354"/>
    <x v="25"/>
    <s v="POS"/>
    <n v="3"/>
    <n v="200"/>
    <n v="600"/>
    <n v="0"/>
    <m/>
    <m/>
    <m/>
    <m/>
    <n v="0"/>
    <n v="0"/>
    <n v="60274.642997470874"/>
  </r>
  <r>
    <x v="136"/>
    <x v="4"/>
    <x v="30"/>
    <x v="0"/>
    <x v="1"/>
    <x v="1355"/>
    <x v="25"/>
    <s v="NAKİT"/>
    <n v="0.124"/>
    <n v="500"/>
    <n v="0"/>
    <n v="0"/>
    <m/>
    <m/>
    <m/>
    <m/>
    <n v="62"/>
    <n v="0"/>
    <n v="60336.642997470874"/>
  </r>
  <r>
    <x v="136"/>
    <x v="4"/>
    <x v="27"/>
    <x v="0"/>
    <x v="1"/>
    <x v="1355"/>
    <x v="25"/>
    <s v="NAKİT"/>
    <n v="4.4000000000000004E-2"/>
    <n v="400"/>
    <n v="0"/>
    <n v="0"/>
    <m/>
    <m/>
    <m/>
    <m/>
    <n v="17.600000000000001"/>
    <n v="0"/>
    <n v="60354.242997470872"/>
  </r>
  <r>
    <x v="136"/>
    <x v="4"/>
    <x v="23"/>
    <x v="0"/>
    <x v="1"/>
    <x v="1355"/>
    <x v="25"/>
    <s v="NAKİT"/>
    <n v="0.11"/>
    <n v="300"/>
    <n v="0"/>
    <n v="0"/>
    <m/>
    <m/>
    <m/>
    <m/>
    <n v="33"/>
    <n v="0"/>
    <n v="60387.242997470872"/>
  </r>
  <r>
    <x v="136"/>
    <x v="4"/>
    <x v="57"/>
    <x v="0"/>
    <x v="1"/>
    <x v="1355"/>
    <x v="25"/>
    <s v="NAKİT"/>
    <n v="0.41333333333333333"/>
    <n v="150"/>
    <n v="0"/>
    <n v="0"/>
    <m/>
    <m/>
    <m/>
    <m/>
    <n v="62"/>
    <n v="0"/>
    <n v="60449.242997470872"/>
  </r>
  <r>
    <x v="136"/>
    <x v="4"/>
    <x v="56"/>
    <x v="0"/>
    <x v="1"/>
    <x v="1355"/>
    <x v="25"/>
    <s v="NAKİT"/>
    <n v="0.28999999999999998"/>
    <n v="200"/>
    <n v="0"/>
    <n v="0"/>
    <m/>
    <m/>
    <m/>
    <m/>
    <n v="57.999999999999993"/>
    <n v="0"/>
    <n v="60507.242997470872"/>
  </r>
  <r>
    <x v="136"/>
    <x v="4"/>
    <x v="347"/>
    <x v="0"/>
    <x v="5"/>
    <x v="1356"/>
    <x v="25"/>
    <s v="POS"/>
    <n v="0.35964912280701755"/>
    <n v="570"/>
    <n v="205"/>
    <n v="0"/>
    <m/>
    <m/>
    <m/>
    <m/>
    <n v="0"/>
    <n v="0"/>
    <n v="60507.242997470872"/>
  </r>
  <r>
    <x v="136"/>
    <x v="4"/>
    <x v="100"/>
    <x v="0"/>
    <x v="5"/>
    <x v="1356"/>
    <x v="25"/>
    <s v="POS"/>
    <n v="0.2"/>
    <n v="750"/>
    <n v="150"/>
    <n v="0"/>
    <m/>
    <m/>
    <m/>
    <m/>
    <n v="0"/>
    <n v="0"/>
    <n v="60507.242997470872"/>
  </r>
  <r>
    <x v="136"/>
    <x v="4"/>
    <x v="142"/>
    <x v="0"/>
    <x v="5"/>
    <x v="1356"/>
    <x v="25"/>
    <s v="POS"/>
    <n v="1.2"/>
    <n v="250"/>
    <n v="300"/>
    <n v="0"/>
    <m/>
    <m/>
    <m/>
    <m/>
    <n v="0"/>
    <n v="0"/>
    <n v="60507.242997470872"/>
  </r>
  <r>
    <x v="136"/>
    <x v="4"/>
    <x v="150"/>
    <x v="0"/>
    <x v="1"/>
    <x v="1357"/>
    <x v="25"/>
    <s v="NAKİT"/>
    <n v="2.6"/>
    <n v="250"/>
    <n v="0"/>
    <n v="0"/>
    <m/>
    <m/>
    <m/>
    <m/>
    <n v="650"/>
    <n v="0"/>
    <n v="61157.242997470872"/>
  </r>
  <r>
    <x v="136"/>
    <x v="4"/>
    <x v="348"/>
    <x v="0"/>
    <x v="1"/>
    <x v="1358"/>
    <x v="25"/>
    <s v="NAKİT"/>
    <n v="0.5"/>
    <n v="50"/>
    <n v="0"/>
    <n v="0"/>
    <m/>
    <m/>
    <m/>
    <m/>
    <n v="25"/>
    <n v="0"/>
    <n v="61182.242997470872"/>
  </r>
  <r>
    <x v="136"/>
    <x v="4"/>
    <x v="264"/>
    <x v="0"/>
    <x v="1"/>
    <x v="1359"/>
    <x v="25"/>
    <s v="NAKİT"/>
    <n v="1"/>
    <n v="145"/>
    <n v="0"/>
    <n v="0"/>
    <m/>
    <m/>
    <m/>
    <m/>
    <n v="145"/>
    <n v="0"/>
    <n v="61327.242997470872"/>
  </r>
  <r>
    <x v="136"/>
    <x v="10"/>
    <x v="0"/>
    <x v="0"/>
    <x v="5"/>
    <x v="2"/>
    <x v="63"/>
    <s v="POS"/>
    <n v="1"/>
    <n v="230"/>
    <n v="0"/>
    <n v="230"/>
    <m/>
    <m/>
    <m/>
    <m/>
    <n v="230"/>
    <n v="0"/>
    <n v="61557.242997470872"/>
  </r>
  <r>
    <x v="136"/>
    <x v="10"/>
    <x v="0"/>
    <x v="0"/>
    <x v="5"/>
    <x v="2"/>
    <x v="63"/>
    <s v="POS"/>
    <n v="1"/>
    <n v="380"/>
    <n v="0"/>
    <n v="380"/>
    <m/>
    <m/>
    <m/>
    <m/>
    <n v="380"/>
    <n v="0"/>
    <n v="61937.242997470872"/>
  </r>
  <r>
    <x v="136"/>
    <x v="7"/>
    <x v="0"/>
    <x v="0"/>
    <x v="9"/>
    <x v="2"/>
    <x v="137"/>
    <s v="NAKİT"/>
    <n v="1"/>
    <n v="0"/>
    <n v="29500"/>
    <n v="0"/>
    <m/>
    <m/>
    <m/>
    <m/>
    <n v="0"/>
    <n v="29500"/>
    <n v="32437.242997470872"/>
  </r>
  <r>
    <x v="136"/>
    <x v="3"/>
    <x v="312"/>
    <x v="0"/>
    <x v="1"/>
    <x v="2"/>
    <x v="138"/>
    <s v="NAKİT"/>
    <n v="10"/>
    <n v="150"/>
    <n v="0"/>
    <n v="0"/>
    <m/>
    <m/>
    <m/>
    <m/>
    <n v="0"/>
    <n v="1500"/>
    <n v="30937.242997470872"/>
  </r>
  <r>
    <x v="137"/>
    <x v="4"/>
    <x v="161"/>
    <x v="0"/>
    <x v="1"/>
    <x v="1360"/>
    <x v="25"/>
    <s v="NAKİT"/>
    <n v="0.125"/>
    <n v="400"/>
    <n v="0"/>
    <n v="0"/>
    <m/>
    <m/>
    <m/>
    <m/>
    <n v="50"/>
    <n v="0"/>
    <n v="30987.242997470872"/>
  </r>
  <r>
    <x v="137"/>
    <x v="4"/>
    <x v="161"/>
    <x v="0"/>
    <x v="1"/>
    <x v="1360"/>
    <x v="25"/>
    <s v="NAKİT"/>
    <n v="0.125"/>
    <n v="400"/>
    <n v="0"/>
    <n v="0"/>
    <m/>
    <m/>
    <m/>
    <m/>
    <n v="50"/>
    <n v="0"/>
    <n v="31037.242997470872"/>
  </r>
  <r>
    <x v="137"/>
    <x v="4"/>
    <x v="150"/>
    <x v="0"/>
    <x v="5"/>
    <x v="1361"/>
    <x v="25"/>
    <s v="POS"/>
    <n v="2"/>
    <n v="250"/>
    <n v="500"/>
    <n v="0"/>
    <m/>
    <m/>
    <m/>
    <m/>
    <n v="0"/>
    <n v="0"/>
    <n v="31037.242997470872"/>
  </r>
  <r>
    <x v="137"/>
    <x v="4"/>
    <x v="18"/>
    <x v="0"/>
    <x v="5"/>
    <x v="1361"/>
    <x v="25"/>
    <s v="POS"/>
    <n v="2"/>
    <n v="250"/>
    <n v="500"/>
    <n v="0"/>
    <m/>
    <m/>
    <m/>
    <m/>
    <n v="0"/>
    <n v="0"/>
    <n v="31037.242997470872"/>
  </r>
  <r>
    <x v="137"/>
    <x v="4"/>
    <x v="58"/>
    <x v="0"/>
    <x v="5"/>
    <x v="1361"/>
    <x v="25"/>
    <s v="POS"/>
    <n v="2"/>
    <n v="230"/>
    <n v="460"/>
    <n v="0"/>
    <m/>
    <m/>
    <m/>
    <m/>
    <n v="0"/>
    <n v="0"/>
    <n v="31037.242997470872"/>
  </r>
  <r>
    <x v="137"/>
    <x v="4"/>
    <x v="20"/>
    <x v="0"/>
    <x v="5"/>
    <x v="1361"/>
    <x v="25"/>
    <s v="POS"/>
    <n v="1"/>
    <n v="230"/>
    <n v="230"/>
    <n v="0"/>
    <m/>
    <m/>
    <m/>
    <m/>
    <n v="0"/>
    <n v="0"/>
    <n v="31037.242997470872"/>
  </r>
  <r>
    <x v="137"/>
    <x v="4"/>
    <x v="57"/>
    <x v="0"/>
    <x v="5"/>
    <x v="1361"/>
    <x v="25"/>
    <s v="POS"/>
    <n v="1"/>
    <n v="150"/>
    <n v="150"/>
    <n v="0"/>
    <m/>
    <m/>
    <m/>
    <m/>
    <n v="0"/>
    <n v="0"/>
    <n v="31037.242997470872"/>
  </r>
  <r>
    <x v="137"/>
    <x v="4"/>
    <x v="141"/>
    <x v="0"/>
    <x v="1"/>
    <x v="1362"/>
    <x v="25"/>
    <s v="NAKİT"/>
    <n v="1"/>
    <n v="130"/>
    <n v="0"/>
    <n v="0"/>
    <m/>
    <m/>
    <m/>
    <m/>
    <n v="130"/>
    <n v="0"/>
    <n v="31167.242997470872"/>
  </r>
  <r>
    <x v="137"/>
    <x v="4"/>
    <x v="276"/>
    <x v="0"/>
    <x v="1"/>
    <x v="1362"/>
    <x v="25"/>
    <s v="NAKİT"/>
    <n v="0.1"/>
    <n v="900"/>
    <n v="0"/>
    <n v="0"/>
    <m/>
    <m/>
    <m/>
    <m/>
    <n v="90"/>
    <n v="0"/>
    <n v="31257.242997470872"/>
  </r>
  <r>
    <x v="137"/>
    <x v="4"/>
    <x v="18"/>
    <x v="0"/>
    <x v="1"/>
    <x v="1363"/>
    <x v="25"/>
    <s v="NAKİT"/>
    <n v="0.5"/>
    <n v="250"/>
    <n v="0"/>
    <n v="0"/>
    <m/>
    <m/>
    <m/>
    <m/>
    <n v="125"/>
    <n v="0"/>
    <n v="31382.242997470872"/>
  </r>
  <r>
    <x v="137"/>
    <x v="4"/>
    <x v="58"/>
    <x v="0"/>
    <x v="1"/>
    <x v="1363"/>
    <x v="25"/>
    <s v="NAKİT"/>
    <n v="0.5"/>
    <n v="230"/>
    <n v="0"/>
    <n v="0"/>
    <m/>
    <m/>
    <m/>
    <m/>
    <n v="115"/>
    <n v="0"/>
    <n v="31497.242997470872"/>
  </r>
  <r>
    <x v="137"/>
    <x v="4"/>
    <x v="391"/>
    <x v="0"/>
    <x v="5"/>
    <x v="1364"/>
    <x v="25"/>
    <s v="POS"/>
    <n v="0.54285714285714282"/>
    <n v="420"/>
    <n v="227.99999999999997"/>
    <n v="0"/>
    <m/>
    <m/>
    <m/>
    <m/>
    <n v="0"/>
    <n v="0"/>
    <n v="31497.242997470872"/>
  </r>
  <r>
    <x v="137"/>
    <x v="4"/>
    <x v="392"/>
    <x v="0"/>
    <x v="5"/>
    <x v="1364"/>
    <x v="25"/>
    <s v="POS"/>
    <n v="1.03"/>
    <n v="370"/>
    <n v="381.1"/>
    <n v="0"/>
    <m/>
    <m/>
    <m/>
    <m/>
    <n v="0"/>
    <n v="0"/>
    <n v="31497.242997470872"/>
  </r>
  <r>
    <x v="137"/>
    <x v="4"/>
    <x v="25"/>
    <x v="0"/>
    <x v="5"/>
    <x v="1364"/>
    <x v="25"/>
    <s v="POS"/>
    <n v="4.2500000000000003E-2"/>
    <n v="400"/>
    <n v="17"/>
    <n v="0"/>
    <m/>
    <m/>
    <m/>
    <m/>
    <n v="0"/>
    <n v="0"/>
    <n v="31497.242997470872"/>
  </r>
  <r>
    <x v="137"/>
    <x v="4"/>
    <x v="398"/>
    <x v="0"/>
    <x v="5"/>
    <x v="1364"/>
    <x v="25"/>
    <s v="POS"/>
    <n v="0.28000000000000003"/>
    <n v="355"/>
    <n v="99.4"/>
    <n v="0"/>
    <m/>
    <m/>
    <m/>
    <m/>
    <n v="0"/>
    <n v="0"/>
    <n v="31497.242997470872"/>
  </r>
  <r>
    <x v="137"/>
    <x v="4"/>
    <x v="83"/>
    <x v="0"/>
    <x v="1"/>
    <x v="1365"/>
    <x v="25"/>
    <s v="NAKİT"/>
    <n v="0.05"/>
    <n v="2600"/>
    <n v="0"/>
    <n v="0"/>
    <m/>
    <m/>
    <m/>
    <m/>
    <n v="130"/>
    <n v="0"/>
    <n v="31627.242997470872"/>
  </r>
  <r>
    <x v="137"/>
    <x v="4"/>
    <x v="386"/>
    <x v="0"/>
    <x v="1"/>
    <x v="1366"/>
    <x v="25"/>
    <s v="NAKİT"/>
    <n v="1"/>
    <n v="30"/>
    <n v="0"/>
    <n v="0"/>
    <m/>
    <m/>
    <m/>
    <m/>
    <n v="30"/>
    <n v="0"/>
    <n v="31657.242997470872"/>
  </r>
  <r>
    <x v="137"/>
    <x v="4"/>
    <x v="69"/>
    <x v="0"/>
    <x v="1"/>
    <x v="1367"/>
    <x v="25"/>
    <s v="NAKİT"/>
    <n v="0.05"/>
    <n v="1000"/>
    <n v="0"/>
    <n v="0"/>
    <m/>
    <m/>
    <m/>
    <m/>
    <n v="50"/>
    <n v="0"/>
    <n v="31707.242997470872"/>
  </r>
  <r>
    <x v="137"/>
    <x v="4"/>
    <x v="27"/>
    <x v="0"/>
    <x v="1"/>
    <x v="1368"/>
    <x v="25"/>
    <s v="NAKİT"/>
    <n v="7.0000000000000007E-2"/>
    <n v="400"/>
    <n v="0"/>
    <n v="0"/>
    <m/>
    <m/>
    <m/>
    <m/>
    <n v="28.000000000000004"/>
    <n v="0"/>
    <n v="31735.242997470872"/>
  </r>
  <r>
    <x v="137"/>
    <x v="4"/>
    <x v="30"/>
    <x v="0"/>
    <x v="1"/>
    <x v="1368"/>
    <x v="25"/>
    <s v="NAKİT"/>
    <n v="0.128"/>
    <n v="500"/>
    <n v="0"/>
    <n v="0"/>
    <m/>
    <m/>
    <m/>
    <m/>
    <n v="64"/>
    <n v="0"/>
    <n v="31799.242997470872"/>
  </r>
  <r>
    <x v="137"/>
    <x v="4"/>
    <x v="157"/>
    <x v="0"/>
    <x v="1"/>
    <x v="1368"/>
    <x v="25"/>
    <s v="NAKİT"/>
    <n v="0.5"/>
    <n v="140"/>
    <n v="0"/>
    <n v="0"/>
    <m/>
    <m/>
    <m/>
    <m/>
    <n v="70"/>
    <n v="0"/>
    <n v="31869.242997470872"/>
  </r>
  <r>
    <x v="137"/>
    <x v="4"/>
    <x v="14"/>
    <x v="0"/>
    <x v="1"/>
    <x v="1368"/>
    <x v="25"/>
    <s v="NAKİT"/>
    <n v="0.5"/>
    <n v="300"/>
    <n v="0"/>
    <n v="0"/>
    <m/>
    <m/>
    <m/>
    <m/>
    <n v="150"/>
    <n v="0"/>
    <n v="32019.242997470872"/>
  </r>
  <r>
    <x v="137"/>
    <x v="4"/>
    <x v="18"/>
    <x v="0"/>
    <x v="1"/>
    <x v="1368"/>
    <x v="25"/>
    <s v="NAKİT"/>
    <n v="0.5"/>
    <n v="250"/>
    <n v="0"/>
    <n v="0"/>
    <m/>
    <m/>
    <m/>
    <m/>
    <n v="125"/>
    <n v="0"/>
    <n v="32144.242997470872"/>
  </r>
  <r>
    <x v="137"/>
    <x v="4"/>
    <x v="58"/>
    <x v="0"/>
    <x v="1"/>
    <x v="1368"/>
    <x v="25"/>
    <s v="NAKİT"/>
    <n v="0.2"/>
    <n v="230"/>
    <n v="0"/>
    <n v="0"/>
    <m/>
    <m/>
    <m/>
    <m/>
    <n v="46"/>
    <n v="0"/>
    <n v="32190.242997470872"/>
  </r>
  <r>
    <x v="137"/>
    <x v="4"/>
    <x v="19"/>
    <x v="0"/>
    <x v="1"/>
    <x v="1368"/>
    <x v="25"/>
    <s v="NAKİT"/>
    <n v="0.3"/>
    <n v="230"/>
    <n v="0"/>
    <n v="0"/>
    <m/>
    <m/>
    <m/>
    <m/>
    <n v="69"/>
    <n v="0"/>
    <n v="32259.242997470872"/>
  </r>
  <r>
    <x v="137"/>
    <x v="4"/>
    <x v="288"/>
    <x v="0"/>
    <x v="1"/>
    <x v="1368"/>
    <x v="25"/>
    <s v="NAKİT"/>
    <n v="7.3999999999999996E-2"/>
    <n v="540"/>
    <n v="0"/>
    <n v="0"/>
    <m/>
    <m/>
    <m/>
    <m/>
    <n v="39.96"/>
    <n v="0"/>
    <n v="32299.202997470871"/>
  </r>
  <r>
    <x v="137"/>
    <x v="10"/>
    <x v="0"/>
    <x v="0"/>
    <x v="5"/>
    <x v="2"/>
    <x v="63"/>
    <s v="POS"/>
    <n v="1"/>
    <n v="2965"/>
    <n v="0"/>
    <n v="2965"/>
    <m/>
    <m/>
    <m/>
    <m/>
    <n v="2965"/>
    <n v="0"/>
    <n v="35264.202997470871"/>
  </r>
  <r>
    <x v="137"/>
    <x v="1"/>
    <x v="0"/>
    <x v="12"/>
    <x v="1"/>
    <x v="2"/>
    <x v="139"/>
    <s v="NAKİT"/>
    <n v="1"/>
    <n v="2000"/>
    <n v="0"/>
    <n v="0"/>
    <m/>
    <m/>
    <m/>
    <m/>
    <n v="0"/>
    <n v="2000"/>
    <n v="33264.202997470871"/>
  </r>
  <r>
    <x v="137"/>
    <x v="10"/>
    <x v="0"/>
    <x v="0"/>
    <x v="5"/>
    <x v="2"/>
    <x v="140"/>
    <s v="POS"/>
    <n v="1"/>
    <n v="1085.2"/>
    <n v="0"/>
    <n v="1085.2"/>
    <m/>
    <m/>
    <m/>
    <m/>
    <n v="1085.2"/>
    <n v="0"/>
    <n v="34349.402997470868"/>
  </r>
  <r>
    <x v="137"/>
    <x v="1"/>
    <x v="0"/>
    <x v="13"/>
    <x v="1"/>
    <x v="2"/>
    <x v="140"/>
    <s v="NAKİT"/>
    <n v="1"/>
    <n v="1085.2"/>
    <n v="0"/>
    <n v="0"/>
    <m/>
    <m/>
    <m/>
    <m/>
    <n v="0"/>
    <n v="1085.2"/>
    <n v="33264.202997470871"/>
  </r>
  <r>
    <x v="137"/>
    <x v="3"/>
    <x v="291"/>
    <x v="0"/>
    <x v="2"/>
    <x v="2"/>
    <x v="50"/>
    <s v="K.K."/>
    <n v="6"/>
    <n v="144.92666666666665"/>
    <n v="0"/>
    <n v="869.56"/>
    <m/>
    <m/>
    <m/>
    <m/>
    <n v="0"/>
    <n v="0"/>
    <n v="33264.202997470871"/>
  </r>
  <r>
    <x v="138"/>
    <x v="4"/>
    <x v="99"/>
    <x v="0"/>
    <x v="5"/>
    <x v="1369"/>
    <x v="25"/>
    <s v="POS"/>
    <n v="0.1"/>
    <n v="900"/>
    <n v="90"/>
    <n v="0"/>
    <m/>
    <m/>
    <m/>
    <m/>
    <n v="0"/>
    <n v="0"/>
    <n v="33264.202997470871"/>
  </r>
  <r>
    <x v="138"/>
    <x v="4"/>
    <x v="397"/>
    <x v="0"/>
    <x v="5"/>
    <x v="1369"/>
    <x v="25"/>
    <s v="POS"/>
    <n v="0.1"/>
    <n v="900"/>
    <n v="90"/>
    <n v="0"/>
    <m/>
    <m/>
    <m/>
    <m/>
    <n v="0"/>
    <n v="0"/>
    <n v="33264.202997470871"/>
  </r>
  <r>
    <x v="138"/>
    <x v="4"/>
    <x v="355"/>
    <x v="0"/>
    <x v="1"/>
    <x v="1370"/>
    <x v="25"/>
    <s v="NAKİT"/>
    <n v="1"/>
    <n v="170"/>
    <n v="0"/>
    <n v="0"/>
    <m/>
    <m/>
    <m/>
    <m/>
    <n v="170"/>
    <n v="0"/>
    <n v="33434.202997470871"/>
  </r>
  <r>
    <x v="138"/>
    <x v="4"/>
    <x v="287"/>
    <x v="0"/>
    <x v="1"/>
    <x v="1371"/>
    <x v="25"/>
    <s v="NAKİT"/>
    <n v="0.30769230769230771"/>
    <n v="65"/>
    <n v="0"/>
    <n v="0"/>
    <m/>
    <m/>
    <m/>
    <m/>
    <n v="20"/>
    <n v="0"/>
    <n v="33454.202997470871"/>
  </r>
  <r>
    <x v="138"/>
    <x v="4"/>
    <x v="312"/>
    <x v="0"/>
    <x v="1"/>
    <x v="1372"/>
    <x v="25"/>
    <s v="NAKİT"/>
    <n v="1.5"/>
    <n v="300"/>
    <n v="0"/>
    <n v="0"/>
    <m/>
    <m/>
    <m/>
    <m/>
    <n v="450"/>
    <n v="0"/>
    <n v="33904.202997470871"/>
  </r>
  <r>
    <x v="138"/>
    <x v="4"/>
    <x v="197"/>
    <x v="0"/>
    <x v="1"/>
    <x v="1373"/>
    <x v="25"/>
    <s v="NAKİT"/>
    <n v="1"/>
    <n v="200"/>
    <n v="0"/>
    <n v="0"/>
    <m/>
    <m/>
    <m/>
    <m/>
    <n v="200"/>
    <n v="0"/>
    <n v="34104.202997470871"/>
  </r>
  <r>
    <x v="138"/>
    <x v="4"/>
    <x v="54"/>
    <x v="0"/>
    <x v="1"/>
    <x v="1374"/>
    <x v="25"/>
    <s v="NAKİT"/>
    <n v="0.1"/>
    <n v="400"/>
    <n v="0"/>
    <n v="0"/>
    <m/>
    <m/>
    <m/>
    <m/>
    <n v="40"/>
    <n v="0"/>
    <n v="34144.202997470871"/>
  </r>
  <r>
    <x v="138"/>
    <x v="4"/>
    <x v="52"/>
    <x v="0"/>
    <x v="1"/>
    <x v="1374"/>
    <x v="25"/>
    <s v="NAKİT"/>
    <n v="0.1"/>
    <n v="400"/>
    <n v="0"/>
    <n v="0"/>
    <m/>
    <m/>
    <m/>
    <m/>
    <n v="40"/>
    <n v="0"/>
    <n v="34184.202997470871"/>
  </r>
  <r>
    <x v="138"/>
    <x v="4"/>
    <x v="58"/>
    <x v="0"/>
    <x v="1"/>
    <x v="1375"/>
    <x v="25"/>
    <s v="NAKİT"/>
    <n v="1"/>
    <n v="230"/>
    <n v="0"/>
    <n v="0"/>
    <m/>
    <m/>
    <m/>
    <m/>
    <n v="230"/>
    <n v="0"/>
    <n v="34414.202997470871"/>
  </r>
  <r>
    <x v="138"/>
    <x v="4"/>
    <x v="18"/>
    <x v="0"/>
    <x v="1"/>
    <x v="1375"/>
    <x v="25"/>
    <s v="NAKİT"/>
    <n v="1"/>
    <n v="250"/>
    <n v="0"/>
    <n v="0"/>
    <m/>
    <m/>
    <m/>
    <m/>
    <n v="250"/>
    <n v="0"/>
    <n v="34664.202997470871"/>
  </r>
  <r>
    <x v="138"/>
    <x v="4"/>
    <x v="21"/>
    <x v="0"/>
    <x v="1"/>
    <x v="1375"/>
    <x v="25"/>
    <s v="NAKİT"/>
    <n v="1"/>
    <n v="250"/>
    <n v="0"/>
    <n v="0"/>
    <m/>
    <m/>
    <m/>
    <m/>
    <n v="250"/>
    <n v="0"/>
    <n v="34914.202997470871"/>
  </r>
  <r>
    <x v="138"/>
    <x v="4"/>
    <x v="23"/>
    <x v="0"/>
    <x v="5"/>
    <x v="1376"/>
    <x v="25"/>
    <s v="POS"/>
    <n v="0.1"/>
    <n v="300"/>
    <n v="30"/>
    <n v="0"/>
    <m/>
    <m/>
    <m/>
    <m/>
    <n v="0"/>
    <n v="0"/>
    <n v="34914.202997470871"/>
  </r>
  <r>
    <x v="138"/>
    <x v="4"/>
    <x v="198"/>
    <x v="0"/>
    <x v="5"/>
    <x v="1376"/>
    <x v="25"/>
    <s v="POS"/>
    <n v="1"/>
    <n v="200"/>
    <n v="200"/>
    <n v="0"/>
    <m/>
    <m/>
    <m/>
    <m/>
    <n v="0"/>
    <n v="0"/>
    <n v="34914.202997470871"/>
  </r>
  <r>
    <x v="138"/>
    <x v="4"/>
    <x v="197"/>
    <x v="0"/>
    <x v="5"/>
    <x v="1376"/>
    <x v="25"/>
    <s v="POS"/>
    <n v="1"/>
    <n v="200"/>
    <n v="200"/>
    <n v="0"/>
    <m/>
    <m/>
    <m/>
    <m/>
    <n v="0"/>
    <n v="0"/>
    <n v="34914.202997470871"/>
  </r>
  <r>
    <x v="138"/>
    <x v="4"/>
    <x v="57"/>
    <x v="0"/>
    <x v="5"/>
    <x v="1376"/>
    <x v="25"/>
    <s v="POS"/>
    <n v="1"/>
    <n v="150"/>
    <n v="150"/>
    <n v="0"/>
    <m/>
    <m/>
    <m/>
    <m/>
    <n v="0"/>
    <n v="0"/>
    <n v="34914.202997470871"/>
  </r>
  <r>
    <x v="138"/>
    <x v="4"/>
    <x v="88"/>
    <x v="0"/>
    <x v="5"/>
    <x v="1376"/>
    <x v="25"/>
    <s v="POS"/>
    <n v="0.05"/>
    <n v="1200"/>
    <n v="60"/>
    <n v="0"/>
    <m/>
    <m/>
    <m/>
    <m/>
    <n v="0"/>
    <n v="0"/>
    <n v="34914.202997470871"/>
  </r>
  <r>
    <x v="138"/>
    <x v="4"/>
    <x v="49"/>
    <x v="0"/>
    <x v="5"/>
    <x v="1376"/>
    <x v="25"/>
    <s v="POS"/>
    <n v="0.1"/>
    <n v="600"/>
    <n v="60"/>
    <n v="0"/>
    <m/>
    <m/>
    <m/>
    <m/>
    <n v="0"/>
    <n v="0"/>
    <n v="34914.202997470871"/>
  </r>
  <r>
    <x v="138"/>
    <x v="4"/>
    <x v="50"/>
    <x v="0"/>
    <x v="5"/>
    <x v="1376"/>
    <x v="25"/>
    <s v="POS"/>
    <n v="0.1"/>
    <n v="650"/>
    <n v="65"/>
    <n v="0"/>
    <m/>
    <m/>
    <m/>
    <m/>
    <n v="0"/>
    <n v="0"/>
    <n v="34914.202997470871"/>
  </r>
  <r>
    <x v="138"/>
    <x v="4"/>
    <x v="244"/>
    <x v="0"/>
    <x v="5"/>
    <x v="1376"/>
    <x v="25"/>
    <s v="POS"/>
    <n v="1"/>
    <n v="120"/>
    <n v="120"/>
    <n v="0"/>
    <m/>
    <m/>
    <m/>
    <m/>
    <n v="0"/>
    <n v="0"/>
    <n v="34914.202997470871"/>
  </r>
  <r>
    <x v="138"/>
    <x v="4"/>
    <x v="389"/>
    <x v="0"/>
    <x v="1"/>
    <x v="1377"/>
    <x v="141"/>
    <s v="NAKİT"/>
    <n v="1"/>
    <n v="550"/>
    <n v="0"/>
    <n v="0"/>
    <m/>
    <m/>
    <m/>
    <m/>
    <n v="550"/>
    <n v="0"/>
    <n v="35464.202997470871"/>
  </r>
  <r>
    <x v="138"/>
    <x v="4"/>
    <x v="57"/>
    <x v="0"/>
    <x v="1"/>
    <x v="1377"/>
    <x v="141"/>
    <s v="NAKİT"/>
    <n v="5.98"/>
    <n v="150"/>
    <n v="0"/>
    <n v="0"/>
    <m/>
    <m/>
    <m/>
    <m/>
    <n v="897.00000000000011"/>
    <n v="0"/>
    <n v="36361.202997470871"/>
  </r>
  <r>
    <x v="138"/>
    <x v="4"/>
    <x v="197"/>
    <x v="0"/>
    <x v="1"/>
    <x v="1377"/>
    <x v="141"/>
    <s v="NAKİT"/>
    <n v="1"/>
    <n v="200"/>
    <n v="0"/>
    <n v="0"/>
    <m/>
    <m/>
    <m/>
    <m/>
    <n v="200"/>
    <n v="0"/>
    <n v="36561.202997470871"/>
  </r>
  <r>
    <x v="138"/>
    <x v="4"/>
    <x v="66"/>
    <x v="0"/>
    <x v="1"/>
    <x v="1377"/>
    <x v="141"/>
    <s v="NAKİT"/>
    <n v="0.12"/>
    <n v="417"/>
    <n v="0"/>
    <n v="0"/>
    <m/>
    <m/>
    <m/>
    <m/>
    <n v="50.04"/>
    <n v="0"/>
    <n v="36611.242997470872"/>
  </r>
  <r>
    <x v="138"/>
    <x v="4"/>
    <x v="70"/>
    <x v="0"/>
    <x v="1"/>
    <x v="1377"/>
    <x v="141"/>
    <s v="NAKİT"/>
    <n v="0.52200000000000002"/>
    <n v="230"/>
    <n v="0"/>
    <n v="0"/>
    <m/>
    <m/>
    <m/>
    <m/>
    <n v="120.06"/>
    <n v="0"/>
    <n v="36731.30299747087"/>
  </r>
  <r>
    <x v="138"/>
    <x v="4"/>
    <x v="241"/>
    <x v="0"/>
    <x v="1"/>
    <x v="1377"/>
    <x v="141"/>
    <s v="NAKİT"/>
    <n v="0.5"/>
    <n v="60"/>
    <n v="0"/>
    <n v="0"/>
    <m/>
    <m/>
    <m/>
    <m/>
    <n v="30"/>
    <n v="0"/>
    <n v="36761.30299747087"/>
  </r>
  <r>
    <x v="138"/>
    <x v="4"/>
    <x v="76"/>
    <x v="0"/>
    <x v="1"/>
    <x v="1377"/>
    <x v="141"/>
    <s v="NAKİT"/>
    <n v="0.5"/>
    <n v="80"/>
    <n v="0"/>
    <n v="0"/>
    <m/>
    <m/>
    <m/>
    <m/>
    <n v="40"/>
    <n v="0"/>
    <n v="36801.30299747087"/>
  </r>
  <r>
    <x v="138"/>
    <x v="4"/>
    <x v="157"/>
    <x v="0"/>
    <x v="1"/>
    <x v="1377"/>
    <x v="141"/>
    <s v="NAKİT"/>
    <n v="0.5"/>
    <n v="140"/>
    <n v="0"/>
    <n v="0"/>
    <m/>
    <m/>
    <m/>
    <m/>
    <n v="70"/>
    <n v="0"/>
    <n v="36871.30299747087"/>
  </r>
  <r>
    <x v="138"/>
    <x v="4"/>
    <x v="128"/>
    <x v="0"/>
    <x v="1"/>
    <x v="1378"/>
    <x v="25"/>
    <s v="NAKİT"/>
    <n v="0.5"/>
    <n v="200"/>
    <n v="0"/>
    <n v="0"/>
    <m/>
    <m/>
    <m/>
    <m/>
    <n v="100"/>
    <n v="0"/>
    <n v="36971.30299747087"/>
  </r>
  <r>
    <x v="138"/>
    <x v="4"/>
    <x v="57"/>
    <x v="0"/>
    <x v="5"/>
    <x v="1379"/>
    <x v="25"/>
    <s v="POS"/>
    <n v="1"/>
    <n v="150"/>
    <n v="150"/>
    <n v="0"/>
    <m/>
    <m/>
    <m/>
    <m/>
    <n v="0"/>
    <n v="0"/>
    <n v="36971.30299747087"/>
  </r>
  <r>
    <x v="138"/>
    <x v="4"/>
    <x v="399"/>
    <x v="0"/>
    <x v="5"/>
    <x v="1380"/>
    <x v="25"/>
    <s v="POS"/>
    <n v="1"/>
    <n v="350"/>
    <n v="350"/>
    <n v="0"/>
    <m/>
    <m/>
    <m/>
    <m/>
    <n v="0"/>
    <n v="0"/>
    <n v="36971.30299747087"/>
  </r>
  <r>
    <x v="138"/>
    <x v="4"/>
    <x v="389"/>
    <x v="0"/>
    <x v="5"/>
    <x v="1381"/>
    <x v="25"/>
    <s v="POS"/>
    <n v="0.7"/>
    <n v="550"/>
    <n v="385"/>
    <n v="0"/>
    <m/>
    <m/>
    <m/>
    <m/>
    <n v="0"/>
    <n v="0"/>
    <n v="36971.30299747087"/>
  </r>
  <r>
    <x v="138"/>
    <x v="4"/>
    <x v="101"/>
    <x v="0"/>
    <x v="1"/>
    <x v="1382"/>
    <x v="25"/>
    <s v="NAKİT"/>
    <n v="0.45454545454545453"/>
    <n v="220"/>
    <n v="0"/>
    <n v="0"/>
    <m/>
    <m/>
    <m/>
    <m/>
    <n v="100"/>
    <n v="0"/>
    <n v="37071.30299747087"/>
  </r>
  <r>
    <x v="138"/>
    <x v="4"/>
    <x v="360"/>
    <x v="0"/>
    <x v="1"/>
    <x v="1383"/>
    <x v="114"/>
    <s v="NAKİT"/>
    <n v="1"/>
    <n v="600"/>
    <n v="0"/>
    <n v="0"/>
    <m/>
    <m/>
    <m/>
    <m/>
    <n v="600"/>
    <n v="0"/>
    <n v="37671.30299747087"/>
  </r>
  <r>
    <x v="138"/>
    <x v="4"/>
    <x v="158"/>
    <x v="0"/>
    <x v="1"/>
    <x v="1384"/>
    <x v="25"/>
    <s v="NAKİT"/>
    <n v="7"/>
    <n v="15"/>
    <n v="0"/>
    <n v="0"/>
    <m/>
    <m/>
    <m/>
    <m/>
    <n v="105"/>
    <n v="0"/>
    <n v="37776.30299747087"/>
  </r>
  <r>
    <x v="138"/>
    <x v="4"/>
    <x v="270"/>
    <x v="0"/>
    <x v="1"/>
    <x v="1385"/>
    <x v="142"/>
    <s v="NAKİT"/>
    <n v="1"/>
    <n v="130"/>
    <n v="0"/>
    <n v="0"/>
    <m/>
    <m/>
    <m/>
    <m/>
    <n v="130"/>
    <n v="0"/>
    <n v="37906.30299747087"/>
  </r>
  <r>
    <x v="138"/>
    <x v="6"/>
    <x v="57"/>
    <x v="0"/>
    <x v="3"/>
    <x v="2"/>
    <x v="143"/>
    <s v="CARİ"/>
    <n v="193.5"/>
    <n v="62.015500000000003"/>
    <n v="12000"/>
    <n v="0"/>
    <m/>
    <m/>
    <m/>
    <m/>
    <n v="0"/>
    <n v="0"/>
    <n v="37906.30299747087"/>
  </r>
  <r>
    <x v="139"/>
    <x v="4"/>
    <x v="58"/>
    <x v="0"/>
    <x v="5"/>
    <x v="1386"/>
    <x v="25"/>
    <s v="POS"/>
    <n v="1"/>
    <n v="230"/>
    <n v="230"/>
    <n v="0"/>
    <m/>
    <m/>
    <m/>
    <m/>
    <n v="0"/>
    <n v="0"/>
    <n v="37906.30299747087"/>
  </r>
  <r>
    <x v="139"/>
    <x v="4"/>
    <x v="312"/>
    <x v="0"/>
    <x v="1"/>
    <x v="1387"/>
    <x v="25"/>
    <s v="NAKİT"/>
    <n v="0.5"/>
    <n v="300"/>
    <n v="0"/>
    <n v="0"/>
    <m/>
    <m/>
    <m/>
    <m/>
    <n v="150"/>
    <n v="0"/>
    <n v="38056.30299747087"/>
  </r>
  <r>
    <x v="139"/>
    <x v="4"/>
    <x v="288"/>
    <x v="0"/>
    <x v="1"/>
    <x v="1388"/>
    <x v="25"/>
    <s v="NAKİT"/>
    <n v="8.4000000000000005E-2"/>
    <n v="490"/>
    <n v="0"/>
    <n v="0"/>
    <m/>
    <m/>
    <m/>
    <m/>
    <n v="41.160000000000004"/>
    <n v="0"/>
    <n v="38097.462997470873"/>
  </r>
  <r>
    <x v="139"/>
    <x v="4"/>
    <x v="28"/>
    <x v="0"/>
    <x v="1"/>
    <x v="1388"/>
    <x v="25"/>
    <s v="NAKİT"/>
    <n v="0.11799999999999999"/>
    <n v="500"/>
    <n v="0"/>
    <n v="0"/>
    <m/>
    <m/>
    <m/>
    <m/>
    <n v="59"/>
    <n v="0"/>
    <n v="38156.462997470873"/>
  </r>
  <r>
    <x v="139"/>
    <x v="4"/>
    <x v="18"/>
    <x v="0"/>
    <x v="1"/>
    <x v="1388"/>
    <x v="25"/>
    <s v="NAKİT"/>
    <n v="1"/>
    <n v="250"/>
    <n v="0"/>
    <n v="0"/>
    <m/>
    <m/>
    <m/>
    <m/>
    <n v="250"/>
    <n v="0"/>
    <n v="38406.462997470873"/>
  </r>
  <r>
    <x v="139"/>
    <x v="4"/>
    <x v="18"/>
    <x v="0"/>
    <x v="5"/>
    <x v="1389"/>
    <x v="25"/>
    <s v="POS"/>
    <n v="1.5"/>
    <n v="250"/>
    <n v="375"/>
    <n v="0"/>
    <m/>
    <m/>
    <m/>
    <m/>
    <n v="0"/>
    <n v="0"/>
    <n v="38406.462997470873"/>
  </r>
  <r>
    <x v="139"/>
    <x v="4"/>
    <x v="58"/>
    <x v="0"/>
    <x v="5"/>
    <x v="1389"/>
    <x v="25"/>
    <s v="POS"/>
    <n v="1"/>
    <n v="230"/>
    <n v="230"/>
    <n v="0"/>
    <m/>
    <m/>
    <m/>
    <m/>
    <n v="0"/>
    <n v="0"/>
    <n v="38406.462997470873"/>
  </r>
  <r>
    <x v="139"/>
    <x v="4"/>
    <x v="67"/>
    <x v="0"/>
    <x v="5"/>
    <x v="1389"/>
    <x v="25"/>
    <s v="POS"/>
    <n v="0.1"/>
    <n v="1200"/>
    <n v="120"/>
    <n v="0"/>
    <m/>
    <m/>
    <m/>
    <m/>
    <n v="0"/>
    <n v="0"/>
    <n v="38406.462997470873"/>
  </r>
  <r>
    <x v="139"/>
    <x v="4"/>
    <x v="278"/>
    <x v="0"/>
    <x v="5"/>
    <x v="1389"/>
    <x v="25"/>
    <s v="POS"/>
    <n v="1"/>
    <n v="180"/>
    <n v="180"/>
    <n v="0"/>
    <m/>
    <m/>
    <m/>
    <m/>
    <n v="0"/>
    <n v="0"/>
    <n v="38406.462997470873"/>
  </r>
  <r>
    <x v="139"/>
    <x v="4"/>
    <x v="48"/>
    <x v="0"/>
    <x v="5"/>
    <x v="1389"/>
    <x v="25"/>
    <s v="POS"/>
    <n v="0.05"/>
    <n v="1500"/>
    <n v="75"/>
    <n v="0"/>
    <m/>
    <m/>
    <m/>
    <m/>
    <n v="0"/>
    <n v="0"/>
    <n v="38406.462997470873"/>
  </r>
  <r>
    <x v="139"/>
    <x v="4"/>
    <x v="18"/>
    <x v="0"/>
    <x v="1"/>
    <x v="1390"/>
    <x v="120"/>
    <s v="NAKİT"/>
    <n v="2"/>
    <n v="250"/>
    <n v="0"/>
    <n v="0"/>
    <m/>
    <m/>
    <m/>
    <m/>
    <n v="500"/>
    <n v="0"/>
    <n v="38906.462997470873"/>
  </r>
  <r>
    <x v="139"/>
    <x v="4"/>
    <x v="49"/>
    <x v="0"/>
    <x v="1"/>
    <x v="1390"/>
    <x v="120"/>
    <s v="NAKİT"/>
    <n v="0.2"/>
    <n v="600"/>
    <n v="0"/>
    <n v="0"/>
    <m/>
    <m/>
    <m/>
    <m/>
    <n v="120"/>
    <n v="0"/>
    <n v="39026.462997470873"/>
  </r>
  <r>
    <x v="139"/>
    <x v="4"/>
    <x v="161"/>
    <x v="0"/>
    <x v="1"/>
    <x v="1390"/>
    <x v="120"/>
    <s v="NAKİT"/>
    <n v="0.26600000000000001"/>
    <n v="400"/>
    <n v="0"/>
    <n v="0"/>
    <m/>
    <m/>
    <m/>
    <m/>
    <n v="106.4"/>
    <n v="0"/>
    <n v="39132.862997470875"/>
  </r>
  <r>
    <x v="139"/>
    <x v="4"/>
    <x v="28"/>
    <x v="0"/>
    <x v="1"/>
    <x v="1390"/>
    <x v="120"/>
    <s v="NAKİT"/>
    <n v="0.23"/>
    <n v="500"/>
    <n v="0"/>
    <n v="0"/>
    <m/>
    <m/>
    <m/>
    <m/>
    <n v="115"/>
    <n v="0"/>
    <n v="39247.862997470875"/>
  </r>
  <r>
    <x v="139"/>
    <x v="4"/>
    <x v="241"/>
    <x v="0"/>
    <x v="1"/>
    <x v="1390"/>
    <x v="120"/>
    <s v="NAKİT"/>
    <n v="1"/>
    <n v="60"/>
    <n v="0"/>
    <n v="0"/>
    <m/>
    <m/>
    <m/>
    <m/>
    <n v="60"/>
    <n v="0"/>
    <n v="39307.862997470875"/>
  </r>
  <r>
    <x v="139"/>
    <x v="4"/>
    <x v="156"/>
    <x v="0"/>
    <x v="1"/>
    <x v="1390"/>
    <x v="120"/>
    <s v="NAKİT"/>
    <n v="0.5"/>
    <n v="80"/>
    <n v="0"/>
    <n v="0"/>
    <m/>
    <m/>
    <m/>
    <m/>
    <n v="40"/>
    <n v="0"/>
    <n v="39347.862997470875"/>
  </r>
  <r>
    <x v="139"/>
    <x v="4"/>
    <x v="38"/>
    <x v="0"/>
    <x v="1"/>
    <x v="1390"/>
    <x v="120"/>
    <s v="NAKİT"/>
    <n v="0.1"/>
    <n v="650"/>
    <n v="0"/>
    <n v="0"/>
    <m/>
    <m/>
    <m/>
    <m/>
    <n v="65"/>
    <n v="0"/>
    <n v="39412.862997470875"/>
  </r>
  <r>
    <x v="139"/>
    <x v="4"/>
    <x v="47"/>
    <x v="0"/>
    <x v="1"/>
    <x v="1390"/>
    <x v="120"/>
    <s v="NAKİT"/>
    <n v="0.05"/>
    <n v="400"/>
    <n v="0"/>
    <n v="0"/>
    <m/>
    <m/>
    <m/>
    <m/>
    <n v="20"/>
    <n v="0"/>
    <n v="39432.862997470875"/>
  </r>
  <r>
    <x v="139"/>
    <x v="4"/>
    <x v="271"/>
    <x v="0"/>
    <x v="1"/>
    <x v="1390"/>
    <x v="120"/>
    <s v="NAKİT"/>
    <n v="1"/>
    <n v="125"/>
    <n v="0"/>
    <n v="0"/>
    <m/>
    <m/>
    <m/>
    <m/>
    <n v="125"/>
    <n v="0"/>
    <n v="39557.862997470875"/>
  </r>
  <r>
    <x v="139"/>
    <x v="4"/>
    <x v="339"/>
    <x v="0"/>
    <x v="1"/>
    <x v="1390"/>
    <x v="120"/>
    <s v="NAKİT"/>
    <n v="1"/>
    <n v="135"/>
    <n v="0"/>
    <n v="0"/>
    <m/>
    <m/>
    <m/>
    <m/>
    <n v="135"/>
    <n v="0"/>
    <n v="39692.862997470875"/>
  </r>
  <r>
    <x v="139"/>
    <x v="4"/>
    <x v="275"/>
    <x v="0"/>
    <x v="1"/>
    <x v="1390"/>
    <x v="120"/>
    <s v="NAKİT"/>
    <n v="1"/>
    <n v="150"/>
    <n v="0"/>
    <n v="0"/>
    <m/>
    <m/>
    <m/>
    <m/>
    <n v="150"/>
    <n v="0"/>
    <n v="39842.862997470875"/>
  </r>
  <r>
    <x v="139"/>
    <x v="4"/>
    <x v="51"/>
    <x v="0"/>
    <x v="1"/>
    <x v="1391"/>
    <x v="25"/>
    <s v="NAKİT"/>
    <n v="0.1"/>
    <n v="400"/>
    <n v="0"/>
    <n v="0"/>
    <m/>
    <m/>
    <m/>
    <m/>
    <n v="40"/>
    <n v="0"/>
    <n v="39882.862997470875"/>
  </r>
  <r>
    <x v="139"/>
    <x v="4"/>
    <x v="116"/>
    <x v="0"/>
    <x v="1"/>
    <x v="1391"/>
    <x v="25"/>
    <s v="NAKİT"/>
    <n v="0.28000000000000003"/>
    <n v="430"/>
    <n v="0"/>
    <n v="0"/>
    <m/>
    <m/>
    <m/>
    <m/>
    <n v="120.4"/>
    <n v="0"/>
    <n v="40003.262997470876"/>
  </r>
  <r>
    <x v="139"/>
    <x v="4"/>
    <x v="161"/>
    <x v="0"/>
    <x v="5"/>
    <x v="1392"/>
    <x v="25"/>
    <s v="POS"/>
    <n v="0.54749999999999999"/>
    <n v="400"/>
    <n v="219"/>
    <n v="0"/>
    <m/>
    <m/>
    <m/>
    <m/>
    <n v="0"/>
    <n v="0"/>
    <n v="40003.262997470876"/>
  </r>
  <r>
    <x v="139"/>
    <x v="4"/>
    <x v="248"/>
    <x v="0"/>
    <x v="5"/>
    <x v="1393"/>
    <x v="25"/>
    <s v="POS"/>
    <n v="0.5"/>
    <n v="690"/>
    <n v="345"/>
    <n v="0"/>
    <m/>
    <m/>
    <m/>
    <m/>
    <n v="0"/>
    <n v="0"/>
    <n v="40003.262997470876"/>
  </r>
  <r>
    <x v="139"/>
    <x v="4"/>
    <x v="389"/>
    <x v="0"/>
    <x v="5"/>
    <x v="1393"/>
    <x v="25"/>
    <s v="POS"/>
    <n v="0.51"/>
    <n v="550"/>
    <n v="280.5"/>
    <n v="0"/>
    <m/>
    <m/>
    <m/>
    <m/>
    <n v="0"/>
    <n v="0"/>
    <n v="40003.262997470876"/>
  </r>
  <r>
    <x v="139"/>
    <x v="4"/>
    <x v="34"/>
    <x v="0"/>
    <x v="5"/>
    <x v="1393"/>
    <x v="25"/>
    <s v="POS"/>
    <n v="0.1"/>
    <n v="600"/>
    <n v="60"/>
    <n v="0"/>
    <m/>
    <m/>
    <m/>
    <m/>
    <n v="0"/>
    <n v="0"/>
    <n v="40003.262997470876"/>
  </r>
  <r>
    <x v="139"/>
    <x v="4"/>
    <x v="151"/>
    <x v="0"/>
    <x v="5"/>
    <x v="1393"/>
    <x v="25"/>
    <s v="POS"/>
    <n v="0.1"/>
    <n v="750"/>
    <n v="75"/>
    <n v="0"/>
    <m/>
    <m/>
    <m/>
    <m/>
    <n v="0"/>
    <n v="0"/>
    <n v="40003.262997470876"/>
  </r>
  <r>
    <x v="139"/>
    <x v="4"/>
    <x v="111"/>
    <x v="0"/>
    <x v="1"/>
    <x v="1394"/>
    <x v="25"/>
    <s v="NAKİT"/>
    <n v="0.11"/>
    <n v="350"/>
    <n v="0"/>
    <n v="0"/>
    <m/>
    <m/>
    <m/>
    <m/>
    <n v="38.5"/>
    <n v="0"/>
    <n v="40041.762997470876"/>
  </r>
  <r>
    <x v="139"/>
    <x v="4"/>
    <x v="18"/>
    <x v="0"/>
    <x v="1"/>
    <x v="1395"/>
    <x v="25"/>
    <s v="NAKİT"/>
    <n v="1"/>
    <n v="250"/>
    <n v="0"/>
    <n v="0"/>
    <m/>
    <m/>
    <m/>
    <m/>
    <n v="250"/>
    <n v="0"/>
    <n v="40291.762997470876"/>
  </r>
  <r>
    <x v="139"/>
    <x v="4"/>
    <x v="58"/>
    <x v="0"/>
    <x v="1"/>
    <x v="1395"/>
    <x v="25"/>
    <s v="NAKİT"/>
    <n v="1"/>
    <n v="230"/>
    <n v="0"/>
    <n v="0"/>
    <m/>
    <m/>
    <m/>
    <m/>
    <n v="230"/>
    <n v="0"/>
    <n v="40521.762997470876"/>
  </r>
  <r>
    <x v="139"/>
    <x v="4"/>
    <x v="93"/>
    <x v="0"/>
    <x v="1"/>
    <x v="1395"/>
    <x v="25"/>
    <s v="NAKİT"/>
    <n v="1"/>
    <n v="340"/>
    <n v="0"/>
    <n v="0"/>
    <m/>
    <m/>
    <m/>
    <m/>
    <n v="340"/>
    <n v="0"/>
    <n v="40861.762997470876"/>
  </r>
  <r>
    <x v="139"/>
    <x v="4"/>
    <x v="199"/>
    <x v="0"/>
    <x v="1"/>
    <x v="1395"/>
    <x v="25"/>
    <s v="NAKİT"/>
    <n v="0.5"/>
    <n v="150"/>
    <n v="0"/>
    <n v="0"/>
    <m/>
    <m/>
    <m/>
    <m/>
    <n v="75"/>
    <n v="0"/>
    <n v="40936.762997470876"/>
  </r>
  <r>
    <x v="139"/>
    <x v="4"/>
    <x v="198"/>
    <x v="0"/>
    <x v="1"/>
    <x v="1395"/>
    <x v="25"/>
    <s v="NAKİT"/>
    <n v="0.5"/>
    <n v="200"/>
    <n v="0"/>
    <n v="0"/>
    <m/>
    <m/>
    <m/>
    <m/>
    <n v="100"/>
    <n v="0"/>
    <n v="41036.762997470876"/>
  </r>
  <r>
    <x v="139"/>
    <x v="4"/>
    <x v="30"/>
    <x v="0"/>
    <x v="1"/>
    <x v="1395"/>
    <x v="25"/>
    <s v="NAKİT"/>
    <n v="0.13800000000000001"/>
    <n v="500"/>
    <n v="0"/>
    <n v="0"/>
    <m/>
    <m/>
    <m/>
    <m/>
    <n v="69"/>
    <n v="0"/>
    <n v="41105.762997470876"/>
  </r>
  <r>
    <x v="139"/>
    <x v="4"/>
    <x v="344"/>
    <x v="0"/>
    <x v="5"/>
    <x v="1396"/>
    <x v="25"/>
    <s v="POS"/>
    <n v="0.44444444444444442"/>
    <n v="450"/>
    <n v="200"/>
    <n v="0"/>
    <m/>
    <m/>
    <m/>
    <m/>
    <n v="0"/>
    <n v="0"/>
    <n v="41105.762997470876"/>
  </r>
  <r>
    <x v="139"/>
    <x v="4"/>
    <x v="233"/>
    <x v="0"/>
    <x v="1"/>
    <x v="1397"/>
    <x v="25"/>
    <s v="NAKİT"/>
    <n v="1"/>
    <n v="400"/>
    <n v="0"/>
    <n v="0"/>
    <m/>
    <m/>
    <m/>
    <m/>
    <n v="400"/>
    <n v="0"/>
    <n v="41505.762997470876"/>
  </r>
  <r>
    <x v="139"/>
    <x v="4"/>
    <x v="151"/>
    <x v="0"/>
    <x v="1"/>
    <x v="1397"/>
    <x v="25"/>
    <s v="NAKİT"/>
    <n v="0.1"/>
    <n v="500"/>
    <n v="0"/>
    <n v="0"/>
    <m/>
    <m/>
    <m/>
    <m/>
    <n v="50"/>
    <n v="0"/>
    <n v="41555.762997470876"/>
  </r>
  <r>
    <x v="139"/>
    <x v="4"/>
    <x v="116"/>
    <x v="0"/>
    <x v="5"/>
    <x v="1398"/>
    <x v="25"/>
    <s v="POS"/>
    <n v="0.55813953488372092"/>
    <n v="430"/>
    <n v="240"/>
    <n v="0"/>
    <m/>
    <m/>
    <m/>
    <m/>
    <n v="0"/>
    <n v="0"/>
    <n v="41555.762997470876"/>
  </r>
  <r>
    <x v="139"/>
    <x v="4"/>
    <x v="389"/>
    <x v="0"/>
    <x v="5"/>
    <x v="1399"/>
    <x v="25"/>
    <s v="POS"/>
    <n v="0.70727272727272728"/>
    <n v="550"/>
    <n v="389"/>
    <n v="0"/>
    <m/>
    <m/>
    <m/>
    <m/>
    <n v="0"/>
    <n v="0"/>
    <n v="41555.762997470876"/>
  </r>
  <r>
    <x v="139"/>
    <x v="4"/>
    <x v="394"/>
    <x v="0"/>
    <x v="5"/>
    <x v="1399"/>
    <x v="25"/>
    <s v="POS"/>
    <n v="0.49249999999999999"/>
    <n v="400"/>
    <n v="197"/>
    <n v="0"/>
    <m/>
    <m/>
    <m/>
    <m/>
    <n v="0"/>
    <n v="0"/>
    <n v="41555.762997470876"/>
  </r>
  <r>
    <x v="139"/>
    <x v="4"/>
    <x v="360"/>
    <x v="0"/>
    <x v="5"/>
    <x v="1399"/>
    <x v="25"/>
    <s v="POS"/>
    <n v="0.25"/>
    <n v="600"/>
    <n v="150"/>
    <n v="0"/>
    <m/>
    <m/>
    <m/>
    <m/>
    <n v="0"/>
    <n v="0"/>
    <n v="41555.762997470876"/>
  </r>
  <r>
    <x v="139"/>
    <x v="3"/>
    <x v="399"/>
    <x v="0"/>
    <x v="1"/>
    <x v="2"/>
    <x v="144"/>
    <s v="NAKİT"/>
    <n v="5"/>
    <n v="200"/>
    <n v="0"/>
    <n v="0"/>
    <m/>
    <m/>
    <m/>
    <m/>
    <n v="0"/>
    <n v="1000"/>
    <n v="40555.762997470876"/>
  </r>
  <r>
    <x v="139"/>
    <x v="10"/>
    <x v="0"/>
    <x v="0"/>
    <x v="5"/>
    <x v="2"/>
    <x v="63"/>
    <s v="POS"/>
    <n v="1"/>
    <n v="894.8"/>
    <n v="0"/>
    <n v="894.8"/>
    <n v="2965"/>
    <m/>
    <m/>
    <m/>
    <n v="894.8"/>
    <n v="0"/>
    <n v="41450.562997470879"/>
  </r>
  <r>
    <x v="139"/>
    <x v="10"/>
    <x v="0"/>
    <x v="0"/>
    <x v="5"/>
    <x v="2"/>
    <x v="63"/>
    <s v="POS"/>
    <n v="1"/>
    <n v="590"/>
    <n v="0"/>
    <n v="590"/>
    <m/>
    <m/>
    <m/>
    <m/>
    <n v="590"/>
    <n v="0"/>
    <n v="42040.562997470879"/>
  </r>
  <r>
    <x v="140"/>
    <x v="4"/>
    <x v="24"/>
    <x v="0"/>
    <x v="5"/>
    <x v="1400"/>
    <x v="25"/>
    <s v="POS"/>
    <n v="0.12"/>
    <n v="650"/>
    <n v="78"/>
    <n v="0"/>
    <m/>
    <m/>
    <m/>
    <m/>
    <n v="0"/>
    <n v="0"/>
    <n v="42040.562997470879"/>
  </r>
  <r>
    <x v="140"/>
    <x v="4"/>
    <x v="39"/>
    <x v="0"/>
    <x v="5"/>
    <x v="1400"/>
    <x v="25"/>
    <s v="POS"/>
    <n v="0.124"/>
    <n v="400"/>
    <n v="49.6"/>
    <n v="0"/>
    <m/>
    <m/>
    <m/>
    <m/>
    <n v="0"/>
    <n v="0"/>
    <n v="42040.562997470879"/>
  </r>
  <r>
    <x v="140"/>
    <x v="4"/>
    <x v="23"/>
    <x v="0"/>
    <x v="5"/>
    <x v="1400"/>
    <x v="25"/>
    <s v="POS"/>
    <n v="0.15"/>
    <n v="300"/>
    <n v="45"/>
    <n v="0"/>
    <m/>
    <m/>
    <m/>
    <m/>
    <n v="0"/>
    <n v="0"/>
    <n v="42040.562997470879"/>
  </r>
  <r>
    <x v="140"/>
    <x v="4"/>
    <x v="360"/>
    <x v="0"/>
    <x v="5"/>
    <x v="1400"/>
    <x v="25"/>
    <s v="POS"/>
    <n v="0.25"/>
    <n v="600"/>
    <n v="150"/>
    <n v="0"/>
    <m/>
    <m/>
    <m/>
    <m/>
    <n v="0"/>
    <n v="0"/>
    <n v="42040.562997470879"/>
  </r>
  <r>
    <x v="140"/>
    <x v="4"/>
    <x v="151"/>
    <x v="0"/>
    <x v="5"/>
    <x v="1400"/>
    <x v="25"/>
    <s v="POS"/>
    <n v="0.1"/>
    <n v="750"/>
    <n v="75"/>
    <n v="0"/>
    <m/>
    <m/>
    <m/>
    <m/>
    <n v="0"/>
    <n v="0"/>
    <n v="42040.562997470879"/>
  </r>
  <r>
    <x v="140"/>
    <x v="4"/>
    <x v="356"/>
    <x v="0"/>
    <x v="5"/>
    <x v="1400"/>
    <x v="25"/>
    <s v="POS"/>
    <n v="2"/>
    <n v="10"/>
    <n v="20"/>
    <n v="0"/>
    <m/>
    <m/>
    <m/>
    <m/>
    <n v="0"/>
    <n v="0"/>
    <n v="42040.562997470879"/>
  </r>
  <r>
    <x v="140"/>
    <x v="4"/>
    <x v="187"/>
    <x v="0"/>
    <x v="5"/>
    <x v="1401"/>
    <x v="25"/>
    <s v="POS"/>
    <n v="1"/>
    <n v="240"/>
    <n v="240"/>
    <n v="0"/>
    <m/>
    <m/>
    <m/>
    <m/>
    <n v="0"/>
    <n v="0"/>
    <n v="42040.562997470879"/>
  </r>
  <r>
    <x v="140"/>
    <x v="4"/>
    <x v="71"/>
    <x v="0"/>
    <x v="5"/>
    <x v="1402"/>
    <x v="25"/>
    <s v="POS"/>
    <n v="0.26200000000000001"/>
    <n v="230"/>
    <n v="60.260000000000005"/>
    <n v="0"/>
    <m/>
    <m/>
    <m/>
    <m/>
    <n v="0"/>
    <n v="0"/>
    <n v="42040.562997470879"/>
  </r>
  <r>
    <x v="140"/>
    <x v="4"/>
    <x v="130"/>
    <x v="0"/>
    <x v="5"/>
    <x v="1402"/>
    <x v="25"/>
    <s v="POS"/>
    <n v="0.218"/>
    <n v="230"/>
    <n v="50.14"/>
    <n v="0"/>
    <m/>
    <m/>
    <m/>
    <m/>
    <n v="0"/>
    <n v="0"/>
    <n v="42040.562997470879"/>
  </r>
  <r>
    <x v="140"/>
    <x v="4"/>
    <x v="360"/>
    <x v="0"/>
    <x v="5"/>
    <x v="1402"/>
    <x v="25"/>
    <s v="POS"/>
    <n v="0.16800000000000001"/>
    <n v="600"/>
    <n v="100.80000000000001"/>
    <n v="0"/>
    <m/>
    <m/>
    <m/>
    <m/>
    <n v="0"/>
    <n v="0"/>
    <n v="42040.562997470879"/>
  </r>
  <r>
    <x v="140"/>
    <x v="4"/>
    <x v="74"/>
    <x v="0"/>
    <x v="5"/>
    <x v="1402"/>
    <x v="25"/>
    <s v="POS"/>
    <n v="0.25"/>
    <n v="320"/>
    <n v="80"/>
    <n v="0"/>
    <m/>
    <m/>
    <m/>
    <m/>
    <n v="0"/>
    <n v="0"/>
    <n v="42040.562997470879"/>
  </r>
  <r>
    <x v="140"/>
    <x v="4"/>
    <x v="141"/>
    <x v="0"/>
    <x v="1"/>
    <x v="1403"/>
    <x v="25"/>
    <s v="NAKİT"/>
    <n v="1"/>
    <n v="130"/>
    <n v="0"/>
    <n v="0"/>
    <m/>
    <m/>
    <m/>
    <m/>
    <n v="130"/>
    <n v="0"/>
    <n v="42170.562997470879"/>
  </r>
  <r>
    <x v="140"/>
    <x v="4"/>
    <x v="130"/>
    <x v="0"/>
    <x v="1"/>
    <x v="1404"/>
    <x v="25"/>
    <s v="NAKİT"/>
    <n v="0.218"/>
    <n v="230"/>
    <n v="0"/>
    <n v="0"/>
    <m/>
    <m/>
    <m/>
    <m/>
    <n v="50.14"/>
    <n v="0"/>
    <n v="42220.702997470878"/>
  </r>
  <r>
    <x v="140"/>
    <x v="4"/>
    <x v="197"/>
    <x v="0"/>
    <x v="1"/>
    <x v="1405"/>
    <x v="25"/>
    <s v="NAKİT"/>
    <n v="0.5"/>
    <n v="200"/>
    <n v="0"/>
    <n v="0"/>
    <m/>
    <m/>
    <m/>
    <m/>
    <n v="100"/>
    <n v="0"/>
    <n v="42320.702997470878"/>
  </r>
  <r>
    <x v="140"/>
    <x v="4"/>
    <x v="198"/>
    <x v="0"/>
    <x v="1"/>
    <x v="1405"/>
    <x v="25"/>
    <s v="NAKİT"/>
    <n v="0.5"/>
    <n v="200"/>
    <n v="0"/>
    <n v="0"/>
    <m/>
    <m/>
    <m/>
    <m/>
    <n v="100"/>
    <n v="0"/>
    <n v="42420.702997470878"/>
  </r>
  <r>
    <x v="140"/>
    <x v="4"/>
    <x v="77"/>
    <x v="0"/>
    <x v="1"/>
    <x v="1406"/>
    <x v="25"/>
    <s v="NAKİT"/>
    <n v="0.5"/>
    <n v="80"/>
    <n v="0"/>
    <n v="0"/>
    <m/>
    <m/>
    <m/>
    <m/>
    <n v="40"/>
    <n v="0"/>
    <n v="42460.702997470878"/>
  </r>
  <r>
    <x v="140"/>
    <x v="4"/>
    <x v="142"/>
    <x v="0"/>
    <x v="5"/>
    <x v="1407"/>
    <x v="25"/>
    <s v="POS"/>
    <n v="0.2"/>
    <n v="250"/>
    <n v="50"/>
    <n v="0"/>
    <m/>
    <m/>
    <m/>
    <m/>
    <n v="0"/>
    <n v="0"/>
    <n v="42460.702997470878"/>
  </r>
  <r>
    <x v="140"/>
    <x v="4"/>
    <x v="248"/>
    <x v="0"/>
    <x v="5"/>
    <x v="1407"/>
    <x v="25"/>
    <s v="POS"/>
    <n v="0.24637681159420291"/>
    <n v="690"/>
    <n v="170"/>
    <n v="0"/>
    <m/>
    <m/>
    <m/>
    <m/>
    <n v="0"/>
    <n v="0"/>
    <n v="42460.702997470878"/>
  </r>
  <r>
    <x v="140"/>
    <x v="4"/>
    <x v="116"/>
    <x v="0"/>
    <x v="5"/>
    <x v="1408"/>
    <x v="25"/>
    <s v="POS"/>
    <n v="0.56000000000000005"/>
    <n v="430"/>
    <n v="240.8"/>
    <n v="0"/>
    <m/>
    <m/>
    <m/>
    <m/>
    <n v="0"/>
    <n v="0"/>
    <n v="42460.702997470878"/>
  </r>
  <r>
    <x v="140"/>
    <x v="4"/>
    <x v="71"/>
    <x v="0"/>
    <x v="5"/>
    <x v="1408"/>
    <x v="25"/>
    <s v="POS"/>
    <n v="0.52200000000000002"/>
    <n v="230"/>
    <n v="120.06"/>
    <n v="0"/>
    <m/>
    <m/>
    <m/>
    <m/>
    <n v="0"/>
    <n v="0"/>
    <n v="42460.702997470878"/>
  </r>
  <r>
    <x v="140"/>
    <x v="4"/>
    <x v="179"/>
    <x v="0"/>
    <x v="5"/>
    <x v="1409"/>
    <x v="25"/>
    <s v="POS"/>
    <n v="0.94199999999999995"/>
    <n v="850"/>
    <n v="800.69999999999993"/>
    <n v="0"/>
    <m/>
    <m/>
    <m/>
    <m/>
    <n v="0"/>
    <n v="0"/>
    <n v="42460.702997470878"/>
  </r>
  <r>
    <x v="140"/>
    <x v="4"/>
    <x v="121"/>
    <x v="0"/>
    <x v="5"/>
    <x v="1409"/>
    <x v="25"/>
    <s v="POS"/>
    <n v="0.1"/>
    <n v="1000"/>
    <n v="100"/>
    <n v="0"/>
    <m/>
    <m/>
    <m/>
    <m/>
    <n v="0"/>
    <n v="0"/>
    <n v="42460.702997470878"/>
  </r>
  <r>
    <x v="140"/>
    <x v="4"/>
    <x v="389"/>
    <x v="0"/>
    <x v="5"/>
    <x v="1409"/>
    <x v="25"/>
    <s v="POS"/>
    <n v="1"/>
    <n v="550"/>
    <n v="550"/>
    <n v="0"/>
    <m/>
    <m/>
    <m/>
    <m/>
    <n v="0"/>
    <n v="0"/>
    <n v="42460.702997470878"/>
  </r>
  <r>
    <x v="140"/>
    <x v="4"/>
    <x v="18"/>
    <x v="0"/>
    <x v="5"/>
    <x v="1410"/>
    <x v="25"/>
    <s v="POS"/>
    <n v="1"/>
    <n v="250"/>
    <n v="250"/>
    <n v="0"/>
    <m/>
    <m/>
    <m/>
    <m/>
    <n v="0"/>
    <n v="0"/>
    <n v="42460.702997470878"/>
  </r>
  <r>
    <x v="140"/>
    <x v="4"/>
    <x v="33"/>
    <x v="0"/>
    <x v="5"/>
    <x v="1411"/>
    <x v="35"/>
    <s v="POS"/>
    <n v="1"/>
    <n v="235"/>
    <n v="235"/>
    <n v="0"/>
    <m/>
    <m/>
    <m/>
    <m/>
    <n v="0"/>
    <n v="0"/>
    <n v="42460.702997470878"/>
  </r>
  <r>
    <x v="140"/>
    <x v="4"/>
    <x v="161"/>
    <x v="0"/>
    <x v="5"/>
    <x v="1411"/>
    <x v="35"/>
    <s v="POS"/>
    <n v="2"/>
    <n v="240"/>
    <n v="480"/>
    <n v="0"/>
    <m/>
    <m/>
    <m/>
    <m/>
    <n v="0"/>
    <n v="0"/>
    <n v="42460.702997470878"/>
  </r>
  <r>
    <x v="140"/>
    <x v="4"/>
    <x v="386"/>
    <x v="0"/>
    <x v="1"/>
    <x v="1412"/>
    <x v="25"/>
    <s v="NAKİT"/>
    <n v="1"/>
    <n v="30"/>
    <n v="0"/>
    <n v="0"/>
    <m/>
    <m/>
    <m/>
    <m/>
    <n v="30"/>
    <n v="0"/>
    <n v="42490.702997470878"/>
  </r>
  <r>
    <x v="140"/>
    <x v="4"/>
    <x v="279"/>
    <x v="0"/>
    <x v="1"/>
    <x v="1412"/>
    <x v="25"/>
    <s v="NAKİT"/>
    <n v="1"/>
    <n v="100"/>
    <n v="0"/>
    <n v="0"/>
    <m/>
    <m/>
    <m/>
    <m/>
    <n v="100"/>
    <n v="0"/>
    <n v="42590.702997470878"/>
  </r>
  <r>
    <x v="140"/>
    <x v="4"/>
    <x v="29"/>
    <x v="0"/>
    <x v="1"/>
    <x v="1412"/>
    <x v="25"/>
    <s v="NAKİT"/>
    <n v="2.8000000000000001E-2"/>
    <n v="650"/>
    <n v="0"/>
    <n v="0"/>
    <m/>
    <m/>
    <m/>
    <m/>
    <n v="18.2"/>
    <n v="0"/>
    <n v="42608.902997470876"/>
  </r>
  <r>
    <x v="140"/>
    <x v="4"/>
    <x v="59"/>
    <x v="0"/>
    <x v="1"/>
    <x v="1412"/>
    <x v="25"/>
    <s v="NAKİT"/>
    <n v="0.22222222222222221"/>
    <n v="250"/>
    <n v="0"/>
    <n v="0"/>
    <m/>
    <m/>
    <m/>
    <m/>
    <n v="55.55555555555555"/>
    <n v="0"/>
    <n v="42664.45855302643"/>
  </r>
  <r>
    <x v="140"/>
    <x v="4"/>
    <x v="384"/>
    <x v="0"/>
    <x v="5"/>
    <x v="1413"/>
    <x v="25"/>
    <s v="POS"/>
    <n v="1"/>
    <n v="295"/>
    <n v="295"/>
    <n v="0"/>
    <m/>
    <m/>
    <m/>
    <m/>
    <n v="0"/>
    <n v="0"/>
    <n v="42664.45855302643"/>
  </r>
  <r>
    <x v="140"/>
    <x v="4"/>
    <x v="257"/>
    <x v="0"/>
    <x v="5"/>
    <x v="1414"/>
    <x v="25"/>
    <s v="POS"/>
    <n v="2"/>
    <n v="170"/>
    <n v="340"/>
    <n v="0"/>
    <m/>
    <m/>
    <m/>
    <m/>
    <n v="0"/>
    <n v="0"/>
    <n v="42664.45855302643"/>
  </r>
  <r>
    <x v="140"/>
    <x v="4"/>
    <x v="21"/>
    <x v="0"/>
    <x v="5"/>
    <x v="1415"/>
    <x v="25"/>
    <s v="POS"/>
    <n v="1"/>
    <n v="241"/>
    <n v="241"/>
    <n v="0"/>
    <m/>
    <m/>
    <m/>
    <m/>
    <n v="0"/>
    <n v="0"/>
    <n v="42664.45855302643"/>
  </r>
  <r>
    <x v="140"/>
    <x v="4"/>
    <x v="18"/>
    <x v="0"/>
    <x v="5"/>
    <x v="1415"/>
    <x v="25"/>
    <s v="POS"/>
    <n v="1"/>
    <n v="250"/>
    <n v="250"/>
    <n v="0"/>
    <m/>
    <m/>
    <m/>
    <m/>
    <n v="0"/>
    <n v="0"/>
    <n v="42664.45855302643"/>
  </r>
  <r>
    <x v="140"/>
    <x v="4"/>
    <x v="312"/>
    <x v="0"/>
    <x v="5"/>
    <x v="1415"/>
    <x v="25"/>
    <s v="POS"/>
    <n v="0.5"/>
    <n v="300"/>
    <n v="150"/>
    <n v="0"/>
    <m/>
    <m/>
    <m/>
    <m/>
    <n v="0"/>
    <n v="0"/>
    <n v="42664.45855302643"/>
  </r>
  <r>
    <x v="140"/>
    <x v="4"/>
    <x v="347"/>
    <x v="0"/>
    <x v="5"/>
    <x v="1415"/>
    <x v="25"/>
    <s v="POS"/>
    <n v="0.38596491228070173"/>
    <n v="570"/>
    <n v="220"/>
    <n v="0"/>
    <m/>
    <m/>
    <m/>
    <m/>
    <n v="0"/>
    <n v="0"/>
    <n v="42664.45855302643"/>
  </r>
  <r>
    <x v="140"/>
    <x v="4"/>
    <x v="142"/>
    <x v="0"/>
    <x v="5"/>
    <x v="1415"/>
    <x v="25"/>
    <s v="POS"/>
    <n v="0.24399999999999999"/>
    <n v="250"/>
    <n v="61"/>
    <n v="0"/>
    <m/>
    <m/>
    <m/>
    <m/>
    <n v="0"/>
    <n v="0"/>
    <n v="42664.45855302643"/>
  </r>
  <r>
    <x v="140"/>
    <x v="4"/>
    <x v="23"/>
    <x v="0"/>
    <x v="5"/>
    <x v="1415"/>
    <x v="25"/>
    <s v="POS"/>
    <n v="9.5000000000000001E-2"/>
    <n v="300"/>
    <n v="28.5"/>
    <n v="0"/>
    <m/>
    <m/>
    <m/>
    <m/>
    <n v="0"/>
    <n v="0"/>
    <n v="42664.45855302643"/>
  </r>
  <r>
    <x v="140"/>
    <x v="4"/>
    <x v="58"/>
    <x v="0"/>
    <x v="1"/>
    <x v="1416"/>
    <x v="25"/>
    <s v="NAKİT"/>
    <n v="0.5"/>
    <n v="220"/>
    <n v="0"/>
    <n v="0"/>
    <m/>
    <m/>
    <m/>
    <m/>
    <n v="110"/>
    <n v="0"/>
    <n v="42774.45855302643"/>
  </r>
  <r>
    <x v="140"/>
    <x v="4"/>
    <x v="18"/>
    <x v="0"/>
    <x v="1"/>
    <x v="1416"/>
    <x v="25"/>
    <s v="NAKİT"/>
    <n v="0.5"/>
    <n v="250"/>
    <n v="0"/>
    <n v="0"/>
    <m/>
    <m/>
    <m/>
    <m/>
    <n v="125"/>
    <n v="0"/>
    <n v="42899.45855302643"/>
  </r>
  <r>
    <x v="140"/>
    <x v="4"/>
    <x v="21"/>
    <x v="0"/>
    <x v="1"/>
    <x v="1416"/>
    <x v="25"/>
    <s v="NAKİT"/>
    <n v="0.5"/>
    <n v="230"/>
    <n v="0"/>
    <n v="0"/>
    <m/>
    <m/>
    <m/>
    <m/>
    <n v="115"/>
    <n v="0"/>
    <n v="43014.45855302643"/>
  </r>
  <r>
    <x v="140"/>
    <x v="4"/>
    <x v="58"/>
    <x v="0"/>
    <x v="1"/>
    <x v="1417"/>
    <x v="25"/>
    <s v="NAKİT"/>
    <n v="0.5"/>
    <n v="230"/>
    <n v="0"/>
    <n v="0"/>
    <m/>
    <m/>
    <m/>
    <m/>
    <n v="115"/>
    <n v="0"/>
    <n v="43129.45855302643"/>
  </r>
  <r>
    <x v="140"/>
    <x v="4"/>
    <x v="18"/>
    <x v="0"/>
    <x v="1"/>
    <x v="1417"/>
    <x v="25"/>
    <s v="NAKİT"/>
    <n v="0.5"/>
    <n v="250"/>
    <n v="0"/>
    <n v="0"/>
    <m/>
    <m/>
    <m/>
    <m/>
    <n v="125"/>
    <n v="0"/>
    <n v="43254.45855302643"/>
  </r>
  <r>
    <x v="140"/>
    <x v="4"/>
    <x v="33"/>
    <x v="0"/>
    <x v="5"/>
    <x v="1418"/>
    <x v="25"/>
    <s v="POS"/>
    <n v="0.12"/>
    <n v="400"/>
    <n v="48"/>
    <n v="0"/>
    <m/>
    <m/>
    <m/>
    <m/>
    <n v="0"/>
    <n v="0"/>
    <n v="43254.45855302643"/>
  </r>
  <r>
    <x v="140"/>
    <x v="4"/>
    <x v="14"/>
    <x v="0"/>
    <x v="5"/>
    <x v="1419"/>
    <x v="25"/>
    <s v="POS"/>
    <n v="0.5"/>
    <n v="300"/>
    <n v="150"/>
    <n v="0"/>
    <m/>
    <m/>
    <m/>
    <m/>
    <n v="0"/>
    <n v="0"/>
    <n v="43254.45855302643"/>
  </r>
  <r>
    <x v="140"/>
    <x v="4"/>
    <x v="14"/>
    <x v="0"/>
    <x v="1"/>
    <x v="1420"/>
    <x v="25"/>
    <s v="NAKİT"/>
    <n v="0.12666666666666668"/>
    <n v="300"/>
    <n v="0"/>
    <n v="0"/>
    <m/>
    <m/>
    <m/>
    <m/>
    <n v="38"/>
    <n v="0"/>
    <n v="43292.45855302643"/>
  </r>
  <r>
    <x v="140"/>
    <x v="4"/>
    <x v="25"/>
    <x v="0"/>
    <x v="5"/>
    <x v="1421"/>
    <x v="25"/>
    <s v="POS"/>
    <n v="0.13"/>
    <n v="300"/>
    <n v="39"/>
    <n v="0"/>
    <m/>
    <m/>
    <m/>
    <m/>
    <n v="0"/>
    <n v="0"/>
    <n v="43292.45855302643"/>
  </r>
  <r>
    <x v="140"/>
    <x v="4"/>
    <x v="50"/>
    <x v="0"/>
    <x v="5"/>
    <x v="1421"/>
    <x v="25"/>
    <s v="POS"/>
    <n v="0.1"/>
    <n v="620"/>
    <n v="62"/>
    <n v="0"/>
    <m/>
    <m/>
    <m/>
    <m/>
    <n v="0"/>
    <n v="0"/>
    <n v="43292.45855302643"/>
  </r>
  <r>
    <x v="140"/>
    <x v="4"/>
    <x v="18"/>
    <x v="0"/>
    <x v="5"/>
    <x v="1421"/>
    <x v="25"/>
    <s v="POS"/>
    <n v="1"/>
    <n v="230"/>
    <n v="230"/>
    <n v="0"/>
    <m/>
    <m/>
    <m/>
    <m/>
    <n v="0"/>
    <n v="0"/>
    <n v="43292.45855302643"/>
  </r>
  <r>
    <x v="140"/>
    <x v="4"/>
    <x v="19"/>
    <x v="0"/>
    <x v="5"/>
    <x v="1421"/>
    <x v="25"/>
    <s v="POS"/>
    <n v="1"/>
    <n v="230"/>
    <n v="230"/>
    <n v="0"/>
    <m/>
    <m/>
    <m/>
    <m/>
    <n v="0"/>
    <n v="0"/>
    <n v="43292.45855302643"/>
  </r>
  <r>
    <x v="140"/>
    <x v="4"/>
    <x v="24"/>
    <x v="0"/>
    <x v="5"/>
    <x v="1421"/>
    <x v="25"/>
    <s v="POS"/>
    <n v="0.13692307692307693"/>
    <n v="650"/>
    <n v="89"/>
    <n v="0"/>
    <m/>
    <m/>
    <m/>
    <m/>
    <n v="0"/>
    <n v="0"/>
    <n v="43292.45855302643"/>
  </r>
  <r>
    <x v="140"/>
    <x v="4"/>
    <x v="19"/>
    <x v="0"/>
    <x v="5"/>
    <x v="1422"/>
    <x v="25"/>
    <s v="POS"/>
    <n v="1"/>
    <n v="220"/>
    <n v="220"/>
    <n v="0"/>
    <m/>
    <m/>
    <m/>
    <m/>
    <n v="0"/>
    <n v="0"/>
    <n v="43292.45855302643"/>
  </r>
  <r>
    <x v="140"/>
    <x v="4"/>
    <x v="18"/>
    <x v="0"/>
    <x v="5"/>
    <x v="1422"/>
    <x v="25"/>
    <s v="POS"/>
    <n v="1"/>
    <n v="250"/>
    <n v="250"/>
    <n v="0"/>
    <m/>
    <m/>
    <m/>
    <m/>
    <n v="0"/>
    <n v="0"/>
    <n v="43292.45855302643"/>
  </r>
  <r>
    <x v="140"/>
    <x v="4"/>
    <x v="278"/>
    <x v="0"/>
    <x v="5"/>
    <x v="1422"/>
    <x v="25"/>
    <s v="POS"/>
    <n v="1"/>
    <n v="180"/>
    <n v="180"/>
    <n v="0"/>
    <m/>
    <m/>
    <m/>
    <m/>
    <n v="0"/>
    <n v="0"/>
    <n v="43292.45855302643"/>
  </r>
  <r>
    <x v="140"/>
    <x v="4"/>
    <x v="83"/>
    <x v="0"/>
    <x v="5"/>
    <x v="1423"/>
    <x v="25"/>
    <s v="POS"/>
    <n v="0.05"/>
    <n v="2600"/>
    <n v="130"/>
    <n v="0"/>
    <m/>
    <m/>
    <m/>
    <m/>
    <n v="0"/>
    <n v="0"/>
    <n v="43292.45855302643"/>
  </r>
  <r>
    <x v="140"/>
    <x v="4"/>
    <x v="248"/>
    <x v="0"/>
    <x v="5"/>
    <x v="1423"/>
    <x v="25"/>
    <s v="POS"/>
    <n v="0.30144927536231886"/>
    <n v="690"/>
    <n v="208"/>
    <n v="0"/>
    <m/>
    <m/>
    <m/>
    <m/>
    <n v="0"/>
    <n v="0"/>
    <n v="43292.45855302643"/>
  </r>
  <r>
    <x v="140"/>
    <x v="4"/>
    <x v="61"/>
    <x v="0"/>
    <x v="1"/>
    <x v="1424"/>
    <x v="25"/>
    <s v="NAKİT"/>
    <n v="8.3116883116883117E-2"/>
    <n v="770"/>
    <n v="0"/>
    <n v="0"/>
    <m/>
    <m/>
    <m/>
    <m/>
    <n v="64"/>
    <n v="0"/>
    <n v="43356.45855302643"/>
  </r>
  <r>
    <x v="140"/>
    <x v="4"/>
    <x v="360"/>
    <x v="0"/>
    <x v="1"/>
    <x v="1424"/>
    <x v="25"/>
    <s v="NAKİT"/>
    <n v="0.16666666666666666"/>
    <n v="600"/>
    <n v="0"/>
    <n v="0"/>
    <m/>
    <m/>
    <m/>
    <m/>
    <n v="100"/>
    <n v="0"/>
    <n v="43456.45855302643"/>
  </r>
  <r>
    <x v="140"/>
    <x v="4"/>
    <x v="248"/>
    <x v="0"/>
    <x v="5"/>
    <x v="1425"/>
    <x v="25"/>
    <s v="POS"/>
    <n v="0.21739130434782608"/>
    <n v="690"/>
    <n v="150"/>
    <n v="0"/>
    <m/>
    <m/>
    <m/>
    <m/>
    <n v="0"/>
    <n v="0"/>
    <n v="43456.45855302643"/>
  </r>
  <r>
    <x v="140"/>
    <x v="4"/>
    <x v="384"/>
    <x v="0"/>
    <x v="1"/>
    <x v="1426"/>
    <x v="25"/>
    <s v="NAKİT"/>
    <n v="1"/>
    <n v="295"/>
    <n v="0"/>
    <n v="0"/>
    <m/>
    <m/>
    <m/>
    <m/>
    <n v="295"/>
    <n v="0"/>
    <n v="43751.45855302643"/>
  </r>
  <r>
    <x v="140"/>
    <x v="4"/>
    <x v="29"/>
    <x v="0"/>
    <x v="1"/>
    <x v="1427"/>
    <x v="25"/>
    <s v="NAKİT"/>
    <n v="6.6666666666666666E-2"/>
    <n v="750"/>
    <n v="0"/>
    <n v="0"/>
    <m/>
    <m/>
    <m/>
    <m/>
    <n v="50"/>
    <n v="0"/>
    <n v="43801.45855302643"/>
  </r>
  <r>
    <x v="140"/>
    <x v="10"/>
    <x v="0"/>
    <x v="0"/>
    <x v="5"/>
    <x v="2"/>
    <x v="63"/>
    <s v="POS"/>
    <n v="1"/>
    <n v="216"/>
    <n v="0"/>
    <n v="216"/>
    <m/>
    <m/>
    <m/>
    <m/>
    <n v="216"/>
    <n v="0"/>
    <n v="44017.45855302643"/>
  </r>
  <r>
    <x v="140"/>
    <x v="10"/>
    <x v="0"/>
    <x v="0"/>
    <x v="5"/>
    <x v="2"/>
    <x v="63"/>
    <s v="POS"/>
    <n v="1"/>
    <n v="1065"/>
    <n v="0"/>
    <n v="1065"/>
    <m/>
    <m/>
    <m/>
    <m/>
    <n v="1065"/>
    <n v="0"/>
    <n v="45082.45855302643"/>
  </r>
  <r>
    <x v="140"/>
    <x v="10"/>
    <x v="0"/>
    <x v="0"/>
    <x v="5"/>
    <x v="2"/>
    <x v="63"/>
    <s v="POS"/>
    <n v="1"/>
    <n v="150"/>
    <n v="0"/>
    <n v="150"/>
    <m/>
    <m/>
    <m/>
    <m/>
    <n v="150"/>
    <n v="0"/>
    <n v="45232.45855302643"/>
  </r>
  <r>
    <x v="141"/>
    <x v="4"/>
    <x v="18"/>
    <x v="0"/>
    <x v="5"/>
    <x v="1428"/>
    <x v="25"/>
    <s v="POS"/>
    <n v="1"/>
    <n v="250"/>
    <n v="250"/>
    <n v="0"/>
    <m/>
    <m/>
    <m/>
    <m/>
    <n v="0"/>
    <n v="0"/>
    <n v="45232.45855302643"/>
  </r>
  <r>
    <x v="141"/>
    <x v="4"/>
    <x v="25"/>
    <x v="0"/>
    <x v="5"/>
    <x v="1429"/>
    <x v="25"/>
    <s v="POS"/>
    <n v="0.25"/>
    <n v="400"/>
    <n v="100"/>
    <n v="0"/>
    <m/>
    <m/>
    <m/>
    <m/>
    <n v="0"/>
    <n v="0"/>
    <n v="45232.45855302643"/>
  </r>
  <r>
    <x v="141"/>
    <x v="4"/>
    <x v="161"/>
    <x v="0"/>
    <x v="5"/>
    <x v="1429"/>
    <x v="25"/>
    <s v="POS"/>
    <n v="0.16250000000000001"/>
    <n v="400"/>
    <n v="65"/>
    <n v="0"/>
    <m/>
    <m/>
    <m/>
    <m/>
    <n v="0"/>
    <n v="0"/>
    <n v="45232.45855302643"/>
  </r>
  <r>
    <x v="141"/>
    <x v="4"/>
    <x v="20"/>
    <x v="0"/>
    <x v="5"/>
    <x v="1429"/>
    <x v="25"/>
    <s v="POS"/>
    <n v="1"/>
    <n v="230"/>
    <n v="230"/>
    <n v="0"/>
    <m/>
    <m/>
    <m/>
    <m/>
    <n v="0"/>
    <n v="0"/>
    <n v="45232.45855302643"/>
  </r>
  <r>
    <x v="141"/>
    <x v="4"/>
    <x v="18"/>
    <x v="0"/>
    <x v="5"/>
    <x v="1429"/>
    <x v="25"/>
    <s v="POS"/>
    <n v="1"/>
    <n v="250"/>
    <n v="250"/>
    <n v="0"/>
    <m/>
    <m/>
    <m/>
    <m/>
    <n v="0"/>
    <n v="0"/>
    <n v="45232.45855302643"/>
  </r>
  <r>
    <x v="141"/>
    <x v="4"/>
    <x v="312"/>
    <x v="0"/>
    <x v="1"/>
    <x v="1430"/>
    <x v="25"/>
    <s v="NAKİT"/>
    <n v="0.5"/>
    <n v="300"/>
    <n v="0"/>
    <n v="0"/>
    <m/>
    <m/>
    <m/>
    <m/>
    <n v="150"/>
    <n v="0"/>
    <n v="45382.45855302643"/>
  </r>
  <r>
    <x v="141"/>
    <x v="4"/>
    <x v="72"/>
    <x v="0"/>
    <x v="1"/>
    <x v="1431"/>
    <x v="25"/>
    <s v="NAKİT"/>
    <n v="0.05"/>
    <n v="1400"/>
    <n v="0"/>
    <n v="0"/>
    <m/>
    <m/>
    <m/>
    <m/>
    <n v="70"/>
    <n v="0"/>
    <n v="45452.45855302643"/>
  </r>
  <r>
    <x v="141"/>
    <x v="4"/>
    <x v="33"/>
    <x v="0"/>
    <x v="1"/>
    <x v="1431"/>
    <x v="25"/>
    <s v="NAKİT"/>
    <n v="0.1"/>
    <n v="400"/>
    <n v="0"/>
    <n v="0"/>
    <m/>
    <m/>
    <m/>
    <m/>
    <n v="40"/>
    <n v="0"/>
    <n v="45492.45855302643"/>
  </r>
  <r>
    <x v="141"/>
    <x v="4"/>
    <x v="18"/>
    <x v="0"/>
    <x v="1"/>
    <x v="1432"/>
    <x v="25"/>
    <s v="NAKİT"/>
    <n v="1"/>
    <n v="250"/>
    <n v="0"/>
    <n v="0"/>
    <m/>
    <m/>
    <m/>
    <m/>
    <n v="250"/>
    <n v="0"/>
    <n v="45742.45855302643"/>
  </r>
  <r>
    <x v="141"/>
    <x v="4"/>
    <x v="58"/>
    <x v="0"/>
    <x v="1"/>
    <x v="1432"/>
    <x v="25"/>
    <s v="NAKİT"/>
    <n v="1"/>
    <n v="230"/>
    <n v="0"/>
    <n v="0"/>
    <m/>
    <m/>
    <m/>
    <m/>
    <n v="230"/>
    <n v="0"/>
    <n v="45972.45855302643"/>
  </r>
  <r>
    <x v="141"/>
    <x v="4"/>
    <x v="307"/>
    <x v="0"/>
    <x v="5"/>
    <x v="1433"/>
    <x v="25"/>
    <s v="POS"/>
    <n v="1"/>
    <n v="140"/>
    <n v="140"/>
    <n v="0"/>
    <m/>
    <m/>
    <m/>
    <m/>
    <n v="0"/>
    <n v="0"/>
    <n v="45972.45855302643"/>
  </r>
  <r>
    <x v="141"/>
    <x v="4"/>
    <x v="389"/>
    <x v="0"/>
    <x v="5"/>
    <x v="1434"/>
    <x v="25"/>
    <s v="POS"/>
    <n v="0.88"/>
    <n v="550"/>
    <n v="484"/>
    <n v="0"/>
    <m/>
    <m/>
    <m/>
    <m/>
    <n v="0"/>
    <n v="0"/>
    <n v="45972.45855302643"/>
  </r>
  <r>
    <x v="141"/>
    <x v="4"/>
    <x v="48"/>
    <x v="0"/>
    <x v="5"/>
    <x v="1434"/>
    <x v="25"/>
    <s v="POS"/>
    <n v="0.05"/>
    <n v="1500"/>
    <n v="75"/>
    <n v="0"/>
    <m/>
    <m/>
    <m/>
    <m/>
    <n v="0"/>
    <n v="0"/>
    <n v="45972.45855302643"/>
  </r>
  <r>
    <x v="141"/>
    <x v="4"/>
    <x v="397"/>
    <x v="0"/>
    <x v="5"/>
    <x v="1434"/>
    <x v="25"/>
    <s v="POS"/>
    <n v="0.1"/>
    <n v="900"/>
    <n v="90"/>
    <n v="0"/>
    <m/>
    <m/>
    <m/>
    <m/>
    <n v="0"/>
    <n v="0"/>
    <n v="45972.45855302643"/>
  </r>
  <r>
    <x v="141"/>
    <x v="4"/>
    <x v="28"/>
    <x v="0"/>
    <x v="5"/>
    <x v="1435"/>
    <x v="25"/>
    <s v="POS"/>
    <n v="0.32"/>
    <n v="500"/>
    <n v="160"/>
    <n v="0"/>
    <m/>
    <m/>
    <m/>
    <m/>
    <n v="0"/>
    <n v="0"/>
    <n v="45972.45855302643"/>
  </r>
  <r>
    <x v="141"/>
    <x v="4"/>
    <x v="24"/>
    <x v="0"/>
    <x v="5"/>
    <x v="1435"/>
    <x v="25"/>
    <s v="POS"/>
    <n v="0.13846153846153847"/>
    <n v="650"/>
    <n v="90"/>
    <n v="0"/>
    <m/>
    <m/>
    <m/>
    <m/>
    <n v="0"/>
    <n v="0"/>
    <n v="45972.45855302643"/>
  </r>
  <r>
    <x v="141"/>
    <x v="4"/>
    <x v="389"/>
    <x v="0"/>
    <x v="5"/>
    <x v="1436"/>
    <x v="25"/>
    <s v="POS"/>
    <n v="0.50909090909090904"/>
    <n v="550"/>
    <n v="279.99999999999994"/>
    <n v="0"/>
    <m/>
    <m/>
    <m/>
    <m/>
    <n v="0"/>
    <n v="0"/>
    <n v="45972.45855302643"/>
  </r>
  <r>
    <x v="141"/>
    <x v="4"/>
    <x v="248"/>
    <x v="0"/>
    <x v="5"/>
    <x v="1436"/>
    <x v="25"/>
    <s v="POS"/>
    <n v="0.25362318840579712"/>
    <n v="690"/>
    <n v="175"/>
    <n v="0"/>
    <m/>
    <m/>
    <m/>
    <m/>
    <n v="0"/>
    <n v="0"/>
    <n v="45972.45855302643"/>
  </r>
  <r>
    <x v="141"/>
    <x v="4"/>
    <x v="347"/>
    <x v="0"/>
    <x v="5"/>
    <x v="1436"/>
    <x v="25"/>
    <s v="POS"/>
    <n v="0.5"/>
    <n v="570"/>
    <n v="285"/>
    <n v="0"/>
    <m/>
    <m/>
    <m/>
    <m/>
    <n v="0"/>
    <n v="0"/>
    <n v="45972.45855302643"/>
  </r>
  <r>
    <x v="141"/>
    <x v="4"/>
    <x v="150"/>
    <x v="0"/>
    <x v="5"/>
    <x v="1436"/>
    <x v="25"/>
    <s v="POS"/>
    <n v="1"/>
    <n v="250"/>
    <n v="250"/>
    <n v="0"/>
    <m/>
    <m/>
    <m/>
    <m/>
    <n v="0"/>
    <n v="0"/>
    <n v="45972.45855302643"/>
  </r>
  <r>
    <x v="141"/>
    <x v="4"/>
    <x v="245"/>
    <x v="0"/>
    <x v="5"/>
    <x v="1436"/>
    <x v="25"/>
    <s v="POS"/>
    <n v="1"/>
    <n v="90"/>
    <n v="90"/>
    <n v="0"/>
    <m/>
    <m/>
    <m/>
    <m/>
    <n v="0"/>
    <n v="0"/>
    <n v="45972.45855302643"/>
  </r>
  <r>
    <x v="141"/>
    <x v="4"/>
    <x v="389"/>
    <x v="0"/>
    <x v="5"/>
    <x v="1437"/>
    <x v="25"/>
    <s v="POS"/>
    <n v="0.53636363636363638"/>
    <n v="550"/>
    <n v="295"/>
    <n v="0"/>
    <m/>
    <m/>
    <m/>
    <m/>
    <n v="0"/>
    <n v="0"/>
    <n v="45972.45855302643"/>
  </r>
  <r>
    <x v="141"/>
    <x v="4"/>
    <x v="288"/>
    <x v="0"/>
    <x v="5"/>
    <x v="1437"/>
    <x v="25"/>
    <s v="POS"/>
    <n v="0.12037037037037036"/>
    <n v="540"/>
    <n v="65"/>
    <n v="0"/>
    <m/>
    <m/>
    <m/>
    <m/>
    <n v="0"/>
    <n v="0"/>
    <n v="45972.45855302643"/>
  </r>
  <r>
    <x v="141"/>
    <x v="4"/>
    <x v="28"/>
    <x v="0"/>
    <x v="5"/>
    <x v="1437"/>
    <x v="25"/>
    <s v="POS"/>
    <n v="0.08"/>
    <n v="500"/>
    <n v="40"/>
    <n v="0"/>
    <m/>
    <m/>
    <m/>
    <m/>
    <n v="0"/>
    <n v="0"/>
    <n v="45972.45855302643"/>
  </r>
  <r>
    <x v="141"/>
    <x v="4"/>
    <x v="93"/>
    <x v="0"/>
    <x v="5"/>
    <x v="1438"/>
    <x v="25"/>
    <s v="POS"/>
    <n v="1"/>
    <n v="340"/>
    <n v="340"/>
    <n v="0"/>
    <m/>
    <m/>
    <m/>
    <m/>
    <n v="0"/>
    <n v="0"/>
    <n v="45972.45855302643"/>
  </r>
  <r>
    <x v="141"/>
    <x v="4"/>
    <x v="389"/>
    <x v="0"/>
    <x v="5"/>
    <x v="1438"/>
    <x v="25"/>
    <s v="POS"/>
    <n v="0.18181818181818182"/>
    <n v="550"/>
    <n v="100"/>
    <n v="0"/>
    <m/>
    <m/>
    <m/>
    <m/>
    <n v="0"/>
    <n v="0"/>
    <n v="45972.45855302643"/>
  </r>
  <r>
    <x v="141"/>
    <x v="4"/>
    <x v="391"/>
    <x v="0"/>
    <x v="1"/>
    <x v="1439"/>
    <x v="25"/>
    <s v="NAKİT"/>
    <n v="0.23809523809523808"/>
    <n v="420"/>
    <n v="0"/>
    <n v="0"/>
    <m/>
    <m/>
    <m/>
    <m/>
    <n v="100"/>
    <n v="0"/>
    <n v="46072.45855302643"/>
  </r>
  <r>
    <x v="141"/>
    <x v="4"/>
    <x v="161"/>
    <x v="0"/>
    <x v="5"/>
    <x v="1440"/>
    <x v="25"/>
    <s v="POS"/>
    <n v="0.25"/>
    <n v="400"/>
    <n v="100"/>
    <n v="0"/>
    <m/>
    <m/>
    <m/>
    <m/>
    <n v="0"/>
    <n v="0"/>
    <n v="46072.45855302643"/>
  </r>
  <r>
    <x v="141"/>
    <x v="4"/>
    <x v="197"/>
    <x v="0"/>
    <x v="5"/>
    <x v="1440"/>
    <x v="25"/>
    <s v="POS"/>
    <n v="1"/>
    <n v="200"/>
    <n v="200"/>
    <n v="0"/>
    <m/>
    <m/>
    <m/>
    <m/>
    <n v="0"/>
    <n v="0"/>
    <n v="46072.45855302643"/>
  </r>
  <r>
    <x v="141"/>
    <x v="4"/>
    <x v="105"/>
    <x v="0"/>
    <x v="1"/>
    <x v="1441"/>
    <x v="25"/>
    <s v="NAKİT"/>
    <n v="1"/>
    <n v="200"/>
    <n v="0"/>
    <n v="0"/>
    <m/>
    <m/>
    <m/>
    <m/>
    <n v="200"/>
    <n v="0"/>
    <n v="46272.45855302643"/>
  </r>
  <r>
    <x v="141"/>
    <x v="4"/>
    <x v="389"/>
    <x v="0"/>
    <x v="5"/>
    <x v="1442"/>
    <x v="25"/>
    <s v="POS"/>
    <n v="0.67272727272727273"/>
    <n v="550"/>
    <n v="370"/>
    <n v="0"/>
    <m/>
    <m/>
    <m/>
    <m/>
    <n v="0"/>
    <n v="0"/>
    <n v="46272.45855302643"/>
  </r>
  <r>
    <x v="141"/>
    <x v="4"/>
    <x v="248"/>
    <x v="0"/>
    <x v="5"/>
    <x v="1442"/>
    <x v="25"/>
    <s v="POS"/>
    <n v="1"/>
    <n v="650"/>
    <n v="650"/>
    <n v="0"/>
    <m/>
    <m/>
    <m/>
    <m/>
    <n v="0"/>
    <n v="0"/>
    <n v="46272.45855302643"/>
  </r>
  <r>
    <x v="141"/>
    <x v="4"/>
    <x v="344"/>
    <x v="0"/>
    <x v="5"/>
    <x v="1442"/>
    <x v="25"/>
    <s v="POS"/>
    <n v="0.27777777777777779"/>
    <n v="450"/>
    <n v="125"/>
    <n v="0"/>
    <m/>
    <m/>
    <m/>
    <m/>
    <n v="0"/>
    <n v="0"/>
    <n v="46272.45855302643"/>
  </r>
  <r>
    <x v="141"/>
    <x v="4"/>
    <x v="347"/>
    <x v="0"/>
    <x v="5"/>
    <x v="1442"/>
    <x v="25"/>
    <s v="POS"/>
    <n v="1"/>
    <n v="570"/>
    <n v="570"/>
    <n v="0"/>
    <m/>
    <m/>
    <m/>
    <m/>
    <n v="0"/>
    <n v="0"/>
    <n v="46272.45855302643"/>
  </r>
  <r>
    <x v="141"/>
    <x v="4"/>
    <x v="389"/>
    <x v="0"/>
    <x v="5"/>
    <x v="1443"/>
    <x v="25"/>
    <s v="POS"/>
    <n v="1.034"/>
    <n v="550"/>
    <n v="568.70000000000005"/>
    <n v="0"/>
    <m/>
    <m/>
    <m/>
    <m/>
    <n v="0"/>
    <n v="0"/>
    <n v="46272.45855302643"/>
  </r>
  <r>
    <x v="141"/>
    <x v="4"/>
    <x v="19"/>
    <x v="0"/>
    <x v="5"/>
    <x v="1443"/>
    <x v="25"/>
    <s v="POS"/>
    <n v="1"/>
    <n v="230"/>
    <n v="230"/>
    <n v="0"/>
    <m/>
    <m/>
    <m/>
    <m/>
    <n v="0"/>
    <n v="0"/>
    <n v="46272.45855302643"/>
  </r>
  <r>
    <x v="141"/>
    <x v="4"/>
    <x v="18"/>
    <x v="0"/>
    <x v="5"/>
    <x v="1443"/>
    <x v="25"/>
    <s v="POS"/>
    <n v="2"/>
    <n v="250"/>
    <n v="500"/>
    <n v="0"/>
    <m/>
    <m/>
    <m/>
    <m/>
    <n v="0"/>
    <n v="0"/>
    <n v="46272.45855302643"/>
  </r>
  <r>
    <x v="141"/>
    <x v="4"/>
    <x v="199"/>
    <x v="0"/>
    <x v="1"/>
    <x v="1444"/>
    <x v="25"/>
    <s v="NAKİT"/>
    <n v="1"/>
    <n v="150"/>
    <n v="0"/>
    <n v="0"/>
    <m/>
    <m/>
    <m/>
    <m/>
    <n v="150"/>
    <n v="0"/>
    <n v="46422.45855302643"/>
  </r>
  <r>
    <x v="141"/>
    <x v="4"/>
    <x v="232"/>
    <x v="0"/>
    <x v="1"/>
    <x v="1444"/>
    <x v="25"/>
    <s v="NAKİT"/>
    <n v="1"/>
    <n v="300"/>
    <n v="0"/>
    <n v="0"/>
    <m/>
    <m/>
    <m/>
    <m/>
    <n v="300"/>
    <n v="0"/>
    <n v="46722.45855302643"/>
  </r>
  <r>
    <x v="141"/>
    <x v="4"/>
    <x v="30"/>
    <x v="0"/>
    <x v="5"/>
    <x v="1445"/>
    <x v="25"/>
    <s v="POS"/>
    <n v="0.14599999999999999"/>
    <n v="500"/>
    <n v="73"/>
    <n v="0"/>
    <m/>
    <m/>
    <m/>
    <m/>
    <n v="0"/>
    <n v="0"/>
    <n v="46722.45855302643"/>
  </r>
  <r>
    <x v="141"/>
    <x v="4"/>
    <x v="31"/>
    <x v="0"/>
    <x v="5"/>
    <x v="1445"/>
    <x v="25"/>
    <s v="POS"/>
    <n v="0.13750000000000001"/>
    <n v="380"/>
    <n v="52.250000000000007"/>
    <n v="0"/>
    <m/>
    <m/>
    <m/>
    <m/>
    <n v="0"/>
    <n v="0"/>
    <n v="46722.45855302643"/>
  </r>
  <r>
    <x v="141"/>
    <x v="4"/>
    <x v="263"/>
    <x v="0"/>
    <x v="1"/>
    <x v="1446"/>
    <x v="25"/>
    <s v="NAKİT"/>
    <n v="1"/>
    <n v="120"/>
    <n v="0"/>
    <n v="0"/>
    <m/>
    <m/>
    <m/>
    <m/>
    <n v="120"/>
    <n v="0"/>
    <n v="46842.45855302643"/>
  </r>
  <r>
    <x v="141"/>
    <x v="4"/>
    <x v="23"/>
    <x v="0"/>
    <x v="5"/>
    <x v="1447"/>
    <x v="25"/>
    <s v="POS"/>
    <n v="9.3333333333333338E-2"/>
    <n v="300"/>
    <n v="28"/>
    <n v="0"/>
    <m/>
    <m/>
    <m/>
    <m/>
    <n v="0"/>
    <n v="0"/>
    <n v="46842.45855302643"/>
  </r>
  <r>
    <x v="141"/>
    <x v="4"/>
    <x v="67"/>
    <x v="0"/>
    <x v="5"/>
    <x v="1447"/>
    <x v="25"/>
    <s v="POS"/>
    <n v="0.1"/>
    <n v="1070"/>
    <n v="107"/>
    <n v="0"/>
    <m/>
    <m/>
    <m/>
    <m/>
    <n v="0"/>
    <n v="0"/>
    <n v="46842.45855302643"/>
  </r>
  <r>
    <x v="141"/>
    <x v="4"/>
    <x v="257"/>
    <x v="0"/>
    <x v="5"/>
    <x v="1447"/>
    <x v="25"/>
    <s v="POS"/>
    <n v="1"/>
    <n v="170"/>
    <n v="170"/>
    <n v="0"/>
    <m/>
    <m/>
    <m/>
    <m/>
    <n v="0"/>
    <n v="0"/>
    <n v="46842.45855302643"/>
  </r>
  <r>
    <x v="141"/>
    <x v="4"/>
    <x v="264"/>
    <x v="0"/>
    <x v="5"/>
    <x v="1447"/>
    <x v="25"/>
    <s v="POS"/>
    <n v="1"/>
    <n v="145"/>
    <n v="145"/>
    <n v="0"/>
    <m/>
    <m/>
    <m/>
    <m/>
    <n v="0"/>
    <n v="0"/>
    <n v="46842.45855302643"/>
  </r>
  <r>
    <x v="141"/>
    <x v="4"/>
    <x v="197"/>
    <x v="0"/>
    <x v="1"/>
    <x v="1448"/>
    <x v="25"/>
    <s v="NAKİT"/>
    <n v="0.5"/>
    <n v="200"/>
    <n v="0"/>
    <n v="0"/>
    <m/>
    <m/>
    <m/>
    <m/>
    <n v="100"/>
    <n v="0"/>
    <n v="46942.45855302643"/>
  </r>
  <r>
    <x v="141"/>
    <x v="4"/>
    <x v="59"/>
    <x v="0"/>
    <x v="1"/>
    <x v="1448"/>
    <x v="25"/>
    <s v="NAKİT"/>
    <n v="0.1"/>
    <n v="450"/>
    <n v="0"/>
    <n v="0"/>
    <m/>
    <m/>
    <m/>
    <m/>
    <n v="45"/>
    <n v="0"/>
    <n v="46987.45855302643"/>
  </r>
  <r>
    <x v="141"/>
    <x v="4"/>
    <x v="33"/>
    <x v="0"/>
    <x v="1"/>
    <x v="1448"/>
    <x v="25"/>
    <s v="NAKİT"/>
    <n v="0.1125"/>
    <n v="400"/>
    <n v="0"/>
    <n v="0"/>
    <m/>
    <m/>
    <m/>
    <m/>
    <n v="45"/>
    <n v="0"/>
    <n v="47032.45855302643"/>
  </r>
  <r>
    <x v="141"/>
    <x v="4"/>
    <x v="370"/>
    <x v="0"/>
    <x v="5"/>
    <x v="1449"/>
    <x v="25"/>
    <s v="POS"/>
    <n v="3.7999999999999999E-2"/>
    <n v="1000"/>
    <n v="38"/>
    <n v="0"/>
    <m/>
    <m/>
    <m/>
    <m/>
    <n v="0"/>
    <n v="0"/>
    <n v="47032.45855302643"/>
  </r>
  <r>
    <x v="141"/>
    <x v="4"/>
    <x v="62"/>
    <x v="0"/>
    <x v="5"/>
    <x v="1449"/>
    <x v="25"/>
    <s v="POS"/>
    <n v="1"/>
    <n v="60"/>
    <n v="60"/>
    <n v="0"/>
    <m/>
    <m/>
    <m/>
    <m/>
    <n v="0"/>
    <n v="0"/>
    <n v="47032.45855302643"/>
  </r>
  <r>
    <x v="141"/>
    <x v="4"/>
    <x v="51"/>
    <x v="0"/>
    <x v="5"/>
    <x v="1449"/>
    <x v="25"/>
    <s v="POS"/>
    <n v="0.1"/>
    <n v="400"/>
    <n v="40"/>
    <n v="0"/>
    <m/>
    <m/>
    <m/>
    <m/>
    <n v="0"/>
    <n v="0"/>
    <n v="47032.45855302643"/>
  </r>
  <r>
    <x v="141"/>
    <x v="4"/>
    <x v="48"/>
    <x v="0"/>
    <x v="5"/>
    <x v="1449"/>
    <x v="25"/>
    <s v="POS"/>
    <n v="0.05"/>
    <n v="1500"/>
    <n v="75"/>
    <n v="0"/>
    <m/>
    <m/>
    <m/>
    <m/>
    <n v="0"/>
    <n v="0"/>
    <n v="47032.45855302643"/>
  </r>
  <r>
    <x v="141"/>
    <x v="4"/>
    <x v="88"/>
    <x v="0"/>
    <x v="5"/>
    <x v="1449"/>
    <x v="25"/>
    <s v="POS"/>
    <n v="0.05"/>
    <n v="1200"/>
    <n v="60"/>
    <n v="0"/>
    <m/>
    <m/>
    <m/>
    <m/>
    <n v="0"/>
    <n v="0"/>
    <n v="47032.45855302643"/>
  </r>
  <r>
    <x v="141"/>
    <x v="4"/>
    <x v="29"/>
    <x v="0"/>
    <x v="5"/>
    <x v="1449"/>
    <x v="25"/>
    <s v="POS"/>
    <n v="3.4000000000000002E-2"/>
    <n v="750"/>
    <n v="25.500000000000004"/>
    <n v="0"/>
    <m/>
    <m/>
    <m/>
    <m/>
    <n v="0"/>
    <n v="0"/>
    <n v="47032.45855302643"/>
  </r>
  <r>
    <x v="141"/>
    <x v="4"/>
    <x v="142"/>
    <x v="0"/>
    <x v="5"/>
    <x v="1449"/>
    <x v="25"/>
    <s v="POS"/>
    <n v="1.008"/>
    <n v="250"/>
    <n v="252"/>
    <n v="0"/>
    <m/>
    <m/>
    <m/>
    <m/>
    <n v="0"/>
    <n v="0"/>
    <n v="47032.45855302643"/>
  </r>
  <r>
    <x v="141"/>
    <x v="4"/>
    <x v="248"/>
    <x v="0"/>
    <x v="5"/>
    <x v="1449"/>
    <x v="25"/>
    <s v="POS"/>
    <n v="0.29199999999999998"/>
    <n v="685"/>
    <n v="200.01999999999998"/>
    <n v="0"/>
    <m/>
    <m/>
    <m/>
    <m/>
    <n v="0"/>
    <n v="0"/>
    <n v="47032.45855302643"/>
  </r>
  <r>
    <x v="141"/>
    <x v="4"/>
    <x v="150"/>
    <x v="0"/>
    <x v="5"/>
    <x v="1449"/>
    <x v="25"/>
    <s v="POS"/>
    <n v="1"/>
    <n v="250"/>
    <n v="250"/>
    <n v="0"/>
    <m/>
    <m/>
    <m/>
    <m/>
    <n v="0"/>
    <n v="0"/>
    <n v="47032.45855302643"/>
  </r>
  <r>
    <x v="141"/>
    <x v="4"/>
    <x v="18"/>
    <x v="0"/>
    <x v="1"/>
    <x v="1450"/>
    <x v="25"/>
    <s v="NAKİT"/>
    <n v="1"/>
    <n v="250"/>
    <n v="0"/>
    <n v="0"/>
    <m/>
    <m/>
    <m/>
    <m/>
    <n v="250"/>
    <n v="0"/>
    <n v="47282.45855302643"/>
  </r>
  <r>
    <x v="141"/>
    <x v="4"/>
    <x v="21"/>
    <x v="0"/>
    <x v="1"/>
    <x v="1450"/>
    <x v="25"/>
    <s v="NAKİT"/>
    <n v="1"/>
    <n v="250"/>
    <n v="0"/>
    <n v="0"/>
    <m/>
    <m/>
    <m/>
    <m/>
    <n v="250"/>
    <n v="0"/>
    <n v="47532.45855302643"/>
  </r>
  <r>
    <x v="141"/>
    <x v="4"/>
    <x v="58"/>
    <x v="0"/>
    <x v="1"/>
    <x v="1450"/>
    <x v="25"/>
    <s v="NAKİT"/>
    <n v="1"/>
    <n v="230"/>
    <n v="0"/>
    <n v="0"/>
    <m/>
    <m/>
    <m/>
    <m/>
    <n v="230"/>
    <n v="0"/>
    <n v="47762.45855302643"/>
  </r>
  <r>
    <x v="141"/>
    <x v="4"/>
    <x v="199"/>
    <x v="0"/>
    <x v="1"/>
    <x v="1450"/>
    <x v="25"/>
    <s v="NAKİT"/>
    <n v="2"/>
    <n v="150"/>
    <n v="0"/>
    <n v="0"/>
    <m/>
    <m/>
    <m/>
    <m/>
    <n v="300"/>
    <n v="0"/>
    <n v="48062.45855302643"/>
  </r>
  <r>
    <x v="141"/>
    <x v="4"/>
    <x v="27"/>
    <x v="0"/>
    <x v="1"/>
    <x v="1450"/>
    <x v="25"/>
    <s v="NAKİT"/>
    <n v="0.125"/>
    <n v="400"/>
    <n v="0"/>
    <n v="0"/>
    <m/>
    <m/>
    <m/>
    <m/>
    <n v="50"/>
    <n v="0"/>
    <n v="48112.45855302643"/>
  </r>
  <r>
    <x v="141"/>
    <x v="4"/>
    <x v="24"/>
    <x v="0"/>
    <x v="1"/>
    <x v="1450"/>
    <x v="25"/>
    <s v="NAKİT"/>
    <n v="0.154"/>
    <n v="650"/>
    <n v="0"/>
    <n v="0"/>
    <m/>
    <m/>
    <m/>
    <m/>
    <n v="100.1"/>
    <n v="0"/>
    <n v="48212.558553026429"/>
  </r>
  <r>
    <x v="141"/>
    <x v="4"/>
    <x v="30"/>
    <x v="0"/>
    <x v="1"/>
    <x v="1450"/>
    <x v="25"/>
    <s v="NAKİT"/>
    <n v="0.2"/>
    <n v="500"/>
    <n v="0"/>
    <n v="0"/>
    <m/>
    <m/>
    <m/>
    <m/>
    <n v="100"/>
    <n v="0"/>
    <n v="48312.558553026429"/>
  </r>
  <r>
    <x v="141"/>
    <x v="4"/>
    <x v="344"/>
    <x v="0"/>
    <x v="1"/>
    <x v="1451"/>
    <x v="25"/>
    <s v="NAKİT"/>
    <n v="0.38"/>
    <n v="450"/>
    <n v="0"/>
    <n v="0"/>
    <m/>
    <m/>
    <m/>
    <m/>
    <n v="171"/>
    <n v="0"/>
    <n v="48483.558553026429"/>
  </r>
  <r>
    <x v="141"/>
    <x v="4"/>
    <x v="30"/>
    <x v="0"/>
    <x v="1"/>
    <x v="1451"/>
    <x v="25"/>
    <s v="NAKİT"/>
    <n v="0.2"/>
    <n v="500"/>
    <n v="0"/>
    <n v="0"/>
    <m/>
    <m/>
    <m/>
    <m/>
    <n v="100"/>
    <n v="0"/>
    <n v="48583.558553026429"/>
  </r>
  <r>
    <x v="141"/>
    <x v="4"/>
    <x v="27"/>
    <x v="0"/>
    <x v="1"/>
    <x v="1451"/>
    <x v="25"/>
    <s v="NAKİT"/>
    <n v="0.125"/>
    <n v="400"/>
    <n v="0"/>
    <n v="0"/>
    <m/>
    <m/>
    <m/>
    <m/>
    <n v="50"/>
    <n v="0"/>
    <n v="48633.558553026429"/>
  </r>
  <r>
    <x v="141"/>
    <x v="4"/>
    <x v="29"/>
    <x v="0"/>
    <x v="1"/>
    <x v="1451"/>
    <x v="25"/>
    <s v="NAKİT"/>
    <n v="6.7000000000000004E-2"/>
    <n v="750"/>
    <n v="0"/>
    <n v="0"/>
    <m/>
    <m/>
    <m/>
    <m/>
    <n v="50.25"/>
    <n v="0"/>
    <n v="48683.808553026429"/>
  </r>
  <r>
    <x v="141"/>
    <x v="4"/>
    <x v="197"/>
    <x v="0"/>
    <x v="1"/>
    <x v="1451"/>
    <x v="25"/>
    <s v="NAKİT"/>
    <n v="0.5"/>
    <n v="200"/>
    <n v="0"/>
    <n v="0"/>
    <m/>
    <m/>
    <m/>
    <m/>
    <n v="100"/>
    <n v="0"/>
    <n v="48783.808553026429"/>
  </r>
  <r>
    <x v="141"/>
    <x v="4"/>
    <x v="56"/>
    <x v="0"/>
    <x v="1"/>
    <x v="1451"/>
    <x v="25"/>
    <s v="NAKİT"/>
    <n v="0.5"/>
    <n v="200"/>
    <n v="0"/>
    <n v="0"/>
    <m/>
    <m/>
    <m/>
    <m/>
    <n v="100"/>
    <n v="0"/>
    <n v="48883.808553026429"/>
  </r>
  <r>
    <x v="141"/>
    <x v="4"/>
    <x v="248"/>
    <x v="0"/>
    <x v="1"/>
    <x v="1451"/>
    <x v="25"/>
    <s v="NAKİT"/>
    <n v="0.36199999999999999"/>
    <n v="690"/>
    <n v="0"/>
    <n v="0"/>
    <m/>
    <m/>
    <m/>
    <m/>
    <n v="249.78"/>
    <n v="0"/>
    <n v="49133.588553026428"/>
  </r>
  <r>
    <x v="141"/>
    <x v="4"/>
    <x v="199"/>
    <x v="0"/>
    <x v="1"/>
    <x v="1451"/>
    <x v="25"/>
    <s v="NAKİT"/>
    <n v="2"/>
    <n v="150"/>
    <n v="0"/>
    <n v="0"/>
    <m/>
    <m/>
    <m/>
    <m/>
    <n v="300"/>
    <n v="0"/>
    <n v="49433.588553026428"/>
  </r>
  <r>
    <x v="141"/>
    <x v="4"/>
    <x v="36"/>
    <x v="0"/>
    <x v="1"/>
    <x v="1451"/>
    <x v="25"/>
    <s v="NAKİT"/>
    <n v="0.27800000000000002"/>
    <n v="180"/>
    <n v="0"/>
    <n v="0"/>
    <m/>
    <m/>
    <m/>
    <m/>
    <n v="50.040000000000006"/>
    <n v="0"/>
    <n v="49483.628553026429"/>
  </r>
  <r>
    <x v="141"/>
    <x v="4"/>
    <x v="128"/>
    <x v="0"/>
    <x v="1"/>
    <x v="1451"/>
    <x v="25"/>
    <s v="NAKİT"/>
    <n v="0.5"/>
    <n v="200"/>
    <n v="0"/>
    <n v="0"/>
    <m/>
    <m/>
    <m/>
    <m/>
    <n v="100"/>
    <n v="0"/>
    <n v="49583.628553026429"/>
  </r>
  <r>
    <x v="141"/>
    <x v="4"/>
    <x v="116"/>
    <x v="0"/>
    <x v="1"/>
    <x v="1451"/>
    <x v="25"/>
    <s v="NAKİT"/>
    <n v="0.28000000000000003"/>
    <n v="430"/>
    <n v="0"/>
    <n v="0"/>
    <m/>
    <m/>
    <m/>
    <m/>
    <n v="120.4"/>
    <n v="0"/>
    <n v="49704.02855302643"/>
  </r>
  <r>
    <x v="141"/>
    <x v="4"/>
    <x v="257"/>
    <x v="0"/>
    <x v="1"/>
    <x v="1451"/>
    <x v="25"/>
    <s v="NAKİT"/>
    <n v="1"/>
    <n v="170"/>
    <n v="0"/>
    <n v="0"/>
    <m/>
    <m/>
    <m/>
    <m/>
    <n v="170"/>
    <n v="0"/>
    <n v="49874.02855302643"/>
  </r>
  <r>
    <x v="141"/>
    <x v="4"/>
    <x v="52"/>
    <x v="0"/>
    <x v="1"/>
    <x v="1451"/>
    <x v="25"/>
    <s v="NAKİT"/>
    <n v="0.1"/>
    <n v="400"/>
    <n v="0"/>
    <n v="0"/>
    <m/>
    <m/>
    <m/>
    <m/>
    <n v="40"/>
    <n v="0"/>
    <n v="49914.02855302643"/>
  </r>
  <r>
    <x v="141"/>
    <x v="4"/>
    <x v="54"/>
    <x v="0"/>
    <x v="1"/>
    <x v="1451"/>
    <x v="25"/>
    <s v="NAKİT"/>
    <n v="0.1"/>
    <n v="400"/>
    <n v="0"/>
    <n v="0"/>
    <m/>
    <m/>
    <m/>
    <m/>
    <n v="40"/>
    <n v="0"/>
    <n v="49954.02855302643"/>
  </r>
  <r>
    <x v="141"/>
    <x v="4"/>
    <x v="34"/>
    <x v="0"/>
    <x v="1"/>
    <x v="1451"/>
    <x v="25"/>
    <s v="NAKİT"/>
    <n v="0.1"/>
    <n v="600"/>
    <n v="0"/>
    <n v="0"/>
    <m/>
    <m/>
    <m/>
    <m/>
    <n v="60"/>
    <n v="0"/>
    <n v="50014.02855302643"/>
  </r>
  <r>
    <x v="141"/>
    <x v="4"/>
    <x v="50"/>
    <x v="0"/>
    <x v="1"/>
    <x v="1451"/>
    <x v="25"/>
    <s v="NAKİT"/>
    <n v="0.1"/>
    <n v="650"/>
    <n v="0"/>
    <n v="0"/>
    <m/>
    <m/>
    <m/>
    <m/>
    <n v="65"/>
    <n v="0"/>
    <n v="50079.02855302643"/>
  </r>
  <r>
    <x v="141"/>
    <x v="4"/>
    <x v="49"/>
    <x v="0"/>
    <x v="1"/>
    <x v="1451"/>
    <x v="25"/>
    <s v="NAKİT"/>
    <n v="0.1"/>
    <n v="600"/>
    <n v="0"/>
    <n v="0"/>
    <m/>
    <m/>
    <m/>
    <m/>
    <n v="60"/>
    <n v="0"/>
    <n v="50139.02855302643"/>
  </r>
  <r>
    <x v="141"/>
    <x v="4"/>
    <x v="93"/>
    <x v="0"/>
    <x v="1"/>
    <x v="1451"/>
    <x v="25"/>
    <s v="NAKİT"/>
    <n v="1"/>
    <n v="340"/>
    <n v="0"/>
    <n v="0"/>
    <m/>
    <m/>
    <m/>
    <m/>
    <n v="340"/>
    <n v="0"/>
    <n v="50479.02855302643"/>
  </r>
  <r>
    <x v="141"/>
    <x v="4"/>
    <x v="31"/>
    <x v="0"/>
    <x v="1"/>
    <x v="1451"/>
    <x v="25"/>
    <s v="NAKİT"/>
    <n v="0.46500000000000002"/>
    <n v="400"/>
    <n v="0"/>
    <n v="0"/>
    <m/>
    <m/>
    <m/>
    <m/>
    <n v="186"/>
    <n v="0"/>
    <n v="50665.02855302643"/>
  </r>
  <r>
    <x v="141"/>
    <x v="4"/>
    <x v="286"/>
    <x v="0"/>
    <x v="1"/>
    <x v="1451"/>
    <x v="25"/>
    <s v="NAKİT"/>
    <n v="1.54"/>
    <n v="65"/>
    <n v="0"/>
    <n v="0"/>
    <m/>
    <m/>
    <m/>
    <m/>
    <n v="100.10000000000001"/>
    <n v="0"/>
    <n v="50765.128553026429"/>
  </r>
  <r>
    <x v="141"/>
    <x v="4"/>
    <x v="28"/>
    <x v="0"/>
    <x v="1"/>
    <x v="1451"/>
    <x v="25"/>
    <s v="NAKİT"/>
    <n v="0.3"/>
    <n v="500"/>
    <n v="0"/>
    <n v="0"/>
    <m/>
    <m/>
    <m/>
    <m/>
    <n v="150"/>
    <n v="0"/>
    <n v="50915.128553026429"/>
  </r>
  <r>
    <x v="141"/>
    <x v="4"/>
    <x v="15"/>
    <x v="0"/>
    <x v="1"/>
    <x v="1451"/>
    <x v="25"/>
    <s v="NAKİT"/>
    <n v="1"/>
    <n v="240"/>
    <n v="0"/>
    <n v="0"/>
    <m/>
    <m/>
    <m/>
    <m/>
    <n v="240"/>
    <n v="0"/>
    <n v="51155.128553026429"/>
  </r>
  <r>
    <x v="141"/>
    <x v="4"/>
    <x v="199"/>
    <x v="0"/>
    <x v="1"/>
    <x v="1452"/>
    <x v="25"/>
    <s v="NAKİT"/>
    <n v="2"/>
    <n v="150"/>
    <n v="0"/>
    <n v="0"/>
    <m/>
    <m/>
    <m/>
    <m/>
    <n v="300"/>
    <n v="0"/>
    <n v="51455.128553026429"/>
  </r>
  <r>
    <x v="141"/>
    <x v="4"/>
    <x v="21"/>
    <x v="0"/>
    <x v="1"/>
    <x v="1452"/>
    <x v="25"/>
    <s v="NAKİT"/>
    <n v="1"/>
    <n v="250"/>
    <n v="0"/>
    <n v="0"/>
    <m/>
    <m/>
    <m/>
    <m/>
    <n v="250"/>
    <n v="0"/>
    <n v="51705.128553026429"/>
  </r>
  <r>
    <x v="141"/>
    <x v="4"/>
    <x v="27"/>
    <x v="0"/>
    <x v="1"/>
    <x v="1452"/>
    <x v="25"/>
    <s v="NAKİT"/>
    <n v="0.25"/>
    <n v="400"/>
    <n v="0"/>
    <n v="0"/>
    <m/>
    <m/>
    <m/>
    <m/>
    <n v="100"/>
    <n v="0"/>
    <n v="51805.128553026429"/>
  </r>
  <r>
    <x v="141"/>
    <x v="4"/>
    <x v="24"/>
    <x v="0"/>
    <x v="1"/>
    <x v="1452"/>
    <x v="25"/>
    <s v="NAKİT"/>
    <n v="0.154"/>
    <n v="650"/>
    <n v="0"/>
    <n v="0"/>
    <m/>
    <m/>
    <m/>
    <m/>
    <n v="100.1"/>
    <n v="0"/>
    <n v="51905.228553026427"/>
  </r>
  <r>
    <x v="141"/>
    <x v="4"/>
    <x v="199"/>
    <x v="0"/>
    <x v="1"/>
    <x v="1453"/>
    <x v="111"/>
    <s v="NAKİT"/>
    <n v="4"/>
    <n v="150"/>
    <n v="0"/>
    <n v="0"/>
    <m/>
    <m/>
    <m/>
    <m/>
    <n v="600"/>
    <n v="0"/>
    <n v="52505.228553026427"/>
  </r>
  <r>
    <x v="141"/>
    <x v="4"/>
    <x v="199"/>
    <x v="0"/>
    <x v="1"/>
    <x v="1453"/>
    <x v="111"/>
    <s v="NAKİT"/>
    <n v="1"/>
    <n v="150"/>
    <n v="0"/>
    <n v="0"/>
    <m/>
    <m/>
    <m/>
    <m/>
    <n v="150"/>
    <n v="0"/>
    <n v="52655.228553026427"/>
  </r>
  <r>
    <x v="141"/>
    <x v="4"/>
    <x v="198"/>
    <x v="0"/>
    <x v="1"/>
    <x v="1453"/>
    <x v="111"/>
    <s v="NAKİT"/>
    <n v="1"/>
    <n v="200"/>
    <n v="0"/>
    <n v="0"/>
    <m/>
    <m/>
    <m/>
    <m/>
    <n v="200"/>
    <n v="0"/>
    <n v="52855.228553026427"/>
  </r>
  <r>
    <x v="141"/>
    <x v="4"/>
    <x v="199"/>
    <x v="0"/>
    <x v="1"/>
    <x v="1453"/>
    <x v="111"/>
    <s v="NAKİT"/>
    <n v="2"/>
    <n v="150"/>
    <n v="0"/>
    <n v="0"/>
    <m/>
    <m/>
    <m/>
    <m/>
    <n v="300"/>
    <n v="0"/>
    <n v="53155.228553026427"/>
  </r>
  <r>
    <x v="141"/>
    <x v="4"/>
    <x v="199"/>
    <x v="0"/>
    <x v="1"/>
    <x v="1453"/>
    <x v="111"/>
    <s v="NAKİT"/>
    <n v="2"/>
    <n v="150"/>
    <n v="0"/>
    <n v="0"/>
    <m/>
    <m/>
    <m/>
    <m/>
    <n v="300"/>
    <n v="0"/>
    <n v="53455.228553026427"/>
  </r>
  <r>
    <x v="141"/>
    <x v="4"/>
    <x v="56"/>
    <x v="0"/>
    <x v="1"/>
    <x v="1453"/>
    <x v="111"/>
    <s v="NAKİT"/>
    <n v="1"/>
    <n v="200"/>
    <n v="0"/>
    <n v="0"/>
    <m/>
    <m/>
    <m/>
    <m/>
    <n v="200"/>
    <n v="0"/>
    <n v="53655.228553026427"/>
  </r>
  <r>
    <x v="141"/>
    <x v="4"/>
    <x v="58"/>
    <x v="0"/>
    <x v="1"/>
    <x v="1453"/>
    <x v="111"/>
    <s v="NAKİT"/>
    <n v="1"/>
    <n v="230"/>
    <n v="0"/>
    <n v="0"/>
    <m/>
    <m/>
    <m/>
    <m/>
    <n v="230"/>
    <n v="0"/>
    <n v="53885.228553026427"/>
  </r>
  <r>
    <x v="141"/>
    <x v="4"/>
    <x v="19"/>
    <x v="0"/>
    <x v="1"/>
    <x v="1453"/>
    <x v="111"/>
    <s v="NAKİT"/>
    <n v="1"/>
    <n v="230"/>
    <n v="0"/>
    <n v="0"/>
    <m/>
    <m/>
    <m/>
    <m/>
    <n v="230"/>
    <n v="0"/>
    <n v="54115.228553026427"/>
  </r>
  <r>
    <x v="141"/>
    <x v="4"/>
    <x v="18"/>
    <x v="0"/>
    <x v="1"/>
    <x v="1453"/>
    <x v="111"/>
    <s v="NAKİT"/>
    <n v="1"/>
    <n v="250"/>
    <n v="0"/>
    <n v="0"/>
    <m/>
    <m/>
    <m/>
    <m/>
    <n v="250"/>
    <n v="0"/>
    <n v="54365.228553026427"/>
  </r>
  <r>
    <x v="141"/>
    <x v="4"/>
    <x v="18"/>
    <x v="0"/>
    <x v="1"/>
    <x v="1453"/>
    <x v="111"/>
    <s v="NAKİT"/>
    <n v="1"/>
    <n v="250"/>
    <n v="0"/>
    <n v="0"/>
    <m/>
    <m/>
    <m/>
    <m/>
    <n v="250"/>
    <n v="0"/>
    <n v="54615.228553026427"/>
  </r>
  <r>
    <x v="141"/>
    <x v="4"/>
    <x v="58"/>
    <x v="0"/>
    <x v="1"/>
    <x v="1453"/>
    <x v="111"/>
    <s v="NAKİT"/>
    <n v="1"/>
    <n v="230"/>
    <n v="0"/>
    <n v="0"/>
    <m/>
    <m/>
    <m/>
    <m/>
    <n v="230"/>
    <n v="0"/>
    <n v="54845.228553026427"/>
  </r>
  <r>
    <x v="141"/>
    <x v="4"/>
    <x v="24"/>
    <x v="0"/>
    <x v="1"/>
    <x v="1453"/>
    <x v="111"/>
    <s v="NAKİT"/>
    <n v="0.77"/>
    <n v="650"/>
    <n v="0"/>
    <n v="0"/>
    <m/>
    <m/>
    <m/>
    <m/>
    <n v="500.5"/>
    <n v="0"/>
    <n v="55345.728553026427"/>
  </r>
  <r>
    <x v="141"/>
    <x v="4"/>
    <x v="288"/>
    <x v="0"/>
    <x v="1"/>
    <x v="1453"/>
    <x v="111"/>
    <s v="NAKİT"/>
    <n v="0.92999999999999994"/>
    <n v="540"/>
    <n v="0"/>
    <n v="0"/>
    <m/>
    <m/>
    <m/>
    <m/>
    <n v="502.2"/>
    <n v="0"/>
    <n v="55847.928553026424"/>
  </r>
  <r>
    <x v="141"/>
    <x v="4"/>
    <x v="33"/>
    <x v="0"/>
    <x v="1"/>
    <x v="1453"/>
    <x v="111"/>
    <s v="NAKİT"/>
    <n v="1.25"/>
    <n v="400"/>
    <n v="0"/>
    <n v="0"/>
    <m/>
    <m/>
    <m/>
    <m/>
    <n v="500"/>
    <n v="0"/>
    <n v="56347.928553026424"/>
  </r>
  <r>
    <x v="141"/>
    <x v="4"/>
    <x v="25"/>
    <x v="0"/>
    <x v="1"/>
    <x v="1453"/>
    <x v="111"/>
    <s v="NAKİT"/>
    <n v="1.25"/>
    <n v="400"/>
    <n v="0"/>
    <n v="0"/>
    <m/>
    <m/>
    <m/>
    <m/>
    <n v="500"/>
    <n v="0"/>
    <n v="56847.928553026424"/>
  </r>
  <r>
    <x v="141"/>
    <x v="4"/>
    <x v="28"/>
    <x v="0"/>
    <x v="1"/>
    <x v="1453"/>
    <x v="111"/>
    <s v="NAKİT"/>
    <n v="1"/>
    <n v="500"/>
    <n v="0"/>
    <n v="0"/>
    <m/>
    <m/>
    <m/>
    <m/>
    <n v="500"/>
    <n v="0"/>
    <n v="57347.928553026424"/>
  </r>
  <r>
    <x v="141"/>
    <x v="4"/>
    <x v="27"/>
    <x v="0"/>
    <x v="1"/>
    <x v="1453"/>
    <x v="111"/>
    <s v="NAKİT"/>
    <n v="0.625"/>
    <n v="400"/>
    <n v="0"/>
    <n v="0"/>
    <m/>
    <m/>
    <m/>
    <m/>
    <n v="250"/>
    <n v="0"/>
    <n v="57597.928553026424"/>
  </r>
  <r>
    <x v="141"/>
    <x v="4"/>
    <x v="29"/>
    <x v="0"/>
    <x v="1"/>
    <x v="1453"/>
    <x v="111"/>
    <s v="NAKİT"/>
    <n v="0.33400000000000002"/>
    <n v="750"/>
    <n v="0"/>
    <n v="0"/>
    <m/>
    <m/>
    <m/>
    <m/>
    <n v="250.50000000000003"/>
    <n v="0"/>
    <n v="57848.428553026424"/>
  </r>
  <r>
    <x v="141"/>
    <x v="4"/>
    <x v="161"/>
    <x v="0"/>
    <x v="1"/>
    <x v="1453"/>
    <x v="111"/>
    <s v="NAKİT"/>
    <n v="1.25"/>
    <n v="400"/>
    <n v="0"/>
    <n v="0"/>
    <m/>
    <m/>
    <m/>
    <m/>
    <n v="500"/>
    <n v="0"/>
    <n v="58348.428553026424"/>
  </r>
  <r>
    <x v="141"/>
    <x v="4"/>
    <x v="56"/>
    <x v="0"/>
    <x v="1"/>
    <x v="1453"/>
    <x v="111"/>
    <s v="NAKİT"/>
    <n v="5"/>
    <n v="200"/>
    <n v="0"/>
    <n v="0"/>
    <m/>
    <m/>
    <m/>
    <m/>
    <n v="1000"/>
    <n v="0"/>
    <n v="59348.428553026424"/>
  </r>
  <r>
    <x v="141"/>
    <x v="4"/>
    <x v="197"/>
    <x v="0"/>
    <x v="1"/>
    <x v="1453"/>
    <x v="111"/>
    <s v="NAKİT"/>
    <n v="5"/>
    <n v="200"/>
    <n v="0"/>
    <n v="0"/>
    <m/>
    <m/>
    <m/>
    <m/>
    <n v="1000"/>
    <n v="0"/>
    <n v="60348.428553026424"/>
  </r>
  <r>
    <x v="141"/>
    <x v="4"/>
    <x v="199"/>
    <x v="0"/>
    <x v="1"/>
    <x v="1453"/>
    <x v="111"/>
    <s v="NAKİT"/>
    <n v="5"/>
    <n v="150"/>
    <n v="0"/>
    <n v="0"/>
    <m/>
    <m/>
    <m/>
    <m/>
    <n v="750"/>
    <n v="0"/>
    <n v="61098.428553026424"/>
  </r>
  <r>
    <x v="141"/>
    <x v="4"/>
    <x v="19"/>
    <x v="0"/>
    <x v="1"/>
    <x v="1453"/>
    <x v="111"/>
    <s v="NAKİT"/>
    <n v="2"/>
    <n v="230"/>
    <n v="0"/>
    <n v="0"/>
    <m/>
    <m/>
    <m/>
    <m/>
    <n v="460"/>
    <n v="0"/>
    <n v="61558.428553026424"/>
  </r>
  <r>
    <x v="141"/>
    <x v="4"/>
    <x v="21"/>
    <x v="0"/>
    <x v="1"/>
    <x v="1453"/>
    <x v="111"/>
    <s v="NAKİT"/>
    <n v="1"/>
    <n v="250"/>
    <n v="0"/>
    <n v="0"/>
    <m/>
    <m/>
    <m/>
    <m/>
    <n v="250"/>
    <n v="0"/>
    <n v="61808.428553026424"/>
  </r>
  <r>
    <x v="141"/>
    <x v="10"/>
    <x v="0"/>
    <x v="0"/>
    <x v="5"/>
    <x v="2"/>
    <x v="63"/>
    <s v="POS"/>
    <n v="1"/>
    <n v="350"/>
    <n v="0"/>
    <n v="350"/>
    <m/>
    <m/>
    <m/>
    <m/>
    <n v="350"/>
    <n v="0"/>
    <n v="62158.428553026424"/>
  </r>
  <r>
    <x v="142"/>
    <x v="4"/>
    <x v="360"/>
    <x v="0"/>
    <x v="1"/>
    <x v="1454"/>
    <x v="25"/>
    <s v="NAKİT"/>
    <n v="1"/>
    <n v="600"/>
    <n v="0"/>
    <n v="0"/>
    <m/>
    <m/>
    <m/>
    <m/>
    <n v="600"/>
    <n v="0"/>
    <n v="62758.428553026424"/>
  </r>
  <r>
    <x v="142"/>
    <x v="4"/>
    <x v="214"/>
    <x v="0"/>
    <x v="1"/>
    <x v="1454"/>
    <x v="25"/>
    <s v="NAKİT"/>
    <n v="1"/>
    <n v="250"/>
    <n v="0"/>
    <n v="0"/>
    <m/>
    <m/>
    <m/>
    <m/>
    <n v="250"/>
    <n v="0"/>
    <n v="63008.428553026424"/>
  </r>
  <r>
    <x v="142"/>
    <x v="4"/>
    <x v="55"/>
    <x v="0"/>
    <x v="1"/>
    <x v="1454"/>
    <x v="25"/>
    <s v="NAKİT"/>
    <n v="0.5"/>
    <n v="200"/>
    <n v="0"/>
    <n v="0"/>
    <m/>
    <m/>
    <m/>
    <m/>
    <n v="100"/>
    <n v="0"/>
    <n v="63108.428553026424"/>
  </r>
  <r>
    <x v="142"/>
    <x v="4"/>
    <x v="27"/>
    <x v="0"/>
    <x v="1"/>
    <x v="1454"/>
    <x v="25"/>
    <s v="NAKİT"/>
    <n v="5.8000000000000003E-2"/>
    <n v="400"/>
    <n v="0"/>
    <n v="0"/>
    <m/>
    <m/>
    <m/>
    <m/>
    <n v="23.200000000000003"/>
    <n v="0"/>
    <n v="63131.628553026421"/>
  </r>
  <r>
    <x v="142"/>
    <x v="4"/>
    <x v="24"/>
    <x v="0"/>
    <x v="1"/>
    <x v="1454"/>
    <x v="25"/>
    <s v="NAKİT"/>
    <n v="0.09"/>
    <n v="650"/>
    <n v="0"/>
    <n v="0"/>
    <m/>
    <m/>
    <m/>
    <m/>
    <n v="58.5"/>
    <n v="0"/>
    <n v="63190.128553026421"/>
  </r>
  <r>
    <x v="142"/>
    <x v="4"/>
    <x v="25"/>
    <x v="0"/>
    <x v="1"/>
    <x v="1454"/>
    <x v="25"/>
    <s v="NAKİT"/>
    <n v="0.12"/>
    <n v="400"/>
    <n v="0"/>
    <n v="0"/>
    <m/>
    <m/>
    <m/>
    <m/>
    <n v="48"/>
    <n v="0"/>
    <n v="63238.128553026421"/>
  </r>
  <r>
    <x v="142"/>
    <x v="4"/>
    <x v="386"/>
    <x v="0"/>
    <x v="1"/>
    <x v="1454"/>
    <x v="25"/>
    <s v="NAKİT"/>
    <n v="1"/>
    <n v="30"/>
    <n v="0"/>
    <n v="0"/>
    <m/>
    <m/>
    <m/>
    <m/>
    <n v="30"/>
    <n v="0"/>
    <n v="63268.128553026421"/>
  </r>
  <r>
    <x v="142"/>
    <x v="4"/>
    <x v="61"/>
    <x v="0"/>
    <x v="1"/>
    <x v="1455"/>
    <x v="25"/>
    <s v="NAKİT"/>
    <n v="9.1999999999999998E-2"/>
    <n v="770"/>
    <n v="0"/>
    <n v="0"/>
    <m/>
    <m/>
    <m/>
    <m/>
    <n v="70.84"/>
    <n v="0"/>
    <n v="63338.968553026418"/>
  </r>
  <r>
    <x v="142"/>
    <x v="4"/>
    <x v="24"/>
    <x v="0"/>
    <x v="1"/>
    <x v="1456"/>
    <x v="25"/>
    <s v="NAKİT"/>
    <n v="0.502"/>
    <n v="605"/>
    <n v="0"/>
    <n v="0"/>
    <m/>
    <m/>
    <m/>
    <m/>
    <n v="303.70999999999998"/>
    <n v="0"/>
    <n v="63642.678553026417"/>
  </r>
  <r>
    <x v="142"/>
    <x v="4"/>
    <x v="161"/>
    <x v="0"/>
    <x v="1"/>
    <x v="1456"/>
    <x v="25"/>
    <s v="NAKİT"/>
    <n v="0.66800000000000004"/>
    <n v="400"/>
    <n v="0"/>
    <n v="0"/>
    <m/>
    <m/>
    <m/>
    <m/>
    <n v="267.2"/>
    <n v="0"/>
    <n v="63909.878553026414"/>
  </r>
  <r>
    <x v="142"/>
    <x v="4"/>
    <x v="40"/>
    <x v="0"/>
    <x v="1"/>
    <x v="1456"/>
    <x v="25"/>
    <s v="NAKİT"/>
    <n v="0.20200000000000001"/>
    <n v="140"/>
    <n v="0"/>
    <n v="0"/>
    <m/>
    <m/>
    <m/>
    <m/>
    <n v="28.28"/>
    <n v="0"/>
    <n v="63938.158553026413"/>
  </r>
  <r>
    <x v="142"/>
    <x v="4"/>
    <x v="23"/>
    <x v="0"/>
    <x v="1"/>
    <x v="1456"/>
    <x v="25"/>
    <s v="NAKİT"/>
    <n v="0.33600000000000002"/>
    <n v="300"/>
    <n v="0"/>
    <n v="0"/>
    <m/>
    <m/>
    <m/>
    <m/>
    <n v="100.80000000000001"/>
    <n v="0"/>
    <n v="64038.958553026416"/>
  </r>
  <r>
    <x v="142"/>
    <x v="4"/>
    <x v="389"/>
    <x v="0"/>
    <x v="1"/>
    <x v="1456"/>
    <x v="25"/>
    <s v="NAKİT"/>
    <n v="1"/>
    <n v="550"/>
    <n v="0"/>
    <n v="0"/>
    <m/>
    <m/>
    <m/>
    <m/>
    <n v="550"/>
    <n v="0"/>
    <n v="64588.958553026416"/>
  </r>
  <r>
    <x v="142"/>
    <x v="4"/>
    <x v="18"/>
    <x v="0"/>
    <x v="5"/>
    <x v="1457"/>
    <x v="25"/>
    <s v="POS"/>
    <n v="1"/>
    <n v="230"/>
    <n v="230"/>
    <n v="0"/>
    <m/>
    <m/>
    <m/>
    <m/>
    <n v="0"/>
    <n v="0"/>
    <n v="64588.958553026416"/>
  </r>
  <r>
    <x v="142"/>
    <x v="4"/>
    <x v="58"/>
    <x v="0"/>
    <x v="5"/>
    <x v="1457"/>
    <x v="25"/>
    <s v="POS"/>
    <n v="1"/>
    <n v="230"/>
    <n v="230"/>
    <n v="0"/>
    <m/>
    <m/>
    <m/>
    <m/>
    <n v="0"/>
    <n v="0"/>
    <n v="64588.958553026416"/>
  </r>
  <r>
    <x v="142"/>
    <x v="4"/>
    <x v="154"/>
    <x v="0"/>
    <x v="5"/>
    <x v="1458"/>
    <x v="25"/>
    <s v="POS"/>
    <n v="1"/>
    <n v="180"/>
    <n v="180"/>
    <n v="0"/>
    <m/>
    <m/>
    <m/>
    <m/>
    <n v="0"/>
    <n v="0"/>
    <n v="64588.958553026416"/>
  </r>
  <r>
    <x v="142"/>
    <x v="4"/>
    <x v="381"/>
    <x v="0"/>
    <x v="5"/>
    <x v="1458"/>
    <x v="25"/>
    <s v="POS"/>
    <n v="1"/>
    <n v="100"/>
    <n v="100"/>
    <n v="0"/>
    <m/>
    <m/>
    <m/>
    <m/>
    <n v="0"/>
    <n v="0"/>
    <n v="64588.958553026416"/>
  </r>
  <r>
    <x v="142"/>
    <x v="4"/>
    <x v="354"/>
    <x v="0"/>
    <x v="5"/>
    <x v="1459"/>
    <x v="25"/>
    <s v="POS"/>
    <n v="0.1"/>
    <n v="800"/>
    <n v="80"/>
    <n v="0"/>
    <m/>
    <m/>
    <m/>
    <m/>
    <n v="0"/>
    <n v="0"/>
    <n v="64588.958553026416"/>
  </r>
  <r>
    <x v="142"/>
    <x v="4"/>
    <x v="49"/>
    <x v="0"/>
    <x v="1"/>
    <x v="1460"/>
    <x v="25"/>
    <s v="NAKİT"/>
    <n v="0.1"/>
    <n v="600"/>
    <n v="0"/>
    <n v="0"/>
    <m/>
    <m/>
    <m/>
    <m/>
    <n v="60"/>
    <n v="0"/>
    <n v="64648.958553026416"/>
  </r>
  <r>
    <x v="142"/>
    <x v="4"/>
    <x v="23"/>
    <x v="0"/>
    <x v="1"/>
    <x v="1460"/>
    <x v="25"/>
    <s v="NAKİT"/>
    <n v="0.16800000000000001"/>
    <n v="300"/>
    <n v="0"/>
    <n v="0"/>
    <m/>
    <m/>
    <m/>
    <m/>
    <n v="50.400000000000006"/>
    <n v="0"/>
    <n v="64699.358553026417"/>
  </r>
  <r>
    <x v="142"/>
    <x v="4"/>
    <x v="142"/>
    <x v="0"/>
    <x v="5"/>
    <x v="1461"/>
    <x v="25"/>
    <s v="POS"/>
    <n v="0.41199999999999998"/>
    <n v="250"/>
    <n v="103"/>
    <n v="0"/>
    <m/>
    <m/>
    <m/>
    <m/>
    <n v="0"/>
    <n v="0"/>
    <n v="64699.358553026417"/>
  </r>
  <r>
    <x v="142"/>
    <x v="4"/>
    <x v="248"/>
    <x v="0"/>
    <x v="5"/>
    <x v="1461"/>
    <x v="25"/>
    <s v="POS"/>
    <n v="0.23478260869565218"/>
    <n v="627"/>
    <n v="147.20869565217393"/>
    <n v="0"/>
    <m/>
    <m/>
    <m/>
    <m/>
    <n v="0"/>
    <n v="0"/>
    <n v="64699.358553026417"/>
  </r>
  <r>
    <x v="142"/>
    <x v="10"/>
    <x v="0"/>
    <x v="0"/>
    <x v="5"/>
    <x v="2"/>
    <x v="63"/>
    <s v="POS"/>
    <n v="1"/>
    <n v="1161"/>
    <n v="0"/>
    <n v="1161"/>
    <m/>
    <m/>
    <m/>
    <m/>
    <n v="1161"/>
    <n v="0"/>
    <n v="65860.358553026424"/>
  </r>
  <r>
    <x v="142"/>
    <x v="10"/>
    <x v="0"/>
    <x v="0"/>
    <x v="5"/>
    <x v="2"/>
    <x v="63"/>
    <s v="POS"/>
    <n v="1"/>
    <n v="390"/>
    <n v="0"/>
    <n v="390"/>
    <m/>
    <m/>
    <m/>
    <m/>
    <n v="390"/>
    <n v="0"/>
    <n v="66250.358553026424"/>
  </r>
  <r>
    <x v="143"/>
    <x v="3"/>
    <x v="400"/>
    <x v="0"/>
    <x v="4"/>
    <x v="1462"/>
    <x v="32"/>
    <s v="CARİ"/>
    <n v="1"/>
    <n v="2250"/>
    <n v="0"/>
    <n v="2250"/>
    <m/>
    <m/>
    <m/>
    <m/>
    <n v="0"/>
    <n v="0"/>
    <n v="66250.358553026424"/>
  </r>
  <r>
    <x v="143"/>
    <x v="3"/>
    <x v="401"/>
    <x v="0"/>
    <x v="4"/>
    <x v="1462"/>
    <x v="32"/>
    <s v="CARİ"/>
    <n v="1"/>
    <n v="2200"/>
    <n v="0"/>
    <n v="2200"/>
    <m/>
    <m/>
    <m/>
    <m/>
    <n v="0"/>
    <n v="0"/>
    <n v="66250.358553026424"/>
  </r>
  <r>
    <x v="143"/>
    <x v="3"/>
    <x v="244"/>
    <x v="0"/>
    <x v="4"/>
    <x v="1462"/>
    <x v="32"/>
    <s v="CARİ"/>
    <n v="10"/>
    <n v="67"/>
    <n v="0"/>
    <n v="670"/>
    <m/>
    <m/>
    <m/>
    <m/>
    <n v="0"/>
    <n v="0"/>
    <n v="66250.358553026424"/>
  </r>
  <r>
    <x v="143"/>
    <x v="3"/>
    <x v="68"/>
    <x v="0"/>
    <x v="4"/>
    <x v="1462"/>
    <x v="32"/>
    <s v="CARİ"/>
    <n v="5"/>
    <n v="585"/>
    <n v="0"/>
    <n v="2925"/>
    <m/>
    <m/>
    <m/>
    <m/>
    <n v="0"/>
    <n v="0"/>
    <n v="66250.358553026424"/>
  </r>
  <r>
    <x v="143"/>
    <x v="3"/>
    <x v="122"/>
    <x v="0"/>
    <x v="4"/>
    <x v="1462"/>
    <x v="32"/>
    <s v="CARİ"/>
    <n v="5"/>
    <n v="950"/>
    <n v="0"/>
    <n v="4750"/>
    <m/>
    <m/>
    <m/>
    <m/>
    <n v="0"/>
    <n v="0"/>
    <n v="66250.358553026424"/>
  </r>
  <r>
    <x v="143"/>
    <x v="3"/>
    <x v="76"/>
    <x v="0"/>
    <x v="4"/>
    <x v="1462"/>
    <x v="32"/>
    <s v="CARİ"/>
    <n v="25"/>
    <n v="19"/>
    <n v="0"/>
    <n v="475"/>
    <m/>
    <m/>
    <m/>
    <m/>
    <n v="0"/>
    <n v="0"/>
    <n v="66250.358553026424"/>
  </r>
  <r>
    <x v="143"/>
    <x v="3"/>
    <x v="88"/>
    <x v="0"/>
    <x v="4"/>
    <x v="1462"/>
    <x v="32"/>
    <s v="CARİ"/>
    <n v="2"/>
    <n v="650"/>
    <n v="0"/>
    <n v="1300"/>
    <m/>
    <m/>
    <m/>
    <m/>
    <n v="0"/>
    <n v="0"/>
    <n v="66250.358553026424"/>
  </r>
  <r>
    <x v="143"/>
    <x v="3"/>
    <x v="280"/>
    <x v="0"/>
    <x v="4"/>
    <x v="1462"/>
    <x v="32"/>
    <s v="CARİ"/>
    <n v="10"/>
    <n v="26.5"/>
    <n v="0"/>
    <n v="265"/>
    <m/>
    <m/>
    <m/>
    <m/>
    <n v="0"/>
    <n v="0"/>
    <n v="66250.358553026424"/>
  </r>
  <r>
    <x v="143"/>
    <x v="3"/>
    <x v="402"/>
    <x v="0"/>
    <x v="4"/>
    <x v="1462"/>
    <x v="32"/>
    <s v="CARİ"/>
    <n v="1"/>
    <n v="260"/>
    <n v="0"/>
    <n v="260"/>
    <m/>
    <m/>
    <m/>
    <m/>
    <n v="0"/>
    <n v="0"/>
    <n v="66250.358553026424"/>
  </r>
  <r>
    <x v="143"/>
    <x v="3"/>
    <x v="101"/>
    <x v="0"/>
    <x v="4"/>
    <x v="1462"/>
    <x v="32"/>
    <s v="CARİ"/>
    <n v="3"/>
    <n v="145"/>
    <n v="0"/>
    <n v="435"/>
    <m/>
    <m/>
    <m/>
    <m/>
    <n v="0"/>
    <n v="0"/>
    <n v="66250.358553026424"/>
  </r>
  <r>
    <x v="143"/>
    <x v="3"/>
    <x v="403"/>
    <x v="0"/>
    <x v="4"/>
    <x v="1462"/>
    <x v="32"/>
    <s v="CARİ"/>
    <n v="5"/>
    <n v="39"/>
    <n v="0"/>
    <n v="195"/>
    <m/>
    <m/>
    <m/>
    <m/>
    <n v="0"/>
    <n v="0"/>
    <n v="66250.358553026424"/>
  </r>
  <r>
    <x v="143"/>
    <x v="3"/>
    <x v="105"/>
    <x v="0"/>
    <x v="4"/>
    <x v="1462"/>
    <x v="32"/>
    <s v="CARİ"/>
    <n v="3"/>
    <n v="135"/>
    <n v="0"/>
    <n v="405"/>
    <m/>
    <m/>
    <m/>
    <m/>
    <n v="0"/>
    <n v="0"/>
    <n v="66250.358553026424"/>
  </r>
  <r>
    <x v="143"/>
    <x v="3"/>
    <x v="106"/>
    <x v="0"/>
    <x v="4"/>
    <x v="1462"/>
    <x v="32"/>
    <s v="CARİ"/>
    <n v="3"/>
    <n v="135"/>
    <n v="0"/>
    <n v="405"/>
    <m/>
    <m/>
    <m/>
    <m/>
    <n v="0"/>
    <n v="0"/>
    <n v="66250.358553026424"/>
  </r>
  <r>
    <x v="143"/>
    <x v="3"/>
    <x v="159"/>
    <x v="0"/>
    <x v="4"/>
    <x v="1462"/>
    <x v="32"/>
    <s v="CARİ"/>
    <n v="6"/>
    <n v="60"/>
    <n v="0"/>
    <n v="360"/>
    <m/>
    <m/>
    <m/>
    <m/>
    <n v="0"/>
    <n v="0"/>
    <n v="66250.358553026424"/>
  </r>
  <r>
    <x v="143"/>
    <x v="3"/>
    <x v="116"/>
    <x v="0"/>
    <x v="4"/>
    <x v="1462"/>
    <x v="32"/>
    <s v="CARİ"/>
    <n v="3"/>
    <n v="290"/>
    <n v="0"/>
    <n v="870"/>
    <m/>
    <m/>
    <m/>
    <m/>
    <n v="0"/>
    <n v="0"/>
    <n v="66250.358553026424"/>
  </r>
  <r>
    <x v="143"/>
    <x v="3"/>
    <x v="142"/>
    <x v="0"/>
    <x v="4"/>
    <x v="1462"/>
    <x v="32"/>
    <s v="CARİ"/>
    <n v="5"/>
    <n v="170"/>
    <n v="0"/>
    <n v="850"/>
    <m/>
    <m/>
    <m/>
    <m/>
    <n v="0"/>
    <n v="0"/>
    <n v="66250.358553026424"/>
  </r>
  <r>
    <x v="143"/>
    <x v="3"/>
    <x v="404"/>
    <x v="0"/>
    <x v="1"/>
    <x v="1463"/>
    <x v="145"/>
    <s v="NAKİT"/>
    <n v="16"/>
    <n v="20"/>
    <n v="0"/>
    <n v="0"/>
    <m/>
    <m/>
    <m/>
    <m/>
    <n v="0"/>
    <n v="320"/>
    <n v="65930.358553026424"/>
  </r>
  <r>
    <x v="143"/>
    <x v="3"/>
    <x v="405"/>
    <x v="0"/>
    <x v="1"/>
    <x v="1463"/>
    <x v="145"/>
    <s v="NAKİT"/>
    <n v="4"/>
    <n v="25"/>
    <n v="0"/>
    <n v="0"/>
    <m/>
    <m/>
    <m/>
    <m/>
    <n v="0"/>
    <n v="100"/>
    <n v="65830.358553026424"/>
  </r>
  <r>
    <x v="143"/>
    <x v="3"/>
    <x v="406"/>
    <x v="0"/>
    <x v="1"/>
    <x v="1463"/>
    <x v="145"/>
    <s v="NAKİT"/>
    <n v="12"/>
    <n v="7.5"/>
    <n v="0"/>
    <n v="0"/>
    <m/>
    <m/>
    <m/>
    <m/>
    <n v="0"/>
    <n v="90"/>
    <n v="65740.358553026424"/>
  </r>
  <r>
    <x v="143"/>
    <x v="3"/>
    <x v="407"/>
    <x v="0"/>
    <x v="1"/>
    <x v="1463"/>
    <x v="145"/>
    <s v="NAKİT"/>
    <n v="24"/>
    <n v="3.75"/>
    <n v="0"/>
    <n v="0"/>
    <m/>
    <m/>
    <m/>
    <m/>
    <n v="0"/>
    <n v="90"/>
    <n v="65650.358553026424"/>
  </r>
  <r>
    <x v="143"/>
    <x v="4"/>
    <x v="58"/>
    <x v="0"/>
    <x v="5"/>
    <x v="1464"/>
    <x v="25"/>
    <s v="POS"/>
    <n v="1"/>
    <n v="230"/>
    <n v="230"/>
    <n v="0"/>
    <m/>
    <m/>
    <m/>
    <m/>
    <n v="0"/>
    <n v="0"/>
    <n v="65650.358553026424"/>
  </r>
  <r>
    <x v="143"/>
    <x v="4"/>
    <x v="312"/>
    <x v="0"/>
    <x v="5"/>
    <x v="1464"/>
    <x v="25"/>
    <s v="POS"/>
    <n v="0.5"/>
    <n v="300"/>
    <n v="150"/>
    <n v="0"/>
    <m/>
    <m/>
    <m/>
    <m/>
    <n v="0"/>
    <n v="0"/>
    <n v="65650.358553026424"/>
  </r>
  <r>
    <x v="143"/>
    <x v="4"/>
    <x v="129"/>
    <x v="0"/>
    <x v="5"/>
    <x v="1465"/>
    <x v="25"/>
    <s v="POS"/>
    <n v="0.20833333333333334"/>
    <n v="240"/>
    <n v="50"/>
    <n v="0"/>
    <m/>
    <m/>
    <m/>
    <m/>
    <n v="0"/>
    <n v="0"/>
    <n v="65650.358553026424"/>
  </r>
  <r>
    <x v="143"/>
    <x v="4"/>
    <x v="49"/>
    <x v="0"/>
    <x v="5"/>
    <x v="1465"/>
    <x v="25"/>
    <s v="POS"/>
    <n v="0.1"/>
    <n v="450"/>
    <n v="45"/>
    <n v="0"/>
    <m/>
    <m/>
    <m/>
    <m/>
    <n v="0"/>
    <n v="0"/>
    <n v="65650.358553026424"/>
  </r>
  <r>
    <x v="143"/>
    <x v="4"/>
    <x v="101"/>
    <x v="0"/>
    <x v="5"/>
    <x v="1466"/>
    <x v="25"/>
    <s v="POS"/>
    <n v="0.22727272727272727"/>
    <n v="200"/>
    <n v="45.454545454545453"/>
    <n v="0"/>
    <m/>
    <m/>
    <m/>
    <m/>
    <n v="0"/>
    <n v="0"/>
    <n v="65650.358553026424"/>
  </r>
  <r>
    <x v="143"/>
    <x v="4"/>
    <x v="18"/>
    <x v="0"/>
    <x v="1"/>
    <x v="1466"/>
    <x v="25"/>
    <s v="NAKİT"/>
    <n v="0.5"/>
    <n v="250"/>
    <n v="0"/>
    <n v="0"/>
    <m/>
    <m/>
    <m/>
    <m/>
    <n v="125"/>
    <n v="0"/>
    <n v="65775.358553026424"/>
  </r>
  <r>
    <x v="143"/>
    <x v="4"/>
    <x v="58"/>
    <x v="0"/>
    <x v="1"/>
    <x v="1466"/>
    <x v="25"/>
    <s v="NAKİT"/>
    <n v="0.5"/>
    <n v="230"/>
    <n v="0"/>
    <n v="0"/>
    <m/>
    <m/>
    <m/>
    <m/>
    <n v="115"/>
    <n v="0"/>
    <n v="65890.358553026424"/>
  </r>
  <r>
    <x v="143"/>
    <x v="4"/>
    <x v="48"/>
    <x v="0"/>
    <x v="5"/>
    <x v="1467"/>
    <x v="25"/>
    <s v="POS"/>
    <n v="0.05"/>
    <n v="1500"/>
    <n v="75"/>
    <n v="0"/>
    <m/>
    <m/>
    <m/>
    <m/>
    <n v="0"/>
    <n v="0"/>
    <n v="65890.358553026424"/>
  </r>
  <r>
    <x v="143"/>
    <x v="4"/>
    <x v="49"/>
    <x v="0"/>
    <x v="5"/>
    <x v="1468"/>
    <x v="25"/>
    <s v="POS"/>
    <n v="0.26200000000000001"/>
    <n v="500"/>
    <n v="131"/>
    <n v="0"/>
    <m/>
    <m/>
    <m/>
    <m/>
    <n v="0"/>
    <n v="0"/>
    <n v="65890.358553026424"/>
  </r>
  <r>
    <x v="143"/>
    <x v="4"/>
    <x v="50"/>
    <x v="0"/>
    <x v="5"/>
    <x v="1468"/>
    <x v="25"/>
    <s v="POS"/>
    <n v="0.1"/>
    <n v="650"/>
    <n v="65"/>
    <n v="0"/>
    <m/>
    <m/>
    <m/>
    <m/>
    <n v="0"/>
    <n v="0"/>
    <n v="65890.358553026424"/>
  </r>
  <r>
    <x v="143"/>
    <x v="4"/>
    <x v="345"/>
    <x v="0"/>
    <x v="1"/>
    <x v="1469"/>
    <x v="25"/>
    <s v="NAKİT"/>
    <n v="0.25"/>
    <n v="400"/>
    <n v="0"/>
    <n v="0"/>
    <m/>
    <m/>
    <m/>
    <m/>
    <n v="100"/>
    <n v="0"/>
    <n v="65990.358553026424"/>
  </r>
  <r>
    <x v="143"/>
    <x v="4"/>
    <x v="161"/>
    <x v="0"/>
    <x v="5"/>
    <x v="1470"/>
    <x v="25"/>
    <s v="POS"/>
    <n v="0.13500000000000001"/>
    <n v="400"/>
    <n v="54"/>
    <n v="0"/>
    <m/>
    <m/>
    <m/>
    <m/>
    <n v="0"/>
    <n v="0"/>
    <n v="65990.358553026424"/>
  </r>
  <r>
    <x v="143"/>
    <x v="4"/>
    <x v="25"/>
    <x v="0"/>
    <x v="5"/>
    <x v="1470"/>
    <x v="25"/>
    <s v="POS"/>
    <n v="0.09"/>
    <n v="400"/>
    <n v="36"/>
    <n v="0"/>
    <m/>
    <m/>
    <m/>
    <m/>
    <n v="0"/>
    <n v="0"/>
    <n v="65990.358553026424"/>
  </r>
  <r>
    <x v="143"/>
    <x v="4"/>
    <x v="58"/>
    <x v="0"/>
    <x v="5"/>
    <x v="1470"/>
    <x v="25"/>
    <s v="POS"/>
    <n v="1"/>
    <n v="230"/>
    <n v="230"/>
    <n v="0"/>
    <m/>
    <m/>
    <m/>
    <m/>
    <n v="0"/>
    <n v="0"/>
    <n v="65990.358553026424"/>
  </r>
  <r>
    <x v="143"/>
    <x v="4"/>
    <x v="360"/>
    <x v="0"/>
    <x v="5"/>
    <x v="1470"/>
    <x v="25"/>
    <s v="POS"/>
    <n v="0.16666666666666666"/>
    <n v="600"/>
    <n v="100"/>
    <n v="0"/>
    <m/>
    <m/>
    <m/>
    <m/>
    <n v="0"/>
    <n v="0"/>
    <n v="65990.358553026424"/>
  </r>
  <r>
    <x v="143"/>
    <x v="4"/>
    <x v="393"/>
    <x v="0"/>
    <x v="5"/>
    <x v="1471"/>
    <x v="25"/>
    <s v="POS"/>
    <n v="0.8783783783783784"/>
    <n v="370"/>
    <n v="325"/>
    <n v="0"/>
    <m/>
    <m/>
    <m/>
    <m/>
    <n v="0"/>
    <n v="0"/>
    <n v="65990.358553026424"/>
  </r>
  <r>
    <x v="143"/>
    <x v="4"/>
    <x v="32"/>
    <x v="0"/>
    <x v="1"/>
    <x v="1472"/>
    <x v="25"/>
    <s v="NAKİT"/>
    <n v="7.567567567567568E-2"/>
    <n v="370"/>
    <n v="0"/>
    <n v="0"/>
    <m/>
    <m/>
    <m/>
    <m/>
    <n v="28"/>
    <n v="0"/>
    <n v="66018.358553026424"/>
  </r>
  <r>
    <x v="143"/>
    <x v="4"/>
    <x v="142"/>
    <x v="0"/>
    <x v="1"/>
    <x v="1473"/>
    <x v="25"/>
    <s v="NAKİT"/>
    <n v="1"/>
    <n v="250"/>
    <n v="0"/>
    <n v="0"/>
    <m/>
    <m/>
    <m/>
    <m/>
    <n v="250"/>
    <n v="0"/>
    <n v="66268.358553026424"/>
  </r>
  <r>
    <x v="143"/>
    <x v="3"/>
    <x v="270"/>
    <x v="0"/>
    <x v="8"/>
    <x v="2"/>
    <x v="146"/>
    <s v="CARİ"/>
    <n v="12"/>
    <n v="60"/>
    <n v="0"/>
    <n v="720"/>
    <m/>
    <m/>
    <m/>
    <m/>
    <n v="0"/>
    <n v="0"/>
    <n v="66268.358553026424"/>
  </r>
  <r>
    <x v="143"/>
    <x v="3"/>
    <x v="257"/>
    <x v="0"/>
    <x v="8"/>
    <x v="2"/>
    <x v="146"/>
    <s v="CARİ"/>
    <n v="12"/>
    <n v="90"/>
    <n v="0"/>
    <n v="1080"/>
    <m/>
    <m/>
    <m/>
    <m/>
    <n v="0"/>
    <n v="0"/>
    <n v="66268.358553026424"/>
  </r>
  <r>
    <x v="143"/>
    <x v="3"/>
    <x v="408"/>
    <x v="0"/>
    <x v="8"/>
    <x v="2"/>
    <x v="146"/>
    <s v="CARİ"/>
    <n v="6"/>
    <n v="45"/>
    <n v="0"/>
    <n v="270"/>
    <m/>
    <m/>
    <m/>
    <m/>
    <n v="0"/>
    <n v="0"/>
    <n v="66268.358553026424"/>
  </r>
  <r>
    <x v="143"/>
    <x v="3"/>
    <x v="409"/>
    <x v="0"/>
    <x v="8"/>
    <x v="2"/>
    <x v="146"/>
    <s v="CARİ"/>
    <n v="6"/>
    <n v="60"/>
    <n v="0"/>
    <n v="360"/>
    <m/>
    <m/>
    <m/>
    <m/>
    <n v="0"/>
    <n v="0"/>
    <n v="66268.358553026424"/>
  </r>
  <r>
    <x v="143"/>
    <x v="7"/>
    <x v="0"/>
    <x v="0"/>
    <x v="3"/>
    <x v="2"/>
    <x v="147"/>
    <s v="NAKİT"/>
    <n v="1"/>
    <n v="0"/>
    <n v="20000"/>
    <n v="0"/>
    <m/>
    <m/>
    <m/>
    <m/>
    <n v="0"/>
    <n v="20000"/>
    <n v="46268.358553026424"/>
  </r>
  <r>
    <x v="143"/>
    <x v="3"/>
    <x v="70"/>
    <x v="0"/>
    <x v="12"/>
    <x v="2"/>
    <x v="148"/>
    <s v="CARİ"/>
    <n v="1"/>
    <n v="90.9"/>
    <n v="0"/>
    <n v="90.9"/>
    <m/>
    <m/>
    <m/>
    <m/>
    <n v="0"/>
    <n v="0"/>
    <n v="46268.358553026424"/>
  </r>
  <r>
    <x v="143"/>
    <x v="3"/>
    <x v="71"/>
    <x v="0"/>
    <x v="12"/>
    <x v="2"/>
    <x v="148"/>
    <s v="CARİ"/>
    <n v="1"/>
    <n v="90.9"/>
    <n v="0"/>
    <n v="90.9"/>
    <m/>
    <m/>
    <m/>
    <m/>
    <n v="0"/>
    <n v="0"/>
    <n v="46268.358553026424"/>
  </r>
  <r>
    <x v="143"/>
    <x v="3"/>
    <x v="100"/>
    <x v="0"/>
    <x v="12"/>
    <x v="2"/>
    <x v="148"/>
    <s v="CARİ"/>
    <n v="1"/>
    <n v="424.2"/>
    <n v="0"/>
    <n v="424.2"/>
    <m/>
    <m/>
    <m/>
    <m/>
    <n v="0"/>
    <n v="0"/>
    <n v="46268.358553026424"/>
  </r>
  <r>
    <x v="143"/>
    <x v="3"/>
    <x v="121"/>
    <x v="0"/>
    <x v="12"/>
    <x v="2"/>
    <x v="148"/>
    <s v="CARİ"/>
    <n v="1"/>
    <n v="1161"/>
    <n v="0"/>
    <n v="1161"/>
    <m/>
    <m/>
    <m/>
    <m/>
    <n v="0"/>
    <n v="0"/>
    <n v="46268.358553026424"/>
  </r>
  <r>
    <x v="143"/>
    <x v="8"/>
    <x v="121"/>
    <x v="0"/>
    <x v="1"/>
    <x v="2"/>
    <x v="45"/>
    <s v="ÜRETİM"/>
    <n v="1"/>
    <n v="1161"/>
    <n v="0"/>
    <n v="0"/>
    <m/>
    <m/>
    <m/>
    <m/>
    <n v="1161"/>
    <n v="0"/>
    <n v="47429.358553026424"/>
  </r>
  <r>
    <x v="143"/>
    <x v="8"/>
    <x v="122"/>
    <x v="0"/>
    <x v="1"/>
    <x v="2"/>
    <x v="45"/>
    <s v="ÜRETİM"/>
    <n v="1"/>
    <n v="950"/>
    <n v="0"/>
    <n v="0"/>
    <m/>
    <m/>
    <m/>
    <m/>
    <n v="950"/>
    <n v="0"/>
    <n v="48379.358553026424"/>
  </r>
  <r>
    <x v="143"/>
    <x v="8"/>
    <x v="149"/>
    <x v="0"/>
    <x v="1"/>
    <x v="2"/>
    <x v="45"/>
    <s v="ÜRETİM"/>
    <n v="2"/>
    <n v="420"/>
    <n v="0"/>
    <n v="0"/>
    <m/>
    <m/>
    <m/>
    <m/>
    <n v="840"/>
    <n v="0"/>
    <n v="49219.358553026424"/>
  </r>
  <r>
    <x v="143"/>
    <x v="8"/>
    <x v="119"/>
    <x v="0"/>
    <x v="1"/>
    <x v="2"/>
    <x v="45"/>
    <s v="ÜRETİM"/>
    <n v="2"/>
    <n v="525"/>
    <n v="0"/>
    <n v="0"/>
    <m/>
    <m/>
    <m/>
    <m/>
    <n v="1050"/>
    <n v="0"/>
    <n v="50269.358553026424"/>
  </r>
  <r>
    <x v="143"/>
    <x v="9"/>
    <x v="179"/>
    <x v="0"/>
    <x v="1"/>
    <x v="2"/>
    <x v="45"/>
    <s v="ÜRETİM"/>
    <n v="6"/>
    <n v="666.83333000000005"/>
    <n v="0"/>
    <n v="0"/>
    <m/>
    <m/>
    <m/>
    <m/>
    <n v="0"/>
    <n v="4000.9999800000005"/>
    <n v="46268.358573026424"/>
  </r>
  <r>
    <x v="143"/>
    <x v="7"/>
    <x v="0"/>
    <x v="0"/>
    <x v="12"/>
    <x v="2"/>
    <x v="149"/>
    <s v="NAKİT"/>
    <n v="1"/>
    <n v="0"/>
    <n v="1767"/>
    <n v="0"/>
    <m/>
    <m/>
    <m/>
    <m/>
    <n v="0"/>
    <n v="1767"/>
    <n v="44501.358573026424"/>
  </r>
  <r>
    <x v="143"/>
    <x v="10"/>
    <x v="0"/>
    <x v="0"/>
    <x v="5"/>
    <x v="2"/>
    <x v="63"/>
    <s v="POS"/>
    <n v="1"/>
    <n v="785"/>
    <n v="0"/>
    <n v="785"/>
    <m/>
    <m/>
    <m/>
    <m/>
    <n v="785"/>
    <n v="0"/>
    <n v="45286.358573026424"/>
  </r>
  <r>
    <x v="143"/>
    <x v="10"/>
    <x v="0"/>
    <x v="0"/>
    <x v="5"/>
    <x v="2"/>
    <x v="63"/>
    <s v="POS"/>
    <n v="1"/>
    <n v="2070"/>
    <n v="0"/>
    <n v="2070"/>
    <m/>
    <m/>
    <m/>
    <m/>
    <n v="2070"/>
    <n v="0"/>
    <n v="47356.358573026424"/>
  </r>
  <r>
    <x v="144"/>
    <x v="4"/>
    <x v="312"/>
    <x v="0"/>
    <x v="5"/>
    <x v="1474"/>
    <x v="25"/>
    <s v="POS"/>
    <n v="0.5"/>
    <n v="300"/>
    <n v="150"/>
    <n v="0"/>
    <m/>
    <m/>
    <m/>
    <m/>
    <n v="0"/>
    <n v="0"/>
    <n v="47356.358573026424"/>
  </r>
  <r>
    <x v="144"/>
    <x v="4"/>
    <x v="76"/>
    <x v="0"/>
    <x v="5"/>
    <x v="1474"/>
    <x v="25"/>
    <s v="POS"/>
    <n v="0.5"/>
    <n v="80"/>
    <n v="40"/>
    <n v="0"/>
    <m/>
    <m/>
    <m/>
    <m/>
    <n v="0"/>
    <n v="0"/>
    <n v="47356.358573026424"/>
  </r>
  <r>
    <x v="144"/>
    <x v="4"/>
    <x v="179"/>
    <x v="0"/>
    <x v="5"/>
    <x v="1474"/>
    <x v="25"/>
    <s v="POS"/>
    <n v="0.23599999999999999"/>
    <n v="850"/>
    <n v="200.6"/>
    <n v="0"/>
    <m/>
    <m/>
    <m/>
    <m/>
    <n v="0"/>
    <n v="0"/>
    <n v="47356.358573026424"/>
  </r>
  <r>
    <x v="144"/>
    <x v="4"/>
    <x v="241"/>
    <x v="0"/>
    <x v="5"/>
    <x v="1474"/>
    <x v="25"/>
    <s v="POS"/>
    <n v="0.5"/>
    <n v="60"/>
    <n v="30"/>
    <n v="0"/>
    <m/>
    <m/>
    <m/>
    <m/>
    <n v="0"/>
    <n v="0"/>
    <n v="47356.358573026424"/>
  </r>
  <r>
    <x v="144"/>
    <x v="4"/>
    <x v="123"/>
    <x v="0"/>
    <x v="5"/>
    <x v="1474"/>
    <x v="25"/>
    <s v="POS"/>
    <n v="0.1"/>
    <n v="1000"/>
    <n v="100"/>
    <n v="0"/>
    <m/>
    <m/>
    <m/>
    <m/>
    <n v="0"/>
    <n v="0"/>
    <n v="47356.358573026424"/>
  </r>
  <r>
    <x v="144"/>
    <x v="4"/>
    <x v="398"/>
    <x v="0"/>
    <x v="5"/>
    <x v="1474"/>
    <x v="25"/>
    <s v="POS"/>
    <n v="0.28000000000000003"/>
    <n v="430"/>
    <n v="120.4"/>
    <n v="0"/>
    <m/>
    <m/>
    <m/>
    <m/>
    <n v="0"/>
    <n v="0"/>
    <n v="47356.358573026424"/>
  </r>
  <r>
    <x v="144"/>
    <x v="4"/>
    <x v="83"/>
    <x v="0"/>
    <x v="5"/>
    <x v="1474"/>
    <x v="25"/>
    <s v="POS"/>
    <n v="0.05"/>
    <n v="2600"/>
    <n v="130"/>
    <n v="0"/>
    <m/>
    <m/>
    <m/>
    <m/>
    <n v="0"/>
    <n v="0"/>
    <n v="47356.358573026424"/>
  </r>
  <r>
    <x v="144"/>
    <x v="4"/>
    <x v="242"/>
    <x v="0"/>
    <x v="5"/>
    <x v="1474"/>
    <x v="25"/>
    <s v="POS"/>
    <n v="0.25600000000000001"/>
    <n v="195"/>
    <n v="49.92"/>
    <n v="0"/>
    <m/>
    <m/>
    <m/>
    <m/>
    <n v="0"/>
    <n v="0"/>
    <n v="47356.358573026424"/>
  </r>
  <r>
    <x v="144"/>
    <x v="4"/>
    <x v="408"/>
    <x v="0"/>
    <x v="5"/>
    <x v="1474"/>
    <x v="25"/>
    <s v="POS"/>
    <n v="1"/>
    <n v="50"/>
    <n v="50"/>
    <n v="0"/>
    <m/>
    <m/>
    <m/>
    <m/>
    <n v="0"/>
    <n v="0"/>
    <n v="47356.358573026424"/>
  </r>
  <r>
    <x v="144"/>
    <x v="4"/>
    <x v="120"/>
    <x v="0"/>
    <x v="5"/>
    <x v="1474"/>
    <x v="25"/>
    <s v="POS"/>
    <n v="0.23200000000000001"/>
    <n v="650"/>
    <n v="150.80000000000001"/>
    <n v="0"/>
    <m/>
    <m/>
    <m/>
    <m/>
    <n v="0"/>
    <n v="0"/>
    <n v="47356.358573026424"/>
  </r>
  <r>
    <x v="144"/>
    <x v="4"/>
    <x v="58"/>
    <x v="0"/>
    <x v="1"/>
    <x v="1475"/>
    <x v="25"/>
    <s v="NAKİT"/>
    <n v="1"/>
    <n v="230"/>
    <n v="0"/>
    <n v="0"/>
    <m/>
    <m/>
    <m/>
    <m/>
    <n v="230"/>
    <n v="0"/>
    <n v="47586.358573026424"/>
  </r>
  <r>
    <x v="144"/>
    <x v="4"/>
    <x v="393"/>
    <x v="0"/>
    <x v="1"/>
    <x v="1476"/>
    <x v="25"/>
    <s v="NAKİT"/>
    <n v="0.81200000000000006"/>
    <n v="370"/>
    <n v="0"/>
    <n v="0"/>
    <m/>
    <m/>
    <m/>
    <m/>
    <n v="300.44"/>
    <n v="0"/>
    <n v="47886.798573026426"/>
  </r>
  <r>
    <x v="144"/>
    <x v="4"/>
    <x v="156"/>
    <x v="0"/>
    <x v="1"/>
    <x v="1476"/>
    <x v="25"/>
    <s v="NAKİT"/>
    <n v="0.5"/>
    <n v="80"/>
    <n v="0"/>
    <n v="0"/>
    <m/>
    <m/>
    <m/>
    <m/>
    <n v="40"/>
    <n v="0"/>
    <n v="47926.798573026426"/>
  </r>
  <r>
    <x v="144"/>
    <x v="4"/>
    <x v="18"/>
    <x v="0"/>
    <x v="5"/>
    <x v="1477"/>
    <x v="25"/>
    <s v="POS"/>
    <n v="1"/>
    <n v="250"/>
    <n v="250"/>
    <n v="0"/>
    <m/>
    <m/>
    <m/>
    <m/>
    <n v="0"/>
    <n v="0"/>
    <n v="47926.798573026426"/>
  </r>
  <r>
    <x v="144"/>
    <x v="4"/>
    <x v="19"/>
    <x v="0"/>
    <x v="5"/>
    <x v="1477"/>
    <x v="25"/>
    <s v="POS"/>
    <n v="1"/>
    <n v="230"/>
    <n v="230"/>
    <n v="0"/>
    <m/>
    <m/>
    <m/>
    <m/>
    <n v="0"/>
    <n v="0"/>
    <n v="47926.798573026426"/>
  </r>
  <r>
    <x v="144"/>
    <x v="4"/>
    <x v="31"/>
    <x v="0"/>
    <x v="5"/>
    <x v="1478"/>
    <x v="25"/>
    <s v="POS"/>
    <n v="9.2499999999999999E-2"/>
    <n v="400"/>
    <n v="37"/>
    <n v="0"/>
    <m/>
    <m/>
    <m/>
    <m/>
    <n v="0"/>
    <n v="0"/>
    <n v="47926.798573026426"/>
  </r>
  <r>
    <x v="144"/>
    <x v="4"/>
    <x v="58"/>
    <x v="0"/>
    <x v="5"/>
    <x v="1479"/>
    <x v="25"/>
    <s v="POS"/>
    <n v="1"/>
    <n v="230"/>
    <n v="230"/>
    <n v="0"/>
    <m/>
    <m/>
    <m/>
    <m/>
    <n v="0"/>
    <n v="0"/>
    <n v="47926.798573026426"/>
  </r>
  <r>
    <x v="144"/>
    <x v="4"/>
    <x v="18"/>
    <x v="0"/>
    <x v="5"/>
    <x v="1479"/>
    <x v="25"/>
    <s v="POS"/>
    <n v="1"/>
    <n v="250"/>
    <n v="250"/>
    <n v="0"/>
    <m/>
    <m/>
    <m/>
    <m/>
    <n v="0"/>
    <n v="0"/>
    <n v="47926.798573026426"/>
  </r>
  <r>
    <x v="144"/>
    <x v="4"/>
    <x v="321"/>
    <x v="0"/>
    <x v="1"/>
    <x v="1480"/>
    <x v="25"/>
    <s v="NAKİT"/>
    <n v="1"/>
    <n v="220"/>
    <n v="0"/>
    <n v="0"/>
    <m/>
    <m/>
    <m/>
    <m/>
    <n v="220"/>
    <n v="0"/>
    <n v="48146.798573026426"/>
  </r>
  <r>
    <x v="144"/>
    <x v="4"/>
    <x v="54"/>
    <x v="0"/>
    <x v="1"/>
    <x v="1480"/>
    <x v="25"/>
    <s v="NAKİT"/>
    <n v="0.1"/>
    <n v="400"/>
    <n v="0"/>
    <n v="0"/>
    <m/>
    <m/>
    <m/>
    <m/>
    <n v="40"/>
    <n v="0"/>
    <n v="48186.798573026426"/>
  </r>
  <r>
    <x v="144"/>
    <x v="4"/>
    <x v="99"/>
    <x v="0"/>
    <x v="1"/>
    <x v="1480"/>
    <x v="25"/>
    <s v="NAKİT"/>
    <n v="0.05"/>
    <n v="900"/>
    <n v="0"/>
    <n v="0"/>
    <m/>
    <m/>
    <m/>
    <m/>
    <n v="45"/>
    <n v="0"/>
    <n v="48231.798573026426"/>
  </r>
  <r>
    <x v="144"/>
    <x v="4"/>
    <x v="55"/>
    <x v="0"/>
    <x v="5"/>
    <x v="1481"/>
    <x v="25"/>
    <s v="POS"/>
    <n v="2"/>
    <n v="200"/>
    <n v="400"/>
    <n v="0"/>
    <m/>
    <m/>
    <m/>
    <m/>
    <n v="0"/>
    <n v="0"/>
    <n v="48231.798573026426"/>
  </r>
  <r>
    <x v="144"/>
    <x v="4"/>
    <x v="18"/>
    <x v="0"/>
    <x v="1"/>
    <x v="1482"/>
    <x v="25"/>
    <s v="NAKİT"/>
    <n v="0.5"/>
    <n v="250"/>
    <n v="0"/>
    <n v="0"/>
    <m/>
    <m/>
    <m/>
    <m/>
    <n v="125"/>
    <n v="0"/>
    <n v="48356.798573026426"/>
  </r>
  <r>
    <x v="144"/>
    <x v="4"/>
    <x v="58"/>
    <x v="0"/>
    <x v="1"/>
    <x v="1482"/>
    <x v="25"/>
    <s v="NAKİT"/>
    <n v="0.5"/>
    <n v="230"/>
    <n v="0"/>
    <n v="0"/>
    <m/>
    <m/>
    <m/>
    <m/>
    <n v="115"/>
    <n v="0"/>
    <n v="48471.798573026426"/>
  </r>
  <r>
    <x v="144"/>
    <x v="4"/>
    <x v="56"/>
    <x v="0"/>
    <x v="1"/>
    <x v="1482"/>
    <x v="25"/>
    <s v="NAKİT"/>
    <n v="1"/>
    <n v="200"/>
    <n v="0"/>
    <n v="0"/>
    <m/>
    <m/>
    <m/>
    <m/>
    <n v="200"/>
    <n v="0"/>
    <n v="48671.798573026426"/>
  </r>
  <r>
    <x v="144"/>
    <x v="4"/>
    <x v="18"/>
    <x v="0"/>
    <x v="1"/>
    <x v="1483"/>
    <x v="25"/>
    <s v="NAKİT"/>
    <n v="0.5"/>
    <n v="250"/>
    <n v="0"/>
    <n v="0"/>
    <m/>
    <m/>
    <m/>
    <m/>
    <n v="125"/>
    <n v="0"/>
    <n v="48796.798573026426"/>
  </r>
  <r>
    <x v="144"/>
    <x v="4"/>
    <x v="58"/>
    <x v="0"/>
    <x v="1"/>
    <x v="1483"/>
    <x v="25"/>
    <s v="NAKİT"/>
    <n v="0.5"/>
    <n v="230"/>
    <n v="0"/>
    <n v="0"/>
    <m/>
    <m/>
    <m/>
    <m/>
    <n v="115"/>
    <n v="0"/>
    <n v="48911.798573026426"/>
  </r>
  <r>
    <x v="144"/>
    <x v="4"/>
    <x v="61"/>
    <x v="0"/>
    <x v="1"/>
    <x v="1483"/>
    <x v="25"/>
    <s v="NAKİT"/>
    <n v="4.6753246753246755E-2"/>
    <n v="770"/>
    <n v="0"/>
    <n v="0"/>
    <m/>
    <m/>
    <m/>
    <m/>
    <n v="36"/>
    <n v="0"/>
    <n v="48947.798573026426"/>
  </r>
  <r>
    <x v="144"/>
    <x v="4"/>
    <x v="383"/>
    <x v="0"/>
    <x v="1"/>
    <x v="1483"/>
    <x v="25"/>
    <s v="NAKİT"/>
    <n v="0.1"/>
    <n v="400"/>
    <n v="0"/>
    <n v="0"/>
    <m/>
    <m/>
    <m/>
    <m/>
    <n v="40"/>
    <n v="0"/>
    <n v="48987.798573026426"/>
  </r>
  <r>
    <x v="144"/>
    <x v="4"/>
    <x v="161"/>
    <x v="0"/>
    <x v="1"/>
    <x v="1483"/>
    <x v="25"/>
    <s v="NAKİT"/>
    <n v="9.7500000000000003E-2"/>
    <n v="400"/>
    <n v="0"/>
    <n v="0"/>
    <m/>
    <m/>
    <m/>
    <m/>
    <n v="39"/>
    <n v="0"/>
    <n v="49026.798573026426"/>
  </r>
  <r>
    <x v="144"/>
    <x v="4"/>
    <x v="48"/>
    <x v="0"/>
    <x v="5"/>
    <x v="1484"/>
    <x v="25"/>
    <s v="POS"/>
    <n v="0.05"/>
    <n v="1500"/>
    <n v="75"/>
    <n v="0"/>
    <m/>
    <m/>
    <m/>
    <m/>
    <n v="0"/>
    <n v="0"/>
    <n v="49026.798573026426"/>
  </r>
  <r>
    <x v="144"/>
    <x v="4"/>
    <x v="360"/>
    <x v="0"/>
    <x v="1"/>
    <x v="1485"/>
    <x v="25"/>
    <s v="NAKİT"/>
    <n v="1"/>
    <n v="600"/>
    <n v="0"/>
    <n v="0"/>
    <m/>
    <m/>
    <m/>
    <m/>
    <n v="600"/>
    <n v="0"/>
    <n v="49626.798573026426"/>
  </r>
  <r>
    <x v="144"/>
    <x v="4"/>
    <x v="18"/>
    <x v="0"/>
    <x v="1"/>
    <x v="1486"/>
    <x v="25"/>
    <s v="NAKİT"/>
    <n v="0.5"/>
    <n v="250"/>
    <n v="0"/>
    <n v="0"/>
    <m/>
    <m/>
    <m/>
    <m/>
    <n v="125"/>
    <n v="0"/>
    <n v="49751.798573026426"/>
  </r>
  <r>
    <x v="144"/>
    <x v="4"/>
    <x v="58"/>
    <x v="0"/>
    <x v="1"/>
    <x v="1486"/>
    <x v="25"/>
    <s v="NAKİT"/>
    <n v="0.5"/>
    <n v="230"/>
    <n v="0"/>
    <n v="0"/>
    <m/>
    <m/>
    <m/>
    <m/>
    <n v="115"/>
    <n v="0"/>
    <n v="49866.798573026426"/>
  </r>
  <r>
    <x v="144"/>
    <x v="4"/>
    <x v="41"/>
    <x v="0"/>
    <x v="1"/>
    <x v="1486"/>
    <x v="25"/>
    <s v="NAKİT"/>
    <n v="1"/>
    <n v="100"/>
    <n v="0"/>
    <n v="0"/>
    <m/>
    <m/>
    <m/>
    <m/>
    <n v="100"/>
    <n v="0"/>
    <n v="49966.798573026426"/>
  </r>
  <r>
    <x v="144"/>
    <x v="4"/>
    <x v="33"/>
    <x v="0"/>
    <x v="1"/>
    <x v="1486"/>
    <x v="25"/>
    <s v="NAKİT"/>
    <n v="0.12"/>
    <n v="400"/>
    <n v="0"/>
    <n v="0"/>
    <m/>
    <m/>
    <m/>
    <m/>
    <n v="48"/>
    <n v="0"/>
    <n v="50014.798573026426"/>
  </r>
  <r>
    <x v="144"/>
    <x v="4"/>
    <x v="48"/>
    <x v="0"/>
    <x v="5"/>
    <x v="1487"/>
    <x v="25"/>
    <s v="POS"/>
    <n v="0.05"/>
    <n v="1500"/>
    <n v="75"/>
    <n v="0"/>
    <m/>
    <m/>
    <m/>
    <m/>
    <n v="0"/>
    <n v="0"/>
    <n v="50014.798573026426"/>
  </r>
  <r>
    <x v="144"/>
    <x v="4"/>
    <x v="49"/>
    <x v="0"/>
    <x v="5"/>
    <x v="1487"/>
    <x v="25"/>
    <s v="POS"/>
    <n v="0.1"/>
    <n v="600"/>
    <n v="60"/>
    <n v="0"/>
    <m/>
    <m/>
    <m/>
    <m/>
    <n v="0"/>
    <n v="0"/>
    <n v="50014.798573026426"/>
  </r>
  <r>
    <x v="144"/>
    <x v="4"/>
    <x v="312"/>
    <x v="0"/>
    <x v="5"/>
    <x v="1487"/>
    <x v="25"/>
    <s v="POS"/>
    <n v="0.5"/>
    <n v="300"/>
    <n v="150"/>
    <n v="0"/>
    <m/>
    <m/>
    <m/>
    <m/>
    <n v="0"/>
    <n v="0"/>
    <n v="50014.798573026426"/>
  </r>
  <r>
    <x v="144"/>
    <x v="4"/>
    <x v="61"/>
    <x v="0"/>
    <x v="5"/>
    <x v="1488"/>
    <x v="25"/>
    <s v="POS"/>
    <n v="0.32"/>
    <n v="770"/>
    <n v="246.4"/>
    <n v="0"/>
    <m/>
    <m/>
    <m/>
    <m/>
    <n v="0"/>
    <n v="0"/>
    <n v="50014.798573026426"/>
  </r>
  <r>
    <x v="144"/>
    <x v="4"/>
    <x v="23"/>
    <x v="0"/>
    <x v="1"/>
    <x v="1489"/>
    <x v="150"/>
    <s v="NAKİT"/>
    <n v="0.2"/>
    <n v="300"/>
    <n v="0"/>
    <n v="0"/>
    <m/>
    <m/>
    <m/>
    <m/>
    <n v="60"/>
    <n v="0"/>
    <n v="50074.798573026426"/>
  </r>
  <r>
    <x v="144"/>
    <x v="4"/>
    <x v="88"/>
    <x v="0"/>
    <x v="1"/>
    <x v="1489"/>
    <x v="150"/>
    <s v="NAKİT"/>
    <n v="0.1"/>
    <n v="1200"/>
    <n v="0"/>
    <n v="0"/>
    <m/>
    <m/>
    <m/>
    <m/>
    <n v="120"/>
    <n v="0"/>
    <n v="50194.798573026426"/>
  </r>
  <r>
    <x v="144"/>
    <x v="4"/>
    <x v="404"/>
    <x v="0"/>
    <x v="1"/>
    <x v="1490"/>
    <x v="25"/>
    <s v="NAKİT"/>
    <n v="4"/>
    <n v="30"/>
    <n v="0"/>
    <n v="0"/>
    <m/>
    <m/>
    <m/>
    <m/>
    <n v="120"/>
    <n v="0"/>
    <n v="50314.798573026426"/>
  </r>
  <r>
    <x v="144"/>
    <x v="4"/>
    <x v="56"/>
    <x v="0"/>
    <x v="13"/>
    <x v="1490"/>
    <x v="35"/>
    <s v="CARİ"/>
    <n v="19.350000000000001"/>
    <n v="144.7028"/>
    <n v="2800"/>
    <n v="0"/>
    <m/>
    <m/>
    <m/>
    <m/>
    <n v="0"/>
    <n v="0"/>
    <n v="50314.798573026426"/>
  </r>
  <r>
    <x v="144"/>
    <x v="4"/>
    <x v="151"/>
    <x v="0"/>
    <x v="13"/>
    <x v="1490"/>
    <x v="35"/>
    <s v="CARİ"/>
    <n v="3"/>
    <n v="375"/>
    <n v="1125"/>
    <n v="0"/>
    <m/>
    <m/>
    <m/>
    <m/>
    <n v="0"/>
    <n v="0"/>
    <n v="50314.798573026426"/>
  </r>
  <r>
    <x v="144"/>
    <x v="4"/>
    <x v="76"/>
    <x v="0"/>
    <x v="13"/>
    <x v="1490"/>
    <x v="35"/>
    <s v="CARİ"/>
    <n v="25"/>
    <n v="30"/>
    <n v="750"/>
    <n v="0"/>
    <m/>
    <m/>
    <m/>
    <m/>
    <n v="0"/>
    <n v="0"/>
    <n v="50314.798573026426"/>
  </r>
  <r>
    <x v="144"/>
    <x v="1"/>
    <x v="0"/>
    <x v="10"/>
    <x v="2"/>
    <x v="2"/>
    <x v="151"/>
    <s v="K.K."/>
    <n v="10"/>
    <n v="84"/>
    <n v="0"/>
    <n v="840"/>
    <m/>
    <m/>
    <m/>
    <m/>
    <n v="0"/>
    <n v="0"/>
    <n v="50314.798573026426"/>
  </r>
  <r>
    <x v="144"/>
    <x v="10"/>
    <x v="0"/>
    <x v="0"/>
    <x v="5"/>
    <x v="2"/>
    <x v="63"/>
    <s v="POS"/>
    <n v="1"/>
    <n v="724"/>
    <n v="0"/>
    <n v="724"/>
    <m/>
    <m/>
    <m/>
    <m/>
    <n v="724"/>
    <n v="0"/>
    <n v="51038.798573026426"/>
  </r>
  <r>
    <x v="145"/>
    <x v="4"/>
    <x v="199"/>
    <x v="0"/>
    <x v="1"/>
    <x v="1491"/>
    <x v="25"/>
    <s v="NAKİT"/>
    <n v="1"/>
    <n v="150"/>
    <n v="0"/>
    <n v="0"/>
    <m/>
    <m/>
    <m/>
    <m/>
    <n v="150"/>
    <n v="0"/>
    <n v="51188.798573026426"/>
  </r>
  <r>
    <x v="145"/>
    <x v="4"/>
    <x v="402"/>
    <x v="0"/>
    <x v="1"/>
    <x v="1492"/>
    <x v="25"/>
    <s v="NAKİT"/>
    <n v="1"/>
    <n v="390"/>
    <n v="0"/>
    <n v="0"/>
    <m/>
    <m/>
    <m/>
    <m/>
    <n v="390"/>
    <n v="0"/>
    <n v="51578.798573026426"/>
  </r>
  <r>
    <x v="145"/>
    <x v="4"/>
    <x v="248"/>
    <x v="0"/>
    <x v="1"/>
    <x v="1493"/>
    <x v="25"/>
    <s v="NAKİT"/>
    <n v="0.218"/>
    <n v="550"/>
    <n v="0"/>
    <n v="0"/>
    <m/>
    <m/>
    <m/>
    <m/>
    <n v="119.9"/>
    <n v="0"/>
    <n v="51698.698573026428"/>
  </r>
  <r>
    <x v="145"/>
    <x v="4"/>
    <x v="360"/>
    <x v="0"/>
    <x v="5"/>
    <x v="1494"/>
    <x v="25"/>
    <s v="POS"/>
    <n v="0.16666666666666666"/>
    <n v="600"/>
    <n v="100"/>
    <n v="0"/>
    <m/>
    <m/>
    <m/>
    <m/>
    <n v="0"/>
    <n v="0"/>
    <n v="51698.698573026428"/>
  </r>
  <r>
    <x v="145"/>
    <x v="4"/>
    <x v="18"/>
    <x v="0"/>
    <x v="1"/>
    <x v="1495"/>
    <x v="25"/>
    <s v="NAKİT"/>
    <n v="1"/>
    <n v="250"/>
    <n v="0"/>
    <n v="0"/>
    <m/>
    <m/>
    <m/>
    <m/>
    <n v="250"/>
    <n v="0"/>
    <n v="51948.698573026428"/>
  </r>
  <r>
    <x v="145"/>
    <x v="4"/>
    <x v="362"/>
    <x v="0"/>
    <x v="1"/>
    <x v="1496"/>
    <x v="25"/>
    <s v="NAKİT"/>
    <n v="2.8571428571428571E-2"/>
    <n v="1400"/>
    <n v="0"/>
    <n v="0"/>
    <m/>
    <m/>
    <m/>
    <m/>
    <n v="40"/>
    <n v="0"/>
    <n v="51988.698573026428"/>
  </r>
  <r>
    <x v="145"/>
    <x v="4"/>
    <x v="88"/>
    <x v="0"/>
    <x v="1"/>
    <x v="1496"/>
    <x v="25"/>
    <s v="NAKİT"/>
    <n v="0.05"/>
    <n v="1200"/>
    <n v="0"/>
    <n v="0"/>
    <m/>
    <m/>
    <m/>
    <m/>
    <n v="60"/>
    <n v="0"/>
    <n v="52048.698573026428"/>
  </r>
  <r>
    <x v="145"/>
    <x v="4"/>
    <x v="29"/>
    <x v="0"/>
    <x v="5"/>
    <x v="1497"/>
    <x v="25"/>
    <s v="POS"/>
    <n v="0.26666666666666666"/>
    <n v="750"/>
    <n v="200"/>
    <n v="0"/>
    <m/>
    <m/>
    <m/>
    <m/>
    <n v="0"/>
    <n v="0"/>
    <n v="52048.698573026428"/>
  </r>
  <r>
    <x v="145"/>
    <x v="4"/>
    <x v="161"/>
    <x v="0"/>
    <x v="5"/>
    <x v="1497"/>
    <x v="25"/>
    <s v="POS"/>
    <n v="0.25750000000000001"/>
    <n v="400"/>
    <n v="103"/>
    <n v="0"/>
    <m/>
    <m/>
    <m/>
    <m/>
    <n v="0"/>
    <n v="0"/>
    <n v="52048.698573026428"/>
  </r>
  <r>
    <x v="145"/>
    <x v="4"/>
    <x v="33"/>
    <x v="0"/>
    <x v="5"/>
    <x v="1497"/>
    <x v="25"/>
    <s v="POS"/>
    <n v="0.35499999999999998"/>
    <n v="400"/>
    <n v="142"/>
    <n v="0"/>
    <m/>
    <m/>
    <m/>
    <m/>
    <n v="0"/>
    <n v="0"/>
    <n v="52048.698573026428"/>
  </r>
  <r>
    <x v="145"/>
    <x v="4"/>
    <x v="30"/>
    <x v="0"/>
    <x v="5"/>
    <x v="1498"/>
    <x v="25"/>
    <s v="POS"/>
    <n v="0.2"/>
    <n v="500"/>
    <n v="100"/>
    <n v="0"/>
    <m/>
    <m/>
    <m/>
    <m/>
    <n v="0"/>
    <n v="0"/>
    <n v="52048.698573026428"/>
  </r>
  <r>
    <x v="145"/>
    <x v="4"/>
    <x v="25"/>
    <x v="0"/>
    <x v="5"/>
    <x v="1498"/>
    <x v="25"/>
    <s v="POS"/>
    <n v="0.125"/>
    <n v="400"/>
    <n v="50"/>
    <n v="0"/>
    <m/>
    <m/>
    <m/>
    <m/>
    <n v="0"/>
    <n v="0"/>
    <n v="52048.698573026428"/>
  </r>
  <r>
    <x v="145"/>
    <x v="4"/>
    <x v="23"/>
    <x v="0"/>
    <x v="5"/>
    <x v="1498"/>
    <x v="25"/>
    <s v="POS"/>
    <n v="0.16666666666666666"/>
    <n v="300"/>
    <n v="50"/>
    <n v="0"/>
    <m/>
    <m/>
    <m/>
    <m/>
    <n v="0"/>
    <n v="0"/>
    <n v="52048.698573026428"/>
  </r>
  <r>
    <x v="145"/>
    <x v="4"/>
    <x v="22"/>
    <x v="0"/>
    <x v="5"/>
    <x v="1498"/>
    <x v="25"/>
    <s v="POS"/>
    <n v="0.125"/>
    <n v="400"/>
    <n v="50"/>
    <n v="0"/>
    <m/>
    <m/>
    <m/>
    <m/>
    <n v="0"/>
    <n v="0"/>
    <n v="52048.698573026428"/>
  </r>
  <r>
    <x v="145"/>
    <x v="4"/>
    <x v="50"/>
    <x v="0"/>
    <x v="5"/>
    <x v="1498"/>
    <x v="25"/>
    <s v="POS"/>
    <n v="0.1"/>
    <n v="600"/>
    <n v="60"/>
    <n v="0"/>
    <m/>
    <m/>
    <m/>
    <m/>
    <n v="0"/>
    <n v="0"/>
    <n v="52048.698573026428"/>
  </r>
  <r>
    <x v="145"/>
    <x v="4"/>
    <x v="88"/>
    <x v="0"/>
    <x v="5"/>
    <x v="1498"/>
    <x v="25"/>
    <s v="POS"/>
    <n v="0.05"/>
    <n v="1200"/>
    <n v="60"/>
    <n v="0"/>
    <m/>
    <m/>
    <m/>
    <m/>
    <n v="0"/>
    <n v="0"/>
    <n v="52048.698573026428"/>
  </r>
  <r>
    <x v="145"/>
    <x v="4"/>
    <x v="55"/>
    <x v="0"/>
    <x v="5"/>
    <x v="1498"/>
    <x v="25"/>
    <s v="POS"/>
    <n v="0.5"/>
    <n v="200"/>
    <n v="100"/>
    <n v="0"/>
    <m/>
    <m/>
    <m/>
    <m/>
    <n v="0"/>
    <n v="0"/>
    <n v="52048.698573026428"/>
  </r>
  <r>
    <x v="145"/>
    <x v="4"/>
    <x v="312"/>
    <x v="0"/>
    <x v="5"/>
    <x v="1499"/>
    <x v="25"/>
    <s v="POS"/>
    <n v="0.5"/>
    <n v="300"/>
    <n v="150"/>
    <n v="0"/>
    <m/>
    <m/>
    <m/>
    <m/>
    <n v="0"/>
    <n v="0"/>
    <n v="52048.698573026428"/>
  </r>
  <r>
    <x v="145"/>
    <x v="4"/>
    <x v="50"/>
    <x v="0"/>
    <x v="5"/>
    <x v="1500"/>
    <x v="25"/>
    <s v="POS"/>
    <n v="0.1"/>
    <n v="600"/>
    <n v="60"/>
    <n v="0"/>
    <m/>
    <m/>
    <m/>
    <m/>
    <n v="0"/>
    <n v="0"/>
    <n v="52048.698573026428"/>
  </r>
  <r>
    <x v="145"/>
    <x v="4"/>
    <x v="88"/>
    <x v="0"/>
    <x v="5"/>
    <x v="1500"/>
    <x v="25"/>
    <s v="POS"/>
    <n v="0.05"/>
    <n v="1200"/>
    <n v="60"/>
    <n v="0"/>
    <m/>
    <m/>
    <m/>
    <m/>
    <n v="0"/>
    <n v="0"/>
    <n v="52048.698573026428"/>
  </r>
  <r>
    <x v="145"/>
    <x v="4"/>
    <x v="217"/>
    <x v="0"/>
    <x v="5"/>
    <x v="1501"/>
    <x v="25"/>
    <s v="POS"/>
    <n v="1"/>
    <n v="250"/>
    <n v="250"/>
    <n v="0"/>
    <m/>
    <m/>
    <m/>
    <m/>
    <n v="0"/>
    <n v="0"/>
    <n v="52048.698573026428"/>
  </r>
  <r>
    <x v="145"/>
    <x v="4"/>
    <x v="135"/>
    <x v="0"/>
    <x v="5"/>
    <x v="1501"/>
    <x v="25"/>
    <s v="POS"/>
    <n v="1"/>
    <n v="100"/>
    <n v="100"/>
    <n v="0"/>
    <m/>
    <m/>
    <m/>
    <m/>
    <n v="0"/>
    <n v="0"/>
    <n v="52048.698573026428"/>
  </r>
  <r>
    <x v="145"/>
    <x v="4"/>
    <x v="21"/>
    <x v="0"/>
    <x v="5"/>
    <x v="1502"/>
    <x v="25"/>
    <s v="POS"/>
    <n v="1"/>
    <n v="250"/>
    <n v="250"/>
    <n v="0"/>
    <m/>
    <m/>
    <m/>
    <m/>
    <n v="0"/>
    <n v="0"/>
    <n v="52048.698573026428"/>
  </r>
  <r>
    <x v="145"/>
    <x v="4"/>
    <x v="18"/>
    <x v="0"/>
    <x v="5"/>
    <x v="1502"/>
    <x v="25"/>
    <s v="POS"/>
    <n v="1"/>
    <n v="250"/>
    <n v="250"/>
    <n v="0"/>
    <m/>
    <m/>
    <m/>
    <m/>
    <n v="0"/>
    <n v="0"/>
    <n v="52048.698573026428"/>
  </r>
  <r>
    <x v="145"/>
    <x v="4"/>
    <x v="57"/>
    <x v="0"/>
    <x v="1"/>
    <x v="1503"/>
    <x v="25"/>
    <s v="NAKİT"/>
    <n v="2"/>
    <n v="125"/>
    <n v="0"/>
    <n v="0"/>
    <m/>
    <m/>
    <m/>
    <m/>
    <n v="250"/>
    <n v="0"/>
    <n v="52298.698573026428"/>
  </r>
  <r>
    <x v="145"/>
    <x v="4"/>
    <x v="56"/>
    <x v="0"/>
    <x v="1"/>
    <x v="1503"/>
    <x v="25"/>
    <s v="NAKİT"/>
    <n v="0.5"/>
    <n v="200"/>
    <n v="0"/>
    <n v="0"/>
    <m/>
    <m/>
    <m/>
    <m/>
    <n v="100"/>
    <n v="0"/>
    <n v="52398.698573026428"/>
  </r>
  <r>
    <x v="145"/>
    <x v="4"/>
    <x v="55"/>
    <x v="0"/>
    <x v="1"/>
    <x v="1503"/>
    <x v="25"/>
    <s v="NAKİT"/>
    <n v="0.5"/>
    <n v="200"/>
    <n v="0"/>
    <n v="0"/>
    <m/>
    <m/>
    <m/>
    <m/>
    <n v="100"/>
    <n v="0"/>
    <n v="52498.698573026428"/>
  </r>
  <r>
    <x v="145"/>
    <x v="4"/>
    <x v="30"/>
    <x v="0"/>
    <x v="1"/>
    <x v="1504"/>
    <x v="25"/>
    <s v="NAKİT"/>
    <n v="0.15"/>
    <n v="500"/>
    <n v="0"/>
    <n v="0"/>
    <m/>
    <m/>
    <m/>
    <m/>
    <n v="75"/>
    <n v="0"/>
    <n v="52573.698573026428"/>
  </r>
  <r>
    <x v="145"/>
    <x v="4"/>
    <x v="48"/>
    <x v="0"/>
    <x v="5"/>
    <x v="1505"/>
    <x v="25"/>
    <s v="POS"/>
    <n v="0.05"/>
    <n v="1500"/>
    <n v="75"/>
    <n v="0"/>
    <m/>
    <m/>
    <m/>
    <m/>
    <n v="0"/>
    <n v="0"/>
    <n v="52573.698573026428"/>
  </r>
  <r>
    <x v="145"/>
    <x v="4"/>
    <x v="314"/>
    <x v="0"/>
    <x v="1"/>
    <x v="1506"/>
    <x v="25"/>
    <s v="NAKİT"/>
    <n v="1"/>
    <n v="140"/>
    <n v="0"/>
    <n v="0"/>
    <m/>
    <m/>
    <m/>
    <m/>
    <n v="140"/>
    <n v="0"/>
    <n v="52713.698573026428"/>
  </r>
  <r>
    <x v="145"/>
    <x v="4"/>
    <x v="313"/>
    <x v="0"/>
    <x v="1"/>
    <x v="1506"/>
    <x v="25"/>
    <s v="NAKİT"/>
    <n v="1"/>
    <n v="140"/>
    <n v="0"/>
    <n v="0"/>
    <m/>
    <m/>
    <m/>
    <m/>
    <n v="140"/>
    <n v="0"/>
    <n v="52853.698573026428"/>
  </r>
  <r>
    <x v="145"/>
    <x v="4"/>
    <x v="287"/>
    <x v="0"/>
    <x v="1"/>
    <x v="1506"/>
    <x v="25"/>
    <s v="NAKİT"/>
    <n v="2.3519999999999999"/>
    <n v="65"/>
    <n v="0"/>
    <n v="0"/>
    <m/>
    <m/>
    <m/>
    <m/>
    <n v="152.88"/>
    <n v="0"/>
    <n v="53006.578573026425"/>
  </r>
  <r>
    <x v="145"/>
    <x v="4"/>
    <x v="339"/>
    <x v="0"/>
    <x v="1"/>
    <x v="1506"/>
    <x v="25"/>
    <s v="NAKİT"/>
    <n v="1"/>
    <n v="130"/>
    <n v="0"/>
    <n v="0"/>
    <m/>
    <m/>
    <m/>
    <m/>
    <n v="130"/>
    <n v="0"/>
    <n v="53136.578573026425"/>
  </r>
  <r>
    <x v="145"/>
    <x v="4"/>
    <x v="88"/>
    <x v="0"/>
    <x v="1"/>
    <x v="1506"/>
    <x v="25"/>
    <s v="NAKİT"/>
    <n v="0.05"/>
    <n v="1200"/>
    <n v="0"/>
    <n v="0"/>
    <m/>
    <m/>
    <m/>
    <m/>
    <n v="60"/>
    <n v="0"/>
    <n v="53196.578573026425"/>
  </r>
  <r>
    <x v="145"/>
    <x v="4"/>
    <x v="165"/>
    <x v="0"/>
    <x v="1"/>
    <x v="1507"/>
    <x v="25"/>
    <s v="NAKİT"/>
    <n v="1"/>
    <n v="50"/>
    <n v="0"/>
    <n v="0"/>
    <m/>
    <m/>
    <m/>
    <m/>
    <n v="50"/>
    <n v="0"/>
    <n v="53246.578573026425"/>
  </r>
  <r>
    <x v="145"/>
    <x v="7"/>
    <x v="0"/>
    <x v="0"/>
    <x v="3"/>
    <x v="2"/>
    <x v="147"/>
    <s v="NAKİT"/>
    <n v="1"/>
    <n v="0"/>
    <n v="25000"/>
    <n v="0"/>
    <m/>
    <m/>
    <m/>
    <m/>
    <n v="0"/>
    <n v="25000"/>
    <n v="28246.578573026425"/>
  </r>
  <r>
    <x v="145"/>
    <x v="5"/>
    <x v="0"/>
    <x v="0"/>
    <x v="3"/>
    <x v="2"/>
    <x v="152"/>
    <s v="CARİ"/>
    <n v="1"/>
    <n v="4500"/>
    <n v="4500"/>
    <n v="0"/>
    <m/>
    <m/>
    <m/>
    <m/>
    <n v="0"/>
    <n v="0"/>
    <n v="28246.578573026425"/>
  </r>
  <r>
    <x v="145"/>
    <x v="1"/>
    <x v="0"/>
    <x v="5"/>
    <x v="1"/>
    <x v="2"/>
    <x v="153"/>
    <s v="NAKİT"/>
    <n v="1"/>
    <n v="280"/>
    <n v="0"/>
    <n v="0"/>
    <m/>
    <m/>
    <m/>
    <m/>
    <n v="0"/>
    <n v="280"/>
    <n v="27966.578573026425"/>
  </r>
  <r>
    <x v="145"/>
    <x v="10"/>
    <x v="0"/>
    <x v="0"/>
    <x v="5"/>
    <x v="2"/>
    <x v="63"/>
    <s v="POS"/>
    <n v="1"/>
    <n v="700"/>
    <n v="0"/>
    <n v="700"/>
    <m/>
    <m/>
    <m/>
    <m/>
    <n v="700"/>
    <n v="0"/>
    <n v="28666.578573026425"/>
  </r>
  <r>
    <x v="145"/>
    <x v="10"/>
    <x v="0"/>
    <x v="0"/>
    <x v="5"/>
    <x v="2"/>
    <x v="63"/>
    <s v="POS"/>
    <n v="1"/>
    <n v="1130"/>
    <n v="0"/>
    <n v="1130"/>
    <m/>
    <m/>
    <m/>
    <m/>
    <n v="1130"/>
    <n v="0"/>
    <n v="29796.578573026425"/>
  </r>
  <r>
    <x v="146"/>
    <x v="4"/>
    <x v="18"/>
    <x v="0"/>
    <x v="5"/>
    <x v="1508"/>
    <x v="25"/>
    <s v="POS"/>
    <n v="1"/>
    <n v="250"/>
    <n v="250"/>
    <n v="0"/>
    <m/>
    <m/>
    <m/>
    <m/>
    <n v="0"/>
    <n v="0"/>
    <n v="29796.578573026425"/>
  </r>
  <r>
    <x v="146"/>
    <x v="4"/>
    <x v="58"/>
    <x v="0"/>
    <x v="5"/>
    <x v="1508"/>
    <x v="25"/>
    <s v="POS"/>
    <n v="1"/>
    <n v="230"/>
    <n v="230"/>
    <n v="0"/>
    <m/>
    <m/>
    <m/>
    <m/>
    <n v="0"/>
    <n v="0"/>
    <n v="29796.578573026425"/>
  </r>
  <r>
    <x v="146"/>
    <x v="4"/>
    <x v="143"/>
    <x v="0"/>
    <x v="5"/>
    <x v="1508"/>
    <x v="25"/>
    <s v="POS"/>
    <n v="1"/>
    <n v="190"/>
    <n v="190"/>
    <n v="0"/>
    <m/>
    <m/>
    <m/>
    <m/>
    <n v="0"/>
    <n v="0"/>
    <n v="29796.578573026425"/>
  </r>
  <r>
    <x v="146"/>
    <x v="4"/>
    <x v="188"/>
    <x v="0"/>
    <x v="5"/>
    <x v="1508"/>
    <x v="25"/>
    <s v="POS"/>
    <n v="1"/>
    <n v="250"/>
    <n v="250"/>
    <n v="0"/>
    <m/>
    <m/>
    <m/>
    <m/>
    <n v="0"/>
    <n v="0"/>
    <n v="29796.578573026425"/>
  </r>
  <r>
    <x v="146"/>
    <x v="4"/>
    <x v="28"/>
    <x v="0"/>
    <x v="5"/>
    <x v="1508"/>
    <x v="25"/>
    <s v="POS"/>
    <n v="9.8000000000000004E-2"/>
    <n v="500"/>
    <n v="49"/>
    <n v="0"/>
    <m/>
    <m/>
    <m/>
    <m/>
    <n v="0"/>
    <n v="0"/>
    <n v="29796.578573026425"/>
  </r>
  <r>
    <x v="146"/>
    <x v="4"/>
    <x v="25"/>
    <x v="0"/>
    <x v="5"/>
    <x v="1508"/>
    <x v="25"/>
    <s v="POS"/>
    <n v="0.17"/>
    <n v="400"/>
    <n v="68"/>
    <n v="0"/>
    <m/>
    <m/>
    <m/>
    <m/>
    <n v="0"/>
    <n v="0"/>
    <n v="29796.578573026425"/>
  </r>
  <r>
    <x v="146"/>
    <x v="4"/>
    <x v="57"/>
    <x v="0"/>
    <x v="5"/>
    <x v="1508"/>
    <x v="25"/>
    <s v="POS"/>
    <n v="1"/>
    <n v="150"/>
    <n v="150"/>
    <n v="0"/>
    <m/>
    <m/>
    <m/>
    <m/>
    <n v="0"/>
    <n v="0"/>
    <n v="29796.578573026425"/>
  </r>
  <r>
    <x v="146"/>
    <x v="4"/>
    <x v="112"/>
    <x v="0"/>
    <x v="5"/>
    <x v="1508"/>
    <x v="25"/>
    <s v="POS"/>
    <n v="0.05"/>
    <n v="1800"/>
    <n v="90"/>
    <n v="0"/>
    <m/>
    <m/>
    <m/>
    <m/>
    <n v="0"/>
    <n v="0"/>
    <n v="29796.578573026425"/>
  </r>
  <r>
    <x v="146"/>
    <x v="4"/>
    <x v="289"/>
    <x v="0"/>
    <x v="1"/>
    <x v="1509"/>
    <x v="25"/>
    <s v="NAKİT"/>
    <n v="0.19444444444444445"/>
    <n v="360"/>
    <n v="0"/>
    <n v="0"/>
    <m/>
    <m/>
    <m/>
    <m/>
    <n v="70"/>
    <n v="0"/>
    <n v="29866.578573026425"/>
  </r>
  <r>
    <x v="146"/>
    <x v="4"/>
    <x v="18"/>
    <x v="0"/>
    <x v="5"/>
    <x v="1510"/>
    <x v="25"/>
    <s v="POS"/>
    <n v="1"/>
    <n v="250"/>
    <n v="250"/>
    <n v="0"/>
    <m/>
    <m/>
    <m/>
    <m/>
    <n v="0"/>
    <n v="0"/>
    <n v="29866.578573026425"/>
  </r>
  <r>
    <x v="146"/>
    <x v="4"/>
    <x v="21"/>
    <x v="0"/>
    <x v="1"/>
    <x v="1511"/>
    <x v="25"/>
    <s v="NAKİT"/>
    <n v="2"/>
    <n v="240"/>
    <n v="0"/>
    <n v="0"/>
    <m/>
    <m/>
    <m/>
    <m/>
    <n v="480"/>
    <n v="0"/>
    <n v="30346.578573026425"/>
  </r>
  <r>
    <x v="146"/>
    <x v="4"/>
    <x v="18"/>
    <x v="0"/>
    <x v="1"/>
    <x v="1511"/>
    <x v="25"/>
    <s v="NAKİT"/>
    <n v="2"/>
    <n v="240"/>
    <n v="0"/>
    <n v="0"/>
    <m/>
    <m/>
    <m/>
    <m/>
    <n v="480"/>
    <n v="0"/>
    <n v="30826.578573026425"/>
  </r>
  <r>
    <x v="146"/>
    <x v="4"/>
    <x v="58"/>
    <x v="0"/>
    <x v="1"/>
    <x v="1511"/>
    <x v="25"/>
    <s v="NAKİT"/>
    <n v="1"/>
    <n v="220"/>
    <n v="0"/>
    <n v="0"/>
    <m/>
    <m/>
    <m/>
    <m/>
    <n v="220"/>
    <n v="0"/>
    <n v="31046.578573026425"/>
  </r>
  <r>
    <x v="146"/>
    <x v="4"/>
    <x v="18"/>
    <x v="0"/>
    <x v="1"/>
    <x v="1512"/>
    <x v="25"/>
    <s v="NAKİT"/>
    <n v="1"/>
    <n v="250"/>
    <n v="0"/>
    <n v="0"/>
    <m/>
    <m/>
    <m/>
    <m/>
    <n v="250"/>
    <n v="0"/>
    <n v="31296.578573026425"/>
  </r>
  <r>
    <x v="146"/>
    <x v="4"/>
    <x v="103"/>
    <x v="0"/>
    <x v="5"/>
    <x v="1513"/>
    <x v="25"/>
    <s v="POS"/>
    <n v="1"/>
    <n v="260"/>
    <n v="260"/>
    <n v="0"/>
    <m/>
    <m/>
    <m/>
    <m/>
    <n v="0"/>
    <n v="0"/>
    <n v="31296.578573026425"/>
  </r>
  <r>
    <x v="146"/>
    <x v="4"/>
    <x v="244"/>
    <x v="0"/>
    <x v="5"/>
    <x v="1514"/>
    <x v="25"/>
    <s v="POS"/>
    <n v="1"/>
    <n v="120"/>
    <n v="120"/>
    <n v="0"/>
    <m/>
    <m/>
    <m/>
    <m/>
    <n v="0"/>
    <n v="0"/>
    <n v="31296.578573026425"/>
  </r>
  <r>
    <x v="146"/>
    <x v="4"/>
    <x v="150"/>
    <x v="0"/>
    <x v="5"/>
    <x v="1514"/>
    <x v="25"/>
    <s v="POS"/>
    <n v="1"/>
    <n v="250"/>
    <n v="250"/>
    <n v="0"/>
    <m/>
    <m/>
    <m/>
    <m/>
    <n v="0"/>
    <n v="0"/>
    <n v="31296.578573026425"/>
  </r>
  <r>
    <x v="146"/>
    <x v="4"/>
    <x v="212"/>
    <x v="0"/>
    <x v="5"/>
    <x v="1515"/>
    <x v="25"/>
    <s v="POS"/>
    <n v="0.44800000000000001"/>
    <n v="550"/>
    <n v="246.4"/>
    <n v="0"/>
    <m/>
    <m/>
    <m/>
    <m/>
    <n v="0"/>
    <n v="0"/>
    <n v="31296.578573026425"/>
  </r>
  <r>
    <x v="146"/>
    <x v="4"/>
    <x v="398"/>
    <x v="0"/>
    <x v="5"/>
    <x v="1515"/>
    <x v="25"/>
    <s v="POS"/>
    <n v="0.28000000000000003"/>
    <n v="430"/>
    <n v="120.4"/>
    <n v="0"/>
    <m/>
    <m/>
    <m/>
    <m/>
    <n v="0"/>
    <n v="0"/>
    <n v="31296.578573026425"/>
  </r>
  <r>
    <x v="146"/>
    <x v="4"/>
    <x v="360"/>
    <x v="0"/>
    <x v="5"/>
    <x v="1515"/>
    <x v="25"/>
    <s v="POS"/>
    <n v="0.16700000000000001"/>
    <n v="600"/>
    <n v="100.2"/>
    <n v="0"/>
    <m/>
    <m/>
    <m/>
    <m/>
    <n v="0"/>
    <n v="0"/>
    <n v="31296.578573026425"/>
  </r>
  <r>
    <x v="146"/>
    <x v="4"/>
    <x v="363"/>
    <x v="0"/>
    <x v="5"/>
    <x v="1515"/>
    <x v="25"/>
    <s v="POS"/>
    <n v="0.1"/>
    <n v="950"/>
    <n v="95"/>
    <n v="0"/>
    <m/>
    <m/>
    <m/>
    <m/>
    <n v="0"/>
    <n v="0"/>
    <n v="31296.578573026425"/>
  </r>
  <r>
    <x v="146"/>
    <x v="4"/>
    <x v="150"/>
    <x v="0"/>
    <x v="5"/>
    <x v="1515"/>
    <x v="25"/>
    <s v="POS"/>
    <n v="0.5"/>
    <n v="250"/>
    <n v="125"/>
    <n v="0"/>
    <m/>
    <m/>
    <m/>
    <m/>
    <n v="0"/>
    <n v="0"/>
    <n v="31296.578573026425"/>
  </r>
  <r>
    <x v="146"/>
    <x v="4"/>
    <x v="150"/>
    <x v="0"/>
    <x v="1"/>
    <x v="1516"/>
    <x v="25"/>
    <s v="NAKİT"/>
    <n v="1"/>
    <n v="250"/>
    <n v="0"/>
    <n v="0"/>
    <m/>
    <m/>
    <m/>
    <m/>
    <n v="250"/>
    <n v="0"/>
    <n v="31546.578573026425"/>
  </r>
  <r>
    <x v="146"/>
    <x v="4"/>
    <x v="30"/>
    <x v="0"/>
    <x v="5"/>
    <x v="1517"/>
    <x v="25"/>
    <s v="POS"/>
    <n v="0.23400000000000001"/>
    <n v="500"/>
    <n v="117"/>
    <n v="0"/>
    <m/>
    <m/>
    <m/>
    <m/>
    <n v="0"/>
    <n v="0"/>
    <n v="31546.578573026425"/>
  </r>
  <r>
    <x v="146"/>
    <x v="4"/>
    <x v="212"/>
    <x v="0"/>
    <x v="5"/>
    <x v="1517"/>
    <x v="25"/>
    <s v="POS"/>
    <n v="0.29599999999999999"/>
    <n v="550"/>
    <n v="162.79999999999998"/>
    <n v="0"/>
    <m/>
    <m/>
    <m/>
    <m/>
    <n v="0"/>
    <n v="0"/>
    <n v="31546.578573026425"/>
  </r>
  <r>
    <x v="146"/>
    <x v="4"/>
    <x v="360"/>
    <x v="0"/>
    <x v="5"/>
    <x v="1518"/>
    <x v="25"/>
    <s v="POS"/>
    <n v="0.5"/>
    <n v="600"/>
    <n v="300"/>
    <n v="0"/>
    <m/>
    <m/>
    <m/>
    <m/>
    <n v="0"/>
    <n v="0"/>
    <n v="31546.578573026425"/>
  </r>
  <r>
    <x v="146"/>
    <x v="4"/>
    <x v="253"/>
    <x v="0"/>
    <x v="1"/>
    <x v="1519"/>
    <x v="25"/>
    <s v="NAKİT"/>
    <n v="1"/>
    <n v="110"/>
    <n v="0"/>
    <n v="0"/>
    <m/>
    <m/>
    <m/>
    <m/>
    <n v="110"/>
    <n v="0"/>
    <n v="31656.578573026425"/>
  </r>
  <r>
    <x v="146"/>
    <x v="4"/>
    <x v="345"/>
    <x v="0"/>
    <x v="1"/>
    <x v="1519"/>
    <x v="25"/>
    <s v="NAKİT"/>
    <n v="0.25"/>
    <n v="400"/>
    <n v="0"/>
    <n v="0"/>
    <m/>
    <m/>
    <m/>
    <m/>
    <n v="100"/>
    <n v="0"/>
    <n v="31756.578573026425"/>
  </r>
  <r>
    <x v="146"/>
    <x v="4"/>
    <x v="340"/>
    <x v="0"/>
    <x v="1"/>
    <x v="1519"/>
    <x v="25"/>
    <s v="NAKİT"/>
    <n v="1"/>
    <n v="135"/>
    <n v="0"/>
    <n v="0"/>
    <m/>
    <m/>
    <m/>
    <m/>
    <n v="135"/>
    <n v="0"/>
    <n v="31891.578573026425"/>
  </r>
  <r>
    <x v="146"/>
    <x v="4"/>
    <x v="150"/>
    <x v="0"/>
    <x v="1"/>
    <x v="1520"/>
    <x v="25"/>
    <s v="NAKİT"/>
    <n v="1.24"/>
    <n v="250"/>
    <n v="0"/>
    <n v="0"/>
    <m/>
    <m/>
    <m/>
    <m/>
    <n v="310"/>
    <n v="0"/>
    <n v="32201.578573026425"/>
  </r>
  <r>
    <x v="146"/>
    <x v="4"/>
    <x v="67"/>
    <x v="0"/>
    <x v="1"/>
    <x v="1521"/>
    <x v="25"/>
    <s v="NAKİT"/>
    <n v="0.1"/>
    <n v="1200"/>
    <n v="0"/>
    <n v="0"/>
    <m/>
    <m/>
    <m/>
    <m/>
    <n v="120"/>
    <n v="0"/>
    <n v="32321.578573026425"/>
  </r>
  <r>
    <x v="146"/>
    <x v="4"/>
    <x v="88"/>
    <x v="0"/>
    <x v="1"/>
    <x v="1521"/>
    <x v="25"/>
    <s v="NAKİT"/>
    <n v="0.05"/>
    <n v="1200"/>
    <n v="0"/>
    <n v="0"/>
    <m/>
    <m/>
    <m/>
    <m/>
    <n v="60"/>
    <n v="0"/>
    <n v="32381.578573026425"/>
  </r>
  <r>
    <x v="146"/>
    <x v="4"/>
    <x v="18"/>
    <x v="0"/>
    <x v="1"/>
    <x v="1522"/>
    <x v="25"/>
    <s v="NAKİT"/>
    <n v="1"/>
    <n v="250"/>
    <n v="0"/>
    <n v="0"/>
    <m/>
    <m/>
    <m/>
    <m/>
    <n v="250"/>
    <n v="0"/>
    <n v="32631.578573026425"/>
  </r>
  <r>
    <x v="146"/>
    <x v="4"/>
    <x v="58"/>
    <x v="0"/>
    <x v="1"/>
    <x v="1522"/>
    <x v="25"/>
    <s v="NAKİT"/>
    <n v="1"/>
    <n v="230"/>
    <n v="0"/>
    <n v="0"/>
    <m/>
    <m/>
    <m/>
    <m/>
    <n v="230"/>
    <n v="0"/>
    <n v="32861.578573026425"/>
  </r>
  <r>
    <x v="146"/>
    <x v="4"/>
    <x v="389"/>
    <x v="0"/>
    <x v="1"/>
    <x v="1523"/>
    <x v="154"/>
    <s v="NAKİT"/>
    <n v="0.95"/>
    <n v="550"/>
    <n v="0"/>
    <n v="0"/>
    <m/>
    <m/>
    <m/>
    <m/>
    <n v="522.5"/>
    <n v="0"/>
    <n v="33384.078573026425"/>
  </r>
  <r>
    <x v="146"/>
    <x v="4"/>
    <x v="127"/>
    <x v="0"/>
    <x v="1"/>
    <x v="1523"/>
    <x v="154"/>
    <s v="NAKİT"/>
    <n v="1.768"/>
    <n v="670"/>
    <n v="0"/>
    <n v="0"/>
    <m/>
    <m/>
    <m/>
    <m/>
    <n v="1184.56"/>
    <n v="0"/>
    <n v="34568.638573026423"/>
  </r>
  <r>
    <x v="146"/>
    <x v="4"/>
    <x v="394"/>
    <x v="0"/>
    <x v="1"/>
    <x v="1523"/>
    <x v="154"/>
    <s v="NAKİT"/>
    <n v="2.8559999999999999"/>
    <n v="400"/>
    <n v="0"/>
    <n v="0"/>
    <m/>
    <m/>
    <m/>
    <m/>
    <n v="1142.3999999999999"/>
    <n v="0"/>
    <n v="35711.038573026424"/>
  </r>
  <r>
    <x v="146"/>
    <x v="4"/>
    <x v="100"/>
    <x v="0"/>
    <x v="1"/>
    <x v="1523"/>
    <x v="154"/>
    <s v="NAKİT"/>
    <n v="2.8420000000000001"/>
    <n v="750"/>
    <n v="0"/>
    <n v="0"/>
    <m/>
    <m/>
    <m/>
    <m/>
    <n v="2131.5"/>
    <n v="0"/>
    <n v="37842.538573026424"/>
  </r>
  <r>
    <x v="146"/>
    <x v="4"/>
    <x v="212"/>
    <x v="0"/>
    <x v="1"/>
    <x v="1523"/>
    <x v="154"/>
    <s v="NAKİT"/>
    <n v="2.5"/>
    <n v="550"/>
    <n v="0"/>
    <n v="0"/>
    <m/>
    <m/>
    <m/>
    <m/>
    <n v="1375"/>
    <n v="0"/>
    <n v="39217.538573026424"/>
  </r>
  <r>
    <x v="146"/>
    <x v="4"/>
    <x v="347"/>
    <x v="0"/>
    <x v="1"/>
    <x v="1523"/>
    <x v="154"/>
    <s v="NAKİT"/>
    <n v="2.54"/>
    <n v="600"/>
    <n v="0"/>
    <n v="0"/>
    <m/>
    <m/>
    <m/>
    <m/>
    <n v="1524"/>
    <n v="0"/>
    <n v="40741.538573026424"/>
  </r>
  <r>
    <x v="146"/>
    <x v="4"/>
    <x v="123"/>
    <x v="0"/>
    <x v="1"/>
    <x v="1523"/>
    <x v="154"/>
    <s v="NAKİT"/>
    <n v="0.68400000000000005"/>
    <n v="1000"/>
    <n v="0"/>
    <n v="0"/>
    <m/>
    <m/>
    <m/>
    <m/>
    <n v="684"/>
    <n v="0"/>
    <n v="41425.538573026424"/>
  </r>
  <r>
    <x v="146"/>
    <x v="5"/>
    <x v="0"/>
    <x v="17"/>
    <x v="1"/>
    <x v="1523"/>
    <x v="155"/>
    <s v="NAKİT"/>
    <n v="150"/>
    <n v="3"/>
    <n v="0"/>
    <n v="0"/>
    <m/>
    <m/>
    <m/>
    <m/>
    <n v="450"/>
    <n v="0"/>
    <n v="41875.538573026424"/>
  </r>
  <r>
    <x v="146"/>
    <x v="5"/>
    <x v="0"/>
    <x v="17"/>
    <x v="1"/>
    <x v="1523"/>
    <x v="156"/>
    <s v="NAKİT"/>
    <n v="150"/>
    <n v="1"/>
    <n v="0"/>
    <n v="0"/>
    <m/>
    <m/>
    <m/>
    <m/>
    <n v="150"/>
    <n v="0"/>
    <n v="42025.538573026424"/>
  </r>
  <r>
    <x v="146"/>
    <x v="5"/>
    <x v="0"/>
    <x v="17"/>
    <x v="1"/>
    <x v="1523"/>
    <x v="157"/>
    <s v="NAKİT"/>
    <n v="336.04"/>
    <n v="1"/>
    <n v="0"/>
    <n v="0"/>
    <m/>
    <m/>
    <m/>
    <m/>
    <n v="336.04"/>
    <n v="0"/>
    <n v="42361.578573026425"/>
  </r>
  <r>
    <x v="146"/>
    <x v="11"/>
    <x v="0"/>
    <x v="0"/>
    <x v="13"/>
    <x v="1524"/>
    <x v="158"/>
    <s v="NAKİT"/>
    <n v="1"/>
    <n v="4675"/>
    <n v="0"/>
    <n v="4675"/>
    <m/>
    <m/>
    <m/>
    <m/>
    <n v="4675"/>
    <n v="0"/>
    <n v="47036.578573026425"/>
  </r>
  <r>
    <x v="146"/>
    <x v="10"/>
    <x v="0"/>
    <x v="0"/>
    <x v="5"/>
    <x v="2"/>
    <x v="63"/>
    <s v="POS"/>
    <n v="1"/>
    <n v="880"/>
    <n v="0"/>
    <n v="880"/>
    <m/>
    <m/>
    <m/>
    <m/>
    <n v="880"/>
    <n v="0"/>
    <n v="47916.578573026425"/>
  </r>
  <r>
    <x v="146"/>
    <x v="10"/>
    <x v="0"/>
    <x v="0"/>
    <x v="5"/>
    <x v="2"/>
    <x v="63"/>
    <s v="POS"/>
    <n v="1"/>
    <n v="413"/>
    <n v="0"/>
    <n v="413"/>
    <m/>
    <m/>
    <m/>
    <m/>
    <n v="413"/>
    <n v="0"/>
    <n v="48329.578573026425"/>
  </r>
  <r>
    <x v="147"/>
    <x v="4"/>
    <x v="57"/>
    <x v="0"/>
    <x v="5"/>
    <x v="1525"/>
    <x v="25"/>
    <s v="POS"/>
    <n v="0.5"/>
    <n v="150"/>
    <n v="75"/>
    <n v="0"/>
    <m/>
    <m/>
    <m/>
    <m/>
    <n v="0"/>
    <n v="0"/>
    <n v="48329.578573026425"/>
  </r>
  <r>
    <x v="147"/>
    <x v="4"/>
    <x v="56"/>
    <x v="0"/>
    <x v="5"/>
    <x v="1525"/>
    <x v="25"/>
    <s v="POS"/>
    <n v="1"/>
    <n v="200"/>
    <n v="200"/>
    <n v="0"/>
    <m/>
    <m/>
    <m/>
    <m/>
    <n v="0"/>
    <n v="0"/>
    <n v="48329.578573026425"/>
  </r>
  <r>
    <x v="147"/>
    <x v="4"/>
    <x v="58"/>
    <x v="0"/>
    <x v="5"/>
    <x v="1525"/>
    <x v="25"/>
    <s v="POS"/>
    <n v="0.5"/>
    <n v="230"/>
    <n v="115"/>
    <n v="0"/>
    <m/>
    <m/>
    <m/>
    <m/>
    <n v="0"/>
    <n v="0"/>
    <n v="48329.578573026425"/>
  </r>
  <r>
    <x v="147"/>
    <x v="4"/>
    <x v="40"/>
    <x v="0"/>
    <x v="5"/>
    <x v="1525"/>
    <x v="25"/>
    <s v="POS"/>
    <n v="9.6000000000000002E-2"/>
    <n v="140"/>
    <n v="13.44"/>
    <n v="0"/>
    <m/>
    <m/>
    <m/>
    <m/>
    <n v="0"/>
    <n v="0"/>
    <n v="48329.578573026425"/>
  </r>
  <r>
    <x v="147"/>
    <x v="4"/>
    <x v="25"/>
    <x v="0"/>
    <x v="5"/>
    <x v="1525"/>
    <x v="25"/>
    <s v="POS"/>
    <n v="8.4000000000000005E-2"/>
    <n v="400"/>
    <n v="33.6"/>
    <n v="0"/>
    <m/>
    <m/>
    <m/>
    <m/>
    <n v="0"/>
    <n v="0"/>
    <n v="48329.578573026425"/>
  </r>
  <r>
    <x v="147"/>
    <x v="4"/>
    <x v="150"/>
    <x v="0"/>
    <x v="5"/>
    <x v="1525"/>
    <x v="25"/>
    <s v="POS"/>
    <n v="0.8"/>
    <n v="250"/>
    <n v="200"/>
    <n v="0"/>
    <m/>
    <m/>
    <m/>
    <m/>
    <n v="0"/>
    <n v="0"/>
    <n v="48329.578573026425"/>
  </r>
  <r>
    <x v="147"/>
    <x v="4"/>
    <x v="32"/>
    <x v="0"/>
    <x v="5"/>
    <x v="1525"/>
    <x v="25"/>
    <s v="POS"/>
    <n v="8.4000000000000005E-2"/>
    <n v="400"/>
    <n v="33.6"/>
    <n v="0"/>
    <m/>
    <m/>
    <m/>
    <m/>
    <n v="0"/>
    <n v="0"/>
    <n v="48329.578573026425"/>
  </r>
  <r>
    <x v="147"/>
    <x v="4"/>
    <x v="315"/>
    <x v="0"/>
    <x v="5"/>
    <x v="1525"/>
    <x v="25"/>
    <s v="POS"/>
    <n v="1"/>
    <n v="195"/>
    <n v="195"/>
    <n v="0"/>
    <m/>
    <m/>
    <m/>
    <m/>
    <n v="0"/>
    <n v="0"/>
    <n v="48329.578573026425"/>
  </r>
  <r>
    <x v="147"/>
    <x v="4"/>
    <x v="187"/>
    <x v="0"/>
    <x v="5"/>
    <x v="1525"/>
    <x v="25"/>
    <s v="POS"/>
    <n v="1"/>
    <n v="260"/>
    <n v="260"/>
    <n v="0"/>
    <m/>
    <m/>
    <m/>
    <m/>
    <n v="0"/>
    <n v="0"/>
    <n v="48329.578573026425"/>
  </r>
  <r>
    <x v="147"/>
    <x v="4"/>
    <x v="358"/>
    <x v="0"/>
    <x v="5"/>
    <x v="1525"/>
    <x v="25"/>
    <s v="POS"/>
    <n v="1"/>
    <n v="275"/>
    <n v="275"/>
    <n v="0"/>
    <m/>
    <m/>
    <m/>
    <m/>
    <n v="0"/>
    <n v="0"/>
    <n v="48329.578573026425"/>
  </r>
  <r>
    <x v="147"/>
    <x v="4"/>
    <x v="221"/>
    <x v="0"/>
    <x v="5"/>
    <x v="1525"/>
    <x v="25"/>
    <s v="POS"/>
    <n v="1"/>
    <n v="280"/>
    <n v="280"/>
    <n v="0"/>
    <m/>
    <m/>
    <m/>
    <m/>
    <n v="0"/>
    <n v="0"/>
    <n v="48329.578573026425"/>
  </r>
  <r>
    <x v="147"/>
    <x v="4"/>
    <x v="317"/>
    <x v="0"/>
    <x v="5"/>
    <x v="1525"/>
    <x v="25"/>
    <s v="POS"/>
    <n v="1"/>
    <n v="220"/>
    <n v="220"/>
    <n v="0"/>
    <m/>
    <m/>
    <m/>
    <m/>
    <n v="0"/>
    <n v="0"/>
    <n v="48329.578573026425"/>
  </r>
  <r>
    <x v="147"/>
    <x v="4"/>
    <x v="360"/>
    <x v="0"/>
    <x v="5"/>
    <x v="1526"/>
    <x v="25"/>
    <s v="POS"/>
    <n v="0.16666666666666666"/>
    <n v="600"/>
    <n v="100"/>
    <n v="0"/>
    <m/>
    <m/>
    <m/>
    <m/>
    <n v="0"/>
    <n v="0"/>
    <n v="48329.578573026425"/>
  </r>
  <r>
    <x v="147"/>
    <x v="4"/>
    <x v="51"/>
    <x v="0"/>
    <x v="1"/>
    <x v="1527"/>
    <x v="25"/>
    <s v="NAKİT"/>
    <n v="0.1"/>
    <n v="400"/>
    <n v="0"/>
    <n v="0"/>
    <m/>
    <m/>
    <m/>
    <m/>
    <n v="40"/>
    <n v="0"/>
    <n v="48369.578573026425"/>
  </r>
  <r>
    <x v="147"/>
    <x v="4"/>
    <x v="392"/>
    <x v="0"/>
    <x v="1"/>
    <x v="1528"/>
    <x v="25"/>
    <s v="NAKİT"/>
    <n v="0.45135135135135135"/>
    <n v="370"/>
    <n v="0"/>
    <n v="0"/>
    <m/>
    <m/>
    <m/>
    <m/>
    <n v="167"/>
    <n v="0"/>
    <n v="48536.578573026425"/>
  </r>
  <r>
    <x v="147"/>
    <x v="4"/>
    <x v="41"/>
    <x v="0"/>
    <x v="1"/>
    <x v="1529"/>
    <x v="25"/>
    <s v="NAKİT"/>
    <n v="1"/>
    <n v="100"/>
    <n v="0"/>
    <n v="0"/>
    <m/>
    <m/>
    <m/>
    <m/>
    <n v="100"/>
    <n v="0"/>
    <n v="48636.578573026425"/>
  </r>
  <r>
    <x v="147"/>
    <x v="4"/>
    <x v="233"/>
    <x v="0"/>
    <x v="1"/>
    <x v="1530"/>
    <x v="25"/>
    <s v="NAKİT"/>
    <n v="1"/>
    <n v="400"/>
    <n v="0"/>
    <n v="0"/>
    <m/>
    <m/>
    <m/>
    <m/>
    <n v="400"/>
    <n v="0"/>
    <n v="49036.578573026425"/>
  </r>
  <r>
    <x v="147"/>
    <x v="4"/>
    <x v="150"/>
    <x v="0"/>
    <x v="1"/>
    <x v="1531"/>
    <x v="25"/>
    <s v="NAKİT"/>
    <n v="2"/>
    <n v="250"/>
    <n v="0"/>
    <n v="0"/>
    <m/>
    <m/>
    <m/>
    <m/>
    <n v="500"/>
    <n v="0"/>
    <n v="49536.578573026425"/>
  </r>
  <r>
    <x v="147"/>
    <x v="4"/>
    <x v="58"/>
    <x v="0"/>
    <x v="1"/>
    <x v="1532"/>
    <x v="25"/>
    <s v="NAKİT"/>
    <n v="1"/>
    <n v="200"/>
    <n v="0"/>
    <n v="0"/>
    <m/>
    <m/>
    <m/>
    <m/>
    <n v="200"/>
    <n v="0"/>
    <n v="49736.578573026425"/>
  </r>
  <r>
    <x v="147"/>
    <x v="4"/>
    <x v="18"/>
    <x v="0"/>
    <x v="5"/>
    <x v="1532"/>
    <x v="25"/>
    <s v="POS"/>
    <n v="1"/>
    <n v="280"/>
    <n v="280"/>
    <n v="0"/>
    <m/>
    <m/>
    <m/>
    <m/>
    <n v="0"/>
    <n v="0"/>
    <n v="49736.578573026425"/>
  </r>
  <r>
    <x v="147"/>
    <x v="4"/>
    <x v="356"/>
    <x v="0"/>
    <x v="5"/>
    <x v="1532"/>
    <x v="25"/>
    <s v="POS"/>
    <n v="2"/>
    <n v="10"/>
    <n v="20"/>
    <n v="0"/>
    <m/>
    <m/>
    <m/>
    <m/>
    <n v="0"/>
    <n v="0"/>
    <n v="49736.578573026425"/>
  </r>
  <r>
    <x v="147"/>
    <x v="4"/>
    <x v="18"/>
    <x v="0"/>
    <x v="1"/>
    <x v="1533"/>
    <x v="25"/>
    <s v="NAKİT"/>
    <n v="1"/>
    <n v="250"/>
    <n v="0"/>
    <n v="0"/>
    <m/>
    <m/>
    <m/>
    <m/>
    <n v="250"/>
    <n v="0"/>
    <n v="49986.578573026425"/>
  </r>
  <r>
    <x v="147"/>
    <x v="4"/>
    <x v="28"/>
    <x v="0"/>
    <x v="1"/>
    <x v="1533"/>
    <x v="25"/>
    <s v="NAKİT"/>
    <n v="0.106"/>
    <n v="500"/>
    <n v="0"/>
    <n v="0"/>
    <m/>
    <m/>
    <m/>
    <m/>
    <n v="53"/>
    <n v="0"/>
    <n v="50039.578573026425"/>
  </r>
  <r>
    <x v="147"/>
    <x v="4"/>
    <x v="83"/>
    <x v="0"/>
    <x v="5"/>
    <x v="1534"/>
    <x v="25"/>
    <s v="POS"/>
    <n v="0.05"/>
    <n v="2600"/>
    <n v="130"/>
    <n v="0"/>
    <m/>
    <m/>
    <m/>
    <m/>
    <n v="0"/>
    <n v="0"/>
    <n v="50039.578573026425"/>
  </r>
  <r>
    <x v="147"/>
    <x v="4"/>
    <x v="30"/>
    <x v="0"/>
    <x v="1"/>
    <x v="1535"/>
    <x v="25"/>
    <s v="NAKİT"/>
    <n v="0.15"/>
    <n v="500"/>
    <n v="0"/>
    <n v="0"/>
    <m/>
    <m/>
    <m/>
    <m/>
    <n v="75"/>
    <n v="0"/>
    <n v="50114.578573026425"/>
  </r>
  <r>
    <x v="147"/>
    <x v="4"/>
    <x v="18"/>
    <x v="0"/>
    <x v="5"/>
    <x v="1536"/>
    <x v="25"/>
    <s v="POS"/>
    <n v="1"/>
    <n v="250"/>
    <n v="250"/>
    <n v="0"/>
    <m/>
    <m/>
    <m/>
    <m/>
    <n v="0"/>
    <n v="0"/>
    <n v="50114.578573026425"/>
  </r>
  <r>
    <x v="147"/>
    <x v="4"/>
    <x v="288"/>
    <x v="0"/>
    <x v="5"/>
    <x v="1536"/>
    <x v="25"/>
    <s v="POS"/>
    <n v="0.1"/>
    <n v="500"/>
    <n v="50"/>
    <n v="0"/>
    <m/>
    <m/>
    <m/>
    <m/>
    <n v="0"/>
    <n v="0"/>
    <n v="50114.578573026425"/>
  </r>
  <r>
    <x v="147"/>
    <x v="4"/>
    <x v="51"/>
    <x v="0"/>
    <x v="1"/>
    <x v="1537"/>
    <x v="25"/>
    <s v="NAKİT"/>
    <n v="0.1"/>
    <n v="400"/>
    <n v="0"/>
    <n v="0"/>
    <m/>
    <m/>
    <m/>
    <m/>
    <n v="40"/>
    <n v="0"/>
    <n v="50154.578573026425"/>
  </r>
  <r>
    <x v="147"/>
    <x v="4"/>
    <x v="76"/>
    <x v="0"/>
    <x v="5"/>
    <x v="1538"/>
    <x v="25"/>
    <s v="POS"/>
    <n v="0.5"/>
    <n v="80"/>
    <n v="40"/>
    <n v="0"/>
    <m/>
    <m/>
    <m/>
    <m/>
    <n v="0"/>
    <n v="0"/>
    <n v="50154.578573026425"/>
  </r>
  <r>
    <x v="147"/>
    <x v="4"/>
    <x v="393"/>
    <x v="0"/>
    <x v="5"/>
    <x v="1538"/>
    <x v="25"/>
    <s v="POS"/>
    <n v="0.43243243243243246"/>
    <n v="370"/>
    <n v="160"/>
    <n v="0"/>
    <m/>
    <m/>
    <m/>
    <m/>
    <n v="0"/>
    <n v="0"/>
    <n v="50154.578573026425"/>
  </r>
  <r>
    <x v="147"/>
    <x v="10"/>
    <x v="0"/>
    <x v="0"/>
    <x v="5"/>
    <x v="2"/>
    <x v="63"/>
    <s v="POS"/>
    <n v="1"/>
    <n v="410"/>
    <n v="0"/>
    <n v="410"/>
    <m/>
    <m/>
    <m/>
    <m/>
    <n v="410"/>
    <n v="0"/>
    <n v="50564.578573026425"/>
  </r>
  <r>
    <x v="147"/>
    <x v="10"/>
    <x v="0"/>
    <x v="0"/>
    <x v="5"/>
    <x v="2"/>
    <x v="63"/>
    <s v="POS"/>
    <n v="1"/>
    <n v="975"/>
    <n v="0"/>
    <n v="975"/>
    <m/>
    <m/>
    <m/>
    <m/>
    <n v="975"/>
    <n v="0"/>
    <n v="51539.578573026425"/>
  </r>
  <r>
    <x v="147"/>
    <x v="1"/>
    <x v="0"/>
    <x v="16"/>
    <x v="1"/>
    <x v="2"/>
    <x v="98"/>
    <s v="NAKİT"/>
    <n v="1"/>
    <n v="441"/>
    <n v="0"/>
    <n v="0"/>
    <m/>
    <m/>
    <m/>
    <m/>
    <n v="0"/>
    <n v="441"/>
    <n v="51098.578573026425"/>
  </r>
  <r>
    <x v="148"/>
    <x v="11"/>
    <x v="0"/>
    <x v="0"/>
    <x v="11"/>
    <x v="1524"/>
    <x v="159"/>
    <s v="NAKİT"/>
    <n v="1"/>
    <n v="4450"/>
    <n v="0"/>
    <n v="4450"/>
    <m/>
    <m/>
    <m/>
    <m/>
    <n v="4450"/>
    <n v="0"/>
    <n v="55548.578573026425"/>
  </r>
  <r>
    <x v="148"/>
    <x v="4"/>
    <x v="28"/>
    <x v="0"/>
    <x v="11"/>
    <x v="1524"/>
    <x v="35"/>
    <s v="CARİ"/>
    <n v="1"/>
    <n v="300"/>
    <n v="300"/>
    <n v="0"/>
    <m/>
    <m/>
    <m/>
    <m/>
    <n v="0"/>
    <n v="0"/>
    <n v="55548.578573026425"/>
  </r>
  <r>
    <x v="148"/>
    <x v="4"/>
    <x v="27"/>
    <x v="0"/>
    <x v="11"/>
    <x v="1524"/>
    <x v="35"/>
    <s v="CARİ"/>
    <n v="1"/>
    <n v="200"/>
    <n v="200"/>
    <n v="0"/>
    <m/>
    <m/>
    <m/>
    <m/>
    <n v="0"/>
    <n v="0"/>
    <n v="55548.578573026425"/>
  </r>
  <r>
    <x v="148"/>
    <x v="4"/>
    <x v="24"/>
    <x v="0"/>
    <x v="11"/>
    <x v="1524"/>
    <x v="35"/>
    <s v="CARİ"/>
    <n v="0.5"/>
    <n v="500"/>
    <n v="250"/>
    <n v="0"/>
    <m/>
    <m/>
    <m/>
    <m/>
    <n v="0"/>
    <n v="0"/>
    <n v="55548.578573026425"/>
  </r>
  <r>
    <x v="148"/>
    <x v="4"/>
    <x v="33"/>
    <x v="0"/>
    <x v="11"/>
    <x v="1524"/>
    <x v="35"/>
    <s v="CARİ"/>
    <n v="0.5"/>
    <n v="250"/>
    <n v="125"/>
    <n v="0"/>
    <m/>
    <m/>
    <m/>
    <m/>
    <n v="0"/>
    <n v="0"/>
    <n v="55548.578573026425"/>
  </r>
  <r>
    <x v="148"/>
    <x v="4"/>
    <x v="400"/>
    <x v="0"/>
    <x v="11"/>
    <x v="1524"/>
    <x v="35"/>
    <s v="CARİ"/>
    <n v="0.2"/>
    <n v="2500"/>
    <n v="500"/>
    <n v="0"/>
    <m/>
    <m/>
    <m/>
    <m/>
    <n v="0"/>
    <n v="0"/>
    <n v="55548.578573026425"/>
  </r>
  <r>
    <x v="148"/>
    <x v="4"/>
    <x v="54"/>
    <x v="0"/>
    <x v="11"/>
    <x v="1524"/>
    <x v="35"/>
    <s v="CARİ"/>
    <n v="1"/>
    <n v="230"/>
    <n v="230"/>
    <n v="0"/>
    <m/>
    <m/>
    <m/>
    <m/>
    <n v="0"/>
    <n v="0"/>
    <n v="55548.578573026425"/>
  </r>
  <r>
    <x v="148"/>
    <x v="4"/>
    <x v="18"/>
    <x v="0"/>
    <x v="11"/>
    <x v="1524"/>
    <x v="35"/>
    <s v="CARİ"/>
    <n v="5"/>
    <n v="200"/>
    <n v="1000"/>
    <n v="0"/>
    <m/>
    <m/>
    <m/>
    <m/>
    <n v="0"/>
    <n v="0"/>
    <n v="55548.578573026425"/>
  </r>
  <r>
    <x v="148"/>
    <x v="4"/>
    <x v="58"/>
    <x v="0"/>
    <x v="11"/>
    <x v="1524"/>
    <x v="35"/>
    <s v="CARİ"/>
    <n v="3"/>
    <n v="185"/>
    <n v="555"/>
    <n v="0"/>
    <m/>
    <m/>
    <m/>
    <m/>
    <n v="0"/>
    <n v="0"/>
    <n v="55548.578573026425"/>
  </r>
  <r>
    <x v="148"/>
    <x v="4"/>
    <x v="27"/>
    <x v="0"/>
    <x v="11"/>
    <x v="1524"/>
    <x v="35"/>
    <s v="CARİ"/>
    <n v="0.625"/>
    <n v="280"/>
    <n v="175"/>
    <n v="0"/>
    <m/>
    <m/>
    <m/>
    <m/>
    <n v="0"/>
    <n v="0"/>
    <n v="55548.578573026425"/>
  </r>
  <r>
    <x v="148"/>
    <x v="4"/>
    <x v="24"/>
    <x v="0"/>
    <x v="11"/>
    <x v="1524"/>
    <x v="35"/>
    <s v="CARİ"/>
    <n v="0.22500000000000001"/>
    <n v="500"/>
    <n v="112.5"/>
    <n v="0"/>
    <m/>
    <m/>
    <m/>
    <m/>
    <n v="0"/>
    <n v="0"/>
    <n v="55548.578573026425"/>
  </r>
  <r>
    <x v="148"/>
    <x v="4"/>
    <x v="104"/>
    <x v="0"/>
    <x v="11"/>
    <x v="1524"/>
    <x v="35"/>
    <s v="CARİ"/>
    <n v="1"/>
    <n v="165"/>
    <n v="165"/>
    <n v="0"/>
    <m/>
    <m/>
    <m/>
    <m/>
    <n v="0"/>
    <n v="0"/>
    <n v="55548.578573026425"/>
  </r>
  <r>
    <x v="148"/>
    <x v="4"/>
    <x v="18"/>
    <x v="0"/>
    <x v="5"/>
    <x v="1539"/>
    <x v="25"/>
    <s v="POS"/>
    <n v="1"/>
    <n v="250"/>
    <n v="250"/>
    <n v="0"/>
    <m/>
    <m/>
    <m/>
    <m/>
    <n v="0"/>
    <n v="0"/>
    <n v="55548.578573026425"/>
  </r>
  <r>
    <x v="148"/>
    <x v="4"/>
    <x v="18"/>
    <x v="0"/>
    <x v="5"/>
    <x v="1540"/>
    <x v="25"/>
    <s v="POS"/>
    <n v="1"/>
    <n v="250"/>
    <n v="200"/>
    <n v="0"/>
    <m/>
    <m/>
    <m/>
    <m/>
    <n v="0"/>
    <n v="0"/>
    <n v="55548.578573026425"/>
  </r>
  <r>
    <x v="148"/>
    <x v="4"/>
    <x v="58"/>
    <x v="0"/>
    <x v="5"/>
    <x v="1540"/>
    <x v="25"/>
    <s v="POS"/>
    <n v="1"/>
    <n v="230"/>
    <n v="200"/>
    <n v="0"/>
    <m/>
    <m/>
    <m/>
    <m/>
    <n v="0"/>
    <n v="0"/>
    <n v="55548.578573026425"/>
  </r>
  <r>
    <x v="148"/>
    <x v="4"/>
    <x v="58"/>
    <x v="0"/>
    <x v="1"/>
    <x v="1540"/>
    <x v="25"/>
    <s v="NAKİT"/>
    <n v="0.2"/>
    <n v="200"/>
    <n v="0"/>
    <n v="0"/>
    <m/>
    <m/>
    <m/>
    <m/>
    <n v="40"/>
    <n v="0"/>
    <n v="55588.578573026425"/>
  </r>
  <r>
    <x v="148"/>
    <x v="4"/>
    <x v="20"/>
    <x v="0"/>
    <x v="1"/>
    <x v="1540"/>
    <x v="25"/>
    <s v="NAKİT"/>
    <n v="0.4"/>
    <n v="200"/>
    <n v="0"/>
    <n v="0"/>
    <m/>
    <m/>
    <m/>
    <m/>
    <n v="80"/>
    <n v="0"/>
    <n v="55668.578573026425"/>
  </r>
  <r>
    <x v="148"/>
    <x v="4"/>
    <x v="18"/>
    <x v="0"/>
    <x v="5"/>
    <x v="1541"/>
    <x v="25"/>
    <s v="POS"/>
    <n v="1"/>
    <n v="250"/>
    <n v="250"/>
    <n v="0"/>
    <m/>
    <m/>
    <m/>
    <m/>
    <n v="0"/>
    <n v="0"/>
    <n v="55668.578573026425"/>
  </r>
  <r>
    <x v="148"/>
    <x v="4"/>
    <x v="58"/>
    <x v="0"/>
    <x v="5"/>
    <x v="1541"/>
    <x v="25"/>
    <s v="POS"/>
    <n v="1"/>
    <n v="230"/>
    <n v="230"/>
    <n v="0"/>
    <m/>
    <m/>
    <m/>
    <m/>
    <n v="0"/>
    <n v="0"/>
    <n v="55668.578573026425"/>
  </r>
  <r>
    <x v="148"/>
    <x v="4"/>
    <x v="312"/>
    <x v="0"/>
    <x v="5"/>
    <x v="1541"/>
    <x v="25"/>
    <s v="POS"/>
    <n v="0.5"/>
    <n v="300"/>
    <n v="150"/>
    <n v="0"/>
    <m/>
    <m/>
    <m/>
    <m/>
    <n v="0"/>
    <n v="0"/>
    <n v="55668.578573026425"/>
  </r>
  <r>
    <x v="148"/>
    <x v="4"/>
    <x v="68"/>
    <x v="0"/>
    <x v="5"/>
    <x v="1541"/>
    <x v="25"/>
    <s v="POS"/>
    <n v="1"/>
    <n v="750"/>
    <n v="750"/>
    <n v="0"/>
    <m/>
    <m/>
    <m/>
    <m/>
    <n v="0"/>
    <n v="0"/>
    <n v="55668.578573026425"/>
  </r>
  <r>
    <x v="148"/>
    <x v="4"/>
    <x v="28"/>
    <x v="0"/>
    <x v="5"/>
    <x v="1542"/>
    <x v="25"/>
    <s v="POS"/>
    <n v="0.2"/>
    <n v="500"/>
    <n v="100"/>
    <n v="0"/>
    <m/>
    <m/>
    <m/>
    <m/>
    <n v="0"/>
    <n v="0"/>
    <n v="55668.578573026425"/>
  </r>
  <r>
    <x v="148"/>
    <x v="4"/>
    <x v="27"/>
    <x v="0"/>
    <x v="5"/>
    <x v="1543"/>
    <x v="25"/>
    <s v="POS"/>
    <n v="0.06"/>
    <n v="300"/>
    <n v="18"/>
    <n v="0"/>
    <m/>
    <m/>
    <m/>
    <m/>
    <n v="0"/>
    <n v="0"/>
    <n v="55668.578573026425"/>
  </r>
  <r>
    <x v="148"/>
    <x v="4"/>
    <x v="28"/>
    <x v="0"/>
    <x v="5"/>
    <x v="1543"/>
    <x v="25"/>
    <s v="POS"/>
    <n v="0.20399999999999999"/>
    <n v="500"/>
    <n v="102"/>
    <n v="0"/>
    <m/>
    <m/>
    <m/>
    <m/>
    <n v="0"/>
    <n v="0"/>
    <n v="55668.578573026425"/>
  </r>
  <r>
    <x v="148"/>
    <x v="4"/>
    <x v="161"/>
    <x v="0"/>
    <x v="5"/>
    <x v="1543"/>
    <x v="25"/>
    <s v="POS"/>
    <n v="0.2175"/>
    <n v="370"/>
    <n v="80.474999999999994"/>
    <n v="0"/>
    <m/>
    <m/>
    <m/>
    <m/>
    <n v="0"/>
    <n v="0"/>
    <n v="55668.578573026425"/>
  </r>
  <r>
    <x v="148"/>
    <x v="4"/>
    <x v="18"/>
    <x v="0"/>
    <x v="5"/>
    <x v="1543"/>
    <x v="25"/>
    <s v="POS"/>
    <n v="1"/>
    <n v="250"/>
    <n v="250"/>
    <n v="0"/>
    <m/>
    <m/>
    <m/>
    <m/>
    <n v="0"/>
    <n v="0"/>
    <n v="55668.578573026425"/>
  </r>
  <r>
    <x v="148"/>
    <x v="4"/>
    <x v="316"/>
    <x v="0"/>
    <x v="5"/>
    <x v="1543"/>
    <x v="25"/>
    <s v="POS"/>
    <n v="1"/>
    <n v="180"/>
    <n v="180"/>
    <n v="0"/>
    <m/>
    <m/>
    <m/>
    <m/>
    <n v="0"/>
    <n v="0"/>
    <n v="55668.578573026425"/>
  </r>
  <r>
    <x v="148"/>
    <x v="4"/>
    <x v="57"/>
    <x v="0"/>
    <x v="5"/>
    <x v="1544"/>
    <x v="25"/>
    <s v="POS"/>
    <n v="1"/>
    <n v="150"/>
    <n v="150"/>
    <n v="0"/>
    <m/>
    <m/>
    <m/>
    <m/>
    <n v="0"/>
    <n v="0"/>
    <n v="55668.578573026425"/>
  </r>
  <r>
    <x v="148"/>
    <x v="4"/>
    <x v="46"/>
    <x v="0"/>
    <x v="5"/>
    <x v="1544"/>
    <x v="25"/>
    <s v="POS"/>
    <n v="2.5000000000000001E-2"/>
    <n v="2000"/>
    <n v="50"/>
    <n v="0"/>
    <m/>
    <m/>
    <m/>
    <m/>
    <n v="0"/>
    <n v="0"/>
    <n v="55668.578573026425"/>
  </r>
  <r>
    <x v="148"/>
    <x v="4"/>
    <x v="312"/>
    <x v="0"/>
    <x v="5"/>
    <x v="1545"/>
    <x v="25"/>
    <s v="POS"/>
    <n v="0.5"/>
    <n v="300"/>
    <n v="150"/>
    <n v="0"/>
    <m/>
    <m/>
    <m/>
    <m/>
    <n v="0"/>
    <n v="0"/>
    <n v="55668.578573026425"/>
  </r>
  <r>
    <x v="148"/>
    <x v="4"/>
    <x v="150"/>
    <x v="0"/>
    <x v="5"/>
    <x v="1545"/>
    <x v="25"/>
    <s v="POS"/>
    <n v="0.6"/>
    <n v="250"/>
    <n v="150"/>
    <n v="0"/>
    <m/>
    <m/>
    <m/>
    <m/>
    <n v="0"/>
    <n v="0"/>
    <n v="55668.578573026425"/>
  </r>
  <r>
    <x v="148"/>
    <x v="4"/>
    <x v="132"/>
    <x v="0"/>
    <x v="1"/>
    <x v="1546"/>
    <x v="25"/>
    <s v="NAKİT"/>
    <n v="1"/>
    <n v="190"/>
    <n v="0"/>
    <n v="0"/>
    <m/>
    <m/>
    <m/>
    <m/>
    <n v="190"/>
    <n v="0"/>
    <n v="55858.578573026425"/>
  </r>
  <r>
    <x v="148"/>
    <x v="4"/>
    <x v="360"/>
    <x v="0"/>
    <x v="5"/>
    <x v="1547"/>
    <x v="25"/>
    <s v="POS"/>
    <n v="0.16666666666666666"/>
    <n v="600"/>
    <n v="100"/>
    <n v="0"/>
    <m/>
    <m/>
    <m/>
    <m/>
    <n v="0"/>
    <n v="0"/>
    <n v="55858.578573026425"/>
  </r>
  <r>
    <x v="148"/>
    <x v="4"/>
    <x v="72"/>
    <x v="0"/>
    <x v="1"/>
    <x v="1548"/>
    <x v="25"/>
    <s v="NAKİT"/>
    <n v="0.05"/>
    <n v="1400"/>
    <n v="0"/>
    <n v="0"/>
    <m/>
    <m/>
    <m/>
    <m/>
    <n v="70"/>
    <n v="0"/>
    <n v="55928.578573026425"/>
  </r>
  <r>
    <x v="148"/>
    <x v="4"/>
    <x v="261"/>
    <x v="0"/>
    <x v="1"/>
    <x v="1549"/>
    <x v="25"/>
    <s v="NAKİT"/>
    <n v="1"/>
    <n v="130"/>
    <n v="0"/>
    <n v="0"/>
    <m/>
    <m/>
    <m/>
    <m/>
    <n v="130"/>
    <n v="0"/>
    <n v="56058.578573026425"/>
  </r>
  <r>
    <x v="148"/>
    <x v="4"/>
    <x v="27"/>
    <x v="0"/>
    <x v="1"/>
    <x v="1550"/>
    <x v="25"/>
    <s v="NAKİT"/>
    <n v="0.125"/>
    <n v="400"/>
    <n v="0"/>
    <n v="0"/>
    <m/>
    <m/>
    <m/>
    <m/>
    <n v="50"/>
    <n v="0"/>
    <n v="56108.578573026425"/>
  </r>
  <r>
    <x v="148"/>
    <x v="10"/>
    <x v="0"/>
    <x v="0"/>
    <x v="5"/>
    <x v="2"/>
    <x v="63"/>
    <s v="POS"/>
    <n v="1"/>
    <n v="462"/>
    <n v="0"/>
    <n v="462"/>
    <m/>
    <m/>
    <m/>
    <m/>
    <n v="462"/>
    <n v="0"/>
    <n v="56570.578573026425"/>
  </r>
  <r>
    <x v="148"/>
    <x v="10"/>
    <x v="0"/>
    <x v="0"/>
    <x v="5"/>
    <x v="2"/>
    <x v="63"/>
    <s v="POS"/>
    <n v="1"/>
    <n v="540"/>
    <n v="0"/>
    <n v="540"/>
    <m/>
    <m/>
    <m/>
    <m/>
    <n v="540"/>
    <n v="0"/>
    <n v="57110.578573026425"/>
  </r>
  <r>
    <x v="149"/>
    <x v="4"/>
    <x v="61"/>
    <x v="0"/>
    <x v="5"/>
    <x v="1551"/>
    <x v="25"/>
    <s v="POS"/>
    <n v="8.4000000000000005E-2"/>
    <n v="770"/>
    <n v="64.680000000000007"/>
    <n v="0"/>
    <m/>
    <m/>
    <m/>
    <m/>
    <n v="0"/>
    <n v="0"/>
    <n v="57110.578573026425"/>
  </r>
  <r>
    <x v="149"/>
    <x v="4"/>
    <x v="28"/>
    <x v="0"/>
    <x v="5"/>
    <x v="1551"/>
    <x v="25"/>
    <s v="POS"/>
    <n v="0.122"/>
    <n v="500"/>
    <n v="61"/>
    <n v="0"/>
    <m/>
    <m/>
    <m/>
    <m/>
    <n v="0"/>
    <n v="0"/>
    <n v="57110.578573026425"/>
  </r>
  <r>
    <x v="149"/>
    <x v="4"/>
    <x v="18"/>
    <x v="0"/>
    <x v="5"/>
    <x v="1551"/>
    <x v="25"/>
    <s v="POS"/>
    <n v="1"/>
    <n v="250"/>
    <n v="250"/>
    <n v="0"/>
    <m/>
    <m/>
    <m/>
    <m/>
    <n v="0"/>
    <n v="0"/>
    <n v="57110.578573026425"/>
  </r>
  <r>
    <x v="149"/>
    <x v="4"/>
    <x v="34"/>
    <x v="0"/>
    <x v="5"/>
    <x v="1551"/>
    <x v="25"/>
    <s v="POS"/>
    <n v="0.1"/>
    <n v="600"/>
    <n v="60"/>
    <n v="0"/>
    <m/>
    <m/>
    <m/>
    <m/>
    <n v="0"/>
    <n v="0"/>
    <n v="57110.578573026425"/>
  </r>
  <r>
    <x v="149"/>
    <x v="4"/>
    <x v="386"/>
    <x v="0"/>
    <x v="5"/>
    <x v="1551"/>
    <x v="25"/>
    <s v="POS"/>
    <n v="1"/>
    <n v="30"/>
    <n v="30"/>
    <n v="0"/>
    <m/>
    <m/>
    <m/>
    <m/>
    <n v="0"/>
    <n v="0"/>
    <n v="57110.578573026425"/>
  </r>
  <r>
    <x v="149"/>
    <x v="4"/>
    <x v="379"/>
    <x v="0"/>
    <x v="5"/>
    <x v="1551"/>
    <x v="25"/>
    <s v="POS"/>
    <n v="1"/>
    <n v="150"/>
    <n v="150"/>
    <n v="0"/>
    <m/>
    <m/>
    <m/>
    <m/>
    <n v="0"/>
    <n v="0"/>
    <n v="57110.578573026425"/>
  </r>
  <r>
    <x v="149"/>
    <x v="4"/>
    <x v="88"/>
    <x v="0"/>
    <x v="5"/>
    <x v="1551"/>
    <x v="25"/>
    <s v="POS"/>
    <n v="0.05"/>
    <n v="1200"/>
    <n v="60"/>
    <n v="0"/>
    <m/>
    <m/>
    <m/>
    <m/>
    <n v="0"/>
    <n v="0"/>
    <n v="57110.578573026425"/>
  </r>
  <r>
    <x v="149"/>
    <x v="4"/>
    <x v="49"/>
    <x v="0"/>
    <x v="5"/>
    <x v="1552"/>
    <x v="25"/>
    <s v="POS"/>
    <n v="0.1"/>
    <n v="600"/>
    <n v="60"/>
    <n v="0"/>
    <m/>
    <m/>
    <m/>
    <m/>
    <n v="0"/>
    <n v="0"/>
    <n v="57110.578573026425"/>
  </r>
  <r>
    <x v="149"/>
    <x v="4"/>
    <x v="150"/>
    <x v="0"/>
    <x v="5"/>
    <x v="1553"/>
    <x v="25"/>
    <s v="POS"/>
    <n v="1"/>
    <n v="250"/>
    <n v="250"/>
    <n v="0"/>
    <m/>
    <m/>
    <m/>
    <m/>
    <n v="0"/>
    <n v="0"/>
    <n v="57110.578573026425"/>
  </r>
  <r>
    <x v="149"/>
    <x v="4"/>
    <x v="50"/>
    <x v="0"/>
    <x v="1"/>
    <x v="1554"/>
    <x v="25"/>
    <s v="NAKİT"/>
    <n v="0.08"/>
    <n v="813"/>
    <n v="0"/>
    <n v="0"/>
    <m/>
    <m/>
    <m/>
    <m/>
    <n v="65.040000000000006"/>
    <n v="0"/>
    <n v="57175.618573026426"/>
  </r>
  <r>
    <x v="149"/>
    <x v="4"/>
    <x v="49"/>
    <x v="0"/>
    <x v="1"/>
    <x v="1554"/>
    <x v="25"/>
    <s v="NAKİT"/>
    <n v="0.1"/>
    <n v="650"/>
    <n v="0"/>
    <n v="0"/>
    <m/>
    <m/>
    <m/>
    <m/>
    <n v="65"/>
    <n v="0"/>
    <n v="57240.618573026426"/>
  </r>
  <r>
    <x v="149"/>
    <x v="4"/>
    <x v="50"/>
    <x v="0"/>
    <x v="1"/>
    <x v="1555"/>
    <x v="25"/>
    <s v="NAKİT"/>
    <n v="0.08"/>
    <n v="750"/>
    <n v="0"/>
    <n v="0"/>
    <m/>
    <m/>
    <m/>
    <m/>
    <n v="60"/>
    <n v="0"/>
    <n v="57300.618573026426"/>
  </r>
  <r>
    <x v="149"/>
    <x v="4"/>
    <x v="18"/>
    <x v="0"/>
    <x v="5"/>
    <x v="1556"/>
    <x v="25"/>
    <s v="POS"/>
    <n v="0.5"/>
    <n v="250"/>
    <n v="125"/>
    <n v="0"/>
    <m/>
    <m/>
    <m/>
    <m/>
    <n v="0"/>
    <n v="0"/>
    <n v="57300.618573026426"/>
  </r>
  <r>
    <x v="149"/>
    <x v="4"/>
    <x v="21"/>
    <x v="0"/>
    <x v="5"/>
    <x v="1556"/>
    <x v="25"/>
    <s v="POS"/>
    <n v="0.5"/>
    <n v="250"/>
    <n v="125"/>
    <n v="0"/>
    <m/>
    <m/>
    <m/>
    <m/>
    <n v="0"/>
    <n v="0"/>
    <n v="57300.618573026426"/>
  </r>
  <r>
    <x v="149"/>
    <x v="4"/>
    <x v="238"/>
    <x v="0"/>
    <x v="5"/>
    <x v="1556"/>
    <x v="25"/>
    <s v="POS"/>
    <n v="0.4"/>
    <n v="340"/>
    <n v="136"/>
    <n v="0"/>
    <m/>
    <m/>
    <m/>
    <m/>
    <n v="0"/>
    <n v="0"/>
    <n v="57300.618573026426"/>
  </r>
  <r>
    <x v="149"/>
    <x v="4"/>
    <x v="239"/>
    <x v="0"/>
    <x v="5"/>
    <x v="1556"/>
    <x v="25"/>
    <s v="POS"/>
    <n v="0.25"/>
    <n v="400"/>
    <n v="100"/>
    <n v="0"/>
    <m/>
    <m/>
    <m/>
    <m/>
    <n v="0"/>
    <n v="0"/>
    <n v="57300.618573026426"/>
  </r>
  <r>
    <x v="149"/>
    <x v="4"/>
    <x v="396"/>
    <x v="0"/>
    <x v="5"/>
    <x v="1556"/>
    <x v="25"/>
    <s v="POS"/>
    <n v="0.2153846153846154"/>
    <n v="65"/>
    <n v="14"/>
    <n v="0"/>
    <m/>
    <m/>
    <m/>
    <m/>
    <n v="0"/>
    <n v="0"/>
    <n v="57300.618573026426"/>
  </r>
  <r>
    <x v="149"/>
    <x v="4"/>
    <x v="396"/>
    <x v="0"/>
    <x v="1"/>
    <x v="1557"/>
    <x v="25"/>
    <s v="NAKİT"/>
    <n v="0.27692307692307694"/>
    <n v="65"/>
    <n v="0"/>
    <n v="0"/>
    <m/>
    <m/>
    <m/>
    <m/>
    <n v="18"/>
    <n v="0"/>
    <n v="57318.618573026426"/>
  </r>
  <r>
    <x v="149"/>
    <x v="4"/>
    <x v="76"/>
    <x v="0"/>
    <x v="1"/>
    <x v="1558"/>
    <x v="25"/>
    <s v="NAKİT"/>
    <n v="0.5"/>
    <n v="80"/>
    <n v="0"/>
    <n v="0"/>
    <m/>
    <m/>
    <m/>
    <m/>
    <n v="40"/>
    <n v="0"/>
    <n v="57358.618573026426"/>
  </r>
  <r>
    <x v="149"/>
    <x v="4"/>
    <x v="206"/>
    <x v="0"/>
    <x v="5"/>
    <x v="1559"/>
    <x v="25"/>
    <s v="POS"/>
    <n v="1"/>
    <n v="350"/>
    <n v="350"/>
    <n v="0"/>
    <m/>
    <m/>
    <m/>
    <m/>
    <n v="0"/>
    <n v="0"/>
    <n v="57358.618573026426"/>
  </r>
  <r>
    <x v="149"/>
    <x v="4"/>
    <x v="56"/>
    <x v="0"/>
    <x v="1"/>
    <x v="1560"/>
    <x v="25"/>
    <s v="NAKİT"/>
    <n v="1"/>
    <n v="200"/>
    <n v="0"/>
    <n v="0"/>
    <m/>
    <m/>
    <m/>
    <m/>
    <n v="200"/>
    <n v="0"/>
    <n v="57558.618573026426"/>
  </r>
  <r>
    <x v="149"/>
    <x v="4"/>
    <x v="28"/>
    <x v="0"/>
    <x v="1"/>
    <x v="1561"/>
    <x v="25"/>
    <s v="NAKİT"/>
    <n v="0.2"/>
    <n v="500"/>
    <n v="0"/>
    <n v="0"/>
    <m/>
    <m/>
    <m/>
    <m/>
    <n v="100"/>
    <n v="0"/>
    <n v="57658.618573026426"/>
  </r>
  <r>
    <x v="149"/>
    <x v="4"/>
    <x v="98"/>
    <x v="0"/>
    <x v="1"/>
    <x v="1562"/>
    <x v="25"/>
    <s v="NAKİT"/>
    <n v="0.5"/>
    <n v="800"/>
    <n v="0"/>
    <n v="0"/>
    <m/>
    <m/>
    <m/>
    <m/>
    <n v="400"/>
    <n v="0"/>
    <n v="58058.618573026426"/>
  </r>
  <r>
    <x v="149"/>
    <x v="4"/>
    <x v="392"/>
    <x v="0"/>
    <x v="1"/>
    <x v="1563"/>
    <x v="25"/>
    <s v="NAKİT"/>
    <n v="0.27027027027027029"/>
    <n v="370"/>
    <n v="0"/>
    <n v="0"/>
    <m/>
    <m/>
    <m/>
    <m/>
    <n v="100"/>
    <n v="0"/>
    <n v="58158.618573026426"/>
  </r>
  <r>
    <x v="149"/>
    <x v="4"/>
    <x v="89"/>
    <x v="0"/>
    <x v="5"/>
    <x v="1564"/>
    <x v="25"/>
    <s v="POS"/>
    <n v="0.12"/>
    <n v="920"/>
    <n v="110.39999999999999"/>
    <n v="0"/>
    <m/>
    <m/>
    <m/>
    <m/>
    <n v="0"/>
    <n v="0"/>
    <n v="58158.618573026426"/>
  </r>
  <r>
    <x v="149"/>
    <x v="4"/>
    <x v="55"/>
    <x v="0"/>
    <x v="5"/>
    <x v="1565"/>
    <x v="25"/>
    <s v="POS"/>
    <n v="1"/>
    <n v="200"/>
    <n v="200"/>
    <n v="0"/>
    <m/>
    <m/>
    <m/>
    <m/>
    <n v="0"/>
    <n v="0"/>
    <n v="58158.618573026426"/>
  </r>
  <r>
    <x v="149"/>
    <x v="4"/>
    <x v="58"/>
    <x v="0"/>
    <x v="5"/>
    <x v="1565"/>
    <x v="25"/>
    <s v="POS"/>
    <n v="1"/>
    <n v="230"/>
    <n v="230"/>
    <n v="0"/>
    <m/>
    <m/>
    <m/>
    <m/>
    <n v="0"/>
    <n v="0"/>
    <n v="58158.618573026426"/>
  </r>
  <r>
    <x v="149"/>
    <x v="4"/>
    <x v="58"/>
    <x v="0"/>
    <x v="5"/>
    <x v="1565"/>
    <x v="25"/>
    <s v="POS"/>
    <n v="0.2"/>
    <n v="225"/>
    <n v="45"/>
    <n v="0"/>
    <m/>
    <m/>
    <m/>
    <m/>
    <n v="0"/>
    <n v="0"/>
    <n v="58158.618573026426"/>
  </r>
  <r>
    <x v="149"/>
    <x v="4"/>
    <x v="57"/>
    <x v="0"/>
    <x v="5"/>
    <x v="1565"/>
    <x v="25"/>
    <s v="POS"/>
    <n v="1"/>
    <n v="150"/>
    <n v="150"/>
    <n v="0"/>
    <m/>
    <m/>
    <m/>
    <m/>
    <n v="0"/>
    <n v="0"/>
    <n v="58158.618573026426"/>
  </r>
  <r>
    <x v="149"/>
    <x v="4"/>
    <x v="18"/>
    <x v="0"/>
    <x v="1"/>
    <x v="1565"/>
    <x v="25"/>
    <s v="NAKİT"/>
    <n v="1"/>
    <n v="250"/>
    <n v="0"/>
    <n v="0"/>
    <m/>
    <m/>
    <m/>
    <m/>
    <n v="250"/>
    <n v="0"/>
    <n v="58408.618573026426"/>
  </r>
  <r>
    <x v="149"/>
    <x v="4"/>
    <x v="288"/>
    <x v="0"/>
    <x v="1"/>
    <x v="1565"/>
    <x v="25"/>
    <s v="NAKİT"/>
    <n v="0.1"/>
    <n v="500"/>
    <n v="0"/>
    <n v="0"/>
    <m/>
    <m/>
    <m/>
    <m/>
    <n v="50"/>
    <n v="0"/>
    <n v="58458.618573026426"/>
  </r>
  <r>
    <x v="149"/>
    <x v="4"/>
    <x v="62"/>
    <x v="0"/>
    <x v="1"/>
    <x v="1566"/>
    <x v="25"/>
    <s v="NAKİT"/>
    <n v="1"/>
    <n v="60"/>
    <n v="0"/>
    <n v="0"/>
    <m/>
    <m/>
    <m/>
    <m/>
    <n v="60"/>
    <n v="0"/>
    <n v="58518.618573026426"/>
  </r>
  <r>
    <x v="149"/>
    <x v="4"/>
    <x v="18"/>
    <x v="0"/>
    <x v="5"/>
    <x v="1567"/>
    <x v="25"/>
    <s v="POS"/>
    <n v="1"/>
    <n v="230"/>
    <n v="230"/>
    <n v="0"/>
    <m/>
    <m/>
    <m/>
    <m/>
    <n v="0"/>
    <n v="0"/>
    <n v="58518.618573026426"/>
  </r>
  <r>
    <x v="149"/>
    <x v="4"/>
    <x v="58"/>
    <x v="0"/>
    <x v="5"/>
    <x v="1567"/>
    <x v="25"/>
    <s v="POS"/>
    <n v="1"/>
    <n v="230"/>
    <n v="230"/>
    <n v="0"/>
    <m/>
    <m/>
    <m/>
    <m/>
    <n v="0"/>
    <n v="0"/>
    <n v="58518.618573026426"/>
  </r>
  <r>
    <x v="149"/>
    <x v="10"/>
    <x v="0"/>
    <x v="0"/>
    <x v="5"/>
    <x v="2"/>
    <x v="63"/>
    <s v="POS"/>
    <n v="1"/>
    <n v="500"/>
    <n v="0"/>
    <n v="500"/>
    <m/>
    <m/>
    <m/>
    <m/>
    <n v="500"/>
    <n v="0"/>
    <n v="59018.618573026426"/>
  </r>
  <r>
    <x v="149"/>
    <x v="10"/>
    <x v="0"/>
    <x v="0"/>
    <x v="5"/>
    <x v="2"/>
    <x v="160"/>
    <s v="POS"/>
    <n v="1"/>
    <n v="92"/>
    <n v="0"/>
    <n v="92"/>
    <m/>
    <m/>
    <m/>
    <m/>
    <n v="92"/>
    <n v="0"/>
    <n v="59110.618573026426"/>
  </r>
  <r>
    <x v="149"/>
    <x v="1"/>
    <x v="0"/>
    <x v="7"/>
    <x v="1"/>
    <x v="2"/>
    <x v="160"/>
    <s v="NAKİT"/>
    <n v="1"/>
    <n v="92"/>
    <n v="0"/>
    <n v="0"/>
    <m/>
    <m/>
    <m/>
    <m/>
    <n v="0"/>
    <n v="92"/>
    <n v="59018.618573026426"/>
  </r>
  <r>
    <x v="150"/>
    <x v="4"/>
    <x v="58"/>
    <x v="0"/>
    <x v="5"/>
    <x v="1558"/>
    <x v="25"/>
    <s v="POS"/>
    <n v="1"/>
    <n v="230"/>
    <n v="230"/>
    <n v="0"/>
    <m/>
    <m/>
    <m/>
    <m/>
    <n v="0"/>
    <n v="0"/>
    <n v="59018.618573026426"/>
  </r>
  <r>
    <x v="150"/>
    <x v="4"/>
    <x v="352"/>
    <x v="0"/>
    <x v="5"/>
    <x v="1559"/>
    <x v="25"/>
    <s v="POS"/>
    <n v="1"/>
    <n v="100"/>
    <n v="100"/>
    <n v="0"/>
    <m/>
    <m/>
    <m/>
    <m/>
    <n v="0"/>
    <n v="0"/>
    <n v="59018.618573026426"/>
  </r>
  <r>
    <x v="150"/>
    <x v="4"/>
    <x v="155"/>
    <x v="0"/>
    <x v="1"/>
    <x v="1560"/>
    <x v="25"/>
    <s v="NAKİT"/>
    <n v="0.1"/>
    <n v="700"/>
    <n v="0"/>
    <n v="0"/>
    <m/>
    <m/>
    <m/>
    <m/>
    <n v="70"/>
    <n v="0"/>
    <n v="59088.618573026426"/>
  </r>
  <r>
    <x v="150"/>
    <x v="4"/>
    <x v="295"/>
    <x v="0"/>
    <x v="1"/>
    <x v="1560"/>
    <x v="25"/>
    <s v="NAKİT"/>
    <n v="6.1224489795918366E-2"/>
    <n v="490"/>
    <n v="0"/>
    <n v="0"/>
    <m/>
    <m/>
    <m/>
    <m/>
    <n v="30"/>
    <n v="0"/>
    <n v="59118.618573026426"/>
  </r>
  <r>
    <x v="150"/>
    <x v="4"/>
    <x v="307"/>
    <x v="0"/>
    <x v="5"/>
    <x v="1562"/>
    <x v="25"/>
    <s v="POS"/>
    <n v="1"/>
    <n v="140"/>
    <n v="140"/>
    <n v="0"/>
    <m/>
    <m/>
    <m/>
    <m/>
    <n v="0"/>
    <n v="0"/>
    <n v="59118.618573026426"/>
  </r>
  <r>
    <x v="150"/>
    <x v="4"/>
    <x v="261"/>
    <x v="0"/>
    <x v="5"/>
    <x v="1562"/>
    <x v="25"/>
    <s v="POS"/>
    <n v="1"/>
    <n v="130"/>
    <n v="130"/>
    <n v="0"/>
    <m/>
    <m/>
    <m/>
    <m/>
    <n v="0"/>
    <n v="0"/>
    <n v="59118.618573026426"/>
  </r>
  <r>
    <x v="150"/>
    <x v="4"/>
    <x v="123"/>
    <x v="0"/>
    <x v="5"/>
    <x v="1563"/>
    <x v="25"/>
    <s v="POS"/>
    <n v="0.4"/>
    <n v="1000"/>
    <n v="400"/>
    <n v="0"/>
    <m/>
    <m/>
    <m/>
    <m/>
    <n v="0"/>
    <n v="0"/>
    <n v="59118.618573026426"/>
  </r>
  <r>
    <x v="150"/>
    <x v="4"/>
    <x v="18"/>
    <x v="0"/>
    <x v="5"/>
    <x v="1563"/>
    <x v="25"/>
    <s v="POS"/>
    <n v="1"/>
    <n v="250"/>
    <n v="250"/>
    <n v="0"/>
    <m/>
    <m/>
    <m/>
    <m/>
    <n v="0"/>
    <n v="0"/>
    <n v="59118.618573026426"/>
  </r>
  <r>
    <x v="150"/>
    <x v="4"/>
    <x v="55"/>
    <x v="0"/>
    <x v="5"/>
    <x v="1563"/>
    <x v="25"/>
    <s v="POS"/>
    <n v="1"/>
    <n v="200"/>
    <n v="200"/>
    <n v="0"/>
    <m/>
    <m/>
    <m/>
    <m/>
    <n v="0"/>
    <n v="0"/>
    <n v="59118.618573026426"/>
  </r>
  <r>
    <x v="150"/>
    <x v="4"/>
    <x v="23"/>
    <x v="0"/>
    <x v="1"/>
    <x v="1564"/>
    <x v="25"/>
    <s v="NAKİT"/>
    <n v="0.1"/>
    <n v="300"/>
    <n v="0"/>
    <n v="0"/>
    <m/>
    <m/>
    <m/>
    <m/>
    <n v="30"/>
    <n v="0"/>
    <n v="59148.618573026426"/>
  </r>
  <r>
    <x v="150"/>
    <x v="4"/>
    <x v="22"/>
    <x v="0"/>
    <x v="1"/>
    <x v="1565"/>
    <x v="25"/>
    <s v="NAKİT"/>
    <n v="6.25E-2"/>
    <n v="400"/>
    <n v="0"/>
    <n v="0"/>
    <m/>
    <m/>
    <m/>
    <m/>
    <n v="25"/>
    <n v="0"/>
    <n v="59173.618573026426"/>
  </r>
  <r>
    <x v="150"/>
    <x v="4"/>
    <x v="179"/>
    <x v="0"/>
    <x v="5"/>
    <x v="1566"/>
    <x v="25"/>
    <s v="POS"/>
    <n v="0.5"/>
    <n v="850"/>
    <n v="425"/>
    <n v="0"/>
    <m/>
    <m/>
    <m/>
    <m/>
    <n v="0"/>
    <n v="0"/>
    <n v="59173.618573026426"/>
  </r>
  <r>
    <x v="150"/>
    <x v="4"/>
    <x v="18"/>
    <x v="0"/>
    <x v="5"/>
    <x v="1566"/>
    <x v="25"/>
    <s v="POS"/>
    <n v="1"/>
    <n v="225"/>
    <n v="225"/>
    <n v="0"/>
    <m/>
    <m/>
    <m/>
    <m/>
    <n v="0"/>
    <n v="0"/>
    <n v="59173.618573026426"/>
  </r>
  <r>
    <x v="150"/>
    <x v="4"/>
    <x v="18"/>
    <x v="0"/>
    <x v="1"/>
    <x v="1567"/>
    <x v="25"/>
    <s v="NAKİT"/>
    <n v="0.75"/>
    <n v="250"/>
    <n v="0"/>
    <n v="0"/>
    <m/>
    <m/>
    <m/>
    <m/>
    <n v="187.5"/>
    <n v="0"/>
    <n v="59361.118573026426"/>
  </r>
  <r>
    <x v="150"/>
    <x v="4"/>
    <x v="58"/>
    <x v="0"/>
    <x v="1"/>
    <x v="1567"/>
    <x v="25"/>
    <s v="NAKİT"/>
    <n v="0.5"/>
    <n v="230"/>
    <n v="0"/>
    <n v="0"/>
    <m/>
    <m/>
    <m/>
    <m/>
    <n v="115"/>
    <n v="0"/>
    <n v="59476.118573026426"/>
  </r>
  <r>
    <x v="150"/>
    <x v="4"/>
    <x v="312"/>
    <x v="0"/>
    <x v="1"/>
    <x v="1568"/>
    <x v="25"/>
    <s v="NAKİT"/>
    <n v="1"/>
    <n v="320"/>
    <n v="0"/>
    <n v="0"/>
    <m/>
    <m/>
    <m/>
    <m/>
    <n v="320"/>
    <n v="0"/>
    <n v="59796.118573026426"/>
  </r>
  <r>
    <x v="150"/>
    <x v="4"/>
    <x v="352"/>
    <x v="0"/>
    <x v="1"/>
    <x v="1568"/>
    <x v="25"/>
    <s v="NAKİT"/>
    <n v="1"/>
    <n v="100"/>
    <n v="0"/>
    <n v="0"/>
    <m/>
    <m/>
    <m/>
    <m/>
    <n v="100"/>
    <n v="0"/>
    <n v="59896.118573026426"/>
  </r>
  <r>
    <x v="150"/>
    <x v="4"/>
    <x v="352"/>
    <x v="0"/>
    <x v="1"/>
    <x v="1568"/>
    <x v="25"/>
    <s v="NAKİT"/>
    <n v="1"/>
    <n v="100"/>
    <n v="0"/>
    <n v="0"/>
    <m/>
    <m/>
    <m/>
    <m/>
    <n v="100"/>
    <n v="0"/>
    <n v="59996.118573026426"/>
  </r>
  <r>
    <x v="150"/>
    <x v="4"/>
    <x v="157"/>
    <x v="0"/>
    <x v="1"/>
    <x v="1568"/>
    <x v="25"/>
    <s v="NAKİT"/>
    <n v="0.5"/>
    <n v="140"/>
    <n v="0"/>
    <n v="0"/>
    <m/>
    <m/>
    <m/>
    <m/>
    <n v="70"/>
    <n v="0"/>
    <n v="60066.118573026426"/>
  </r>
  <r>
    <x v="150"/>
    <x v="4"/>
    <x v="33"/>
    <x v="0"/>
    <x v="1"/>
    <x v="1568"/>
    <x v="25"/>
    <s v="NAKİT"/>
    <n v="0.21249999999999999"/>
    <n v="400"/>
    <n v="0"/>
    <n v="0"/>
    <m/>
    <m/>
    <m/>
    <m/>
    <n v="85"/>
    <n v="0"/>
    <n v="60151.118573026426"/>
  </r>
  <r>
    <x v="150"/>
    <x v="4"/>
    <x v="27"/>
    <x v="0"/>
    <x v="1"/>
    <x v="1568"/>
    <x v="25"/>
    <s v="NAKİT"/>
    <n v="6.25E-2"/>
    <n v="400"/>
    <n v="0"/>
    <n v="0"/>
    <m/>
    <m/>
    <m/>
    <m/>
    <n v="25"/>
    <n v="0"/>
    <n v="60176.118573026426"/>
  </r>
  <r>
    <x v="150"/>
    <x v="4"/>
    <x v="64"/>
    <x v="0"/>
    <x v="1"/>
    <x v="1569"/>
    <x v="25"/>
    <s v="NAKİT"/>
    <n v="0.05"/>
    <n v="1600"/>
    <n v="0"/>
    <n v="0"/>
    <m/>
    <m/>
    <m/>
    <m/>
    <n v="80"/>
    <n v="0"/>
    <n v="60256.118573026426"/>
  </r>
  <r>
    <x v="150"/>
    <x v="4"/>
    <x v="78"/>
    <x v="0"/>
    <x v="1"/>
    <x v="1569"/>
    <x v="25"/>
    <s v="NAKİT"/>
    <n v="0.05"/>
    <n v="1400"/>
    <n v="0"/>
    <n v="0"/>
    <m/>
    <m/>
    <m/>
    <m/>
    <n v="70"/>
    <n v="0"/>
    <n v="60326.118573026426"/>
  </r>
  <r>
    <x v="150"/>
    <x v="4"/>
    <x v="309"/>
    <x v="0"/>
    <x v="1"/>
    <x v="1569"/>
    <x v="25"/>
    <s v="NAKİT"/>
    <n v="1"/>
    <n v="135"/>
    <n v="0"/>
    <n v="0"/>
    <m/>
    <m/>
    <m/>
    <m/>
    <n v="135"/>
    <n v="0"/>
    <n v="60461.118573026426"/>
  </r>
  <r>
    <x v="150"/>
    <x v="4"/>
    <x v="8"/>
    <x v="0"/>
    <x v="1"/>
    <x v="1570"/>
    <x v="25"/>
    <s v="NAKİT"/>
    <n v="1"/>
    <n v="95"/>
    <n v="0"/>
    <n v="0"/>
    <m/>
    <m/>
    <m/>
    <m/>
    <n v="95"/>
    <n v="0"/>
    <n v="60556.118573026426"/>
  </r>
  <r>
    <x v="150"/>
    <x v="4"/>
    <x v="316"/>
    <x v="0"/>
    <x v="1"/>
    <x v="1570"/>
    <x v="25"/>
    <s v="NAKİT"/>
    <n v="1"/>
    <n v="180"/>
    <n v="0"/>
    <n v="0"/>
    <m/>
    <m/>
    <m/>
    <m/>
    <n v="180"/>
    <n v="0"/>
    <n v="60736.118573026426"/>
  </r>
  <r>
    <x v="150"/>
    <x v="4"/>
    <x v="390"/>
    <x v="0"/>
    <x v="5"/>
    <x v="1571"/>
    <x v="25"/>
    <s v="POS"/>
    <n v="3"/>
    <n v="400"/>
    <n v="1200"/>
    <n v="0"/>
    <m/>
    <m/>
    <m/>
    <m/>
    <n v="0"/>
    <n v="0"/>
    <n v="60736.118573026426"/>
  </r>
  <r>
    <x v="150"/>
    <x v="4"/>
    <x v="61"/>
    <x v="0"/>
    <x v="1"/>
    <x v="1572"/>
    <x v="25"/>
    <s v="NAKİT"/>
    <n v="0.06"/>
    <n v="770"/>
    <n v="0"/>
    <n v="0"/>
    <m/>
    <m/>
    <m/>
    <m/>
    <n v="46.199999999999996"/>
    <n v="0"/>
    <n v="60782.318573026423"/>
  </r>
  <r>
    <x v="150"/>
    <x v="4"/>
    <x v="50"/>
    <x v="0"/>
    <x v="5"/>
    <x v="1573"/>
    <x v="25"/>
    <s v="POS"/>
    <n v="0.08"/>
    <n v="750"/>
    <n v="60"/>
    <n v="0"/>
    <m/>
    <m/>
    <m/>
    <m/>
    <n v="0"/>
    <n v="0"/>
    <n v="60782.318573026423"/>
  </r>
  <r>
    <x v="150"/>
    <x v="4"/>
    <x v="88"/>
    <x v="0"/>
    <x v="5"/>
    <x v="1573"/>
    <x v="25"/>
    <s v="POS"/>
    <n v="0.05"/>
    <n v="1100"/>
    <n v="55"/>
    <n v="0"/>
    <m/>
    <m/>
    <m/>
    <m/>
    <n v="0"/>
    <n v="0"/>
    <n v="60782.318573026423"/>
  </r>
  <r>
    <x v="150"/>
    <x v="10"/>
    <x v="0"/>
    <x v="0"/>
    <x v="5"/>
    <x v="2"/>
    <x v="63"/>
    <s v="POS"/>
    <n v="1"/>
    <n v="775"/>
    <n v="0"/>
    <n v="775"/>
    <m/>
    <m/>
    <m/>
    <m/>
    <n v="775"/>
    <n v="0"/>
    <n v="61557.318573026423"/>
  </r>
  <r>
    <x v="150"/>
    <x v="10"/>
    <x v="0"/>
    <x v="0"/>
    <x v="5"/>
    <x v="2"/>
    <x v="63"/>
    <s v="POS"/>
    <n v="1"/>
    <n v="208"/>
    <n v="0"/>
    <n v="208"/>
    <m/>
    <m/>
    <m/>
    <m/>
    <n v="208"/>
    <n v="0"/>
    <n v="61765.318573026423"/>
  </r>
  <r>
    <x v="150"/>
    <x v="1"/>
    <x v="0"/>
    <x v="2"/>
    <x v="1"/>
    <x v="2"/>
    <x v="161"/>
    <s v="NAKİT"/>
    <n v="1"/>
    <n v="22000"/>
    <n v="0"/>
    <n v="0"/>
    <m/>
    <m/>
    <m/>
    <m/>
    <n v="0"/>
    <n v="22000"/>
    <n v="39765.318573026423"/>
  </r>
  <r>
    <x v="150"/>
    <x v="10"/>
    <x v="0"/>
    <x v="0"/>
    <x v="5"/>
    <x v="2"/>
    <x v="162"/>
    <s v="POS"/>
    <n v="1"/>
    <n v="791"/>
    <m/>
    <n v="791"/>
    <m/>
    <m/>
    <m/>
    <m/>
    <n v="791"/>
    <n v="0"/>
    <n v="40556.318573026423"/>
  </r>
  <r>
    <x v="150"/>
    <x v="1"/>
    <x v="0"/>
    <x v="13"/>
    <x v="1"/>
    <x v="2"/>
    <x v="162"/>
    <s v="NAKİT"/>
    <n v="1"/>
    <n v="791"/>
    <n v="0"/>
    <n v="0"/>
    <m/>
    <m/>
    <m/>
    <m/>
    <n v="0"/>
    <n v="791"/>
    <n v="39765.318573026423"/>
  </r>
  <r>
    <x v="151"/>
    <x v="3"/>
    <x v="215"/>
    <x v="0"/>
    <x v="2"/>
    <x v="1574"/>
    <x v="50"/>
    <s v="K.K."/>
    <n v="2"/>
    <n v="169.9"/>
    <n v="0"/>
    <n v="339.8"/>
    <m/>
    <m/>
    <m/>
    <m/>
    <n v="0"/>
    <n v="0"/>
    <n v="39765.318573026423"/>
  </r>
  <r>
    <x v="151"/>
    <x v="3"/>
    <x v="216"/>
    <x v="0"/>
    <x v="2"/>
    <x v="1574"/>
    <x v="50"/>
    <s v="K.K."/>
    <n v="2"/>
    <n v="169.9"/>
    <n v="0"/>
    <n v="339.8"/>
    <m/>
    <m/>
    <m/>
    <m/>
    <n v="0"/>
    <n v="0"/>
    <n v="39765.318573026423"/>
  </r>
  <r>
    <x v="151"/>
    <x v="3"/>
    <x v="195"/>
    <x v="0"/>
    <x v="2"/>
    <x v="1575"/>
    <x v="50"/>
    <s v="K.K."/>
    <n v="2"/>
    <n v="197.9"/>
    <n v="0"/>
    <n v="395.8"/>
    <m/>
    <m/>
    <m/>
    <m/>
    <n v="0"/>
    <n v="0"/>
    <n v="39765.318573026423"/>
  </r>
  <r>
    <x v="151"/>
    <x v="3"/>
    <x v="213"/>
    <x v="0"/>
    <x v="2"/>
    <x v="1575"/>
    <x v="50"/>
    <s v="K.K."/>
    <n v="2"/>
    <n v="197.9"/>
    <n v="0"/>
    <n v="395.8"/>
    <m/>
    <m/>
    <m/>
    <m/>
    <n v="0"/>
    <n v="0"/>
    <n v="39765.318573026423"/>
  </r>
  <r>
    <x v="151"/>
    <x v="3"/>
    <x v="193"/>
    <x v="0"/>
    <x v="2"/>
    <x v="1576"/>
    <x v="50"/>
    <s v="K.K."/>
    <n v="2"/>
    <n v="212.73"/>
    <n v="0"/>
    <n v="425.46"/>
    <m/>
    <m/>
    <m/>
    <m/>
    <n v="0"/>
    <n v="0"/>
    <n v="39765.318573026423"/>
  </r>
  <r>
    <x v="151"/>
    <x v="3"/>
    <x v="194"/>
    <x v="0"/>
    <x v="2"/>
    <x v="1576"/>
    <x v="50"/>
    <s v="K.K."/>
    <n v="2"/>
    <n v="212.72"/>
    <n v="0"/>
    <n v="425.44"/>
    <m/>
    <m/>
    <m/>
    <m/>
    <n v="0"/>
    <n v="0"/>
    <n v="39765.318573026423"/>
  </r>
  <r>
    <x v="151"/>
    <x v="3"/>
    <x v="410"/>
    <x v="0"/>
    <x v="2"/>
    <x v="1576"/>
    <x v="50"/>
    <s v="K.K."/>
    <n v="2"/>
    <n v="222.06"/>
    <n v="0"/>
    <n v="444.12"/>
    <m/>
    <m/>
    <m/>
    <m/>
    <n v="0"/>
    <n v="0"/>
    <n v="39765.318573026423"/>
  </r>
  <r>
    <x v="151"/>
    <x v="3"/>
    <x v="192"/>
    <x v="0"/>
    <x v="2"/>
    <x v="1577"/>
    <x v="50"/>
    <s v="K.K."/>
    <n v="2"/>
    <n v="252.27"/>
    <n v="0"/>
    <n v="504.54"/>
    <m/>
    <m/>
    <m/>
    <m/>
    <n v="0"/>
    <n v="0"/>
    <n v="39765.318573026423"/>
  </r>
  <r>
    <x v="151"/>
    <x v="3"/>
    <x v="214"/>
    <x v="0"/>
    <x v="2"/>
    <x v="1577"/>
    <x v="50"/>
    <s v="K.K."/>
    <n v="2"/>
    <n v="216.13"/>
    <n v="0"/>
    <n v="432.26"/>
    <m/>
    <m/>
    <m/>
    <m/>
    <n v="0"/>
    <n v="0"/>
    <n v="39765.318573026423"/>
  </r>
  <r>
    <x v="151"/>
    <x v="1"/>
    <x v="0"/>
    <x v="10"/>
    <x v="2"/>
    <x v="1578"/>
    <x v="163"/>
    <s v="K.K."/>
    <n v="10"/>
    <n v="35"/>
    <n v="0"/>
    <n v="350"/>
    <m/>
    <m/>
    <m/>
    <m/>
    <n v="0"/>
    <n v="0"/>
    <n v="39765.318573026423"/>
  </r>
  <r>
    <x v="151"/>
    <x v="1"/>
    <x v="0"/>
    <x v="10"/>
    <x v="2"/>
    <x v="1578"/>
    <x v="164"/>
    <s v="K.K."/>
    <n v="5"/>
    <n v="107.2"/>
    <n v="0"/>
    <n v="536"/>
    <m/>
    <m/>
    <m/>
    <m/>
    <n v="0"/>
    <n v="0"/>
    <n v="39765.318573026423"/>
  </r>
  <r>
    <x v="151"/>
    <x v="3"/>
    <x v="193"/>
    <x v="0"/>
    <x v="2"/>
    <x v="1579"/>
    <x v="50"/>
    <s v="K.K."/>
    <n v="1"/>
    <n v="199.46"/>
    <n v="0"/>
    <n v="199.46"/>
    <m/>
    <m/>
    <m/>
    <m/>
    <n v="0"/>
    <n v="0"/>
    <n v="39765.318573026423"/>
  </r>
  <r>
    <x v="151"/>
    <x v="3"/>
    <x v="194"/>
    <x v="0"/>
    <x v="2"/>
    <x v="1579"/>
    <x v="50"/>
    <s v="K.K."/>
    <n v="1"/>
    <n v="199.46"/>
    <n v="0"/>
    <n v="199.46"/>
    <m/>
    <m/>
    <m/>
    <m/>
    <n v="0"/>
    <n v="0"/>
    <n v="39765.318573026423"/>
  </r>
  <r>
    <x v="151"/>
    <x v="3"/>
    <x v="195"/>
    <x v="0"/>
    <x v="2"/>
    <x v="1579"/>
    <x v="50"/>
    <s v="K.K."/>
    <n v="1"/>
    <n v="199.46"/>
    <n v="0"/>
    <n v="199.46"/>
    <m/>
    <m/>
    <m/>
    <m/>
    <n v="0"/>
    <n v="0"/>
    <n v="39765.318573026423"/>
  </r>
  <r>
    <x v="151"/>
    <x v="3"/>
    <x v="213"/>
    <x v="0"/>
    <x v="2"/>
    <x v="1579"/>
    <x v="50"/>
    <s v="K.K."/>
    <n v="1"/>
    <n v="199.46"/>
    <n v="0"/>
    <n v="199.46"/>
    <m/>
    <m/>
    <m/>
    <m/>
    <n v="0"/>
    <n v="0"/>
    <n v="39765.318573026423"/>
  </r>
  <r>
    <x v="151"/>
    <x v="3"/>
    <x v="410"/>
    <x v="0"/>
    <x v="2"/>
    <x v="1579"/>
    <x v="50"/>
    <s v="K.K."/>
    <n v="1"/>
    <n v="217.76"/>
    <n v="0"/>
    <n v="217.76"/>
    <m/>
    <m/>
    <m/>
    <m/>
    <n v="0"/>
    <n v="0"/>
    <n v="39765.318573026423"/>
  </r>
  <r>
    <x v="151"/>
    <x v="3"/>
    <x v="187"/>
    <x v="0"/>
    <x v="2"/>
    <x v="1580"/>
    <x v="50"/>
    <s v="K.K."/>
    <n v="4"/>
    <n v="169.9"/>
    <n v="0"/>
    <n v="679.6"/>
    <m/>
    <m/>
    <m/>
    <m/>
    <n v="0"/>
    <n v="0"/>
    <n v="39765.318573026423"/>
  </r>
  <r>
    <x v="151"/>
    <x v="3"/>
    <x v="216"/>
    <x v="0"/>
    <x v="2"/>
    <x v="1580"/>
    <x v="50"/>
    <s v="K.K."/>
    <n v="4"/>
    <n v="169.9"/>
    <n v="0"/>
    <n v="679.6"/>
    <m/>
    <m/>
    <m/>
    <m/>
    <n v="0"/>
    <n v="0"/>
    <n v="39765.318573026423"/>
  </r>
  <r>
    <x v="151"/>
    <x v="3"/>
    <x v="217"/>
    <x v="0"/>
    <x v="2"/>
    <x v="1581"/>
    <x v="50"/>
    <s v="K.K."/>
    <n v="4"/>
    <n v="169.9"/>
    <n v="0"/>
    <n v="679.6"/>
    <m/>
    <m/>
    <m/>
    <m/>
    <n v="0"/>
    <n v="0"/>
    <n v="39765.318573026423"/>
  </r>
  <r>
    <x v="151"/>
    <x v="3"/>
    <x v="187"/>
    <x v="0"/>
    <x v="2"/>
    <x v="1582"/>
    <x v="50"/>
    <s v="K.K."/>
    <n v="2"/>
    <n v="169.9"/>
    <n v="0"/>
    <n v="339.8"/>
    <m/>
    <m/>
    <m/>
    <m/>
    <n v="0"/>
    <n v="0"/>
    <n v="39765.318573026423"/>
  </r>
  <r>
    <x v="151"/>
    <x v="3"/>
    <x v="216"/>
    <x v="0"/>
    <x v="2"/>
    <x v="1582"/>
    <x v="50"/>
    <s v="K.K."/>
    <n v="2"/>
    <n v="169.9"/>
    <n v="0"/>
    <n v="339.8"/>
    <m/>
    <m/>
    <m/>
    <m/>
    <n v="0"/>
    <n v="0"/>
    <n v="39765.318573026423"/>
  </r>
  <r>
    <x v="151"/>
    <x v="3"/>
    <x v="217"/>
    <x v="0"/>
    <x v="2"/>
    <x v="1583"/>
    <x v="50"/>
    <s v="K.K."/>
    <n v="6"/>
    <n v="169.9"/>
    <n v="0"/>
    <n v="1019.4000000000001"/>
    <m/>
    <m/>
    <m/>
    <m/>
    <n v="0"/>
    <n v="0"/>
    <n v="39765.318573026423"/>
  </r>
  <r>
    <x v="151"/>
    <x v="4"/>
    <x v="248"/>
    <x v="0"/>
    <x v="5"/>
    <x v="1584"/>
    <x v="25"/>
    <s v="POS"/>
    <n v="0.28985507246376813"/>
    <n v="690"/>
    <n v="200"/>
    <n v="0"/>
    <m/>
    <m/>
    <m/>
    <m/>
    <n v="0"/>
    <n v="0"/>
    <n v="39765.318573026423"/>
  </r>
  <r>
    <x v="151"/>
    <x v="4"/>
    <x v="72"/>
    <x v="0"/>
    <x v="5"/>
    <x v="1585"/>
    <x v="25"/>
    <s v="POS"/>
    <n v="0.05"/>
    <n v="1400"/>
    <n v="70"/>
    <n v="0"/>
    <m/>
    <m/>
    <m/>
    <m/>
    <n v="0"/>
    <n v="0"/>
    <n v="39765.318573026423"/>
  </r>
  <r>
    <x v="151"/>
    <x v="4"/>
    <x v="217"/>
    <x v="0"/>
    <x v="5"/>
    <x v="1585"/>
    <x v="25"/>
    <s v="POS"/>
    <n v="1"/>
    <n v="250"/>
    <n v="250"/>
    <n v="0"/>
    <m/>
    <m/>
    <m/>
    <m/>
    <n v="0"/>
    <n v="0"/>
    <n v="39765.318573026423"/>
  </r>
  <r>
    <x v="151"/>
    <x v="4"/>
    <x v="397"/>
    <x v="0"/>
    <x v="5"/>
    <x v="1585"/>
    <x v="25"/>
    <s v="POS"/>
    <n v="0.1"/>
    <n v="900"/>
    <n v="90"/>
    <n v="0"/>
    <m/>
    <m/>
    <m/>
    <m/>
    <n v="0"/>
    <n v="0"/>
    <n v="39765.318573026423"/>
  </r>
  <r>
    <x v="151"/>
    <x v="4"/>
    <x v="88"/>
    <x v="0"/>
    <x v="5"/>
    <x v="1585"/>
    <x v="25"/>
    <s v="POS"/>
    <n v="0.05"/>
    <n v="1200"/>
    <n v="60"/>
    <n v="0"/>
    <m/>
    <m/>
    <m/>
    <m/>
    <n v="0"/>
    <n v="0"/>
    <n v="39765.318573026423"/>
  </r>
  <r>
    <x v="151"/>
    <x v="4"/>
    <x v="200"/>
    <x v="0"/>
    <x v="5"/>
    <x v="1586"/>
    <x v="25"/>
    <s v="POS"/>
    <n v="6"/>
    <n v="35"/>
    <n v="210"/>
    <n v="0"/>
    <m/>
    <m/>
    <m/>
    <m/>
    <n v="0"/>
    <n v="0"/>
    <n v="39765.318573026423"/>
  </r>
  <r>
    <x v="151"/>
    <x v="4"/>
    <x v="270"/>
    <x v="0"/>
    <x v="5"/>
    <x v="1586"/>
    <x v="25"/>
    <s v="POS"/>
    <n v="1"/>
    <n v="130"/>
    <n v="130"/>
    <n v="0"/>
    <m/>
    <m/>
    <m/>
    <m/>
    <n v="0"/>
    <n v="0"/>
    <n v="39765.318573026423"/>
  </r>
  <r>
    <x v="151"/>
    <x v="4"/>
    <x v="264"/>
    <x v="0"/>
    <x v="5"/>
    <x v="1586"/>
    <x v="25"/>
    <s v="POS"/>
    <n v="1"/>
    <n v="145"/>
    <n v="145"/>
    <n v="0"/>
    <m/>
    <m/>
    <m/>
    <m/>
    <n v="0"/>
    <n v="0"/>
    <n v="39765.318573026423"/>
  </r>
  <r>
    <x v="151"/>
    <x v="4"/>
    <x v="312"/>
    <x v="0"/>
    <x v="5"/>
    <x v="1587"/>
    <x v="25"/>
    <s v="POS"/>
    <n v="0.5"/>
    <n v="400"/>
    <n v="200"/>
    <n v="0"/>
    <m/>
    <m/>
    <m/>
    <m/>
    <n v="0"/>
    <n v="0"/>
    <n v="39765.318573026423"/>
  </r>
  <r>
    <x v="151"/>
    <x v="4"/>
    <x v="263"/>
    <x v="0"/>
    <x v="5"/>
    <x v="1587"/>
    <x v="25"/>
    <s v="POS"/>
    <n v="1"/>
    <n v="145"/>
    <n v="145"/>
    <n v="0"/>
    <m/>
    <m/>
    <m/>
    <m/>
    <n v="0"/>
    <n v="0"/>
    <n v="39765.318573026423"/>
  </r>
  <r>
    <x v="151"/>
    <x v="4"/>
    <x v="263"/>
    <x v="0"/>
    <x v="5"/>
    <x v="1587"/>
    <x v="25"/>
    <s v="POS"/>
    <n v="1"/>
    <n v="110"/>
    <n v="110"/>
    <n v="0"/>
    <m/>
    <m/>
    <m/>
    <m/>
    <n v="0"/>
    <n v="0"/>
    <n v="39765.318573026423"/>
  </r>
  <r>
    <x v="151"/>
    <x v="4"/>
    <x v="36"/>
    <x v="0"/>
    <x v="1"/>
    <x v="1588"/>
    <x v="25"/>
    <s v="NAKİT"/>
    <n v="0.25"/>
    <n v="180"/>
    <n v="0"/>
    <n v="0"/>
    <m/>
    <m/>
    <m/>
    <m/>
    <n v="45"/>
    <n v="0"/>
    <n v="39810.318573026423"/>
  </r>
  <r>
    <x v="151"/>
    <x v="4"/>
    <x v="161"/>
    <x v="0"/>
    <x v="1"/>
    <x v="1589"/>
    <x v="25"/>
    <s v="NAKİT"/>
    <n v="0.13"/>
    <n v="400"/>
    <n v="0"/>
    <n v="0"/>
    <m/>
    <m/>
    <m/>
    <m/>
    <n v="52"/>
    <n v="0"/>
    <n v="39862.318573026423"/>
  </r>
  <r>
    <x v="151"/>
    <x v="4"/>
    <x v="23"/>
    <x v="0"/>
    <x v="1"/>
    <x v="1589"/>
    <x v="25"/>
    <s v="NAKİT"/>
    <n v="9.6666666666666665E-2"/>
    <n v="300"/>
    <n v="0"/>
    <n v="0"/>
    <m/>
    <m/>
    <m/>
    <m/>
    <n v="29"/>
    <n v="0"/>
    <n v="39891.318573026423"/>
  </r>
  <r>
    <x v="151"/>
    <x v="4"/>
    <x v="24"/>
    <x v="0"/>
    <x v="1"/>
    <x v="1590"/>
    <x v="25"/>
    <s v="NAKİT"/>
    <n v="0.08"/>
    <n v="650"/>
    <n v="0"/>
    <n v="0"/>
    <m/>
    <m/>
    <m/>
    <m/>
    <n v="52"/>
    <n v="0"/>
    <n v="39943.318573026423"/>
  </r>
  <r>
    <x v="151"/>
    <x v="4"/>
    <x v="25"/>
    <x v="0"/>
    <x v="1"/>
    <x v="1590"/>
    <x v="25"/>
    <s v="NAKİT"/>
    <n v="0.05"/>
    <n v="400"/>
    <n v="0"/>
    <n v="0"/>
    <m/>
    <m/>
    <m/>
    <m/>
    <n v="20"/>
    <n v="0"/>
    <n v="39963.318573026423"/>
  </r>
  <r>
    <x v="151"/>
    <x v="4"/>
    <x v="397"/>
    <x v="0"/>
    <x v="1"/>
    <x v="1590"/>
    <x v="25"/>
    <s v="NAKİT"/>
    <n v="0.1"/>
    <n v="900"/>
    <n v="0"/>
    <n v="0"/>
    <m/>
    <m/>
    <m/>
    <m/>
    <n v="90"/>
    <n v="0"/>
    <n v="40053.318573026423"/>
  </r>
  <r>
    <x v="151"/>
    <x v="4"/>
    <x v="315"/>
    <x v="0"/>
    <x v="5"/>
    <x v="1591"/>
    <x v="25"/>
    <s v="POS"/>
    <n v="1"/>
    <n v="195"/>
    <n v="195"/>
    <n v="0"/>
    <m/>
    <m/>
    <m/>
    <m/>
    <n v="0"/>
    <n v="0"/>
    <n v="40053.318573026423"/>
  </r>
  <r>
    <x v="151"/>
    <x v="4"/>
    <x v="56"/>
    <x v="0"/>
    <x v="5"/>
    <x v="1591"/>
    <x v="25"/>
    <s v="POS"/>
    <n v="0.5"/>
    <n v="200"/>
    <n v="100"/>
    <n v="0"/>
    <m/>
    <m/>
    <m/>
    <m/>
    <n v="0"/>
    <n v="0"/>
    <n v="40053.318573026423"/>
  </r>
  <r>
    <x v="151"/>
    <x v="4"/>
    <x v="55"/>
    <x v="0"/>
    <x v="5"/>
    <x v="1591"/>
    <x v="25"/>
    <s v="POS"/>
    <n v="0.5"/>
    <n v="200"/>
    <n v="100"/>
    <n v="0"/>
    <m/>
    <m/>
    <m/>
    <m/>
    <n v="0"/>
    <n v="0"/>
    <n v="40053.318573026423"/>
  </r>
  <r>
    <x v="151"/>
    <x v="4"/>
    <x v="391"/>
    <x v="0"/>
    <x v="5"/>
    <x v="1592"/>
    <x v="25"/>
    <s v="POS"/>
    <n v="2"/>
    <n v="400"/>
    <n v="800"/>
    <n v="0"/>
    <m/>
    <m/>
    <m/>
    <m/>
    <n v="0"/>
    <n v="0"/>
    <n v="40053.318573026423"/>
  </r>
  <r>
    <x v="151"/>
    <x v="4"/>
    <x v="305"/>
    <x v="0"/>
    <x v="5"/>
    <x v="1592"/>
    <x v="25"/>
    <s v="POS"/>
    <n v="0.1"/>
    <n v="900"/>
    <n v="90"/>
    <n v="0"/>
    <m/>
    <m/>
    <m/>
    <m/>
    <n v="0"/>
    <n v="0"/>
    <n v="40053.318573026423"/>
  </r>
  <r>
    <x v="151"/>
    <x v="4"/>
    <x v="256"/>
    <x v="0"/>
    <x v="5"/>
    <x v="1592"/>
    <x v="25"/>
    <s v="POS"/>
    <n v="1"/>
    <n v="110"/>
    <n v="110"/>
    <n v="0"/>
    <m/>
    <m/>
    <m/>
    <m/>
    <n v="0"/>
    <n v="0"/>
    <n v="40053.318573026423"/>
  </r>
  <r>
    <x v="151"/>
    <x v="4"/>
    <x v="391"/>
    <x v="0"/>
    <x v="1"/>
    <x v="1593"/>
    <x v="25"/>
    <s v="NAKİT"/>
    <n v="0.5714285714285714"/>
    <n v="420"/>
    <n v="0"/>
    <n v="0"/>
    <m/>
    <m/>
    <m/>
    <m/>
    <n v="240"/>
    <n v="0"/>
    <n v="40293.318573026423"/>
  </r>
  <r>
    <x v="151"/>
    <x v="4"/>
    <x v="66"/>
    <x v="0"/>
    <x v="1"/>
    <x v="1594"/>
    <x v="25"/>
    <s v="NAKİT"/>
    <n v="0.24"/>
    <n v="417"/>
    <n v="0"/>
    <n v="0"/>
    <m/>
    <m/>
    <m/>
    <m/>
    <n v="100.08"/>
    <n v="0"/>
    <n v="40393.398573026425"/>
  </r>
  <r>
    <x v="151"/>
    <x v="4"/>
    <x v="88"/>
    <x v="0"/>
    <x v="1"/>
    <x v="1595"/>
    <x v="25"/>
    <s v="NAKİT"/>
    <n v="0.05"/>
    <n v="1200"/>
    <n v="0"/>
    <n v="0"/>
    <m/>
    <m/>
    <m/>
    <m/>
    <n v="60"/>
    <n v="0"/>
    <n v="40453.398573026425"/>
  </r>
  <r>
    <x v="151"/>
    <x v="7"/>
    <x v="0"/>
    <x v="0"/>
    <x v="3"/>
    <x v="2"/>
    <x v="165"/>
    <s v="NAKİT"/>
    <n v="1"/>
    <n v="0"/>
    <n v="10000"/>
    <n v="0"/>
    <m/>
    <m/>
    <m/>
    <m/>
    <n v="0"/>
    <n v="10000"/>
    <n v="30453.398573026425"/>
  </r>
  <r>
    <x v="151"/>
    <x v="11"/>
    <x v="0"/>
    <x v="0"/>
    <x v="11"/>
    <x v="2"/>
    <x v="166"/>
    <s v="NAKİT"/>
    <n v="1"/>
    <n v="3620"/>
    <n v="0"/>
    <n v="3620"/>
    <m/>
    <m/>
    <m/>
    <m/>
    <n v="3620"/>
    <n v="0"/>
    <n v="34073.398573026425"/>
  </r>
  <r>
    <x v="151"/>
    <x v="11"/>
    <x v="0"/>
    <x v="0"/>
    <x v="11"/>
    <x v="2"/>
    <x v="166"/>
    <s v="NAKİT"/>
    <n v="1"/>
    <n v="4575"/>
    <n v="0"/>
    <n v="4575"/>
    <m/>
    <m/>
    <m/>
    <m/>
    <n v="4575"/>
    <n v="0"/>
    <n v="38648.398573026425"/>
  </r>
  <r>
    <x v="151"/>
    <x v="10"/>
    <x v="0"/>
    <x v="0"/>
    <x v="5"/>
    <x v="2"/>
    <x v="63"/>
    <s v="POS"/>
    <n v="1"/>
    <n v="509"/>
    <n v="0"/>
    <n v="509"/>
    <n v="208"/>
    <m/>
    <m/>
    <m/>
    <n v="509"/>
    <n v="0"/>
    <n v="39157.398573026425"/>
  </r>
  <r>
    <x v="151"/>
    <x v="10"/>
    <x v="0"/>
    <x v="0"/>
    <x v="5"/>
    <x v="2"/>
    <x v="63"/>
    <s v="POS"/>
    <n v="1"/>
    <n v="675"/>
    <n v="0"/>
    <n v="675"/>
    <m/>
    <m/>
    <m/>
    <m/>
    <n v="675"/>
    <n v="0"/>
    <n v="39832.398573026425"/>
  </r>
  <r>
    <x v="152"/>
    <x v="3"/>
    <x v="225"/>
    <x v="0"/>
    <x v="2"/>
    <x v="1596"/>
    <x v="50"/>
    <s v="K.K."/>
    <n v="3"/>
    <n v="237.44"/>
    <n v="0"/>
    <n v="712.31999999999994"/>
    <m/>
    <m/>
    <m/>
    <m/>
    <n v="0"/>
    <n v="0"/>
    <n v="39832.398573026425"/>
  </r>
  <r>
    <x v="152"/>
    <x v="3"/>
    <x v="411"/>
    <x v="0"/>
    <x v="2"/>
    <x v="1597"/>
    <x v="50"/>
    <s v="K.K."/>
    <n v="8"/>
    <n v="69.95"/>
    <n v="0"/>
    <n v="559.6"/>
    <m/>
    <m/>
    <m/>
    <m/>
    <n v="0"/>
    <n v="0"/>
    <n v="39832.398573026425"/>
  </r>
  <r>
    <x v="152"/>
    <x v="3"/>
    <x v="236"/>
    <x v="0"/>
    <x v="2"/>
    <x v="1598"/>
    <x v="50"/>
    <s v="K.K."/>
    <n v="6"/>
    <n v="127.62"/>
    <n v="0"/>
    <n v="765.72"/>
    <m/>
    <m/>
    <m/>
    <m/>
    <n v="0"/>
    <n v="0"/>
    <n v="39832.398573026425"/>
  </r>
  <r>
    <x v="152"/>
    <x v="4"/>
    <x v="32"/>
    <x v="0"/>
    <x v="1"/>
    <x v="1599"/>
    <x v="25"/>
    <s v="NAKİT"/>
    <n v="6.5000000000000002E-2"/>
    <n v="400"/>
    <n v="0"/>
    <n v="0"/>
    <m/>
    <m/>
    <m/>
    <m/>
    <n v="26"/>
    <n v="0"/>
    <n v="39858.398573026425"/>
  </r>
  <r>
    <x v="152"/>
    <x v="4"/>
    <x v="161"/>
    <x v="0"/>
    <x v="1"/>
    <x v="1599"/>
    <x v="25"/>
    <s v="NAKİT"/>
    <n v="0.13"/>
    <n v="400"/>
    <n v="0"/>
    <n v="0"/>
    <m/>
    <m/>
    <m/>
    <m/>
    <n v="52"/>
    <n v="0"/>
    <n v="39910.398573026425"/>
  </r>
  <r>
    <x v="152"/>
    <x v="4"/>
    <x v="36"/>
    <x v="0"/>
    <x v="1"/>
    <x v="1600"/>
    <x v="25"/>
    <s v="NAKİT"/>
    <n v="0.83399999999999996"/>
    <n v="180"/>
    <n v="0"/>
    <n v="0"/>
    <m/>
    <m/>
    <m/>
    <m/>
    <n v="150.12"/>
    <n v="0"/>
    <n v="40060.518573026427"/>
  </r>
  <r>
    <x v="152"/>
    <x v="4"/>
    <x v="161"/>
    <x v="0"/>
    <x v="1"/>
    <x v="1600"/>
    <x v="25"/>
    <s v="NAKİT"/>
    <n v="0.13750000000000001"/>
    <n v="400"/>
    <n v="0"/>
    <n v="0"/>
    <m/>
    <m/>
    <m/>
    <m/>
    <n v="55.000000000000007"/>
    <n v="0"/>
    <n v="40115.518573026427"/>
  </r>
  <r>
    <x v="152"/>
    <x v="4"/>
    <x v="18"/>
    <x v="0"/>
    <x v="5"/>
    <x v="1601"/>
    <x v="25"/>
    <s v="POS"/>
    <n v="0.5"/>
    <n v="250"/>
    <n v="125"/>
    <n v="0"/>
    <m/>
    <m/>
    <m/>
    <m/>
    <n v="0"/>
    <n v="0"/>
    <n v="40115.518573026427"/>
  </r>
  <r>
    <x v="152"/>
    <x v="4"/>
    <x v="58"/>
    <x v="0"/>
    <x v="5"/>
    <x v="1601"/>
    <x v="25"/>
    <s v="POS"/>
    <n v="0.5"/>
    <n v="230"/>
    <n v="115"/>
    <n v="0"/>
    <m/>
    <m/>
    <m/>
    <m/>
    <n v="0"/>
    <n v="0"/>
    <n v="40115.518573026427"/>
  </r>
  <r>
    <x v="152"/>
    <x v="4"/>
    <x v="312"/>
    <x v="0"/>
    <x v="1"/>
    <x v="1602"/>
    <x v="25"/>
    <s v="NAKİT"/>
    <n v="0.5"/>
    <n v="400"/>
    <n v="0"/>
    <n v="0"/>
    <m/>
    <m/>
    <m/>
    <m/>
    <n v="200"/>
    <n v="0"/>
    <n v="40315.518573026427"/>
  </r>
  <r>
    <x v="152"/>
    <x v="4"/>
    <x v="262"/>
    <x v="0"/>
    <x v="5"/>
    <x v="1603"/>
    <x v="25"/>
    <s v="POS"/>
    <n v="1"/>
    <n v="130"/>
    <n v="130"/>
    <n v="0"/>
    <m/>
    <m/>
    <m/>
    <m/>
    <n v="0"/>
    <n v="0"/>
    <n v="40315.518573026427"/>
  </r>
  <r>
    <x v="152"/>
    <x v="4"/>
    <x v="27"/>
    <x v="0"/>
    <x v="1"/>
    <x v="1604"/>
    <x v="25"/>
    <s v="NAKİT"/>
    <n v="0.125"/>
    <n v="400"/>
    <n v="0"/>
    <n v="0"/>
    <m/>
    <m/>
    <m/>
    <m/>
    <n v="50"/>
    <n v="0"/>
    <n v="40365.518573026427"/>
  </r>
  <r>
    <x v="152"/>
    <x v="4"/>
    <x v="233"/>
    <x v="0"/>
    <x v="1"/>
    <x v="1605"/>
    <x v="25"/>
    <s v="NAKİT"/>
    <n v="1"/>
    <n v="400"/>
    <n v="0"/>
    <n v="0"/>
    <m/>
    <m/>
    <m/>
    <m/>
    <n v="400"/>
    <n v="0"/>
    <n v="40765.518573026427"/>
  </r>
  <r>
    <x v="152"/>
    <x v="4"/>
    <x v="292"/>
    <x v="0"/>
    <x v="5"/>
    <x v="1606"/>
    <x v="25"/>
    <s v="POS"/>
    <n v="1"/>
    <n v="350"/>
    <n v="350"/>
    <n v="0"/>
    <m/>
    <m/>
    <m/>
    <m/>
    <n v="0"/>
    <n v="0"/>
    <n v="40765.518573026427"/>
  </r>
  <r>
    <x v="152"/>
    <x v="4"/>
    <x v="30"/>
    <x v="0"/>
    <x v="5"/>
    <x v="1606"/>
    <x v="25"/>
    <s v="POS"/>
    <n v="0.16"/>
    <n v="500"/>
    <n v="80"/>
    <n v="0"/>
    <m/>
    <m/>
    <m/>
    <m/>
    <n v="0"/>
    <n v="0"/>
    <n v="40765.518573026427"/>
  </r>
  <r>
    <x v="152"/>
    <x v="4"/>
    <x v="143"/>
    <x v="0"/>
    <x v="1"/>
    <x v="1607"/>
    <x v="25"/>
    <s v="NAKİT"/>
    <n v="1"/>
    <n v="190"/>
    <n v="0"/>
    <n v="0"/>
    <m/>
    <m/>
    <m/>
    <m/>
    <n v="190"/>
    <n v="0"/>
    <n v="40955.518573026427"/>
  </r>
  <r>
    <x v="152"/>
    <x v="4"/>
    <x v="161"/>
    <x v="0"/>
    <x v="1"/>
    <x v="1607"/>
    <x v="25"/>
    <s v="NAKİT"/>
    <n v="0.1575"/>
    <n v="381"/>
    <n v="0"/>
    <n v="0"/>
    <m/>
    <m/>
    <m/>
    <m/>
    <n v="60.0075"/>
    <n v="0"/>
    <n v="41015.526073026427"/>
  </r>
  <r>
    <x v="152"/>
    <x v="4"/>
    <x v="309"/>
    <x v="0"/>
    <x v="1"/>
    <x v="1607"/>
    <x v="25"/>
    <s v="NAKİT"/>
    <n v="1"/>
    <n v="100"/>
    <n v="0"/>
    <n v="0"/>
    <m/>
    <m/>
    <m/>
    <m/>
    <n v="100"/>
    <n v="0"/>
    <n v="41115.526073026427"/>
  </r>
  <r>
    <x v="152"/>
    <x v="4"/>
    <x v="56"/>
    <x v="0"/>
    <x v="1"/>
    <x v="1607"/>
    <x v="25"/>
    <s v="NAKİT"/>
    <n v="1"/>
    <n v="200"/>
    <n v="0"/>
    <n v="0"/>
    <m/>
    <m/>
    <m/>
    <m/>
    <n v="200"/>
    <n v="0"/>
    <n v="41315.526073026427"/>
  </r>
  <r>
    <x v="152"/>
    <x v="4"/>
    <x v="55"/>
    <x v="0"/>
    <x v="1"/>
    <x v="1607"/>
    <x v="25"/>
    <s v="NAKİT"/>
    <n v="1"/>
    <n v="200"/>
    <n v="0"/>
    <n v="0"/>
    <m/>
    <m/>
    <m/>
    <m/>
    <n v="200"/>
    <n v="0"/>
    <n v="41515.526073026427"/>
  </r>
  <r>
    <x v="152"/>
    <x v="4"/>
    <x v="68"/>
    <x v="0"/>
    <x v="1"/>
    <x v="1607"/>
    <x v="25"/>
    <s v="NAKİT"/>
    <n v="0.5"/>
    <n v="750"/>
    <n v="0"/>
    <n v="0"/>
    <m/>
    <m/>
    <m/>
    <m/>
    <n v="375"/>
    <n v="0"/>
    <n v="41890.526073026427"/>
  </r>
  <r>
    <x v="152"/>
    <x v="4"/>
    <x v="123"/>
    <x v="0"/>
    <x v="1"/>
    <x v="1607"/>
    <x v="25"/>
    <s v="NAKİT"/>
    <n v="0.5"/>
    <n v="950"/>
    <n v="0"/>
    <n v="0"/>
    <m/>
    <m/>
    <m/>
    <m/>
    <n v="475"/>
    <n v="0"/>
    <n v="42365.526073026427"/>
  </r>
  <r>
    <x v="152"/>
    <x v="0"/>
    <x v="0"/>
    <x v="0"/>
    <x v="0"/>
    <x v="2"/>
    <x v="167"/>
    <s v="NAKİT"/>
    <n v="1"/>
    <n v="15000"/>
    <n v="15000"/>
    <n v="0"/>
    <m/>
    <m/>
    <m/>
    <m/>
    <n v="0"/>
    <n v="15000"/>
    <n v="27365.526073026427"/>
  </r>
  <r>
    <x v="152"/>
    <x v="10"/>
    <x v="0"/>
    <x v="0"/>
    <x v="5"/>
    <x v="2"/>
    <x v="63"/>
    <s v="POS"/>
    <n v="1"/>
    <n v="965"/>
    <n v="0"/>
    <n v="965"/>
    <m/>
    <m/>
    <m/>
    <m/>
    <n v="965"/>
    <n v="0"/>
    <n v="28330.526073026427"/>
  </r>
  <r>
    <x v="153"/>
    <x v="3"/>
    <x v="217"/>
    <x v="0"/>
    <x v="2"/>
    <x v="1608"/>
    <x v="50"/>
    <s v="K.K."/>
    <n v="5"/>
    <n v="151.9"/>
    <n v="0"/>
    <n v="759.5"/>
    <m/>
    <m/>
    <m/>
    <m/>
    <n v="0"/>
    <n v="0"/>
    <n v="28330.526073026427"/>
  </r>
  <r>
    <x v="153"/>
    <x v="3"/>
    <x v="337"/>
    <x v="0"/>
    <x v="2"/>
    <x v="1609"/>
    <x v="168"/>
    <s v="K.K."/>
    <n v="5"/>
    <n v="91.213099999999997"/>
    <n v="0"/>
    <n v="456.06549999999999"/>
    <m/>
    <m/>
    <m/>
    <m/>
    <n v="0"/>
    <n v="0"/>
    <n v="28330.526073026427"/>
  </r>
  <r>
    <x v="153"/>
    <x v="3"/>
    <x v="340"/>
    <x v="0"/>
    <x v="2"/>
    <x v="1609"/>
    <x v="168"/>
    <s v="K.K."/>
    <n v="5"/>
    <n v="83.446000000000012"/>
    <n v="0"/>
    <n v="417.23000000000008"/>
    <m/>
    <m/>
    <m/>
    <m/>
    <n v="0"/>
    <n v="0"/>
    <n v="28330.526073026427"/>
  </r>
  <r>
    <x v="153"/>
    <x v="3"/>
    <x v="339"/>
    <x v="0"/>
    <x v="2"/>
    <x v="1609"/>
    <x v="168"/>
    <s v="K.K."/>
    <n v="10"/>
    <n v="75.504000000000005"/>
    <n v="0"/>
    <n v="755.04000000000008"/>
    <m/>
    <m/>
    <m/>
    <m/>
    <n v="0"/>
    <n v="0"/>
    <n v="28330.526073026427"/>
  </r>
  <r>
    <x v="153"/>
    <x v="4"/>
    <x v="18"/>
    <x v="0"/>
    <x v="5"/>
    <x v="1610"/>
    <x v="25"/>
    <s v="POS"/>
    <n v="0.5"/>
    <n v="250"/>
    <n v="125"/>
    <n v="0"/>
    <m/>
    <m/>
    <m/>
    <m/>
    <n v="0"/>
    <n v="0"/>
    <n v="28330.526073026427"/>
  </r>
  <r>
    <x v="153"/>
    <x v="4"/>
    <x v="58"/>
    <x v="0"/>
    <x v="5"/>
    <x v="1610"/>
    <x v="25"/>
    <s v="POS"/>
    <n v="0.5"/>
    <n v="230"/>
    <n v="115"/>
    <n v="0"/>
    <m/>
    <m/>
    <m/>
    <m/>
    <n v="0"/>
    <n v="0"/>
    <n v="28330.526073026427"/>
  </r>
  <r>
    <x v="153"/>
    <x v="4"/>
    <x v="19"/>
    <x v="0"/>
    <x v="5"/>
    <x v="1610"/>
    <x v="25"/>
    <s v="POS"/>
    <n v="0.22"/>
    <n v="230"/>
    <n v="50.6"/>
    <n v="0"/>
    <m/>
    <m/>
    <m/>
    <m/>
    <n v="0"/>
    <n v="0"/>
    <n v="28330.526073026427"/>
  </r>
  <r>
    <x v="153"/>
    <x v="4"/>
    <x v="21"/>
    <x v="0"/>
    <x v="5"/>
    <x v="1610"/>
    <x v="25"/>
    <s v="POS"/>
    <n v="0.2"/>
    <n v="250"/>
    <n v="50"/>
    <n v="0"/>
    <m/>
    <m/>
    <m/>
    <m/>
    <n v="0"/>
    <n v="0"/>
    <n v="28330.526073026427"/>
  </r>
  <r>
    <x v="153"/>
    <x v="4"/>
    <x v="28"/>
    <x v="0"/>
    <x v="5"/>
    <x v="1610"/>
    <x v="25"/>
    <s v="POS"/>
    <n v="0.06"/>
    <n v="500"/>
    <n v="30"/>
    <n v="0"/>
    <m/>
    <m/>
    <m/>
    <m/>
    <n v="0"/>
    <n v="0"/>
    <n v="28330.526073026427"/>
  </r>
  <r>
    <x v="153"/>
    <x v="4"/>
    <x v="22"/>
    <x v="0"/>
    <x v="1"/>
    <x v="1611"/>
    <x v="25"/>
    <s v="NAKİT"/>
    <n v="0.15"/>
    <n v="400"/>
    <n v="0"/>
    <n v="0"/>
    <m/>
    <m/>
    <m/>
    <m/>
    <n v="60"/>
    <n v="0"/>
    <n v="28390.526073026427"/>
  </r>
  <r>
    <x v="153"/>
    <x v="4"/>
    <x v="150"/>
    <x v="0"/>
    <x v="1"/>
    <x v="1612"/>
    <x v="25"/>
    <s v="NAKİT"/>
    <n v="0.8"/>
    <n v="250"/>
    <n v="0"/>
    <n v="0"/>
    <m/>
    <m/>
    <m/>
    <m/>
    <n v="200"/>
    <n v="0"/>
    <n v="28590.526073026427"/>
  </r>
  <r>
    <x v="153"/>
    <x v="4"/>
    <x v="24"/>
    <x v="0"/>
    <x v="14"/>
    <x v="1613"/>
    <x v="169"/>
    <s v="CARİ"/>
    <n v="2"/>
    <n v="500"/>
    <n v="1000"/>
    <n v="0"/>
    <m/>
    <m/>
    <m/>
    <m/>
    <n v="0"/>
    <n v="0"/>
    <n v="28590.526073026427"/>
  </r>
  <r>
    <x v="153"/>
    <x v="4"/>
    <x v="19"/>
    <x v="0"/>
    <x v="14"/>
    <x v="1613"/>
    <x v="169"/>
    <s v="CARİ"/>
    <n v="20"/>
    <n v="200"/>
    <n v="4000"/>
    <n v="0"/>
    <m/>
    <m/>
    <m/>
    <m/>
    <n v="0"/>
    <n v="0"/>
    <n v="28590.526073026427"/>
  </r>
  <r>
    <x v="153"/>
    <x v="4"/>
    <x v="18"/>
    <x v="0"/>
    <x v="14"/>
    <x v="1613"/>
    <x v="169"/>
    <s v="CARİ"/>
    <n v="20"/>
    <n v="220"/>
    <n v="4400"/>
    <n v="0"/>
    <m/>
    <m/>
    <m/>
    <m/>
    <n v="0"/>
    <n v="0"/>
    <n v="28590.526073026427"/>
  </r>
  <r>
    <x v="153"/>
    <x v="4"/>
    <x v="248"/>
    <x v="0"/>
    <x v="5"/>
    <x v="1614"/>
    <x v="25"/>
    <s v="POS"/>
    <n v="0.55000000000000004"/>
    <n v="690"/>
    <n v="379.50000000000006"/>
    <n v="0"/>
    <m/>
    <m/>
    <m/>
    <m/>
    <n v="0"/>
    <n v="0"/>
    <n v="28590.526073026427"/>
  </r>
  <r>
    <x v="153"/>
    <x v="4"/>
    <x v="18"/>
    <x v="0"/>
    <x v="1"/>
    <x v="1615"/>
    <x v="25"/>
    <s v="NAKİT"/>
    <n v="1"/>
    <n v="250"/>
    <n v="0"/>
    <n v="0"/>
    <m/>
    <m/>
    <m/>
    <m/>
    <n v="250"/>
    <n v="0"/>
    <n v="28840.526073026427"/>
  </r>
  <r>
    <x v="153"/>
    <x v="4"/>
    <x v="18"/>
    <x v="0"/>
    <x v="5"/>
    <x v="1616"/>
    <x v="25"/>
    <s v="POS"/>
    <n v="1"/>
    <n v="250"/>
    <n v="250"/>
    <n v="0"/>
    <m/>
    <m/>
    <m/>
    <m/>
    <n v="0"/>
    <n v="0"/>
    <n v="28840.526073026427"/>
  </r>
  <r>
    <x v="153"/>
    <x v="4"/>
    <x v="20"/>
    <x v="0"/>
    <x v="5"/>
    <x v="1616"/>
    <x v="25"/>
    <s v="POS"/>
    <n v="1"/>
    <n v="230"/>
    <n v="230"/>
    <n v="0"/>
    <m/>
    <m/>
    <m/>
    <m/>
    <n v="0"/>
    <n v="0"/>
    <n v="28840.526073026427"/>
  </r>
  <r>
    <x v="153"/>
    <x v="4"/>
    <x v="21"/>
    <x v="0"/>
    <x v="5"/>
    <x v="1616"/>
    <x v="25"/>
    <s v="POS"/>
    <n v="1"/>
    <n v="230"/>
    <n v="230"/>
    <n v="0"/>
    <m/>
    <m/>
    <m/>
    <m/>
    <n v="0"/>
    <n v="0"/>
    <n v="28840.526073026427"/>
  </r>
  <r>
    <x v="153"/>
    <x v="4"/>
    <x v="33"/>
    <x v="0"/>
    <x v="1"/>
    <x v="1617"/>
    <x v="25"/>
    <s v="NAKİT"/>
    <n v="0.2"/>
    <n v="400"/>
    <n v="0"/>
    <n v="0"/>
    <m/>
    <m/>
    <m/>
    <m/>
    <n v="80"/>
    <n v="0"/>
    <n v="28920.526073026427"/>
  </r>
  <r>
    <x v="153"/>
    <x v="4"/>
    <x v="30"/>
    <x v="0"/>
    <x v="5"/>
    <x v="1618"/>
    <x v="25"/>
    <s v="POS"/>
    <n v="0.25"/>
    <n v="500"/>
    <n v="125"/>
    <n v="0"/>
    <m/>
    <m/>
    <m/>
    <m/>
    <n v="0"/>
    <n v="0"/>
    <n v="28920.526073026427"/>
  </r>
  <r>
    <x v="153"/>
    <x v="4"/>
    <x v="280"/>
    <x v="0"/>
    <x v="1"/>
    <x v="1619"/>
    <x v="25"/>
    <s v="NAKİT"/>
    <n v="1"/>
    <n v="60"/>
    <n v="0"/>
    <n v="0"/>
    <m/>
    <m/>
    <m/>
    <m/>
    <n v="60"/>
    <n v="0"/>
    <n v="28980.526073026427"/>
  </r>
  <r>
    <x v="153"/>
    <x v="4"/>
    <x v="150"/>
    <x v="0"/>
    <x v="5"/>
    <x v="1620"/>
    <x v="25"/>
    <s v="POS"/>
    <n v="0.6"/>
    <n v="250"/>
    <n v="150"/>
    <n v="0"/>
    <m/>
    <m/>
    <m/>
    <m/>
    <n v="0"/>
    <n v="0"/>
    <n v="28980.526073026427"/>
  </r>
  <r>
    <x v="153"/>
    <x v="4"/>
    <x v="30"/>
    <x v="0"/>
    <x v="5"/>
    <x v="1620"/>
    <x v="25"/>
    <s v="POS"/>
    <n v="0.19"/>
    <n v="500"/>
    <n v="95"/>
    <n v="0"/>
    <m/>
    <m/>
    <m/>
    <m/>
    <n v="0"/>
    <n v="0"/>
    <n v="28980.526073026427"/>
  </r>
  <r>
    <x v="153"/>
    <x v="4"/>
    <x v="54"/>
    <x v="0"/>
    <x v="5"/>
    <x v="1620"/>
    <x v="25"/>
    <s v="POS"/>
    <n v="0.1"/>
    <n v="400"/>
    <n v="40"/>
    <n v="0"/>
    <m/>
    <m/>
    <m/>
    <m/>
    <n v="0"/>
    <n v="0"/>
    <n v="28980.526073026427"/>
  </r>
  <r>
    <x v="153"/>
    <x v="4"/>
    <x v="66"/>
    <x v="0"/>
    <x v="5"/>
    <x v="1621"/>
    <x v="25"/>
    <s v="POS"/>
    <n v="0.12"/>
    <n v="417"/>
    <n v="50.04"/>
    <n v="0"/>
    <m/>
    <m/>
    <m/>
    <m/>
    <n v="0"/>
    <n v="0"/>
    <n v="28980.526073026427"/>
  </r>
  <r>
    <x v="153"/>
    <x v="4"/>
    <x v="27"/>
    <x v="0"/>
    <x v="1"/>
    <x v="1622"/>
    <x v="25"/>
    <s v="NAKİT"/>
    <n v="0.13500000000000001"/>
    <n v="400"/>
    <n v="0"/>
    <n v="0"/>
    <m/>
    <m/>
    <m/>
    <m/>
    <n v="54"/>
    <n v="0"/>
    <n v="29034.526073026427"/>
  </r>
  <r>
    <x v="153"/>
    <x v="4"/>
    <x v="88"/>
    <x v="0"/>
    <x v="1"/>
    <x v="1622"/>
    <x v="25"/>
    <s v="NAKİT"/>
    <n v="0.05"/>
    <n v="1200"/>
    <n v="0"/>
    <n v="0"/>
    <m/>
    <m/>
    <m/>
    <m/>
    <n v="60"/>
    <n v="0"/>
    <n v="29094.526073026427"/>
  </r>
  <r>
    <x v="153"/>
    <x v="4"/>
    <x v="166"/>
    <x v="0"/>
    <x v="1"/>
    <x v="1623"/>
    <x v="25"/>
    <s v="NAKİT"/>
    <n v="1"/>
    <n v="50"/>
    <n v="0"/>
    <n v="0"/>
    <m/>
    <m/>
    <m/>
    <m/>
    <n v="50"/>
    <n v="0"/>
    <n v="29144.526073026427"/>
  </r>
  <r>
    <x v="153"/>
    <x v="4"/>
    <x v="58"/>
    <x v="0"/>
    <x v="1"/>
    <x v="1624"/>
    <x v="25"/>
    <s v="NAKİT"/>
    <n v="1"/>
    <n v="230"/>
    <n v="0"/>
    <n v="0"/>
    <m/>
    <m/>
    <m/>
    <m/>
    <n v="230"/>
    <n v="0"/>
    <n v="29374.526073026427"/>
  </r>
  <r>
    <x v="153"/>
    <x v="4"/>
    <x v="19"/>
    <x v="0"/>
    <x v="1"/>
    <x v="1625"/>
    <x v="25"/>
    <s v="NAKİT"/>
    <n v="1"/>
    <n v="200"/>
    <n v="0"/>
    <n v="0"/>
    <m/>
    <m/>
    <m/>
    <m/>
    <n v="200"/>
    <n v="0"/>
    <n v="29574.526073026427"/>
  </r>
  <r>
    <x v="153"/>
    <x v="4"/>
    <x v="80"/>
    <x v="0"/>
    <x v="5"/>
    <x v="1626"/>
    <x v="25"/>
    <s v="POS"/>
    <n v="1"/>
    <n v="250"/>
    <n v="250"/>
    <n v="0"/>
    <m/>
    <m/>
    <m/>
    <m/>
    <n v="0"/>
    <n v="0"/>
    <n v="29574.526073026427"/>
  </r>
  <r>
    <x v="153"/>
    <x v="4"/>
    <x v="18"/>
    <x v="0"/>
    <x v="5"/>
    <x v="1627"/>
    <x v="25"/>
    <s v="POS"/>
    <n v="1"/>
    <n v="250"/>
    <n v="250"/>
    <n v="0"/>
    <m/>
    <m/>
    <m/>
    <m/>
    <n v="0"/>
    <n v="0"/>
    <n v="29574.526073026427"/>
  </r>
  <r>
    <x v="153"/>
    <x v="4"/>
    <x v="68"/>
    <x v="0"/>
    <x v="5"/>
    <x v="1627"/>
    <x v="25"/>
    <s v="POS"/>
    <n v="0.156"/>
    <n v="750"/>
    <n v="117"/>
    <n v="0"/>
    <m/>
    <m/>
    <m/>
    <m/>
    <n v="0"/>
    <n v="0"/>
    <n v="29574.526073026427"/>
  </r>
  <r>
    <x v="153"/>
    <x v="4"/>
    <x v="128"/>
    <x v="0"/>
    <x v="5"/>
    <x v="1627"/>
    <x v="25"/>
    <s v="POS"/>
    <n v="0.25"/>
    <n v="200"/>
    <n v="50"/>
    <n v="0"/>
    <m/>
    <m/>
    <m/>
    <m/>
    <n v="0"/>
    <n v="0"/>
    <n v="29574.526073026427"/>
  </r>
  <r>
    <x v="153"/>
    <x v="4"/>
    <x v="238"/>
    <x v="0"/>
    <x v="5"/>
    <x v="1627"/>
    <x v="25"/>
    <s v="POS"/>
    <n v="0.36"/>
    <n v="340"/>
    <n v="122.39999999999999"/>
    <n v="0"/>
    <m/>
    <m/>
    <m/>
    <m/>
    <n v="0"/>
    <n v="0"/>
    <n v="29574.526073026427"/>
  </r>
  <r>
    <x v="153"/>
    <x v="4"/>
    <x v="188"/>
    <x v="0"/>
    <x v="5"/>
    <x v="1627"/>
    <x v="25"/>
    <s v="POS"/>
    <n v="1"/>
    <n v="250"/>
    <n v="250"/>
    <n v="0"/>
    <m/>
    <m/>
    <m/>
    <m/>
    <n v="0"/>
    <n v="0"/>
    <n v="29574.526073026427"/>
  </r>
  <r>
    <x v="153"/>
    <x v="4"/>
    <x v="18"/>
    <x v="0"/>
    <x v="1"/>
    <x v="1628"/>
    <x v="25"/>
    <s v="NAKİT"/>
    <n v="1"/>
    <n v="250"/>
    <n v="0"/>
    <n v="0"/>
    <m/>
    <m/>
    <m/>
    <m/>
    <n v="250"/>
    <n v="0"/>
    <n v="29824.526073026427"/>
  </r>
  <r>
    <x v="153"/>
    <x v="4"/>
    <x v="58"/>
    <x v="0"/>
    <x v="1"/>
    <x v="1628"/>
    <x v="25"/>
    <s v="NAKİT"/>
    <n v="1"/>
    <n v="230"/>
    <n v="0"/>
    <n v="0"/>
    <m/>
    <m/>
    <m/>
    <m/>
    <n v="230"/>
    <n v="0"/>
    <n v="30054.526073026427"/>
  </r>
  <r>
    <x v="153"/>
    <x v="4"/>
    <x v="142"/>
    <x v="0"/>
    <x v="5"/>
    <x v="1629"/>
    <x v="25"/>
    <s v="POS"/>
    <n v="0.624"/>
    <n v="250"/>
    <n v="156"/>
    <n v="0"/>
    <m/>
    <m/>
    <m/>
    <m/>
    <n v="0"/>
    <n v="0"/>
    <n v="30054.526073026427"/>
  </r>
  <r>
    <x v="153"/>
    <x v="4"/>
    <x v="111"/>
    <x v="0"/>
    <x v="5"/>
    <x v="1629"/>
    <x v="25"/>
    <s v="POS"/>
    <n v="0.184"/>
    <n v="330"/>
    <n v="60.72"/>
    <n v="0"/>
    <m/>
    <m/>
    <m/>
    <m/>
    <n v="0"/>
    <n v="0"/>
    <n v="30054.526073026427"/>
  </r>
  <r>
    <x v="153"/>
    <x v="4"/>
    <x v="11"/>
    <x v="0"/>
    <x v="5"/>
    <x v="1629"/>
    <x v="25"/>
    <s v="POS"/>
    <n v="1"/>
    <n v="95"/>
    <n v="95"/>
    <n v="0"/>
    <m/>
    <m/>
    <m/>
    <m/>
    <n v="0"/>
    <n v="0"/>
    <n v="30054.526073026427"/>
  </r>
  <r>
    <x v="153"/>
    <x v="4"/>
    <x v="362"/>
    <x v="0"/>
    <x v="5"/>
    <x v="1629"/>
    <x v="25"/>
    <s v="POS"/>
    <n v="0.05"/>
    <n v="1000"/>
    <n v="50"/>
    <n v="0"/>
    <m/>
    <m/>
    <m/>
    <m/>
    <n v="0"/>
    <n v="0"/>
    <n v="30054.526073026427"/>
  </r>
  <r>
    <x v="153"/>
    <x v="4"/>
    <x v="31"/>
    <x v="0"/>
    <x v="5"/>
    <x v="1629"/>
    <x v="25"/>
    <s v="POS"/>
    <n v="9.4E-2"/>
    <n v="390"/>
    <n v="36.659999999999997"/>
    <n v="0"/>
    <m/>
    <m/>
    <m/>
    <m/>
    <n v="0"/>
    <n v="0"/>
    <n v="30054.526073026427"/>
  </r>
  <r>
    <x v="153"/>
    <x v="4"/>
    <x v="28"/>
    <x v="0"/>
    <x v="5"/>
    <x v="1629"/>
    <x v="25"/>
    <s v="POS"/>
    <n v="0.14199999999999999"/>
    <n v="450"/>
    <n v="63.899999999999991"/>
    <n v="0"/>
    <m/>
    <m/>
    <m/>
    <m/>
    <n v="0"/>
    <n v="0"/>
    <n v="30054.526073026427"/>
  </r>
  <r>
    <x v="153"/>
    <x v="4"/>
    <x v="25"/>
    <x v="0"/>
    <x v="5"/>
    <x v="1629"/>
    <x v="25"/>
    <s v="POS"/>
    <n v="0.1"/>
    <n v="380"/>
    <n v="38"/>
    <n v="0"/>
    <m/>
    <m/>
    <m/>
    <m/>
    <n v="0"/>
    <n v="0"/>
    <n v="30054.526073026427"/>
  </r>
  <r>
    <x v="153"/>
    <x v="7"/>
    <x v="0"/>
    <x v="0"/>
    <x v="3"/>
    <x v="2"/>
    <x v="105"/>
    <s v="NAKİT"/>
    <n v="1"/>
    <n v="0"/>
    <n v="25000"/>
    <n v="0"/>
    <m/>
    <m/>
    <m/>
    <m/>
    <n v="0"/>
    <n v="25000"/>
    <n v="5054.5260730264272"/>
  </r>
  <r>
    <x v="153"/>
    <x v="3"/>
    <x v="389"/>
    <x v="0"/>
    <x v="9"/>
    <x v="2"/>
    <x v="90"/>
    <s v="CARİ"/>
    <n v="5"/>
    <n v="350"/>
    <n v="0"/>
    <n v="1750"/>
    <m/>
    <m/>
    <m/>
    <m/>
    <n v="0"/>
    <n v="0"/>
    <n v="5054.5260730264272"/>
  </r>
  <r>
    <x v="153"/>
    <x v="11"/>
    <x v="0"/>
    <x v="0"/>
    <x v="14"/>
    <x v="2"/>
    <x v="170"/>
    <s v="NAKİT"/>
    <n v="1"/>
    <n v="9400"/>
    <n v="0"/>
    <n v="9400"/>
    <m/>
    <m/>
    <m/>
    <m/>
    <n v="9400"/>
    <n v="0"/>
    <n v="14454.526073026427"/>
  </r>
  <r>
    <x v="153"/>
    <x v="3"/>
    <x v="73"/>
    <x v="0"/>
    <x v="9"/>
    <x v="2"/>
    <x v="90"/>
    <s v="CARİ"/>
    <n v="10"/>
    <n v="550"/>
    <n v="0"/>
    <n v="5500"/>
    <m/>
    <m/>
    <m/>
    <m/>
    <n v="0"/>
    <n v="0"/>
    <n v="14454.526073026427"/>
  </r>
  <r>
    <x v="153"/>
    <x v="10"/>
    <x v="0"/>
    <x v="0"/>
    <x v="5"/>
    <x v="2"/>
    <x v="63"/>
    <s v="POS"/>
    <n v="1"/>
    <n v="1350"/>
    <n v="0"/>
    <n v="1350"/>
    <m/>
    <m/>
    <m/>
    <m/>
    <n v="1350"/>
    <n v="0"/>
    <n v="15804.526073026427"/>
  </r>
  <r>
    <x v="154"/>
    <x v="3"/>
    <x v="239"/>
    <x v="0"/>
    <x v="2"/>
    <x v="1630"/>
    <x v="24"/>
    <s v="K.K."/>
    <n v="5"/>
    <n v="168"/>
    <m/>
    <n v="840"/>
    <m/>
    <m/>
    <m/>
    <m/>
    <m/>
    <n v="0"/>
    <n v="15804.526073026427"/>
  </r>
  <r>
    <x v="154"/>
    <x v="3"/>
    <x v="412"/>
    <x v="0"/>
    <x v="2"/>
    <x v="1630"/>
    <x v="24"/>
    <s v="K.K."/>
    <n v="1"/>
    <n v="120"/>
    <n v="0"/>
    <n v="120"/>
    <m/>
    <m/>
    <m/>
    <m/>
    <n v="0"/>
    <n v="0"/>
    <n v="15804.526073026427"/>
  </r>
  <r>
    <x v="154"/>
    <x v="3"/>
    <x v="89"/>
    <x v="0"/>
    <x v="2"/>
    <x v="1630"/>
    <x v="24"/>
    <s v="K.K."/>
    <n v="1"/>
    <n v="175"/>
    <n v="0"/>
    <n v="175"/>
    <m/>
    <m/>
    <m/>
    <m/>
    <n v="0"/>
    <n v="0"/>
    <n v="15804.526073026427"/>
  </r>
  <r>
    <x v="154"/>
    <x v="3"/>
    <x v="69"/>
    <x v="0"/>
    <x v="2"/>
    <x v="1630"/>
    <x v="24"/>
    <s v="K.K."/>
    <n v="1"/>
    <n v="305"/>
    <n v="0"/>
    <n v="305"/>
    <m/>
    <m/>
    <m/>
    <m/>
    <n v="0"/>
    <n v="0"/>
    <n v="15804.526073026427"/>
  </r>
  <r>
    <x v="154"/>
    <x v="3"/>
    <x v="413"/>
    <x v="0"/>
    <x v="2"/>
    <x v="1630"/>
    <x v="24"/>
    <s v="K.K."/>
    <n v="5"/>
    <n v="95"/>
    <n v="0"/>
    <n v="475"/>
    <m/>
    <m/>
    <m/>
    <m/>
    <n v="0"/>
    <n v="0"/>
    <n v="15804.526073026427"/>
  </r>
  <r>
    <x v="154"/>
    <x v="3"/>
    <x v="414"/>
    <x v="0"/>
    <x v="2"/>
    <x v="1630"/>
    <x v="24"/>
    <s v="K.K."/>
    <n v="1"/>
    <n v="125"/>
    <n v="0"/>
    <n v="125"/>
    <m/>
    <m/>
    <m/>
    <m/>
    <n v="0"/>
    <n v="0"/>
    <n v="15804.526073026427"/>
  </r>
  <r>
    <x v="154"/>
    <x v="3"/>
    <x v="415"/>
    <x v="0"/>
    <x v="2"/>
    <x v="1630"/>
    <x v="24"/>
    <s v="K.K."/>
    <n v="3"/>
    <n v="70"/>
    <n v="0"/>
    <n v="210"/>
    <m/>
    <m/>
    <m/>
    <m/>
    <n v="0"/>
    <n v="0"/>
    <n v="15804.526073026427"/>
  </r>
  <r>
    <x v="154"/>
    <x v="3"/>
    <x v="151"/>
    <x v="0"/>
    <x v="2"/>
    <x v="1630"/>
    <x v="24"/>
    <s v="K.K."/>
    <n v="2"/>
    <n v="190"/>
    <n v="0"/>
    <n v="380"/>
    <m/>
    <m/>
    <m/>
    <m/>
    <n v="0"/>
    <n v="0"/>
    <n v="15804.526073026427"/>
  </r>
  <r>
    <x v="154"/>
    <x v="3"/>
    <x v="416"/>
    <x v="0"/>
    <x v="2"/>
    <x v="1630"/>
    <x v="24"/>
    <s v="K.K."/>
    <n v="1"/>
    <n v="244"/>
    <n v="0"/>
    <n v="244"/>
    <m/>
    <m/>
    <m/>
    <m/>
    <n v="0"/>
    <n v="0"/>
    <n v="15804.526073026427"/>
  </r>
  <r>
    <x v="154"/>
    <x v="3"/>
    <x v="417"/>
    <x v="0"/>
    <x v="2"/>
    <x v="1630"/>
    <x v="24"/>
    <s v="K.K."/>
    <n v="1"/>
    <n v="110"/>
    <n v="0"/>
    <n v="110"/>
    <m/>
    <m/>
    <m/>
    <m/>
    <n v="0"/>
    <n v="0"/>
    <n v="15804.526073026427"/>
  </r>
  <r>
    <x v="154"/>
    <x v="3"/>
    <x v="418"/>
    <x v="0"/>
    <x v="2"/>
    <x v="1630"/>
    <x v="24"/>
    <s v="K.K."/>
    <n v="1"/>
    <n v="120"/>
    <n v="0"/>
    <n v="120"/>
    <m/>
    <m/>
    <m/>
    <m/>
    <n v="0"/>
    <n v="0"/>
    <n v="15804.526073026427"/>
  </r>
  <r>
    <x v="154"/>
    <x v="3"/>
    <x v="419"/>
    <x v="0"/>
    <x v="2"/>
    <x v="1630"/>
    <x v="24"/>
    <s v="K.K."/>
    <n v="3"/>
    <n v="70"/>
    <n v="0"/>
    <n v="210"/>
    <m/>
    <m/>
    <m/>
    <m/>
    <n v="0"/>
    <n v="0"/>
    <n v="15804.526073026427"/>
  </r>
  <r>
    <x v="154"/>
    <x v="3"/>
    <x v="205"/>
    <x v="0"/>
    <x v="2"/>
    <x v="1630"/>
    <x v="24"/>
    <s v="K.K."/>
    <n v="5"/>
    <n v="55"/>
    <n v="0"/>
    <n v="275"/>
    <m/>
    <m/>
    <m/>
    <m/>
    <n v="0"/>
    <n v="0"/>
    <n v="15804.526073026427"/>
  </r>
  <r>
    <x v="154"/>
    <x v="3"/>
    <x v="420"/>
    <x v="0"/>
    <x v="2"/>
    <x v="1630"/>
    <x v="24"/>
    <s v="K.K."/>
    <n v="40"/>
    <n v="5.5"/>
    <n v="0"/>
    <n v="220"/>
    <m/>
    <m/>
    <m/>
    <m/>
    <n v="0"/>
    <n v="0"/>
    <n v="15804.526073026427"/>
  </r>
  <r>
    <x v="154"/>
    <x v="3"/>
    <x v="421"/>
    <x v="0"/>
    <x v="2"/>
    <x v="1630"/>
    <x v="24"/>
    <s v="K.K."/>
    <n v="1"/>
    <n v="1300"/>
    <n v="0"/>
    <n v="1300"/>
    <m/>
    <m/>
    <m/>
    <m/>
    <n v="0"/>
    <n v="0"/>
    <n v="15804.526073026427"/>
  </r>
  <r>
    <x v="154"/>
    <x v="3"/>
    <x v="422"/>
    <x v="0"/>
    <x v="2"/>
    <x v="1630"/>
    <x v="24"/>
    <s v="K.K."/>
    <n v="1"/>
    <n v="227"/>
    <n v="0"/>
    <n v="227"/>
    <m/>
    <m/>
    <m/>
    <m/>
    <n v="0"/>
    <n v="0"/>
    <n v="15804.526073026427"/>
  </r>
  <r>
    <x v="154"/>
    <x v="3"/>
    <x v="423"/>
    <x v="0"/>
    <x v="2"/>
    <x v="1630"/>
    <x v="24"/>
    <s v="K.K."/>
    <n v="1"/>
    <n v="118"/>
    <n v="0"/>
    <n v="118"/>
    <m/>
    <m/>
    <m/>
    <m/>
    <n v="0"/>
    <n v="0"/>
    <n v="15804.526073026427"/>
  </r>
  <r>
    <x v="154"/>
    <x v="3"/>
    <x v="424"/>
    <x v="0"/>
    <x v="2"/>
    <x v="1630"/>
    <x v="24"/>
    <s v="K.K."/>
    <n v="2"/>
    <n v="145"/>
    <n v="0"/>
    <n v="290"/>
    <m/>
    <m/>
    <m/>
    <m/>
    <n v="0"/>
    <n v="0"/>
    <n v="15804.526073026427"/>
  </r>
  <r>
    <x v="154"/>
    <x v="3"/>
    <x v="425"/>
    <x v="0"/>
    <x v="2"/>
    <x v="1630"/>
    <x v="24"/>
    <s v="K.K."/>
    <n v="2"/>
    <n v="191"/>
    <n v="0"/>
    <n v="382"/>
    <m/>
    <m/>
    <m/>
    <m/>
    <n v="0"/>
    <n v="0"/>
    <n v="15804.526073026427"/>
  </r>
  <r>
    <x v="154"/>
    <x v="3"/>
    <x v="426"/>
    <x v="0"/>
    <x v="2"/>
    <x v="1630"/>
    <x v="24"/>
    <s v="K.K."/>
    <n v="1"/>
    <n v="227"/>
    <n v="0"/>
    <n v="227"/>
    <m/>
    <m/>
    <m/>
    <m/>
    <n v="0"/>
    <n v="0"/>
    <n v="15804.526073026427"/>
  </r>
  <r>
    <x v="154"/>
    <x v="3"/>
    <x v="427"/>
    <x v="0"/>
    <x v="2"/>
    <x v="1630"/>
    <x v="24"/>
    <s v="K.K."/>
    <n v="1"/>
    <n v="294"/>
    <n v="0"/>
    <n v="294"/>
    <m/>
    <m/>
    <m/>
    <m/>
    <n v="0"/>
    <n v="0"/>
    <n v="15804.526073026427"/>
  </r>
  <r>
    <x v="154"/>
    <x v="3"/>
    <x v="428"/>
    <x v="0"/>
    <x v="2"/>
    <x v="1630"/>
    <x v="24"/>
    <s v="K.K."/>
    <n v="1"/>
    <n v="234"/>
    <n v="0"/>
    <n v="234"/>
    <m/>
    <m/>
    <m/>
    <m/>
    <n v="0"/>
    <n v="0"/>
    <n v="15804.526073026427"/>
  </r>
  <r>
    <x v="154"/>
    <x v="3"/>
    <x v="429"/>
    <x v="0"/>
    <x v="2"/>
    <x v="1630"/>
    <x v="24"/>
    <s v="K.K."/>
    <n v="3"/>
    <n v="60"/>
    <n v="0"/>
    <n v="180"/>
    <m/>
    <m/>
    <m/>
    <m/>
    <n v="0"/>
    <n v="0"/>
    <n v="15804.526073026427"/>
  </r>
  <r>
    <x v="154"/>
    <x v="3"/>
    <x v="430"/>
    <x v="0"/>
    <x v="2"/>
    <x v="1630"/>
    <x v="24"/>
    <s v="K.K."/>
    <n v="3"/>
    <n v="60"/>
    <n v="0"/>
    <n v="180"/>
    <m/>
    <m/>
    <m/>
    <m/>
    <n v="0"/>
    <n v="0"/>
    <n v="15804.526073026427"/>
  </r>
  <r>
    <x v="154"/>
    <x v="3"/>
    <x v="431"/>
    <x v="0"/>
    <x v="2"/>
    <x v="1630"/>
    <x v="24"/>
    <s v="K.K."/>
    <n v="3"/>
    <n v="60"/>
    <n v="0"/>
    <n v="180"/>
    <m/>
    <m/>
    <m/>
    <m/>
    <n v="0"/>
    <n v="0"/>
    <n v="15804.526073026427"/>
  </r>
  <r>
    <x v="154"/>
    <x v="3"/>
    <x v="432"/>
    <x v="0"/>
    <x v="2"/>
    <x v="1630"/>
    <x v="24"/>
    <s v="K.K."/>
    <n v="3"/>
    <n v="60"/>
    <n v="0"/>
    <n v="180"/>
    <m/>
    <m/>
    <m/>
    <m/>
    <n v="0"/>
    <n v="0"/>
    <n v="15804.526073026427"/>
  </r>
  <r>
    <x v="154"/>
    <x v="3"/>
    <x v="433"/>
    <x v="0"/>
    <x v="2"/>
    <x v="1630"/>
    <x v="24"/>
    <s v="K.K."/>
    <n v="1"/>
    <n v="40"/>
    <n v="0"/>
    <n v="40"/>
    <m/>
    <m/>
    <m/>
    <m/>
    <n v="0"/>
    <n v="0"/>
    <n v="15804.526073026427"/>
  </r>
  <r>
    <x v="154"/>
    <x v="3"/>
    <x v="205"/>
    <x v="0"/>
    <x v="2"/>
    <x v="1630"/>
    <x v="24"/>
    <s v="K.K."/>
    <n v="1"/>
    <n v="65"/>
    <n v="0"/>
    <n v="65"/>
    <m/>
    <m/>
    <m/>
    <m/>
    <n v="0"/>
    <n v="0"/>
    <n v="15804.526073026427"/>
  </r>
  <r>
    <x v="154"/>
    <x v="3"/>
    <x v="434"/>
    <x v="0"/>
    <x v="2"/>
    <x v="1630"/>
    <x v="24"/>
    <s v="K.K."/>
    <n v="1"/>
    <n v="142"/>
    <n v="0"/>
    <n v="142"/>
    <m/>
    <m/>
    <m/>
    <m/>
    <n v="0"/>
    <n v="0"/>
    <n v="15804.526073026427"/>
  </r>
  <r>
    <x v="154"/>
    <x v="3"/>
    <x v="188"/>
    <x v="0"/>
    <x v="2"/>
    <x v="1631"/>
    <x v="50"/>
    <s v="K.K."/>
    <n v="4"/>
    <n v="159.9"/>
    <n v="0"/>
    <n v="639.6"/>
    <m/>
    <m/>
    <m/>
    <m/>
    <n v="0"/>
    <n v="0"/>
    <n v="15804.526073026427"/>
  </r>
  <r>
    <x v="154"/>
    <x v="3"/>
    <x v="217"/>
    <x v="0"/>
    <x v="2"/>
    <x v="1632"/>
    <x v="50"/>
    <s v="K.K."/>
    <n v="5"/>
    <n v="151.9"/>
    <n v="0"/>
    <n v="759.5"/>
    <m/>
    <m/>
    <m/>
    <m/>
    <n v="0"/>
    <n v="0"/>
    <n v="15804.526073026427"/>
  </r>
  <r>
    <x v="154"/>
    <x v="4"/>
    <x v="58"/>
    <x v="0"/>
    <x v="5"/>
    <x v="1611"/>
    <x v="25"/>
    <s v="POS"/>
    <n v="1"/>
    <n v="230"/>
    <n v="230"/>
    <n v="0"/>
    <m/>
    <m/>
    <m/>
    <m/>
    <n v="0"/>
    <n v="0"/>
    <n v="15804.526073026427"/>
  </r>
  <r>
    <x v="154"/>
    <x v="4"/>
    <x v="18"/>
    <x v="0"/>
    <x v="5"/>
    <x v="1611"/>
    <x v="25"/>
    <s v="POS"/>
    <n v="1"/>
    <n v="250"/>
    <n v="250"/>
    <n v="0"/>
    <m/>
    <m/>
    <m/>
    <m/>
    <n v="0"/>
    <n v="0"/>
    <n v="15804.526073026427"/>
  </r>
  <r>
    <x v="154"/>
    <x v="4"/>
    <x v="238"/>
    <x v="0"/>
    <x v="5"/>
    <x v="1611"/>
    <x v="25"/>
    <s v="POS"/>
    <n v="0.34599999999999997"/>
    <n v="340"/>
    <n v="117.63999999999999"/>
    <n v="0"/>
    <m/>
    <m/>
    <m/>
    <m/>
    <n v="0"/>
    <n v="0"/>
    <n v="15804.526073026427"/>
  </r>
  <r>
    <x v="154"/>
    <x v="4"/>
    <x v="161"/>
    <x v="0"/>
    <x v="5"/>
    <x v="1611"/>
    <x v="25"/>
    <s v="POS"/>
    <n v="0.112"/>
    <n v="400"/>
    <n v="44.800000000000004"/>
    <n v="0"/>
    <m/>
    <m/>
    <m/>
    <m/>
    <n v="0"/>
    <n v="0"/>
    <n v="15804.526073026427"/>
  </r>
  <r>
    <x v="154"/>
    <x v="4"/>
    <x v="342"/>
    <x v="0"/>
    <x v="5"/>
    <x v="1611"/>
    <x v="25"/>
    <s v="POS"/>
    <n v="1"/>
    <n v="100"/>
    <n v="100"/>
    <n v="0"/>
    <m/>
    <m/>
    <m/>
    <m/>
    <n v="0"/>
    <n v="0"/>
    <n v="15804.526073026427"/>
  </r>
  <r>
    <x v="154"/>
    <x v="4"/>
    <x v="352"/>
    <x v="0"/>
    <x v="5"/>
    <x v="1611"/>
    <x v="25"/>
    <s v="POS"/>
    <n v="1"/>
    <n v="100"/>
    <n v="100"/>
    <n v="0"/>
    <m/>
    <m/>
    <m/>
    <m/>
    <n v="0"/>
    <n v="0"/>
    <n v="15804.526073026427"/>
  </r>
  <r>
    <x v="154"/>
    <x v="4"/>
    <x v="408"/>
    <x v="0"/>
    <x v="5"/>
    <x v="1611"/>
    <x v="25"/>
    <s v="POS"/>
    <n v="1"/>
    <n v="90"/>
    <n v="90"/>
    <n v="0"/>
    <m/>
    <m/>
    <m/>
    <m/>
    <n v="0"/>
    <n v="0"/>
    <n v="15804.526073026427"/>
  </r>
  <r>
    <x v="154"/>
    <x v="4"/>
    <x v="55"/>
    <x v="0"/>
    <x v="5"/>
    <x v="1611"/>
    <x v="25"/>
    <s v="POS"/>
    <n v="0.5"/>
    <n v="200"/>
    <n v="100"/>
    <n v="0"/>
    <m/>
    <m/>
    <m/>
    <m/>
    <n v="0"/>
    <n v="0"/>
    <n v="15804.526073026427"/>
  </r>
  <r>
    <x v="154"/>
    <x v="4"/>
    <x v="312"/>
    <x v="0"/>
    <x v="5"/>
    <x v="1611"/>
    <x v="25"/>
    <s v="POS"/>
    <n v="0.5"/>
    <n v="400"/>
    <n v="200"/>
    <n v="0"/>
    <m/>
    <m/>
    <m/>
    <m/>
    <n v="0"/>
    <n v="0"/>
    <n v="15804.526073026427"/>
  </r>
  <r>
    <x v="154"/>
    <x v="4"/>
    <x v="55"/>
    <x v="0"/>
    <x v="1"/>
    <x v="1612"/>
    <x v="25"/>
    <s v="NAKİT"/>
    <n v="0.5"/>
    <n v="200"/>
    <n v="0"/>
    <n v="0"/>
    <m/>
    <m/>
    <m/>
    <m/>
    <n v="100"/>
    <n v="0"/>
    <n v="15904.526073026427"/>
  </r>
  <r>
    <x v="154"/>
    <x v="4"/>
    <x v="179"/>
    <x v="0"/>
    <x v="1"/>
    <x v="1612"/>
    <x v="25"/>
    <s v="NAKİT"/>
    <n v="1"/>
    <n v="850"/>
    <n v="0"/>
    <n v="0"/>
    <m/>
    <m/>
    <m/>
    <m/>
    <n v="850"/>
    <n v="0"/>
    <n v="16754.526073026427"/>
  </r>
  <r>
    <x v="154"/>
    <x v="4"/>
    <x v="395"/>
    <x v="0"/>
    <x v="1"/>
    <x v="1612"/>
    <x v="25"/>
    <s v="NAKİT"/>
    <n v="1.1759999999999999"/>
    <n v="61"/>
    <n v="0"/>
    <n v="0"/>
    <m/>
    <m/>
    <m/>
    <m/>
    <n v="71.73599999999999"/>
    <n v="0"/>
    <n v="16826.262073026428"/>
  </r>
  <r>
    <x v="154"/>
    <x v="4"/>
    <x v="25"/>
    <x v="0"/>
    <x v="1"/>
    <x v="1612"/>
    <x v="25"/>
    <s v="NAKİT"/>
    <n v="8.2000000000000003E-2"/>
    <n v="400"/>
    <n v="0"/>
    <n v="0"/>
    <m/>
    <m/>
    <m/>
    <m/>
    <n v="32.800000000000004"/>
    <n v="0"/>
    <n v="16859.062073026427"/>
  </r>
  <r>
    <x v="154"/>
    <x v="4"/>
    <x v="31"/>
    <x v="0"/>
    <x v="1"/>
    <x v="1612"/>
    <x v="25"/>
    <s v="NAKİT"/>
    <n v="0.16400000000000001"/>
    <n v="400"/>
    <n v="0"/>
    <n v="0"/>
    <m/>
    <m/>
    <m/>
    <m/>
    <n v="65.600000000000009"/>
    <n v="0"/>
    <n v="16924.662073026426"/>
  </r>
  <r>
    <x v="154"/>
    <x v="4"/>
    <x v="45"/>
    <x v="0"/>
    <x v="1"/>
    <x v="1612"/>
    <x v="25"/>
    <s v="NAKİT"/>
    <n v="1"/>
    <n v="65"/>
    <n v="0"/>
    <n v="0"/>
    <m/>
    <m/>
    <m/>
    <m/>
    <n v="65"/>
    <n v="0"/>
    <n v="16989.662073026426"/>
  </r>
  <r>
    <x v="154"/>
    <x v="4"/>
    <x v="43"/>
    <x v="0"/>
    <x v="1"/>
    <x v="1612"/>
    <x v="25"/>
    <s v="NAKİT"/>
    <n v="1"/>
    <n v="65"/>
    <n v="0"/>
    <n v="0"/>
    <m/>
    <m/>
    <m/>
    <m/>
    <n v="65"/>
    <n v="0"/>
    <n v="17054.662073026426"/>
  </r>
  <r>
    <x v="154"/>
    <x v="4"/>
    <x v="58"/>
    <x v="0"/>
    <x v="5"/>
    <x v="1613"/>
    <x v="25"/>
    <s v="POS"/>
    <n v="1"/>
    <n v="230"/>
    <n v="230"/>
    <n v="0"/>
    <m/>
    <m/>
    <m/>
    <m/>
    <n v="0"/>
    <n v="0"/>
    <n v="17054.662073026426"/>
  </r>
  <r>
    <x v="154"/>
    <x v="4"/>
    <x v="396"/>
    <x v="0"/>
    <x v="1"/>
    <x v="1614"/>
    <x v="25"/>
    <s v="NAKİT"/>
    <n v="1"/>
    <n v="65"/>
    <n v="0"/>
    <n v="0"/>
    <m/>
    <m/>
    <m/>
    <m/>
    <n v="65"/>
    <n v="0"/>
    <n v="17119.662073026426"/>
  </r>
  <r>
    <x v="154"/>
    <x v="4"/>
    <x v="404"/>
    <x v="0"/>
    <x v="1"/>
    <x v="1615"/>
    <x v="25"/>
    <s v="NAKİT"/>
    <n v="4"/>
    <n v="30"/>
    <n v="0"/>
    <n v="0"/>
    <m/>
    <m/>
    <m/>
    <m/>
    <n v="120"/>
    <n v="0"/>
    <n v="17239.662073026426"/>
  </r>
  <r>
    <x v="154"/>
    <x v="4"/>
    <x v="386"/>
    <x v="0"/>
    <x v="1"/>
    <x v="1615"/>
    <x v="25"/>
    <s v="NAKİT"/>
    <n v="1"/>
    <n v="30"/>
    <n v="0"/>
    <n v="0"/>
    <m/>
    <m/>
    <m/>
    <m/>
    <n v="30"/>
    <n v="0"/>
    <n v="17269.662073026426"/>
  </r>
  <r>
    <x v="154"/>
    <x v="4"/>
    <x v="55"/>
    <x v="0"/>
    <x v="13"/>
    <x v="1615"/>
    <x v="171"/>
    <s v="CARİ"/>
    <n v="19.350000000000001"/>
    <n v="144.7028"/>
    <n v="2799.9991800000003"/>
    <n v="0"/>
    <m/>
    <m/>
    <m/>
    <m/>
    <n v="0"/>
    <n v="0"/>
    <n v="17269.662073026426"/>
  </r>
  <r>
    <x v="154"/>
    <x v="4"/>
    <x v="18"/>
    <x v="0"/>
    <x v="5"/>
    <x v="1616"/>
    <x v="25"/>
    <s v="POS"/>
    <n v="1"/>
    <n v="240"/>
    <n v="240"/>
    <n v="0"/>
    <m/>
    <m/>
    <m/>
    <m/>
    <n v="0"/>
    <n v="0"/>
    <n v="17269.662073026426"/>
  </r>
  <r>
    <x v="154"/>
    <x v="4"/>
    <x v="58"/>
    <x v="0"/>
    <x v="1"/>
    <x v="1616"/>
    <x v="172"/>
    <s v="NAKİT"/>
    <n v="0.5"/>
    <n v="230"/>
    <n v="0"/>
    <n v="0"/>
    <m/>
    <m/>
    <m/>
    <m/>
    <n v="115"/>
    <n v="0"/>
    <n v="17384.662073026426"/>
  </r>
  <r>
    <x v="154"/>
    <x v="4"/>
    <x v="56"/>
    <x v="0"/>
    <x v="5"/>
    <x v="1617"/>
    <x v="25"/>
    <s v="POS"/>
    <n v="1"/>
    <n v="200"/>
    <n v="200"/>
    <n v="0"/>
    <m/>
    <m/>
    <m/>
    <m/>
    <n v="0"/>
    <n v="0"/>
    <n v="17384.662073026426"/>
  </r>
  <r>
    <x v="154"/>
    <x v="4"/>
    <x v="55"/>
    <x v="0"/>
    <x v="5"/>
    <x v="1617"/>
    <x v="25"/>
    <s v="POS"/>
    <n v="1"/>
    <n v="200"/>
    <n v="200"/>
    <n v="0"/>
    <m/>
    <m/>
    <m/>
    <m/>
    <n v="0"/>
    <n v="0"/>
    <n v="17384.662073026426"/>
  </r>
  <r>
    <x v="154"/>
    <x v="4"/>
    <x v="360"/>
    <x v="0"/>
    <x v="1"/>
    <x v="1617"/>
    <x v="25"/>
    <s v="NAKİT"/>
    <n v="0.25"/>
    <n v="520"/>
    <n v="0"/>
    <n v="0"/>
    <m/>
    <m/>
    <m/>
    <m/>
    <n v="130"/>
    <n v="0"/>
    <n v="17514.662073026426"/>
  </r>
  <r>
    <x v="154"/>
    <x v="4"/>
    <x v="349"/>
    <x v="0"/>
    <x v="1"/>
    <x v="1618"/>
    <x v="25"/>
    <s v="NAKİT"/>
    <n v="1"/>
    <n v="100"/>
    <n v="0"/>
    <n v="0"/>
    <m/>
    <m/>
    <m/>
    <m/>
    <n v="100"/>
    <n v="0"/>
    <n v="17614.662073026426"/>
  </r>
  <r>
    <x v="154"/>
    <x v="4"/>
    <x v="88"/>
    <x v="0"/>
    <x v="1"/>
    <x v="1618"/>
    <x v="25"/>
    <s v="NAKİT"/>
    <n v="0.05"/>
    <n v="1200"/>
    <n v="0"/>
    <n v="0"/>
    <m/>
    <m/>
    <m/>
    <m/>
    <n v="60"/>
    <n v="0"/>
    <n v="17674.662073026426"/>
  </r>
  <r>
    <x v="154"/>
    <x v="4"/>
    <x v="287"/>
    <x v="0"/>
    <x v="1"/>
    <x v="1619"/>
    <x v="173"/>
    <s v="NAKİT"/>
    <n v="0.69230769230769229"/>
    <n v="65"/>
    <n v="0"/>
    <n v="0"/>
    <m/>
    <m/>
    <m/>
    <m/>
    <n v="45"/>
    <n v="0"/>
    <n v="17719.662073026426"/>
  </r>
  <r>
    <x v="154"/>
    <x v="4"/>
    <x v="30"/>
    <x v="0"/>
    <x v="1"/>
    <x v="1619"/>
    <x v="173"/>
    <s v="NAKİT"/>
    <n v="0.19"/>
    <n v="500"/>
    <n v="0"/>
    <n v="0"/>
    <m/>
    <m/>
    <m/>
    <m/>
    <n v="95"/>
    <n v="0"/>
    <n v="17814.662073026426"/>
  </r>
  <r>
    <x v="154"/>
    <x v="4"/>
    <x v="27"/>
    <x v="0"/>
    <x v="1"/>
    <x v="1619"/>
    <x v="173"/>
    <s v="NAKİT"/>
    <n v="3.7499999999999999E-2"/>
    <n v="400"/>
    <n v="0"/>
    <n v="0"/>
    <m/>
    <m/>
    <m/>
    <m/>
    <n v="15"/>
    <n v="0"/>
    <n v="17829.662073026426"/>
  </r>
  <r>
    <x v="154"/>
    <x v="4"/>
    <x v="111"/>
    <x v="0"/>
    <x v="1"/>
    <x v="1620"/>
    <x v="25"/>
    <s v="NAKİT"/>
    <n v="0.53428571428571425"/>
    <n v="350"/>
    <n v="0"/>
    <n v="0"/>
    <m/>
    <m/>
    <m/>
    <m/>
    <n v="187"/>
    <n v="0"/>
    <n v="18016.662073026426"/>
  </r>
  <r>
    <x v="154"/>
    <x v="4"/>
    <x v="23"/>
    <x v="0"/>
    <x v="1"/>
    <x v="1620"/>
    <x v="25"/>
    <s v="NAKİT"/>
    <n v="5.7999999999999996E-2"/>
    <n v="300"/>
    <n v="0"/>
    <n v="0"/>
    <m/>
    <m/>
    <m/>
    <m/>
    <n v="17.399999999999999"/>
    <n v="0"/>
    <n v="18034.062073026427"/>
  </r>
  <r>
    <x v="154"/>
    <x v="4"/>
    <x v="22"/>
    <x v="0"/>
    <x v="1"/>
    <x v="1620"/>
    <x v="25"/>
    <s v="NAKİT"/>
    <n v="6.2E-2"/>
    <n v="400"/>
    <n v="0"/>
    <n v="0"/>
    <m/>
    <m/>
    <m/>
    <m/>
    <n v="24.8"/>
    <n v="0"/>
    <n v="18058.862073026427"/>
  </r>
  <r>
    <x v="154"/>
    <x v="4"/>
    <x v="42"/>
    <x v="0"/>
    <x v="1"/>
    <x v="1620"/>
    <x v="25"/>
    <s v="NAKİT"/>
    <n v="1"/>
    <n v="80"/>
    <n v="0"/>
    <n v="0"/>
    <m/>
    <m/>
    <m/>
    <m/>
    <n v="80"/>
    <n v="0"/>
    <n v="18138.862073026427"/>
  </r>
  <r>
    <x v="154"/>
    <x v="4"/>
    <x v="360"/>
    <x v="0"/>
    <x v="1"/>
    <x v="1621"/>
    <x v="114"/>
    <s v="NAKİT"/>
    <n v="1"/>
    <n v="600"/>
    <n v="0"/>
    <n v="0"/>
    <m/>
    <m/>
    <m/>
    <m/>
    <n v="600"/>
    <n v="0"/>
    <n v="18738.862073026427"/>
  </r>
  <r>
    <x v="154"/>
    <x v="4"/>
    <x v="30"/>
    <x v="0"/>
    <x v="5"/>
    <x v="1633"/>
    <x v="25"/>
    <s v="POS"/>
    <n v="0.17"/>
    <n v="500"/>
    <n v="85"/>
    <n v="0"/>
    <m/>
    <m/>
    <m/>
    <m/>
    <n v="0"/>
    <n v="0"/>
    <n v="18738.862073026427"/>
  </r>
  <r>
    <x v="154"/>
    <x v="4"/>
    <x v="29"/>
    <x v="0"/>
    <x v="5"/>
    <x v="1633"/>
    <x v="25"/>
    <s v="POS"/>
    <n v="6.8000000000000005E-2"/>
    <n v="750"/>
    <n v="51.000000000000007"/>
    <n v="0"/>
    <m/>
    <m/>
    <m/>
    <m/>
    <n v="0"/>
    <n v="0"/>
    <n v="18738.862073026427"/>
  </r>
  <r>
    <x v="154"/>
    <x v="4"/>
    <x v="314"/>
    <x v="0"/>
    <x v="5"/>
    <x v="1633"/>
    <x v="25"/>
    <s v="POS"/>
    <n v="1"/>
    <n v="140"/>
    <n v="140"/>
    <n v="0"/>
    <m/>
    <m/>
    <m/>
    <m/>
    <n v="0"/>
    <n v="0"/>
    <n v="18738.862073026427"/>
  </r>
  <r>
    <x v="154"/>
    <x v="4"/>
    <x v="360"/>
    <x v="0"/>
    <x v="5"/>
    <x v="1633"/>
    <x v="25"/>
    <s v="POS"/>
    <n v="0.16800000000000001"/>
    <n v="600"/>
    <n v="100.80000000000001"/>
    <n v="0"/>
    <m/>
    <m/>
    <m/>
    <m/>
    <n v="0"/>
    <n v="0"/>
    <n v="18738.862073026427"/>
  </r>
  <r>
    <x v="154"/>
    <x v="4"/>
    <x v="159"/>
    <x v="0"/>
    <x v="5"/>
    <x v="1633"/>
    <x v="25"/>
    <s v="POS"/>
    <n v="1"/>
    <n v="100"/>
    <n v="100"/>
    <n v="0"/>
    <m/>
    <m/>
    <m/>
    <m/>
    <n v="0"/>
    <n v="0"/>
    <n v="18738.862073026427"/>
  </r>
  <r>
    <x v="154"/>
    <x v="4"/>
    <x v="106"/>
    <x v="0"/>
    <x v="5"/>
    <x v="1633"/>
    <x v="25"/>
    <s v="POS"/>
    <n v="1"/>
    <n v="200"/>
    <n v="200"/>
    <n v="0"/>
    <m/>
    <m/>
    <m/>
    <m/>
    <n v="0"/>
    <n v="0"/>
    <n v="18738.862073026427"/>
  </r>
  <r>
    <x v="154"/>
    <x v="4"/>
    <x v="298"/>
    <x v="0"/>
    <x v="5"/>
    <x v="1633"/>
    <x v="25"/>
    <s v="POS"/>
    <n v="0.1"/>
    <n v="1500"/>
    <n v="150"/>
    <n v="0"/>
    <m/>
    <m/>
    <m/>
    <m/>
    <n v="0"/>
    <n v="0"/>
    <n v="18738.862073026427"/>
  </r>
  <r>
    <x v="154"/>
    <x v="4"/>
    <x v="312"/>
    <x v="0"/>
    <x v="5"/>
    <x v="1633"/>
    <x v="25"/>
    <s v="POS"/>
    <n v="0.5"/>
    <n v="400"/>
    <n v="200"/>
    <n v="0"/>
    <m/>
    <m/>
    <m/>
    <m/>
    <n v="0"/>
    <n v="0"/>
    <n v="18738.862073026427"/>
  </r>
  <r>
    <x v="154"/>
    <x v="10"/>
    <x v="0"/>
    <x v="0"/>
    <x v="5"/>
    <x v="2"/>
    <x v="63"/>
    <s v="POS"/>
    <n v="1"/>
    <n v="2255"/>
    <n v="0"/>
    <n v="2255"/>
    <m/>
    <m/>
    <m/>
    <m/>
    <n v="2255"/>
    <n v="0"/>
    <n v="20993.862073026427"/>
  </r>
  <r>
    <x v="155"/>
    <x v="3"/>
    <x v="161"/>
    <x v="0"/>
    <x v="3"/>
    <x v="1634"/>
    <x v="174"/>
    <s v="CARİ"/>
    <n v="50"/>
    <n v="190"/>
    <n v="0"/>
    <n v="9500"/>
    <m/>
    <m/>
    <m/>
    <m/>
    <n v="0"/>
    <n v="0"/>
    <n v="20993.862073026427"/>
  </r>
  <r>
    <x v="155"/>
    <x v="3"/>
    <x v="27"/>
    <x v="0"/>
    <x v="3"/>
    <x v="1634"/>
    <x v="174"/>
    <s v="CARİ"/>
    <n v="25"/>
    <n v="130"/>
    <n v="0"/>
    <n v="3250"/>
    <m/>
    <m/>
    <m/>
    <m/>
    <n v="0"/>
    <n v="0"/>
    <n v="20993.862073026427"/>
  </r>
  <r>
    <x v="155"/>
    <x v="3"/>
    <x v="31"/>
    <x v="0"/>
    <x v="3"/>
    <x v="1634"/>
    <x v="174"/>
    <s v="CARİ"/>
    <n v="25"/>
    <n v="180"/>
    <n v="0"/>
    <n v="4500"/>
    <m/>
    <m/>
    <m/>
    <m/>
    <n v="0"/>
    <n v="0"/>
    <n v="20993.862073026427"/>
  </r>
  <r>
    <x v="155"/>
    <x v="3"/>
    <x v="25"/>
    <x v="0"/>
    <x v="3"/>
    <x v="1634"/>
    <x v="174"/>
    <s v="CARİ"/>
    <n v="25"/>
    <n v="200"/>
    <n v="0"/>
    <n v="5000"/>
    <m/>
    <m/>
    <m/>
    <m/>
    <n v="0"/>
    <n v="0"/>
    <n v="20993.862073026427"/>
  </r>
  <r>
    <x v="155"/>
    <x v="3"/>
    <x v="50"/>
    <x v="0"/>
    <x v="3"/>
    <x v="1634"/>
    <x v="174"/>
    <s v="CARİ"/>
    <n v="10"/>
    <n v="250"/>
    <n v="0"/>
    <n v="2500"/>
    <m/>
    <m/>
    <m/>
    <m/>
    <n v="0"/>
    <n v="0"/>
    <n v="20993.862073026427"/>
  </r>
  <r>
    <x v="155"/>
    <x v="3"/>
    <x v="88"/>
    <x v="0"/>
    <x v="3"/>
    <x v="1634"/>
    <x v="174"/>
    <s v="CARİ"/>
    <n v="5"/>
    <n v="470"/>
    <n v="0"/>
    <n v="2350"/>
    <m/>
    <m/>
    <m/>
    <m/>
    <n v="0"/>
    <n v="0"/>
    <n v="20993.862073026427"/>
  </r>
  <r>
    <x v="155"/>
    <x v="3"/>
    <x v="435"/>
    <x v="0"/>
    <x v="3"/>
    <x v="1634"/>
    <x v="174"/>
    <s v="CARİ"/>
    <n v="10"/>
    <n v="275"/>
    <n v="0"/>
    <n v="2750"/>
    <m/>
    <m/>
    <m/>
    <m/>
    <n v="0"/>
    <n v="0"/>
    <n v="20993.862073026427"/>
  </r>
  <r>
    <x v="155"/>
    <x v="3"/>
    <x v="26"/>
    <x v="0"/>
    <x v="3"/>
    <x v="1634"/>
    <x v="174"/>
    <s v="CARİ"/>
    <n v="5"/>
    <n v="190"/>
    <n v="0"/>
    <n v="950"/>
    <m/>
    <m/>
    <m/>
    <m/>
    <n v="0"/>
    <n v="0"/>
    <n v="20993.862073026427"/>
  </r>
  <r>
    <x v="155"/>
    <x v="3"/>
    <x v="18"/>
    <x v="0"/>
    <x v="3"/>
    <x v="1634"/>
    <x v="174"/>
    <s v="CARİ"/>
    <n v="140"/>
    <n v="155"/>
    <n v="0"/>
    <n v="21700"/>
    <m/>
    <m/>
    <m/>
    <m/>
    <n v="0"/>
    <n v="0"/>
    <n v="20993.862073026427"/>
  </r>
  <r>
    <x v="155"/>
    <x v="3"/>
    <x v="58"/>
    <x v="0"/>
    <x v="3"/>
    <x v="1634"/>
    <x v="174"/>
    <s v="CARİ"/>
    <n v="60"/>
    <n v="140"/>
    <n v="0"/>
    <n v="8400"/>
    <m/>
    <m/>
    <m/>
    <m/>
    <n v="0"/>
    <n v="0"/>
    <n v="20993.862073026427"/>
  </r>
  <r>
    <x v="155"/>
    <x v="3"/>
    <x v="66"/>
    <x v="0"/>
    <x v="3"/>
    <x v="1634"/>
    <x v="174"/>
    <s v="CARİ"/>
    <n v="2"/>
    <n v="100"/>
    <n v="0"/>
    <n v="200"/>
    <m/>
    <m/>
    <m/>
    <m/>
    <n v="0"/>
    <n v="0"/>
    <n v="20993.862073026427"/>
  </r>
  <r>
    <x v="155"/>
    <x v="3"/>
    <x v="436"/>
    <x v="0"/>
    <x v="3"/>
    <x v="1634"/>
    <x v="174"/>
    <s v="CARİ"/>
    <n v="1"/>
    <n v="85"/>
    <n v="0"/>
    <n v="85"/>
    <m/>
    <m/>
    <m/>
    <m/>
    <n v="0"/>
    <n v="0"/>
    <n v="20993.862073026427"/>
  </r>
  <r>
    <x v="155"/>
    <x v="3"/>
    <x v="437"/>
    <x v="0"/>
    <x v="3"/>
    <x v="1634"/>
    <x v="174"/>
    <s v="CARİ"/>
    <n v="1"/>
    <n v="175"/>
    <n v="0"/>
    <n v="175"/>
    <m/>
    <m/>
    <m/>
    <m/>
    <n v="0"/>
    <n v="0"/>
    <n v="20993.862073026427"/>
  </r>
  <r>
    <x v="155"/>
    <x v="3"/>
    <x v="438"/>
    <x v="0"/>
    <x v="3"/>
    <x v="1634"/>
    <x v="174"/>
    <s v="CARİ"/>
    <n v="1"/>
    <n v="400"/>
    <n v="0"/>
    <n v="400"/>
    <m/>
    <m/>
    <m/>
    <m/>
    <n v="0"/>
    <n v="0"/>
    <n v="20993.862073026427"/>
  </r>
  <r>
    <x v="155"/>
    <x v="3"/>
    <x v="439"/>
    <x v="0"/>
    <x v="3"/>
    <x v="1634"/>
    <x v="174"/>
    <s v="CARİ"/>
    <n v="1"/>
    <n v="80"/>
    <n v="0"/>
    <n v="80"/>
    <m/>
    <m/>
    <m/>
    <m/>
    <n v="0"/>
    <n v="0"/>
    <n v="20993.862073026427"/>
  </r>
  <r>
    <x v="155"/>
    <x v="3"/>
    <x v="440"/>
    <x v="0"/>
    <x v="3"/>
    <x v="1634"/>
    <x v="174"/>
    <s v="CARİ"/>
    <n v="10"/>
    <n v="140"/>
    <n v="0"/>
    <n v="1400"/>
    <m/>
    <m/>
    <m/>
    <m/>
    <n v="0"/>
    <n v="0"/>
    <n v="20993.862073026427"/>
  </r>
  <r>
    <x v="155"/>
    <x v="3"/>
    <x v="441"/>
    <x v="0"/>
    <x v="3"/>
    <x v="1634"/>
    <x v="174"/>
    <s v="CARİ"/>
    <n v="1"/>
    <n v="140"/>
    <n v="0"/>
    <n v="140"/>
    <m/>
    <m/>
    <m/>
    <m/>
    <n v="0"/>
    <n v="0"/>
    <n v="20993.862073026427"/>
  </r>
  <r>
    <x v="155"/>
    <x v="3"/>
    <x v="442"/>
    <x v="0"/>
    <x v="3"/>
    <x v="1634"/>
    <x v="174"/>
    <s v="CARİ"/>
    <n v="1"/>
    <n v="180"/>
    <n v="0"/>
    <n v="180"/>
    <m/>
    <m/>
    <m/>
    <m/>
    <n v="0"/>
    <n v="0"/>
    <n v="20993.862073026427"/>
  </r>
  <r>
    <x v="155"/>
    <x v="3"/>
    <x v="443"/>
    <x v="0"/>
    <x v="3"/>
    <x v="1634"/>
    <x v="174"/>
    <s v="CARİ"/>
    <n v="1"/>
    <n v="170"/>
    <n v="0"/>
    <n v="170"/>
    <m/>
    <m/>
    <m/>
    <m/>
    <n v="0"/>
    <n v="0"/>
    <n v="20993.862073026427"/>
  </r>
  <r>
    <x v="155"/>
    <x v="3"/>
    <x v="244"/>
    <x v="0"/>
    <x v="3"/>
    <x v="1634"/>
    <x v="174"/>
    <s v="CARİ"/>
    <n v="25"/>
    <n v="43"/>
    <n v="0"/>
    <n v="1075"/>
    <m/>
    <m/>
    <m/>
    <m/>
    <n v="0"/>
    <n v="0"/>
    <n v="20993.862073026427"/>
  </r>
  <r>
    <x v="155"/>
    <x v="4"/>
    <x v="389"/>
    <x v="0"/>
    <x v="11"/>
    <x v="1622"/>
    <x v="25"/>
    <s v="CARİ"/>
    <n v="0.54400000000000004"/>
    <n v="500"/>
    <n v="272"/>
    <n v="0"/>
    <m/>
    <m/>
    <m/>
    <m/>
    <n v="0"/>
    <n v="0"/>
    <n v="20993.862073026427"/>
  </r>
  <r>
    <x v="155"/>
    <x v="4"/>
    <x v="395"/>
    <x v="0"/>
    <x v="11"/>
    <x v="1622"/>
    <x v="25"/>
    <s v="CARİ"/>
    <n v="1.226"/>
    <n v="46.5"/>
    <n v="57.009"/>
    <n v="0"/>
    <m/>
    <m/>
    <m/>
    <m/>
    <n v="0"/>
    <n v="0"/>
    <n v="20993.862073026427"/>
  </r>
  <r>
    <x v="155"/>
    <x v="4"/>
    <x v="212"/>
    <x v="0"/>
    <x v="11"/>
    <x v="1622"/>
    <x v="25"/>
    <s v="CARİ"/>
    <n v="0.28799999999999998"/>
    <n v="550"/>
    <n v="158.39999999999998"/>
    <n v="0"/>
    <m/>
    <m/>
    <m/>
    <m/>
    <n v="0"/>
    <n v="0"/>
    <n v="20993.862073026427"/>
  </r>
  <r>
    <x v="155"/>
    <x v="4"/>
    <x v="240"/>
    <x v="0"/>
    <x v="11"/>
    <x v="1622"/>
    <x v="25"/>
    <s v="CARİ"/>
    <n v="0.28199999999999997"/>
    <n v="230"/>
    <n v="64.86"/>
    <n v="0"/>
    <m/>
    <m/>
    <m/>
    <m/>
    <n v="0"/>
    <n v="0"/>
    <n v="20993.862073026427"/>
  </r>
  <r>
    <x v="155"/>
    <x v="4"/>
    <x v="76"/>
    <x v="0"/>
    <x v="11"/>
    <x v="1622"/>
    <x v="25"/>
    <s v="CARİ"/>
    <n v="0.5"/>
    <n v="60"/>
    <n v="30"/>
    <n v="0"/>
    <m/>
    <m/>
    <m/>
    <m/>
    <n v="0"/>
    <n v="0"/>
    <n v="20993.862073026427"/>
  </r>
  <r>
    <x v="155"/>
    <x v="4"/>
    <x v="18"/>
    <x v="0"/>
    <x v="11"/>
    <x v="1622"/>
    <x v="25"/>
    <s v="CARİ"/>
    <n v="1"/>
    <n v="200"/>
    <n v="200"/>
    <n v="0"/>
    <m/>
    <m/>
    <m/>
    <m/>
    <n v="0"/>
    <n v="0"/>
    <n v="20993.862073026427"/>
  </r>
  <r>
    <x v="155"/>
    <x v="4"/>
    <x v="34"/>
    <x v="0"/>
    <x v="11"/>
    <x v="1622"/>
    <x v="25"/>
    <s v="CARİ"/>
    <n v="0.75"/>
    <n v="230"/>
    <n v="172.5"/>
    <n v="0"/>
    <m/>
    <m/>
    <m/>
    <m/>
    <n v="0"/>
    <n v="0"/>
    <n v="20993.862073026427"/>
  </r>
  <r>
    <x v="155"/>
    <x v="4"/>
    <x v="80"/>
    <x v="0"/>
    <x v="5"/>
    <x v="1623"/>
    <x v="25"/>
    <s v="POS"/>
    <n v="1"/>
    <n v="290"/>
    <n v="290"/>
    <n v="0"/>
    <m/>
    <m/>
    <m/>
    <m/>
    <n v="0"/>
    <n v="0"/>
    <n v="20993.862073026427"/>
  </r>
  <r>
    <x v="155"/>
    <x v="4"/>
    <x v="55"/>
    <x v="0"/>
    <x v="1"/>
    <x v="1624"/>
    <x v="25"/>
    <s v="NAKİT"/>
    <n v="1"/>
    <n v="200"/>
    <n v="0"/>
    <n v="0"/>
    <m/>
    <m/>
    <m/>
    <m/>
    <n v="200"/>
    <n v="0"/>
    <n v="21193.862073026427"/>
  </r>
  <r>
    <x v="155"/>
    <x v="4"/>
    <x v="279"/>
    <x v="0"/>
    <x v="1"/>
    <x v="1625"/>
    <x v="25"/>
    <s v="NAKİT"/>
    <n v="1"/>
    <n v="130"/>
    <n v="0"/>
    <n v="0"/>
    <m/>
    <m/>
    <m/>
    <m/>
    <n v="130"/>
    <n v="0"/>
    <n v="21323.862073026427"/>
  </r>
  <r>
    <x v="155"/>
    <x v="4"/>
    <x v="61"/>
    <x v="0"/>
    <x v="1"/>
    <x v="1625"/>
    <x v="25"/>
    <s v="NAKİT"/>
    <n v="7.1428571428571425E-2"/>
    <n v="770"/>
    <n v="0"/>
    <n v="0"/>
    <m/>
    <m/>
    <m/>
    <m/>
    <n v="55"/>
    <n v="0"/>
    <n v="21378.862073026427"/>
  </r>
  <r>
    <x v="155"/>
    <x v="4"/>
    <x v="18"/>
    <x v="0"/>
    <x v="5"/>
    <x v="1626"/>
    <x v="25"/>
    <s v="POS"/>
    <n v="0.5"/>
    <n v="250"/>
    <n v="125"/>
    <n v="0"/>
    <m/>
    <m/>
    <m/>
    <m/>
    <n v="0"/>
    <n v="0"/>
    <n v="21378.862073026427"/>
  </r>
  <r>
    <x v="155"/>
    <x v="4"/>
    <x v="58"/>
    <x v="0"/>
    <x v="5"/>
    <x v="1626"/>
    <x v="25"/>
    <s v="POS"/>
    <n v="0.5"/>
    <n v="230"/>
    <n v="115"/>
    <n v="0"/>
    <m/>
    <m/>
    <m/>
    <m/>
    <n v="0"/>
    <n v="0"/>
    <n v="21378.862073026427"/>
  </r>
  <r>
    <x v="155"/>
    <x v="4"/>
    <x v="28"/>
    <x v="0"/>
    <x v="5"/>
    <x v="1626"/>
    <x v="25"/>
    <s v="POS"/>
    <n v="0.12"/>
    <n v="500"/>
    <n v="60"/>
    <n v="0"/>
    <m/>
    <m/>
    <m/>
    <m/>
    <n v="0"/>
    <n v="0"/>
    <n v="21378.862073026427"/>
  </r>
  <r>
    <x v="155"/>
    <x v="4"/>
    <x v="150"/>
    <x v="0"/>
    <x v="1"/>
    <x v="1627"/>
    <x v="25"/>
    <s v="NAKİT"/>
    <n v="2.16"/>
    <n v="250"/>
    <n v="0"/>
    <n v="0"/>
    <m/>
    <m/>
    <m/>
    <m/>
    <n v="540"/>
    <n v="0"/>
    <n v="21918.862073026427"/>
  </r>
  <r>
    <x v="155"/>
    <x v="4"/>
    <x v="133"/>
    <x v="0"/>
    <x v="5"/>
    <x v="1628"/>
    <x v="25"/>
    <s v="POS"/>
    <n v="1"/>
    <n v="190"/>
    <n v="190"/>
    <n v="0"/>
    <m/>
    <m/>
    <m/>
    <m/>
    <n v="0"/>
    <n v="0"/>
    <n v="21918.862073026427"/>
  </r>
  <r>
    <x v="155"/>
    <x v="4"/>
    <x v="312"/>
    <x v="0"/>
    <x v="1"/>
    <x v="1629"/>
    <x v="25"/>
    <s v="NAKİT"/>
    <n v="1"/>
    <n v="300"/>
    <n v="0"/>
    <n v="0"/>
    <m/>
    <m/>
    <m/>
    <m/>
    <n v="300"/>
    <n v="0"/>
    <n v="22218.862073026427"/>
  </r>
  <r>
    <x v="155"/>
    <x v="4"/>
    <x v="18"/>
    <x v="0"/>
    <x v="1"/>
    <x v="1633"/>
    <x v="25"/>
    <s v="NAKİT"/>
    <n v="1"/>
    <n v="250"/>
    <n v="0"/>
    <n v="0"/>
    <m/>
    <m/>
    <m/>
    <m/>
    <n v="250"/>
    <n v="0"/>
    <n v="22468.862073026427"/>
  </r>
  <r>
    <x v="155"/>
    <x v="4"/>
    <x v="18"/>
    <x v="0"/>
    <x v="1"/>
    <x v="1635"/>
    <x v="25"/>
    <s v="NAKİT"/>
    <n v="1"/>
    <n v="250"/>
    <n v="0"/>
    <n v="0"/>
    <m/>
    <m/>
    <m/>
    <m/>
    <n v="250"/>
    <n v="0"/>
    <n v="22718.862073026427"/>
  </r>
  <r>
    <x v="155"/>
    <x v="4"/>
    <x v="57"/>
    <x v="0"/>
    <x v="5"/>
    <x v="1636"/>
    <x v="25"/>
    <s v="POS"/>
    <n v="1"/>
    <n v="150"/>
    <n v="150"/>
    <n v="0"/>
    <m/>
    <m/>
    <m/>
    <m/>
    <n v="0"/>
    <n v="0"/>
    <n v="22718.862073026427"/>
  </r>
  <r>
    <x v="155"/>
    <x v="4"/>
    <x v="150"/>
    <x v="0"/>
    <x v="5"/>
    <x v="1637"/>
    <x v="25"/>
    <s v="POS"/>
    <n v="1"/>
    <n v="250"/>
    <n v="250"/>
    <n v="0"/>
    <m/>
    <m/>
    <m/>
    <m/>
    <n v="0"/>
    <n v="0"/>
    <n v="22718.862073026427"/>
  </r>
  <r>
    <x v="155"/>
    <x v="4"/>
    <x v="38"/>
    <x v="0"/>
    <x v="1"/>
    <x v="1638"/>
    <x v="25"/>
    <s v="NAKİT"/>
    <n v="0.1"/>
    <n v="650"/>
    <n v="0"/>
    <n v="0"/>
    <m/>
    <m/>
    <m/>
    <m/>
    <n v="65"/>
    <n v="0"/>
    <n v="22783.862073026427"/>
  </r>
  <r>
    <x v="155"/>
    <x v="4"/>
    <x v="161"/>
    <x v="0"/>
    <x v="1"/>
    <x v="1638"/>
    <x v="25"/>
    <s v="NAKİT"/>
    <n v="0.1125"/>
    <n v="400"/>
    <n v="0"/>
    <n v="0"/>
    <m/>
    <m/>
    <m/>
    <m/>
    <n v="45"/>
    <n v="0"/>
    <n v="22828.862073026427"/>
  </r>
  <r>
    <x v="155"/>
    <x v="4"/>
    <x v="344"/>
    <x v="0"/>
    <x v="5"/>
    <x v="1639"/>
    <x v="25"/>
    <s v="POS"/>
    <n v="0.1"/>
    <n v="450"/>
    <n v="45"/>
    <n v="0"/>
    <m/>
    <m/>
    <m/>
    <m/>
    <n v="0"/>
    <n v="0"/>
    <n v="22828.862073026427"/>
  </r>
  <r>
    <x v="155"/>
    <x v="4"/>
    <x v="30"/>
    <x v="0"/>
    <x v="5"/>
    <x v="1639"/>
    <x v="25"/>
    <s v="POS"/>
    <n v="0.09"/>
    <n v="500"/>
    <n v="45"/>
    <n v="0"/>
    <m/>
    <m/>
    <m/>
    <m/>
    <n v="0"/>
    <n v="0"/>
    <n v="22828.862073026427"/>
  </r>
  <r>
    <x v="155"/>
    <x v="4"/>
    <x v="289"/>
    <x v="0"/>
    <x v="1"/>
    <x v="1640"/>
    <x v="25"/>
    <s v="NAKİT"/>
    <n v="0.15555555555555556"/>
    <n v="360"/>
    <n v="0"/>
    <n v="0"/>
    <m/>
    <m/>
    <m/>
    <m/>
    <n v="56"/>
    <n v="0"/>
    <n v="22884.862073026427"/>
  </r>
  <r>
    <x v="155"/>
    <x v="4"/>
    <x v="161"/>
    <x v="0"/>
    <x v="1"/>
    <x v="1640"/>
    <x v="25"/>
    <s v="NAKİT"/>
    <n v="0.13"/>
    <n v="400"/>
    <n v="0"/>
    <n v="0"/>
    <m/>
    <m/>
    <m/>
    <m/>
    <n v="52"/>
    <n v="0"/>
    <n v="22936.862073026427"/>
  </r>
  <r>
    <x v="155"/>
    <x v="4"/>
    <x v="57"/>
    <x v="0"/>
    <x v="1"/>
    <x v="1641"/>
    <x v="25"/>
    <s v="NAKİT"/>
    <n v="2"/>
    <n v="150"/>
    <n v="0"/>
    <n v="0"/>
    <m/>
    <m/>
    <m/>
    <m/>
    <n v="300"/>
    <n v="0"/>
    <n v="23236.862073026427"/>
  </r>
  <r>
    <x v="155"/>
    <x v="4"/>
    <x v="391"/>
    <x v="0"/>
    <x v="1"/>
    <x v="1641"/>
    <x v="25"/>
    <s v="NAKİT"/>
    <n v="0.35714285714285715"/>
    <n v="420"/>
    <n v="0"/>
    <n v="0"/>
    <m/>
    <m/>
    <m/>
    <m/>
    <n v="150"/>
    <n v="0"/>
    <n v="23386.862073026427"/>
  </r>
  <r>
    <x v="155"/>
    <x v="11"/>
    <x v="0"/>
    <x v="0"/>
    <x v="11"/>
    <x v="2"/>
    <x v="175"/>
    <s v="CARİ"/>
    <n v="1"/>
    <n v="950"/>
    <n v="0"/>
    <n v="950"/>
    <m/>
    <m/>
    <m/>
    <m/>
    <n v="950"/>
    <n v="0"/>
    <n v="24336.862073026427"/>
  </r>
  <r>
    <x v="156"/>
    <x v="3"/>
    <x v="444"/>
    <x v="0"/>
    <x v="2"/>
    <x v="1642"/>
    <x v="50"/>
    <s v="K.K."/>
    <n v="5"/>
    <n v="182.00399999999999"/>
    <n v="0"/>
    <n v="910.02"/>
    <m/>
    <m/>
    <m/>
    <m/>
    <n v="0"/>
    <n v="0"/>
    <n v="24336.862073026427"/>
  </r>
  <r>
    <x v="156"/>
    <x v="4"/>
    <x v="389"/>
    <x v="0"/>
    <x v="1"/>
    <x v="1643"/>
    <x v="25"/>
    <s v="NAKİT"/>
    <n v="0.5"/>
    <n v="500"/>
    <n v="0"/>
    <n v="0"/>
    <m/>
    <m/>
    <m/>
    <m/>
    <n v="250"/>
    <n v="0"/>
    <n v="24586.862073026427"/>
  </r>
  <r>
    <x v="156"/>
    <x v="4"/>
    <x v="391"/>
    <x v="0"/>
    <x v="1"/>
    <x v="1643"/>
    <x v="25"/>
    <s v="NAKİT"/>
    <n v="1"/>
    <n v="420"/>
    <n v="0"/>
    <n v="0"/>
    <m/>
    <m/>
    <m/>
    <m/>
    <n v="420"/>
    <n v="0"/>
    <n v="25006.862073026427"/>
  </r>
  <r>
    <x v="156"/>
    <x v="4"/>
    <x v="239"/>
    <x v="0"/>
    <x v="1"/>
    <x v="1643"/>
    <x v="25"/>
    <s v="NAKİT"/>
    <n v="0.25"/>
    <n v="400"/>
    <n v="0"/>
    <n v="0"/>
    <m/>
    <m/>
    <m/>
    <m/>
    <n v="100"/>
    <n v="0"/>
    <n v="25106.862073026427"/>
  </r>
  <r>
    <x v="156"/>
    <x v="4"/>
    <x v="102"/>
    <x v="0"/>
    <x v="1"/>
    <x v="1643"/>
    <x v="25"/>
    <s v="NAKİT"/>
    <n v="0.05"/>
    <n v="500"/>
    <n v="0"/>
    <n v="0"/>
    <m/>
    <m/>
    <m/>
    <m/>
    <n v="25"/>
    <n v="0"/>
    <n v="25131.862073026427"/>
  </r>
  <r>
    <x v="156"/>
    <x v="4"/>
    <x v="271"/>
    <x v="0"/>
    <x v="1"/>
    <x v="1643"/>
    <x v="25"/>
    <s v="NAKİT"/>
    <n v="1"/>
    <n v="125"/>
    <n v="0"/>
    <n v="0"/>
    <m/>
    <m/>
    <m/>
    <m/>
    <n v="125"/>
    <n v="0"/>
    <n v="25256.862073026427"/>
  </r>
  <r>
    <x v="156"/>
    <x v="4"/>
    <x v="49"/>
    <x v="0"/>
    <x v="1"/>
    <x v="1643"/>
    <x v="25"/>
    <s v="NAKİT"/>
    <n v="0.1"/>
    <n v="600"/>
    <n v="0"/>
    <n v="0"/>
    <m/>
    <m/>
    <m/>
    <m/>
    <n v="60"/>
    <n v="0"/>
    <n v="25316.862073026427"/>
  </r>
  <r>
    <x v="156"/>
    <x v="4"/>
    <x v="99"/>
    <x v="0"/>
    <x v="1"/>
    <x v="1643"/>
    <x v="25"/>
    <s v="NAKİT"/>
    <n v="0.05"/>
    <n v="900"/>
    <n v="0"/>
    <n v="0"/>
    <m/>
    <m/>
    <m/>
    <m/>
    <n v="45"/>
    <n v="0"/>
    <n v="25361.862073026427"/>
  </r>
  <r>
    <x v="156"/>
    <x v="4"/>
    <x v="50"/>
    <x v="0"/>
    <x v="1"/>
    <x v="1644"/>
    <x v="176"/>
    <s v="NAKİT"/>
    <n v="0.16"/>
    <n v="750"/>
    <n v="0"/>
    <n v="0"/>
    <m/>
    <m/>
    <m/>
    <m/>
    <n v="120"/>
    <n v="0"/>
    <n v="25481.862073026427"/>
  </r>
  <r>
    <x v="156"/>
    <x v="4"/>
    <x v="31"/>
    <x v="0"/>
    <x v="5"/>
    <x v="1645"/>
    <x v="25"/>
    <s v="POS"/>
    <n v="0.188"/>
    <n v="400"/>
    <n v="75.2"/>
    <n v="0"/>
    <m/>
    <m/>
    <m/>
    <m/>
    <n v="0"/>
    <n v="0"/>
    <n v="25481.862073026427"/>
  </r>
  <r>
    <x v="156"/>
    <x v="4"/>
    <x v="25"/>
    <x v="0"/>
    <x v="5"/>
    <x v="1645"/>
    <x v="25"/>
    <s v="POS"/>
    <n v="0.04"/>
    <n v="400"/>
    <n v="16"/>
    <n v="0"/>
    <m/>
    <m/>
    <m/>
    <m/>
    <n v="0"/>
    <n v="0"/>
    <n v="25481.862073026427"/>
  </r>
  <r>
    <x v="156"/>
    <x v="4"/>
    <x v="233"/>
    <x v="0"/>
    <x v="5"/>
    <x v="1645"/>
    <x v="25"/>
    <s v="POS"/>
    <n v="1"/>
    <n v="400"/>
    <n v="400"/>
    <n v="0"/>
    <m/>
    <m/>
    <m/>
    <m/>
    <n v="0"/>
    <n v="0"/>
    <n v="25481.862073026427"/>
  </r>
  <r>
    <x v="156"/>
    <x v="4"/>
    <x v="55"/>
    <x v="0"/>
    <x v="5"/>
    <x v="1645"/>
    <x v="25"/>
    <s v="POS"/>
    <n v="1"/>
    <n v="200"/>
    <n v="200"/>
    <n v="0"/>
    <m/>
    <m/>
    <m/>
    <m/>
    <n v="0"/>
    <n v="0"/>
    <n v="25481.862073026427"/>
  </r>
  <r>
    <x v="156"/>
    <x v="4"/>
    <x v="395"/>
    <x v="0"/>
    <x v="5"/>
    <x v="1645"/>
    <x v="25"/>
    <s v="POS"/>
    <n v="0.98199999999999998"/>
    <n v="65"/>
    <n v="63.83"/>
    <n v="0"/>
    <m/>
    <m/>
    <m/>
    <m/>
    <n v="0"/>
    <n v="0"/>
    <n v="25481.862073026427"/>
  </r>
  <r>
    <x v="156"/>
    <x v="4"/>
    <x v="24"/>
    <x v="0"/>
    <x v="5"/>
    <x v="1645"/>
    <x v="25"/>
    <s v="POS"/>
    <n v="8.2000000000000003E-2"/>
    <n v="650"/>
    <n v="53.300000000000004"/>
    <n v="0"/>
    <m/>
    <m/>
    <m/>
    <m/>
    <n v="0"/>
    <n v="0"/>
    <n v="25481.862073026427"/>
  </r>
  <r>
    <x v="156"/>
    <x v="4"/>
    <x v="88"/>
    <x v="0"/>
    <x v="5"/>
    <x v="1645"/>
    <x v="25"/>
    <s v="POS"/>
    <n v="0.05"/>
    <n v="1200"/>
    <n v="60"/>
    <n v="0"/>
    <m/>
    <m/>
    <m/>
    <m/>
    <n v="0"/>
    <n v="0"/>
    <n v="25481.862073026427"/>
  </r>
  <r>
    <x v="156"/>
    <x v="4"/>
    <x v="312"/>
    <x v="0"/>
    <x v="1"/>
    <x v="1646"/>
    <x v="25"/>
    <s v="NAKİT"/>
    <n v="1"/>
    <n v="300"/>
    <n v="0"/>
    <n v="0"/>
    <m/>
    <m/>
    <m/>
    <m/>
    <n v="300"/>
    <n v="0"/>
    <n v="25781.862073026427"/>
  </r>
  <r>
    <x v="156"/>
    <x v="4"/>
    <x v="287"/>
    <x v="0"/>
    <x v="1"/>
    <x v="1647"/>
    <x v="25"/>
    <s v="NAKİT"/>
    <n v="1.3384615384615384"/>
    <n v="65"/>
    <n v="0"/>
    <n v="0"/>
    <m/>
    <m/>
    <m/>
    <m/>
    <n v="87"/>
    <n v="0"/>
    <n v="25868.862073026427"/>
  </r>
  <r>
    <x v="156"/>
    <x v="4"/>
    <x v="233"/>
    <x v="0"/>
    <x v="1"/>
    <x v="1647"/>
    <x v="25"/>
    <s v="NAKİT"/>
    <n v="1"/>
    <n v="400"/>
    <n v="0"/>
    <n v="0"/>
    <m/>
    <m/>
    <m/>
    <m/>
    <n v="400"/>
    <n v="0"/>
    <n v="26268.862073026427"/>
  </r>
  <r>
    <x v="156"/>
    <x v="4"/>
    <x v="348"/>
    <x v="0"/>
    <x v="1"/>
    <x v="1647"/>
    <x v="25"/>
    <s v="NAKİT"/>
    <n v="0.5"/>
    <n v="50"/>
    <n v="0"/>
    <n v="0"/>
    <m/>
    <m/>
    <m/>
    <m/>
    <n v="25"/>
    <n v="0"/>
    <n v="26293.862073026427"/>
  </r>
  <r>
    <x v="156"/>
    <x v="4"/>
    <x v="18"/>
    <x v="0"/>
    <x v="1"/>
    <x v="1647"/>
    <x v="25"/>
    <s v="NAKİT"/>
    <n v="1"/>
    <n v="250"/>
    <n v="0"/>
    <n v="0"/>
    <m/>
    <m/>
    <m/>
    <m/>
    <n v="250"/>
    <n v="0"/>
    <n v="26543.862073026427"/>
  </r>
  <r>
    <x v="156"/>
    <x v="4"/>
    <x v="23"/>
    <x v="0"/>
    <x v="5"/>
    <x v="1648"/>
    <x v="25"/>
    <s v="POS"/>
    <n v="0.11666666666666667"/>
    <n v="300"/>
    <n v="35"/>
    <n v="0"/>
    <m/>
    <m/>
    <m/>
    <m/>
    <n v="0"/>
    <n v="0"/>
    <n v="26543.862073026427"/>
  </r>
  <r>
    <x v="156"/>
    <x v="4"/>
    <x v="391"/>
    <x v="0"/>
    <x v="1"/>
    <x v="1649"/>
    <x v="25"/>
    <s v="NAKİT"/>
    <n v="0.97619047619047616"/>
    <n v="420"/>
    <n v="0"/>
    <n v="0"/>
    <m/>
    <m/>
    <m/>
    <m/>
    <n v="410"/>
    <n v="0"/>
    <n v="26953.862073026427"/>
  </r>
  <r>
    <x v="156"/>
    <x v="4"/>
    <x v="389"/>
    <x v="0"/>
    <x v="5"/>
    <x v="1650"/>
    <x v="25"/>
    <s v="POS"/>
    <n v="0.26"/>
    <n v="500"/>
    <n v="130"/>
    <n v="0"/>
    <m/>
    <m/>
    <m/>
    <m/>
    <n v="0"/>
    <n v="0"/>
    <n v="26953.862073026427"/>
  </r>
  <r>
    <x v="156"/>
    <x v="4"/>
    <x v="28"/>
    <x v="0"/>
    <x v="5"/>
    <x v="1650"/>
    <x v="25"/>
    <s v="POS"/>
    <n v="0.11"/>
    <n v="500"/>
    <n v="55"/>
    <n v="0"/>
    <m/>
    <m/>
    <m/>
    <m/>
    <n v="0"/>
    <n v="0"/>
    <n v="26953.862073026427"/>
  </r>
  <r>
    <x v="156"/>
    <x v="4"/>
    <x v="83"/>
    <x v="0"/>
    <x v="5"/>
    <x v="1651"/>
    <x v="25"/>
    <s v="POS"/>
    <n v="0.05"/>
    <n v="2600"/>
    <n v="130"/>
    <n v="0"/>
    <m/>
    <m/>
    <m/>
    <m/>
    <n v="0"/>
    <n v="0"/>
    <n v="26953.862073026427"/>
  </r>
  <r>
    <x v="156"/>
    <x v="4"/>
    <x v="51"/>
    <x v="0"/>
    <x v="5"/>
    <x v="1651"/>
    <x v="25"/>
    <s v="POS"/>
    <n v="0.1"/>
    <n v="400"/>
    <n v="40"/>
    <n v="0"/>
    <m/>
    <m/>
    <m/>
    <m/>
    <n v="0"/>
    <n v="0"/>
    <n v="26953.862073026427"/>
  </r>
  <r>
    <x v="156"/>
    <x v="4"/>
    <x v="22"/>
    <x v="0"/>
    <x v="5"/>
    <x v="1651"/>
    <x v="25"/>
    <s v="POS"/>
    <n v="0.1"/>
    <n v="400"/>
    <n v="40"/>
    <n v="0"/>
    <m/>
    <m/>
    <m/>
    <m/>
    <n v="0"/>
    <n v="0"/>
    <n v="26953.862073026427"/>
  </r>
  <r>
    <x v="156"/>
    <x v="4"/>
    <x v="23"/>
    <x v="0"/>
    <x v="5"/>
    <x v="1651"/>
    <x v="25"/>
    <s v="POS"/>
    <n v="0.13333333333333333"/>
    <n v="300"/>
    <n v="40"/>
    <n v="0"/>
    <m/>
    <m/>
    <m/>
    <m/>
    <n v="0"/>
    <n v="0"/>
    <n v="26953.862073026427"/>
  </r>
  <r>
    <x v="156"/>
    <x v="4"/>
    <x v="112"/>
    <x v="0"/>
    <x v="1"/>
    <x v="1652"/>
    <x v="25"/>
    <s v="NAKİT"/>
    <n v="0.05"/>
    <n v="1800"/>
    <n v="0"/>
    <n v="0"/>
    <m/>
    <m/>
    <m/>
    <m/>
    <n v="90"/>
    <n v="0"/>
    <n v="27043.862073026427"/>
  </r>
  <r>
    <x v="156"/>
    <x v="4"/>
    <x v="362"/>
    <x v="0"/>
    <x v="1"/>
    <x v="1652"/>
    <x v="25"/>
    <s v="NAKİT"/>
    <n v="0.05"/>
    <n v="1400"/>
    <n v="0"/>
    <n v="0"/>
    <m/>
    <m/>
    <m/>
    <m/>
    <n v="70"/>
    <n v="0"/>
    <n v="27113.862073026427"/>
  </r>
  <r>
    <x v="156"/>
    <x v="4"/>
    <x v="54"/>
    <x v="0"/>
    <x v="1"/>
    <x v="1652"/>
    <x v="25"/>
    <s v="NAKİT"/>
    <n v="0.1"/>
    <n v="400"/>
    <n v="0"/>
    <n v="0"/>
    <m/>
    <m/>
    <m/>
    <m/>
    <n v="40"/>
    <n v="0"/>
    <n v="27153.862073026427"/>
  </r>
  <r>
    <x v="156"/>
    <x v="4"/>
    <x v="58"/>
    <x v="0"/>
    <x v="5"/>
    <x v="1652"/>
    <x v="25"/>
    <s v="POS"/>
    <n v="0.5"/>
    <n v="230"/>
    <n v="115"/>
    <n v="0"/>
    <m/>
    <m/>
    <m/>
    <m/>
    <n v="0"/>
    <n v="0"/>
    <n v="27153.862073026427"/>
  </r>
  <r>
    <x v="156"/>
    <x v="4"/>
    <x v="19"/>
    <x v="0"/>
    <x v="5"/>
    <x v="1652"/>
    <x v="25"/>
    <s v="POS"/>
    <n v="0.5"/>
    <n v="230"/>
    <n v="115"/>
    <n v="0"/>
    <m/>
    <m/>
    <m/>
    <m/>
    <n v="0"/>
    <n v="0"/>
    <n v="27153.862073026427"/>
  </r>
  <r>
    <x v="156"/>
    <x v="4"/>
    <x v="98"/>
    <x v="0"/>
    <x v="5"/>
    <x v="1653"/>
    <x v="25"/>
    <s v="POS"/>
    <n v="0.2"/>
    <n v="800"/>
    <n v="160"/>
    <n v="0"/>
    <m/>
    <m/>
    <m/>
    <m/>
    <n v="0"/>
    <n v="0"/>
    <n v="27153.862073026427"/>
  </r>
  <r>
    <x v="156"/>
    <x v="4"/>
    <x v="30"/>
    <x v="0"/>
    <x v="5"/>
    <x v="1653"/>
    <x v="25"/>
    <s v="POS"/>
    <n v="0.26"/>
    <n v="500"/>
    <n v="130"/>
    <n v="0"/>
    <m/>
    <m/>
    <m/>
    <m/>
    <n v="0"/>
    <n v="0"/>
    <n v="27153.862073026427"/>
  </r>
  <r>
    <x v="156"/>
    <x v="4"/>
    <x v="18"/>
    <x v="0"/>
    <x v="5"/>
    <x v="1653"/>
    <x v="25"/>
    <s v="POS"/>
    <n v="0.5"/>
    <n v="250"/>
    <n v="125"/>
    <n v="0"/>
    <m/>
    <m/>
    <m/>
    <m/>
    <n v="0"/>
    <n v="0"/>
    <n v="27153.862073026427"/>
  </r>
  <r>
    <x v="156"/>
    <x v="4"/>
    <x v="43"/>
    <x v="0"/>
    <x v="5"/>
    <x v="1653"/>
    <x v="25"/>
    <s v="POS"/>
    <n v="1"/>
    <n v="65"/>
    <n v="65"/>
    <n v="0"/>
    <m/>
    <m/>
    <m/>
    <m/>
    <n v="0"/>
    <n v="0"/>
    <n v="27153.862073026427"/>
  </r>
  <r>
    <x v="156"/>
    <x v="4"/>
    <x v="379"/>
    <x v="0"/>
    <x v="5"/>
    <x v="1653"/>
    <x v="25"/>
    <s v="POS"/>
    <n v="1"/>
    <n v="150"/>
    <n v="150"/>
    <n v="0"/>
    <m/>
    <m/>
    <m/>
    <m/>
    <n v="0"/>
    <n v="0"/>
    <n v="27153.862073026427"/>
  </r>
  <r>
    <x v="156"/>
    <x v="4"/>
    <x v="70"/>
    <x v="0"/>
    <x v="5"/>
    <x v="1653"/>
    <x v="25"/>
    <s v="POS"/>
    <n v="0.26200000000000001"/>
    <n v="230"/>
    <n v="60.260000000000005"/>
    <n v="0"/>
    <m/>
    <m/>
    <m/>
    <m/>
    <n v="0"/>
    <n v="0"/>
    <n v="27153.862073026427"/>
  </r>
  <r>
    <x v="156"/>
    <x v="4"/>
    <x v="71"/>
    <x v="0"/>
    <x v="5"/>
    <x v="1653"/>
    <x v="25"/>
    <s v="POS"/>
    <n v="0.26200000000000001"/>
    <n v="230"/>
    <n v="60.260000000000005"/>
    <n v="0"/>
    <m/>
    <m/>
    <m/>
    <m/>
    <n v="0"/>
    <n v="0"/>
    <n v="27153.862073026427"/>
  </r>
  <r>
    <x v="156"/>
    <x v="4"/>
    <x v="128"/>
    <x v="0"/>
    <x v="5"/>
    <x v="1653"/>
    <x v="25"/>
    <s v="POS"/>
    <n v="0.25"/>
    <n v="200"/>
    <n v="50"/>
    <n v="0"/>
    <m/>
    <m/>
    <m/>
    <m/>
    <n v="0"/>
    <n v="0"/>
    <n v="27153.862073026427"/>
  </r>
  <r>
    <x v="156"/>
    <x v="4"/>
    <x v="179"/>
    <x v="0"/>
    <x v="5"/>
    <x v="1653"/>
    <x v="25"/>
    <s v="POS"/>
    <n v="0.23599999999999999"/>
    <n v="1060"/>
    <n v="250.16"/>
    <n v="0"/>
    <m/>
    <m/>
    <m/>
    <m/>
    <n v="0"/>
    <n v="0"/>
    <n v="27153.862073026427"/>
  </r>
  <r>
    <x v="156"/>
    <x v="4"/>
    <x v="393"/>
    <x v="0"/>
    <x v="5"/>
    <x v="1654"/>
    <x v="25"/>
    <s v="POS"/>
    <n v="1"/>
    <n v="370"/>
    <n v="370"/>
    <n v="0"/>
    <m/>
    <m/>
    <m/>
    <m/>
    <n v="0"/>
    <n v="0"/>
    <n v="27153.862073026427"/>
  </r>
  <r>
    <x v="156"/>
    <x v="4"/>
    <x v="29"/>
    <x v="0"/>
    <x v="5"/>
    <x v="1654"/>
    <x v="25"/>
    <s v="POS"/>
    <n v="2.6666666666666668E-2"/>
    <n v="750"/>
    <n v="20"/>
    <n v="0"/>
    <m/>
    <m/>
    <m/>
    <m/>
    <n v="0"/>
    <n v="0"/>
    <n v="27153.862073026427"/>
  </r>
  <r>
    <x v="156"/>
    <x v="4"/>
    <x v="106"/>
    <x v="0"/>
    <x v="1"/>
    <x v="1655"/>
    <x v="25"/>
    <s v="NAKİT"/>
    <n v="1"/>
    <n v="200"/>
    <n v="0"/>
    <n v="0"/>
    <m/>
    <m/>
    <m/>
    <m/>
    <n v="200"/>
    <n v="0"/>
    <n v="27353.862073026427"/>
  </r>
  <r>
    <x v="156"/>
    <x v="4"/>
    <x v="24"/>
    <x v="0"/>
    <x v="1"/>
    <x v="1656"/>
    <x v="25"/>
    <s v="NAKİT"/>
    <n v="0.06"/>
    <n v="650"/>
    <n v="0"/>
    <n v="0"/>
    <m/>
    <m/>
    <m/>
    <m/>
    <n v="39"/>
    <n v="0"/>
    <n v="27392.862073026427"/>
  </r>
  <r>
    <x v="156"/>
    <x v="4"/>
    <x v="161"/>
    <x v="0"/>
    <x v="1"/>
    <x v="1656"/>
    <x v="25"/>
    <s v="NAKİT"/>
    <n v="0.152"/>
    <n v="400"/>
    <n v="0"/>
    <n v="0"/>
    <m/>
    <m/>
    <m/>
    <m/>
    <n v="60.8"/>
    <n v="0"/>
    <n v="27453.662073026426"/>
  </r>
  <r>
    <x v="156"/>
    <x v="4"/>
    <x v="27"/>
    <x v="0"/>
    <x v="1"/>
    <x v="1656"/>
    <x v="25"/>
    <s v="NAKİT"/>
    <n v="7.400000000000001E-2"/>
    <n v="400"/>
    <n v="0"/>
    <n v="0"/>
    <m/>
    <m/>
    <m/>
    <m/>
    <n v="29.600000000000005"/>
    <n v="0"/>
    <n v="27483.262073026424"/>
  </r>
  <r>
    <x v="156"/>
    <x v="4"/>
    <x v="74"/>
    <x v="0"/>
    <x v="1"/>
    <x v="1656"/>
    <x v="25"/>
    <s v="NAKİT"/>
    <n v="0.25"/>
    <n v="360"/>
    <n v="0"/>
    <n v="0"/>
    <m/>
    <m/>
    <m/>
    <m/>
    <n v="90"/>
    <n v="0"/>
    <n v="27573.262073026424"/>
  </r>
  <r>
    <x v="156"/>
    <x v="4"/>
    <x v="23"/>
    <x v="0"/>
    <x v="1"/>
    <x v="1657"/>
    <x v="25"/>
    <s v="NAKİT"/>
    <n v="0.33333333333333331"/>
    <n v="300"/>
    <n v="0"/>
    <n v="0"/>
    <m/>
    <m/>
    <m/>
    <m/>
    <n v="100"/>
    <n v="0"/>
    <n v="27673.262073026424"/>
  </r>
  <r>
    <x v="156"/>
    <x v="4"/>
    <x v="24"/>
    <x v="0"/>
    <x v="1"/>
    <x v="1657"/>
    <x v="25"/>
    <s v="NAKİT"/>
    <n v="0.15384615384615385"/>
    <n v="650"/>
    <n v="0"/>
    <n v="0"/>
    <m/>
    <m/>
    <m/>
    <m/>
    <n v="100"/>
    <n v="0"/>
    <n v="27773.262073026424"/>
  </r>
  <r>
    <x v="156"/>
    <x v="4"/>
    <x v="30"/>
    <x v="0"/>
    <x v="1"/>
    <x v="1658"/>
    <x v="25"/>
    <s v="NAKİT"/>
    <n v="0.23200000000000001"/>
    <n v="500"/>
    <n v="0"/>
    <n v="0"/>
    <m/>
    <m/>
    <m/>
    <m/>
    <n v="116"/>
    <n v="0"/>
    <n v="27889.262073026424"/>
  </r>
  <r>
    <x v="156"/>
    <x v="4"/>
    <x v="356"/>
    <x v="0"/>
    <x v="1"/>
    <x v="1658"/>
    <x v="25"/>
    <s v="NAKİT"/>
    <n v="2"/>
    <n v="20"/>
    <n v="0"/>
    <n v="0"/>
    <m/>
    <m/>
    <m/>
    <m/>
    <n v="40"/>
    <n v="0"/>
    <n v="27929.262073026424"/>
  </r>
  <r>
    <x v="156"/>
    <x v="4"/>
    <x v="384"/>
    <x v="0"/>
    <x v="1"/>
    <x v="1659"/>
    <x v="25"/>
    <s v="NAKİT"/>
    <n v="1"/>
    <n v="295"/>
    <n v="0"/>
    <n v="0"/>
    <m/>
    <m/>
    <m/>
    <m/>
    <n v="295"/>
    <n v="0"/>
    <n v="28224.262073026424"/>
  </r>
  <r>
    <x v="156"/>
    <x v="4"/>
    <x v="61"/>
    <x v="0"/>
    <x v="5"/>
    <x v="1660"/>
    <x v="25"/>
    <s v="POS"/>
    <n v="8.9610389610389612E-2"/>
    <n v="770"/>
    <n v="69"/>
    <n v="0"/>
    <m/>
    <m/>
    <m/>
    <m/>
    <n v="0"/>
    <n v="0"/>
    <n v="28224.262073026424"/>
  </r>
  <r>
    <x v="156"/>
    <x v="4"/>
    <x v="17"/>
    <x v="0"/>
    <x v="5"/>
    <x v="1660"/>
    <x v="25"/>
    <s v="POS"/>
    <n v="1"/>
    <n v="65"/>
    <n v="65"/>
    <n v="0"/>
    <m/>
    <m/>
    <m/>
    <m/>
    <n v="0"/>
    <n v="0"/>
    <n v="28224.262073026424"/>
  </r>
  <r>
    <x v="156"/>
    <x v="11"/>
    <x v="0"/>
    <x v="0"/>
    <x v="13"/>
    <x v="2"/>
    <x v="177"/>
    <s v="NAKİT"/>
    <n v="1"/>
    <n v="2800"/>
    <n v="0"/>
    <n v="2800"/>
    <m/>
    <m/>
    <m/>
    <m/>
    <n v="2800"/>
    <n v="0"/>
    <n v="31024.262073026424"/>
  </r>
  <r>
    <x v="156"/>
    <x v="4"/>
    <x v="29"/>
    <x v="0"/>
    <x v="13"/>
    <x v="2"/>
    <x v="171"/>
    <s v="CARİ"/>
    <n v="2"/>
    <n v="630"/>
    <n v="1260"/>
    <n v="0"/>
    <m/>
    <m/>
    <m/>
    <m/>
    <n v="0"/>
    <n v="0"/>
    <n v="31024.262073026424"/>
  </r>
  <r>
    <x v="156"/>
    <x v="10"/>
    <x v="0"/>
    <x v="0"/>
    <x v="5"/>
    <x v="2"/>
    <x v="63"/>
    <s v="POS"/>
    <n v="1"/>
    <n v="300"/>
    <n v="0"/>
    <n v="300"/>
    <m/>
    <m/>
    <m/>
    <m/>
    <n v="300"/>
    <n v="0"/>
    <n v="31324.262073026424"/>
  </r>
  <r>
    <x v="156"/>
    <x v="10"/>
    <x v="0"/>
    <x v="0"/>
    <x v="5"/>
    <x v="2"/>
    <x v="63"/>
    <s v="POS"/>
    <n v="1"/>
    <n v="3435"/>
    <n v="0"/>
    <n v="3435"/>
    <m/>
    <m/>
    <m/>
    <m/>
    <n v="3435"/>
    <n v="0"/>
    <n v="34759.262073026424"/>
  </r>
  <r>
    <x v="157"/>
    <x v="4"/>
    <x v="32"/>
    <x v="0"/>
    <x v="1"/>
    <x v="1661"/>
    <x v="25"/>
    <s v="NAKİT"/>
    <n v="0.124"/>
    <n v="400"/>
    <n v="0"/>
    <n v="0"/>
    <m/>
    <m/>
    <m/>
    <m/>
    <n v="49.6"/>
    <n v="0"/>
    <n v="34808.862073026423"/>
  </r>
  <r>
    <x v="157"/>
    <x v="4"/>
    <x v="23"/>
    <x v="0"/>
    <x v="1"/>
    <x v="1661"/>
    <x v="25"/>
    <s v="NAKİT"/>
    <n v="0.25"/>
    <n v="300"/>
    <n v="0"/>
    <n v="0"/>
    <m/>
    <m/>
    <m/>
    <m/>
    <n v="75"/>
    <n v="0"/>
    <n v="34883.862073026423"/>
  </r>
  <r>
    <x v="157"/>
    <x v="4"/>
    <x v="33"/>
    <x v="0"/>
    <x v="1"/>
    <x v="1661"/>
    <x v="25"/>
    <s v="NAKİT"/>
    <n v="0.16400000000000001"/>
    <n v="400"/>
    <n v="0"/>
    <n v="0"/>
    <m/>
    <m/>
    <m/>
    <m/>
    <n v="65.600000000000009"/>
    <n v="0"/>
    <n v="34949.462073026421"/>
  </r>
  <r>
    <x v="157"/>
    <x v="4"/>
    <x v="24"/>
    <x v="0"/>
    <x v="1"/>
    <x v="1661"/>
    <x v="25"/>
    <s v="NAKİT"/>
    <n v="7.5999999999999998E-2"/>
    <n v="650"/>
    <n v="0"/>
    <n v="0"/>
    <m/>
    <m/>
    <m/>
    <m/>
    <n v="49.4"/>
    <n v="0"/>
    <n v="34998.862073026423"/>
  </r>
  <r>
    <x v="157"/>
    <x v="4"/>
    <x v="55"/>
    <x v="0"/>
    <x v="1"/>
    <x v="1661"/>
    <x v="25"/>
    <s v="NAKİT"/>
    <n v="1"/>
    <n v="200"/>
    <n v="0"/>
    <n v="0"/>
    <m/>
    <m/>
    <m/>
    <m/>
    <n v="200"/>
    <n v="0"/>
    <n v="35198.862073026423"/>
  </r>
  <r>
    <x v="157"/>
    <x v="4"/>
    <x v="344"/>
    <x v="0"/>
    <x v="1"/>
    <x v="1661"/>
    <x v="25"/>
    <s v="NAKİT"/>
    <n v="0.13300000000000001"/>
    <n v="450"/>
    <n v="0"/>
    <n v="0"/>
    <m/>
    <m/>
    <m/>
    <m/>
    <n v="59.85"/>
    <n v="0"/>
    <n v="35258.712073026421"/>
  </r>
  <r>
    <x v="157"/>
    <x v="4"/>
    <x v="116"/>
    <x v="0"/>
    <x v="1"/>
    <x v="1661"/>
    <x v="25"/>
    <s v="NAKİT"/>
    <n v="0.28000000000000003"/>
    <n v="430"/>
    <n v="0"/>
    <n v="0"/>
    <m/>
    <m/>
    <m/>
    <m/>
    <n v="120.4"/>
    <n v="0"/>
    <n v="35379.112073026423"/>
  </r>
  <r>
    <x v="157"/>
    <x v="4"/>
    <x v="58"/>
    <x v="0"/>
    <x v="5"/>
    <x v="1662"/>
    <x v="25"/>
    <s v="POS"/>
    <n v="1"/>
    <n v="230"/>
    <n v="230"/>
    <n v="0"/>
    <m/>
    <m/>
    <m/>
    <m/>
    <n v="0"/>
    <n v="0"/>
    <n v="35379.112073026423"/>
  </r>
  <r>
    <x v="157"/>
    <x v="4"/>
    <x v="57"/>
    <x v="0"/>
    <x v="5"/>
    <x v="1663"/>
    <x v="25"/>
    <s v="POS"/>
    <n v="1"/>
    <n v="150"/>
    <n v="150"/>
    <n v="0"/>
    <m/>
    <m/>
    <m/>
    <m/>
    <n v="0"/>
    <n v="0"/>
    <n v="35379.112073026423"/>
  </r>
  <r>
    <x v="157"/>
    <x v="4"/>
    <x v="88"/>
    <x v="0"/>
    <x v="5"/>
    <x v="1664"/>
    <x v="25"/>
    <s v="POS"/>
    <n v="0.05"/>
    <n v="1200"/>
    <n v="60"/>
    <n v="0"/>
    <m/>
    <m/>
    <m/>
    <m/>
    <n v="0"/>
    <n v="0"/>
    <n v="35379.112073026423"/>
  </r>
  <r>
    <x v="157"/>
    <x v="4"/>
    <x v="371"/>
    <x v="0"/>
    <x v="1"/>
    <x v="1665"/>
    <x v="25"/>
    <s v="NAKİT"/>
    <n v="0.03"/>
    <n v="1100"/>
    <n v="0"/>
    <n v="0"/>
    <m/>
    <m/>
    <m/>
    <m/>
    <n v="33"/>
    <n v="0"/>
    <n v="35412.112073026423"/>
  </r>
  <r>
    <x v="157"/>
    <x v="4"/>
    <x v="150"/>
    <x v="0"/>
    <x v="5"/>
    <x v="1666"/>
    <x v="25"/>
    <s v="POS"/>
    <n v="1"/>
    <n v="250"/>
    <n v="250"/>
    <n v="0"/>
    <m/>
    <m/>
    <m/>
    <m/>
    <n v="0"/>
    <n v="0"/>
    <n v="35412.112073026423"/>
  </r>
  <r>
    <x v="157"/>
    <x v="4"/>
    <x v="312"/>
    <x v="0"/>
    <x v="5"/>
    <x v="1666"/>
    <x v="25"/>
    <s v="POS"/>
    <n v="0.5"/>
    <n v="300"/>
    <n v="150"/>
    <n v="0"/>
    <m/>
    <m/>
    <m/>
    <m/>
    <n v="0"/>
    <n v="0"/>
    <n v="35412.112073026423"/>
  </r>
  <r>
    <x v="157"/>
    <x v="4"/>
    <x v="248"/>
    <x v="0"/>
    <x v="5"/>
    <x v="1666"/>
    <x v="25"/>
    <s v="POS"/>
    <n v="0.12318840579710146"/>
    <n v="690"/>
    <n v="85"/>
    <n v="0"/>
    <m/>
    <m/>
    <m/>
    <m/>
    <n v="0"/>
    <n v="0"/>
    <n v="35412.112073026423"/>
  </r>
  <r>
    <x v="157"/>
    <x v="4"/>
    <x v="161"/>
    <x v="0"/>
    <x v="5"/>
    <x v="1666"/>
    <x v="25"/>
    <s v="POS"/>
    <n v="8.7499999999999994E-2"/>
    <n v="400"/>
    <n v="35"/>
    <n v="0"/>
    <m/>
    <m/>
    <m/>
    <m/>
    <n v="0"/>
    <n v="0"/>
    <n v="35412.112073026423"/>
  </r>
  <r>
    <x v="157"/>
    <x v="4"/>
    <x v="67"/>
    <x v="0"/>
    <x v="1"/>
    <x v="1667"/>
    <x v="25"/>
    <s v="NAKİT"/>
    <n v="0.1"/>
    <n v="900"/>
    <n v="0"/>
    <n v="0"/>
    <m/>
    <m/>
    <m/>
    <m/>
    <n v="90"/>
    <n v="0"/>
    <n v="35502.112073026423"/>
  </r>
  <r>
    <x v="157"/>
    <x v="4"/>
    <x v="187"/>
    <x v="0"/>
    <x v="1"/>
    <x v="1668"/>
    <x v="25"/>
    <s v="NAKİT"/>
    <n v="1"/>
    <n v="260"/>
    <n v="0"/>
    <n v="0"/>
    <m/>
    <m/>
    <m/>
    <m/>
    <n v="260"/>
    <n v="0"/>
    <n v="35762.112073026423"/>
  </r>
  <r>
    <x v="157"/>
    <x v="4"/>
    <x v="66"/>
    <x v="0"/>
    <x v="1"/>
    <x v="1669"/>
    <x v="25"/>
    <s v="NAKİT"/>
    <n v="0.12"/>
    <n v="417"/>
    <n v="0"/>
    <n v="0"/>
    <m/>
    <m/>
    <m/>
    <m/>
    <n v="50.04"/>
    <n v="0"/>
    <n v="35812.152073026424"/>
  </r>
  <r>
    <x v="157"/>
    <x v="4"/>
    <x v="41"/>
    <x v="0"/>
    <x v="5"/>
    <x v="1670"/>
    <x v="25"/>
    <s v="POS"/>
    <n v="1"/>
    <n v="100"/>
    <n v="100"/>
    <n v="0"/>
    <m/>
    <m/>
    <m/>
    <m/>
    <n v="0"/>
    <n v="0"/>
    <n v="35812.152073026424"/>
  </r>
  <r>
    <x v="157"/>
    <x v="4"/>
    <x v="256"/>
    <x v="0"/>
    <x v="1"/>
    <x v="1671"/>
    <x v="25"/>
    <s v="NAKİT"/>
    <n v="1"/>
    <n v="110"/>
    <n v="0"/>
    <n v="0"/>
    <m/>
    <m/>
    <m/>
    <m/>
    <n v="110"/>
    <n v="0"/>
    <n v="35922.152073026424"/>
  </r>
  <r>
    <x v="157"/>
    <x v="4"/>
    <x v="362"/>
    <x v="0"/>
    <x v="1"/>
    <x v="1671"/>
    <x v="25"/>
    <s v="NAKİT"/>
    <n v="0.05"/>
    <n v="800"/>
    <n v="0"/>
    <n v="0"/>
    <m/>
    <m/>
    <m/>
    <m/>
    <n v="40"/>
    <n v="0"/>
    <n v="35962.152073026424"/>
  </r>
  <r>
    <x v="157"/>
    <x v="4"/>
    <x v="280"/>
    <x v="0"/>
    <x v="1"/>
    <x v="1672"/>
    <x v="25"/>
    <s v="NAKİT"/>
    <n v="1"/>
    <n v="60"/>
    <n v="0"/>
    <n v="0"/>
    <m/>
    <m/>
    <m/>
    <m/>
    <n v="60"/>
    <n v="0"/>
    <n v="36022.152073026424"/>
  </r>
  <r>
    <x v="157"/>
    <x v="4"/>
    <x v="57"/>
    <x v="0"/>
    <x v="1"/>
    <x v="1672"/>
    <x v="25"/>
    <s v="NAKİT"/>
    <n v="0.5"/>
    <n v="150"/>
    <n v="0"/>
    <n v="0"/>
    <m/>
    <m/>
    <m/>
    <m/>
    <n v="75"/>
    <n v="0"/>
    <n v="36097.152073026424"/>
  </r>
  <r>
    <x v="157"/>
    <x v="4"/>
    <x v="30"/>
    <x v="0"/>
    <x v="1"/>
    <x v="1672"/>
    <x v="25"/>
    <s v="NAKİT"/>
    <n v="0.188"/>
    <n v="500"/>
    <n v="0"/>
    <n v="0"/>
    <m/>
    <m/>
    <m/>
    <m/>
    <n v="94"/>
    <n v="0"/>
    <n v="36191.152073026424"/>
  </r>
  <r>
    <x v="157"/>
    <x v="4"/>
    <x v="38"/>
    <x v="0"/>
    <x v="1"/>
    <x v="1673"/>
    <x v="25"/>
    <s v="NAKİT"/>
    <n v="0.2"/>
    <n v="650"/>
    <n v="0"/>
    <n v="0"/>
    <m/>
    <m/>
    <m/>
    <m/>
    <n v="130"/>
    <n v="0"/>
    <n v="36321.152073026424"/>
  </r>
  <r>
    <x v="157"/>
    <x v="4"/>
    <x v="74"/>
    <x v="0"/>
    <x v="5"/>
    <x v="1674"/>
    <x v="25"/>
    <s v="POS"/>
    <n v="0.25"/>
    <n v="360"/>
    <n v="90"/>
    <n v="0"/>
    <m/>
    <m/>
    <m/>
    <m/>
    <n v="0"/>
    <n v="0"/>
    <n v="36321.152073026424"/>
  </r>
  <r>
    <x v="157"/>
    <x v="4"/>
    <x v="106"/>
    <x v="0"/>
    <x v="5"/>
    <x v="1674"/>
    <x v="25"/>
    <s v="POS"/>
    <n v="1"/>
    <n v="200"/>
    <n v="200"/>
    <n v="0"/>
    <m/>
    <m/>
    <m/>
    <m/>
    <n v="0"/>
    <n v="0"/>
    <n v="36321.152073026424"/>
  </r>
  <r>
    <x v="157"/>
    <x v="4"/>
    <x v="404"/>
    <x v="0"/>
    <x v="1"/>
    <x v="1675"/>
    <x v="25"/>
    <s v="NAKİT"/>
    <n v="1"/>
    <n v="30"/>
    <n v="0"/>
    <n v="0"/>
    <m/>
    <m/>
    <m/>
    <m/>
    <n v="30"/>
    <n v="0"/>
    <n v="36351.152073026424"/>
  </r>
  <r>
    <x v="157"/>
    <x v="1"/>
    <x v="0"/>
    <x v="15"/>
    <x v="1"/>
    <x v="2"/>
    <x v="178"/>
    <s v="NAKİT"/>
    <n v="1"/>
    <n v="2545.94"/>
    <n v="0"/>
    <n v="0"/>
    <m/>
    <m/>
    <m/>
    <m/>
    <n v="0"/>
    <n v="2545.94"/>
    <n v="33805.212073026421"/>
  </r>
  <r>
    <x v="157"/>
    <x v="10"/>
    <x v="0"/>
    <x v="0"/>
    <x v="5"/>
    <x v="2"/>
    <x v="63"/>
    <s v="POS"/>
    <n v="1"/>
    <n v="8759"/>
    <n v="0"/>
    <n v="8759"/>
    <m/>
    <m/>
    <m/>
    <m/>
    <n v="8759"/>
    <n v="0"/>
    <n v="42564.212073026421"/>
  </r>
  <r>
    <x v="157"/>
    <x v="10"/>
    <x v="0"/>
    <x v="0"/>
    <x v="5"/>
    <x v="2"/>
    <x v="63"/>
    <s v="POS"/>
    <n v="1"/>
    <n v="2300"/>
    <n v="0"/>
    <n v="2300"/>
    <m/>
    <m/>
    <m/>
    <m/>
    <n v="2300"/>
    <n v="0"/>
    <n v="44864.212073026421"/>
  </r>
  <r>
    <x v="158"/>
    <x v="4"/>
    <x v="18"/>
    <x v="0"/>
    <x v="1"/>
    <x v="1676"/>
    <x v="123"/>
    <s v="NAKİT"/>
    <n v="13.85"/>
    <n v="150"/>
    <n v="0"/>
    <n v="0"/>
    <m/>
    <m/>
    <m/>
    <m/>
    <n v="2077.5"/>
    <n v="0"/>
    <n v="46941.712073026421"/>
  </r>
  <r>
    <x v="158"/>
    <x v="4"/>
    <x v="21"/>
    <x v="0"/>
    <x v="1"/>
    <x v="1676"/>
    <x v="123"/>
    <s v="NAKİT"/>
    <n v="2.56"/>
    <n v="175"/>
    <n v="0"/>
    <n v="0"/>
    <m/>
    <m/>
    <m/>
    <m/>
    <n v="448"/>
    <n v="0"/>
    <n v="47389.712073026421"/>
  </r>
  <r>
    <x v="158"/>
    <x v="4"/>
    <x v="312"/>
    <x v="0"/>
    <x v="1"/>
    <x v="1676"/>
    <x v="123"/>
    <s v="NAKİT"/>
    <n v="1.4899999999999984"/>
    <n v="200"/>
    <n v="0"/>
    <n v="0"/>
    <m/>
    <m/>
    <m/>
    <m/>
    <n v="297.99999999999966"/>
    <n v="0"/>
    <n v="47687.712073026421"/>
  </r>
  <r>
    <x v="158"/>
    <x v="4"/>
    <x v="288"/>
    <x v="0"/>
    <x v="1"/>
    <x v="1676"/>
    <x v="123"/>
    <s v="NAKİT"/>
    <n v="0.14000000000000001"/>
    <n v="270"/>
    <n v="0"/>
    <n v="0"/>
    <m/>
    <m/>
    <m/>
    <m/>
    <n v="37.800000000000004"/>
    <n v="0"/>
    <n v="47725.512073026424"/>
  </r>
  <r>
    <x v="158"/>
    <x v="4"/>
    <x v="382"/>
    <x v="0"/>
    <x v="1"/>
    <x v="1676"/>
    <x v="179"/>
    <s v="NAKİT"/>
    <n v="1"/>
    <n v="35"/>
    <n v="0"/>
    <n v="0"/>
    <m/>
    <m/>
    <m/>
    <m/>
    <n v="35"/>
    <n v="0"/>
    <n v="47760.512073026424"/>
  </r>
  <r>
    <x v="158"/>
    <x v="4"/>
    <x v="108"/>
    <x v="0"/>
    <x v="1"/>
    <x v="1676"/>
    <x v="179"/>
    <s v="NAKİT"/>
    <n v="1"/>
    <n v="95"/>
    <n v="0"/>
    <n v="0"/>
    <m/>
    <m/>
    <m/>
    <m/>
    <n v="95"/>
    <n v="0"/>
    <n v="47855.512073026424"/>
  </r>
  <r>
    <x v="158"/>
    <x v="4"/>
    <x v="5"/>
    <x v="0"/>
    <x v="1"/>
    <x v="1676"/>
    <x v="179"/>
    <s v="NAKİT"/>
    <n v="5"/>
    <n v="199"/>
    <n v="0"/>
    <n v="0"/>
    <m/>
    <m/>
    <m/>
    <m/>
    <n v="995"/>
    <n v="0"/>
    <n v="48850.512073026424"/>
  </r>
  <r>
    <x v="158"/>
    <x v="4"/>
    <x v="404"/>
    <x v="0"/>
    <x v="1"/>
    <x v="1676"/>
    <x v="179"/>
    <s v="NAKİT"/>
    <n v="1"/>
    <n v="20"/>
    <n v="0"/>
    <n v="0"/>
    <m/>
    <m/>
    <m/>
    <m/>
    <n v="20"/>
    <n v="0"/>
    <n v="48870.512073026424"/>
  </r>
  <r>
    <x v="158"/>
    <x v="4"/>
    <x v="217"/>
    <x v="0"/>
    <x v="1"/>
    <x v="1676"/>
    <x v="123"/>
    <s v="NAKİT"/>
    <n v="1"/>
    <n v="250"/>
    <n v="0"/>
    <n v="0"/>
    <m/>
    <m/>
    <m/>
    <m/>
    <n v="250"/>
    <n v="0"/>
    <n v="49120.512073026424"/>
  </r>
  <r>
    <x v="158"/>
    <x v="4"/>
    <x v="134"/>
    <x v="0"/>
    <x v="1"/>
    <x v="1676"/>
    <x v="179"/>
    <s v="NAKİT"/>
    <n v="0.47"/>
    <n v="470"/>
    <n v="0"/>
    <n v="0"/>
    <m/>
    <m/>
    <m/>
    <m/>
    <n v="220.89999999999998"/>
    <n v="0"/>
    <n v="49341.412073026426"/>
  </r>
  <r>
    <x v="158"/>
    <x v="4"/>
    <x v="445"/>
    <x v="0"/>
    <x v="1"/>
    <x v="1676"/>
    <x v="179"/>
    <s v="NAKİT"/>
    <n v="1"/>
    <n v="50"/>
    <n v="0"/>
    <n v="0"/>
    <m/>
    <m/>
    <m/>
    <m/>
    <n v="50"/>
    <n v="0"/>
    <n v="49391.412073026426"/>
  </r>
  <r>
    <x v="158"/>
    <x v="4"/>
    <x v="252"/>
    <x v="0"/>
    <x v="1"/>
    <x v="1676"/>
    <x v="179"/>
    <s v="NAKİT"/>
    <n v="1"/>
    <n v="91"/>
    <n v="0"/>
    <n v="0"/>
    <m/>
    <m/>
    <m/>
    <m/>
    <n v="91"/>
    <n v="0"/>
    <n v="49482.412073026426"/>
  </r>
  <r>
    <x v="158"/>
    <x v="4"/>
    <x v="48"/>
    <x v="0"/>
    <x v="1"/>
    <x v="1676"/>
    <x v="123"/>
    <s v="NAKİT"/>
    <n v="0.15"/>
    <n v="500"/>
    <n v="0"/>
    <n v="0"/>
    <m/>
    <m/>
    <m/>
    <m/>
    <n v="75"/>
    <n v="0"/>
    <n v="49557.412073026426"/>
  </r>
  <r>
    <x v="158"/>
    <x v="4"/>
    <x v="48"/>
    <x v="0"/>
    <x v="1"/>
    <x v="1676"/>
    <x v="179"/>
    <s v="NAKİT"/>
    <n v="0.05"/>
    <n v="500"/>
    <n v="0"/>
    <n v="0"/>
    <m/>
    <m/>
    <m/>
    <m/>
    <n v="25"/>
    <n v="0"/>
    <n v="49582.412073026426"/>
  </r>
  <r>
    <x v="158"/>
    <x v="4"/>
    <x v="44"/>
    <x v="0"/>
    <x v="1"/>
    <x v="1676"/>
    <x v="129"/>
    <s v="NAKİT"/>
    <n v="1"/>
    <n v="35"/>
    <n v="0"/>
    <n v="0"/>
    <m/>
    <m/>
    <m/>
    <m/>
    <n v="35"/>
    <n v="0"/>
    <n v="49617.412073026426"/>
  </r>
  <r>
    <x v="158"/>
    <x v="4"/>
    <x v="44"/>
    <x v="0"/>
    <x v="1"/>
    <x v="1676"/>
    <x v="123"/>
    <s v="NAKİT"/>
    <n v="1"/>
    <n v="65"/>
    <n v="0"/>
    <n v="0"/>
    <m/>
    <m/>
    <m/>
    <m/>
    <n v="65"/>
    <n v="0"/>
    <n v="49682.412073026426"/>
  </r>
  <r>
    <x v="158"/>
    <x v="4"/>
    <x v="45"/>
    <x v="0"/>
    <x v="1"/>
    <x v="1676"/>
    <x v="123"/>
    <s v="NAKİT"/>
    <n v="1"/>
    <n v="65"/>
    <n v="0"/>
    <n v="0"/>
    <m/>
    <m/>
    <m/>
    <m/>
    <n v="65"/>
    <n v="0"/>
    <n v="49747.412073026426"/>
  </r>
  <r>
    <x v="158"/>
    <x v="4"/>
    <x v="206"/>
    <x v="0"/>
    <x v="1"/>
    <x v="1676"/>
    <x v="123"/>
    <s v="NAKİT"/>
    <n v="1"/>
    <n v="350"/>
    <n v="0"/>
    <n v="0"/>
    <m/>
    <m/>
    <m/>
    <m/>
    <n v="350"/>
    <n v="0"/>
    <n v="50097.412073026426"/>
  </r>
  <r>
    <x v="158"/>
    <x v="4"/>
    <x v="253"/>
    <x v="0"/>
    <x v="1"/>
    <x v="1676"/>
    <x v="123"/>
    <s v="NAKİT"/>
    <n v="1"/>
    <n v="110"/>
    <n v="0"/>
    <n v="0"/>
    <m/>
    <m/>
    <m/>
    <m/>
    <n v="110"/>
    <n v="0"/>
    <n v="50207.412073026426"/>
  </r>
  <r>
    <x v="158"/>
    <x v="4"/>
    <x v="257"/>
    <x v="0"/>
    <x v="1"/>
    <x v="1676"/>
    <x v="123"/>
    <s v="NAKİT"/>
    <n v="1"/>
    <n v="170"/>
    <n v="0"/>
    <n v="0"/>
    <m/>
    <m/>
    <m/>
    <m/>
    <n v="170"/>
    <n v="0"/>
    <n v="50377.412073026426"/>
  </r>
  <r>
    <x v="158"/>
    <x v="4"/>
    <x v="258"/>
    <x v="0"/>
    <x v="1"/>
    <x v="1676"/>
    <x v="129"/>
    <s v="NAKİT"/>
    <n v="1"/>
    <n v="61"/>
    <n v="0"/>
    <n v="0"/>
    <m/>
    <m/>
    <m/>
    <m/>
    <n v="61"/>
    <n v="0"/>
    <n v="50438.412073026426"/>
  </r>
  <r>
    <x v="158"/>
    <x v="4"/>
    <x v="260"/>
    <x v="0"/>
    <x v="1"/>
    <x v="1676"/>
    <x v="123"/>
    <s v="NAKİT"/>
    <n v="1"/>
    <n v="180"/>
    <n v="0"/>
    <n v="0"/>
    <m/>
    <m/>
    <m/>
    <m/>
    <n v="180"/>
    <n v="0"/>
    <n v="50618.412073026426"/>
  </r>
  <r>
    <x v="158"/>
    <x v="4"/>
    <x v="263"/>
    <x v="0"/>
    <x v="1"/>
    <x v="1676"/>
    <x v="129"/>
    <s v="NAKİT"/>
    <n v="1"/>
    <n v="66"/>
    <n v="0"/>
    <n v="0"/>
    <m/>
    <m/>
    <m/>
    <m/>
    <n v="66"/>
    <n v="0"/>
    <n v="50684.412073026426"/>
  </r>
  <r>
    <x v="158"/>
    <x v="4"/>
    <x v="270"/>
    <x v="0"/>
    <x v="1"/>
    <x v="1676"/>
    <x v="129"/>
    <s v="NAKİT"/>
    <n v="1"/>
    <n v="63"/>
    <n v="0"/>
    <n v="0"/>
    <m/>
    <m/>
    <m/>
    <m/>
    <n v="63"/>
    <n v="0"/>
    <n v="50747.412073026426"/>
  </r>
  <r>
    <x v="158"/>
    <x v="4"/>
    <x v="308"/>
    <x v="0"/>
    <x v="1"/>
    <x v="1676"/>
    <x v="123"/>
    <s v="NAKİT"/>
    <n v="1"/>
    <n v="190"/>
    <n v="0"/>
    <n v="0"/>
    <m/>
    <m/>
    <m/>
    <m/>
    <n v="190"/>
    <n v="0"/>
    <n v="50937.412073026426"/>
  </r>
  <r>
    <x v="158"/>
    <x v="4"/>
    <x v="409"/>
    <x v="0"/>
    <x v="1"/>
    <x v="1676"/>
    <x v="129"/>
    <s v="NAKİT"/>
    <n v="1"/>
    <n v="60"/>
    <n v="0"/>
    <n v="0"/>
    <m/>
    <m/>
    <m/>
    <m/>
    <n v="60"/>
    <n v="0"/>
    <n v="50997.412073026426"/>
  </r>
  <r>
    <x v="158"/>
    <x v="4"/>
    <x v="257"/>
    <x v="0"/>
    <x v="1"/>
    <x v="1676"/>
    <x v="129"/>
    <s v="NAKİT"/>
    <n v="1"/>
    <n v="86"/>
    <n v="0"/>
    <n v="0"/>
    <m/>
    <m/>
    <m/>
    <m/>
    <n v="86"/>
    <n v="0"/>
    <n v="51083.412073026426"/>
  </r>
  <r>
    <x v="158"/>
    <x v="4"/>
    <x v="296"/>
    <x v="0"/>
    <x v="1"/>
    <x v="1676"/>
    <x v="129"/>
    <s v="NAKİT"/>
    <n v="1"/>
    <n v="75"/>
    <n v="0"/>
    <n v="0"/>
    <m/>
    <m/>
    <m/>
    <m/>
    <n v="75"/>
    <n v="0"/>
    <n v="51158.412073026426"/>
  </r>
  <r>
    <x v="158"/>
    <x v="4"/>
    <x v="93"/>
    <x v="0"/>
    <x v="1"/>
    <x v="1676"/>
    <x v="129"/>
    <s v="NAKİT"/>
    <n v="1"/>
    <n v="225"/>
    <n v="0"/>
    <n v="0"/>
    <m/>
    <m/>
    <m/>
    <m/>
    <n v="225"/>
    <n v="0"/>
    <n v="51383.412073026426"/>
  </r>
  <r>
    <x v="158"/>
    <x v="4"/>
    <x v="340"/>
    <x v="0"/>
    <x v="1"/>
    <x v="1676"/>
    <x v="123"/>
    <s v="NAKİT"/>
    <n v="1"/>
    <n v="135"/>
    <n v="0"/>
    <n v="0"/>
    <m/>
    <m/>
    <m/>
    <m/>
    <n v="135"/>
    <n v="0"/>
    <n v="51518.412073026426"/>
  </r>
  <r>
    <x v="158"/>
    <x v="4"/>
    <x v="343"/>
    <x v="0"/>
    <x v="1"/>
    <x v="1676"/>
    <x v="129"/>
    <s v="NAKİT"/>
    <n v="1"/>
    <n v="59"/>
    <n v="0"/>
    <n v="0"/>
    <m/>
    <m/>
    <m/>
    <m/>
    <n v="59"/>
    <n v="0"/>
    <n v="51577.412073026426"/>
  </r>
  <r>
    <x v="158"/>
    <x v="4"/>
    <x v="1"/>
    <x v="0"/>
    <x v="1"/>
    <x v="1676"/>
    <x v="129"/>
    <s v="NAKİT"/>
    <n v="1"/>
    <n v="100"/>
    <n v="0"/>
    <n v="0"/>
    <m/>
    <m/>
    <m/>
    <m/>
    <n v="100"/>
    <n v="0"/>
    <n v="51677.412073026426"/>
  </r>
  <r>
    <x v="158"/>
    <x v="4"/>
    <x v="230"/>
    <x v="0"/>
    <x v="1"/>
    <x v="1676"/>
    <x v="129"/>
    <s v="NAKİT"/>
    <n v="0.3"/>
    <n v="110"/>
    <n v="0"/>
    <n v="0"/>
    <m/>
    <m/>
    <m/>
    <m/>
    <n v="33"/>
    <n v="0"/>
    <n v="51710.412073026426"/>
  </r>
  <r>
    <x v="158"/>
    <x v="4"/>
    <x v="229"/>
    <x v="0"/>
    <x v="1"/>
    <x v="1676"/>
    <x v="129"/>
    <s v="NAKİT"/>
    <n v="1.34"/>
    <n v="140"/>
    <n v="0"/>
    <n v="0"/>
    <m/>
    <m/>
    <m/>
    <m/>
    <n v="187.60000000000002"/>
    <n v="0"/>
    <n v="51898.012073026424"/>
  </r>
  <r>
    <x v="158"/>
    <x v="4"/>
    <x v="246"/>
    <x v="0"/>
    <x v="1"/>
    <x v="1676"/>
    <x v="129"/>
    <s v="NAKİT"/>
    <n v="2"/>
    <n v="60"/>
    <n v="0"/>
    <n v="0"/>
    <m/>
    <m/>
    <m/>
    <m/>
    <n v="120"/>
    <n v="0"/>
    <n v="52018.012073026424"/>
  </r>
  <r>
    <x v="158"/>
    <x v="4"/>
    <x v="247"/>
    <x v="0"/>
    <x v="1"/>
    <x v="1676"/>
    <x v="129"/>
    <s v="NAKİT"/>
    <n v="1"/>
    <n v="60"/>
    <n v="0"/>
    <n v="0"/>
    <m/>
    <m/>
    <m/>
    <m/>
    <n v="60"/>
    <n v="0"/>
    <n v="52078.012073026424"/>
  </r>
  <r>
    <x v="158"/>
    <x v="4"/>
    <x v="70"/>
    <x v="0"/>
    <x v="1"/>
    <x v="1676"/>
    <x v="129"/>
    <s v="NAKİT"/>
    <n v="3.14"/>
    <n v="130"/>
    <n v="0"/>
    <n v="0"/>
    <m/>
    <m/>
    <m/>
    <m/>
    <n v="408.2"/>
    <n v="0"/>
    <n v="52486.212073026421"/>
  </r>
  <r>
    <x v="158"/>
    <x v="4"/>
    <x v="71"/>
    <x v="0"/>
    <x v="1"/>
    <x v="1676"/>
    <x v="129"/>
    <s v="NAKİT"/>
    <n v="3.27"/>
    <n v="130"/>
    <n v="0"/>
    <n v="0"/>
    <m/>
    <m/>
    <m/>
    <m/>
    <n v="425.1"/>
    <n v="0"/>
    <n v="52911.31207302642"/>
  </r>
  <r>
    <x v="158"/>
    <x v="4"/>
    <x v="74"/>
    <x v="0"/>
    <x v="1"/>
    <x v="1676"/>
    <x v="123"/>
    <s v="NAKİT"/>
    <n v="0.49"/>
    <n v="360"/>
    <n v="0"/>
    <n v="0"/>
    <m/>
    <m/>
    <m/>
    <m/>
    <n v="176.4"/>
    <n v="0"/>
    <n v="53087.712073026421"/>
  </r>
  <r>
    <x v="158"/>
    <x v="4"/>
    <x v="97"/>
    <x v="0"/>
    <x v="1"/>
    <x v="1676"/>
    <x v="129"/>
    <s v="NAKİT"/>
    <n v="1.4"/>
    <n v="450"/>
    <n v="0"/>
    <n v="0"/>
    <m/>
    <m/>
    <m/>
    <m/>
    <n v="630"/>
    <n v="0"/>
    <n v="53717.712073026421"/>
  </r>
  <r>
    <x v="158"/>
    <x v="4"/>
    <x v="398"/>
    <x v="0"/>
    <x v="1"/>
    <x v="1676"/>
    <x v="129"/>
    <s v="NAKİT"/>
    <n v="0.32"/>
    <n v="270"/>
    <n v="0"/>
    <n v="0"/>
    <m/>
    <m/>
    <m/>
    <m/>
    <n v="86.4"/>
    <n v="0"/>
    <n v="53804.112073026423"/>
  </r>
  <r>
    <x v="158"/>
    <x v="4"/>
    <x v="116"/>
    <x v="0"/>
    <x v="1"/>
    <x v="1676"/>
    <x v="129"/>
    <s v="NAKİT"/>
    <n v="0.79"/>
    <n v="290"/>
    <n v="0"/>
    <n v="0"/>
    <m/>
    <m/>
    <m/>
    <m/>
    <n v="229.10000000000002"/>
    <n v="0"/>
    <n v="54033.212073026421"/>
  </r>
  <r>
    <x v="158"/>
    <x v="4"/>
    <x v="274"/>
    <x v="0"/>
    <x v="1"/>
    <x v="1676"/>
    <x v="123"/>
    <s v="NAKİT"/>
    <n v="1"/>
    <n v="100"/>
    <n v="0"/>
    <n v="0"/>
    <m/>
    <m/>
    <m/>
    <m/>
    <n v="100"/>
    <n v="0"/>
    <n v="54133.212073026421"/>
  </r>
  <r>
    <x v="158"/>
    <x v="4"/>
    <x v="158"/>
    <x v="0"/>
    <x v="1"/>
    <x v="1676"/>
    <x v="123"/>
    <s v="NAKİT"/>
    <n v="7"/>
    <n v="15"/>
    <n v="0"/>
    <n v="0"/>
    <m/>
    <m/>
    <m/>
    <m/>
    <n v="105"/>
    <n v="0"/>
    <n v="54238.212073026421"/>
  </r>
  <r>
    <x v="158"/>
    <x v="4"/>
    <x v="231"/>
    <x v="0"/>
    <x v="1"/>
    <x v="1676"/>
    <x v="129"/>
    <s v="NAKİT"/>
    <n v="0.25"/>
    <n v="125"/>
    <n v="0"/>
    <n v="0"/>
    <m/>
    <m/>
    <m/>
    <m/>
    <n v="31.25"/>
    <n v="0"/>
    <n v="54269.462073026421"/>
  </r>
  <r>
    <x v="158"/>
    <x v="4"/>
    <x v="231"/>
    <x v="0"/>
    <x v="1"/>
    <x v="1676"/>
    <x v="123"/>
    <s v="NAKİT"/>
    <n v="0.5"/>
    <n v="400"/>
    <n v="0"/>
    <n v="0"/>
    <m/>
    <m/>
    <m/>
    <m/>
    <n v="200"/>
    <n v="0"/>
    <n v="54469.462073026421"/>
  </r>
  <r>
    <x v="158"/>
    <x v="4"/>
    <x v="355"/>
    <x v="0"/>
    <x v="1"/>
    <x v="1676"/>
    <x v="123"/>
    <s v="NAKİT"/>
    <n v="1"/>
    <n v="170"/>
    <n v="0"/>
    <n v="0"/>
    <m/>
    <m/>
    <m/>
    <m/>
    <n v="170"/>
    <n v="0"/>
    <n v="54639.462073026421"/>
  </r>
  <r>
    <x v="158"/>
    <x v="4"/>
    <x v="166"/>
    <x v="0"/>
    <x v="1"/>
    <x v="1676"/>
    <x v="129"/>
    <s v="NAKİT"/>
    <n v="3"/>
    <n v="22"/>
    <n v="0"/>
    <n v="0"/>
    <m/>
    <m/>
    <m/>
    <m/>
    <n v="66"/>
    <n v="0"/>
    <n v="54705.462073026421"/>
  </r>
  <r>
    <x v="158"/>
    <x v="4"/>
    <x v="100"/>
    <x v="0"/>
    <x v="1"/>
    <x v="1676"/>
    <x v="123"/>
    <s v="NAKİT"/>
    <n v="1.1299999999999999"/>
    <n v="500"/>
    <n v="0"/>
    <n v="0"/>
    <m/>
    <m/>
    <m/>
    <m/>
    <n v="565"/>
    <n v="0"/>
    <n v="55270.462073026421"/>
  </r>
  <r>
    <x v="158"/>
    <x v="4"/>
    <x v="212"/>
    <x v="0"/>
    <x v="1"/>
    <x v="1676"/>
    <x v="123"/>
    <s v="NAKİT"/>
    <n v="0.23"/>
    <n v="370"/>
    <n v="0"/>
    <n v="0"/>
    <m/>
    <m/>
    <m/>
    <m/>
    <n v="85.100000000000009"/>
    <n v="0"/>
    <n v="55355.56207302642"/>
  </r>
  <r>
    <x v="158"/>
    <x v="4"/>
    <x v="75"/>
    <x v="0"/>
    <x v="1"/>
    <x v="1676"/>
    <x v="123"/>
    <s v="NAKİT"/>
    <n v="1.1100000000000001"/>
    <n v="620"/>
    <n v="0"/>
    <n v="0"/>
    <m/>
    <m/>
    <m/>
    <m/>
    <n v="688.2"/>
    <n v="0"/>
    <n v="56043.762073026417"/>
  </r>
  <r>
    <x v="158"/>
    <x v="4"/>
    <x v="344"/>
    <x v="0"/>
    <x v="1"/>
    <x v="1676"/>
    <x v="123"/>
    <s v="NAKİT"/>
    <n v="1.3460000000000001"/>
    <n v="300"/>
    <n v="0"/>
    <n v="0"/>
    <m/>
    <m/>
    <m/>
    <m/>
    <n v="403.8"/>
    <n v="0"/>
    <n v="56447.56207302642"/>
  </r>
  <r>
    <x v="158"/>
    <x v="4"/>
    <x v="101"/>
    <x v="0"/>
    <x v="1"/>
    <x v="1676"/>
    <x v="123"/>
    <s v="NAKİT"/>
    <n v="5.1560000000000006"/>
    <n v="130"/>
    <n v="0"/>
    <n v="0"/>
    <m/>
    <m/>
    <m/>
    <m/>
    <n v="670.28000000000009"/>
    <n v="0"/>
    <n v="57117.842073026419"/>
  </r>
  <r>
    <x v="158"/>
    <x v="4"/>
    <x v="241"/>
    <x v="0"/>
    <x v="1"/>
    <x v="1676"/>
    <x v="129"/>
    <s v="NAKİT"/>
    <n v="1.03"/>
    <n v="33"/>
    <n v="0"/>
    <n v="0"/>
    <m/>
    <m/>
    <m/>
    <m/>
    <n v="33.99"/>
    <n v="0"/>
    <n v="57151.832073026417"/>
  </r>
  <r>
    <x v="158"/>
    <x v="4"/>
    <x v="248"/>
    <x v="0"/>
    <x v="1"/>
    <x v="1676"/>
    <x v="129"/>
    <s v="NAKİT"/>
    <n v="3.01"/>
    <n v="500"/>
    <n v="0"/>
    <n v="0"/>
    <m/>
    <m/>
    <m/>
    <m/>
    <n v="1505"/>
    <n v="0"/>
    <n v="58656.832073026417"/>
  </r>
  <r>
    <x v="158"/>
    <x v="4"/>
    <x v="98"/>
    <x v="0"/>
    <x v="1"/>
    <x v="1676"/>
    <x v="129"/>
    <s v="NAKİT"/>
    <n v="3.11"/>
    <n v="550"/>
    <n v="0"/>
    <n v="0"/>
    <m/>
    <m/>
    <m/>
    <m/>
    <n v="1710.5"/>
    <n v="0"/>
    <n v="60367.332073026417"/>
  </r>
  <r>
    <x v="158"/>
    <x v="4"/>
    <x v="142"/>
    <x v="0"/>
    <x v="1"/>
    <x v="1676"/>
    <x v="129"/>
    <s v="NAKİT"/>
    <n v="1.21"/>
    <n v="180"/>
    <n v="0"/>
    <n v="0"/>
    <m/>
    <m/>
    <m/>
    <m/>
    <n v="217.79999999999998"/>
    <n v="0"/>
    <n v="60585.13207302642"/>
  </r>
  <r>
    <x v="158"/>
    <x v="4"/>
    <x v="121"/>
    <x v="0"/>
    <x v="1"/>
    <x v="1676"/>
    <x v="129"/>
    <s v="NAKİT"/>
    <n v="0.19"/>
    <n v="1155"/>
    <n v="0"/>
    <n v="0"/>
    <m/>
    <m/>
    <m/>
    <m/>
    <n v="219.45"/>
    <n v="0"/>
    <n v="60804.582073026417"/>
  </r>
  <r>
    <x v="158"/>
    <x v="4"/>
    <x v="120"/>
    <x v="0"/>
    <x v="1"/>
    <x v="1676"/>
    <x v="129"/>
    <s v="NAKİT"/>
    <n v="0.76"/>
    <n v="475"/>
    <n v="0"/>
    <n v="0"/>
    <m/>
    <m/>
    <m/>
    <m/>
    <n v="361"/>
    <n v="0"/>
    <n v="61165.582073026417"/>
  </r>
  <r>
    <x v="158"/>
    <x v="4"/>
    <x v="119"/>
    <x v="0"/>
    <x v="1"/>
    <x v="1676"/>
    <x v="129"/>
    <s v="NAKİT"/>
    <n v="0.53"/>
    <n v="520"/>
    <n v="0"/>
    <n v="0"/>
    <m/>
    <m/>
    <m/>
    <m/>
    <n v="275.60000000000002"/>
    <n v="0"/>
    <n v="61441.182073026415"/>
  </r>
  <r>
    <x v="158"/>
    <x v="4"/>
    <x v="13"/>
    <x v="0"/>
    <x v="1"/>
    <x v="1676"/>
    <x v="129"/>
    <s v="NAKİT"/>
    <n v="4"/>
    <n v="146.25"/>
    <n v="0"/>
    <n v="0"/>
    <m/>
    <m/>
    <m/>
    <m/>
    <n v="585"/>
    <n v="0"/>
    <n v="62026.182073026415"/>
  </r>
  <r>
    <x v="158"/>
    <x v="4"/>
    <x v="111"/>
    <x v="0"/>
    <x v="1"/>
    <x v="1676"/>
    <x v="129"/>
    <s v="NAKİT"/>
    <n v="0.39"/>
    <n v="140"/>
    <n v="0"/>
    <n v="0"/>
    <m/>
    <m/>
    <m/>
    <m/>
    <n v="54.6"/>
    <n v="0"/>
    <n v="62080.782073026414"/>
  </r>
  <r>
    <x v="158"/>
    <x v="4"/>
    <x v="129"/>
    <x v="0"/>
    <x v="1"/>
    <x v="1676"/>
    <x v="129"/>
    <s v="NAKİT"/>
    <n v="1.46"/>
    <n v="170"/>
    <n v="0"/>
    <n v="0"/>
    <m/>
    <m/>
    <m/>
    <m/>
    <n v="248.2"/>
    <n v="0"/>
    <n v="62328.982073026411"/>
  </r>
  <r>
    <x v="158"/>
    <x v="4"/>
    <x v="149"/>
    <x v="0"/>
    <x v="1"/>
    <x v="1676"/>
    <x v="129"/>
    <s v="NAKİT"/>
    <n v="0.63"/>
    <n v="450"/>
    <n v="0"/>
    <n v="0"/>
    <m/>
    <m/>
    <m/>
    <m/>
    <n v="283.5"/>
    <n v="0"/>
    <n v="62612.482073026411"/>
  </r>
  <r>
    <x v="158"/>
    <x v="4"/>
    <x v="122"/>
    <x v="0"/>
    <x v="1"/>
    <x v="1676"/>
    <x v="129"/>
    <s v="NAKİT"/>
    <n v="0.59"/>
    <n v="1000"/>
    <n v="0"/>
    <n v="0"/>
    <m/>
    <m/>
    <m/>
    <m/>
    <n v="590"/>
    <n v="0"/>
    <n v="63202.482073026411"/>
  </r>
  <r>
    <x v="158"/>
    <x v="4"/>
    <x v="123"/>
    <x v="0"/>
    <x v="1"/>
    <x v="1676"/>
    <x v="129"/>
    <s v="NAKİT"/>
    <n v="0.23"/>
    <n v="900"/>
    <n v="0"/>
    <n v="0"/>
    <m/>
    <m/>
    <m/>
    <m/>
    <n v="207"/>
    <n v="0"/>
    <n v="63409.482073026411"/>
  </r>
  <r>
    <x v="158"/>
    <x v="4"/>
    <x v="242"/>
    <x v="0"/>
    <x v="1"/>
    <x v="1676"/>
    <x v="129"/>
    <s v="NAKİT"/>
    <n v="0.03"/>
    <n v="145"/>
    <n v="0"/>
    <n v="0"/>
    <m/>
    <m/>
    <m/>
    <m/>
    <n v="4.3499999999999996"/>
    <n v="0"/>
    <n v="63413.832073026409"/>
  </r>
  <r>
    <x v="158"/>
    <x v="4"/>
    <x v="243"/>
    <x v="0"/>
    <x v="1"/>
    <x v="1676"/>
    <x v="123"/>
    <s v="NAKİT"/>
    <n v="0.61"/>
    <n v="195"/>
    <n v="0"/>
    <n v="0"/>
    <m/>
    <m/>
    <m/>
    <m/>
    <n v="118.95"/>
    <n v="0"/>
    <n v="63532.782073026407"/>
  </r>
  <r>
    <x v="158"/>
    <x v="4"/>
    <x v="240"/>
    <x v="0"/>
    <x v="1"/>
    <x v="1676"/>
    <x v="129"/>
    <s v="NAKİT"/>
    <n v="0.65"/>
    <n v="120"/>
    <n v="0"/>
    <n v="0"/>
    <m/>
    <m/>
    <m/>
    <m/>
    <n v="78"/>
    <n v="0"/>
    <n v="63610.782073026407"/>
  </r>
  <r>
    <x v="158"/>
    <x v="4"/>
    <x v="130"/>
    <x v="0"/>
    <x v="1"/>
    <x v="1676"/>
    <x v="129"/>
    <s v="NAKİT"/>
    <n v="1.7"/>
    <n v="115"/>
    <n v="0"/>
    <n v="0"/>
    <m/>
    <m/>
    <m/>
    <m/>
    <n v="195.5"/>
    <n v="0"/>
    <n v="63806.282073026407"/>
  </r>
  <r>
    <x v="158"/>
    <x v="4"/>
    <x v="128"/>
    <x v="0"/>
    <x v="1"/>
    <x v="1676"/>
    <x v="129"/>
    <s v="NAKİT"/>
    <n v="0.5"/>
    <n v="120"/>
    <n v="0"/>
    <n v="0"/>
    <m/>
    <m/>
    <m/>
    <m/>
    <n v="60"/>
    <n v="0"/>
    <n v="63866.282073026407"/>
  </r>
  <r>
    <x v="158"/>
    <x v="4"/>
    <x v="238"/>
    <x v="0"/>
    <x v="1"/>
    <x v="1676"/>
    <x v="129"/>
    <s v="NAKİT"/>
    <n v="0.4"/>
    <n v="225"/>
    <n v="0"/>
    <n v="0"/>
    <m/>
    <m/>
    <m/>
    <m/>
    <n v="90"/>
    <n v="0"/>
    <n v="63956.282073026407"/>
  </r>
  <r>
    <x v="158"/>
    <x v="4"/>
    <x v="209"/>
    <x v="0"/>
    <x v="1"/>
    <x v="1676"/>
    <x v="129"/>
    <s v="NAKİT"/>
    <n v="1.377"/>
    <n v="225"/>
    <n v="0"/>
    <n v="0"/>
    <m/>
    <m/>
    <m/>
    <m/>
    <n v="309.82499999999999"/>
    <n v="0"/>
    <n v="64266.107073026404"/>
  </r>
  <r>
    <x v="158"/>
    <x v="4"/>
    <x v="389"/>
    <x v="0"/>
    <x v="1"/>
    <x v="1676"/>
    <x v="129"/>
    <s v="NAKİT"/>
    <n v="0.79"/>
    <n v="350"/>
    <n v="0"/>
    <n v="0"/>
    <m/>
    <m/>
    <m/>
    <m/>
    <n v="276.5"/>
    <n v="0"/>
    <n v="64542.607073026404"/>
  </r>
  <r>
    <x v="158"/>
    <x v="4"/>
    <x v="346"/>
    <x v="0"/>
    <x v="1"/>
    <x v="1676"/>
    <x v="129"/>
    <s v="NAKİT"/>
    <n v="2.17"/>
    <n v="310"/>
    <n v="0"/>
    <n v="0"/>
    <m/>
    <m/>
    <m/>
    <m/>
    <n v="672.69999999999993"/>
    <n v="0"/>
    <n v="65215.307073026401"/>
  </r>
  <r>
    <x v="158"/>
    <x v="4"/>
    <x v="127"/>
    <x v="0"/>
    <x v="1"/>
    <x v="1676"/>
    <x v="129"/>
    <s v="NAKİT"/>
    <n v="1.72"/>
    <n v="455"/>
    <n v="0"/>
    <n v="0"/>
    <m/>
    <m/>
    <m/>
    <m/>
    <n v="782.6"/>
    <n v="0"/>
    <n v="65997.907073026407"/>
  </r>
  <r>
    <x v="158"/>
    <x v="4"/>
    <x v="345"/>
    <x v="0"/>
    <x v="1"/>
    <x v="1676"/>
    <x v="129"/>
    <s v="NAKİT"/>
    <n v="1.89"/>
    <n v="270"/>
    <n v="0"/>
    <n v="0"/>
    <m/>
    <m/>
    <m/>
    <m/>
    <n v="510.29999999999995"/>
    <n v="0"/>
    <n v="66508.207073026409"/>
  </r>
  <r>
    <x v="158"/>
    <x v="4"/>
    <x v="391"/>
    <x v="0"/>
    <x v="1"/>
    <x v="1676"/>
    <x v="129"/>
    <s v="NAKİT"/>
    <n v="1.03"/>
    <n v="305"/>
    <n v="0"/>
    <n v="0"/>
    <m/>
    <m/>
    <m/>
    <m/>
    <n v="314.15000000000003"/>
    <n v="0"/>
    <n v="66822.357073026404"/>
  </r>
  <r>
    <x v="158"/>
    <x v="4"/>
    <x v="393"/>
    <x v="0"/>
    <x v="1"/>
    <x v="1676"/>
    <x v="129"/>
    <s v="NAKİT"/>
    <n v="0.53"/>
    <n v="270"/>
    <n v="0"/>
    <n v="0"/>
    <m/>
    <m/>
    <m/>
    <m/>
    <n v="143.1"/>
    <n v="0"/>
    <n v="66965.457073026409"/>
  </r>
  <r>
    <x v="158"/>
    <x v="4"/>
    <x v="446"/>
    <x v="0"/>
    <x v="1"/>
    <x v="1676"/>
    <x v="129"/>
    <s v="NAKİT"/>
    <n v="0.02"/>
    <n v="400"/>
    <n v="0"/>
    <n v="0"/>
    <m/>
    <m/>
    <m/>
    <m/>
    <n v="8"/>
    <n v="0"/>
    <n v="66973.457073026409"/>
  </r>
  <r>
    <x v="158"/>
    <x v="4"/>
    <x v="447"/>
    <x v="0"/>
    <x v="1"/>
    <x v="1676"/>
    <x v="129"/>
    <s v="NAKİT"/>
    <n v="0.76"/>
    <n v="230"/>
    <n v="0"/>
    <n v="0"/>
    <m/>
    <m/>
    <m/>
    <m/>
    <n v="174.8"/>
    <n v="0"/>
    <n v="67148.257073026412"/>
  </r>
  <r>
    <x v="158"/>
    <x v="4"/>
    <x v="394"/>
    <x v="0"/>
    <x v="1"/>
    <x v="1676"/>
    <x v="129"/>
    <s v="NAKİT"/>
    <n v="0.12"/>
    <n v="300"/>
    <n v="0"/>
    <n v="0"/>
    <m/>
    <m/>
    <m/>
    <m/>
    <n v="36"/>
    <n v="0"/>
    <n v="67184.257073026412"/>
  </r>
  <r>
    <x v="158"/>
    <x v="4"/>
    <x v="347"/>
    <x v="0"/>
    <x v="1"/>
    <x v="1676"/>
    <x v="129"/>
    <s v="NAKİT"/>
    <n v="3.02"/>
    <n v="380"/>
    <n v="0"/>
    <n v="0"/>
    <m/>
    <m/>
    <m/>
    <m/>
    <n v="1147.5999999999999"/>
    <n v="0"/>
    <n v="68331.857073026418"/>
  </r>
  <r>
    <x v="158"/>
    <x v="4"/>
    <x v="156"/>
    <x v="0"/>
    <x v="1"/>
    <x v="1676"/>
    <x v="129"/>
    <s v="NAKİT"/>
    <n v="3.25"/>
    <n v="30"/>
    <n v="0"/>
    <n v="0"/>
    <m/>
    <m/>
    <m/>
    <m/>
    <n v="97.5"/>
    <n v="0"/>
    <n v="68429.357073026418"/>
  </r>
  <r>
    <x v="158"/>
    <x v="4"/>
    <x v="157"/>
    <x v="0"/>
    <x v="1"/>
    <x v="1676"/>
    <x v="129"/>
    <s v="NAKİT"/>
    <n v="0.34"/>
    <n v="70"/>
    <n v="0"/>
    <n v="0"/>
    <m/>
    <m/>
    <m/>
    <m/>
    <n v="23.8"/>
    <n v="0"/>
    <n v="68453.157073026421"/>
  </r>
  <r>
    <x v="158"/>
    <x v="4"/>
    <x v="83"/>
    <x v="0"/>
    <x v="1"/>
    <x v="1676"/>
    <x v="123"/>
    <s v="NAKİT"/>
    <n v="0.44"/>
    <n v="1125"/>
    <n v="0"/>
    <n v="0"/>
    <m/>
    <m/>
    <m/>
    <m/>
    <n v="495"/>
    <n v="0"/>
    <n v="68948.157073026421"/>
  </r>
  <r>
    <x v="158"/>
    <x v="4"/>
    <x v="84"/>
    <x v="0"/>
    <x v="1"/>
    <x v="1676"/>
    <x v="123"/>
    <s v="NAKİT"/>
    <n v="0.12"/>
    <n v="2250"/>
    <n v="0"/>
    <n v="0"/>
    <m/>
    <m/>
    <m/>
    <m/>
    <n v="270"/>
    <n v="0"/>
    <n v="69218.157073026421"/>
  </r>
  <r>
    <x v="158"/>
    <x v="4"/>
    <x v="85"/>
    <x v="0"/>
    <x v="1"/>
    <x v="1676"/>
    <x v="123"/>
    <s v="NAKİT"/>
    <n v="0.23"/>
    <n v="250"/>
    <n v="0"/>
    <n v="0"/>
    <m/>
    <m/>
    <m/>
    <m/>
    <n v="57.5"/>
    <n v="0"/>
    <n v="69275.657073026421"/>
  </r>
  <r>
    <x v="158"/>
    <x v="4"/>
    <x v="28"/>
    <x v="0"/>
    <x v="1"/>
    <x v="1676"/>
    <x v="129"/>
    <s v="NAKİT"/>
    <n v="1.19"/>
    <n v="200"/>
    <n v="0"/>
    <n v="0"/>
    <m/>
    <m/>
    <m/>
    <m/>
    <n v="238"/>
    <n v="0"/>
    <n v="69513.657073026421"/>
  </r>
  <r>
    <x v="158"/>
    <x v="4"/>
    <x v="31"/>
    <x v="0"/>
    <x v="1"/>
    <x v="1676"/>
    <x v="129"/>
    <s v="NAKİT"/>
    <n v="1.26"/>
    <n v="180"/>
    <n v="0"/>
    <n v="0"/>
    <m/>
    <m/>
    <m/>
    <m/>
    <n v="226.8"/>
    <n v="0"/>
    <n v="69740.457073026424"/>
  </r>
  <r>
    <x v="158"/>
    <x v="4"/>
    <x v="59"/>
    <x v="0"/>
    <x v="1"/>
    <x v="1676"/>
    <x v="129"/>
    <s v="NAKİT"/>
    <n v="0.19"/>
    <n v="210"/>
    <n v="0"/>
    <n v="0"/>
    <m/>
    <m/>
    <m/>
    <m/>
    <n v="39.9"/>
    <n v="0"/>
    <n v="69780.357073026418"/>
  </r>
  <r>
    <x v="158"/>
    <x v="4"/>
    <x v="33"/>
    <x v="0"/>
    <x v="1"/>
    <x v="1676"/>
    <x v="129"/>
    <s v="NAKİT"/>
    <n v="0.15"/>
    <n v="175"/>
    <n v="0"/>
    <n v="0"/>
    <m/>
    <m/>
    <m/>
    <m/>
    <n v="26.25"/>
    <n v="0"/>
    <n v="69806.607073026418"/>
  </r>
  <r>
    <x v="158"/>
    <x v="4"/>
    <x v="30"/>
    <x v="0"/>
    <x v="1"/>
    <x v="1676"/>
    <x v="129"/>
    <s v="NAKİT"/>
    <n v="0.8"/>
    <n v="255"/>
    <n v="0"/>
    <n v="0"/>
    <m/>
    <m/>
    <m/>
    <m/>
    <n v="204"/>
    <n v="0"/>
    <n v="70010.607073026418"/>
  </r>
  <r>
    <x v="158"/>
    <x v="4"/>
    <x v="50"/>
    <x v="0"/>
    <x v="1"/>
    <x v="1676"/>
    <x v="129"/>
    <s v="NAKİT"/>
    <n v="0.47"/>
    <n v="235"/>
    <n v="0"/>
    <n v="0"/>
    <m/>
    <m/>
    <m/>
    <m/>
    <n v="110.44999999999999"/>
    <n v="0"/>
    <n v="70121.057073026415"/>
  </r>
  <r>
    <x v="158"/>
    <x v="4"/>
    <x v="26"/>
    <x v="0"/>
    <x v="1"/>
    <x v="1676"/>
    <x v="129"/>
    <s v="NAKİT"/>
    <n v="0.28000000000000003"/>
    <n v="185"/>
    <n v="0"/>
    <n v="0"/>
    <m/>
    <m/>
    <m/>
    <m/>
    <n v="51.800000000000004"/>
    <n v="0"/>
    <n v="70172.857073026418"/>
  </r>
  <r>
    <x v="158"/>
    <x v="4"/>
    <x v="24"/>
    <x v="0"/>
    <x v="1"/>
    <x v="1676"/>
    <x v="129"/>
    <s v="NAKİT"/>
    <n v="1.1000000000000001"/>
    <n v="330"/>
    <n v="0"/>
    <n v="0"/>
    <m/>
    <m/>
    <m/>
    <m/>
    <n v="363.00000000000006"/>
    <n v="0"/>
    <n v="70535.857073026418"/>
  </r>
  <r>
    <x v="158"/>
    <x v="4"/>
    <x v="244"/>
    <x v="0"/>
    <x v="1"/>
    <x v="1676"/>
    <x v="129"/>
    <s v="NAKİT"/>
    <n v="1.42"/>
    <n v="59"/>
    <n v="0"/>
    <n v="0"/>
    <m/>
    <m/>
    <m/>
    <m/>
    <n v="83.78"/>
    <n v="0"/>
    <n v="70619.637073026417"/>
  </r>
  <r>
    <x v="158"/>
    <x v="4"/>
    <x v="38"/>
    <x v="0"/>
    <x v="1"/>
    <x v="1676"/>
    <x v="129"/>
    <s v="NAKİT"/>
    <n v="0.3"/>
    <n v="440"/>
    <n v="0"/>
    <n v="0"/>
    <m/>
    <m/>
    <m/>
    <m/>
    <n v="132"/>
    <n v="0"/>
    <n v="70751.637073026417"/>
  </r>
  <r>
    <x v="158"/>
    <x v="4"/>
    <x v="36"/>
    <x v="0"/>
    <x v="1"/>
    <x v="1676"/>
    <x v="129"/>
    <s v="NAKİT"/>
    <n v="0.75"/>
    <n v="80"/>
    <n v="0"/>
    <n v="0"/>
    <m/>
    <m/>
    <m/>
    <m/>
    <n v="60"/>
    <n v="0"/>
    <n v="70811.637073026417"/>
  </r>
  <r>
    <x v="158"/>
    <x v="4"/>
    <x v="77"/>
    <x v="0"/>
    <x v="1"/>
    <x v="1676"/>
    <x v="129"/>
    <s v="NAKİT"/>
    <n v="0.5"/>
    <n v="15"/>
    <n v="0"/>
    <n v="0"/>
    <m/>
    <m/>
    <m/>
    <m/>
    <n v="7.5"/>
    <n v="0"/>
    <n v="70819.137073026417"/>
  </r>
  <r>
    <x v="158"/>
    <x v="4"/>
    <x v="76"/>
    <x v="0"/>
    <x v="1"/>
    <x v="1676"/>
    <x v="129"/>
    <s v="NAKİT"/>
    <n v="2.5"/>
    <n v="15"/>
    <n v="0"/>
    <n v="0"/>
    <m/>
    <m/>
    <m/>
    <m/>
    <n v="37.5"/>
    <n v="0"/>
    <n v="70856.637073026417"/>
  </r>
  <r>
    <x v="158"/>
    <x v="4"/>
    <x v="49"/>
    <x v="0"/>
    <x v="1"/>
    <x v="1676"/>
    <x v="129"/>
    <s v="NAKİT"/>
    <n v="0.86"/>
    <n v="125"/>
    <n v="0"/>
    <n v="0"/>
    <m/>
    <m/>
    <m/>
    <m/>
    <n v="107.5"/>
    <n v="0"/>
    <n v="70964.137073026417"/>
  </r>
  <r>
    <x v="158"/>
    <x v="4"/>
    <x v="239"/>
    <x v="0"/>
    <x v="1"/>
    <x v="1676"/>
    <x v="123"/>
    <s v="NAKİT"/>
    <n v="0.5"/>
    <n v="200"/>
    <n v="0"/>
    <n v="0"/>
    <m/>
    <m/>
    <m/>
    <m/>
    <n v="100"/>
    <n v="0"/>
    <n v="71064.137073026417"/>
  </r>
  <r>
    <x v="158"/>
    <x v="4"/>
    <x v="298"/>
    <x v="0"/>
    <x v="1"/>
    <x v="1676"/>
    <x v="123"/>
    <s v="NAKİT"/>
    <n v="0.2"/>
    <n v="1500"/>
    <n v="0"/>
    <n v="0"/>
    <m/>
    <m/>
    <m/>
    <m/>
    <n v="300"/>
    <n v="0"/>
    <n v="71364.137073026417"/>
  </r>
  <r>
    <x v="158"/>
    <x v="4"/>
    <x v="356"/>
    <x v="0"/>
    <x v="1"/>
    <x v="1676"/>
    <x v="123"/>
    <s v="NAKİT"/>
    <n v="5"/>
    <n v="10"/>
    <n v="0"/>
    <n v="0"/>
    <m/>
    <m/>
    <m/>
    <m/>
    <n v="50"/>
    <n v="0"/>
    <n v="71414.137073026417"/>
  </r>
  <r>
    <x v="158"/>
    <x v="4"/>
    <x v="151"/>
    <x v="0"/>
    <x v="1"/>
    <x v="1676"/>
    <x v="123"/>
    <s v="NAKİT"/>
    <n v="0.1"/>
    <n v="240"/>
    <n v="0"/>
    <n v="0"/>
    <m/>
    <m/>
    <m/>
    <m/>
    <n v="24"/>
    <n v="0"/>
    <n v="71438.137073026417"/>
  </r>
  <r>
    <x v="158"/>
    <x v="4"/>
    <x v="112"/>
    <x v="0"/>
    <x v="1"/>
    <x v="1676"/>
    <x v="123"/>
    <s v="NAKİT"/>
    <n v="0.26"/>
    <n v="600"/>
    <n v="0"/>
    <n v="0"/>
    <m/>
    <m/>
    <m/>
    <m/>
    <n v="156"/>
    <n v="0"/>
    <n v="71594.137073026417"/>
  </r>
  <r>
    <x v="158"/>
    <x v="4"/>
    <x v="280"/>
    <x v="0"/>
    <x v="1"/>
    <x v="1676"/>
    <x v="123"/>
    <s v="NAKİT"/>
    <n v="2"/>
    <n v="25"/>
    <n v="0"/>
    <n v="0"/>
    <m/>
    <m/>
    <m/>
    <m/>
    <n v="50"/>
    <n v="0"/>
    <n v="71644.137073026417"/>
  </r>
  <r>
    <x v="158"/>
    <x v="4"/>
    <x v="55"/>
    <x v="0"/>
    <x v="1"/>
    <x v="1676"/>
    <x v="123"/>
    <s v="NAKİT"/>
    <n v="4.6779999999999973"/>
    <n v="98.191199999999995"/>
    <n v="0"/>
    <n v="0"/>
    <m/>
    <m/>
    <m/>
    <m/>
    <n v="459.33843359999969"/>
    <n v="0"/>
    <n v="72103.475506626419"/>
  </r>
  <r>
    <x v="158"/>
    <x v="4"/>
    <x v="56"/>
    <x v="0"/>
    <x v="1"/>
    <x v="1676"/>
    <x v="123"/>
    <s v="NAKİT"/>
    <n v="9.7856666666666143"/>
    <n v="98.191199999999995"/>
    <n v="0"/>
    <n v="0"/>
    <m/>
    <m/>
    <m/>
    <m/>
    <n v="960.86635279999484"/>
    <n v="0"/>
    <n v="73064.341859426408"/>
  </r>
  <r>
    <x v="158"/>
    <x v="4"/>
    <x v="57"/>
    <x v="0"/>
    <x v="1"/>
    <x v="1676"/>
    <x v="123"/>
    <s v="NAKİT"/>
    <n v="26.637666666666689"/>
    <n v="65.891435000000001"/>
    <n v="0"/>
    <n v="0"/>
    <m/>
    <m/>
    <m/>
    <m/>
    <n v="1755.1940817183349"/>
    <n v="0"/>
    <n v="74819.535941144743"/>
  </r>
  <r>
    <x v="158"/>
    <x v="4"/>
    <x v="197"/>
    <x v="0"/>
    <x v="1"/>
    <x v="1676"/>
    <x v="123"/>
    <s v="NAKİT"/>
    <n v="0.57999999999999829"/>
    <n v="94.316627906976748"/>
    <n v="0"/>
    <n v="0"/>
    <m/>
    <m/>
    <m/>
    <m/>
    <n v="54.703644186046354"/>
    <n v="0"/>
    <n v="74874.239585330783"/>
  </r>
  <r>
    <x v="158"/>
    <x v="4"/>
    <x v="198"/>
    <x v="0"/>
    <x v="1"/>
    <x v="1676"/>
    <x v="123"/>
    <s v="NAKİT"/>
    <n v="0.45000000000000284"/>
    <n v="94.74666666666667"/>
    <n v="0"/>
    <n v="0"/>
    <m/>
    <m/>
    <m/>
    <m/>
    <n v="42.636000000000273"/>
    <n v="0"/>
    <n v="74916.875585330781"/>
  </r>
  <r>
    <x v="158"/>
    <x v="4"/>
    <x v="199"/>
    <x v="0"/>
    <x v="1"/>
    <x v="1676"/>
    <x v="123"/>
    <s v="NAKİT"/>
    <n v="0.73266666666665969"/>
    <n v="72.784233419465977"/>
    <n v="0"/>
    <n v="0"/>
    <m/>
    <m/>
    <m/>
    <m/>
    <n v="53.326581685328229"/>
    <n v="0"/>
    <n v="74970.202167016105"/>
  </r>
  <r>
    <x v="158"/>
    <x v="4"/>
    <x v="18"/>
    <x v="0"/>
    <x v="1"/>
    <x v="1676"/>
    <x v="123"/>
    <s v="NAKİT"/>
    <n v="3"/>
    <n v="152.5"/>
    <n v="0"/>
    <n v="0"/>
    <m/>
    <m/>
    <m/>
    <m/>
    <n v="457.5"/>
    <n v="0"/>
    <n v="75427.702167016105"/>
  </r>
  <r>
    <x v="158"/>
    <x v="4"/>
    <x v="58"/>
    <x v="0"/>
    <x v="1"/>
    <x v="1676"/>
    <x v="123"/>
    <s v="NAKİT"/>
    <n v="33"/>
    <n v="135"/>
    <n v="0"/>
    <n v="0"/>
    <m/>
    <m/>
    <m/>
    <m/>
    <n v="4455"/>
    <n v="0"/>
    <n v="79882.702167016105"/>
  </r>
  <r>
    <x v="158"/>
    <x v="4"/>
    <x v="391"/>
    <x v="0"/>
    <x v="1"/>
    <x v="1677"/>
    <x v="25"/>
    <s v="NAKİT"/>
    <n v="0.23809523809523808"/>
    <n v="420"/>
    <n v="0"/>
    <n v="0"/>
    <m/>
    <m/>
    <m/>
    <m/>
    <n v="100"/>
    <n v="0"/>
    <n v="79982.702167016105"/>
  </r>
  <r>
    <x v="158"/>
    <x v="4"/>
    <x v="54"/>
    <x v="0"/>
    <x v="1"/>
    <x v="1678"/>
    <x v="180"/>
    <s v="NAKİT"/>
    <n v="0.1"/>
    <n v="400"/>
    <n v="0"/>
    <n v="0"/>
    <m/>
    <m/>
    <m/>
    <m/>
    <n v="40"/>
    <n v="0"/>
    <n v="80022.702167016105"/>
  </r>
  <r>
    <x v="158"/>
    <x v="4"/>
    <x v="52"/>
    <x v="0"/>
    <x v="1"/>
    <x v="1678"/>
    <x v="180"/>
    <s v="NAKİT"/>
    <n v="0.1"/>
    <n v="400"/>
    <n v="0"/>
    <n v="0"/>
    <m/>
    <m/>
    <m/>
    <m/>
    <n v="40"/>
    <n v="0"/>
    <n v="80062.702167016105"/>
  </r>
  <r>
    <x v="158"/>
    <x v="4"/>
    <x v="20"/>
    <x v="0"/>
    <x v="1"/>
    <x v="1679"/>
    <x v="25"/>
    <s v="NAKİT"/>
    <n v="1"/>
    <n v="200"/>
    <n v="0"/>
    <n v="0"/>
    <m/>
    <m/>
    <m/>
    <m/>
    <n v="200"/>
    <n v="0"/>
    <n v="80262.702167016105"/>
  </r>
  <r>
    <x v="158"/>
    <x v="4"/>
    <x v="58"/>
    <x v="0"/>
    <x v="5"/>
    <x v="1680"/>
    <x v="25"/>
    <s v="POS"/>
    <n v="1"/>
    <n v="230"/>
    <n v="230"/>
    <n v="0"/>
    <m/>
    <m/>
    <m/>
    <m/>
    <n v="0"/>
    <n v="0"/>
    <n v="80262.702167016105"/>
  </r>
  <r>
    <x v="158"/>
    <x v="4"/>
    <x v="14"/>
    <x v="0"/>
    <x v="5"/>
    <x v="1681"/>
    <x v="25"/>
    <s v="POS"/>
    <n v="0.5"/>
    <n v="300"/>
    <n v="150"/>
    <n v="0"/>
    <m/>
    <m/>
    <m/>
    <m/>
    <n v="0"/>
    <n v="0"/>
    <n v="80262.702167016105"/>
  </r>
  <r>
    <x v="158"/>
    <x v="4"/>
    <x v="157"/>
    <x v="0"/>
    <x v="5"/>
    <x v="1681"/>
    <x v="25"/>
    <s v="POS"/>
    <n v="0.5"/>
    <n v="140"/>
    <n v="70"/>
    <n v="0"/>
    <m/>
    <m/>
    <m/>
    <m/>
    <n v="0"/>
    <n v="0"/>
    <n v="80262.702167016105"/>
  </r>
  <r>
    <x v="158"/>
    <x v="4"/>
    <x v="49"/>
    <x v="0"/>
    <x v="5"/>
    <x v="1681"/>
    <x v="25"/>
    <s v="POS"/>
    <n v="0.1"/>
    <n v="600"/>
    <n v="60"/>
    <n v="0"/>
    <m/>
    <m/>
    <m/>
    <m/>
    <n v="0"/>
    <n v="0"/>
    <n v="80262.702167016105"/>
  </r>
  <r>
    <x v="158"/>
    <x v="4"/>
    <x v="360"/>
    <x v="0"/>
    <x v="1"/>
    <x v="1682"/>
    <x v="25"/>
    <s v="NAKİT"/>
    <n v="0.25"/>
    <n v="600"/>
    <n v="0"/>
    <n v="0"/>
    <m/>
    <m/>
    <m/>
    <m/>
    <n v="150"/>
    <n v="0"/>
    <n v="80412.702167016105"/>
  </r>
  <r>
    <x v="158"/>
    <x v="4"/>
    <x v="70"/>
    <x v="0"/>
    <x v="1"/>
    <x v="1682"/>
    <x v="25"/>
    <s v="NAKİT"/>
    <n v="0.2608695652173913"/>
    <n v="230"/>
    <n v="0"/>
    <n v="0"/>
    <m/>
    <m/>
    <m/>
    <m/>
    <n v="60"/>
    <n v="0"/>
    <n v="80472.702167016105"/>
  </r>
  <r>
    <x v="158"/>
    <x v="4"/>
    <x v="71"/>
    <x v="0"/>
    <x v="1"/>
    <x v="1682"/>
    <x v="25"/>
    <s v="NAKİT"/>
    <n v="0.2608695652173913"/>
    <n v="230"/>
    <n v="0"/>
    <n v="0"/>
    <m/>
    <m/>
    <m/>
    <m/>
    <n v="60"/>
    <n v="0"/>
    <n v="80532.702167016105"/>
  </r>
  <r>
    <x v="158"/>
    <x v="4"/>
    <x v="116"/>
    <x v="0"/>
    <x v="1"/>
    <x v="1682"/>
    <x v="25"/>
    <s v="NAKİT"/>
    <n v="0.27906976744186046"/>
    <n v="430"/>
    <n v="0"/>
    <n v="0"/>
    <m/>
    <m/>
    <m/>
    <m/>
    <n v="120"/>
    <n v="0"/>
    <n v="80652.702167016105"/>
  </r>
  <r>
    <x v="158"/>
    <x v="4"/>
    <x v="83"/>
    <x v="0"/>
    <x v="1"/>
    <x v="1682"/>
    <x v="25"/>
    <s v="NAKİT"/>
    <n v="0.05"/>
    <n v="2600"/>
    <n v="0"/>
    <n v="0"/>
    <m/>
    <m/>
    <m/>
    <m/>
    <n v="130"/>
    <n v="0"/>
    <n v="80782.702167016105"/>
  </r>
  <r>
    <x v="158"/>
    <x v="4"/>
    <x v="401"/>
    <x v="0"/>
    <x v="5"/>
    <x v="1683"/>
    <x v="25"/>
    <s v="POS"/>
    <n v="0.21"/>
    <n v="2400"/>
    <n v="504"/>
    <n v="0"/>
    <m/>
    <m/>
    <m/>
    <m/>
    <n v="0"/>
    <n v="0"/>
    <n v="80782.702167016105"/>
  </r>
  <r>
    <x v="158"/>
    <x v="4"/>
    <x v="19"/>
    <x v="0"/>
    <x v="1"/>
    <x v="1684"/>
    <x v="25"/>
    <s v="NAKİT"/>
    <n v="1"/>
    <n v="230"/>
    <n v="0"/>
    <n v="0"/>
    <m/>
    <m/>
    <m/>
    <m/>
    <n v="230"/>
    <n v="0"/>
    <n v="81012.702167016105"/>
  </r>
  <r>
    <x v="158"/>
    <x v="4"/>
    <x v="278"/>
    <x v="0"/>
    <x v="1"/>
    <x v="1684"/>
    <x v="25"/>
    <s v="NAKİT"/>
    <n v="1"/>
    <n v="180"/>
    <n v="0"/>
    <n v="0"/>
    <m/>
    <m/>
    <m/>
    <m/>
    <n v="180"/>
    <n v="0"/>
    <n v="81192.702167016105"/>
  </r>
  <r>
    <x v="158"/>
    <x v="4"/>
    <x v="248"/>
    <x v="0"/>
    <x v="1"/>
    <x v="1684"/>
    <x v="25"/>
    <s v="NAKİT"/>
    <n v="4.3478260869565216E-2"/>
    <n v="690"/>
    <n v="0"/>
    <n v="0"/>
    <m/>
    <m/>
    <m/>
    <m/>
    <n v="30"/>
    <n v="0"/>
    <n v="81222.702167016105"/>
  </r>
  <r>
    <x v="158"/>
    <x v="4"/>
    <x v="142"/>
    <x v="0"/>
    <x v="1"/>
    <x v="1684"/>
    <x v="25"/>
    <s v="NAKİT"/>
    <n v="0.12"/>
    <n v="250"/>
    <n v="0"/>
    <n v="0"/>
    <m/>
    <m/>
    <m/>
    <m/>
    <n v="30"/>
    <n v="0"/>
    <n v="81252.702167016105"/>
  </r>
  <r>
    <x v="158"/>
    <x v="4"/>
    <x v="83"/>
    <x v="0"/>
    <x v="1"/>
    <x v="1684"/>
    <x v="25"/>
    <s v="NAKİT"/>
    <n v="0.05"/>
    <n v="2600"/>
    <n v="0"/>
    <n v="0"/>
    <m/>
    <m/>
    <m/>
    <m/>
    <n v="130"/>
    <n v="0"/>
    <n v="81382.702167016105"/>
  </r>
  <r>
    <x v="158"/>
    <x v="4"/>
    <x v="36"/>
    <x v="0"/>
    <x v="5"/>
    <x v="1685"/>
    <x v="25"/>
    <s v="POS"/>
    <n v="0.27777777777777779"/>
    <n v="180"/>
    <n v="50"/>
    <n v="0"/>
    <m/>
    <m/>
    <m/>
    <m/>
    <n v="0"/>
    <n v="0"/>
    <n v="81382.702167016105"/>
  </r>
  <r>
    <x v="158"/>
    <x v="4"/>
    <x v="36"/>
    <x v="0"/>
    <x v="1"/>
    <x v="1686"/>
    <x v="25"/>
    <s v="NAKİT"/>
    <n v="0.27777777777777779"/>
    <n v="180"/>
    <n v="0"/>
    <n v="0"/>
    <m/>
    <m/>
    <m/>
    <m/>
    <n v="50"/>
    <n v="0"/>
    <n v="81432.702167016105"/>
  </r>
  <r>
    <x v="158"/>
    <x v="4"/>
    <x v="435"/>
    <x v="0"/>
    <x v="5"/>
    <x v="1687"/>
    <x v="25"/>
    <s v="POS"/>
    <n v="0.15"/>
    <n v="400"/>
    <n v="60"/>
    <n v="0"/>
    <m/>
    <m/>
    <m/>
    <m/>
    <n v="0"/>
    <n v="0"/>
    <n v="81432.702167016105"/>
  </r>
  <r>
    <x v="158"/>
    <x v="4"/>
    <x v="32"/>
    <x v="0"/>
    <x v="5"/>
    <x v="1687"/>
    <x v="25"/>
    <s v="POS"/>
    <n v="0.1"/>
    <n v="400"/>
    <n v="40"/>
    <n v="0"/>
    <m/>
    <m/>
    <m/>
    <m/>
    <n v="0"/>
    <n v="0"/>
    <n v="81432.702167016105"/>
  </r>
  <r>
    <x v="158"/>
    <x v="4"/>
    <x v="4"/>
    <x v="0"/>
    <x v="5"/>
    <x v="1688"/>
    <x v="25"/>
    <s v="POS"/>
    <n v="1"/>
    <n v="100"/>
    <n v="100"/>
    <n v="0"/>
    <m/>
    <m/>
    <m/>
    <m/>
    <n v="0"/>
    <n v="0"/>
    <n v="81432.702167016105"/>
  </r>
  <r>
    <x v="158"/>
    <x v="4"/>
    <x v="52"/>
    <x v="0"/>
    <x v="5"/>
    <x v="1688"/>
    <x v="25"/>
    <s v="POS"/>
    <n v="0.1"/>
    <n v="400"/>
    <n v="40"/>
    <n v="0"/>
    <m/>
    <m/>
    <m/>
    <m/>
    <n v="0"/>
    <n v="0"/>
    <n v="81432.702167016105"/>
  </r>
  <r>
    <x v="158"/>
    <x v="4"/>
    <x v="383"/>
    <x v="0"/>
    <x v="5"/>
    <x v="1688"/>
    <x v="25"/>
    <s v="POS"/>
    <n v="0.1"/>
    <n v="400"/>
    <n v="40"/>
    <n v="0"/>
    <m/>
    <m/>
    <m/>
    <m/>
    <n v="0"/>
    <n v="0"/>
    <n v="81432.702167016105"/>
  </r>
  <r>
    <x v="158"/>
    <x v="4"/>
    <x v="286"/>
    <x v="0"/>
    <x v="5"/>
    <x v="1689"/>
    <x v="25"/>
    <s v="POS"/>
    <n v="1.0615384615384615"/>
    <n v="65"/>
    <n v="69"/>
    <n v="0"/>
    <m/>
    <m/>
    <m/>
    <m/>
    <n v="0"/>
    <n v="0"/>
    <n v="81432.702167016105"/>
  </r>
  <r>
    <x v="158"/>
    <x v="4"/>
    <x v="391"/>
    <x v="0"/>
    <x v="5"/>
    <x v="1689"/>
    <x v="25"/>
    <s v="POS"/>
    <n v="0.32142857142857145"/>
    <n v="420"/>
    <n v="135"/>
    <n v="0"/>
    <m/>
    <m/>
    <m/>
    <m/>
    <n v="0"/>
    <n v="0"/>
    <n v="81432.702167016105"/>
  </r>
  <r>
    <x v="158"/>
    <x v="4"/>
    <x v="312"/>
    <x v="0"/>
    <x v="5"/>
    <x v="1689"/>
    <x v="25"/>
    <s v="POS"/>
    <n v="0.5"/>
    <n v="300"/>
    <n v="150"/>
    <n v="0"/>
    <m/>
    <m/>
    <m/>
    <m/>
    <n v="0"/>
    <n v="0"/>
    <n v="81432.702167016105"/>
  </r>
  <r>
    <x v="158"/>
    <x v="4"/>
    <x v="30"/>
    <x v="0"/>
    <x v="5"/>
    <x v="1690"/>
    <x v="25"/>
    <s v="POS"/>
    <n v="0.2"/>
    <n v="500"/>
    <n v="100"/>
    <n v="0"/>
    <m/>
    <m/>
    <m/>
    <m/>
    <n v="0"/>
    <n v="0"/>
    <n v="81432.702167016105"/>
  </r>
  <r>
    <x v="158"/>
    <x v="4"/>
    <x v="161"/>
    <x v="0"/>
    <x v="5"/>
    <x v="1690"/>
    <x v="25"/>
    <s v="POS"/>
    <n v="0.17499999999999999"/>
    <n v="400"/>
    <n v="70"/>
    <n v="0"/>
    <m/>
    <m/>
    <m/>
    <m/>
    <n v="0"/>
    <n v="0"/>
    <n v="81432.702167016105"/>
  </r>
  <r>
    <x v="158"/>
    <x v="4"/>
    <x v="384"/>
    <x v="0"/>
    <x v="1"/>
    <x v="1691"/>
    <x v="25"/>
    <s v="NAKİT"/>
    <n v="1"/>
    <n v="295"/>
    <n v="0"/>
    <n v="0"/>
    <m/>
    <m/>
    <m/>
    <m/>
    <n v="295"/>
    <n v="0"/>
    <n v="81727.702167016105"/>
  </r>
  <r>
    <x v="158"/>
    <x v="4"/>
    <x v="142"/>
    <x v="0"/>
    <x v="1"/>
    <x v="1692"/>
    <x v="25"/>
    <s v="NAKİT"/>
    <n v="1"/>
    <n v="250"/>
    <n v="0"/>
    <n v="0"/>
    <m/>
    <m/>
    <m/>
    <m/>
    <n v="250"/>
    <n v="0"/>
    <n v="81977.702167016105"/>
  </r>
  <r>
    <x v="158"/>
    <x v="4"/>
    <x v="58"/>
    <x v="0"/>
    <x v="1"/>
    <x v="1693"/>
    <x v="25"/>
    <s v="NAKİT"/>
    <n v="1"/>
    <n v="230"/>
    <n v="0"/>
    <n v="0"/>
    <m/>
    <m/>
    <m/>
    <m/>
    <n v="230"/>
    <n v="0"/>
    <n v="82207.702167016105"/>
  </r>
  <r>
    <x v="158"/>
    <x v="4"/>
    <x v="58"/>
    <x v="0"/>
    <x v="1"/>
    <x v="1694"/>
    <x v="25"/>
    <s v="NAKİT"/>
    <n v="1"/>
    <n v="230"/>
    <n v="0"/>
    <n v="0"/>
    <m/>
    <m/>
    <m/>
    <m/>
    <n v="230"/>
    <n v="0"/>
    <n v="82437.702167016105"/>
  </r>
  <r>
    <x v="158"/>
    <x v="4"/>
    <x v="31"/>
    <x v="0"/>
    <x v="1"/>
    <x v="1695"/>
    <x v="25"/>
    <s v="NAKİT"/>
    <n v="0.252"/>
    <n v="400"/>
    <n v="0"/>
    <n v="0"/>
    <m/>
    <m/>
    <m/>
    <m/>
    <n v="100.8"/>
    <n v="0"/>
    <n v="82538.502167016108"/>
  </r>
  <r>
    <x v="158"/>
    <x v="4"/>
    <x v="28"/>
    <x v="0"/>
    <x v="1"/>
    <x v="1695"/>
    <x v="25"/>
    <s v="NAKİT"/>
    <n v="0.20599999999999999"/>
    <n v="500"/>
    <n v="0"/>
    <n v="0"/>
    <m/>
    <m/>
    <m/>
    <m/>
    <n v="103"/>
    <n v="0"/>
    <n v="82641.502167016108"/>
  </r>
  <r>
    <x v="158"/>
    <x v="4"/>
    <x v="244"/>
    <x v="0"/>
    <x v="1"/>
    <x v="1695"/>
    <x v="25"/>
    <s v="NAKİT"/>
    <n v="0.5"/>
    <n v="120"/>
    <n v="0"/>
    <n v="0"/>
    <m/>
    <m/>
    <m/>
    <m/>
    <n v="60"/>
    <n v="0"/>
    <n v="82701.502167016108"/>
  </r>
  <r>
    <x v="158"/>
    <x v="4"/>
    <x v="161"/>
    <x v="0"/>
    <x v="1"/>
    <x v="1695"/>
    <x v="25"/>
    <s v="NAKİT"/>
    <n v="0.28599999999999998"/>
    <n v="400"/>
    <n v="0"/>
    <n v="0"/>
    <m/>
    <m/>
    <m/>
    <m/>
    <n v="114.39999999999999"/>
    <n v="0"/>
    <n v="82815.902167016102"/>
  </r>
  <r>
    <x v="158"/>
    <x v="4"/>
    <x v="150"/>
    <x v="0"/>
    <x v="1"/>
    <x v="1695"/>
    <x v="25"/>
    <s v="NAKİT"/>
    <n v="1"/>
    <n v="250"/>
    <n v="0"/>
    <n v="0"/>
    <m/>
    <m/>
    <m/>
    <m/>
    <n v="250"/>
    <n v="0"/>
    <n v="83065.902167016102"/>
  </r>
  <r>
    <x v="158"/>
    <x v="4"/>
    <x v="384"/>
    <x v="0"/>
    <x v="1"/>
    <x v="1696"/>
    <x v="129"/>
    <s v="NAKİT"/>
    <n v="1"/>
    <n v="230"/>
    <n v="0"/>
    <n v="0"/>
    <m/>
    <m/>
    <m/>
    <m/>
    <n v="230"/>
    <n v="0"/>
    <n v="83295.902167016102"/>
  </r>
  <r>
    <x v="158"/>
    <x v="4"/>
    <x v="339"/>
    <x v="0"/>
    <x v="1"/>
    <x v="1696"/>
    <x v="129"/>
    <s v="NAKİT"/>
    <n v="1"/>
    <n v="71"/>
    <n v="0"/>
    <n v="0"/>
    <m/>
    <m/>
    <m/>
    <m/>
    <n v="71"/>
    <n v="0"/>
    <n v="83366.902167016102"/>
  </r>
  <r>
    <x v="158"/>
    <x v="7"/>
    <x v="0"/>
    <x v="0"/>
    <x v="2"/>
    <x v="2"/>
    <x v="55"/>
    <s v="NAKİT"/>
    <n v="1"/>
    <m/>
    <n v="2589.56"/>
    <n v="0"/>
    <m/>
    <m/>
    <m/>
    <m/>
    <n v="0"/>
    <n v="2589.56"/>
    <n v="80777.342167016104"/>
  </r>
  <r>
    <x v="158"/>
    <x v="10"/>
    <x v="0"/>
    <x v="0"/>
    <x v="5"/>
    <x v="2"/>
    <x v="63"/>
    <s v="POS"/>
    <n v="1"/>
    <n v="2705"/>
    <n v="0"/>
    <n v="2705"/>
    <m/>
    <m/>
    <m/>
    <m/>
    <n v="2705"/>
    <n v="0"/>
    <n v="83482.342167016104"/>
  </r>
  <r>
    <x v="159"/>
    <x v="3"/>
    <x v="445"/>
    <x v="0"/>
    <x v="12"/>
    <x v="1697"/>
    <x v="148"/>
    <s v="CARİ"/>
    <n v="5"/>
    <n v="50.5"/>
    <n v="0"/>
    <n v="252.5"/>
    <m/>
    <m/>
    <m/>
    <m/>
    <n v="0"/>
    <n v="0"/>
    <n v="83482.342167016104"/>
  </r>
  <r>
    <x v="159"/>
    <x v="3"/>
    <x v="448"/>
    <x v="0"/>
    <x v="12"/>
    <x v="1697"/>
    <x v="148"/>
    <s v="CARİ"/>
    <n v="3"/>
    <n v="50.5"/>
    <n v="0"/>
    <n v="151.5"/>
    <m/>
    <m/>
    <m/>
    <m/>
    <n v="0"/>
    <n v="0"/>
    <n v="83482.342167016104"/>
  </r>
  <r>
    <x v="159"/>
    <x v="3"/>
    <x v="449"/>
    <x v="0"/>
    <x v="12"/>
    <x v="1697"/>
    <x v="148"/>
    <s v="CARİ"/>
    <n v="5"/>
    <n v="434.3"/>
    <n v="0"/>
    <n v="2171.5"/>
    <m/>
    <m/>
    <m/>
    <m/>
    <n v="0"/>
    <n v="0"/>
    <n v="83482.342167016104"/>
  </r>
  <r>
    <x v="159"/>
    <x v="3"/>
    <x v="142"/>
    <x v="0"/>
    <x v="12"/>
    <x v="1697"/>
    <x v="148"/>
    <s v="CARİ"/>
    <n v="5"/>
    <n v="181.8"/>
    <n v="0"/>
    <n v="909"/>
    <m/>
    <m/>
    <m/>
    <m/>
    <n v="0"/>
    <n v="0"/>
    <n v="83482.342167016104"/>
  </r>
  <r>
    <x v="159"/>
    <x v="4"/>
    <x v="389"/>
    <x v="0"/>
    <x v="5"/>
    <x v="1698"/>
    <x v="25"/>
    <s v="POS"/>
    <n v="0.44"/>
    <n v="500"/>
    <n v="220"/>
    <n v="0"/>
    <m/>
    <m/>
    <m/>
    <m/>
    <n v="0"/>
    <n v="0"/>
    <n v="83482.342167016104"/>
  </r>
  <r>
    <x v="159"/>
    <x v="4"/>
    <x v="392"/>
    <x v="0"/>
    <x v="1"/>
    <x v="1699"/>
    <x v="25"/>
    <s v="NAKİT"/>
    <n v="0.50270270270270268"/>
    <n v="370"/>
    <n v="0"/>
    <n v="0"/>
    <m/>
    <m/>
    <m/>
    <m/>
    <n v="186"/>
    <n v="0"/>
    <n v="83668.342167016104"/>
  </r>
  <r>
    <x v="159"/>
    <x v="4"/>
    <x v="347"/>
    <x v="0"/>
    <x v="1"/>
    <x v="1699"/>
    <x v="25"/>
    <s v="NAKİT"/>
    <n v="0.50701754385964914"/>
    <n v="570"/>
    <n v="0"/>
    <n v="0"/>
    <m/>
    <m/>
    <m/>
    <m/>
    <n v="289"/>
    <n v="0"/>
    <n v="83957.342167016104"/>
  </r>
  <r>
    <x v="159"/>
    <x v="4"/>
    <x v="52"/>
    <x v="0"/>
    <x v="1"/>
    <x v="1700"/>
    <x v="25"/>
    <s v="NAKİT"/>
    <n v="0.1"/>
    <n v="400"/>
    <n v="0"/>
    <n v="0"/>
    <m/>
    <m/>
    <m/>
    <m/>
    <n v="40"/>
    <n v="0"/>
    <n v="83997.342167016104"/>
  </r>
  <r>
    <x v="159"/>
    <x v="4"/>
    <x v="58"/>
    <x v="0"/>
    <x v="1"/>
    <x v="1700"/>
    <x v="25"/>
    <s v="NAKİT"/>
    <n v="1"/>
    <n v="230"/>
    <n v="0"/>
    <n v="0"/>
    <m/>
    <m/>
    <m/>
    <m/>
    <n v="230"/>
    <n v="0"/>
    <n v="84227.342167016104"/>
  </r>
  <r>
    <x v="159"/>
    <x v="4"/>
    <x v="62"/>
    <x v="0"/>
    <x v="1"/>
    <x v="1701"/>
    <x v="25"/>
    <s v="NAKİT"/>
    <n v="1"/>
    <n v="60"/>
    <n v="0"/>
    <n v="0"/>
    <m/>
    <m/>
    <m/>
    <m/>
    <n v="60"/>
    <n v="0"/>
    <n v="84287.342167016104"/>
  </r>
  <r>
    <x v="159"/>
    <x v="4"/>
    <x v="161"/>
    <x v="0"/>
    <x v="1"/>
    <x v="1702"/>
    <x v="25"/>
    <s v="NAKİT"/>
    <n v="0.25"/>
    <n v="400"/>
    <n v="0"/>
    <n v="0"/>
    <m/>
    <m/>
    <m/>
    <m/>
    <n v="100"/>
    <n v="0"/>
    <n v="84387.342167016104"/>
  </r>
  <r>
    <x v="159"/>
    <x v="4"/>
    <x v="27"/>
    <x v="0"/>
    <x v="1"/>
    <x v="1702"/>
    <x v="25"/>
    <s v="NAKİT"/>
    <n v="0.1075"/>
    <n v="400"/>
    <n v="0"/>
    <n v="0"/>
    <m/>
    <m/>
    <m/>
    <m/>
    <n v="43"/>
    <n v="0"/>
    <n v="84430.342167016104"/>
  </r>
  <r>
    <x v="159"/>
    <x v="4"/>
    <x v="23"/>
    <x v="0"/>
    <x v="1"/>
    <x v="1703"/>
    <x v="25"/>
    <s v="NAKİT"/>
    <n v="0.15"/>
    <n v="300"/>
    <n v="0"/>
    <n v="0"/>
    <m/>
    <m/>
    <m/>
    <m/>
    <n v="45"/>
    <n v="0"/>
    <n v="84475.342167016104"/>
  </r>
  <r>
    <x v="159"/>
    <x v="4"/>
    <x v="74"/>
    <x v="0"/>
    <x v="1"/>
    <x v="1704"/>
    <x v="25"/>
    <s v="NAKİT"/>
    <n v="0.5"/>
    <n v="360"/>
    <n v="0"/>
    <n v="0"/>
    <m/>
    <m/>
    <m/>
    <m/>
    <n v="180"/>
    <n v="0"/>
    <n v="84655.342167016104"/>
  </r>
  <r>
    <x v="159"/>
    <x v="4"/>
    <x v="50"/>
    <x v="0"/>
    <x v="1"/>
    <x v="1704"/>
    <x v="25"/>
    <s v="NAKİT"/>
    <n v="0.08"/>
    <n v="750"/>
    <n v="0"/>
    <n v="0"/>
    <m/>
    <m/>
    <m/>
    <m/>
    <n v="60"/>
    <n v="0"/>
    <n v="84715.342167016104"/>
  </r>
  <r>
    <x v="159"/>
    <x v="4"/>
    <x v="83"/>
    <x v="0"/>
    <x v="1"/>
    <x v="1705"/>
    <x v="25"/>
    <s v="NAKİT"/>
    <n v="0.05"/>
    <n v="2600"/>
    <n v="0"/>
    <n v="0"/>
    <m/>
    <m/>
    <m/>
    <m/>
    <n v="130"/>
    <n v="0"/>
    <n v="84845.342167016104"/>
  </r>
  <r>
    <x v="159"/>
    <x v="4"/>
    <x v="401"/>
    <x v="0"/>
    <x v="5"/>
    <x v="1706"/>
    <x v="25"/>
    <s v="POS"/>
    <n v="0.15"/>
    <n v="2400"/>
    <n v="360"/>
    <n v="0"/>
    <m/>
    <m/>
    <m/>
    <m/>
    <n v="0"/>
    <n v="0"/>
    <n v="84845.342167016104"/>
  </r>
  <r>
    <x v="159"/>
    <x v="4"/>
    <x v="360"/>
    <x v="0"/>
    <x v="1"/>
    <x v="1707"/>
    <x v="141"/>
    <s v="NAKİT"/>
    <n v="1"/>
    <n v="600"/>
    <n v="0"/>
    <n v="0"/>
    <m/>
    <m/>
    <m/>
    <m/>
    <n v="600"/>
    <n v="0"/>
    <n v="85445.342167016104"/>
  </r>
  <r>
    <x v="159"/>
    <x v="4"/>
    <x v="51"/>
    <x v="0"/>
    <x v="1"/>
    <x v="1707"/>
    <x v="141"/>
    <s v="NAKİT"/>
    <n v="0.1"/>
    <n v="400"/>
    <n v="0"/>
    <n v="0"/>
    <m/>
    <m/>
    <m/>
    <m/>
    <n v="40"/>
    <n v="0"/>
    <n v="85485.342167016104"/>
  </r>
  <r>
    <x v="159"/>
    <x v="4"/>
    <x v="98"/>
    <x v="0"/>
    <x v="1"/>
    <x v="1707"/>
    <x v="141"/>
    <s v="NAKİT"/>
    <n v="0.875"/>
    <n v="800"/>
    <n v="0"/>
    <n v="0"/>
    <m/>
    <m/>
    <m/>
    <m/>
    <n v="700"/>
    <n v="0"/>
    <n v="86185.342167016104"/>
  </r>
  <r>
    <x v="159"/>
    <x v="4"/>
    <x v="23"/>
    <x v="0"/>
    <x v="1"/>
    <x v="1708"/>
    <x v="25"/>
    <s v="NAKİT"/>
    <n v="0.05"/>
    <n v="300"/>
    <n v="0"/>
    <n v="0"/>
    <m/>
    <m/>
    <m/>
    <m/>
    <n v="15"/>
    <n v="0"/>
    <n v="86200.342167016104"/>
  </r>
  <r>
    <x v="159"/>
    <x v="4"/>
    <x v="31"/>
    <x v="0"/>
    <x v="1"/>
    <x v="1708"/>
    <x v="25"/>
    <s v="NAKİT"/>
    <n v="0.13"/>
    <n v="400"/>
    <n v="0"/>
    <n v="0"/>
    <m/>
    <m/>
    <m/>
    <m/>
    <n v="52"/>
    <n v="0"/>
    <n v="86252.342167016104"/>
  </r>
  <r>
    <x v="159"/>
    <x v="4"/>
    <x v="384"/>
    <x v="0"/>
    <x v="1"/>
    <x v="1708"/>
    <x v="25"/>
    <s v="NAKİT"/>
    <n v="1"/>
    <n v="295"/>
    <n v="0"/>
    <n v="0"/>
    <m/>
    <m/>
    <m/>
    <m/>
    <n v="295"/>
    <n v="0"/>
    <n v="86547.342167016104"/>
  </r>
  <r>
    <x v="159"/>
    <x v="4"/>
    <x v="40"/>
    <x v="0"/>
    <x v="1"/>
    <x v="1709"/>
    <x v="25"/>
    <s v="NAKİT"/>
    <n v="4.8000000000000001E-2"/>
    <n v="140"/>
    <n v="0"/>
    <n v="0"/>
    <m/>
    <m/>
    <m/>
    <m/>
    <n v="6.72"/>
    <n v="0"/>
    <n v="86554.062167016105"/>
  </r>
  <r>
    <x v="159"/>
    <x v="4"/>
    <x v="33"/>
    <x v="0"/>
    <x v="1"/>
    <x v="1710"/>
    <x v="180"/>
    <s v="NAKİT"/>
    <n v="1.05"/>
    <n v="400"/>
    <n v="0"/>
    <n v="0"/>
    <m/>
    <m/>
    <m/>
    <m/>
    <n v="420"/>
    <n v="0"/>
    <n v="86974.062167016105"/>
  </r>
  <r>
    <x v="159"/>
    <x v="4"/>
    <x v="446"/>
    <x v="0"/>
    <x v="1"/>
    <x v="1711"/>
    <x v="25"/>
    <s v="NAKİT"/>
    <n v="0.6"/>
    <n v="550"/>
    <n v="0"/>
    <n v="0"/>
    <m/>
    <m/>
    <m/>
    <m/>
    <n v="330"/>
    <n v="0"/>
    <n v="87304.062167016105"/>
  </r>
  <r>
    <x v="159"/>
    <x v="4"/>
    <x v="392"/>
    <x v="0"/>
    <x v="5"/>
    <x v="1712"/>
    <x v="25"/>
    <s v="POS"/>
    <n v="0.5"/>
    <n v="370"/>
    <n v="185"/>
    <n v="0"/>
    <m/>
    <m/>
    <m/>
    <m/>
    <n v="0"/>
    <n v="0"/>
    <n v="87304.062167016105"/>
  </r>
  <r>
    <x v="159"/>
    <x v="4"/>
    <x v="391"/>
    <x v="0"/>
    <x v="5"/>
    <x v="1712"/>
    <x v="25"/>
    <s v="POS"/>
    <n v="0.5"/>
    <n v="420"/>
    <n v="210"/>
    <n v="0"/>
    <m/>
    <m/>
    <m/>
    <m/>
    <n v="0"/>
    <n v="0"/>
    <n v="87304.062167016105"/>
  </r>
  <r>
    <x v="159"/>
    <x v="10"/>
    <x v="0"/>
    <x v="0"/>
    <x v="5"/>
    <x v="2"/>
    <x v="181"/>
    <s v="POS"/>
    <n v="1"/>
    <n v="3484.5"/>
    <n v="0"/>
    <n v="3484.5"/>
    <n v="208"/>
    <n v="0"/>
    <m/>
    <m/>
    <m/>
    <n v="0"/>
    <n v="87304.062167016105"/>
  </r>
  <r>
    <x v="159"/>
    <x v="7"/>
    <x v="0"/>
    <x v="0"/>
    <x v="12"/>
    <x v="2"/>
    <x v="181"/>
    <s v="NAKİT"/>
    <n v="1"/>
    <n v="0"/>
    <n v="3484.5"/>
    <n v="0"/>
    <m/>
    <m/>
    <m/>
    <m/>
    <n v="0"/>
    <m/>
    <n v="87304.062167016105"/>
  </r>
  <r>
    <x v="159"/>
    <x v="3"/>
    <x v="447"/>
    <x v="0"/>
    <x v="15"/>
    <x v="2"/>
    <x v="182"/>
    <s v="CARİ"/>
    <n v="5"/>
    <n v="230"/>
    <n v="0"/>
    <n v="1150"/>
    <m/>
    <m/>
    <m/>
    <m/>
    <n v="0"/>
    <n v="0"/>
    <n v="87304.062167016105"/>
  </r>
  <r>
    <x v="159"/>
    <x v="3"/>
    <x v="450"/>
    <x v="0"/>
    <x v="15"/>
    <x v="2"/>
    <x v="182"/>
    <s v="CARİ"/>
    <n v="5"/>
    <n v="390"/>
    <n v="0"/>
    <n v="1950"/>
    <m/>
    <m/>
    <m/>
    <m/>
    <n v="0"/>
    <n v="0"/>
    <n v="87304.062167016105"/>
  </r>
  <r>
    <x v="159"/>
    <x v="3"/>
    <x v="446"/>
    <x v="0"/>
    <x v="15"/>
    <x v="2"/>
    <x v="182"/>
    <s v="CARİ"/>
    <n v="5"/>
    <n v="450"/>
    <n v="0"/>
    <n v="2250"/>
    <m/>
    <m/>
    <m/>
    <m/>
    <n v="0"/>
    <n v="0"/>
    <n v="87304.062167016105"/>
  </r>
  <r>
    <x v="159"/>
    <x v="7"/>
    <x v="0"/>
    <x v="0"/>
    <x v="15"/>
    <x v="2"/>
    <x v="183"/>
    <s v="CARİ"/>
    <n v="1"/>
    <n v="0"/>
    <n v="3000"/>
    <n v="0"/>
    <m/>
    <m/>
    <m/>
    <m/>
    <n v="0"/>
    <n v="3000"/>
    <n v="84304.062167016105"/>
  </r>
  <r>
    <x v="159"/>
    <x v="7"/>
    <x v="0"/>
    <x v="0"/>
    <x v="9"/>
    <x v="2"/>
    <x v="137"/>
    <s v="NAKİT"/>
    <n v="1"/>
    <n v="0"/>
    <n v="5000"/>
    <n v="0"/>
    <m/>
    <m/>
    <m/>
    <m/>
    <n v="0"/>
    <n v="5000"/>
    <n v="79304.062167016105"/>
  </r>
  <r>
    <x v="159"/>
    <x v="3"/>
    <x v="312"/>
    <x v="0"/>
    <x v="1"/>
    <x v="2"/>
    <x v="184"/>
    <s v="NAKİT"/>
    <n v="4"/>
    <n v="375"/>
    <n v="0"/>
    <n v="0"/>
    <m/>
    <m/>
    <m/>
    <m/>
    <n v="0"/>
    <n v="1500"/>
    <n v="77804.062167016105"/>
  </r>
  <r>
    <x v="159"/>
    <x v="3"/>
    <x v="312"/>
    <x v="0"/>
    <x v="1"/>
    <x v="2"/>
    <x v="185"/>
    <s v="NAKİT"/>
    <n v="23.5"/>
    <n v="200"/>
    <n v="0"/>
    <n v="0"/>
    <m/>
    <m/>
    <m/>
    <m/>
    <n v="0"/>
    <n v="4700"/>
    <n v="73104.062167016105"/>
  </r>
  <r>
    <x v="159"/>
    <x v="10"/>
    <x v="0"/>
    <x v="0"/>
    <x v="5"/>
    <x v="2"/>
    <x v="63"/>
    <s v="POS"/>
    <n v="1"/>
    <n v="320"/>
    <n v="0"/>
    <n v="320"/>
    <m/>
    <m/>
    <m/>
    <m/>
    <n v="320"/>
    <n v="0"/>
    <n v="73424.062167016105"/>
  </r>
  <r>
    <x v="160"/>
    <x v="4"/>
    <x v="23"/>
    <x v="0"/>
    <x v="5"/>
    <x v="1713"/>
    <x v="25"/>
    <s v="POS"/>
    <n v="0.13333333333333333"/>
    <n v="300"/>
    <n v="40"/>
    <n v="0"/>
    <m/>
    <m/>
    <m/>
    <m/>
    <n v="0"/>
    <n v="0"/>
    <n v="73424.062167016105"/>
  </r>
  <r>
    <x v="160"/>
    <x v="4"/>
    <x v="38"/>
    <x v="0"/>
    <x v="5"/>
    <x v="1713"/>
    <x v="25"/>
    <s v="POS"/>
    <n v="0.5"/>
    <n v="600"/>
    <n v="300"/>
    <n v="0"/>
    <m/>
    <m/>
    <m/>
    <m/>
    <n v="0"/>
    <n v="0"/>
    <n v="73424.062167016105"/>
  </r>
  <r>
    <x v="160"/>
    <x v="4"/>
    <x v="24"/>
    <x v="0"/>
    <x v="1"/>
    <x v="1714"/>
    <x v="25"/>
    <s v="NAKİT"/>
    <n v="0.30769230769230771"/>
    <n v="650"/>
    <n v="0"/>
    <n v="0"/>
    <m/>
    <m/>
    <m/>
    <m/>
    <n v="200"/>
    <n v="0"/>
    <n v="73624.062167016105"/>
  </r>
  <r>
    <x v="160"/>
    <x v="4"/>
    <x v="29"/>
    <x v="0"/>
    <x v="1"/>
    <x v="1714"/>
    <x v="25"/>
    <s v="NAKİT"/>
    <n v="0.11600000000000001"/>
    <n v="750"/>
    <n v="0"/>
    <n v="0"/>
    <m/>
    <m/>
    <m/>
    <m/>
    <n v="87"/>
    <n v="0"/>
    <n v="73711.062167016105"/>
  </r>
  <r>
    <x v="160"/>
    <x v="4"/>
    <x v="435"/>
    <x v="0"/>
    <x v="5"/>
    <x v="1715"/>
    <x v="25"/>
    <s v="POS"/>
    <n v="0.54749999999999999"/>
    <n v="400"/>
    <n v="219"/>
    <n v="0"/>
    <m/>
    <m/>
    <m/>
    <m/>
    <n v="0"/>
    <n v="0"/>
    <n v="73711.062167016105"/>
  </r>
  <r>
    <x v="160"/>
    <x v="4"/>
    <x v="69"/>
    <x v="0"/>
    <x v="5"/>
    <x v="1716"/>
    <x v="25"/>
    <s v="POS"/>
    <n v="0.05"/>
    <n v="1000"/>
    <n v="50"/>
    <n v="0"/>
    <m/>
    <m/>
    <m/>
    <m/>
    <n v="0"/>
    <n v="0"/>
    <n v="73711.062167016105"/>
  </r>
  <r>
    <x v="160"/>
    <x v="4"/>
    <x v="155"/>
    <x v="0"/>
    <x v="1"/>
    <x v="1717"/>
    <x v="25"/>
    <s v="NAKİT"/>
    <n v="0.1"/>
    <n v="700"/>
    <n v="0"/>
    <n v="0"/>
    <m/>
    <m/>
    <m/>
    <m/>
    <n v="70"/>
    <n v="0"/>
    <n v="73781.062167016105"/>
  </r>
  <r>
    <x v="160"/>
    <x v="4"/>
    <x v="88"/>
    <x v="0"/>
    <x v="1"/>
    <x v="1717"/>
    <x v="25"/>
    <s v="NAKİT"/>
    <n v="0.05"/>
    <n v="1200"/>
    <n v="0"/>
    <n v="0"/>
    <m/>
    <m/>
    <m/>
    <m/>
    <n v="60"/>
    <n v="0"/>
    <n v="73841.062167016105"/>
  </r>
  <r>
    <x v="160"/>
    <x v="4"/>
    <x v="187"/>
    <x v="0"/>
    <x v="5"/>
    <x v="1718"/>
    <x v="25"/>
    <s v="POS"/>
    <n v="1"/>
    <n v="260"/>
    <n v="260"/>
    <n v="0"/>
    <m/>
    <m/>
    <m/>
    <m/>
    <n v="0"/>
    <n v="0"/>
    <n v="73841.062167016105"/>
  </r>
  <r>
    <x v="160"/>
    <x v="4"/>
    <x v="223"/>
    <x v="0"/>
    <x v="5"/>
    <x v="1719"/>
    <x v="25"/>
    <s v="POS"/>
    <n v="1"/>
    <n v="260"/>
    <n v="260"/>
    <n v="0"/>
    <m/>
    <m/>
    <m/>
    <m/>
    <n v="0"/>
    <n v="0"/>
    <n v="73841.062167016105"/>
  </r>
  <r>
    <x v="160"/>
    <x v="4"/>
    <x v="339"/>
    <x v="0"/>
    <x v="1"/>
    <x v="1720"/>
    <x v="25"/>
    <s v="NAKİT"/>
    <n v="1"/>
    <n v="135"/>
    <n v="0"/>
    <n v="0"/>
    <m/>
    <m/>
    <m/>
    <m/>
    <n v="135"/>
    <n v="0"/>
    <n v="73976.062167016105"/>
  </r>
  <r>
    <x v="160"/>
    <x v="4"/>
    <x v="38"/>
    <x v="0"/>
    <x v="1"/>
    <x v="1720"/>
    <x v="25"/>
    <s v="NAKİT"/>
    <n v="0.1"/>
    <n v="600"/>
    <n v="0"/>
    <n v="0"/>
    <m/>
    <m/>
    <m/>
    <m/>
    <n v="60"/>
    <n v="0"/>
    <n v="74036.062167016105"/>
  </r>
  <r>
    <x v="160"/>
    <x v="4"/>
    <x v="61"/>
    <x v="0"/>
    <x v="1"/>
    <x v="1721"/>
    <x v="25"/>
    <s v="NAKİT"/>
    <n v="4.5454545454545456E-2"/>
    <n v="770"/>
    <n v="0"/>
    <n v="0"/>
    <m/>
    <m/>
    <m/>
    <m/>
    <n v="35"/>
    <n v="0"/>
    <n v="74071.062167016105"/>
  </r>
  <r>
    <x v="160"/>
    <x v="4"/>
    <x v="40"/>
    <x v="0"/>
    <x v="5"/>
    <x v="1722"/>
    <x v="25"/>
    <s v="POS"/>
    <n v="0.14285714285714285"/>
    <n v="140"/>
    <n v="20"/>
    <n v="0"/>
    <m/>
    <m/>
    <m/>
    <m/>
    <n v="0"/>
    <n v="0"/>
    <n v="74071.062167016105"/>
  </r>
  <r>
    <x v="160"/>
    <x v="4"/>
    <x v="33"/>
    <x v="0"/>
    <x v="5"/>
    <x v="1723"/>
    <x v="25"/>
    <s v="POS"/>
    <n v="0.17499999999999999"/>
    <n v="400"/>
    <n v="70"/>
    <n v="0"/>
    <m/>
    <m/>
    <m/>
    <m/>
    <n v="0"/>
    <n v="0"/>
    <n v="74071.062167016105"/>
  </r>
  <r>
    <x v="160"/>
    <x v="4"/>
    <x v="29"/>
    <x v="0"/>
    <x v="5"/>
    <x v="1723"/>
    <x v="25"/>
    <s v="POS"/>
    <n v="3.2000000000000001E-2"/>
    <n v="750"/>
    <n v="24"/>
    <n v="0"/>
    <m/>
    <m/>
    <m/>
    <m/>
    <n v="0"/>
    <n v="0"/>
    <n v="74071.062167016105"/>
  </r>
  <r>
    <x v="160"/>
    <x v="4"/>
    <x v="36"/>
    <x v="0"/>
    <x v="5"/>
    <x v="1723"/>
    <x v="25"/>
    <s v="POS"/>
    <n v="0.27800000000000002"/>
    <n v="180"/>
    <n v="50.040000000000006"/>
    <n v="0"/>
    <m/>
    <m/>
    <m/>
    <m/>
    <n v="0"/>
    <n v="0"/>
    <n v="74071.062167016105"/>
  </r>
  <r>
    <x v="160"/>
    <x v="4"/>
    <x v="288"/>
    <x v="0"/>
    <x v="1"/>
    <x v="1724"/>
    <x v="25"/>
    <s v="NAKİT"/>
    <n v="9.2592592592592587E-2"/>
    <n v="540"/>
    <n v="0"/>
    <n v="0"/>
    <m/>
    <m/>
    <m/>
    <m/>
    <n v="50"/>
    <n v="0"/>
    <n v="74121.062167016105"/>
  </r>
  <r>
    <x v="160"/>
    <x v="4"/>
    <x v="18"/>
    <x v="0"/>
    <x v="1"/>
    <x v="1724"/>
    <x v="25"/>
    <s v="NAKİT"/>
    <n v="1"/>
    <n v="250"/>
    <n v="0"/>
    <n v="0"/>
    <m/>
    <m/>
    <m/>
    <m/>
    <n v="250"/>
    <n v="0"/>
    <n v="74371.062167016105"/>
  </r>
  <r>
    <x v="160"/>
    <x v="4"/>
    <x v="312"/>
    <x v="0"/>
    <x v="5"/>
    <x v="1725"/>
    <x v="25"/>
    <s v="POS"/>
    <n v="1.1514285714285715"/>
    <n v="350"/>
    <n v="403"/>
    <n v="0"/>
    <m/>
    <m/>
    <m/>
    <m/>
    <n v="0"/>
    <n v="0"/>
    <n v="74371.062167016105"/>
  </r>
  <r>
    <x v="160"/>
    <x v="4"/>
    <x v="33"/>
    <x v="0"/>
    <x v="5"/>
    <x v="1726"/>
    <x v="25"/>
    <s v="POS"/>
    <n v="9.7500000000000003E-2"/>
    <n v="400"/>
    <n v="39"/>
    <n v="0"/>
    <m/>
    <m/>
    <m/>
    <m/>
    <n v="0"/>
    <n v="0"/>
    <n v="74371.062167016105"/>
  </r>
  <r>
    <x v="160"/>
    <x v="4"/>
    <x v="28"/>
    <x v="0"/>
    <x v="5"/>
    <x v="1726"/>
    <x v="25"/>
    <s v="POS"/>
    <n v="6.6000000000000003E-2"/>
    <n v="500"/>
    <n v="33"/>
    <n v="0"/>
    <m/>
    <m/>
    <m/>
    <m/>
    <n v="0"/>
    <n v="0"/>
    <n v="74371.062167016105"/>
  </r>
  <r>
    <x v="160"/>
    <x v="4"/>
    <x v="161"/>
    <x v="0"/>
    <x v="5"/>
    <x v="1726"/>
    <x v="25"/>
    <s v="POS"/>
    <n v="6.7500000000000004E-2"/>
    <n v="400"/>
    <n v="27"/>
    <n v="0"/>
    <m/>
    <m/>
    <m/>
    <m/>
    <n v="0"/>
    <n v="0"/>
    <n v="74371.062167016105"/>
  </r>
  <r>
    <x v="160"/>
    <x v="4"/>
    <x v="18"/>
    <x v="0"/>
    <x v="5"/>
    <x v="1726"/>
    <x v="25"/>
    <s v="POS"/>
    <n v="1"/>
    <n v="250"/>
    <n v="250"/>
    <n v="0"/>
    <m/>
    <m/>
    <m/>
    <m/>
    <n v="0"/>
    <n v="0"/>
    <n v="74371.062167016105"/>
  </r>
  <r>
    <x v="160"/>
    <x v="4"/>
    <x v="58"/>
    <x v="0"/>
    <x v="5"/>
    <x v="1726"/>
    <x v="25"/>
    <s v="POS"/>
    <n v="1"/>
    <n v="230"/>
    <n v="230"/>
    <n v="0"/>
    <m/>
    <m/>
    <m/>
    <m/>
    <n v="0"/>
    <n v="0"/>
    <n v="74371.062167016105"/>
  </r>
  <r>
    <x v="160"/>
    <x v="4"/>
    <x v="94"/>
    <x v="0"/>
    <x v="1"/>
    <x v="1727"/>
    <x v="25"/>
    <s v="NAKİT"/>
    <n v="0.05"/>
    <n v="2000"/>
    <n v="0"/>
    <n v="0"/>
    <m/>
    <m/>
    <m/>
    <m/>
    <n v="100"/>
    <n v="0"/>
    <n v="74471.062167016105"/>
  </r>
  <r>
    <x v="160"/>
    <x v="4"/>
    <x v="112"/>
    <x v="0"/>
    <x v="1"/>
    <x v="1727"/>
    <x v="25"/>
    <s v="NAKİT"/>
    <n v="0.05"/>
    <n v="1800"/>
    <n v="0"/>
    <n v="0"/>
    <m/>
    <m/>
    <m/>
    <m/>
    <n v="90"/>
    <n v="0"/>
    <n v="74561.062167016105"/>
  </r>
  <r>
    <x v="160"/>
    <x v="4"/>
    <x v="22"/>
    <x v="0"/>
    <x v="1"/>
    <x v="1728"/>
    <x v="25"/>
    <s v="NAKİT"/>
    <n v="7.0000000000000007E-2"/>
    <n v="400"/>
    <n v="0"/>
    <n v="0"/>
    <m/>
    <m/>
    <m/>
    <m/>
    <n v="28.000000000000004"/>
    <n v="0"/>
    <n v="74589.062167016105"/>
  </r>
  <r>
    <x v="160"/>
    <x v="4"/>
    <x v="61"/>
    <x v="0"/>
    <x v="1"/>
    <x v="1728"/>
    <x v="25"/>
    <s v="NAKİT"/>
    <n v="4.6753246753246755E-2"/>
    <n v="770"/>
    <n v="0"/>
    <n v="0"/>
    <m/>
    <m/>
    <m/>
    <m/>
    <n v="36"/>
    <n v="0"/>
    <n v="74625.062167016105"/>
  </r>
  <r>
    <x v="160"/>
    <x v="4"/>
    <x v="83"/>
    <x v="0"/>
    <x v="5"/>
    <x v="1729"/>
    <x v="25"/>
    <s v="POS"/>
    <n v="0.05"/>
    <n v="2600"/>
    <n v="130"/>
    <n v="0"/>
    <m/>
    <m/>
    <m/>
    <m/>
    <n v="0"/>
    <n v="0"/>
    <n v="74625.062167016105"/>
  </r>
  <r>
    <x v="160"/>
    <x v="4"/>
    <x v="384"/>
    <x v="0"/>
    <x v="1"/>
    <x v="1730"/>
    <x v="25"/>
    <s v="NAKİT"/>
    <n v="2"/>
    <n v="295"/>
    <n v="0"/>
    <n v="0"/>
    <m/>
    <m/>
    <m/>
    <m/>
    <n v="590"/>
    <n v="0"/>
    <n v="75215.062167016105"/>
  </r>
  <r>
    <x v="160"/>
    <x v="4"/>
    <x v="233"/>
    <x v="0"/>
    <x v="1"/>
    <x v="1731"/>
    <x v="112"/>
    <s v="NAKİT"/>
    <n v="1"/>
    <n v="400"/>
    <n v="0"/>
    <n v="0"/>
    <m/>
    <m/>
    <m/>
    <m/>
    <n v="400"/>
    <n v="0"/>
    <n v="75615.062167016105"/>
  </r>
  <r>
    <x v="160"/>
    <x v="4"/>
    <x v="391"/>
    <x v="0"/>
    <x v="1"/>
    <x v="1732"/>
    <x v="25"/>
    <s v="NAKİT"/>
    <n v="0.5"/>
    <n v="420"/>
    <n v="0"/>
    <n v="0"/>
    <m/>
    <m/>
    <m/>
    <m/>
    <n v="210"/>
    <n v="0"/>
    <n v="75825.062167016105"/>
  </r>
  <r>
    <x v="160"/>
    <x v="4"/>
    <x v="150"/>
    <x v="0"/>
    <x v="1"/>
    <x v="1733"/>
    <x v="25"/>
    <s v="NAKİT"/>
    <n v="0.5"/>
    <n v="250"/>
    <n v="0"/>
    <n v="0"/>
    <m/>
    <m/>
    <m/>
    <m/>
    <n v="125"/>
    <n v="0"/>
    <n v="75950.062167016105"/>
  </r>
  <r>
    <x v="160"/>
    <x v="4"/>
    <x v="161"/>
    <x v="0"/>
    <x v="1"/>
    <x v="1734"/>
    <x v="25"/>
    <s v="NAKİT"/>
    <n v="7.4999999999999997E-2"/>
    <n v="400"/>
    <n v="0"/>
    <n v="0"/>
    <m/>
    <m/>
    <m/>
    <m/>
    <n v="30"/>
    <n v="0"/>
    <n v="75980.062167016105"/>
  </r>
  <r>
    <x v="160"/>
    <x v="4"/>
    <x v="179"/>
    <x v="0"/>
    <x v="5"/>
    <x v="1735"/>
    <x v="25"/>
    <s v="POS"/>
    <n v="0.504"/>
    <n v="850"/>
    <n v="428.4"/>
    <n v="0"/>
    <m/>
    <m/>
    <m/>
    <m/>
    <n v="0"/>
    <n v="0"/>
    <n v="75980.062167016105"/>
  </r>
  <r>
    <x v="160"/>
    <x v="1"/>
    <x v="0"/>
    <x v="13"/>
    <x v="1"/>
    <x v="2"/>
    <x v="186"/>
    <s v="NAKİT"/>
    <n v="1"/>
    <n v="7676.95"/>
    <n v="0"/>
    <n v="0"/>
    <m/>
    <m/>
    <m/>
    <m/>
    <n v="0"/>
    <n v="7676.95"/>
    <n v="68303.112167016108"/>
  </r>
  <r>
    <x v="161"/>
    <x v="3"/>
    <x v="395"/>
    <x v="0"/>
    <x v="4"/>
    <x v="1736"/>
    <x v="32"/>
    <s v="CARİ"/>
    <n v="25"/>
    <n v="31"/>
    <n v="0"/>
    <n v="775"/>
    <m/>
    <m/>
    <m/>
    <m/>
    <n v="0"/>
    <n v="0"/>
    <n v="68303.112167016108"/>
  </r>
  <r>
    <x v="161"/>
    <x v="3"/>
    <x v="74"/>
    <x v="0"/>
    <x v="4"/>
    <x v="1736"/>
    <x v="32"/>
    <s v="CARİ"/>
    <n v="2"/>
    <n v="195"/>
    <n v="0"/>
    <n v="390"/>
    <m/>
    <m/>
    <m/>
    <m/>
    <n v="0"/>
    <n v="0"/>
    <n v="68303.112167016108"/>
  </r>
  <r>
    <x v="161"/>
    <x v="3"/>
    <x v="76"/>
    <x v="0"/>
    <x v="4"/>
    <x v="1736"/>
    <x v="32"/>
    <s v="CARİ"/>
    <n v="25"/>
    <n v="19"/>
    <n v="0"/>
    <n v="475"/>
    <m/>
    <m/>
    <m/>
    <m/>
    <n v="0"/>
    <n v="0"/>
    <n v="68303.112167016108"/>
  </r>
  <r>
    <x v="161"/>
    <x v="3"/>
    <x v="79"/>
    <x v="0"/>
    <x v="4"/>
    <x v="1736"/>
    <x v="32"/>
    <s v="CARİ"/>
    <n v="3"/>
    <n v="205"/>
    <n v="0"/>
    <n v="615"/>
    <m/>
    <m/>
    <m/>
    <m/>
    <n v="0"/>
    <n v="0"/>
    <n v="68303.112167016108"/>
  </r>
  <r>
    <x v="161"/>
    <x v="3"/>
    <x v="80"/>
    <x v="0"/>
    <x v="4"/>
    <x v="1736"/>
    <x v="32"/>
    <s v="CARİ"/>
    <n v="3"/>
    <n v="185"/>
    <n v="0"/>
    <n v="555"/>
    <m/>
    <m/>
    <m/>
    <m/>
    <n v="0"/>
    <n v="0"/>
    <n v="68303.112167016108"/>
  </r>
  <r>
    <x v="161"/>
    <x v="3"/>
    <x v="396"/>
    <x v="0"/>
    <x v="4"/>
    <x v="1736"/>
    <x v="32"/>
    <s v="CARİ"/>
    <n v="15.2"/>
    <n v="32"/>
    <n v="0"/>
    <n v="486.4"/>
    <m/>
    <m/>
    <m/>
    <m/>
    <n v="0"/>
    <n v="0"/>
    <n v="68303.112167016108"/>
  </r>
  <r>
    <x v="161"/>
    <x v="3"/>
    <x v="384"/>
    <x v="0"/>
    <x v="4"/>
    <x v="1736"/>
    <x v="32"/>
    <s v="CARİ"/>
    <n v="10"/>
    <n v="230"/>
    <n v="0"/>
    <n v="2300"/>
    <m/>
    <m/>
    <m/>
    <m/>
    <n v="0"/>
    <n v="0"/>
    <n v="68303.112167016108"/>
  </r>
  <r>
    <x v="161"/>
    <x v="4"/>
    <x v="248"/>
    <x v="0"/>
    <x v="5"/>
    <x v="1737"/>
    <x v="25"/>
    <s v="POS"/>
    <n v="0.28985507246376813"/>
    <n v="690"/>
    <n v="200"/>
    <n v="0"/>
    <m/>
    <m/>
    <m/>
    <m/>
    <n v="0"/>
    <n v="0"/>
    <n v="68303.112167016108"/>
  </r>
  <r>
    <x v="161"/>
    <x v="4"/>
    <x v="315"/>
    <x v="0"/>
    <x v="1"/>
    <x v="1738"/>
    <x v="25"/>
    <s v="NAKİT"/>
    <n v="1"/>
    <n v="195"/>
    <n v="0"/>
    <n v="0"/>
    <m/>
    <m/>
    <m/>
    <m/>
    <n v="195"/>
    <n v="0"/>
    <n v="68498.112167016108"/>
  </r>
  <r>
    <x v="161"/>
    <x v="4"/>
    <x v="74"/>
    <x v="0"/>
    <x v="5"/>
    <x v="1739"/>
    <x v="25"/>
    <s v="POS"/>
    <n v="0.25"/>
    <n v="360"/>
    <n v="90"/>
    <n v="0"/>
    <m/>
    <m/>
    <m/>
    <m/>
    <n v="0"/>
    <n v="0"/>
    <n v="68498.112167016108"/>
  </r>
  <r>
    <x v="161"/>
    <x v="4"/>
    <x v="312"/>
    <x v="0"/>
    <x v="5"/>
    <x v="1740"/>
    <x v="25"/>
    <s v="POS"/>
    <n v="1.2314285714285715"/>
    <n v="350"/>
    <n v="431.00000000000006"/>
    <n v="0"/>
    <m/>
    <m/>
    <m/>
    <m/>
    <n v="0"/>
    <n v="0"/>
    <n v="68498.112167016108"/>
  </r>
  <r>
    <x v="161"/>
    <x v="4"/>
    <x v="280"/>
    <x v="0"/>
    <x v="1"/>
    <x v="1741"/>
    <x v="25"/>
    <s v="NAKİT"/>
    <n v="0.5"/>
    <n v="60"/>
    <n v="0"/>
    <n v="0"/>
    <m/>
    <m/>
    <m/>
    <m/>
    <n v="30"/>
    <n v="0"/>
    <n v="68528.112167016108"/>
  </r>
  <r>
    <x v="161"/>
    <x v="4"/>
    <x v="58"/>
    <x v="0"/>
    <x v="1"/>
    <x v="1742"/>
    <x v="25"/>
    <s v="NAKİT"/>
    <n v="1"/>
    <n v="230"/>
    <n v="0"/>
    <n v="0"/>
    <m/>
    <m/>
    <m/>
    <m/>
    <n v="230"/>
    <n v="0"/>
    <n v="68758.112167016108"/>
  </r>
  <r>
    <x v="161"/>
    <x v="4"/>
    <x v="397"/>
    <x v="0"/>
    <x v="1"/>
    <x v="1742"/>
    <x v="25"/>
    <s v="NAKİT"/>
    <n v="0.1"/>
    <n v="900"/>
    <n v="0"/>
    <n v="0"/>
    <m/>
    <m/>
    <m/>
    <m/>
    <n v="90"/>
    <n v="0"/>
    <n v="68848.112167016108"/>
  </r>
  <r>
    <x v="161"/>
    <x v="4"/>
    <x v="79"/>
    <x v="0"/>
    <x v="5"/>
    <x v="1743"/>
    <x v="25"/>
    <s v="POS"/>
    <n v="1"/>
    <n v="290"/>
    <n v="290"/>
    <n v="0"/>
    <m/>
    <m/>
    <m/>
    <m/>
    <n v="0"/>
    <n v="0"/>
    <n v="68848.112167016108"/>
  </r>
  <r>
    <x v="161"/>
    <x v="4"/>
    <x v="435"/>
    <x v="0"/>
    <x v="5"/>
    <x v="1744"/>
    <x v="25"/>
    <s v="POS"/>
    <n v="0.1"/>
    <n v="500"/>
    <n v="50"/>
    <n v="0"/>
    <m/>
    <m/>
    <m/>
    <m/>
    <n v="0"/>
    <n v="0"/>
    <n v="68848.112167016108"/>
  </r>
  <r>
    <x v="161"/>
    <x v="4"/>
    <x v="88"/>
    <x v="0"/>
    <x v="5"/>
    <x v="1744"/>
    <x v="25"/>
    <s v="POS"/>
    <n v="0.05"/>
    <n v="1200"/>
    <n v="60"/>
    <n v="0"/>
    <m/>
    <m/>
    <m/>
    <m/>
    <n v="0"/>
    <n v="0"/>
    <n v="68848.112167016108"/>
  </r>
  <r>
    <x v="161"/>
    <x v="4"/>
    <x v="161"/>
    <x v="0"/>
    <x v="5"/>
    <x v="1745"/>
    <x v="187"/>
    <s v="POS"/>
    <n v="2"/>
    <n v="255"/>
    <n v="510"/>
    <n v="0"/>
    <m/>
    <m/>
    <m/>
    <m/>
    <n v="0"/>
    <n v="0"/>
    <n v="68848.112167016108"/>
  </r>
  <r>
    <x v="161"/>
    <x v="4"/>
    <x v="31"/>
    <x v="0"/>
    <x v="5"/>
    <x v="1745"/>
    <x v="187"/>
    <s v="POS"/>
    <n v="1"/>
    <n v="250"/>
    <n v="250"/>
    <n v="0"/>
    <m/>
    <m/>
    <m/>
    <m/>
    <n v="0"/>
    <n v="0"/>
    <n v="68848.112167016108"/>
  </r>
  <r>
    <x v="161"/>
    <x v="4"/>
    <x v="33"/>
    <x v="0"/>
    <x v="5"/>
    <x v="1745"/>
    <x v="187"/>
    <s v="POS"/>
    <n v="1"/>
    <n v="240"/>
    <n v="240"/>
    <n v="0"/>
    <m/>
    <m/>
    <m/>
    <m/>
    <n v="0"/>
    <n v="0"/>
    <n v="68848.112167016108"/>
  </r>
  <r>
    <x v="161"/>
    <x v="4"/>
    <x v="50"/>
    <x v="0"/>
    <x v="5"/>
    <x v="1746"/>
    <x v="25"/>
    <s v="POS"/>
    <n v="0.08"/>
    <n v="750"/>
    <n v="60"/>
    <n v="0"/>
    <m/>
    <m/>
    <m/>
    <m/>
    <n v="0"/>
    <n v="0"/>
    <n v="68848.112167016108"/>
  </r>
  <r>
    <x v="161"/>
    <x v="4"/>
    <x v="116"/>
    <x v="0"/>
    <x v="5"/>
    <x v="1746"/>
    <x v="25"/>
    <s v="POS"/>
    <n v="0.27906976744186046"/>
    <n v="430"/>
    <n v="120"/>
    <n v="0"/>
    <m/>
    <m/>
    <m/>
    <m/>
    <n v="0"/>
    <n v="0"/>
    <n v="68848.112167016108"/>
  </r>
  <r>
    <x v="161"/>
    <x v="10"/>
    <x v="0"/>
    <x v="0"/>
    <x v="5"/>
    <x v="2"/>
    <x v="188"/>
    <s v="CARİ"/>
    <n v="1"/>
    <n v="50000"/>
    <n v="0"/>
    <n v="50000"/>
    <m/>
    <m/>
    <m/>
    <m/>
    <n v="0"/>
    <n v="0"/>
    <n v="68848.112167016108"/>
  </r>
  <r>
    <x v="161"/>
    <x v="7"/>
    <x v="0"/>
    <x v="0"/>
    <x v="4"/>
    <x v="2"/>
    <x v="188"/>
    <s v="CARİ"/>
    <n v="1"/>
    <n v="50000"/>
    <n v="50000"/>
    <n v="0"/>
    <m/>
    <m/>
    <m/>
    <m/>
    <n v="0"/>
    <n v="0"/>
    <n v="68848.112167016108"/>
  </r>
  <r>
    <x v="161"/>
    <x v="10"/>
    <x v="0"/>
    <x v="0"/>
    <x v="5"/>
    <x v="2"/>
    <x v="63"/>
    <s v="POS"/>
    <n v="1"/>
    <n v="500"/>
    <n v="0"/>
    <n v="500"/>
    <m/>
    <m/>
    <m/>
    <m/>
    <n v="500"/>
    <n v="0"/>
    <n v="69348.112167016108"/>
  </r>
  <r>
    <x v="161"/>
    <x v="10"/>
    <x v="0"/>
    <x v="0"/>
    <x v="5"/>
    <x v="2"/>
    <x v="63"/>
    <s v="POS"/>
    <n v="1"/>
    <n v="807.5"/>
    <n v="0"/>
    <n v="807.5"/>
    <m/>
    <m/>
    <m/>
    <m/>
    <n v="807.5"/>
    <n v="0"/>
    <n v="70155.612167016108"/>
  </r>
  <r>
    <x v="162"/>
    <x v="4"/>
    <x v="18"/>
    <x v="0"/>
    <x v="11"/>
    <x v="1747"/>
    <x v="189"/>
    <s v="CARİ"/>
    <n v="5"/>
    <n v="200"/>
    <n v="1000"/>
    <n v="0"/>
    <m/>
    <m/>
    <m/>
    <m/>
    <n v="0"/>
    <n v="0"/>
    <n v="70155.612167016108"/>
  </r>
  <r>
    <x v="162"/>
    <x v="4"/>
    <x v="435"/>
    <x v="0"/>
    <x v="5"/>
    <x v="1748"/>
    <x v="25"/>
    <s v="POS"/>
    <n v="0.21"/>
    <n v="500"/>
    <n v="105"/>
    <n v="0"/>
    <m/>
    <m/>
    <m/>
    <m/>
    <n v="0"/>
    <n v="0"/>
    <n v="70155.612167016108"/>
  </r>
  <r>
    <x v="162"/>
    <x v="4"/>
    <x v="393"/>
    <x v="0"/>
    <x v="5"/>
    <x v="1748"/>
    <x v="25"/>
    <s v="POS"/>
    <n v="0.56486486486486487"/>
    <n v="370"/>
    <n v="209"/>
    <n v="0"/>
    <m/>
    <m/>
    <m/>
    <m/>
    <n v="0"/>
    <n v="0"/>
    <n v="70155.612167016108"/>
  </r>
  <r>
    <x v="162"/>
    <x v="4"/>
    <x v="149"/>
    <x v="0"/>
    <x v="5"/>
    <x v="1748"/>
    <x v="25"/>
    <s v="POS"/>
    <n v="0.15384615384615385"/>
    <n v="650"/>
    <n v="100"/>
    <n v="0"/>
    <m/>
    <m/>
    <m/>
    <m/>
    <n v="0"/>
    <n v="0"/>
    <n v="70155.612167016108"/>
  </r>
  <r>
    <x v="162"/>
    <x v="4"/>
    <x v="242"/>
    <x v="0"/>
    <x v="5"/>
    <x v="1748"/>
    <x v="25"/>
    <s v="POS"/>
    <n v="0.25641025641025639"/>
    <n v="195"/>
    <n v="49.999999999999993"/>
    <n v="0"/>
    <m/>
    <m/>
    <m/>
    <m/>
    <n v="0"/>
    <n v="0"/>
    <n v="70155.612167016108"/>
  </r>
  <r>
    <x v="162"/>
    <x v="4"/>
    <x v="360"/>
    <x v="0"/>
    <x v="5"/>
    <x v="1748"/>
    <x v="25"/>
    <s v="POS"/>
    <n v="0.25"/>
    <n v="600"/>
    <n v="150"/>
    <n v="0"/>
    <m/>
    <m/>
    <m/>
    <m/>
    <n v="0"/>
    <n v="0"/>
    <n v="70155.612167016108"/>
  </r>
  <r>
    <x v="162"/>
    <x v="4"/>
    <x v="384"/>
    <x v="0"/>
    <x v="5"/>
    <x v="1748"/>
    <x v="25"/>
    <s v="POS"/>
    <n v="1"/>
    <n v="300"/>
    <n v="300"/>
    <n v="0"/>
    <m/>
    <m/>
    <m/>
    <m/>
    <n v="0"/>
    <n v="0"/>
    <n v="70155.612167016108"/>
  </r>
  <r>
    <x v="162"/>
    <x v="4"/>
    <x v="248"/>
    <x v="0"/>
    <x v="1"/>
    <x v="1749"/>
    <x v="25"/>
    <s v="NAKİT"/>
    <n v="0.20144927536231885"/>
    <n v="690"/>
    <n v="0"/>
    <n v="0"/>
    <m/>
    <m/>
    <m/>
    <m/>
    <n v="139"/>
    <n v="0"/>
    <n v="70294.612167016108"/>
  </r>
  <r>
    <x v="162"/>
    <x v="4"/>
    <x v="18"/>
    <x v="0"/>
    <x v="1"/>
    <x v="1749"/>
    <x v="25"/>
    <s v="NAKİT"/>
    <n v="0.5"/>
    <n v="250"/>
    <n v="0"/>
    <n v="0"/>
    <m/>
    <m/>
    <m/>
    <m/>
    <n v="125"/>
    <n v="0"/>
    <n v="70419.612167016108"/>
  </r>
  <r>
    <x v="162"/>
    <x v="4"/>
    <x v="58"/>
    <x v="0"/>
    <x v="1"/>
    <x v="1749"/>
    <x v="25"/>
    <s v="NAKİT"/>
    <n v="0.5"/>
    <n v="230"/>
    <n v="0"/>
    <n v="0"/>
    <m/>
    <m/>
    <m/>
    <m/>
    <n v="115"/>
    <n v="0"/>
    <n v="70534.612167016108"/>
  </r>
  <r>
    <x v="162"/>
    <x v="4"/>
    <x v="257"/>
    <x v="0"/>
    <x v="1"/>
    <x v="1750"/>
    <x v="25"/>
    <s v="NAKİT"/>
    <n v="1"/>
    <n v="170"/>
    <n v="0"/>
    <n v="0"/>
    <m/>
    <m/>
    <m/>
    <m/>
    <n v="170"/>
    <n v="0"/>
    <n v="70704.612167016108"/>
  </r>
  <r>
    <x v="162"/>
    <x v="4"/>
    <x v="24"/>
    <x v="0"/>
    <x v="5"/>
    <x v="1751"/>
    <x v="25"/>
    <s v="POS"/>
    <n v="0.15538461538461537"/>
    <n v="650"/>
    <n v="100.99999999999999"/>
    <n v="0"/>
    <m/>
    <m/>
    <m/>
    <m/>
    <n v="0"/>
    <n v="0"/>
    <n v="70704.612167016108"/>
  </r>
  <r>
    <x v="162"/>
    <x v="4"/>
    <x v="161"/>
    <x v="0"/>
    <x v="5"/>
    <x v="1751"/>
    <x v="25"/>
    <s v="POS"/>
    <n v="0.23749999999999999"/>
    <n v="400"/>
    <n v="95"/>
    <n v="0"/>
    <m/>
    <m/>
    <m/>
    <m/>
    <n v="0"/>
    <n v="0"/>
    <n v="70704.612167016108"/>
  </r>
  <r>
    <x v="162"/>
    <x v="4"/>
    <x v="161"/>
    <x v="0"/>
    <x v="5"/>
    <x v="1751"/>
    <x v="25"/>
    <s v="POS"/>
    <n v="0.19"/>
    <n v="400"/>
    <n v="76"/>
    <n v="0"/>
    <m/>
    <m/>
    <m/>
    <m/>
    <n v="0"/>
    <n v="0"/>
    <n v="70704.612167016108"/>
  </r>
  <r>
    <x v="162"/>
    <x v="4"/>
    <x v="59"/>
    <x v="0"/>
    <x v="5"/>
    <x v="1751"/>
    <x v="25"/>
    <s v="POS"/>
    <n v="0.2688888888888889"/>
    <n v="450"/>
    <n v="121"/>
    <n v="0"/>
    <m/>
    <m/>
    <m/>
    <m/>
    <n v="0"/>
    <n v="0"/>
    <n v="70704.612167016108"/>
  </r>
  <r>
    <x v="162"/>
    <x v="4"/>
    <x v="29"/>
    <x v="0"/>
    <x v="5"/>
    <x v="1751"/>
    <x v="25"/>
    <s v="POS"/>
    <n v="8.1333333333333327E-2"/>
    <n v="750"/>
    <n v="60.999999999999993"/>
    <n v="0"/>
    <m/>
    <m/>
    <m/>
    <m/>
    <n v="0"/>
    <n v="0"/>
    <n v="70704.612167016108"/>
  </r>
  <r>
    <x v="162"/>
    <x v="4"/>
    <x v="196"/>
    <x v="0"/>
    <x v="5"/>
    <x v="1751"/>
    <x v="25"/>
    <s v="POS"/>
    <n v="1"/>
    <n v="350"/>
    <n v="350"/>
    <n v="0"/>
    <m/>
    <m/>
    <m/>
    <m/>
    <n v="0"/>
    <n v="0"/>
    <n v="70704.612167016108"/>
  </r>
  <r>
    <x v="162"/>
    <x v="4"/>
    <x v="58"/>
    <x v="0"/>
    <x v="1"/>
    <x v="1752"/>
    <x v="25"/>
    <s v="NAKİT"/>
    <n v="1"/>
    <n v="230"/>
    <n v="0"/>
    <n v="0"/>
    <m/>
    <m/>
    <m/>
    <m/>
    <n v="230"/>
    <n v="0"/>
    <n v="70934.612167016108"/>
  </r>
  <r>
    <x v="162"/>
    <x v="4"/>
    <x v="18"/>
    <x v="0"/>
    <x v="1"/>
    <x v="1752"/>
    <x v="25"/>
    <s v="NAKİT"/>
    <n v="1"/>
    <n v="250"/>
    <n v="0"/>
    <n v="0"/>
    <m/>
    <m/>
    <m/>
    <m/>
    <n v="250"/>
    <n v="0"/>
    <n v="71184.612167016108"/>
  </r>
  <r>
    <x v="162"/>
    <x v="4"/>
    <x v="28"/>
    <x v="0"/>
    <x v="1"/>
    <x v="1753"/>
    <x v="25"/>
    <s v="NAKİT"/>
    <n v="0.16"/>
    <n v="500"/>
    <n v="0"/>
    <n v="0"/>
    <m/>
    <m/>
    <m/>
    <m/>
    <n v="80"/>
    <n v="0"/>
    <n v="71264.612167016108"/>
  </r>
  <r>
    <x v="162"/>
    <x v="4"/>
    <x v="52"/>
    <x v="0"/>
    <x v="5"/>
    <x v="1754"/>
    <x v="25"/>
    <s v="POS"/>
    <n v="0.2"/>
    <n v="400"/>
    <n v="80"/>
    <n v="0"/>
    <m/>
    <m/>
    <m/>
    <m/>
    <n v="0"/>
    <n v="0"/>
    <n v="71264.612167016108"/>
  </r>
  <r>
    <x v="162"/>
    <x v="4"/>
    <x v="389"/>
    <x v="0"/>
    <x v="5"/>
    <x v="1754"/>
    <x v="25"/>
    <s v="POS"/>
    <n v="0.44600000000000001"/>
    <n v="500"/>
    <n v="223"/>
    <n v="0"/>
    <m/>
    <m/>
    <m/>
    <m/>
    <n v="0"/>
    <n v="0"/>
    <n v="71264.612167016108"/>
  </r>
  <r>
    <x v="162"/>
    <x v="4"/>
    <x v="105"/>
    <x v="0"/>
    <x v="1"/>
    <x v="1755"/>
    <x v="25"/>
    <s v="NAKİT"/>
    <n v="2"/>
    <n v="200"/>
    <n v="0"/>
    <n v="0"/>
    <m/>
    <m/>
    <m/>
    <m/>
    <n v="400"/>
    <n v="0"/>
    <n v="71664.612167016108"/>
  </r>
  <r>
    <x v="162"/>
    <x v="4"/>
    <x v="68"/>
    <x v="0"/>
    <x v="1"/>
    <x v="1755"/>
    <x v="25"/>
    <s v="NAKİT"/>
    <n v="0.504"/>
    <n v="750"/>
    <n v="0"/>
    <n v="0"/>
    <m/>
    <m/>
    <m/>
    <m/>
    <n v="378"/>
    <n v="0"/>
    <n v="72042.612167016108"/>
  </r>
  <r>
    <x v="162"/>
    <x v="4"/>
    <x v="57"/>
    <x v="0"/>
    <x v="1"/>
    <x v="1756"/>
    <x v="25"/>
    <s v="NAKİT"/>
    <n v="1"/>
    <n v="150"/>
    <n v="0"/>
    <n v="0"/>
    <m/>
    <m/>
    <m/>
    <m/>
    <n v="150"/>
    <n v="0"/>
    <n v="72192.612167016108"/>
  </r>
  <r>
    <x v="162"/>
    <x v="4"/>
    <x v="449"/>
    <x v="0"/>
    <x v="5"/>
    <x v="1757"/>
    <x v="25"/>
    <s v="POS"/>
    <n v="0.37137999999999999"/>
    <n v="650"/>
    <n v="241.39699999999999"/>
    <n v="0"/>
    <m/>
    <m/>
    <m/>
    <m/>
    <n v="0"/>
    <n v="0"/>
    <n v="72192.612167016108"/>
  </r>
  <r>
    <x v="162"/>
    <x v="4"/>
    <x v="449"/>
    <x v="0"/>
    <x v="5"/>
    <x v="1757"/>
    <x v="25"/>
    <s v="POS"/>
    <n v="0.24399999999999999"/>
    <n v="650"/>
    <n v="158.6"/>
    <n v="0"/>
    <m/>
    <m/>
    <m/>
    <m/>
    <n v="0"/>
    <n v="0"/>
    <n v="72192.612167016108"/>
  </r>
  <r>
    <x v="162"/>
    <x v="4"/>
    <x v="389"/>
    <x v="0"/>
    <x v="1"/>
    <x v="1758"/>
    <x v="25"/>
    <s v="NAKİT"/>
    <n v="0.26"/>
    <n v="500"/>
    <n v="0"/>
    <n v="0"/>
    <m/>
    <m/>
    <m/>
    <m/>
    <n v="130"/>
    <n v="0"/>
    <n v="72322.612167016108"/>
  </r>
  <r>
    <x v="162"/>
    <x v="4"/>
    <x v="446"/>
    <x v="0"/>
    <x v="1"/>
    <x v="1758"/>
    <x v="25"/>
    <s v="NAKİT"/>
    <n v="0.12727272727272726"/>
    <n v="550"/>
    <n v="0"/>
    <n v="0"/>
    <m/>
    <m/>
    <m/>
    <m/>
    <n v="69.999999999999986"/>
    <n v="0"/>
    <n v="72392.612167016108"/>
  </r>
  <r>
    <x v="162"/>
    <x v="4"/>
    <x v="446"/>
    <x v="0"/>
    <x v="5"/>
    <x v="1759"/>
    <x v="25"/>
    <s v="POS"/>
    <n v="0.25454545454545452"/>
    <n v="550"/>
    <n v="139.99999999999997"/>
    <n v="0"/>
    <m/>
    <m/>
    <m/>
    <m/>
    <n v="0"/>
    <n v="0"/>
    <n v="72392.612167016108"/>
  </r>
  <r>
    <x v="162"/>
    <x v="4"/>
    <x v="447"/>
    <x v="0"/>
    <x v="5"/>
    <x v="1759"/>
    <x v="25"/>
    <s v="POS"/>
    <n v="0.2"/>
    <n v="350"/>
    <n v="70"/>
    <n v="0"/>
    <m/>
    <m/>
    <m/>
    <m/>
    <n v="0"/>
    <n v="0"/>
    <n v="72392.612167016108"/>
  </r>
  <r>
    <x v="162"/>
    <x v="4"/>
    <x v="116"/>
    <x v="0"/>
    <x v="5"/>
    <x v="1759"/>
    <x v="25"/>
    <s v="POS"/>
    <n v="0.27906976744186046"/>
    <n v="430"/>
    <n v="120"/>
    <n v="0"/>
    <m/>
    <m/>
    <m/>
    <m/>
    <n v="0"/>
    <n v="0"/>
    <n v="72392.612167016108"/>
  </r>
  <r>
    <x v="162"/>
    <x v="4"/>
    <x v="445"/>
    <x v="0"/>
    <x v="5"/>
    <x v="1759"/>
    <x v="25"/>
    <s v="POS"/>
    <n v="1"/>
    <n v="90"/>
    <n v="90"/>
    <n v="0"/>
    <m/>
    <m/>
    <m/>
    <m/>
    <n v="0"/>
    <n v="0"/>
    <n v="72392.612167016108"/>
  </r>
  <r>
    <x v="162"/>
    <x v="4"/>
    <x v="389"/>
    <x v="0"/>
    <x v="1"/>
    <x v="1760"/>
    <x v="25"/>
    <s v="NAKİT"/>
    <n v="0.27"/>
    <n v="500"/>
    <n v="0"/>
    <n v="0"/>
    <m/>
    <m/>
    <m/>
    <m/>
    <n v="135"/>
    <n v="0"/>
    <n v="72527.612167016108"/>
  </r>
  <r>
    <x v="162"/>
    <x v="4"/>
    <x v="30"/>
    <x v="0"/>
    <x v="1"/>
    <x v="1760"/>
    <x v="25"/>
    <s v="NAKİT"/>
    <n v="0.5"/>
    <n v="500"/>
    <n v="0"/>
    <n v="0"/>
    <m/>
    <m/>
    <m/>
    <m/>
    <n v="250"/>
    <n v="0"/>
    <n v="72777.612167016108"/>
  </r>
  <r>
    <x v="162"/>
    <x v="4"/>
    <x v="55"/>
    <x v="0"/>
    <x v="1"/>
    <x v="1760"/>
    <x v="25"/>
    <s v="NAKİT"/>
    <n v="1"/>
    <n v="200"/>
    <n v="0"/>
    <n v="0"/>
    <m/>
    <m/>
    <m/>
    <m/>
    <n v="200"/>
    <n v="0"/>
    <n v="72977.612167016108"/>
  </r>
  <r>
    <x v="162"/>
    <x v="4"/>
    <x v="88"/>
    <x v="0"/>
    <x v="1"/>
    <x v="1760"/>
    <x v="25"/>
    <s v="NAKİT"/>
    <n v="0.05"/>
    <n v="1200"/>
    <n v="0"/>
    <n v="0"/>
    <m/>
    <m/>
    <m/>
    <m/>
    <n v="60"/>
    <n v="0"/>
    <n v="73037.612167016108"/>
  </r>
  <r>
    <x v="162"/>
    <x v="4"/>
    <x v="360"/>
    <x v="0"/>
    <x v="1"/>
    <x v="1760"/>
    <x v="25"/>
    <s v="NAKİT"/>
    <n v="0.25"/>
    <n v="600"/>
    <n v="0"/>
    <n v="0"/>
    <m/>
    <m/>
    <m/>
    <m/>
    <n v="150"/>
    <n v="0"/>
    <n v="73187.612167016108"/>
  </r>
  <r>
    <x v="162"/>
    <x v="4"/>
    <x v="248"/>
    <x v="0"/>
    <x v="5"/>
    <x v="1761"/>
    <x v="25"/>
    <s v="POS"/>
    <n v="0.2"/>
    <n v="690"/>
    <n v="138"/>
    <n v="0"/>
    <m/>
    <m/>
    <m/>
    <m/>
    <n v="0"/>
    <n v="0"/>
    <n v="73187.612167016108"/>
  </r>
  <r>
    <x v="162"/>
    <x v="4"/>
    <x v="446"/>
    <x v="0"/>
    <x v="5"/>
    <x v="1761"/>
    <x v="25"/>
    <s v="POS"/>
    <n v="0.5"/>
    <n v="550"/>
    <n v="275"/>
    <n v="0"/>
    <m/>
    <m/>
    <m/>
    <m/>
    <n v="0"/>
    <n v="0"/>
    <n v="73187.612167016108"/>
  </r>
  <r>
    <x v="162"/>
    <x v="4"/>
    <x v="389"/>
    <x v="0"/>
    <x v="5"/>
    <x v="1761"/>
    <x v="25"/>
    <s v="POS"/>
    <n v="0.5"/>
    <n v="500"/>
    <n v="250"/>
    <n v="0"/>
    <m/>
    <m/>
    <m/>
    <m/>
    <n v="0"/>
    <n v="0"/>
    <n v="73187.612167016108"/>
  </r>
  <r>
    <x v="162"/>
    <x v="4"/>
    <x v="18"/>
    <x v="0"/>
    <x v="1"/>
    <x v="1762"/>
    <x v="25"/>
    <s v="NAKİT"/>
    <n v="1"/>
    <n v="250"/>
    <n v="0"/>
    <n v="0"/>
    <m/>
    <m/>
    <m/>
    <m/>
    <n v="250"/>
    <n v="0"/>
    <n v="73437.612167016108"/>
  </r>
  <r>
    <x v="162"/>
    <x v="4"/>
    <x v="26"/>
    <x v="0"/>
    <x v="5"/>
    <x v="1763"/>
    <x v="25"/>
    <s v="POS"/>
    <n v="8.5365853658536592E-2"/>
    <n v="410"/>
    <n v="35"/>
    <n v="0"/>
    <m/>
    <m/>
    <m/>
    <m/>
    <n v="0"/>
    <n v="0"/>
    <n v="73437.612167016108"/>
  </r>
  <r>
    <x v="162"/>
    <x v="4"/>
    <x v="24"/>
    <x v="0"/>
    <x v="5"/>
    <x v="1763"/>
    <x v="25"/>
    <s v="POS"/>
    <n v="9.2307692307692313E-2"/>
    <n v="650"/>
    <n v="60"/>
    <n v="0"/>
    <m/>
    <m/>
    <m/>
    <m/>
    <n v="0"/>
    <n v="0"/>
    <n v="73437.612167016108"/>
  </r>
  <r>
    <x v="162"/>
    <x v="4"/>
    <x v="30"/>
    <x v="0"/>
    <x v="5"/>
    <x v="1763"/>
    <x v="25"/>
    <s v="POS"/>
    <n v="0.1"/>
    <n v="500"/>
    <n v="50"/>
    <n v="0"/>
    <m/>
    <m/>
    <m/>
    <m/>
    <n v="0"/>
    <n v="0"/>
    <n v="73437.612167016108"/>
  </r>
  <r>
    <x v="162"/>
    <x v="4"/>
    <x v="38"/>
    <x v="0"/>
    <x v="1"/>
    <x v="1764"/>
    <x v="25"/>
    <s v="NAKİT"/>
    <n v="0.1"/>
    <n v="65"/>
    <n v="0"/>
    <n v="0"/>
    <m/>
    <m/>
    <m/>
    <m/>
    <n v="6.5"/>
    <n v="0"/>
    <n v="73444.112167016108"/>
  </r>
  <r>
    <x v="162"/>
    <x v="4"/>
    <x v="420"/>
    <x v="0"/>
    <x v="1"/>
    <x v="1764"/>
    <x v="25"/>
    <s v="NAKİT"/>
    <n v="1"/>
    <n v="10"/>
    <n v="0"/>
    <n v="0"/>
    <m/>
    <m/>
    <m/>
    <m/>
    <n v="10"/>
    <n v="0"/>
    <n v="73454.112167016108"/>
  </r>
  <r>
    <x v="162"/>
    <x v="7"/>
    <x v="0"/>
    <x v="0"/>
    <x v="15"/>
    <x v="2"/>
    <x v="190"/>
    <s v="NAKİT"/>
    <n v="1"/>
    <n v="2350"/>
    <n v="2350"/>
    <n v="0"/>
    <m/>
    <m/>
    <m/>
    <m/>
    <n v="0"/>
    <n v="2350"/>
    <n v="71104.112167016108"/>
  </r>
  <r>
    <x v="162"/>
    <x v="11"/>
    <x v="0"/>
    <x v="0"/>
    <x v="13"/>
    <x v="2"/>
    <x v="191"/>
    <s v="NAKİT"/>
    <n v="1"/>
    <n v="1260"/>
    <n v="0"/>
    <n v="1260"/>
    <m/>
    <m/>
    <m/>
    <m/>
    <n v="1260"/>
    <n v="0"/>
    <n v="72364.112167016108"/>
  </r>
  <r>
    <x v="163"/>
    <x v="4"/>
    <x v="157"/>
    <x v="0"/>
    <x v="1"/>
    <x v="1765"/>
    <x v="25"/>
    <s v="NAKİT"/>
    <n v="0.14285714285714285"/>
    <n v="140"/>
    <n v="0"/>
    <n v="0"/>
    <m/>
    <m/>
    <m/>
    <m/>
    <n v="20"/>
    <n v="0"/>
    <n v="72384.112167016108"/>
  </r>
  <r>
    <x v="163"/>
    <x v="4"/>
    <x v="161"/>
    <x v="0"/>
    <x v="1"/>
    <x v="1766"/>
    <x v="25"/>
    <s v="NAKİT"/>
    <n v="1"/>
    <n v="400"/>
    <n v="0"/>
    <n v="0"/>
    <m/>
    <m/>
    <m/>
    <m/>
    <n v="400"/>
    <n v="0"/>
    <n v="72784.112167016108"/>
  </r>
  <r>
    <x v="163"/>
    <x v="4"/>
    <x v="30"/>
    <x v="0"/>
    <x v="1"/>
    <x v="1766"/>
    <x v="25"/>
    <s v="NAKİT"/>
    <n v="0.5"/>
    <n v="500"/>
    <n v="0"/>
    <n v="0"/>
    <m/>
    <m/>
    <m/>
    <m/>
    <n v="250"/>
    <n v="0"/>
    <n v="73034.112167016108"/>
  </r>
  <r>
    <x v="163"/>
    <x v="4"/>
    <x v="36"/>
    <x v="0"/>
    <x v="1"/>
    <x v="1766"/>
    <x v="25"/>
    <s v="NAKİT"/>
    <n v="0.27777777777777779"/>
    <n v="180"/>
    <n v="0"/>
    <n v="0"/>
    <m/>
    <m/>
    <m/>
    <m/>
    <n v="50"/>
    <n v="0"/>
    <n v="73084.112167016108"/>
  </r>
  <r>
    <x v="163"/>
    <x v="4"/>
    <x v="93"/>
    <x v="0"/>
    <x v="1"/>
    <x v="1766"/>
    <x v="25"/>
    <s v="NAKİT"/>
    <n v="1"/>
    <n v="300"/>
    <n v="0"/>
    <n v="0"/>
    <m/>
    <m/>
    <m/>
    <m/>
    <n v="300"/>
    <n v="0"/>
    <n v="73384.112167016108"/>
  </r>
  <r>
    <x v="163"/>
    <x v="4"/>
    <x v="233"/>
    <x v="0"/>
    <x v="5"/>
    <x v="1767"/>
    <x v="25"/>
    <s v="POS"/>
    <n v="1"/>
    <n v="400"/>
    <n v="400"/>
    <n v="0"/>
    <m/>
    <m/>
    <m/>
    <m/>
    <n v="0"/>
    <n v="0"/>
    <n v="73384.112167016108"/>
  </r>
  <r>
    <x v="163"/>
    <x v="4"/>
    <x v="27"/>
    <x v="0"/>
    <x v="5"/>
    <x v="1767"/>
    <x v="25"/>
    <s v="POS"/>
    <n v="0.05"/>
    <n v="400"/>
    <n v="20"/>
    <n v="0"/>
    <m/>
    <m/>
    <m/>
    <m/>
    <n v="0"/>
    <n v="0"/>
    <n v="73384.112167016108"/>
  </r>
  <r>
    <x v="163"/>
    <x v="4"/>
    <x v="58"/>
    <x v="0"/>
    <x v="5"/>
    <x v="1767"/>
    <x v="25"/>
    <s v="POS"/>
    <n v="1"/>
    <n v="255"/>
    <n v="255"/>
    <n v="0"/>
    <m/>
    <m/>
    <m/>
    <m/>
    <n v="0"/>
    <n v="0"/>
    <n v="73384.112167016108"/>
  </r>
  <r>
    <x v="163"/>
    <x v="4"/>
    <x v="56"/>
    <x v="0"/>
    <x v="5"/>
    <x v="1767"/>
    <x v="25"/>
    <s v="POS"/>
    <n v="0.5"/>
    <n v="200"/>
    <n v="100"/>
    <n v="0"/>
    <m/>
    <m/>
    <m/>
    <m/>
    <n v="0"/>
    <n v="0"/>
    <n v="73384.112167016108"/>
  </r>
  <r>
    <x v="163"/>
    <x v="4"/>
    <x v="57"/>
    <x v="0"/>
    <x v="5"/>
    <x v="1767"/>
    <x v="25"/>
    <s v="POS"/>
    <n v="0.5"/>
    <n v="150"/>
    <n v="75"/>
    <n v="0"/>
    <m/>
    <m/>
    <m/>
    <m/>
    <n v="0"/>
    <n v="0"/>
    <n v="73384.112167016108"/>
  </r>
  <r>
    <x v="163"/>
    <x v="4"/>
    <x v="55"/>
    <x v="0"/>
    <x v="1"/>
    <x v="1768"/>
    <x v="25"/>
    <s v="NAKİT"/>
    <n v="1"/>
    <n v="200"/>
    <n v="0"/>
    <n v="0"/>
    <m/>
    <m/>
    <m/>
    <m/>
    <n v="200"/>
    <n v="0"/>
    <n v="73584.112167016108"/>
  </r>
  <r>
    <x v="163"/>
    <x v="4"/>
    <x v="112"/>
    <x v="0"/>
    <x v="1"/>
    <x v="1768"/>
    <x v="25"/>
    <s v="NAKİT"/>
    <n v="0.05"/>
    <n v="1800"/>
    <n v="0"/>
    <n v="0"/>
    <m/>
    <m/>
    <m/>
    <m/>
    <n v="90"/>
    <n v="0"/>
    <n v="73674.112167016108"/>
  </r>
  <r>
    <x v="163"/>
    <x v="4"/>
    <x v="389"/>
    <x v="0"/>
    <x v="1"/>
    <x v="1768"/>
    <x v="25"/>
    <s v="NAKİT"/>
    <n v="0.4"/>
    <n v="500"/>
    <n v="0"/>
    <n v="0"/>
    <m/>
    <m/>
    <m/>
    <m/>
    <n v="200"/>
    <n v="0"/>
    <n v="73874.112167016108"/>
  </r>
  <r>
    <x v="163"/>
    <x v="4"/>
    <x v="53"/>
    <x v="0"/>
    <x v="1"/>
    <x v="1768"/>
    <x v="25"/>
    <s v="NAKİT"/>
    <n v="0.1"/>
    <n v="400"/>
    <n v="0"/>
    <n v="0"/>
    <m/>
    <m/>
    <m/>
    <m/>
    <n v="40"/>
    <n v="0"/>
    <n v="73914.112167016108"/>
  </r>
  <r>
    <x v="163"/>
    <x v="4"/>
    <x v="161"/>
    <x v="0"/>
    <x v="1"/>
    <x v="1769"/>
    <x v="25"/>
    <s v="NAKİT"/>
    <n v="0.17249999999999999"/>
    <n v="400"/>
    <n v="0"/>
    <n v="0"/>
    <m/>
    <m/>
    <m/>
    <m/>
    <n v="69"/>
    <n v="0"/>
    <n v="73983.112167016108"/>
  </r>
  <r>
    <x v="163"/>
    <x v="4"/>
    <x v="25"/>
    <x v="0"/>
    <x v="1"/>
    <x v="1769"/>
    <x v="25"/>
    <s v="NAKİT"/>
    <n v="0.1275"/>
    <n v="400"/>
    <n v="0"/>
    <n v="0"/>
    <m/>
    <m/>
    <m/>
    <m/>
    <n v="51"/>
    <n v="0"/>
    <n v="74034.112167016108"/>
  </r>
  <r>
    <x v="163"/>
    <x v="4"/>
    <x v="18"/>
    <x v="0"/>
    <x v="5"/>
    <x v="1770"/>
    <x v="25"/>
    <s v="POS"/>
    <n v="1"/>
    <n v="250"/>
    <n v="250"/>
    <n v="0"/>
    <m/>
    <m/>
    <m/>
    <m/>
    <n v="0"/>
    <n v="0"/>
    <n v="74034.112167016108"/>
  </r>
  <r>
    <x v="163"/>
    <x v="4"/>
    <x v="58"/>
    <x v="0"/>
    <x v="5"/>
    <x v="1770"/>
    <x v="25"/>
    <s v="POS"/>
    <n v="1"/>
    <n v="230"/>
    <n v="230"/>
    <n v="0"/>
    <m/>
    <m/>
    <m/>
    <m/>
    <n v="0"/>
    <n v="0"/>
    <n v="74034.112167016108"/>
  </r>
  <r>
    <x v="163"/>
    <x v="4"/>
    <x v="178"/>
    <x v="0"/>
    <x v="5"/>
    <x v="1770"/>
    <x v="25"/>
    <s v="POS"/>
    <n v="1"/>
    <n v="220"/>
    <n v="220"/>
    <n v="0"/>
    <m/>
    <m/>
    <m/>
    <m/>
    <n v="0"/>
    <n v="0"/>
    <n v="74034.112167016108"/>
  </r>
  <r>
    <x v="163"/>
    <x v="4"/>
    <x v="28"/>
    <x v="0"/>
    <x v="5"/>
    <x v="1771"/>
    <x v="25"/>
    <s v="POS"/>
    <n v="0.222"/>
    <n v="500"/>
    <n v="111"/>
    <n v="0"/>
    <m/>
    <m/>
    <m/>
    <m/>
    <n v="0"/>
    <n v="0"/>
    <n v="74034.112167016108"/>
  </r>
  <r>
    <x v="163"/>
    <x v="4"/>
    <x v="31"/>
    <x v="0"/>
    <x v="5"/>
    <x v="1771"/>
    <x v="25"/>
    <s v="POS"/>
    <n v="0.21"/>
    <n v="400"/>
    <n v="84"/>
    <n v="0"/>
    <m/>
    <m/>
    <m/>
    <m/>
    <n v="0"/>
    <n v="0"/>
    <n v="74034.112167016108"/>
  </r>
  <r>
    <x v="163"/>
    <x v="4"/>
    <x v="25"/>
    <x v="0"/>
    <x v="5"/>
    <x v="1771"/>
    <x v="25"/>
    <s v="POS"/>
    <n v="0.05"/>
    <n v="400"/>
    <n v="20"/>
    <n v="0"/>
    <m/>
    <m/>
    <m/>
    <m/>
    <n v="0"/>
    <n v="0"/>
    <n v="74034.112167016108"/>
  </r>
  <r>
    <x v="163"/>
    <x v="4"/>
    <x v="56"/>
    <x v="0"/>
    <x v="5"/>
    <x v="1771"/>
    <x v="25"/>
    <s v="POS"/>
    <n v="0.5"/>
    <n v="200"/>
    <n v="100"/>
    <n v="0"/>
    <m/>
    <m/>
    <m/>
    <m/>
    <n v="0"/>
    <n v="0"/>
    <n v="74034.112167016108"/>
  </r>
  <r>
    <x v="163"/>
    <x v="4"/>
    <x v="221"/>
    <x v="0"/>
    <x v="5"/>
    <x v="1771"/>
    <x v="25"/>
    <s v="POS"/>
    <n v="1"/>
    <n v="280"/>
    <n v="280"/>
    <n v="0"/>
    <m/>
    <m/>
    <m/>
    <m/>
    <n v="0"/>
    <n v="0"/>
    <n v="74034.112167016108"/>
  </r>
  <r>
    <x v="163"/>
    <x v="4"/>
    <x v="18"/>
    <x v="0"/>
    <x v="1"/>
    <x v="1772"/>
    <x v="25"/>
    <s v="NAKİT"/>
    <n v="1"/>
    <n v="250"/>
    <n v="0"/>
    <n v="0"/>
    <m/>
    <m/>
    <m/>
    <m/>
    <n v="250"/>
    <n v="0"/>
    <n v="74284.112167016108"/>
  </r>
  <r>
    <x v="163"/>
    <x v="4"/>
    <x v="17"/>
    <x v="0"/>
    <x v="1"/>
    <x v="1772"/>
    <x v="25"/>
    <s v="NAKİT"/>
    <n v="1"/>
    <n v="60"/>
    <n v="0"/>
    <n v="0"/>
    <m/>
    <m/>
    <m/>
    <m/>
    <n v="60"/>
    <n v="0"/>
    <n v="74344.112167016108"/>
  </r>
  <r>
    <x v="163"/>
    <x v="4"/>
    <x v="27"/>
    <x v="0"/>
    <x v="1"/>
    <x v="1772"/>
    <x v="25"/>
    <s v="NAKİT"/>
    <n v="3.6000000000000004E-2"/>
    <n v="400"/>
    <n v="0"/>
    <n v="0"/>
    <m/>
    <m/>
    <m/>
    <m/>
    <n v="14.400000000000002"/>
    <n v="0"/>
    <n v="74358.512167016102"/>
  </r>
  <r>
    <x v="163"/>
    <x v="4"/>
    <x v="33"/>
    <x v="0"/>
    <x v="1"/>
    <x v="1772"/>
    <x v="25"/>
    <s v="NAKİT"/>
    <n v="0.08"/>
    <n v="400"/>
    <n v="0"/>
    <n v="0"/>
    <m/>
    <m/>
    <m/>
    <m/>
    <n v="32"/>
    <n v="0"/>
    <n v="74390.512167016102"/>
  </r>
  <r>
    <x v="163"/>
    <x v="4"/>
    <x v="58"/>
    <x v="0"/>
    <x v="5"/>
    <x v="1773"/>
    <x v="25"/>
    <s v="POS"/>
    <n v="0.25"/>
    <n v="230"/>
    <n v="57.5"/>
    <n v="0"/>
    <m/>
    <m/>
    <m/>
    <m/>
    <n v="0"/>
    <n v="0"/>
    <n v="74390.512167016102"/>
  </r>
  <r>
    <x v="163"/>
    <x v="4"/>
    <x v="20"/>
    <x v="0"/>
    <x v="5"/>
    <x v="1773"/>
    <x v="25"/>
    <s v="POS"/>
    <n v="0.25"/>
    <n v="230"/>
    <n v="57.5"/>
    <n v="0"/>
    <m/>
    <m/>
    <m/>
    <m/>
    <n v="0"/>
    <n v="0"/>
    <n v="74390.512167016102"/>
  </r>
  <r>
    <x v="163"/>
    <x v="4"/>
    <x v="18"/>
    <x v="0"/>
    <x v="5"/>
    <x v="1773"/>
    <x v="25"/>
    <s v="POS"/>
    <n v="0.5"/>
    <n v="250"/>
    <n v="125"/>
    <n v="0"/>
    <m/>
    <m/>
    <m/>
    <m/>
    <n v="0"/>
    <n v="0"/>
    <n v="74390.512167016102"/>
  </r>
  <r>
    <x v="163"/>
    <x v="4"/>
    <x v="356"/>
    <x v="0"/>
    <x v="5"/>
    <x v="1773"/>
    <x v="25"/>
    <s v="POS"/>
    <n v="1"/>
    <n v="20"/>
    <n v="20"/>
    <n v="0"/>
    <m/>
    <m/>
    <m/>
    <m/>
    <n v="0"/>
    <n v="0"/>
    <n v="74390.512167016102"/>
  </r>
  <r>
    <x v="163"/>
    <x v="4"/>
    <x v="28"/>
    <x v="0"/>
    <x v="1"/>
    <x v="1774"/>
    <x v="25"/>
    <s v="NAKİT"/>
    <n v="0.154"/>
    <n v="500"/>
    <n v="0"/>
    <n v="0"/>
    <m/>
    <m/>
    <m/>
    <m/>
    <n v="77"/>
    <n v="0"/>
    <n v="74467.512167016102"/>
  </r>
  <r>
    <x v="163"/>
    <x v="4"/>
    <x v="25"/>
    <x v="0"/>
    <x v="1"/>
    <x v="1774"/>
    <x v="25"/>
    <s v="NAKİT"/>
    <n v="7.400000000000001E-2"/>
    <n v="400"/>
    <n v="0"/>
    <n v="0"/>
    <m/>
    <m/>
    <m/>
    <m/>
    <n v="29.600000000000005"/>
    <n v="0"/>
    <n v="74497.112167016108"/>
  </r>
  <r>
    <x v="163"/>
    <x v="4"/>
    <x v="27"/>
    <x v="0"/>
    <x v="1"/>
    <x v="1774"/>
    <x v="25"/>
    <s v="NAKİT"/>
    <n v="6.7500000000000004E-2"/>
    <n v="400"/>
    <n v="0"/>
    <n v="0"/>
    <m/>
    <m/>
    <m/>
    <m/>
    <n v="27"/>
    <n v="0"/>
    <n v="74524.112167016108"/>
  </r>
  <r>
    <x v="163"/>
    <x v="4"/>
    <x v="206"/>
    <x v="0"/>
    <x v="5"/>
    <x v="1775"/>
    <x v="25"/>
    <s v="POS"/>
    <n v="1"/>
    <n v="350"/>
    <n v="350"/>
    <n v="0"/>
    <m/>
    <m/>
    <m/>
    <m/>
    <n v="0"/>
    <n v="0"/>
    <n v="74524.112167016108"/>
  </r>
  <r>
    <x v="163"/>
    <x v="4"/>
    <x v="55"/>
    <x v="0"/>
    <x v="5"/>
    <x v="1775"/>
    <x v="25"/>
    <s v="POS"/>
    <n v="1"/>
    <n v="200"/>
    <n v="200"/>
    <n v="0"/>
    <m/>
    <m/>
    <m/>
    <m/>
    <n v="0"/>
    <n v="0"/>
    <n v="74524.112167016108"/>
  </r>
  <r>
    <x v="163"/>
    <x v="4"/>
    <x v="61"/>
    <x v="0"/>
    <x v="1"/>
    <x v="1776"/>
    <x v="25"/>
    <s v="NAKİT"/>
    <n v="8.9610389610389612E-2"/>
    <n v="770"/>
    <n v="0"/>
    <n v="0"/>
    <m/>
    <m/>
    <m/>
    <m/>
    <n v="69"/>
    <n v="0"/>
    <n v="74593.112167016108"/>
  </r>
  <r>
    <x v="163"/>
    <x v="4"/>
    <x v="61"/>
    <x v="0"/>
    <x v="5"/>
    <x v="1777"/>
    <x v="25"/>
    <s v="POS"/>
    <n v="8.3116883116883117E-2"/>
    <n v="770"/>
    <n v="64"/>
    <n v="0"/>
    <m/>
    <m/>
    <m/>
    <m/>
    <n v="0"/>
    <n v="0"/>
    <n v="74593.112167016108"/>
  </r>
  <r>
    <x v="163"/>
    <x v="4"/>
    <x v="256"/>
    <x v="0"/>
    <x v="1"/>
    <x v="1778"/>
    <x v="25"/>
    <s v="NAKİT"/>
    <n v="1"/>
    <n v="100"/>
    <n v="0"/>
    <n v="0"/>
    <m/>
    <m/>
    <m/>
    <m/>
    <n v="100"/>
    <n v="0"/>
    <n v="74693.112167016108"/>
  </r>
  <r>
    <x v="164"/>
    <x v="4"/>
    <x v="56"/>
    <x v="0"/>
    <x v="1"/>
    <x v="1779"/>
    <x v="25"/>
    <s v="NAKİT"/>
    <n v="0.5"/>
    <n v="200"/>
    <n v="0"/>
    <n v="0"/>
    <m/>
    <m/>
    <m/>
    <m/>
    <n v="100"/>
    <n v="0"/>
    <n v="74793.112167016108"/>
  </r>
  <r>
    <x v="164"/>
    <x v="4"/>
    <x v="312"/>
    <x v="0"/>
    <x v="5"/>
    <x v="1780"/>
    <x v="25"/>
    <s v="POS"/>
    <n v="0.58571428571428574"/>
    <n v="350"/>
    <n v="205"/>
    <n v="0"/>
    <m/>
    <m/>
    <m/>
    <m/>
    <n v="0"/>
    <n v="0"/>
    <n v="74793.112167016108"/>
  </r>
  <r>
    <x v="164"/>
    <x v="4"/>
    <x v="233"/>
    <x v="0"/>
    <x v="5"/>
    <x v="1781"/>
    <x v="25"/>
    <s v="POS"/>
    <n v="1"/>
    <n v="400"/>
    <n v="400"/>
    <n v="0"/>
    <m/>
    <m/>
    <m/>
    <m/>
    <n v="0"/>
    <n v="0"/>
    <n v="74793.112167016108"/>
  </r>
  <r>
    <x v="164"/>
    <x v="4"/>
    <x v="18"/>
    <x v="0"/>
    <x v="1"/>
    <x v="1782"/>
    <x v="25"/>
    <s v="NAKİT"/>
    <n v="1"/>
    <n v="250"/>
    <n v="0"/>
    <n v="0"/>
    <m/>
    <m/>
    <m/>
    <m/>
    <n v="250"/>
    <n v="0"/>
    <n v="75043.112167016108"/>
  </r>
  <r>
    <x v="164"/>
    <x v="4"/>
    <x v="150"/>
    <x v="0"/>
    <x v="1"/>
    <x v="1783"/>
    <x v="25"/>
    <s v="NAKİT"/>
    <n v="1"/>
    <n v="200"/>
    <n v="0"/>
    <n v="0"/>
    <m/>
    <m/>
    <m/>
    <m/>
    <n v="200"/>
    <n v="0"/>
    <n v="75243.112167016108"/>
  </r>
  <r>
    <x v="164"/>
    <x v="4"/>
    <x v="30"/>
    <x v="0"/>
    <x v="1"/>
    <x v="1784"/>
    <x v="25"/>
    <s v="NAKİT"/>
    <n v="0.2"/>
    <n v="500"/>
    <n v="0"/>
    <n v="0"/>
    <m/>
    <m/>
    <m/>
    <m/>
    <n v="100"/>
    <n v="0"/>
    <n v="75343.112167016108"/>
  </r>
  <r>
    <x v="164"/>
    <x v="4"/>
    <x v="205"/>
    <x v="0"/>
    <x v="11"/>
    <x v="1785"/>
    <x v="189"/>
    <s v="CARİ"/>
    <n v="5"/>
    <n v="65"/>
    <n v="325"/>
    <n v="0"/>
    <m/>
    <m/>
    <m/>
    <m/>
    <n v="0"/>
    <n v="0"/>
    <n v="75343.112167016108"/>
  </r>
  <r>
    <x v="164"/>
    <x v="4"/>
    <x v="24"/>
    <x v="0"/>
    <x v="11"/>
    <x v="1785"/>
    <x v="189"/>
    <s v="CARİ"/>
    <n v="0.25"/>
    <n v="490"/>
    <n v="122.5"/>
    <n v="0"/>
    <m/>
    <m/>
    <m/>
    <m/>
    <n v="0"/>
    <n v="0"/>
    <n v="75343.112167016108"/>
  </r>
  <r>
    <x v="164"/>
    <x v="4"/>
    <x v="25"/>
    <x v="0"/>
    <x v="11"/>
    <x v="1785"/>
    <x v="189"/>
    <s v="CARİ"/>
    <n v="0.25"/>
    <n v="295"/>
    <n v="73.75"/>
    <n v="0"/>
    <m/>
    <m/>
    <m/>
    <m/>
    <n v="0"/>
    <n v="0"/>
    <n v="75343.112167016108"/>
  </r>
  <r>
    <x v="164"/>
    <x v="4"/>
    <x v="312"/>
    <x v="0"/>
    <x v="1"/>
    <x v="1786"/>
    <x v="25"/>
    <s v="NAKİT"/>
    <n v="0.372"/>
    <n v="350"/>
    <n v="0"/>
    <n v="0"/>
    <m/>
    <m/>
    <m/>
    <m/>
    <n v="130.19999999999999"/>
    <n v="0"/>
    <n v="75473.312167016105"/>
  </r>
  <r>
    <x v="164"/>
    <x v="4"/>
    <x v="312"/>
    <x v="0"/>
    <x v="1"/>
    <x v="1786"/>
    <x v="25"/>
    <s v="NAKİT"/>
    <n v="0.4"/>
    <n v="350"/>
    <n v="0"/>
    <n v="0"/>
    <m/>
    <m/>
    <m/>
    <m/>
    <n v="140"/>
    <n v="0"/>
    <n v="75613.312167016105"/>
  </r>
  <r>
    <x v="164"/>
    <x v="4"/>
    <x v="18"/>
    <x v="0"/>
    <x v="1"/>
    <x v="1786"/>
    <x v="25"/>
    <s v="NAKİT"/>
    <n v="1"/>
    <n v="250"/>
    <n v="0"/>
    <n v="0"/>
    <m/>
    <m/>
    <m/>
    <m/>
    <n v="250"/>
    <n v="0"/>
    <n v="75863.312167016105"/>
  </r>
  <r>
    <x v="164"/>
    <x v="4"/>
    <x v="58"/>
    <x v="0"/>
    <x v="1"/>
    <x v="1786"/>
    <x v="25"/>
    <s v="NAKİT"/>
    <n v="1"/>
    <n v="230"/>
    <n v="0"/>
    <n v="0"/>
    <m/>
    <m/>
    <m/>
    <m/>
    <n v="230"/>
    <n v="0"/>
    <n v="76093.312167016105"/>
  </r>
  <r>
    <x v="164"/>
    <x v="4"/>
    <x v="36"/>
    <x v="0"/>
    <x v="1"/>
    <x v="1786"/>
    <x v="25"/>
    <s v="NAKİT"/>
    <n v="0.27777777777777779"/>
    <n v="180"/>
    <n v="0"/>
    <n v="0"/>
    <m/>
    <m/>
    <m/>
    <m/>
    <n v="50"/>
    <n v="0"/>
    <n v="76143.312167016105"/>
  </r>
  <r>
    <x v="164"/>
    <x v="4"/>
    <x v="18"/>
    <x v="0"/>
    <x v="5"/>
    <x v="1787"/>
    <x v="25"/>
    <s v="POS"/>
    <n v="0.5"/>
    <n v="250"/>
    <n v="125"/>
    <n v="0"/>
    <m/>
    <m/>
    <m/>
    <m/>
    <n v="0"/>
    <n v="0"/>
    <n v="76143.312167016105"/>
  </r>
  <r>
    <x v="164"/>
    <x v="4"/>
    <x v="58"/>
    <x v="0"/>
    <x v="5"/>
    <x v="1787"/>
    <x v="25"/>
    <s v="POS"/>
    <n v="0.5"/>
    <n v="230"/>
    <n v="115"/>
    <n v="0"/>
    <m/>
    <m/>
    <m/>
    <m/>
    <n v="0"/>
    <n v="0"/>
    <n v="76143.312167016105"/>
  </r>
  <r>
    <x v="164"/>
    <x v="4"/>
    <x v="27"/>
    <x v="0"/>
    <x v="5"/>
    <x v="1787"/>
    <x v="25"/>
    <s v="POS"/>
    <n v="7.0000000000000007E-2"/>
    <n v="400"/>
    <n v="28.000000000000004"/>
    <n v="0"/>
    <m/>
    <m/>
    <m/>
    <m/>
    <n v="0"/>
    <n v="0"/>
    <n v="76143.312167016105"/>
  </r>
  <r>
    <x v="164"/>
    <x v="4"/>
    <x v="79"/>
    <x v="0"/>
    <x v="5"/>
    <x v="1787"/>
    <x v="25"/>
    <s v="POS"/>
    <n v="1"/>
    <n v="290"/>
    <n v="290"/>
    <n v="0"/>
    <m/>
    <m/>
    <m/>
    <m/>
    <n v="0"/>
    <n v="0"/>
    <n v="76143.312167016105"/>
  </r>
  <r>
    <x v="164"/>
    <x v="4"/>
    <x v="240"/>
    <x v="0"/>
    <x v="5"/>
    <x v="1787"/>
    <x v="25"/>
    <s v="POS"/>
    <n v="0.21739130434782608"/>
    <n v="230"/>
    <n v="50"/>
    <n v="0"/>
    <m/>
    <m/>
    <m/>
    <m/>
    <n v="0"/>
    <n v="0"/>
    <n v="76143.312167016105"/>
  </r>
  <r>
    <x v="164"/>
    <x v="4"/>
    <x v="312"/>
    <x v="0"/>
    <x v="5"/>
    <x v="1787"/>
    <x v="25"/>
    <s v="POS"/>
    <n v="0.56285714285714283"/>
    <n v="350"/>
    <n v="197"/>
    <n v="0"/>
    <m/>
    <m/>
    <m/>
    <m/>
    <n v="0"/>
    <n v="0"/>
    <n v="76143.312167016105"/>
  </r>
  <r>
    <x v="164"/>
    <x v="4"/>
    <x v="22"/>
    <x v="0"/>
    <x v="1"/>
    <x v="1788"/>
    <x v="25"/>
    <s v="NAKİT"/>
    <n v="6.25E-2"/>
    <n v="400"/>
    <n v="0"/>
    <n v="0"/>
    <m/>
    <m/>
    <m/>
    <m/>
    <n v="25"/>
    <n v="0"/>
    <n v="76168.312167016105"/>
  </r>
  <r>
    <x v="164"/>
    <x v="4"/>
    <x v="61"/>
    <x v="0"/>
    <x v="5"/>
    <x v="1789"/>
    <x v="25"/>
    <s v="POS"/>
    <n v="7.5324675324675322E-2"/>
    <n v="770"/>
    <n v="58"/>
    <n v="0"/>
    <m/>
    <m/>
    <m/>
    <m/>
    <n v="0"/>
    <n v="0"/>
    <n v="76168.312167016105"/>
  </r>
  <r>
    <x v="164"/>
    <x v="4"/>
    <x v="25"/>
    <x v="0"/>
    <x v="5"/>
    <x v="1789"/>
    <x v="25"/>
    <s v="POS"/>
    <n v="0.115"/>
    <n v="400"/>
    <n v="46"/>
    <n v="0"/>
    <m/>
    <m/>
    <m/>
    <m/>
    <n v="0"/>
    <n v="0"/>
    <n v="76168.312167016105"/>
  </r>
  <r>
    <x v="164"/>
    <x v="4"/>
    <x v="32"/>
    <x v="0"/>
    <x v="5"/>
    <x v="1789"/>
    <x v="25"/>
    <s v="POS"/>
    <n v="0.1525"/>
    <n v="400"/>
    <n v="61"/>
    <n v="0"/>
    <m/>
    <m/>
    <m/>
    <m/>
    <n v="0"/>
    <n v="0"/>
    <n v="76168.312167016105"/>
  </r>
  <r>
    <x v="164"/>
    <x v="4"/>
    <x v="233"/>
    <x v="0"/>
    <x v="1"/>
    <x v="1790"/>
    <x v="25"/>
    <s v="NAKİT"/>
    <n v="1"/>
    <n v="400"/>
    <n v="0"/>
    <n v="0"/>
    <m/>
    <m/>
    <m/>
    <m/>
    <n v="400"/>
    <n v="0"/>
    <n v="76568.312167016105"/>
  </r>
  <r>
    <x v="164"/>
    <x v="4"/>
    <x v="240"/>
    <x v="0"/>
    <x v="1"/>
    <x v="1791"/>
    <x v="25"/>
    <s v="NAKİT"/>
    <n v="0.32608695652173914"/>
    <n v="230"/>
    <n v="0"/>
    <n v="0"/>
    <m/>
    <m/>
    <m/>
    <m/>
    <n v="75"/>
    <n v="0"/>
    <n v="76643.312167016105"/>
  </r>
  <r>
    <x v="164"/>
    <x v="4"/>
    <x v="166"/>
    <x v="0"/>
    <x v="5"/>
    <x v="1792"/>
    <x v="25"/>
    <s v="POS"/>
    <n v="1"/>
    <n v="50"/>
    <n v="50"/>
    <n v="0"/>
    <m/>
    <m/>
    <m/>
    <m/>
    <n v="0"/>
    <n v="0"/>
    <n v="76643.312167016105"/>
  </r>
  <r>
    <x v="164"/>
    <x v="4"/>
    <x v="163"/>
    <x v="0"/>
    <x v="5"/>
    <x v="1792"/>
    <x v="25"/>
    <s v="POS"/>
    <n v="1"/>
    <n v="50"/>
    <n v="50"/>
    <n v="0"/>
    <m/>
    <m/>
    <m/>
    <m/>
    <n v="0"/>
    <n v="0"/>
    <n v="76643.312167016105"/>
  </r>
  <r>
    <x v="164"/>
    <x v="4"/>
    <x v="429"/>
    <x v="0"/>
    <x v="5"/>
    <x v="1792"/>
    <x v="25"/>
    <s v="POS"/>
    <n v="1"/>
    <n v="120"/>
    <n v="120"/>
    <n v="0"/>
    <m/>
    <m/>
    <m/>
    <m/>
    <n v="0"/>
    <n v="0"/>
    <n v="76643.312167016105"/>
  </r>
  <r>
    <x v="164"/>
    <x v="4"/>
    <x v="132"/>
    <x v="0"/>
    <x v="5"/>
    <x v="1793"/>
    <x v="25"/>
    <s v="POS"/>
    <n v="1"/>
    <n v="190"/>
    <n v="190"/>
    <n v="0"/>
    <m/>
    <m/>
    <m/>
    <m/>
    <n v="0"/>
    <n v="0"/>
    <n v="76643.312167016105"/>
  </r>
  <r>
    <x v="164"/>
    <x v="4"/>
    <x v="248"/>
    <x v="0"/>
    <x v="5"/>
    <x v="1794"/>
    <x v="25"/>
    <s v="POS"/>
    <n v="0.36"/>
    <n v="650"/>
    <n v="234"/>
    <n v="0"/>
    <m/>
    <m/>
    <m/>
    <m/>
    <n v="0"/>
    <n v="0"/>
    <n v="76643.312167016105"/>
  </r>
  <r>
    <x v="164"/>
    <x v="4"/>
    <x v="394"/>
    <x v="0"/>
    <x v="5"/>
    <x v="1794"/>
    <x v="25"/>
    <s v="POS"/>
    <n v="0.5"/>
    <n v="400"/>
    <n v="200"/>
    <n v="0"/>
    <m/>
    <m/>
    <m/>
    <m/>
    <n v="0"/>
    <n v="0"/>
    <n v="76643.312167016105"/>
  </r>
  <r>
    <x v="164"/>
    <x v="4"/>
    <x v="241"/>
    <x v="0"/>
    <x v="5"/>
    <x v="1794"/>
    <x v="25"/>
    <s v="POS"/>
    <n v="1"/>
    <n v="60"/>
    <n v="60"/>
    <n v="0"/>
    <m/>
    <m/>
    <m/>
    <m/>
    <n v="0"/>
    <n v="0"/>
    <n v="76643.312167016105"/>
  </r>
  <r>
    <x v="164"/>
    <x v="4"/>
    <x v="247"/>
    <x v="0"/>
    <x v="1"/>
    <x v="1794"/>
    <x v="25"/>
    <s v="NAKİT"/>
    <n v="1"/>
    <n v="90"/>
    <n v="0"/>
    <n v="0"/>
    <m/>
    <m/>
    <m/>
    <m/>
    <n v="90"/>
    <n v="0"/>
    <n v="76733.312167016105"/>
  </r>
  <r>
    <x v="164"/>
    <x v="4"/>
    <x v="161"/>
    <x v="0"/>
    <x v="1"/>
    <x v="1795"/>
    <x v="25"/>
    <s v="NAKİT"/>
    <n v="0.25"/>
    <n v="400"/>
    <n v="0"/>
    <n v="0"/>
    <m/>
    <m/>
    <m/>
    <m/>
    <n v="100"/>
    <n v="0"/>
    <n v="76833.312167016105"/>
  </r>
  <r>
    <x v="164"/>
    <x v="1"/>
    <x v="0"/>
    <x v="12"/>
    <x v="1"/>
    <x v="2"/>
    <x v="139"/>
    <s v="NAKİT"/>
    <n v="1"/>
    <n v="2000"/>
    <n v="0"/>
    <n v="0"/>
    <m/>
    <m/>
    <m/>
    <m/>
    <n v="0"/>
    <n v="2000"/>
    <n v="74833.312167016105"/>
  </r>
  <r>
    <x v="164"/>
    <x v="7"/>
    <x v="0"/>
    <x v="0"/>
    <x v="3"/>
    <x v="2"/>
    <x v="192"/>
    <s v="NAKİT"/>
    <n v="1"/>
    <n v="20000"/>
    <n v="20000"/>
    <n v="0"/>
    <m/>
    <m/>
    <m/>
    <m/>
    <n v="0"/>
    <n v="20000"/>
    <n v="54833.312167016105"/>
  </r>
  <r>
    <x v="165"/>
    <x v="4"/>
    <x v="305"/>
    <x v="0"/>
    <x v="5"/>
    <x v="1796"/>
    <x v="25"/>
    <s v="POS"/>
    <n v="0.1"/>
    <n v="900"/>
    <n v="90"/>
    <n v="0"/>
    <m/>
    <m/>
    <m/>
    <m/>
    <n v="0"/>
    <n v="0"/>
    <n v="54833.312167016105"/>
  </r>
  <r>
    <x v="165"/>
    <x v="4"/>
    <x v="29"/>
    <x v="0"/>
    <x v="1"/>
    <x v="1797"/>
    <x v="25"/>
    <s v="NAKİT"/>
    <n v="4.8000000000000001E-2"/>
    <n v="750"/>
    <n v="0"/>
    <n v="0"/>
    <m/>
    <m/>
    <m/>
    <m/>
    <n v="36"/>
    <n v="0"/>
    <n v="54869.312167016105"/>
  </r>
  <r>
    <x v="165"/>
    <x v="4"/>
    <x v="18"/>
    <x v="0"/>
    <x v="5"/>
    <x v="1798"/>
    <x v="25"/>
    <s v="POS"/>
    <n v="1"/>
    <n v="250"/>
    <n v="250"/>
    <n v="0"/>
    <m/>
    <m/>
    <m/>
    <m/>
    <n v="0"/>
    <n v="0"/>
    <n v="54869.312167016105"/>
  </r>
  <r>
    <x v="165"/>
    <x v="4"/>
    <x v="58"/>
    <x v="0"/>
    <x v="5"/>
    <x v="1798"/>
    <x v="25"/>
    <s v="POS"/>
    <n v="1"/>
    <n v="230"/>
    <n v="230"/>
    <n v="0"/>
    <m/>
    <m/>
    <m/>
    <m/>
    <n v="0"/>
    <n v="0"/>
    <n v="54869.312167016105"/>
  </r>
  <r>
    <x v="165"/>
    <x v="4"/>
    <x v="312"/>
    <x v="0"/>
    <x v="1"/>
    <x v="1799"/>
    <x v="25"/>
    <s v="NAKİT"/>
    <n v="0.56285714285714283"/>
    <n v="350"/>
    <n v="0"/>
    <n v="0"/>
    <m/>
    <m/>
    <m/>
    <m/>
    <n v="197"/>
    <n v="0"/>
    <n v="55066.312167016105"/>
  </r>
  <r>
    <x v="165"/>
    <x v="4"/>
    <x v="19"/>
    <x v="0"/>
    <x v="1"/>
    <x v="1800"/>
    <x v="25"/>
    <s v="NAKİT"/>
    <n v="0.5"/>
    <n v="230"/>
    <n v="0"/>
    <n v="0"/>
    <m/>
    <m/>
    <m/>
    <m/>
    <n v="115"/>
    <n v="0"/>
    <n v="55181.312167016105"/>
  </r>
  <r>
    <x v="165"/>
    <x v="4"/>
    <x v="244"/>
    <x v="0"/>
    <x v="5"/>
    <x v="1801"/>
    <x v="25"/>
    <s v="POS"/>
    <n v="0.5"/>
    <n v="120"/>
    <n v="60"/>
    <n v="0"/>
    <m/>
    <m/>
    <m/>
    <m/>
    <n v="0"/>
    <n v="0"/>
    <n v="55181.312167016105"/>
  </r>
  <r>
    <x v="165"/>
    <x v="4"/>
    <x v="314"/>
    <x v="0"/>
    <x v="1"/>
    <x v="1802"/>
    <x v="25"/>
    <s v="NAKİT"/>
    <n v="1"/>
    <n v="140"/>
    <n v="0"/>
    <n v="0"/>
    <m/>
    <m/>
    <m/>
    <m/>
    <n v="140"/>
    <n v="0"/>
    <n v="55321.312167016105"/>
  </r>
  <r>
    <x v="165"/>
    <x v="4"/>
    <x v="171"/>
    <x v="0"/>
    <x v="1"/>
    <x v="1802"/>
    <x v="25"/>
    <s v="NAKİT"/>
    <n v="1"/>
    <n v="250"/>
    <n v="0"/>
    <n v="0"/>
    <m/>
    <m/>
    <m/>
    <m/>
    <n v="250"/>
    <n v="0"/>
    <n v="55571.312167016105"/>
  </r>
  <r>
    <x v="165"/>
    <x v="4"/>
    <x v="94"/>
    <x v="0"/>
    <x v="5"/>
    <x v="1803"/>
    <x v="25"/>
    <s v="POS"/>
    <n v="0.05"/>
    <n v="2000"/>
    <n v="100"/>
    <n v="0"/>
    <m/>
    <m/>
    <m/>
    <m/>
    <n v="0"/>
    <n v="0"/>
    <n v="55571.312167016105"/>
  </r>
  <r>
    <x v="165"/>
    <x v="4"/>
    <x v="99"/>
    <x v="0"/>
    <x v="5"/>
    <x v="1803"/>
    <x v="25"/>
    <s v="POS"/>
    <n v="0.05"/>
    <n v="900"/>
    <n v="45"/>
    <n v="0"/>
    <m/>
    <m/>
    <m/>
    <m/>
    <n v="0"/>
    <n v="0"/>
    <n v="55571.312167016105"/>
  </r>
  <r>
    <x v="165"/>
    <x v="4"/>
    <x v="27"/>
    <x v="0"/>
    <x v="1"/>
    <x v="1804"/>
    <x v="25"/>
    <s v="NAKİT"/>
    <n v="0.1"/>
    <n v="400"/>
    <n v="0"/>
    <n v="0"/>
    <m/>
    <m/>
    <m/>
    <m/>
    <n v="40"/>
    <n v="0"/>
    <n v="55611.312167016105"/>
  </r>
  <r>
    <x v="165"/>
    <x v="4"/>
    <x v="287"/>
    <x v="0"/>
    <x v="1"/>
    <x v="1805"/>
    <x v="25"/>
    <s v="NAKİT"/>
    <n v="1.62"/>
    <n v="65"/>
    <n v="0"/>
    <n v="0"/>
    <m/>
    <m/>
    <m/>
    <m/>
    <n v="105.30000000000001"/>
    <n v="0"/>
    <n v="55716.612167016108"/>
  </r>
  <r>
    <x v="165"/>
    <x v="4"/>
    <x v="449"/>
    <x v="0"/>
    <x v="1"/>
    <x v="1806"/>
    <x v="25"/>
    <s v="NAKİT"/>
    <n v="0.46153846153846156"/>
    <n v="650"/>
    <n v="0"/>
    <n v="0"/>
    <m/>
    <m/>
    <m/>
    <m/>
    <n v="300"/>
    <n v="0"/>
    <n v="56016.612167016108"/>
  </r>
  <r>
    <x v="165"/>
    <x v="4"/>
    <x v="445"/>
    <x v="0"/>
    <x v="1"/>
    <x v="1806"/>
    <x v="25"/>
    <s v="NAKİT"/>
    <n v="1"/>
    <n v="90"/>
    <n v="0"/>
    <n v="0"/>
    <m/>
    <m/>
    <m/>
    <m/>
    <n v="90"/>
    <n v="0"/>
    <n v="56106.612167016108"/>
  </r>
  <r>
    <x v="165"/>
    <x v="4"/>
    <x v="448"/>
    <x v="0"/>
    <x v="1"/>
    <x v="1806"/>
    <x v="25"/>
    <s v="NAKİT"/>
    <n v="1"/>
    <n v="90"/>
    <n v="0"/>
    <n v="0"/>
    <m/>
    <m/>
    <m/>
    <m/>
    <n v="90"/>
    <n v="0"/>
    <n v="56196.612167016108"/>
  </r>
  <r>
    <x v="165"/>
    <x v="4"/>
    <x v="363"/>
    <x v="0"/>
    <x v="1"/>
    <x v="1806"/>
    <x v="25"/>
    <s v="NAKİT"/>
    <n v="0.1"/>
    <n v="950"/>
    <n v="0"/>
    <n v="0"/>
    <m/>
    <m/>
    <m/>
    <m/>
    <n v="95"/>
    <n v="0"/>
    <n v="56291.612167016108"/>
  </r>
  <r>
    <x v="165"/>
    <x v="4"/>
    <x v="386"/>
    <x v="0"/>
    <x v="1"/>
    <x v="1806"/>
    <x v="25"/>
    <s v="NAKİT"/>
    <n v="1"/>
    <n v="30"/>
    <n v="0"/>
    <n v="0"/>
    <m/>
    <m/>
    <m/>
    <m/>
    <n v="30"/>
    <n v="0"/>
    <n v="56321.612167016108"/>
  </r>
  <r>
    <x v="165"/>
    <x v="4"/>
    <x v="440"/>
    <x v="0"/>
    <x v="1"/>
    <x v="1807"/>
    <x v="25"/>
    <s v="NAKİT"/>
    <n v="0.28599999999999998"/>
    <n v="280"/>
    <n v="0"/>
    <n v="0"/>
    <m/>
    <m/>
    <m/>
    <m/>
    <n v="80.08"/>
    <n v="0"/>
    <n v="56401.69216701611"/>
  </r>
  <r>
    <x v="165"/>
    <x v="4"/>
    <x v="57"/>
    <x v="0"/>
    <x v="1"/>
    <x v="1808"/>
    <x v="25"/>
    <s v="NAKİT"/>
    <n v="1"/>
    <n v="150"/>
    <n v="0"/>
    <n v="0"/>
    <m/>
    <m/>
    <m/>
    <m/>
    <n v="150"/>
    <n v="0"/>
    <n v="56551.69216701611"/>
  </r>
  <r>
    <x v="165"/>
    <x v="4"/>
    <x v="238"/>
    <x v="0"/>
    <x v="5"/>
    <x v="1809"/>
    <x v="25"/>
    <s v="POS"/>
    <n v="0.36470588235294116"/>
    <n v="340"/>
    <n v="124"/>
    <n v="0"/>
    <m/>
    <m/>
    <m/>
    <m/>
    <n v="0"/>
    <n v="0"/>
    <n v="56551.69216701611"/>
  </r>
  <r>
    <x v="165"/>
    <x v="4"/>
    <x v="135"/>
    <x v="0"/>
    <x v="5"/>
    <x v="1809"/>
    <x v="25"/>
    <s v="POS"/>
    <n v="1"/>
    <n v="100"/>
    <n v="100"/>
    <n v="0"/>
    <m/>
    <m/>
    <m/>
    <m/>
    <n v="0"/>
    <n v="0"/>
    <n v="56551.69216701611"/>
  </r>
  <r>
    <x v="165"/>
    <x v="4"/>
    <x v="354"/>
    <x v="0"/>
    <x v="1"/>
    <x v="1810"/>
    <x v="25"/>
    <s v="NAKİT"/>
    <n v="0.1"/>
    <n v="800"/>
    <n v="0"/>
    <n v="0"/>
    <m/>
    <m/>
    <m/>
    <m/>
    <n v="80"/>
    <n v="0"/>
    <n v="56631.69216701611"/>
  </r>
  <r>
    <x v="165"/>
    <x v="4"/>
    <x v="24"/>
    <x v="0"/>
    <x v="1"/>
    <x v="1810"/>
    <x v="25"/>
    <s v="NAKİT"/>
    <n v="0.1"/>
    <n v="650"/>
    <n v="0"/>
    <n v="0"/>
    <m/>
    <m/>
    <m/>
    <m/>
    <n v="65"/>
    <n v="0"/>
    <n v="56696.69216701611"/>
  </r>
  <r>
    <x v="165"/>
    <x v="4"/>
    <x v="102"/>
    <x v="0"/>
    <x v="1"/>
    <x v="1811"/>
    <x v="25"/>
    <s v="NAKİT"/>
    <n v="0.1"/>
    <n v="500"/>
    <n v="0"/>
    <n v="0"/>
    <m/>
    <m/>
    <m/>
    <m/>
    <n v="50"/>
    <n v="0"/>
    <n v="56746.69216701611"/>
  </r>
  <r>
    <x v="165"/>
    <x v="4"/>
    <x v="27"/>
    <x v="0"/>
    <x v="1"/>
    <x v="1812"/>
    <x v="25"/>
    <s v="NAKİT"/>
    <n v="6.25E-2"/>
    <n v="400"/>
    <n v="0"/>
    <n v="0"/>
    <m/>
    <m/>
    <m/>
    <m/>
    <n v="25"/>
    <n v="0"/>
    <n v="56771.69216701611"/>
  </r>
  <r>
    <x v="165"/>
    <x v="10"/>
    <x v="0"/>
    <x v="0"/>
    <x v="5"/>
    <x v="2"/>
    <x v="193"/>
    <s v="POS"/>
    <n v="1"/>
    <n v="862.18"/>
    <n v="0"/>
    <n v="862.18"/>
    <m/>
    <m/>
    <m/>
    <m/>
    <n v="862.18"/>
    <n v="0"/>
    <n v="57633.87216701611"/>
  </r>
  <r>
    <x v="165"/>
    <x v="1"/>
    <x v="0"/>
    <x v="15"/>
    <x v="1"/>
    <x v="2"/>
    <x v="193"/>
    <s v="NAKİT"/>
    <n v="1"/>
    <n v="862.18"/>
    <n v="0"/>
    <n v="0"/>
    <m/>
    <m/>
    <m/>
    <m/>
    <n v="0"/>
    <n v="862.18"/>
    <n v="56771.69216701611"/>
  </r>
  <r>
    <x v="166"/>
    <x v="4"/>
    <x v="244"/>
    <x v="0"/>
    <x v="5"/>
    <x v="1813"/>
    <x v="25"/>
    <s v="POS"/>
    <n v="1"/>
    <n v="120"/>
    <n v="120"/>
    <n v="0"/>
    <m/>
    <m/>
    <m/>
    <m/>
    <n v="0"/>
    <n v="0"/>
    <n v="56771.69216701611"/>
  </r>
  <r>
    <x v="166"/>
    <x v="4"/>
    <x v="240"/>
    <x v="0"/>
    <x v="5"/>
    <x v="1813"/>
    <x v="25"/>
    <s v="POS"/>
    <n v="0.30434782608695654"/>
    <n v="230"/>
    <n v="70"/>
    <n v="0"/>
    <m/>
    <m/>
    <m/>
    <m/>
    <n v="0"/>
    <n v="0"/>
    <n v="56771.69216701611"/>
  </r>
  <r>
    <x v="166"/>
    <x v="4"/>
    <x v="116"/>
    <x v="0"/>
    <x v="5"/>
    <x v="1813"/>
    <x v="25"/>
    <s v="POS"/>
    <n v="0.23255813953488372"/>
    <n v="430"/>
    <n v="100"/>
    <n v="0"/>
    <m/>
    <m/>
    <m/>
    <m/>
    <n v="0"/>
    <n v="0"/>
    <n v="56771.69216701611"/>
  </r>
  <r>
    <x v="166"/>
    <x v="4"/>
    <x v="20"/>
    <x v="0"/>
    <x v="1"/>
    <x v="1814"/>
    <x v="194"/>
    <s v="NAKİT"/>
    <n v="1"/>
    <n v="200"/>
    <n v="0"/>
    <n v="0"/>
    <m/>
    <m/>
    <m/>
    <m/>
    <n v="200"/>
    <n v="0"/>
    <n v="56971.69216701611"/>
  </r>
  <r>
    <x v="166"/>
    <x v="4"/>
    <x v="19"/>
    <x v="0"/>
    <x v="1"/>
    <x v="1814"/>
    <x v="194"/>
    <s v="NAKİT"/>
    <n v="1"/>
    <n v="200"/>
    <n v="0"/>
    <n v="0"/>
    <m/>
    <m/>
    <m/>
    <m/>
    <n v="200"/>
    <n v="0"/>
    <n v="57171.69216701611"/>
  </r>
  <r>
    <x v="166"/>
    <x v="4"/>
    <x v="18"/>
    <x v="0"/>
    <x v="1"/>
    <x v="1814"/>
    <x v="194"/>
    <s v="NAKİT"/>
    <n v="1"/>
    <n v="230"/>
    <n v="0"/>
    <n v="0"/>
    <m/>
    <m/>
    <m/>
    <m/>
    <n v="230"/>
    <n v="0"/>
    <n v="57401.69216701611"/>
  </r>
  <r>
    <x v="166"/>
    <x v="4"/>
    <x v="58"/>
    <x v="0"/>
    <x v="1"/>
    <x v="1814"/>
    <x v="194"/>
    <s v="NAKİT"/>
    <n v="1"/>
    <n v="230"/>
    <n v="0"/>
    <n v="0"/>
    <m/>
    <m/>
    <m/>
    <m/>
    <n v="230"/>
    <n v="0"/>
    <n v="57631.69216701611"/>
  </r>
  <r>
    <x v="166"/>
    <x v="4"/>
    <x v="288"/>
    <x v="0"/>
    <x v="1"/>
    <x v="1814"/>
    <x v="194"/>
    <s v="NAKİT"/>
    <n v="0.2"/>
    <n v="500"/>
    <n v="0"/>
    <n v="0"/>
    <m/>
    <m/>
    <m/>
    <m/>
    <n v="100"/>
    <n v="0"/>
    <n v="57731.69216701611"/>
  </r>
  <r>
    <x v="166"/>
    <x v="4"/>
    <x v="29"/>
    <x v="0"/>
    <x v="1"/>
    <x v="1814"/>
    <x v="194"/>
    <s v="NAKİT"/>
    <n v="0.1"/>
    <n v="750"/>
    <n v="0"/>
    <n v="0"/>
    <m/>
    <m/>
    <m/>
    <m/>
    <n v="75"/>
    <n v="0"/>
    <n v="57806.69216701611"/>
  </r>
  <r>
    <x v="166"/>
    <x v="4"/>
    <x v="28"/>
    <x v="0"/>
    <x v="1"/>
    <x v="1814"/>
    <x v="194"/>
    <s v="NAKİT"/>
    <n v="0.28499999999999998"/>
    <n v="500"/>
    <n v="0"/>
    <n v="0"/>
    <m/>
    <m/>
    <m/>
    <m/>
    <n v="142.5"/>
    <n v="0"/>
    <n v="57949.19216701611"/>
  </r>
  <r>
    <x v="166"/>
    <x v="4"/>
    <x v="50"/>
    <x v="0"/>
    <x v="1"/>
    <x v="1814"/>
    <x v="194"/>
    <s v="NAKİT"/>
    <n v="0.08"/>
    <n v="750"/>
    <n v="0"/>
    <n v="0"/>
    <m/>
    <m/>
    <m/>
    <m/>
    <n v="60"/>
    <n v="0"/>
    <n v="58009.19216701611"/>
  </r>
  <r>
    <x v="166"/>
    <x v="4"/>
    <x v="161"/>
    <x v="0"/>
    <x v="1"/>
    <x v="1814"/>
    <x v="194"/>
    <s v="NAKİT"/>
    <n v="0.3"/>
    <n v="400"/>
    <n v="0"/>
    <n v="0"/>
    <m/>
    <m/>
    <m/>
    <m/>
    <n v="120"/>
    <n v="0"/>
    <n v="58129.19216701611"/>
  </r>
  <r>
    <x v="166"/>
    <x v="4"/>
    <x v="57"/>
    <x v="0"/>
    <x v="1"/>
    <x v="1814"/>
    <x v="194"/>
    <s v="NAKİT"/>
    <n v="1"/>
    <n v="150"/>
    <n v="0"/>
    <n v="0"/>
    <m/>
    <m/>
    <m/>
    <m/>
    <n v="150"/>
    <n v="0"/>
    <n v="58279.19216701611"/>
  </r>
  <r>
    <x v="166"/>
    <x v="4"/>
    <x v="56"/>
    <x v="0"/>
    <x v="1"/>
    <x v="1814"/>
    <x v="194"/>
    <s v="NAKİT"/>
    <n v="1"/>
    <n v="200"/>
    <n v="0"/>
    <n v="0"/>
    <m/>
    <m/>
    <m/>
    <m/>
    <n v="200"/>
    <n v="0"/>
    <n v="58479.19216701611"/>
  </r>
  <r>
    <x v="166"/>
    <x v="4"/>
    <x v="238"/>
    <x v="0"/>
    <x v="1"/>
    <x v="1814"/>
    <x v="194"/>
    <s v="NAKİT"/>
    <n v="0.75294117647058822"/>
    <n v="340"/>
    <n v="0"/>
    <n v="0"/>
    <m/>
    <m/>
    <m/>
    <m/>
    <n v="256"/>
    <n v="0"/>
    <n v="58735.19216701611"/>
  </r>
  <r>
    <x v="166"/>
    <x v="4"/>
    <x v="370"/>
    <x v="0"/>
    <x v="1"/>
    <x v="1815"/>
    <x v="25"/>
    <s v="NAKİT"/>
    <n v="0.1"/>
    <n v="1200"/>
    <n v="0"/>
    <n v="0"/>
    <m/>
    <m/>
    <m/>
    <m/>
    <n v="120"/>
    <n v="0"/>
    <n v="58855.19216701611"/>
  </r>
  <r>
    <x v="166"/>
    <x v="4"/>
    <x v="244"/>
    <x v="0"/>
    <x v="1"/>
    <x v="1816"/>
    <x v="25"/>
    <s v="NAKİT"/>
    <n v="1"/>
    <n v="120"/>
    <n v="0"/>
    <n v="0"/>
    <m/>
    <m/>
    <m/>
    <m/>
    <n v="120"/>
    <n v="0"/>
    <n v="58975.19216701611"/>
  </r>
  <r>
    <x v="166"/>
    <x v="4"/>
    <x v="445"/>
    <x v="0"/>
    <x v="1"/>
    <x v="1817"/>
    <x v="25"/>
    <s v="NAKİT"/>
    <n v="1"/>
    <n v="90"/>
    <n v="0"/>
    <n v="0"/>
    <m/>
    <m/>
    <m/>
    <m/>
    <n v="90"/>
    <n v="0"/>
    <n v="59065.19216701611"/>
  </r>
  <r>
    <x v="166"/>
    <x v="4"/>
    <x v="360"/>
    <x v="0"/>
    <x v="1"/>
    <x v="1818"/>
    <x v="25"/>
    <s v="NAKİT"/>
    <n v="0.25"/>
    <n v="600"/>
    <n v="0"/>
    <n v="0"/>
    <m/>
    <m/>
    <m/>
    <m/>
    <n v="150"/>
    <n v="0"/>
    <n v="59215.19216701611"/>
  </r>
  <r>
    <x v="166"/>
    <x v="4"/>
    <x v="14"/>
    <x v="0"/>
    <x v="1"/>
    <x v="1818"/>
    <x v="25"/>
    <s v="NAKİT"/>
    <n v="0.5"/>
    <n v="300"/>
    <n v="0"/>
    <n v="0"/>
    <m/>
    <m/>
    <m/>
    <m/>
    <n v="150"/>
    <n v="0"/>
    <n v="59365.19216701611"/>
  </r>
  <r>
    <x v="166"/>
    <x v="4"/>
    <x v="217"/>
    <x v="0"/>
    <x v="1"/>
    <x v="1819"/>
    <x v="25"/>
    <s v="NAKİT"/>
    <n v="1"/>
    <n v="250"/>
    <n v="0"/>
    <n v="0"/>
    <m/>
    <m/>
    <m/>
    <m/>
    <n v="250"/>
    <n v="0"/>
    <n v="59615.19216701611"/>
  </r>
  <r>
    <x v="166"/>
    <x v="4"/>
    <x v="55"/>
    <x v="0"/>
    <x v="1"/>
    <x v="1820"/>
    <x v="25"/>
    <s v="NAKİT"/>
    <n v="1"/>
    <n v="200"/>
    <n v="0"/>
    <n v="0"/>
    <m/>
    <m/>
    <m/>
    <m/>
    <n v="200"/>
    <n v="0"/>
    <n v="59815.19216701611"/>
  </r>
  <r>
    <x v="166"/>
    <x v="4"/>
    <x v="271"/>
    <x v="0"/>
    <x v="1"/>
    <x v="1820"/>
    <x v="25"/>
    <s v="NAKİT"/>
    <n v="1"/>
    <n v="125"/>
    <n v="0"/>
    <n v="0"/>
    <m/>
    <m/>
    <m/>
    <m/>
    <n v="125"/>
    <n v="0"/>
    <n v="59940.19216701611"/>
  </r>
  <r>
    <x v="166"/>
    <x v="4"/>
    <x v="18"/>
    <x v="0"/>
    <x v="5"/>
    <x v="1821"/>
    <x v="25"/>
    <s v="POS"/>
    <n v="1"/>
    <n v="250"/>
    <n v="250"/>
    <n v="0"/>
    <m/>
    <m/>
    <m/>
    <m/>
    <n v="0"/>
    <n v="0"/>
    <n v="59940.19216701611"/>
  </r>
  <r>
    <x v="166"/>
    <x v="4"/>
    <x v="295"/>
    <x v="0"/>
    <x v="1"/>
    <x v="1821"/>
    <x v="25"/>
    <s v="NAKİT"/>
    <n v="0.105"/>
    <n v="490"/>
    <n v="0"/>
    <n v="0"/>
    <m/>
    <m/>
    <m/>
    <m/>
    <n v="51.449999999999996"/>
    <n v="0"/>
    <n v="59991.642167016107"/>
  </r>
  <r>
    <x v="166"/>
    <x v="4"/>
    <x v="287"/>
    <x v="0"/>
    <x v="1"/>
    <x v="1822"/>
    <x v="25"/>
    <s v="NAKİT"/>
    <n v="4"/>
    <n v="62.5"/>
    <n v="0"/>
    <n v="0"/>
    <m/>
    <m/>
    <m/>
    <m/>
    <n v="250"/>
    <n v="0"/>
    <n v="60241.642167016107"/>
  </r>
  <r>
    <x v="166"/>
    <x v="4"/>
    <x v="161"/>
    <x v="0"/>
    <x v="1"/>
    <x v="1822"/>
    <x v="25"/>
    <s v="NAKİT"/>
    <n v="0.25"/>
    <n v="400"/>
    <n v="0"/>
    <n v="0"/>
    <m/>
    <m/>
    <m/>
    <m/>
    <n v="100"/>
    <n v="0"/>
    <n v="60341.642167016107"/>
  </r>
  <r>
    <x v="166"/>
    <x v="4"/>
    <x v="18"/>
    <x v="0"/>
    <x v="1"/>
    <x v="1822"/>
    <x v="25"/>
    <s v="NAKİT"/>
    <n v="1"/>
    <n v="250"/>
    <n v="0"/>
    <n v="0"/>
    <m/>
    <m/>
    <m/>
    <m/>
    <n v="250"/>
    <n v="0"/>
    <n v="60591.642167016107"/>
  </r>
  <r>
    <x v="166"/>
    <x v="4"/>
    <x v="233"/>
    <x v="0"/>
    <x v="1"/>
    <x v="1822"/>
    <x v="25"/>
    <s v="NAKİT"/>
    <n v="1"/>
    <n v="400"/>
    <n v="0"/>
    <n v="0"/>
    <m/>
    <m/>
    <m/>
    <m/>
    <n v="400"/>
    <n v="0"/>
    <n v="60991.642167016107"/>
  </r>
  <r>
    <x v="166"/>
    <x v="4"/>
    <x v="18"/>
    <x v="0"/>
    <x v="5"/>
    <x v="1823"/>
    <x v="25"/>
    <s v="POS"/>
    <n v="1"/>
    <n v="250"/>
    <n v="250"/>
    <n v="0"/>
    <m/>
    <m/>
    <m/>
    <m/>
    <n v="0"/>
    <n v="0"/>
    <n v="60991.642167016107"/>
  </r>
  <r>
    <x v="166"/>
    <x v="4"/>
    <x v="58"/>
    <x v="0"/>
    <x v="5"/>
    <x v="1823"/>
    <x v="25"/>
    <s v="POS"/>
    <n v="1"/>
    <n v="250"/>
    <n v="250"/>
    <n v="0"/>
    <m/>
    <m/>
    <m/>
    <m/>
    <n v="0"/>
    <n v="0"/>
    <n v="60991.642167016107"/>
  </r>
  <r>
    <x v="166"/>
    <x v="4"/>
    <x v="18"/>
    <x v="0"/>
    <x v="5"/>
    <x v="1824"/>
    <x v="25"/>
    <s v="POS"/>
    <n v="1"/>
    <n v="250"/>
    <n v="250"/>
    <n v="0"/>
    <m/>
    <m/>
    <m/>
    <m/>
    <n v="0"/>
    <n v="0"/>
    <n v="60991.642167016107"/>
  </r>
  <r>
    <x v="166"/>
    <x v="4"/>
    <x v="58"/>
    <x v="0"/>
    <x v="5"/>
    <x v="1824"/>
    <x v="25"/>
    <s v="POS"/>
    <n v="1"/>
    <n v="250"/>
    <n v="250"/>
    <n v="0"/>
    <m/>
    <m/>
    <m/>
    <m/>
    <n v="0"/>
    <n v="0"/>
    <n v="60991.642167016107"/>
  </r>
  <r>
    <x v="166"/>
    <x v="4"/>
    <x v="279"/>
    <x v="0"/>
    <x v="5"/>
    <x v="1824"/>
    <x v="25"/>
    <s v="POS"/>
    <n v="1"/>
    <n v="130"/>
    <n v="130"/>
    <n v="0"/>
    <m/>
    <m/>
    <m/>
    <m/>
    <n v="0"/>
    <n v="0"/>
    <n v="60991.642167016107"/>
  </r>
  <r>
    <x v="166"/>
    <x v="4"/>
    <x v="18"/>
    <x v="0"/>
    <x v="5"/>
    <x v="1825"/>
    <x v="25"/>
    <s v="POS"/>
    <n v="1"/>
    <n v="250"/>
    <n v="250"/>
    <n v="0"/>
    <m/>
    <m/>
    <m/>
    <m/>
    <n v="0"/>
    <n v="0"/>
    <n v="60991.642167016107"/>
  </r>
  <r>
    <x v="166"/>
    <x v="4"/>
    <x v="161"/>
    <x v="0"/>
    <x v="1"/>
    <x v="1826"/>
    <x v="25"/>
    <s v="NAKİT"/>
    <n v="0.17499999999999999"/>
    <n v="400"/>
    <n v="0"/>
    <n v="0"/>
    <m/>
    <m/>
    <m/>
    <m/>
    <n v="70"/>
    <n v="0"/>
    <n v="61061.642167016107"/>
  </r>
  <r>
    <x v="166"/>
    <x v="4"/>
    <x v="400"/>
    <x v="0"/>
    <x v="1"/>
    <x v="1826"/>
    <x v="25"/>
    <s v="NAKİT"/>
    <n v="0.1"/>
    <n v="2500"/>
    <n v="0"/>
    <n v="0"/>
    <m/>
    <m/>
    <m/>
    <m/>
    <n v="250"/>
    <n v="0"/>
    <n v="61311.642167016107"/>
  </r>
  <r>
    <x v="166"/>
    <x v="4"/>
    <x v="314"/>
    <x v="0"/>
    <x v="1"/>
    <x v="1826"/>
    <x v="25"/>
    <s v="NAKİT"/>
    <n v="1"/>
    <n v="140"/>
    <n v="0"/>
    <n v="0"/>
    <m/>
    <m/>
    <m/>
    <m/>
    <n v="140"/>
    <n v="0"/>
    <n v="61451.642167016107"/>
  </r>
  <r>
    <x v="166"/>
    <x v="4"/>
    <x v="315"/>
    <x v="0"/>
    <x v="1"/>
    <x v="1826"/>
    <x v="25"/>
    <s v="NAKİT"/>
    <n v="1"/>
    <n v="195"/>
    <n v="0"/>
    <n v="0"/>
    <m/>
    <m/>
    <m/>
    <m/>
    <n v="195"/>
    <n v="0"/>
    <n v="61646.642167016107"/>
  </r>
  <r>
    <x v="166"/>
    <x v="4"/>
    <x v="239"/>
    <x v="0"/>
    <x v="1"/>
    <x v="1827"/>
    <x v="25"/>
    <s v="NAKİT"/>
    <n v="0.2"/>
    <n v="400"/>
    <n v="0"/>
    <n v="0"/>
    <m/>
    <m/>
    <m/>
    <m/>
    <n v="80"/>
    <n v="0"/>
    <n v="61726.642167016107"/>
  </r>
  <r>
    <x v="166"/>
    <x v="4"/>
    <x v="154"/>
    <x v="0"/>
    <x v="1"/>
    <x v="1827"/>
    <x v="25"/>
    <s v="NAKİT"/>
    <n v="0.2"/>
    <n v="250"/>
    <n v="0"/>
    <n v="0"/>
    <m/>
    <m/>
    <m/>
    <m/>
    <n v="50"/>
    <n v="0"/>
    <n v="61776.642167016107"/>
  </r>
  <r>
    <x v="166"/>
    <x v="4"/>
    <x v="244"/>
    <x v="0"/>
    <x v="5"/>
    <x v="1828"/>
    <x v="25"/>
    <s v="POS"/>
    <n v="0.5"/>
    <n v="120"/>
    <n v="60"/>
    <n v="0"/>
    <m/>
    <m/>
    <m/>
    <m/>
    <n v="0"/>
    <n v="0"/>
    <n v="61776.642167016107"/>
  </r>
  <r>
    <x v="166"/>
    <x v="4"/>
    <x v="50"/>
    <x v="0"/>
    <x v="5"/>
    <x v="1828"/>
    <x v="25"/>
    <s v="POS"/>
    <n v="0.08"/>
    <n v="750"/>
    <n v="60"/>
    <n v="0"/>
    <m/>
    <m/>
    <m/>
    <m/>
    <n v="0"/>
    <n v="0"/>
    <n v="61776.642167016107"/>
  </r>
  <r>
    <x v="166"/>
    <x v="4"/>
    <x v="29"/>
    <x v="0"/>
    <x v="5"/>
    <x v="1828"/>
    <x v="25"/>
    <s v="POS"/>
    <n v="0.04"/>
    <n v="750"/>
    <n v="30"/>
    <n v="0"/>
    <m/>
    <m/>
    <m/>
    <m/>
    <n v="0"/>
    <n v="0"/>
    <n v="61776.642167016107"/>
  </r>
  <r>
    <x v="166"/>
    <x v="4"/>
    <x v="26"/>
    <x v="0"/>
    <x v="5"/>
    <x v="1828"/>
    <x v="25"/>
    <s v="POS"/>
    <n v="9.7560975609756101E-2"/>
    <n v="410"/>
    <n v="40"/>
    <n v="0"/>
    <m/>
    <m/>
    <m/>
    <m/>
    <n v="0"/>
    <n v="0"/>
    <n v="61776.642167016107"/>
  </r>
  <r>
    <x v="166"/>
    <x v="4"/>
    <x v="60"/>
    <x v="0"/>
    <x v="5"/>
    <x v="1828"/>
    <x v="25"/>
    <s v="POS"/>
    <n v="0.1"/>
    <n v="250"/>
    <n v="25"/>
    <n v="0"/>
    <m/>
    <m/>
    <m/>
    <m/>
    <n v="0"/>
    <n v="0"/>
    <n v="61776.642167016107"/>
  </r>
  <r>
    <x v="166"/>
    <x v="4"/>
    <x v="244"/>
    <x v="0"/>
    <x v="1"/>
    <x v="1829"/>
    <x v="25"/>
    <s v="NAKİT"/>
    <n v="0.5"/>
    <n v="120"/>
    <n v="0"/>
    <n v="0"/>
    <m/>
    <m/>
    <m/>
    <m/>
    <n v="60"/>
    <n v="0"/>
    <n v="61836.642167016107"/>
  </r>
  <r>
    <x v="166"/>
    <x v="4"/>
    <x v="104"/>
    <x v="0"/>
    <x v="1"/>
    <x v="1830"/>
    <x v="25"/>
    <s v="NAKİT"/>
    <n v="1"/>
    <n v="200"/>
    <n v="0"/>
    <n v="0"/>
    <m/>
    <m/>
    <m/>
    <m/>
    <n v="200"/>
    <n v="0"/>
    <n v="62036.642167016107"/>
  </r>
  <r>
    <x v="167"/>
    <x v="4"/>
    <x v="55"/>
    <x v="0"/>
    <x v="1"/>
    <x v="1831"/>
    <x v="25"/>
    <s v="NAKİT"/>
    <n v="0.5"/>
    <n v="200"/>
    <n v="0"/>
    <n v="0"/>
    <m/>
    <m/>
    <m/>
    <m/>
    <n v="100"/>
    <n v="0"/>
    <n v="62136.642167016107"/>
  </r>
  <r>
    <x v="167"/>
    <x v="4"/>
    <x v="59"/>
    <x v="0"/>
    <x v="1"/>
    <x v="1831"/>
    <x v="25"/>
    <s v="NAKİT"/>
    <n v="0.22222222222222221"/>
    <n v="450"/>
    <n v="0"/>
    <n v="0"/>
    <m/>
    <m/>
    <m/>
    <m/>
    <n v="100"/>
    <n v="0"/>
    <n v="62236.642167016107"/>
  </r>
  <r>
    <x v="167"/>
    <x v="4"/>
    <x v="386"/>
    <x v="0"/>
    <x v="1"/>
    <x v="1832"/>
    <x v="25"/>
    <s v="NAKİT"/>
    <n v="3"/>
    <n v="30"/>
    <n v="0"/>
    <n v="0"/>
    <m/>
    <m/>
    <m/>
    <m/>
    <n v="90"/>
    <n v="0"/>
    <n v="62326.642167016107"/>
  </r>
  <r>
    <x v="167"/>
    <x v="4"/>
    <x v="67"/>
    <x v="0"/>
    <x v="1"/>
    <x v="1833"/>
    <x v="25"/>
    <s v="NAKİT"/>
    <n v="0.1"/>
    <n v="900"/>
    <n v="0"/>
    <n v="0"/>
    <m/>
    <m/>
    <m/>
    <m/>
    <n v="90"/>
    <n v="0"/>
    <n v="62416.642167016107"/>
  </r>
  <r>
    <x v="167"/>
    <x v="4"/>
    <x v="150"/>
    <x v="0"/>
    <x v="1"/>
    <x v="1834"/>
    <x v="25"/>
    <s v="NAKİT"/>
    <n v="1.2"/>
    <n v="250"/>
    <n v="0"/>
    <n v="0"/>
    <m/>
    <m/>
    <m/>
    <m/>
    <n v="300"/>
    <n v="0"/>
    <n v="62716.642167016107"/>
  </r>
  <r>
    <x v="167"/>
    <x v="4"/>
    <x v="18"/>
    <x v="0"/>
    <x v="5"/>
    <x v="1835"/>
    <x v="25"/>
    <s v="POS"/>
    <n v="1"/>
    <n v="250"/>
    <n v="250"/>
    <n v="0"/>
    <m/>
    <m/>
    <m/>
    <m/>
    <n v="0"/>
    <n v="0"/>
    <n v="62716.642167016107"/>
  </r>
  <r>
    <x v="167"/>
    <x v="4"/>
    <x v="58"/>
    <x v="0"/>
    <x v="5"/>
    <x v="1835"/>
    <x v="25"/>
    <s v="POS"/>
    <n v="1"/>
    <n v="250"/>
    <n v="250"/>
    <n v="0"/>
    <m/>
    <m/>
    <m/>
    <m/>
    <n v="0"/>
    <n v="0"/>
    <n v="62716.642167016107"/>
  </r>
  <r>
    <x v="167"/>
    <x v="4"/>
    <x v="59"/>
    <x v="0"/>
    <x v="5"/>
    <x v="1836"/>
    <x v="25"/>
    <s v="POS"/>
    <n v="0.14199999999999999"/>
    <n v="450"/>
    <n v="63.899999999999991"/>
    <n v="0"/>
    <m/>
    <m/>
    <m/>
    <m/>
    <n v="0"/>
    <n v="0"/>
    <n v="62716.642167016107"/>
  </r>
  <r>
    <x v="167"/>
    <x v="4"/>
    <x v="24"/>
    <x v="0"/>
    <x v="5"/>
    <x v="1836"/>
    <x v="25"/>
    <s v="POS"/>
    <n v="0.154"/>
    <n v="650"/>
    <n v="100.1"/>
    <n v="0"/>
    <m/>
    <m/>
    <m/>
    <m/>
    <n v="0"/>
    <n v="0"/>
    <n v="62716.642167016107"/>
  </r>
  <r>
    <x v="167"/>
    <x v="4"/>
    <x v="161"/>
    <x v="0"/>
    <x v="5"/>
    <x v="1836"/>
    <x v="25"/>
    <s v="POS"/>
    <n v="0.16400000000000001"/>
    <n v="400"/>
    <n v="65.600000000000009"/>
    <n v="0"/>
    <m/>
    <m/>
    <m/>
    <m/>
    <n v="0"/>
    <n v="0"/>
    <n v="62716.642167016107"/>
  </r>
  <r>
    <x v="167"/>
    <x v="4"/>
    <x v="449"/>
    <x v="0"/>
    <x v="5"/>
    <x v="1836"/>
    <x v="25"/>
    <s v="POS"/>
    <n v="0.15"/>
    <n v="650"/>
    <n v="97.5"/>
    <n v="0"/>
    <m/>
    <m/>
    <m/>
    <m/>
    <n v="0"/>
    <n v="0"/>
    <n v="62716.642167016107"/>
  </r>
  <r>
    <x v="167"/>
    <x v="4"/>
    <x v="150"/>
    <x v="0"/>
    <x v="1"/>
    <x v="1837"/>
    <x v="25"/>
    <s v="NAKİT"/>
    <n v="2"/>
    <n v="250"/>
    <n v="0"/>
    <n v="0"/>
    <m/>
    <m/>
    <m/>
    <m/>
    <n v="500"/>
    <n v="0"/>
    <n v="63216.642167016107"/>
  </r>
  <r>
    <x v="167"/>
    <x v="4"/>
    <x v="112"/>
    <x v="0"/>
    <x v="1"/>
    <x v="1837"/>
    <x v="25"/>
    <s v="NAKİT"/>
    <n v="0.05"/>
    <n v="1000"/>
    <n v="0"/>
    <n v="0"/>
    <m/>
    <m/>
    <m/>
    <m/>
    <n v="50"/>
    <n v="0"/>
    <n v="63266.642167016107"/>
  </r>
  <r>
    <x v="167"/>
    <x v="4"/>
    <x v="56"/>
    <x v="0"/>
    <x v="1"/>
    <x v="1838"/>
    <x v="25"/>
    <s v="NAKİT"/>
    <n v="1"/>
    <n v="200"/>
    <n v="0"/>
    <n v="0"/>
    <m/>
    <m/>
    <m/>
    <m/>
    <n v="200"/>
    <n v="0"/>
    <n v="63466.642167016107"/>
  </r>
  <r>
    <x v="167"/>
    <x v="4"/>
    <x v="57"/>
    <x v="0"/>
    <x v="1"/>
    <x v="1838"/>
    <x v="25"/>
    <s v="NAKİT"/>
    <n v="0.5"/>
    <n v="150"/>
    <n v="0"/>
    <n v="0"/>
    <m/>
    <m/>
    <m/>
    <m/>
    <n v="75"/>
    <n v="0"/>
    <n v="63541.642167016107"/>
  </r>
  <r>
    <x v="167"/>
    <x v="4"/>
    <x v="59"/>
    <x v="0"/>
    <x v="1"/>
    <x v="1838"/>
    <x v="25"/>
    <s v="NAKİT"/>
    <n v="8.8888888888888892E-2"/>
    <n v="450"/>
    <n v="0"/>
    <n v="0"/>
    <m/>
    <m/>
    <m/>
    <m/>
    <n v="40"/>
    <n v="0"/>
    <n v="63581.642167016107"/>
  </r>
  <r>
    <x v="167"/>
    <x v="4"/>
    <x v="261"/>
    <x v="0"/>
    <x v="5"/>
    <x v="1839"/>
    <x v="25"/>
    <s v="POS"/>
    <n v="1"/>
    <n v="130"/>
    <n v="130"/>
    <n v="0"/>
    <m/>
    <m/>
    <m/>
    <m/>
    <n v="0"/>
    <n v="0"/>
    <n v="63581.642167016107"/>
  </r>
  <r>
    <x v="167"/>
    <x v="4"/>
    <x v="239"/>
    <x v="0"/>
    <x v="1"/>
    <x v="1840"/>
    <x v="25"/>
    <s v="NAKİT"/>
    <n v="0.25"/>
    <n v="200"/>
    <n v="0"/>
    <n v="0"/>
    <m/>
    <m/>
    <m/>
    <m/>
    <n v="50"/>
    <n v="0"/>
    <n v="63631.642167016107"/>
  </r>
  <r>
    <x v="167"/>
    <x v="4"/>
    <x v="57"/>
    <x v="0"/>
    <x v="1"/>
    <x v="1841"/>
    <x v="25"/>
    <s v="NAKİT"/>
    <n v="4"/>
    <n v="150"/>
    <n v="0"/>
    <n v="0"/>
    <m/>
    <m/>
    <m/>
    <m/>
    <n v="600"/>
    <n v="0"/>
    <n v="64231.642167016107"/>
  </r>
  <r>
    <x v="167"/>
    <x v="4"/>
    <x v="31"/>
    <x v="0"/>
    <x v="1"/>
    <x v="1842"/>
    <x v="25"/>
    <s v="NAKİT"/>
    <n v="0.5"/>
    <n v="400"/>
    <n v="0"/>
    <n v="0"/>
    <m/>
    <m/>
    <m/>
    <m/>
    <n v="200"/>
    <n v="0"/>
    <n v="64431.642167016107"/>
  </r>
  <r>
    <x v="167"/>
    <x v="4"/>
    <x v="31"/>
    <x v="0"/>
    <x v="1"/>
    <x v="1843"/>
    <x v="109"/>
    <s v="NAKİT"/>
    <n v="1"/>
    <n v="400"/>
    <n v="0"/>
    <n v="0"/>
    <m/>
    <m/>
    <m/>
    <m/>
    <n v="400"/>
    <n v="0"/>
    <n v="64831.642167016107"/>
  </r>
  <r>
    <x v="167"/>
    <x v="4"/>
    <x v="288"/>
    <x v="0"/>
    <x v="1"/>
    <x v="1843"/>
    <x v="109"/>
    <s v="NAKİT"/>
    <n v="1"/>
    <n v="500"/>
    <n v="0"/>
    <n v="0"/>
    <m/>
    <m/>
    <m/>
    <m/>
    <n v="500"/>
    <n v="0"/>
    <n v="65331.642167016107"/>
  </r>
  <r>
    <x v="167"/>
    <x v="4"/>
    <x v="395"/>
    <x v="0"/>
    <x v="1"/>
    <x v="1843"/>
    <x v="195"/>
    <s v="NAKİT"/>
    <n v="1"/>
    <n v="50"/>
    <n v="0"/>
    <n v="0"/>
    <m/>
    <m/>
    <m/>
    <m/>
    <n v="50"/>
    <n v="0"/>
    <n v="65381.642167016107"/>
  </r>
  <r>
    <x v="167"/>
    <x v="4"/>
    <x v="57"/>
    <x v="0"/>
    <x v="1"/>
    <x v="1844"/>
    <x v="196"/>
    <s v="NAKİT"/>
    <n v="2"/>
    <n v="150"/>
    <n v="0"/>
    <n v="0"/>
    <m/>
    <m/>
    <m/>
    <m/>
    <n v="300"/>
    <n v="0"/>
    <n v="65681.642167016107"/>
  </r>
  <r>
    <x v="167"/>
    <x v="4"/>
    <x v="28"/>
    <x v="0"/>
    <x v="1"/>
    <x v="1844"/>
    <x v="196"/>
    <s v="NAKİT"/>
    <n v="0.2"/>
    <n v="500"/>
    <n v="0"/>
    <n v="0"/>
    <m/>
    <m/>
    <m/>
    <m/>
    <n v="100"/>
    <n v="0"/>
    <n v="65781.642167016107"/>
  </r>
  <r>
    <x v="167"/>
    <x v="4"/>
    <x v="76"/>
    <x v="0"/>
    <x v="1"/>
    <x v="1844"/>
    <x v="196"/>
    <s v="NAKİT"/>
    <n v="1"/>
    <n v="90"/>
    <n v="0"/>
    <n v="0"/>
    <m/>
    <m/>
    <m/>
    <m/>
    <n v="90"/>
    <n v="0"/>
    <n v="65871.642167016107"/>
  </r>
  <r>
    <x v="167"/>
    <x v="4"/>
    <x v="27"/>
    <x v="0"/>
    <x v="1"/>
    <x v="1844"/>
    <x v="196"/>
    <s v="NAKİT"/>
    <n v="0.125"/>
    <n v="400"/>
    <n v="0"/>
    <n v="0"/>
    <m/>
    <m/>
    <m/>
    <m/>
    <n v="50"/>
    <n v="0"/>
    <n v="65921.642167016107"/>
  </r>
  <r>
    <x v="167"/>
    <x v="4"/>
    <x v="395"/>
    <x v="0"/>
    <x v="1"/>
    <x v="1845"/>
    <x v="111"/>
    <s v="NAKİT"/>
    <n v="3.0769230769230771"/>
    <n v="65"/>
    <n v="0"/>
    <n v="0"/>
    <m/>
    <m/>
    <m/>
    <m/>
    <n v="200"/>
    <n v="0"/>
    <n v="66121.642167016107"/>
  </r>
  <r>
    <x v="167"/>
    <x v="4"/>
    <x v="27"/>
    <x v="0"/>
    <x v="1"/>
    <x v="1845"/>
    <x v="111"/>
    <s v="NAKİT"/>
    <n v="0.5"/>
    <n v="400"/>
    <n v="0"/>
    <n v="0"/>
    <m/>
    <m/>
    <m/>
    <m/>
    <n v="200"/>
    <n v="0"/>
    <n v="66321.642167016107"/>
  </r>
  <r>
    <x v="167"/>
    <x v="4"/>
    <x v="29"/>
    <x v="0"/>
    <x v="1"/>
    <x v="1845"/>
    <x v="111"/>
    <s v="NAKİT"/>
    <n v="0.33333333333333331"/>
    <n v="750"/>
    <n v="0"/>
    <n v="0"/>
    <m/>
    <m/>
    <m/>
    <m/>
    <n v="250"/>
    <n v="0"/>
    <n v="66571.642167016107"/>
  </r>
  <r>
    <x v="167"/>
    <x v="4"/>
    <x v="31"/>
    <x v="0"/>
    <x v="1"/>
    <x v="1845"/>
    <x v="111"/>
    <s v="NAKİT"/>
    <n v="1.25"/>
    <n v="400"/>
    <n v="0"/>
    <n v="0"/>
    <m/>
    <m/>
    <m/>
    <m/>
    <n v="500"/>
    <n v="0"/>
    <n v="67071.642167016107"/>
  </r>
  <r>
    <x v="167"/>
    <x v="4"/>
    <x v="28"/>
    <x v="0"/>
    <x v="1"/>
    <x v="1845"/>
    <x v="111"/>
    <s v="NAKİT"/>
    <n v="1"/>
    <n v="500"/>
    <n v="0"/>
    <n v="0"/>
    <m/>
    <m/>
    <m/>
    <m/>
    <n v="500"/>
    <n v="0"/>
    <n v="67571.642167016107"/>
  </r>
  <r>
    <x v="167"/>
    <x v="4"/>
    <x v="24"/>
    <x v="0"/>
    <x v="1"/>
    <x v="1845"/>
    <x v="111"/>
    <s v="NAKİT"/>
    <n v="0.76923076923076927"/>
    <n v="650"/>
    <n v="0"/>
    <n v="0"/>
    <m/>
    <m/>
    <m/>
    <m/>
    <n v="500"/>
    <n v="0"/>
    <n v="68071.642167016107"/>
  </r>
  <r>
    <x v="167"/>
    <x v="4"/>
    <x v="59"/>
    <x v="0"/>
    <x v="1"/>
    <x v="1845"/>
    <x v="111"/>
    <s v="NAKİT"/>
    <n v="1.1111111111111112"/>
    <n v="450"/>
    <n v="0"/>
    <n v="0"/>
    <m/>
    <m/>
    <m/>
    <m/>
    <n v="500"/>
    <n v="0"/>
    <n v="68571.642167016107"/>
  </r>
  <r>
    <x v="167"/>
    <x v="4"/>
    <x v="161"/>
    <x v="0"/>
    <x v="1"/>
    <x v="1845"/>
    <x v="111"/>
    <s v="NAKİT"/>
    <n v="1.25"/>
    <n v="400"/>
    <n v="0"/>
    <n v="0"/>
    <m/>
    <m/>
    <m/>
    <m/>
    <n v="500"/>
    <n v="0"/>
    <n v="69071.642167016107"/>
  </r>
  <r>
    <x v="167"/>
    <x v="4"/>
    <x v="18"/>
    <x v="0"/>
    <x v="1"/>
    <x v="1845"/>
    <x v="111"/>
    <s v="NAKİT"/>
    <n v="5"/>
    <n v="250"/>
    <n v="0"/>
    <n v="0"/>
    <m/>
    <m/>
    <m/>
    <m/>
    <n v="1250"/>
    <n v="0"/>
    <n v="70321.642167016107"/>
  </r>
  <r>
    <x v="167"/>
    <x v="4"/>
    <x v="58"/>
    <x v="0"/>
    <x v="1"/>
    <x v="1845"/>
    <x v="111"/>
    <s v="NAKİT"/>
    <n v="2"/>
    <n v="250"/>
    <n v="0"/>
    <n v="0"/>
    <m/>
    <m/>
    <m/>
    <m/>
    <n v="500"/>
    <n v="0"/>
    <n v="70821.642167016107"/>
  </r>
  <r>
    <x v="167"/>
    <x v="4"/>
    <x v="56"/>
    <x v="0"/>
    <x v="1"/>
    <x v="1845"/>
    <x v="111"/>
    <s v="NAKİT"/>
    <n v="5"/>
    <n v="200"/>
    <n v="0"/>
    <n v="0"/>
    <m/>
    <m/>
    <m/>
    <m/>
    <n v="1000"/>
    <n v="0"/>
    <n v="71821.642167016107"/>
  </r>
  <r>
    <x v="167"/>
    <x v="4"/>
    <x v="57"/>
    <x v="0"/>
    <x v="1"/>
    <x v="1845"/>
    <x v="111"/>
    <s v="NAKİT"/>
    <n v="3"/>
    <n v="150"/>
    <n v="0"/>
    <n v="0"/>
    <m/>
    <m/>
    <m/>
    <m/>
    <n v="450"/>
    <n v="0"/>
    <n v="72271.642167016107"/>
  </r>
  <r>
    <x v="168"/>
    <x v="4"/>
    <x v="82"/>
    <x v="0"/>
    <x v="1"/>
    <x v="1846"/>
    <x v="25"/>
    <s v="NAKİT"/>
    <n v="0.5"/>
    <n v="140"/>
    <n v="0"/>
    <n v="0"/>
    <m/>
    <m/>
    <m/>
    <m/>
    <n v="70"/>
    <n v="0"/>
    <n v="72341.642167016107"/>
  </r>
  <r>
    <x v="168"/>
    <x v="4"/>
    <x v="76"/>
    <x v="0"/>
    <x v="1"/>
    <x v="1846"/>
    <x v="25"/>
    <s v="NAKİT"/>
    <n v="0.5"/>
    <n v="80"/>
    <n v="0"/>
    <n v="0"/>
    <m/>
    <m/>
    <m/>
    <m/>
    <n v="40"/>
    <n v="0"/>
    <n v="72381.642167016107"/>
  </r>
  <r>
    <x v="168"/>
    <x v="4"/>
    <x v="270"/>
    <x v="0"/>
    <x v="5"/>
    <x v="1847"/>
    <x v="25"/>
    <s v="POS"/>
    <n v="1"/>
    <n v="130"/>
    <n v="130"/>
    <n v="0"/>
    <m/>
    <m/>
    <m/>
    <m/>
    <n v="0"/>
    <n v="0"/>
    <n v="72381.642167016107"/>
  </r>
  <r>
    <x v="168"/>
    <x v="4"/>
    <x v="261"/>
    <x v="0"/>
    <x v="5"/>
    <x v="1847"/>
    <x v="25"/>
    <s v="POS"/>
    <n v="1"/>
    <n v="130"/>
    <n v="130"/>
    <n v="0"/>
    <m/>
    <m/>
    <m/>
    <m/>
    <n v="0"/>
    <n v="0"/>
    <n v="72381.642167016107"/>
  </r>
  <r>
    <x v="168"/>
    <x v="4"/>
    <x v="98"/>
    <x v="0"/>
    <x v="5"/>
    <x v="1847"/>
    <x v="25"/>
    <s v="POS"/>
    <n v="0.35"/>
    <n v="800"/>
    <n v="280"/>
    <n v="0"/>
    <m/>
    <m/>
    <m/>
    <m/>
    <n v="0"/>
    <n v="0"/>
    <n v="72381.642167016107"/>
  </r>
  <r>
    <x v="168"/>
    <x v="4"/>
    <x v="298"/>
    <x v="0"/>
    <x v="1"/>
    <x v="1848"/>
    <x v="25"/>
    <s v="NAKİT"/>
    <n v="0.1"/>
    <n v="2000"/>
    <n v="0"/>
    <n v="0"/>
    <m/>
    <m/>
    <m/>
    <m/>
    <n v="200"/>
    <n v="0"/>
    <n v="72581.642167016107"/>
  </r>
  <r>
    <x v="168"/>
    <x v="4"/>
    <x v="158"/>
    <x v="0"/>
    <x v="1"/>
    <x v="1848"/>
    <x v="25"/>
    <s v="NAKİT"/>
    <n v="3"/>
    <n v="15"/>
    <n v="0"/>
    <n v="0"/>
    <m/>
    <m/>
    <m/>
    <m/>
    <n v="45"/>
    <n v="0"/>
    <n v="72626.642167016107"/>
  </r>
  <r>
    <x v="168"/>
    <x v="4"/>
    <x v="14"/>
    <x v="0"/>
    <x v="5"/>
    <x v="1849"/>
    <x v="25"/>
    <s v="POS"/>
    <n v="0.5"/>
    <n v="300"/>
    <n v="150"/>
    <n v="0"/>
    <m/>
    <m/>
    <m/>
    <m/>
    <n v="0"/>
    <n v="0"/>
    <n v="72626.642167016107"/>
  </r>
  <r>
    <x v="168"/>
    <x v="4"/>
    <x v="55"/>
    <x v="0"/>
    <x v="1"/>
    <x v="1850"/>
    <x v="114"/>
    <s v="NAKİT"/>
    <n v="2"/>
    <n v="200"/>
    <n v="0"/>
    <n v="0"/>
    <m/>
    <m/>
    <m/>
    <m/>
    <n v="400"/>
    <n v="0"/>
    <n v="73026.642167016107"/>
  </r>
  <r>
    <x v="168"/>
    <x v="4"/>
    <x v="57"/>
    <x v="0"/>
    <x v="1"/>
    <x v="1850"/>
    <x v="114"/>
    <s v="NAKİT"/>
    <n v="2"/>
    <n v="150"/>
    <n v="0"/>
    <n v="0"/>
    <m/>
    <m/>
    <m/>
    <m/>
    <n v="300"/>
    <n v="0"/>
    <n v="73326.642167016107"/>
  </r>
  <r>
    <x v="168"/>
    <x v="4"/>
    <x v="48"/>
    <x v="0"/>
    <x v="1"/>
    <x v="1850"/>
    <x v="114"/>
    <s v="NAKİT"/>
    <n v="0.05"/>
    <n v="1400"/>
    <n v="0"/>
    <n v="0"/>
    <m/>
    <m/>
    <m/>
    <m/>
    <n v="70"/>
    <n v="0"/>
    <n v="73396.642167016107"/>
  </r>
  <r>
    <x v="168"/>
    <x v="4"/>
    <x v="69"/>
    <x v="0"/>
    <x v="1"/>
    <x v="1851"/>
    <x v="180"/>
    <s v="NAKİT"/>
    <n v="0.06"/>
    <n v="1000"/>
    <n v="0"/>
    <n v="0"/>
    <m/>
    <m/>
    <m/>
    <m/>
    <n v="60"/>
    <n v="0"/>
    <n v="73456.642167016107"/>
  </r>
  <r>
    <x v="168"/>
    <x v="4"/>
    <x v="124"/>
    <x v="0"/>
    <x v="1"/>
    <x v="1851"/>
    <x v="180"/>
    <s v="NAKİT"/>
    <n v="0.1"/>
    <n v="900"/>
    <n v="0"/>
    <n v="0"/>
    <m/>
    <m/>
    <m/>
    <m/>
    <n v="90"/>
    <n v="0"/>
    <n v="73546.642167016107"/>
  </r>
  <r>
    <x v="168"/>
    <x v="4"/>
    <x v="48"/>
    <x v="0"/>
    <x v="1"/>
    <x v="1852"/>
    <x v="197"/>
    <s v="NAKİT"/>
    <n v="0.1"/>
    <n v="1400"/>
    <n v="0"/>
    <n v="0"/>
    <m/>
    <m/>
    <m/>
    <m/>
    <n v="140"/>
    <n v="0"/>
    <n v="73686.642167016107"/>
  </r>
  <r>
    <x v="168"/>
    <x v="4"/>
    <x v="55"/>
    <x v="0"/>
    <x v="1"/>
    <x v="1853"/>
    <x v="198"/>
    <s v="NAKİT"/>
    <n v="1"/>
    <n v="200"/>
    <n v="0"/>
    <n v="0"/>
    <m/>
    <m/>
    <m/>
    <m/>
    <n v="200"/>
    <n v="0"/>
    <n v="73886.642167016107"/>
  </r>
  <r>
    <x v="168"/>
    <x v="4"/>
    <x v="48"/>
    <x v="0"/>
    <x v="1"/>
    <x v="1853"/>
    <x v="198"/>
    <s v="NAKİT"/>
    <n v="0.05"/>
    <n v="1400"/>
    <n v="0"/>
    <n v="0"/>
    <m/>
    <m/>
    <m/>
    <m/>
    <n v="70"/>
    <n v="0"/>
    <n v="73956.642167016107"/>
  </r>
  <r>
    <x v="168"/>
    <x v="4"/>
    <x v="401"/>
    <x v="0"/>
    <x v="5"/>
    <x v="1854"/>
    <x v="25"/>
    <s v="POS"/>
    <n v="0.1"/>
    <n v="2700"/>
    <n v="270"/>
    <n v="0"/>
    <m/>
    <m/>
    <m/>
    <m/>
    <n v="0"/>
    <n v="0"/>
    <n v="73956.642167016107"/>
  </r>
  <r>
    <x v="168"/>
    <x v="4"/>
    <x v="112"/>
    <x v="0"/>
    <x v="5"/>
    <x v="1855"/>
    <x v="25"/>
    <s v="POS"/>
    <n v="0.05"/>
    <n v="1800"/>
    <n v="90"/>
    <n v="0"/>
    <m/>
    <m/>
    <m/>
    <m/>
    <n v="0"/>
    <n v="0"/>
    <n v="73956.642167016107"/>
  </r>
  <r>
    <x v="168"/>
    <x v="4"/>
    <x v="260"/>
    <x v="0"/>
    <x v="1"/>
    <x v="1856"/>
    <x v="25"/>
    <s v="NAKİT"/>
    <n v="1"/>
    <n v="180"/>
    <n v="0"/>
    <n v="0"/>
    <m/>
    <m/>
    <m/>
    <m/>
    <n v="180"/>
    <n v="0"/>
    <n v="74136.642167016107"/>
  </r>
  <r>
    <x v="168"/>
    <x v="4"/>
    <x v="150"/>
    <x v="0"/>
    <x v="1"/>
    <x v="1857"/>
    <x v="25"/>
    <s v="NAKİT"/>
    <n v="1"/>
    <n v="250"/>
    <n v="0"/>
    <n v="0"/>
    <m/>
    <m/>
    <m/>
    <m/>
    <n v="250"/>
    <n v="0"/>
    <n v="74386.642167016107"/>
  </r>
  <r>
    <x v="168"/>
    <x v="4"/>
    <x v="111"/>
    <x v="0"/>
    <x v="1"/>
    <x v="1858"/>
    <x v="25"/>
    <s v="NAKİT"/>
    <n v="0.44400000000000001"/>
    <n v="350"/>
    <n v="0"/>
    <n v="0"/>
    <m/>
    <m/>
    <m/>
    <m/>
    <n v="155.4"/>
    <n v="0"/>
    <n v="74542.042167016101"/>
  </r>
  <r>
    <x v="168"/>
    <x v="2"/>
    <x v="0"/>
    <x v="4"/>
    <x v="1"/>
    <x v="2"/>
    <x v="199"/>
    <s v="NAKİT"/>
    <n v="1"/>
    <n v="4600"/>
    <n v="0"/>
    <n v="0"/>
    <m/>
    <m/>
    <m/>
    <m/>
    <n v="0"/>
    <n v="4600"/>
    <n v="69942.042167016101"/>
  </r>
  <r>
    <x v="168"/>
    <x v="10"/>
    <x v="0"/>
    <x v="0"/>
    <x v="5"/>
    <x v="2"/>
    <x v="200"/>
    <s v="POS"/>
    <n v="1"/>
    <n v="1865"/>
    <n v="0"/>
    <n v="1865"/>
    <m/>
    <m/>
    <m/>
    <m/>
    <n v="1865"/>
    <n v="0"/>
    <n v="71807.042167016101"/>
  </r>
  <r>
    <x v="168"/>
    <x v="1"/>
    <x v="0"/>
    <x v="15"/>
    <x v="1"/>
    <x v="2"/>
    <x v="200"/>
    <s v="NAKİT"/>
    <n v="1"/>
    <n v="1865"/>
    <n v="0"/>
    <n v="0"/>
    <m/>
    <m/>
    <m/>
    <m/>
    <n v="0"/>
    <n v="1865"/>
    <n v="69942.042167016101"/>
  </r>
  <r>
    <x v="168"/>
    <x v="1"/>
    <x v="0"/>
    <x v="6"/>
    <x v="1"/>
    <x v="2"/>
    <x v="201"/>
    <s v="NAKİT"/>
    <n v="1"/>
    <n v="150"/>
    <n v="0"/>
    <n v="0"/>
    <m/>
    <m/>
    <m/>
    <m/>
    <n v="0"/>
    <n v="150"/>
    <n v="69792.042167016101"/>
  </r>
  <r>
    <x v="169"/>
    <x v="4"/>
    <x v="30"/>
    <x v="0"/>
    <x v="5"/>
    <x v="1859"/>
    <x v="25"/>
    <s v="POS"/>
    <n v="0.188"/>
    <n v="500"/>
    <n v="94"/>
    <n v="0"/>
    <m/>
    <m/>
    <m/>
    <m/>
    <n v="0"/>
    <n v="0"/>
    <n v="69792.042167016101"/>
  </r>
  <r>
    <x v="169"/>
    <x v="4"/>
    <x v="31"/>
    <x v="0"/>
    <x v="5"/>
    <x v="1859"/>
    <x v="25"/>
    <s v="POS"/>
    <n v="0.09"/>
    <n v="400"/>
    <n v="36"/>
    <n v="0"/>
    <m/>
    <m/>
    <m/>
    <m/>
    <n v="0"/>
    <n v="0"/>
    <n v="69792.042167016101"/>
  </r>
  <r>
    <x v="169"/>
    <x v="4"/>
    <x v="28"/>
    <x v="0"/>
    <x v="5"/>
    <x v="1859"/>
    <x v="25"/>
    <s v="POS"/>
    <n v="0.186"/>
    <n v="500"/>
    <n v="93"/>
    <n v="0"/>
    <m/>
    <m/>
    <m/>
    <m/>
    <n v="0"/>
    <n v="0"/>
    <n v="69792.042167016101"/>
  </r>
  <r>
    <x v="169"/>
    <x v="4"/>
    <x v="360"/>
    <x v="0"/>
    <x v="5"/>
    <x v="1859"/>
    <x v="25"/>
    <s v="POS"/>
    <n v="0.16666666666666666"/>
    <n v="600"/>
    <n v="100"/>
    <n v="0"/>
    <m/>
    <m/>
    <m/>
    <m/>
    <n v="0"/>
    <n v="0"/>
    <n v="69792.042167016101"/>
  </r>
  <r>
    <x v="169"/>
    <x v="4"/>
    <x v="142"/>
    <x v="0"/>
    <x v="1"/>
    <x v="1860"/>
    <x v="25"/>
    <s v="NAKİT"/>
    <n v="1"/>
    <n v="250"/>
    <n v="0"/>
    <n v="0"/>
    <m/>
    <m/>
    <m/>
    <m/>
    <n v="250"/>
    <n v="0"/>
    <n v="70042.042167016101"/>
  </r>
  <r>
    <x v="169"/>
    <x v="4"/>
    <x v="30"/>
    <x v="0"/>
    <x v="1"/>
    <x v="1860"/>
    <x v="25"/>
    <s v="NAKİT"/>
    <n v="0.1"/>
    <n v="500"/>
    <n v="0"/>
    <n v="0"/>
    <m/>
    <m/>
    <m/>
    <m/>
    <n v="50"/>
    <n v="0"/>
    <n v="70092.042167016101"/>
  </r>
  <r>
    <x v="169"/>
    <x v="4"/>
    <x v="18"/>
    <x v="0"/>
    <x v="1"/>
    <x v="1861"/>
    <x v="25"/>
    <s v="NAKİT"/>
    <n v="1"/>
    <n v="250"/>
    <n v="0"/>
    <n v="0"/>
    <m/>
    <m/>
    <m/>
    <m/>
    <n v="250"/>
    <n v="0"/>
    <n v="70342.042167016101"/>
  </r>
  <r>
    <x v="169"/>
    <x v="4"/>
    <x v="88"/>
    <x v="0"/>
    <x v="1"/>
    <x v="1862"/>
    <x v="25"/>
    <s v="NAKİT"/>
    <n v="0.05"/>
    <n v="1200"/>
    <n v="0"/>
    <n v="0"/>
    <m/>
    <m/>
    <m/>
    <m/>
    <n v="60"/>
    <n v="0"/>
    <n v="70402.042167016101"/>
  </r>
  <r>
    <x v="169"/>
    <x v="4"/>
    <x v="289"/>
    <x v="0"/>
    <x v="1"/>
    <x v="1863"/>
    <x v="25"/>
    <s v="NAKİT"/>
    <n v="0.27777777777777779"/>
    <n v="360"/>
    <n v="0"/>
    <n v="0"/>
    <m/>
    <m/>
    <m/>
    <m/>
    <n v="100"/>
    <n v="0"/>
    <n v="70502.042167016101"/>
  </r>
  <r>
    <x v="169"/>
    <x v="4"/>
    <x v="45"/>
    <x v="0"/>
    <x v="1"/>
    <x v="1864"/>
    <x v="25"/>
    <s v="NAKİT"/>
    <n v="1"/>
    <n v="65"/>
    <n v="0"/>
    <n v="0"/>
    <m/>
    <m/>
    <m/>
    <m/>
    <n v="65"/>
    <n v="0"/>
    <n v="70567.042167016101"/>
  </r>
  <r>
    <x v="169"/>
    <x v="4"/>
    <x v="239"/>
    <x v="0"/>
    <x v="1"/>
    <x v="1865"/>
    <x v="25"/>
    <s v="NAKİT"/>
    <n v="0.25"/>
    <n v="400"/>
    <n v="0"/>
    <n v="0"/>
    <m/>
    <m/>
    <m/>
    <m/>
    <n v="100"/>
    <n v="0"/>
    <n v="70667.042167016101"/>
  </r>
  <r>
    <x v="169"/>
    <x v="4"/>
    <x v="18"/>
    <x v="0"/>
    <x v="5"/>
    <x v="1866"/>
    <x v="25"/>
    <s v="POS"/>
    <n v="1"/>
    <n v="250"/>
    <n v="250"/>
    <n v="0"/>
    <m/>
    <m/>
    <m/>
    <m/>
    <n v="0"/>
    <n v="0"/>
    <n v="70667.042167016101"/>
  </r>
  <r>
    <x v="169"/>
    <x v="4"/>
    <x v="58"/>
    <x v="0"/>
    <x v="5"/>
    <x v="1866"/>
    <x v="25"/>
    <s v="POS"/>
    <n v="1"/>
    <n v="250"/>
    <n v="250"/>
    <n v="0"/>
    <m/>
    <m/>
    <m/>
    <m/>
    <n v="0"/>
    <n v="0"/>
    <n v="70667.042167016101"/>
  </r>
  <r>
    <x v="169"/>
    <x v="4"/>
    <x v="42"/>
    <x v="0"/>
    <x v="5"/>
    <x v="1866"/>
    <x v="25"/>
    <s v="POS"/>
    <n v="1"/>
    <n v="80"/>
    <n v="80"/>
    <n v="0"/>
    <m/>
    <m/>
    <m/>
    <m/>
    <n v="0"/>
    <n v="0"/>
    <n v="70667.042167016101"/>
  </r>
  <r>
    <x v="169"/>
    <x v="4"/>
    <x v="41"/>
    <x v="0"/>
    <x v="5"/>
    <x v="1866"/>
    <x v="25"/>
    <s v="POS"/>
    <n v="1"/>
    <n v="100"/>
    <n v="100"/>
    <n v="0"/>
    <m/>
    <m/>
    <m/>
    <m/>
    <n v="0"/>
    <n v="0"/>
    <n v="70667.042167016101"/>
  </r>
  <r>
    <x v="169"/>
    <x v="4"/>
    <x v="16"/>
    <x v="0"/>
    <x v="5"/>
    <x v="1867"/>
    <x v="25"/>
    <s v="POS"/>
    <n v="1"/>
    <n v="165"/>
    <n v="165"/>
    <n v="0"/>
    <m/>
    <m/>
    <m/>
    <m/>
    <n v="0"/>
    <n v="0"/>
    <n v="70667.042167016101"/>
  </r>
  <r>
    <x v="169"/>
    <x v="4"/>
    <x v="59"/>
    <x v="0"/>
    <x v="5"/>
    <x v="1868"/>
    <x v="25"/>
    <s v="POS"/>
    <n v="0.22222222222222221"/>
    <n v="450"/>
    <n v="100"/>
    <n v="0"/>
    <m/>
    <m/>
    <m/>
    <m/>
    <n v="0"/>
    <n v="0"/>
    <n v="70667.042167016101"/>
  </r>
  <r>
    <x v="169"/>
    <x v="4"/>
    <x v="161"/>
    <x v="0"/>
    <x v="5"/>
    <x v="1868"/>
    <x v="25"/>
    <s v="POS"/>
    <n v="0.25"/>
    <n v="400"/>
    <n v="100"/>
    <n v="0"/>
    <m/>
    <m/>
    <m/>
    <m/>
    <n v="0"/>
    <n v="0"/>
    <n v="70667.042167016101"/>
  </r>
  <r>
    <x v="169"/>
    <x v="4"/>
    <x v="394"/>
    <x v="0"/>
    <x v="5"/>
    <x v="1868"/>
    <x v="25"/>
    <s v="POS"/>
    <n v="0.25"/>
    <n v="400"/>
    <n v="100"/>
    <n v="0"/>
    <m/>
    <m/>
    <m/>
    <m/>
    <n v="0"/>
    <n v="0"/>
    <n v="70667.042167016101"/>
  </r>
  <r>
    <x v="169"/>
    <x v="4"/>
    <x v="398"/>
    <x v="0"/>
    <x v="5"/>
    <x v="1868"/>
    <x v="25"/>
    <s v="POS"/>
    <n v="0.27906976744186046"/>
    <n v="430"/>
    <n v="120"/>
    <n v="0"/>
    <m/>
    <m/>
    <m/>
    <m/>
    <n v="0"/>
    <n v="0"/>
    <n v="70667.042167016101"/>
  </r>
  <r>
    <x v="169"/>
    <x v="4"/>
    <x v="71"/>
    <x v="0"/>
    <x v="5"/>
    <x v="1868"/>
    <x v="25"/>
    <s v="POS"/>
    <n v="0.2608695652173913"/>
    <n v="230"/>
    <n v="60"/>
    <n v="0"/>
    <m/>
    <m/>
    <m/>
    <m/>
    <n v="0"/>
    <n v="0"/>
    <n v="70667.042167016101"/>
  </r>
  <r>
    <x v="169"/>
    <x v="4"/>
    <x v="129"/>
    <x v="0"/>
    <x v="5"/>
    <x v="1868"/>
    <x v="25"/>
    <s v="POS"/>
    <n v="0.20833333333333334"/>
    <n v="240"/>
    <n v="50"/>
    <n v="0"/>
    <m/>
    <m/>
    <m/>
    <m/>
    <n v="0"/>
    <n v="0"/>
    <n v="70667.042167016101"/>
  </r>
  <r>
    <x v="169"/>
    <x v="4"/>
    <x v="312"/>
    <x v="0"/>
    <x v="5"/>
    <x v="1869"/>
    <x v="25"/>
    <s v="POS"/>
    <n v="1.2"/>
    <n v="350"/>
    <n v="420"/>
    <n v="0"/>
    <m/>
    <m/>
    <m/>
    <m/>
    <n v="0"/>
    <n v="0"/>
    <n v="70667.042167016101"/>
  </r>
  <r>
    <x v="169"/>
    <x v="4"/>
    <x v="39"/>
    <x v="0"/>
    <x v="1"/>
    <x v="1870"/>
    <x v="25"/>
    <s v="NAKİT"/>
    <n v="8.2500000000000004E-2"/>
    <n v="400"/>
    <n v="0"/>
    <n v="0"/>
    <m/>
    <m/>
    <m/>
    <m/>
    <n v="33"/>
    <n v="0"/>
    <n v="70700.042167016101"/>
  </r>
  <r>
    <x v="169"/>
    <x v="4"/>
    <x v="339"/>
    <x v="0"/>
    <x v="1"/>
    <x v="1871"/>
    <x v="25"/>
    <s v="NAKİT"/>
    <n v="1"/>
    <n v="130"/>
    <n v="0"/>
    <n v="0"/>
    <m/>
    <m/>
    <m/>
    <m/>
    <n v="130"/>
    <n v="0"/>
    <n v="70830.042167016101"/>
  </r>
  <r>
    <x v="169"/>
    <x v="4"/>
    <x v="386"/>
    <x v="0"/>
    <x v="1"/>
    <x v="1871"/>
    <x v="25"/>
    <s v="NAKİT"/>
    <n v="1"/>
    <n v="30"/>
    <n v="0"/>
    <n v="0"/>
    <m/>
    <m/>
    <m/>
    <m/>
    <n v="30"/>
    <n v="0"/>
    <n v="70860.042167016101"/>
  </r>
  <r>
    <x v="169"/>
    <x v="4"/>
    <x v="111"/>
    <x v="0"/>
    <x v="1"/>
    <x v="1871"/>
    <x v="25"/>
    <s v="NAKİT"/>
    <n v="9.4E-2"/>
    <n v="350"/>
    <n v="0"/>
    <n v="0"/>
    <m/>
    <m/>
    <m/>
    <m/>
    <n v="32.9"/>
    <n v="0"/>
    <n v="70892.942167016095"/>
  </r>
  <r>
    <x v="169"/>
    <x v="4"/>
    <x v="420"/>
    <x v="0"/>
    <x v="1"/>
    <x v="1871"/>
    <x v="25"/>
    <s v="NAKİT"/>
    <n v="1"/>
    <n v="10"/>
    <n v="0"/>
    <n v="0"/>
    <m/>
    <m/>
    <m/>
    <m/>
    <n v="10"/>
    <n v="0"/>
    <n v="70902.942167016095"/>
  </r>
  <r>
    <x v="169"/>
    <x v="4"/>
    <x v="293"/>
    <x v="0"/>
    <x v="5"/>
    <x v="1872"/>
    <x v="25"/>
    <s v="POS"/>
    <n v="1"/>
    <n v="350"/>
    <n v="350"/>
    <n v="0"/>
    <m/>
    <m/>
    <m/>
    <m/>
    <n v="0"/>
    <n v="0"/>
    <n v="70902.942167016095"/>
  </r>
  <r>
    <x v="169"/>
    <x v="1"/>
    <x v="0"/>
    <x v="13"/>
    <x v="1"/>
    <x v="2"/>
    <x v="202"/>
    <s v="NAKİT"/>
    <n v="1"/>
    <n v="331"/>
    <n v="0"/>
    <n v="0"/>
    <m/>
    <m/>
    <m/>
    <m/>
    <n v="0"/>
    <n v="331"/>
    <n v="70571.942167016095"/>
  </r>
  <r>
    <x v="170"/>
    <x v="4"/>
    <x v="18"/>
    <x v="0"/>
    <x v="1"/>
    <x v="1873"/>
    <x v="25"/>
    <s v="NAKİT"/>
    <n v="1"/>
    <n v="250"/>
    <n v="0"/>
    <n v="0"/>
    <m/>
    <m/>
    <m/>
    <m/>
    <n v="250"/>
    <n v="0"/>
    <n v="70821.942167016095"/>
  </r>
  <r>
    <x v="170"/>
    <x v="4"/>
    <x v="312"/>
    <x v="0"/>
    <x v="1"/>
    <x v="1873"/>
    <x v="25"/>
    <s v="NAKİT"/>
    <n v="0.5"/>
    <n v="350"/>
    <n v="0"/>
    <n v="0"/>
    <m/>
    <m/>
    <m/>
    <m/>
    <n v="175"/>
    <n v="0"/>
    <n v="70996.942167016095"/>
  </r>
  <r>
    <x v="170"/>
    <x v="4"/>
    <x v="161"/>
    <x v="0"/>
    <x v="1"/>
    <x v="1873"/>
    <x v="25"/>
    <s v="NAKİT"/>
    <n v="9.2499999999999999E-2"/>
    <n v="400"/>
    <n v="0"/>
    <n v="0"/>
    <m/>
    <m/>
    <m/>
    <m/>
    <n v="37"/>
    <n v="0"/>
    <n v="71033.942167016095"/>
  </r>
  <r>
    <x v="170"/>
    <x v="4"/>
    <x v="36"/>
    <x v="0"/>
    <x v="5"/>
    <x v="1874"/>
    <x v="25"/>
    <s v="POS"/>
    <n v="0.27777777777777779"/>
    <n v="180"/>
    <n v="50"/>
    <n v="0"/>
    <m/>
    <m/>
    <m/>
    <m/>
    <n v="0"/>
    <n v="0"/>
    <n v="71033.942167016095"/>
  </r>
  <r>
    <x v="170"/>
    <x v="4"/>
    <x v="356"/>
    <x v="0"/>
    <x v="1"/>
    <x v="1875"/>
    <x v="25"/>
    <s v="NAKİT"/>
    <n v="1"/>
    <n v="20"/>
    <n v="0"/>
    <n v="0"/>
    <m/>
    <m/>
    <m/>
    <m/>
    <n v="20"/>
    <n v="0"/>
    <n v="71053.942167016095"/>
  </r>
  <r>
    <x v="170"/>
    <x v="4"/>
    <x v="18"/>
    <x v="0"/>
    <x v="1"/>
    <x v="1875"/>
    <x v="25"/>
    <s v="NAKİT"/>
    <n v="1"/>
    <n v="250"/>
    <n v="0"/>
    <n v="0"/>
    <m/>
    <m/>
    <m/>
    <m/>
    <n v="250"/>
    <n v="0"/>
    <n v="71303.942167016095"/>
  </r>
  <r>
    <x v="170"/>
    <x v="4"/>
    <x v="20"/>
    <x v="0"/>
    <x v="1"/>
    <x v="1875"/>
    <x v="25"/>
    <s v="NAKİT"/>
    <n v="1"/>
    <n v="230"/>
    <n v="0"/>
    <n v="0"/>
    <m/>
    <m/>
    <m/>
    <m/>
    <n v="230"/>
    <n v="0"/>
    <n v="71533.942167016095"/>
  </r>
  <r>
    <x v="170"/>
    <x v="4"/>
    <x v="20"/>
    <x v="0"/>
    <x v="1"/>
    <x v="1876"/>
    <x v="25"/>
    <s v="NAKİT"/>
    <n v="1"/>
    <n v="230"/>
    <n v="0"/>
    <n v="0"/>
    <m/>
    <m/>
    <m/>
    <m/>
    <n v="230"/>
    <n v="0"/>
    <n v="71763.942167016095"/>
  </r>
  <r>
    <x v="170"/>
    <x v="4"/>
    <x v="18"/>
    <x v="0"/>
    <x v="1"/>
    <x v="1876"/>
    <x v="25"/>
    <s v="NAKİT"/>
    <n v="1"/>
    <n v="250"/>
    <n v="0"/>
    <n v="0"/>
    <m/>
    <m/>
    <m/>
    <m/>
    <n v="250"/>
    <n v="0"/>
    <n v="72013.942167016095"/>
  </r>
  <r>
    <x v="170"/>
    <x v="4"/>
    <x v="258"/>
    <x v="0"/>
    <x v="1"/>
    <x v="1877"/>
    <x v="25"/>
    <s v="NAKİT"/>
    <n v="1"/>
    <n v="125"/>
    <n v="0"/>
    <n v="0"/>
    <m/>
    <m/>
    <m/>
    <m/>
    <n v="125"/>
    <n v="0"/>
    <n v="72138.942167016095"/>
  </r>
  <r>
    <x v="170"/>
    <x v="4"/>
    <x v="69"/>
    <x v="0"/>
    <x v="1"/>
    <x v="1878"/>
    <x v="25"/>
    <s v="NAKİT"/>
    <n v="0.05"/>
    <n v="1000"/>
    <n v="0"/>
    <n v="0"/>
    <m/>
    <m/>
    <m/>
    <m/>
    <n v="50"/>
    <n v="0"/>
    <n v="72188.942167016095"/>
  </r>
  <r>
    <x v="170"/>
    <x v="4"/>
    <x v="124"/>
    <x v="0"/>
    <x v="1"/>
    <x v="1878"/>
    <x v="25"/>
    <s v="NAKİT"/>
    <n v="0.1"/>
    <n v="900"/>
    <n v="0"/>
    <n v="0"/>
    <m/>
    <m/>
    <m/>
    <m/>
    <n v="90"/>
    <n v="0"/>
    <n v="72278.942167016095"/>
  </r>
  <r>
    <x v="170"/>
    <x v="4"/>
    <x v="24"/>
    <x v="0"/>
    <x v="1"/>
    <x v="1878"/>
    <x v="25"/>
    <s v="NAKİT"/>
    <n v="7.6923076923076927E-2"/>
    <n v="650"/>
    <n v="0"/>
    <n v="0"/>
    <m/>
    <m/>
    <m/>
    <m/>
    <n v="50"/>
    <n v="0"/>
    <n v="72328.942167016095"/>
  </r>
  <r>
    <x v="170"/>
    <x v="4"/>
    <x v="360"/>
    <x v="0"/>
    <x v="5"/>
    <x v="1879"/>
    <x v="25"/>
    <s v="POS"/>
    <n v="0.33333333333333331"/>
    <n v="600"/>
    <n v="200"/>
    <n v="0"/>
    <m/>
    <m/>
    <m/>
    <m/>
    <n v="0"/>
    <n v="0"/>
    <n v="72328.942167016095"/>
  </r>
  <r>
    <x v="170"/>
    <x v="4"/>
    <x v="384"/>
    <x v="0"/>
    <x v="5"/>
    <x v="1880"/>
    <x v="25"/>
    <s v="POS"/>
    <n v="1"/>
    <n v="300"/>
    <n v="300"/>
    <n v="0"/>
    <m/>
    <m/>
    <m/>
    <m/>
    <n v="0"/>
    <n v="0"/>
    <n v="72328.942167016095"/>
  </r>
  <r>
    <x v="170"/>
    <x v="4"/>
    <x v="312"/>
    <x v="0"/>
    <x v="5"/>
    <x v="1881"/>
    <x v="25"/>
    <s v="POS"/>
    <n v="1"/>
    <n v="350"/>
    <n v="350"/>
    <n v="0"/>
    <m/>
    <m/>
    <m/>
    <m/>
    <n v="0"/>
    <n v="0"/>
    <n v="72328.942167016095"/>
  </r>
  <r>
    <x v="170"/>
    <x v="4"/>
    <x v="67"/>
    <x v="0"/>
    <x v="1"/>
    <x v="1882"/>
    <x v="25"/>
    <s v="NAKİT"/>
    <n v="0.1"/>
    <n v="900"/>
    <n v="0"/>
    <n v="0"/>
    <m/>
    <m/>
    <m/>
    <m/>
    <n v="90"/>
    <n v="0"/>
    <n v="72418.942167016095"/>
  </r>
  <r>
    <x v="170"/>
    <x v="4"/>
    <x v="33"/>
    <x v="0"/>
    <x v="1"/>
    <x v="1882"/>
    <x v="25"/>
    <s v="NAKİT"/>
    <n v="0.125"/>
    <n v="400"/>
    <n v="0"/>
    <n v="0"/>
    <m/>
    <m/>
    <m/>
    <m/>
    <n v="50"/>
    <n v="0"/>
    <n v="72468.942167016095"/>
  </r>
  <r>
    <x v="170"/>
    <x v="4"/>
    <x v="31"/>
    <x v="0"/>
    <x v="5"/>
    <x v="1883"/>
    <x v="25"/>
    <s v="POS"/>
    <n v="0.19500000000000001"/>
    <n v="400"/>
    <n v="78"/>
    <n v="0"/>
    <m/>
    <m/>
    <m/>
    <m/>
    <n v="0"/>
    <n v="0"/>
    <n v="72468.942167016095"/>
  </r>
  <r>
    <x v="170"/>
    <x v="10"/>
    <x v="0"/>
    <x v="0"/>
    <x v="5"/>
    <x v="2"/>
    <x v="203"/>
    <s v="POS"/>
    <n v="1"/>
    <n v="10035"/>
    <n v="0"/>
    <n v="10035"/>
    <m/>
    <m/>
    <m/>
    <m/>
    <n v="10035"/>
    <n v="0"/>
    <n v="82503.942167016095"/>
  </r>
  <r>
    <x v="170"/>
    <x v="1"/>
    <x v="0"/>
    <x v="13"/>
    <x v="1"/>
    <x v="2"/>
    <x v="203"/>
    <s v="NAKİT"/>
    <n v="1"/>
    <n v="10035"/>
    <n v="0"/>
    <n v="0"/>
    <m/>
    <m/>
    <m/>
    <m/>
    <n v="0"/>
    <n v="10035"/>
    <n v="72468.942167016095"/>
  </r>
  <r>
    <x v="170"/>
    <x v="10"/>
    <x v="0"/>
    <x v="0"/>
    <x v="5"/>
    <x v="2"/>
    <x v="204"/>
    <s v="POS"/>
    <n v="1"/>
    <n v="21870"/>
    <n v="0"/>
    <n v="21870"/>
    <m/>
    <m/>
    <m/>
    <m/>
    <m/>
    <n v="0"/>
    <n v="72468.942167016095"/>
  </r>
  <r>
    <x v="170"/>
    <x v="7"/>
    <x v="0"/>
    <x v="0"/>
    <x v="8"/>
    <x v="2"/>
    <x v="204"/>
    <s v="NAKİT"/>
    <n v="1"/>
    <n v="21870"/>
    <n v="21870"/>
    <n v="0"/>
    <m/>
    <m/>
    <m/>
    <m/>
    <n v="0"/>
    <m/>
    <n v="72468.942167016095"/>
  </r>
  <r>
    <x v="170"/>
    <x v="10"/>
    <x v="0"/>
    <x v="0"/>
    <x v="5"/>
    <x v="2"/>
    <x v="205"/>
    <s v="POS"/>
    <n v="1"/>
    <n v="777.45"/>
    <n v="0"/>
    <n v="777.45"/>
    <n v="10035"/>
    <n v="0"/>
    <m/>
    <m/>
    <n v="777.45"/>
    <n v="0"/>
    <n v="73246.392167016093"/>
  </r>
  <r>
    <x v="170"/>
    <x v="1"/>
    <x v="0"/>
    <x v="16"/>
    <x v="1"/>
    <x v="2"/>
    <x v="205"/>
    <s v="NAKİT"/>
    <n v="1"/>
    <n v="777.45"/>
    <n v="0"/>
    <n v="0"/>
    <n v="0"/>
    <n v="10035"/>
    <m/>
    <m/>
    <n v="0"/>
    <n v="777.45"/>
    <n v="72468.942167016095"/>
  </r>
  <r>
    <x v="171"/>
    <x v="4"/>
    <x v="56"/>
    <x v="0"/>
    <x v="5"/>
    <x v="1884"/>
    <x v="25"/>
    <s v="POS"/>
    <n v="0.5"/>
    <n v="200"/>
    <n v="100"/>
    <n v="0"/>
    <m/>
    <m/>
    <m/>
    <m/>
    <n v="0"/>
    <n v="0"/>
    <n v="72468.942167016095"/>
  </r>
  <r>
    <x v="171"/>
    <x v="4"/>
    <x v="59"/>
    <x v="0"/>
    <x v="5"/>
    <x v="1884"/>
    <x v="25"/>
    <s v="POS"/>
    <n v="0.122"/>
    <n v="450"/>
    <n v="54.9"/>
    <n v="0"/>
    <m/>
    <m/>
    <m/>
    <m/>
    <n v="0"/>
    <n v="0"/>
    <n v="72468.942167016095"/>
  </r>
  <r>
    <x v="171"/>
    <x v="4"/>
    <x v="24"/>
    <x v="0"/>
    <x v="5"/>
    <x v="1884"/>
    <x v="25"/>
    <s v="POS"/>
    <n v="7.3999999999999996E-2"/>
    <n v="650"/>
    <n v="48.099999999999994"/>
    <n v="0"/>
    <m/>
    <m/>
    <m/>
    <m/>
    <n v="0"/>
    <n v="0"/>
    <n v="72468.942167016095"/>
  </r>
  <r>
    <x v="171"/>
    <x v="4"/>
    <x v="18"/>
    <x v="0"/>
    <x v="1"/>
    <x v="1885"/>
    <x v="25"/>
    <s v="NAKİT"/>
    <n v="1"/>
    <n v="250"/>
    <n v="0"/>
    <n v="0"/>
    <m/>
    <m/>
    <m/>
    <m/>
    <n v="250"/>
    <n v="0"/>
    <n v="72718.942167016095"/>
  </r>
  <r>
    <x v="171"/>
    <x v="4"/>
    <x v="18"/>
    <x v="0"/>
    <x v="5"/>
    <x v="1886"/>
    <x v="25"/>
    <s v="POS"/>
    <n v="1"/>
    <n v="250"/>
    <n v="250"/>
    <n v="0"/>
    <m/>
    <m/>
    <m/>
    <m/>
    <n v="0"/>
    <n v="0"/>
    <n v="72718.942167016095"/>
  </r>
  <r>
    <x v="171"/>
    <x v="4"/>
    <x v="28"/>
    <x v="0"/>
    <x v="5"/>
    <x v="1886"/>
    <x v="25"/>
    <s v="POS"/>
    <n v="0.21"/>
    <n v="500"/>
    <n v="105"/>
    <n v="0"/>
    <m/>
    <m/>
    <m/>
    <m/>
    <n v="0"/>
    <n v="0"/>
    <n v="72718.942167016095"/>
  </r>
  <r>
    <x v="171"/>
    <x v="4"/>
    <x v="30"/>
    <x v="0"/>
    <x v="5"/>
    <x v="1886"/>
    <x v="25"/>
    <s v="POS"/>
    <n v="0.246"/>
    <n v="500"/>
    <n v="123"/>
    <n v="0"/>
    <m/>
    <m/>
    <m/>
    <m/>
    <n v="0"/>
    <n v="0"/>
    <n v="72718.942167016095"/>
  </r>
  <r>
    <x v="171"/>
    <x v="4"/>
    <x v="435"/>
    <x v="0"/>
    <x v="5"/>
    <x v="1886"/>
    <x v="25"/>
    <s v="POS"/>
    <n v="0.114"/>
    <n v="550"/>
    <n v="62.7"/>
    <n v="0"/>
    <m/>
    <m/>
    <m/>
    <m/>
    <n v="0"/>
    <n v="0"/>
    <n v="72718.942167016095"/>
  </r>
  <r>
    <x v="171"/>
    <x v="4"/>
    <x v="32"/>
    <x v="0"/>
    <x v="5"/>
    <x v="1886"/>
    <x v="25"/>
    <s v="POS"/>
    <n v="0.11799999999999999"/>
    <n v="400"/>
    <n v="47.199999999999996"/>
    <n v="0"/>
    <m/>
    <m/>
    <m/>
    <m/>
    <n v="0"/>
    <n v="0"/>
    <n v="72718.942167016095"/>
  </r>
  <r>
    <x v="171"/>
    <x v="4"/>
    <x v="31"/>
    <x v="0"/>
    <x v="5"/>
    <x v="1886"/>
    <x v="25"/>
    <s v="POS"/>
    <n v="0.23"/>
    <n v="400"/>
    <n v="92"/>
    <n v="0"/>
    <m/>
    <m/>
    <m/>
    <m/>
    <n v="0"/>
    <n v="0"/>
    <n v="72718.942167016095"/>
  </r>
  <r>
    <x v="171"/>
    <x v="4"/>
    <x v="265"/>
    <x v="0"/>
    <x v="5"/>
    <x v="1887"/>
    <x v="25"/>
    <s v="POS"/>
    <n v="1"/>
    <n v="130"/>
    <n v="130"/>
    <n v="0"/>
    <m/>
    <m/>
    <m/>
    <m/>
    <n v="0"/>
    <n v="0"/>
    <n v="72718.942167016095"/>
  </r>
  <r>
    <x v="171"/>
    <x v="4"/>
    <x v="270"/>
    <x v="0"/>
    <x v="5"/>
    <x v="1887"/>
    <x v="25"/>
    <s v="POS"/>
    <n v="1"/>
    <n v="130"/>
    <n v="130"/>
    <n v="0"/>
    <m/>
    <m/>
    <m/>
    <m/>
    <n v="0"/>
    <n v="0"/>
    <n v="72718.942167016095"/>
  </r>
  <r>
    <x v="171"/>
    <x v="4"/>
    <x v="94"/>
    <x v="0"/>
    <x v="1"/>
    <x v="1888"/>
    <x v="25"/>
    <s v="NAKİT"/>
    <n v="0.05"/>
    <n v="2000"/>
    <n v="0"/>
    <n v="0"/>
    <m/>
    <m/>
    <m/>
    <m/>
    <n v="100"/>
    <n v="0"/>
    <n v="72818.942167016095"/>
  </r>
  <r>
    <x v="171"/>
    <x v="4"/>
    <x v="88"/>
    <x v="0"/>
    <x v="5"/>
    <x v="1888"/>
    <x v="25"/>
    <s v="POS"/>
    <n v="0.05"/>
    <n v="1200"/>
    <n v="60"/>
    <n v="0"/>
    <m/>
    <m/>
    <m/>
    <m/>
    <n v="0"/>
    <n v="0"/>
    <n v="72818.942167016095"/>
  </r>
  <r>
    <x v="171"/>
    <x v="4"/>
    <x v="441"/>
    <x v="0"/>
    <x v="5"/>
    <x v="1888"/>
    <x v="25"/>
    <s v="POS"/>
    <n v="0.2"/>
    <n v="250"/>
    <n v="50"/>
    <n v="0"/>
    <m/>
    <m/>
    <m/>
    <m/>
    <n v="0"/>
    <n v="0"/>
    <n v="72818.942167016095"/>
  </r>
  <r>
    <x v="171"/>
    <x v="4"/>
    <x v="200"/>
    <x v="0"/>
    <x v="5"/>
    <x v="1888"/>
    <x v="25"/>
    <s v="POS"/>
    <n v="2"/>
    <n v="35"/>
    <n v="70"/>
    <n v="0"/>
    <m/>
    <m/>
    <m/>
    <m/>
    <n v="0"/>
    <n v="0"/>
    <n v="72818.942167016095"/>
  </r>
  <r>
    <x v="171"/>
    <x v="4"/>
    <x v="244"/>
    <x v="0"/>
    <x v="5"/>
    <x v="1888"/>
    <x v="25"/>
    <s v="POS"/>
    <n v="0.5"/>
    <n v="120"/>
    <n v="60"/>
    <n v="0"/>
    <m/>
    <m/>
    <m/>
    <m/>
    <n v="0"/>
    <n v="0"/>
    <n v="72818.942167016095"/>
  </r>
  <r>
    <x v="171"/>
    <x v="4"/>
    <x v="217"/>
    <x v="0"/>
    <x v="5"/>
    <x v="1888"/>
    <x v="25"/>
    <s v="POS"/>
    <n v="1"/>
    <n v="250"/>
    <n v="250"/>
    <n v="0"/>
    <m/>
    <m/>
    <m/>
    <m/>
    <n v="0"/>
    <n v="0"/>
    <n v="72818.942167016095"/>
  </r>
  <r>
    <x v="171"/>
    <x v="4"/>
    <x v="101"/>
    <x v="0"/>
    <x v="5"/>
    <x v="1888"/>
    <x v="25"/>
    <s v="POS"/>
    <n v="0.22727272727272727"/>
    <n v="220"/>
    <n v="50"/>
    <n v="0"/>
    <m/>
    <m/>
    <m/>
    <m/>
    <n v="0"/>
    <n v="0"/>
    <n v="72818.942167016095"/>
  </r>
  <r>
    <x v="171"/>
    <x v="4"/>
    <x v="356"/>
    <x v="0"/>
    <x v="5"/>
    <x v="1888"/>
    <x v="25"/>
    <s v="POS"/>
    <n v="1"/>
    <n v="20"/>
    <n v="20"/>
    <n v="0"/>
    <m/>
    <m/>
    <m/>
    <m/>
    <n v="0"/>
    <n v="0"/>
    <n v="72818.942167016095"/>
  </r>
  <r>
    <x v="171"/>
    <x v="4"/>
    <x v="436"/>
    <x v="0"/>
    <x v="5"/>
    <x v="1888"/>
    <x v="25"/>
    <s v="POS"/>
    <n v="0.05"/>
    <n v="500"/>
    <n v="25"/>
    <n v="0"/>
    <m/>
    <m/>
    <m/>
    <m/>
    <n v="0"/>
    <n v="0"/>
    <n v="72818.942167016095"/>
  </r>
  <r>
    <x v="171"/>
    <x v="4"/>
    <x v="96"/>
    <x v="0"/>
    <x v="1"/>
    <x v="1889"/>
    <x v="25"/>
    <s v="NAKİT"/>
    <n v="3.7692307692307692E-2"/>
    <n v="1300"/>
    <n v="0"/>
    <n v="0"/>
    <m/>
    <m/>
    <m/>
    <m/>
    <n v="49"/>
    <n v="0"/>
    <n v="72867.942167016095"/>
  </r>
  <r>
    <x v="171"/>
    <x v="4"/>
    <x v="204"/>
    <x v="0"/>
    <x v="1"/>
    <x v="1889"/>
    <x v="25"/>
    <s v="NAKİT"/>
    <n v="0.1"/>
    <n v="800"/>
    <n v="0"/>
    <n v="0"/>
    <m/>
    <m/>
    <m/>
    <m/>
    <n v="80"/>
    <n v="0"/>
    <n v="72947.942167016095"/>
  </r>
  <r>
    <x v="171"/>
    <x v="4"/>
    <x v="36"/>
    <x v="0"/>
    <x v="1"/>
    <x v="1889"/>
    <x v="25"/>
    <s v="NAKİT"/>
    <n v="0.27777777777777779"/>
    <n v="180"/>
    <n v="0"/>
    <n v="0"/>
    <m/>
    <m/>
    <m/>
    <m/>
    <n v="50"/>
    <n v="0"/>
    <n v="72997.942167016095"/>
  </r>
  <r>
    <x v="171"/>
    <x v="4"/>
    <x v="307"/>
    <x v="0"/>
    <x v="1"/>
    <x v="1889"/>
    <x v="25"/>
    <s v="NAKİT"/>
    <n v="1"/>
    <n v="140"/>
    <n v="0"/>
    <n v="0"/>
    <m/>
    <m/>
    <m/>
    <m/>
    <n v="140"/>
    <n v="0"/>
    <n v="73137.942167016095"/>
  </r>
  <r>
    <x v="171"/>
    <x v="4"/>
    <x v="57"/>
    <x v="0"/>
    <x v="1"/>
    <x v="1890"/>
    <x v="25"/>
    <s v="NAKİT"/>
    <n v="0.5"/>
    <n v="150"/>
    <n v="0"/>
    <n v="0"/>
    <m/>
    <m/>
    <m/>
    <m/>
    <n v="75"/>
    <n v="0"/>
    <n v="73212.942167016095"/>
  </r>
  <r>
    <x v="171"/>
    <x v="4"/>
    <x v="56"/>
    <x v="0"/>
    <x v="1"/>
    <x v="1890"/>
    <x v="25"/>
    <s v="NAKİT"/>
    <n v="0.52"/>
    <n v="200"/>
    <n v="0"/>
    <n v="0"/>
    <m/>
    <m/>
    <m/>
    <m/>
    <n v="104"/>
    <n v="0"/>
    <n v="73316.942167016095"/>
  </r>
  <r>
    <x v="171"/>
    <x v="4"/>
    <x v="63"/>
    <x v="0"/>
    <x v="1"/>
    <x v="1891"/>
    <x v="25"/>
    <s v="NAKİT"/>
    <n v="5.8108108108108111E-2"/>
    <n v="740"/>
    <n v="0"/>
    <n v="0"/>
    <m/>
    <m/>
    <m/>
    <m/>
    <n v="43"/>
    <n v="0"/>
    <n v="73359.942167016095"/>
  </r>
  <r>
    <x v="171"/>
    <x v="4"/>
    <x v="94"/>
    <x v="0"/>
    <x v="1"/>
    <x v="1891"/>
    <x v="25"/>
    <s v="NAKİT"/>
    <n v="2.5999999999999999E-2"/>
    <n v="2000"/>
    <n v="0"/>
    <n v="0"/>
    <m/>
    <m/>
    <m/>
    <m/>
    <n v="52"/>
    <n v="0"/>
    <n v="73411.942167016095"/>
  </r>
  <r>
    <x v="171"/>
    <x v="4"/>
    <x v="344"/>
    <x v="0"/>
    <x v="1"/>
    <x v="1891"/>
    <x v="25"/>
    <s v="NAKİT"/>
    <n v="7.7777777777777779E-2"/>
    <n v="450"/>
    <n v="0"/>
    <n v="0"/>
    <m/>
    <m/>
    <m/>
    <m/>
    <n v="35"/>
    <n v="0"/>
    <n v="73446.942167016095"/>
  </r>
  <r>
    <x v="171"/>
    <x v="1"/>
    <x v="0"/>
    <x v="16"/>
    <x v="1"/>
    <x v="2"/>
    <x v="98"/>
    <s v="NAKİT"/>
    <n v="1"/>
    <n v="441"/>
    <n v="0"/>
    <n v="0"/>
    <m/>
    <m/>
    <m/>
    <m/>
    <n v="0"/>
    <n v="441"/>
    <n v="73005.942167016095"/>
  </r>
  <r>
    <x v="172"/>
    <x v="4"/>
    <x v="337"/>
    <x v="0"/>
    <x v="5"/>
    <x v="1892"/>
    <x v="25"/>
    <s v="POS"/>
    <n v="1"/>
    <n v="190"/>
    <n v="190"/>
    <n v="0"/>
    <m/>
    <m/>
    <m/>
    <m/>
    <n v="0"/>
    <n v="0"/>
    <n v="73005.942167016095"/>
  </r>
  <r>
    <x v="172"/>
    <x v="4"/>
    <x v="49"/>
    <x v="0"/>
    <x v="5"/>
    <x v="1893"/>
    <x v="25"/>
    <s v="POS"/>
    <n v="0.1"/>
    <n v="600"/>
    <n v="60"/>
    <n v="0"/>
    <m/>
    <m/>
    <m/>
    <m/>
    <n v="0"/>
    <n v="0"/>
    <n v="73005.942167016095"/>
  </r>
  <r>
    <x v="172"/>
    <x v="4"/>
    <x v="154"/>
    <x v="0"/>
    <x v="5"/>
    <x v="1894"/>
    <x v="25"/>
    <s v="POS"/>
    <n v="0.2"/>
    <n v="200"/>
    <n v="40"/>
    <n v="0"/>
    <m/>
    <m/>
    <m/>
    <m/>
    <n v="0"/>
    <n v="0"/>
    <n v="73005.942167016095"/>
  </r>
  <r>
    <x v="172"/>
    <x v="4"/>
    <x v="381"/>
    <x v="0"/>
    <x v="5"/>
    <x v="1894"/>
    <x v="25"/>
    <s v="POS"/>
    <n v="1"/>
    <n v="100"/>
    <n v="100"/>
    <n v="0"/>
    <m/>
    <m/>
    <m/>
    <m/>
    <n v="0"/>
    <n v="0"/>
    <n v="73005.942167016095"/>
  </r>
  <r>
    <x v="172"/>
    <x v="4"/>
    <x v="196"/>
    <x v="0"/>
    <x v="5"/>
    <x v="1895"/>
    <x v="25"/>
    <s v="POS"/>
    <n v="1"/>
    <n v="350"/>
    <n v="350"/>
    <n v="0"/>
    <m/>
    <m/>
    <m/>
    <m/>
    <n v="0"/>
    <n v="0"/>
    <n v="73005.942167016095"/>
  </r>
  <r>
    <x v="172"/>
    <x v="4"/>
    <x v="166"/>
    <x v="0"/>
    <x v="5"/>
    <x v="1896"/>
    <x v="25"/>
    <s v="POS"/>
    <n v="2"/>
    <n v="50"/>
    <n v="100"/>
    <n v="0"/>
    <m/>
    <m/>
    <m/>
    <m/>
    <n v="0"/>
    <n v="0"/>
    <n v="73005.942167016095"/>
  </r>
  <r>
    <x v="172"/>
    <x v="4"/>
    <x v="338"/>
    <x v="0"/>
    <x v="1"/>
    <x v="1897"/>
    <x v="25"/>
    <s v="NAKİT"/>
    <n v="1"/>
    <n v="190"/>
    <n v="0"/>
    <n v="0"/>
    <m/>
    <m/>
    <m/>
    <m/>
    <n v="190"/>
    <n v="0"/>
    <n v="73195.942167016095"/>
  </r>
  <r>
    <x v="172"/>
    <x v="4"/>
    <x v="57"/>
    <x v="0"/>
    <x v="1"/>
    <x v="1696"/>
    <x v="25"/>
    <s v="NAKİT"/>
    <n v="1"/>
    <n v="150"/>
    <n v="0"/>
    <n v="0"/>
    <m/>
    <m/>
    <m/>
    <m/>
    <n v="150"/>
    <n v="0"/>
    <n v="73345.942167016095"/>
  </r>
  <r>
    <x v="172"/>
    <x v="4"/>
    <x v="70"/>
    <x v="0"/>
    <x v="1"/>
    <x v="1696"/>
    <x v="129"/>
    <s v="NAKİT"/>
    <n v="0.52200000000000002"/>
    <n v="130"/>
    <n v="0"/>
    <n v="0"/>
    <m/>
    <m/>
    <m/>
    <m/>
    <n v="67.86"/>
    <n v="0"/>
    <n v="73413.802167016096"/>
  </r>
  <r>
    <x v="172"/>
    <x v="4"/>
    <x v="93"/>
    <x v="0"/>
    <x v="1"/>
    <x v="1696"/>
    <x v="129"/>
    <s v="NAKİT"/>
    <n v="1"/>
    <n v="225"/>
    <n v="0"/>
    <n v="0"/>
    <m/>
    <m/>
    <m/>
    <m/>
    <n v="225"/>
    <n v="0"/>
    <n v="73638.802167016096"/>
  </r>
  <r>
    <x v="173"/>
    <x v="4"/>
    <x v="33"/>
    <x v="0"/>
    <x v="1"/>
    <x v="1898"/>
    <x v="25"/>
    <s v="NAKİT"/>
    <n v="0.25"/>
    <n v="400"/>
    <n v="0"/>
    <n v="0"/>
    <m/>
    <m/>
    <m/>
    <m/>
    <n v="100"/>
    <n v="0"/>
    <n v="73738.802167016096"/>
  </r>
  <r>
    <x v="173"/>
    <x v="4"/>
    <x v="29"/>
    <x v="0"/>
    <x v="1"/>
    <x v="1898"/>
    <x v="25"/>
    <s v="NAKİT"/>
    <n v="3.3333333333333333E-2"/>
    <n v="750"/>
    <n v="0"/>
    <n v="0"/>
    <m/>
    <m/>
    <m/>
    <m/>
    <n v="25"/>
    <n v="0"/>
    <n v="73763.802167016096"/>
  </r>
  <r>
    <x v="173"/>
    <x v="4"/>
    <x v="250"/>
    <x v="0"/>
    <x v="1"/>
    <x v="1899"/>
    <x v="25"/>
    <s v="NAKİT"/>
    <n v="1"/>
    <n v="130"/>
    <n v="0"/>
    <n v="0"/>
    <m/>
    <m/>
    <m/>
    <m/>
    <n v="130"/>
    <n v="0"/>
    <n v="73893.802167016096"/>
  </r>
  <r>
    <x v="173"/>
    <x v="4"/>
    <x v="29"/>
    <x v="0"/>
    <x v="1"/>
    <x v="1899"/>
    <x v="25"/>
    <s v="NAKİT"/>
    <n v="7.1999999999999995E-2"/>
    <n v="750"/>
    <n v="0"/>
    <n v="0"/>
    <m/>
    <m/>
    <m/>
    <m/>
    <n v="53.999999999999993"/>
    <n v="0"/>
    <n v="73947.802167016096"/>
  </r>
  <r>
    <x v="173"/>
    <x v="4"/>
    <x v="382"/>
    <x v="0"/>
    <x v="1"/>
    <x v="1900"/>
    <x v="206"/>
    <s v="NAKİT"/>
    <n v="1"/>
    <n v="70"/>
    <n v="0"/>
    <n v="0"/>
    <m/>
    <m/>
    <m/>
    <m/>
    <n v="70"/>
    <n v="0"/>
    <n v="74017.802167016096"/>
  </r>
  <r>
    <x v="173"/>
    <x v="4"/>
    <x v="65"/>
    <x v="0"/>
    <x v="5"/>
    <x v="1901"/>
    <x v="25"/>
    <s v="POS"/>
    <n v="3.5999999999999997E-2"/>
    <n v="750"/>
    <n v="26.999999999999996"/>
    <n v="0"/>
    <m/>
    <m/>
    <m/>
    <m/>
    <n v="0"/>
    <n v="0"/>
    <n v="74017.802167016096"/>
  </r>
  <r>
    <x v="173"/>
    <x v="4"/>
    <x v="89"/>
    <x v="0"/>
    <x v="5"/>
    <x v="1901"/>
    <x v="25"/>
    <s v="POS"/>
    <n v="0.12"/>
    <n v="920"/>
    <n v="110.39999999999999"/>
    <n v="0"/>
    <m/>
    <m/>
    <m/>
    <m/>
    <n v="0"/>
    <n v="0"/>
    <n v="74017.802167016096"/>
  </r>
  <r>
    <x v="173"/>
    <x v="4"/>
    <x v="124"/>
    <x v="0"/>
    <x v="5"/>
    <x v="1901"/>
    <x v="25"/>
    <s v="POS"/>
    <n v="0.1"/>
    <n v="900"/>
    <n v="90"/>
    <n v="0"/>
    <m/>
    <m/>
    <m/>
    <m/>
    <n v="0"/>
    <n v="0"/>
    <n v="74017.802167016096"/>
  </r>
  <r>
    <x v="173"/>
    <x v="4"/>
    <x v="27"/>
    <x v="0"/>
    <x v="5"/>
    <x v="1901"/>
    <x v="25"/>
    <s v="POS"/>
    <n v="0.42"/>
    <n v="200"/>
    <n v="84"/>
    <n v="0"/>
    <m/>
    <m/>
    <m/>
    <m/>
    <n v="0"/>
    <n v="0"/>
    <n v="74017.802167016096"/>
  </r>
  <r>
    <x v="173"/>
    <x v="4"/>
    <x v="292"/>
    <x v="0"/>
    <x v="1"/>
    <x v="1901"/>
    <x v="25"/>
    <s v="NAKİT"/>
    <n v="1"/>
    <n v="350"/>
    <n v="0"/>
    <n v="0"/>
    <m/>
    <m/>
    <m/>
    <m/>
    <n v="350"/>
    <n v="0"/>
    <n v="74367.802167016096"/>
  </r>
  <r>
    <x v="173"/>
    <x v="4"/>
    <x v="132"/>
    <x v="0"/>
    <x v="5"/>
    <x v="1901"/>
    <x v="25"/>
    <s v="POS"/>
    <n v="1"/>
    <n v="220"/>
    <n v="220"/>
    <n v="0"/>
    <m/>
    <m/>
    <m/>
    <m/>
    <n v="0"/>
    <n v="0"/>
    <n v="74367.802167016096"/>
  </r>
  <r>
    <x v="173"/>
    <x v="4"/>
    <x v="27"/>
    <x v="0"/>
    <x v="1"/>
    <x v="1901"/>
    <x v="25"/>
    <s v="NAKİT"/>
    <n v="0.25"/>
    <n v="400"/>
    <n v="0"/>
    <n v="0"/>
    <m/>
    <m/>
    <m/>
    <m/>
    <n v="100"/>
    <n v="0"/>
    <n v="74467.802167016096"/>
  </r>
  <r>
    <x v="173"/>
    <x v="4"/>
    <x v="44"/>
    <x v="0"/>
    <x v="5"/>
    <x v="1902"/>
    <x v="25"/>
    <s v="POS"/>
    <n v="1"/>
    <n v="65"/>
    <n v="65"/>
    <n v="0"/>
    <m/>
    <m/>
    <m/>
    <m/>
    <n v="0"/>
    <n v="0"/>
    <n v="74467.802167016096"/>
  </r>
  <r>
    <x v="173"/>
    <x v="4"/>
    <x v="316"/>
    <x v="0"/>
    <x v="5"/>
    <x v="1902"/>
    <x v="25"/>
    <s v="POS"/>
    <n v="1"/>
    <n v="180"/>
    <n v="180"/>
    <n v="0"/>
    <m/>
    <m/>
    <m/>
    <m/>
    <n v="0"/>
    <n v="0"/>
    <n v="74467.802167016096"/>
  </r>
  <r>
    <x v="173"/>
    <x v="4"/>
    <x v="395"/>
    <x v="0"/>
    <x v="5"/>
    <x v="1902"/>
    <x v="25"/>
    <s v="POS"/>
    <n v="1.68"/>
    <n v="65"/>
    <n v="109.2"/>
    <n v="0"/>
    <m/>
    <m/>
    <m/>
    <m/>
    <n v="0"/>
    <n v="0"/>
    <n v="74467.802167016096"/>
  </r>
  <r>
    <x v="173"/>
    <x v="4"/>
    <x v="55"/>
    <x v="0"/>
    <x v="5"/>
    <x v="1902"/>
    <x v="25"/>
    <s v="POS"/>
    <n v="1"/>
    <n v="200"/>
    <n v="200"/>
    <n v="0"/>
    <m/>
    <m/>
    <m/>
    <m/>
    <n v="0"/>
    <n v="0"/>
    <n v="74467.802167016096"/>
  </r>
  <r>
    <x v="173"/>
    <x v="4"/>
    <x v="27"/>
    <x v="0"/>
    <x v="5"/>
    <x v="1902"/>
    <x v="25"/>
    <s v="POS"/>
    <n v="6.2E-2"/>
    <n v="400"/>
    <n v="24.8"/>
    <n v="0"/>
    <m/>
    <m/>
    <m/>
    <m/>
    <n v="0"/>
    <n v="0"/>
    <n v="74467.802167016096"/>
  </r>
  <r>
    <x v="173"/>
    <x v="4"/>
    <x v="28"/>
    <x v="0"/>
    <x v="5"/>
    <x v="1902"/>
    <x v="25"/>
    <s v="POS"/>
    <n v="0.16800000000000001"/>
    <n v="500"/>
    <n v="84"/>
    <n v="0"/>
    <m/>
    <m/>
    <m/>
    <m/>
    <n v="0"/>
    <n v="0"/>
    <n v="74467.802167016096"/>
  </r>
  <r>
    <x v="173"/>
    <x v="4"/>
    <x v="25"/>
    <x v="0"/>
    <x v="5"/>
    <x v="1902"/>
    <x v="25"/>
    <s v="POS"/>
    <n v="0.104"/>
    <n v="400"/>
    <n v="41.6"/>
    <n v="0"/>
    <m/>
    <m/>
    <m/>
    <m/>
    <n v="0"/>
    <n v="0"/>
    <n v="74467.802167016096"/>
  </r>
  <r>
    <x v="173"/>
    <x v="4"/>
    <x v="31"/>
    <x v="0"/>
    <x v="5"/>
    <x v="1902"/>
    <x v="25"/>
    <s v="POS"/>
    <n v="0.20200000000000001"/>
    <n v="400"/>
    <n v="80.800000000000011"/>
    <n v="0"/>
    <m/>
    <m/>
    <m/>
    <m/>
    <n v="0"/>
    <n v="0"/>
    <n v="74467.802167016096"/>
  </r>
  <r>
    <x v="173"/>
    <x v="4"/>
    <x v="30"/>
    <x v="0"/>
    <x v="5"/>
    <x v="1902"/>
    <x v="25"/>
    <s v="POS"/>
    <n v="0.106"/>
    <n v="450"/>
    <n v="47.699999999999996"/>
    <n v="0"/>
    <m/>
    <m/>
    <m/>
    <m/>
    <n v="0"/>
    <n v="0"/>
    <n v="74467.802167016096"/>
  </r>
  <r>
    <x v="173"/>
    <x v="4"/>
    <x v="24"/>
    <x v="0"/>
    <x v="5"/>
    <x v="1902"/>
    <x v="25"/>
    <s v="POS"/>
    <n v="0.11799999999999999"/>
    <n v="600"/>
    <n v="70.8"/>
    <n v="0"/>
    <m/>
    <m/>
    <m/>
    <m/>
    <n v="0"/>
    <n v="0"/>
    <n v="74467.802167016096"/>
  </r>
  <r>
    <x v="173"/>
    <x v="4"/>
    <x v="212"/>
    <x v="0"/>
    <x v="5"/>
    <x v="1902"/>
    <x v="25"/>
    <s v="POS"/>
    <n v="0.37"/>
    <n v="530"/>
    <n v="196.1"/>
    <n v="0"/>
    <m/>
    <m/>
    <m/>
    <m/>
    <n v="0"/>
    <n v="0"/>
    <n v="74467.802167016096"/>
  </r>
  <r>
    <x v="173"/>
    <x v="10"/>
    <x v="0"/>
    <x v="0"/>
    <x v="5"/>
    <x v="2"/>
    <x v="207"/>
    <s v="POS"/>
    <n v="1"/>
    <n v="1483.7"/>
    <n v="0"/>
    <n v="1483.7"/>
    <m/>
    <m/>
    <m/>
    <m/>
    <n v="1483.7"/>
    <n v="0"/>
    <n v="75951.502167016093"/>
  </r>
  <r>
    <x v="173"/>
    <x v="1"/>
    <x v="0"/>
    <x v="13"/>
    <x v="1"/>
    <x v="2"/>
    <x v="207"/>
    <s v="NAKİT"/>
    <n v="1"/>
    <n v="1483.7"/>
    <n v="0"/>
    <n v="0"/>
    <m/>
    <m/>
    <m/>
    <m/>
    <n v="0"/>
    <n v="1483.7"/>
    <n v="74467.802167016096"/>
  </r>
  <r>
    <x v="174"/>
    <x v="4"/>
    <x v="157"/>
    <x v="0"/>
    <x v="1"/>
    <x v="1898"/>
    <x v="25"/>
    <s v="NAKİT"/>
    <n v="0.5"/>
    <n v="140"/>
    <n v="0"/>
    <n v="0"/>
    <m/>
    <m/>
    <m/>
    <m/>
    <n v="70"/>
    <n v="0"/>
    <n v="74537.802167016096"/>
  </r>
  <r>
    <x v="174"/>
    <x v="4"/>
    <x v="210"/>
    <x v="0"/>
    <x v="1"/>
    <x v="1899"/>
    <x v="25"/>
    <s v="NAKİT"/>
    <n v="1"/>
    <n v="50"/>
    <n v="0"/>
    <n v="0"/>
    <m/>
    <m/>
    <m/>
    <m/>
    <n v="50"/>
    <n v="0"/>
    <n v="74587.802167016096"/>
  </r>
  <r>
    <x v="174"/>
    <x v="4"/>
    <x v="55"/>
    <x v="0"/>
    <x v="1"/>
    <x v="1900"/>
    <x v="129"/>
    <s v="NAKİT"/>
    <n v="1"/>
    <n v="100"/>
    <n v="0"/>
    <n v="0"/>
    <m/>
    <m/>
    <m/>
    <m/>
    <n v="100"/>
    <n v="0"/>
    <n v="74687.802167016096"/>
  </r>
  <r>
    <x v="174"/>
    <x v="4"/>
    <x v="395"/>
    <x v="0"/>
    <x v="1"/>
    <x v="1900"/>
    <x v="129"/>
    <s v="NAKİT"/>
    <n v="0.73399999999999999"/>
    <n v="35"/>
    <n v="0"/>
    <n v="0"/>
    <m/>
    <m/>
    <m/>
    <m/>
    <n v="25.689999999999998"/>
    <n v="0"/>
    <n v="74713.492167016098"/>
  </r>
  <r>
    <x v="174"/>
    <x v="4"/>
    <x v="280"/>
    <x v="0"/>
    <x v="1"/>
    <x v="1900"/>
    <x v="129"/>
    <s v="NAKİT"/>
    <n v="0.5"/>
    <n v="30"/>
    <n v="0"/>
    <n v="0"/>
    <m/>
    <m/>
    <m/>
    <m/>
    <n v="15"/>
    <n v="0"/>
    <n v="74728.492167016098"/>
  </r>
  <r>
    <x v="174"/>
    <x v="4"/>
    <x v="397"/>
    <x v="0"/>
    <x v="1"/>
    <x v="1900"/>
    <x v="129"/>
    <s v="NAKİT"/>
    <n v="0.1"/>
    <n v="305"/>
    <n v="0"/>
    <n v="0"/>
    <m/>
    <m/>
    <m/>
    <m/>
    <n v="30.5"/>
    <n v="0"/>
    <n v="74758.992167016098"/>
  </r>
  <r>
    <x v="174"/>
    <x v="4"/>
    <x v="101"/>
    <x v="0"/>
    <x v="1"/>
    <x v="1900"/>
    <x v="129"/>
    <s v="NAKİT"/>
    <n v="0.22727272727272727"/>
    <n v="130"/>
    <n v="0"/>
    <n v="0"/>
    <m/>
    <m/>
    <m/>
    <m/>
    <n v="29.545454545454543"/>
    <n v="0"/>
    <n v="74788.537621561554"/>
  </r>
  <r>
    <x v="174"/>
    <x v="4"/>
    <x v="404"/>
    <x v="0"/>
    <x v="1"/>
    <x v="1900"/>
    <x v="129"/>
    <s v="NAKİT"/>
    <n v="2"/>
    <n v="20"/>
    <n v="0"/>
    <n v="0"/>
    <m/>
    <m/>
    <m/>
    <m/>
    <n v="40"/>
    <n v="0"/>
    <n v="74828.537621561554"/>
  </r>
  <r>
    <x v="175"/>
    <x v="4"/>
    <x v="106"/>
    <x v="0"/>
    <x v="5"/>
    <x v="1901"/>
    <x v="25"/>
    <s v="POS"/>
    <n v="1"/>
    <n v="200"/>
    <n v="200"/>
    <n v="0"/>
    <m/>
    <m/>
    <m/>
    <m/>
    <n v="0"/>
    <n v="0"/>
    <n v="74828.537621561554"/>
  </r>
  <r>
    <x v="175"/>
    <x v="4"/>
    <x v="48"/>
    <x v="0"/>
    <x v="1"/>
    <x v="1902"/>
    <x v="25"/>
    <s v="NAKİT"/>
    <n v="0.05"/>
    <n v="1400"/>
    <n v="0"/>
    <n v="0"/>
    <m/>
    <m/>
    <m/>
    <m/>
    <n v="70"/>
    <n v="0"/>
    <n v="74898.537621561554"/>
  </r>
  <r>
    <x v="175"/>
    <x v="4"/>
    <x v="49"/>
    <x v="0"/>
    <x v="1"/>
    <x v="1902"/>
    <x v="25"/>
    <s v="NAKİT"/>
    <n v="0.1"/>
    <n v="600"/>
    <n v="0"/>
    <n v="0"/>
    <m/>
    <m/>
    <m/>
    <m/>
    <n v="60"/>
    <n v="0"/>
    <n v="74958.537621561554"/>
  </r>
  <r>
    <x v="175"/>
    <x v="4"/>
    <x v="210"/>
    <x v="0"/>
    <x v="1"/>
    <x v="1903"/>
    <x v="25"/>
    <s v="NAKİT"/>
    <n v="1"/>
    <n v="50"/>
    <n v="0"/>
    <n v="0"/>
    <m/>
    <m/>
    <m/>
    <m/>
    <n v="50"/>
    <n v="0"/>
    <n v="75008.537621561554"/>
  </r>
  <r>
    <x v="175"/>
    <x v="4"/>
    <x v="24"/>
    <x v="0"/>
    <x v="5"/>
    <x v="1904"/>
    <x v="25"/>
    <s v="POS"/>
    <n v="6.5000000000000002E-2"/>
    <n v="650"/>
    <n v="42.25"/>
    <n v="0"/>
    <m/>
    <m/>
    <m/>
    <m/>
    <n v="0"/>
    <n v="0"/>
    <n v="75008.537621561554"/>
  </r>
  <r>
    <x v="175"/>
    <x v="4"/>
    <x v="70"/>
    <x v="0"/>
    <x v="1"/>
    <x v="1905"/>
    <x v="129"/>
    <s v="NAKİT"/>
    <n v="0.2608695652173913"/>
    <n v="140"/>
    <n v="0"/>
    <n v="0"/>
    <m/>
    <m/>
    <m/>
    <m/>
    <n v="36.521739130434781"/>
    <n v="0"/>
    <n v="75045.059360691987"/>
  </r>
  <r>
    <x v="175"/>
    <x v="4"/>
    <x v="36"/>
    <x v="0"/>
    <x v="1"/>
    <x v="1906"/>
    <x v="25"/>
    <s v="NAKİT"/>
    <n v="0.27777777777777779"/>
    <n v="180"/>
    <n v="0"/>
    <n v="0"/>
    <m/>
    <m/>
    <m/>
    <m/>
    <n v="50"/>
    <n v="0"/>
    <n v="75095.059360691987"/>
  </r>
  <r>
    <x v="175"/>
    <x v="4"/>
    <x v="25"/>
    <x v="0"/>
    <x v="1"/>
    <x v="1906"/>
    <x v="25"/>
    <s v="NAKİT"/>
    <n v="0.125"/>
    <n v="400"/>
    <n v="0"/>
    <n v="0"/>
    <m/>
    <m/>
    <m/>
    <m/>
    <n v="50"/>
    <n v="0"/>
    <n v="75145.059360691987"/>
  </r>
  <r>
    <x v="175"/>
    <x v="4"/>
    <x v="32"/>
    <x v="0"/>
    <x v="1"/>
    <x v="1906"/>
    <x v="25"/>
    <s v="NAKİT"/>
    <n v="6.25E-2"/>
    <n v="400"/>
    <n v="0"/>
    <n v="0"/>
    <m/>
    <m/>
    <m/>
    <m/>
    <n v="25"/>
    <n v="0"/>
    <n v="75170.059360691987"/>
  </r>
  <r>
    <x v="175"/>
    <x v="4"/>
    <x v="161"/>
    <x v="0"/>
    <x v="1"/>
    <x v="1906"/>
    <x v="25"/>
    <s v="NAKİT"/>
    <n v="6.25E-2"/>
    <n v="400"/>
    <n v="0"/>
    <n v="0"/>
    <m/>
    <m/>
    <m/>
    <m/>
    <n v="25"/>
    <n v="0"/>
    <n v="75195.059360691987"/>
  </r>
  <r>
    <x v="175"/>
    <x v="4"/>
    <x v="24"/>
    <x v="0"/>
    <x v="1"/>
    <x v="1906"/>
    <x v="25"/>
    <s v="NAKİT"/>
    <n v="7.6923076923076927E-2"/>
    <n v="650"/>
    <n v="0"/>
    <n v="0"/>
    <m/>
    <m/>
    <m/>
    <m/>
    <n v="50"/>
    <n v="0"/>
    <n v="75245.059360691987"/>
  </r>
  <r>
    <x v="175"/>
    <x v="4"/>
    <x v="398"/>
    <x v="0"/>
    <x v="1"/>
    <x v="1907"/>
    <x v="25"/>
    <s v="NAKİT"/>
    <n v="0.27906976744186046"/>
    <n v="430"/>
    <n v="0"/>
    <n v="0"/>
    <m/>
    <m/>
    <m/>
    <m/>
    <n v="120"/>
    <n v="0"/>
    <n v="75365.059360691987"/>
  </r>
  <r>
    <x v="175"/>
    <x v="4"/>
    <x v="50"/>
    <x v="0"/>
    <x v="1"/>
    <x v="1908"/>
    <x v="25"/>
    <s v="NAKİT"/>
    <n v="0.08"/>
    <n v="750"/>
    <n v="0"/>
    <n v="0"/>
    <m/>
    <m/>
    <m/>
    <m/>
    <n v="60"/>
    <n v="0"/>
    <n v="75425.059360691987"/>
  </r>
  <r>
    <x v="176"/>
    <x v="4"/>
    <x v="56"/>
    <x v="0"/>
    <x v="1"/>
    <x v="1909"/>
    <x v="25"/>
    <s v="NAKİT"/>
    <n v="2"/>
    <n v="200"/>
    <n v="0"/>
    <n v="0"/>
    <m/>
    <m/>
    <m/>
    <m/>
    <n v="400"/>
    <n v="0"/>
    <n v="75825.059360691987"/>
  </r>
  <r>
    <x v="176"/>
    <x v="4"/>
    <x v="55"/>
    <x v="0"/>
    <x v="1"/>
    <x v="1909"/>
    <x v="25"/>
    <s v="NAKİT"/>
    <n v="1"/>
    <n v="200"/>
    <n v="0"/>
    <n v="0"/>
    <m/>
    <m/>
    <m/>
    <m/>
    <n v="200"/>
    <n v="0"/>
    <n v="76025.059360691987"/>
  </r>
  <r>
    <x v="176"/>
    <x v="4"/>
    <x v="24"/>
    <x v="0"/>
    <x v="5"/>
    <x v="1910"/>
    <x v="25"/>
    <s v="POS"/>
    <n v="0.18461538461538463"/>
    <n v="650"/>
    <n v="120"/>
    <n v="0"/>
    <m/>
    <m/>
    <m/>
    <m/>
    <n v="0"/>
    <n v="0"/>
    <n v="76025.059360691987"/>
  </r>
  <r>
    <x v="176"/>
    <x v="4"/>
    <x v="57"/>
    <x v="0"/>
    <x v="1"/>
    <x v="1910"/>
    <x v="25"/>
    <s v="NAKİT"/>
    <n v="0.5"/>
    <n v="150"/>
    <n v="0"/>
    <n v="0"/>
    <m/>
    <m/>
    <m/>
    <m/>
    <n v="75"/>
    <n v="0"/>
    <n v="76100.059360691987"/>
  </r>
  <r>
    <x v="176"/>
    <x v="4"/>
    <x v="99"/>
    <x v="0"/>
    <x v="5"/>
    <x v="1911"/>
    <x v="25"/>
    <s v="POS"/>
    <n v="0.05"/>
    <n v="900"/>
    <n v="45"/>
    <n v="0"/>
    <m/>
    <m/>
    <m/>
    <m/>
    <n v="0"/>
    <n v="0"/>
    <n v="76100.059360691987"/>
  </r>
  <r>
    <x v="176"/>
    <x v="4"/>
    <x v="306"/>
    <x v="0"/>
    <x v="5"/>
    <x v="1911"/>
    <x v="25"/>
    <s v="POS"/>
    <n v="0.1"/>
    <n v="900"/>
    <n v="90"/>
    <n v="0"/>
    <m/>
    <m/>
    <m/>
    <m/>
    <n v="0"/>
    <n v="0"/>
    <n v="76100.059360691987"/>
  </r>
  <r>
    <x v="176"/>
    <x v="4"/>
    <x v="58"/>
    <x v="0"/>
    <x v="1"/>
    <x v="1912"/>
    <x v="25"/>
    <s v="NAKİT"/>
    <n v="0.5"/>
    <n v="250"/>
    <n v="0"/>
    <n v="0"/>
    <m/>
    <m/>
    <m/>
    <m/>
    <n v="125"/>
    <n v="0"/>
    <n v="76225.059360691987"/>
  </r>
  <r>
    <x v="176"/>
    <x v="4"/>
    <x v="124"/>
    <x v="0"/>
    <x v="1"/>
    <x v="1913"/>
    <x v="25"/>
    <s v="NAKİT"/>
    <n v="0.1"/>
    <n v="900"/>
    <n v="0"/>
    <n v="0"/>
    <m/>
    <m/>
    <m/>
    <m/>
    <n v="90"/>
    <n v="0"/>
    <n v="76315.059360691987"/>
  </r>
  <r>
    <x v="176"/>
    <x v="4"/>
    <x v="61"/>
    <x v="0"/>
    <x v="1"/>
    <x v="1914"/>
    <x v="25"/>
    <s v="NAKİT"/>
    <n v="3.2000000000000001E-2"/>
    <n v="770"/>
    <n v="0"/>
    <n v="0"/>
    <m/>
    <m/>
    <m/>
    <m/>
    <n v="24.64"/>
    <n v="0"/>
    <n v="76339.699360691986"/>
  </r>
  <r>
    <x v="176"/>
    <x v="4"/>
    <x v="58"/>
    <x v="0"/>
    <x v="5"/>
    <x v="1915"/>
    <x v="25"/>
    <s v="POS"/>
    <n v="1"/>
    <n v="230"/>
    <n v="230"/>
    <n v="0"/>
    <m/>
    <m/>
    <m/>
    <m/>
    <n v="0"/>
    <n v="0"/>
    <n v="76339.699360691986"/>
  </r>
  <r>
    <x v="176"/>
    <x v="4"/>
    <x v="384"/>
    <x v="0"/>
    <x v="5"/>
    <x v="1916"/>
    <x v="25"/>
    <s v="POS"/>
    <n v="1"/>
    <n v="295"/>
    <n v="295"/>
    <n v="0"/>
    <m/>
    <m/>
    <m/>
    <m/>
    <n v="0"/>
    <n v="0"/>
    <n v="76339.699360691986"/>
  </r>
  <r>
    <x v="176"/>
    <x v="4"/>
    <x v="441"/>
    <x v="0"/>
    <x v="5"/>
    <x v="1916"/>
    <x v="25"/>
    <s v="POS"/>
    <n v="0.26"/>
    <n v="250"/>
    <n v="65"/>
    <n v="0"/>
    <m/>
    <m/>
    <m/>
    <m/>
    <n v="0"/>
    <n v="0"/>
    <n v="76339.699360691986"/>
  </r>
  <r>
    <x v="176"/>
    <x v="4"/>
    <x v="360"/>
    <x v="0"/>
    <x v="1"/>
    <x v="1917"/>
    <x v="25"/>
    <s v="NAKİT"/>
    <n v="0.16666666666666666"/>
    <n v="600"/>
    <n v="0"/>
    <n v="0"/>
    <m/>
    <m/>
    <m/>
    <m/>
    <n v="100"/>
    <n v="0"/>
    <n v="76439.699360691986"/>
  </r>
  <r>
    <x v="176"/>
    <x v="4"/>
    <x v="28"/>
    <x v="0"/>
    <x v="1"/>
    <x v="1918"/>
    <x v="25"/>
    <s v="NAKİT"/>
    <n v="7.0000000000000007E-2"/>
    <n v="500"/>
    <n v="0"/>
    <n v="0"/>
    <m/>
    <m/>
    <m/>
    <m/>
    <n v="35"/>
    <n v="0"/>
    <n v="76474.699360691986"/>
  </r>
  <r>
    <x v="176"/>
    <x v="4"/>
    <x v="23"/>
    <x v="0"/>
    <x v="1"/>
    <x v="1918"/>
    <x v="25"/>
    <s v="NAKİT"/>
    <n v="9.7500000000000003E-2"/>
    <n v="400"/>
    <n v="0"/>
    <n v="0"/>
    <m/>
    <m/>
    <m/>
    <m/>
    <n v="39"/>
    <n v="0"/>
    <n v="76513.699360691986"/>
  </r>
  <r>
    <x v="176"/>
    <x v="4"/>
    <x v="113"/>
    <x v="0"/>
    <x v="5"/>
    <x v="1919"/>
    <x v="25"/>
    <s v="POS"/>
    <n v="0.1"/>
    <n v="1350"/>
    <n v="135"/>
    <n v="0"/>
    <m/>
    <m/>
    <m/>
    <m/>
    <n v="0"/>
    <n v="0"/>
    <n v="76513.699360691986"/>
  </r>
  <r>
    <x v="176"/>
    <x v="4"/>
    <x v="232"/>
    <x v="0"/>
    <x v="1"/>
    <x v="1920"/>
    <x v="25"/>
    <s v="NAKİT"/>
    <n v="1"/>
    <n v="300"/>
    <n v="0"/>
    <n v="0"/>
    <m/>
    <m/>
    <m/>
    <m/>
    <n v="300"/>
    <n v="0"/>
    <n v="76813.699360691986"/>
  </r>
  <r>
    <x v="176"/>
    <x v="4"/>
    <x v="237"/>
    <x v="0"/>
    <x v="1"/>
    <x v="1921"/>
    <x v="25"/>
    <s v="NAKİT"/>
    <n v="1"/>
    <n v="170"/>
    <n v="0"/>
    <n v="0"/>
    <m/>
    <m/>
    <m/>
    <m/>
    <n v="170"/>
    <n v="0"/>
    <n v="76983.699360691986"/>
  </r>
  <r>
    <x v="177"/>
    <x v="4"/>
    <x v="27"/>
    <x v="0"/>
    <x v="1"/>
    <x v="1922"/>
    <x v="25"/>
    <s v="NAKİT"/>
    <n v="7.3999999999999996E-2"/>
    <n v="400"/>
    <n v="0"/>
    <n v="0"/>
    <m/>
    <m/>
    <m/>
    <m/>
    <n v="29.599999999999998"/>
    <n v="0"/>
    <n v="77013.299360691992"/>
  </r>
  <r>
    <x v="177"/>
    <x v="4"/>
    <x v="289"/>
    <x v="0"/>
    <x v="1"/>
    <x v="1922"/>
    <x v="25"/>
    <s v="NAKİT"/>
    <n v="0.17799999999999999"/>
    <n v="360"/>
    <n v="0"/>
    <n v="0"/>
    <m/>
    <m/>
    <m/>
    <m/>
    <n v="64.08"/>
    <n v="0"/>
    <n v="77077.379360691993"/>
  </r>
  <r>
    <x v="177"/>
    <x v="4"/>
    <x v="151"/>
    <x v="0"/>
    <x v="1"/>
    <x v="1922"/>
    <x v="25"/>
    <s v="NAKİT"/>
    <n v="0.1"/>
    <n v="750"/>
    <n v="0"/>
    <n v="0"/>
    <m/>
    <m/>
    <m/>
    <m/>
    <n v="75"/>
    <n v="0"/>
    <n v="77152.379360691993"/>
  </r>
  <r>
    <x v="177"/>
    <x v="4"/>
    <x v="50"/>
    <x v="0"/>
    <x v="1"/>
    <x v="1922"/>
    <x v="25"/>
    <s v="NAKİT"/>
    <n v="0.08"/>
    <n v="750"/>
    <n v="0"/>
    <n v="0"/>
    <m/>
    <m/>
    <m/>
    <m/>
    <n v="60"/>
    <n v="0"/>
    <n v="77212.379360691993"/>
  </r>
  <r>
    <x v="177"/>
    <x v="4"/>
    <x v="29"/>
    <x v="0"/>
    <x v="1"/>
    <x v="1922"/>
    <x v="25"/>
    <s v="NAKİT"/>
    <n v="3.5999999999999997E-2"/>
    <n v="750"/>
    <n v="0"/>
    <n v="0"/>
    <m/>
    <m/>
    <m/>
    <m/>
    <n v="26.999999999999996"/>
    <n v="0"/>
    <n v="77239.379360691993"/>
  </r>
  <r>
    <x v="177"/>
    <x v="4"/>
    <x v="61"/>
    <x v="0"/>
    <x v="1"/>
    <x v="1922"/>
    <x v="25"/>
    <s v="NAKİT"/>
    <n v="0.08"/>
    <n v="770"/>
    <n v="0"/>
    <n v="0"/>
    <m/>
    <m/>
    <m/>
    <m/>
    <n v="61.6"/>
    <n v="0"/>
    <n v="77300.979360691999"/>
  </r>
  <r>
    <x v="177"/>
    <x v="4"/>
    <x v="24"/>
    <x v="0"/>
    <x v="1"/>
    <x v="1922"/>
    <x v="25"/>
    <s v="NAKİT"/>
    <n v="0.112"/>
    <n v="650"/>
    <n v="0"/>
    <n v="0"/>
    <m/>
    <m/>
    <m/>
    <m/>
    <n v="72.8"/>
    <n v="0"/>
    <n v="77373.779360692002"/>
  </r>
  <r>
    <x v="177"/>
    <x v="4"/>
    <x v="31"/>
    <x v="0"/>
    <x v="1"/>
    <x v="1922"/>
    <x v="25"/>
    <s v="NAKİT"/>
    <n v="0.122"/>
    <n v="400"/>
    <n v="0"/>
    <n v="0"/>
    <m/>
    <m/>
    <m/>
    <m/>
    <n v="48.8"/>
    <n v="0"/>
    <n v="77422.579360692005"/>
  </r>
  <r>
    <x v="177"/>
    <x v="4"/>
    <x v="36"/>
    <x v="0"/>
    <x v="1"/>
    <x v="1922"/>
    <x v="25"/>
    <s v="NAKİT"/>
    <n v="0.27777777777777779"/>
    <n v="180"/>
    <n v="0"/>
    <n v="0"/>
    <m/>
    <m/>
    <m/>
    <m/>
    <n v="50"/>
    <n v="0"/>
    <n v="77472.579360692005"/>
  </r>
  <r>
    <x v="177"/>
    <x v="4"/>
    <x v="55"/>
    <x v="0"/>
    <x v="5"/>
    <x v="1923"/>
    <x v="25"/>
    <s v="POS"/>
    <n v="0.55000000000000004"/>
    <n v="180"/>
    <n v="99.000000000000014"/>
    <n v="0"/>
    <m/>
    <m/>
    <m/>
    <m/>
    <n v="0"/>
    <n v="0"/>
    <n v="77472.579360692005"/>
  </r>
  <r>
    <x v="177"/>
    <x v="4"/>
    <x v="57"/>
    <x v="0"/>
    <x v="5"/>
    <x v="1923"/>
    <x v="25"/>
    <s v="POS"/>
    <n v="1"/>
    <n v="130"/>
    <n v="130"/>
    <n v="0"/>
    <m/>
    <m/>
    <m/>
    <m/>
    <n v="0"/>
    <n v="0"/>
    <n v="77472.579360692005"/>
  </r>
  <r>
    <x v="177"/>
    <x v="4"/>
    <x v="142"/>
    <x v="0"/>
    <x v="5"/>
    <x v="1923"/>
    <x v="25"/>
    <s v="POS"/>
    <n v="0.34200000000000003"/>
    <n v="246"/>
    <n v="84.132000000000005"/>
    <n v="0"/>
    <m/>
    <m/>
    <m/>
    <m/>
    <n v="0"/>
    <n v="0"/>
    <n v="77472.579360692005"/>
  </r>
  <r>
    <x v="177"/>
    <x v="4"/>
    <x v="68"/>
    <x v="0"/>
    <x v="5"/>
    <x v="1923"/>
    <x v="25"/>
    <s v="POS"/>
    <n v="0.184"/>
    <n v="750"/>
    <n v="138"/>
    <n v="0"/>
    <m/>
    <m/>
    <m/>
    <m/>
    <n v="0"/>
    <n v="0"/>
    <n v="77472.579360692005"/>
  </r>
  <r>
    <x v="177"/>
    <x v="4"/>
    <x v="56"/>
    <x v="0"/>
    <x v="5"/>
    <x v="1923"/>
    <x v="25"/>
    <s v="POS"/>
    <n v="0.55000000000000004"/>
    <n v="180"/>
    <n v="99.000000000000014"/>
    <n v="0"/>
    <m/>
    <m/>
    <m/>
    <m/>
    <n v="0"/>
    <n v="0"/>
    <n v="77472.579360692005"/>
  </r>
  <r>
    <x v="177"/>
    <x v="4"/>
    <x v="296"/>
    <x v="0"/>
    <x v="5"/>
    <x v="1924"/>
    <x v="25"/>
    <s v="POS"/>
    <n v="2"/>
    <n v="135"/>
    <n v="270"/>
    <n v="0"/>
    <m/>
    <m/>
    <m/>
    <m/>
    <n v="0"/>
    <n v="0"/>
    <n v="77472.579360692005"/>
  </r>
  <r>
    <x v="177"/>
    <x v="4"/>
    <x v="217"/>
    <x v="0"/>
    <x v="5"/>
    <x v="1924"/>
    <x v="25"/>
    <s v="POS"/>
    <n v="1"/>
    <n v="250"/>
    <n v="250"/>
    <n v="0"/>
    <m/>
    <m/>
    <m/>
    <m/>
    <n v="0"/>
    <n v="0"/>
    <n v="77472.579360692005"/>
  </r>
  <r>
    <x v="177"/>
    <x v="4"/>
    <x v="312"/>
    <x v="0"/>
    <x v="5"/>
    <x v="1924"/>
    <x v="25"/>
    <s v="POS"/>
    <n v="2"/>
    <n v="375"/>
    <n v="750"/>
    <n v="0"/>
    <m/>
    <m/>
    <m/>
    <m/>
    <n v="0"/>
    <n v="0"/>
    <n v="77472.579360692005"/>
  </r>
  <r>
    <x v="177"/>
    <x v="4"/>
    <x v="332"/>
    <x v="0"/>
    <x v="1"/>
    <x v="1925"/>
    <x v="25"/>
    <s v="NAKİT"/>
    <n v="1"/>
    <n v="310"/>
    <n v="0"/>
    <n v="0"/>
    <m/>
    <m/>
    <m/>
    <m/>
    <n v="310"/>
    <n v="0"/>
    <n v="77782.579360692005"/>
  </r>
  <r>
    <x v="177"/>
    <x v="4"/>
    <x v="18"/>
    <x v="0"/>
    <x v="1"/>
    <x v="1925"/>
    <x v="25"/>
    <s v="NAKİT"/>
    <n v="1"/>
    <n v="250"/>
    <n v="0"/>
    <n v="0"/>
    <m/>
    <m/>
    <m/>
    <m/>
    <n v="250"/>
    <n v="0"/>
    <n v="78032.579360692005"/>
  </r>
  <r>
    <x v="177"/>
    <x v="4"/>
    <x v="360"/>
    <x v="0"/>
    <x v="1"/>
    <x v="1926"/>
    <x v="25"/>
    <s v="NAKİT"/>
    <n v="1"/>
    <n v="600"/>
    <n v="0"/>
    <n v="0"/>
    <m/>
    <m/>
    <m/>
    <m/>
    <n v="600"/>
    <n v="0"/>
    <n v="78632.579360692005"/>
  </r>
  <r>
    <x v="177"/>
    <x v="4"/>
    <x v="18"/>
    <x v="0"/>
    <x v="5"/>
    <x v="1927"/>
    <x v="25"/>
    <s v="POS"/>
    <n v="0.5"/>
    <n v="250"/>
    <n v="125"/>
    <n v="0"/>
    <m/>
    <m/>
    <m/>
    <m/>
    <n v="0"/>
    <n v="0"/>
    <n v="78632.579360692005"/>
  </r>
  <r>
    <x v="177"/>
    <x v="4"/>
    <x v="58"/>
    <x v="0"/>
    <x v="5"/>
    <x v="1927"/>
    <x v="25"/>
    <s v="POS"/>
    <n v="0.5"/>
    <n v="250"/>
    <n v="125"/>
    <n v="0"/>
    <m/>
    <m/>
    <m/>
    <m/>
    <n v="0"/>
    <n v="0"/>
    <n v="78632.579360692005"/>
  </r>
  <r>
    <x v="177"/>
    <x v="4"/>
    <x v="57"/>
    <x v="0"/>
    <x v="1"/>
    <x v="1928"/>
    <x v="25"/>
    <s v="NAKİT"/>
    <n v="1"/>
    <n v="150"/>
    <n v="0"/>
    <n v="0"/>
    <m/>
    <m/>
    <m/>
    <m/>
    <n v="150"/>
    <n v="0"/>
    <n v="78782.579360692005"/>
  </r>
  <r>
    <x v="177"/>
    <x v="4"/>
    <x v="27"/>
    <x v="0"/>
    <x v="1"/>
    <x v="1928"/>
    <x v="25"/>
    <s v="NAKİT"/>
    <n v="7.4999999999999997E-2"/>
    <n v="400"/>
    <n v="0"/>
    <n v="0"/>
    <m/>
    <m/>
    <m/>
    <m/>
    <n v="30"/>
    <n v="0"/>
    <n v="78812.579360692005"/>
  </r>
  <r>
    <x v="177"/>
    <x v="4"/>
    <x v="33"/>
    <x v="0"/>
    <x v="1"/>
    <x v="1928"/>
    <x v="25"/>
    <s v="NAKİT"/>
    <n v="0.1075"/>
    <n v="400"/>
    <n v="0"/>
    <n v="0"/>
    <m/>
    <m/>
    <m/>
    <m/>
    <n v="43"/>
    <n v="0"/>
    <n v="78855.579360692005"/>
  </r>
  <r>
    <x v="177"/>
    <x v="4"/>
    <x v="29"/>
    <x v="0"/>
    <x v="5"/>
    <x v="1929"/>
    <x v="25"/>
    <s v="POS"/>
    <n v="7.3999999999999996E-2"/>
    <n v="750"/>
    <n v="55.5"/>
    <n v="0"/>
    <m/>
    <m/>
    <m/>
    <m/>
    <n v="0"/>
    <n v="0"/>
    <n v="78855.579360692005"/>
  </r>
  <r>
    <x v="177"/>
    <x v="4"/>
    <x v="161"/>
    <x v="0"/>
    <x v="5"/>
    <x v="1929"/>
    <x v="25"/>
    <s v="POS"/>
    <n v="0.13"/>
    <n v="400"/>
    <n v="52"/>
    <n v="0"/>
    <m/>
    <m/>
    <m/>
    <m/>
    <n v="0"/>
    <n v="0"/>
    <n v="78855.579360692005"/>
  </r>
  <r>
    <x v="177"/>
    <x v="4"/>
    <x v="40"/>
    <x v="0"/>
    <x v="5"/>
    <x v="1929"/>
    <x v="25"/>
    <s v="POS"/>
    <n v="0.126"/>
    <n v="140"/>
    <n v="17.64"/>
    <n v="0"/>
    <m/>
    <m/>
    <m/>
    <m/>
    <n v="0"/>
    <n v="0"/>
    <n v="78855.579360692005"/>
  </r>
  <r>
    <x v="177"/>
    <x v="4"/>
    <x v="23"/>
    <x v="0"/>
    <x v="5"/>
    <x v="1929"/>
    <x v="25"/>
    <s v="POS"/>
    <n v="4.8000000000000001E-2"/>
    <n v="300"/>
    <n v="14.4"/>
    <n v="0"/>
    <m/>
    <m/>
    <m/>
    <m/>
    <n v="0"/>
    <n v="0"/>
    <n v="78855.579360692005"/>
  </r>
  <r>
    <x v="177"/>
    <x v="4"/>
    <x v="18"/>
    <x v="0"/>
    <x v="5"/>
    <x v="1929"/>
    <x v="25"/>
    <s v="POS"/>
    <n v="1"/>
    <n v="250"/>
    <n v="250"/>
    <n v="0"/>
    <m/>
    <m/>
    <m/>
    <m/>
    <n v="0"/>
    <n v="0"/>
    <n v="78855.579360692005"/>
  </r>
  <r>
    <x v="177"/>
    <x v="4"/>
    <x v="56"/>
    <x v="0"/>
    <x v="5"/>
    <x v="1929"/>
    <x v="25"/>
    <s v="POS"/>
    <n v="0.44800000000000001"/>
    <n v="200"/>
    <n v="89.600000000000009"/>
    <n v="0"/>
    <m/>
    <m/>
    <m/>
    <m/>
    <n v="0"/>
    <n v="0"/>
    <n v="78855.579360692005"/>
  </r>
  <r>
    <x v="177"/>
    <x v="4"/>
    <x v="287"/>
    <x v="0"/>
    <x v="1"/>
    <x v="1930"/>
    <x v="25"/>
    <s v="NAKİT"/>
    <n v="2"/>
    <n v="50"/>
    <n v="0"/>
    <n v="0"/>
    <m/>
    <m/>
    <m/>
    <m/>
    <n v="100"/>
    <n v="0"/>
    <n v="78955.579360692005"/>
  </r>
  <r>
    <x v="177"/>
    <x v="4"/>
    <x v="405"/>
    <x v="0"/>
    <x v="1"/>
    <x v="1930"/>
    <x v="25"/>
    <s v="NAKİT"/>
    <n v="3"/>
    <n v="33.340000000000003"/>
    <n v="0"/>
    <n v="0"/>
    <m/>
    <m/>
    <m/>
    <m/>
    <n v="100.02000000000001"/>
    <n v="0"/>
    <n v="79055.599360692009"/>
  </r>
  <r>
    <x v="177"/>
    <x v="4"/>
    <x v="18"/>
    <x v="0"/>
    <x v="1"/>
    <x v="1931"/>
    <x v="25"/>
    <s v="NAKİT"/>
    <n v="0.5"/>
    <n v="250"/>
    <n v="0"/>
    <n v="0"/>
    <m/>
    <m/>
    <m/>
    <m/>
    <n v="125"/>
    <n v="0"/>
    <n v="79180.599360692009"/>
  </r>
  <r>
    <x v="177"/>
    <x v="4"/>
    <x v="58"/>
    <x v="0"/>
    <x v="1"/>
    <x v="1931"/>
    <x v="25"/>
    <s v="NAKİT"/>
    <n v="0.5"/>
    <n v="250"/>
    <n v="0"/>
    <n v="0"/>
    <m/>
    <m/>
    <m/>
    <m/>
    <n v="125"/>
    <n v="0"/>
    <n v="79305.599360692009"/>
  </r>
  <r>
    <x v="177"/>
    <x v="4"/>
    <x v="99"/>
    <x v="0"/>
    <x v="1"/>
    <x v="1931"/>
    <x v="25"/>
    <s v="NAKİT"/>
    <n v="0.05"/>
    <n v="900"/>
    <n v="0"/>
    <n v="0"/>
    <m/>
    <m/>
    <m/>
    <m/>
    <n v="45"/>
    <n v="0"/>
    <n v="79350.599360692009"/>
  </r>
  <r>
    <x v="177"/>
    <x v="4"/>
    <x v="61"/>
    <x v="0"/>
    <x v="1"/>
    <x v="1932"/>
    <x v="25"/>
    <s v="NAKİT"/>
    <n v="5.9740259740259739E-2"/>
    <n v="770"/>
    <n v="0"/>
    <n v="0"/>
    <m/>
    <m/>
    <m/>
    <m/>
    <n v="46"/>
    <n v="0"/>
    <n v="79396.599360692009"/>
  </r>
  <r>
    <x v="177"/>
    <x v="4"/>
    <x v="360"/>
    <x v="0"/>
    <x v="1"/>
    <x v="1933"/>
    <x v="25"/>
    <s v="NAKİT"/>
    <n v="1"/>
    <n v="600"/>
    <n v="0"/>
    <n v="0"/>
    <m/>
    <m/>
    <m/>
    <m/>
    <n v="600"/>
    <n v="0"/>
    <n v="79996.599360692009"/>
  </r>
  <r>
    <x v="177"/>
    <x v="4"/>
    <x v="59"/>
    <x v="0"/>
    <x v="1"/>
    <x v="1933"/>
    <x v="25"/>
    <s v="NAKİT"/>
    <n v="1"/>
    <n v="450"/>
    <n v="0"/>
    <n v="0"/>
    <m/>
    <m/>
    <m/>
    <m/>
    <n v="450"/>
    <n v="0"/>
    <n v="80446.599360692009"/>
  </r>
  <r>
    <x v="177"/>
    <x v="4"/>
    <x v="88"/>
    <x v="0"/>
    <x v="1"/>
    <x v="1933"/>
    <x v="25"/>
    <s v="NAKİT"/>
    <n v="0.05"/>
    <n v="1000"/>
    <n v="0"/>
    <n v="0"/>
    <m/>
    <m/>
    <m/>
    <m/>
    <n v="50"/>
    <n v="0"/>
    <n v="80496.599360692009"/>
  </r>
  <r>
    <x v="177"/>
    <x v="4"/>
    <x v="312"/>
    <x v="0"/>
    <x v="1"/>
    <x v="1933"/>
    <x v="194"/>
    <s v="NAKİT"/>
    <n v="1"/>
    <n v="350"/>
    <n v="0"/>
    <n v="0"/>
    <m/>
    <m/>
    <m/>
    <m/>
    <n v="350"/>
    <n v="0"/>
    <n v="80846.599360692009"/>
  </r>
  <r>
    <x v="177"/>
    <x v="4"/>
    <x v="89"/>
    <x v="0"/>
    <x v="5"/>
    <x v="1934"/>
    <x v="25"/>
    <s v="POS"/>
    <n v="0.191"/>
    <n v="1100"/>
    <n v="210.1"/>
    <n v="0"/>
    <m/>
    <m/>
    <m/>
    <m/>
    <n v="0"/>
    <n v="0"/>
    <n v="80846.599360692009"/>
  </r>
  <r>
    <x v="177"/>
    <x v="4"/>
    <x v="439"/>
    <x v="0"/>
    <x v="5"/>
    <x v="1934"/>
    <x v="25"/>
    <s v="POS"/>
    <n v="0.1"/>
    <n v="500"/>
    <n v="50"/>
    <n v="0"/>
    <m/>
    <m/>
    <m/>
    <m/>
    <n v="0"/>
    <n v="0"/>
    <n v="80846.599360692009"/>
  </r>
  <r>
    <x v="177"/>
    <x v="4"/>
    <x v="89"/>
    <x v="0"/>
    <x v="1"/>
    <x v="1935"/>
    <x v="25"/>
    <s v="NAKİT"/>
    <n v="0.188"/>
    <n v="1100"/>
    <n v="0"/>
    <n v="0"/>
    <m/>
    <m/>
    <m/>
    <m/>
    <n v="206.8"/>
    <n v="0"/>
    <n v="81053.399360692012"/>
  </r>
  <r>
    <x v="177"/>
    <x v="4"/>
    <x v="18"/>
    <x v="0"/>
    <x v="5"/>
    <x v="1936"/>
    <x v="25"/>
    <s v="POS"/>
    <n v="1"/>
    <n v="250"/>
    <n v="250"/>
    <n v="0"/>
    <m/>
    <m/>
    <m/>
    <m/>
    <n v="0"/>
    <n v="0"/>
    <n v="81053.399360692012"/>
  </r>
  <r>
    <x v="177"/>
    <x v="4"/>
    <x v="58"/>
    <x v="0"/>
    <x v="5"/>
    <x v="1936"/>
    <x v="25"/>
    <s v="POS"/>
    <n v="1"/>
    <n v="250"/>
    <n v="250"/>
    <n v="0"/>
    <m/>
    <m/>
    <m/>
    <m/>
    <n v="0"/>
    <n v="0"/>
    <n v="81053.399360692012"/>
  </r>
  <r>
    <x v="177"/>
    <x v="4"/>
    <x v="55"/>
    <x v="0"/>
    <x v="5"/>
    <x v="1937"/>
    <x v="25"/>
    <s v="POS"/>
    <n v="0.4"/>
    <n v="200"/>
    <n v="80"/>
    <n v="0"/>
    <m/>
    <m/>
    <m/>
    <m/>
    <n v="0"/>
    <n v="0"/>
    <n v="81053.399360692012"/>
  </r>
  <r>
    <x v="177"/>
    <x v="4"/>
    <x v="55"/>
    <x v="0"/>
    <x v="1"/>
    <x v="1937"/>
    <x v="25"/>
    <s v="NAKİT"/>
    <n v="0.5"/>
    <n v="200"/>
    <n v="0"/>
    <n v="0"/>
    <m/>
    <m/>
    <m/>
    <m/>
    <n v="100"/>
    <n v="0"/>
    <n v="81153.399360692012"/>
  </r>
  <r>
    <x v="177"/>
    <x v="1"/>
    <x v="0"/>
    <x v="2"/>
    <x v="1"/>
    <x v="2"/>
    <x v="208"/>
    <s v="NAKİT"/>
    <n v="1"/>
    <n v="22000"/>
    <n v="0"/>
    <n v="0"/>
    <m/>
    <m/>
    <m/>
    <m/>
    <n v="0"/>
    <n v="22000"/>
    <n v="59153.399360692012"/>
  </r>
  <r>
    <x v="178"/>
    <x v="4"/>
    <x v="154"/>
    <x v="0"/>
    <x v="1"/>
    <x v="1938"/>
    <x v="25"/>
    <s v="NAKİT"/>
    <n v="1"/>
    <n v="180"/>
    <n v="0"/>
    <n v="0"/>
    <m/>
    <m/>
    <m/>
    <m/>
    <n v="180"/>
    <n v="0"/>
    <n v="59333.399360692012"/>
  </r>
  <r>
    <x v="178"/>
    <x v="4"/>
    <x v="313"/>
    <x v="0"/>
    <x v="5"/>
    <x v="1939"/>
    <x v="25"/>
    <s v="POS"/>
    <n v="1"/>
    <n v="140"/>
    <n v="140"/>
    <n v="0"/>
    <m/>
    <m/>
    <m/>
    <m/>
    <n v="0"/>
    <n v="0"/>
    <n v="59333.399360692012"/>
  </r>
  <r>
    <x v="178"/>
    <x v="4"/>
    <x v="287"/>
    <x v="0"/>
    <x v="1"/>
    <x v="1940"/>
    <x v="25"/>
    <s v="NAKİT"/>
    <n v="1"/>
    <n v="65"/>
    <n v="0"/>
    <n v="0"/>
    <m/>
    <m/>
    <m/>
    <m/>
    <n v="65"/>
    <n v="0"/>
    <n v="59398.399360692012"/>
  </r>
  <r>
    <x v="178"/>
    <x v="4"/>
    <x v="59"/>
    <x v="0"/>
    <x v="1"/>
    <x v="1940"/>
    <x v="25"/>
    <s v="NAKİT"/>
    <n v="0.1"/>
    <n v="450"/>
    <n v="0"/>
    <n v="0"/>
    <m/>
    <m/>
    <m/>
    <m/>
    <n v="45"/>
    <n v="0"/>
    <n v="59443.399360692012"/>
  </r>
  <r>
    <x v="178"/>
    <x v="4"/>
    <x v="239"/>
    <x v="0"/>
    <x v="1"/>
    <x v="1941"/>
    <x v="25"/>
    <s v="NAKİT"/>
    <n v="0.25"/>
    <n v="400"/>
    <n v="0"/>
    <n v="0"/>
    <m/>
    <m/>
    <m/>
    <m/>
    <n v="100"/>
    <n v="0"/>
    <n v="59543.399360692012"/>
  </r>
  <r>
    <x v="178"/>
    <x v="4"/>
    <x v="312"/>
    <x v="0"/>
    <x v="5"/>
    <x v="1942"/>
    <x v="25"/>
    <s v="POS"/>
    <n v="0.316"/>
    <n v="350"/>
    <n v="110.6"/>
    <n v="0"/>
    <m/>
    <m/>
    <m/>
    <m/>
    <n v="0"/>
    <n v="0"/>
    <n v="59543.399360692012"/>
  </r>
  <r>
    <x v="178"/>
    <x v="4"/>
    <x v="318"/>
    <x v="0"/>
    <x v="1"/>
    <x v="1943"/>
    <x v="25"/>
    <s v="NAKİT"/>
    <n v="1"/>
    <n v="220"/>
    <n v="0"/>
    <n v="0"/>
    <m/>
    <m/>
    <m/>
    <m/>
    <n v="220"/>
    <n v="0"/>
    <n v="59763.399360692012"/>
  </r>
  <r>
    <x v="178"/>
    <x v="4"/>
    <x v="88"/>
    <x v="0"/>
    <x v="1"/>
    <x v="1943"/>
    <x v="25"/>
    <s v="NAKİT"/>
    <n v="0.05"/>
    <n v="1200"/>
    <n v="0"/>
    <n v="0"/>
    <m/>
    <m/>
    <m/>
    <m/>
    <n v="60"/>
    <n v="0"/>
    <n v="59823.399360692012"/>
  </r>
  <r>
    <x v="178"/>
    <x v="4"/>
    <x v="50"/>
    <x v="0"/>
    <x v="1"/>
    <x v="1943"/>
    <x v="25"/>
    <s v="NAKİT"/>
    <n v="0.08"/>
    <n v="750"/>
    <n v="0"/>
    <n v="0"/>
    <m/>
    <m/>
    <m/>
    <m/>
    <n v="60"/>
    <n v="0"/>
    <n v="59883.399360692012"/>
  </r>
  <r>
    <x v="178"/>
    <x v="4"/>
    <x v="24"/>
    <x v="0"/>
    <x v="1"/>
    <x v="1944"/>
    <x v="25"/>
    <s v="NAKİT"/>
    <n v="5.3846153846153849E-2"/>
    <n v="650"/>
    <n v="0"/>
    <n v="0"/>
    <m/>
    <m/>
    <m/>
    <m/>
    <n v="35"/>
    <n v="0"/>
    <n v="59918.399360692012"/>
  </r>
  <r>
    <x v="178"/>
    <x v="4"/>
    <x v="33"/>
    <x v="0"/>
    <x v="1"/>
    <x v="1944"/>
    <x v="25"/>
    <s v="NAKİT"/>
    <n v="0.125"/>
    <n v="400"/>
    <n v="0"/>
    <n v="0"/>
    <m/>
    <m/>
    <m/>
    <m/>
    <n v="50"/>
    <n v="0"/>
    <n v="59968.399360692012"/>
  </r>
  <r>
    <x v="178"/>
    <x v="4"/>
    <x v="28"/>
    <x v="0"/>
    <x v="1"/>
    <x v="1944"/>
    <x v="25"/>
    <s v="NAKİT"/>
    <n v="0.1"/>
    <n v="500"/>
    <n v="0"/>
    <n v="0"/>
    <m/>
    <m/>
    <m/>
    <m/>
    <n v="50"/>
    <n v="0"/>
    <n v="60018.399360692012"/>
  </r>
  <r>
    <x v="178"/>
    <x v="4"/>
    <x v="57"/>
    <x v="0"/>
    <x v="1"/>
    <x v="1944"/>
    <x v="25"/>
    <s v="NAKİT"/>
    <n v="1"/>
    <n v="150"/>
    <n v="0"/>
    <n v="0"/>
    <m/>
    <m/>
    <m/>
    <m/>
    <n v="150"/>
    <n v="0"/>
    <n v="60168.399360692012"/>
  </r>
  <r>
    <x v="178"/>
    <x v="4"/>
    <x v="257"/>
    <x v="0"/>
    <x v="1"/>
    <x v="1945"/>
    <x v="25"/>
    <s v="NAKİT"/>
    <n v="1"/>
    <n v="170"/>
    <n v="0"/>
    <n v="0"/>
    <m/>
    <m/>
    <m/>
    <m/>
    <n v="170"/>
    <n v="0"/>
    <n v="60338.399360692012"/>
  </r>
  <r>
    <x v="179"/>
    <x v="4"/>
    <x v="18"/>
    <x v="0"/>
    <x v="5"/>
    <x v="1946"/>
    <x v="25"/>
    <s v="POS"/>
    <n v="1"/>
    <n v="250"/>
    <n v="250"/>
    <n v="0"/>
    <m/>
    <m/>
    <m/>
    <m/>
    <n v="0"/>
    <n v="0"/>
    <n v="60338.399360692012"/>
  </r>
  <r>
    <x v="179"/>
    <x v="4"/>
    <x v="58"/>
    <x v="0"/>
    <x v="5"/>
    <x v="1946"/>
    <x v="25"/>
    <s v="POS"/>
    <n v="1"/>
    <n v="250"/>
    <n v="250"/>
    <n v="0"/>
    <m/>
    <m/>
    <m/>
    <m/>
    <n v="0"/>
    <n v="0"/>
    <n v="60338.399360692012"/>
  </r>
  <r>
    <x v="179"/>
    <x v="4"/>
    <x v="360"/>
    <x v="0"/>
    <x v="5"/>
    <x v="1946"/>
    <x v="25"/>
    <s v="POS"/>
    <n v="0.25"/>
    <n v="700"/>
    <n v="175"/>
    <n v="0"/>
    <m/>
    <m/>
    <m/>
    <m/>
    <n v="0"/>
    <n v="0"/>
    <n v="60338.399360692012"/>
  </r>
  <r>
    <x v="179"/>
    <x v="4"/>
    <x v="240"/>
    <x v="0"/>
    <x v="5"/>
    <x v="1946"/>
    <x v="25"/>
    <s v="POS"/>
    <n v="0.58399999999999996"/>
    <n v="230"/>
    <n v="134.32"/>
    <n v="0"/>
    <m/>
    <m/>
    <m/>
    <m/>
    <n v="0"/>
    <n v="0"/>
    <n v="60338.399360692012"/>
  </r>
  <r>
    <x v="179"/>
    <x v="4"/>
    <x v="154"/>
    <x v="0"/>
    <x v="1"/>
    <x v="1947"/>
    <x v="25"/>
    <s v="NAKİT"/>
    <n v="1"/>
    <n v="180"/>
    <n v="0"/>
    <n v="0"/>
    <m/>
    <m/>
    <m/>
    <m/>
    <n v="180"/>
    <n v="0"/>
    <n v="60518.399360692012"/>
  </r>
  <r>
    <x v="179"/>
    <x v="4"/>
    <x v="279"/>
    <x v="0"/>
    <x v="1"/>
    <x v="1947"/>
    <x v="25"/>
    <s v="NAKİT"/>
    <n v="1"/>
    <n v="130"/>
    <n v="0"/>
    <n v="0"/>
    <m/>
    <m/>
    <m/>
    <m/>
    <n v="130"/>
    <n v="0"/>
    <n v="60648.399360692012"/>
  </r>
  <r>
    <x v="179"/>
    <x v="4"/>
    <x v="342"/>
    <x v="0"/>
    <x v="1"/>
    <x v="1947"/>
    <x v="25"/>
    <s v="NAKİT"/>
    <n v="1"/>
    <n v="100"/>
    <n v="0"/>
    <n v="0"/>
    <m/>
    <m/>
    <m/>
    <m/>
    <n v="100"/>
    <n v="0"/>
    <n v="60748.399360692012"/>
  </r>
  <r>
    <x v="179"/>
    <x v="4"/>
    <x v="420"/>
    <x v="0"/>
    <x v="1"/>
    <x v="1947"/>
    <x v="25"/>
    <s v="NAKİT"/>
    <n v="2"/>
    <n v="10"/>
    <n v="0"/>
    <n v="0"/>
    <m/>
    <m/>
    <m/>
    <m/>
    <n v="20"/>
    <n v="0"/>
    <n v="60768.399360692012"/>
  </r>
  <r>
    <x v="179"/>
    <x v="4"/>
    <x v="66"/>
    <x v="0"/>
    <x v="1"/>
    <x v="1948"/>
    <x v="25"/>
    <s v="NAKİT"/>
    <n v="0.12"/>
    <n v="417"/>
    <n v="0"/>
    <n v="0"/>
    <m/>
    <m/>
    <m/>
    <m/>
    <n v="50.04"/>
    <n v="0"/>
    <n v="60818.439360692013"/>
  </r>
  <r>
    <x v="179"/>
    <x v="4"/>
    <x v="61"/>
    <x v="0"/>
    <x v="1"/>
    <x v="1949"/>
    <x v="25"/>
    <s v="NAKİT"/>
    <n v="6.7532467532467527E-2"/>
    <n v="770"/>
    <n v="0"/>
    <n v="0"/>
    <m/>
    <m/>
    <m/>
    <m/>
    <n v="51.999999999999993"/>
    <n v="0"/>
    <n v="60870.439360692013"/>
  </r>
  <r>
    <x v="179"/>
    <x v="4"/>
    <x v="389"/>
    <x v="0"/>
    <x v="5"/>
    <x v="1950"/>
    <x v="25"/>
    <s v="POS"/>
    <n v="0.5"/>
    <n v="450"/>
    <n v="225"/>
    <n v="0"/>
    <m/>
    <m/>
    <m/>
    <m/>
    <n v="0"/>
    <n v="0"/>
    <n v="60870.439360692013"/>
  </r>
  <r>
    <x v="179"/>
    <x v="4"/>
    <x v="239"/>
    <x v="0"/>
    <x v="1"/>
    <x v="1951"/>
    <x v="25"/>
    <s v="NAKİT"/>
    <n v="1"/>
    <n v="400"/>
    <n v="0"/>
    <n v="0"/>
    <m/>
    <m/>
    <m/>
    <m/>
    <n v="400"/>
    <n v="0"/>
    <n v="61270.439360692013"/>
  </r>
  <r>
    <x v="179"/>
    <x v="4"/>
    <x v="420"/>
    <x v="0"/>
    <x v="1"/>
    <x v="1951"/>
    <x v="25"/>
    <s v="NAKİT"/>
    <n v="10"/>
    <n v="10"/>
    <n v="0"/>
    <n v="0"/>
    <m/>
    <m/>
    <m/>
    <m/>
    <n v="100"/>
    <n v="0"/>
    <n v="61370.439360692013"/>
  </r>
  <r>
    <x v="179"/>
    <x v="4"/>
    <x v="23"/>
    <x v="0"/>
    <x v="1"/>
    <x v="1952"/>
    <x v="25"/>
    <s v="NAKİT"/>
    <n v="7.5999999999999998E-2"/>
    <n v="300"/>
    <n v="0"/>
    <n v="0"/>
    <m/>
    <m/>
    <m/>
    <m/>
    <n v="22.8"/>
    <n v="0"/>
    <n v="61393.239360692016"/>
  </r>
  <r>
    <x v="179"/>
    <x v="4"/>
    <x v="22"/>
    <x v="0"/>
    <x v="1"/>
    <x v="1952"/>
    <x v="25"/>
    <s v="NAKİT"/>
    <n v="0.09"/>
    <n v="400"/>
    <n v="0"/>
    <n v="0"/>
    <m/>
    <m/>
    <m/>
    <m/>
    <n v="36"/>
    <n v="0"/>
    <n v="61429.239360692016"/>
  </r>
  <r>
    <x v="179"/>
    <x v="4"/>
    <x v="18"/>
    <x v="0"/>
    <x v="5"/>
    <x v="1953"/>
    <x v="25"/>
    <s v="POS"/>
    <n v="1"/>
    <n v="250"/>
    <n v="250"/>
    <n v="0"/>
    <m/>
    <m/>
    <m/>
    <m/>
    <n v="0"/>
    <n v="0"/>
    <n v="61429.239360692016"/>
  </r>
  <r>
    <x v="179"/>
    <x v="4"/>
    <x v="58"/>
    <x v="0"/>
    <x v="5"/>
    <x v="1953"/>
    <x v="25"/>
    <s v="POS"/>
    <n v="1"/>
    <n v="250"/>
    <n v="250"/>
    <n v="0"/>
    <m/>
    <m/>
    <m/>
    <m/>
    <n v="0"/>
    <n v="0"/>
    <n v="61429.239360692016"/>
  </r>
  <r>
    <x v="179"/>
    <x v="4"/>
    <x v="98"/>
    <x v="0"/>
    <x v="5"/>
    <x v="1954"/>
    <x v="25"/>
    <s v="POS"/>
    <n v="1.2150000000000001"/>
    <n v="800"/>
    <n v="972.00000000000011"/>
    <n v="0"/>
    <m/>
    <m/>
    <m/>
    <m/>
    <n v="0"/>
    <n v="0"/>
    <n v="61429.239360692016"/>
  </r>
  <r>
    <x v="179"/>
    <x v="4"/>
    <x v="212"/>
    <x v="0"/>
    <x v="5"/>
    <x v="1954"/>
    <x v="25"/>
    <s v="POS"/>
    <n v="0.68600000000000005"/>
    <n v="550"/>
    <n v="377.3"/>
    <n v="0"/>
    <m/>
    <m/>
    <m/>
    <m/>
    <n v="0"/>
    <n v="0"/>
    <n v="61429.239360692016"/>
  </r>
  <r>
    <x v="179"/>
    <x v="4"/>
    <x v="68"/>
    <x v="0"/>
    <x v="5"/>
    <x v="1954"/>
    <x v="25"/>
    <s v="POS"/>
    <n v="1"/>
    <n v="750"/>
    <n v="750"/>
    <n v="0"/>
    <m/>
    <m/>
    <m/>
    <m/>
    <n v="0"/>
    <n v="0"/>
    <n v="61429.239360692016"/>
  </r>
  <r>
    <x v="179"/>
    <x v="4"/>
    <x v="50"/>
    <x v="0"/>
    <x v="5"/>
    <x v="1954"/>
    <x v="25"/>
    <s v="POS"/>
    <n v="0.08"/>
    <n v="510"/>
    <n v="40.800000000000004"/>
    <n v="0"/>
    <m/>
    <m/>
    <m/>
    <m/>
    <n v="0"/>
    <n v="0"/>
    <n v="61429.239360692016"/>
  </r>
  <r>
    <x v="180"/>
    <x v="4"/>
    <x v="389"/>
    <x v="0"/>
    <x v="1"/>
    <x v="1955"/>
    <x v="129"/>
    <s v="NAKİT"/>
    <n v="0.4"/>
    <n v="350"/>
    <n v="0"/>
    <n v="0"/>
    <m/>
    <m/>
    <m/>
    <m/>
    <n v="140"/>
    <n v="0"/>
    <n v="61569.239360692016"/>
  </r>
  <r>
    <x v="180"/>
    <x v="4"/>
    <x v="211"/>
    <x v="0"/>
    <x v="1"/>
    <x v="1956"/>
    <x v="25"/>
    <s v="NAKİT"/>
    <n v="1"/>
    <n v="50"/>
    <n v="0"/>
    <n v="0"/>
    <m/>
    <m/>
    <m/>
    <m/>
    <n v="50"/>
    <n v="0"/>
    <n v="61619.239360692016"/>
  </r>
  <r>
    <x v="180"/>
    <x v="4"/>
    <x v="421"/>
    <x v="0"/>
    <x v="1"/>
    <x v="1957"/>
    <x v="25"/>
    <s v="NAKİT"/>
    <n v="0.05"/>
    <n v="2600"/>
    <n v="0"/>
    <n v="0"/>
    <m/>
    <m/>
    <m/>
    <m/>
    <n v="130"/>
    <n v="0"/>
    <n v="61749.239360692016"/>
  </r>
  <r>
    <x v="180"/>
    <x v="4"/>
    <x v="158"/>
    <x v="0"/>
    <x v="1"/>
    <x v="1958"/>
    <x v="25"/>
    <s v="NAKİT"/>
    <n v="1"/>
    <n v="15"/>
    <n v="0"/>
    <n v="0"/>
    <m/>
    <m/>
    <m/>
    <m/>
    <n v="15"/>
    <n v="0"/>
    <n v="61764.239360692016"/>
  </r>
  <r>
    <x v="180"/>
    <x v="4"/>
    <x v="312"/>
    <x v="0"/>
    <x v="5"/>
    <x v="1959"/>
    <x v="25"/>
    <s v="POS"/>
    <n v="1.7150000000000001"/>
    <n v="350"/>
    <n v="600.25"/>
    <n v="0"/>
    <m/>
    <m/>
    <m/>
    <m/>
    <n v="0"/>
    <n v="0"/>
    <n v="61764.239360692016"/>
  </r>
  <r>
    <x v="180"/>
    <x v="4"/>
    <x v="287"/>
    <x v="0"/>
    <x v="5"/>
    <x v="1959"/>
    <x v="25"/>
    <s v="POS"/>
    <n v="1.17"/>
    <n v="65"/>
    <n v="76.05"/>
    <n v="0"/>
    <m/>
    <m/>
    <m/>
    <m/>
    <n v="0"/>
    <n v="0"/>
    <n v="61764.239360692016"/>
  </r>
  <r>
    <x v="180"/>
    <x v="4"/>
    <x v="27"/>
    <x v="0"/>
    <x v="5"/>
    <x v="1959"/>
    <x v="25"/>
    <s v="POS"/>
    <n v="0.06"/>
    <n v="400"/>
    <n v="24"/>
    <n v="0"/>
    <m/>
    <m/>
    <m/>
    <m/>
    <n v="0"/>
    <n v="0"/>
    <n v="61764.239360692016"/>
  </r>
  <r>
    <x v="180"/>
    <x v="4"/>
    <x v="18"/>
    <x v="0"/>
    <x v="5"/>
    <x v="1959"/>
    <x v="25"/>
    <s v="POS"/>
    <n v="1"/>
    <n v="250"/>
    <n v="250"/>
    <n v="0"/>
    <m/>
    <m/>
    <m/>
    <m/>
    <n v="0"/>
    <n v="0"/>
    <n v="61764.239360692016"/>
  </r>
  <r>
    <x v="180"/>
    <x v="4"/>
    <x v="390"/>
    <x v="0"/>
    <x v="5"/>
    <x v="1960"/>
    <x v="25"/>
    <s v="POS"/>
    <n v="0.58333333333333337"/>
    <n v="420"/>
    <n v="245.00000000000003"/>
    <n v="0"/>
    <m/>
    <m/>
    <m/>
    <m/>
    <n v="0"/>
    <n v="0"/>
    <n v="61764.239360692016"/>
  </r>
  <r>
    <x v="180"/>
    <x v="4"/>
    <x v="98"/>
    <x v="0"/>
    <x v="5"/>
    <x v="1960"/>
    <x v="25"/>
    <s v="POS"/>
    <n v="0.50624999999999998"/>
    <n v="800"/>
    <n v="405"/>
    <n v="0"/>
    <m/>
    <m/>
    <m/>
    <m/>
    <n v="0"/>
    <n v="0"/>
    <n v="61764.239360692016"/>
  </r>
  <r>
    <x v="180"/>
    <x v="4"/>
    <x v="111"/>
    <x v="0"/>
    <x v="5"/>
    <x v="1960"/>
    <x v="25"/>
    <s v="POS"/>
    <n v="0.14285714285714285"/>
    <n v="350"/>
    <n v="50"/>
    <n v="0"/>
    <m/>
    <m/>
    <m/>
    <m/>
    <n v="0"/>
    <n v="0"/>
    <n v="61764.239360692016"/>
  </r>
  <r>
    <x v="180"/>
    <x v="4"/>
    <x v="225"/>
    <x v="0"/>
    <x v="1"/>
    <x v="1961"/>
    <x v="25"/>
    <s v="NAKİT"/>
    <n v="1"/>
    <n v="400"/>
    <n v="0"/>
    <n v="0"/>
    <m/>
    <m/>
    <m/>
    <m/>
    <n v="400"/>
    <n v="0"/>
    <n v="62164.239360692016"/>
  </r>
  <r>
    <x v="180"/>
    <x v="4"/>
    <x v="88"/>
    <x v="0"/>
    <x v="1"/>
    <x v="1961"/>
    <x v="25"/>
    <s v="NAKİT"/>
    <n v="0.05"/>
    <n v="1200"/>
    <n v="0"/>
    <n v="0"/>
    <m/>
    <m/>
    <m/>
    <m/>
    <n v="60"/>
    <n v="0"/>
    <n v="62224.239360692016"/>
  </r>
  <r>
    <x v="180"/>
    <x v="4"/>
    <x v="441"/>
    <x v="0"/>
    <x v="1"/>
    <x v="1961"/>
    <x v="25"/>
    <s v="NAKİT"/>
    <n v="0.24"/>
    <n v="250"/>
    <n v="0"/>
    <n v="0"/>
    <m/>
    <m/>
    <m/>
    <m/>
    <n v="60"/>
    <n v="0"/>
    <n v="62284.239360692016"/>
  </r>
  <r>
    <x v="180"/>
    <x v="4"/>
    <x v="312"/>
    <x v="0"/>
    <x v="1"/>
    <x v="1962"/>
    <x v="25"/>
    <s v="NAKİT"/>
    <n v="0.74285714285714288"/>
    <n v="350"/>
    <n v="0"/>
    <n v="0"/>
    <m/>
    <m/>
    <m/>
    <m/>
    <n v="260"/>
    <n v="0"/>
    <n v="62544.239360692016"/>
  </r>
  <r>
    <x v="180"/>
    <x v="4"/>
    <x v="49"/>
    <x v="0"/>
    <x v="1"/>
    <x v="1963"/>
    <x v="120"/>
    <s v="NAKİT"/>
    <n v="0.23"/>
    <n v="600"/>
    <n v="0"/>
    <n v="0"/>
    <m/>
    <m/>
    <m/>
    <m/>
    <n v="138"/>
    <n v="0"/>
    <n v="62682.239360692016"/>
  </r>
  <r>
    <x v="180"/>
    <x v="4"/>
    <x v="9"/>
    <x v="0"/>
    <x v="1"/>
    <x v="1963"/>
    <x v="120"/>
    <s v="NAKİT"/>
    <n v="1"/>
    <n v="160"/>
    <n v="0"/>
    <n v="0"/>
    <m/>
    <m/>
    <m/>
    <m/>
    <n v="160"/>
    <n v="0"/>
    <n v="62842.239360692016"/>
  </r>
  <r>
    <x v="180"/>
    <x v="4"/>
    <x v="309"/>
    <x v="0"/>
    <x v="1"/>
    <x v="1963"/>
    <x v="120"/>
    <s v="NAKİT"/>
    <n v="1"/>
    <n v="135"/>
    <n v="0"/>
    <n v="0"/>
    <m/>
    <m/>
    <m/>
    <m/>
    <n v="135"/>
    <n v="0"/>
    <n v="62977.239360692016"/>
  </r>
  <r>
    <x v="180"/>
    <x v="4"/>
    <x v="29"/>
    <x v="0"/>
    <x v="1"/>
    <x v="1963"/>
    <x v="120"/>
    <s v="NAKİT"/>
    <n v="0.04"/>
    <n v="850"/>
    <n v="0"/>
    <n v="0"/>
    <m/>
    <m/>
    <m/>
    <m/>
    <n v="34"/>
    <n v="0"/>
    <n v="63011.239360692016"/>
  </r>
  <r>
    <x v="180"/>
    <x v="4"/>
    <x v="122"/>
    <x v="0"/>
    <x v="1"/>
    <x v="1963"/>
    <x v="120"/>
    <s v="NAKİT"/>
    <n v="0.25"/>
    <n v="1200"/>
    <n v="0"/>
    <n v="0"/>
    <m/>
    <m/>
    <m/>
    <m/>
    <n v="300"/>
    <n v="0"/>
    <n v="63311.239360692016"/>
  </r>
  <r>
    <x v="180"/>
    <x v="4"/>
    <x v="68"/>
    <x v="0"/>
    <x v="1"/>
    <x v="1963"/>
    <x v="120"/>
    <s v="NAKİT"/>
    <n v="0.246"/>
    <n v="750"/>
    <n v="0"/>
    <n v="0"/>
    <m/>
    <m/>
    <m/>
    <m/>
    <n v="184.5"/>
    <n v="0"/>
    <n v="63495.739360692016"/>
  </r>
  <r>
    <x v="181"/>
    <x v="4"/>
    <x v="386"/>
    <x v="0"/>
    <x v="1"/>
    <x v="1964"/>
    <x v="25"/>
    <s v="NAKİT"/>
    <n v="1"/>
    <n v="20"/>
    <n v="0"/>
    <n v="0"/>
    <m/>
    <m/>
    <m/>
    <m/>
    <n v="20"/>
    <n v="0"/>
    <n v="63515.739360692016"/>
  </r>
  <r>
    <x v="181"/>
    <x v="4"/>
    <x v="312"/>
    <x v="0"/>
    <x v="5"/>
    <x v="1965"/>
    <x v="25"/>
    <s v="POS"/>
    <n v="0.5"/>
    <n v="350"/>
    <n v="175"/>
    <n v="0"/>
    <m/>
    <m/>
    <m/>
    <m/>
    <n v="0"/>
    <n v="0"/>
    <n v="63515.739360692016"/>
  </r>
  <r>
    <x v="181"/>
    <x v="4"/>
    <x v="63"/>
    <x v="0"/>
    <x v="5"/>
    <x v="1966"/>
    <x v="25"/>
    <s v="POS"/>
    <n v="4.0540540540540543E-2"/>
    <n v="740"/>
    <n v="30"/>
    <n v="0"/>
    <m/>
    <m/>
    <m/>
    <m/>
    <n v="0"/>
    <n v="0"/>
    <n v="63515.739360692016"/>
  </r>
  <r>
    <x v="181"/>
    <x v="4"/>
    <x v="56"/>
    <x v="0"/>
    <x v="5"/>
    <x v="1967"/>
    <x v="25"/>
    <s v="POS"/>
    <n v="0.5"/>
    <n v="200"/>
    <n v="100"/>
    <n v="0"/>
    <m/>
    <m/>
    <m/>
    <m/>
    <n v="0"/>
    <n v="0"/>
    <n v="63515.739360692016"/>
  </r>
  <r>
    <x v="181"/>
    <x v="4"/>
    <x v="57"/>
    <x v="0"/>
    <x v="5"/>
    <x v="1967"/>
    <x v="25"/>
    <s v="POS"/>
    <n v="1"/>
    <n v="150"/>
    <n v="150"/>
    <n v="0"/>
    <m/>
    <m/>
    <m/>
    <m/>
    <n v="0"/>
    <n v="0"/>
    <n v="63515.739360692016"/>
  </r>
  <r>
    <x v="181"/>
    <x v="4"/>
    <x v="313"/>
    <x v="0"/>
    <x v="5"/>
    <x v="1968"/>
    <x v="25"/>
    <s v="POS"/>
    <n v="1"/>
    <n v="140"/>
    <n v="140"/>
    <n v="0"/>
    <m/>
    <m/>
    <m/>
    <m/>
    <n v="0"/>
    <n v="0"/>
    <n v="63515.739360692016"/>
  </r>
  <r>
    <x v="181"/>
    <x v="4"/>
    <x v="55"/>
    <x v="0"/>
    <x v="5"/>
    <x v="1968"/>
    <x v="25"/>
    <s v="POS"/>
    <n v="1"/>
    <n v="200"/>
    <n v="200"/>
    <n v="0"/>
    <m/>
    <m/>
    <m/>
    <m/>
    <n v="0"/>
    <n v="0"/>
    <n v="63515.739360692016"/>
  </r>
  <r>
    <x v="181"/>
    <x v="4"/>
    <x v="261"/>
    <x v="0"/>
    <x v="5"/>
    <x v="1968"/>
    <x v="25"/>
    <s v="POS"/>
    <n v="1"/>
    <n v="130"/>
    <n v="130"/>
    <n v="0"/>
    <m/>
    <m/>
    <m/>
    <m/>
    <n v="0"/>
    <n v="0"/>
    <n v="63515.739360692016"/>
  </r>
  <r>
    <x v="181"/>
    <x v="4"/>
    <x v="109"/>
    <x v="0"/>
    <x v="5"/>
    <x v="1968"/>
    <x v="25"/>
    <s v="POS"/>
    <n v="1"/>
    <n v="180"/>
    <n v="180"/>
    <n v="0"/>
    <m/>
    <m/>
    <m/>
    <m/>
    <n v="0"/>
    <n v="0"/>
    <n v="63515.739360692016"/>
  </r>
  <r>
    <x v="181"/>
    <x v="4"/>
    <x v="376"/>
    <x v="0"/>
    <x v="5"/>
    <x v="1968"/>
    <x v="25"/>
    <s v="POS"/>
    <n v="1"/>
    <n v="100"/>
    <n v="100"/>
    <n v="0"/>
    <m/>
    <m/>
    <m/>
    <m/>
    <n v="0"/>
    <n v="0"/>
    <n v="63515.739360692016"/>
  </r>
  <r>
    <x v="181"/>
    <x v="4"/>
    <x v="33"/>
    <x v="0"/>
    <x v="1"/>
    <x v="1969"/>
    <x v="25"/>
    <s v="NAKİT"/>
    <n v="0.5625"/>
    <n v="400"/>
    <n v="0"/>
    <n v="0"/>
    <m/>
    <m/>
    <m/>
    <m/>
    <n v="225"/>
    <n v="0"/>
    <n v="63740.739360692016"/>
  </r>
  <r>
    <x v="181"/>
    <x v="4"/>
    <x v="23"/>
    <x v="0"/>
    <x v="1"/>
    <x v="1970"/>
    <x v="25"/>
    <s v="NAKİT"/>
    <n v="1"/>
    <n v="300"/>
    <n v="0"/>
    <n v="0"/>
    <m/>
    <m/>
    <m/>
    <m/>
    <n v="300"/>
    <n v="0"/>
    <n v="64040.739360692016"/>
  </r>
  <r>
    <x v="181"/>
    <x v="4"/>
    <x v="18"/>
    <x v="0"/>
    <x v="5"/>
    <x v="1971"/>
    <x v="25"/>
    <s v="POS"/>
    <n v="3"/>
    <n v="250"/>
    <n v="750"/>
    <n v="0"/>
    <m/>
    <m/>
    <m/>
    <m/>
    <n v="0"/>
    <n v="0"/>
    <n v="64040.739360692016"/>
  </r>
  <r>
    <x v="181"/>
    <x v="4"/>
    <x v="19"/>
    <x v="0"/>
    <x v="5"/>
    <x v="1971"/>
    <x v="25"/>
    <s v="POS"/>
    <n v="1"/>
    <n v="250"/>
    <n v="250"/>
    <n v="0"/>
    <m/>
    <m/>
    <m/>
    <m/>
    <n v="0"/>
    <n v="0"/>
    <n v="64040.739360692016"/>
  </r>
  <r>
    <x v="181"/>
    <x v="4"/>
    <x v="159"/>
    <x v="0"/>
    <x v="5"/>
    <x v="1971"/>
    <x v="25"/>
    <s v="POS"/>
    <n v="1"/>
    <n v="100"/>
    <n v="100"/>
    <n v="0"/>
    <m/>
    <m/>
    <m/>
    <m/>
    <n v="0"/>
    <n v="0"/>
    <n v="64040.739360692016"/>
  </r>
  <r>
    <x v="181"/>
    <x v="4"/>
    <x v="152"/>
    <x v="0"/>
    <x v="5"/>
    <x v="1971"/>
    <x v="25"/>
    <s v="POS"/>
    <n v="1"/>
    <n v="80"/>
    <n v="80"/>
    <n v="0"/>
    <m/>
    <m/>
    <m/>
    <m/>
    <n v="0"/>
    <n v="0"/>
    <n v="64040.739360692016"/>
  </r>
  <r>
    <x v="181"/>
    <x v="4"/>
    <x v="45"/>
    <x v="0"/>
    <x v="5"/>
    <x v="1971"/>
    <x v="25"/>
    <s v="POS"/>
    <n v="1"/>
    <n v="65"/>
    <n v="65"/>
    <n v="0"/>
    <m/>
    <m/>
    <m/>
    <m/>
    <n v="0"/>
    <n v="0"/>
    <n v="64040.739360692016"/>
  </r>
  <r>
    <x v="181"/>
    <x v="4"/>
    <x v="156"/>
    <x v="0"/>
    <x v="5"/>
    <x v="1971"/>
    <x v="25"/>
    <s v="POS"/>
    <n v="0.5"/>
    <n v="80"/>
    <n v="40"/>
    <n v="0"/>
    <m/>
    <m/>
    <m/>
    <m/>
    <n v="0"/>
    <n v="0"/>
    <n v="64040.739360692016"/>
  </r>
  <r>
    <x v="181"/>
    <x v="4"/>
    <x v="158"/>
    <x v="0"/>
    <x v="5"/>
    <x v="1971"/>
    <x v="25"/>
    <s v="POS"/>
    <n v="4"/>
    <n v="15"/>
    <n v="60"/>
    <n v="0"/>
    <m/>
    <m/>
    <m/>
    <m/>
    <n v="0"/>
    <n v="0"/>
    <n v="64040.739360692016"/>
  </r>
  <r>
    <x v="181"/>
    <x v="4"/>
    <x v="195"/>
    <x v="0"/>
    <x v="5"/>
    <x v="1972"/>
    <x v="25"/>
    <s v="POS"/>
    <n v="1"/>
    <n v="330"/>
    <n v="330"/>
    <n v="0"/>
    <m/>
    <m/>
    <m/>
    <m/>
    <n v="0"/>
    <n v="0"/>
    <n v="64040.739360692016"/>
  </r>
  <r>
    <x v="181"/>
    <x v="4"/>
    <x v="156"/>
    <x v="0"/>
    <x v="5"/>
    <x v="1972"/>
    <x v="25"/>
    <s v="POS"/>
    <n v="0.5"/>
    <n v="80"/>
    <n v="40"/>
    <n v="0"/>
    <m/>
    <m/>
    <m/>
    <m/>
    <n v="0"/>
    <n v="0"/>
    <n v="64040.739360692016"/>
  </r>
  <r>
    <x v="181"/>
    <x v="4"/>
    <x v="52"/>
    <x v="0"/>
    <x v="5"/>
    <x v="1972"/>
    <x v="25"/>
    <s v="POS"/>
    <n v="0.1"/>
    <n v="400"/>
    <n v="40"/>
    <n v="0"/>
    <m/>
    <m/>
    <m/>
    <m/>
    <n v="0"/>
    <n v="0"/>
    <n v="64040.739360692016"/>
  </r>
  <r>
    <x v="181"/>
    <x v="4"/>
    <x v="443"/>
    <x v="0"/>
    <x v="5"/>
    <x v="1972"/>
    <x v="25"/>
    <s v="POS"/>
    <n v="0.1"/>
    <n v="500"/>
    <n v="50"/>
    <n v="0"/>
    <m/>
    <m/>
    <m/>
    <m/>
    <n v="0"/>
    <n v="0"/>
    <n v="64040.739360692016"/>
  </r>
  <r>
    <x v="181"/>
    <x v="4"/>
    <x v="96"/>
    <x v="0"/>
    <x v="1"/>
    <x v="1973"/>
    <x v="25"/>
    <s v="NAKİT"/>
    <n v="0.1"/>
    <n v="1300"/>
    <n v="0"/>
    <n v="0"/>
    <m/>
    <m/>
    <m/>
    <m/>
    <n v="130"/>
    <n v="0"/>
    <n v="64170.739360692016"/>
  </r>
  <r>
    <x v="181"/>
    <x v="4"/>
    <x v="239"/>
    <x v="0"/>
    <x v="1"/>
    <x v="1973"/>
    <x v="25"/>
    <s v="NAKİT"/>
    <n v="0.25"/>
    <n v="400"/>
    <n v="0"/>
    <n v="0"/>
    <m/>
    <m/>
    <m/>
    <m/>
    <n v="100"/>
    <n v="0"/>
    <n v="64270.739360692016"/>
  </r>
  <r>
    <x v="181"/>
    <x v="4"/>
    <x v="56"/>
    <x v="0"/>
    <x v="5"/>
    <x v="1974"/>
    <x v="25"/>
    <s v="POS"/>
    <n v="1"/>
    <n v="200"/>
    <n v="200"/>
    <n v="0"/>
    <m/>
    <m/>
    <m/>
    <m/>
    <n v="0"/>
    <n v="0"/>
    <n v="64270.739360692016"/>
  </r>
  <r>
    <x v="181"/>
    <x v="4"/>
    <x v="23"/>
    <x v="0"/>
    <x v="5"/>
    <x v="1975"/>
    <x v="25"/>
    <s v="POS"/>
    <n v="0.10333333333333333"/>
    <n v="300"/>
    <n v="31"/>
    <n v="0"/>
    <m/>
    <m/>
    <m/>
    <m/>
    <n v="0"/>
    <n v="0"/>
    <n v="64270.739360692016"/>
  </r>
  <r>
    <x v="181"/>
    <x v="4"/>
    <x v="116"/>
    <x v="0"/>
    <x v="5"/>
    <x v="1975"/>
    <x v="25"/>
    <s v="POS"/>
    <n v="0.46511627906976744"/>
    <n v="430"/>
    <n v="200"/>
    <n v="0"/>
    <m/>
    <m/>
    <m/>
    <m/>
    <n v="0"/>
    <n v="0"/>
    <n v="64270.739360692016"/>
  </r>
  <r>
    <x v="181"/>
    <x v="4"/>
    <x v="57"/>
    <x v="0"/>
    <x v="5"/>
    <x v="1975"/>
    <x v="25"/>
    <s v="POS"/>
    <n v="1"/>
    <n v="150"/>
    <n v="150"/>
    <n v="0"/>
    <m/>
    <m/>
    <m/>
    <m/>
    <n v="0"/>
    <n v="0"/>
    <n v="64270.739360692016"/>
  </r>
  <r>
    <x v="181"/>
    <x v="4"/>
    <x v="56"/>
    <x v="0"/>
    <x v="5"/>
    <x v="1975"/>
    <x v="25"/>
    <s v="POS"/>
    <n v="1"/>
    <n v="200"/>
    <n v="200"/>
    <n v="0"/>
    <m/>
    <m/>
    <m/>
    <m/>
    <n v="0"/>
    <n v="0"/>
    <n v="64270.739360692016"/>
  </r>
  <r>
    <x v="181"/>
    <x v="4"/>
    <x v="242"/>
    <x v="0"/>
    <x v="5"/>
    <x v="1975"/>
    <x v="25"/>
    <s v="POS"/>
    <n v="0.51282051282051277"/>
    <n v="195"/>
    <n v="99.999999999999986"/>
    <n v="0"/>
    <m/>
    <m/>
    <m/>
    <m/>
    <n v="0"/>
    <n v="0"/>
    <n v="64270.739360692016"/>
  </r>
  <r>
    <x v="181"/>
    <x v="4"/>
    <x v="241"/>
    <x v="0"/>
    <x v="5"/>
    <x v="1975"/>
    <x v="25"/>
    <s v="POS"/>
    <n v="0.5"/>
    <n v="60"/>
    <n v="30"/>
    <n v="0"/>
    <m/>
    <m/>
    <m/>
    <m/>
    <n v="0"/>
    <n v="0"/>
    <n v="64270.739360692016"/>
  </r>
  <r>
    <x v="181"/>
    <x v="4"/>
    <x v="122"/>
    <x v="0"/>
    <x v="5"/>
    <x v="1975"/>
    <x v="25"/>
    <s v="POS"/>
    <n v="0.5"/>
    <n v="1200"/>
    <n v="600"/>
    <n v="0"/>
    <m/>
    <m/>
    <m/>
    <m/>
    <n v="0"/>
    <n v="0"/>
    <n v="64270.739360692016"/>
  </r>
  <r>
    <x v="181"/>
    <x v="4"/>
    <x v="98"/>
    <x v="0"/>
    <x v="5"/>
    <x v="1975"/>
    <x v="25"/>
    <s v="POS"/>
    <n v="0.69499999999999995"/>
    <n v="800"/>
    <n v="556"/>
    <n v="0"/>
    <m/>
    <m/>
    <m/>
    <m/>
    <n v="0"/>
    <n v="0"/>
    <n v="64270.739360692016"/>
  </r>
  <r>
    <x v="181"/>
    <x v="4"/>
    <x v="238"/>
    <x v="0"/>
    <x v="5"/>
    <x v="1975"/>
    <x v="25"/>
    <s v="POS"/>
    <n v="0.43823529411764706"/>
    <n v="340"/>
    <n v="149"/>
    <n v="0"/>
    <m/>
    <m/>
    <m/>
    <m/>
    <n v="0"/>
    <n v="0"/>
    <n v="64270.739360692016"/>
  </r>
  <r>
    <x v="181"/>
    <x v="4"/>
    <x v="129"/>
    <x v="0"/>
    <x v="1"/>
    <x v="1976"/>
    <x v="25"/>
    <s v="NAKİT"/>
    <n v="0.20833333333333334"/>
    <n v="240"/>
    <n v="0"/>
    <n v="0"/>
    <m/>
    <m/>
    <m/>
    <m/>
    <n v="50"/>
    <n v="0"/>
    <n v="64320.739360692016"/>
  </r>
  <r>
    <x v="182"/>
    <x v="4"/>
    <x v="132"/>
    <x v="0"/>
    <x v="1"/>
    <x v="1977"/>
    <x v="25"/>
    <s v="NAKİT"/>
    <n v="1"/>
    <n v="220"/>
    <n v="0"/>
    <n v="0"/>
    <m/>
    <m/>
    <m/>
    <m/>
    <n v="220"/>
    <n v="0"/>
    <n v="64540.739360692016"/>
  </r>
  <r>
    <x v="182"/>
    <x v="4"/>
    <x v="244"/>
    <x v="0"/>
    <x v="1"/>
    <x v="1978"/>
    <x v="25"/>
    <s v="NAKİT"/>
    <n v="0.5"/>
    <n v="120"/>
    <n v="0"/>
    <n v="0"/>
    <m/>
    <m/>
    <m/>
    <m/>
    <n v="60"/>
    <n v="0"/>
    <n v="64600.739360692016"/>
  </r>
  <r>
    <x v="182"/>
    <x v="4"/>
    <x v="115"/>
    <x v="0"/>
    <x v="1"/>
    <x v="1979"/>
    <x v="25"/>
    <s v="NAKİT"/>
    <n v="0.125"/>
    <n v="240"/>
    <n v="0"/>
    <n v="0"/>
    <m/>
    <m/>
    <m/>
    <m/>
    <n v="30"/>
    <n v="0"/>
    <n v="64630.739360692016"/>
  </r>
  <r>
    <x v="182"/>
    <x v="4"/>
    <x v="38"/>
    <x v="0"/>
    <x v="1"/>
    <x v="1980"/>
    <x v="25"/>
    <s v="NAKİT"/>
    <n v="0.5"/>
    <n v="600"/>
    <n v="0"/>
    <n v="0"/>
    <m/>
    <m/>
    <m/>
    <m/>
    <n v="300"/>
    <n v="0"/>
    <n v="64930.739360692016"/>
  </r>
  <r>
    <x v="182"/>
    <x v="4"/>
    <x v="111"/>
    <x v="0"/>
    <x v="5"/>
    <x v="1981"/>
    <x v="25"/>
    <s v="POS"/>
    <n v="0.5"/>
    <n v="350"/>
    <n v="175"/>
    <n v="0"/>
    <m/>
    <m/>
    <m/>
    <m/>
    <n v="0"/>
    <n v="0"/>
    <n v="64930.739360692016"/>
  </r>
  <r>
    <x v="182"/>
    <x v="4"/>
    <x v="31"/>
    <x v="0"/>
    <x v="5"/>
    <x v="1982"/>
    <x v="187"/>
    <s v="POS"/>
    <n v="2"/>
    <n v="260"/>
    <n v="520"/>
    <n v="0"/>
    <m/>
    <m/>
    <m/>
    <m/>
    <n v="0"/>
    <n v="0"/>
    <n v="64930.739360692016"/>
  </r>
  <r>
    <x v="182"/>
    <x v="4"/>
    <x v="33"/>
    <x v="0"/>
    <x v="5"/>
    <x v="1982"/>
    <x v="187"/>
    <s v="POS"/>
    <n v="2"/>
    <n v="250"/>
    <n v="500"/>
    <n v="0"/>
    <m/>
    <m/>
    <m/>
    <m/>
    <n v="0"/>
    <n v="0"/>
    <n v="64930.739360692016"/>
  </r>
  <r>
    <x v="182"/>
    <x v="4"/>
    <x v="161"/>
    <x v="0"/>
    <x v="5"/>
    <x v="1982"/>
    <x v="187"/>
    <s v="POS"/>
    <n v="2"/>
    <n v="265"/>
    <n v="530"/>
    <n v="0"/>
    <m/>
    <m/>
    <m/>
    <m/>
    <n v="0"/>
    <n v="0"/>
    <n v="64930.739360692016"/>
  </r>
  <r>
    <x v="182"/>
    <x v="4"/>
    <x v="150"/>
    <x v="0"/>
    <x v="1"/>
    <x v="1983"/>
    <x v="25"/>
    <s v="NAKİT"/>
    <n v="0.4"/>
    <n v="250"/>
    <n v="0"/>
    <n v="0"/>
    <m/>
    <m/>
    <m/>
    <m/>
    <n v="100"/>
    <n v="0"/>
    <n v="65030.739360692016"/>
  </r>
  <r>
    <x v="182"/>
    <x v="4"/>
    <x v="248"/>
    <x v="0"/>
    <x v="5"/>
    <x v="1984"/>
    <x v="25"/>
    <s v="POS"/>
    <n v="0.34200000000000003"/>
    <n v="650"/>
    <n v="222.3"/>
    <n v="0"/>
    <m/>
    <m/>
    <m/>
    <m/>
    <n v="0"/>
    <n v="0"/>
    <n v="65030.739360692016"/>
  </r>
  <r>
    <x v="182"/>
    <x v="4"/>
    <x v="112"/>
    <x v="0"/>
    <x v="5"/>
    <x v="1984"/>
    <x v="25"/>
    <s v="POS"/>
    <n v="0.05"/>
    <n v="1800"/>
    <n v="90"/>
    <n v="0"/>
    <m/>
    <m/>
    <m/>
    <m/>
    <n v="0"/>
    <n v="0"/>
    <n v="65030.739360692016"/>
  </r>
  <r>
    <x v="182"/>
    <x v="4"/>
    <x v="446"/>
    <x v="0"/>
    <x v="5"/>
    <x v="1984"/>
    <x v="25"/>
    <s v="POS"/>
    <n v="0.4"/>
    <n v="550"/>
    <n v="220"/>
    <n v="0"/>
    <m/>
    <m/>
    <m/>
    <m/>
    <n v="0"/>
    <n v="0"/>
    <n v="65030.739360692016"/>
  </r>
  <r>
    <x v="182"/>
    <x v="4"/>
    <x v="156"/>
    <x v="0"/>
    <x v="5"/>
    <x v="1984"/>
    <x v="25"/>
    <s v="POS"/>
    <n v="0.5"/>
    <n v="80"/>
    <n v="40"/>
    <n v="0"/>
    <m/>
    <m/>
    <m/>
    <m/>
    <n v="0"/>
    <n v="0"/>
    <n v="65030.739360692016"/>
  </r>
  <r>
    <x v="182"/>
    <x v="4"/>
    <x v="443"/>
    <x v="0"/>
    <x v="5"/>
    <x v="1984"/>
    <x v="25"/>
    <s v="POS"/>
    <n v="0.2"/>
    <n v="500"/>
    <n v="100"/>
    <n v="0"/>
    <m/>
    <m/>
    <m/>
    <m/>
    <n v="0"/>
    <n v="0"/>
    <n v="65030.739360692016"/>
  </r>
  <r>
    <x v="182"/>
    <x v="4"/>
    <x v="161"/>
    <x v="0"/>
    <x v="5"/>
    <x v="1984"/>
    <x v="25"/>
    <s v="POS"/>
    <n v="0.12"/>
    <n v="400"/>
    <n v="48"/>
    <n v="0"/>
    <m/>
    <m/>
    <m/>
    <m/>
    <n v="0"/>
    <n v="0"/>
    <n v="65030.739360692016"/>
  </r>
  <r>
    <x v="182"/>
    <x v="4"/>
    <x v="35"/>
    <x v="0"/>
    <x v="5"/>
    <x v="1984"/>
    <x v="25"/>
    <s v="POS"/>
    <n v="0.25"/>
    <n v="180"/>
    <n v="45"/>
    <n v="0"/>
    <m/>
    <m/>
    <m/>
    <m/>
    <n v="0"/>
    <n v="0"/>
    <n v="65030.739360692016"/>
  </r>
  <r>
    <x v="182"/>
    <x v="4"/>
    <x v="73"/>
    <x v="0"/>
    <x v="5"/>
    <x v="1985"/>
    <x v="25"/>
    <s v="POS"/>
    <n v="0.36533333333333334"/>
    <n v="750"/>
    <n v="274"/>
    <n v="0"/>
    <m/>
    <m/>
    <m/>
    <m/>
    <n v="0"/>
    <n v="0"/>
    <n v="65030.739360692016"/>
  </r>
  <r>
    <x v="182"/>
    <x v="4"/>
    <x v="248"/>
    <x v="0"/>
    <x v="5"/>
    <x v="1985"/>
    <x v="25"/>
    <s v="POS"/>
    <n v="0.30153846153846153"/>
    <n v="650"/>
    <n v="196"/>
    <n v="0"/>
    <m/>
    <m/>
    <m/>
    <m/>
    <n v="0"/>
    <n v="0"/>
    <n v="65030.739360692016"/>
  </r>
  <r>
    <x v="182"/>
    <x v="4"/>
    <x v="248"/>
    <x v="0"/>
    <x v="5"/>
    <x v="1985"/>
    <x v="25"/>
    <s v="POS"/>
    <n v="0.34153846153846151"/>
    <n v="650"/>
    <n v="221.99999999999997"/>
    <n v="0"/>
    <m/>
    <m/>
    <m/>
    <m/>
    <n v="0"/>
    <n v="0"/>
    <n v="65030.739360692016"/>
  </r>
  <r>
    <x v="182"/>
    <x v="4"/>
    <x v="120"/>
    <x v="0"/>
    <x v="5"/>
    <x v="1985"/>
    <x v="25"/>
    <s v="POS"/>
    <n v="0.23076923076923078"/>
    <n v="650"/>
    <n v="150"/>
    <n v="0"/>
    <m/>
    <m/>
    <m/>
    <m/>
    <n v="0"/>
    <n v="0"/>
    <n v="65030.739360692016"/>
  </r>
  <r>
    <x v="182"/>
    <x v="4"/>
    <x v="116"/>
    <x v="0"/>
    <x v="5"/>
    <x v="1985"/>
    <x v="25"/>
    <s v="POS"/>
    <n v="0.23255813953488372"/>
    <n v="430"/>
    <n v="100"/>
    <n v="0"/>
    <m/>
    <m/>
    <m/>
    <m/>
    <n v="0"/>
    <n v="0"/>
    <n v="65030.739360692016"/>
  </r>
  <r>
    <x v="182"/>
    <x v="4"/>
    <x v="296"/>
    <x v="0"/>
    <x v="5"/>
    <x v="1985"/>
    <x v="25"/>
    <s v="POS"/>
    <n v="1"/>
    <n v="135"/>
    <n v="135"/>
    <n v="0"/>
    <m/>
    <m/>
    <m/>
    <m/>
    <n v="0"/>
    <n v="0"/>
    <n v="65030.739360692016"/>
  </r>
  <r>
    <x v="182"/>
    <x v="4"/>
    <x v="152"/>
    <x v="0"/>
    <x v="1"/>
    <x v="1986"/>
    <x v="25"/>
    <s v="NAKİT"/>
    <n v="1"/>
    <n v="80"/>
    <n v="0"/>
    <n v="0"/>
    <m/>
    <m/>
    <m/>
    <m/>
    <n v="80"/>
    <n v="0"/>
    <n v="65110.739360692016"/>
  </r>
  <r>
    <x v="182"/>
    <x v="4"/>
    <x v="17"/>
    <x v="0"/>
    <x v="1"/>
    <x v="1986"/>
    <x v="25"/>
    <s v="NAKİT"/>
    <n v="1"/>
    <n v="60"/>
    <n v="0"/>
    <n v="0"/>
    <m/>
    <m/>
    <m/>
    <m/>
    <n v="60"/>
    <n v="0"/>
    <n v="65170.739360692016"/>
  </r>
  <r>
    <x v="182"/>
    <x v="4"/>
    <x v="23"/>
    <x v="0"/>
    <x v="1"/>
    <x v="1986"/>
    <x v="25"/>
    <s v="NAKİT"/>
    <n v="0.2"/>
    <n v="300"/>
    <n v="0"/>
    <n v="0"/>
    <m/>
    <m/>
    <m/>
    <m/>
    <n v="60"/>
    <n v="0"/>
    <n v="65230.739360692016"/>
  </r>
  <r>
    <x v="182"/>
    <x v="4"/>
    <x v="66"/>
    <x v="0"/>
    <x v="1"/>
    <x v="1987"/>
    <x v="25"/>
    <s v="NAKİT"/>
    <n v="0.24"/>
    <n v="417"/>
    <n v="0"/>
    <n v="0"/>
    <m/>
    <m/>
    <m/>
    <m/>
    <n v="100.08"/>
    <n v="0"/>
    <n v="65330.819360692018"/>
  </r>
  <r>
    <x v="182"/>
    <x v="4"/>
    <x v="157"/>
    <x v="0"/>
    <x v="5"/>
    <x v="1988"/>
    <x v="25"/>
    <s v="POS"/>
    <n v="0.5"/>
    <n v="140"/>
    <n v="70"/>
    <n v="0"/>
    <m/>
    <m/>
    <m/>
    <m/>
    <n v="0"/>
    <n v="0"/>
    <n v="65330.819360692018"/>
  </r>
  <r>
    <x v="182"/>
    <x v="4"/>
    <x v="14"/>
    <x v="0"/>
    <x v="5"/>
    <x v="1988"/>
    <x v="25"/>
    <s v="POS"/>
    <n v="0.5"/>
    <n v="300"/>
    <n v="150"/>
    <n v="0"/>
    <m/>
    <m/>
    <m/>
    <m/>
    <n v="0"/>
    <n v="0"/>
    <n v="65330.819360692018"/>
  </r>
  <r>
    <x v="182"/>
    <x v="4"/>
    <x v="23"/>
    <x v="0"/>
    <x v="5"/>
    <x v="1988"/>
    <x v="25"/>
    <s v="POS"/>
    <n v="0.11600000000000001"/>
    <n v="300"/>
    <n v="34.800000000000004"/>
    <n v="0"/>
    <m/>
    <m/>
    <m/>
    <m/>
    <n v="0"/>
    <n v="0"/>
    <n v="65330.819360692018"/>
  </r>
  <r>
    <x v="182"/>
    <x v="4"/>
    <x v="314"/>
    <x v="0"/>
    <x v="5"/>
    <x v="1988"/>
    <x v="25"/>
    <s v="POS"/>
    <n v="1"/>
    <n v="140"/>
    <n v="140"/>
    <n v="0"/>
    <m/>
    <m/>
    <m/>
    <m/>
    <n v="0"/>
    <n v="0"/>
    <n v="65330.819360692018"/>
  </r>
  <r>
    <x v="182"/>
    <x v="4"/>
    <x v="344"/>
    <x v="0"/>
    <x v="5"/>
    <x v="1988"/>
    <x v="25"/>
    <s v="POS"/>
    <n v="0.224"/>
    <n v="450"/>
    <n v="100.8"/>
    <n v="0"/>
    <m/>
    <m/>
    <m/>
    <m/>
    <n v="0"/>
    <n v="0"/>
    <n v="65330.819360692018"/>
  </r>
  <r>
    <x v="182"/>
    <x v="4"/>
    <x v="59"/>
    <x v="0"/>
    <x v="5"/>
    <x v="1988"/>
    <x v="25"/>
    <s v="POS"/>
    <n v="0.5"/>
    <n v="400"/>
    <n v="200"/>
    <n v="0"/>
    <m/>
    <m/>
    <m/>
    <m/>
    <n v="0"/>
    <n v="0"/>
    <n v="65330.819360692018"/>
  </r>
  <r>
    <x v="182"/>
    <x v="4"/>
    <x v="344"/>
    <x v="0"/>
    <x v="1"/>
    <x v="1988"/>
    <x v="25"/>
    <s v="NAKİT"/>
    <n v="0.28999999999999998"/>
    <n v="450"/>
    <n v="0"/>
    <n v="0"/>
    <m/>
    <m/>
    <m/>
    <m/>
    <n v="130.5"/>
    <n v="0"/>
    <n v="65461.319360692018"/>
  </r>
  <r>
    <x v="182"/>
    <x v="4"/>
    <x v="344"/>
    <x v="0"/>
    <x v="1"/>
    <x v="1988"/>
    <x v="25"/>
    <s v="NAKİT"/>
    <n v="0.188"/>
    <n v="450"/>
    <n v="0"/>
    <n v="0"/>
    <m/>
    <m/>
    <m/>
    <m/>
    <n v="84.6"/>
    <n v="0"/>
    <n v="65545.919360692016"/>
  </r>
  <r>
    <x v="183"/>
    <x v="3"/>
    <x v="208"/>
    <x v="0"/>
    <x v="4"/>
    <x v="1989"/>
    <x v="32"/>
    <s v="CARİ"/>
    <n v="9"/>
    <n v="250"/>
    <n v="0"/>
    <n v="2250"/>
    <m/>
    <m/>
    <m/>
    <m/>
    <n v="0"/>
    <n v="0"/>
    <n v="65545.919360692016"/>
  </r>
  <r>
    <x v="183"/>
    <x v="3"/>
    <x v="293"/>
    <x v="0"/>
    <x v="4"/>
    <x v="1989"/>
    <x v="32"/>
    <s v="CARİ"/>
    <n v="5"/>
    <n v="270"/>
    <n v="0"/>
    <n v="1350"/>
    <m/>
    <m/>
    <m/>
    <m/>
    <n v="0"/>
    <n v="0"/>
    <n v="65545.919360692016"/>
  </r>
  <r>
    <x v="183"/>
    <x v="3"/>
    <x v="298"/>
    <x v="0"/>
    <x v="4"/>
    <x v="1989"/>
    <x v="32"/>
    <s v="CARİ"/>
    <n v="1"/>
    <n v="745"/>
    <n v="0"/>
    <n v="745"/>
    <m/>
    <m/>
    <m/>
    <m/>
    <n v="0"/>
    <n v="0"/>
    <n v="65545.919360692016"/>
  </r>
  <r>
    <x v="183"/>
    <x v="3"/>
    <x v="154"/>
    <x v="0"/>
    <x v="4"/>
    <x v="1989"/>
    <x v="32"/>
    <s v="CARİ"/>
    <n v="10"/>
    <n v="105"/>
    <n v="0"/>
    <n v="1050"/>
    <m/>
    <m/>
    <m/>
    <m/>
    <n v="0"/>
    <n v="0"/>
    <n v="65545.919360692016"/>
  </r>
  <r>
    <x v="183"/>
    <x v="3"/>
    <x v="158"/>
    <x v="0"/>
    <x v="4"/>
    <x v="1989"/>
    <x v="32"/>
    <s v="CARİ"/>
    <n v="30"/>
    <n v="6.5"/>
    <n v="0"/>
    <n v="195"/>
    <m/>
    <m/>
    <m/>
    <m/>
    <n v="0"/>
    <n v="0"/>
    <n v="65545.919360692016"/>
  </r>
  <r>
    <x v="183"/>
    <x v="3"/>
    <x v="98"/>
    <x v="0"/>
    <x v="4"/>
    <x v="1989"/>
    <x v="32"/>
    <s v="CARİ"/>
    <n v="5"/>
    <n v="550"/>
    <n v="0"/>
    <n v="2750"/>
    <m/>
    <m/>
    <m/>
    <m/>
    <n v="0"/>
    <n v="0"/>
    <n v="65545.919360692016"/>
  </r>
  <r>
    <x v="183"/>
    <x v="3"/>
    <x v="287"/>
    <x v="0"/>
    <x v="4"/>
    <x v="1989"/>
    <x v="32"/>
    <s v="CARİ"/>
    <n v="25"/>
    <n v="39"/>
    <n v="0"/>
    <n v="975"/>
    <m/>
    <m/>
    <m/>
    <m/>
    <n v="0"/>
    <n v="0"/>
    <n v="65545.919360692016"/>
  </r>
  <r>
    <x v="183"/>
    <x v="3"/>
    <x v="104"/>
    <x v="0"/>
    <x v="4"/>
    <x v="1989"/>
    <x v="32"/>
    <s v="CARİ"/>
    <n v="3"/>
    <n v="135"/>
    <n v="0"/>
    <n v="405"/>
    <m/>
    <m/>
    <m/>
    <m/>
    <n v="0"/>
    <n v="0"/>
    <n v="65545.919360692016"/>
  </r>
  <r>
    <x v="183"/>
    <x v="3"/>
    <x v="105"/>
    <x v="0"/>
    <x v="4"/>
    <x v="1989"/>
    <x v="32"/>
    <s v="CARİ"/>
    <n v="3"/>
    <n v="135"/>
    <n v="0"/>
    <n v="405"/>
    <m/>
    <m/>
    <m/>
    <m/>
    <n v="0"/>
    <n v="0"/>
    <n v="65545.919360692016"/>
  </r>
  <r>
    <x v="183"/>
    <x v="3"/>
    <x v="106"/>
    <x v="0"/>
    <x v="4"/>
    <x v="1989"/>
    <x v="32"/>
    <s v="CARİ"/>
    <n v="3"/>
    <n v="135"/>
    <n v="0"/>
    <n v="405"/>
    <m/>
    <m/>
    <m/>
    <m/>
    <n v="0"/>
    <n v="0"/>
    <n v="65545.919360692016"/>
  </r>
  <r>
    <x v="183"/>
    <x v="3"/>
    <x v="111"/>
    <x v="0"/>
    <x v="4"/>
    <x v="1989"/>
    <x v="32"/>
    <s v="CARİ"/>
    <n v="6"/>
    <n v="150"/>
    <n v="0"/>
    <n v="900"/>
    <m/>
    <m/>
    <m/>
    <m/>
    <n v="0"/>
    <n v="0"/>
    <n v="65545.919360692016"/>
  </r>
  <r>
    <x v="183"/>
    <x v="3"/>
    <x v="212"/>
    <x v="0"/>
    <x v="4"/>
    <x v="1989"/>
    <x v="32"/>
    <s v="CARİ"/>
    <n v="5"/>
    <n v="540"/>
    <n v="0"/>
    <n v="2700"/>
    <m/>
    <m/>
    <m/>
    <m/>
    <n v="0"/>
    <n v="0"/>
    <n v="65545.919360692016"/>
  </r>
  <r>
    <x v="183"/>
    <x v="4"/>
    <x v="56"/>
    <x v="0"/>
    <x v="1"/>
    <x v="1990"/>
    <x v="25"/>
    <s v="NAKİT"/>
    <n v="2"/>
    <n v="200"/>
    <n v="0"/>
    <n v="0"/>
    <m/>
    <m/>
    <m/>
    <m/>
    <n v="400"/>
    <n v="0"/>
    <n v="65945.919360692016"/>
  </r>
  <r>
    <x v="183"/>
    <x v="4"/>
    <x v="46"/>
    <x v="0"/>
    <x v="1"/>
    <x v="1991"/>
    <x v="25"/>
    <s v="NAKİT"/>
    <n v="2.5000000000000001E-2"/>
    <n v="2000"/>
    <n v="0"/>
    <n v="0"/>
    <m/>
    <m/>
    <m/>
    <m/>
    <n v="50"/>
    <n v="0"/>
    <n v="65995.919360692016"/>
  </r>
  <r>
    <x v="183"/>
    <x v="4"/>
    <x v="18"/>
    <x v="0"/>
    <x v="5"/>
    <x v="1992"/>
    <x v="25"/>
    <s v="POS"/>
    <n v="1"/>
    <n v="240"/>
    <n v="240"/>
    <n v="0"/>
    <m/>
    <m/>
    <m/>
    <m/>
    <n v="0"/>
    <n v="0"/>
    <n v="65995.919360692016"/>
  </r>
  <r>
    <x v="183"/>
    <x v="4"/>
    <x v="339"/>
    <x v="0"/>
    <x v="5"/>
    <x v="1993"/>
    <x v="25"/>
    <s v="POS"/>
    <n v="1"/>
    <n v="135"/>
    <n v="135"/>
    <n v="0"/>
    <m/>
    <m/>
    <m/>
    <m/>
    <n v="0"/>
    <n v="0"/>
    <n v="65995.919360692016"/>
  </r>
  <r>
    <x v="183"/>
    <x v="4"/>
    <x v="24"/>
    <x v="0"/>
    <x v="1"/>
    <x v="1994"/>
    <x v="25"/>
    <s v="NAKİT"/>
    <n v="9.6923076923076917E-2"/>
    <n v="650"/>
    <n v="0"/>
    <n v="0"/>
    <m/>
    <m/>
    <m/>
    <m/>
    <n v="62.999999999999993"/>
    <n v="0"/>
    <n v="66058.919360692016"/>
  </r>
  <r>
    <x v="183"/>
    <x v="4"/>
    <x v="29"/>
    <x v="0"/>
    <x v="1"/>
    <x v="1994"/>
    <x v="25"/>
    <s v="NAKİT"/>
    <n v="3.7647058823529408E-2"/>
    <n v="850"/>
    <n v="0"/>
    <n v="0"/>
    <m/>
    <m/>
    <m/>
    <m/>
    <n v="31.999999999999996"/>
    <n v="0"/>
    <n v="66090.919360692016"/>
  </r>
  <r>
    <x v="183"/>
    <x v="4"/>
    <x v="18"/>
    <x v="0"/>
    <x v="5"/>
    <x v="1995"/>
    <x v="25"/>
    <s v="POS"/>
    <n v="1"/>
    <n v="250"/>
    <n v="250"/>
    <n v="0"/>
    <m/>
    <m/>
    <m/>
    <m/>
    <n v="0"/>
    <n v="0"/>
    <n v="66090.919360692016"/>
  </r>
  <r>
    <x v="183"/>
    <x v="4"/>
    <x v="58"/>
    <x v="0"/>
    <x v="1"/>
    <x v="1995"/>
    <x v="25"/>
    <s v="NAKİT"/>
    <n v="1"/>
    <n v="250"/>
    <n v="0"/>
    <n v="0"/>
    <m/>
    <m/>
    <m/>
    <m/>
    <n v="250"/>
    <n v="0"/>
    <n v="66340.919360692016"/>
  </r>
  <r>
    <x v="183"/>
    <x v="4"/>
    <x v="11"/>
    <x v="0"/>
    <x v="1"/>
    <x v="1995"/>
    <x v="25"/>
    <s v="NAKİT"/>
    <n v="1"/>
    <n v="95"/>
    <n v="0"/>
    <n v="0"/>
    <m/>
    <m/>
    <m/>
    <m/>
    <n v="95"/>
    <n v="0"/>
    <n v="66435.919360692016"/>
  </r>
  <r>
    <x v="183"/>
    <x v="4"/>
    <x v="18"/>
    <x v="0"/>
    <x v="1"/>
    <x v="1996"/>
    <x v="25"/>
    <s v="NAKİT"/>
    <n v="1"/>
    <n v="250"/>
    <n v="0"/>
    <n v="0"/>
    <m/>
    <m/>
    <m/>
    <m/>
    <n v="250"/>
    <n v="0"/>
    <n v="66685.919360692016"/>
  </r>
  <r>
    <x v="183"/>
    <x v="4"/>
    <x v="57"/>
    <x v="0"/>
    <x v="5"/>
    <x v="1997"/>
    <x v="25"/>
    <s v="POS"/>
    <n v="1"/>
    <n v="150"/>
    <n v="150"/>
    <n v="0"/>
    <m/>
    <m/>
    <m/>
    <m/>
    <n v="0"/>
    <n v="0"/>
    <n v="66685.919360692016"/>
  </r>
  <r>
    <x v="183"/>
    <x v="4"/>
    <x v="49"/>
    <x v="0"/>
    <x v="5"/>
    <x v="1997"/>
    <x v="25"/>
    <s v="POS"/>
    <n v="0.1"/>
    <n v="600"/>
    <n v="60"/>
    <n v="0"/>
    <m/>
    <m/>
    <m/>
    <m/>
    <n v="0"/>
    <n v="0"/>
    <n v="66685.919360692016"/>
  </r>
  <r>
    <x v="183"/>
    <x v="4"/>
    <x v="238"/>
    <x v="0"/>
    <x v="5"/>
    <x v="1997"/>
    <x v="25"/>
    <s v="POS"/>
    <n v="0.29411764705882354"/>
    <n v="340"/>
    <n v="100"/>
    <n v="0"/>
    <m/>
    <m/>
    <m/>
    <m/>
    <n v="0"/>
    <n v="0"/>
    <n v="66685.919360692016"/>
  </r>
  <r>
    <x v="183"/>
    <x v="4"/>
    <x v="111"/>
    <x v="0"/>
    <x v="5"/>
    <x v="1998"/>
    <x v="25"/>
    <s v="POS"/>
    <n v="0.5"/>
    <n v="350"/>
    <n v="175"/>
    <n v="0"/>
    <m/>
    <m/>
    <m/>
    <m/>
    <n v="0"/>
    <n v="0"/>
    <n v="66685.919360692016"/>
  </r>
  <r>
    <x v="183"/>
    <x v="4"/>
    <x v="435"/>
    <x v="0"/>
    <x v="1"/>
    <x v="1999"/>
    <x v="25"/>
    <s v="NAKİT"/>
    <n v="7.2727272727272724E-2"/>
    <n v="550"/>
    <n v="0"/>
    <n v="0"/>
    <m/>
    <m/>
    <m/>
    <m/>
    <n v="40"/>
    <n v="0"/>
    <n v="66725.919360692016"/>
  </r>
  <r>
    <x v="183"/>
    <x v="4"/>
    <x v="59"/>
    <x v="0"/>
    <x v="1"/>
    <x v="1999"/>
    <x v="25"/>
    <s v="NAKİT"/>
    <n v="0.32222222222222224"/>
    <n v="450"/>
    <n v="0"/>
    <n v="0"/>
    <m/>
    <m/>
    <m/>
    <m/>
    <n v="145"/>
    <n v="0"/>
    <n v="66870.919360692016"/>
  </r>
  <r>
    <x v="183"/>
    <x v="4"/>
    <x v="298"/>
    <x v="0"/>
    <x v="1"/>
    <x v="1999"/>
    <x v="25"/>
    <s v="NAKİT"/>
    <n v="0.1"/>
    <n v="2000"/>
    <n v="0"/>
    <n v="0"/>
    <m/>
    <m/>
    <m/>
    <m/>
    <n v="200"/>
    <n v="0"/>
    <n v="67070.919360692016"/>
  </r>
  <r>
    <x v="183"/>
    <x v="4"/>
    <x v="314"/>
    <x v="0"/>
    <x v="1"/>
    <x v="2000"/>
    <x v="25"/>
    <s v="NAKİT"/>
    <n v="1"/>
    <n v="140"/>
    <n v="0"/>
    <n v="0"/>
    <m/>
    <m/>
    <m/>
    <m/>
    <n v="140"/>
    <n v="0"/>
    <n v="67210.919360692016"/>
  </r>
  <r>
    <x v="183"/>
    <x v="4"/>
    <x v="239"/>
    <x v="0"/>
    <x v="1"/>
    <x v="2000"/>
    <x v="25"/>
    <s v="NAKİT"/>
    <n v="0.25"/>
    <n v="400"/>
    <n v="0"/>
    <n v="0"/>
    <m/>
    <m/>
    <m/>
    <m/>
    <n v="100"/>
    <n v="0"/>
    <n v="67310.919360692016"/>
  </r>
  <r>
    <x v="183"/>
    <x v="4"/>
    <x v="308"/>
    <x v="0"/>
    <x v="1"/>
    <x v="2000"/>
    <x v="25"/>
    <s v="NAKİT"/>
    <n v="1"/>
    <n v="180"/>
    <n v="0"/>
    <n v="0"/>
    <m/>
    <m/>
    <m/>
    <m/>
    <n v="180"/>
    <n v="0"/>
    <n v="67490.919360692016"/>
  </r>
  <r>
    <x v="183"/>
    <x v="4"/>
    <x v="263"/>
    <x v="0"/>
    <x v="1"/>
    <x v="2000"/>
    <x v="25"/>
    <s v="NAKİT"/>
    <n v="1"/>
    <n v="120"/>
    <n v="0"/>
    <n v="0"/>
    <m/>
    <m/>
    <m/>
    <m/>
    <n v="120"/>
    <n v="0"/>
    <n v="67610.919360692016"/>
  </r>
  <r>
    <x v="184"/>
    <x v="4"/>
    <x v="57"/>
    <x v="0"/>
    <x v="1"/>
    <x v="2001"/>
    <x v="25"/>
    <s v="NAKİT"/>
    <n v="0.5"/>
    <n v="150"/>
    <n v="0"/>
    <n v="0"/>
    <m/>
    <m/>
    <m/>
    <m/>
    <n v="75"/>
    <n v="0"/>
    <n v="67685.919360692016"/>
  </r>
  <r>
    <x v="184"/>
    <x v="4"/>
    <x v="18"/>
    <x v="0"/>
    <x v="1"/>
    <x v="2001"/>
    <x v="25"/>
    <s v="NAKİT"/>
    <n v="1"/>
    <n v="250"/>
    <n v="0"/>
    <n v="0"/>
    <m/>
    <m/>
    <m/>
    <m/>
    <n v="250"/>
    <n v="0"/>
    <n v="67935.919360692016"/>
  </r>
  <r>
    <x v="184"/>
    <x v="4"/>
    <x v="59"/>
    <x v="0"/>
    <x v="1"/>
    <x v="2001"/>
    <x v="25"/>
    <s v="NAKİT"/>
    <n v="6.222222222222222E-2"/>
    <n v="450"/>
    <n v="0"/>
    <n v="0"/>
    <m/>
    <m/>
    <m/>
    <m/>
    <n v="28"/>
    <n v="0"/>
    <n v="67963.919360692016"/>
  </r>
  <r>
    <x v="184"/>
    <x v="4"/>
    <x v="275"/>
    <x v="0"/>
    <x v="1"/>
    <x v="2001"/>
    <x v="25"/>
    <s v="NAKİT"/>
    <n v="1"/>
    <n v="150"/>
    <n v="0"/>
    <n v="0"/>
    <m/>
    <m/>
    <m/>
    <m/>
    <n v="150"/>
    <n v="0"/>
    <n v="68113.919360692016"/>
  </r>
  <r>
    <x v="184"/>
    <x v="4"/>
    <x v="42"/>
    <x v="0"/>
    <x v="1"/>
    <x v="2002"/>
    <x v="25"/>
    <s v="NAKİT"/>
    <n v="1"/>
    <n v="80"/>
    <n v="0"/>
    <n v="0"/>
    <m/>
    <m/>
    <m/>
    <m/>
    <n v="80"/>
    <n v="0"/>
    <n v="68193.919360692016"/>
  </r>
  <r>
    <x v="184"/>
    <x v="4"/>
    <x v="14"/>
    <x v="0"/>
    <x v="1"/>
    <x v="2002"/>
    <x v="25"/>
    <s v="NAKİT"/>
    <n v="0.5"/>
    <n v="280"/>
    <n v="0"/>
    <n v="0"/>
    <m/>
    <m/>
    <m/>
    <m/>
    <n v="140"/>
    <n v="0"/>
    <n v="68333.919360692016"/>
  </r>
  <r>
    <x v="184"/>
    <x v="4"/>
    <x v="312"/>
    <x v="0"/>
    <x v="1"/>
    <x v="2003"/>
    <x v="25"/>
    <s v="NAKİT"/>
    <n v="0.5"/>
    <n v="350"/>
    <n v="0"/>
    <n v="0"/>
    <m/>
    <m/>
    <m/>
    <m/>
    <n v="175"/>
    <n v="0"/>
    <n v="68508.919360692016"/>
  </r>
  <r>
    <x v="184"/>
    <x v="4"/>
    <x v="11"/>
    <x v="0"/>
    <x v="1"/>
    <x v="2004"/>
    <x v="129"/>
    <s v="NAKİT"/>
    <n v="3"/>
    <n v="95"/>
    <n v="0"/>
    <n v="0"/>
    <m/>
    <m/>
    <m/>
    <m/>
    <n v="285"/>
    <n v="0"/>
    <n v="68793.919360692016"/>
  </r>
  <r>
    <x v="184"/>
    <x v="4"/>
    <x v="31"/>
    <x v="0"/>
    <x v="1"/>
    <x v="2004"/>
    <x v="129"/>
    <s v="NAKİT"/>
    <n v="0.3"/>
    <n v="400"/>
    <n v="0"/>
    <n v="0"/>
    <m/>
    <m/>
    <m/>
    <m/>
    <n v="120"/>
    <n v="0"/>
    <n v="68913.919360692016"/>
  </r>
  <r>
    <x v="184"/>
    <x v="4"/>
    <x v="384"/>
    <x v="0"/>
    <x v="1"/>
    <x v="2005"/>
    <x v="25"/>
    <s v="NAKİT"/>
    <n v="1"/>
    <n v="300"/>
    <n v="0"/>
    <n v="0"/>
    <m/>
    <m/>
    <m/>
    <m/>
    <n v="300"/>
    <n v="0"/>
    <n v="69213.919360692016"/>
  </r>
  <r>
    <x v="184"/>
    <x v="4"/>
    <x v="312"/>
    <x v="0"/>
    <x v="1"/>
    <x v="2006"/>
    <x v="25"/>
    <s v="NAKİT"/>
    <n v="0.5714285714285714"/>
    <n v="350"/>
    <n v="0"/>
    <n v="0"/>
    <m/>
    <m/>
    <m/>
    <m/>
    <n v="200"/>
    <n v="0"/>
    <n v="69413.919360692016"/>
  </r>
  <r>
    <x v="184"/>
    <x v="4"/>
    <x v="237"/>
    <x v="0"/>
    <x v="1"/>
    <x v="2007"/>
    <x v="25"/>
    <s v="NAKİT"/>
    <n v="1"/>
    <n v="170"/>
    <n v="0"/>
    <n v="0"/>
    <m/>
    <m/>
    <m/>
    <m/>
    <n v="170"/>
    <n v="0"/>
    <n v="69583.919360692016"/>
  </r>
  <r>
    <x v="184"/>
    <x v="4"/>
    <x v="27"/>
    <x v="0"/>
    <x v="1"/>
    <x v="2008"/>
    <x v="25"/>
    <s v="NAKİT"/>
    <n v="0.125"/>
    <n v="400"/>
    <n v="0"/>
    <n v="0"/>
    <m/>
    <m/>
    <m/>
    <m/>
    <n v="50"/>
    <n v="0"/>
    <n v="69633.919360692016"/>
  </r>
  <r>
    <x v="184"/>
    <x v="4"/>
    <x v="196"/>
    <x v="0"/>
    <x v="5"/>
    <x v="2009"/>
    <x v="25"/>
    <s v="POS"/>
    <n v="1"/>
    <n v="340"/>
    <n v="340"/>
    <n v="0"/>
    <m/>
    <m/>
    <m/>
    <m/>
    <n v="0"/>
    <n v="0"/>
    <n v="69633.919360692016"/>
  </r>
  <r>
    <x v="184"/>
    <x v="4"/>
    <x v="159"/>
    <x v="0"/>
    <x v="5"/>
    <x v="2010"/>
    <x v="25"/>
    <s v="POS"/>
    <n v="1"/>
    <n v="100"/>
    <n v="100"/>
    <n v="0"/>
    <m/>
    <m/>
    <m/>
    <m/>
    <n v="0"/>
    <n v="0"/>
    <n v="69633.919360692016"/>
  </r>
  <r>
    <x v="184"/>
    <x v="4"/>
    <x v="23"/>
    <x v="0"/>
    <x v="5"/>
    <x v="2010"/>
    <x v="25"/>
    <s v="POS"/>
    <n v="9.6666666666666665E-2"/>
    <n v="300"/>
    <n v="29"/>
    <n v="0"/>
    <m/>
    <m/>
    <m/>
    <m/>
    <n v="0"/>
    <n v="0"/>
    <n v="69633.919360692016"/>
  </r>
  <r>
    <x v="184"/>
    <x v="4"/>
    <x v="155"/>
    <x v="0"/>
    <x v="1"/>
    <x v="2011"/>
    <x v="25"/>
    <s v="NAKİT"/>
    <n v="0.1"/>
    <n v="700"/>
    <n v="0"/>
    <n v="0"/>
    <m/>
    <m/>
    <m/>
    <m/>
    <n v="70"/>
    <n v="0"/>
    <n v="69703.919360692016"/>
  </r>
  <r>
    <x v="184"/>
    <x v="4"/>
    <x v="132"/>
    <x v="0"/>
    <x v="1"/>
    <x v="2012"/>
    <x v="25"/>
    <s v="NAKİT"/>
    <n v="1"/>
    <n v="220"/>
    <n v="0"/>
    <n v="0"/>
    <m/>
    <m/>
    <m/>
    <m/>
    <n v="220"/>
    <n v="0"/>
    <n v="69923.919360692016"/>
  </r>
  <r>
    <x v="184"/>
    <x v="4"/>
    <x v="314"/>
    <x v="0"/>
    <x v="5"/>
    <x v="2013"/>
    <x v="25"/>
    <s v="POS"/>
    <n v="1"/>
    <n v="140"/>
    <n v="140"/>
    <n v="0"/>
    <m/>
    <m/>
    <m/>
    <m/>
    <n v="0"/>
    <n v="0"/>
    <n v="69923.919360692016"/>
  </r>
  <r>
    <x v="184"/>
    <x v="4"/>
    <x v="66"/>
    <x v="0"/>
    <x v="5"/>
    <x v="2013"/>
    <x v="25"/>
    <s v="POS"/>
    <n v="0.12"/>
    <n v="417"/>
    <n v="50.04"/>
    <n v="0"/>
    <m/>
    <m/>
    <m/>
    <m/>
    <n v="0"/>
    <n v="0"/>
    <n v="69923.919360692016"/>
  </r>
  <r>
    <x v="184"/>
    <x v="4"/>
    <x v="22"/>
    <x v="0"/>
    <x v="5"/>
    <x v="2014"/>
    <x v="25"/>
    <s v="POS"/>
    <n v="0.09"/>
    <n v="400"/>
    <n v="36"/>
    <n v="0"/>
    <m/>
    <m/>
    <m/>
    <m/>
    <n v="0"/>
    <n v="0"/>
    <n v="69923.919360692016"/>
  </r>
  <r>
    <x v="184"/>
    <x v="4"/>
    <x v="24"/>
    <x v="0"/>
    <x v="5"/>
    <x v="2014"/>
    <x v="25"/>
    <s v="POS"/>
    <n v="8.3076923076923076E-2"/>
    <n v="650"/>
    <n v="54"/>
    <n v="0"/>
    <m/>
    <m/>
    <m/>
    <m/>
    <n v="0"/>
    <n v="0"/>
    <n v="69923.919360692016"/>
  </r>
  <r>
    <x v="185"/>
    <x v="4"/>
    <x v="223"/>
    <x v="0"/>
    <x v="1"/>
    <x v="2015"/>
    <x v="25"/>
    <s v="NAKİT"/>
    <n v="1"/>
    <n v="260"/>
    <n v="0"/>
    <n v="0"/>
    <m/>
    <m/>
    <m/>
    <m/>
    <n v="260"/>
    <n v="0"/>
    <n v="70183.919360692016"/>
  </r>
  <r>
    <x v="185"/>
    <x v="4"/>
    <x v="58"/>
    <x v="0"/>
    <x v="5"/>
    <x v="2016"/>
    <x v="25"/>
    <s v="POS"/>
    <n v="1"/>
    <n v="250"/>
    <n v="250"/>
    <n v="0"/>
    <m/>
    <m/>
    <m/>
    <m/>
    <n v="0"/>
    <n v="0"/>
    <n v="70183.919360692016"/>
  </r>
  <r>
    <x v="185"/>
    <x v="4"/>
    <x v="57"/>
    <x v="0"/>
    <x v="1"/>
    <x v="2017"/>
    <x v="25"/>
    <s v="NAKİT"/>
    <n v="0.5"/>
    <n v="150"/>
    <n v="0"/>
    <n v="0"/>
    <m/>
    <m/>
    <m/>
    <m/>
    <n v="75"/>
    <n v="0"/>
    <n v="70258.919360692016"/>
  </r>
  <r>
    <x v="185"/>
    <x v="4"/>
    <x v="33"/>
    <x v="0"/>
    <x v="1"/>
    <x v="2017"/>
    <x v="25"/>
    <s v="NAKİT"/>
    <n v="0.25"/>
    <n v="400"/>
    <n v="0"/>
    <n v="0"/>
    <m/>
    <m/>
    <m/>
    <m/>
    <n v="100"/>
    <n v="0"/>
    <n v="70358.919360692016"/>
  </r>
  <r>
    <x v="185"/>
    <x v="4"/>
    <x v="24"/>
    <x v="0"/>
    <x v="1"/>
    <x v="2017"/>
    <x v="25"/>
    <s v="NAKİT"/>
    <n v="7.6923076923076927E-2"/>
    <n v="650"/>
    <n v="0"/>
    <n v="0"/>
    <m/>
    <m/>
    <m/>
    <m/>
    <n v="50"/>
    <n v="0"/>
    <n v="70408.919360692016"/>
  </r>
  <r>
    <x v="185"/>
    <x v="4"/>
    <x v="57"/>
    <x v="0"/>
    <x v="5"/>
    <x v="2018"/>
    <x v="25"/>
    <s v="POS"/>
    <n v="1"/>
    <n v="150"/>
    <n v="150"/>
    <n v="0"/>
    <m/>
    <m/>
    <m/>
    <m/>
    <n v="0"/>
    <n v="0"/>
    <n v="70408.919360692016"/>
  </r>
  <r>
    <x v="185"/>
    <x v="4"/>
    <x v="55"/>
    <x v="0"/>
    <x v="5"/>
    <x v="2018"/>
    <x v="25"/>
    <s v="POS"/>
    <n v="1"/>
    <n v="200"/>
    <n v="200"/>
    <n v="0"/>
    <m/>
    <m/>
    <m/>
    <m/>
    <n v="0"/>
    <n v="0"/>
    <n v="70408.919360692016"/>
  </r>
  <r>
    <x v="185"/>
    <x v="4"/>
    <x v="248"/>
    <x v="0"/>
    <x v="5"/>
    <x v="2019"/>
    <x v="25"/>
    <s v="POS"/>
    <n v="0.22307692307692309"/>
    <n v="650"/>
    <n v="145"/>
    <n v="0"/>
    <m/>
    <m/>
    <m/>
    <m/>
    <n v="0"/>
    <n v="0"/>
    <n v="70408.919360692016"/>
  </r>
  <r>
    <x v="185"/>
    <x v="0"/>
    <x v="0"/>
    <x v="0"/>
    <x v="0"/>
    <x v="2"/>
    <x v="209"/>
    <s v="NAKİT"/>
    <n v="1"/>
    <n v="35000"/>
    <n v="35000"/>
    <n v="0"/>
    <n v="0"/>
    <n v="15000"/>
    <m/>
    <m/>
    <n v="0"/>
    <n v="35000"/>
    <n v="35408.919360692016"/>
  </r>
  <r>
    <x v="185"/>
    <x v="7"/>
    <x v="0"/>
    <x v="0"/>
    <x v="2"/>
    <x v="2"/>
    <x v="210"/>
    <s v="NAKİT"/>
    <n v="1"/>
    <n v="23925.0177"/>
    <n v="23925.02"/>
    <n v="0"/>
    <m/>
    <m/>
    <m/>
    <m/>
    <n v="0"/>
    <n v="23925.02"/>
    <n v="11483.899360692016"/>
  </r>
  <r>
    <x v="186"/>
    <x v="4"/>
    <x v="61"/>
    <x v="0"/>
    <x v="5"/>
    <x v="2020"/>
    <x v="25"/>
    <s v="POS"/>
    <n v="8.1818181818181818E-2"/>
    <n v="770"/>
    <n v="63"/>
    <n v="0"/>
    <m/>
    <m/>
    <m/>
    <m/>
    <n v="0"/>
    <n v="0"/>
    <n v="11483.899360692016"/>
  </r>
  <r>
    <x v="186"/>
    <x v="4"/>
    <x v="435"/>
    <x v="0"/>
    <x v="1"/>
    <x v="2021"/>
    <x v="25"/>
    <s v="NAKİT"/>
    <n v="0.19090909090909092"/>
    <n v="525"/>
    <n v="0"/>
    <n v="0"/>
    <m/>
    <m/>
    <m/>
    <m/>
    <n v="100.22727272727273"/>
    <n v="0"/>
    <n v="11584.126633419288"/>
  </r>
  <r>
    <x v="186"/>
    <x v="4"/>
    <x v="360"/>
    <x v="0"/>
    <x v="1"/>
    <x v="2021"/>
    <x v="25"/>
    <s v="NAKİT"/>
    <n v="0.25"/>
    <n v="600"/>
    <n v="0"/>
    <n v="0"/>
    <m/>
    <m/>
    <m/>
    <m/>
    <n v="150"/>
    <n v="0"/>
    <n v="11734.126633419288"/>
  </r>
  <r>
    <x v="186"/>
    <x v="4"/>
    <x v="298"/>
    <x v="0"/>
    <x v="1"/>
    <x v="2022"/>
    <x v="25"/>
    <s v="NAKİT"/>
    <n v="0.1"/>
    <n v="2000"/>
    <n v="0"/>
    <n v="0"/>
    <m/>
    <m/>
    <m/>
    <m/>
    <n v="200"/>
    <n v="0"/>
    <n v="11934.126633419288"/>
  </r>
  <r>
    <x v="186"/>
    <x v="4"/>
    <x v="344"/>
    <x v="0"/>
    <x v="5"/>
    <x v="2023"/>
    <x v="25"/>
    <s v="POS"/>
    <n v="0.5"/>
    <n v="450"/>
    <n v="225"/>
    <n v="0"/>
    <m/>
    <m/>
    <m/>
    <m/>
    <n v="0"/>
    <n v="0"/>
    <n v="11934.126633419288"/>
  </r>
  <r>
    <x v="186"/>
    <x v="4"/>
    <x v="66"/>
    <x v="0"/>
    <x v="1"/>
    <x v="2024"/>
    <x v="25"/>
    <s v="NAKİT"/>
    <n v="0.12"/>
    <n v="417"/>
    <n v="0"/>
    <n v="0"/>
    <m/>
    <m/>
    <m/>
    <m/>
    <n v="50.04"/>
    <n v="0"/>
    <n v="11984.166633419289"/>
  </r>
  <r>
    <x v="186"/>
    <x v="4"/>
    <x v="98"/>
    <x v="0"/>
    <x v="5"/>
    <x v="2025"/>
    <x v="25"/>
    <s v="POS"/>
    <n v="0.24199999999999999"/>
    <n v="800"/>
    <n v="193.6"/>
    <n v="0"/>
    <m/>
    <m/>
    <m/>
    <m/>
    <n v="0"/>
    <n v="0"/>
    <n v="11984.166633419289"/>
  </r>
  <r>
    <x v="186"/>
    <x v="4"/>
    <x v="400"/>
    <x v="0"/>
    <x v="5"/>
    <x v="2025"/>
    <x v="25"/>
    <s v="POS"/>
    <n v="8.5999999999999993E-2"/>
    <n v="2900"/>
    <n v="249.39999999999998"/>
    <n v="0"/>
    <m/>
    <m/>
    <m/>
    <m/>
    <n v="0"/>
    <n v="0"/>
    <n v="11984.166633419289"/>
  </r>
  <r>
    <x v="186"/>
    <x v="4"/>
    <x v="298"/>
    <x v="0"/>
    <x v="1"/>
    <x v="2026"/>
    <x v="25"/>
    <s v="NAKİT"/>
    <n v="0.1"/>
    <n v="2000"/>
    <n v="0"/>
    <n v="0"/>
    <m/>
    <m/>
    <m/>
    <m/>
    <n v="200"/>
    <n v="0"/>
    <n v="12184.166633419289"/>
  </r>
  <r>
    <x v="186"/>
    <x v="4"/>
    <x v="383"/>
    <x v="0"/>
    <x v="1"/>
    <x v="2026"/>
    <x v="25"/>
    <s v="NAKİT"/>
    <n v="0.1"/>
    <n v="400"/>
    <n v="0"/>
    <n v="0"/>
    <m/>
    <m/>
    <m/>
    <m/>
    <n v="40"/>
    <n v="0"/>
    <n v="12224.166633419289"/>
  </r>
  <r>
    <x v="186"/>
    <x v="4"/>
    <x v="55"/>
    <x v="0"/>
    <x v="5"/>
    <x v="2027"/>
    <x v="25"/>
    <s v="POS"/>
    <n v="1"/>
    <n v="200"/>
    <n v="200"/>
    <n v="0"/>
    <m/>
    <m/>
    <m/>
    <m/>
    <n v="0"/>
    <n v="0"/>
    <n v="12224.166633419289"/>
  </r>
  <r>
    <x v="186"/>
    <x v="4"/>
    <x v="57"/>
    <x v="0"/>
    <x v="5"/>
    <x v="2027"/>
    <x v="25"/>
    <s v="POS"/>
    <n v="1"/>
    <n v="150"/>
    <n v="150"/>
    <n v="0"/>
    <m/>
    <m/>
    <m/>
    <m/>
    <n v="0"/>
    <n v="0"/>
    <n v="12224.166633419289"/>
  </r>
  <r>
    <x v="186"/>
    <x v="4"/>
    <x v="50"/>
    <x v="0"/>
    <x v="5"/>
    <x v="2027"/>
    <x v="25"/>
    <s v="POS"/>
    <n v="0.08"/>
    <n v="750"/>
    <n v="60"/>
    <n v="0"/>
    <m/>
    <m/>
    <m/>
    <m/>
    <n v="0"/>
    <n v="0"/>
    <n v="12224.166633419289"/>
  </r>
  <r>
    <x v="186"/>
    <x v="4"/>
    <x v="49"/>
    <x v="0"/>
    <x v="5"/>
    <x v="2028"/>
    <x v="25"/>
    <s v="POS"/>
    <n v="0.1"/>
    <n v="600"/>
    <n v="60"/>
    <n v="0"/>
    <m/>
    <m/>
    <m/>
    <m/>
    <n v="0"/>
    <n v="0"/>
    <n v="12224.166633419289"/>
  </r>
  <r>
    <x v="186"/>
    <x v="4"/>
    <x v="142"/>
    <x v="0"/>
    <x v="1"/>
    <x v="2029"/>
    <x v="25"/>
    <s v="NAKİT"/>
    <n v="1"/>
    <n v="250"/>
    <n v="0"/>
    <n v="0"/>
    <m/>
    <m/>
    <m/>
    <m/>
    <n v="250"/>
    <n v="0"/>
    <n v="12474.166633419289"/>
  </r>
  <r>
    <x v="186"/>
    <x v="4"/>
    <x v="286"/>
    <x v="0"/>
    <x v="1"/>
    <x v="2030"/>
    <x v="25"/>
    <s v="NAKİT"/>
    <n v="1.2"/>
    <n v="64.2"/>
    <n v="0"/>
    <n v="0"/>
    <m/>
    <m/>
    <m/>
    <m/>
    <n v="77.040000000000006"/>
    <n v="0"/>
    <n v="12551.20663341929"/>
  </r>
  <r>
    <x v="186"/>
    <x v="4"/>
    <x v="142"/>
    <x v="0"/>
    <x v="1"/>
    <x v="2030"/>
    <x v="25"/>
    <s v="NAKİT"/>
    <n v="0.47199999999999998"/>
    <n v="250"/>
    <n v="0"/>
    <n v="0"/>
    <m/>
    <m/>
    <m/>
    <m/>
    <n v="118"/>
    <n v="0"/>
    <n v="12669.20663341929"/>
  </r>
  <r>
    <x v="186"/>
    <x v="4"/>
    <x v="384"/>
    <x v="0"/>
    <x v="5"/>
    <x v="2031"/>
    <x v="25"/>
    <s v="POS"/>
    <n v="1"/>
    <n v="300"/>
    <n v="300"/>
    <n v="0"/>
    <m/>
    <m/>
    <m/>
    <m/>
    <n v="0"/>
    <n v="0"/>
    <n v="12669.20663341929"/>
  </r>
  <r>
    <x v="186"/>
    <x v="4"/>
    <x v="384"/>
    <x v="0"/>
    <x v="1"/>
    <x v="2032"/>
    <x v="25"/>
    <s v="NAKİT"/>
    <n v="1"/>
    <n v="300"/>
    <n v="0"/>
    <n v="0"/>
    <m/>
    <m/>
    <m/>
    <m/>
    <n v="300"/>
    <n v="0"/>
    <n v="12969.20663341929"/>
  </r>
  <r>
    <x v="186"/>
    <x v="4"/>
    <x v="232"/>
    <x v="0"/>
    <x v="1"/>
    <x v="2033"/>
    <x v="25"/>
    <s v="NAKİT"/>
    <n v="1"/>
    <n v="250"/>
    <n v="0"/>
    <n v="0"/>
    <m/>
    <m/>
    <m/>
    <m/>
    <n v="250"/>
    <n v="0"/>
    <n v="13219.20663341929"/>
  </r>
  <r>
    <x v="186"/>
    <x v="4"/>
    <x v="360"/>
    <x v="0"/>
    <x v="1"/>
    <x v="2034"/>
    <x v="114"/>
    <s v="NAKİT"/>
    <n v="2"/>
    <n v="600"/>
    <n v="0"/>
    <n v="0"/>
    <m/>
    <m/>
    <m/>
    <m/>
    <n v="1200"/>
    <n v="0"/>
    <n v="14419.20663341929"/>
  </r>
  <r>
    <x v="186"/>
    <x v="4"/>
    <x v="57"/>
    <x v="0"/>
    <x v="13"/>
    <x v="2035"/>
    <x v="171"/>
    <s v="CARİ"/>
    <n v="19.350000000000001"/>
    <n v="103.36"/>
    <n v="2000"/>
    <n v="0"/>
    <m/>
    <m/>
    <m/>
    <m/>
    <n v="0"/>
    <n v="0"/>
    <n v="14419.20663341929"/>
  </r>
  <r>
    <x v="186"/>
    <x v="4"/>
    <x v="56"/>
    <x v="0"/>
    <x v="13"/>
    <x v="2035"/>
    <x v="171"/>
    <s v="CARİ"/>
    <n v="19.350000000000001"/>
    <n v="144.71"/>
    <n v="2800"/>
    <n v="0"/>
    <m/>
    <m/>
    <m/>
    <m/>
    <n v="0"/>
    <n v="0"/>
    <n v="14419.20663341929"/>
  </r>
  <r>
    <x v="186"/>
    <x v="4"/>
    <x v="424"/>
    <x v="0"/>
    <x v="1"/>
    <x v="2036"/>
    <x v="25"/>
    <s v="NAKİT"/>
    <n v="1"/>
    <n v="300"/>
    <n v="0"/>
    <n v="0"/>
    <m/>
    <m/>
    <m/>
    <m/>
    <n v="300"/>
    <n v="0"/>
    <n v="14719.20663341929"/>
  </r>
  <r>
    <x v="186"/>
    <x v="4"/>
    <x v="192"/>
    <x v="0"/>
    <x v="1"/>
    <x v="2036"/>
    <x v="25"/>
    <s v="NAKİT"/>
    <n v="1"/>
    <n v="430"/>
    <n v="0"/>
    <n v="0"/>
    <m/>
    <m/>
    <m/>
    <m/>
    <n v="420"/>
    <n v="0"/>
    <n v="15139.20663341929"/>
  </r>
  <r>
    <x v="186"/>
    <x v="4"/>
    <x v="214"/>
    <x v="0"/>
    <x v="1"/>
    <x v="2036"/>
    <x v="25"/>
    <s v="NAKİT"/>
    <n v="1"/>
    <n v="370"/>
    <n v="0"/>
    <n v="0"/>
    <m/>
    <m/>
    <m/>
    <m/>
    <n v="370"/>
    <n v="0"/>
    <n v="15509.20663341929"/>
  </r>
  <r>
    <x v="186"/>
    <x v="4"/>
    <x v="261"/>
    <x v="0"/>
    <x v="1"/>
    <x v="2036"/>
    <x v="25"/>
    <s v="NAKİT"/>
    <n v="1"/>
    <n v="130"/>
    <n v="0"/>
    <n v="0"/>
    <m/>
    <m/>
    <m/>
    <m/>
    <n v="130"/>
    <n v="0"/>
    <n v="15639.20663341929"/>
  </r>
  <r>
    <x v="186"/>
    <x v="4"/>
    <x v="264"/>
    <x v="0"/>
    <x v="1"/>
    <x v="2036"/>
    <x v="25"/>
    <s v="NAKİT"/>
    <n v="1"/>
    <n v="145"/>
    <n v="0"/>
    <n v="0"/>
    <m/>
    <m/>
    <m/>
    <m/>
    <n v="145"/>
    <n v="0"/>
    <n v="15784.20663341929"/>
  </r>
  <r>
    <x v="186"/>
    <x v="4"/>
    <x v="263"/>
    <x v="0"/>
    <x v="1"/>
    <x v="2036"/>
    <x v="25"/>
    <s v="NAKİT"/>
    <n v="1"/>
    <n v="145"/>
    <n v="0"/>
    <n v="0"/>
    <m/>
    <m/>
    <m/>
    <m/>
    <n v="145"/>
    <n v="0"/>
    <n v="15929.20663341929"/>
  </r>
  <r>
    <x v="186"/>
    <x v="4"/>
    <x v="272"/>
    <x v="0"/>
    <x v="1"/>
    <x v="2036"/>
    <x v="25"/>
    <s v="NAKİT"/>
    <n v="1"/>
    <n v="130"/>
    <n v="0"/>
    <n v="0"/>
    <m/>
    <m/>
    <m/>
    <m/>
    <n v="130"/>
    <n v="0"/>
    <n v="16059.20663341929"/>
  </r>
  <r>
    <x v="186"/>
    <x v="4"/>
    <x v="386"/>
    <x v="0"/>
    <x v="1"/>
    <x v="2036"/>
    <x v="25"/>
    <s v="NAKİT"/>
    <n v="1"/>
    <n v="30"/>
    <n v="0"/>
    <n v="0"/>
    <m/>
    <m/>
    <m/>
    <m/>
    <n v="30"/>
    <n v="0"/>
    <n v="16089.20663341929"/>
  </r>
  <r>
    <x v="186"/>
    <x v="4"/>
    <x v="182"/>
    <x v="0"/>
    <x v="1"/>
    <x v="2036"/>
    <x v="25"/>
    <s v="NAKİT"/>
    <n v="1"/>
    <n v="230"/>
    <n v="0"/>
    <n v="0"/>
    <m/>
    <m/>
    <m/>
    <m/>
    <n v="230"/>
    <n v="0"/>
    <n v="16319.20663341929"/>
  </r>
  <r>
    <x v="186"/>
    <x v="4"/>
    <x v="390"/>
    <x v="0"/>
    <x v="1"/>
    <x v="2036"/>
    <x v="25"/>
    <s v="NAKİT"/>
    <n v="0.25"/>
    <n v="400"/>
    <n v="0"/>
    <n v="0"/>
    <m/>
    <m/>
    <m/>
    <m/>
    <n v="100"/>
    <n v="0"/>
    <n v="16419.20663341929"/>
  </r>
  <r>
    <x v="187"/>
    <x v="4"/>
    <x v="18"/>
    <x v="0"/>
    <x v="5"/>
    <x v="2037"/>
    <x v="25"/>
    <s v="POS"/>
    <n v="1"/>
    <n v="250"/>
    <n v="250"/>
    <n v="0"/>
    <m/>
    <m/>
    <m/>
    <m/>
    <n v="0"/>
    <n v="0"/>
    <n v="16419.20663341929"/>
  </r>
  <r>
    <x v="187"/>
    <x v="4"/>
    <x v="58"/>
    <x v="0"/>
    <x v="5"/>
    <x v="2037"/>
    <x v="25"/>
    <s v="POS"/>
    <n v="1"/>
    <n v="250"/>
    <n v="250"/>
    <n v="0"/>
    <m/>
    <m/>
    <m/>
    <m/>
    <n v="0"/>
    <n v="0"/>
    <n v="16419.20663341929"/>
  </r>
  <r>
    <x v="187"/>
    <x v="4"/>
    <x v="205"/>
    <x v="0"/>
    <x v="5"/>
    <x v="2038"/>
    <x v="25"/>
    <s v="POS"/>
    <n v="1"/>
    <n v="100"/>
    <n v="100"/>
    <n v="0"/>
    <m/>
    <m/>
    <m/>
    <m/>
    <n v="0"/>
    <n v="0"/>
    <n v="16419.20663341929"/>
  </r>
  <r>
    <x v="187"/>
    <x v="4"/>
    <x v="383"/>
    <x v="0"/>
    <x v="5"/>
    <x v="2038"/>
    <x v="25"/>
    <s v="POS"/>
    <n v="1"/>
    <n v="320"/>
    <n v="320"/>
    <n v="0"/>
    <m/>
    <m/>
    <m/>
    <m/>
    <n v="0"/>
    <n v="0"/>
    <n v="16419.20663341929"/>
  </r>
  <r>
    <x v="187"/>
    <x v="4"/>
    <x v="66"/>
    <x v="0"/>
    <x v="1"/>
    <x v="2039"/>
    <x v="25"/>
    <s v="NAKİT"/>
    <n v="0.12"/>
    <n v="417"/>
    <n v="0"/>
    <n v="0"/>
    <m/>
    <m/>
    <m/>
    <m/>
    <n v="50.04"/>
    <n v="0"/>
    <n v="16469.24663341929"/>
  </r>
  <r>
    <x v="187"/>
    <x v="4"/>
    <x v="330"/>
    <x v="0"/>
    <x v="1"/>
    <x v="2039"/>
    <x v="25"/>
    <s v="NAKİT"/>
    <n v="1"/>
    <n v="190"/>
    <n v="0"/>
    <n v="0"/>
    <m/>
    <m/>
    <m/>
    <m/>
    <n v="190"/>
    <n v="0"/>
    <n v="16659.24663341929"/>
  </r>
  <r>
    <x v="187"/>
    <x v="4"/>
    <x v="113"/>
    <x v="0"/>
    <x v="1"/>
    <x v="2039"/>
    <x v="25"/>
    <s v="NAKİT"/>
    <n v="0.1"/>
    <n v="900"/>
    <n v="0"/>
    <n v="0"/>
    <m/>
    <m/>
    <m/>
    <m/>
    <n v="90"/>
    <n v="0"/>
    <n v="16749.24663341929"/>
  </r>
  <r>
    <x v="187"/>
    <x v="4"/>
    <x v="67"/>
    <x v="0"/>
    <x v="1"/>
    <x v="2039"/>
    <x v="25"/>
    <s v="NAKİT"/>
    <n v="0.05"/>
    <n v="900"/>
    <n v="0"/>
    <n v="0"/>
    <m/>
    <m/>
    <m/>
    <m/>
    <n v="45"/>
    <n v="0"/>
    <n v="16794.24663341929"/>
  </r>
  <r>
    <x v="187"/>
    <x v="4"/>
    <x v="96"/>
    <x v="0"/>
    <x v="1"/>
    <x v="2039"/>
    <x v="25"/>
    <s v="NAKİT"/>
    <n v="3.4799999999999998E-2"/>
    <n v="1300"/>
    <n v="0"/>
    <n v="0"/>
    <m/>
    <m/>
    <m/>
    <m/>
    <n v="45.239999999999995"/>
    <n v="0"/>
    <n v="16839.486633419292"/>
  </r>
  <r>
    <x v="187"/>
    <x v="4"/>
    <x v="204"/>
    <x v="0"/>
    <x v="1"/>
    <x v="2039"/>
    <x v="25"/>
    <s v="NAKİT"/>
    <n v="3.7499999999999999E-2"/>
    <n v="800"/>
    <n v="0"/>
    <n v="0"/>
    <m/>
    <m/>
    <m/>
    <m/>
    <n v="30"/>
    <n v="0"/>
    <n v="16869.486633419292"/>
  </r>
  <r>
    <x v="187"/>
    <x v="4"/>
    <x v="286"/>
    <x v="0"/>
    <x v="1"/>
    <x v="2040"/>
    <x v="25"/>
    <s v="NAKİT"/>
    <n v="1.2"/>
    <n v="62.5"/>
    <n v="0"/>
    <n v="0"/>
    <m/>
    <m/>
    <m/>
    <m/>
    <n v="75"/>
    <n v="0"/>
    <n v="16944.486633419292"/>
  </r>
  <r>
    <x v="187"/>
    <x v="4"/>
    <x v="101"/>
    <x v="0"/>
    <x v="1"/>
    <x v="2040"/>
    <x v="25"/>
    <s v="NAKİT"/>
    <n v="0.22800000000000001"/>
    <n v="220"/>
    <n v="0"/>
    <n v="0"/>
    <m/>
    <m/>
    <m/>
    <m/>
    <n v="50.160000000000004"/>
    <n v="0"/>
    <n v="16994.646633419292"/>
  </r>
  <r>
    <x v="187"/>
    <x v="4"/>
    <x v="27"/>
    <x v="0"/>
    <x v="5"/>
    <x v="2041"/>
    <x v="25"/>
    <s v="POS"/>
    <n v="7.1999999999999995E-2"/>
    <n v="400"/>
    <n v="28.799999999999997"/>
    <n v="0"/>
    <m/>
    <m/>
    <m/>
    <m/>
    <n v="0"/>
    <n v="0"/>
    <n v="16994.646633419292"/>
  </r>
  <r>
    <x v="187"/>
    <x v="4"/>
    <x v="28"/>
    <x v="0"/>
    <x v="5"/>
    <x v="2041"/>
    <x v="25"/>
    <s v="POS"/>
    <n v="0.25"/>
    <n v="500"/>
    <n v="125"/>
    <n v="0"/>
    <m/>
    <m/>
    <m/>
    <m/>
    <n v="0"/>
    <n v="0"/>
    <n v="16994.646633419292"/>
  </r>
  <r>
    <x v="187"/>
    <x v="4"/>
    <x v="29"/>
    <x v="0"/>
    <x v="5"/>
    <x v="2041"/>
    <x v="25"/>
    <s v="POS"/>
    <n v="7.3999999999999996E-2"/>
    <n v="850"/>
    <n v="62.9"/>
    <n v="0"/>
    <m/>
    <m/>
    <m/>
    <m/>
    <n v="0"/>
    <n v="0"/>
    <n v="16994.646633419292"/>
  </r>
  <r>
    <x v="187"/>
    <x v="4"/>
    <x v="166"/>
    <x v="0"/>
    <x v="5"/>
    <x v="2041"/>
    <x v="25"/>
    <s v="POS"/>
    <n v="1"/>
    <n v="42"/>
    <n v="42"/>
    <n v="0"/>
    <m/>
    <m/>
    <m/>
    <m/>
    <n v="0"/>
    <n v="0"/>
    <n v="16994.646633419292"/>
  </r>
  <r>
    <x v="187"/>
    <x v="4"/>
    <x v="163"/>
    <x v="0"/>
    <x v="5"/>
    <x v="2041"/>
    <x v="25"/>
    <s v="POS"/>
    <n v="1"/>
    <n v="42"/>
    <n v="42"/>
    <n v="0"/>
    <m/>
    <m/>
    <m/>
    <m/>
    <n v="0"/>
    <n v="0"/>
    <n v="16994.646633419292"/>
  </r>
  <r>
    <x v="187"/>
    <x v="4"/>
    <x v="25"/>
    <x v="0"/>
    <x v="1"/>
    <x v="2042"/>
    <x v="194"/>
    <s v="NAKİT"/>
    <n v="0.14499999999999999"/>
    <n v="400"/>
    <n v="0"/>
    <n v="0"/>
    <m/>
    <m/>
    <m/>
    <m/>
    <n v="57.999999999999993"/>
    <n v="0"/>
    <n v="17052.646633419292"/>
  </r>
  <r>
    <x v="187"/>
    <x v="4"/>
    <x v="150"/>
    <x v="0"/>
    <x v="1"/>
    <x v="2042"/>
    <x v="194"/>
    <s v="NAKİT"/>
    <n v="0.14000000000000001"/>
    <n v="250"/>
    <n v="0"/>
    <n v="0"/>
    <m/>
    <m/>
    <m/>
    <m/>
    <n v="35"/>
    <n v="0"/>
    <n v="17087.646633419292"/>
  </r>
  <r>
    <x v="187"/>
    <x v="4"/>
    <x v="288"/>
    <x v="0"/>
    <x v="1"/>
    <x v="2043"/>
    <x v="25"/>
    <s v="NAKİT"/>
    <n v="0.2"/>
    <n v="500"/>
    <n v="0"/>
    <n v="0"/>
    <m/>
    <m/>
    <m/>
    <m/>
    <n v="100"/>
    <n v="0"/>
    <n v="17187.646633419292"/>
  </r>
  <r>
    <x v="187"/>
    <x v="4"/>
    <x v="270"/>
    <x v="0"/>
    <x v="1"/>
    <x v="2044"/>
    <x v="25"/>
    <s v="NAKİT"/>
    <n v="1"/>
    <n v="130"/>
    <n v="0"/>
    <n v="0"/>
    <m/>
    <m/>
    <m/>
    <m/>
    <n v="130"/>
    <n v="0"/>
    <n v="17317.646633419292"/>
  </r>
  <r>
    <x v="187"/>
    <x v="4"/>
    <x v="360"/>
    <x v="0"/>
    <x v="1"/>
    <x v="2045"/>
    <x v="25"/>
    <s v="NAKİT"/>
    <n v="0.25"/>
    <n v="700"/>
    <n v="0"/>
    <n v="0"/>
    <m/>
    <m/>
    <m/>
    <m/>
    <n v="175"/>
    <n v="0"/>
    <n v="17492.646633419292"/>
  </r>
  <r>
    <x v="187"/>
    <x v="4"/>
    <x v="24"/>
    <x v="0"/>
    <x v="1"/>
    <x v="2046"/>
    <x v="25"/>
    <s v="NAKİT"/>
    <n v="0.12461538461538461"/>
    <n v="650"/>
    <n v="0"/>
    <n v="0"/>
    <m/>
    <m/>
    <m/>
    <m/>
    <n v="81"/>
    <n v="0"/>
    <n v="17573.646633419292"/>
  </r>
  <r>
    <x v="187"/>
    <x v="4"/>
    <x v="23"/>
    <x v="0"/>
    <x v="1"/>
    <x v="2046"/>
    <x v="25"/>
    <s v="NAKİT"/>
    <n v="0.19666666666666666"/>
    <n v="300"/>
    <n v="0"/>
    <n v="0"/>
    <m/>
    <m/>
    <m/>
    <m/>
    <n v="59"/>
    <n v="0"/>
    <n v="17632.646633419292"/>
  </r>
  <r>
    <x v="187"/>
    <x v="4"/>
    <x v="298"/>
    <x v="0"/>
    <x v="1"/>
    <x v="2046"/>
    <x v="25"/>
    <s v="NAKİT"/>
    <n v="0.1"/>
    <n v="1700"/>
    <n v="0"/>
    <n v="0"/>
    <m/>
    <m/>
    <m/>
    <m/>
    <n v="170"/>
    <n v="0"/>
    <n v="17802.646633419292"/>
  </r>
  <r>
    <x v="187"/>
    <x v="4"/>
    <x v="113"/>
    <x v="0"/>
    <x v="1"/>
    <x v="2046"/>
    <x v="25"/>
    <s v="NAKİT"/>
    <n v="0.1"/>
    <n v="900"/>
    <n v="0"/>
    <n v="0"/>
    <m/>
    <m/>
    <m/>
    <m/>
    <n v="90"/>
    <n v="0"/>
    <n v="17892.646633419292"/>
  </r>
  <r>
    <x v="187"/>
    <x v="4"/>
    <x v="260"/>
    <x v="0"/>
    <x v="1"/>
    <x v="2047"/>
    <x v="114"/>
    <s v="NAKİT"/>
    <n v="1"/>
    <n v="180"/>
    <n v="0"/>
    <n v="0"/>
    <m/>
    <m/>
    <m/>
    <m/>
    <n v="180"/>
    <n v="0"/>
    <n v="18072.646633419292"/>
  </r>
  <r>
    <x v="187"/>
    <x v="4"/>
    <x v="56"/>
    <x v="0"/>
    <x v="1"/>
    <x v="2048"/>
    <x v="129"/>
    <s v="NAKİT"/>
    <n v="1"/>
    <n v="200"/>
    <n v="0"/>
    <n v="0"/>
    <m/>
    <m/>
    <m/>
    <m/>
    <n v="200"/>
    <n v="0"/>
    <n v="18272.646633419292"/>
  </r>
  <r>
    <x v="187"/>
    <x v="4"/>
    <x v="58"/>
    <x v="0"/>
    <x v="5"/>
    <x v="2049"/>
    <x v="25"/>
    <s v="POS"/>
    <n v="1"/>
    <n v="250"/>
    <n v="250"/>
    <n v="0"/>
    <m/>
    <m/>
    <m/>
    <m/>
    <n v="0"/>
    <n v="0"/>
    <n v="18272.646633419292"/>
  </r>
  <r>
    <x v="187"/>
    <x v="4"/>
    <x v="18"/>
    <x v="0"/>
    <x v="5"/>
    <x v="2049"/>
    <x v="25"/>
    <s v="POS"/>
    <n v="1"/>
    <n v="250"/>
    <n v="250"/>
    <n v="0"/>
    <m/>
    <m/>
    <m/>
    <m/>
    <n v="0"/>
    <n v="0"/>
    <n v="18272.646633419292"/>
  </r>
  <r>
    <x v="187"/>
    <x v="4"/>
    <x v="58"/>
    <x v="0"/>
    <x v="1"/>
    <x v="2050"/>
    <x v="25"/>
    <s v="NAKİT"/>
    <n v="0.5"/>
    <n v="250"/>
    <n v="0"/>
    <n v="0"/>
    <m/>
    <m/>
    <m/>
    <m/>
    <n v="125"/>
    <n v="0"/>
    <n v="18397.646633419292"/>
  </r>
  <r>
    <x v="187"/>
    <x v="4"/>
    <x v="18"/>
    <x v="0"/>
    <x v="1"/>
    <x v="2050"/>
    <x v="25"/>
    <s v="NAKİT"/>
    <n v="0.5"/>
    <n v="250"/>
    <n v="0"/>
    <n v="0"/>
    <m/>
    <m/>
    <m/>
    <m/>
    <n v="125"/>
    <n v="0"/>
    <n v="18522.646633419292"/>
  </r>
  <r>
    <x v="187"/>
    <x v="4"/>
    <x v="384"/>
    <x v="0"/>
    <x v="5"/>
    <x v="2051"/>
    <x v="25"/>
    <s v="POS"/>
    <n v="1"/>
    <n v="300"/>
    <n v="300"/>
    <n v="0"/>
    <m/>
    <m/>
    <m/>
    <m/>
    <n v="0"/>
    <n v="0"/>
    <n v="18522.646633419292"/>
  </r>
  <r>
    <x v="188"/>
    <x v="4"/>
    <x v="359"/>
    <x v="0"/>
    <x v="1"/>
    <x v="2052"/>
    <x v="25"/>
    <s v="NAKİT"/>
    <n v="1"/>
    <n v="550"/>
    <n v="0"/>
    <n v="0"/>
    <m/>
    <m/>
    <m/>
    <m/>
    <n v="550"/>
    <n v="0"/>
    <n v="19072.646633419292"/>
  </r>
  <r>
    <x v="188"/>
    <x v="4"/>
    <x v="68"/>
    <x v="0"/>
    <x v="5"/>
    <x v="2053"/>
    <x v="25"/>
    <s v="POS"/>
    <n v="0.5"/>
    <n v="750"/>
    <n v="375"/>
    <n v="0"/>
    <m/>
    <m/>
    <m/>
    <m/>
    <n v="0"/>
    <n v="0"/>
    <n v="19072.646633419292"/>
  </r>
  <r>
    <x v="188"/>
    <x v="4"/>
    <x v="251"/>
    <x v="0"/>
    <x v="5"/>
    <x v="2053"/>
    <x v="25"/>
    <s v="POS"/>
    <n v="1"/>
    <n v="550"/>
    <n v="550"/>
    <n v="0"/>
    <m/>
    <m/>
    <m/>
    <m/>
    <n v="0"/>
    <n v="0"/>
    <n v="19072.646633419292"/>
  </r>
  <r>
    <x v="188"/>
    <x v="4"/>
    <x v="105"/>
    <x v="0"/>
    <x v="5"/>
    <x v="2053"/>
    <x v="25"/>
    <s v="POS"/>
    <n v="1"/>
    <n v="200"/>
    <n v="200"/>
    <n v="0"/>
    <m/>
    <m/>
    <m/>
    <m/>
    <n v="0"/>
    <n v="0"/>
    <n v="19072.646633419292"/>
  </r>
  <r>
    <x v="188"/>
    <x v="4"/>
    <x v="273"/>
    <x v="0"/>
    <x v="5"/>
    <x v="2053"/>
    <x v="25"/>
    <s v="POS"/>
    <n v="0.25"/>
    <n v="360"/>
    <n v="90"/>
    <n v="0"/>
    <m/>
    <m/>
    <m/>
    <m/>
    <n v="0"/>
    <n v="0"/>
    <n v="19072.646633419292"/>
  </r>
  <r>
    <x v="188"/>
    <x v="4"/>
    <x v="49"/>
    <x v="0"/>
    <x v="5"/>
    <x v="2053"/>
    <x v="25"/>
    <s v="POS"/>
    <n v="0.1"/>
    <n v="600"/>
    <n v="60"/>
    <n v="0"/>
    <m/>
    <m/>
    <m/>
    <m/>
    <n v="0"/>
    <n v="0"/>
    <n v="19072.646633419292"/>
  </r>
  <r>
    <x v="188"/>
    <x v="4"/>
    <x v="9"/>
    <x v="0"/>
    <x v="5"/>
    <x v="2053"/>
    <x v="25"/>
    <s v="POS"/>
    <n v="1"/>
    <n v="160"/>
    <n v="160"/>
    <n v="0"/>
    <m/>
    <m/>
    <m/>
    <m/>
    <n v="0"/>
    <n v="0"/>
    <n v="19072.646633419292"/>
  </r>
  <r>
    <x v="188"/>
    <x v="4"/>
    <x v="101"/>
    <x v="0"/>
    <x v="5"/>
    <x v="2053"/>
    <x v="25"/>
    <s v="POS"/>
    <n v="0.22800000000000001"/>
    <n v="220"/>
    <n v="50.160000000000004"/>
    <n v="0"/>
    <m/>
    <m/>
    <m/>
    <m/>
    <n v="0"/>
    <n v="0"/>
    <n v="19072.646633419292"/>
  </r>
  <r>
    <x v="188"/>
    <x v="4"/>
    <x v="28"/>
    <x v="0"/>
    <x v="1"/>
    <x v="2054"/>
    <x v="25"/>
    <s v="NAKİT"/>
    <n v="4.7E-2"/>
    <n v="500"/>
    <n v="0"/>
    <n v="0"/>
    <m/>
    <m/>
    <m/>
    <m/>
    <n v="23.5"/>
    <n v="0"/>
    <n v="19096.146633419292"/>
  </r>
  <r>
    <x v="188"/>
    <x v="4"/>
    <x v="398"/>
    <x v="0"/>
    <x v="1"/>
    <x v="2055"/>
    <x v="25"/>
    <s v="NAKİT"/>
    <n v="0.27906976744186046"/>
    <n v="360"/>
    <n v="0"/>
    <n v="0"/>
    <m/>
    <m/>
    <m/>
    <m/>
    <n v="100.46511627906976"/>
    <n v="0"/>
    <n v="19196.611749698361"/>
  </r>
  <r>
    <x v="188"/>
    <x v="4"/>
    <x v="158"/>
    <x v="0"/>
    <x v="1"/>
    <x v="2056"/>
    <x v="25"/>
    <s v="NAKİT"/>
    <n v="2"/>
    <n v="15"/>
    <n v="0"/>
    <n v="0"/>
    <m/>
    <m/>
    <m/>
    <m/>
    <n v="30"/>
    <n v="0"/>
    <n v="19226.611749698361"/>
  </r>
  <r>
    <x v="188"/>
    <x v="4"/>
    <x v="56"/>
    <x v="0"/>
    <x v="5"/>
    <x v="2057"/>
    <x v="25"/>
    <s v="POS"/>
    <n v="1"/>
    <n v="200"/>
    <n v="200"/>
    <n v="0"/>
    <m/>
    <m/>
    <m/>
    <m/>
    <n v="0"/>
    <n v="0"/>
    <n v="19226.611749698361"/>
  </r>
  <r>
    <x v="188"/>
    <x v="4"/>
    <x v="49"/>
    <x v="0"/>
    <x v="1"/>
    <x v="2058"/>
    <x v="25"/>
    <s v="NAKİT"/>
    <n v="0.24"/>
    <n v="600"/>
    <n v="0"/>
    <n v="0"/>
    <m/>
    <m/>
    <m/>
    <m/>
    <n v="144"/>
    <n v="0"/>
    <n v="19370.611749698361"/>
  </r>
  <r>
    <x v="188"/>
    <x v="4"/>
    <x v="72"/>
    <x v="0"/>
    <x v="1"/>
    <x v="2058"/>
    <x v="25"/>
    <s v="NAKİT"/>
    <n v="0.05"/>
    <n v="1400"/>
    <n v="0"/>
    <n v="0"/>
    <m/>
    <m/>
    <m/>
    <m/>
    <n v="70"/>
    <n v="0"/>
    <n v="19440.611749698361"/>
  </r>
  <r>
    <x v="188"/>
    <x v="4"/>
    <x v="151"/>
    <x v="0"/>
    <x v="1"/>
    <x v="2058"/>
    <x v="25"/>
    <s v="NAKİT"/>
    <n v="0.1"/>
    <n v="700"/>
    <n v="0"/>
    <n v="0"/>
    <m/>
    <m/>
    <m/>
    <m/>
    <n v="70"/>
    <n v="0"/>
    <n v="19510.611749698361"/>
  </r>
  <r>
    <x v="188"/>
    <x v="4"/>
    <x v="50"/>
    <x v="0"/>
    <x v="1"/>
    <x v="2058"/>
    <x v="25"/>
    <s v="NAKİT"/>
    <n v="0.08"/>
    <n v="750"/>
    <n v="0"/>
    <n v="0"/>
    <m/>
    <m/>
    <m/>
    <m/>
    <n v="60"/>
    <n v="0"/>
    <n v="19570.611749698361"/>
  </r>
  <r>
    <x v="188"/>
    <x v="4"/>
    <x v="36"/>
    <x v="0"/>
    <x v="1"/>
    <x v="2058"/>
    <x v="25"/>
    <s v="NAKİT"/>
    <n v="0.25"/>
    <n v="180"/>
    <n v="0"/>
    <n v="0"/>
    <m/>
    <m/>
    <m/>
    <m/>
    <n v="45"/>
    <n v="0"/>
    <n v="19615.611749698361"/>
  </r>
  <r>
    <x v="188"/>
    <x v="4"/>
    <x v="18"/>
    <x v="0"/>
    <x v="1"/>
    <x v="2058"/>
    <x v="25"/>
    <s v="NAKİT"/>
    <n v="1"/>
    <n v="250"/>
    <n v="0"/>
    <n v="0"/>
    <m/>
    <m/>
    <m/>
    <m/>
    <n v="250"/>
    <n v="0"/>
    <n v="19865.611749698361"/>
  </r>
  <r>
    <x v="188"/>
    <x v="4"/>
    <x v="58"/>
    <x v="0"/>
    <x v="1"/>
    <x v="2058"/>
    <x v="25"/>
    <s v="NAKİT"/>
    <n v="1"/>
    <n v="250"/>
    <n v="0"/>
    <n v="0"/>
    <m/>
    <m/>
    <m/>
    <m/>
    <n v="250"/>
    <n v="0"/>
    <n v="20115.611749698361"/>
  </r>
  <r>
    <x v="188"/>
    <x v="4"/>
    <x v="56"/>
    <x v="0"/>
    <x v="5"/>
    <x v="2059"/>
    <x v="25"/>
    <s v="POS"/>
    <n v="1"/>
    <n v="200"/>
    <n v="200"/>
    <n v="0"/>
    <m/>
    <m/>
    <m/>
    <m/>
    <n v="0"/>
    <n v="0"/>
    <n v="20115.611749698361"/>
  </r>
  <r>
    <x v="188"/>
    <x v="4"/>
    <x v="179"/>
    <x v="0"/>
    <x v="5"/>
    <x v="2059"/>
    <x v="25"/>
    <s v="POS"/>
    <n v="0.23599999999999999"/>
    <n v="850"/>
    <n v="200.6"/>
    <n v="0"/>
    <m/>
    <m/>
    <m/>
    <m/>
    <n v="0"/>
    <n v="0"/>
    <n v="20115.611749698361"/>
  </r>
  <r>
    <x v="188"/>
    <x v="4"/>
    <x v="120"/>
    <x v="0"/>
    <x v="5"/>
    <x v="2059"/>
    <x v="25"/>
    <s v="POS"/>
    <n v="0.23200000000000001"/>
    <n v="650"/>
    <n v="150.80000000000001"/>
    <n v="0"/>
    <m/>
    <m/>
    <m/>
    <m/>
    <n v="0"/>
    <n v="0"/>
    <n v="20115.611749698361"/>
  </r>
  <r>
    <x v="188"/>
    <x v="1"/>
    <x v="0"/>
    <x v="10"/>
    <x v="1"/>
    <x v="2"/>
    <x v="211"/>
    <s v="NAKİT"/>
    <n v="1"/>
    <n v="375"/>
    <n v="0"/>
    <n v="0"/>
    <m/>
    <m/>
    <m/>
    <m/>
    <n v="0"/>
    <n v="375"/>
    <n v="19740.611749698361"/>
  </r>
  <r>
    <x v="188"/>
    <x v="10"/>
    <x v="0"/>
    <x v="0"/>
    <x v="5"/>
    <x v="2"/>
    <x v="63"/>
    <s v="POS"/>
    <n v="1"/>
    <n v="392.3"/>
    <n v="0"/>
    <n v="392.3"/>
    <m/>
    <m/>
    <m/>
    <m/>
    <n v="392.3"/>
    <n v="0"/>
    <n v="20132.91174969836"/>
  </r>
  <r>
    <x v="189"/>
    <x v="4"/>
    <x v="34"/>
    <x v="0"/>
    <x v="5"/>
    <x v="2060"/>
    <x v="25"/>
    <s v="POS"/>
    <n v="0.1"/>
    <n v="600"/>
    <n v="60"/>
    <n v="0"/>
    <m/>
    <m/>
    <m/>
    <m/>
    <n v="0"/>
    <n v="0"/>
    <n v="20132.91174969836"/>
  </r>
  <r>
    <x v="189"/>
    <x v="4"/>
    <x v="52"/>
    <x v="0"/>
    <x v="5"/>
    <x v="2060"/>
    <x v="25"/>
    <s v="POS"/>
    <n v="0.1"/>
    <n v="400"/>
    <n v="40"/>
    <n v="0"/>
    <m/>
    <m/>
    <m/>
    <m/>
    <n v="0"/>
    <n v="0"/>
    <n v="20132.91174969836"/>
  </r>
  <r>
    <x v="189"/>
    <x v="4"/>
    <x v="70"/>
    <x v="0"/>
    <x v="5"/>
    <x v="2060"/>
    <x v="25"/>
    <s v="POS"/>
    <n v="0.2608695652173913"/>
    <n v="230"/>
    <n v="60"/>
    <n v="0"/>
    <m/>
    <m/>
    <m/>
    <m/>
    <n v="0"/>
    <n v="0"/>
    <n v="20132.91174969836"/>
  </r>
  <r>
    <x v="189"/>
    <x v="4"/>
    <x v="58"/>
    <x v="0"/>
    <x v="1"/>
    <x v="2061"/>
    <x v="25"/>
    <s v="NAKİT"/>
    <n v="1"/>
    <n v="230"/>
    <n v="0"/>
    <n v="0"/>
    <m/>
    <m/>
    <m/>
    <m/>
    <n v="230"/>
    <n v="0"/>
    <n v="20362.91174969836"/>
  </r>
  <r>
    <x v="189"/>
    <x v="4"/>
    <x v="408"/>
    <x v="0"/>
    <x v="1"/>
    <x v="2062"/>
    <x v="129"/>
    <s v="NAKİT"/>
    <n v="1"/>
    <n v="45"/>
    <n v="0"/>
    <n v="0"/>
    <m/>
    <m/>
    <m/>
    <m/>
    <n v="45"/>
    <n v="0"/>
    <n v="20407.91174969836"/>
  </r>
  <r>
    <x v="189"/>
    <x v="4"/>
    <x v="259"/>
    <x v="0"/>
    <x v="1"/>
    <x v="2062"/>
    <x v="129"/>
    <s v="NAKİT"/>
    <n v="1"/>
    <n v="65"/>
    <n v="0"/>
    <n v="0"/>
    <m/>
    <m/>
    <m/>
    <m/>
    <n v="65"/>
    <n v="0"/>
    <n v="20472.91174969836"/>
  </r>
  <r>
    <x v="189"/>
    <x v="4"/>
    <x v="248"/>
    <x v="0"/>
    <x v="5"/>
    <x v="2063"/>
    <x v="25"/>
    <s v="POS"/>
    <n v="0.5"/>
    <n v="650"/>
    <n v="325"/>
    <n v="0"/>
    <m/>
    <m/>
    <m/>
    <m/>
    <n v="0"/>
    <n v="0"/>
    <n v="20472.91174969836"/>
  </r>
  <r>
    <x v="189"/>
    <x v="4"/>
    <x v="73"/>
    <x v="0"/>
    <x v="5"/>
    <x v="2063"/>
    <x v="25"/>
    <s v="POS"/>
    <n v="0.5"/>
    <n v="750"/>
    <n v="375"/>
    <n v="0"/>
    <m/>
    <m/>
    <m/>
    <m/>
    <n v="0"/>
    <n v="0"/>
    <n v="20472.91174969836"/>
  </r>
  <r>
    <x v="189"/>
    <x v="4"/>
    <x v="55"/>
    <x v="0"/>
    <x v="1"/>
    <x v="2064"/>
    <x v="212"/>
    <s v="NAKİT"/>
    <n v="3"/>
    <n v="200"/>
    <n v="0"/>
    <n v="0"/>
    <m/>
    <m/>
    <m/>
    <m/>
    <n v="600"/>
    <n v="0"/>
    <n v="21072.91174969836"/>
  </r>
  <r>
    <x v="189"/>
    <x v="4"/>
    <x v="57"/>
    <x v="0"/>
    <x v="1"/>
    <x v="2064"/>
    <x v="212"/>
    <s v="NAKİT"/>
    <n v="2"/>
    <n v="150"/>
    <n v="0"/>
    <n v="0"/>
    <m/>
    <m/>
    <m/>
    <m/>
    <n v="300"/>
    <n v="0"/>
    <n v="21372.91174969836"/>
  </r>
  <r>
    <x v="189"/>
    <x v="4"/>
    <x v="54"/>
    <x v="0"/>
    <x v="1"/>
    <x v="2064"/>
    <x v="212"/>
    <s v="NAKİT"/>
    <n v="0.27500000000000002"/>
    <n v="400"/>
    <n v="0"/>
    <n v="0"/>
    <m/>
    <m/>
    <m/>
    <m/>
    <n v="110.00000000000001"/>
    <n v="0"/>
    <n v="21482.91174969836"/>
  </r>
  <r>
    <x v="189"/>
    <x v="4"/>
    <x v="305"/>
    <x v="0"/>
    <x v="1"/>
    <x v="2064"/>
    <x v="212"/>
    <s v="NAKİT"/>
    <n v="0.1"/>
    <n v="900"/>
    <n v="0"/>
    <n v="0"/>
    <m/>
    <m/>
    <m/>
    <m/>
    <n v="90"/>
    <n v="0"/>
    <n v="21572.91174969836"/>
  </r>
  <r>
    <x v="189"/>
    <x v="4"/>
    <x v="54"/>
    <x v="0"/>
    <x v="5"/>
    <x v="2065"/>
    <x v="25"/>
    <s v="POS"/>
    <n v="0.1"/>
    <n v="400"/>
    <n v="40"/>
    <n v="0"/>
    <m/>
    <m/>
    <m/>
    <m/>
    <n v="0"/>
    <n v="0"/>
    <n v="21572.91174969836"/>
  </r>
  <r>
    <x v="189"/>
    <x v="4"/>
    <x v="305"/>
    <x v="0"/>
    <x v="5"/>
    <x v="2065"/>
    <x v="25"/>
    <s v="POS"/>
    <n v="0.1"/>
    <n v="900"/>
    <n v="90"/>
    <n v="0"/>
    <m/>
    <m/>
    <m/>
    <m/>
    <n v="0"/>
    <n v="0"/>
    <n v="21572.91174969836"/>
  </r>
  <r>
    <x v="189"/>
    <x v="4"/>
    <x v="256"/>
    <x v="0"/>
    <x v="5"/>
    <x v="2065"/>
    <x v="25"/>
    <s v="POS"/>
    <n v="1"/>
    <n v="110"/>
    <n v="110"/>
    <n v="0"/>
    <m/>
    <m/>
    <m/>
    <m/>
    <n v="0"/>
    <n v="0"/>
    <n v="21572.91174969836"/>
  </r>
  <r>
    <x v="189"/>
    <x v="4"/>
    <x v="271"/>
    <x v="0"/>
    <x v="5"/>
    <x v="2066"/>
    <x v="25"/>
    <s v="POS"/>
    <n v="1"/>
    <n v="125"/>
    <n v="125"/>
    <n v="0"/>
    <m/>
    <m/>
    <m/>
    <m/>
    <n v="0"/>
    <n v="0"/>
    <n v="21572.91174969836"/>
  </r>
  <r>
    <x v="189"/>
    <x v="4"/>
    <x v="83"/>
    <x v="0"/>
    <x v="5"/>
    <x v="2067"/>
    <x v="25"/>
    <s v="POS"/>
    <n v="0.05"/>
    <n v="2600"/>
    <n v="130"/>
    <n v="0"/>
    <m/>
    <m/>
    <m/>
    <m/>
    <n v="0"/>
    <n v="0"/>
    <n v="21572.91174969836"/>
  </r>
  <r>
    <x v="189"/>
    <x v="4"/>
    <x v="18"/>
    <x v="0"/>
    <x v="5"/>
    <x v="2068"/>
    <x v="25"/>
    <s v="POS"/>
    <n v="1"/>
    <n v="250"/>
    <n v="250"/>
    <n v="0"/>
    <m/>
    <m/>
    <m/>
    <m/>
    <n v="0"/>
    <n v="0"/>
    <n v="21572.91174969836"/>
  </r>
  <r>
    <x v="189"/>
    <x v="4"/>
    <x v="58"/>
    <x v="0"/>
    <x v="5"/>
    <x v="2068"/>
    <x v="25"/>
    <s v="POS"/>
    <n v="1"/>
    <n v="250"/>
    <n v="250"/>
    <n v="0"/>
    <m/>
    <m/>
    <m/>
    <m/>
    <n v="0"/>
    <n v="0"/>
    <n v="21572.91174969836"/>
  </r>
  <r>
    <x v="189"/>
    <x v="4"/>
    <x v="278"/>
    <x v="0"/>
    <x v="5"/>
    <x v="2068"/>
    <x v="25"/>
    <s v="POS"/>
    <n v="1"/>
    <n v="180"/>
    <n v="180"/>
    <n v="0"/>
    <m/>
    <m/>
    <m/>
    <m/>
    <n v="0"/>
    <n v="0"/>
    <n v="21572.91174969836"/>
  </r>
  <r>
    <x v="189"/>
    <x v="4"/>
    <x v="25"/>
    <x v="0"/>
    <x v="5"/>
    <x v="2068"/>
    <x v="25"/>
    <s v="POS"/>
    <n v="0.05"/>
    <n v="400"/>
    <n v="20"/>
    <n v="0"/>
    <m/>
    <m/>
    <m/>
    <m/>
    <n v="0"/>
    <n v="0"/>
    <n v="21572.91174969836"/>
  </r>
  <r>
    <x v="189"/>
    <x v="4"/>
    <x v="26"/>
    <x v="0"/>
    <x v="5"/>
    <x v="2068"/>
    <x v="25"/>
    <s v="POS"/>
    <n v="0.1"/>
    <n v="500"/>
    <n v="50"/>
    <n v="0"/>
    <m/>
    <m/>
    <m/>
    <m/>
    <n v="0"/>
    <n v="0"/>
    <n v="21572.91174969836"/>
  </r>
  <r>
    <x v="189"/>
    <x v="4"/>
    <x v="88"/>
    <x v="0"/>
    <x v="5"/>
    <x v="2068"/>
    <x v="25"/>
    <s v="POS"/>
    <n v="0.05"/>
    <n v="1200"/>
    <n v="60"/>
    <n v="0"/>
    <m/>
    <m/>
    <m/>
    <m/>
    <n v="0"/>
    <n v="0"/>
    <n v="21572.91174969836"/>
  </r>
  <r>
    <x v="189"/>
    <x v="4"/>
    <x v="314"/>
    <x v="0"/>
    <x v="1"/>
    <x v="2069"/>
    <x v="25"/>
    <s v="NAKİT"/>
    <n v="1"/>
    <n v="140"/>
    <n v="0"/>
    <n v="0"/>
    <m/>
    <m/>
    <m/>
    <m/>
    <n v="140"/>
    <n v="0"/>
    <n v="21712.91174969836"/>
  </r>
  <r>
    <x v="189"/>
    <x v="4"/>
    <x v="27"/>
    <x v="0"/>
    <x v="1"/>
    <x v="2069"/>
    <x v="25"/>
    <s v="NAKİT"/>
    <n v="7.4999999999999997E-2"/>
    <n v="400"/>
    <n v="0"/>
    <n v="0"/>
    <m/>
    <m/>
    <m/>
    <m/>
    <n v="30"/>
    <n v="0"/>
    <n v="21742.91174969836"/>
  </r>
  <r>
    <x v="189"/>
    <x v="4"/>
    <x v="240"/>
    <x v="0"/>
    <x v="1"/>
    <x v="2070"/>
    <x v="129"/>
    <s v="NAKİT"/>
    <n v="0.3"/>
    <n v="230"/>
    <n v="0"/>
    <n v="0"/>
    <m/>
    <m/>
    <m/>
    <m/>
    <n v="69"/>
    <n v="0"/>
    <n v="21811.91174969836"/>
  </r>
  <r>
    <x v="189"/>
    <x v="4"/>
    <x v="101"/>
    <x v="0"/>
    <x v="1"/>
    <x v="2070"/>
    <x v="129"/>
    <s v="NAKİT"/>
    <n v="0.22727272727272727"/>
    <n v="220"/>
    <n v="0"/>
    <n v="0"/>
    <m/>
    <m/>
    <m/>
    <m/>
    <n v="50"/>
    <n v="0"/>
    <n v="21861.91174969836"/>
  </r>
  <r>
    <x v="189"/>
    <x v="10"/>
    <x v="0"/>
    <x v="0"/>
    <x v="5"/>
    <x v="2"/>
    <x v="63"/>
    <s v="POS"/>
    <n v="1"/>
    <n v="304"/>
    <n v="0"/>
    <n v="304"/>
    <m/>
    <m/>
    <m/>
    <m/>
    <n v="304"/>
    <n v="0"/>
    <n v="22165.91174969836"/>
  </r>
  <r>
    <x v="190"/>
    <x v="4"/>
    <x v="439"/>
    <x v="0"/>
    <x v="1"/>
    <x v="2071"/>
    <x v="25"/>
    <s v="NAKİT"/>
    <n v="0.1"/>
    <n v="500"/>
    <n v="0"/>
    <n v="0"/>
    <m/>
    <m/>
    <m/>
    <m/>
    <n v="50"/>
    <n v="0"/>
    <n v="22215.91174969836"/>
  </r>
  <r>
    <x v="190"/>
    <x v="4"/>
    <x v="150"/>
    <x v="0"/>
    <x v="5"/>
    <x v="2072"/>
    <x v="25"/>
    <s v="POS"/>
    <n v="0.8"/>
    <n v="250"/>
    <n v="200"/>
    <n v="0"/>
    <m/>
    <m/>
    <m/>
    <m/>
    <n v="0"/>
    <n v="0"/>
    <n v="22215.91174969836"/>
  </r>
  <r>
    <x v="190"/>
    <x v="4"/>
    <x v="47"/>
    <x v="0"/>
    <x v="1"/>
    <x v="2073"/>
    <x v="25"/>
    <s v="NAKİT"/>
    <n v="0.125"/>
    <n v="400"/>
    <n v="0"/>
    <n v="0"/>
    <m/>
    <m/>
    <m/>
    <m/>
    <n v="50"/>
    <n v="0"/>
    <n v="22265.91174969836"/>
  </r>
  <r>
    <x v="190"/>
    <x v="4"/>
    <x v="142"/>
    <x v="0"/>
    <x v="5"/>
    <x v="2074"/>
    <x v="25"/>
    <s v="POS"/>
    <n v="0.44"/>
    <n v="250"/>
    <n v="110"/>
    <n v="0"/>
    <m/>
    <m/>
    <m/>
    <m/>
    <n v="0"/>
    <n v="0"/>
    <n v="22265.91174969836"/>
  </r>
  <r>
    <x v="190"/>
    <x v="4"/>
    <x v="185"/>
    <x v="0"/>
    <x v="1"/>
    <x v="2075"/>
    <x v="25"/>
    <s v="NAKİT"/>
    <n v="1"/>
    <n v="190"/>
    <n v="0"/>
    <n v="0"/>
    <m/>
    <m/>
    <m/>
    <m/>
    <n v="190"/>
    <n v="0"/>
    <n v="22455.91174969836"/>
  </r>
  <r>
    <x v="190"/>
    <x v="4"/>
    <x v="259"/>
    <x v="0"/>
    <x v="1"/>
    <x v="2075"/>
    <x v="25"/>
    <s v="NAKİT"/>
    <n v="1"/>
    <n v="125"/>
    <n v="0"/>
    <n v="0"/>
    <m/>
    <m/>
    <m/>
    <m/>
    <n v="125"/>
    <n v="0"/>
    <n v="22580.91174969836"/>
  </r>
  <r>
    <x v="190"/>
    <x v="4"/>
    <x v="163"/>
    <x v="0"/>
    <x v="1"/>
    <x v="2075"/>
    <x v="25"/>
    <s v="NAKİT"/>
    <n v="1"/>
    <n v="50"/>
    <n v="0"/>
    <n v="0"/>
    <m/>
    <m/>
    <m/>
    <m/>
    <n v="50"/>
    <n v="0"/>
    <n v="22630.91174969836"/>
  </r>
  <r>
    <x v="190"/>
    <x v="4"/>
    <x v="179"/>
    <x v="0"/>
    <x v="1"/>
    <x v="2076"/>
    <x v="25"/>
    <s v="NAKİT"/>
    <n v="0.23529411764705882"/>
    <n v="850"/>
    <n v="0"/>
    <n v="0"/>
    <m/>
    <m/>
    <m/>
    <m/>
    <n v="200"/>
    <n v="0"/>
    <n v="22830.91174969836"/>
  </r>
  <r>
    <x v="190"/>
    <x v="4"/>
    <x v="239"/>
    <x v="0"/>
    <x v="1"/>
    <x v="2076"/>
    <x v="25"/>
    <s v="NAKİT"/>
    <n v="0.25"/>
    <n v="400"/>
    <n v="0"/>
    <n v="0"/>
    <m/>
    <m/>
    <m/>
    <m/>
    <n v="100"/>
    <n v="0"/>
    <n v="22930.91174969836"/>
  </r>
  <r>
    <x v="190"/>
    <x v="4"/>
    <x v="292"/>
    <x v="0"/>
    <x v="1"/>
    <x v="2076"/>
    <x v="25"/>
    <s v="NAKİT"/>
    <n v="1"/>
    <n v="350"/>
    <n v="0"/>
    <n v="0"/>
    <m/>
    <m/>
    <m/>
    <m/>
    <n v="350"/>
    <n v="0"/>
    <n v="23280.91174969836"/>
  </r>
  <r>
    <x v="190"/>
    <x v="4"/>
    <x v="14"/>
    <x v="0"/>
    <x v="1"/>
    <x v="2076"/>
    <x v="25"/>
    <s v="NAKİT"/>
    <n v="0.4107142857142857"/>
    <n v="280"/>
    <n v="0"/>
    <n v="0"/>
    <m/>
    <m/>
    <m/>
    <m/>
    <n v="115"/>
    <n v="0"/>
    <n v="23395.91174969836"/>
  </r>
  <r>
    <x v="190"/>
    <x v="4"/>
    <x v="392"/>
    <x v="0"/>
    <x v="1"/>
    <x v="2076"/>
    <x v="25"/>
    <s v="NAKİT"/>
    <n v="1"/>
    <n v="370"/>
    <n v="0"/>
    <n v="0"/>
    <m/>
    <m/>
    <m/>
    <m/>
    <n v="370"/>
    <n v="0"/>
    <n v="23765.91174969836"/>
  </r>
  <r>
    <x v="190"/>
    <x v="4"/>
    <x v="38"/>
    <x v="0"/>
    <x v="1"/>
    <x v="2076"/>
    <x v="25"/>
    <s v="NAKİT"/>
    <n v="0.1"/>
    <n v="650"/>
    <n v="0"/>
    <n v="0"/>
    <m/>
    <m/>
    <m/>
    <m/>
    <n v="65"/>
    <n v="0"/>
    <n v="23830.91174969836"/>
  </r>
  <r>
    <x v="190"/>
    <x v="4"/>
    <x v="56"/>
    <x v="0"/>
    <x v="5"/>
    <x v="2077"/>
    <x v="25"/>
    <s v="POS"/>
    <n v="0.5"/>
    <n v="200"/>
    <n v="100"/>
    <n v="0"/>
    <m/>
    <m/>
    <m/>
    <m/>
    <n v="0"/>
    <n v="0"/>
    <n v="23830.91174969836"/>
  </r>
  <r>
    <x v="190"/>
    <x v="4"/>
    <x v="58"/>
    <x v="0"/>
    <x v="5"/>
    <x v="2077"/>
    <x v="25"/>
    <s v="POS"/>
    <n v="1"/>
    <n v="250"/>
    <n v="250"/>
    <n v="0"/>
    <m/>
    <m/>
    <m/>
    <m/>
    <n v="0"/>
    <n v="0"/>
    <n v="23830.91174969836"/>
  </r>
  <r>
    <x v="190"/>
    <x v="4"/>
    <x v="286"/>
    <x v="0"/>
    <x v="5"/>
    <x v="2077"/>
    <x v="25"/>
    <s v="POS"/>
    <n v="0.58461538461538465"/>
    <n v="65"/>
    <n v="38"/>
    <n v="0"/>
    <m/>
    <m/>
    <m/>
    <m/>
    <n v="0"/>
    <n v="0"/>
    <n v="23830.91174969836"/>
  </r>
  <r>
    <x v="190"/>
    <x v="4"/>
    <x v="246"/>
    <x v="0"/>
    <x v="1"/>
    <x v="2078"/>
    <x v="213"/>
    <s v="NAKİT"/>
    <n v="1"/>
    <n v="60"/>
    <n v="0"/>
    <n v="0"/>
    <m/>
    <m/>
    <m/>
    <m/>
    <n v="60"/>
    <n v="0"/>
    <n v="23890.91174969836"/>
  </r>
  <r>
    <x v="190"/>
    <x v="4"/>
    <x v="49"/>
    <x v="0"/>
    <x v="1"/>
    <x v="2079"/>
    <x v="25"/>
    <s v="NAKİT"/>
    <n v="0.1"/>
    <n v="600"/>
    <n v="0"/>
    <n v="0"/>
    <m/>
    <m/>
    <m/>
    <m/>
    <n v="60"/>
    <n v="0"/>
    <n v="23950.91174969836"/>
  </r>
  <r>
    <x v="190"/>
    <x v="4"/>
    <x v="273"/>
    <x v="0"/>
    <x v="1"/>
    <x v="2079"/>
    <x v="25"/>
    <s v="NAKİT"/>
    <n v="0.25"/>
    <n v="360"/>
    <n v="0"/>
    <n v="0"/>
    <m/>
    <m/>
    <m/>
    <m/>
    <n v="90"/>
    <n v="0"/>
    <n v="24040.91174969836"/>
  </r>
  <r>
    <x v="190"/>
    <x v="4"/>
    <x v="217"/>
    <x v="0"/>
    <x v="1"/>
    <x v="2079"/>
    <x v="25"/>
    <s v="NAKİT"/>
    <n v="1"/>
    <n v="250"/>
    <n v="0"/>
    <n v="0"/>
    <m/>
    <m/>
    <m/>
    <m/>
    <n v="250"/>
    <n v="0"/>
    <n v="24290.91174969836"/>
  </r>
  <r>
    <x v="190"/>
    <x v="4"/>
    <x v="50"/>
    <x v="0"/>
    <x v="1"/>
    <x v="2079"/>
    <x v="25"/>
    <s v="NAKİT"/>
    <n v="0.08"/>
    <n v="750"/>
    <n v="0"/>
    <n v="0"/>
    <m/>
    <m/>
    <m/>
    <m/>
    <n v="60"/>
    <n v="0"/>
    <n v="24350.91174969836"/>
  </r>
  <r>
    <x v="190"/>
    <x v="4"/>
    <x v="88"/>
    <x v="0"/>
    <x v="1"/>
    <x v="2079"/>
    <x v="25"/>
    <s v="NAKİT"/>
    <n v="0.05"/>
    <n v="1200"/>
    <n v="0"/>
    <n v="0"/>
    <m/>
    <m/>
    <m/>
    <m/>
    <n v="60"/>
    <n v="0"/>
    <n v="24410.91174969836"/>
  </r>
  <r>
    <x v="190"/>
    <x v="4"/>
    <x v="99"/>
    <x v="0"/>
    <x v="1"/>
    <x v="2079"/>
    <x v="25"/>
    <s v="NAKİT"/>
    <n v="0.05"/>
    <n v="900"/>
    <n v="0"/>
    <n v="0"/>
    <m/>
    <m/>
    <m/>
    <m/>
    <n v="45"/>
    <n v="0"/>
    <n v="24455.91174969836"/>
  </r>
  <r>
    <x v="190"/>
    <x v="4"/>
    <x v="360"/>
    <x v="0"/>
    <x v="1"/>
    <x v="2079"/>
    <x v="25"/>
    <s v="NAKİT"/>
    <n v="0.5"/>
    <n v="700"/>
    <n v="0"/>
    <n v="0"/>
    <m/>
    <m/>
    <m/>
    <m/>
    <n v="350"/>
    <n v="0"/>
    <n v="24805.91174969836"/>
  </r>
  <r>
    <x v="190"/>
    <x v="4"/>
    <x v="394"/>
    <x v="0"/>
    <x v="1"/>
    <x v="2079"/>
    <x v="25"/>
    <s v="NAKİT"/>
    <n v="0.25"/>
    <n v="340"/>
    <n v="0"/>
    <n v="0"/>
    <m/>
    <m/>
    <m/>
    <m/>
    <n v="85"/>
    <n v="0"/>
    <n v="24890.91174969836"/>
  </r>
  <r>
    <x v="190"/>
    <x v="4"/>
    <x v="30"/>
    <x v="0"/>
    <x v="1"/>
    <x v="2080"/>
    <x v="25"/>
    <s v="NAKİT"/>
    <n v="0.2"/>
    <n v="500"/>
    <n v="0"/>
    <n v="0"/>
    <m/>
    <m/>
    <m/>
    <m/>
    <n v="100"/>
    <n v="0"/>
    <n v="24990.91174969836"/>
  </r>
  <r>
    <x v="190"/>
    <x v="4"/>
    <x v="360"/>
    <x v="0"/>
    <x v="5"/>
    <x v="2081"/>
    <x v="25"/>
    <s v="POS"/>
    <n v="1"/>
    <n v="650"/>
    <n v="650"/>
    <n v="0"/>
    <m/>
    <m/>
    <m/>
    <m/>
    <n v="0"/>
    <n v="0"/>
    <n v="24990.91174969836"/>
  </r>
  <r>
    <x v="190"/>
    <x v="4"/>
    <x v="56"/>
    <x v="0"/>
    <x v="1"/>
    <x v="2082"/>
    <x v="25"/>
    <s v="NAKİT"/>
    <n v="0.3"/>
    <n v="200"/>
    <n v="0"/>
    <n v="0"/>
    <m/>
    <m/>
    <m/>
    <m/>
    <n v="60"/>
    <n v="0"/>
    <n v="25050.91174969836"/>
  </r>
  <r>
    <x v="190"/>
    <x v="4"/>
    <x v="31"/>
    <x v="0"/>
    <x v="5"/>
    <x v="2083"/>
    <x v="25"/>
    <s v="POS"/>
    <n v="0.16750000000000001"/>
    <n v="400"/>
    <n v="67"/>
    <n v="0"/>
    <m/>
    <m/>
    <m/>
    <m/>
    <n v="0"/>
    <n v="0"/>
    <n v="25050.91174969836"/>
  </r>
  <r>
    <x v="191"/>
    <x v="4"/>
    <x v="362"/>
    <x v="0"/>
    <x v="1"/>
    <x v="2084"/>
    <x v="25"/>
    <s v="NAKİT"/>
    <n v="0.05"/>
    <n v="1400"/>
    <n v="0"/>
    <n v="0"/>
    <m/>
    <m/>
    <m/>
    <m/>
    <n v="70"/>
    <n v="0"/>
    <n v="25120.91174969836"/>
  </r>
  <r>
    <x v="191"/>
    <x v="4"/>
    <x v="83"/>
    <x v="0"/>
    <x v="1"/>
    <x v="2084"/>
    <x v="25"/>
    <s v="NAKİT"/>
    <n v="0.05"/>
    <n v="2600"/>
    <n v="0"/>
    <n v="0"/>
    <m/>
    <m/>
    <m/>
    <m/>
    <n v="130"/>
    <n v="0"/>
    <n v="25250.91174969836"/>
  </r>
  <r>
    <x v="191"/>
    <x v="4"/>
    <x v="157"/>
    <x v="0"/>
    <x v="1"/>
    <x v="2085"/>
    <x v="25"/>
    <s v="NAKİT"/>
    <n v="0.5"/>
    <n v="100"/>
    <n v="0"/>
    <n v="0"/>
    <m/>
    <m/>
    <m/>
    <m/>
    <n v="50"/>
    <n v="0"/>
    <n v="25300.91174969836"/>
  </r>
  <r>
    <x v="191"/>
    <x v="4"/>
    <x v="445"/>
    <x v="0"/>
    <x v="1"/>
    <x v="2086"/>
    <x v="25"/>
    <s v="NAKİT"/>
    <n v="1"/>
    <n v="90"/>
    <n v="0"/>
    <n v="0"/>
    <m/>
    <m/>
    <m/>
    <m/>
    <n v="90"/>
    <n v="0"/>
    <n v="25390.91174969836"/>
  </r>
  <r>
    <x v="191"/>
    <x v="4"/>
    <x v="57"/>
    <x v="0"/>
    <x v="1"/>
    <x v="2086"/>
    <x v="25"/>
    <s v="NAKİT"/>
    <n v="1"/>
    <n v="150"/>
    <n v="0"/>
    <n v="0"/>
    <m/>
    <m/>
    <m/>
    <m/>
    <n v="150"/>
    <n v="0"/>
    <n v="25540.91174969836"/>
  </r>
  <r>
    <x v="191"/>
    <x v="4"/>
    <x v="49"/>
    <x v="0"/>
    <x v="1"/>
    <x v="2087"/>
    <x v="25"/>
    <s v="NAKİT"/>
    <n v="0.1"/>
    <n v="600"/>
    <n v="0"/>
    <n v="0"/>
    <m/>
    <m/>
    <m/>
    <m/>
    <n v="60"/>
    <n v="0"/>
    <n v="25600.91174969836"/>
  </r>
  <r>
    <x v="191"/>
    <x v="4"/>
    <x v="273"/>
    <x v="0"/>
    <x v="1"/>
    <x v="2087"/>
    <x v="25"/>
    <s v="NAKİT"/>
    <n v="0.25"/>
    <n v="360"/>
    <n v="0"/>
    <n v="0"/>
    <m/>
    <m/>
    <m/>
    <m/>
    <n v="90"/>
    <n v="0"/>
    <n v="25690.91174969836"/>
  </r>
  <r>
    <x v="191"/>
    <x v="4"/>
    <x v="105"/>
    <x v="0"/>
    <x v="1"/>
    <x v="2088"/>
    <x v="25"/>
    <s v="NAKİT"/>
    <n v="1"/>
    <n v="180"/>
    <n v="0"/>
    <n v="0"/>
    <m/>
    <m/>
    <m/>
    <m/>
    <n v="180"/>
    <n v="0"/>
    <n v="25870.91174969836"/>
  </r>
  <r>
    <x v="191"/>
    <x v="4"/>
    <x v="112"/>
    <x v="0"/>
    <x v="1"/>
    <x v="2088"/>
    <x v="25"/>
    <s v="NAKİT"/>
    <n v="0.05"/>
    <n v="1000"/>
    <n v="0"/>
    <n v="0"/>
    <m/>
    <m/>
    <m/>
    <m/>
    <n v="50"/>
    <n v="0"/>
    <n v="25920.91174969836"/>
  </r>
  <r>
    <x v="191"/>
    <x v="4"/>
    <x v="232"/>
    <x v="0"/>
    <x v="1"/>
    <x v="2089"/>
    <x v="25"/>
    <s v="NAKİT"/>
    <n v="1"/>
    <n v="300"/>
    <n v="0"/>
    <n v="0"/>
    <m/>
    <m/>
    <m/>
    <m/>
    <n v="300"/>
    <n v="0"/>
    <n v="26220.91174969836"/>
  </r>
  <r>
    <x v="191"/>
    <x v="4"/>
    <x v="18"/>
    <x v="0"/>
    <x v="1"/>
    <x v="2090"/>
    <x v="25"/>
    <s v="NAKİT"/>
    <n v="1"/>
    <n v="250"/>
    <n v="0"/>
    <n v="0"/>
    <m/>
    <m/>
    <m/>
    <m/>
    <n v="250"/>
    <n v="0"/>
    <n v="26470.91174969836"/>
  </r>
  <r>
    <x v="191"/>
    <x v="4"/>
    <x v="19"/>
    <x v="0"/>
    <x v="1"/>
    <x v="2090"/>
    <x v="25"/>
    <s v="NAKİT"/>
    <n v="1"/>
    <n v="250"/>
    <n v="0"/>
    <n v="0"/>
    <m/>
    <m/>
    <m/>
    <m/>
    <n v="250"/>
    <n v="0"/>
    <n v="26720.91174969836"/>
  </r>
  <r>
    <x v="191"/>
    <x v="4"/>
    <x v="206"/>
    <x v="0"/>
    <x v="1"/>
    <x v="2090"/>
    <x v="25"/>
    <s v="NAKİT"/>
    <n v="1"/>
    <n v="350"/>
    <n v="0"/>
    <n v="0"/>
    <m/>
    <m/>
    <m/>
    <m/>
    <n v="350"/>
    <n v="0"/>
    <n v="27070.91174969836"/>
  </r>
  <r>
    <x v="191"/>
    <x v="4"/>
    <x v="307"/>
    <x v="0"/>
    <x v="1"/>
    <x v="2091"/>
    <x v="25"/>
    <s v="NAKİT"/>
    <n v="1"/>
    <n v="140"/>
    <n v="0"/>
    <n v="0"/>
    <m/>
    <m/>
    <m/>
    <m/>
    <n v="140"/>
    <n v="0"/>
    <n v="27210.91174969836"/>
  </r>
  <r>
    <x v="191"/>
    <x v="4"/>
    <x v="330"/>
    <x v="0"/>
    <x v="1"/>
    <x v="2092"/>
    <x v="25"/>
    <s v="NAKİT"/>
    <n v="1"/>
    <n v="190"/>
    <n v="0"/>
    <n v="0"/>
    <m/>
    <m/>
    <m/>
    <m/>
    <n v="190"/>
    <n v="0"/>
    <n v="27400.91174969836"/>
  </r>
  <r>
    <x v="191"/>
    <x v="4"/>
    <x v="196"/>
    <x v="0"/>
    <x v="5"/>
    <x v="2093"/>
    <x v="25"/>
    <s v="POS"/>
    <n v="1"/>
    <n v="300"/>
    <n v="300"/>
    <n v="0"/>
    <m/>
    <m/>
    <m/>
    <m/>
    <n v="0"/>
    <n v="0"/>
    <n v="27400.91174969836"/>
  </r>
  <r>
    <x v="191"/>
    <x v="4"/>
    <x v="150"/>
    <x v="0"/>
    <x v="5"/>
    <x v="2093"/>
    <x v="25"/>
    <s v="POS"/>
    <n v="1"/>
    <n v="250"/>
    <n v="250"/>
    <n v="0"/>
    <m/>
    <m/>
    <m/>
    <m/>
    <n v="0"/>
    <n v="0"/>
    <n v="27400.91174969836"/>
  </r>
  <r>
    <x v="191"/>
    <x v="4"/>
    <x v="238"/>
    <x v="0"/>
    <x v="5"/>
    <x v="2093"/>
    <x v="25"/>
    <s v="POS"/>
    <n v="0.35882352941176471"/>
    <n v="335"/>
    <n v="120.20588235294117"/>
    <n v="0"/>
    <m/>
    <m/>
    <m/>
    <m/>
    <n v="0"/>
    <n v="0"/>
    <n v="27400.91174969836"/>
  </r>
  <r>
    <x v="191"/>
    <x v="4"/>
    <x v="239"/>
    <x v="0"/>
    <x v="1"/>
    <x v="2094"/>
    <x v="25"/>
    <s v="NAKİT"/>
    <n v="0.25"/>
    <n v="400"/>
    <n v="0"/>
    <n v="0"/>
    <m/>
    <m/>
    <m/>
    <m/>
    <n v="100"/>
    <n v="0"/>
    <n v="27500.91174969836"/>
  </r>
  <r>
    <x v="191"/>
    <x v="4"/>
    <x v="55"/>
    <x v="0"/>
    <x v="1"/>
    <x v="2094"/>
    <x v="25"/>
    <s v="NAKİT"/>
    <n v="0.25"/>
    <n v="200"/>
    <n v="0"/>
    <n v="0"/>
    <m/>
    <m/>
    <m/>
    <m/>
    <n v="50"/>
    <n v="0"/>
    <n v="27550.91174969836"/>
  </r>
  <r>
    <x v="191"/>
    <x v="4"/>
    <x v="56"/>
    <x v="0"/>
    <x v="1"/>
    <x v="2094"/>
    <x v="25"/>
    <s v="NAKİT"/>
    <n v="0.25"/>
    <n v="200"/>
    <n v="0"/>
    <n v="0"/>
    <m/>
    <m/>
    <m/>
    <m/>
    <n v="50"/>
    <n v="0"/>
    <n v="27600.91174969836"/>
  </r>
  <r>
    <x v="191"/>
    <x v="4"/>
    <x v="371"/>
    <x v="0"/>
    <x v="5"/>
    <x v="2095"/>
    <x v="25"/>
    <s v="POS"/>
    <n v="4.4999999999999998E-2"/>
    <n v="1111"/>
    <n v="49.994999999999997"/>
    <n v="0"/>
    <m/>
    <m/>
    <m/>
    <m/>
    <n v="0"/>
    <n v="0"/>
    <n v="27600.91174969836"/>
  </r>
  <r>
    <x v="192"/>
    <x v="4"/>
    <x v="161"/>
    <x v="0"/>
    <x v="1"/>
    <x v="2096"/>
    <x v="25"/>
    <s v="NAKİT"/>
    <n v="0.16"/>
    <n v="313"/>
    <n v="0"/>
    <n v="0"/>
    <m/>
    <m/>
    <m/>
    <m/>
    <n v="50.08"/>
    <n v="0"/>
    <n v="27650.991749698362"/>
  </r>
  <r>
    <x v="192"/>
    <x v="4"/>
    <x v="286"/>
    <x v="0"/>
    <x v="1"/>
    <x v="2096"/>
    <x v="25"/>
    <s v="NAKİT"/>
    <n v="2.02"/>
    <n v="49"/>
    <n v="0"/>
    <n v="0"/>
    <m/>
    <m/>
    <m/>
    <m/>
    <n v="98.98"/>
    <n v="0"/>
    <n v="27749.971749698361"/>
  </r>
  <r>
    <x v="192"/>
    <x v="4"/>
    <x v="150"/>
    <x v="0"/>
    <x v="1"/>
    <x v="2097"/>
    <x v="25"/>
    <s v="NAKİT"/>
    <n v="1"/>
    <n v="250"/>
    <n v="0"/>
    <n v="0"/>
    <m/>
    <m/>
    <m/>
    <m/>
    <n v="250"/>
    <n v="0"/>
    <n v="27999.971749698361"/>
  </r>
  <r>
    <x v="192"/>
    <x v="4"/>
    <x v="88"/>
    <x v="0"/>
    <x v="1"/>
    <x v="2097"/>
    <x v="25"/>
    <s v="NAKİT"/>
    <n v="0.05"/>
    <n v="1000"/>
    <n v="0"/>
    <n v="0"/>
    <m/>
    <m/>
    <m/>
    <m/>
    <n v="50"/>
    <n v="0"/>
    <n v="28049.971749698361"/>
  </r>
  <r>
    <x v="192"/>
    <x v="4"/>
    <x v="384"/>
    <x v="0"/>
    <x v="1"/>
    <x v="2098"/>
    <x v="25"/>
    <s v="NAKİT"/>
    <n v="1"/>
    <n v="300"/>
    <n v="0"/>
    <n v="0"/>
    <m/>
    <m/>
    <m/>
    <m/>
    <n v="300"/>
    <n v="0"/>
    <n v="28349.971749698361"/>
  </r>
  <r>
    <x v="192"/>
    <x v="4"/>
    <x v="101"/>
    <x v="0"/>
    <x v="1"/>
    <x v="2098"/>
    <x v="25"/>
    <s v="NAKİT"/>
    <n v="0.22800000000000001"/>
    <n v="220"/>
    <n v="0"/>
    <n v="0"/>
    <m/>
    <m/>
    <m/>
    <m/>
    <n v="50.160000000000004"/>
    <n v="0"/>
    <n v="28400.131749698361"/>
  </r>
  <r>
    <x v="192"/>
    <x v="4"/>
    <x v="18"/>
    <x v="0"/>
    <x v="1"/>
    <x v="2099"/>
    <x v="25"/>
    <s v="NAKİT"/>
    <n v="1"/>
    <n v="250"/>
    <n v="0"/>
    <n v="0"/>
    <m/>
    <m/>
    <m/>
    <m/>
    <n v="250"/>
    <n v="0"/>
    <n v="28650.131749698361"/>
  </r>
  <r>
    <x v="192"/>
    <x v="4"/>
    <x v="33"/>
    <x v="0"/>
    <x v="1"/>
    <x v="2100"/>
    <x v="25"/>
    <s v="NAKİT"/>
    <n v="0.125"/>
    <n v="400"/>
    <n v="0"/>
    <n v="0"/>
    <m/>
    <m/>
    <m/>
    <m/>
    <n v="50"/>
    <n v="0"/>
    <n v="28700.131749698361"/>
  </r>
  <r>
    <x v="192"/>
    <x v="4"/>
    <x v="50"/>
    <x v="0"/>
    <x v="1"/>
    <x v="2101"/>
    <x v="25"/>
    <s v="NAKİT"/>
    <n v="0.08"/>
    <n v="750"/>
    <n v="0"/>
    <n v="0"/>
    <m/>
    <m/>
    <m/>
    <m/>
    <n v="60"/>
    <n v="0"/>
    <n v="28760.131749698361"/>
  </r>
  <r>
    <x v="192"/>
    <x v="4"/>
    <x v="257"/>
    <x v="0"/>
    <x v="1"/>
    <x v="2102"/>
    <x v="25"/>
    <s v="NAKİT"/>
    <n v="1"/>
    <n v="170"/>
    <n v="0"/>
    <n v="0"/>
    <m/>
    <m/>
    <m/>
    <m/>
    <n v="170"/>
    <n v="0"/>
    <n v="28930.131749698361"/>
  </r>
  <r>
    <x v="192"/>
    <x v="4"/>
    <x v="153"/>
    <x v="0"/>
    <x v="1"/>
    <x v="2102"/>
    <x v="25"/>
    <s v="NAKİT"/>
    <n v="1"/>
    <n v="80"/>
    <n v="0"/>
    <n v="0"/>
    <m/>
    <m/>
    <m/>
    <m/>
    <n v="80"/>
    <n v="0"/>
    <n v="29010.131749698361"/>
  </r>
  <r>
    <x v="192"/>
    <x v="4"/>
    <x v="369"/>
    <x v="0"/>
    <x v="1"/>
    <x v="2102"/>
    <x v="25"/>
    <s v="NAKİT"/>
    <n v="0.1"/>
    <n v="600"/>
    <n v="0"/>
    <n v="0"/>
    <m/>
    <m/>
    <m/>
    <m/>
    <n v="60"/>
    <n v="0"/>
    <n v="29070.131749698361"/>
  </r>
  <r>
    <x v="192"/>
    <x v="4"/>
    <x v="285"/>
    <x v="0"/>
    <x v="1"/>
    <x v="2102"/>
    <x v="25"/>
    <s v="NAKİT"/>
    <n v="0.125"/>
    <n v="320"/>
    <n v="0"/>
    <n v="0"/>
    <m/>
    <m/>
    <m/>
    <m/>
    <n v="40"/>
    <n v="0"/>
    <n v="29110.131749698361"/>
  </r>
  <r>
    <x v="192"/>
    <x v="4"/>
    <x v="449"/>
    <x v="0"/>
    <x v="5"/>
    <x v="2103"/>
    <x v="25"/>
    <s v="POS"/>
    <n v="0.5"/>
    <n v="650"/>
    <n v="325"/>
    <n v="0"/>
    <m/>
    <m/>
    <m/>
    <m/>
    <n v="0"/>
    <n v="0"/>
    <n v="29110.131749698361"/>
  </r>
  <r>
    <x v="192"/>
    <x v="4"/>
    <x v="88"/>
    <x v="0"/>
    <x v="1"/>
    <x v="2104"/>
    <x v="25"/>
    <s v="NAKİT"/>
    <n v="0.05"/>
    <n v="1000"/>
    <n v="0"/>
    <n v="0"/>
    <m/>
    <m/>
    <m/>
    <m/>
    <n v="50"/>
    <n v="0"/>
    <n v="29160.131749698361"/>
  </r>
  <r>
    <x v="192"/>
    <x v="4"/>
    <x v="57"/>
    <x v="0"/>
    <x v="5"/>
    <x v="2105"/>
    <x v="25"/>
    <s v="POS"/>
    <n v="1"/>
    <n v="150"/>
    <n v="150"/>
    <n v="0"/>
    <m/>
    <m/>
    <m/>
    <m/>
    <n v="0"/>
    <n v="0"/>
    <n v="29160.131749698361"/>
  </r>
  <r>
    <x v="192"/>
    <x v="4"/>
    <x v="56"/>
    <x v="0"/>
    <x v="5"/>
    <x v="2105"/>
    <x v="25"/>
    <s v="POS"/>
    <n v="1"/>
    <n v="200"/>
    <n v="200"/>
    <n v="0"/>
    <m/>
    <m/>
    <m/>
    <m/>
    <n v="0"/>
    <n v="0"/>
    <n v="29160.131749698361"/>
  </r>
  <r>
    <x v="192"/>
    <x v="4"/>
    <x v="208"/>
    <x v="0"/>
    <x v="5"/>
    <x v="2106"/>
    <x v="25"/>
    <s v="POS"/>
    <n v="1"/>
    <n v="350"/>
    <n v="350"/>
    <n v="0"/>
    <m/>
    <m/>
    <m/>
    <m/>
    <n v="0"/>
    <n v="0"/>
    <n v="29160.131749698361"/>
  </r>
  <r>
    <x v="192"/>
    <x v="4"/>
    <x v="30"/>
    <x v="0"/>
    <x v="5"/>
    <x v="2106"/>
    <x v="25"/>
    <s v="POS"/>
    <n v="0.17199999999999999"/>
    <n v="500"/>
    <n v="86"/>
    <n v="0"/>
    <m/>
    <m/>
    <m/>
    <m/>
    <n v="0"/>
    <n v="0"/>
    <n v="29160.131749698361"/>
  </r>
  <r>
    <x v="192"/>
    <x v="4"/>
    <x v="18"/>
    <x v="0"/>
    <x v="5"/>
    <x v="2106"/>
    <x v="25"/>
    <s v="POS"/>
    <n v="1"/>
    <n v="250"/>
    <n v="250"/>
    <n v="0"/>
    <m/>
    <m/>
    <m/>
    <m/>
    <n v="0"/>
    <n v="0"/>
    <n v="29160.131749698361"/>
  </r>
  <r>
    <x v="192"/>
    <x v="4"/>
    <x v="19"/>
    <x v="0"/>
    <x v="5"/>
    <x v="2106"/>
    <x v="25"/>
    <s v="POS"/>
    <n v="1"/>
    <n v="250"/>
    <n v="250"/>
    <n v="0"/>
    <m/>
    <m/>
    <m/>
    <m/>
    <n v="0"/>
    <n v="0"/>
    <n v="29160.131749698361"/>
  </r>
  <r>
    <x v="192"/>
    <x v="4"/>
    <x v="238"/>
    <x v="0"/>
    <x v="5"/>
    <x v="2106"/>
    <x v="25"/>
    <s v="POS"/>
    <n v="0.378"/>
    <n v="340"/>
    <n v="128.52000000000001"/>
    <n v="0"/>
    <m/>
    <m/>
    <m/>
    <m/>
    <n v="0"/>
    <n v="0"/>
    <n v="29160.131749698361"/>
  </r>
  <r>
    <x v="192"/>
    <x v="4"/>
    <x v="128"/>
    <x v="0"/>
    <x v="5"/>
    <x v="2106"/>
    <x v="25"/>
    <s v="POS"/>
    <n v="0.5"/>
    <n v="200"/>
    <n v="100"/>
    <n v="0"/>
    <m/>
    <m/>
    <m/>
    <m/>
    <n v="0"/>
    <n v="0"/>
    <n v="29160.131749698361"/>
  </r>
  <r>
    <x v="192"/>
    <x v="4"/>
    <x v="391"/>
    <x v="0"/>
    <x v="5"/>
    <x v="2106"/>
    <x v="25"/>
    <s v="POS"/>
    <n v="0.38600000000000001"/>
    <n v="420"/>
    <n v="162.12"/>
    <n v="0"/>
    <m/>
    <m/>
    <m/>
    <m/>
    <n v="0"/>
    <n v="0"/>
    <n v="29160.131749698361"/>
  </r>
  <r>
    <x v="192"/>
    <x v="4"/>
    <x v="160"/>
    <x v="0"/>
    <x v="5"/>
    <x v="2106"/>
    <x v="25"/>
    <s v="POS"/>
    <n v="1"/>
    <n v="120"/>
    <n v="120"/>
    <n v="0"/>
    <m/>
    <m/>
    <m/>
    <m/>
    <n v="0"/>
    <n v="0"/>
    <n v="29160.131749698361"/>
  </r>
  <r>
    <x v="192"/>
    <x v="4"/>
    <x v="154"/>
    <x v="0"/>
    <x v="5"/>
    <x v="2107"/>
    <x v="25"/>
    <s v="POS"/>
    <n v="1"/>
    <n v="180"/>
    <n v="180"/>
    <n v="0"/>
    <m/>
    <m/>
    <m/>
    <m/>
    <n v="0"/>
    <n v="0"/>
    <n v="29160.131749698361"/>
  </r>
  <r>
    <x v="192"/>
    <x v="4"/>
    <x v="29"/>
    <x v="0"/>
    <x v="5"/>
    <x v="2107"/>
    <x v="25"/>
    <s v="POS"/>
    <n v="0.11764705882352941"/>
    <n v="850"/>
    <n v="100"/>
    <n v="0"/>
    <m/>
    <m/>
    <m/>
    <m/>
    <n v="0"/>
    <n v="0"/>
    <n v="29160.131749698361"/>
  </r>
  <r>
    <x v="192"/>
    <x v="4"/>
    <x v="99"/>
    <x v="0"/>
    <x v="1"/>
    <x v="2108"/>
    <x v="25"/>
    <s v="NAKİT"/>
    <n v="0.05"/>
    <n v="900"/>
    <n v="0"/>
    <n v="0"/>
    <m/>
    <m/>
    <m/>
    <m/>
    <n v="45"/>
    <n v="0"/>
    <n v="29205.131749698361"/>
  </r>
  <r>
    <x v="192"/>
    <x v="4"/>
    <x v="239"/>
    <x v="0"/>
    <x v="1"/>
    <x v="2109"/>
    <x v="25"/>
    <s v="NAKİT"/>
    <n v="1"/>
    <n v="400"/>
    <n v="0"/>
    <n v="0"/>
    <m/>
    <m/>
    <m/>
    <m/>
    <n v="400"/>
    <n v="0"/>
    <n v="29605.131749698361"/>
  </r>
  <r>
    <x v="192"/>
    <x v="4"/>
    <x v="73"/>
    <x v="0"/>
    <x v="1"/>
    <x v="2110"/>
    <x v="25"/>
    <s v="NAKİT"/>
    <n v="1"/>
    <n v="750"/>
    <n v="0"/>
    <n v="0"/>
    <m/>
    <m/>
    <m/>
    <m/>
    <n v="750"/>
    <n v="0"/>
    <n v="30355.131749698361"/>
  </r>
  <r>
    <x v="192"/>
    <x v="4"/>
    <x v="287"/>
    <x v="0"/>
    <x v="1"/>
    <x v="2110"/>
    <x v="25"/>
    <s v="NAKİT"/>
    <n v="3.1539999999999999"/>
    <n v="65"/>
    <n v="0"/>
    <n v="0"/>
    <m/>
    <m/>
    <m/>
    <m/>
    <n v="205.01"/>
    <n v="0"/>
    <n v="30560.141749698359"/>
  </r>
  <r>
    <x v="192"/>
    <x v="4"/>
    <x v="121"/>
    <x v="0"/>
    <x v="1"/>
    <x v="2110"/>
    <x v="25"/>
    <s v="NAKİT"/>
    <n v="0.1"/>
    <n v="1250"/>
    <n v="0"/>
    <n v="0"/>
    <m/>
    <m/>
    <m/>
    <m/>
    <n v="125"/>
    <n v="0"/>
    <n v="30685.141749698359"/>
  </r>
  <r>
    <x v="192"/>
    <x v="4"/>
    <x v="129"/>
    <x v="0"/>
    <x v="1"/>
    <x v="2110"/>
    <x v="25"/>
    <s v="NAKİT"/>
    <n v="0.20833333333333334"/>
    <n v="240"/>
    <n v="0"/>
    <n v="0"/>
    <m/>
    <m/>
    <m/>
    <m/>
    <n v="50"/>
    <n v="0"/>
    <n v="30735.141749698359"/>
  </r>
  <r>
    <x v="192"/>
    <x v="4"/>
    <x v="128"/>
    <x v="0"/>
    <x v="1"/>
    <x v="2110"/>
    <x v="25"/>
    <s v="NAKİT"/>
    <n v="0.5"/>
    <n v="200"/>
    <n v="0"/>
    <n v="0"/>
    <m/>
    <m/>
    <m/>
    <m/>
    <n v="100"/>
    <n v="0"/>
    <n v="30835.141749698359"/>
  </r>
  <r>
    <x v="192"/>
    <x v="4"/>
    <x v="149"/>
    <x v="0"/>
    <x v="1"/>
    <x v="2110"/>
    <x v="25"/>
    <s v="NAKİT"/>
    <n v="0.15384615384615385"/>
    <n v="650"/>
    <n v="0"/>
    <n v="0"/>
    <m/>
    <m/>
    <m/>
    <m/>
    <n v="100"/>
    <n v="0"/>
    <n v="30935.141749698359"/>
  </r>
  <r>
    <x v="192"/>
    <x v="4"/>
    <x v="116"/>
    <x v="0"/>
    <x v="1"/>
    <x v="2110"/>
    <x v="25"/>
    <s v="NAKİT"/>
    <n v="0.51162790697674421"/>
    <n v="430"/>
    <n v="0"/>
    <n v="0"/>
    <m/>
    <m/>
    <m/>
    <m/>
    <n v="220"/>
    <n v="0"/>
    <n v="31155.141749698359"/>
  </r>
  <r>
    <x v="192"/>
    <x v="4"/>
    <x v="77"/>
    <x v="0"/>
    <x v="1"/>
    <x v="2110"/>
    <x v="25"/>
    <s v="NAKİT"/>
    <n v="1"/>
    <n v="80"/>
    <n v="0"/>
    <n v="0"/>
    <m/>
    <m/>
    <m/>
    <m/>
    <n v="80"/>
    <n v="0"/>
    <n v="31235.141749698359"/>
  </r>
  <r>
    <x v="192"/>
    <x v="4"/>
    <x v="111"/>
    <x v="0"/>
    <x v="1"/>
    <x v="2111"/>
    <x v="25"/>
    <s v="NAKİT"/>
    <n v="0.312"/>
    <n v="350"/>
    <n v="0"/>
    <n v="0"/>
    <m/>
    <m/>
    <m/>
    <m/>
    <n v="109.2"/>
    <n v="0"/>
    <n v="31344.34174969836"/>
  </r>
  <r>
    <x v="192"/>
    <x v="4"/>
    <x v="150"/>
    <x v="0"/>
    <x v="1"/>
    <x v="2111"/>
    <x v="25"/>
    <s v="NAKİT"/>
    <n v="0.52800000000000002"/>
    <n v="250"/>
    <n v="0"/>
    <n v="0"/>
    <m/>
    <m/>
    <m/>
    <m/>
    <n v="132"/>
    <n v="0"/>
    <n v="31476.34174969836"/>
  </r>
  <r>
    <x v="192"/>
    <x v="3"/>
    <x v="292"/>
    <x v="0"/>
    <x v="2"/>
    <x v="2"/>
    <x v="50"/>
    <s v="K.K."/>
    <n v="2"/>
    <n v="249.5"/>
    <n v="0"/>
    <n v="499"/>
    <m/>
    <m/>
    <m/>
    <m/>
    <n v="0"/>
    <n v="0"/>
    <n v="31476.34174969836"/>
  </r>
  <r>
    <x v="192"/>
    <x v="3"/>
    <x v="451"/>
    <x v="0"/>
    <x v="2"/>
    <x v="2"/>
    <x v="50"/>
    <s v="K.K."/>
    <n v="1"/>
    <n v="1"/>
    <n v="0"/>
    <n v="1"/>
    <m/>
    <m/>
    <m/>
    <m/>
    <n v="0"/>
    <n v="0"/>
    <n v="31476.34174969836"/>
  </r>
  <r>
    <x v="192"/>
    <x v="3"/>
    <x v="292"/>
    <x v="0"/>
    <x v="2"/>
    <x v="2"/>
    <x v="50"/>
    <s v="K.K."/>
    <n v="2"/>
    <n v="249.5"/>
    <n v="0"/>
    <n v="499"/>
    <m/>
    <m/>
    <m/>
    <m/>
    <n v="0"/>
    <n v="0"/>
    <n v="31476.34174969836"/>
  </r>
  <r>
    <x v="192"/>
    <x v="3"/>
    <x v="451"/>
    <x v="0"/>
    <x v="2"/>
    <x v="2"/>
    <x v="50"/>
    <s v="K.K."/>
    <n v="1"/>
    <n v="1"/>
    <n v="0"/>
    <n v="1"/>
    <m/>
    <m/>
    <m/>
    <m/>
    <n v="0"/>
    <n v="0"/>
    <n v="31476.34174969836"/>
  </r>
  <r>
    <x v="192"/>
    <x v="10"/>
    <x v="0"/>
    <x v="0"/>
    <x v="5"/>
    <x v="2"/>
    <x v="63"/>
    <s v="POS"/>
    <n v="1"/>
    <n v="980"/>
    <n v="0"/>
    <n v="980"/>
    <m/>
    <m/>
    <m/>
    <m/>
    <n v="980"/>
    <n v="0"/>
    <n v="32456.34174969836"/>
  </r>
  <r>
    <x v="193"/>
    <x v="4"/>
    <x v="33"/>
    <x v="0"/>
    <x v="5"/>
    <x v="2112"/>
    <x v="214"/>
    <s v="POS"/>
    <n v="1.548"/>
    <n v="250"/>
    <n v="387"/>
    <n v="0"/>
    <m/>
    <m/>
    <m/>
    <m/>
    <n v="0"/>
    <n v="0"/>
    <n v="32456.34174969836"/>
  </r>
  <r>
    <x v="193"/>
    <x v="4"/>
    <x v="161"/>
    <x v="0"/>
    <x v="5"/>
    <x v="2112"/>
    <x v="214"/>
    <s v="POS"/>
    <n v="0.50600000000000001"/>
    <n v="250"/>
    <n v="126.5"/>
    <n v="0"/>
    <m/>
    <m/>
    <m/>
    <m/>
    <n v="0"/>
    <n v="0"/>
    <n v="32456.34174969836"/>
  </r>
  <r>
    <x v="193"/>
    <x v="4"/>
    <x v="443"/>
    <x v="0"/>
    <x v="5"/>
    <x v="2112"/>
    <x v="214"/>
    <s v="POS"/>
    <n v="0.1"/>
    <n v="500"/>
    <n v="50"/>
    <n v="0"/>
    <m/>
    <m/>
    <m/>
    <m/>
    <n v="0"/>
    <n v="0"/>
    <n v="32456.34174969836"/>
  </r>
  <r>
    <x v="193"/>
    <x v="4"/>
    <x v="235"/>
    <x v="0"/>
    <x v="1"/>
    <x v="2113"/>
    <x v="25"/>
    <s v="NAKİT"/>
    <n v="1"/>
    <n v="220"/>
    <n v="0"/>
    <n v="0"/>
    <m/>
    <m/>
    <m/>
    <m/>
    <n v="220"/>
    <n v="0"/>
    <n v="32676.34174969836"/>
  </r>
  <r>
    <x v="193"/>
    <x v="4"/>
    <x v="56"/>
    <x v="0"/>
    <x v="1"/>
    <x v="2114"/>
    <x v="25"/>
    <s v="NAKİT"/>
    <n v="1"/>
    <n v="200"/>
    <n v="0"/>
    <n v="0"/>
    <m/>
    <m/>
    <m/>
    <m/>
    <n v="200"/>
    <n v="0"/>
    <n v="32876.34174969836"/>
  </r>
  <r>
    <x v="193"/>
    <x v="4"/>
    <x v="344"/>
    <x v="0"/>
    <x v="5"/>
    <x v="2115"/>
    <x v="25"/>
    <s v="POS"/>
    <n v="0.35"/>
    <n v="500"/>
    <n v="175"/>
    <n v="0"/>
    <m/>
    <m/>
    <m/>
    <m/>
    <n v="0"/>
    <n v="0"/>
    <n v="32876.34174969836"/>
  </r>
  <r>
    <x v="193"/>
    <x v="4"/>
    <x v="208"/>
    <x v="0"/>
    <x v="5"/>
    <x v="2116"/>
    <x v="25"/>
    <s v="POS"/>
    <n v="0.46666666666666667"/>
    <n v="375"/>
    <n v="175"/>
    <n v="0"/>
    <m/>
    <m/>
    <m/>
    <m/>
    <n v="0"/>
    <n v="0"/>
    <n v="32876.34174969836"/>
  </r>
  <r>
    <x v="193"/>
    <x v="4"/>
    <x v="18"/>
    <x v="0"/>
    <x v="5"/>
    <x v="2116"/>
    <x v="25"/>
    <s v="POS"/>
    <n v="1"/>
    <n v="250"/>
    <n v="250"/>
    <n v="0"/>
    <m/>
    <m/>
    <m/>
    <m/>
    <n v="0"/>
    <n v="0"/>
    <n v="32876.34174969836"/>
  </r>
  <r>
    <x v="193"/>
    <x v="4"/>
    <x v="401"/>
    <x v="0"/>
    <x v="5"/>
    <x v="2116"/>
    <x v="25"/>
    <s v="POS"/>
    <n v="0.1"/>
    <n v="2800"/>
    <n v="280"/>
    <n v="0"/>
    <m/>
    <m/>
    <m/>
    <m/>
    <n v="0"/>
    <n v="0"/>
    <n v="32876.34174969836"/>
  </r>
  <r>
    <x v="193"/>
    <x v="4"/>
    <x v="101"/>
    <x v="0"/>
    <x v="5"/>
    <x v="2117"/>
    <x v="25"/>
    <s v="POS"/>
    <n v="0.22727272727272727"/>
    <n v="220"/>
    <n v="50"/>
    <n v="0"/>
    <m/>
    <m/>
    <m/>
    <m/>
    <n v="0"/>
    <n v="0"/>
    <n v="32876.34174969836"/>
  </r>
  <r>
    <x v="193"/>
    <x v="4"/>
    <x v="443"/>
    <x v="0"/>
    <x v="5"/>
    <x v="2117"/>
    <x v="25"/>
    <s v="POS"/>
    <n v="0.1"/>
    <n v="500"/>
    <n v="50"/>
    <n v="0"/>
    <m/>
    <m/>
    <m/>
    <m/>
    <n v="0"/>
    <n v="0"/>
    <n v="32876.34174969836"/>
  </r>
  <r>
    <x v="193"/>
    <x v="4"/>
    <x v="208"/>
    <x v="0"/>
    <x v="5"/>
    <x v="2117"/>
    <x v="25"/>
    <s v="POS"/>
    <n v="0.53333333333333333"/>
    <n v="375"/>
    <n v="200"/>
    <n v="0"/>
    <m/>
    <m/>
    <m/>
    <m/>
    <n v="0"/>
    <n v="0"/>
    <n v="32876.34174969836"/>
  </r>
  <r>
    <x v="193"/>
    <x v="4"/>
    <x v="237"/>
    <x v="0"/>
    <x v="1"/>
    <x v="2118"/>
    <x v="25"/>
    <s v="NAKİT"/>
    <n v="1"/>
    <n v="200"/>
    <n v="0"/>
    <n v="0"/>
    <m/>
    <m/>
    <m/>
    <m/>
    <n v="200"/>
    <n v="0"/>
    <n v="33076.34174969836"/>
  </r>
  <r>
    <x v="193"/>
    <x v="4"/>
    <x v="18"/>
    <x v="0"/>
    <x v="1"/>
    <x v="2119"/>
    <x v="25"/>
    <s v="NAKİT"/>
    <n v="1"/>
    <n v="250"/>
    <n v="0"/>
    <n v="0"/>
    <m/>
    <m/>
    <m/>
    <m/>
    <n v="250"/>
    <n v="0"/>
    <n v="33326.34174969836"/>
  </r>
  <r>
    <x v="193"/>
    <x v="4"/>
    <x v="31"/>
    <x v="0"/>
    <x v="1"/>
    <x v="2120"/>
    <x v="25"/>
    <s v="NAKİT"/>
    <n v="0.125"/>
    <n v="400"/>
    <n v="0"/>
    <n v="0"/>
    <m/>
    <m/>
    <m/>
    <m/>
    <n v="50"/>
    <n v="0"/>
    <n v="33376.34174969836"/>
  </r>
  <r>
    <x v="193"/>
    <x v="4"/>
    <x v="29"/>
    <x v="0"/>
    <x v="1"/>
    <x v="2121"/>
    <x v="25"/>
    <s v="NAKİT"/>
    <n v="4.1176470588235294E-2"/>
    <n v="850"/>
    <n v="0"/>
    <n v="0"/>
    <m/>
    <m/>
    <m/>
    <m/>
    <n v="35"/>
    <n v="0"/>
    <n v="33411.34174969836"/>
  </r>
  <r>
    <x v="193"/>
    <x v="4"/>
    <x v="59"/>
    <x v="0"/>
    <x v="1"/>
    <x v="2122"/>
    <x v="25"/>
    <s v="NAKİT"/>
    <n v="0.1111111111111111"/>
    <n v="450"/>
    <n v="0"/>
    <n v="0"/>
    <m/>
    <m/>
    <m/>
    <m/>
    <n v="50"/>
    <n v="0"/>
    <n v="33461.34174969836"/>
  </r>
  <r>
    <x v="193"/>
    <x v="4"/>
    <x v="18"/>
    <x v="0"/>
    <x v="5"/>
    <x v="2123"/>
    <x v="25"/>
    <s v="POS"/>
    <n v="1"/>
    <n v="250"/>
    <n v="250"/>
    <n v="0"/>
    <m/>
    <m/>
    <m/>
    <m/>
    <n v="0"/>
    <n v="0"/>
    <n v="33461.34174969836"/>
  </r>
  <r>
    <x v="193"/>
    <x v="4"/>
    <x v="90"/>
    <x v="0"/>
    <x v="5"/>
    <x v="2124"/>
    <x v="25"/>
    <s v="POS"/>
    <n v="1"/>
    <n v="250"/>
    <n v="250"/>
    <n v="0"/>
    <m/>
    <m/>
    <m/>
    <m/>
    <n v="0"/>
    <n v="0"/>
    <n v="33461.34174969836"/>
  </r>
  <r>
    <x v="193"/>
    <x v="4"/>
    <x v="421"/>
    <x v="0"/>
    <x v="11"/>
    <x v="2125"/>
    <x v="189"/>
    <s v="CARİ"/>
    <n v="0.25"/>
    <n v="1800"/>
    <n v="450"/>
    <n v="0"/>
    <m/>
    <m/>
    <m/>
    <m/>
    <n v="0"/>
    <n v="0"/>
    <n v="33461.34174969836"/>
  </r>
  <r>
    <x v="193"/>
    <x v="11"/>
    <x v="0"/>
    <x v="0"/>
    <x v="13"/>
    <x v="2"/>
    <x v="215"/>
    <s v="NAKİT"/>
    <n v="1"/>
    <n v="4800"/>
    <n v="0"/>
    <n v="4800"/>
    <m/>
    <m/>
    <m/>
    <m/>
    <n v="4800"/>
    <n v="0"/>
    <n v="38261.34174969836"/>
  </r>
  <r>
    <x v="193"/>
    <x v="10"/>
    <x v="0"/>
    <x v="0"/>
    <x v="5"/>
    <x v="2"/>
    <x v="63"/>
    <s v="POS"/>
    <n v="1"/>
    <n v="810"/>
    <n v="0"/>
    <n v="810"/>
    <m/>
    <m/>
    <m/>
    <m/>
    <n v="810"/>
    <n v="0"/>
    <n v="39071.34174969836"/>
  </r>
  <r>
    <x v="194"/>
    <x v="4"/>
    <x v="273"/>
    <x v="0"/>
    <x v="1"/>
    <x v="2126"/>
    <x v="25"/>
    <s v="NAKİT"/>
    <n v="0.25"/>
    <n v="360"/>
    <n v="0"/>
    <n v="0"/>
    <m/>
    <m/>
    <m/>
    <m/>
    <n v="90"/>
    <n v="0"/>
    <n v="39161.34174969836"/>
  </r>
  <r>
    <x v="194"/>
    <x v="4"/>
    <x v="18"/>
    <x v="0"/>
    <x v="5"/>
    <x v="2127"/>
    <x v="25"/>
    <s v="POS"/>
    <n v="1"/>
    <n v="250"/>
    <n v="250"/>
    <n v="0"/>
    <m/>
    <m/>
    <m/>
    <m/>
    <n v="0"/>
    <n v="0"/>
    <n v="39161.34174969836"/>
  </r>
  <r>
    <x v="194"/>
    <x v="4"/>
    <x v="50"/>
    <x v="0"/>
    <x v="1"/>
    <x v="2128"/>
    <x v="25"/>
    <s v="NAKİT"/>
    <n v="0.08"/>
    <n v="625"/>
    <n v="0"/>
    <n v="0"/>
    <m/>
    <m/>
    <m/>
    <m/>
    <n v="50"/>
    <n v="0"/>
    <n v="39211.34174969836"/>
  </r>
  <r>
    <x v="194"/>
    <x v="4"/>
    <x v="360"/>
    <x v="0"/>
    <x v="1"/>
    <x v="2128"/>
    <x v="25"/>
    <s v="NAKİT"/>
    <n v="0.25"/>
    <n v="700"/>
    <n v="0"/>
    <n v="0"/>
    <m/>
    <m/>
    <m/>
    <m/>
    <n v="175"/>
    <n v="0"/>
    <n v="39386.34174969836"/>
  </r>
  <r>
    <x v="194"/>
    <x v="4"/>
    <x v="244"/>
    <x v="0"/>
    <x v="5"/>
    <x v="2129"/>
    <x v="25"/>
    <s v="POS"/>
    <n v="1"/>
    <n v="120"/>
    <n v="120"/>
    <n v="0"/>
    <m/>
    <m/>
    <m/>
    <m/>
    <n v="0"/>
    <n v="0"/>
    <n v="39386.34174969836"/>
  </r>
  <r>
    <x v="194"/>
    <x v="4"/>
    <x v="452"/>
    <x v="0"/>
    <x v="1"/>
    <x v="2130"/>
    <x v="25"/>
    <s v="NAKİT"/>
    <n v="0.5"/>
    <n v="260"/>
    <n v="0"/>
    <n v="0"/>
    <m/>
    <m/>
    <m/>
    <m/>
    <n v="130"/>
    <n v="0"/>
    <n v="39516.34174969836"/>
  </r>
  <r>
    <x v="194"/>
    <x v="4"/>
    <x v="157"/>
    <x v="0"/>
    <x v="1"/>
    <x v="2130"/>
    <x v="25"/>
    <s v="NAKİT"/>
    <n v="0.5"/>
    <n v="140"/>
    <n v="0"/>
    <n v="0"/>
    <m/>
    <m/>
    <m/>
    <m/>
    <n v="70"/>
    <n v="0"/>
    <n v="39586.34174969836"/>
  </r>
  <r>
    <x v="194"/>
    <x v="4"/>
    <x v="339"/>
    <x v="0"/>
    <x v="1"/>
    <x v="2130"/>
    <x v="25"/>
    <s v="NAKİT"/>
    <n v="1"/>
    <n v="125"/>
    <n v="0"/>
    <n v="0"/>
    <m/>
    <m/>
    <m/>
    <m/>
    <n v="125"/>
    <n v="0"/>
    <n v="39711.34174969836"/>
  </r>
  <r>
    <x v="194"/>
    <x v="4"/>
    <x v="340"/>
    <x v="0"/>
    <x v="1"/>
    <x v="2130"/>
    <x v="25"/>
    <s v="NAKİT"/>
    <n v="1"/>
    <n v="125"/>
    <n v="0"/>
    <n v="0"/>
    <m/>
    <m/>
    <m/>
    <m/>
    <n v="125"/>
    <n v="0"/>
    <n v="39836.34174969836"/>
  </r>
  <r>
    <x v="194"/>
    <x v="4"/>
    <x v="56"/>
    <x v="0"/>
    <x v="1"/>
    <x v="2131"/>
    <x v="216"/>
    <s v="NAKİT"/>
    <n v="1"/>
    <n v="200"/>
    <n v="0"/>
    <n v="0"/>
    <m/>
    <m/>
    <m/>
    <m/>
    <n v="200"/>
    <n v="0"/>
    <n v="40036.34174969836"/>
  </r>
  <r>
    <x v="194"/>
    <x v="4"/>
    <x v="57"/>
    <x v="0"/>
    <x v="1"/>
    <x v="2131"/>
    <x v="216"/>
    <s v="NAKİT"/>
    <n v="1"/>
    <n v="150"/>
    <n v="0"/>
    <n v="0"/>
    <m/>
    <m/>
    <m/>
    <m/>
    <n v="150"/>
    <n v="0"/>
    <n v="40186.34174969836"/>
  </r>
  <r>
    <x v="194"/>
    <x v="4"/>
    <x v="18"/>
    <x v="0"/>
    <x v="1"/>
    <x v="2132"/>
    <x v="25"/>
    <s v="NAKİT"/>
    <n v="1"/>
    <n v="250"/>
    <n v="0"/>
    <n v="0"/>
    <m/>
    <m/>
    <m/>
    <m/>
    <n v="250"/>
    <n v="0"/>
    <n v="40436.34174969836"/>
  </r>
  <r>
    <x v="194"/>
    <x v="4"/>
    <x v="58"/>
    <x v="0"/>
    <x v="1"/>
    <x v="2132"/>
    <x v="25"/>
    <s v="NAKİT"/>
    <n v="0.5"/>
    <n v="250"/>
    <n v="0"/>
    <n v="0"/>
    <m/>
    <m/>
    <m/>
    <m/>
    <n v="125"/>
    <n v="0"/>
    <n v="40561.34174969836"/>
  </r>
  <r>
    <x v="194"/>
    <x v="4"/>
    <x v="27"/>
    <x v="0"/>
    <x v="5"/>
    <x v="2133"/>
    <x v="25"/>
    <s v="POS"/>
    <n v="5.5999999999999994E-2"/>
    <n v="360"/>
    <n v="20.159999999999997"/>
    <n v="0"/>
    <m/>
    <m/>
    <m/>
    <m/>
    <n v="0"/>
    <n v="0"/>
    <n v="40561.34174969836"/>
  </r>
  <r>
    <x v="194"/>
    <x v="4"/>
    <x v="86"/>
    <x v="0"/>
    <x v="5"/>
    <x v="2133"/>
    <x v="25"/>
    <s v="POS"/>
    <n v="0.1"/>
    <n v="600"/>
    <n v="60"/>
    <n v="0"/>
    <m/>
    <m/>
    <m/>
    <m/>
    <n v="0"/>
    <n v="0"/>
    <n v="40561.34174969836"/>
  </r>
  <r>
    <x v="194"/>
    <x v="4"/>
    <x v="280"/>
    <x v="0"/>
    <x v="5"/>
    <x v="2133"/>
    <x v="25"/>
    <s v="POS"/>
    <n v="0.5"/>
    <n v="60"/>
    <n v="30"/>
    <n v="0"/>
    <m/>
    <m/>
    <m/>
    <m/>
    <n v="0"/>
    <n v="0"/>
    <n v="40561.34174969836"/>
  </r>
  <r>
    <x v="194"/>
    <x v="4"/>
    <x v="26"/>
    <x v="0"/>
    <x v="5"/>
    <x v="2133"/>
    <x v="25"/>
    <s v="POS"/>
    <n v="0.06"/>
    <n v="500"/>
    <n v="30"/>
    <n v="0"/>
    <m/>
    <m/>
    <m/>
    <m/>
    <n v="0"/>
    <n v="0"/>
    <n v="40561.34174969836"/>
  </r>
  <r>
    <x v="194"/>
    <x v="4"/>
    <x v="386"/>
    <x v="0"/>
    <x v="5"/>
    <x v="2133"/>
    <x v="25"/>
    <s v="POS"/>
    <n v="1"/>
    <n v="30"/>
    <n v="30"/>
    <n v="0"/>
    <m/>
    <m/>
    <m/>
    <m/>
    <n v="0"/>
    <n v="0"/>
    <n v="40561.34174969836"/>
  </r>
  <r>
    <x v="194"/>
    <x v="4"/>
    <x v="228"/>
    <x v="0"/>
    <x v="5"/>
    <x v="2134"/>
    <x v="25"/>
    <s v="POS"/>
    <n v="1"/>
    <n v="255"/>
    <n v="255"/>
    <n v="0"/>
    <m/>
    <m/>
    <m/>
    <m/>
    <n v="0"/>
    <n v="0"/>
    <n v="40561.34174969836"/>
  </r>
  <r>
    <x v="194"/>
    <x v="4"/>
    <x v="162"/>
    <x v="0"/>
    <x v="1"/>
    <x v="2135"/>
    <x v="25"/>
    <s v="NAKİT"/>
    <n v="1"/>
    <n v="50"/>
    <n v="0"/>
    <n v="0"/>
    <m/>
    <m/>
    <m/>
    <m/>
    <n v="50"/>
    <n v="0"/>
    <n v="40611.34174969836"/>
  </r>
  <r>
    <x v="194"/>
    <x v="4"/>
    <x v="116"/>
    <x v="0"/>
    <x v="16"/>
    <x v="2136"/>
    <x v="217"/>
    <s v="CARİ"/>
    <n v="0.27906976744186046"/>
    <n v="430"/>
    <n v="120"/>
    <n v="0"/>
    <m/>
    <m/>
    <m/>
    <m/>
    <n v="0"/>
    <n v="0"/>
    <n v="40611.34174969836"/>
  </r>
  <r>
    <x v="194"/>
    <x v="4"/>
    <x v="263"/>
    <x v="0"/>
    <x v="1"/>
    <x v="2137"/>
    <x v="25"/>
    <s v="NAKİT"/>
    <n v="1"/>
    <n v="145"/>
    <n v="0"/>
    <n v="0"/>
    <m/>
    <m/>
    <m/>
    <m/>
    <n v="145"/>
    <n v="0"/>
    <n v="40756.34174969836"/>
  </r>
  <r>
    <x v="194"/>
    <x v="4"/>
    <x v="264"/>
    <x v="0"/>
    <x v="1"/>
    <x v="2138"/>
    <x v="25"/>
    <s v="NAKİT"/>
    <n v="1"/>
    <n v="145"/>
    <n v="0"/>
    <n v="0"/>
    <m/>
    <m/>
    <m/>
    <m/>
    <n v="145"/>
    <n v="0"/>
    <n v="40901.34174969836"/>
  </r>
  <r>
    <x v="194"/>
    <x v="7"/>
    <x v="0"/>
    <x v="0"/>
    <x v="17"/>
    <x v="2"/>
    <x v="218"/>
    <s v="CARİ"/>
    <n v="1"/>
    <n v="6908.4"/>
    <n v="6908.4"/>
    <n v="0"/>
    <m/>
    <m/>
    <m/>
    <m/>
    <n v="0"/>
    <n v="6908.4"/>
    <n v="33992.941749698359"/>
  </r>
  <r>
    <x v="194"/>
    <x v="3"/>
    <x v="452"/>
    <x v="0"/>
    <x v="1"/>
    <x v="2"/>
    <x v="219"/>
    <s v="NAKİT"/>
    <n v="1"/>
    <n v="130"/>
    <n v="0"/>
    <n v="0"/>
    <m/>
    <m/>
    <m/>
    <m/>
    <n v="0"/>
    <n v="130"/>
    <n v="33862.941749698359"/>
  </r>
  <r>
    <x v="194"/>
    <x v="1"/>
    <x v="0"/>
    <x v="10"/>
    <x v="1"/>
    <x v="2"/>
    <x v="220"/>
    <s v="NAKİT"/>
    <n v="0.81499999999999995"/>
    <n v="160"/>
    <n v="0"/>
    <n v="0"/>
    <m/>
    <m/>
    <m/>
    <m/>
    <n v="0"/>
    <n v="130.39999999999998"/>
    <n v="33732.541749698357"/>
  </r>
  <r>
    <x v="195"/>
    <x v="4"/>
    <x v="50"/>
    <x v="0"/>
    <x v="1"/>
    <x v="2139"/>
    <x v="25"/>
    <s v="NAKİT"/>
    <n v="0.08"/>
    <n v="625"/>
    <n v="0"/>
    <n v="0"/>
    <m/>
    <m/>
    <m/>
    <m/>
    <n v="50"/>
    <n v="0"/>
    <n v="33782.541749698357"/>
  </r>
  <r>
    <x v="195"/>
    <x v="4"/>
    <x v="133"/>
    <x v="0"/>
    <x v="1"/>
    <x v="2140"/>
    <x v="25"/>
    <s v="NAKİT"/>
    <n v="1"/>
    <n v="220"/>
    <n v="0"/>
    <n v="0"/>
    <m/>
    <m/>
    <m/>
    <m/>
    <n v="220"/>
    <n v="0"/>
    <n v="34002.541749698357"/>
  </r>
  <r>
    <x v="195"/>
    <x v="4"/>
    <x v="262"/>
    <x v="0"/>
    <x v="1"/>
    <x v="2140"/>
    <x v="25"/>
    <s v="NAKİT"/>
    <n v="1"/>
    <n v="130"/>
    <n v="0"/>
    <n v="0"/>
    <m/>
    <m/>
    <m/>
    <m/>
    <n v="130"/>
    <n v="0"/>
    <n v="34132.541749698357"/>
  </r>
  <r>
    <x v="195"/>
    <x v="4"/>
    <x v="18"/>
    <x v="0"/>
    <x v="1"/>
    <x v="2141"/>
    <x v="25"/>
    <s v="NAKİT"/>
    <n v="0.5"/>
    <n v="250"/>
    <n v="0"/>
    <n v="0"/>
    <m/>
    <m/>
    <m/>
    <m/>
    <n v="125"/>
    <n v="0"/>
    <n v="34257.541749698357"/>
  </r>
  <r>
    <x v="195"/>
    <x v="4"/>
    <x v="58"/>
    <x v="0"/>
    <x v="1"/>
    <x v="2141"/>
    <x v="25"/>
    <s v="NAKİT"/>
    <n v="0.5"/>
    <n v="250"/>
    <n v="0"/>
    <n v="0"/>
    <m/>
    <m/>
    <m/>
    <m/>
    <n v="125"/>
    <n v="0"/>
    <n v="34382.541749698357"/>
  </r>
  <r>
    <x v="195"/>
    <x v="4"/>
    <x v="33"/>
    <x v="0"/>
    <x v="1"/>
    <x v="2141"/>
    <x v="25"/>
    <s v="NAKİT"/>
    <n v="0.125"/>
    <n v="400"/>
    <n v="0"/>
    <n v="0"/>
    <m/>
    <m/>
    <m/>
    <m/>
    <n v="50"/>
    <n v="0"/>
    <n v="34432.541749698357"/>
  </r>
  <r>
    <x v="195"/>
    <x v="4"/>
    <x v="88"/>
    <x v="0"/>
    <x v="1"/>
    <x v="2141"/>
    <x v="25"/>
    <s v="NAKİT"/>
    <n v="0.05"/>
    <n v="1200"/>
    <n v="0"/>
    <n v="0"/>
    <m/>
    <m/>
    <m/>
    <m/>
    <n v="60"/>
    <n v="0"/>
    <n v="34492.541749698357"/>
  </r>
  <r>
    <x v="195"/>
    <x v="4"/>
    <x v="51"/>
    <x v="0"/>
    <x v="1"/>
    <x v="2141"/>
    <x v="25"/>
    <s v="NAKİT"/>
    <n v="0.1"/>
    <n v="400"/>
    <n v="0"/>
    <n v="0"/>
    <m/>
    <m/>
    <m/>
    <m/>
    <n v="40"/>
    <n v="0"/>
    <n v="34532.541749698357"/>
  </r>
  <r>
    <x v="195"/>
    <x v="4"/>
    <x v="329"/>
    <x v="0"/>
    <x v="1"/>
    <x v="2142"/>
    <x v="114"/>
    <s v="NAKİT"/>
    <n v="1"/>
    <n v="155"/>
    <n v="0"/>
    <n v="0"/>
    <m/>
    <m/>
    <m/>
    <m/>
    <n v="155"/>
    <n v="0"/>
    <n v="34687.541749698357"/>
  </r>
  <r>
    <x v="195"/>
    <x v="4"/>
    <x v="330"/>
    <x v="0"/>
    <x v="1"/>
    <x v="2142"/>
    <x v="114"/>
    <s v="NAKİT"/>
    <n v="1"/>
    <n v="190"/>
    <n v="0"/>
    <n v="0"/>
    <m/>
    <m/>
    <m/>
    <m/>
    <n v="190"/>
    <n v="0"/>
    <n v="34877.541749698357"/>
  </r>
  <r>
    <x v="195"/>
    <x v="4"/>
    <x v="88"/>
    <x v="0"/>
    <x v="1"/>
    <x v="2142"/>
    <x v="114"/>
    <s v="NAKİT"/>
    <n v="0.1"/>
    <n v="1200"/>
    <n v="0"/>
    <n v="0"/>
    <m/>
    <m/>
    <m/>
    <m/>
    <n v="120"/>
    <n v="0"/>
    <n v="34997.541749698357"/>
  </r>
  <r>
    <x v="195"/>
    <x v="4"/>
    <x v="312"/>
    <x v="0"/>
    <x v="5"/>
    <x v="2143"/>
    <x v="221"/>
    <s v="POS"/>
    <n v="2"/>
    <n v="350"/>
    <n v="700"/>
    <n v="0"/>
    <m/>
    <m/>
    <m/>
    <m/>
    <n v="0"/>
    <n v="0"/>
    <n v="34997.541749698357"/>
  </r>
  <r>
    <x v="195"/>
    <x v="4"/>
    <x v="18"/>
    <x v="0"/>
    <x v="5"/>
    <x v="2143"/>
    <x v="221"/>
    <s v="POS"/>
    <n v="1"/>
    <n v="250"/>
    <n v="250"/>
    <n v="0"/>
    <m/>
    <m/>
    <m/>
    <m/>
    <n v="0"/>
    <n v="0"/>
    <n v="34997.541749698357"/>
  </r>
  <r>
    <x v="195"/>
    <x v="4"/>
    <x v="355"/>
    <x v="0"/>
    <x v="5"/>
    <x v="2143"/>
    <x v="221"/>
    <s v="POS"/>
    <n v="1"/>
    <n v="170"/>
    <n v="170"/>
    <n v="0"/>
    <m/>
    <m/>
    <m/>
    <m/>
    <n v="0"/>
    <n v="0"/>
    <n v="34997.541749698357"/>
  </r>
  <r>
    <x v="195"/>
    <x v="4"/>
    <x v="270"/>
    <x v="0"/>
    <x v="5"/>
    <x v="2143"/>
    <x v="221"/>
    <s v="POS"/>
    <n v="1"/>
    <n v="130"/>
    <n v="130"/>
    <n v="0"/>
    <m/>
    <m/>
    <m/>
    <m/>
    <n v="0"/>
    <n v="0"/>
    <n v="34997.541749698357"/>
  </r>
  <r>
    <x v="195"/>
    <x v="4"/>
    <x v="50"/>
    <x v="0"/>
    <x v="1"/>
    <x v="2144"/>
    <x v="25"/>
    <s v="NAKİT"/>
    <n v="0.08"/>
    <n v="750"/>
    <n v="0"/>
    <n v="0"/>
    <m/>
    <m/>
    <m/>
    <m/>
    <n v="60"/>
    <n v="0"/>
    <n v="35057.541749698357"/>
  </r>
  <r>
    <x v="195"/>
    <x v="4"/>
    <x v="30"/>
    <x v="0"/>
    <x v="1"/>
    <x v="2145"/>
    <x v="25"/>
    <s v="NAKİT"/>
    <n v="8.5999999999999993E-2"/>
    <n v="500"/>
    <n v="0"/>
    <n v="0"/>
    <m/>
    <m/>
    <m/>
    <m/>
    <n v="43"/>
    <n v="0"/>
    <n v="35100.541749698357"/>
  </r>
  <r>
    <x v="195"/>
    <x v="4"/>
    <x v="23"/>
    <x v="0"/>
    <x v="1"/>
    <x v="2145"/>
    <x v="25"/>
    <s v="NAKİT"/>
    <n v="5.8000000000000003E-2"/>
    <n v="300"/>
    <n v="0"/>
    <n v="0"/>
    <m/>
    <m/>
    <m/>
    <m/>
    <n v="17.400000000000002"/>
    <n v="0"/>
    <n v="35117.941749698359"/>
  </r>
  <r>
    <x v="195"/>
    <x v="4"/>
    <x v="55"/>
    <x v="0"/>
    <x v="1"/>
    <x v="2145"/>
    <x v="25"/>
    <s v="NAKİT"/>
    <n v="0.5"/>
    <n v="200"/>
    <n v="0"/>
    <n v="0"/>
    <m/>
    <m/>
    <m/>
    <m/>
    <n v="100"/>
    <n v="0"/>
    <n v="35217.941749698359"/>
  </r>
  <r>
    <x v="195"/>
    <x v="4"/>
    <x v="56"/>
    <x v="0"/>
    <x v="1"/>
    <x v="2145"/>
    <x v="25"/>
    <s v="NAKİT"/>
    <n v="0.5"/>
    <n v="200"/>
    <n v="0"/>
    <n v="0"/>
    <m/>
    <m/>
    <m/>
    <m/>
    <n v="100"/>
    <n v="0"/>
    <n v="35317.941749698359"/>
  </r>
  <r>
    <x v="195"/>
    <x v="4"/>
    <x v="61"/>
    <x v="0"/>
    <x v="5"/>
    <x v="2146"/>
    <x v="25"/>
    <s v="POS"/>
    <n v="5.8000000000000003E-2"/>
    <n v="770"/>
    <n v="44.660000000000004"/>
    <n v="0"/>
    <m/>
    <m/>
    <m/>
    <m/>
    <n v="0"/>
    <n v="0"/>
    <n v="35317.941749698359"/>
  </r>
  <r>
    <x v="195"/>
    <x v="4"/>
    <x v="51"/>
    <x v="0"/>
    <x v="5"/>
    <x v="2146"/>
    <x v="25"/>
    <s v="POS"/>
    <n v="0.1"/>
    <n v="400"/>
    <n v="40"/>
    <n v="0"/>
    <m/>
    <m/>
    <m/>
    <m/>
    <n v="0"/>
    <n v="0"/>
    <n v="35317.941749698359"/>
  </r>
  <r>
    <x v="195"/>
    <x v="4"/>
    <x v="24"/>
    <x v="0"/>
    <x v="5"/>
    <x v="2146"/>
    <x v="25"/>
    <s v="POS"/>
    <n v="6.6000000000000003E-2"/>
    <n v="650"/>
    <n v="42.9"/>
    <n v="0"/>
    <m/>
    <m/>
    <m/>
    <m/>
    <n v="0"/>
    <n v="0"/>
    <n v="35317.941749698359"/>
  </r>
  <r>
    <x v="195"/>
    <x v="4"/>
    <x v="239"/>
    <x v="0"/>
    <x v="5"/>
    <x v="2146"/>
    <x v="25"/>
    <s v="POS"/>
    <n v="0.25"/>
    <n v="400"/>
    <n v="100"/>
    <n v="0"/>
    <m/>
    <m/>
    <m/>
    <m/>
    <n v="0"/>
    <n v="0"/>
    <n v="35317.941749698359"/>
  </r>
  <r>
    <x v="195"/>
    <x v="4"/>
    <x v="165"/>
    <x v="0"/>
    <x v="1"/>
    <x v="2147"/>
    <x v="25"/>
    <s v="NAKİT"/>
    <n v="1"/>
    <n v="50"/>
    <n v="0"/>
    <n v="0"/>
    <m/>
    <m/>
    <m/>
    <m/>
    <n v="50"/>
    <n v="0"/>
    <n v="35367.941749698359"/>
  </r>
  <r>
    <x v="195"/>
    <x v="4"/>
    <x v="166"/>
    <x v="0"/>
    <x v="1"/>
    <x v="2147"/>
    <x v="25"/>
    <s v="NAKİT"/>
    <n v="1"/>
    <n v="50"/>
    <n v="0"/>
    <n v="0"/>
    <m/>
    <m/>
    <m/>
    <m/>
    <n v="50"/>
    <n v="0"/>
    <n v="35417.941749698359"/>
  </r>
  <r>
    <x v="195"/>
    <x v="4"/>
    <x v="167"/>
    <x v="0"/>
    <x v="1"/>
    <x v="2147"/>
    <x v="25"/>
    <s v="NAKİT"/>
    <n v="1"/>
    <n v="50"/>
    <n v="0"/>
    <n v="0"/>
    <m/>
    <m/>
    <m/>
    <m/>
    <n v="50"/>
    <n v="0"/>
    <n v="35467.941749698359"/>
  </r>
  <r>
    <x v="195"/>
    <x v="4"/>
    <x v="394"/>
    <x v="0"/>
    <x v="1"/>
    <x v="2148"/>
    <x v="25"/>
    <s v="NAKİT"/>
    <n v="0.5"/>
    <n v="400"/>
    <n v="0"/>
    <n v="0"/>
    <m/>
    <m/>
    <m/>
    <m/>
    <n v="200"/>
    <n v="0"/>
    <n v="35667.941749698359"/>
  </r>
  <r>
    <x v="195"/>
    <x v="4"/>
    <x v="101"/>
    <x v="0"/>
    <x v="5"/>
    <x v="2148"/>
    <x v="25"/>
    <s v="POS"/>
    <n v="0.22727272727272727"/>
    <n v="220"/>
    <n v="50"/>
    <n v="0"/>
    <m/>
    <m/>
    <m/>
    <m/>
    <n v="0"/>
    <n v="0"/>
    <n v="35667.941749698359"/>
  </r>
  <r>
    <x v="195"/>
    <x v="4"/>
    <x v="257"/>
    <x v="0"/>
    <x v="5"/>
    <x v="2149"/>
    <x v="25"/>
    <s v="POS"/>
    <n v="1"/>
    <n v="170"/>
    <n v="170"/>
    <n v="0"/>
    <m/>
    <m/>
    <m/>
    <m/>
    <n v="0"/>
    <n v="0"/>
    <n v="35667.941749698359"/>
  </r>
  <r>
    <x v="195"/>
    <x v="4"/>
    <x v="26"/>
    <x v="0"/>
    <x v="5"/>
    <x v="2149"/>
    <x v="25"/>
    <s v="POS"/>
    <n v="0.13600000000000001"/>
    <n v="500"/>
    <n v="68"/>
    <n v="0"/>
    <m/>
    <m/>
    <m/>
    <m/>
    <n v="0"/>
    <n v="0"/>
    <n v="35667.941749698359"/>
  </r>
  <r>
    <x v="195"/>
    <x v="4"/>
    <x v="88"/>
    <x v="0"/>
    <x v="5"/>
    <x v="2149"/>
    <x v="25"/>
    <s v="POS"/>
    <n v="0.05"/>
    <n v="1200"/>
    <n v="60"/>
    <n v="0"/>
    <m/>
    <m/>
    <m/>
    <m/>
    <n v="0"/>
    <n v="0"/>
    <n v="35667.941749698359"/>
  </r>
  <r>
    <x v="195"/>
    <x v="10"/>
    <x v="0"/>
    <x v="0"/>
    <x v="5"/>
    <x v="2"/>
    <x v="63"/>
    <s v="POS"/>
    <n v="1"/>
    <n v="809"/>
    <n v="0"/>
    <n v="809"/>
    <m/>
    <m/>
    <m/>
    <m/>
    <n v="809"/>
    <n v="0"/>
    <n v="36476.941749698359"/>
  </r>
  <r>
    <x v="196"/>
    <x v="4"/>
    <x v="31"/>
    <x v="0"/>
    <x v="5"/>
    <x v="2150"/>
    <x v="25"/>
    <s v="POS"/>
    <n v="0.125"/>
    <n v="400"/>
    <n v="50"/>
    <n v="0"/>
    <m/>
    <m/>
    <m/>
    <m/>
    <n v="0"/>
    <n v="0"/>
    <n v="36476.941749698359"/>
  </r>
  <r>
    <x v="196"/>
    <x v="4"/>
    <x v="33"/>
    <x v="0"/>
    <x v="5"/>
    <x v="2150"/>
    <x v="25"/>
    <s v="POS"/>
    <n v="0.125"/>
    <n v="400"/>
    <n v="50"/>
    <n v="0"/>
    <m/>
    <m/>
    <m/>
    <m/>
    <n v="0"/>
    <n v="0"/>
    <n v="36476.941749698359"/>
  </r>
  <r>
    <x v="196"/>
    <x v="4"/>
    <x v="28"/>
    <x v="0"/>
    <x v="5"/>
    <x v="2150"/>
    <x v="25"/>
    <s v="POS"/>
    <n v="0.1"/>
    <n v="500"/>
    <n v="50"/>
    <n v="0"/>
    <m/>
    <m/>
    <m/>
    <m/>
    <n v="0"/>
    <n v="0"/>
    <n v="36476.941749698359"/>
  </r>
  <r>
    <x v="196"/>
    <x v="4"/>
    <x v="164"/>
    <x v="0"/>
    <x v="5"/>
    <x v="2151"/>
    <x v="25"/>
    <s v="POS"/>
    <n v="2"/>
    <n v="60"/>
    <n v="120"/>
    <n v="0"/>
    <m/>
    <m/>
    <m/>
    <m/>
    <n v="0"/>
    <n v="0"/>
    <n v="36476.941749698359"/>
  </r>
  <r>
    <x v="196"/>
    <x v="4"/>
    <x v="235"/>
    <x v="0"/>
    <x v="1"/>
    <x v="2152"/>
    <x v="25"/>
    <s v="NAKİT"/>
    <n v="1"/>
    <n v="220"/>
    <n v="0"/>
    <n v="0"/>
    <m/>
    <m/>
    <m/>
    <m/>
    <n v="220"/>
    <n v="0"/>
    <n v="36696.941749698359"/>
  </r>
  <r>
    <x v="196"/>
    <x v="4"/>
    <x v="89"/>
    <x v="0"/>
    <x v="5"/>
    <x v="2153"/>
    <x v="25"/>
    <s v="POS"/>
    <n v="0.10869565217391304"/>
    <n v="920"/>
    <n v="100"/>
    <n v="0"/>
    <m/>
    <m/>
    <m/>
    <m/>
    <n v="0"/>
    <n v="0"/>
    <n v="36696.941749698359"/>
  </r>
  <r>
    <x v="196"/>
    <x v="4"/>
    <x v="23"/>
    <x v="0"/>
    <x v="1"/>
    <x v="2154"/>
    <x v="25"/>
    <s v="NAKİT"/>
    <n v="6.3E-2"/>
    <n v="300"/>
    <n v="0"/>
    <n v="0"/>
    <m/>
    <m/>
    <m/>
    <m/>
    <n v="18.899999999999999"/>
    <n v="0"/>
    <n v="36715.84174969836"/>
  </r>
  <r>
    <x v="196"/>
    <x v="4"/>
    <x v="22"/>
    <x v="0"/>
    <x v="1"/>
    <x v="2154"/>
    <x v="25"/>
    <s v="NAKİT"/>
    <n v="5.6000000000000001E-2"/>
    <n v="400"/>
    <n v="0"/>
    <n v="0"/>
    <m/>
    <m/>
    <m/>
    <m/>
    <n v="22.400000000000002"/>
    <n v="0"/>
    <n v="36738.241749698362"/>
  </r>
  <r>
    <x v="196"/>
    <x v="4"/>
    <x v="61"/>
    <x v="0"/>
    <x v="1"/>
    <x v="2154"/>
    <x v="25"/>
    <s v="NAKİT"/>
    <n v="0.04"/>
    <n v="770"/>
    <n v="0"/>
    <n v="0"/>
    <m/>
    <m/>
    <m/>
    <m/>
    <n v="30.8"/>
    <n v="0"/>
    <n v="36769.041749698365"/>
  </r>
  <r>
    <x v="196"/>
    <x v="4"/>
    <x v="394"/>
    <x v="0"/>
    <x v="1"/>
    <x v="2154"/>
    <x v="25"/>
    <s v="NAKİT"/>
    <n v="0.22600000000000001"/>
    <n v="400"/>
    <n v="0"/>
    <n v="0"/>
    <m/>
    <m/>
    <m/>
    <m/>
    <n v="90.4"/>
    <n v="0"/>
    <n v="36859.441749698366"/>
  </r>
  <r>
    <x v="196"/>
    <x v="4"/>
    <x v="38"/>
    <x v="0"/>
    <x v="5"/>
    <x v="2155"/>
    <x v="25"/>
    <s v="POS"/>
    <n v="0.30769230769230771"/>
    <n v="650"/>
    <n v="200"/>
    <n v="0"/>
    <m/>
    <m/>
    <m/>
    <m/>
    <n v="0"/>
    <n v="0"/>
    <n v="36859.441749698366"/>
  </r>
  <r>
    <x v="196"/>
    <x v="4"/>
    <x v="55"/>
    <x v="0"/>
    <x v="5"/>
    <x v="2156"/>
    <x v="25"/>
    <s v="POS"/>
    <n v="1"/>
    <n v="200"/>
    <n v="200"/>
    <n v="0"/>
    <m/>
    <m/>
    <m/>
    <m/>
    <n v="0"/>
    <n v="0"/>
    <n v="36859.441749698366"/>
  </r>
  <r>
    <x v="196"/>
    <x v="4"/>
    <x v="57"/>
    <x v="0"/>
    <x v="5"/>
    <x v="2156"/>
    <x v="25"/>
    <s v="POS"/>
    <n v="1"/>
    <n v="150"/>
    <n v="150"/>
    <n v="0"/>
    <m/>
    <m/>
    <m/>
    <m/>
    <n v="0"/>
    <n v="0"/>
    <n v="36859.441749698366"/>
  </r>
  <r>
    <x v="196"/>
    <x v="4"/>
    <x v="140"/>
    <x v="0"/>
    <x v="5"/>
    <x v="2156"/>
    <x v="25"/>
    <s v="POS"/>
    <n v="1"/>
    <n v="140"/>
    <n v="140"/>
    <n v="0"/>
    <m/>
    <m/>
    <m/>
    <m/>
    <n v="0"/>
    <n v="0"/>
    <n v="36859.441749698366"/>
  </r>
  <r>
    <x v="196"/>
    <x v="4"/>
    <x v="314"/>
    <x v="0"/>
    <x v="5"/>
    <x v="2156"/>
    <x v="25"/>
    <s v="POS"/>
    <n v="1"/>
    <n v="140"/>
    <n v="140"/>
    <n v="0"/>
    <m/>
    <m/>
    <m/>
    <m/>
    <n v="0"/>
    <n v="0"/>
    <n v="36859.441749698366"/>
  </r>
  <r>
    <x v="196"/>
    <x v="4"/>
    <x v="28"/>
    <x v="0"/>
    <x v="5"/>
    <x v="2156"/>
    <x v="25"/>
    <s v="POS"/>
    <n v="7.8E-2"/>
    <n v="500"/>
    <n v="39"/>
    <n v="0"/>
    <m/>
    <m/>
    <m/>
    <m/>
    <n v="0"/>
    <n v="0"/>
    <n v="36859.441749698366"/>
  </r>
  <r>
    <x v="196"/>
    <x v="4"/>
    <x v="88"/>
    <x v="0"/>
    <x v="5"/>
    <x v="2156"/>
    <x v="25"/>
    <s v="POS"/>
    <n v="0.05"/>
    <n v="1200"/>
    <n v="60"/>
    <n v="0"/>
    <m/>
    <m/>
    <m/>
    <m/>
    <n v="0"/>
    <n v="0"/>
    <n v="36859.441749698366"/>
  </r>
  <r>
    <x v="196"/>
    <x v="4"/>
    <x v="54"/>
    <x v="0"/>
    <x v="5"/>
    <x v="2156"/>
    <x v="25"/>
    <s v="POS"/>
    <n v="0.1"/>
    <n v="400"/>
    <n v="40"/>
    <n v="0"/>
    <m/>
    <m/>
    <m/>
    <m/>
    <n v="0"/>
    <n v="0"/>
    <n v="36859.441749698366"/>
  </r>
  <r>
    <x v="196"/>
    <x v="4"/>
    <x v="44"/>
    <x v="0"/>
    <x v="5"/>
    <x v="2156"/>
    <x v="25"/>
    <s v="POS"/>
    <n v="1"/>
    <n v="75"/>
    <n v="75"/>
    <n v="0"/>
    <m/>
    <m/>
    <m/>
    <m/>
    <n v="0"/>
    <n v="0"/>
    <n v="36859.441749698366"/>
  </r>
  <r>
    <x v="196"/>
    <x v="4"/>
    <x v="45"/>
    <x v="0"/>
    <x v="5"/>
    <x v="2156"/>
    <x v="25"/>
    <s v="POS"/>
    <n v="1"/>
    <n v="75"/>
    <n v="75"/>
    <n v="0"/>
    <m/>
    <m/>
    <m/>
    <m/>
    <n v="0"/>
    <n v="0"/>
    <n v="36859.441749698366"/>
  </r>
  <r>
    <x v="196"/>
    <x v="4"/>
    <x v="384"/>
    <x v="0"/>
    <x v="5"/>
    <x v="2156"/>
    <x v="25"/>
    <s v="POS"/>
    <n v="1"/>
    <n v="300"/>
    <n v="300"/>
    <n v="0"/>
    <m/>
    <m/>
    <m/>
    <m/>
    <n v="0"/>
    <n v="0"/>
    <n v="36859.441749698366"/>
  </r>
  <r>
    <x v="196"/>
    <x v="4"/>
    <x v="27"/>
    <x v="0"/>
    <x v="1"/>
    <x v="2157"/>
    <x v="25"/>
    <s v="NAKİT"/>
    <n v="4.8000000000000001E-2"/>
    <n v="400"/>
    <n v="0"/>
    <n v="0"/>
    <m/>
    <m/>
    <m/>
    <m/>
    <n v="19.2"/>
    <n v="0"/>
    <n v="36878.641749698363"/>
  </r>
  <r>
    <x v="196"/>
    <x v="4"/>
    <x v="28"/>
    <x v="0"/>
    <x v="1"/>
    <x v="2157"/>
    <x v="25"/>
    <s v="NAKİT"/>
    <n v="0.17599999999999999"/>
    <n v="500"/>
    <n v="0"/>
    <n v="0"/>
    <m/>
    <m/>
    <m/>
    <m/>
    <n v="88"/>
    <n v="0"/>
    <n v="36966.641749698363"/>
  </r>
  <r>
    <x v="196"/>
    <x v="4"/>
    <x v="161"/>
    <x v="0"/>
    <x v="1"/>
    <x v="2157"/>
    <x v="25"/>
    <s v="NAKİT"/>
    <n v="0.114"/>
    <n v="400"/>
    <n v="0"/>
    <n v="0"/>
    <m/>
    <m/>
    <m/>
    <m/>
    <n v="45.6"/>
    <n v="0"/>
    <n v="37012.241749698362"/>
  </r>
  <r>
    <x v="196"/>
    <x v="4"/>
    <x v="33"/>
    <x v="0"/>
    <x v="5"/>
    <x v="2157"/>
    <x v="25"/>
    <s v="POS"/>
    <n v="0.25"/>
    <n v="400"/>
    <n v="100"/>
    <n v="0"/>
    <m/>
    <m/>
    <m/>
    <m/>
    <n v="0"/>
    <n v="0"/>
    <n v="37012.241749698362"/>
  </r>
  <r>
    <x v="196"/>
    <x v="4"/>
    <x v="239"/>
    <x v="0"/>
    <x v="5"/>
    <x v="2158"/>
    <x v="25"/>
    <s v="POS"/>
    <n v="0.25"/>
    <n v="400"/>
    <n v="100"/>
    <n v="0"/>
    <m/>
    <m/>
    <m/>
    <m/>
    <n v="0"/>
    <n v="0"/>
    <n v="37012.241749698362"/>
  </r>
  <r>
    <x v="196"/>
    <x v="4"/>
    <x v="88"/>
    <x v="0"/>
    <x v="5"/>
    <x v="2158"/>
    <x v="25"/>
    <s v="POS"/>
    <n v="0.05"/>
    <n v="1200"/>
    <n v="60"/>
    <n v="0"/>
    <m/>
    <m/>
    <m/>
    <m/>
    <n v="0"/>
    <n v="0"/>
    <n v="37012.241749698362"/>
  </r>
  <r>
    <x v="196"/>
    <x v="1"/>
    <x v="0"/>
    <x v="5"/>
    <x v="1"/>
    <x v="2"/>
    <x v="222"/>
    <s v="NAKİT"/>
    <n v="1"/>
    <n v="528"/>
    <n v="0"/>
    <n v="0"/>
    <m/>
    <m/>
    <m/>
    <m/>
    <n v="0"/>
    <n v="528"/>
    <n v="36484.241749698362"/>
  </r>
  <r>
    <x v="196"/>
    <x v="3"/>
    <x v="384"/>
    <x v="0"/>
    <x v="17"/>
    <x v="2"/>
    <x v="223"/>
    <s v="CARİ"/>
    <n v="36"/>
    <n v="191.9"/>
    <n v="0"/>
    <n v="6908.4"/>
    <m/>
    <m/>
    <m/>
    <m/>
    <n v="0"/>
    <n v="0"/>
    <n v="36484.241749698362"/>
  </r>
  <r>
    <x v="196"/>
    <x v="3"/>
    <x v="132"/>
    <x v="0"/>
    <x v="2"/>
    <x v="2"/>
    <x v="50"/>
    <s v="K.K."/>
    <n v="6"/>
    <n v="150"/>
    <n v="0"/>
    <n v="900"/>
    <m/>
    <m/>
    <m/>
    <m/>
    <n v="0"/>
    <n v="0"/>
    <n v="36484.241749698362"/>
  </r>
  <r>
    <x v="196"/>
    <x v="10"/>
    <x v="0"/>
    <x v="0"/>
    <x v="5"/>
    <x v="2"/>
    <x v="63"/>
    <s v="POS"/>
    <n v="1"/>
    <n v="950"/>
    <n v="0"/>
    <n v="950"/>
    <m/>
    <m/>
    <m/>
    <m/>
    <n v="950"/>
    <n v="0"/>
    <n v="37434.241749698362"/>
  </r>
  <r>
    <x v="196"/>
    <x v="7"/>
    <x v="0"/>
    <x v="0"/>
    <x v="3"/>
    <x v="2"/>
    <x v="192"/>
    <s v="NAKİT"/>
    <n v="1"/>
    <n v="20000"/>
    <n v="20000"/>
    <n v="0"/>
    <n v="0"/>
    <n v="20000"/>
    <m/>
    <m/>
    <n v="0"/>
    <n v="20000"/>
    <n v="17434.241749698362"/>
  </r>
  <r>
    <x v="196"/>
    <x v="10"/>
    <x v="0"/>
    <x v="0"/>
    <x v="5"/>
    <x v="2"/>
    <x v="224"/>
    <s v="POS"/>
    <n v="1"/>
    <n v="600"/>
    <n v="0"/>
    <n v="600"/>
    <m/>
    <m/>
    <m/>
    <m/>
    <n v="600"/>
    <n v="0"/>
    <n v="18034.241749698362"/>
  </r>
  <r>
    <x v="196"/>
    <x v="1"/>
    <x v="0"/>
    <x v="15"/>
    <x v="1"/>
    <x v="2"/>
    <x v="224"/>
    <s v="NAKİT"/>
    <n v="1"/>
    <n v="600"/>
    <n v="0"/>
    <n v="0"/>
    <m/>
    <m/>
    <m/>
    <m/>
    <n v="0"/>
    <n v="600"/>
    <n v="17434.241749698362"/>
  </r>
  <r>
    <x v="196"/>
    <x v="1"/>
    <x v="0"/>
    <x v="13"/>
    <x v="2"/>
    <x v="2"/>
    <x v="225"/>
    <s v="K.K."/>
    <n v="1"/>
    <n v="18539.7"/>
    <n v="0"/>
    <n v="18539.7"/>
    <m/>
    <m/>
    <m/>
    <m/>
    <n v="0"/>
    <n v="0"/>
    <n v="17434.241749698362"/>
  </r>
  <r>
    <x v="197"/>
    <x v="3"/>
    <x v="248"/>
    <x v="0"/>
    <x v="2"/>
    <x v="2159"/>
    <x v="226"/>
    <s v="K.K."/>
    <n v="1"/>
    <n v="359.999956"/>
    <n v="0"/>
    <n v="359.999956"/>
    <m/>
    <m/>
    <m/>
    <m/>
    <n v="0"/>
    <n v="0"/>
    <n v="17434.241749698362"/>
  </r>
  <r>
    <x v="197"/>
    <x v="3"/>
    <x v="14"/>
    <x v="0"/>
    <x v="2"/>
    <x v="2159"/>
    <x v="226"/>
    <s v="K.K."/>
    <n v="5"/>
    <n v="157"/>
    <n v="0"/>
    <n v="785"/>
    <m/>
    <m/>
    <m/>
    <m/>
    <n v="0"/>
    <n v="0"/>
    <n v="17434.241749698362"/>
  </r>
  <r>
    <x v="197"/>
    <x v="3"/>
    <x v="157"/>
    <x v="0"/>
    <x v="2"/>
    <x v="2159"/>
    <x v="226"/>
    <s v="K.K."/>
    <n v="5"/>
    <n v="60"/>
    <n v="0"/>
    <n v="300"/>
    <m/>
    <m/>
    <m/>
    <m/>
    <n v="0"/>
    <n v="0"/>
    <n v="17434.241749698362"/>
  </r>
  <r>
    <x v="197"/>
    <x v="3"/>
    <x v="239"/>
    <x v="0"/>
    <x v="2"/>
    <x v="2159"/>
    <x v="226"/>
    <s v="K.K."/>
    <n v="5"/>
    <n v="170"/>
    <n v="0"/>
    <n v="850"/>
    <m/>
    <m/>
    <m/>
    <m/>
    <n v="0"/>
    <n v="0"/>
    <n v="17434.241749698362"/>
  </r>
  <r>
    <x v="197"/>
    <x v="3"/>
    <x v="453"/>
    <x v="0"/>
    <x v="2"/>
    <x v="2159"/>
    <x v="226"/>
    <s v="K.K."/>
    <n v="3"/>
    <n v="110"/>
    <n v="0"/>
    <n v="330"/>
    <m/>
    <m/>
    <m/>
    <m/>
    <n v="0"/>
    <n v="0"/>
    <n v="17434.241749698362"/>
  </r>
  <r>
    <x v="197"/>
    <x v="3"/>
    <x v="112"/>
    <x v="0"/>
    <x v="2"/>
    <x v="2159"/>
    <x v="226"/>
    <s v="K.K."/>
    <n v="1"/>
    <n v="699.99999300000002"/>
    <n v="0"/>
    <n v="699.99999300000002"/>
    <m/>
    <m/>
    <m/>
    <m/>
    <n v="0"/>
    <n v="0"/>
    <n v="17434.241749698362"/>
  </r>
  <r>
    <x v="197"/>
    <x v="3"/>
    <x v="67"/>
    <x v="0"/>
    <x v="2"/>
    <x v="2159"/>
    <x v="226"/>
    <s v="K.K."/>
    <n v="1"/>
    <n v="154.999953"/>
    <n v="0"/>
    <n v="154.999953"/>
    <m/>
    <m/>
    <m/>
    <m/>
    <n v="0"/>
    <n v="0"/>
    <n v="17434.241749698362"/>
  </r>
  <r>
    <x v="197"/>
    <x v="3"/>
    <x v="124"/>
    <x v="0"/>
    <x v="2"/>
    <x v="2159"/>
    <x v="226"/>
    <s v="K.K."/>
    <n v="1"/>
    <n v="150.00004900000002"/>
    <n v="0"/>
    <n v="150.00004900000002"/>
    <m/>
    <m/>
    <m/>
    <m/>
    <n v="0"/>
    <n v="0"/>
    <n v="17434.241749698362"/>
  </r>
  <r>
    <x v="197"/>
    <x v="3"/>
    <x v="89"/>
    <x v="0"/>
    <x v="2"/>
    <x v="2159"/>
    <x v="226"/>
    <s v="K.K."/>
    <n v="1"/>
    <n v="174.99997300000001"/>
    <n v="0"/>
    <n v="174.99997300000001"/>
    <m/>
    <m/>
    <m/>
    <m/>
    <n v="0"/>
    <n v="0"/>
    <n v="17434.241749698362"/>
  </r>
  <r>
    <x v="197"/>
    <x v="3"/>
    <x v="305"/>
    <x v="0"/>
    <x v="2"/>
    <x v="2159"/>
    <x v="226"/>
    <s v="K.K."/>
    <n v="1"/>
    <n v="110.00000900000001"/>
    <n v="0"/>
    <n v="110.00000900000001"/>
    <m/>
    <m/>
    <m/>
    <m/>
    <n v="0"/>
    <n v="0"/>
    <n v="17434.241749698362"/>
  </r>
  <r>
    <x v="197"/>
    <x v="3"/>
    <x v="344"/>
    <x v="0"/>
    <x v="2"/>
    <x v="2159"/>
    <x v="226"/>
    <s v="K.K."/>
    <n v="1"/>
    <n v="310.00000699999998"/>
    <n v="0"/>
    <n v="310.00000699999998"/>
    <m/>
    <m/>
    <m/>
    <m/>
    <n v="0"/>
    <n v="0"/>
    <n v="17434.241749698362"/>
  </r>
  <r>
    <x v="197"/>
    <x v="4"/>
    <x v="150"/>
    <x v="0"/>
    <x v="1"/>
    <x v="2160"/>
    <x v="25"/>
    <s v="NAKİT"/>
    <n v="0.08"/>
    <n v="250"/>
    <n v="0"/>
    <n v="0"/>
    <m/>
    <m/>
    <m/>
    <m/>
    <n v="20"/>
    <n v="0"/>
    <n v="17454.241749698362"/>
  </r>
  <r>
    <x v="197"/>
    <x v="4"/>
    <x v="287"/>
    <x v="0"/>
    <x v="1"/>
    <x v="2161"/>
    <x v="25"/>
    <s v="NAKİT"/>
    <n v="2.3119999999999998"/>
    <n v="65"/>
    <n v="0"/>
    <n v="0"/>
    <m/>
    <m/>
    <m/>
    <m/>
    <n v="150.28"/>
    <n v="0"/>
    <n v="17604.521749698361"/>
  </r>
  <r>
    <x v="197"/>
    <x v="4"/>
    <x v="59"/>
    <x v="0"/>
    <x v="1"/>
    <x v="2162"/>
    <x v="25"/>
    <s v="NAKİT"/>
    <n v="0.1"/>
    <n v="450"/>
    <n v="0"/>
    <n v="0"/>
    <m/>
    <m/>
    <m/>
    <m/>
    <n v="45"/>
    <n v="0"/>
    <n v="17649.521749698361"/>
  </r>
  <r>
    <x v="197"/>
    <x v="4"/>
    <x v="27"/>
    <x v="0"/>
    <x v="5"/>
    <x v="2163"/>
    <x v="25"/>
    <s v="POS"/>
    <n v="0.125"/>
    <n v="400"/>
    <n v="50"/>
    <n v="0"/>
    <m/>
    <m/>
    <m/>
    <m/>
    <n v="0"/>
    <n v="0"/>
    <n v="17649.521749698361"/>
  </r>
  <r>
    <x v="197"/>
    <x v="4"/>
    <x v="58"/>
    <x v="0"/>
    <x v="5"/>
    <x v="2163"/>
    <x v="25"/>
    <s v="POS"/>
    <n v="1"/>
    <n v="250"/>
    <n v="250"/>
    <n v="0"/>
    <m/>
    <m/>
    <m/>
    <m/>
    <n v="0"/>
    <n v="0"/>
    <n v="17649.521749698361"/>
  </r>
  <r>
    <x v="197"/>
    <x v="4"/>
    <x v="248"/>
    <x v="0"/>
    <x v="5"/>
    <x v="2164"/>
    <x v="25"/>
    <s v="POS"/>
    <n v="0.52615384615384619"/>
    <n v="650"/>
    <n v="342"/>
    <n v="0"/>
    <m/>
    <m/>
    <m/>
    <m/>
    <n v="0"/>
    <n v="0"/>
    <n v="17649.521749698361"/>
  </r>
  <r>
    <x v="197"/>
    <x v="4"/>
    <x v="118"/>
    <x v="0"/>
    <x v="5"/>
    <x v="2165"/>
    <x v="25"/>
    <s v="POS"/>
    <n v="1"/>
    <n v="180"/>
    <n v="180"/>
    <n v="0"/>
    <m/>
    <m/>
    <m/>
    <m/>
    <n v="0"/>
    <n v="0"/>
    <n v="17649.521749698361"/>
  </r>
  <r>
    <x v="197"/>
    <x v="4"/>
    <x v="355"/>
    <x v="0"/>
    <x v="5"/>
    <x v="2166"/>
    <x v="25"/>
    <s v="POS"/>
    <n v="1"/>
    <n v="170"/>
    <n v="170"/>
    <n v="0"/>
    <m/>
    <m/>
    <m/>
    <m/>
    <n v="0"/>
    <n v="0"/>
    <n v="17649.521749698361"/>
  </r>
  <r>
    <x v="197"/>
    <x v="4"/>
    <x v="152"/>
    <x v="0"/>
    <x v="1"/>
    <x v="2167"/>
    <x v="25"/>
    <s v="NAKİT"/>
    <n v="1"/>
    <n v="80"/>
    <n v="0"/>
    <n v="0"/>
    <m/>
    <m/>
    <m/>
    <m/>
    <n v="80"/>
    <n v="0"/>
    <n v="17729.521749698361"/>
  </r>
  <r>
    <x v="197"/>
    <x v="4"/>
    <x v="20"/>
    <x v="0"/>
    <x v="1"/>
    <x v="2168"/>
    <x v="25"/>
    <s v="NAKİT"/>
    <n v="1"/>
    <n v="150"/>
    <n v="0"/>
    <n v="0"/>
    <m/>
    <m/>
    <m/>
    <m/>
    <n v="150"/>
    <n v="0"/>
    <n v="17879.521749698361"/>
  </r>
  <r>
    <x v="197"/>
    <x v="4"/>
    <x v="265"/>
    <x v="0"/>
    <x v="5"/>
    <x v="2169"/>
    <x v="25"/>
    <s v="POS"/>
    <n v="1"/>
    <n v="130"/>
    <n v="130"/>
    <n v="0"/>
    <m/>
    <m/>
    <m/>
    <m/>
    <n v="0"/>
    <n v="0"/>
    <n v="17879.521749698361"/>
  </r>
  <r>
    <x v="197"/>
    <x v="4"/>
    <x v="429"/>
    <x v="0"/>
    <x v="5"/>
    <x v="2169"/>
    <x v="25"/>
    <s v="POS"/>
    <n v="1"/>
    <n v="125"/>
    <n v="125"/>
    <n v="0"/>
    <m/>
    <m/>
    <m/>
    <m/>
    <n v="0"/>
    <n v="0"/>
    <n v="17879.521749698361"/>
  </r>
  <r>
    <x v="197"/>
    <x v="4"/>
    <x v="159"/>
    <x v="0"/>
    <x v="5"/>
    <x v="2169"/>
    <x v="25"/>
    <s v="POS"/>
    <n v="1"/>
    <n v="100"/>
    <n v="100"/>
    <n v="0"/>
    <m/>
    <m/>
    <m/>
    <m/>
    <n v="0"/>
    <n v="0"/>
    <n v="17879.521749698361"/>
  </r>
  <r>
    <x v="197"/>
    <x v="4"/>
    <x v="160"/>
    <x v="0"/>
    <x v="5"/>
    <x v="2169"/>
    <x v="25"/>
    <s v="POS"/>
    <n v="1"/>
    <n v="120"/>
    <n v="120"/>
    <n v="0"/>
    <m/>
    <m/>
    <m/>
    <m/>
    <n v="0"/>
    <n v="0"/>
    <n v="17879.521749698361"/>
  </r>
  <r>
    <x v="197"/>
    <x v="4"/>
    <x v="113"/>
    <x v="0"/>
    <x v="5"/>
    <x v="2169"/>
    <x v="25"/>
    <s v="POS"/>
    <n v="0.1"/>
    <n v="1350"/>
    <n v="135"/>
    <n v="0"/>
    <m/>
    <m/>
    <m/>
    <m/>
    <n v="0"/>
    <n v="0"/>
    <n v="17879.521749698361"/>
  </r>
  <r>
    <x v="197"/>
    <x v="10"/>
    <x v="0"/>
    <x v="0"/>
    <x v="5"/>
    <x v="2"/>
    <x v="63"/>
    <s v="POS"/>
    <n v="1"/>
    <n v="4221"/>
    <n v="0"/>
    <n v="4221"/>
    <m/>
    <m/>
    <m/>
    <m/>
    <n v="4221"/>
    <n v="0"/>
    <n v="22100.521749698361"/>
  </r>
  <r>
    <x v="197"/>
    <x v="10"/>
    <x v="0"/>
    <x v="0"/>
    <x v="5"/>
    <x v="2"/>
    <x v="63"/>
    <s v="POS"/>
    <n v="1"/>
    <n v="80.37"/>
    <n v="0"/>
    <n v="80.37"/>
    <m/>
    <m/>
    <m/>
    <m/>
    <n v="80.37"/>
    <n v="0"/>
    <n v="22180.891749698359"/>
  </r>
  <r>
    <x v="198"/>
    <x v="3"/>
    <x v="199"/>
    <x v="0"/>
    <x v="4"/>
    <x v="2170"/>
    <x v="32"/>
    <s v="CARİ"/>
    <n v="19.350000000000001"/>
    <n v="80.099999999999994"/>
    <n v="0"/>
    <n v="1549.9349999999999"/>
    <m/>
    <m/>
    <m/>
    <m/>
    <n v="0"/>
    <n v="0"/>
    <n v="22180.891749698359"/>
  </r>
  <r>
    <x v="198"/>
    <x v="3"/>
    <x v="198"/>
    <x v="0"/>
    <x v="4"/>
    <x v="2170"/>
    <x v="32"/>
    <s v="CARİ"/>
    <n v="19.350000000000001"/>
    <n v="95.61"/>
    <n v="0"/>
    <n v="1850.0535000000002"/>
    <m/>
    <m/>
    <m/>
    <m/>
    <n v="0"/>
    <n v="0"/>
    <n v="22180.891749698359"/>
  </r>
  <r>
    <x v="198"/>
    <x v="3"/>
    <x v="454"/>
    <x v="0"/>
    <x v="4"/>
    <x v="2170"/>
    <x v="32"/>
    <s v="CARİ"/>
    <n v="5"/>
    <n v="105"/>
    <n v="0"/>
    <n v="525"/>
    <m/>
    <m/>
    <m/>
    <m/>
    <n v="0"/>
    <n v="0"/>
    <n v="22180.891749698359"/>
  </r>
  <r>
    <x v="198"/>
    <x v="3"/>
    <x v="205"/>
    <x v="0"/>
    <x v="4"/>
    <x v="2170"/>
    <x v="32"/>
    <s v="CARİ"/>
    <n v="10"/>
    <n v="52"/>
    <n v="0"/>
    <n v="520"/>
    <m/>
    <m/>
    <m/>
    <m/>
    <n v="0"/>
    <n v="0"/>
    <n v="22180.891749698359"/>
  </r>
  <r>
    <x v="198"/>
    <x v="3"/>
    <x v="105"/>
    <x v="0"/>
    <x v="4"/>
    <x v="2170"/>
    <x v="32"/>
    <s v="CARİ"/>
    <n v="3"/>
    <n v="135"/>
    <n v="0"/>
    <n v="405"/>
    <m/>
    <m/>
    <m/>
    <m/>
    <n v="0"/>
    <n v="0"/>
    <n v="22180.891749698359"/>
  </r>
  <r>
    <x v="198"/>
    <x v="3"/>
    <x v="163"/>
    <x v="0"/>
    <x v="4"/>
    <x v="2170"/>
    <x v="32"/>
    <s v="CARİ"/>
    <n v="1.06"/>
    <n v="175"/>
    <n v="0"/>
    <n v="185.5"/>
    <m/>
    <m/>
    <m/>
    <m/>
    <n v="0"/>
    <n v="0"/>
    <n v="22180.891749698359"/>
  </r>
  <r>
    <x v="198"/>
    <x v="3"/>
    <x v="165"/>
    <x v="0"/>
    <x v="4"/>
    <x v="2170"/>
    <x v="32"/>
    <s v="CARİ"/>
    <n v="1.04"/>
    <n v="175"/>
    <n v="0"/>
    <n v="182"/>
    <m/>
    <m/>
    <m/>
    <m/>
    <n v="0"/>
    <n v="0"/>
    <n v="22180.891749698359"/>
  </r>
  <r>
    <x v="198"/>
    <x v="4"/>
    <x v="312"/>
    <x v="0"/>
    <x v="5"/>
    <x v="2171"/>
    <x v="25"/>
    <s v="POS"/>
    <n v="0.53142857142857147"/>
    <n v="350"/>
    <n v="186.00000000000003"/>
    <n v="0"/>
    <m/>
    <m/>
    <m/>
    <m/>
    <n v="0"/>
    <n v="0"/>
    <n v="22180.891749698359"/>
  </r>
  <r>
    <x v="198"/>
    <x v="4"/>
    <x v="29"/>
    <x v="0"/>
    <x v="5"/>
    <x v="2171"/>
    <x v="25"/>
    <s v="POS"/>
    <n v="3.7647058823529408E-2"/>
    <n v="850"/>
    <n v="31.999999999999996"/>
    <n v="0"/>
    <m/>
    <m/>
    <m/>
    <m/>
    <n v="0"/>
    <n v="0"/>
    <n v="22180.891749698359"/>
  </r>
  <r>
    <x v="198"/>
    <x v="4"/>
    <x v="27"/>
    <x v="0"/>
    <x v="5"/>
    <x v="2171"/>
    <x v="25"/>
    <s v="POS"/>
    <n v="6.5000000000000002E-2"/>
    <n v="400"/>
    <n v="26"/>
    <n v="0"/>
    <m/>
    <m/>
    <m/>
    <m/>
    <n v="0"/>
    <n v="0"/>
    <n v="22180.891749698359"/>
  </r>
  <r>
    <x v="198"/>
    <x v="4"/>
    <x v="30"/>
    <x v="0"/>
    <x v="5"/>
    <x v="2171"/>
    <x v="25"/>
    <s v="POS"/>
    <n v="0.11799999999999999"/>
    <n v="500"/>
    <n v="59"/>
    <n v="0"/>
    <m/>
    <m/>
    <m/>
    <m/>
    <n v="0"/>
    <n v="0"/>
    <n v="22180.891749698359"/>
  </r>
  <r>
    <x v="198"/>
    <x v="4"/>
    <x v="74"/>
    <x v="0"/>
    <x v="5"/>
    <x v="2171"/>
    <x v="25"/>
    <s v="POS"/>
    <n v="0.25"/>
    <n v="360"/>
    <n v="90"/>
    <n v="0"/>
    <m/>
    <m/>
    <m/>
    <m/>
    <n v="0"/>
    <n v="0"/>
    <n v="22180.891749698359"/>
  </r>
  <r>
    <x v="198"/>
    <x v="4"/>
    <x v="71"/>
    <x v="0"/>
    <x v="1"/>
    <x v="2172"/>
    <x v="129"/>
    <s v="NAKİT"/>
    <n v="0.78600000000000003"/>
    <n v="140"/>
    <n v="0"/>
    <n v="0"/>
    <m/>
    <m/>
    <m/>
    <m/>
    <n v="110.04"/>
    <n v="0"/>
    <n v="22290.93174969836"/>
  </r>
  <r>
    <x v="198"/>
    <x v="4"/>
    <x v="386"/>
    <x v="0"/>
    <x v="1"/>
    <x v="2173"/>
    <x v="25"/>
    <s v="NAKİT"/>
    <n v="1"/>
    <n v="30"/>
    <n v="0"/>
    <n v="0"/>
    <m/>
    <m/>
    <m/>
    <m/>
    <n v="30"/>
    <n v="0"/>
    <n v="22320.93174969836"/>
  </r>
  <r>
    <x v="198"/>
    <x v="4"/>
    <x v="22"/>
    <x v="0"/>
    <x v="5"/>
    <x v="2174"/>
    <x v="25"/>
    <s v="POS"/>
    <n v="9.1999999999999998E-2"/>
    <n v="400"/>
    <n v="36.799999999999997"/>
    <n v="0"/>
    <m/>
    <m/>
    <m/>
    <m/>
    <n v="0"/>
    <n v="0"/>
    <n v="22320.93174969836"/>
  </r>
  <r>
    <x v="198"/>
    <x v="4"/>
    <x v="23"/>
    <x v="0"/>
    <x v="5"/>
    <x v="2174"/>
    <x v="25"/>
    <s v="POS"/>
    <n v="8.2000000000000003E-2"/>
    <n v="300"/>
    <n v="24.6"/>
    <n v="0"/>
    <m/>
    <m/>
    <m/>
    <m/>
    <n v="0"/>
    <n v="0"/>
    <n v="22320.93174969836"/>
  </r>
  <r>
    <x v="198"/>
    <x v="4"/>
    <x v="83"/>
    <x v="0"/>
    <x v="5"/>
    <x v="2174"/>
    <x v="25"/>
    <s v="POS"/>
    <n v="0.05"/>
    <n v="2600"/>
    <n v="130"/>
    <n v="0"/>
    <m/>
    <m/>
    <m/>
    <m/>
    <n v="0"/>
    <n v="0"/>
    <n v="22320.93174969836"/>
  </r>
  <r>
    <x v="198"/>
    <x v="4"/>
    <x v="104"/>
    <x v="0"/>
    <x v="5"/>
    <x v="2174"/>
    <x v="25"/>
    <s v="POS"/>
    <n v="1"/>
    <n v="200"/>
    <n v="200"/>
    <n v="0"/>
    <m/>
    <m/>
    <m/>
    <m/>
    <n v="0"/>
    <n v="0"/>
    <n v="22320.93174969836"/>
  </r>
  <r>
    <x v="198"/>
    <x v="4"/>
    <x v="106"/>
    <x v="0"/>
    <x v="5"/>
    <x v="2174"/>
    <x v="25"/>
    <s v="POS"/>
    <n v="1"/>
    <n v="200"/>
    <n v="200"/>
    <n v="0"/>
    <m/>
    <m/>
    <m/>
    <m/>
    <n v="0"/>
    <n v="0"/>
    <n v="22320.93174969836"/>
  </r>
  <r>
    <x v="198"/>
    <x v="4"/>
    <x v="157"/>
    <x v="0"/>
    <x v="5"/>
    <x v="2174"/>
    <x v="25"/>
    <s v="POS"/>
    <n v="0.5"/>
    <n v="140"/>
    <n v="70"/>
    <n v="0"/>
    <m/>
    <m/>
    <m/>
    <m/>
    <n v="0"/>
    <n v="0"/>
    <n v="22320.93174969836"/>
  </r>
  <r>
    <x v="198"/>
    <x v="4"/>
    <x v="50"/>
    <x v="0"/>
    <x v="5"/>
    <x v="2174"/>
    <x v="25"/>
    <s v="POS"/>
    <n v="0.08"/>
    <n v="750"/>
    <n v="60"/>
    <n v="0"/>
    <m/>
    <m/>
    <m/>
    <m/>
    <n v="0"/>
    <n v="0"/>
    <n v="22320.93174969836"/>
  </r>
  <r>
    <x v="198"/>
    <x v="4"/>
    <x v="88"/>
    <x v="0"/>
    <x v="5"/>
    <x v="2174"/>
    <x v="25"/>
    <s v="POS"/>
    <n v="0.05"/>
    <n v="1200"/>
    <n v="60"/>
    <n v="0"/>
    <m/>
    <m/>
    <m/>
    <m/>
    <n v="0"/>
    <n v="0"/>
    <n v="22320.93174969836"/>
  </r>
  <r>
    <x v="198"/>
    <x v="4"/>
    <x v="99"/>
    <x v="0"/>
    <x v="5"/>
    <x v="2174"/>
    <x v="25"/>
    <s v="POS"/>
    <n v="0.05"/>
    <n v="900"/>
    <n v="45"/>
    <n v="0"/>
    <m/>
    <m/>
    <m/>
    <m/>
    <n v="0"/>
    <n v="0"/>
    <n v="22320.93174969836"/>
  </r>
  <r>
    <x v="198"/>
    <x v="4"/>
    <x v="269"/>
    <x v="0"/>
    <x v="5"/>
    <x v="2174"/>
    <x v="25"/>
    <s v="POS"/>
    <n v="1"/>
    <n v="110"/>
    <n v="110"/>
    <n v="0"/>
    <m/>
    <m/>
    <m/>
    <m/>
    <n v="0"/>
    <n v="0"/>
    <n v="22320.93174969836"/>
  </r>
  <r>
    <x v="198"/>
    <x v="4"/>
    <x v="386"/>
    <x v="0"/>
    <x v="5"/>
    <x v="2174"/>
    <x v="25"/>
    <s v="POS"/>
    <n v="1"/>
    <n v="30"/>
    <n v="30"/>
    <n v="0"/>
    <m/>
    <m/>
    <m/>
    <m/>
    <n v="0"/>
    <n v="0"/>
    <n v="22320.93174969836"/>
  </r>
  <r>
    <x v="198"/>
    <x v="6"/>
    <x v="98"/>
    <x v="0"/>
    <x v="4"/>
    <x v="2"/>
    <x v="79"/>
    <s v="CARİ"/>
    <n v="4.75"/>
    <n v="550"/>
    <n v="2612.5"/>
    <n v="0"/>
    <m/>
    <m/>
    <m/>
    <m/>
    <n v="0"/>
    <n v="0"/>
    <n v="22320.93174969836"/>
  </r>
  <r>
    <x v="198"/>
    <x v="6"/>
    <x v="212"/>
    <x v="0"/>
    <x v="4"/>
    <x v="2"/>
    <x v="79"/>
    <s v="CARİ"/>
    <n v="5"/>
    <n v="540"/>
    <n v="2700"/>
    <n v="0"/>
    <m/>
    <m/>
    <m/>
    <m/>
    <n v="0"/>
    <n v="0"/>
    <n v="22320.93174969836"/>
  </r>
  <r>
    <x v="198"/>
    <x v="6"/>
    <x v="196"/>
    <x v="0"/>
    <x v="4"/>
    <x v="2"/>
    <x v="79"/>
    <s v="CARİ"/>
    <n v="1"/>
    <n v="235"/>
    <n v="235"/>
    <n v="0"/>
    <m/>
    <m/>
    <m/>
    <m/>
    <n v="0"/>
    <n v="0"/>
    <n v="22320.93174969836"/>
  </r>
  <r>
    <x v="198"/>
    <x v="10"/>
    <x v="0"/>
    <x v="0"/>
    <x v="5"/>
    <x v="2"/>
    <x v="227"/>
    <s v="POS"/>
    <n v="1"/>
    <n v="40000"/>
    <n v="0"/>
    <n v="40000"/>
    <m/>
    <m/>
    <m/>
    <m/>
    <n v="0"/>
    <n v="0"/>
    <n v="22320.93174969836"/>
  </r>
  <r>
    <x v="198"/>
    <x v="7"/>
    <x v="0"/>
    <x v="0"/>
    <x v="4"/>
    <x v="2"/>
    <x v="227"/>
    <s v="CARİ"/>
    <n v="1"/>
    <n v="40000"/>
    <n v="40000"/>
    <n v="0"/>
    <m/>
    <m/>
    <m/>
    <m/>
    <n v="0"/>
    <n v="0"/>
    <n v="22320.93174969836"/>
  </r>
  <r>
    <x v="198"/>
    <x v="10"/>
    <x v="0"/>
    <x v="0"/>
    <x v="5"/>
    <x v="2"/>
    <x v="63"/>
    <s v="POS"/>
    <n v="1"/>
    <n v="533"/>
    <n v="0"/>
    <n v="533"/>
    <m/>
    <m/>
    <m/>
    <m/>
    <n v="533"/>
    <n v="0"/>
    <n v="22853.93174969836"/>
  </r>
  <r>
    <x v="198"/>
    <x v="10"/>
    <x v="0"/>
    <x v="0"/>
    <x v="5"/>
    <x v="2"/>
    <x v="63"/>
    <s v="POS"/>
    <n v="1"/>
    <n v="3322"/>
    <n v="0"/>
    <n v="3322"/>
    <m/>
    <m/>
    <m/>
    <m/>
    <n v="3322"/>
    <n v="0"/>
    <n v="26175.93174969836"/>
  </r>
  <r>
    <x v="199"/>
    <x v="4"/>
    <x v="99"/>
    <x v="0"/>
    <x v="5"/>
    <x v="2175"/>
    <x v="25"/>
    <s v="POS"/>
    <n v="0.1"/>
    <n v="900"/>
    <n v="90"/>
    <n v="0"/>
    <m/>
    <m/>
    <m/>
    <m/>
    <n v="0"/>
    <n v="0"/>
    <n v="26175.93174969836"/>
  </r>
  <r>
    <x v="199"/>
    <x v="4"/>
    <x v="74"/>
    <x v="0"/>
    <x v="1"/>
    <x v="2176"/>
    <x v="25"/>
    <s v="NAKİT"/>
    <n v="0.25"/>
    <n v="360"/>
    <n v="0"/>
    <n v="0"/>
    <m/>
    <m/>
    <m/>
    <m/>
    <n v="90"/>
    <n v="0"/>
    <n v="26265.93174969836"/>
  </r>
  <r>
    <x v="199"/>
    <x v="4"/>
    <x v="332"/>
    <x v="0"/>
    <x v="5"/>
    <x v="2177"/>
    <x v="25"/>
    <s v="POS"/>
    <n v="1"/>
    <n v="310"/>
    <n v="310"/>
    <n v="0"/>
    <m/>
    <m/>
    <m/>
    <m/>
    <n v="0"/>
    <n v="0"/>
    <n v="26265.93174969836"/>
  </r>
  <r>
    <x v="199"/>
    <x v="4"/>
    <x v="355"/>
    <x v="0"/>
    <x v="5"/>
    <x v="2177"/>
    <x v="25"/>
    <s v="POS"/>
    <n v="1"/>
    <n v="170"/>
    <n v="170"/>
    <n v="0"/>
    <m/>
    <m/>
    <m/>
    <m/>
    <n v="0"/>
    <n v="0"/>
    <n v="26265.93174969836"/>
  </r>
  <r>
    <x v="199"/>
    <x v="4"/>
    <x v="88"/>
    <x v="0"/>
    <x v="5"/>
    <x v="2177"/>
    <x v="25"/>
    <s v="POS"/>
    <n v="0.05"/>
    <n v="1200"/>
    <n v="60"/>
    <n v="0"/>
    <m/>
    <m/>
    <m/>
    <m/>
    <n v="0"/>
    <n v="0"/>
    <n v="26265.93174969836"/>
  </r>
  <r>
    <x v="199"/>
    <x v="4"/>
    <x v="50"/>
    <x v="0"/>
    <x v="5"/>
    <x v="2177"/>
    <x v="25"/>
    <s v="POS"/>
    <n v="0.08"/>
    <n v="750"/>
    <n v="60"/>
    <n v="0"/>
    <m/>
    <m/>
    <m/>
    <m/>
    <n v="0"/>
    <n v="0"/>
    <n v="26265.93174969836"/>
  </r>
  <r>
    <x v="199"/>
    <x v="4"/>
    <x v="264"/>
    <x v="0"/>
    <x v="1"/>
    <x v="2178"/>
    <x v="25"/>
    <s v="NAKİT"/>
    <n v="1"/>
    <n v="140"/>
    <n v="0"/>
    <n v="0"/>
    <m/>
    <m/>
    <m/>
    <m/>
    <n v="140"/>
    <n v="0"/>
    <n v="26405.93174969836"/>
  </r>
  <r>
    <x v="199"/>
    <x v="4"/>
    <x v="116"/>
    <x v="0"/>
    <x v="1"/>
    <x v="2178"/>
    <x v="25"/>
    <s v="NAKİT"/>
    <n v="0.75"/>
    <n v="400"/>
    <n v="0"/>
    <n v="0"/>
    <m/>
    <m/>
    <m/>
    <m/>
    <n v="300"/>
    <n v="0"/>
    <n v="26705.93174969836"/>
  </r>
  <r>
    <x v="199"/>
    <x v="4"/>
    <x v="314"/>
    <x v="0"/>
    <x v="1"/>
    <x v="2178"/>
    <x v="25"/>
    <s v="NAKİT"/>
    <n v="2"/>
    <n v="140"/>
    <n v="0"/>
    <n v="0"/>
    <m/>
    <m/>
    <m/>
    <m/>
    <n v="280"/>
    <n v="0"/>
    <n v="26985.93174969836"/>
  </r>
  <r>
    <x v="199"/>
    <x v="4"/>
    <x v="18"/>
    <x v="0"/>
    <x v="5"/>
    <x v="2179"/>
    <x v="25"/>
    <s v="POS"/>
    <n v="1"/>
    <n v="250"/>
    <n v="250"/>
    <n v="0"/>
    <m/>
    <m/>
    <m/>
    <m/>
    <n v="0"/>
    <n v="0"/>
    <n v="26985.93174969836"/>
  </r>
  <r>
    <x v="199"/>
    <x v="4"/>
    <x v="58"/>
    <x v="0"/>
    <x v="5"/>
    <x v="2179"/>
    <x v="25"/>
    <s v="POS"/>
    <n v="1"/>
    <n v="250"/>
    <n v="250"/>
    <n v="0"/>
    <m/>
    <m/>
    <m/>
    <m/>
    <n v="0"/>
    <n v="0"/>
    <n v="26985.93174969836"/>
  </r>
  <r>
    <x v="199"/>
    <x v="4"/>
    <x v="20"/>
    <x v="0"/>
    <x v="5"/>
    <x v="2179"/>
    <x v="25"/>
    <s v="POS"/>
    <n v="2"/>
    <n v="150"/>
    <n v="300"/>
    <n v="0"/>
    <m/>
    <m/>
    <m/>
    <m/>
    <n v="0"/>
    <n v="0"/>
    <n v="26985.93174969836"/>
  </r>
  <r>
    <x v="199"/>
    <x v="4"/>
    <x v="238"/>
    <x v="0"/>
    <x v="1"/>
    <x v="2180"/>
    <x v="25"/>
    <s v="NAKİT"/>
    <n v="0.39705882352941174"/>
    <n v="340"/>
    <n v="0"/>
    <n v="0"/>
    <m/>
    <m/>
    <m/>
    <m/>
    <n v="135"/>
    <n v="0"/>
    <n v="27120.93174969836"/>
  </r>
  <r>
    <x v="199"/>
    <x v="4"/>
    <x v="45"/>
    <x v="0"/>
    <x v="1"/>
    <x v="2180"/>
    <x v="25"/>
    <s v="NAKİT"/>
    <n v="1"/>
    <n v="65"/>
    <n v="0"/>
    <n v="0"/>
    <m/>
    <m/>
    <m/>
    <m/>
    <n v="65"/>
    <n v="0"/>
    <n v="27185.93174969836"/>
  </r>
  <r>
    <x v="199"/>
    <x v="4"/>
    <x v="446"/>
    <x v="0"/>
    <x v="1"/>
    <x v="2181"/>
    <x v="25"/>
    <s v="NAKİT"/>
    <n v="1"/>
    <n v="550"/>
    <n v="0"/>
    <n v="0"/>
    <m/>
    <m/>
    <m/>
    <m/>
    <n v="550"/>
    <n v="0"/>
    <n v="27735.93174969836"/>
  </r>
  <r>
    <x v="199"/>
    <x v="4"/>
    <x v="287"/>
    <x v="0"/>
    <x v="1"/>
    <x v="2181"/>
    <x v="25"/>
    <s v="NAKİT"/>
    <n v="0.84615384615384615"/>
    <n v="65"/>
    <n v="0"/>
    <n v="0"/>
    <m/>
    <m/>
    <m/>
    <m/>
    <n v="55"/>
    <n v="0"/>
    <n v="27790.93174969836"/>
  </r>
  <r>
    <x v="199"/>
    <x v="4"/>
    <x v="18"/>
    <x v="0"/>
    <x v="1"/>
    <x v="2182"/>
    <x v="228"/>
    <s v="NAKİT"/>
    <n v="4"/>
    <n v="200"/>
    <n v="0"/>
    <n v="0"/>
    <m/>
    <m/>
    <m/>
    <m/>
    <n v="800"/>
    <n v="0"/>
    <n v="28590.93174969836"/>
  </r>
  <r>
    <x v="199"/>
    <x v="4"/>
    <x v="400"/>
    <x v="0"/>
    <x v="1"/>
    <x v="2183"/>
    <x v="25"/>
    <s v="NAKİT"/>
    <n v="0.02"/>
    <n v="2800"/>
    <n v="0"/>
    <n v="0"/>
    <m/>
    <m/>
    <m/>
    <m/>
    <n v="56"/>
    <n v="0"/>
    <n v="28646.93174969836"/>
  </r>
  <r>
    <x v="199"/>
    <x v="4"/>
    <x v="57"/>
    <x v="0"/>
    <x v="5"/>
    <x v="2184"/>
    <x v="25"/>
    <s v="POS"/>
    <n v="1"/>
    <n v="150"/>
    <n v="150"/>
    <n v="0"/>
    <m/>
    <m/>
    <m/>
    <m/>
    <n v="0"/>
    <n v="0"/>
    <n v="28646.93174969836"/>
  </r>
  <r>
    <x v="199"/>
    <x v="4"/>
    <x v="238"/>
    <x v="0"/>
    <x v="1"/>
    <x v="2185"/>
    <x v="129"/>
    <s v="NAKİT"/>
    <n v="0.2"/>
    <n v="220"/>
    <n v="0"/>
    <n v="0"/>
    <m/>
    <m/>
    <m/>
    <m/>
    <n v="44"/>
    <n v="0"/>
    <n v="28690.93174969836"/>
  </r>
  <r>
    <x v="199"/>
    <x v="4"/>
    <x v="80"/>
    <x v="0"/>
    <x v="1"/>
    <x v="2186"/>
    <x v="25"/>
    <s v="NAKİT"/>
    <n v="1"/>
    <n v="290"/>
    <n v="0"/>
    <n v="0"/>
    <m/>
    <m/>
    <m/>
    <m/>
    <n v="290"/>
    <n v="0"/>
    <n v="28980.93174969836"/>
  </r>
  <r>
    <x v="199"/>
    <x v="4"/>
    <x v="66"/>
    <x v="0"/>
    <x v="5"/>
    <x v="2186"/>
    <x v="25"/>
    <s v="POS"/>
    <n v="0.12"/>
    <n v="417"/>
    <n v="50.04"/>
    <n v="0"/>
    <m/>
    <m/>
    <m/>
    <m/>
    <n v="0"/>
    <n v="0"/>
    <n v="28980.93174969836"/>
  </r>
  <r>
    <x v="199"/>
    <x v="4"/>
    <x v="88"/>
    <x v="0"/>
    <x v="1"/>
    <x v="2186"/>
    <x v="25"/>
    <s v="NAKİT"/>
    <n v="0.05"/>
    <n v="1000"/>
    <n v="0"/>
    <n v="0"/>
    <m/>
    <m/>
    <m/>
    <m/>
    <n v="50"/>
    <n v="0"/>
    <n v="29030.93174969836"/>
  </r>
  <r>
    <x v="200"/>
    <x v="4"/>
    <x v="161"/>
    <x v="0"/>
    <x v="1"/>
    <x v="2187"/>
    <x v="214"/>
    <s v="NAKİT"/>
    <n v="0.5"/>
    <n v="240"/>
    <n v="0"/>
    <n v="0"/>
    <m/>
    <m/>
    <m/>
    <m/>
    <n v="120"/>
    <n v="0"/>
    <n v="29150.93174969836"/>
  </r>
  <r>
    <x v="200"/>
    <x v="4"/>
    <x v="33"/>
    <x v="0"/>
    <x v="1"/>
    <x v="2187"/>
    <x v="214"/>
    <s v="NAKİT"/>
    <n v="1"/>
    <n v="230"/>
    <n v="0"/>
    <n v="0"/>
    <m/>
    <m/>
    <m/>
    <m/>
    <n v="230"/>
    <n v="0"/>
    <n v="29380.93174969836"/>
  </r>
  <r>
    <x v="200"/>
    <x v="4"/>
    <x v="18"/>
    <x v="0"/>
    <x v="5"/>
    <x v="2188"/>
    <x v="25"/>
    <s v="POS"/>
    <n v="0.5"/>
    <n v="250"/>
    <n v="125"/>
    <n v="0"/>
    <m/>
    <m/>
    <m/>
    <m/>
    <n v="0"/>
    <n v="0"/>
    <n v="29380.93174969836"/>
  </r>
  <r>
    <x v="200"/>
    <x v="4"/>
    <x v="58"/>
    <x v="0"/>
    <x v="5"/>
    <x v="2188"/>
    <x v="25"/>
    <s v="POS"/>
    <n v="0.5"/>
    <n v="230"/>
    <n v="115"/>
    <n v="0"/>
    <m/>
    <m/>
    <m/>
    <m/>
    <n v="0"/>
    <n v="0"/>
    <n v="29380.93174969836"/>
  </r>
  <r>
    <x v="200"/>
    <x v="4"/>
    <x v="59"/>
    <x v="0"/>
    <x v="1"/>
    <x v="2189"/>
    <x v="25"/>
    <s v="NAKİT"/>
    <n v="0.25111111111111112"/>
    <n v="450"/>
    <n v="0"/>
    <n v="0"/>
    <m/>
    <m/>
    <m/>
    <m/>
    <n v="113"/>
    <n v="0"/>
    <n v="29493.93174969836"/>
  </r>
  <r>
    <x v="200"/>
    <x v="4"/>
    <x v="24"/>
    <x v="0"/>
    <x v="1"/>
    <x v="2189"/>
    <x v="25"/>
    <s v="NAKİT"/>
    <n v="0.12307692307692308"/>
    <n v="650"/>
    <n v="0"/>
    <n v="0"/>
    <m/>
    <m/>
    <m/>
    <m/>
    <n v="80"/>
    <n v="0"/>
    <n v="29573.93174969836"/>
  </r>
  <r>
    <x v="200"/>
    <x v="4"/>
    <x v="150"/>
    <x v="0"/>
    <x v="5"/>
    <x v="2190"/>
    <x v="25"/>
    <s v="POS"/>
    <n v="4"/>
    <n v="250"/>
    <n v="1000"/>
    <n v="0"/>
    <m/>
    <m/>
    <m/>
    <m/>
    <n v="0"/>
    <n v="0"/>
    <n v="29573.93174969836"/>
  </r>
  <r>
    <x v="200"/>
    <x v="4"/>
    <x v="18"/>
    <x v="0"/>
    <x v="1"/>
    <x v="2191"/>
    <x v="228"/>
    <s v="NAKİT"/>
    <n v="2"/>
    <n v="200"/>
    <n v="0"/>
    <n v="0"/>
    <m/>
    <m/>
    <m/>
    <m/>
    <n v="400"/>
    <n v="0"/>
    <n v="29973.93174969836"/>
  </r>
  <r>
    <x v="200"/>
    <x v="4"/>
    <x v="57"/>
    <x v="0"/>
    <x v="5"/>
    <x v="2192"/>
    <x v="25"/>
    <s v="POS"/>
    <n v="0.5"/>
    <n v="140"/>
    <n v="70"/>
    <n v="0"/>
    <m/>
    <m/>
    <m/>
    <m/>
    <n v="0"/>
    <n v="0"/>
    <n v="29973.93174969836"/>
  </r>
  <r>
    <x v="200"/>
    <x v="4"/>
    <x v="404"/>
    <x v="0"/>
    <x v="5"/>
    <x v="2193"/>
    <x v="25"/>
    <s v="POS"/>
    <n v="2"/>
    <n v="30"/>
    <n v="60"/>
    <n v="0"/>
    <m/>
    <m/>
    <m/>
    <m/>
    <n v="0"/>
    <n v="0"/>
    <n v="29973.93174969836"/>
  </r>
  <r>
    <x v="200"/>
    <x v="4"/>
    <x v="287"/>
    <x v="0"/>
    <x v="5"/>
    <x v="2194"/>
    <x v="25"/>
    <s v="POS"/>
    <n v="1.3859999999999999"/>
    <n v="65"/>
    <n v="90.089999999999989"/>
    <n v="0"/>
    <m/>
    <m/>
    <m/>
    <m/>
    <n v="0"/>
    <n v="0"/>
    <n v="29973.93174969836"/>
  </r>
  <r>
    <x v="200"/>
    <x v="4"/>
    <x v="394"/>
    <x v="0"/>
    <x v="1"/>
    <x v="2195"/>
    <x v="25"/>
    <s v="NAKİT"/>
    <n v="0.78749999999999998"/>
    <n v="400"/>
    <n v="0"/>
    <n v="0"/>
    <m/>
    <m/>
    <m/>
    <m/>
    <n v="315"/>
    <n v="0"/>
    <n v="30288.93174969836"/>
  </r>
  <r>
    <x v="200"/>
    <x v="4"/>
    <x v="446"/>
    <x v="0"/>
    <x v="1"/>
    <x v="2195"/>
    <x v="25"/>
    <s v="NAKİT"/>
    <n v="1"/>
    <n v="550"/>
    <n v="0"/>
    <n v="0"/>
    <m/>
    <m/>
    <m/>
    <m/>
    <n v="550"/>
    <n v="0"/>
    <n v="30838.93174969836"/>
  </r>
  <r>
    <x v="200"/>
    <x v="4"/>
    <x v="150"/>
    <x v="0"/>
    <x v="1"/>
    <x v="2195"/>
    <x v="25"/>
    <s v="NAKİT"/>
    <n v="1"/>
    <n v="250"/>
    <n v="0"/>
    <n v="0"/>
    <m/>
    <m/>
    <m/>
    <m/>
    <n v="250"/>
    <n v="0"/>
    <n v="31088.93174969836"/>
  </r>
  <r>
    <x v="200"/>
    <x v="4"/>
    <x v="161"/>
    <x v="0"/>
    <x v="1"/>
    <x v="2195"/>
    <x v="25"/>
    <s v="NAKİT"/>
    <n v="0.28499999999999998"/>
    <n v="375"/>
    <n v="0"/>
    <n v="0"/>
    <m/>
    <m/>
    <m/>
    <m/>
    <n v="106.87499999999999"/>
    <n v="0"/>
    <n v="31195.80674969836"/>
  </r>
  <r>
    <x v="200"/>
    <x v="4"/>
    <x v="30"/>
    <x v="0"/>
    <x v="1"/>
    <x v="2196"/>
    <x v="25"/>
    <s v="NAKİT"/>
    <n v="0.19"/>
    <n v="500"/>
    <n v="0"/>
    <n v="0"/>
    <m/>
    <m/>
    <m/>
    <m/>
    <n v="95"/>
    <n v="0"/>
    <n v="31290.80674969836"/>
  </r>
  <r>
    <x v="200"/>
    <x v="4"/>
    <x v="20"/>
    <x v="0"/>
    <x v="1"/>
    <x v="2196"/>
    <x v="25"/>
    <s v="NAKİT"/>
    <n v="2"/>
    <n v="175"/>
    <n v="0"/>
    <n v="0"/>
    <m/>
    <m/>
    <m/>
    <m/>
    <n v="350"/>
    <n v="0"/>
    <n v="31640.80674969836"/>
  </r>
  <r>
    <x v="200"/>
    <x v="4"/>
    <x v="20"/>
    <x v="0"/>
    <x v="5"/>
    <x v="2197"/>
    <x v="25"/>
    <s v="POS"/>
    <n v="2"/>
    <n v="175"/>
    <n v="350"/>
    <n v="0"/>
    <m/>
    <m/>
    <m/>
    <m/>
    <n v="0"/>
    <n v="0"/>
    <n v="31640.80674969836"/>
  </r>
  <r>
    <x v="200"/>
    <x v="4"/>
    <x v="93"/>
    <x v="0"/>
    <x v="5"/>
    <x v="2197"/>
    <x v="25"/>
    <s v="POS"/>
    <n v="1"/>
    <n v="340"/>
    <n v="340"/>
    <n v="0"/>
    <m/>
    <m/>
    <m/>
    <m/>
    <n v="0"/>
    <n v="0"/>
    <n v="31640.80674969836"/>
  </r>
  <r>
    <x v="200"/>
    <x v="4"/>
    <x v="57"/>
    <x v="0"/>
    <x v="1"/>
    <x v="2198"/>
    <x v="25"/>
    <s v="NAKİT"/>
    <n v="1"/>
    <n v="150"/>
    <n v="0"/>
    <n v="0"/>
    <m/>
    <m/>
    <m/>
    <m/>
    <n v="150"/>
    <n v="0"/>
    <n v="31790.80674969836"/>
  </r>
  <r>
    <x v="200"/>
    <x v="4"/>
    <x v="69"/>
    <x v="0"/>
    <x v="1"/>
    <x v="2198"/>
    <x v="25"/>
    <s v="NAKİT"/>
    <n v="0.05"/>
    <n v="500"/>
    <n v="0"/>
    <n v="0"/>
    <m/>
    <m/>
    <m/>
    <m/>
    <n v="25"/>
    <n v="0"/>
    <n v="31815.80674969836"/>
  </r>
  <r>
    <x v="200"/>
    <x v="4"/>
    <x v="124"/>
    <x v="0"/>
    <x v="1"/>
    <x v="2198"/>
    <x v="25"/>
    <s v="NAKİT"/>
    <n v="0.1"/>
    <n v="500"/>
    <n v="0"/>
    <n v="0"/>
    <m/>
    <m/>
    <m/>
    <m/>
    <n v="50"/>
    <n v="0"/>
    <n v="31865.80674969836"/>
  </r>
  <r>
    <x v="200"/>
    <x v="4"/>
    <x v="112"/>
    <x v="0"/>
    <x v="1"/>
    <x v="2198"/>
    <x v="25"/>
    <s v="NAKİT"/>
    <n v="0.05"/>
    <n v="1500"/>
    <n v="0"/>
    <n v="0"/>
    <m/>
    <m/>
    <m/>
    <m/>
    <n v="75"/>
    <n v="0"/>
    <n v="31940.80674969836"/>
  </r>
  <r>
    <x v="200"/>
    <x v="4"/>
    <x v="360"/>
    <x v="0"/>
    <x v="1"/>
    <x v="2199"/>
    <x v="25"/>
    <s v="NAKİT"/>
    <n v="0.25"/>
    <n v="700"/>
    <n v="0"/>
    <n v="0"/>
    <m/>
    <m/>
    <m/>
    <m/>
    <n v="175"/>
    <n v="0"/>
    <n v="32115.80674969836"/>
  </r>
  <r>
    <x v="200"/>
    <x v="4"/>
    <x v="150"/>
    <x v="0"/>
    <x v="1"/>
    <x v="2199"/>
    <x v="25"/>
    <s v="NAKİT"/>
    <n v="2"/>
    <n v="250"/>
    <n v="0"/>
    <n v="0"/>
    <m/>
    <m/>
    <m/>
    <m/>
    <n v="500"/>
    <n v="0"/>
    <n v="32615.80674969836"/>
  </r>
  <r>
    <x v="200"/>
    <x v="4"/>
    <x v="364"/>
    <x v="0"/>
    <x v="5"/>
    <x v="2200"/>
    <x v="25"/>
    <s v="POS"/>
    <n v="0.1"/>
    <n v="850"/>
    <n v="85"/>
    <n v="0"/>
    <m/>
    <m/>
    <m/>
    <m/>
    <n v="0"/>
    <n v="0"/>
    <n v="32615.80674969836"/>
  </r>
  <r>
    <x v="200"/>
    <x v="4"/>
    <x v="153"/>
    <x v="0"/>
    <x v="5"/>
    <x v="2200"/>
    <x v="25"/>
    <s v="POS"/>
    <n v="1"/>
    <n v="80"/>
    <n v="80"/>
    <n v="0"/>
    <m/>
    <m/>
    <m/>
    <m/>
    <n v="0"/>
    <n v="0"/>
    <n v="32615.80674969836"/>
  </r>
  <r>
    <x v="200"/>
    <x v="4"/>
    <x v="360"/>
    <x v="0"/>
    <x v="5"/>
    <x v="2200"/>
    <x v="25"/>
    <s v="POS"/>
    <n v="0.25"/>
    <n v="700"/>
    <n v="175"/>
    <n v="0"/>
    <m/>
    <m/>
    <m/>
    <m/>
    <n v="0"/>
    <n v="0"/>
    <n v="32615.80674969836"/>
  </r>
  <r>
    <x v="200"/>
    <x v="4"/>
    <x v="305"/>
    <x v="0"/>
    <x v="5"/>
    <x v="2200"/>
    <x v="25"/>
    <s v="POS"/>
    <n v="0.1"/>
    <n v="900"/>
    <n v="90"/>
    <n v="0"/>
    <m/>
    <m/>
    <m/>
    <m/>
    <n v="0"/>
    <n v="0"/>
    <n v="32615.80674969836"/>
  </r>
  <r>
    <x v="201"/>
    <x v="4"/>
    <x v="24"/>
    <x v="0"/>
    <x v="5"/>
    <x v="2201"/>
    <x v="25"/>
    <s v="POS"/>
    <n v="4.6153846153846156E-2"/>
    <n v="650"/>
    <n v="30"/>
    <n v="0"/>
    <m/>
    <m/>
    <m/>
    <m/>
    <n v="0"/>
    <n v="0"/>
    <n v="32615.80674969836"/>
  </r>
  <r>
    <x v="201"/>
    <x v="4"/>
    <x v="59"/>
    <x v="0"/>
    <x v="1"/>
    <x v="2202"/>
    <x v="25"/>
    <s v="NAKİT"/>
    <n v="9.555555555555556E-2"/>
    <n v="450"/>
    <n v="0"/>
    <n v="0"/>
    <m/>
    <m/>
    <m/>
    <m/>
    <n v="43"/>
    <n v="0"/>
    <n v="32658.80674969836"/>
  </r>
  <r>
    <x v="201"/>
    <x v="4"/>
    <x v="33"/>
    <x v="0"/>
    <x v="1"/>
    <x v="2202"/>
    <x v="25"/>
    <s v="NAKİT"/>
    <n v="0.17"/>
    <n v="400"/>
    <n v="0"/>
    <n v="0"/>
    <m/>
    <m/>
    <m/>
    <m/>
    <n v="68"/>
    <n v="0"/>
    <n v="32726.80674969836"/>
  </r>
  <r>
    <x v="201"/>
    <x v="4"/>
    <x v="88"/>
    <x v="0"/>
    <x v="1"/>
    <x v="2202"/>
    <x v="25"/>
    <s v="NAKİT"/>
    <n v="0.05"/>
    <n v="1200"/>
    <n v="0"/>
    <n v="0"/>
    <m/>
    <m/>
    <m/>
    <m/>
    <n v="60"/>
    <n v="0"/>
    <n v="32786.806749698357"/>
  </r>
  <r>
    <x v="201"/>
    <x v="4"/>
    <x v="27"/>
    <x v="0"/>
    <x v="1"/>
    <x v="2202"/>
    <x v="25"/>
    <s v="NAKİT"/>
    <n v="0.25"/>
    <n v="400"/>
    <n v="0"/>
    <n v="0"/>
    <m/>
    <m/>
    <m/>
    <m/>
    <n v="100"/>
    <n v="0"/>
    <n v="32886.806749698357"/>
  </r>
  <r>
    <x v="201"/>
    <x v="4"/>
    <x v="56"/>
    <x v="0"/>
    <x v="1"/>
    <x v="2202"/>
    <x v="25"/>
    <s v="NAKİT"/>
    <n v="0.5"/>
    <n v="200"/>
    <n v="0"/>
    <n v="0"/>
    <m/>
    <m/>
    <m/>
    <m/>
    <n v="100"/>
    <n v="0"/>
    <n v="32986.806749698357"/>
  </r>
  <r>
    <x v="201"/>
    <x v="4"/>
    <x v="238"/>
    <x v="0"/>
    <x v="1"/>
    <x v="2203"/>
    <x v="25"/>
    <s v="NAKİT"/>
    <n v="0.1"/>
    <n v="350"/>
    <n v="0"/>
    <n v="0"/>
    <m/>
    <m/>
    <m/>
    <m/>
    <n v="35"/>
    <n v="0"/>
    <n v="33021.806749698357"/>
  </r>
  <r>
    <x v="201"/>
    <x v="4"/>
    <x v="31"/>
    <x v="0"/>
    <x v="5"/>
    <x v="2204"/>
    <x v="25"/>
    <s v="POS"/>
    <n v="1"/>
    <n v="400"/>
    <n v="400"/>
    <n v="0"/>
    <m/>
    <m/>
    <m/>
    <m/>
    <n v="0"/>
    <n v="0"/>
    <n v="33021.806749698357"/>
  </r>
  <r>
    <x v="201"/>
    <x v="4"/>
    <x v="57"/>
    <x v="0"/>
    <x v="5"/>
    <x v="2204"/>
    <x v="25"/>
    <s v="POS"/>
    <n v="1"/>
    <n v="150"/>
    <n v="150"/>
    <n v="0"/>
    <m/>
    <m/>
    <m/>
    <m/>
    <n v="0"/>
    <n v="0"/>
    <n v="33021.806749698357"/>
  </r>
  <r>
    <x v="201"/>
    <x v="4"/>
    <x v="395"/>
    <x v="0"/>
    <x v="5"/>
    <x v="2204"/>
    <x v="25"/>
    <s v="POS"/>
    <n v="2"/>
    <n v="61"/>
    <n v="122"/>
    <n v="0"/>
    <m/>
    <m/>
    <m/>
    <m/>
    <n v="0"/>
    <n v="0"/>
    <n v="33021.806749698357"/>
  </r>
  <r>
    <x v="201"/>
    <x v="4"/>
    <x v="25"/>
    <x v="0"/>
    <x v="5"/>
    <x v="2204"/>
    <x v="25"/>
    <s v="POS"/>
    <n v="7.1999999999999995E-2"/>
    <n v="400"/>
    <n v="28.799999999999997"/>
    <n v="0"/>
    <m/>
    <m/>
    <m/>
    <m/>
    <n v="0"/>
    <n v="0"/>
    <n v="33021.806749698357"/>
  </r>
  <r>
    <x v="201"/>
    <x v="4"/>
    <x v="244"/>
    <x v="0"/>
    <x v="1"/>
    <x v="2205"/>
    <x v="25"/>
    <s v="NAKİT"/>
    <n v="1"/>
    <n v="120"/>
    <n v="0"/>
    <n v="0"/>
    <m/>
    <m/>
    <m/>
    <m/>
    <n v="120"/>
    <n v="0"/>
    <n v="33141.806749698357"/>
  </r>
  <r>
    <x v="201"/>
    <x v="4"/>
    <x v="205"/>
    <x v="0"/>
    <x v="1"/>
    <x v="2205"/>
    <x v="25"/>
    <s v="NAKİT"/>
    <n v="1"/>
    <n v="80"/>
    <n v="0"/>
    <n v="0"/>
    <m/>
    <m/>
    <m/>
    <m/>
    <n v="80"/>
    <n v="0"/>
    <n v="33221.806749698357"/>
  </r>
  <r>
    <x v="201"/>
    <x v="4"/>
    <x v="101"/>
    <x v="0"/>
    <x v="1"/>
    <x v="2205"/>
    <x v="25"/>
    <s v="NAKİT"/>
    <n v="0.22727272727272727"/>
    <n v="220"/>
    <n v="0"/>
    <n v="0"/>
    <m/>
    <m/>
    <m/>
    <m/>
    <n v="50"/>
    <n v="0"/>
    <n v="33271.806749698357"/>
  </r>
  <r>
    <x v="201"/>
    <x v="4"/>
    <x v="163"/>
    <x v="0"/>
    <x v="1"/>
    <x v="2206"/>
    <x v="25"/>
    <s v="NAKİT"/>
    <n v="1"/>
    <n v="50"/>
    <n v="0"/>
    <n v="0"/>
    <m/>
    <m/>
    <m/>
    <m/>
    <n v="50"/>
    <n v="0"/>
    <n v="33321.806749698357"/>
  </r>
  <r>
    <x v="201"/>
    <x v="4"/>
    <x v="140"/>
    <x v="0"/>
    <x v="5"/>
    <x v="2207"/>
    <x v="25"/>
    <s v="POS"/>
    <n v="1"/>
    <n v="140"/>
    <n v="140"/>
    <n v="0"/>
    <m/>
    <m/>
    <m/>
    <m/>
    <n v="0"/>
    <n v="0"/>
    <n v="33321.806749698357"/>
  </r>
  <r>
    <x v="201"/>
    <x v="4"/>
    <x v="115"/>
    <x v="0"/>
    <x v="5"/>
    <x v="2207"/>
    <x v="25"/>
    <s v="POS"/>
    <n v="3.7499999999999999E-2"/>
    <n v="240"/>
    <n v="9"/>
    <n v="0"/>
    <m/>
    <m/>
    <m/>
    <m/>
    <n v="0"/>
    <n v="0"/>
    <n v="33321.806749698357"/>
  </r>
  <r>
    <x v="201"/>
    <x v="4"/>
    <x v="312"/>
    <x v="0"/>
    <x v="5"/>
    <x v="2208"/>
    <x v="25"/>
    <s v="POS"/>
    <n v="0.65428571428571425"/>
    <n v="350"/>
    <n v="229"/>
    <n v="0"/>
    <m/>
    <m/>
    <m/>
    <m/>
    <n v="0"/>
    <n v="0"/>
    <n v="33321.806749698357"/>
  </r>
  <r>
    <x v="201"/>
    <x v="4"/>
    <x v="18"/>
    <x v="0"/>
    <x v="5"/>
    <x v="2209"/>
    <x v="25"/>
    <s v="POS"/>
    <n v="1"/>
    <n v="250"/>
    <n v="250"/>
    <n v="0"/>
    <m/>
    <m/>
    <m/>
    <m/>
    <n v="0"/>
    <n v="0"/>
    <n v="33321.806749698357"/>
  </r>
  <r>
    <x v="201"/>
    <x v="4"/>
    <x v="58"/>
    <x v="0"/>
    <x v="5"/>
    <x v="2209"/>
    <x v="25"/>
    <s v="POS"/>
    <n v="1"/>
    <n v="250"/>
    <n v="250"/>
    <n v="0"/>
    <m/>
    <m/>
    <m/>
    <m/>
    <n v="0"/>
    <n v="0"/>
    <n v="33321.806749698357"/>
  </r>
  <r>
    <x v="201"/>
    <x v="4"/>
    <x v="157"/>
    <x v="0"/>
    <x v="1"/>
    <x v="2210"/>
    <x v="25"/>
    <s v="NAKİT"/>
    <n v="0.14399999999999999"/>
    <n v="140"/>
    <n v="0"/>
    <n v="0"/>
    <m/>
    <m/>
    <m/>
    <m/>
    <n v="20.16"/>
    <n v="0"/>
    <n v="33341.96674969836"/>
  </r>
  <r>
    <x v="201"/>
    <x v="4"/>
    <x v="30"/>
    <x v="0"/>
    <x v="5"/>
    <x v="2211"/>
    <x v="25"/>
    <s v="POS"/>
    <n v="0.2"/>
    <n v="500"/>
    <n v="100"/>
    <n v="0"/>
    <m/>
    <m/>
    <m/>
    <m/>
    <n v="0"/>
    <n v="0"/>
    <n v="33341.96674969836"/>
  </r>
  <r>
    <x v="201"/>
    <x v="4"/>
    <x v="24"/>
    <x v="0"/>
    <x v="5"/>
    <x v="2211"/>
    <x v="25"/>
    <s v="POS"/>
    <n v="0.15384615384615385"/>
    <n v="650"/>
    <n v="100"/>
    <n v="0"/>
    <m/>
    <m/>
    <m/>
    <m/>
    <n v="0"/>
    <n v="0"/>
    <n v="33341.96674969836"/>
  </r>
  <r>
    <x v="201"/>
    <x v="4"/>
    <x v="27"/>
    <x v="0"/>
    <x v="5"/>
    <x v="2211"/>
    <x v="25"/>
    <s v="POS"/>
    <n v="0.15"/>
    <n v="400"/>
    <n v="60"/>
    <n v="0"/>
    <m/>
    <m/>
    <m/>
    <m/>
    <n v="0"/>
    <n v="0"/>
    <n v="33341.96674969836"/>
  </r>
  <r>
    <x v="201"/>
    <x v="4"/>
    <x v="23"/>
    <x v="0"/>
    <x v="5"/>
    <x v="2212"/>
    <x v="25"/>
    <s v="POS"/>
    <n v="0.21333333333333335"/>
    <n v="300"/>
    <n v="64"/>
    <n v="0"/>
    <m/>
    <m/>
    <m/>
    <m/>
    <n v="0"/>
    <n v="0"/>
    <n v="33341.96674969836"/>
  </r>
  <r>
    <x v="201"/>
    <x v="4"/>
    <x v="22"/>
    <x v="0"/>
    <x v="5"/>
    <x v="2212"/>
    <x v="25"/>
    <s v="POS"/>
    <n v="0.17499999999999999"/>
    <n v="400"/>
    <n v="70"/>
    <n v="0"/>
    <m/>
    <m/>
    <m/>
    <m/>
    <n v="0"/>
    <n v="0"/>
    <n v="33341.96674969836"/>
  </r>
  <r>
    <x v="201"/>
    <x v="4"/>
    <x v="142"/>
    <x v="0"/>
    <x v="5"/>
    <x v="2212"/>
    <x v="25"/>
    <s v="POS"/>
    <n v="0.56799999999999995"/>
    <n v="250"/>
    <n v="142"/>
    <n v="0"/>
    <m/>
    <m/>
    <m/>
    <m/>
    <n v="0"/>
    <n v="0"/>
    <n v="33341.96674969836"/>
  </r>
  <r>
    <x v="201"/>
    <x v="4"/>
    <x v="18"/>
    <x v="0"/>
    <x v="1"/>
    <x v="2213"/>
    <x v="25"/>
    <s v="NAKİT"/>
    <n v="1"/>
    <n v="250"/>
    <n v="0"/>
    <n v="0"/>
    <m/>
    <m/>
    <m/>
    <m/>
    <n v="250"/>
    <n v="0"/>
    <n v="33591.96674969836"/>
  </r>
  <r>
    <x v="201"/>
    <x v="4"/>
    <x v="20"/>
    <x v="0"/>
    <x v="1"/>
    <x v="2214"/>
    <x v="25"/>
    <s v="NAKİT"/>
    <n v="1.2"/>
    <n v="167"/>
    <n v="0"/>
    <n v="0"/>
    <m/>
    <m/>
    <m/>
    <m/>
    <n v="200.4"/>
    <n v="0"/>
    <n v="33792.366749698362"/>
  </r>
  <r>
    <x v="202"/>
    <x v="10"/>
    <x v="0"/>
    <x v="0"/>
    <x v="5"/>
    <x v="2"/>
    <x v="229"/>
    <s v="POS"/>
    <n v="1"/>
    <n v="791"/>
    <n v="0"/>
    <n v="791"/>
    <m/>
    <m/>
    <m/>
    <m/>
    <n v="791"/>
    <n v="0"/>
    <n v="34583.366749698362"/>
  </r>
  <r>
    <x v="202"/>
    <x v="1"/>
    <x v="0"/>
    <x v="13"/>
    <x v="1"/>
    <x v="2"/>
    <x v="162"/>
    <s v="NAKİT"/>
    <n v="1"/>
    <n v="791"/>
    <n v="0"/>
    <n v="0"/>
    <m/>
    <m/>
    <m/>
    <m/>
    <n v="0"/>
    <n v="791"/>
    <n v="33792.366749698362"/>
  </r>
  <r>
    <x v="203"/>
    <x v="4"/>
    <x v="360"/>
    <x v="0"/>
    <x v="1"/>
    <x v="2215"/>
    <x v="25"/>
    <s v="NAKİT"/>
    <n v="1"/>
    <n v="700"/>
    <n v="0"/>
    <n v="0"/>
    <m/>
    <m/>
    <m/>
    <m/>
    <n v="700"/>
    <n v="0"/>
    <n v="34492.366749698362"/>
  </r>
  <r>
    <x v="203"/>
    <x v="4"/>
    <x v="38"/>
    <x v="0"/>
    <x v="5"/>
    <x v="2216"/>
    <x v="25"/>
    <s v="POS"/>
    <n v="1.458"/>
    <n v="600"/>
    <n v="874.8"/>
    <n v="0"/>
    <m/>
    <m/>
    <m/>
    <m/>
    <n v="0"/>
    <n v="0"/>
    <n v="34492.366749698362"/>
  </r>
  <r>
    <x v="203"/>
    <x v="4"/>
    <x v="24"/>
    <x v="0"/>
    <x v="1"/>
    <x v="2217"/>
    <x v="228"/>
    <s v="NAKİT"/>
    <n v="0.33600000000000002"/>
    <n v="500"/>
    <n v="0"/>
    <n v="0"/>
    <m/>
    <m/>
    <m/>
    <m/>
    <n v="168"/>
    <n v="0"/>
    <n v="34660.366749698362"/>
  </r>
  <r>
    <x v="203"/>
    <x v="4"/>
    <x v="28"/>
    <x v="0"/>
    <x v="1"/>
    <x v="2217"/>
    <x v="228"/>
    <s v="NAKİT"/>
    <n v="1.1857142857142857"/>
    <n v="350"/>
    <n v="0"/>
    <n v="0"/>
    <m/>
    <m/>
    <m/>
    <m/>
    <n v="415"/>
    <n v="0"/>
    <n v="35075.366749698362"/>
  </r>
  <r>
    <x v="203"/>
    <x v="4"/>
    <x v="25"/>
    <x v="0"/>
    <x v="1"/>
    <x v="2217"/>
    <x v="228"/>
    <s v="NAKİT"/>
    <n v="0.52333333333333332"/>
    <n v="300"/>
    <n v="0"/>
    <n v="0"/>
    <m/>
    <m/>
    <m/>
    <m/>
    <n v="157"/>
    <n v="0"/>
    <n v="35232.366749698362"/>
  </r>
  <r>
    <x v="203"/>
    <x v="4"/>
    <x v="161"/>
    <x v="0"/>
    <x v="1"/>
    <x v="2217"/>
    <x v="228"/>
    <s v="NAKİT"/>
    <n v="0.61132075471698111"/>
    <n v="265"/>
    <n v="0"/>
    <n v="0"/>
    <m/>
    <m/>
    <m/>
    <m/>
    <n v="162"/>
    <n v="0"/>
    <n v="35394.366749698362"/>
  </r>
  <r>
    <x v="203"/>
    <x v="4"/>
    <x v="312"/>
    <x v="0"/>
    <x v="1"/>
    <x v="2217"/>
    <x v="228"/>
    <s v="NAKİT"/>
    <n v="5"/>
    <n v="300"/>
    <n v="0"/>
    <n v="0"/>
    <m/>
    <m/>
    <m/>
    <m/>
    <n v="1500"/>
    <n v="0"/>
    <n v="36894.366749698362"/>
  </r>
  <r>
    <x v="203"/>
    <x v="4"/>
    <x v="18"/>
    <x v="0"/>
    <x v="1"/>
    <x v="2217"/>
    <x v="228"/>
    <s v="NAKİT"/>
    <n v="5"/>
    <n v="200"/>
    <n v="0"/>
    <n v="0"/>
    <m/>
    <m/>
    <m/>
    <m/>
    <n v="1000"/>
    <n v="0"/>
    <n v="37894.366749698362"/>
  </r>
  <r>
    <x v="203"/>
    <x v="4"/>
    <x v="57"/>
    <x v="0"/>
    <x v="1"/>
    <x v="2217"/>
    <x v="228"/>
    <s v="NAKİT"/>
    <n v="2.85"/>
    <n v="120"/>
    <n v="0"/>
    <n v="0"/>
    <m/>
    <m/>
    <m/>
    <m/>
    <n v="342"/>
    <n v="0"/>
    <n v="38236.366749698362"/>
  </r>
  <r>
    <x v="203"/>
    <x v="4"/>
    <x v="14"/>
    <x v="0"/>
    <x v="5"/>
    <x v="2218"/>
    <x v="25"/>
    <s v="POS"/>
    <n v="0.5"/>
    <n v="280"/>
    <n v="140"/>
    <n v="0"/>
    <m/>
    <m/>
    <m/>
    <m/>
    <n v="0"/>
    <n v="0"/>
    <n v="38236.366749698362"/>
  </r>
  <r>
    <x v="203"/>
    <x v="4"/>
    <x v="315"/>
    <x v="0"/>
    <x v="1"/>
    <x v="2219"/>
    <x v="25"/>
    <s v="NAKİT"/>
    <n v="1"/>
    <n v="190"/>
    <n v="0"/>
    <n v="0"/>
    <m/>
    <m/>
    <m/>
    <m/>
    <n v="190"/>
    <n v="0"/>
    <n v="38426.366749698362"/>
  </r>
  <r>
    <x v="203"/>
    <x v="4"/>
    <x v="454"/>
    <x v="0"/>
    <x v="1"/>
    <x v="2219"/>
    <x v="25"/>
    <s v="NAKİT"/>
    <n v="1"/>
    <n v="200"/>
    <n v="0"/>
    <n v="0"/>
    <m/>
    <m/>
    <m/>
    <m/>
    <n v="200"/>
    <n v="0"/>
    <n v="38626.366749698362"/>
  </r>
  <r>
    <x v="203"/>
    <x v="4"/>
    <x v="96"/>
    <x v="0"/>
    <x v="1"/>
    <x v="2219"/>
    <x v="25"/>
    <s v="NAKİT"/>
    <n v="1.8461538461538463E-2"/>
    <n v="1000"/>
    <n v="0"/>
    <n v="0"/>
    <m/>
    <m/>
    <m/>
    <m/>
    <n v="18.461538461538463"/>
    <n v="0"/>
    <n v="38644.828288159901"/>
  </r>
  <r>
    <x v="203"/>
    <x v="4"/>
    <x v="204"/>
    <x v="0"/>
    <x v="1"/>
    <x v="2219"/>
    <x v="25"/>
    <s v="NAKİT"/>
    <n v="4.8750000000000002E-2"/>
    <n v="500"/>
    <n v="0"/>
    <n v="0"/>
    <m/>
    <m/>
    <m/>
    <m/>
    <n v="24.375"/>
    <n v="0"/>
    <n v="38669.203288159901"/>
  </r>
  <r>
    <x v="203"/>
    <x v="4"/>
    <x v="67"/>
    <x v="0"/>
    <x v="1"/>
    <x v="2219"/>
    <x v="25"/>
    <s v="NAKİT"/>
    <n v="0.05"/>
    <n v="600"/>
    <n v="0"/>
    <n v="0"/>
    <m/>
    <m/>
    <m/>
    <m/>
    <n v="30"/>
    <n v="0"/>
    <n v="38699.203288159901"/>
  </r>
  <r>
    <x v="203"/>
    <x v="4"/>
    <x v="113"/>
    <x v="0"/>
    <x v="1"/>
    <x v="2219"/>
    <x v="25"/>
    <s v="NAKİT"/>
    <n v="0.1"/>
    <n v="800"/>
    <n v="0"/>
    <n v="0"/>
    <m/>
    <m/>
    <m/>
    <m/>
    <n v="80"/>
    <n v="0"/>
    <n v="38779.203288159901"/>
  </r>
  <r>
    <x v="203"/>
    <x v="4"/>
    <x v="194"/>
    <x v="0"/>
    <x v="1"/>
    <x v="2220"/>
    <x v="25"/>
    <s v="NAKİT"/>
    <n v="1"/>
    <n v="310"/>
    <n v="0"/>
    <n v="0"/>
    <m/>
    <m/>
    <m/>
    <m/>
    <n v="310"/>
    <n v="0"/>
    <n v="39089.203288159901"/>
  </r>
  <r>
    <x v="203"/>
    <x v="4"/>
    <x v="111"/>
    <x v="0"/>
    <x v="1"/>
    <x v="2221"/>
    <x v="25"/>
    <s v="NAKİT"/>
    <n v="1.0228571428571429"/>
    <n v="350"/>
    <n v="0"/>
    <n v="0"/>
    <m/>
    <m/>
    <m/>
    <m/>
    <n v="358"/>
    <n v="0"/>
    <n v="39447.203288159901"/>
  </r>
  <r>
    <x v="203"/>
    <x v="4"/>
    <x v="238"/>
    <x v="0"/>
    <x v="1"/>
    <x v="2221"/>
    <x v="25"/>
    <s v="NAKİT"/>
    <n v="0.45714285714285713"/>
    <n v="350"/>
    <n v="0"/>
    <n v="0"/>
    <m/>
    <m/>
    <m/>
    <m/>
    <n v="160"/>
    <n v="0"/>
    <n v="39607.203288159901"/>
  </r>
  <r>
    <x v="203"/>
    <x v="10"/>
    <x v="0"/>
    <x v="0"/>
    <x v="5"/>
    <x v="2"/>
    <x v="230"/>
    <s v="POS"/>
    <n v="1"/>
    <n v="307.89999999999998"/>
    <n v="0"/>
    <n v="307.89999999999998"/>
    <m/>
    <m/>
    <m/>
    <m/>
    <n v="307.89999999999998"/>
    <n v="0"/>
    <n v="39915.103288159902"/>
  </r>
  <r>
    <x v="203"/>
    <x v="1"/>
    <x v="0"/>
    <x v="15"/>
    <x v="1"/>
    <x v="2"/>
    <x v="230"/>
    <s v="NAKİT"/>
    <n v="1"/>
    <n v="307.89999999999998"/>
    <n v="0"/>
    <n v="0"/>
    <m/>
    <m/>
    <m/>
    <m/>
    <n v="0"/>
    <n v="307.89999999999998"/>
    <n v="39607.203288159901"/>
  </r>
  <r>
    <x v="203"/>
    <x v="10"/>
    <x v="0"/>
    <x v="0"/>
    <x v="5"/>
    <x v="2"/>
    <x v="230"/>
    <s v="POS"/>
    <n v="1"/>
    <n v="1507.1"/>
    <n v="0"/>
    <n v="1507.1"/>
    <m/>
    <m/>
    <m/>
    <m/>
    <n v="1507.1"/>
    <n v="0"/>
    <n v="41114.303288159899"/>
  </r>
  <r>
    <x v="203"/>
    <x v="1"/>
    <x v="0"/>
    <x v="15"/>
    <x v="1"/>
    <x v="2"/>
    <x v="230"/>
    <s v="NAKİT"/>
    <n v="1"/>
    <n v="1507.1"/>
    <n v="0"/>
    <n v="0"/>
    <m/>
    <m/>
    <m/>
    <m/>
    <n v="0"/>
    <n v="1507.1"/>
    <n v="39607.203288159901"/>
  </r>
  <r>
    <x v="204"/>
    <x v="4"/>
    <x v="22"/>
    <x v="0"/>
    <x v="1"/>
    <x v="2222"/>
    <x v="25"/>
    <s v="NAKİT"/>
    <n v="0.14000000000000001"/>
    <n v="400"/>
    <n v="0"/>
    <n v="0"/>
    <m/>
    <m/>
    <m/>
    <m/>
    <n v="56.000000000000007"/>
    <n v="0"/>
    <n v="39663.203288159901"/>
  </r>
  <r>
    <x v="204"/>
    <x v="4"/>
    <x v="285"/>
    <x v="0"/>
    <x v="1"/>
    <x v="2222"/>
    <x v="25"/>
    <s v="NAKİT"/>
    <n v="0.15625"/>
    <n v="320"/>
    <n v="0"/>
    <n v="0"/>
    <m/>
    <m/>
    <m/>
    <m/>
    <n v="50"/>
    <n v="0"/>
    <n v="39713.203288159901"/>
  </r>
  <r>
    <x v="204"/>
    <x v="4"/>
    <x v="444"/>
    <x v="0"/>
    <x v="1"/>
    <x v="2223"/>
    <x v="25"/>
    <s v="NAKİT"/>
    <n v="1"/>
    <n v="450"/>
    <n v="0"/>
    <n v="0"/>
    <m/>
    <m/>
    <m/>
    <m/>
    <n v="450"/>
    <n v="0"/>
    <n v="40163.203288159901"/>
  </r>
  <r>
    <x v="204"/>
    <x v="4"/>
    <x v="360"/>
    <x v="0"/>
    <x v="5"/>
    <x v="2224"/>
    <x v="25"/>
    <s v="POS"/>
    <n v="0.25"/>
    <n v="600"/>
    <n v="150"/>
    <n v="0"/>
    <m/>
    <m/>
    <m/>
    <m/>
    <n v="0"/>
    <n v="0"/>
    <n v="40163.203288159901"/>
  </r>
  <r>
    <x v="204"/>
    <x v="4"/>
    <x v="438"/>
    <x v="0"/>
    <x v="5"/>
    <x v="2225"/>
    <x v="25"/>
    <s v="POS"/>
    <n v="0.1"/>
    <n v="1200"/>
    <n v="120"/>
    <n v="0"/>
    <m/>
    <m/>
    <m/>
    <m/>
    <n v="0"/>
    <n v="0"/>
    <n v="40163.203288159901"/>
  </r>
  <r>
    <x v="204"/>
    <x v="4"/>
    <x v="96"/>
    <x v="0"/>
    <x v="5"/>
    <x v="2225"/>
    <x v="25"/>
    <s v="POS"/>
    <n v="8.199999999999999E-2"/>
    <n v="1300"/>
    <n v="106.59999999999998"/>
    <n v="0"/>
    <m/>
    <m/>
    <m/>
    <m/>
    <n v="0"/>
    <n v="0"/>
    <n v="40163.203288159901"/>
  </r>
  <r>
    <x v="204"/>
    <x v="4"/>
    <x v="305"/>
    <x v="0"/>
    <x v="5"/>
    <x v="2225"/>
    <x v="25"/>
    <s v="POS"/>
    <n v="0.1"/>
    <n v="900"/>
    <n v="90"/>
    <n v="0"/>
    <m/>
    <m/>
    <m/>
    <m/>
    <n v="0"/>
    <n v="0"/>
    <n v="40163.203288159901"/>
  </r>
  <r>
    <x v="204"/>
    <x v="4"/>
    <x v="69"/>
    <x v="0"/>
    <x v="5"/>
    <x v="2225"/>
    <x v="25"/>
    <s v="POS"/>
    <n v="0.05"/>
    <n v="1000"/>
    <n v="50"/>
    <n v="0"/>
    <m/>
    <m/>
    <m/>
    <m/>
    <n v="0"/>
    <n v="0"/>
    <n v="40163.203288159901"/>
  </r>
  <r>
    <x v="204"/>
    <x v="4"/>
    <x v="270"/>
    <x v="0"/>
    <x v="5"/>
    <x v="2225"/>
    <x v="25"/>
    <s v="POS"/>
    <n v="1"/>
    <n v="130"/>
    <n v="130"/>
    <n v="0"/>
    <m/>
    <m/>
    <m/>
    <m/>
    <n v="0"/>
    <n v="0"/>
    <n v="40163.203288159901"/>
  </r>
  <r>
    <x v="204"/>
    <x v="4"/>
    <x v="88"/>
    <x v="0"/>
    <x v="5"/>
    <x v="2225"/>
    <x v="25"/>
    <s v="POS"/>
    <n v="0.05"/>
    <n v="1200"/>
    <n v="60"/>
    <n v="0"/>
    <m/>
    <m/>
    <m/>
    <m/>
    <n v="0"/>
    <n v="0"/>
    <n v="40163.203288159901"/>
  </r>
  <r>
    <x v="204"/>
    <x v="4"/>
    <x v="50"/>
    <x v="0"/>
    <x v="5"/>
    <x v="2225"/>
    <x v="25"/>
    <s v="POS"/>
    <n v="0.05"/>
    <n v="1200"/>
    <n v="60"/>
    <n v="0"/>
    <m/>
    <m/>
    <m/>
    <m/>
    <n v="0"/>
    <n v="0"/>
    <n v="40163.203288159901"/>
  </r>
  <r>
    <x v="204"/>
    <x v="4"/>
    <x v="289"/>
    <x v="0"/>
    <x v="5"/>
    <x v="2226"/>
    <x v="25"/>
    <s v="POS"/>
    <n v="0.27777777777777779"/>
    <n v="400"/>
    <n v="111.11111111111111"/>
    <n v="0"/>
    <m/>
    <m/>
    <m/>
    <m/>
    <n v="0"/>
    <n v="0"/>
    <n v="40163.203288159901"/>
  </r>
  <r>
    <x v="204"/>
    <x v="4"/>
    <x v="101"/>
    <x v="0"/>
    <x v="5"/>
    <x v="2226"/>
    <x v="25"/>
    <s v="POS"/>
    <n v="0.22727272727272727"/>
    <n v="220"/>
    <n v="50"/>
    <n v="0"/>
    <m/>
    <m/>
    <m/>
    <m/>
    <n v="0"/>
    <n v="0"/>
    <n v="40163.203288159901"/>
  </r>
  <r>
    <x v="204"/>
    <x v="4"/>
    <x v="27"/>
    <x v="0"/>
    <x v="5"/>
    <x v="2226"/>
    <x v="25"/>
    <s v="POS"/>
    <n v="7.2499999999999995E-2"/>
    <n v="400"/>
    <n v="28.999999999999996"/>
    <n v="0"/>
    <m/>
    <m/>
    <m/>
    <m/>
    <n v="0"/>
    <n v="0"/>
    <n v="40163.203288159901"/>
  </r>
  <r>
    <x v="204"/>
    <x v="4"/>
    <x v="259"/>
    <x v="0"/>
    <x v="1"/>
    <x v="2227"/>
    <x v="25"/>
    <s v="NAKİT"/>
    <n v="1"/>
    <n v="125"/>
    <n v="0"/>
    <n v="0"/>
    <m/>
    <m/>
    <m/>
    <m/>
    <n v="125"/>
    <n v="0"/>
    <n v="40288.203288159901"/>
  </r>
  <r>
    <x v="204"/>
    <x v="4"/>
    <x v="261"/>
    <x v="0"/>
    <x v="1"/>
    <x v="2227"/>
    <x v="25"/>
    <s v="NAKİT"/>
    <n v="1"/>
    <n v="130"/>
    <n v="0"/>
    <n v="0"/>
    <m/>
    <m/>
    <m/>
    <m/>
    <n v="130"/>
    <n v="0"/>
    <n v="40418.203288159901"/>
  </r>
  <r>
    <x v="204"/>
    <x v="4"/>
    <x v="321"/>
    <x v="0"/>
    <x v="1"/>
    <x v="2227"/>
    <x v="25"/>
    <s v="NAKİT"/>
    <n v="1"/>
    <n v="220"/>
    <n v="0"/>
    <n v="0"/>
    <m/>
    <m/>
    <m/>
    <m/>
    <n v="220"/>
    <n v="0"/>
    <n v="40638.203288159901"/>
  </r>
  <r>
    <x v="204"/>
    <x v="4"/>
    <x v="298"/>
    <x v="0"/>
    <x v="1"/>
    <x v="2228"/>
    <x v="25"/>
    <s v="NAKİT"/>
    <n v="0.1"/>
    <n v="2000"/>
    <n v="0"/>
    <n v="0"/>
    <m/>
    <m/>
    <m/>
    <m/>
    <n v="200"/>
    <n v="0"/>
    <n v="40838.203288159901"/>
  </r>
  <r>
    <x v="204"/>
    <x v="4"/>
    <x v="271"/>
    <x v="0"/>
    <x v="5"/>
    <x v="2229"/>
    <x v="25"/>
    <s v="POS"/>
    <n v="1"/>
    <n v="125"/>
    <n v="125"/>
    <n v="0"/>
    <m/>
    <m/>
    <m/>
    <m/>
    <n v="0"/>
    <n v="0"/>
    <n v="40838.203288159901"/>
  </r>
  <r>
    <x v="204"/>
    <x v="4"/>
    <x v="248"/>
    <x v="0"/>
    <x v="5"/>
    <x v="2230"/>
    <x v="25"/>
    <s v="POS"/>
    <n v="0.2153846153846154"/>
    <n v="650"/>
    <n v="140"/>
    <n v="0"/>
    <m/>
    <m/>
    <m/>
    <m/>
    <n v="0"/>
    <n v="0"/>
    <n v="40838.203288159901"/>
  </r>
  <r>
    <x v="204"/>
    <x v="4"/>
    <x v="123"/>
    <x v="0"/>
    <x v="5"/>
    <x v="2230"/>
    <x v="25"/>
    <s v="POS"/>
    <n v="0.2"/>
    <n v="1000"/>
    <n v="200"/>
    <n v="0"/>
    <m/>
    <m/>
    <m/>
    <m/>
    <n v="0"/>
    <n v="0"/>
    <n v="40838.203288159901"/>
  </r>
  <r>
    <x v="204"/>
    <x v="4"/>
    <x v="179"/>
    <x v="0"/>
    <x v="1"/>
    <x v="2231"/>
    <x v="25"/>
    <s v="NAKİT"/>
    <n v="0.23529411764705882"/>
    <n v="850"/>
    <n v="0"/>
    <n v="0"/>
    <m/>
    <m/>
    <m/>
    <m/>
    <n v="200"/>
    <n v="0"/>
    <n v="41038.203288159901"/>
  </r>
  <r>
    <x v="204"/>
    <x v="4"/>
    <x v="285"/>
    <x v="0"/>
    <x v="5"/>
    <x v="2232"/>
    <x v="25"/>
    <s v="POS"/>
    <n v="0.121875"/>
    <n v="320"/>
    <n v="39"/>
    <n v="0"/>
    <m/>
    <m/>
    <m/>
    <m/>
    <n v="0"/>
    <n v="0"/>
    <n v="41038.203288159901"/>
  </r>
  <r>
    <x v="204"/>
    <x v="4"/>
    <x v="57"/>
    <x v="0"/>
    <x v="5"/>
    <x v="2232"/>
    <x v="25"/>
    <s v="POS"/>
    <n v="1"/>
    <n v="150"/>
    <n v="150"/>
    <n v="0"/>
    <m/>
    <m/>
    <m/>
    <m/>
    <n v="0"/>
    <n v="0"/>
    <n v="41038.203288159901"/>
  </r>
  <r>
    <x v="204"/>
    <x v="4"/>
    <x v="56"/>
    <x v="0"/>
    <x v="5"/>
    <x v="2232"/>
    <x v="25"/>
    <s v="POS"/>
    <n v="1"/>
    <n v="200"/>
    <n v="200"/>
    <n v="0"/>
    <m/>
    <m/>
    <m/>
    <m/>
    <n v="0"/>
    <n v="0"/>
    <n v="41038.203288159901"/>
  </r>
  <r>
    <x v="204"/>
    <x v="4"/>
    <x v="391"/>
    <x v="0"/>
    <x v="5"/>
    <x v="2232"/>
    <x v="25"/>
    <s v="POS"/>
    <n v="0.5"/>
    <n v="420"/>
    <n v="210"/>
    <n v="0"/>
    <m/>
    <m/>
    <m/>
    <m/>
    <n v="0"/>
    <n v="0"/>
    <n v="41038.203288159901"/>
  </r>
  <r>
    <x v="204"/>
    <x v="4"/>
    <x v="30"/>
    <x v="0"/>
    <x v="1"/>
    <x v="2233"/>
    <x v="25"/>
    <s v="NAKİT"/>
    <n v="0.2"/>
    <n v="500"/>
    <n v="0"/>
    <n v="0"/>
    <m/>
    <m/>
    <m/>
    <m/>
    <n v="100"/>
    <n v="0"/>
    <n v="41138.203288159901"/>
  </r>
  <r>
    <x v="204"/>
    <x v="4"/>
    <x v="29"/>
    <x v="0"/>
    <x v="1"/>
    <x v="2233"/>
    <x v="25"/>
    <s v="NAKİT"/>
    <n v="0.11764705882352941"/>
    <n v="850"/>
    <n v="0"/>
    <n v="0"/>
    <m/>
    <m/>
    <m/>
    <m/>
    <n v="100"/>
    <n v="0"/>
    <n v="41238.203288159901"/>
  </r>
  <r>
    <x v="204"/>
    <x v="4"/>
    <x v="262"/>
    <x v="0"/>
    <x v="1"/>
    <x v="2234"/>
    <x v="25"/>
    <s v="NAKİT"/>
    <n v="1"/>
    <n v="130"/>
    <n v="0"/>
    <n v="0"/>
    <m/>
    <m/>
    <m/>
    <m/>
    <n v="130"/>
    <n v="0"/>
    <n v="41368.203288159901"/>
  </r>
  <r>
    <x v="204"/>
    <x v="4"/>
    <x v="394"/>
    <x v="0"/>
    <x v="1"/>
    <x v="2235"/>
    <x v="25"/>
    <s v="NAKİT"/>
    <n v="1"/>
    <n v="400"/>
    <n v="0"/>
    <n v="0"/>
    <m/>
    <m/>
    <m/>
    <m/>
    <n v="400"/>
    <n v="0"/>
    <n v="41768.203288159901"/>
  </r>
  <r>
    <x v="205"/>
    <x v="4"/>
    <x v="57"/>
    <x v="0"/>
    <x v="1"/>
    <x v="2236"/>
    <x v="111"/>
    <s v="NAKİT"/>
    <n v="4"/>
    <n v="150"/>
    <n v="0"/>
    <n v="0"/>
    <m/>
    <m/>
    <m/>
    <m/>
    <n v="600"/>
    <n v="0"/>
    <n v="42368.203288159901"/>
  </r>
  <r>
    <x v="205"/>
    <x v="4"/>
    <x v="360"/>
    <x v="0"/>
    <x v="1"/>
    <x v="2236"/>
    <x v="111"/>
    <s v="NAKİT"/>
    <n v="1.5"/>
    <n v="700"/>
    <n v="0"/>
    <n v="0"/>
    <m/>
    <m/>
    <m/>
    <m/>
    <n v="1050"/>
    <n v="0"/>
    <n v="43418.203288159901"/>
  </r>
  <r>
    <x v="205"/>
    <x v="4"/>
    <x v="76"/>
    <x v="0"/>
    <x v="1"/>
    <x v="2236"/>
    <x v="111"/>
    <s v="NAKİT"/>
    <n v="1.5"/>
    <n v="80"/>
    <n v="0"/>
    <n v="0"/>
    <m/>
    <m/>
    <m/>
    <m/>
    <n v="120"/>
    <n v="0"/>
    <n v="43538.203288159901"/>
  </r>
  <r>
    <x v="205"/>
    <x v="4"/>
    <x v="18"/>
    <x v="0"/>
    <x v="1"/>
    <x v="2237"/>
    <x v="25"/>
    <s v="NAKİT"/>
    <n v="1"/>
    <n v="250"/>
    <n v="0"/>
    <n v="0"/>
    <m/>
    <m/>
    <m/>
    <m/>
    <n v="250"/>
    <n v="0"/>
    <n v="43788.203288159901"/>
  </r>
  <r>
    <x v="205"/>
    <x v="4"/>
    <x v="57"/>
    <x v="0"/>
    <x v="1"/>
    <x v="2237"/>
    <x v="25"/>
    <s v="NAKİT"/>
    <n v="1"/>
    <n v="150"/>
    <n v="0"/>
    <n v="0"/>
    <m/>
    <m/>
    <m/>
    <m/>
    <n v="150"/>
    <n v="0"/>
    <n v="43938.203288159901"/>
  </r>
  <r>
    <x v="205"/>
    <x v="4"/>
    <x v="316"/>
    <x v="0"/>
    <x v="1"/>
    <x v="2237"/>
    <x v="25"/>
    <s v="NAKİT"/>
    <n v="1"/>
    <n v="180"/>
    <n v="0"/>
    <n v="0"/>
    <m/>
    <m/>
    <m/>
    <m/>
    <n v="180"/>
    <n v="0"/>
    <n v="44118.203288159901"/>
  </r>
  <r>
    <x v="205"/>
    <x v="4"/>
    <x v="176"/>
    <x v="0"/>
    <x v="1"/>
    <x v="2237"/>
    <x v="25"/>
    <s v="NAKİT"/>
    <n v="1"/>
    <n v="165"/>
    <n v="0"/>
    <n v="0"/>
    <m/>
    <m/>
    <m/>
    <m/>
    <n v="165"/>
    <n v="0"/>
    <n v="44283.203288159901"/>
  </r>
  <r>
    <x v="205"/>
    <x v="4"/>
    <x v="121"/>
    <x v="0"/>
    <x v="1"/>
    <x v="2237"/>
    <x v="25"/>
    <s v="NAKİT"/>
    <n v="0.1"/>
    <n v="1250"/>
    <n v="0"/>
    <n v="0"/>
    <m/>
    <m/>
    <m/>
    <m/>
    <n v="125"/>
    <n v="0"/>
    <n v="44408.203288159901"/>
  </r>
  <r>
    <x v="205"/>
    <x v="4"/>
    <x v="101"/>
    <x v="0"/>
    <x v="1"/>
    <x v="2237"/>
    <x v="25"/>
    <s v="NAKİT"/>
    <n v="0.22800000000000001"/>
    <n v="220"/>
    <n v="0"/>
    <n v="0"/>
    <m/>
    <m/>
    <m/>
    <m/>
    <n v="50.160000000000004"/>
    <n v="0"/>
    <n v="44458.363288159904"/>
  </r>
  <r>
    <x v="205"/>
    <x v="4"/>
    <x v="356"/>
    <x v="0"/>
    <x v="1"/>
    <x v="2237"/>
    <x v="25"/>
    <s v="NAKİT"/>
    <n v="2"/>
    <n v="20"/>
    <n v="0"/>
    <n v="0"/>
    <m/>
    <m/>
    <m/>
    <m/>
    <n v="40"/>
    <n v="0"/>
    <n v="44498.363288159904"/>
  </r>
  <r>
    <x v="205"/>
    <x v="4"/>
    <x v="238"/>
    <x v="0"/>
    <x v="1"/>
    <x v="2237"/>
    <x v="25"/>
    <s v="NAKİT"/>
    <n v="0.60799999999999998"/>
    <n v="350"/>
    <n v="0"/>
    <n v="0"/>
    <m/>
    <m/>
    <m/>
    <m/>
    <n v="212.79999999999998"/>
    <n v="0"/>
    <n v="44711.163288159907"/>
  </r>
  <r>
    <x v="205"/>
    <x v="4"/>
    <x v="150"/>
    <x v="0"/>
    <x v="1"/>
    <x v="2237"/>
    <x v="25"/>
    <s v="NAKİT"/>
    <n v="1"/>
    <n v="250"/>
    <n v="0"/>
    <n v="0"/>
    <m/>
    <m/>
    <m/>
    <m/>
    <n v="250"/>
    <n v="0"/>
    <n v="44961.163288159907"/>
  </r>
  <r>
    <x v="205"/>
    <x v="4"/>
    <x v="70"/>
    <x v="0"/>
    <x v="1"/>
    <x v="2238"/>
    <x v="25"/>
    <s v="NAKİT"/>
    <n v="0.2608695652173913"/>
    <n v="230"/>
    <n v="0"/>
    <n v="0"/>
    <m/>
    <m/>
    <m/>
    <m/>
    <n v="60"/>
    <n v="0"/>
    <n v="45021.163288159907"/>
  </r>
  <r>
    <x v="205"/>
    <x v="4"/>
    <x v="130"/>
    <x v="0"/>
    <x v="1"/>
    <x v="2238"/>
    <x v="25"/>
    <s v="NAKİT"/>
    <n v="0.22"/>
    <n v="230"/>
    <n v="0"/>
    <n v="0"/>
    <m/>
    <m/>
    <m/>
    <m/>
    <n v="50.6"/>
    <n v="0"/>
    <n v="45071.763288159906"/>
  </r>
  <r>
    <x v="205"/>
    <x v="4"/>
    <x v="240"/>
    <x v="0"/>
    <x v="1"/>
    <x v="2238"/>
    <x v="25"/>
    <s v="NAKİT"/>
    <n v="0.3"/>
    <n v="250"/>
    <n v="0"/>
    <n v="0"/>
    <m/>
    <m/>
    <m/>
    <m/>
    <n v="75"/>
    <n v="0"/>
    <n v="45146.763288159906"/>
  </r>
  <r>
    <x v="205"/>
    <x v="4"/>
    <x v="101"/>
    <x v="0"/>
    <x v="1"/>
    <x v="2238"/>
    <x v="25"/>
    <s v="NAKİT"/>
    <n v="0.22800000000000001"/>
    <n v="220"/>
    <n v="0"/>
    <n v="0"/>
    <m/>
    <m/>
    <m/>
    <m/>
    <n v="50.160000000000004"/>
    <n v="0"/>
    <n v="45196.923288159909"/>
  </r>
  <r>
    <x v="205"/>
    <x v="4"/>
    <x v="156"/>
    <x v="0"/>
    <x v="1"/>
    <x v="2238"/>
    <x v="25"/>
    <s v="NAKİT"/>
    <n v="0.5"/>
    <n v="80"/>
    <n v="0"/>
    <n v="0"/>
    <m/>
    <m/>
    <m/>
    <m/>
    <n v="40"/>
    <n v="0"/>
    <n v="45236.923288159909"/>
  </r>
  <r>
    <x v="205"/>
    <x v="4"/>
    <x v="316"/>
    <x v="0"/>
    <x v="1"/>
    <x v="2238"/>
    <x v="25"/>
    <s v="NAKİT"/>
    <n v="1"/>
    <n v="180"/>
    <n v="0"/>
    <n v="0"/>
    <m/>
    <m/>
    <m/>
    <m/>
    <n v="180"/>
    <n v="0"/>
    <n v="45416.923288159909"/>
  </r>
  <r>
    <x v="205"/>
    <x v="4"/>
    <x v="150"/>
    <x v="0"/>
    <x v="1"/>
    <x v="2238"/>
    <x v="25"/>
    <s v="NAKİT"/>
    <n v="1"/>
    <n v="250"/>
    <n v="0"/>
    <n v="0"/>
    <m/>
    <m/>
    <m/>
    <m/>
    <n v="250"/>
    <n v="0"/>
    <n v="45666.923288159909"/>
  </r>
  <r>
    <x v="205"/>
    <x v="4"/>
    <x v="448"/>
    <x v="0"/>
    <x v="1"/>
    <x v="2239"/>
    <x v="25"/>
    <s v="NAKİT"/>
    <n v="2"/>
    <n v="50"/>
    <n v="0"/>
    <n v="0"/>
    <m/>
    <m/>
    <m/>
    <m/>
    <n v="100"/>
    <n v="0"/>
    <n v="45766.923288159909"/>
  </r>
  <r>
    <x v="205"/>
    <x v="4"/>
    <x v="420"/>
    <x v="0"/>
    <x v="1"/>
    <x v="2239"/>
    <x v="25"/>
    <s v="NAKİT"/>
    <n v="5"/>
    <n v="5"/>
    <n v="0"/>
    <n v="0"/>
    <m/>
    <m/>
    <m/>
    <m/>
    <n v="25"/>
    <n v="0"/>
    <n v="45791.923288159909"/>
  </r>
  <r>
    <x v="205"/>
    <x v="4"/>
    <x v="298"/>
    <x v="0"/>
    <x v="1"/>
    <x v="2240"/>
    <x v="25"/>
    <s v="NAKİT"/>
    <n v="0.1"/>
    <n v="2000"/>
    <n v="0"/>
    <n v="0"/>
    <m/>
    <m/>
    <m/>
    <m/>
    <n v="200"/>
    <n v="0"/>
    <n v="45991.923288159909"/>
  </r>
  <r>
    <x v="205"/>
    <x v="4"/>
    <x v="298"/>
    <x v="0"/>
    <x v="5"/>
    <x v="2241"/>
    <x v="25"/>
    <s v="POS"/>
    <n v="0.1"/>
    <n v="2000"/>
    <n v="200"/>
    <n v="0"/>
    <m/>
    <m/>
    <m/>
    <m/>
    <n v="0"/>
    <n v="0"/>
    <n v="45991.923288159909"/>
  </r>
  <r>
    <x v="205"/>
    <x v="4"/>
    <x v="155"/>
    <x v="0"/>
    <x v="5"/>
    <x v="2241"/>
    <x v="25"/>
    <s v="POS"/>
    <n v="0.1"/>
    <n v="700"/>
    <n v="70"/>
    <n v="0"/>
    <m/>
    <m/>
    <m/>
    <m/>
    <n v="0"/>
    <n v="0"/>
    <n v="45991.923288159909"/>
  </r>
  <r>
    <x v="205"/>
    <x v="4"/>
    <x v="150"/>
    <x v="0"/>
    <x v="5"/>
    <x v="2241"/>
    <x v="25"/>
    <s v="POS"/>
    <n v="0.5"/>
    <n v="250"/>
    <n v="125"/>
    <n v="0"/>
    <m/>
    <m/>
    <m/>
    <m/>
    <n v="0"/>
    <n v="0"/>
    <n v="45991.923288159909"/>
  </r>
  <r>
    <x v="205"/>
    <x v="4"/>
    <x v="344"/>
    <x v="0"/>
    <x v="5"/>
    <x v="2241"/>
    <x v="25"/>
    <s v="POS"/>
    <n v="0.25"/>
    <n v="500"/>
    <n v="125"/>
    <n v="0"/>
    <m/>
    <m/>
    <m/>
    <m/>
    <n v="0"/>
    <n v="0"/>
    <n v="45991.923288159909"/>
  </r>
  <r>
    <x v="205"/>
    <x v="4"/>
    <x v="235"/>
    <x v="0"/>
    <x v="1"/>
    <x v="2242"/>
    <x v="25"/>
    <s v="NAKİT"/>
    <n v="1"/>
    <n v="220"/>
    <n v="0"/>
    <n v="0"/>
    <m/>
    <m/>
    <m/>
    <m/>
    <n v="220"/>
    <n v="0"/>
    <n v="46211.923288159909"/>
  </r>
  <r>
    <x v="205"/>
    <x v="4"/>
    <x v="18"/>
    <x v="0"/>
    <x v="1"/>
    <x v="2243"/>
    <x v="25"/>
    <s v="NAKİT"/>
    <n v="3"/>
    <n v="250"/>
    <n v="0"/>
    <n v="0"/>
    <m/>
    <m/>
    <m/>
    <m/>
    <n v="750"/>
    <n v="0"/>
    <n v="46961.923288159909"/>
  </r>
  <r>
    <x v="205"/>
    <x v="4"/>
    <x v="57"/>
    <x v="0"/>
    <x v="1"/>
    <x v="2243"/>
    <x v="25"/>
    <s v="NAKİT"/>
    <n v="1"/>
    <n v="150"/>
    <n v="0"/>
    <n v="0"/>
    <m/>
    <m/>
    <m/>
    <m/>
    <n v="150"/>
    <n v="0"/>
    <n v="47111.923288159909"/>
  </r>
  <r>
    <x v="205"/>
    <x v="4"/>
    <x v="33"/>
    <x v="0"/>
    <x v="1"/>
    <x v="2243"/>
    <x v="25"/>
    <s v="NAKİT"/>
    <n v="0.25"/>
    <n v="400"/>
    <n v="0"/>
    <n v="0"/>
    <m/>
    <m/>
    <m/>
    <m/>
    <n v="100"/>
    <n v="0"/>
    <n v="47211.923288159909"/>
  </r>
  <r>
    <x v="205"/>
    <x v="4"/>
    <x v="289"/>
    <x v="0"/>
    <x v="5"/>
    <x v="2244"/>
    <x v="25"/>
    <s v="POS"/>
    <n v="0.27777777777777779"/>
    <n v="400"/>
    <n v="111.11111111111111"/>
    <n v="0"/>
    <m/>
    <m/>
    <m/>
    <m/>
    <n v="0"/>
    <n v="0"/>
    <n v="47211.923288159909"/>
  </r>
  <r>
    <x v="205"/>
    <x v="4"/>
    <x v="120"/>
    <x v="0"/>
    <x v="5"/>
    <x v="2244"/>
    <x v="25"/>
    <s v="POS"/>
    <n v="0.23076923076923078"/>
    <n v="650"/>
    <n v="150"/>
    <n v="0"/>
    <m/>
    <m/>
    <m/>
    <m/>
    <n v="0"/>
    <n v="0"/>
    <n v="47211.923288159909"/>
  </r>
  <r>
    <x v="205"/>
    <x v="4"/>
    <x v="88"/>
    <x v="0"/>
    <x v="5"/>
    <x v="2245"/>
    <x v="25"/>
    <s v="POS"/>
    <n v="0.05"/>
    <n v="1200"/>
    <n v="60"/>
    <n v="0"/>
    <m/>
    <m/>
    <m/>
    <m/>
    <n v="0"/>
    <n v="0"/>
    <n v="47211.923288159909"/>
  </r>
  <r>
    <x v="205"/>
    <x v="4"/>
    <x v="240"/>
    <x v="0"/>
    <x v="5"/>
    <x v="2245"/>
    <x v="25"/>
    <s v="POS"/>
    <n v="0.28260869565217389"/>
    <n v="250"/>
    <n v="70.65217391304347"/>
    <n v="0"/>
    <m/>
    <m/>
    <m/>
    <m/>
    <n v="0"/>
    <n v="0"/>
    <n v="47211.923288159909"/>
  </r>
  <r>
    <x v="205"/>
    <x v="4"/>
    <x v="113"/>
    <x v="0"/>
    <x v="5"/>
    <x v="2245"/>
    <x v="25"/>
    <s v="POS"/>
    <n v="0.1"/>
    <n v="1350"/>
    <n v="135"/>
    <n v="0"/>
    <m/>
    <m/>
    <m/>
    <m/>
    <n v="0"/>
    <n v="0"/>
    <n v="47211.923288159909"/>
  </r>
  <r>
    <x v="205"/>
    <x v="4"/>
    <x v="58"/>
    <x v="0"/>
    <x v="5"/>
    <x v="2246"/>
    <x v="25"/>
    <s v="POS"/>
    <n v="1"/>
    <n v="250"/>
    <n v="250"/>
    <n v="0"/>
    <m/>
    <m/>
    <m/>
    <m/>
    <n v="0"/>
    <n v="0"/>
    <n v="47211.923288159909"/>
  </r>
  <r>
    <x v="205"/>
    <x v="4"/>
    <x v="83"/>
    <x v="0"/>
    <x v="5"/>
    <x v="2247"/>
    <x v="25"/>
    <s v="POS"/>
    <n v="0.05"/>
    <n v="2600"/>
    <n v="130"/>
    <n v="0"/>
    <m/>
    <m/>
    <m/>
    <m/>
    <n v="0"/>
    <n v="0"/>
    <n v="47211.923288159909"/>
  </r>
  <r>
    <x v="205"/>
    <x v="4"/>
    <x v="253"/>
    <x v="0"/>
    <x v="5"/>
    <x v="2248"/>
    <x v="25"/>
    <s v="POS"/>
    <n v="1"/>
    <n v="110"/>
    <n v="110"/>
    <n v="0"/>
    <m/>
    <m/>
    <m/>
    <m/>
    <n v="0"/>
    <n v="0"/>
    <n v="47211.923288159909"/>
  </r>
  <r>
    <x v="205"/>
    <x v="4"/>
    <x v="269"/>
    <x v="0"/>
    <x v="5"/>
    <x v="2248"/>
    <x v="25"/>
    <s v="POS"/>
    <n v="1"/>
    <n v="110"/>
    <n v="110"/>
    <n v="0"/>
    <m/>
    <m/>
    <m/>
    <m/>
    <n v="0"/>
    <n v="0"/>
    <n v="47211.923288159909"/>
  </r>
  <r>
    <x v="205"/>
    <x v="4"/>
    <x v="298"/>
    <x v="0"/>
    <x v="5"/>
    <x v="2248"/>
    <x v="25"/>
    <s v="POS"/>
    <n v="0.1"/>
    <n v="2000"/>
    <n v="200"/>
    <n v="0"/>
    <m/>
    <m/>
    <m/>
    <m/>
    <n v="0"/>
    <n v="0"/>
    <n v="47211.923288159909"/>
  </r>
  <r>
    <x v="205"/>
    <x v="4"/>
    <x v="18"/>
    <x v="0"/>
    <x v="5"/>
    <x v="2249"/>
    <x v="25"/>
    <s v="POS"/>
    <n v="1"/>
    <n v="250"/>
    <n v="250"/>
    <n v="0"/>
    <m/>
    <m/>
    <m/>
    <m/>
    <n v="0"/>
    <n v="0"/>
    <n v="47211.923288159909"/>
  </r>
  <r>
    <x v="205"/>
    <x v="4"/>
    <x v="238"/>
    <x v="0"/>
    <x v="1"/>
    <x v="2250"/>
    <x v="25"/>
    <s v="NAKİT"/>
    <n v="0.44857142857142857"/>
    <n v="350"/>
    <n v="0"/>
    <n v="0"/>
    <m/>
    <m/>
    <m/>
    <m/>
    <n v="157"/>
    <n v="0"/>
    <n v="47368.923288159909"/>
  </r>
  <r>
    <x v="205"/>
    <x v="4"/>
    <x v="32"/>
    <x v="0"/>
    <x v="1"/>
    <x v="2251"/>
    <x v="25"/>
    <s v="NAKİT"/>
    <n v="8.7499999999999994E-2"/>
    <n v="400"/>
    <n v="0"/>
    <n v="0"/>
    <m/>
    <m/>
    <m/>
    <m/>
    <n v="35"/>
    <n v="0"/>
    <n v="47403.923288159909"/>
  </r>
  <r>
    <x v="205"/>
    <x v="4"/>
    <x v="161"/>
    <x v="0"/>
    <x v="1"/>
    <x v="2251"/>
    <x v="25"/>
    <s v="NAKİT"/>
    <n v="8.7499999999999994E-2"/>
    <n v="400"/>
    <n v="0"/>
    <n v="0"/>
    <m/>
    <m/>
    <m/>
    <m/>
    <n v="35"/>
    <n v="0"/>
    <n v="47438.923288159909"/>
  </r>
  <r>
    <x v="205"/>
    <x v="4"/>
    <x v="168"/>
    <x v="0"/>
    <x v="1"/>
    <x v="2251"/>
    <x v="25"/>
    <s v="NAKİT"/>
    <n v="1"/>
    <n v="50"/>
    <n v="0"/>
    <n v="0"/>
    <m/>
    <m/>
    <m/>
    <m/>
    <n v="50"/>
    <n v="0"/>
    <n v="47488.923288159909"/>
  </r>
  <r>
    <x v="205"/>
    <x v="4"/>
    <x v="24"/>
    <x v="0"/>
    <x v="1"/>
    <x v="2252"/>
    <x v="25"/>
    <s v="NAKİT"/>
    <n v="9.0769230769230769E-2"/>
    <n v="650"/>
    <n v="0"/>
    <n v="0"/>
    <m/>
    <m/>
    <m/>
    <m/>
    <n v="59"/>
    <n v="0"/>
    <n v="47547.923288159909"/>
  </r>
  <r>
    <x v="205"/>
    <x v="4"/>
    <x v="57"/>
    <x v="0"/>
    <x v="1"/>
    <x v="2252"/>
    <x v="25"/>
    <s v="NAKİT"/>
    <n v="1.0466666666666666"/>
    <n v="150"/>
    <n v="0"/>
    <n v="0"/>
    <m/>
    <m/>
    <m/>
    <m/>
    <n v="157"/>
    <n v="0"/>
    <n v="47704.923288159909"/>
  </r>
  <r>
    <x v="205"/>
    <x v="4"/>
    <x v="383"/>
    <x v="0"/>
    <x v="1"/>
    <x v="2252"/>
    <x v="25"/>
    <s v="NAKİT"/>
    <n v="0.1"/>
    <n v="400"/>
    <n v="0"/>
    <n v="0"/>
    <m/>
    <m/>
    <m/>
    <m/>
    <n v="40"/>
    <n v="0"/>
    <n v="47744.923288159909"/>
  </r>
  <r>
    <x v="205"/>
    <x v="4"/>
    <x v="89"/>
    <x v="0"/>
    <x v="5"/>
    <x v="2253"/>
    <x v="25"/>
    <s v="POS"/>
    <n v="0.1"/>
    <n v="900"/>
    <n v="90"/>
    <n v="0"/>
    <m/>
    <m/>
    <m/>
    <m/>
    <n v="0"/>
    <n v="0"/>
    <n v="47744.923288159909"/>
  </r>
  <r>
    <x v="205"/>
    <x v="4"/>
    <x v="24"/>
    <x v="0"/>
    <x v="1"/>
    <x v="2254"/>
    <x v="25"/>
    <s v="NAKİT"/>
    <n v="0.16307692307692306"/>
    <n v="500"/>
    <n v="0"/>
    <n v="0"/>
    <m/>
    <m/>
    <m/>
    <m/>
    <n v="81.538461538461533"/>
    <n v="0"/>
    <n v="47826.46174969837"/>
  </r>
  <r>
    <x v="205"/>
    <x v="4"/>
    <x v="240"/>
    <x v="0"/>
    <x v="1"/>
    <x v="2254"/>
    <x v="25"/>
    <s v="NAKİT"/>
    <n v="0.1"/>
    <n v="250"/>
    <n v="0"/>
    <n v="0"/>
    <m/>
    <m/>
    <m/>
    <m/>
    <n v="25"/>
    <n v="0"/>
    <n v="47851.46174969837"/>
  </r>
  <r>
    <x v="205"/>
    <x v="4"/>
    <x v="152"/>
    <x v="0"/>
    <x v="5"/>
    <x v="2255"/>
    <x v="25"/>
    <s v="POS"/>
    <n v="1"/>
    <n v="80"/>
    <n v="80"/>
    <n v="0"/>
    <m/>
    <m/>
    <m/>
    <m/>
    <n v="0"/>
    <n v="0"/>
    <n v="47851.46174969837"/>
  </r>
  <r>
    <x v="205"/>
    <x v="4"/>
    <x v="50"/>
    <x v="0"/>
    <x v="5"/>
    <x v="2256"/>
    <x v="25"/>
    <s v="POS"/>
    <n v="0.08"/>
    <n v="750"/>
    <n v="60"/>
    <n v="0"/>
    <m/>
    <m/>
    <m/>
    <m/>
    <n v="0"/>
    <n v="0"/>
    <n v="47851.46174969837"/>
  </r>
  <r>
    <x v="205"/>
    <x v="4"/>
    <x v="57"/>
    <x v="0"/>
    <x v="5"/>
    <x v="2257"/>
    <x v="25"/>
    <s v="POS"/>
    <n v="1"/>
    <n v="150"/>
    <n v="150"/>
    <n v="0"/>
    <m/>
    <m/>
    <m/>
    <m/>
    <n v="0"/>
    <n v="0"/>
    <n v="47851.46174969837"/>
  </r>
  <r>
    <x v="206"/>
    <x v="4"/>
    <x v="141"/>
    <x v="0"/>
    <x v="5"/>
    <x v="2258"/>
    <x v="25"/>
    <s v="POS"/>
    <n v="1"/>
    <n v="130"/>
    <n v="130"/>
    <n v="0"/>
    <m/>
    <m/>
    <m/>
    <m/>
    <n v="0"/>
    <n v="0"/>
    <n v="47851.46174969837"/>
  </r>
  <r>
    <x v="206"/>
    <x v="4"/>
    <x v="276"/>
    <x v="0"/>
    <x v="5"/>
    <x v="2258"/>
    <x v="25"/>
    <s v="POS"/>
    <n v="0.1"/>
    <n v="900"/>
    <n v="90"/>
    <n v="0"/>
    <m/>
    <m/>
    <m/>
    <m/>
    <n v="0"/>
    <n v="0"/>
    <n v="47851.46174969837"/>
  </r>
  <r>
    <x v="206"/>
    <x v="4"/>
    <x v="36"/>
    <x v="0"/>
    <x v="1"/>
    <x v="2259"/>
    <x v="25"/>
    <s v="NAKİT"/>
    <n v="0.27800000000000002"/>
    <n v="180"/>
    <n v="0"/>
    <n v="0"/>
    <m/>
    <m/>
    <m/>
    <m/>
    <n v="50.040000000000006"/>
    <n v="0"/>
    <n v="47901.501749698371"/>
  </r>
  <r>
    <x v="206"/>
    <x v="4"/>
    <x v="31"/>
    <x v="0"/>
    <x v="5"/>
    <x v="2260"/>
    <x v="25"/>
    <s v="POS"/>
    <n v="0.14000000000000001"/>
    <n v="400"/>
    <n v="56.000000000000007"/>
    <n v="0"/>
    <m/>
    <m/>
    <m/>
    <m/>
    <n v="0"/>
    <n v="0"/>
    <n v="47901.501749698371"/>
  </r>
  <r>
    <x v="206"/>
    <x v="4"/>
    <x v="33"/>
    <x v="0"/>
    <x v="5"/>
    <x v="2261"/>
    <x v="187"/>
    <s v="POS"/>
    <n v="1"/>
    <n v="250"/>
    <n v="250"/>
    <n v="0"/>
    <m/>
    <m/>
    <m/>
    <m/>
    <n v="0"/>
    <n v="0"/>
    <n v="47901.501749698371"/>
  </r>
  <r>
    <x v="206"/>
    <x v="4"/>
    <x v="161"/>
    <x v="0"/>
    <x v="5"/>
    <x v="2261"/>
    <x v="187"/>
    <s v="POS"/>
    <n v="2"/>
    <n v="265"/>
    <n v="530"/>
    <n v="0"/>
    <m/>
    <m/>
    <m/>
    <m/>
    <n v="0"/>
    <n v="0"/>
    <n v="47901.501749698371"/>
  </r>
  <r>
    <x v="206"/>
    <x v="4"/>
    <x v="57"/>
    <x v="0"/>
    <x v="5"/>
    <x v="2262"/>
    <x v="25"/>
    <s v="POS"/>
    <n v="1"/>
    <n v="150"/>
    <n v="150"/>
    <n v="0"/>
    <m/>
    <m/>
    <m/>
    <m/>
    <n v="0"/>
    <n v="0"/>
    <n v="47901.501749698371"/>
  </r>
  <r>
    <x v="206"/>
    <x v="4"/>
    <x v="394"/>
    <x v="0"/>
    <x v="5"/>
    <x v="2263"/>
    <x v="25"/>
    <s v="POS"/>
    <n v="0.5"/>
    <n v="400"/>
    <n v="200"/>
    <n v="0"/>
    <m/>
    <m/>
    <m/>
    <m/>
    <n v="0"/>
    <n v="0"/>
    <n v="47901.501749698371"/>
  </r>
  <r>
    <x v="206"/>
    <x v="4"/>
    <x v="168"/>
    <x v="0"/>
    <x v="5"/>
    <x v="2264"/>
    <x v="25"/>
    <s v="POS"/>
    <n v="1"/>
    <n v="50"/>
    <n v="50"/>
    <n v="0"/>
    <m/>
    <m/>
    <m/>
    <m/>
    <n v="0"/>
    <n v="0"/>
    <n v="47901.501749698371"/>
  </r>
  <r>
    <x v="206"/>
    <x v="4"/>
    <x v="165"/>
    <x v="0"/>
    <x v="5"/>
    <x v="2264"/>
    <x v="25"/>
    <s v="POS"/>
    <n v="1"/>
    <n v="50"/>
    <n v="50"/>
    <n v="0"/>
    <m/>
    <m/>
    <m/>
    <m/>
    <n v="0"/>
    <n v="0"/>
    <n v="47901.501749698371"/>
  </r>
  <r>
    <x v="206"/>
    <x v="4"/>
    <x v="293"/>
    <x v="0"/>
    <x v="1"/>
    <x v="2265"/>
    <x v="25"/>
    <s v="NAKİT"/>
    <n v="1"/>
    <n v="350"/>
    <n v="0"/>
    <n v="0"/>
    <m/>
    <m/>
    <m/>
    <m/>
    <n v="350"/>
    <n v="0"/>
    <n v="48251.501749698371"/>
  </r>
  <r>
    <x v="206"/>
    <x v="4"/>
    <x v="170"/>
    <x v="0"/>
    <x v="1"/>
    <x v="2265"/>
    <x v="25"/>
    <s v="NAKİT"/>
    <n v="1"/>
    <n v="250"/>
    <n v="0"/>
    <n v="0"/>
    <m/>
    <m/>
    <m/>
    <m/>
    <n v="250"/>
    <n v="0"/>
    <n v="48501.501749698371"/>
  </r>
  <r>
    <x v="206"/>
    <x v="4"/>
    <x v="8"/>
    <x v="0"/>
    <x v="1"/>
    <x v="2265"/>
    <x v="25"/>
    <s v="NAKİT"/>
    <n v="1"/>
    <n v="90"/>
    <n v="0"/>
    <n v="0"/>
    <m/>
    <m/>
    <m/>
    <m/>
    <n v="90"/>
    <n v="0"/>
    <n v="48591.501749698371"/>
  </r>
  <r>
    <x v="207"/>
    <x v="4"/>
    <x v="63"/>
    <x v="0"/>
    <x v="1"/>
    <x v="2266"/>
    <x v="25"/>
    <s v="NAKİT"/>
    <n v="0.1"/>
    <n v="720"/>
    <n v="0"/>
    <n v="0"/>
    <m/>
    <m/>
    <m/>
    <m/>
    <n v="72"/>
    <n v="0"/>
    <n v="48663.501749698371"/>
  </r>
  <r>
    <x v="207"/>
    <x v="4"/>
    <x v="24"/>
    <x v="0"/>
    <x v="1"/>
    <x v="2266"/>
    <x v="25"/>
    <s v="NAKİT"/>
    <n v="0.13538461538461538"/>
    <n v="650"/>
    <n v="0"/>
    <n v="0"/>
    <m/>
    <m/>
    <m/>
    <m/>
    <n v="88"/>
    <n v="0"/>
    <n v="48751.501749698371"/>
  </r>
  <r>
    <x v="207"/>
    <x v="4"/>
    <x v="454"/>
    <x v="0"/>
    <x v="1"/>
    <x v="2266"/>
    <x v="25"/>
    <s v="NAKİT"/>
    <n v="1"/>
    <n v="200"/>
    <n v="0"/>
    <n v="0"/>
    <m/>
    <m/>
    <m/>
    <m/>
    <n v="200"/>
    <n v="0"/>
    <n v="48951.501749698371"/>
  </r>
  <r>
    <x v="207"/>
    <x v="4"/>
    <x v="313"/>
    <x v="0"/>
    <x v="1"/>
    <x v="2266"/>
    <x v="25"/>
    <s v="NAKİT"/>
    <n v="1"/>
    <n v="150"/>
    <n v="0"/>
    <n v="0"/>
    <m/>
    <m/>
    <m/>
    <m/>
    <n v="150"/>
    <n v="0"/>
    <n v="49101.501749698371"/>
  </r>
  <r>
    <x v="207"/>
    <x v="4"/>
    <x v="27"/>
    <x v="0"/>
    <x v="5"/>
    <x v="2267"/>
    <x v="25"/>
    <s v="POS"/>
    <n v="7.4999999999999997E-2"/>
    <n v="400"/>
    <n v="30"/>
    <n v="0"/>
    <m/>
    <m/>
    <m/>
    <m/>
    <n v="0"/>
    <n v="0"/>
    <n v="49101.501749698371"/>
  </r>
  <r>
    <x v="207"/>
    <x v="4"/>
    <x v="59"/>
    <x v="0"/>
    <x v="5"/>
    <x v="2267"/>
    <x v="25"/>
    <s v="POS"/>
    <n v="0.16222222222222221"/>
    <n v="450"/>
    <n v="73"/>
    <n v="0"/>
    <m/>
    <m/>
    <m/>
    <m/>
    <n v="0"/>
    <n v="0"/>
    <n v="49101.501749698371"/>
  </r>
  <r>
    <x v="207"/>
    <x v="4"/>
    <x v="56"/>
    <x v="0"/>
    <x v="5"/>
    <x v="2267"/>
    <x v="25"/>
    <s v="POS"/>
    <n v="0.5"/>
    <n v="200"/>
    <n v="100"/>
    <n v="0"/>
    <m/>
    <m/>
    <m/>
    <m/>
    <n v="0"/>
    <n v="0"/>
    <n v="49101.501749698371"/>
  </r>
  <r>
    <x v="207"/>
    <x v="4"/>
    <x v="19"/>
    <x v="0"/>
    <x v="5"/>
    <x v="2267"/>
    <x v="25"/>
    <s v="POS"/>
    <n v="0.5"/>
    <n v="250"/>
    <n v="125"/>
    <n v="0"/>
    <m/>
    <m/>
    <m/>
    <m/>
    <n v="0"/>
    <n v="0"/>
    <n v="49101.501749698371"/>
  </r>
  <r>
    <x v="207"/>
    <x v="4"/>
    <x v="58"/>
    <x v="0"/>
    <x v="5"/>
    <x v="2267"/>
    <x v="25"/>
    <s v="POS"/>
    <n v="0.5"/>
    <n v="250"/>
    <n v="125"/>
    <n v="0"/>
    <m/>
    <m/>
    <m/>
    <m/>
    <n v="0"/>
    <n v="0"/>
    <n v="49101.501749698371"/>
  </r>
  <r>
    <x v="207"/>
    <x v="4"/>
    <x v="199"/>
    <x v="0"/>
    <x v="11"/>
    <x v="2268"/>
    <x v="189"/>
    <s v="CARİ"/>
    <n v="19.350000000000001"/>
    <n v="105"/>
    <n v="2031.7500000000002"/>
    <n v="0"/>
    <m/>
    <m/>
    <m/>
    <m/>
    <n v="0"/>
    <n v="0"/>
    <n v="49101.501749698371"/>
  </r>
  <r>
    <x v="207"/>
    <x v="4"/>
    <x v="198"/>
    <x v="0"/>
    <x v="11"/>
    <x v="2268"/>
    <x v="189"/>
    <s v="CARİ"/>
    <n v="19.350000000000001"/>
    <n v="130"/>
    <n v="2515.5"/>
    <n v="0"/>
    <m/>
    <m/>
    <m/>
    <m/>
    <n v="0"/>
    <n v="0"/>
    <n v="49101.501749698371"/>
  </r>
  <r>
    <x v="207"/>
    <x v="4"/>
    <x v="205"/>
    <x v="0"/>
    <x v="11"/>
    <x v="2268"/>
    <x v="189"/>
    <s v="CARİ"/>
    <n v="5"/>
    <n v="65"/>
    <n v="325"/>
    <n v="0"/>
    <m/>
    <m/>
    <m/>
    <m/>
    <n v="0"/>
    <n v="0"/>
    <n v="49101.501749698371"/>
  </r>
  <r>
    <x v="207"/>
    <x v="4"/>
    <x v="161"/>
    <x v="0"/>
    <x v="11"/>
    <x v="2268"/>
    <x v="189"/>
    <s v="CARİ"/>
    <n v="0.21"/>
    <n v="265"/>
    <n v="55.65"/>
    <n v="0"/>
    <m/>
    <m/>
    <m/>
    <m/>
    <n v="0"/>
    <n v="0"/>
    <n v="49101.501749698371"/>
  </r>
  <r>
    <x v="207"/>
    <x v="4"/>
    <x v="298"/>
    <x v="0"/>
    <x v="5"/>
    <x v="2269"/>
    <x v="25"/>
    <s v="POS"/>
    <n v="0.1"/>
    <n v="2000"/>
    <n v="200"/>
    <n v="0"/>
    <m/>
    <m/>
    <m/>
    <m/>
    <n v="0"/>
    <n v="0"/>
    <n v="49101.501749698371"/>
  </r>
  <r>
    <x v="207"/>
    <x v="4"/>
    <x v="89"/>
    <x v="0"/>
    <x v="5"/>
    <x v="2269"/>
    <x v="25"/>
    <s v="POS"/>
    <n v="0.1"/>
    <n v="900"/>
    <n v="90"/>
    <n v="0"/>
    <m/>
    <m/>
    <m/>
    <m/>
    <n v="0"/>
    <n v="0"/>
    <n v="49101.501749698371"/>
  </r>
  <r>
    <x v="207"/>
    <x v="4"/>
    <x v="317"/>
    <x v="0"/>
    <x v="5"/>
    <x v="2269"/>
    <x v="25"/>
    <s v="POS"/>
    <n v="1"/>
    <n v="220"/>
    <n v="220"/>
    <n v="0"/>
    <m/>
    <m/>
    <m/>
    <m/>
    <n v="0"/>
    <n v="0"/>
    <n v="49101.501749698371"/>
  </r>
  <r>
    <x v="207"/>
    <x v="4"/>
    <x v="298"/>
    <x v="0"/>
    <x v="5"/>
    <x v="2269"/>
    <x v="25"/>
    <s v="POS"/>
    <n v="0.1"/>
    <n v="2000"/>
    <n v="200"/>
    <n v="0"/>
    <m/>
    <m/>
    <m/>
    <m/>
    <n v="0"/>
    <n v="0"/>
    <n v="49101.501749698371"/>
  </r>
  <r>
    <x v="207"/>
    <x v="4"/>
    <x v="413"/>
    <x v="0"/>
    <x v="5"/>
    <x v="2269"/>
    <x v="25"/>
    <s v="POS"/>
    <n v="1"/>
    <n v="200"/>
    <n v="200"/>
    <n v="0"/>
    <m/>
    <m/>
    <m/>
    <m/>
    <n v="0"/>
    <n v="0"/>
    <n v="49101.501749698371"/>
  </r>
  <r>
    <x v="207"/>
    <x v="4"/>
    <x v="112"/>
    <x v="0"/>
    <x v="5"/>
    <x v="2269"/>
    <x v="25"/>
    <s v="POS"/>
    <n v="0.05"/>
    <n v="1800"/>
    <n v="90"/>
    <n v="0"/>
    <m/>
    <m/>
    <m/>
    <m/>
    <n v="0"/>
    <n v="0"/>
    <n v="49101.501749698371"/>
  </r>
  <r>
    <x v="207"/>
    <x v="4"/>
    <x v="67"/>
    <x v="0"/>
    <x v="5"/>
    <x v="2269"/>
    <x v="25"/>
    <s v="POS"/>
    <n v="0.1"/>
    <n v="900"/>
    <n v="90"/>
    <n v="0"/>
    <m/>
    <m/>
    <m/>
    <m/>
    <n v="0"/>
    <n v="0"/>
    <n v="49101.501749698371"/>
  </r>
  <r>
    <x v="207"/>
    <x v="4"/>
    <x v="153"/>
    <x v="0"/>
    <x v="5"/>
    <x v="2269"/>
    <x v="25"/>
    <s v="POS"/>
    <n v="1"/>
    <n v="80"/>
    <n v="80"/>
    <n v="0"/>
    <m/>
    <m/>
    <m/>
    <m/>
    <n v="0"/>
    <n v="0"/>
    <n v="49101.501749698371"/>
  </r>
  <r>
    <x v="207"/>
    <x v="4"/>
    <x v="89"/>
    <x v="0"/>
    <x v="5"/>
    <x v="2269"/>
    <x v="25"/>
    <s v="POS"/>
    <n v="0.2"/>
    <n v="900"/>
    <n v="180"/>
    <n v="0"/>
    <m/>
    <m/>
    <m/>
    <m/>
    <n v="0"/>
    <n v="0"/>
    <n v="49101.501749698371"/>
  </r>
  <r>
    <x v="207"/>
    <x v="4"/>
    <x v="281"/>
    <x v="0"/>
    <x v="5"/>
    <x v="2270"/>
    <x v="25"/>
    <s v="POS"/>
    <n v="1"/>
    <n v="170"/>
    <n v="170"/>
    <n v="0"/>
    <m/>
    <m/>
    <m/>
    <m/>
    <n v="0"/>
    <n v="0"/>
    <n v="49101.501749698371"/>
  </r>
  <r>
    <x v="207"/>
    <x v="4"/>
    <x v="56"/>
    <x v="0"/>
    <x v="5"/>
    <x v="2270"/>
    <x v="25"/>
    <s v="POS"/>
    <n v="0.5"/>
    <n v="200"/>
    <n v="100"/>
    <n v="0"/>
    <m/>
    <m/>
    <m/>
    <m/>
    <n v="0"/>
    <n v="0"/>
    <n v="49101.501749698371"/>
  </r>
  <r>
    <x v="207"/>
    <x v="4"/>
    <x v="57"/>
    <x v="0"/>
    <x v="5"/>
    <x v="2270"/>
    <x v="25"/>
    <s v="POS"/>
    <n v="0.5"/>
    <n v="150"/>
    <n v="75"/>
    <n v="0"/>
    <m/>
    <m/>
    <m/>
    <m/>
    <n v="0"/>
    <n v="0"/>
    <n v="49101.501749698371"/>
  </r>
  <r>
    <x v="207"/>
    <x v="4"/>
    <x v="26"/>
    <x v="0"/>
    <x v="5"/>
    <x v="2270"/>
    <x v="25"/>
    <s v="POS"/>
    <n v="0.17799999999999999"/>
    <n v="450"/>
    <n v="80.099999999999994"/>
    <n v="0"/>
    <m/>
    <m/>
    <m/>
    <m/>
    <n v="0"/>
    <n v="0"/>
    <n v="49101.501749698371"/>
  </r>
  <r>
    <x v="207"/>
    <x v="4"/>
    <x v="27"/>
    <x v="0"/>
    <x v="5"/>
    <x v="2270"/>
    <x v="25"/>
    <s v="POS"/>
    <n v="7.2499999999999995E-2"/>
    <n v="400"/>
    <n v="28.999999999999996"/>
    <n v="0"/>
    <m/>
    <m/>
    <m/>
    <m/>
    <n v="0"/>
    <n v="0"/>
    <n v="49101.501749698371"/>
  </r>
  <r>
    <x v="207"/>
    <x v="4"/>
    <x v="24"/>
    <x v="0"/>
    <x v="5"/>
    <x v="2270"/>
    <x v="25"/>
    <s v="POS"/>
    <n v="0.11538461538461539"/>
    <n v="650"/>
    <n v="75"/>
    <n v="0"/>
    <m/>
    <m/>
    <m/>
    <m/>
    <n v="0"/>
    <n v="0"/>
    <n v="49101.501749698371"/>
  </r>
  <r>
    <x v="207"/>
    <x v="4"/>
    <x v="394"/>
    <x v="0"/>
    <x v="1"/>
    <x v="2271"/>
    <x v="25"/>
    <s v="NAKİT"/>
    <n v="0.5"/>
    <n v="400"/>
    <n v="0"/>
    <n v="0"/>
    <m/>
    <m/>
    <m/>
    <m/>
    <n v="200"/>
    <n v="0"/>
    <n v="49301.501749698371"/>
  </r>
  <r>
    <x v="207"/>
    <x v="4"/>
    <x v="18"/>
    <x v="0"/>
    <x v="1"/>
    <x v="2271"/>
    <x v="25"/>
    <s v="NAKİT"/>
    <n v="0.5"/>
    <n v="250"/>
    <n v="0"/>
    <n v="0"/>
    <m/>
    <m/>
    <m/>
    <m/>
    <n v="125"/>
    <n v="0"/>
    <n v="49426.501749698371"/>
  </r>
  <r>
    <x v="207"/>
    <x v="4"/>
    <x v="58"/>
    <x v="0"/>
    <x v="1"/>
    <x v="2271"/>
    <x v="25"/>
    <s v="NAKİT"/>
    <n v="1"/>
    <n v="250"/>
    <n v="0"/>
    <n v="0"/>
    <m/>
    <m/>
    <m/>
    <m/>
    <n v="250"/>
    <n v="0"/>
    <n v="49676.501749698371"/>
  </r>
  <r>
    <x v="207"/>
    <x v="4"/>
    <x v="312"/>
    <x v="0"/>
    <x v="1"/>
    <x v="2271"/>
    <x v="25"/>
    <s v="NAKİT"/>
    <n v="0.43142857142857144"/>
    <n v="350"/>
    <n v="0"/>
    <n v="0"/>
    <m/>
    <m/>
    <m/>
    <m/>
    <n v="151"/>
    <n v="0"/>
    <n v="49827.501749698371"/>
  </r>
  <r>
    <x v="207"/>
    <x v="4"/>
    <x v="26"/>
    <x v="0"/>
    <x v="1"/>
    <x v="2271"/>
    <x v="25"/>
    <s v="NAKİT"/>
    <n v="7.8E-2"/>
    <n v="450"/>
    <n v="0"/>
    <n v="0"/>
    <m/>
    <m/>
    <m/>
    <m/>
    <n v="35.1"/>
    <n v="0"/>
    <n v="49862.60174969837"/>
  </r>
  <r>
    <x v="207"/>
    <x v="4"/>
    <x v="27"/>
    <x v="0"/>
    <x v="1"/>
    <x v="2271"/>
    <x v="25"/>
    <s v="NAKİT"/>
    <n v="5.2499999999999998E-2"/>
    <n v="400"/>
    <n v="0"/>
    <n v="0"/>
    <m/>
    <m/>
    <m/>
    <m/>
    <n v="21"/>
    <n v="0"/>
    <n v="49883.60174969837"/>
  </r>
  <r>
    <x v="207"/>
    <x v="4"/>
    <x v="29"/>
    <x v="0"/>
    <x v="1"/>
    <x v="2271"/>
    <x v="25"/>
    <s v="NAKİT"/>
    <n v="3.1764705882352938E-2"/>
    <n v="850"/>
    <n v="0"/>
    <n v="0"/>
    <m/>
    <m/>
    <m/>
    <m/>
    <n v="26.999999999999996"/>
    <n v="0"/>
    <n v="49910.60174969837"/>
  </r>
  <r>
    <x v="207"/>
    <x v="4"/>
    <x v="161"/>
    <x v="0"/>
    <x v="1"/>
    <x v="2271"/>
    <x v="25"/>
    <s v="NAKİT"/>
    <n v="0.16750000000000001"/>
    <n v="400"/>
    <n v="0"/>
    <n v="0"/>
    <m/>
    <m/>
    <m/>
    <m/>
    <n v="67"/>
    <n v="0"/>
    <n v="49977.60174969837"/>
  </r>
  <r>
    <x v="207"/>
    <x v="4"/>
    <x v="8"/>
    <x v="0"/>
    <x v="1"/>
    <x v="2271"/>
    <x v="25"/>
    <s v="NAKİT"/>
    <n v="1"/>
    <n v="95"/>
    <n v="0"/>
    <n v="0"/>
    <m/>
    <m/>
    <m/>
    <m/>
    <n v="95"/>
    <n v="0"/>
    <n v="50072.60174969837"/>
  </r>
  <r>
    <x v="207"/>
    <x v="4"/>
    <x v="88"/>
    <x v="0"/>
    <x v="1"/>
    <x v="2271"/>
    <x v="25"/>
    <s v="NAKİT"/>
    <n v="0.05"/>
    <n v="1200"/>
    <n v="0"/>
    <n v="0"/>
    <m/>
    <m/>
    <m/>
    <m/>
    <n v="60"/>
    <n v="0"/>
    <n v="50132.60174969837"/>
  </r>
  <r>
    <x v="207"/>
    <x v="4"/>
    <x v="280"/>
    <x v="0"/>
    <x v="1"/>
    <x v="2271"/>
    <x v="25"/>
    <s v="NAKİT"/>
    <n v="0.5"/>
    <n v="60"/>
    <n v="0"/>
    <n v="0"/>
    <m/>
    <m/>
    <m/>
    <m/>
    <n v="30"/>
    <n v="0"/>
    <n v="50162.60174969837"/>
  </r>
  <r>
    <x v="207"/>
    <x v="4"/>
    <x v="385"/>
    <x v="0"/>
    <x v="1"/>
    <x v="2271"/>
    <x v="25"/>
    <s v="NAKİT"/>
    <n v="0.19038461538461537"/>
    <n v="520"/>
    <n v="0"/>
    <n v="0"/>
    <m/>
    <m/>
    <m/>
    <m/>
    <n v="99"/>
    <n v="0"/>
    <n v="50261.60174969837"/>
  </r>
  <r>
    <x v="207"/>
    <x v="4"/>
    <x v="26"/>
    <x v="0"/>
    <x v="1"/>
    <x v="2271"/>
    <x v="25"/>
    <s v="NAKİT"/>
    <n v="0.15"/>
    <n v="415"/>
    <n v="0"/>
    <n v="0"/>
    <m/>
    <m/>
    <m/>
    <m/>
    <n v="62.25"/>
    <n v="0"/>
    <n v="50323.85174969837"/>
  </r>
  <r>
    <x v="207"/>
    <x v="4"/>
    <x v="29"/>
    <x v="0"/>
    <x v="1"/>
    <x v="2271"/>
    <x v="25"/>
    <s v="NAKİT"/>
    <n v="0.16533333333333333"/>
    <n v="750"/>
    <n v="0"/>
    <n v="0"/>
    <m/>
    <m/>
    <m/>
    <m/>
    <n v="124"/>
    <n v="0"/>
    <n v="50447.85174969837"/>
  </r>
  <r>
    <x v="207"/>
    <x v="4"/>
    <x v="57"/>
    <x v="0"/>
    <x v="1"/>
    <x v="2272"/>
    <x v="25"/>
    <s v="NAKİT"/>
    <n v="1"/>
    <n v="150"/>
    <n v="0"/>
    <n v="0"/>
    <m/>
    <m/>
    <m/>
    <m/>
    <n v="150"/>
    <n v="0"/>
    <n v="50597.85174969837"/>
  </r>
  <r>
    <x v="207"/>
    <x v="4"/>
    <x v="18"/>
    <x v="0"/>
    <x v="1"/>
    <x v="2272"/>
    <x v="25"/>
    <s v="NAKİT"/>
    <n v="1"/>
    <n v="250"/>
    <n v="0"/>
    <n v="0"/>
    <m/>
    <m/>
    <m/>
    <m/>
    <n v="250"/>
    <n v="0"/>
    <n v="50847.85174969837"/>
  </r>
  <r>
    <x v="207"/>
    <x v="4"/>
    <x v="58"/>
    <x v="0"/>
    <x v="1"/>
    <x v="2272"/>
    <x v="25"/>
    <s v="NAKİT"/>
    <n v="1"/>
    <n v="250"/>
    <n v="0"/>
    <n v="0"/>
    <m/>
    <m/>
    <m/>
    <m/>
    <n v="250"/>
    <n v="0"/>
    <n v="51097.85174969837"/>
  </r>
  <r>
    <x v="207"/>
    <x v="4"/>
    <x v="27"/>
    <x v="0"/>
    <x v="1"/>
    <x v="2272"/>
    <x v="25"/>
    <s v="NAKİT"/>
    <n v="6.5000000000000002E-2"/>
    <n v="400"/>
    <n v="0"/>
    <n v="0"/>
    <m/>
    <m/>
    <m/>
    <m/>
    <n v="26"/>
    <n v="0"/>
    <n v="51123.85174969837"/>
  </r>
  <r>
    <x v="207"/>
    <x v="4"/>
    <x v="24"/>
    <x v="0"/>
    <x v="1"/>
    <x v="2272"/>
    <x v="25"/>
    <s v="NAKİT"/>
    <n v="9.3846153846153843E-2"/>
    <n v="650"/>
    <n v="0"/>
    <n v="0"/>
    <m/>
    <m/>
    <m/>
    <m/>
    <n v="61"/>
    <n v="0"/>
    <n v="51184.85174969837"/>
  </r>
  <r>
    <x v="207"/>
    <x v="4"/>
    <x v="29"/>
    <x v="0"/>
    <x v="1"/>
    <x v="2272"/>
    <x v="25"/>
    <s v="NAKİT"/>
    <n v="3.7647058823529408E-2"/>
    <n v="850"/>
    <n v="0"/>
    <n v="0"/>
    <m/>
    <m/>
    <m/>
    <m/>
    <n v="31.999999999999996"/>
    <n v="0"/>
    <n v="51216.85174969837"/>
  </r>
  <r>
    <x v="207"/>
    <x v="4"/>
    <x v="248"/>
    <x v="0"/>
    <x v="1"/>
    <x v="2272"/>
    <x v="25"/>
    <s v="NAKİT"/>
    <n v="0.62923076923076926"/>
    <n v="650"/>
    <n v="0"/>
    <n v="0"/>
    <m/>
    <m/>
    <m/>
    <m/>
    <n v="409"/>
    <n v="0"/>
    <n v="51625.85174969837"/>
  </r>
  <r>
    <x v="207"/>
    <x v="4"/>
    <x v="83"/>
    <x v="0"/>
    <x v="5"/>
    <x v="2273"/>
    <x v="25"/>
    <s v="POS"/>
    <n v="0.05"/>
    <n v="2000"/>
    <n v="100"/>
    <n v="0"/>
    <m/>
    <m/>
    <m/>
    <m/>
    <n v="0"/>
    <n v="0"/>
    <n v="51625.85174969837"/>
  </r>
  <r>
    <x v="207"/>
    <x v="4"/>
    <x v="306"/>
    <x v="0"/>
    <x v="5"/>
    <x v="2273"/>
    <x v="25"/>
    <s v="POS"/>
    <n v="0.1"/>
    <n v="900"/>
    <n v="90"/>
    <n v="0"/>
    <m/>
    <m/>
    <m/>
    <m/>
    <n v="0"/>
    <n v="0"/>
    <n v="51625.85174969837"/>
  </r>
  <r>
    <x v="207"/>
    <x v="4"/>
    <x v="449"/>
    <x v="0"/>
    <x v="1"/>
    <x v="2274"/>
    <x v="25"/>
    <s v="NAKİT"/>
    <n v="0.12307692307692308"/>
    <n v="650"/>
    <n v="0"/>
    <n v="0"/>
    <m/>
    <m/>
    <m/>
    <m/>
    <n v="80"/>
    <n v="0"/>
    <n v="51705.85174969837"/>
  </r>
  <r>
    <x v="207"/>
    <x v="4"/>
    <x v="344"/>
    <x v="0"/>
    <x v="1"/>
    <x v="2275"/>
    <x v="25"/>
    <s v="NAKİT"/>
    <n v="0.5"/>
    <n v="500"/>
    <n v="0"/>
    <n v="0"/>
    <m/>
    <m/>
    <m/>
    <m/>
    <n v="250"/>
    <n v="0"/>
    <n v="51955.85174969837"/>
  </r>
  <r>
    <x v="207"/>
    <x v="4"/>
    <x v="30"/>
    <x v="0"/>
    <x v="5"/>
    <x v="2276"/>
    <x v="25"/>
    <s v="POS"/>
    <n v="0.122"/>
    <n v="500"/>
    <n v="61"/>
    <n v="0"/>
    <m/>
    <m/>
    <m/>
    <m/>
    <n v="0"/>
    <n v="0"/>
    <n v="51955.85174969837"/>
  </r>
  <r>
    <x v="207"/>
    <x v="4"/>
    <x v="24"/>
    <x v="0"/>
    <x v="5"/>
    <x v="2276"/>
    <x v="25"/>
    <s v="POS"/>
    <n v="8.7692307692307694E-2"/>
    <n v="650"/>
    <n v="57"/>
    <n v="0"/>
    <m/>
    <m/>
    <m/>
    <m/>
    <n v="0"/>
    <n v="0"/>
    <n v="51955.85174969837"/>
  </r>
  <r>
    <x v="207"/>
    <x v="4"/>
    <x v="49"/>
    <x v="0"/>
    <x v="5"/>
    <x v="2276"/>
    <x v="25"/>
    <s v="POS"/>
    <n v="0.1"/>
    <n v="600"/>
    <n v="60"/>
    <n v="0"/>
    <m/>
    <m/>
    <m/>
    <m/>
    <n v="0"/>
    <n v="0"/>
    <n v="51955.85174969837"/>
  </r>
  <r>
    <x v="207"/>
    <x v="4"/>
    <x v="161"/>
    <x v="0"/>
    <x v="5"/>
    <x v="2276"/>
    <x v="25"/>
    <s v="POS"/>
    <n v="0.13250000000000001"/>
    <n v="400"/>
    <n v="53"/>
    <n v="0"/>
    <m/>
    <m/>
    <m/>
    <m/>
    <n v="0"/>
    <n v="0"/>
    <n v="51955.85174969837"/>
  </r>
  <r>
    <x v="207"/>
    <x v="11"/>
    <x v="0"/>
    <x v="0"/>
    <x v="11"/>
    <x v="2"/>
    <x v="231"/>
    <s v="CARİ"/>
    <n v="1"/>
    <n v="6895"/>
    <n v="0"/>
    <n v="6895"/>
    <m/>
    <m/>
    <m/>
    <m/>
    <n v="6895"/>
    <n v="0"/>
    <n v="58850.85174969837"/>
  </r>
  <r>
    <x v="207"/>
    <x v="1"/>
    <x v="0"/>
    <x v="2"/>
    <x v="1"/>
    <x v="2"/>
    <x v="232"/>
    <s v="NAKİT"/>
    <n v="1"/>
    <n v="22000"/>
    <n v="0"/>
    <n v="0"/>
    <m/>
    <m/>
    <m/>
    <m/>
    <n v="0"/>
    <n v="22000"/>
    <n v="36850.85174969837"/>
  </r>
  <r>
    <x v="208"/>
    <x v="3"/>
    <x v="152"/>
    <x v="0"/>
    <x v="4"/>
    <x v="2277"/>
    <x v="32"/>
    <s v="CARİ"/>
    <n v="5"/>
    <n v="30"/>
    <n v="0"/>
    <n v="150"/>
    <m/>
    <m/>
    <m/>
    <m/>
    <n v="0"/>
    <n v="0"/>
    <n v="36850.85174969837"/>
  </r>
  <r>
    <x v="208"/>
    <x v="3"/>
    <x v="153"/>
    <x v="0"/>
    <x v="4"/>
    <x v="2277"/>
    <x v="32"/>
    <s v="CARİ"/>
    <n v="5"/>
    <n v="25"/>
    <n v="0"/>
    <n v="125"/>
    <m/>
    <m/>
    <m/>
    <m/>
    <n v="0"/>
    <n v="0"/>
    <n v="36850.85174969837"/>
  </r>
  <r>
    <x v="208"/>
    <x v="3"/>
    <x v="140"/>
    <x v="0"/>
    <x v="4"/>
    <x v="2277"/>
    <x v="32"/>
    <s v="CARİ"/>
    <n v="5"/>
    <n v="95"/>
    <n v="0"/>
    <n v="475"/>
    <m/>
    <m/>
    <m/>
    <m/>
    <n v="0"/>
    <n v="0"/>
    <n v="36850.85174969837"/>
  </r>
  <r>
    <x v="208"/>
    <x v="3"/>
    <x v="113"/>
    <x v="0"/>
    <x v="4"/>
    <x v="2277"/>
    <x v="32"/>
    <s v="CARİ"/>
    <n v="1"/>
    <n v="375"/>
    <n v="0"/>
    <n v="375"/>
    <m/>
    <m/>
    <m/>
    <m/>
    <n v="0"/>
    <n v="0"/>
    <n v="36850.85174969837"/>
  </r>
  <r>
    <x v="208"/>
    <x v="4"/>
    <x v="384"/>
    <x v="0"/>
    <x v="5"/>
    <x v="2278"/>
    <x v="25"/>
    <s v="POS"/>
    <n v="1"/>
    <n v="300"/>
    <n v="300"/>
    <n v="0"/>
    <m/>
    <m/>
    <m/>
    <m/>
    <n v="0"/>
    <n v="0"/>
    <n v="36850.85174969837"/>
  </r>
  <r>
    <x v="208"/>
    <x v="4"/>
    <x v="57"/>
    <x v="0"/>
    <x v="1"/>
    <x v="2278"/>
    <x v="25"/>
    <s v="NAKİT"/>
    <n v="0.66666666666666663"/>
    <n v="150"/>
    <n v="0"/>
    <n v="0"/>
    <m/>
    <m/>
    <m/>
    <m/>
    <n v="100"/>
    <n v="0"/>
    <n v="36950.85174969837"/>
  </r>
  <r>
    <x v="208"/>
    <x v="4"/>
    <x v="56"/>
    <x v="0"/>
    <x v="5"/>
    <x v="2279"/>
    <x v="25"/>
    <s v="POS"/>
    <n v="1"/>
    <n v="200"/>
    <n v="200"/>
    <n v="0"/>
    <m/>
    <m/>
    <m/>
    <m/>
    <n v="0"/>
    <n v="0"/>
    <n v="36950.85174969837"/>
  </r>
  <r>
    <x v="208"/>
    <x v="4"/>
    <x v="57"/>
    <x v="0"/>
    <x v="5"/>
    <x v="2279"/>
    <x v="25"/>
    <s v="POS"/>
    <n v="1"/>
    <n v="150"/>
    <n v="150"/>
    <n v="0"/>
    <m/>
    <m/>
    <m/>
    <m/>
    <n v="0"/>
    <n v="0"/>
    <n v="36950.85174969837"/>
  </r>
  <r>
    <x v="208"/>
    <x v="4"/>
    <x v="385"/>
    <x v="0"/>
    <x v="5"/>
    <x v="2279"/>
    <x v="25"/>
    <s v="POS"/>
    <n v="0.1"/>
    <n v="520"/>
    <n v="52"/>
    <n v="0"/>
    <m/>
    <m/>
    <m/>
    <m/>
    <n v="0"/>
    <n v="0"/>
    <n v="36950.85174969837"/>
  </r>
  <r>
    <x v="208"/>
    <x v="4"/>
    <x v="81"/>
    <x v="0"/>
    <x v="5"/>
    <x v="2279"/>
    <x v="25"/>
    <s v="POS"/>
    <n v="0.5"/>
    <n v="140"/>
    <n v="70"/>
    <n v="0"/>
    <m/>
    <m/>
    <m/>
    <m/>
    <n v="0"/>
    <n v="0"/>
    <n v="36950.85174969837"/>
  </r>
  <r>
    <x v="208"/>
    <x v="4"/>
    <x v="33"/>
    <x v="0"/>
    <x v="5"/>
    <x v="2279"/>
    <x v="25"/>
    <s v="POS"/>
    <n v="0.24"/>
    <n v="400"/>
    <n v="96"/>
    <n v="0"/>
    <m/>
    <m/>
    <m/>
    <m/>
    <n v="0"/>
    <n v="0"/>
    <n v="36950.85174969837"/>
  </r>
  <r>
    <x v="208"/>
    <x v="4"/>
    <x v="18"/>
    <x v="0"/>
    <x v="5"/>
    <x v="2280"/>
    <x v="25"/>
    <s v="POS"/>
    <n v="1"/>
    <n v="250"/>
    <n v="250"/>
    <n v="0"/>
    <m/>
    <m/>
    <m/>
    <m/>
    <n v="0"/>
    <n v="0"/>
    <n v="36950.85174969837"/>
  </r>
  <r>
    <x v="208"/>
    <x v="4"/>
    <x v="58"/>
    <x v="0"/>
    <x v="5"/>
    <x v="2280"/>
    <x v="25"/>
    <s v="POS"/>
    <n v="1"/>
    <n v="250"/>
    <n v="250"/>
    <n v="0"/>
    <m/>
    <m/>
    <m/>
    <m/>
    <n v="0"/>
    <n v="0"/>
    <n v="36950.85174969837"/>
  </r>
  <r>
    <x v="208"/>
    <x v="4"/>
    <x v="33"/>
    <x v="0"/>
    <x v="5"/>
    <x v="2281"/>
    <x v="25"/>
    <s v="POS"/>
    <n v="0.40500000000000003"/>
    <n v="400"/>
    <n v="162"/>
    <n v="0"/>
    <m/>
    <m/>
    <m/>
    <m/>
    <n v="0"/>
    <n v="0"/>
    <n v="36950.85174969837"/>
  </r>
  <r>
    <x v="208"/>
    <x v="4"/>
    <x v="30"/>
    <x v="0"/>
    <x v="5"/>
    <x v="2281"/>
    <x v="25"/>
    <s v="POS"/>
    <n v="0.13600000000000001"/>
    <n v="500"/>
    <n v="68"/>
    <n v="0"/>
    <m/>
    <m/>
    <m/>
    <m/>
    <n v="0"/>
    <n v="0"/>
    <n v="36950.85174969837"/>
  </r>
  <r>
    <x v="208"/>
    <x v="4"/>
    <x v="360"/>
    <x v="0"/>
    <x v="5"/>
    <x v="2281"/>
    <x v="25"/>
    <s v="POS"/>
    <n v="0.25"/>
    <n v="700"/>
    <n v="175"/>
    <n v="0"/>
    <m/>
    <m/>
    <m/>
    <m/>
    <n v="0"/>
    <n v="0"/>
    <n v="36950.85174969837"/>
  </r>
  <r>
    <x v="208"/>
    <x v="4"/>
    <x v="385"/>
    <x v="0"/>
    <x v="5"/>
    <x v="2281"/>
    <x v="25"/>
    <s v="POS"/>
    <n v="0.20961538461538462"/>
    <n v="520"/>
    <n v="109"/>
    <n v="0"/>
    <m/>
    <m/>
    <m/>
    <m/>
    <n v="0"/>
    <n v="0"/>
    <n v="36950.85174969837"/>
  </r>
  <r>
    <x v="208"/>
    <x v="4"/>
    <x v="56"/>
    <x v="0"/>
    <x v="5"/>
    <x v="2281"/>
    <x v="25"/>
    <s v="POS"/>
    <n v="1"/>
    <n v="200"/>
    <n v="200"/>
    <n v="0"/>
    <m/>
    <m/>
    <m/>
    <m/>
    <n v="0"/>
    <n v="0"/>
    <n v="36950.85174969837"/>
  </r>
  <r>
    <x v="208"/>
    <x v="4"/>
    <x v="18"/>
    <x v="0"/>
    <x v="5"/>
    <x v="2281"/>
    <x v="25"/>
    <s v="POS"/>
    <n v="1"/>
    <n v="250"/>
    <n v="250"/>
    <n v="0"/>
    <m/>
    <m/>
    <m/>
    <m/>
    <n v="0"/>
    <n v="0"/>
    <n v="36950.85174969837"/>
  </r>
  <r>
    <x v="208"/>
    <x v="4"/>
    <x v="58"/>
    <x v="0"/>
    <x v="5"/>
    <x v="2281"/>
    <x v="25"/>
    <s v="POS"/>
    <n v="1"/>
    <n v="250"/>
    <n v="250"/>
    <n v="0"/>
    <m/>
    <m/>
    <m/>
    <m/>
    <n v="0"/>
    <n v="0"/>
    <n v="36950.85174969837"/>
  </r>
  <r>
    <x v="208"/>
    <x v="4"/>
    <x v="23"/>
    <x v="0"/>
    <x v="1"/>
    <x v="2282"/>
    <x v="25"/>
    <s v="NAKİT"/>
    <n v="6.3333333333333339E-2"/>
    <n v="300"/>
    <n v="0"/>
    <n v="0"/>
    <m/>
    <m/>
    <m/>
    <m/>
    <n v="19"/>
    <n v="0"/>
    <n v="36969.85174969837"/>
  </r>
  <r>
    <x v="208"/>
    <x v="4"/>
    <x v="22"/>
    <x v="0"/>
    <x v="1"/>
    <x v="2282"/>
    <x v="25"/>
    <s v="NAKİT"/>
    <n v="5.7500000000000002E-2"/>
    <n v="400"/>
    <n v="0"/>
    <n v="0"/>
    <m/>
    <m/>
    <m/>
    <m/>
    <n v="23"/>
    <n v="0"/>
    <n v="36992.85174969837"/>
  </r>
  <r>
    <x v="208"/>
    <x v="4"/>
    <x v="57"/>
    <x v="0"/>
    <x v="1"/>
    <x v="2283"/>
    <x v="25"/>
    <s v="NAKİT"/>
    <n v="1"/>
    <n v="150"/>
    <n v="0"/>
    <n v="0"/>
    <m/>
    <m/>
    <m/>
    <m/>
    <n v="150"/>
    <n v="0"/>
    <n v="37142.85174969837"/>
  </r>
  <r>
    <x v="208"/>
    <x v="4"/>
    <x v="30"/>
    <x v="0"/>
    <x v="1"/>
    <x v="2283"/>
    <x v="25"/>
    <s v="NAKİT"/>
    <n v="0.3"/>
    <n v="500"/>
    <n v="0"/>
    <n v="0"/>
    <m/>
    <m/>
    <m/>
    <m/>
    <n v="150"/>
    <n v="0"/>
    <n v="37292.85174969837"/>
  </r>
  <r>
    <x v="208"/>
    <x v="4"/>
    <x v="31"/>
    <x v="0"/>
    <x v="1"/>
    <x v="2284"/>
    <x v="25"/>
    <s v="NAKİT"/>
    <n v="0.33250000000000002"/>
    <n v="400"/>
    <n v="0"/>
    <n v="0"/>
    <m/>
    <m/>
    <m/>
    <m/>
    <n v="133"/>
    <n v="0"/>
    <n v="37425.85174969837"/>
  </r>
  <r>
    <x v="208"/>
    <x v="4"/>
    <x v="28"/>
    <x v="0"/>
    <x v="1"/>
    <x v="2284"/>
    <x v="25"/>
    <s v="NAKİT"/>
    <n v="0.378"/>
    <n v="500"/>
    <n v="0"/>
    <n v="0"/>
    <m/>
    <m/>
    <m/>
    <m/>
    <n v="189"/>
    <n v="0"/>
    <n v="37614.85174969837"/>
  </r>
  <r>
    <x v="208"/>
    <x v="4"/>
    <x v="161"/>
    <x v="0"/>
    <x v="1"/>
    <x v="2284"/>
    <x v="25"/>
    <s v="NAKİT"/>
    <n v="0.28999999999999998"/>
    <n v="400"/>
    <n v="0"/>
    <n v="0"/>
    <m/>
    <m/>
    <m/>
    <m/>
    <n v="115.99999999999999"/>
    <n v="0"/>
    <n v="37730.85174969837"/>
  </r>
  <r>
    <x v="208"/>
    <x v="4"/>
    <x v="188"/>
    <x v="0"/>
    <x v="1"/>
    <x v="2284"/>
    <x v="25"/>
    <s v="NAKİT"/>
    <n v="1"/>
    <n v="250"/>
    <n v="0"/>
    <n v="0"/>
    <m/>
    <m/>
    <m/>
    <m/>
    <n v="250"/>
    <n v="0"/>
    <n v="37980.85174969837"/>
  </r>
  <r>
    <x v="208"/>
    <x v="4"/>
    <x v="395"/>
    <x v="0"/>
    <x v="1"/>
    <x v="2284"/>
    <x v="25"/>
    <s v="NAKİT"/>
    <n v="0.92307692307692313"/>
    <n v="65"/>
    <n v="0"/>
    <n v="0"/>
    <m/>
    <m/>
    <m/>
    <m/>
    <n v="60"/>
    <n v="0"/>
    <n v="38040.85174969837"/>
  </r>
  <r>
    <x v="208"/>
    <x v="4"/>
    <x v="312"/>
    <x v="0"/>
    <x v="1"/>
    <x v="2285"/>
    <x v="25"/>
    <s v="NAKİT"/>
    <n v="1.1371428571428572"/>
    <n v="350"/>
    <n v="0"/>
    <n v="0"/>
    <m/>
    <m/>
    <m/>
    <m/>
    <n v="398.00000000000006"/>
    <n v="0"/>
    <n v="38438.85174969837"/>
  </r>
  <r>
    <x v="208"/>
    <x v="4"/>
    <x v="56"/>
    <x v="0"/>
    <x v="13"/>
    <x v="2286"/>
    <x v="171"/>
    <s v="CARİ"/>
    <n v="38.700000000000003"/>
    <n v="155.03875968992199"/>
    <n v="6000"/>
    <n v="0"/>
    <m/>
    <m/>
    <m/>
    <m/>
    <n v="0"/>
    <n v="0"/>
    <n v="38438.85174969837"/>
  </r>
  <r>
    <x v="208"/>
    <x v="4"/>
    <x v="262"/>
    <x v="0"/>
    <x v="5"/>
    <x v="2287"/>
    <x v="25"/>
    <s v="POS"/>
    <n v="1"/>
    <n v="130"/>
    <n v="130"/>
    <n v="0"/>
    <m/>
    <m/>
    <m/>
    <m/>
    <n v="0"/>
    <n v="0"/>
    <n v="38438.85174969837"/>
  </r>
  <r>
    <x v="208"/>
    <x v="4"/>
    <x v="22"/>
    <x v="0"/>
    <x v="1"/>
    <x v="2288"/>
    <x v="25"/>
    <s v="NAKİT"/>
    <n v="7.4999999999999997E-2"/>
    <n v="400"/>
    <n v="0"/>
    <n v="0"/>
    <m/>
    <m/>
    <m/>
    <m/>
    <n v="30"/>
    <n v="0"/>
    <n v="38468.85174969837"/>
  </r>
  <r>
    <x v="208"/>
    <x v="4"/>
    <x v="88"/>
    <x v="0"/>
    <x v="1"/>
    <x v="2288"/>
    <x v="25"/>
    <s v="NAKİT"/>
    <n v="0.05"/>
    <n v="1200"/>
    <n v="0"/>
    <n v="0"/>
    <m/>
    <m/>
    <m/>
    <m/>
    <n v="60"/>
    <n v="0"/>
    <n v="38528.85174969837"/>
  </r>
  <r>
    <x v="208"/>
    <x v="4"/>
    <x v="49"/>
    <x v="0"/>
    <x v="1"/>
    <x v="2288"/>
    <x v="25"/>
    <s v="NAKİT"/>
    <n v="0.1"/>
    <n v="600"/>
    <n v="0"/>
    <n v="0"/>
    <m/>
    <m/>
    <m/>
    <m/>
    <n v="60"/>
    <n v="0"/>
    <n v="38588.85174969837"/>
  </r>
  <r>
    <x v="208"/>
    <x v="4"/>
    <x v="49"/>
    <x v="0"/>
    <x v="1"/>
    <x v="2289"/>
    <x v="25"/>
    <s v="NAKİT"/>
    <n v="0.1"/>
    <n v="600"/>
    <n v="0"/>
    <n v="0"/>
    <m/>
    <m/>
    <m/>
    <m/>
    <n v="60"/>
    <n v="0"/>
    <n v="38648.85174969837"/>
  </r>
  <r>
    <x v="208"/>
    <x v="4"/>
    <x v="286"/>
    <x v="0"/>
    <x v="1"/>
    <x v="2289"/>
    <x v="25"/>
    <s v="NAKİT"/>
    <n v="1.2307692307692308"/>
    <n v="65"/>
    <n v="0"/>
    <n v="0"/>
    <m/>
    <m/>
    <m/>
    <m/>
    <n v="80"/>
    <n v="0"/>
    <n v="38728.85174969837"/>
  </r>
  <r>
    <x v="208"/>
    <x v="4"/>
    <x v="55"/>
    <x v="0"/>
    <x v="1"/>
    <x v="2289"/>
    <x v="25"/>
    <s v="NAKİT"/>
    <n v="0.22500000000000001"/>
    <n v="200"/>
    <n v="0"/>
    <n v="0"/>
    <m/>
    <m/>
    <m/>
    <m/>
    <n v="45"/>
    <n v="0"/>
    <n v="38773.85174969837"/>
  </r>
  <r>
    <x v="208"/>
    <x v="1"/>
    <x v="0"/>
    <x v="13"/>
    <x v="2"/>
    <x v="2"/>
    <x v="233"/>
    <s v="K.K."/>
    <n v="1"/>
    <n v="824.17"/>
    <n v="0"/>
    <n v="824.17"/>
    <m/>
    <m/>
    <m/>
    <m/>
    <n v="0"/>
    <n v="0"/>
    <n v="38773.85174969837"/>
  </r>
  <r>
    <x v="209"/>
    <x v="4"/>
    <x v="56"/>
    <x v="0"/>
    <x v="1"/>
    <x v="2290"/>
    <x v="25"/>
    <s v="NAKİT"/>
    <n v="1"/>
    <n v="200"/>
    <n v="0"/>
    <n v="0"/>
    <m/>
    <m/>
    <m/>
    <m/>
    <n v="200"/>
    <n v="0"/>
    <n v="38973.85174969837"/>
  </r>
  <r>
    <x v="209"/>
    <x v="4"/>
    <x v="7"/>
    <x v="0"/>
    <x v="1"/>
    <x v="2290"/>
    <x v="25"/>
    <s v="NAKİT"/>
    <n v="1"/>
    <n v="210"/>
    <n v="0"/>
    <n v="0"/>
    <m/>
    <m/>
    <m/>
    <m/>
    <n v="210"/>
    <n v="0"/>
    <n v="39183.85174969837"/>
  </r>
  <r>
    <x v="209"/>
    <x v="4"/>
    <x v="453"/>
    <x v="0"/>
    <x v="1"/>
    <x v="2290"/>
    <x v="25"/>
    <s v="NAKİT"/>
    <n v="1"/>
    <n v="170"/>
    <n v="0"/>
    <n v="0"/>
    <m/>
    <m/>
    <m/>
    <m/>
    <n v="170"/>
    <n v="0"/>
    <n v="39353.85174969837"/>
  </r>
  <r>
    <x v="209"/>
    <x v="4"/>
    <x v="289"/>
    <x v="0"/>
    <x v="1"/>
    <x v="2290"/>
    <x v="25"/>
    <s v="NAKİT"/>
    <n v="0.39200000000000002"/>
    <n v="350"/>
    <n v="0"/>
    <n v="0"/>
    <m/>
    <m/>
    <m/>
    <m/>
    <n v="137.20000000000002"/>
    <n v="0"/>
    <n v="39491.051749698367"/>
  </r>
  <r>
    <x v="209"/>
    <x v="4"/>
    <x v="392"/>
    <x v="0"/>
    <x v="1"/>
    <x v="2290"/>
    <x v="25"/>
    <s v="NAKİT"/>
    <n v="0.32600000000000001"/>
    <n v="370"/>
    <n v="0"/>
    <n v="0"/>
    <m/>
    <m/>
    <m/>
    <m/>
    <n v="120.62"/>
    <n v="0"/>
    <n v="39611.671749698369"/>
  </r>
  <r>
    <x v="209"/>
    <x v="4"/>
    <x v="150"/>
    <x v="0"/>
    <x v="1"/>
    <x v="2290"/>
    <x v="25"/>
    <s v="NAKİT"/>
    <n v="1"/>
    <n v="250"/>
    <n v="0"/>
    <n v="0"/>
    <m/>
    <m/>
    <m/>
    <m/>
    <n v="250"/>
    <n v="0"/>
    <n v="39861.671749698369"/>
  </r>
  <r>
    <x v="209"/>
    <x v="4"/>
    <x v="356"/>
    <x v="0"/>
    <x v="1"/>
    <x v="2290"/>
    <x v="25"/>
    <s v="NAKİT"/>
    <n v="4"/>
    <n v="20"/>
    <n v="0"/>
    <n v="0"/>
    <m/>
    <m/>
    <m/>
    <m/>
    <n v="80"/>
    <n v="0"/>
    <n v="39941.671749698369"/>
  </r>
  <r>
    <x v="209"/>
    <x v="4"/>
    <x v="391"/>
    <x v="0"/>
    <x v="1"/>
    <x v="2290"/>
    <x v="25"/>
    <s v="NAKİT"/>
    <n v="0.224"/>
    <n v="400"/>
    <n v="0"/>
    <n v="0"/>
    <m/>
    <m/>
    <m/>
    <m/>
    <n v="89.600000000000009"/>
    <n v="0"/>
    <n v="40031.271749698368"/>
  </r>
  <r>
    <x v="209"/>
    <x v="4"/>
    <x v="360"/>
    <x v="0"/>
    <x v="1"/>
    <x v="2290"/>
    <x v="25"/>
    <s v="NAKİT"/>
    <n v="0.25"/>
    <n v="600"/>
    <n v="0"/>
    <n v="0"/>
    <m/>
    <m/>
    <m/>
    <m/>
    <n v="150"/>
    <n v="0"/>
    <n v="40181.271749698368"/>
  </r>
  <r>
    <x v="209"/>
    <x v="4"/>
    <x v="396"/>
    <x v="0"/>
    <x v="1"/>
    <x v="2290"/>
    <x v="25"/>
    <s v="NAKİT"/>
    <n v="0.5"/>
    <n v="60"/>
    <n v="0"/>
    <n v="0"/>
    <m/>
    <m/>
    <m/>
    <m/>
    <n v="30"/>
    <n v="0"/>
    <n v="40211.271749698368"/>
  </r>
  <r>
    <x v="209"/>
    <x v="4"/>
    <x v="132"/>
    <x v="0"/>
    <x v="1"/>
    <x v="2290"/>
    <x v="25"/>
    <s v="NAKİT"/>
    <n v="1"/>
    <n v="220"/>
    <n v="0"/>
    <n v="0"/>
    <m/>
    <m/>
    <m/>
    <m/>
    <n v="220"/>
    <n v="0"/>
    <n v="40431.271749698368"/>
  </r>
  <r>
    <x v="209"/>
    <x v="4"/>
    <x v="430"/>
    <x v="0"/>
    <x v="1"/>
    <x v="2290"/>
    <x v="25"/>
    <s v="NAKİT"/>
    <n v="1"/>
    <n v="120"/>
    <n v="0"/>
    <n v="0"/>
    <m/>
    <m/>
    <m/>
    <m/>
    <n v="120"/>
    <n v="0"/>
    <n v="40551.271749698368"/>
  </r>
  <r>
    <x v="209"/>
    <x v="4"/>
    <x v="312"/>
    <x v="0"/>
    <x v="1"/>
    <x v="2290"/>
    <x v="25"/>
    <s v="NAKİT"/>
    <n v="0.5"/>
    <n v="350"/>
    <n v="0"/>
    <n v="0"/>
    <m/>
    <m/>
    <m/>
    <m/>
    <n v="175"/>
    <n v="0"/>
    <n v="40726.271749698368"/>
  </r>
  <r>
    <x v="209"/>
    <x v="4"/>
    <x v="217"/>
    <x v="0"/>
    <x v="1"/>
    <x v="2290"/>
    <x v="25"/>
    <s v="NAKİT"/>
    <n v="1"/>
    <n v="240"/>
    <n v="0"/>
    <n v="0"/>
    <m/>
    <m/>
    <m/>
    <m/>
    <n v="240"/>
    <n v="0"/>
    <n v="40966.271749698368"/>
  </r>
  <r>
    <x v="209"/>
    <x v="4"/>
    <x v="52"/>
    <x v="0"/>
    <x v="1"/>
    <x v="2290"/>
    <x v="25"/>
    <s v="NAKİT"/>
    <n v="1"/>
    <n v="40"/>
    <n v="0"/>
    <n v="0"/>
    <m/>
    <m/>
    <m/>
    <m/>
    <n v="40"/>
    <n v="0"/>
    <n v="41006.271749698368"/>
  </r>
  <r>
    <x v="209"/>
    <x v="4"/>
    <x v="248"/>
    <x v="0"/>
    <x v="1"/>
    <x v="2290"/>
    <x v="25"/>
    <s v="NAKİT"/>
    <n v="0.5"/>
    <n v="625"/>
    <n v="0"/>
    <n v="0"/>
    <m/>
    <m/>
    <m/>
    <m/>
    <n v="312.5"/>
    <n v="0"/>
    <n v="41318.771749698368"/>
  </r>
  <r>
    <x v="209"/>
    <x v="4"/>
    <x v="340"/>
    <x v="0"/>
    <x v="1"/>
    <x v="2290"/>
    <x v="25"/>
    <s v="NAKİT"/>
    <n v="1"/>
    <n v="120"/>
    <n v="0"/>
    <n v="0"/>
    <m/>
    <m/>
    <m/>
    <m/>
    <n v="120"/>
    <n v="0"/>
    <n v="41438.771749698368"/>
  </r>
  <r>
    <x v="209"/>
    <x v="4"/>
    <x v="310"/>
    <x v="0"/>
    <x v="1"/>
    <x v="2290"/>
    <x v="25"/>
    <s v="NAKİT"/>
    <n v="1"/>
    <n v="120"/>
    <n v="0"/>
    <n v="0"/>
    <m/>
    <m/>
    <m/>
    <m/>
    <n v="120"/>
    <n v="0"/>
    <n v="41558.771749698368"/>
  </r>
  <r>
    <x v="209"/>
    <x v="4"/>
    <x v="192"/>
    <x v="0"/>
    <x v="1"/>
    <x v="2290"/>
    <x v="25"/>
    <s v="NAKİT"/>
    <n v="1"/>
    <n v="380"/>
    <n v="0"/>
    <n v="0"/>
    <m/>
    <m/>
    <m/>
    <m/>
    <n v="380"/>
    <n v="0"/>
    <n v="41938.771749698368"/>
  </r>
  <r>
    <x v="209"/>
    <x v="4"/>
    <x v="93"/>
    <x v="0"/>
    <x v="1"/>
    <x v="2290"/>
    <x v="25"/>
    <s v="NAKİT"/>
    <n v="1"/>
    <n v="320"/>
    <n v="0"/>
    <n v="0"/>
    <m/>
    <m/>
    <m/>
    <m/>
    <n v="320"/>
    <n v="0"/>
    <n v="42258.771749698368"/>
  </r>
  <r>
    <x v="209"/>
    <x v="4"/>
    <x v="207"/>
    <x v="0"/>
    <x v="1"/>
    <x v="2290"/>
    <x v="25"/>
    <s v="NAKİT"/>
    <n v="1"/>
    <n v="500"/>
    <n v="0"/>
    <n v="0"/>
    <m/>
    <m/>
    <m/>
    <m/>
    <n v="500"/>
    <n v="0"/>
    <n v="42758.771749698368"/>
  </r>
  <r>
    <x v="209"/>
    <x v="4"/>
    <x v="236"/>
    <x v="0"/>
    <x v="1"/>
    <x v="2290"/>
    <x v="25"/>
    <s v="NAKİT"/>
    <n v="1"/>
    <n v="200"/>
    <n v="0"/>
    <n v="0"/>
    <m/>
    <m/>
    <m/>
    <m/>
    <n v="200"/>
    <n v="0"/>
    <n v="42958.771749698368"/>
  </r>
  <r>
    <x v="209"/>
    <x v="4"/>
    <x v="187"/>
    <x v="0"/>
    <x v="1"/>
    <x v="2290"/>
    <x v="25"/>
    <s v="NAKİT"/>
    <n v="1"/>
    <n v="240"/>
    <n v="0"/>
    <n v="0"/>
    <m/>
    <m/>
    <m/>
    <m/>
    <n v="240"/>
    <n v="0"/>
    <n v="43198.771749698368"/>
  </r>
  <r>
    <x v="209"/>
    <x v="4"/>
    <x v="29"/>
    <x v="0"/>
    <x v="1"/>
    <x v="2290"/>
    <x v="25"/>
    <s v="NAKİT"/>
    <n v="6.6000000000000003E-2"/>
    <n v="800"/>
    <n v="0"/>
    <n v="0"/>
    <m/>
    <m/>
    <m/>
    <m/>
    <n v="52.800000000000004"/>
    <n v="0"/>
    <n v="43251.571749698371"/>
  </r>
  <r>
    <x v="209"/>
    <x v="4"/>
    <x v="350"/>
    <x v="0"/>
    <x v="1"/>
    <x v="2290"/>
    <x v="25"/>
    <s v="NAKİT"/>
    <n v="1"/>
    <n v="80"/>
    <n v="0"/>
    <n v="0"/>
    <m/>
    <m/>
    <m/>
    <m/>
    <n v="80"/>
    <n v="0"/>
    <n v="43331.571749698371"/>
  </r>
  <r>
    <x v="209"/>
    <x v="4"/>
    <x v="105"/>
    <x v="0"/>
    <x v="1"/>
    <x v="2290"/>
    <x v="25"/>
    <s v="NAKİT"/>
    <n v="1"/>
    <n v="180"/>
    <n v="0"/>
    <n v="0"/>
    <m/>
    <m/>
    <m/>
    <m/>
    <n v="180"/>
    <n v="0"/>
    <n v="43511.571749698371"/>
  </r>
  <r>
    <x v="209"/>
    <x v="4"/>
    <x v="27"/>
    <x v="0"/>
    <x v="1"/>
    <x v="2290"/>
    <x v="25"/>
    <s v="NAKİT"/>
    <n v="0.126"/>
    <n v="300"/>
    <n v="0"/>
    <n v="0"/>
    <m/>
    <m/>
    <m/>
    <m/>
    <n v="37.799999999999997"/>
    <n v="0"/>
    <n v="43549.371749698374"/>
  </r>
  <r>
    <x v="209"/>
    <x v="4"/>
    <x v="31"/>
    <x v="0"/>
    <x v="1"/>
    <x v="2290"/>
    <x v="25"/>
    <s v="NAKİT"/>
    <n v="0.80400000000000005"/>
    <n v="300"/>
    <n v="0"/>
    <n v="0"/>
    <m/>
    <m/>
    <m/>
    <m/>
    <n v="241.20000000000002"/>
    <n v="0"/>
    <n v="43790.571749698371"/>
  </r>
  <r>
    <x v="209"/>
    <x v="4"/>
    <x v="269"/>
    <x v="0"/>
    <x v="1"/>
    <x v="2290"/>
    <x v="25"/>
    <s v="NAKİT"/>
    <n v="1"/>
    <n v="100"/>
    <n v="0"/>
    <n v="0"/>
    <m/>
    <m/>
    <m/>
    <m/>
    <n v="100"/>
    <n v="0"/>
    <n v="43890.571749698371"/>
  </r>
  <r>
    <x v="209"/>
    <x v="4"/>
    <x v="167"/>
    <x v="0"/>
    <x v="1"/>
    <x v="2290"/>
    <x v="25"/>
    <s v="NAKİT"/>
    <n v="1"/>
    <n v="40"/>
    <n v="0"/>
    <n v="0"/>
    <m/>
    <m/>
    <m/>
    <m/>
    <n v="40"/>
    <n v="0"/>
    <n v="43930.571749698371"/>
  </r>
  <r>
    <x v="209"/>
    <x v="4"/>
    <x v="152"/>
    <x v="0"/>
    <x v="1"/>
    <x v="2290"/>
    <x v="25"/>
    <s v="NAKİT"/>
    <n v="1"/>
    <n v="60"/>
    <n v="0"/>
    <n v="0"/>
    <m/>
    <m/>
    <m/>
    <m/>
    <n v="60"/>
    <n v="0"/>
    <n v="43990.571749698371"/>
  </r>
  <r>
    <x v="209"/>
    <x v="4"/>
    <x v="153"/>
    <x v="0"/>
    <x v="1"/>
    <x v="2290"/>
    <x v="25"/>
    <s v="NAKİT"/>
    <n v="1"/>
    <n v="60"/>
    <n v="0"/>
    <n v="0"/>
    <m/>
    <m/>
    <m/>
    <m/>
    <n v="60"/>
    <n v="0"/>
    <n v="44050.571749698371"/>
  </r>
  <r>
    <x v="209"/>
    <x v="4"/>
    <x v="443"/>
    <x v="0"/>
    <x v="1"/>
    <x v="2290"/>
    <x v="25"/>
    <s v="NAKİT"/>
    <n v="0.1"/>
    <n v="400"/>
    <n v="0"/>
    <n v="0"/>
    <m/>
    <m/>
    <m/>
    <m/>
    <n v="40"/>
    <n v="0"/>
    <n v="44090.571749698371"/>
  </r>
  <r>
    <x v="209"/>
    <x v="4"/>
    <x v="23"/>
    <x v="0"/>
    <x v="1"/>
    <x v="2290"/>
    <x v="25"/>
    <s v="NAKİT"/>
    <n v="0.126"/>
    <n v="250"/>
    <n v="0"/>
    <n v="0"/>
    <m/>
    <m/>
    <m/>
    <m/>
    <n v="31.5"/>
    <n v="0"/>
    <n v="44122.071749698371"/>
  </r>
  <r>
    <x v="209"/>
    <x v="4"/>
    <x v="22"/>
    <x v="0"/>
    <x v="1"/>
    <x v="2291"/>
    <x v="25"/>
    <s v="NAKİT"/>
    <n v="0.125"/>
    <n v="400"/>
    <n v="0"/>
    <n v="0"/>
    <m/>
    <m/>
    <m/>
    <m/>
    <n v="50"/>
    <n v="0"/>
    <n v="44172.071749698371"/>
  </r>
  <r>
    <x v="209"/>
    <x v="4"/>
    <x v="384"/>
    <x v="0"/>
    <x v="5"/>
    <x v="2292"/>
    <x v="25"/>
    <s v="POS"/>
    <n v="1"/>
    <n v="300"/>
    <n v="300"/>
    <n v="0"/>
    <m/>
    <m/>
    <m/>
    <m/>
    <n v="0"/>
    <n v="0"/>
    <n v="44172.071749698371"/>
  </r>
  <r>
    <x v="209"/>
    <x v="4"/>
    <x v="56"/>
    <x v="0"/>
    <x v="5"/>
    <x v="2293"/>
    <x v="25"/>
    <s v="POS"/>
    <n v="0.5"/>
    <n v="200"/>
    <n v="100"/>
    <n v="0"/>
    <m/>
    <m/>
    <m/>
    <m/>
    <n v="0"/>
    <n v="0"/>
    <n v="44172.071749698371"/>
  </r>
  <r>
    <x v="209"/>
    <x v="4"/>
    <x v="57"/>
    <x v="0"/>
    <x v="1"/>
    <x v="2294"/>
    <x v="25"/>
    <s v="NAKİT"/>
    <n v="2"/>
    <n v="150"/>
    <n v="0"/>
    <n v="0"/>
    <m/>
    <m/>
    <m/>
    <m/>
    <n v="300"/>
    <n v="0"/>
    <n v="44472.071749698371"/>
  </r>
  <r>
    <x v="209"/>
    <x v="4"/>
    <x v="56"/>
    <x v="0"/>
    <x v="1"/>
    <x v="2294"/>
    <x v="25"/>
    <s v="NAKİT"/>
    <n v="1"/>
    <n v="200"/>
    <n v="0"/>
    <n v="0"/>
    <m/>
    <m/>
    <m/>
    <m/>
    <n v="200"/>
    <n v="0"/>
    <n v="44672.071749698371"/>
  </r>
  <r>
    <x v="209"/>
    <x v="4"/>
    <x v="55"/>
    <x v="0"/>
    <x v="1"/>
    <x v="2294"/>
    <x v="25"/>
    <s v="NAKİT"/>
    <n v="1"/>
    <n v="200"/>
    <n v="0"/>
    <n v="0"/>
    <m/>
    <m/>
    <m/>
    <m/>
    <n v="200"/>
    <n v="0"/>
    <n v="44872.071749698371"/>
  </r>
  <r>
    <x v="209"/>
    <x v="4"/>
    <x v="38"/>
    <x v="0"/>
    <x v="5"/>
    <x v="2294"/>
    <x v="25"/>
    <s v="POS"/>
    <n v="0.7"/>
    <n v="571.42999999999995"/>
    <n v="400.00099999999992"/>
    <n v="0"/>
    <m/>
    <m/>
    <m/>
    <m/>
    <n v="0"/>
    <n v="0"/>
    <n v="44872.071749698371"/>
  </r>
  <r>
    <x v="209"/>
    <x v="4"/>
    <x v="88"/>
    <x v="0"/>
    <x v="1"/>
    <x v="2294"/>
    <x v="25"/>
    <s v="NAKİT"/>
    <n v="0.05"/>
    <n v="1600"/>
    <n v="0"/>
    <n v="0"/>
    <m/>
    <m/>
    <m/>
    <m/>
    <n v="80"/>
    <n v="0"/>
    <n v="44952.071749698371"/>
  </r>
  <r>
    <x v="209"/>
    <x v="4"/>
    <x v="35"/>
    <x v="0"/>
    <x v="5"/>
    <x v="2295"/>
    <x v="25"/>
    <s v="POS"/>
    <n v="0.25"/>
    <n v="180"/>
    <n v="45"/>
    <n v="0"/>
    <m/>
    <m/>
    <m/>
    <m/>
    <n v="0"/>
    <n v="0"/>
    <n v="44952.071749698371"/>
  </r>
  <r>
    <x v="209"/>
    <x v="4"/>
    <x v="150"/>
    <x v="0"/>
    <x v="1"/>
    <x v="2296"/>
    <x v="25"/>
    <s v="NAKİT"/>
    <n v="2"/>
    <n v="240"/>
    <n v="0"/>
    <n v="0"/>
    <m/>
    <m/>
    <m/>
    <m/>
    <n v="480"/>
    <n v="0"/>
    <n v="45432.071749698371"/>
  </r>
  <r>
    <x v="209"/>
    <x v="4"/>
    <x v="27"/>
    <x v="0"/>
    <x v="1"/>
    <x v="2296"/>
    <x v="25"/>
    <s v="NAKİT"/>
    <n v="7.2499999999999995E-2"/>
    <n v="300"/>
    <n v="0"/>
    <n v="0"/>
    <m/>
    <m/>
    <m/>
    <m/>
    <n v="21.75"/>
    <n v="0"/>
    <n v="45453.821749698371"/>
  </r>
  <r>
    <x v="210"/>
    <x v="4"/>
    <x v="22"/>
    <x v="0"/>
    <x v="1"/>
    <x v="2297"/>
    <x v="25"/>
    <s v="NAKİT"/>
    <n v="5.7500000000000002E-2"/>
    <n v="400"/>
    <n v="0"/>
    <n v="0"/>
    <m/>
    <m/>
    <m/>
    <m/>
    <n v="23"/>
    <n v="0"/>
    <n v="45476.821749698371"/>
  </r>
  <r>
    <x v="210"/>
    <x v="4"/>
    <x v="150"/>
    <x v="0"/>
    <x v="5"/>
    <x v="2298"/>
    <x v="25"/>
    <s v="POS"/>
    <n v="0.6"/>
    <n v="250"/>
    <n v="150"/>
    <n v="0"/>
    <m/>
    <m/>
    <m/>
    <m/>
    <n v="0"/>
    <n v="0"/>
    <n v="45476.821749698371"/>
  </r>
  <r>
    <x v="210"/>
    <x v="4"/>
    <x v="56"/>
    <x v="0"/>
    <x v="5"/>
    <x v="2298"/>
    <x v="25"/>
    <s v="POS"/>
    <n v="1"/>
    <n v="200"/>
    <n v="200"/>
    <n v="0"/>
    <m/>
    <m/>
    <m/>
    <m/>
    <n v="0"/>
    <n v="0"/>
    <n v="45476.821749698371"/>
  </r>
  <r>
    <x v="210"/>
    <x v="4"/>
    <x v="57"/>
    <x v="0"/>
    <x v="5"/>
    <x v="2298"/>
    <x v="25"/>
    <s v="POS"/>
    <n v="1"/>
    <n v="150"/>
    <n v="150"/>
    <n v="0"/>
    <m/>
    <m/>
    <m/>
    <m/>
    <n v="0"/>
    <n v="0"/>
    <n v="45476.821749698371"/>
  </r>
  <r>
    <x v="210"/>
    <x v="4"/>
    <x v="76"/>
    <x v="0"/>
    <x v="5"/>
    <x v="2298"/>
    <x v="25"/>
    <s v="POS"/>
    <n v="0.5"/>
    <n v="80"/>
    <n v="40"/>
    <n v="0"/>
    <m/>
    <m/>
    <m/>
    <m/>
    <n v="0"/>
    <n v="0"/>
    <n v="45476.821749698371"/>
  </r>
  <r>
    <x v="210"/>
    <x v="4"/>
    <x v="66"/>
    <x v="0"/>
    <x v="1"/>
    <x v="2299"/>
    <x v="25"/>
    <s v="NAKİT"/>
    <n v="0.11990407673860912"/>
    <n v="417"/>
    <n v="0"/>
    <n v="0"/>
    <m/>
    <m/>
    <m/>
    <m/>
    <n v="50"/>
    <n v="0"/>
    <n v="45526.821749698371"/>
  </r>
  <r>
    <x v="210"/>
    <x v="4"/>
    <x v="159"/>
    <x v="0"/>
    <x v="1"/>
    <x v="2300"/>
    <x v="25"/>
    <s v="NAKİT"/>
    <n v="1"/>
    <n v="100"/>
    <n v="0"/>
    <n v="0"/>
    <m/>
    <m/>
    <m/>
    <m/>
    <n v="100"/>
    <n v="0"/>
    <n v="45626.821749698371"/>
  </r>
  <r>
    <x v="210"/>
    <x v="4"/>
    <x v="382"/>
    <x v="0"/>
    <x v="1"/>
    <x v="2300"/>
    <x v="25"/>
    <s v="NAKİT"/>
    <n v="1"/>
    <n v="70"/>
    <n v="0"/>
    <n v="0"/>
    <m/>
    <m/>
    <m/>
    <m/>
    <n v="70"/>
    <n v="0"/>
    <n v="45696.821749698371"/>
  </r>
  <r>
    <x v="210"/>
    <x v="4"/>
    <x v="387"/>
    <x v="0"/>
    <x v="1"/>
    <x v="2301"/>
    <x v="25"/>
    <s v="NAKİT"/>
    <n v="1"/>
    <n v="150"/>
    <n v="0"/>
    <n v="0"/>
    <m/>
    <m/>
    <m/>
    <m/>
    <n v="150"/>
    <n v="0"/>
    <n v="45846.821749698371"/>
  </r>
  <r>
    <x v="210"/>
    <x v="4"/>
    <x v="56"/>
    <x v="0"/>
    <x v="1"/>
    <x v="2302"/>
    <x v="25"/>
    <s v="NAKİT"/>
    <n v="1"/>
    <n v="200"/>
    <n v="0"/>
    <n v="0"/>
    <m/>
    <m/>
    <m/>
    <m/>
    <n v="200"/>
    <n v="0"/>
    <n v="46046.821749698371"/>
  </r>
  <r>
    <x v="210"/>
    <x v="4"/>
    <x v="57"/>
    <x v="0"/>
    <x v="1"/>
    <x v="2302"/>
    <x v="25"/>
    <s v="NAKİT"/>
    <n v="1"/>
    <n v="150"/>
    <n v="0"/>
    <n v="0"/>
    <m/>
    <m/>
    <m/>
    <m/>
    <n v="150"/>
    <n v="0"/>
    <n v="46196.821749698371"/>
  </r>
  <r>
    <x v="210"/>
    <x v="4"/>
    <x v="161"/>
    <x v="0"/>
    <x v="1"/>
    <x v="2302"/>
    <x v="25"/>
    <s v="NAKİT"/>
    <n v="0.16500000000000001"/>
    <n v="400"/>
    <n v="0"/>
    <n v="0"/>
    <m/>
    <m/>
    <m/>
    <m/>
    <n v="66"/>
    <n v="0"/>
    <n v="46262.821749698371"/>
  </r>
  <r>
    <x v="210"/>
    <x v="4"/>
    <x v="56"/>
    <x v="0"/>
    <x v="1"/>
    <x v="2303"/>
    <x v="25"/>
    <s v="NAKİT"/>
    <n v="1"/>
    <n v="200"/>
    <n v="0"/>
    <n v="0"/>
    <m/>
    <m/>
    <m/>
    <m/>
    <n v="200"/>
    <n v="0"/>
    <n v="46462.821749698371"/>
  </r>
  <r>
    <x v="210"/>
    <x v="4"/>
    <x v="151"/>
    <x v="0"/>
    <x v="1"/>
    <x v="2303"/>
    <x v="25"/>
    <s v="NAKİT"/>
    <n v="0.1"/>
    <n v="750"/>
    <n v="0"/>
    <n v="0"/>
    <m/>
    <m/>
    <m/>
    <m/>
    <n v="75"/>
    <n v="0"/>
    <n v="46537.821749698371"/>
  </r>
  <r>
    <x v="210"/>
    <x v="4"/>
    <x v="289"/>
    <x v="0"/>
    <x v="1"/>
    <x v="2303"/>
    <x v="25"/>
    <s v="NAKİT"/>
    <n v="0.19444444444444445"/>
    <n v="400"/>
    <n v="0"/>
    <n v="0"/>
    <m/>
    <m/>
    <m/>
    <m/>
    <n v="77.777777777777786"/>
    <n v="0"/>
    <n v="46615.599527476152"/>
  </r>
  <r>
    <x v="210"/>
    <x v="4"/>
    <x v="356"/>
    <x v="0"/>
    <x v="1"/>
    <x v="2303"/>
    <x v="25"/>
    <s v="NAKİT"/>
    <n v="1"/>
    <n v="20"/>
    <n v="0"/>
    <n v="0"/>
    <m/>
    <m/>
    <m/>
    <m/>
    <n v="20"/>
    <n v="0"/>
    <n v="46635.599527476152"/>
  </r>
  <r>
    <x v="210"/>
    <x v="4"/>
    <x v="57"/>
    <x v="0"/>
    <x v="1"/>
    <x v="2303"/>
    <x v="25"/>
    <s v="NAKİT"/>
    <n v="1"/>
    <n v="150"/>
    <n v="0"/>
    <n v="0"/>
    <m/>
    <m/>
    <m/>
    <m/>
    <n v="150"/>
    <n v="0"/>
    <n v="46785.599527476152"/>
  </r>
  <r>
    <x v="210"/>
    <x v="4"/>
    <x v="356"/>
    <x v="0"/>
    <x v="1"/>
    <x v="2304"/>
    <x v="25"/>
    <s v="NAKİT"/>
    <n v="1"/>
    <n v="20"/>
    <n v="0"/>
    <n v="0"/>
    <m/>
    <m/>
    <m/>
    <m/>
    <n v="20"/>
    <n v="0"/>
    <n v="46805.599527476152"/>
  </r>
  <r>
    <x v="210"/>
    <x v="4"/>
    <x v="204"/>
    <x v="0"/>
    <x v="1"/>
    <x v="2305"/>
    <x v="25"/>
    <s v="NAKİT"/>
    <n v="0.05"/>
    <n v="800"/>
    <n v="0"/>
    <n v="0"/>
    <m/>
    <m/>
    <m/>
    <m/>
    <n v="40"/>
    <n v="0"/>
    <n v="46845.599527476152"/>
  </r>
  <r>
    <x v="210"/>
    <x v="4"/>
    <x v="18"/>
    <x v="0"/>
    <x v="1"/>
    <x v="2306"/>
    <x v="25"/>
    <s v="NAKİT"/>
    <n v="5"/>
    <n v="210"/>
    <n v="0"/>
    <n v="0"/>
    <m/>
    <m/>
    <m/>
    <m/>
    <n v="1050"/>
    <n v="0"/>
    <n v="47895.599527476152"/>
  </r>
  <r>
    <x v="211"/>
    <x v="4"/>
    <x v="27"/>
    <x v="0"/>
    <x v="5"/>
    <x v="2307"/>
    <x v="25"/>
    <s v="POS"/>
    <n v="0.08"/>
    <n v="388"/>
    <n v="31.04"/>
    <n v="0"/>
    <m/>
    <m/>
    <m/>
    <m/>
    <n v="0"/>
    <n v="0"/>
    <n v="47895.599527476152"/>
  </r>
  <r>
    <x v="211"/>
    <x v="4"/>
    <x v="29"/>
    <x v="0"/>
    <x v="5"/>
    <x v="2307"/>
    <x v="25"/>
    <s v="POS"/>
    <n v="9.1764705882352943E-2"/>
    <n v="850"/>
    <n v="78"/>
    <n v="0"/>
    <m/>
    <m/>
    <m/>
    <m/>
    <n v="0"/>
    <n v="0"/>
    <n v="47895.599527476152"/>
  </r>
  <r>
    <x v="211"/>
    <x v="4"/>
    <x v="30"/>
    <x v="0"/>
    <x v="5"/>
    <x v="2307"/>
    <x v="25"/>
    <s v="POS"/>
    <n v="0.26800000000000002"/>
    <n v="500"/>
    <n v="134"/>
    <n v="0"/>
    <m/>
    <m/>
    <m/>
    <m/>
    <n v="0"/>
    <n v="0"/>
    <n v="47895.599527476152"/>
  </r>
  <r>
    <x v="211"/>
    <x v="4"/>
    <x v="435"/>
    <x v="0"/>
    <x v="5"/>
    <x v="2307"/>
    <x v="25"/>
    <s v="POS"/>
    <n v="0.26727272727272727"/>
    <n v="550"/>
    <n v="147"/>
    <n v="0"/>
    <m/>
    <m/>
    <m/>
    <m/>
    <n v="0"/>
    <n v="0"/>
    <n v="47895.599527476152"/>
  </r>
  <r>
    <x v="211"/>
    <x v="4"/>
    <x v="23"/>
    <x v="0"/>
    <x v="5"/>
    <x v="2308"/>
    <x v="25"/>
    <s v="POS"/>
    <n v="7.0000000000000007E-2"/>
    <n v="300"/>
    <n v="21.000000000000004"/>
    <n v="0"/>
    <m/>
    <m/>
    <m/>
    <m/>
    <n v="0"/>
    <n v="0"/>
    <n v="47895.599527476152"/>
  </r>
  <r>
    <x v="211"/>
    <x v="4"/>
    <x v="33"/>
    <x v="0"/>
    <x v="5"/>
    <x v="2308"/>
    <x v="25"/>
    <s v="POS"/>
    <n v="0.1825"/>
    <n v="400"/>
    <n v="73"/>
    <n v="0"/>
    <m/>
    <m/>
    <m/>
    <m/>
    <n v="0"/>
    <n v="0"/>
    <n v="47895.599527476152"/>
  </r>
  <r>
    <x v="211"/>
    <x v="4"/>
    <x v="28"/>
    <x v="0"/>
    <x v="5"/>
    <x v="2308"/>
    <x v="25"/>
    <s v="POS"/>
    <n v="0.1"/>
    <n v="500"/>
    <n v="50"/>
    <n v="0"/>
    <m/>
    <m/>
    <m/>
    <m/>
    <n v="0"/>
    <n v="0"/>
    <n v="47895.599527476152"/>
  </r>
  <r>
    <x v="211"/>
    <x v="4"/>
    <x v="150"/>
    <x v="0"/>
    <x v="5"/>
    <x v="2309"/>
    <x v="25"/>
    <s v="POS"/>
    <n v="1"/>
    <n v="250"/>
    <n v="250"/>
    <n v="0"/>
    <m/>
    <m/>
    <m/>
    <m/>
    <n v="0"/>
    <n v="0"/>
    <n v="47895.599527476152"/>
  </r>
  <r>
    <x v="211"/>
    <x v="4"/>
    <x v="312"/>
    <x v="0"/>
    <x v="5"/>
    <x v="2309"/>
    <x v="25"/>
    <s v="POS"/>
    <n v="0.5"/>
    <n v="350"/>
    <n v="175"/>
    <n v="0"/>
    <m/>
    <m/>
    <m/>
    <m/>
    <n v="0"/>
    <n v="0"/>
    <n v="47895.599527476152"/>
  </r>
  <r>
    <x v="211"/>
    <x v="4"/>
    <x v="33"/>
    <x v="0"/>
    <x v="1"/>
    <x v="2310"/>
    <x v="25"/>
    <s v="NAKİT"/>
    <n v="0.25"/>
    <n v="400"/>
    <n v="0"/>
    <n v="0"/>
    <m/>
    <m/>
    <m/>
    <m/>
    <n v="100"/>
    <n v="0"/>
    <n v="47995.599527476152"/>
  </r>
  <r>
    <x v="211"/>
    <x v="4"/>
    <x v="397"/>
    <x v="0"/>
    <x v="1"/>
    <x v="2310"/>
    <x v="25"/>
    <s v="NAKİT"/>
    <n v="0.1"/>
    <n v="900"/>
    <n v="0"/>
    <n v="0"/>
    <m/>
    <m/>
    <m/>
    <m/>
    <n v="90"/>
    <n v="0"/>
    <n v="48085.599527476152"/>
  </r>
  <r>
    <x v="211"/>
    <x v="4"/>
    <x v="390"/>
    <x v="0"/>
    <x v="1"/>
    <x v="2311"/>
    <x v="25"/>
    <s v="NAKİT"/>
    <n v="0.76190476190476186"/>
    <n v="420"/>
    <n v="0"/>
    <n v="0"/>
    <m/>
    <m/>
    <m/>
    <m/>
    <n v="320"/>
    <n v="0"/>
    <n v="48405.599527476152"/>
  </r>
  <r>
    <x v="211"/>
    <x v="4"/>
    <x v="80"/>
    <x v="0"/>
    <x v="1"/>
    <x v="2311"/>
    <x v="25"/>
    <s v="NAKİT"/>
    <n v="1"/>
    <n v="280"/>
    <n v="0"/>
    <n v="0"/>
    <m/>
    <m/>
    <m/>
    <m/>
    <n v="280"/>
    <n v="0"/>
    <n v="48685.599527476152"/>
  </r>
  <r>
    <x v="211"/>
    <x v="4"/>
    <x v="18"/>
    <x v="0"/>
    <x v="1"/>
    <x v="2312"/>
    <x v="25"/>
    <s v="NAKİT"/>
    <n v="1"/>
    <n v="250"/>
    <n v="0"/>
    <n v="0"/>
    <m/>
    <m/>
    <m/>
    <m/>
    <n v="250"/>
    <n v="0"/>
    <n v="48935.599527476152"/>
  </r>
  <r>
    <x v="211"/>
    <x v="4"/>
    <x v="360"/>
    <x v="0"/>
    <x v="1"/>
    <x v="2313"/>
    <x v="25"/>
    <s v="NAKİT"/>
    <n v="4.2857142857142858E-2"/>
    <n v="700"/>
    <n v="0"/>
    <n v="0"/>
    <m/>
    <m/>
    <m/>
    <m/>
    <n v="30"/>
    <n v="0"/>
    <n v="48965.599527476152"/>
  </r>
  <r>
    <x v="211"/>
    <x v="4"/>
    <x v="344"/>
    <x v="0"/>
    <x v="1"/>
    <x v="2313"/>
    <x v="25"/>
    <s v="NAKİT"/>
    <n v="0.24399999999999999"/>
    <n v="500"/>
    <n v="0"/>
    <n v="0"/>
    <m/>
    <m/>
    <m/>
    <m/>
    <n v="122"/>
    <n v="0"/>
    <n v="49087.599527476152"/>
  </r>
  <r>
    <x v="211"/>
    <x v="4"/>
    <x v="161"/>
    <x v="0"/>
    <x v="5"/>
    <x v="2314"/>
    <x v="25"/>
    <s v="POS"/>
    <n v="0.1"/>
    <n v="400"/>
    <n v="40"/>
    <n v="0"/>
    <m/>
    <m/>
    <m/>
    <m/>
    <n v="0"/>
    <n v="0"/>
    <n v="49087.599527476152"/>
  </r>
  <r>
    <x v="211"/>
    <x v="4"/>
    <x v="59"/>
    <x v="0"/>
    <x v="5"/>
    <x v="2314"/>
    <x v="25"/>
    <s v="POS"/>
    <n v="8.8888888888888892E-2"/>
    <n v="450"/>
    <n v="40"/>
    <n v="0"/>
    <m/>
    <m/>
    <m/>
    <m/>
    <n v="0"/>
    <n v="0"/>
    <n v="49087.599527476152"/>
  </r>
  <r>
    <x v="211"/>
    <x v="4"/>
    <x v="55"/>
    <x v="0"/>
    <x v="5"/>
    <x v="2315"/>
    <x v="25"/>
    <s v="POS"/>
    <n v="1"/>
    <n v="200"/>
    <n v="200"/>
    <n v="0"/>
    <m/>
    <m/>
    <m/>
    <m/>
    <n v="0"/>
    <n v="0"/>
    <n v="49087.599527476152"/>
  </r>
  <r>
    <x v="211"/>
    <x v="4"/>
    <x v="27"/>
    <x v="0"/>
    <x v="5"/>
    <x v="2315"/>
    <x v="25"/>
    <s v="POS"/>
    <n v="0.13"/>
    <n v="400"/>
    <n v="52"/>
    <n v="0"/>
    <m/>
    <m/>
    <m/>
    <m/>
    <n v="0"/>
    <n v="0"/>
    <n v="49087.599527476152"/>
  </r>
  <r>
    <x v="211"/>
    <x v="4"/>
    <x v="29"/>
    <x v="0"/>
    <x v="5"/>
    <x v="2315"/>
    <x v="25"/>
    <s v="POS"/>
    <n v="5.647058823529412E-2"/>
    <n v="850"/>
    <n v="48"/>
    <n v="0"/>
    <m/>
    <m/>
    <m/>
    <m/>
    <n v="0"/>
    <n v="0"/>
    <n v="49087.599527476152"/>
  </r>
  <r>
    <x v="211"/>
    <x v="4"/>
    <x v="34"/>
    <x v="0"/>
    <x v="5"/>
    <x v="2315"/>
    <x v="25"/>
    <s v="POS"/>
    <n v="0.1"/>
    <n v="600"/>
    <n v="60"/>
    <n v="0"/>
    <m/>
    <m/>
    <m/>
    <m/>
    <n v="0"/>
    <n v="0"/>
    <n v="49087.599527476152"/>
  </r>
  <r>
    <x v="211"/>
    <x v="4"/>
    <x v="392"/>
    <x v="0"/>
    <x v="1"/>
    <x v="2316"/>
    <x v="25"/>
    <s v="NAKİT"/>
    <n v="0.21621621621621623"/>
    <n v="370"/>
    <n v="0"/>
    <n v="0"/>
    <m/>
    <m/>
    <m/>
    <m/>
    <n v="80"/>
    <n v="0"/>
    <n v="49167.599527476152"/>
  </r>
  <r>
    <x v="211"/>
    <x v="4"/>
    <x v="66"/>
    <x v="0"/>
    <x v="1"/>
    <x v="2317"/>
    <x v="25"/>
    <s v="NAKİT"/>
    <n v="0.23980815347721823"/>
    <n v="417"/>
    <n v="0"/>
    <n v="0"/>
    <m/>
    <m/>
    <m/>
    <m/>
    <n v="100"/>
    <n v="0"/>
    <n v="49267.599527476152"/>
  </r>
  <r>
    <x v="211"/>
    <x v="4"/>
    <x v="93"/>
    <x v="0"/>
    <x v="1"/>
    <x v="2318"/>
    <x v="25"/>
    <s v="NAKİT"/>
    <n v="1"/>
    <n v="225"/>
    <n v="0"/>
    <n v="0"/>
    <m/>
    <m/>
    <m/>
    <m/>
    <n v="225"/>
    <n v="0"/>
    <n v="49492.599527476152"/>
  </r>
  <r>
    <x v="211"/>
    <x v="4"/>
    <x v="280"/>
    <x v="0"/>
    <x v="1"/>
    <x v="2318"/>
    <x v="25"/>
    <s v="NAKİT"/>
    <n v="0.5"/>
    <n v="30"/>
    <n v="0"/>
    <n v="0"/>
    <m/>
    <m/>
    <m/>
    <m/>
    <n v="15"/>
    <n v="0"/>
    <n v="49507.599527476152"/>
  </r>
  <r>
    <x v="211"/>
    <x v="4"/>
    <x v="25"/>
    <x v="0"/>
    <x v="1"/>
    <x v="2318"/>
    <x v="25"/>
    <s v="NAKİT"/>
    <n v="0.112"/>
    <n v="240"/>
    <n v="0"/>
    <n v="0"/>
    <m/>
    <m/>
    <m/>
    <m/>
    <n v="26.88"/>
    <n v="0"/>
    <n v="49534.479527476149"/>
  </r>
  <r>
    <x v="211"/>
    <x v="4"/>
    <x v="161"/>
    <x v="0"/>
    <x v="1"/>
    <x v="2318"/>
    <x v="25"/>
    <s v="NAKİT"/>
    <n v="0.192"/>
    <n v="190"/>
    <n v="0"/>
    <n v="0"/>
    <m/>
    <m/>
    <m/>
    <m/>
    <n v="36.480000000000004"/>
    <n v="0"/>
    <n v="49570.959527476152"/>
  </r>
  <r>
    <x v="211"/>
    <x v="4"/>
    <x v="395"/>
    <x v="0"/>
    <x v="1"/>
    <x v="2318"/>
    <x v="25"/>
    <s v="NAKİT"/>
    <n v="0.92200000000000004"/>
    <n v="35"/>
    <n v="0"/>
    <n v="0"/>
    <m/>
    <m/>
    <m/>
    <m/>
    <n v="32.270000000000003"/>
    <n v="0"/>
    <n v="49603.229527476149"/>
  </r>
  <r>
    <x v="211"/>
    <x v="4"/>
    <x v="30"/>
    <x v="0"/>
    <x v="1"/>
    <x v="2318"/>
    <x v="25"/>
    <s v="NAKİT"/>
    <n v="0.20200000000000001"/>
    <n v="260"/>
    <n v="0"/>
    <n v="0"/>
    <m/>
    <m/>
    <m/>
    <m/>
    <n v="52.52"/>
    <n v="0"/>
    <n v="49655.749527476146"/>
  </r>
  <r>
    <x v="211"/>
    <x v="4"/>
    <x v="68"/>
    <x v="0"/>
    <x v="1"/>
    <x v="2319"/>
    <x v="25"/>
    <s v="NAKİT"/>
    <n v="0.13333333333333333"/>
    <n v="750"/>
    <n v="0"/>
    <n v="0"/>
    <m/>
    <m/>
    <m/>
    <m/>
    <n v="100"/>
    <n v="0"/>
    <n v="49755.749527476146"/>
  </r>
  <r>
    <x v="211"/>
    <x v="4"/>
    <x v="24"/>
    <x v="0"/>
    <x v="1"/>
    <x v="2320"/>
    <x v="25"/>
    <s v="NAKİT"/>
    <n v="0.13384615384615384"/>
    <n v="650"/>
    <n v="0"/>
    <n v="0"/>
    <m/>
    <m/>
    <m/>
    <m/>
    <n v="87"/>
    <n v="0"/>
    <n v="49842.749527476146"/>
  </r>
  <r>
    <x v="211"/>
    <x v="4"/>
    <x v="23"/>
    <x v="0"/>
    <x v="1"/>
    <x v="2320"/>
    <x v="25"/>
    <s v="NAKİT"/>
    <n v="0.2"/>
    <n v="300"/>
    <n v="0"/>
    <n v="0"/>
    <m/>
    <m/>
    <m/>
    <m/>
    <n v="60"/>
    <n v="0"/>
    <n v="49902.749527476146"/>
  </r>
  <r>
    <x v="211"/>
    <x v="4"/>
    <x v="33"/>
    <x v="0"/>
    <x v="1"/>
    <x v="2320"/>
    <x v="25"/>
    <s v="NAKİT"/>
    <n v="0.25"/>
    <n v="400"/>
    <n v="0"/>
    <n v="0"/>
    <m/>
    <m/>
    <m/>
    <m/>
    <n v="100"/>
    <n v="0"/>
    <n v="50002.749527476146"/>
  </r>
  <r>
    <x v="211"/>
    <x v="4"/>
    <x v="33"/>
    <x v="0"/>
    <x v="5"/>
    <x v="2321"/>
    <x v="25"/>
    <s v="POS"/>
    <n v="0.41599999999999998"/>
    <n v="370"/>
    <n v="153.91999999999999"/>
    <n v="0"/>
    <m/>
    <m/>
    <m/>
    <m/>
    <n v="0"/>
    <n v="0"/>
    <n v="50002.749527476146"/>
  </r>
  <r>
    <x v="211"/>
    <x v="4"/>
    <x v="32"/>
    <x v="0"/>
    <x v="5"/>
    <x v="2321"/>
    <x v="25"/>
    <s v="POS"/>
    <n v="0.186"/>
    <n v="375"/>
    <n v="69.75"/>
    <n v="0"/>
    <m/>
    <m/>
    <m/>
    <m/>
    <n v="0"/>
    <n v="0"/>
    <n v="50002.749527476146"/>
  </r>
  <r>
    <x v="211"/>
    <x v="4"/>
    <x v="24"/>
    <x v="0"/>
    <x v="5"/>
    <x v="2321"/>
    <x v="25"/>
    <s v="POS"/>
    <n v="0.14399999999999999"/>
    <n v="600"/>
    <n v="86.399999999999991"/>
    <n v="0"/>
    <m/>
    <m/>
    <m/>
    <m/>
    <n v="0"/>
    <n v="0"/>
    <n v="50002.749527476146"/>
  </r>
  <r>
    <x v="211"/>
    <x v="4"/>
    <x v="74"/>
    <x v="0"/>
    <x v="5"/>
    <x v="2321"/>
    <x v="25"/>
    <s v="POS"/>
    <n v="0.25"/>
    <n v="360"/>
    <n v="90"/>
    <n v="0"/>
    <m/>
    <m/>
    <m/>
    <m/>
    <n v="0"/>
    <n v="0"/>
    <n v="50002.749527476146"/>
  </r>
  <r>
    <x v="211"/>
    <x v="4"/>
    <x v="150"/>
    <x v="0"/>
    <x v="1"/>
    <x v="2322"/>
    <x v="25"/>
    <s v="NAKİT"/>
    <n v="0.62"/>
    <n v="250"/>
    <n v="0"/>
    <n v="0"/>
    <m/>
    <m/>
    <m/>
    <m/>
    <n v="155"/>
    <n v="0"/>
    <n v="50157.749527476146"/>
  </r>
  <r>
    <x v="211"/>
    <x v="4"/>
    <x v="289"/>
    <x v="0"/>
    <x v="1"/>
    <x v="2322"/>
    <x v="25"/>
    <s v="NAKİT"/>
    <n v="0.30555555555555558"/>
    <n v="335"/>
    <n v="0"/>
    <n v="0"/>
    <m/>
    <m/>
    <m/>
    <m/>
    <n v="102.36111111111111"/>
    <n v="0"/>
    <n v="50260.110638587255"/>
  </r>
  <r>
    <x v="211"/>
    <x v="4"/>
    <x v="360"/>
    <x v="0"/>
    <x v="1"/>
    <x v="2322"/>
    <x v="25"/>
    <s v="NAKİT"/>
    <n v="0.25"/>
    <n v="700"/>
    <n v="0"/>
    <n v="0"/>
    <m/>
    <m/>
    <m/>
    <m/>
    <n v="175"/>
    <n v="0"/>
    <n v="50435.110638587255"/>
  </r>
  <r>
    <x v="211"/>
    <x v="4"/>
    <x v="101"/>
    <x v="0"/>
    <x v="1"/>
    <x v="2322"/>
    <x v="25"/>
    <s v="NAKİT"/>
    <n v="0.22727272727272727"/>
    <n v="220"/>
    <n v="0"/>
    <n v="0"/>
    <m/>
    <m/>
    <m/>
    <m/>
    <n v="50"/>
    <n v="0"/>
    <n v="50485.110638587255"/>
  </r>
  <r>
    <x v="211"/>
    <x v="4"/>
    <x v="88"/>
    <x v="0"/>
    <x v="1"/>
    <x v="2322"/>
    <x v="25"/>
    <s v="NAKİT"/>
    <n v="0.05"/>
    <n v="1200"/>
    <n v="0"/>
    <n v="0"/>
    <m/>
    <m/>
    <m/>
    <m/>
    <n v="60"/>
    <n v="0"/>
    <n v="50545.110638587255"/>
  </r>
  <r>
    <x v="211"/>
    <x v="4"/>
    <x v="120"/>
    <x v="0"/>
    <x v="1"/>
    <x v="2322"/>
    <x v="25"/>
    <s v="NAKİT"/>
    <n v="0.23076923076923078"/>
    <n v="650"/>
    <n v="0"/>
    <n v="0"/>
    <m/>
    <m/>
    <m/>
    <m/>
    <n v="150"/>
    <n v="0"/>
    <n v="50695.110638587255"/>
  </r>
  <r>
    <x v="211"/>
    <x v="4"/>
    <x v="142"/>
    <x v="0"/>
    <x v="1"/>
    <x v="2322"/>
    <x v="25"/>
    <s v="NAKİT"/>
    <n v="0.23200000000000001"/>
    <n v="250"/>
    <n v="0"/>
    <n v="0"/>
    <m/>
    <m/>
    <m/>
    <m/>
    <n v="58"/>
    <n v="0"/>
    <n v="50753.110638587255"/>
  </r>
  <r>
    <x v="211"/>
    <x v="4"/>
    <x v="243"/>
    <x v="0"/>
    <x v="1"/>
    <x v="2322"/>
    <x v="25"/>
    <s v="NAKİT"/>
    <n v="0.25641025641025639"/>
    <n v="195"/>
    <n v="0"/>
    <n v="0"/>
    <m/>
    <m/>
    <m/>
    <m/>
    <n v="49.999999999999993"/>
    <n v="0"/>
    <n v="50803.110638587255"/>
  </r>
  <r>
    <x v="211"/>
    <x v="4"/>
    <x v="122"/>
    <x v="0"/>
    <x v="1"/>
    <x v="2322"/>
    <x v="25"/>
    <s v="NAKİT"/>
    <n v="8.3333333333333329E-2"/>
    <n v="1200"/>
    <n v="0"/>
    <n v="0"/>
    <m/>
    <m/>
    <m/>
    <m/>
    <n v="100"/>
    <n v="0"/>
    <n v="50903.110638587255"/>
  </r>
  <r>
    <x v="211"/>
    <x v="4"/>
    <x v="154"/>
    <x v="0"/>
    <x v="5"/>
    <x v="2323"/>
    <x v="25"/>
    <s v="POS"/>
    <n v="0.22222222222222221"/>
    <n v="180"/>
    <n v="40"/>
    <n v="0"/>
    <m/>
    <m/>
    <m/>
    <m/>
    <n v="0"/>
    <n v="0"/>
    <n v="50903.110638587255"/>
  </r>
  <r>
    <x v="211"/>
    <x v="4"/>
    <x v="18"/>
    <x v="0"/>
    <x v="5"/>
    <x v="2324"/>
    <x v="25"/>
    <s v="POS"/>
    <n v="1"/>
    <n v="250"/>
    <n v="250"/>
    <n v="0"/>
    <m/>
    <m/>
    <m/>
    <m/>
    <n v="0"/>
    <n v="0"/>
    <n v="50903.110638587255"/>
  </r>
  <r>
    <x v="211"/>
    <x v="4"/>
    <x v="58"/>
    <x v="0"/>
    <x v="5"/>
    <x v="2324"/>
    <x v="25"/>
    <s v="POS"/>
    <n v="0.5"/>
    <n v="250"/>
    <n v="125"/>
    <n v="0"/>
    <m/>
    <m/>
    <m/>
    <m/>
    <n v="0"/>
    <n v="0"/>
    <n v="50903.110638587255"/>
  </r>
  <r>
    <x v="211"/>
    <x v="4"/>
    <x v="19"/>
    <x v="0"/>
    <x v="5"/>
    <x v="2324"/>
    <x v="25"/>
    <s v="POS"/>
    <n v="0.5"/>
    <n v="250"/>
    <n v="125"/>
    <n v="0"/>
    <m/>
    <m/>
    <m/>
    <m/>
    <n v="0"/>
    <n v="0"/>
    <n v="50903.110638587255"/>
  </r>
  <r>
    <x v="211"/>
    <x v="4"/>
    <x v="30"/>
    <x v="0"/>
    <x v="5"/>
    <x v="2324"/>
    <x v="25"/>
    <s v="POS"/>
    <n v="0.2"/>
    <n v="500"/>
    <n v="100"/>
    <n v="0"/>
    <m/>
    <m/>
    <m/>
    <m/>
    <n v="0"/>
    <n v="0"/>
    <n v="50903.110638587255"/>
  </r>
  <r>
    <x v="212"/>
    <x v="4"/>
    <x v="56"/>
    <x v="0"/>
    <x v="1"/>
    <x v="2325"/>
    <x v="25"/>
    <s v="NAKİT"/>
    <n v="2"/>
    <n v="200"/>
    <n v="0"/>
    <n v="0"/>
    <m/>
    <m/>
    <m/>
    <m/>
    <n v="400"/>
    <n v="0"/>
    <n v="51303.110638587255"/>
  </r>
  <r>
    <x v="212"/>
    <x v="4"/>
    <x v="55"/>
    <x v="0"/>
    <x v="1"/>
    <x v="2325"/>
    <x v="25"/>
    <s v="NAKİT"/>
    <n v="2"/>
    <n v="200"/>
    <n v="0"/>
    <n v="0"/>
    <m/>
    <m/>
    <m/>
    <m/>
    <n v="400"/>
    <n v="0"/>
    <n v="51703.110638587255"/>
  </r>
  <r>
    <x v="212"/>
    <x v="4"/>
    <x v="83"/>
    <x v="0"/>
    <x v="5"/>
    <x v="2326"/>
    <x v="25"/>
    <s v="POS"/>
    <n v="0.05"/>
    <n v="2600"/>
    <n v="130"/>
    <n v="0"/>
    <m/>
    <m/>
    <m/>
    <m/>
    <n v="0"/>
    <n v="0"/>
    <n v="51703.110638587255"/>
  </r>
  <r>
    <x v="212"/>
    <x v="4"/>
    <x v="27"/>
    <x v="0"/>
    <x v="5"/>
    <x v="2327"/>
    <x v="25"/>
    <s v="POS"/>
    <n v="5.5999999999999994E-2"/>
    <n v="400"/>
    <n v="22.4"/>
    <n v="0"/>
    <m/>
    <m/>
    <m/>
    <m/>
    <n v="0"/>
    <n v="0"/>
    <n v="51703.110638587255"/>
  </r>
  <r>
    <x v="212"/>
    <x v="4"/>
    <x v="47"/>
    <x v="0"/>
    <x v="5"/>
    <x v="2327"/>
    <x v="25"/>
    <s v="POS"/>
    <n v="3.6000000000000004E-2"/>
    <n v="400"/>
    <n v="14.400000000000002"/>
    <n v="0"/>
    <m/>
    <m/>
    <m/>
    <m/>
    <n v="0"/>
    <n v="0"/>
    <n v="51703.110638587255"/>
  </r>
  <r>
    <x v="212"/>
    <x v="4"/>
    <x v="368"/>
    <x v="0"/>
    <x v="5"/>
    <x v="2328"/>
    <x v="25"/>
    <s v="POS"/>
    <n v="0.12820512820512819"/>
    <n v="780"/>
    <n v="99.999999999999986"/>
    <n v="0"/>
    <m/>
    <m/>
    <m/>
    <m/>
    <n v="0"/>
    <n v="0"/>
    <n v="51703.110638587255"/>
  </r>
  <r>
    <x v="212"/>
    <x v="4"/>
    <x v="88"/>
    <x v="0"/>
    <x v="5"/>
    <x v="2328"/>
    <x v="25"/>
    <s v="POS"/>
    <n v="0.05"/>
    <n v="1200"/>
    <n v="60"/>
    <n v="0"/>
    <m/>
    <m/>
    <m/>
    <m/>
    <n v="0"/>
    <n v="0"/>
    <n v="51703.110638587255"/>
  </r>
  <r>
    <x v="212"/>
    <x v="4"/>
    <x v="50"/>
    <x v="0"/>
    <x v="5"/>
    <x v="2328"/>
    <x v="25"/>
    <s v="POS"/>
    <n v="0.08"/>
    <n v="750"/>
    <n v="60"/>
    <n v="0"/>
    <m/>
    <m/>
    <m/>
    <m/>
    <n v="0"/>
    <n v="0"/>
    <n v="51703.110638587255"/>
  </r>
  <r>
    <x v="212"/>
    <x v="4"/>
    <x v="89"/>
    <x v="0"/>
    <x v="1"/>
    <x v="2329"/>
    <x v="25"/>
    <s v="NAKİT"/>
    <n v="0.21739130434782608"/>
    <n v="900"/>
    <n v="0"/>
    <n v="0"/>
    <m/>
    <m/>
    <m/>
    <m/>
    <n v="195.65217391304347"/>
    <n v="0"/>
    <n v="51898.762812500296"/>
  </r>
  <r>
    <x v="212"/>
    <x v="4"/>
    <x v="248"/>
    <x v="0"/>
    <x v="5"/>
    <x v="2330"/>
    <x v="25"/>
    <s v="POS"/>
    <n v="0.28615384615384615"/>
    <n v="650"/>
    <n v="186"/>
    <n v="0"/>
    <m/>
    <m/>
    <m/>
    <m/>
    <n v="0"/>
    <n v="0"/>
    <n v="51898.762812500296"/>
  </r>
  <r>
    <x v="212"/>
    <x v="4"/>
    <x v="291"/>
    <x v="0"/>
    <x v="5"/>
    <x v="2330"/>
    <x v="25"/>
    <s v="POS"/>
    <n v="1"/>
    <n v="290"/>
    <n v="290"/>
    <n v="0"/>
    <m/>
    <m/>
    <m/>
    <m/>
    <n v="0"/>
    <n v="0"/>
    <n v="51898.762812500296"/>
  </r>
  <r>
    <x v="212"/>
    <x v="4"/>
    <x v="360"/>
    <x v="0"/>
    <x v="5"/>
    <x v="2330"/>
    <x v="25"/>
    <s v="POS"/>
    <n v="0.25"/>
    <n v="700"/>
    <n v="175"/>
    <n v="0"/>
    <m/>
    <m/>
    <m/>
    <m/>
    <n v="0"/>
    <n v="0"/>
    <n v="51898.762812500296"/>
  </r>
  <r>
    <x v="212"/>
    <x v="4"/>
    <x v="120"/>
    <x v="0"/>
    <x v="5"/>
    <x v="2330"/>
    <x v="25"/>
    <s v="POS"/>
    <n v="0.23076923076923078"/>
    <n v="650"/>
    <n v="150"/>
    <n v="0"/>
    <m/>
    <m/>
    <m/>
    <m/>
    <n v="0"/>
    <n v="0"/>
    <n v="51898.762812500296"/>
  </r>
  <r>
    <x v="212"/>
    <x v="4"/>
    <x v="122"/>
    <x v="0"/>
    <x v="5"/>
    <x v="2330"/>
    <x v="25"/>
    <s v="POS"/>
    <n v="0.16666666666666666"/>
    <n v="1200"/>
    <n v="200"/>
    <n v="0"/>
    <m/>
    <m/>
    <m/>
    <m/>
    <n v="0"/>
    <n v="0"/>
    <n v="51898.762812500296"/>
  </r>
  <r>
    <x v="212"/>
    <x v="4"/>
    <x v="142"/>
    <x v="0"/>
    <x v="5"/>
    <x v="2330"/>
    <x v="25"/>
    <s v="POS"/>
    <n v="0.4"/>
    <n v="250"/>
    <n v="100"/>
    <n v="0"/>
    <m/>
    <m/>
    <m/>
    <m/>
    <n v="0"/>
    <n v="0"/>
    <n v="51898.762812500296"/>
  </r>
  <r>
    <x v="213"/>
    <x v="4"/>
    <x v="57"/>
    <x v="0"/>
    <x v="5"/>
    <x v="2331"/>
    <x v="25"/>
    <s v="POS"/>
    <n v="1"/>
    <n v="150"/>
    <n v="150"/>
    <n v="0"/>
    <m/>
    <m/>
    <m/>
    <m/>
    <n v="0"/>
    <n v="0"/>
    <n v="51898.762812500296"/>
  </r>
  <r>
    <x v="213"/>
    <x v="4"/>
    <x v="77"/>
    <x v="0"/>
    <x v="5"/>
    <x v="2331"/>
    <x v="25"/>
    <s v="POS"/>
    <n v="0.5"/>
    <n v="80"/>
    <n v="40"/>
    <n v="0"/>
    <m/>
    <m/>
    <m/>
    <m/>
    <n v="0"/>
    <n v="0"/>
    <n v="51898.762812500296"/>
  </r>
  <r>
    <x v="213"/>
    <x v="4"/>
    <x v="360"/>
    <x v="0"/>
    <x v="5"/>
    <x v="2332"/>
    <x v="25"/>
    <s v="POS"/>
    <n v="0.71599999999999997"/>
    <n v="698.33"/>
    <n v="500.00427999999999"/>
    <n v="0"/>
    <m/>
    <m/>
    <m/>
    <m/>
    <n v="0"/>
    <n v="0"/>
    <n v="51898.762812500296"/>
  </r>
  <r>
    <x v="213"/>
    <x v="4"/>
    <x v="150"/>
    <x v="0"/>
    <x v="1"/>
    <x v="2333"/>
    <x v="25"/>
    <s v="NAKİT"/>
    <n v="1"/>
    <n v="250"/>
    <n v="0"/>
    <n v="0"/>
    <m/>
    <m/>
    <m/>
    <m/>
    <n v="250"/>
    <n v="0"/>
    <n v="52148.762812500296"/>
  </r>
  <r>
    <x v="213"/>
    <x v="4"/>
    <x v="287"/>
    <x v="0"/>
    <x v="5"/>
    <x v="2334"/>
    <x v="25"/>
    <s v="POS"/>
    <n v="1.6160000000000001"/>
    <n v="65"/>
    <n v="105.04"/>
    <n v="0"/>
    <m/>
    <m/>
    <m/>
    <m/>
    <n v="0"/>
    <n v="0"/>
    <n v="52148.762812500296"/>
  </r>
  <r>
    <x v="213"/>
    <x v="4"/>
    <x v="289"/>
    <x v="0"/>
    <x v="5"/>
    <x v="2334"/>
    <x v="25"/>
    <s v="POS"/>
    <n v="0.91400000000000003"/>
    <n v="400"/>
    <n v="365.6"/>
    <n v="0"/>
    <m/>
    <m/>
    <m/>
    <m/>
    <n v="0"/>
    <n v="0"/>
    <n v="52148.762812500296"/>
  </r>
  <r>
    <x v="213"/>
    <x v="4"/>
    <x v="50"/>
    <x v="0"/>
    <x v="5"/>
    <x v="2334"/>
    <x v="25"/>
    <s v="POS"/>
    <n v="0.08"/>
    <n v="750"/>
    <n v="60"/>
    <n v="0"/>
    <m/>
    <m/>
    <m/>
    <m/>
    <n v="0"/>
    <n v="0"/>
    <n v="52148.762812500296"/>
  </r>
  <r>
    <x v="213"/>
    <x v="4"/>
    <x v="74"/>
    <x v="0"/>
    <x v="5"/>
    <x v="2335"/>
    <x v="25"/>
    <s v="POS"/>
    <n v="0.25"/>
    <n v="360"/>
    <n v="90"/>
    <n v="0"/>
    <m/>
    <m/>
    <m/>
    <m/>
    <n v="0"/>
    <n v="0"/>
    <n v="52148.762812500296"/>
  </r>
  <r>
    <x v="213"/>
    <x v="4"/>
    <x v="150"/>
    <x v="0"/>
    <x v="5"/>
    <x v="2336"/>
    <x v="25"/>
    <s v="POS"/>
    <n v="1"/>
    <n v="250"/>
    <n v="250"/>
    <n v="0"/>
    <m/>
    <m/>
    <m/>
    <m/>
    <n v="0"/>
    <n v="0"/>
    <n v="52148.762812500296"/>
  </r>
  <r>
    <x v="213"/>
    <x v="4"/>
    <x v="124"/>
    <x v="0"/>
    <x v="1"/>
    <x v="2337"/>
    <x v="25"/>
    <s v="NAKİT"/>
    <n v="0.1"/>
    <n v="900"/>
    <n v="0"/>
    <n v="0"/>
    <m/>
    <m/>
    <m/>
    <m/>
    <n v="90"/>
    <n v="0"/>
    <n v="52238.762812500296"/>
  </r>
  <r>
    <x v="213"/>
    <x v="4"/>
    <x v="50"/>
    <x v="0"/>
    <x v="1"/>
    <x v="2337"/>
    <x v="25"/>
    <s v="NAKİT"/>
    <n v="0.08"/>
    <n v="750"/>
    <n v="0"/>
    <n v="0"/>
    <m/>
    <m/>
    <m/>
    <m/>
    <n v="60"/>
    <n v="0"/>
    <n v="52298.762812500296"/>
  </r>
  <r>
    <x v="213"/>
    <x v="4"/>
    <x v="83"/>
    <x v="0"/>
    <x v="1"/>
    <x v="2338"/>
    <x v="25"/>
    <s v="NAKİT"/>
    <n v="0.05"/>
    <n v="2600"/>
    <n v="0"/>
    <n v="0"/>
    <m/>
    <m/>
    <m/>
    <m/>
    <n v="130"/>
    <n v="0"/>
    <n v="52428.762812500296"/>
  </r>
  <r>
    <x v="214"/>
    <x v="4"/>
    <x v="439"/>
    <x v="0"/>
    <x v="1"/>
    <x v="2339"/>
    <x v="25"/>
    <s v="NAKİT"/>
    <n v="0.1"/>
    <n v="500"/>
    <n v="0"/>
    <n v="0"/>
    <m/>
    <m/>
    <m/>
    <m/>
    <n v="50"/>
    <n v="0"/>
    <n v="52478.762812500296"/>
  </r>
  <r>
    <x v="214"/>
    <x v="4"/>
    <x v="258"/>
    <x v="0"/>
    <x v="1"/>
    <x v="2339"/>
    <x v="25"/>
    <s v="NAKİT"/>
    <n v="1"/>
    <n v="125"/>
    <n v="0"/>
    <n v="0"/>
    <m/>
    <m/>
    <m/>
    <m/>
    <n v="125"/>
    <n v="0"/>
    <n v="52603.762812500296"/>
  </r>
  <r>
    <x v="214"/>
    <x v="4"/>
    <x v="420"/>
    <x v="0"/>
    <x v="1"/>
    <x v="2339"/>
    <x v="25"/>
    <s v="NAKİT"/>
    <n v="3"/>
    <n v="10"/>
    <n v="0"/>
    <n v="0"/>
    <m/>
    <m/>
    <m/>
    <m/>
    <n v="30"/>
    <n v="0"/>
    <n v="52633.762812500296"/>
  </r>
  <r>
    <x v="214"/>
    <x v="4"/>
    <x v="109"/>
    <x v="0"/>
    <x v="1"/>
    <x v="2340"/>
    <x v="25"/>
    <s v="NAKİT"/>
    <n v="1"/>
    <n v="180"/>
    <n v="0"/>
    <n v="0"/>
    <m/>
    <m/>
    <m/>
    <m/>
    <n v="180"/>
    <n v="0"/>
    <n v="52813.762812500296"/>
  </r>
  <r>
    <x v="214"/>
    <x v="4"/>
    <x v="18"/>
    <x v="0"/>
    <x v="5"/>
    <x v="2341"/>
    <x v="25"/>
    <s v="POS"/>
    <n v="1"/>
    <n v="250"/>
    <n v="250"/>
    <n v="0"/>
    <m/>
    <m/>
    <m/>
    <m/>
    <n v="0"/>
    <n v="0"/>
    <n v="52813.762812500296"/>
  </r>
  <r>
    <x v="214"/>
    <x v="4"/>
    <x v="58"/>
    <x v="0"/>
    <x v="5"/>
    <x v="2341"/>
    <x v="25"/>
    <s v="POS"/>
    <n v="1"/>
    <n v="250"/>
    <n v="250"/>
    <n v="0"/>
    <m/>
    <m/>
    <m/>
    <m/>
    <n v="0"/>
    <n v="0"/>
    <n v="52813.762812500296"/>
  </r>
  <r>
    <x v="214"/>
    <x v="4"/>
    <x v="166"/>
    <x v="0"/>
    <x v="5"/>
    <x v="2342"/>
    <x v="25"/>
    <s v="POS"/>
    <n v="1"/>
    <n v="50"/>
    <n v="50"/>
    <n v="0"/>
    <m/>
    <m/>
    <m/>
    <m/>
    <n v="0"/>
    <n v="0"/>
    <n v="52813.762812500296"/>
  </r>
  <r>
    <x v="214"/>
    <x v="4"/>
    <x v="74"/>
    <x v="0"/>
    <x v="5"/>
    <x v="2343"/>
    <x v="25"/>
    <s v="POS"/>
    <n v="0.125"/>
    <n v="320"/>
    <n v="40"/>
    <n v="0"/>
    <m/>
    <m/>
    <m/>
    <m/>
    <n v="0"/>
    <n v="0"/>
    <n v="52813.762812500296"/>
  </r>
  <r>
    <x v="214"/>
    <x v="4"/>
    <x v="385"/>
    <x v="0"/>
    <x v="5"/>
    <x v="2343"/>
    <x v="25"/>
    <s v="POS"/>
    <n v="0.28846153846153844"/>
    <n v="520"/>
    <n v="150"/>
    <n v="0"/>
    <m/>
    <m/>
    <m/>
    <m/>
    <n v="0"/>
    <n v="0"/>
    <n v="52813.762812500296"/>
  </r>
  <r>
    <x v="214"/>
    <x v="4"/>
    <x v="362"/>
    <x v="0"/>
    <x v="5"/>
    <x v="2343"/>
    <x v="25"/>
    <s v="POS"/>
    <n v="0.1"/>
    <n v="1200"/>
    <n v="120"/>
    <n v="0"/>
    <m/>
    <m/>
    <m/>
    <m/>
    <n v="0"/>
    <n v="0"/>
    <n v="52813.762812500296"/>
  </r>
  <r>
    <x v="214"/>
    <x v="4"/>
    <x v="386"/>
    <x v="0"/>
    <x v="5"/>
    <x v="2343"/>
    <x v="25"/>
    <s v="POS"/>
    <n v="1"/>
    <n v="30"/>
    <n v="30"/>
    <n v="0"/>
    <m/>
    <m/>
    <m/>
    <m/>
    <n v="0"/>
    <n v="0"/>
    <n v="52813.762812500296"/>
  </r>
  <r>
    <x v="214"/>
    <x v="4"/>
    <x v="239"/>
    <x v="0"/>
    <x v="1"/>
    <x v="2344"/>
    <x v="25"/>
    <s v="NAKİT"/>
    <n v="0.25"/>
    <n v="400"/>
    <n v="0"/>
    <n v="0"/>
    <m/>
    <m/>
    <m/>
    <m/>
    <n v="100"/>
    <n v="0"/>
    <n v="52913.762812500296"/>
  </r>
  <r>
    <x v="214"/>
    <x v="4"/>
    <x v="89"/>
    <x v="0"/>
    <x v="1"/>
    <x v="2345"/>
    <x v="25"/>
    <s v="NAKİT"/>
    <n v="0.1"/>
    <n v="900"/>
    <n v="0"/>
    <n v="0"/>
    <m/>
    <m/>
    <m/>
    <m/>
    <n v="90"/>
    <n v="0"/>
    <n v="53003.762812500296"/>
  </r>
  <r>
    <x v="214"/>
    <x v="4"/>
    <x v="18"/>
    <x v="0"/>
    <x v="5"/>
    <x v="2346"/>
    <x v="25"/>
    <s v="POS"/>
    <n v="1"/>
    <n v="250"/>
    <n v="250"/>
    <n v="0"/>
    <m/>
    <m/>
    <m/>
    <m/>
    <n v="0"/>
    <n v="0"/>
    <n v="53003.762812500296"/>
  </r>
  <r>
    <x v="214"/>
    <x v="4"/>
    <x v="58"/>
    <x v="0"/>
    <x v="5"/>
    <x v="2346"/>
    <x v="25"/>
    <s v="POS"/>
    <n v="1"/>
    <n v="250"/>
    <n v="250"/>
    <n v="0"/>
    <m/>
    <m/>
    <m/>
    <m/>
    <n v="0"/>
    <n v="0"/>
    <n v="53003.762812500296"/>
  </r>
  <r>
    <x v="214"/>
    <x v="4"/>
    <x v="15"/>
    <x v="0"/>
    <x v="5"/>
    <x v="2346"/>
    <x v="25"/>
    <s v="POS"/>
    <n v="0.25416666666666665"/>
    <n v="240"/>
    <n v="61"/>
    <n v="0"/>
    <m/>
    <m/>
    <m/>
    <m/>
    <n v="0"/>
    <n v="0"/>
    <n v="53003.762812500296"/>
  </r>
  <r>
    <x v="214"/>
    <x v="4"/>
    <x v="312"/>
    <x v="0"/>
    <x v="5"/>
    <x v="2347"/>
    <x v="25"/>
    <s v="POS"/>
    <n v="1"/>
    <n v="350"/>
    <n v="350"/>
    <n v="0"/>
    <m/>
    <m/>
    <m/>
    <m/>
    <n v="0"/>
    <n v="0"/>
    <n v="53003.762812500296"/>
  </r>
  <r>
    <x v="214"/>
    <x v="4"/>
    <x v="74"/>
    <x v="0"/>
    <x v="1"/>
    <x v="2348"/>
    <x v="129"/>
    <s v="NAKİT"/>
    <n v="0.125"/>
    <n v="320"/>
    <n v="0"/>
    <n v="0"/>
    <m/>
    <m/>
    <m/>
    <m/>
    <n v="40"/>
    <n v="0"/>
    <n v="53043.762812500296"/>
  </r>
  <r>
    <x v="215"/>
    <x v="4"/>
    <x v="161"/>
    <x v="0"/>
    <x v="5"/>
    <x v="2349"/>
    <x v="214"/>
    <s v="POS"/>
    <n v="1.554"/>
    <n v="265"/>
    <n v="411.81"/>
    <n v="0"/>
    <m/>
    <m/>
    <m/>
    <m/>
    <n v="0"/>
    <n v="0"/>
    <n v="53043.762812500296"/>
  </r>
  <r>
    <x v="215"/>
    <x v="4"/>
    <x v="30"/>
    <x v="0"/>
    <x v="5"/>
    <x v="2349"/>
    <x v="214"/>
    <s v="POS"/>
    <n v="1.238"/>
    <n v="375"/>
    <n v="464.25"/>
    <n v="0"/>
    <m/>
    <m/>
    <m/>
    <m/>
    <n v="0"/>
    <n v="0"/>
    <n v="53043.762812500296"/>
  </r>
  <r>
    <x v="215"/>
    <x v="4"/>
    <x v="289"/>
    <x v="0"/>
    <x v="5"/>
    <x v="2349"/>
    <x v="214"/>
    <s v="POS"/>
    <n v="2.0139999999999998"/>
    <n v="265"/>
    <n v="533.70999999999992"/>
    <n v="0"/>
    <m/>
    <m/>
    <m/>
    <m/>
    <n v="0"/>
    <n v="0"/>
    <n v="53043.762812500296"/>
  </r>
  <r>
    <x v="215"/>
    <x v="4"/>
    <x v="76"/>
    <x v="0"/>
    <x v="5"/>
    <x v="2349"/>
    <x v="214"/>
    <s v="POS"/>
    <n v="0.5"/>
    <n v="80"/>
    <n v="40"/>
    <n v="0"/>
    <m/>
    <m/>
    <m/>
    <m/>
    <n v="0"/>
    <n v="0"/>
    <n v="53043.762812500296"/>
  </r>
  <r>
    <x v="215"/>
    <x v="4"/>
    <x v="124"/>
    <x v="0"/>
    <x v="1"/>
    <x v="2350"/>
    <x v="25"/>
    <s v="NAKİT"/>
    <n v="0.1"/>
    <n v="900"/>
    <n v="0"/>
    <n v="0"/>
    <m/>
    <m/>
    <m/>
    <m/>
    <n v="90"/>
    <n v="0"/>
    <n v="53133.762812500296"/>
  </r>
  <r>
    <x v="215"/>
    <x v="4"/>
    <x v="42"/>
    <x v="0"/>
    <x v="5"/>
    <x v="2351"/>
    <x v="25"/>
    <s v="POS"/>
    <n v="1"/>
    <n v="80"/>
    <n v="80"/>
    <n v="0"/>
    <m/>
    <m/>
    <m/>
    <m/>
    <n v="0"/>
    <n v="0"/>
    <n v="53133.762812500296"/>
  </r>
  <r>
    <x v="215"/>
    <x v="4"/>
    <x v="140"/>
    <x v="0"/>
    <x v="5"/>
    <x v="2351"/>
    <x v="25"/>
    <s v="POS"/>
    <n v="1"/>
    <n v="150"/>
    <n v="150"/>
    <n v="0"/>
    <m/>
    <m/>
    <m/>
    <m/>
    <n v="0"/>
    <n v="0"/>
    <n v="53133.762812500296"/>
  </r>
  <r>
    <x v="215"/>
    <x v="4"/>
    <x v="89"/>
    <x v="0"/>
    <x v="1"/>
    <x v="2352"/>
    <x v="25"/>
    <s v="NAKİT"/>
    <n v="0.1"/>
    <n v="900"/>
    <n v="0"/>
    <n v="0"/>
    <m/>
    <m/>
    <m/>
    <m/>
    <n v="90"/>
    <n v="0"/>
    <n v="53223.762812500296"/>
  </r>
  <r>
    <x v="215"/>
    <x v="4"/>
    <x v="287"/>
    <x v="0"/>
    <x v="1"/>
    <x v="2353"/>
    <x v="25"/>
    <s v="NAKİT"/>
    <n v="1.26"/>
    <n v="52"/>
    <n v="0"/>
    <n v="0"/>
    <m/>
    <m/>
    <m/>
    <m/>
    <n v="65.52"/>
    <n v="0"/>
    <n v="53289.282812500292"/>
  </r>
  <r>
    <x v="215"/>
    <x v="4"/>
    <x v="286"/>
    <x v="0"/>
    <x v="1"/>
    <x v="2353"/>
    <x v="25"/>
    <s v="NAKİT"/>
    <n v="1.244"/>
    <n v="52"/>
    <n v="0"/>
    <n v="0"/>
    <m/>
    <m/>
    <m/>
    <m/>
    <n v="64.688000000000002"/>
    <n v="0"/>
    <n v="53353.970812500294"/>
  </r>
  <r>
    <x v="215"/>
    <x v="4"/>
    <x v="111"/>
    <x v="0"/>
    <x v="1"/>
    <x v="2353"/>
    <x v="25"/>
    <s v="NAKİT"/>
    <n v="0.2"/>
    <n v="350"/>
    <n v="0"/>
    <n v="0"/>
    <m/>
    <m/>
    <m/>
    <m/>
    <n v="70"/>
    <n v="0"/>
    <n v="53423.970812500294"/>
  </r>
  <r>
    <x v="215"/>
    <x v="4"/>
    <x v="242"/>
    <x v="0"/>
    <x v="1"/>
    <x v="2353"/>
    <x v="25"/>
    <s v="NAKİT"/>
    <n v="0.25641025641025639"/>
    <n v="195"/>
    <n v="0"/>
    <n v="0"/>
    <m/>
    <m/>
    <m/>
    <m/>
    <n v="49.999999999999993"/>
    <n v="0"/>
    <n v="53473.970812500294"/>
  </r>
  <r>
    <x v="215"/>
    <x v="4"/>
    <x v="70"/>
    <x v="0"/>
    <x v="1"/>
    <x v="2353"/>
    <x v="25"/>
    <s v="NAKİT"/>
    <n v="0.21739130434782608"/>
    <n v="230"/>
    <n v="0"/>
    <n v="0"/>
    <m/>
    <m/>
    <m/>
    <m/>
    <n v="50"/>
    <n v="0"/>
    <n v="53523.970812500294"/>
  </r>
  <r>
    <x v="215"/>
    <x v="4"/>
    <x v="33"/>
    <x v="0"/>
    <x v="5"/>
    <x v="2354"/>
    <x v="25"/>
    <s v="POS"/>
    <n v="0.32"/>
    <n v="400"/>
    <n v="128"/>
    <n v="0"/>
    <m/>
    <m/>
    <m/>
    <m/>
    <n v="0"/>
    <n v="0"/>
    <n v="53523.970812500294"/>
  </r>
  <r>
    <x v="215"/>
    <x v="4"/>
    <x v="161"/>
    <x v="0"/>
    <x v="5"/>
    <x v="2354"/>
    <x v="25"/>
    <s v="POS"/>
    <n v="0.26750000000000002"/>
    <n v="400"/>
    <n v="107"/>
    <n v="0"/>
    <m/>
    <m/>
    <m/>
    <m/>
    <n v="0"/>
    <n v="0"/>
    <n v="53523.970812500294"/>
  </r>
  <r>
    <x v="215"/>
    <x v="4"/>
    <x v="30"/>
    <x v="0"/>
    <x v="1"/>
    <x v="2355"/>
    <x v="25"/>
    <s v="NAKİT"/>
    <n v="0.09"/>
    <n v="500"/>
    <n v="0"/>
    <n v="0"/>
    <m/>
    <m/>
    <m/>
    <m/>
    <n v="45"/>
    <n v="0"/>
    <n v="53568.970812500294"/>
  </r>
  <r>
    <x v="215"/>
    <x v="4"/>
    <x v="18"/>
    <x v="0"/>
    <x v="1"/>
    <x v="2355"/>
    <x v="25"/>
    <s v="NAKİT"/>
    <n v="1"/>
    <n v="250"/>
    <n v="0"/>
    <n v="0"/>
    <m/>
    <m/>
    <m/>
    <m/>
    <n v="250"/>
    <n v="0"/>
    <n v="53818.970812500294"/>
  </r>
  <r>
    <x v="215"/>
    <x v="4"/>
    <x v="286"/>
    <x v="0"/>
    <x v="5"/>
    <x v="2356"/>
    <x v="25"/>
    <s v="POS"/>
    <n v="1"/>
    <n v="60"/>
    <n v="60"/>
    <n v="0"/>
    <m/>
    <m/>
    <m/>
    <m/>
    <n v="0"/>
    <n v="0"/>
    <n v="53818.970812500294"/>
  </r>
  <r>
    <x v="215"/>
    <x v="4"/>
    <x v="287"/>
    <x v="0"/>
    <x v="5"/>
    <x v="2356"/>
    <x v="25"/>
    <s v="POS"/>
    <n v="1"/>
    <n v="60"/>
    <n v="60"/>
    <n v="0"/>
    <m/>
    <m/>
    <m/>
    <m/>
    <n v="0"/>
    <n v="0"/>
    <n v="53818.970812500294"/>
  </r>
  <r>
    <x v="215"/>
    <x v="4"/>
    <x v="348"/>
    <x v="0"/>
    <x v="5"/>
    <x v="2356"/>
    <x v="25"/>
    <s v="POS"/>
    <n v="0.5"/>
    <n v="50"/>
    <n v="25"/>
    <n v="0"/>
    <m/>
    <m/>
    <m/>
    <m/>
    <n v="0"/>
    <n v="0"/>
    <n v="53818.970812500294"/>
  </r>
  <r>
    <x v="216"/>
    <x v="4"/>
    <x v="18"/>
    <x v="0"/>
    <x v="1"/>
    <x v="2357"/>
    <x v="25"/>
    <s v="NAKİT"/>
    <n v="1"/>
    <n v="250"/>
    <n v="0"/>
    <n v="0"/>
    <m/>
    <m/>
    <m/>
    <m/>
    <n v="250"/>
    <n v="0"/>
    <n v="54068.970812500294"/>
  </r>
  <r>
    <x v="216"/>
    <x v="4"/>
    <x v="58"/>
    <x v="0"/>
    <x v="1"/>
    <x v="2357"/>
    <x v="25"/>
    <s v="NAKİT"/>
    <n v="1"/>
    <n v="250"/>
    <n v="0"/>
    <n v="0"/>
    <m/>
    <m/>
    <m/>
    <m/>
    <n v="250"/>
    <n v="0"/>
    <n v="54318.970812500294"/>
  </r>
  <r>
    <x v="216"/>
    <x v="4"/>
    <x v="93"/>
    <x v="0"/>
    <x v="5"/>
    <x v="2358"/>
    <x v="25"/>
    <s v="POS"/>
    <n v="1"/>
    <n v="340"/>
    <n v="340"/>
    <n v="0"/>
    <m/>
    <m/>
    <m/>
    <m/>
    <n v="0"/>
    <n v="0"/>
    <n v="54318.970812500294"/>
  </r>
  <r>
    <x v="216"/>
    <x v="4"/>
    <x v="18"/>
    <x v="0"/>
    <x v="5"/>
    <x v="2358"/>
    <x v="25"/>
    <s v="POS"/>
    <n v="1"/>
    <n v="250"/>
    <n v="250"/>
    <n v="0"/>
    <m/>
    <m/>
    <m/>
    <m/>
    <n v="0"/>
    <n v="0"/>
    <n v="54318.970812500294"/>
  </r>
  <r>
    <x v="216"/>
    <x v="4"/>
    <x v="58"/>
    <x v="0"/>
    <x v="5"/>
    <x v="2358"/>
    <x v="25"/>
    <s v="POS"/>
    <n v="1"/>
    <n v="250"/>
    <n v="250"/>
    <n v="0"/>
    <m/>
    <m/>
    <m/>
    <m/>
    <n v="0"/>
    <n v="0"/>
    <n v="54318.970812500294"/>
  </r>
  <r>
    <x v="216"/>
    <x v="4"/>
    <x v="384"/>
    <x v="0"/>
    <x v="5"/>
    <x v="2359"/>
    <x v="25"/>
    <s v="POS"/>
    <n v="1"/>
    <n v="300"/>
    <n v="300"/>
    <n v="0"/>
    <m/>
    <m/>
    <m/>
    <m/>
    <n v="0"/>
    <n v="0"/>
    <n v="54318.970812500294"/>
  </r>
  <r>
    <x v="216"/>
    <x v="4"/>
    <x v="78"/>
    <x v="0"/>
    <x v="1"/>
    <x v="2360"/>
    <x v="25"/>
    <s v="NAKİT"/>
    <n v="0.05"/>
    <n v="1400"/>
    <n v="0"/>
    <n v="0"/>
    <m/>
    <m/>
    <m/>
    <m/>
    <n v="70"/>
    <n v="0"/>
    <n v="54388.970812500294"/>
  </r>
  <r>
    <x v="216"/>
    <x v="4"/>
    <x v="67"/>
    <x v="0"/>
    <x v="1"/>
    <x v="2360"/>
    <x v="25"/>
    <s v="NAKİT"/>
    <n v="0.05"/>
    <n v="1000"/>
    <n v="0"/>
    <n v="0"/>
    <m/>
    <m/>
    <m/>
    <m/>
    <n v="50"/>
    <n v="0"/>
    <n v="54438.970812500294"/>
  </r>
  <r>
    <x v="216"/>
    <x v="4"/>
    <x v="113"/>
    <x v="0"/>
    <x v="1"/>
    <x v="2360"/>
    <x v="25"/>
    <s v="NAKİT"/>
    <n v="0.1"/>
    <n v="1300"/>
    <n v="0"/>
    <n v="0"/>
    <m/>
    <m/>
    <m/>
    <m/>
    <n v="130"/>
    <n v="0"/>
    <n v="54568.970812500294"/>
  </r>
  <r>
    <x v="216"/>
    <x v="4"/>
    <x v="88"/>
    <x v="0"/>
    <x v="1"/>
    <x v="2360"/>
    <x v="25"/>
    <s v="NAKİT"/>
    <n v="0.05"/>
    <n v="1200"/>
    <n v="0"/>
    <n v="0"/>
    <m/>
    <m/>
    <m/>
    <m/>
    <n v="60"/>
    <n v="0"/>
    <n v="54628.970812500294"/>
  </r>
  <r>
    <x v="216"/>
    <x v="4"/>
    <x v="292"/>
    <x v="0"/>
    <x v="1"/>
    <x v="2361"/>
    <x v="25"/>
    <s v="NAKİT"/>
    <n v="1"/>
    <n v="350"/>
    <n v="0"/>
    <n v="0"/>
    <m/>
    <m/>
    <m/>
    <m/>
    <n v="350"/>
    <n v="0"/>
    <n v="54978.970812500294"/>
  </r>
  <r>
    <x v="216"/>
    <x v="4"/>
    <x v="152"/>
    <x v="0"/>
    <x v="1"/>
    <x v="2361"/>
    <x v="25"/>
    <s v="NAKİT"/>
    <n v="1"/>
    <n v="80"/>
    <n v="0"/>
    <n v="0"/>
    <m/>
    <m/>
    <m/>
    <m/>
    <n v="80"/>
    <n v="0"/>
    <n v="55058.970812500294"/>
  </r>
  <r>
    <x v="216"/>
    <x v="4"/>
    <x v="454"/>
    <x v="0"/>
    <x v="1"/>
    <x v="2362"/>
    <x v="25"/>
    <s v="NAKİT"/>
    <n v="1"/>
    <n v="190"/>
    <n v="0"/>
    <n v="0"/>
    <m/>
    <m/>
    <m/>
    <m/>
    <n v="190"/>
    <n v="0"/>
    <n v="55248.970812500294"/>
  </r>
  <r>
    <x v="216"/>
    <x v="4"/>
    <x v="102"/>
    <x v="0"/>
    <x v="1"/>
    <x v="2363"/>
    <x v="25"/>
    <s v="NAKİT"/>
    <n v="0.1"/>
    <n v="500"/>
    <n v="0"/>
    <n v="0"/>
    <m/>
    <m/>
    <m/>
    <m/>
    <n v="50"/>
    <n v="0"/>
    <n v="55298.970812500294"/>
  </r>
  <r>
    <x v="216"/>
    <x v="4"/>
    <x v="111"/>
    <x v="0"/>
    <x v="1"/>
    <x v="2364"/>
    <x v="25"/>
    <s v="NAKİT"/>
    <n v="0.25"/>
    <n v="350"/>
    <n v="0"/>
    <n v="0"/>
    <m/>
    <m/>
    <m/>
    <m/>
    <n v="87.5"/>
    <n v="0"/>
    <n v="55386.470812500294"/>
  </r>
  <r>
    <x v="216"/>
    <x v="7"/>
    <x v="0"/>
    <x v="0"/>
    <x v="2"/>
    <x v="2"/>
    <x v="55"/>
    <s v="NAKİT"/>
    <n v="1"/>
    <n v="24664.7"/>
    <n v="24664.7"/>
    <n v="0"/>
    <m/>
    <m/>
    <m/>
    <m/>
    <n v="0"/>
    <n v="24664.7"/>
    <n v="30721.770812500294"/>
  </r>
  <r>
    <x v="217"/>
    <x v="4"/>
    <x v="18"/>
    <x v="0"/>
    <x v="1"/>
    <x v="2365"/>
    <x v="25"/>
    <s v="NAKİT"/>
    <n v="1"/>
    <n v="250"/>
    <n v="0"/>
    <n v="0"/>
    <m/>
    <m/>
    <m/>
    <m/>
    <n v="250"/>
    <n v="0"/>
    <n v="30971.770812500294"/>
  </r>
  <r>
    <x v="217"/>
    <x v="4"/>
    <x v="58"/>
    <x v="0"/>
    <x v="1"/>
    <x v="2365"/>
    <x v="25"/>
    <s v="NAKİT"/>
    <n v="1"/>
    <n v="250"/>
    <n v="0"/>
    <n v="0"/>
    <m/>
    <m/>
    <m/>
    <m/>
    <n v="250"/>
    <n v="0"/>
    <n v="31221.770812500294"/>
  </r>
  <r>
    <x v="217"/>
    <x v="4"/>
    <x v="153"/>
    <x v="0"/>
    <x v="1"/>
    <x v="2366"/>
    <x v="25"/>
    <s v="NAKİT"/>
    <n v="1"/>
    <n v="25"/>
    <n v="0"/>
    <n v="0"/>
    <m/>
    <m/>
    <m/>
    <m/>
    <n v="25"/>
    <n v="0"/>
    <n v="31246.770812500294"/>
  </r>
  <r>
    <x v="217"/>
    <x v="4"/>
    <x v="261"/>
    <x v="0"/>
    <x v="1"/>
    <x v="2366"/>
    <x v="25"/>
    <s v="NAKİT"/>
    <n v="1"/>
    <n v="120"/>
    <n v="0"/>
    <n v="0"/>
    <m/>
    <m/>
    <m/>
    <m/>
    <n v="120"/>
    <n v="0"/>
    <n v="31366.770812500294"/>
  </r>
  <r>
    <x v="217"/>
    <x v="4"/>
    <x v="392"/>
    <x v="0"/>
    <x v="1"/>
    <x v="2366"/>
    <x v="25"/>
    <s v="NAKİT"/>
    <n v="1"/>
    <n v="370"/>
    <n v="0"/>
    <n v="0"/>
    <m/>
    <m/>
    <m/>
    <m/>
    <n v="370"/>
    <n v="0"/>
    <n v="31736.770812500294"/>
  </r>
  <r>
    <x v="217"/>
    <x v="4"/>
    <x v="455"/>
    <x v="0"/>
    <x v="1"/>
    <x v="2366"/>
    <x v="25"/>
    <s v="NAKİT"/>
    <n v="2"/>
    <n v="100"/>
    <n v="0"/>
    <n v="0"/>
    <m/>
    <m/>
    <m/>
    <m/>
    <n v="200"/>
    <n v="0"/>
    <n v="31936.770812500294"/>
  </r>
  <r>
    <x v="217"/>
    <x v="4"/>
    <x v="394"/>
    <x v="0"/>
    <x v="16"/>
    <x v="2367"/>
    <x v="234"/>
    <s v="CARİ"/>
    <n v="1.75"/>
    <n v="400"/>
    <n v="700"/>
    <n v="0"/>
    <m/>
    <m/>
    <m/>
    <m/>
    <n v="0"/>
    <n v="0"/>
    <n v="31936.770812500294"/>
  </r>
  <r>
    <x v="217"/>
    <x v="4"/>
    <x v="113"/>
    <x v="0"/>
    <x v="16"/>
    <x v="2367"/>
    <x v="234"/>
    <s v="CARİ"/>
    <n v="0.1"/>
    <n v="1000"/>
    <n v="100"/>
    <n v="0"/>
    <m/>
    <m/>
    <m/>
    <m/>
    <n v="0"/>
    <n v="0"/>
    <n v="31936.770812500294"/>
  </r>
  <r>
    <x v="217"/>
    <x v="4"/>
    <x v="242"/>
    <x v="0"/>
    <x v="16"/>
    <x v="2367"/>
    <x v="234"/>
    <s v="CARİ"/>
    <n v="0.25641025641025639"/>
    <n v="195"/>
    <n v="49.999999999999993"/>
    <n v="0"/>
    <m/>
    <m/>
    <m/>
    <m/>
    <n v="0"/>
    <n v="0"/>
    <n v="31936.770812500294"/>
  </r>
  <r>
    <x v="217"/>
    <x v="4"/>
    <x v="49"/>
    <x v="0"/>
    <x v="1"/>
    <x v="2368"/>
    <x v="25"/>
    <s v="NAKİT"/>
    <n v="0.15"/>
    <n v="600"/>
    <n v="0"/>
    <n v="0"/>
    <m/>
    <m/>
    <m/>
    <m/>
    <n v="90"/>
    <n v="0"/>
    <n v="32026.770812500294"/>
  </r>
  <r>
    <x v="217"/>
    <x v="4"/>
    <x v="50"/>
    <x v="0"/>
    <x v="1"/>
    <x v="2368"/>
    <x v="25"/>
    <s v="NAKİT"/>
    <n v="0.08"/>
    <n v="750"/>
    <n v="0"/>
    <n v="0"/>
    <m/>
    <m/>
    <m/>
    <m/>
    <n v="60"/>
    <n v="0"/>
    <n v="32086.770812500294"/>
  </r>
  <r>
    <x v="217"/>
    <x v="4"/>
    <x v="131"/>
    <x v="0"/>
    <x v="1"/>
    <x v="2369"/>
    <x v="25"/>
    <s v="NAKİT"/>
    <n v="1"/>
    <n v="220"/>
    <n v="0"/>
    <n v="0"/>
    <m/>
    <m/>
    <m/>
    <m/>
    <n v="220"/>
    <n v="0"/>
    <n v="32306.770812500294"/>
  </r>
  <r>
    <x v="217"/>
    <x v="4"/>
    <x v="131"/>
    <x v="0"/>
    <x v="5"/>
    <x v="2370"/>
    <x v="25"/>
    <s v="POS"/>
    <n v="1"/>
    <n v="220"/>
    <n v="220"/>
    <n v="0"/>
    <m/>
    <m/>
    <m/>
    <m/>
    <n v="0"/>
    <n v="0"/>
    <n v="32306.770812500294"/>
  </r>
  <r>
    <x v="217"/>
    <x v="4"/>
    <x v="217"/>
    <x v="0"/>
    <x v="5"/>
    <x v="2370"/>
    <x v="25"/>
    <s v="POS"/>
    <n v="1"/>
    <n v="250"/>
    <n v="250"/>
    <n v="0"/>
    <m/>
    <m/>
    <m/>
    <m/>
    <n v="0"/>
    <n v="0"/>
    <n v="32306.770812500294"/>
  </r>
  <r>
    <x v="217"/>
    <x v="4"/>
    <x v="161"/>
    <x v="0"/>
    <x v="1"/>
    <x v="2371"/>
    <x v="25"/>
    <s v="NAKİT"/>
    <n v="0.125"/>
    <n v="400"/>
    <n v="0"/>
    <n v="0"/>
    <m/>
    <m/>
    <m/>
    <m/>
    <n v="50"/>
    <n v="0"/>
    <n v="32356.770812500294"/>
  </r>
  <r>
    <x v="217"/>
    <x v="4"/>
    <x v="341"/>
    <x v="0"/>
    <x v="5"/>
    <x v="2372"/>
    <x v="25"/>
    <s v="POS"/>
    <n v="1"/>
    <n v="140"/>
    <n v="140"/>
    <n v="0"/>
    <m/>
    <m/>
    <m/>
    <m/>
    <n v="0"/>
    <n v="0"/>
    <n v="32356.770812500294"/>
  </r>
  <r>
    <x v="217"/>
    <x v="4"/>
    <x v="29"/>
    <x v="0"/>
    <x v="5"/>
    <x v="2372"/>
    <x v="25"/>
    <s v="POS"/>
    <n v="3.6999999999999998E-2"/>
    <n v="850"/>
    <n v="31.45"/>
    <n v="0"/>
    <m/>
    <m/>
    <m/>
    <m/>
    <n v="0"/>
    <n v="0"/>
    <n v="32356.770812500294"/>
  </r>
  <r>
    <x v="217"/>
    <x v="4"/>
    <x v="25"/>
    <x v="0"/>
    <x v="5"/>
    <x v="2372"/>
    <x v="25"/>
    <s v="POS"/>
    <n v="8.199999999999999E-2"/>
    <n v="400"/>
    <n v="32.799999999999997"/>
    <n v="0"/>
    <m/>
    <m/>
    <m/>
    <m/>
    <n v="0"/>
    <n v="0"/>
    <n v="32356.770812500294"/>
  </r>
  <r>
    <x v="217"/>
    <x v="4"/>
    <x v="285"/>
    <x v="0"/>
    <x v="1"/>
    <x v="2373"/>
    <x v="25"/>
    <s v="NAKİT"/>
    <n v="0.25"/>
    <n v="320"/>
    <n v="0"/>
    <n v="0"/>
    <m/>
    <m/>
    <m/>
    <m/>
    <n v="80"/>
    <n v="0"/>
    <n v="32436.770812500294"/>
  </r>
  <r>
    <x v="217"/>
    <x v="4"/>
    <x v="446"/>
    <x v="0"/>
    <x v="1"/>
    <x v="2374"/>
    <x v="25"/>
    <s v="NAKİT"/>
    <n v="0.40909090909090912"/>
    <n v="490"/>
    <n v="0"/>
    <n v="0"/>
    <m/>
    <m/>
    <m/>
    <m/>
    <n v="200.45454545454547"/>
    <n v="0"/>
    <n v="32637.225357954838"/>
  </r>
  <r>
    <x v="217"/>
    <x v="4"/>
    <x v="265"/>
    <x v="0"/>
    <x v="5"/>
    <x v="2375"/>
    <x v="25"/>
    <s v="POS"/>
    <n v="1"/>
    <n v="100"/>
    <n v="100"/>
    <n v="0"/>
    <m/>
    <m/>
    <m/>
    <m/>
    <n v="0"/>
    <n v="0"/>
    <n v="32637.225357954838"/>
  </r>
  <r>
    <x v="217"/>
    <x v="10"/>
    <x v="0"/>
    <x v="0"/>
    <x v="5"/>
    <x v="2"/>
    <x v="63"/>
    <s v="POS"/>
    <n v="1"/>
    <n v="4"/>
    <n v="0"/>
    <n v="4"/>
    <m/>
    <m/>
    <m/>
    <m/>
    <n v="4"/>
    <n v="0"/>
    <n v="32641.225357954838"/>
  </r>
  <r>
    <x v="218"/>
    <x v="4"/>
    <x v="57"/>
    <x v="0"/>
    <x v="1"/>
    <x v="2376"/>
    <x v="25"/>
    <s v="NAKİT"/>
    <n v="1"/>
    <n v="150"/>
    <n v="0"/>
    <n v="0"/>
    <m/>
    <m/>
    <m/>
    <m/>
    <n v="150"/>
    <n v="0"/>
    <n v="32791.225357954841"/>
  </r>
  <r>
    <x v="218"/>
    <x v="4"/>
    <x v="56"/>
    <x v="0"/>
    <x v="1"/>
    <x v="2376"/>
    <x v="25"/>
    <s v="NAKİT"/>
    <n v="1"/>
    <n v="200"/>
    <n v="0"/>
    <n v="0"/>
    <m/>
    <m/>
    <m/>
    <m/>
    <n v="200"/>
    <n v="0"/>
    <n v="32991.225357954841"/>
  </r>
  <r>
    <x v="218"/>
    <x v="4"/>
    <x v="14"/>
    <x v="0"/>
    <x v="5"/>
    <x v="2377"/>
    <x v="25"/>
    <s v="POS"/>
    <n v="0.5"/>
    <n v="300"/>
    <n v="150"/>
    <n v="0"/>
    <m/>
    <m/>
    <m/>
    <m/>
    <n v="0"/>
    <n v="0"/>
    <n v="32991.225357954841"/>
  </r>
  <r>
    <x v="218"/>
    <x v="4"/>
    <x v="33"/>
    <x v="0"/>
    <x v="1"/>
    <x v="2378"/>
    <x v="25"/>
    <s v="NAKİT"/>
    <n v="0.3"/>
    <n v="400"/>
    <n v="0"/>
    <n v="0"/>
    <m/>
    <m/>
    <m/>
    <m/>
    <n v="120"/>
    <n v="0"/>
    <n v="33111.225357954841"/>
  </r>
  <r>
    <x v="218"/>
    <x v="4"/>
    <x v="27"/>
    <x v="0"/>
    <x v="1"/>
    <x v="2378"/>
    <x v="25"/>
    <s v="NAKİT"/>
    <n v="7.4999999999999997E-2"/>
    <n v="400"/>
    <n v="0"/>
    <n v="0"/>
    <m/>
    <m/>
    <m/>
    <m/>
    <n v="30"/>
    <n v="0"/>
    <n v="33141.225357954841"/>
  </r>
  <r>
    <x v="218"/>
    <x v="4"/>
    <x v="25"/>
    <x v="0"/>
    <x v="1"/>
    <x v="2379"/>
    <x v="25"/>
    <s v="NAKİT"/>
    <n v="0.125"/>
    <n v="400"/>
    <n v="0"/>
    <n v="0"/>
    <m/>
    <m/>
    <m/>
    <m/>
    <n v="50"/>
    <n v="0"/>
    <n v="33191.225357954841"/>
  </r>
  <r>
    <x v="218"/>
    <x v="4"/>
    <x v="55"/>
    <x v="0"/>
    <x v="5"/>
    <x v="2380"/>
    <x v="25"/>
    <s v="POS"/>
    <n v="0.5"/>
    <n v="200"/>
    <n v="100"/>
    <n v="0"/>
    <m/>
    <m/>
    <m/>
    <m/>
    <n v="0"/>
    <n v="0"/>
    <n v="33191.225357954841"/>
  </r>
  <r>
    <x v="218"/>
    <x v="4"/>
    <x v="56"/>
    <x v="0"/>
    <x v="5"/>
    <x v="2380"/>
    <x v="25"/>
    <s v="POS"/>
    <n v="0.5"/>
    <n v="200"/>
    <n v="100"/>
    <n v="0"/>
    <m/>
    <m/>
    <m/>
    <m/>
    <n v="0"/>
    <n v="0"/>
    <n v="33191.225357954841"/>
  </r>
  <r>
    <x v="218"/>
    <x v="4"/>
    <x v="67"/>
    <x v="0"/>
    <x v="1"/>
    <x v="2381"/>
    <x v="25"/>
    <s v="NAKİT"/>
    <n v="0.1"/>
    <n v="900"/>
    <n v="0"/>
    <n v="0"/>
    <m/>
    <m/>
    <m/>
    <m/>
    <n v="90"/>
    <n v="0"/>
    <n v="33281.225357954841"/>
  </r>
  <r>
    <x v="218"/>
    <x v="4"/>
    <x v="27"/>
    <x v="0"/>
    <x v="1"/>
    <x v="2381"/>
    <x v="25"/>
    <s v="NAKİT"/>
    <n v="0.1"/>
    <n v="400"/>
    <n v="0"/>
    <n v="0"/>
    <m/>
    <m/>
    <m/>
    <m/>
    <n v="40"/>
    <n v="0"/>
    <n v="33321.225357954841"/>
  </r>
  <r>
    <x v="218"/>
    <x v="4"/>
    <x v="16"/>
    <x v="0"/>
    <x v="5"/>
    <x v="2382"/>
    <x v="25"/>
    <s v="POS"/>
    <n v="1"/>
    <n v="165"/>
    <n v="165"/>
    <n v="0"/>
    <m/>
    <m/>
    <m/>
    <m/>
    <n v="0"/>
    <n v="0"/>
    <n v="33321.225357954841"/>
  </r>
  <r>
    <x v="218"/>
    <x v="4"/>
    <x v="386"/>
    <x v="0"/>
    <x v="1"/>
    <x v="2383"/>
    <x v="25"/>
    <s v="NAKİT"/>
    <n v="3"/>
    <n v="30"/>
    <n v="0"/>
    <n v="0"/>
    <m/>
    <m/>
    <m/>
    <m/>
    <n v="90"/>
    <n v="0"/>
    <n v="33411.225357954841"/>
  </r>
  <r>
    <x v="218"/>
    <x v="4"/>
    <x v="22"/>
    <x v="0"/>
    <x v="1"/>
    <x v="2384"/>
    <x v="25"/>
    <s v="NAKİT"/>
    <n v="6.7500000000000004E-2"/>
    <n v="400"/>
    <n v="0"/>
    <n v="0"/>
    <m/>
    <m/>
    <m/>
    <m/>
    <n v="27"/>
    <n v="0"/>
    <n v="33438.225357954841"/>
  </r>
  <r>
    <x v="218"/>
    <x v="4"/>
    <x v="66"/>
    <x v="0"/>
    <x v="1"/>
    <x v="2385"/>
    <x v="25"/>
    <s v="NAKİT"/>
    <n v="0.12"/>
    <n v="417"/>
    <n v="0"/>
    <n v="0"/>
    <m/>
    <m/>
    <m/>
    <m/>
    <n v="50.04"/>
    <n v="0"/>
    <n v="33488.265357954842"/>
  </r>
  <r>
    <x v="218"/>
    <x v="4"/>
    <x v="226"/>
    <x v="0"/>
    <x v="5"/>
    <x v="2386"/>
    <x v="25"/>
    <s v="POS"/>
    <n v="1"/>
    <n v="240"/>
    <n v="240"/>
    <n v="0"/>
    <m/>
    <m/>
    <m/>
    <m/>
    <n v="0"/>
    <n v="0"/>
    <n v="33488.265357954842"/>
  </r>
  <r>
    <x v="218"/>
    <x v="4"/>
    <x v="307"/>
    <x v="0"/>
    <x v="5"/>
    <x v="2386"/>
    <x v="25"/>
    <s v="POS"/>
    <n v="1"/>
    <n v="140"/>
    <n v="140"/>
    <n v="0"/>
    <m/>
    <m/>
    <m/>
    <m/>
    <n v="0"/>
    <n v="0"/>
    <n v="33488.265357954842"/>
  </r>
  <r>
    <x v="218"/>
    <x v="4"/>
    <x v="409"/>
    <x v="0"/>
    <x v="5"/>
    <x v="2386"/>
    <x v="25"/>
    <s v="POS"/>
    <n v="1"/>
    <n v="130"/>
    <n v="130"/>
    <n v="0"/>
    <m/>
    <m/>
    <m/>
    <m/>
    <n v="0"/>
    <n v="0"/>
    <n v="33488.265357954842"/>
  </r>
  <r>
    <x v="218"/>
    <x v="4"/>
    <x v="258"/>
    <x v="0"/>
    <x v="5"/>
    <x v="2386"/>
    <x v="25"/>
    <s v="POS"/>
    <n v="1"/>
    <n v="125"/>
    <n v="125"/>
    <n v="0"/>
    <m/>
    <m/>
    <m/>
    <m/>
    <n v="0"/>
    <n v="0"/>
    <n v="33488.265357954842"/>
  </r>
  <r>
    <x v="218"/>
    <x v="4"/>
    <x v="371"/>
    <x v="0"/>
    <x v="1"/>
    <x v="2387"/>
    <x v="235"/>
    <s v="NAKİT"/>
    <n v="0.05"/>
    <n v="280"/>
    <n v="0"/>
    <n v="0"/>
    <m/>
    <m/>
    <m/>
    <m/>
    <n v="14"/>
    <n v="0"/>
    <n v="33502.265357954842"/>
  </r>
  <r>
    <x v="218"/>
    <x v="4"/>
    <x v="132"/>
    <x v="0"/>
    <x v="1"/>
    <x v="2388"/>
    <x v="25"/>
    <s v="NAKİT"/>
    <n v="2"/>
    <n v="220"/>
    <n v="0"/>
    <n v="0"/>
    <m/>
    <m/>
    <m/>
    <m/>
    <n v="440"/>
    <n v="0"/>
    <n v="33942.265357954842"/>
  </r>
  <r>
    <x v="218"/>
    <x v="4"/>
    <x v="88"/>
    <x v="0"/>
    <x v="1"/>
    <x v="2388"/>
    <x v="25"/>
    <s v="NAKİT"/>
    <n v="0.05"/>
    <n v="1200"/>
    <n v="0"/>
    <n v="0"/>
    <m/>
    <m/>
    <m/>
    <m/>
    <n v="60"/>
    <n v="0"/>
    <n v="34002.265357954842"/>
  </r>
  <r>
    <x v="218"/>
    <x v="7"/>
    <x v="0"/>
    <x v="0"/>
    <x v="3"/>
    <x v="2"/>
    <x v="236"/>
    <s v="NAKİT"/>
    <n v="1"/>
    <n v="20000"/>
    <n v="20000"/>
    <n v="0"/>
    <m/>
    <m/>
    <m/>
    <m/>
    <n v="0"/>
    <n v="20000"/>
    <n v="14002.265357954842"/>
  </r>
  <r>
    <x v="218"/>
    <x v="1"/>
    <x v="0"/>
    <x v="12"/>
    <x v="1"/>
    <x v="2"/>
    <x v="237"/>
    <s v="NAKİT"/>
    <n v="2"/>
    <n v="2000"/>
    <n v="0"/>
    <n v="0"/>
    <m/>
    <m/>
    <m/>
    <m/>
    <n v="0"/>
    <n v="4000"/>
    <n v="10002.265357954842"/>
  </r>
  <r>
    <x v="218"/>
    <x v="7"/>
    <x v="0"/>
    <x v="0"/>
    <x v="3"/>
    <x v="2"/>
    <x v="236"/>
    <s v="NAKİT"/>
    <n v="1"/>
    <n v="7000"/>
    <n v="7000"/>
    <n v="0"/>
    <m/>
    <m/>
    <m/>
    <m/>
    <n v="0"/>
    <n v="7000"/>
    <n v="3002.2653579548423"/>
  </r>
  <r>
    <x v="218"/>
    <x v="3"/>
    <x v="0"/>
    <x v="0"/>
    <x v="2"/>
    <x v="2"/>
    <x v="50"/>
    <s v="CARİ"/>
    <n v="3"/>
    <n v="143.66999999999999"/>
    <n v="0"/>
    <n v="431.01"/>
    <m/>
    <m/>
    <m/>
    <m/>
    <n v="0"/>
    <n v="0"/>
    <n v="3002.2653579548423"/>
  </r>
  <r>
    <x v="219"/>
    <x v="4"/>
    <x v="142"/>
    <x v="0"/>
    <x v="1"/>
    <x v="2389"/>
    <x v="112"/>
    <s v="NAKİT"/>
    <n v="0.25"/>
    <n v="250"/>
    <n v="0"/>
    <n v="0"/>
    <m/>
    <m/>
    <m/>
    <m/>
    <n v="62.5"/>
    <n v="0"/>
    <n v="3064.7653579548423"/>
  </r>
  <r>
    <x v="219"/>
    <x v="4"/>
    <x v="449"/>
    <x v="0"/>
    <x v="1"/>
    <x v="2389"/>
    <x v="25"/>
    <s v="NAKİT"/>
    <n v="0.16923076923076924"/>
    <n v="650"/>
    <n v="0"/>
    <n v="0"/>
    <m/>
    <m/>
    <m/>
    <m/>
    <n v="110"/>
    <n v="0"/>
    <n v="3174.7653579548423"/>
  </r>
  <r>
    <x v="219"/>
    <x v="4"/>
    <x v="129"/>
    <x v="0"/>
    <x v="1"/>
    <x v="2389"/>
    <x v="25"/>
    <s v="NAKİT"/>
    <n v="0.20833333333333334"/>
    <n v="250"/>
    <n v="0"/>
    <n v="0"/>
    <m/>
    <m/>
    <m/>
    <m/>
    <n v="52.083333333333336"/>
    <n v="0"/>
    <n v="3226.8486912881758"/>
  </r>
  <r>
    <x v="219"/>
    <x v="4"/>
    <x v="29"/>
    <x v="0"/>
    <x v="1"/>
    <x v="2390"/>
    <x v="238"/>
    <s v="NAKİT"/>
    <n v="0.25"/>
    <n v="850"/>
    <n v="0"/>
    <n v="0"/>
    <m/>
    <m/>
    <m/>
    <m/>
    <n v="212.5"/>
    <n v="0"/>
    <n v="3439.3486912881758"/>
  </r>
  <r>
    <x v="219"/>
    <x v="4"/>
    <x v="161"/>
    <x v="0"/>
    <x v="1"/>
    <x v="2390"/>
    <x v="238"/>
    <s v="NAKİT"/>
    <n v="0.5"/>
    <n v="400"/>
    <n v="0"/>
    <n v="0"/>
    <m/>
    <m/>
    <m/>
    <m/>
    <n v="200"/>
    <n v="0"/>
    <n v="3639.3486912881758"/>
  </r>
  <r>
    <x v="219"/>
    <x v="4"/>
    <x v="57"/>
    <x v="0"/>
    <x v="1"/>
    <x v="2390"/>
    <x v="238"/>
    <s v="NAKİT"/>
    <n v="5"/>
    <n v="150"/>
    <n v="0"/>
    <n v="0"/>
    <m/>
    <m/>
    <m/>
    <m/>
    <n v="750"/>
    <n v="0"/>
    <n v="4389.3486912881763"/>
  </r>
  <r>
    <x v="219"/>
    <x v="4"/>
    <x v="56"/>
    <x v="0"/>
    <x v="1"/>
    <x v="2390"/>
    <x v="238"/>
    <s v="NAKİT"/>
    <n v="2"/>
    <n v="200"/>
    <n v="0"/>
    <n v="0"/>
    <m/>
    <m/>
    <m/>
    <m/>
    <n v="400"/>
    <n v="0"/>
    <n v="4789.3486912881763"/>
  </r>
  <r>
    <x v="219"/>
    <x v="4"/>
    <x v="289"/>
    <x v="0"/>
    <x v="1"/>
    <x v="2390"/>
    <x v="238"/>
    <s v="NAKİT"/>
    <n v="0.5"/>
    <n v="400"/>
    <n v="0"/>
    <n v="0"/>
    <m/>
    <m/>
    <m/>
    <m/>
    <n v="200"/>
    <n v="0"/>
    <n v="4989.3486912881763"/>
  </r>
  <r>
    <x v="219"/>
    <x v="4"/>
    <x v="151"/>
    <x v="0"/>
    <x v="1"/>
    <x v="2390"/>
    <x v="238"/>
    <s v="NAKİT"/>
    <n v="0.1"/>
    <n v="750"/>
    <n v="0"/>
    <n v="0"/>
    <m/>
    <m/>
    <m/>
    <m/>
    <n v="75"/>
    <n v="0"/>
    <n v="5064.3486912881763"/>
  </r>
  <r>
    <x v="219"/>
    <x v="4"/>
    <x v="187"/>
    <x v="0"/>
    <x v="1"/>
    <x v="2390"/>
    <x v="238"/>
    <s v="NAKİT"/>
    <n v="1"/>
    <n v="260"/>
    <n v="0"/>
    <n v="0"/>
    <m/>
    <m/>
    <m/>
    <m/>
    <n v="260"/>
    <n v="0"/>
    <n v="5324.3486912881763"/>
  </r>
  <r>
    <x v="219"/>
    <x v="4"/>
    <x v="217"/>
    <x v="0"/>
    <x v="1"/>
    <x v="2390"/>
    <x v="238"/>
    <s v="NAKİT"/>
    <n v="2"/>
    <n v="250"/>
    <n v="0"/>
    <n v="0"/>
    <m/>
    <m/>
    <m/>
    <m/>
    <n v="500"/>
    <n v="0"/>
    <n v="5824.3486912881763"/>
  </r>
  <r>
    <x v="219"/>
    <x v="4"/>
    <x v="188"/>
    <x v="0"/>
    <x v="1"/>
    <x v="2390"/>
    <x v="238"/>
    <s v="NAKİT"/>
    <n v="1"/>
    <n v="250"/>
    <n v="0"/>
    <n v="0"/>
    <m/>
    <m/>
    <m/>
    <m/>
    <n v="250"/>
    <n v="0"/>
    <n v="6074.3486912881763"/>
  </r>
  <r>
    <x v="219"/>
    <x v="4"/>
    <x v="238"/>
    <x v="0"/>
    <x v="1"/>
    <x v="2390"/>
    <x v="238"/>
    <s v="NAKİT"/>
    <n v="0.53"/>
    <n v="350"/>
    <n v="0"/>
    <n v="0"/>
    <m/>
    <m/>
    <m/>
    <m/>
    <n v="185.5"/>
    <n v="0"/>
    <n v="6259.8486912881763"/>
  </r>
  <r>
    <x v="219"/>
    <x v="4"/>
    <x v="262"/>
    <x v="0"/>
    <x v="1"/>
    <x v="2390"/>
    <x v="238"/>
    <s v="NAKİT"/>
    <n v="1"/>
    <n v="130"/>
    <n v="0"/>
    <n v="0"/>
    <m/>
    <m/>
    <m/>
    <m/>
    <n v="130"/>
    <n v="0"/>
    <n v="6389.8486912881763"/>
  </r>
  <r>
    <x v="219"/>
    <x v="4"/>
    <x v="392"/>
    <x v="0"/>
    <x v="1"/>
    <x v="2390"/>
    <x v="238"/>
    <s v="NAKİT"/>
    <n v="0.5"/>
    <n v="370"/>
    <n v="0"/>
    <n v="0"/>
    <m/>
    <m/>
    <m/>
    <m/>
    <n v="185"/>
    <n v="0"/>
    <n v="6574.8486912881763"/>
  </r>
  <r>
    <x v="219"/>
    <x v="4"/>
    <x v="55"/>
    <x v="0"/>
    <x v="1"/>
    <x v="2391"/>
    <x v="239"/>
    <s v="NAKİT"/>
    <n v="1"/>
    <n v="200"/>
    <n v="0"/>
    <n v="0"/>
    <m/>
    <m/>
    <m/>
    <m/>
    <n v="200"/>
    <n v="0"/>
    <n v="6774.8486912881763"/>
  </r>
  <r>
    <x v="219"/>
    <x v="4"/>
    <x v="57"/>
    <x v="0"/>
    <x v="1"/>
    <x v="2391"/>
    <x v="239"/>
    <s v="NAKİT"/>
    <n v="1"/>
    <n v="150"/>
    <n v="0"/>
    <n v="0"/>
    <m/>
    <m/>
    <m/>
    <m/>
    <n v="150"/>
    <n v="0"/>
    <n v="6924.8486912881763"/>
  </r>
  <r>
    <x v="219"/>
    <x v="4"/>
    <x v="29"/>
    <x v="0"/>
    <x v="1"/>
    <x v="2392"/>
    <x v="25"/>
    <s v="NAKİT"/>
    <n v="5.8823529411764705E-2"/>
    <n v="850"/>
    <n v="0"/>
    <n v="0"/>
    <m/>
    <m/>
    <m/>
    <m/>
    <n v="50"/>
    <n v="0"/>
    <n v="6974.8486912881763"/>
  </r>
  <r>
    <x v="219"/>
    <x v="4"/>
    <x v="33"/>
    <x v="0"/>
    <x v="1"/>
    <x v="2392"/>
    <x v="25"/>
    <s v="NAKİT"/>
    <n v="0.125"/>
    <n v="400"/>
    <n v="0"/>
    <n v="0"/>
    <m/>
    <m/>
    <m/>
    <m/>
    <n v="50"/>
    <n v="0"/>
    <n v="7024.8486912881763"/>
  </r>
  <r>
    <x v="219"/>
    <x v="4"/>
    <x v="162"/>
    <x v="0"/>
    <x v="1"/>
    <x v="2393"/>
    <x v="25"/>
    <s v="NAKİT"/>
    <n v="1"/>
    <n v="50"/>
    <n v="0"/>
    <n v="0"/>
    <m/>
    <m/>
    <m/>
    <m/>
    <n v="50"/>
    <n v="0"/>
    <n v="7074.8486912881763"/>
  </r>
  <r>
    <x v="219"/>
    <x v="4"/>
    <x v="168"/>
    <x v="0"/>
    <x v="1"/>
    <x v="2393"/>
    <x v="25"/>
    <s v="NAKİT"/>
    <n v="1"/>
    <n v="50"/>
    <n v="0"/>
    <n v="0"/>
    <m/>
    <m/>
    <m/>
    <m/>
    <n v="50"/>
    <n v="0"/>
    <n v="7124.8486912881763"/>
  </r>
  <r>
    <x v="219"/>
    <x v="4"/>
    <x v="166"/>
    <x v="0"/>
    <x v="1"/>
    <x v="2393"/>
    <x v="25"/>
    <s v="NAKİT"/>
    <n v="1"/>
    <n v="50"/>
    <n v="0"/>
    <n v="0"/>
    <m/>
    <m/>
    <m/>
    <m/>
    <n v="50"/>
    <n v="0"/>
    <n v="7174.8486912881763"/>
  </r>
  <r>
    <x v="219"/>
    <x v="4"/>
    <x v="163"/>
    <x v="0"/>
    <x v="1"/>
    <x v="2393"/>
    <x v="25"/>
    <s v="NAKİT"/>
    <n v="1"/>
    <n v="50"/>
    <n v="0"/>
    <n v="0"/>
    <m/>
    <m/>
    <m/>
    <m/>
    <n v="50"/>
    <n v="0"/>
    <n v="7224.8486912881763"/>
  </r>
  <r>
    <x v="219"/>
    <x v="4"/>
    <x v="167"/>
    <x v="0"/>
    <x v="1"/>
    <x v="2393"/>
    <x v="25"/>
    <s v="NAKİT"/>
    <n v="1"/>
    <n v="50"/>
    <n v="0"/>
    <n v="0"/>
    <m/>
    <m/>
    <m/>
    <m/>
    <n v="50"/>
    <n v="0"/>
    <n v="7274.8486912881763"/>
  </r>
  <r>
    <x v="219"/>
    <x v="4"/>
    <x v="18"/>
    <x v="0"/>
    <x v="5"/>
    <x v="2394"/>
    <x v="25"/>
    <s v="POS"/>
    <n v="1"/>
    <n v="250"/>
    <n v="250"/>
    <n v="0"/>
    <m/>
    <m/>
    <m/>
    <m/>
    <n v="0"/>
    <n v="0"/>
    <n v="7274.8486912881763"/>
  </r>
  <r>
    <x v="219"/>
    <x v="4"/>
    <x v="69"/>
    <x v="0"/>
    <x v="1"/>
    <x v="2395"/>
    <x v="240"/>
    <s v="NAKİT"/>
    <n v="0.05"/>
    <n v="1000"/>
    <n v="0"/>
    <n v="0"/>
    <m/>
    <m/>
    <m/>
    <m/>
    <n v="50"/>
    <n v="0"/>
    <n v="7324.8486912881763"/>
  </r>
  <r>
    <x v="219"/>
    <x v="4"/>
    <x v="188"/>
    <x v="0"/>
    <x v="1"/>
    <x v="2395"/>
    <x v="240"/>
    <s v="NAKİT"/>
    <n v="1"/>
    <n v="250"/>
    <n v="0"/>
    <n v="0"/>
    <m/>
    <m/>
    <m/>
    <m/>
    <n v="250"/>
    <n v="0"/>
    <n v="7574.8486912881763"/>
  </r>
  <r>
    <x v="219"/>
    <x v="4"/>
    <x v="315"/>
    <x v="0"/>
    <x v="1"/>
    <x v="2395"/>
    <x v="240"/>
    <s v="NAKİT"/>
    <n v="1"/>
    <n v="195"/>
    <n v="0"/>
    <n v="0"/>
    <m/>
    <m/>
    <m/>
    <m/>
    <n v="195"/>
    <n v="0"/>
    <n v="7769.8486912881763"/>
  </r>
  <r>
    <x v="219"/>
    <x v="4"/>
    <x v="192"/>
    <x v="0"/>
    <x v="1"/>
    <x v="2396"/>
    <x v="241"/>
    <s v="NAKİT"/>
    <n v="1"/>
    <n v="430"/>
    <n v="0"/>
    <n v="0"/>
    <m/>
    <m/>
    <m/>
    <m/>
    <n v="430"/>
    <n v="0"/>
    <n v="8199.8486912881763"/>
  </r>
  <r>
    <x v="219"/>
    <x v="4"/>
    <x v="225"/>
    <x v="0"/>
    <x v="1"/>
    <x v="2396"/>
    <x v="241"/>
    <s v="NAKİT"/>
    <n v="1"/>
    <n v="350"/>
    <n v="0"/>
    <n v="0"/>
    <m/>
    <m/>
    <m/>
    <m/>
    <n v="350"/>
    <n v="0"/>
    <n v="8549.8486912881763"/>
  </r>
  <r>
    <x v="219"/>
    <x v="4"/>
    <x v="195"/>
    <x v="0"/>
    <x v="1"/>
    <x v="2396"/>
    <x v="241"/>
    <s v="NAKİT"/>
    <n v="1"/>
    <n v="360"/>
    <n v="0"/>
    <n v="0"/>
    <m/>
    <m/>
    <m/>
    <m/>
    <n v="360"/>
    <n v="0"/>
    <n v="8909.8486912881763"/>
  </r>
  <r>
    <x v="219"/>
    <x v="4"/>
    <x v="239"/>
    <x v="0"/>
    <x v="1"/>
    <x v="2396"/>
    <x v="241"/>
    <s v="NAKİT"/>
    <n v="0.25"/>
    <n v="400"/>
    <n v="0"/>
    <n v="0"/>
    <m/>
    <m/>
    <m/>
    <m/>
    <n v="100"/>
    <n v="0"/>
    <n v="9009.8486912881763"/>
  </r>
  <r>
    <x v="219"/>
    <x v="4"/>
    <x v="192"/>
    <x v="0"/>
    <x v="1"/>
    <x v="2396"/>
    <x v="241"/>
    <s v="NAKİT"/>
    <n v="1"/>
    <n v="430"/>
    <n v="0"/>
    <n v="0"/>
    <m/>
    <m/>
    <m/>
    <m/>
    <n v="430"/>
    <n v="0"/>
    <n v="9439.8486912881763"/>
  </r>
  <r>
    <x v="219"/>
    <x v="4"/>
    <x v="257"/>
    <x v="0"/>
    <x v="1"/>
    <x v="2396"/>
    <x v="241"/>
    <s v="NAKİT"/>
    <n v="1"/>
    <n v="170"/>
    <n v="0"/>
    <n v="0"/>
    <m/>
    <m/>
    <m/>
    <m/>
    <n v="170"/>
    <n v="0"/>
    <n v="9609.8486912881763"/>
  </r>
  <r>
    <x v="219"/>
    <x v="4"/>
    <x v="22"/>
    <x v="0"/>
    <x v="5"/>
    <x v="2397"/>
    <x v="25"/>
    <s v="POS"/>
    <n v="0.2225"/>
    <n v="379"/>
    <n v="84.327500000000001"/>
    <n v="0"/>
    <m/>
    <m/>
    <m/>
    <m/>
    <n v="0"/>
    <n v="0"/>
    <n v="9609.8486912881763"/>
  </r>
  <r>
    <x v="219"/>
    <x v="4"/>
    <x v="23"/>
    <x v="0"/>
    <x v="5"/>
    <x v="2397"/>
    <x v="25"/>
    <s v="POS"/>
    <n v="0.17"/>
    <n v="300"/>
    <n v="51.000000000000007"/>
    <n v="0"/>
    <m/>
    <m/>
    <m/>
    <m/>
    <n v="0"/>
    <n v="0"/>
    <n v="9609.8486912881763"/>
  </r>
  <r>
    <x v="219"/>
    <x v="4"/>
    <x v="158"/>
    <x v="0"/>
    <x v="5"/>
    <x v="2397"/>
    <x v="25"/>
    <s v="POS"/>
    <n v="7"/>
    <n v="15"/>
    <n v="105"/>
    <n v="0"/>
    <m/>
    <m/>
    <m/>
    <m/>
    <n v="0"/>
    <n v="0"/>
    <n v="9609.8486912881763"/>
  </r>
  <r>
    <x v="219"/>
    <x v="4"/>
    <x v="264"/>
    <x v="0"/>
    <x v="5"/>
    <x v="2398"/>
    <x v="25"/>
    <s v="POS"/>
    <n v="1"/>
    <n v="145"/>
    <n v="145"/>
    <n v="0"/>
    <m/>
    <m/>
    <m/>
    <m/>
    <n v="0"/>
    <n v="0"/>
    <n v="9609.8486912881763"/>
  </r>
  <r>
    <x v="219"/>
    <x v="1"/>
    <x v="0"/>
    <x v="16"/>
    <x v="1"/>
    <x v="2"/>
    <x v="98"/>
    <s v="NAKİT"/>
    <n v="1"/>
    <n v="418.83"/>
    <n v="0"/>
    <n v="0"/>
    <m/>
    <m/>
    <m/>
    <m/>
    <n v="0"/>
    <n v="418.83"/>
    <n v="9191.0186912881763"/>
  </r>
  <r>
    <x v="219"/>
    <x v="3"/>
    <x v="456"/>
    <x v="0"/>
    <x v="1"/>
    <x v="2"/>
    <x v="242"/>
    <s v="NAKİT"/>
    <n v="10"/>
    <n v="133.33000000000001"/>
    <n v="0"/>
    <n v="0"/>
    <m/>
    <m/>
    <m/>
    <m/>
    <n v="0"/>
    <n v="1333.3000000000002"/>
    <n v="7857.7186912881762"/>
  </r>
  <r>
    <x v="219"/>
    <x v="3"/>
    <x v="457"/>
    <x v="0"/>
    <x v="1"/>
    <x v="2"/>
    <x v="242"/>
    <s v="NAKİT"/>
    <n v="5"/>
    <n v="133.34"/>
    <n v="0"/>
    <n v="0"/>
    <m/>
    <m/>
    <m/>
    <m/>
    <n v="0"/>
    <n v="666.7"/>
    <n v="7191.0186912881763"/>
  </r>
  <r>
    <x v="220"/>
    <x v="4"/>
    <x v="161"/>
    <x v="0"/>
    <x v="1"/>
    <x v="2399"/>
    <x v="25"/>
    <s v="NAKİT"/>
    <n v="0.44750000000000001"/>
    <n v="400"/>
    <n v="0"/>
    <n v="0"/>
    <m/>
    <m/>
    <m/>
    <m/>
    <n v="179"/>
    <n v="0"/>
    <n v="7370.0186912881763"/>
  </r>
  <r>
    <x v="220"/>
    <x v="4"/>
    <x v="235"/>
    <x v="0"/>
    <x v="1"/>
    <x v="2400"/>
    <x v="25"/>
    <s v="NAKİT"/>
    <n v="1"/>
    <n v="220"/>
    <n v="0"/>
    <n v="0"/>
    <m/>
    <m/>
    <m/>
    <m/>
    <n v="220"/>
    <n v="0"/>
    <n v="7590.0186912881763"/>
  </r>
  <r>
    <x v="220"/>
    <x v="4"/>
    <x v="33"/>
    <x v="0"/>
    <x v="5"/>
    <x v="2401"/>
    <x v="187"/>
    <s v="POS"/>
    <n v="2"/>
    <n v="250"/>
    <n v="500"/>
    <n v="0"/>
    <m/>
    <m/>
    <m/>
    <m/>
    <n v="0"/>
    <n v="0"/>
    <n v="7590.0186912881763"/>
  </r>
  <r>
    <x v="220"/>
    <x v="4"/>
    <x v="161"/>
    <x v="0"/>
    <x v="5"/>
    <x v="2401"/>
    <x v="187"/>
    <s v="POS"/>
    <n v="2"/>
    <n v="265"/>
    <n v="530"/>
    <n v="0"/>
    <m/>
    <m/>
    <m/>
    <m/>
    <n v="0"/>
    <n v="0"/>
    <n v="7590.0186912881763"/>
  </r>
  <r>
    <x v="220"/>
    <x v="4"/>
    <x v="385"/>
    <x v="0"/>
    <x v="5"/>
    <x v="2401"/>
    <x v="187"/>
    <s v="POS"/>
    <n v="1"/>
    <n v="375"/>
    <n v="375"/>
    <n v="0"/>
    <m/>
    <m/>
    <m/>
    <m/>
    <n v="0"/>
    <n v="0"/>
    <n v="7590.0186912881763"/>
  </r>
  <r>
    <x v="220"/>
    <x v="4"/>
    <x v="31"/>
    <x v="0"/>
    <x v="5"/>
    <x v="2401"/>
    <x v="187"/>
    <s v="POS"/>
    <n v="1"/>
    <n v="260"/>
    <n v="260"/>
    <n v="0"/>
    <m/>
    <m/>
    <m/>
    <m/>
    <n v="0"/>
    <n v="0"/>
    <n v="7590.0186912881763"/>
  </r>
  <r>
    <x v="220"/>
    <x v="4"/>
    <x v="72"/>
    <x v="0"/>
    <x v="1"/>
    <x v="2402"/>
    <x v="25"/>
    <s v="NAKİT"/>
    <n v="0.05"/>
    <n v="1400"/>
    <n v="0"/>
    <n v="0"/>
    <m/>
    <m/>
    <m/>
    <m/>
    <n v="70"/>
    <n v="0"/>
    <n v="7660.0186912881763"/>
  </r>
  <r>
    <x v="220"/>
    <x v="4"/>
    <x v="244"/>
    <x v="0"/>
    <x v="1"/>
    <x v="2402"/>
    <x v="25"/>
    <s v="NAKİT"/>
    <n v="1"/>
    <n v="120"/>
    <n v="0"/>
    <n v="0"/>
    <m/>
    <m/>
    <m/>
    <m/>
    <n v="120"/>
    <n v="0"/>
    <n v="7780.0186912881763"/>
  </r>
  <r>
    <x v="220"/>
    <x v="4"/>
    <x v="280"/>
    <x v="0"/>
    <x v="1"/>
    <x v="2402"/>
    <x v="25"/>
    <s v="NAKİT"/>
    <n v="0.5"/>
    <n v="60"/>
    <n v="0"/>
    <n v="0"/>
    <m/>
    <m/>
    <m/>
    <m/>
    <n v="30"/>
    <n v="0"/>
    <n v="7810.0186912881763"/>
  </r>
  <r>
    <x v="220"/>
    <x v="4"/>
    <x v="34"/>
    <x v="0"/>
    <x v="1"/>
    <x v="2402"/>
    <x v="25"/>
    <s v="NAKİT"/>
    <n v="0.1"/>
    <n v="600"/>
    <n v="0"/>
    <n v="0"/>
    <m/>
    <m/>
    <m/>
    <m/>
    <n v="60"/>
    <n v="0"/>
    <n v="7870.0186912881763"/>
  </r>
  <r>
    <x v="220"/>
    <x v="4"/>
    <x v="240"/>
    <x v="0"/>
    <x v="1"/>
    <x v="2403"/>
    <x v="25"/>
    <s v="NAKİT"/>
    <n v="0.32800000000000001"/>
    <n v="250"/>
    <n v="0"/>
    <n v="0"/>
    <m/>
    <m/>
    <m/>
    <m/>
    <n v="82"/>
    <n v="0"/>
    <n v="7952.0186912881763"/>
  </r>
  <r>
    <x v="220"/>
    <x v="4"/>
    <x v="400"/>
    <x v="0"/>
    <x v="5"/>
    <x v="2404"/>
    <x v="25"/>
    <s v="POS"/>
    <n v="0.05"/>
    <n v="2900"/>
    <n v="145"/>
    <n v="0"/>
    <m/>
    <m/>
    <m/>
    <m/>
    <n v="0"/>
    <n v="0"/>
    <n v="7952.0186912881763"/>
  </r>
  <r>
    <x v="220"/>
    <x v="4"/>
    <x v="34"/>
    <x v="0"/>
    <x v="1"/>
    <x v="2405"/>
    <x v="25"/>
    <s v="NAKİT"/>
    <n v="0.1"/>
    <n v="600"/>
    <n v="0"/>
    <n v="0"/>
    <m/>
    <m/>
    <m/>
    <m/>
    <n v="60"/>
    <n v="0"/>
    <n v="8012.0186912881763"/>
  </r>
  <r>
    <x v="220"/>
    <x v="1"/>
    <x v="0"/>
    <x v="16"/>
    <x v="1"/>
    <x v="2"/>
    <x v="98"/>
    <s v="NAKİT"/>
    <n v="1"/>
    <n v="22.17"/>
    <n v="0"/>
    <n v="0"/>
    <m/>
    <m/>
    <m/>
    <m/>
    <n v="0"/>
    <n v="22.17"/>
    <n v="7989.8486912881763"/>
  </r>
  <r>
    <x v="220"/>
    <x v="10"/>
    <x v="0"/>
    <x v="0"/>
    <x v="5"/>
    <x v="2"/>
    <x v="63"/>
    <s v="POS"/>
    <n v="1"/>
    <n v="1543"/>
    <n v="0"/>
    <n v="1543"/>
    <m/>
    <m/>
    <m/>
    <m/>
    <n v="1543"/>
    <n v="0"/>
    <n v="9532.8486912881763"/>
  </r>
  <r>
    <x v="220"/>
    <x v="10"/>
    <x v="0"/>
    <x v="0"/>
    <x v="5"/>
    <x v="2"/>
    <x v="243"/>
    <s v="POS"/>
    <n v="1"/>
    <n v="1085.2"/>
    <n v="0"/>
    <n v="1085.2"/>
    <m/>
    <m/>
    <m/>
    <m/>
    <n v="1085.2"/>
    <n v="0"/>
    <n v="10618.048691288177"/>
  </r>
  <r>
    <x v="220"/>
    <x v="1"/>
    <x v="0"/>
    <x v="13"/>
    <x v="1"/>
    <x v="2"/>
    <x v="243"/>
    <s v="NAKİT"/>
    <n v="1"/>
    <n v="1085.2"/>
    <n v="0"/>
    <n v="0"/>
    <m/>
    <m/>
    <m/>
    <m/>
    <n v="0"/>
    <n v="1085.2"/>
    <n v="9532.8486912881763"/>
  </r>
  <r>
    <x v="221"/>
    <x v="4"/>
    <x v="22"/>
    <x v="0"/>
    <x v="5"/>
    <x v="2406"/>
    <x v="25"/>
    <s v="POS"/>
    <n v="0.125"/>
    <n v="400"/>
    <n v="50"/>
    <n v="0"/>
    <m/>
    <m/>
    <m/>
    <m/>
    <n v="0"/>
    <n v="0"/>
    <n v="9532.8486912881763"/>
  </r>
  <r>
    <x v="221"/>
    <x v="4"/>
    <x v="29"/>
    <x v="0"/>
    <x v="5"/>
    <x v="2406"/>
    <x v="25"/>
    <s v="POS"/>
    <n v="5.8823529411764705E-2"/>
    <n v="850"/>
    <n v="50"/>
    <n v="0"/>
    <m/>
    <m/>
    <m/>
    <m/>
    <n v="0"/>
    <n v="0"/>
    <n v="9532.8486912881763"/>
  </r>
  <r>
    <x v="221"/>
    <x v="4"/>
    <x v="314"/>
    <x v="0"/>
    <x v="5"/>
    <x v="2406"/>
    <x v="25"/>
    <s v="POS"/>
    <n v="1"/>
    <n v="150"/>
    <n v="150"/>
    <n v="0"/>
    <m/>
    <m/>
    <m/>
    <m/>
    <n v="0"/>
    <n v="0"/>
    <n v="9532.8486912881763"/>
  </r>
  <r>
    <x v="221"/>
    <x v="4"/>
    <x v="66"/>
    <x v="0"/>
    <x v="5"/>
    <x v="2406"/>
    <x v="25"/>
    <s v="POS"/>
    <n v="0.12"/>
    <n v="417"/>
    <n v="50.04"/>
    <n v="0"/>
    <m/>
    <m/>
    <m/>
    <m/>
    <n v="0"/>
    <n v="0"/>
    <n v="9532.8486912881763"/>
  </r>
  <r>
    <x v="221"/>
    <x v="4"/>
    <x v="453"/>
    <x v="0"/>
    <x v="5"/>
    <x v="2406"/>
    <x v="25"/>
    <s v="POS"/>
    <n v="1"/>
    <n v="170"/>
    <n v="170"/>
    <n v="0"/>
    <m/>
    <m/>
    <m/>
    <m/>
    <n v="0"/>
    <n v="0"/>
    <n v="9532.8486912881763"/>
  </r>
  <r>
    <x v="221"/>
    <x v="4"/>
    <x v="150"/>
    <x v="0"/>
    <x v="5"/>
    <x v="2407"/>
    <x v="25"/>
    <s v="POS"/>
    <n v="1.34"/>
    <n v="250"/>
    <n v="335"/>
    <n v="0"/>
    <m/>
    <m/>
    <m/>
    <m/>
    <n v="0"/>
    <n v="0"/>
    <n v="9532.8486912881763"/>
  </r>
  <r>
    <x v="221"/>
    <x v="4"/>
    <x v="87"/>
    <x v="0"/>
    <x v="5"/>
    <x v="2408"/>
    <x v="25"/>
    <s v="POS"/>
    <n v="0.05"/>
    <n v="1400"/>
    <n v="70"/>
    <n v="0"/>
    <m/>
    <m/>
    <m/>
    <m/>
    <n v="0"/>
    <n v="0"/>
    <n v="9532.8486912881763"/>
  </r>
  <r>
    <x v="221"/>
    <x v="4"/>
    <x v="83"/>
    <x v="0"/>
    <x v="5"/>
    <x v="2408"/>
    <x v="25"/>
    <s v="POS"/>
    <n v="0.05"/>
    <n v="2600"/>
    <n v="130"/>
    <n v="0"/>
    <m/>
    <m/>
    <m/>
    <m/>
    <n v="0"/>
    <n v="0"/>
    <n v="9532.8486912881763"/>
  </r>
  <r>
    <x v="221"/>
    <x v="4"/>
    <x v="18"/>
    <x v="0"/>
    <x v="1"/>
    <x v="2409"/>
    <x v="25"/>
    <s v="NAKİT"/>
    <n v="1"/>
    <n v="250"/>
    <n v="0"/>
    <n v="0"/>
    <m/>
    <m/>
    <m/>
    <m/>
    <n v="250"/>
    <n v="0"/>
    <n v="9782.8486912881763"/>
  </r>
  <r>
    <x v="221"/>
    <x v="4"/>
    <x v="55"/>
    <x v="0"/>
    <x v="1"/>
    <x v="2410"/>
    <x v="25"/>
    <s v="NAKİT"/>
    <n v="0.25"/>
    <n v="200"/>
    <n v="0"/>
    <n v="0"/>
    <m/>
    <m/>
    <m/>
    <m/>
    <n v="50"/>
    <n v="0"/>
    <n v="9832.8486912881763"/>
  </r>
  <r>
    <x v="221"/>
    <x v="4"/>
    <x v="56"/>
    <x v="0"/>
    <x v="1"/>
    <x v="2410"/>
    <x v="25"/>
    <s v="NAKİT"/>
    <n v="0.25"/>
    <n v="200"/>
    <n v="0"/>
    <n v="0"/>
    <m/>
    <m/>
    <m/>
    <m/>
    <n v="50"/>
    <n v="0"/>
    <n v="9882.8486912881763"/>
  </r>
  <r>
    <x v="221"/>
    <x v="4"/>
    <x v="88"/>
    <x v="0"/>
    <x v="1"/>
    <x v="2410"/>
    <x v="25"/>
    <s v="NAKİT"/>
    <n v="0.05"/>
    <n v="1200"/>
    <n v="0"/>
    <n v="0"/>
    <m/>
    <m/>
    <m/>
    <m/>
    <n v="60"/>
    <n v="0"/>
    <n v="9942.8486912881763"/>
  </r>
  <r>
    <x v="221"/>
    <x v="4"/>
    <x v="435"/>
    <x v="0"/>
    <x v="5"/>
    <x v="2411"/>
    <x v="25"/>
    <s v="POS"/>
    <n v="0.50181818181818183"/>
    <n v="550"/>
    <n v="276"/>
    <n v="0"/>
    <m/>
    <m/>
    <m/>
    <m/>
    <n v="0"/>
    <n v="0"/>
    <n v="9942.8486912881763"/>
  </r>
  <r>
    <x v="221"/>
    <x v="4"/>
    <x v="57"/>
    <x v="0"/>
    <x v="5"/>
    <x v="2411"/>
    <x v="25"/>
    <s v="POS"/>
    <n v="1"/>
    <n v="150"/>
    <n v="150"/>
    <n v="0"/>
    <m/>
    <m/>
    <m/>
    <m/>
    <n v="0"/>
    <n v="0"/>
    <n v="9942.8486912881763"/>
  </r>
  <r>
    <x v="221"/>
    <x v="4"/>
    <x v="206"/>
    <x v="0"/>
    <x v="1"/>
    <x v="2412"/>
    <x v="25"/>
    <s v="NAKİT"/>
    <n v="1"/>
    <n v="350"/>
    <n v="0"/>
    <n v="0"/>
    <m/>
    <m/>
    <m/>
    <m/>
    <n v="350"/>
    <n v="0"/>
    <n v="10292.848691288176"/>
  </r>
  <r>
    <x v="221"/>
    <x v="4"/>
    <x v="112"/>
    <x v="0"/>
    <x v="1"/>
    <x v="2413"/>
    <x v="25"/>
    <s v="NAKİT"/>
    <n v="0.05"/>
    <n v="1800"/>
    <n v="0"/>
    <n v="0"/>
    <m/>
    <m/>
    <m/>
    <m/>
    <n v="90"/>
    <n v="0"/>
    <n v="10382.848691288176"/>
  </r>
  <r>
    <x v="221"/>
    <x v="4"/>
    <x v="314"/>
    <x v="0"/>
    <x v="1"/>
    <x v="2414"/>
    <x v="129"/>
    <s v="NAKİT"/>
    <n v="1"/>
    <n v="90"/>
    <n v="0"/>
    <n v="0"/>
    <m/>
    <m/>
    <m/>
    <m/>
    <n v="90"/>
    <n v="0"/>
    <n v="10472.848691288176"/>
  </r>
  <r>
    <x v="221"/>
    <x v="4"/>
    <x v="14"/>
    <x v="0"/>
    <x v="5"/>
    <x v="2415"/>
    <x v="25"/>
    <s v="POS"/>
    <n v="0.5"/>
    <n v="280"/>
    <n v="140"/>
    <n v="0"/>
    <m/>
    <m/>
    <m/>
    <m/>
    <n v="0"/>
    <n v="0"/>
    <n v="10472.848691288176"/>
  </r>
  <r>
    <x v="221"/>
    <x v="4"/>
    <x v="57"/>
    <x v="0"/>
    <x v="5"/>
    <x v="2416"/>
    <x v="25"/>
    <s v="POS"/>
    <n v="1"/>
    <n v="150"/>
    <n v="150"/>
    <n v="0"/>
    <m/>
    <m/>
    <m/>
    <m/>
    <n v="0"/>
    <n v="0"/>
    <n v="10472.848691288176"/>
  </r>
  <r>
    <x v="221"/>
    <x v="4"/>
    <x v="435"/>
    <x v="0"/>
    <x v="5"/>
    <x v="2416"/>
    <x v="25"/>
    <s v="POS"/>
    <n v="0.36363636363636365"/>
    <n v="550"/>
    <n v="200"/>
    <n v="0"/>
    <m/>
    <m/>
    <m/>
    <m/>
    <n v="0"/>
    <n v="0"/>
    <n v="10472.848691288176"/>
  </r>
  <r>
    <x v="221"/>
    <x v="4"/>
    <x v="455"/>
    <x v="0"/>
    <x v="1"/>
    <x v="2417"/>
    <x v="25"/>
    <s v="NAKİT"/>
    <n v="3"/>
    <n v="100"/>
    <n v="0"/>
    <n v="0"/>
    <m/>
    <m/>
    <m/>
    <m/>
    <n v="300"/>
    <n v="0"/>
    <n v="10772.848691288176"/>
  </r>
  <r>
    <x v="221"/>
    <x v="4"/>
    <x v="241"/>
    <x v="0"/>
    <x v="1"/>
    <x v="2418"/>
    <x v="113"/>
    <s v="NAKİT"/>
    <n v="0.5"/>
    <n v="60"/>
    <n v="0"/>
    <n v="0"/>
    <m/>
    <m/>
    <m/>
    <m/>
    <n v="30"/>
    <n v="0"/>
    <n v="10802.848691288176"/>
  </r>
  <r>
    <x v="221"/>
    <x v="4"/>
    <x v="244"/>
    <x v="0"/>
    <x v="1"/>
    <x v="2418"/>
    <x v="113"/>
    <s v="NAKİT"/>
    <n v="0.5"/>
    <n v="120"/>
    <n v="0"/>
    <n v="0"/>
    <m/>
    <m/>
    <m/>
    <m/>
    <n v="60"/>
    <n v="0"/>
    <n v="10862.848691288176"/>
  </r>
  <r>
    <x v="221"/>
    <x v="4"/>
    <x v="443"/>
    <x v="0"/>
    <x v="1"/>
    <x v="2418"/>
    <x v="113"/>
    <s v="NAKİT"/>
    <n v="0.2"/>
    <n v="500"/>
    <n v="0"/>
    <n v="0"/>
    <m/>
    <m/>
    <m/>
    <m/>
    <n v="100"/>
    <n v="0"/>
    <n v="10962.848691288176"/>
  </r>
  <r>
    <x v="221"/>
    <x v="4"/>
    <x v="436"/>
    <x v="0"/>
    <x v="1"/>
    <x v="2418"/>
    <x v="113"/>
    <s v="NAKİT"/>
    <n v="0.1"/>
    <n v="500"/>
    <n v="0"/>
    <n v="0"/>
    <m/>
    <m/>
    <m/>
    <m/>
    <n v="50"/>
    <n v="0"/>
    <n v="11012.848691288176"/>
  </r>
  <r>
    <x v="221"/>
    <x v="4"/>
    <x v="86"/>
    <x v="0"/>
    <x v="1"/>
    <x v="2418"/>
    <x v="113"/>
    <s v="NAKİT"/>
    <n v="0.1"/>
    <n v="700"/>
    <n v="0"/>
    <n v="0"/>
    <m/>
    <m/>
    <m/>
    <m/>
    <n v="70"/>
    <n v="0"/>
    <n v="11082.848691288176"/>
  </r>
  <r>
    <x v="221"/>
    <x v="4"/>
    <x v="188"/>
    <x v="0"/>
    <x v="1"/>
    <x v="2418"/>
    <x v="113"/>
    <s v="NAKİT"/>
    <n v="1"/>
    <n v="250"/>
    <n v="0"/>
    <n v="0"/>
    <m/>
    <m/>
    <m/>
    <m/>
    <n v="250"/>
    <n v="0"/>
    <n v="11332.848691288176"/>
  </r>
  <r>
    <x v="221"/>
    <x v="4"/>
    <x v="178"/>
    <x v="0"/>
    <x v="1"/>
    <x v="2418"/>
    <x v="113"/>
    <s v="NAKİT"/>
    <n v="1"/>
    <n v="220"/>
    <n v="0"/>
    <n v="0"/>
    <m/>
    <m/>
    <m/>
    <m/>
    <n v="220"/>
    <n v="0"/>
    <n v="11552.848691288176"/>
  </r>
  <r>
    <x v="221"/>
    <x v="4"/>
    <x v="279"/>
    <x v="0"/>
    <x v="1"/>
    <x v="2418"/>
    <x v="113"/>
    <s v="NAKİT"/>
    <n v="1"/>
    <n v="130"/>
    <n v="0"/>
    <n v="0"/>
    <m/>
    <m/>
    <m/>
    <m/>
    <n v="130"/>
    <n v="0"/>
    <n v="11682.848691288176"/>
  </r>
  <r>
    <x v="221"/>
    <x v="4"/>
    <x v="395"/>
    <x v="0"/>
    <x v="1"/>
    <x v="2418"/>
    <x v="113"/>
    <s v="NAKİT"/>
    <n v="2.5"/>
    <n v="65"/>
    <n v="0"/>
    <n v="0"/>
    <m/>
    <m/>
    <m/>
    <m/>
    <n v="162.5"/>
    <n v="0"/>
    <n v="11845.348691288176"/>
  </r>
  <r>
    <x v="221"/>
    <x v="4"/>
    <x v="238"/>
    <x v="0"/>
    <x v="1"/>
    <x v="2418"/>
    <x v="113"/>
    <s v="NAKİT"/>
    <n v="0.19600000000000001"/>
    <n v="350"/>
    <n v="0"/>
    <n v="0"/>
    <m/>
    <m/>
    <m/>
    <m/>
    <n v="68.600000000000009"/>
    <n v="0"/>
    <n v="11913.948691288177"/>
  </r>
  <r>
    <x v="221"/>
    <x v="4"/>
    <x v="112"/>
    <x v="0"/>
    <x v="1"/>
    <x v="2418"/>
    <x v="113"/>
    <s v="NAKİT"/>
    <n v="0.05"/>
    <n v="1800"/>
    <n v="0"/>
    <n v="0"/>
    <m/>
    <m/>
    <m/>
    <m/>
    <n v="90"/>
    <n v="0"/>
    <n v="12003.948691288177"/>
  </r>
  <r>
    <x v="221"/>
    <x v="10"/>
    <x v="0"/>
    <x v="0"/>
    <x v="5"/>
    <x v="2"/>
    <x v="63"/>
    <s v="POS"/>
    <n v="1"/>
    <n v="984.8"/>
    <n v="0"/>
    <n v="984.8"/>
    <m/>
    <m/>
    <m/>
    <m/>
    <n v="984.8"/>
    <n v="0"/>
    <n v="12988.748691288176"/>
  </r>
  <r>
    <x v="222"/>
    <x v="4"/>
    <x v="58"/>
    <x v="0"/>
    <x v="1"/>
    <x v="2419"/>
    <x v="25"/>
    <s v="NAKİT"/>
    <n v="0.5"/>
    <n v="250"/>
    <n v="0"/>
    <n v="0"/>
    <m/>
    <m/>
    <m/>
    <m/>
    <n v="125"/>
    <n v="0"/>
    <n v="13113.748691288176"/>
  </r>
  <r>
    <x v="222"/>
    <x v="4"/>
    <x v="18"/>
    <x v="0"/>
    <x v="1"/>
    <x v="2419"/>
    <x v="25"/>
    <s v="NAKİT"/>
    <n v="0.5"/>
    <n v="250"/>
    <n v="0"/>
    <n v="0"/>
    <m/>
    <m/>
    <m/>
    <m/>
    <n v="125"/>
    <n v="0"/>
    <n v="13238.748691288176"/>
  </r>
  <r>
    <x v="222"/>
    <x v="4"/>
    <x v="27"/>
    <x v="0"/>
    <x v="1"/>
    <x v="2419"/>
    <x v="25"/>
    <s v="NAKİT"/>
    <n v="0.125"/>
    <n v="400"/>
    <n v="0"/>
    <n v="0"/>
    <m/>
    <m/>
    <m/>
    <m/>
    <n v="50"/>
    <n v="0"/>
    <n v="13288.748691288176"/>
  </r>
  <r>
    <x v="222"/>
    <x v="4"/>
    <x v="30"/>
    <x v="0"/>
    <x v="1"/>
    <x v="2419"/>
    <x v="25"/>
    <s v="NAKİT"/>
    <n v="0.1"/>
    <n v="500"/>
    <n v="0"/>
    <n v="0"/>
    <m/>
    <m/>
    <m/>
    <m/>
    <n v="50"/>
    <n v="0"/>
    <n v="13338.748691288176"/>
  </r>
  <r>
    <x v="222"/>
    <x v="4"/>
    <x v="264"/>
    <x v="0"/>
    <x v="5"/>
    <x v="2420"/>
    <x v="25"/>
    <s v="POS"/>
    <n v="2"/>
    <n v="145"/>
    <n v="290"/>
    <n v="0"/>
    <m/>
    <m/>
    <m/>
    <m/>
    <n v="0"/>
    <n v="0"/>
    <n v="13338.748691288176"/>
  </r>
  <r>
    <x v="222"/>
    <x v="4"/>
    <x v="160"/>
    <x v="0"/>
    <x v="5"/>
    <x v="2421"/>
    <x v="25"/>
    <s v="POS"/>
    <n v="1"/>
    <n v="120"/>
    <n v="120"/>
    <n v="0"/>
    <m/>
    <m/>
    <m/>
    <m/>
    <n v="0"/>
    <n v="0"/>
    <n v="13338.748691288176"/>
  </r>
  <r>
    <x v="222"/>
    <x v="4"/>
    <x v="58"/>
    <x v="0"/>
    <x v="5"/>
    <x v="2421"/>
    <x v="25"/>
    <s v="POS"/>
    <n v="1"/>
    <n v="250"/>
    <n v="250"/>
    <n v="0"/>
    <m/>
    <m/>
    <m/>
    <m/>
    <n v="0"/>
    <n v="0"/>
    <n v="13338.748691288176"/>
  </r>
  <r>
    <x v="222"/>
    <x v="4"/>
    <x v="18"/>
    <x v="0"/>
    <x v="5"/>
    <x v="2421"/>
    <x v="25"/>
    <s v="POS"/>
    <n v="1"/>
    <n v="250"/>
    <n v="250"/>
    <n v="0"/>
    <m/>
    <m/>
    <m/>
    <m/>
    <n v="0"/>
    <n v="0"/>
    <n v="13338.748691288176"/>
  </r>
  <r>
    <x v="222"/>
    <x v="4"/>
    <x v="36"/>
    <x v="0"/>
    <x v="5"/>
    <x v="2421"/>
    <x v="25"/>
    <s v="POS"/>
    <n v="0.27777777777777779"/>
    <n v="180"/>
    <n v="50"/>
    <n v="0"/>
    <m/>
    <m/>
    <m/>
    <m/>
    <n v="0"/>
    <n v="0"/>
    <n v="13338.748691288176"/>
  </r>
  <r>
    <x v="222"/>
    <x v="4"/>
    <x v="33"/>
    <x v="0"/>
    <x v="1"/>
    <x v="2422"/>
    <x v="25"/>
    <s v="NAKİT"/>
    <n v="0.5"/>
    <n v="400"/>
    <n v="0"/>
    <n v="0"/>
    <m/>
    <m/>
    <m/>
    <m/>
    <n v="200"/>
    <n v="0"/>
    <n v="13538.748691288176"/>
  </r>
  <r>
    <x v="222"/>
    <x v="4"/>
    <x v="16"/>
    <x v="0"/>
    <x v="1"/>
    <x v="2423"/>
    <x v="25"/>
    <s v="NAKİT"/>
    <n v="1"/>
    <n v="90"/>
    <n v="0"/>
    <n v="0"/>
    <m/>
    <m/>
    <m/>
    <m/>
    <n v="90"/>
    <n v="0"/>
    <n v="13628.748691288176"/>
  </r>
  <r>
    <x v="222"/>
    <x v="4"/>
    <x v="342"/>
    <x v="0"/>
    <x v="1"/>
    <x v="2424"/>
    <x v="25"/>
    <s v="NAKİT"/>
    <n v="1"/>
    <n v="100"/>
    <n v="0"/>
    <n v="0"/>
    <m/>
    <m/>
    <m/>
    <m/>
    <n v="100"/>
    <n v="0"/>
    <n v="13728.748691288176"/>
  </r>
  <r>
    <x v="222"/>
    <x v="4"/>
    <x v="58"/>
    <x v="0"/>
    <x v="5"/>
    <x v="2425"/>
    <x v="25"/>
    <s v="POS"/>
    <n v="1"/>
    <n v="250"/>
    <n v="250"/>
    <n v="0"/>
    <m/>
    <m/>
    <m/>
    <m/>
    <n v="0"/>
    <n v="0"/>
    <n v="13728.748691288176"/>
  </r>
  <r>
    <x v="222"/>
    <x v="4"/>
    <x v="18"/>
    <x v="0"/>
    <x v="5"/>
    <x v="2425"/>
    <x v="25"/>
    <s v="POS"/>
    <n v="1"/>
    <n v="250"/>
    <n v="250"/>
    <n v="0"/>
    <m/>
    <m/>
    <m/>
    <m/>
    <n v="0"/>
    <n v="0"/>
    <n v="13728.748691288176"/>
  </r>
  <r>
    <x v="222"/>
    <x v="4"/>
    <x v="33"/>
    <x v="0"/>
    <x v="5"/>
    <x v="2425"/>
    <x v="25"/>
    <s v="POS"/>
    <n v="0.31"/>
    <n v="400"/>
    <n v="124"/>
    <n v="0"/>
    <m/>
    <m/>
    <m/>
    <m/>
    <n v="0"/>
    <n v="0"/>
    <n v="13728.748691288176"/>
  </r>
  <r>
    <x v="222"/>
    <x v="4"/>
    <x v="28"/>
    <x v="0"/>
    <x v="1"/>
    <x v="2426"/>
    <x v="25"/>
    <s v="NAKİT"/>
    <n v="9.1999999999999998E-2"/>
    <n v="500"/>
    <n v="0"/>
    <n v="0"/>
    <m/>
    <m/>
    <m/>
    <m/>
    <n v="46"/>
    <n v="0"/>
    <n v="13774.748691288176"/>
  </r>
  <r>
    <x v="222"/>
    <x v="4"/>
    <x v="58"/>
    <x v="0"/>
    <x v="1"/>
    <x v="2426"/>
    <x v="25"/>
    <s v="NAKİT"/>
    <n v="1"/>
    <n v="250"/>
    <n v="0"/>
    <n v="0"/>
    <m/>
    <m/>
    <m/>
    <m/>
    <n v="250"/>
    <n v="0"/>
    <n v="14024.748691288176"/>
  </r>
  <r>
    <x v="222"/>
    <x v="4"/>
    <x v="18"/>
    <x v="0"/>
    <x v="1"/>
    <x v="2426"/>
    <x v="25"/>
    <s v="NAKİT"/>
    <n v="1"/>
    <n v="250"/>
    <n v="0"/>
    <n v="0"/>
    <m/>
    <m/>
    <m/>
    <m/>
    <n v="250"/>
    <n v="0"/>
    <n v="14274.748691288176"/>
  </r>
  <r>
    <x v="222"/>
    <x v="4"/>
    <x v="179"/>
    <x v="0"/>
    <x v="5"/>
    <x v="2427"/>
    <x v="25"/>
    <s v="POS"/>
    <n v="0.47058823529411764"/>
    <n v="850"/>
    <n v="400"/>
    <n v="0"/>
    <m/>
    <m/>
    <m/>
    <m/>
    <n v="0"/>
    <n v="0"/>
    <n v="14274.748691288176"/>
  </r>
  <r>
    <x v="222"/>
    <x v="4"/>
    <x v="239"/>
    <x v="0"/>
    <x v="1"/>
    <x v="2428"/>
    <x v="25"/>
    <s v="NAKİT"/>
    <n v="0.25"/>
    <n v="400"/>
    <n v="0"/>
    <n v="0"/>
    <m/>
    <m/>
    <m/>
    <m/>
    <n v="100"/>
    <n v="0"/>
    <n v="14374.748691288176"/>
  </r>
  <r>
    <x v="222"/>
    <x v="10"/>
    <x v="0"/>
    <x v="0"/>
    <x v="5"/>
    <x v="2"/>
    <x v="63"/>
    <s v="POS"/>
    <n v="1"/>
    <n v="1406"/>
    <n v="0"/>
    <n v="1406"/>
    <m/>
    <m/>
    <m/>
    <m/>
    <n v="1406"/>
    <n v="0"/>
    <n v="15780.748691288176"/>
  </r>
  <r>
    <x v="223"/>
    <x v="4"/>
    <x v="18"/>
    <x v="0"/>
    <x v="1"/>
    <x v="2429"/>
    <x v="25"/>
    <s v="NAKİT"/>
    <n v="1"/>
    <n v="250"/>
    <n v="0"/>
    <n v="0"/>
    <m/>
    <m/>
    <m/>
    <m/>
    <n v="250"/>
    <n v="0"/>
    <n v="16030.748691288176"/>
  </r>
  <r>
    <x v="223"/>
    <x v="4"/>
    <x v="66"/>
    <x v="0"/>
    <x v="1"/>
    <x v="2430"/>
    <x v="25"/>
    <s v="NAKİT"/>
    <n v="0.12"/>
    <n v="417"/>
    <n v="0"/>
    <n v="0"/>
    <m/>
    <m/>
    <m/>
    <m/>
    <n v="50.04"/>
    <n v="0"/>
    <n v="16080.788691288177"/>
  </r>
  <r>
    <x v="223"/>
    <x v="4"/>
    <x v="47"/>
    <x v="0"/>
    <x v="1"/>
    <x v="2431"/>
    <x v="25"/>
    <s v="NAKİT"/>
    <n v="0.2"/>
    <n v="400"/>
    <n v="0"/>
    <n v="0"/>
    <m/>
    <m/>
    <m/>
    <m/>
    <n v="80"/>
    <n v="0"/>
    <n v="16160.788691288177"/>
  </r>
  <r>
    <x v="223"/>
    <x v="4"/>
    <x v="23"/>
    <x v="0"/>
    <x v="1"/>
    <x v="2431"/>
    <x v="25"/>
    <s v="NAKİT"/>
    <n v="0.37333333333333335"/>
    <n v="300"/>
    <n v="0"/>
    <n v="0"/>
    <m/>
    <m/>
    <m/>
    <m/>
    <n v="112"/>
    <n v="0"/>
    <n v="16272.788691288177"/>
  </r>
  <r>
    <x v="223"/>
    <x v="4"/>
    <x v="27"/>
    <x v="0"/>
    <x v="1"/>
    <x v="2431"/>
    <x v="25"/>
    <s v="NAKİT"/>
    <n v="0.23499999999999999"/>
    <n v="400"/>
    <n v="0"/>
    <n v="0"/>
    <m/>
    <m/>
    <m/>
    <m/>
    <n v="94"/>
    <n v="0"/>
    <n v="16366.788691288177"/>
  </r>
  <r>
    <x v="223"/>
    <x v="4"/>
    <x v="88"/>
    <x v="0"/>
    <x v="1"/>
    <x v="2431"/>
    <x v="25"/>
    <s v="NAKİT"/>
    <n v="0.05"/>
    <n v="1200"/>
    <n v="0"/>
    <n v="0"/>
    <m/>
    <m/>
    <m/>
    <m/>
    <n v="60"/>
    <n v="0"/>
    <n v="16426.788691288177"/>
  </r>
  <r>
    <x v="223"/>
    <x v="4"/>
    <x v="25"/>
    <x v="0"/>
    <x v="1"/>
    <x v="2431"/>
    <x v="25"/>
    <s v="NAKİT"/>
    <n v="0.14249999999999999"/>
    <n v="400"/>
    <n v="0"/>
    <n v="0"/>
    <m/>
    <m/>
    <m/>
    <m/>
    <n v="56.999999999999993"/>
    <n v="0"/>
    <n v="16483.788691288177"/>
  </r>
  <r>
    <x v="223"/>
    <x v="4"/>
    <x v="24"/>
    <x v="0"/>
    <x v="1"/>
    <x v="2431"/>
    <x v="25"/>
    <s v="NAKİT"/>
    <n v="0.21692307692307691"/>
    <n v="650"/>
    <n v="0"/>
    <n v="0"/>
    <m/>
    <m/>
    <m/>
    <m/>
    <n v="141"/>
    <n v="0"/>
    <n v="16624.788691288177"/>
  </r>
  <r>
    <x v="223"/>
    <x v="4"/>
    <x v="26"/>
    <x v="0"/>
    <x v="1"/>
    <x v="2431"/>
    <x v="25"/>
    <s v="NAKİT"/>
    <n v="0.16444444444444445"/>
    <n v="450"/>
    <n v="0"/>
    <n v="0"/>
    <m/>
    <m/>
    <m/>
    <m/>
    <n v="74"/>
    <n v="0"/>
    <n v="16698.788691288177"/>
  </r>
  <r>
    <x v="223"/>
    <x v="4"/>
    <x v="54"/>
    <x v="0"/>
    <x v="1"/>
    <x v="2431"/>
    <x v="25"/>
    <s v="NAKİT"/>
    <n v="0.1"/>
    <n v="400"/>
    <n v="0"/>
    <n v="0"/>
    <m/>
    <m/>
    <m/>
    <m/>
    <n v="40"/>
    <n v="0"/>
    <n v="16738.788691288177"/>
  </r>
  <r>
    <x v="223"/>
    <x v="4"/>
    <x v="30"/>
    <x v="0"/>
    <x v="1"/>
    <x v="2431"/>
    <x v="25"/>
    <s v="NAKİT"/>
    <n v="0.64600000000000002"/>
    <n v="500"/>
    <n v="0"/>
    <n v="0"/>
    <m/>
    <m/>
    <m/>
    <m/>
    <n v="323"/>
    <n v="0"/>
    <n v="17061.788691288177"/>
  </r>
  <r>
    <x v="223"/>
    <x v="4"/>
    <x v="412"/>
    <x v="0"/>
    <x v="1"/>
    <x v="2431"/>
    <x v="25"/>
    <s v="NAKİT"/>
    <n v="0.2"/>
    <n v="700"/>
    <n v="0"/>
    <n v="0"/>
    <m/>
    <m/>
    <m/>
    <m/>
    <n v="140"/>
    <n v="0"/>
    <n v="17201.788691288177"/>
  </r>
  <r>
    <x v="223"/>
    <x v="4"/>
    <x v="56"/>
    <x v="0"/>
    <x v="1"/>
    <x v="2431"/>
    <x v="25"/>
    <s v="NAKİT"/>
    <n v="1"/>
    <n v="200"/>
    <n v="0"/>
    <n v="0"/>
    <m/>
    <m/>
    <m/>
    <m/>
    <n v="200"/>
    <n v="0"/>
    <n v="17401.788691288177"/>
  </r>
  <r>
    <x v="223"/>
    <x v="10"/>
    <x v="0"/>
    <x v="0"/>
    <x v="5"/>
    <x v="2"/>
    <x v="63"/>
    <s v="POS"/>
    <n v="1"/>
    <n v="972"/>
    <n v="0"/>
    <n v="972"/>
    <m/>
    <m/>
    <m/>
    <m/>
    <n v="972"/>
    <n v="0"/>
    <n v="18373.788691288177"/>
  </r>
  <r>
    <x v="224"/>
    <x v="4"/>
    <x v="454"/>
    <x v="0"/>
    <x v="1"/>
    <x v="2432"/>
    <x v="25"/>
    <s v="NAKİT"/>
    <n v="1"/>
    <n v="200"/>
    <n v="0"/>
    <n v="0"/>
    <m/>
    <m/>
    <m/>
    <m/>
    <n v="200"/>
    <n v="0"/>
    <n v="18573.788691288177"/>
  </r>
  <r>
    <x v="224"/>
    <x v="4"/>
    <x v="188"/>
    <x v="0"/>
    <x v="5"/>
    <x v="2433"/>
    <x v="25"/>
    <s v="POS"/>
    <n v="1"/>
    <n v="250"/>
    <n v="250"/>
    <n v="0"/>
    <m/>
    <m/>
    <m/>
    <m/>
    <n v="0"/>
    <n v="0"/>
    <n v="18573.788691288177"/>
  </r>
  <r>
    <x v="224"/>
    <x v="4"/>
    <x v="68"/>
    <x v="0"/>
    <x v="5"/>
    <x v="2433"/>
    <x v="25"/>
    <s v="POS"/>
    <n v="0.5"/>
    <n v="750"/>
    <n v="375"/>
    <n v="0"/>
    <m/>
    <m/>
    <m/>
    <m/>
    <n v="0"/>
    <n v="0"/>
    <n v="18573.788691288177"/>
  </r>
  <r>
    <x v="224"/>
    <x v="4"/>
    <x v="401"/>
    <x v="0"/>
    <x v="5"/>
    <x v="2433"/>
    <x v="25"/>
    <s v="POS"/>
    <n v="0.1"/>
    <n v="2800"/>
    <n v="280"/>
    <n v="0"/>
    <m/>
    <m/>
    <m/>
    <m/>
    <n v="0"/>
    <n v="0"/>
    <n v="18573.788691288177"/>
  </r>
  <r>
    <x v="224"/>
    <x v="4"/>
    <x v="56"/>
    <x v="0"/>
    <x v="1"/>
    <x v="2434"/>
    <x v="25"/>
    <s v="NAKİT"/>
    <n v="1"/>
    <n v="200"/>
    <n v="0"/>
    <n v="0"/>
    <m/>
    <m/>
    <m/>
    <m/>
    <n v="200"/>
    <n v="0"/>
    <n v="18773.788691288177"/>
  </r>
  <r>
    <x v="224"/>
    <x v="4"/>
    <x v="449"/>
    <x v="0"/>
    <x v="1"/>
    <x v="2435"/>
    <x v="25"/>
    <s v="NAKİT"/>
    <n v="0.64615384615384619"/>
    <n v="650"/>
    <n v="0"/>
    <n v="0"/>
    <m/>
    <m/>
    <m/>
    <m/>
    <n v="420"/>
    <n v="0"/>
    <n v="19193.788691288177"/>
  </r>
  <r>
    <x v="224"/>
    <x v="4"/>
    <x v="158"/>
    <x v="0"/>
    <x v="1"/>
    <x v="2436"/>
    <x v="25"/>
    <s v="NAKİT"/>
    <n v="1"/>
    <n v="15"/>
    <n v="0"/>
    <n v="0"/>
    <m/>
    <m/>
    <m/>
    <m/>
    <n v="15"/>
    <n v="0"/>
    <n v="19208.788691288177"/>
  </r>
  <r>
    <x v="224"/>
    <x v="4"/>
    <x v="106"/>
    <x v="0"/>
    <x v="5"/>
    <x v="2437"/>
    <x v="25"/>
    <s v="POS"/>
    <n v="1"/>
    <n v="200"/>
    <n v="200"/>
    <n v="0"/>
    <m/>
    <m/>
    <m/>
    <m/>
    <n v="0"/>
    <n v="0"/>
    <n v="19208.788691288177"/>
  </r>
  <r>
    <x v="224"/>
    <x v="4"/>
    <x v="435"/>
    <x v="0"/>
    <x v="5"/>
    <x v="2438"/>
    <x v="25"/>
    <s v="POS"/>
    <n v="0.34909090909090912"/>
    <n v="550"/>
    <n v="192.00000000000003"/>
    <n v="0"/>
    <m/>
    <m/>
    <m/>
    <m/>
    <n v="0"/>
    <n v="0"/>
    <n v="19208.788691288177"/>
  </r>
  <r>
    <x v="224"/>
    <x v="4"/>
    <x v="24"/>
    <x v="0"/>
    <x v="1"/>
    <x v="2439"/>
    <x v="25"/>
    <s v="NAKİT"/>
    <n v="0.11076923076923077"/>
    <n v="650"/>
    <n v="0"/>
    <n v="0"/>
    <m/>
    <m/>
    <m/>
    <m/>
    <n v="72"/>
    <n v="0"/>
    <n v="19280.788691288177"/>
  </r>
  <r>
    <x v="224"/>
    <x v="4"/>
    <x v="111"/>
    <x v="0"/>
    <x v="5"/>
    <x v="2440"/>
    <x v="25"/>
    <s v="POS"/>
    <n v="0.35142857142857142"/>
    <n v="350"/>
    <n v="123"/>
    <n v="0"/>
    <m/>
    <m/>
    <m/>
    <m/>
    <n v="0"/>
    <n v="0"/>
    <n v="19280.788691288177"/>
  </r>
  <r>
    <x v="224"/>
    <x v="4"/>
    <x v="33"/>
    <x v="0"/>
    <x v="1"/>
    <x v="2441"/>
    <x v="25"/>
    <s v="NAKİT"/>
    <n v="0.46"/>
    <n v="400"/>
    <n v="0"/>
    <n v="0"/>
    <m/>
    <m/>
    <m/>
    <m/>
    <n v="184"/>
    <n v="0"/>
    <n v="19464.788691288177"/>
  </r>
  <r>
    <x v="224"/>
    <x v="4"/>
    <x v="277"/>
    <x v="0"/>
    <x v="1"/>
    <x v="2441"/>
    <x v="25"/>
    <s v="NAKİT"/>
    <n v="1"/>
    <n v="170"/>
    <n v="0"/>
    <n v="0"/>
    <m/>
    <m/>
    <m/>
    <m/>
    <n v="170"/>
    <n v="0"/>
    <n v="19634.788691288177"/>
  </r>
  <r>
    <x v="224"/>
    <x v="4"/>
    <x v="360"/>
    <x v="0"/>
    <x v="1"/>
    <x v="2441"/>
    <x v="25"/>
    <s v="NAKİT"/>
    <n v="0.5"/>
    <n v="700"/>
    <n v="0"/>
    <n v="0"/>
    <m/>
    <m/>
    <m/>
    <m/>
    <n v="350"/>
    <n v="0"/>
    <n v="19984.788691288177"/>
  </r>
  <r>
    <x v="224"/>
    <x v="4"/>
    <x v="52"/>
    <x v="0"/>
    <x v="1"/>
    <x v="2441"/>
    <x v="25"/>
    <s v="NAKİT"/>
    <n v="0.1"/>
    <n v="400"/>
    <n v="0"/>
    <n v="0"/>
    <m/>
    <m/>
    <m/>
    <m/>
    <n v="40"/>
    <n v="0"/>
    <n v="20024.788691288177"/>
  </r>
  <r>
    <x v="224"/>
    <x v="4"/>
    <x v="49"/>
    <x v="0"/>
    <x v="1"/>
    <x v="2441"/>
    <x v="25"/>
    <s v="NAKİT"/>
    <n v="0.1"/>
    <n v="600"/>
    <n v="0"/>
    <n v="0"/>
    <m/>
    <m/>
    <m/>
    <m/>
    <n v="60"/>
    <n v="0"/>
    <n v="20084.788691288177"/>
  </r>
  <r>
    <x v="224"/>
    <x v="4"/>
    <x v="150"/>
    <x v="0"/>
    <x v="1"/>
    <x v="2441"/>
    <x v="25"/>
    <s v="NAKİT"/>
    <n v="1.292"/>
    <n v="250"/>
    <n v="0"/>
    <n v="0"/>
    <m/>
    <m/>
    <m/>
    <m/>
    <n v="323"/>
    <n v="0"/>
    <n v="20407.788691288177"/>
  </r>
  <r>
    <x v="224"/>
    <x v="4"/>
    <x v="52"/>
    <x v="0"/>
    <x v="1"/>
    <x v="2442"/>
    <x v="25"/>
    <s v="NAKİT"/>
    <n v="0.2"/>
    <n v="400"/>
    <n v="0"/>
    <n v="0"/>
    <m/>
    <m/>
    <m/>
    <m/>
    <n v="80"/>
    <n v="0"/>
    <n v="20487.788691288177"/>
  </r>
  <r>
    <x v="224"/>
    <x v="10"/>
    <x v="0"/>
    <x v="0"/>
    <x v="5"/>
    <x v="2"/>
    <x v="63"/>
    <s v="POS"/>
    <n v="1"/>
    <n v="1514"/>
    <n v="0"/>
    <n v="1514"/>
    <m/>
    <m/>
    <m/>
    <m/>
    <n v="1514"/>
    <n v="0"/>
    <n v="22001.788691288177"/>
  </r>
  <r>
    <x v="225"/>
    <x v="4"/>
    <x v="161"/>
    <x v="0"/>
    <x v="1"/>
    <x v="2443"/>
    <x v="25"/>
    <s v="NAKİT"/>
    <n v="0.1125"/>
    <n v="400"/>
    <n v="0"/>
    <n v="0"/>
    <m/>
    <m/>
    <m/>
    <m/>
    <n v="45"/>
    <n v="0"/>
    <n v="22046.788691288177"/>
  </r>
  <r>
    <x v="225"/>
    <x v="4"/>
    <x v="289"/>
    <x v="0"/>
    <x v="1"/>
    <x v="2443"/>
    <x v="25"/>
    <s v="NAKİT"/>
    <n v="0.125"/>
    <n v="400"/>
    <n v="0"/>
    <n v="0"/>
    <m/>
    <m/>
    <m/>
    <m/>
    <n v="50"/>
    <n v="0"/>
    <n v="22096.788691288177"/>
  </r>
  <r>
    <x v="225"/>
    <x v="4"/>
    <x v="23"/>
    <x v="0"/>
    <x v="1"/>
    <x v="2444"/>
    <x v="25"/>
    <s v="NAKİT"/>
    <n v="0.16666666666666666"/>
    <n v="300"/>
    <n v="0"/>
    <n v="0"/>
    <m/>
    <m/>
    <m/>
    <m/>
    <n v="50"/>
    <n v="0"/>
    <n v="22146.788691288177"/>
  </r>
  <r>
    <x v="225"/>
    <x v="4"/>
    <x v="49"/>
    <x v="0"/>
    <x v="1"/>
    <x v="2445"/>
    <x v="25"/>
    <s v="NAKİT"/>
    <n v="0.1"/>
    <n v="600"/>
    <n v="0"/>
    <n v="0"/>
    <m/>
    <m/>
    <m/>
    <m/>
    <n v="60"/>
    <n v="0"/>
    <n v="22206.788691288177"/>
  </r>
  <r>
    <x v="225"/>
    <x v="4"/>
    <x v="18"/>
    <x v="0"/>
    <x v="5"/>
    <x v="2446"/>
    <x v="25"/>
    <s v="POS"/>
    <n v="1"/>
    <n v="250"/>
    <n v="250"/>
    <n v="0"/>
    <m/>
    <m/>
    <m/>
    <m/>
    <n v="0"/>
    <n v="0"/>
    <n v="22206.788691288177"/>
  </r>
  <r>
    <x v="225"/>
    <x v="4"/>
    <x v="58"/>
    <x v="0"/>
    <x v="5"/>
    <x v="2446"/>
    <x v="25"/>
    <s v="POS"/>
    <n v="1"/>
    <n v="250"/>
    <n v="250"/>
    <n v="0"/>
    <m/>
    <m/>
    <m/>
    <m/>
    <n v="0"/>
    <n v="0"/>
    <n v="22206.788691288177"/>
  </r>
  <r>
    <x v="225"/>
    <x v="4"/>
    <x v="50"/>
    <x v="0"/>
    <x v="5"/>
    <x v="2446"/>
    <x v="25"/>
    <s v="POS"/>
    <n v="0.08"/>
    <n v="750"/>
    <n v="60"/>
    <n v="0"/>
    <m/>
    <m/>
    <m/>
    <m/>
    <n v="0"/>
    <n v="0"/>
    <n v="22206.788691288177"/>
  </r>
  <r>
    <x v="225"/>
    <x v="4"/>
    <x v="287"/>
    <x v="0"/>
    <x v="1"/>
    <x v="2447"/>
    <x v="25"/>
    <s v="NAKİT"/>
    <n v="2.1538461538461537"/>
    <n v="60.5"/>
    <n v="0"/>
    <n v="0"/>
    <m/>
    <m/>
    <m/>
    <m/>
    <n v="130.30769230769229"/>
    <n v="0"/>
    <n v="22337.096383595868"/>
  </r>
  <r>
    <x v="225"/>
    <x v="4"/>
    <x v="161"/>
    <x v="0"/>
    <x v="1"/>
    <x v="2447"/>
    <x v="25"/>
    <s v="NAKİT"/>
    <n v="0.35249999999999998"/>
    <n v="400"/>
    <n v="0"/>
    <n v="0"/>
    <m/>
    <m/>
    <m/>
    <m/>
    <n v="141"/>
    <n v="0"/>
    <n v="22478.096383595868"/>
  </r>
  <r>
    <x v="225"/>
    <x v="4"/>
    <x v="446"/>
    <x v="0"/>
    <x v="1"/>
    <x v="2447"/>
    <x v="25"/>
    <s v="NAKİT"/>
    <n v="0.44363636363636366"/>
    <n v="550"/>
    <n v="0"/>
    <n v="0"/>
    <m/>
    <m/>
    <m/>
    <m/>
    <n v="244"/>
    <n v="0"/>
    <n v="22722.096383595868"/>
  </r>
  <r>
    <x v="225"/>
    <x v="4"/>
    <x v="457"/>
    <x v="0"/>
    <x v="1"/>
    <x v="2447"/>
    <x v="25"/>
    <s v="NAKİT"/>
    <n v="0.3"/>
    <n v="283.33999999999997"/>
    <n v="0"/>
    <n v="0"/>
    <m/>
    <m/>
    <m/>
    <m/>
    <n v="85.001999999999995"/>
    <n v="0"/>
    <n v="22807.098383595869"/>
  </r>
  <r>
    <x v="225"/>
    <x v="4"/>
    <x v="454"/>
    <x v="0"/>
    <x v="5"/>
    <x v="2448"/>
    <x v="25"/>
    <s v="POS"/>
    <n v="1"/>
    <n v="200"/>
    <n v="200"/>
    <n v="0"/>
    <m/>
    <m/>
    <m/>
    <m/>
    <n v="0"/>
    <n v="0"/>
    <n v="22807.098383595869"/>
  </r>
  <r>
    <x v="225"/>
    <x v="4"/>
    <x v="88"/>
    <x v="0"/>
    <x v="5"/>
    <x v="2448"/>
    <x v="25"/>
    <s v="POS"/>
    <n v="0.05"/>
    <n v="1200"/>
    <n v="60"/>
    <n v="0"/>
    <m/>
    <m/>
    <m/>
    <m/>
    <n v="0"/>
    <n v="0"/>
    <n v="22807.098383595869"/>
  </r>
  <r>
    <x v="225"/>
    <x v="4"/>
    <x v="115"/>
    <x v="0"/>
    <x v="5"/>
    <x v="2448"/>
    <x v="25"/>
    <s v="POS"/>
    <n v="8.3333333333333329E-2"/>
    <n v="240"/>
    <n v="20"/>
    <n v="0"/>
    <m/>
    <m/>
    <m/>
    <m/>
    <n v="0"/>
    <n v="0"/>
    <n v="22807.098383595869"/>
  </r>
  <r>
    <x v="225"/>
    <x v="4"/>
    <x v="232"/>
    <x v="0"/>
    <x v="5"/>
    <x v="2448"/>
    <x v="25"/>
    <s v="POS"/>
    <n v="1"/>
    <n v="270"/>
    <n v="270"/>
    <n v="0"/>
    <m/>
    <m/>
    <m/>
    <m/>
    <n v="0"/>
    <n v="0"/>
    <n v="22807.098383595869"/>
  </r>
  <r>
    <x v="225"/>
    <x v="4"/>
    <x v="403"/>
    <x v="0"/>
    <x v="1"/>
    <x v="2449"/>
    <x v="25"/>
    <s v="NAKİT"/>
    <n v="2"/>
    <n v="65"/>
    <n v="0"/>
    <n v="0"/>
    <m/>
    <m/>
    <m/>
    <m/>
    <n v="130"/>
    <n v="0"/>
    <n v="22937.098383595869"/>
  </r>
  <r>
    <x v="225"/>
    <x v="10"/>
    <x v="0"/>
    <x v="0"/>
    <x v="5"/>
    <x v="2"/>
    <x v="63"/>
    <s v="POS"/>
    <n v="1"/>
    <n v="500"/>
    <n v="0"/>
    <n v="500"/>
    <m/>
    <m/>
    <m/>
    <m/>
    <n v="500"/>
    <n v="0"/>
    <n v="23437.098383595869"/>
  </r>
  <r>
    <x v="226"/>
    <x v="4"/>
    <x v="61"/>
    <x v="0"/>
    <x v="1"/>
    <x v="2450"/>
    <x v="25"/>
    <s v="NAKİT"/>
    <n v="3.4000000000000002E-2"/>
    <n v="600"/>
    <n v="0"/>
    <n v="0"/>
    <m/>
    <m/>
    <m/>
    <m/>
    <n v="20.400000000000002"/>
    <n v="0"/>
    <n v="23457.49838359587"/>
  </r>
  <r>
    <x v="226"/>
    <x v="4"/>
    <x v="66"/>
    <x v="0"/>
    <x v="5"/>
    <x v="2451"/>
    <x v="25"/>
    <s v="POS"/>
    <n v="0.11990407673860912"/>
    <n v="417"/>
    <n v="50"/>
    <n v="0"/>
    <m/>
    <m/>
    <m/>
    <m/>
    <n v="0"/>
    <n v="0"/>
    <n v="23457.49838359587"/>
  </r>
  <r>
    <x v="226"/>
    <x v="4"/>
    <x v="248"/>
    <x v="0"/>
    <x v="5"/>
    <x v="2451"/>
    <x v="25"/>
    <s v="POS"/>
    <n v="0.17076923076923076"/>
    <n v="650"/>
    <n v="110.99999999999999"/>
    <n v="0"/>
    <m/>
    <m/>
    <m/>
    <m/>
    <n v="0"/>
    <n v="0"/>
    <n v="23457.49838359587"/>
  </r>
  <r>
    <x v="226"/>
    <x v="4"/>
    <x v="73"/>
    <x v="0"/>
    <x v="5"/>
    <x v="2451"/>
    <x v="25"/>
    <s v="POS"/>
    <n v="0.11066666666666666"/>
    <n v="750"/>
    <n v="83"/>
    <n v="0"/>
    <m/>
    <m/>
    <m/>
    <m/>
    <n v="0"/>
    <n v="0"/>
    <n v="23457.49838359587"/>
  </r>
  <r>
    <x v="226"/>
    <x v="4"/>
    <x v="149"/>
    <x v="0"/>
    <x v="5"/>
    <x v="2451"/>
    <x v="25"/>
    <s v="POS"/>
    <n v="0.15384615384615385"/>
    <n v="650"/>
    <n v="100"/>
    <n v="0"/>
    <m/>
    <m/>
    <m/>
    <m/>
    <n v="0"/>
    <n v="0"/>
    <n v="23457.49838359587"/>
  </r>
  <r>
    <x v="226"/>
    <x v="4"/>
    <x v="101"/>
    <x v="0"/>
    <x v="1"/>
    <x v="2452"/>
    <x v="25"/>
    <s v="NAKİT"/>
    <n v="0.22727272727272727"/>
    <n v="220"/>
    <n v="0"/>
    <n v="0"/>
    <m/>
    <m/>
    <m/>
    <m/>
    <n v="50"/>
    <n v="0"/>
    <n v="23507.49838359587"/>
  </r>
  <r>
    <x v="226"/>
    <x v="4"/>
    <x v="240"/>
    <x v="0"/>
    <x v="1"/>
    <x v="2452"/>
    <x v="25"/>
    <s v="NAKİT"/>
    <n v="0.32608695652173914"/>
    <n v="250"/>
    <n v="0"/>
    <n v="0"/>
    <m/>
    <m/>
    <m/>
    <m/>
    <n v="81.521739130434781"/>
    <n v="0"/>
    <n v="23589.020122726306"/>
  </r>
  <r>
    <x v="226"/>
    <x v="4"/>
    <x v="130"/>
    <x v="0"/>
    <x v="1"/>
    <x v="2452"/>
    <x v="25"/>
    <s v="NAKİT"/>
    <n v="0.21739130434782608"/>
    <n v="230"/>
    <n v="0"/>
    <n v="0"/>
    <m/>
    <m/>
    <m/>
    <m/>
    <n v="50"/>
    <n v="0"/>
    <n v="23639.020122726306"/>
  </r>
  <r>
    <x v="226"/>
    <x v="4"/>
    <x v="29"/>
    <x v="0"/>
    <x v="1"/>
    <x v="2452"/>
    <x v="25"/>
    <s v="NAKİT"/>
    <n v="0.11764705882352941"/>
    <n v="850"/>
    <n v="0"/>
    <n v="0"/>
    <m/>
    <m/>
    <m/>
    <m/>
    <n v="100"/>
    <n v="0"/>
    <n v="23739.020122726306"/>
  </r>
  <r>
    <x v="226"/>
    <x v="4"/>
    <x v="239"/>
    <x v="0"/>
    <x v="1"/>
    <x v="2453"/>
    <x v="25"/>
    <s v="NAKİT"/>
    <n v="0.25"/>
    <n v="400"/>
    <n v="0"/>
    <n v="0"/>
    <m/>
    <m/>
    <m/>
    <m/>
    <n v="100"/>
    <n v="0"/>
    <n v="23839.020122726306"/>
  </r>
  <r>
    <x v="226"/>
    <x v="4"/>
    <x v="24"/>
    <x v="0"/>
    <x v="1"/>
    <x v="2453"/>
    <x v="25"/>
    <s v="NAKİT"/>
    <n v="8.9230769230769225E-2"/>
    <n v="650"/>
    <n v="0"/>
    <n v="0"/>
    <m/>
    <m/>
    <m/>
    <m/>
    <n v="57.999999999999993"/>
    <n v="0"/>
    <n v="23897.020122726306"/>
  </r>
  <r>
    <x v="226"/>
    <x v="4"/>
    <x v="33"/>
    <x v="0"/>
    <x v="1"/>
    <x v="2453"/>
    <x v="25"/>
    <s v="NAKİT"/>
    <n v="0.18"/>
    <n v="400"/>
    <n v="0"/>
    <n v="0"/>
    <m/>
    <m/>
    <m/>
    <m/>
    <n v="72"/>
    <n v="0"/>
    <n v="23969.020122726306"/>
  </r>
  <r>
    <x v="226"/>
    <x v="4"/>
    <x v="27"/>
    <x v="0"/>
    <x v="1"/>
    <x v="2453"/>
    <x v="25"/>
    <s v="NAKİT"/>
    <n v="0.1"/>
    <n v="400"/>
    <n v="0"/>
    <n v="0"/>
    <m/>
    <m/>
    <m/>
    <m/>
    <n v="40"/>
    <n v="0"/>
    <n v="24009.020122726306"/>
  </r>
  <r>
    <x v="226"/>
    <x v="4"/>
    <x v="29"/>
    <x v="0"/>
    <x v="1"/>
    <x v="2453"/>
    <x v="25"/>
    <s v="NAKİT"/>
    <n v="6.1176470588235297E-2"/>
    <n v="850"/>
    <n v="0"/>
    <n v="0"/>
    <m/>
    <m/>
    <m/>
    <m/>
    <n v="52"/>
    <n v="0"/>
    <n v="24061.020122726306"/>
  </r>
  <r>
    <x v="226"/>
    <x v="4"/>
    <x v="56"/>
    <x v="0"/>
    <x v="1"/>
    <x v="2453"/>
    <x v="25"/>
    <s v="NAKİT"/>
    <n v="1"/>
    <n v="200"/>
    <n v="0"/>
    <n v="0"/>
    <m/>
    <m/>
    <m/>
    <m/>
    <n v="200"/>
    <n v="0"/>
    <n v="24261.020122726306"/>
  </r>
  <r>
    <x v="226"/>
    <x v="4"/>
    <x v="23"/>
    <x v="0"/>
    <x v="5"/>
    <x v="2454"/>
    <x v="25"/>
    <s v="POS"/>
    <n v="0.12666666666666668"/>
    <n v="300"/>
    <n v="38"/>
    <n v="0"/>
    <m/>
    <m/>
    <m/>
    <m/>
    <n v="0"/>
    <n v="0"/>
    <n v="24261.020122726306"/>
  </r>
  <r>
    <x v="226"/>
    <x v="4"/>
    <x v="96"/>
    <x v="0"/>
    <x v="5"/>
    <x v="2454"/>
    <x v="25"/>
    <s v="POS"/>
    <n v="0.04"/>
    <n v="1250"/>
    <n v="50"/>
    <n v="0"/>
    <m/>
    <m/>
    <m/>
    <m/>
    <n v="0"/>
    <n v="0"/>
    <n v="24261.020122726306"/>
  </r>
  <r>
    <x v="226"/>
    <x v="4"/>
    <x v="204"/>
    <x v="0"/>
    <x v="5"/>
    <x v="2454"/>
    <x v="25"/>
    <s v="POS"/>
    <n v="0.05"/>
    <n v="800"/>
    <n v="40"/>
    <n v="0"/>
    <m/>
    <m/>
    <m/>
    <m/>
    <n v="0"/>
    <n v="0"/>
    <n v="24261.020122726306"/>
  </r>
  <r>
    <x v="226"/>
    <x v="4"/>
    <x v="372"/>
    <x v="0"/>
    <x v="5"/>
    <x v="2454"/>
    <x v="25"/>
    <s v="POS"/>
    <n v="0.04"/>
    <n v="760"/>
    <n v="30.400000000000002"/>
    <n v="0"/>
    <m/>
    <m/>
    <m/>
    <m/>
    <n v="0"/>
    <n v="0"/>
    <n v="24261.020122726306"/>
  </r>
  <r>
    <x v="226"/>
    <x v="4"/>
    <x v="101"/>
    <x v="0"/>
    <x v="5"/>
    <x v="2454"/>
    <x v="25"/>
    <s v="POS"/>
    <n v="0.22727272727272727"/>
    <n v="220"/>
    <n v="50"/>
    <n v="0"/>
    <m/>
    <m/>
    <m/>
    <m/>
    <n v="0"/>
    <n v="0"/>
    <n v="24261.020122726306"/>
  </r>
  <r>
    <x v="226"/>
    <x v="4"/>
    <x v="27"/>
    <x v="0"/>
    <x v="1"/>
    <x v="2455"/>
    <x v="244"/>
    <s v="NAKİT"/>
    <n v="0.53"/>
    <n v="190"/>
    <n v="0"/>
    <n v="0"/>
    <m/>
    <m/>
    <m/>
    <m/>
    <n v="100.7"/>
    <n v="0"/>
    <n v="24361.720122726307"/>
  </r>
  <r>
    <x v="226"/>
    <x v="4"/>
    <x v="208"/>
    <x v="0"/>
    <x v="5"/>
    <x v="2456"/>
    <x v="25"/>
    <s v="POS"/>
    <n v="1"/>
    <n v="375"/>
    <n v="375"/>
    <n v="0"/>
    <m/>
    <m/>
    <m/>
    <m/>
    <n v="0"/>
    <n v="0"/>
    <n v="24361.720122726307"/>
  </r>
  <r>
    <x v="226"/>
    <x v="4"/>
    <x v="240"/>
    <x v="0"/>
    <x v="5"/>
    <x v="2456"/>
    <x v="25"/>
    <s v="POS"/>
    <n v="0.32608695652173914"/>
    <n v="250"/>
    <n v="81.521739130434781"/>
    <n v="0"/>
    <m/>
    <m/>
    <m/>
    <m/>
    <n v="0"/>
    <n v="0"/>
    <n v="24361.720122726307"/>
  </r>
  <r>
    <x v="226"/>
    <x v="4"/>
    <x v="72"/>
    <x v="0"/>
    <x v="5"/>
    <x v="2456"/>
    <x v="25"/>
    <s v="POS"/>
    <n v="0.05"/>
    <n v="1400"/>
    <n v="70"/>
    <n v="0"/>
    <m/>
    <m/>
    <m/>
    <m/>
    <n v="0"/>
    <n v="0"/>
    <n v="24361.720122726307"/>
  </r>
  <r>
    <x v="226"/>
    <x v="4"/>
    <x v="74"/>
    <x v="0"/>
    <x v="1"/>
    <x v="2457"/>
    <x v="25"/>
    <s v="NAKİT"/>
    <n v="0.25"/>
    <n v="360"/>
    <n v="0"/>
    <n v="0"/>
    <m/>
    <m/>
    <m/>
    <m/>
    <n v="90"/>
    <n v="0"/>
    <n v="24451.720122726307"/>
  </r>
  <r>
    <x v="226"/>
    <x v="10"/>
    <x v="0"/>
    <x v="0"/>
    <x v="5"/>
    <x v="2"/>
    <x v="245"/>
    <s v="POS"/>
    <n v="1"/>
    <n v="2455"/>
    <n v="0"/>
    <n v="2455"/>
    <m/>
    <m/>
    <m/>
    <m/>
    <n v="2455"/>
    <n v="0"/>
    <n v="26906.720122726307"/>
  </r>
  <r>
    <x v="226"/>
    <x v="1"/>
    <x v="0"/>
    <x v="15"/>
    <x v="1"/>
    <x v="2"/>
    <x v="245"/>
    <s v="NAKİT"/>
    <n v="1"/>
    <n v="2455"/>
    <n v="0"/>
    <n v="0"/>
    <m/>
    <m/>
    <m/>
    <m/>
    <n v="0"/>
    <n v="2455"/>
    <n v="24451.720122726307"/>
  </r>
  <r>
    <x v="227"/>
    <x v="4"/>
    <x v="287"/>
    <x v="0"/>
    <x v="1"/>
    <x v="2458"/>
    <x v="25"/>
    <s v="NAKİT"/>
    <n v="1.1539999999999999"/>
    <n v="65"/>
    <n v="0"/>
    <n v="0"/>
    <m/>
    <m/>
    <m/>
    <m/>
    <n v="75.009999999999991"/>
    <n v="0"/>
    <n v="24526.730122726305"/>
  </r>
  <r>
    <x v="227"/>
    <x v="4"/>
    <x v="435"/>
    <x v="0"/>
    <x v="5"/>
    <x v="2459"/>
    <x v="25"/>
    <s v="POS"/>
    <n v="0.5"/>
    <n v="500"/>
    <n v="250"/>
    <n v="0"/>
    <m/>
    <m/>
    <m/>
    <m/>
    <n v="0"/>
    <n v="0"/>
    <n v="24526.730122726305"/>
  </r>
  <r>
    <x v="227"/>
    <x v="4"/>
    <x v="360"/>
    <x v="0"/>
    <x v="5"/>
    <x v="2459"/>
    <x v="25"/>
    <s v="POS"/>
    <n v="0.25"/>
    <n v="700"/>
    <n v="175"/>
    <n v="0"/>
    <m/>
    <m/>
    <m/>
    <m/>
    <n v="0"/>
    <n v="0"/>
    <n v="24526.730122726305"/>
  </r>
  <r>
    <x v="227"/>
    <x v="4"/>
    <x v="29"/>
    <x v="0"/>
    <x v="1"/>
    <x v="2460"/>
    <x v="25"/>
    <s v="NAKİT"/>
    <n v="0.26666666666666666"/>
    <n v="750"/>
    <n v="0"/>
    <n v="0"/>
    <m/>
    <m/>
    <m/>
    <m/>
    <n v="200"/>
    <n v="0"/>
    <n v="24726.730122726305"/>
  </r>
  <r>
    <x v="227"/>
    <x v="4"/>
    <x v="27"/>
    <x v="0"/>
    <x v="1"/>
    <x v="2461"/>
    <x v="25"/>
    <s v="NAKİT"/>
    <n v="0.25"/>
    <n v="400"/>
    <n v="0"/>
    <n v="0"/>
    <m/>
    <m/>
    <m/>
    <m/>
    <n v="100"/>
    <n v="0"/>
    <n v="24826.730122726305"/>
  </r>
  <r>
    <x v="227"/>
    <x v="4"/>
    <x v="431"/>
    <x v="0"/>
    <x v="1"/>
    <x v="2462"/>
    <x v="25"/>
    <s v="NAKİT"/>
    <n v="1"/>
    <n v="125"/>
    <n v="0"/>
    <n v="0"/>
    <m/>
    <m/>
    <m/>
    <m/>
    <n v="125"/>
    <n v="0"/>
    <n v="24951.730122726305"/>
  </r>
  <r>
    <x v="227"/>
    <x v="4"/>
    <x v="279"/>
    <x v="0"/>
    <x v="1"/>
    <x v="2463"/>
    <x v="25"/>
    <s v="NAKİT"/>
    <n v="1"/>
    <n v="130"/>
    <n v="0"/>
    <n v="0"/>
    <m/>
    <m/>
    <m/>
    <m/>
    <n v="130"/>
    <n v="0"/>
    <n v="25081.730122726305"/>
  </r>
  <r>
    <x v="227"/>
    <x v="4"/>
    <x v="72"/>
    <x v="0"/>
    <x v="5"/>
    <x v="2464"/>
    <x v="25"/>
    <s v="POS"/>
    <n v="0.05"/>
    <n v="1400"/>
    <n v="70"/>
    <n v="0"/>
    <m/>
    <m/>
    <m/>
    <m/>
    <n v="0"/>
    <n v="0"/>
    <n v="25081.730122726305"/>
  </r>
  <r>
    <x v="227"/>
    <x v="4"/>
    <x v="244"/>
    <x v="0"/>
    <x v="5"/>
    <x v="2464"/>
    <x v="25"/>
    <s v="POS"/>
    <n v="0.5"/>
    <n v="120"/>
    <n v="60"/>
    <n v="0"/>
    <m/>
    <m/>
    <m/>
    <m/>
    <n v="0"/>
    <n v="0"/>
    <n v="25081.730122726305"/>
  </r>
  <r>
    <x v="227"/>
    <x v="4"/>
    <x v="449"/>
    <x v="0"/>
    <x v="5"/>
    <x v="2464"/>
    <x v="25"/>
    <s v="POS"/>
    <n v="0.38400000000000001"/>
    <n v="650"/>
    <n v="249.6"/>
    <n v="0"/>
    <m/>
    <m/>
    <m/>
    <m/>
    <n v="0"/>
    <n v="0"/>
    <n v="25081.730122726305"/>
  </r>
  <r>
    <x v="227"/>
    <x v="4"/>
    <x v="57"/>
    <x v="0"/>
    <x v="5"/>
    <x v="2464"/>
    <x v="25"/>
    <s v="POS"/>
    <n v="1"/>
    <n v="150"/>
    <n v="150"/>
    <n v="0"/>
    <m/>
    <m/>
    <m/>
    <m/>
    <n v="0"/>
    <n v="0"/>
    <n v="25081.730122726305"/>
  </r>
  <r>
    <x v="227"/>
    <x v="4"/>
    <x v="55"/>
    <x v="0"/>
    <x v="5"/>
    <x v="2464"/>
    <x v="25"/>
    <s v="POS"/>
    <n v="1"/>
    <n v="200"/>
    <n v="200"/>
    <n v="0"/>
    <m/>
    <m/>
    <m/>
    <m/>
    <n v="0"/>
    <n v="0"/>
    <n v="25081.730122726305"/>
  </r>
  <r>
    <x v="227"/>
    <x v="4"/>
    <x v="89"/>
    <x v="0"/>
    <x v="5"/>
    <x v="2465"/>
    <x v="25"/>
    <s v="POS"/>
    <n v="0.1"/>
    <n v="900"/>
    <n v="90"/>
    <n v="0"/>
    <m/>
    <m/>
    <m/>
    <m/>
    <n v="0"/>
    <n v="0"/>
    <n v="25081.730122726305"/>
  </r>
  <r>
    <x v="227"/>
    <x v="4"/>
    <x v="88"/>
    <x v="0"/>
    <x v="1"/>
    <x v="2466"/>
    <x v="25"/>
    <s v="NAKİT"/>
    <n v="0.1"/>
    <n v="1200"/>
    <n v="0"/>
    <n v="0"/>
    <m/>
    <m/>
    <m/>
    <m/>
    <n v="120"/>
    <n v="0"/>
    <n v="25201.730122726305"/>
  </r>
  <r>
    <x v="227"/>
    <x v="4"/>
    <x v="18"/>
    <x v="0"/>
    <x v="5"/>
    <x v="2467"/>
    <x v="25"/>
    <s v="POS"/>
    <n v="1"/>
    <n v="250"/>
    <n v="250"/>
    <n v="0"/>
    <m/>
    <m/>
    <m/>
    <m/>
    <n v="0"/>
    <n v="0"/>
    <n v="25201.730122726305"/>
  </r>
  <r>
    <x v="227"/>
    <x v="4"/>
    <x v="161"/>
    <x v="0"/>
    <x v="1"/>
    <x v="2468"/>
    <x v="25"/>
    <s v="NAKİT"/>
    <n v="0.16500000000000001"/>
    <n v="400"/>
    <n v="0"/>
    <n v="0"/>
    <m/>
    <m/>
    <m/>
    <m/>
    <n v="66"/>
    <n v="0"/>
    <n v="25267.730122726305"/>
  </r>
  <r>
    <x v="227"/>
    <x v="4"/>
    <x v="340"/>
    <x v="0"/>
    <x v="1"/>
    <x v="2468"/>
    <x v="25"/>
    <s v="NAKİT"/>
    <n v="1"/>
    <n v="135"/>
    <n v="0"/>
    <n v="0"/>
    <m/>
    <m/>
    <m/>
    <m/>
    <n v="135"/>
    <n v="0"/>
    <n v="25402.730122726305"/>
  </r>
  <r>
    <x v="227"/>
    <x v="4"/>
    <x v="233"/>
    <x v="0"/>
    <x v="1"/>
    <x v="2468"/>
    <x v="25"/>
    <s v="NAKİT"/>
    <n v="1"/>
    <n v="400"/>
    <n v="0"/>
    <n v="0"/>
    <m/>
    <m/>
    <m/>
    <m/>
    <n v="400"/>
    <n v="0"/>
    <n v="25802.730122726305"/>
  </r>
  <r>
    <x v="227"/>
    <x v="4"/>
    <x v="49"/>
    <x v="0"/>
    <x v="1"/>
    <x v="2468"/>
    <x v="25"/>
    <s v="NAKİT"/>
    <n v="0.45"/>
    <n v="540"/>
    <n v="0"/>
    <n v="0"/>
    <m/>
    <m/>
    <m/>
    <m/>
    <n v="243"/>
    <n v="0"/>
    <n v="26045.730122726305"/>
  </r>
  <r>
    <x v="228"/>
    <x v="4"/>
    <x v="89"/>
    <x v="0"/>
    <x v="1"/>
    <x v="2469"/>
    <x v="25"/>
    <s v="NAKİT"/>
    <n v="0.2"/>
    <n v="900"/>
    <n v="0"/>
    <n v="0"/>
    <m/>
    <m/>
    <m/>
    <m/>
    <n v="180"/>
    <n v="0"/>
    <n v="26225.730122726305"/>
  </r>
  <r>
    <x v="228"/>
    <x v="4"/>
    <x v="166"/>
    <x v="0"/>
    <x v="1"/>
    <x v="2470"/>
    <x v="25"/>
    <s v="NAKİT"/>
    <n v="1"/>
    <n v="50"/>
    <n v="0"/>
    <n v="0"/>
    <m/>
    <m/>
    <m/>
    <m/>
    <n v="50"/>
    <n v="0"/>
    <n v="26275.730122726305"/>
  </r>
  <r>
    <x v="228"/>
    <x v="4"/>
    <x v="356"/>
    <x v="0"/>
    <x v="1"/>
    <x v="2470"/>
    <x v="25"/>
    <s v="NAKİT"/>
    <n v="1"/>
    <n v="20"/>
    <n v="0"/>
    <n v="0"/>
    <m/>
    <m/>
    <m/>
    <m/>
    <n v="20"/>
    <n v="0"/>
    <n v="26295.730122726305"/>
  </r>
  <r>
    <x v="228"/>
    <x v="4"/>
    <x v="57"/>
    <x v="0"/>
    <x v="1"/>
    <x v="2471"/>
    <x v="25"/>
    <s v="NAKİT"/>
    <n v="1"/>
    <n v="150"/>
    <n v="0"/>
    <n v="0"/>
    <m/>
    <m/>
    <m/>
    <m/>
    <n v="150"/>
    <n v="0"/>
    <n v="26445.730122726305"/>
  </r>
  <r>
    <x v="228"/>
    <x v="4"/>
    <x v="56"/>
    <x v="0"/>
    <x v="1"/>
    <x v="2471"/>
    <x v="25"/>
    <s v="NAKİT"/>
    <n v="1"/>
    <n v="200"/>
    <n v="0"/>
    <n v="0"/>
    <m/>
    <m/>
    <m/>
    <m/>
    <n v="200"/>
    <n v="0"/>
    <n v="26645.730122726305"/>
  </r>
  <r>
    <x v="228"/>
    <x v="4"/>
    <x v="27"/>
    <x v="0"/>
    <x v="1"/>
    <x v="2472"/>
    <x v="25"/>
    <s v="NAKİT"/>
    <n v="3.7499999999999999E-2"/>
    <n v="400"/>
    <n v="0"/>
    <n v="0"/>
    <m/>
    <m/>
    <m/>
    <m/>
    <n v="15"/>
    <n v="0"/>
    <n v="26660.730122726305"/>
  </r>
  <r>
    <x v="228"/>
    <x v="4"/>
    <x v="24"/>
    <x v="0"/>
    <x v="1"/>
    <x v="2472"/>
    <x v="25"/>
    <s v="NAKİT"/>
    <n v="0.15384615384615385"/>
    <n v="650"/>
    <n v="0"/>
    <n v="0"/>
    <m/>
    <m/>
    <m/>
    <m/>
    <n v="100"/>
    <n v="0"/>
    <n v="26760.730122726305"/>
  </r>
  <r>
    <x v="228"/>
    <x v="4"/>
    <x v="363"/>
    <x v="0"/>
    <x v="1"/>
    <x v="2473"/>
    <x v="25"/>
    <s v="NAKİT"/>
    <n v="0.1"/>
    <n v="950"/>
    <n v="0"/>
    <n v="0"/>
    <m/>
    <m/>
    <m/>
    <m/>
    <n v="95"/>
    <n v="0"/>
    <n v="26855.730122726305"/>
  </r>
  <r>
    <x v="228"/>
    <x v="4"/>
    <x v="364"/>
    <x v="0"/>
    <x v="1"/>
    <x v="2473"/>
    <x v="25"/>
    <s v="NAKİT"/>
    <n v="0.1"/>
    <n v="850"/>
    <n v="0"/>
    <n v="0"/>
    <m/>
    <m/>
    <m/>
    <m/>
    <n v="85"/>
    <n v="0"/>
    <n v="26940.730122726305"/>
  </r>
  <r>
    <x v="228"/>
    <x v="4"/>
    <x v="392"/>
    <x v="0"/>
    <x v="5"/>
    <x v="2474"/>
    <x v="25"/>
    <s v="POS"/>
    <n v="0.5"/>
    <n v="370"/>
    <n v="185"/>
    <n v="0"/>
    <m/>
    <m/>
    <m/>
    <m/>
    <n v="0"/>
    <n v="0"/>
    <n v="26940.730122726305"/>
  </r>
  <r>
    <x v="228"/>
    <x v="4"/>
    <x v="56"/>
    <x v="0"/>
    <x v="5"/>
    <x v="2475"/>
    <x v="25"/>
    <s v="POS"/>
    <n v="0.5"/>
    <n v="200"/>
    <n v="100"/>
    <n v="0"/>
    <m/>
    <m/>
    <m/>
    <m/>
    <n v="0"/>
    <n v="0"/>
    <n v="26940.730122726305"/>
  </r>
  <r>
    <x v="228"/>
    <x v="4"/>
    <x v="57"/>
    <x v="0"/>
    <x v="5"/>
    <x v="2475"/>
    <x v="25"/>
    <s v="POS"/>
    <n v="1"/>
    <n v="150"/>
    <n v="150"/>
    <n v="0"/>
    <m/>
    <m/>
    <m/>
    <m/>
    <n v="0"/>
    <n v="0"/>
    <n v="26940.730122726305"/>
  </r>
  <r>
    <x v="228"/>
    <x v="4"/>
    <x v="24"/>
    <x v="0"/>
    <x v="1"/>
    <x v="2476"/>
    <x v="25"/>
    <s v="NAKİT"/>
    <n v="0.19384615384615383"/>
    <n v="600"/>
    <n v="0"/>
    <n v="0"/>
    <m/>
    <m/>
    <m/>
    <m/>
    <n v="116.30769230769231"/>
    <n v="0"/>
    <n v="27057.037815033997"/>
  </r>
  <r>
    <x v="228"/>
    <x v="4"/>
    <x v="32"/>
    <x v="0"/>
    <x v="1"/>
    <x v="2476"/>
    <x v="25"/>
    <s v="NAKİT"/>
    <n v="0.19"/>
    <n v="375"/>
    <n v="0"/>
    <n v="0"/>
    <m/>
    <m/>
    <m/>
    <m/>
    <n v="71.25"/>
    <n v="0"/>
    <n v="27128.287815033997"/>
  </r>
  <r>
    <x v="228"/>
    <x v="4"/>
    <x v="161"/>
    <x v="0"/>
    <x v="1"/>
    <x v="2476"/>
    <x v="25"/>
    <s v="NAKİT"/>
    <n v="0.22750000000000001"/>
    <n v="375"/>
    <n v="0"/>
    <n v="0"/>
    <m/>
    <m/>
    <m/>
    <m/>
    <n v="85.3125"/>
    <n v="0"/>
    <n v="27213.600315033997"/>
  </r>
  <r>
    <x v="228"/>
    <x v="4"/>
    <x v="33"/>
    <x v="0"/>
    <x v="1"/>
    <x v="2476"/>
    <x v="25"/>
    <s v="NAKİT"/>
    <n v="0.31"/>
    <n v="375"/>
    <n v="0"/>
    <n v="0"/>
    <m/>
    <m/>
    <m/>
    <m/>
    <n v="116.25"/>
    <n v="0"/>
    <n v="27329.850315033997"/>
  </r>
  <r>
    <x v="228"/>
    <x v="4"/>
    <x v="59"/>
    <x v="0"/>
    <x v="1"/>
    <x v="2476"/>
    <x v="25"/>
    <s v="NAKİT"/>
    <n v="0.27111111111111114"/>
    <n v="410"/>
    <n v="0"/>
    <n v="0"/>
    <m/>
    <m/>
    <m/>
    <m/>
    <n v="111.15555555555557"/>
    <n v="0"/>
    <n v="27441.005870589554"/>
  </r>
  <r>
    <x v="228"/>
    <x v="4"/>
    <x v="359"/>
    <x v="0"/>
    <x v="1"/>
    <x v="2476"/>
    <x v="25"/>
    <s v="NAKİT"/>
    <n v="1"/>
    <n v="550"/>
    <n v="0"/>
    <n v="0"/>
    <m/>
    <m/>
    <m/>
    <m/>
    <n v="550"/>
    <n v="0"/>
    <n v="27991.005870589554"/>
  </r>
  <r>
    <x v="228"/>
    <x v="4"/>
    <x v="244"/>
    <x v="0"/>
    <x v="5"/>
    <x v="2477"/>
    <x v="25"/>
    <s v="POS"/>
    <n v="0.5"/>
    <n v="100"/>
    <n v="50"/>
    <n v="0"/>
    <m/>
    <m/>
    <m/>
    <m/>
    <n v="0"/>
    <n v="0"/>
    <n v="27991.005870589554"/>
  </r>
  <r>
    <x v="228"/>
    <x v="4"/>
    <x v="18"/>
    <x v="0"/>
    <x v="5"/>
    <x v="2478"/>
    <x v="25"/>
    <s v="POS"/>
    <n v="2"/>
    <n v="250"/>
    <n v="500"/>
    <n v="0"/>
    <m/>
    <m/>
    <m/>
    <m/>
    <n v="0"/>
    <n v="0"/>
    <n v="27991.005870589554"/>
  </r>
  <r>
    <x v="229"/>
    <x v="4"/>
    <x v="289"/>
    <x v="0"/>
    <x v="1"/>
    <x v="2479"/>
    <x v="25"/>
    <s v="NAKİT"/>
    <n v="0.20833333333333334"/>
    <n v="400"/>
    <n v="0"/>
    <n v="0"/>
    <m/>
    <m/>
    <m/>
    <m/>
    <n v="83.333333333333343"/>
    <n v="0"/>
    <n v="28074.339203922886"/>
  </r>
  <r>
    <x v="229"/>
    <x v="4"/>
    <x v="152"/>
    <x v="0"/>
    <x v="1"/>
    <x v="2480"/>
    <x v="25"/>
    <s v="NAKİT"/>
    <n v="1"/>
    <n v="80"/>
    <n v="0"/>
    <n v="0"/>
    <m/>
    <m/>
    <m/>
    <m/>
    <n v="80"/>
    <n v="0"/>
    <n v="28154.339203922886"/>
  </r>
  <r>
    <x v="229"/>
    <x v="4"/>
    <x v="69"/>
    <x v="0"/>
    <x v="1"/>
    <x v="2481"/>
    <x v="25"/>
    <s v="NAKİT"/>
    <n v="0.05"/>
    <n v="1000"/>
    <n v="0"/>
    <n v="0"/>
    <m/>
    <m/>
    <m/>
    <m/>
    <n v="50"/>
    <n v="0"/>
    <n v="28204.339203922886"/>
  </r>
  <r>
    <x v="229"/>
    <x v="4"/>
    <x v="28"/>
    <x v="0"/>
    <x v="1"/>
    <x v="2481"/>
    <x v="25"/>
    <s v="NAKİT"/>
    <n v="0.15"/>
    <n v="500"/>
    <n v="0"/>
    <n v="0"/>
    <m/>
    <m/>
    <m/>
    <m/>
    <n v="75"/>
    <n v="0"/>
    <n v="28279.339203922886"/>
  </r>
  <r>
    <x v="229"/>
    <x v="4"/>
    <x v="29"/>
    <x v="0"/>
    <x v="1"/>
    <x v="2481"/>
    <x v="25"/>
    <s v="NAKİT"/>
    <n v="3.411764705882353E-2"/>
    <n v="850"/>
    <n v="0"/>
    <n v="0"/>
    <m/>
    <m/>
    <m/>
    <m/>
    <n v="29"/>
    <n v="0"/>
    <n v="28308.339203922886"/>
  </r>
  <r>
    <x v="229"/>
    <x v="4"/>
    <x v="23"/>
    <x v="0"/>
    <x v="1"/>
    <x v="2481"/>
    <x v="25"/>
    <s v="NAKİT"/>
    <n v="0.16"/>
    <n v="300"/>
    <n v="0"/>
    <n v="0"/>
    <m/>
    <m/>
    <m/>
    <m/>
    <n v="48"/>
    <n v="0"/>
    <n v="28356.339203922886"/>
  </r>
  <r>
    <x v="229"/>
    <x v="4"/>
    <x v="25"/>
    <x v="0"/>
    <x v="1"/>
    <x v="2482"/>
    <x v="25"/>
    <s v="NAKİT"/>
    <n v="9.4E-2"/>
    <n v="400"/>
    <n v="0"/>
    <n v="0"/>
    <m/>
    <m/>
    <m/>
    <m/>
    <n v="37.6"/>
    <n v="0"/>
    <n v="28393.939203922884"/>
  </r>
  <r>
    <x v="229"/>
    <x v="4"/>
    <x v="120"/>
    <x v="0"/>
    <x v="1"/>
    <x v="2482"/>
    <x v="25"/>
    <s v="NAKİT"/>
    <n v="0.23076923076923078"/>
    <n v="650"/>
    <n v="0"/>
    <n v="0"/>
    <m/>
    <m/>
    <m/>
    <m/>
    <n v="150"/>
    <n v="0"/>
    <n v="28543.939203922884"/>
  </r>
  <r>
    <x v="229"/>
    <x v="4"/>
    <x v="456"/>
    <x v="0"/>
    <x v="1"/>
    <x v="2482"/>
    <x v="25"/>
    <s v="NAKİT"/>
    <n v="0.34"/>
    <n v="250"/>
    <n v="0"/>
    <n v="0"/>
    <m/>
    <m/>
    <m/>
    <m/>
    <n v="85"/>
    <n v="0"/>
    <n v="28628.939203922884"/>
  </r>
  <r>
    <x v="229"/>
    <x v="4"/>
    <x v="34"/>
    <x v="0"/>
    <x v="5"/>
    <x v="2483"/>
    <x v="25"/>
    <s v="POS"/>
    <n v="0.13"/>
    <n v="580"/>
    <n v="75.400000000000006"/>
    <n v="0"/>
    <m/>
    <m/>
    <m/>
    <m/>
    <n v="0"/>
    <n v="0"/>
    <n v="28628.939203922884"/>
  </r>
  <r>
    <x v="229"/>
    <x v="4"/>
    <x v="30"/>
    <x v="0"/>
    <x v="5"/>
    <x v="2483"/>
    <x v="25"/>
    <s v="POS"/>
    <n v="0.4"/>
    <n v="500"/>
    <n v="200"/>
    <n v="0"/>
    <m/>
    <m/>
    <m/>
    <m/>
    <n v="0"/>
    <n v="0"/>
    <n v="28628.939203922884"/>
  </r>
  <r>
    <x v="229"/>
    <x v="4"/>
    <x v="149"/>
    <x v="0"/>
    <x v="5"/>
    <x v="2483"/>
    <x v="25"/>
    <s v="POS"/>
    <n v="0.30769230769230771"/>
    <n v="650"/>
    <n v="200"/>
    <n v="0"/>
    <m/>
    <m/>
    <m/>
    <m/>
    <n v="0"/>
    <n v="0"/>
    <n v="28628.939203922884"/>
  </r>
  <r>
    <x v="229"/>
    <x v="4"/>
    <x v="119"/>
    <x v="0"/>
    <x v="5"/>
    <x v="2483"/>
    <x v="25"/>
    <s v="POS"/>
    <n v="0.23076923076923078"/>
    <n v="650"/>
    <n v="150"/>
    <n v="0"/>
    <m/>
    <m/>
    <m/>
    <m/>
    <n v="0"/>
    <n v="0"/>
    <n v="28628.939203922884"/>
  </r>
  <r>
    <x v="229"/>
    <x v="4"/>
    <x v="122"/>
    <x v="0"/>
    <x v="5"/>
    <x v="2483"/>
    <x v="25"/>
    <s v="POS"/>
    <n v="0.25"/>
    <n v="1200"/>
    <n v="300"/>
    <n v="0"/>
    <m/>
    <m/>
    <m/>
    <m/>
    <n v="0"/>
    <n v="0"/>
    <n v="28628.939203922884"/>
  </r>
  <r>
    <x v="229"/>
    <x v="4"/>
    <x v="54"/>
    <x v="0"/>
    <x v="5"/>
    <x v="2483"/>
    <x v="25"/>
    <s v="POS"/>
    <n v="0.1"/>
    <n v="400"/>
    <n v="40"/>
    <n v="0"/>
    <m/>
    <m/>
    <m/>
    <m/>
    <n v="0"/>
    <n v="0"/>
    <n v="28628.939203922884"/>
  </r>
  <r>
    <x v="229"/>
    <x v="4"/>
    <x v="360"/>
    <x v="0"/>
    <x v="5"/>
    <x v="2483"/>
    <x v="25"/>
    <s v="POS"/>
    <n v="0.25"/>
    <n v="700"/>
    <n v="175"/>
    <n v="0"/>
    <m/>
    <m/>
    <m/>
    <m/>
    <n v="0"/>
    <n v="0"/>
    <n v="28628.939203922884"/>
  </r>
  <r>
    <x v="229"/>
    <x v="4"/>
    <x v="360"/>
    <x v="0"/>
    <x v="5"/>
    <x v="2484"/>
    <x v="25"/>
    <s v="POS"/>
    <n v="2"/>
    <n v="675"/>
    <n v="1350"/>
    <n v="0"/>
    <m/>
    <m/>
    <m/>
    <m/>
    <n v="0"/>
    <n v="0"/>
    <n v="28628.939203922884"/>
  </r>
  <r>
    <x v="229"/>
    <x v="4"/>
    <x v="296"/>
    <x v="0"/>
    <x v="1"/>
    <x v="2485"/>
    <x v="25"/>
    <s v="NAKİT"/>
    <n v="1"/>
    <n v="130"/>
    <n v="0"/>
    <n v="0"/>
    <m/>
    <m/>
    <m/>
    <m/>
    <n v="130"/>
    <n v="0"/>
    <n v="28758.939203922884"/>
  </r>
  <r>
    <x v="229"/>
    <x v="4"/>
    <x v="316"/>
    <x v="0"/>
    <x v="1"/>
    <x v="2485"/>
    <x v="25"/>
    <s v="NAKİT"/>
    <n v="1"/>
    <n v="180"/>
    <n v="0"/>
    <n v="0"/>
    <m/>
    <m/>
    <m/>
    <m/>
    <n v="180"/>
    <n v="0"/>
    <n v="28938.939203922884"/>
  </r>
  <r>
    <x v="229"/>
    <x v="4"/>
    <x v="49"/>
    <x v="0"/>
    <x v="1"/>
    <x v="2485"/>
    <x v="25"/>
    <s v="NAKİT"/>
    <n v="0.1"/>
    <n v="600"/>
    <n v="0"/>
    <n v="0"/>
    <m/>
    <m/>
    <m/>
    <m/>
    <n v="60"/>
    <n v="0"/>
    <n v="28998.939203922884"/>
  </r>
  <r>
    <x v="229"/>
    <x v="4"/>
    <x v="23"/>
    <x v="0"/>
    <x v="1"/>
    <x v="2485"/>
    <x v="25"/>
    <s v="NAKİT"/>
    <n v="0.1"/>
    <n v="300"/>
    <n v="0"/>
    <n v="0"/>
    <m/>
    <m/>
    <m/>
    <m/>
    <n v="30"/>
    <n v="0"/>
    <n v="29028.939203922884"/>
  </r>
  <r>
    <x v="229"/>
    <x v="4"/>
    <x v="83"/>
    <x v="0"/>
    <x v="5"/>
    <x v="2486"/>
    <x v="25"/>
    <s v="POS"/>
    <n v="0.05"/>
    <n v="2600"/>
    <n v="130"/>
    <n v="0"/>
    <m/>
    <m/>
    <m/>
    <m/>
    <n v="0"/>
    <n v="0"/>
    <n v="29028.939203922884"/>
  </r>
  <r>
    <x v="229"/>
    <x v="4"/>
    <x v="28"/>
    <x v="0"/>
    <x v="1"/>
    <x v="2487"/>
    <x v="25"/>
    <s v="NAKİT"/>
    <n v="5.8000000000000003E-2"/>
    <n v="500"/>
    <n v="0"/>
    <n v="0"/>
    <m/>
    <m/>
    <m/>
    <m/>
    <n v="29"/>
    <n v="0"/>
    <n v="29057.939203922884"/>
  </r>
  <r>
    <x v="229"/>
    <x v="4"/>
    <x v="24"/>
    <x v="0"/>
    <x v="1"/>
    <x v="2487"/>
    <x v="25"/>
    <s v="NAKİT"/>
    <n v="6.4000000000000001E-2"/>
    <n v="630"/>
    <n v="0"/>
    <n v="0"/>
    <m/>
    <m/>
    <m/>
    <m/>
    <n v="40.32"/>
    <n v="0"/>
    <n v="29098.259203922884"/>
  </r>
  <r>
    <x v="229"/>
    <x v="4"/>
    <x v="25"/>
    <x v="0"/>
    <x v="1"/>
    <x v="2487"/>
    <x v="25"/>
    <s v="NAKİT"/>
    <n v="5.2000000000000005E-2"/>
    <n v="400"/>
    <n v="0"/>
    <n v="0"/>
    <m/>
    <m/>
    <m/>
    <m/>
    <n v="20.8"/>
    <n v="0"/>
    <n v="29119.059203922883"/>
  </r>
  <r>
    <x v="229"/>
    <x v="4"/>
    <x v="57"/>
    <x v="0"/>
    <x v="1"/>
    <x v="2487"/>
    <x v="25"/>
    <s v="NAKİT"/>
    <n v="2"/>
    <n v="150"/>
    <n v="0"/>
    <n v="0"/>
    <m/>
    <m/>
    <m/>
    <m/>
    <n v="300"/>
    <n v="0"/>
    <n v="29419.059203922883"/>
  </r>
  <r>
    <x v="229"/>
    <x v="4"/>
    <x v="248"/>
    <x v="0"/>
    <x v="1"/>
    <x v="2487"/>
    <x v="25"/>
    <s v="NAKİT"/>
    <n v="0.15384615384615385"/>
    <n v="650"/>
    <n v="0"/>
    <n v="0"/>
    <m/>
    <m/>
    <m/>
    <m/>
    <n v="100"/>
    <n v="0"/>
    <n v="29519.059203922883"/>
  </r>
  <r>
    <x v="229"/>
    <x v="4"/>
    <x v="325"/>
    <x v="0"/>
    <x v="1"/>
    <x v="2488"/>
    <x v="25"/>
    <s v="NAKİT"/>
    <n v="1"/>
    <n v="220"/>
    <n v="0"/>
    <n v="0"/>
    <m/>
    <m/>
    <m/>
    <m/>
    <n v="220"/>
    <n v="0"/>
    <n v="29739.059203922883"/>
  </r>
  <r>
    <x v="229"/>
    <x v="4"/>
    <x v="50"/>
    <x v="0"/>
    <x v="5"/>
    <x v="2489"/>
    <x v="25"/>
    <s v="POS"/>
    <n v="0.1"/>
    <n v="600"/>
    <n v="60"/>
    <n v="0"/>
    <m/>
    <m/>
    <m/>
    <m/>
    <n v="0"/>
    <n v="0"/>
    <n v="29739.059203922883"/>
  </r>
  <r>
    <x v="229"/>
    <x v="4"/>
    <x v="24"/>
    <x v="0"/>
    <x v="5"/>
    <x v="2489"/>
    <x v="25"/>
    <s v="POS"/>
    <n v="5.2307692307692305E-2"/>
    <n v="650"/>
    <n v="34"/>
    <n v="0"/>
    <m/>
    <m/>
    <m/>
    <m/>
    <n v="0"/>
    <n v="0"/>
    <n v="29739.059203922883"/>
  </r>
  <r>
    <x v="229"/>
    <x v="10"/>
    <x v="0"/>
    <x v="0"/>
    <x v="5"/>
    <x v="2"/>
    <x v="63"/>
    <s v="POS"/>
    <n v="1"/>
    <n v="1084"/>
    <n v="0"/>
    <n v="1084"/>
    <n v="500"/>
    <m/>
    <m/>
    <m/>
    <n v="1084"/>
    <n v="0"/>
    <n v="30823.059203922883"/>
  </r>
  <r>
    <x v="230"/>
    <x v="4"/>
    <x v="93"/>
    <x v="0"/>
    <x v="5"/>
    <x v="2490"/>
    <x v="25"/>
    <s v="POS"/>
    <n v="1"/>
    <n v="320"/>
    <n v="320"/>
    <n v="0"/>
    <m/>
    <m/>
    <m/>
    <m/>
    <n v="0"/>
    <n v="0"/>
    <n v="30823.059203922883"/>
  </r>
  <r>
    <x v="230"/>
    <x v="4"/>
    <x v="456"/>
    <x v="0"/>
    <x v="5"/>
    <x v="2490"/>
    <x v="25"/>
    <s v="POS"/>
    <n v="0.34"/>
    <n v="235.5"/>
    <n v="80.070000000000007"/>
    <n v="0"/>
    <m/>
    <m/>
    <m/>
    <m/>
    <n v="0"/>
    <n v="0"/>
    <n v="30823.059203922883"/>
  </r>
  <r>
    <x v="230"/>
    <x v="4"/>
    <x v="208"/>
    <x v="0"/>
    <x v="5"/>
    <x v="2491"/>
    <x v="25"/>
    <s v="POS"/>
    <n v="1"/>
    <n v="375"/>
    <n v="375"/>
    <n v="0"/>
    <m/>
    <m/>
    <m/>
    <m/>
    <n v="0"/>
    <n v="0"/>
    <n v="30823.059203922883"/>
  </r>
  <r>
    <x v="230"/>
    <x v="4"/>
    <x v="25"/>
    <x v="0"/>
    <x v="1"/>
    <x v="2492"/>
    <x v="25"/>
    <s v="NAKİT"/>
    <n v="0.125"/>
    <n v="400"/>
    <n v="0"/>
    <n v="0"/>
    <m/>
    <m/>
    <m/>
    <m/>
    <n v="50"/>
    <n v="0"/>
    <n v="30873.059203922883"/>
  </r>
  <r>
    <x v="230"/>
    <x v="4"/>
    <x v="57"/>
    <x v="0"/>
    <x v="5"/>
    <x v="2493"/>
    <x v="25"/>
    <s v="POS"/>
    <n v="1"/>
    <n v="150"/>
    <n v="150"/>
    <n v="0"/>
    <m/>
    <m/>
    <m/>
    <m/>
    <n v="0"/>
    <n v="0"/>
    <n v="30873.059203922883"/>
  </r>
  <r>
    <x v="230"/>
    <x v="4"/>
    <x v="68"/>
    <x v="0"/>
    <x v="5"/>
    <x v="2494"/>
    <x v="25"/>
    <s v="POS"/>
    <n v="0.2"/>
    <n v="750"/>
    <n v="150"/>
    <n v="0"/>
    <m/>
    <m/>
    <m/>
    <m/>
    <n v="0"/>
    <n v="0"/>
    <n v="30873.059203922883"/>
  </r>
  <r>
    <x v="230"/>
    <x v="4"/>
    <x v="119"/>
    <x v="0"/>
    <x v="5"/>
    <x v="2494"/>
    <x v="25"/>
    <s v="POS"/>
    <n v="0.23200000000000001"/>
    <n v="650"/>
    <n v="150.80000000000001"/>
    <n v="0"/>
    <m/>
    <m/>
    <m/>
    <m/>
    <n v="0"/>
    <n v="0"/>
    <n v="30873.059203922883"/>
  </r>
  <r>
    <x v="230"/>
    <x v="4"/>
    <x v="313"/>
    <x v="0"/>
    <x v="5"/>
    <x v="2494"/>
    <x v="25"/>
    <s v="POS"/>
    <n v="1"/>
    <n v="140"/>
    <n v="140"/>
    <n v="0"/>
    <m/>
    <m/>
    <m/>
    <m/>
    <n v="0"/>
    <n v="0"/>
    <n v="30873.059203922883"/>
  </r>
  <r>
    <x v="230"/>
    <x v="4"/>
    <x v="239"/>
    <x v="0"/>
    <x v="1"/>
    <x v="2495"/>
    <x v="25"/>
    <s v="NAKİT"/>
    <n v="0.25"/>
    <n v="400"/>
    <n v="0"/>
    <n v="0"/>
    <m/>
    <m/>
    <m/>
    <m/>
    <n v="100"/>
    <n v="0"/>
    <n v="30973.059203922883"/>
  </r>
  <r>
    <x v="230"/>
    <x v="4"/>
    <x v="60"/>
    <x v="0"/>
    <x v="1"/>
    <x v="2496"/>
    <x v="25"/>
    <s v="NAKİT"/>
    <n v="0.1"/>
    <n v="250"/>
    <n v="0"/>
    <n v="0"/>
    <m/>
    <m/>
    <m/>
    <m/>
    <n v="25"/>
    <n v="0"/>
    <n v="30998.059203922883"/>
  </r>
  <r>
    <x v="230"/>
    <x v="4"/>
    <x v="24"/>
    <x v="0"/>
    <x v="1"/>
    <x v="2497"/>
    <x v="25"/>
    <s v="NAKİT"/>
    <n v="0.11"/>
    <n v="650"/>
    <n v="0"/>
    <n v="0"/>
    <m/>
    <m/>
    <m/>
    <m/>
    <n v="71.5"/>
    <n v="0"/>
    <n v="31069.559203922883"/>
  </r>
  <r>
    <x v="230"/>
    <x v="4"/>
    <x v="27"/>
    <x v="0"/>
    <x v="1"/>
    <x v="2497"/>
    <x v="25"/>
    <s v="NAKİT"/>
    <n v="6.4000000000000001E-2"/>
    <n v="400"/>
    <n v="0"/>
    <n v="0"/>
    <m/>
    <m/>
    <m/>
    <m/>
    <n v="25.6"/>
    <n v="0"/>
    <n v="31095.159203922882"/>
  </r>
  <r>
    <x v="230"/>
    <x v="4"/>
    <x v="161"/>
    <x v="0"/>
    <x v="1"/>
    <x v="2497"/>
    <x v="25"/>
    <s v="NAKİT"/>
    <n v="0.13400000000000001"/>
    <n v="400"/>
    <n v="0"/>
    <n v="0"/>
    <m/>
    <m/>
    <m/>
    <m/>
    <n v="53.6"/>
    <n v="0"/>
    <n v="31148.75920392288"/>
  </r>
  <r>
    <x v="230"/>
    <x v="4"/>
    <x v="316"/>
    <x v="0"/>
    <x v="1"/>
    <x v="2497"/>
    <x v="25"/>
    <s v="NAKİT"/>
    <n v="1"/>
    <n v="180"/>
    <n v="0"/>
    <n v="0"/>
    <m/>
    <m/>
    <m/>
    <m/>
    <n v="180"/>
    <n v="0"/>
    <n v="31328.75920392288"/>
  </r>
  <r>
    <x v="230"/>
    <x v="4"/>
    <x v="360"/>
    <x v="0"/>
    <x v="1"/>
    <x v="2497"/>
    <x v="25"/>
    <s v="NAKİT"/>
    <n v="0.25"/>
    <n v="700"/>
    <n v="0"/>
    <n v="0"/>
    <m/>
    <m/>
    <m/>
    <m/>
    <n v="175"/>
    <n v="0"/>
    <n v="31503.75920392288"/>
  </r>
  <r>
    <x v="230"/>
    <x v="4"/>
    <x v="244"/>
    <x v="0"/>
    <x v="1"/>
    <x v="2497"/>
    <x v="25"/>
    <s v="NAKİT"/>
    <n v="0.5"/>
    <n v="120"/>
    <n v="0"/>
    <n v="0"/>
    <m/>
    <m/>
    <m/>
    <m/>
    <n v="60"/>
    <n v="0"/>
    <n v="31563.75920392288"/>
  </r>
  <r>
    <x v="230"/>
    <x v="4"/>
    <x v="232"/>
    <x v="0"/>
    <x v="1"/>
    <x v="2497"/>
    <x v="25"/>
    <s v="NAKİT"/>
    <n v="1"/>
    <n v="250"/>
    <n v="0"/>
    <n v="0"/>
    <m/>
    <m/>
    <m/>
    <m/>
    <n v="250"/>
    <n v="0"/>
    <n v="31813.75920392288"/>
  </r>
  <r>
    <x v="230"/>
    <x v="4"/>
    <x v="18"/>
    <x v="0"/>
    <x v="5"/>
    <x v="2498"/>
    <x v="25"/>
    <s v="POS"/>
    <n v="1"/>
    <n v="250"/>
    <n v="250"/>
    <n v="0"/>
    <m/>
    <m/>
    <m/>
    <m/>
    <n v="0"/>
    <n v="0"/>
    <n v="31813.75920392288"/>
  </r>
  <r>
    <x v="230"/>
    <x v="4"/>
    <x v="58"/>
    <x v="0"/>
    <x v="5"/>
    <x v="2498"/>
    <x v="25"/>
    <s v="POS"/>
    <n v="1"/>
    <n v="250"/>
    <n v="250"/>
    <n v="0"/>
    <m/>
    <m/>
    <m/>
    <m/>
    <n v="0"/>
    <n v="0"/>
    <n v="31813.75920392288"/>
  </r>
  <r>
    <x v="230"/>
    <x v="4"/>
    <x v="208"/>
    <x v="0"/>
    <x v="5"/>
    <x v="2498"/>
    <x v="25"/>
    <s v="POS"/>
    <n v="1"/>
    <n v="375"/>
    <n v="375"/>
    <n v="0"/>
    <m/>
    <m/>
    <m/>
    <m/>
    <n v="0"/>
    <n v="0"/>
    <n v="31813.75920392288"/>
  </r>
  <r>
    <x v="230"/>
    <x v="4"/>
    <x v="49"/>
    <x v="0"/>
    <x v="5"/>
    <x v="2498"/>
    <x v="25"/>
    <s v="POS"/>
    <n v="0.1"/>
    <n v="600"/>
    <n v="60"/>
    <n v="0"/>
    <m/>
    <m/>
    <m/>
    <m/>
    <n v="0"/>
    <n v="0"/>
    <n v="31813.75920392288"/>
  </r>
  <r>
    <x v="230"/>
    <x v="4"/>
    <x v="385"/>
    <x v="0"/>
    <x v="11"/>
    <x v="2499"/>
    <x v="25"/>
    <s v="CARİ"/>
    <n v="1"/>
    <n v="300"/>
    <n v="300"/>
    <n v="0"/>
    <m/>
    <m/>
    <m/>
    <m/>
    <n v="0"/>
    <n v="0"/>
    <n v="31813.75920392288"/>
  </r>
  <r>
    <x v="230"/>
    <x v="4"/>
    <x v="54"/>
    <x v="0"/>
    <x v="11"/>
    <x v="2499"/>
    <x v="25"/>
    <s v="CARİ"/>
    <n v="1"/>
    <n v="230"/>
    <n v="230"/>
    <n v="0"/>
    <m/>
    <m/>
    <m/>
    <m/>
    <n v="0"/>
    <n v="0"/>
    <n v="31813.75920392288"/>
  </r>
  <r>
    <x v="230"/>
    <x v="11"/>
    <x v="0"/>
    <x v="0"/>
    <x v="13"/>
    <x v="2"/>
    <x v="191"/>
    <s v="NAKİT"/>
    <n v="1"/>
    <n v="6000"/>
    <n v="0"/>
    <n v="6000"/>
    <m/>
    <m/>
    <m/>
    <m/>
    <n v="6000"/>
    <n v="0"/>
    <n v="37813.759203922877"/>
  </r>
  <r>
    <x v="230"/>
    <x v="10"/>
    <x v="0"/>
    <x v="0"/>
    <x v="5"/>
    <x v="2"/>
    <x v="246"/>
    <s v="POS"/>
    <n v="1"/>
    <n v="317.39999999999998"/>
    <n v="0"/>
    <n v="317.39999999999998"/>
    <m/>
    <m/>
    <m/>
    <m/>
    <n v="317.39999999999998"/>
    <n v="0"/>
    <n v="38131.159203922878"/>
  </r>
  <r>
    <x v="230"/>
    <x v="1"/>
    <x v="0"/>
    <x v="15"/>
    <x v="1"/>
    <x v="2"/>
    <x v="246"/>
    <s v="NAKİT"/>
    <n v="1"/>
    <n v="317.39999999999998"/>
    <n v="0"/>
    <n v="0"/>
    <m/>
    <m/>
    <m/>
    <m/>
    <n v="0"/>
    <n v="317.39999999999998"/>
    <n v="37813.759203922877"/>
  </r>
  <r>
    <x v="230"/>
    <x v="10"/>
    <x v="0"/>
    <x v="0"/>
    <x v="5"/>
    <x v="2"/>
    <x v="246"/>
    <s v="POS"/>
    <n v="1"/>
    <n v="1562.6"/>
    <n v="0"/>
    <n v="1562.6"/>
    <m/>
    <m/>
    <m/>
    <m/>
    <n v="1562.6"/>
    <n v="0"/>
    <n v="39376.359203922875"/>
  </r>
  <r>
    <x v="230"/>
    <x v="1"/>
    <x v="0"/>
    <x v="15"/>
    <x v="1"/>
    <x v="2"/>
    <x v="246"/>
    <s v="NAKİT"/>
    <n v="1"/>
    <n v="1562.6"/>
    <n v="0"/>
    <n v="0"/>
    <m/>
    <m/>
    <m/>
    <m/>
    <n v="0"/>
    <n v="1562.6"/>
    <n v="37813.759203922877"/>
  </r>
  <r>
    <x v="230"/>
    <x v="10"/>
    <x v="0"/>
    <x v="0"/>
    <x v="5"/>
    <x v="2"/>
    <x v="63"/>
    <s v="POS"/>
    <n v="1"/>
    <n v="145"/>
    <n v="0"/>
    <n v="145"/>
    <n v="145"/>
    <m/>
    <m/>
    <m/>
    <n v="145"/>
    <n v="0"/>
    <n v="37958.759203922877"/>
  </r>
  <r>
    <x v="231"/>
    <x v="4"/>
    <x v="348"/>
    <x v="0"/>
    <x v="1"/>
    <x v="2500"/>
    <x v="129"/>
    <s v="NAKİT"/>
    <n v="1"/>
    <n v="30"/>
    <n v="0"/>
    <n v="0"/>
    <m/>
    <m/>
    <m/>
    <m/>
    <n v="30"/>
    <n v="0"/>
    <n v="37988.759203922877"/>
  </r>
  <r>
    <x v="231"/>
    <x v="4"/>
    <x v="400"/>
    <x v="0"/>
    <x v="5"/>
    <x v="2501"/>
    <x v="25"/>
    <s v="POS"/>
    <n v="7.1724137931034479E-2"/>
    <n v="2900"/>
    <n v="208"/>
    <n v="0"/>
    <m/>
    <m/>
    <m/>
    <m/>
    <n v="0"/>
    <n v="0"/>
    <n v="37988.759203922877"/>
  </r>
  <r>
    <x v="231"/>
    <x v="4"/>
    <x v="52"/>
    <x v="0"/>
    <x v="5"/>
    <x v="2501"/>
    <x v="25"/>
    <s v="POS"/>
    <n v="0.1"/>
    <n v="400"/>
    <n v="40"/>
    <n v="0"/>
    <m/>
    <m/>
    <m/>
    <m/>
    <n v="0"/>
    <n v="0"/>
    <n v="37988.759203922877"/>
  </r>
  <r>
    <x v="231"/>
    <x v="4"/>
    <x v="36"/>
    <x v="0"/>
    <x v="5"/>
    <x v="2501"/>
    <x v="25"/>
    <s v="POS"/>
    <n v="0.27777777777777779"/>
    <n v="180"/>
    <n v="50"/>
    <n v="0"/>
    <m/>
    <m/>
    <m/>
    <m/>
    <n v="0"/>
    <n v="0"/>
    <n v="37988.759203922877"/>
  </r>
  <r>
    <x v="231"/>
    <x v="4"/>
    <x v="88"/>
    <x v="0"/>
    <x v="5"/>
    <x v="2501"/>
    <x v="25"/>
    <s v="POS"/>
    <n v="0.05"/>
    <n v="1200"/>
    <n v="60"/>
    <n v="0"/>
    <m/>
    <m/>
    <m/>
    <m/>
    <n v="0"/>
    <n v="0"/>
    <n v="37988.759203922877"/>
  </r>
  <r>
    <x v="231"/>
    <x v="4"/>
    <x v="54"/>
    <x v="0"/>
    <x v="5"/>
    <x v="2501"/>
    <x v="25"/>
    <s v="POS"/>
    <n v="0.1"/>
    <n v="400"/>
    <n v="40"/>
    <n v="0"/>
    <m/>
    <m/>
    <m/>
    <m/>
    <n v="0"/>
    <n v="0"/>
    <n v="37988.759203922877"/>
  </r>
  <r>
    <x v="231"/>
    <x v="4"/>
    <x v="18"/>
    <x v="0"/>
    <x v="5"/>
    <x v="2502"/>
    <x v="25"/>
    <s v="POS"/>
    <n v="1"/>
    <n v="250"/>
    <n v="250"/>
    <n v="0"/>
    <m/>
    <m/>
    <m/>
    <m/>
    <n v="0"/>
    <n v="0"/>
    <n v="37988.759203922877"/>
  </r>
  <r>
    <x v="231"/>
    <x v="4"/>
    <x v="58"/>
    <x v="0"/>
    <x v="5"/>
    <x v="2502"/>
    <x v="25"/>
    <s v="POS"/>
    <n v="1"/>
    <n v="250"/>
    <n v="250"/>
    <n v="0"/>
    <m/>
    <m/>
    <m/>
    <m/>
    <n v="0"/>
    <n v="0"/>
    <n v="37988.759203922877"/>
  </r>
  <r>
    <x v="231"/>
    <x v="4"/>
    <x v="312"/>
    <x v="0"/>
    <x v="5"/>
    <x v="2502"/>
    <x v="25"/>
    <s v="POS"/>
    <n v="1"/>
    <n v="175"/>
    <n v="175"/>
    <n v="0"/>
    <m/>
    <m/>
    <m/>
    <m/>
    <n v="0"/>
    <n v="0"/>
    <n v="37988.759203922877"/>
  </r>
  <r>
    <x v="231"/>
    <x v="4"/>
    <x v="135"/>
    <x v="0"/>
    <x v="1"/>
    <x v="2503"/>
    <x v="25"/>
    <s v="NAKİT"/>
    <n v="1"/>
    <n v="100"/>
    <n v="0"/>
    <n v="0"/>
    <m/>
    <m/>
    <m/>
    <m/>
    <n v="100"/>
    <n v="0"/>
    <n v="38088.759203922877"/>
  </r>
  <r>
    <x v="231"/>
    <x v="4"/>
    <x v="18"/>
    <x v="0"/>
    <x v="11"/>
    <x v="2504"/>
    <x v="25"/>
    <s v="CARİ"/>
    <n v="2"/>
    <n v="210"/>
    <n v="420"/>
    <n v="0"/>
    <m/>
    <m/>
    <m/>
    <m/>
    <n v="0"/>
    <n v="0"/>
    <n v="38088.759203922877"/>
  </r>
  <r>
    <x v="231"/>
    <x v="4"/>
    <x v="58"/>
    <x v="0"/>
    <x v="11"/>
    <x v="2504"/>
    <x v="25"/>
    <s v="CARİ"/>
    <n v="1"/>
    <n v="200"/>
    <n v="200"/>
    <n v="0"/>
    <m/>
    <m/>
    <m/>
    <m/>
    <n v="0"/>
    <n v="0"/>
    <n v="38088.759203922877"/>
  </r>
  <r>
    <x v="231"/>
    <x v="4"/>
    <x v="33"/>
    <x v="0"/>
    <x v="11"/>
    <x v="2504"/>
    <x v="25"/>
    <s v="CARİ"/>
    <n v="1"/>
    <n v="250"/>
    <n v="250"/>
    <n v="0"/>
    <m/>
    <m/>
    <m/>
    <m/>
    <n v="0"/>
    <n v="0"/>
    <n v="38088.759203922877"/>
  </r>
  <r>
    <x v="231"/>
    <x v="4"/>
    <x v="30"/>
    <x v="0"/>
    <x v="1"/>
    <x v="2505"/>
    <x v="25"/>
    <s v="NAKİT"/>
    <n v="0.2"/>
    <n v="500"/>
    <n v="0"/>
    <n v="0"/>
    <m/>
    <m/>
    <m/>
    <m/>
    <n v="100"/>
    <n v="0"/>
    <n v="38188.759203922877"/>
  </r>
  <r>
    <x v="231"/>
    <x v="4"/>
    <x v="360"/>
    <x v="0"/>
    <x v="1"/>
    <x v="2505"/>
    <x v="25"/>
    <s v="NAKİT"/>
    <n v="0.14285714285714285"/>
    <n v="700"/>
    <n v="0"/>
    <n v="0"/>
    <m/>
    <m/>
    <m/>
    <m/>
    <n v="100"/>
    <n v="0"/>
    <n v="38288.759203922877"/>
  </r>
  <r>
    <x v="231"/>
    <x v="4"/>
    <x v="399"/>
    <x v="0"/>
    <x v="5"/>
    <x v="2506"/>
    <x v="25"/>
    <s v="POS"/>
    <n v="1"/>
    <n v="350"/>
    <n v="350"/>
    <n v="0"/>
    <m/>
    <m/>
    <m/>
    <m/>
    <n v="0"/>
    <n v="0"/>
    <n v="38288.759203922877"/>
  </r>
  <r>
    <x v="231"/>
    <x v="4"/>
    <x v="101"/>
    <x v="0"/>
    <x v="5"/>
    <x v="2506"/>
    <x v="25"/>
    <s v="POS"/>
    <n v="0.22727272727272727"/>
    <n v="220"/>
    <n v="50"/>
    <n v="0"/>
    <m/>
    <m/>
    <m/>
    <m/>
    <n v="0"/>
    <n v="0"/>
    <n v="38288.759203922877"/>
  </r>
  <r>
    <x v="231"/>
    <x v="4"/>
    <x v="24"/>
    <x v="0"/>
    <x v="5"/>
    <x v="2506"/>
    <x v="25"/>
    <s v="POS"/>
    <n v="0.16"/>
    <n v="625"/>
    <n v="100"/>
    <n v="0"/>
    <m/>
    <m/>
    <m/>
    <m/>
    <n v="0"/>
    <n v="0"/>
    <n v="38288.759203922877"/>
  </r>
  <r>
    <x v="231"/>
    <x v="4"/>
    <x v="154"/>
    <x v="0"/>
    <x v="1"/>
    <x v="2507"/>
    <x v="25"/>
    <s v="NAKİT"/>
    <n v="1"/>
    <n v="180"/>
    <n v="0"/>
    <n v="0"/>
    <m/>
    <m/>
    <m/>
    <m/>
    <n v="180"/>
    <n v="0"/>
    <n v="38468.759203922877"/>
  </r>
  <r>
    <x v="231"/>
    <x v="4"/>
    <x v="55"/>
    <x v="0"/>
    <x v="1"/>
    <x v="2507"/>
    <x v="25"/>
    <s v="NAKİT"/>
    <n v="1"/>
    <n v="200"/>
    <n v="0"/>
    <n v="0"/>
    <m/>
    <m/>
    <m/>
    <m/>
    <n v="200"/>
    <n v="0"/>
    <n v="38668.759203922877"/>
  </r>
  <r>
    <x v="231"/>
    <x v="4"/>
    <x v="244"/>
    <x v="0"/>
    <x v="1"/>
    <x v="2507"/>
    <x v="25"/>
    <s v="NAKİT"/>
    <n v="0.5"/>
    <n v="120"/>
    <n v="0"/>
    <n v="0"/>
    <m/>
    <m/>
    <m/>
    <m/>
    <n v="60"/>
    <n v="0"/>
    <n v="38728.759203922877"/>
  </r>
  <r>
    <x v="231"/>
    <x v="4"/>
    <x v="61"/>
    <x v="0"/>
    <x v="1"/>
    <x v="2508"/>
    <x v="25"/>
    <s v="NAKİT"/>
    <n v="0.12987012987012986"/>
    <n v="770"/>
    <n v="0"/>
    <n v="0"/>
    <m/>
    <m/>
    <m/>
    <m/>
    <n v="99.999999999999986"/>
    <n v="0"/>
    <n v="38828.759203922877"/>
  </r>
  <r>
    <x v="231"/>
    <x v="4"/>
    <x v="33"/>
    <x v="0"/>
    <x v="5"/>
    <x v="2509"/>
    <x v="25"/>
    <s v="POS"/>
    <n v="0.17"/>
    <n v="400"/>
    <n v="68"/>
    <n v="0"/>
    <m/>
    <m/>
    <m/>
    <m/>
    <n v="0"/>
    <n v="0"/>
    <n v="38828.759203922877"/>
  </r>
  <r>
    <x v="231"/>
    <x v="4"/>
    <x v="58"/>
    <x v="0"/>
    <x v="5"/>
    <x v="2509"/>
    <x v="25"/>
    <s v="POS"/>
    <n v="1"/>
    <n v="250"/>
    <n v="250"/>
    <n v="0"/>
    <m/>
    <m/>
    <m/>
    <m/>
    <n v="0"/>
    <n v="0"/>
    <n v="38828.759203922877"/>
  </r>
  <r>
    <x v="231"/>
    <x v="4"/>
    <x v="18"/>
    <x v="0"/>
    <x v="1"/>
    <x v="2510"/>
    <x v="25"/>
    <s v="NAKİT"/>
    <n v="1"/>
    <n v="250"/>
    <n v="0"/>
    <n v="0"/>
    <m/>
    <m/>
    <m/>
    <m/>
    <n v="250"/>
    <n v="0"/>
    <n v="39078.759203922877"/>
  </r>
  <r>
    <x v="231"/>
    <x v="4"/>
    <x v="66"/>
    <x v="0"/>
    <x v="1"/>
    <x v="2511"/>
    <x v="25"/>
    <s v="NAKİT"/>
    <n v="0.24"/>
    <n v="417"/>
    <n v="0"/>
    <n v="0"/>
    <m/>
    <m/>
    <m/>
    <m/>
    <n v="100.08"/>
    <n v="0"/>
    <n v="39178.839203922878"/>
  </r>
  <r>
    <x v="231"/>
    <x v="4"/>
    <x v="18"/>
    <x v="0"/>
    <x v="5"/>
    <x v="2512"/>
    <x v="25"/>
    <s v="POS"/>
    <n v="0.5"/>
    <n v="250"/>
    <n v="125"/>
    <n v="0"/>
    <m/>
    <m/>
    <m/>
    <m/>
    <n v="0"/>
    <n v="0"/>
    <n v="39178.839203922878"/>
  </r>
  <r>
    <x v="231"/>
    <x v="4"/>
    <x v="58"/>
    <x v="0"/>
    <x v="5"/>
    <x v="2512"/>
    <x v="25"/>
    <s v="POS"/>
    <n v="0.5"/>
    <n v="250"/>
    <n v="125"/>
    <n v="0"/>
    <m/>
    <m/>
    <m/>
    <m/>
    <n v="0"/>
    <n v="0"/>
    <n v="39178.839203922878"/>
  </r>
  <r>
    <x v="231"/>
    <x v="11"/>
    <x v="0"/>
    <x v="0"/>
    <x v="11"/>
    <x v="2"/>
    <x v="247"/>
    <s v="NAKİT"/>
    <n v="1"/>
    <n v="1402.14"/>
    <n v="0"/>
    <n v="1402.14"/>
    <m/>
    <m/>
    <m/>
    <m/>
    <n v="1402.14"/>
    <n v="0"/>
    <n v="40580.979203922878"/>
  </r>
  <r>
    <x v="232"/>
    <x v="1"/>
    <x v="0"/>
    <x v="16"/>
    <x v="1"/>
    <x v="2"/>
    <x v="98"/>
    <s v="NAKİT"/>
    <n v="1"/>
    <n v="661.5"/>
    <n v="0"/>
    <n v="0"/>
    <m/>
    <m/>
    <m/>
    <m/>
    <n v="0"/>
    <n v="661.5"/>
    <n v="39919.479203922878"/>
  </r>
  <r>
    <x v="233"/>
    <x v="10"/>
    <x v="0"/>
    <x v="0"/>
    <x v="5"/>
    <x v="2"/>
    <x v="63"/>
    <s v="POS"/>
    <n v="1"/>
    <n v="272"/>
    <n v="0"/>
    <n v="272"/>
    <m/>
    <m/>
    <m/>
    <m/>
    <n v="272"/>
    <n v="0"/>
    <n v="40191.479203922878"/>
  </r>
  <r>
    <x v="234"/>
    <x v="4"/>
    <x v="104"/>
    <x v="0"/>
    <x v="1"/>
    <x v="2513"/>
    <x v="25"/>
    <s v="NAKİT"/>
    <n v="1"/>
    <n v="200"/>
    <n v="0"/>
    <n v="0"/>
    <m/>
    <m/>
    <m/>
    <m/>
    <n v="200"/>
    <n v="0"/>
    <n v="40391.479203922878"/>
  </r>
  <r>
    <x v="234"/>
    <x v="4"/>
    <x v="18"/>
    <x v="0"/>
    <x v="1"/>
    <x v="2514"/>
    <x v="25"/>
    <s v="NAKİT"/>
    <n v="1"/>
    <n v="250"/>
    <n v="0"/>
    <n v="0"/>
    <m/>
    <m/>
    <m/>
    <m/>
    <n v="250"/>
    <n v="0"/>
    <n v="40641.479203922878"/>
  </r>
  <r>
    <x v="234"/>
    <x v="4"/>
    <x v="58"/>
    <x v="0"/>
    <x v="1"/>
    <x v="2514"/>
    <x v="25"/>
    <s v="NAKİT"/>
    <n v="1"/>
    <n v="250"/>
    <n v="0"/>
    <n v="0"/>
    <m/>
    <m/>
    <m/>
    <m/>
    <n v="250"/>
    <n v="0"/>
    <n v="40891.479203922878"/>
  </r>
  <r>
    <x v="234"/>
    <x v="4"/>
    <x v="55"/>
    <x v="0"/>
    <x v="1"/>
    <x v="2515"/>
    <x v="25"/>
    <s v="NAKİT"/>
    <n v="1"/>
    <n v="200"/>
    <n v="0"/>
    <n v="0"/>
    <m/>
    <m/>
    <m/>
    <m/>
    <n v="200"/>
    <n v="0"/>
    <n v="41091.479203922878"/>
  </r>
  <r>
    <x v="234"/>
    <x v="4"/>
    <x v="57"/>
    <x v="0"/>
    <x v="1"/>
    <x v="2515"/>
    <x v="25"/>
    <s v="NAKİT"/>
    <n v="1"/>
    <n v="150"/>
    <n v="0"/>
    <n v="0"/>
    <m/>
    <m/>
    <m/>
    <m/>
    <n v="150"/>
    <n v="0"/>
    <n v="41241.479203922878"/>
  </r>
  <r>
    <x v="234"/>
    <x v="4"/>
    <x v="286"/>
    <x v="0"/>
    <x v="1"/>
    <x v="2515"/>
    <x v="25"/>
    <s v="NAKİT"/>
    <n v="0.92307692307692313"/>
    <n v="65"/>
    <n v="0"/>
    <n v="0"/>
    <m/>
    <m/>
    <m/>
    <m/>
    <n v="60"/>
    <n v="0"/>
    <n v="41301.479203922878"/>
  </r>
  <r>
    <x v="234"/>
    <x v="4"/>
    <x v="36"/>
    <x v="0"/>
    <x v="1"/>
    <x v="2515"/>
    <x v="25"/>
    <s v="NAKİT"/>
    <n v="0.27777777777777779"/>
    <n v="180"/>
    <n v="0"/>
    <n v="0"/>
    <m/>
    <m/>
    <m/>
    <m/>
    <n v="50"/>
    <n v="0"/>
    <n v="41351.479203922878"/>
  </r>
  <r>
    <x v="234"/>
    <x v="4"/>
    <x v="76"/>
    <x v="0"/>
    <x v="1"/>
    <x v="2515"/>
    <x v="25"/>
    <s v="NAKİT"/>
    <n v="0.5"/>
    <n v="90"/>
    <n v="0"/>
    <n v="0"/>
    <m/>
    <m/>
    <m/>
    <m/>
    <n v="45"/>
    <n v="0"/>
    <n v="41396.479203922878"/>
  </r>
  <r>
    <x v="234"/>
    <x v="4"/>
    <x v="81"/>
    <x v="0"/>
    <x v="1"/>
    <x v="2515"/>
    <x v="25"/>
    <s v="NAKİT"/>
    <n v="0.5"/>
    <n v="140"/>
    <n v="0"/>
    <n v="0"/>
    <m/>
    <m/>
    <m/>
    <m/>
    <n v="70"/>
    <n v="0"/>
    <n v="41466.479203922878"/>
  </r>
  <r>
    <x v="234"/>
    <x v="4"/>
    <x v="165"/>
    <x v="0"/>
    <x v="1"/>
    <x v="2515"/>
    <x v="25"/>
    <s v="NAKİT"/>
    <n v="1"/>
    <n v="50"/>
    <n v="0"/>
    <n v="0"/>
    <m/>
    <m/>
    <m/>
    <m/>
    <n v="50"/>
    <n v="0"/>
    <n v="41516.479203922878"/>
  </r>
  <r>
    <x v="234"/>
    <x v="4"/>
    <x v="168"/>
    <x v="0"/>
    <x v="1"/>
    <x v="2515"/>
    <x v="25"/>
    <s v="NAKİT"/>
    <n v="1"/>
    <n v="50"/>
    <n v="0"/>
    <n v="0"/>
    <m/>
    <m/>
    <m/>
    <m/>
    <n v="50"/>
    <n v="0"/>
    <n v="41566.479203922878"/>
  </r>
  <r>
    <x v="234"/>
    <x v="4"/>
    <x v="430"/>
    <x v="0"/>
    <x v="1"/>
    <x v="2515"/>
    <x v="25"/>
    <s v="NAKİT"/>
    <n v="1"/>
    <n v="125"/>
    <n v="0"/>
    <n v="0"/>
    <m/>
    <m/>
    <m/>
    <m/>
    <n v="125"/>
    <n v="0"/>
    <n v="41691.479203922878"/>
  </r>
  <r>
    <x v="234"/>
    <x v="4"/>
    <x v="432"/>
    <x v="0"/>
    <x v="1"/>
    <x v="2515"/>
    <x v="25"/>
    <s v="NAKİT"/>
    <n v="1"/>
    <n v="125"/>
    <n v="0"/>
    <n v="0"/>
    <m/>
    <m/>
    <m/>
    <m/>
    <n v="125"/>
    <n v="0"/>
    <n v="41816.479203922878"/>
  </r>
  <r>
    <x v="234"/>
    <x v="4"/>
    <x v="291"/>
    <x v="0"/>
    <x v="1"/>
    <x v="2515"/>
    <x v="25"/>
    <s v="NAKİT"/>
    <n v="1"/>
    <n v="290"/>
    <n v="0"/>
    <n v="0"/>
    <m/>
    <m/>
    <m/>
    <m/>
    <n v="290"/>
    <n v="0"/>
    <n v="42106.479203922878"/>
  </r>
  <r>
    <x v="234"/>
    <x v="4"/>
    <x v="27"/>
    <x v="0"/>
    <x v="1"/>
    <x v="2515"/>
    <x v="25"/>
    <s v="NAKİT"/>
    <n v="7.0000000000000007E-2"/>
    <n v="400"/>
    <n v="0"/>
    <n v="0"/>
    <m/>
    <m/>
    <m/>
    <m/>
    <n v="28.000000000000004"/>
    <n v="0"/>
    <n v="42134.479203922878"/>
  </r>
  <r>
    <x v="234"/>
    <x v="4"/>
    <x v="161"/>
    <x v="0"/>
    <x v="1"/>
    <x v="2515"/>
    <x v="25"/>
    <s v="NAKİT"/>
    <n v="5.5E-2"/>
    <n v="400"/>
    <n v="0"/>
    <n v="0"/>
    <m/>
    <m/>
    <m/>
    <m/>
    <n v="22"/>
    <n v="0"/>
    <n v="42156.479203922878"/>
  </r>
  <r>
    <x v="234"/>
    <x v="4"/>
    <x v="24"/>
    <x v="0"/>
    <x v="1"/>
    <x v="2515"/>
    <x v="25"/>
    <s v="NAKİT"/>
    <n v="5.6923076923076923E-2"/>
    <n v="650"/>
    <n v="0"/>
    <n v="0"/>
    <m/>
    <m/>
    <m/>
    <m/>
    <n v="37"/>
    <n v="0"/>
    <n v="42193.479203922878"/>
  </r>
  <r>
    <x v="234"/>
    <x v="4"/>
    <x v="29"/>
    <x v="0"/>
    <x v="1"/>
    <x v="2515"/>
    <x v="25"/>
    <s v="NAKİT"/>
    <n v="0.04"/>
    <n v="850"/>
    <n v="0"/>
    <n v="0"/>
    <m/>
    <m/>
    <m/>
    <m/>
    <n v="34"/>
    <n v="0"/>
    <n v="42227.479203922878"/>
  </r>
  <r>
    <x v="234"/>
    <x v="4"/>
    <x v="26"/>
    <x v="0"/>
    <x v="1"/>
    <x v="2515"/>
    <x v="25"/>
    <s v="NAKİT"/>
    <n v="3.111111111111111E-2"/>
    <n v="450"/>
    <n v="0"/>
    <n v="0"/>
    <m/>
    <m/>
    <m/>
    <m/>
    <n v="14"/>
    <n v="0"/>
    <n v="42241.479203922878"/>
  </r>
  <r>
    <x v="234"/>
    <x v="4"/>
    <x v="287"/>
    <x v="0"/>
    <x v="1"/>
    <x v="2515"/>
    <x v="25"/>
    <s v="NAKİT"/>
    <n v="0.58461538461538465"/>
    <n v="65"/>
    <n v="0"/>
    <n v="0"/>
    <m/>
    <m/>
    <m/>
    <m/>
    <n v="38"/>
    <n v="0"/>
    <n v="42279.479203922878"/>
  </r>
  <r>
    <x v="234"/>
    <x v="4"/>
    <x v="174"/>
    <x v="0"/>
    <x v="1"/>
    <x v="2516"/>
    <x v="25"/>
    <s v="NAKİT"/>
    <n v="1"/>
    <n v="230"/>
    <n v="0"/>
    <n v="0"/>
    <m/>
    <m/>
    <m/>
    <m/>
    <n v="230"/>
    <n v="0"/>
    <n v="42509.479203922878"/>
  </r>
  <r>
    <x v="234"/>
    <x v="4"/>
    <x v="291"/>
    <x v="0"/>
    <x v="1"/>
    <x v="2516"/>
    <x v="25"/>
    <s v="NAKİT"/>
    <n v="1"/>
    <n v="290"/>
    <n v="0"/>
    <n v="0"/>
    <m/>
    <m/>
    <m/>
    <m/>
    <n v="290"/>
    <n v="0"/>
    <n v="42799.479203922878"/>
  </r>
  <r>
    <x v="234"/>
    <x v="4"/>
    <x v="175"/>
    <x v="0"/>
    <x v="1"/>
    <x v="2516"/>
    <x v="25"/>
    <s v="NAKİT"/>
    <n v="1"/>
    <n v="149"/>
    <n v="0"/>
    <n v="0"/>
    <m/>
    <m/>
    <m/>
    <m/>
    <n v="149"/>
    <n v="0"/>
    <n v="42948.479203922878"/>
  </r>
  <r>
    <x v="234"/>
    <x v="4"/>
    <x v="166"/>
    <x v="0"/>
    <x v="1"/>
    <x v="2516"/>
    <x v="25"/>
    <s v="NAKİT"/>
    <n v="1"/>
    <n v="50"/>
    <n v="0"/>
    <n v="0"/>
    <m/>
    <m/>
    <m/>
    <m/>
    <n v="50"/>
    <n v="0"/>
    <n v="42998.479203922878"/>
  </r>
  <r>
    <x v="234"/>
    <x v="4"/>
    <x v="168"/>
    <x v="0"/>
    <x v="1"/>
    <x v="2516"/>
    <x v="25"/>
    <s v="NAKİT"/>
    <n v="1"/>
    <n v="50"/>
    <n v="0"/>
    <n v="0"/>
    <m/>
    <m/>
    <m/>
    <m/>
    <n v="50"/>
    <n v="0"/>
    <n v="43048.479203922878"/>
  </r>
  <r>
    <x v="234"/>
    <x v="4"/>
    <x v="81"/>
    <x v="0"/>
    <x v="1"/>
    <x v="2516"/>
    <x v="25"/>
    <s v="NAKİT"/>
    <n v="0.5"/>
    <n v="140"/>
    <n v="0"/>
    <n v="0"/>
    <m/>
    <m/>
    <m/>
    <m/>
    <n v="70"/>
    <n v="0"/>
    <n v="43118.479203922878"/>
  </r>
  <r>
    <x v="234"/>
    <x v="4"/>
    <x v="76"/>
    <x v="0"/>
    <x v="1"/>
    <x v="2516"/>
    <x v="25"/>
    <s v="NAKİT"/>
    <n v="0.5"/>
    <n v="90"/>
    <n v="0"/>
    <n v="0"/>
    <m/>
    <m/>
    <m/>
    <m/>
    <n v="45"/>
    <n v="0"/>
    <n v="43163.479203922878"/>
  </r>
  <r>
    <x v="234"/>
    <x v="4"/>
    <x v="36"/>
    <x v="0"/>
    <x v="1"/>
    <x v="2516"/>
    <x v="25"/>
    <s v="NAKİT"/>
    <n v="0.27777777777777779"/>
    <n v="180"/>
    <n v="0"/>
    <n v="0"/>
    <m/>
    <m/>
    <m/>
    <m/>
    <n v="50"/>
    <n v="0"/>
    <n v="43213.479203922878"/>
  </r>
  <r>
    <x v="234"/>
    <x v="4"/>
    <x v="82"/>
    <x v="0"/>
    <x v="1"/>
    <x v="2516"/>
    <x v="25"/>
    <s v="NAKİT"/>
    <n v="0.5"/>
    <n v="140"/>
    <n v="0"/>
    <n v="0"/>
    <m/>
    <m/>
    <m/>
    <m/>
    <n v="70"/>
    <n v="0"/>
    <n v="43283.479203922878"/>
  </r>
  <r>
    <x v="234"/>
    <x v="4"/>
    <x v="457"/>
    <x v="0"/>
    <x v="1"/>
    <x v="2516"/>
    <x v="25"/>
    <s v="NAKİT"/>
    <n v="0.34"/>
    <n v="250"/>
    <n v="0"/>
    <n v="0"/>
    <m/>
    <m/>
    <m/>
    <m/>
    <n v="85"/>
    <n v="0"/>
    <n v="43368.479203922878"/>
  </r>
  <r>
    <x v="234"/>
    <x v="4"/>
    <x v="26"/>
    <x v="0"/>
    <x v="1"/>
    <x v="2516"/>
    <x v="25"/>
    <s v="NAKİT"/>
    <n v="6.222222222222222E-2"/>
    <n v="450"/>
    <n v="0"/>
    <n v="0"/>
    <m/>
    <m/>
    <m/>
    <m/>
    <n v="28"/>
    <n v="0"/>
    <n v="43396.479203922878"/>
  </r>
  <r>
    <x v="234"/>
    <x v="4"/>
    <x v="101"/>
    <x v="0"/>
    <x v="1"/>
    <x v="2516"/>
    <x v="25"/>
    <s v="NAKİT"/>
    <n v="0.22727272727272727"/>
    <n v="220"/>
    <n v="0"/>
    <n v="0"/>
    <m/>
    <m/>
    <m/>
    <m/>
    <n v="50"/>
    <n v="0"/>
    <n v="43446.479203922878"/>
  </r>
  <r>
    <x v="234"/>
    <x v="4"/>
    <x v="286"/>
    <x v="0"/>
    <x v="1"/>
    <x v="2516"/>
    <x v="25"/>
    <s v="NAKİT"/>
    <n v="1.0153846153846153"/>
    <n v="65"/>
    <n v="0"/>
    <n v="0"/>
    <m/>
    <m/>
    <m/>
    <m/>
    <n v="66"/>
    <n v="0"/>
    <n v="43512.479203922878"/>
  </r>
  <r>
    <x v="234"/>
    <x v="4"/>
    <x v="233"/>
    <x v="0"/>
    <x v="1"/>
    <x v="2516"/>
    <x v="25"/>
    <s v="NAKİT"/>
    <n v="1"/>
    <n v="350"/>
    <n v="0"/>
    <n v="0"/>
    <m/>
    <m/>
    <m/>
    <m/>
    <n v="350"/>
    <n v="0"/>
    <n v="43862.479203922878"/>
  </r>
  <r>
    <x v="234"/>
    <x v="4"/>
    <x v="123"/>
    <x v="0"/>
    <x v="5"/>
    <x v="2517"/>
    <x v="25"/>
    <s v="POS"/>
    <n v="0.1"/>
    <n v="1000"/>
    <n v="100"/>
    <n v="0"/>
    <m/>
    <m/>
    <m/>
    <m/>
    <n v="0"/>
    <n v="0"/>
    <n v="43862.479203922878"/>
  </r>
  <r>
    <x v="234"/>
    <x v="10"/>
    <x v="0"/>
    <x v="0"/>
    <x v="5"/>
    <x v="2"/>
    <x v="63"/>
    <s v="POS"/>
    <n v="1"/>
    <n v="250"/>
    <n v="0"/>
    <n v="250"/>
    <m/>
    <m/>
    <m/>
    <m/>
    <n v="250"/>
    <n v="0"/>
    <n v="44112.479203922878"/>
  </r>
  <r>
    <x v="234"/>
    <x v="10"/>
    <x v="0"/>
    <x v="0"/>
    <x v="5"/>
    <x v="2"/>
    <x v="63"/>
    <s v="POS"/>
    <n v="1"/>
    <n v="370"/>
    <n v="0"/>
    <n v="370"/>
    <m/>
    <m/>
    <m/>
    <m/>
    <n v="370"/>
    <n v="0"/>
    <n v="44482.479203922878"/>
  </r>
  <r>
    <x v="235"/>
    <x v="10"/>
    <x v="0"/>
    <x v="0"/>
    <x v="5"/>
    <x v="2"/>
    <x v="63"/>
    <s v="POS"/>
    <n v="1"/>
    <n v="1665"/>
    <n v="0"/>
    <n v="1665"/>
    <m/>
    <m/>
    <m/>
    <m/>
    <n v="1665"/>
    <n v="0"/>
    <n v="46147.479203922878"/>
  </r>
  <r>
    <x v="235"/>
    <x v="10"/>
    <x v="0"/>
    <x v="0"/>
    <x v="5"/>
    <x v="2"/>
    <x v="63"/>
    <s v="POS"/>
    <n v="1"/>
    <n v="1548"/>
    <n v="0"/>
    <n v="1548"/>
    <m/>
    <m/>
    <m/>
    <m/>
    <n v="1548"/>
    <n v="0"/>
    <n v="47695.479203922878"/>
  </r>
  <r>
    <x v="236"/>
    <x v="10"/>
    <x v="0"/>
    <x v="0"/>
    <x v="5"/>
    <x v="2"/>
    <x v="63"/>
    <s v="POS"/>
    <n v="1"/>
    <n v="350"/>
    <n v="0"/>
    <n v="350"/>
    <m/>
    <m/>
    <m/>
    <m/>
    <n v="350"/>
    <n v="0"/>
    <n v="48045.479203922878"/>
  </r>
  <r>
    <x v="236"/>
    <x v="10"/>
    <x v="0"/>
    <x v="0"/>
    <x v="5"/>
    <x v="2"/>
    <x v="63"/>
    <s v="POS"/>
    <n v="1"/>
    <n v="310"/>
    <n v="0"/>
    <n v="310"/>
    <m/>
    <m/>
    <m/>
    <m/>
    <n v="310"/>
    <n v="0"/>
    <n v="48355.479203922878"/>
  </r>
  <r>
    <x v="237"/>
    <x v="10"/>
    <x v="0"/>
    <x v="0"/>
    <x v="5"/>
    <x v="2"/>
    <x v="63"/>
    <s v="POS"/>
    <n v="1"/>
    <n v="400"/>
    <n v="0"/>
    <n v="400"/>
    <m/>
    <m/>
    <m/>
    <m/>
    <n v="400"/>
    <n v="0"/>
    <n v="48755.479203922878"/>
  </r>
  <r>
    <x v="238"/>
    <x v="4"/>
    <x v="24"/>
    <x v="0"/>
    <x v="5"/>
    <x v="2518"/>
    <x v="25"/>
    <s v="POS"/>
    <n v="6.615384615384616E-2"/>
    <n v="650"/>
    <n v="43.000000000000007"/>
    <n v="0"/>
    <m/>
    <m/>
    <m/>
    <m/>
    <n v="0"/>
    <n v="0"/>
    <n v="48755.479203922878"/>
  </r>
  <r>
    <x v="238"/>
    <x v="4"/>
    <x v="23"/>
    <x v="0"/>
    <x v="5"/>
    <x v="2518"/>
    <x v="25"/>
    <s v="POS"/>
    <n v="0.12333333333333334"/>
    <n v="300"/>
    <n v="37"/>
    <n v="0"/>
    <m/>
    <m/>
    <m/>
    <m/>
    <n v="0"/>
    <n v="0"/>
    <n v="48755.479203922878"/>
  </r>
  <r>
    <x v="238"/>
    <x v="4"/>
    <x v="76"/>
    <x v="0"/>
    <x v="5"/>
    <x v="2518"/>
    <x v="25"/>
    <s v="POS"/>
    <n v="0.5"/>
    <n v="90"/>
    <n v="45"/>
    <n v="0"/>
    <m/>
    <m/>
    <m/>
    <m/>
    <n v="0"/>
    <n v="0"/>
    <n v="48755.479203922878"/>
  </r>
  <r>
    <x v="238"/>
    <x v="4"/>
    <x v="88"/>
    <x v="0"/>
    <x v="5"/>
    <x v="2518"/>
    <x v="25"/>
    <s v="POS"/>
    <n v="0.05"/>
    <n v="1200"/>
    <n v="60"/>
    <n v="0"/>
    <m/>
    <m/>
    <m/>
    <m/>
    <n v="0"/>
    <n v="0"/>
    <n v="48755.479203922878"/>
  </r>
  <r>
    <x v="238"/>
    <x v="4"/>
    <x v="113"/>
    <x v="0"/>
    <x v="5"/>
    <x v="2518"/>
    <x v="25"/>
    <s v="POS"/>
    <n v="0.1"/>
    <n v="1350"/>
    <n v="135"/>
    <n v="0"/>
    <m/>
    <m/>
    <m/>
    <m/>
    <n v="0"/>
    <n v="0"/>
    <n v="48755.479203922878"/>
  </r>
  <r>
    <x v="238"/>
    <x v="4"/>
    <x v="160"/>
    <x v="0"/>
    <x v="5"/>
    <x v="2518"/>
    <x v="25"/>
    <s v="POS"/>
    <n v="1"/>
    <n v="120"/>
    <n v="120"/>
    <n v="0"/>
    <m/>
    <m/>
    <m/>
    <m/>
    <n v="0"/>
    <n v="0"/>
    <n v="48755.479203922878"/>
  </r>
  <r>
    <x v="238"/>
    <x v="4"/>
    <x v="235"/>
    <x v="0"/>
    <x v="1"/>
    <x v="2519"/>
    <x v="25"/>
    <s v="NAKİT"/>
    <n v="1"/>
    <n v="220"/>
    <n v="0"/>
    <n v="0"/>
    <m/>
    <m/>
    <m/>
    <m/>
    <n v="220"/>
    <n v="0"/>
    <n v="48975.479203922878"/>
  </r>
  <r>
    <x v="238"/>
    <x v="4"/>
    <x v="18"/>
    <x v="0"/>
    <x v="1"/>
    <x v="2520"/>
    <x v="25"/>
    <s v="NAKİT"/>
    <n v="1"/>
    <n v="250"/>
    <n v="0"/>
    <n v="0"/>
    <m/>
    <m/>
    <m/>
    <m/>
    <n v="250"/>
    <n v="0"/>
    <n v="49225.479203922878"/>
  </r>
  <r>
    <x v="238"/>
    <x v="4"/>
    <x v="393"/>
    <x v="0"/>
    <x v="5"/>
    <x v="2521"/>
    <x v="25"/>
    <s v="POS"/>
    <n v="0.13513513513513514"/>
    <n v="370"/>
    <n v="50"/>
    <n v="0"/>
    <m/>
    <m/>
    <m/>
    <m/>
    <n v="0"/>
    <n v="0"/>
    <n v="49225.479203922878"/>
  </r>
  <r>
    <x v="238"/>
    <x v="4"/>
    <x v="392"/>
    <x v="0"/>
    <x v="5"/>
    <x v="2521"/>
    <x v="25"/>
    <s v="POS"/>
    <n v="0.14864864864864866"/>
    <n v="370"/>
    <n v="55"/>
    <n v="0"/>
    <m/>
    <m/>
    <m/>
    <m/>
    <n v="0"/>
    <n v="0"/>
    <n v="49225.479203922878"/>
  </r>
  <r>
    <x v="238"/>
    <x v="4"/>
    <x v="73"/>
    <x v="0"/>
    <x v="5"/>
    <x v="2521"/>
    <x v="25"/>
    <s v="POS"/>
    <n v="0.32"/>
    <n v="688"/>
    <n v="220.16"/>
    <n v="0"/>
    <m/>
    <m/>
    <m/>
    <m/>
    <n v="0"/>
    <n v="0"/>
    <n v="49225.479203922878"/>
  </r>
  <r>
    <x v="238"/>
    <x v="4"/>
    <x v="14"/>
    <x v="0"/>
    <x v="5"/>
    <x v="2522"/>
    <x v="25"/>
    <s v="POS"/>
    <n v="0.42857142857142855"/>
    <n v="280"/>
    <n v="120"/>
    <n v="0"/>
    <m/>
    <m/>
    <m/>
    <m/>
    <n v="0"/>
    <n v="0"/>
    <n v="49225.479203922878"/>
  </r>
  <r>
    <x v="238"/>
    <x v="4"/>
    <x v="14"/>
    <x v="0"/>
    <x v="1"/>
    <x v="2522"/>
    <x v="25"/>
    <s v="NAKİT"/>
    <n v="7.1428571428571425E-2"/>
    <n v="280"/>
    <n v="0"/>
    <n v="0"/>
    <m/>
    <m/>
    <m/>
    <m/>
    <n v="20"/>
    <n v="0"/>
    <n v="49245.479203922878"/>
  </r>
  <r>
    <x v="238"/>
    <x v="4"/>
    <x v="18"/>
    <x v="0"/>
    <x v="1"/>
    <x v="2523"/>
    <x v="25"/>
    <s v="NAKİT"/>
    <n v="1"/>
    <n v="250"/>
    <n v="0"/>
    <n v="0"/>
    <m/>
    <m/>
    <m/>
    <m/>
    <n v="250"/>
    <n v="0"/>
    <n v="49495.479203922878"/>
  </r>
  <r>
    <x v="238"/>
    <x v="4"/>
    <x v="58"/>
    <x v="0"/>
    <x v="1"/>
    <x v="2523"/>
    <x v="25"/>
    <s v="NAKİT"/>
    <n v="1"/>
    <n v="250"/>
    <n v="0"/>
    <n v="0"/>
    <m/>
    <m/>
    <m/>
    <m/>
    <n v="250"/>
    <n v="0"/>
    <n v="49745.479203922878"/>
  </r>
  <r>
    <x v="238"/>
    <x v="4"/>
    <x v="314"/>
    <x v="0"/>
    <x v="5"/>
    <x v="2524"/>
    <x v="25"/>
    <s v="POS"/>
    <n v="1"/>
    <n v="140"/>
    <n v="140"/>
    <n v="0"/>
    <m/>
    <m/>
    <m/>
    <m/>
    <n v="0"/>
    <n v="0"/>
    <n v="49745.479203922878"/>
  </r>
  <r>
    <x v="238"/>
    <x v="4"/>
    <x v="88"/>
    <x v="0"/>
    <x v="5"/>
    <x v="2524"/>
    <x v="25"/>
    <s v="POS"/>
    <n v="0.05"/>
    <n v="1200"/>
    <n v="60"/>
    <n v="0"/>
    <m/>
    <m/>
    <m/>
    <m/>
    <n v="0"/>
    <n v="0"/>
    <n v="49745.479203922878"/>
  </r>
  <r>
    <x v="238"/>
    <x v="4"/>
    <x v="385"/>
    <x v="0"/>
    <x v="1"/>
    <x v="2525"/>
    <x v="25"/>
    <s v="NAKİT"/>
    <n v="0.12"/>
    <n v="520"/>
    <n v="0"/>
    <n v="0"/>
    <m/>
    <m/>
    <m/>
    <m/>
    <n v="62.4"/>
    <n v="0"/>
    <n v="49807.879203922879"/>
  </r>
  <r>
    <x v="238"/>
    <x v="4"/>
    <x v="30"/>
    <x v="0"/>
    <x v="1"/>
    <x v="2525"/>
    <x v="25"/>
    <s v="NAKİT"/>
    <n v="0.13400000000000001"/>
    <n v="500"/>
    <n v="0"/>
    <n v="0"/>
    <m/>
    <m/>
    <m/>
    <m/>
    <n v="67"/>
    <n v="0"/>
    <n v="49874.879203922879"/>
  </r>
  <r>
    <x v="238"/>
    <x v="4"/>
    <x v="55"/>
    <x v="0"/>
    <x v="1"/>
    <x v="2525"/>
    <x v="25"/>
    <s v="NAKİT"/>
    <n v="1"/>
    <n v="200"/>
    <n v="0"/>
    <n v="0"/>
    <m/>
    <m/>
    <m/>
    <m/>
    <n v="200"/>
    <n v="0"/>
    <n v="50074.879203922879"/>
  </r>
  <r>
    <x v="238"/>
    <x v="4"/>
    <x v="14"/>
    <x v="0"/>
    <x v="1"/>
    <x v="2526"/>
    <x v="25"/>
    <s v="NAKİT"/>
    <n v="0.5"/>
    <n v="300"/>
    <n v="0"/>
    <n v="0"/>
    <m/>
    <m/>
    <m/>
    <m/>
    <n v="150"/>
    <n v="0"/>
    <n v="50224.879203922879"/>
  </r>
  <r>
    <x v="238"/>
    <x v="4"/>
    <x v="449"/>
    <x v="0"/>
    <x v="1"/>
    <x v="2527"/>
    <x v="25"/>
    <s v="NAKİT"/>
    <n v="0.4"/>
    <n v="650"/>
    <n v="0"/>
    <n v="0"/>
    <m/>
    <m/>
    <m/>
    <m/>
    <n v="260"/>
    <n v="0"/>
    <n v="50484.879203922879"/>
  </r>
  <r>
    <x v="238"/>
    <x v="4"/>
    <x v="88"/>
    <x v="0"/>
    <x v="1"/>
    <x v="2527"/>
    <x v="25"/>
    <s v="NAKİT"/>
    <n v="0.05"/>
    <n v="800"/>
    <n v="0"/>
    <n v="0"/>
    <m/>
    <m/>
    <m/>
    <m/>
    <n v="40"/>
    <n v="0"/>
    <n v="50524.879203922879"/>
  </r>
  <r>
    <x v="238"/>
    <x v="4"/>
    <x v="218"/>
    <x v="0"/>
    <x v="5"/>
    <x v="2528"/>
    <x v="25"/>
    <s v="POS"/>
    <n v="1"/>
    <n v="400"/>
    <n v="400"/>
    <n v="0"/>
    <m/>
    <m/>
    <m/>
    <m/>
    <n v="0"/>
    <n v="0"/>
    <n v="50524.879203922879"/>
  </r>
  <r>
    <x v="238"/>
    <x v="10"/>
    <x v="0"/>
    <x v="0"/>
    <x v="5"/>
    <x v="2"/>
    <x v="248"/>
    <s v="POS"/>
    <n v="1"/>
    <n v="791"/>
    <n v="0"/>
    <n v="791"/>
    <m/>
    <m/>
    <m/>
    <m/>
    <n v="791"/>
    <n v="0"/>
    <n v="51315.879203922879"/>
  </r>
  <r>
    <x v="238"/>
    <x v="1"/>
    <x v="0"/>
    <x v="13"/>
    <x v="1"/>
    <x v="2"/>
    <x v="248"/>
    <s v="NAKİT"/>
    <n v="1"/>
    <n v="791"/>
    <n v="0"/>
    <n v="0"/>
    <m/>
    <m/>
    <m/>
    <m/>
    <n v="0"/>
    <n v="791"/>
    <n v="50524.879203922879"/>
  </r>
  <r>
    <x v="238"/>
    <x v="1"/>
    <x v="0"/>
    <x v="2"/>
    <x v="1"/>
    <x v="2"/>
    <x v="249"/>
    <s v="NAKİT"/>
    <n v="1"/>
    <n v="22000"/>
    <n v="0"/>
    <n v="0"/>
    <m/>
    <m/>
    <m/>
    <m/>
    <n v="0"/>
    <n v="22000"/>
    <n v="28524.879203922879"/>
  </r>
  <r>
    <x v="238"/>
    <x v="10"/>
    <x v="0"/>
    <x v="0"/>
    <x v="5"/>
    <x v="2"/>
    <x v="63"/>
    <s v="POS"/>
    <n v="1"/>
    <n v="1358"/>
    <n v="0"/>
    <n v="1358"/>
    <m/>
    <m/>
    <m/>
    <m/>
    <n v="1358"/>
    <n v="0"/>
    <n v="29882.879203922879"/>
  </r>
  <r>
    <x v="239"/>
    <x v="4"/>
    <x v="456"/>
    <x v="0"/>
    <x v="5"/>
    <x v="2529"/>
    <x v="25"/>
    <s v="POS"/>
    <n v="0.34"/>
    <n v="250"/>
    <n v="85"/>
    <n v="0"/>
    <m/>
    <m/>
    <m/>
    <m/>
    <n v="0"/>
    <n v="0"/>
    <n v="29882.879203922879"/>
  </r>
  <r>
    <x v="239"/>
    <x v="4"/>
    <x v="179"/>
    <x v="0"/>
    <x v="5"/>
    <x v="2529"/>
    <x v="25"/>
    <s v="POS"/>
    <n v="0.23529411764705882"/>
    <n v="850"/>
    <n v="200"/>
    <n v="0"/>
    <m/>
    <m/>
    <m/>
    <m/>
    <n v="0"/>
    <n v="0"/>
    <n v="29882.879203922879"/>
  </r>
  <r>
    <x v="239"/>
    <x v="4"/>
    <x v="248"/>
    <x v="0"/>
    <x v="5"/>
    <x v="2529"/>
    <x v="25"/>
    <s v="POS"/>
    <n v="0.44461538461538463"/>
    <n v="650"/>
    <n v="289"/>
    <n v="0"/>
    <m/>
    <m/>
    <m/>
    <m/>
    <n v="0"/>
    <n v="0"/>
    <n v="29882.879203922879"/>
  </r>
  <r>
    <x v="239"/>
    <x v="4"/>
    <x v="33"/>
    <x v="0"/>
    <x v="5"/>
    <x v="2530"/>
    <x v="250"/>
    <s v="POS"/>
    <n v="5"/>
    <n v="230"/>
    <n v="1150"/>
    <n v="0"/>
    <m/>
    <m/>
    <m/>
    <m/>
    <n v="0"/>
    <n v="0"/>
    <n v="29882.879203922879"/>
  </r>
  <r>
    <x v="239"/>
    <x v="4"/>
    <x v="161"/>
    <x v="0"/>
    <x v="5"/>
    <x v="2530"/>
    <x v="250"/>
    <s v="POS"/>
    <n v="2.04"/>
    <n v="265"/>
    <n v="540.6"/>
    <n v="0"/>
    <m/>
    <m/>
    <m/>
    <m/>
    <n v="0"/>
    <n v="0"/>
    <n v="29882.879203922879"/>
  </r>
  <r>
    <x v="239"/>
    <x v="4"/>
    <x v="30"/>
    <x v="0"/>
    <x v="5"/>
    <x v="2531"/>
    <x v="25"/>
    <s v="POS"/>
    <n v="0.13600000000000001"/>
    <n v="500"/>
    <n v="68"/>
    <n v="0"/>
    <m/>
    <m/>
    <m/>
    <m/>
    <n v="0"/>
    <n v="0"/>
    <n v="29882.879203922879"/>
  </r>
  <r>
    <x v="239"/>
    <x v="4"/>
    <x v="161"/>
    <x v="0"/>
    <x v="5"/>
    <x v="2531"/>
    <x v="25"/>
    <s v="POS"/>
    <n v="0.20600000000000002"/>
    <n v="400"/>
    <n v="82.4"/>
    <n v="0"/>
    <m/>
    <m/>
    <m/>
    <m/>
    <n v="0"/>
    <n v="0"/>
    <n v="29882.879203922879"/>
  </r>
  <r>
    <x v="239"/>
    <x v="4"/>
    <x v="52"/>
    <x v="0"/>
    <x v="5"/>
    <x v="2531"/>
    <x v="25"/>
    <s v="POS"/>
    <n v="0.1"/>
    <n v="400"/>
    <n v="40"/>
    <n v="0"/>
    <m/>
    <m/>
    <m/>
    <m/>
    <n v="0"/>
    <n v="0"/>
    <n v="29882.879203922879"/>
  </r>
  <r>
    <x v="239"/>
    <x v="4"/>
    <x v="55"/>
    <x v="0"/>
    <x v="5"/>
    <x v="2531"/>
    <x v="25"/>
    <s v="POS"/>
    <n v="0.5"/>
    <n v="200"/>
    <n v="100"/>
    <n v="0"/>
    <m/>
    <m/>
    <m/>
    <m/>
    <n v="0"/>
    <n v="0"/>
    <n v="29882.879203922879"/>
  </r>
  <r>
    <x v="239"/>
    <x v="4"/>
    <x v="56"/>
    <x v="0"/>
    <x v="5"/>
    <x v="2531"/>
    <x v="25"/>
    <s v="POS"/>
    <n v="0.5"/>
    <n v="200"/>
    <n v="100"/>
    <n v="0"/>
    <m/>
    <m/>
    <m/>
    <m/>
    <n v="0"/>
    <n v="0"/>
    <n v="29882.879203922879"/>
  </r>
  <r>
    <x v="239"/>
    <x v="4"/>
    <x v="57"/>
    <x v="0"/>
    <x v="5"/>
    <x v="2531"/>
    <x v="25"/>
    <s v="POS"/>
    <n v="1"/>
    <n v="150"/>
    <n v="150"/>
    <n v="0"/>
    <m/>
    <m/>
    <m/>
    <m/>
    <n v="0"/>
    <n v="0"/>
    <n v="29882.879203922879"/>
  </r>
  <r>
    <x v="239"/>
    <x v="4"/>
    <x v="29"/>
    <x v="0"/>
    <x v="5"/>
    <x v="2531"/>
    <x v="25"/>
    <s v="POS"/>
    <n v="2.823529411764706E-2"/>
    <n v="850"/>
    <n v="24"/>
    <n v="0"/>
    <m/>
    <m/>
    <m/>
    <m/>
    <n v="0"/>
    <n v="0"/>
    <n v="29882.879203922879"/>
  </r>
  <r>
    <x v="239"/>
    <x v="4"/>
    <x v="30"/>
    <x v="0"/>
    <x v="5"/>
    <x v="2532"/>
    <x v="25"/>
    <s v="POS"/>
    <n v="0.188"/>
    <n v="500"/>
    <n v="94"/>
    <n v="0"/>
    <m/>
    <m/>
    <m/>
    <m/>
    <n v="0"/>
    <n v="0"/>
    <n v="29882.879203922879"/>
  </r>
  <r>
    <x v="239"/>
    <x v="4"/>
    <x v="161"/>
    <x v="0"/>
    <x v="5"/>
    <x v="2532"/>
    <x v="25"/>
    <s v="POS"/>
    <n v="0.185"/>
    <n v="400"/>
    <n v="74"/>
    <n v="0"/>
    <m/>
    <m/>
    <m/>
    <m/>
    <n v="0"/>
    <n v="0"/>
    <n v="29882.879203922879"/>
  </r>
  <r>
    <x v="239"/>
    <x v="4"/>
    <x v="56"/>
    <x v="0"/>
    <x v="5"/>
    <x v="2532"/>
    <x v="25"/>
    <s v="POS"/>
    <n v="1"/>
    <n v="200"/>
    <n v="200"/>
    <n v="0"/>
    <m/>
    <m/>
    <m/>
    <m/>
    <n v="0"/>
    <n v="0"/>
    <n v="29882.879203922879"/>
  </r>
  <r>
    <x v="239"/>
    <x v="4"/>
    <x v="23"/>
    <x v="0"/>
    <x v="1"/>
    <x v="2533"/>
    <x v="25"/>
    <s v="NAKİT"/>
    <n v="0.12333333333333334"/>
    <n v="300"/>
    <n v="0"/>
    <n v="0"/>
    <m/>
    <m/>
    <m/>
    <m/>
    <n v="37"/>
    <n v="0"/>
    <n v="29919.879203922879"/>
  </r>
  <r>
    <x v="239"/>
    <x v="4"/>
    <x v="57"/>
    <x v="0"/>
    <x v="1"/>
    <x v="2534"/>
    <x v="25"/>
    <s v="NAKİT"/>
    <n v="1"/>
    <n v="150"/>
    <n v="0"/>
    <n v="0"/>
    <m/>
    <m/>
    <m/>
    <m/>
    <n v="150"/>
    <n v="0"/>
    <n v="30069.879203922879"/>
  </r>
  <r>
    <x v="239"/>
    <x v="4"/>
    <x v="56"/>
    <x v="0"/>
    <x v="1"/>
    <x v="2534"/>
    <x v="25"/>
    <s v="NAKİT"/>
    <n v="1"/>
    <n v="200"/>
    <n v="0"/>
    <n v="0"/>
    <m/>
    <m/>
    <m/>
    <m/>
    <n v="200"/>
    <n v="0"/>
    <n v="30269.879203922879"/>
  </r>
  <r>
    <x v="239"/>
    <x v="4"/>
    <x v="218"/>
    <x v="0"/>
    <x v="5"/>
    <x v="2535"/>
    <x v="25"/>
    <s v="POS"/>
    <n v="1"/>
    <n v="400"/>
    <n v="400"/>
    <n v="0"/>
    <m/>
    <m/>
    <m/>
    <m/>
    <n v="0"/>
    <n v="0"/>
    <n v="30269.879203922879"/>
  </r>
  <r>
    <x v="239"/>
    <x v="4"/>
    <x v="261"/>
    <x v="0"/>
    <x v="5"/>
    <x v="2536"/>
    <x v="25"/>
    <s v="POS"/>
    <n v="1"/>
    <n v="130"/>
    <n v="130"/>
    <n v="0"/>
    <m/>
    <m/>
    <m/>
    <m/>
    <n v="0"/>
    <n v="0"/>
    <n v="30269.879203922879"/>
  </r>
  <r>
    <x v="239"/>
    <x v="4"/>
    <x v="18"/>
    <x v="0"/>
    <x v="5"/>
    <x v="2537"/>
    <x v="25"/>
    <s v="POS"/>
    <n v="1"/>
    <n v="250"/>
    <n v="250"/>
    <n v="0"/>
    <m/>
    <m/>
    <m/>
    <m/>
    <n v="0"/>
    <n v="0"/>
    <n v="30269.879203922879"/>
  </r>
  <r>
    <x v="239"/>
    <x v="4"/>
    <x v="73"/>
    <x v="0"/>
    <x v="1"/>
    <x v="2538"/>
    <x v="25"/>
    <s v="NAKİT"/>
    <n v="0.6"/>
    <n v="750"/>
    <n v="0"/>
    <n v="0"/>
    <m/>
    <m/>
    <m/>
    <m/>
    <n v="450"/>
    <n v="0"/>
    <n v="30719.879203922879"/>
  </r>
  <r>
    <x v="239"/>
    <x v="4"/>
    <x v="313"/>
    <x v="0"/>
    <x v="1"/>
    <x v="2538"/>
    <x v="25"/>
    <s v="NAKİT"/>
    <n v="1"/>
    <n v="150"/>
    <n v="0"/>
    <n v="0"/>
    <m/>
    <m/>
    <m/>
    <m/>
    <n v="150"/>
    <n v="0"/>
    <n v="30869.879203922879"/>
  </r>
  <r>
    <x v="239"/>
    <x v="4"/>
    <x v="314"/>
    <x v="0"/>
    <x v="1"/>
    <x v="2538"/>
    <x v="25"/>
    <s v="NAKİT"/>
    <n v="1"/>
    <n v="150"/>
    <n v="0"/>
    <n v="0"/>
    <m/>
    <m/>
    <m/>
    <m/>
    <n v="150"/>
    <n v="0"/>
    <n v="31019.879203922879"/>
  </r>
  <r>
    <x v="239"/>
    <x v="4"/>
    <x v="457"/>
    <x v="0"/>
    <x v="1"/>
    <x v="2538"/>
    <x v="25"/>
    <s v="NAKİT"/>
    <n v="0.34"/>
    <n v="250"/>
    <n v="0"/>
    <n v="0"/>
    <m/>
    <m/>
    <m/>
    <m/>
    <n v="85"/>
    <n v="0"/>
    <n v="31104.879203922879"/>
  </r>
  <r>
    <x v="239"/>
    <x v="4"/>
    <x v="57"/>
    <x v="0"/>
    <x v="5"/>
    <x v="2539"/>
    <x v="25"/>
    <s v="POS"/>
    <n v="2"/>
    <n v="150"/>
    <n v="300"/>
    <n v="0"/>
    <m/>
    <m/>
    <m/>
    <m/>
    <n v="0"/>
    <n v="0"/>
    <n v="31104.879203922879"/>
  </r>
  <r>
    <x v="239"/>
    <x v="4"/>
    <x v="33"/>
    <x v="0"/>
    <x v="5"/>
    <x v="2539"/>
    <x v="25"/>
    <s v="POS"/>
    <n v="0.21249999999999999"/>
    <n v="400"/>
    <n v="85"/>
    <n v="0"/>
    <m/>
    <m/>
    <m/>
    <m/>
    <n v="0"/>
    <n v="0"/>
    <n v="31104.879203922879"/>
  </r>
  <r>
    <x v="239"/>
    <x v="10"/>
    <x v="0"/>
    <x v="0"/>
    <x v="5"/>
    <x v="2"/>
    <x v="63"/>
    <s v="POS"/>
    <n v="1"/>
    <n v="192"/>
    <n v="0"/>
    <n v="192"/>
    <m/>
    <m/>
    <m/>
    <m/>
    <n v="192"/>
    <n v="0"/>
    <n v="31296.879203922879"/>
  </r>
  <r>
    <x v="239"/>
    <x v="10"/>
    <x v="0"/>
    <x v="0"/>
    <x v="5"/>
    <x v="2"/>
    <x v="63"/>
    <s v="POS"/>
    <n v="1"/>
    <n v="99"/>
    <n v="0"/>
    <n v="99"/>
    <m/>
    <m/>
    <m/>
    <m/>
    <n v="99"/>
    <n v="0"/>
    <n v="31395.879203922879"/>
  </r>
  <r>
    <x v="240"/>
    <x v="3"/>
    <x v="347"/>
    <x v="0"/>
    <x v="18"/>
    <x v="2540"/>
    <x v="251"/>
    <s v="CARİ"/>
    <n v="10"/>
    <n v="450"/>
    <n v="0"/>
    <n v="4500"/>
    <m/>
    <m/>
    <m/>
    <m/>
    <n v="0"/>
    <n v="0"/>
    <n v="31395.879203922879"/>
  </r>
  <r>
    <x v="240"/>
    <x v="3"/>
    <x v="449"/>
    <x v="0"/>
    <x v="18"/>
    <x v="2540"/>
    <x v="251"/>
    <s v="CARİ"/>
    <n v="10"/>
    <n v="350"/>
    <n v="0"/>
    <n v="3500"/>
    <m/>
    <m/>
    <m/>
    <m/>
    <n v="0"/>
    <n v="0"/>
    <n v="31395.879203922879"/>
  </r>
  <r>
    <x v="240"/>
    <x v="3"/>
    <x v="344"/>
    <x v="0"/>
    <x v="18"/>
    <x v="2540"/>
    <x v="251"/>
    <s v="CARİ"/>
    <n v="5"/>
    <n v="250"/>
    <n v="0"/>
    <n v="1250"/>
    <m/>
    <m/>
    <m/>
    <m/>
    <n v="0"/>
    <n v="0"/>
    <n v="31395.879203922879"/>
  </r>
  <r>
    <x v="240"/>
    <x v="4"/>
    <x v="27"/>
    <x v="0"/>
    <x v="1"/>
    <x v="2541"/>
    <x v="25"/>
    <s v="NAKİT"/>
    <n v="0.105"/>
    <n v="400"/>
    <n v="0"/>
    <n v="0"/>
    <m/>
    <m/>
    <m/>
    <m/>
    <n v="42"/>
    <n v="0"/>
    <n v="31437.879203922879"/>
  </r>
  <r>
    <x v="240"/>
    <x v="4"/>
    <x v="123"/>
    <x v="0"/>
    <x v="5"/>
    <x v="2542"/>
    <x v="25"/>
    <s v="POS"/>
    <n v="0.2"/>
    <n v="1000"/>
    <n v="200"/>
    <n v="0"/>
    <m/>
    <m/>
    <m/>
    <m/>
    <n v="0"/>
    <n v="0"/>
    <n v="31437.879203922879"/>
  </r>
  <r>
    <x v="240"/>
    <x v="4"/>
    <x v="360"/>
    <x v="0"/>
    <x v="5"/>
    <x v="2543"/>
    <x v="25"/>
    <s v="POS"/>
    <n v="0.5"/>
    <n v="700"/>
    <n v="350"/>
    <n v="0"/>
    <m/>
    <m/>
    <m/>
    <m/>
    <n v="0"/>
    <n v="0"/>
    <n v="31437.879203922879"/>
  </r>
  <r>
    <x v="240"/>
    <x v="4"/>
    <x v="76"/>
    <x v="0"/>
    <x v="1"/>
    <x v="2544"/>
    <x v="25"/>
    <s v="NAKİT"/>
    <n v="1.25"/>
    <n v="80"/>
    <n v="0"/>
    <n v="0"/>
    <m/>
    <m/>
    <m/>
    <m/>
    <n v="100"/>
    <n v="0"/>
    <n v="31537.879203922879"/>
  </r>
  <r>
    <x v="240"/>
    <x v="4"/>
    <x v="161"/>
    <x v="0"/>
    <x v="5"/>
    <x v="2545"/>
    <x v="25"/>
    <s v="POS"/>
    <n v="0.1575"/>
    <n v="400"/>
    <n v="63"/>
    <n v="0"/>
    <m/>
    <m/>
    <m/>
    <m/>
    <n v="0"/>
    <n v="0"/>
    <n v="31537.879203922879"/>
  </r>
  <r>
    <x v="240"/>
    <x v="4"/>
    <x v="149"/>
    <x v="0"/>
    <x v="5"/>
    <x v="2545"/>
    <x v="25"/>
    <s v="POS"/>
    <n v="0.15384615384615385"/>
    <n v="650"/>
    <n v="100"/>
    <n v="0"/>
    <m/>
    <m/>
    <m/>
    <m/>
    <n v="0"/>
    <n v="0"/>
    <n v="31537.879203922879"/>
  </r>
  <r>
    <x v="240"/>
    <x v="4"/>
    <x v="29"/>
    <x v="0"/>
    <x v="1"/>
    <x v="2546"/>
    <x v="25"/>
    <s v="NAKİT"/>
    <n v="3.7647058823529408E-2"/>
    <n v="850"/>
    <n v="0"/>
    <n v="0"/>
    <m/>
    <m/>
    <m/>
    <m/>
    <n v="31.999999999999996"/>
    <n v="0"/>
    <n v="31569.879203922879"/>
  </r>
  <r>
    <x v="240"/>
    <x v="4"/>
    <x v="435"/>
    <x v="0"/>
    <x v="5"/>
    <x v="2547"/>
    <x v="25"/>
    <s v="POS"/>
    <n v="0.2"/>
    <n v="500"/>
    <n v="100"/>
    <n v="0"/>
    <m/>
    <m/>
    <m/>
    <m/>
    <n v="0"/>
    <n v="0"/>
    <n v="31569.879203922879"/>
  </r>
  <r>
    <x v="240"/>
    <x v="4"/>
    <x v="28"/>
    <x v="0"/>
    <x v="5"/>
    <x v="2547"/>
    <x v="25"/>
    <s v="POS"/>
    <n v="0.15"/>
    <n v="500"/>
    <n v="75"/>
    <n v="0"/>
    <m/>
    <m/>
    <m/>
    <m/>
    <n v="0"/>
    <n v="0"/>
    <n v="31569.879203922879"/>
  </r>
  <r>
    <x v="240"/>
    <x v="4"/>
    <x v="207"/>
    <x v="0"/>
    <x v="1"/>
    <x v="2548"/>
    <x v="129"/>
    <s v="NAKİT"/>
    <n v="1"/>
    <n v="400"/>
    <n v="0"/>
    <n v="0"/>
    <m/>
    <m/>
    <m/>
    <m/>
    <n v="400"/>
    <n v="0"/>
    <n v="31969.879203922879"/>
  </r>
  <r>
    <x v="240"/>
    <x v="4"/>
    <x v="18"/>
    <x v="0"/>
    <x v="1"/>
    <x v="2549"/>
    <x v="25"/>
    <s v="NAKİT"/>
    <n v="0.5"/>
    <n v="250"/>
    <n v="0"/>
    <n v="0"/>
    <m/>
    <m/>
    <m/>
    <m/>
    <n v="125"/>
    <n v="0"/>
    <n v="32094.879203922879"/>
  </r>
  <r>
    <x v="240"/>
    <x v="4"/>
    <x v="25"/>
    <x v="0"/>
    <x v="1"/>
    <x v="2549"/>
    <x v="25"/>
    <s v="NAKİT"/>
    <n v="0.1"/>
    <n v="400"/>
    <n v="0"/>
    <n v="0"/>
    <m/>
    <m/>
    <m/>
    <m/>
    <n v="40"/>
    <n v="0"/>
    <n v="32134.879203922879"/>
  </r>
  <r>
    <x v="240"/>
    <x v="4"/>
    <x v="18"/>
    <x v="0"/>
    <x v="1"/>
    <x v="2550"/>
    <x v="141"/>
    <s v="NAKİT"/>
    <n v="2"/>
    <n v="250"/>
    <n v="0"/>
    <n v="0"/>
    <m/>
    <m/>
    <m/>
    <m/>
    <n v="500"/>
    <n v="0"/>
    <n v="32634.879203922879"/>
  </r>
  <r>
    <x v="240"/>
    <x v="4"/>
    <x v="395"/>
    <x v="0"/>
    <x v="1"/>
    <x v="2550"/>
    <x v="141"/>
    <s v="NAKİT"/>
    <n v="3"/>
    <n v="65"/>
    <n v="0"/>
    <n v="0"/>
    <m/>
    <m/>
    <m/>
    <m/>
    <n v="195"/>
    <n v="0"/>
    <n v="32829.879203922879"/>
  </r>
  <r>
    <x v="240"/>
    <x v="4"/>
    <x v="57"/>
    <x v="0"/>
    <x v="1"/>
    <x v="2550"/>
    <x v="141"/>
    <s v="NAKİT"/>
    <n v="5"/>
    <n v="150"/>
    <n v="0"/>
    <n v="0"/>
    <m/>
    <m/>
    <m/>
    <m/>
    <n v="750"/>
    <n v="0"/>
    <n v="33579.879203922879"/>
  </r>
  <r>
    <x v="240"/>
    <x v="4"/>
    <x v="56"/>
    <x v="0"/>
    <x v="1"/>
    <x v="2550"/>
    <x v="141"/>
    <s v="NAKİT"/>
    <n v="2"/>
    <n v="200"/>
    <n v="0"/>
    <n v="0"/>
    <m/>
    <m/>
    <m/>
    <m/>
    <n v="400"/>
    <n v="0"/>
    <n v="33979.879203922879"/>
  </r>
  <r>
    <x v="240"/>
    <x v="4"/>
    <x v="18"/>
    <x v="0"/>
    <x v="1"/>
    <x v="2550"/>
    <x v="141"/>
    <s v="NAKİT"/>
    <n v="3"/>
    <n v="250"/>
    <n v="0"/>
    <n v="0"/>
    <m/>
    <m/>
    <m/>
    <m/>
    <n v="750"/>
    <n v="0"/>
    <n v="34729.879203922879"/>
  </r>
  <r>
    <x v="240"/>
    <x v="4"/>
    <x v="347"/>
    <x v="0"/>
    <x v="1"/>
    <x v="2550"/>
    <x v="141"/>
    <s v="NAKİT"/>
    <n v="1"/>
    <n v="700"/>
    <n v="0"/>
    <n v="0"/>
    <m/>
    <m/>
    <m/>
    <m/>
    <n v="700"/>
    <n v="0"/>
    <n v="35429.879203922879"/>
  </r>
  <r>
    <x v="240"/>
    <x v="4"/>
    <x v="347"/>
    <x v="0"/>
    <x v="1"/>
    <x v="2551"/>
    <x v="216"/>
    <s v="NAKİT"/>
    <n v="0.2857142857142857"/>
    <n v="700"/>
    <n v="0"/>
    <n v="0"/>
    <m/>
    <m/>
    <m/>
    <m/>
    <n v="200"/>
    <n v="0"/>
    <n v="35629.879203922879"/>
  </r>
  <r>
    <x v="240"/>
    <x v="4"/>
    <x v="161"/>
    <x v="0"/>
    <x v="1"/>
    <x v="2551"/>
    <x v="216"/>
    <s v="NAKİT"/>
    <n v="0.25"/>
    <n v="400"/>
    <n v="0"/>
    <n v="0"/>
    <m/>
    <m/>
    <m/>
    <m/>
    <n v="100"/>
    <n v="0"/>
    <n v="35729.879203922879"/>
  </r>
  <r>
    <x v="240"/>
    <x v="4"/>
    <x v="360"/>
    <x v="0"/>
    <x v="1"/>
    <x v="2552"/>
    <x v="114"/>
    <s v="NAKİT"/>
    <n v="2"/>
    <n v="700"/>
    <n v="0"/>
    <n v="0"/>
    <m/>
    <m/>
    <m/>
    <m/>
    <n v="1400"/>
    <n v="0"/>
    <n v="37129.879203922879"/>
  </r>
  <r>
    <x v="240"/>
    <x v="4"/>
    <x v="347"/>
    <x v="0"/>
    <x v="1"/>
    <x v="2552"/>
    <x v="114"/>
    <s v="NAKİT"/>
    <n v="2"/>
    <n v="700"/>
    <n v="0"/>
    <n v="0"/>
    <m/>
    <m/>
    <m/>
    <m/>
    <n v="1400"/>
    <n v="0"/>
    <n v="38529.879203922879"/>
  </r>
  <r>
    <x v="240"/>
    <x v="4"/>
    <x v="446"/>
    <x v="0"/>
    <x v="1"/>
    <x v="2552"/>
    <x v="114"/>
    <s v="NAKİT"/>
    <n v="0.5"/>
    <n v="550"/>
    <n v="0"/>
    <n v="0"/>
    <m/>
    <m/>
    <m/>
    <m/>
    <n v="275"/>
    <n v="0"/>
    <n v="38804.879203922879"/>
  </r>
  <r>
    <x v="240"/>
    <x v="4"/>
    <x v="33"/>
    <x v="0"/>
    <x v="1"/>
    <x v="2553"/>
    <x v="180"/>
    <s v="NAKİT"/>
    <n v="1"/>
    <n v="400"/>
    <n v="0"/>
    <n v="0"/>
    <m/>
    <m/>
    <m/>
    <m/>
    <n v="400"/>
    <n v="0"/>
    <n v="39204.879203922879"/>
  </r>
  <r>
    <x v="240"/>
    <x v="4"/>
    <x v="26"/>
    <x v="0"/>
    <x v="1"/>
    <x v="2553"/>
    <x v="180"/>
    <s v="NAKİT"/>
    <n v="0.44444444444444442"/>
    <n v="450"/>
    <n v="0"/>
    <n v="0"/>
    <m/>
    <m/>
    <m/>
    <m/>
    <n v="200"/>
    <n v="0"/>
    <n v="39404.879203922879"/>
  </r>
  <r>
    <x v="240"/>
    <x v="4"/>
    <x v="113"/>
    <x v="0"/>
    <x v="1"/>
    <x v="2553"/>
    <x v="180"/>
    <s v="NAKİT"/>
    <n v="0.1"/>
    <n v="1350"/>
    <n v="0"/>
    <n v="0"/>
    <m/>
    <m/>
    <m/>
    <m/>
    <n v="135"/>
    <n v="0"/>
    <n v="39539.879203922879"/>
  </r>
  <r>
    <x v="240"/>
    <x v="4"/>
    <x v="219"/>
    <x v="0"/>
    <x v="1"/>
    <x v="2553"/>
    <x v="180"/>
    <s v="NAKİT"/>
    <n v="1"/>
    <n v="250"/>
    <n v="0"/>
    <n v="0"/>
    <m/>
    <m/>
    <m/>
    <m/>
    <n v="250"/>
    <n v="0"/>
    <n v="39789.879203922879"/>
  </r>
  <r>
    <x v="240"/>
    <x v="4"/>
    <x v="57"/>
    <x v="0"/>
    <x v="5"/>
    <x v="2554"/>
    <x v="25"/>
    <s v="POS"/>
    <n v="1"/>
    <n v="150"/>
    <n v="150"/>
    <n v="0"/>
    <m/>
    <m/>
    <m/>
    <m/>
    <n v="0"/>
    <n v="0"/>
    <n v="39789.879203922879"/>
  </r>
  <r>
    <x v="240"/>
    <x v="4"/>
    <x v="277"/>
    <x v="0"/>
    <x v="5"/>
    <x v="2554"/>
    <x v="25"/>
    <s v="POS"/>
    <n v="1"/>
    <n v="170"/>
    <n v="170"/>
    <n v="0"/>
    <m/>
    <m/>
    <m/>
    <m/>
    <n v="0"/>
    <n v="0"/>
    <n v="39789.879203922879"/>
  </r>
  <r>
    <x v="240"/>
    <x v="4"/>
    <x v="316"/>
    <x v="0"/>
    <x v="5"/>
    <x v="2554"/>
    <x v="25"/>
    <s v="POS"/>
    <n v="1"/>
    <n v="180"/>
    <n v="180"/>
    <n v="0"/>
    <m/>
    <m/>
    <m/>
    <m/>
    <n v="0"/>
    <n v="0"/>
    <n v="39789.879203922879"/>
  </r>
  <r>
    <x v="240"/>
    <x v="4"/>
    <x v="393"/>
    <x v="0"/>
    <x v="1"/>
    <x v="2555"/>
    <x v="120"/>
    <s v="NAKİT"/>
    <n v="0.86486486486486491"/>
    <n v="370"/>
    <n v="0"/>
    <n v="0"/>
    <m/>
    <m/>
    <m/>
    <m/>
    <n v="320"/>
    <n v="0"/>
    <n v="40109.879203922879"/>
  </r>
  <r>
    <x v="240"/>
    <x v="4"/>
    <x v="57"/>
    <x v="0"/>
    <x v="1"/>
    <x v="2555"/>
    <x v="120"/>
    <s v="NAKİT"/>
    <n v="1"/>
    <n v="150"/>
    <n v="0"/>
    <n v="0"/>
    <m/>
    <m/>
    <m/>
    <m/>
    <n v="150"/>
    <n v="0"/>
    <n v="40259.879203922879"/>
  </r>
  <r>
    <x v="240"/>
    <x v="4"/>
    <x v="179"/>
    <x v="0"/>
    <x v="1"/>
    <x v="2555"/>
    <x v="120"/>
    <s v="NAKİT"/>
    <n v="0.23529411764705882"/>
    <n v="850"/>
    <n v="0"/>
    <n v="0"/>
    <m/>
    <m/>
    <m/>
    <m/>
    <n v="200"/>
    <n v="0"/>
    <n v="40459.879203922879"/>
  </r>
  <r>
    <x v="240"/>
    <x v="4"/>
    <x v="119"/>
    <x v="0"/>
    <x v="1"/>
    <x v="2555"/>
    <x v="120"/>
    <s v="NAKİT"/>
    <n v="0.23076923076923078"/>
    <n v="650"/>
    <n v="0"/>
    <n v="0"/>
    <m/>
    <m/>
    <m/>
    <m/>
    <n v="150"/>
    <n v="0"/>
    <n v="40609.879203922879"/>
  </r>
  <r>
    <x v="240"/>
    <x v="10"/>
    <x v="0"/>
    <x v="0"/>
    <x v="5"/>
    <x v="2"/>
    <x v="252"/>
    <s v="POS"/>
    <n v="1"/>
    <n v="5250"/>
    <n v="0"/>
    <n v="5250"/>
    <m/>
    <m/>
    <m/>
    <m/>
    <n v="5250"/>
    <n v="0"/>
    <n v="45859.879203922879"/>
  </r>
  <r>
    <x v="240"/>
    <x v="7"/>
    <x v="0"/>
    <x v="0"/>
    <x v="18"/>
    <x v="2"/>
    <x v="253"/>
    <s v="NAKİT"/>
    <n v="1"/>
    <n v="9250"/>
    <n v="9250"/>
    <m/>
    <m/>
    <m/>
    <m/>
    <m/>
    <m/>
    <n v="9250"/>
    <n v="36609.879203922879"/>
  </r>
  <r>
    <x v="240"/>
    <x v="10"/>
    <x v="0"/>
    <x v="0"/>
    <x v="5"/>
    <x v="2"/>
    <x v="63"/>
    <s v="POS"/>
    <n v="1"/>
    <n v="560"/>
    <n v="0"/>
    <n v="560"/>
    <m/>
    <m/>
    <m/>
    <m/>
    <n v="560"/>
    <n v="0"/>
    <n v="37169.879203922879"/>
  </r>
  <r>
    <x v="240"/>
    <x v="10"/>
    <x v="0"/>
    <x v="0"/>
    <x v="5"/>
    <x v="2"/>
    <x v="63"/>
    <s v="POS"/>
    <n v="1"/>
    <n v="1120"/>
    <n v="0"/>
    <n v="1120"/>
    <m/>
    <m/>
    <m/>
    <m/>
    <n v="1120"/>
    <n v="0"/>
    <n v="38289.879203922879"/>
  </r>
  <r>
    <x v="241"/>
    <x v="4"/>
    <x v="34"/>
    <x v="0"/>
    <x v="1"/>
    <x v="2556"/>
    <x v="25"/>
    <s v="NAKİT"/>
    <n v="0.1"/>
    <n v="600"/>
    <n v="0"/>
    <n v="0"/>
    <m/>
    <m/>
    <m/>
    <m/>
    <n v="60"/>
    <n v="0"/>
    <n v="38349.879203922879"/>
  </r>
  <r>
    <x v="241"/>
    <x v="4"/>
    <x v="55"/>
    <x v="0"/>
    <x v="5"/>
    <x v="2557"/>
    <x v="25"/>
    <s v="POS"/>
    <n v="1"/>
    <n v="200"/>
    <n v="200"/>
    <n v="0"/>
    <m/>
    <m/>
    <m/>
    <m/>
    <n v="0"/>
    <n v="0"/>
    <n v="38349.879203922879"/>
  </r>
  <r>
    <x v="241"/>
    <x v="4"/>
    <x v="56"/>
    <x v="0"/>
    <x v="5"/>
    <x v="2558"/>
    <x v="25"/>
    <s v="POS"/>
    <n v="1"/>
    <n v="200"/>
    <n v="200"/>
    <n v="0"/>
    <m/>
    <m/>
    <m/>
    <m/>
    <n v="0"/>
    <n v="0"/>
    <n v="38349.879203922879"/>
  </r>
  <r>
    <x v="241"/>
    <x v="4"/>
    <x v="412"/>
    <x v="0"/>
    <x v="5"/>
    <x v="2559"/>
    <x v="25"/>
    <s v="POS"/>
    <n v="3.4000000000000002E-2"/>
    <n v="700"/>
    <n v="23.8"/>
    <n v="0"/>
    <m/>
    <m/>
    <m/>
    <m/>
    <n v="0"/>
    <n v="0"/>
    <n v="38349.879203922879"/>
  </r>
  <r>
    <x v="241"/>
    <x v="4"/>
    <x v="23"/>
    <x v="0"/>
    <x v="5"/>
    <x v="2559"/>
    <x v="25"/>
    <s v="POS"/>
    <n v="0.08"/>
    <n v="300"/>
    <n v="24"/>
    <n v="0"/>
    <m/>
    <m/>
    <m/>
    <m/>
    <n v="0"/>
    <n v="0"/>
    <n v="38349.879203922879"/>
  </r>
  <r>
    <x v="241"/>
    <x v="4"/>
    <x v="351"/>
    <x v="0"/>
    <x v="5"/>
    <x v="2559"/>
    <x v="25"/>
    <s v="POS"/>
    <n v="1"/>
    <n v="100"/>
    <n v="100"/>
    <n v="0"/>
    <m/>
    <m/>
    <m/>
    <m/>
    <n v="0"/>
    <n v="0"/>
    <n v="38349.879203922879"/>
  </r>
  <r>
    <x v="241"/>
    <x v="4"/>
    <x v="161"/>
    <x v="0"/>
    <x v="1"/>
    <x v="2560"/>
    <x v="25"/>
    <s v="NAKİT"/>
    <n v="0.77358490566037741"/>
    <n v="265"/>
    <n v="0"/>
    <n v="0"/>
    <m/>
    <m/>
    <m/>
    <m/>
    <n v="205"/>
    <n v="0"/>
    <n v="38554.879203922879"/>
  </r>
  <r>
    <x v="241"/>
    <x v="4"/>
    <x v="25"/>
    <x v="0"/>
    <x v="1"/>
    <x v="2560"/>
    <x v="25"/>
    <s v="NAKİT"/>
    <n v="0.69333333333333336"/>
    <n v="300"/>
    <n v="0"/>
    <n v="0"/>
    <m/>
    <m/>
    <m/>
    <m/>
    <n v="208"/>
    <n v="0"/>
    <n v="38762.879203922879"/>
  </r>
  <r>
    <x v="241"/>
    <x v="4"/>
    <x v="261"/>
    <x v="0"/>
    <x v="1"/>
    <x v="2561"/>
    <x v="25"/>
    <s v="NAKİT"/>
    <n v="1"/>
    <n v="130"/>
    <n v="0"/>
    <n v="0"/>
    <m/>
    <m/>
    <m/>
    <m/>
    <n v="130"/>
    <n v="0"/>
    <n v="38892.879203922879"/>
  </r>
  <r>
    <x v="241"/>
    <x v="4"/>
    <x v="265"/>
    <x v="0"/>
    <x v="1"/>
    <x v="2561"/>
    <x v="25"/>
    <s v="NAKİT"/>
    <n v="1"/>
    <n v="130"/>
    <n v="0"/>
    <n v="0"/>
    <m/>
    <m/>
    <m/>
    <m/>
    <n v="130"/>
    <n v="0"/>
    <n v="39022.879203922879"/>
  </r>
  <r>
    <x v="241"/>
    <x v="4"/>
    <x v="269"/>
    <x v="0"/>
    <x v="1"/>
    <x v="2561"/>
    <x v="25"/>
    <s v="NAKİT"/>
    <n v="1"/>
    <n v="110"/>
    <n v="0"/>
    <n v="0"/>
    <m/>
    <m/>
    <m/>
    <m/>
    <n v="110"/>
    <n v="0"/>
    <n v="39132.879203922879"/>
  </r>
  <r>
    <x v="241"/>
    <x v="4"/>
    <x v="156"/>
    <x v="0"/>
    <x v="1"/>
    <x v="2561"/>
    <x v="25"/>
    <s v="NAKİT"/>
    <n v="0.5"/>
    <n v="60"/>
    <n v="0"/>
    <n v="0"/>
    <m/>
    <m/>
    <m/>
    <m/>
    <n v="30"/>
    <n v="0"/>
    <n v="39162.879203922879"/>
  </r>
  <r>
    <x v="241"/>
    <x v="4"/>
    <x v="31"/>
    <x v="0"/>
    <x v="1"/>
    <x v="2562"/>
    <x v="25"/>
    <s v="NAKİT"/>
    <n v="0.25"/>
    <n v="400"/>
    <n v="0"/>
    <n v="0"/>
    <m/>
    <m/>
    <m/>
    <m/>
    <n v="100"/>
    <n v="0"/>
    <n v="39262.879203922879"/>
  </r>
  <r>
    <x v="241"/>
    <x v="3"/>
    <x v="70"/>
    <x v="0"/>
    <x v="12"/>
    <x v="2"/>
    <x v="254"/>
    <s v="CARİ"/>
    <n v="5"/>
    <n v="105"/>
    <n v="0"/>
    <n v="525"/>
    <m/>
    <m/>
    <m/>
    <m/>
    <n v="0"/>
    <n v="0"/>
    <n v="39262.879203922879"/>
  </r>
  <r>
    <x v="241"/>
    <x v="3"/>
    <x v="142"/>
    <x v="0"/>
    <x v="12"/>
    <x v="2"/>
    <x v="254"/>
    <s v="CARİ"/>
    <n v="5"/>
    <n v="180"/>
    <n v="0"/>
    <n v="900"/>
    <m/>
    <m/>
    <m/>
    <m/>
    <n v="0"/>
    <n v="0"/>
    <n v="39262.879203922879"/>
  </r>
  <r>
    <x v="241"/>
    <x v="3"/>
    <x v="240"/>
    <x v="0"/>
    <x v="12"/>
    <x v="2"/>
    <x v="254"/>
    <s v="CARİ"/>
    <n v="5"/>
    <n v="99"/>
    <n v="0"/>
    <n v="495"/>
    <m/>
    <m/>
    <m/>
    <m/>
    <n v="0"/>
    <n v="0"/>
    <n v="39262.879203922879"/>
  </r>
  <r>
    <x v="241"/>
    <x v="3"/>
    <x v="129"/>
    <x v="0"/>
    <x v="12"/>
    <x v="2"/>
    <x v="254"/>
    <s v="CARİ"/>
    <n v="5"/>
    <n v="180"/>
    <n v="0"/>
    <n v="900"/>
    <m/>
    <m/>
    <m/>
    <m/>
    <n v="0"/>
    <n v="0"/>
    <n v="39262.879203922879"/>
  </r>
  <r>
    <x v="241"/>
    <x v="3"/>
    <x v="128"/>
    <x v="0"/>
    <x v="12"/>
    <x v="2"/>
    <x v="254"/>
    <s v="CARİ"/>
    <n v="5"/>
    <n v="95"/>
    <n v="0"/>
    <n v="475"/>
    <m/>
    <m/>
    <m/>
    <m/>
    <n v="0"/>
    <n v="0"/>
    <n v="39262.879203922879"/>
  </r>
  <r>
    <x v="241"/>
    <x v="3"/>
    <x v="445"/>
    <x v="0"/>
    <x v="12"/>
    <x v="2"/>
    <x v="254"/>
    <s v="CARİ"/>
    <n v="12"/>
    <n v="50"/>
    <n v="0"/>
    <n v="600"/>
    <m/>
    <m/>
    <m/>
    <m/>
    <n v="0"/>
    <n v="0"/>
    <n v="39262.879203922879"/>
  </r>
  <r>
    <x v="241"/>
    <x v="3"/>
    <x v="121"/>
    <x v="0"/>
    <x v="12"/>
    <x v="2"/>
    <x v="254"/>
    <s v="CARİ"/>
    <n v="2"/>
    <n v="1260"/>
    <n v="0"/>
    <n v="2520"/>
    <m/>
    <m/>
    <m/>
    <m/>
    <n v="0"/>
    <n v="0"/>
    <n v="39262.879203922879"/>
  </r>
  <r>
    <x v="241"/>
    <x v="3"/>
    <x v="149"/>
    <x v="0"/>
    <x v="12"/>
    <x v="2"/>
    <x v="254"/>
    <s v="CARİ"/>
    <n v="3"/>
    <n v="500"/>
    <n v="0"/>
    <n v="1500"/>
    <m/>
    <m/>
    <m/>
    <m/>
    <n v="0"/>
    <n v="0"/>
    <n v="39262.879203922879"/>
  </r>
  <r>
    <x v="241"/>
    <x v="3"/>
    <x v="231"/>
    <x v="0"/>
    <x v="12"/>
    <x v="2"/>
    <x v="254"/>
    <s v="CARİ"/>
    <n v="5"/>
    <n v="150"/>
    <n v="0"/>
    <n v="750"/>
    <m/>
    <m/>
    <m/>
    <m/>
    <n v="0"/>
    <n v="0"/>
    <n v="39262.879203922879"/>
  </r>
  <r>
    <x v="241"/>
    <x v="10"/>
    <x v="0"/>
    <x v="0"/>
    <x v="5"/>
    <x v="2"/>
    <x v="255"/>
    <s v="POS"/>
    <n v="1"/>
    <n v="8665"/>
    <n v="0"/>
    <n v="8665"/>
    <m/>
    <m/>
    <m/>
    <m/>
    <n v="0"/>
    <n v="0"/>
    <n v="39262.879203922879"/>
  </r>
  <r>
    <x v="241"/>
    <x v="7"/>
    <x v="0"/>
    <x v="0"/>
    <x v="12"/>
    <x v="2"/>
    <x v="255"/>
    <s v="NAKİT"/>
    <n v="1"/>
    <n v="8665"/>
    <n v="8665"/>
    <n v="0"/>
    <m/>
    <m/>
    <m/>
    <m/>
    <n v="0"/>
    <n v="0"/>
    <n v="39262.879203922879"/>
  </r>
  <r>
    <x v="242"/>
    <x v="4"/>
    <x v="384"/>
    <x v="0"/>
    <x v="5"/>
    <x v="2563"/>
    <x v="25"/>
    <s v="POS"/>
    <n v="1"/>
    <n v="300"/>
    <n v="300"/>
    <n v="0"/>
    <m/>
    <m/>
    <m/>
    <m/>
    <n v="0"/>
    <n v="0"/>
    <n v="39262.879203922879"/>
  </r>
  <r>
    <x v="242"/>
    <x v="4"/>
    <x v="179"/>
    <x v="0"/>
    <x v="5"/>
    <x v="2563"/>
    <x v="25"/>
    <s v="POS"/>
    <n v="0.47058823529411764"/>
    <n v="850"/>
    <n v="400"/>
    <n v="0"/>
    <m/>
    <m/>
    <m/>
    <m/>
    <n v="0"/>
    <n v="0"/>
    <n v="39262.879203922879"/>
  </r>
  <r>
    <x v="242"/>
    <x v="4"/>
    <x v="456"/>
    <x v="0"/>
    <x v="5"/>
    <x v="2563"/>
    <x v="25"/>
    <s v="POS"/>
    <n v="0.34"/>
    <n v="250"/>
    <n v="85"/>
    <n v="0"/>
    <m/>
    <m/>
    <m/>
    <m/>
    <n v="0"/>
    <n v="0"/>
    <n v="39262.879203922879"/>
  </r>
  <r>
    <x v="242"/>
    <x v="4"/>
    <x v="129"/>
    <x v="0"/>
    <x v="5"/>
    <x v="2563"/>
    <x v="25"/>
    <s v="POS"/>
    <n v="0.2"/>
    <n v="250"/>
    <n v="50"/>
    <n v="0"/>
    <m/>
    <m/>
    <m/>
    <m/>
    <n v="0"/>
    <n v="0"/>
    <n v="39262.879203922879"/>
  </r>
  <r>
    <x v="242"/>
    <x v="4"/>
    <x v="71"/>
    <x v="0"/>
    <x v="5"/>
    <x v="2563"/>
    <x v="25"/>
    <s v="POS"/>
    <n v="0.2608695652173913"/>
    <n v="230"/>
    <n v="60"/>
    <n v="0"/>
    <m/>
    <m/>
    <m/>
    <m/>
    <n v="0"/>
    <n v="0"/>
    <n v="39262.879203922879"/>
  </r>
  <r>
    <x v="242"/>
    <x v="4"/>
    <x v="18"/>
    <x v="0"/>
    <x v="5"/>
    <x v="2564"/>
    <x v="25"/>
    <s v="POS"/>
    <n v="1"/>
    <n v="240"/>
    <n v="240"/>
    <n v="0"/>
    <m/>
    <m/>
    <m/>
    <m/>
    <n v="0"/>
    <n v="0"/>
    <n v="39262.879203922879"/>
  </r>
  <r>
    <x v="242"/>
    <x v="4"/>
    <x v="58"/>
    <x v="0"/>
    <x v="5"/>
    <x v="2564"/>
    <x v="25"/>
    <s v="POS"/>
    <n v="1"/>
    <n v="240"/>
    <n v="240"/>
    <n v="0"/>
    <m/>
    <m/>
    <m/>
    <m/>
    <n v="0"/>
    <n v="0"/>
    <n v="39262.879203922879"/>
  </r>
  <r>
    <x v="242"/>
    <x v="4"/>
    <x v="185"/>
    <x v="0"/>
    <x v="5"/>
    <x v="2564"/>
    <x v="25"/>
    <s v="POS"/>
    <n v="1"/>
    <n v="190"/>
    <n v="190"/>
    <n v="0"/>
    <m/>
    <m/>
    <m/>
    <m/>
    <n v="0"/>
    <n v="0"/>
    <n v="39262.879203922879"/>
  </r>
  <r>
    <x v="242"/>
    <x v="4"/>
    <x v="270"/>
    <x v="0"/>
    <x v="5"/>
    <x v="2564"/>
    <x v="25"/>
    <s v="POS"/>
    <n v="1"/>
    <n v="130"/>
    <n v="130"/>
    <n v="0"/>
    <m/>
    <m/>
    <m/>
    <m/>
    <n v="0"/>
    <n v="0"/>
    <n v="39262.879203922879"/>
  </r>
  <r>
    <x v="242"/>
    <x v="4"/>
    <x v="355"/>
    <x v="0"/>
    <x v="1"/>
    <x v="2565"/>
    <x v="256"/>
    <s v="NAKİT"/>
    <n v="1"/>
    <n v="170"/>
    <n v="0"/>
    <n v="0"/>
    <m/>
    <m/>
    <m/>
    <m/>
    <n v="170"/>
    <n v="0"/>
    <n v="39432.879203922879"/>
  </r>
  <r>
    <x v="242"/>
    <x v="4"/>
    <x v="57"/>
    <x v="0"/>
    <x v="1"/>
    <x v="2565"/>
    <x v="256"/>
    <s v="NAKİT"/>
    <n v="1"/>
    <n v="150"/>
    <n v="0"/>
    <n v="0"/>
    <m/>
    <m/>
    <m/>
    <m/>
    <n v="150"/>
    <n v="0"/>
    <n v="39582.879203922879"/>
  </r>
  <r>
    <x v="242"/>
    <x v="4"/>
    <x v="88"/>
    <x v="0"/>
    <x v="1"/>
    <x v="2566"/>
    <x v="25"/>
    <s v="NAKİT"/>
    <n v="0.05"/>
    <n v="1200"/>
    <n v="0"/>
    <n v="0"/>
    <m/>
    <m/>
    <m/>
    <m/>
    <n v="60"/>
    <n v="0"/>
    <n v="39642.879203922879"/>
  </r>
  <r>
    <x v="242"/>
    <x v="4"/>
    <x v="240"/>
    <x v="0"/>
    <x v="5"/>
    <x v="2567"/>
    <x v="25"/>
    <s v="POS"/>
    <n v="0.3"/>
    <n v="250"/>
    <n v="75"/>
    <n v="0"/>
    <m/>
    <m/>
    <m/>
    <m/>
    <n v="0"/>
    <n v="0"/>
    <n v="39642.879203922879"/>
  </r>
  <r>
    <x v="242"/>
    <x v="4"/>
    <x v="129"/>
    <x v="0"/>
    <x v="5"/>
    <x v="2567"/>
    <x v="25"/>
    <s v="POS"/>
    <n v="0.3"/>
    <n v="250"/>
    <n v="75"/>
    <n v="0"/>
    <m/>
    <m/>
    <m/>
    <m/>
    <n v="0"/>
    <n v="0"/>
    <n v="39642.879203922879"/>
  </r>
  <r>
    <x v="242"/>
    <x v="4"/>
    <x v="61"/>
    <x v="0"/>
    <x v="1"/>
    <x v="2568"/>
    <x v="25"/>
    <s v="NAKİT"/>
    <n v="7.1428571428571425E-2"/>
    <n v="770"/>
    <n v="0"/>
    <n v="0"/>
    <m/>
    <m/>
    <m/>
    <m/>
    <n v="55"/>
    <n v="0"/>
    <n v="39697.879203922879"/>
  </r>
  <r>
    <x v="242"/>
    <x v="4"/>
    <x v="26"/>
    <x v="0"/>
    <x v="1"/>
    <x v="2568"/>
    <x v="25"/>
    <s v="NAKİT"/>
    <n v="7.7777777777777779E-2"/>
    <n v="450"/>
    <n v="0"/>
    <n v="0"/>
    <m/>
    <m/>
    <m/>
    <m/>
    <n v="35"/>
    <n v="0"/>
    <n v="39732.879203922879"/>
  </r>
  <r>
    <x v="242"/>
    <x v="4"/>
    <x v="287"/>
    <x v="0"/>
    <x v="1"/>
    <x v="2569"/>
    <x v="25"/>
    <s v="NAKİT"/>
    <n v="2"/>
    <n v="65"/>
    <n v="0"/>
    <n v="0"/>
    <m/>
    <m/>
    <m/>
    <m/>
    <n v="130"/>
    <n v="0"/>
    <n v="39862.879203922879"/>
  </r>
  <r>
    <x v="242"/>
    <x v="4"/>
    <x v="33"/>
    <x v="0"/>
    <x v="5"/>
    <x v="2570"/>
    <x v="25"/>
    <s v="POS"/>
    <n v="0.24"/>
    <n v="400"/>
    <n v="96"/>
    <n v="0"/>
    <m/>
    <m/>
    <m/>
    <m/>
    <n v="0"/>
    <n v="0"/>
    <n v="39862.879203922879"/>
  </r>
  <r>
    <x v="242"/>
    <x v="4"/>
    <x v="150"/>
    <x v="0"/>
    <x v="5"/>
    <x v="2570"/>
    <x v="25"/>
    <s v="POS"/>
    <n v="1.02"/>
    <n v="250"/>
    <n v="255"/>
    <n v="0"/>
    <m/>
    <m/>
    <m/>
    <m/>
    <n v="0"/>
    <n v="0"/>
    <n v="39862.879203922879"/>
  </r>
  <r>
    <x v="242"/>
    <x v="4"/>
    <x v="129"/>
    <x v="0"/>
    <x v="5"/>
    <x v="2570"/>
    <x v="25"/>
    <s v="POS"/>
    <n v="0.3"/>
    <n v="250"/>
    <n v="75"/>
    <n v="0"/>
    <m/>
    <m/>
    <m/>
    <m/>
    <n v="0"/>
    <n v="0"/>
    <n v="39862.879203922879"/>
  </r>
  <r>
    <x v="242"/>
    <x v="4"/>
    <x v="80"/>
    <x v="0"/>
    <x v="5"/>
    <x v="2570"/>
    <x v="25"/>
    <s v="POS"/>
    <n v="1"/>
    <n v="290"/>
    <n v="290"/>
    <n v="0"/>
    <m/>
    <m/>
    <m/>
    <m/>
    <n v="0"/>
    <n v="0"/>
    <n v="39862.879203922879"/>
  </r>
  <r>
    <x v="242"/>
    <x v="4"/>
    <x v="57"/>
    <x v="0"/>
    <x v="5"/>
    <x v="2570"/>
    <x v="25"/>
    <s v="POS"/>
    <n v="2"/>
    <n v="150"/>
    <n v="300"/>
    <n v="0"/>
    <m/>
    <m/>
    <m/>
    <m/>
    <n v="0"/>
    <n v="0"/>
    <n v="39862.879203922879"/>
  </r>
  <r>
    <x v="242"/>
    <x v="4"/>
    <x v="442"/>
    <x v="0"/>
    <x v="5"/>
    <x v="2570"/>
    <x v="25"/>
    <s v="POS"/>
    <n v="0.1"/>
    <n v="450"/>
    <n v="45"/>
    <n v="0"/>
    <m/>
    <m/>
    <m/>
    <m/>
    <n v="0"/>
    <n v="0"/>
    <n v="39862.879203922879"/>
  </r>
  <r>
    <x v="242"/>
    <x v="4"/>
    <x v="358"/>
    <x v="0"/>
    <x v="5"/>
    <x v="2570"/>
    <x v="25"/>
    <s v="POS"/>
    <n v="1"/>
    <n v="275"/>
    <n v="275"/>
    <n v="0"/>
    <m/>
    <m/>
    <m/>
    <m/>
    <n v="0"/>
    <n v="0"/>
    <n v="39862.879203922879"/>
  </r>
  <r>
    <x v="243"/>
    <x v="4"/>
    <x v="231"/>
    <x v="0"/>
    <x v="1"/>
    <x v="2571"/>
    <x v="25"/>
    <s v="NAKİT"/>
    <n v="0.2"/>
    <n v="250"/>
    <n v="0"/>
    <n v="0"/>
    <m/>
    <m/>
    <m/>
    <m/>
    <n v="50"/>
    <n v="0"/>
    <n v="39912.879203922879"/>
  </r>
  <r>
    <x v="243"/>
    <x v="4"/>
    <x v="239"/>
    <x v="0"/>
    <x v="1"/>
    <x v="2572"/>
    <x v="25"/>
    <s v="NAKİT"/>
    <n v="0.25"/>
    <n v="400"/>
    <n v="0"/>
    <n v="0"/>
    <m/>
    <m/>
    <m/>
    <m/>
    <n v="100"/>
    <n v="0"/>
    <n v="40012.879203922879"/>
  </r>
  <r>
    <x v="243"/>
    <x v="4"/>
    <x v="59"/>
    <x v="0"/>
    <x v="5"/>
    <x v="2573"/>
    <x v="25"/>
    <s v="POS"/>
    <n v="0.21777777777777776"/>
    <n v="450"/>
    <n v="98"/>
    <n v="0"/>
    <m/>
    <m/>
    <m/>
    <m/>
    <n v="0"/>
    <n v="0"/>
    <n v="40012.879203922879"/>
  </r>
  <r>
    <x v="243"/>
    <x v="4"/>
    <x v="104"/>
    <x v="0"/>
    <x v="5"/>
    <x v="2573"/>
    <x v="25"/>
    <s v="POS"/>
    <n v="1"/>
    <n v="200"/>
    <n v="200"/>
    <n v="0"/>
    <m/>
    <m/>
    <m/>
    <m/>
    <n v="0"/>
    <n v="0"/>
    <n v="40012.879203922879"/>
  </r>
  <r>
    <x v="243"/>
    <x v="4"/>
    <x v="435"/>
    <x v="0"/>
    <x v="5"/>
    <x v="2574"/>
    <x v="25"/>
    <s v="POS"/>
    <n v="0.21818181818181817"/>
    <n v="550"/>
    <n v="120"/>
    <n v="0"/>
    <m/>
    <m/>
    <m/>
    <m/>
    <n v="0"/>
    <n v="0"/>
    <n v="40012.879203922879"/>
  </r>
  <r>
    <x v="243"/>
    <x v="4"/>
    <x v="231"/>
    <x v="0"/>
    <x v="5"/>
    <x v="2574"/>
    <x v="25"/>
    <s v="POS"/>
    <n v="0.2"/>
    <n v="375"/>
    <n v="75"/>
    <n v="0"/>
    <m/>
    <m/>
    <m/>
    <m/>
    <n v="0"/>
    <n v="0"/>
    <n v="40012.879203922879"/>
  </r>
  <r>
    <x v="243"/>
    <x v="4"/>
    <x v="328"/>
    <x v="0"/>
    <x v="5"/>
    <x v="2575"/>
    <x v="25"/>
    <s v="POS"/>
    <n v="1"/>
    <n v="250"/>
    <n v="250"/>
    <n v="0"/>
    <m/>
    <m/>
    <m/>
    <m/>
    <n v="0"/>
    <n v="0"/>
    <n v="40012.879203922879"/>
  </r>
  <r>
    <x v="243"/>
    <x v="4"/>
    <x v="186"/>
    <x v="0"/>
    <x v="5"/>
    <x v="2575"/>
    <x v="25"/>
    <s v="POS"/>
    <n v="1"/>
    <n v="190"/>
    <n v="190"/>
    <n v="0"/>
    <m/>
    <m/>
    <m/>
    <m/>
    <n v="0"/>
    <n v="0"/>
    <n v="40012.879203922879"/>
  </r>
  <r>
    <x v="243"/>
    <x v="4"/>
    <x v="142"/>
    <x v="0"/>
    <x v="5"/>
    <x v="2575"/>
    <x v="25"/>
    <s v="POS"/>
    <n v="0.27600000000000002"/>
    <n v="250"/>
    <n v="69"/>
    <n v="0"/>
    <m/>
    <m/>
    <m/>
    <m/>
    <n v="0"/>
    <n v="0"/>
    <n v="40012.879203922879"/>
  </r>
  <r>
    <x v="243"/>
    <x v="4"/>
    <x v="129"/>
    <x v="0"/>
    <x v="5"/>
    <x v="2575"/>
    <x v="25"/>
    <s v="POS"/>
    <n v="0.3"/>
    <n v="250"/>
    <n v="75"/>
    <n v="0"/>
    <m/>
    <m/>
    <m/>
    <m/>
    <n v="0"/>
    <n v="0"/>
    <n v="40012.879203922879"/>
  </r>
  <r>
    <x v="243"/>
    <x v="4"/>
    <x v="112"/>
    <x v="0"/>
    <x v="5"/>
    <x v="2575"/>
    <x v="25"/>
    <s v="POS"/>
    <n v="0.05"/>
    <n v="1800"/>
    <n v="90"/>
    <n v="0"/>
    <m/>
    <m/>
    <m/>
    <m/>
    <n v="0"/>
    <n v="0"/>
    <n v="40012.879203922879"/>
  </r>
  <r>
    <x v="243"/>
    <x v="4"/>
    <x v="115"/>
    <x v="0"/>
    <x v="5"/>
    <x v="2575"/>
    <x v="25"/>
    <s v="POS"/>
    <n v="3.7499999999999999E-2"/>
    <n v="240"/>
    <n v="9"/>
    <n v="0"/>
    <m/>
    <m/>
    <m/>
    <m/>
    <n v="0"/>
    <n v="0"/>
    <n v="40012.879203922879"/>
  </r>
  <r>
    <x v="243"/>
    <x v="4"/>
    <x v="66"/>
    <x v="0"/>
    <x v="1"/>
    <x v="2576"/>
    <x v="25"/>
    <s v="NAKİT"/>
    <n v="0.12"/>
    <n v="417"/>
    <n v="0"/>
    <n v="0"/>
    <m/>
    <m/>
    <m/>
    <m/>
    <n v="50.04"/>
    <n v="0"/>
    <n v="40062.91920392288"/>
  </r>
  <r>
    <x v="244"/>
    <x v="4"/>
    <x v="33"/>
    <x v="0"/>
    <x v="1"/>
    <x v="2577"/>
    <x v="25"/>
    <s v="NAKİT"/>
    <n v="0.192"/>
    <n v="400"/>
    <n v="0"/>
    <n v="0"/>
    <m/>
    <m/>
    <m/>
    <m/>
    <n v="76.8"/>
    <n v="0"/>
    <n v="40139.719203922883"/>
  </r>
  <r>
    <x v="244"/>
    <x v="4"/>
    <x v="161"/>
    <x v="0"/>
    <x v="1"/>
    <x v="2577"/>
    <x v="25"/>
    <s v="NAKİT"/>
    <n v="0.17600000000000002"/>
    <n v="400"/>
    <n v="0"/>
    <n v="0"/>
    <m/>
    <m/>
    <m/>
    <m/>
    <n v="70.400000000000006"/>
    <n v="0"/>
    <n v="40210.119203922884"/>
  </r>
  <r>
    <x v="244"/>
    <x v="4"/>
    <x v="444"/>
    <x v="0"/>
    <x v="5"/>
    <x v="2578"/>
    <x v="25"/>
    <s v="POS"/>
    <n v="1"/>
    <n v="500"/>
    <n v="500"/>
    <n v="0"/>
    <m/>
    <m/>
    <m/>
    <m/>
    <n v="0"/>
    <n v="0"/>
    <n v="40210.119203922884"/>
  </r>
  <r>
    <x v="244"/>
    <x v="4"/>
    <x v="51"/>
    <x v="0"/>
    <x v="5"/>
    <x v="2578"/>
    <x v="25"/>
    <s v="POS"/>
    <n v="0.1"/>
    <n v="400"/>
    <n v="40"/>
    <n v="0"/>
    <m/>
    <m/>
    <m/>
    <m/>
    <n v="0"/>
    <n v="0"/>
    <n v="40210.119203922884"/>
  </r>
  <r>
    <x v="244"/>
    <x v="4"/>
    <x v="142"/>
    <x v="0"/>
    <x v="5"/>
    <x v="2579"/>
    <x v="25"/>
    <s v="POS"/>
    <n v="0.49199999999999999"/>
    <n v="250"/>
    <n v="123"/>
    <n v="0"/>
    <m/>
    <m/>
    <m/>
    <m/>
    <n v="0"/>
    <n v="0"/>
    <n v="40210.119203922884"/>
  </r>
  <r>
    <x v="244"/>
    <x v="4"/>
    <x v="248"/>
    <x v="0"/>
    <x v="5"/>
    <x v="2579"/>
    <x v="25"/>
    <s v="POS"/>
    <n v="0.38"/>
    <n v="650"/>
    <n v="247"/>
    <n v="0"/>
    <m/>
    <m/>
    <m/>
    <m/>
    <n v="0"/>
    <n v="0"/>
    <n v="40210.119203922884"/>
  </r>
  <r>
    <x v="244"/>
    <x v="4"/>
    <x v="57"/>
    <x v="0"/>
    <x v="1"/>
    <x v="2580"/>
    <x v="25"/>
    <s v="NAKİT"/>
    <n v="2"/>
    <n v="150"/>
    <n v="0"/>
    <n v="0"/>
    <m/>
    <m/>
    <m/>
    <m/>
    <n v="300"/>
    <n v="0"/>
    <n v="40510.119203922884"/>
  </r>
  <r>
    <x v="244"/>
    <x v="4"/>
    <x v="18"/>
    <x v="0"/>
    <x v="1"/>
    <x v="2581"/>
    <x v="25"/>
    <s v="NAKİT"/>
    <n v="4"/>
    <n v="250"/>
    <n v="0"/>
    <n v="0"/>
    <m/>
    <m/>
    <m/>
    <m/>
    <n v="1000"/>
    <n v="0"/>
    <n v="41510.119203922884"/>
  </r>
  <r>
    <x v="244"/>
    <x v="4"/>
    <x v="56"/>
    <x v="0"/>
    <x v="1"/>
    <x v="2581"/>
    <x v="25"/>
    <s v="NAKİT"/>
    <n v="2"/>
    <n v="200"/>
    <n v="0"/>
    <n v="0"/>
    <m/>
    <m/>
    <m/>
    <m/>
    <n v="400"/>
    <n v="0"/>
    <n v="41910.119203922884"/>
  </r>
  <r>
    <x v="244"/>
    <x v="4"/>
    <x v="143"/>
    <x v="0"/>
    <x v="1"/>
    <x v="2581"/>
    <x v="25"/>
    <s v="NAKİT"/>
    <n v="1"/>
    <n v="190"/>
    <n v="0"/>
    <n v="0"/>
    <m/>
    <m/>
    <m/>
    <m/>
    <n v="190"/>
    <n v="0"/>
    <n v="42100.119203922884"/>
  </r>
  <r>
    <x v="245"/>
    <x v="3"/>
    <x v="348"/>
    <x v="0"/>
    <x v="4"/>
    <x v="2582"/>
    <x v="32"/>
    <s v="CARİ"/>
    <n v="10"/>
    <n v="38"/>
    <n v="0"/>
    <n v="380"/>
    <m/>
    <m/>
    <m/>
    <m/>
    <n v="0"/>
    <n v="0"/>
    <n v="42100.119203922884"/>
  </r>
  <r>
    <x v="245"/>
    <x v="3"/>
    <x v="93"/>
    <x v="0"/>
    <x v="4"/>
    <x v="2582"/>
    <x v="32"/>
    <s v="CARİ"/>
    <n v="6"/>
    <n v="240"/>
    <n v="0"/>
    <n v="1440"/>
    <m/>
    <m/>
    <m/>
    <m/>
    <n v="0"/>
    <n v="0"/>
    <n v="42100.119203922884"/>
  </r>
  <r>
    <x v="245"/>
    <x v="3"/>
    <x v="386"/>
    <x v="0"/>
    <x v="4"/>
    <x v="2582"/>
    <x v="32"/>
    <s v="CARİ"/>
    <n v="60"/>
    <n v="18"/>
    <n v="0"/>
    <n v="1080"/>
    <m/>
    <m/>
    <m/>
    <m/>
    <n v="0"/>
    <n v="0"/>
    <n v="42100.119203922884"/>
  </r>
  <r>
    <x v="245"/>
    <x v="3"/>
    <x v="454"/>
    <x v="0"/>
    <x v="4"/>
    <x v="2582"/>
    <x v="32"/>
    <s v="CARİ"/>
    <n v="6"/>
    <n v="105"/>
    <n v="0"/>
    <n v="630"/>
    <m/>
    <m/>
    <m/>
    <m/>
    <n v="0"/>
    <n v="0"/>
    <n v="42100.119203922884"/>
  </r>
  <r>
    <x v="245"/>
    <x v="3"/>
    <x v="278"/>
    <x v="0"/>
    <x v="4"/>
    <x v="2582"/>
    <x v="32"/>
    <s v="CARİ"/>
    <n v="6"/>
    <n v="190"/>
    <n v="0"/>
    <n v="1140"/>
    <m/>
    <m/>
    <m/>
    <m/>
    <n v="0"/>
    <n v="0"/>
    <n v="42100.119203922884"/>
  </r>
  <r>
    <x v="245"/>
    <x v="3"/>
    <x v="286"/>
    <x v="0"/>
    <x v="4"/>
    <x v="2582"/>
    <x v="32"/>
    <s v="CARİ"/>
    <n v="25"/>
    <n v="44.5"/>
    <n v="0"/>
    <n v="1112.5"/>
    <m/>
    <m/>
    <m/>
    <m/>
    <n v="0"/>
    <n v="0"/>
    <n v="42100.119203922884"/>
  </r>
  <r>
    <x v="245"/>
    <x v="3"/>
    <x v="104"/>
    <x v="0"/>
    <x v="4"/>
    <x v="2582"/>
    <x v="32"/>
    <s v="CARİ"/>
    <n v="6"/>
    <n v="135"/>
    <n v="0"/>
    <n v="810"/>
    <m/>
    <m/>
    <m/>
    <m/>
    <n v="0"/>
    <n v="0"/>
    <n v="42100.119203922884"/>
  </r>
  <r>
    <x v="245"/>
    <x v="3"/>
    <x v="106"/>
    <x v="0"/>
    <x v="4"/>
    <x v="2582"/>
    <x v="32"/>
    <s v="CARİ"/>
    <n v="6"/>
    <n v="135"/>
    <n v="0"/>
    <n v="810"/>
    <m/>
    <m/>
    <m/>
    <m/>
    <n v="0"/>
    <n v="0"/>
    <n v="42100.119203922884"/>
  </r>
  <r>
    <x v="245"/>
    <x v="3"/>
    <x v="159"/>
    <x v="0"/>
    <x v="4"/>
    <x v="2582"/>
    <x v="32"/>
    <s v="CARİ"/>
    <n v="12"/>
    <n v="60"/>
    <n v="0"/>
    <n v="720"/>
    <m/>
    <m/>
    <m/>
    <m/>
    <n v="0"/>
    <n v="0"/>
    <n v="42100.119203922884"/>
  </r>
  <r>
    <x v="245"/>
    <x v="3"/>
    <x v="160"/>
    <x v="0"/>
    <x v="4"/>
    <x v="2582"/>
    <x v="32"/>
    <s v="CARİ"/>
    <n v="12"/>
    <n v="70"/>
    <n v="0"/>
    <n v="840"/>
    <m/>
    <m/>
    <m/>
    <m/>
    <n v="0"/>
    <n v="0"/>
    <n v="42100.119203922884"/>
  </r>
  <r>
    <x v="245"/>
    <x v="4"/>
    <x v="279"/>
    <x v="0"/>
    <x v="5"/>
    <x v="2583"/>
    <x v="25"/>
    <s v="POS"/>
    <n v="1"/>
    <n v="130"/>
    <n v="130"/>
    <n v="0"/>
    <m/>
    <m/>
    <m/>
    <m/>
    <n v="0"/>
    <n v="0"/>
    <n v="42100.119203922884"/>
  </r>
  <r>
    <x v="245"/>
    <x v="4"/>
    <x v="18"/>
    <x v="0"/>
    <x v="5"/>
    <x v="2584"/>
    <x v="25"/>
    <s v="POS"/>
    <n v="1"/>
    <n v="250"/>
    <n v="250"/>
    <n v="0"/>
    <m/>
    <m/>
    <m/>
    <m/>
    <n v="0"/>
    <n v="0"/>
    <n v="42100.119203922884"/>
  </r>
  <r>
    <x v="245"/>
    <x v="4"/>
    <x v="58"/>
    <x v="0"/>
    <x v="5"/>
    <x v="2584"/>
    <x v="25"/>
    <s v="POS"/>
    <n v="1"/>
    <n v="250"/>
    <n v="250"/>
    <n v="0"/>
    <m/>
    <m/>
    <m/>
    <m/>
    <n v="0"/>
    <n v="0"/>
    <n v="42100.119203922884"/>
  </r>
  <r>
    <x v="245"/>
    <x v="4"/>
    <x v="49"/>
    <x v="0"/>
    <x v="5"/>
    <x v="2584"/>
    <x v="25"/>
    <s v="POS"/>
    <n v="0.15"/>
    <n v="600"/>
    <n v="90"/>
    <n v="0"/>
    <m/>
    <m/>
    <m/>
    <m/>
    <n v="0"/>
    <n v="0"/>
    <n v="42100.119203922884"/>
  </r>
  <r>
    <x v="245"/>
    <x v="4"/>
    <x v="360"/>
    <x v="0"/>
    <x v="1"/>
    <x v="2585"/>
    <x v="25"/>
    <s v="NAKİT"/>
    <n v="0.5"/>
    <n v="700"/>
    <n v="0"/>
    <n v="0"/>
    <m/>
    <m/>
    <m/>
    <m/>
    <n v="350"/>
    <n v="0"/>
    <n v="42450.119203922884"/>
  </r>
  <r>
    <x v="245"/>
    <x v="4"/>
    <x v="157"/>
    <x v="0"/>
    <x v="1"/>
    <x v="2586"/>
    <x v="25"/>
    <s v="NAKİT"/>
    <n v="0.05"/>
    <n v="140"/>
    <n v="0"/>
    <n v="0"/>
    <m/>
    <m/>
    <m/>
    <m/>
    <n v="7"/>
    <n v="0"/>
    <n v="42457.119203922884"/>
  </r>
  <r>
    <x v="245"/>
    <x v="4"/>
    <x v="23"/>
    <x v="0"/>
    <x v="5"/>
    <x v="2587"/>
    <x v="25"/>
    <s v="POS"/>
    <n v="0.16799999999999998"/>
    <n v="300"/>
    <n v="50.399999999999991"/>
    <n v="0"/>
    <m/>
    <m/>
    <m/>
    <m/>
    <n v="0"/>
    <n v="0"/>
    <n v="42457.119203922884"/>
  </r>
  <r>
    <x v="245"/>
    <x v="4"/>
    <x v="22"/>
    <x v="0"/>
    <x v="5"/>
    <x v="2587"/>
    <x v="25"/>
    <s v="POS"/>
    <n v="0.17199999999999999"/>
    <n v="400"/>
    <n v="68.8"/>
    <n v="0"/>
    <m/>
    <m/>
    <m/>
    <m/>
    <n v="0"/>
    <n v="0"/>
    <n v="42457.119203922884"/>
  </r>
  <r>
    <x v="245"/>
    <x v="4"/>
    <x v="155"/>
    <x v="0"/>
    <x v="5"/>
    <x v="2587"/>
    <x v="25"/>
    <s v="POS"/>
    <n v="0.2"/>
    <n v="700"/>
    <n v="140"/>
    <n v="0"/>
    <m/>
    <m/>
    <m/>
    <m/>
    <n v="0"/>
    <n v="0"/>
    <n v="42457.119203922884"/>
  </r>
  <r>
    <x v="245"/>
    <x v="4"/>
    <x v="27"/>
    <x v="0"/>
    <x v="1"/>
    <x v="2588"/>
    <x v="113"/>
    <s v="NAKİT"/>
    <n v="0.1"/>
    <n v="400"/>
    <n v="0"/>
    <n v="0"/>
    <m/>
    <m/>
    <m/>
    <m/>
    <n v="40"/>
    <n v="0"/>
    <n v="42497.119203922884"/>
  </r>
  <r>
    <x v="245"/>
    <x v="4"/>
    <x v="25"/>
    <x v="0"/>
    <x v="1"/>
    <x v="2588"/>
    <x v="113"/>
    <s v="NAKİT"/>
    <n v="0.1"/>
    <n v="400"/>
    <n v="0"/>
    <n v="0"/>
    <m/>
    <m/>
    <m/>
    <m/>
    <n v="40"/>
    <n v="0"/>
    <n v="42537.119203922884"/>
  </r>
  <r>
    <x v="245"/>
    <x v="4"/>
    <x v="182"/>
    <x v="0"/>
    <x v="1"/>
    <x v="2588"/>
    <x v="113"/>
    <s v="NAKİT"/>
    <n v="1"/>
    <n v="220"/>
    <n v="0"/>
    <n v="0"/>
    <m/>
    <m/>
    <m/>
    <m/>
    <n v="220"/>
    <n v="0"/>
    <n v="42757.119203922884"/>
  </r>
  <r>
    <x v="245"/>
    <x v="4"/>
    <x v="386"/>
    <x v="0"/>
    <x v="5"/>
    <x v="2589"/>
    <x v="25"/>
    <s v="POS"/>
    <n v="2"/>
    <n v="30"/>
    <n v="60"/>
    <n v="0"/>
    <m/>
    <m/>
    <m/>
    <m/>
    <n v="0"/>
    <n v="0"/>
    <n v="42757.119203922884"/>
  </r>
  <r>
    <x v="246"/>
    <x v="4"/>
    <x v="55"/>
    <x v="0"/>
    <x v="5"/>
    <x v="2590"/>
    <x v="25"/>
    <s v="POS"/>
    <n v="0.5"/>
    <n v="200"/>
    <n v="100"/>
    <n v="0"/>
    <m/>
    <m/>
    <m/>
    <m/>
    <n v="0"/>
    <n v="0"/>
    <n v="42757.119203922884"/>
  </r>
  <r>
    <x v="246"/>
    <x v="4"/>
    <x v="57"/>
    <x v="0"/>
    <x v="5"/>
    <x v="2590"/>
    <x v="25"/>
    <s v="POS"/>
    <n v="0.5"/>
    <n v="150"/>
    <n v="75"/>
    <n v="0"/>
    <m/>
    <m/>
    <m/>
    <m/>
    <n v="0"/>
    <n v="0"/>
    <n v="42757.119203922884"/>
  </r>
  <r>
    <x v="246"/>
    <x v="4"/>
    <x v="286"/>
    <x v="0"/>
    <x v="5"/>
    <x v="2590"/>
    <x v="25"/>
    <s v="POS"/>
    <n v="1.3859999999999999"/>
    <n v="63"/>
    <n v="87.317999999999998"/>
    <n v="0"/>
    <m/>
    <m/>
    <m/>
    <m/>
    <n v="0"/>
    <n v="0"/>
    <n v="42757.119203922884"/>
  </r>
  <r>
    <x v="246"/>
    <x v="4"/>
    <x v="33"/>
    <x v="0"/>
    <x v="5"/>
    <x v="2590"/>
    <x v="25"/>
    <s v="POS"/>
    <n v="0.17"/>
    <n v="400"/>
    <n v="68"/>
    <n v="0"/>
    <m/>
    <m/>
    <m/>
    <m/>
    <n v="0"/>
    <n v="0"/>
    <n v="42757.119203922884"/>
  </r>
  <r>
    <x v="246"/>
    <x v="4"/>
    <x v="67"/>
    <x v="0"/>
    <x v="5"/>
    <x v="2591"/>
    <x v="25"/>
    <s v="POS"/>
    <n v="0.1"/>
    <n v="900"/>
    <n v="90"/>
    <n v="0"/>
    <m/>
    <m/>
    <m/>
    <m/>
    <n v="0"/>
    <n v="0"/>
    <n v="42757.119203922884"/>
  </r>
  <r>
    <x v="246"/>
    <x v="4"/>
    <x v="14"/>
    <x v="0"/>
    <x v="5"/>
    <x v="2591"/>
    <x v="25"/>
    <s v="POS"/>
    <n v="0.5"/>
    <n v="300"/>
    <n v="150"/>
    <n v="0"/>
    <m/>
    <m/>
    <m/>
    <m/>
    <n v="0"/>
    <n v="0"/>
    <n v="42757.119203922884"/>
  </r>
  <r>
    <x v="246"/>
    <x v="4"/>
    <x v="24"/>
    <x v="0"/>
    <x v="1"/>
    <x v="2592"/>
    <x v="25"/>
    <s v="NAKİT"/>
    <n v="0.15384615384615385"/>
    <n v="650"/>
    <n v="0"/>
    <n v="0"/>
    <m/>
    <m/>
    <m/>
    <m/>
    <n v="100"/>
    <n v="0"/>
    <n v="42857.119203922884"/>
  </r>
  <r>
    <x v="246"/>
    <x v="4"/>
    <x v="70"/>
    <x v="0"/>
    <x v="5"/>
    <x v="2592"/>
    <x v="25"/>
    <s v="POS"/>
    <n v="0.43478260869565216"/>
    <n v="230"/>
    <n v="100"/>
    <n v="0"/>
    <m/>
    <m/>
    <m/>
    <m/>
    <n v="0"/>
    <n v="0"/>
    <n v="42857.119203922884"/>
  </r>
  <r>
    <x v="246"/>
    <x v="4"/>
    <x v="150"/>
    <x v="0"/>
    <x v="1"/>
    <x v="2593"/>
    <x v="25"/>
    <s v="NAKİT"/>
    <n v="0.8"/>
    <n v="250"/>
    <n v="0"/>
    <n v="0"/>
    <m/>
    <m/>
    <m/>
    <m/>
    <n v="200"/>
    <n v="0"/>
    <n v="43057.119203922884"/>
  </r>
  <r>
    <x v="246"/>
    <x v="7"/>
    <x v="0"/>
    <x v="0"/>
    <x v="2"/>
    <x v="2"/>
    <x v="257"/>
    <s v="NAKİT"/>
    <n v="1"/>
    <n v="1255.18"/>
    <n v="1255.18"/>
    <n v="0"/>
    <m/>
    <m/>
    <m/>
    <m/>
    <n v="0"/>
    <n v="1255.18"/>
    <n v="41801.939203922884"/>
  </r>
  <r>
    <x v="247"/>
    <x v="4"/>
    <x v="31"/>
    <x v="0"/>
    <x v="5"/>
    <x v="2594"/>
    <x v="258"/>
    <s v="POS"/>
    <n v="2"/>
    <n v="260"/>
    <n v="520"/>
    <n v="0"/>
    <m/>
    <m/>
    <m/>
    <m/>
    <n v="0"/>
    <n v="0"/>
    <n v="41801.939203922884"/>
  </r>
  <r>
    <x v="247"/>
    <x v="4"/>
    <x v="33"/>
    <x v="0"/>
    <x v="5"/>
    <x v="2594"/>
    <x v="258"/>
    <s v="POS"/>
    <n v="1"/>
    <n v="250"/>
    <n v="250"/>
    <n v="0"/>
    <m/>
    <m/>
    <m/>
    <m/>
    <n v="0"/>
    <n v="0"/>
    <n v="41801.939203922884"/>
  </r>
  <r>
    <x v="247"/>
    <x v="4"/>
    <x v="161"/>
    <x v="0"/>
    <x v="5"/>
    <x v="2594"/>
    <x v="258"/>
    <s v="POS"/>
    <n v="2"/>
    <n v="265"/>
    <n v="530"/>
    <n v="0"/>
    <m/>
    <m/>
    <m/>
    <m/>
    <n v="0"/>
    <n v="0"/>
    <n v="41801.939203922884"/>
  </r>
  <r>
    <x v="247"/>
    <x v="4"/>
    <x v="271"/>
    <x v="0"/>
    <x v="5"/>
    <x v="2595"/>
    <x v="25"/>
    <s v="POS"/>
    <n v="1"/>
    <n v="125"/>
    <n v="125"/>
    <n v="0"/>
    <m/>
    <m/>
    <m/>
    <m/>
    <n v="0"/>
    <n v="0"/>
    <n v="41801.939203922884"/>
  </r>
  <r>
    <x v="247"/>
    <x v="4"/>
    <x v="347"/>
    <x v="0"/>
    <x v="1"/>
    <x v="2596"/>
    <x v="25"/>
    <s v="NAKİT"/>
    <n v="0.8571428571428571"/>
    <n v="700"/>
    <n v="0"/>
    <n v="0"/>
    <m/>
    <m/>
    <m/>
    <m/>
    <n v="600"/>
    <n v="0"/>
    <n v="42401.939203922884"/>
  </r>
  <r>
    <x v="247"/>
    <x v="4"/>
    <x v="57"/>
    <x v="0"/>
    <x v="5"/>
    <x v="2597"/>
    <x v="25"/>
    <s v="POS"/>
    <n v="1"/>
    <n v="150"/>
    <n v="150"/>
    <n v="0"/>
    <m/>
    <m/>
    <m/>
    <m/>
    <n v="0"/>
    <n v="0"/>
    <n v="42401.939203922884"/>
  </r>
  <r>
    <x v="247"/>
    <x v="4"/>
    <x v="150"/>
    <x v="0"/>
    <x v="5"/>
    <x v="2597"/>
    <x v="25"/>
    <s v="POS"/>
    <n v="0.6"/>
    <n v="250"/>
    <n v="150"/>
    <n v="0"/>
    <m/>
    <m/>
    <m/>
    <m/>
    <n v="0"/>
    <n v="0"/>
    <n v="42401.939203922884"/>
  </r>
  <r>
    <x v="247"/>
    <x v="4"/>
    <x v="150"/>
    <x v="0"/>
    <x v="1"/>
    <x v="2598"/>
    <x v="25"/>
    <s v="NAKİT"/>
    <n v="1.0869565217391304"/>
    <n v="230"/>
    <n v="0"/>
    <n v="0"/>
    <m/>
    <m/>
    <m/>
    <m/>
    <n v="250"/>
    <n v="0"/>
    <n v="42651.939203922884"/>
  </r>
  <r>
    <x v="247"/>
    <x v="4"/>
    <x v="27"/>
    <x v="0"/>
    <x v="1"/>
    <x v="2598"/>
    <x v="25"/>
    <s v="NAKİT"/>
    <n v="7.4999999999999997E-2"/>
    <n v="400"/>
    <n v="0"/>
    <n v="0"/>
    <m/>
    <m/>
    <m/>
    <m/>
    <n v="30"/>
    <n v="0"/>
    <n v="42681.939203922884"/>
  </r>
  <r>
    <x v="247"/>
    <x v="4"/>
    <x v="70"/>
    <x v="0"/>
    <x v="1"/>
    <x v="2598"/>
    <x v="25"/>
    <s v="NAKİT"/>
    <n v="0.52173913043478259"/>
    <n v="230"/>
    <n v="0"/>
    <n v="0"/>
    <m/>
    <m/>
    <m/>
    <m/>
    <n v="120"/>
    <n v="0"/>
    <n v="42801.939203922884"/>
  </r>
  <r>
    <x v="247"/>
    <x v="4"/>
    <x v="210"/>
    <x v="0"/>
    <x v="1"/>
    <x v="2599"/>
    <x v="25"/>
    <s v="NAKİT"/>
    <n v="1"/>
    <n v="50"/>
    <n v="0"/>
    <n v="0"/>
    <m/>
    <m/>
    <m/>
    <m/>
    <n v="50"/>
    <n v="0"/>
    <n v="42851.939203922884"/>
  </r>
  <r>
    <x v="247"/>
    <x v="4"/>
    <x v="132"/>
    <x v="0"/>
    <x v="1"/>
    <x v="2600"/>
    <x v="25"/>
    <s v="NAKİT"/>
    <n v="1"/>
    <n v="220"/>
    <n v="0"/>
    <n v="0"/>
    <m/>
    <m/>
    <m/>
    <m/>
    <n v="220"/>
    <n v="0"/>
    <n v="43071.939203922884"/>
  </r>
  <r>
    <x v="247"/>
    <x v="4"/>
    <x v="328"/>
    <x v="0"/>
    <x v="1"/>
    <x v="2601"/>
    <x v="25"/>
    <s v="NAKİT"/>
    <n v="1"/>
    <n v="250"/>
    <n v="0"/>
    <n v="0"/>
    <m/>
    <m/>
    <m/>
    <m/>
    <n v="250"/>
    <n v="0"/>
    <n v="43321.939203922884"/>
  </r>
  <r>
    <x v="247"/>
    <x v="4"/>
    <x v="154"/>
    <x v="0"/>
    <x v="1"/>
    <x v="2601"/>
    <x v="25"/>
    <s v="NAKİT"/>
    <n v="1"/>
    <n v="180"/>
    <n v="0"/>
    <n v="0"/>
    <m/>
    <m/>
    <m/>
    <m/>
    <n v="180"/>
    <n v="0"/>
    <n v="43501.939203922884"/>
  </r>
  <r>
    <x v="247"/>
    <x v="4"/>
    <x v="236"/>
    <x v="0"/>
    <x v="5"/>
    <x v="2602"/>
    <x v="25"/>
    <s v="POS"/>
    <n v="1"/>
    <n v="214"/>
    <n v="214"/>
    <n v="0"/>
    <m/>
    <m/>
    <m/>
    <m/>
    <n v="0"/>
    <n v="0"/>
    <n v="43501.939203922884"/>
  </r>
  <r>
    <x v="247"/>
    <x v="4"/>
    <x v="133"/>
    <x v="0"/>
    <x v="5"/>
    <x v="2602"/>
    <x v="25"/>
    <s v="POS"/>
    <n v="1"/>
    <n v="220"/>
    <n v="220"/>
    <n v="0"/>
    <m/>
    <m/>
    <m/>
    <m/>
    <n v="0"/>
    <n v="0"/>
    <n v="43501.939203922884"/>
  </r>
  <r>
    <x v="247"/>
    <x v="4"/>
    <x v="113"/>
    <x v="0"/>
    <x v="5"/>
    <x v="2602"/>
    <x v="25"/>
    <s v="POS"/>
    <n v="0.1"/>
    <n v="1300"/>
    <n v="130"/>
    <n v="0"/>
    <m/>
    <m/>
    <m/>
    <m/>
    <n v="0"/>
    <n v="0"/>
    <n v="43501.939203922884"/>
  </r>
  <r>
    <x v="247"/>
    <x v="4"/>
    <x v="67"/>
    <x v="0"/>
    <x v="5"/>
    <x v="2602"/>
    <x v="25"/>
    <s v="POS"/>
    <n v="0.04"/>
    <n v="900"/>
    <n v="36"/>
    <n v="0"/>
    <m/>
    <m/>
    <m/>
    <m/>
    <n v="0"/>
    <n v="0"/>
    <n v="43501.939203922884"/>
  </r>
  <r>
    <x v="247"/>
    <x v="4"/>
    <x v="96"/>
    <x v="0"/>
    <x v="1"/>
    <x v="2603"/>
    <x v="25"/>
    <s v="NAKİT"/>
    <n v="3.4615384615384617E-2"/>
    <n v="1300"/>
    <n v="0"/>
    <n v="0"/>
    <m/>
    <m/>
    <m/>
    <m/>
    <n v="45"/>
    <n v="0"/>
    <n v="43546.939203922884"/>
  </r>
  <r>
    <x v="247"/>
    <x v="4"/>
    <x v="196"/>
    <x v="0"/>
    <x v="5"/>
    <x v="2604"/>
    <x v="25"/>
    <s v="POS"/>
    <n v="1"/>
    <n v="350"/>
    <n v="350"/>
    <n v="0"/>
    <m/>
    <m/>
    <m/>
    <m/>
    <n v="0"/>
    <n v="0"/>
    <n v="43546.939203922884"/>
  </r>
  <r>
    <x v="247"/>
    <x v="4"/>
    <x v="206"/>
    <x v="0"/>
    <x v="5"/>
    <x v="2604"/>
    <x v="25"/>
    <s v="POS"/>
    <n v="1"/>
    <n v="350"/>
    <n v="350"/>
    <n v="0"/>
    <m/>
    <m/>
    <m/>
    <m/>
    <n v="0"/>
    <n v="0"/>
    <n v="43546.939203922884"/>
  </r>
  <r>
    <x v="247"/>
    <x v="4"/>
    <x v="370"/>
    <x v="0"/>
    <x v="1"/>
    <x v="2"/>
    <x v="259"/>
    <s v="NAKİT"/>
    <n v="0.86199999999999999"/>
    <n v="280"/>
    <m/>
    <n v="0"/>
    <m/>
    <m/>
    <m/>
    <m/>
    <n v="241.36"/>
    <m/>
    <n v="43788.299203922885"/>
  </r>
  <r>
    <x v="247"/>
    <x v="1"/>
    <x v="0"/>
    <x v="18"/>
    <x v="1"/>
    <x v="2"/>
    <x v="259"/>
    <s v="NAKİT"/>
    <n v="0.86199999999999999"/>
    <n v="280"/>
    <n v="0"/>
    <n v="0"/>
    <m/>
    <m/>
    <m/>
    <m/>
    <n v="0"/>
    <n v="241.35999999999999"/>
    <n v="43546.939203922884"/>
  </r>
  <r>
    <x v="248"/>
    <x v="4"/>
    <x v="18"/>
    <x v="0"/>
    <x v="1"/>
    <x v="2605"/>
    <x v="228"/>
    <s v="NAKİT"/>
    <n v="4"/>
    <n v="200"/>
    <n v="0"/>
    <n v="0"/>
    <m/>
    <m/>
    <m/>
    <m/>
    <n v="800"/>
    <n v="0"/>
    <n v="44346.939203922884"/>
  </r>
  <r>
    <x v="248"/>
    <x v="4"/>
    <x v="297"/>
    <x v="0"/>
    <x v="1"/>
    <x v="2606"/>
    <x v="25"/>
    <s v="NAKİT"/>
    <n v="1"/>
    <n v="130"/>
    <n v="0"/>
    <n v="0"/>
    <m/>
    <m/>
    <m/>
    <m/>
    <n v="130"/>
    <n v="0"/>
    <n v="44476.939203922884"/>
  </r>
  <r>
    <x v="248"/>
    <x v="4"/>
    <x v="57"/>
    <x v="0"/>
    <x v="5"/>
    <x v="2607"/>
    <x v="25"/>
    <s v="POS"/>
    <n v="1"/>
    <n v="150"/>
    <n v="150"/>
    <n v="0"/>
    <m/>
    <m/>
    <m/>
    <m/>
    <n v="0"/>
    <n v="0"/>
    <n v="44476.939203922884"/>
  </r>
  <r>
    <x v="248"/>
    <x v="4"/>
    <x v="56"/>
    <x v="0"/>
    <x v="1"/>
    <x v="2608"/>
    <x v="25"/>
    <s v="NAKİT"/>
    <n v="1"/>
    <n v="200"/>
    <n v="0"/>
    <n v="0"/>
    <m/>
    <m/>
    <m/>
    <m/>
    <n v="200"/>
    <n v="0"/>
    <n v="44676.939203922884"/>
  </r>
  <r>
    <x v="248"/>
    <x v="4"/>
    <x v="50"/>
    <x v="0"/>
    <x v="1"/>
    <x v="2609"/>
    <x v="25"/>
    <s v="NAKİT"/>
    <n v="0.1"/>
    <n v="600"/>
    <n v="0"/>
    <n v="0"/>
    <m/>
    <m/>
    <m/>
    <m/>
    <n v="60"/>
    <n v="0"/>
    <n v="44736.939203922884"/>
  </r>
  <r>
    <x v="248"/>
    <x v="4"/>
    <x v="88"/>
    <x v="0"/>
    <x v="1"/>
    <x v="2609"/>
    <x v="25"/>
    <s v="NAKİT"/>
    <n v="0.1"/>
    <n v="600"/>
    <n v="0"/>
    <n v="0"/>
    <m/>
    <m/>
    <m/>
    <m/>
    <n v="60"/>
    <n v="0"/>
    <n v="44796.939203922884"/>
  </r>
  <r>
    <x v="249"/>
    <x v="4"/>
    <x v="33"/>
    <x v="0"/>
    <x v="5"/>
    <x v="2610"/>
    <x v="25"/>
    <s v="POS"/>
    <n v="0.25"/>
    <n v="400"/>
    <n v="100"/>
    <n v="0"/>
    <m/>
    <m/>
    <m/>
    <m/>
    <n v="0"/>
    <n v="0"/>
    <n v="44796.939203922884"/>
  </r>
  <r>
    <x v="249"/>
    <x v="4"/>
    <x v="119"/>
    <x v="0"/>
    <x v="5"/>
    <x v="2610"/>
    <x v="25"/>
    <s v="POS"/>
    <n v="0.23076923076923078"/>
    <n v="650"/>
    <n v="150"/>
    <n v="0"/>
    <m/>
    <m/>
    <m/>
    <m/>
    <n v="0"/>
    <n v="0"/>
    <n v="44796.939203922884"/>
  </r>
  <r>
    <x v="249"/>
    <x v="4"/>
    <x v="149"/>
    <x v="0"/>
    <x v="5"/>
    <x v="2610"/>
    <x v="25"/>
    <s v="POS"/>
    <n v="0.15384615384615385"/>
    <n v="650"/>
    <n v="100"/>
    <n v="0"/>
    <m/>
    <m/>
    <m/>
    <m/>
    <n v="0"/>
    <n v="0"/>
    <n v="44796.939203922884"/>
  </r>
  <r>
    <x v="249"/>
    <x v="4"/>
    <x v="33"/>
    <x v="0"/>
    <x v="5"/>
    <x v="2611"/>
    <x v="25"/>
    <s v="POS"/>
    <n v="0.2525"/>
    <n v="400"/>
    <n v="101"/>
    <n v="0"/>
    <m/>
    <m/>
    <m/>
    <m/>
    <n v="0"/>
    <n v="0"/>
    <n v="44796.939203922884"/>
  </r>
  <r>
    <x v="249"/>
    <x v="4"/>
    <x v="24"/>
    <x v="0"/>
    <x v="5"/>
    <x v="2611"/>
    <x v="25"/>
    <s v="POS"/>
    <n v="0.13384615384615384"/>
    <n v="650"/>
    <n v="87"/>
    <n v="0"/>
    <m/>
    <m/>
    <m/>
    <m/>
    <n v="0"/>
    <n v="0"/>
    <n v="44796.939203922884"/>
  </r>
  <r>
    <x v="249"/>
    <x v="4"/>
    <x v="161"/>
    <x v="0"/>
    <x v="5"/>
    <x v="2611"/>
    <x v="25"/>
    <s v="POS"/>
    <n v="0.22750000000000001"/>
    <n v="400"/>
    <n v="91"/>
    <n v="0"/>
    <m/>
    <m/>
    <m/>
    <m/>
    <n v="0"/>
    <n v="0"/>
    <n v="44796.939203922884"/>
  </r>
  <r>
    <x v="249"/>
    <x v="4"/>
    <x v="26"/>
    <x v="0"/>
    <x v="5"/>
    <x v="2611"/>
    <x v="25"/>
    <s v="POS"/>
    <n v="0.11555555555555555"/>
    <n v="450"/>
    <n v="52"/>
    <n v="0"/>
    <m/>
    <m/>
    <m/>
    <m/>
    <n v="0"/>
    <n v="0"/>
    <n v="44796.939203922884"/>
  </r>
  <r>
    <x v="249"/>
    <x v="4"/>
    <x v="27"/>
    <x v="0"/>
    <x v="5"/>
    <x v="2611"/>
    <x v="25"/>
    <s v="POS"/>
    <n v="5.7500000000000002E-2"/>
    <n v="400"/>
    <n v="23"/>
    <n v="0"/>
    <m/>
    <m/>
    <m/>
    <m/>
    <n v="0"/>
    <n v="0"/>
    <n v="44796.939203922884"/>
  </r>
  <r>
    <x v="249"/>
    <x v="4"/>
    <x v="287"/>
    <x v="0"/>
    <x v="5"/>
    <x v="2611"/>
    <x v="25"/>
    <s v="POS"/>
    <n v="0.63076923076923075"/>
    <n v="65"/>
    <n v="41"/>
    <n v="0"/>
    <m/>
    <m/>
    <m/>
    <m/>
    <n v="0"/>
    <n v="0"/>
    <n v="44796.939203922884"/>
  </r>
  <r>
    <x v="249"/>
    <x v="4"/>
    <x v="179"/>
    <x v="0"/>
    <x v="5"/>
    <x v="2612"/>
    <x v="25"/>
    <s v="POS"/>
    <n v="0.23529411764705882"/>
    <n v="850"/>
    <n v="200"/>
    <n v="0"/>
    <m/>
    <m/>
    <m/>
    <m/>
    <n v="0"/>
    <n v="0"/>
    <n v="44796.939203922884"/>
  </r>
  <r>
    <x v="249"/>
    <x v="4"/>
    <x v="129"/>
    <x v="0"/>
    <x v="5"/>
    <x v="2612"/>
    <x v="25"/>
    <s v="POS"/>
    <n v="0.3"/>
    <n v="250"/>
    <n v="75"/>
    <n v="0"/>
    <m/>
    <m/>
    <m/>
    <m/>
    <n v="0"/>
    <n v="0"/>
    <n v="44796.939203922884"/>
  </r>
  <r>
    <x v="249"/>
    <x v="4"/>
    <x v="286"/>
    <x v="0"/>
    <x v="1"/>
    <x v="2613"/>
    <x v="25"/>
    <s v="NAKİT"/>
    <n v="1.476923076923077"/>
    <n v="65"/>
    <n v="0"/>
    <n v="0"/>
    <m/>
    <m/>
    <m/>
    <m/>
    <n v="96"/>
    <n v="0"/>
    <n v="44892.939203922884"/>
  </r>
  <r>
    <x v="249"/>
    <x v="4"/>
    <x v="278"/>
    <x v="0"/>
    <x v="1"/>
    <x v="2613"/>
    <x v="25"/>
    <s v="NAKİT"/>
    <n v="1"/>
    <n v="180"/>
    <n v="0"/>
    <n v="0"/>
    <m/>
    <m/>
    <m/>
    <m/>
    <n v="180"/>
    <n v="0"/>
    <n v="45072.939203922884"/>
  </r>
  <r>
    <x v="249"/>
    <x v="4"/>
    <x v="339"/>
    <x v="0"/>
    <x v="1"/>
    <x v="2613"/>
    <x v="25"/>
    <s v="NAKİT"/>
    <n v="1"/>
    <n v="135"/>
    <n v="0"/>
    <n v="0"/>
    <m/>
    <m/>
    <m/>
    <m/>
    <n v="135"/>
    <n v="0"/>
    <n v="45207.939203922884"/>
  </r>
  <r>
    <x v="249"/>
    <x v="4"/>
    <x v="231"/>
    <x v="0"/>
    <x v="1"/>
    <x v="2613"/>
    <x v="25"/>
    <s v="NAKİT"/>
    <n v="0.2"/>
    <n v="375"/>
    <n v="0"/>
    <n v="0"/>
    <m/>
    <m/>
    <m/>
    <m/>
    <n v="75"/>
    <n v="0"/>
    <n v="45282.939203922884"/>
  </r>
  <r>
    <x v="249"/>
    <x v="4"/>
    <x v="457"/>
    <x v="0"/>
    <x v="1"/>
    <x v="2613"/>
    <x v="25"/>
    <s v="NAKİT"/>
    <n v="0.34"/>
    <n v="250"/>
    <n v="0"/>
    <n v="0"/>
    <m/>
    <m/>
    <m/>
    <m/>
    <n v="85"/>
    <n v="0"/>
    <n v="45367.939203922884"/>
  </r>
  <r>
    <x v="249"/>
    <x v="4"/>
    <x v="285"/>
    <x v="0"/>
    <x v="1"/>
    <x v="2614"/>
    <x v="25"/>
    <s v="NAKİT"/>
    <n v="0.16875000000000001"/>
    <n v="320"/>
    <n v="0"/>
    <n v="0"/>
    <m/>
    <m/>
    <m/>
    <m/>
    <n v="54"/>
    <n v="0"/>
    <n v="45421.939203922884"/>
  </r>
  <r>
    <x v="249"/>
    <x v="4"/>
    <x v="263"/>
    <x v="0"/>
    <x v="1"/>
    <x v="2615"/>
    <x v="25"/>
    <s v="NAKİT"/>
    <n v="1"/>
    <n v="145"/>
    <n v="0"/>
    <n v="0"/>
    <m/>
    <m/>
    <m/>
    <m/>
    <n v="145"/>
    <n v="0"/>
    <n v="45566.939203922884"/>
  </r>
  <r>
    <x v="249"/>
    <x v="4"/>
    <x v="285"/>
    <x v="0"/>
    <x v="1"/>
    <x v="2616"/>
    <x v="25"/>
    <s v="NAKİT"/>
    <n v="7.1874999999999994E-2"/>
    <n v="320"/>
    <n v="0"/>
    <n v="0"/>
    <m/>
    <m/>
    <m/>
    <m/>
    <n v="23"/>
    <n v="0"/>
    <n v="45589.939203922884"/>
  </r>
  <r>
    <x v="249"/>
    <x v="4"/>
    <x v="57"/>
    <x v="0"/>
    <x v="1"/>
    <x v="2616"/>
    <x v="25"/>
    <s v="NAKİT"/>
    <n v="1"/>
    <n v="150"/>
    <n v="0"/>
    <n v="0"/>
    <m/>
    <m/>
    <m/>
    <m/>
    <n v="150"/>
    <n v="0"/>
    <n v="45739.939203922884"/>
  </r>
  <r>
    <x v="249"/>
    <x v="4"/>
    <x v="150"/>
    <x v="0"/>
    <x v="1"/>
    <x v="2616"/>
    <x v="25"/>
    <s v="NAKİT"/>
    <n v="0.43478260869565216"/>
    <n v="230"/>
    <n v="0"/>
    <n v="0"/>
    <m/>
    <m/>
    <m/>
    <m/>
    <n v="100"/>
    <n v="0"/>
    <n v="45839.939203922884"/>
  </r>
  <r>
    <x v="249"/>
    <x v="4"/>
    <x v="287"/>
    <x v="0"/>
    <x v="1"/>
    <x v="2617"/>
    <x v="25"/>
    <s v="NAKİT"/>
    <n v="1"/>
    <n v="45"/>
    <n v="0"/>
    <n v="0"/>
    <m/>
    <m/>
    <m/>
    <m/>
    <n v="45"/>
    <n v="0"/>
    <n v="45884.939203922884"/>
  </r>
  <r>
    <x v="249"/>
    <x v="4"/>
    <x v="395"/>
    <x v="0"/>
    <x v="1"/>
    <x v="2617"/>
    <x v="25"/>
    <s v="NAKİT"/>
    <n v="1.0307692307692307"/>
    <n v="45"/>
    <n v="0"/>
    <n v="0"/>
    <m/>
    <m/>
    <m/>
    <m/>
    <n v="46.38461538461538"/>
    <n v="0"/>
    <n v="45931.323819307501"/>
  </r>
  <r>
    <x v="250"/>
    <x v="3"/>
    <x v="29"/>
    <x v="0"/>
    <x v="3"/>
    <x v="2618"/>
    <x v="260"/>
    <s v="CARİ"/>
    <n v="10"/>
    <n v="620"/>
    <n v="0"/>
    <n v="6200"/>
    <m/>
    <m/>
    <m/>
    <m/>
    <n v="0"/>
    <n v="0"/>
    <n v="45931.323819307501"/>
  </r>
  <r>
    <x v="250"/>
    <x v="3"/>
    <x v="33"/>
    <x v="0"/>
    <x v="3"/>
    <x v="2618"/>
    <x v="260"/>
    <s v="CARİ"/>
    <n v="25"/>
    <n v="210"/>
    <n v="0"/>
    <n v="5250"/>
    <m/>
    <m/>
    <m/>
    <m/>
    <n v="0"/>
    <n v="0"/>
    <n v="45931.323819307501"/>
  </r>
  <r>
    <x v="250"/>
    <x v="3"/>
    <x v="30"/>
    <x v="0"/>
    <x v="3"/>
    <x v="2618"/>
    <x v="260"/>
    <s v="CARİ"/>
    <n v="20"/>
    <n v="285"/>
    <n v="0"/>
    <n v="5700"/>
    <m/>
    <m/>
    <m/>
    <m/>
    <n v="0"/>
    <n v="0"/>
    <n v="45931.323819307501"/>
  </r>
  <r>
    <x v="250"/>
    <x v="3"/>
    <x v="289"/>
    <x v="0"/>
    <x v="3"/>
    <x v="2618"/>
    <x v="260"/>
    <s v="CARİ"/>
    <n v="10"/>
    <n v="190"/>
    <n v="0"/>
    <n v="1900"/>
    <m/>
    <m/>
    <m/>
    <m/>
    <n v="0"/>
    <n v="0"/>
    <n v="45931.323819307501"/>
  </r>
  <r>
    <x v="250"/>
    <x v="3"/>
    <x v="458"/>
    <x v="0"/>
    <x v="3"/>
    <x v="2618"/>
    <x v="260"/>
    <s v="CARİ"/>
    <n v="10"/>
    <n v="175"/>
    <n v="0"/>
    <n v="1750"/>
    <m/>
    <m/>
    <m/>
    <m/>
    <n v="0"/>
    <n v="0"/>
    <n v="45931.323819307501"/>
  </r>
  <r>
    <x v="250"/>
    <x v="3"/>
    <x v="38"/>
    <x v="0"/>
    <x v="3"/>
    <x v="2618"/>
    <x v="260"/>
    <s v="CARİ"/>
    <n v="20"/>
    <n v="460"/>
    <n v="0"/>
    <n v="9200"/>
    <m/>
    <m/>
    <m/>
    <m/>
    <n v="0"/>
    <n v="0"/>
    <n v="45931.323819307501"/>
  </r>
  <r>
    <x v="250"/>
    <x v="3"/>
    <x v="18"/>
    <x v="0"/>
    <x v="3"/>
    <x v="2618"/>
    <x v="260"/>
    <s v="CARİ"/>
    <n v="40"/>
    <n v="190"/>
    <n v="0"/>
    <n v="7600"/>
    <m/>
    <m/>
    <m/>
    <m/>
    <n v="0"/>
    <n v="0"/>
    <n v="45931.323819307501"/>
  </r>
  <r>
    <x v="250"/>
    <x v="3"/>
    <x v="48"/>
    <x v="0"/>
    <x v="3"/>
    <x v="2618"/>
    <x v="260"/>
    <s v="CARİ"/>
    <n v="1"/>
    <n v="500"/>
    <n v="0"/>
    <n v="500"/>
    <m/>
    <m/>
    <m/>
    <m/>
    <n v="0"/>
    <n v="0"/>
    <n v="45931.323819307501"/>
  </r>
  <r>
    <x v="250"/>
    <x v="3"/>
    <x v="46"/>
    <x v="0"/>
    <x v="3"/>
    <x v="2618"/>
    <x v="260"/>
    <s v="CARİ"/>
    <n v="1"/>
    <n v="650"/>
    <n v="0"/>
    <n v="650"/>
    <m/>
    <m/>
    <m/>
    <m/>
    <n v="0"/>
    <n v="0"/>
    <n v="45931.323819307501"/>
  </r>
  <r>
    <x v="250"/>
    <x v="3"/>
    <x v="113"/>
    <x v="0"/>
    <x v="3"/>
    <x v="2618"/>
    <x v="260"/>
    <s v="CARİ"/>
    <n v="2"/>
    <n v="325"/>
    <n v="0"/>
    <n v="650"/>
    <m/>
    <m/>
    <m/>
    <m/>
    <n v="0"/>
    <n v="0"/>
    <n v="45931.323819307501"/>
  </r>
  <r>
    <x v="250"/>
    <x v="3"/>
    <x v="443"/>
    <x v="0"/>
    <x v="3"/>
    <x v="2618"/>
    <x v="260"/>
    <s v="CARİ"/>
    <n v="2"/>
    <n v="220"/>
    <n v="0"/>
    <n v="440"/>
    <m/>
    <m/>
    <m/>
    <m/>
    <n v="0"/>
    <n v="0"/>
    <n v="45931.323819307501"/>
  </r>
  <r>
    <x v="250"/>
    <x v="4"/>
    <x v="28"/>
    <x v="0"/>
    <x v="1"/>
    <x v="2619"/>
    <x v="25"/>
    <s v="NAKİT"/>
    <n v="0.24"/>
    <n v="500"/>
    <n v="0"/>
    <n v="0"/>
    <m/>
    <m/>
    <m/>
    <m/>
    <n v="120"/>
    <n v="0"/>
    <n v="46051.323819307501"/>
  </r>
  <r>
    <x v="250"/>
    <x v="4"/>
    <x v="33"/>
    <x v="0"/>
    <x v="5"/>
    <x v="2620"/>
    <x v="25"/>
    <s v="POS"/>
    <n v="0.25"/>
    <n v="400"/>
    <n v="100"/>
    <n v="0"/>
    <m/>
    <m/>
    <m/>
    <m/>
    <n v="0"/>
    <n v="0"/>
    <n v="46051.323819307501"/>
  </r>
  <r>
    <x v="250"/>
    <x v="4"/>
    <x v="56"/>
    <x v="0"/>
    <x v="1"/>
    <x v="2621"/>
    <x v="25"/>
    <s v="NAKİT"/>
    <n v="1"/>
    <n v="200"/>
    <n v="0"/>
    <n v="0"/>
    <m/>
    <m/>
    <m/>
    <m/>
    <n v="200"/>
    <n v="0"/>
    <n v="46251.323819307501"/>
  </r>
  <r>
    <x v="250"/>
    <x v="4"/>
    <x v="150"/>
    <x v="0"/>
    <x v="1"/>
    <x v="2621"/>
    <x v="25"/>
    <s v="NAKİT"/>
    <n v="0.57391304347826089"/>
    <n v="230"/>
    <n v="0"/>
    <n v="0"/>
    <m/>
    <m/>
    <m/>
    <m/>
    <n v="132"/>
    <n v="0"/>
    <n v="46383.323819307501"/>
  </r>
  <r>
    <x v="250"/>
    <x v="4"/>
    <x v="360"/>
    <x v="0"/>
    <x v="5"/>
    <x v="2622"/>
    <x v="25"/>
    <s v="POS"/>
    <n v="0.25"/>
    <n v="700"/>
    <n v="175"/>
    <n v="0"/>
    <m/>
    <m/>
    <m/>
    <m/>
    <n v="0"/>
    <n v="0"/>
    <n v="46383.323819307501"/>
  </r>
  <r>
    <x v="250"/>
    <x v="4"/>
    <x v="24"/>
    <x v="0"/>
    <x v="5"/>
    <x v="2622"/>
    <x v="25"/>
    <s v="POS"/>
    <n v="9.3846153846153843E-2"/>
    <n v="650"/>
    <n v="61"/>
    <n v="0"/>
    <m/>
    <m/>
    <m/>
    <m/>
    <n v="0"/>
    <n v="0"/>
    <n v="46383.323819307501"/>
  </r>
  <r>
    <x v="250"/>
    <x v="4"/>
    <x v="27"/>
    <x v="0"/>
    <x v="5"/>
    <x v="2622"/>
    <x v="25"/>
    <s v="POS"/>
    <n v="0.05"/>
    <n v="400"/>
    <n v="20"/>
    <n v="0"/>
    <m/>
    <m/>
    <m/>
    <m/>
    <n v="0"/>
    <n v="0"/>
    <n v="46383.323819307501"/>
  </r>
  <r>
    <x v="250"/>
    <x v="4"/>
    <x v="45"/>
    <x v="0"/>
    <x v="5"/>
    <x v="2622"/>
    <x v="25"/>
    <s v="POS"/>
    <n v="1"/>
    <n v="75"/>
    <n v="75"/>
    <n v="0"/>
    <m/>
    <m/>
    <m/>
    <m/>
    <n v="0"/>
    <n v="0"/>
    <n v="46383.323819307501"/>
  </r>
  <r>
    <x v="250"/>
    <x v="4"/>
    <x v="29"/>
    <x v="0"/>
    <x v="1"/>
    <x v="2623"/>
    <x v="261"/>
    <s v="NAKİT"/>
    <n v="0.14399999999999999"/>
    <n v="700"/>
    <n v="0"/>
    <n v="0"/>
    <m/>
    <m/>
    <m/>
    <m/>
    <n v="100.8"/>
    <n v="0"/>
    <n v="46484.123819307504"/>
  </r>
  <r>
    <x v="250"/>
    <x v="4"/>
    <x v="161"/>
    <x v="0"/>
    <x v="1"/>
    <x v="2623"/>
    <x v="261"/>
    <s v="NAKİT"/>
    <n v="0.434"/>
    <n v="261.5"/>
    <n v="0"/>
    <n v="0"/>
    <m/>
    <m/>
    <m/>
    <m/>
    <n v="113.491"/>
    <n v="0"/>
    <n v="46597.614819307506"/>
  </r>
  <r>
    <x v="250"/>
    <x v="4"/>
    <x v="385"/>
    <x v="0"/>
    <x v="1"/>
    <x v="2623"/>
    <x v="261"/>
    <s v="NAKİT"/>
    <n v="0.23799999999999999"/>
    <n v="350"/>
    <n v="0"/>
    <n v="0"/>
    <m/>
    <m/>
    <m/>
    <m/>
    <n v="83.3"/>
    <n v="0"/>
    <n v="46680.914819307509"/>
  </r>
  <r>
    <x v="250"/>
    <x v="4"/>
    <x v="26"/>
    <x v="0"/>
    <x v="1"/>
    <x v="2623"/>
    <x v="261"/>
    <s v="NAKİT"/>
    <n v="0.13200000000000001"/>
    <n v="250"/>
    <n v="0"/>
    <n v="0"/>
    <m/>
    <m/>
    <m/>
    <m/>
    <n v="33"/>
    <n v="0"/>
    <n v="46713.914819307509"/>
  </r>
  <r>
    <x v="250"/>
    <x v="4"/>
    <x v="40"/>
    <x v="0"/>
    <x v="1"/>
    <x v="2623"/>
    <x v="261"/>
    <s v="NAKİT"/>
    <n v="0.248"/>
    <n v="100"/>
    <n v="0"/>
    <n v="0"/>
    <m/>
    <m/>
    <m/>
    <m/>
    <n v="24.8"/>
    <n v="0"/>
    <n v="46738.714819307512"/>
  </r>
  <r>
    <x v="250"/>
    <x v="4"/>
    <x v="25"/>
    <x v="0"/>
    <x v="1"/>
    <x v="2623"/>
    <x v="261"/>
    <s v="NAKİT"/>
    <n v="0.316"/>
    <n v="300"/>
    <n v="0"/>
    <n v="0"/>
    <m/>
    <m/>
    <m/>
    <m/>
    <n v="94.8"/>
    <n v="0"/>
    <n v="46833.514819307515"/>
  </r>
  <r>
    <x v="251"/>
    <x v="4"/>
    <x v="119"/>
    <x v="0"/>
    <x v="5"/>
    <x v="2624"/>
    <x v="25"/>
    <s v="POS"/>
    <n v="0.23076923076923078"/>
    <n v="650"/>
    <n v="150"/>
    <n v="0"/>
    <m/>
    <m/>
    <m/>
    <m/>
    <n v="0"/>
    <n v="0"/>
    <n v="46833.514819307515"/>
  </r>
  <r>
    <x v="251"/>
    <x v="4"/>
    <x v="18"/>
    <x v="0"/>
    <x v="1"/>
    <x v="2625"/>
    <x v="25"/>
    <s v="NAKİT"/>
    <n v="1"/>
    <n v="200"/>
    <n v="0"/>
    <n v="0"/>
    <m/>
    <m/>
    <m/>
    <m/>
    <n v="200"/>
    <n v="0"/>
    <n v="47033.514819307515"/>
  </r>
  <r>
    <x v="251"/>
    <x v="4"/>
    <x v="263"/>
    <x v="0"/>
    <x v="1"/>
    <x v="2626"/>
    <x v="25"/>
    <s v="NAKİT"/>
    <n v="1"/>
    <n v="145"/>
    <n v="0"/>
    <n v="0"/>
    <m/>
    <m/>
    <m/>
    <m/>
    <n v="145"/>
    <n v="0"/>
    <n v="47178.514819307515"/>
  </r>
  <r>
    <x v="251"/>
    <x v="4"/>
    <x v="56"/>
    <x v="0"/>
    <x v="1"/>
    <x v="2627"/>
    <x v="25"/>
    <s v="NAKİT"/>
    <n v="1"/>
    <n v="200"/>
    <n v="0"/>
    <n v="0"/>
    <m/>
    <m/>
    <m/>
    <m/>
    <n v="200"/>
    <n v="0"/>
    <n v="47378.514819307515"/>
  </r>
  <r>
    <x v="251"/>
    <x v="4"/>
    <x v="41"/>
    <x v="0"/>
    <x v="1"/>
    <x v="2628"/>
    <x v="25"/>
    <s v="NAKİT"/>
    <n v="2"/>
    <n v="100"/>
    <n v="0"/>
    <n v="0"/>
    <m/>
    <m/>
    <m/>
    <m/>
    <n v="200"/>
    <n v="0"/>
    <n v="47578.514819307515"/>
  </r>
  <r>
    <x v="251"/>
    <x v="4"/>
    <x v="88"/>
    <x v="0"/>
    <x v="1"/>
    <x v="2629"/>
    <x v="25"/>
    <s v="NAKİT"/>
    <n v="0.05"/>
    <n v="1000"/>
    <n v="0"/>
    <n v="0"/>
    <m/>
    <m/>
    <m/>
    <m/>
    <n v="50"/>
    <n v="0"/>
    <n v="47628.514819307515"/>
  </r>
  <r>
    <x v="251"/>
    <x v="4"/>
    <x v="142"/>
    <x v="0"/>
    <x v="1"/>
    <x v="2630"/>
    <x v="25"/>
    <s v="NAKİT"/>
    <n v="0.38"/>
    <n v="250"/>
    <n v="0"/>
    <n v="0"/>
    <m/>
    <m/>
    <m/>
    <m/>
    <n v="95"/>
    <n v="0"/>
    <n v="47723.514819307515"/>
  </r>
  <r>
    <x v="251"/>
    <x v="4"/>
    <x v="150"/>
    <x v="0"/>
    <x v="5"/>
    <x v="2631"/>
    <x v="25"/>
    <s v="POS"/>
    <n v="1"/>
    <n v="230"/>
    <n v="230"/>
    <n v="0"/>
    <m/>
    <m/>
    <m/>
    <m/>
    <n v="0"/>
    <n v="0"/>
    <n v="47723.514819307515"/>
  </r>
  <r>
    <x v="251"/>
    <x v="4"/>
    <x v="456"/>
    <x v="0"/>
    <x v="5"/>
    <x v="2631"/>
    <x v="25"/>
    <s v="POS"/>
    <n v="0.34"/>
    <n v="250"/>
    <n v="85"/>
    <n v="0"/>
    <m/>
    <m/>
    <m/>
    <m/>
    <n v="0"/>
    <n v="0"/>
    <n v="47723.514819307515"/>
  </r>
  <r>
    <x v="251"/>
    <x v="4"/>
    <x v="248"/>
    <x v="0"/>
    <x v="5"/>
    <x v="2631"/>
    <x v="25"/>
    <s v="POS"/>
    <n v="0.5"/>
    <n v="650"/>
    <n v="325"/>
    <n v="0"/>
    <m/>
    <m/>
    <m/>
    <m/>
    <n v="0"/>
    <n v="0"/>
    <n v="47723.514819307515"/>
  </r>
  <r>
    <x v="251"/>
    <x v="4"/>
    <x v="113"/>
    <x v="0"/>
    <x v="1"/>
    <x v="2632"/>
    <x v="25"/>
    <s v="NAKİT"/>
    <n v="0.1"/>
    <n v="1350"/>
    <n v="0"/>
    <n v="0"/>
    <m/>
    <m/>
    <m/>
    <m/>
    <n v="135"/>
    <n v="0"/>
    <n v="47858.514819307515"/>
  </r>
  <r>
    <x v="251"/>
    <x v="4"/>
    <x v="454"/>
    <x v="0"/>
    <x v="5"/>
    <x v="2633"/>
    <x v="25"/>
    <s v="POS"/>
    <n v="1"/>
    <n v="200"/>
    <n v="200"/>
    <n v="0"/>
    <m/>
    <m/>
    <m/>
    <m/>
    <n v="0"/>
    <n v="0"/>
    <n v="47858.514819307515"/>
  </r>
  <r>
    <x v="251"/>
    <x v="4"/>
    <x v="266"/>
    <x v="0"/>
    <x v="5"/>
    <x v="2633"/>
    <x v="25"/>
    <s v="POS"/>
    <n v="1"/>
    <n v="145"/>
    <n v="145"/>
    <n v="0"/>
    <m/>
    <m/>
    <m/>
    <m/>
    <n v="0"/>
    <n v="0"/>
    <n v="47858.514819307515"/>
  </r>
  <r>
    <x v="251"/>
    <x v="4"/>
    <x v="364"/>
    <x v="0"/>
    <x v="5"/>
    <x v="2633"/>
    <x v="25"/>
    <s v="POS"/>
    <n v="0.1"/>
    <n v="850"/>
    <n v="85"/>
    <n v="0"/>
    <m/>
    <m/>
    <m/>
    <m/>
    <n v="0"/>
    <n v="0"/>
    <n v="47858.514819307515"/>
  </r>
  <r>
    <x v="251"/>
    <x v="4"/>
    <x v="50"/>
    <x v="0"/>
    <x v="5"/>
    <x v="2633"/>
    <x v="25"/>
    <s v="POS"/>
    <n v="0.08"/>
    <n v="750"/>
    <n v="60"/>
    <n v="0"/>
    <m/>
    <m/>
    <m/>
    <m/>
    <n v="0"/>
    <n v="0"/>
    <n v="47858.514819307515"/>
  </r>
  <r>
    <x v="251"/>
    <x v="4"/>
    <x v="395"/>
    <x v="0"/>
    <x v="1"/>
    <x v="2634"/>
    <x v="113"/>
    <s v="NAKİT"/>
    <n v="3"/>
    <n v="65"/>
    <n v="0"/>
    <n v="0"/>
    <m/>
    <m/>
    <m/>
    <m/>
    <n v="195"/>
    <n v="0"/>
    <n v="48053.514819307515"/>
  </r>
  <r>
    <x v="251"/>
    <x v="4"/>
    <x v="57"/>
    <x v="0"/>
    <x v="1"/>
    <x v="2634"/>
    <x v="113"/>
    <s v="NAKİT"/>
    <n v="2"/>
    <n v="150"/>
    <n v="0"/>
    <n v="0"/>
    <m/>
    <m/>
    <m/>
    <m/>
    <n v="300"/>
    <n v="0"/>
    <n v="48353.514819307515"/>
  </r>
  <r>
    <x v="251"/>
    <x v="4"/>
    <x v="28"/>
    <x v="0"/>
    <x v="1"/>
    <x v="2635"/>
    <x v="114"/>
    <s v="NAKİT"/>
    <n v="0.4"/>
    <n v="500"/>
    <n v="0"/>
    <n v="0"/>
    <m/>
    <m/>
    <m/>
    <m/>
    <n v="200"/>
    <n v="0"/>
    <n v="48553.514819307515"/>
  </r>
  <r>
    <x v="251"/>
    <x v="4"/>
    <x v="28"/>
    <x v="0"/>
    <x v="1"/>
    <x v="2636"/>
    <x v="216"/>
    <s v="NAKİT"/>
    <n v="0.1"/>
    <n v="500"/>
    <n v="0"/>
    <n v="0"/>
    <m/>
    <m/>
    <m/>
    <m/>
    <n v="50"/>
    <n v="0"/>
    <n v="48603.514819307515"/>
  </r>
  <r>
    <x v="251"/>
    <x v="4"/>
    <x v="28"/>
    <x v="0"/>
    <x v="1"/>
    <x v="2637"/>
    <x v="129"/>
    <s v="NAKİT"/>
    <n v="0.78"/>
    <n v="200"/>
    <n v="0"/>
    <n v="0"/>
    <m/>
    <m/>
    <m/>
    <m/>
    <n v="156"/>
    <n v="0"/>
    <n v="48759.514819307515"/>
  </r>
  <r>
    <x v="251"/>
    <x v="4"/>
    <x v="27"/>
    <x v="0"/>
    <x v="1"/>
    <x v="2637"/>
    <x v="129"/>
    <s v="NAKİT"/>
    <n v="0.12"/>
    <n v="125"/>
    <n v="0"/>
    <n v="0"/>
    <m/>
    <m/>
    <m/>
    <m/>
    <n v="15"/>
    <n v="0"/>
    <n v="48774.514819307515"/>
  </r>
  <r>
    <x v="251"/>
    <x v="4"/>
    <x v="31"/>
    <x v="0"/>
    <x v="1"/>
    <x v="2637"/>
    <x v="129"/>
    <s v="NAKİT"/>
    <n v="0.312"/>
    <n v="180"/>
    <n v="0"/>
    <n v="0"/>
    <m/>
    <m/>
    <m/>
    <m/>
    <n v="56.16"/>
    <n v="0"/>
    <n v="48830.674819307518"/>
  </r>
  <r>
    <x v="251"/>
    <x v="4"/>
    <x v="24"/>
    <x v="0"/>
    <x v="1"/>
    <x v="2637"/>
    <x v="129"/>
    <s v="NAKİT"/>
    <n v="0.17399999999999999"/>
    <n v="340"/>
    <n v="0"/>
    <n v="0"/>
    <m/>
    <m/>
    <m/>
    <m/>
    <n v="59.16"/>
    <n v="0"/>
    <n v="48889.834819307522"/>
  </r>
  <r>
    <x v="251"/>
    <x v="4"/>
    <x v="56"/>
    <x v="0"/>
    <x v="1"/>
    <x v="2637"/>
    <x v="129"/>
    <s v="NAKİT"/>
    <n v="1.5"/>
    <n v="100"/>
    <n v="0"/>
    <n v="0"/>
    <m/>
    <m/>
    <m/>
    <m/>
    <n v="150"/>
    <n v="0"/>
    <n v="49039.834819307522"/>
  </r>
  <r>
    <x v="252"/>
    <x v="4"/>
    <x v="18"/>
    <x v="0"/>
    <x v="5"/>
    <x v="2638"/>
    <x v="25"/>
    <s v="POS"/>
    <n v="1"/>
    <n v="225"/>
    <n v="225"/>
    <n v="0"/>
    <m/>
    <m/>
    <m/>
    <m/>
    <n v="0"/>
    <n v="0"/>
    <n v="49039.834819307522"/>
  </r>
  <r>
    <x v="252"/>
    <x v="4"/>
    <x v="58"/>
    <x v="0"/>
    <x v="5"/>
    <x v="2638"/>
    <x v="25"/>
    <s v="POS"/>
    <n v="1"/>
    <n v="225"/>
    <n v="225"/>
    <n v="0"/>
    <m/>
    <m/>
    <m/>
    <m/>
    <n v="0"/>
    <n v="0"/>
    <n v="49039.834819307522"/>
  </r>
  <r>
    <x v="252"/>
    <x v="4"/>
    <x v="386"/>
    <x v="0"/>
    <x v="5"/>
    <x v="2638"/>
    <x v="25"/>
    <s v="POS"/>
    <n v="1"/>
    <n v="30"/>
    <n v="30"/>
    <n v="0"/>
    <m/>
    <m/>
    <m/>
    <m/>
    <n v="0"/>
    <n v="0"/>
    <n v="49039.834819307522"/>
  </r>
  <r>
    <x v="252"/>
    <x v="4"/>
    <x v="25"/>
    <x v="0"/>
    <x v="1"/>
    <x v="2639"/>
    <x v="25"/>
    <s v="NAKİT"/>
    <n v="0.10400000000000001"/>
    <n v="400"/>
    <n v="0"/>
    <n v="0"/>
    <m/>
    <m/>
    <m/>
    <m/>
    <n v="41.6"/>
    <n v="0"/>
    <n v="49081.43481930752"/>
  </r>
  <r>
    <x v="252"/>
    <x v="4"/>
    <x v="27"/>
    <x v="0"/>
    <x v="1"/>
    <x v="2639"/>
    <x v="25"/>
    <s v="NAKİT"/>
    <n v="8.8000000000000009E-2"/>
    <n v="400"/>
    <n v="0"/>
    <n v="0"/>
    <m/>
    <m/>
    <m/>
    <m/>
    <n v="35.200000000000003"/>
    <n v="0"/>
    <n v="49116.634819307517"/>
  </r>
  <r>
    <x v="252"/>
    <x v="4"/>
    <x v="24"/>
    <x v="0"/>
    <x v="1"/>
    <x v="2639"/>
    <x v="25"/>
    <s v="NAKİT"/>
    <n v="0.12399999999999999"/>
    <n v="650"/>
    <n v="0"/>
    <n v="0"/>
    <m/>
    <m/>
    <m/>
    <m/>
    <n v="80.599999999999994"/>
    <n v="0"/>
    <n v="49197.234819307516"/>
  </r>
  <r>
    <x v="252"/>
    <x v="4"/>
    <x v="161"/>
    <x v="0"/>
    <x v="1"/>
    <x v="2639"/>
    <x v="25"/>
    <s v="NAKİT"/>
    <n v="0.126"/>
    <n v="400"/>
    <n v="0"/>
    <n v="0"/>
    <m/>
    <m/>
    <m/>
    <m/>
    <n v="50.4"/>
    <n v="0"/>
    <n v="49247.634819307517"/>
  </r>
  <r>
    <x v="252"/>
    <x v="4"/>
    <x v="33"/>
    <x v="0"/>
    <x v="1"/>
    <x v="2639"/>
    <x v="25"/>
    <s v="NAKİT"/>
    <n v="0.14199999999999999"/>
    <n v="400"/>
    <n v="0"/>
    <n v="0"/>
    <m/>
    <m/>
    <m/>
    <m/>
    <n v="56.8"/>
    <n v="0"/>
    <n v="49304.43481930752"/>
  </r>
  <r>
    <x v="252"/>
    <x v="4"/>
    <x v="159"/>
    <x v="0"/>
    <x v="5"/>
    <x v="2640"/>
    <x v="25"/>
    <s v="POS"/>
    <n v="1"/>
    <n v="100"/>
    <n v="100"/>
    <n v="0"/>
    <m/>
    <m/>
    <m/>
    <m/>
    <n v="0"/>
    <n v="0"/>
    <n v="49304.43481930752"/>
  </r>
  <r>
    <x v="252"/>
    <x v="4"/>
    <x v="158"/>
    <x v="0"/>
    <x v="5"/>
    <x v="2640"/>
    <x v="25"/>
    <s v="POS"/>
    <n v="1"/>
    <n v="15"/>
    <n v="15"/>
    <n v="0"/>
    <m/>
    <m/>
    <m/>
    <m/>
    <n v="0"/>
    <n v="0"/>
    <n v="49304.43481930752"/>
  </r>
  <r>
    <x v="252"/>
    <x v="4"/>
    <x v="400"/>
    <x v="0"/>
    <x v="5"/>
    <x v="2641"/>
    <x v="25"/>
    <s v="POS"/>
    <n v="0.19600000000000001"/>
    <n v="2900"/>
    <n v="568.4"/>
    <n v="0"/>
    <m/>
    <m/>
    <m/>
    <m/>
    <n v="0"/>
    <n v="0"/>
    <n v="49304.43481930752"/>
  </r>
  <r>
    <x v="252"/>
    <x v="4"/>
    <x v="315"/>
    <x v="0"/>
    <x v="5"/>
    <x v="2641"/>
    <x v="25"/>
    <s v="POS"/>
    <n v="1"/>
    <n v="195"/>
    <n v="195"/>
    <n v="0"/>
    <m/>
    <m/>
    <m/>
    <m/>
    <n v="0"/>
    <n v="0"/>
    <n v="49304.43481930752"/>
  </r>
  <r>
    <x v="252"/>
    <x v="4"/>
    <x v="314"/>
    <x v="0"/>
    <x v="5"/>
    <x v="2641"/>
    <x v="25"/>
    <s v="POS"/>
    <n v="1"/>
    <n v="150"/>
    <n v="150"/>
    <n v="0"/>
    <m/>
    <m/>
    <m/>
    <m/>
    <n v="0"/>
    <n v="0"/>
    <n v="49304.43481930752"/>
  </r>
  <r>
    <x v="252"/>
    <x v="4"/>
    <x v="101"/>
    <x v="0"/>
    <x v="5"/>
    <x v="2641"/>
    <x v="25"/>
    <s v="POS"/>
    <n v="0.22800000000000001"/>
    <n v="220"/>
    <n v="50.160000000000004"/>
    <n v="0"/>
    <m/>
    <m/>
    <m/>
    <m/>
    <n v="0"/>
    <n v="0"/>
    <n v="49304.43481930752"/>
  </r>
  <r>
    <x v="252"/>
    <x v="4"/>
    <x v="231"/>
    <x v="0"/>
    <x v="5"/>
    <x v="2641"/>
    <x v="25"/>
    <s v="POS"/>
    <n v="0.2"/>
    <n v="375"/>
    <n v="75"/>
    <n v="0"/>
    <m/>
    <m/>
    <m/>
    <m/>
    <n v="0"/>
    <n v="0"/>
    <n v="49304.43481930752"/>
  </r>
  <r>
    <x v="252"/>
    <x v="4"/>
    <x v="103"/>
    <x v="0"/>
    <x v="5"/>
    <x v="2641"/>
    <x v="25"/>
    <s v="POS"/>
    <n v="1"/>
    <n v="260"/>
    <n v="260"/>
    <n v="0"/>
    <m/>
    <m/>
    <m/>
    <m/>
    <n v="0"/>
    <n v="0"/>
    <n v="49304.43481930752"/>
  </r>
  <r>
    <x v="252"/>
    <x v="4"/>
    <x v="239"/>
    <x v="0"/>
    <x v="5"/>
    <x v="2641"/>
    <x v="25"/>
    <s v="POS"/>
    <n v="0.5"/>
    <n v="400"/>
    <n v="200"/>
    <n v="0"/>
    <m/>
    <m/>
    <m/>
    <m/>
    <n v="0"/>
    <n v="0"/>
    <n v="49304.43481930752"/>
  </r>
  <r>
    <x v="252"/>
    <x v="4"/>
    <x v="71"/>
    <x v="0"/>
    <x v="5"/>
    <x v="2641"/>
    <x v="25"/>
    <s v="POS"/>
    <n v="0.2608695652173913"/>
    <n v="230"/>
    <n v="60"/>
    <n v="0"/>
    <m/>
    <m/>
    <m/>
    <m/>
    <n v="0"/>
    <n v="0"/>
    <n v="49304.43481930752"/>
  </r>
  <r>
    <x v="252"/>
    <x v="4"/>
    <x v="14"/>
    <x v="0"/>
    <x v="5"/>
    <x v="2642"/>
    <x v="25"/>
    <s v="POS"/>
    <n v="0.5"/>
    <n v="280"/>
    <n v="140"/>
    <n v="0"/>
    <m/>
    <m/>
    <m/>
    <m/>
    <n v="0"/>
    <n v="0"/>
    <n v="49304.43481930752"/>
  </r>
  <r>
    <x v="252"/>
    <x v="4"/>
    <x v="287"/>
    <x v="0"/>
    <x v="5"/>
    <x v="2643"/>
    <x v="25"/>
    <s v="POS"/>
    <n v="1.5384615384615385"/>
    <n v="65"/>
    <n v="100"/>
    <n v="0"/>
    <m/>
    <m/>
    <m/>
    <m/>
    <n v="0"/>
    <n v="0"/>
    <n v="49304.43481930752"/>
  </r>
  <r>
    <x v="252"/>
    <x v="4"/>
    <x v="240"/>
    <x v="0"/>
    <x v="5"/>
    <x v="2643"/>
    <x v="25"/>
    <s v="POS"/>
    <n v="0.3"/>
    <n v="250"/>
    <n v="75"/>
    <n v="0"/>
    <m/>
    <m/>
    <m/>
    <m/>
    <n v="0"/>
    <n v="0"/>
    <n v="49304.43481930752"/>
  </r>
  <r>
    <x v="252"/>
    <x v="4"/>
    <x v="88"/>
    <x v="0"/>
    <x v="1"/>
    <x v="2644"/>
    <x v="25"/>
    <s v="NAKİT"/>
    <n v="0.05"/>
    <n v="1200"/>
    <n v="0"/>
    <n v="0"/>
    <m/>
    <m/>
    <m/>
    <m/>
    <n v="60"/>
    <n v="0"/>
    <n v="49364.43481930752"/>
  </r>
  <r>
    <x v="252"/>
    <x v="4"/>
    <x v="257"/>
    <x v="0"/>
    <x v="1"/>
    <x v="2644"/>
    <x v="25"/>
    <s v="NAKİT"/>
    <n v="1"/>
    <n v="170"/>
    <n v="0"/>
    <n v="0"/>
    <m/>
    <m/>
    <m/>
    <m/>
    <n v="170"/>
    <n v="0"/>
    <n v="49534.43481930752"/>
  </r>
  <r>
    <x v="252"/>
    <x v="4"/>
    <x v="454"/>
    <x v="0"/>
    <x v="1"/>
    <x v="2645"/>
    <x v="25"/>
    <s v="POS"/>
    <n v="1"/>
    <n v="200"/>
    <n v="200"/>
    <n v="0"/>
    <m/>
    <m/>
    <m/>
    <m/>
    <n v="0"/>
    <n v="0"/>
    <n v="49534.43481930752"/>
  </r>
  <r>
    <x v="252"/>
    <x v="4"/>
    <x v="257"/>
    <x v="0"/>
    <x v="5"/>
    <x v="2645"/>
    <x v="25"/>
    <s v="POS"/>
    <n v="1"/>
    <n v="170"/>
    <n v="170"/>
    <n v="0"/>
    <m/>
    <m/>
    <m/>
    <m/>
    <n v="0"/>
    <n v="0"/>
    <n v="49534.43481930752"/>
  </r>
  <r>
    <x v="252"/>
    <x v="4"/>
    <x v="297"/>
    <x v="0"/>
    <x v="1"/>
    <x v="2645"/>
    <x v="25"/>
    <s v="POS"/>
    <n v="1"/>
    <n v="130"/>
    <n v="130"/>
    <n v="0"/>
    <m/>
    <m/>
    <m/>
    <m/>
    <n v="0"/>
    <n v="0"/>
    <n v="49534.43481930752"/>
  </r>
  <r>
    <x v="252"/>
    <x v="4"/>
    <x v="115"/>
    <x v="0"/>
    <x v="1"/>
    <x v="2645"/>
    <x v="25"/>
    <s v="POS"/>
    <n v="2.0833333333333332E-2"/>
    <n v="240"/>
    <n v="5"/>
    <n v="0"/>
    <m/>
    <m/>
    <m/>
    <m/>
    <n v="0"/>
    <n v="0"/>
    <n v="49534.43481930752"/>
  </r>
  <r>
    <x v="252"/>
    <x v="10"/>
    <x v="0"/>
    <x v="0"/>
    <x v="5"/>
    <x v="2"/>
    <x v="63"/>
    <s v="POS"/>
    <n v="1"/>
    <n v="262"/>
    <n v="0"/>
    <n v="262"/>
    <m/>
    <m/>
    <m/>
    <m/>
    <n v="262"/>
    <n v="0"/>
    <n v="49796.43481930752"/>
  </r>
  <r>
    <x v="253"/>
    <x v="4"/>
    <x v="38"/>
    <x v="0"/>
    <x v="5"/>
    <x v="2646"/>
    <x v="25"/>
    <s v="POS"/>
    <n v="0.7142857142857143"/>
    <n v="700"/>
    <n v="500"/>
    <n v="0"/>
    <m/>
    <m/>
    <m/>
    <m/>
    <n v="0"/>
    <n v="0"/>
    <n v="49796.43481930752"/>
  </r>
  <r>
    <x v="253"/>
    <x v="4"/>
    <x v="149"/>
    <x v="0"/>
    <x v="5"/>
    <x v="2646"/>
    <x v="25"/>
    <s v="POS"/>
    <n v="0.15384615384615385"/>
    <n v="650"/>
    <n v="100"/>
    <n v="0"/>
    <m/>
    <m/>
    <m/>
    <m/>
    <n v="0"/>
    <n v="0"/>
    <n v="49796.43481930752"/>
  </r>
  <r>
    <x v="253"/>
    <x v="4"/>
    <x v="50"/>
    <x v="0"/>
    <x v="1"/>
    <x v="2647"/>
    <x v="25"/>
    <s v="NAKİT"/>
    <n v="0.08"/>
    <n v="750"/>
    <n v="0"/>
    <n v="0"/>
    <m/>
    <m/>
    <m/>
    <m/>
    <n v="60"/>
    <n v="0"/>
    <n v="49856.43481930752"/>
  </r>
  <r>
    <x v="253"/>
    <x v="4"/>
    <x v="33"/>
    <x v="0"/>
    <x v="1"/>
    <x v="2648"/>
    <x v="25"/>
    <s v="NAKİT"/>
    <n v="0.25"/>
    <n v="400"/>
    <n v="0"/>
    <n v="0"/>
    <m/>
    <m/>
    <m/>
    <m/>
    <n v="100"/>
    <n v="0"/>
    <n v="49956.43481930752"/>
  </r>
  <r>
    <x v="253"/>
    <x v="4"/>
    <x v="36"/>
    <x v="0"/>
    <x v="1"/>
    <x v="2649"/>
    <x v="25"/>
    <s v="NAKİT"/>
    <n v="0.55600000000000005"/>
    <n v="180"/>
    <n v="0"/>
    <n v="0"/>
    <m/>
    <m/>
    <m/>
    <m/>
    <n v="100.08000000000001"/>
    <n v="0"/>
    <n v="50056.514819307522"/>
  </r>
  <r>
    <x v="253"/>
    <x v="4"/>
    <x v="386"/>
    <x v="0"/>
    <x v="1"/>
    <x v="2649"/>
    <x v="25"/>
    <s v="NAKİT"/>
    <n v="1"/>
    <n v="30"/>
    <n v="0"/>
    <n v="0"/>
    <m/>
    <m/>
    <m/>
    <m/>
    <n v="30"/>
    <n v="0"/>
    <n v="50086.514819307522"/>
  </r>
  <r>
    <x v="253"/>
    <x v="4"/>
    <x v="122"/>
    <x v="0"/>
    <x v="1"/>
    <x v="2650"/>
    <x v="25"/>
    <s v="NAKİT"/>
    <n v="0.16666666666666666"/>
    <n v="1200"/>
    <n v="0"/>
    <n v="0"/>
    <m/>
    <m/>
    <m/>
    <m/>
    <n v="200"/>
    <n v="0"/>
    <n v="50286.514819307522"/>
  </r>
  <r>
    <x v="253"/>
    <x v="4"/>
    <x v="344"/>
    <x v="0"/>
    <x v="1"/>
    <x v="2650"/>
    <x v="25"/>
    <s v="NAKİT"/>
    <n v="0.2"/>
    <n v="500"/>
    <n v="0"/>
    <n v="0"/>
    <m/>
    <m/>
    <m/>
    <m/>
    <n v="100"/>
    <n v="0"/>
    <n v="50386.514819307522"/>
  </r>
  <r>
    <x v="253"/>
    <x v="4"/>
    <x v="142"/>
    <x v="0"/>
    <x v="1"/>
    <x v="2650"/>
    <x v="25"/>
    <s v="NAKİT"/>
    <n v="0.4"/>
    <n v="250"/>
    <n v="0"/>
    <n v="0"/>
    <m/>
    <m/>
    <m/>
    <m/>
    <n v="100"/>
    <n v="0"/>
    <n v="50486.514819307522"/>
  </r>
  <r>
    <x v="253"/>
    <x v="4"/>
    <x v="248"/>
    <x v="0"/>
    <x v="1"/>
    <x v="2650"/>
    <x v="25"/>
    <s v="NAKİT"/>
    <n v="0.15384615384615385"/>
    <n v="650"/>
    <n v="0"/>
    <n v="0"/>
    <m/>
    <m/>
    <m/>
    <m/>
    <n v="100"/>
    <n v="0"/>
    <n v="50586.514819307522"/>
  </r>
  <r>
    <x v="253"/>
    <x v="4"/>
    <x v="56"/>
    <x v="0"/>
    <x v="1"/>
    <x v="2651"/>
    <x v="25"/>
    <s v="NAKİT"/>
    <n v="1"/>
    <n v="200"/>
    <n v="0"/>
    <n v="0"/>
    <m/>
    <m/>
    <m/>
    <m/>
    <n v="200"/>
    <n v="0"/>
    <n v="50786.514819307522"/>
  </r>
  <r>
    <x v="253"/>
    <x v="4"/>
    <x v="163"/>
    <x v="0"/>
    <x v="1"/>
    <x v="2652"/>
    <x v="25"/>
    <s v="NAKİT"/>
    <n v="1"/>
    <n v="50"/>
    <n v="0"/>
    <n v="0"/>
    <m/>
    <m/>
    <m/>
    <m/>
    <n v="50"/>
    <n v="0"/>
    <n v="50836.514819307522"/>
  </r>
  <r>
    <x v="253"/>
    <x v="4"/>
    <x v="90"/>
    <x v="0"/>
    <x v="1"/>
    <x v="2653"/>
    <x v="25"/>
    <s v="NAKİT"/>
    <n v="2"/>
    <n v="250"/>
    <n v="0"/>
    <n v="0"/>
    <m/>
    <m/>
    <m/>
    <m/>
    <n v="500"/>
    <n v="0"/>
    <n v="51336.514819307522"/>
  </r>
  <r>
    <x v="253"/>
    <x v="4"/>
    <x v="115"/>
    <x v="0"/>
    <x v="5"/>
    <x v="2654"/>
    <x v="25"/>
    <s v="POS"/>
    <n v="6.25E-2"/>
    <n v="240"/>
    <n v="15"/>
    <n v="0"/>
    <m/>
    <m/>
    <m/>
    <m/>
    <n v="0"/>
    <n v="0"/>
    <n v="51336.514819307522"/>
  </r>
  <r>
    <x v="253"/>
    <x v="4"/>
    <x v="312"/>
    <x v="0"/>
    <x v="1"/>
    <x v="2655"/>
    <x v="25"/>
    <s v="NAKİT"/>
    <n v="1"/>
    <n v="300"/>
    <n v="0"/>
    <n v="0"/>
    <m/>
    <m/>
    <m/>
    <m/>
    <n v="300"/>
    <n v="0"/>
    <n v="51636.514819307522"/>
  </r>
  <r>
    <x v="253"/>
    <x v="4"/>
    <x v="57"/>
    <x v="0"/>
    <x v="5"/>
    <x v="2656"/>
    <x v="25"/>
    <s v="POS"/>
    <n v="1"/>
    <n v="150"/>
    <n v="150"/>
    <n v="0"/>
    <m/>
    <m/>
    <m/>
    <m/>
    <n v="0"/>
    <n v="0"/>
    <n v="51636.514819307522"/>
  </r>
  <r>
    <x v="253"/>
    <x v="4"/>
    <x v="445"/>
    <x v="0"/>
    <x v="5"/>
    <x v="2656"/>
    <x v="25"/>
    <s v="POS"/>
    <n v="1"/>
    <n v="50"/>
    <n v="50"/>
    <n v="0"/>
    <m/>
    <m/>
    <m/>
    <m/>
    <n v="0"/>
    <n v="0"/>
    <n v="51636.514819307522"/>
  </r>
  <r>
    <x v="253"/>
    <x v="4"/>
    <x v="161"/>
    <x v="0"/>
    <x v="1"/>
    <x v="2657"/>
    <x v="25"/>
    <s v="NAKİT"/>
    <n v="0.28749999999999998"/>
    <n v="400"/>
    <n v="0"/>
    <n v="0"/>
    <m/>
    <m/>
    <m/>
    <m/>
    <n v="114.99999999999999"/>
    <n v="0"/>
    <n v="51751.514819307522"/>
  </r>
  <r>
    <x v="253"/>
    <x v="4"/>
    <x v="68"/>
    <x v="0"/>
    <x v="5"/>
    <x v="2658"/>
    <x v="25"/>
    <s v="POS"/>
    <n v="0.14933333333333335"/>
    <n v="750"/>
    <n v="112.00000000000001"/>
    <n v="0"/>
    <m/>
    <m/>
    <m/>
    <m/>
    <n v="0"/>
    <n v="0"/>
    <n v="51751.514819307522"/>
  </r>
  <r>
    <x v="253"/>
    <x v="4"/>
    <x v="161"/>
    <x v="0"/>
    <x v="5"/>
    <x v="2658"/>
    <x v="25"/>
    <s v="POS"/>
    <n v="0.13"/>
    <n v="400"/>
    <n v="52"/>
    <n v="0"/>
    <m/>
    <m/>
    <m/>
    <m/>
    <n v="0"/>
    <n v="0"/>
    <n v="51751.514819307522"/>
  </r>
  <r>
    <x v="253"/>
    <x v="4"/>
    <x v="312"/>
    <x v="0"/>
    <x v="5"/>
    <x v="2658"/>
    <x v="25"/>
    <s v="POS"/>
    <n v="0.5"/>
    <n v="350"/>
    <n v="175"/>
    <n v="0"/>
    <m/>
    <m/>
    <m/>
    <m/>
    <n v="0"/>
    <n v="0"/>
    <n v="51751.514819307522"/>
  </r>
  <r>
    <x v="253"/>
    <x v="4"/>
    <x v="150"/>
    <x v="0"/>
    <x v="1"/>
    <x v="2659"/>
    <x v="25"/>
    <s v="NAKİT"/>
    <n v="2"/>
    <n v="230"/>
    <n v="0"/>
    <n v="0"/>
    <m/>
    <m/>
    <m/>
    <m/>
    <n v="460"/>
    <n v="0"/>
    <n v="52211.514819307522"/>
  </r>
  <r>
    <x v="253"/>
    <x v="4"/>
    <x v="27"/>
    <x v="0"/>
    <x v="1"/>
    <x v="2660"/>
    <x v="25"/>
    <s v="POS"/>
    <n v="8.2500000000000004E-2"/>
    <n v="400"/>
    <n v="33"/>
    <n v="0"/>
    <m/>
    <m/>
    <m/>
    <m/>
    <n v="0"/>
    <n v="0"/>
    <n v="52211.514819307522"/>
  </r>
  <r>
    <x v="253"/>
    <x v="4"/>
    <x v="33"/>
    <x v="0"/>
    <x v="1"/>
    <x v="2660"/>
    <x v="25"/>
    <s v="POS"/>
    <n v="0.20499999999999999"/>
    <n v="400"/>
    <n v="82"/>
    <n v="0"/>
    <m/>
    <m/>
    <m/>
    <m/>
    <n v="0"/>
    <n v="0"/>
    <n v="52211.514819307522"/>
  </r>
  <r>
    <x v="253"/>
    <x v="4"/>
    <x v="18"/>
    <x v="0"/>
    <x v="1"/>
    <x v="2660"/>
    <x v="25"/>
    <s v="POS"/>
    <n v="1"/>
    <n v="270"/>
    <n v="270"/>
    <n v="0"/>
    <m/>
    <m/>
    <m/>
    <m/>
    <n v="0"/>
    <n v="0"/>
    <n v="52211.514819307522"/>
  </r>
  <r>
    <x v="253"/>
    <x v="4"/>
    <x v="360"/>
    <x v="0"/>
    <x v="1"/>
    <x v="2660"/>
    <x v="25"/>
    <s v="POS"/>
    <n v="0.25"/>
    <n v="700"/>
    <n v="175"/>
    <n v="0"/>
    <m/>
    <m/>
    <m/>
    <m/>
    <n v="0"/>
    <n v="0"/>
    <n v="52211.514819307522"/>
  </r>
  <r>
    <x v="253"/>
    <x v="4"/>
    <x v="24"/>
    <x v="0"/>
    <x v="1"/>
    <x v="2661"/>
    <x v="25"/>
    <s v="NAKİT"/>
    <n v="0.15384615384615385"/>
    <n v="650"/>
    <n v="0"/>
    <n v="0"/>
    <m/>
    <m/>
    <m/>
    <m/>
    <n v="100"/>
    <n v="0"/>
    <n v="52311.514819307522"/>
  </r>
  <r>
    <x v="253"/>
    <x v="1"/>
    <x v="0"/>
    <x v="5"/>
    <x v="1"/>
    <x v="2"/>
    <x v="262"/>
    <s v="NAKİT"/>
    <n v="1"/>
    <n v="1500"/>
    <n v="0"/>
    <n v="0"/>
    <m/>
    <m/>
    <m/>
    <m/>
    <n v="0"/>
    <n v="1500"/>
    <n v="50811.514819307522"/>
  </r>
  <r>
    <x v="253"/>
    <x v="10"/>
    <x v="0"/>
    <x v="0"/>
    <x v="5"/>
    <x v="2"/>
    <x v="63"/>
    <s v="POS"/>
    <n v="1"/>
    <n v="1165"/>
    <n v="0"/>
    <n v="1165"/>
    <m/>
    <m/>
    <m/>
    <m/>
    <n v="1165"/>
    <n v="0"/>
    <n v="51976.514819307522"/>
  </r>
  <r>
    <x v="253"/>
    <x v="10"/>
    <x v="0"/>
    <x v="0"/>
    <x v="5"/>
    <x v="2"/>
    <x v="63"/>
    <s v="POS"/>
    <n v="1"/>
    <n v="340"/>
    <n v="0"/>
    <n v="340"/>
    <m/>
    <m/>
    <m/>
    <m/>
    <n v="340"/>
    <n v="0"/>
    <n v="52316.514819307522"/>
  </r>
  <r>
    <x v="253"/>
    <x v="10"/>
    <x v="0"/>
    <x v="0"/>
    <x v="5"/>
    <x v="2"/>
    <x v="63"/>
    <s v="POS"/>
    <n v="1"/>
    <n v="1461"/>
    <n v="0"/>
    <n v="1461"/>
    <m/>
    <m/>
    <m/>
    <m/>
    <n v="1461"/>
    <n v="0"/>
    <n v="53777.514819307522"/>
  </r>
  <r>
    <x v="254"/>
    <x v="4"/>
    <x v="161"/>
    <x v="0"/>
    <x v="5"/>
    <x v="2662"/>
    <x v="263"/>
    <s v="POS"/>
    <n v="0.92800000000000005"/>
    <n v="265"/>
    <n v="245.92000000000002"/>
    <n v="0"/>
    <m/>
    <m/>
    <m/>
    <m/>
    <n v="0"/>
    <n v="0"/>
    <n v="53777.514819307522"/>
  </r>
  <r>
    <x v="254"/>
    <x v="4"/>
    <x v="289"/>
    <x v="0"/>
    <x v="5"/>
    <x v="2662"/>
    <x v="263"/>
    <s v="POS"/>
    <n v="2.23"/>
    <n v="265"/>
    <n v="590.95000000000005"/>
    <n v="0"/>
    <m/>
    <m/>
    <m/>
    <m/>
    <n v="0"/>
    <n v="0"/>
    <n v="53777.514819307522"/>
  </r>
  <r>
    <x v="254"/>
    <x v="4"/>
    <x v="289"/>
    <x v="0"/>
    <x v="5"/>
    <x v="2662"/>
    <x v="263"/>
    <s v="POS"/>
    <n v="3.17"/>
    <n v="265"/>
    <n v="840.05"/>
    <n v="0"/>
    <m/>
    <m/>
    <m/>
    <m/>
    <n v="0"/>
    <n v="0"/>
    <n v="53777.514819307522"/>
  </r>
  <r>
    <x v="254"/>
    <x v="4"/>
    <x v="66"/>
    <x v="0"/>
    <x v="1"/>
    <x v="2648"/>
    <x v="25"/>
    <s v="NAKİT"/>
    <n v="0.12"/>
    <n v="417"/>
    <n v="0"/>
    <n v="0"/>
    <m/>
    <m/>
    <m/>
    <m/>
    <n v="50.04"/>
    <n v="0"/>
    <n v="53827.554819307523"/>
  </r>
  <r>
    <x v="254"/>
    <x v="4"/>
    <x v="56"/>
    <x v="0"/>
    <x v="1"/>
    <x v="2649"/>
    <x v="25"/>
    <s v="NAKİT"/>
    <n v="1"/>
    <n v="200"/>
    <n v="0"/>
    <n v="0"/>
    <m/>
    <m/>
    <m/>
    <m/>
    <n v="200"/>
    <n v="0"/>
    <n v="54027.554819307523"/>
  </r>
  <r>
    <x v="254"/>
    <x v="4"/>
    <x v="38"/>
    <x v="0"/>
    <x v="1"/>
    <x v="2650"/>
    <x v="25"/>
    <s v="NAKİT"/>
    <n v="0.1"/>
    <n v="500"/>
    <n v="0"/>
    <n v="0"/>
    <m/>
    <m/>
    <m/>
    <m/>
    <n v="50"/>
    <n v="0"/>
    <n v="54077.554819307523"/>
  </r>
  <r>
    <x v="254"/>
    <x v="4"/>
    <x v="18"/>
    <x v="0"/>
    <x v="1"/>
    <x v="2651"/>
    <x v="25"/>
    <s v="NAKİT"/>
    <n v="0.2"/>
    <n v="270"/>
    <n v="0"/>
    <n v="0"/>
    <m/>
    <m/>
    <m/>
    <m/>
    <n v="54"/>
    <n v="0"/>
    <n v="54131.554819307523"/>
  </r>
  <r>
    <x v="254"/>
    <x v="7"/>
    <x v="0"/>
    <x v="0"/>
    <x v="3"/>
    <x v="2"/>
    <x v="264"/>
    <s v="NAKİT"/>
    <n v="1"/>
    <n v="8500"/>
    <n v="8500"/>
    <n v="0"/>
    <m/>
    <m/>
    <m/>
    <m/>
    <n v="0"/>
    <n v="8500"/>
    <n v="45631.554819307523"/>
  </r>
  <r>
    <x v="254"/>
    <x v="10"/>
    <x v="0"/>
    <x v="0"/>
    <x v="5"/>
    <x v="2"/>
    <x v="63"/>
    <s v="POS"/>
    <n v="1"/>
    <n v="898"/>
    <n v="0"/>
    <n v="898"/>
    <m/>
    <m/>
    <m/>
    <m/>
    <n v="898"/>
    <n v="0"/>
    <n v="46529.554819307523"/>
  </r>
  <r>
    <x v="254"/>
    <x v="10"/>
    <x v="0"/>
    <x v="0"/>
    <x v="5"/>
    <x v="2"/>
    <x v="63"/>
    <s v="POS"/>
    <n v="1"/>
    <n v="1903"/>
    <n v="0"/>
    <n v="1903"/>
    <m/>
    <m/>
    <m/>
    <m/>
    <n v="1903"/>
    <n v="0"/>
    <n v="48432.554819307523"/>
  </r>
  <r>
    <x v="254"/>
    <x v="10"/>
    <x v="0"/>
    <x v="15"/>
    <x v="5"/>
    <x v="2"/>
    <x v="245"/>
    <s v="POS"/>
    <n v="1"/>
    <n v="330"/>
    <n v="0"/>
    <n v="330"/>
    <m/>
    <m/>
    <m/>
    <m/>
    <n v="330"/>
    <n v="0"/>
    <n v="48762.554819307523"/>
  </r>
  <r>
    <x v="254"/>
    <x v="1"/>
    <x v="0"/>
    <x v="0"/>
    <x v="1"/>
    <x v="2"/>
    <x v="245"/>
    <s v="NAKİT"/>
    <n v="1"/>
    <n v="330"/>
    <n v="0"/>
    <n v="0"/>
    <m/>
    <m/>
    <m/>
    <m/>
    <n v="0"/>
    <n v="330"/>
    <n v="48432.554819307523"/>
  </r>
  <r>
    <x v="255"/>
    <x v="4"/>
    <x v="392"/>
    <x v="0"/>
    <x v="1"/>
    <x v="2652"/>
    <x v="25"/>
    <s v="NAKİT"/>
    <n v="0.1891891891891892"/>
    <n v="370"/>
    <n v="0"/>
    <n v="0"/>
    <m/>
    <m/>
    <m/>
    <m/>
    <n v="70"/>
    <n v="0"/>
    <n v="48502.554819307523"/>
  </r>
  <r>
    <x v="255"/>
    <x v="4"/>
    <x v="347"/>
    <x v="0"/>
    <x v="1"/>
    <x v="2652"/>
    <x v="25"/>
    <s v="NAKİT"/>
    <n v="0.2257142857142857"/>
    <n v="700"/>
    <n v="0"/>
    <n v="0"/>
    <m/>
    <m/>
    <m/>
    <m/>
    <n v="158"/>
    <n v="0"/>
    <n v="48660.554819307523"/>
  </r>
  <r>
    <x v="255"/>
    <x v="4"/>
    <x v="248"/>
    <x v="0"/>
    <x v="1"/>
    <x v="2652"/>
    <x v="25"/>
    <s v="NAKİT"/>
    <n v="0.23538461538461539"/>
    <n v="650"/>
    <n v="0"/>
    <n v="0"/>
    <m/>
    <m/>
    <m/>
    <m/>
    <n v="153"/>
    <n v="0"/>
    <n v="48813.554819307523"/>
  </r>
  <r>
    <x v="255"/>
    <x v="4"/>
    <x v="396"/>
    <x v="0"/>
    <x v="1"/>
    <x v="2652"/>
    <x v="25"/>
    <s v="NAKİT"/>
    <n v="1.8461538461538463"/>
    <n v="65"/>
    <n v="0"/>
    <n v="0"/>
    <m/>
    <m/>
    <m/>
    <m/>
    <n v="120"/>
    <n v="0"/>
    <n v="48933.554819307523"/>
  </r>
  <r>
    <x v="255"/>
    <x v="4"/>
    <x v="286"/>
    <x v="0"/>
    <x v="1"/>
    <x v="2652"/>
    <x v="25"/>
    <s v="NAKİT"/>
    <n v="1.0769230769230769"/>
    <n v="65"/>
    <n v="0"/>
    <n v="0"/>
    <m/>
    <m/>
    <m/>
    <m/>
    <n v="70"/>
    <n v="0"/>
    <n v="49003.554819307523"/>
  </r>
  <r>
    <x v="255"/>
    <x v="4"/>
    <x v="238"/>
    <x v="0"/>
    <x v="5"/>
    <x v="2653"/>
    <x v="25"/>
    <s v="POS"/>
    <n v="0.13142857142857142"/>
    <n v="350"/>
    <n v="46"/>
    <n v="0"/>
    <m/>
    <m/>
    <m/>
    <m/>
    <n v="0"/>
    <n v="0"/>
    <n v="49003.554819307523"/>
  </r>
  <r>
    <x v="255"/>
    <x v="4"/>
    <x v="380"/>
    <x v="0"/>
    <x v="5"/>
    <x v="2654"/>
    <x v="25"/>
    <s v="POS"/>
    <n v="1"/>
    <n v="150"/>
    <n v="150"/>
    <n v="0"/>
    <m/>
    <m/>
    <m/>
    <m/>
    <n v="0"/>
    <n v="0"/>
    <n v="49003.554819307523"/>
  </r>
  <r>
    <x v="255"/>
    <x v="4"/>
    <x v="14"/>
    <x v="0"/>
    <x v="1"/>
    <x v="2655"/>
    <x v="25"/>
    <s v="NAKİT"/>
    <n v="0.5"/>
    <n v="300"/>
    <n v="0"/>
    <n v="0"/>
    <m/>
    <m/>
    <m/>
    <m/>
    <n v="150"/>
    <n v="0"/>
    <n v="49153.554819307523"/>
  </r>
  <r>
    <x v="255"/>
    <x v="4"/>
    <x v="27"/>
    <x v="0"/>
    <x v="1"/>
    <x v="2655"/>
    <x v="25"/>
    <s v="NAKİT"/>
    <n v="0.11"/>
    <n v="400"/>
    <n v="0"/>
    <n v="0"/>
    <m/>
    <m/>
    <m/>
    <m/>
    <n v="44"/>
    <n v="0"/>
    <n v="49197.554819307523"/>
  </r>
  <r>
    <x v="255"/>
    <x v="4"/>
    <x v="157"/>
    <x v="0"/>
    <x v="1"/>
    <x v="2655"/>
    <x v="25"/>
    <s v="NAKİT"/>
    <n v="0.5"/>
    <n v="140"/>
    <n v="0"/>
    <n v="0"/>
    <m/>
    <m/>
    <m/>
    <m/>
    <n v="70"/>
    <n v="0"/>
    <n v="49267.554819307523"/>
  </r>
  <r>
    <x v="255"/>
    <x v="4"/>
    <x v="354"/>
    <x v="0"/>
    <x v="1"/>
    <x v="2656"/>
    <x v="25"/>
    <s v="NAKİT"/>
    <n v="0.1"/>
    <n v="800"/>
    <n v="0"/>
    <n v="0"/>
    <m/>
    <m/>
    <m/>
    <m/>
    <n v="80"/>
    <n v="0"/>
    <n v="49347.554819307523"/>
  </r>
  <r>
    <x v="255"/>
    <x v="4"/>
    <x v="26"/>
    <x v="0"/>
    <x v="1"/>
    <x v="2656"/>
    <x v="25"/>
    <s v="NAKİT"/>
    <n v="8.8888888888888892E-2"/>
    <n v="450"/>
    <n v="0"/>
    <n v="0"/>
    <m/>
    <m/>
    <m/>
    <m/>
    <n v="40"/>
    <n v="0"/>
    <n v="49387.554819307523"/>
  </r>
  <r>
    <x v="255"/>
    <x v="4"/>
    <x v="168"/>
    <x v="0"/>
    <x v="1"/>
    <x v="2657"/>
    <x v="25"/>
    <s v="NAKİT"/>
    <n v="1"/>
    <n v="60"/>
    <n v="0"/>
    <n v="0"/>
    <m/>
    <m/>
    <m/>
    <m/>
    <n v="60"/>
    <n v="0"/>
    <n v="49447.554819307523"/>
  </r>
  <r>
    <x v="255"/>
    <x v="10"/>
    <x v="0"/>
    <x v="0"/>
    <x v="5"/>
    <x v="2"/>
    <x v="63"/>
    <s v="POS"/>
    <n v="1"/>
    <n v="333"/>
    <n v="0"/>
    <n v="333"/>
    <m/>
    <m/>
    <m/>
    <m/>
    <n v="333"/>
    <n v="0"/>
    <n v="49780.554819307523"/>
  </r>
  <r>
    <x v="255"/>
    <x v="10"/>
    <x v="0"/>
    <x v="0"/>
    <x v="5"/>
    <x v="2"/>
    <x v="63"/>
    <s v="POS"/>
    <n v="1"/>
    <n v="840"/>
    <n v="0"/>
    <n v="840"/>
    <m/>
    <m/>
    <m/>
    <m/>
    <n v="840"/>
    <n v="0"/>
    <n v="50620.554819307523"/>
  </r>
  <r>
    <x v="256"/>
    <x v="3"/>
    <x v="122"/>
    <x v="0"/>
    <x v="2"/>
    <x v="2663"/>
    <x v="265"/>
    <s v="CARİ"/>
    <n v="0.5"/>
    <n v="780"/>
    <n v="0"/>
    <n v="390"/>
    <m/>
    <m/>
    <m/>
    <m/>
    <n v="0"/>
    <n v="0"/>
    <n v="50620.554819307523"/>
  </r>
  <r>
    <x v="256"/>
    <x v="4"/>
    <x v="161"/>
    <x v="0"/>
    <x v="5"/>
    <x v="2658"/>
    <x v="25"/>
    <s v="POS"/>
    <n v="0.28249999999999997"/>
    <n v="355"/>
    <n v="100.28749999999999"/>
    <n v="0"/>
    <m/>
    <m/>
    <m/>
    <m/>
    <n v="0"/>
    <n v="0"/>
    <n v="50620.554819307523"/>
  </r>
  <r>
    <x v="256"/>
    <x v="4"/>
    <x v="24"/>
    <x v="0"/>
    <x v="5"/>
    <x v="2658"/>
    <x v="25"/>
    <s v="POS"/>
    <n v="0.16923076923076924"/>
    <n v="590"/>
    <n v="99.846153846153854"/>
    <n v="0"/>
    <m/>
    <m/>
    <m/>
    <m/>
    <n v="0"/>
    <n v="0"/>
    <n v="50620.554819307523"/>
  </r>
  <r>
    <x v="256"/>
    <x v="4"/>
    <x v="161"/>
    <x v="0"/>
    <x v="1"/>
    <x v="2659"/>
    <x v="25"/>
    <s v="NAKİT"/>
    <n v="0.8867924528301887"/>
    <n v="265"/>
    <n v="0"/>
    <n v="0"/>
    <m/>
    <m/>
    <m/>
    <m/>
    <n v="235"/>
    <n v="0"/>
    <n v="50855.554819307523"/>
  </r>
  <r>
    <x v="256"/>
    <x v="4"/>
    <x v="56"/>
    <x v="0"/>
    <x v="1"/>
    <x v="2660"/>
    <x v="25"/>
    <s v="NAKİT"/>
    <n v="1"/>
    <n v="200"/>
    <n v="0"/>
    <n v="0"/>
    <m/>
    <m/>
    <m/>
    <m/>
    <n v="200"/>
    <n v="0"/>
    <n v="51055.554819307523"/>
  </r>
  <r>
    <x v="256"/>
    <x v="4"/>
    <x v="78"/>
    <x v="0"/>
    <x v="1"/>
    <x v="2661"/>
    <x v="25"/>
    <s v="NAKİT"/>
    <n v="0.05"/>
    <n v="1400"/>
    <n v="0"/>
    <n v="0"/>
    <m/>
    <m/>
    <m/>
    <m/>
    <n v="70"/>
    <n v="0"/>
    <n v="51125.554819307523"/>
  </r>
  <r>
    <x v="256"/>
    <x v="4"/>
    <x v="347"/>
    <x v="0"/>
    <x v="1"/>
    <x v="2664"/>
    <x v="25"/>
    <s v="NAKİT"/>
    <n v="0.25"/>
    <n v="700"/>
    <n v="0"/>
    <n v="0"/>
    <m/>
    <m/>
    <m/>
    <m/>
    <n v="175"/>
    <n v="0"/>
    <n v="51300.554819307523"/>
  </r>
  <r>
    <x v="256"/>
    <x v="4"/>
    <x v="248"/>
    <x v="0"/>
    <x v="1"/>
    <x v="2664"/>
    <x v="25"/>
    <s v="NAKİT"/>
    <n v="0.25384615384615383"/>
    <n v="650"/>
    <n v="0"/>
    <n v="0"/>
    <m/>
    <m/>
    <m/>
    <m/>
    <n v="165"/>
    <n v="0"/>
    <n v="51465.554819307523"/>
  </r>
  <r>
    <x v="256"/>
    <x v="4"/>
    <x v="354"/>
    <x v="0"/>
    <x v="1"/>
    <x v="2664"/>
    <x v="25"/>
    <s v="NAKİT"/>
    <n v="0.2"/>
    <n v="800"/>
    <n v="0"/>
    <n v="0"/>
    <m/>
    <m/>
    <m/>
    <m/>
    <n v="160"/>
    <n v="0"/>
    <n v="51625.554819307523"/>
  </r>
  <r>
    <x v="256"/>
    <x v="4"/>
    <x v="122"/>
    <x v="0"/>
    <x v="1"/>
    <x v="2664"/>
    <x v="25"/>
    <s v="NAKİT"/>
    <n v="0.25"/>
    <n v="1200"/>
    <n v="0"/>
    <n v="0"/>
    <m/>
    <m/>
    <m/>
    <m/>
    <n v="300"/>
    <n v="0"/>
    <n v="51925.554819307523"/>
  </r>
  <r>
    <x v="256"/>
    <x v="10"/>
    <x v="0"/>
    <x v="0"/>
    <x v="5"/>
    <x v="2"/>
    <x v="63"/>
    <s v="POS"/>
    <n v="1"/>
    <n v="670"/>
    <n v="0"/>
    <n v="670"/>
    <m/>
    <m/>
    <m/>
    <m/>
    <n v="670"/>
    <n v="0"/>
    <n v="52595.554819307523"/>
  </r>
  <r>
    <x v="256"/>
    <x v="10"/>
    <x v="0"/>
    <x v="0"/>
    <x v="5"/>
    <x v="2"/>
    <x v="63"/>
    <s v="POS"/>
    <n v="1"/>
    <n v="400"/>
    <n v="0"/>
    <n v="400"/>
    <m/>
    <m/>
    <m/>
    <m/>
    <n v="400"/>
    <n v="0"/>
    <n v="52995.554819307523"/>
  </r>
  <r>
    <x v="256"/>
    <x v="1"/>
    <x v="0"/>
    <x v="10"/>
    <x v="1"/>
    <x v="2"/>
    <x v="266"/>
    <s v="NAKİT"/>
    <n v="1"/>
    <n v="375"/>
    <n v="0"/>
    <n v="0"/>
    <m/>
    <m/>
    <m/>
    <m/>
    <n v="0"/>
    <n v="375"/>
    <n v="52620.554819307523"/>
  </r>
  <r>
    <x v="257"/>
    <x v="4"/>
    <x v="18"/>
    <x v="0"/>
    <x v="1"/>
    <x v="2665"/>
    <x v="25"/>
    <s v="NAKİT"/>
    <n v="1"/>
    <n v="270"/>
    <n v="0"/>
    <n v="0"/>
    <m/>
    <m/>
    <m/>
    <m/>
    <n v="270"/>
    <n v="0"/>
    <n v="52890.554819307523"/>
  </r>
  <r>
    <x v="257"/>
    <x v="4"/>
    <x v="161"/>
    <x v="0"/>
    <x v="5"/>
    <x v="2666"/>
    <x v="25"/>
    <s v="POS"/>
    <n v="0.5"/>
    <n v="400"/>
    <n v="200"/>
    <n v="0"/>
    <m/>
    <m/>
    <m/>
    <m/>
    <n v="0"/>
    <n v="0"/>
    <n v="52890.554819307523"/>
  </r>
  <r>
    <x v="257"/>
    <x v="4"/>
    <x v="385"/>
    <x v="0"/>
    <x v="5"/>
    <x v="2666"/>
    <x v="25"/>
    <s v="POS"/>
    <n v="0.23076923076923078"/>
    <n v="520"/>
    <n v="120"/>
    <n v="0"/>
    <m/>
    <m/>
    <m/>
    <m/>
    <n v="0"/>
    <n v="0"/>
    <n v="52890.554819307523"/>
  </r>
  <r>
    <x v="257"/>
    <x v="4"/>
    <x v="445"/>
    <x v="0"/>
    <x v="5"/>
    <x v="2666"/>
    <x v="25"/>
    <s v="POS"/>
    <n v="1"/>
    <n v="90"/>
    <n v="90"/>
    <n v="0"/>
    <m/>
    <m/>
    <m/>
    <m/>
    <n v="0"/>
    <n v="0"/>
    <n v="52890.554819307523"/>
  </r>
  <r>
    <x v="257"/>
    <x v="4"/>
    <x v="456"/>
    <x v="0"/>
    <x v="5"/>
    <x v="2666"/>
    <x v="25"/>
    <s v="POS"/>
    <n v="0.34"/>
    <n v="250"/>
    <n v="85"/>
    <n v="0"/>
    <m/>
    <m/>
    <m/>
    <m/>
    <n v="0"/>
    <n v="0"/>
    <n v="52890.554819307523"/>
  </r>
  <r>
    <x v="257"/>
    <x v="4"/>
    <x v="143"/>
    <x v="0"/>
    <x v="1"/>
    <x v="2667"/>
    <x v="25"/>
    <s v="NAKİT"/>
    <n v="1"/>
    <n v="190"/>
    <n v="0"/>
    <n v="0"/>
    <m/>
    <m/>
    <m/>
    <m/>
    <n v="190"/>
    <n v="0"/>
    <n v="53080.554819307523"/>
  </r>
  <r>
    <x v="257"/>
    <x v="4"/>
    <x v="18"/>
    <x v="0"/>
    <x v="5"/>
    <x v="2668"/>
    <x v="228"/>
    <s v="POS"/>
    <n v="6"/>
    <n v="210"/>
    <n v="1260"/>
    <n v="0"/>
    <m/>
    <m/>
    <m/>
    <m/>
    <n v="0"/>
    <n v="0"/>
    <n v="53080.554819307523"/>
  </r>
  <r>
    <x v="257"/>
    <x v="4"/>
    <x v="296"/>
    <x v="0"/>
    <x v="5"/>
    <x v="2669"/>
    <x v="25"/>
    <s v="POS"/>
    <n v="1"/>
    <n v="135"/>
    <n v="135"/>
    <n v="0"/>
    <m/>
    <m/>
    <m/>
    <m/>
    <n v="0"/>
    <n v="0"/>
    <n v="53080.554819307523"/>
  </r>
  <r>
    <x v="257"/>
    <x v="4"/>
    <x v="208"/>
    <x v="0"/>
    <x v="5"/>
    <x v="2670"/>
    <x v="25"/>
    <s v="POS"/>
    <n v="2"/>
    <n v="375"/>
    <n v="750"/>
    <n v="0"/>
    <m/>
    <m/>
    <m/>
    <m/>
    <n v="0"/>
    <n v="0"/>
    <n v="53080.554819307523"/>
  </r>
  <r>
    <x v="257"/>
    <x v="4"/>
    <x v="239"/>
    <x v="0"/>
    <x v="1"/>
    <x v="2671"/>
    <x v="25"/>
    <s v="NAKİT"/>
    <n v="0.25"/>
    <n v="400"/>
    <n v="0"/>
    <n v="0"/>
    <m/>
    <m/>
    <m/>
    <m/>
    <n v="100"/>
    <n v="0"/>
    <n v="53180.554819307523"/>
  </r>
  <r>
    <x v="257"/>
    <x v="4"/>
    <x v="60"/>
    <x v="0"/>
    <x v="1"/>
    <x v="2672"/>
    <x v="25"/>
    <s v="NAKİT"/>
    <n v="0.2"/>
    <n v="250"/>
    <n v="0"/>
    <n v="0"/>
    <m/>
    <m/>
    <m/>
    <m/>
    <n v="50"/>
    <n v="0"/>
    <n v="53230.554819307523"/>
  </r>
  <r>
    <x v="257"/>
    <x v="4"/>
    <x v="239"/>
    <x v="0"/>
    <x v="1"/>
    <x v="2673"/>
    <x v="25"/>
    <s v="NAKİT"/>
    <n v="0.125"/>
    <n v="400"/>
    <n v="0"/>
    <n v="0"/>
    <m/>
    <m/>
    <m/>
    <m/>
    <n v="50"/>
    <n v="0"/>
    <n v="53280.554819307523"/>
  </r>
  <r>
    <x v="257"/>
    <x v="4"/>
    <x v="38"/>
    <x v="0"/>
    <x v="1"/>
    <x v="2674"/>
    <x v="25"/>
    <s v="NAKİT"/>
    <n v="0.1"/>
    <n v="750"/>
    <n v="0"/>
    <n v="0"/>
    <m/>
    <m/>
    <m/>
    <m/>
    <n v="75"/>
    <n v="0"/>
    <n v="53355.554819307523"/>
  </r>
  <r>
    <x v="257"/>
    <x v="4"/>
    <x v="18"/>
    <x v="0"/>
    <x v="5"/>
    <x v="2675"/>
    <x v="25"/>
    <s v="POS"/>
    <n v="1"/>
    <n v="270"/>
    <n v="270"/>
    <n v="0"/>
    <m/>
    <m/>
    <m/>
    <m/>
    <n v="0"/>
    <n v="0"/>
    <n v="53355.554819307523"/>
  </r>
  <r>
    <x v="257"/>
    <x v="4"/>
    <x v="56"/>
    <x v="0"/>
    <x v="5"/>
    <x v="2676"/>
    <x v="25"/>
    <s v="POS"/>
    <n v="1"/>
    <n v="200"/>
    <n v="200"/>
    <n v="0"/>
    <m/>
    <m/>
    <m/>
    <m/>
    <n v="0"/>
    <n v="0"/>
    <n v="53355.554819307523"/>
  </r>
  <r>
    <x v="257"/>
    <x v="4"/>
    <x v="32"/>
    <x v="0"/>
    <x v="5"/>
    <x v="2677"/>
    <x v="25"/>
    <s v="POS"/>
    <n v="0.18"/>
    <n v="400"/>
    <n v="72"/>
    <n v="0"/>
    <m/>
    <m/>
    <m/>
    <m/>
    <n v="0"/>
    <n v="0"/>
    <n v="53355.554819307523"/>
  </r>
  <r>
    <x v="257"/>
    <x v="4"/>
    <x v="33"/>
    <x v="0"/>
    <x v="5"/>
    <x v="2677"/>
    <x v="25"/>
    <s v="POS"/>
    <n v="0.46250000000000002"/>
    <n v="400"/>
    <n v="185"/>
    <n v="0"/>
    <m/>
    <m/>
    <m/>
    <m/>
    <n v="0"/>
    <n v="0"/>
    <n v="53355.554819307523"/>
  </r>
  <r>
    <x v="257"/>
    <x v="4"/>
    <x v="29"/>
    <x v="0"/>
    <x v="5"/>
    <x v="2677"/>
    <x v="25"/>
    <s v="POS"/>
    <n v="6.3529411764705876E-2"/>
    <n v="850"/>
    <n v="53.999999999999993"/>
    <n v="0"/>
    <m/>
    <m/>
    <m/>
    <m/>
    <n v="0"/>
    <n v="0"/>
    <n v="53355.554819307523"/>
  </r>
  <r>
    <x v="257"/>
    <x v="4"/>
    <x v="27"/>
    <x v="0"/>
    <x v="5"/>
    <x v="2677"/>
    <x v="25"/>
    <s v="POS"/>
    <n v="0.12"/>
    <n v="400"/>
    <n v="48"/>
    <n v="0"/>
    <m/>
    <m/>
    <m/>
    <m/>
    <n v="0"/>
    <n v="0"/>
    <n v="53355.554819307523"/>
  </r>
  <r>
    <x v="257"/>
    <x v="4"/>
    <x v="24"/>
    <x v="0"/>
    <x v="5"/>
    <x v="2677"/>
    <x v="25"/>
    <s v="POS"/>
    <n v="0.15230769230769231"/>
    <n v="650"/>
    <n v="99"/>
    <n v="0"/>
    <m/>
    <m/>
    <m/>
    <m/>
    <n v="0"/>
    <n v="0"/>
    <n v="53355.554819307523"/>
  </r>
  <r>
    <x v="257"/>
    <x v="4"/>
    <x v="28"/>
    <x v="0"/>
    <x v="5"/>
    <x v="2677"/>
    <x v="25"/>
    <s v="POS"/>
    <n v="0.28199999999999997"/>
    <n v="500"/>
    <n v="141"/>
    <n v="0"/>
    <m/>
    <m/>
    <m/>
    <m/>
    <n v="0"/>
    <n v="0"/>
    <n v="53355.554819307523"/>
  </r>
  <r>
    <x v="257"/>
    <x v="4"/>
    <x v="31"/>
    <x v="0"/>
    <x v="5"/>
    <x v="2677"/>
    <x v="25"/>
    <s v="POS"/>
    <n v="0.2225"/>
    <n v="390"/>
    <n v="86.775000000000006"/>
    <n v="0"/>
    <m/>
    <m/>
    <m/>
    <m/>
    <n v="0"/>
    <n v="0"/>
    <n v="53355.554819307523"/>
  </r>
  <r>
    <x v="257"/>
    <x v="4"/>
    <x v="25"/>
    <x v="0"/>
    <x v="5"/>
    <x v="2677"/>
    <x v="25"/>
    <s v="POS"/>
    <n v="0.185"/>
    <n v="350"/>
    <n v="64.75"/>
    <n v="0"/>
    <m/>
    <m/>
    <m/>
    <m/>
    <n v="0"/>
    <n v="0"/>
    <n v="53355.554819307523"/>
  </r>
  <r>
    <x v="257"/>
    <x v="4"/>
    <x v="56"/>
    <x v="0"/>
    <x v="1"/>
    <x v="2678"/>
    <x v="25"/>
    <s v="NAKİT"/>
    <n v="1"/>
    <n v="200"/>
    <n v="0"/>
    <n v="0"/>
    <m/>
    <m/>
    <m/>
    <m/>
    <n v="200"/>
    <n v="0"/>
    <n v="53555.554819307523"/>
  </r>
  <r>
    <x v="257"/>
    <x v="4"/>
    <x v="55"/>
    <x v="0"/>
    <x v="1"/>
    <x v="2678"/>
    <x v="25"/>
    <s v="NAKİT"/>
    <n v="1"/>
    <n v="200"/>
    <n v="0"/>
    <n v="0"/>
    <m/>
    <m/>
    <m/>
    <m/>
    <n v="200"/>
    <n v="0"/>
    <n v="53755.554819307523"/>
  </r>
  <r>
    <x v="257"/>
    <x v="4"/>
    <x v="384"/>
    <x v="0"/>
    <x v="5"/>
    <x v="2678"/>
    <x v="25"/>
    <s v="POS"/>
    <n v="1"/>
    <n v="295"/>
    <n v="295"/>
    <n v="0"/>
    <m/>
    <m/>
    <m/>
    <m/>
    <n v="0"/>
    <n v="0"/>
    <n v="53755.554819307523"/>
  </r>
  <r>
    <x v="257"/>
    <x v="4"/>
    <x v="55"/>
    <x v="0"/>
    <x v="5"/>
    <x v="2679"/>
    <x v="25"/>
    <s v="POS"/>
    <n v="1"/>
    <n v="200"/>
    <n v="200"/>
    <n v="0"/>
    <m/>
    <m/>
    <m/>
    <m/>
    <n v="0"/>
    <n v="0"/>
    <n v="53755.554819307523"/>
  </r>
  <r>
    <x v="257"/>
    <x v="4"/>
    <x v="57"/>
    <x v="0"/>
    <x v="5"/>
    <x v="2679"/>
    <x v="25"/>
    <s v="POS"/>
    <n v="1"/>
    <n v="150"/>
    <n v="150"/>
    <n v="0"/>
    <m/>
    <m/>
    <m/>
    <m/>
    <n v="0"/>
    <n v="0"/>
    <n v="53755.554819307523"/>
  </r>
  <r>
    <x v="257"/>
    <x v="10"/>
    <x v="0"/>
    <x v="0"/>
    <x v="5"/>
    <x v="2"/>
    <x v="63"/>
    <s v="POS"/>
    <n v="1"/>
    <n v="385"/>
    <n v="0"/>
    <n v="385"/>
    <m/>
    <m/>
    <m/>
    <m/>
    <n v="385"/>
    <n v="0"/>
    <n v="54140.554819307523"/>
  </r>
  <r>
    <x v="257"/>
    <x v="10"/>
    <x v="0"/>
    <x v="0"/>
    <x v="5"/>
    <x v="2"/>
    <x v="63"/>
    <s v="POS"/>
    <n v="1"/>
    <n v="2826"/>
    <n v="0"/>
    <n v="2826"/>
    <m/>
    <m/>
    <m/>
    <m/>
    <n v="2826"/>
    <n v="0"/>
    <n v="56966.554819307523"/>
  </r>
  <r>
    <x v="258"/>
    <x v="3"/>
    <x v="70"/>
    <x v="0"/>
    <x v="12"/>
    <x v="2680"/>
    <x v="148"/>
    <s v="CARİ"/>
    <n v="5"/>
    <n v="100.7475"/>
    <n v="0"/>
    <n v="503.73750000000001"/>
    <m/>
    <m/>
    <m/>
    <m/>
    <n v="0"/>
    <n v="0"/>
    <n v="56966.554819307523"/>
  </r>
  <r>
    <x v="258"/>
    <x v="3"/>
    <x v="242"/>
    <x v="0"/>
    <x v="12"/>
    <x v="2680"/>
    <x v="148"/>
    <s v="CARİ"/>
    <n v="5"/>
    <n v="254.26750000000001"/>
    <n v="0"/>
    <n v="1271.3375000000001"/>
    <m/>
    <m/>
    <m/>
    <m/>
    <n v="0"/>
    <n v="0"/>
    <n v="56966.554819307523"/>
  </r>
  <r>
    <x v="258"/>
    <x v="3"/>
    <x v="119"/>
    <x v="0"/>
    <x v="12"/>
    <x v="2680"/>
    <x v="148"/>
    <s v="CARİ"/>
    <n v="5"/>
    <n v="575.70000000000005"/>
    <n v="0"/>
    <n v="2878.5"/>
    <m/>
    <m/>
    <m/>
    <m/>
    <n v="0"/>
    <n v="0"/>
    <n v="56966.554819307523"/>
  </r>
  <r>
    <x v="258"/>
    <x v="3"/>
    <x v="101"/>
    <x v="0"/>
    <x v="12"/>
    <x v="2680"/>
    <x v="148"/>
    <s v="CARİ"/>
    <n v="5"/>
    <n v="105.545"/>
    <n v="0"/>
    <n v="527.72500000000002"/>
    <m/>
    <m/>
    <m/>
    <m/>
    <n v="0"/>
    <n v="0"/>
    <n v="56966.554819307523"/>
  </r>
  <r>
    <x v="258"/>
    <x v="3"/>
    <x v="248"/>
    <x v="0"/>
    <x v="12"/>
    <x v="2680"/>
    <x v="148"/>
    <s v="CARİ"/>
    <n v="5"/>
    <n v="527.72500000000002"/>
    <n v="0"/>
    <n v="2638.625"/>
    <m/>
    <m/>
    <m/>
    <m/>
    <n v="0"/>
    <n v="0"/>
    <n v="56966.554819307523"/>
  </r>
  <r>
    <x v="258"/>
    <x v="4"/>
    <x v="33"/>
    <x v="0"/>
    <x v="1"/>
    <x v="2681"/>
    <x v="194"/>
    <s v="NAKİT"/>
    <n v="0.13"/>
    <n v="400"/>
    <n v="0"/>
    <n v="0"/>
    <m/>
    <m/>
    <m/>
    <m/>
    <n v="52"/>
    <n v="0"/>
    <n v="57018.554819307523"/>
  </r>
  <r>
    <x v="258"/>
    <x v="4"/>
    <x v="27"/>
    <x v="0"/>
    <x v="1"/>
    <x v="2681"/>
    <x v="194"/>
    <s v="NAKİT"/>
    <n v="0.27"/>
    <n v="400"/>
    <n v="0"/>
    <n v="0"/>
    <m/>
    <m/>
    <m/>
    <m/>
    <n v="108"/>
    <n v="0"/>
    <n v="57126.554819307523"/>
  </r>
  <r>
    <x v="258"/>
    <x v="4"/>
    <x v="312"/>
    <x v="0"/>
    <x v="1"/>
    <x v="2681"/>
    <x v="194"/>
    <s v="NAKİT"/>
    <n v="0.5"/>
    <n v="350"/>
    <n v="0"/>
    <n v="0"/>
    <m/>
    <m/>
    <m/>
    <m/>
    <n v="175"/>
    <n v="0"/>
    <n v="57301.554819307523"/>
  </r>
  <r>
    <x v="258"/>
    <x v="4"/>
    <x v="51"/>
    <x v="0"/>
    <x v="1"/>
    <x v="2682"/>
    <x v="25"/>
    <s v="NAKİT"/>
    <n v="0.1"/>
    <n v="400"/>
    <n v="0"/>
    <n v="0"/>
    <m/>
    <m/>
    <m/>
    <m/>
    <n v="40"/>
    <n v="0"/>
    <n v="57341.554819307523"/>
  </r>
  <r>
    <x v="258"/>
    <x v="4"/>
    <x v="18"/>
    <x v="0"/>
    <x v="5"/>
    <x v="2683"/>
    <x v="25"/>
    <s v="POS"/>
    <n v="2"/>
    <n v="270"/>
    <n v="540"/>
    <n v="0"/>
    <m/>
    <m/>
    <m/>
    <m/>
    <n v="0"/>
    <n v="0"/>
    <n v="57341.554819307523"/>
  </r>
  <r>
    <x v="258"/>
    <x v="4"/>
    <x v="19"/>
    <x v="0"/>
    <x v="5"/>
    <x v="2683"/>
    <x v="25"/>
    <s v="POS"/>
    <n v="1"/>
    <n v="250"/>
    <n v="250"/>
    <n v="0"/>
    <m/>
    <m/>
    <m/>
    <m/>
    <n v="0"/>
    <n v="0"/>
    <n v="57341.554819307523"/>
  </r>
  <r>
    <x v="258"/>
    <x v="4"/>
    <x v="24"/>
    <x v="0"/>
    <x v="1"/>
    <x v="2684"/>
    <x v="25"/>
    <s v="NAKİT"/>
    <n v="8.1538461538461532E-2"/>
    <n v="650"/>
    <n v="0"/>
    <n v="0"/>
    <m/>
    <m/>
    <m/>
    <m/>
    <n v="52.999999999999993"/>
    <n v="0"/>
    <n v="57394.554819307523"/>
  </r>
  <r>
    <x v="258"/>
    <x v="4"/>
    <x v="18"/>
    <x v="0"/>
    <x v="5"/>
    <x v="2685"/>
    <x v="25"/>
    <s v="POS"/>
    <n v="1"/>
    <n v="270"/>
    <n v="270"/>
    <n v="0"/>
    <m/>
    <m/>
    <m/>
    <m/>
    <n v="0"/>
    <n v="0"/>
    <n v="57394.554819307523"/>
  </r>
  <r>
    <x v="258"/>
    <x v="4"/>
    <x v="38"/>
    <x v="0"/>
    <x v="5"/>
    <x v="2686"/>
    <x v="25"/>
    <s v="POS"/>
    <n v="0.1"/>
    <n v="750"/>
    <n v="75"/>
    <n v="0"/>
    <m/>
    <m/>
    <m/>
    <m/>
    <n v="0"/>
    <n v="0"/>
    <n v="57394.554819307523"/>
  </r>
  <r>
    <x v="258"/>
    <x v="4"/>
    <x v="54"/>
    <x v="0"/>
    <x v="5"/>
    <x v="2686"/>
    <x v="25"/>
    <s v="POS"/>
    <n v="0.1"/>
    <n v="400"/>
    <n v="40"/>
    <n v="0"/>
    <m/>
    <m/>
    <m/>
    <m/>
    <n v="0"/>
    <n v="0"/>
    <n v="57394.554819307523"/>
  </r>
  <r>
    <x v="258"/>
    <x v="4"/>
    <x v="29"/>
    <x v="0"/>
    <x v="1"/>
    <x v="2687"/>
    <x v="25"/>
    <s v="NAKİT"/>
    <n v="2.7058823529411764E-2"/>
    <n v="850"/>
    <n v="0"/>
    <n v="0"/>
    <m/>
    <m/>
    <m/>
    <m/>
    <n v="23"/>
    <n v="0"/>
    <n v="57417.554819307523"/>
  </r>
  <r>
    <x v="258"/>
    <x v="10"/>
    <x v="0"/>
    <x v="0"/>
    <x v="5"/>
    <x v="2"/>
    <x v="255"/>
    <s v="POS"/>
    <n v="1"/>
    <n v="7819.93"/>
    <n v="0"/>
    <n v="7819.93"/>
    <m/>
    <m/>
    <m/>
    <m/>
    <n v="0"/>
    <n v="0"/>
    <n v="57417.554819307523"/>
  </r>
  <r>
    <x v="258"/>
    <x v="7"/>
    <x v="0"/>
    <x v="0"/>
    <x v="12"/>
    <x v="2"/>
    <x v="255"/>
    <s v="CARİ"/>
    <n v="1"/>
    <n v="7819.93"/>
    <n v="7819.93"/>
    <n v="0"/>
    <m/>
    <m/>
    <m/>
    <m/>
    <n v="0"/>
    <n v="0"/>
    <n v="57417.554819307523"/>
  </r>
  <r>
    <x v="258"/>
    <x v="10"/>
    <x v="0"/>
    <x v="0"/>
    <x v="5"/>
    <x v="2"/>
    <x v="63"/>
    <s v="POS"/>
    <n v="1"/>
    <n v="145"/>
    <n v="0"/>
    <n v="145"/>
    <m/>
    <m/>
    <m/>
    <m/>
    <n v="145"/>
    <n v="0"/>
    <n v="57562.554819307523"/>
  </r>
  <r>
    <x v="259"/>
    <x v="3"/>
    <x v="122"/>
    <x v="0"/>
    <x v="2"/>
    <x v="2688"/>
    <x v="265"/>
    <s v="CARİ"/>
    <n v="0.5"/>
    <n v="780"/>
    <n v="0"/>
    <n v="390"/>
    <m/>
    <m/>
    <m/>
    <m/>
    <n v="0"/>
    <n v="0"/>
    <n v="57562.554819307523"/>
  </r>
  <r>
    <x v="259"/>
    <x v="4"/>
    <x v="403"/>
    <x v="0"/>
    <x v="5"/>
    <x v="2689"/>
    <x v="25"/>
    <s v="POS"/>
    <n v="0.75"/>
    <n v="65"/>
    <n v="48.75"/>
    <n v="0"/>
    <m/>
    <m/>
    <m/>
    <m/>
    <n v="0"/>
    <n v="0"/>
    <n v="57562.554819307523"/>
  </r>
  <r>
    <x v="259"/>
    <x v="4"/>
    <x v="287"/>
    <x v="0"/>
    <x v="5"/>
    <x v="2689"/>
    <x v="25"/>
    <s v="POS"/>
    <n v="1.008"/>
    <n v="65"/>
    <n v="65.52"/>
    <n v="0"/>
    <m/>
    <m/>
    <m/>
    <m/>
    <n v="0"/>
    <n v="0"/>
    <n v="57562.554819307523"/>
  </r>
  <r>
    <x v="259"/>
    <x v="4"/>
    <x v="50"/>
    <x v="0"/>
    <x v="5"/>
    <x v="2689"/>
    <x v="25"/>
    <s v="POS"/>
    <n v="0.08"/>
    <n v="750"/>
    <n v="60"/>
    <n v="0"/>
    <m/>
    <m/>
    <m/>
    <m/>
    <n v="0"/>
    <n v="0"/>
    <n v="57562.554819307523"/>
  </r>
  <r>
    <x v="259"/>
    <x v="4"/>
    <x v="88"/>
    <x v="0"/>
    <x v="5"/>
    <x v="2689"/>
    <x v="25"/>
    <s v="POS"/>
    <n v="0.05"/>
    <n v="1200"/>
    <n v="60"/>
    <n v="0"/>
    <m/>
    <m/>
    <m/>
    <m/>
    <n v="0"/>
    <n v="0"/>
    <n v="57562.554819307523"/>
  </r>
  <r>
    <x v="259"/>
    <x v="4"/>
    <x v="51"/>
    <x v="0"/>
    <x v="5"/>
    <x v="2689"/>
    <x v="25"/>
    <s v="POS"/>
    <n v="0.1"/>
    <n v="400"/>
    <n v="40"/>
    <n v="0"/>
    <m/>
    <m/>
    <m/>
    <m/>
    <n v="0"/>
    <n v="0"/>
    <n v="57562.554819307523"/>
  </r>
  <r>
    <x v="259"/>
    <x v="4"/>
    <x v="25"/>
    <x v="0"/>
    <x v="5"/>
    <x v="2689"/>
    <x v="25"/>
    <s v="POS"/>
    <n v="0.08"/>
    <n v="400"/>
    <n v="32"/>
    <n v="0"/>
    <m/>
    <m/>
    <m/>
    <m/>
    <n v="0"/>
    <n v="0"/>
    <n v="57562.554819307523"/>
  </r>
  <r>
    <x v="259"/>
    <x v="4"/>
    <x v="347"/>
    <x v="0"/>
    <x v="5"/>
    <x v="2690"/>
    <x v="25"/>
    <s v="POS"/>
    <n v="0.14000000000000001"/>
    <n v="700"/>
    <n v="98.000000000000014"/>
    <n v="0"/>
    <m/>
    <m/>
    <m/>
    <m/>
    <n v="0"/>
    <n v="0"/>
    <n v="57562.554819307523"/>
  </r>
  <r>
    <x v="259"/>
    <x v="4"/>
    <x v="248"/>
    <x v="0"/>
    <x v="5"/>
    <x v="2690"/>
    <x v="25"/>
    <s v="POS"/>
    <n v="0.16461538461538461"/>
    <n v="650"/>
    <n v="107"/>
    <n v="0"/>
    <m/>
    <m/>
    <m/>
    <m/>
    <n v="0"/>
    <n v="0"/>
    <n v="57562.554819307523"/>
  </r>
  <r>
    <x v="259"/>
    <x v="4"/>
    <x v="344"/>
    <x v="0"/>
    <x v="5"/>
    <x v="2690"/>
    <x v="25"/>
    <s v="POS"/>
    <n v="0.126"/>
    <n v="500"/>
    <n v="63"/>
    <n v="0"/>
    <m/>
    <m/>
    <m/>
    <m/>
    <n v="0"/>
    <n v="0"/>
    <n v="57562.554819307523"/>
  </r>
  <r>
    <x v="259"/>
    <x v="4"/>
    <x v="66"/>
    <x v="0"/>
    <x v="1"/>
    <x v="2691"/>
    <x v="25"/>
    <s v="NAKİT"/>
    <n v="0.12"/>
    <n v="417"/>
    <n v="0"/>
    <n v="0"/>
    <m/>
    <m/>
    <m/>
    <m/>
    <n v="50.04"/>
    <n v="0"/>
    <n v="57612.594819307524"/>
  </r>
  <r>
    <x v="259"/>
    <x v="4"/>
    <x v="344"/>
    <x v="0"/>
    <x v="1"/>
    <x v="2692"/>
    <x v="25"/>
    <s v="NAKİT"/>
    <n v="0.4"/>
    <n v="450"/>
    <n v="0"/>
    <n v="0"/>
    <m/>
    <m/>
    <m/>
    <m/>
    <n v="180"/>
    <n v="0"/>
    <n v="57792.594819307524"/>
  </r>
  <r>
    <x v="259"/>
    <x v="4"/>
    <x v="248"/>
    <x v="0"/>
    <x v="1"/>
    <x v="2692"/>
    <x v="25"/>
    <s v="NAKİT"/>
    <n v="0.57692307692307687"/>
    <n v="650"/>
    <n v="0"/>
    <n v="0"/>
    <m/>
    <m/>
    <m/>
    <m/>
    <n v="374.99999999999994"/>
    <n v="0"/>
    <n v="58167.594819307524"/>
  </r>
  <r>
    <x v="259"/>
    <x v="4"/>
    <x v="347"/>
    <x v="0"/>
    <x v="1"/>
    <x v="2692"/>
    <x v="25"/>
    <s v="NAKİT"/>
    <n v="0.5"/>
    <n v="680"/>
    <n v="0"/>
    <n v="0"/>
    <m/>
    <m/>
    <m/>
    <m/>
    <n v="340"/>
    <n v="0"/>
    <n v="58507.594819307524"/>
  </r>
  <r>
    <x v="259"/>
    <x v="4"/>
    <x v="142"/>
    <x v="0"/>
    <x v="1"/>
    <x v="2692"/>
    <x v="25"/>
    <s v="NAKİT"/>
    <n v="0.62"/>
    <n v="250"/>
    <n v="0"/>
    <n v="0"/>
    <m/>
    <m/>
    <m/>
    <m/>
    <n v="155"/>
    <n v="0"/>
    <n v="58662.594819307524"/>
  </r>
  <r>
    <x v="259"/>
    <x v="4"/>
    <x v="354"/>
    <x v="0"/>
    <x v="1"/>
    <x v="2693"/>
    <x v="25"/>
    <s v="NAKİT"/>
    <n v="0.1"/>
    <n v="800"/>
    <n v="0"/>
    <n v="0"/>
    <m/>
    <m/>
    <m/>
    <m/>
    <n v="80"/>
    <n v="0"/>
    <n v="58742.594819307524"/>
  </r>
  <r>
    <x v="259"/>
    <x v="4"/>
    <x v="344"/>
    <x v="0"/>
    <x v="1"/>
    <x v="2693"/>
    <x v="25"/>
    <s v="NAKİT"/>
    <n v="0.2"/>
    <n v="500"/>
    <n v="0"/>
    <n v="0"/>
    <m/>
    <m/>
    <m/>
    <m/>
    <n v="100"/>
    <n v="0"/>
    <n v="58842.594819307524"/>
  </r>
  <r>
    <x v="259"/>
    <x v="4"/>
    <x v="248"/>
    <x v="0"/>
    <x v="1"/>
    <x v="2693"/>
    <x v="25"/>
    <s v="NAKİT"/>
    <n v="0.16923076923076924"/>
    <n v="650"/>
    <n v="0"/>
    <n v="0"/>
    <m/>
    <m/>
    <m/>
    <m/>
    <n v="110"/>
    <n v="0"/>
    <n v="58952.594819307524"/>
  </r>
  <r>
    <x v="259"/>
    <x v="4"/>
    <x v="348"/>
    <x v="0"/>
    <x v="1"/>
    <x v="2693"/>
    <x v="25"/>
    <s v="NAKİT"/>
    <n v="1.32"/>
    <n v="50"/>
    <n v="0"/>
    <n v="0"/>
    <m/>
    <m/>
    <m/>
    <m/>
    <n v="66"/>
    <n v="0"/>
    <n v="59018.594819307524"/>
  </r>
  <r>
    <x v="259"/>
    <x v="4"/>
    <x v="287"/>
    <x v="0"/>
    <x v="1"/>
    <x v="2694"/>
    <x v="25"/>
    <s v="NAKİT"/>
    <n v="1.5384615384615385"/>
    <n v="65"/>
    <n v="0"/>
    <n v="0"/>
    <m/>
    <m/>
    <m/>
    <m/>
    <n v="100"/>
    <n v="0"/>
    <n v="59118.594819307524"/>
  </r>
  <r>
    <x v="259"/>
    <x v="4"/>
    <x v="355"/>
    <x v="0"/>
    <x v="1"/>
    <x v="2695"/>
    <x v="25"/>
    <s v="NAKİT"/>
    <n v="1"/>
    <n v="170"/>
    <n v="0"/>
    <n v="0"/>
    <m/>
    <m/>
    <m/>
    <m/>
    <n v="170"/>
    <n v="0"/>
    <n v="59288.594819307524"/>
  </r>
  <r>
    <x v="259"/>
    <x v="4"/>
    <x v="142"/>
    <x v="0"/>
    <x v="1"/>
    <x v="2696"/>
    <x v="25"/>
    <s v="NAKİT"/>
    <n v="0.4"/>
    <n v="250"/>
    <n v="0"/>
    <n v="0"/>
    <m/>
    <m/>
    <m/>
    <m/>
    <n v="100"/>
    <n v="0"/>
    <n v="59388.594819307524"/>
  </r>
  <r>
    <x v="259"/>
    <x v="4"/>
    <x v="445"/>
    <x v="0"/>
    <x v="1"/>
    <x v="2697"/>
    <x v="120"/>
    <s v="NAKİT"/>
    <n v="1"/>
    <n v="90"/>
    <n v="0"/>
    <n v="0"/>
    <m/>
    <m/>
    <m/>
    <m/>
    <n v="90"/>
    <n v="0"/>
    <n v="59478.594819307524"/>
  </r>
  <r>
    <x v="259"/>
    <x v="4"/>
    <x v="129"/>
    <x v="0"/>
    <x v="1"/>
    <x v="2697"/>
    <x v="120"/>
    <s v="NAKİT"/>
    <n v="0.2"/>
    <n v="250"/>
    <n v="0"/>
    <n v="0"/>
    <m/>
    <m/>
    <m/>
    <m/>
    <n v="50"/>
    <n v="0"/>
    <n v="59528.594819307524"/>
  </r>
  <r>
    <x v="259"/>
    <x v="4"/>
    <x v="457"/>
    <x v="0"/>
    <x v="1"/>
    <x v="2697"/>
    <x v="120"/>
    <s v="NAKİT"/>
    <n v="0.34"/>
    <n v="250"/>
    <n v="0"/>
    <n v="0"/>
    <m/>
    <m/>
    <m/>
    <m/>
    <n v="85"/>
    <n v="0"/>
    <n v="59613.594819307524"/>
  </r>
  <r>
    <x v="259"/>
    <x v="4"/>
    <x v="344"/>
    <x v="0"/>
    <x v="1"/>
    <x v="2697"/>
    <x v="120"/>
    <s v="NAKİT"/>
    <n v="0.156"/>
    <n v="500"/>
    <n v="0"/>
    <n v="0"/>
    <m/>
    <m/>
    <m/>
    <m/>
    <n v="78"/>
    <n v="0"/>
    <n v="59691.594819307524"/>
  </r>
  <r>
    <x v="259"/>
    <x v="4"/>
    <x v="393"/>
    <x v="0"/>
    <x v="1"/>
    <x v="2697"/>
    <x v="120"/>
    <s v="NAKİT"/>
    <n v="0.48"/>
    <n v="370"/>
    <n v="0"/>
    <n v="0"/>
    <m/>
    <m/>
    <m/>
    <m/>
    <n v="177.6"/>
    <n v="0"/>
    <n v="59869.194819307522"/>
  </r>
  <r>
    <x v="259"/>
    <x v="4"/>
    <x v="73"/>
    <x v="0"/>
    <x v="1"/>
    <x v="2697"/>
    <x v="120"/>
    <s v="NAKİT"/>
    <n v="0.46400000000000002"/>
    <n v="750"/>
    <n v="0"/>
    <n v="0"/>
    <m/>
    <m/>
    <m/>
    <m/>
    <n v="348"/>
    <n v="0"/>
    <n v="60217.194819307522"/>
  </r>
  <r>
    <x v="259"/>
    <x v="4"/>
    <x v="348"/>
    <x v="0"/>
    <x v="1"/>
    <x v="2698"/>
    <x v="25"/>
    <s v="NAKİT"/>
    <n v="0.24600000000000002"/>
    <n v="50"/>
    <n v="0"/>
    <n v="0"/>
    <m/>
    <m/>
    <m/>
    <m/>
    <n v="12.3"/>
    <n v="0"/>
    <n v="60229.494819307525"/>
  </r>
  <r>
    <x v="259"/>
    <x v="4"/>
    <x v="287"/>
    <x v="0"/>
    <x v="1"/>
    <x v="2698"/>
    <x v="25"/>
    <s v="NAKİT"/>
    <n v="0.46599999999999997"/>
    <n v="50"/>
    <n v="0"/>
    <n v="0"/>
    <m/>
    <m/>
    <m/>
    <m/>
    <n v="23.299999999999997"/>
    <n v="0"/>
    <n v="60252.794819307528"/>
  </r>
  <r>
    <x v="259"/>
    <x v="4"/>
    <x v="286"/>
    <x v="0"/>
    <x v="1"/>
    <x v="2698"/>
    <x v="25"/>
    <s v="NAKİT"/>
    <n v="0.26600000000000001"/>
    <n v="50"/>
    <n v="0"/>
    <n v="0"/>
    <m/>
    <m/>
    <m/>
    <m/>
    <n v="13.3"/>
    <n v="0"/>
    <n v="60266.094819307531"/>
  </r>
  <r>
    <x v="259"/>
    <x v="4"/>
    <x v="70"/>
    <x v="0"/>
    <x v="1"/>
    <x v="2698"/>
    <x v="25"/>
    <s v="NAKİT"/>
    <n v="0.2608695652173913"/>
    <n v="200"/>
    <n v="0"/>
    <n v="0"/>
    <m/>
    <m/>
    <m/>
    <m/>
    <n v="52.173913043478258"/>
    <n v="0"/>
    <n v="60318.268732351011"/>
  </r>
  <r>
    <x v="259"/>
    <x v="4"/>
    <x v="112"/>
    <x v="0"/>
    <x v="1"/>
    <x v="2698"/>
    <x v="25"/>
    <s v="NAKİT"/>
    <n v="4.4999999999999998E-2"/>
    <n v="1150"/>
    <n v="0"/>
    <n v="0"/>
    <m/>
    <m/>
    <m/>
    <m/>
    <n v="51.75"/>
    <n v="0"/>
    <n v="60370.018732351011"/>
  </r>
  <r>
    <x v="259"/>
    <x v="4"/>
    <x v="449"/>
    <x v="0"/>
    <x v="5"/>
    <x v="2699"/>
    <x v="25"/>
    <s v="POS"/>
    <n v="0.18153846153846154"/>
    <n v="650"/>
    <n v="118"/>
    <n v="0"/>
    <m/>
    <m/>
    <m/>
    <m/>
    <n v="0"/>
    <n v="0"/>
    <n v="60370.018732351011"/>
  </r>
  <r>
    <x v="259"/>
    <x v="4"/>
    <x v="358"/>
    <x v="0"/>
    <x v="1"/>
    <x v="2700"/>
    <x v="25"/>
    <s v="NAKİT"/>
    <n v="1"/>
    <n v="275"/>
    <n v="0"/>
    <n v="0"/>
    <m/>
    <m/>
    <m/>
    <m/>
    <n v="275"/>
    <n v="0"/>
    <n v="60645.018732351011"/>
  </r>
  <r>
    <x v="259"/>
    <x v="4"/>
    <x v="348"/>
    <x v="0"/>
    <x v="5"/>
    <x v="2701"/>
    <x v="25"/>
    <s v="POS"/>
    <n v="0.93"/>
    <n v="50"/>
    <n v="46.5"/>
    <n v="0"/>
    <m/>
    <m/>
    <m/>
    <m/>
    <n v="0"/>
    <n v="0"/>
    <n v="60645.018732351011"/>
  </r>
  <r>
    <x v="259"/>
    <x v="4"/>
    <x v="33"/>
    <x v="0"/>
    <x v="5"/>
    <x v="2701"/>
    <x v="25"/>
    <s v="POS"/>
    <n v="0.308"/>
    <n v="360"/>
    <n v="110.88"/>
    <n v="0"/>
    <m/>
    <m/>
    <m/>
    <m/>
    <n v="0"/>
    <n v="0"/>
    <n v="60645.018732351011"/>
  </r>
  <r>
    <x v="259"/>
    <x v="4"/>
    <x v="50"/>
    <x v="0"/>
    <x v="5"/>
    <x v="2701"/>
    <x v="25"/>
    <s v="POS"/>
    <n v="0.08"/>
    <n v="750"/>
    <n v="60"/>
    <n v="0"/>
    <m/>
    <m/>
    <m/>
    <m/>
    <n v="0"/>
    <n v="0"/>
    <n v="60645.018732351011"/>
  </r>
  <r>
    <x v="259"/>
    <x v="4"/>
    <x v="248"/>
    <x v="0"/>
    <x v="5"/>
    <x v="2701"/>
    <x v="25"/>
    <s v="POS"/>
    <n v="0.39"/>
    <n v="650"/>
    <n v="253.5"/>
    <n v="0"/>
    <m/>
    <m/>
    <m/>
    <m/>
    <n v="0"/>
    <n v="0"/>
    <n v="60645.018732351011"/>
  </r>
  <r>
    <x v="259"/>
    <x v="4"/>
    <x v="354"/>
    <x v="0"/>
    <x v="5"/>
    <x v="2701"/>
    <x v="25"/>
    <s v="POS"/>
    <n v="0.1"/>
    <n v="800"/>
    <n v="80"/>
    <n v="0"/>
    <m/>
    <m/>
    <m/>
    <m/>
    <n v="0"/>
    <n v="0"/>
    <n v="60645.018732351011"/>
  </r>
  <r>
    <x v="259"/>
    <x v="4"/>
    <x v="26"/>
    <x v="0"/>
    <x v="5"/>
    <x v="2701"/>
    <x v="25"/>
    <s v="POS"/>
    <n v="0.1"/>
    <n v="500"/>
    <n v="50"/>
    <n v="0"/>
    <m/>
    <m/>
    <m/>
    <m/>
    <n v="0"/>
    <n v="0"/>
    <n v="60645.018732351011"/>
  </r>
  <r>
    <x v="259"/>
    <x v="4"/>
    <x v="151"/>
    <x v="0"/>
    <x v="5"/>
    <x v="2701"/>
    <x v="25"/>
    <s v="POS"/>
    <n v="0.1"/>
    <n v="500"/>
    <n v="50"/>
    <n v="0"/>
    <m/>
    <m/>
    <m/>
    <m/>
    <n v="0"/>
    <n v="0"/>
    <n v="60645.018732351011"/>
  </r>
  <r>
    <x v="259"/>
    <x v="1"/>
    <x v="0"/>
    <x v="12"/>
    <x v="1"/>
    <x v="2"/>
    <x v="267"/>
    <s v="NAKİT"/>
    <n v="1"/>
    <n v="2000"/>
    <n v="0"/>
    <n v="0"/>
    <m/>
    <m/>
    <m/>
    <m/>
    <n v="0"/>
    <n v="2000"/>
    <n v="58645.018732351011"/>
  </r>
  <r>
    <x v="260"/>
    <x v="4"/>
    <x v="285"/>
    <x v="0"/>
    <x v="5"/>
    <x v="2699"/>
    <x v="25"/>
    <s v="POS"/>
    <n v="0.57187500000000002"/>
    <n v="298"/>
    <n v="170.41875000000002"/>
    <n v="0"/>
    <m/>
    <m/>
    <m/>
    <m/>
    <n v="0"/>
    <n v="0"/>
    <n v="58645.018732351011"/>
  </r>
  <r>
    <x v="260"/>
    <x v="4"/>
    <x v="56"/>
    <x v="0"/>
    <x v="1"/>
    <x v="2700"/>
    <x v="25"/>
    <s v="NAKİT"/>
    <n v="1"/>
    <n v="200"/>
    <n v="0"/>
    <n v="0"/>
    <m/>
    <m/>
    <m/>
    <m/>
    <n v="200"/>
    <n v="0"/>
    <n v="58845.018732351011"/>
  </r>
  <r>
    <x v="260"/>
    <x v="4"/>
    <x v="57"/>
    <x v="0"/>
    <x v="1"/>
    <x v="2701"/>
    <x v="25"/>
    <s v="NAKİT"/>
    <n v="1"/>
    <n v="150"/>
    <n v="0"/>
    <n v="0"/>
    <m/>
    <m/>
    <m/>
    <m/>
    <n v="150"/>
    <n v="0"/>
    <n v="58995.018732351011"/>
  </r>
  <r>
    <x v="260"/>
    <x v="4"/>
    <x v="19"/>
    <x v="0"/>
    <x v="5"/>
    <x v="2702"/>
    <x v="25"/>
    <s v="POS"/>
    <n v="1"/>
    <n v="250"/>
    <n v="250"/>
    <n v="0"/>
    <m/>
    <m/>
    <m/>
    <m/>
    <n v="0"/>
    <n v="0"/>
    <n v="58995.018732351011"/>
  </r>
  <r>
    <x v="260"/>
    <x v="4"/>
    <x v="383"/>
    <x v="0"/>
    <x v="5"/>
    <x v="2703"/>
    <x v="25"/>
    <s v="POS"/>
    <n v="0.1"/>
    <n v="400"/>
    <n v="40"/>
    <n v="0"/>
    <m/>
    <m/>
    <m/>
    <m/>
    <n v="0"/>
    <n v="0"/>
    <n v="58995.018732351011"/>
  </r>
  <r>
    <x v="260"/>
    <x v="4"/>
    <x v="360"/>
    <x v="0"/>
    <x v="1"/>
    <x v="2704"/>
    <x v="25"/>
    <s v="NAKİT"/>
    <n v="2"/>
    <n v="700"/>
    <n v="0"/>
    <n v="0"/>
    <m/>
    <m/>
    <m/>
    <m/>
    <n v="1400"/>
    <n v="0"/>
    <n v="60395.018732351011"/>
  </r>
  <r>
    <x v="260"/>
    <x v="4"/>
    <x v="360"/>
    <x v="0"/>
    <x v="16"/>
    <x v="2704"/>
    <x v="115"/>
    <s v="CARİ"/>
    <n v="2"/>
    <n v="700"/>
    <n v="1400"/>
    <n v="0"/>
    <m/>
    <m/>
    <m/>
    <m/>
    <n v="0"/>
    <n v="0"/>
    <n v="60395.018732351011"/>
  </r>
  <r>
    <x v="261"/>
    <x v="4"/>
    <x v="392"/>
    <x v="0"/>
    <x v="5"/>
    <x v="2705"/>
    <x v="25"/>
    <s v="POS"/>
    <n v="0.15405405405405406"/>
    <n v="370"/>
    <n v="57"/>
    <n v="0"/>
    <m/>
    <m/>
    <m/>
    <m/>
    <n v="0"/>
    <n v="0"/>
    <n v="60395.018732351011"/>
  </r>
  <r>
    <x v="261"/>
    <x v="4"/>
    <x v="344"/>
    <x v="0"/>
    <x v="5"/>
    <x v="2705"/>
    <x v="25"/>
    <s v="POS"/>
    <n v="0.154"/>
    <n v="475"/>
    <n v="73.150000000000006"/>
    <n v="0"/>
    <m/>
    <m/>
    <m/>
    <m/>
    <n v="0"/>
    <n v="0"/>
    <n v="60395.018732351011"/>
  </r>
  <r>
    <x v="261"/>
    <x v="4"/>
    <x v="30"/>
    <x v="0"/>
    <x v="5"/>
    <x v="2706"/>
    <x v="25"/>
    <s v="POS"/>
    <n v="0.11"/>
    <n v="500"/>
    <n v="55"/>
    <n v="0"/>
    <m/>
    <m/>
    <m/>
    <m/>
    <n v="0"/>
    <n v="0"/>
    <n v="60395.018732351011"/>
  </r>
  <r>
    <x v="261"/>
    <x v="4"/>
    <x v="161"/>
    <x v="0"/>
    <x v="5"/>
    <x v="2706"/>
    <x v="25"/>
    <s v="POS"/>
    <n v="0.16750000000000001"/>
    <n v="400"/>
    <n v="67"/>
    <n v="0"/>
    <m/>
    <m/>
    <m/>
    <m/>
    <n v="0"/>
    <n v="0"/>
    <n v="60395.018732351011"/>
  </r>
  <r>
    <x v="261"/>
    <x v="4"/>
    <x v="347"/>
    <x v="0"/>
    <x v="5"/>
    <x v="2706"/>
    <x v="25"/>
    <s v="POS"/>
    <n v="0.25142857142857145"/>
    <n v="700"/>
    <n v="176"/>
    <n v="0"/>
    <m/>
    <m/>
    <m/>
    <m/>
    <n v="0"/>
    <n v="0"/>
    <n v="60395.018732351011"/>
  </r>
  <r>
    <x v="261"/>
    <x v="4"/>
    <x v="27"/>
    <x v="0"/>
    <x v="1"/>
    <x v="2707"/>
    <x v="25"/>
    <s v="NAKİT"/>
    <n v="3.2500000000000001E-2"/>
    <n v="400"/>
    <n v="0"/>
    <n v="0"/>
    <m/>
    <m/>
    <m/>
    <m/>
    <n v="13"/>
    <n v="0"/>
    <n v="60408.018732351011"/>
  </r>
  <r>
    <x v="261"/>
    <x v="4"/>
    <x v="244"/>
    <x v="0"/>
    <x v="5"/>
    <x v="2708"/>
    <x v="25"/>
    <s v="POS"/>
    <n v="1.5"/>
    <n v="60"/>
    <n v="90"/>
    <n v="0"/>
    <m/>
    <m/>
    <m/>
    <m/>
    <n v="0"/>
    <n v="0"/>
    <n v="60408.018732351011"/>
  </r>
  <r>
    <x v="261"/>
    <x v="1"/>
    <x v="0"/>
    <x v="16"/>
    <x v="1"/>
    <x v="2"/>
    <x v="98"/>
    <s v="NAKİT"/>
    <n v="1"/>
    <n v="921.37"/>
    <n v="0"/>
    <n v="0"/>
    <m/>
    <m/>
    <m/>
    <m/>
    <n v="0"/>
    <n v="921.37"/>
    <n v="59486.648732351008"/>
  </r>
  <r>
    <x v="261"/>
    <x v="10"/>
    <x v="0"/>
    <x v="0"/>
    <x v="5"/>
    <x v="2"/>
    <x v="248"/>
    <s v="POS"/>
    <n v="1"/>
    <n v="791"/>
    <n v="0"/>
    <n v="791"/>
    <m/>
    <m/>
    <m/>
    <m/>
    <n v="791"/>
    <n v="0"/>
    <n v="60277.648732351008"/>
  </r>
  <r>
    <x v="261"/>
    <x v="1"/>
    <x v="0"/>
    <x v="13"/>
    <x v="1"/>
    <x v="2"/>
    <x v="248"/>
    <s v="NAKİT"/>
    <n v="1"/>
    <n v="791"/>
    <n v="0"/>
    <n v="0"/>
    <m/>
    <m/>
    <m/>
    <m/>
    <n v="0"/>
    <n v="791"/>
    <n v="59486.648732351008"/>
  </r>
  <r>
    <x v="262"/>
    <x v="4"/>
    <x v="347"/>
    <x v="0"/>
    <x v="5"/>
    <x v="2709"/>
    <x v="25"/>
    <s v="POS"/>
    <n v="0.19742857142857143"/>
    <n v="700"/>
    <n v="138.19999999999999"/>
    <n v="0"/>
    <m/>
    <m/>
    <m/>
    <m/>
    <n v="0"/>
    <n v="0"/>
    <n v="59486.648732351008"/>
  </r>
  <r>
    <x v="262"/>
    <x v="4"/>
    <x v="142"/>
    <x v="0"/>
    <x v="5"/>
    <x v="2709"/>
    <x v="25"/>
    <s v="POS"/>
    <n v="0.26800000000000002"/>
    <n v="250"/>
    <n v="67"/>
    <n v="0"/>
    <m/>
    <m/>
    <m/>
    <m/>
    <n v="0"/>
    <n v="0"/>
    <n v="59486.648732351008"/>
  </r>
  <r>
    <x v="262"/>
    <x v="4"/>
    <x v="121"/>
    <x v="0"/>
    <x v="5"/>
    <x v="2709"/>
    <x v="25"/>
    <s v="POS"/>
    <n v="0.1"/>
    <n v="1500"/>
    <n v="150"/>
    <n v="0"/>
    <m/>
    <m/>
    <m/>
    <m/>
    <n v="0"/>
    <n v="0"/>
    <n v="59486.648732351008"/>
  </r>
  <r>
    <x v="262"/>
    <x v="4"/>
    <x v="50"/>
    <x v="0"/>
    <x v="5"/>
    <x v="2709"/>
    <x v="25"/>
    <s v="POS"/>
    <n v="0.08"/>
    <n v="750"/>
    <n v="60"/>
    <n v="0"/>
    <m/>
    <m/>
    <m/>
    <m/>
    <n v="0"/>
    <n v="0"/>
    <n v="59486.648732351008"/>
  </r>
  <r>
    <x v="262"/>
    <x v="4"/>
    <x v="354"/>
    <x v="0"/>
    <x v="5"/>
    <x v="2709"/>
    <x v="25"/>
    <s v="POS"/>
    <n v="0.1"/>
    <n v="800"/>
    <n v="80"/>
    <n v="0"/>
    <m/>
    <m/>
    <m/>
    <m/>
    <n v="0"/>
    <n v="0"/>
    <n v="59486.648732351008"/>
  </r>
  <r>
    <x v="262"/>
    <x v="4"/>
    <x v="66"/>
    <x v="0"/>
    <x v="5"/>
    <x v="2709"/>
    <x v="25"/>
    <s v="POS"/>
    <n v="0.12"/>
    <n v="417"/>
    <n v="50.04"/>
    <n v="0"/>
    <m/>
    <m/>
    <m/>
    <m/>
    <n v="0"/>
    <n v="0"/>
    <n v="59486.648732351008"/>
  </r>
  <r>
    <x v="262"/>
    <x v="4"/>
    <x v="27"/>
    <x v="0"/>
    <x v="5"/>
    <x v="2709"/>
    <x v="25"/>
    <s v="POS"/>
    <n v="4.2000000000000003E-2"/>
    <n v="400"/>
    <n v="16.8"/>
    <n v="0"/>
    <m/>
    <m/>
    <m/>
    <m/>
    <n v="0"/>
    <n v="0"/>
    <n v="59486.648732351008"/>
  </r>
  <r>
    <x v="262"/>
    <x v="4"/>
    <x v="38"/>
    <x v="0"/>
    <x v="1"/>
    <x v="2710"/>
    <x v="25"/>
    <s v="NAKİT"/>
    <n v="0.44285714285714284"/>
    <n v="700"/>
    <n v="0"/>
    <n v="0"/>
    <m/>
    <m/>
    <m/>
    <m/>
    <n v="310"/>
    <n v="0"/>
    <n v="59796.648732351008"/>
  </r>
  <r>
    <x v="262"/>
    <x v="4"/>
    <x v="81"/>
    <x v="0"/>
    <x v="1"/>
    <x v="2710"/>
    <x v="25"/>
    <s v="NAKİT"/>
    <n v="0.5"/>
    <n v="140"/>
    <n v="0"/>
    <n v="0"/>
    <m/>
    <m/>
    <m/>
    <m/>
    <n v="70"/>
    <n v="0"/>
    <n v="59866.648732351008"/>
  </r>
  <r>
    <x v="262"/>
    <x v="4"/>
    <x v="161"/>
    <x v="0"/>
    <x v="1"/>
    <x v="2711"/>
    <x v="25"/>
    <s v="NAKİT"/>
    <n v="0.1875"/>
    <n v="400"/>
    <n v="0"/>
    <n v="0"/>
    <m/>
    <m/>
    <m/>
    <m/>
    <n v="75"/>
    <n v="0"/>
    <n v="59941.648732351008"/>
  </r>
  <r>
    <x v="263"/>
    <x v="4"/>
    <x v="66"/>
    <x v="0"/>
    <x v="5"/>
    <x v="2712"/>
    <x v="25"/>
    <s v="POS"/>
    <n v="0.11990407673860912"/>
    <n v="417"/>
    <n v="50"/>
    <n v="0"/>
    <m/>
    <m/>
    <m/>
    <m/>
    <n v="0"/>
    <n v="0"/>
    <n v="59941.648732351008"/>
  </r>
  <r>
    <x v="263"/>
    <x v="4"/>
    <x v="456"/>
    <x v="0"/>
    <x v="1"/>
    <x v="2713"/>
    <x v="25"/>
    <s v="NAKİT"/>
    <n v="0.34"/>
    <n v="250"/>
    <n v="0"/>
    <n v="0"/>
    <m/>
    <m/>
    <m/>
    <m/>
    <n v="85"/>
    <n v="0"/>
    <n v="60026.648732351008"/>
  </r>
  <r>
    <x v="263"/>
    <x v="4"/>
    <x v="347"/>
    <x v="0"/>
    <x v="1"/>
    <x v="2713"/>
    <x v="25"/>
    <s v="NAKİT"/>
    <n v="0.32142857142857145"/>
    <n v="700"/>
    <n v="0"/>
    <n v="0"/>
    <m/>
    <m/>
    <m/>
    <m/>
    <n v="225.00000000000003"/>
    <n v="0"/>
    <n v="60251.648732351008"/>
  </r>
  <r>
    <x v="263"/>
    <x v="4"/>
    <x v="444"/>
    <x v="0"/>
    <x v="1"/>
    <x v="2713"/>
    <x v="25"/>
    <s v="NAKİT"/>
    <n v="1"/>
    <n v="500"/>
    <n v="0"/>
    <n v="0"/>
    <m/>
    <m/>
    <m/>
    <m/>
    <n v="500"/>
    <n v="0"/>
    <n v="60751.648732351008"/>
  </r>
  <r>
    <x v="263"/>
    <x v="4"/>
    <x v="163"/>
    <x v="0"/>
    <x v="5"/>
    <x v="2714"/>
    <x v="25"/>
    <s v="POS"/>
    <n v="2"/>
    <n v="60"/>
    <n v="120"/>
    <n v="0"/>
    <m/>
    <m/>
    <m/>
    <m/>
    <n v="0"/>
    <n v="0"/>
    <n v="60751.648732351008"/>
  </r>
  <r>
    <x v="263"/>
    <x v="4"/>
    <x v="287"/>
    <x v="0"/>
    <x v="5"/>
    <x v="2714"/>
    <x v="25"/>
    <s v="POS"/>
    <n v="2.1076923076923078"/>
    <n v="65"/>
    <n v="137"/>
    <n v="0"/>
    <m/>
    <m/>
    <m/>
    <m/>
    <n v="0"/>
    <n v="0"/>
    <n v="60751.648732351008"/>
  </r>
  <r>
    <x v="263"/>
    <x v="4"/>
    <x v="33"/>
    <x v="0"/>
    <x v="5"/>
    <x v="2715"/>
    <x v="258"/>
    <s v="POS"/>
    <n v="1"/>
    <n v="250"/>
    <n v="250"/>
    <n v="0"/>
    <m/>
    <m/>
    <m/>
    <m/>
    <n v="0"/>
    <n v="0"/>
    <n v="60751.648732351008"/>
  </r>
  <r>
    <x v="263"/>
    <x v="4"/>
    <x v="385"/>
    <x v="0"/>
    <x v="5"/>
    <x v="2715"/>
    <x v="258"/>
    <s v="POS"/>
    <n v="1"/>
    <n v="375"/>
    <n v="375"/>
    <n v="0"/>
    <m/>
    <m/>
    <m/>
    <m/>
    <n v="0"/>
    <n v="0"/>
    <n v="60751.648732351008"/>
  </r>
  <r>
    <x v="263"/>
    <x v="4"/>
    <x v="161"/>
    <x v="0"/>
    <x v="5"/>
    <x v="2715"/>
    <x v="258"/>
    <s v="POS"/>
    <n v="1"/>
    <n v="265"/>
    <n v="265"/>
    <n v="0"/>
    <m/>
    <m/>
    <m/>
    <m/>
    <n v="0"/>
    <n v="0"/>
    <n v="60751.648732351008"/>
  </r>
  <r>
    <x v="263"/>
    <x v="4"/>
    <x v="27"/>
    <x v="0"/>
    <x v="1"/>
    <x v="2716"/>
    <x v="25"/>
    <s v="NAKİT"/>
    <n v="5.2499999999999998E-2"/>
    <n v="400"/>
    <n v="0"/>
    <n v="0"/>
    <m/>
    <m/>
    <m/>
    <m/>
    <n v="21"/>
    <n v="0"/>
    <n v="60772.648732351008"/>
  </r>
  <r>
    <x v="263"/>
    <x v="4"/>
    <x v="23"/>
    <x v="0"/>
    <x v="1"/>
    <x v="2716"/>
    <x v="25"/>
    <s v="NAKİT"/>
    <n v="9.3333333333333338E-2"/>
    <n v="300"/>
    <n v="0"/>
    <n v="0"/>
    <m/>
    <m/>
    <m/>
    <m/>
    <n v="28"/>
    <n v="0"/>
    <n v="60800.648732351008"/>
  </r>
  <r>
    <x v="263"/>
    <x v="4"/>
    <x v="19"/>
    <x v="0"/>
    <x v="5"/>
    <x v="2717"/>
    <x v="25"/>
    <s v="POS"/>
    <n v="1"/>
    <n v="230"/>
    <n v="230"/>
    <n v="0"/>
    <m/>
    <m/>
    <m/>
    <m/>
    <n v="0"/>
    <n v="0"/>
    <n v="60800.648732351008"/>
  </r>
  <r>
    <x v="263"/>
    <x v="4"/>
    <x v="18"/>
    <x v="0"/>
    <x v="5"/>
    <x v="2717"/>
    <x v="25"/>
    <s v="POS"/>
    <n v="1"/>
    <n v="270"/>
    <n v="270"/>
    <n v="0"/>
    <m/>
    <m/>
    <m/>
    <m/>
    <n v="0"/>
    <n v="0"/>
    <n v="60800.648732351008"/>
  </r>
  <r>
    <x v="263"/>
    <x v="4"/>
    <x v="359"/>
    <x v="0"/>
    <x v="5"/>
    <x v="2717"/>
    <x v="25"/>
    <s v="POS"/>
    <n v="1"/>
    <n v="550"/>
    <n v="550"/>
    <n v="0"/>
    <m/>
    <m/>
    <m/>
    <m/>
    <n v="0"/>
    <n v="0"/>
    <n v="60800.648732351008"/>
  </r>
  <r>
    <x v="263"/>
    <x v="4"/>
    <x v="49"/>
    <x v="0"/>
    <x v="5"/>
    <x v="2718"/>
    <x v="25"/>
    <s v="POS"/>
    <n v="0.15"/>
    <n v="670"/>
    <n v="100.5"/>
    <n v="0"/>
    <m/>
    <m/>
    <m/>
    <m/>
    <n v="0"/>
    <n v="0"/>
    <n v="60800.648732351008"/>
  </r>
  <r>
    <x v="263"/>
    <x v="4"/>
    <x v="113"/>
    <x v="0"/>
    <x v="1"/>
    <x v="2718"/>
    <x v="25"/>
    <s v="NAKİT"/>
    <n v="0.1"/>
    <n v="1250"/>
    <n v="0"/>
    <n v="0"/>
    <m/>
    <m/>
    <m/>
    <m/>
    <n v="125"/>
    <n v="0"/>
    <n v="60925.648732351008"/>
  </r>
  <r>
    <x v="263"/>
    <x v="4"/>
    <x v="67"/>
    <x v="0"/>
    <x v="1"/>
    <x v="2718"/>
    <x v="25"/>
    <s v="NAKİT"/>
    <n v="0.05"/>
    <n v="900"/>
    <n v="0"/>
    <n v="0"/>
    <m/>
    <m/>
    <m/>
    <m/>
    <n v="45"/>
    <n v="0"/>
    <n v="60970.648732351008"/>
  </r>
  <r>
    <x v="263"/>
    <x v="4"/>
    <x v="356"/>
    <x v="0"/>
    <x v="1"/>
    <x v="2719"/>
    <x v="25"/>
    <s v="NAKİT"/>
    <n v="1"/>
    <n v="20"/>
    <n v="0"/>
    <n v="0"/>
    <m/>
    <m/>
    <m/>
    <m/>
    <n v="20"/>
    <n v="0"/>
    <n v="60990.648732351008"/>
  </r>
  <r>
    <x v="263"/>
    <x v="4"/>
    <x v="179"/>
    <x v="0"/>
    <x v="1"/>
    <x v="2720"/>
    <x v="25"/>
    <s v="NAKİT"/>
    <n v="0.23599999999999999"/>
    <n v="850"/>
    <n v="0"/>
    <n v="0"/>
    <m/>
    <m/>
    <m/>
    <m/>
    <n v="200.6"/>
    <n v="0"/>
    <n v="61191.248732351007"/>
  </r>
  <r>
    <x v="263"/>
    <x v="10"/>
    <x v="0"/>
    <x v="0"/>
    <x v="5"/>
    <x v="2"/>
    <x v="268"/>
    <s v="POS"/>
    <n v="1"/>
    <n v="491.6"/>
    <n v="0"/>
    <n v="491.6"/>
    <m/>
    <m/>
    <m/>
    <m/>
    <n v="491.6"/>
    <n v="0"/>
    <n v="61682.848732351005"/>
  </r>
  <r>
    <x v="263"/>
    <x v="1"/>
    <x v="0"/>
    <x v="13"/>
    <x v="1"/>
    <x v="2"/>
    <x v="268"/>
    <s v="NAKİT"/>
    <n v="1"/>
    <n v="491.6"/>
    <n v="0"/>
    <n v="0"/>
    <m/>
    <m/>
    <m/>
    <m/>
    <n v="0"/>
    <n v="491.6"/>
    <n v="61191.248732351007"/>
  </r>
  <r>
    <x v="263"/>
    <x v="10"/>
    <x v="0"/>
    <x v="0"/>
    <x v="5"/>
    <x v="2"/>
    <x v="268"/>
    <s v="POS"/>
    <n v="1"/>
    <n v="1597.4"/>
    <n v="0"/>
    <n v="1597.4"/>
    <m/>
    <m/>
    <m/>
    <m/>
    <n v="1597.4"/>
    <n v="0"/>
    <n v="62788.648732351008"/>
  </r>
  <r>
    <x v="263"/>
    <x v="1"/>
    <x v="0"/>
    <x v="13"/>
    <x v="1"/>
    <x v="2"/>
    <x v="268"/>
    <s v="NAKİT"/>
    <n v="1"/>
    <n v="1597.4"/>
    <n v="0"/>
    <n v="0"/>
    <m/>
    <m/>
    <m/>
    <m/>
    <n v="0"/>
    <n v="1597.4"/>
    <n v="61191.248732351007"/>
  </r>
  <r>
    <x v="264"/>
    <x v="4"/>
    <x v="347"/>
    <x v="0"/>
    <x v="5"/>
    <x v="2721"/>
    <x v="25"/>
    <s v="POS"/>
    <n v="0.2857142857142857"/>
    <n v="700"/>
    <n v="200"/>
    <n v="0"/>
    <m/>
    <m/>
    <m/>
    <m/>
    <n v="0"/>
    <n v="0"/>
    <n v="61191.248732351007"/>
  </r>
  <r>
    <x v="264"/>
    <x v="4"/>
    <x v="248"/>
    <x v="0"/>
    <x v="5"/>
    <x v="2721"/>
    <x v="25"/>
    <s v="POS"/>
    <n v="0.30769230769230771"/>
    <n v="650"/>
    <n v="200"/>
    <n v="0"/>
    <m/>
    <m/>
    <m/>
    <m/>
    <n v="0"/>
    <n v="0"/>
    <n v="61191.248732351007"/>
  </r>
  <r>
    <x v="264"/>
    <x v="4"/>
    <x v="88"/>
    <x v="0"/>
    <x v="5"/>
    <x v="2721"/>
    <x v="25"/>
    <s v="POS"/>
    <n v="0.05"/>
    <n v="1200"/>
    <n v="60"/>
    <n v="0"/>
    <m/>
    <m/>
    <m/>
    <m/>
    <n v="0"/>
    <n v="0"/>
    <n v="61191.248732351007"/>
  </r>
  <r>
    <x v="264"/>
    <x v="4"/>
    <x v="57"/>
    <x v="0"/>
    <x v="5"/>
    <x v="2722"/>
    <x v="25"/>
    <s v="POS"/>
    <n v="1"/>
    <n v="150"/>
    <n v="150"/>
    <n v="0"/>
    <m/>
    <m/>
    <m/>
    <m/>
    <n v="0"/>
    <n v="0"/>
    <n v="61191.248732351007"/>
  </r>
  <r>
    <x v="264"/>
    <x v="4"/>
    <x v="133"/>
    <x v="0"/>
    <x v="1"/>
    <x v="2723"/>
    <x v="25"/>
    <s v="NAKİT"/>
    <n v="1"/>
    <n v="220"/>
    <n v="0"/>
    <n v="0"/>
    <m/>
    <m/>
    <m/>
    <m/>
    <n v="220"/>
    <n v="0"/>
    <n v="61411.248732351007"/>
  </r>
  <r>
    <x v="264"/>
    <x v="4"/>
    <x v="157"/>
    <x v="0"/>
    <x v="1"/>
    <x v="2723"/>
    <x v="25"/>
    <s v="NAKİT"/>
    <n v="0.5"/>
    <n v="140"/>
    <n v="0"/>
    <n v="0"/>
    <m/>
    <m/>
    <m/>
    <m/>
    <n v="70"/>
    <n v="0"/>
    <n v="61481.248732351007"/>
  </r>
  <r>
    <x v="264"/>
    <x v="4"/>
    <x v="88"/>
    <x v="0"/>
    <x v="1"/>
    <x v="2723"/>
    <x v="25"/>
    <s v="NAKİT"/>
    <n v="0.05"/>
    <n v="1200"/>
    <n v="0"/>
    <n v="0"/>
    <m/>
    <m/>
    <m/>
    <m/>
    <n v="60"/>
    <n v="0"/>
    <n v="61541.248732351007"/>
  </r>
  <r>
    <x v="264"/>
    <x v="4"/>
    <x v="50"/>
    <x v="0"/>
    <x v="1"/>
    <x v="2723"/>
    <x v="25"/>
    <s v="NAKİT"/>
    <n v="0.08"/>
    <n v="750"/>
    <n v="0"/>
    <n v="0"/>
    <m/>
    <m/>
    <m/>
    <m/>
    <n v="60"/>
    <n v="0"/>
    <n v="61601.248732351007"/>
  </r>
  <r>
    <x v="264"/>
    <x v="4"/>
    <x v="18"/>
    <x v="0"/>
    <x v="5"/>
    <x v="2724"/>
    <x v="228"/>
    <s v="POS"/>
    <n v="6"/>
    <n v="230"/>
    <n v="1380"/>
    <n v="0"/>
    <m/>
    <m/>
    <m/>
    <m/>
    <n v="0"/>
    <n v="0"/>
    <n v="61601.248732351007"/>
  </r>
  <r>
    <x v="264"/>
    <x v="4"/>
    <x v="18"/>
    <x v="0"/>
    <x v="5"/>
    <x v="2725"/>
    <x v="25"/>
    <s v="POS"/>
    <n v="1"/>
    <n v="270"/>
    <n v="270"/>
    <n v="0"/>
    <m/>
    <m/>
    <m/>
    <m/>
    <n v="0"/>
    <n v="0"/>
    <n v="61601.248732351007"/>
  </r>
  <r>
    <x v="264"/>
    <x v="4"/>
    <x v="188"/>
    <x v="0"/>
    <x v="5"/>
    <x v="2726"/>
    <x v="25"/>
    <s v="POS"/>
    <n v="1"/>
    <n v="250"/>
    <n v="250"/>
    <n v="0"/>
    <m/>
    <m/>
    <m/>
    <m/>
    <n v="0"/>
    <n v="0"/>
    <n v="61601.248732351007"/>
  </r>
  <r>
    <x v="264"/>
    <x v="4"/>
    <x v="399"/>
    <x v="0"/>
    <x v="1"/>
    <x v="2727"/>
    <x v="25"/>
    <s v="NAKİT"/>
    <n v="1"/>
    <n v="350"/>
    <n v="0"/>
    <n v="0"/>
    <m/>
    <m/>
    <m/>
    <m/>
    <n v="350"/>
    <n v="0"/>
    <n v="61951.248732351007"/>
  </r>
  <r>
    <x v="264"/>
    <x v="4"/>
    <x v="31"/>
    <x v="0"/>
    <x v="1"/>
    <x v="2728"/>
    <x v="25"/>
    <s v="NAKİT"/>
    <n v="0.125"/>
    <n v="400"/>
    <n v="0"/>
    <n v="0"/>
    <m/>
    <m/>
    <m/>
    <m/>
    <n v="50"/>
    <n v="0"/>
    <n v="62001.248732351007"/>
  </r>
  <r>
    <x v="264"/>
    <x v="4"/>
    <x v="360"/>
    <x v="0"/>
    <x v="16"/>
    <x v="2729"/>
    <x v="114"/>
    <s v="CARİ"/>
    <n v="1"/>
    <n v="700"/>
    <n v="700"/>
    <n v="0"/>
    <m/>
    <m/>
    <m/>
    <m/>
    <n v="0"/>
    <n v="0"/>
    <n v="62001.248732351007"/>
  </r>
  <r>
    <x v="264"/>
    <x v="4"/>
    <x v="284"/>
    <x v="0"/>
    <x v="16"/>
    <x v="2729"/>
    <x v="114"/>
    <s v="CARİ"/>
    <n v="1"/>
    <n v="390"/>
    <n v="390"/>
    <n v="0"/>
    <m/>
    <m/>
    <m/>
    <m/>
    <n v="0"/>
    <n v="0"/>
    <n v="62001.248732351007"/>
  </r>
  <r>
    <x v="265"/>
    <x v="4"/>
    <x v="29"/>
    <x v="0"/>
    <x v="1"/>
    <x v="2730"/>
    <x v="25"/>
    <s v="NAKİT"/>
    <n v="5.8823529411764705E-2"/>
    <n v="850"/>
    <n v="0"/>
    <n v="0"/>
    <m/>
    <m/>
    <m/>
    <m/>
    <n v="50"/>
    <n v="0"/>
    <n v="62051.248732351007"/>
  </r>
  <r>
    <x v="265"/>
    <x v="4"/>
    <x v="142"/>
    <x v="0"/>
    <x v="1"/>
    <x v="2730"/>
    <x v="25"/>
    <s v="NAKİT"/>
    <n v="0.4"/>
    <n v="250"/>
    <n v="0"/>
    <n v="0"/>
    <m/>
    <m/>
    <m/>
    <m/>
    <n v="100"/>
    <n v="0"/>
    <n v="62151.248732351007"/>
  </r>
  <r>
    <x v="265"/>
    <x v="4"/>
    <x v="392"/>
    <x v="0"/>
    <x v="1"/>
    <x v="2730"/>
    <x v="25"/>
    <s v="NAKİT"/>
    <n v="0.13513513513513514"/>
    <n v="370"/>
    <n v="0"/>
    <n v="0"/>
    <m/>
    <m/>
    <m/>
    <m/>
    <n v="50"/>
    <n v="0"/>
    <n v="62201.248732351007"/>
  </r>
  <r>
    <x v="265"/>
    <x v="8"/>
    <x v="121"/>
    <x v="0"/>
    <x v="1"/>
    <x v="2"/>
    <x v="45"/>
    <s v="ÜRETİM"/>
    <n v="1"/>
    <n v="1260"/>
    <n v="0"/>
    <n v="0"/>
    <m/>
    <m/>
    <m/>
    <m/>
    <n v="1260"/>
    <n v="0"/>
    <n v="63461.248732351007"/>
  </r>
  <r>
    <x v="265"/>
    <x v="8"/>
    <x v="122"/>
    <x v="0"/>
    <x v="1"/>
    <x v="2"/>
    <x v="45"/>
    <s v="ÜRETİM"/>
    <n v="1"/>
    <n v="780"/>
    <n v="0"/>
    <n v="0"/>
    <m/>
    <m/>
    <m/>
    <m/>
    <n v="780"/>
    <n v="0"/>
    <n v="64241.248732351007"/>
  </r>
  <r>
    <x v="265"/>
    <x v="8"/>
    <x v="119"/>
    <x v="0"/>
    <x v="1"/>
    <x v="2"/>
    <x v="45"/>
    <s v="ÜRETİM"/>
    <n v="2"/>
    <n v="525"/>
    <n v="0"/>
    <n v="0"/>
    <m/>
    <m/>
    <m/>
    <m/>
    <n v="1050"/>
    <n v="0"/>
    <n v="65291.248732351007"/>
  </r>
  <r>
    <x v="265"/>
    <x v="8"/>
    <x v="149"/>
    <x v="0"/>
    <x v="1"/>
    <x v="2"/>
    <x v="45"/>
    <s v="ÜRETİM"/>
    <n v="2"/>
    <n v="500"/>
    <n v="0"/>
    <n v="0"/>
    <m/>
    <m/>
    <m/>
    <m/>
    <n v="1000"/>
    <n v="0"/>
    <n v="66291.248732350999"/>
  </r>
  <r>
    <x v="265"/>
    <x v="8"/>
    <x v="128"/>
    <x v="0"/>
    <x v="1"/>
    <x v="2"/>
    <x v="45"/>
    <s v="ÜRETİM"/>
    <n v="1"/>
    <n v="95"/>
    <n v="0"/>
    <n v="0"/>
    <m/>
    <m/>
    <m/>
    <m/>
    <n v="95"/>
    <n v="0"/>
    <n v="66386.248732350999"/>
  </r>
  <r>
    <x v="265"/>
    <x v="9"/>
    <x v="459"/>
    <x v="0"/>
    <x v="1"/>
    <x v="2"/>
    <x v="45"/>
    <s v="ÜRETİM"/>
    <n v="7"/>
    <n v="597.85714285714289"/>
    <n v="0"/>
    <n v="0"/>
    <m/>
    <m/>
    <m/>
    <m/>
    <n v="0"/>
    <n v="4185"/>
    <n v="62201.248732350999"/>
  </r>
  <r>
    <x v="266"/>
    <x v="3"/>
    <x v="354"/>
    <x v="0"/>
    <x v="2"/>
    <x v="2731"/>
    <x v="269"/>
    <s v="K.K."/>
    <n v="0.52400000000000002"/>
    <n v="445"/>
    <n v="0"/>
    <n v="233.18"/>
    <m/>
    <m/>
    <m/>
    <m/>
    <n v="0"/>
    <n v="0"/>
    <n v="62201.248732350999"/>
  </r>
  <r>
    <x v="266"/>
    <x v="1"/>
    <x v="0"/>
    <x v="10"/>
    <x v="2"/>
    <x v="2731"/>
    <x v="269"/>
    <s v="K.K."/>
    <n v="1"/>
    <n v="1"/>
    <n v="0"/>
    <n v="1"/>
    <m/>
    <m/>
    <m/>
    <m/>
    <n v="0"/>
    <n v="0"/>
    <n v="62201.248732350999"/>
  </r>
  <r>
    <x v="266"/>
    <x v="4"/>
    <x v="25"/>
    <x v="0"/>
    <x v="1"/>
    <x v="2732"/>
    <x v="270"/>
    <s v="NAKİT"/>
    <n v="0.66666666666666663"/>
    <n v="300"/>
    <n v="0"/>
    <n v="0"/>
    <m/>
    <m/>
    <m/>
    <m/>
    <n v="200"/>
    <n v="0"/>
    <n v="62401.248732350999"/>
  </r>
  <r>
    <x v="266"/>
    <x v="4"/>
    <x v="29"/>
    <x v="0"/>
    <x v="1"/>
    <x v="2732"/>
    <x v="270"/>
    <s v="NAKİT"/>
    <n v="0.25"/>
    <n v="800"/>
    <n v="0"/>
    <n v="0"/>
    <m/>
    <m/>
    <m/>
    <m/>
    <n v="200"/>
    <n v="0"/>
    <n v="62601.248732350999"/>
  </r>
  <r>
    <x v="266"/>
    <x v="4"/>
    <x v="142"/>
    <x v="0"/>
    <x v="5"/>
    <x v="2733"/>
    <x v="25"/>
    <s v="POS"/>
    <n v="0.65200000000000002"/>
    <n v="248"/>
    <n v="161.696"/>
    <n v="0"/>
    <m/>
    <m/>
    <m/>
    <m/>
    <n v="0"/>
    <n v="0"/>
    <n v="62601.248732350999"/>
  </r>
  <r>
    <x v="266"/>
    <x v="4"/>
    <x v="248"/>
    <x v="0"/>
    <x v="5"/>
    <x v="2733"/>
    <x v="25"/>
    <s v="POS"/>
    <n v="0.57692307692307687"/>
    <n v="650"/>
    <n v="374.99999999999994"/>
    <n v="0"/>
    <m/>
    <m/>
    <m/>
    <m/>
    <n v="0"/>
    <n v="0"/>
    <n v="62601.248732350999"/>
  </r>
  <r>
    <x v="266"/>
    <x v="4"/>
    <x v="122"/>
    <x v="0"/>
    <x v="5"/>
    <x v="2733"/>
    <x v="25"/>
    <s v="POS"/>
    <n v="0.26666666666666666"/>
    <n v="1400"/>
    <n v="373.33333333333331"/>
    <n v="0"/>
    <m/>
    <m/>
    <m/>
    <m/>
    <n v="0"/>
    <n v="0"/>
    <n v="62601.248732350999"/>
  </r>
  <r>
    <x v="266"/>
    <x v="4"/>
    <x v="384"/>
    <x v="0"/>
    <x v="5"/>
    <x v="2733"/>
    <x v="25"/>
    <s v="POS"/>
    <n v="2"/>
    <n v="295"/>
    <n v="590"/>
    <n v="0"/>
    <m/>
    <m/>
    <m/>
    <m/>
    <n v="0"/>
    <n v="0"/>
    <n v="62601.248732350999"/>
  </r>
  <r>
    <x v="266"/>
    <x v="4"/>
    <x v="57"/>
    <x v="0"/>
    <x v="1"/>
    <x v="2734"/>
    <x v="25"/>
    <s v="NAKİT"/>
    <n v="1"/>
    <n v="150"/>
    <n v="0"/>
    <n v="0"/>
    <m/>
    <m/>
    <m/>
    <m/>
    <n v="150"/>
    <n v="0"/>
    <n v="62751.248732350999"/>
  </r>
  <r>
    <x v="266"/>
    <x v="4"/>
    <x v="63"/>
    <x v="0"/>
    <x v="5"/>
    <x v="2735"/>
    <x v="25"/>
    <s v="POS"/>
    <n v="8.513513513513514E-2"/>
    <n v="740"/>
    <n v="63"/>
    <n v="0"/>
    <m/>
    <m/>
    <m/>
    <m/>
    <n v="0"/>
    <n v="0"/>
    <n v="62751.248732350999"/>
  </r>
  <r>
    <x v="266"/>
    <x v="4"/>
    <x v="162"/>
    <x v="0"/>
    <x v="1"/>
    <x v="2736"/>
    <x v="25"/>
    <s v="NAKİT"/>
    <n v="2"/>
    <n v="50"/>
    <n v="0"/>
    <n v="0"/>
    <m/>
    <m/>
    <m/>
    <m/>
    <n v="100"/>
    <n v="0"/>
    <n v="62851.248732350999"/>
  </r>
  <r>
    <x v="266"/>
    <x v="4"/>
    <x v="18"/>
    <x v="0"/>
    <x v="1"/>
    <x v="2737"/>
    <x v="25"/>
    <s v="NAKİT"/>
    <n v="2"/>
    <n v="270"/>
    <n v="0"/>
    <n v="0"/>
    <m/>
    <m/>
    <m/>
    <m/>
    <n v="540"/>
    <n v="0"/>
    <n v="63391.248732350999"/>
  </r>
  <r>
    <x v="266"/>
    <x v="4"/>
    <x v="99"/>
    <x v="0"/>
    <x v="5"/>
    <x v="2738"/>
    <x v="25"/>
    <s v="POS"/>
    <n v="5.5555555555555552E-2"/>
    <n v="900"/>
    <n v="50"/>
    <n v="0"/>
    <m/>
    <m/>
    <m/>
    <m/>
    <n v="0"/>
    <n v="0"/>
    <n v="63391.248732350999"/>
  </r>
  <r>
    <x v="266"/>
    <x v="4"/>
    <x v="101"/>
    <x v="0"/>
    <x v="5"/>
    <x v="2739"/>
    <x v="25"/>
    <s v="POS"/>
    <n v="0.29799999999999999"/>
    <n v="218.25"/>
    <n v="65.038499999999999"/>
    <n v="0"/>
    <m/>
    <m/>
    <m/>
    <m/>
    <n v="0"/>
    <n v="0"/>
    <n v="63391.248732350999"/>
  </r>
  <r>
    <x v="266"/>
    <x v="4"/>
    <x v="350"/>
    <x v="0"/>
    <x v="5"/>
    <x v="2740"/>
    <x v="25"/>
    <s v="POS"/>
    <n v="1"/>
    <n v="100"/>
    <n v="100"/>
    <n v="0"/>
    <m/>
    <m/>
    <m/>
    <m/>
    <n v="0"/>
    <n v="0"/>
    <n v="63391.248732350999"/>
  </r>
  <r>
    <x v="266"/>
    <x v="4"/>
    <x v="99"/>
    <x v="0"/>
    <x v="5"/>
    <x v="2741"/>
    <x v="271"/>
    <s v="POS"/>
    <n v="0.94444444444444442"/>
    <n v="476.5"/>
    <n v="450.02777777777777"/>
    <n v="0"/>
    <m/>
    <m/>
    <m/>
    <m/>
    <n v="0"/>
    <n v="0"/>
    <n v="63391.248732350999"/>
  </r>
  <r>
    <x v="266"/>
    <x v="4"/>
    <x v="159"/>
    <x v="0"/>
    <x v="1"/>
    <x v="2742"/>
    <x v="25"/>
    <s v="NAKİT"/>
    <n v="1"/>
    <n v="100"/>
    <n v="0"/>
    <n v="0"/>
    <m/>
    <m/>
    <m/>
    <m/>
    <n v="100"/>
    <n v="0"/>
    <n v="63491.248732350999"/>
  </r>
  <r>
    <x v="266"/>
    <x v="4"/>
    <x v="111"/>
    <x v="0"/>
    <x v="1"/>
    <x v="2743"/>
    <x v="25"/>
    <s v="NAKİT"/>
    <n v="0.23714285714285716"/>
    <n v="337.5"/>
    <n v="0"/>
    <n v="0"/>
    <m/>
    <m/>
    <m/>
    <m/>
    <n v="80.035714285714292"/>
    <n v="0"/>
    <n v="63571.284446636717"/>
  </r>
  <r>
    <x v="266"/>
    <x v="4"/>
    <x v="214"/>
    <x v="0"/>
    <x v="1"/>
    <x v="2743"/>
    <x v="25"/>
    <s v="NAKİT"/>
    <n v="1"/>
    <n v="360"/>
    <n v="0"/>
    <n v="0"/>
    <m/>
    <m/>
    <m/>
    <m/>
    <n v="360"/>
    <n v="0"/>
    <n v="63931.284446636717"/>
  </r>
  <r>
    <x v="266"/>
    <x v="4"/>
    <x v="261"/>
    <x v="0"/>
    <x v="1"/>
    <x v="2743"/>
    <x v="25"/>
    <s v="NAKİT"/>
    <n v="1"/>
    <n v="130"/>
    <n v="0"/>
    <n v="0"/>
    <m/>
    <m/>
    <m/>
    <m/>
    <n v="130"/>
    <n v="0"/>
    <n v="64061.284446636717"/>
  </r>
  <r>
    <x v="266"/>
    <x v="4"/>
    <x v="119"/>
    <x v="0"/>
    <x v="1"/>
    <x v="2743"/>
    <x v="25"/>
    <s v="NAKİT"/>
    <n v="0.2"/>
    <n v="750"/>
    <n v="0"/>
    <n v="0"/>
    <m/>
    <m/>
    <m/>
    <m/>
    <n v="150"/>
    <n v="0"/>
    <n v="64211.284446636717"/>
  </r>
  <r>
    <x v="266"/>
    <x v="1"/>
    <x v="0"/>
    <x v="2"/>
    <x v="1"/>
    <x v="2"/>
    <x v="272"/>
    <s v="NAKİT"/>
    <n v="1"/>
    <n v="22000"/>
    <n v="0"/>
    <n v="0"/>
    <m/>
    <m/>
    <m/>
    <m/>
    <n v="0"/>
    <n v="22000"/>
    <n v="42211.284446636717"/>
  </r>
  <r>
    <x v="266"/>
    <x v="10"/>
    <x v="0"/>
    <x v="0"/>
    <x v="5"/>
    <x v="2"/>
    <x v="63"/>
    <s v="POS"/>
    <n v="1"/>
    <n v="550"/>
    <n v="0"/>
    <n v="550"/>
    <m/>
    <m/>
    <m/>
    <m/>
    <n v="550"/>
    <n v="0"/>
    <n v="42761.284446636717"/>
  </r>
  <r>
    <x v="266"/>
    <x v="10"/>
    <x v="0"/>
    <x v="0"/>
    <x v="5"/>
    <x v="2"/>
    <x v="63"/>
    <s v="POS"/>
    <n v="1"/>
    <n v="315.07"/>
    <n v="0"/>
    <n v="315.07"/>
    <m/>
    <m/>
    <m/>
    <m/>
    <n v="315.07"/>
    <n v="0"/>
    <n v="43076.354446636717"/>
  </r>
  <r>
    <x v="267"/>
    <x v="4"/>
    <x v="18"/>
    <x v="0"/>
    <x v="1"/>
    <x v="2744"/>
    <x v="25"/>
    <s v="NAKİT"/>
    <n v="0.5"/>
    <n v="270"/>
    <n v="0"/>
    <n v="0"/>
    <m/>
    <m/>
    <m/>
    <m/>
    <n v="135"/>
    <n v="0"/>
    <n v="43211.354446636717"/>
  </r>
  <r>
    <x v="267"/>
    <x v="4"/>
    <x v="58"/>
    <x v="0"/>
    <x v="1"/>
    <x v="2744"/>
    <x v="25"/>
    <s v="NAKİT"/>
    <n v="0.5"/>
    <n v="250"/>
    <n v="0"/>
    <n v="0"/>
    <m/>
    <m/>
    <m/>
    <m/>
    <n v="125"/>
    <n v="0"/>
    <n v="43336.354446636717"/>
  </r>
  <r>
    <x v="267"/>
    <x v="4"/>
    <x v="49"/>
    <x v="0"/>
    <x v="1"/>
    <x v="2744"/>
    <x v="25"/>
    <s v="NAKİT"/>
    <n v="8.3333333333333329E-2"/>
    <n v="600"/>
    <n v="0"/>
    <n v="0"/>
    <m/>
    <m/>
    <m/>
    <m/>
    <n v="50"/>
    <n v="0"/>
    <n v="43386.354446636717"/>
  </r>
  <r>
    <x v="267"/>
    <x v="4"/>
    <x v="48"/>
    <x v="0"/>
    <x v="1"/>
    <x v="2744"/>
    <x v="25"/>
    <s v="NAKİT"/>
    <n v="0.1"/>
    <n v="750"/>
    <n v="0"/>
    <n v="0"/>
    <m/>
    <m/>
    <m/>
    <m/>
    <n v="75"/>
    <n v="0"/>
    <n v="43461.354446636717"/>
  </r>
  <r>
    <x v="267"/>
    <x v="4"/>
    <x v="14"/>
    <x v="0"/>
    <x v="5"/>
    <x v="2745"/>
    <x v="25"/>
    <s v="POS"/>
    <n v="0.5"/>
    <n v="280"/>
    <n v="140"/>
    <n v="0"/>
    <m/>
    <m/>
    <m/>
    <m/>
    <n v="0"/>
    <n v="0"/>
    <n v="43461.354446636717"/>
  </r>
  <r>
    <x v="267"/>
    <x v="4"/>
    <x v="344"/>
    <x v="0"/>
    <x v="5"/>
    <x v="2746"/>
    <x v="25"/>
    <s v="POS"/>
    <n v="0.41"/>
    <n v="500"/>
    <n v="205"/>
    <n v="0"/>
    <m/>
    <m/>
    <m/>
    <m/>
    <n v="0"/>
    <n v="0"/>
    <n v="43461.354446636717"/>
  </r>
  <r>
    <x v="267"/>
    <x v="4"/>
    <x v="284"/>
    <x v="0"/>
    <x v="5"/>
    <x v="2746"/>
    <x v="25"/>
    <s v="POS"/>
    <n v="1"/>
    <n v="390"/>
    <n v="390"/>
    <n v="0"/>
    <m/>
    <m/>
    <m/>
    <m/>
    <n v="0"/>
    <n v="0"/>
    <n v="43461.354446636717"/>
  </r>
  <r>
    <x v="267"/>
    <x v="4"/>
    <x v="56"/>
    <x v="0"/>
    <x v="1"/>
    <x v="2747"/>
    <x v="25"/>
    <s v="NAKİT"/>
    <n v="1"/>
    <n v="200"/>
    <n v="0"/>
    <n v="0"/>
    <m/>
    <m/>
    <m/>
    <m/>
    <n v="200"/>
    <n v="0"/>
    <n v="43661.354446636717"/>
  </r>
  <r>
    <x v="267"/>
    <x v="4"/>
    <x v="57"/>
    <x v="0"/>
    <x v="1"/>
    <x v="2747"/>
    <x v="25"/>
    <s v="NAKİT"/>
    <n v="1"/>
    <n v="150"/>
    <n v="0"/>
    <n v="0"/>
    <m/>
    <m/>
    <m/>
    <m/>
    <n v="150"/>
    <n v="0"/>
    <n v="43811.354446636717"/>
  </r>
  <r>
    <x v="267"/>
    <x v="4"/>
    <x v="24"/>
    <x v="0"/>
    <x v="1"/>
    <x v="2747"/>
    <x v="25"/>
    <s v="NAKİT"/>
    <n v="7.6923076923076927E-2"/>
    <n v="650"/>
    <n v="0"/>
    <n v="0"/>
    <m/>
    <m/>
    <m/>
    <m/>
    <n v="50"/>
    <n v="0"/>
    <n v="43861.354446636717"/>
  </r>
  <r>
    <x v="267"/>
    <x v="4"/>
    <x v="161"/>
    <x v="0"/>
    <x v="1"/>
    <x v="2747"/>
    <x v="25"/>
    <s v="NAKİT"/>
    <n v="0.25"/>
    <n v="400"/>
    <n v="0"/>
    <n v="0"/>
    <m/>
    <m/>
    <m/>
    <m/>
    <n v="100"/>
    <n v="0"/>
    <n v="43961.354446636717"/>
  </r>
  <r>
    <x v="267"/>
    <x v="4"/>
    <x v="287"/>
    <x v="0"/>
    <x v="1"/>
    <x v="2747"/>
    <x v="25"/>
    <s v="NAKİT"/>
    <n v="1.5384615384615385"/>
    <n v="65"/>
    <n v="0"/>
    <n v="0"/>
    <m/>
    <m/>
    <m/>
    <m/>
    <n v="100"/>
    <n v="0"/>
    <n v="44061.354446636717"/>
  </r>
  <r>
    <x v="267"/>
    <x v="4"/>
    <x v="360"/>
    <x v="0"/>
    <x v="5"/>
    <x v="2748"/>
    <x v="25"/>
    <s v="POS"/>
    <n v="0.25"/>
    <n v="700"/>
    <n v="175"/>
    <n v="0"/>
    <m/>
    <m/>
    <m/>
    <m/>
    <n v="0"/>
    <n v="0"/>
    <n v="44061.354446636717"/>
  </r>
  <r>
    <x v="267"/>
    <x v="4"/>
    <x v="161"/>
    <x v="0"/>
    <x v="5"/>
    <x v="2748"/>
    <x v="25"/>
    <s v="POS"/>
    <n v="0.21249999999999999"/>
    <n v="400"/>
    <n v="85"/>
    <n v="0"/>
    <m/>
    <m/>
    <m/>
    <m/>
    <n v="0"/>
    <n v="0"/>
    <n v="44061.354446636717"/>
  </r>
  <r>
    <x v="267"/>
    <x v="10"/>
    <x v="0"/>
    <x v="0"/>
    <x v="5"/>
    <x v="2"/>
    <x v="63"/>
    <s v="POS"/>
    <n v="1"/>
    <n v="1234"/>
    <n v="0"/>
    <n v="1234"/>
    <m/>
    <m/>
    <m/>
    <m/>
    <n v="1234"/>
    <n v="0"/>
    <n v="45295.354446636717"/>
  </r>
  <r>
    <x v="267"/>
    <x v="10"/>
    <x v="0"/>
    <x v="0"/>
    <x v="5"/>
    <x v="2"/>
    <x v="63"/>
    <s v="POS"/>
    <n v="1"/>
    <n v="1275"/>
    <n v="0"/>
    <n v="1275"/>
    <m/>
    <m/>
    <m/>
    <m/>
    <n v="1275"/>
    <n v="0"/>
    <n v="46570.354446636717"/>
  </r>
  <r>
    <x v="268"/>
    <x v="4"/>
    <x v="289"/>
    <x v="0"/>
    <x v="1"/>
    <x v="2749"/>
    <x v="25"/>
    <s v="NAKİT"/>
    <n v="0.25"/>
    <n v="400"/>
    <n v="0"/>
    <n v="0"/>
    <m/>
    <m/>
    <m/>
    <m/>
    <n v="100"/>
    <n v="0"/>
    <n v="46670.354446636717"/>
  </r>
  <r>
    <x v="268"/>
    <x v="4"/>
    <x v="88"/>
    <x v="0"/>
    <x v="5"/>
    <x v="2750"/>
    <x v="25"/>
    <s v="POS"/>
    <n v="0.05"/>
    <n v="1200"/>
    <n v="60"/>
    <n v="0"/>
    <m/>
    <m/>
    <m/>
    <m/>
    <n v="0"/>
    <n v="0"/>
    <n v="46670.354446636717"/>
  </r>
  <r>
    <x v="268"/>
    <x v="4"/>
    <x v="50"/>
    <x v="0"/>
    <x v="5"/>
    <x v="2750"/>
    <x v="25"/>
    <s v="POS"/>
    <n v="0.08"/>
    <n v="750"/>
    <n v="60"/>
    <n v="0"/>
    <m/>
    <m/>
    <m/>
    <m/>
    <n v="0"/>
    <n v="0"/>
    <n v="46670.354446636717"/>
  </r>
  <r>
    <x v="268"/>
    <x v="4"/>
    <x v="354"/>
    <x v="0"/>
    <x v="5"/>
    <x v="2751"/>
    <x v="25"/>
    <s v="POS"/>
    <n v="0.1"/>
    <n v="800"/>
    <n v="80"/>
    <n v="0"/>
    <m/>
    <m/>
    <m/>
    <m/>
    <n v="0"/>
    <n v="0"/>
    <n v="46670.354446636717"/>
  </r>
  <r>
    <x v="268"/>
    <x v="4"/>
    <x v="344"/>
    <x v="0"/>
    <x v="5"/>
    <x v="2751"/>
    <x v="25"/>
    <s v="POS"/>
    <n v="0.24399999999999999"/>
    <n v="500"/>
    <n v="122"/>
    <n v="0"/>
    <m/>
    <m/>
    <m/>
    <m/>
    <n v="0"/>
    <n v="0"/>
    <n v="46670.354446636717"/>
  </r>
  <r>
    <x v="268"/>
    <x v="4"/>
    <x v="31"/>
    <x v="0"/>
    <x v="5"/>
    <x v="2751"/>
    <x v="25"/>
    <s v="POS"/>
    <n v="0.13500000000000001"/>
    <n v="400"/>
    <n v="54"/>
    <n v="0"/>
    <m/>
    <m/>
    <m/>
    <m/>
    <n v="0"/>
    <n v="0"/>
    <n v="46670.354446636717"/>
  </r>
  <r>
    <x v="268"/>
    <x v="4"/>
    <x v="24"/>
    <x v="0"/>
    <x v="5"/>
    <x v="2751"/>
    <x v="25"/>
    <s v="POS"/>
    <n v="9.5384615384615387E-2"/>
    <n v="650"/>
    <n v="62"/>
    <n v="0"/>
    <m/>
    <m/>
    <m/>
    <m/>
    <n v="0"/>
    <n v="0"/>
    <n v="46670.354446636717"/>
  </r>
  <r>
    <x v="268"/>
    <x v="4"/>
    <x v="151"/>
    <x v="0"/>
    <x v="5"/>
    <x v="2751"/>
    <x v="25"/>
    <s v="POS"/>
    <n v="0.1"/>
    <n v="500"/>
    <n v="50"/>
    <n v="0"/>
    <m/>
    <m/>
    <m/>
    <m/>
    <n v="0"/>
    <n v="0"/>
    <n v="46670.354446636717"/>
  </r>
  <r>
    <x v="268"/>
    <x v="4"/>
    <x v="344"/>
    <x v="0"/>
    <x v="5"/>
    <x v="2752"/>
    <x v="25"/>
    <s v="POS"/>
    <n v="0.2"/>
    <n v="500"/>
    <n v="100"/>
    <n v="0"/>
    <m/>
    <m/>
    <m/>
    <m/>
    <n v="0"/>
    <n v="0"/>
    <n v="46670.354446636717"/>
  </r>
  <r>
    <x v="268"/>
    <x v="4"/>
    <x v="248"/>
    <x v="0"/>
    <x v="5"/>
    <x v="2752"/>
    <x v="25"/>
    <s v="POS"/>
    <n v="0.23076923076923078"/>
    <n v="650"/>
    <n v="150"/>
    <n v="0"/>
    <m/>
    <m/>
    <m/>
    <m/>
    <n v="0"/>
    <n v="0"/>
    <n v="46670.354446636717"/>
  </r>
  <r>
    <x v="268"/>
    <x v="4"/>
    <x v="347"/>
    <x v="0"/>
    <x v="5"/>
    <x v="2752"/>
    <x v="25"/>
    <s v="POS"/>
    <n v="0.14285714285714285"/>
    <n v="700"/>
    <n v="100"/>
    <n v="0"/>
    <m/>
    <m/>
    <m/>
    <m/>
    <n v="0"/>
    <n v="0"/>
    <n v="46670.354446636717"/>
  </r>
  <r>
    <x v="268"/>
    <x v="4"/>
    <x v="239"/>
    <x v="0"/>
    <x v="5"/>
    <x v="2752"/>
    <x v="25"/>
    <s v="POS"/>
    <n v="0.25"/>
    <n v="400"/>
    <n v="100"/>
    <n v="0"/>
    <m/>
    <m/>
    <m/>
    <m/>
    <n v="0"/>
    <n v="0"/>
    <n v="46670.354446636717"/>
  </r>
  <r>
    <x v="268"/>
    <x v="4"/>
    <x v="240"/>
    <x v="0"/>
    <x v="1"/>
    <x v="2753"/>
    <x v="25"/>
    <s v="NAKİT"/>
    <n v="0.3"/>
    <n v="250"/>
    <n v="0"/>
    <n v="0"/>
    <m/>
    <m/>
    <m/>
    <m/>
    <n v="75"/>
    <n v="0"/>
    <n v="46745.354446636717"/>
  </r>
  <r>
    <x v="268"/>
    <x v="4"/>
    <x v="88"/>
    <x v="0"/>
    <x v="1"/>
    <x v="2753"/>
    <x v="25"/>
    <s v="NAKİT"/>
    <n v="0.05"/>
    <n v="1200"/>
    <n v="0"/>
    <n v="0"/>
    <m/>
    <m/>
    <m/>
    <m/>
    <n v="60"/>
    <n v="0"/>
    <n v="46805.354446636717"/>
  </r>
  <r>
    <x v="268"/>
    <x v="4"/>
    <x v="360"/>
    <x v="0"/>
    <x v="5"/>
    <x v="2754"/>
    <x v="25"/>
    <s v="POS"/>
    <n v="1"/>
    <n v="700"/>
    <n v="700"/>
    <n v="0"/>
    <m/>
    <m/>
    <m/>
    <m/>
    <n v="0"/>
    <n v="0"/>
    <n v="46805.354446636717"/>
  </r>
  <r>
    <x v="268"/>
    <x v="4"/>
    <x v="101"/>
    <x v="0"/>
    <x v="5"/>
    <x v="2754"/>
    <x v="25"/>
    <s v="POS"/>
    <n v="0.29799999999999999"/>
    <n v="220"/>
    <n v="65.56"/>
    <n v="0"/>
    <m/>
    <m/>
    <m/>
    <m/>
    <n v="0"/>
    <n v="0"/>
    <n v="46805.354446636717"/>
  </r>
  <r>
    <x v="268"/>
    <x v="4"/>
    <x v="111"/>
    <x v="0"/>
    <x v="5"/>
    <x v="2755"/>
    <x v="25"/>
    <s v="POS"/>
    <n v="0.3457142857142857"/>
    <n v="350"/>
    <n v="121"/>
    <n v="0"/>
    <m/>
    <m/>
    <m/>
    <m/>
    <n v="0"/>
    <n v="0"/>
    <n v="46805.354446636717"/>
  </r>
  <r>
    <x v="268"/>
    <x v="10"/>
    <x v="0"/>
    <x v="0"/>
    <x v="5"/>
    <x v="2"/>
    <x v="63"/>
    <s v="POS"/>
    <n v="1"/>
    <n v="800"/>
    <n v="0"/>
    <n v="800"/>
    <m/>
    <m/>
    <m/>
    <m/>
    <n v="800"/>
    <n v="0"/>
    <n v="47605.354446636717"/>
  </r>
  <r>
    <x v="269"/>
    <x v="4"/>
    <x v="248"/>
    <x v="0"/>
    <x v="5"/>
    <x v="2756"/>
    <x v="25"/>
    <s v="POS"/>
    <n v="0.5"/>
    <n v="650"/>
    <n v="325"/>
    <n v="0"/>
    <m/>
    <m/>
    <m/>
    <m/>
    <n v="0"/>
    <n v="0"/>
    <n v="47605.354446636717"/>
  </r>
  <r>
    <x v="269"/>
    <x v="4"/>
    <x v="142"/>
    <x v="0"/>
    <x v="5"/>
    <x v="2756"/>
    <x v="25"/>
    <s v="POS"/>
    <n v="0.32"/>
    <n v="250"/>
    <n v="80"/>
    <n v="0"/>
    <m/>
    <m/>
    <m/>
    <m/>
    <n v="0"/>
    <n v="0"/>
    <n v="47605.354446636717"/>
  </r>
  <r>
    <x v="269"/>
    <x v="4"/>
    <x v="49"/>
    <x v="0"/>
    <x v="5"/>
    <x v="2756"/>
    <x v="25"/>
    <s v="POS"/>
    <n v="0.15"/>
    <n v="600"/>
    <n v="90"/>
    <n v="0"/>
    <m/>
    <m/>
    <m/>
    <m/>
    <n v="0"/>
    <n v="0"/>
    <n v="47605.354446636717"/>
  </r>
  <r>
    <x v="269"/>
    <x v="4"/>
    <x v="161"/>
    <x v="0"/>
    <x v="1"/>
    <x v="2757"/>
    <x v="25"/>
    <s v="NAKİT"/>
    <n v="0.13750000000000001"/>
    <n v="400"/>
    <n v="0"/>
    <n v="0"/>
    <m/>
    <m/>
    <m/>
    <m/>
    <n v="55.000000000000007"/>
    <n v="0"/>
    <n v="47660.354446636717"/>
  </r>
  <r>
    <x v="269"/>
    <x v="4"/>
    <x v="25"/>
    <x v="0"/>
    <x v="1"/>
    <x v="2757"/>
    <x v="25"/>
    <s v="NAKİT"/>
    <n v="9.7500000000000003E-2"/>
    <n v="400"/>
    <n v="0"/>
    <n v="0"/>
    <m/>
    <m/>
    <m/>
    <m/>
    <n v="39"/>
    <n v="0"/>
    <n v="47699.354446636717"/>
  </r>
  <r>
    <x v="269"/>
    <x v="4"/>
    <x v="161"/>
    <x v="0"/>
    <x v="1"/>
    <x v="2758"/>
    <x v="261"/>
    <s v="NAKİT"/>
    <n v="1"/>
    <n v="258"/>
    <n v="0"/>
    <n v="0"/>
    <m/>
    <m/>
    <m/>
    <m/>
    <n v="258"/>
    <n v="0"/>
    <n v="47957.354446636717"/>
  </r>
  <r>
    <x v="269"/>
    <x v="4"/>
    <x v="33"/>
    <x v="0"/>
    <x v="1"/>
    <x v="2758"/>
    <x v="261"/>
    <s v="NAKİT"/>
    <n v="0.55400000000000005"/>
    <n v="250"/>
    <n v="0"/>
    <n v="0"/>
    <m/>
    <m/>
    <m/>
    <m/>
    <n v="138.5"/>
    <n v="0"/>
    <n v="48095.854446636717"/>
  </r>
  <r>
    <x v="269"/>
    <x v="4"/>
    <x v="29"/>
    <x v="0"/>
    <x v="1"/>
    <x v="2758"/>
    <x v="261"/>
    <s v="NAKİT"/>
    <n v="0.25600000000000001"/>
    <n v="750"/>
    <n v="0"/>
    <n v="0"/>
    <m/>
    <m/>
    <m/>
    <m/>
    <n v="192"/>
    <n v="0"/>
    <n v="48287.854446636717"/>
  </r>
  <r>
    <x v="269"/>
    <x v="4"/>
    <x v="26"/>
    <x v="0"/>
    <x v="1"/>
    <x v="2758"/>
    <x v="261"/>
    <s v="NAKİT"/>
    <n v="0.44800000000000001"/>
    <n v="250"/>
    <n v="0"/>
    <n v="0"/>
    <m/>
    <m/>
    <m/>
    <m/>
    <n v="112"/>
    <n v="0"/>
    <n v="48399.854446636717"/>
  </r>
  <r>
    <x v="269"/>
    <x v="4"/>
    <x v="49"/>
    <x v="0"/>
    <x v="5"/>
    <x v="2759"/>
    <x v="25"/>
    <s v="POS"/>
    <n v="0.15"/>
    <n v="600"/>
    <n v="90"/>
    <n v="0"/>
    <m/>
    <m/>
    <m/>
    <m/>
    <n v="0"/>
    <n v="0"/>
    <n v="48399.854446636717"/>
  </r>
  <r>
    <x v="269"/>
    <x v="4"/>
    <x v="33"/>
    <x v="0"/>
    <x v="16"/>
    <x v="2760"/>
    <x v="273"/>
    <s v="CARİ"/>
    <n v="0.25"/>
    <n v="400"/>
    <n v="100"/>
    <n v="0"/>
    <m/>
    <m/>
    <m/>
    <m/>
    <n v="0"/>
    <n v="0"/>
    <n v="48399.854446636717"/>
  </r>
  <r>
    <x v="269"/>
    <x v="4"/>
    <x v="328"/>
    <x v="0"/>
    <x v="16"/>
    <x v="2760"/>
    <x v="273"/>
    <s v="CARİ"/>
    <n v="1"/>
    <n v="250"/>
    <n v="250"/>
    <n v="0"/>
    <m/>
    <m/>
    <m/>
    <m/>
    <n v="0"/>
    <n v="0"/>
    <n v="48399.854446636717"/>
  </r>
  <r>
    <x v="269"/>
    <x v="4"/>
    <x v="232"/>
    <x v="0"/>
    <x v="1"/>
    <x v="2761"/>
    <x v="274"/>
    <s v="NAKİT"/>
    <n v="1"/>
    <n v="300"/>
    <n v="0"/>
    <n v="0"/>
    <m/>
    <m/>
    <m/>
    <m/>
    <n v="300"/>
    <n v="0"/>
    <n v="48699.854446636717"/>
  </r>
  <r>
    <x v="269"/>
    <x v="4"/>
    <x v="232"/>
    <x v="0"/>
    <x v="1"/>
    <x v="2762"/>
    <x v="275"/>
    <s v="NAKİT"/>
    <n v="1"/>
    <n v="300"/>
    <n v="0"/>
    <n v="0"/>
    <m/>
    <m/>
    <m/>
    <m/>
    <n v="300"/>
    <n v="0"/>
    <n v="48999.854446636717"/>
  </r>
  <r>
    <x v="269"/>
    <x v="10"/>
    <x v="0"/>
    <x v="0"/>
    <x v="5"/>
    <x v="2"/>
    <x v="63"/>
    <s v="POS"/>
    <n v="1"/>
    <n v="1710"/>
    <n v="0"/>
    <n v="1710"/>
    <m/>
    <m/>
    <m/>
    <m/>
    <n v="1710"/>
    <n v="0"/>
    <n v="50709.854446636717"/>
  </r>
  <r>
    <x v="270"/>
    <x v="4"/>
    <x v="29"/>
    <x v="0"/>
    <x v="5"/>
    <x v="2763"/>
    <x v="25"/>
    <s v="POS"/>
    <n v="4.7058823529411764E-2"/>
    <n v="850"/>
    <n v="40"/>
    <n v="0"/>
    <m/>
    <m/>
    <m/>
    <m/>
    <n v="0"/>
    <n v="0"/>
    <n v="50709.854446636717"/>
  </r>
  <r>
    <x v="270"/>
    <x v="4"/>
    <x v="18"/>
    <x v="0"/>
    <x v="5"/>
    <x v="2764"/>
    <x v="25"/>
    <s v="POS"/>
    <n v="1"/>
    <n v="270"/>
    <n v="270"/>
    <n v="0"/>
    <m/>
    <m/>
    <m/>
    <m/>
    <n v="0"/>
    <n v="0"/>
    <n v="50709.854446636717"/>
  </r>
  <r>
    <x v="270"/>
    <x v="4"/>
    <x v="58"/>
    <x v="0"/>
    <x v="5"/>
    <x v="2764"/>
    <x v="25"/>
    <s v="POS"/>
    <n v="1"/>
    <n v="250"/>
    <n v="250"/>
    <n v="0"/>
    <m/>
    <m/>
    <m/>
    <m/>
    <n v="0"/>
    <n v="0"/>
    <n v="50709.854446636717"/>
  </r>
  <r>
    <x v="270"/>
    <x v="4"/>
    <x v="26"/>
    <x v="0"/>
    <x v="5"/>
    <x v="2765"/>
    <x v="25"/>
    <s v="POS"/>
    <n v="0.27800000000000002"/>
    <n v="500"/>
    <n v="139"/>
    <n v="0"/>
    <m/>
    <m/>
    <m/>
    <m/>
    <n v="0"/>
    <n v="0"/>
    <n v="50709.854446636717"/>
  </r>
  <r>
    <x v="270"/>
    <x v="4"/>
    <x v="33"/>
    <x v="0"/>
    <x v="5"/>
    <x v="2765"/>
    <x v="276"/>
    <s v="POS"/>
    <n v="0.33"/>
    <n v="500"/>
    <n v="165"/>
    <n v="0"/>
    <m/>
    <m/>
    <m/>
    <m/>
    <n v="0"/>
    <n v="0"/>
    <n v="50709.854446636717"/>
  </r>
  <r>
    <x v="270"/>
    <x v="4"/>
    <x v="151"/>
    <x v="0"/>
    <x v="5"/>
    <x v="2765"/>
    <x v="25"/>
    <s v="POS"/>
    <n v="0.1"/>
    <n v="500"/>
    <n v="50"/>
    <n v="0"/>
    <m/>
    <m/>
    <m/>
    <m/>
    <n v="0"/>
    <n v="0"/>
    <n v="50709.854446636717"/>
  </r>
  <r>
    <x v="270"/>
    <x v="4"/>
    <x v="24"/>
    <x v="0"/>
    <x v="5"/>
    <x v="2765"/>
    <x v="25"/>
    <s v="POS"/>
    <n v="0.18153846153846154"/>
    <n v="650"/>
    <n v="118"/>
    <n v="0"/>
    <m/>
    <m/>
    <m/>
    <m/>
    <n v="0"/>
    <n v="0"/>
    <n v="50709.854446636717"/>
  </r>
  <r>
    <x v="270"/>
    <x v="4"/>
    <x v="29"/>
    <x v="0"/>
    <x v="5"/>
    <x v="2765"/>
    <x v="25"/>
    <s v="POS"/>
    <n v="6.9411764705882353E-2"/>
    <n v="850"/>
    <n v="59"/>
    <n v="0"/>
    <m/>
    <m/>
    <m/>
    <m/>
    <n v="0"/>
    <n v="0"/>
    <n v="50709.854446636717"/>
  </r>
  <r>
    <x v="270"/>
    <x v="4"/>
    <x v="47"/>
    <x v="0"/>
    <x v="5"/>
    <x v="2765"/>
    <x v="25"/>
    <s v="POS"/>
    <n v="6.7500000000000004E-2"/>
    <n v="400"/>
    <n v="27"/>
    <n v="0"/>
    <m/>
    <m/>
    <m/>
    <m/>
    <n v="0"/>
    <n v="0"/>
    <n v="50709.854446636717"/>
  </r>
  <r>
    <x v="270"/>
    <x v="4"/>
    <x v="57"/>
    <x v="0"/>
    <x v="5"/>
    <x v="2765"/>
    <x v="25"/>
    <s v="POS"/>
    <n v="1"/>
    <n v="150"/>
    <n v="150"/>
    <n v="0"/>
    <m/>
    <m/>
    <m/>
    <m/>
    <n v="0"/>
    <n v="0"/>
    <n v="50709.854446636717"/>
  </r>
  <r>
    <x v="270"/>
    <x v="4"/>
    <x v="56"/>
    <x v="0"/>
    <x v="5"/>
    <x v="2765"/>
    <x v="25"/>
    <s v="POS"/>
    <n v="1.01"/>
    <n v="200"/>
    <n v="202"/>
    <n v="0"/>
    <m/>
    <m/>
    <m/>
    <m/>
    <n v="0"/>
    <n v="0"/>
    <n v="50709.854446636717"/>
  </r>
  <r>
    <x v="270"/>
    <x v="4"/>
    <x v="88"/>
    <x v="0"/>
    <x v="5"/>
    <x v="2765"/>
    <x v="25"/>
    <s v="POS"/>
    <n v="0.05"/>
    <n v="1200"/>
    <n v="60"/>
    <n v="0"/>
    <m/>
    <m/>
    <m/>
    <m/>
    <n v="0"/>
    <n v="0"/>
    <n v="50709.854446636717"/>
  </r>
  <r>
    <x v="270"/>
    <x v="4"/>
    <x v="50"/>
    <x v="0"/>
    <x v="5"/>
    <x v="2765"/>
    <x v="25"/>
    <s v="POS"/>
    <n v="0.08"/>
    <n v="750"/>
    <n v="60"/>
    <n v="0"/>
    <m/>
    <m/>
    <m/>
    <m/>
    <n v="0"/>
    <n v="0"/>
    <n v="50709.854446636717"/>
  </r>
  <r>
    <x v="270"/>
    <x v="4"/>
    <x v="54"/>
    <x v="0"/>
    <x v="5"/>
    <x v="2765"/>
    <x v="25"/>
    <s v="POS"/>
    <n v="0.1"/>
    <n v="400"/>
    <n v="40"/>
    <n v="0"/>
    <m/>
    <m/>
    <m/>
    <m/>
    <n v="0"/>
    <n v="0"/>
    <n v="50709.854446636717"/>
  </r>
  <r>
    <x v="270"/>
    <x v="4"/>
    <x v="33"/>
    <x v="0"/>
    <x v="1"/>
    <x v="2766"/>
    <x v="25"/>
    <s v="NAKİT"/>
    <n v="0.25"/>
    <n v="400"/>
    <n v="0"/>
    <n v="0"/>
    <m/>
    <m/>
    <m/>
    <m/>
    <n v="100"/>
    <n v="0"/>
    <n v="50809.854446636717"/>
  </r>
  <r>
    <x v="270"/>
    <x v="4"/>
    <x v="73"/>
    <x v="0"/>
    <x v="1"/>
    <x v="2767"/>
    <x v="25"/>
    <s v="NAKİT"/>
    <n v="0.188"/>
    <n v="750"/>
    <n v="0"/>
    <n v="0"/>
    <m/>
    <m/>
    <m/>
    <m/>
    <n v="141"/>
    <n v="0"/>
    <n v="50950.854446636717"/>
  </r>
  <r>
    <x v="270"/>
    <x v="4"/>
    <x v="347"/>
    <x v="0"/>
    <x v="1"/>
    <x v="2767"/>
    <x v="25"/>
    <s v="NAKİT"/>
    <n v="0.16153846153846155"/>
    <n v="650"/>
    <n v="0"/>
    <n v="0"/>
    <m/>
    <m/>
    <m/>
    <m/>
    <n v="105"/>
    <n v="0"/>
    <n v="51055.854446636717"/>
  </r>
  <r>
    <x v="270"/>
    <x v="4"/>
    <x v="248"/>
    <x v="0"/>
    <x v="1"/>
    <x v="2767"/>
    <x v="25"/>
    <s v="NAKİT"/>
    <n v="0.15538461538461537"/>
    <n v="650"/>
    <n v="0"/>
    <n v="0"/>
    <m/>
    <m/>
    <m/>
    <m/>
    <n v="100.99999999999999"/>
    <n v="0"/>
    <n v="51156.854446636717"/>
  </r>
  <r>
    <x v="270"/>
    <x v="4"/>
    <x v="238"/>
    <x v="0"/>
    <x v="1"/>
    <x v="2767"/>
    <x v="25"/>
    <s v="NAKİT"/>
    <n v="0.26285714285714284"/>
    <n v="350"/>
    <n v="0"/>
    <n v="0"/>
    <m/>
    <m/>
    <m/>
    <m/>
    <n v="92"/>
    <n v="0"/>
    <n v="51248.854446636717"/>
  </r>
  <r>
    <x v="270"/>
    <x v="4"/>
    <x v="248"/>
    <x v="0"/>
    <x v="5"/>
    <x v="2768"/>
    <x v="25"/>
    <s v="POS"/>
    <n v="0.41538461538461541"/>
    <n v="650"/>
    <n v="270"/>
    <n v="0"/>
    <m/>
    <m/>
    <m/>
    <m/>
    <n v="0"/>
    <n v="0"/>
    <n v="51248.854446636717"/>
  </r>
  <r>
    <x v="270"/>
    <x v="4"/>
    <x v="142"/>
    <x v="0"/>
    <x v="5"/>
    <x v="2768"/>
    <x v="25"/>
    <s v="POS"/>
    <n v="0.14399999999999999"/>
    <n v="250"/>
    <n v="36"/>
    <n v="0"/>
    <m/>
    <m/>
    <m/>
    <m/>
    <n v="0"/>
    <n v="0"/>
    <n v="51248.854446636717"/>
  </r>
  <r>
    <x v="270"/>
    <x v="4"/>
    <x v="50"/>
    <x v="0"/>
    <x v="5"/>
    <x v="2768"/>
    <x v="25"/>
    <s v="POS"/>
    <n v="0.08"/>
    <n v="750"/>
    <n v="60"/>
    <n v="0"/>
    <m/>
    <m/>
    <m/>
    <m/>
    <n v="0"/>
    <n v="0"/>
    <n v="51248.854446636717"/>
  </r>
  <r>
    <x v="270"/>
    <x v="4"/>
    <x v="306"/>
    <x v="0"/>
    <x v="5"/>
    <x v="2768"/>
    <x v="25"/>
    <s v="POS"/>
    <n v="0.1"/>
    <n v="900"/>
    <n v="90"/>
    <n v="0"/>
    <m/>
    <m/>
    <m/>
    <m/>
    <n v="0"/>
    <n v="0"/>
    <n v="51248.854446636717"/>
  </r>
  <r>
    <x v="270"/>
    <x v="4"/>
    <x v="207"/>
    <x v="0"/>
    <x v="5"/>
    <x v="2769"/>
    <x v="25"/>
    <s v="POS"/>
    <n v="1"/>
    <n v="500"/>
    <n v="500"/>
    <n v="0"/>
    <m/>
    <m/>
    <m/>
    <m/>
    <n v="0"/>
    <n v="0"/>
    <n v="51248.854446636717"/>
  </r>
  <r>
    <x v="270"/>
    <x v="4"/>
    <x v="31"/>
    <x v="0"/>
    <x v="5"/>
    <x v="2770"/>
    <x v="25"/>
    <s v="POS"/>
    <n v="9.7500000000000003E-2"/>
    <n v="400"/>
    <n v="39"/>
    <n v="0"/>
    <m/>
    <m/>
    <m/>
    <m/>
    <n v="0"/>
    <n v="0"/>
    <n v="51248.854446636717"/>
  </r>
  <r>
    <x v="270"/>
    <x v="4"/>
    <x v="360"/>
    <x v="0"/>
    <x v="1"/>
    <x v="2771"/>
    <x v="25"/>
    <s v="NAKİT"/>
    <n v="0.25"/>
    <n v="700"/>
    <n v="0"/>
    <n v="0"/>
    <m/>
    <m/>
    <m/>
    <m/>
    <n v="175"/>
    <n v="0"/>
    <n v="51423.854446636717"/>
  </r>
  <r>
    <x v="270"/>
    <x v="10"/>
    <x v="0"/>
    <x v="0"/>
    <x v="5"/>
    <x v="2"/>
    <x v="63"/>
    <s v="POS"/>
    <n v="1"/>
    <n v="1243"/>
    <n v="0"/>
    <n v="1243"/>
    <m/>
    <m/>
    <m/>
    <m/>
    <n v="1243"/>
    <n v="0"/>
    <n v="52666.854446636717"/>
  </r>
  <r>
    <x v="270"/>
    <x v="10"/>
    <x v="0"/>
    <x v="0"/>
    <x v="5"/>
    <x v="2"/>
    <x v="63"/>
    <s v="POS"/>
    <n v="1"/>
    <n v="46"/>
    <n v="0"/>
    <n v="46"/>
    <m/>
    <m/>
    <m/>
    <m/>
    <n v="46"/>
    <n v="0"/>
    <n v="52712.854446636717"/>
  </r>
  <r>
    <x v="270"/>
    <x v="10"/>
    <x v="0"/>
    <x v="0"/>
    <x v="5"/>
    <x v="2"/>
    <x v="63"/>
    <s v="POS"/>
    <n v="1"/>
    <n v="39"/>
    <n v="0"/>
    <n v="39"/>
    <m/>
    <m/>
    <m/>
    <m/>
    <n v="39"/>
    <n v="0"/>
    <n v="52751.854446636717"/>
  </r>
  <r>
    <x v="271"/>
    <x v="4"/>
    <x v="284"/>
    <x v="0"/>
    <x v="5"/>
    <x v="2772"/>
    <x v="25"/>
    <s v="POS"/>
    <n v="1"/>
    <n v="390"/>
    <n v="390"/>
    <n v="0"/>
    <m/>
    <m/>
    <m/>
    <m/>
    <n v="0"/>
    <n v="0"/>
    <n v="52751.854446636717"/>
  </r>
  <r>
    <x v="271"/>
    <x v="4"/>
    <x v="56"/>
    <x v="0"/>
    <x v="1"/>
    <x v="2773"/>
    <x v="25"/>
    <s v="NAKİT"/>
    <n v="0.5"/>
    <n v="200"/>
    <n v="0"/>
    <n v="0"/>
    <m/>
    <m/>
    <m/>
    <m/>
    <n v="100"/>
    <n v="0"/>
    <n v="52851.854446636717"/>
  </r>
  <r>
    <x v="271"/>
    <x v="4"/>
    <x v="172"/>
    <x v="0"/>
    <x v="5"/>
    <x v="2774"/>
    <x v="25"/>
    <s v="POS"/>
    <n v="1"/>
    <n v="120"/>
    <n v="120"/>
    <n v="0"/>
    <m/>
    <m/>
    <m/>
    <m/>
    <n v="0"/>
    <n v="0"/>
    <n v="52851.854446636717"/>
  </r>
  <r>
    <x v="271"/>
    <x v="4"/>
    <x v="268"/>
    <x v="0"/>
    <x v="5"/>
    <x v="2774"/>
    <x v="25"/>
    <s v="POS"/>
    <n v="1"/>
    <n v="175"/>
    <n v="175"/>
    <n v="0"/>
    <m/>
    <m/>
    <m/>
    <m/>
    <n v="0"/>
    <n v="0"/>
    <n v="52851.854446636717"/>
  </r>
  <r>
    <x v="271"/>
    <x v="4"/>
    <x v="261"/>
    <x v="0"/>
    <x v="5"/>
    <x v="2774"/>
    <x v="25"/>
    <s v="POS"/>
    <n v="1"/>
    <n v="130"/>
    <n v="130"/>
    <n v="0"/>
    <m/>
    <m/>
    <m/>
    <m/>
    <n v="0"/>
    <n v="0"/>
    <n v="52851.854446636717"/>
  </r>
  <r>
    <x v="271"/>
    <x v="4"/>
    <x v="266"/>
    <x v="0"/>
    <x v="5"/>
    <x v="2774"/>
    <x v="25"/>
    <s v="POS"/>
    <n v="1"/>
    <n v="145"/>
    <n v="145"/>
    <n v="0"/>
    <m/>
    <m/>
    <m/>
    <m/>
    <n v="0"/>
    <n v="0"/>
    <n v="52851.854446636717"/>
  </r>
  <r>
    <x v="271"/>
    <x v="4"/>
    <x v="31"/>
    <x v="0"/>
    <x v="5"/>
    <x v="2775"/>
    <x v="277"/>
    <s v="POS"/>
    <n v="0.42599999999999999"/>
    <n v="400"/>
    <n v="170.4"/>
    <n v="0"/>
    <m/>
    <m/>
    <m/>
    <m/>
    <n v="0"/>
    <n v="0"/>
    <n v="52851.854446636717"/>
  </r>
  <r>
    <x v="271"/>
    <x v="4"/>
    <x v="161"/>
    <x v="0"/>
    <x v="5"/>
    <x v="2775"/>
    <x v="277"/>
    <s v="POS"/>
    <n v="0.47199999999999998"/>
    <n v="400"/>
    <n v="188.79999999999998"/>
    <n v="0"/>
    <m/>
    <m/>
    <m/>
    <m/>
    <n v="0"/>
    <n v="0"/>
    <n v="52851.854446636717"/>
  </r>
  <r>
    <x v="271"/>
    <x v="4"/>
    <x v="28"/>
    <x v="0"/>
    <x v="5"/>
    <x v="2775"/>
    <x v="277"/>
    <s v="POS"/>
    <n v="0.27800000000000002"/>
    <n v="500"/>
    <n v="139"/>
    <n v="0"/>
    <m/>
    <m/>
    <m/>
    <m/>
    <n v="0"/>
    <n v="0"/>
    <n v="52851.854446636717"/>
  </r>
  <r>
    <x v="271"/>
    <x v="4"/>
    <x v="25"/>
    <x v="0"/>
    <x v="5"/>
    <x v="2775"/>
    <x v="277"/>
    <s v="POS"/>
    <n v="0.252"/>
    <n v="400"/>
    <n v="100.8"/>
    <n v="0"/>
    <m/>
    <m/>
    <m/>
    <m/>
    <n v="0"/>
    <n v="0"/>
    <n v="52851.854446636717"/>
  </r>
  <r>
    <x v="271"/>
    <x v="4"/>
    <x v="38"/>
    <x v="0"/>
    <x v="5"/>
    <x v="2775"/>
    <x v="25"/>
    <s v="POS"/>
    <n v="0.1"/>
    <n v="750"/>
    <n v="75"/>
    <n v="0"/>
    <m/>
    <m/>
    <m/>
    <m/>
    <n v="0"/>
    <n v="0"/>
    <n v="52851.854446636717"/>
  </r>
  <r>
    <x v="271"/>
    <x v="4"/>
    <x v="66"/>
    <x v="0"/>
    <x v="5"/>
    <x v="2776"/>
    <x v="25"/>
    <s v="POS"/>
    <n v="0.12"/>
    <n v="417"/>
    <n v="50.04"/>
    <n v="0"/>
    <m/>
    <m/>
    <m/>
    <m/>
    <n v="0"/>
    <n v="0"/>
    <n v="52851.854446636717"/>
  </r>
  <r>
    <x v="271"/>
    <x v="4"/>
    <x v="459"/>
    <x v="0"/>
    <x v="1"/>
    <x v="2777"/>
    <x v="25"/>
    <s v="NAKİT"/>
    <n v="1"/>
    <n v="600"/>
    <n v="0"/>
    <n v="0"/>
    <m/>
    <m/>
    <m/>
    <m/>
    <n v="600"/>
    <n v="0"/>
    <n v="53451.854446636717"/>
  </r>
  <r>
    <x v="271"/>
    <x v="4"/>
    <x v="172"/>
    <x v="0"/>
    <x v="1"/>
    <x v="2777"/>
    <x v="25"/>
    <s v="NAKİT"/>
    <n v="1"/>
    <n v="100"/>
    <n v="0"/>
    <n v="0"/>
    <m/>
    <m/>
    <m/>
    <m/>
    <n v="100"/>
    <n v="0"/>
    <n v="53551.854446636717"/>
  </r>
  <r>
    <x v="271"/>
    <x v="4"/>
    <x v="287"/>
    <x v="0"/>
    <x v="1"/>
    <x v="2778"/>
    <x v="25"/>
    <s v="NAKİT"/>
    <n v="0.61538461538461542"/>
    <n v="65"/>
    <n v="0"/>
    <n v="0"/>
    <m/>
    <m/>
    <m/>
    <m/>
    <n v="40"/>
    <n v="0"/>
    <n v="53591.854446636717"/>
  </r>
  <r>
    <x v="271"/>
    <x v="4"/>
    <x v="18"/>
    <x v="0"/>
    <x v="1"/>
    <x v="2779"/>
    <x v="25"/>
    <s v="NAKİT"/>
    <n v="0.5"/>
    <n v="270"/>
    <n v="0"/>
    <n v="0"/>
    <m/>
    <m/>
    <m/>
    <m/>
    <n v="135"/>
    <n v="0"/>
    <n v="53726.854446636717"/>
  </r>
  <r>
    <x v="271"/>
    <x v="4"/>
    <x v="113"/>
    <x v="0"/>
    <x v="1"/>
    <x v="2779"/>
    <x v="25"/>
    <s v="NAKİT"/>
    <n v="0.1"/>
    <n v="1000"/>
    <n v="0"/>
    <n v="0"/>
    <m/>
    <m/>
    <m/>
    <m/>
    <n v="100"/>
    <n v="0"/>
    <n v="53826.854446636717"/>
  </r>
  <r>
    <x v="272"/>
    <x v="4"/>
    <x v="24"/>
    <x v="0"/>
    <x v="5"/>
    <x v="2780"/>
    <x v="25"/>
    <s v="POS"/>
    <n v="0.15384615384615385"/>
    <n v="650"/>
    <n v="100"/>
    <n v="0"/>
    <m/>
    <m/>
    <m/>
    <m/>
    <n v="0"/>
    <n v="0"/>
    <n v="53826.854446636717"/>
  </r>
  <r>
    <x v="272"/>
    <x v="4"/>
    <x v="57"/>
    <x v="0"/>
    <x v="5"/>
    <x v="2780"/>
    <x v="25"/>
    <s v="POS"/>
    <n v="1"/>
    <n v="150"/>
    <n v="150"/>
    <n v="0"/>
    <m/>
    <m/>
    <m/>
    <m/>
    <n v="0"/>
    <n v="0"/>
    <n v="53826.854446636717"/>
  </r>
  <r>
    <x v="272"/>
    <x v="4"/>
    <x v="239"/>
    <x v="0"/>
    <x v="5"/>
    <x v="2780"/>
    <x v="25"/>
    <s v="POS"/>
    <n v="0.25"/>
    <n v="400"/>
    <n v="100"/>
    <n v="0"/>
    <m/>
    <m/>
    <m/>
    <m/>
    <n v="0"/>
    <n v="0"/>
    <n v="53826.854446636717"/>
  </r>
  <r>
    <x v="272"/>
    <x v="4"/>
    <x v="278"/>
    <x v="0"/>
    <x v="5"/>
    <x v="2780"/>
    <x v="25"/>
    <s v="POS"/>
    <n v="1"/>
    <n v="180"/>
    <n v="180"/>
    <n v="0"/>
    <m/>
    <m/>
    <m/>
    <m/>
    <n v="0"/>
    <n v="0"/>
    <n v="53826.854446636717"/>
  </r>
  <r>
    <x v="272"/>
    <x v="4"/>
    <x v="449"/>
    <x v="0"/>
    <x v="5"/>
    <x v="2780"/>
    <x v="25"/>
    <s v="POS"/>
    <n v="0.30307692307692308"/>
    <n v="650"/>
    <n v="197"/>
    <n v="0"/>
    <m/>
    <m/>
    <m/>
    <m/>
    <n v="0"/>
    <n v="0"/>
    <n v="53826.854446636717"/>
  </r>
  <r>
    <x v="272"/>
    <x v="4"/>
    <x v="452"/>
    <x v="0"/>
    <x v="1"/>
    <x v="2781"/>
    <x v="25"/>
    <s v="NAKİT"/>
    <n v="0.1"/>
    <n v="500"/>
    <n v="0"/>
    <n v="0"/>
    <m/>
    <m/>
    <m/>
    <m/>
    <n v="50"/>
    <n v="0"/>
    <n v="53876.854446636717"/>
  </r>
  <r>
    <x v="272"/>
    <x v="4"/>
    <x v="348"/>
    <x v="0"/>
    <x v="1"/>
    <x v="2781"/>
    <x v="25"/>
    <s v="NAKİT"/>
    <n v="0.7"/>
    <n v="60"/>
    <n v="0"/>
    <n v="0"/>
    <m/>
    <m/>
    <m/>
    <m/>
    <n v="42"/>
    <n v="0"/>
    <n v="53918.854446636717"/>
  </r>
  <r>
    <x v="272"/>
    <x v="4"/>
    <x v="317"/>
    <x v="0"/>
    <x v="5"/>
    <x v="2782"/>
    <x v="25"/>
    <s v="POS"/>
    <n v="1"/>
    <n v="220"/>
    <n v="220"/>
    <n v="0"/>
    <m/>
    <m/>
    <m/>
    <m/>
    <n v="0"/>
    <n v="0"/>
    <n v="53918.854446636717"/>
  </r>
  <r>
    <x v="272"/>
    <x v="4"/>
    <x v="239"/>
    <x v="0"/>
    <x v="5"/>
    <x v="2782"/>
    <x v="25"/>
    <s v="POS"/>
    <n v="0.25"/>
    <n v="400"/>
    <n v="100"/>
    <n v="0"/>
    <m/>
    <m/>
    <m/>
    <m/>
    <n v="0"/>
    <n v="0"/>
    <n v="53918.854446636717"/>
  </r>
  <r>
    <x v="273"/>
    <x v="4"/>
    <x v="168"/>
    <x v="0"/>
    <x v="1"/>
    <x v="2783"/>
    <x v="25"/>
    <s v="NAKİT"/>
    <n v="1"/>
    <n v="60"/>
    <n v="0"/>
    <n v="0"/>
    <m/>
    <m/>
    <m/>
    <m/>
    <n v="60"/>
    <n v="0"/>
    <n v="53978.854446636717"/>
  </r>
  <r>
    <x v="273"/>
    <x v="4"/>
    <x v="360"/>
    <x v="0"/>
    <x v="5"/>
    <x v="2784"/>
    <x v="25"/>
    <s v="POS"/>
    <n v="0.5"/>
    <n v="700"/>
    <n v="350"/>
    <n v="0"/>
    <m/>
    <m/>
    <m/>
    <m/>
    <n v="0"/>
    <n v="0"/>
    <n v="53978.854446636717"/>
  </r>
  <r>
    <x v="273"/>
    <x v="10"/>
    <x v="0"/>
    <x v="0"/>
    <x v="5"/>
    <x v="2"/>
    <x v="63"/>
    <s v="POS"/>
    <n v="1"/>
    <n v="2040"/>
    <n v="0"/>
    <n v="2040"/>
    <m/>
    <m/>
    <m/>
    <m/>
    <n v="2040"/>
    <n v="0"/>
    <n v="56018.854446636717"/>
  </r>
  <r>
    <x v="273"/>
    <x v="10"/>
    <x v="0"/>
    <x v="0"/>
    <x v="5"/>
    <x v="2"/>
    <x v="63"/>
    <s v="POS"/>
    <n v="1"/>
    <n v="100"/>
    <n v="0"/>
    <n v="100"/>
    <m/>
    <m/>
    <m/>
    <m/>
    <n v="100"/>
    <n v="0"/>
    <n v="56118.854446636717"/>
  </r>
  <r>
    <x v="273"/>
    <x v="7"/>
    <x v="0"/>
    <x v="0"/>
    <x v="6"/>
    <x v="2"/>
    <x v="278"/>
    <s v="CARİ"/>
    <n v="1"/>
    <n v="3500"/>
    <n v="3500"/>
    <n v="0"/>
    <m/>
    <m/>
    <m/>
    <m/>
    <n v="0"/>
    <n v="3500"/>
    <n v="52618.854446636717"/>
  </r>
  <r>
    <x v="273"/>
    <x v="7"/>
    <x v="0"/>
    <x v="0"/>
    <x v="2"/>
    <x v="2"/>
    <x v="279"/>
    <s v="NAKİT"/>
    <n v="1"/>
    <n v="780"/>
    <n v="780"/>
    <n v="0"/>
    <m/>
    <m/>
    <m/>
    <m/>
    <n v="0"/>
    <n v="780"/>
    <n v="51838.854446636717"/>
  </r>
  <r>
    <x v="274"/>
    <x v="4"/>
    <x v="56"/>
    <x v="0"/>
    <x v="1"/>
    <x v="2785"/>
    <x v="25"/>
    <s v="NAKİT"/>
    <n v="1"/>
    <n v="200"/>
    <n v="0"/>
    <n v="0"/>
    <m/>
    <m/>
    <m/>
    <m/>
    <n v="200"/>
    <n v="0"/>
    <n v="52038.854446636717"/>
  </r>
  <r>
    <x v="274"/>
    <x v="4"/>
    <x v="132"/>
    <x v="0"/>
    <x v="1"/>
    <x v="2785"/>
    <x v="25"/>
    <s v="NAKİT"/>
    <n v="1"/>
    <n v="220"/>
    <n v="0"/>
    <n v="0"/>
    <m/>
    <m/>
    <m/>
    <m/>
    <n v="220"/>
    <n v="0"/>
    <n v="52258.854446636717"/>
  </r>
  <r>
    <x v="274"/>
    <x v="4"/>
    <x v="38"/>
    <x v="0"/>
    <x v="5"/>
    <x v="2785"/>
    <x v="25"/>
    <s v="POS"/>
    <n v="0.3"/>
    <n v="750"/>
    <n v="225"/>
    <n v="0"/>
    <m/>
    <m/>
    <m/>
    <m/>
    <n v="0"/>
    <n v="0"/>
    <n v="52258.854446636717"/>
  </r>
  <r>
    <x v="274"/>
    <x v="4"/>
    <x v="129"/>
    <x v="0"/>
    <x v="5"/>
    <x v="2785"/>
    <x v="25"/>
    <s v="POS"/>
    <n v="0.3"/>
    <n v="250"/>
    <n v="75"/>
    <n v="0"/>
    <m/>
    <m/>
    <m/>
    <m/>
    <n v="0"/>
    <n v="0"/>
    <n v="52258.854446636717"/>
  </r>
  <r>
    <x v="274"/>
    <x v="4"/>
    <x v="51"/>
    <x v="0"/>
    <x v="1"/>
    <x v="2786"/>
    <x v="25"/>
    <s v="NAKİT"/>
    <n v="0.1"/>
    <n v="400"/>
    <n v="0"/>
    <n v="0"/>
    <m/>
    <m/>
    <m/>
    <m/>
    <n v="40"/>
    <n v="0"/>
    <n v="52298.854446636717"/>
  </r>
  <r>
    <x v="274"/>
    <x v="4"/>
    <x v="29"/>
    <x v="0"/>
    <x v="1"/>
    <x v="2787"/>
    <x v="25"/>
    <s v="NAKİT"/>
    <n v="0.33333333333333331"/>
    <n v="750"/>
    <n v="0"/>
    <n v="0"/>
    <m/>
    <m/>
    <m/>
    <m/>
    <n v="250"/>
    <n v="0"/>
    <n v="52548.854446636717"/>
  </r>
  <r>
    <x v="274"/>
    <x v="4"/>
    <x v="261"/>
    <x v="0"/>
    <x v="1"/>
    <x v="2788"/>
    <x v="25"/>
    <s v="NAKİT"/>
    <n v="1"/>
    <n v="130"/>
    <n v="0"/>
    <n v="0"/>
    <m/>
    <m/>
    <m/>
    <m/>
    <n v="130"/>
    <n v="0"/>
    <n v="52678.854446636717"/>
  </r>
  <r>
    <x v="274"/>
    <x v="4"/>
    <x v="88"/>
    <x v="0"/>
    <x v="1"/>
    <x v="2788"/>
    <x v="25"/>
    <s v="NAKİT"/>
    <n v="0.05"/>
    <n v="1000"/>
    <n v="0"/>
    <n v="0"/>
    <m/>
    <m/>
    <m/>
    <m/>
    <n v="50"/>
    <n v="0"/>
    <n v="52728.854446636717"/>
  </r>
  <r>
    <x v="274"/>
    <x v="4"/>
    <x v="129"/>
    <x v="0"/>
    <x v="1"/>
    <x v="2788"/>
    <x v="25"/>
    <s v="NAKİT"/>
    <n v="0.3"/>
    <n v="233.5"/>
    <n v="0"/>
    <n v="0"/>
    <m/>
    <m/>
    <m/>
    <m/>
    <n v="70.05"/>
    <n v="0"/>
    <n v="52798.90444663672"/>
  </r>
  <r>
    <x v="274"/>
    <x v="4"/>
    <x v="122"/>
    <x v="0"/>
    <x v="5"/>
    <x v="2789"/>
    <x v="25"/>
    <s v="POS"/>
    <n v="0.13333333333333333"/>
    <n v="1500"/>
    <n v="200"/>
    <n v="0"/>
    <m/>
    <m/>
    <m/>
    <m/>
    <n v="0"/>
    <n v="0"/>
    <n v="52798.90444663672"/>
  </r>
  <r>
    <x v="274"/>
    <x v="4"/>
    <x v="354"/>
    <x v="0"/>
    <x v="5"/>
    <x v="2789"/>
    <x v="25"/>
    <s v="POS"/>
    <n v="0.2"/>
    <n v="800"/>
    <n v="160"/>
    <n v="0"/>
    <m/>
    <m/>
    <m/>
    <m/>
    <n v="0"/>
    <n v="0"/>
    <n v="52798.90444663672"/>
  </r>
  <r>
    <x v="274"/>
    <x v="4"/>
    <x v="248"/>
    <x v="0"/>
    <x v="5"/>
    <x v="2789"/>
    <x v="25"/>
    <s v="POS"/>
    <n v="0.77692307692307694"/>
    <n v="650"/>
    <n v="505"/>
    <n v="0"/>
    <m/>
    <m/>
    <m/>
    <m/>
    <n v="0"/>
    <n v="0"/>
    <n v="52798.90444663672"/>
  </r>
  <r>
    <x v="274"/>
    <x v="4"/>
    <x v="344"/>
    <x v="0"/>
    <x v="5"/>
    <x v="2789"/>
    <x v="25"/>
    <s v="POS"/>
    <n v="0.184"/>
    <n v="500"/>
    <n v="92"/>
    <n v="0"/>
    <m/>
    <m/>
    <m/>
    <m/>
    <n v="0"/>
    <n v="0"/>
    <n v="52798.90444663672"/>
  </r>
  <r>
    <x v="275"/>
    <x v="4"/>
    <x v="133"/>
    <x v="0"/>
    <x v="1"/>
    <x v="2790"/>
    <x v="25"/>
    <s v="NAKİT"/>
    <n v="1"/>
    <n v="210"/>
    <n v="0"/>
    <n v="0"/>
    <m/>
    <m/>
    <m/>
    <m/>
    <n v="210"/>
    <n v="0"/>
    <n v="53008.90444663672"/>
  </r>
  <r>
    <x v="275"/>
    <x v="4"/>
    <x v="204"/>
    <x v="0"/>
    <x v="1"/>
    <x v="2790"/>
    <x v="25"/>
    <s v="NAKİT"/>
    <n v="0.05"/>
    <n v="800"/>
    <n v="0"/>
    <n v="0"/>
    <m/>
    <m/>
    <m/>
    <m/>
    <n v="40"/>
    <n v="0"/>
    <n v="53048.90444663672"/>
  </r>
  <r>
    <x v="275"/>
    <x v="4"/>
    <x v="217"/>
    <x v="0"/>
    <x v="5"/>
    <x v="2791"/>
    <x v="25"/>
    <s v="POS"/>
    <n v="1"/>
    <n v="260"/>
    <n v="260"/>
    <n v="0"/>
    <m/>
    <m/>
    <m/>
    <m/>
    <n v="0"/>
    <n v="0"/>
    <n v="53048.90444663672"/>
  </r>
  <r>
    <x v="275"/>
    <x v="4"/>
    <x v="168"/>
    <x v="0"/>
    <x v="1"/>
    <x v="2792"/>
    <x v="25"/>
    <s v="NAKİT"/>
    <n v="2"/>
    <n v="60"/>
    <n v="0"/>
    <n v="0"/>
    <m/>
    <m/>
    <m/>
    <m/>
    <n v="120"/>
    <n v="0"/>
    <n v="53168.90444663672"/>
  </r>
  <r>
    <x v="275"/>
    <x v="4"/>
    <x v="27"/>
    <x v="0"/>
    <x v="1"/>
    <x v="2792"/>
    <x v="25"/>
    <s v="NAKİT"/>
    <n v="0.125"/>
    <n v="400"/>
    <n v="0"/>
    <n v="0"/>
    <m/>
    <m/>
    <m/>
    <m/>
    <n v="50"/>
    <n v="0"/>
    <n v="53218.90444663672"/>
  </r>
  <r>
    <x v="275"/>
    <x v="4"/>
    <x v="161"/>
    <x v="0"/>
    <x v="5"/>
    <x v="2793"/>
    <x v="258"/>
    <s v="POS"/>
    <n v="1"/>
    <n v="265"/>
    <n v="265"/>
    <n v="0"/>
    <m/>
    <m/>
    <m/>
    <m/>
    <n v="0"/>
    <n v="0"/>
    <n v="53218.90444663672"/>
  </r>
  <r>
    <x v="275"/>
    <x v="4"/>
    <x v="33"/>
    <x v="0"/>
    <x v="5"/>
    <x v="2793"/>
    <x v="258"/>
    <s v="POS"/>
    <n v="2"/>
    <n v="250"/>
    <n v="500"/>
    <n v="0"/>
    <m/>
    <m/>
    <m/>
    <m/>
    <n v="0"/>
    <n v="0"/>
    <n v="53218.90444663672"/>
  </r>
  <r>
    <x v="275"/>
    <x v="4"/>
    <x v="31"/>
    <x v="0"/>
    <x v="5"/>
    <x v="2793"/>
    <x v="258"/>
    <s v="POS"/>
    <n v="1"/>
    <n v="260"/>
    <n v="260"/>
    <n v="0"/>
    <m/>
    <m/>
    <m/>
    <m/>
    <n v="0"/>
    <n v="0"/>
    <n v="53218.90444663672"/>
  </r>
  <r>
    <x v="275"/>
    <x v="4"/>
    <x v="49"/>
    <x v="0"/>
    <x v="5"/>
    <x v="2794"/>
    <x v="25"/>
    <s v="POS"/>
    <n v="0.15"/>
    <n v="600"/>
    <n v="90"/>
    <n v="0"/>
    <m/>
    <m/>
    <m/>
    <m/>
    <n v="0"/>
    <n v="0"/>
    <n v="53218.90444663672"/>
  </r>
  <r>
    <x v="275"/>
    <x v="4"/>
    <x v="14"/>
    <x v="0"/>
    <x v="5"/>
    <x v="2795"/>
    <x v="25"/>
    <s v="POS"/>
    <n v="0.5"/>
    <n v="300"/>
    <n v="150"/>
    <n v="0"/>
    <m/>
    <m/>
    <m/>
    <m/>
    <n v="0"/>
    <n v="0"/>
    <n v="53218.90444663672"/>
  </r>
  <r>
    <x v="275"/>
    <x v="4"/>
    <x v="123"/>
    <x v="0"/>
    <x v="1"/>
    <x v="2796"/>
    <x v="25"/>
    <s v="NAKİT"/>
    <n v="0.2"/>
    <n v="1000"/>
    <n v="0"/>
    <n v="0"/>
    <m/>
    <m/>
    <m/>
    <m/>
    <n v="200"/>
    <n v="0"/>
    <n v="53418.90444663672"/>
  </r>
  <r>
    <x v="275"/>
    <x v="4"/>
    <x v="121"/>
    <x v="0"/>
    <x v="1"/>
    <x v="2796"/>
    <x v="25"/>
    <s v="NAKİT"/>
    <n v="0.1"/>
    <n v="1500"/>
    <n v="0"/>
    <n v="0"/>
    <m/>
    <m/>
    <m/>
    <m/>
    <n v="150"/>
    <n v="0"/>
    <n v="53568.90444663672"/>
  </r>
  <r>
    <x v="275"/>
    <x v="4"/>
    <x v="149"/>
    <x v="0"/>
    <x v="1"/>
    <x v="2796"/>
    <x v="25"/>
    <s v="NAKİT"/>
    <n v="0.15384615384615385"/>
    <n v="650"/>
    <n v="0"/>
    <n v="0"/>
    <m/>
    <m/>
    <m/>
    <m/>
    <n v="100"/>
    <n v="0"/>
    <n v="53668.90444663672"/>
  </r>
  <r>
    <x v="275"/>
    <x v="4"/>
    <x v="392"/>
    <x v="0"/>
    <x v="1"/>
    <x v="2796"/>
    <x v="25"/>
    <s v="NAKİT"/>
    <n v="0.28378378378378377"/>
    <n v="370"/>
    <n v="0"/>
    <n v="0"/>
    <m/>
    <m/>
    <m/>
    <m/>
    <n v="105"/>
    <n v="0"/>
    <n v="53773.90444663672"/>
  </r>
  <r>
    <x v="275"/>
    <x v="4"/>
    <x v="248"/>
    <x v="0"/>
    <x v="1"/>
    <x v="2796"/>
    <x v="25"/>
    <s v="NAKİT"/>
    <n v="0.25230769230769229"/>
    <n v="650"/>
    <n v="0"/>
    <n v="0"/>
    <m/>
    <m/>
    <m/>
    <m/>
    <n v="164"/>
    <n v="0"/>
    <n v="53937.90444663672"/>
  </r>
  <r>
    <x v="275"/>
    <x v="4"/>
    <x v="73"/>
    <x v="0"/>
    <x v="1"/>
    <x v="2796"/>
    <x v="25"/>
    <s v="NAKİT"/>
    <n v="0.30133333333333334"/>
    <n v="750"/>
    <n v="0"/>
    <n v="0"/>
    <m/>
    <m/>
    <m/>
    <m/>
    <n v="226"/>
    <n v="0"/>
    <n v="54163.90444663672"/>
  </r>
  <r>
    <x v="275"/>
    <x v="4"/>
    <x v="358"/>
    <x v="0"/>
    <x v="5"/>
    <x v="2797"/>
    <x v="25"/>
    <s v="POS"/>
    <n v="1"/>
    <n v="275"/>
    <n v="275"/>
    <n v="0"/>
    <m/>
    <m/>
    <m/>
    <m/>
    <n v="0"/>
    <n v="0"/>
    <n v="54163.90444663672"/>
  </r>
  <r>
    <x v="275"/>
    <x v="4"/>
    <x v="129"/>
    <x v="0"/>
    <x v="5"/>
    <x v="2797"/>
    <x v="25"/>
    <s v="POS"/>
    <n v="0.3"/>
    <n v="250"/>
    <n v="75"/>
    <n v="0"/>
    <m/>
    <m/>
    <m/>
    <m/>
    <n v="0"/>
    <n v="0"/>
    <n v="54163.90444663672"/>
  </r>
  <r>
    <x v="275"/>
    <x v="4"/>
    <x v="88"/>
    <x v="0"/>
    <x v="5"/>
    <x v="2797"/>
    <x v="25"/>
    <s v="POS"/>
    <n v="0.05"/>
    <n v="1200"/>
    <n v="60"/>
    <n v="0"/>
    <m/>
    <m/>
    <m/>
    <m/>
    <n v="0"/>
    <n v="0"/>
    <n v="54163.90444663672"/>
  </r>
  <r>
    <x v="275"/>
    <x v="4"/>
    <x v="161"/>
    <x v="0"/>
    <x v="1"/>
    <x v="2798"/>
    <x v="261"/>
    <s v="NAKİT"/>
    <n v="1.5"/>
    <n v="290"/>
    <n v="0"/>
    <n v="0"/>
    <m/>
    <m/>
    <m/>
    <m/>
    <n v="435"/>
    <n v="0"/>
    <n v="54598.90444663672"/>
  </r>
  <r>
    <x v="275"/>
    <x v="4"/>
    <x v="33"/>
    <x v="0"/>
    <x v="1"/>
    <x v="2798"/>
    <x v="261"/>
    <s v="NAKİT"/>
    <n v="1.8666666666666667"/>
    <n v="315"/>
    <n v="0"/>
    <n v="0"/>
    <m/>
    <m/>
    <m/>
    <m/>
    <n v="588"/>
    <n v="0"/>
    <n v="55186.90444663672"/>
  </r>
  <r>
    <x v="275"/>
    <x v="4"/>
    <x v="385"/>
    <x v="0"/>
    <x v="1"/>
    <x v="2798"/>
    <x v="261"/>
    <s v="NAKİT"/>
    <n v="0.67532467532467533"/>
    <n v="380.57"/>
    <n v="0"/>
    <n v="0"/>
    <m/>
    <m/>
    <m/>
    <m/>
    <n v="257.00831168831166"/>
    <n v="0"/>
    <n v="55443.91275832503"/>
  </r>
  <r>
    <x v="275"/>
    <x v="4"/>
    <x v="18"/>
    <x v="0"/>
    <x v="5"/>
    <x v="2799"/>
    <x v="25"/>
    <s v="POS"/>
    <n v="0.5"/>
    <n v="270"/>
    <n v="135"/>
    <n v="0"/>
    <m/>
    <m/>
    <m/>
    <m/>
    <n v="0"/>
    <n v="0"/>
    <n v="55443.91275832503"/>
  </r>
  <r>
    <x v="275"/>
    <x v="4"/>
    <x v="58"/>
    <x v="0"/>
    <x v="5"/>
    <x v="2799"/>
    <x v="25"/>
    <s v="POS"/>
    <n v="0.2"/>
    <n v="250"/>
    <n v="50"/>
    <n v="0"/>
    <m/>
    <m/>
    <m/>
    <m/>
    <n v="0"/>
    <n v="0"/>
    <n v="55443.91275832503"/>
  </r>
  <r>
    <x v="275"/>
    <x v="4"/>
    <x v="19"/>
    <x v="0"/>
    <x v="5"/>
    <x v="2799"/>
    <x v="25"/>
    <s v="POS"/>
    <n v="0.3"/>
    <n v="250"/>
    <n v="75"/>
    <n v="0"/>
    <m/>
    <m/>
    <m/>
    <m/>
    <n v="0"/>
    <n v="0"/>
    <n v="55443.91275832503"/>
  </r>
  <r>
    <x v="275"/>
    <x v="4"/>
    <x v="38"/>
    <x v="0"/>
    <x v="5"/>
    <x v="2799"/>
    <x v="25"/>
    <s v="POS"/>
    <n v="0.1"/>
    <n v="750"/>
    <n v="75"/>
    <n v="0"/>
    <m/>
    <m/>
    <m/>
    <m/>
    <n v="0"/>
    <n v="0"/>
    <n v="55443.91275832503"/>
  </r>
  <r>
    <x v="275"/>
    <x v="10"/>
    <x v="0"/>
    <x v="0"/>
    <x v="5"/>
    <x v="2"/>
    <x v="63"/>
    <s v="POS"/>
    <n v="1"/>
    <n v="768"/>
    <n v="0"/>
    <n v="768"/>
    <m/>
    <m/>
    <m/>
    <m/>
    <n v="768"/>
    <n v="0"/>
    <n v="56211.91275832503"/>
  </r>
  <r>
    <x v="276"/>
    <x v="4"/>
    <x v="76"/>
    <x v="0"/>
    <x v="1"/>
    <x v="2800"/>
    <x v="25"/>
    <s v="NAKİT"/>
    <n v="1"/>
    <n v="80"/>
    <n v="0"/>
    <n v="0"/>
    <m/>
    <m/>
    <m/>
    <m/>
    <n v="80"/>
    <n v="0"/>
    <n v="56291.91275832503"/>
  </r>
  <r>
    <x v="276"/>
    <x v="4"/>
    <x v="158"/>
    <x v="0"/>
    <x v="5"/>
    <x v="2801"/>
    <x v="25"/>
    <s v="POS"/>
    <n v="2"/>
    <n v="15"/>
    <n v="30"/>
    <n v="0"/>
    <m/>
    <m/>
    <m/>
    <m/>
    <n v="0"/>
    <n v="0"/>
    <n v="56291.91275832503"/>
  </r>
  <r>
    <x v="276"/>
    <x v="4"/>
    <x v="166"/>
    <x v="0"/>
    <x v="1"/>
    <x v="2802"/>
    <x v="25"/>
    <s v="NAKİT"/>
    <n v="1"/>
    <n v="60"/>
    <n v="0"/>
    <n v="0"/>
    <m/>
    <m/>
    <m/>
    <m/>
    <n v="60"/>
    <n v="0"/>
    <n v="56351.91275832503"/>
  </r>
  <r>
    <x v="276"/>
    <x v="4"/>
    <x v="287"/>
    <x v="0"/>
    <x v="1"/>
    <x v="2803"/>
    <x v="25"/>
    <s v="NAKİT"/>
    <n v="0.41538461538461541"/>
    <n v="65"/>
    <n v="0"/>
    <n v="0"/>
    <m/>
    <m/>
    <m/>
    <m/>
    <n v="27"/>
    <n v="0"/>
    <n v="56378.91275832503"/>
  </r>
  <r>
    <x v="276"/>
    <x v="4"/>
    <x v="33"/>
    <x v="0"/>
    <x v="5"/>
    <x v="2804"/>
    <x v="25"/>
    <s v="POS"/>
    <n v="0.13250000000000001"/>
    <n v="400"/>
    <n v="53"/>
    <n v="0"/>
    <m/>
    <m/>
    <m/>
    <m/>
    <n v="0"/>
    <n v="0"/>
    <n v="56378.91275832503"/>
  </r>
  <r>
    <x v="276"/>
    <x v="4"/>
    <x v="162"/>
    <x v="0"/>
    <x v="5"/>
    <x v="2804"/>
    <x v="25"/>
    <s v="POS"/>
    <n v="1"/>
    <n v="60"/>
    <n v="60"/>
    <n v="0"/>
    <m/>
    <m/>
    <m/>
    <m/>
    <n v="0"/>
    <n v="0"/>
    <n v="56378.91275832503"/>
  </r>
  <r>
    <x v="276"/>
    <x v="4"/>
    <x v="93"/>
    <x v="0"/>
    <x v="16"/>
    <x v="2805"/>
    <x v="120"/>
    <s v="CARİ"/>
    <n v="1"/>
    <n v="340"/>
    <n v="340"/>
    <n v="0"/>
    <m/>
    <m/>
    <m/>
    <m/>
    <n v="0"/>
    <n v="0"/>
    <n v="56378.91275832503"/>
  </r>
  <r>
    <x v="276"/>
    <x v="4"/>
    <x v="57"/>
    <x v="0"/>
    <x v="16"/>
    <x v="2805"/>
    <x v="120"/>
    <s v="CARİ"/>
    <n v="1"/>
    <n v="150"/>
    <n v="150"/>
    <n v="0"/>
    <m/>
    <m/>
    <m/>
    <m/>
    <n v="0"/>
    <n v="0"/>
    <n v="56378.91275832503"/>
  </r>
  <r>
    <x v="276"/>
    <x v="4"/>
    <x v="398"/>
    <x v="0"/>
    <x v="16"/>
    <x v="2805"/>
    <x v="120"/>
    <s v="CARİ"/>
    <n v="0.19767441860465115"/>
    <n v="430"/>
    <n v="85"/>
    <n v="0"/>
    <m/>
    <m/>
    <m/>
    <m/>
    <n v="0"/>
    <n v="0"/>
    <n v="56378.91275832503"/>
  </r>
  <r>
    <x v="276"/>
    <x v="10"/>
    <x v="0"/>
    <x v="0"/>
    <x v="5"/>
    <x v="2"/>
    <x v="63"/>
    <s v="POS"/>
    <n v="1"/>
    <n v="290"/>
    <n v="0"/>
    <n v="290"/>
    <m/>
    <m/>
    <m/>
    <m/>
    <n v="290"/>
    <n v="0"/>
    <n v="56668.91275832503"/>
  </r>
  <r>
    <x v="277"/>
    <x v="8"/>
    <x v="121"/>
    <x v="0"/>
    <x v="1"/>
    <x v="2806"/>
    <x v="45"/>
    <s v="ÜRETİM"/>
    <n v="1"/>
    <n v="1150"/>
    <n v="0"/>
    <n v="0"/>
    <m/>
    <m/>
    <m/>
    <m/>
    <n v="1150"/>
    <n v="0"/>
    <n v="57818.91275832503"/>
  </r>
  <r>
    <x v="277"/>
    <x v="8"/>
    <x v="122"/>
    <x v="0"/>
    <x v="1"/>
    <x v="2806"/>
    <x v="45"/>
    <s v="ÜRETİM"/>
    <n v="2"/>
    <n v="950"/>
    <n v="0"/>
    <n v="0"/>
    <m/>
    <m/>
    <m/>
    <m/>
    <n v="1900"/>
    <n v="0"/>
    <n v="59718.91275832503"/>
  </r>
  <r>
    <x v="277"/>
    <x v="8"/>
    <x v="119"/>
    <x v="0"/>
    <x v="1"/>
    <x v="2806"/>
    <x v="45"/>
    <s v="ÜRETİM"/>
    <n v="3"/>
    <n v="575.70000000000005"/>
    <n v="0"/>
    <n v="0"/>
    <m/>
    <m/>
    <m/>
    <m/>
    <n v="1727.1000000000001"/>
    <n v="0"/>
    <n v="61446.012758325029"/>
  </r>
  <r>
    <x v="277"/>
    <x v="8"/>
    <x v="149"/>
    <x v="0"/>
    <x v="1"/>
    <x v="2806"/>
    <x v="45"/>
    <s v="ÜRETİM"/>
    <n v="3"/>
    <n v="500"/>
    <n v="0"/>
    <n v="0"/>
    <m/>
    <m/>
    <m/>
    <m/>
    <n v="1500"/>
    <n v="0"/>
    <n v="62946.012758325029"/>
  </r>
  <r>
    <x v="277"/>
    <x v="9"/>
    <x v="179"/>
    <x v="0"/>
    <x v="1"/>
    <x v="2806"/>
    <x v="45"/>
    <s v="ÜRETİM"/>
    <n v="9"/>
    <n v="697.45555555555563"/>
    <n v="0"/>
    <n v="0"/>
    <m/>
    <m/>
    <m/>
    <m/>
    <n v="0"/>
    <n v="6277.1"/>
    <n v="56668.91275832503"/>
  </r>
  <r>
    <x v="277"/>
    <x v="10"/>
    <x v="0"/>
    <x v="0"/>
    <x v="5"/>
    <x v="2806"/>
    <x v="280"/>
    <s v="POS"/>
    <n v="1"/>
    <n v="2300"/>
    <n v="0"/>
    <n v="2300"/>
    <m/>
    <m/>
    <m/>
    <m/>
    <n v="2300"/>
    <n v="0"/>
    <n v="58968.91275832503"/>
  </r>
  <r>
    <x v="277"/>
    <x v="3"/>
    <x v="121"/>
    <x v="0"/>
    <x v="1"/>
    <x v="2806"/>
    <x v="280"/>
    <s v="MAL ALIMI"/>
    <n v="2"/>
    <n v="1150"/>
    <n v="0"/>
    <n v="0"/>
    <m/>
    <m/>
    <m/>
    <m/>
    <n v="0"/>
    <n v="2300"/>
    <n v="56668.91275832503"/>
  </r>
  <r>
    <x v="277"/>
    <x v="10"/>
    <x v="0"/>
    <x v="0"/>
    <x v="5"/>
    <x v="2806"/>
    <x v="281"/>
    <s v="POS"/>
    <n v="1"/>
    <n v="565"/>
    <n v="0"/>
    <n v="565"/>
    <m/>
    <m/>
    <m/>
    <m/>
    <n v="565"/>
    <n v="0"/>
    <n v="57233.91275832503"/>
  </r>
  <r>
    <x v="277"/>
    <x v="1"/>
    <x v="0"/>
    <x v="10"/>
    <x v="1"/>
    <x v="2806"/>
    <x v="281"/>
    <s v="NAKİT"/>
    <n v="1"/>
    <n v="565"/>
    <n v="0"/>
    <n v="0"/>
    <m/>
    <m/>
    <m/>
    <m/>
    <n v="0"/>
    <n v="565"/>
    <n v="56668.91275832503"/>
  </r>
  <r>
    <x v="277"/>
    <x v="3"/>
    <x v="459"/>
    <x v="0"/>
    <x v="12"/>
    <x v="2806"/>
    <x v="254"/>
    <s v="CARİ"/>
    <n v="30"/>
    <n v="550"/>
    <n v="0"/>
    <n v="16500"/>
    <m/>
    <m/>
    <m/>
    <m/>
    <n v="0"/>
    <n v="0"/>
    <n v="56668.91275832503"/>
  </r>
  <r>
    <x v="277"/>
    <x v="10"/>
    <x v="0"/>
    <x v="0"/>
    <x v="5"/>
    <x v="2806"/>
    <x v="282"/>
    <s v="POS"/>
    <n v="1"/>
    <n v="16500"/>
    <n v="0"/>
    <n v="16500"/>
    <m/>
    <m/>
    <m/>
    <m/>
    <m/>
    <n v="0"/>
    <n v="56668.91275832503"/>
  </r>
  <r>
    <x v="277"/>
    <x v="7"/>
    <x v="0"/>
    <x v="0"/>
    <x v="12"/>
    <x v="2806"/>
    <x v="282"/>
    <s v="CARİ"/>
    <n v="1"/>
    <n v="16500"/>
    <n v="16500"/>
    <n v="0"/>
    <m/>
    <m/>
    <m/>
    <m/>
    <n v="0"/>
    <n v="0"/>
    <n v="56668.91275832503"/>
  </r>
  <r>
    <x v="277"/>
    <x v="4"/>
    <x v="31"/>
    <x v="0"/>
    <x v="5"/>
    <x v="2807"/>
    <x v="25"/>
    <s v="POS"/>
    <n v="0.10249999999999999"/>
    <n v="400"/>
    <n v="41"/>
    <n v="0"/>
    <m/>
    <m/>
    <m/>
    <m/>
    <n v="0"/>
    <n v="0"/>
    <n v="56668.91275832503"/>
  </r>
  <r>
    <x v="277"/>
    <x v="4"/>
    <x v="459"/>
    <x v="0"/>
    <x v="5"/>
    <x v="2808"/>
    <x v="25"/>
    <s v="POS"/>
    <n v="25"/>
    <n v="650"/>
    <n v="16250"/>
    <n v="0"/>
    <m/>
    <m/>
    <m/>
    <m/>
    <n v="0"/>
    <n v="0"/>
    <n v="56668.91275832503"/>
  </r>
  <r>
    <x v="277"/>
    <x v="4"/>
    <x v="179"/>
    <x v="0"/>
    <x v="5"/>
    <x v="2808"/>
    <x v="25"/>
    <s v="POS"/>
    <n v="10"/>
    <n v="750"/>
    <n v="7500"/>
    <n v="0"/>
    <m/>
    <m/>
    <m/>
    <m/>
    <n v="0"/>
    <n v="0"/>
    <n v="56668.91275832503"/>
  </r>
  <r>
    <x v="277"/>
    <x v="5"/>
    <x v="0"/>
    <x v="17"/>
    <x v="5"/>
    <x v="2808"/>
    <x v="283"/>
    <s v="POS"/>
    <n v="4"/>
    <n v="35"/>
    <n v="140"/>
    <n v="0"/>
    <m/>
    <m/>
    <m/>
    <m/>
    <n v="0"/>
    <n v="0"/>
    <n v="56668.91275832503"/>
  </r>
  <r>
    <x v="277"/>
    <x v="4"/>
    <x v="151"/>
    <x v="0"/>
    <x v="1"/>
    <x v="2809"/>
    <x v="25"/>
    <s v="NAKİT"/>
    <n v="0.2"/>
    <n v="500"/>
    <n v="0"/>
    <n v="0"/>
    <m/>
    <m/>
    <m/>
    <m/>
    <n v="100"/>
    <n v="0"/>
    <n v="56768.91275832503"/>
  </r>
  <r>
    <x v="277"/>
    <x v="4"/>
    <x v="436"/>
    <x v="0"/>
    <x v="1"/>
    <x v="2809"/>
    <x v="25"/>
    <s v="NAKİT"/>
    <n v="0.05"/>
    <n v="500"/>
    <n v="0"/>
    <n v="0"/>
    <m/>
    <m/>
    <m/>
    <m/>
    <n v="25"/>
    <n v="0"/>
    <n v="56793.91275832503"/>
  </r>
  <r>
    <x v="277"/>
    <x v="10"/>
    <x v="0"/>
    <x v="0"/>
    <x v="5"/>
    <x v="2"/>
    <x v="63"/>
    <s v="POS"/>
    <n v="1"/>
    <n v="298"/>
    <n v="0"/>
    <n v="298"/>
    <m/>
    <m/>
    <m/>
    <m/>
    <n v="298"/>
    <n v="0"/>
    <n v="57091.91275832503"/>
  </r>
  <r>
    <x v="277"/>
    <x v="10"/>
    <x v="0"/>
    <x v="0"/>
    <x v="5"/>
    <x v="2"/>
    <x v="63"/>
    <s v="POS"/>
    <n v="1"/>
    <n v="320"/>
    <n v="0"/>
    <n v="320"/>
    <m/>
    <m/>
    <m/>
    <m/>
    <n v="320"/>
    <n v="0"/>
    <n v="57411.91275832503"/>
  </r>
  <r>
    <x v="278"/>
    <x v="4"/>
    <x v="31"/>
    <x v="0"/>
    <x v="1"/>
    <x v="2810"/>
    <x v="25"/>
    <s v="NAKİT"/>
    <n v="7.2499999999999995E-2"/>
    <n v="400"/>
    <n v="0"/>
    <n v="0"/>
    <m/>
    <m/>
    <m/>
    <m/>
    <n v="28.999999999999996"/>
    <n v="0"/>
    <n v="57440.91275832503"/>
  </r>
  <r>
    <x v="278"/>
    <x v="4"/>
    <x v="33"/>
    <x v="0"/>
    <x v="1"/>
    <x v="2810"/>
    <x v="25"/>
    <s v="NAKİT"/>
    <n v="0.11749999999999999"/>
    <n v="400"/>
    <n v="0"/>
    <n v="0"/>
    <m/>
    <m/>
    <m/>
    <m/>
    <n v="47"/>
    <n v="0"/>
    <n v="57487.91275832503"/>
  </r>
  <r>
    <x v="278"/>
    <x v="4"/>
    <x v="395"/>
    <x v="0"/>
    <x v="1"/>
    <x v="2810"/>
    <x v="25"/>
    <s v="NAKİT"/>
    <n v="0.84615384615384615"/>
    <n v="65"/>
    <n v="0"/>
    <n v="0"/>
    <m/>
    <m/>
    <m/>
    <m/>
    <n v="55"/>
    <n v="0"/>
    <n v="57542.91275832503"/>
  </r>
  <r>
    <x v="278"/>
    <x v="4"/>
    <x v="29"/>
    <x v="0"/>
    <x v="1"/>
    <x v="2811"/>
    <x v="284"/>
    <s v="NAKİT"/>
    <n v="2.5882352941176471E-2"/>
    <n v="850"/>
    <n v="0"/>
    <n v="0"/>
    <m/>
    <m/>
    <m/>
    <m/>
    <n v="22"/>
    <n v="0"/>
    <n v="57564.91275832503"/>
  </r>
  <r>
    <x v="278"/>
    <x v="4"/>
    <x v="24"/>
    <x v="0"/>
    <x v="1"/>
    <x v="2811"/>
    <x v="284"/>
    <s v="NAKİT"/>
    <n v="0.1"/>
    <n v="650"/>
    <n v="0"/>
    <n v="0"/>
    <m/>
    <m/>
    <m/>
    <m/>
    <n v="65"/>
    <n v="0"/>
    <n v="57629.91275832503"/>
  </r>
  <r>
    <x v="278"/>
    <x v="4"/>
    <x v="33"/>
    <x v="0"/>
    <x v="1"/>
    <x v="2811"/>
    <x v="284"/>
    <s v="NAKİT"/>
    <n v="0.19750000000000001"/>
    <n v="400"/>
    <n v="0"/>
    <n v="0"/>
    <m/>
    <m/>
    <m/>
    <m/>
    <n v="79"/>
    <n v="0"/>
    <n v="57708.91275832503"/>
  </r>
  <r>
    <x v="278"/>
    <x v="4"/>
    <x v="56"/>
    <x v="0"/>
    <x v="1"/>
    <x v="2811"/>
    <x v="284"/>
    <s v="NAKİT"/>
    <n v="1"/>
    <n v="200"/>
    <n v="0"/>
    <n v="0"/>
    <m/>
    <m/>
    <m/>
    <m/>
    <n v="200"/>
    <n v="0"/>
    <n v="57908.91275832503"/>
  </r>
  <r>
    <x v="278"/>
    <x v="4"/>
    <x v="88"/>
    <x v="0"/>
    <x v="1"/>
    <x v="2811"/>
    <x v="284"/>
    <s v="NAKİT"/>
    <n v="0.05"/>
    <n v="1200"/>
    <n v="0"/>
    <n v="0"/>
    <m/>
    <m/>
    <m/>
    <m/>
    <n v="60"/>
    <n v="0"/>
    <n v="57968.91275832503"/>
  </r>
  <r>
    <x v="278"/>
    <x v="4"/>
    <x v="50"/>
    <x v="0"/>
    <x v="1"/>
    <x v="2811"/>
    <x v="284"/>
    <s v="NAKİT"/>
    <n v="0.08"/>
    <n v="750"/>
    <n v="0"/>
    <n v="0"/>
    <m/>
    <m/>
    <m/>
    <m/>
    <n v="60"/>
    <n v="0"/>
    <n v="58028.91275832503"/>
  </r>
  <r>
    <x v="278"/>
    <x v="4"/>
    <x v="50"/>
    <x v="0"/>
    <x v="1"/>
    <x v="2812"/>
    <x v="285"/>
    <s v="NAKİT"/>
    <n v="0.08"/>
    <n v="750"/>
    <n v="0"/>
    <n v="0"/>
    <m/>
    <m/>
    <m/>
    <m/>
    <n v="60"/>
    <n v="0"/>
    <n v="58088.91275832503"/>
  </r>
  <r>
    <x v="278"/>
    <x v="4"/>
    <x v="88"/>
    <x v="0"/>
    <x v="1"/>
    <x v="2812"/>
    <x v="285"/>
    <s v="NAKİT"/>
    <n v="0.05"/>
    <n v="1200"/>
    <n v="0"/>
    <n v="0"/>
    <m/>
    <m/>
    <m/>
    <m/>
    <n v="60"/>
    <n v="0"/>
    <n v="58148.91275832503"/>
  </r>
  <r>
    <x v="279"/>
    <x v="4"/>
    <x v="30"/>
    <x v="0"/>
    <x v="1"/>
    <x v="2813"/>
    <x v="25"/>
    <s v="NAKİT"/>
    <n v="8.4000000000000005E-2"/>
    <n v="500"/>
    <n v="0"/>
    <n v="0"/>
    <m/>
    <m/>
    <m/>
    <m/>
    <n v="42"/>
    <n v="0"/>
    <n v="58190.91275832503"/>
  </r>
  <r>
    <x v="279"/>
    <x v="4"/>
    <x v="31"/>
    <x v="0"/>
    <x v="1"/>
    <x v="2813"/>
    <x v="25"/>
    <s v="NAKİT"/>
    <n v="0.16399999999999998"/>
    <n v="400"/>
    <n v="0"/>
    <n v="0"/>
    <m/>
    <m/>
    <m/>
    <m/>
    <n v="65.599999999999994"/>
    <n v="0"/>
    <n v="58256.512758325029"/>
  </r>
  <r>
    <x v="279"/>
    <x v="4"/>
    <x v="32"/>
    <x v="0"/>
    <x v="1"/>
    <x v="2813"/>
    <x v="25"/>
    <s v="NAKİT"/>
    <n v="9.6000000000000002E-2"/>
    <n v="400"/>
    <n v="0"/>
    <n v="0"/>
    <m/>
    <m/>
    <m/>
    <m/>
    <n v="38.4"/>
    <n v="0"/>
    <n v="58294.91275832503"/>
  </r>
  <r>
    <x v="279"/>
    <x v="4"/>
    <x v="25"/>
    <x v="0"/>
    <x v="1"/>
    <x v="2813"/>
    <x v="25"/>
    <s v="NAKİT"/>
    <n v="7.400000000000001E-2"/>
    <n v="400"/>
    <n v="0"/>
    <n v="0"/>
    <m/>
    <m/>
    <m/>
    <m/>
    <n v="29.600000000000005"/>
    <n v="0"/>
    <n v="58324.512758325029"/>
  </r>
  <r>
    <x v="279"/>
    <x v="4"/>
    <x v="24"/>
    <x v="0"/>
    <x v="1"/>
    <x v="2813"/>
    <x v="25"/>
    <s v="NAKİT"/>
    <n v="5.3999999999999999E-2"/>
    <n v="650"/>
    <n v="0"/>
    <n v="0"/>
    <m/>
    <m/>
    <m/>
    <m/>
    <n v="35.1"/>
    <n v="0"/>
    <n v="58359.612758325027"/>
  </r>
  <r>
    <x v="279"/>
    <x v="4"/>
    <x v="66"/>
    <x v="0"/>
    <x v="1"/>
    <x v="2814"/>
    <x v="25"/>
    <s v="NAKİT"/>
    <n v="0.12"/>
    <n v="417"/>
    <n v="0"/>
    <n v="0"/>
    <m/>
    <m/>
    <m/>
    <m/>
    <n v="50.04"/>
    <n v="0"/>
    <n v="58409.652758325028"/>
  </r>
  <r>
    <x v="279"/>
    <x v="4"/>
    <x v="445"/>
    <x v="0"/>
    <x v="1"/>
    <x v="2814"/>
    <x v="25"/>
    <s v="NAKİT"/>
    <n v="1"/>
    <n v="90"/>
    <n v="0"/>
    <n v="0"/>
    <m/>
    <m/>
    <m/>
    <m/>
    <n v="90"/>
    <n v="0"/>
    <n v="58499.652758325028"/>
  </r>
  <r>
    <x v="279"/>
    <x v="4"/>
    <x v="238"/>
    <x v="0"/>
    <x v="1"/>
    <x v="2814"/>
    <x v="25"/>
    <s v="NAKİT"/>
    <n v="0.5714285714285714"/>
    <n v="350"/>
    <n v="0"/>
    <n v="0"/>
    <m/>
    <m/>
    <m/>
    <m/>
    <n v="200"/>
    <n v="0"/>
    <n v="58699.652758325028"/>
  </r>
  <r>
    <x v="279"/>
    <x v="4"/>
    <x v="129"/>
    <x v="0"/>
    <x v="1"/>
    <x v="2814"/>
    <x v="25"/>
    <s v="NAKİT"/>
    <n v="0.9"/>
    <n v="225"/>
    <n v="0"/>
    <n v="0"/>
    <m/>
    <m/>
    <m/>
    <m/>
    <n v="202.5"/>
    <n v="0"/>
    <n v="58902.152758325028"/>
  </r>
  <r>
    <x v="279"/>
    <x v="4"/>
    <x v="70"/>
    <x v="0"/>
    <x v="1"/>
    <x v="2814"/>
    <x v="25"/>
    <s v="NAKİT"/>
    <n v="0.2608695652173913"/>
    <n v="230"/>
    <n v="0"/>
    <n v="0"/>
    <m/>
    <m/>
    <m/>
    <m/>
    <n v="60"/>
    <n v="0"/>
    <n v="58962.152758325028"/>
  </r>
  <r>
    <x v="279"/>
    <x v="4"/>
    <x v="456"/>
    <x v="0"/>
    <x v="1"/>
    <x v="2814"/>
    <x v="25"/>
    <s v="NAKİT"/>
    <n v="0.34"/>
    <n v="250"/>
    <n v="0"/>
    <n v="0"/>
    <m/>
    <m/>
    <m/>
    <m/>
    <n v="85"/>
    <n v="0"/>
    <n v="59047.152758325028"/>
  </r>
  <r>
    <x v="279"/>
    <x v="4"/>
    <x v="101"/>
    <x v="0"/>
    <x v="1"/>
    <x v="2814"/>
    <x v="25"/>
    <s v="NAKİT"/>
    <n v="0.29545454545454547"/>
    <n v="220"/>
    <n v="0"/>
    <n v="0"/>
    <m/>
    <m/>
    <m/>
    <m/>
    <n v="65"/>
    <n v="0"/>
    <n v="59112.152758325028"/>
  </r>
  <r>
    <x v="279"/>
    <x v="4"/>
    <x v="179"/>
    <x v="0"/>
    <x v="1"/>
    <x v="2815"/>
    <x v="25"/>
    <s v="NAKİT"/>
    <n v="0.47058823529411764"/>
    <n v="850"/>
    <n v="0"/>
    <n v="0"/>
    <m/>
    <m/>
    <m/>
    <m/>
    <n v="400"/>
    <n v="0"/>
    <n v="59512.152758325028"/>
  </r>
  <r>
    <x v="279"/>
    <x v="4"/>
    <x v="165"/>
    <x v="0"/>
    <x v="1"/>
    <x v="2815"/>
    <x v="25"/>
    <s v="NAKİT"/>
    <n v="1"/>
    <n v="60"/>
    <n v="0"/>
    <n v="0"/>
    <m/>
    <m/>
    <m/>
    <m/>
    <n v="60"/>
    <n v="0"/>
    <n v="59572.152758325028"/>
  </r>
  <r>
    <x v="279"/>
    <x v="4"/>
    <x v="168"/>
    <x v="0"/>
    <x v="1"/>
    <x v="2815"/>
    <x v="25"/>
    <s v="NAKİT"/>
    <n v="1"/>
    <n v="60"/>
    <n v="0"/>
    <n v="0"/>
    <m/>
    <m/>
    <m/>
    <m/>
    <n v="60"/>
    <n v="0"/>
    <n v="59632.152758325028"/>
  </r>
  <r>
    <x v="279"/>
    <x v="4"/>
    <x v="339"/>
    <x v="0"/>
    <x v="1"/>
    <x v="2815"/>
    <x v="25"/>
    <s v="NAKİT"/>
    <n v="1"/>
    <n v="130"/>
    <n v="0"/>
    <n v="0"/>
    <m/>
    <m/>
    <m/>
    <m/>
    <n v="130"/>
    <n v="0"/>
    <n v="59762.152758325028"/>
  </r>
  <r>
    <x v="279"/>
    <x v="4"/>
    <x v="136"/>
    <x v="0"/>
    <x v="1"/>
    <x v="2815"/>
    <x v="25"/>
    <s v="NAKİT"/>
    <n v="1"/>
    <n v="150"/>
    <n v="0"/>
    <n v="0"/>
    <m/>
    <m/>
    <m/>
    <m/>
    <n v="150"/>
    <n v="0"/>
    <n v="59912.152758325028"/>
  </r>
  <r>
    <x v="279"/>
    <x v="4"/>
    <x v="333"/>
    <x v="0"/>
    <x v="5"/>
    <x v="2816"/>
    <x v="25"/>
    <s v="POS"/>
    <n v="1"/>
    <n v="150"/>
    <n v="150"/>
    <n v="0"/>
    <m/>
    <m/>
    <m/>
    <m/>
    <n v="0"/>
    <n v="0"/>
    <n v="59912.152758325028"/>
  </r>
  <r>
    <x v="279"/>
    <x v="4"/>
    <x v="344"/>
    <x v="0"/>
    <x v="5"/>
    <x v="2816"/>
    <x v="25"/>
    <s v="POS"/>
    <n v="0.3183673469387755"/>
    <n v="490"/>
    <n v="156"/>
    <n v="0"/>
    <m/>
    <m/>
    <m/>
    <m/>
    <n v="0"/>
    <n v="0"/>
    <n v="59912.152758325028"/>
  </r>
  <r>
    <x v="279"/>
    <x v="4"/>
    <x v="56"/>
    <x v="0"/>
    <x v="5"/>
    <x v="2816"/>
    <x v="25"/>
    <s v="POS"/>
    <n v="1"/>
    <n v="200"/>
    <n v="200"/>
    <n v="0"/>
    <m/>
    <m/>
    <m/>
    <m/>
    <n v="0"/>
    <n v="0"/>
    <n v="59912.152758325028"/>
  </r>
  <r>
    <x v="280"/>
    <x v="4"/>
    <x v="348"/>
    <x v="0"/>
    <x v="5"/>
    <x v="2817"/>
    <x v="25"/>
    <s v="POS"/>
    <n v="0.6166666666666667"/>
    <n v="60"/>
    <n v="37"/>
    <n v="0"/>
    <m/>
    <m/>
    <m/>
    <m/>
    <n v="0"/>
    <n v="0"/>
    <n v="59912.152758325028"/>
  </r>
  <r>
    <x v="280"/>
    <x v="4"/>
    <x v="347"/>
    <x v="0"/>
    <x v="5"/>
    <x v="2817"/>
    <x v="25"/>
    <s v="POS"/>
    <n v="0.22428571428571428"/>
    <n v="600"/>
    <n v="134.57142857142858"/>
    <n v="0"/>
    <m/>
    <m/>
    <m/>
    <m/>
    <n v="0"/>
    <n v="0"/>
    <n v="59912.152758325028"/>
  </r>
  <r>
    <x v="280"/>
    <x v="4"/>
    <x v="354"/>
    <x v="0"/>
    <x v="5"/>
    <x v="2817"/>
    <x v="25"/>
    <s v="POS"/>
    <n v="0.1"/>
    <n v="725"/>
    <n v="72.5"/>
    <n v="0"/>
    <m/>
    <m/>
    <m/>
    <m/>
    <n v="0"/>
    <n v="0"/>
    <n v="59912.152758325028"/>
  </r>
  <r>
    <x v="280"/>
    <x v="4"/>
    <x v="248"/>
    <x v="0"/>
    <x v="5"/>
    <x v="2817"/>
    <x v="25"/>
    <s v="POS"/>
    <n v="0.28923076923076924"/>
    <n v="600"/>
    <n v="173.53846153846155"/>
    <n v="0"/>
    <m/>
    <m/>
    <m/>
    <m/>
    <n v="0"/>
    <n v="0"/>
    <n v="59912.152758325028"/>
  </r>
  <r>
    <x v="280"/>
    <x v="4"/>
    <x v="142"/>
    <x v="0"/>
    <x v="5"/>
    <x v="2817"/>
    <x v="25"/>
    <s v="POS"/>
    <n v="0.248"/>
    <n v="250"/>
    <n v="62"/>
    <n v="0"/>
    <m/>
    <m/>
    <m/>
    <m/>
    <n v="0"/>
    <n v="0"/>
    <n v="59912.152758325028"/>
  </r>
  <r>
    <x v="280"/>
    <x v="4"/>
    <x v="344"/>
    <x v="0"/>
    <x v="5"/>
    <x v="2817"/>
    <x v="25"/>
    <s v="POS"/>
    <n v="0.17755102040816326"/>
    <n v="400"/>
    <n v="71.020408163265301"/>
    <n v="0"/>
    <m/>
    <m/>
    <m/>
    <m/>
    <n v="0"/>
    <n v="0"/>
    <n v="59912.152758325028"/>
  </r>
  <r>
    <x v="280"/>
    <x v="4"/>
    <x v="18"/>
    <x v="0"/>
    <x v="1"/>
    <x v="2818"/>
    <x v="25"/>
    <s v="NAKİT"/>
    <n v="1"/>
    <n v="270"/>
    <n v="0"/>
    <n v="0"/>
    <m/>
    <m/>
    <m/>
    <m/>
    <n v="270"/>
    <n v="0"/>
    <n v="60182.152758325028"/>
  </r>
  <r>
    <x v="280"/>
    <x v="4"/>
    <x v="58"/>
    <x v="0"/>
    <x v="1"/>
    <x v="2818"/>
    <x v="25"/>
    <s v="NAKİT"/>
    <n v="1"/>
    <n v="230"/>
    <n v="0"/>
    <n v="0"/>
    <m/>
    <m/>
    <m/>
    <m/>
    <n v="230"/>
    <n v="0"/>
    <n v="60412.152758325028"/>
  </r>
  <r>
    <x v="280"/>
    <x v="4"/>
    <x v="383"/>
    <x v="0"/>
    <x v="1"/>
    <x v="2819"/>
    <x v="25"/>
    <s v="NAKİT"/>
    <n v="0.2"/>
    <n v="400"/>
    <n v="0"/>
    <n v="0"/>
    <m/>
    <m/>
    <m/>
    <m/>
    <n v="80"/>
    <n v="0"/>
    <n v="60492.152758325028"/>
  </r>
  <r>
    <x v="280"/>
    <x v="4"/>
    <x v="14"/>
    <x v="0"/>
    <x v="5"/>
    <x v="2820"/>
    <x v="25"/>
    <s v="POS"/>
    <n v="0.5"/>
    <n v="280"/>
    <n v="140"/>
    <n v="0"/>
    <m/>
    <m/>
    <m/>
    <m/>
    <n v="0"/>
    <n v="0"/>
    <n v="60492.152758325028"/>
  </r>
  <r>
    <x v="280"/>
    <x v="4"/>
    <x v="240"/>
    <x v="0"/>
    <x v="5"/>
    <x v="2821"/>
    <x v="25"/>
    <s v="POS"/>
    <n v="0.3"/>
    <n v="250"/>
    <n v="75"/>
    <n v="0"/>
    <m/>
    <m/>
    <m/>
    <m/>
    <n v="0"/>
    <n v="0"/>
    <n v="60492.152758325028"/>
  </r>
  <r>
    <x v="280"/>
    <x v="4"/>
    <x v="49"/>
    <x v="0"/>
    <x v="5"/>
    <x v="2822"/>
    <x v="25"/>
    <s v="POS"/>
    <n v="0.15"/>
    <n v="600"/>
    <n v="90"/>
    <n v="0"/>
    <m/>
    <m/>
    <m/>
    <m/>
    <n v="0"/>
    <n v="0"/>
    <n v="60492.152758325028"/>
  </r>
  <r>
    <x v="280"/>
    <x v="4"/>
    <x v="86"/>
    <x v="0"/>
    <x v="5"/>
    <x v="2822"/>
    <x v="25"/>
    <s v="POS"/>
    <n v="0.1"/>
    <n v="700"/>
    <n v="70"/>
    <n v="0"/>
    <m/>
    <m/>
    <m/>
    <m/>
    <n v="0"/>
    <n v="0"/>
    <n v="60492.152758325028"/>
  </r>
  <r>
    <x v="280"/>
    <x v="4"/>
    <x v="14"/>
    <x v="0"/>
    <x v="5"/>
    <x v="2822"/>
    <x v="25"/>
    <s v="POS"/>
    <n v="0.5"/>
    <n v="300"/>
    <n v="150"/>
    <n v="0"/>
    <m/>
    <m/>
    <m/>
    <m/>
    <n v="0"/>
    <n v="0"/>
    <n v="60492.152758325028"/>
  </r>
  <r>
    <x v="280"/>
    <x v="4"/>
    <x v="27"/>
    <x v="0"/>
    <x v="1"/>
    <x v="2823"/>
    <x v="25"/>
    <s v="NAKİT"/>
    <n v="0.125"/>
    <n v="400"/>
    <n v="0"/>
    <n v="0"/>
    <m/>
    <m/>
    <m/>
    <m/>
    <n v="50"/>
    <n v="0"/>
    <n v="60542.152758325028"/>
  </r>
  <r>
    <x v="280"/>
    <x v="4"/>
    <x v="386"/>
    <x v="0"/>
    <x v="1"/>
    <x v="2824"/>
    <x v="25"/>
    <s v="NAKİT"/>
    <n v="1"/>
    <n v="20"/>
    <n v="0"/>
    <n v="0"/>
    <m/>
    <m/>
    <m/>
    <m/>
    <n v="20"/>
    <n v="0"/>
    <n v="60562.152758325028"/>
  </r>
  <r>
    <x v="280"/>
    <x v="4"/>
    <x v="56"/>
    <x v="0"/>
    <x v="1"/>
    <x v="2825"/>
    <x v="25"/>
    <s v="NAKİT"/>
    <n v="1"/>
    <n v="200"/>
    <n v="0"/>
    <n v="0"/>
    <m/>
    <m/>
    <m/>
    <m/>
    <n v="200"/>
    <n v="0"/>
    <n v="60762.152758325028"/>
  </r>
  <r>
    <x v="280"/>
    <x v="4"/>
    <x v="56"/>
    <x v="0"/>
    <x v="5"/>
    <x v="2826"/>
    <x v="25"/>
    <s v="POS"/>
    <n v="0.5"/>
    <n v="200"/>
    <n v="100"/>
    <n v="0"/>
    <m/>
    <m/>
    <m/>
    <m/>
    <n v="0"/>
    <n v="0"/>
    <n v="60762.152758325028"/>
  </r>
  <r>
    <x v="280"/>
    <x v="4"/>
    <x v="360"/>
    <x v="0"/>
    <x v="5"/>
    <x v="2826"/>
    <x v="25"/>
    <s v="POS"/>
    <n v="0.25"/>
    <n v="700"/>
    <n v="175"/>
    <n v="0"/>
    <m/>
    <m/>
    <m/>
    <m/>
    <n v="0"/>
    <n v="0"/>
    <n v="60762.152758325028"/>
  </r>
  <r>
    <x v="280"/>
    <x v="4"/>
    <x v="55"/>
    <x v="0"/>
    <x v="1"/>
    <x v="2827"/>
    <x v="286"/>
    <s v="NAKİT"/>
    <n v="1"/>
    <n v="100"/>
    <n v="0"/>
    <n v="0"/>
    <m/>
    <m/>
    <m/>
    <m/>
    <n v="100"/>
    <n v="0"/>
    <n v="60862.152758325028"/>
  </r>
  <r>
    <x v="281"/>
    <x v="4"/>
    <x v="55"/>
    <x v="0"/>
    <x v="1"/>
    <x v="2828"/>
    <x v="25"/>
    <s v="NAKİT"/>
    <n v="1.5"/>
    <n v="200"/>
    <n v="0"/>
    <n v="0"/>
    <m/>
    <m/>
    <m/>
    <m/>
    <n v="300"/>
    <n v="0"/>
    <n v="61162.152758325028"/>
  </r>
  <r>
    <x v="281"/>
    <x v="4"/>
    <x v="244"/>
    <x v="0"/>
    <x v="5"/>
    <x v="2829"/>
    <x v="25"/>
    <s v="POS"/>
    <n v="1"/>
    <n v="90"/>
    <n v="90"/>
    <n v="0"/>
    <m/>
    <m/>
    <m/>
    <m/>
    <n v="0"/>
    <n v="0"/>
    <n v="61162.152758325028"/>
  </r>
  <r>
    <x v="281"/>
    <x v="4"/>
    <x v="16"/>
    <x v="0"/>
    <x v="5"/>
    <x v="2829"/>
    <x v="25"/>
    <s v="POS"/>
    <n v="1"/>
    <n v="165"/>
    <n v="165"/>
    <n v="0"/>
    <m/>
    <m/>
    <m/>
    <m/>
    <n v="0"/>
    <n v="0"/>
    <n v="61162.152758325028"/>
  </r>
  <r>
    <x v="281"/>
    <x v="4"/>
    <x v="456"/>
    <x v="0"/>
    <x v="5"/>
    <x v="2829"/>
    <x v="25"/>
    <s v="POS"/>
    <n v="0.34"/>
    <n v="250"/>
    <n v="85"/>
    <n v="0"/>
    <m/>
    <m/>
    <m/>
    <m/>
    <n v="0"/>
    <n v="0"/>
    <n v="61162.152758325028"/>
  </r>
  <r>
    <x v="281"/>
    <x v="4"/>
    <x v="49"/>
    <x v="0"/>
    <x v="1"/>
    <x v="2830"/>
    <x v="25"/>
    <s v="NAKİT"/>
    <n v="0.15"/>
    <n v="600"/>
    <n v="0"/>
    <n v="0"/>
    <m/>
    <m/>
    <m/>
    <m/>
    <n v="90"/>
    <n v="0"/>
    <n v="61252.152758325028"/>
  </r>
  <r>
    <x v="281"/>
    <x v="4"/>
    <x v="55"/>
    <x v="0"/>
    <x v="1"/>
    <x v="2831"/>
    <x v="25"/>
    <s v="NAKİT"/>
    <n v="1"/>
    <n v="200"/>
    <n v="0"/>
    <n v="0"/>
    <m/>
    <m/>
    <m/>
    <m/>
    <n v="200"/>
    <n v="0"/>
    <n v="61452.152758325028"/>
  </r>
  <r>
    <x v="281"/>
    <x v="4"/>
    <x v="33"/>
    <x v="0"/>
    <x v="1"/>
    <x v="2831"/>
    <x v="25"/>
    <s v="NAKİT"/>
    <n v="0.3125"/>
    <n v="400"/>
    <n v="0"/>
    <n v="0"/>
    <m/>
    <m/>
    <m/>
    <m/>
    <n v="125"/>
    <n v="0"/>
    <n v="61577.152758325028"/>
  </r>
  <r>
    <x v="281"/>
    <x v="4"/>
    <x v="101"/>
    <x v="0"/>
    <x v="1"/>
    <x v="2831"/>
    <x v="25"/>
    <s v="NAKİT"/>
    <n v="0.29545454545454547"/>
    <n v="220"/>
    <n v="0"/>
    <n v="0"/>
    <m/>
    <m/>
    <m/>
    <m/>
    <n v="65"/>
    <n v="0"/>
    <n v="61642.152758325028"/>
  </r>
  <r>
    <x v="281"/>
    <x v="4"/>
    <x v="236"/>
    <x v="0"/>
    <x v="5"/>
    <x v="2832"/>
    <x v="25"/>
    <s v="POS"/>
    <n v="1"/>
    <n v="220"/>
    <n v="220"/>
    <n v="0"/>
    <m/>
    <m/>
    <m/>
    <m/>
    <n v="0"/>
    <n v="0"/>
    <n v="61642.152758325028"/>
  </r>
  <r>
    <x v="281"/>
    <x v="4"/>
    <x v="314"/>
    <x v="0"/>
    <x v="5"/>
    <x v="2833"/>
    <x v="25"/>
    <s v="POS"/>
    <n v="1"/>
    <n v="150"/>
    <n v="150"/>
    <n v="0"/>
    <m/>
    <m/>
    <m/>
    <m/>
    <n v="0"/>
    <n v="0"/>
    <n v="61642.152758325028"/>
  </r>
  <r>
    <x v="281"/>
    <x v="4"/>
    <x v="295"/>
    <x v="0"/>
    <x v="5"/>
    <x v="2833"/>
    <x v="25"/>
    <s v="POS"/>
    <n v="0.1"/>
    <n v="490"/>
    <n v="49"/>
    <n v="0"/>
    <m/>
    <m/>
    <m/>
    <m/>
    <n v="0"/>
    <n v="0"/>
    <n v="61642.152758325028"/>
  </r>
  <r>
    <x v="281"/>
    <x v="4"/>
    <x v="161"/>
    <x v="0"/>
    <x v="1"/>
    <x v="2834"/>
    <x v="25"/>
    <s v="NAKİT"/>
    <n v="0.48200000000000004"/>
    <n v="400"/>
    <n v="0"/>
    <n v="0"/>
    <m/>
    <m/>
    <m/>
    <m/>
    <n v="192.8"/>
    <n v="0"/>
    <n v="61834.952758325031"/>
  </r>
  <r>
    <x v="281"/>
    <x v="4"/>
    <x v="382"/>
    <x v="0"/>
    <x v="1"/>
    <x v="2834"/>
    <x v="25"/>
    <s v="NAKİT"/>
    <n v="1"/>
    <n v="70"/>
    <n v="0"/>
    <n v="0"/>
    <m/>
    <m/>
    <m/>
    <m/>
    <n v="70"/>
    <n v="0"/>
    <n v="61904.952758325031"/>
  </r>
  <r>
    <x v="281"/>
    <x v="4"/>
    <x v="31"/>
    <x v="0"/>
    <x v="1"/>
    <x v="2835"/>
    <x v="25"/>
    <s v="NAKİT"/>
    <n v="0.51"/>
    <n v="400"/>
    <n v="0"/>
    <n v="0"/>
    <m/>
    <m/>
    <m/>
    <m/>
    <n v="204"/>
    <n v="0"/>
    <n v="62108.952758325031"/>
  </r>
  <r>
    <x v="281"/>
    <x v="4"/>
    <x v="24"/>
    <x v="0"/>
    <x v="1"/>
    <x v="2835"/>
    <x v="25"/>
    <s v="NAKİT"/>
    <n v="7.8461538461538458E-2"/>
    <n v="650"/>
    <n v="0"/>
    <n v="0"/>
    <m/>
    <m/>
    <m/>
    <m/>
    <n v="51"/>
    <n v="0"/>
    <n v="62159.952758325031"/>
  </r>
  <r>
    <x v="281"/>
    <x v="4"/>
    <x v="457"/>
    <x v="0"/>
    <x v="1"/>
    <x v="2836"/>
    <x v="287"/>
    <s v="NAKİT"/>
    <n v="2.66"/>
    <n v="133.34"/>
    <n v="0"/>
    <n v="0"/>
    <m/>
    <m/>
    <m/>
    <m/>
    <n v="354.68440000000004"/>
    <m/>
    <n v="62514.637158325029"/>
  </r>
  <r>
    <x v="281"/>
    <x v="4"/>
    <x v="400"/>
    <x v="0"/>
    <x v="1"/>
    <x v="2836"/>
    <x v="287"/>
    <s v="NAKİT"/>
    <n v="0.28000000000000003"/>
    <n v="2250"/>
    <n v="0"/>
    <n v="0"/>
    <m/>
    <m/>
    <m/>
    <m/>
    <n v="630.00000000000011"/>
    <m/>
    <n v="63144.637158325029"/>
  </r>
  <r>
    <x v="281"/>
    <x v="1"/>
    <x v="457"/>
    <x v="18"/>
    <x v="1"/>
    <x v="2836"/>
    <x v="288"/>
    <s v="NAKİT"/>
    <n v="2.66"/>
    <n v="133.34"/>
    <n v="0"/>
    <n v="0"/>
    <m/>
    <m/>
    <m/>
    <m/>
    <n v="0"/>
    <n v="354.68"/>
    <n v="62789.957158325029"/>
  </r>
  <r>
    <x v="281"/>
    <x v="1"/>
    <x v="400"/>
    <x v="18"/>
    <x v="1"/>
    <x v="2836"/>
    <x v="289"/>
    <s v="NAKİT"/>
    <n v="0.28000000000000003"/>
    <n v="2250"/>
    <n v="0"/>
    <n v="0"/>
    <m/>
    <m/>
    <m/>
    <m/>
    <n v="0"/>
    <n v="630"/>
    <n v="62159.957158325029"/>
  </r>
  <r>
    <x v="282"/>
    <x v="4"/>
    <x v="83"/>
    <x v="0"/>
    <x v="1"/>
    <x v="2837"/>
    <x v="25"/>
    <s v="NAKİT"/>
    <n v="0.05"/>
    <n v="2600"/>
    <n v="0"/>
    <n v="0"/>
    <m/>
    <m/>
    <m/>
    <m/>
    <n v="130"/>
    <n v="0"/>
    <n v="62289.957158325029"/>
  </r>
  <r>
    <x v="282"/>
    <x v="4"/>
    <x v="33"/>
    <x v="0"/>
    <x v="1"/>
    <x v="2838"/>
    <x v="35"/>
    <s v="NAKİT"/>
    <n v="0.47600000000000003"/>
    <n v="270"/>
    <n v="0"/>
    <n v="0"/>
    <m/>
    <m/>
    <m/>
    <m/>
    <n v="128.52000000000001"/>
    <n v="0"/>
    <n v="62418.477158325026"/>
  </r>
  <r>
    <x v="282"/>
    <x v="4"/>
    <x v="59"/>
    <x v="0"/>
    <x v="1"/>
    <x v="2838"/>
    <x v="25"/>
    <s v="NAKİT"/>
    <n v="0.3896551724137931"/>
    <n v="290"/>
    <n v="0"/>
    <n v="0"/>
    <m/>
    <m/>
    <m/>
    <m/>
    <n v="113"/>
    <n v="0"/>
    <n v="62531.477158325026"/>
  </r>
  <r>
    <x v="282"/>
    <x v="4"/>
    <x v="161"/>
    <x v="0"/>
    <x v="1"/>
    <x v="2838"/>
    <x v="25"/>
    <s v="NAKİT"/>
    <n v="2"/>
    <n v="265"/>
    <n v="0"/>
    <n v="0"/>
    <m/>
    <m/>
    <m/>
    <m/>
    <n v="530"/>
    <n v="0"/>
    <n v="63061.477158325026"/>
  </r>
  <r>
    <x v="282"/>
    <x v="4"/>
    <x v="32"/>
    <x v="0"/>
    <x v="1"/>
    <x v="2838"/>
    <x v="25"/>
    <s v="NAKİT"/>
    <n v="1"/>
    <n v="265"/>
    <n v="0"/>
    <n v="0"/>
    <m/>
    <m/>
    <m/>
    <m/>
    <n v="265"/>
    <n v="0"/>
    <n v="63326.477158325026"/>
  </r>
  <r>
    <x v="282"/>
    <x v="4"/>
    <x v="24"/>
    <x v="0"/>
    <x v="1"/>
    <x v="2839"/>
    <x v="25"/>
    <s v="NAKİT"/>
    <n v="0.112"/>
    <n v="750"/>
    <n v="0"/>
    <n v="0"/>
    <m/>
    <m/>
    <m/>
    <m/>
    <n v="84"/>
    <n v="0"/>
    <n v="63410.477158325026"/>
  </r>
  <r>
    <x v="282"/>
    <x v="4"/>
    <x v="337"/>
    <x v="0"/>
    <x v="1"/>
    <x v="2839"/>
    <x v="25"/>
    <s v="NAKİT"/>
    <n v="1"/>
    <n v="190"/>
    <n v="0"/>
    <n v="0"/>
    <m/>
    <m/>
    <m/>
    <m/>
    <n v="190"/>
    <n v="0"/>
    <n v="63600.477158325026"/>
  </r>
  <r>
    <x v="282"/>
    <x v="4"/>
    <x v="141"/>
    <x v="0"/>
    <x v="5"/>
    <x v="2840"/>
    <x v="25"/>
    <s v="POS"/>
    <n v="1"/>
    <n v="90"/>
    <n v="90"/>
    <n v="0"/>
    <m/>
    <m/>
    <m/>
    <m/>
    <n v="0"/>
    <n v="0"/>
    <n v="63600.477158325026"/>
  </r>
  <r>
    <x v="282"/>
    <x v="4"/>
    <x v="29"/>
    <x v="0"/>
    <x v="1"/>
    <x v="2841"/>
    <x v="290"/>
    <s v="NAKİT"/>
    <n v="0.33333333333333331"/>
    <n v="750"/>
    <n v="0"/>
    <n v="0"/>
    <m/>
    <m/>
    <m/>
    <m/>
    <n v="250"/>
    <n v="0"/>
    <n v="63850.477158325026"/>
  </r>
  <r>
    <x v="283"/>
    <x v="4"/>
    <x v="74"/>
    <x v="0"/>
    <x v="1"/>
    <x v="2842"/>
    <x v="129"/>
    <s v="NAKİT"/>
    <n v="1.5"/>
    <n v="90"/>
    <n v="0"/>
    <n v="0"/>
    <m/>
    <m/>
    <m/>
    <m/>
    <n v="135"/>
    <n v="0"/>
    <n v="63985.477158325026"/>
  </r>
  <r>
    <x v="283"/>
    <x v="4"/>
    <x v="196"/>
    <x v="0"/>
    <x v="1"/>
    <x v="2842"/>
    <x v="129"/>
    <s v="NAKİT"/>
    <n v="2"/>
    <n v="200"/>
    <n v="0"/>
    <n v="0"/>
    <m/>
    <m/>
    <m/>
    <m/>
    <n v="400"/>
    <n v="0"/>
    <n v="64385.477158325026"/>
  </r>
  <r>
    <x v="283"/>
    <x v="4"/>
    <x v="232"/>
    <x v="0"/>
    <x v="1"/>
    <x v="2842"/>
    <x v="129"/>
    <s v="NAKİT"/>
    <n v="2"/>
    <n v="200"/>
    <n v="0"/>
    <n v="0"/>
    <m/>
    <m/>
    <m/>
    <m/>
    <n v="400"/>
    <n v="0"/>
    <n v="64785.477158325026"/>
  </r>
  <r>
    <x v="283"/>
    <x v="4"/>
    <x v="403"/>
    <x v="0"/>
    <x v="1"/>
    <x v="2842"/>
    <x v="129"/>
    <s v="NAKİT"/>
    <n v="1"/>
    <n v="65"/>
    <n v="0"/>
    <n v="0"/>
    <m/>
    <m/>
    <m/>
    <m/>
    <n v="65"/>
    <n v="0"/>
    <n v="64850.477158325026"/>
  </r>
  <r>
    <x v="283"/>
    <x v="4"/>
    <x v="122"/>
    <x v="0"/>
    <x v="1"/>
    <x v="2842"/>
    <x v="291"/>
    <s v="NAKİT"/>
    <n v="0.248"/>
    <n v="950"/>
    <n v="0"/>
    <n v="0"/>
    <m/>
    <m/>
    <m/>
    <m/>
    <n v="235.6"/>
    <n v="0"/>
    <n v="65086.077158325024"/>
  </r>
  <r>
    <x v="283"/>
    <x v="4"/>
    <x v="149"/>
    <x v="0"/>
    <x v="1"/>
    <x v="2842"/>
    <x v="291"/>
    <s v="NAKİT"/>
    <n v="0.42399999999999999"/>
    <n v="500"/>
    <n v="0"/>
    <n v="0"/>
    <m/>
    <m/>
    <m/>
    <m/>
    <n v="212"/>
    <n v="0"/>
    <n v="65298.077158325024"/>
  </r>
  <r>
    <x v="283"/>
    <x v="4"/>
    <x v="129"/>
    <x v="0"/>
    <x v="1"/>
    <x v="2842"/>
    <x v="291"/>
    <s v="NAKİT"/>
    <n v="0.93"/>
    <n v="200"/>
    <n v="0"/>
    <n v="0"/>
    <m/>
    <m/>
    <m/>
    <m/>
    <n v="186"/>
    <n v="0"/>
    <n v="65484.077158325024"/>
  </r>
  <r>
    <x v="283"/>
    <x v="4"/>
    <x v="116"/>
    <x v="0"/>
    <x v="1"/>
    <x v="2842"/>
    <x v="291"/>
    <s v="NAKİT"/>
    <n v="0.24"/>
    <n v="300"/>
    <n v="0"/>
    <n v="0"/>
    <m/>
    <m/>
    <m/>
    <m/>
    <n v="72"/>
    <n v="0"/>
    <n v="65556.077158325032"/>
  </r>
  <r>
    <x v="283"/>
    <x v="4"/>
    <x v="456"/>
    <x v="0"/>
    <x v="1"/>
    <x v="2842"/>
    <x v="291"/>
    <s v="NAKİT"/>
    <n v="0.44"/>
    <n v="150"/>
    <n v="0"/>
    <n v="0"/>
    <m/>
    <m/>
    <m/>
    <m/>
    <n v="66"/>
    <n v="0"/>
    <n v="65622.077158325032"/>
  </r>
  <r>
    <x v="280"/>
    <x v="3"/>
    <x v="71"/>
    <x v="0"/>
    <x v="12"/>
    <x v="2843"/>
    <x v="254"/>
    <s v="CARİ"/>
    <n v="5"/>
    <n v="115.14"/>
    <n v="0"/>
    <n v="575.70000000000005"/>
    <m/>
    <m/>
    <m/>
    <m/>
    <n v="0"/>
    <n v="0"/>
    <n v="65622.077158325032"/>
  </r>
  <r>
    <x v="280"/>
    <x v="3"/>
    <x v="68"/>
    <x v="0"/>
    <x v="12"/>
    <x v="2843"/>
    <x v="254"/>
    <s v="CARİ"/>
    <n v="2"/>
    <n v="494.14249999999998"/>
    <n v="0"/>
    <n v="988.28499999999997"/>
    <m/>
    <m/>
    <m/>
    <m/>
    <n v="0"/>
    <n v="0"/>
    <n v="65622.077158325032"/>
  </r>
  <r>
    <x v="280"/>
    <x v="3"/>
    <x v="120"/>
    <x v="0"/>
    <x v="12"/>
    <x v="2843"/>
    <x v="254"/>
    <s v="CARİ"/>
    <n v="5"/>
    <n v="566.10500000000002"/>
    <n v="0"/>
    <n v="2830.5250000000001"/>
    <m/>
    <m/>
    <m/>
    <m/>
    <n v="0"/>
    <n v="0"/>
    <n v="65622.077158325032"/>
  </r>
  <r>
    <x v="280"/>
    <x v="3"/>
    <x v="119"/>
    <x v="0"/>
    <x v="12"/>
    <x v="2843"/>
    <x v="254"/>
    <s v="CARİ"/>
    <n v="5"/>
    <n v="575.70000000000005"/>
    <n v="0"/>
    <n v="2878.5"/>
    <m/>
    <m/>
    <m/>
    <m/>
    <n v="0"/>
    <n v="0"/>
    <n v="65622.077158325032"/>
  </r>
  <r>
    <x v="280"/>
    <x v="3"/>
    <x v="149"/>
    <x v="0"/>
    <x v="12"/>
    <x v="2843"/>
    <x v="254"/>
    <s v="CARİ"/>
    <n v="5"/>
    <n v="479.75"/>
    <n v="0"/>
    <n v="2398.75"/>
    <m/>
    <m/>
    <m/>
    <m/>
    <n v="0"/>
    <n v="0"/>
    <n v="65622.077158325032"/>
  </r>
  <r>
    <x v="280"/>
    <x v="3"/>
    <x v="129"/>
    <x v="0"/>
    <x v="12"/>
    <x v="2843"/>
    <x v="254"/>
    <s v="CARİ"/>
    <n v="10"/>
    <n v="172.71"/>
    <n v="0"/>
    <n v="1727.1000000000001"/>
    <m/>
    <m/>
    <m/>
    <m/>
    <n v="0"/>
    <n v="0"/>
    <n v="65622.077158325032"/>
  </r>
  <r>
    <x v="280"/>
    <x v="3"/>
    <x v="212"/>
    <x v="0"/>
    <x v="12"/>
    <x v="2843"/>
    <x v="254"/>
    <s v="CARİ"/>
    <n v="5"/>
    <n v="355.01499999999999"/>
    <n v="0"/>
    <n v="1775.0749999999998"/>
    <m/>
    <m/>
    <m/>
    <m/>
    <n v="0"/>
    <n v="0"/>
    <n v="65622.077158325032"/>
  </r>
  <r>
    <x v="280"/>
    <x v="3"/>
    <x v="122"/>
    <x v="0"/>
    <x v="12"/>
    <x v="2843"/>
    <x v="254"/>
    <s v="CARİ"/>
    <n v="5"/>
    <n v="959.5"/>
    <n v="0"/>
    <n v="4797.5"/>
    <m/>
    <m/>
    <m/>
    <m/>
    <n v="0"/>
    <n v="0"/>
    <n v="65622.077158325032"/>
  </r>
  <r>
    <x v="280"/>
    <x v="10"/>
    <x v="0"/>
    <x v="0"/>
    <x v="5"/>
    <x v="2"/>
    <x v="292"/>
    <s v="POS"/>
    <n v="1"/>
    <n v="17971.439999999999"/>
    <n v="0"/>
    <n v="17971.439999999999"/>
    <m/>
    <m/>
    <m/>
    <m/>
    <n v="0"/>
    <n v="0"/>
    <n v="65622.077158325032"/>
  </r>
  <r>
    <x v="280"/>
    <x v="7"/>
    <x v="0"/>
    <x v="0"/>
    <x v="12"/>
    <x v="2"/>
    <x v="292"/>
    <s v="CARİ"/>
    <n v="1"/>
    <n v="17971.439999999999"/>
    <n v="17971.439999999999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n v="0"/>
    <n v="0"/>
    <n v="0"/>
    <m/>
    <m/>
    <m/>
    <m/>
    <n v="0"/>
    <n v="0"/>
    <n v="65622.077158325032"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  <r>
    <x v="284"/>
    <x v="12"/>
    <x v="0"/>
    <x v="0"/>
    <x v="1"/>
    <x v="2"/>
    <x v="293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41DE6-3547-4A04-B268-B379C11FEE41}" name="PivotTable2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B31:F139" firstHeaderRow="0" firstDataRow="1" firstDataCol="1"/>
  <pivotFields count="21">
    <pivotField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284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48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3"/>
        <item x="204"/>
        <item x="205"/>
        <item x="206"/>
        <item x="207"/>
        <item x="202"/>
        <item x="208"/>
        <item x="209"/>
        <item x="210"/>
        <item x="211"/>
        <item x="212"/>
        <item x="213"/>
        <item x="214"/>
        <item x="215"/>
        <item x="216"/>
        <item x="218"/>
        <item x="21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4"/>
        <item x="238"/>
        <item x="239"/>
        <item x="240"/>
        <item x="241"/>
        <item x="242"/>
        <item x="243"/>
        <item x="244"/>
        <item x="245"/>
        <item x="247"/>
        <item x="246"/>
        <item x="248"/>
        <item x="249"/>
        <item x="250"/>
        <item x="256"/>
        <item x="258"/>
        <item x="251"/>
        <item x="252"/>
        <item x="253"/>
        <item x="254"/>
        <item x="255"/>
        <item x="257"/>
        <item x="259"/>
        <item x="232"/>
        <item x="233"/>
        <item x="235"/>
        <item x="236"/>
        <item x="237"/>
        <item x="266"/>
        <item x="260"/>
        <item x="261"/>
        <item x="262"/>
        <item x="263"/>
        <item x="264"/>
        <item x="265"/>
        <item x="267"/>
        <item x="268"/>
        <item x="269"/>
        <item x="270"/>
        <item x="273"/>
        <item x="271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axis="axisRow" showAll="0">
      <items count="16">
        <item x="7"/>
        <item x="2"/>
        <item x="5"/>
        <item x="1"/>
        <item x="3"/>
        <item x="6"/>
        <item x="4"/>
        <item x="10"/>
        <item x="0"/>
        <item x="8"/>
        <item x="9"/>
        <item x="12"/>
        <item x="11"/>
        <item m="1" x="13"/>
        <item m="1" x="14"/>
        <item t="default"/>
      </items>
    </pivotField>
    <pivotField showAll="0"/>
    <pivotField axis="axisRow" showAll="0">
      <items count="20">
        <item x="10"/>
        <item x="3"/>
        <item x="4"/>
        <item x="1"/>
        <item x="15"/>
        <item x="6"/>
        <item x="11"/>
        <item x="9"/>
        <item x="14"/>
        <item x="2"/>
        <item x="12"/>
        <item x="8"/>
        <item x="7"/>
        <item x="13"/>
        <item x="5"/>
        <item x="0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numFmtId="4" showAll="0"/>
    <pivotField showAll="0" defaultSubtotal="0"/>
    <pivotField axis="axisRow" showAll="0" defaultSubtotal="0">
      <items count="14">
        <item h="1" x="0"/>
        <item sd="0" x="1"/>
        <item sd="0" x="2"/>
        <item sd="0" x="3"/>
        <item sd="0" x="4"/>
        <item sd="0" x="5"/>
        <item sd="0" x="6"/>
        <item x="7"/>
        <item x="8"/>
        <item sd="0" x="9"/>
        <item sd="0" x="10"/>
        <item sd="0" x="11"/>
        <item sd="0" x="12"/>
        <item x="13"/>
      </items>
    </pivotField>
  </pivotFields>
  <rowFields count="3">
    <field x="1"/>
    <field x="20"/>
    <field x="3"/>
  </rowFields>
  <rowItems count="108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2">
      <x v="15"/>
    </i>
    <i r="1">
      <x v="10"/>
    </i>
    <i r="1">
      <x v="11"/>
    </i>
    <i r="1">
      <x v="12"/>
    </i>
    <i>
      <x v="1"/>
    </i>
    <i r="1">
      <x v="2"/>
    </i>
    <i r="1">
      <x v="3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7"/>
    </i>
    <i r="2">
      <x v="17"/>
    </i>
    <i r="1">
      <x v="10"/>
    </i>
    <i r="1">
      <x v="11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2">
      <x/>
    </i>
    <i r="2">
      <x v="9"/>
    </i>
    <i r="2">
      <x v="1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2">
      <x v="15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4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2">
      <x v="15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2">
      <x v="15"/>
    </i>
    <i r="1">
      <x v="11"/>
    </i>
    <i r="1">
      <x v="12"/>
    </i>
    <i>
      <x v="8"/>
    </i>
    <i r="1">
      <x v="1"/>
    </i>
    <i r="1">
      <x v="3"/>
    </i>
    <i r="1">
      <x v="4"/>
    </i>
    <i r="1">
      <x v="9"/>
    </i>
    <i r="1">
      <x v="12"/>
    </i>
    <i>
      <x v="9"/>
    </i>
    <i r="1">
      <x v="1"/>
    </i>
    <i r="1">
      <x v="2"/>
    </i>
    <i r="1">
      <x v="7"/>
    </i>
    <i r="2">
      <x v="15"/>
    </i>
    <i r="1">
      <x v="11"/>
    </i>
    <i>
      <x v="10"/>
    </i>
    <i r="1">
      <x v="1"/>
    </i>
    <i r="1">
      <x v="2"/>
    </i>
    <i r="1">
      <x v="7"/>
    </i>
    <i r="2">
      <x v="15"/>
    </i>
    <i r="1">
      <x v="11"/>
    </i>
    <i>
      <x v="12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plam CARİ _x000a_BORÇ" fld="10" baseField="0" baseItem="0"/>
    <dataField name="Toplam CARİ _x000a_ALACAK" fld="11" baseField="0" baseItem="0"/>
    <dataField name="Toplam KASA _x000a_GİRİŞ" fld="16" baseField="0" baseItem="0"/>
    <dataField name="Toplam KASA _x000a_ÇIKIŞ" fld="17" baseField="0" baseItem="0"/>
  </dataFields>
  <formats count="2">
    <format dxfId="2">
      <pivotArea outline="0" collapsedLevelsAreSubtotals="1" fieldPosition="0"/>
    </format>
    <format dxfId="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E0711-236D-43DD-979A-C10C1BEEDFCA}" name="PivotTable6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H4:L17" firstHeaderRow="0" firstDataRow="1" firstDataCol="1"/>
  <pivotFields count="19">
    <pivotField showAll="0"/>
    <pivotField axis="axisRow" showAll="0">
      <items count="16">
        <item sd="0" x="7"/>
        <item sd="0" x="2"/>
        <item sd="0" x="1"/>
        <item sd="0" x="3"/>
        <item sd="0" x="6"/>
        <item sd="0" x="4"/>
        <item sd="0" x="0"/>
        <item h="1" sd="0" x="14"/>
        <item sd="0" x="10"/>
        <item sd="0" x="5"/>
        <item x="8"/>
        <item x="9"/>
        <item x="11"/>
        <item h="1" x="12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plam KASA _x000a_GİRİŞ" fld="16" baseField="0" baseItem="0"/>
    <dataField name="Toplam KASA _x000a_ÇIKIŞ" fld="17" baseField="0" baseItem="0"/>
    <dataField name="Toplam CARİ _x000a_BORÇ" fld="10" baseField="0" baseItem="0"/>
    <dataField name="Toplam CARİ _x000a_ALACAK" fld="11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B09E3-573F-4587-8F2C-6716A6768EEE}" name="PivotTable5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J108:L136" firstHeaderRow="0" firstDataRow="1" firstDataCol="1"/>
  <pivotFields count="21">
    <pivotField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28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48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3"/>
        <item x="204"/>
        <item x="205"/>
        <item x="206"/>
        <item x="207"/>
        <item x="202"/>
        <item x="208"/>
        <item x="209"/>
        <item x="210"/>
        <item x="211"/>
        <item x="212"/>
        <item x="213"/>
        <item x="214"/>
        <item x="215"/>
        <item x="216"/>
        <item x="218"/>
        <item x="21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4"/>
        <item x="238"/>
        <item x="239"/>
        <item x="240"/>
        <item x="241"/>
        <item x="242"/>
        <item x="243"/>
        <item x="244"/>
        <item x="245"/>
        <item x="247"/>
        <item x="246"/>
        <item x="248"/>
        <item x="249"/>
        <item x="250"/>
        <item x="256"/>
        <item x="258"/>
        <item x="251"/>
        <item x="252"/>
        <item x="253"/>
        <item x="254"/>
        <item x="255"/>
        <item x="257"/>
        <item x="259"/>
        <item x="232"/>
        <item x="233"/>
        <item x="235"/>
        <item x="236"/>
        <item x="237"/>
        <item x="266"/>
        <item x="260"/>
        <item x="261"/>
        <item x="262"/>
        <item x="263"/>
        <item x="264"/>
        <item x="265"/>
        <item x="267"/>
        <item x="268"/>
        <item x="269"/>
        <item x="270"/>
        <item x="273"/>
        <item x="271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axis="axisRow" showAll="0">
      <items count="16">
        <item h="1" sd="0" x="7"/>
        <item h="1" sd="0" x="2"/>
        <item h="1" sd="0" x="5"/>
        <item x="1"/>
        <item sd="0" x="3"/>
        <item h="1" x="6"/>
        <item h="1" x="4"/>
        <item h="1" x="10"/>
        <item h="1" x="0"/>
        <item h="1" x="8"/>
        <item h="1" x="9"/>
        <item h="1" x="12"/>
        <item h="1" x="11"/>
        <item h="1" m="1" x="13"/>
        <item h="1" m="1" x="14"/>
        <item t="default"/>
      </items>
    </pivotField>
    <pivotField showAll="0"/>
    <pivotField showAll="0"/>
    <pivotField showAll="0"/>
    <pivotField showAll="0"/>
    <pivotField axis="axisRow" showAll="0">
      <items count="318">
        <item x="42"/>
        <item x="44"/>
        <item x="2"/>
        <item x="94"/>
        <item x="18"/>
        <item x="3"/>
        <item x="69"/>
        <item x="30"/>
        <item x="11"/>
        <item x="99"/>
        <item x="78"/>
        <item x="29"/>
        <item x="38"/>
        <item x="6"/>
        <item x="59"/>
        <item x="58"/>
        <item x="81"/>
        <item x="61"/>
        <item x="82"/>
        <item x="10"/>
        <item x="9"/>
        <item x="8"/>
        <item x="14"/>
        <item x="17"/>
        <item x="12"/>
        <item x="13"/>
        <item x="96"/>
        <item x="75"/>
        <item x="56"/>
        <item x="71"/>
        <item x="70"/>
        <item x="100"/>
        <item x="101"/>
        <item x="24"/>
        <item x="64"/>
        <item x="83"/>
        <item x="65"/>
        <item x="66"/>
        <item x="62"/>
        <item x="41"/>
        <item x="48"/>
        <item x="47"/>
        <item x="54"/>
        <item x="22"/>
        <item x="28"/>
        <item x="85"/>
        <item x="34"/>
        <item x="36"/>
        <item x="45"/>
        <item x="37"/>
        <item x="72"/>
        <item m="1" x="299"/>
        <item m="1" x="298"/>
        <item x="55"/>
        <item x="88"/>
        <item x="89"/>
        <item x="1"/>
        <item x="49"/>
        <item x="15"/>
        <item x="92"/>
        <item x="86"/>
        <item x="91"/>
        <item x="5"/>
        <item x="33"/>
        <item m="1" x="300"/>
        <item x="40"/>
        <item x="20"/>
        <item x="63"/>
        <item x="25"/>
        <item x="26"/>
        <item x="68"/>
        <item x="80"/>
        <item x="110"/>
        <item x="111"/>
        <item x="109"/>
        <item x="107"/>
        <item x="113"/>
        <item x="112"/>
        <item x="106"/>
        <item x="108"/>
        <item x="35"/>
        <item x="90"/>
        <item x="95"/>
        <item x="0"/>
        <item x="16"/>
        <item x="23"/>
        <item x="87"/>
        <item x="53"/>
        <item x="60"/>
        <item x="4"/>
        <item x="7"/>
        <item x="50"/>
        <item x="52"/>
        <item x="51"/>
        <item x="19"/>
        <item x="31"/>
        <item x="21"/>
        <item x="46"/>
        <item x="84"/>
        <item x="32"/>
        <item x="73"/>
        <item x="39"/>
        <item x="74"/>
        <item x="77"/>
        <item x="27"/>
        <item x="57"/>
        <item x="293"/>
        <item x="67"/>
        <item x="102"/>
        <item x="104"/>
        <item x="105"/>
        <item x="114"/>
        <item x="115"/>
        <item x="116"/>
        <item x="117"/>
        <item x="118"/>
        <item x="97"/>
        <item x="119"/>
        <item x="123"/>
        <item x="121"/>
        <item x="122"/>
        <item x="120"/>
        <item x="124"/>
        <item x="125"/>
        <item x="126"/>
        <item x="127"/>
        <item x="129"/>
        <item m="1" x="307"/>
        <item x="130"/>
        <item x="131"/>
        <item x="132"/>
        <item m="1" x="301"/>
        <item sd="0" x="98"/>
        <item x="134"/>
        <item x="139"/>
        <item x="140"/>
        <item m="1" x="308"/>
        <item x="135"/>
        <item x="137"/>
        <item x="138"/>
        <item x="136"/>
        <item x="141"/>
        <item x="142"/>
        <item x="144"/>
        <item x="133"/>
        <item x="143"/>
        <item x="146"/>
        <item x="145"/>
        <item x="150"/>
        <item x="151"/>
        <item x="147"/>
        <item x="152"/>
        <item x="153"/>
        <item x="154"/>
        <item x="155"/>
        <item x="156"/>
        <item x="157"/>
        <item x="159"/>
        <item x="158"/>
        <item x="148"/>
        <item x="149"/>
        <item m="1" x="309"/>
        <item m="1" x="302"/>
        <item x="165"/>
        <item x="166"/>
        <item x="169"/>
        <item x="170"/>
        <item x="171"/>
        <item x="172"/>
        <item x="173"/>
        <item x="93"/>
        <item x="176"/>
        <item x="177"/>
        <item m="1" x="306"/>
        <item x="168"/>
        <item x="180"/>
        <item x="187"/>
        <item m="1" x="310"/>
        <item x="182"/>
        <item x="183"/>
        <item x="175"/>
        <item x="188"/>
        <item x="190"/>
        <item x="191"/>
        <item x="174"/>
        <item x="189"/>
        <item x="160"/>
        <item x="181"/>
        <item x="186"/>
        <item x="162"/>
        <item x="192"/>
        <item x="167"/>
        <item x="163"/>
        <item x="164"/>
        <item x="194"/>
        <item x="221"/>
        <item x="196"/>
        <item x="184"/>
        <item x="185"/>
        <item x="199"/>
        <item x="197"/>
        <item x="198"/>
        <item m="1" x="311"/>
        <item m="1" x="312"/>
        <item m="1" x="313"/>
        <item m="1" x="314"/>
        <item x="201"/>
        <item x="202"/>
        <item m="1" x="315"/>
        <item m="1" x="316"/>
        <item x="179"/>
        <item x="206"/>
        <item x="193"/>
        <item x="200"/>
        <item x="203"/>
        <item x="204"/>
        <item x="207"/>
        <item x="205"/>
        <item sd="0" x="272"/>
        <item x="178"/>
        <item m="1" x="305"/>
        <item x="258"/>
        <item x="210"/>
        <item x="209"/>
        <item x="212"/>
        <item x="211"/>
        <item x="213"/>
        <item m="1" x="303"/>
        <item x="216"/>
        <item x="217"/>
        <item m="1" x="304"/>
        <item x="214"/>
        <item x="218"/>
        <item x="219"/>
        <item x="220"/>
        <item x="195"/>
        <item x="215"/>
        <item x="222"/>
        <item x="223"/>
        <item x="79"/>
        <item x="227"/>
        <item x="224"/>
        <item m="1" x="297"/>
        <item x="226"/>
        <item x="225"/>
        <item x="231"/>
        <item x="230"/>
        <item x="229"/>
        <item sd="0" x="233"/>
        <item x="43"/>
        <item x="76"/>
        <item x="103"/>
        <item x="128"/>
        <item x="161"/>
        <item x="208"/>
        <item sd="0" x="232"/>
        <item x="236"/>
        <item sd="0" x="237"/>
        <item x="234"/>
        <item x="235"/>
        <item x="238"/>
        <item x="239"/>
        <item x="240"/>
        <item x="241"/>
        <item sd="0" x="243"/>
        <item x="242"/>
        <item x="244"/>
        <item x="247"/>
        <item sd="0" x="245"/>
        <item x="246"/>
        <item sd="0" x="248"/>
        <item sd="0" x="249"/>
        <item x="250"/>
        <item x="252"/>
        <item x="251"/>
        <item x="253"/>
        <item x="254"/>
        <item x="255"/>
        <item x="256"/>
        <item x="277"/>
        <item sd="0" x="259"/>
        <item x="228"/>
        <item m="1" x="296"/>
        <item x="265"/>
        <item x="263"/>
        <item sd="0" x="262"/>
        <item x="257"/>
        <item x="264"/>
        <item sd="0" x="267"/>
        <item sd="0" x="266"/>
        <item sd="0" x="269"/>
        <item x="270"/>
        <item x="271"/>
        <item x="261"/>
        <item x="273"/>
        <item x="274"/>
        <item x="268"/>
        <item x="275"/>
        <item x="276"/>
        <item x="260"/>
        <item x="278"/>
        <item x="283"/>
        <item x="280"/>
        <item m="1" x="294"/>
        <item x="281"/>
        <item sd="0" m="1" x="295"/>
        <item x="284"/>
        <item x="285"/>
        <item x="282"/>
        <item x="286"/>
        <item x="287"/>
        <item sd="0" x="288"/>
        <item sd="0" x="289"/>
        <item x="279"/>
        <item x="290"/>
        <item x="291"/>
        <item x="29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numFmtId="4" showAll="0"/>
    <pivotField axis="axisRow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Row" showAll="0" defaultSubtotal="0">
      <items count="14">
        <item x="0"/>
        <item sd="0" x="1"/>
        <item sd="0" x="2"/>
        <item sd="0" x="4"/>
        <item sd="0" x="5"/>
        <item sd="0" x="6"/>
        <item sd="0" x="7"/>
        <item x="8"/>
        <item sd="0" x="3"/>
        <item x="9"/>
        <item sd="0" x="10"/>
        <item sd="0" x="11"/>
        <item sd="0" x="12"/>
        <item x="13"/>
      </items>
    </pivotField>
  </pivotFields>
  <rowFields count="4">
    <field x="1"/>
    <field x="20"/>
    <field x="6"/>
    <field x="19"/>
  </rowFields>
  <rowItems count="28"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2">
      <x v="2"/>
    </i>
    <i r="3">
      <x v="270"/>
    </i>
    <i r="2">
      <x v="5"/>
    </i>
    <i r="3">
      <x v="271"/>
    </i>
    <i r="2">
      <x v="13"/>
    </i>
    <i r="3">
      <x v="273"/>
    </i>
    <i r="2">
      <x v="20"/>
    </i>
    <i r="3">
      <x v="273"/>
    </i>
    <i r="2">
      <x v="21"/>
    </i>
    <i r="3">
      <x v="273"/>
    </i>
    <i r="2">
      <x v="56"/>
    </i>
    <i r="3">
      <x v="270"/>
    </i>
    <i r="2">
      <x v="62"/>
    </i>
    <i r="3">
      <x v="271"/>
    </i>
    <i r="1">
      <x v="10"/>
    </i>
    <i r="1">
      <x v="11"/>
    </i>
    <i r="1">
      <x v="1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CARİ _x000a_ALACAK" fld="11" baseField="0" baseItem="0"/>
    <dataField name="Toplam KASA _x000a_ÇIKIŞ" fld="17" baseField="0" baseItem="0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C8585-5562-4B32-B38C-31CFB9DEF9C1}" name="PivotTable4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N3:P21" firstHeaderRow="0" firstDataRow="1" firstDataCol="1"/>
  <pivotFields count="21">
    <pivotField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284"/>
        <item x="149"/>
        <item x="148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3"/>
        <item x="204"/>
        <item x="205"/>
        <item x="206"/>
        <item x="207"/>
        <item x="202"/>
        <item x="208"/>
        <item x="209"/>
        <item x="210"/>
        <item x="211"/>
        <item x="212"/>
        <item x="213"/>
        <item x="214"/>
        <item x="215"/>
        <item x="216"/>
        <item x="218"/>
        <item x="21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4"/>
        <item x="238"/>
        <item x="239"/>
        <item x="240"/>
        <item x="241"/>
        <item x="242"/>
        <item x="243"/>
        <item x="244"/>
        <item x="245"/>
        <item x="247"/>
        <item x="246"/>
        <item x="248"/>
        <item x="249"/>
        <item x="250"/>
        <item x="256"/>
        <item x="258"/>
        <item x="251"/>
        <item x="252"/>
        <item x="253"/>
        <item x="254"/>
        <item x="255"/>
        <item x="257"/>
        <item x="259"/>
        <item x="232"/>
        <item x="233"/>
        <item x="235"/>
        <item x="236"/>
        <item x="237"/>
        <item x="266"/>
        <item x="260"/>
        <item x="261"/>
        <item x="262"/>
        <item x="263"/>
        <item x="264"/>
        <item x="265"/>
        <item x="267"/>
        <item x="268"/>
        <item x="269"/>
        <item x="270"/>
        <item x="273"/>
        <item x="271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showAll="0"/>
    <pivotField axis="axisRow" showAll="0">
      <items count="466">
        <item x="405"/>
        <item x="374"/>
        <item x="394"/>
        <item x="248"/>
        <item x="66"/>
        <item x="267"/>
        <item x="62"/>
        <item x="63"/>
        <item x="309"/>
        <item x="310"/>
        <item x="298"/>
        <item x="185"/>
        <item x="303"/>
        <item x="302"/>
        <item x="64"/>
        <item x="306"/>
        <item x="308"/>
        <item x="272"/>
        <item x="8"/>
        <item x="172"/>
        <item x="65"/>
        <item m="1" x="461"/>
        <item x="409"/>
        <item x="372"/>
        <item x="70"/>
        <item x="71"/>
        <item x="120"/>
        <item x="119"/>
        <item x="207"/>
        <item x="283"/>
        <item x="305"/>
        <item x="67"/>
        <item x="334"/>
        <item x="333"/>
        <item x="263"/>
        <item x="178"/>
        <item x="176"/>
        <item x="180"/>
        <item x="181"/>
        <item x="184"/>
        <item x="183"/>
        <item x="177"/>
        <item x="173"/>
        <item x="174"/>
        <item x="182"/>
        <item x="208"/>
        <item x="401"/>
        <item x="400"/>
        <item x="244"/>
        <item x="68"/>
        <item x="238"/>
        <item x="209"/>
        <item x="14"/>
        <item x="69"/>
        <item x="228"/>
        <item x="225"/>
        <item x="60"/>
        <item x="368"/>
        <item x="255"/>
        <item x="290"/>
        <item x="265"/>
        <item x="5"/>
        <item x="16"/>
        <item x="398"/>
        <item x="227"/>
        <item x="371"/>
        <item x="369"/>
        <item x="54"/>
        <item x="251"/>
        <item x="257"/>
        <item x="50"/>
        <item x="299"/>
        <item x="300"/>
        <item x="72"/>
        <item x="121"/>
        <item x="246"/>
        <item x="245"/>
        <item x="247"/>
        <item x="274"/>
        <item x="73"/>
        <item x="361"/>
        <item x="19"/>
        <item x="21"/>
        <item x="18"/>
        <item x="20"/>
        <item x="58"/>
        <item x="74"/>
        <item x="57"/>
        <item x="365"/>
        <item x="384"/>
        <item x="344"/>
        <item x="75"/>
        <item x="360"/>
        <item x="358"/>
        <item x="359"/>
        <item x="291"/>
        <item x="214"/>
        <item x="194"/>
        <item x="193"/>
        <item x="195"/>
        <item x="213"/>
        <item x="192"/>
        <item x="395"/>
        <item x="11"/>
        <item x="33"/>
        <item x="388"/>
        <item x="122"/>
        <item x="123"/>
        <item x="12"/>
        <item x="152"/>
        <item x="153"/>
        <item x="293"/>
        <item x="294"/>
        <item x="313"/>
        <item x="314"/>
        <item x="315"/>
        <item x="316"/>
        <item x="408"/>
        <item x="231"/>
        <item x="254"/>
        <item x="250"/>
        <item x="382"/>
        <item x="76"/>
        <item x="77"/>
        <item x="406"/>
        <item x="404"/>
        <item x="407"/>
        <item x="154"/>
        <item x="249"/>
        <item x="367"/>
        <item x="292"/>
        <item x="59"/>
        <item x="46"/>
        <item x="79"/>
        <item x="80"/>
        <item x="78"/>
        <item x="124"/>
        <item x="49"/>
        <item x="81"/>
        <item x="82"/>
        <item x="34"/>
        <item x="328"/>
        <item x="269"/>
        <item x="200"/>
        <item x="201"/>
        <item x="202"/>
        <item x="203"/>
        <item x="270"/>
        <item x="186"/>
        <item x="84"/>
        <item x="83"/>
        <item x="362"/>
        <item x="221"/>
        <item x="285"/>
        <item x="347"/>
        <item x="30"/>
        <item x="116"/>
        <item x="117"/>
        <item x="31"/>
        <item x="142"/>
        <item x="271"/>
        <item x="349"/>
        <item x="353"/>
        <item x="350"/>
        <item x="351"/>
        <item x="352"/>
        <item x="85"/>
        <item x="150"/>
        <item x="45"/>
        <item x="43"/>
        <item x="44"/>
        <item x="13"/>
        <item x="169"/>
        <item x="149"/>
        <item x="125"/>
        <item x="151"/>
        <item x="86"/>
        <item x="258"/>
        <item x="87"/>
        <item x="24"/>
        <item x="155"/>
        <item x="363"/>
        <item x="370"/>
        <item x="88"/>
        <item x="262"/>
        <item x="156"/>
        <item x="179"/>
        <item x="89"/>
        <item x="90"/>
        <item x="29"/>
        <item x="260"/>
        <item x="157"/>
        <item x="253"/>
        <item x="239"/>
        <item x="210"/>
        <item x="211"/>
        <item x="126"/>
        <item m="1" x="463"/>
        <item x="289"/>
        <item x="25"/>
        <item x="295"/>
        <item x="15"/>
        <item x="204"/>
        <item x="396"/>
        <item x="158"/>
        <item x="40"/>
        <item x="26"/>
        <item x="286"/>
        <item x="345"/>
        <item x="127"/>
        <item x="354"/>
        <item x="91"/>
        <item x="273"/>
        <item x="232"/>
        <item x="92"/>
        <item x="261"/>
        <item x="129"/>
        <item x="128"/>
        <item x="130"/>
        <item x="240"/>
        <item x="337"/>
        <item x="338"/>
        <item x="94"/>
        <item x="268"/>
        <item x="42"/>
        <item x="36"/>
        <item x="35"/>
        <item x="93"/>
        <item x="229"/>
        <item x="230"/>
        <item x="190"/>
        <item x="191"/>
        <item x="312"/>
        <item x="148"/>
        <item x="131"/>
        <item x="132"/>
        <item x="133"/>
        <item x="366"/>
        <item x="346"/>
        <item x="390"/>
        <item x="391"/>
        <item x="327"/>
        <item x="340"/>
        <item x="318"/>
        <item x="332"/>
        <item x="329"/>
        <item x="343"/>
        <item x="324"/>
        <item x="335"/>
        <item x="317"/>
        <item x="319"/>
        <item x="325"/>
        <item x="341"/>
        <item x="342"/>
        <item x="320"/>
        <item x="331"/>
        <item x="321"/>
        <item x="330"/>
        <item x="339"/>
        <item x="326"/>
        <item x="323"/>
        <item x="322"/>
        <item x="134"/>
        <item x="95"/>
        <item x="389"/>
        <item x="96"/>
        <item x="280"/>
        <item x="296"/>
        <item x="135"/>
        <item x="402"/>
        <item x="386"/>
        <item x="276"/>
        <item x="48"/>
        <item x="376"/>
        <item x="377"/>
        <item x="378"/>
        <item x="379"/>
        <item x="275"/>
        <item x="380"/>
        <item x="381"/>
        <item x="136"/>
        <item x="137"/>
        <item x="138"/>
        <item x="387"/>
        <item x="139"/>
        <item x="355"/>
        <item m="1" x="464"/>
        <item x="278"/>
        <item x="277"/>
        <item x="140"/>
        <item x="27"/>
        <item x="264"/>
        <item x="17"/>
        <item x="41"/>
        <item x="97"/>
        <item x="98"/>
        <item x="219"/>
        <item x="218"/>
        <item x="220"/>
        <item x="266"/>
        <item x="2"/>
        <item x="3"/>
        <item x="4"/>
        <item x="1"/>
        <item x="307"/>
        <item x="226"/>
        <item x="212"/>
        <item x="336"/>
        <item x="241"/>
        <item x="287"/>
        <item x="205"/>
        <item x="99"/>
        <item x="356"/>
        <item x="55"/>
        <item x="56"/>
        <item x="237"/>
        <item x="364"/>
        <item x="392"/>
        <item x="100"/>
        <item x="10"/>
        <item x="9"/>
        <item x="304"/>
        <item x="301"/>
        <item x="102"/>
        <item x="393"/>
        <item x="101"/>
        <item x="28"/>
        <item x="385"/>
        <item x="288"/>
        <item x="52"/>
        <item x="53"/>
        <item x="383"/>
        <item x="256"/>
        <item x="37"/>
        <item x="373"/>
        <item x="118"/>
        <item x="144"/>
        <item x="143"/>
        <item x="162"/>
        <item x="163"/>
        <item x="164"/>
        <item x="165"/>
        <item x="167"/>
        <item x="166"/>
        <item x="168"/>
        <item x="171"/>
        <item x="279"/>
        <item x="403"/>
        <item x="259"/>
        <item x="297"/>
        <item x="104"/>
        <item x="105"/>
        <item x="106"/>
        <item x="103"/>
        <item x="107"/>
        <item m="1" x="462"/>
        <item x="161"/>
        <item x="375"/>
        <item x="51"/>
        <item x="242"/>
        <item x="243"/>
        <item x="196"/>
        <item x="108"/>
        <item x="281"/>
        <item x="110"/>
        <item x="109"/>
        <item x="233"/>
        <item x="111"/>
        <item x="141"/>
        <item x="206"/>
        <item x="282"/>
        <item x="284"/>
        <item x="38"/>
        <item x="170"/>
        <item x="175"/>
        <item x="146"/>
        <item x="145"/>
        <item x="147"/>
        <item x="399"/>
        <item x="252"/>
        <item x="160"/>
        <item x="159"/>
        <item x="197"/>
        <item x="199"/>
        <item x="198"/>
        <item x="357"/>
        <item x="397"/>
        <item x="112"/>
        <item x="61"/>
        <item x="6"/>
        <item x="113"/>
        <item x="47"/>
        <item x="39"/>
        <item x="22"/>
        <item x="114"/>
        <item x="23"/>
        <item x="115"/>
        <item x="7"/>
        <item x="236"/>
        <item x="217"/>
        <item x="224"/>
        <item x="311"/>
        <item x="234"/>
        <item x="235"/>
        <item x="188"/>
        <item x="187"/>
        <item x="222"/>
        <item x="215"/>
        <item x="189"/>
        <item x="216"/>
        <item x="223"/>
        <item x="0"/>
        <item x="435"/>
        <item x="446"/>
        <item x="445"/>
        <item x="448"/>
        <item x="449"/>
        <item x="447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6"/>
        <item x="437"/>
        <item x="438"/>
        <item x="439"/>
        <item x="440"/>
        <item x="441"/>
        <item x="442"/>
        <item x="443"/>
        <item x="410"/>
        <item x="411"/>
        <item x="444"/>
        <item x="450"/>
        <item x="452"/>
        <item x="454"/>
        <item x="451"/>
        <item x="32"/>
        <item m="1" x="460"/>
        <item x="453"/>
        <item x="348"/>
        <item x="455"/>
        <item x="457"/>
        <item x="456"/>
        <item x="458"/>
        <item x="459"/>
        <item t="default"/>
      </items>
    </pivotField>
    <pivotField showAll="0"/>
    <pivotField axis="axisRow" showAll="0">
      <items count="20">
        <item sd="0" x="10"/>
        <item sd="0" x="8"/>
        <item sd="0" x="7"/>
        <item sd="0" x="2"/>
        <item sd="0" x="6"/>
        <item sd="0" x="9"/>
        <item h="1" sd="0" x="0"/>
        <item sd="0" x="5"/>
        <item sd="0" x="4"/>
        <item sd="0" x="3"/>
        <item h="1" sd="0" x="1"/>
        <item sd="0" x="11"/>
        <item sd="0" x="13"/>
        <item sd="0" x="12"/>
        <item sd="0" x="14"/>
        <item sd="0" x="15"/>
        <item sd="0" x="16"/>
        <item sd="0" x="17"/>
        <item sd="0" x="18"/>
        <item t="default"/>
      </items>
    </pivotField>
    <pivotField showAll="0"/>
    <pivotField axis="axisRow" showAll="0">
      <items count="318">
        <item x="42"/>
        <item x="44"/>
        <item x="2"/>
        <item x="94"/>
        <item x="18"/>
        <item x="3"/>
        <item x="69"/>
        <item x="30"/>
        <item x="11"/>
        <item x="151"/>
        <item x="99"/>
        <item x="136"/>
        <item x="78"/>
        <item x="144"/>
        <item x="29"/>
        <item x="38"/>
        <item x="6"/>
        <item x="59"/>
        <item x="58"/>
        <item x="81"/>
        <item x="61"/>
        <item x="82"/>
        <item x="10"/>
        <item x="9"/>
        <item x="8"/>
        <item x="14"/>
        <item x="17"/>
        <item x="12"/>
        <item x="13"/>
        <item x="96"/>
        <item x="75"/>
        <item x="56"/>
        <item x="71"/>
        <item x="70"/>
        <item x="100"/>
        <item x="101"/>
        <item x="24"/>
        <item m="1" x="308"/>
        <item x="64"/>
        <item x="83"/>
        <item x="146"/>
        <item x="65"/>
        <item x="66"/>
        <item x="62"/>
        <item x="41"/>
        <item x="159"/>
        <item x="48"/>
        <item x="47"/>
        <item x="54"/>
        <item x="22"/>
        <item x="28"/>
        <item x="85"/>
        <item x="34"/>
        <item x="36"/>
        <item x="45"/>
        <item x="37"/>
        <item x="72"/>
        <item m="1" x="299"/>
        <item m="1" x="298"/>
        <item m="1" x="301"/>
        <item x="55"/>
        <item x="88"/>
        <item x="138"/>
        <item x="89"/>
        <item x="1"/>
        <item x="139"/>
        <item x="67"/>
        <item x="49"/>
        <item x="15"/>
        <item x="92"/>
        <item x="86"/>
        <item x="91"/>
        <item x="5"/>
        <item x="33"/>
        <item m="1" x="300"/>
        <item x="40"/>
        <item x="20"/>
        <item x="98"/>
        <item x="63"/>
        <item x="140"/>
        <item x="97"/>
        <item x="153"/>
        <item x="25"/>
        <item x="26"/>
        <item m="1" x="307"/>
        <item x="68"/>
        <item x="80"/>
        <item x="110"/>
        <item x="111"/>
        <item x="126"/>
        <item x="125"/>
        <item x="130"/>
        <item x="150"/>
        <item x="109"/>
        <item x="124"/>
        <item x="115"/>
        <item x="107"/>
        <item x="129"/>
        <item x="113"/>
        <item x="114"/>
        <item x="112"/>
        <item x="119"/>
        <item x="154"/>
        <item x="157"/>
        <item x="156"/>
        <item x="155"/>
        <item x="141"/>
        <item x="106"/>
        <item x="123"/>
        <item x="120"/>
        <item x="131"/>
        <item x="108"/>
        <item x="35"/>
        <item x="132"/>
        <item x="116"/>
        <item x="117"/>
        <item x="142"/>
        <item x="127"/>
        <item sd="0" x="134"/>
        <item x="90"/>
        <item x="102"/>
        <item x="135"/>
        <item x="137"/>
        <item x="95"/>
        <item x="0"/>
        <item x="121"/>
        <item x="145"/>
        <item x="16"/>
        <item x="23"/>
        <item x="87"/>
        <item x="53"/>
        <item x="60"/>
        <item x="4"/>
        <item x="7"/>
        <item x="50"/>
        <item x="52"/>
        <item x="51"/>
        <item x="19"/>
        <item x="31"/>
        <item x="21"/>
        <item x="46"/>
        <item x="84"/>
        <item x="32"/>
        <item x="104"/>
        <item x="122"/>
        <item x="73"/>
        <item x="39"/>
        <item x="74"/>
        <item x="105"/>
        <item x="152"/>
        <item x="77"/>
        <item x="143"/>
        <item x="27"/>
        <item x="133"/>
        <item x="147"/>
        <item x="118"/>
        <item x="57"/>
        <item x="293"/>
        <item x="158"/>
        <item x="148"/>
        <item x="149"/>
        <item m="1" x="309"/>
        <item m="1" x="302"/>
        <item x="165"/>
        <item x="166"/>
        <item x="169"/>
        <item x="170"/>
        <item x="171"/>
        <item x="172"/>
        <item x="173"/>
        <item x="93"/>
        <item x="176"/>
        <item x="177"/>
        <item m="1" x="306"/>
        <item x="168"/>
        <item x="180"/>
        <item x="187"/>
        <item m="1" x="310"/>
        <item x="182"/>
        <item x="183"/>
        <item x="175"/>
        <item x="188"/>
        <item x="190"/>
        <item x="191"/>
        <item x="174"/>
        <item x="189"/>
        <item x="160"/>
        <item x="181"/>
        <item x="186"/>
        <item x="162"/>
        <item x="192"/>
        <item x="167"/>
        <item x="163"/>
        <item x="164"/>
        <item x="194"/>
        <item x="221"/>
        <item x="196"/>
        <item x="184"/>
        <item x="185"/>
        <item x="199"/>
        <item x="197"/>
        <item x="198"/>
        <item m="1" x="311"/>
        <item m="1" x="312"/>
        <item m="1" x="313"/>
        <item m="1" x="314"/>
        <item x="201"/>
        <item x="202"/>
        <item m="1" x="315"/>
        <item m="1" x="316"/>
        <item x="179"/>
        <item x="206"/>
        <item x="193"/>
        <item x="200"/>
        <item x="203"/>
        <item x="204"/>
        <item x="207"/>
        <item x="205"/>
        <item x="272"/>
        <item x="178"/>
        <item m="1" x="305"/>
        <item x="258"/>
        <item x="210"/>
        <item x="209"/>
        <item x="212"/>
        <item x="211"/>
        <item x="213"/>
        <item m="1" x="303"/>
        <item x="216"/>
        <item x="217"/>
        <item m="1" x="304"/>
        <item x="214"/>
        <item x="218"/>
        <item x="219"/>
        <item x="220"/>
        <item x="195"/>
        <item x="215"/>
        <item x="222"/>
        <item x="223"/>
        <item x="79"/>
        <item x="227"/>
        <item x="224"/>
        <item m="1" x="297"/>
        <item x="226"/>
        <item x="225"/>
        <item x="231"/>
        <item x="230"/>
        <item x="229"/>
        <item x="233"/>
        <item x="43"/>
        <item x="76"/>
        <item x="103"/>
        <item x="128"/>
        <item x="161"/>
        <item x="208"/>
        <item x="232"/>
        <item x="236"/>
        <item x="237"/>
        <item x="234"/>
        <item x="235"/>
        <item x="238"/>
        <item x="239"/>
        <item x="240"/>
        <item x="241"/>
        <item x="243"/>
        <item x="242"/>
        <item x="244"/>
        <item x="247"/>
        <item x="245"/>
        <item x="246"/>
        <item x="248"/>
        <item x="249"/>
        <item x="250"/>
        <item x="252"/>
        <item x="251"/>
        <item x="253"/>
        <item x="254"/>
        <item x="255"/>
        <item x="256"/>
        <item x="277"/>
        <item x="259"/>
        <item x="228"/>
        <item m="1" x="296"/>
        <item x="265"/>
        <item x="263"/>
        <item x="262"/>
        <item x="257"/>
        <item x="264"/>
        <item x="267"/>
        <item x="266"/>
        <item x="269"/>
        <item x="270"/>
        <item x="271"/>
        <item x="261"/>
        <item x="273"/>
        <item x="274"/>
        <item x="268"/>
        <item x="275"/>
        <item x="276"/>
        <item x="260"/>
        <item x="278"/>
        <item x="283"/>
        <item x="280"/>
        <item m="1" x="294"/>
        <item x="281"/>
        <item m="1" x="295"/>
        <item x="284"/>
        <item x="285"/>
        <item x="282"/>
        <item x="286"/>
        <item x="287"/>
        <item x="288"/>
        <item x="289"/>
        <item x="279"/>
        <item x="290"/>
        <item x="291"/>
        <item x="29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numFmtId="4"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5">
    <field x="4"/>
    <field x="20"/>
    <field x="19"/>
    <field x="6"/>
    <field x="2"/>
  </rowFields>
  <rowItems count="18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CARİ " fld="10" baseField="4" baseItem="0" numFmtId="4"/>
    <dataField name="CARİ Toplam CARİ " fld="11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A9E39-F43E-46DF-9334-3756FE9A290F}" name="PivotTable3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H19:J31" firstHeaderRow="0" firstDataRow="1" firstDataCol="1"/>
  <pivotFields count="21">
    <pivotField axis="axisRow"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284"/>
        <item x="72"/>
        <item x="71"/>
        <item x="73"/>
        <item x="74"/>
        <item x="75"/>
        <item x="76"/>
        <item x="77"/>
        <item x="78"/>
        <item x="80"/>
        <item x="81"/>
        <item x="82"/>
        <item x="83"/>
        <item x="79"/>
        <item x="84"/>
        <item x="85"/>
        <item x="86"/>
        <item x="87"/>
        <item x="88"/>
        <item x="89"/>
        <item x="90"/>
        <item sd="0"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48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3"/>
        <item x="204"/>
        <item x="205"/>
        <item x="206"/>
        <item x="207"/>
        <item x="202"/>
        <item x="208"/>
        <item x="209"/>
        <item x="210"/>
        <item x="211"/>
        <item x="212"/>
        <item x="213"/>
        <item x="214"/>
        <item x="215"/>
        <item x="216"/>
        <item x="218"/>
        <item x="21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4"/>
        <item x="238"/>
        <item x="239"/>
        <item x="240"/>
        <item x="241"/>
        <item x="242"/>
        <item x="243"/>
        <item x="244"/>
        <item x="245"/>
        <item x="247"/>
        <item x="246"/>
        <item x="248"/>
        <item x="249"/>
        <item x="250"/>
        <item x="256"/>
        <item x="258"/>
        <item x="251"/>
        <item x="252"/>
        <item x="253"/>
        <item x="254"/>
        <item x="255"/>
        <item x="257"/>
        <item x="259"/>
        <item x="232"/>
        <item x="233"/>
        <item x="235"/>
        <item x="236"/>
        <item x="237"/>
        <item x="266"/>
        <item x="260"/>
        <item x="261"/>
        <item x="262"/>
        <item x="263"/>
        <item x="264"/>
        <item x="265"/>
        <item x="267"/>
        <item x="268"/>
        <item x="269"/>
        <item x="270"/>
        <item x="273"/>
        <item x="271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axis="axisRow" showAll="0">
      <items count="16">
        <item h="1" sd="0" x="7"/>
        <item h="1" sd="0" x="2"/>
        <item h="1" x="5"/>
        <item h="1" x="1"/>
        <item h="1" sd="0" x="3"/>
        <item h="1" sd="0" x="6"/>
        <item x="4"/>
        <item h="1" sd="0" x="10"/>
        <item h="1" sd="0" x="0"/>
        <item h="1" sd="0" x="12"/>
        <item h="1" x="8"/>
        <item h="1" x="9"/>
        <item h="1" x="11"/>
        <item h="1" m="1" x="13"/>
        <item h="1" m="1" x="14"/>
        <item t="default"/>
      </items>
    </pivotField>
    <pivotField showAll="0"/>
    <pivotField showAll="0"/>
    <pivotField showAll="0"/>
    <pivotField axis="axisRow" showAll="0">
      <items count="2845">
        <item x="215"/>
        <item x="584"/>
        <item x="4"/>
        <item x="120"/>
        <item x="244"/>
        <item x="138"/>
        <item x="45"/>
        <item x="5"/>
        <item x="134"/>
        <item x="17"/>
        <item x="19"/>
        <item x="3"/>
        <item x="6"/>
        <item x="7"/>
        <item x="8"/>
        <item x="9"/>
        <item x="11"/>
        <item x="13"/>
        <item x="14"/>
        <item x="16"/>
        <item x="46"/>
        <item x="10"/>
        <item x="28"/>
        <item x="29"/>
        <item x="378"/>
        <item x="549"/>
        <item x="614"/>
        <item x="23"/>
        <item x="27"/>
        <item x="35"/>
        <item x="42"/>
        <item x="109"/>
        <item x="144"/>
        <item x="157"/>
        <item x="176"/>
        <item x="259"/>
        <item x="139"/>
        <item x="145"/>
        <item x="146"/>
        <item x="177"/>
        <item x="230"/>
        <item x="135"/>
        <item x="178"/>
        <item x="179"/>
        <item x="180"/>
        <item x="181"/>
        <item x="182"/>
        <item x="183"/>
        <item x="205"/>
        <item x="206"/>
        <item x="207"/>
        <item x="231"/>
        <item x="232"/>
        <item x="245"/>
        <item x="246"/>
        <item x="247"/>
        <item x="248"/>
        <item x="282"/>
        <item x="283"/>
        <item x="249"/>
        <item x="158"/>
        <item x="159"/>
        <item x="160"/>
        <item x="136"/>
        <item x="137"/>
        <item x="296"/>
        <item x="307"/>
        <item x="336"/>
        <item x="316"/>
        <item x="379"/>
        <item x="441"/>
        <item x="442"/>
        <item x="443"/>
        <item x="102"/>
        <item x="482"/>
        <item x="483"/>
        <item x="484"/>
        <item x="485"/>
        <item x="516"/>
        <item x="456"/>
        <item x="662"/>
        <item x="708"/>
        <item x="730"/>
        <item x="718"/>
        <item x="1"/>
        <item x="15"/>
        <item x="55"/>
        <item x="56"/>
        <item x="30"/>
        <item x="20"/>
        <item x="21"/>
        <item x="12"/>
        <item x="0"/>
        <item x="24"/>
        <item x="25"/>
        <item x="31"/>
        <item x="32"/>
        <item x="33"/>
        <item x="34"/>
        <item x="36"/>
        <item x="37"/>
        <item x="38"/>
        <item x="39"/>
        <item x="40"/>
        <item x="43"/>
        <item x="44"/>
        <item x="47"/>
        <item x="48"/>
        <item x="49"/>
        <item x="50"/>
        <item x="51"/>
        <item x="52"/>
        <item x="53"/>
        <item x="54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41"/>
        <item x="70"/>
        <item x="71"/>
        <item x="72"/>
        <item x="73"/>
        <item x="74"/>
        <item x="75"/>
        <item x="78"/>
        <item x="79"/>
        <item x="76"/>
        <item x="77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2"/>
        <item x="123"/>
        <item x="124"/>
        <item x="125"/>
        <item x="126"/>
        <item x="127"/>
        <item x="128"/>
        <item x="129"/>
        <item x="130"/>
        <item x="140"/>
        <item x="141"/>
        <item x="142"/>
        <item x="143"/>
        <item x="147"/>
        <item x="148"/>
        <item x="149"/>
        <item x="150"/>
        <item x="151"/>
        <item x="152"/>
        <item x="153"/>
        <item x="154"/>
        <item x="155"/>
        <item x="156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8"/>
        <item x="209"/>
        <item x="210"/>
        <item x="216"/>
        <item x="211"/>
        <item x="212"/>
        <item x="213"/>
        <item x="214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50"/>
        <item x="251"/>
        <item x="252"/>
        <item x="253"/>
        <item x="254"/>
        <item x="255"/>
        <item x="256"/>
        <item x="257"/>
        <item x="258"/>
        <item x="17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3"/>
        <item x="304"/>
        <item x="305"/>
        <item x="306"/>
        <item x="308"/>
        <item x="309"/>
        <item x="310"/>
        <item x="311"/>
        <item x="312"/>
        <item x="313"/>
        <item x="314"/>
        <item x="315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35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7"/>
        <item x="518"/>
        <item x="519"/>
        <item x="520"/>
        <item x="521"/>
        <item x="522"/>
        <item x="523"/>
        <item x="524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548"/>
        <item x="525"/>
        <item x="644"/>
        <item x="645"/>
        <item x="646"/>
        <item x="654"/>
        <item x="655"/>
        <item x="656"/>
        <item x="657"/>
        <item x="658"/>
        <item x="659"/>
        <item x="647"/>
        <item x="648"/>
        <item x="649"/>
        <item x="650"/>
        <item x="651"/>
        <item x="652"/>
        <item x="653"/>
        <item x="660"/>
        <item x="663"/>
        <item x="664"/>
        <item x="669"/>
        <item x="670"/>
        <item x="665"/>
        <item x="666"/>
        <item x="667"/>
        <item x="668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727"/>
        <item x="728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602"/>
        <item x="661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131"/>
        <item x="132"/>
        <item x="133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729"/>
        <item x="18"/>
        <item x="22"/>
        <item x="26"/>
        <item x="2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70"/>
        <item x="871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425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883"/>
        <item x="828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981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49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27"/>
        <item x="1128"/>
        <item x="1129"/>
        <item x="1130"/>
        <item x="1131"/>
        <item x="1132"/>
        <item x="1133"/>
        <item x="1134"/>
        <item x="1135"/>
        <item x="1155"/>
        <item x="1162"/>
        <item x="1163"/>
        <item x="1164"/>
        <item x="1165"/>
        <item x="1166"/>
        <item x="1167"/>
        <item x="1156"/>
        <item x="1157"/>
        <item x="1158"/>
        <item x="1159"/>
        <item x="1160"/>
        <item x="1161"/>
        <item x="1126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903"/>
        <item x="1322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291"/>
        <item x="1359"/>
        <item x="1268"/>
        <item x="1323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4"/>
        <item x="1455"/>
        <item x="1456"/>
        <item x="1457"/>
        <item x="1458"/>
        <item x="1459"/>
        <item x="1460"/>
        <item x="1461"/>
        <item x="1232"/>
        <item x="1464"/>
        <item x="1465"/>
        <item x="1466"/>
        <item x="1467"/>
        <item x="1468"/>
        <item x="1469"/>
        <item x="1470"/>
        <item x="1471"/>
        <item x="1472"/>
        <item x="1473"/>
        <item x="146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62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490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24"/>
        <item x="1551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453"/>
        <item x="1599"/>
        <item x="1600"/>
        <item x="1601"/>
        <item x="1602"/>
        <item x="1603"/>
        <item x="1604"/>
        <item x="1605"/>
        <item x="1606"/>
        <item x="1607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3"/>
        <item x="1635"/>
        <item x="1636"/>
        <item x="1637"/>
        <item x="1638"/>
        <item x="1639"/>
        <item x="1640"/>
        <item x="1641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09"/>
        <item x="1676"/>
        <item x="1671"/>
        <item x="1672"/>
        <item x="1673"/>
        <item x="1674"/>
        <item x="1675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695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7"/>
        <item x="1738"/>
        <item x="1739"/>
        <item x="1740"/>
        <item x="1741"/>
        <item x="1742"/>
        <item x="1743"/>
        <item x="1744"/>
        <item x="1745"/>
        <item x="1697"/>
        <item x="1630"/>
        <item x="1736"/>
        <item x="1746"/>
        <item x="1634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574"/>
        <item x="1575"/>
        <item x="1576"/>
        <item x="1577"/>
        <item x="1578"/>
        <item x="1579"/>
        <item x="1580"/>
        <item x="1596"/>
        <item x="1597"/>
        <item x="1598"/>
        <item x="1608"/>
        <item x="1631"/>
        <item x="1642"/>
        <item x="1581"/>
        <item x="1582"/>
        <item x="1583"/>
        <item x="1632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696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1989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43"/>
        <item x="2139"/>
        <item x="2140"/>
        <item x="2141"/>
        <item x="2142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60"/>
        <item x="2161"/>
        <item x="2162"/>
        <item x="2163"/>
        <item x="2164"/>
        <item x="2165"/>
        <item x="2166"/>
        <item x="2167"/>
        <item x="2168"/>
        <item x="2169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70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159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277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3"/>
        <item x="2342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40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3"/>
        <item x="2584"/>
        <item x="2585"/>
        <item x="2586"/>
        <item x="2587"/>
        <item x="2588"/>
        <item x="2589"/>
        <item x="2582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9"/>
        <item x="2620"/>
        <item x="2621"/>
        <item x="2622"/>
        <item x="2623"/>
        <item x="2663"/>
        <item x="2680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62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1"/>
        <item x="2682"/>
        <item x="2683"/>
        <item x="2684"/>
        <item x="2685"/>
        <item x="2686"/>
        <item x="2687"/>
        <item x="2689"/>
        <item x="2690"/>
        <item x="2691"/>
        <item x="2688"/>
        <item x="2692"/>
        <item x="2693"/>
        <item x="2694"/>
        <item x="2695"/>
        <item x="2696"/>
        <item x="2697"/>
        <item x="2698"/>
        <item x="2699"/>
        <item x="2700"/>
        <item x="2701"/>
        <item x="273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75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6"/>
        <item x="2777"/>
        <item x="2778"/>
        <item x="2779"/>
        <item x="2780"/>
        <item x="2781"/>
        <item x="2782"/>
        <item x="2783"/>
        <item x="2784"/>
        <item x="2618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7"/>
        <item x="2808"/>
        <item x="2809"/>
        <item x="2810"/>
        <item x="2811"/>
        <item x="2812"/>
        <item x="2813"/>
        <item x="2814"/>
        <item x="2815"/>
        <item x="2816"/>
        <item x="280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t="default"/>
      </items>
    </pivotField>
    <pivotField showAll="0"/>
    <pivotField showAll="0"/>
    <pivotField showAll="0"/>
    <pivotField showAll="0"/>
    <pivotField dataField="1" showAll="0"/>
    <pivotField numFmtId="4" showAll="0"/>
    <pivotField showAll="0"/>
    <pivotField showAll="0"/>
    <pivotField showAll="0"/>
    <pivotField showAll="0"/>
    <pivotField dataField="1" numFmtId="43" showAll="0"/>
    <pivotField numFmtId="43" showAll="0"/>
    <pivotField numFmtId="4"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5">
    <field x="1"/>
    <field x="20"/>
    <field x="19"/>
    <field x="5"/>
    <field x="0"/>
  </rowFields>
  <rowItems count="12"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CARİ " fld="10" baseField="1" baseItem="6" numFmtId="4"/>
    <dataField name="Toplam KASA _x000a_GİRİŞ" fld="16" baseField="0" baseItem="0" numFmtId="43"/>
  </dataFields>
  <formats count="40">
    <format dxfId="45">
      <pivotArea collapsedLevelsAreSubtotals="1" fieldPosition="0">
        <references count="6">
          <reference field="4294967294" count="1" selected="0">
            <x v="0"/>
          </reference>
          <reference field="0" count="1">
            <x v="154"/>
          </reference>
          <reference field="1" count="0" selected="0"/>
          <reference field="5" count="1" selected="0">
            <x v="1605"/>
          </reference>
          <reference field="19" count="1" selected="0">
            <x v="64"/>
          </reference>
          <reference field="20" count="1" selected="0">
            <x v="3"/>
          </reference>
        </references>
      </pivotArea>
    </format>
    <format dxfId="44">
      <pivotArea collapsedLevelsAreSubtotals="1" fieldPosition="0">
        <references count="6">
          <reference field="4294967294" count="1" selected="0">
            <x v="0"/>
          </reference>
          <reference field="0" count="1">
            <x v="154"/>
          </reference>
          <reference field="1" count="0" selected="0"/>
          <reference field="5" count="1" selected="0">
            <x v="1601"/>
          </reference>
          <reference field="19" count="1" selected="0">
            <x v="64"/>
          </reference>
          <reference field="20" count="1" selected="0">
            <x v="3"/>
          </reference>
        </references>
      </pivotArea>
    </format>
    <format dxfId="43">
      <pivotArea collapsedLevelsAreSubtotals="1" fieldPosition="0">
        <references count="6">
          <reference field="4294967294" count="1" selected="0">
            <x v="0"/>
          </reference>
          <reference field="0" count="1">
            <x v="154"/>
          </reference>
          <reference field="1" count="0" selected="0"/>
          <reference field="5" count="1" selected="0">
            <x v="1599"/>
          </reference>
          <reference field="19" count="1" selected="0">
            <x v="64"/>
          </reference>
          <reference field="20" count="1" selected="0">
            <x v="3"/>
          </reference>
        </references>
      </pivotArea>
    </format>
    <format dxfId="42">
      <pivotArea collapsedLevelsAreSubtotals="1" fieldPosition="0">
        <references count="6">
          <reference field="4294967294" count="1" selected="0">
            <x v="0"/>
          </reference>
          <reference field="0" count="1">
            <x v="154"/>
          </reference>
          <reference field="1" count="0" selected="0"/>
          <reference field="5" count="1" selected="0">
            <x v="1614"/>
          </reference>
          <reference field="19" count="1" selected="0">
            <x v="64"/>
          </reference>
          <reference field="20" count="1" selected="0">
            <x v="3"/>
          </reference>
        </references>
      </pivotArea>
    </format>
    <format dxfId="41">
      <pivotArea collapsedLevelsAreSubtotals="1" fieldPosition="0">
        <references count="6">
          <reference field="4294967294" count="1" selected="0">
            <x v="0"/>
          </reference>
          <reference field="0" count="1">
            <x v="154"/>
          </reference>
          <reference field="1" count="0" selected="0"/>
          <reference field="5" count="1" selected="0">
            <x v="1611"/>
          </reference>
          <reference field="19" count="1" selected="0">
            <x v="64"/>
          </reference>
          <reference field="20" count="1" selected="0">
            <x v="3"/>
          </reference>
        </references>
      </pivotArea>
    </format>
    <format dxfId="40">
      <pivotArea collapsedLevelsAreSubtotals="1" fieldPosition="0">
        <references count="6">
          <reference field="4294967294" count="1" selected="0">
            <x v="0"/>
          </reference>
          <reference field="0" count="1">
            <x v="154"/>
          </reference>
          <reference field="1" count="0" selected="0"/>
          <reference field="5" count="1" selected="0">
            <x v="1612"/>
          </reference>
          <reference field="19" count="1" selected="0">
            <x v="64"/>
          </reference>
          <reference field="20" count="1" selected="0">
            <x v="3"/>
          </reference>
        </references>
      </pivotArea>
    </format>
    <format dxfId="39">
      <pivotArea collapsedLevelsAreSubtotals="1" fieldPosition="0">
        <references count="6">
          <reference field="4294967294" count="1" selected="0">
            <x v="0"/>
          </reference>
          <reference field="0" count="1">
            <x v="154"/>
          </reference>
          <reference field="1" count="0" selected="0"/>
          <reference field="5" count="1" selected="0">
            <x v="1603"/>
          </reference>
          <reference field="19" count="1" selected="0">
            <x v="64"/>
          </reference>
          <reference field="20" count="1" selected="0">
            <x v="3"/>
          </reference>
        </references>
      </pivotArea>
    </format>
    <format dxfId="38">
      <pivotArea collapsedLevelsAreSubtotals="1" fieldPosition="0">
        <references count="6">
          <reference field="4294967294" count="1" selected="0">
            <x v="0"/>
          </reference>
          <reference field="0" count="1">
            <x v="154"/>
          </reference>
          <reference field="1" count="0" selected="0"/>
          <reference field="5" count="1" selected="0">
            <x v="1606"/>
          </reference>
          <reference field="19" count="1" selected="0">
            <x v="64"/>
          </reference>
          <reference field="20" count="1" selected="0">
            <x v="3"/>
          </reference>
        </references>
      </pivotArea>
    </format>
    <format dxfId="37">
      <pivotArea collapsedLevelsAreSubtotals="1" fieldPosition="0">
        <references count="6">
          <reference field="4294967294" count="1" selected="0">
            <x v="0"/>
          </reference>
          <reference field="0" count="1">
            <x v="155"/>
          </reference>
          <reference field="1" count="0" selected="0"/>
          <reference field="5" count="1" selected="0">
            <x v="1615"/>
          </reference>
          <reference field="19" count="1" selected="0">
            <x v="65"/>
          </reference>
          <reference field="20" count="1" selected="0">
            <x v="3"/>
          </reference>
        </references>
      </pivotArea>
    </format>
    <format dxfId="36">
      <pivotArea collapsedLevelsAreSubtotals="1" fieldPosition="0">
        <references count="6">
          <reference field="4294967294" count="1" selected="0">
            <x v="0"/>
          </reference>
          <reference field="0" count="1">
            <x v="155"/>
          </reference>
          <reference field="1" count="0" selected="0"/>
          <reference field="5" count="1" selected="0">
            <x v="1598"/>
          </reference>
          <reference field="19" count="1" selected="0">
            <x v="65"/>
          </reference>
          <reference field="20" count="1" selected="0">
            <x v="3"/>
          </reference>
        </references>
      </pivotArea>
    </format>
    <format dxfId="35">
      <pivotArea collapsedLevelsAreSubtotals="1" fieldPosition="0">
        <references count="6">
          <reference field="4294967294" count="1" selected="0">
            <x v="0"/>
          </reference>
          <reference field="0" count="1">
            <x v="155"/>
          </reference>
          <reference field="1" count="0" selected="0"/>
          <reference field="5" count="1" selected="0">
            <x v="1602"/>
          </reference>
          <reference field="19" count="1" selected="0">
            <x v="65"/>
          </reference>
          <reference field="20" count="1" selected="0">
            <x v="3"/>
          </reference>
        </references>
      </pivotArea>
    </format>
    <format dxfId="34">
      <pivotArea collapsedLevelsAreSubtotals="1" fieldPosition="0">
        <references count="6">
          <reference field="4294967294" count="1" selected="0">
            <x v="0"/>
          </reference>
          <reference field="0" count="1">
            <x v="155"/>
          </reference>
          <reference field="1" count="0" selected="0"/>
          <reference field="5" count="1" selected="0">
            <x v="1601"/>
          </reference>
          <reference field="19" count="1" selected="0">
            <x v="65"/>
          </reference>
          <reference field="20" count="1" selected="0">
            <x v="3"/>
          </reference>
        </references>
      </pivotArea>
    </format>
    <format dxfId="33">
      <pivotArea collapsedLevelsAreSubtotals="1" fieldPosition="0">
        <references count="6">
          <reference field="4294967294" count="1" selected="0">
            <x v="0"/>
          </reference>
          <reference field="0" count="1">
            <x v="155"/>
          </reference>
          <reference field="1" count="0" selected="0"/>
          <reference field="5" count="1" selected="0">
            <x v="1596"/>
          </reference>
          <reference field="19" count="1" selected="0">
            <x v="65"/>
          </reference>
          <reference field="20" count="1" selected="0">
            <x v="3"/>
          </reference>
        </references>
      </pivotArea>
    </format>
    <format dxfId="32">
      <pivotArea collapsedLevelsAreSubtotals="1" fieldPosition="0">
        <references count="6">
          <reference field="4294967294" count="1" selected="0">
            <x v="0"/>
          </reference>
          <reference field="0" count="1">
            <x v="157"/>
          </reference>
          <reference field="1" count="0" selected="0"/>
          <reference field="5" count="1" selected="0">
            <x v="1625"/>
          </reference>
          <reference field="19" count="1" selected="0">
            <x v="67"/>
          </reference>
          <reference field="20" count="1" selected="0">
            <x v="3"/>
          </reference>
        </references>
      </pivotArea>
    </format>
    <format dxfId="31">
      <pivotArea collapsedLevelsAreSubtotals="1" fieldPosition="0">
        <references count="6">
          <reference field="4294967294" count="1" selected="0">
            <x v="0"/>
          </reference>
          <reference field="0" count="1">
            <x v="157"/>
          </reference>
          <reference field="1" count="0" selected="0"/>
          <reference field="5" count="1" selected="0">
            <x v="1634"/>
          </reference>
          <reference field="19" count="1" selected="0">
            <x v="67"/>
          </reference>
          <reference field="20" count="1" selected="0">
            <x v="3"/>
          </reference>
        </references>
      </pivotArea>
    </format>
    <format dxfId="30">
      <pivotArea collapsedLevelsAreSubtotals="1" fieldPosition="0">
        <references count="6">
          <reference field="4294967294" count="1" selected="0">
            <x v="0"/>
          </reference>
          <reference field="0" count="1">
            <x v="158"/>
          </reference>
          <reference field="1" count="0" selected="0"/>
          <reference field="5" count="1" selected="0">
            <x v="1642"/>
          </reference>
          <reference field="19" count="1" selected="0">
            <x v="68"/>
          </reference>
          <reference field="20" count="1" selected="0">
            <x v="3"/>
          </reference>
        </references>
      </pivotArea>
    </format>
    <format dxfId="29">
      <pivotArea collapsedLevelsAreSubtotals="1" fieldPosition="0">
        <references count="6">
          <reference field="4294967294" count="1" selected="0">
            <x v="0"/>
          </reference>
          <reference field="0" count="1">
            <x v="158"/>
          </reference>
          <reference field="1" count="0" selected="0"/>
          <reference field="5" count="1" selected="0">
            <x v="1644"/>
          </reference>
          <reference field="19" count="1" selected="0">
            <x v="68"/>
          </reference>
          <reference field="20" count="1" selected="0">
            <x v="3"/>
          </reference>
        </references>
      </pivotArea>
    </format>
    <format dxfId="28">
      <pivotArea collapsedLevelsAreSubtotals="1" fieldPosition="0">
        <references count="6">
          <reference field="4294967294" count="1" selected="0">
            <x v="0"/>
          </reference>
          <reference field="0" count="1">
            <x v="158"/>
          </reference>
          <reference field="1" count="0" selected="0"/>
          <reference field="5" count="1" selected="0">
            <x v="1650"/>
          </reference>
          <reference field="19" count="1" selected="0">
            <x v="68"/>
          </reference>
          <reference field="20" count="1" selected="0">
            <x v="3"/>
          </reference>
        </references>
      </pivotArea>
    </format>
    <format dxfId="27">
      <pivotArea collapsedLevelsAreSubtotals="1" fieldPosition="0">
        <references count="6">
          <reference field="4294967294" count="1" selected="0">
            <x v="0"/>
          </reference>
          <reference field="0" count="1">
            <x v="158"/>
          </reference>
          <reference field="1" count="0" selected="0"/>
          <reference field="5" count="1" selected="0">
            <x v="1656"/>
          </reference>
          <reference field="19" count="1" selected="0">
            <x v="68"/>
          </reference>
          <reference field="20" count="1" selected="0">
            <x v="3"/>
          </reference>
        </references>
      </pivotArea>
    </format>
    <format dxfId="26">
      <pivotArea collapsedLevelsAreSubtotals="1" fieldPosition="0">
        <references count="6">
          <reference field="4294967294" count="1" selected="0">
            <x v="0"/>
          </reference>
          <reference field="0" count="1">
            <x v="158"/>
          </reference>
          <reference field="1" count="0" selected="0"/>
          <reference field="5" count="1" selected="0">
            <x v="1646"/>
          </reference>
          <reference field="19" count="1" selected="0">
            <x v="68"/>
          </reference>
          <reference field="20" count="1" selected="0">
            <x v="3"/>
          </reference>
        </references>
      </pivotArea>
    </format>
    <format dxfId="25">
      <pivotArea collapsedLevelsAreSubtotals="1" fieldPosition="0">
        <references count="6">
          <reference field="4294967294" count="1" selected="0">
            <x v="0"/>
          </reference>
          <reference field="0" count="1">
            <x v="163"/>
          </reference>
          <reference field="1" count="0" selected="0"/>
          <reference field="5" count="1" selected="0">
            <x v="1730"/>
          </reference>
          <reference field="19" count="1" selected="0">
            <x v="73"/>
          </reference>
          <reference field="20" count="1" selected="0">
            <x v="3"/>
          </reference>
        </references>
      </pivotArea>
    </format>
    <format dxfId="24">
      <pivotArea collapsedLevelsAreSubtotals="1" fieldPosition="0">
        <references count="6">
          <reference field="4294967294" count="1" selected="0">
            <x v="0"/>
          </reference>
          <reference field="0" count="1">
            <x v="163"/>
          </reference>
          <reference field="1" count="0" selected="0"/>
          <reference field="5" count="1" selected="0">
            <x v="1736"/>
          </reference>
          <reference field="19" count="1" selected="0">
            <x v="73"/>
          </reference>
          <reference field="20" count="1" selected="0">
            <x v="3"/>
          </reference>
        </references>
      </pivotArea>
    </format>
    <format dxfId="23">
      <pivotArea collapsedLevelsAreSubtotals="1" fieldPosition="0">
        <references count="6">
          <reference field="4294967294" count="1" selected="0">
            <x v="0"/>
          </reference>
          <reference field="0" count="1">
            <x v="163"/>
          </reference>
          <reference field="1" count="0" selected="0"/>
          <reference field="5" count="1" selected="0">
            <x v="1733"/>
          </reference>
          <reference field="19" count="1" selected="0">
            <x v="73"/>
          </reference>
          <reference field="20" count="1" selected="0">
            <x v="3"/>
          </reference>
        </references>
      </pivotArea>
    </format>
    <format dxfId="22">
      <pivotArea collapsedLevelsAreSubtotals="1" fieldPosition="0">
        <references count="6">
          <reference field="4294967294" count="1" selected="0">
            <x v="0"/>
          </reference>
          <reference field="0" count="1">
            <x v="163"/>
          </reference>
          <reference field="1" count="0" selected="0"/>
          <reference field="5" count="1" selected="0">
            <x v="1743"/>
          </reference>
          <reference field="19" count="1" selected="0">
            <x v="73"/>
          </reference>
          <reference field="20" count="1" selected="0">
            <x v="3"/>
          </reference>
        </references>
      </pivotArea>
    </format>
    <format dxfId="21">
      <pivotArea collapsedLevelsAreSubtotals="1" fieldPosition="0">
        <references count="6">
          <reference field="4294967294" count="1" selected="0">
            <x v="0"/>
          </reference>
          <reference field="0" count="1">
            <x v="163"/>
          </reference>
          <reference field="1" count="0" selected="0"/>
          <reference field="5" count="1" selected="0">
            <x v="1745"/>
          </reference>
          <reference field="19" count="1" selected="0">
            <x v="73"/>
          </reference>
          <reference field="20" count="1" selected="0">
            <x v="3"/>
          </reference>
        </references>
      </pivotArea>
    </format>
    <format dxfId="20">
      <pivotArea collapsedLevelsAreSubtotals="1" fieldPosition="0">
        <references count="6">
          <reference field="4294967294" count="1" selected="0">
            <x v="0"/>
          </reference>
          <reference field="0" count="1">
            <x v="163"/>
          </reference>
          <reference field="1" count="0" selected="0"/>
          <reference field="5" count="1" selected="0">
            <x v="1739"/>
          </reference>
          <reference field="19" count="1" selected="0">
            <x v="73"/>
          </reference>
          <reference field="20" count="1" selected="0">
            <x v="3"/>
          </reference>
        </references>
      </pivotArea>
    </format>
    <format dxfId="19">
      <pivotArea collapsedLevelsAreSubtotals="1" fieldPosition="0">
        <references count="6">
          <reference field="4294967294" count="1" selected="0">
            <x v="0"/>
          </reference>
          <reference field="0" count="1">
            <x v="178"/>
          </reference>
          <reference field="1" count="0" selected="0"/>
          <reference field="5" count="1" selected="0">
            <x v="1927"/>
          </reference>
          <reference field="19" count="1" selected="0">
            <x v="91"/>
          </reference>
          <reference field="20" count="1" selected="0">
            <x v="4"/>
          </reference>
        </references>
      </pivotArea>
    </format>
    <format dxfId="18">
      <pivotArea collapsedLevelsAreSubtotals="1" fieldPosition="0">
        <references count="6">
          <reference field="4294967294" count="1" selected="0">
            <x v="0"/>
          </reference>
          <reference field="0" count="1">
            <x v="178"/>
          </reference>
          <reference field="1" count="0" selected="0"/>
          <reference field="5" count="1" selected="0">
            <x v="1924"/>
          </reference>
          <reference field="19" count="1" selected="0">
            <x v="91"/>
          </reference>
          <reference field="20" count="1" selected="0">
            <x v="4"/>
          </reference>
        </references>
      </pivotArea>
    </format>
    <format dxfId="17">
      <pivotArea collapsedLevelsAreSubtotals="1" fieldPosition="0">
        <references count="6">
          <reference field="4294967294" count="1" selected="0">
            <x v="0"/>
          </reference>
          <reference field="0" count="1">
            <x v="178"/>
          </reference>
          <reference field="1" count="0" selected="0"/>
          <reference field="5" count="1" selected="0">
            <x v="1923"/>
          </reference>
          <reference field="19" count="1" selected="0">
            <x v="91"/>
          </reference>
          <reference field="20" count="1" selected="0">
            <x v="4"/>
          </reference>
        </references>
      </pivotArea>
    </format>
    <format dxfId="16">
      <pivotArea collapsedLevelsAreSubtotals="1" fieldPosition="0">
        <references count="6">
          <reference field="4294967294" count="1" selected="0">
            <x v="0"/>
          </reference>
          <reference field="0" count="1">
            <x v="178"/>
          </reference>
          <reference field="1" count="0" selected="0"/>
          <reference field="5" count="1" selected="0">
            <x v="1937"/>
          </reference>
          <reference field="19" count="1" selected="0">
            <x v="91"/>
          </reference>
          <reference field="20" count="1" selected="0">
            <x v="4"/>
          </reference>
        </references>
      </pivotArea>
    </format>
    <format dxfId="15">
      <pivotArea collapsedLevelsAreSubtotals="1" fieldPosition="0">
        <references count="6">
          <reference field="4294967294" count="1" selected="0">
            <x v="0"/>
          </reference>
          <reference field="0" count="1">
            <x v="178"/>
          </reference>
          <reference field="1" count="0" selected="0"/>
          <reference field="5" count="1" selected="0">
            <x v="1936"/>
          </reference>
          <reference field="19" count="1" selected="0">
            <x v="91"/>
          </reference>
          <reference field="20" count="1" selected="0">
            <x v="4"/>
          </reference>
        </references>
      </pivotArea>
    </format>
    <format dxfId="14">
      <pivotArea collapsedLevelsAreSubtotals="1" fieldPosition="0">
        <references count="6">
          <reference field="4294967294" count="1" selected="0">
            <x v="0"/>
          </reference>
          <reference field="0" count="1">
            <x v="178"/>
          </reference>
          <reference field="1" count="0" selected="0"/>
          <reference field="5" count="1" selected="0">
            <x v="1934"/>
          </reference>
          <reference field="19" count="1" selected="0">
            <x v="91"/>
          </reference>
          <reference field="20" count="1" selected="0">
            <x v="4"/>
          </reference>
        </references>
      </pivotArea>
    </format>
    <format dxfId="13">
      <pivotArea collapsedLevelsAreSubtotals="1" fieldPosition="0">
        <references count="6">
          <reference field="4294967294" count="1" selected="0">
            <x v="0"/>
          </reference>
          <reference field="0" count="1">
            <x v="178"/>
          </reference>
          <reference field="1" count="0" selected="0"/>
          <reference field="5" count="1" selected="0">
            <x v="1929"/>
          </reference>
          <reference field="19" count="1" selected="0">
            <x v="91"/>
          </reference>
          <reference field="20" count="1" selected="0">
            <x v="4"/>
          </reference>
        </references>
      </pivotArea>
    </format>
    <format dxfId="12">
      <pivotArea collapsedLevelsAreSubtotals="1" fieldPosition="0">
        <references count="6">
          <reference field="4294967294" count="1" selected="0">
            <x v="0"/>
          </reference>
          <reference field="0" count="1">
            <x v="251"/>
          </reference>
          <reference field="1" count="0" selected="0"/>
          <reference field="5" count="1" selected="0">
            <x v="2660"/>
          </reference>
          <reference field="19" count="1" selected="0">
            <x v="169"/>
          </reference>
          <reference field="20" count="1" selected="0">
            <x v="6"/>
          </reference>
        </references>
      </pivotArea>
    </format>
    <format dxfId="11">
      <pivotArea collapsedLevelsAreSubtotals="1" fieldPosition="0">
        <references count="6">
          <reference field="4294967294" count="1" selected="0">
            <x v="0"/>
          </reference>
          <reference field="0" count="1">
            <x v="251"/>
          </reference>
          <reference field="1" count="0" selected="0"/>
          <reference field="5" count="1" selected="0">
            <x v="2656"/>
          </reference>
          <reference field="19" count="1" selected="0">
            <x v="169"/>
          </reference>
          <reference field="20" count="1" selected="0">
            <x v="6"/>
          </reference>
        </references>
      </pivotArea>
    </format>
    <format dxfId="10">
      <pivotArea collapsedLevelsAreSubtotals="1" fieldPosition="0">
        <references count="6">
          <reference field="4294967294" count="1" selected="0">
            <x v="0"/>
          </reference>
          <reference field="0" count="1">
            <x v="251"/>
          </reference>
          <reference field="1" count="0" selected="0"/>
          <reference field="5" count="1" selected="0">
            <x v="2658"/>
          </reference>
          <reference field="19" count="1" selected="0">
            <x v="169"/>
          </reference>
          <reference field="20" count="1" selected="0">
            <x v="6"/>
          </reference>
        </references>
      </pivotArea>
    </format>
    <format dxfId="9">
      <pivotArea collapsedLevelsAreSubtotals="1" fieldPosition="0">
        <references count="6">
          <reference field="4294967294" count="1" selected="0">
            <x v="0"/>
          </reference>
          <reference field="0" count="1">
            <x v="251"/>
          </reference>
          <reference field="1" count="0" selected="0"/>
          <reference field="5" count="1" selected="0">
            <x v="2647"/>
          </reference>
          <reference field="19" count="1" selected="0">
            <x v="169"/>
          </reference>
          <reference field="20" count="1" selected="0">
            <x v="6"/>
          </reference>
        </references>
      </pivotArea>
    </format>
    <format dxfId="8">
      <pivotArea collapsedLevelsAreSubtotals="1" fieldPosition="0">
        <references count="6">
          <reference field="4294967294" count="1" selected="0">
            <x v="0"/>
          </reference>
          <reference field="0" count="1">
            <x v="250"/>
          </reference>
          <reference field="1" count="0" selected="0"/>
          <reference field="5" count="1" selected="0">
            <x v="2643"/>
          </reference>
          <reference field="19" count="1" selected="0">
            <x v="168"/>
          </reference>
          <reference field="20" count="1" selected="0">
            <x v="6"/>
          </reference>
        </references>
      </pivotArea>
    </format>
    <format dxfId="7">
      <pivotArea collapsedLevelsAreSubtotals="1" fieldPosition="0">
        <references count="6">
          <reference field="4294967294" count="1" selected="0">
            <x v="0"/>
          </reference>
          <reference field="0" count="1">
            <x v="250"/>
          </reference>
          <reference field="1" count="0" selected="0"/>
          <reference field="5" count="1" selected="0">
            <x v="2646"/>
          </reference>
          <reference field="19" count="1" selected="0">
            <x v="168"/>
          </reference>
          <reference field="20" count="1" selected="0">
            <x v="6"/>
          </reference>
        </references>
      </pivotArea>
    </format>
    <format dxfId="6">
      <pivotArea collapsedLevelsAreSubtotals="1" fieldPosition="0">
        <references count="6">
          <reference field="4294967294" count="1" selected="0">
            <x v="0"/>
          </reference>
          <reference field="0" count="1">
            <x v="250"/>
          </reference>
          <reference field="1" count="0" selected="0"/>
          <reference field="5" count="1" selected="0">
            <x v="2644"/>
          </reference>
          <reference field="19" count="1" selected="0">
            <x v="168"/>
          </reference>
          <reference field="20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5" xr16:uid="{D5E0BA47-58AC-4FED-9868-3F03011A0A37}" autoFormatId="16" applyNumberFormats="0" applyBorderFormats="0" applyFontFormats="0" applyPatternFormats="0" applyAlignmentFormats="0" applyWidthHeightFormats="0">
  <queryTableRefresh nextId="15">
    <queryTableFields count="2">
      <queryTableField id="1" name="S.KODU" tableColumnId="1"/>
      <queryTableField id="2" name="CİNSİ" tableColumnId="2"/>
    </queryTableFields>
    <queryTableDeletedFields count="4">
      <deletedField name="MİKTAR"/>
      <deletedField name="BİRİM"/>
      <deletedField name="FİYAT"/>
      <deletedField name="TUTAR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4" xr16:uid="{AC6669E3-4625-45E7-8316-998AB43F4E79}" autoFormatId="16" applyNumberFormats="0" applyBorderFormats="0" applyFontFormats="0" applyPatternFormats="0" applyAlignmentFormats="0" applyWidthHeightFormats="0">
  <queryTableRefresh nextId="15">
    <queryTableFields count="2">
      <queryTableField id="1" name="S.KODU" tableColumnId="1"/>
      <queryTableField id="2" name="CİNSİ" tableColumnId="2"/>
    </queryTableFields>
    <queryTableDeletedFields count="4">
      <deletedField name="MİKTAR"/>
      <deletedField name="BİRİM"/>
      <deletedField name="FİYAT"/>
      <deletedField name="TUTAR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2" connectionId="6" xr16:uid="{61CCA56D-CEF5-4387-9934-2945C73C3EAD}" autoFormatId="16" applyNumberFormats="0" applyBorderFormats="0" applyFontFormats="0" applyPatternFormats="0" applyAlignmentFormats="0" applyWidthHeightFormats="0">
  <queryTableRefresh nextId="27" unboundColumnsRight="5">
    <queryTableFields count="12">
      <queryTableField id="1" name="S.KODU" tableColumnId="1"/>
      <queryTableField id="19" dataBound="0" tableColumnId="8"/>
      <queryTableField id="2" name="CİNSİ" tableColumnId="2"/>
      <queryTableField id="3" name="MİKTAR" tableColumnId="3"/>
      <queryTableField id="4" name="BİRİM" tableColumnId="4"/>
      <queryTableField id="5" name="FİYAT" tableColumnId="5"/>
      <queryTableField id="6" name="TUTAR" tableColumnId="6"/>
      <queryTableField id="10" dataBound="0" tableColumnId="10"/>
      <queryTableField id="7" dataBound="0" tableColumnId="7"/>
      <queryTableField id="14" dataBound="0" tableColumnId="14"/>
      <queryTableField id="15" dataBound="0" tableColumnId="15"/>
      <queryTableField id="17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B0B53E-DA81-4A36-B115-4F65DF078E17}" name="Table001__Page_134" displayName="Table001__Page_134" ref="A1:B1000" tableType="queryTable" totalsRowShown="0">
  <autoFilter ref="A1:B1000" xr:uid="{739767C0-0A3B-40F5-896C-035F6F71601D}"/>
  <tableColumns count="2">
    <tableColumn id="1" xr3:uid="{9FA39B84-F7F5-4645-9B48-47ECDE17908F}" uniqueName="1" name="K.KODU" queryTableFieldId="1"/>
    <tableColumn id="2" xr3:uid="{20DA6900-6CB6-4B1E-B179-D7C232098574}" uniqueName="2" name="İSMİ" queryTableFieldId="2" dataDxfId="5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6B988-EF2B-417E-89DA-ED95844F5453}" name="Table001__Page_13" displayName="Table001__Page_13" ref="A1:B1000" tableType="queryTable" totalsRowShown="0">
  <autoFilter ref="A1:B1000" xr:uid="{739767C0-0A3B-40F5-896C-035F6F71601D}"/>
  <tableColumns count="2">
    <tableColumn id="1" xr3:uid="{CC1CB84A-45FF-4E05-9114-261020CD890C}" uniqueName="1" name="K.KODU" queryTableFieldId="1"/>
    <tableColumn id="2" xr3:uid="{AABA5202-B5E4-4DD5-815A-85F0D329A17D}" uniqueName="2" name="CİNSİ" queryTableFieldId="2" dataDxfId="5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261114-7A2B-4AC7-A015-616C7A463457}" name="Table001__Page_15" displayName="Table001__Page_15" ref="A1:L1230" tableType="queryTable" totalsRowShown="0">
  <autoFilter ref="A1:L1230" xr:uid="{35261114-7A2B-4AC7-A015-616C7A463457}"/>
  <tableColumns count="12">
    <tableColumn id="1" xr3:uid="{A1146E7D-301C-46C0-ADB0-7F47EA240D6D}" uniqueName="1" name="S.KODU" queryTableFieldId="1"/>
    <tableColumn id="8" xr3:uid="{148AFD02-C277-4F3C-8EE6-53927D0FCB3D}" uniqueName="8" name="SATIŞ TÜRÜ" queryTableFieldId="19"/>
    <tableColumn id="2" xr3:uid="{95A2E010-418E-4D0A-9D23-9D44E25EBDAE}" uniqueName="2" name="CİNSİ" queryTableFieldId="2" dataDxfId="49"/>
    <tableColumn id="3" xr3:uid="{9C7CCE60-3F4A-4E53-BDFD-FAB2BFE4079E}" uniqueName="3" name="MİKTAR" queryTableFieldId="3"/>
    <tableColumn id="4" xr3:uid="{DAC68B73-B1E3-451A-848B-2569E65D2A23}" uniqueName="4" name="BİRİM" queryTableFieldId="4" dataDxfId="48"/>
    <tableColumn id="5" xr3:uid="{629BC27F-6622-4221-82D6-8402ADFD5D48}" uniqueName="5" name="FİYAT" queryTableFieldId="5"/>
    <tableColumn id="6" xr3:uid="{CAA36790-99E8-40C9-BC2D-8E012791039E}" uniqueName="6" name="TUTAR" queryTableFieldId="6"/>
    <tableColumn id="10" xr3:uid="{C42C667A-CD07-4D83-BA4C-9BF798CDEA75}" uniqueName="10" name="Sütun2" queryTableFieldId="10"/>
    <tableColumn id="7" xr3:uid="{0EF5897A-E6D7-4E57-AD55-A4D8F84BB329}" uniqueName="7" name="SATIŞ FİYATI" queryTableFieldId="7" dataDxfId="47">
      <calculatedColumnFormula>Table001__Page_15[[#This Row],[FİYAT]]*Table001__Page_15[[#This Row],[Sütun2]]</calculatedColumnFormula>
    </tableColumn>
    <tableColumn id="14" xr3:uid="{1F80A86D-DCCE-4773-94E9-2AD567F02F6F}" uniqueName="14" name="YUVARLAMA" queryTableFieldId="14"/>
    <tableColumn id="15" xr3:uid="{E8B8E228-BA2C-4294-98D9-CB19A0BE67BD}" uniqueName="15" name="firma" queryTableFieldId="15"/>
    <tableColumn id="9" xr3:uid="{87C057BD-32E0-496D-BFEA-A4B1651CD4DD}" uniqueName="9" name="FARK" queryTableFieldId="17" dataDxfId="46">
      <calculatedColumnFormula>Table001__Page_15[[#This Row],[SATIŞ FİYATI]]-Table001__Page_15[[#This Row],[YUVARLAMA]]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AA0C-78E6-465B-87D9-B2DCD758912B}">
  <dimension ref="B1:I97"/>
  <sheetViews>
    <sheetView zoomScale="97" zoomScaleNormal="97" workbookViewId="0">
      <pane ySplit="1" topLeftCell="A65" activePane="bottomLeft" state="frozen"/>
      <selection pane="bottomLeft" activeCell="G68" sqref="G68"/>
    </sheetView>
  </sheetViews>
  <sheetFormatPr defaultRowHeight="15" x14ac:dyDescent="0.25"/>
  <cols>
    <col min="1" max="1" width="6.5703125" customWidth="1"/>
    <col min="2" max="3" width="17.28515625" customWidth="1"/>
    <col min="4" max="4" width="41.140625" bestFit="1" customWidth="1"/>
    <col min="5" max="5" width="19.7109375" customWidth="1"/>
    <col min="6" max="6" width="16" customWidth="1"/>
    <col min="7" max="7" width="17.5703125" bestFit="1" customWidth="1"/>
    <col min="8" max="8" width="61.5703125" bestFit="1" customWidth="1"/>
    <col min="9" max="9" width="70.28515625" bestFit="1" customWidth="1"/>
  </cols>
  <sheetData>
    <row r="1" spans="2:9" x14ac:dyDescent="0.25">
      <c r="B1" s="9" t="s">
        <v>0</v>
      </c>
      <c r="C1" s="9" t="s">
        <v>1</v>
      </c>
      <c r="D1" s="9" t="s">
        <v>2</v>
      </c>
      <c r="E1" s="7" t="s">
        <v>3</v>
      </c>
      <c r="F1" s="8" t="s">
        <v>4</v>
      </c>
      <c r="G1" s="7" t="s">
        <v>5</v>
      </c>
      <c r="H1" s="7" t="s">
        <v>6</v>
      </c>
      <c r="I1" s="7" t="s">
        <v>7</v>
      </c>
    </row>
    <row r="2" spans="2:9" x14ac:dyDescent="0.25">
      <c r="B2" s="3">
        <v>45950</v>
      </c>
      <c r="C2" s="3" t="s">
        <v>8</v>
      </c>
      <c r="D2" s="4" t="s">
        <v>9</v>
      </c>
      <c r="E2" s="4" t="s">
        <v>10</v>
      </c>
      <c r="F2" s="10">
        <v>45837</v>
      </c>
      <c r="G2" s="4" t="s">
        <v>11</v>
      </c>
      <c r="H2" s="4" t="s">
        <v>12</v>
      </c>
      <c r="I2" s="4" t="s">
        <v>13</v>
      </c>
    </row>
    <row r="3" spans="2:9" x14ac:dyDescent="0.25">
      <c r="B3" s="3">
        <v>45950</v>
      </c>
      <c r="C3" s="3" t="s">
        <v>8</v>
      </c>
      <c r="D3" s="4" t="s">
        <v>14</v>
      </c>
      <c r="E3" s="4" t="s">
        <v>15</v>
      </c>
      <c r="F3" s="11" t="s">
        <v>15</v>
      </c>
      <c r="G3" s="4"/>
      <c r="H3" s="4" t="s">
        <v>16</v>
      </c>
      <c r="I3" s="4" t="s">
        <v>17</v>
      </c>
    </row>
    <row r="4" spans="2:9" x14ac:dyDescent="0.25">
      <c r="B4" s="3">
        <v>45950</v>
      </c>
      <c r="C4" s="3" t="s">
        <v>8</v>
      </c>
      <c r="D4" s="4" t="s">
        <v>18</v>
      </c>
      <c r="E4" s="4" t="s">
        <v>15</v>
      </c>
      <c r="F4" s="11" t="s">
        <v>15</v>
      </c>
      <c r="G4" s="4" t="s">
        <v>19</v>
      </c>
      <c r="H4" s="4"/>
      <c r="I4" s="4"/>
    </row>
    <row r="5" spans="2:9" x14ac:dyDescent="0.25">
      <c r="B5" s="12">
        <v>45950</v>
      </c>
      <c r="C5" s="12" t="s">
        <v>8</v>
      </c>
      <c r="D5" s="13" t="s">
        <v>20</v>
      </c>
      <c r="E5" s="13" t="s">
        <v>21</v>
      </c>
      <c r="F5" s="14">
        <v>46646</v>
      </c>
      <c r="G5" s="13" t="s">
        <v>22</v>
      </c>
      <c r="H5" s="13" t="s">
        <v>23</v>
      </c>
      <c r="I5" s="13" t="s">
        <v>24</v>
      </c>
    </row>
    <row r="6" spans="2:9" x14ac:dyDescent="0.25">
      <c r="B6" s="3">
        <v>45950</v>
      </c>
      <c r="C6" s="3" t="s">
        <v>8</v>
      </c>
      <c r="D6" s="4" t="s">
        <v>25</v>
      </c>
      <c r="E6" s="4" t="s">
        <v>21</v>
      </c>
      <c r="F6" s="10">
        <v>46115</v>
      </c>
      <c r="G6" s="4" t="s">
        <v>26</v>
      </c>
      <c r="H6" s="4" t="s">
        <v>27</v>
      </c>
      <c r="I6" s="4" t="s">
        <v>28</v>
      </c>
    </row>
    <row r="7" spans="2:9" x14ac:dyDescent="0.25">
      <c r="B7" s="3">
        <v>45950</v>
      </c>
      <c r="C7" s="3" t="s">
        <v>8</v>
      </c>
      <c r="D7" s="4" t="s">
        <v>29</v>
      </c>
      <c r="E7" s="4" t="s">
        <v>21</v>
      </c>
      <c r="F7" s="10">
        <v>46274</v>
      </c>
      <c r="G7" s="4" t="s">
        <v>30</v>
      </c>
      <c r="H7" s="4" t="s">
        <v>31</v>
      </c>
      <c r="I7" s="4" t="s">
        <v>32</v>
      </c>
    </row>
    <row r="8" spans="2:9" x14ac:dyDescent="0.25">
      <c r="B8" s="3">
        <v>45950</v>
      </c>
      <c r="C8" s="3" t="s">
        <v>8</v>
      </c>
      <c r="D8" s="4" t="s">
        <v>33</v>
      </c>
      <c r="E8" s="4" t="s">
        <v>21</v>
      </c>
      <c r="F8" s="10">
        <v>46266</v>
      </c>
      <c r="G8" s="4" t="s">
        <v>34</v>
      </c>
      <c r="H8" s="4" t="s">
        <v>35</v>
      </c>
      <c r="I8" s="4" t="s">
        <v>36</v>
      </c>
    </row>
    <row r="9" spans="2:9" x14ac:dyDescent="0.25">
      <c r="B9" s="3">
        <v>45950</v>
      </c>
      <c r="C9" s="3" t="s">
        <v>8</v>
      </c>
      <c r="D9" s="4" t="s">
        <v>37</v>
      </c>
      <c r="E9" s="4" t="s">
        <v>21</v>
      </c>
      <c r="F9" s="10">
        <v>46260</v>
      </c>
      <c r="G9" s="4" t="s">
        <v>38</v>
      </c>
      <c r="H9" s="4" t="s">
        <v>27</v>
      </c>
      <c r="I9" s="4" t="s">
        <v>28</v>
      </c>
    </row>
    <row r="10" spans="2:9" x14ac:dyDescent="0.25">
      <c r="B10" s="3">
        <v>45950</v>
      </c>
      <c r="C10" s="3" t="s">
        <v>8</v>
      </c>
      <c r="D10" s="4" t="s">
        <v>39</v>
      </c>
      <c r="E10" s="4" t="s">
        <v>21</v>
      </c>
      <c r="F10" s="10">
        <v>46099</v>
      </c>
      <c r="G10" s="4" t="s">
        <v>40</v>
      </c>
      <c r="H10" s="4" t="s">
        <v>41</v>
      </c>
      <c r="I10" s="4" t="s">
        <v>42</v>
      </c>
    </row>
    <row r="11" spans="2:9" x14ac:dyDescent="0.25">
      <c r="B11" s="3">
        <v>45950</v>
      </c>
      <c r="C11" s="3" t="s">
        <v>8</v>
      </c>
      <c r="D11" s="4" t="s">
        <v>43</v>
      </c>
      <c r="E11" s="4" t="s">
        <v>21</v>
      </c>
      <c r="F11" s="10">
        <v>46266</v>
      </c>
      <c r="G11" s="4" t="s">
        <v>44</v>
      </c>
      <c r="H11" s="4" t="s">
        <v>45</v>
      </c>
      <c r="I11" s="4" t="s">
        <v>46</v>
      </c>
    </row>
    <row r="12" spans="2:9" x14ac:dyDescent="0.25">
      <c r="B12" s="3">
        <v>45950</v>
      </c>
      <c r="C12" s="3" t="s">
        <v>8</v>
      </c>
      <c r="D12" s="4" t="s">
        <v>47</v>
      </c>
      <c r="E12" s="4" t="s">
        <v>21</v>
      </c>
      <c r="F12" s="10">
        <v>46268</v>
      </c>
      <c r="G12" s="4" t="s">
        <v>48</v>
      </c>
      <c r="H12" s="4" t="s">
        <v>49</v>
      </c>
      <c r="I12" s="4" t="s">
        <v>50</v>
      </c>
    </row>
    <row r="13" spans="2:9" x14ac:dyDescent="0.25">
      <c r="B13" s="3">
        <v>45950</v>
      </c>
      <c r="C13" s="3" t="s">
        <v>8</v>
      </c>
      <c r="D13" s="4" t="s">
        <v>51</v>
      </c>
      <c r="E13" s="4" t="s">
        <v>21</v>
      </c>
      <c r="F13" s="10">
        <v>46266</v>
      </c>
      <c r="G13" s="4" t="s">
        <v>15</v>
      </c>
      <c r="H13" s="4" t="s">
        <v>52</v>
      </c>
      <c r="I13" s="4" t="s">
        <v>15</v>
      </c>
    </row>
    <row r="14" spans="2:9" x14ac:dyDescent="0.25">
      <c r="B14" s="3">
        <v>45950</v>
      </c>
      <c r="C14" s="3" t="s">
        <v>8</v>
      </c>
      <c r="D14" s="4" t="s">
        <v>53</v>
      </c>
      <c r="E14" s="4"/>
      <c r="F14" s="10">
        <v>46266</v>
      </c>
      <c r="G14" s="4" t="s">
        <v>54</v>
      </c>
      <c r="H14" s="4" t="s">
        <v>55</v>
      </c>
      <c r="I14" s="4" t="s">
        <v>56</v>
      </c>
    </row>
    <row r="15" spans="2:9" x14ac:dyDescent="0.25">
      <c r="B15" s="12">
        <v>45950</v>
      </c>
      <c r="C15" s="12" t="s">
        <v>8</v>
      </c>
      <c r="D15" s="13" t="s">
        <v>57</v>
      </c>
      <c r="E15" s="13" t="s">
        <v>15</v>
      </c>
      <c r="F15" s="14" t="s">
        <v>15</v>
      </c>
      <c r="G15" s="13" t="s">
        <v>58</v>
      </c>
      <c r="H15" s="13" t="s">
        <v>23</v>
      </c>
      <c r="I15" s="13" t="s">
        <v>24</v>
      </c>
    </row>
    <row r="16" spans="2:9" x14ac:dyDescent="0.25">
      <c r="B16" s="12">
        <v>45950</v>
      </c>
      <c r="C16" s="12" t="s">
        <v>8</v>
      </c>
      <c r="D16" s="13" t="s">
        <v>59</v>
      </c>
      <c r="E16" s="13" t="s">
        <v>21</v>
      </c>
      <c r="F16" s="14">
        <v>46589</v>
      </c>
      <c r="G16" s="13" t="s">
        <v>22</v>
      </c>
      <c r="H16" s="13" t="s">
        <v>23</v>
      </c>
      <c r="I16" s="13" t="s">
        <v>24</v>
      </c>
    </row>
    <row r="17" spans="2:9" x14ac:dyDescent="0.25">
      <c r="B17" s="12">
        <v>45950</v>
      </c>
      <c r="C17" s="12" t="s">
        <v>8</v>
      </c>
      <c r="D17" s="13" t="s">
        <v>60</v>
      </c>
      <c r="E17" s="13" t="s">
        <v>61</v>
      </c>
      <c r="F17" s="14">
        <v>46667</v>
      </c>
      <c r="G17" s="13" t="s">
        <v>22</v>
      </c>
      <c r="H17" s="13" t="s">
        <v>23</v>
      </c>
      <c r="I17" s="13" t="s">
        <v>24</v>
      </c>
    </row>
    <row r="18" spans="2:9" x14ac:dyDescent="0.25">
      <c r="B18" s="3">
        <v>45961</v>
      </c>
      <c r="C18" s="3" t="s">
        <v>8</v>
      </c>
      <c r="D18" s="4" t="s">
        <v>463</v>
      </c>
      <c r="E18" s="4" t="s">
        <v>21</v>
      </c>
      <c r="F18" s="10">
        <v>46689</v>
      </c>
      <c r="G18" s="4" t="s">
        <v>533</v>
      </c>
      <c r="H18" s="4" t="s">
        <v>534</v>
      </c>
      <c r="I18" s="4" t="s">
        <v>535</v>
      </c>
    </row>
    <row r="19" spans="2:9" x14ac:dyDescent="0.25">
      <c r="B19" s="12">
        <v>45950</v>
      </c>
      <c r="C19" s="12" t="s">
        <v>8</v>
      </c>
      <c r="D19" s="13" t="s">
        <v>248</v>
      </c>
      <c r="E19" s="13" t="s">
        <v>21</v>
      </c>
      <c r="F19" s="14">
        <v>46540</v>
      </c>
      <c r="G19" s="13" t="s">
        <v>22</v>
      </c>
      <c r="H19" s="13" t="s">
        <v>23</v>
      </c>
      <c r="I19" s="13" t="s">
        <v>24</v>
      </c>
    </row>
    <row r="20" spans="2:9" x14ac:dyDescent="0.25">
      <c r="B20" s="12">
        <v>45966</v>
      </c>
      <c r="C20" s="12" t="s">
        <v>8</v>
      </c>
      <c r="D20" s="13" t="s">
        <v>635</v>
      </c>
      <c r="E20" s="13" t="s">
        <v>21</v>
      </c>
      <c r="F20" s="14">
        <v>46661</v>
      </c>
      <c r="G20" s="13" t="s">
        <v>22</v>
      </c>
      <c r="H20" s="13" t="s">
        <v>23</v>
      </c>
      <c r="I20" s="13" t="s">
        <v>24</v>
      </c>
    </row>
    <row r="21" spans="2:9" x14ac:dyDescent="0.25">
      <c r="B21" s="3">
        <v>45973</v>
      </c>
      <c r="C21" s="3" t="s">
        <v>8</v>
      </c>
      <c r="D21" s="4" t="s">
        <v>698</v>
      </c>
      <c r="E21" s="4" t="s">
        <v>21</v>
      </c>
      <c r="F21" s="10">
        <v>46211</v>
      </c>
      <c r="G21" s="4" t="s">
        <v>26</v>
      </c>
      <c r="H21" s="4" t="s">
        <v>27</v>
      </c>
      <c r="I21" s="4" t="s">
        <v>28</v>
      </c>
    </row>
    <row r="22" spans="2:9" x14ac:dyDescent="0.25">
      <c r="B22" s="12">
        <v>45973</v>
      </c>
      <c r="C22" s="12" t="s">
        <v>8</v>
      </c>
      <c r="D22" s="13" t="s">
        <v>699</v>
      </c>
      <c r="E22" s="13" t="s">
        <v>21</v>
      </c>
      <c r="F22" s="14">
        <v>46045</v>
      </c>
      <c r="G22" s="13" t="s">
        <v>22</v>
      </c>
      <c r="H22" s="13" t="s">
        <v>23</v>
      </c>
      <c r="I22" s="13" t="s">
        <v>24</v>
      </c>
    </row>
    <row r="23" spans="2:9" x14ac:dyDescent="0.25">
      <c r="B23" s="3">
        <v>45973</v>
      </c>
      <c r="C23" s="3" t="s">
        <v>8</v>
      </c>
      <c r="D23" s="4" t="s">
        <v>690</v>
      </c>
      <c r="E23" s="4" t="s">
        <v>21</v>
      </c>
      <c r="F23" s="10">
        <v>46116</v>
      </c>
      <c r="G23" s="4" t="s">
        <v>700</v>
      </c>
      <c r="H23" s="4" t="s">
        <v>701</v>
      </c>
      <c r="I23" s="4" t="s">
        <v>702</v>
      </c>
    </row>
    <row r="24" spans="2:9" x14ac:dyDescent="0.25">
      <c r="B24" s="3">
        <v>45973</v>
      </c>
      <c r="C24" s="3" t="s">
        <v>8</v>
      </c>
      <c r="D24" s="4" t="s">
        <v>694</v>
      </c>
      <c r="E24" s="4" t="s">
        <v>21</v>
      </c>
      <c r="F24" s="10">
        <v>46207</v>
      </c>
      <c r="G24" s="4" t="s">
        <v>703</v>
      </c>
      <c r="H24" s="4" t="s">
        <v>704</v>
      </c>
      <c r="I24" s="4" t="s">
        <v>705</v>
      </c>
    </row>
    <row r="25" spans="2:9" x14ac:dyDescent="0.25">
      <c r="B25" s="3">
        <v>45973</v>
      </c>
      <c r="C25" s="3" t="s">
        <v>8</v>
      </c>
      <c r="D25" s="4" t="s">
        <v>693</v>
      </c>
      <c r="E25" s="4" t="s">
        <v>21</v>
      </c>
      <c r="F25" s="10">
        <v>46302</v>
      </c>
      <c r="G25" s="4" t="s">
        <v>703</v>
      </c>
      <c r="H25" s="4" t="s">
        <v>704</v>
      </c>
      <c r="I25" s="4" t="s">
        <v>705</v>
      </c>
    </row>
    <row r="26" spans="2:9" x14ac:dyDescent="0.25">
      <c r="B26" s="3">
        <v>45971</v>
      </c>
      <c r="C26" s="3" t="s">
        <v>8</v>
      </c>
      <c r="D26" s="4" t="s">
        <v>647</v>
      </c>
      <c r="E26" s="4" t="s">
        <v>21</v>
      </c>
      <c r="F26" s="10">
        <v>46256</v>
      </c>
      <c r="G26" s="4" t="s">
        <v>706</v>
      </c>
      <c r="H26" s="4" t="s">
        <v>27</v>
      </c>
      <c r="I26" s="4" t="s">
        <v>28</v>
      </c>
    </row>
    <row r="27" spans="2:9" x14ac:dyDescent="0.25">
      <c r="B27" s="3">
        <v>45971</v>
      </c>
      <c r="C27" s="3" t="s">
        <v>8</v>
      </c>
      <c r="D27" s="4" t="s">
        <v>648</v>
      </c>
      <c r="E27" s="4" t="s">
        <v>21</v>
      </c>
      <c r="F27" s="10">
        <v>46126</v>
      </c>
      <c r="G27" s="4" t="s">
        <v>707</v>
      </c>
      <c r="H27" s="4" t="s">
        <v>708</v>
      </c>
      <c r="I27" s="4" t="s">
        <v>709</v>
      </c>
    </row>
    <row r="28" spans="2:9" x14ac:dyDescent="0.25">
      <c r="B28" s="12">
        <v>45973</v>
      </c>
      <c r="C28" s="12" t="s">
        <v>8</v>
      </c>
      <c r="D28" s="13" t="s">
        <v>692</v>
      </c>
      <c r="E28" s="13" t="s">
        <v>21</v>
      </c>
      <c r="F28" s="14">
        <v>46338</v>
      </c>
      <c r="G28" s="13" t="s">
        <v>22</v>
      </c>
      <c r="H28" s="13" t="s">
        <v>23</v>
      </c>
      <c r="I28" s="13" t="s">
        <v>24</v>
      </c>
    </row>
    <row r="29" spans="2:9" x14ac:dyDescent="0.25">
      <c r="B29" s="12">
        <v>45950</v>
      </c>
      <c r="C29" s="12" t="s">
        <v>8</v>
      </c>
      <c r="D29" s="13" t="s">
        <v>193</v>
      </c>
      <c r="E29" s="13" t="s">
        <v>21</v>
      </c>
      <c r="F29" s="14">
        <v>46559</v>
      </c>
      <c r="G29" s="13" t="s">
        <v>22</v>
      </c>
      <c r="H29" s="13" t="s">
        <v>23</v>
      </c>
      <c r="I29" s="13" t="s">
        <v>24</v>
      </c>
    </row>
    <row r="30" spans="2:9" x14ac:dyDescent="0.25">
      <c r="B30" s="3">
        <v>45950</v>
      </c>
      <c r="C30" s="3" t="s">
        <v>8</v>
      </c>
      <c r="D30" s="4" t="s">
        <v>192</v>
      </c>
      <c r="E30" s="4" t="s">
        <v>21</v>
      </c>
      <c r="F30" s="10" t="s">
        <v>15</v>
      </c>
      <c r="G30" s="4" t="s">
        <v>15</v>
      </c>
      <c r="H30" s="4" t="s">
        <v>15</v>
      </c>
      <c r="I30" s="4" t="s">
        <v>15</v>
      </c>
    </row>
    <row r="31" spans="2:9" x14ac:dyDescent="0.25">
      <c r="B31" s="3">
        <v>45971</v>
      </c>
      <c r="C31" s="3" t="s">
        <v>8</v>
      </c>
      <c r="D31" s="4" t="s">
        <v>238</v>
      </c>
      <c r="E31" s="4" t="s">
        <v>446</v>
      </c>
      <c r="F31" s="10">
        <v>46631</v>
      </c>
      <c r="G31" s="13" t="s">
        <v>22</v>
      </c>
      <c r="H31" s="13" t="s">
        <v>23</v>
      </c>
      <c r="I31" s="13" t="s">
        <v>24</v>
      </c>
    </row>
    <row r="32" spans="2:9" x14ac:dyDescent="0.25">
      <c r="B32" s="3">
        <v>45950</v>
      </c>
      <c r="C32" s="3" t="s">
        <v>8</v>
      </c>
      <c r="D32" s="4" t="s">
        <v>249</v>
      </c>
      <c r="E32" s="4" t="s">
        <v>21</v>
      </c>
      <c r="F32" s="10">
        <v>46645</v>
      </c>
      <c r="G32" s="13" t="s">
        <v>22</v>
      </c>
      <c r="H32" s="13" t="s">
        <v>23</v>
      </c>
      <c r="I32" s="13" t="s">
        <v>24</v>
      </c>
    </row>
    <row r="33" spans="2:9" x14ac:dyDescent="0.25">
      <c r="B33" s="3">
        <v>45978</v>
      </c>
      <c r="C33" s="3" t="s">
        <v>8</v>
      </c>
      <c r="D33" s="4" t="s">
        <v>840</v>
      </c>
      <c r="E33" s="4" t="s">
        <v>21</v>
      </c>
      <c r="F33" s="10">
        <v>46692</v>
      </c>
      <c r="G33" s="13" t="s">
        <v>22</v>
      </c>
      <c r="H33" s="13" t="s">
        <v>23</v>
      </c>
      <c r="I33" s="13" t="s">
        <v>24</v>
      </c>
    </row>
    <row r="34" spans="2:9" x14ac:dyDescent="0.25">
      <c r="B34" s="3">
        <v>45950</v>
      </c>
      <c r="C34" s="3" t="s">
        <v>8</v>
      </c>
      <c r="D34" s="4" t="s">
        <v>191</v>
      </c>
      <c r="E34" s="4" t="s">
        <v>21</v>
      </c>
      <c r="F34" s="10">
        <v>46114</v>
      </c>
      <c r="G34" s="13" t="s">
        <v>22</v>
      </c>
      <c r="H34" s="13" t="s">
        <v>23</v>
      </c>
      <c r="I34" s="13" t="s">
        <v>24</v>
      </c>
    </row>
    <row r="35" spans="2:9" x14ac:dyDescent="0.25">
      <c r="B35" s="3">
        <v>45950</v>
      </c>
      <c r="C35" s="3" t="s">
        <v>8</v>
      </c>
      <c r="D35" s="4" t="s">
        <v>219</v>
      </c>
      <c r="E35" s="4" t="s">
        <v>100</v>
      </c>
      <c r="F35" s="10">
        <v>46523</v>
      </c>
      <c r="G35" s="13" t="s">
        <v>22</v>
      </c>
      <c r="H35" s="13" t="s">
        <v>23</v>
      </c>
      <c r="I35" s="13" t="s">
        <v>24</v>
      </c>
    </row>
    <row r="36" spans="2:9" x14ac:dyDescent="0.25">
      <c r="B36" s="3">
        <v>45950</v>
      </c>
      <c r="C36" s="3" t="s">
        <v>8</v>
      </c>
      <c r="D36" s="4" t="s">
        <v>1060</v>
      </c>
      <c r="E36" s="4" t="s">
        <v>21</v>
      </c>
      <c r="F36" s="10">
        <v>46657</v>
      </c>
      <c r="G36" s="13" t="s">
        <v>22</v>
      </c>
      <c r="H36" s="13" t="s">
        <v>23</v>
      </c>
      <c r="I36" s="13" t="s">
        <v>24</v>
      </c>
    </row>
    <row r="37" spans="2:9" x14ac:dyDescent="0.25">
      <c r="B37" s="3">
        <v>45950</v>
      </c>
      <c r="C37" s="3" t="s">
        <v>8</v>
      </c>
      <c r="D37" s="4" t="s">
        <v>1061</v>
      </c>
      <c r="E37" s="4" t="s">
        <v>15</v>
      </c>
      <c r="F37" s="10" t="s">
        <v>15</v>
      </c>
      <c r="G37" s="13" t="s">
        <v>22</v>
      </c>
      <c r="H37" s="13" t="s">
        <v>23</v>
      </c>
      <c r="I37" s="13" t="s">
        <v>24</v>
      </c>
    </row>
    <row r="38" spans="2:9" x14ac:dyDescent="0.25">
      <c r="B38" s="3">
        <v>45950</v>
      </c>
      <c r="C38" s="3" t="s">
        <v>8</v>
      </c>
      <c r="D38" s="4" t="s">
        <v>189</v>
      </c>
      <c r="E38" s="4" t="s">
        <v>15</v>
      </c>
      <c r="F38" s="10" t="s">
        <v>15</v>
      </c>
      <c r="G38" s="13" t="s">
        <v>22</v>
      </c>
      <c r="H38" s="13" t="s">
        <v>23</v>
      </c>
      <c r="I38" s="13" t="s">
        <v>24</v>
      </c>
    </row>
    <row r="39" spans="2:9" x14ac:dyDescent="0.25">
      <c r="B39" s="3">
        <v>45950</v>
      </c>
      <c r="C39" s="3" t="s">
        <v>8</v>
      </c>
      <c r="D39" s="4" t="s">
        <v>589</v>
      </c>
      <c r="E39" s="4" t="s">
        <v>15</v>
      </c>
      <c r="F39" s="10" t="s">
        <v>15</v>
      </c>
      <c r="G39" s="13" t="s">
        <v>22</v>
      </c>
      <c r="H39" s="13" t="s">
        <v>23</v>
      </c>
      <c r="I39" s="13" t="s">
        <v>24</v>
      </c>
    </row>
    <row r="40" spans="2:9" x14ac:dyDescent="0.25">
      <c r="B40" s="3">
        <v>45989</v>
      </c>
      <c r="C40" s="3" t="s">
        <v>8</v>
      </c>
      <c r="D40" s="4" t="s">
        <v>1023</v>
      </c>
      <c r="E40" s="4" t="s">
        <v>21</v>
      </c>
      <c r="F40" s="10">
        <v>46354</v>
      </c>
      <c r="G40" s="13" t="s">
        <v>22</v>
      </c>
      <c r="H40" s="13" t="s">
        <v>23</v>
      </c>
      <c r="I40" s="13" t="s">
        <v>24</v>
      </c>
    </row>
    <row r="41" spans="2:9" x14ac:dyDescent="0.25">
      <c r="B41" s="3">
        <v>45990</v>
      </c>
      <c r="C41" s="3" t="s">
        <v>8</v>
      </c>
      <c r="D41" s="4" t="s">
        <v>1071</v>
      </c>
      <c r="E41" s="4" t="s">
        <v>21</v>
      </c>
      <c r="F41" s="10">
        <v>46354</v>
      </c>
      <c r="G41" s="13" t="s">
        <v>22</v>
      </c>
      <c r="H41" s="13" t="s">
        <v>23</v>
      </c>
      <c r="I41" s="13" t="s">
        <v>24</v>
      </c>
    </row>
    <row r="42" spans="2:9" x14ac:dyDescent="0.25">
      <c r="B42" s="3">
        <v>45985</v>
      </c>
      <c r="C42" s="3" t="s">
        <v>8</v>
      </c>
      <c r="D42" s="4" t="s">
        <v>892</v>
      </c>
      <c r="E42" s="4" t="s">
        <v>21</v>
      </c>
      <c r="F42" s="10">
        <v>46350</v>
      </c>
      <c r="G42" s="13" t="s">
        <v>22</v>
      </c>
      <c r="H42" s="13" t="s">
        <v>23</v>
      </c>
      <c r="I42" s="13" t="s">
        <v>24</v>
      </c>
    </row>
    <row r="43" spans="2:9" x14ac:dyDescent="0.25">
      <c r="B43" s="3"/>
      <c r="C43" s="3" t="s">
        <v>8</v>
      </c>
      <c r="D43" s="4" t="s">
        <v>213</v>
      </c>
      <c r="E43" s="4" t="s">
        <v>21</v>
      </c>
      <c r="F43" s="10">
        <v>46488</v>
      </c>
      <c r="G43" s="13" t="s">
        <v>22</v>
      </c>
      <c r="H43" s="13" t="s">
        <v>23</v>
      </c>
      <c r="I43" s="13" t="s">
        <v>24</v>
      </c>
    </row>
    <row r="44" spans="2:9" x14ac:dyDescent="0.25">
      <c r="B44" s="3"/>
      <c r="C44" s="3" t="s">
        <v>8</v>
      </c>
      <c r="D44" s="4" t="s">
        <v>190</v>
      </c>
      <c r="E44" s="4" t="s">
        <v>21</v>
      </c>
      <c r="F44" s="10">
        <v>46607</v>
      </c>
      <c r="G44" s="13" t="s">
        <v>22</v>
      </c>
      <c r="H44" s="13" t="s">
        <v>23</v>
      </c>
      <c r="I44" s="13" t="s">
        <v>24</v>
      </c>
    </row>
    <row r="45" spans="2:9" x14ac:dyDescent="0.25">
      <c r="B45" s="3"/>
      <c r="C45" s="3"/>
      <c r="D45" s="4" t="s">
        <v>224</v>
      </c>
      <c r="E45" s="4" t="s">
        <v>21</v>
      </c>
      <c r="F45" s="10">
        <v>46659</v>
      </c>
      <c r="G45" s="13" t="s">
        <v>22</v>
      </c>
      <c r="H45" s="13" t="s">
        <v>23</v>
      </c>
      <c r="I45" s="13" t="s">
        <v>24</v>
      </c>
    </row>
    <row r="46" spans="2:9" x14ac:dyDescent="0.25">
      <c r="B46" s="3"/>
      <c r="C46" s="3"/>
      <c r="D46" s="4"/>
      <c r="E46" s="4"/>
      <c r="F46" s="10"/>
      <c r="G46" s="4"/>
      <c r="H46" s="4"/>
      <c r="I46" s="4"/>
    </row>
    <row r="47" spans="2:9" x14ac:dyDescent="0.25">
      <c r="B47" s="3"/>
      <c r="C47" s="3"/>
      <c r="D47" s="4"/>
      <c r="E47" s="4"/>
      <c r="F47" s="10"/>
      <c r="G47" s="4"/>
      <c r="H47" s="4"/>
      <c r="I47" s="4"/>
    </row>
    <row r="48" spans="2:9" x14ac:dyDescent="0.25">
      <c r="B48" s="3"/>
      <c r="C48" s="3"/>
      <c r="D48" s="4"/>
      <c r="E48" s="4"/>
      <c r="F48" s="10"/>
      <c r="G48" s="4"/>
      <c r="H48" s="4"/>
      <c r="I48" s="4"/>
    </row>
    <row r="49" spans="2:9" x14ac:dyDescent="0.25">
      <c r="B49" s="3"/>
      <c r="C49" s="3"/>
      <c r="D49" s="4"/>
      <c r="E49" s="4"/>
      <c r="F49" s="10"/>
      <c r="G49" s="4"/>
      <c r="H49" s="4"/>
      <c r="I49" s="4"/>
    </row>
    <row r="50" spans="2:9" x14ac:dyDescent="0.25">
      <c r="B50" s="3"/>
      <c r="C50" s="3"/>
      <c r="D50" s="4"/>
      <c r="E50" s="4"/>
      <c r="F50" s="10"/>
      <c r="G50" s="4"/>
      <c r="H50" s="4"/>
      <c r="I50" s="4"/>
    </row>
    <row r="51" spans="2:9" x14ac:dyDescent="0.25">
      <c r="B51" s="3"/>
      <c r="C51" s="3"/>
      <c r="D51" s="4"/>
      <c r="E51" s="4"/>
      <c r="F51" s="10"/>
      <c r="G51" s="4"/>
      <c r="H51" s="4"/>
      <c r="I51" s="4"/>
    </row>
    <row r="52" spans="2:9" x14ac:dyDescent="0.25">
      <c r="B52" s="3"/>
      <c r="C52" s="3"/>
      <c r="D52" s="4"/>
      <c r="E52" s="4"/>
      <c r="F52" s="10"/>
      <c r="G52" s="4"/>
      <c r="H52" s="4"/>
      <c r="I52" s="4"/>
    </row>
    <row r="53" spans="2:9" x14ac:dyDescent="0.25">
      <c r="B53" s="3"/>
      <c r="C53" s="3"/>
      <c r="D53" s="4"/>
      <c r="E53" s="4"/>
      <c r="F53" s="10"/>
      <c r="G53" s="4"/>
      <c r="H53" s="4"/>
      <c r="I53" s="4"/>
    </row>
    <row r="54" spans="2:9" x14ac:dyDescent="0.25">
      <c r="B54" s="3"/>
      <c r="C54" s="3"/>
      <c r="D54" s="4"/>
      <c r="E54" s="4"/>
      <c r="F54" s="10"/>
      <c r="G54" s="4"/>
      <c r="H54" s="4"/>
      <c r="I54" s="4"/>
    </row>
    <row r="55" spans="2:9" x14ac:dyDescent="0.25">
      <c r="B55" s="3"/>
      <c r="C55" s="3"/>
      <c r="D55" s="4"/>
      <c r="E55" s="4"/>
      <c r="F55" s="10"/>
      <c r="G55" s="4"/>
      <c r="H55" s="4"/>
      <c r="I55" s="4"/>
    </row>
    <row r="56" spans="2:9" x14ac:dyDescent="0.25">
      <c r="B56" s="3"/>
      <c r="C56" s="3"/>
      <c r="D56" s="4"/>
      <c r="E56" s="4"/>
      <c r="F56" s="10"/>
      <c r="G56" s="4"/>
      <c r="H56" s="4"/>
      <c r="I56" s="4"/>
    </row>
    <row r="57" spans="2:9" x14ac:dyDescent="0.25">
      <c r="B57" s="3"/>
      <c r="C57" s="3"/>
      <c r="D57" s="4"/>
      <c r="E57" s="4"/>
      <c r="F57" s="10"/>
      <c r="G57" s="4"/>
      <c r="H57" s="4"/>
      <c r="I57" s="4"/>
    </row>
    <row r="58" spans="2:9" x14ac:dyDescent="0.25">
      <c r="B58" s="3"/>
      <c r="C58" s="3" t="s">
        <v>1361</v>
      </c>
      <c r="D58" s="4" t="s">
        <v>1439</v>
      </c>
      <c r="E58" s="4" t="s">
        <v>1440</v>
      </c>
      <c r="F58" s="10">
        <v>46661</v>
      </c>
      <c r="G58" s="4"/>
      <c r="H58" s="4" t="s">
        <v>1441</v>
      </c>
      <c r="I58" s="4" t="s">
        <v>1442</v>
      </c>
    </row>
    <row r="59" spans="2:9" x14ac:dyDescent="0.25">
      <c r="B59" s="3"/>
      <c r="C59" s="3" t="s">
        <v>1361</v>
      </c>
      <c r="D59" s="4" t="s">
        <v>1357</v>
      </c>
      <c r="E59" s="4" t="s">
        <v>21</v>
      </c>
      <c r="F59" s="10">
        <v>46305</v>
      </c>
      <c r="G59" s="4" t="s">
        <v>1436</v>
      </c>
      <c r="H59" s="4" t="s">
        <v>1437</v>
      </c>
      <c r="I59" s="4" t="s">
        <v>1438</v>
      </c>
    </row>
    <row r="60" spans="2:9" x14ac:dyDescent="0.25">
      <c r="B60" s="3">
        <v>45946</v>
      </c>
      <c r="C60" s="3" t="s">
        <v>435</v>
      </c>
      <c r="D60" s="4" t="s">
        <v>1062</v>
      </c>
      <c r="E60" s="4" t="s">
        <v>449</v>
      </c>
      <c r="F60" s="10"/>
      <c r="G60" s="4"/>
      <c r="H60" s="4"/>
      <c r="I60" s="4"/>
    </row>
    <row r="61" spans="2:9" x14ac:dyDescent="0.25">
      <c r="B61" s="3">
        <v>45946</v>
      </c>
      <c r="C61" s="3" t="s">
        <v>435</v>
      </c>
      <c r="D61" s="4" t="s">
        <v>62</v>
      </c>
      <c r="E61" s="4" t="s">
        <v>63</v>
      </c>
      <c r="F61" s="10">
        <v>46562</v>
      </c>
      <c r="G61" s="4" t="s">
        <v>64</v>
      </c>
      <c r="H61" s="4" t="s">
        <v>65</v>
      </c>
      <c r="I61" s="4" t="s">
        <v>66</v>
      </c>
    </row>
    <row r="62" spans="2:9" x14ac:dyDescent="0.25">
      <c r="B62" s="3">
        <v>45995</v>
      </c>
      <c r="C62" s="3" t="s">
        <v>435</v>
      </c>
      <c r="D62" s="4" t="s">
        <v>1183</v>
      </c>
      <c r="E62" s="4" t="s">
        <v>21</v>
      </c>
      <c r="F62" s="10">
        <v>46649</v>
      </c>
      <c r="G62" s="4" t="s">
        <v>64</v>
      </c>
      <c r="H62" s="4" t="s">
        <v>65</v>
      </c>
      <c r="I62" s="4" t="s">
        <v>66</v>
      </c>
    </row>
    <row r="63" spans="2:9" x14ac:dyDescent="0.25">
      <c r="B63" s="3">
        <v>45995</v>
      </c>
      <c r="C63" s="3" t="s">
        <v>435</v>
      </c>
      <c r="D63" s="4" t="s">
        <v>459</v>
      </c>
      <c r="E63" s="4" t="s">
        <v>21</v>
      </c>
      <c r="F63" s="10">
        <v>46694</v>
      </c>
      <c r="G63" s="4" t="s">
        <v>64</v>
      </c>
      <c r="H63" s="4" t="s">
        <v>65</v>
      </c>
      <c r="I63" s="4" t="s">
        <v>66</v>
      </c>
    </row>
    <row r="64" spans="2:9" x14ac:dyDescent="0.25">
      <c r="B64" s="3"/>
      <c r="C64" s="3"/>
      <c r="D64" s="4"/>
      <c r="E64" s="4"/>
      <c r="F64" s="10"/>
      <c r="G64" s="4"/>
      <c r="H64" s="4"/>
      <c r="I64" s="4"/>
    </row>
    <row r="65" spans="2:9" x14ac:dyDescent="0.25">
      <c r="B65" s="3"/>
      <c r="C65" s="3"/>
      <c r="D65" s="4"/>
      <c r="E65" s="4"/>
      <c r="F65" s="10"/>
      <c r="G65" s="4"/>
      <c r="H65" s="4"/>
      <c r="I65" s="4"/>
    </row>
    <row r="66" spans="2:9" x14ac:dyDescent="0.25">
      <c r="B66" s="3"/>
      <c r="C66" s="3"/>
      <c r="D66" s="4"/>
      <c r="E66" s="4"/>
      <c r="F66" s="10"/>
      <c r="G66" s="4"/>
      <c r="H66" s="4"/>
      <c r="I66" s="4"/>
    </row>
    <row r="67" spans="2:9" x14ac:dyDescent="0.25">
      <c r="B67" s="3">
        <v>45931</v>
      </c>
      <c r="C67" s="3" t="s">
        <v>67</v>
      </c>
      <c r="D67" s="4" t="s">
        <v>68</v>
      </c>
      <c r="E67" s="4" t="s">
        <v>443</v>
      </c>
      <c r="F67" s="3">
        <v>46270</v>
      </c>
      <c r="G67" s="4" t="s">
        <v>77</v>
      </c>
      <c r="H67" s="4" t="s">
        <v>78</v>
      </c>
      <c r="I67" s="4" t="s">
        <v>79</v>
      </c>
    </row>
    <row r="68" spans="2:9" x14ac:dyDescent="0.25">
      <c r="B68" s="3">
        <v>45931</v>
      </c>
      <c r="C68" s="3" t="s">
        <v>67</v>
      </c>
      <c r="D68" s="4" t="s">
        <v>69</v>
      </c>
      <c r="E68" s="4" t="s">
        <v>61</v>
      </c>
      <c r="F68" s="3">
        <v>46270</v>
      </c>
      <c r="G68" s="4" t="s">
        <v>77</v>
      </c>
      <c r="H68" s="4" t="s">
        <v>78</v>
      </c>
      <c r="I68" s="4" t="s">
        <v>79</v>
      </c>
    </row>
    <row r="69" spans="2:9" x14ac:dyDescent="0.25">
      <c r="B69" s="3">
        <v>45931</v>
      </c>
      <c r="C69" s="3" t="s">
        <v>67</v>
      </c>
      <c r="D69" s="4" t="s">
        <v>70</v>
      </c>
      <c r="E69" s="4" t="s">
        <v>21</v>
      </c>
      <c r="F69" s="3">
        <v>46631</v>
      </c>
      <c r="G69" s="4" t="s">
        <v>71</v>
      </c>
      <c r="H69" s="4" t="s">
        <v>72</v>
      </c>
      <c r="I69" s="4" t="s">
        <v>73</v>
      </c>
    </row>
    <row r="70" spans="2:9" x14ac:dyDescent="0.25">
      <c r="B70" s="3">
        <v>45931</v>
      </c>
      <c r="C70" s="3" t="s">
        <v>67</v>
      </c>
      <c r="D70" s="4" t="s">
        <v>523</v>
      </c>
      <c r="E70" s="4" t="s">
        <v>444</v>
      </c>
      <c r="F70" s="3">
        <v>46270</v>
      </c>
      <c r="G70" s="4" t="s">
        <v>77</v>
      </c>
      <c r="H70" s="4" t="s">
        <v>78</v>
      </c>
      <c r="I70" s="4" t="s">
        <v>79</v>
      </c>
    </row>
    <row r="71" spans="2:9" x14ac:dyDescent="0.25">
      <c r="B71" s="3">
        <v>45931</v>
      </c>
      <c r="C71" s="3" t="s">
        <v>67</v>
      </c>
      <c r="D71" s="4" t="s">
        <v>524</v>
      </c>
      <c r="E71" s="4" t="s">
        <v>444</v>
      </c>
      <c r="F71" s="3">
        <v>46270</v>
      </c>
      <c r="G71" s="4" t="s">
        <v>77</v>
      </c>
      <c r="H71" s="4" t="s">
        <v>78</v>
      </c>
      <c r="I71" s="4" t="s">
        <v>79</v>
      </c>
    </row>
    <row r="72" spans="2:9" x14ac:dyDescent="0.25">
      <c r="B72" s="3">
        <v>45931</v>
      </c>
      <c r="C72" s="3" t="s">
        <v>67</v>
      </c>
      <c r="D72" s="4" t="s">
        <v>74</v>
      </c>
      <c r="E72" s="4" t="s">
        <v>21</v>
      </c>
      <c r="F72" s="3">
        <v>46270</v>
      </c>
      <c r="G72" s="4" t="s">
        <v>77</v>
      </c>
      <c r="H72" s="4" t="s">
        <v>78</v>
      </c>
      <c r="I72" s="4" t="s">
        <v>79</v>
      </c>
    </row>
    <row r="73" spans="2:9" x14ac:dyDescent="0.25">
      <c r="B73" s="3">
        <v>45931</v>
      </c>
      <c r="C73" s="3" t="s">
        <v>67</v>
      </c>
      <c r="D73" s="4" t="s">
        <v>75</v>
      </c>
      <c r="E73" s="4" t="s">
        <v>443</v>
      </c>
      <c r="F73" s="3">
        <v>46270</v>
      </c>
      <c r="G73" s="4" t="s">
        <v>77</v>
      </c>
      <c r="H73" s="4" t="s">
        <v>78</v>
      </c>
      <c r="I73" s="4" t="s">
        <v>79</v>
      </c>
    </row>
    <row r="74" spans="2:9" x14ac:dyDescent="0.25">
      <c r="B74" s="3">
        <v>45931</v>
      </c>
      <c r="C74" s="3" t="s">
        <v>67</v>
      </c>
      <c r="D74" s="4" t="s">
        <v>76</v>
      </c>
      <c r="E74" s="4" t="s">
        <v>446</v>
      </c>
      <c r="F74" s="3">
        <v>46270</v>
      </c>
      <c r="G74" s="4" t="s">
        <v>77</v>
      </c>
      <c r="H74" s="4" t="s">
        <v>78</v>
      </c>
      <c r="I74" s="4" t="s">
        <v>79</v>
      </c>
    </row>
    <row r="75" spans="2:9" x14ac:dyDescent="0.25">
      <c r="B75" s="3">
        <v>45931</v>
      </c>
      <c r="C75" s="3" t="s">
        <v>67</v>
      </c>
      <c r="D75" s="4" t="s">
        <v>80</v>
      </c>
      <c r="E75" s="4" t="s">
        <v>21</v>
      </c>
      <c r="F75" s="3">
        <v>46235</v>
      </c>
      <c r="G75" s="4" t="s">
        <v>81</v>
      </c>
      <c r="H75" s="4" t="s">
        <v>82</v>
      </c>
      <c r="I75" s="4" t="s">
        <v>83</v>
      </c>
    </row>
    <row r="76" spans="2:9" x14ac:dyDescent="0.25">
      <c r="B76" s="3">
        <v>45931</v>
      </c>
      <c r="C76" s="3" t="s">
        <v>67</v>
      </c>
      <c r="D76" s="4" t="s">
        <v>84</v>
      </c>
      <c r="E76" s="4" t="s">
        <v>21</v>
      </c>
      <c r="F76" s="3">
        <v>46235</v>
      </c>
      <c r="G76" s="4" t="s">
        <v>81</v>
      </c>
      <c r="H76" s="4" t="s">
        <v>82</v>
      </c>
      <c r="I76" s="4" t="s">
        <v>83</v>
      </c>
    </row>
    <row r="77" spans="2:9" x14ac:dyDescent="0.25">
      <c r="B77" s="3">
        <v>45931</v>
      </c>
      <c r="C77" s="4" t="s">
        <v>67</v>
      </c>
      <c r="D77" s="4" t="s">
        <v>85</v>
      </c>
      <c r="E77" s="4" t="s">
        <v>21</v>
      </c>
      <c r="F77" s="3">
        <v>46303</v>
      </c>
      <c r="G77" s="4" t="s">
        <v>86</v>
      </c>
      <c r="H77" s="4" t="s">
        <v>87</v>
      </c>
      <c r="I77" s="4" t="s">
        <v>88</v>
      </c>
    </row>
    <row r="78" spans="2:9" x14ac:dyDescent="0.25">
      <c r="B78" s="3">
        <v>45931</v>
      </c>
      <c r="C78" s="4" t="s">
        <v>67</v>
      </c>
      <c r="D78" s="4" t="s">
        <v>89</v>
      </c>
      <c r="E78" s="4" t="s">
        <v>447</v>
      </c>
      <c r="F78" s="3">
        <v>46270</v>
      </c>
      <c r="G78" s="4" t="s">
        <v>77</v>
      </c>
      <c r="H78" s="4" t="s">
        <v>78</v>
      </c>
      <c r="I78" s="4" t="s">
        <v>79</v>
      </c>
    </row>
    <row r="79" spans="2:9" x14ac:dyDescent="0.25">
      <c r="B79" s="3">
        <v>45931</v>
      </c>
      <c r="C79" s="4" t="s">
        <v>67</v>
      </c>
      <c r="D79" s="4" t="s">
        <v>90</v>
      </c>
      <c r="E79" s="4" t="s">
        <v>448</v>
      </c>
      <c r="F79" s="3">
        <v>46270</v>
      </c>
      <c r="G79" s="4" t="s">
        <v>77</v>
      </c>
      <c r="H79" s="4" t="s">
        <v>78</v>
      </c>
      <c r="I79" s="4" t="s">
        <v>79</v>
      </c>
    </row>
    <row r="80" spans="2:9" x14ac:dyDescent="0.25">
      <c r="B80" s="3">
        <v>45931</v>
      </c>
      <c r="C80" s="4" t="s">
        <v>67</v>
      </c>
      <c r="D80" s="4" t="s">
        <v>91</v>
      </c>
      <c r="E80" s="4" t="s">
        <v>21</v>
      </c>
      <c r="F80" s="3">
        <v>46614</v>
      </c>
      <c r="G80" s="4" t="s">
        <v>2009</v>
      </c>
      <c r="H80" s="4"/>
      <c r="I80" s="4"/>
    </row>
    <row r="81" spans="2:9" x14ac:dyDescent="0.25">
      <c r="B81" s="3">
        <v>45931</v>
      </c>
      <c r="C81" s="4" t="s">
        <v>67</v>
      </c>
      <c r="D81" s="4" t="s">
        <v>92</v>
      </c>
      <c r="E81" s="4" t="s">
        <v>21</v>
      </c>
      <c r="F81" s="3">
        <v>46302</v>
      </c>
      <c r="G81" s="4" t="s">
        <v>77</v>
      </c>
      <c r="H81" s="4" t="s">
        <v>78</v>
      </c>
      <c r="I81" s="4" t="s">
        <v>79</v>
      </c>
    </row>
    <row r="82" spans="2:9" x14ac:dyDescent="0.25">
      <c r="B82" s="3">
        <v>45931</v>
      </c>
      <c r="C82" s="4" t="s">
        <v>67</v>
      </c>
      <c r="D82" s="4" t="s">
        <v>93</v>
      </c>
      <c r="E82" s="4" t="s">
        <v>449</v>
      </c>
      <c r="F82" s="3">
        <v>46270</v>
      </c>
      <c r="G82" s="4" t="s">
        <v>77</v>
      </c>
      <c r="H82" s="4" t="s">
        <v>78</v>
      </c>
      <c r="I82" s="4" t="s">
        <v>79</v>
      </c>
    </row>
    <row r="83" spans="2:9" x14ac:dyDescent="0.25">
      <c r="B83" s="3">
        <v>45931</v>
      </c>
      <c r="C83" s="4" t="s">
        <v>67</v>
      </c>
      <c r="D83" s="4" t="s">
        <v>140</v>
      </c>
      <c r="E83" s="4" t="s">
        <v>449</v>
      </c>
      <c r="F83" s="3">
        <v>46270</v>
      </c>
      <c r="G83" s="4" t="s">
        <v>77</v>
      </c>
      <c r="H83" s="4" t="s">
        <v>78</v>
      </c>
      <c r="I83" s="4" t="s">
        <v>79</v>
      </c>
    </row>
    <row r="84" spans="2:9" x14ac:dyDescent="0.25">
      <c r="B84" s="3">
        <v>45931</v>
      </c>
      <c r="C84" s="4" t="s">
        <v>67</v>
      </c>
      <c r="D84" s="4" t="s">
        <v>94</v>
      </c>
      <c r="E84" s="4" t="s">
        <v>21</v>
      </c>
      <c r="F84" s="3">
        <v>46270</v>
      </c>
      <c r="G84" s="4" t="s">
        <v>77</v>
      </c>
      <c r="H84" s="4" t="s">
        <v>78</v>
      </c>
      <c r="I84" s="4" t="s">
        <v>79</v>
      </c>
    </row>
    <row r="85" spans="2:9" x14ac:dyDescent="0.25">
      <c r="B85" s="3">
        <v>45931</v>
      </c>
      <c r="C85" s="4" t="s">
        <v>67</v>
      </c>
      <c r="D85" s="4" t="s">
        <v>95</v>
      </c>
      <c r="E85" s="4" t="s">
        <v>21</v>
      </c>
      <c r="F85" s="3">
        <v>46270</v>
      </c>
      <c r="G85" s="4" t="s">
        <v>77</v>
      </c>
      <c r="H85" s="4" t="s">
        <v>78</v>
      </c>
      <c r="I85" s="4" t="s">
        <v>79</v>
      </c>
    </row>
    <row r="86" spans="2:9" x14ac:dyDescent="0.25">
      <c r="B86" s="3">
        <v>45931</v>
      </c>
      <c r="C86" s="4" t="s">
        <v>67</v>
      </c>
      <c r="D86" s="4" t="s">
        <v>96</v>
      </c>
      <c r="E86" s="4" t="s">
        <v>21</v>
      </c>
      <c r="F86" s="3">
        <v>46235</v>
      </c>
      <c r="G86" s="4" t="s">
        <v>81</v>
      </c>
      <c r="H86" s="4" t="s">
        <v>82</v>
      </c>
      <c r="I86" s="4" t="s">
        <v>83</v>
      </c>
    </row>
    <row r="87" spans="2:9" x14ac:dyDescent="0.25">
      <c r="B87" s="3">
        <v>45931</v>
      </c>
      <c r="C87" s="4" t="s">
        <v>67</v>
      </c>
      <c r="D87" s="4" t="s">
        <v>97</v>
      </c>
      <c r="E87" s="4" t="s">
        <v>21</v>
      </c>
      <c r="F87" s="3">
        <v>46235</v>
      </c>
      <c r="G87" s="4" t="s">
        <v>81</v>
      </c>
      <c r="H87" s="4" t="s">
        <v>82</v>
      </c>
      <c r="I87" s="4" t="s">
        <v>83</v>
      </c>
    </row>
    <row r="88" spans="2:9" x14ac:dyDescent="0.25">
      <c r="B88" s="3">
        <v>45931</v>
      </c>
      <c r="C88" s="4" t="s">
        <v>67</v>
      </c>
      <c r="D88" s="4" t="s">
        <v>98</v>
      </c>
      <c r="E88" s="4" t="s">
        <v>446</v>
      </c>
      <c r="F88" s="3">
        <v>46270</v>
      </c>
      <c r="G88" s="4" t="s">
        <v>77</v>
      </c>
      <c r="H88" s="4" t="s">
        <v>78</v>
      </c>
      <c r="I88" s="4" t="s">
        <v>79</v>
      </c>
    </row>
    <row r="89" spans="2:9" x14ac:dyDescent="0.25">
      <c r="B89" s="3">
        <v>45931</v>
      </c>
      <c r="C89" s="4" t="s">
        <v>67</v>
      </c>
      <c r="D89" s="4" t="s">
        <v>99</v>
      </c>
      <c r="E89" s="4" t="s">
        <v>100</v>
      </c>
      <c r="F89" s="3">
        <v>46966</v>
      </c>
      <c r="G89" s="4" t="s">
        <v>77</v>
      </c>
      <c r="H89" s="4" t="s">
        <v>78</v>
      </c>
      <c r="I89" s="4" t="s">
        <v>79</v>
      </c>
    </row>
    <row r="90" spans="2:9" x14ac:dyDescent="0.25">
      <c r="B90" s="3">
        <v>45931</v>
      </c>
      <c r="C90" s="4" t="s">
        <v>67</v>
      </c>
      <c r="D90" s="4" t="s">
        <v>423</v>
      </c>
      <c r="E90" s="4" t="s">
        <v>444</v>
      </c>
      <c r="F90" s="3">
        <v>46270</v>
      </c>
      <c r="G90" s="4" t="s">
        <v>77</v>
      </c>
      <c r="H90" s="4" t="s">
        <v>78</v>
      </c>
      <c r="I90" s="4" t="s">
        <v>79</v>
      </c>
    </row>
    <row r="91" spans="2:9" x14ac:dyDescent="0.25">
      <c r="B91" s="3">
        <v>45931</v>
      </c>
      <c r="C91" s="4" t="s">
        <v>67</v>
      </c>
      <c r="D91" s="4" t="s">
        <v>424</v>
      </c>
      <c r="E91" s="4" t="s">
        <v>21</v>
      </c>
      <c r="F91" s="3">
        <v>46304</v>
      </c>
      <c r="G91" s="4" t="s">
        <v>77</v>
      </c>
      <c r="H91" s="4" t="s">
        <v>78</v>
      </c>
      <c r="I91" s="4" t="s">
        <v>79</v>
      </c>
    </row>
    <row r="92" spans="2:9" x14ac:dyDescent="0.25">
      <c r="B92" s="3">
        <v>45931</v>
      </c>
      <c r="C92" s="4" t="s">
        <v>67</v>
      </c>
      <c r="D92" s="4" t="s">
        <v>425</v>
      </c>
      <c r="E92" s="4" t="s">
        <v>21</v>
      </c>
      <c r="F92" s="3">
        <v>46388</v>
      </c>
      <c r="G92" s="4" t="s">
        <v>429</v>
      </c>
      <c r="H92" s="4" t="s">
        <v>430</v>
      </c>
      <c r="I92" s="4" t="s">
        <v>431</v>
      </c>
    </row>
    <row r="93" spans="2:9" x14ac:dyDescent="0.25">
      <c r="B93" s="3">
        <v>45931</v>
      </c>
      <c r="C93" s="4" t="s">
        <v>67</v>
      </c>
      <c r="D93" s="4" t="s">
        <v>426</v>
      </c>
      <c r="E93" s="4" t="s">
        <v>432</v>
      </c>
      <c r="F93" s="3">
        <v>46536</v>
      </c>
      <c r="G93" s="4"/>
      <c r="H93" s="4" t="s">
        <v>434</v>
      </c>
      <c r="I93" s="4" t="s">
        <v>433</v>
      </c>
    </row>
    <row r="94" spans="2:9" x14ac:dyDescent="0.25">
      <c r="B94" s="3">
        <v>45931</v>
      </c>
      <c r="C94" s="4" t="s">
        <v>67</v>
      </c>
      <c r="D94" s="4" t="s">
        <v>150</v>
      </c>
      <c r="E94" s="4" t="s">
        <v>445</v>
      </c>
      <c r="F94" s="3">
        <v>46270</v>
      </c>
      <c r="G94" s="4" t="s">
        <v>77</v>
      </c>
      <c r="H94" s="4" t="s">
        <v>78</v>
      </c>
      <c r="I94" s="4" t="s">
        <v>79</v>
      </c>
    </row>
    <row r="95" spans="2:9" x14ac:dyDescent="0.25">
      <c r="B95" s="3">
        <v>45931</v>
      </c>
      <c r="C95" s="4" t="s">
        <v>67</v>
      </c>
      <c r="D95" s="4" t="s">
        <v>151</v>
      </c>
      <c r="E95" s="4" t="s">
        <v>21</v>
      </c>
      <c r="F95" s="3">
        <v>46270</v>
      </c>
      <c r="G95" s="4" t="s">
        <v>77</v>
      </c>
      <c r="H95" s="4" t="s">
        <v>78</v>
      </c>
      <c r="I95" s="4" t="s">
        <v>79</v>
      </c>
    </row>
    <row r="96" spans="2:9" x14ac:dyDescent="0.25">
      <c r="B96" s="3">
        <v>45931</v>
      </c>
      <c r="C96" s="4" t="s">
        <v>67</v>
      </c>
      <c r="D96" s="4" t="s">
        <v>427</v>
      </c>
      <c r="E96" s="4" t="s">
        <v>21</v>
      </c>
      <c r="F96" s="3">
        <v>46270</v>
      </c>
      <c r="G96" s="4" t="s">
        <v>77</v>
      </c>
      <c r="H96" s="4" t="s">
        <v>78</v>
      </c>
      <c r="I96" s="4" t="s">
        <v>79</v>
      </c>
    </row>
    <row r="97" spans="2:9" x14ac:dyDescent="0.25">
      <c r="B97" s="3">
        <v>45931</v>
      </c>
      <c r="C97" s="4" t="s">
        <v>67</v>
      </c>
      <c r="D97" s="4" t="s">
        <v>428</v>
      </c>
      <c r="E97" s="4" t="s">
        <v>450</v>
      </c>
      <c r="F97" s="3">
        <v>46270</v>
      </c>
      <c r="G97" s="4" t="s">
        <v>77</v>
      </c>
      <c r="H97" s="4" t="s">
        <v>78</v>
      </c>
      <c r="I97" s="4" t="s">
        <v>79</v>
      </c>
    </row>
  </sheetData>
  <autoFilter ref="B1:I97" xr:uid="{17A6AA0C-78E6-465B-87D9-B2DCD758912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4BA0-1DC7-4E3E-B015-0700191B83F4}">
  <dimension ref="A1:B31"/>
  <sheetViews>
    <sheetView workbookViewId="0">
      <selection activeCell="B28" sqref="B28:B31"/>
    </sheetView>
  </sheetViews>
  <sheetFormatPr defaultRowHeight="15" x14ac:dyDescent="0.25"/>
  <cols>
    <col min="1" max="1" width="10.28515625" bestFit="1" customWidth="1"/>
    <col min="2" max="2" width="47.140625" bestFit="1" customWidth="1"/>
  </cols>
  <sheetData>
    <row r="1" spans="1:2" x14ac:dyDescent="0.25">
      <c r="A1" t="s">
        <v>101</v>
      </c>
      <c r="B1" t="s">
        <v>854</v>
      </c>
    </row>
    <row r="2" spans="1:2" x14ac:dyDescent="0.25">
      <c r="B2" t="s">
        <v>350</v>
      </c>
    </row>
    <row r="3" spans="1:2" x14ac:dyDescent="0.25">
      <c r="B3" t="s">
        <v>855</v>
      </c>
    </row>
    <row r="4" spans="1:2" x14ac:dyDescent="0.25">
      <c r="B4" t="s">
        <v>555</v>
      </c>
    </row>
    <row r="5" spans="1:2" x14ac:dyDescent="0.25">
      <c r="B5" t="s">
        <v>856</v>
      </c>
    </row>
    <row r="6" spans="1:2" x14ac:dyDescent="0.25">
      <c r="B6" s="4" t="s">
        <v>836</v>
      </c>
    </row>
    <row r="7" spans="1:2" x14ac:dyDescent="0.25">
      <c r="B7" t="s">
        <v>921</v>
      </c>
    </row>
    <row r="8" spans="1:2" x14ac:dyDescent="0.25">
      <c r="B8" t="s">
        <v>928</v>
      </c>
    </row>
    <row r="9" spans="1:2" x14ac:dyDescent="0.25">
      <c r="B9" t="s">
        <v>1251</v>
      </c>
    </row>
    <row r="10" spans="1:2" x14ac:dyDescent="0.25">
      <c r="B10" t="s">
        <v>1361</v>
      </c>
    </row>
    <row r="11" spans="1:2" x14ac:dyDescent="0.25">
      <c r="B11" t="s">
        <v>1470</v>
      </c>
    </row>
    <row r="12" spans="1:2" x14ac:dyDescent="0.25">
      <c r="B12" t="s">
        <v>1505</v>
      </c>
    </row>
    <row r="13" spans="1:2" x14ac:dyDescent="0.25">
      <c r="B13" t="s">
        <v>115</v>
      </c>
    </row>
    <row r="14" spans="1:2" x14ac:dyDescent="0.25">
      <c r="B14" t="s">
        <v>2381</v>
      </c>
    </row>
    <row r="15" spans="1:2" x14ac:dyDescent="0.25">
      <c r="B15" t="s">
        <v>2567</v>
      </c>
    </row>
    <row r="16" spans="1:2" x14ac:dyDescent="0.25">
      <c r="B16" t="s">
        <v>3100</v>
      </c>
    </row>
    <row r="17" spans="2:2" x14ac:dyDescent="0.25">
      <c r="B17" t="s">
        <v>3591</v>
      </c>
    </row>
    <row r="28" spans="2:2" x14ac:dyDescent="0.25">
      <c r="B28" t="s">
        <v>2343</v>
      </c>
    </row>
    <row r="29" spans="2:2" x14ac:dyDescent="0.25">
      <c r="B29" t="s">
        <v>2348</v>
      </c>
    </row>
    <row r="30" spans="2:2" x14ac:dyDescent="0.25">
      <c r="B30" t="s">
        <v>2417</v>
      </c>
    </row>
    <row r="31" spans="2:2" x14ac:dyDescent="0.25">
      <c r="B31" t="s">
        <v>2560</v>
      </c>
    </row>
  </sheetData>
  <dataValidations count="1">
    <dataValidation type="list" allowBlank="1" showInputMessage="1" showErrorMessage="1" sqref="B106" xr:uid="{EBF23547-2748-4891-9863-1B1D93FDFBFC}">
      <formula1>$B$2:$B$1000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A4AF-29D5-4116-966D-F9ECD576D40C}">
  <dimension ref="A1:B21"/>
  <sheetViews>
    <sheetView workbookViewId="0">
      <selection activeCell="I13" sqref="I13"/>
    </sheetView>
  </sheetViews>
  <sheetFormatPr defaultRowHeight="15" x14ac:dyDescent="0.25"/>
  <cols>
    <col min="1" max="1" width="10.28515625" bestFit="1" customWidth="1"/>
    <col min="2" max="2" width="47.140625" bestFit="1" customWidth="1"/>
  </cols>
  <sheetData>
    <row r="1" spans="1:2" x14ac:dyDescent="0.25">
      <c r="A1" t="s">
        <v>101</v>
      </c>
      <c r="B1" t="s">
        <v>102</v>
      </c>
    </row>
    <row r="2" spans="1:2" x14ac:dyDescent="0.25">
      <c r="B2" t="s">
        <v>103</v>
      </c>
    </row>
    <row r="3" spans="1:2" x14ac:dyDescent="0.25">
      <c r="B3" t="s">
        <v>104</v>
      </c>
    </row>
    <row r="4" spans="1:2" x14ac:dyDescent="0.25">
      <c r="B4" t="s">
        <v>105</v>
      </c>
    </row>
    <row r="5" spans="1:2" x14ac:dyDescent="0.25">
      <c r="B5" t="s">
        <v>106</v>
      </c>
    </row>
    <row r="6" spans="1:2" x14ac:dyDescent="0.25">
      <c r="B6" t="s">
        <v>107</v>
      </c>
    </row>
    <row r="7" spans="1:2" x14ac:dyDescent="0.25">
      <c r="B7" t="s">
        <v>108</v>
      </c>
    </row>
    <row r="8" spans="1:2" x14ac:dyDescent="0.25">
      <c r="B8" t="s">
        <v>109</v>
      </c>
    </row>
    <row r="9" spans="1:2" x14ac:dyDescent="0.25">
      <c r="B9" t="s">
        <v>110</v>
      </c>
    </row>
    <row r="10" spans="1:2" x14ac:dyDescent="0.25">
      <c r="B10" t="s">
        <v>111</v>
      </c>
    </row>
    <row r="11" spans="1:2" x14ac:dyDescent="0.25">
      <c r="B11" t="s">
        <v>112</v>
      </c>
    </row>
    <row r="12" spans="1:2" x14ac:dyDescent="0.25">
      <c r="B12" t="s">
        <v>113</v>
      </c>
    </row>
    <row r="13" spans="1:2" x14ac:dyDescent="0.25">
      <c r="B13" t="s">
        <v>114</v>
      </c>
    </row>
    <row r="14" spans="1:2" x14ac:dyDescent="0.25">
      <c r="B14" t="s">
        <v>115</v>
      </c>
    </row>
    <row r="15" spans="1:2" x14ac:dyDescent="0.25">
      <c r="B15" t="s">
        <v>116</v>
      </c>
    </row>
    <row r="16" spans="1:2" x14ac:dyDescent="0.25">
      <c r="B16" t="s">
        <v>673</v>
      </c>
    </row>
    <row r="17" spans="2:2" x14ac:dyDescent="0.25">
      <c r="B17" t="s">
        <v>743</v>
      </c>
    </row>
    <row r="18" spans="2:2" x14ac:dyDescent="0.25">
      <c r="B18" t="s">
        <v>943</v>
      </c>
    </row>
    <row r="19" spans="2:2" x14ac:dyDescent="0.25">
      <c r="B19" t="s">
        <v>1815</v>
      </c>
    </row>
    <row r="20" spans="2:2" x14ac:dyDescent="0.25">
      <c r="B20" t="s">
        <v>2324</v>
      </c>
    </row>
    <row r="21" spans="2:2" x14ac:dyDescent="0.25">
      <c r="B21" t="s">
        <v>3632</v>
      </c>
    </row>
  </sheetData>
  <dataValidations count="1">
    <dataValidation type="list" allowBlank="1" showInputMessage="1" showErrorMessage="1" sqref="B106" xr:uid="{8F697374-0CE9-4CBD-AA37-956B6A164CC1}">
      <formula1>$B$2:$B$1000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8E1C-FE9B-47AD-BA49-DD6535F1A619}">
  <dimension ref="A1:N1230"/>
  <sheetViews>
    <sheetView zoomScale="85" zoomScaleNormal="85" workbookViewId="0">
      <pane ySplit="1" topLeftCell="A70" activePane="bottomLeft" state="frozen"/>
      <selection pane="bottomLeft" activeCell="C82" sqref="C82"/>
    </sheetView>
  </sheetViews>
  <sheetFormatPr defaultRowHeight="15" x14ac:dyDescent="0.25"/>
  <cols>
    <col min="1" max="2" width="16.28515625" customWidth="1"/>
    <col min="3" max="3" width="83.5703125" customWidth="1"/>
    <col min="4" max="4" width="11.140625" customWidth="1"/>
    <col min="5" max="5" width="11.42578125" customWidth="1"/>
    <col min="6" max="6" width="8.140625" bestFit="1" customWidth="1"/>
    <col min="7" max="7" width="9" bestFit="1" customWidth="1"/>
    <col min="8" max="8" width="9" customWidth="1"/>
    <col min="9" max="9" width="17.42578125" customWidth="1"/>
    <col min="10" max="10" width="14.140625" bestFit="1" customWidth="1"/>
    <col min="11" max="11" width="11.140625" bestFit="1" customWidth="1"/>
    <col min="12" max="12" width="9.140625" style="50"/>
  </cols>
  <sheetData>
    <row r="1" spans="1:14" x14ac:dyDescent="0.25">
      <c r="A1" t="s">
        <v>117</v>
      </c>
      <c r="B1" t="s">
        <v>536</v>
      </c>
      <c r="C1" t="s">
        <v>102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850</v>
      </c>
      <c r="K1" t="s">
        <v>124</v>
      </c>
      <c r="L1" s="50" t="s">
        <v>851</v>
      </c>
      <c r="M1" t="s">
        <v>850</v>
      </c>
    </row>
    <row r="2" spans="1:14" x14ac:dyDescent="0.25">
      <c r="A2" t="s">
        <v>125</v>
      </c>
      <c r="B2" t="s">
        <v>537</v>
      </c>
      <c r="C2" t="s">
        <v>126</v>
      </c>
      <c r="D2">
        <v>25</v>
      </c>
      <c r="E2" t="s">
        <v>127</v>
      </c>
      <c r="F2">
        <v>320</v>
      </c>
      <c r="G2">
        <v>8000</v>
      </c>
      <c r="H2">
        <v>2</v>
      </c>
      <c r="I2">
        <f>Table001__Page_15[[#This Row],[FİYAT]]*Table001__Page_15[[#This Row],[Sütun2]]</f>
        <v>640</v>
      </c>
      <c r="J2">
        <v>650</v>
      </c>
      <c r="K2" t="s">
        <v>128</v>
      </c>
      <c r="L2" s="50">
        <f>Table001__Page_15[[#This Row],[SATIŞ FİYATI]]-Table001__Page_15[[#This Row],[YUVARLAMA]]</f>
        <v>-10</v>
      </c>
      <c r="M2">
        <v>650</v>
      </c>
      <c r="N2">
        <f>M2-Table001__Page_15[[#This Row],[YUVARLAMA]]</f>
        <v>0</v>
      </c>
    </row>
    <row r="3" spans="1:14" x14ac:dyDescent="0.25">
      <c r="A3" t="s">
        <v>125</v>
      </c>
      <c r="B3" t="s">
        <v>537</v>
      </c>
      <c r="C3" t="s">
        <v>129</v>
      </c>
      <c r="D3">
        <v>25</v>
      </c>
      <c r="E3" t="s">
        <v>127</v>
      </c>
      <c r="F3">
        <v>170</v>
      </c>
      <c r="G3">
        <v>4250</v>
      </c>
      <c r="H3">
        <v>2.4</v>
      </c>
      <c r="I3">
        <f>Table001__Page_15[[#This Row],[FİYAT]]*Table001__Page_15[[#This Row],[Sütun2]]</f>
        <v>408</v>
      </c>
      <c r="J3">
        <v>400</v>
      </c>
      <c r="K3" t="s">
        <v>128</v>
      </c>
      <c r="L3" s="50">
        <f>Table001__Page_15[[#This Row],[SATIŞ FİYATI]]-Table001__Page_15[[#This Row],[YUVARLAMA]]</f>
        <v>8</v>
      </c>
      <c r="M3">
        <v>400</v>
      </c>
      <c r="N3">
        <f>M3-Table001__Page_15[[#This Row],[YUVARLAMA]]</f>
        <v>0</v>
      </c>
    </row>
    <row r="4" spans="1:14" x14ac:dyDescent="0.25">
      <c r="A4" t="s">
        <v>125</v>
      </c>
      <c r="B4" t="s">
        <v>537</v>
      </c>
      <c r="C4" t="s">
        <v>130</v>
      </c>
      <c r="D4">
        <v>10</v>
      </c>
      <c r="E4" t="s">
        <v>127</v>
      </c>
      <c r="F4">
        <v>180</v>
      </c>
      <c r="G4">
        <v>1800</v>
      </c>
      <c r="H4">
        <v>2.2999999999999998</v>
      </c>
      <c r="I4">
        <f>Table001__Page_15[[#This Row],[FİYAT]]*Table001__Page_15[[#This Row],[Sütun2]]</f>
        <v>413.99999999999994</v>
      </c>
      <c r="J4">
        <v>450</v>
      </c>
      <c r="K4" t="s">
        <v>128</v>
      </c>
      <c r="L4" s="50">
        <f>Table001__Page_15[[#This Row],[SATIŞ FİYATI]]-Table001__Page_15[[#This Row],[YUVARLAMA]]</f>
        <v>-36.000000000000057</v>
      </c>
      <c r="M4">
        <v>450</v>
      </c>
      <c r="N4">
        <f>M4-Table001__Page_15[[#This Row],[YUVARLAMA]]</f>
        <v>0</v>
      </c>
    </row>
    <row r="5" spans="1:14" x14ac:dyDescent="0.25">
      <c r="A5" t="s">
        <v>125</v>
      </c>
      <c r="B5" t="s">
        <v>537</v>
      </c>
      <c r="C5" t="s">
        <v>131</v>
      </c>
      <c r="D5">
        <v>25</v>
      </c>
      <c r="E5" t="s">
        <v>127</v>
      </c>
      <c r="F5">
        <v>125</v>
      </c>
      <c r="G5">
        <v>3125</v>
      </c>
      <c r="H5">
        <v>3.2</v>
      </c>
      <c r="I5">
        <f>Table001__Page_15[[#This Row],[FİYAT]]*Table001__Page_15[[#This Row],[Sütun2]]</f>
        <v>400</v>
      </c>
      <c r="J5">
        <v>400</v>
      </c>
      <c r="K5" t="s">
        <v>128</v>
      </c>
      <c r="L5" s="50">
        <f>Table001__Page_15[[#This Row],[SATIŞ FİYATI]]-Table001__Page_15[[#This Row],[YUVARLAMA]]</f>
        <v>0</v>
      </c>
      <c r="M5">
        <v>400</v>
      </c>
      <c r="N5">
        <f>M5-Table001__Page_15[[#This Row],[YUVARLAMA]]</f>
        <v>0</v>
      </c>
    </row>
    <row r="6" spans="1:14" x14ac:dyDescent="0.25">
      <c r="A6" t="s">
        <v>125</v>
      </c>
      <c r="B6" t="s">
        <v>537</v>
      </c>
      <c r="C6" t="s">
        <v>92</v>
      </c>
      <c r="D6">
        <v>25</v>
      </c>
      <c r="E6" t="s">
        <v>127</v>
      </c>
      <c r="F6">
        <v>200</v>
      </c>
      <c r="G6">
        <v>5000</v>
      </c>
      <c r="H6">
        <v>2.5</v>
      </c>
      <c r="I6">
        <f>Table001__Page_15[[#This Row],[FİYAT]]*Table001__Page_15[[#This Row],[Sütun2]]</f>
        <v>500</v>
      </c>
      <c r="J6">
        <v>500</v>
      </c>
      <c r="K6" t="s">
        <v>128</v>
      </c>
      <c r="L6" s="50">
        <f>Table001__Page_15[[#This Row],[SATIŞ FİYATI]]-Table001__Page_15[[#This Row],[YUVARLAMA]]</f>
        <v>0</v>
      </c>
      <c r="M6">
        <v>500</v>
      </c>
      <c r="N6">
        <f>M6-Table001__Page_15[[#This Row],[YUVARLAMA]]</f>
        <v>0</v>
      </c>
    </row>
    <row r="7" spans="1:14" x14ac:dyDescent="0.25">
      <c r="A7" t="s">
        <v>125</v>
      </c>
      <c r="B7" t="s">
        <v>537</v>
      </c>
      <c r="C7" t="s">
        <v>91</v>
      </c>
      <c r="D7">
        <v>10</v>
      </c>
      <c r="E7" t="s">
        <v>127</v>
      </c>
      <c r="F7">
        <v>420</v>
      </c>
      <c r="G7">
        <v>4200</v>
      </c>
      <c r="H7">
        <v>2</v>
      </c>
      <c r="I7">
        <f>Table001__Page_15[[#This Row],[FİYAT]]*Table001__Page_15[[#This Row],[Sütun2]]</f>
        <v>840</v>
      </c>
      <c r="J7">
        <v>850</v>
      </c>
      <c r="K7" t="s">
        <v>128</v>
      </c>
      <c r="L7" s="50">
        <f>Table001__Page_15[[#This Row],[SATIŞ FİYATI]]-Table001__Page_15[[#This Row],[YUVARLAMA]]</f>
        <v>-10</v>
      </c>
      <c r="M7">
        <v>850</v>
      </c>
      <c r="N7">
        <f>M7-Table001__Page_15[[#This Row],[YUVARLAMA]]</f>
        <v>0</v>
      </c>
    </row>
    <row r="8" spans="1:14" x14ac:dyDescent="0.25">
      <c r="A8" t="s">
        <v>125</v>
      </c>
      <c r="B8" t="s">
        <v>537</v>
      </c>
      <c r="C8" t="s">
        <v>132</v>
      </c>
      <c r="D8">
        <v>25</v>
      </c>
      <c r="E8" t="s">
        <v>127</v>
      </c>
      <c r="F8">
        <v>250</v>
      </c>
      <c r="G8">
        <v>6250</v>
      </c>
      <c r="H8">
        <v>2</v>
      </c>
      <c r="I8">
        <f>Table001__Page_15[[#This Row],[FİYAT]]*Table001__Page_15[[#This Row],[Sütun2]]</f>
        <v>500</v>
      </c>
      <c r="J8">
        <v>500</v>
      </c>
      <c r="K8" t="s">
        <v>128</v>
      </c>
      <c r="L8" s="50">
        <f>Table001__Page_15[[#This Row],[SATIŞ FİYATI]]-Table001__Page_15[[#This Row],[YUVARLAMA]]</f>
        <v>0</v>
      </c>
      <c r="M8">
        <v>500</v>
      </c>
      <c r="N8">
        <f>M8-Table001__Page_15[[#This Row],[YUVARLAMA]]</f>
        <v>0</v>
      </c>
    </row>
    <row r="9" spans="1:14" x14ac:dyDescent="0.25">
      <c r="A9" t="s">
        <v>125</v>
      </c>
      <c r="B9" t="s">
        <v>537</v>
      </c>
      <c r="C9" t="s">
        <v>96</v>
      </c>
      <c r="D9">
        <v>25</v>
      </c>
      <c r="E9" t="s">
        <v>127</v>
      </c>
      <c r="F9">
        <v>180</v>
      </c>
      <c r="G9">
        <v>4500</v>
      </c>
      <c r="H9">
        <v>2.2000000000000002</v>
      </c>
      <c r="I9">
        <f>Table001__Page_15[[#This Row],[FİYAT]]*Table001__Page_15[[#This Row],[Sütun2]]</f>
        <v>396.00000000000006</v>
      </c>
      <c r="J9">
        <v>400</v>
      </c>
      <c r="K9" t="s">
        <v>128</v>
      </c>
      <c r="L9" s="50">
        <f>Table001__Page_15[[#This Row],[SATIŞ FİYATI]]-Table001__Page_15[[#This Row],[YUVARLAMA]]</f>
        <v>-3.9999999999999432</v>
      </c>
      <c r="M9">
        <v>400</v>
      </c>
      <c r="N9">
        <f>M9-Table001__Page_15[[#This Row],[YUVARLAMA]]</f>
        <v>0</v>
      </c>
    </row>
    <row r="10" spans="1:14" x14ac:dyDescent="0.25">
      <c r="A10" t="s">
        <v>125</v>
      </c>
      <c r="B10" t="s">
        <v>537</v>
      </c>
      <c r="C10" t="s">
        <v>3167</v>
      </c>
      <c r="D10">
        <v>25</v>
      </c>
      <c r="E10" t="s">
        <v>127</v>
      </c>
      <c r="F10">
        <v>160</v>
      </c>
      <c r="G10">
        <v>4000</v>
      </c>
      <c r="H10">
        <v>2.5</v>
      </c>
      <c r="I10">
        <f>Table001__Page_15[[#This Row],[FİYAT]]*Table001__Page_15[[#This Row],[Sütun2]]</f>
        <v>400</v>
      </c>
      <c r="J10">
        <v>400</v>
      </c>
      <c r="K10" t="s">
        <v>128</v>
      </c>
      <c r="L10" s="50">
        <f>Table001__Page_15[[#This Row],[SATIŞ FİYATI]]-Table001__Page_15[[#This Row],[YUVARLAMA]]</f>
        <v>0</v>
      </c>
      <c r="M10">
        <v>400</v>
      </c>
      <c r="N10">
        <f>M10-Table001__Page_15[[#This Row],[YUVARLAMA]]</f>
        <v>0</v>
      </c>
    </row>
    <row r="11" spans="1:14" x14ac:dyDescent="0.25">
      <c r="A11" t="s">
        <v>125</v>
      </c>
      <c r="B11" t="s">
        <v>537</v>
      </c>
      <c r="C11" t="s">
        <v>133</v>
      </c>
      <c r="D11">
        <v>25</v>
      </c>
      <c r="E11" t="s">
        <v>127</v>
      </c>
      <c r="F11">
        <v>180</v>
      </c>
      <c r="G11">
        <v>4500</v>
      </c>
      <c r="H11">
        <v>2.2000000000000002</v>
      </c>
      <c r="I11">
        <f>Table001__Page_15[[#This Row],[FİYAT]]*Table001__Page_15[[#This Row],[Sütun2]]</f>
        <v>396.00000000000006</v>
      </c>
      <c r="J11">
        <v>400</v>
      </c>
      <c r="K11" t="s">
        <v>128</v>
      </c>
      <c r="L11" s="50">
        <f>Table001__Page_15[[#This Row],[SATIŞ FİYATI]]-Table001__Page_15[[#This Row],[YUVARLAMA]]</f>
        <v>-3.9999999999999432</v>
      </c>
      <c r="M11">
        <v>400</v>
      </c>
      <c r="N11">
        <f>M11-Table001__Page_15[[#This Row],[YUVARLAMA]]</f>
        <v>0</v>
      </c>
    </row>
    <row r="12" spans="1:14" x14ac:dyDescent="0.25">
      <c r="A12" t="s">
        <v>125</v>
      </c>
      <c r="B12" t="s">
        <v>538</v>
      </c>
      <c r="C12" t="s">
        <v>134</v>
      </c>
      <c r="D12">
        <v>25</v>
      </c>
      <c r="E12" t="s">
        <v>127</v>
      </c>
      <c r="F12">
        <v>150</v>
      </c>
      <c r="G12">
        <v>3750</v>
      </c>
      <c r="H12">
        <v>4</v>
      </c>
      <c r="I12">
        <f>Table001__Page_15[[#This Row],[FİYAT]]*Table001__Page_15[[#This Row],[Sütun2]]</f>
        <v>600</v>
      </c>
      <c r="J12">
        <v>60</v>
      </c>
      <c r="K12" t="s">
        <v>128</v>
      </c>
      <c r="L12" s="50">
        <f>Table001__Page_15[[#This Row],[SATIŞ FİYATI]]-Table001__Page_15[[#This Row],[YUVARLAMA]]</f>
        <v>540</v>
      </c>
      <c r="M12">
        <v>60</v>
      </c>
      <c r="N12">
        <f>M12-Table001__Page_15[[#This Row],[YUVARLAMA]]</f>
        <v>0</v>
      </c>
    </row>
    <row r="13" spans="1:14" x14ac:dyDescent="0.25">
      <c r="A13" t="s">
        <v>135</v>
      </c>
      <c r="B13" t="s">
        <v>538</v>
      </c>
      <c r="C13" t="s">
        <v>136</v>
      </c>
      <c r="D13">
        <v>25</v>
      </c>
      <c r="E13" t="s">
        <v>127</v>
      </c>
      <c r="F13">
        <v>70</v>
      </c>
      <c r="G13">
        <v>1750</v>
      </c>
      <c r="H13">
        <v>2.6</v>
      </c>
      <c r="I13">
        <f>Table001__Page_15[[#This Row],[FİYAT]]*Table001__Page_15[[#This Row],[Sütun2]]</f>
        <v>182</v>
      </c>
      <c r="J13">
        <f>180/4</f>
        <v>45</v>
      </c>
      <c r="K13" t="s">
        <v>128</v>
      </c>
      <c r="L13" s="50">
        <f>Table001__Page_15[[#This Row],[SATIŞ FİYATI]]-Table001__Page_15[[#This Row],[YUVARLAMA]]</f>
        <v>137</v>
      </c>
      <c r="M13">
        <v>45</v>
      </c>
      <c r="N13">
        <f>M13-Table001__Page_15[[#This Row],[YUVARLAMA]]</f>
        <v>0</v>
      </c>
    </row>
    <row r="14" spans="1:14" x14ac:dyDescent="0.25">
      <c r="A14" t="s">
        <v>135</v>
      </c>
      <c r="B14" t="s">
        <v>538</v>
      </c>
      <c r="C14" t="s">
        <v>137</v>
      </c>
      <c r="D14">
        <v>25</v>
      </c>
      <c r="E14" t="s">
        <v>127</v>
      </c>
      <c r="F14">
        <v>80</v>
      </c>
      <c r="G14">
        <v>2000</v>
      </c>
      <c r="H14">
        <v>2.2999999999999998</v>
      </c>
      <c r="I14">
        <f>Table001__Page_15[[#This Row],[FİYAT]]*Table001__Page_15[[#This Row],[Sütun2]]</f>
        <v>184</v>
      </c>
      <c r="J14">
        <v>45</v>
      </c>
      <c r="K14" t="s">
        <v>128</v>
      </c>
      <c r="L14" s="50">
        <f>Table001__Page_15[[#This Row],[SATIŞ FİYATI]]-Table001__Page_15[[#This Row],[YUVARLAMA]]</f>
        <v>139</v>
      </c>
      <c r="M14">
        <v>45</v>
      </c>
      <c r="N14">
        <f>M14-Table001__Page_15[[#This Row],[YUVARLAMA]]</f>
        <v>0</v>
      </c>
    </row>
    <row r="15" spans="1:14" x14ac:dyDescent="0.25">
      <c r="A15" t="s">
        <v>138</v>
      </c>
      <c r="B15" t="s">
        <v>538</v>
      </c>
      <c r="C15" t="s">
        <v>527</v>
      </c>
      <c r="D15">
        <v>25</v>
      </c>
      <c r="E15" t="s">
        <v>127</v>
      </c>
      <c r="F15">
        <v>115</v>
      </c>
      <c r="G15">
        <v>2875</v>
      </c>
      <c r="H15">
        <v>5.25</v>
      </c>
      <c r="I15">
        <f>Table001__Page_15[[#This Row],[FİYAT]]*Table001__Page_15[[#This Row],[Sütun2]]</f>
        <v>603.75</v>
      </c>
      <c r="J15">
        <v>60</v>
      </c>
      <c r="K15" t="s">
        <v>128</v>
      </c>
      <c r="L15" s="50">
        <f>Table001__Page_15[[#This Row],[SATIŞ FİYATI]]-Table001__Page_15[[#This Row],[YUVARLAMA]]</f>
        <v>543.75</v>
      </c>
      <c r="M15">
        <v>60</v>
      </c>
      <c r="N15">
        <f>M15-Table001__Page_15[[#This Row],[YUVARLAMA]]</f>
        <v>0</v>
      </c>
    </row>
    <row r="16" spans="1:14" x14ac:dyDescent="0.25">
      <c r="A16" t="s">
        <v>138</v>
      </c>
      <c r="B16" t="s">
        <v>538</v>
      </c>
      <c r="C16" t="s">
        <v>528</v>
      </c>
      <c r="D16">
        <v>0</v>
      </c>
      <c r="E16" t="s">
        <v>127</v>
      </c>
      <c r="I16">
        <f>Table001__Page_15[[#This Row],[FİYAT]]*Table001__Page_15[[#This Row],[Sütun2]]</f>
        <v>0</v>
      </c>
      <c r="J16">
        <v>120</v>
      </c>
      <c r="K16" t="s">
        <v>128</v>
      </c>
      <c r="L16" s="50">
        <f>Table001__Page_15[[#This Row],[SATIŞ FİYATI]]-Table001__Page_15[[#This Row],[YUVARLAMA]]</f>
        <v>-120</v>
      </c>
      <c r="M16">
        <v>120</v>
      </c>
      <c r="N16">
        <f>M16-Table001__Page_15[[#This Row],[YUVARLAMA]]</f>
        <v>0</v>
      </c>
    </row>
    <row r="17" spans="1:14" x14ac:dyDescent="0.25">
      <c r="A17" t="s">
        <v>138</v>
      </c>
      <c r="B17" t="s">
        <v>538</v>
      </c>
      <c r="C17" t="s">
        <v>89</v>
      </c>
      <c r="D17">
        <v>5</v>
      </c>
      <c r="E17" t="s">
        <v>127</v>
      </c>
      <c r="F17">
        <v>440</v>
      </c>
      <c r="G17">
        <v>2200</v>
      </c>
      <c r="H17">
        <v>1.7</v>
      </c>
      <c r="I17">
        <f>Table001__Page_15[[#This Row],[FİYAT]]*Table001__Page_15[[#This Row],[Sütun2]]</f>
        <v>748</v>
      </c>
      <c r="J17">
        <v>75</v>
      </c>
      <c r="K17" t="s">
        <v>128</v>
      </c>
      <c r="L17" s="50">
        <f>Table001__Page_15[[#This Row],[SATIŞ FİYATI]]-Table001__Page_15[[#This Row],[YUVARLAMA]]</f>
        <v>673</v>
      </c>
      <c r="M17">
        <v>75</v>
      </c>
      <c r="N17">
        <f>M17-Table001__Page_15[[#This Row],[YUVARLAMA]]</f>
        <v>0</v>
      </c>
    </row>
    <row r="18" spans="1:14" x14ac:dyDescent="0.25">
      <c r="A18" t="s">
        <v>125</v>
      </c>
      <c r="B18" t="s">
        <v>538</v>
      </c>
      <c r="C18" t="s">
        <v>76</v>
      </c>
      <c r="D18">
        <v>5</v>
      </c>
      <c r="E18" t="s">
        <v>127</v>
      </c>
      <c r="F18">
        <v>190</v>
      </c>
      <c r="G18">
        <v>950</v>
      </c>
      <c r="H18">
        <v>2.1</v>
      </c>
      <c r="I18">
        <f>Table001__Page_15[[#This Row],[FİYAT]]*Table001__Page_15[[#This Row],[Sütun2]]</f>
        <v>399</v>
      </c>
      <c r="J18">
        <v>400</v>
      </c>
      <c r="K18" t="s">
        <v>128</v>
      </c>
      <c r="L18" s="50">
        <f>Table001__Page_15[[#This Row],[SATIŞ FİYATI]]-Table001__Page_15[[#This Row],[YUVARLAMA]]</f>
        <v>-1</v>
      </c>
      <c r="M18">
        <v>400</v>
      </c>
      <c r="N18">
        <f>M18-Table001__Page_15[[#This Row],[YUVARLAMA]]</f>
        <v>0</v>
      </c>
    </row>
    <row r="19" spans="1:14" x14ac:dyDescent="0.25">
      <c r="A19" t="s">
        <v>125</v>
      </c>
      <c r="B19" t="s">
        <v>537</v>
      </c>
      <c r="C19" t="s">
        <v>98</v>
      </c>
      <c r="D19">
        <v>5</v>
      </c>
      <c r="E19" t="s">
        <v>127</v>
      </c>
      <c r="F19">
        <v>180</v>
      </c>
      <c r="G19">
        <v>900</v>
      </c>
      <c r="H19">
        <v>2</v>
      </c>
      <c r="I19">
        <f>Table001__Page_15[[#This Row],[FİYAT]]*Table001__Page_15[[#This Row],[Sütun2]]</f>
        <v>360</v>
      </c>
      <c r="J19">
        <v>400</v>
      </c>
      <c r="K19" t="s">
        <v>128</v>
      </c>
      <c r="L19" s="50">
        <f>Table001__Page_15[[#This Row],[SATIŞ FİYATI]]-Table001__Page_15[[#This Row],[YUVARLAMA]]</f>
        <v>-40</v>
      </c>
      <c r="M19">
        <v>400</v>
      </c>
      <c r="N19">
        <f>M19-Table001__Page_15[[#This Row],[YUVARLAMA]]</f>
        <v>0</v>
      </c>
    </row>
    <row r="20" spans="1:14" x14ac:dyDescent="0.25">
      <c r="A20" t="s">
        <v>125</v>
      </c>
      <c r="B20" t="s">
        <v>537</v>
      </c>
      <c r="C20" t="s">
        <v>140</v>
      </c>
      <c r="D20">
        <v>10</v>
      </c>
      <c r="E20" t="s">
        <v>127</v>
      </c>
      <c r="F20">
        <v>125</v>
      </c>
      <c r="G20">
        <v>1250</v>
      </c>
      <c r="H20">
        <v>2</v>
      </c>
      <c r="I20">
        <f>Table001__Page_15[[#This Row],[FİYAT]]*Table001__Page_15[[#This Row],[Sütun2]]</f>
        <v>250</v>
      </c>
      <c r="J20">
        <v>300</v>
      </c>
      <c r="K20" t="s">
        <v>128</v>
      </c>
      <c r="L20" s="50">
        <f>Table001__Page_15[[#This Row],[SATIŞ FİYATI]]-Table001__Page_15[[#This Row],[YUVARLAMA]]</f>
        <v>-50</v>
      </c>
      <c r="M20">
        <v>300</v>
      </c>
      <c r="N20">
        <f>M20-Table001__Page_15[[#This Row],[YUVARLAMA]]</f>
        <v>0</v>
      </c>
    </row>
    <row r="21" spans="1:14" x14ac:dyDescent="0.25">
      <c r="A21" t="s">
        <v>125</v>
      </c>
      <c r="B21" t="s">
        <v>537</v>
      </c>
      <c r="C21" t="s">
        <v>141</v>
      </c>
      <c r="D21">
        <v>10</v>
      </c>
      <c r="E21" t="s">
        <v>127</v>
      </c>
      <c r="F21">
        <v>70</v>
      </c>
      <c r="G21">
        <v>700</v>
      </c>
      <c r="H21">
        <v>2</v>
      </c>
      <c r="I21">
        <f>Table001__Page_15[[#This Row],[FİYAT]]*Table001__Page_15[[#This Row],[Sütun2]]</f>
        <v>140</v>
      </c>
      <c r="J21">
        <v>140</v>
      </c>
      <c r="K21" t="s">
        <v>128</v>
      </c>
      <c r="L21" s="50">
        <f>Table001__Page_15[[#This Row],[SATIŞ FİYATI]]-Table001__Page_15[[#This Row],[YUVARLAMA]]</f>
        <v>0</v>
      </c>
      <c r="M21">
        <v>140</v>
      </c>
      <c r="N21">
        <f>M21-Table001__Page_15[[#This Row],[YUVARLAMA]]</f>
        <v>0</v>
      </c>
    </row>
    <row r="22" spans="1:14" x14ac:dyDescent="0.25">
      <c r="A22" t="s">
        <v>142</v>
      </c>
      <c r="B22" t="s">
        <v>144</v>
      </c>
      <c r="C22" t="s">
        <v>143</v>
      </c>
      <c r="D22">
        <v>12</v>
      </c>
      <c r="E22" t="s">
        <v>144</v>
      </c>
      <c r="F22">
        <v>42</v>
      </c>
      <c r="G22">
        <v>504</v>
      </c>
      <c r="H22">
        <v>2.4</v>
      </c>
      <c r="I22">
        <f>Table001__Page_15[[#This Row],[FİYAT]]*Table001__Page_15[[#This Row],[Sütun2]]</f>
        <v>100.8</v>
      </c>
      <c r="J22">
        <v>100</v>
      </c>
      <c r="K22" t="s">
        <v>128</v>
      </c>
      <c r="L22" s="50">
        <f>Table001__Page_15[[#This Row],[SATIŞ FİYATI]]-Table001__Page_15[[#This Row],[YUVARLAMA]]</f>
        <v>0.79999999999999716</v>
      </c>
      <c r="M22">
        <v>100</v>
      </c>
      <c r="N22">
        <f>M22-Table001__Page_15[[#This Row],[YUVARLAMA]]</f>
        <v>0</v>
      </c>
    </row>
    <row r="23" spans="1:14" x14ac:dyDescent="0.25">
      <c r="A23" t="s">
        <v>142</v>
      </c>
      <c r="B23" t="s">
        <v>144</v>
      </c>
      <c r="C23" t="s">
        <v>145</v>
      </c>
      <c r="D23">
        <v>24</v>
      </c>
      <c r="E23" t="s">
        <v>144</v>
      </c>
      <c r="F23">
        <v>21</v>
      </c>
      <c r="G23">
        <v>504</v>
      </c>
      <c r="H23">
        <v>2.9</v>
      </c>
      <c r="I23">
        <f>Table001__Page_15[[#This Row],[FİYAT]]*Table001__Page_15[[#This Row],[Sütun2]]</f>
        <v>60.9</v>
      </c>
      <c r="J23">
        <v>60</v>
      </c>
      <c r="K23" t="s">
        <v>128</v>
      </c>
      <c r="L23" s="50">
        <f>Table001__Page_15[[#This Row],[SATIŞ FİYATI]]-Table001__Page_15[[#This Row],[YUVARLAMA]]</f>
        <v>0.89999999999999858</v>
      </c>
      <c r="M23">
        <v>60</v>
      </c>
      <c r="N23">
        <f>M23-Table001__Page_15[[#This Row],[YUVARLAMA]]</f>
        <v>0</v>
      </c>
    </row>
    <row r="24" spans="1:14" x14ac:dyDescent="0.25">
      <c r="A24" t="s">
        <v>142</v>
      </c>
      <c r="B24" t="s">
        <v>144</v>
      </c>
      <c r="C24" t="s">
        <v>146</v>
      </c>
      <c r="D24">
        <v>12</v>
      </c>
      <c r="E24" t="s">
        <v>144</v>
      </c>
      <c r="F24">
        <v>40</v>
      </c>
      <c r="G24">
        <v>480</v>
      </c>
      <c r="H24">
        <v>2</v>
      </c>
      <c r="I24">
        <f>Table001__Page_15[[#This Row],[FİYAT]]*Table001__Page_15[[#This Row],[Sütun2]]</f>
        <v>80</v>
      </c>
      <c r="J24">
        <v>80</v>
      </c>
      <c r="K24" t="s">
        <v>128</v>
      </c>
      <c r="L24" s="50">
        <f>Table001__Page_15[[#This Row],[SATIŞ FİYATI]]-Table001__Page_15[[#This Row],[YUVARLAMA]]</f>
        <v>0</v>
      </c>
      <c r="M24">
        <v>80</v>
      </c>
      <c r="N24">
        <f>M24-Table001__Page_15[[#This Row],[YUVARLAMA]]</f>
        <v>0</v>
      </c>
    </row>
    <row r="25" spans="1:14" x14ac:dyDescent="0.25">
      <c r="A25" t="s">
        <v>138</v>
      </c>
      <c r="B25" t="s">
        <v>144</v>
      </c>
      <c r="C25" t="s">
        <v>147</v>
      </c>
      <c r="D25">
        <v>24</v>
      </c>
      <c r="E25" t="s">
        <v>144</v>
      </c>
      <c r="F25">
        <v>35</v>
      </c>
      <c r="G25">
        <v>840</v>
      </c>
      <c r="H25">
        <v>1.9</v>
      </c>
      <c r="I25">
        <f>Table001__Page_15[[#This Row],[FİYAT]]*Table001__Page_15[[#This Row],[Sütun2]]</f>
        <v>66.5</v>
      </c>
      <c r="J25">
        <v>75</v>
      </c>
      <c r="K25" t="s">
        <v>128</v>
      </c>
      <c r="L25" s="50">
        <f>Table001__Page_15[[#This Row],[SATIŞ FİYATI]]-Table001__Page_15[[#This Row],[YUVARLAMA]]</f>
        <v>-8.5</v>
      </c>
      <c r="M25">
        <v>75</v>
      </c>
      <c r="N25">
        <f>M25-Table001__Page_15[[#This Row],[YUVARLAMA]]</f>
        <v>0</v>
      </c>
    </row>
    <row r="26" spans="1:14" x14ac:dyDescent="0.25">
      <c r="A26" t="s">
        <v>138</v>
      </c>
      <c r="B26" t="s">
        <v>144</v>
      </c>
      <c r="C26" t="s">
        <v>148</v>
      </c>
      <c r="D26">
        <v>24</v>
      </c>
      <c r="E26" t="s">
        <v>144</v>
      </c>
      <c r="F26">
        <v>35</v>
      </c>
      <c r="G26">
        <v>840</v>
      </c>
      <c r="H26">
        <v>1.9</v>
      </c>
      <c r="I26">
        <f>Table001__Page_15[[#This Row],[FİYAT]]*Table001__Page_15[[#This Row],[Sütun2]]</f>
        <v>66.5</v>
      </c>
      <c r="J26">
        <v>75</v>
      </c>
      <c r="K26" t="s">
        <v>128</v>
      </c>
      <c r="L26" s="50">
        <f>Table001__Page_15[[#This Row],[SATIŞ FİYATI]]-Table001__Page_15[[#This Row],[YUVARLAMA]]</f>
        <v>-8.5</v>
      </c>
      <c r="M26">
        <v>75</v>
      </c>
      <c r="N26">
        <f>M26-Table001__Page_15[[#This Row],[YUVARLAMA]]</f>
        <v>0</v>
      </c>
    </row>
    <row r="27" spans="1:14" x14ac:dyDescent="0.25">
      <c r="A27" t="s">
        <v>138</v>
      </c>
      <c r="B27" t="s">
        <v>144</v>
      </c>
      <c r="C27" t="s">
        <v>149</v>
      </c>
      <c r="D27">
        <v>24</v>
      </c>
      <c r="E27" t="s">
        <v>144</v>
      </c>
      <c r="F27">
        <v>35</v>
      </c>
      <c r="G27">
        <v>840</v>
      </c>
      <c r="H27">
        <v>1.9</v>
      </c>
      <c r="I27">
        <f>Table001__Page_15[[#This Row],[FİYAT]]*Table001__Page_15[[#This Row],[Sütun2]]</f>
        <v>66.5</v>
      </c>
      <c r="J27">
        <v>75</v>
      </c>
      <c r="K27" t="s">
        <v>128</v>
      </c>
      <c r="L27" s="50">
        <f>Table001__Page_15[[#This Row],[SATIŞ FİYATI]]-Table001__Page_15[[#This Row],[YUVARLAMA]]</f>
        <v>-8.5</v>
      </c>
      <c r="M27">
        <v>75</v>
      </c>
      <c r="N27">
        <f>M27-Table001__Page_15[[#This Row],[YUVARLAMA]]</f>
        <v>0</v>
      </c>
    </row>
    <row r="28" spans="1:14" x14ac:dyDescent="0.25">
      <c r="A28" t="s">
        <v>125</v>
      </c>
      <c r="B28" t="s">
        <v>538</v>
      </c>
      <c r="C28" t="s">
        <v>150</v>
      </c>
      <c r="D28">
        <v>2</v>
      </c>
      <c r="E28" t="s">
        <v>127</v>
      </c>
      <c r="F28">
        <v>550</v>
      </c>
      <c r="G28">
        <v>1100</v>
      </c>
      <c r="H28">
        <v>3.64</v>
      </c>
      <c r="I28">
        <f>Table001__Page_15[[#This Row],[FİYAT]]*Table001__Page_15[[#This Row],[Sütun2]]</f>
        <v>2002</v>
      </c>
      <c r="J28">
        <v>2000</v>
      </c>
      <c r="K28" t="s">
        <v>128</v>
      </c>
      <c r="L28" s="50">
        <f>Table001__Page_15[[#This Row],[SATIŞ FİYATI]]-Table001__Page_15[[#This Row],[YUVARLAMA]]</f>
        <v>2</v>
      </c>
      <c r="M28">
        <v>2000</v>
      </c>
      <c r="N28">
        <f>M28-Table001__Page_15[[#This Row],[YUVARLAMA]]</f>
        <v>0</v>
      </c>
    </row>
    <row r="29" spans="1:14" x14ac:dyDescent="0.25">
      <c r="A29" t="s">
        <v>125</v>
      </c>
      <c r="B29" t="s">
        <v>537</v>
      </c>
      <c r="C29" t="s">
        <v>151</v>
      </c>
      <c r="D29">
        <v>5</v>
      </c>
      <c r="E29" t="s">
        <v>127</v>
      </c>
      <c r="F29">
        <v>200</v>
      </c>
      <c r="G29">
        <v>1000</v>
      </c>
      <c r="H29">
        <v>2</v>
      </c>
      <c r="I29">
        <f>Table001__Page_15[[#This Row],[FİYAT]]*Table001__Page_15[[#This Row],[Sütun2]]</f>
        <v>400</v>
      </c>
      <c r="J29">
        <v>400</v>
      </c>
      <c r="K29" t="s">
        <v>128</v>
      </c>
      <c r="L29" s="50">
        <f>Table001__Page_15[[#This Row],[SATIŞ FİYATI]]-Table001__Page_15[[#This Row],[YUVARLAMA]]</f>
        <v>0</v>
      </c>
      <c r="M29">
        <v>400</v>
      </c>
      <c r="N29">
        <f>M29-Table001__Page_15[[#This Row],[YUVARLAMA]]</f>
        <v>0</v>
      </c>
    </row>
    <row r="30" spans="1:14" x14ac:dyDescent="0.25">
      <c r="A30" t="s">
        <v>540</v>
      </c>
      <c r="B30" t="s">
        <v>538</v>
      </c>
      <c r="C30" t="s">
        <v>74</v>
      </c>
      <c r="D30">
        <v>2</v>
      </c>
      <c r="E30" t="s">
        <v>127</v>
      </c>
      <c r="F30">
        <v>500</v>
      </c>
      <c r="G30">
        <v>1000</v>
      </c>
      <c r="H30">
        <v>3</v>
      </c>
      <c r="I30">
        <f>Table001__Page_15[[#This Row],[FİYAT]]*Table001__Page_15[[#This Row],[Sütun2]]</f>
        <v>1500</v>
      </c>
      <c r="J30">
        <v>75</v>
      </c>
      <c r="K30" t="s">
        <v>128</v>
      </c>
      <c r="L30" s="50">
        <f>Table001__Page_15[[#This Row],[SATIŞ FİYATI]]-Table001__Page_15[[#This Row],[YUVARLAMA]]</f>
        <v>1425</v>
      </c>
      <c r="M30">
        <v>75</v>
      </c>
      <c r="N30">
        <f>M30-Table001__Page_15[[#This Row],[YUVARLAMA]]</f>
        <v>0</v>
      </c>
    </row>
    <row r="31" spans="1:14" x14ac:dyDescent="0.25">
      <c r="A31" t="s">
        <v>540</v>
      </c>
      <c r="B31" t="s">
        <v>538</v>
      </c>
      <c r="C31" t="s">
        <v>529</v>
      </c>
      <c r="D31">
        <v>5</v>
      </c>
      <c r="E31" t="s">
        <v>127</v>
      </c>
      <c r="F31">
        <v>125</v>
      </c>
      <c r="G31">
        <v>625</v>
      </c>
      <c r="H31">
        <v>4.8</v>
      </c>
      <c r="I31">
        <f>Table001__Page_15[[#This Row],[FİYAT]]*Table001__Page_15[[#This Row],[Sütun2]]</f>
        <v>600</v>
      </c>
      <c r="J31">
        <v>60</v>
      </c>
      <c r="K31" t="s">
        <v>128</v>
      </c>
      <c r="L31" s="50">
        <f>Table001__Page_15[[#This Row],[SATIŞ FİYATI]]-Table001__Page_15[[#This Row],[YUVARLAMA]]</f>
        <v>540</v>
      </c>
      <c r="M31">
        <v>60</v>
      </c>
      <c r="N31">
        <f>M31-Table001__Page_15[[#This Row],[YUVARLAMA]]</f>
        <v>0</v>
      </c>
    </row>
    <row r="32" spans="1:14" x14ac:dyDescent="0.25">
      <c r="A32" t="s">
        <v>125</v>
      </c>
      <c r="B32" t="s">
        <v>538</v>
      </c>
      <c r="C32" t="s">
        <v>523</v>
      </c>
      <c r="D32">
        <v>10</v>
      </c>
      <c r="E32" t="s">
        <v>127</v>
      </c>
      <c r="F32">
        <v>220</v>
      </c>
      <c r="G32">
        <v>2200</v>
      </c>
      <c r="H32">
        <v>2.956</v>
      </c>
      <c r="I32">
        <f>Table001__Page_15[[#This Row],[FİYAT]]*Table001__Page_15[[#This Row],[Sütun2]]</f>
        <v>650.31999999999994</v>
      </c>
      <c r="J32">
        <v>60</v>
      </c>
      <c r="K32" t="s">
        <v>128</v>
      </c>
      <c r="L32" s="50">
        <f>Table001__Page_15[[#This Row],[SATIŞ FİYATI]]-Table001__Page_15[[#This Row],[YUVARLAMA]]</f>
        <v>590.31999999999994</v>
      </c>
      <c r="M32">
        <v>60</v>
      </c>
      <c r="N32">
        <f>M32-Table001__Page_15[[#This Row],[YUVARLAMA]]</f>
        <v>0</v>
      </c>
    </row>
    <row r="33" spans="1:14" x14ac:dyDescent="0.25">
      <c r="A33" t="s">
        <v>125</v>
      </c>
      <c r="B33" t="s">
        <v>538</v>
      </c>
      <c r="C33" t="s">
        <v>524</v>
      </c>
      <c r="D33">
        <v>10</v>
      </c>
      <c r="E33" t="s">
        <v>127</v>
      </c>
      <c r="F33">
        <v>125</v>
      </c>
      <c r="G33">
        <v>1250</v>
      </c>
      <c r="H33">
        <v>3.2</v>
      </c>
      <c r="I33">
        <f>Table001__Page_15[[#This Row],[FİYAT]]*Table001__Page_15[[#This Row],[Sütun2]]</f>
        <v>400</v>
      </c>
      <c r="J33">
        <v>40</v>
      </c>
      <c r="K33" t="s">
        <v>128</v>
      </c>
      <c r="L33" s="50">
        <f>Table001__Page_15[[#This Row],[SATIŞ FİYATI]]-Table001__Page_15[[#This Row],[YUVARLAMA]]</f>
        <v>360</v>
      </c>
      <c r="M33">
        <v>40</v>
      </c>
      <c r="N33">
        <f>M33-Table001__Page_15[[#This Row],[YUVARLAMA]]</f>
        <v>0</v>
      </c>
    </row>
    <row r="34" spans="1:14" x14ac:dyDescent="0.25">
      <c r="A34" t="s">
        <v>125</v>
      </c>
      <c r="B34" t="s">
        <v>538</v>
      </c>
      <c r="C34" t="s">
        <v>152</v>
      </c>
      <c r="D34">
        <v>25</v>
      </c>
      <c r="E34" t="s">
        <v>127</v>
      </c>
      <c r="F34">
        <v>80</v>
      </c>
      <c r="G34">
        <v>2000</v>
      </c>
      <c r="H34">
        <v>5</v>
      </c>
      <c r="I34">
        <f>Table001__Page_15[[#This Row],[FİYAT]]*Table001__Page_15[[#This Row],[Sütun2]]</f>
        <v>400</v>
      </c>
      <c r="J34">
        <v>40</v>
      </c>
      <c r="K34" t="s">
        <v>128</v>
      </c>
      <c r="L34" s="50">
        <f>Table001__Page_15[[#This Row],[SATIŞ FİYATI]]-Table001__Page_15[[#This Row],[YUVARLAMA]]</f>
        <v>360</v>
      </c>
      <c r="M34">
        <v>40</v>
      </c>
      <c r="N34">
        <f>M34-Table001__Page_15[[#This Row],[YUVARLAMA]]</f>
        <v>0</v>
      </c>
    </row>
    <row r="35" spans="1:14" x14ac:dyDescent="0.25">
      <c r="A35" t="s">
        <v>125</v>
      </c>
      <c r="B35" t="s">
        <v>538</v>
      </c>
      <c r="C35" t="s">
        <v>153</v>
      </c>
      <c r="D35">
        <v>10</v>
      </c>
      <c r="E35" t="s">
        <v>127</v>
      </c>
      <c r="F35">
        <v>70</v>
      </c>
      <c r="G35">
        <v>700</v>
      </c>
      <c r="H35">
        <v>5.72</v>
      </c>
      <c r="I35">
        <f>Table001__Page_15[[#This Row],[FİYAT]]*Table001__Page_15[[#This Row],[Sütun2]]</f>
        <v>400.4</v>
      </c>
      <c r="J35">
        <v>40</v>
      </c>
      <c r="K35" t="s">
        <v>128</v>
      </c>
      <c r="L35" s="50">
        <f>Table001__Page_15[[#This Row],[SATIŞ FİYATI]]-Table001__Page_15[[#This Row],[YUVARLAMA]]</f>
        <v>360.4</v>
      </c>
      <c r="M35">
        <v>40</v>
      </c>
      <c r="N35">
        <f>M35-Table001__Page_15[[#This Row],[YUVARLAMA]]</f>
        <v>0</v>
      </c>
    </row>
    <row r="36" spans="1:14" x14ac:dyDescent="0.25">
      <c r="A36" t="s">
        <v>125</v>
      </c>
      <c r="B36" t="s">
        <v>538</v>
      </c>
      <c r="C36" t="s">
        <v>154</v>
      </c>
      <c r="D36">
        <v>25</v>
      </c>
      <c r="E36" t="s">
        <v>127</v>
      </c>
      <c r="F36">
        <v>150</v>
      </c>
      <c r="G36">
        <v>3750</v>
      </c>
      <c r="H36">
        <v>2.7</v>
      </c>
      <c r="I36">
        <f>Table001__Page_15[[#This Row],[FİYAT]]*Table001__Page_15[[#This Row],[Sütun2]]</f>
        <v>405</v>
      </c>
      <c r="J36">
        <v>40</v>
      </c>
      <c r="K36" t="s">
        <v>128</v>
      </c>
      <c r="L36" s="50">
        <f>Table001__Page_15[[#This Row],[SATIŞ FİYATI]]-Table001__Page_15[[#This Row],[YUVARLAMA]]</f>
        <v>365</v>
      </c>
      <c r="M36">
        <v>40</v>
      </c>
      <c r="N36">
        <f>M36-Table001__Page_15[[#This Row],[YUVARLAMA]]</f>
        <v>0</v>
      </c>
    </row>
    <row r="37" spans="1:14" x14ac:dyDescent="0.25">
      <c r="A37" t="s">
        <v>155</v>
      </c>
      <c r="B37" t="s">
        <v>537</v>
      </c>
      <c r="C37" t="s">
        <v>156</v>
      </c>
      <c r="D37">
        <v>40</v>
      </c>
      <c r="E37" t="s">
        <v>127</v>
      </c>
      <c r="F37">
        <v>95</v>
      </c>
      <c r="G37">
        <v>3800</v>
      </c>
      <c r="H37">
        <v>2.1</v>
      </c>
      <c r="I37">
        <f>Table001__Page_15[[#This Row],[FİYAT]]*Table001__Page_15[[#This Row],[Sütun2]]</f>
        <v>199.5</v>
      </c>
      <c r="J37">
        <v>200</v>
      </c>
      <c r="K37" t="s">
        <v>128</v>
      </c>
      <c r="L37" s="50">
        <f>Table001__Page_15[[#This Row],[SATIŞ FİYATI]]-Table001__Page_15[[#This Row],[YUVARLAMA]]</f>
        <v>-0.5</v>
      </c>
      <c r="M37">
        <v>200</v>
      </c>
      <c r="N37">
        <f>M37-Table001__Page_15[[#This Row],[YUVARLAMA]]</f>
        <v>0</v>
      </c>
    </row>
    <row r="38" spans="1:14" x14ac:dyDescent="0.25">
      <c r="A38" t="s">
        <v>155</v>
      </c>
      <c r="B38" t="s">
        <v>537</v>
      </c>
      <c r="C38" t="s">
        <v>157</v>
      </c>
      <c r="D38">
        <v>40</v>
      </c>
      <c r="E38" t="s">
        <v>127</v>
      </c>
      <c r="F38">
        <v>95</v>
      </c>
      <c r="G38">
        <v>3800</v>
      </c>
      <c r="H38">
        <v>2.1</v>
      </c>
      <c r="I38">
        <f>Table001__Page_15[[#This Row],[FİYAT]]*Table001__Page_15[[#This Row],[Sütun2]]</f>
        <v>199.5</v>
      </c>
      <c r="J38">
        <v>200</v>
      </c>
      <c r="K38" t="s">
        <v>128</v>
      </c>
      <c r="L38" s="50">
        <f>Table001__Page_15[[#This Row],[SATIŞ FİYATI]]-Table001__Page_15[[#This Row],[YUVARLAMA]]</f>
        <v>-0.5</v>
      </c>
      <c r="M38">
        <v>200</v>
      </c>
      <c r="N38">
        <f>M38-Table001__Page_15[[#This Row],[YUVARLAMA]]</f>
        <v>0</v>
      </c>
    </row>
    <row r="39" spans="1:14" x14ac:dyDescent="0.25">
      <c r="A39" t="s">
        <v>155</v>
      </c>
      <c r="B39" t="s">
        <v>537</v>
      </c>
      <c r="C39" t="s">
        <v>158</v>
      </c>
      <c r="D39">
        <v>40</v>
      </c>
      <c r="E39" t="s">
        <v>127</v>
      </c>
      <c r="F39">
        <v>65</v>
      </c>
      <c r="G39">
        <v>2600</v>
      </c>
      <c r="H39">
        <v>2.2999999999999998</v>
      </c>
      <c r="I39">
        <f>Table001__Page_15[[#This Row],[FİYAT]]*Table001__Page_15[[#This Row],[Sütun2]]</f>
        <v>149.5</v>
      </c>
      <c r="J39">
        <v>150</v>
      </c>
      <c r="K39" t="s">
        <v>128</v>
      </c>
      <c r="L39" s="50">
        <f>Table001__Page_15[[#This Row],[SATIŞ FİYATI]]-Table001__Page_15[[#This Row],[YUVARLAMA]]</f>
        <v>-0.5</v>
      </c>
      <c r="M39">
        <v>150</v>
      </c>
      <c r="N39">
        <f>M39-Table001__Page_15[[#This Row],[YUVARLAMA]]</f>
        <v>0</v>
      </c>
    </row>
    <row r="40" spans="1:14" x14ac:dyDescent="0.25">
      <c r="A40" t="s">
        <v>159</v>
      </c>
      <c r="B40" t="s">
        <v>539</v>
      </c>
      <c r="C40" t="s">
        <v>160</v>
      </c>
      <c r="D40">
        <v>100</v>
      </c>
      <c r="E40" t="s">
        <v>144</v>
      </c>
      <c r="F40">
        <v>150</v>
      </c>
      <c r="G40">
        <v>15000</v>
      </c>
      <c r="H40">
        <v>1.67</v>
      </c>
      <c r="I40">
        <f>Table001__Page_15[[#This Row],[FİYAT]]*Table001__Page_15[[#This Row],[Sütun2]]</f>
        <v>250.5</v>
      </c>
      <c r="J40">
        <v>270</v>
      </c>
      <c r="K40" t="s">
        <v>128</v>
      </c>
      <c r="L40" s="50">
        <f>Table001__Page_15[[#This Row],[SATIŞ FİYATI]]-Table001__Page_15[[#This Row],[YUVARLAMA]]</f>
        <v>-19.5</v>
      </c>
      <c r="M40">
        <v>250</v>
      </c>
      <c r="N40">
        <f>M40-Table001__Page_15[[#This Row],[YUVARLAMA]]</f>
        <v>-20</v>
      </c>
    </row>
    <row r="41" spans="1:14" x14ac:dyDescent="0.25">
      <c r="A41" t="s">
        <v>159</v>
      </c>
      <c r="B41" t="s">
        <v>539</v>
      </c>
      <c r="C41" t="s">
        <v>161</v>
      </c>
      <c r="D41">
        <v>60</v>
      </c>
      <c r="E41" t="s">
        <v>144</v>
      </c>
      <c r="F41">
        <v>130</v>
      </c>
      <c r="G41">
        <v>7800</v>
      </c>
      <c r="H41">
        <v>1.75</v>
      </c>
      <c r="I41">
        <f>Table001__Page_15[[#This Row],[FİYAT]]*Table001__Page_15[[#This Row],[Sütun2]]</f>
        <v>227.5</v>
      </c>
      <c r="J41">
        <v>250</v>
      </c>
      <c r="K41" t="s">
        <v>128</v>
      </c>
      <c r="L41" s="50">
        <f>Table001__Page_15[[#This Row],[SATIŞ FİYATI]]-Table001__Page_15[[#This Row],[YUVARLAMA]]</f>
        <v>-22.5</v>
      </c>
      <c r="M41">
        <v>250</v>
      </c>
      <c r="N41">
        <f>M41-Table001__Page_15[[#This Row],[YUVARLAMA]]</f>
        <v>0</v>
      </c>
    </row>
    <row r="42" spans="1:14" x14ac:dyDescent="0.25">
      <c r="A42" t="s">
        <v>159</v>
      </c>
      <c r="B42" t="s">
        <v>539</v>
      </c>
      <c r="C42" t="s">
        <v>162</v>
      </c>
      <c r="D42">
        <v>40</v>
      </c>
      <c r="E42" t="s">
        <v>144</v>
      </c>
      <c r="F42">
        <v>175</v>
      </c>
      <c r="G42">
        <v>7000</v>
      </c>
      <c r="H42">
        <v>1.43</v>
      </c>
      <c r="I42">
        <f>Table001__Page_15[[#This Row],[FİYAT]]*Table001__Page_15[[#This Row],[Sütun2]]</f>
        <v>250.25</v>
      </c>
      <c r="J42">
        <v>275</v>
      </c>
      <c r="K42" t="s">
        <v>128</v>
      </c>
      <c r="L42" s="50">
        <f>Table001__Page_15[[#This Row],[SATIŞ FİYATI]]-Table001__Page_15[[#This Row],[YUVARLAMA]]</f>
        <v>-24.75</v>
      </c>
      <c r="M42">
        <v>275</v>
      </c>
      <c r="N42">
        <f>M42-Table001__Page_15[[#This Row],[YUVARLAMA]]</f>
        <v>0</v>
      </c>
    </row>
    <row r="43" spans="1:14" x14ac:dyDescent="0.25">
      <c r="A43" t="s">
        <v>125</v>
      </c>
      <c r="B43" t="s">
        <v>537</v>
      </c>
      <c r="C43" t="s">
        <v>163</v>
      </c>
      <c r="D43">
        <v>25</v>
      </c>
      <c r="E43" t="s">
        <v>127</v>
      </c>
      <c r="F43">
        <v>210</v>
      </c>
      <c r="G43">
        <v>5250</v>
      </c>
      <c r="H43">
        <v>2.1</v>
      </c>
      <c r="I43">
        <f>Table001__Page_15[[#This Row],[FİYAT]]*Table001__Page_15[[#This Row],[Sütun2]]</f>
        <v>441</v>
      </c>
      <c r="J43">
        <v>450</v>
      </c>
      <c r="K43" t="s">
        <v>128</v>
      </c>
      <c r="L43" s="50">
        <f>Table001__Page_15[[#This Row],[SATIŞ FİYATI]]-Table001__Page_15[[#This Row],[YUVARLAMA]]</f>
        <v>-9</v>
      </c>
      <c r="M43">
        <v>450</v>
      </c>
      <c r="N43">
        <f>M43-Table001__Page_15[[#This Row],[YUVARLAMA]]</f>
        <v>0</v>
      </c>
    </row>
    <row r="44" spans="1:14" x14ac:dyDescent="0.25">
      <c r="A44" t="s">
        <v>164</v>
      </c>
      <c r="B44" t="s">
        <v>538</v>
      </c>
      <c r="C44" t="s">
        <v>165</v>
      </c>
      <c r="D44">
        <v>10</v>
      </c>
      <c r="E44" t="s">
        <v>127</v>
      </c>
      <c r="F44">
        <v>125</v>
      </c>
      <c r="G44">
        <v>1250</v>
      </c>
      <c r="H44">
        <v>2</v>
      </c>
      <c r="I44">
        <f>Table001__Page_15[[#This Row],[FİYAT]]*Table001__Page_15[[#This Row],[Sütun2]]</f>
        <v>250</v>
      </c>
      <c r="J44">
        <v>250</v>
      </c>
      <c r="K44" t="s">
        <v>128</v>
      </c>
      <c r="L44" s="50">
        <f>Table001__Page_15[[#This Row],[SATIŞ FİYATI]]-Table001__Page_15[[#This Row],[YUVARLAMA]]</f>
        <v>0</v>
      </c>
      <c r="M44">
        <v>250</v>
      </c>
      <c r="N44">
        <f>M44-Table001__Page_15[[#This Row],[YUVARLAMA]]</f>
        <v>0</v>
      </c>
    </row>
    <row r="45" spans="1:14" x14ac:dyDescent="0.25">
      <c r="A45" t="s">
        <v>125</v>
      </c>
      <c r="B45" t="s">
        <v>537</v>
      </c>
      <c r="C45" t="s">
        <v>166</v>
      </c>
      <c r="D45">
        <v>5</v>
      </c>
      <c r="E45" t="s">
        <v>127</v>
      </c>
      <c r="F45">
        <v>425</v>
      </c>
      <c r="G45">
        <v>2125</v>
      </c>
      <c r="H45">
        <v>1.8</v>
      </c>
      <c r="I45">
        <f>Table001__Page_15[[#This Row],[FİYAT]]*Table001__Page_15[[#This Row],[Sütun2]]</f>
        <v>765</v>
      </c>
      <c r="J45">
        <v>770</v>
      </c>
      <c r="K45" t="s">
        <v>128</v>
      </c>
      <c r="L45" s="50">
        <f>Table001__Page_15[[#This Row],[SATIŞ FİYATI]]-Table001__Page_15[[#This Row],[YUVARLAMA]]</f>
        <v>-5</v>
      </c>
      <c r="M45">
        <v>770</v>
      </c>
      <c r="N45">
        <f>M45-Table001__Page_15[[#This Row],[YUVARLAMA]]</f>
        <v>0</v>
      </c>
    </row>
    <row r="46" spans="1:14" x14ac:dyDescent="0.25">
      <c r="A46" t="s">
        <v>159</v>
      </c>
      <c r="B46" t="s">
        <v>539</v>
      </c>
      <c r="C46" t="s">
        <v>167</v>
      </c>
      <c r="D46">
        <v>40</v>
      </c>
      <c r="E46" t="s">
        <v>144</v>
      </c>
      <c r="F46">
        <v>125</v>
      </c>
      <c r="G46">
        <v>5000</v>
      </c>
      <c r="H46">
        <v>1.85</v>
      </c>
      <c r="I46">
        <f>Table001__Page_15[[#This Row],[FİYAT]]*Table001__Page_15[[#This Row],[Sütun2]]</f>
        <v>231.25</v>
      </c>
      <c r="J46">
        <v>250</v>
      </c>
      <c r="K46" t="s">
        <v>128</v>
      </c>
      <c r="L46" s="50">
        <f>Table001__Page_15[[#This Row],[SATIŞ FİYATI]]-Table001__Page_15[[#This Row],[YUVARLAMA]]</f>
        <v>-18.75</v>
      </c>
      <c r="M46">
        <v>250</v>
      </c>
      <c r="N46">
        <f>M46-Table001__Page_15[[#This Row],[YUVARLAMA]]</f>
        <v>0</v>
      </c>
    </row>
    <row r="47" spans="1:14" x14ac:dyDescent="0.25">
      <c r="A47" t="s">
        <v>159</v>
      </c>
      <c r="B47" t="s">
        <v>539</v>
      </c>
      <c r="C47" t="s">
        <v>168</v>
      </c>
      <c r="D47">
        <v>40</v>
      </c>
      <c r="E47" t="s">
        <v>144</v>
      </c>
      <c r="F47">
        <v>110</v>
      </c>
      <c r="G47">
        <v>4400</v>
      </c>
      <c r="H47">
        <v>2.1</v>
      </c>
      <c r="I47">
        <f>Table001__Page_15[[#This Row],[FİYAT]]*Table001__Page_15[[#This Row],[Sütun2]]</f>
        <v>231</v>
      </c>
      <c r="J47">
        <v>250</v>
      </c>
      <c r="K47" t="s">
        <v>128</v>
      </c>
      <c r="L47" s="50">
        <f>Table001__Page_15[[#This Row],[SATIŞ FİYATI]]-Table001__Page_15[[#This Row],[YUVARLAMA]]</f>
        <v>-19</v>
      </c>
      <c r="M47">
        <v>250</v>
      </c>
      <c r="N47">
        <f>M47-Table001__Page_15[[#This Row],[YUVARLAMA]]</f>
        <v>0</v>
      </c>
    </row>
    <row r="48" spans="1:14" x14ac:dyDescent="0.25">
      <c r="A48" t="s">
        <v>125</v>
      </c>
      <c r="C48" t="s">
        <v>1150</v>
      </c>
      <c r="D48">
        <v>5</v>
      </c>
      <c r="E48" t="s">
        <v>127</v>
      </c>
      <c r="F48">
        <v>270</v>
      </c>
      <c r="G48">
        <v>4400</v>
      </c>
      <c r="H48">
        <v>2</v>
      </c>
      <c r="I48">
        <f>Table001__Page_15[[#This Row],[FİYAT]]*Table001__Page_15[[#This Row],[Sütun2]]</f>
        <v>540</v>
      </c>
      <c r="J48">
        <v>540</v>
      </c>
      <c r="K48" t="s">
        <v>128</v>
      </c>
      <c r="L48" s="50">
        <f>Table001__Page_15[[#This Row],[SATIŞ FİYATI]]-Table001__Page_15[[#This Row],[YUVARLAMA]]</f>
        <v>0</v>
      </c>
      <c r="M48">
        <v>540</v>
      </c>
      <c r="N48">
        <f>M48-Table001__Page_15[[#This Row],[YUVARLAMA]]</f>
        <v>0</v>
      </c>
    </row>
    <row r="49" spans="1:14" x14ac:dyDescent="0.25">
      <c r="A49" t="s">
        <v>125</v>
      </c>
      <c r="C49" t="s">
        <v>1151</v>
      </c>
      <c r="D49">
        <v>10</v>
      </c>
      <c r="E49" t="s">
        <v>127</v>
      </c>
      <c r="F49">
        <v>180</v>
      </c>
      <c r="G49">
        <v>4400</v>
      </c>
      <c r="H49">
        <v>2</v>
      </c>
      <c r="I49">
        <f>Table001__Page_15[[#This Row],[FİYAT]]*Table001__Page_15[[#This Row],[Sütun2]]</f>
        <v>360</v>
      </c>
      <c r="J49">
        <v>400</v>
      </c>
      <c r="K49" t="s">
        <v>128</v>
      </c>
      <c r="L49" s="50">
        <f>Table001__Page_15[[#This Row],[SATIŞ FİYATI]]-Table001__Page_15[[#This Row],[YUVARLAMA]]</f>
        <v>-40</v>
      </c>
      <c r="M49">
        <v>360</v>
      </c>
      <c r="N49">
        <f>M49-Table001__Page_15[[#This Row],[YUVARLAMA]]</f>
        <v>-40</v>
      </c>
    </row>
    <row r="50" spans="1:14" x14ac:dyDescent="0.25">
      <c r="A50" t="s">
        <v>138</v>
      </c>
      <c r="C50" t="s">
        <v>139</v>
      </c>
      <c r="I50">
        <f>Table001__Page_15[[#This Row],[FİYAT]]*Table001__Page_15[[#This Row],[Sütun2]]</f>
        <v>0</v>
      </c>
      <c r="L50" s="50">
        <f>Table001__Page_15[[#This Row],[SATIŞ FİYATI]]-Table001__Page_15[[#This Row],[YUVARLAMA]]</f>
        <v>0</v>
      </c>
      <c r="N50">
        <f>M50-Table001__Page_15[[#This Row],[YUVARLAMA]]</f>
        <v>0</v>
      </c>
    </row>
    <row r="51" spans="1:14" x14ac:dyDescent="0.25">
      <c r="A51" t="s">
        <v>125</v>
      </c>
      <c r="C51" t="s">
        <v>2243</v>
      </c>
      <c r="D51">
        <v>25</v>
      </c>
      <c r="E51" t="s">
        <v>127</v>
      </c>
      <c r="F51">
        <v>260</v>
      </c>
      <c r="G51">
        <v>4400</v>
      </c>
      <c r="H51">
        <v>2</v>
      </c>
      <c r="I51">
        <f>Table001__Page_15[[#This Row],[FİYAT]]*Table001__Page_15[[#This Row],[Sütun2]]</f>
        <v>520</v>
      </c>
      <c r="J51">
        <v>520</v>
      </c>
      <c r="K51" t="s">
        <v>128</v>
      </c>
      <c r="L51" s="50">
        <f>Table001__Page_15[[#This Row],[SATIŞ FİYATI]]-Table001__Page_15[[#This Row],[YUVARLAMA]]</f>
        <v>0</v>
      </c>
      <c r="M51">
        <v>520</v>
      </c>
      <c r="N51">
        <f>M51-Table001__Page_15[[#This Row],[YUVARLAMA]]</f>
        <v>0</v>
      </c>
    </row>
    <row r="52" spans="1:14" x14ac:dyDescent="0.25">
      <c r="A52" t="s">
        <v>125</v>
      </c>
      <c r="C52" t="s">
        <v>2488</v>
      </c>
      <c r="D52">
        <v>10</v>
      </c>
      <c r="E52" t="s">
        <v>127</v>
      </c>
      <c r="F52">
        <v>275</v>
      </c>
      <c r="G52">
        <f>Table001__Page_15[[#This Row],[MİKTAR]]*Table001__Page_15[[#This Row],[FİYAT]]</f>
        <v>2750</v>
      </c>
      <c r="H52">
        <v>2</v>
      </c>
      <c r="I52">
        <f>Table001__Page_15[[#This Row],[FİYAT]]*Table001__Page_15[[#This Row],[Sütun2]]</f>
        <v>550</v>
      </c>
      <c r="J52">
        <v>550</v>
      </c>
      <c r="K52" t="s">
        <v>128</v>
      </c>
      <c r="L52" s="50">
        <f>Table001__Page_15[[#This Row],[SATIŞ FİYATI]]-Table001__Page_15[[#This Row],[YUVARLAMA]]</f>
        <v>0</v>
      </c>
      <c r="M52">
        <v>550</v>
      </c>
      <c r="N52">
        <f>M52-Table001__Page_15[[#This Row],[YUVARLAMA]]</f>
        <v>0</v>
      </c>
    </row>
    <row r="53" spans="1:14" x14ac:dyDescent="0.25">
      <c r="C53" t="s">
        <v>2601</v>
      </c>
      <c r="F53">
        <v>85</v>
      </c>
      <c r="G53">
        <f>Table001__Page_15[[#This Row],[MİKTAR]]*Table001__Page_15[[#This Row],[FİYAT]]</f>
        <v>0</v>
      </c>
      <c r="H53">
        <v>6</v>
      </c>
      <c r="I53">
        <f>Table001__Page_15[[#This Row],[FİYAT]]*Table001__Page_15[[#This Row],[Sütun2]]</f>
        <v>510</v>
      </c>
      <c r="J53">
        <v>500</v>
      </c>
      <c r="K53" t="s">
        <v>128</v>
      </c>
      <c r="L53" s="50">
        <f>Table001__Page_15[[#This Row],[SATIŞ FİYATI]]-Table001__Page_15[[#This Row],[YUVARLAMA]]</f>
        <v>10</v>
      </c>
      <c r="M53">
        <v>500</v>
      </c>
      <c r="N53">
        <f>M53-Table001__Page_15[[#This Row],[YUVARLAMA]]</f>
        <v>0</v>
      </c>
    </row>
    <row r="54" spans="1:14" x14ac:dyDescent="0.25">
      <c r="C54" t="s">
        <v>2602</v>
      </c>
      <c r="F54">
        <v>175</v>
      </c>
      <c r="G54">
        <f>Table001__Page_15[[#This Row],[MİKTAR]]*Table001__Page_15[[#This Row],[FİYAT]]</f>
        <v>0</v>
      </c>
      <c r="H54">
        <v>4</v>
      </c>
      <c r="I54">
        <f>Table001__Page_15[[#This Row],[FİYAT]]*Table001__Page_15[[#This Row],[Sütun2]]</f>
        <v>700</v>
      </c>
      <c r="J54">
        <v>700</v>
      </c>
      <c r="K54" t="s">
        <v>128</v>
      </c>
      <c r="L54" s="50">
        <f>Table001__Page_15[[#This Row],[SATIŞ FİYATI]]-Table001__Page_15[[#This Row],[YUVARLAMA]]</f>
        <v>0</v>
      </c>
      <c r="M54">
        <v>700</v>
      </c>
      <c r="N54">
        <f>M54-Table001__Page_15[[#This Row],[YUVARLAMA]]</f>
        <v>0</v>
      </c>
    </row>
    <row r="55" spans="1:14" x14ac:dyDescent="0.25">
      <c r="C55" t="s">
        <v>2603</v>
      </c>
      <c r="F55">
        <v>400</v>
      </c>
      <c r="G55">
        <f>Table001__Page_15[[#This Row],[MİKTAR]]*Table001__Page_15[[#This Row],[FİYAT]]</f>
        <v>0</v>
      </c>
      <c r="H55">
        <v>3</v>
      </c>
      <c r="I55">
        <f>Table001__Page_15[[#This Row],[FİYAT]]*Table001__Page_15[[#This Row],[Sütun2]]</f>
        <v>1200</v>
      </c>
      <c r="J55">
        <v>1200</v>
      </c>
      <c r="K55" t="s">
        <v>128</v>
      </c>
      <c r="L55" s="50">
        <f>Table001__Page_15[[#This Row],[SATIŞ FİYATI]]-Table001__Page_15[[#This Row],[YUVARLAMA]]</f>
        <v>0</v>
      </c>
      <c r="M55">
        <v>1200</v>
      </c>
      <c r="N55">
        <f>M55-Table001__Page_15[[#This Row],[YUVARLAMA]]</f>
        <v>0</v>
      </c>
    </row>
    <row r="56" spans="1:14" x14ac:dyDescent="0.25">
      <c r="C56" t="s">
        <v>2604</v>
      </c>
      <c r="F56">
        <v>80</v>
      </c>
      <c r="G56">
        <f>Table001__Page_15[[#This Row],[MİKTAR]]*Table001__Page_15[[#This Row],[FİYAT]]</f>
        <v>0</v>
      </c>
      <c r="H56">
        <v>6.2</v>
      </c>
      <c r="I56">
        <f>Table001__Page_15[[#This Row],[FİYAT]]*Table001__Page_15[[#This Row],[Sütun2]]</f>
        <v>496</v>
      </c>
      <c r="J56">
        <v>500</v>
      </c>
      <c r="K56" t="s">
        <v>128</v>
      </c>
      <c r="L56" s="50">
        <f>Table001__Page_15[[#This Row],[SATIŞ FİYATI]]-Table001__Page_15[[#This Row],[YUVARLAMA]]</f>
        <v>-4</v>
      </c>
      <c r="M56">
        <v>500</v>
      </c>
      <c r="N56">
        <f>M56-Table001__Page_15[[#This Row],[YUVARLAMA]]</f>
        <v>0</v>
      </c>
    </row>
    <row r="57" spans="1:14" x14ac:dyDescent="0.25">
      <c r="C57" t="s">
        <v>2605</v>
      </c>
      <c r="F57">
        <v>140</v>
      </c>
      <c r="G57">
        <f>Table001__Page_15[[#This Row],[MİKTAR]]*Table001__Page_15[[#This Row],[FİYAT]]</f>
        <v>0</v>
      </c>
      <c r="H57">
        <v>2</v>
      </c>
      <c r="I57">
        <f>Table001__Page_15[[#This Row],[FİYAT]]*Table001__Page_15[[#This Row],[Sütun2]]</f>
        <v>280</v>
      </c>
      <c r="J57">
        <v>280</v>
      </c>
      <c r="K57" t="s">
        <v>128</v>
      </c>
      <c r="L57" s="50">
        <f>Table001__Page_15[[#This Row],[SATIŞ FİYATI]]-Table001__Page_15[[#This Row],[YUVARLAMA]]</f>
        <v>0</v>
      </c>
      <c r="M57">
        <v>280</v>
      </c>
      <c r="N57">
        <f>M57-Table001__Page_15[[#This Row],[YUVARLAMA]]</f>
        <v>0</v>
      </c>
    </row>
    <row r="58" spans="1:14" x14ac:dyDescent="0.25">
      <c r="C58" t="s">
        <v>2606</v>
      </c>
      <c r="F58">
        <v>140</v>
      </c>
      <c r="G58">
        <f>Table001__Page_15[[#This Row],[MİKTAR]]*Table001__Page_15[[#This Row],[FİYAT]]</f>
        <v>0</v>
      </c>
      <c r="H58">
        <v>1.8</v>
      </c>
      <c r="I58">
        <f>Table001__Page_15[[#This Row],[FİYAT]]*Table001__Page_15[[#This Row],[Sütun2]]</f>
        <v>252</v>
      </c>
      <c r="J58">
        <v>250</v>
      </c>
      <c r="K58" t="s">
        <v>128</v>
      </c>
      <c r="L58" s="50">
        <f>Table001__Page_15[[#This Row],[SATIŞ FİYATI]]-Table001__Page_15[[#This Row],[YUVARLAMA]]</f>
        <v>2</v>
      </c>
      <c r="M58">
        <v>250</v>
      </c>
      <c r="N58">
        <f>M58-Table001__Page_15[[#This Row],[YUVARLAMA]]</f>
        <v>0</v>
      </c>
    </row>
    <row r="59" spans="1:14" x14ac:dyDescent="0.25">
      <c r="C59" t="s">
        <v>2607</v>
      </c>
      <c r="F59">
        <v>180</v>
      </c>
      <c r="G59">
        <f>Table001__Page_15[[#This Row],[MİKTAR]]*Table001__Page_15[[#This Row],[FİYAT]]</f>
        <v>0</v>
      </c>
      <c r="H59">
        <v>2.5</v>
      </c>
      <c r="I59">
        <f>Table001__Page_15[[#This Row],[FİYAT]]*Table001__Page_15[[#This Row],[Sütun2]]</f>
        <v>450</v>
      </c>
      <c r="J59">
        <v>450</v>
      </c>
      <c r="K59" t="s">
        <v>128</v>
      </c>
      <c r="L59" s="50">
        <f>Table001__Page_15[[#This Row],[SATIŞ FİYATI]]-Table001__Page_15[[#This Row],[YUVARLAMA]]</f>
        <v>0</v>
      </c>
      <c r="M59">
        <v>450</v>
      </c>
      <c r="N59">
        <f>M59-Table001__Page_15[[#This Row],[YUVARLAMA]]</f>
        <v>0</v>
      </c>
    </row>
    <row r="60" spans="1:14" x14ac:dyDescent="0.25">
      <c r="C60" t="s">
        <v>2608</v>
      </c>
      <c r="F60">
        <v>170</v>
      </c>
      <c r="G60">
        <f>Table001__Page_15[[#This Row],[MİKTAR]]*Table001__Page_15[[#This Row],[FİYAT]]</f>
        <v>0</v>
      </c>
      <c r="H60">
        <v>3</v>
      </c>
      <c r="I60">
        <f>Table001__Page_15[[#This Row],[FİYAT]]*Table001__Page_15[[#This Row],[Sütun2]]</f>
        <v>510</v>
      </c>
      <c r="J60">
        <v>500</v>
      </c>
      <c r="K60" t="s">
        <v>128</v>
      </c>
      <c r="L60" s="50">
        <f>Table001__Page_15[[#This Row],[SATIŞ FİYATI]]-Table001__Page_15[[#This Row],[YUVARLAMA]]</f>
        <v>10</v>
      </c>
      <c r="M60">
        <v>500</v>
      </c>
      <c r="N60">
        <f>M60-Table001__Page_15[[#This Row],[YUVARLAMA]]</f>
        <v>0</v>
      </c>
    </row>
    <row r="61" spans="1:14" x14ac:dyDescent="0.25">
      <c r="A61" t="s">
        <v>142</v>
      </c>
      <c r="B61" t="s">
        <v>144</v>
      </c>
      <c r="C61" t="s">
        <v>169</v>
      </c>
      <c r="D61">
        <v>3</v>
      </c>
      <c r="E61" t="s">
        <v>144</v>
      </c>
      <c r="F61">
        <v>99.899999999999991</v>
      </c>
      <c r="G61">
        <f>Table001__Page_15[[#This Row],[MİKTAR]]*Table001__Page_15[[#This Row],[FİYAT]]</f>
        <v>299.7</v>
      </c>
      <c r="H61">
        <v>1.3</v>
      </c>
      <c r="I61">
        <f>Table001__Page_15[[#This Row],[FİYAT]]*Table001__Page_15[[#This Row],[Sütun2]]</f>
        <v>129.87</v>
      </c>
      <c r="J61">
        <v>130</v>
      </c>
      <c r="K61" t="s">
        <v>128</v>
      </c>
      <c r="L61" s="50">
        <f>Table001__Page_15[[#This Row],[SATIŞ FİYATI]]-Table001__Page_15[[#This Row],[YUVARLAMA]]</f>
        <v>-0.12999999999999545</v>
      </c>
      <c r="M61">
        <v>130</v>
      </c>
      <c r="N61">
        <f>M61-Table001__Page_15[[#This Row],[YUVARLAMA]]</f>
        <v>0</v>
      </c>
    </row>
    <row r="62" spans="1:14" x14ac:dyDescent="0.25">
      <c r="A62" t="s">
        <v>170</v>
      </c>
      <c r="B62" t="s">
        <v>144</v>
      </c>
      <c r="C62" t="s">
        <v>171</v>
      </c>
      <c r="D62">
        <v>3</v>
      </c>
      <c r="E62" t="s">
        <v>144</v>
      </c>
      <c r="F62">
        <v>79.899999999999991</v>
      </c>
      <c r="G62">
        <f>Table001__Page_15[[#This Row],[MİKTAR]]*Table001__Page_15[[#This Row],[FİYAT]]</f>
        <v>239.7</v>
      </c>
      <c r="H62">
        <v>1.4</v>
      </c>
      <c r="I62">
        <f>Table001__Page_15[[#This Row],[FİYAT]]*Table001__Page_15[[#This Row],[Sütun2]]</f>
        <v>111.85999999999999</v>
      </c>
      <c r="J62">
        <v>110</v>
      </c>
      <c r="K62" t="s">
        <v>128</v>
      </c>
      <c r="L62" s="50">
        <f>Table001__Page_15[[#This Row],[SATIŞ FİYATI]]-Table001__Page_15[[#This Row],[YUVARLAMA]]</f>
        <v>1.8599999999999852</v>
      </c>
      <c r="M62">
        <v>110</v>
      </c>
      <c r="N62">
        <f>M62-Table001__Page_15[[#This Row],[YUVARLAMA]]</f>
        <v>0</v>
      </c>
    </row>
    <row r="63" spans="1:14" x14ac:dyDescent="0.25">
      <c r="A63" t="s">
        <v>170</v>
      </c>
      <c r="B63" t="s">
        <v>144</v>
      </c>
      <c r="C63" t="s">
        <v>172</v>
      </c>
      <c r="D63">
        <v>3</v>
      </c>
      <c r="E63" t="s">
        <v>144</v>
      </c>
      <c r="F63">
        <v>75</v>
      </c>
      <c r="G63">
        <f>Table001__Page_15[[#This Row],[MİKTAR]]*Table001__Page_15[[#This Row],[FİYAT]]</f>
        <v>225</v>
      </c>
      <c r="H63">
        <v>1.4</v>
      </c>
      <c r="I63">
        <f>Table001__Page_15[[#This Row],[FİYAT]]*Table001__Page_15[[#This Row],[Sütun2]]</f>
        <v>105</v>
      </c>
      <c r="J63">
        <v>110</v>
      </c>
      <c r="K63" t="s">
        <v>128</v>
      </c>
      <c r="L63" s="50">
        <f>Table001__Page_15[[#This Row],[SATIŞ FİYATI]]-Table001__Page_15[[#This Row],[YUVARLAMA]]</f>
        <v>-5</v>
      </c>
      <c r="M63">
        <v>110</v>
      </c>
      <c r="N63">
        <f>M63-Table001__Page_15[[#This Row],[YUVARLAMA]]</f>
        <v>0</v>
      </c>
    </row>
    <row r="64" spans="1:14" x14ac:dyDescent="0.25">
      <c r="A64" t="s">
        <v>170</v>
      </c>
      <c r="B64" t="s">
        <v>144</v>
      </c>
      <c r="C64" t="s">
        <v>173</v>
      </c>
      <c r="D64">
        <v>4</v>
      </c>
      <c r="E64" t="s">
        <v>144</v>
      </c>
      <c r="F64">
        <v>79.900000000000006</v>
      </c>
      <c r="G64">
        <f>Table001__Page_15[[#This Row],[MİKTAR]]*Table001__Page_15[[#This Row],[FİYAT]]</f>
        <v>319.60000000000002</v>
      </c>
      <c r="H64">
        <v>1.2</v>
      </c>
      <c r="I64">
        <f>Table001__Page_15[[#This Row],[FİYAT]]*Table001__Page_15[[#This Row],[Sütun2]]</f>
        <v>95.88000000000001</v>
      </c>
      <c r="J64">
        <v>95</v>
      </c>
      <c r="K64" t="s">
        <v>128</v>
      </c>
      <c r="L64" s="50">
        <f>Table001__Page_15[[#This Row],[SATIŞ FİYATI]]-Table001__Page_15[[#This Row],[YUVARLAMA]]</f>
        <v>0.88000000000000966</v>
      </c>
      <c r="M64">
        <v>95</v>
      </c>
      <c r="N64">
        <f>M64-Table001__Page_15[[#This Row],[YUVARLAMA]]</f>
        <v>0</v>
      </c>
    </row>
    <row r="65" spans="1:14" x14ac:dyDescent="0.25">
      <c r="A65" t="s">
        <v>174</v>
      </c>
      <c r="B65" t="s">
        <v>144</v>
      </c>
      <c r="C65" t="s">
        <v>175</v>
      </c>
      <c r="D65">
        <v>10</v>
      </c>
      <c r="E65" t="s">
        <v>144</v>
      </c>
      <c r="F65">
        <v>199</v>
      </c>
      <c r="G65">
        <f>Table001__Page_15[[#This Row],[MİKTAR]]*Table001__Page_15[[#This Row],[FİYAT]]</f>
        <v>1990</v>
      </c>
      <c r="H65">
        <v>1.3</v>
      </c>
      <c r="I65">
        <f>Table001__Page_15[[#This Row],[FİYAT]]*Table001__Page_15[[#This Row],[Sütun2]]</f>
        <v>258.7</v>
      </c>
      <c r="J65">
        <v>260</v>
      </c>
      <c r="K65" t="s">
        <v>176</v>
      </c>
      <c r="L65" s="50">
        <f>Table001__Page_15[[#This Row],[SATIŞ FİYATI]]-Table001__Page_15[[#This Row],[YUVARLAMA]]</f>
        <v>-1.3000000000000114</v>
      </c>
      <c r="M65">
        <v>260</v>
      </c>
      <c r="N65">
        <f>M65-Table001__Page_15[[#This Row],[YUVARLAMA]]</f>
        <v>0</v>
      </c>
    </row>
    <row r="66" spans="1:14" x14ac:dyDescent="0.25">
      <c r="A66" t="s">
        <v>177</v>
      </c>
      <c r="B66" t="s">
        <v>144</v>
      </c>
      <c r="C66" t="s">
        <v>178</v>
      </c>
      <c r="D66">
        <v>7</v>
      </c>
      <c r="E66" t="s">
        <v>144</v>
      </c>
      <c r="F66">
        <v>53.5</v>
      </c>
      <c r="G66">
        <f>Table001__Page_15[[#This Row],[MİKTAR]]*Table001__Page_15[[#This Row],[FİYAT]]</f>
        <v>374.5</v>
      </c>
      <c r="H66">
        <v>1.8</v>
      </c>
      <c r="I66">
        <f>Table001__Page_15[[#This Row],[FİYAT]]*Table001__Page_15[[#This Row],[Sütun2]]</f>
        <v>96.3</v>
      </c>
      <c r="J66">
        <v>95</v>
      </c>
      <c r="K66" t="s">
        <v>176</v>
      </c>
      <c r="L66" s="50">
        <f>Table001__Page_15[[#This Row],[SATIŞ FİYATI]]-Table001__Page_15[[#This Row],[YUVARLAMA]]</f>
        <v>1.2999999999999972</v>
      </c>
      <c r="M66">
        <v>95</v>
      </c>
      <c r="N66">
        <f>M66-Table001__Page_15[[#This Row],[YUVARLAMA]]</f>
        <v>0</v>
      </c>
    </row>
    <row r="67" spans="1:14" x14ac:dyDescent="0.25">
      <c r="A67" t="s">
        <v>142</v>
      </c>
      <c r="B67" t="s">
        <v>144</v>
      </c>
      <c r="C67" t="s">
        <v>179</v>
      </c>
      <c r="D67">
        <v>12</v>
      </c>
      <c r="E67" t="s">
        <v>144</v>
      </c>
      <c r="F67">
        <v>90</v>
      </c>
      <c r="G67">
        <f>Table001__Page_15[[#This Row],[MİKTAR]]*Table001__Page_15[[#This Row],[FİYAT]]</f>
        <v>1080</v>
      </c>
      <c r="H67">
        <v>1.8</v>
      </c>
      <c r="I67">
        <f>Table001__Page_15[[#This Row],[FİYAT]]*Table001__Page_15[[#This Row],[Sütun2]]</f>
        <v>162</v>
      </c>
      <c r="J67">
        <v>160</v>
      </c>
      <c r="K67" t="s">
        <v>176</v>
      </c>
      <c r="L67" s="50">
        <f>Table001__Page_15[[#This Row],[SATIŞ FİYATI]]-Table001__Page_15[[#This Row],[YUVARLAMA]]</f>
        <v>2</v>
      </c>
      <c r="M67">
        <v>160</v>
      </c>
      <c r="N67">
        <f>M67-Table001__Page_15[[#This Row],[YUVARLAMA]]</f>
        <v>0</v>
      </c>
    </row>
    <row r="68" spans="1:14" x14ac:dyDescent="0.25">
      <c r="A68" t="s">
        <v>142</v>
      </c>
      <c r="B68" t="s">
        <v>144</v>
      </c>
      <c r="C68" t="s">
        <v>180</v>
      </c>
      <c r="D68">
        <v>12</v>
      </c>
      <c r="E68" t="s">
        <v>144</v>
      </c>
      <c r="F68">
        <v>95</v>
      </c>
      <c r="G68">
        <f>Table001__Page_15[[#This Row],[MİKTAR]]*Table001__Page_15[[#This Row],[FİYAT]]</f>
        <v>1140</v>
      </c>
      <c r="H68">
        <v>1.8</v>
      </c>
      <c r="I68">
        <f>Table001__Page_15[[#This Row],[FİYAT]]*Table001__Page_15[[#This Row],[Sütun2]]</f>
        <v>171</v>
      </c>
      <c r="J68">
        <v>170</v>
      </c>
      <c r="K68" t="s">
        <v>176</v>
      </c>
      <c r="L68" s="50">
        <f>Table001__Page_15[[#This Row],[SATIŞ FİYATI]]-Table001__Page_15[[#This Row],[YUVARLAMA]]</f>
        <v>1</v>
      </c>
      <c r="M68">
        <v>170</v>
      </c>
      <c r="N68">
        <f>M68-Table001__Page_15[[#This Row],[YUVARLAMA]]</f>
        <v>0</v>
      </c>
    </row>
    <row r="69" spans="1:14" x14ac:dyDescent="0.25">
      <c r="A69" t="s">
        <v>164</v>
      </c>
      <c r="B69" t="s">
        <v>144</v>
      </c>
      <c r="C69" t="s">
        <v>181</v>
      </c>
      <c r="D69">
        <v>6</v>
      </c>
      <c r="E69" t="s">
        <v>144</v>
      </c>
      <c r="F69">
        <v>75</v>
      </c>
      <c r="G69">
        <f>Table001__Page_15[[#This Row],[MİKTAR]]*Table001__Page_15[[#This Row],[FİYAT]]</f>
        <v>450</v>
      </c>
      <c r="H69">
        <v>1.3</v>
      </c>
      <c r="I69">
        <f>Table001__Page_15[[#This Row],[FİYAT]]*Table001__Page_15[[#This Row],[Sütun2]]</f>
        <v>97.5</v>
      </c>
      <c r="J69">
        <v>95</v>
      </c>
      <c r="K69" t="s">
        <v>176</v>
      </c>
      <c r="L69" s="50">
        <f>Table001__Page_15[[#This Row],[SATIŞ FİYATI]]-Table001__Page_15[[#This Row],[YUVARLAMA]]</f>
        <v>2.5</v>
      </c>
      <c r="M69">
        <v>95</v>
      </c>
      <c r="N69">
        <f>M69-Table001__Page_15[[#This Row],[YUVARLAMA]]</f>
        <v>0</v>
      </c>
    </row>
    <row r="70" spans="1:14" x14ac:dyDescent="0.25">
      <c r="A70" t="s">
        <v>142</v>
      </c>
      <c r="B70" t="s">
        <v>144</v>
      </c>
      <c r="C70" t="s">
        <v>182</v>
      </c>
      <c r="D70">
        <v>1</v>
      </c>
      <c r="E70" t="s">
        <v>144</v>
      </c>
      <c r="F70">
        <v>125</v>
      </c>
      <c r="G70">
        <f>Table001__Page_15[[#This Row],[MİKTAR]]*Table001__Page_15[[#This Row],[FİYAT]]</f>
        <v>125</v>
      </c>
      <c r="H70">
        <v>1.52</v>
      </c>
      <c r="I70">
        <f>Table001__Page_15[[#This Row],[FİYAT]]*Table001__Page_15[[#This Row],[Sütun2]]</f>
        <v>190</v>
      </c>
      <c r="J70">
        <v>190</v>
      </c>
      <c r="K70" t="s">
        <v>176</v>
      </c>
      <c r="L70" s="50">
        <f>Table001__Page_15[[#This Row],[SATIŞ FİYATI]]-Table001__Page_15[[#This Row],[YUVARLAMA]]</f>
        <v>0</v>
      </c>
      <c r="M70">
        <v>190</v>
      </c>
      <c r="N70">
        <f>M70-Table001__Page_15[[#This Row],[YUVARLAMA]]</f>
        <v>0</v>
      </c>
    </row>
    <row r="71" spans="1:14" x14ac:dyDescent="0.25">
      <c r="A71" t="s">
        <v>142</v>
      </c>
      <c r="B71" t="s">
        <v>144</v>
      </c>
      <c r="C71" t="s">
        <v>184</v>
      </c>
      <c r="D71">
        <v>5</v>
      </c>
      <c r="E71" t="s">
        <v>144</v>
      </c>
      <c r="F71">
        <v>159</v>
      </c>
      <c r="G71">
        <f>Table001__Page_15[[#This Row],[MİKTAR]]*Table001__Page_15[[#This Row],[FİYAT]]</f>
        <v>795</v>
      </c>
      <c r="H71">
        <v>1.4</v>
      </c>
      <c r="I71">
        <f>Table001__Page_15[[#This Row],[FİYAT]]*Table001__Page_15[[#This Row],[Sütun2]]</f>
        <v>222.6</v>
      </c>
      <c r="J71">
        <v>220</v>
      </c>
      <c r="K71" t="s">
        <v>176</v>
      </c>
      <c r="L71" s="50">
        <f>Table001__Page_15[[#This Row],[SATIŞ FİYATI]]-Table001__Page_15[[#This Row],[YUVARLAMA]]</f>
        <v>2.5999999999999943</v>
      </c>
      <c r="M71">
        <v>220</v>
      </c>
      <c r="N71">
        <f>M71-Table001__Page_15[[#This Row],[YUVARLAMA]]</f>
        <v>0</v>
      </c>
    </row>
    <row r="72" spans="1:14" x14ac:dyDescent="0.25">
      <c r="A72" t="s">
        <v>142</v>
      </c>
      <c r="B72" t="s">
        <v>144</v>
      </c>
      <c r="C72" t="s">
        <v>183</v>
      </c>
      <c r="D72">
        <v>1</v>
      </c>
      <c r="E72" t="s">
        <v>144</v>
      </c>
      <c r="F72">
        <v>155</v>
      </c>
      <c r="G72">
        <f>Table001__Page_15[[#This Row],[MİKTAR]]*Table001__Page_15[[#This Row],[FİYAT]]</f>
        <v>155</v>
      </c>
      <c r="H72">
        <v>1.4</v>
      </c>
      <c r="I72">
        <f>Table001__Page_15[[#This Row],[FİYAT]]*Table001__Page_15[[#This Row],[Sütun2]]</f>
        <v>217</v>
      </c>
      <c r="J72">
        <v>220</v>
      </c>
      <c r="K72" t="s">
        <v>176</v>
      </c>
      <c r="L72" s="50">
        <f>Table001__Page_15[[#This Row],[SATIŞ FİYATI]]-Table001__Page_15[[#This Row],[YUVARLAMA]]</f>
        <v>-3</v>
      </c>
      <c r="M72">
        <v>220</v>
      </c>
      <c r="N72">
        <f>M72-Table001__Page_15[[#This Row],[YUVARLAMA]]</f>
        <v>0</v>
      </c>
    </row>
    <row r="73" spans="1:14" x14ac:dyDescent="0.25">
      <c r="A73" t="s">
        <v>138</v>
      </c>
      <c r="B73" t="s">
        <v>144</v>
      </c>
      <c r="C73" t="s">
        <v>185</v>
      </c>
      <c r="D73">
        <v>4</v>
      </c>
      <c r="E73" t="s">
        <v>144</v>
      </c>
      <c r="F73">
        <v>146.25</v>
      </c>
      <c r="G73">
        <f>Table001__Page_15[[#This Row],[MİKTAR]]*Table001__Page_15[[#This Row],[FİYAT]]</f>
        <v>585</v>
      </c>
      <c r="H73">
        <v>1.3</v>
      </c>
      <c r="I73">
        <f>Table001__Page_15[[#This Row],[FİYAT]]*Table001__Page_15[[#This Row],[Sütun2]]</f>
        <v>190.125</v>
      </c>
      <c r="J73">
        <v>190</v>
      </c>
      <c r="K73" t="s">
        <v>176</v>
      </c>
      <c r="L73" s="50">
        <f>Table001__Page_15[[#This Row],[SATIŞ FİYATI]]-Table001__Page_15[[#This Row],[YUVARLAMA]]</f>
        <v>0.125</v>
      </c>
      <c r="M73">
        <v>190</v>
      </c>
      <c r="N73">
        <f>M73-Table001__Page_15[[#This Row],[YUVARLAMA]]</f>
        <v>0</v>
      </c>
    </row>
    <row r="74" spans="1:14" x14ac:dyDescent="0.25">
      <c r="A74" t="s">
        <v>177</v>
      </c>
      <c r="B74" t="s">
        <v>144</v>
      </c>
      <c r="C74" t="s">
        <v>499</v>
      </c>
      <c r="D74">
        <v>2</v>
      </c>
      <c r="E74" t="s">
        <v>144</v>
      </c>
      <c r="F74">
        <v>199</v>
      </c>
      <c r="G74">
        <f>Table001__Page_15[[#This Row],[MİKTAR]]*Table001__Page_15[[#This Row],[FİYAT]]</f>
        <v>398</v>
      </c>
      <c r="H74">
        <v>1.5</v>
      </c>
      <c r="I74">
        <f>Table001__Page_15[[#This Row],[FİYAT]]*Table001__Page_15[[#This Row],[Sütun2]]</f>
        <v>298.5</v>
      </c>
      <c r="J74">
        <v>295</v>
      </c>
      <c r="K74" t="s">
        <v>176</v>
      </c>
      <c r="L74" s="50">
        <f>Table001__Page_15[[#This Row],[SATIŞ FİYATI]]-Table001__Page_15[[#This Row],[YUVARLAMA]]</f>
        <v>3.5</v>
      </c>
      <c r="M74">
        <v>295</v>
      </c>
      <c r="N74">
        <f>M74-Table001__Page_15[[#This Row],[YUVARLAMA]]</f>
        <v>0</v>
      </c>
    </row>
    <row r="75" spans="1:14" x14ac:dyDescent="0.25">
      <c r="A75" t="s">
        <v>177</v>
      </c>
      <c r="B75" t="s">
        <v>144</v>
      </c>
      <c r="C75" t="s">
        <v>500</v>
      </c>
      <c r="D75">
        <v>2</v>
      </c>
      <c r="E75" t="s">
        <v>144</v>
      </c>
      <c r="F75">
        <v>119</v>
      </c>
      <c r="G75">
        <f>Table001__Page_15[[#This Row],[MİKTAR]]*Table001__Page_15[[#This Row],[FİYAT]]</f>
        <v>238</v>
      </c>
      <c r="H75">
        <v>1.6</v>
      </c>
      <c r="I75">
        <f>Table001__Page_15[[#This Row],[FİYAT]]*Table001__Page_15[[#This Row],[Sütun2]]</f>
        <v>190.4</v>
      </c>
      <c r="J75">
        <v>190</v>
      </c>
      <c r="K75" t="s">
        <v>176</v>
      </c>
      <c r="L75" s="50">
        <f>Table001__Page_15[[#This Row],[SATIŞ FİYATI]]-Table001__Page_15[[#This Row],[YUVARLAMA]]</f>
        <v>0.40000000000000568</v>
      </c>
      <c r="M75">
        <v>190</v>
      </c>
      <c r="N75">
        <f>M75-Table001__Page_15[[#This Row],[YUVARLAMA]]</f>
        <v>0</v>
      </c>
    </row>
    <row r="76" spans="1:14" x14ac:dyDescent="0.25">
      <c r="A76" t="s">
        <v>177</v>
      </c>
      <c r="B76" t="s">
        <v>144</v>
      </c>
      <c r="C76" t="s">
        <v>501</v>
      </c>
      <c r="D76">
        <v>2</v>
      </c>
      <c r="E76" t="s">
        <v>144</v>
      </c>
      <c r="F76">
        <v>119</v>
      </c>
      <c r="G76">
        <f>Table001__Page_15[[#This Row],[MİKTAR]]*Table001__Page_15[[#This Row],[FİYAT]]</f>
        <v>238</v>
      </c>
      <c r="H76">
        <v>1.6</v>
      </c>
      <c r="I76">
        <f>Table001__Page_15[[#This Row],[FİYAT]]*Table001__Page_15[[#This Row],[Sütun2]]</f>
        <v>190.4</v>
      </c>
      <c r="J76">
        <v>190</v>
      </c>
      <c r="K76" t="s">
        <v>176</v>
      </c>
      <c r="L76" s="50">
        <f>Table001__Page_15[[#This Row],[SATIŞ FİYATI]]-Table001__Page_15[[#This Row],[YUVARLAMA]]</f>
        <v>0.40000000000000568</v>
      </c>
      <c r="M76">
        <v>190</v>
      </c>
      <c r="N76">
        <f>M76-Table001__Page_15[[#This Row],[YUVARLAMA]]</f>
        <v>0</v>
      </c>
    </row>
    <row r="77" spans="1:14" x14ac:dyDescent="0.25">
      <c r="A77" t="s">
        <v>177</v>
      </c>
      <c r="B77" t="s">
        <v>144</v>
      </c>
      <c r="C77" t="s">
        <v>502</v>
      </c>
      <c r="D77">
        <v>2</v>
      </c>
      <c r="E77" t="s">
        <v>144</v>
      </c>
      <c r="F77">
        <v>109</v>
      </c>
      <c r="G77">
        <f>Table001__Page_15[[#This Row],[MİKTAR]]*Table001__Page_15[[#This Row],[FİYAT]]</f>
        <v>218</v>
      </c>
      <c r="H77">
        <v>1.35</v>
      </c>
      <c r="I77">
        <f>Table001__Page_15[[#This Row],[FİYAT]]*Table001__Page_15[[#This Row],[Sütun2]]</f>
        <v>147.15</v>
      </c>
      <c r="J77">
        <v>145</v>
      </c>
      <c r="K77" t="s">
        <v>176</v>
      </c>
      <c r="L77" s="50">
        <f>Table001__Page_15[[#This Row],[SATIŞ FİYATI]]-Table001__Page_15[[#This Row],[YUVARLAMA]]</f>
        <v>2.1500000000000057</v>
      </c>
      <c r="M77">
        <v>145</v>
      </c>
      <c r="N77">
        <f>M77-Table001__Page_15[[#This Row],[YUVARLAMA]]</f>
        <v>0</v>
      </c>
    </row>
    <row r="78" spans="1:14" x14ac:dyDescent="0.25">
      <c r="A78" t="s">
        <v>177</v>
      </c>
      <c r="B78" t="s">
        <v>144</v>
      </c>
      <c r="C78" t="s">
        <v>493</v>
      </c>
      <c r="D78">
        <v>3</v>
      </c>
      <c r="E78" t="s">
        <v>144</v>
      </c>
      <c r="F78">
        <v>119</v>
      </c>
      <c r="G78">
        <f>Table001__Page_15[[#This Row],[MİKTAR]]*Table001__Page_15[[#This Row],[FİYAT]]</f>
        <v>357</v>
      </c>
      <c r="H78">
        <v>1.9</v>
      </c>
      <c r="I78">
        <f>Table001__Page_15[[#This Row],[FİYAT]]*Table001__Page_15[[#This Row],[Sütun2]]</f>
        <v>226.1</v>
      </c>
      <c r="J78">
        <v>230</v>
      </c>
      <c r="K78" t="s">
        <v>176</v>
      </c>
      <c r="L78" s="50">
        <f>Table001__Page_15[[#This Row],[SATIŞ FİYATI]]-Table001__Page_15[[#This Row],[YUVARLAMA]]</f>
        <v>-3.9000000000000057</v>
      </c>
      <c r="M78">
        <v>230</v>
      </c>
      <c r="N78">
        <f>M78-Table001__Page_15[[#This Row],[YUVARLAMA]]</f>
        <v>0</v>
      </c>
    </row>
    <row r="79" spans="1:14" x14ac:dyDescent="0.25">
      <c r="A79" t="s">
        <v>177</v>
      </c>
      <c r="B79" t="s">
        <v>144</v>
      </c>
      <c r="C79" t="s">
        <v>491</v>
      </c>
      <c r="D79">
        <v>4</v>
      </c>
      <c r="E79" t="s">
        <v>144</v>
      </c>
      <c r="F79">
        <v>109</v>
      </c>
      <c r="G79">
        <f>Table001__Page_15[[#This Row],[MİKTAR]]*Table001__Page_15[[#This Row],[FİYAT]]</f>
        <v>436</v>
      </c>
      <c r="H79">
        <v>1.5</v>
      </c>
      <c r="I79">
        <f>Table001__Page_15[[#This Row],[FİYAT]]*Table001__Page_15[[#This Row],[Sütun2]]</f>
        <v>163.5</v>
      </c>
      <c r="J79">
        <v>165</v>
      </c>
      <c r="K79" t="s">
        <v>176</v>
      </c>
      <c r="L79" s="50">
        <f>Table001__Page_15[[#This Row],[SATIŞ FİYATI]]-Table001__Page_15[[#This Row],[YUVARLAMA]]</f>
        <v>-1.5</v>
      </c>
      <c r="M79">
        <v>165</v>
      </c>
      <c r="N79">
        <f>M79-Table001__Page_15[[#This Row],[YUVARLAMA]]</f>
        <v>0</v>
      </c>
    </row>
    <row r="80" spans="1:14" x14ac:dyDescent="0.25">
      <c r="A80" t="s">
        <v>177</v>
      </c>
      <c r="B80" t="s">
        <v>144</v>
      </c>
      <c r="C80" t="s">
        <v>492</v>
      </c>
      <c r="D80">
        <v>4</v>
      </c>
      <c r="E80" t="s">
        <v>144</v>
      </c>
      <c r="F80">
        <v>109</v>
      </c>
      <c r="G80">
        <f>Table001__Page_15[[#This Row],[MİKTAR]]*Table001__Page_15[[#This Row],[FİYAT]]</f>
        <v>436</v>
      </c>
      <c r="H80">
        <v>1.5</v>
      </c>
      <c r="I80">
        <f>Table001__Page_15[[#This Row],[FİYAT]]*Table001__Page_15[[#This Row],[Sütun2]]</f>
        <v>163.5</v>
      </c>
      <c r="J80">
        <v>165</v>
      </c>
      <c r="K80" t="s">
        <v>176</v>
      </c>
      <c r="L80" s="50">
        <f>Table001__Page_15[[#This Row],[SATIŞ FİYATI]]-Table001__Page_15[[#This Row],[YUVARLAMA]]</f>
        <v>-1.5</v>
      </c>
      <c r="M80">
        <v>165</v>
      </c>
      <c r="N80">
        <f>M80-Table001__Page_15[[#This Row],[YUVARLAMA]]</f>
        <v>0</v>
      </c>
    </row>
    <row r="81" spans="1:14" x14ac:dyDescent="0.25">
      <c r="A81" t="s">
        <v>177</v>
      </c>
      <c r="B81" t="s">
        <v>144</v>
      </c>
      <c r="C81" t="s">
        <v>490</v>
      </c>
      <c r="D81">
        <v>3</v>
      </c>
      <c r="E81" t="s">
        <v>144</v>
      </c>
      <c r="F81">
        <v>119</v>
      </c>
      <c r="G81">
        <f>Table001__Page_15[[#This Row],[MİKTAR]]*Table001__Page_15[[#This Row],[FİYAT]]</f>
        <v>357</v>
      </c>
      <c r="H81">
        <v>1.85</v>
      </c>
      <c r="I81">
        <f>Table001__Page_15[[#This Row],[FİYAT]]*Table001__Page_15[[#This Row],[Sütun2]]</f>
        <v>220.15</v>
      </c>
      <c r="J81">
        <v>220</v>
      </c>
      <c r="K81" t="s">
        <v>176</v>
      </c>
      <c r="L81" s="50">
        <f>Table001__Page_15[[#This Row],[SATIŞ FİYATI]]-Table001__Page_15[[#This Row],[YUVARLAMA]]</f>
        <v>0.15000000000000568</v>
      </c>
      <c r="M81">
        <v>220</v>
      </c>
      <c r="N81">
        <f>M81-Table001__Page_15[[#This Row],[YUVARLAMA]]</f>
        <v>0</v>
      </c>
    </row>
    <row r="82" spans="1:14" x14ac:dyDescent="0.25">
      <c r="A82" t="s">
        <v>177</v>
      </c>
      <c r="B82" t="s">
        <v>144</v>
      </c>
      <c r="C82" t="s">
        <v>489</v>
      </c>
      <c r="D82">
        <v>3</v>
      </c>
      <c r="E82" t="s">
        <v>144</v>
      </c>
      <c r="F82">
        <v>119</v>
      </c>
      <c r="G82">
        <f>Table001__Page_15[[#This Row],[MİKTAR]]*Table001__Page_15[[#This Row],[FİYAT]]</f>
        <v>357</v>
      </c>
      <c r="H82">
        <v>1.85</v>
      </c>
      <c r="I82">
        <f>Table001__Page_15[[#This Row],[FİYAT]]*Table001__Page_15[[#This Row],[Sütun2]]</f>
        <v>220.15</v>
      </c>
      <c r="J82">
        <v>220</v>
      </c>
      <c r="K82" t="s">
        <v>176</v>
      </c>
      <c r="L82" s="50">
        <f>Table001__Page_15[[#This Row],[SATIŞ FİYATI]]-Table001__Page_15[[#This Row],[YUVARLAMA]]</f>
        <v>0.15000000000000568</v>
      </c>
      <c r="M82">
        <v>220</v>
      </c>
      <c r="N82">
        <f>M82-Table001__Page_15[[#This Row],[YUVARLAMA]]</f>
        <v>0</v>
      </c>
    </row>
    <row r="83" spans="1:14" x14ac:dyDescent="0.25">
      <c r="A83" t="s">
        <v>177</v>
      </c>
      <c r="B83" t="s">
        <v>144</v>
      </c>
      <c r="C83" t="s">
        <v>496</v>
      </c>
      <c r="D83">
        <v>5</v>
      </c>
      <c r="E83" t="s">
        <v>144</v>
      </c>
      <c r="F83">
        <v>99.9</v>
      </c>
      <c r="G83">
        <f>Table001__Page_15[[#This Row],[MİKTAR]]*Table001__Page_15[[#This Row],[FİYAT]]</f>
        <v>499.5</v>
      </c>
      <c r="H83">
        <v>1.5</v>
      </c>
      <c r="I83">
        <f>Table001__Page_15[[#This Row],[FİYAT]]*Table001__Page_15[[#This Row],[Sütun2]]</f>
        <v>149.85000000000002</v>
      </c>
      <c r="J83">
        <v>149</v>
      </c>
      <c r="K83" t="s">
        <v>176</v>
      </c>
      <c r="L83" s="50">
        <f>Table001__Page_15[[#This Row],[SATIŞ FİYATI]]-Table001__Page_15[[#This Row],[YUVARLAMA]]</f>
        <v>0.85000000000002274</v>
      </c>
      <c r="M83">
        <v>149</v>
      </c>
      <c r="N83">
        <f>M83-Table001__Page_15[[#This Row],[YUVARLAMA]]</f>
        <v>0</v>
      </c>
    </row>
    <row r="84" spans="1:14" x14ac:dyDescent="0.25">
      <c r="A84" t="s">
        <v>484</v>
      </c>
      <c r="B84" t="s">
        <v>537</v>
      </c>
      <c r="C84" t="s">
        <v>483</v>
      </c>
      <c r="D84">
        <v>1.56</v>
      </c>
      <c r="E84" t="s">
        <v>127</v>
      </c>
      <c r="F84">
        <v>595</v>
      </c>
      <c r="G84">
        <f>Table001__Page_15[[#This Row],[MİKTAR]]*Table001__Page_15[[#This Row],[FİYAT]]</f>
        <v>928.2</v>
      </c>
      <c r="H84">
        <v>1.1000000000000001</v>
      </c>
      <c r="I84">
        <f>Table001__Page_15[[#This Row],[FİYAT]]*Table001__Page_15[[#This Row],[Sütun2]]</f>
        <v>654.5</v>
      </c>
      <c r="J84">
        <v>650</v>
      </c>
      <c r="K84" t="s">
        <v>176</v>
      </c>
      <c r="L84" s="50">
        <f>Table001__Page_15[[#This Row],[SATIŞ FİYATI]]-Table001__Page_15[[#This Row],[YUVARLAMA]]</f>
        <v>4.5</v>
      </c>
      <c r="M84">
        <v>650</v>
      </c>
      <c r="N84">
        <f>M84-Table001__Page_15[[#This Row],[YUVARLAMA]]</f>
        <v>0</v>
      </c>
    </row>
    <row r="85" spans="1:14" x14ac:dyDescent="0.25">
      <c r="A85" t="s">
        <v>177</v>
      </c>
      <c r="B85" t="s">
        <v>144</v>
      </c>
      <c r="C85" t="s">
        <v>503</v>
      </c>
      <c r="D85">
        <v>1</v>
      </c>
      <c r="E85" t="s">
        <v>144</v>
      </c>
      <c r="F85">
        <v>89.9</v>
      </c>
      <c r="G85">
        <f>Table001__Page_15[[#This Row],[MİKTAR]]*Table001__Page_15[[#This Row],[FİYAT]]</f>
        <v>89.9</v>
      </c>
      <c r="H85">
        <v>1.45</v>
      </c>
      <c r="I85">
        <f>Table001__Page_15[[#This Row],[FİYAT]]*Table001__Page_15[[#This Row],[Sütun2]]</f>
        <v>130.35500000000002</v>
      </c>
      <c r="J85">
        <v>135</v>
      </c>
      <c r="K85" t="s">
        <v>176</v>
      </c>
      <c r="L85" s="50">
        <f>Table001__Page_15[[#This Row],[SATIŞ FİYATI]]-Table001__Page_15[[#This Row],[YUVARLAMA]]</f>
        <v>-4.6449999999999818</v>
      </c>
      <c r="M85">
        <v>135</v>
      </c>
      <c r="N85">
        <f>M85-Table001__Page_15[[#This Row],[YUVARLAMA]]</f>
        <v>0</v>
      </c>
    </row>
    <row r="86" spans="1:14" x14ac:dyDescent="0.25">
      <c r="A86" t="s">
        <v>177</v>
      </c>
      <c r="B86" t="s">
        <v>144</v>
      </c>
      <c r="C86" t="s">
        <v>504</v>
      </c>
      <c r="D86">
        <v>1</v>
      </c>
      <c r="E86" t="s">
        <v>144</v>
      </c>
      <c r="F86">
        <v>89.9</v>
      </c>
      <c r="G86">
        <f>Table001__Page_15[[#This Row],[MİKTAR]]*Table001__Page_15[[#This Row],[FİYAT]]</f>
        <v>89.9</v>
      </c>
      <c r="H86">
        <v>1.45</v>
      </c>
      <c r="I86">
        <f>Table001__Page_15[[#This Row],[FİYAT]]*Table001__Page_15[[#This Row],[Sütun2]]</f>
        <v>130.35500000000002</v>
      </c>
      <c r="J86">
        <v>135</v>
      </c>
      <c r="K86" t="s">
        <v>176</v>
      </c>
      <c r="L86" s="50">
        <f>Table001__Page_15[[#This Row],[SATIŞ FİYATI]]-Table001__Page_15[[#This Row],[YUVARLAMA]]</f>
        <v>-4.6449999999999818</v>
      </c>
      <c r="M86">
        <v>135</v>
      </c>
      <c r="N86">
        <f>M86-Table001__Page_15[[#This Row],[YUVARLAMA]]</f>
        <v>0</v>
      </c>
    </row>
    <row r="87" spans="1:14" x14ac:dyDescent="0.25">
      <c r="A87" t="s">
        <v>177</v>
      </c>
      <c r="B87" t="s">
        <v>144</v>
      </c>
      <c r="C87" t="s">
        <v>505</v>
      </c>
      <c r="D87">
        <v>4</v>
      </c>
      <c r="E87" t="s">
        <v>144</v>
      </c>
      <c r="F87">
        <v>119</v>
      </c>
      <c r="G87">
        <f>Table001__Page_15[[#This Row],[MİKTAR]]*Table001__Page_15[[#This Row],[FİYAT]]</f>
        <v>476</v>
      </c>
      <c r="H87">
        <v>1.9</v>
      </c>
      <c r="I87">
        <f>Table001__Page_15[[#This Row],[FİYAT]]*Table001__Page_15[[#This Row],[Sütun2]]</f>
        <v>226.1</v>
      </c>
      <c r="J87">
        <v>230</v>
      </c>
      <c r="K87" t="s">
        <v>176</v>
      </c>
      <c r="L87" s="50">
        <f>Table001__Page_15[[#This Row],[SATIŞ FİYATI]]-Table001__Page_15[[#This Row],[YUVARLAMA]]</f>
        <v>-3.9000000000000057</v>
      </c>
      <c r="M87">
        <v>230</v>
      </c>
      <c r="N87">
        <f>M87-Table001__Page_15[[#This Row],[YUVARLAMA]]</f>
        <v>0</v>
      </c>
    </row>
    <row r="88" spans="1:14" x14ac:dyDescent="0.25">
      <c r="A88" t="s">
        <v>177</v>
      </c>
      <c r="B88" t="s">
        <v>144</v>
      </c>
      <c r="C88" t="s">
        <v>518</v>
      </c>
      <c r="D88">
        <v>3</v>
      </c>
      <c r="E88" t="s">
        <v>144</v>
      </c>
      <c r="F88">
        <v>129</v>
      </c>
      <c r="G88">
        <f>Table001__Page_15[[#This Row],[MİKTAR]]*Table001__Page_15[[#This Row],[FİYAT]]</f>
        <v>387</v>
      </c>
      <c r="H88">
        <v>1.5</v>
      </c>
      <c r="I88">
        <f>Table001__Page_15[[#This Row],[FİYAT]]*Table001__Page_15[[#This Row],[Sütun2]]</f>
        <v>193.5</v>
      </c>
      <c r="J88">
        <v>190</v>
      </c>
      <c r="K88" t="s">
        <v>176</v>
      </c>
      <c r="L88" s="50">
        <f>Table001__Page_15[[#This Row],[SATIŞ FİYATI]]-Table001__Page_15[[#This Row],[YUVARLAMA]]</f>
        <v>3.5</v>
      </c>
      <c r="M88">
        <v>190</v>
      </c>
      <c r="N88">
        <f>M88-Table001__Page_15[[#This Row],[YUVARLAMA]]</f>
        <v>0</v>
      </c>
    </row>
    <row r="89" spans="1:14" x14ac:dyDescent="0.25">
      <c r="A89" t="s">
        <v>177</v>
      </c>
      <c r="B89" t="s">
        <v>144</v>
      </c>
      <c r="C89" t="s">
        <v>519</v>
      </c>
      <c r="D89">
        <v>1</v>
      </c>
      <c r="E89" t="s">
        <v>144</v>
      </c>
      <c r="F89">
        <v>129</v>
      </c>
      <c r="G89">
        <f>Table001__Page_15[[#This Row],[MİKTAR]]*Table001__Page_15[[#This Row],[FİYAT]]</f>
        <v>129</v>
      </c>
      <c r="H89">
        <v>1.3</v>
      </c>
      <c r="I89">
        <f>Table001__Page_15[[#This Row],[FİYAT]]*Table001__Page_15[[#This Row],[Sütun2]]</f>
        <v>167.70000000000002</v>
      </c>
      <c r="J89">
        <v>165</v>
      </c>
      <c r="K89" t="s">
        <v>176</v>
      </c>
      <c r="L89" s="50">
        <f>Table001__Page_15[[#This Row],[SATIŞ FİYATI]]-Table001__Page_15[[#This Row],[YUVARLAMA]]</f>
        <v>2.7000000000000171</v>
      </c>
      <c r="M89">
        <v>165</v>
      </c>
      <c r="N89">
        <f>M89-Table001__Page_15[[#This Row],[YUVARLAMA]]</f>
        <v>0</v>
      </c>
    </row>
    <row r="90" spans="1:14" x14ac:dyDescent="0.25">
      <c r="A90" t="s">
        <v>543</v>
      </c>
      <c r="B90" t="s">
        <v>144</v>
      </c>
      <c r="C90" t="s">
        <v>517</v>
      </c>
      <c r="D90">
        <v>5</v>
      </c>
      <c r="E90" t="s">
        <v>144</v>
      </c>
      <c r="F90">
        <v>69.900000000000006</v>
      </c>
      <c r="G90">
        <f>Table001__Page_15[[#This Row],[MİKTAR]]*Table001__Page_15[[#This Row],[FİYAT]]</f>
        <v>349.5</v>
      </c>
      <c r="H90">
        <v>2.73</v>
      </c>
      <c r="I90">
        <f>Table001__Page_15[[#This Row],[FİYAT]]*Table001__Page_15[[#This Row],[Sütun2]]</f>
        <v>190.82700000000003</v>
      </c>
      <c r="J90">
        <v>190</v>
      </c>
      <c r="K90" t="s">
        <v>176</v>
      </c>
      <c r="L90" s="50">
        <f>Table001__Page_15[[#This Row],[SATIŞ FİYATI]]-Table001__Page_15[[#This Row],[YUVARLAMA]]</f>
        <v>0.8270000000000266</v>
      </c>
      <c r="M90">
        <v>190</v>
      </c>
      <c r="N90">
        <f>M90-Table001__Page_15[[#This Row],[YUVARLAMA]]</f>
        <v>0</v>
      </c>
    </row>
    <row r="91" spans="1:14" x14ac:dyDescent="0.25">
      <c r="A91" t="s">
        <v>543</v>
      </c>
      <c r="B91" t="s">
        <v>144</v>
      </c>
      <c r="C91" t="s">
        <v>507</v>
      </c>
      <c r="D91">
        <v>2</v>
      </c>
      <c r="E91" t="s">
        <v>144</v>
      </c>
      <c r="F91">
        <v>69.900000000000006</v>
      </c>
      <c r="G91">
        <f>Table001__Page_15[[#This Row],[MİKTAR]]*Table001__Page_15[[#This Row],[FİYAT]]</f>
        <v>139.80000000000001</v>
      </c>
      <c r="H91">
        <v>2.73</v>
      </c>
      <c r="I91">
        <f>Table001__Page_15[[#This Row],[FİYAT]]*Table001__Page_15[[#This Row],[Sütun2]]</f>
        <v>190.82700000000003</v>
      </c>
      <c r="J91">
        <v>190</v>
      </c>
      <c r="K91" t="s">
        <v>176</v>
      </c>
      <c r="L91" s="50">
        <f>Table001__Page_15[[#This Row],[SATIŞ FİYATI]]-Table001__Page_15[[#This Row],[YUVARLAMA]]</f>
        <v>0.8270000000000266</v>
      </c>
      <c r="M91">
        <v>190</v>
      </c>
      <c r="N91">
        <f>M91-Table001__Page_15[[#This Row],[YUVARLAMA]]</f>
        <v>0</v>
      </c>
    </row>
    <row r="92" spans="1:14" x14ac:dyDescent="0.25">
      <c r="A92" t="s">
        <v>484</v>
      </c>
      <c r="B92" t="s">
        <v>537</v>
      </c>
      <c r="C92" t="s">
        <v>619</v>
      </c>
      <c r="D92">
        <v>1.06</v>
      </c>
      <c r="E92" t="s">
        <v>127</v>
      </c>
      <c r="F92">
        <v>109.5</v>
      </c>
      <c r="G92">
        <f>Table001__Page_15[[#This Row],[MİKTAR]]*Table001__Page_15[[#This Row],[FİYAT]]</f>
        <v>116.07000000000001</v>
      </c>
      <c r="H92">
        <v>1.4</v>
      </c>
      <c r="I92">
        <f>Table001__Page_15[[#This Row],[FİYAT]]*Table001__Page_15[[#This Row],[Sütun2]]</f>
        <v>153.29999999999998</v>
      </c>
      <c r="J92">
        <v>155</v>
      </c>
      <c r="K92" t="s">
        <v>176</v>
      </c>
      <c r="L92" s="50">
        <f>Table001__Page_15[[#This Row],[SATIŞ FİYATI]]-Table001__Page_15[[#This Row],[YUVARLAMA]]</f>
        <v>-1.7000000000000171</v>
      </c>
      <c r="M92">
        <v>155</v>
      </c>
      <c r="N92">
        <f>M92-Table001__Page_15[[#This Row],[YUVARLAMA]]</f>
        <v>0</v>
      </c>
    </row>
    <row r="93" spans="1:14" x14ac:dyDescent="0.25">
      <c r="A93" t="s">
        <v>484</v>
      </c>
      <c r="B93" t="s">
        <v>537</v>
      </c>
      <c r="C93" t="s">
        <v>620</v>
      </c>
      <c r="D93">
        <v>2.1</v>
      </c>
      <c r="E93" t="s">
        <v>127</v>
      </c>
      <c r="F93">
        <v>139.5</v>
      </c>
      <c r="G93">
        <f>Table001__Page_15[[#This Row],[MİKTAR]]*Table001__Page_15[[#This Row],[FİYAT]]</f>
        <v>292.95</v>
      </c>
      <c r="H93">
        <v>1.4</v>
      </c>
      <c r="I93">
        <f>Table001__Page_15[[#This Row],[FİYAT]]*Table001__Page_15[[#This Row],[Sütun2]]</f>
        <v>195.29999999999998</v>
      </c>
      <c r="J93">
        <v>195</v>
      </c>
      <c r="K93" t="s">
        <v>176</v>
      </c>
      <c r="L93" s="50">
        <f>Table001__Page_15[[#This Row],[SATIŞ FİYATI]]-Table001__Page_15[[#This Row],[YUVARLAMA]]</f>
        <v>0.29999999999998295</v>
      </c>
      <c r="M93">
        <v>195</v>
      </c>
      <c r="N93">
        <f>M93-Table001__Page_15[[#This Row],[YUVARLAMA]]</f>
        <v>0</v>
      </c>
    </row>
    <row r="94" spans="1:14" x14ac:dyDescent="0.25">
      <c r="A94" t="s">
        <v>1691</v>
      </c>
      <c r="B94" t="s">
        <v>144</v>
      </c>
      <c r="C94" s="27" t="s">
        <v>713</v>
      </c>
      <c r="D94">
        <v>3</v>
      </c>
      <c r="E94" t="s">
        <v>144</v>
      </c>
      <c r="F94">
        <v>226.36</v>
      </c>
      <c r="G94">
        <f>Table001__Page_15[[#This Row],[MİKTAR]]*Table001__Page_15[[#This Row],[FİYAT]]</f>
        <v>679.08</v>
      </c>
      <c r="H94">
        <v>1.415</v>
      </c>
      <c r="I94">
        <f>Table001__Page_15[[#This Row],[FİYAT]]*Table001__Page_15[[#This Row],[Sütun2]]</f>
        <v>320.29940000000005</v>
      </c>
      <c r="J94">
        <v>340</v>
      </c>
      <c r="K94" t="s">
        <v>176</v>
      </c>
      <c r="L94" s="50">
        <f>Table001__Page_15[[#This Row],[SATIŞ FİYATI]]-Table001__Page_15[[#This Row],[YUVARLAMA]]</f>
        <v>-19.700599999999952</v>
      </c>
      <c r="M94">
        <v>340</v>
      </c>
      <c r="N94">
        <f>M94-Table001__Page_15[[#This Row],[YUVARLAMA]]</f>
        <v>0</v>
      </c>
    </row>
    <row r="95" spans="1:14" x14ac:dyDescent="0.25">
      <c r="A95" t="s">
        <v>1691</v>
      </c>
      <c r="B95" t="s">
        <v>144</v>
      </c>
      <c r="C95" s="27" t="s">
        <v>714</v>
      </c>
      <c r="D95">
        <v>4</v>
      </c>
      <c r="E95" t="s">
        <v>144</v>
      </c>
      <c r="F95">
        <v>158.38</v>
      </c>
      <c r="G95">
        <f>Table001__Page_15[[#This Row],[MİKTAR]]*Table001__Page_15[[#This Row],[FİYAT]]</f>
        <v>633.52</v>
      </c>
      <c r="H95">
        <v>1.5</v>
      </c>
      <c r="I95">
        <f>Table001__Page_15[[#This Row],[FİYAT]]*Table001__Page_15[[#This Row],[Sütun2]]</f>
        <v>237.57</v>
      </c>
      <c r="J95">
        <v>250</v>
      </c>
      <c r="K95" t="s">
        <v>176</v>
      </c>
      <c r="L95" s="50">
        <f>Table001__Page_15[[#This Row],[SATIŞ FİYATI]]-Table001__Page_15[[#This Row],[YUVARLAMA]]</f>
        <v>-12.430000000000007</v>
      </c>
      <c r="M95">
        <v>300</v>
      </c>
      <c r="N95">
        <f>M95-Table001__Page_15[[#This Row],[YUVARLAMA]]</f>
        <v>50</v>
      </c>
    </row>
    <row r="96" spans="1:14" x14ac:dyDescent="0.25">
      <c r="A96" t="s">
        <v>1691</v>
      </c>
      <c r="B96" t="s">
        <v>144</v>
      </c>
      <c r="C96" s="27" t="s">
        <v>715</v>
      </c>
      <c r="D96">
        <v>3</v>
      </c>
      <c r="E96" t="s">
        <v>144</v>
      </c>
      <c r="F96">
        <v>248.91</v>
      </c>
      <c r="G96">
        <f>Table001__Page_15[[#This Row],[MİKTAR]]*Table001__Page_15[[#This Row],[FİYAT]]</f>
        <v>746.73</v>
      </c>
      <c r="H96">
        <v>1.4</v>
      </c>
      <c r="I96">
        <f>Table001__Page_15[[#This Row],[FİYAT]]*Table001__Page_15[[#This Row],[Sütun2]]</f>
        <v>348.47399999999999</v>
      </c>
      <c r="J96">
        <v>400</v>
      </c>
      <c r="K96" t="s">
        <v>176</v>
      </c>
      <c r="L96" s="50">
        <f>Table001__Page_15[[#This Row],[SATIŞ FİYATI]]-Table001__Page_15[[#This Row],[YUVARLAMA]]</f>
        <v>-51.52600000000001</v>
      </c>
      <c r="M96">
        <v>400</v>
      </c>
      <c r="N96">
        <f>M96-Table001__Page_15[[#This Row],[YUVARLAMA]]</f>
        <v>0</v>
      </c>
    </row>
    <row r="97" spans="1:14" x14ac:dyDescent="0.25">
      <c r="A97" t="s">
        <v>1691</v>
      </c>
      <c r="B97" t="s">
        <v>144</v>
      </c>
      <c r="C97" s="27" t="s">
        <v>716</v>
      </c>
      <c r="D97">
        <v>6</v>
      </c>
      <c r="E97" t="s">
        <v>144</v>
      </c>
      <c r="F97">
        <v>144.16999999999999</v>
      </c>
      <c r="G97">
        <f>Table001__Page_15[[#This Row],[MİKTAR]]*Table001__Page_15[[#This Row],[FİYAT]]</f>
        <v>865.02</v>
      </c>
      <c r="H97">
        <v>1.9</v>
      </c>
      <c r="I97">
        <f>Table001__Page_15[[#This Row],[FİYAT]]*Table001__Page_15[[#This Row],[Sütun2]]</f>
        <v>273.92299999999994</v>
      </c>
      <c r="J97">
        <v>340</v>
      </c>
      <c r="K97" t="s">
        <v>176</v>
      </c>
      <c r="L97" s="50">
        <f>Table001__Page_15[[#This Row],[SATIŞ FİYATI]]-Table001__Page_15[[#This Row],[YUVARLAMA]]</f>
        <v>-66.077000000000055</v>
      </c>
      <c r="M97">
        <v>340</v>
      </c>
      <c r="N97">
        <f>M97-Table001__Page_15[[#This Row],[YUVARLAMA]]</f>
        <v>0</v>
      </c>
    </row>
    <row r="98" spans="1:14" x14ac:dyDescent="0.25">
      <c r="A98" t="s">
        <v>1691</v>
      </c>
      <c r="B98" t="s">
        <v>144</v>
      </c>
      <c r="C98" s="27" t="s">
        <v>717</v>
      </c>
      <c r="D98">
        <v>3</v>
      </c>
      <c r="E98" t="s">
        <v>144</v>
      </c>
      <c r="F98">
        <v>232.67</v>
      </c>
      <c r="G98">
        <f>Table001__Page_15[[#This Row],[MİKTAR]]*Table001__Page_15[[#This Row],[FİYAT]]</f>
        <v>698.01</v>
      </c>
      <c r="H98">
        <v>1.5</v>
      </c>
      <c r="I98">
        <f>Table001__Page_15[[#This Row],[FİYAT]]*Table001__Page_15[[#This Row],[Sütun2]]</f>
        <v>349.005</v>
      </c>
      <c r="J98">
        <v>350</v>
      </c>
      <c r="K98" t="s">
        <v>176</v>
      </c>
      <c r="L98" s="50">
        <f>Table001__Page_15[[#This Row],[SATIŞ FİYATI]]-Table001__Page_15[[#This Row],[YUVARLAMA]]</f>
        <v>-0.99500000000000455</v>
      </c>
      <c r="M98">
        <v>350</v>
      </c>
      <c r="N98">
        <f>M98-Table001__Page_15[[#This Row],[YUVARLAMA]]</f>
        <v>0</v>
      </c>
    </row>
    <row r="99" spans="1:14" x14ac:dyDescent="0.25">
      <c r="A99" t="s">
        <v>177</v>
      </c>
      <c r="B99" t="s">
        <v>144</v>
      </c>
      <c r="C99" s="27" t="s">
        <v>720</v>
      </c>
      <c r="D99">
        <v>3</v>
      </c>
      <c r="E99" t="s">
        <v>144</v>
      </c>
      <c r="F99">
        <v>141.02000000000001</v>
      </c>
      <c r="G99">
        <f>Table001__Page_15[[#This Row],[MİKTAR]]*Table001__Page_15[[#This Row],[FİYAT]]</f>
        <v>423.06000000000006</v>
      </c>
      <c r="H99">
        <v>1.7</v>
      </c>
      <c r="I99">
        <f>Table001__Page_15[[#This Row],[FİYAT]]*Table001__Page_15[[#This Row],[Sütun2]]</f>
        <v>239.73400000000001</v>
      </c>
      <c r="J99">
        <v>240</v>
      </c>
      <c r="K99" t="s">
        <v>176</v>
      </c>
      <c r="L99" s="50">
        <f>Table001__Page_15[[#This Row],[SATIŞ FİYATI]]-Table001__Page_15[[#This Row],[YUVARLAMA]]</f>
        <v>-0.26599999999999113</v>
      </c>
      <c r="M99">
        <v>240</v>
      </c>
      <c r="N99">
        <f>M99-Table001__Page_15[[#This Row],[YUVARLAMA]]</f>
        <v>0</v>
      </c>
    </row>
    <row r="100" spans="1:14" x14ac:dyDescent="0.25">
      <c r="A100" t="s">
        <v>1691</v>
      </c>
      <c r="B100" t="s">
        <v>144</v>
      </c>
      <c r="C100" s="27" t="s">
        <v>718</v>
      </c>
      <c r="D100">
        <v>3</v>
      </c>
      <c r="E100" t="s">
        <v>144</v>
      </c>
      <c r="F100">
        <f>170.09/3</f>
        <v>56.696666666666665</v>
      </c>
      <c r="G100">
        <f>Table001__Page_15[[#This Row],[MİKTAR]]*Table001__Page_15[[#This Row],[FİYAT]]</f>
        <v>170.09</v>
      </c>
      <c r="H100">
        <v>1.7</v>
      </c>
      <c r="I100">
        <f>Table001__Page_15[[#This Row],[FİYAT]]*Table001__Page_15[[#This Row],[Sütun2]]</f>
        <v>96.384333333333331</v>
      </c>
      <c r="J100">
        <v>95</v>
      </c>
      <c r="K100" t="s">
        <v>176</v>
      </c>
      <c r="L100" s="50">
        <f>Table001__Page_15[[#This Row],[SATIŞ FİYATI]]-Table001__Page_15[[#This Row],[YUVARLAMA]]</f>
        <v>1.3843333333333305</v>
      </c>
      <c r="M100">
        <v>95</v>
      </c>
      <c r="N100">
        <f>M100-Table001__Page_15[[#This Row],[YUVARLAMA]]</f>
        <v>0</v>
      </c>
    </row>
    <row r="101" spans="1:14" x14ac:dyDescent="0.25">
      <c r="A101" t="s">
        <v>177</v>
      </c>
      <c r="B101" t="s">
        <v>144</v>
      </c>
      <c r="C101" s="27" t="s">
        <v>719</v>
      </c>
      <c r="D101">
        <v>2</v>
      </c>
      <c r="E101" t="s">
        <v>144</v>
      </c>
      <c r="F101">
        <v>170.97</v>
      </c>
      <c r="G101">
        <f>Table001__Page_15[[#This Row],[MİKTAR]]*Table001__Page_15[[#This Row],[FİYAT]]</f>
        <v>341.94</v>
      </c>
      <c r="H101">
        <v>1.5</v>
      </c>
      <c r="I101">
        <f>Table001__Page_15[[#This Row],[FİYAT]]*Table001__Page_15[[#This Row],[Sütun2]]</f>
        <v>256.45499999999998</v>
      </c>
      <c r="J101">
        <v>255</v>
      </c>
      <c r="K101" t="s">
        <v>176</v>
      </c>
      <c r="L101" s="50">
        <f>Table001__Page_15[[#This Row],[SATIŞ FİYATI]]-Table001__Page_15[[#This Row],[YUVARLAMA]]</f>
        <v>1.4549999999999841</v>
      </c>
      <c r="M101">
        <v>255</v>
      </c>
      <c r="N101">
        <f>M101-Table001__Page_15[[#This Row],[YUVARLAMA]]</f>
        <v>0</v>
      </c>
    </row>
    <row r="102" spans="1:14" x14ac:dyDescent="0.25">
      <c r="A102" t="s">
        <v>1691</v>
      </c>
      <c r="B102" t="s">
        <v>144</v>
      </c>
      <c r="C102" s="27" t="s">
        <v>722</v>
      </c>
      <c r="D102">
        <v>2</v>
      </c>
      <c r="E102" t="s">
        <v>144</v>
      </c>
      <c r="F102">
        <f>450/2</f>
        <v>225</v>
      </c>
      <c r="G102">
        <f>Table001__Page_15[[#This Row],[MİKTAR]]*Table001__Page_15[[#This Row],[FİYAT]]</f>
        <v>450</v>
      </c>
      <c r="H102">
        <v>1.5</v>
      </c>
      <c r="I102">
        <f>Table001__Page_15[[#This Row],[FİYAT]]*Table001__Page_15[[#This Row],[Sütun2]]</f>
        <v>337.5</v>
      </c>
      <c r="J102">
        <v>430</v>
      </c>
      <c r="K102" t="s">
        <v>176</v>
      </c>
      <c r="L102" s="50">
        <f>Table001__Page_15[[#This Row],[SATIŞ FİYATI]]-Table001__Page_15[[#This Row],[YUVARLAMA]]</f>
        <v>-92.5</v>
      </c>
      <c r="M102">
        <v>430</v>
      </c>
      <c r="N102">
        <f>M102-Table001__Page_15[[#This Row],[YUVARLAMA]]</f>
        <v>0</v>
      </c>
    </row>
    <row r="103" spans="1:14" x14ac:dyDescent="0.25">
      <c r="A103" t="s">
        <v>484</v>
      </c>
      <c r="B103" t="s">
        <v>537</v>
      </c>
      <c r="C103" s="27" t="s">
        <v>728</v>
      </c>
      <c r="D103">
        <v>2.5649999999999999</v>
      </c>
      <c r="E103" t="s">
        <v>127</v>
      </c>
      <c r="F103">
        <v>460</v>
      </c>
      <c r="G103">
        <f>Table001__Page_15[[#This Row],[MİKTAR]]*Table001__Page_15[[#This Row],[FİYAT]]</f>
        <v>1179.8999999999999</v>
      </c>
      <c r="H103">
        <v>1.5</v>
      </c>
      <c r="I103">
        <f>Table001__Page_15[[#This Row],[FİYAT]]*Table001__Page_15[[#This Row],[Sütun2]]</f>
        <v>690</v>
      </c>
      <c r="J103">
        <v>650</v>
      </c>
      <c r="K103" t="s">
        <v>176</v>
      </c>
      <c r="L103" s="50">
        <f>Table001__Page_15[[#This Row],[SATIŞ FİYATI]]-Table001__Page_15[[#This Row],[YUVARLAMA]]</f>
        <v>40</v>
      </c>
      <c r="M103">
        <v>650</v>
      </c>
      <c r="N103">
        <f>M103-Table001__Page_15[[#This Row],[YUVARLAMA]]</f>
        <v>0</v>
      </c>
    </row>
    <row r="104" spans="1:14" x14ac:dyDescent="0.25">
      <c r="A104" t="s">
        <v>484</v>
      </c>
      <c r="B104" t="s">
        <v>144</v>
      </c>
      <c r="C104" s="27" t="s">
        <v>729</v>
      </c>
      <c r="D104">
        <v>6</v>
      </c>
      <c r="E104" t="s">
        <v>144</v>
      </c>
      <c r="F104">
        <v>59.5</v>
      </c>
      <c r="G104">
        <f>Table001__Page_15[[#This Row],[MİKTAR]]*Table001__Page_15[[#This Row],[FİYAT]]</f>
        <v>357</v>
      </c>
      <c r="H104">
        <v>1.5</v>
      </c>
      <c r="I104">
        <f>Table001__Page_15[[#This Row],[FİYAT]]*Table001__Page_15[[#This Row],[Sütun2]]</f>
        <v>89.25</v>
      </c>
      <c r="J104">
        <v>90</v>
      </c>
      <c r="K104" t="s">
        <v>176</v>
      </c>
      <c r="L104" s="50">
        <f>Table001__Page_15[[#This Row],[SATIŞ FİYATI]]-Table001__Page_15[[#This Row],[YUVARLAMA]]</f>
        <v>-0.75</v>
      </c>
      <c r="M104">
        <v>90</v>
      </c>
      <c r="N104">
        <f>M104-Table001__Page_15[[#This Row],[YUVARLAMA]]</f>
        <v>0</v>
      </c>
    </row>
    <row r="105" spans="1:14" x14ac:dyDescent="0.25">
      <c r="A105" t="s">
        <v>484</v>
      </c>
      <c r="B105" t="s">
        <v>144</v>
      </c>
      <c r="C105" s="27" t="s">
        <v>730</v>
      </c>
      <c r="D105">
        <v>7</v>
      </c>
      <c r="E105" t="s">
        <v>144</v>
      </c>
      <c r="F105">
        <v>59.5</v>
      </c>
      <c r="G105">
        <f>Table001__Page_15[[#This Row],[MİKTAR]]*Table001__Page_15[[#This Row],[FİYAT]]</f>
        <v>416.5</v>
      </c>
      <c r="H105">
        <v>1.5</v>
      </c>
      <c r="I105">
        <f>Table001__Page_15[[#This Row],[FİYAT]]*Table001__Page_15[[#This Row],[Sütun2]]</f>
        <v>89.25</v>
      </c>
      <c r="J105">
        <v>90</v>
      </c>
      <c r="K105" t="s">
        <v>176</v>
      </c>
      <c r="L105" s="50">
        <f>Table001__Page_15[[#This Row],[SATIŞ FİYATI]]-Table001__Page_15[[#This Row],[YUVARLAMA]]</f>
        <v>-0.75</v>
      </c>
      <c r="M105">
        <v>90</v>
      </c>
      <c r="N105">
        <f>M105-Table001__Page_15[[#This Row],[YUVARLAMA]]</f>
        <v>0</v>
      </c>
    </row>
    <row r="106" spans="1:14" x14ac:dyDescent="0.25">
      <c r="A106" t="s">
        <v>484</v>
      </c>
      <c r="B106" t="s">
        <v>144</v>
      </c>
      <c r="C106" s="27" t="s">
        <v>731</v>
      </c>
      <c r="D106">
        <v>6</v>
      </c>
      <c r="E106" t="s">
        <v>144</v>
      </c>
      <c r="F106">
        <v>59.5</v>
      </c>
      <c r="G106">
        <f>Table001__Page_15[[#This Row],[MİKTAR]]*Table001__Page_15[[#This Row],[FİYAT]]</f>
        <v>357</v>
      </c>
      <c r="H106">
        <v>1.5</v>
      </c>
      <c r="I106">
        <f>Table001__Page_15[[#This Row],[FİYAT]]*Table001__Page_15[[#This Row],[Sütun2]]</f>
        <v>89.25</v>
      </c>
      <c r="J106">
        <v>90</v>
      </c>
      <c r="K106" t="s">
        <v>176</v>
      </c>
      <c r="L106" s="50">
        <f>Table001__Page_15[[#This Row],[SATIŞ FİYATI]]-Table001__Page_15[[#This Row],[YUVARLAMA]]</f>
        <v>-0.75</v>
      </c>
      <c r="M106">
        <v>90</v>
      </c>
      <c r="N106">
        <f>M106-Table001__Page_15[[#This Row],[YUVARLAMA]]</f>
        <v>0</v>
      </c>
    </row>
    <row r="107" spans="1:14" x14ac:dyDescent="0.25">
      <c r="A107" t="s">
        <v>541</v>
      </c>
      <c r="B107" t="s">
        <v>144</v>
      </c>
      <c r="C107" s="27" t="s">
        <v>764</v>
      </c>
      <c r="D107">
        <v>5</v>
      </c>
      <c r="E107" t="s">
        <v>144</v>
      </c>
      <c r="F107">
        <v>79.5</v>
      </c>
      <c r="G107">
        <f>Table001__Page_15[[#This Row],[MİKTAR]]*Table001__Page_15[[#This Row],[FİYAT]]</f>
        <v>397.5</v>
      </c>
      <c r="H107">
        <v>1.6</v>
      </c>
      <c r="I107">
        <f>Table001__Page_15[[#This Row],[FİYAT]]*Table001__Page_15[[#This Row],[Sütun2]]</f>
        <v>127.2</v>
      </c>
      <c r="J107">
        <v>125</v>
      </c>
      <c r="K107" t="s">
        <v>176</v>
      </c>
      <c r="L107" s="50">
        <f>Table001__Page_15[[#This Row],[SATIŞ FİYATI]]-Table001__Page_15[[#This Row],[YUVARLAMA]]</f>
        <v>2.2000000000000028</v>
      </c>
      <c r="M107">
        <v>125</v>
      </c>
      <c r="N107">
        <f>M107-Table001__Page_15[[#This Row],[YUVARLAMA]]</f>
        <v>0</v>
      </c>
    </row>
    <row r="108" spans="1:14" x14ac:dyDescent="0.25">
      <c r="A108" t="s">
        <v>170</v>
      </c>
      <c r="B108" t="s">
        <v>144</v>
      </c>
      <c r="C108" s="27" t="s">
        <v>766</v>
      </c>
      <c r="D108">
        <v>7</v>
      </c>
      <c r="E108" t="s">
        <v>144</v>
      </c>
      <c r="F108">
        <v>139.9</v>
      </c>
      <c r="G108">
        <f>Table001__Page_15[[#This Row],[MİKTAR]]*Table001__Page_15[[#This Row],[FİYAT]]</f>
        <v>979.30000000000007</v>
      </c>
      <c r="H108">
        <v>1.5</v>
      </c>
      <c r="I108">
        <f>Table001__Page_15[[#This Row],[FİYAT]]*Table001__Page_15[[#This Row],[Sütun2]]</f>
        <v>209.85000000000002</v>
      </c>
      <c r="J108">
        <v>220</v>
      </c>
      <c r="K108" t="s">
        <v>176</v>
      </c>
      <c r="L108" s="50">
        <f>Table001__Page_15[[#This Row],[SATIŞ FİYATI]]-Table001__Page_15[[#This Row],[YUVARLAMA]]</f>
        <v>-10.149999999999977</v>
      </c>
      <c r="M108">
        <v>220</v>
      </c>
      <c r="N108">
        <f>M108-Table001__Page_15[[#This Row],[YUVARLAMA]]</f>
        <v>0</v>
      </c>
    </row>
    <row r="109" spans="1:14" x14ac:dyDescent="0.25">
      <c r="A109" t="s">
        <v>170</v>
      </c>
      <c r="B109" t="s">
        <v>144</v>
      </c>
      <c r="C109" s="27" t="s">
        <v>767</v>
      </c>
      <c r="D109">
        <v>2</v>
      </c>
      <c r="E109" t="s">
        <v>144</v>
      </c>
      <c r="F109">
        <v>148.6</v>
      </c>
      <c r="G109">
        <f>Table001__Page_15[[#This Row],[MİKTAR]]*Table001__Page_15[[#This Row],[FİYAT]]</f>
        <v>297.2</v>
      </c>
      <c r="H109">
        <v>1.5</v>
      </c>
      <c r="I109">
        <f>Table001__Page_15[[#This Row],[FİYAT]]*Table001__Page_15[[#This Row],[Sütun2]]</f>
        <v>222.89999999999998</v>
      </c>
      <c r="J109">
        <v>220</v>
      </c>
      <c r="K109" t="s">
        <v>176</v>
      </c>
      <c r="L109" s="50">
        <f>Table001__Page_15[[#This Row],[SATIŞ FİYATI]]-Table001__Page_15[[#This Row],[YUVARLAMA]]</f>
        <v>2.8999999999999773</v>
      </c>
      <c r="M109">
        <v>220</v>
      </c>
      <c r="N109">
        <f>M109-Table001__Page_15[[#This Row],[YUVARLAMA]]</f>
        <v>0</v>
      </c>
    </row>
    <row r="110" spans="1:14" x14ac:dyDescent="0.25">
      <c r="A110" t="s">
        <v>142</v>
      </c>
      <c r="B110" t="s">
        <v>144</v>
      </c>
      <c r="C110" s="27" t="s">
        <v>768</v>
      </c>
      <c r="D110">
        <v>1</v>
      </c>
      <c r="E110" t="s">
        <v>144</v>
      </c>
      <c r="F110">
        <v>140.77000000000001</v>
      </c>
      <c r="G110">
        <f>Table001__Page_15[[#This Row],[MİKTAR]]*Table001__Page_15[[#This Row],[FİYAT]]</f>
        <v>140.77000000000001</v>
      </c>
      <c r="H110">
        <v>1.5</v>
      </c>
      <c r="I110">
        <f>Table001__Page_15[[#This Row],[FİYAT]]*Table001__Page_15[[#This Row],[Sütun2]]</f>
        <v>211.15500000000003</v>
      </c>
      <c r="J110">
        <v>250</v>
      </c>
      <c r="K110" t="s">
        <v>176</v>
      </c>
      <c r="L110" s="50">
        <f>Table001__Page_15[[#This Row],[SATIŞ FİYATI]]-Table001__Page_15[[#This Row],[YUVARLAMA]]</f>
        <v>-38.84499999999997</v>
      </c>
      <c r="M110">
        <v>250</v>
      </c>
      <c r="N110">
        <f>M110-Table001__Page_15[[#This Row],[YUVARLAMA]]</f>
        <v>0</v>
      </c>
    </row>
    <row r="111" spans="1:14" x14ac:dyDescent="0.25">
      <c r="A111" t="s">
        <v>541</v>
      </c>
      <c r="B111" t="s">
        <v>144</v>
      </c>
      <c r="C111" s="27" t="s">
        <v>757</v>
      </c>
      <c r="D111">
        <v>3</v>
      </c>
      <c r="E111" t="s">
        <v>144</v>
      </c>
      <c r="F111">
        <v>376.24</v>
      </c>
      <c r="G111">
        <f>Table001__Page_15[[#This Row],[MİKTAR]]*Table001__Page_15[[#This Row],[FİYAT]]</f>
        <v>1128.72</v>
      </c>
      <c r="H111">
        <v>1.4</v>
      </c>
      <c r="I111">
        <f>Table001__Page_15[[#This Row],[FİYAT]]*Table001__Page_15[[#This Row],[Sütun2]]</f>
        <v>526.73599999999999</v>
      </c>
      <c r="J111">
        <v>520</v>
      </c>
      <c r="K111" t="s">
        <v>176</v>
      </c>
      <c r="L111" s="50">
        <f>Table001__Page_15[[#This Row],[SATIŞ FİYATI]]-Table001__Page_15[[#This Row],[YUVARLAMA]]</f>
        <v>6.73599999999999</v>
      </c>
      <c r="M111">
        <v>520</v>
      </c>
      <c r="N111">
        <f>M111-Table001__Page_15[[#This Row],[YUVARLAMA]]</f>
        <v>0</v>
      </c>
    </row>
    <row r="112" spans="1:14" x14ac:dyDescent="0.25">
      <c r="A112" s="27" t="s">
        <v>484</v>
      </c>
      <c r="B112" s="27" t="s">
        <v>537</v>
      </c>
      <c r="C112" s="27" t="s">
        <v>634</v>
      </c>
      <c r="D112" s="27"/>
      <c r="E112" s="27" t="s">
        <v>127</v>
      </c>
      <c r="F112" s="27"/>
      <c r="G112" s="27">
        <f>Table001__Page_15[[#This Row],[MİKTAR]]*Table001__Page_15[[#This Row],[FİYAT]]</f>
        <v>0</v>
      </c>
      <c r="H112" s="27"/>
      <c r="I112" s="27">
        <f>Table001__Page_15[[#This Row],[FİYAT]]*Table001__Page_15[[#This Row],[Sütun2]]</f>
        <v>0</v>
      </c>
      <c r="J112" s="27">
        <v>850</v>
      </c>
      <c r="K112" s="27" t="s">
        <v>668</v>
      </c>
      <c r="L112" s="51">
        <f>Table001__Page_15[[#This Row],[SATIŞ FİYATI]]-Table001__Page_15[[#This Row],[YUVARLAMA]]</f>
        <v>-850</v>
      </c>
      <c r="M112" s="27">
        <v>850</v>
      </c>
      <c r="N112">
        <f>M112-Table001__Page_15[[#This Row],[YUVARLAMA]]</f>
        <v>0</v>
      </c>
    </row>
    <row r="113" spans="1:14" x14ac:dyDescent="0.25">
      <c r="A113" t="s">
        <v>551</v>
      </c>
      <c r="B113" s="27" t="s">
        <v>144</v>
      </c>
      <c r="C113" s="27" t="s">
        <v>721</v>
      </c>
      <c r="D113" s="27">
        <v>6</v>
      </c>
      <c r="E113" s="27" t="s">
        <v>144</v>
      </c>
      <c r="F113" s="27">
        <f>792.7/6</f>
        <v>132.11666666666667</v>
      </c>
      <c r="G113" s="27">
        <f>Table001__Page_15[[#This Row],[FİYAT]]*Table001__Page_15[[#This Row],[MİKTAR]]</f>
        <v>792.7</v>
      </c>
      <c r="H113" s="27">
        <v>1.7</v>
      </c>
      <c r="I113" s="27">
        <f>Table001__Page_15[[#This Row],[FİYAT]]*Table001__Page_15[[#This Row],[Sütun2]]</f>
        <v>224.59833333333333</v>
      </c>
      <c r="J113" s="27">
        <v>260</v>
      </c>
      <c r="K113" t="s">
        <v>176</v>
      </c>
      <c r="L113" s="51">
        <f>Table001__Page_15[[#This Row],[SATIŞ FİYATI]]-Table001__Page_15[[#This Row],[YUVARLAMA]]</f>
        <v>-35.401666666666671</v>
      </c>
      <c r="M113" s="27">
        <v>260</v>
      </c>
      <c r="N113">
        <f>M113-Table001__Page_15[[#This Row],[YUVARLAMA]]</f>
        <v>0</v>
      </c>
    </row>
    <row r="114" spans="1:14" x14ac:dyDescent="0.25">
      <c r="A114" t="s">
        <v>1691</v>
      </c>
      <c r="B114" s="27" t="s">
        <v>144</v>
      </c>
      <c r="C114" s="27" t="s">
        <v>723</v>
      </c>
      <c r="D114" s="27">
        <v>2</v>
      </c>
      <c r="E114" s="27" t="s">
        <v>144</v>
      </c>
      <c r="F114" s="27">
        <f>290.65/2</f>
        <v>145.32499999999999</v>
      </c>
      <c r="G114" s="27">
        <f>Table001__Page_15[[#This Row],[FİYAT]]*Table001__Page_15[[#This Row],[MİKTAR]]</f>
        <v>290.64999999999998</v>
      </c>
      <c r="H114" s="27">
        <v>1.5</v>
      </c>
      <c r="I114" s="27">
        <f>Table001__Page_15[[#This Row],[FİYAT]]*Table001__Page_15[[#This Row],[Sütun2]]</f>
        <v>217.98749999999998</v>
      </c>
      <c r="J114" s="27">
        <v>360</v>
      </c>
      <c r="K114" t="s">
        <v>176</v>
      </c>
      <c r="L114" s="51">
        <f>Table001__Page_15[[#This Row],[SATIŞ FİYATI]]-Table001__Page_15[[#This Row],[YUVARLAMA]]</f>
        <v>-142.01250000000002</v>
      </c>
      <c r="M114" s="27">
        <v>360</v>
      </c>
      <c r="N114">
        <f>M114-Table001__Page_15[[#This Row],[YUVARLAMA]]</f>
        <v>0</v>
      </c>
    </row>
    <row r="115" spans="1:14" x14ac:dyDescent="0.25">
      <c r="A115" t="s">
        <v>1691</v>
      </c>
      <c r="B115" s="27" t="s">
        <v>144</v>
      </c>
      <c r="C115" s="27" t="s">
        <v>724</v>
      </c>
      <c r="D115" s="27">
        <v>2</v>
      </c>
      <c r="E115" s="27" t="s">
        <v>144</v>
      </c>
      <c r="F115" s="27">
        <f>358.7/2</f>
        <v>179.35</v>
      </c>
      <c r="G115" s="27">
        <f>Table001__Page_15[[#This Row],[FİYAT]]*Table001__Page_15[[#This Row],[MİKTAR]]</f>
        <v>358.7</v>
      </c>
      <c r="H115" s="27">
        <v>1.5</v>
      </c>
      <c r="I115" s="27">
        <f>Table001__Page_15[[#This Row],[FİYAT]]*Table001__Page_15[[#This Row],[Sütun2]]</f>
        <v>269.02499999999998</v>
      </c>
      <c r="J115" s="27">
        <v>360</v>
      </c>
      <c r="K115" t="s">
        <v>176</v>
      </c>
      <c r="L115" s="51">
        <f>Table001__Page_15[[#This Row],[SATIŞ FİYATI]]-Table001__Page_15[[#This Row],[YUVARLAMA]]</f>
        <v>-90.975000000000023</v>
      </c>
      <c r="M115" s="27">
        <v>360</v>
      </c>
      <c r="N115">
        <f>M115-Table001__Page_15[[#This Row],[YUVARLAMA]]</f>
        <v>0</v>
      </c>
    </row>
    <row r="116" spans="1:14" x14ac:dyDescent="0.25">
      <c r="A116" t="s">
        <v>1691</v>
      </c>
      <c r="B116" s="27" t="s">
        <v>144</v>
      </c>
      <c r="C116" s="27" t="s">
        <v>725</v>
      </c>
      <c r="D116" s="27">
        <v>2</v>
      </c>
      <c r="E116" s="27" t="s">
        <v>144</v>
      </c>
      <c r="F116" s="27">
        <f>290.65/2</f>
        <v>145.32499999999999</v>
      </c>
      <c r="G116" s="27">
        <f>Table001__Page_15[[#This Row],[FİYAT]]*Table001__Page_15[[#This Row],[MİKTAR]]</f>
        <v>290.64999999999998</v>
      </c>
      <c r="H116" s="27">
        <v>1.7</v>
      </c>
      <c r="I116" s="27">
        <f>Table001__Page_15[[#This Row],[FİYAT]]*Table001__Page_15[[#This Row],[Sütun2]]</f>
        <v>247.05249999999998</v>
      </c>
      <c r="J116" s="27">
        <v>360</v>
      </c>
      <c r="K116" t="s">
        <v>176</v>
      </c>
      <c r="L116" s="51">
        <f>Table001__Page_15[[#This Row],[SATIŞ FİYATI]]-Table001__Page_15[[#This Row],[YUVARLAMA]]</f>
        <v>-112.94750000000002</v>
      </c>
      <c r="M116" s="27">
        <v>360</v>
      </c>
      <c r="N116">
        <f>M116-Table001__Page_15[[#This Row],[YUVARLAMA]]</f>
        <v>0</v>
      </c>
    </row>
    <row r="117" spans="1:14" x14ac:dyDescent="0.25">
      <c r="A117" t="s">
        <v>1691</v>
      </c>
      <c r="B117" s="27" t="s">
        <v>144</v>
      </c>
      <c r="C117" s="27" t="s">
        <v>726</v>
      </c>
      <c r="D117" s="27">
        <v>2</v>
      </c>
      <c r="E117" s="27" t="s">
        <v>144</v>
      </c>
      <c r="F117" s="27">
        <f>286.6/2</f>
        <v>143.30000000000001</v>
      </c>
      <c r="G117" s="27">
        <f>Table001__Page_15[[#This Row],[FİYAT]]*Table001__Page_15[[#This Row],[MİKTAR]]</f>
        <v>286.60000000000002</v>
      </c>
      <c r="H117" s="27">
        <v>1.7</v>
      </c>
      <c r="I117" s="27">
        <f>Table001__Page_15[[#This Row],[FİYAT]]*Table001__Page_15[[#This Row],[Sütun2]]</f>
        <v>243.61</v>
      </c>
      <c r="J117" s="27">
        <v>360</v>
      </c>
      <c r="K117" t="s">
        <v>176</v>
      </c>
      <c r="L117" s="51">
        <f>Table001__Page_15[[#This Row],[SATIŞ FİYATI]]-Table001__Page_15[[#This Row],[YUVARLAMA]]</f>
        <v>-116.38999999999999</v>
      </c>
      <c r="M117" s="27">
        <v>360</v>
      </c>
      <c r="N117">
        <f>M117-Table001__Page_15[[#This Row],[YUVARLAMA]]</f>
        <v>0</v>
      </c>
    </row>
    <row r="118" spans="1:14" x14ac:dyDescent="0.25">
      <c r="A118" t="s">
        <v>1691</v>
      </c>
      <c r="B118" s="27" t="s">
        <v>144</v>
      </c>
      <c r="C118" s="27" t="s">
        <v>727</v>
      </c>
      <c r="D118" s="27">
        <v>2</v>
      </c>
      <c r="E118" s="27" t="s">
        <v>144</v>
      </c>
      <c r="F118" s="27">
        <f>295.98/2</f>
        <v>147.99</v>
      </c>
      <c r="G118" s="27">
        <f>Table001__Page_15[[#This Row],[FİYAT]]*Table001__Page_15[[#This Row],[MİKTAR]]</f>
        <v>295.98</v>
      </c>
      <c r="H118" s="27">
        <v>1.7</v>
      </c>
      <c r="I118" s="27">
        <f>Table001__Page_15[[#This Row],[FİYAT]]*Table001__Page_15[[#This Row],[Sütun2]]</f>
        <v>251.583</v>
      </c>
      <c r="J118" s="27">
        <v>360</v>
      </c>
      <c r="K118" t="s">
        <v>176</v>
      </c>
      <c r="L118" s="51">
        <f>Table001__Page_15[[#This Row],[SATIŞ FİYATI]]-Table001__Page_15[[#This Row],[YUVARLAMA]]</f>
        <v>-108.417</v>
      </c>
      <c r="M118" s="27">
        <v>360</v>
      </c>
      <c r="N118">
        <f>M118-Table001__Page_15[[#This Row],[YUVARLAMA]]</f>
        <v>0</v>
      </c>
    </row>
    <row r="119" spans="1:14" x14ac:dyDescent="0.25">
      <c r="A119" t="s">
        <v>551</v>
      </c>
      <c r="B119" s="27" t="s">
        <v>144</v>
      </c>
      <c r="C119" s="27" t="s">
        <v>748</v>
      </c>
      <c r="D119" s="27">
        <v>5</v>
      </c>
      <c r="E119" s="27" t="s">
        <v>144</v>
      </c>
      <c r="F119" s="27">
        <v>154.9</v>
      </c>
      <c r="G119" s="27">
        <f>Table001__Page_15[[#This Row],[FİYAT]]*Table001__Page_15[[#This Row],[MİKTAR]]</f>
        <v>774.5</v>
      </c>
      <c r="H119" s="27">
        <v>1.55</v>
      </c>
      <c r="I119" s="27">
        <f>Table001__Page_15[[#This Row],[FİYAT]]*Table001__Page_15[[#This Row],[Sütun2]]</f>
        <v>240.09500000000003</v>
      </c>
      <c r="J119" s="27">
        <v>260</v>
      </c>
      <c r="K119" t="s">
        <v>176</v>
      </c>
      <c r="L119" s="51">
        <f>Table001__Page_15[[#This Row],[SATIŞ FİYATI]]-Table001__Page_15[[#This Row],[YUVARLAMA]]</f>
        <v>-19.904999999999973</v>
      </c>
      <c r="M119" s="27">
        <v>260</v>
      </c>
      <c r="N119">
        <f>M119-Table001__Page_15[[#This Row],[YUVARLAMA]]</f>
        <v>0</v>
      </c>
    </row>
    <row r="120" spans="1:14" x14ac:dyDescent="0.25">
      <c r="A120" t="s">
        <v>551</v>
      </c>
      <c r="B120" s="27" t="s">
        <v>144</v>
      </c>
      <c r="C120" s="27" t="s">
        <v>749</v>
      </c>
      <c r="D120" s="27">
        <v>5</v>
      </c>
      <c r="E120" s="27" t="s">
        <v>144</v>
      </c>
      <c r="F120" s="27">
        <v>159.9</v>
      </c>
      <c r="G120" s="27">
        <f>Table001__Page_15[[#This Row],[FİYAT]]*Table001__Page_15[[#This Row],[MİKTAR]]</f>
        <v>799.5</v>
      </c>
      <c r="H120" s="27">
        <v>1.5</v>
      </c>
      <c r="I120" s="27">
        <f>Table001__Page_15[[#This Row],[FİYAT]]*Table001__Page_15[[#This Row],[Sütun2]]</f>
        <v>239.85000000000002</v>
      </c>
      <c r="J120" s="27">
        <v>260</v>
      </c>
      <c r="K120" t="s">
        <v>176</v>
      </c>
      <c r="L120" s="51">
        <f>Table001__Page_15[[#This Row],[SATIŞ FİYATI]]-Table001__Page_15[[#This Row],[YUVARLAMA]]</f>
        <v>-20.149999999999977</v>
      </c>
      <c r="M120" s="27">
        <v>260</v>
      </c>
      <c r="N120">
        <f>M120-Table001__Page_15[[#This Row],[YUVARLAMA]]</f>
        <v>0</v>
      </c>
    </row>
    <row r="121" spans="1:14" x14ac:dyDescent="0.25">
      <c r="A121" t="s">
        <v>142</v>
      </c>
      <c r="B121" s="27" t="s">
        <v>144</v>
      </c>
      <c r="C121" s="27" t="s">
        <v>750</v>
      </c>
      <c r="D121" s="27">
        <v>5</v>
      </c>
      <c r="E121" s="27" t="s">
        <v>144</v>
      </c>
      <c r="F121" s="27">
        <v>148.82</v>
      </c>
      <c r="G121" s="27">
        <f>Table001__Page_15[[#This Row],[FİYAT]]*Table001__Page_15[[#This Row],[MİKTAR]]</f>
        <v>744.09999999999991</v>
      </c>
      <c r="H121" s="27">
        <v>1.5</v>
      </c>
      <c r="I121" s="27">
        <f>Table001__Page_15[[#This Row],[FİYAT]]*Table001__Page_15[[#This Row],[Sütun2]]</f>
        <v>223.23</v>
      </c>
      <c r="J121" s="27">
        <v>250</v>
      </c>
      <c r="K121" t="s">
        <v>176</v>
      </c>
      <c r="L121" s="51">
        <f>Table001__Page_15[[#This Row],[SATIŞ FİYATI]]-Table001__Page_15[[#This Row],[YUVARLAMA]]</f>
        <v>-26.77000000000001</v>
      </c>
      <c r="M121" s="27">
        <v>250</v>
      </c>
      <c r="N121">
        <f>M121-Table001__Page_15[[#This Row],[YUVARLAMA]]</f>
        <v>0</v>
      </c>
    </row>
    <row r="122" spans="1:14" x14ac:dyDescent="0.25">
      <c r="A122" t="s">
        <v>142</v>
      </c>
      <c r="B122" s="27" t="s">
        <v>144</v>
      </c>
      <c r="C122" s="27" t="s">
        <v>751</v>
      </c>
      <c r="D122" s="27">
        <v>4</v>
      </c>
      <c r="E122" s="27" t="s">
        <v>144</v>
      </c>
      <c r="F122" s="27">
        <v>140.97999999999999</v>
      </c>
      <c r="G122" s="27">
        <f>Table001__Page_15[[#This Row],[FİYAT]]*Table001__Page_15[[#This Row],[MİKTAR]]</f>
        <v>563.91999999999996</v>
      </c>
      <c r="H122" s="27">
        <v>1.6</v>
      </c>
      <c r="I122" s="27">
        <f>Table001__Page_15[[#This Row],[FİYAT]]*Table001__Page_15[[#This Row],[Sütun2]]</f>
        <v>225.56799999999998</v>
      </c>
      <c r="J122" s="27">
        <v>250</v>
      </c>
      <c r="K122" t="s">
        <v>176</v>
      </c>
      <c r="L122" s="51">
        <f>Table001__Page_15[[#This Row],[SATIŞ FİYATI]]-Table001__Page_15[[#This Row],[YUVARLAMA]]</f>
        <v>-24.432000000000016</v>
      </c>
      <c r="M122" s="27">
        <v>250</v>
      </c>
      <c r="N122">
        <f>M122-Table001__Page_15[[#This Row],[YUVARLAMA]]</f>
        <v>0</v>
      </c>
    </row>
    <row r="123" spans="1:14" x14ac:dyDescent="0.25">
      <c r="A123" t="s">
        <v>170</v>
      </c>
      <c r="B123" t="s">
        <v>144</v>
      </c>
      <c r="C123" t="s">
        <v>711</v>
      </c>
      <c r="D123">
        <v>6</v>
      </c>
      <c r="E123" t="s">
        <v>144</v>
      </c>
      <c r="F123">
        <v>112.87</v>
      </c>
      <c r="G123">
        <f>Table001__Page_15[[#This Row],[FİYAT]]*Table001__Page_15[[#This Row],[MİKTAR]]</f>
        <v>677.22</v>
      </c>
      <c r="H123">
        <v>1.5</v>
      </c>
      <c r="I123">
        <f>Table001__Page_15[[#This Row],[FİYAT]]*Table001__Page_15[[#This Row],[Sütun2]]</f>
        <v>169.30500000000001</v>
      </c>
      <c r="J123">
        <v>170</v>
      </c>
      <c r="K123" t="s">
        <v>176</v>
      </c>
      <c r="L123" s="50">
        <f>Table001__Page_15[[#This Row],[SATIŞ FİYATI]]-Table001__Page_15[[#This Row],[YUVARLAMA]]</f>
        <v>-0.69499999999999318</v>
      </c>
      <c r="M123">
        <v>170</v>
      </c>
      <c r="N123">
        <f>M123-Table001__Page_15[[#This Row],[YUVARLAMA]]</f>
        <v>0</v>
      </c>
    </row>
    <row r="124" spans="1:14" x14ac:dyDescent="0.25">
      <c r="A124" t="s">
        <v>1691</v>
      </c>
      <c r="B124" t="s">
        <v>144</v>
      </c>
      <c r="C124" t="s">
        <v>712</v>
      </c>
      <c r="D124">
        <v>5</v>
      </c>
      <c r="E124" t="s">
        <v>144</v>
      </c>
      <c r="F124">
        <v>180.11</v>
      </c>
      <c r="G124">
        <f>Table001__Page_15[[#This Row],[FİYAT]]*Table001__Page_15[[#This Row],[MİKTAR]]</f>
        <v>900.55000000000007</v>
      </c>
      <c r="H124">
        <v>1.5</v>
      </c>
      <c r="I124">
        <f>Table001__Page_15[[#This Row],[FİYAT]]*Table001__Page_15[[#This Row],[Sütun2]]</f>
        <v>270.16500000000002</v>
      </c>
      <c r="J124">
        <v>330</v>
      </c>
      <c r="K124" t="s">
        <v>176</v>
      </c>
      <c r="L124" s="50">
        <f>Table001__Page_15[[#This Row],[SATIŞ FİYATI]]-Table001__Page_15[[#This Row],[YUVARLAMA]]</f>
        <v>-59.83499999999998</v>
      </c>
      <c r="M124">
        <v>330</v>
      </c>
      <c r="N124">
        <f>M124-Table001__Page_15[[#This Row],[YUVARLAMA]]</f>
        <v>0</v>
      </c>
    </row>
    <row r="125" spans="1:14" x14ac:dyDescent="0.25">
      <c r="A125" t="s">
        <v>551</v>
      </c>
      <c r="B125" t="s">
        <v>144</v>
      </c>
      <c r="C125" t="s">
        <v>755</v>
      </c>
      <c r="D125">
        <v>4</v>
      </c>
      <c r="E125" t="s">
        <v>144</v>
      </c>
      <c r="F125">
        <v>156.61000000000001</v>
      </c>
      <c r="G125">
        <f>Table001__Page_15[[#This Row],[FİYAT]]*Table001__Page_15[[#This Row],[MİKTAR]]</f>
        <v>626.44000000000005</v>
      </c>
      <c r="H125">
        <v>1.55</v>
      </c>
      <c r="I125">
        <f>Table001__Page_15[[#This Row],[FİYAT]]*Table001__Page_15[[#This Row],[Sütun2]]</f>
        <v>242.74550000000002</v>
      </c>
      <c r="J125">
        <v>260</v>
      </c>
      <c r="K125" t="s">
        <v>176</v>
      </c>
      <c r="L125" s="50">
        <f>Table001__Page_15[[#This Row],[SATIŞ FİYATI]]-Table001__Page_15[[#This Row],[YUVARLAMA]]</f>
        <v>-17.254499999999979</v>
      </c>
      <c r="M125">
        <v>260</v>
      </c>
      <c r="N125">
        <f>M125-Table001__Page_15[[#This Row],[YUVARLAMA]]</f>
        <v>0</v>
      </c>
    </row>
    <row r="126" spans="1:14" x14ac:dyDescent="0.25">
      <c r="A126" t="s">
        <v>551</v>
      </c>
      <c r="B126" t="s">
        <v>144</v>
      </c>
      <c r="C126" t="s">
        <v>756</v>
      </c>
      <c r="D126">
        <v>5</v>
      </c>
      <c r="E126" t="s">
        <v>144</v>
      </c>
      <c r="F126">
        <v>156.61000000000001</v>
      </c>
      <c r="G126">
        <f>Table001__Page_15[[#This Row],[FİYAT]]*Table001__Page_15[[#This Row],[MİKTAR]]</f>
        <v>783.05000000000007</v>
      </c>
      <c r="H126">
        <v>1.55</v>
      </c>
      <c r="I126">
        <f>Table001__Page_15[[#This Row],[FİYAT]]*Table001__Page_15[[#This Row],[Sütun2]]</f>
        <v>242.74550000000002</v>
      </c>
      <c r="J126">
        <v>260</v>
      </c>
      <c r="K126" t="s">
        <v>176</v>
      </c>
      <c r="L126" s="50">
        <f>Table001__Page_15[[#This Row],[SATIŞ FİYATI]]-Table001__Page_15[[#This Row],[YUVARLAMA]]</f>
        <v>-17.254499999999979</v>
      </c>
      <c r="M126">
        <v>260</v>
      </c>
      <c r="N126">
        <f>M126-Table001__Page_15[[#This Row],[YUVARLAMA]]</f>
        <v>0</v>
      </c>
    </row>
    <row r="127" spans="1:14" x14ac:dyDescent="0.25">
      <c r="A127" t="s">
        <v>551</v>
      </c>
      <c r="B127" t="s">
        <v>144</v>
      </c>
      <c r="C127" t="s">
        <v>796</v>
      </c>
      <c r="D127">
        <v>6</v>
      </c>
      <c r="E127" t="s">
        <v>144</v>
      </c>
      <c r="F127">
        <f>872/6</f>
        <v>145.33333333333334</v>
      </c>
      <c r="G127">
        <f>Table001__Page_15[[#This Row],[FİYAT]]*Table001__Page_15[[#This Row],[MİKTAR]]</f>
        <v>872</v>
      </c>
      <c r="H127">
        <v>1.7</v>
      </c>
      <c r="I127">
        <f>Table001__Page_15[[#This Row],[FİYAT]]*Table001__Page_15[[#This Row],[Sütun2]]</f>
        <v>247.06666666666666</v>
      </c>
      <c r="J127">
        <v>260</v>
      </c>
      <c r="K127" t="s">
        <v>176</v>
      </c>
      <c r="L127" s="50">
        <f>Table001__Page_15[[#This Row],[SATIŞ FİYATI]]-Table001__Page_15[[#This Row],[YUVARLAMA]]</f>
        <v>-12.933333333333337</v>
      </c>
      <c r="M127">
        <v>260</v>
      </c>
      <c r="N127">
        <f>M127-Table001__Page_15[[#This Row],[YUVARLAMA]]</f>
        <v>0</v>
      </c>
    </row>
    <row r="128" spans="1:14" x14ac:dyDescent="0.25">
      <c r="A128" t="s">
        <v>177</v>
      </c>
      <c r="B128" t="s">
        <v>144</v>
      </c>
      <c r="C128" t="s">
        <v>911</v>
      </c>
      <c r="D128">
        <v>8</v>
      </c>
      <c r="E128" t="s">
        <v>144</v>
      </c>
      <c r="F128">
        <v>72.3</v>
      </c>
      <c r="G128">
        <f>Table001__Page_15[[#This Row],[FİYAT]]*Table001__Page_15[[#This Row],[MİKTAR]]</f>
        <v>578.4</v>
      </c>
      <c r="H128">
        <v>1.8</v>
      </c>
      <c r="I128">
        <f>Table001__Page_15[[#This Row],[FİYAT]]*Table001__Page_15[[#This Row],[Sütun2]]</f>
        <v>130.13999999999999</v>
      </c>
      <c r="J128">
        <v>130</v>
      </c>
      <c r="K128" t="s">
        <v>176</v>
      </c>
      <c r="L128" s="50">
        <f>Table001__Page_15[[#This Row],[SATIŞ FİYATI]]-Table001__Page_15[[#This Row],[YUVARLAMA]]</f>
        <v>0.13999999999998636</v>
      </c>
      <c r="M128">
        <v>130</v>
      </c>
      <c r="N128">
        <f>M128-Table001__Page_15[[#This Row],[YUVARLAMA]]</f>
        <v>0</v>
      </c>
    </row>
    <row r="129" spans="1:14" x14ac:dyDescent="0.25">
      <c r="A129" t="s">
        <v>541</v>
      </c>
      <c r="B129" t="s">
        <v>144</v>
      </c>
      <c r="C129" t="s">
        <v>1120</v>
      </c>
      <c r="D129">
        <v>8</v>
      </c>
      <c r="E129" t="s">
        <v>144</v>
      </c>
      <c r="F129">
        <f>820.2/8</f>
        <v>102.52500000000001</v>
      </c>
      <c r="G129">
        <f>Table001__Page_15[[#This Row],[FİYAT]]*Table001__Page_15[[#This Row],[MİKTAR]]</f>
        <v>820.2</v>
      </c>
      <c r="H129">
        <v>2</v>
      </c>
      <c r="I129">
        <f>Table001__Page_15[[#This Row],[FİYAT]]*Table001__Page_15[[#This Row],[Sütun2]]</f>
        <v>205.05</v>
      </c>
      <c r="J129">
        <v>195</v>
      </c>
      <c r="K129" t="s">
        <v>176</v>
      </c>
      <c r="L129" s="50">
        <f>Table001__Page_15[[#This Row],[SATIŞ FİYATI]]-Table001__Page_15[[#This Row],[YUVARLAMA]]</f>
        <v>10.050000000000011</v>
      </c>
      <c r="M129">
        <v>195</v>
      </c>
      <c r="N129">
        <f>M129-Table001__Page_15[[#This Row],[YUVARLAMA]]</f>
        <v>0</v>
      </c>
    </row>
    <row r="130" spans="1:14" x14ac:dyDescent="0.25">
      <c r="A130" t="s">
        <v>177</v>
      </c>
      <c r="C130" t="s">
        <v>1126</v>
      </c>
      <c r="D130">
        <v>6</v>
      </c>
      <c r="E130" t="s">
        <v>144</v>
      </c>
      <c r="F130">
        <v>146.6</v>
      </c>
      <c r="G130">
        <f>Table001__Page_15[[#This Row],[FİYAT]]*Table001__Page_15[[#This Row],[MİKTAR]]</f>
        <v>879.59999999999991</v>
      </c>
      <c r="H130">
        <v>2</v>
      </c>
      <c r="I130">
        <f>Table001__Page_15[[#This Row],[FİYAT]]*Table001__Page_15[[#This Row],[Sütun2]]</f>
        <v>293.2</v>
      </c>
      <c r="J130">
        <v>290</v>
      </c>
      <c r="K130" t="s">
        <v>176</v>
      </c>
      <c r="L130" s="50">
        <f>Table001__Page_15[[#This Row],[SATIŞ FİYATI]]-Table001__Page_15[[#This Row],[YUVARLAMA]]</f>
        <v>3.1999999999999886</v>
      </c>
      <c r="M130">
        <v>290</v>
      </c>
      <c r="N130">
        <f>M130-Table001__Page_15[[#This Row],[YUVARLAMA]]</f>
        <v>0</v>
      </c>
    </row>
    <row r="131" spans="1:14" x14ac:dyDescent="0.25">
      <c r="A131" t="s">
        <v>138</v>
      </c>
      <c r="C131" t="s">
        <v>1127</v>
      </c>
      <c r="D131">
        <v>4</v>
      </c>
      <c r="E131" t="s">
        <v>144</v>
      </c>
      <c r="F131">
        <v>168</v>
      </c>
      <c r="G131">
        <f>Table001__Page_15[[#This Row],[FİYAT]]*Table001__Page_15[[#This Row],[MİKTAR]]</f>
        <v>672</v>
      </c>
      <c r="H131">
        <v>2.1</v>
      </c>
      <c r="I131">
        <f>Table001__Page_15[[#This Row],[FİYAT]]*Table001__Page_15[[#This Row],[Sütun2]]</f>
        <v>352.8</v>
      </c>
      <c r="J131">
        <v>350</v>
      </c>
      <c r="K131" t="s">
        <v>176</v>
      </c>
      <c r="L131" s="50">
        <f>Table001__Page_15[[#This Row],[SATIŞ FİYATI]]-Table001__Page_15[[#This Row],[YUVARLAMA]]</f>
        <v>2.8000000000000114</v>
      </c>
      <c r="M131">
        <v>350</v>
      </c>
      <c r="N131">
        <f>M131-Table001__Page_15[[#This Row],[YUVARLAMA]]</f>
        <v>0</v>
      </c>
    </row>
    <row r="132" spans="1:14" x14ac:dyDescent="0.25">
      <c r="A132" t="s">
        <v>177</v>
      </c>
      <c r="C132" t="s">
        <v>1203</v>
      </c>
      <c r="D132">
        <v>8</v>
      </c>
      <c r="E132" t="s">
        <v>144</v>
      </c>
      <c r="F132">
        <v>71.03</v>
      </c>
      <c r="G132">
        <f>Table001__Page_15[[#This Row],[FİYAT]]*Table001__Page_15[[#This Row],[MİKTAR]]</f>
        <v>568.24</v>
      </c>
      <c r="H132">
        <v>2</v>
      </c>
      <c r="I132">
        <f>Table001__Page_15[[#This Row],[FİYAT]]*Table001__Page_15[[#This Row],[Sütun2]]</f>
        <v>142.06</v>
      </c>
      <c r="J132">
        <v>140</v>
      </c>
      <c r="K132" t="s">
        <v>176</v>
      </c>
      <c r="L132" s="50">
        <f>Table001__Page_15[[#This Row],[SATIŞ FİYATI]]-Table001__Page_15[[#This Row],[YUVARLAMA]]</f>
        <v>2.0600000000000023</v>
      </c>
      <c r="M132">
        <v>140</v>
      </c>
      <c r="N132">
        <f>M132-Table001__Page_15[[#This Row],[YUVARLAMA]]</f>
        <v>0</v>
      </c>
    </row>
    <row r="133" spans="1:14" x14ac:dyDescent="0.25">
      <c r="A133" t="s">
        <v>177</v>
      </c>
      <c r="C133" t="s">
        <v>1326</v>
      </c>
      <c r="D133">
        <v>6</v>
      </c>
      <c r="E133" t="s">
        <v>144</v>
      </c>
      <c r="F133">
        <f>267/3</f>
        <v>89</v>
      </c>
      <c r="G133">
        <f>Table001__Page_15[[#This Row],[FİYAT]]*Table001__Page_15[[#This Row],[MİKTAR]]</f>
        <v>534</v>
      </c>
      <c r="H133">
        <v>1.5</v>
      </c>
      <c r="I133">
        <f>Table001__Page_15[[#This Row],[FİYAT]]*Table001__Page_15[[#This Row],[Sütun2]]</f>
        <v>133.5</v>
      </c>
      <c r="J133">
        <v>135</v>
      </c>
      <c r="K133" t="s">
        <v>176</v>
      </c>
      <c r="L133" s="50">
        <f>Table001__Page_15[[#This Row],[SATIŞ FİYATI]]-Table001__Page_15[[#This Row],[YUVARLAMA]]</f>
        <v>-1.5</v>
      </c>
      <c r="M133">
        <v>135</v>
      </c>
      <c r="N133">
        <f>M133-Table001__Page_15[[#This Row],[YUVARLAMA]]</f>
        <v>0</v>
      </c>
    </row>
    <row r="134" spans="1:14" x14ac:dyDescent="0.25">
      <c r="A134" t="s">
        <v>177</v>
      </c>
      <c r="C134" t="s">
        <v>1327</v>
      </c>
      <c r="D134">
        <v>3</v>
      </c>
      <c r="E134" t="s">
        <v>144</v>
      </c>
      <c r="F134">
        <v>89</v>
      </c>
      <c r="G134">
        <f>Table001__Page_15[[#This Row],[FİYAT]]*Table001__Page_15[[#This Row],[MİKTAR]]</f>
        <v>267</v>
      </c>
      <c r="H134">
        <v>1.5</v>
      </c>
      <c r="I134">
        <f>Table001__Page_15[[#This Row],[FİYAT]]*Table001__Page_15[[#This Row],[Sütun2]]</f>
        <v>133.5</v>
      </c>
      <c r="J134">
        <v>135</v>
      </c>
      <c r="K134" t="s">
        <v>176</v>
      </c>
      <c r="L134" s="50">
        <f>Table001__Page_15[[#This Row],[SATIŞ FİYATI]]-Table001__Page_15[[#This Row],[YUVARLAMA]]</f>
        <v>-1.5</v>
      </c>
      <c r="M134">
        <v>135</v>
      </c>
      <c r="N134">
        <f>M134-Table001__Page_15[[#This Row],[YUVARLAMA]]</f>
        <v>0</v>
      </c>
    </row>
    <row r="135" spans="1:14" x14ac:dyDescent="0.25">
      <c r="A135" t="s">
        <v>551</v>
      </c>
      <c r="C135" t="s">
        <v>1330</v>
      </c>
      <c r="D135">
        <v>4</v>
      </c>
      <c r="E135" t="s">
        <v>144</v>
      </c>
      <c r="F135">
        <f>666.8/4</f>
        <v>166.7</v>
      </c>
      <c r="G135">
        <f>Table001__Page_15[[#This Row],[FİYAT]]*Table001__Page_15[[#This Row],[MİKTAR]]</f>
        <v>666.8</v>
      </c>
      <c r="H135">
        <v>1.45</v>
      </c>
      <c r="I135">
        <f>Table001__Page_15[[#This Row],[FİYAT]]*Table001__Page_15[[#This Row],[Sütun2]]</f>
        <v>241.71499999999997</v>
      </c>
      <c r="J135">
        <v>260</v>
      </c>
      <c r="K135" t="s">
        <v>176</v>
      </c>
      <c r="L135" s="50">
        <f>Table001__Page_15[[#This Row],[SATIŞ FİYATI]]-Table001__Page_15[[#This Row],[YUVARLAMA]]</f>
        <v>-18.285000000000025</v>
      </c>
      <c r="M135">
        <v>260</v>
      </c>
      <c r="N135">
        <f>M135-Table001__Page_15[[#This Row],[YUVARLAMA]]</f>
        <v>0</v>
      </c>
    </row>
    <row r="136" spans="1:14" x14ac:dyDescent="0.25">
      <c r="A136" t="s">
        <v>541</v>
      </c>
      <c r="C136" t="s">
        <v>1634</v>
      </c>
      <c r="D136">
        <v>20.75</v>
      </c>
      <c r="E136" t="s">
        <v>127</v>
      </c>
      <c r="F136">
        <v>209.64</v>
      </c>
      <c r="G136">
        <f>Table001__Page_15[[#This Row],[FİYAT]]*Table001__Page_15[[#This Row],[MİKTAR]]</f>
        <v>4350.03</v>
      </c>
      <c r="H136">
        <v>1.45</v>
      </c>
      <c r="I136">
        <f>Table001__Page_15[[#This Row],[FİYAT]]*Table001__Page_15[[#This Row],[Sütun2]]</f>
        <v>303.97799999999995</v>
      </c>
      <c r="J136">
        <v>350</v>
      </c>
      <c r="K136" t="s">
        <v>176</v>
      </c>
      <c r="L136" s="50">
        <f>Table001__Page_15[[#This Row],[SATIŞ FİYATI]]-Table001__Page_15[[#This Row],[YUVARLAMA]]</f>
        <v>-46.022000000000048</v>
      </c>
      <c r="M136">
        <v>350</v>
      </c>
      <c r="N136">
        <f>M136-Table001__Page_15[[#This Row],[YUVARLAMA]]</f>
        <v>0</v>
      </c>
    </row>
    <row r="137" spans="1:14" x14ac:dyDescent="0.25">
      <c r="A137" t="s">
        <v>177</v>
      </c>
      <c r="C137" t="s">
        <v>2440</v>
      </c>
      <c r="D137">
        <v>8</v>
      </c>
      <c r="E137" t="s">
        <v>144</v>
      </c>
      <c r="I137">
        <f>Table001__Page_15[[#This Row],[FİYAT]]*Table001__Page_15[[#This Row],[Sütun2]]</f>
        <v>0</v>
      </c>
      <c r="J137">
        <v>180</v>
      </c>
      <c r="K137" t="s">
        <v>176</v>
      </c>
      <c r="L137" s="50">
        <f>Table001__Page_15[[#This Row],[SATIŞ FİYATI]]-Table001__Page_15[[#This Row],[YUVARLAMA]]</f>
        <v>-180</v>
      </c>
      <c r="M137">
        <v>180</v>
      </c>
      <c r="N137">
        <f>M137-Table001__Page_15[[#This Row],[YUVARLAMA]]</f>
        <v>0</v>
      </c>
    </row>
    <row r="138" spans="1:14" x14ac:dyDescent="0.25">
      <c r="A138" t="s">
        <v>484</v>
      </c>
      <c r="C138" t="s">
        <v>2562</v>
      </c>
      <c r="F138">
        <v>50</v>
      </c>
      <c r="H138">
        <v>1.5</v>
      </c>
      <c r="I138">
        <f>Table001__Page_15[[#This Row],[FİYAT]]*Table001__Page_15[[#This Row],[Sütun2]]</f>
        <v>75</v>
      </c>
      <c r="J138">
        <v>90</v>
      </c>
      <c r="K138" t="s">
        <v>2566</v>
      </c>
      <c r="L138" s="50">
        <f>Table001__Page_15[[#This Row],[SATIŞ FİYATI]]-Table001__Page_15[[#This Row],[YUVARLAMA]]</f>
        <v>-15</v>
      </c>
      <c r="M138">
        <v>90</v>
      </c>
      <c r="N138">
        <f>M138-Table001__Page_15[[#This Row],[YUVARLAMA]]</f>
        <v>0</v>
      </c>
    </row>
    <row r="139" spans="1:14" x14ac:dyDescent="0.25">
      <c r="A139" t="s">
        <v>484</v>
      </c>
      <c r="C139" t="s">
        <v>2563</v>
      </c>
      <c r="F139">
        <v>50</v>
      </c>
      <c r="H139">
        <v>1.5</v>
      </c>
      <c r="I139">
        <f>Table001__Page_15[[#This Row],[FİYAT]]*Table001__Page_15[[#This Row],[Sütun2]]</f>
        <v>75</v>
      </c>
      <c r="J139">
        <v>90</v>
      </c>
      <c r="K139" t="s">
        <v>2566</v>
      </c>
      <c r="L139" s="50">
        <f>Table001__Page_15[[#This Row],[SATIŞ FİYATI]]-Table001__Page_15[[#This Row],[YUVARLAMA]]</f>
        <v>-15</v>
      </c>
      <c r="M139">
        <v>90</v>
      </c>
      <c r="N139">
        <f>M139-Table001__Page_15[[#This Row],[YUVARLAMA]]</f>
        <v>0</v>
      </c>
    </row>
    <row r="140" spans="1:14" x14ac:dyDescent="0.25">
      <c r="A140" t="s">
        <v>484</v>
      </c>
      <c r="C140" t="s">
        <v>2565</v>
      </c>
      <c r="F140">
        <v>430</v>
      </c>
      <c r="H140">
        <v>1.5</v>
      </c>
      <c r="I140">
        <v>650</v>
      </c>
      <c r="J140">
        <v>650</v>
      </c>
      <c r="K140" t="s">
        <v>2566</v>
      </c>
      <c r="L140" s="50">
        <f>Table001__Page_15[[#This Row],[SATIŞ FİYATI]]-Table001__Page_15[[#This Row],[YUVARLAMA]]</f>
        <v>0</v>
      </c>
      <c r="M140">
        <v>650</v>
      </c>
      <c r="N140">
        <f>M140-Table001__Page_15[[#This Row],[YUVARLAMA]]</f>
        <v>0</v>
      </c>
    </row>
    <row r="141" spans="1:14" x14ac:dyDescent="0.25">
      <c r="A141" t="s">
        <v>1691</v>
      </c>
      <c r="C141" t="s">
        <v>2671</v>
      </c>
      <c r="F141">
        <v>222.06</v>
      </c>
      <c r="H141">
        <v>1.5</v>
      </c>
      <c r="I141">
        <f>Table001__Page_15[[#This Row],[FİYAT]]*Table001__Page_15[[#This Row],[Sütun2]]</f>
        <v>333.09000000000003</v>
      </c>
      <c r="J141" s="27">
        <v>360</v>
      </c>
      <c r="K141" t="s">
        <v>176</v>
      </c>
      <c r="L141" s="50">
        <f>Table001__Page_15[[#This Row],[SATIŞ FİYATI]]-Table001__Page_15[[#This Row],[YUVARLAMA]]</f>
        <v>-26.909999999999968</v>
      </c>
      <c r="M141" s="27">
        <v>360</v>
      </c>
      <c r="N141">
        <f>M141-Table001__Page_15[[#This Row],[YUVARLAMA]]</f>
        <v>0</v>
      </c>
    </row>
    <row r="142" spans="1:14" x14ac:dyDescent="0.25">
      <c r="A142" t="s">
        <v>1691</v>
      </c>
      <c r="C142" t="s">
        <v>2682</v>
      </c>
      <c r="F142">
        <v>303.33999999999997</v>
      </c>
      <c r="H142">
        <v>1.7</v>
      </c>
      <c r="I142">
        <f>Table001__Page_15[[#This Row],[FİYAT]]*Table001__Page_15[[#This Row],[Sütun2]]</f>
        <v>515.678</v>
      </c>
      <c r="J142">
        <v>550</v>
      </c>
      <c r="K142" t="s">
        <v>176</v>
      </c>
      <c r="L142" s="50">
        <f>Table001__Page_15[[#This Row],[SATIŞ FİYATI]]-Table001__Page_15[[#This Row],[YUVARLAMA]]</f>
        <v>-34.322000000000003</v>
      </c>
      <c r="M142">
        <v>550</v>
      </c>
      <c r="N142">
        <f>M142-Table001__Page_15[[#This Row],[YUVARLAMA]]</f>
        <v>0</v>
      </c>
    </row>
    <row r="143" spans="1:14" x14ac:dyDescent="0.25">
      <c r="A143" t="s">
        <v>540</v>
      </c>
      <c r="B143" t="s">
        <v>538</v>
      </c>
      <c r="C143" t="s">
        <v>187</v>
      </c>
      <c r="D143">
        <v>10</v>
      </c>
      <c r="E143" t="s">
        <v>144</v>
      </c>
      <c r="F143">
        <v>20</v>
      </c>
      <c r="G143">
        <f>Table001__Page_15[[#This Row],[FİYAT]]*Table001__Page_15[[#This Row],[MİKTAR]]</f>
        <v>200</v>
      </c>
      <c r="H143">
        <v>3</v>
      </c>
      <c r="I143">
        <f>Table001__Page_15[[#This Row],[FİYAT]]*Table001__Page_15[[#This Row],[Sütun2]]</f>
        <v>60</v>
      </c>
      <c r="J143">
        <v>60</v>
      </c>
      <c r="K143" t="s">
        <v>188</v>
      </c>
      <c r="L143" s="50">
        <f>Table001__Page_15[[#This Row],[SATIŞ FİYATI]]-Table001__Page_15[[#This Row],[YUVARLAMA]]</f>
        <v>0</v>
      </c>
      <c r="M143">
        <v>60</v>
      </c>
      <c r="N143">
        <f>M143-Table001__Page_15[[#This Row],[YUVARLAMA]]</f>
        <v>0</v>
      </c>
    </row>
    <row r="144" spans="1:14" x14ac:dyDescent="0.25">
      <c r="A144" t="s">
        <v>540</v>
      </c>
      <c r="B144" t="s">
        <v>538</v>
      </c>
      <c r="C144" t="s">
        <v>189</v>
      </c>
      <c r="D144">
        <v>1</v>
      </c>
      <c r="E144" t="s">
        <v>127</v>
      </c>
      <c r="F144">
        <v>245</v>
      </c>
      <c r="G144">
        <f>Table001__Page_15[[#This Row],[FİYAT]]*Table001__Page_15[[#This Row],[MİKTAR]]</f>
        <v>245</v>
      </c>
      <c r="H144">
        <v>3.02</v>
      </c>
      <c r="I144">
        <f>Table001__Page_15[[#This Row],[FİYAT]]*Table001__Page_15[[#This Row],[Sütun2]]</f>
        <v>739.9</v>
      </c>
      <c r="J144">
        <v>740</v>
      </c>
      <c r="K144" t="s">
        <v>188</v>
      </c>
      <c r="L144" s="50">
        <f>Table001__Page_15[[#This Row],[SATIŞ FİYATI]]-Table001__Page_15[[#This Row],[YUVARLAMA]]</f>
        <v>-0.10000000000002274</v>
      </c>
      <c r="M144">
        <v>740</v>
      </c>
      <c r="N144">
        <f>M144-Table001__Page_15[[#This Row],[YUVARLAMA]]</f>
        <v>0</v>
      </c>
    </row>
    <row r="145" spans="1:14" x14ac:dyDescent="0.25">
      <c r="A145" t="s">
        <v>540</v>
      </c>
      <c r="B145" t="s">
        <v>538</v>
      </c>
      <c r="C145" t="s">
        <v>190</v>
      </c>
      <c r="D145">
        <v>1</v>
      </c>
      <c r="E145" t="s">
        <v>127</v>
      </c>
      <c r="F145">
        <v>590</v>
      </c>
      <c r="G145">
        <f>Table001__Page_15[[#This Row],[FİYAT]]*Table001__Page_15[[#This Row],[MİKTAR]]</f>
        <v>590</v>
      </c>
      <c r="H145">
        <v>2.72</v>
      </c>
      <c r="I145">
        <f>Table001__Page_15[[#This Row],[FİYAT]]*Table001__Page_15[[#This Row],[Sütun2]]</f>
        <v>1604.8000000000002</v>
      </c>
      <c r="J145">
        <v>1600</v>
      </c>
      <c r="K145" t="s">
        <v>188</v>
      </c>
      <c r="L145" s="50">
        <f>Table001__Page_15[[#This Row],[SATIŞ FİYATI]]-Table001__Page_15[[#This Row],[YUVARLAMA]]</f>
        <v>4.8000000000001819</v>
      </c>
      <c r="M145">
        <v>1600</v>
      </c>
      <c r="N145">
        <f>M145-Table001__Page_15[[#This Row],[YUVARLAMA]]</f>
        <v>0</v>
      </c>
    </row>
    <row r="146" spans="1:14" x14ac:dyDescent="0.25">
      <c r="A146" t="s">
        <v>540</v>
      </c>
      <c r="B146" t="s">
        <v>538</v>
      </c>
      <c r="C146" t="s">
        <v>191</v>
      </c>
      <c r="D146">
        <v>1</v>
      </c>
      <c r="E146" t="s">
        <v>127</v>
      </c>
      <c r="F146">
        <v>95</v>
      </c>
      <c r="G146">
        <f>Table001__Page_15[[#This Row],[FİYAT]]*Table001__Page_15[[#This Row],[MİKTAR]]</f>
        <v>95</v>
      </c>
      <c r="H146">
        <v>8</v>
      </c>
      <c r="I146">
        <f>Table001__Page_15[[#This Row],[FİYAT]]*Table001__Page_15[[#This Row],[Sütun2]]</f>
        <v>760</v>
      </c>
      <c r="J146">
        <v>750</v>
      </c>
      <c r="K146" t="s">
        <v>188</v>
      </c>
      <c r="L146" s="50">
        <f>Table001__Page_15[[#This Row],[SATIŞ FİYATI]]-Table001__Page_15[[#This Row],[YUVARLAMA]]</f>
        <v>10</v>
      </c>
      <c r="M146">
        <v>750</v>
      </c>
      <c r="N146">
        <f>M146-Table001__Page_15[[#This Row],[YUVARLAMA]]</f>
        <v>0</v>
      </c>
    </row>
    <row r="147" spans="1:14" x14ac:dyDescent="0.25">
      <c r="A147" t="s">
        <v>540</v>
      </c>
      <c r="B147" t="s">
        <v>538</v>
      </c>
      <c r="C147" t="s">
        <v>192</v>
      </c>
      <c r="D147">
        <v>1</v>
      </c>
      <c r="E147" t="s">
        <v>127</v>
      </c>
      <c r="F147">
        <v>85</v>
      </c>
      <c r="G147">
        <f>Table001__Page_15[[#This Row],[FİYAT]]*Table001__Page_15[[#This Row],[MİKTAR]]</f>
        <v>85</v>
      </c>
      <c r="H147">
        <v>5</v>
      </c>
      <c r="I147">
        <f>Table001__Page_15[[#This Row],[FİYAT]]*Table001__Page_15[[#This Row],[Sütun2]]</f>
        <v>425</v>
      </c>
      <c r="J147">
        <v>417</v>
      </c>
      <c r="K147" t="s">
        <v>188</v>
      </c>
      <c r="L147" s="50">
        <f>Table001__Page_15[[#This Row],[SATIŞ FİYATI]]-Table001__Page_15[[#This Row],[YUVARLAMA]]</f>
        <v>8</v>
      </c>
      <c r="M147">
        <v>417</v>
      </c>
      <c r="N147">
        <f>M147-Table001__Page_15[[#This Row],[YUVARLAMA]]</f>
        <v>0</v>
      </c>
    </row>
    <row r="148" spans="1:14" x14ac:dyDescent="0.25">
      <c r="A148" t="s">
        <v>540</v>
      </c>
      <c r="B148" t="s">
        <v>538</v>
      </c>
      <c r="C148" t="s">
        <v>193</v>
      </c>
      <c r="D148">
        <v>1</v>
      </c>
      <c r="E148" t="s">
        <v>127</v>
      </c>
      <c r="F148">
        <v>200</v>
      </c>
      <c r="G148">
        <f>Table001__Page_15[[#This Row],[FİYAT]]*Table001__Page_15[[#This Row],[MİKTAR]]</f>
        <v>200</v>
      </c>
      <c r="H148">
        <v>4.5</v>
      </c>
      <c r="I148">
        <f>Table001__Page_15[[#This Row],[FİYAT]]*Table001__Page_15[[#This Row],[Sütun2]]</f>
        <v>900</v>
      </c>
      <c r="J148">
        <v>900</v>
      </c>
      <c r="K148" t="s">
        <v>188</v>
      </c>
      <c r="L148" s="50">
        <f>Table001__Page_15[[#This Row],[SATIŞ FİYATI]]-Table001__Page_15[[#This Row],[YUVARLAMA]]</f>
        <v>0</v>
      </c>
      <c r="M148">
        <v>900</v>
      </c>
      <c r="N148">
        <f>M148-Table001__Page_15[[#This Row],[YUVARLAMA]]</f>
        <v>0</v>
      </c>
    </row>
    <row r="149" spans="1:14" x14ac:dyDescent="0.25">
      <c r="A149" t="s">
        <v>484</v>
      </c>
      <c r="B149" t="s">
        <v>538</v>
      </c>
      <c r="C149" t="s">
        <v>194</v>
      </c>
      <c r="D149">
        <v>5</v>
      </c>
      <c r="E149" t="s">
        <v>127</v>
      </c>
      <c r="F149">
        <v>570</v>
      </c>
      <c r="G149">
        <f>Table001__Page_15[[#This Row],[FİYAT]]*Table001__Page_15[[#This Row],[MİKTAR]]</f>
        <v>2850</v>
      </c>
      <c r="H149">
        <v>1.3</v>
      </c>
      <c r="I149">
        <f>Table001__Page_15[[#This Row],[FİYAT]]*Table001__Page_15[[#This Row],[Sütun2]]</f>
        <v>741</v>
      </c>
      <c r="J149">
        <v>750</v>
      </c>
      <c r="K149" t="s">
        <v>188</v>
      </c>
      <c r="L149" s="50">
        <f>Table001__Page_15[[#This Row],[SATIŞ FİYATI]]-Table001__Page_15[[#This Row],[YUVARLAMA]]</f>
        <v>-9</v>
      </c>
      <c r="M149">
        <v>750</v>
      </c>
      <c r="N149">
        <f>M149-Table001__Page_15[[#This Row],[YUVARLAMA]]</f>
        <v>0</v>
      </c>
    </row>
    <row r="150" spans="1:14" x14ac:dyDescent="0.25">
      <c r="A150" t="s">
        <v>540</v>
      </c>
      <c r="B150" t="s">
        <v>538</v>
      </c>
      <c r="C150" t="s">
        <v>195</v>
      </c>
      <c r="D150">
        <v>1</v>
      </c>
      <c r="E150" t="s">
        <v>127</v>
      </c>
      <c r="F150">
        <v>295</v>
      </c>
      <c r="G150">
        <f>Table001__Page_15[[#This Row],[FİYAT]]*Table001__Page_15[[#This Row],[MİKTAR]]</f>
        <v>295</v>
      </c>
      <c r="H150">
        <v>3.4</v>
      </c>
      <c r="I150">
        <f>Table001__Page_15[[#This Row],[FİYAT]]*Table001__Page_15[[#This Row],[Sütun2]]</f>
        <v>1003</v>
      </c>
      <c r="J150">
        <v>1000</v>
      </c>
      <c r="K150" t="s">
        <v>188</v>
      </c>
      <c r="L150" s="50">
        <f>Table001__Page_15[[#This Row],[SATIŞ FİYATI]]-Table001__Page_15[[#This Row],[YUVARLAMA]]</f>
        <v>3</v>
      </c>
      <c r="M150">
        <v>1000</v>
      </c>
      <c r="N150">
        <f>M150-Table001__Page_15[[#This Row],[YUVARLAMA]]</f>
        <v>0</v>
      </c>
    </row>
    <row r="151" spans="1:14" x14ac:dyDescent="0.25">
      <c r="A151" t="s">
        <v>484</v>
      </c>
      <c r="B151" t="s">
        <v>538</v>
      </c>
      <c r="C151" t="s">
        <v>196</v>
      </c>
      <c r="D151">
        <v>5</v>
      </c>
      <c r="E151" t="s">
        <v>127</v>
      </c>
      <c r="F151">
        <v>130</v>
      </c>
      <c r="G151">
        <f>Table001__Page_15[[#This Row],[MİKTAR]]*Table001__Page_15[[#This Row],[FİYAT]]</f>
        <v>650</v>
      </c>
      <c r="H151">
        <v>1.8</v>
      </c>
      <c r="I151">
        <f>Table001__Page_15[[#This Row],[FİYAT]]*Table001__Page_15[[#This Row],[Sütun2]]</f>
        <v>234</v>
      </c>
      <c r="J151">
        <v>230</v>
      </c>
      <c r="K151" t="s">
        <v>188</v>
      </c>
      <c r="L151" s="50">
        <f>Table001__Page_15[[#This Row],[SATIŞ FİYATI]]-Table001__Page_15[[#This Row],[YUVARLAMA]]</f>
        <v>4</v>
      </c>
      <c r="M151">
        <v>230</v>
      </c>
      <c r="N151">
        <f>M151-Table001__Page_15[[#This Row],[YUVARLAMA]]</f>
        <v>0</v>
      </c>
    </row>
    <row r="152" spans="1:14" x14ac:dyDescent="0.25">
      <c r="A152" t="s">
        <v>484</v>
      </c>
      <c r="B152" t="s">
        <v>538</v>
      </c>
      <c r="C152" t="s">
        <v>197</v>
      </c>
      <c r="D152">
        <v>5</v>
      </c>
      <c r="E152" t="s">
        <v>127</v>
      </c>
      <c r="F152">
        <v>140</v>
      </c>
      <c r="G152">
        <f>Table001__Page_15[[#This Row],[MİKTAR]]*Table001__Page_15[[#This Row],[FİYAT]]</f>
        <v>700</v>
      </c>
      <c r="H152">
        <v>1.65</v>
      </c>
      <c r="I152">
        <f>Table001__Page_15[[#This Row],[FİYAT]]*Table001__Page_15[[#This Row],[Sütun2]]</f>
        <v>231</v>
      </c>
      <c r="J152">
        <v>230</v>
      </c>
      <c r="K152" t="s">
        <v>188</v>
      </c>
      <c r="L152" s="50">
        <f>Table001__Page_15[[#This Row],[SATIŞ FİYATI]]-Table001__Page_15[[#This Row],[YUVARLAMA]]</f>
        <v>1</v>
      </c>
      <c r="M152">
        <v>230</v>
      </c>
      <c r="N152">
        <f>M152-Table001__Page_15[[#This Row],[YUVARLAMA]]</f>
        <v>0</v>
      </c>
    </row>
    <row r="153" spans="1:14" x14ac:dyDescent="0.25">
      <c r="A153" t="s">
        <v>540</v>
      </c>
      <c r="B153" t="s">
        <v>538</v>
      </c>
      <c r="C153" t="s">
        <v>198</v>
      </c>
      <c r="D153">
        <v>1</v>
      </c>
      <c r="E153" t="s">
        <v>127</v>
      </c>
      <c r="F153">
        <v>200</v>
      </c>
      <c r="G153">
        <f>Table001__Page_15[[#This Row],[FİYAT]]*Table001__Page_15[[#This Row],[MİKTAR]]</f>
        <v>200</v>
      </c>
      <c r="H153">
        <v>7</v>
      </c>
      <c r="I153">
        <f>Table001__Page_15[[#This Row],[FİYAT]]*Table001__Page_15[[#This Row],[Sütun2]]</f>
        <v>1400</v>
      </c>
      <c r="J153">
        <v>1400</v>
      </c>
      <c r="K153" t="s">
        <v>188</v>
      </c>
      <c r="L153" s="50">
        <f>Table001__Page_15[[#This Row],[SATIŞ FİYATI]]-Table001__Page_15[[#This Row],[YUVARLAMA]]</f>
        <v>0</v>
      </c>
      <c r="M153">
        <v>1400</v>
      </c>
      <c r="N153">
        <f>M153-Table001__Page_15[[#This Row],[YUVARLAMA]]</f>
        <v>0</v>
      </c>
    </row>
    <row r="154" spans="1:14" x14ac:dyDescent="0.25">
      <c r="A154" t="s">
        <v>484</v>
      </c>
      <c r="B154" t="s">
        <v>538</v>
      </c>
      <c r="C154" t="s">
        <v>199</v>
      </c>
      <c r="D154">
        <v>5</v>
      </c>
      <c r="E154" t="s">
        <v>127</v>
      </c>
      <c r="F154">
        <v>850</v>
      </c>
      <c r="G154">
        <f>Table001__Page_15[[#This Row],[FİYAT]]*Table001__Page_15[[#This Row],[MİKTAR]]</f>
        <v>4250</v>
      </c>
      <c r="H154">
        <v>1.1000000000000001</v>
      </c>
      <c r="I154">
        <f>Table001__Page_15[[#This Row],[FİYAT]]*Table001__Page_15[[#This Row],[Sütun2]]</f>
        <v>935.00000000000011</v>
      </c>
      <c r="J154">
        <v>750</v>
      </c>
      <c r="K154" t="s">
        <v>188</v>
      </c>
      <c r="L154" s="50">
        <f>Table001__Page_15[[#This Row],[SATIŞ FİYATI]]-Table001__Page_15[[#This Row],[YUVARLAMA]]</f>
        <v>185.00000000000011</v>
      </c>
      <c r="M154">
        <v>750</v>
      </c>
      <c r="N154">
        <f>M154-Table001__Page_15[[#This Row],[YUVARLAMA]]</f>
        <v>0</v>
      </c>
    </row>
    <row r="155" spans="1:14" x14ac:dyDescent="0.25">
      <c r="A155" t="s">
        <v>541</v>
      </c>
      <c r="B155" t="s">
        <v>538</v>
      </c>
      <c r="C155" t="s">
        <v>200</v>
      </c>
      <c r="D155">
        <v>5</v>
      </c>
      <c r="E155" t="s">
        <v>127</v>
      </c>
      <c r="F155">
        <v>195</v>
      </c>
      <c r="G155">
        <f>Table001__Page_15[[#This Row],[FİYAT]]*Table001__Page_15[[#This Row],[MİKTAR]]</f>
        <v>975</v>
      </c>
      <c r="H155">
        <v>1.85</v>
      </c>
      <c r="I155">
        <f>Table001__Page_15[[#This Row],[FİYAT]]*Table001__Page_15[[#This Row],[Sütun2]]</f>
        <v>360.75</v>
      </c>
      <c r="J155">
        <v>90</v>
      </c>
      <c r="K155" t="s">
        <v>188</v>
      </c>
      <c r="L155" s="50">
        <f>Table001__Page_15[[#This Row],[SATIŞ FİYATI]]-Table001__Page_15[[#This Row],[YUVARLAMA]]</f>
        <v>270.75</v>
      </c>
      <c r="M155">
        <v>90</v>
      </c>
      <c r="N155">
        <f>M155-Table001__Page_15[[#This Row],[YUVARLAMA]]</f>
        <v>0</v>
      </c>
    </row>
    <row r="156" spans="1:14" x14ac:dyDescent="0.25">
      <c r="A156" t="s">
        <v>484</v>
      </c>
      <c r="B156" t="s">
        <v>538</v>
      </c>
      <c r="C156" t="s">
        <v>201</v>
      </c>
      <c r="D156">
        <v>5</v>
      </c>
      <c r="E156" t="s">
        <v>127</v>
      </c>
      <c r="F156">
        <v>620</v>
      </c>
      <c r="G156">
        <f>Table001__Page_15[[#This Row],[FİYAT]]*Table001__Page_15[[#This Row],[MİKTAR]]</f>
        <v>3100</v>
      </c>
      <c r="H156">
        <v>1.3</v>
      </c>
      <c r="I156">
        <f>Table001__Page_15[[#This Row],[FİYAT]]*Table001__Page_15[[#This Row],[Sütun2]]</f>
        <v>806</v>
      </c>
      <c r="J156">
        <v>800</v>
      </c>
      <c r="K156" t="s">
        <v>188</v>
      </c>
      <c r="L156" s="50">
        <f>Table001__Page_15[[#This Row],[SATIŞ FİYATI]]-Table001__Page_15[[#This Row],[YUVARLAMA]]</f>
        <v>6</v>
      </c>
      <c r="M156">
        <v>800</v>
      </c>
      <c r="N156">
        <f>M156-Table001__Page_15[[#This Row],[YUVARLAMA]]</f>
        <v>0</v>
      </c>
    </row>
    <row r="157" spans="1:14" x14ac:dyDescent="0.25">
      <c r="A157" t="s">
        <v>135</v>
      </c>
      <c r="B157" t="s">
        <v>538</v>
      </c>
      <c r="C157" t="s">
        <v>202</v>
      </c>
      <c r="D157">
        <v>10</v>
      </c>
      <c r="E157" t="s">
        <v>127</v>
      </c>
      <c r="F157">
        <v>15</v>
      </c>
      <c r="G157">
        <f>Table001__Page_15[[#This Row],[FİYAT]]*Table001__Page_15[[#This Row],[MİKTAR]]</f>
        <v>150</v>
      </c>
      <c r="H157">
        <v>5.4</v>
      </c>
      <c r="I157">
        <f>Table001__Page_15[[#This Row],[FİYAT]]*Table001__Page_15[[#This Row],[Sütun2]]</f>
        <v>81</v>
      </c>
      <c r="J157">
        <v>40</v>
      </c>
      <c r="K157" t="s">
        <v>188</v>
      </c>
      <c r="L157" s="50">
        <f>Table001__Page_15[[#This Row],[SATIŞ FİYATI]]-Table001__Page_15[[#This Row],[YUVARLAMA]]</f>
        <v>41</v>
      </c>
      <c r="M157">
        <v>40</v>
      </c>
      <c r="N157">
        <f>M157-Table001__Page_15[[#This Row],[YUVARLAMA]]</f>
        <v>0</v>
      </c>
    </row>
    <row r="158" spans="1:14" x14ac:dyDescent="0.25">
      <c r="A158" t="s">
        <v>135</v>
      </c>
      <c r="B158" t="s">
        <v>538</v>
      </c>
      <c r="C158" t="s">
        <v>203</v>
      </c>
      <c r="D158">
        <v>10</v>
      </c>
      <c r="E158" t="s">
        <v>127</v>
      </c>
      <c r="F158">
        <v>15</v>
      </c>
      <c r="G158">
        <f>Table001__Page_15[[#This Row],[FİYAT]]*Table001__Page_15[[#This Row],[MİKTAR]]</f>
        <v>150</v>
      </c>
      <c r="H158">
        <v>5.4</v>
      </c>
      <c r="I158">
        <f>Table001__Page_15[[#This Row],[FİYAT]]*Table001__Page_15[[#This Row],[Sütun2]]</f>
        <v>81</v>
      </c>
      <c r="J158">
        <v>40</v>
      </c>
      <c r="K158" t="s">
        <v>188</v>
      </c>
      <c r="L158" s="50">
        <f>Table001__Page_15[[#This Row],[SATIŞ FİYATI]]-Table001__Page_15[[#This Row],[YUVARLAMA]]</f>
        <v>41</v>
      </c>
      <c r="M158">
        <v>40</v>
      </c>
      <c r="N158">
        <f>M158-Table001__Page_15[[#This Row],[YUVARLAMA]]</f>
        <v>0</v>
      </c>
    </row>
    <row r="159" spans="1:14" x14ac:dyDescent="0.25">
      <c r="A159" t="s">
        <v>540</v>
      </c>
      <c r="B159" t="s">
        <v>538</v>
      </c>
      <c r="C159" t="s">
        <v>204</v>
      </c>
      <c r="D159">
        <v>1</v>
      </c>
      <c r="E159" t="s">
        <v>127</v>
      </c>
      <c r="F159">
        <v>550</v>
      </c>
      <c r="G159">
        <f>Table001__Page_15[[#This Row],[FİYAT]]*Table001__Page_15[[#This Row],[MİKTAR]]</f>
        <v>550</v>
      </c>
      <c r="H159">
        <v>2.5</v>
      </c>
      <c r="I159">
        <f>Table001__Page_15[[#This Row],[FİYAT]]*Table001__Page_15[[#This Row],[Sütun2]]</f>
        <v>1375</v>
      </c>
      <c r="J159">
        <v>1400</v>
      </c>
      <c r="K159" t="s">
        <v>188</v>
      </c>
      <c r="L159" s="50">
        <f>Table001__Page_15[[#This Row],[SATIŞ FİYATI]]-Table001__Page_15[[#This Row],[YUVARLAMA]]</f>
        <v>-25</v>
      </c>
      <c r="M159">
        <v>1400</v>
      </c>
      <c r="N159">
        <f>M159-Table001__Page_15[[#This Row],[YUVARLAMA]]</f>
        <v>0</v>
      </c>
    </row>
    <row r="160" spans="1:14" x14ac:dyDescent="0.25">
      <c r="A160" t="s">
        <v>541</v>
      </c>
      <c r="B160" t="s">
        <v>538</v>
      </c>
      <c r="C160" t="s">
        <v>205</v>
      </c>
      <c r="D160">
        <v>5</v>
      </c>
      <c r="E160" t="s">
        <v>144</v>
      </c>
      <c r="F160">
        <v>205</v>
      </c>
      <c r="G160">
        <f>Table001__Page_15[[#This Row],[FİYAT]]*Table001__Page_15[[#This Row],[MİKTAR]]</f>
        <v>1025</v>
      </c>
      <c r="H160">
        <v>1.4</v>
      </c>
      <c r="I160">
        <f>Table001__Page_15[[#This Row],[FİYAT]]*Table001__Page_15[[#This Row],[Sütun2]]</f>
        <v>287</v>
      </c>
      <c r="J160">
        <v>290</v>
      </c>
      <c r="K160" t="s">
        <v>188</v>
      </c>
      <c r="L160" s="50">
        <f>Table001__Page_15[[#This Row],[SATIŞ FİYATI]]-Table001__Page_15[[#This Row],[YUVARLAMA]]</f>
        <v>-3</v>
      </c>
      <c r="M160">
        <v>290</v>
      </c>
      <c r="N160">
        <f>M160-Table001__Page_15[[#This Row],[YUVARLAMA]]</f>
        <v>0</v>
      </c>
    </row>
    <row r="161" spans="1:14" x14ac:dyDescent="0.25">
      <c r="A161" t="s">
        <v>541</v>
      </c>
      <c r="B161" t="s">
        <v>538</v>
      </c>
      <c r="C161" t="s">
        <v>206</v>
      </c>
      <c r="D161">
        <v>5</v>
      </c>
      <c r="E161" t="s">
        <v>144</v>
      </c>
      <c r="F161">
        <v>185</v>
      </c>
      <c r="G161">
        <f>Table001__Page_15[[#This Row],[FİYAT]]*Table001__Page_15[[#This Row],[MİKTAR]]</f>
        <v>925</v>
      </c>
      <c r="H161">
        <v>1.5</v>
      </c>
      <c r="I161">
        <f>Table001__Page_15[[#This Row],[FİYAT]]*Table001__Page_15[[#This Row],[Sütun2]]</f>
        <v>277.5</v>
      </c>
      <c r="J161">
        <v>290</v>
      </c>
      <c r="K161" t="s">
        <v>188</v>
      </c>
      <c r="L161" s="50">
        <f>Table001__Page_15[[#This Row],[SATIŞ FİYATI]]-Table001__Page_15[[#This Row],[YUVARLAMA]]</f>
        <v>-12.5</v>
      </c>
      <c r="M161">
        <v>290</v>
      </c>
      <c r="N161">
        <f>M161-Table001__Page_15[[#This Row],[YUVARLAMA]]</f>
        <v>0</v>
      </c>
    </row>
    <row r="162" spans="1:14" x14ac:dyDescent="0.25">
      <c r="A162" t="s">
        <v>135</v>
      </c>
      <c r="B162" t="s">
        <v>538</v>
      </c>
      <c r="C162" t="s">
        <v>207</v>
      </c>
      <c r="D162">
        <v>10</v>
      </c>
      <c r="E162" t="s">
        <v>127</v>
      </c>
      <c r="F162">
        <v>26</v>
      </c>
      <c r="G162">
        <f>Table001__Page_15[[#This Row],[FİYAT]]*Table001__Page_15[[#This Row],[MİKTAR]]</f>
        <v>260</v>
      </c>
      <c r="H162">
        <v>5.4</v>
      </c>
      <c r="I162">
        <f>Table001__Page_15[[#This Row],[FİYAT]]*Table001__Page_15[[#This Row],[Sütun2]]</f>
        <v>140.4</v>
      </c>
      <c r="J162">
        <v>70</v>
      </c>
      <c r="K162" t="s">
        <v>188</v>
      </c>
      <c r="L162" s="50">
        <f>Table001__Page_15[[#This Row],[SATIŞ FİYATI]]-Table001__Page_15[[#This Row],[YUVARLAMA]]</f>
        <v>70.400000000000006</v>
      </c>
      <c r="M162">
        <v>70</v>
      </c>
      <c r="N162">
        <f>M162-Table001__Page_15[[#This Row],[YUVARLAMA]]</f>
        <v>0</v>
      </c>
    </row>
    <row r="163" spans="1:14" x14ac:dyDescent="0.25">
      <c r="A163" t="s">
        <v>135</v>
      </c>
      <c r="B163" t="s">
        <v>538</v>
      </c>
      <c r="C163" t="s">
        <v>208</v>
      </c>
      <c r="D163">
        <v>10</v>
      </c>
      <c r="E163" t="s">
        <v>127</v>
      </c>
      <c r="F163">
        <v>26</v>
      </c>
      <c r="G163">
        <f>Table001__Page_15[[#This Row],[FİYAT]]*Table001__Page_15[[#This Row],[MİKTAR]]</f>
        <v>260</v>
      </c>
      <c r="H163">
        <v>5.4</v>
      </c>
      <c r="I163">
        <f>Table001__Page_15[[#This Row],[FİYAT]]*Table001__Page_15[[#This Row],[Sütun2]]</f>
        <v>140.4</v>
      </c>
      <c r="J163">
        <v>70</v>
      </c>
      <c r="K163" t="s">
        <v>188</v>
      </c>
      <c r="L163" s="50">
        <f>Table001__Page_15[[#This Row],[SATIŞ FİYATI]]-Table001__Page_15[[#This Row],[YUVARLAMA]]</f>
        <v>70.400000000000006</v>
      </c>
      <c r="M163">
        <v>70</v>
      </c>
      <c r="N163">
        <f>M163-Table001__Page_15[[#This Row],[YUVARLAMA]]</f>
        <v>0</v>
      </c>
    </row>
    <row r="164" spans="1:14" x14ac:dyDescent="0.25">
      <c r="A164" t="s">
        <v>540</v>
      </c>
      <c r="B164" t="s">
        <v>538</v>
      </c>
      <c r="C164" t="s">
        <v>209</v>
      </c>
      <c r="D164">
        <v>1</v>
      </c>
      <c r="E164" t="s">
        <v>127</v>
      </c>
      <c r="F164">
        <v>1250</v>
      </c>
      <c r="G164">
        <f>Table001__Page_15[[#This Row],[FİYAT]]*Table001__Page_15[[#This Row],[MİKTAR]]</f>
        <v>1250</v>
      </c>
      <c r="H164">
        <v>1.6</v>
      </c>
      <c r="I164">
        <f>Table001__Page_15[[#This Row],[FİYAT]]*Table001__Page_15[[#This Row],[Sütun2]]</f>
        <v>2000</v>
      </c>
      <c r="J164">
        <v>130</v>
      </c>
      <c r="K164" t="s">
        <v>188</v>
      </c>
      <c r="L164" s="50">
        <f>Table001__Page_15[[#This Row],[SATIŞ FİYATI]]-Table001__Page_15[[#This Row],[YUVARLAMA]]</f>
        <v>1870</v>
      </c>
      <c r="M164">
        <v>130</v>
      </c>
      <c r="N164">
        <f>M164-Table001__Page_15[[#This Row],[YUVARLAMA]]</f>
        <v>0</v>
      </c>
    </row>
    <row r="165" spans="1:14" x14ac:dyDescent="0.25">
      <c r="A165" t="s">
        <v>540</v>
      </c>
      <c r="B165" t="s">
        <v>538</v>
      </c>
      <c r="C165" t="s">
        <v>210</v>
      </c>
      <c r="D165">
        <v>1</v>
      </c>
      <c r="E165" t="s">
        <v>127</v>
      </c>
      <c r="F165">
        <v>2250</v>
      </c>
      <c r="G165">
        <f>Table001__Page_15[[#This Row],[FİYAT]]*Table001__Page_15[[#This Row],[MİKTAR]]</f>
        <v>2250</v>
      </c>
      <c r="H165">
        <v>1.2</v>
      </c>
      <c r="I165">
        <f>Table001__Page_15[[#This Row],[FİYAT]]*Table001__Page_15[[#This Row],[Sütun2]]</f>
        <v>2700</v>
      </c>
      <c r="J165">
        <v>150</v>
      </c>
      <c r="K165" t="s">
        <v>188</v>
      </c>
      <c r="L165" s="50">
        <f>Table001__Page_15[[#This Row],[SATIŞ FİYATI]]-Table001__Page_15[[#This Row],[YUVARLAMA]]</f>
        <v>2550</v>
      </c>
      <c r="M165">
        <v>150</v>
      </c>
      <c r="N165">
        <f>M165-Table001__Page_15[[#This Row],[YUVARLAMA]]</f>
        <v>0</v>
      </c>
    </row>
    <row r="166" spans="1:14" x14ac:dyDescent="0.25">
      <c r="A166" t="s">
        <v>484</v>
      </c>
      <c r="B166" t="s">
        <v>538</v>
      </c>
      <c r="C166" t="s">
        <v>211</v>
      </c>
      <c r="D166">
        <v>25</v>
      </c>
      <c r="E166" t="s">
        <v>127</v>
      </c>
      <c r="F166">
        <v>240</v>
      </c>
      <c r="G166">
        <f>Table001__Page_15[[#This Row],[FİYAT]]*Table001__Page_15[[#This Row],[MİKTAR]]</f>
        <v>6000</v>
      </c>
      <c r="H166">
        <v>1.25</v>
      </c>
      <c r="I166">
        <v>290</v>
      </c>
      <c r="J166">
        <v>290</v>
      </c>
      <c r="K166" t="s">
        <v>188</v>
      </c>
      <c r="L166" s="50">
        <f>Table001__Page_15[[#This Row],[SATIŞ FİYATI]]-Table001__Page_15[[#This Row],[YUVARLAMA]]</f>
        <v>0</v>
      </c>
      <c r="M166">
        <v>290</v>
      </c>
      <c r="N166">
        <f>M166-Table001__Page_15[[#This Row],[YUVARLAMA]]</f>
        <v>0</v>
      </c>
    </row>
    <row r="167" spans="1:14" x14ac:dyDescent="0.25">
      <c r="A167" t="s">
        <v>540</v>
      </c>
      <c r="B167" t="s">
        <v>538</v>
      </c>
      <c r="C167" t="s">
        <v>212</v>
      </c>
      <c r="D167">
        <v>2</v>
      </c>
      <c r="E167" t="s">
        <v>127</v>
      </c>
      <c r="F167">
        <v>275</v>
      </c>
      <c r="G167">
        <f>Table001__Page_15[[#This Row],[FİYAT]]*Table001__Page_15[[#This Row],[MİKTAR]]</f>
        <v>550</v>
      </c>
      <c r="H167">
        <v>2.5</v>
      </c>
      <c r="I167">
        <f>Table001__Page_15[[#This Row],[FİYAT]]*Table001__Page_15[[#This Row],[Sütun2]]</f>
        <v>687.5</v>
      </c>
      <c r="J167">
        <v>700</v>
      </c>
      <c r="K167" t="s">
        <v>188</v>
      </c>
      <c r="L167" s="50">
        <f>Table001__Page_15[[#This Row],[SATIŞ FİYATI]]-Table001__Page_15[[#This Row],[YUVARLAMA]]</f>
        <v>-12.5</v>
      </c>
      <c r="M167">
        <v>700</v>
      </c>
      <c r="N167">
        <f>M167-Table001__Page_15[[#This Row],[YUVARLAMA]]</f>
        <v>0</v>
      </c>
    </row>
    <row r="168" spans="1:14" x14ac:dyDescent="0.25">
      <c r="A168" t="s">
        <v>540</v>
      </c>
      <c r="B168" t="s">
        <v>538</v>
      </c>
      <c r="C168" t="s">
        <v>213</v>
      </c>
      <c r="D168">
        <v>1</v>
      </c>
      <c r="E168" t="s">
        <v>127</v>
      </c>
      <c r="F168">
        <v>300</v>
      </c>
      <c r="G168">
        <f>Table001__Page_15[[#This Row],[FİYAT]]*Table001__Page_15[[#This Row],[MİKTAR]]</f>
        <v>300</v>
      </c>
      <c r="H168">
        <v>4.7</v>
      </c>
      <c r="I168">
        <f>Table001__Page_15[[#This Row],[FİYAT]]*Table001__Page_15[[#This Row],[Sütun2]]</f>
        <v>1410</v>
      </c>
      <c r="J168">
        <v>1400</v>
      </c>
      <c r="K168" t="s">
        <v>188</v>
      </c>
      <c r="L168" s="50">
        <f>Table001__Page_15[[#This Row],[SATIŞ FİYATI]]-Table001__Page_15[[#This Row],[YUVARLAMA]]</f>
        <v>10</v>
      </c>
      <c r="M168">
        <v>1400</v>
      </c>
      <c r="N168">
        <f>M168-Table001__Page_15[[#This Row],[YUVARLAMA]]</f>
        <v>0</v>
      </c>
    </row>
    <row r="169" spans="1:14" x14ac:dyDescent="0.25">
      <c r="A169" t="s">
        <v>540</v>
      </c>
      <c r="B169" t="s">
        <v>538</v>
      </c>
      <c r="C169" t="s">
        <v>60</v>
      </c>
      <c r="D169">
        <v>1</v>
      </c>
      <c r="E169" t="s">
        <v>127</v>
      </c>
      <c r="F169">
        <v>570</v>
      </c>
      <c r="G169">
        <f>Table001__Page_15[[#This Row],[FİYAT]]*Table001__Page_15[[#This Row],[MİKTAR]]</f>
        <v>570</v>
      </c>
      <c r="H169">
        <v>2.1</v>
      </c>
      <c r="I169">
        <f>Table001__Page_15[[#This Row],[FİYAT]]*Table001__Page_15[[#This Row],[Sütun2]]</f>
        <v>1197</v>
      </c>
      <c r="J169">
        <v>60</v>
      </c>
      <c r="K169" t="s">
        <v>188</v>
      </c>
      <c r="L169" s="50">
        <f>Table001__Page_15[[#This Row],[SATIŞ FİYATI]]-Table001__Page_15[[#This Row],[YUVARLAMA]]</f>
        <v>1137</v>
      </c>
      <c r="M169">
        <v>60</v>
      </c>
      <c r="N169">
        <f>M169-Table001__Page_15[[#This Row],[YUVARLAMA]]</f>
        <v>0</v>
      </c>
    </row>
    <row r="170" spans="1:14" x14ac:dyDescent="0.25">
      <c r="A170" t="s">
        <v>540</v>
      </c>
      <c r="B170" t="s">
        <v>538</v>
      </c>
      <c r="C170" t="s">
        <v>214</v>
      </c>
      <c r="D170">
        <v>1</v>
      </c>
      <c r="E170" t="s">
        <v>127</v>
      </c>
      <c r="F170">
        <v>230</v>
      </c>
      <c r="G170">
        <f>Table001__Page_15[[#This Row],[FİYAT]]*Table001__Page_15[[#This Row],[MİKTAR]]</f>
        <v>230</v>
      </c>
      <c r="H170">
        <v>4</v>
      </c>
      <c r="I170">
        <f>Table001__Page_15[[#This Row],[FİYAT]]*Table001__Page_15[[#This Row],[Sütun2]]</f>
        <v>920</v>
      </c>
      <c r="J170">
        <v>900</v>
      </c>
      <c r="K170" t="s">
        <v>188</v>
      </c>
      <c r="L170" s="50">
        <f>Table001__Page_15[[#This Row],[SATIŞ FİYATI]]-Table001__Page_15[[#This Row],[YUVARLAMA]]</f>
        <v>20</v>
      </c>
      <c r="M170">
        <v>920</v>
      </c>
      <c r="N170">
        <f>M170-Table001__Page_15[[#This Row],[YUVARLAMA]]</f>
        <v>20</v>
      </c>
    </row>
    <row r="171" spans="1:14" x14ac:dyDescent="0.25">
      <c r="A171" t="s">
        <v>542</v>
      </c>
      <c r="B171" t="s">
        <v>144</v>
      </c>
      <c r="C171" t="s">
        <v>215</v>
      </c>
      <c r="D171">
        <v>5</v>
      </c>
      <c r="E171" t="s">
        <v>144</v>
      </c>
      <c r="F171">
        <v>125</v>
      </c>
      <c r="G171">
        <f>Table001__Page_15[[#This Row],[FİYAT]]*Table001__Page_15[[#This Row],[MİKTAR]]</f>
        <v>625</v>
      </c>
      <c r="H171">
        <v>1.8</v>
      </c>
      <c r="I171">
        <f>Table001__Page_15[[#This Row],[FİYAT]]*Table001__Page_15[[#This Row],[Sütun2]]</f>
        <v>225</v>
      </c>
      <c r="J171">
        <v>250</v>
      </c>
      <c r="K171" t="s">
        <v>188</v>
      </c>
      <c r="L171" s="50">
        <f>Table001__Page_15[[#This Row],[SATIŞ FİYATI]]-Table001__Page_15[[#This Row],[YUVARLAMA]]</f>
        <v>-25</v>
      </c>
      <c r="M171">
        <v>250</v>
      </c>
      <c r="N171">
        <f>M171-Table001__Page_15[[#This Row],[YUVARLAMA]]</f>
        <v>0</v>
      </c>
    </row>
    <row r="172" spans="1:14" x14ac:dyDescent="0.25">
      <c r="A172" t="s">
        <v>540</v>
      </c>
      <c r="B172" t="s">
        <v>538</v>
      </c>
      <c r="C172" t="s">
        <v>216</v>
      </c>
      <c r="D172">
        <v>3</v>
      </c>
      <c r="E172" t="s">
        <v>127</v>
      </c>
      <c r="F172">
        <v>65</v>
      </c>
      <c r="G172">
        <f>Table001__Page_15[[#This Row],[FİYAT]]*Table001__Page_15[[#This Row],[MİKTAR]]</f>
        <v>195</v>
      </c>
      <c r="H172">
        <v>5.5</v>
      </c>
      <c r="I172">
        <f>Table001__Page_15[[#This Row],[FİYAT]]*Table001__Page_15[[#This Row],[Sütun2]]</f>
        <v>357.5</v>
      </c>
      <c r="J172">
        <v>360</v>
      </c>
      <c r="K172" t="s">
        <v>188</v>
      </c>
      <c r="L172" s="50">
        <f>Table001__Page_15[[#This Row],[SATIŞ FİYATI]]-Table001__Page_15[[#This Row],[YUVARLAMA]]</f>
        <v>-2.5</v>
      </c>
      <c r="M172">
        <v>360</v>
      </c>
      <c r="N172">
        <f>M172-Table001__Page_15[[#This Row],[YUVARLAMA]]</f>
        <v>0</v>
      </c>
    </row>
    <row r="173" spans="1:14" x14ac:dyDescent="0.25">
      <c r="A173" t="s">
        <v>540</v>
      </c>
      <c r="B173" t="s">
        <v>538</v>
      </c>
      <c r="C173" t="s">
        <v>217</v>
      </c>
      <c r="D173">
        <v>1</v>
      </c>
      <c r="E173" t="s">
        <v>127</v>
      </c>
      <c r="F173">
        <v>165</v>
      </c>
      <c r="G173">
        <f>Table001__Page_15[[#This Row],[FİYAT]]*Table001__Page_15[[#This Row],[MİKTAR]]</f>
        <v>165</v>
      </c>
      <c r="H173">
        <v>4.25</v>
      </c>
      <c r="I173">
        <f>Table001__Page_15[[#This Row],[FİYAT]]*Table001__Page_15[[#This Row],[Sütun2]]</f>
        <v>701.25</v>
      </c>
      <c r="J173">
        <v>700</v>
      </c>
      <c r="K173" t="s">
        <v>188</v>
      </c>
      <c r="L173" s="50">
        <f>Table001__Page_15[[#This Row],[SATIŞ FİYATI]]-Table001__Page_15[[#This Row],[YUVARLAMA]]</f>
        <v>1.25</v>
      </c>
      <c r="M173">
        <v>700</v>
      </c>
      <c r="N173">
        <f>M173-Table001__Page_15[[#This Row],[YUVARLAMA]]</f>
        <v>0</v>
      </c>
    </row>
    <row r="174" spans="1:14" x14ac:dyDescent="0.25">
      <c r="A174" t="s">
        <v>541</v>
      </c>
      <c r="B174" t="s">
        <v>144</v>
      </c>
      <c r="C174" t="s">
        <v>218</v>
      </c>
      <c r="D174">
        <v>11</v>
      </c>
      <c r="E174" t="s">
        <v>144</v>
      </c>
      <c r="F174">
        <v>225</v>
      </c>
      <c r="G174">
        <f>Table001__Page_15[[#This Row],[FİYAT]]*Table001__Page_15[[#This Row],[MİKTAR]]</f>
        <v>2475</v>
      </c>
      <c r="H174">
        <v>1.5</v>
      </c>
      <c r="I174">
        <f>Table001__Page_15[[#This Row],[FİYAT]]*Table001__Page_15[[#This Row],[Sütun2]]</f>
        <v>337.5</v>
      </c>
      <c r="J174">
        <v>340</v>
      </c>
      <c r="K174" t="s">
        <v>188</v>
      </c>
      <c r="L174" s="50">
        <f>Table001__Page_15[[#This Row],[SATIŞ FİYATI]]-Table001__Page_15[[#This Row],[YUVARLAMA]]</f>
        <v>-2.5</v>
      </c>
      <c r="M174">
        <v>340</v>
      </c>
      <c r="N174">
        <f>M174-Table001__Page_15[[#This Row],[YUVARLAMA]]</f>
        <v>0</v>
      </c>
    </row>
    <row r="175" spans="1:14" x14ac:dyDescent="0.25">
      <c r="A175" t="s">
        <v>540</v>
      </c>
      <c r="B175" t="s">
        <v>538</v>
      </c>
      <c r="C175" t="s">
        <v>219</v>
      </c>
      <c r="D175">
        <v>1</v>
      </c>
      <c r="E175" t="s">
        <v>127</v>
      </c>
      <c r="F175">
        <v>1000</v>
      </c>
      <c r="G175">
        <f>Table001__Page_15[[#This Row],[FİYAT]]*Table001__Page_15[[#This Row],[MİKTAR]]</f>
        <v>1000</v>
      </c>
      <c r="H175">
        <v>2</v>
      </c>
      <c r="I175">
        <f>Table001__Page_15[[#This Row],[FİYAT]]*Table001__Page_15[[#This Row],[Sütun2]]</f>
        <v>2000</v>
      </c>
      <c r="J175">
        <v>2000</v>
      </c>
      <c r="K175" t="s">
        <v>188</v>
      </c>
      <c r="L175" s="50">
        <f>Table001__Page_15[[#This Row],[SATIŞ FİYATI]]-Table001__Page_15[[#This Row],[YUVARLAMA]]</f>
        <v>0</v>
      </c>
      <c r="M175">
        <v>2000</v>
      </c>
      <c r="N175">
        <f>M175-Table001__Page_15[[#This Row],[YUVARLAMA]]</f>
        <v>0</v>
      </c>
    </row>
    <row r="176" spans="1:14" x14ac:dyDescent="0.25">
      <c r="A176" t="s">
        <v>540</v>
      </c>
      <c r="B176" t="s">
        <v>538</v>
      </c>
      <c r="C176" t="s">
        <v>220</v>
      </c>
      <c r="D176">
        <v>1</v>
      </c>
      <c r="E176" t="s">
        <v>127</v>
      </c>
      <c r="F176">
        <v>180</v>
      </c>
      <c r="G176">
        <f>Table001__Page_15[[#This Row],[FİYAT]]*Table001__Page_15[[#This Row],[MİKTAR]]</f>
        <v>180</v>
      </c>
      <c r="H176">
        <v>3.5</v>
      </c>
      <c r="I176">
        <f>Table001__Page_15[[#This Row],[FİYAT]]*Table001__Page_15[[#This Row],[Sütun2]]</f>
        <v>630</v>
      </c>
      <c r="J176">
        <v>630</v>
      </c>
      <c r="K176" t="s">
        <v>188</v>
      </c>
      <c r="L176" s="50">
        <f>Table001__Page_15[[#This Row],[SATIŞ FİYATI]]-Table001__Page_15[[#This Row],[YUVARLAMA]]</f>
        <v>0</v>
      </c>
      <c r="M176">
        <v>630</v>
      </c>
      <c r="N176">
        <f>M176-Table001__Page_15[[#This Row],[YUVARLAMA]]</f>
        <v>0</v>
      </c>
    </row>
    <row r="177" spans="1:14" x14ac:dyDescent="0.25">
      <c r="A177" t="s">
        <v>540</v>
      </c>
      <c r="B177" t="s">
        <v>538</v>
      </c>
      <c r="C177" t="s">
        <v>221</v>
      </c>
      <c r="D177">
        <v>1</v>
      </c>
      <c r="E177" t="s">
        <v>127</v>
      </c>
      <c r="F177">
        <v>265</v>
      </c>
      <c r="G177">
        <f>Table001__Page_15[[#This Row],[FİYAT]]*Table001__Page_15[[#This Row],[MİKTAR]]</f>
        <v>265</v>
      </c>
      <c r="H177">
        <v>5</v>
      </c>
      <c r="I177">
        <f>Table001__Page_15[[#This Row],[FİYAT]]*Table001__Page_15[[#This Row],[Sütun2]]</f>
        <v>1325</v>
      </c>
      <c r="J177">
        <v>1300</v>
      </c>
      <c r="K177" t="s">
        <v>188</v>
      </c>
      <c r="L177" s="50">
        <f>Table001__Page_15[[#This Row],[SATIŞ FİYATI]]-Table001__Page_15[[#This Row],[YUVARLAMA]]</f>
        <v>25</v>
      </c>
      <c r="M177">
        <v>1300</v>
      </c>
      <c r="N177">
        <f>M177-Table001__Page_15[[#This Row],[YUVARLAMA]]</f>
        <v>0</v>
      </c>
    </row>
    <row r="178" spans="1:14" x14ac:dyDescent="0.25">
      <c r="A178" t="s">
        <v>484</v>
      </c>
      <c r="B178" t="s">
        <v>538</v>
      </c>
      <c r="C178" t="s">
        <v>222</v>
      </c>
      <c r="D178">
        <v>5</v>
      </c>
      <c r="E178" t="s">
        <v>127</v>
      </c>
      <c r="F178">
        <v>450</v>
      </c>
      <c r="G178">
        <f>Table001__Page_15[[#This Row],[FİYAT]]*Table001__Page_15[[#This Row],[MİKTAR]]</f>
        <v>2250</v>
      </c>
      <c r="H178">
        <v>1.3</v>
      </c>
      <c r="I178">
        <f>Table001__Page_15[[#This Row],[FİYAT]]*Table001__Page_15[[#This Row],[Sütun2]]</f>
        <v>585</v>
      </c>
      <c r="J178">
        <v>600</v>
      </c>
      <c r="K178" t="s">
        <v>188</v>
      </c>
      <c r="L178" s="50">
        <f>Table001__Page_15[[#This Row],[SATIŞ FİYATI]]-Table001__Page_15[[#This Row],[YUVARLAMA]]</f>
        <v>-15</v>
      </c>
      <c r="M178">
        <v>600</v>
      </c>
      <c r="N178">
        <f>M178-Table001__Page_15[[#This Row],[YUVARLAMA]]</f>
        <v>0</v>
      </c>
    </row>
    <row r="179" spans="1:14" x14ac:dyDescent="0.25">
      <c r="A179" t="s">
        <v>484</v>
      </c>
      <c r="B179" t="s">
        <v>538</v>
      </c>
      <c r="C179" t="s">
        <v>223</v>
      </c>
      <c r="D179">
        <v>10</v>
      </c>
      <c r="E179" t="s">
        <v>127</v>
      </c>
      <c r="F179">
        <v>550</v>
      </c>
      <c r="G179">
        <f>Table001__Page_15[[#This Row],[FİYAT]]*Table001__Page_15[[#This Row],[MİKTAR]]</f>
        <v>5500</v>
      </c>
      <c r="H179">
        <v>1.45</v>
      </c>
      <c r="I179">
        <f>Table001__Page_15[[#This Row],[FİYAT]]*Table001__Page_15[[#This Row],[Sütun2]]</f>
        <v>797.5</v>
      </c>
      <c r="J179">
        <v>800</v>
      </c>
      <c r="K179" t="s">
        <v>188</v>
      </c>
      <c r="L179" s="50">
        <f>Table001__Page_15[[#This Row],[SATIŞ FİYATI]]-Table001__Page_15[[#This Row],[YUVARLAMA]]</f>
        <v>-2.5</v>
      </c>
      <c r="M179">
        <v>800</v>
      </c>
      <c r="N179">
        <f>M179-Table001__Page_15[[#This Row],[YUVARLAMA]]</f>
        <v>0</v>
      </c>
    </row>
    <row r="180" spans="1:14" x14ac:dyDescent="0.25">
      <c r="A180" t="s">
        <v>540</v>
      </c>
      <c r="B180" t="s">
        <v>538</v>
      </c>
      <c r="C180" t="s">
        <v>224</v>
      </c>
      <c r="D180">
        <v>2</v>
      </c>
      <c r="E180" t="s">
        <v>127</v>
      </c>
      <c r="F180">
        <v>130</v>
      </c>
      <c r="G180">
        <f>Table001__Page_15[[#This Row],[FİYAT]]*Table001__Page_15[[#This Row],[MİKTAR]]</f>
        <v>260</v>
      </c>
      <c r="H180">
        <v>6.93</v>
      </c>
      <c r="I180">
        <f>Table001__Page_15[[#This Row],[FİYAT]]*Table001__Page_15[[#This Row],[Sütun2]]</f>
        <v>900.9</v>
      </c>
      <c r="J180">
        <v>45</v>
      </c>
      <c r="K180" t="s">
        <v>188</v>
      </c>
      <c r="L180" s="50">
        <f>Table001__Page_15[[#This Row],[SATIŞ FİYATI]]-Table001__Page_15[[#This Row],[YUVARLAMA]]</f>
        <v>855.9</v>
      </c>
      <c r="M180">
        <v>45</v>
      </c>
      <c r="N180">
        <f>M180-Table001__Page_15[[#This Row],[YUVARLAMA]]</f>
        <v>0</v>
      </c>
    </row>
    <row r="181" spans="1:14" x14ac:dyDescent="0.25">
      <c r="A181" t="s">
        <v>484</v>
      </c>
      <c r="B181" t="s">
        <v>538</v>
      </c>
      <c r="C181" t="s">
        <v>225</v>
      </c>
      <c r="D181">
        <v>10</v>
      </c>
      <c r="E181" t="s">
        <v>127</v>
      </c>
      <c r="F181">
        <v>500</v>
      </c>
      <c r="G181">
        <f>Table001__Page_15[[#This Row],[FİYAT]]*Table001__Page_15[[#This Row],[MİKTAR]]</f>
        <v>5000</v>
      </c>
      <c r="H181">
        <v>1.5</v>
      </c>
      <c r="I181">
        <f>Table001__Page_15[[#This Row],[FİYAT]]*Table001__Page_15[[#This Row],[Sütun2]]</f>
        <v>750</v>
      </c>
      <c r="J181">
        <v>750</v>
      </c>
      <c r="K181" t="s">
        <v>188</v>
      </c>
      <c r="L181" s="50">
        <f>Table001__Page_15[[#This Row],[SATIŞ FİYATI]]-Table001__Page_15[[#This Row],[YUVARLAMA]]</f>
        <v>0</v>
      </c>
      <c r="M181">
        <v>750</v>
      </c>
      <c r="N181">
        <f>M181-Table001__Page_15[[#This Row],[YUVARLAMA]]</f>
        <v>0</v>
      </c>
    </row>
    <row r="182" spans="1:14" x14ac:dyDescent="0.25">
      <c r="A182" t="s">
        <v>484</v>
      </c>
      <c r="B182" t="s">
        <v>538</v>
      </c>
      <c r="C182" t="s">
        <v>226</v>
      </c>
      <c r="D182">
        <v>10</v>
      </c>
      <c r="E182" t="s">
        <v>127</v>
      </c>
      <c r="F182">
        <v>110</v>
      </c>
      <c r="G182">
        <f>Table001__Page_15[[#This Row],[FİYAT]]*Table001__Page_15[[#This Row],[MİKTAR]]</f>
        <v>1100</v>
      </c>
      <c r="H182">
        <v>2</v>
      </c>
      <c r="I182">
        <f>Table001__Page_15[[#This Row],[FİYAT]]*Table001__Page_15[[#This Row],[Sütun2]]</f>
        <v>220</v>
      </c>
      <c r="J182">
        <v>220</v>
      </c>
      <c r="K182" t="s">
        <v>188</v>
      </c>
      <c r="L182" s="50">
        <f>Table001__Page_15[[#This Row],[SATIŞ FİYATI]]-Table001__Page_15[[#This Row],[YUVARLAMA]]</f>
        <v>0</v>
      </c>
      <c r="M182">
        <v>220</v>
      </c>
      <c r="N182">
        <f>M182-Table001__Page_15[[#This Row],[YUVARLAMA]]</f>
        <v>0</v>
      </c>
    </row>
    <row r="183" spans="1:14" x14ac:dyDescent="0.25">
      <c r="A183" t="s">
        <v>540</v>
      </c>
      <c r="B183" t="s">
        <v>538</v>
      </c>
      <c r="C183" t="s">
        <v>227</v>
      </c>
      <c r="D183">
        <v>1</v>
      </c>
      <c r="E183" t="s">
        <v>127</v>
      </c>
      <c r="F183">
        <v>75</v>
      </c>
      <c r="G183">
        <f>Table001__Page_15[[#This Row],[FİYAT]]*Table001__Page_15[[#This Row],[MİKTAR]]</f>
        <v>75</v>
      </c>
      <c r="H183">
        <v>6.7</v>
      </c>
      <c r="I183">
        <f>Table001__Page_15[[#This Row],[FİYAT]]*Table001__Page_15[[#This Row],[Sütun2]]</f>
        <v>502.5</v>
      </c>
      <c r="J183">
        <v>500</v>
      </c>
      <c r="K183" t="s">
        <v>188</v>
      </c>
      <c r="L183" s="50">
        <f>Table001__Page_15[[#This Row],[SATIŞ FİYATI]]-Table001__Page_15[[#This Row],[YUVARLAMA]]</f>
        <v>2.5</v>
      </c>
      <c r="M183">
        <v>500</v>
      </c>
      <c r="N183">
        <f>M183-Table001__Page_15[[#This Row],[YUVARLAMA]]</f>
        <v>0</v>
      </c>
    </row>
    <row r="184" spans="1:14" x14ac:dyDescent="0.25">
      <c r="A184" t="s">
        <v>541</v>
      </c>
      <c r="B184" t="s">
        <v>144</v>
      </c>
      <c r="C184" t="s">
        <v>228</v>
      </c>
      <c r="D184">
        <v>5</v>
      </c>
      <c r="E184" t="s">
        <v>144</v>
      </c>
      <c r="F184">
        <v>170</v>
      </c>
      <c r="G184">
        <f>Table001__Page_15[[#This Row],[FİYAT]]*Table001__Page_15[[#This Row],[MİKTAR]]</f>
        <v>850</v>
      </c>
      <c r="H184">
        <v>1.5</v>
      </c>
      <c r="I184">
        <f>Table001__Page_15[[#This Row],[FİYAT]]*Table001__Page_15[[#This Row],[Sütun2]]</f>
        <v>255</v>
      </c>
      <c r="J184">
        <v>260</v>
      </c>
      <c r="K184" t="s">
        <v>188</v>
      </c>
      <c r="L184" s="50">
        <f>Table001__Page_15[[#This Row],[SATIŞ FİYATI]]-Table001__Page_15[[#This Row],[YUVARLAMA]]</f>
        <v>-5</v>
      </c>
      <c r="M184">
        <v>260</v>
      </c>
      <c r="N184">
        <f>M184-Table001__Page_15[[#This Row],[YUVARLAMA]]</f>
        <v>0</v>
      </c>
    </row>
    <row r="185" spans="1:14" x14ac:dyDescent="0.25">
      <c r="A185" t="s">
        <v>541</v>
      </c>
      <c r="B185" t="s">
        <v>144</v>
      </c>
      <c r="C185" t="s">
        <v>229</v>
      </c>
      <c r="D185">
        <v>5</v>
      </c>
      <c r="E185" t="s">
        <v>144</v>
      </c>
      <c r="F185">
        <v>135</v>
      </c>
      <c r="G185">
        <f>Table001__Page_15[[#This Row],[FİYAT]]*Table001__Page_15[[#This Row],[MİKTAR]]</f>
        <v>675</v>
      </c>
      <c r="H185">
        <v>1.5</v>
      </c>
      <c r="I185">
        <f>Table001__Page_15[[#This Row],[FİYAT]]*Table001__Page_15[[#This Row],[Sütun2]]</f>
        <v>202.5</v>
      </c>
      <c r="J185">
        <v>200</v>
      </c>
      <c r="K185" t="s">
        <v>188</v>
      </c>
      <c r="L185" s="50">
        <f>Table001__Page_15[[#This Row],[SATIŞ FİYATI]]-Table001__Page_15[[#This Row],[YUVARLAMA]]</f>
        <v>2.5</v>
      </c>
      <c r="M185">
        <v>200</v>
      </c>
      <c r="N185">
        <f>M185-Table001__Page_15[[#This Row],[YUVARLAMA]]</f>
        <v>0</v>
      </c>
    </row>
    <row r="186" spans="1:14" x14ac:dyDescent="0.25">
      <c r="A186" t="s">
        <v>541</v>
      </c>
      <c r="B186" t="s">
        <v>144</v>
      </c>
      <c r="C186" t="s">
        <v>230</v>
      </c>
      <c r="D186">
        <v>5</v>
      </c>
      <c r="E186" t="s">
        <v>144</v>
      </c>
      <c r="F186">
        <v>135</v>
      </c>
      <c r="G186">
        <f>Table001__Page_15[[#This Row],[FİYAT]]*Table001__Page_15[[#This Row],[MİKTAR]]</f>
        <v>675</v>
      </c>
      <c r="H186">
        <v>1.5</v>
      </c>
      <c r="I186">
        <f>Table001__Page_15[[#This Row],[FİYAT]]*Table001__Page_15[[#This Row],[Sütun2]]</f>
        <v>202.5</v>
      </c>
      <c r="J186">
        <v>200</v>
      </c>
      <c r="K186" t="s">
        <v>188</v>
      </c>
      <c r="L186" s="50">
        <f>Table001__Page_15[[#This Row],[SATIŞ FİYATI]]-Table001__Page_15[[#This Row],[YUVARLAMA]]</f>
        <v>2.5</v>
      </c>
      <c r="M186">
        <v>200</v>
      </c>
      <c r="N186">
        <f>M186-Table001__Page_15[[#This Row],[YUVARLAMA]]</f>
        <v>0</v>
      </c>
    </row>
    <row r="187" spans="1:14" x14ac:dyDescent="0.25">
      <c r="A187" t="s">
        <v>541</v>
      </c>
      <c r="B187" t="s">
        <v>144</v>
      </c>
      <c r="C187" t="s">
        <v>231</v>
      </c>
      <c r="D187">
        <v>5</v>
      </c>
      <c r="E187" t="s">
        <v>144</v>
      </c>
      <c r="F187">
        <v>135</v>
      </c>
      <c r="G187">
        <f>Table001__Page_15[[#This Row],[FİYAT]]*Table001__Page_15[[#This Row],[MİKTAR]]</f>
        <v>675</v>
      </c>
      <c r="H187">
        <v>1.5</v>
      </c>
      <c r="I187">
        <f>Table001__Page_15[[#This Row],[FİYAT]]*Table001__Page_15[[#This Row],[Sütun2]]</f>
        <v>202.5</v>
      </c>
      <c r="J187">
        <v>200</v>
      </c>
      <c r="K187" t="s">
        <v>188</v>
      </c>
      <c r="L187" s="50">
        <f>Table001__Page_15[[#This Row],[SATIŞ FİYATI]]-Table001__Page_15[[#This Row],[YUVARLAMA]]</f>
        <v>2.5</v>
      </c>
      <c r="M187">
        <v>200</v>
      </c>
      <c r="N187">
        <f>M187-Table001__Page_15[[#This Row],[YUVARLAMA]]</f>
        <v>0</v>
      </c>
    </row>
    <row r="188" spans="1:14" x14ac:dyDescent="0.25">
      <c r="A188" t="s">
        <v>541</v>
      </c>
      <c r="B188" t="s">
        <v>144</v>
      </c>
      <c r="C188" t="s">
        <v>232</v>
      </c>
      <c r="D188">
        <v>5</v>
      </c>
      <c r="E188" t="s">
        <v>144</v>
      </c>
      <c r="F188">
        <v>170</v>
      </c>
      <c r="G188">
        <f>Table001__Page_15[[#This Row],[FİYAT]]*Table001__Page_15[[#This Row],[MİKTAR]]</f>
        <v>850</v>
      </c>
      <c r="H188">
        <v>1.5</v>
      </c>
      <c r="I188">
        <f>Table001__Page_15[[#This Row],[FİYAT]]*Table001__Page_15[[#This Row],[Sütun2]]</f>
        <v>255</v>
      </c>
      <c r="J188">
        <v>260</v>
      </c>
      <c r="K188" t="s">
        <v>188</v>
      </c>
      <c r="L188" s="50">
        <f>Table001__Page_15[[#This Row],[SATIŞ FİYATI]]-Table001__Page_15[[#This Row],[YUVARLAMA]]</f>
        <v>-5</v>
      </c>
      <c r="M188">
        <v>260</v>
      </c>
      <c r="N188">
        <f>M188-Table001__Page_15[[#This Row],[YUVARLAMA]]</f>
        <v>0</v>
      </c>
    </row>
    <row r="189" spans="1:14" x14ac:dyDescent="0.25">
      <c r="A189" t="s">
        <v>541</v>
      </c>
      <c r="B189" t="s">
        <v>144</v>
      </c>
      <c r="C189" t="s">
        <v>233</v>
      </c>
      <c r="D189">
        <v>16</v>
      </c>
      <c r="E189" t="s">
        <v>144</v>
      </c>
      <c r="F189">
        <v>95</v>
      </c>
      <c r="G189">
        <f>Table001__Page_15[[#This Row],[FİYAT]]*Table001__Page_15[[#This Row],[MİKTAR]]</f>
        <v>1520</v>
      </c>
      <c r="H189">
        <v>2</v>
      </c>
      <c r="I189">
        <f>Table001__Page_15[[#This Row],[FİYAT]]*Table001__Page_15[[#This Row],[Sütun2]]</f>
        <v>190</v>
      </c>
      <c r="J189">
        <v>190</v>
      </c>
      <c r="K189" t="s">
        <v>188</v>
      </c>
      <c r="L189" s="50">
        <f>Table001__Page_15[[#This Row],[SATIŞ FİYATI]]-Table001__Page_15[[#This Row],[YUVARLAMA]]</f>
        <v>0</v>
      </c>
      <c r="M189">
        <v>190</v>
      </c>
      <c r="N189">
        <f>M189-Table001__Page_15[[#This Row],[YUVARLAMA]]</f>
        <v>0</v>
      </c>
    </row>
    <row r="190" spans="1:14" x14ac:dyDescent="0.25">
      <c r="A190" t="s">
        <v>541</v>
      </c>
      <c r="B190" t="s">
        <v>144</v>
      </c>
      <c r="C190" t="s">
        <v>234</v>
      </c>
      <c r="D190">
        <v>5</v>
      </c>
      <c r="E190" t="s">
        <v>144</v>
      </c>
      <c r="F190">
        <v>90</v>
      </c>
      <c r="G190">
        <f>Table001__Page_15[[#This Row],[FİYAT]]*Table001__Page_15[[#This Row],[MİKTAR]]</f>
        <v>450</v>
      </c>
      <c r="H190">
        <v>2</v>
      </c>
      <c r="I190">
        <f>Table001__Page_15[[#This Row],[FİYAT]]*Table001__Page_15[[#This Row],[Sütun2]]</f>
        <v>180</v>
      </c>
      <c r="J190">
        <v>180</v>
      </c>
      <c r="K190" t="s">
        <v>188</v>
      </c>
      <c r="L190" s="50">
        <f>Table001__Page_15[[#This Row],[SATIŞ FİYATI]]-Table001__Page_15[[#This Row],[YUVARLAMA]]</f>
        <v>0</v>
      </c>
      <c r="M190">
        <v>180</v>
      </c>
      <c r="N190">
        <f>M190-Table001__Page_15[[#This Row],[YUVARLAMA]]</f>
        <v>0</v>
      </c>
    </row>
    <row r="191" spans="1:14" x14ac:dyDescent="0.25">
      <c r="A191" t="s">
        <v>541</v>
      </c>
      <c r="B191" t="s">
        <v>144</v>
      </c>
      <c r="C191" t="s">
        <v>235</v>
      </c>
      <c r="D191">
        <v>5</v>
      </c>
      <c r="E191" t="s">
        <v>144</v>
      </c>
      <c r="F191">
        <v>100</v>
      </c>
      <c r="G191">
        <f>Table001__Page_15[[#This Row],[FİYAT]]*Table001__Page_15[[#This Row],[MİKTAR]]</f>
        <v>500</v>
      </c>
      <c r="H191">
        <v>1.7</v>
      </c>
      <c r="I191">
        <f>Table001__Page_15[[#This Row],[FİYAT]]*Table001__Page_15[[#This Row],[Sütun2]]</f>
        <v>170</v>
      </c>
      <c r="J191">
        <v>170</v>
      </c>
      <c r="K191" t="s">
        <v>188</v>
      </c>
      <c r="L191" s="50">
        <f>Table001__Page_15[[#This Row],[SATIŞ FİYATI]]-Table001__Page_15[[#This Row],[YUVARLAMA]]</f>
        <v>0</v>
      </c>
      <c r="M191">
        <v>170</v>
      </c>
      <c r="N191">
        <f>M191-Table001__Page_15[[#This Row],[YUVARLAMA]]</f>
        <v>0</v>
      </c>
    </row>
    <row r="192" spans="1:14" x14ac:dyDescent="0.25">
      <c r="A192" t="s">
        <v>541</v>
      </c>
      <c r="B192" t="s">
        <v>144</v>
      </c>
      <c r="C192" t="s">
        <v>236</v>
      </c>
      <c r="D192">
        <v>5</v>
      </c>
      <c r="E192" t="s">
        <v>144</v>
      </c>
      <c r="F192">
        <v>140</v>
      </c>
      <c r="G192">
        <f>Table001__Page_15[[#This Row],[FİYAT]]*Table001__Page_15[[#This Row],[MİKTAR]]</f>
        <v>700</v>
      </c>
      <c r="H192">
        <v>2.5</v>
      </c>
      <c r="I192">
        <f>Table001__Page_15[[#This Row],[FİYAT]]*Table001__Page_15[[#This Row],[Sütun2]]</f>
        <v>350</v>
      </c>
      <c r="J192">
        <v>350</v>
      </c>
      <c r="K192" t="s">
        <v>188</v>
      </c>
      <c r="L192" s="50">
        <f>Table001__Page_15[[#This Row],[SATIŞ FİYATI]]-Table001__Page_15[[#This Row],[YUVARLAMA]]</f>
        <v>0</v>
      </c>
      <c r="M192">
        <v>350</v>
      </c>
      <c r="N192">
        <f>M192-Table001__Page_15[[#This Row],[YUVARLAMA]]</f>
        <v>0</v>
      </c>
    </row>
    <row r="193" spans="1:14" x14ac:dyDescent="0.25">
      <c r="A193" t="s">
        <v>540</v>
      </c>
      <c r="B193" t="s">
        <v>538</v>
      </c>
      <c r="C193" t="s">
        <v>237</v>
      </c>
      <c r="D193">
        <v>1</v>
      </c>
      <c r="E193" t="s">
        <v>127</v>
      </c>
      <c r="F193">
        <v>750</v>
      </c>
      <c r="G193">
        <f>Table001__Page_15[[#This Row],[FİYAT]]*Table001__Page_15[[#This Row],[MİKTAR]]</f>
        <v>750</v>
      </c>
      <c r="H193">
        <v>3</v>
      </c>
      <c r="I193">
        <f>Table001__Page_15[[#This Row],[FİYAT]]*Table001__Page_15[[#This Row],[Sütun2]]</f>
        <v>2250</v>
      </c>
      <c r="J193">
        <v>90</v>
      </c>
      <c r="K193" t="s">
        <v>188</v>
      </c>
      <c r="L193" s="50">
        <f>Table001__Page_15[[#This Row],[SATIŞ FİYATI]]-Table001__Page_15[[#This Row],[YUVARLAMA]]</f>
        <v>2160</v>
      </c>
      <c r="M193">
        <v>90</v>
      </c>
      <c r="N193">
        <f>M193-Table001__Page_15[[#This Row],[YUVARLAMA]]</f>
        <v>0</v>
      </c>
    </row>
    <row r="194" spans="1:14" x14ac:dyDescent="0.25">
      <c r="A194" t="s">
        <v>540</v>
      </c>
      <c r="B194" t="s">
        <v>538</v>
      </c>
      <c r="C194" t="s">
        <v>238</v>
      </c>
      <c r="D194">
        <v>2</v>
      </c>
      <c r="E194" t="s">
        <v>127</v>
      </c>
      <c r="F194">
        <v>290</v>
      </c>
      <c r="G194">
        <f>Table001__Page_15[[#This Row],[FİYAT]]*Table001__Page_15[[#This Row],[MİKTAR]]</f>
        <v>580</v>
      </c>
      <c r="H194">
        <v>4.6500000000000004</v>
      </c>
      <c r="I194">
        <f>Table001__Page_15[[#This Row],[FİYAT]]*Table001__Page_15[[#This Row],[Sütun2]]</f>
        <v>1348.5</v>
      </c>
      <c r="J194">
        <v>135</v>
      </c>
      <c r="K194" t="s">
        <v>188</v>
      </c>
      <c r="L194" s="50">
        <f>Table001__Page_15[[#This Row],[SATIŞ FİYATI]]-Table001__Page_15[[#This Row],[YUVARLAMA]]</f>
        <v>1213.5</v>
      </c>
      <c r="M194">
        <v>135</v>
      </c>
      <c r="N194">
        <f>M194-Table001__Page_15[[#This Row],[YUVARLAMA]]</f>
        <v>0</v>
      </c>
    </row>
    <row r="195" spans="1:14" x14ac:dyDescent="0.25">
      <c r="A195" t="s">
        <v>125</v>
      </c>
      <c r="B195" t="s">
        <v>538</v>
      </c>
      <c r="C195" t="s">
        <v>239</v>
      </c>
      <c r="D195">
        <v>1</v>
      </c>
      <c r="E195" t="s">
        <v>127</v>
      </c>
      <c r="F195">
        <v>160</v>
      </c>
      <c r="G195">
        <f>Table001__Page_15[[#This Row],[FİYAT]]*Table001__Page_15[[#This Row],[MİKTAR]]</f>
        <v>160</v>
      </c>
      <c r="H195">
        <v>2.6</v>
      </c>
      <c r="I195">
        <f>Table001__Page_15[[#This Row],[FİYAT]]*Table001__Page_15[[#This Row],[Sütun2]]</f>
        <v>416</v>
      </c>
      <c r="J195">
        <v>420</v>
      </c>
      <c r="K195" t="s">
        <v>188</v>
      </c>
      <c r="L195" s="50">
        <f>Table001__Page_15[[#This Row],[SATIŞ FİYATI]]-Table001__Page_15[[#This Row],[YUVARLAMA]]</f>
        <v>-4</v>
      </c>
      <c r="M195">
        <v>420</v>
      </c>
      <c r="N195">
        <f>M195-Table001__Page_15[[#This Row],[YUVARLAMA]]</f>
        <v>0</v>
      </c>
    </row>
    <row r="196" spans="1:14" x14ac:dyDescent="0.25">
      <c r="A196" t="s">
        <v>540</v>
      </c>
      <c r="B196" t="s">
        <v>538</v>
      </c>
      <c r="C196" t="s">
        <v>240</v>
      </c>
      <c r="D196">
        <v>1</v>
      </c>
      <c r="E196" t="s">
        <v>127</v>
      </c>
      <c r="F196">
        <v>40</v>
      </c>
      <c r="G196">
        <f>Table001__Page_15[[#This Row],[FİYAT]]*Table001__Page_15[[#This Row],[MİKTAR]]</f>
        <v>40</v>
      </c>
      <c r="H196">
        <v>6</v>
      </c>
      <c r="I196">
        <f>Table001__Page_15[[#This Row],[FİYAT]]*Table001__Page_15[[#This Row],[Sütun2]]</f>
        <v>240</v>
      </c>
      <c r="J196">
        <v>240</v>
      </c>
      <c r="K196" t="s">
        <v>188</v>
      </c>
      <c r="L196" s="50">
        <f>Table001__Page_15[[#This Row],[SATIŞ FİYATI]]-Table001__Page_15[[#This Row],[YUVARLAMA]]</f>
        <v>0</v>
      </c>
      <c r="M196">
        <v>240</v>
      </c>
      <c r="N196">
        <f>M196-Table001__Page_15[[#This Row],[YUVARLAMA]]</f>
        <v>0</v>
      </c>
    </row>
    <row r="197" spans="1:14" x14ac:dyDescent="0.25">
      <c r="A197" t="s">
        <v>484</v>
      </c>
      <c r="B197" t="s">
        <v>538</v>
      </c>
      <c r="C197" t="s">
        <v>241</v>
      </c>
      <c r="D197">
        <v>10</v>
      </c>
      <c r="E197" t="s">
        <v>127</v>
      </c>
      <c r="F197">
        <v>290</v>
      </c>
      <c r="G197">
        <f>Table001__Page_15[[#This Row],[FİYAT]]*Table001__Page_15[[#This Row],[MİKTAR]]</f>
        <v>2900</v>
      </c>
      <c r="H197">
        <v>1.5</v>
      </c>
      <c r="I197">
        <f>Table001__Page_15[[#This Row],[FİYAT]]*Table001__Page_15[[#This Row],[Sütun2]]</f>
        <v>435</v>
      </c>
      <c r="J197">
        <v>430</v>
      </c>
      <c r="K197" t="s">
        <v>188</v>
      </c>
      <c r="L197" s="50">
        <f>Table001__Page_15[[#This Row],[SATIŞ FİYATI]]-Table001__Page_15[[#This Row],[YUVARLAMA]]</f>
        <v>5</v>
      </c>
      <c r="M197">
        <v>430</v>
      </c>
      <c r="N197">
        <f>M197-Table001__Page_15[[#This Row],[YUVARLAMA]]</f>
        <v>0</v>
      </c>
    </row>
    <row r="198" spans="1:14" x14ac:dyDescent="0.25">
      <c r="A198" t="s">
        <v>484</v>
      </c>
      <c r="B198" t="s">
        <v>538</v>
      </c>
      <c r="C198" t="s">
        <v>242</v>
      </c>
      <c r="D198">
        <v>5</v>
      </c>
      <c r="E198" t="s">
        <v>127</v>
      </c>
      <c r="F198">
        <v>290</v>
      </c>
      <c r="G198">
        <f>Table001__Page_15[[#This Row],[FİYAT]]*Table001__Page_15[[#This Row],[MİKTAR]]</f>
        <v>1450</v>
      </c>
      <c r="H198">
        <v>1.5</v>
      </c>
      <c r="I198">
        <f>Table001__Page_15[[#This Row],[FİYAT]]*Table001__Page_15[[#This Row],[Sütun2]]</f>
        <v>435</v>
      </c>
      <c r="J198">
        <v>430</v>
      </c>
      <c r="K198" t="s">
        <v>188</v>
      </c>
      <c r="L198" s="50">
        <f>Table001__Page_15[[#This Row],[SATIŞ FİYATI]]-Table001__Page_15[[#This Row],[YUVARLAMA]]</f>
        <v>5</v>
      </c>
      <c r="M198">
        <v>430</v>
      </c>
      <c r="N198">
        <f>M198-Table001__Page_15[[#This Row],[YUVARLAMA]]</f>
        <v>0</v>
      </c>
    </row>
    <row r="199" spans="1:14" x14ac:dyDescent="0.25">
      <c r="A199" t="s">
        <v>541</v>
      </c>
      <c r="B199" t="s">
        <v>144</v>
      </c>
      <c r="C199" t="s">
        <v>243</v>
      </c>
      <c r="D199">
        <v>5</v>
      </c>
      <c r="E199" t="s">
        <v>144</v>
      </c>
      <c r="F199">
        <v>95</v>
      </c>
      <c r="G199">
        <f>Table001__Page_15[[#This Row],[FİYAT]]*Table001__Page_15[[#This Row],[MİKTAR]]</f>
        <v>475</v>
      </c>
      <c r="H199">
        <v>1.9</v>
      </c>
      <c r="I199">
        <f>Table001__Page_15[[#This Row],[FİYAT]]*Table001__Page_15[[#This Row],[Sütun2]]</f>
        <v>180.5</v>
      </c>
      <c r="J199">
        <v>180</v>
      </c>
      <c r="K199" t="s">
        <v>188</v>
      </c>
      <c r="L199" s="50">
        <f>Table001__Page_15[[#This Row],[SATIŞ FİYATI]]-Table001__Page_15[[#This Row],[YUVARLAMA]]</f>
        <v>0.5</v>
      </c>
      <c r="M199">
        <v>180</v>
      </c>
      <c r="N199">
        <f>M199-Table001__Page_15[[#This Row],[YUVARLAMA]]</f>
        <v>0</v>
      </c>
    </row>
    <row r="200" spans="1:14" x14ac:dyDescent="0.25">
      <c r="A200" t="s">
        <v>484</v>
      </c>
      <c r="B200" t="s">
        <v>538</v>
      </c>
      <c r="C200" t="s">
        <v>244</v>
      </c>
      <c r="D200">
        <v>5</v>
      </c>
      <c r="E200" t="s">
        <v>127</v>
      </c>
      <c r="F200">
        <v>495</v>
      </c>
      <c r="G200">
        <f>Table001__Page_15[[#This Row],[FİYAT]]*Table001__Page_15[[#This Row],[MİKTAR]]</f>
        <v>2475</v>
      </c>
      <c r="H200">
        <v>1.3</v>
      </c>
      <c r="I200">
        <f>Table001__Page_15[[#This Row],[FİYAT]]*Table001__Page_15[[#This Row],[Sütun2]]</f>
        <v>643.5</v>
      </c>
      <c r="J200">
        <v>650</v>
      </c>
      <c r="K200" t="s">
        <v>188</v>
      </c>
      <c r="L200" s="50">
        <f>Table001__Page_15[[#This Row],[SATIŞ FİYATI]]-Table001__Page_15[[#This Row],[YUVARLAMA]]</f>
        <v>-6.5</v>
      </c>
      <c r="M200">
        <v>650</v>
      </c>
      <c r="N200">
        <f>M200-Table001__Page_15[[#This Row],[YUVARLAMA]]</f>
        <v>0</v>
      </c>
    </row>
    <row r="201" spans="1:14" x14ac:dyDescent="0.25">
      <c r="A201" t="s">
        <v>484</v>
      </c>
      <c r="B201" t="s">
        <v>538</v>
      </c>
      <c r="C201" t="s">
        <v>245</v>
      </c>
      <c r="D201">
        <v>5</v>
      </c>
      <c r="E201" t="s">
        <v>127</v>
      </c>
      <c r="F201">
        <v>475</v>
      </c>
      <c r="G201">
        <f>Table001__Page_15[[#This Row],[FİYAT]]*Table001__Page_15[[#This Row],[MİKTAR]]</f>
        <v>2375</v>
      </c>
      <c r="H201">
        <v>1.37</v>
      </c>
      <c r="I201">
        <f>Table001__Page_15[[#This Row],[FİYAT]]*Table001__Page_15[[#This Row],[Sütun2]]</f>
        <v>650.75</v>
      </c>
      <c r="J201">
        <v>650</v>
      </c>
      <c r="K201" t="s">
        <v>188</v>
      </c>
      <c r="L201" s="50">
        <f>Table001__Page_15[[#This Row],[SATIŞ FİYATI]]-Table001__Page_15[[#This Row],[YUVARLAMA]]</f>
        <v>0.75</v>
      </c>
      <c r="M201">
        <v>650</v>
      </c>
      <c r="N201">
        <f>M201-Table001__Page_15[[#This Row],[YUVARLAMA]]</f>
        <v>0</v>
      </c>
    </row>
    <row r="202" spans="1:14" x14ac:dyDescent="0.25">
      <c r="A202" t="s">
        <v>484</v>
      </c>
      <c r="B202" t="s">
        <v>538</v>
      </c>
      <c r="C202" t="s">
        <v>246</v>
      </c>
      <c r="D202">
        <v>4</v>
      </c>
      <c r="E202" t="s">
        <v>127</v>
      </c>
      <c r="F202">
        <v>1150</v>
      </c>
      <c r="G202">
        <f>Table001__Page_15[[#This Row],[FİYAT]]*Table001__Page_15[[#This Row],[MİKTAR]]</f>
        <v>4600</v>
      </c>
      <c r="H202">
        <v>1.1000000000000001</v>
      </c>
      <c r="I202">
        <f>Table001__Page_15[[#This Row],[FİYAT]]*Table001__Page_15[[#This Row],[Sütun2]]</f>
        <v>1265</v>
      </c>
      <c r="J202">
        <v>1250</v>
      </c>
      <c r="K202" t="s">
        <v>188</v>
      </c>
      <c r="L202" s="50">
        <f>Table001__Page_15[[#This Row],[SATIŞ FİYATI]]-Table001__Page_15[[#This Row],[YUVARLAMA]]</f>
        <v>15</v>
      </c>
      <c r="M202">
        <v>1250</v>
      </c>
      <c r="N202">
        <f>M202-Table001__Page_15[[#This Row],[YUVARLAMA]]</f>
        <v>0</v>
      </c>
    </row>
    <row r="203" spans="1:14" x14ac:dyDescent="0.25">
      <c r="A203" t="s">
        <v>484</v>
      </c>
      <c r="B203" t="s">
        <v>538</v>
      </c>
      <c r="C203" t="s">
        <v>247</v>
      </c>
      <c r="D203">
        <v>5</v>
      </c>
      <c r="E203" t="s">
        <v>127</v>
      </c>
      <c r="F203">
        <v>1050</v>
      </c>
      <c r="G203">
        <f>Table001__Page_15[[#This Row],[FİYAT]]*Table001__Page_15[[#This Row],[MİKTAR]]</f>
        <v>5250</v>
      </c>
      <c r="H203">
        <v>1.1499999999999999</v>
      </c>
      <c r="I203">
        <f>Table001__Page_15[[#This Row],[FİYAT]]*Table001__Page_15[[#This Row],[Sütun2]]</f>
        <v>1207.5</v>
      </c>
      <c r="J203">
        <v>1200</v>
      </c>
      <c r="K203" t="s">
        <v>188</v>
      </c>
      <c r="L203" s="50">
        <f>Table001__Page_15[[#This Row],[SATIŞ FİYATI]]-Table001__Page_15[[#This Row],[YUVARLAMA]]</f>
        <v>7.5</v>
      </c>
      <c r="M203">
        <v>1200</v>
      </c>
      <c r="N203">
        <f>M203-Table001__Page_15[[#This Row],[YUVARLAMA]]</f>
        <v>0</v>
      </c>
    </row>
    <row r="204" spans="1:14" x14ac:dyDescent="0.25">
      <c r="A204" t="s">
        <v>484</v>
      </c>
      <c r="B204" t="s">
        <v>538</v>
      </c>
      <c r="C204" t="s">
        <v>248</v>
      </c>
      <c r="D204">
        <v>5</v>
      </c>
      <c r="E204" t="s">
        <v>127</v>
      </c>
      <c r="F204">
        <v>900</v>
      </c>
      <c r="G204">
        <f>Table001__Page_15[[#This Row],[FİYAT]]*Table001__Page_15[[#This Row],[MİKTAR]]</f>
        <v>4500</v>
      </c>
      <c r="H204">
        <v>1.1200000000000001</v>
      </c>
      <c r="I204">
        <f>Table001__Page_15[[#This Row],[FİYAT]]*Table001__Page_15[[#This Row],[Sütun2]]</f>
        <v>1008.0000000000001</v>
      </c>
      <c r="J204">
        <v>1000</v>
      </c>
      <c r="K204" t="s">
        <v>188</v>
      </c>
      <c r="L204" s="50">
        <f>Table001__Page_15[[#This Row],[SATIŞ FİYATI]]-Table001__Page_15[[#This Row],[YUVARLAMA]]</f>
        <v>8.0000000000001137</v>
      </c>
      <c r="M204">
        <v>1000</v>
      </c>
      <c r="N204">
        <f>M204-Table001__Page_15[[#This Row],[YUVARLAMA]]</f>
        <v>0</v>
      </c>
    </row>
    <row r="205" spans="1:14" x14ac:dyDescent="0.25">
      <c r="A205" t="s">
        <v>540</v>
      </c>
      <c r="B205" t="s">
        <v>538</v>
      </c>
      <c r="C205" t="s">
        <v>249</v>
      </c>
      <c r="D205">
        <v>1</v>
      </c>
      <c r="E205" t="s">
        <v>127</v>
      </c>
      <c r="F205">
        <v>150</v>
      </c>
      <c r="G205">
        <f>Table001__Page_15[[#This Row],[FİYAT]]*Table001__Page_15[[#This Row],[MİKTAR]]</f>
        <v>150</v>
      </c>
      <c r="H205">
        <v>6</v>
      </c>
      <c r="I205">
        <f>Table001__Page_15[[#This Row],[FİYAT]]*Table001__Page_15[[#This Row],[Sütun2]]</f>
        <v>900</v>
      </c>
      <c r="J205">
        <v>900</v>
      </c>
      <c r="K205" t="s">
        <v>188</v>
      </c>
      <c r="L205" s="50">
        <f>Table001__Page_15[[#This Row],[SATIŞ FİYATI]]-Table001__Page_15[[#This Row],[YUVARLAMA]]</f>
        <v>0</v>
      </c>
      <c r="M205">
        <v>900</v>
      </c>
      <c r="N205">
        <f>M205-Table001__Page_15[[#This Row],[YUVARLAMA]]</f>
        <v>0</v>
      </c>
    </row>
    <row r="206" spans="1:14" x14ac:dyDescent="0.25">
      <c r="A206" t="s">
        <v>484</v>
      </c>
      <c r="B206" t="s">
        <v>538</v>
      </c>
      <c r="C206" t="s">
        <v>250</v>
      </c>
      <c r="D206">
        <v>5</v>
      </c>
      <c r="E206" t="s">
        <v>127</v>
      </c>
      <c r="F206">
        <v>500</v>
      </c>
      <c r="G206">
        <f>Table001__Page_15[[#This Row],[FİYAT]]*Table001__Page_15[[#This Row],[MİKTAR]]</f>
        <v>2500</v>
      </c>
      <c r="H206">
        <v>1.3</v>
      </c>
      <c r="I206">
        <f>Table001__Page_15[[#This Row],[FİYAT]]*Table001__Page_15[[#This Row],[Sütun2]]</f>
        <v>650</v>
      </c>
      <c r="J206">
        <v>650</v>
      </c>
      <c r="K206" t="s">
        <v>188</v>
      </c>
      <c r="L206" s="50">
        <f>Table001__Page_15[[#This Row],[SATIŞ FİYATI]]-Table001__Page_15[[#This Row],[YUVARLAMA]]</f>
        <v>0</v>
      </c>
      <c r="M206">
        <v>650</v>
      </c>
      <c r="N206">
        <f>M206-Table001__Page_15[[#This Row],[YUVARLAMA]]</f>
        <v>0</v>
      </c>
    </row>
    <row r="207" spans="1:14" x14ac:dyDescent="0.25">
      <c r="A207" t="s">
        <v>540</v>
      </c>
      <c r="B207" t="s">
        <v>538</v>
      </c>
      <c r="C207" t="s">
        <v>1502</v>
      </c>
      <c r="D207">
        <v>1</v>
      </c>
      <c r="E207" t="s">
        <v>127</v>
      </c>
      <c r="F207">
        <v>180</v>
      </c>
      <c r="G207">
        <f>Table001__Page_15[[#This Row],[FİYAT]]*Table001__Page_15[[#This Row],[MİKTAR]]</f>
        <v>180</v>
      </c>
      <c r="H207">
        <v>5</v>
      </c>
      <c r="I207">
        <f>Table001__Page_15[[#This Row],[FİYAT]]*Table001__Page_15[[#This Row],[Sütun2]]</f>
        <v>900</v>
      </c>
      <c r="J207">
        <v>900</v>
      </c>
      <c r="K207" t="s">
        <v>188</v>
      </c>
      <c r="L207" s="50">
        <f>Table001__Page_15[[#This Row],[SATIŞ FİYATI]]-Table001__Page_15[[#This Row],[YUVARLAMA]]</f>
        <v>0</v>
      </c>
      <c r="M207">
        <v>900</v>
      </c>
      <c r="N207">
        <f>M207-Table001__Page_15[[#This Row],[YUVARLAMA]]</f>
        <v>0</v>
      </c>
    </row>
    <row r="208" spans="1:14" x14ac:dyDescent="0.25">
      <c r="A208" t="s">
        <v>484</v>
      </c>
      <c r="B208" t="s">
        <v>538</v>
      </c>
      <c r="C208" t="s">
        <v>251</v>
      </c>
      <c r="D208">
        <v>5</v>
      </c>
      <c r="E208" t="s">
        <v>127</v>
      </c>
      <c r="F208">
        <v>510</v>
      </c>
      <c r="G208">
        <f>Table001__Page_15[[#This Row],[FİYAT]]*Table001__Page_15[[#This Row],[MİKTAR]]</f>
        <v>2550</v>
      </c>
      <c r="H208">
        <v>1.3</v>
      </c>
      <c r="I208">
        <f>Table001__Page_15[[#This Row],[FİYAT]]*Table001__Page_15[[#This Row],[Sütun2]]</f>
        <v>663</v>
      </c>
      <c r="J208">
        <v>670</v>
      </c>
      <c r="K208" t="s">
        <v>188</v>
      </c>
      <c r="L208" s="50">
        <f>Table001__Page_15[[#This Row],[SATIŞ FİYATI]]-Table001__Page_15[[#This Row],[YUVARLAMA]]</f>
        <v>-7</v>
      </c>
      <c r="M208">
        <v>670</v>
      </c>
      <c r="N208">
        <f>M208-Table001__Page_15[[#This Row],[YUVARLAMA]]</f>
        <v>0</v>
      </c>
    </row>
    <row r="209" spans="1:14" x14ac:dyDescent="0.25">
      <c r="A209" t="s">
        <v>484</v>
      </c>
      <c r="B209" t="s">
        <v>538</v>
      </c>
      <c r="C209" t="s">
        <v>252</v>
      </c>
      <c r="D209">
        <v>5</v>
      </c>
      <c r="E209" t="s">
        <v>127</v>
      </c>
      <c r="F209">
        <v>120</v>
      </c>
      <c r="G209">
        <f>Table001__Page_15[[#This Row],[FİYAT]]*Table001__Page_15[[#This Row],[MİKTAR]]</f>
        <v>600</v>
      </c>
      <c r="H209">
        <v>1.6</v>
      </c>
      <c r="I209">
        <f>Table001__Page_15[[#This Row],[FİYAT]]*Table001__Page_15[[#This Row],[Sütun2]]</f>
        <v>192</v>
      </c>
      <c r="J209">
        <v>200</v>
      </c>
      <c r="K209" t="s">
        <v>188</v>
      </c>
      <c r="L209" s="50">
        <f>Table001__Page_15[[#This Row],[SATIŞ FİYATI]]-Table001__Page_15[[#This Row],[YUVARLAMA]]</f>
        <v>-8</v>
      </c>
      <c r="M209">
        <v>200</v>
      </c>
      <c r="N209">
        <f>M209-Table001__Page_15[[#This Row],[YUVARLAMA]]</f>
        <v>0</v>
      </c>
    </row>
    <row r="210" spans="1:14" x14ac:dyDescent="0.25">
      <c r="A210" t="s">
        <v>484</v>
      </c>
      <c r="B210" t="s">
        <v>538</v>
      </c>
      <c r="C210" t="s">
        <v>253</v>
      </c>
      <c r="D210">
        <v>5</v>
      </c>
      <c r="E210" t="s">
        <v>127</v>
      </c>
      <c r="F210">
        <v>155</v>
      </c>
      <c r="G210">
        <f>Table001__Page_15[[#This Row],[FİYAT]]*Table001__Page_15[[#This Row],[MİKTAR]]</f>
        <v>775</v>
      </c>
      <c r="H210">
        <v>1.5</v>
      </c>
      <c r="I210">
        <f>Table001__Page_15[[#This Row],[FİYAT]]*Table001__Page_15[[#This Row],[Sütun2]]</f>
        <v>232.5</v>
      </c>
      <c r="J210">
        <v>250</v>
      </c>
      <c r="K210" t="s">
        <v>188</v>
      </c>
      <c r="L210" s="50">
        <f>Table001__Page_15[[#This Row],[SATIŞ FİYATI]]-Table001__Page_15[[#This Row],[YUVARLAMA]]</f>
        <v>-17.5</v>
      </c>
      <c r="M210">
        <v>240</v>
      </c>
      <c r="N210">
        <f>M210-Table001__Page_15[[#This Row],[YUVARLAMA]]</f>
        <v>-10</v>
      </c>
    </row>
    <row r="211" spans="1:14" x14ac:dyDescent="0.25">
      <c r="A211" t="s">
        <v>484</v>
      </c>
      <c r="B211" t="s">
        <v>538</v>
      </c>
      <c r="C211" t="s">
        <v>254</v>
      </c>
      <c r="D211">
        <v>5</v>
      </c>
      <c r="E211" t="s">
        <v>127</v>
      </c>
      <c r="F211">
        <v>115</v>
      </c>
      <c r="G211">
        <f>Table001__Page_15[[#This Row],[FİYAT]]*Table001__Page_15[[#This Row],[MİKTAR]]</f>
        <v>575</v>
      </c>
      <c r="H211">
        <v>2</v>
      </c>
      <c r="I211">
        <f>Table001__Page_15[[#This Row],[FİYAT]]*Table001__Page_15[[#This Row],[Sütun2]]</f>
        <v>230</v>
      </c>
      <c r="J211">
        <v>230</v>
      </c>
      <c r="K211" t="s">
        <v>188</v>
      </c>
      <c r="L211" s="50">
        <f>Table001__Page_15[[#This Row],[SATIŞ FİYATI]]-Table001__Page_15[[#This Row],[YUVARLAMA]]</f>
        <v>0</v>
      </c>
      <c r="M211">
        <v>230</v>
      </c>
      <c r="N211">
        <f>M211-Table001__Page_15[[#This Row],[YUVARLAMA]]</f>
        <v>0</v>
      </c>
    </row>
    <row r="212" spans="1:14" x14ac:dyDescent="0.25">
      <c r="A212" t="s">
        <v>542</v>
      </c>
      <c r="B212" t="s">
        <v>144</v>
      </c>
      <c r="C212" t="s">
        <v>255</v>
      </c>
      <c r="D212">
        <v>5</v>
      </c>
      <c r="E212" t="s">
        <v>144</v>
      </c>
      <c r="F212">
        <v>150</v>
      </c>
      <c r="G212">
        <f>Table001__Page_15[[#This Row],[FİYAT]]*Table001__Page_15[[#This Row],[MİKTAR]]</f>
        <v>750</v>
      </c>
      <c r="H212">
        <v>1.27</v>
      </c>
      <c r="I212">
        <f>Table001__Page_15[[#This Row],[FİYAT]]*Table001__Page_15[[#This Row],[Sütun2]]</f>
        <v>190.5</v>
      </c>
      <c r="J212">
        <v>220</v>
      </c>
      <c r="K212" t="s">
        <v>188</v>
      </c>
      <c r="L212" s="50">
        <f>Table001__Page_15[[#This Row],[SATIŞ FİYATI]]-Table001__Page_15[[#This Row],[YUVARLAMA]]</f>
        <v>-29.5</v>
      </c>
      <c r="M212">
        <v>220</v>
      </c>
      <c r="N212">
        <f>M212-Table001__Page_15[[#This Row],[YUVARLAMA]]</f>
        <v>0</v>
      </c>
    </row>
    <row r="213" spans="1:14" x14ac:dyDescent="0.25">
      <c r="A213" t="s">
        <v>542</v>
      </c>
      <c r="B213" t="s">
        <v>144</v>
      </c>
      <c r="C213" t="s">
        <v>256</v>
      </c>
      <c r="D213">
        <v>5</v>
      </c>
      <c r="E213" t="s">
        <v>144</v>
      </c>
      <c r="F213">
        <v>150</v>
      </c>
      <c r="G213">
        <f>Table001__Page_15[[#This Row],[FİYAT]]*Table001__Page_15[[#This Row],[MİKTAR]]</f>
        <v>750</v>
      </c>
      <c r="H213">
        <v>1.27</v>
      </c>
      <c r="I213">
        <f>Table001__Page_15[[#This Row],[FİYAT]]*Table001__Page_15[[#This Row],[Sütun2]]</f>
        <v>190.5</v>
      </c>
      <c r="J213">
        <v>220</v>
      </c>
      <c r="K213" t="s">
        <v>188</v>
      </c>
      <c r="L213" s="50">
        <f>Table001__Page_15[[#This Row],[SATIŞ FİYATI]]-Table001__Page_15[[#This Row],[YUVARLAMA]]</f>
        <v>-29.5</v>
      </c>
      <c r="M213">
        <v>220</v>
      </c>
      <c r="N213">
        <f>M213-Table001__Page_15[[#This Row],[YUVARLAMA]]</f>
        <v>0</v>
      </c>
    </row>
    <row r="214" spans="1:14" x14ac:dyDescent="0.25">
      <c r="A214" t="s">
        <v>542</v>
      </c>
      <c r="B214" t="s">
        <v>144</v>
      </c>
      <c r="C214" t="s">
        <v>257</v>
      </c>
      <c r="D214">
        <v>5</v>
      </c>
      <c r="E214" t="s">
        <v>144</v>
      </c>
      <c r="F214">
        <v>150</v>
      </c>
      <c r="G214">
        <f>Table001__Page_15[[#This Row],[FİYAT]]*Table001__Page_15[[#This Row],[MİKTAR]]</f>
        <v>750</v>
      </c>
      <c r="H214">
        <v>1.27</v>
      </c>
      <c r="I214">
        <f>Table001__Page_15[[#This Row],[FİYAT]]*Table001__Page_15[[#This Row],[Sütun2]]</f>
        <v>190.5</v>
      </c>
      <c r="J214">
        <v>220</v>
      </c>
      <c r="K214" t="s">
        <v>188</v>
      </c>
      <c r="L214" s="50">
        <f>Table001__Page_15[[#This Row],[SATIŞ FİYATI]]-Table001__Page_15[[#This Row],[YUVARLAMA]]</f>
        <v>-29.5</v>
      </c>
      <c r="M214">
        <v>220</v>
      </c>
      <c r="N214">
        <f>M214-Table001__Page_15[[#This Row],[YUVARLAMA]]</f>
        <v>0</v>
      </c>
    </row>
    <row r="215" spans="1:14" x14ac:dyDescent="0.25">
      <c r="A215" t="s">
        <v>484</v>
      </c>
      <c r="B215" t="s">
        <v>538</v>
      </c>
      <c r="C215" t="s">
        <v>258</v>
      </c>
      <c r="D215">
        <v>5</v>
      </c>
      <c r="E215" t="s">
        <v>127</v>
      </c>
      <c r="F215">
        <v>470</v>
      </c>
      <c r="G215">
        <f>Table001__Page_15[[#This Row],[FİYAT]]*Table001__Page_15[[#This Row],[MİKTAR]]</f>
        <v>2350</v>
      </c>
      <c r="H215">
        <v>1.3</v>
      </c>
      <c r="I215">
        <f>Table001__Page_15[[#This Row],[FİYAT]]*Table001__Page_15[[#This Row],[Sütun2]]</f>
        <v>611</v>
      </c>
      <c r="J215">
        <v>620</v>
      </c>
      <c r="K215" t="s">
        <v>188</v>
      </c>
      <c r="L215" s="50">
        <f>Table001__Page_15[[#This Row],[SATIŞ FİYATI]]-Table001__Page_15[[#This Row],[YUVARLAMA]]</f>
        <v>-9</v>
      </c>
      <c r="M215">
        <v>620</v>
      </c>
      <c r="N215">
        <f>M215-Table001__Page_15[[#This Row],[YUVARLAMA]]</f>
        <v>0</v>
      </c>
    </row>
    <row r="216" spans="1:14" x14ac:dyDescent="0.25">
      <c r="A216" t="s">
        <v>542</v>
      </c>
      <c r="B216" t="s">
        <v>144</v>
      </c>
      <c r="C216" t="s">
        <v>259</v>
      </c>
      <c r="D216">
        <v>12</v>
      </c>
      <c r="E216" t="s">
        <v>144</v>
      </c>
      <c r="F216">
        <v>42</v>
      </c>
      <c r="G216">
        <f>Table001__Page_15[[#This Row],[FİYAT]]*Table001__Page_15[[#This Row],[MİKTAR]]</f>
        <v>504</v>
      </c>
      <c r="H216">
        <v>2.4</v>
      </c>
      <c r="I216">
        <f>Table001__Page_15[[#This Row],[FİYAT]]*Table001__Page_15[[#This Row],[Sütun2]]</f>
        <v>100.8</v>
      </c>
      <c r="J216">
        <v>100</v>
      </c>
      <c r="K216" t="s">
        <v>188</v>
      </c>
      <c r="L216" s="50">
        <f>Table001__Page_15[[#This Row],[SATIŞ FİYATI]]-Table001__Page_15[[#This Row],[YUVARLAMA]]</f>
        <v>0.79999999999999716</v>
      </c>
      <c r="M216">
        <v>100</v>
      </c>
      <c r="N216">
        <f>M216-Table001__Page_15[[#This Row],[YUVARLAMA]]</f>
        <v>0</v>
      </c>
    </row>
    <row r="217" spans="1:14" x14ac:dyDescent="0.25">
      <c r="A217" t="s">
        <v>170</v>
      </c>
      <c r="B217" t="s">
        <v>144</v>
      </c>
      <c r="C217" t="s">
        <v>260</v>
      </c>
      <c r="D217">
        <v>5</v>
      </c>
      <c r="E217" t="s">
        <v>144</v>
      </c>
      <c r="F217">
        <v>90</v>
      </c>
      <c r="G217">
        <f>Table001__Page_15[[#This Row],[FİYAT]]*Table001__Page_15[[#This Row],[MİKTAR]]</f>
        <v>450</v>
      </c>
      <c r="H217">
        <v>1.56</v>
      </c>
      <c r="I217">
        <f>Table001__Page_15[[#This Row],[FİYAT]]*Table001__Page_15[[#This Row],[Sütun2]]</f>
        <v>140.4</v>
      </c>
      <c r="J217">
        <v>150</v>
      </c>
      <c r="K217" t="s">
        <v>188</v>
      </c>
      <c r="L217" s="50">
        <f>Table001__Page_15[[#This Row],[SATIŞ FİYATI]]-Table001__Page_15[[#This Row],[YUVARLAMA]]</f>
        <v>-9.5999999999999943</v>
      </c>
      <c r="M217">
        <v>150</v>
      </c>
      <c r="N217">
        <f>M217-Table001__Page_15[[#This Row],[YUVARLAMA]]</f>
        <v>0</v>
      </c>
    </row>
    <row r="218" spans="1:14" x14ac:dyDescent="0.25">
      <c r="A218" t="s">
        <v>170</v>
      </c>
      <c r="B218" t="s">
        <v>144</v>
      </c>
      <c r="C218" t="s">
        <v>261</v>
      </c>
      <c r="D218">
        <v>5</v>
      </c>
      <c r="E218" t="s">
        <v>144</v>
      </c>
      <c r="F218">
        <v>105</v>
      </c>
      <c r="G218">
        <f>Table001__Page_15[[#This Row],[FİYAT]]*Table001__Page_15[[#This Row],[MİKTAR]]</f>
        <v>525</v>
      </c>
      <c r="H218">
        <v>1.56</v>
      </c>
      <c r="I218">
        <f>Table001__Page_15[[#This Row],[FİYAT]]*Table001__Page_15[[#This Row],[Sütun2]]</f>
        <v>163.80000000000001</v>
      </c>
      <c r="J218">
        <v>150</v>
      </c>
      <c r="K218" t="s">
        <v>188</v>
      </c>
      <c r="L218" s="50">
        <f>Table001__Page_15[[#This Row],[SATIŞ FİYATI]]-Table001__Page_15[[#This Row],[YUVARLAMA]]</f>
        <v>13.800000000000011</v>
      </c>
      <c r="M218">
        <v>150</v>
      </c>
      <c r="N218">
        <f>M218-Table001__Page_15[[#This Row],[YUVARLAMA]]</f>
        <v>0</v>
      </c>
    </row>
    <row r="219" spans="1:14" x14ac:dyDescent="0.25">
      <c r="A219" t="s">
        <v>170</v>
      </c>
      <c r="B219" t="s">
        <v>144</v>
      </c>
      <c r="C219" t="s">
        <v>262</v>
      </c>
      <c r="D219">
        <v>5</v>
      </c>
      <c r="E219" t="s">
        <v>144</v>
      </c>
      <c r="F219">
        <v>90</v>
      </c>
      <c r="G219">
        <f>Table001__Page_15[[#This Row],[FİYAT]]*Table001__Page_15[[#This Row],[MİKTAR]]</f>
        <v>450</v>
      </c>
      <c r="H219">
        <v>1.56</v>
      </c>
      <c r="I219">
        <f>Table001__Page_15[[#This Row],[FİYAT]]*Table001__Page_15[[#This Row],[Sütun2]]</f>
        <v>140.4</v>
      </c>
      <c r="J219">
        <v>150</v>
      </c>
      <c r="K219" t="s">
        <v>188</v>
      </c>
      <c r="L219" s="50">
        <f>Table001__Page_15[[#This Row],[SATIŞ FİYATI]]-Table001__Page_15[[#This Row],[YUVARLAMA]]</f>
        <v>-9.5999999999999943</v>
      </c>
      <c r="M219">
        <v>150</v>
      </c>
      <c r="N219">
        <f>M219-Table001__Page_15[[#This Row],[YUVARLAMA]]</f>
        <v>0</v>
      </c>
    </row>
    <row r="220" spans="1:14" x14ac:dyDescent="0.25">
      <c r="A220" t="s">
        <v>170</v>
      </c>
      <c r="B220" t="s">
        <v>144</v>
      </c>
      <c r="C220" t="s">
        <v>263</v>
      </c>
      <c r="D220">
        <v>5</v>
      </c>
      <c r="E220" t="s">
        <v>144</v>
      </c>
      <c r="F220">
        <v>105</v>
      </c>
      <c r="G220">
        <f>Table001__Page_15[[#This Row],[FİYAT]]*Table001__Page_15[[#This Row],[MİKTAR]]</f>
        <v>525</v>
      </c>
      <c r="H220">
        <v>1.34</v>
      </c>
      <c r="I220">
        <f>Table001__Page_15[[#This Row],[FİYAT]]*Table001__Page_15[[#This Row],[Sütun2]]</f>
        <v>140.70000000000002</v>
      </c>
      <c r="J220">
        <v>150</v>
      </c>
      <c r="K220" t="s">
        <v>188</v>
      </c>
      <c r="L220" s="50">
        <f>Table001__Page_15[[#This Row],[SATIŞ FİYATI]]-Table001__Page_15[[#This Row],[YUVARLAMA]]</f>
        <v>-9.2999999999999829</v>
      </c>
      <c r="M220">
        <v>150</v>
      </c>
      <c r="N220">
        <f>M220-Table001__Page_15[[#This Row],[YUVARLAMA]]</f>
        <v>0</v>
      </c>
    </row>
    <row r="221" spans="1:14" x14ac:dyDescent="0.25">
      <c r="A221" t="s">
        <v>170</v>
      </c>
      <c r="B221" t="s">
        <v>144</v>
      </c>
      <c r="C221" t="s">
        <v>264</v>
      </c>
      <c r="D221">
        <v>5</v>
      </c>
      <c r="E221" t="s">
        <v>144</v>
      </c>
      <c r="F221">
        <v>90</v>
      </c>
      <c r="G221">
        <f>Table001__Page_15[[#This Row],[FİYAT]]*Table001__Page_15[[#This Row],[MİKTAR]]</f>
        <v>450</v>
      </c>
      <c r="H221">
        <v>1.56</v>
      </c>
      <c r="I221">
        <f>Table001__Page_15[[#This Row],[FİYAT]]*Table001__Page_15[[#This Row],[Sütun2]]</f>
        <v>140.4</v>
      </c>
      <c r="J221">
        <v>150</v>
      </c>
      <c r="K221" t="s">
        <v>188</v>
      </c>
      <c r="L221" s="50">
        <f>Table001__Page_15[[#This Row],[SATIŞ FİYATI]]-Table001__Page_15[[#This Row],[YUVARLAMA]]</f>
        <v>-9.5999999999999943</v>
      </c>
      <c r="M221">
        <v>150</v>
      </c>
      <c r="N221">
        <f>M221-Table001__Page_15[[#This Row],[YUVARLAMA]]</f>
        <v>0</v>
      </c>
    </row>
    <row r="222" spans="1:14" x14ac:dyDescent="0.25">
      <c r="A222" t="s">
        <v>542</v>
      </c>
      <c r="B222" t="s">
        <v>144</v>
      </c>
      <c r="C222" t="s">
        <v>265</v>
      </c>
      <c r="D222">
        <v>15</v>
      </c>
      <c r="E222" t="s">
        <v>144</v>
      </c>
      <c r="F222">
        <v>48</v>
      </c>
      <c r="G222">
        <f>Table001__Page_15[[#This Row],[FİYAT]]*Table001__Page_15[[#This Row],[MİKTAR]]</f>
        <v>720</v>
      </c>
      <c r="H222">
        <v>2</v>
      </c>
      <c r="I222">
        <f>Table001__Page_15[[#This Row],[FİYAT]]*Table001__Page_15[[#This Row],[Sütun2]]</f>
        <v>96</v>
      </c>
      <c r="J222">
        <v>90</v>
      </c>
      <c r="K222" t="s">
        <v>188</v>
      </c>
      <c r="L222" s="50">
        <f>Table001__Page_15[[#This Row],[SATIŞ FİYATI]]-Table001__Page_15[[#This Row],[YUVARLAMA]]</f>
        <v>6</v>
      </c>
      <c r="M222">
        <v>90</v>
      </c>
      <c r="N222">
        <f>M222-Table001__Page_15[[#This Row],[YUVARLAMA]]</f>
        <v>0</v>
      </c>
    </row>
    <row r="223" spans="1:14" x14ac:dyDescent="0.25">
      <c r="A223" t="s">
        <v>484</v>
      </c>
      <c r="B223" t="s">
        <v>538</v>
      </c>
      <c r="C223" t="s">
        <v>266</v>
      </c>
      <c r="D223">
        <v>5</v>
      </c>
      <c r="E223" t="s">
        <v>127</v>
      </c>
      <c r="F223">
        <v>170</v>
      </c>
      <c r="G223">
        <f>Table001__Page_15[[#This Row],[FİYAT]]*Table001__Page_15[[#This Row],[MİKTAR]]</f>
        <v>850</v>
      </c>
      <c r="H223">
        <v>1.5</v>
      </c>
      <c r="I223">
        <f>Table001__Page_15[[#This Row],[FİYAT]]*Table001__Page_15[[#This Row],[Sütun2]]</f>
        <v>255</v>
      </c>
      <c r="J223">
        <v>250</v>
      </c>
      <c r="K223" t="s">
        <v>188</v>
      </c>
      <c r="L223" s="50">
        <f>Table001__Page_15[[#This Row],[SATIŞ FİYATI]]-Table001__Page_15[[#This Row],[YUVARLAMA]]</f>
        <v>5</v>
      </c>
      <c r="M223">
        <v>250</v>
      </c>
      <c r="N223">
        <f>M223-Table001__Page_15[[#This Row],[YUVARLAMA]]</f>
        <v>0</v>
      </c>
    </row>
    <row r="224" spans="1:14" x14ac:dyDescent="0.25">
      <c r="A224" t="s">
        <v>541</v>
      </c>
      <c r="B224" t="s">
        <v>144</v>
      </c>
      <c r="C224" t="s">
        <v>267</v>
      </c>
      <c r="D224">
        <v>13</v>
      </c>
      <c r="E224" t="s">
        <v>144</v>
      </c>
      <c r="F224">
        <v>110</v>
      </c>
      <c r="G224">
        <f>Table001__Page_15[[#This Row],[FİYAT]]*Table001__Page_15[[#This Row],[MİKTAR]]</f>
        <v>1430</v>
      </c>
      <c r="H224">
        <v>1.7</v>
      </c>
      <c r="I224">
        <f>Table001__Page_15[[#This Row],[FİYAT]]*Table001__Page_15[[#This Row],[Sütun2]]</f>
        <v>187</v>
      </c>
      <c r="J224">
        <v>190</v>
      </c>
      <c r="K224" t="s">
        <v>188</v>
      </c>
      <c r="L224" s="50">
        <f>Table001__Page_15[[#This Row],[SATIŞ FİYATI]]-Table001__Page_15[[#This Row],[YUVARLAMA]]</f>
        <v>-3</v>
      </c>
      <c r="M224">
        <v>190</v>
      </c>
      <c r="N224">
        <f>M224-Table001__Page_15[[#This Row],[YUVARLAMA]]</f>
        <v>0</v>
      </c>
    </row>
    <row r="225" spans="1:14" x14ac:dyDescent="0.25">
      <c r="A225" t="s">
        <v>541</v>
      </c>
      <c r="B225" t="s">
        <v>144</v>
      </c>
      <c r="C225" t="s">
        <v>268</v>
      </c>
      <c r="D225">
        <v>5</v>
      </c>
      <c r="E225" t="s">
        <v>144</v>
      </c>
      <c r="F225">
        <v>75</v>
      </c>
      <c r="G225">
        <f>Table001__Page_15[[#This Row],[FİYAT]]*Table001__Page_15[[#This Row],[MİKTAR]]</f>
        <v>375</v>
      </c>
      <c r="H225">
        <v>1.8</v>
      </c>
      <c r="I225">
        <f>Table001__Page_15[[#This Row],[FİYAT]]*Table001__Page_15[[#This Row],[Sütun2]]</f>
        <v>135</v>
      </c>
      <c r="J225">
        <v>170</v>
      </c>
      <c r="K225" t="s">
        <v>188</v>
      </c>
      <c r="L225" s="50">
        <f>Table001__Page_15[[#This Row],[SATIŞ FİYATI]]-Table001__Page_15[[#This Row],[YUVARLAMA]]</f>
        <v>-35</v>
      </c>
      <c r="M225">
        <v>170</v>
      </c>
      <c r="N225">
        <f>M225-Table001__Page_15[[#This Row],[YUVARLAMA]]</f>
        <v>0</v>
      </c>
    </row>
    <row r="226" spans="1:14" x14ac:dyDescent="0.25">
      <c r="A226" t="s">
        <v>125</v>
      </c>
      <c r="B226" t="s">
        <v>538</v>
      </c>
      <c r="C226" t="s">
        <v>697</v>
      </c>
      <c r="D226">
        <v>1</v>
      </c>
      <c r="E226" t="s">
        <v>144</v>
      </c>
      <c r="F226">
        <v>255</v>
      </c>
      <c r="G226">
        <f>Table001__Page_15[[#This Row],[FİYAT]]*Table001__Page_15[[#This Row],[MİKTAR]]</f>
        <v>255</v>
      </c>
      <c r="H226">
        <v>3</v>
      </c>
      <c r="I226">
        <f>Table001__Page_15[[#This Row],[FİYAT]]*Table001__Page_15[[#This Row],[Sütun2]]</f>
        <v>765</v>
      </c>
      <c r="J226">
        <v>75</v>
      </c>
      <c r="K226" t="s">
        <v>188</v>
      </c>
      <c r="L226" s="50">
        <f>Table001__Page_15[[#This Row],[SATIŞ FİYATI]]-Table001__Page_15[[#This Row],[YUVARLAMA]]</f>
        <v>690</v>
      </c>
      <c r="M226">
        <v>75</v>
      </c>
      <c r="N226">
        <f>M226-Table001__Page_15[[#This Row],[YUVARLAMA]]</f>
        <v>0</v>
      </c>
    </row>
    <row r="227" spans="1:14" x14ac:dyDescent="0.25">
      <c r="A227" t="s">
        <v>542</v>
      </c>
      <c r="B227" t="s">
        <v>144</v>
      </c>
      <c r="C227" t="s">
        <v>455</v>
      </c>
      <c r="D227">
        <v>5</v>
      </c>
      <c r="E227" t="s">
        <v>144</v>
      </c>
      <c r="F227">
        <v>25</v>
      </c>
      <c r="G227">
        <f>Table001__Page_15[[#This Row],[FİYAT]]*Table001__Page_15[[#This Row],[MİKTAR]]</f>
        <v>125</v>
      </c>
      <c r="H227">
        <v>3.2</v>
      </c>
      <c r="I227">
        <f>Table001__Page_15[[#This Row],[FİYAT]]*Table001__Page_15[[#This Row],[Sütun2]]</f>
        <v>80</v>
      </c>
      <c r="J227">
        <v>80</v>
      </c>
      <c r="K227" t="s">
        <v>188</v>
      </c>
      <c r="L227" s="50">
        <f>Table001__Page_15[[#This Row],[SATIŞ FİYATI]]-Table001__Page_15[[#This Row],[YUVARLAMA]]</f>
        <v>0</v>
      </c>
      <c r="M227">
        <v>80</v>
      </c>
      <c r="N227">
        <f>M227-Table001__Page_15[[#This Row],[YUVARLAMA]]</f>
        <v>0</v>
      </c>
    </row>
    <row r="228" spans="1:14" x14ac:dyDescent="0.25">
      <c r="A228" t="s">
        <v>542</v>
      </c>
      <c r="B228" t="s">
        <v>144</v>
      </c>
      <c r="C228" t="s">
        <v>456</v>
      </c>
      <c r="D228">
        <v>5</v>
      </c>
      <c r="E228" t="s">
        <v>144</v>
      </c>
      <c r="F228">
        <v>25</v>
      </c>
      <c r="G228">
        <f>Table001__Page_15[[#This Row],[FİYAT]]*Table001__Page_15[[#This Row],[MİKTAR]]</f>
        <v>125</v>
      </c>
      <c r="H228">
        <v>3.2</v>
      </c>
      <c r="I228">
        <f>Table001__Page_15[[#This Row],[FİYAT]]*Table001__Page_15[[#This Row],[Sütun2]]</f>
        <v>80</v>
      </c>
      <c r="J228">
        <v>80</v>
      </c>
      <c r="K228" t="s">
        <v>188</v>
      </c>
      <c r="L228" s="50">
        <f>Table001__Page_15[[#This Row],[SATIŞ FİYATI]]-Table001__Page_15[[#This Row],[YUVARLAMA]]</f>
        <v>0</v>
      </c>
      <c r="M228">
        <v>80</v>
      </c>
      <c r="N228">
        <f>M228-Table001__Page_15[[#This Row],[YUVARLAMA]]</f>
        <v>0</v>
      </c>
    </row>
    <row r="229" spans="1:14" x14ac:dyDescent="0.25">
      <c r="A229" t="s">
        <v>177</v>
      </c>
      <c r="B229" t="s">
        <v>144</v>
      </c>
      <c r="C229" t="s">
        <v>486</v>
      </c>
      <c r="D229">
        <v>10</v>
      </c>
      <c r="E229" t="s">
        <v>144</v>
      </c>
      <c r="F229">
        <v>90</v>
      </c>
      <c r="G229">
        <f>Table001__Page_15[[#This Row],[FİYAT]]*Table001__Page_15[[#This Row],[MİKTAR]]</f>
        <v>900</v>
      </c>
      <c r="H229">
        <v>2</v>
      </c>
      <c r="I229">
        <f>Table001__Page_15[[#This Row],[FİYAT]]*Table001__Page_15[[#This Row],[Sütun2]]</f>
        <v>180</v>
      </c>
      <c r="J229">
        <v>180</v>
      </c>
      <c r="K229" t="s">
        <v>188</v>
      </c>
      <c r="L229" s="50">
        <f>Table001__Page_15[[#This Row],[SATIŞ FİYATI]]-Table001__Page_15[[#This Row],[YUVARLAMA]]</f>
        <v>0</v>
      </c>
      <c r="M229">
        <v>180</v>
      </c>
      <c r="N229">
        <f>M229-Table001__Page_15[[#This Row],[YUVARLAMA]]</f>
        <v>0</v>
      </c>
    </row>
    <row r="230" spans="1:14" x14ac:dyDescent="0.25">
      <c r="A230" t="s">
        <v>125</v>
      </c>
      <c r="B230" t="s">
        <v>538</v>
      </c>
      <c r="C230" t="s">
        <v>457</v>
      </c>
      <c r="D230">
        <v>1</v>
      </c>
      <c r="E230" t="s">
        <v>127</v>
      </c>
      <c r="F230">
        <v>400</v>
      </c>
      <c r="G230">
        <f>Table001__Page_15[[#This Row],[FİYAT]]*Table001__Page_15[[#This Row],[MİKTAR]]</f>
        <v>400</v>
      </c>
      <c r="H230">
        <v>1.75</v>
      </c>
      <c r="I230">
        <f>Table001__Page_15[[#This Row],[FİYAT]]*Table001__Page_15[[#This Row],[Sütun2]]</f>
        <v>700</v>
      </c>
      <c r="J230">
        <v>700</v>
      </c>
      <c r="K230" t="s">
        <v>188</v>
      </c>
      <c r="L230" s="50">
        <f>Table001__Page_15[[#This Row],[SATIŞ FİYATI]]-Table001__Page_15[[#This Row],[YUVARLAMA]]</f>
        <v>0</v>
      </c>
      <c r="M230">
        <v>700</v>
      </c>
      <c r="N230">
        <f>M230-Table001__Page_15[[#This Row],[YUVARLAMA]]</f>
        <v>0</v>
      </c>
    </row>
    <row r="231" spans="1:14" x14ac:dyDescent="0.25">
      <c r="A231" t="s">
        <v>542</v>
      </c>
      <c r="B231" t="s">
        <v>538</v>
      </c>
      <c r="C231" t="s">
        <v>458</v>
      </c>
      <c r="D231">
        <v>1</v>
      </c>
      <c r="E231" t="s">
        <v>127</v>
      </c>
      <c r="F231">
        <v>28.5</v>
      </c>
      <c r="G231">
        <f>Table001__Page_15[[#This Row],[FİYAT]]*Table001__Page_15[[#This Row],[MİKTAR]]</f>
        <v>28.5</v>
      </c>
      <c r="H231">
        <v>3</v>
      </c>
      <c r="I231">
        <f>Table001__Page_15[[#This Row],[FİYAT]]*Table001__Page_15[[#This Row],[Sütun2]]</f>
        <v>85.5</v>
      </c>
      <c r="J231">
        <v>80</v>
      </c>
      <c r="K231" t="s">
        <v>188</v>
      </c>
      <c r="L231" s="50">
        <f>Table001__Page_15[[#This Row],[SATIŞ FİYATI]]-Table001__Page_15[[#This Row],[YUVARLAMA]]</f>
        <v>5.5</v>
      </c>
      <c r="M231">
        <v>80</v>
      </c>
      <c r="N231">
        <f>M231-Table001__Page_15[[#This Row],[YUVARLAMA]]</f>
        <v>0</v>
      </c>
    </row>
    <row r="232" spans="1:14" x14ac:dyDescent="0.25">
      <c r="A232" t="s">
        <v>540</v>
      </c>
      <c r="B232" t="s">
        <v>538</v>
      </c>
      <c r="C232" t="s">
        <v>459</v>
      </c>
      <c r="D232">
        <v>2</v>
      </c>
      <c r="E232" t="s">
        <v>127</v>
      </c>
      <c r="F232">
        <v>70</v>
      </c>
      <c r="G232">
        <f>Table001__Page_15[[#This Row],[FİYAT]]*Table001__Page_15[[#This Row],[MİKTAR]]</f>
        <v>140</v>
      </c>
      <c r="H232">
        <v>2</v>
      </c>
      <c r="I232">
        <f>Table001__Page_15[[#This Row],[FİYAT]]*Table001__Page_15[[#This Row],[Sütun2]]</f>
        <v>140</v>
      </c>
      <c r="J232">
        <v>140</v>
      </c>
      <c r="K232" t="s">
        <v>188</v>
      </c>
      <c r="L232" s="50">
        <f>Table001__Page_15[[#This Row],[SATIŞ FİYATI]]-Table001__Page_15[[#This Row],[YUVARLAMA]]</f>
        <v>0</v>
      </c>
      <c r="M232">
        <v>140</v>
      </c>
      <c r="N232">
        <f>M232-Table001__Page_15[[#This Row],[YUVARLAMA]]</f>
        <v>0</v>
      </c>
    </row>
    <row r="233" spans="1:14" x14ac:dyDescent="0.25">
      <c r="A233" t="s">
        <v>177</v>
      </c>
      <c r="B233" t="s">
        <v>144</v>
      </c>
      <c r="C233" t="s">
        <v>460</v>
      </c>
      <c r="D233">
        <v>20</v>
      </c>
      <c r="E233" t="s">
        <v>144</v>
      </c>
      <c r="F233">
        <v>6.5</v>
      </c>
      <c r="G233">
        <f>Table001__Page_15[[#This Row],[FİYAT]]*Table001__Page_15[[#This Row],[MİKTAR]]</f>
        <v>130</v>
      </c>
      <c r="H233">
        <v>2.2999999999999998</v>
      </c>
      <c r="I233">
        <f>Table001__Page_15[[#This Row],[FİYAT]]*Table001__Page_15[[#This Row],[Sütun2]]</f>
        <v>14.95</v>
      </c>
      <c r="J233">
        <v>15</v>
      </c>
      <c r="K233" t="s">
        <v>188</v>
      </c>
      <c r="L233" s="50">
        <f>Table001__Page_15[[#This Row],[SATIŞ FİYATI]]-Table001__Page_15[[#This Row],[YUVARLAMA]]</f>
        <v>-5.0000000000000711E-2</v>
      </c>
      <c r="M233">
        <v>15</v>
      </c>
      <c r="N233">
        <f>M233-Table001__Page_15[[#This Row],[YUVARLAMA]]</f>
        <v>0</v>
      </c>
    </row>
    <row r="234" spans="1:14" x14ac:dyDescent="0.25">
      <c r="A234" t="s">
        <v>177</v>
      </c>
      <c r="B234" t="s">
        <v>144</v>
      </c>
      <c r="C234" t="s">
        <v>461</v>
      </c>
      <c r="D234">
        <v>6</v>
      </c>
      <c r="E234" t="s">
        <v>144</v>
      </c>
      <c r="F234">
        <v>50</v>
      </c>
      <c r="G234">
        <f>Table001__Page_15[[#This Row],[FİYAT]]*Table001__Page_15[[#This Row],[MİKTAR]]</f>
        <v>300</v>
      </c>
      <c r="H234">
        <v>2</v>
      </c>
      <c r="I234">
        <f>Table001__Page_15[[#This Row],[FİYAT]]*Table001__Page_15[[#This Row],[Sütun2]]</f>
        <v>100</v>
      </c>
      <c r="J234">
        <v>100</v>
      </c>
      <c r="K234" t="s">
        <v>188</v>
      </c>
      <c r="L234" s="50">
        <f>Table001__Page_15[[#This Row],[SATIŞ FİYATI]]-Table001__Page_15[[#This Row],[YUVARLAMA]]</f>
        <v>0</v>
      </c>
      <c r="M234">
        <v>100</v>
      </c>
      <c r="N234">
        <f>M234-Table001__Page_15[[#This Row],[YUVARLAMA]]</f>
        <v>0</v>
      </c>
    </row>
    <row r="235" spans="1:14" x14ac:dyDescent="0.25">
      <c r="A235" t="s">
        <v>177</v>
      </c>
      <c r="B235" t="s">
        <v>144</v>
      </c>
      <c r="C235" t="s">
        <v>462</v>
      </c>
      <c r="D235">
        <v>5</v>
      </c>
      <c r="E235" t="s">
        <v>144</v>
      </c>
      <c r="F235">
        <v>60</v>
      </c>
      <c r="G235">
        <f>Table001__Page_15[[#This Row],[FİYAT]]*Table001__Page_15[[#This Row],[MİKTAR]]</f>
        <v>300</v>
      </c>
      <c r="H235">
        <v>2</v>
      </c>
      <c r="I235">
        <f>Table001__Page_15[[#This Row],[FİYAT]]*Table001__Page_15[[#This Row],[Sütun2]]</f>
        <v>120</v>
      </c>
      <c r="J235">
        <v>120</v>
      </c>
      <c r="K235" t="s">
        <v>188</v>
      </c>
      <c r="L235" s="50">
        <f>Table001__Page_15[[#This Row],[SATIŞ FİYATI]]-Table001__Page_15[[#This Row],[YUVARLAMA]]</f>
        <v>0</v>
      </c>
      <c r="M235">
        <v>120</v>
      </c>
      <c r="N235">
        <f>M235-Table001__Page_15[[#This Row],[YUVARLAMA]]</f>
        <v>0</v>
      </c>
    </row>
    <row r="236" spans="1:14" x14ac:dyDescent="0.25">
      <c r="A236" t="s">
        <v>125</v>
      </c>
      <c r="B236" t="s">
        <v>537</v>
      </c>
      <c r="C236" t="s">
        <v>463</v>
      </c>
      <c r="D236">
        <v>5</v>
      </c>
      <c r="E236" t="s">
        <v>127</v>
      </c>
      <c r="F236">
        <v>210</v>
      </c>
      <c r="G236">
        <f>Table001__Page_15[[#This Row],[FİYAT]]*Table001__Page_15[[#This Row],[MİKTAR]]</f>
        <v>1050</v>
      </c>
      <c r="H236">
        <v>1.8</v>
      </c>
      <c r="I236">
        <f>Table001__Page_15[[#This Row],[FİYAT]]*Table001__Page_15[[#This Row],[Sütun2]]</f>
        <v>378</v>
      </c>
      <c r="J236">
        <v>400</v>
      </c>
      <c r="K236" t="s">
        <v>188</v>
      </c>
      <c r="L236" s="50">
        <f>Table001__Page_15[[#This Row],[SATIŞ FİYATI]]-Table001__Page_15[[#This Row],[YUVARLAMA]]</f>
        <v>-22</v>
      </c>
      <c r="M236">
        <v>400</v>
      </c>
      <c r="N236">
        <f>M236-Table001__Page_15[[#This Row],[YUVARLAMA]]</f>
        <v>0</v>
      </c>
    </row>
    <row r="237" spans="1:14" x14ac:dyDescent="0.25">
      <c r="A237" t="s">
        <v>177</v>
      </c>
      <c r="B237" t="s">
        <v>144</v>
      </c>
      <c r="C237" t="s">
        <v>464</v>
      </c>
      <c r="D237">
        <v>1.71</v>
      </c>
      <c r="E237" t="s">
        <v>127</v>
      </c>
      <c r="F237">
        <v>175</v>
      </c>
      <c r="G237">
        <f>Table001__Page_15[[#This Row],[FİYAT]]*Table001__Page_15[[#This Row],[MİKTAR]]</f>
        <v>299.25</v>
      </c>
      <c r="H237">
        <v>2</v>
      </c>
      <c r="I237">
        <f>Table001__Page_15[[#This Row],[TUTAR]]*2</f>
        <v>598.5</v>
      </c>
      <c r="J237">
        <v>60</v>
      </c>
      <c r="K237" t="s">
        <v>188</v>
      </c>
      <c r="L237" s="50">
        <f>Table001__Page_15[[#This Row],[SATIŞ FİYATI]]-Table001__Page_15[[#This Row],[YUVARLAMA]]</f>
        <v>538.5</v>
      </c>
      <c r="M237">
        <v>60</v>
      </c>
      <c r="N237">
        <f>M237-Table001__Page_15[[#This Row],[YUVARLAMA]]</f>
        <v>0</v>
      </c>
    </row>
    <row r="238" spans="1:14" x14ac:dyDescent="0.25">
      <c r="A238" t="s">
        <v>177</v>
      </c>
      <c r="B238" t="s">
        <v>144</v>
      </c>
      <c r="C238" t="s">
        <v>465</v>
      </c>
      <c r="D238">
        <v>1.73</v>
      </c>
      <c r="E238" t="s">
        <v>127</v>
      </c>
      <c r="F238">
        <v>175</v>
      </c>
      <c r="G238">
        <f>Table001__Page_15[[#This Row],[FİYAT]]*Table001__Page_15[[#This Row],[MİKTAR]]</f>
        <v>302.75</v>
      </c>
      <c r="H238">
        <v>2</v>
      </c>
      <c r="I238">
        <f>Table001__Page_15[[#This Row],[TUTAR]]*2</f>
        <v>605.5</v>
      </c>
      <c r="J238">
        <v>60</v>
      </c>
      <c r="K238" t="s">
        <v>188</v>
      </c>
      <c r="L238" s="50">
        <f>Table001__Page_15[[#This Row],[SATIŞ FİYATI]]-Table001__Page_15[[#This Row],[YUVARLAMA]]</f>
        <v>545.5</v>
      </c>
      <c r="M238">
        <v>60</v>
      </c>
      <c r="N238">
        <f>M238-Table001__Page_15[[#This Row],[YUVARLAMA]]</f>
        <v>0</v>
      </c>
    </row>
    <row r="239" spans="1:14" x14ac:dyDescent="0.25">
      <c r="A239" t="s">
        <v>177</v>
      </c>
      <c r="B239" t="s">
        <v>144</v>
      </c>
      <c r="C239" t="s">
        <v>466</v>
      </c>
      <c r="D239">
        <v>1.83</v>
      </c>
      <c r="E239" t="s">
        <v>127</v>
      </c>
      <c r="F239">
        <v>175</v>
      </c>
      <c r="G239">
        <f>Table001__Page_15[[#This Row],[FİYAT]]*Table001__Page_15[[#This Row],[MİKTAR]]</f>
        <v>320.25</v>
      </c>
      <c r="H239">
        <v>2</v>
      </c>
      <c r="I239">
        <f>Table001__Page_15[[#This Row],[TUTAR]]*2</f>
        <v>640.5</v>
      </c>
      <c r="J239">
        <v>60</v>
      </c>
      <c r="K239" t="s">
        <v>188</v>
      </c>
      <c r="L239" s="50">
        <f>Table001__Page_15[[#This Row],[SATIŞ FİYATI]]-Table001__Page_15[[#This Row],[YUVARLAMA]]</f>
        <v>580.5</v>
      </c>
      <c r="M239">
        <v>60</v>
      </c>
      <c r="N239">
        <f>M239-Table001__Page_15[[#This Row],[YUVARLAMA]]</f>
        <v>0</v>
      </c>
    </row>
    <row r="240" spans="1:14" x14ac:dyDescent="0.25">
      <c r="A240" t="s">
        <v>177</v>
      </c>
      <c r="B240" t="s">
        <v>144</v>
      </c>
      <c r="C240" t="s">
        <v>467</v>
      </c>
      <c r="D240">
        <v>1.71</v>
      </c>
      <c r="E240" t="s">
        <v>127</v>
      </c>
      <c r="F240">
        <v>175</v>
      </c>
      <c r="G240">
        <f>Table001__Page_15[[#This Row],[FİYAT]]*Table001__Page_15[[#This Row],[MİKTAR]]</f>
        <v>299.25</v>
      </c>
      <c r="H240">
        <v>2</v>
      </c>
      <c r="I240">
        <f>Table001__Page_15[[#This Row],[TUTAR]]*2</f>
        <v>598.5</v>
      </c>
      <c r="J240">
        <v>60</v>
      </c>
      <c r="K240" t="s">
        <v>188</v>
      </c>
      <c r="L240" s="50">
        <f>Table001__Page_15[[#This Row],[SATIŞ FİYATI]]-Table001__Page_15[[#This Row],[YUVARLAMA]]</f>
        <v>538.5</v>
      </c>
      <c r="M240">
        <v>60</v>
      </c>
      <c r="N240">
        <f>M240-Table001__Page_15[[#This Row],[YUVARLAMA]]</f>
        <v>0</v>
      </c>
    </row>
    <row r="241" spans="1:14" x14ac:dyDescent="0.25">
      <c r="A241" t="s">
        <v>177</v>
      </c>
      <c r="B241" t="s">
        <v>144</v>
      </c>
      <c r="C241" t="s">
        <v>468</v>
      </c>
      <c r="D241">
        <v>1.83</v>
      </c>
      <c r="E241" t="s">
        <v>127</v>
      </c>
      <c r="F241">
        <v>175</v>
      </c>
      <c r="G241">
        <f>Table001__Page_15[[#This Row],[FİYAT]]*Table001__Page_15[[#This Row],[MİKTAR]]</f>
        <v>320.25</v>
      </c>
      <c r="H241">
        <v>2</v>
      </c>
      <c r="I241">
        <f>Table001__Page_15[[#This Row],[TUTAR]]*2</f>
        <v>640.5</v>
      </c>
      <c r="J241">
        <v>60</v>
      </c>
      <c r="K241" t="s">
        <v>188</v>
      </c>
      <c r="L241" s="50">
        <f>Table001__Page_15[[#This Row],[SATIŞ FİYATI]]-Table001__Page_15[[#This Row],[YUVARLAMA]]</f>
        <v>580.5</v>
      </c>
      <c r="M241">
        <v>60</v>
      </c>
      <c r="N241">
        <f>M241-Table001__Page_15[[#This Row],[YUVARLAMA]]</f>
        <v>0</v>
      </c>
    </row>
    <row r="242" spans="1:14" x14ac:dyDescent="0.25">
      <c r="A242" t="s">
        <v>177</v>
      </c>
      <c r="B242" t="s">
        <v>144</v>
      </c>
      <c r="C242" t="s">
        <v>469</v>
      </c>
      <c r="D242">
        <v>1.57</v>
      </c>
      <c r="E242" t="s">
        <v>127</v>
      </c>
      <c r="F242">
        <v>175</v>
      </c>
      <c r="G242">
        <f>Table001__Page_15[[#This Row],[FİYAT]]*Table001__Page_15[[#This Row],[MİKTAR]]</f>
        <v>274.75</v>
      </c>
      <c r="H242">
        <v>2</v>
      </c>
      <c r="I242">
        <f>Table001__Page_15[[#This Row],[TUTAR]]*2</f>
        <v>549.5</v>
      </c>
      <c r="J242">
        <v>60</v>
      </c>
      <c r="K242" t="s">
        <v>188</v>
      </c>
      <c r="L242" s="50">
        <f>Table001__Page_15[[#This Row],[SATIŞ FİYATI]]-Table001__Page_15[[#This Row],[YUVARLAMA]]</f>
        <v>489.5</v>
      </c>
      <c r="M242">
        <v>60</v>
      </c>
      <c r="N242">
        <f>M242-Table001__Page_15[[#This Row],[YUVARLAMA]]</f>
        <v>0</v>
      </c>
    </row>
    <row r="243" spans="1:14" x14ac:dyDescent="0.25">
      <c r="A243" t="s">
        <v>177</v>
      </c>
      <c r="B243" t="s">
        <v>144</v>
      </c>
      <c r="C243" t="s">
        <v>470</v>
      </c>
      <c r="D243">
        <v>1.71</v>
      </c>
      <c r="E243" t="s">
        <v>127</v>
      </c>
      <c r="F243">
        <v>175</v>
      </c>
      <c r="G243">
        <f>Table001__Page_15[[#This Row],[FİYAT]]*Table001__Page_15[[#This Row],[MİKTAR]]</f>
        <v>299.25</v>
      </c>
      <c r="H243">
        <v>2</v>
      </c>
      <c r="I243">
        <f>Table001__Page_15[[#This Row],[TUTAR]]*2</f>
        <v>598.5</v>
      </c>
      <c r="J243">
        <v>60</v>
      </c>
      <c r="K243" t="s">
        <v>188</v>
      </c>
      <c r="L243" s="50">
        <f>Table001__Page_15[[#This Row],[SATIŞ FİYATI]]-Table001__Page_15[[#This Row],[YUVARLAMA]]</f>
        <v>538.5</v>
      </c>
      <c r="M243">
        <v>60</v>
      </c>
      <c r="N243">
        <f>M243-Table001__Page_15[[#This Row],[YUVARLAMA]]</f>
        <v>0</v>
      </c>
    </row>
    <row r="244" spans="1:14" x14ac:dyDescent="0.25">
      <c r="A244" t="s">
        <v>541</v>
      </c>
      <c r="B244" t="s">
        <v>144</v>
      </c>
      <c r="C244" t="s">
        <v>588</v>
      </c>
      <c r="D244">
        <v>20</v>
      </c>
      <c r="E244" t="s">
        <v>144</v>
      </c>
      <c r="F244">
        <v>235</v>
      </c>
      <c r="G244">
        <f>Table001__Page_15[[#This Row],[FİYAT]]*Table001__Page_15[[#This Row],[MİKTAR]]</f>
        <v>4700</v>
      </c>
      <c r="H244">
        <v>1.5</v>
      </c>
      <c r="I244">
        <f>Table001__Page_15[[#This Row],[FİYAT]]*Table001__Page_15[[#This Row],[Sütun2]]</f>
        <v>352.5</v>
      </c>
      <c r="J244">
        <v>350</v>
      </c>
      <c r="K244" t="s">
        <v>188</v>
      </c>
      <c r="L244" s="50">
        <f>Table001__Page_15[[#This Row],[SATIŞ FİYATI]]-Table001__Page_15[[#This Row],[YUVARLAMA]]</f>
        <v>2.5</v>
      </c>
      <c r="M244">
        <v>350</v>
      </c>
      <c r="N244">
        <f>M244-Table001__Page_15[[#This Row],[YUVARLAMA]]</f>
        <v>0</v>
      </c>
    </row>
    <row r="245" spans="1:14" x14ac:dyDescent="0.25">
      <c r="A245" t="s">
        <v>541</v>
      </c>
      <c r="B245" t="s">
        <v>537</v>
      </c>
      <c r="C245" t="s">
        <v>585</v>
      </c>
      <c r="D245">
        <v>19.350000000000001</v>
      </c>
      <c r="E245" t="s">
        <v>127</v>
      </c>
      <c r="F245">
        <v>93.02</v>
      </c>
      <c r="G245">
        <v>1800</v>
      </c>
      <c r="H245">
        <v>2.1</v>
      </c>
      <c r="I245">
        <f>Table001__Page_15[[#This Row],[FİYAT]]*Table001__Page_15[[#This Row],[Sütun2]]</f>
        <v>195.34200000000001</v>
      </c>
      <c r="J245">
        <v>200</v>
      </c>
      <c r="K245" t="s">
        <v>188</v>
      </c>
      <c r="L245" s="50">
        <f>Table001__Page_15[[#This Row],[SATIŞ FİYATI]]-Table001__Page_15[[#This Row],[YUVARLAMA]]</f>
        <v>-4.657999999999987</v>
      </c>
      <c r="M245">
        <v>200</v>
      </c>
      <c r="N245">
        <f>M245-Table001__Page_15[[#This Row],[YUVARLAMA]]</f>
        <v>0</v>
      </c>
    </row>
    <row r="246" spans="1:14" x14ac:dyDescent="0.25">
      <c r="A246" t="s">
        <v>541</v>
      </c>
      <c r="B246" t="s">
        <v>537</v>
      </c>
      <c r="C246" t="s">
        <v>586</v>
      </c>
      <c r="D246">
        <v>19.350000000000001</v>
      </c>
      <c r="E246" t="s">
        <v>127</v>
      </c>
      <c r="F246">
        <v>93.02</v>
      </c>
      <c r="G246">
        <v>1250</v>
      </c>
      <c r="H246">
        <v>2.1</v>
      </c>
      <c r="I246">
        <f>Table001__Page_15[[#This Row],[FİYAT]]*Table001__Page_15[[#This Row],[Sütun2]]</f>
        <v>195.34200000000001</v>
      </c>
      <c r="J246">
        <v>200</v>
      </c>
      <c r="K246" t="s">
        <v>188</v>
      </c>
      <c r="L246" s="50">
        <f>Table001__Page_15[[#This Row],[SATIŞ FİYATI]]-Table001__Page_15[[#This Row],[YUVARLAMA]]</f>
        <v>-4.657999999999987</v>
      </c>
      <c r="M246">
        <v>200</v>
      </c>
      <c r="N246">
        <f>M246-Table001__Page_15[[#This Row],[YUVARLAMA]]</f>
        <v>0</v>
      </c>
    </row>
    <row r="247" spans="1:14" x14ac:dyDescent="0.25">
      <c r="A247" t="s">
        <v>541</v>
      </c>
      <c r="B247" t="s">
        <v>537</v>
      </c>
      <c r="C247" t="s">
        <v>587</v>
      </c>
      <c r="D247">
        <v>19.350000000000001</v>
      </c>
      <c r="E247" t="s">
        <v>127</v>
      </c>
      <c r="F247">
        <v>64.599999999999994</v>
      </c>
      <c r="G247">
        <v>1800</v>
      </c>
      <c r="H247">
        <v>2.2999999999999998</v>
      </c>
      <c r="I247">
        <f>Table001__Page_15[[#This Row],[FİYAT]]*Table001__Page_15[[#This Row],[Sütun2]]</f>
        <v>148.57999999999998</v>
      </c>
      <c r="J247">
        <v>150</v>
      </c>
      <c r="K247" t="s">
        <v>188</v>
      </c>
      <c r="L247" s="50">
        <f>Table001__Page_15[[#This Row],[SATIŞ FİYATI]]-Table001__Page_15[[#This Row],[YUVARLAMA]]</f>
        <v>-1.4200000000000159</v>
      </c>
      <c r="M247">
        <v>150</v>
      </c>
      <c r="N247">
        <f>M247-Table001__Page_15[[#This Row],[YUVARLAMA]]</f>
        <v>0</v>
      </c>
    </row>
    <row r="248" spans="1:14" x14ac:dyDescent="0.25">
      <c r="A248" t="s">
        <v>177</v>
      </c>
      <c r="B248" t="s">
        <v>144</v>
      </c>
      <c r="C248" t="s">
        <v>592</v>
      </c>
      <c r="D248">
        <v>2</v>
      </c>
      <c r="E248" t="s">
        <v>144</v>
      </c>
      <c r="F248">
        <v>110</v>
      </c>
      <c r="G248">
        <f>Table001__Page_15[[#This Row],[FİYAT]]*Table001__Page_15[[#This Row],[MİKTAR]]</f>
        <v>220</v>
      </c>
      <c r="H248">
        <v>1.91</v>
      </c>
      <c r="I248">
        <f>Table001__Page_15[[#This Row],[FİYAT]]*Table001__Page_15[[#This Row],[Sütun2]]</f>
        <v>210.1</v>
      </c>
      <c r="J248">
        <v>35</v>
      </c>
      <c r="K248" t="s">
        <v>188</v>
      </c>
      <c r="L248" s="50">
        <f>Table001__Page_15[[#This Row],[SATIŞ FİYATI]]-Table001__Page_15[[#This Row],[YUVARLAMA]]</f>
        <v>175.1</v>
      </c>
      <c r="M248">
        <v>35</v>
      </c>
      <c r="N248">
        <f>M248-Table001__Page_15[[#This Row],[YUVARLAMA]]</f>
        <v>0</v>
      </c>
    </row>
    <row r="249" spans="1:14" x14ac:dyDescent="0.25">
      <c r="A249" t="s">
        <v>177</v>
      </c>
      <c r="B249" t="s">
        <v>144</v>
      </c>
      <c r="C249" t="s">
        <v>593</v>
      </c>
      <c r="D249">
        <v>1</v>
      </c>
      <c r="E249" t="s">
        <v>144</v>
      </c>
      <c r="F249">
        <v>110</v>
      </c>
      <c r="G249">
        <f>Table001__Page_15[[#This Row],[FİYAT]]*Table001__Page_15[[#This Row],[MİKTAR]]</f>
        <v>110</v>
      </c>
      <c r="H249">
        <v>1.91</v>
      </c>
      <c r="I249">
        <f>Table001__Page_15[[#This Row],[FİYAT]]*Table001__Page_15[[#This Row],[Sütun2]]</f>
        <v>210.1</v>
      </c>
      <c r="J249">
        <v>35</v>
      </c>
      <c r="K249" t="s">
        <v>188</v>
      </c>
      <c r="L249" s="50">
        <f>Table001__Page_15[[#This Row],[SATIŞ FİYATI]]-Table001__Page_15[[#This Row],[YUVARLAMA]]</f>
        <v>175.1</v>
      </c>
      <c r="M249">
        <v>35</v>
      </c>
      <c r="N249">
        <f>M249-Table001__Page_15[[#This Row],[YUVARLAMA]]</f>
        <v>0</v>
      </c>
    </row>
    <row r="250" spans="1:14" x14ac:dyDescent="0.25">
      <c r="A250" t="s">
        <v>177</v>
      </c>
      <c r="B250" t="s">
        <v>144</v>
      </c>
      <c r="C250" t="s">
        <v>594</v>
      </c>
      <c r="D250">
        <v>2</v>
      </c>
      <c r="E250" t="s">
        <v>144</v>
      </c>
      <c r="F250">
        <v>110</v>
      </c>
      <c r="G250">
        <f>Table001__Page_15[[#This Row],[FİYAT]]*Table001__Page_15[[#This Row],[MİKTAR]]</f>
        <v>220</v>
      </c>
      <c r="H250">
        <v>1.91</v>
      </c>
      <c r="I250">
        <f>Table001__Page_15[[#This Row],[FİYAT]]*Table001__Page_15[[#This Row],[Sütun2]]</f>
        <v>210.1</v>
      </c>
      <c r="J250">
        <v>35</v>
      </c>
      <c r="K250" t="s">
        <v>188</v>
      </c>
      <c r="L250" s="50">
        <f>Table001__Page_15[[#This Row],[SATIŞ FİYATI]]-Table001__Page_15[[#This Row],[YUVARLAMA]]</f>
        <v>175.1</v>
      </c>
      <c r="M250">
        <v>35</v>
      </c>
      <c r="N250">
        <f>M250-Table001__Page_15[[#This Row],[YUVARLAMA]]</f>
        <v>0</v>
      </c>
    </row>
    <row r="251" spans="1:14" x14ac:dyDescent="0.25">
      <c r="A251" t="s">
        <v>177</v>
      </c>
      <c r="B251" t="s">
        <v>144</v>
      </c>
      <c r="C251" t="s">
        <v>595</v>
      </c>
      <c r="D251">
        <v>1</v>
      </c>
      <c r="E251" t="s">
        <v>144</v>
      </c>
      <c r="F251">
        <v>110</v>
      </c>
      <c r="G251">
        <f>Table001__Page_15[[#This Row],[FİYAT]]*Table001__Page_15[[#This Row],[MİKTAR]]</f>
        <v>110</v>
      </c>
      <c r="H251">
        <v>1.91</v>
      </c>
      <c r="I251">
        <f>Table001__Page_15[[#This Row],[FİYAT]]*Table001__Page_15[[#This Row],[Sütun2]]</f>
        <v>210.1</v>
      </c>
      <c r="J251">
        <v>35</v>
      </c>
      <c r="K251" t="s">
        <v>188</v>
      </c>
      <c r="L251" s="50">
        <f>Table001__Page_15[[#This Row],[SATIŞ FİYATI]]-Table001__Page_15[[#This Row],[YUVARLAMA]]</f>
        <v>175.1</v>
      </c>
      <c r="M251">
        <v>35</v>
      </c>
      <c r="N251">
        <f>M251-Table001__Page_15[[#This Row],[YUVARLAMA]]</f>
        <v>0</v>
      </c>
    </row>
    <row r="252" spans="1:14" x14ac:dyDescent="0.25">
      <c r="A252" t="s">
        <v>540</v>
      </c>
      <c r="B252" t="s">
        <v>538</v>
      </c>
      <c r="C252" t="s">
        <v>589</v>
      </c>
      <c r="D252">
        <v>1</v>
      </c>
      <c r="E252" t="s">
        <v>127</v>
      </c>
      <c r="F252">
        <v>395</v>
      </c>
      <c r="G252">
        <f>Table001__Page_15[[#This Row],[FİYAT]]*Table001__Page_15[[#This Row],[MİKTAR]]</f>
        <v>395</v>
      </c>
      <c r="H252">
        <v>2.0299999999999998</v>
      </c>
      <c r="I252">
        <f>Table001__Page_15[[#This Row],[FİYAT]]*Table001__Page_15[[#This Row],[Sütun2]]</f>
        <v>801.84999999999991</v>
      </c>
      <c r="J252">
        <v>800</v>
      </c>
      <c r="K252" t="s">
        <v>188</v>
      </c>
      <c r="L252" s="50">
        <f>Table001__Page_15[[#This Row],[SATIŞ FİYATI]]-Table001__Page_15[[#This Row],[YUVARLAMA]]</f>
        <v>1.8499999999999091</v>
      </c>
      <c r="M252">
        <v>800</v>
      </c>
      <c r="N252">
        <f>M252-Table001__Page_15[[#This Row],[YUVARLAMA]]</f>
        <v>0</v>
      </c>
    </row>
    <row r="253" spans="1:14" x14ac:dyDescent="0.25">
      <c r="A253" t="s">
        <v>596</v>
      </c>
      <c r="B253" t="s">
        <v>537</v>
      </c>
      <c r="C253" t="s">
        <v>590</v>
      </c>
      <c r="D253">
        <v>5</v>
      </c>
      <c r="E253" t="s">
        <v>127</v>
      </c>
      <c r="F253">
        <v>52</v>
      </c>
      <c r="G253">
        <f>Table001__Page_15[[#This Row],[FİYAT]]*Table001__Page_15[[#This Row],[MİKTAR]]</f>
        <v>260</v>
      </c>
      <c r="H253">
        <v>1.5</v>
      </c>
      <c r="I253">
        <f>Table001__Page_15[[#This Row],[FİYAT]]*Table001__Page_15[[#This Row],[Sütun2]]</f>
        <v>78</v>
      </c>
      <c r="J253">
        <v>80</v>
      </c>
      <c r="K253" t="s">
        <v>188</v>
      </c>
      <c r="L253" s="50">
        <f>Table001__Page_15[[#This Row],[SATIŞ FİYATI]]-Table001__Page_15[[#This Row],[YUVARLAMA]]</f>
        <v>-2</v>
      </c>
      <c r="M253">
        <v>80</v>
      </c>
      <c r="N253">
        <f>M253-Table001__Page_15[[#This Row],[YUVARLAMA]]</f>
        <v>0</v>
      </c>
    </row>
    <row r="254" spans="1:14" x14ac:dyDescent="0.25">
      <c r="A254" t="s">
        <v>541</v>
      </c>
      <c r="B254" t="s">
        <v>144</v>
      </c>
      <c r="C254" t="s">
        <v>591</v>
      </c>
      <c r="D254">
        <v>20</v>
      </c>
      <c r="E254" t="s">
        <v>144</v>
      </c>
      <c r="F254">
        <v>235</v>
      </c>
      <c r="G254">
        <f>Table001__Page_15[[#This Row],[FİYAT]]*Table001__Page_15[[#This Row],[MİKTAR]]</f>
        <v>4700</v>
      </c>
      <c r="H254">
        <v>1.5</v>
      </c>
      <c r="I254">
        <f>Table001__Page_15[[#This Row],[FİYAT]]*Table001__Page_15[[#This Row],[Sütun2]]</f>
        <v>352.5</v>
      </c>
      <c r="J254">
        <v>350</v>
      </c>
      <c r="K254" t="s">
        <v>188</v>
      </c>
      <c r="L254" s="50">
        <f>Table001__Page_15[[#This Row],[SATIŞ FİYATI]]-Table001__Page_15[[#This Row],[YUVARLAMA]]</f>
        <v>2.5</v>
      </c>
      <c r="M254">
        <v>350</v>
      </c>
      <c r="N254">
        <f>M254-Table001__Page_15[[#This Row],[YUVARLAMA]]</f>
        <v>0</v>
      </c>
    </row>
    <row r="255" spans="1:14" x14ac:dyDescent="0.25">
      <c r="A255" t="s">
        <v>541</v>
      </c>
      <c r="B255" t="s">
        <v>144</v>
      </c>
      <c r="C255" t="s">
        <v>597</v>
      </c>
      <c r="D255">
        <v>18</v>
      </c>
      <c r="E255" t="s">
        <v>144</v>
      </c>
      <c r="F255">
        <v>250</v>
      </c>
      <c r="G255">
        <f>Table001__Page_15[[#This Row],[FİYAT]]*Table001__Page_15[[#This Row],[MİKTAR]]</f>
        <v>4500</v>
      </c>
      <c r="H255">
        <v>1.5</v>
      </c>
      <c r="I255">
        <f>Table001__Page_15[[#This Row],[FİYAT]]*Table001__Page_15[[#This Row],[Sütun2]]</f>
        <v>375</v>
      </c>
      <c r="J255">
        <v>375</v>
      </c>
      <c r="K255" t="s">
        <v>188</v>
      </c>
      <c r="L255" s="50">
        <f>Table001__Page_15[[#This Row],[SATIŞ FİYATI]]-Table001__Page_15[[#This Row],[YUVARLAMA]]</f>
        <v>0</v>
      </c>
      <c r="M255">
        <v>375</v>
      </c>
      <c r="N255">
        <f>M255-Table001__Page_15[[#This Row],[YUVARLAMA]]</f>
        <v>0</v>
      </c>
    </row>
    <row r="256" spans="1:14" x14ac:dyDescent="0.25">
      <c r="A256" t="s">
        <v>541</v>
      </c>
      <c r="B256" t="s">
        <v>537</v>
      </c>
      <c r="C256" t="s">
        <v>598</v>
      </c>
      <c r="D256">
        <v>10</v>
      </c>
      <c r="E256" t="s">
        <v>127</v>
      </c>
      <c r="F256">
        <v>225</v>
      </c>
      <c r="G256">
        <f>Table001__Page_15[[#This Row],[FİYAT]]*Table001__Page_15[[#This Row],[MİKTAR]]</f>
        <v>2250</v>
      </c>
      <c r="H256">
        <v>1.3</v>
      </c>
      <c r="I256">
        <f>Table001__Page_15[[#This Row],[FİYAT]]*Table001__Page_15[[#This Row],[Sütun2]]</f>
        <v>292.5</v>
      </c>
      <c r="J256">
        <v>350</v>
      </c>
      <c r="K256" t="s">
        <v>188</v>
      </c>
      <c r="L256" s="50">
        <f>Table001__Page_15[[#This Row],[SATIŞ FİYATI]]-Table001__Page_15[[#This Row],[YUVARLAMA]]</f>
        <v>-57.5</v>
      </c>
      <c r="M256">
        <v>350</v>
      </c>
      <c r="N256">
        <f>M256-Table001__Page_15[[#This Row],[YUVARLAMA]]</f>
        <v>0</v>
      </c>
    </row>
    <row r="257" spans="1:14" x14ac:dyDescent="0.25">
      <c r="A257" t="s">
        <v>177</v>
      </c>
      <c r="B257" t="s">
        <v>144</v>
      </c>
      <c r="C257" t="s">
        <v>599</v>
      </c>
      <c r="D257">
        <v>12</v>
      </c>
      <c r="E257" t="s">
        <v>144</v>
      </c>
      <c r="F257">
        <v>25</v>
      </c>
      <c r="G257">
        <f>Table001__Page_15[[#This Row],[FİYAT]]*Table001__Page_15[[#This Row],[MİKTAR]]</f>
        <v>300</v>
      </c>
      <c r="H257">
        <v>2</v>
      </c>
      <c r="I257">
        <f>Table001__Page_15[[#This Row],[FİYAT]]*Table001__Page_15[[#This Row],[Sütun2]]</f>
        <v>50</v>
      </c>
      <c r="J257">
        <v>50</v>
      </c>
      <c r="K257" t="s">
        <v>188</v>
      </c>
      <c r="L257" s="50">
        <f>Table001__Page_15[[#This Row],[SATIŞ FİYATI]]-Table001__Page_15[[#This Row],[YUVARLAMA]]</f>
        <v>0</v>
      </c>
      <c r="M257">
        <v>50</v>
      </c>
      <c r="N257">
        <f>M257-Table001__Page_15[[#This Row],[YUVARLAMA]]</f>
        <v>0</v>
      </c>
    </row>
    <row r="258" spans="1:14" x14ac:dyDescent="0.25">
      <c r="A258" t="s">
        <v>177</v>
      </c>
      <c r="B258" t="s">
        <v>144</v>
      </c>
      <c r="C258" t="s">
        <v>600</v>
      </c>
      <c r="D258">
        <v>12</v>
      </c>
      <c r="E258" t="s">
        <v>144</v>
      </c>
      <c r="F258">
        <v>25</v>
      </c>
      <c r="G258">
        <f>Table001__Page_15[[#This Row],[FİYAT]]*Table001__Page_15[[#This Row],[MİKTAR]]</f>
        <v>300</v>
      </c>
      <c r="H258">
        <v>2</v>
      </c>
      <c r="I258">
        <f>Table001__Page_15[[#This Row],[FİYAT]]*Table001__Page_15[[#This Row],[Sütun2]]</f>
        <v>50</v>
      </c>
      <c r="J258">
        <v>50</v>
      </c>
      <c r="K258" t="s">
        <v>188</v>
      </c>
      <c r="L258" s="50">
        <f>Table001__Page_15[[#This Row],[SATIŞ FİYATI]]-Table001__Page_15[[#This Row],[YUVARLAMA]]</f>
        <v>0</v>
      </c>
      <c r="M258">
        <v>50</v>
      </c>
      <c r="N258">
        <f>M258-Table001__Page_15[[#This Row],[YUVARLAMA]]</f>
        <v>0</v>
      </c>
    </row>
    <row r="259" spans="1:14" x14ac:dyDescent="0.25">
      <c r="A259" t="s">
        <v>484</v>
      </c>
      <c r="B259" t="s">
        <v>537</v>
      </c>
      <c r="C259" t="s">
        <v>601</v>
      </c>
      <c r="D259">
        <v>5</v>
      </c>
      <c r="E259" t="s">
        <v>127</v>
      </c>
      <c r="F259">
        <v>370</v>
      </c>
      <c r="G259">
        <f>Table001__Page_15[[#This Row],[FİYAT]]*Table001__Page_15[[#This Row],[MİKTAR]]</f>
        <v>1850</v>
      </c>
      <c r="H259">
        <v>1.5</v>
      </c>
      <c r="I259">
        <f>Table001__Page_15[[#This Row],[FİYAT]]*Table001__Page_15[[#This Row],[Sütun2]]</f>
        <v>555</v>
      </c>
      <c r="J259">
        <v>550</v>
      </c>
      <c r="K259" t="s">
        <v>188</v>
      </c>
      <c r="L259" s="50">
        <f>Table001__Page_15[[#This Row],[SATIŞ FİYATI]]-Table001__Page_15[[#This Row],[YUVARLAMA]]</f>
        <v>5</v>
      </c>
      <c r="M259">
        <v>550</v>
      </c>
      <c r="N259">
        <f>M259-Table001__Page_15[[#This Row],[YUVARLAMA]]</f>
        <v>0</v>
      </c>
    </row>
    <row r="260" spans="1:14" x14ac:dyDescent="0.25">
      <c r="A260" t="s">
        <v>484</v>
      </c>
      <c r="B260" t="s">
        <v>537</v>
      </c>
      <c r="C260" t="s">
        <v>647</v>
      </c>
      <c r="D260">
        <v>5</v>
      </c>
      <c r="E260" t="s">
        <v>127</v>
      </c>
      <c r="F260">
        <v>125</v>
      </c>
      <c r="G260">
        <f>Table001__Page_15[[#This Row],[FİYAT]]*Table001__Page_15[[#This Row],[MİKTAR]]</f>
        <v>625</v>
      </c>
      <c r="H260">
        <v>3.2</v>
      </c>
      <c r="I260">
        <f>Table001__Page_15[[#This Row],[FİYAT]]*Table001__Page_15[[#This Row],[Sütun2]]</f>
        <v>400</v>
      </c>
      <c r="J260">
        <v>375</v>
      </c>
      <c r="K260" t="s">
        <v>188</v>
      </c>
      <c r="L260" s="50">
        <f>Table001__Page_15[[#This Row],[SATIŞ FİYATI]]-Table001__Page_15[[#This Row],[YUVARLAMA]]</f>
        <v>25</v>
      </c>
      <c r="M260">
        <v>100</v>
      </c>
      <c r="N260">
        <f>M260-Table001__Page_15[[#This Row],[YUVARLAMA]]</f>
        <v>-275</v>
      </c>
    </row>
    <row r="261" spans="1:14" x14ac:dyDescent="0.25">
      <c r="A261" t="s">
        <v>484</v>
      </c>
      <c r="B261" t="s">
        <v>537</v>
      </c>
      <c r="C261" t="s">
        <v>648</v>
      </c>
      <c r="D261">
        <v>5</v>
      </c>
      <c r="E261" t="s">
        <v>127</v>
      </c>
      <c r="F261">
        <v>435</v>
      </c>
      <c r="G261">
        <f>Table001__Page_15[[#This Row],[FİYAT]]*Table001__Page_15[[#This Row],[MİKTAR]]</f>
        <v>2175</v>
      </c>
      <c r="H261">
        <v>1.5</v>
      </c>
      <c r="I261">
        <f>Table001__Page_15[[#This Row],[FİYAT]]*Table001__Page_15[[#This Row],[Sütun2]]</f>
        <v>652.5</v>
      </c>
      <c r="J261">
        <v>650</v>
      </c>
      <c r="K261" t="s">
        <v>188</v>
      </c>
      <c r="L261" s="50">
        <f>Table001__Page_15[[#This Row],[SATIŞ FİYATI]]-Table001__Page_15[[#This Row],[YUVARLAMA]]</f>
        <v>2.5</v>
      </c>
      <c r="M261">
        <v>650</v>
      </c>
      <c r="N261">
        <f>M261-Table001__Page_15[[#This Row],[YUVARLAMA]]</f>
        <v>0</v>
      </c>
    </row>
    <row r="262" spans="1:14" x14ac:dyDescent="0.25">
      <c r="A262" t="s">
        <v>541</v>
      </c>
      <c r="B262" t="s">
        <v>144</v>
      </c>
      <c r="C262" t="s">
        <v>649</v>
      </c>
      <c r="D262">
        <v>10</v>
      </c>
      <c r="E262" t="s">
        <v>144</v>
      </c>
      <c r="F262">
        <v>205</v>
      </c>
      <c r="G262">
        <f>Table001__Page_15[[#This Row],[FİYAT]]*Table001__Page_15[[#This Row],[MİKTAR]]</f>
        <v>2050</v>
      </c>
      <c r="H262">
        <v>1.5</v>
      </c>
      <c r="I262">
        <f>Table001__Page_15[[#This Row],[FİYAT]]*Table001__Page_15[[#This Row],[Sütun2]]</f>
        <v>307.5</v>
      </c>
      <c r="J262">
        <v>300</v>
      </c>
      <c r="K262" t="s">
        <v>188</v>
      </c>
      <c r="L262" s="50">
        <f>Table001__Page_15[[#This Row],[SATIŞ FİYATI]]-Table001__Page_15[[#This Row],[YUVARLAMA]]</f>
        <v>7.5</v>
      </c>
      <c r="M262">
        <v>300</v>
      </c>
      <c r="N262">
        <f>M262-Table001__Page_15[[#This Row],[YUVARLAMA]]</f>
        <v>0</v>
      </c>
    </row>
    <row r="263" spans="1:14" x14ac:dyDescent="0.25">
      <c r="A263" t="s">
        <v>541</v>
      </c>
      <c r="B263" t="s">
        <v>144</v>
      </c>
      <c r="C263" t="s">
        <v>651</v>
      </c>
      <c r="D263">
        <v>10</v>
      </c>
      <c r="E263" t="s">
        <v>144</v>
      </c>
      <c r="F263">
        <v>265</v>
      </c>
      <c r="G263">
        <f>Table001__Page_15[[#This Row],[FİYAT]]*Table001__Page_15[[#This Row],[MİKTAR]]</f>
        <v>2650</v>
      </c>
      <c r="H263">
        <v>1.5</v>
      </c>
      <c r="I263">
        <f>Table001__Page_15[[#This Row],[FİYAT]]*Table001__Page_15[[#This Row],[Sütun2]]</f>
        <v>397.5</v>
      </c>
      <c r="J263">
        <v>400</v>
      </c>
      <c r="K263" t="s">
        <v>188</v>
      </c>
      <c r="L263" s="50">
        <f>Table001__Page_15[[#This Row],[SATIŞ FİYATI]]-Table001__Page_15[[#This Row],[YUVARLAMA]]</f>
        <v>-2.5</v>
      </c>
      <c r="M263">
        <v>400</v>
      </c>
      <c r="N263">
        <f>M263-Table001__Page_15[[#This Row],[YUVARLAMA]]</f>
        <v>0</v>
      </c>
    </row>
    <row r="264" spans="1:14" x14ac:dyDescent="0.25">
      <c r="A264" t="s">
        <v>484</v>
      </c>
      <c r="B264" t="s">
        <v>538</v>
      </c>
      <c r="C264" t="s">
        <v>690</v>
      </c>
      <c r="D264">
        <v>10</v>
      </c>
      <c r="E264" t="s">
        <v>127</v>
      </c>
      <c r="F264">
        <v>225</v>
      </c>
      <c r="G264">
        <f>Table001__Page_15[[#This Row],[FİYAT]]*Table001__Page_15[[#This Row],[MİKTAR]]</f>
        <v>2250</v>
      </c>
      <c r="H264">
        <v>1.5</v>
      </c>
      <c r="I264">
        <f>Table001__Page_15[[#This Row],[FİYAT]]*Table001__Page_15[[#This Row],[Sütun2]]</f>
        <v>337.5</v>
      </c>
      <c r="J264">
        <v>350</v>
      </c>
      <c r="K264" t="s">
        <v>188</v>
      </c>
      <c r="L264" s="50">
        <f>Table001__Page_15[[#This Row],[SATIŞ FİYATI]]-Table001__Page_15[[#This Row],[YUVARLAMA]]</f>
        <v>-12.5</v>
      </c>
      <c r="M264">
        <v>350</v>
      </c>
      <c r="N264">
        <f>M264-Table001__Page_15[[#This Row],[YUVARLAMA]]</f>
        <v>0</v>
      </c>
    </row>
    <row r="265" spans="1:14" x14ac:dyDescent="0.25">
      <c r="A265" t="s">
        <v>177</v>
      </c>
      <c r="B265" t="s">
        <v>538</v>
      </c>
      <c r="C265" t="s">
        <v>679</v>
      </c>
      <c r="D265">
        <v>5</v>
      </c>
      <c r="E265" t="s">
        <v>127</v>
      </c>
      <c r="F265">
        <v>200</v>
      </c>
      <c r="G265">
        <f>Table001__Page_15[[#This Row],[FİYAT]]*Table001__Page_15[[#This Row],[MİKTAR]]</f>
        <v>1000</v>
      </c>
      <c r="H265">
        <v>2</v>
      </c>
      <c r="I265">
        <f>Table001__Page_15[[#This Row],[FİYAT]]*Table001__Page_15[[#This Row],[Sütun2]]</f>
        <v>400</v>
      </c>
      <c r="J265">
        <v>400</v>
      </c>
      <c r="K265" t="s">
        <v>188</v>
      </c>
      <c r="L265" s="50">
        <f>Table001__Page_15[[#This Row],[SATIŞ FİYATI]]-Table001__Page_15[[#This Row],[YUVARLAMA]]</f>
        <v>0</v>
      </c>
      <c r="M265">
        <v>400</v>
      </c>
      <c r="N265">
        <f>M265-Table001__Page_15[[#This Row],[YUVARLAMA]]</f>
        <v>0</v>
      </c>
    </row>
    <row r="266" spans="1:14" x14ac:dyDescent="0.25">
      <c r="A266" t="s">
        <v>484</v>
      </c>
      <c r="B266" t="s">
        <v>537</v>
      </c>
      <c r="C266" t="s">
        <v>691</v>
      </c>
      <c r="D266">
        <v>5</v>
      </c>
      <c r="E266" t="s">
        <v>127</v>
      </c>
      <c r="F266">
        <v>115</v>
      </c>
      <c r="G266">
        <f>Table001__Page_15[[#This Row],[FİYAT]]*Table001__Page_15[[#This Row],[MİKTAR]]</f>
        <v>575</v>
      </c>
      <c r="H266">
        <v>2</v>
      </c>
      <c r="I266">
        <f>Table001__Page_15[[#This Row],[FİYAT]]*Table001__Page_15[[#This Row],[Sütun2]]</f>
        <v>230</v>
      </c>
      <c r="J266">
        <v>250</v>
      </c>
      <c r="K266" t="s">
        <v>188</v>
      </c>
      <c r="L266" s="50">
        <f>Table001__Page_15[[#This Row],[SATIŞ FİYATI]]-Table001__Page_15[[#This Row],[YUVARLAMA]]</f>
        <v>-20</v>
      </c>
      <c r="M266">
        <v>230</v>
      </c>
      <c r="N266">
        <f>M266-Table001__Page_15[[#This Row],[YUVARLAMA]]</f>
        <v>-20</v>
      </c>
    </row>
    <row r="267" spans="1:14" x14ac:dyDescent="0.25">
      <c r="A267" t="s">
        <v>484</v>
      </c>
      <c r="B267" t="s">
        <v>538</v>
      </c>
      <c r="C267" t="s">
        <v>692</v>
      </c>
      <c r="D267">
        <v>5</v>
      </c>
      <c r="E267" t="s">
        <v>127</v>
      </c>
      <c r="F267">
        <v>33</v>
      </c>
      <c r="G267">
        <f>Table001__Page_15[[#This Row],[FİYAT]]*Table001__Page_15[[#This Row],[MİKTAR]]</f>
        <v>165</v>
      </c>
      <c r="H267">
        <v>1.82</v>
      </c>
      <c r="I267">
        <f>Table001__Page_15[[#This Row],[FİYAT]]*Table001__Page_15[[#This Row],[Sütun2]]</f>
        <v>60.06</v>
      </c>
      <c r="J267">
        <v>60</v>
      </c>
      <c r="K267" t="s">
        <v>188</v>
      </c>
      <c r="L267" s="50">
        <f>Table001__Page_15[[#This Row],[SATIŞ FİYATI]]-Table001__Page_15[[#This Row],[YUVARLAMA]]</f>
        <v>6.0000000000002274E-2</v>
      </c>
      <c r="M267">
        <v>60</v>
      </c>
      <c r="N267">
        <f>M267-Table001__Page_15[[#This Row],[YUVARLAMA]]</f>
        <v>0</v>
      </c>
    </row>
    <row r="268" spans="1:14" x14ac:dyDescent="0.25">
      <c r="A268" t="s">
        <v>484</v>
      </c>
      <c r="B268" t="s">
        <v>537</v>
      </c>
      <c r="C268" t="s">
        <v>693</v>
      </c>
      <c r="D268">
        <v>5</v>
      </c>
      <c r="E268" t="s">
        <v>127</v>
      </c>
      <c r="F268">
        <v>145</v>
      </c>
      <c r="G268">
        <f>Table001__Page_15[[#This Row],[FİYAT]]*Table001__Page_15[[#This Row],[MİKTAR]]</f>
        <v>725</v>
      </c>
      <c r="H268">
        <v>1.3</v>
      </c>
      <c r="I268">
        <f>Table001__Page_15[[#This Row],[FİYAT]]*Table001__Page_15[[#This Row],[Sütun2]]</f>
        <v>188.5</v>
      </c>
      <c r="J268">
        <v>195</v>
      </c>
      <c r="K268" t="s">
        <v>188</v>
      </c>
      <c r="L268" s="50">
        <f>Table001__Page_15[[#This Row],[SATIŞ FİYATI]]-Table001__Page_15[[#This Row],[YUVARLAMA]]</f>
        <v>-6.5</v>
      </c>
      <c r="M268">
        <v>195</v>
      </c>
      <c r="N268">
        <f>M268-Table001__Page_15[[#This Row],[YUVARLAMA]]</f>
        <v>0</v>
      </c>
    </row>
    <row r="269" spans="1:14" x14ac:dyDescent="0.25">
      <c r="A269" t="s">
        <v>484</v>
      </c>
      <c r="B269" t="s">
        <v>537</v>
      </c>
      <c r="C269" t="s">
        <v>694</v>
      </c>
      <c r="D269">
        <v>5</v>
      </c>
      <c r="E269" t="s">
        <v>127</v>
      </c>
      <c r="F269">
        <v>150</v>
      </c>
      <c r="G269">
        <f>Table001__Page_15[[#This Row],[FİYAT]]*Table001__Page_15[[#This Row],[MİKTAR]]</f>
        <v>750</v>
      </c>
      <c r="H269">
        <v>1.3</v>
      </c>
      <c r="I269">
        <f>Table001__Page_15[[#This Row],[FİYAT]]*Table001__Page_15[[#This Row],[Sütun2]]</f>
        <v>195</v>
      </c>
      <c r="J269">
        <v>195</v>
      </c>
      <c r="K269" t="s">
        <v>188</v>
      </c>
      <c r="L269" s="50">
        <f>Table001__Page_15[[#This Row],[SATIŞ FİYATI]]-Table001__Page_15[[#This Row],[YUVARLAMA]]</f>
        <v>0</v>
      </c>
      <c r="M269">
        <v>195</v>
      </c>
      <c r="N269">
        <f>M269-Table001__Page_15[[#This Row],[YUVARLAMA]]</f>
        <v>0</v>
      </c>
    </row>
    <row r="270" spans="1:14" x14ac:dyDescent="0.25">
      <c r="A270" t="s">
        <v>125</v>
      </c>
      <c r="B270" t="s">
        <v>538</v>
      </c>
      <c r="C270" t="s">
        <v>695</v>
      </c>
      <c r="D270">
        <v>5</v>
      </c>
      <c r="E270" t="s">
        <v>127</v>
      </c>
      <c r="F270">
        <v>63</v>
      </c>
      <c r="G270">
        <f>Table001__Page_15[[#This Row],[FİYAT]]*Table001__Page_15[[#This Row],[MİKTAR]]</f>
        <v>315</v>
      </c>
      <c r="H270">
        <v>2</v>
      </c>
      <c r="I270">
        <f>Table001__Page_15[[#This Row],[FİYAT]]*Table001__Page_15[[#This Row],[Sütun2]]</f>
        <v>126</v>
      </c>
      <c r="J270">
        <v>120</v>
      </c>
      <c r="K270" t="s">
        <v>188</v>
      </c>
      <c r="L270" s="50">
        <f>Table001__Page_15[[#This Row],[SATIŞ FİYATI]]-Table001__Page_15[[#This Row],[YUVARLAMA]]</f>
        <v>6</v>
      </c>
      <c r="M270">
        <v>120</v>
      </c>
      <c r="N270">
        <f>M270-Table001__Page_15[[#This Row],[YUVARLAMA]]</f>
        <v>0</v>
      </c>
    </row>
    <row r="271" spans="1:14" x14ac:dyDescent="0.25">
      <c r="A271" t="s">
        <v>542</v>
      </c>
      <c r="B271" t="s">
        <v>537</v>
      </c>
      <c r="C271" t="s">
        <v>840</v>
      </c>
      <c r="D271">
        <v>2</v>
      </c>
      <c r="E271" t="s">
        <v>127</v>
      </c>
      <c r="F271">
        <v>180</v>
      </c>
      <c r="G271">
        <f>Table001__Page_15[[#This Row],[FİYAT]]*Table001__Page_15[[#This Row],[MİKTAR]]</f>
        <v>360</v>
      </c>
      <c r="H271">
        <v>1.6</v>
      </c>
      <c r="I271">
        <f>Table001__Page_15[[#This Row],[FİYAT]]*Table001__Page_15[[#This Row],[Sütun2]]</f>
        <v>288</v>
      </c>
      <c r="J271">
        <v>290</v>
      </c>
      <c r="K271" t="s">
        <v>188</v>
      </c>
      <c r="L271" s="50">
        <f>Table001__Page_15[[#This Row],[SATIŞ FİYATI]]-Table001__Page_15[[#This Row],[YUVARLAMA]]</f>
        <v>-2</v>
      </c>
      <c r="M271">
        <v>290</v>
      </c>
      <c r="N271">
        <f>M271-Table001__Page_15[[#This Row],[YUVARLAMA]]</f>
        <v>0</v>
      </c>
    </row>
    <row r="272" spans="1:14" x14ac:dyDescent="0.25">
      <c r="A272" t="s">
        <v>177</v>
      </c>
      <c r="B272" t="s">
        <v>144</v>
      </c>
      <c r="C272" t="s">
        <v>842</v>
      </c>
      <c r="D272">
        <v>5</v>
      </c>
      <c r="E272" t="s">
        <v>144</v>
      </c>
      <c r="F272">
        <v>70</v>
      </c>
      <c r="G272">
        <f>Table001__Page_15[[#This Row],[FİYAT]]*Table001__Page_15[[#This Row],[MİKTAR]]</f>
        <v>350</v>
      </c>
      <c r="H272">
        <v>1.5</v>
      </c>
      <c r="I272">
        <f>Table001__Page_15[[#This Row],[FİYAT]]*Table001__Page_15[[#This Row],[Sütun2]]</f>
        <v>105</v>
      </c>
      <c r="J272">
        <v>100</v>
      </c>
      <c r="K272" t="s">
        <v>188</v>
      </c>
      <c r="L272" s="50">
        <f>Table001__Page_15[[#This Row],[SATIŞ FİYATI]]-Table001__Page_15[[#This Row],[YUVARLAMA]]</f>
        <v>5</v>
      </c>
      <c r="M272">
        <v>100</v>
      </c>
      <c r="N272">
        <f>M272-Table001__Page_15[[#This Row],[YUVARLAMA]]</f>
        <v>0</v>
      </c>
    </row>
    <row r="273" spans="1:14" x14ac:dyDescent="0.25">
      <c r="A273" t="s">
        <v>177</v>
      </c>
      <c r="B273" t="s">
        <v>144</v>
      </c>
      <c r="C273" t="s">
        <v>1871</v>
      </c>
      <c r="D273">
        <v>5</v>
      </c>
      <c r="E273" t="s">
        <v>144</v>
      </c>
      <c r="F273">
        <v>95</v>
      </c>
      <c r="G273">
        <f>Table001__Page_15[[#This Row],[FİYAT]]*Table001__Page_15[[#This Row],[MİKTAR]]</f>
        <v>475</v>
      </c>
      <c r="H273">
        <v>1.6</v>
      </c>
      <c r="I273">
        <f>Table001__Page_15[[#This Row],[FİYAT]]*Table001__Page_15[[#This Row],[Sütun2]]</f>
        <v>152</v>
      </c>
      <c r="J273">
        <v>150</v>
      </c>
      <c r="K273" t="s">
        <v>188</v>
      </c>
      <c r="L273" s="50">
        <f>Table001__Page_15[[#This Row],[SATIŞ FİYATI]]-Table001__Page_15[[#This Row],[YUVARLAMA]]</f>
        <v>2</v>
      </c>
      <c r="M273">
        <v>150</v>
      </c>
      <c r="N273">
        <f>M273-Table001__Page_15[[#This Row],[YUVARLAMA]]</f>
        <v>0</v>
      </c>
    </row>
    <row r="274" spans="1:14" x14ac:dyDescent="0.25">
      <c r="A274" t="s">
        <v>542</v>
      </c>
      <c r="B274" t="s">
        <v>538</v>
      </c>
      <c r="C274" t="s">
        <v>843</v>
      </c>
      <c r="D274">
        <v>1</v>
      </c>
      <c r="E274" t="s">
        <v>127</v>
      </c>
      <c r="F274">
        <v>500</v>
      </c>
      <c r="G274">
        <f>Table001__Page_15[[#This Row],[FİYAT]]*Table001__Page_15[[#This Row],[MİKTAR]]</f>
        <v>500</v>
      </c>
      <c r="H274">
        <v>1.8</v>
      </c>
      <c r="I274">
        <f>Table001__Page_15[[#This Row],[FİYAT]]*Table001__Page_15[[#This Row],[Sütun2]]</f>
        <v>900</v>
      </c>
      <c r="J274">
        <v>900</v>
      </c>
      <c r="K274" t="s">
        <v>188</v>
      </c>
      <c r="L274" s="50">
        <f>Table001__Page_15[[#This Row],[SATIŞ FİYATI]]-Table001__Page_15[[#This Row],[YUVARLAMA]]</f>
        <v>0</v>
      </c>
      <c r="M274">
        <v>900</v>
      </c>
      <c r="N274">
        <f>M274-Table001__Page_15[[#This Row],[YUVARLAMA]]</f>
        <v>0</v>
      </c>
    </row>
    <row r="275" spans="1:14" x14ac:dyDescent="0.25">
      <c r="A275" t="s">
        <v>541</v>
      </c>
      <c r="B275" t="s">
        <v>144</v>
      </c>
      <c r="C275" t="s">
        <v>844</v>
      </c>
      <c r="D275">
        <v>6</v>
      </c>
      <c r="E275" t="s">
        <v>144</v>
      </c>
      <c r="F275">
        <v>115</v>
      </c>
      <c r="G275">
        <f>Table001__Page_15[[#This Row],[FİYAT]]*Table001__Page_15[[#This Row],[MİKTAR]]</f>
        <v>690</v>
      </c>
      <c r="H275">
        <v>1.5</v>
      </c>
      <c r="I275">
        <f>Table001__Page_15[[#This Row],[FİYAT]]*Table001__Page_15[[#This Row],[Sütun2]]</f>
        <v>172.5</v>
      </c>
      <c r="J275">
        <v>170</v>
      </c>
      <c r="K275" t="s">
        <v>188</v>
      </c>
      <c r="L275" s="50">
        <f>Table001__Page_15[[#This Row],[SATIŞ FİYATI]]-Table001__Page_15[[#This Row],[YUVARLAMA]]</f>
        <v>2.5</v>
      </c>
      <c r="M275">
        <v>170</v>
      </c>
      <c r="N275">
        <f>M275-Table001__Page_15[[#This Row],[YUVARLAMA]]</f>
        <v>0</v>
      </c>
    </row>
    <row r="276" spans="1:14" x14ac:dyDescent="0.25">
      <c r="A276" t="s">
        <v>541</v>
      </c>
      <c r="B276" t="s">
        <v>144</v>
      </c>
      <c r="C276" t="s">
        <v>1368</v>
      </c>
      <c r="D276">
        <v>6</v>
      </c>
      <c r="E276" t="s">
        <v>144</v>
      </c>
      <c r="F276">
        <v>105</v>
      </c>
      <c r="G276">
        <f>Table001__Page_15[[#This Row],[FİYAT]]*Table001__Page_15[[#This Row],[MİKTAR]]</f>
        <v>630</v>
      </c>
      <c r="H276">
        <v>1.75</v>
      </c>
      <c r="I276">
        <f>Table001__Page_15[[#This Row],[FİYAT]]*Table001__Page_15[[#This Row],[Sütun2]]</f>
        <v>183.75</v>
      </c>
      <c r="J276">
        <v>180</v>
      </c>
      <c r="K276" t="s">
        <v>188</v>
      </c>
      <c r="L276" s="50">
        <f>Table001__Page_15[[#This Row],[SATIŞ FİYATI]]-Table001__Page_15[[#This Row],[YUVARLAMA]]</f>
        <v>3.75</v>
      </c>
      <c r="M276">
        <v>180</v>
      </c>
      <c r="N276">
        <f>M276-Table001__Page_15[[#This Row],[YUVARLAMA]]</f>
        <v>0</v>
      </c>
    </row>
    <row r="277" spans="1:14" x14ac:dyDescent="0.25">
      <c r="A277" t="s">
        <v>541</v>
      </c>
      <c r="C277" t="s">
        <v>892</v>
      </c>
      <c r="F277">
        <v>24.5</v>
      </c>
      <c r="G277">
        <f>Table001__Page_15[[#This Row],[FİYAT]]*Table001__Page_15[[#This Row],[MİKTAR]]</f>
        <v>0</v>
      </c>
      <c r="H277">
        <v>2.5</v>
      </c>
      <c r="I277">
        <f>Table001__Page_15[[#This Row],[FİYAT]]*Table001__Page_15[[#This Row],[Sütun2]]</f>
        <v>61.25</v>
      </c>
      <c r="J277">
        <v>60</v>
      </c>
      <c r="K277" t="s">
        <v>188</v>
      </c>
      <c r="L277" s="50">
        <f>Table001__Page_15[[#This Row],[SATIŞ FİYATI]]-Table001__Page_15[[#This Row],[YUVARLAMA]]</f>
        <v>1.25</v>
      </c>
      <c r="M277">
        <v>60</v>
      </c>
      <c r="N277">
        <f>M277-Table001__Page_15[[#This Row],[YUVARLAMA]]</f>
        <v>0</v>
      </c>
    </row>
    <row r="278" spans="1:14" x14ac:dyDescent="0.25">
      <c r="A278" t="s">
        <v>541</v>
      </c>
      <c r="C278" t="s">
        <v>893</v>
      </c>
      <c r="F278">
        <v>95</v>
      </c>
      <c r="G278">
        <f>Table001__Page_15[[#This Row],[FİYAT]]*Table001__Page_15[[#This Row],[MİKTAR]]</f>
        <v>0</v>
      </c>
      <c r="H278">
        <v>1.8</v>
      </c>
      <c r="I278">
        <f>Table001__Page_15[[#This Row],[FİYAT]]*Table001__Page_15[[#This Row],[Sütun2]]</f>
        <v>171</v>
      </c>
      <c r="J278">
        <v>170</v>
      </c>
      <c r="K278" t="s">
        <v>188</v>
      </c>
      <c r="L278" s="50">
        <f>Table001__Page_15[[#This Row],[SATIŞ FİYATI]]-Table001__Page_15[[#This Row],[YUVARLAMA]]</f>
        <v>1</v>
      </c>
      <c r="M278">
        <v>170</v>
      </c>
      <c r="N278">
        <f>M278-Table001__Page_15[[#This Row],[YUVARLAMA]]</f>
        <v>0</v>
      </c>
    </row>
    <row r="279" spans="1:14" x14ac:dyDescent="0.25">
      <c r="A279" t="s">
        <v>541</v>
      </c>
      <c r="C279" t="s">
        <v>894</v>
      </c>
      <c r="F279">
        <v>145</v>
      </c>
      <c r="G279">
        <f>Table001__Page_15[[#This Row],[FİYAT]]*Table001__Page_15[[#This Row],[MİKTAR]]</f>
        <v>0</v>
      </c>
      <c r="H279">
        <v>1.3</v>
      </c>
      <c r="I279">
        <f>Table001__Page_15[[#This Row],[FİYAT]]*Table001__Page_15[[#This Row],[Sütun2]]</f>
        <v>188.5</v>
      </c>
      <c r="J279">
        <v>190</v>
      </c>
      <c r="K279" t="s">
        <v>188</v>
      </c>
      <c r="L279" s="50">
        <f>Table001__Page_15[[#This Row],[SATIŞ FİYATI]]-Table001__Page_15[[#This Row],[YUVARLAMA]]</f>
        <v>-1.5</v>
      </c>
      <c r="M279">
        <v>190</v>
      </c>
      <c r="N279">
        <f>M279-Table001__Page_15[[#This Row],[YUVARLAMA]]</f>
        <v>0</v>
      </c>
    </row>
    <row r="280" spans="1:14" x14ac:dyDescent="0.25">
      <c r="A280" t="s">
        <v>1691</v>
      </c>
      <c r="C280" t="s">
        <v>975</v>
      </c>
      <c r="F280">
        <v>95</v>
      </c>
      <c r="G280">
        <f>Table001__Page_15[[#This Row],[FİYAT]]*Table001__Page_15[[#This Row],[MİKTAR]]</f>
        <v>0</v>
      </c>
      <c r="H280">
        <v>2.4</v>
      </c>
      <c r="I280">
        <f>Table001__Page_15[[#This Row],[FİYAT]]*Table001__Page_15[[#This Row],[Sütun2]]</f>
        <v>228</v>
      </c>
      <c r="J280">
        <v>225</v>
      </c>
      <c r="K280" t="s">
        <v>188</v>
      </c>
      <c r="L280" s="50">
        <f>Table001__Page_15[[#This Row],[SATIŞ FİYATI]]-Table001__Page_15[[#This Row],[YUVARLAMA]]</f>
        <v>3</v>
      </c>
      <c r="M280">
        <v>225</v>
      </c>
      <c r="N280">
        <f>M280-Table001__Page_15[[#This Row],[YUVARLAMA]]</f>
        <v>0</v>
      </c>
    </row>
    <row r="281" spans="1:14" x14ac:dyDescent="0.25">
      <c r="A281" t="s">
        <v>542</v>
      </c>
      <c r="C281" t="s">
        <v>976</v>
      </c>
      <c r="F281">
        <v>275</v>
      </c>
      <c r="G281">
        <f>Table001__Page_15[[#This Row],[FİYAT]]*Table001__Page_15[[#This Row],[MİKTAR]]</f>
        <v>0</v>
      </c>
      <c r="H281">
        <v>1.4</v>
      </c>
      <c r="I281">
        <f>Table001__Page_15[[#This Row],[FİYAT]]*Table001__Page_15[[#This Row],[Sütun2]]</f>
        <v>385</v>
      </c>
      <c r="J281">
        <v>390</v>
      </c>
      <c r="K281" t="s">
        <v>188</v>
      </c>
      <c r="L281" s="50">
        <f>Table001__Page_15[[#This Row],[SATIŞ FİYATI]]-Table001__Page_15[[#This Row],[YUVARLAMA]]</f>
        <v>-5</v>
      </c>
      <c r="M281">
        <v>390</v>
      </c>
      <c r="N281">
        <f>M281-Table001__Page_15[[#This Row],[YUVARLAMA]]</f>
        <v>0</v>
      </c>
    </row>
    <row r="282" spans="1:14" x14ac:dyDescent="0.25">
      <c r="A282" t="s">
        <v>542</v>
      </c>
      <c r="C282" t="s">
        <v>977</v>
      </c>
      <c r="F282">
        <v>160</v>
      </c>
      <c r="G282">
        <f>Table001__Page_15[[#This Row],[FİYAT]]*Table001__Page_15[[#This Row],[MİKTAR]]</f>
        <v>0</v>
      </c>
      <c r="H282">
        <v>2</v>
      </c>
      <c r="I282">
        <f>Table001__Page_15[[#This Row],[FİYAT]]*Table001__Page_15[[#This Row],[Sütun2]]</f>
        <v>320</v>
      </c>
      <c r="J282">
        <v>320</v>
      </c>
      <c r="K282" t="s">
        <v>188</v>
      </c>
      <c r="L282" s="50">
        <f>Table001__Page_15[[#This Row],[SATIŞ FİYATI]]-Table001__Page_15[[#This Row],[YUVARLAMA]]</f>
        <v>0</v>
      </c>
      <c r="M282">
        <v>320</v>
      </c>
      <c r="N282">
        <f>M282-Table001__Page_15[[#This Row],[YUVARLAMA]]</f>
        <v>0</v>
      </c>
    </row>
    <row r="283" spans="1:14" x14ac:dyDescent="0.25">
      <c r="A283" t="s">
        <v>164</v>
      </c>
      <c r="C283" t="s">
        <v>1023</v>
      </c>
      <c r="F283">
        <v>37</v>
      </c>
      <c r="G283">
        <f>Table001__Page_15[[#This Row],[FİYAT]]*Table001__Page_15[[#This Row],[MİKTAR]]</f>
        <v>0</v>
      </c>
      <c r="H283">
        <v>1.8</v>
      </c>
      <c r="I283">
        <f>Table001__Page_15[[#This Row],[FİYAT]]*Table001__Page_15[[#This Row],[Sütun2]]</f>
        <v>66.600000000000009</v>
      </c>
      <c r="J283">
        <v>65</v>
      </c>
      <c r="K283" t="s">
        <v>188</v>
      </c>
      <c r="L283" s="50">
        <f>Table001__Page_15[[#This Row],[SATIŞ FİYATI]]-Table001__Page_15[[#This Row],[YUVARLAMA]]</f>
        <v>1.6000000000000085</v>
      </c>
      <c r="M283">
        <v>65</v>
      </c>
      <c r="N283">
        <f>M283-Table001__Page_15[[#This Row],[YUVARLAMA]]</f>
        <v>0</v>
      </c>
    </row>
    <row r="284" spans="1:14" x14ac:dyDescent="0.25">
      <c r="A284" t="s">
        <v>164</v>
      </c>
      <c r="C284" t="s">
        <v>1024</v>
      </c>
      <c r="F284">
        <v>37</v>
      </c>
      <c r="G284">
        <f>Table001__Page_15[[#This Row],[FİYAT]]*Table001__Page_15[[#This Row],[MİKTAR]]</f>
        <v>0</v>
      </c>
      <c r="H284">
        <v>1.8</v>
      </c>
      <c r="I284">
        <f>Table001__Page_15[[#This Row],[FİYAT]]*Table001__Page_15[[#This Row],[Sütun2]]</f>
        <v>66.600000000000009</v>
      </c>
      <c r="J284">
        <v>65</v>
      </c>
      <c r="K284" t="s">
        <v>188</v>
      </c>
      <c r="L284" s="50">
        <f>Table001__Page_15[[#This Row],[SATIŞ FİYATI]]-Table001__Page_15[[#This Row],[YUVARLAMA]]</f>
        <v>1.6000000000000085</v>
      </c>
      <c r="M284">
        <v>65</v>
      </c>
      <c r="N284">
        <f>M284-Table001__Page_15[[#This Row],[YUVARLAMA]]</f>
        <v>0</v>
      </c>
    </row>
    <row r="285" spans="1:14" x14ac:dyDescent="0.25">
      <c r="A285" t="s">
        <v>484</v>
      </c>
      <c r="C285" t="s">
        <v>1041</v>
      </c>
      <c r="F285">
        <v>190</v>
      </c>
      <c r="G285">
        <f>Table001__Page_15[[#This Row],[FİYAT]]*Table001__Page_15[[#This Row],[MİKTAR]]</f>
        <v>0</v>
      </c>
      <c r="H285">
        <v>1.3</v>
      </c>
      <c r="I285">
        <f>Table001__Page_15[[#This Row],[FİYAT]]*Table001__Page_15[[#This Row],[Sütun2]]</f>
        <v>247</v>
      </c>
      <c r="J285">
        <v>230</v>
      </c>
      <c r="K285" t="s">
        <v>188</v>
      </c>
      <c r="L285" s="50">
        <f>Table001__Page_15[[#This Row],[SATIŞ FİYATI]]-Table001__Page_15[[#This Row],[YUVARLAMA]]</f>
        <v>17</v>
      </c>
      <c r="M285">
        <v>250</v>
      </c>
      <c r="N285">
        <f>M285-Table001__Page_15[[#This Row],[YUVARLAMA]]</f>
        <v>20</v>
      </c>
    </row>
    <row r="286" spans="1:14" x14ac:dyDescent="0.25">
      <c r="A286" t="s">
        <v>542</v>
      </c>
      <c r="C286" t="s">
        <v>1140</v>
      </c>
      <c r="D286">
        <v>3</v>
      </c>
      <c r="E286" t="s">
        <v>144</v>
      </c>
      <c r="F286">
        <v>205</v>
      </c>
      <c r="G286">
        <f>Table001__Page_15[[#This Row],[FİYAT]]*Table001__Page_15[[#This Row],[MİKTAR]]</f>
        <v>615</v>
      </c>
      <c r="H286">
        <v>1.7</v>
      </c>
      <c r="I286">
        <f>Table001__Page_15[[#This Row],[FİYAT]]*Table001__Page_15[[#This Row],[Sütun2]]</f>
        <v>348.5</v>
      </c>
      <c r="J286">
        <v>350</v>
      </c>
      <c r="K286" t="s">
        <v>188</v>
      </c>
      <c r="L286" s="50">
        <f>Table001__Page_15[[#This Row],[SATIŞ FİYATI]]-Table001__Page_15[[#This Row],[YUVARLAMA]]</f>
        <v>-1.5</v>
      </c>
      <c r="M286">
        <v>350</v>
      </c>
      <c r="N286">
        <f>M286-Table001__Page_15[[#This Row],[YUVARLAMA]]</f>
        <v>0</v>
      </c>
    </row>
    <row r="287" spans="1:14" x14ac:dyDescent="0.25">
      <c r="A287" t="s">
        <v>542</v>
      </c>
      <c r="C287" t="s">
        <v>1141</v>
      </c>
      <c r="D287">
        <v>3</v>
      </c>
      <c r="E287" t="s">
        <v>144</v>
      </c>
      <c r="F287">
        <v>270</v>
      </c>
      <c r="G287">
        <f>Table001__Page_15[[#This Row],[FİYAT]]*Table001__Page_15[[#This Row],[MİKTAR]]</f>
        <v>810</v>
      </c>
      <c r="H287">
        <v>2</v>
      </c>
      <c r="I287">
        <f>Table001__Page_15[[#This Row],[FİYAT]]*Table001__Page_15[[#This Row],[Sütun2]]</f>
        <v>540</v>
      </c>
      <c r="J287">
        <v>540</v>
      </c>
      <c r="K287" t="s">
        <v>188</v>
      </c>
      <c r="L287" s="50">
        <f>Table001__Page_15[[#This Row],[SATIŞ FİYATI]]-Table001__Page_15[[#This Row],[YUVARLAMA]]</f>
        <v>0</v>
      </c>
      <c r="M287">
        <v>540</v>
      </c>
      <c r="N287">
        <f>M287-Table001__Page_15[[#This Row],[YUVARLAMA]]</f>
        <v>0</v>
      </c>
    </row>
    <row r="288" spans="1:14" x14ac:dyDescent="0.25">
      <c r="A288" t="s">
        <v>125</v>
      </c>
      <c r="C288" t="s">
        <v>1142</v>
      </c>
      <c r="D288">
        <v>1</v>
      </c>
      <c r="E288" t="s">
        <v>144</v>
      </c>
      <c r="F288">
        <v>245</v>
      </c>
      <c r="G288">
        <f>Table001__Page_15[[#This Row],[FİYAT]]*Table001__Page_15[[#This Row],[MİKTAR]]</f>
        <v>245</v>
      </c>
      <c r="H288">
        <v>2</v>
      </c>
      <c r="I288">
        <f>Table001__Page_15[[#This Row],[FİYAT]]*Table001__Page_15[[#This Row],[Sütun2]]</f>
        <v>490</v>
      </c>
      <c r="J288">
        <v>490</v>
      </c>
      <c r="K288" t="s">
        <v>188</v>
      </c>
      <c r="L288" s="50">
        <f>Table001__Page_15[[#This Row],[SATIŞ FİYATI]]-Table001__Page_15[[#This Row],[YUVARLAMA]]</f>
        <v>0</v>
      </c>
      <c r="M288">
        <v>490</v>
      </c>
      <c r="N288">
        <f>M288-Table001__Page_15[[#This Row],[YUVARLAMA]]</f>
        <v>0</v>
      </c>
    </row>
    <row r="289" spans="1:14" x14ac:dyDescent="0.25">
      <c r="A289" t="s">
        <v>542</v>
      </c>
      <c r="C289" t="s">
        <v>1143</v>
      </c>
      <c r="D289">
        <v>6</v>
      </c>
      <c r="E289" t="s">
        <v>144</v>
      </c>
      <c r="F289">
        <v>75</v>
      </c>
      <c r="G289">
        <f>Table001__Page_15[[#This Row],[FİYAT]]*Table001__Page_15[[#This Row],[MİKTAR]]</f>
        <v>450</v>
      </c>
      <c r="H289">
        <v>1.8</v>
      </c>
      <c r="I289">
        <f>Table001__Page_15[[#This Row],[FİYAT]]*Table001__Page_15[[#This Row],[Sütun2]]</f>
        <v>135</v>
      </c>
      <c r="J289">
        <v>135</v>
      </c>
      <c r="K289" t="s">
        <v>188</v>
      </c>
      <c r="L289" s="50">
        <f>Table001__Page_15[[#This Row],[SATIŞ FİYATI]]-Table001__Page_15[[#This Row],[YUVARLAMA]]</f>
        <v>0</v>
      </c>
      <c r="M289">
        <v>135</v>
      </c>
      <c r="N289">
        <f>M289-Table001__Page_15[[#This Row],[YUVARLAMA]]</f>
        <v>0</v>
      </c>
    </row>
    <row r="290" spans="1:14" x14ac:dyDescent="0.25">
      <c r="A290" t="s">
        <v>542</v>
      </c>
      <c r="C290" t="s">
        <v>1144</v>
      </c>
      <c r="D290">
        <v>6</v>
      </c>
      <c r="E290" t="s">
        <v>144</v>
      </c>
      <c r="F290">
        <v>65</v>
      </c>
      <c r="G290">
        <f>Table001__Page_15[[#This Row],[FİYAT]]*Table001__Page_15[[#This Row],[MİKTAR]]</f>
        <v>390</v>
      </c>
      <c r="H290">
        <v>2</v>
      </c>
      <c r="I290">
        <f>Table001__Page_15[[#This Row],[FİYAT]]*Table001__Page_15[[#This Row],[Sütun2]]</f>
        <v>130</v>
      </c>
      <c r="J290">
        <v>130</v>
      </c>
      <c r="K290" t="s">
        <v>188</v>
      </c>
      <c r="L290" s="50">
        <f>Table001__Page_15[[#This Row],[SATIŞ FİYATI]]-Table001__Page_15[[#This Row],[YUVARLAMA]]</f>
        <v>0</v>
      </c>
      <c r="M290">
        <v>130</v>
      </c>
      <c r="N290">
        <f>M290-Table001__Page_15[[#This Row],[YUVARLAMA]]</f>
        <v>0</v>
      </c>
    </row>
    <row r="291" spans="1:14" x14ac:dyDescent="0.25">
      <c r="A291" t="s">
        <v>542</v>
      </c>
      <c r="C291" t="s">
        <v>1399</v>
      </c>
      <c r="D291">
        <v>6</v>
      </c>
      <c r="E291" t="s">
        <v>144</v>
      </c>
      <c r="F291">
        <v>95</v>
      </c>
      <c r="G291">
        <f>Table001__Page_15[[#This Row],[FİYAT]]*Table001__Page_15[[#This Row],[MİKTAR]]</f>
        <v>570</v>
      </c>
      <c r="H291">
        <v>1.8</v>
      </c>
      <c r="I291">
        <f>Table001__Page_15[[#This Row],[FİYAT]]*Table001__Page_15[[#This Row],[Sütun2]]</f>
        <v>171</v>
      </c>
      <c r="J291">
        <v>170</v>
      </c>
      <c r="K291" t="s">
        <v>188</v>
      </c>
      <c r="L291" s="50">
        <f>Table001__Page_15[[#This Row],[SATIŞ FİYATI]]-Table001__Page_15[[#This Row],[YUVARLAMA]]</f>
        <v>1</v>
      </c>
      <c r="M291">
        <v>170</v>
      </c>
      <c r="N291">
        <f>M291-Table001__Page_15[[#This Row],[YUVARLAMA]]</f>
        <v>0</v>
      </c>
    </row>
    <row r="292" spans="1:14" x14ac:dyDescent="0.25">
      <c r="A292" t="s">
        <v>164</v>
      </c>
      <c r="C292" t="s">
        <v>3383</v>
      </c>
      <c r="D292">
        <v>10</v>
      </c>
      <c r="E292" t="s">
        <v>144</v>
      </c>
      <c r="F292">
        <v>33</v>
      </c>
      <c r="G292">
        <f>Table001__Page_15[[#This Row],[FİYAT]]*Table001__Page_15[[#This Row],[MİKTAR]]</f>
        <v>330</v>
      </c>
      <c r="H292">
        <v>1.5</v>
      </c>
      <c r="I292">
        <f>Table001__Page_15[[#This Row],[FİYAT]]*Table001__Page_15[[#This Row],[Sütun2]]</f>
        <v>49.5</v>
      </c>
      <c r="J292">
        <v>50</v>
      </c>
      <c r="K292" t="s">
        <v>188</v>
      </c>
      <c r="L292" s="50">
        <f>Table001__Page_15[[#This Row],[SATIŞ FİYATI]]-Table001__Page_15[[#This Row],[YUVARLAMA]]</f>
        <v>-0.5</v>
      </c>
      <c r="M292">
        <v>50</v>
      </c>
      <c r="N292">
        <f>M292-Table001__Page_15[[#This Row],[YUVARLAMA]]</f>
        <v>0</v>
      </c>
    </row>
    <row r="293" spans="1:14" x14ac:dyDescent="0.25">
      <c r="A293" t="s">
        <v>177</v>
      </c>
      <c r="C293" t="s">
        <v>1423</v>
      </c>
      <c r="D293">
        <v>4</v>
      </c>
      <c r="E293" t="s">
        <v>144</v>
      </c>
      <c r="F293">
        <v>58</v>
      </c>
      <c r="G293">
        <f>Table001__Page_15[[#This Row],[FİYAT]]*Table001__Page_15[[#This Row],[MİKTAR]]</f>
        <v>232</v>
      </c>
      <c r="H293">
        <v>1.7</v>
      </c>
      <c r="I293">
        <f>Table001__Page_15[[#This Row],[FİYAT]]*Table001__Page_15[[#This Row],[Sütun2]]</f>
        <v>98.6</v>
      </c>
      <c r="J293">
        <v>100</v>
      </c>
      <c r="K293" t="s">
        <v>188</v>
      </c>
      <c r="L293" s="50">
        <f>Table001__Page_15[[#This Row],[SATIŞ FİYATI]]-Table001__Page_15[[#This Row],[YUVARLAMA]]</f>
        <v>-1.4000000000000057</v>
      </c>
      <c r="M293">
        <v>100</v>
      </c>
      <c r="N293">
        <f>M293-Table001__Page_15[[#This Row],[YUVARLAMA]]</f>
        <v>0</v>
      </c>
    </row>
    <row r="294" spans="1:14" x14ac:dyDescent="0.25">
      <c r="A294" t="s">
        <v>177</v>
      </c>
      <c r="C294" t="s">
        <v>1425</v>
      </c>
      <c r="D294">
        <v>4</v>
      </c>
      <c r="E294" t="s">
        <v>144</v>
      </c>
      <c r="F294">
        <v>58</v>
      </c>
      <c r="G294">
        <f>Table001__Page_15[[#This Row],[FİYAT]]*Table001__Page_15[[#This Row],[MİKTAR]]</f>
        <v>232</v>
      </c>
      <c r="H294">
        <v>1.7</v>
      </c>
      <c r="I294">
        <f>Table001__Page_15[[#This Row],[FİYAT]]*Table001__Page_15[[#This Row],[Sütun2]]</f>
        <v>98.6</v>
      </c>
      <c r="J294">
        <v>100</v>
      </c>
      <c r="K294" t="s">
        <v>188</v>
      </c>
      <c r="L294" s="50">
        <f>Table001__Page_15[[#This Row],[SATIŞ FİYATI]]-Table001__Page_15[[#This Row],[YUVARLAMA]]</f>
        <v>-1.4000000000000057</v>
      </c>
      <c r="M294">
        <v>100</v>
      </c>
      <c r="N294">
        <f>M294-Table001__Page_15[[#This Row],[YUVARLAMA]]</f>
        <v>0</v>
      </c>
    </row>
    <row r="295" spans="1:14" x14ac:dyDescent="0.25">
      <c r="A295" t="s">
        <v>177</v>
      </c>
      <c r="C295" t="s">
        <v>1424</v>
      </c>
      <c r="D295">
        <v>4</v>
      </c>
      <c r="E295" t="s">
        <v>144</v>
      </c>
      <c r="F295">
        <v>45</v>
      </c>
      <c r="G295">
        <f>Table001__Page_15[[#This Row],[FİYAT]]*Table001__Page_15[[#This Row],[MİKTAR]]</f>
        <v>180</v>
      </c>
      <c r="H295">
        <v>1.7</v>
      </c>
      <c r="I295">
        <f>Table001__Page_15[[#This Row],[FİYAT]]*Table001__Page_15[[#This Row],[Sütun2]]</f>
        <v>76.5</v>
      </c>
      <c r="J295">
        <v>100</v>
      </c>
      <c r="K295" t="s">
        <v>188</v>
      </c>
      <c r="L295" s="50">
        <f>Table001__Page_15[[#This Row],[SATIŞ FİYATI]]-Table001__Page_15[[#This Row],[YUVARLAMA]]</f>
        <v>-23.5</v>
      </c>
      <c r="M295">
        <v>100</v>
      </c>
      <c r="N295">
        <f>M295-Table001__Page_15[[#This Row],[YUVARLAMA]]</f>
        <v>0</v>
      </c>
    </row>
    <row r="296" spans="1:14" x14ac:dyDescent="0.25">
      <c r="A296" t="s">
        <v>177</v>
      </c>
      <c r="C296" t="s">
        <v>1427</v>
      </c>
      <c r="D296">
        <v>4</v>
      </c>
      <c r="E296" t="s">
        <v>144</v>
      </c>
      <c r="F296">
        <v>58</v>
      </c>
      <c r="G296">
        <f>Table001__Page_15[[#This Row],[FİYAT]]*Table001__Page_15[[#This Row],[MİKTAR]]</f>
        <v>232</v>
      </c>
      <c r="H296">
        <v>1.7</v>
      </c>
      <c r="I296">
        <f>Table001__Page_15[[#This Row],[FİYAT]]*Table001__Page_15[[#This Row],[Sütun2]]</f>
        <v>98.6</v>
      </c>
      <c r="J296">
        <v>100</v>
      </c>
      <c r="K296" t="s">
        <v>188</v>
      </c>
      <c r="L296" s="50">
        <f>Table001__Page_15[[#This Row],[SATIŞ FİYATI]]-Table001__Page_15[[#This Row],[YUVARLAMA]]</f>
        <v>-1.4000000000000057</v>
      </c>
      <c r="M296">
        <v>100</v>
      </c>
      <c r="N296">
        <f>M296-Table001__Page_15[[#This Row],[YUVARLAMA]]</f>
        <v>0</v>
      </c>
    </row>
    <row r="297" spans="1:14" x14ac:dyDescent="0.25">
      <c r="A297" t="s">
        <v>177</v>
      </c>
      <c r="C297" t="s">
        <v>1426</v>
      </c>
      <c r="D297">
        <v>4</v>
      </c>
      <c r="E297" t="s">
        <v>144</v>
      </c>
      <c r="F297">
        <v>58</v>
      </c>
      <c r="G297">
        <f>Table001__Page_15[[#This Row],[FİYAT]]*Table001__Page_15[[#This Row],[MİKTAR]]</f>
        <v>232</v>
      </c>
      <c r="H297">
        <v>1.7</v>
      </c>
      <c r="I297">
        <f>Table001__Page_15[[#This Row],[FİYAT]]*Table001__Page_15[[#This Row],[Sütun2]]</f>
        <v>98.6</v>
      </c>
      <c r="J297">
        <v>100</v>
      </c>
      <c r="K297" t="s">
        <v>188</v>
      </c>
      <c r="L297" s="50">
        <f>Table001__Page_15[[#This Row],[SATIŞ FİYATI]]-Table001__Page_15[[#This Row],[YUVARLAMA]]</f>
        <v>-1.4000000000000057</v>
      </c>
      <c r="M297">
        <v>100</v>
      </c>
      <c r="N297">
        <f>M297-Table001__Page_15[[#This Row],[YUVARLAMA]]</f>
        <v>0</v>
      </c>
    </row>
    <row r="298" spans="1:14" x14ac:dyDescent="0.25">
      <c r="A298" t="s">
        <v>164</v>
      </c>
      <c r="C298" t="s">
        <v>1428</v>
      </c>
      <c r="D298">
        <v>1</v>
      </c>
      <c r="E298" t="s">
        <v>127</v>
      </c>
      <c r="F298">
        <v>450</v>
      </c>
      <c r="G298">
        <f>Table001__Page_15[[#This Row],[FİYAT]]*Table001__Page_15[[#This Row],[MİKTAR]]</f>
        <v>450</v>
      </c>
      <c r="H298">
        <v>1.8</v>
      </c>
      <c r="I298">
        <f>Table001__Page_15[[#This Row],[FİYAT]]*Table001__Page_15[[#This Row],[Sütun2]]</f>
        <v>810</v>
      </c>
      <c r="J298">
        <v>800</v>
      </c>
      <c r="K298" t="s">
        <v>188</v>
      </c>
      <c r="L298" s="50">
        <f>Table001__Page_15[[#This Row],[SATIŞ FİYATI]]-Table001__Page_15[[#This Row],[YUVARLAMA]]</f>
        <v>10</v>
      </c>
      <c r="M298">
        <v>800</v>
      </c>
      <c r="N298">
        <f>M298-Table001__Page_15[[#This Row],[YUVARLAMA]]</f>
        <v>0</v>
      </c>
    </row>
    <row r="299" spans="1:14" x14ac:dyDescent="0.25">
      <c r="A299" t="s">
        <v>177</v>
      </c>
      <c r="C299" t="s">
        <v>1443</v>
      </c>
      <c r="D299">
        <v>30</v>
      </c>
      <c r="E299" t="s">
        <v>144</v>
      </c>
      <c r="F299">
        <v>4.6666699999999999</v>
      </c>
      <c r="G299">
        <f>Table001__Page_15[[#This Row],[FİYAT]]*Table001__Page_15[[#This Row],[MİKTAR]]</f>
        <v>140.0001</v>
      </c>
      <c r="H299">
        <v>2.2000000000000002</v>
      </c>
      <c r="I299">
        <f>Table001__Page_15[[#This Row],[FİYAT]]*Table001__Page_15[[#This Row],[Sütun2]]</f>
        <v>10.266674</v>
      </c>
      <c r="J299">
        <v>20</v>
      </c>
      <c r="K299" t="s">
        <v>188</v>
      </c>
      <c r="L299" s="50">
        <f>Table001__Page_15[[#This Row],[SATIŞ FİYATI]]-Table001__Page_15[[#This Row],[YUVARLAMA]]</f>
        <v>-9.7333259999999999</v>
      </c>
      <c r="M299">
        <v>20</v>
      </c>
      <c r="N299">
        <f>M299-Table001__Page_15[[#This Row],[YUVARLAMA]]</f>
        <v>0</v>
      </c>
    </row>
    <row r="300" spans="1:14" x14ac:dyDescent="0.25">
      <c r="A300" t="s">
        <v>125</v>
      </c>
      <c r="C300" t="s">
        <v>1444</v>
      </c>
      <c r="D300">
        <v>5</v>
      </c>
      <c r="E300" t="s">
        <v>127</v>
      </c>
      <c r="F300">
        <v>160</v>
      </c>
      <c r="G300">
        <f>Table001__Page_15[[#This Row],[FİYAT]]*Table001__Page_15[[#This Row],[MİKTAR]]</f>
        <v>800</v>
      </c>
      <c r="H300">
        <v>2</v>
      </c>
      <c r="I300">
        <f>Table001__Page_15[[#This Row],[FİYAT]]*Table001__Page_15[[#This Row],[Sütun2]]</f>
        <v>320</v>
      </c>
      <c r="J300">
        <v>320</v>
      </c>
      <c r="K300" t="s">
        <v>188</v>
      </c>
      <c r="L300" s="50">
        <f>Table001__Page_15[[#This Row],[SATIŞ FİYATI]]-Table001__Page_15[[#This Row],[YUVARLAMA]]</f>
        <v>0</v>
      </c>
      <c r="M300">
        <v>320</v>
      </c>
      <c r="N300">
        <f>M300-Table001__Page_15[[#This Row],[YUVARLAMA]]</f>
        <v>0</v>
      </c>
    </row>
    <row r="301" spans="1:14" x14ac:dyDescent="0.25">
      <c r="A301" t="s">
        <v>177</v>
      </c>
      <c r="C301" t="s">
        <v>1619</v>
      </c>
      <c r="F301">
        <v>70</v>
      </c>
      <c r="G301">
        <f>Table001__Page_15[[#This Row],[FİYAT]]*Table001__Page_15[[#This Row],[MİKTAR]]</f>
        <v>0</v>
      </c>
      <c r="H301">
        <v>1.5</v>
      </c>
      <c r="I301">
        <f>Table001__Page_15[[#This Row],[FİYAT]]*Table001__Page_15[[#This Row],[Sütun2]]</f>
        <v>105</v>
      </c>
      <c r="J301">
        <v>100</v>
      </c>
      <c r="K301" t="s">
        <v>188</v>
      </c>
      <c r="L301" s="50">
        <f>Table001__Page_15[[#This Row],[SATIŞ FİYATI]]-Table001__Page_15[[#This Row],[YUVARLAMA]]</f>
        <v>5</v>
      </c>
      <c r="M301">
        <v>100</v>
      </c>
      <c r="N301">
        <f>M301-Table001__Page_15[[#This Row],[YUVARLAMA]]</f>
        <v>0</v>
      </c>
    </row>
    <row r="302" spans="1:14" x14ac:dyDescent="0.25">
      <c r="A302" t="s">
        <v>177</v>
      </c>
      <c r="C302" t="s">
        <v>1620</v>
      </c>
      <c r="F302">
        <v>65</v>
      </c>
      <c r="G302">
        <f>Table001__Page_15[[#This Row],[FİYAT]]*Table001__Page_15[[#This Row],[MİKTAR]]</f>
        <v>0</v>
      </c>
      <c r="H302">
        <v>1.5</v>
      </c>
      <c r="I302">
        <f>Table001__Page_15[[#This Row],[FİYAT]]*Table001__Page_15[[#This Row],[Sütun2]]</f>
        <v>97.5</v>
      </c>
      <c r="J302">
        <v>100</v>
      </c>
      <c r="K302" t="s">
        <v>188</v>
      </c>
      <c r="L302" s="50">
        <f>Table001__Page_15[[#This Row],[SATIŞ FİYATI]]-Table001__Page_15[[#This Row],[YUVARLAMA]]</f>
        <v>-2.5</v>
      </c>
      <c r="M302">
        <v>100</v>
      </c>
      <c r="N302">
        <f>M302-Table001__Page_15[[#This Row],[YUVARLAMA]]</f>
        <v>0</v>
      </c>
    </row>
    <row r="303" spans="1:14" x14ac:dyDescent="0.25">
      <c r="A303" t="s">
        <v>177</v>
      </c>
      <c r="C303" t="s">
        <v>1635</v>
      </c>
      <c r="F303">
        <v>70</v>
      </c>
      <c r="G303">
        <f>Table001__Page_15[[#This Row],[FİYAT]]*Table001__Page_15[[#This Row],[MİKTAR]]</f>
        <v>0</v>
      </c>
      <c r="H303">
        <v>1.5</v>
      </c>
      <c r="I303">
        <f>Table001__Page_15[[#This Row],[FİYAT]]*Table001__Page_15[[#This Row],[Sütun2]]</f>
        <v>105</v>
      </c>
      <c r="J303">
        <v>100</v>
      </c>
      <c r="K303" t="s">
        <v>188</v>
      </c>
      <c r="L303" s="50">
        <f>Table001__Page_15[[#This Row],[SATIŞ FİYATI]]-Table001__Page_15[[#This Row],[YUVARLAMA]]</f>
        <v>5</v>
      </c>
      <c r="M303">
        <v>100</v>
      </c>
      <c r="N303">
        <f>M303-Table001__Page_15[[#This Row],[YUVARLAMA]]</f>
        <v>0</v>
      </c>
    </row>
    <row r="304" spans="1:14" x14ac:dyDescent="0.25">
      <c r="A304" t="s">
        <v>177</v>
      </c>
      <c r="C304" t="s">
        <v>1636</v>
      </c>
      <c r="F304">
        <v>85</v>
      </c>
      <c r="G304">
        <f>Table001__Page_15[[#This Row],[FİYAT]]*Table001__Page_15[[#This Row],[MİKTAR]]</f>
        <v>0</v>
      </c>
      <c r="H304">
        <v>1.5</v>
      </c>
      <c r="I304">
        <f>Table001__Page_15[[#This Row],[FİYAT]]*Table001__Page_15[[#This Row],[Sütun2]]</f>
        <v>127.5</v>
      </c>
      <c r="J304">
        <v>150</v>
      </c>
      <c r="K304" t="s">
        <v>188</v>
      </c>
      <c r="L304" s="50">
        <f>Table001__Page_15[[#This Row],[SATIŞ FİYATI]]-Table001__Page_15[[#This Row],[YUVARLAMA]]</f>
        <v>-22.5</v>
      </c>
      <c r="M304">
        <v>150</v>
      </c>
      <c r="N304">
        <f>M304-Table001__Page_15[[#This Row],[YUVARLAMA]]</f>
        <v>0</v>
      </c>
    </row>
    <row r="305" spans="1:14" x14ac:dyDescent="0.25">
      <c r="A305" t="s">
        <v>177</v>
      </c>
      <c r="C305" t="s">
        <v>1637</v>
      </c>
      <c r="F305">
        <v>100</v>
      </c>
      <c r="G305">
        <f>Table001__Page_15[[#This Row],[FİYAT]]*Table001__Page_15[[#This Row],[MİKTAR]]</f>
        <v>0</v>
      </c>
      <c r="H305">
        <v>1.5</v>
      </c>
      <c r="I305">
        <f>Table001__Page_15[[#This Row],[FİYAT]]*Table001__Page_15[[#This Row],[Sütun2]]</f>
        <v>150</v>
      </c>
      <c r="J305">
        <v>150</v>
      </c>
      <c r="K305" t="s">
        <v>188</v>
      </c>
      <c r="L305" s="50">
        <f>Table001__Page_15[[#This Row],[SATIŞ FİYATI]]-Table001__Page_15[[#This Row],[YUVARLAMA]]</f>
        <v>0</v>
      </c>
      <c r="M305">
        <v>150</v>
      </c>
      <c r="N305">
        <f>M305-Table001__Page_15[[#This Row],[YUVARLAMA]]</f>
        <v>0</v>
      </c>
    </row>
    <row r="306" spans="1:14" x14ac:dyDescent="0.25">
      <c r="A306" t="s">
        <v>177</v>
      </c>
      <c r="C306" t="s">
        <v>1638</v>
      </c>
      <c r="F306">
        <v>70</v>
      </c>
      <c r="G306">
        <f>Table001__Page_15[[#This Row],[FİYAT]]*Table001__Page_15[[#This Row],[MİKTAR]]</f>
        <v>0</v>
      </c>
      <c r="H306">
        <v>1.5</v>
      </c>
      <c r="I306">
        <f>Table001__Page_15[[#This Row],[FİYAT]]*Table001__Page_15[[#This Row],[Sütun2]]</f>
        <v>105</v>
      </c>
      <c r="J306">
        <v>100</v>
      </c>
      <c r="K306" t="s">
        <v>188</v>
      </c>
      <c r="L306" s="50">
        <f>Table001__Page_15[[#This Row],[SATIŞ FİYATI]]-Table001__Page_15[[#This Row],[YUVARLAMA]]</f>
        <v>5</v>
      </c>
      <c r="M306">
        <v>100</v>
      </c>
      <c r="N306">
        <f>M306-Table001__Page_15[[#This Row],[YUVARLAMA]]</f>
        <v>0</v>
      </c>
    </row>
    <row r="307" spans="1:14" x14ac:dyDescent="0.25">
      <c r="A307" t="s">
        <v>541</v>
      </c>
      <c r="C307" t="s">
        <v>1897</v>
      </c>
      <c r="D307">
        <v>10</v>
      </c>
      <c r="E307" t="s">
        <v>144</v>
      </c>
      <c r="F307">
        <v>215</v>
      </c>
      <c r="G307">
        <f>Table001__Page_15[[#This Row],[FİYAT]]*Table001__Page_15[[#This Row],[MİKTAR]]</f>
        <v>2150</v>
      </c>
      <c r="H307">
        <v>1.4</v>
      </c>
      <c r="I307">
        <f>Table001__Page_15[[#This Row],[FİYAT]]*Table001__Page_15[[#This Row],[Sütun2]]</f>
        <v>301</v>
      </c>
      <c r="J307">
        <v>295</v>
      </c>
      <c r="K307" t="s">
        <v>188</v>
      </c>
      <c r="L307" s="50">
        <f>Table001__Page_15[[#This Row],[SATIŞ FİYATI]]-Table001__Page_15[[#This Row],[YUVARLAMA]]</f>
        <v>6</v>
      </c>
      <c r="M307">
        <v>300</v>
      </c>
      <c r="N307">
        <f>M307-Table001__Page_15[[#This Row],[YUVARLAMA]]</f>
        <v>5</v>
      </c>
    </row>
    <row r="308" spans="1:14" x14ac:dyDescent="0.25">
      <c r="A308" t="s">
        <v>541</v>
      </c>
      <c r="C308" t="s">
        <v>1894</v>
      </c>
      <c r="D308">
        <v>5</v>
      </c>
      <c r="E308" t="s">
        <v>144</v>
      </c>
      <c r="F308">
        <v>35</v>
      </c>
      <c r="G308">
        <f>Table001__Page_15[[#This Row],[FİYAT]]*Table001__Page_15[[#This Row],[MİKTAR]]</f>
        <v>175</v>
      </c>
      <c r="H308">
        <v>2</v>
      </c>
      <c r="I308">
        <f>Table001__Page_15[[#This Row],[FİYAT]]*Table001__Page_15[[#This Row],[Sütun2]]</f>
        <v>70</v>
      </c>
      <c r="J308">
        <v>70</v>
      </c>
      <c r="K308" t="s">
        <v>188</v>
      </c>
      <c r="L308" s="50">
        <f>Table001__Page_15[[#This Row],[SATIŞ FİYATI]]-Table001__Page_15[[#This Row],[YUVARLAMA]]</f>
        <v>0</v>
      </c>
      <c r="M308">
        <v>70</v>
      </c>
      <c r="N308">
        <f>M308-Table001__Page_15[[#This Row],[YUVARLAMA]]</f>
        <v>0</v>
      </c>
    </row>
    <row r="309" spans="1:14" x14ac:dyDescent="0.25">
      <c r="A309" t="s">
        <v>125</v>
      </c>
      <c r="C309" t="s">
        <v>1896</v>
      </c>
      <c r="D309">
        <v>1</v>
      </c>
      <c r="E309" t="s">
        <v>127</v>
      </c>
      <c r="F309">
        <v>120</v>
      </c>
      <c r="G309">
        <f>Table001__Page_15[[#This Row],[FİYAT]]*Table001__Page_15[[#This Row],[MİKTAR]]</f>
        <v>120</v>
      </c>
      <c r="H309">
        <v>3.35</v>
      </c>
      <c r="I309">
        <f>Table001__Page_15[[#This Row],[FİYAT]]*Table001__Page_15[[#This Row],[Sütun2]]</f>
        <v>402</v>
      </c>
      <c r="J309">
        <v>40</v>
      </c>
      <c r="K309" t="s">
        <v>188</v>
      </c>
      <c r="L309" s="50">
        <f>Table001__Page_15[[#This Row],[SATIŞ FİYATI]]-Table001__Page_15[[#This Row],[YUVARLAMA]]</f>
        <v>362</v>
      </c>
      <c r="M309">
        <v>40</v>
      </c>
      <c r="N309">
        <f>M309-Table001__Page_15[[#This Row],[YUVARLAMA]]</f>
        <v>0</v>
      </c>
    </row>
    <row r="310" spans="1:14" x14ac:dyDescent="0.25">
      <c r="A310" t="s">
        <v>177</v>
      </c>
      <c r="C310" t="s">
        <v>2117</v>
      </c>
      <c r="D310">
        <v>20</v>
      </c>
      <c r="E310" t="s">
        <v>144</v>
      </c>
      <c r="F310">
        <v>16.5</v>
      </c>
      <c r="G310">
        <f>Table001__Page_15[[#This Row],[FİYAT]]*Table001__Page_15[[#This Row],[MİKTAR]]</f>
        <v>330</v>
      </c>
      <c r="H310">
        <v>2</v>
      </c>
      <c r="I310">
        <f>Table001__Page_15[[#This Row],[FİYAT]]*Table001__Page_15[[#This Row],[Sütun2]]</f>
        <v>33</v>
      </c>
      <c r="J310">
        <v>30</v>
      </c>
      <c r="K310" t="s">
        <v>188</v>
      </c>
      <c r="L310" s="50">
        <f>Table001__Page_15[[#This Row],[SATIŞ FİYATI]]-Table001__Page_15[[#This Row],[YUVARLAMA]]</f>
        <v>3</v>
      </c>
      <c r="M310">
        <v>30</v>
      </c>
      <c r="N310">
        <f>M310-Table001__Page_15[[#This Row],[YUVARLAMA]]</f>
        <v>0</v>
      </c>
    </row>
    <row r="311" spans="1:14" x14ac:dyDescent="0.25">
      <c r="A311" t="s">
        <v>125</v>
      </c>
      <c r="C311" t="s">
        <v>2086</v>
      </c>
      <c r="D311">
        <v>1</v>
      </c>
      <c r="E311" t="s">
        <v>127</v>
      </c>
      <c r="F311">
        <v>305</v>
      </c>
      <c r="G311">
        <f>Table001__Page_15[[#This Row],[FİYAT]]*Table001__Page_15[[#This Row],[MİKTAR]]</f>
        <v>305</v>
      </c>
      <c r="H311">
        <v>3</v>
      </c>
      <c r="I311">
        <f>Table001__Page_15[[#This Row],[FİYAT]]*Table001__Page_15[[#This Row],[Sütun2]]</f>
        <v>915</v>
      </c>
      <c r="J311">
        <v>90</v>
      </c>
      <c r="K311" t="s">
        <v>188</v>
      </c>
      <c r="L311" s="50">
        <f>Table001__Page_15[[#This Row],[SATIŞ FİYATI]]-Table001__Page_15[[#This Row],[YUVARLAMA]]</f>
        <v>825</v>
      </c>
      <c r="M311">
        <v>90</v>
      </c>
      <c r="N311">
        <f>M311-Table001__Page_15[[#This Row],[YUVARLAMA]]</f>
        <v>0</v>
      </c>
    </row>
    <row r="312" spans="1:14" x14ac:dyDescent="0.25">
      <c r="A312" t="s">
        <v>484</v>
      </c>
      <c r="C312" t="s">
        <v>2087</v>
      </c>
      <c r="D312">
        <v>3</v>
      </c>
      <c r="E312" t="s">
        <v>127</v>
      </c>
      <c r="F312">
        <v>270</v>
      </c>
      <c r="G312">
        <f>Table001__Page_15[[#This Row],[FİYAT]]*Table001__Page_15[[#This Row],[MİKTAR]]</f>
        <v>810</v>
      </c>
      <c r="H312">
        <v>1.6</v>
      </c>
      <c r="I312">
        <f>Table001__Page_15[[#This Row],[FİYAT]]*Table001__Page_15[[#This Row],[Sütun2]]</f>
        <v>432</v>
      </c>
      <c r="J312">
        <v>430</v>
      </c>
      <c r="K312" t="s">
        <v>188</v>
      </c>
      <c r="L312" s="50">
        <f>Table001__Page_15[[#This Row],[SATIŞ FİYATI]]-Table001__Page_15[[#This Row],[YUVARLAMA]]</f>
        <v>2</v>
      </c>
      <c r="M312">
        <v>430</v>
      </c>
      <c r="N312">
        <f>M312-Table001__Page_15[[#This Row],[YUVARLAMA]]</f>
        <v>0</v>
      </c>
    </row>
    <row r="313" spans="1:14" x14ac:dyDescent="0.25">
      <c r="A313" t="s">
        <v>170</v>
      </c>
      <c r="C313" t="s">
        <v>2118</v>
      </c>
      <c r="D313">
        <v>6</v>
      </c>
      <c r="E313" t="s">
        <v>144</v>
      </c>
      <c r="F313">
        <v>95</v>
      </c>
      <c r="G313">
        <f>Table001__Page_15[[#This Row],[FİYAT]]*Table001__Page_15[[#This Row],[MİKTAR]]</f>
        <v>570</v>
      </c>
      <c r="H313">
        <v>1.5</v>
      </c>
      <c r="I313">
        <f>Table001__Page_15[[#This Row],[FİYAT]]*Table001__Page_15[[#This Row],[Sütun2]]</f>
        <v>142.5</v>
      </c>
      <c r="J313">
        <v>150</v>
      </c>
      <c r="K313" t="s">
        <v>188</v>
      </c>
      <c r="L313" s="50">
        <f>Table001__Page_15[[#This Row],[SATIŞ FİYATI]]-Table001__Page_15[[#This Row],[YUVARLAMA]]</f>
        <v>-7.5</v>
      </c>
      <c r="M313">
        <v>150</v>
      </c>
      <c r="N313">
        <f>M313-Table001__Page_15[[#This Row],[YUVARLAMA]]</f>
        <v>0</v>
      </c>
    </row>
    <row r="314" spans="1:14" x14ac:dyDescent="0.25">
      <c r="A314" t="s">
        <v>1691</v>
      </c>
      <c r="C314" t="s">
        <v>2119</v>
      </c>
      <c r="D314">
        <v>3</v>
      </c>
      <c r="E314" t="s">
        <v>144</v>
      </c>
      <c r="F314">
        <v>130</v>
      </c>
      <c r="G314">
        <f>Table001__Page_15[[#This Row],[FİYAT]]*Table001__Page_15[[#This Row],[MİKTAR]]</f>
        <v>390</v>
      </c>
      <c r="H314">
        <v>2</v>
      </c>
      <c r="I314">
        <f>Table001__Page_15[[#This Row],[FİYAT]]*Table001__Page_15[[#This Row],[Sütun2]]</f>
        <v>260</v>
      </c>
      <c r="J314">
        <v>350</v>
      </c>
      <c r="K314" t="s">
        <v>188</v>
      </c>
      <c r="L314" s="50">
        <f>Table001__Page_15[[#This Row],[SATIŞ FİYATI]]-Table001__Page_15[[#This Row],[YUVARLAMA]]</f>
        <v>-90</v>
      </c>
      <c r="M314">
        <v>350</v>
      </c>
      <c r="N314">
        <f>M314-Table001__Page_15[[#This Row],[YUVARLAMA]]</f>
        <v>0</v>
      </c>
    </row>
    <row r="315" spans="1:14" x14ac:dyDescent="0.25">
      <c r="A315" t="s">
        <v>164</v>
      </c>
      <c r="C315" t="s">
        <v>2120</v>
      </c>
      <c r="D315">
        <v>5</v>
      </c>
      <c r="E315" t="s">
        <v>127</v>
      </c>
      <c r="F315">
        <v>31</v>
      </c>
      <c r="G315">
        <f>Table001__Page_15[[#This Row],[FİYAT]]*Table001__Page_15[[#This Row],[MİKTAR]]</f>
        <v>155</v>
      </c>
      <c r="H315">
        <v>2.1</v>
      </c>
      <c r="I315">
        <f>Table001__Page_15[[#This Row],[FİYAT]]*Table001__Page_15[[#This Row],[Sütun2]]</f>
        <v>65.100000000000009</v>
      </c>
      <c r="J315">
        <v>65</v>
      </c>
      <c r="K315" t="s">
        <v>188</v>
      </c>
      <c r="L315" s="50">
        <f>Table001__Page_15[[#This Row],[SATIŞ FİYATI]]-Table001__Page_15[[#This Row],[YUVARLAMA]]</f>
        <v>0.10000000000000853</v>
      </c>
      <c r="M315">
        <v>65</v>
      </c>
      <c r="N315">
        <f>M315-Table001__Page_15[[#This Row],[YUVARLAMA]]</f>
        <v>0</v>
      </c>
    </row>
    <row r="316" spans="1:14" x14ac:dyDescent="0.25">
      <c r="A316" t="s">
        <v>164</v>
      </c>
      <c r="C316" t="s">
        <v>2121</v>
      </c>
      <c r="D316">
        <v>5</v>
      </c>
      <c r="E316" t="s">
        <v>127</v>
      </c>
      <c r="F316">
        <v>32</v>
      </c>
      <c r="G316">
        <f>Table001__Page_15[[#This Row],[FİYAT]]*Table001__Page_15[[#This Row],[MİKTAR]]</f>
        <v>160</v>
      </c>
      <c r="H316">
        <v>2</v>
      </c>
      <c r="I316">
        <f>Table001__Page_15[[#This Row],[FİYAT]]*Table001__Page_15[[#This Row],[Sütun2]]</f>
        <v>64</v>
      </c>
      <c r="J316">
        <v>65</v>
      </c>
      <c r="K316" t="s">
        <v>188</v>
      </c>
      <c r="L316" s="50">
        <f>Table001__Page_15[[#This Row],[SATIŞ FİYATI]]-Table001__Page_15[[#This Row],[YUVARLAMA]]</f>
        <v>-1</v>
      </c>
      <c r="M316">
        <v>65</v>
      </c>
      <c r="N316">
        <f>M316-Table001__Page_15[[#This Row],[YUVARLAMA]]</f>
        <v>0</v>
      </c>
    </row>
    <row r="317" spans="1:14" x14ac:dyDescent="0.25">
      <c r="A317" t="s">
        <v>484</v>
      </c>
      <c r="C317" t="s">
        <v>2281</v>
      </c>
      <c r="D317">
        <v>1</v>
      </c>
      <c r="F317">
        <v>2200</v>
      </c>
      <c r="G317">
        <f>Table001__Page_15[[#This Row],[FİYAT]]*Table001__Page_15[[#This Row],[MİKTAR]]</f>
        <v>2200</v>
      </c>
      <c r="H317">
        <v>1.3</v>
      </c>
      <c r="I317">
        <f>Table001__Page_15[[#This Row],[FİYAT]]*Table001__Page_15[[#This Row],[Sütun2]]</f>
        <v>2860</v>
      </c>
      <c r="J317">
        <v>2800</v>
      </c>
      <c r="K317" t="s">
        <v>188</v>
      </c>
      <c r="L317" s="50">
        <f>Table001__Page_15[[#This Row],[SATIŞ FİYATI]]-Table001__Page_15[[#This Row],[YUVARLAMA]]</f>
        <v>60</v>
      </c>
      <c r="M317">
        <v>2800</v>
      </c>
      <c r="N317">
        <f>M317-Table001__Page_15[[#This Row],[YUVARLAMA]]</f>
        <v>0</v>
      </c>
    </row>
    <row r="318" spans="1:14" x14ac:dyDescent="0.25">
      <c r="A318" t="s">
        <v>484</v>
      </c>
      <c r="C318" t="s">
        <v>2282</v>
      </c>
      <c r="D318">
        <v>1</v>
      </c>
      <c r="F318">
        <v>2250</v>
      </c>
      <c r="G318">
        <f>Table001__Page_15[[#This Row],[FİYAT]]*Table001__Page_15[[#This Row],[MİKTAR]]</f>
        <v>2250</v>
      </c>
      <c r="H318">
        <v>1.3</v>
      </c>
      <c r="I318">
        <f>Table001__Page_15[[#This Row],[FİYAT]]*Table001__Page_15[[#This Row],[Sütun2]]</f>
        <v>2925</v>
      </c>
      <c r="J318">
        <v>2900</v>
      </c>
      <c r="K318" t="s">
        <v>188</v>
      </c>
      <c r="L318" s="50">
        <f>Table001__Page_15[[#This Row],[SATIŞ FİYATI]]-Table001__Page_15[[#This Row],[YUVARLAMA]]</f>
        <v>25</v>
      </c>
      <c r="M318">
        <v>2900</v>
      </c>
      <c r="N318">
        <f>M318-Table001__Page_15[[#This Row],[YUVARLAMA]]</f>
        <v>0</v>
      </c>
    </row>
    <row r="319" spans="1:14" x14ac:dyDescent="0.25">
      <c r="A319" t="s">
        <v>542</v>
      </c>
      <c r="C319" t="s">
        <v>2283</v>
      </c>
      <c r="D319">
        <v>1</v>
      </c>
      <c r="F319">
        <v>260</v>
      </c>
      <c r="G319">
        <f>Table001__Page_15[[#This Row],[FİYAT]]*Table001__Page_15[[#This Row],[MİKTAR]]</f>
        <v>260</v>
      </c>
      <c r="H319">
        <v>1.5</v>
      </c>
      <c r="I319">
        <f>Table001__Page_15[[#This Row],[FİYAT]]*Table001__Page_15[[#This Row],[Sütun2]]</f>
        <v>390</v>
      </c>
      <c r="J319">
        <v>390</v>
      </c>
      <c r="K319" t="s">
        <v>188</v>
      </c>
      <c r="L319" s="50">
        <f>Table001__Page_15[[#This Row],[SATIŞ FİYATI]]-Table001__Page_15[[#This Row],[YUVARLAMA]]</f>
        <v>0</v>
      </c>
      <c r="M319">
        <v>390</v>
      </c>
      <c r="N319">
        <f>M319-Table001__Page_15[[#This Row],[YUVARLAMA]]</f>
        <v>0</v>
      </c>
    </row>
    <row r="320" spans="1:14" x14ac:dyDescent="0.25">
      <c r="A320" t="s">
        <v>164</v>
      </c>
      <c r="C320" t="s">
        <v>2284</v>
      </c>
      <c r="D320">
        <v>5</v>
      </c>
      <c r="F320">
        <v>39</v>
      </c>
      <c r="G320">
        <f>Table001__Page_15[[#This Row],[FİYAT]]*Table001__Page_15[[#This Row],[MİKTAR]]</f>
        <v>195</v>
      </c>
      <c r="H320">
        <v>1.7</v>
      </c>
      <c r="I320">
        <f>Table001__Page_15[[#This Row],[FİYAT]]*Table001__Page_15[[#This Row],[Sütun2]]</f>
        <v>66.3</v>
      </c>
      <c r="J320">
        <v>65</v>
      </c>
      <c r="K320" t="s">
        <v>188</v>
      </c>
      <c r="L320" s="50">
        <f>Table001__Page_15[[#This Row],[SATIŞ FİYATI]]-Table001__Page_15[[#This Row],[YUVARLAMA]]</f>
        <v>1.2999999999999972</v>
      </c>
      <c r="M320">
        <v>65</v>
      </c>
      <c r="N320">
        <f>M320-Table001__Page_15[[#This Row],[YUVARLAMA]]</f>
        <v>0</v>
      </c>
    </row>
    <row r="321" spans="1:14" x14ac:dyDescent="0.25">
      <c r="A321" t="s">
        <v>540</v>
      </c>
      <c r="B321" t="s">
        <v>538</v>
      </c>
      <c r="C321" t="s">
        <v>530</v>
      </c>
      <c r="D321">
        <v>10</v>
      </c>
      <c r="E321" t="s">
        <v>127</v>
      </c>
      <c r="F321">
        <v>160</v>
      </c>
      <c r="G321">
        <f>Table001__Page_15[[#This Row],[FİYAT]]*Table001__Page_15[[#This Row],[MİKTAR]]</f>
        <v>1600</v>
      </c>
      <c r="H321">
        <v>1.9</v>
      </c>
      <c r="I321">
        <f>Table001__Page_15[[#This Row],[FİYAT]]*Table001__Page_15[[#This Row],[Sütun2]]</f>
        <v>304</v>
      </c>
      <c r="J321">
        <v>300</v>
      </c>
      <c r="K321" t="s">
        <v>515</v>
      </c>
      <c r="L321" s="50">
        <f>Table001__Page_15[[#This Row],[SATIŞ FİYATI]]-Table001__Page_15[[#This Row],[YUVARLAMA]]</f>
        <v>4</v>
      </c>
      <c r="M321">
        <v>300</v>
      </c>
      <c r="N321">
        <f>M321-Table001__Page_15[[#This Row],[YUVARLAMA]]</f>
        <v>0</v>
      </c>
    </row>
    <row r="322" spans="1:14" x14ac:dyDescent="0.25">
      <c r="A322" t="s">
        <v>540</v>
      </c>
      <c r="B322" t="s">
        <v>538</v>
      </c>
      <c r="C322" t="s">
        <v>269</v>
      </c>
      <c r="D322">
        <v>5</v>
      </c>
      <c r="E322" t="s">
        <v>127</v>
      </c>
      <c r="F322">
        <f>665/5</f>
        <v>133</v>
      </c>
      <c r="G322">
        <f>Table001__Page_15[[#This Row],[FİYAT]]*Table001__Page_15[[#This Row],[MİKTAR]]</f>
        <v>665</v>
      </c>
      <c r="H322">
        <v>1.75</v>
      </c>
      <c r="I322">
        <f>Table001__Page_15[[#This Row],[FİYAT]]*Table001__Page_15[[#This Row],[Sütun2]]</f>
        <v>232.75</v>
      </c>
      <c r="J322">
        <v>240</v>
      </c>
      <c r="K322" t="s">
        <v>515</v>
      </c>
      <c r="L322" s="50">
        <f>Table001__Page_15[[#This Row],[SATIŞ FİYATI]]-Table001__Page_15[[#This Row],[YUVARLAMA]]</f>
        <v>-7.25</v>
      </c>
      <c r="M322">
        <v>240</v>
      </c>
      <c r="N322">
        <f>M322-Table001__Page_15[[#This Row],[YUVARLAMA]]</f>
        <v>0</v>
      </c>
    </row>
    <row r="323" spans="1:14" x14ac:dyDescent="0.25">
      <c r="A323" t="s">
        <v>177</v>
      </c>
      <c r="B323" t="s">
        <v>144</v>
      </c>
      <c r="C323" t="s">
        <v>270</v>
      </c>
      <c r="D323">
        <v>6</v>
      </c>
      <c r="E323" t="s">
        <v>144</v>
      </c>
      <c r="F323">
        <v>83</v>
      </c>
      <c r="G323">
        <f>Table001__Page_15[[#This Row],[FİYAT]]*Table001__Page_15[[#This Row],[MİKTAR]]</f>
        <v>498</v>
      </c>
      <c r="H323">
        <v>2</v>
      </c>
      <c r="I323">
        <f>Table001__Page_15[[#This Row],[FİYAT]]*Table001__Page_15[[#This Row],[Sütun2]]</f>
        <v>166</v>
      </c>
      <c r="J323">
        <v>165</v>
      </c>
      <c r="K323" t="s">
        <v>515</v>
      </c>
      <c r="L323" s="50">
        <f>Table001__Page_15[[#This Row],[SATIŞ FİYATI]]-Table001__Page_15[[#This Row],[YUVARLAMA]]</f>
        <v>1</v>
      </c>
      <c r="M323">
        <v>165</v>
      </c>
      <c r="N323">
        <f>M323-Table001__Page_15[[#This Row],[YUVARLAMA]]</f>
        <v>0</v>
      </c>
    </row>
    <row r="324" spans="1:14" x14ac:dyDescent="0.25">
      <c r="A324" t="s">
        <v>542</v>
      </c>
      <c r="C324" t="s">
        <v>1176</v>
      </c>
      <c r="D324">
        <v>1</v>
      </c>
      <c r="E324" t="s">
        <v>127</v>
      </c>
      <c r="F324">
        <f>487.5+97.5</f>
        <v>585</v>
      </c>
      <c r="G324">
        <f>Table001__Page_15[[#This Row],[FİYAT]]*Table001__Page_15[[#This Row],[MİKTAR]]</f>
        <v>585</v>
      </c>
      <c r="H324">
        <v>3.5</v>
      </c>
      <c r="I324">
        <f>Table001__Page_15[[#This Row],[FİYAT]]*Table001__Page_15[[#This Row],[Sütun2]]</f>
        <v>2047.5</v>
      </c>
      <c r="J324">
        <v>200</v>
      </c>
      <c r="K324" t="s">
        <v>515</v>
      </c>
      <c r="L324" s="50">
        <f>Table001__Page_15[[#This Row],[SATIŞ FİYATI]]-Table001__Page_15[[#This Row],[YUVARLAMA]]</f>
        <v>1847.5</v>
      </c>
      <c r="M324">
        <v>200</v>
      </c>
      <c r="N324">
        <f>M324-Table001__Page_15[[#This Row],[YUVARLAMA]]</f>
        <v>0</v>
      </c>
    </row>
    <row r="325" spans="1:14" x14ac:dyDescent="0.25">
      <c r="A325" t="s">
        <v>484</v>
      </c>
      <c r="C325" t="s">
        <v>1177</v>
      </c>
      <c r="D325">
        <v>2.5</v>
      </c>
      <c r="E325" t="s">
        <v>127</v>
      </c>
      <c r="F325">
        <v>400</v>
      </c>
      <c r="G325">
        <f>Table001__Page_15[[#This Row],[FİYAT]]*Table001__Page_15[[#This Row],[MİKTAR]]</f>
        <v>1000</v>
      </c>
      <c r="H325">
        <v>1.75</v>
      </c>
      <c r="I325">
        <f>Table001__Page_15[[#This Row],[FİYAT]]*Table001__Page_15[[#This Row],[Sütun2]]</f>
        <v>700</v>
      </c>
      <c r="J325">
        <v>700</v>
      </c>
      <c r="K325" t="s">
        <v>515</v>
      </c>
      <c r="L325" s="50">
        <f>Table001__Page_15[[#This Row],[SATIŞ FİYATI]]-Table001__Page_15[[#This Row],[YUVARLAMA]]</f>
        <v>0</v>
      </c>
      <c r="M325">
        <v>700</v>
      </c>
      <c r="N325">
        <f>M325-Table001__Page_15[[#This Row],[YUVARLAMA]]</f>
        <v>0</v>
      </c>
    </row>
    <row r="326" spans="1:14" x14ac:dyDescent="0.25">
      <c r="A326" t="s">
        <v>484</v>
      </c>
      <c r="C326" t="s">
        <v>1178</v>
      </c>
      <c r="D326">
        <v>1</v>
      </c>
      <c r="E326" t="s">
        <v>127</v>
      </c>
      <c r="F326">
        <v>340</v>
      </c>
      <c r="G326">
        <f>Table001__Page_15[[#This Row],[FİYAT]]*Table001__Page_15[[#This Row],[MİKTAR]]</f>
        <v>340</v>
      </c>
      <c r="H326">
        <v>1.62</v>
      </c>
      <c r="I326">
        <f>Table001__Page_15[[#This Row],[FİYAT]]*Table001__Page_15[[#This Row],[Sütun2]]</f>
        <v>550.80000000000007</v>
      </c>
      <c r="J326">
        <v>550</v>
      </c>
      <c r="K326" t="s">
        <v>515</v>
      </c>
      <c r="L326" s="50">
        <f>Table001__Page_15[[#This Row],[SATIŞ FİYATI]]-Table001__Page_15[[#This Row],[YUVARLAMA]]</f>
        <v>0.80000000000006821</v>
      </c>
      <c r="M326">
        <v>550</v>
      </c>
      <c r="N326">
        <f>M326-Table001__Page_15[[#This Row],[YUVARLAMA]]</f>
        <v>0</v>
      </c>
    </row>
    <row r="327" spans="1:14" x14ac:dyDescent="0.25">
      <c r="A327" t="s">
        <v>542</v>
      </c>
      <c r="C327" t="s">
        <v>1179</v>
      </c>
      <c r="D327">
        <v>2</v>
      </c>
      <c r="E327" t="s">
        <v>144</v>
      </c>
      <c r="F327">
        <f>214.8515+4.3</f>
        <v>219.1515</v>
      </c>
      <c r="G327">
        <f>Table001__Page_15[[#This Row],[FİYAT]]*Table001__Page_15[[#This Row],[MİKTAR]]</f>
        <v>438.303</v>
      </c>
      <c r="H327">
        <v>2</v>
      </c>
      <c r="I327">
        <f>Table001__Page_15[[#This Row],[FİYAT]]*Table001__Page_15[[#This Row],[Sütun2]]</f>
        <v>438.303</v>
      </c>
      <c r="J327">
        <v>450</v>
      </c>
      <c r="K327" t="s">
        <v>515</v>
      </c>
      <c r="L327" s="50">
        <f>Table001__Page_15[[#This Row],[SATIŞ FİYATI]]-Table001__Page_15[[#This Row],[YUVARLAMA]]</f>
        <v>-11.697000000000003</v>
      </c>
      <c r="M327">
        <v>450</v>
      </c>
      <c r="N327">
        <f>M327-Table001__Page_15[[#This Row],[YUVARLAMA]]</f>
        <v>0</v>
      </c>
    </row>
    <row r="328" spans="1:14" x14ac:dyDescent="0.25">
      <c r="A328" t="s">
        <v>542</v>
      </c>
      <c r="C328" t="s">
        <v>1180</v>
      </c>
      <c r="D328">
        <v>2</v>
      </c>
      <c r="E328" t="s">
        <v>144</v>
      </c>
      <c r="F328">
        <f>234.6535+4.69</f>
        <v>239.34350000000001</v>
      </c>
      <c r="G328">
        <f>Table001__Page_15[[#This Row],[FİYAT]]*Table001__Page_15[[#This Row],[MİKTAR]]</f>
        <v>478.68700000000001</v>
      </c>
      <c r="H328">
        <v>2</v>
      </c>
      <c r="I328">
        <f>Table001__Page_15[[#This Row],[FİYAT]]*Table001__Page_15[[#This Row],[Sütun2]]</f>
        <v>478.68700000000001</v>
      </c>
      <c r="J328">
        <v>490</v>
      </c>
      <c r="K328" t="s">
        <v>515</v>
      </c>
      <c r="L328" s="50">
        <f>Table001__Page_15[[#This Row],[SATIŞ FİYATI]]-Table001__Page_15[[#This Row],[YUVARLAMA]]</f>
        <v>-11.312999999999988</v>
      </c>
      <c r="M328">
        <v>490</v>
      </c>
      <c r="N328">
        <f>M328-Table001__Page_15[[#This Row],[YUVARLAMA]]</f>
        <v>0</v>
      </c>
    </row>
    <row r="329" spans="1:14" x14ac:dyDescent="0.25">
      <c r="A329" t="s">
        <v>542</v>
      </c>
      <c r="C329" t="s">
        <v>1181</v>
      </c>
      <c r="D329">
        <v>2</v>
      </c>
      <c r="E329" t="s">
        <v>144</v>
      </c>
      <c r="F329">
        <f>207.9208+4.16</f>
        <v>212.08080000000001</v>
      </c>
      <c r="G329">
        <f>Table001__Page_15[[#This Row],[FİYAT]]*Table001__Page_15[[#This Row],[MİKTAR]]</f>
        <v>424.16160000000002</v>
      </c>
      <c r="H329">
        <v>2</v>
      </c>
      <c r="I329">
        <f>Table001__Page_15[[#This Row],[FİYAT]]*Table001__Page_15[[#This Row],[Sütun2]]</f>
        <v>424.16160000000002</v>
      </c>
      <c r="J329">
        <v>440</v>
      </c>
      <c r="K329" t="s">
        <v>515</v>
      </c>
      <c r="L329" s="50">
        <f>Table001__Page_15[[#This Row],[SATIŞ FİYATI]]-Table001__Page_15[[#This Row],[YUVARLAMA]]</f>
        <v>-15.838399999999979</v>
      </c>
      <c r="M329">
        <v>440</v>
      </c>
      <c r="N329">
        <f>M329-Table001__Page_15[[#This Row],[YUVARLAMA]]</f>
        <v>0</v>
      </c>
    </row>
    <row r="330" spans="1:14" x14ac:dyDescent="0.25">
      <c r="A330" t="s">
        <v>1691</v>
      </c>
      <c r="C330" t="s">
        <v>1182</v>
      </c>
      <c r="D330">
        <v>3</v>
      </c>
      <c r="E330" t="s">
        <v>144</v>
      </c>
      <c r="F330">
        <f>106.9307+3.21</f>
        <v>110.1407</v>
      </c>
      <c r="G330">
        <f>Table001__Page_15[[#This Row],[FİYAT]]*Table001__Page_15[[#This Row],[MİKTAR]]</f>
        <v>330.4221</v>
      </c>
      <c r="H330">
        <v>2</v>
      </c>
      <c r="I330">
        <f>Table001__Page_15[[#This Row],[FİYAT]]*Table001__Page_15[[#This Row],[Sütun2]]</f>
        <v>220.28139999999999</v>
      </c>
      <c r="J330">
        <v>235</v>
      </c>
      <c r="K330" t="s">
        <v>515</v>
      </c>
      <c r="L330" s="50">
        <f>Table001__Page_15[[#This Row],[SATIŞ FİYATI]]-Table001__Page_15[[#This Row],[YUVARLAMA]]</f>
        <v>-14.718600000000009</v>
      </c>
      <c r="M330">
        <v>235</v>
      </c>
      <c r="N330">
        <f>M330-Table001__Page_15[[#This Row],[YUVARLAMA]]</f>
        <v>0</v>
      </c>
    </row>
    <row r="331" spans="1:14" x14ac:dyDescent="0.25">
      <c r="A331" t="s">
        <v>540</v>
      </c>
      <c r="C331" t="s">
        <v>1183</v>
      </c>
      <c r="D331">
        <v>1</v>
      </c>
      <c r="E331" t="s">
        <v>127</v>
      </c>
      <c r="F331">
        <f>123.7624+1.24</f>
        <v>125.00239999999999</v>
      </c>
      <c r="G331">
        <f>Table001__Page_15[[#This Row],[FİYAT]]*Table001__Page_15[[#This Row],[MİKTAR]]</f>
        <v>125.00239999999999</v>
      </c>
      <c r="H331">
        <v>7.2</v>
      </c>
      <c r="I331">
        <f>Table001__Page_15[[#This Row],[FİYAT]]*Table001__Page_15[[#This Row],[Sütun2]]</f>
        <v>900.01728000000003</v>
      </c>
      <c r="J331">
        <v>90</v>
      </c>
      <c r="K331" t="s">
        <v>515</v>
      </c>
      <c r="L331" s="50">
        <f>Table001__Page_15[[#This Row],[SATIŞ FİYATI]]-Table001__Page_15[[#This Row],[YUVARLAMA]]</f>
        <v>810.01728000000003</v>
      </c>
      <c r="M331">
        <v>90</v>
      </c>
      <c r="N331">
        <f>M331-Table001__Page_15[[#This Row],[YUVARLAMA]]</f>
        <v>0</v>
      </c>
    </row>
    <row r="332" spans="1:14" x14ac:dyDescent="0.25">
      <c r="A332" t="s">
        <v>540</v>
      </c>
      <c r="C332" t="s">
        <v>1184</v>
      </c>
      <c r="D332">
        <v>1</v>
      </c>
      <c r="E332" t="s">
        <v>127</v>
      </c>
      <c r="F332">
        <v>190</v>
      </c>
      <c r="G332">
        <f>Table001__Page_15[[#This Row],[FİYAT]]*Table001__Page_15[[#This Row],[MİKTAR]]</f>
        <v>190</v>
      </c>
      <c r="H332">
        <v>4.3</v>
      </c>
      <c r="I332">
        <f>Table001__Page_15[[#This Row],[FİYAT]]*Table001__Page_15[[#This Row],[Sütun2]]</f>
        <v>817</v>
      </c>
      <c r="J332">
        <v>90</v>
      </c>
      <c r="K332" t="s">
        <v>515</v>
      </c>
      <c r="L332" s="50">
        <f>Table001__Page_15[[#This Row],[SATIŞ FİYATI]]-Table001__Page_15[[#This Row],[YUVARLAMA]]</f>
        <v>727</v>
      </c>
      <c r="M332">
        <v>90</v>
      </c>
      <c r="N332">
        <f>M332-Table001__Page_15[[#This Row],[YUVARLAMA]]</f>
        <v>0</v>
      </c>
    </row>
    <row r="333" spans="1:14" x14ac:dyDescent="0.25">
      <c r="A333" t="s">
        <v>540</v>
      </c>
      <c r="C333" t="s">
        <v>1639</v>
      </c>
      <c r="D333">
        <v>1</v>
      </c>
      <c r="E333" t="s">
        <v>127</v>
      </c>
      <c r="F333">
        <f>94.06+0.94</f>
        <v>95</v>
      </c>
      <c r="G333">
        <f>Table001__Page_15[[#This Row],[FİYAT]]*Table001__Page_15[[#This Row],[MİKTAR]]</f>
        <v>95</v>
      </c>
      <c r="H333">
        <v>4</v>
      </c>
      <c r="I333">
        <f>Table001__Page_15[[#This Row],[FİYAT]]*Table001__Page_15[[#This Row],[Sütun2]]</f>
        <v>380</v>
      </c>
      <c r="J333">
        <v>380</v>
      </c>
      <c r="K333" t="s">
        <v>515</v>
      </c>
      <c r="L333" s="50">
        <f>Table001__Page_15[[#This Row],[SATIŞ FİYATI]]-Table001__Page_15[[#This Row],[YUVARLAMA]]</f>
        <v>0</v>
      </c>
      <c r="M333">
        <v>380</v>
      </c>
      <c r="N333">
        <f>M333-Table001__Page_15[[#This Row],[YUVARLAMA]]</f>
        <v>0</v>
      </c>
    </row>
    <row r="334" spans="1:14" x14ac:dyDescent="0.25">
      <c r="A334" t="s">
        <v>540</v>
      </c>
      <c r="C334" t="s">
        <v>1640</v>
      </c>
      <c r="D334">
        <v>1</v>
      </c>
      <c r="E334" t="s">
        <v>127</v>
      </c>
      <c r="F334">
        <f>341.58+3.42</f>
        <v>345</v>
      </c>
      <c r="G334">
        <f>Table001__Page_15[[#This Row],[FİYAT]]*Table001__Page_15[[#This Row],[MİKTAR]]</f>
        <v>345</v>
      </c>
      <c r="H334">
        <v>4</v>
      </c>
      <c r="I334">
        <f>Table001__Page_15[[#This Row],[FİYAT]]*Table001__Page_15[[#This Row],[Sütun2]]</f>
        <v>1380</v>
      </c>
      <c r="J334">
        <v>1400</v>
      </c>
      <c r="K334" t="s">
        <v>515</v>
      </c>
      <c r="L334" s="50">
        <f>Table001__Page_15[[#This Row],[SATIŞ FİYATI]]-Table001__Page_15[[#This Row],[YUVARLAMA]]</f>
        <v>-20</v>
      </c>
      <c r="M334">
        <v>1400</v>
      </c>
      <c r="N334">
        <f>M334-Table001__Page_15[[#This Row],[YUVARLAMA]]</f>
        <v>0</v>
      </c>
    </row>
    <row r="335" spans="1:14" x14ac:dyDescent="0.25">
      <c r="A335" t="s">
        <v>540</v>
      </c>
      <c r="C335" t="s">
        <v>1641</v>
      </c>
      <c r="D335">
        <v>1</v>
      </c>
      <c r="E335" t="s">
        <v>127</v>
      </c>
      <c r="F335">
        <f>242.57+2.43</f>
        <v>245</v>
      </c>
      <c r="G335">
        <f>Table001__Page_15[[#This Row],[FİYAT]]*Table001__Page_15[[#This Row],[MİKTAR]]</f>
        <v>245</v>
      </c>
      <c r="H335">
        <v>4</v>
      </c>
      <c r="I335">
        <f>Table001__Page_15[[#This Row],[FİYAT]]*Table001__Page_15[[#This Row],[Sütun2]]</f>
        <v>980</v>
      </c>
      <c r="J335">
        <v>95</v>
      </c>
      <c r="K335" t="s">
        <v>515</v>
      </c>
      <c r="L335" s="50">
        <f>Table001__Page_15[[#This Row],[SATIŞ FİYATI]]-Table001__Page_15[[#This Row],[YUVARLAMA]]</f>
        <v>885</v>
      </c>
      <c r="M335">
        <v>95</v>
      </c>
      <c r="N335">
        <f>M335-Table001__Page_15[[#This Row],[YUVARLAMA]]</f>
        <v>0</v>
      </c>
    </row>
    <row r="336" spans="1:14" x14ac:dyDescent="0.25">
      <c r="A336" t="s">
        <v>540</v>
      </c>
      <c r="C336" t="s">
        <v>1642</v>
      </c>
      <c r="D336">
        <v>1</v>
      </c>
      <c r="E336" t="s">
        <v>127</v>
      </c>
      <c r="F336">
        <f>202.97+2.03</f>
        <v>205</v>
      </c>
      <c r="G336">
        <f>Table001__Page_15[[#This Row],[FİYAT]]*Table001__Page_15[[#This Row],[MİKTAR]]</f>
        <v>205</v>
      </c>
      <c r="H336">
        <v>4</v>
      </c>
      <c r="I336">
        <f>Table001__Page_15[[#This Row],[FİYAT]]*Table001__Page_15[[#This Row],[Sütun2]]</f>
        <v>820</v>
      </c>
      <c r="J336">
        <v>85</v>
      </c>
      <c r="K336" t="s">
        <v>515</v>
      </c>
      <c r="L336" s="50">
        <f>Table001__Page_15[[#This Row],[SATIŞ FİYATI]]-Table001__Page_15[[#This Row],[YUVARLAMA]]</f>
        <v>735</v>
      </c>
      <c r="M336">
        <v>85</v>
      </c>
      <c r="N336">
        <f>M336-Table001__Page_15[[#This Row],[YUVARLAMA]]</f>
        <v>0</v>
      </c>
    </row>
    <row r="337" spans="1:14" x14ac:dyDescent="0.25">
      <c r="A337" t="s">
        <v>540</v>
      </c>
      <c r="C337" t="s">
        <v>193</v>
      </c>
      <c r="D337">
        <v>1</v>
      </c>
      <c r="E337" t="s">
        <v>127</v>
      </c>
      <c r="F337">
        <f>148.51+1.49</f>
        <v>150</v>
      </c>
      <c r="G337">
        <f>Table001__Page_15[[#This Row],[FİYAT]]*Table001__Page_15[[#This Row],[MİKTAR]]</f>
        <v>150</v>
      </c>
      <c r="H337">
        <v>4</v>
      </c>
      <c r="I337">
        <f>Table001__Page_15[[#This Row],[FİYAT]]*Table001__Page_15[[#This Row],[Sütun2]]</f>
        <v>600</v>
      </c>
      <c r="J337">
        <v>600</v>
      </c>
      <c r="K337" t="s">
        <v>515</v>
      </c>
      <c r="L337" s="50">
        <f>Table001__Page_15[[#This Row],[SATIŞ FİYATI]]-Table001__Page_15[[#This Row],[YUVARLAMA]]</f>
        <v>0</v>
      </c>
      <c r="M337">
        <v>600</v>
      </c>
      <c r="N337">
        <f>M337-Table001__Page_15[[#This Row],[YUVARLAMA]]</f>
        <v>0</v>
      </c>
    </row>
    <row r="338" spans="1:14" x14ac:dyDescent="0.25">
      <c r="A338" t="s">
        <v>540</v>
      </c>
      <c r="C338" t="s">
        <v>1643</v>
      </c>
      <c r="D338">
        <v>1</v>
      </c>
      <c r="E338" t="s">
        <v>127</v>
      </c>
      <c r="F338">
        <f>138.61+1.39</f>
        <v>140</v>
      </c>
      <c r="G338">
        <f>Table001__Page_15[[#This Row],[FİYAT]]*Table001__Page_15[[#This Row],[MİKTAR]]</f>
        <v>140</v>
      </c>
      <c r="H338">
        <v>4</v>
      </c>
      <c r="I338">
        <f>Table001__Page_15[[#This Row],[FİYAT]]*Table001__Page_15[[#This Row],[Sütun2]]</f>
        <v>560</v>
      </c>
      <c r="J338">
        <v>560</v>
      </c>
      <c r="K338" t="s">
        <v>515</v>
      </c>
      <c r="L338" s="50">
        <f>Table001__Page_15[[#This Row],[SATIŞ FİYATI]]-Table001__Page_15[[#This Row],[YUVARLAMA]]</f>
        <v>0</v>
      </c>
      <c r="M338">
        <v>560</v>
      </c>
      <c r="N338">
        <f>M338-Table001__Page_15[[#This Row],[YUVARLAMA]]</f>
        <v>0</v>
      </c>
    </row>
    <row r="339" spans="1:14" x14ac:dyDescent="0.25">
      <c r="A339" t="s">
        <v>540</v>
      </c>
      <c r="C339" t="s">
        <v>1644</v>
      </c>
      <c r="D339">
        <v>1</v>
      </c>
      <c r="E339" t="s">
        <v>127</v>
      </c>
      <c r="F339">
        <f>267.33+2.67</f>
        <v>270</v>
      </c>
      <c r="G339">
        <f>Table001__Page_15[[#This Row],[FİYAT]]*Table001__Page_15[[#This Row],[MİKTAR]]</f>
        <v>270</v>
      </c>
      <c r="H339">
        <v>4</v>
      </c>
      <c r="I339">
        <f>Table001__Page_15[[#This Row],[FİYAT]]*Table001__Page_15[[#This Row],[Sütun2]]</f>
        <v>1080</v>
      </c>
      <c r="J339">
        <v>1100</v>
      </c>
      <c r="K339" t="s">
        <v>515</v>
      </c>
      <c r="L339" s="50">
        <f>Table001__Page_15[[#This Row],[SATIŞ FİYATI]]-Table001__Page_15[[#This Row],[YUVARLAMA]]</f>
        <v>-20</v>
      </c>
      <c r="M339">
        <v>1100</v>
      </c>
      <c r="N339">
        <f>M339-Table001__Page_15[[#This Row],[YUVARLAMA]]</f>
        <v>0</v>
      </c>
    </row>
    <row r="340" spans="1:14" x14ac:dyDescent="0.25">
      <c r="A340" t="s">
        <v>540</v>
      </c>
      <c r="C340" t="s">
        <v>1645</v>
      </c>
      <c r="D340">
        <v>1</v>
      </c>
      <c r="E340" t="s">
        <v>127</v>
      </c>
      <c r="F340">
        <f>64.36+0.64</f>
        <v>65</v>
      </c>
      <c r="G340">
        <f>Table001__Page_15[[#This Row],[FİYAT]]*Table001__Page_15[[#This Row],[MİKTAR]]</f>
        <v>65</v>
      </c>
      <c r="H340">
        <v>4</v>
      </c>
      <c r="I340">
        <f>Table001__Page_15[[#This Row],[FİYAT]]*Table001__Page_15[[#This Row],[Sütun2]]</f>
        <v>260</v>
      </c>
      <c r="J340">
        <v>260</v>
      </c>
      <c r="K340" t="s">
        <v>515</v>
      </c>
      <c r="L340" s="50">
        <f>Table001__Page_15[[#This Row],[SATIŞ FİYATI]]-Table001__Page_15[[#This Row],[YUVARLAMA]]</f>
        <v>0</v>
      </c>
      <c r="M340">
        <v>260</v>
      </c>
      <c r="N340">
        <f>M340-Table001__Page_15[[#This Row],[YUVARLAMA]]</f>
        <v>0</v>
      </c>
    </row>
    <row r="341" spans="1:14" x14ac:dyDescent="0.25">
      <c r="A341" t="s">
        <v>540</v>
      </c>
      <c r="C341" t="s">
        <v>1646</v>
      </c>
      <c r="D341">
        <v>1</v>
      </c>
      <c r="E341" t="s">
        <v>127</v>
      </c>
      <c r="F341">
        <f>193.07+1.93</f>
        <v>195</v>
      </c>
      <c r="G341">
        <f>Table001__Page_15[[#This Row],[FİYAT]]*Table001__Page_15[[#This Row],[MİKTAR]]</f>
        <v>195</v>
      </c>
      <c r="H341">
        <v>4</v>
      </c>
      <c r="I341">
        <f>Table001__Page_15[[#This Row],[FİYAT]]*Table001__Page_15[[#This Row],[Sütun2]]</f>
        <v>780</v>
      </c>
      <c r="J341">
        <v>780</v>
      </c>
      <c r="K341" t="s">
        <v>515</v>
      </c>
      <c r="L341" s="50">
        <f>Table001__Page_15[[#This Row],[SATIŞ FİYATI]]-Table001__Page_15[[#This Row],[YUVARLAMA]]</f>
        <v>0</v>
      </c>
      <c r="M341">
        <v>780</v>
      </c>
      <c r="N341">
        <f>M341-Table001__Page_15[[#This Row],[YUVARLAMA]]</f>
        <v>0</v>
      </c>
    </row>
    <row r="342" spans="1:14" x14ac:dyDescent="0.25">
      <c r="A342" t="s">
        <v>540</v>
      </c>
      <c r="C342" t="s">
        <v>1647</v>
      </c>
      <c r="D342">
        <v>1</v>
      </c>
      <c r="E342" t="s">
        <v>127</v>
      </c>
      <c r="F342">
        <f>113.86+1.14</f>
        <v>115</v>
      </c>
      <c r="G342">
        <f>Table001__Page_15[[#This Row],[FİYAT]]*Table001__Page_15[[#This Row],[MİKTAR]]</f>
        <v>115</v>
      </c>
      <c r="H342">
        <v>5.2</v>
      </c>
      <c r="I342">
        <f>Table001__Page_15[[#This Row],[FİYAT]]*Table001__Page_15[[#This Row],[Sütun2]]</f>
        <v>598</v>
      </c>
      <c r="J342">
        <v>600</v>
      </c>
      <c r="K342" t="s">
        <v>515</v>
      </c>
      <c r="L342" s="50">
        <f>Table001__Page_15[[#This Row],[SATIŞ FİYATI]]-Table001__Page_15[[#This Row],[YUVARLAMA]]</f>
        <v>-2</v>
      </c>
      <c r="M342">
        <v>600</v>
      </c>
      <c r="N342">
        <f>M342-Table001__Page_15[[#This Row],[YUVARLAMA]]</f>
        <v>0</v>
      </c>
    </row>
    <row r="343" spans="1:14" x14ac:dyDescent="0.25">
      <c r="A343" t="s">
        <v>540</v>
      </c>
      <c r="C343" t="s">
        <v>1648</v>
      </c>
      <c r="D343">
        <v>1</v>
      </c>
      <c r="E343" t="s">
        <v>127</v>
      </c>
      <c r="F343">
        <f>277.23+2.77</f>
        <v>280</v>
      </c>
      <c r="G343">
        <f>Table001__Page_15[[#This Row],[FİYAT]]*Table001__Page_15[[#This Row],[MİKTAR]]</f>
        <v>280</v>
      </c>
      <c r="H343">
        <v>4.3</v>
      </c>
      <c r="I343">
        <f>Table001__Page_15[[#This Row],[FİYAT]]*Table001__Page_15[[#This Row],[Sütun2]]</f>
        <v>1204</v>
      </c>
      <c r="J343">
        <v>1200</v>
      </c>
      <c r="K343" t="s">
        <v>515</v>
      </c>
      <c r="L343" s="50">
        <f>Table001__Page_15[[#This Row],[SATIŞ FİYATI]]-Table001__Page_15[[#This Row],[YUVARLAMA]]</f>
        <v>4</v>
      </c>
      <c r="M343">
        <v>1200</v>
      </c>
      <c r="N343">
        <f>M343-Table001__Page_15[[#This Row],[YUVARLAMA]]</f>
        <v>0</v>
      </c>
    </row>
    <row r="344" spans="1:14" x14ac:dyDescent="0.25">
      <c r="A344" t="s">
        <v>540</v>
      </c>
      <c r="C344" t="s">
        <v>1649</v>
      </c>
      <c r="D344">
        <v>1</v>
      </c>
      <c r="E344" t="s">
        <v>127</v>
      </c>
      <c r="F344">
        <v>280</v>
      </c>
      <c r="G344">
        <f>Table001__Page_15[[#This Row],[FİYAT]]*Table001__Page_15[[#This Row],[MİKTAR]]</f>
        <v>280</v>
      </c>
      <c r="H344">
        <v>4</v>
      </c>
      <c r="I344">
        <f>Table001__Page_15[[#This Row],[FİYAT]]*Table001__Page_15[[#This Row],[Sütun2]]</f>
        <v>1120</v>
      </c>
      <c r="J344">
        <v>1100</v>
      </c>
      <c r="K344" t="s">
        <v>515</v>
      </c>
      <c r="L344" s="50">
        <f>Table001__Page_15[[#This Row],[SATIŞ FİYATI]]-Table001__Page_15[[#This Row],[YUVARLAMA]]</f>
        <v>20</v>
      </c>
      <c r="M344">
        <v>1100</v>
      </c>
      <c r="N344">
        <f>M344-Table001__Page_15[[#This Row],[YUVARLAMA]]</f>
        <v>0</v>
      </c>
    </row>
    <row r="345" spans="1:14" x14ac:dyDescent="0.25">
      <c r="A345" t="s">
        <v>540</v>
      </c>
      <c r="C345" t="s">
        <v>1650</v>
      </c>
      <c r="D345">
        <v>1</v>
      </c>
      <c r="E345" t="s">
        <v>127</v>
      </c>
      <c r="F345">
        <f>94.06+0.94</f>
        <v>95</v>
      </c>
      <c r="G345">
        <f>Table001__Page_15[[#This Row],[FİYAT]]*Table001__Page_15[[#This Row],[MİKTAR]]</f>
        <v>95</v>
      </c>
      <c r="H345">
        <v>8</v>
      </c>
      <c r="I345">
        <f>Table001__Page_15[[#This Row],[FİYAT]]*Table001__Page_15[[#This Row],[Sütun2]]</f>
        <v>760</v>
      </c>
      <c r="J345">
        <v>760</v>
      </c>
      <c r="K345" t="s">
        <v>515</v>
      </c>
      <c r="L345" s="50">
        <f>Table001__Page_15[[#This Row],[SATIŞ FİYATI]]-Table001__Page_15[[#This Row],[YUVARLAMA]]</f>
        <v>0</v>
      </c>
      <c r="M345">
        <v>760</v>
      </c>
      <c r="N345">
        <f>M345-Table001__Page_15[[#This Row],[YUVARLAMA]]</f>
        <v>0</v>
      </c>
    </row>
    <row r="346" spans="1:14" x14ac:dyDescent="0.25">
      <c r="A346" t="s">
        <v>540</v>
      </c>
      <c r="C346" t="s">
        <v>1651</v>
      </c>
      <c r="D346">
        <v>1</v>
      </c>
      <c r="E346" t="s">
        <v>127</v>
      </c>
      <c r="F346">
        <f>227.72+2.28</f>
        <v>230</v>
      </c>
      <c r="G346">
        <f>Table001__Page_15[[#This Row],[FİYAT]]*Table001__Page_15[[#This Row],[MİKTAR]]</f>
        <v>230</v>
      </c>
      <c r="H346">
        <v>4</v>
      </c>
      <c r="I346">
        <f>Table001__Page_15[[#This Row],[FİYAT]]*Table001__Page_15[[#This Row],[Sütun2]]</f>
        <v>920</v>
      </c>
      <c r="J346">
        <v>920</v>
      </c>
      <c r="K346" t="s">
        <v>515</v>
      </c>
      <c r="L346" s="50">
        <f>Table001__Page_15[[#This Row],[SATIŞ FİYATI]]-Table001__Page_15[[#This Row],[YUVARLAMA]]</f>
        <v>0</v>
      </c>
      <c r="M346">
        <v>920</v>
      </c>
      <c r="N346">
        <f>M346-Table001__Page_15[[#This Row],[YUVARLAMA]]</f>
        <v>0</v>
      </c>
    </row>
    <row r="347" spans="1:14" x14ac:dyDescent="0.25">
      <c r="A347" t="s">
        <v>540</v>
      </c>
      <c r="C347" t="s">
        <v>1652</v>
      </c>
      <c r="D347">
        <v>1</v>
      </c>
      <c r="E347" t="s">
        <v>127</v>
      </c>
      <c r="F347">
        <f>217.82+2.18</f>
        <v>220</v>
      </c>
      <c r="G347">
        <f>Table001__Page_15[[#This Row],[FİYAT]]*Table001__Page_15[[#This Row],[MİKTAR]]</f>
        <v>220</v>
      </c>
      <c r="H347">
        <v>4</v>
      </c>
      <c r="I347">
        <f>Table001__Page_15[[#This Row],[FİYAT]]*Table001__Page_15[[#This Row],[Sütun2]]</f>
        <v>880</v>
      </c>
      <c r="J347">
        <v>880</v>
      </c>
      <c r="K347" t="s">
        <v>515</v>
      </c>
      <c r="L347" s="50">
        <f>Table001__Page_15[[#This Row],[SATIŞ FİYATI]]-Table001__Page_15[[#This Row],[YUVARLAMA]]</f>
        <v>0</v>
      </c>
      <c r="M347">
        <v>880</v>
      </c>
      <c r="N347">
        <f>M347-Table001__Page_15[[#This Row],[YUVARLAMA]]</f>
        <v>0</v>
      </c>
    </row>
    <row r="348" spans="1:14" x14ac:dyDescent="0.25">
      <c r="A348" t="s">
        <v>540</v>
      </c>
      <c r="C348" t="s">
        <v>1653</v>
      </c>
      <c r="D348">
        <v>1</v>
      </c>
      <c r="E348" t="s">
        <v>127</v>
      </c>
      <c r="F348">
        <f>311.88+3.12</f>
        <v>315</v>
      </c>
      <c r="G348">
        <f>Table001__Page_15[[#This Row],[FİYAT]]*Table001__Page_15[[#This Row],[MİKTAR]]</f>
        <v>315</v>
      </c>
      <c r="H348">
        <v>4</v>
      </c>
      <c r="I348">
        <f>Table001__Page_15[[#This Row],[FİYAT]]*Table001__Page_15[[#This Row],[Sütun2]]</f>
        <v>1260</v>
      </c>
      <c r="J348">
        <v>1260</v>
      </c>
      <c r="K348" t="s">
        <v>515</v>
      </c>
      <c r="L348" s="50">
        <f>Table001__Page_15[[#This Row],[SATIŞ FİYATI]]-Table001__Page_15[[#This Row],[YUVARLAMA]]</f>
        <v>0</v>
      </c>
      <c r="M348">
        <v>1260</v>
      </c>
      <c r="N348">
        <f>M348-Table001__Page_15[[#This Row],[YUVARLAMA]]</f>
        <v>0</v>
      </c>
    </row>
    <row r="349" spans="1:14" x14ac:dyDescent="0.25">
      <c r="A349" t="s">
        <v>125</v>
      </c>
      <c r="C349" t="s">
        <v>2571</v>
      </c>
      <c r="F349">
        <v>120</v>
      </c>
      <c r="H349">
        <v>6</v>
      </c>
      <c r="I349">
        <f>Table001__Page_15[[#This Row],[FİYAT]]*Table001__Page_15[[#This Row],[Sütun2]]</f>
        <v>720</v>
      </c>
      <c r="J349">
        <v>700</v>
      </c>
      <c r="K349" t="s">
        <v>515</v>
      </c>
      <c r="L349" s="50">
        <f>Table001__Page_15[[#This Row],[SATIŞ FİYATI]]-Table001__Page_15[[#This Row],[YUVARLAMA]]</f>
        <v>20</v>
      </c>
      <c r="M349">
        <v>700</v>
      </c>
      <c r="N349">
        <f>M349-Table001__Page_15[[#This Row],[YUVARLAMA]]</f>
        <v>0</v>
      </c>
    </row>
    <row r="350" spans="1:14" x14ac:dyDescent="0.25">
      <c r="A350" t="s">
        <v>1691</v>
      </c>
      <c r="C350" t="s">
        <v>2572</v>
      </c>
      <c r="F350">
        <v>95</v>
      </c>
      <c r="H350">
        <v>2.1</v>
      </c>
      <c r="I350">
        <f>Table001__Page_15[[#This Row],[FİYAT]]*Table001__Page_15[[#This Row],[Sütun2]]</f>
        <v>199.5</v>
      </c>
      <c r="J350">
        <v>200</v>
      </c>
      <c r="K350" t="s">
        <v>515</v>
      </c>
      <c r="L350" s="50">
        <f>Table001__Page_15[[#This Row],[SATIŞ FİYATI]]-Table001__Page_15[[#This Row],[YUVARLAMA]]</f>
        <v>-0.5</v>
      </c>
      <c r="M350">
        <v>200</v>
      </c>
      <c r="N350">
        <f>M350-Table001__Page_15[[#This Row],[YUVARLAMA]]</f>
        <v>0</v>
      </c>
    </row>
    <row r="351" spans="1:14" x14ac:dyDescent="0.25">
      <c r="A351" t="s">
        <v>542</v>
      </c>
      <c r="C351" t="s">
        <v>2573</v>
      </c>
      <c r="F351">
        <v>125</v>
      </c>
      <c r="H351">
        <v>2.1</v>
      </c>
      <c r="I351">
        <f>Table001__Page_15[[#This Row],[FİYAT]]*Table001__Page_15[[#This Row],[Sütun2]]</f>
        <v>262.5</v>
      </c>
      <c r="J351">
        <v>260</v>
      </c>
      <c r="K351" t="s">
        <v>515</v>
      </c>
      <c r="L351" s="50">
        <f>Table001__Page_15[[#This Row],[SATIŞ FİYATI]]-Table001__Page_15[[#This Row],[YUVARLAMA]]</f>
        <v>2.5</v>
      </c>
      <c r="M351">
        <v>260</v>
      </c>
      <c r="N351">
        <f>M351-Table001__Page_15[[#This Row],[YUVARLAMA]]</f>
        <v>0</v>
      </c>
    </row>
    <row r="352" spans="1:14" x14ac:dyDescent="0.25">
      <c r="A352" t="s">
        <v>541</v>
      </c>
      <c r="C352" t="s">
        <v>2574</v>
      </c>
      <c r="F352">
        <v>70</v>
      </c>
      <c r="H352">
        <v>2.1</v>
      </c>
      <c r="I352">
        <f>Table001__Page_15[[#This Row],[FİYAT]]*Table001__Page_15[[#This Row],[Sütun2]]</f>
        <v>147</v>
      </c>
      <c r="J352">
        <v>150</v>
      </c>
      <c r="K352" t="s">
        <v>515</v>
      </c>
      <c r="L352" s="50">
        <f>Table001__Page_15[[#This Row],[SATIŞ FİYATI]]-Table001__Page_15[[#This Row],[YUVARLAMA]]</f>
        <v>-3</v>
      </c>
      <c r="M352">
        <v>150</v>
      </c>
      <c r="N352">
        <f>M352-Table001__Page_15[[#This Row],[YUVARLAMA]]</f>
        <v>0</v>
      </c>
    </row>
    <row r="353" spans="1:14" x14ac:dyDescent="0.25">
      <c r="A353" t="s">
        <v>1691</v>
      </c>
      <c r="C353" t="s">
        <v>2575</v>
      </c>
      <c r="F353">
        <v>244</v>
      </c>
      <c r="H353">
        <v>2</v>
      </c>
      <c r="I353">
        <f>Table001__Page_15[[#This Row],[FİYAT]]*Table001__Page_15[[#This Row],[Sütun2]]</f>
        <v>488</v>
      </c>
      <c r="J353" s="58">
        <v>390</v>
      </c>
      <c r="K353" t="s">
        <v>515</v>
      </c>
      <c r="L353" s="50">
        <f>Table001__Page_15[[#This Row],[SATIŞ FİYATI]]-Table001__Page_15[[#This Row],[YUVARLAMA]]</f>
        <v>98</v>
      </c>
      <c r="M353" s="58">
        <v>390</v>
      </c>
      <c r="N353">
        <f>M353-Table001__Page_15[[#This Row],[YUVARLAMA]]</f>
        <v>0</v>
      </c>
    </row>
    <row r="354" spans="1:14" x14ac:dyDescent="0.25">
      <c r="A354" t="s">
        <v>1691</v>
      </c>
      <c r="C354" t="s">
        <v>2576</v>
      </c>
      <c r="F354">
        <v>110</v>
      </c>
      <c r="H354">
        <v>2.1</v>
      </c>
      <c r="I354">
        <f>Table001__Page_15[[#This Row],[FİYAT]]*Table001__Page_15[[#This Row],[Sütun2]]</f>
        <v>231</v>
      </c>
      <c r="J354">
        <v>360</v>
      </c>
      <c r="K354" t="s">
        <v>515</v>
      </c>
      <c r="L354" s="50">
        <f>Table001__Page_15[[#This Row],[SATIŞ FİYATI]]-Table001__Page_15[[#This Row],[YUVARLAMA]]</f>
        <v>-129</v>
      </c>
      <c r="M354">
        <v>360</v>
      </c>
      <c r="N354">
        <f>M354-Table001__Page_15[[#This Row],[YUVARLAMA]]</f>
        <v>0</v>
      </c>
    </row>
    <row r="355" spans="1:14" x14ac:dyDescent="0.25">
      <c r="A355" t="s">
        <v>1691</v>
      </c>
      <c r="C355" t="s">
        <v>2577</v>
      </c>
      <c r="F355">
        <v>120</v>
      </c>
      <c r="H355">
        <v>2.1</v>
      </c>
      <c r="I355">
        <f>Table001__Page_15[[#This Row],[FİYAT]]*Table001__Page_15[[#This Row],[Sütun2]]</f>
        <v>252</v>
      </c>
      <c r="J355">
        <v>250</v>
      </c>
      <c r="K355" t="s">
        <v>515</v>
      </c>
      <c r="L355" s="50">
        <f>Table001__Page_15[[#This Row],[SATIŞ FİYATI]]-Table001__Page_15[[#This Row],[YUVARLAMA]]</f>
        <v>2</v>
      </c>
      <c r="M355">
        <v>250</v>
      </c>
      <c r="N355">
        <f>M355-Table001__Page_15[[#This Row],[YUVARLAMA]]</f>
        <v>0</v>
      </c>
    </row>
    <row r="356" spans="1:14" x14ac:dyDescent="0.25">
      <c r="A356" t="s">
        <v>541</v>
      </c>
      <c r="C356" t="s">
        <v>2578</v>
      </c>
      <c r="F356">
        <v>70</v>
      </c>
      <c r="H356">
        <v>2.1</v>
      </c>
      <c r="I356">
        <f>Table001__Page_15[[#This Row],[FİYAT]]*Table001__Page_15[[#This Row],[Sütun2]]</f>
        <v>147</v>
      </c>
      <c r="J356">
        <v>150</v>
      </c>
      <c r="K356" t="s">
        <v>515</v>
      </c>
      <c r="L356" s="50">
        <f>Table001__Page_15[[#This Row],[SATIŞ FİYATI]]-Table001__Page_15[[#This Row],[YUVARLAMA]]</f>
        <v>-3</v>
      </c>
      <c r="M356">
        <v>150</v>
      </c>
      <c r="N356">
        <f>M356-Table001__Page_15[[#This Row],[YUVARLAMA]]</f>
        <v>0</v>
      </c>
    </row>
    <row r="357" spans="1:14" x14ac:dyDescent="0.25">
      <c r="A357" t="s">
        <v>138</v>
      </c>
      <c r="C357" t="s">
        <v>2579</v>
      </c>
      <c r="F357">
        <v>5.5</v>
      </c>
      <c r="H357">
        <v>2.1</v>
      </c>
      <c r="I357">
        <f>Table001__Page_15[[#This Row],[FİYAT]]*Table001__Page_15[[#This Row],[Sütun2]]</f>
        <v>11.55</v>
      </c>
      <c r="J357">
        <v>10</v>
      </c>
      <c r="K357" t="s">
        <v>515</v>
      </c>
      <c r="L357" s="50">
        <f>Table001__Page_15[[#This Row],[SATIŞ FİYATI]]-Table001__Page_15[[#This Row],[YUVARLAMA]]</f>
        <v>1.5500000000000007</v>
      </c>
      <c r="M357">
        <v>10</v>
      </c>
      <c r="N357">
        <f>M357-Table001__Page_15[[#This Row],[YUVARLAMA]]</f>
        <v>0</v>
      </c>
    </row>
    <row r="358" spans="1:14" x14ac:dyDescent="0.25">
      <c r="A358" t="s">
        <v>125</v>
      </c>
      <c r="C358" t="s">
        <v>2580</v>
      </c>
      <c r="F358">
        <v>1300</v>
      </c>
      <c r="H358">
        <v>2</v>
      </c>
      <c r="I358">
        <f>Table001__Page_15[[#This Row],[FİYAT]]*Table001__Page_15[[#This Row],[Sütun2]]</f>
        <v>2600</v>
      </c>
      <c r="J358">
        <v>2600</v>
      </c>
      <c r="K358" t="s">
        <v>515</v>
      </c>
      <c r="L358" s="50">
        <f>Table001__Page_15[[#This Row],[SATIŞ FİYATI]]-Table001__Page_15[[#This Row],[YUVARLAMA]]</f>
        <v>0</v>
      </c>
      <c r="M358">
        <v>2600</v>
      </c>
      <c r="N358">
        <f>M358-Table001__Page_15[[#This Row],[YUVARLAMA]]</f>
        <v>0</v>
      </c>
    </row>
    <row r="359" spans="1:14" x14ac:dyDescent="0.25">
      <c r="A359" t="s">
        <v>1691</v>
      </c>
      <c r="C359" t="s">
        <v>2581</v>
      </c>
      <c r="F359">
        <v>227</v>
      </c>
      <c r="H359">
        <v>2.1</v>
      </c>
      <c r="I359">
        <f>Table001__Page_15[[#This Row],[FİYAT]]*Table001__Page_15[[#This Row],[Sütun2]]</f>
        <v>476.70000000000005</v>
      </c>
      <c r="J359" s="58">
        <v>390</v>
      </c>
      <c r="K359" t="s">
        <v>515</v>
      </c>
      <c r="L359" s="50">
        <f>Table001__Page_15[[#This Row],[SATIŞ FİYATI]]-Table001__Page_15[[#This Row],[YUVARLAMA]]</f>
        <v>86.700000000000045</v>
      </c>
      <c r="M359" s="58">
        <v>390</v>
      </c>
      <c r="N359">
        <f>M359-Table001__Page_15[[#This Row],[YUVARLAMA]]</f>
        <v>0</v>
      </c>
    </row>
    <row r="360" spans="1:14" x14ac:dyDescent="0.25">
      <c r="A360" t="s">
        <v>1691</v>
      </c>
      <c r="C360" t="s">
        <v>2582</v>
      </c>
      <c r="F360">
        <v>118</v>
      </c>
      <c r="H360">
        <v>2.1</v>
      </c>
      <c r="I360">
        <f>Table001__Page_15[[#This Row],[FİYAT]]*Table001__Page_15[[#This Row],[Sütun2]]</f>
        <v>247.8</v>
      </c>
      <c r="J360">
        <v>250</v>
      </c>
      <c r="K360" t="s">
        <v>515</v>
      </c>
      <c r="L360" s="50">
        <f>Table001__Page_15[[#This Row],[SATIŞ FİYATI]]-Table001__Page_15[[#This Row],[YUVARLAMA]]</f>
        <v>-2.1999999999999886</v>
      </c>
      <c r="M360">
        <v>250</v>
      </c>
      <c r="N360">
        <f>M360-Table001__Page_15[[#This Row],[YUVARLAMA]]</f>
        <v>0</v>
      </c>
    </row>
    <row r="361" spans="1:14" x14ac:dyDescent="0.25">
      <c r="A361" t="s">
        <v>1691</v>
      </c>
      <c r="C361" t="s">
        <v>2583</v>
      </c>
      <c r="F361">
        <v>145</v>
      </c>
      <c r="H361">
        <v>2</v>
      </c>
      <c r="I361">
        <f>Table001__Page_15[[#This Row],[FİYAT]]*Table001__Page_15[[#This Row],[Sütun2]]</f>
        <v>290</v>
      </c>
      <c r="J361">
        <v>300</v>
      </c>
      <c r="K361" t="s">
        <v>515</v>
      </c>
      <c r="L361" s="50">
        <f>Table001__Page_15[[#This Row],[SATIŞ FİYATI]]-Table001__Page_15[[#This Row],[YUVARLAMA]]</f>
        <v>-10</v>
      </c>
      <c r="M361">
        <v>300</v>
      </c>
      <c r="N361">
        <f>M361-Table001__Page_15[[#This Row],[YUVARLAMA]]</f>
        <v>0</v>
      </c>
    </row>
    <row r="362" spans="1:14" x14ac:dyDescent="0.25">
      <c r="A362" t="s">
        <v>1691</v>
      </c>
      <c r="C362" t="s">
        <v>2584</v>
      </c>
      <c r="F362">
        <v>191</v>
      </c>
      <c r="H362">
        <v>2.1</v>
      </c>
      <c r="I362">
        <f>Table001__Page_15[[#This Row],[FİYAT]]*Table001__Page_15[[#This Row],[Sütun2]]</f>
        <v>401.1</v>
      </c>
      <c r="J362">
        <v>390</v>
      </c>
      <c r="K362" t="s">
        <v>515</v>
      </c>
      <c r="L362" s="50">
        <f>Table001__Page_15[[#This Row],[SATIŞ FİYATI]]-Table001__Page_15[[#This Row],[YUVARLAMA]]</f>
        <v>11.100000000000023</v>
      </c>
      <c r="M362">
        <v>390</v>
      </c>
      <c r="N362">
        <f>M362-Table001__Page_15[[#This Row],[YUVARLAMA]]</f>
        <v>0</v>
      </c>
    </row>
    <row r="363" spans="1:14" x14ac:dyDescent="0.25">
      <c r="A363" t="s">
        <v>1691</v>
      </c>
      <c r="C363" t="s">
        <v>2585</v>
      </c>
      <c r="F363">
        <v>227</v>
      </c>
      <c r="H363">
        <v>2.1</v>
      </c>
      <c r="I363">
        <f>Table001__Page_15[[#This Row],[FİYAT]]*Table001__Page_15[[#This Row],[Sütun2]]</f>
        <v>476.70000000000005</v>
      </c>
      <c r="J363" s="58">
        <v>390</v>
      </c>
      <c r="K363" t="s">
        <v>515</v>
      </c>
      <c r="L363" s="50">
        <f>Table001__Page_15[[#This Row],[SATIŞ FİYATI]]-Table001__Page_15[[#This Row],[YUVARLAMA]]</f>
        <v>86.700000000000045</v>
      </c>
      <c r="M363" s="58">
        <v>390</v>
      </c>
      <c r="N363">
        <f>M363-Table001__Page_15[[#This Row],[YUVARLAMA]]</f>
        <v>0</v>
      </c>
    </row>
    <row r="364" spans="1:14" x14ac:dyDescent="0.25">
      <c r="A364" t="s">
        <v>1691</v>
      </c>
      <c r="C364" t="s">
        <v>2586</v>
      </c>
      <c r="F364">
        <v>294</v>
      </c>
      <c r="H364">
        <v>1.7</v>
      </c>
      <c r="I364">
        <f>Table001__Page_15[[#This Row],[FİYAT]]*Table001__Page_15[[#This Row],[Sütun2]]</f>
        <v>499.8</v>
      </c>
      <c r="J364">
        <v>490</v>
      </c>
      <c r="K364" t="s">
        <v>515</v>
      </c>
      <c r="L364" s="50">
        <f>Table001__Page_15[[#This Row],[SATIŞ FİYATI]]-Table001__Page_15[[#This Row],[YUVARLAMA]]</f>
        <v>9.8000000000000114</v>
      </c>
      <c r="M364">
        <v>490</v>
      </c>
      <c r="N364">
        <f>M364-Table001__Page_15[[#This Row],[YUVARLAMA]]</f>
        <v>0</v>
      </c>
    </row>
    <row r="365" spans="1:14" x14ac:dyDescent="0.25">
      <c r="A365" t="s">
        <v>1691</v>
      </c>
      <c r="C365" t="s">
        <v>2587</v>
      </c>
      <c r="F365">
        <v>234</v>
      </c>
      <c r="H365">
        <v>2</v>
      </c>
      <c r="I365">
        <f>Table001__Page_15[[#This Row],[FİYAT]]*Table001__Page_15[[#This Row],[Sütun2]]</f>
        <v>468</v>
      </c>
      <c r="J365" s="58">
        <v>390</v>
      </c>
      <c r="K365" t="s">
        <v>515</v>
      </c>
      <c r="L365" s="50">
        <f>Table001__Page_15[[#This Row],[SATIŞ FİYATI]]-Table001__Page_15[[#This Row],[YUVARLAMA]]</f>
        <v>78</v>
      </c>
      <c r="M365" s="58">
        <v>390</v>
      </c>
      <c r="N365">
        <f>M365-Table001__Page_15[[#This Row],[YUVARLAMA]]</f>
        <v>0</v>
      </c>
    </row>
    <row r="366" spans="1:14" x14ac:dyDescent="0.25">
      <c r="A366" t="s">
        <v>177</v>
      </c>
      <c r="C366" t="s">
        <v>2588</v>
      </c>
      <c r="F366">
        <v>60</v>
      </c>
      <c r="H366">
        <v>2.1</v>
      </c>
      <c r="I366">
        <f>Table001__Page_15[[#This Row],[FİYAT]]*Table001__Page_15[[#This Row],[Sütun2]]</f>
        <v>126</v>
      </c>
      <c r="J366">
        <v>125</v>
      </c>
      <c r="K366" t="s">
        <v>515</v>
      </c>
      <c r="L366" s="50">
        <f>Table001__Page_15[[#This Row],[SATIŞ FİYATI]]-Table001__Page_15[[#This Row],[YUVARLAMA]]</f>
        <v>1</v>
      </c>
      <c r="M366">
        <v>125</v>
      </c>
      <c r="N366">
        <f>M366-Table001__Page_15[[#This Row],[YUVARLAMA]]</f>
        <v>0</v>
      </c>
    </row>
    <row r="367" spans="1:14" x14ac:dyDescent="0.25">
      <c r="A367" t="s">
        <v>177</v>
      </c>
      <c r="C367" t="s">
        <v>2592</v>
      </c>
      <c r="F367">
        <v>60</v>
      </c>
      <c r="H367">
        <v>2.1</v>
      </c>
      <c r="I367">
        <f>Table001__Page_15[[#This Row],[FİYAT]]*Table001__Page_15[[#This Row],[Sütun2]]</f>
        <v>126</v>
      </c>
      <c r="J367">
        <v>125</v>
      </c>
      <c r="K367" t="s">
        <v>515</v>
      </c>
      <c r="L367" s="50">
        <f>Table001__Page_15[[#This Row],[SATIŞ FİYATI]]-Table001__Page_15[[#This Row],[YUVARLAMA]]</f>
        <v>1</v>
      </c>
      <c r="M367">
        <v>125</v>
      </c>
      <c r="N367">
        <f>M367-Table001__Page_15[[#This Row],[YUVARLAMA]]</f>
        <v>0</v>
      </c>
    </row>
    <row r="368" spans="1:14" x14ac:dyDescent="0.25">
      <c r="A368" t="s">
        <v>177</v>
      </c>
      <c r="C368" t="s">
        <v>2589</v>
      </c>
      <c r="F368">
        <v>60</v>
      </c>
      <c r="H368">
        <v>2.1</v>
      </c>
      <c r="I368">
        <f>Table001__Page_15[[#This Row],[FİYAT]]*Table001__Page_15[[#This Row],[Sütun2]]</f>
        <v>126</v>
      </c>
      <c r="J368">
        <v>125</v>
      </c>
      <c r="K368" t="s">
        <v>515</v>
      </c>
      <c r="L368" s="50">
        <f>Table001__Page_15[[#This Row],[SATIŞ FİYATI]]-Table001__Page_15[[#This Row],[YUVARLAMA]]</f>
        <v>1</v>
      </c>
      <c r="M368">
        <v>125</v>
      </c>
      <c r="N368">
        <f>M368-Table001__Page_15[[#This Row],[YUVARLAMA]]</f>
        <v>0</v>
      </c>
    </row>
    <row r="369" spans="1:14" x14ac:dyDescent="0.25">
      <c r="A369" t="s">
        <v>177</v>
      </c>
      <c r="C369" t="s">
        <v>2590</v>
      </c>
      <c r="F369">
        <v>60</v>
      </c>
      <c r="H369">
        <v>2.1</v>
      </c>
      <c r="I369">
        <f>Table001__Page_15[[#This Row],[FİYAT]]*Table001__Page_15[[#This Row],[Sütun2]]</f>
        <v>126</v>
      </c>
      <c r="J369">
        <v>125</v>
      </c>
      <c r="K369" t="s">
        <v>515</v>
      </c>
      <c r="L369" s="50">
        <f>Table001__Page_15[[#This Row],[SATIŞ FİYATI]]-Table001__Page_15[[#This Row],[YUVARLAMA]]</f>
        <v>1</v>
      </c>
      <c r="M369">
        <v>125</v>
      </c>
      <c r="N369">
        <f>M369-Table001__Page_15[[#This Row],[YUVARLAMA]]</f>
        <v>0</v>
      </c>
    </row>
    <row r="370" spans="1:14" x14ac:dyDescent="0.25">
      <c r="A370" t="s">
        <v>125</v>
      </c>
      <c r="C370" t="s">
        <v>2593</v>
      </c>
      <c r="F370">
        <v>40</v>
      </c>
      <c r="H370">
        <v>2</v>
      </c>
      <c r="I370">
        <f>Table001__Page_15[[#This Row],[FİYAT]]*Table001__Page_15[[#This Row],[Sütun2]]</f>
        <v>80</v>
      </c>
      <c r="J370">
        <v>80</v>
      </c>
      <c r="K370" t="s">
        <v>515</v>
      </c>
      <c r="L370" s="50">
        <f>Table001__Page_15[[#This Row],[SATIŞ FİYATI]]-Table001__Page_15[[#This Row],[YUVARLAMA]]</f>
        <v>0</v>
      </c>
      <c r="M370">
        <v>80</v>
      </c>
      <c r="N370">
        <f>M370-Table001__Page_15[[#This Row],[YUVARLAMA]]</f>
        <v>0</v>
      </c>
    </row>
    <row r="371" spans="1:14" x14ac:dyDescent="0.25">
      <c r="A371" t="s">
        <v>1691</v>
      </c>
      <c r="C371" t="s">
        <v>2591</v>
      </c>
      <c r="F371">
        <v>142</v>
      </c>
      <c r="H371">
        <v>2.1</v>
      </c>
      <c r="I371">
        <f>Table001__Page_15[[#This Row],[FİYAT]]*Table001__Page_15[[#This Row],[Sütun2]]</f>
        <v>298.2</v>
      </c>
      <c r="J371" s="58">
        <v>300</v>
      </c>
      <c r="K371" t="s">
        <v>515</v>
      </c>
      <c r="L371" s="50">
        <f>Table001__Page_15[[#This Row],[SATIŞ FİYATI]]-Table001__Page_15[[#This Row],[YUVARLAMA]]</f>
        <v>-1.8000000000000114</v>
      </c>
      <c r="M371" s="58">
        <v>300</v>
      </c>
      <c r="N371">
        <f>M371-Table001__Page_15[[#This Row],[YUVARLAMA]]</f>
        <v>0</v>
      </c>
    </row>
    <row r="372" spans="1:14" x14ac:dyDescent="0.25">
      <c r="A372" t="s">
        <v>541</v>
      </c>
      <c r="C372" t="s">
        <v>1357</v>
      </c>
      <c r="D372">
        <v>20</v>
      </c>
      <c r="E372" t="s">
        <v>127</v>
      </c>
      <c r="F372">
        <v>380</v>
      </c>
      <c r="G372">
        <f>Table001__Page_15[[#This Row],[FİYAT]]*Table001__Page_15[[#This Row],[MİKTAR]]</f>
        <v>7600</v>
      </c>
      <c r="H372">
        <v>1.5</v>
      </c>
      <c r="I372">
        <f>Table001__Page_15[[#This Row],[FİYAT]]*Table001__Page_15[[#This Row],[Sütun2]]</f>
        <v>570</v>
      </c>
      <c r="J372">
        <v>700</v>
      </c>
      <c r="K372" t="s">
        <v>1358</v>
      </c>
      <c r="L372" s="50">
        <f>Table001__Page_15[[#This Row],[SATIŞ FİYATI]]-Table001__Page_15[[#This Row],[YUVARLAMA]]</f>
        <v>-130</v>
      </c>
      <c r="M372">
        <v>570</v>
      </c>
      <c r="N372">
        <f>M372-Table001__Page_15[[#This Row],[YUVARLAMA]]</f>
        <v>-130</v>
      </c>
    </row>
    <row r="373" spans="1:14" x14ac:dyDescent="0.25">
      <c r="A373" t="s">
        <v>541</v>
      </c>
      <c r="C373" t="s">
        <v>1359</v>
      </c>
      <c r="D373">
        <v>10</v>
      </c>
      <c r="E373" t="s">
        <v>127</v>
      </c>
      <c r="F373">
        <v>300</v>
      </c>
      <c r="G373">
        <f>Table001__Page_15[[#This Row],[FİYAT]]*Table001__Page_15[[#This Row],[MİKTAR]]</f>
        <v>3000</v>
      </c>
      <c r="H373">
        <v>1.7</v>
      </c>
      <c r="I373">
        <f>Table001__Page_15[[#This Row],[FİYAT]]*Table001__Page_15[[#This Row],[Sütun2]]</f>
        <v>510</v>
      </c>
      <c r="J373">
        <v>500</v>
      </c>
      <c r="K373" t="s">
        <v>1358</v>
      </c>
      <c r="L373" s="50">
        <f>Table001__Page_15[[#This Row],[SATIŞ FİYATI]]-Table001__Page_15[[#This Row],[YUVARLAMA]]</f>
        <v>10</v>
      </c>
      <c r="M373">
        <v>500</v>
      </c>
      <c r="N373">
        <f>M373-Table001__Page_15[[#This Row],[YUVARLAMA]]</f>
        <v>0</v>
      </c>
    </row>
    <row r="374" spans="1:14" x14ac:dyDescent="0.25">
      <c r="A374" t="s">
        <v>541</v>
      </c>
      <c r="C374" t="s">
        <v>1360</v>
      </c>
      <c r="D374">
        <v>10</v>
      </c>
      <c r="E374" t="s">
        <v>127</v>
      </c>
      <c r="F374">
        <v>270</v>
      </c>
      <c r="G374">
        <f>Table001__Page_15[[#This Row],[FİYAT]]*Table001__Page_15[[#This Row],[MİKTAR]]</f>
        <v>2700</v>
      </c>
      <c r="H374">
        <v>1.5</v>
      </c>
      <c r="I374">
        <f>Table001__Page_15[[#This Row],[FİYAT]]*Table001__Page_15[[#This Row],[Sütun2]]</f>
        <v>405</v>
      </c>
      <c r="J374">
        <v>400</v>
      </c>
      <c r="K374" t="s">
        <v>1358</v>
      </c>
      <c r="L374" s="50">
        <f>Table001__Page_15[[#This Row],[SATIŞ FİYATI]]-Table001__Page_15[[#This Row],[YUVARLAMA]]</f>
        <v>5</v>
      </c>
      <c r="M374">
        <v>400</v>
      </c>
      <c r="N374">
        <f>M374-Table001__Page_15[[#This Row],[YUVARLAMA]]</f>
        <v>0</v>
      </c>
    </row>
    <row r="375" spans="1:14" x14ac:dyDescent="0.25">
      <c r="A375" t="s">
        <v>541</v>
      </c>
      <c r="C375" t="s">
        <v>2130</v>
      </c>
      <c r="D375">
        <v>10</v>
      </c>
      <c r="E375" t="s">
        <v>127</v>
      </c>
      <c r="F375">
        <v>310</v>
      </c>
      <c r="G375">
        <f>Table001__Page_15[[#This Row],[FİYAT]]*Table001__Page_15[[#This Row],[MİKTAR]]</f>
        <v>3100</v>
      </c>
      <c r="H375">
        <v>1.45</v>
      </c>
      <c r="I375">
        <f>Table001__Page_15[[#This Row],[FİYAT]]*Table001__Page_15[[#This Row],[Sütun2]]</f>
        <v>449.5</v>
      </c>
      <c r="J375">
        <v>450</v>
      </c>
      <c r="K375" t="s">
        <v>1358</v>
      </c>
      <c r="L375" s="50">
        <f>Table001__Page_15[[#This Row],[SATIŞ FİYATI]]-Table001__Page_15[[#This Row],[YUVARLAMA]]</f>
        <v>-0.5</v>
      </c>
      <c r="M375">
        <v>450</v>
      </c>
      <c r="N375">
        <f>M375-Table001__Page_15[[#This Row],[YUVARLAMA]]</f>
        <v>0</v>
      </c>
    </row>
    <row r="376" spans="1:14" x14ac:dyDescent="0.25">
      <c r="A376" t="s">
        <v>541</v>
      </c>
      <c r="C376" t="s">
        <v>2124</v>
      </c>
      <c r="F376">
        <v>430</v>
      </c>
      <c r="G376">
        <f>Table001__Page_15[[#This Row],[FİYAT]]*Table001__Page_15[[#This Row],[MİKTAR]]</f>
        <v>0</v>
      </c>
      <c r="H376">
        <v>1.3</v>
      </c>
      <c r="I376">
        <f>Table001__Page_15[[#This Row],[FİYAT]]*Table001__Page_15[[#This Row],[Sütun2]]</f>
        <v>559</v>
      </c>
      <c r="J376">
        <v>500</v>
      </c>
      <c r="K376" t="s">
        <v>1358</v>
      </c>
      <c r="L376" s="50">
        <f>Table001__Page_15[[#This Row],[SATIŞ FİYATI]]-Table001__Page_15[[#This Row],[YUVARLAMA]]</f>
        <v>59</v>
      </c>
      <c r="M376">
        <v>500</v>
      </c>
      <c r="N376">
        <f>M376-Table001__Page_15[[#This Row],[YUVARLAMA]]</f>
        <v>0</v>
      </c>
    </row>
    <row r="377" spans="1:14" x14ac:dyDescent="0.25">
      <c r="A377" t="s">
        <v>541</v>
      </c>
      <c r="C377" t="s">
        <v>2128</v>
      </c>
      <c r="F377">
        <v>300</v>
      </c>
      <c r="G377">
        <f>Table001__Page_15[[#This Row],[FİYAT]]*Table001__Page_15[[#This Row],[MİKTAR]]</f>
        <v>0</v>
      </c>
      <c r="H377">
        <v>1.33</v>
      </c>
      <c r="I377">
        <f>Table001__Page_15[[#This Row],[FİYAT]]*Table001__Page_15[[#This Row],[Sütun2]]</f>
        <v>399</v>
      </c>
      <c r="J377">
        <v>400</v>
      </c>
      <c r="K377" t="s">
        <v>1358</v>
      </c>
      <c r="L377" s="50">
        <f>Table001__Page_15[[#This Row],[SATIŞ FİYATI]]-Table001__Page_15[[#This Row],[YUVARLAMA]]</f>
        <v>-1</v>
      </c>
      <c r="M377">
        <v>400</v>
      </c>
      <c r="N377">
        <f>M377-Table001__Page_15[[#This Row],[YUVARLAMA]]</f>
        <v>0</v>
      </c>
    </row>
    <row r="378" spans="1:14" x14ac:dyDescent="0.25">
      <c r="A378" t="s">
        <v>541</v>
      </c>
      <c r="C378" t="s">
        <v>2129</v>
      </c>
      <c r="F378">
        <v>320</v>
      </c>
      <c r="G378">
        <f>Table001__Page_15[[#This Row],[FİYAT]]*Table001__Page_15[[#This Row],[MİKTAR]]</f>
        <v>0</v>
      </c>
      <c r="H378">
        <v>1.31</v>
      </c>
      <c r="I378">
        <f>Table001__Page_15[[#This Row],[FİYAT]]*Table001__Page_15[[#This Row],[Sütun2]]</f>
        <v>419.20000000000005</v>
      </c>
      <c r="J378">
        <v>420</v>
      </c>
      <c r="K378" t="s">
        <v>1358</v>
      </c>
      <c r="L378" s="50">
        <f>Table001__Page_15[[#This Row],[SATIŞ FİYATI]]-Table001__Page_15[[#This Row],[YUVARLAMA]]</f>
        <v>-0.79999999999995453</v>
      </c>
      <c r="M378">
        <v>420</v>
      </c>
      <c r="N378">
        <f>M378-Table001__Page_15[[#This Row],[YUVARLAMA]]</f>
        <v>0</v>
      </c>
    </row>
    <row r="379" spans="1:14" x14ac:dyDescent="0.25">
      <c r="A379" t="s">
        <v>541</v>
      </c>
      <c r="C379" t="s">
        <v>2125</v>
      </c>
      <c r="F379">
        <v>270</v>
      </c>
      <c r="G379">
        <f>Table001__Page_15[[#This Row],[FİYAT]]*Table001__Page_15[[#This Row],[MİKTAR]]</f>
        <v>0</v>
      </c>
      <c r="H379">
        <v>1.37</v>
      </c>
      <c r="I379">
        <f>Table001__Page_15[[#This Row],[FİYAT]]*Table001__Page_15[[#This Row],[Sütun2]]</f>
        <v>369.90000000000003</v>
      </c>
      <c r="J379">
        <v>370</v>
      </c>
      <c r="K379" t="s">
        <v>1358</v>
      </c>
      <c r="L379" s="50">
        <f>Table001__Page_15[[#This Row],[SATIŞ FİYATI]]-Table001__Page_15[[#This Row],[YUVARLAMA]]</f>
        <v>-9.9999999999965894E-2</v>
      </c>
      <c r="M379">
        <v>370</v>
      </c>
      <c r="N379">
        <f>M379-Table001__Page_15[[#This Row],[YUVARLAMA]]</f>
        <v>0</v>
      </c>
    </row>
    <row r="380" spans="1:14" x14ac:dyDescent="0.25">
      <c r="A380" t="s">
        <v>541</v>
      </c>
      <c r="C380" t="s">
        <v>2126</v>
      </c>
      <c r="F380">
        <v>270</v>
      </c>
      <c r="G380">
        <f>Table001__Page_15[[#This Row],[FİYAT]]*Table001__Page_15[[#This Row],[MİKTAR]]</f>
        <v>0</v>
      </c>
      <c r="H380">
        <v>1.37</v>
      </c>
      <c r="I380">
        <f>Table001__Page_15[[#This Row],[FİYAT]]*Table001__Page_15[[#This Row],[Sütun2]]</f>
        <v>369.90000000000003</v>
      </c>
      <c r="J380">
        <v>370</v>
      </c>
      <c r="K380" t="s">
        <v>1358</v>
      </c>
      <c r="L380" s="50">
        <f>Table001__Page_15[[#This Row],[SATIŞ FİYATI]]-Table001__Page_15[[#This Row],[YUVARLAMA]]</f>
        <v>-9.9999999999965894E-2</v>
      </c>
      <c r="M380">
        <v>370</v>
      </c>
      <c r="N380">
        <f>M380-Table001__Page_15[[#This Row],[YUVARLAMA]]</f>
        <v>0</v>
      </c>
    </row>
    <row r="381" spans="1:14" x14ac:dyDescent="0.25">
      <c r="A381" t="s">
        <v>541</v>
      </c>
      <c r="C381" t="s">
        <v>2127</v>
      </c>
      <c r="F381">
        <v>300</v>
      </c>
      <c r="G381">
        <f>Table001__Page_15[[#This Row],[FİYAT]]*Table001__Page_15[[#This Row],[MİKTAR]]</f>
        <v>0</v>
      </c>
      <c r="H381">
        <v>1.33</v>
      </c>
      <c r="I381">
        <f>Table001__Page_15[[#This Row],[FİYAT]]*Table001__Page_15[[#This Row],[Sütun2]]</f>
        <v>399</v>
      </c>
      <c r="J381">
        <v>400</v>
      </c>
      <c r="K381" t="s">
        <v>1358</v>
      </c>
      <c r="L381" s="50">
        <f>Table001__Page_15[[#This Row],[SATIŞ FİYATI]]-Table001__Page_15[[#This Row],[YUVARLAMA]]</f>
        <v>-1</v>
      </c>
      <c r="M381">
        <v>400</v>
      </c>
      <c r="N381">
        <f>M381-Table001__Page_15[[#This Row],[YUVARLAMA]]</f>
        <v>0</v>
      </c>
    </row>
    <row r="382" spans="1:14" x14ac:dyDescent="0.25">
      <c r="C382" t="s">
        <v>2520</v>
      </c>
      <c r="F382">
        <v>450</v>
      </c>
      <c r="G382">
        <v>0</v>
      </c>
      <c r="H382">
        <v>1.22</v>
      </c>
      <c r="I382">
        <f>Table001__Page_15[[#This Row],[FİYAT]]*Table001__Page_15[[#This Row],[Sütun2]]</f>
        <v>549</v>
      </c>
      <c r="J382">
        <v>550</v>
      </c>
      <c r="K382" t="s">
        <v>2522</v>
      </c>
      <c r="L382" s="50">
        <f>Table001__Page_15[[#This Row],[SATIŞ FİYATI]]-Table001__Page_15[[#This Row],[YUVARLAMA]]</f>
        <v>-1</v>
      </c>
      <c r="M382">
        <v>550</v>
      </c>
      <c r="N382">
        <f>M382-Table001__Page_15[[#This Row],[YUVARLAMA]]</f>
        <v>0</v>
      </c>
    </row>
    <row r="383" spans="1:14" x14ac:dyDescent="0.25">
      <c r="C383" t="s">
        <v>2521</v>
      </c>
      <c r="F383">
        <v>400</v>
      </c>
      <c r="G383">
        <v>0</v>
      </c>
      <c r="H383">
        <v>1.25</v>
      </c>
      <c r="I383">
        <f>Table001__Page_15[[#This Row],[FİYAT]]*Table001__Page_15[[#This Row],[Sütun2]]</f>
        <v>500</v>
      </c>
      <c r="J383">
        <v>500</v>
      </c>
      <c r="K383" t="s">
        <v>2522</v>
      </c>
      <c r="L383" s="50">
        <f>Table001__Page_15[[#This Row],[SATIŞ FİYATI]]-Table001__Page_15[[#This Row],[YUVARLAMA]]</f>
        <v>0</v>
      </c>
      <c r="M383">
        <v>500</v>
      </c>
      <c r="N383">
        <f>M383-Table001__Page_15[[#This Row],[YUVARLAMA]]</f>
        <v>0</v>
      </c>
    </row>
    <row r="384" spans="1:14" x14ac:dyDescent="0.25">
      <c r="C384" t="s">
        <v>2523</v>
      </c>
      <c r="F384">
        <v>230</v>
      </c>
      <c r="G384">
        <v>0</v>
      </c>
      <c r="H384">
        <v>1.5</v>
      </c>
      <c r="I384">
        <f>Table001__Page_15[[#This Row],[FİYAT]]*Table001__Page_15[[#This Row],[Sütun2]]</f>
        <v>345</v>
      </c>
      <c r="J384">
        <v>350</v>
      </c>
      <c r="K384" t="s">
        <v>2522</v>
      </c>
      <c r="L384" s="50">
        <f>Table001__Page_15[[#This Row],[SATIŞ FİYATI]]-Table001__Page_15[[#This Row],[YUVARLAMA]]</f>
        <v>-5</v>
      </c>
      <c r="M384">
        <v>350</v>
      </c>
      <c r="N384">
        <f>M384-Table001__Page_15[[#This Row],[YUVARLAMA]]</f>
        <v>0</v>
      </c>
    </row>
    <row r="385" spans="1:14" x14ac:dyDescent="0.25">
      <c r="A385" t="s">
        <v>543</v>
      </c>
      <c r="B385" t="s">
        <v>144</v>
      </c>
      <c r="C385" t="s">
        <v>516</v>
      </c>
      <c r="D385">
        <v>10</v>
      </c>
      <c r="E385" t="s">
        <v>144</v>
      </c>
      <c r="F385">
        <v>50</v>
      </c>
      <c r="G385">
        <f>Table001__Page_15[[#This Row],[FİYAT]]*Table001__Page_15[[#This Row],[MİKTAR]]</f>
        <v>500</v>
      </c>
      <c r="H385">
        <v>2</v>
      </c>
      <c r="I385">
        <f>Table001__Page_15[[#This Row],[FİYAT]]*Table001__Page_15[[#This Row],[Sütun2]]</f>
        <v>100</v>
      </c>
      <c r="J385">
        <v>120</v>
      </c>
      <c r="K385" t="s">
        <v>514</v>
      </c>
      <c r="L385" s="50">
        <f>Table001__Page_15[[#This Row],[SATIŞ FİYATI]]-Table001__Page_15[[#This Row],[YUVARLAMA]]</f>
        <v>-20</v>
      </c>
      <c r="M385">
        <v>100</v>
      </c>
      <c r="N385">
        <f>M385-Table001__Page_15[[#This Row],[YUVARLAMA]]</f>
        <v>-20</v>
      </c>
    </row>
    <row r="386" spans="1:14" x14ac:dyDescent="0.25">
      <c r="A386" t="s">
        <v>543</v>
      </c>
      <c r="B386" t="s">
        <v>144</v>
      </c>
      <c r="C386" t="s">
        <v>520</v>
      </c>
      <c r="D386">
        <v>10</v>
      </c>
      <c r="E386" t="s">
        <v>144</v>
      </c>
      <c r="F386">
        <v>150</v>
      </c>
      <c r="G386">
        <f>Table001__Page_15[[#This Row],[FİYAT]]*Table001__Page_15[[#This Row],[MİKTAR]]</f>
        <v>1500</v>
      </c>
      <c r="H386">
        <v>1.667</v>
      </c>
      <c r="I386">
        <f>Table001__Page_15[[#This Row],[FİYAT]]*Table001__Page_15[[#This Row],[Sütun2]]</f>
        <v>250.05</v>
      </c>
      <c r="J386">
        <v>250</v>
      </c>
      <c r="K386" t="s">
        <v>514</v>
      </c>
      <c r="L386" s="50">
        <f>Table001__Page_15[[#This Row],[SATIŞ FİYATI]]-Table001__Page_15[[#This Row],[YUVARLAMA]]</f>
        <v>5.0000000000011369E-2</v>
      </c>
      <c r="M386">
        <v>250</v>
      </c>
      <c r="N386">
        <f>M386-Table001__Page_15[[#This Row],[YUVARLAMA]]</f>
        <v>0</v>
      </c>
    </row>
    <row r="387" spans="1:14" x14ac:dyDescent="0.25">
      <c r="A387" t="s">
        <v>543</v>
      </c>
      <c r="B387" t="s">
        <v>144</v>
      </c>
      <c r="C387" t="s">
        <v>522</v>
      </c>
      <c r="D387">
        <v>10</v>
      </c>
      <c r="E387" t="s">
        <v>144</v>
      </c>
      <c r="F387">
        <v>150</v>
      </c>
      <c r="G387">
        <f>Table001__Page_15[[#This Row],[FİYAT]]*Table001__Page_15[[#This Row],[MİKTAR]]</f>
        <v>1500</v>
      </c>
      <c r="H387">
        <v>1.667</v>
      </c>
      <c r="I387">
        <f>Table001__Page_15[[#This Row],[FİYAT]]*Table001__Page_15[[#This Row],[Sütun2]]</f>
        <v>250.05</v>
      </c>
      <c r="J387">
        <v>250</v>
      </c>
      <c r="K387" t="s">
        <v>514</v>
      </c>
      <c r="L387" s="50">
        <f>Table001__Page_15[[#This Row],[SATIŞ FİYATI]]-Table001__Page_15[[#This Row],[YUVARLAMA]]</f>
        <v>5.0000000000011369E-2</v>
      </c>
      <c r="M387">
        <v>250</v>
      </c>
      <c r="N387">
        <f>M387-Table001__Page_15[[#This Row],[YUVARLAMA]]</f>
        <v>0</v>
      </c>
    </row>
    <row r="388" spans="1:14" x14ac:dyDescent="0.25">
      <c r="A388" t="s">
        <v>551</v>
      </c>
      <c r="B388" t="s">
        <v>144</v>
      </c>
      <c r="C388" t="s">
        <v>549</v>
      </c>
      <c r="D388">
        <v>50</v>
      </c>
      <c r="E388" t="s">
        <v>144</v>
      </c>
      <c r="F388">
        <v>150</v>
      </c>
      <c r="G388">
        <f>Table001__Page_15[[#This Row],[FİYAT]]*Table001__Page_15[[#This Row],[MİKTAR]]</f>
        <v>7500</v>
      </c>
      <c r="H388">
        <v>2</v>
      </c>
      <c r="I388">
        <f>Table001__Page_15[[#This Row],[FİYAT]]*Table001__Page_15[[#This Row],[Sütun2]]</f>
        <v>300</v>
      </c>
      <c r="J388">
        <v>300</v>
      </c>
      <c r="K388" t="s">
        <v>837</v>
      </c>
      <c r="L388" s="50">
        <f>Table001__Page_15[[#This Row],[SATIŞ FİYATI]]-Table001__Page_15[[#This Row],[YUVARLAMA]]</f>
        <v>0</v>
      </c>
      <c r="M388">
        <v>300</v>
      </c>
      <c r="N388">
        <f>M388-Table001__Page_15[[#This Row],[YUVARLAMA]]</f>
        <v>0</v>
      </c>
    </row>
    <row r="389" spans="1:14" x14ac:dyDescent="0.25">
      <c r="A389" t="s">
        <v>551</v>
      </c>
      <c r="B389" t="s">
        <v>144</v>
      </c>
      <c r="C389" t="s">
        <v>550</v>
      </c>
      <c r="D389">
        <v>50</v>
      </c>
      <c r="E389" t="s">
        <v>144</v>
      </c>
      <c r="F389">
        <v>300</v>
      </c>
      <c r="G389">
        <f>Table001__Page_15[[#This Row],[FİYAT]]*Table001__Page_15[[#This Row],[MİKTAR]]</f>
        <v>15000</v>
      </c>
      <c r="H389">
        <v>2</v>
      </c>
      <c r="I389">
        <f>Table001__Page_15[[#This Row],[FİYAT]]*Table001__Page_15[[#This Row],[Sütun2]]</f>
        <v>600</v>
      </c>
      <c r="J389">
        <v>600</v>
      </c>
      <c r="K389" t="s">
        <v>837</v>
      </c>
      <c r="L389" s="50">
        <f>Table001__Page_15[[#This Row],[SATIŞ FİYATI]]-Table001__Page_15[[#This Row],[YUVARLAMA]]</f>
        <v>0</v>
      </c>
      <c r="M389">
        <v>600</v>
      </c>
      <c r="N389">
        <f>M389-Table001__Page_15[[#This Row],[YUVARLAMA]]</f>
        <v>0</v>
      </c>
    </row>
    <row r="390" spans="1:14" x14ac:dyDescent="0.25">
      <c r="A390" t="s">
        <v>543</v>
      </c>
      <c r="B390" t="s">
        <v>144</v>
      </c>
      <c r="C390" t="s">
        <v>815</v>
      </c>
      <c r="D390">
        <v>12</v>
      </c>
      <c r="E390" t="s">
        <v>144</v>
      </c>
      <c r="F390">
        <v>64.8</v>
      </c>
      <c r="G390">
        <f>Table001__Page_15[[#This Row],[FİYAT]]*Table001__Page_15[[#This Row],[MİKTAR]]</f>
        <v>777.59999999999991</v>
      </c>
      <c r="H390">
        <v>2</v>
      </c>
      <c r="I390">
        <f>Table001__Page_15[[#This Row],[FİYAT]]*Table001__Page_15[[#This Row],[Sütun2]]</f>
        <v>129.6</v>
      </c>
      <c r="J390">
        <v>130</v>
      </c>
      <c r="K390" t="s">
        <v>1363</v>
      </c>
      <c r="L390" s="50">
        <f>Table001__Page_15[[#This Row],[SATIŞ FİYATI]]-Table001__Page_15[[#This Row],[YUVARLAMA]]</f>
        <v>-0.40000000000000568</v>
      </c>
      <c r="M390">
        <v>130</v>
      </c>
      <c r="N390">
        <f>M390-Table001__Page_15[[#This Row],[YUVARLAMA]]</f>
        <v>0</v>
      </c>
    </row>
    <row r="391" spans="1:14" x14ac:dyDescent="0.25">
      <c r="A391" t="s">
        <v>543</v>
      </c>
      <c r="B391" t="s">
        <v>144</v>
      </c>
      <c r="C391" t="s">
        <v>816</v>
      </c>
      <c r="D391">
        <v>6</v>
      </c>
      <c r="E391" t="s">
        <v>144</v>
      </c>
      <c r="F391">
        <v>272.7</v>
      </c>
      <c r="G391">
        <f>Table001__Page_15[[#This Row],[FİYAT]]*Table001__Page_15[[#This Row],[MİKTAR]]</f>
        <v>1636.1999999999998</v>
      </c>
      <c r="H391">
        <v>2</v>
      </c>
      <c r="I391">
        <f>Table001__Page_15[[#This Row],[FİYAT]]*Table001__Page_15[[#This Row],[Sütun2]]</f>
        <v>545.4</v>
      </c>
      <c r="J391">
        <v>550</v>
      </c>
      <c r="K391" t="s">
        <v>1363</v>
      </c>
      <c r="L391" s="50">
        <f>Table001__Page_15[[#This Row],[SATIŞ FİYATI]]-Table001__Page_15[[#This Row],[YUVARLAMA]]</f>
        <v>-4.6000000000000227</v>
      </c>
      <c r="M391">
        <v>550</v>
      </c>
      <c r="N391">
        <f>M391-Table001__Page_15[[#This Row],[YUVARLAMA]]</f>
        <v>0</v>
      </c>
    </row>
    <row r="392" spans="1:14" x14ac:dyDescent="0.25">
      <c r="A392" t="s">
        <v>543</v>
      </c>
      <c r="B392" t="s">
        <v>144</v>
      </c>
      <c r="C392" t="s">
        <v>817</v>
      </c>
      <c r="D392">
        <v>12</v>
      </c>
      <c r="E392" t="s">
        <v>144</v>
      </c>
      <c r="F392">
        <v>90.9</v>
      </c>
      <c r="G392">
        <f>Table001__Page_15[[#This Row],[FİYAT]]*Table001__Page_15[[#This Row],[MİKTAR]]</f>
        <v>1090.8000000000002</v>
      </c>
      <c r="H392">
        <v>2</v>
      </c>
      <c r="I392">
        <f>Table001__Page_15[[#This Row],[FİYAT]]*Table001__Page_15[[#This Row],[Sütun2]]</f>
        <v>181.8</v>
      </c>
      <c r="J392">
        <v>185</v>
      </c>
      <c r="K392" t="s">
        <v>1363</v>
      </c>
      <c r="L392" s="50">
        <f>Table001__Page_15[[#This Row],[SATIŞ FİYATI]]-Table001__Page_15[[#This Row],[YUVARLAMA]]</f>
        <v>-3.1999999999999886</v>
      </c>
      <c r="M392">
        <v>185</v>
      </c>
      <c r="N392">
        <f>M392-Table001__Page_15[[#This Row],[YUVARLAMA]]</f>
        <v>0</v>
      </c>
    </row>
    <row r="393" spans="1:14" x14ac:dyDescent="0.25">
      <c r="A393" t="s">
        <v>543</v>
      </c>
      <c r="B393" t="s">
        <v>144</v>
      </c>
      <c r="C393" t="s">
        <v>818</v>
      </c>
      <c r="D393">
        <v>12</v>
      </c>
      <c r="E393" t="s">
        <v>144</v>
      </c>
      <c r="F393">
        <v>54.54</v>
      </c>
      <c r="G393">
        <f>Table001__Page_15[[#This Row],[FİYAT]]*Table001__Page_15[[#This Row],[MİKTAR]]</f>
        <v>654.48</v>
      </c>
      <c r="H393">
        <v>2</v>
      </c>
      <c r="I393">
        <f>Table001__Page_15[[#This Row],[FİYAT]]*Table001__Page_15[[#This Row],[Sütun2]]</f>
        <v>109.08</v>
      </c>
      <c r="J393">
        <v>110</v>
      </c>
      <c r="K393" t="s">
        <v>1363</v>
      </c>
      <c r="L393" s="50">
        <f>Table001__Page_15[[#This Row],[SATIŞ FİYATI]]-Table001__Page_15[[#This Row],[YUVARLAMA]]</f>
        <v>-0.92000000000000171</v>
      </c>
      <c r="M393">
        <v>110</v>
      </c>
      <c r="N393">
        <f>M393-Table001__Page_15[[#This Row],[YUVARLAMA]]</f>
        <v>0</v>
      </c>
    </row>
    <row r="394" spans="1:14" x14ac:dyDescent="0.25">
      <c r="A394" t="s">
        <v>543</v>
      </c>
      <c r="B394" t="s">
        <v>144</v>
      </c>
      <c r="C394" t="s">
        <v>819</v>
      </c>
      <c r="D394">
        <v>12</v>
      </c>
      <c r="E394" t="s">
        <v>144</v>
      </c>
      <c r="F394">
        <v>64.8</v>
      </c>
      <c r="G394">
        <f>Table001__Page_15[[#This Row],[FİYAT]]*Table001__Page_15[[#This Row],[MİKTAR]]</f>
        <v>777.59999999999991</v>
      </c>
      <c r="H394">
        <v>2</v>
      </c>
      <c r="I394">
        <f>Table001__Page_15[[#This Row],[FİYAT]]*Table001__Page_15[[#This Row],[Sütun2]]</f>
        <v>129.6</v>
      </c>
      <c r="J394">
        <v>130</v>
      </c>
      <c r="K394" t="s">
        <v>1363</v>
      </c>
      <c r="L394" s="50">
        <f>Table001__Page_15[[#This Row],[SATIŞ FİYATI]]-Table001__Page_15[[#This Row],[YUVARLAMA]]</f>
        <v>-0.40000000000000568</v>
      </c>
      <c r="M394">
        <v>130</v>
      </c>
      <c r="N394">
        <f>M394-Table001__Page_15[[#This Row],[YUVARLAMA]]</f>
        <v>0</v>
      </c>
    </row>
    <row r="395" spans="1:14" x14ac:dyDescent="0.25">
      <c r="A395" t="s">
        <v>543</v>
      </c>
      <c r="B395" t="s">
        <v>144</v>
      </c>
      <c r="C395" t="s">
        <v>820</v>
      </c>
      <c r="D395">
        <v>12</v>
      </c>
      <c r="E395" t="s">
        <v>144</v>
      </c>
      <c r="F395">
        <v>64.8</v>
      </c>
      <c r="G395">
        <f>Table001__Page_15[[#This Row],[FİYAT]]*Table001__Page_15[[#This Row],[MİKTAR]]</f>
        <v>777.59999999999991</v>
      </c>
      <c r="H395">
        <v>2</v>
      </c>
      <c r="I395">
        <f>Table001__Page_15[[#This Row],[FİYAT]]*Table001__Page_15[[#This Row],[Sütun2]]</f>
        <v>129.6</v>
      </c>
      <c r="J395">
        <v>130</v>
      </c>
      <c r="K395" t="s">
        <v>1363</v>
      </c>
      <c r="L395" s="50">
        <f>Table001__Page_15[[#This Row],[SATIŞ FİYATI]]-Table001__Page_15[[#This Row],[YUVARLAMA]]</f>
        <v>-0.40000000000000568</v>
      </c>
      <c r="M395">
        <v>130</v>
      </c>
      <c r="N395">
        <f>M395-Table001__Page_15[[#This Row],[YUVARLAMA]]</f>
        <v>0</v>
      </c>
    </row>
    <row r="396" spans="1:14" x14ac:dyDescent="0.25">
      <c r="A396" t="s">
        <v>543</v>
      </c>
      <c r="B396" t="s">
        <v>144</v>
      </c>
      <c r="C396" t="s">
        <v>821</v>
      </c>
      <c r="D396">
        <v>12</v>
      </c>
      <c r="E396" t="s">
        <v>144</v>
      </c>
      <c r="F396">
        <v>54.54</v>
      </c>
      <c r="G396">
        <f>Table001__Page_15[[#This Row],[FİYAT]]*Table001__Page_15[[#This Row],[MİKTAR]]</f>
        <v>654.48</v>
      </c>
      <c r="H396">
        <v>2</v>
      </c>
      <c r="I396">
        <f>Table001__Page_15[[#This Row],[FİYAT]]*Table001__Page_15[[#This Row],[Sütun2]]</f>
        <v>109.08</v>
      </c>
      <c r="J396">
        <v>110</v>
      </c>
      <c r="K396" t="s">
        <v>1363</v>
      </c>
      <c r="L396" s="50">
        <f>Table001__Page_15[[#This Row],[SATIŞ FİYATI]]-Table001__Page_15[[#This Row],[YUVARLAMA]]</f>
        <v>-0.92000000000000171</v>
      </c>
      <c r="M396">
        <v>110</v>
      </c>
      <c r="N396">
        <f>M396-Table001__Page_15[[#This Row],[YUVARLAMA]]</f>
        <v>0</v>
      </c>
    </row>
    <row r="397" spans="1:14" x14ac:dyDescent="0.25">
      <c r="A397" t="s">
        <v>543</v>
      </c>
      <c r="B397" t="s">
        <v>144</v>
      </c>
      <c r="C397" t="s">
        <v>822</v>
      </c>
      <c r="D397">
        <v>12</v>
      </c>
      <c r="E397" t="s">
        <v>144</v>
      </c>
      <c r="F397">
        <v>83.325000000000003</v>
      </c>
      <c r="G397">
        <f>Table001__Page_15[[#This Row],[FİYAT]]*Table001__Page_15[[#This Row],[MİKTAR]]</f>
        <v>999.90000000000009</v>
      </c>
      <c r="H397">
        <v>2</v>
      </c>
      <c r="I397">
        <f>Table001__Page_15[[#This Row],[FİYAT]]*Table001__Page_15[[#This Row],[Sütun2]]</f>
        <v>166.65</v>
      </c>
      <c r="J397">
        <v>170</v>
      </c>
      <c r="K397" t="s">
        <v>1363</v>
      </c>
      <c r="L397" s="50">
        <f>Table001__Page_15[[#This Row],[SATIŞ FİYATI]]-Table001__Page_15[[#This Row],[YUVARLAMA]]</f>
        <v>-3.3499999999999943</v>
      </c>
      <c r="M397">
        <v>170</v>
      </c>
      <c r="N397">
        <f>M397-Table001__Page_15[[#This Row],[YUVARLAMA]]</f>
        <v>0</v>
      </c>
    </row>
    <row r="398" spans="1:14" x14ac:dyDescent="0.25">
      <c r="A398" t="s">
        <v>543</v>
      </c>
      <c r="B398" t="s">
        <v>144</v>
      </c>
      <c r="C398" t="s">
        <v>823</v>
      </c>
      <c r="D398">
        <v>12</v>
      </c>
      <c r="E398" t="s">
        <v>144</v>
      </c>
      <c r="F398">
        <v>60.6</v>
      </c>
      <c r="G398">
        <f>Table001__Page_15[[#This Row],[FİYAT]]*Table001__Page_15[[#This Row],[MİKTAR]]</f>
        <v>727.2</v>
      </c>
      <c r="H398">
        <v>2</v>
      </c>
      <c r="I398">
        <f>Table001__Page_15[[#This Row],[FİYAT]]*Table001__Page_15[[#This Row],[Sütun2]]</f>
        <v>121.2</v>
      </c>
      <c r="J398">
        <v>125</v>
      </c>
      <c r="K398" t="s">
        <v>1363</v>
      </c>
      <c r="L398" s="50">
        <f>Table001__Page_15[[#This Row],[SATIŞ FİYATI]]-Table001__Page_15[[#This Row],[YUVARLAMA]]</f>
        <v>-3.7999999999999972</v>
      </c>
      <c r="M398">
        <v>125</v>
      </c>
      <c r="N398">
        <f>M398-Table001__Page_15[[#This Row],[YUVARLAMA]]</f>
        <v>0</v>
      </c>
    </row>
    <row r="399" spans="1:14" x14ac:dyDescent="0.25">
      <c r="A399" t="s">
        <v>543</v>
      </c>
      <c r="B399" t="s">
        <v>144</v>
      </c>
      <c r="C399" t="s">
        <v>824</v>
      </c>
      <c r="D399">
        <v>12</v>
      </c>
      <c r="E399" t="s">
        <v>144</v>
      </c>
      <c r="F399">
        <v>60.6</v>
      </c>
      <c r="G399">
        <f>Table001__Page_15[[#This Row],[FİYAT]]*Table001__Page_15[[#This Row],[MİKTAR]]</f>
        <v>727.2</v>
      </c>
      <c r="H399">
        <v>2</v>
      </c>
      <c r="I399">
        <f>Table001__Page_15[[#This Row],[FİYAT]]*Table001__Page_15[[#This Row],[Sütun2]]</f>
        <v>121.2</v>
      </c>
      <c r="J399">
        <v>125</v>
      </c>
      <c r="K399" t="s">
        <v>1363</v>
      </c>
      <c r="L399" s="50">
        <f>Table001__Page_15[[#This Row],[SATIŞ FİYATI]]-Table001__Page_15[[#This Row],[YUVARLAMA]]</f>
        <v>-3.7999999999999972</v>
      </c>
      <c r="M399">
        <v>125</v>
      </c>
      <c r="N399">
        <f>M399-Table001__Page_15[[#This Row],[YUVARLAMA]]</f>
        <v>0</v>
      </c>
    </row>
    <row r="400" spans="1:14" x14ac:dyDescent="0.25">
      <c r="A400" t="s">
        <v>543</v>
      </c>
      <c r="B400" t="s">
        <v>144</v>
      </c>
      <c r="C400" t="s">
        <v>825</v>
      </c>
      <c r="D400">
        <v>12</v>
      </c>
      <c r="E400" t="s">
        <v>144</v>
      </c>
      <c r="F400">
        <v>90</v>
      </c>
      <c r="G400">
        <f>Table001__Page_15[[#This Row],[FİYAT]]*Table001__Page_15[[#This Row],[MİKTAR]]</f>
        <v>1080</v>
      </c>
      <c r="H400">
        <v>2</v>
      </c>
      <c r="I400">
        <f>Table001__Page_15[[#This Row],[FİYAT]]*Table001__Page_15[[#This Row],[Sütun2]]</f>
        <v>180</v>
      </c>
      <c r="J400">
        <v>180</v>
      </c>
      <c r="K400" t="s">
        <v>1363</v>
      </c>
      <c r="L400" s="50">
        <f>Table001__Page_15[[#This Row],[SATIŞ FİYATI]]-Table001__Page_15[[#This Row],[YUVARLAMA]]</f>
        <v>0</v>
      </c>
      <c r="M400">
        <v>180</v>
      </c>
      <c r="N400">
        <f>M400-Table001__Page_15[[#This Row],[YUVARLAMA]]</f>
        <v>0</v>
      </c>
    </row>
    <row r="401" spans="1:14" x14ac:dyDescent="0.25">
      <c r="A401" t="s">
        <v>543</v>
      </c>
      <c r="B401" t="s">
        <v>144</v>
      </c>
      <c r="C401" t="s">
        <v>826</v>
      </c>
      <c r="D401">
        <v>12</v>
      </c>
      <c r="E401" t="s">
        <v>144</v>
      </c>
      <c r="F401">
        <v>64.8</v>
      </c>
      <c r="G401">
        <f>Table001__Page_15[[#This Row],[FİYAT]]*Table001__Page_15[[#This Row],[MİKTAR]]</f>
        <v>777.59999999999991</v>
      </c>
      <c r="H401">
        <v>2</v>
      </c>
      <c r="I401">
        <f>Table001__Page_15[[#This Row],[FİYAT]]*Table001__Page_15[[#This Row],[Sütun2]]</f>
        <v>129.6</v>
      </c>
      <c r="J401">
        <v>130</v>
      </c>
      <c r="K401" t="s">
        <v>1363</v>
      </c>
      <c r="L401" s="50">
        <f>Table001__Page_15[[#This Row],[SATIŞ FİYATI]]-Table001__Page_15[[#This Row],[YUVARLAMA]]</f>
        <v>-0.40000000000000568</v>
      </c>
      <c r="M401">
        <v>130</v>
      </c>
      <c r="N401">
        <f>M401-Table001__Page_15[[#This Row],[YUVARLAMA]]</f>
        <v>0</v>
      </c>
    </row>
    <row r="402" spans="1:14" x14ac:dyDescent="0.25">
      <c r="A402" t="s">
        <v>543</v>
      </c>
      <c r="B402" t="s">
        <v>144</v>
      </c>
      <c r="C402" t="s">
        <v>827</v>
      </c>
      <c r="D402">
        <v>12</v>
      </c>
      <c r="E402" t="s">
        <v>144</v>
      </c>
      <c r="F402">
        <v>64.8</v>
      </c>
      <c r="G402">
        <f>Table001__Page_15[[#This Row],[FİYAT]]*Table001__Page_15[[#This Row],[MİKTAR]]</f>
        <v>777.59999999999991</v>
      </c>
      <c r="H402">
        <v>2</v>
      </c>
      <c r="I402">
        <f>Table001__Page_15[[#This Row],[FİYAT]]*Table001__Page_15[[#This Row],[Sütun2]]</f>
        <v>129.6</v>
      </c>
      <c r="J402">
        <v>130</v>
      </c>
      <c r="K402" t="s">
        <v>1363</v>
      </c>
      <c r="L402" s="50">
        <f>Table001__Page_15[[#This Row],[SATIŞ FİYATI]]-Table001__Page_15[[#This Row],[YUVARLAMA]]</f>
        <v>-0.40000000000000568</v>
      </c>
      <c r="M402">
        <v>130</v>
      </c>
      <c r="N402">
        <f>M402-Table001__Page_15[[#This Row],[YUVARLAMA]]</f>
        <v>0</v>
      </c>
    </row>
    <row r="403" spans="1:14" x14ac:dyDescent="0.25">
      <c r="A403" t="s">
        <v>543</v>
      </c>
      <c r="B403" t="s">
        <v>144</v>
      </c>
      <c r="C403" t="s">
        <v>828</v>
      </c>
      <c r="D403">
        <v>12</v>
      </c>
      <c r="E403" t="s">
        <v>144</v>
      </c>
      <c r="F403">
        <v>72</v>
      </c>
      <c r="G403">
        <f>Table001__Page_15[[#This Row],[FİYAT]]*Table001__Page_15[[#This Row],[MİKTAR]]</f>
        <v>864</v>
      </c>
      <c r="H403">
        <v>2</v>
      </c>
      <c r="I403">
        <f>Table001__Page_15[[#This Row],[FİYAT]]*Table001__Page_15[[#This Row],[Sütun2]]</f>
        <v>144</v>
      </c>
      <c r="J403">
        <v>145</v>
      </c>
      <c r="K403" t="s">
        <v>1363</v>
      </c>
      <c r="L403" s="50">
        <f>Table001__Page_15[[#This Row],[SATIŞ FİYATI]]-Table001__Page_15[[#This Row],[YUVARLAMA]]</f>
        <v>-1</v>
      </c>
      <c r="M403">
        <v>145</v>
      </c>
      <c r="N403">
        <f>M403-Table001__Page_15[[#This Row],[YUVARLAMA]]</f>
        <v>0</v>
      </c>
    </row>
    <row r="404" spans="1:14" x14ac:dyDescent="0.25">
      <c r="A404" t="s">
        <v>543</v>
      </c>
      <c r="B404" t="s">
        <v>144</v>
      </c>
      <c r="C404" t="s">
        <v>829</v>
      </c>
      <c r="D404">
        <v>12</v>
      </c>
      <c r="E404" t="s">
        <v>144</v>
      </c>
      <c r="F404">
        <v>72</v>
      </c>
      <c r="G404">
        <f>Table001__Page_15[[#This Row],[FİYAT]]*Table001__Page_15[[#This Row],[MİKTAR]]</f>
        <v>864</v>
      </c>
      <c r="H404">
        <v>2</v>
      </c>
      <c r="I404">
        <f>Table001__Page_15[[#This Row],[FİYAT]]*Table001__Page_15[[#This Row],[Sütun2]]</f>
        <v>144</v>
      </c>
      <c r="J404">
        <v>145</v>
      </c>
      <c r="K404" t="s">
        <v>1363</v>
      </c>
      <c r="L404" s="50">
        <f>Table001__Page_15[[#This Row],[SATIŞ FİYATI]]-Table001__Page_15[[#This Row],[YUVARLAMA]]</f>
        <v>-1</v>
      </c>
      <c r="M404">
        <v>145</v>
      </c>
      <c r="N404">
        <f>M404-Table001__Page_15[[#This Row],[YUVARLAMA]]</f>
        <v>0</v>
      </c>
    </row>
    <row r="405" spans="1:14" x14ac:dyDescent="0.25">
      <c r="A405" t="s">
        <v>543</v>
      </c>
      <c r="B405" t="s">
        <v>144</v>
      </c>
      <c r="C405" t="s">
        <v>830</v>
      </c>
      <c r="D405">
        <v>12</v>
      </c>
      <c r="E405" t="s">
        <v>144</v>
      </c>
      <c r="F405">
        <v>64.8</v>
      </c>
      <c r="G405">
        <f>Table001__Page_15[[#This Row],[FİYAT]]*Table001__Page_15[[#This Row],[MİKTAR]]</f>
        <v>777.59999999999991</v>
      </c>
      <c r="H405">
        <v>2</v>
      </c>
      <c r="I405">
        <f>Table001__Page_15[[#This Row],[FİYAT]]*Table001__Page_15[[#This Row],[Sütun2]]</f>
        <v>129.6</v>
      </c>
      <c r="J405">
        <v>130</v>
      </c>
      <c r="K405" t="s">
        <v>1363</v>
      </c>
      <c r="L405" s="50">
        <f>Table001__Page_15[[#This Row],[SATIŞ FİYATI]]-Table001__Page_15[[#This Row],[YUVARLAMA]]</f>
        <v>-0.40000000000000568</v>
      </c>
      <c r="M405">
        <v>130</v>
      </c>
      <c r="N405">
        <f>M405-Table001__Page_15[[#This Row],[YUVARLAMA]]</f>
        <v>0</v>
      </c>
    </row>
    <row r="406" spans="1:14" x14ac:dyDescent="0.25">
      <c r="A406" t="s">
        <v>543</v>
      </c>
      <c r="B406" t="s">
        <v>144</v>
      </c>
      <c r="C406" t="s">
        <v>831</v>
      </c>
      <c r="D406">
        <v>12</v>
      </c>
      <c r="E406" t="s">
        <v>144</v>
      </c>
      <c r="F406">
        <v>72</v>
      </c>
      <c r="G406">
        <f>Table001__Page_15[[#This Row],[FİYAT]]*Table001__Page_15[[#This Row],[MİKTAR]]</f>
        <v>864</v>
      </c>
      <c r="H406">
        <v>2</v>
      </c>
      <c r="I406">
        <f>Table001__Page_15[[#This Row],[FİYAT]]*Table001__Page_15[[#This Row],[Sütun2]]</f>
        <v>144</v>
      </c>
      <c r="J406">
        <v>145</v>
      </c>
      <c r="K406" t="s">
        <v>1363</v>
      </c>
      <c r="L406" s="50">
        <f>Table001__Page_15[[#This Row],[SATIŞ FİYATI]]-Table001__Page_15[[#This Row],[YUVARLAMA]]</f>
        <v>-1</v>
      </c>
      <c r="M406">
        <v>145</v>
      </c>
      <c r="N406">
        <f>M406-Table001__Page_15[[#This Row],[YUVARLAMA]]</f>
        <v>0</v>
      </c>
    </row>
    <row r="407" spans="1:14" x14ac:dyDescent="0.25">
      <c r="A407" t="s">
        <v>543</v>
      </c>
      <c r="B407" t="s">
        <v>144</v>
      </c>
      <c r="C407" t="s">
        <v>832</v>
      </c>
      <c r="D407">
        <v>12</v>
      </c>
      <c r="E407" t="s">
        <v>144</v>
      </c>
      <c r="F407">
        <v>72</v>
      </c>
      <c r="G407">
        <f>Table001__Page_15[[#This Row],[FİYAT]]*Table001__Page_15[[#This Row],[MİKTAR]]</f>
        <v>864</v>
      </c>
      <c r="H407">
        <v>2</v>
      </c>
      <c r="I407">
        <f>Table001__Page_15[[#This Row],[FİYAT]]*Table001__Page_15[[#This Row],[Sütun2]]</f>
        <v>144</v>
      </c>
      <c r="J407">
        <v>145</v>
      </c>
      <c r="K407" t="s">
        <v>1363</v>
      </c>
      <c r="L407" s="50">
        <f>Table001__Page_15[[#This Row],[SATIŞ FİYATI]]-Table001__Page_15[[#This Row],[YUVARLAMA]]</f>
        <v>-1</v>
      </c>
      <c r="M407">
        <v>145</v>
      </c>
      <c r="N407">
        <f>M407-Table001__Page_15[[#This Row],[YUVARLAMA]]</f>
        <v>0</v>
      </c>
    </row>
    <row r="408" spans="1:14" x14ac:dyDescent="0.25">
      <c r="A408" t="s">
        <v>543</v>
      </c>
      <c r="B408" t="s">
        <v>144</v>
      </c>
      <c r="C408" t="s">
        <v>833</v>
      </c>
      <c r="D408">
        <v>12</v>
      </c>
      <c r="E408" t="s">
        <v>144</v>
      </c>
      <c r="F408">
        <v>86.4</v>
      </c>
      <c r="G408">
        <f>Table001__Page_15[[#This Row],[FİYAT]]*Table001__Page_15[[#This Row],[MİKTAR]]</f>
        <v>1036.8000000000002</v>
      </c>
      <c r="H408">
        <v>2</v>
      </c>
      <c r="I408">
        <f>Table001__Page_15[[#This Row],[FİYAT]]*Table001__Page_15[[#This Row],[Sütun2]]</f>
        <v>172.8</v>
      </c>
      <c r="J408">
        <v>175</v>
      </c>
      <c r="K408" t="s">
        <v>1363</v>
      </c>
      <c r="L408" s="50">
        <f>Table001__Page_15[[#This Row],[SATIŞ FİYATI]]-Table001__Page_15[[#This Row],[YUVARLAMA]]</f>
        <v>-2.1999999999999886</v>
      </c>
      <c r="M408">
        <v>175</v>
      </c>
      <c r="N408">
        <f>M408-Table001__Page_15[[#This Row],[YUVARLAMA]]</f>
        <v>0</v>
      </c>
    </row>
    <row r="409" spans="1:14" x14ac:dyDescent="0.25">
      <c r="A409" t="s">
        <v>543</v>
      </c>
      <c r="B409" t="s">
        <v>144</v>
      </c>
      <c r="C409" t="s">
        <v>834</v>
      </c>
      <c r="D409">
        <v>12</v>
      </c>
      <c r="E409" t="s">
        <v>144</v>
      </c>
      <c r="F409">
        <v>54.54</v>
      </c>
      <c r="G409">
        <f>Table001__Page_15[[#This Row],[FİYAT]]*Table001__Page_15[[#This Row],[MİKTAR]]</f>
        <v>654.48</v>
      </c>
      <c r="H409">
        <v>2</v>
      </c>
      <c r="I409">
        <f>Table001__Page_15[[#This Row],[FİYAT]]*Table001__Page_15[[#This Row],[Sütun2]]</f>
        <v>109.08</v>
      </c>
      <c r="J409">
        <v>110</v>
      </c>
      <c r="K409" t="s">
        <v>1363</v>
      </c>
      <c r="L409" s="50">
        <f>Table001__Page_15[[#This Row],[SATIŞ FİYATI]]-Table001__Page_15[[#This Row],[YUVARLAMA]]</f>
        <v>-0.92000000000000171</v>
      </c>
      <c r="M409">
        <v>110</v>
      </c>
      <c r="N409">
        <f>M409-Table001__Page_15[[#This Row],[YUVARLAMA]]</f>
        <v>0</v>
      </c>
    </row>
    <row r="410" spans="1:14" x14ac:dyDescent="0.25">
      <c r="A410" t="s">
        <v>543</v>
      </c>
      <c r="B410" t="s">
        <v>144</v>
      </c>
      <c r="C410" t="s">
        <v>835</v>
      </c>
      <c r="D410">
        <v>12</v>
      </c>
      <c r="E410" t="s">
        <v>144</v>
      </c>
      <c r="F410">
        <v>64.8</v>
      </c>
      <c r="G410">
        <f>Table001__Page_15[[#This Row],[FİYAT]]*Table001__Page_15[[#This Row],[MİKTAR]]</f>
        <v>777.59999999999991</v>
      </c>
      <c r="H410">
        <v>2</v>
      </c>
      <c r="I410">
        <f>Table001__Page_15[[#This Row],[FİYAT]]*Table001__Page_15[[#This Row],[Sütun2]]</f>
        <v>129.6</v>
      </c>
      <c r="J410">
        <v>130</v>
      </c>
      <c r="K410" t="s">
        <v>1363</v>
      </c>
      <c r="L410" s="50">
        <f>Table001__Page_15[[#This Row],[SATIŞ FİYATI]]-Table001__Page_15[[#This Row],[YUVARLAMA]]</f>
        <v>-0.40000000000000568</v>
      </c>
      <c r="M410">
        <v>130</v>
      </c>
      <c r="N410">
        <f>M410-Table001__Page_15[[#This Row],[YUVARLAMA]]</f>
        <v>0</v>
      </c>
    </row>
    <row r="411" spans="1:14" x14ac:dyDescent="0.25">
      <c r="A411" t="s">
        <v>543</v>
      </c>
      <c r="B411" t="s">
        <v>144</v>
      </c>
      <c r="C411" t="s">
        <v>1269</v>
      </c>
      <c r="D411">
        <v>12</v>
      </c>
      <c r="E411" t="s">
        <v>144</v>
      </c>
      <c r="F411">
        <f>727.2/12</f>
        <v>60.6</v>
      </c>
      <c r="G411">
        <f>Table001__Page_15[[#This Row],[FİYAT]]*Table001__Page_15[[#This Row],[MİKTAR]]</f>
        <v>727.2</v>
      </c>
      <c r="H411">
        <v>2</v>
      </c>
      <c r="I411">
        <f>Table001__Page_15[[#This Row],[FİYAT]]*Table001__Page_15[[#This Row],[Sütun2]]</f>
        <v>121.2</v>
      </c>
      <c r="J411">
        <v>125</v>
      </c>
      <c r="K411" t="s">
        <v>1363</v>
      </c>
      <c r="L411" s="50">
        <f>Table001__Page_15[[#This Row],[SATIŞ FİYATI]]-Table001__Page_15[[#This Row],[YUVARLAMA]]</f>
        <v>-3.7999999999999972</v>
      </c>
      <c r="M411">
        <v>125</v>
      </c>
      <c r="N411">
        <f>M411-Table001__Page_15[[#This Row],[YUVARLAMA]]</f>
        <v>0</v>
      </c>
    </row>
    <row r="412" spans="1:14" x14ac:dyDescent="0.25">
      <c r="A412" t="s">
        <v>543</v>
      </c>
      <c r="B412" t="s">
        <v>144</v>
      </c>
      <c r="C412" t="s">
        <v>1270</v>
      </c>
      <c r="D412">
        <v>12</v>
      </c>
      <c r="E412" t="s">
        <v>144</v>
      </c>
      <c r="F412">
        <f>777.6/12</f>
        <v>64.8</v>
      </c>
      <c r="G412">
        <f>Table001__Page_15[[#This Row],[FİYAT]]*Table001__Page_15[[#This Row],[MİKTAR]]</f>
        <v>777.59999999999991</v>
      </c>
      <c r="H412">
        <v>2</v>
      </c>
      <c r="I412">
        <f>Table001__Page_15[[#This Row],[FİYAT]]*Table001__Page_15[[#This Row],[Sütun2]]</f>
        <v>129.6</v>
      </c>
      <c r="J412">
        <v>130</v>
      </c>
      <c r="K412" t="s">
        <v>1363</v>
      </c>
      <c r="L412" s="50">
        <f>Table001__Page_15[[#This Row],[SATIŞ FİYATI]]-Table001__Page_15[[#This Row],[YUVARLAMA]]</f>
        <v>-0.40000000000000568</v>
      </c>
      <c r="M412">
        <v>130</v>
      </c>
      <c r="N412">
        <f>M412-Table001__Page_15[[#This Row],[YUVARLAMA]]</f>
        <v>0</v>
      </c>
    </row>
    <row r="413" spans="1:14" x14ac:dyDescent="0.25">
      <c r="A413" t="s">
        <v>543</v>
      </c>
      <c r="B413" t="s">
        <v>144</v>
      </c>
      <c r="C413" t="s">
        <v>1271</v>
      </c>
      <c r="D413">
        <v>12</v>
      </c>
      <c r="E413" t="s">
        <v>144</v>
      </c>
      <c r="F413">
        <f>1296/12</f>
        <v>108</v>
      </c>
      <c r="G413">
        <f>Table001__Page_15[[#This Row],[FİYAT]]*Table001__Page_15[[#This Row],[MİKTAR]]</f>
        <v>1296</v>
      </c>
      <c r="H413">
        <v>1.76</v>
      </c>
      <c r="I413">
        <f>Table001__Page_15[[#This Row],[FİYAT]]*Table001__Page_15[[#This Row],[Sütun2]]</f>
        <v>190.08</v>
      </c>
      <c r="J413">
        <v>190</v>
      </c>
      <c r="K413" t="s">
        <v>1363</v>
      </c>
      <c r="L413" s="50">
        <f>Table001__Page_15[[#This Row],[SATIŞ FİYATI]]-Table001__Page_15[[#This Row],[YUVARLAMA]]</f>
        <v>8.0000000000012506E-2</v>
      </c>
      <c r="M413">
        <v>190</v>
      </c>
      <c r="N413">
        <f>M413-Table001__Page_15[[#This Row],[YUVARLAMA]]</f>
        <v>0</v>
      </c>
    </row>
    <row r="414" spans="1:14" x14ac:dyDescent="0.25">
      <c r="A414" t="s">
        <v>170</v>
      </c>
      <c r="B414" t="s">
        <v>144</v>
      </c>
      <c r="C414" t="s">
        <v>1364</v>
      </c>
      <c r="D414">
        <v>12</v>
      </c>
      <c r="F414">
        <v>81</v>
      </c>
      <c r="G414">
        <f>Table001__Page_15[[#This Row],[FİYAT]]*Table001__Page_15[[#This Row],[MİKTAR]]</f>
        <v>972</v>
      </c>
      <c r="H414">
        <v>1.7</v>
      </c>
      <c r="I414">
        <f>Table001__Page_15[[#This Row],[FİYAT]]*Table001__Page_15[[#This Row],[Sütun2]]</f>
        <v>137.69999999999999</v>
      </c>
      <c r="J414">
        <v>150</v>
      </c>
      <c r="K414" t="s">
        <v>1363</v>
      </c>
      <c r="L414" s="50">
        <f>Table001__Page_15[[#This Row],[SATIŞ FİYATI]]-Table001__Page_15[[#This Row],[YUVARLAMA]]</f>
        <v>-12.300000000000011</v>
      </c>
      <c r="M414">
        <v>150</v>
      </c>
      <c r="N414">
        <f>M414-Table001__Page_15[[#This Row],[YUVARLAMA]]</f>
        <v>0</v>
      </c>
    </row>
    <row r="415" spans="1:14" x14ac:dyDescent="0.25">
      <c r="A415" t="s">
        <v>170</v>
      </c>
      <c r="B415" t="s">
        <v>144</v>
      </c>
      <c r="C415" t="s">
        <v>1365</v>
      </c>
      <c r="D415">
        <v>36</v>
      </c>
      <c r="F415">
        <v>81</v>
      </c>
      <c r="G415">
        <f>Table001__Page_15[[#This Row],[FİYAT]]*Table001__Page_15[[#This Row],[MİKTAR]]</f>
        <v>2916</v>
      </c>
      <c r="H415">
        <v>1.7</v>
      </c>
      <c r="I415">
        <f>Table001__Page_15[[#This Row],[FİYAT]]*Table001__Page_15[[#This Row],[Sütun2]]</f>
        <v>137.69999999999999</v>
      </c>
      <c r="J415">
        <v>150</v>
      </c>
      <c r="K415" t="s">
        <v>1363</v>
      </c>
      <c r="L415" s="50">
        <f>Table001__Page_15[[#This Row],[SATIŞ FİYATI]]-Table001__Page_15[[#This Row],[YUVARLAMA]]</f>
        <v>-12.300000000000011</v>
      </c>
      <c r="M415">
        <v>150</v>
      </c>
      <c r="N415">
        <f>M415-Table001__Page_15[[#This Row],[YUVARLAMA]]</f>
        <v>0</v>
      </c>
    </row>
    <row r="416" spans="1:14" x14ac:dyDescent="0.25">
      <c r="A416" t="s">
        <v>543</v>
      </c>
      <c r="B416" t="s">
        <v>144</v>
      </c>
      <c r="C416" t="s">
        <v>1366</v>
      </c>
      <c r="D416">
        <v>36</v>
      </c>
      <c r="F416">
        <v>126</v>
      </c>
      <c r="G416">
        <f>Table001__Page_15[[#This Row],[FİYAT]]*Table001__Page_15[[#This Row],[MİKTAR]]</f>
        <v>4536</v>
      </c>
      <c r="H416">
        <v>1.55</v>
      </c>
      <c r="I416">
        <f>Table001__Page_15[[#This Row],[FİYAT]]*Table001__Page_15[[#This Row],[Sütun2]]</f>
        <v>195.3</v>
      </c>
      <c r="J416">
        <v>195</v>
      </c>
      <c r="K416" t="s">
        <v>1363</v>
      </c>
      <c r="L416" s="50">
        <f>Table001__Page_15[[#This Row],[SATIŞ FİYATI]]-Table001__Page_15[[#This Row],[YUVARLAMA]]</f>
        <v>0.30000000000001137</v>
      </c>
      <c r="M416">
        <v>195</v>
      </c>
      <c r="N416">
        <f>M416-Table001__Page_15[[#This Row],[YUVARLAMA]]</f>
        <v>0</v>
      </c>
    </row>
    <row r="417" spans="1:14" x14ac:dyDescent="0.25">
      <c r="A417" t="s">
        <v>543</v>
      </c>
      <c r="B417" t="s">
        <v>144</v>
      </c>
      <c r="C417" t="s">
        <v>1367</v>
      </c>
      <c r="D417">
        <v>12</v>
      </c>
      <c r="F417">
        <v>108</v>
      </c>
      <c r="G417">
        <f>Table001__Page_15[[#This Row],[FİYAT]]*Table001__Page_15[[#This Row],[MİKTAR]]</f>
        <v>1296</v>
      </c>
      <c r="H417">
        <v>1.7</v>
      </c>
      <c r="I417">
        <f>Table001__Page_15[[#This Row],[FİYAT]]*Table001__Page_15[[#This Row],[Sütun2]]</f>
        <v>183.6</v>
      </c>
      <c r="J417">
        <v>180</v>
      </c>
      <c r="K417" t="s">
        <v>1363</v>
      </c>
      <c r="L417" s="50">
        <f>Table001__Page_15[[#This Row],[SATIŞ FİYATI]]-Table001__Page_15[[#This Row],[YUVARLAMA]]</f>
        <v>3.5999999999999943</v>
      </c>
      <c r="M417">
        <v>180</v>
      </c>
      <c r="N417">
        <f>M417-Table001__Page_15[[#This Row],[YUVARLAMA]]</f>
        <v>0</v>
      </c>
    </row>
    <row r="418" spans="1:14" x14ac:dyDescent="0.25">
      <c r="A418" t="s">
        <v>543</v>
      </c>
      <c r="B418" t="s">
        <v>144</v>
      </c>
      <c r="C418" t="s">
        <v>2240</v>
      </c>
      <c r="D418">
        <v>6</v>
      </c>
      <c r="E418" t="s">
        <v>144</v>
      </c>
      <c r="F418">
        <v>60</v>
      </c>
      <c r="G418">
        <f>Table001__Page_15[[#This Row],[FİYAT]]*Table001__Page_15[[#This Row],[MİKTAR]]</f>
        <v>360</v>
      </c>
      <c r="H418">
        <v>2.2000000000000002</v>
      </c>
      <c r="I418">
        <f>Table001__Page_15[[#This Row],[FİYAT]]*Table001__Page_15[[#This Row],[Sütun2]]</f>
        <v>132</v>
      </c>
      <c r="J418">
        <v>130</v>
      </c>
      <c r="K418" t="s">
        <v>1363</v>
      </c>
      <c r="L418" s="50">
        <f>Table001__Page_15[[#This Row],[SATIŞ FİYATI]]-Table001__Page_15[[#This Row],[YUVARLAMA]]</f>
        <v>2</v>
      </c>
      <c r="M418">
        <v>130</v>
      </c>
      <c r="N418">
        <f>M418-Table001__Page_15[[#This Row],[YUVARLAMA]]</f>
        <v>0</v>
      </c>
    </row>
    <row r="419" spans="1:14" x14ac:dyDescent="0.25">
      <c r="A419" t="s">
        <v>543</v>
      </c>
      <c r="B419" t="s">
        <v>144</v>
      </c>
      <c r="C419" t="s">
        <v>2241</v>
      </c>
      <c r="D419">
        <v>6</v>
      </c>
      <c r="E419" t="s">
        <v>144</v>
      </c>
      <c r="F419">
        <v>45</v>
      </c>
      <c r="G419">
        <f>Table001__Page_15[[#This Row],[FİYAT]]*Table001__Page_15[[#This Row],[MİKTAR]]</f>
        <v>270</v>
      </c>
      <c r="H419">
        <v>2</v>
      </c>
      <c r="I419">
        <f>Table001__Page_15[[#This Row],[FİYAT]]*Table001__Page_15[[#This Row],[Sütun2]]</f>
        <v>90</v>
      </c>
      <c r="J419">
        <v>90</v>
      </c>
      <c r="K419" t="s">
        <v>1363</v>
      </c>
      <c r="L419" s="50">
        <f>Table001__Page_15[[#This Row],[SATIŞ FİYATI]]-Table001__Page_15[[#This Row],[YUVARLAMA]]</f>
        <v>0</v>
      </c>
      <c r="M419">
        <v>90</v>
      </c>
      <c r="N419">
        <f>M419-Table001__Page_15[[#This Row],[YUVARLAMA]]</f>
        <v>0</v>
      </c>
    </row>
    <row r="420" spans="1:14" x14ac:dyDescent="0.25">
      <c r="A420" t="s">
        <v>177</v>
      </c>
      <c r="C420" t="s">
        <v>1373</v>
      </c>
      <c r="D420">
        <v>5</v>
      </c>
      <c r="F420">
        <v>118.8</v>
      </c>
      <c r="G420">
        <f>Table001__Page_15[[#This Row],[FİYAT]]*Table001__Page_15[[#This Row],[MİKTAR]]</f>
        <v>594</v>
      </c>
      <c r="H420">
        <v>1.85</v>
      </c>
      <c r="I420">
        <f>Table001__Page_15[[#This Row],[FİYAT]]*Table001__Page_15[[#This Row],[Sütun2]]</f>
        <v>219.78</v>
      </c>
      <c r="J420">
        <v>220</v>
      </c>
      <c r="K420" t="s">
        <v>1398</v>
      </c>
      <c r="L420" s="50">
        <f>Table001__Page_15[[#This Row],[SATIŞ FİYATI]]-Table001__Page_15[[#This Row],[YUVARLAMA]]</f>
        <v>-0.21999999999999886</v>
      </c>
      <c r="M420">
        <v>220</v>
      </c>
      <c r="N420">
        <f>M420-Table001__Page_15[[#This Row],[YUVARLAMA]]</f>
        <v>0</v>
      </c>
    </row>
    <row r="421" spans="1:14" x14ac:dyDescent="0.25">
      <c r="A421" t="s">
        <v>177</v>
      </c>
      <c r="C421" t="s">
        <v>1374</v>
      </c>
      <c r="D421">
        <v>5</v>
      </c>
      <c r="F421">
        <v>118.8</v>
      </c>
      <c r="G421">
        <f>Table001__Page_15[[#This Row],[FİYAT]]*Table001__Page_15[[#This Row],[MİKTAR]]</f>
        <v>594</v>
      </c>
      <c r="H421">
        <v>1.85</v>
      </c>
      <c r="I421">
        <f>Table001__Page_15[[#This Row],[FİYAT]]*Table001__Page_15[[#This Row],[Sütun2]]</f>
        <v>219.78</v>
      </c>
      <c r="J421">
        <v>220</v>
      </c>
      <c r="K421" t="s">
        <v>1398</v>
      </c>
      <c r="L421" s="50">
        <f>Table001__Page_15[[#This Row],[SATIŞ FİYATI]]-Table001__Page_15[[#This Row],[YUVARLAMA]]</f>
        <v>-0.21999999999999886</v>
      </c>
      <c r="M421">
        <v>220</v>
      </c>
      <c r="N421">
        <f>M421-Table001__Page_15[[#This Row],[YUVARLAMA]]</f>
        <v>0</v>
      </c>
    </row>
    <row r="422" spans="1:14" x14ac:dyDescent="0.25">
      <c r="A422" t="s">
        <v>177</v>
      </c>
      <c r="C422" t="s">
        <v>1371</v>
      </c>
      <c r="D422">
        <v>3</v>
      </c>
      <c r="F422">
        <v>118.8</v>
      </c>
      <c r="G422">
        <f>Table001__Page_15[[#This Row],[FİYAT]]*Table001__Page_15[[#This Row],[MİKTAR]]</f>
        <v>356.4</v>
      </c>
      <c r="H422">
        <v>1.85</v>
      </c>
      <c r="I422">
        <f>Table001__Page_15[[#This Row],[FİYAT]]*Table001__Page_15[[#This Row],[Sütun2]]</f>
        <v>219.78</v>
      </c>
      <c r="J422">
        <v>220</v>
      </c>
      <c r="K422" t="s">
        <v>1398</v>
      </c>
      <c r="L422" s="50">
        <f>Table001__Page_15[[#This Row],[SATIŞ FİYATI]]-Table001__Page_15[[#This Row],[YUVARLAMA]]</f>
        <v>-0.21999999999999886</v>
      </c>
      <c r="M422">
        <v>220</v>
      </c>
      <c r="N422">
        <f>M422-Table001__Page_15[[#This Row],[YUVARLAMA]]</f>
        <v>0</v>
      </c>
    </row>
    <row r="423" spans="1:14" x14ac:dyDescent="0.25">
      <c r="A423" t="s">
        <v>177</v>
      </c>
      <c r="C423" t="s">
        <v>1372</v>
      </c>
      <c r="D423">
        <v>5</v>
      </c>
      <c r="F423">
        <v>118.8</v>
      </c>
      <c r="G423">
        <f>Table001__Page_15[[#This Row],[FİYAT]]*Table001__Page_15[[#This Row],[MİKTAR]]</f>
        <v>594</v>
      </c>
      <c r="H423">
        <v>1.85</v>
      </c>
      <c r="I423">
        <f>Table001__Page_15[[#This Row],[FİYAT]]*Table001__Page_15[[#This Row],[Sütun2]]</f>
        <v>219.78</v>
      </c>
      <c r="J423">
        <v>220</v>
      </c>
      <c r="K423" t="s">
        <v>1398</v>
      </c>
      <c r="L423" s="50">
        <f>Table001__Page_15[[#This Row],[SATIŞ FİYATI]]-Table001__Page_15[[#This Row],[YUVARLAMA]]</f>
        <v>-0.21999999999999886</v>
      </c>
      <c r="M423">
        <v>220</v>
      </c>
      <c r="N423">
        <f>M423-Table001__Page_15[[#This Row],[YUVARLAMA]]</f>
        <v>0</v>
      </c>
    </row>
    <row r="424" spans="1:14" x14ac:dyDescent="0.25">
      <c r="A424" t="s">
        <v>177</v>
      </c>
      <c r="C424" t="s">
        <v>1375</v>
      </c>
      <c r="D424">
        <v>3</v>
      </c>
      <c r="F424">
        <v>106.8</v>
      </c>
      <c r="G424">
        <f>Table001__Page_15[[#This Row],[FİYAT]]*Table001__Page_15[[#This Row],[MİKTAR]]</f>
        <v>320.39999999999998</v>
      </c>
      <c r="H424">
        <v>1.85</v>
      </c>
      <c r="I424">
        <f>Table001__Page_15[[#This Row],[FİYAT]]*Table001__Page_15[[#This Row],[Sütun2]]</f>
        <v>197.58</v>
      </c>
      <c r="J424">
        <v>220</v>
      </c>
      <c r="K424" t="s">
        <v>1398</v>
      </c>
      <c r="L424" s="50">
        <f>Table001__Page_15[[#This Row],[SATIŞ FİYATI]]-Table001__Page_15[[#This Row],[YUVARLAMA]]</f>
        <v>-22.419999999999987</v>
      </c>
      <c r="M424">
        <v>220</v>
      </c>
      <c r="N424">
        <f>M424-Table001__Page_15[[#This Row],[YUVARLAMA]]</f>
        <v>0</v>
      </c>
    </row>
    <row r="425" spans="1:14" x14ac:dyDescent="0.25">
      <c r="A425" t="s">
        <v>177</v>
      </c>
      <c r="C425" t="s">
        <v>1376</v>
      </c>
      <c r="D425">
        <v>3</v>
      </c>
      <c r="F425">
        <v>106.8</v>
      </c>
      <c r="G425">
        <f>Table001__Page_15[[#This Row],[FİYAT]]*Table001__Page_15[[#This Row],[MİKTAR]]</f>
        <v>320.39999999999998</v>
      </c>
      <c r="H425">
        <v>1.85</v>
      </c>
      <c r="I425">
        <f>Table001__Page_15[[#This Row],[FİYAT]]*Table001__Page_15[[#This Row],[Sütun2]]</f>
        <v>197.58</v>
      </c>
      <c r="J425">
        <v>220</v>
      </c>
      <c r="K425" t="s">
        <v>1398</v>
      </c>
      <c r="L425" s="50">
        <f>Table001__Page_15[[#This Row],[SATIŞ FİYATI]]-Table001__Page_15[[#This Row],[YUVARLAMA]]</f>
        <v>-22.419999999999987</v>
      </c>
      <c r="M425">
        <v>220</v>
      </c>
      <c r="N425">
        <f>M425-Table001__Page_15[[#This Row],[YUVARLAMA]]</f>
        <v>0</v>
      </c>
    </row>
    <row r="426" spans="1:14" x14ac:dyDescent="0.25">
      <c r="A426" t="s">
        <v>177</v>
      </c>
      <c r="C426" t="s">
        <v>1377</v>
      </c>
      <c r="D426">
        <v>5</v>
      </c>
      <c r="F426">
        <v>111</v>
      </c>
      <c r="G426">
        <f>Table001__Page_15[[#This Row],[FİYAT]]*Table001__Page_15[[#This Row],[MİKTAR]]</f>
        <v>555</v>
      </c>
      <c r="H426">
        <v>1.85</v>
      </c>
      <c r="I426">
        <f>Table001__Page_15[[#This Row],[FİYAT]]*Table001__Page_15[[#This Row],[Sütun2]]</f>
        <v>205.35000000000002</v>
      </c>
      <c r="J426">
        <v>220</v>
      </c>
      <c r="K426" t="s">
        <v>1398</v>
      </c>
      <c r="L426" s="50">
        <f>Table001__Page_15[[#This Row],[SATIŞ FİYATI]]-Table001__Page_15[[#This Row],[YUVARLAMA]]</f>
        <v>-14.649999999999977</v>
      </c>
      <c r="M426">
        <v>220</v>
      </c>
      <c r="N426">
        <f>M426-Table001__Page_15[[#This Row],[YUVARLAMA]]</f>
        <v>0</v>
      </c>
    </row>
    <row r="427" spans="1:14" x14ac:dyDescent="0.25">
      <c r="A427" t="s">
        <v>177</v>
      </c>
      <c r="C427" t="s">
        <v>1378</v>
      </c>
      <c r="D427">
        <v>3</v>
      </c>
      <c r="F427">
        <v>118.8</v>
      </c>
      <c r="G427">
        <f>Table001__Page_15[[#This Row],[FİYAT]]*Table001__Page_15[[#This Row],[MİKTAR]]</f>
        <v>356.4</v>
      </c>
      <c r="H427">
        <v>1.85</v>
      </c>
      <c r="I427">
        <f>Table001__Page_15[[#This Row],[FİYAT]]*Table001__Page_15[[#This Row],[Sütun2]]</f>
        <v>219.78</v>
      </c>
      <c r="J427">
        <v>220</v>
      </c>
      <c r="K427" t="s">
        <v>1398</v>
      </c>
      <c r="L427" s="50">
        <f>Table001__Page_15[[#This Row],[SATIŞ FİYATI]]-Table001__Page_15[[#This Row],[YUVARLAMA]]</f>
        <v>-0.21999999999999886</v>
      </c>
      <c r="M427">
        <v>220</v>
      </c>
      <c r="N427">
        <f>M427-Table001__Page_15[[#This Row],[YUVARLAMA]]</f>
        <v>0</v>
      </c>
    </row>
    <row r="428" spans="1:14" x14ac:dyDescent="0.25">
      <c r="A428" t="s">
        <v>177</v>
      </c>
      <c r="C428" t="s">
        <v>1379</v>
      </c>
      <c r="D428">
        <v>3</v>
      </c>
      <c r="F428">
        <v>118.8</v>
      </c>
      <c r="G428">
        <f>Table001__Page_15[[#This Row],[FİYAT]]*Table001__Page_15[[#This Row],[MİKTAR]]</f>
        <v>356.4</v>
      </c>
      <c r="H428">
        <v>1.85</v>
      </c>
      <c r="I428">
        <f>Table001__Page_15[[#This Row],[FİYAT]]*Table001__Page_15[[#This Row],[Sütun2]]</f>
        <v>219.78</v>
      </c>
      <c r="J428">
        <v>220</v>
      </c>
      <c r="K428" t="s">
        <v>1398</v>
      </c>
      <c r="L428" s="50">
        <f>Table001__Page_15[[#This Row],[SATIŞ FİYATI]]-Table001__Page_15[[#This Row],[YUVARLAMA]]</f>
        <v>-0.21999999999999886</v>
      </c>
      <c r="M428">
        <v>220</v>
      </c>
      <c r="N428">
        <f>M428-Table001__Page_15[[#This Row],[YUVARLAMA]]</f>
        <v>0</v>
      </c>
    </row>
    <row r="429" spans="1:14" x14ac:dyDescent="0.25">
      <c r="A429" t="s">
        <v>177</v>
      </c>
      <c r="C429" t="s">
        <v>1380</v>
      </c>
      <c r="D429">
        <v>5</v>
      </c>
      <c r="F429">
        <v>118.8</v>
      </c>
      <c r="G429">
        <f>Table001__Page_15[[#This Row],[FİYAT]]*Table001__Page_15[[#This Row],[MİKTAR]]</f>
        <v>594</v>
      </c>
      <c r="H429">
        <v>1.85</v>
      </c>
      <c r="I429">
        <f>Table001__Page_15[[#This Row],[FİYAT]]*Table001__Page_15[[#This Row],[Sütun2]]</f>
        <v>219.78</v>
      </c>
      <c r="J429">
        <v>220</v>
      </c>
      <c r="K429" t="s">
        <v>1398</v>
      </c>
      <c r="L429" s="50">
        <f>Table001__Page_15[[#This Row],[SATIŞ FİYATI]]-Table001__Page_15[[#This Row],[YUVARLAMA]]</f>
        <v>-0.21999999999999886</v>
      </c>
      <c r="M429">
        <v>220</v>
      </c>
      <c r="N429">
        <f>M429-Table001__Page_15[[#This Row],[YUVARLAMA]]</f>
        <v>0</v>
      </c>
    </row>
    <row r="430" spans="1:14" x14ac:dyDescent="0.25">
      <c r="A430" t="s">
        <v>177</v>
      </c>
      <c r="C430" t="s">
        <v>1381</v>
      </c>
      <c r="D430">
        <v>3</v>
      </c>
      <c r="F430">
        <v>142.79999999999998</v>
      </c>
      <c r="G430">
        <f>Table001__Page_15[[#This Row],[FİYAT]]*Table001__Page_15[[#This Row],[MİKTAR]]</f>
        <v>428.4</v>
      </c>
      <c r="H430">
        <v>2</v>
      </c>
      <c r="I430">
        <f>Table001__Page_15[[#This Row],[FİYAT]]*Table001__Page_15[[#This Row],[Sütun2]]</f>
        <v>285.59999999999997</v>
      </c>
      <c r="J430">
        <v>290</v>
      </c>
      <c r="K430" t="s">
        <v>1398</v>
      </c>
      <c r="L430" s="50">
        <f>Table001__Page_15[[#This Row],[SATIŞ FİYATI]]-Table001__Page_15[[#This Row],[YUVARLAMA]]</f>
        <v>-4.4000000000000341</v>
      </c>
      <c r="M430">
        <v>290</v>
      </c>
      <c r="N430">
        <f>M430-Table001__Page_15[[#This Row],[YUVARLAMA]]</f>
        <v>0</v>
      </c>
    </row>
    <row r="431" spans="1:14" x14ac:dyDescent="0.25">
      <c r="A431" t="s">
        <v>543</v>
      </c>
      <c r="C431" t="s">
        <v>1382</v>
      </c>
      <c r="D431">
        <v>3</v>
      </c>
      <c r="F431">
        <v>138</v>
      </c>
      <c r="G431">
        <f>Table001__Page_15[[#This Row],[FİYAT]]*Table001__Page_15[[#This Row],[MİKTAR]]</f>
        <v>414</v>
      </c>
      <c r="H431">
        <v>1.8</v>
      </c>
      <c r="I431">
        <f>Table001__Page_15[[#This Row],[FİYAT]]*Table001__Page_15[[#This Row],[Sütun2]]</f>
        <v>248.4</v>
      </c>
      <c r="J431">
        <v>250</v>
      </c>
      <c r="K431" t="s">
        <v>1398</v>
      </c>
      <c r="L431" s="50">
        <f>Table001__Page_15[[#This Row],[SATIŞ FİYATI]]-Table001__Page_15[[#This Row],[YUVARLAMA]]</f>
        <v>-1.5999999999999943</v>
      </c>
      <c r="M431">
        <v>250</v>
      </c>
      <c r="N431">
        <f>M431-Table001__Page_15[[#This Row],[YUVARLAMA]]</f>
        <v>0</v>
      </c>
    </row>
    <row r="432" spans="1:14" x14ac:dyDescent="0.25">
      <c r="A432" t="s">
        <v>177</v>
      </c>
      <c r="C432" t="s">
        <v>1383</v>
      </c>
      <c r="D432">
        <v>3</v>
      </c>
      <c r="F432">
        <v>78</v>
      </c>
      <c r="G432">
        <f>Table001__Page_15[[#This Row],[FİYAT]]*Table001__Page_15[[#This Row],[MİKTAR]]</f>
        <v>234</v>
      </c>
      <c r="H432">
        <v>2</v>
      </c>
      <c r="I432">
        <f>Table001__Page_15[[#This Row],[FİYAT]]*Table001__Page_15[[#This Row],[Sütun2]]</f>
        <v>156</v>
      </c>
      <c r="J432">
        <v>155</v>
      </c>
      <c r="K432" t="s">
        <v>1398</v>
      </c>
      <c r="L432" s="50">
        <f>Table001__Page_15[[#This Row],[SATIŞ FİYATI]]-Table001__Page_15[[#This Row],[YUVARLAMA]]</f>
        <v>1</v>
      </c>
      <c r="M432">
        <v>155</v>
      </c>
      <c r="N432">
        <f>M432-Table001__Page_15[[#This Row],[YUVARLAMA]]</f>
        <v>0</v>
      </c>
    </row>
    <row r="433" spans="1:14" x14ac:dyDescent="0.25">
      <c r="A433" t="s">
        <v>177</v>
      </c>
      <c r="C433" t="s">
        <v>1384</v>
      </c>
      <c r="D433">
        <v>3</v>
      </c>
      <c r="F433">
        <v>94.8</v>
      </c>
      <c r="G433">
        <f>Table001__Page_15[[#This Row],[FİYAT]]*Table001__Page_15[[#This Row],[MİKTAR]]</f>
        <v>284.39999999999998</v>
      </c>
      <c r="H433">
        <v>2</v>
      </c>
      <c r="I433">
        <f>Table001__Page_15[[#This Row],[FİYAT]]*Table001__Page_15[[#This Row],[Sütun2]]</f>
        <v>189.6</v>
      </c>
      <c r="J433">
        <v>190</v>
      </c>
      <c r="K433" t="s">
        <v>1398</v>
      </c>
      <c r="L433" s="50">
        <f>Table001__Page_15[[#This Row],[SATIŞ FİYATI]]-Table001__Page_15[[#This Row],[YUVARLAMA]]</f>
        <v>-0.40000000000000568</v>
      </c>
      <c r="M433">
        <v>190</v>
      </c>
      <c r="N433">
        <f>M433-Table001__Page_15[[#This Row],[YUVARLAMA]]</f>
        <v>0</v>
      </c>
    </row>
    <row r="434" spans="1:14" x14ac:dyDescent="0.25">
      <c r="A434" t="s">
        <v>177</v>
      </c>
      <c r="C434" t="s">
        <v>1385</v>
      </c>
      <c r="D434">
        <v>3</v>
      </c>
      <c r="F434">
        <v>118.8</v>
      </c>
      <c r="G434">
        <f>Table001__Page_15[[#This Row],[FİYAT]]*Table001__Page_15[[#This Row],[MİKTAR]]</f>
        <v>356.4</v>
      </c>
      <c r="H434">
        <v>1.8</v>
      </c>
      <c r="I434">
        <f>Table001__Page_15[[#This Row],[FİYAT]]*Table001__Page_15[[#This Row],[Sütun2]]</f>
        <v>213.84</v>
      </c>
      <c r="J434">
        <v>210</v>
      </c>
      <c r="K434" t="s">
        <v>1398</v>
      </c>
      <c r="L434" s="50">
        <f>Table001__Page_15[[#This Row],[SATIŞ FİYATI]]-Table001__Page_15[[#This Row],[YUVARLAMA]]</f>
        <v>3.8400000000000034</v>
      </c>
      <c r="M434">
        <v>210</v>
      </c>
      <c r="N434">
        <f>M434-Table001__Page_15[[#This Row],[YUVARLAMA]]</f>
        <v>0</v>
      </c>
    </row>
    <row r="435" spans="1:14" x14ac:dyDescent="0.25">
      <c r="A435" t="s">
        <v>177</v>
      </c>
      <c r="C435" t="s">
        <v>1386</v>
      </c>
      <c r="D435">
        <v>3</v>
      </c>
      <c r="F435">
        <v>178.79999999999998</v>
      </c>
      <c r="G435">
        <f>Table001__Page_15[[#This Row],[FİYAT]]*Table001__Page_15[[#This Row],[MİKTAR]]</f>
        <v>536.4</v>
      </c>
      <c r="H435">
        <v>1.8</v>
      </c>
      <c r="I435">
        <f>Table001__Page_15[[#This Row],[FİYAT]]*Table001__Page_15[[#This Row],[Sütun2]]</f>
        <v>321.83999999999997</v>
      </c>
      <c r="J435">
        <v>320</v>
      </c>
      <c r="K435" t="s">
        <v>1398</v>
      </c>
      <c r="L435" s="50">
        <f>Table001__Page_15[[#This Row],[SATIŞ FİYATI]]-Table001__Page_15[[#This Row],[YUVARLAMA]]</f>
        <v>1.839999999999975</v>
      </c>
      <c r="M435">
        <v>320</v>
      </c>
      <c r="N435">
        <f>M435-Table001__Page_15[[#This Row],[YUVARLAMA]]</f>
        <v>0</v>
      </c>
    </row>
    <row r="436" spans="1:14" x14ac:dyDescent="0.25">
      <c r="A436" t="s">
        <v>177</v>
      </c>
      <c r="C436" t="s">
        <v>1387</v>
      </c>
      <c r="D436">
        <v>5</v>
      </c>
      <c r="F436">
        <v>72</v>
      </c>
      <c r="G436">
        <f>Table001__Page_15[[#This Row],[FİYAT]]*Table001__Page_15[[#This Row],[MİKTAR]]</f>
        <v>360</v>
      </c>
      <c r="H436">
        <v>2.1</v>
      </c>
      <c r="I436">
        <f>Table001__Page_15[[#This Row],[FİYAT]]*Table001__Page_15[[#This Row],[Sütun2]]</f>
        <v>151.20000000000002</v>
      </c>
      <c r="J436">
        <v>150</v>
      </c>
      <c r="K436" t="s">
        <v>1398</v>
      </c>
      <c r="L436" s="50">
        <f>Table001__Page_15[[#This Row],[SATIŞ FİYATI]]-Table001__Page_15[[#This Row],[YUVARLAMA]]</f>
        <v>1.2000000000000171</v>
      </c>
      <c r="M436">
        <v>150</v>
      </c>
      <c r="N436">
        <f>M436-Table001__Page_15[[#This Row],[YUVARLAMA]]</f>
        <v>0</v>
      </c>
    </row>
    <row r="437" spans="1:14" x14ac:dyDescent="0.25">
      <c r="A437" t="s">
        <v>177</v>
      </c>
      <c r="C437" t="s">
        <v>1388</v>
      </c>
      <c r="D437">
        <v>5</v>
      </c>
      <c r="F437">
        <v>87</v>
      </c>
      <c r="G437">
        <f>Table001__Page_15[[#This Row],[FİYAT]]*Table001__Page_15[[#This Row],[MİKTAR]]</f>
        <v>435</v>
      </c>
      <c r="H437">
        <v>2</v>
      </c>
      <c r="I437">
        <f>Table001__Page_15[[#This Row],[FİYAT]]*Table001__Page_15[[#This Row],[Sütun2]]</f>
        <v>174</v>
      </c>
      <c r="J437">
        <v>175</v>
      </c>
      <c r="K437" t="s">
        <v>1398</v>
      </c>
      <c r="L437" s="50">
        <f>Table001__Page_15[[#This Row],[SATIŞ FİYATI]]-Table001__Page_15[[#This Row],[YUVARLAMA]]</f>
        <v>-1</v>
      </c>
      <c r="M437">
        <v>175</v>
      </c>
      <c r="N437">
        <f>M437-Table001__Page_15[[#This Row],[YUVARLAMA]]</f>
        <v>0</v>
      </c>
    </row>
    <row r="438" spans="1:14" x14ac:dyDescent="0.25">
      <c r="A438" t="s">
        <v>177</v>
      </c>
      <c r="C438" t="s">
        <v>1389</v>
      </c>
      <c r="D438">
        <v>5</v>
      </c>
      <c r="F438">
        <v>75</v>
      </c>
      <c r="G438">
        <f>Table001__Page_15[[#This Row],[FİYAT]]*Table001__Page_15[[#This Row],[MİKTAR]]</f>
        <v>375</v>
      </c>
      <c r="H438">
        <v>2</v>
      </c>
      <c r="I438">
        <f>Table001__Page_15[[#This Row],[FİYAT]]*Table001__Page_15[[#This Row],[Sütun2]]</f>
        <v>150</v>
      </c>
      <c r="J438">
        <v>150</v>
      </c>
      <c r="K438" t="s">
        <v>1398</v>
      </c>
      <c r="L438" s="50">
        <f>Table001__Page_15[[#This Row],[SATIŞ FİYATI]]-Table001__Page_15[[#This Row],[YUVARLAMA]]</f>
        <v>0</v>
      </c>
      <c r="M438">
        <v>150</v>
      </c>
      <c r="N438">
        <f>M438-Table001__Page_15[[#This Row],[YUVARLAMA]]</f>
        <v>0</v>
      </c>
    </row>
    <row r="439" spans="1:14" x14ac:dyDescent="0.25">
      <c r="A439" t="s">
        <v>177</v>
      </c>
      <c r="C439" t="s">
        <v>1390</v>
      </c>
      <c r="D439">
        <v>5</v>
      </c>
      <c r="F439">
        <v>60</v>
      </c>
      <c r="G439">
        <f>Table001__Page_15[[#This Row],[FİYAT]]*Table001__Page_15[[#This Row],[MİKTAR]]</f>
        <v>300</v>
      </c>
      <c r="H439">
        <v>2</v>
      </c>
      <c r="I439">
        <f>Table001__Page_15[[#This Row],[FİYAT]]*Table001__Page_15[[#This Row],[Sütun2]]</f>
        <v>120</v>
      </c>
      <c r="J439">
        <v>120</v>
      </c>
      <c r="K439" t="s">
        <v>1398</v>
      </c>
      <c r="L439" s="50">
        <f>Table001__Page_15[[#This Row],[SATIŞ FİYATI]]-Table001__Page_15[[#This Row],[YUVARLAMA]]</f>
        <v>0</v>
      </c>
      <c r="M439">
        <v>120</v>
      </c>
      <c r="N439">
        <f>M439-Table001__Page_15[[#This Row],[YUVARLAMA]]</f>
        <v>0</v>
      </c>
    </row>
    <row r="440" spans="1:14" x14ac:dyDescent="0.25">
      <c r="A440" t="s">
        <v>177</v>
      </c>
      <c r="C440" t="s">
        <v>1391</v>
      </c>
      <c r="D440">
        <v>3</v>
      </c>
      <c r="F440">
        <v>64.993499999999997</v>
      </c>
      <c r="G440">
        <f>Table001__Page_15[[#This Row],[FİYAT]]*Table001__Page_15[[#This Row],[MİKTAR]]</f>
        <v>194.98050000000001</v>
      </c>
      <c r="H440">
        <v>3</v>
      </c>
      <c r="I440">
        <f>Table001__Page_15[[#This Row],[FİYAT]]*Table001__Page_15[[#This Row],[Sütun2]]</f>
        <v>194.98050000000001</v>
      </c>
      <c r="J440">
        <v>190</v>
      </c>
      <c r="K440" t="s">
        <v>1398</v>
      </c>
      <c r="L440" s="50">
        <f>Table001__Page_15[[#This Row],[SATIŞ FİYATI]]-Table001__Page_15[[#This Row],[YUVARLAMA]]</f>
        <v>4.9805000000000064</v>
      </c>
      <c r="M440">
        <v>190</v>
      </c>
      <c r="N440">
        <f>M440-Table001__Page_15[[#This Row],[YUVARLAMA]]</f>
        <v>0</v>
      </c>
    </row>
    <row r="441" spans="1:14" x14ac:dyDescent="0.25">
      <c r="A441" t="s">
        <v>177</v>
      </c>
      <c r="C441" t="s">
        <v>1392</v>
      </c>
      <c r="D441">
        <v>3</v>
      </c>
      <c r="F441">
        <v>39.783900000000003</v>
      </c>
      <c r="G441">
        <f>Table001__Page_15[[#This Row],[FİYAT]]*Table001__Page_15[[#This Row],[MİKTAR]]</f>
        <v>119.35170000000001</v>
      </c>
      <c r="H441">
        <v>3.28</v>
      </c>
      <c r="I441">
        <f>Table001__Page_15[[#This Row],[FİYAT]]*Table001__Page_15[[#This Row],[Sütun2]]</f>
        <v>130.49119200000001</v>
      </c>
      <c r="J441">
        <v>130</v>
      </c>
      <c r="K441" t="s">
        <v>1398</v>
      </c>
      <c r="L441" s="50">
        <f>Table001__Page_15[[#This Row],[SATIŞ FİYATI]]-Table001__Page_15[[#This Row],[YUVARLAMA]]</f>
        <v>0.49119200000001229</v>
      </c>
      <c r="M441">
        <v>130</v>
      </c>
      <c r="N441">
        <f>M441-Table001__Page_15[[#This Row],[YUVARLAMA]]</f>
        <v>0</v>
      </c>
    </row>
    <row r="442" spans="1:14" x14ac:dyDescent="0.25">
      <c r="A442" t="s">
        <v>177</v>
      </c>
      <c r="C442" t="s">
        <v>1393</v>
      </c>
      <c r="D442">
        <v>5</v>
      </c>
      <c r="F442">
        <v>64.900000000000006</v>
      </c>
      <c r="G442">
        <f>Table001__Page_15[[#This Row],[FİYAT]]*Table001__Page_15[[#This Row],[MİKTAR]]</f>
        <v>324.5</v>
      </c>
      <c r="H442">
        <v>2</v>
      </c>
      <c r="I442">
        <f>Table001__Page_15[[#This Row],[FİYAT]]*Table001__Page_15[[#This Row],[Sütun2]]</f>
        <v>129.80000000000001</v>
      </c>
      <c r="J442">
        <v>135</v>
      </c>
      <c r="K442" t="s">
        <v>1398</v>
      </c>
      <c r="L442" s="50">
        <f>Table001__Page_15[[#This Row],[SATIŞ FİYATI]]-Table001__Page_15[[#This Row],[YUVARLAMA]]</f>
        <v>-5.1999999999999886</v>
      </c>
      <c r="M442">
        <v>135</v>
      </c>
      <c r="N442">
        <f>M442-Table001__Page_15[[#This Row],[YUVARLAMA]]</f>
        <v>0</v>
      </c>
    </row>
    <row r="443" spans="1:14" x14ac:dyDescent="0.25">
      <c r="A443" t="s">
        <v>177</v>
      </c>
      <c r="C443" t="s">
        <v>1394</v>
      </c>
      <c r="D443">
        <v>5</v>
      </c>
      <c r="F443">
        <v>71.5</v>
      </c>
      <c r="G443">
        <f>Table001__Page_15[[#This Row],[FİYAT]]*Table001__Page_15[[#This Row],[MİKTAR]]</f>
        <v>357.5</v>
      </c>
      <c r="H443">
        <v>1.8</v>
      </c>
      <c r="I443">
        <f>Table001__Page_15[[#This Row],[FİYAT]]*Table001__Page_15[[#This Row],[Sütun2]]</f>
        <v>128.70000000000002</v>
      </c>
      <c r="J443">
        <v>135</v>
      </c>
      <c r="K443" t="s">
        <v>1398</v>
      </c>
      <c r="L443" s="50">
        <f>Table001__Page_15[[#This Row],[SATIŞ FİYATI]]-Table001__Page_15[[#This Row],[YUVARLAMA]]</f>
        <v>-6.2999999999999829</v>
      </c>
      <c r="M443">
        <v>135</v>
      </c>
      <c r="N443">
        <f>M443-Table001__Page_15[[#This Row],[YUVARLAMA]]</f>
        <v>0</v>
      </c>
    </row>
    <row r="444" spans="1:14" x14ac:dyDescent="0.25">
      <c r="A444" t="s">
        <v>177</v>
      </c>
      <c r="C444" t="s">
        <v>1395</v>
      </c>
      <c r="D444">
        <v>3</v>
      </c>
      <c r="F444">
        <v>78</v>
      </c>
      <c r="G444">
        <f>Table001__Page_15[[#This Row],[FİYAT]]*Table001__Page_15[[#This Row],[MİKTAR]]</f>
        <v>234</v>
      </c>
      <c r="H444">
        <v>1.8</v>
      </c>
      <c r="I444">
        <f>Table001__Page_15[[#This Row],[FİYAT]]*Table001__Page_15[[#This Row],[Sütun2]]</f>
        <v>140.4</v>
      </c>
      <c r="J444">
        <v>140</v>
      </c>
      <c r="K444" t="s">
        <v>1398</v>
      </c>
      <c r="L444" s="50">
        <f>Table001__Page_15[[#This Row],[SATIŞ FİYATI]]-Table001__Page_15[[#This Row],[YUVARLAMA]]</f>
        <v>0.40000000000000568</v>
      </c>
      <c r="M444">
        <v>140</v>
      </c>
      <c r="N444">
        <f>M444-Table001__Page_15[[#This Row],[YUVARLAMA]]</f>
        <v>0</v>
      </c>
    </row>
    <row r="445" spans="1:14" x14ac:dyDescent="0.25">
      <c r="A445" t="s">
        <v>177</v>
      </c>
      <c r="C445" t="s">
        <v>1396</v>
      </c>
      <c r="D445">
        <v>3</v>
      </c>
      <c r="F445">
        <v>51</v>
      </c>
      <c r="G445">
        <f>Table001__Page_15[[#This Row],[FİYAT]]*Table001__Page_15[[#This Row],[MİKTAR]]</f>
        <v>153</v>
      </c>
      <c r="H445">
        <v>2</v>
      </c>
      <c r="I445">
        <f>Table001__Page_15[[#This Row],[FİYAT]]*Table001__Page_15[[#This Row],[Sütun2]]</f>
        <v>102</v>
      </c>
      <c r="J445">
        <v>100</v>
      </c>
      <c r="K445" t="s">
        <v>1398</v>
      </c>
      <c r="L445" s="50">
        <f>Table001__Page_15[[#This Row],[SATIŞ FİYATI]]-Table001__Page_15[[#This Row],[YUVARLAMA]]</f>
        <v>2</v>
      </c>
      <c r="M445">
        <v>100</v>
      </c>
      <c r="N445">
        <f>M445-Table001__Page_15[[#This Row],[YUVARLAMA]]</f>
        <v>0</v>
      </c>
    </row>
    <row r="446" spans="1:14" x14ac:dyDescent="0.25">
      <c r="A446" t="s">
        <v>177</v>
      </c>
      <c r="C446" t="s">
        <v>1397</v>
      </c>
      <c r="D446">
        <v>5</v>
      </c>
      <c r="F446">
        <v>58.8</v>
      </c>
      <c r="G446">
        <f>Table001__Page_15[[#This Row],[FİYAT]]*Table001__Page_15[[#This Row],[MİKTAR]]</f>
        <v>294</v>
      </c>
      <c r="H446">
        <v>2</v>
      </c>
      <c r="I446">
        <f>Table001__Page_15[[#This Row],[FİYAT]]*Table001__Page_15[[#This Row],[Sütun2]]</f>
        <v>117.6</v>
      </c>
      <c r="J446">
        <v>120</v>
      </c>
      <c r="K446" t="s">
        <v>1398</v>
      </c>
      <c r="L446" s="50">
        <f>Table001__Page_15[[#This Row],[SATIŞ FİYATI]]-Table001__Page_15[[#This Row],[YUVARLAMA]]</f>
        <v>-2.4000000000000057</v>
      </c>
      <c r="M446">
        <v>120</v>
      </c>
      <c r="N446">
        <f>M446-Table001__Page_15[[#This Row],[YUVARLAMA]]</f>
        <v>0</v>
      </c>
    </row>
    <row r="447" spans="1:14" x14ac:dyDescent="0.25">
      <c r="A447" t="s">
        <v>174</v>
      </c>
      <c r="C447" t="s">
        <v>1499</v>
      </c>
      <c r="D447">
        <v>36</v>
      </c>
      <c r="E447" t="s">
        <v>144</v>
      </c>
      <c r="F447">
        <f>12846/36</f>
        <v>356.83333333333331</v>
      </c>
      <c r="G447">
        <f>Table001__Page_15[[#This Row],[FİYAT]]*Table001__Page_15[[#This Row],[MİKTAR]]</f>
        <v>12846</v>
      </c>
      <c r="H447">
        <v>1.55</v>
      </c>
      <c r="I447">
        <f>Table001__Page_15[[#This Row],[FİYAT]]*Table001__Page_15[[#This Row],[Sütun2]]</f>
        <v>553.0916666666667</v>
      </c>
      <c r="J447">
        <v>550</v>
      </c>
      <c r="K447" t="s">
        <v>3085</v>
      </c>
      <c r="L447" s="50">
        <f>Table001__Page_15[[#This Row],[SATIŞ FİYATI]]-Table001__Page_15[[#This Row],[YUVARLAMA]]</f>
        <v>3.091666666666697</v>
      </c>
      <c r="M447">
        <v>550</v>
      </c>
      <c r="N447">
        <f>M447-Table001__Page_15[[#This Row],[YUVARLAMA]]</f>
        <v>0</v>
      </c>
    </row>
    <row r="448" spans="1:14" x14ac:dyDescent="0.25">
      <c r="A448" t="s">
        <v>174</v>
      </c>
      <c r="C448" t="s">
        <v>1500</v>
      </c>
      <c r="D448">
        <v>48</v>
      </c>
      <c r="E448" t="s">
        <v>144</v>
      </c>
      <c r="F448">
        <f>8564/48</f>
        <v>178.41666666666666</v>
      </c>
      <c r="G448">
        <f>Table001__Page_15[[#This Row],[FİYAT]]*Table001__Page_15[[#This Row],[MİKTAR]]</f>
        <v>8564</v>
      </c>
      <c r="H448">
        <v>1.55</v>
      </c>
      <c r="I448">
        <f>Table001__Page_15[[#This Row],[FİYAT]]*Table001__Page_15[[#This Row],[Sütun2]]</f>
        <v>276.54583333333335</v>
      </c>
      <c r="J448">
        <v>275</v>
      </c>
      <c r="K448" t="s">
        <v>3085</v>
      </c>
      <c r="L448" s="50">
        <f>Table001__Page_15[[#This Row],[SATIŞ FİYATI]]-Table001__Page_15[[#This Row],[YUVARLAMA]]</f>
        <v>1.5458333333333485</v>
      </c>
      <c r="M448">
        <v>275</v>
      </c>
      <c r="N448">
        <f>M448-Table001__Page_15[[#This Row],[YUVARLAMA]]</f>
        <v>0</v>
      </c>
    </row>
    <row r="449" spans="1:14" x14ac:dyDescent="0.25">
      <c r="A449" t="s">
        <v>174</v>
      </c>
      <c r="C449" t="s">
        <v>1501</v>
      </c>
      <c r="D449">
        <v>99</v>
      </c>
      <c r="E449" t="s">
        <v>127</v>
      </c>
      <c r="F449">
        <f>42390/99</f>
        <v>428.18181818181819</v>
      </c>
      <c r="G449">
        <f>Table001__Page_15[[#This Row],[FİYAT]]*Table001__Page_15[[#This Row],[MİKTAR]]</f>
        <v>42390</v>
      </c>
      <c r="H449">
        <v>1.55</v>
      </c>
      <c r="I449">
        <f>Table001__Page_15[[#This Row],[FİYAT]]*Table001__Page_15[[#This Row],[Sütun2]]</f>
        <v>663.68181818181824</v>
      </c>
      <c r="J449">
        <v>700</v>
      </c>
      <c r="K449" t="s">
        <v>3085</v>
      </c>
      <c r="L449" s="50">
        <f>Table001__Page_15[[#This Row],[SATIŞ FİYATI]]-Table001__Page_15[[#This Row],[YUVARLAMA]]</f>
        <v>-36.318181818181756</v>
      </c>
      <c r="M449">
        <v>700</v>
      </c>
      <c r="N449">
        <f>M449-Table001__Page_15[[#This Row],[YUVARLAMA]]</f>
        <v>0</v>
      </c>
    </row>
    <row r="450" spans="1:14" x14ac:dyDescent="0.25">
      <c r="A450" t="s">
        <v>542</v>
      </c>
      <c r="C450" t="s">
        <v>2144</v>
      </c>
      <c r="D450">
        <v>5</v>
      </c>
      <c r="E450" t="s">
        <v>144</v>
      </c>
      <c r="F450">
        <v>200</v>
      </c>
      <c r="G450">
        <f>Table001__Page_15[[#This Row],[FİYAT]]*Table001__Page_15[[#This Row],[MİKTAR]]</f>
        <v>1000</v>
      </c>
      <c r="H450">
        <v>1.75</v>
      </c>
      <c r="I450">
        <f>Table001__Page_15[[#This Row],[FİYAT]]*Table001__Page_15[[#This Row],[Sütun2]]</f>
        <v>350</v>
      </c>
      <c r="J450">
        <v>350</v>
      </c>
      <c r="K450" t="s">
        <v>3086</v>
      </c>
      <c r="L450" s="50">
        <f>Table001__Page_15[[#This Row],[SATIŞ FİYATI]]-Table001__Page_15[[#This Row],[YUVARLAMA]]</f>
        <v>0</v>
      </c>
      <c r="M450">
        <v>350</v>
      </c>
      <c r="N450">
        <f>M450-Table001__Page_15[[#This Row],[YUVARLAMA]]</f>
        <v>0</v>
      </c>
    </row>
    <row r="451" spans="1:14" x14ac:dyDescent="0.25">
      <c r="A451" t="s">
        <v>2453</v>
      </c>
      <c r="C451" t="s">
        <v>2273</v>
      </c>
      <c r="D451">
        <v>16</v>
      </c>
      <c r="F451">
        <v>20</v>
      </c>
      <c r="G451">
        <f>Table001__Page_15[[#This Row],[FİYAT]]*Table001__Page_15[[#This Row],[MİKTAR]]</f>
        <v>320</v>
      </c>
      <c r="H451">
        <v>1.5</v>
      </c>
      <c r="I451">
        <f>Table001__Page_15[[#This Row],[FİYAT]]*Table001__Page_15[[#This Row],[Sütun2]]</f>
        <v>30</v>
      </c>
      <c r="J451">
        <v>30</v>
      </c>
      <c r="K451" t="s">
        <v>3087</v>
      </c>
      <c r="L451" s="50">
        <f>Table001__Page_15[[#This Row],[SATIŞ FİYATI]]-Table001__Page_15[[#This Row],[YUVARLAMA]]</f>
        <v>0</v>
      </c>
      <c r="M451">
        <v>30</v>
      </c>
      <c r="N451">
        <f>M451-Table001__Page_15[[#This Row],[YUVARLAMA]]</f>
        <v>0</v>
      </c>
    </row>
    <row r="452" spans="1:14" x14ac:dyDescent="0.25">
      <c r="A452" t="s">
        <v>2453</v>
      </c>
      <c r="C452" t="s">
        <v>2274</v>
      </c>
      <c r="D452">
        <v>4</v>
      </c>
      <c r="F452">
        <v>25</v>
      </c>
      <c r="G452">
        <f>Table001__Page_15[[#This Row],[FİYAT]]*Table001__Page_15[[#This Row],[MİKTAR]]</f>
        <v>100</v>
      </c>
      <c r="H452">
        <v>1.5</v>
      </c>
      <c r="I452">
        <f>Table001__Page_15[[#This Row],[FİYAT]]*Table001__Page_15[[#This Row],[Sütun2]]</f>
        <v>37.5</v>
      </c>
      <c r="J452">
        <v>35</v>
      </c>
      <c r="K452" t="s">
        <v>3087</v>
      </c>
      <c r="L452" s="50">
        <f>Table001__Page_15[[#This Row],[SATIŞ FİYATI]]-Table001__Page_15[[#This Row],[YUVARLAMA]]</f>
        <v>2.5</v>
      </c>
      <c r="M452">
        <v>35</v>
      </c>
      <c r="N452">
        <f>M452-Table001__Page_15[[#This Row],[YUVARLAMA]]</f>
        <v>0</v>
      </c>
    </row>
    <row r="453" spans="1:14" x14ac:dyDescent="0.25">
      <c r="A453" t="s">
        <v>2453</v>
      </c>
      <c r="C453" t="s">
        <v>2275</v>
      </c>
      <c r="D453">
        <v>12</v>
      </c>
      <c r="F453">
        <v>7.5</v>
      </c>
      <c r="G453">
        <f>Table001__Page_15[[#This Row],[FİYAT]]*Table001__Page_15[[#This Row],[MİKTAR]]</f>
        <v>90</v>
      </c>
      <c r="H453">
        <v>1.5</v>
      </c>
      <c r="I453">
        <f>Table001__Page_15[[#This Row],[FİYAT]]*Table001__Page_15[[#This Row],[Sütun2]]</f>
        <v>11.25</v>
      </c>
      <c r="J453">
        <v>15</v>
      </c>
      <c r="K453" t="s">
        <v>3087</v>
      </c>
      <c r="L453" s="50">
        <f>Table001__Page_15[[#This Row],[SATIŞ FİYATI]]-Table001__Page_15[[#This Row],[YUVARLAMA]]</f>
        <v>-3.75</v>
      </c>
      <c r="M453">
        <v>15</v>
      </c>
      <c r="N453">
        <f>M453-Table001__Page_15[[#This Row],[YUVARLAMA]]</f>
        <v>0</v>
      </c>
    </row>
    <row r="454" spans="1:14" x14ac:dyDescent="0.25">
      <c r="A454" t="s">
        <v>2453</v>
      </c>
      <c r="C454" t="s">
        <v>2276</v>
      </c>
      <c r="D454">
        <v>24</v>
      </c>
      <c r="F454">
        <v>3.75</v>
      </c>
      <c r="G454">
        <f>Table001__Page_15[[#This Row],[FİYAT]]*Table001__Page_15[[#This Row],[MİKTAR]]</f>
        <v>90</v>
      </c>
      <c r="H454">
        <v>1.5</v>
      </c>
      <c r="I454">
        <f>Table001__Page_15[[#This Row],[FİYAT]]*Table001__Page_15[[#This Row],[Sütun2]]</f>
        <v>5.625</v>
      </c>
      <c r="J454">
        <v>7</v>
      </c>
      <c r="K454" t="s">
        <v>3087</v>
      </c>
      <c r="L454" s="50">
        <f>Table001__Page_15[[#This Row],[SATIŞ FİYATI]]-Table001__Page_15[[#This Row],[YUVARLAMA]]</f>
        <v>-1.375</v>
      </c>
      <c r="M454">
        <v>7</v>
      </c>
      <c r="N454">
        <f>M454-Table001__Page_15[[#This Row],[YUVARLAMA]]</f>
        <v>0</v>
      </c>
    </row>
    <row r="455" spans="1:14" x14ac:dyDescent="0.25">
      <c r="A455" t="s">
        <v>542</v>
      </c>
      <c r="B455" t="s">
        <v>127</v>
      </c>
      <c r="C455" t="s">
        <v>3084</v>
      </c>
      <c r="D455">
        <v>1</v>
      </c>
      <c r="E455" t="s">
        <v>127</v>
      </c>
      <c r="F455">
        <v>130</v>
      </c>
      <c r="G455">
        <f>Table001__Page_15[[#This Row],[FİYAT]]*Table001__Page_15[[#This Row],[MİKTAR]]</f>
        <v>130</v>
      </c>
      <c r="H455">
        <v>4</v>
      </c>
      <c r="I455">
        <f>Table001__Page_15[[#This Row],[FİYAT]]*Table001__Page_15[[#This Row],[Sütun2]]</f>
        <v>520</v>
      </c>
      <c r="J455">
        <v>500</v>
      </c>
      <c r="K455" t="s">
        <v>176</v>
      </c>
      <c r="L455" s="50">
        <f>Table001__Page_15[[#This Row],[SATIŞ FİYATI]]-Table001__Page_15[[#This Row],[YUVARLAMA]]</f>
        <v>20</v>
      </c>
      <c r="M455">
        <v>500</v>
      </c>
      <c r="N455">
        <f>M455-Table001__Page_15[[#This Row],[YUVARLAMA]]</f>
        <v>0</v>
      </c>
    </row>
    <row r="456" spans="1:14" x14ac:dyDescent="0.25">
      <c r="C456" t="s">
        <v>3158</v>
      </c>
      <c r="F456">
        <v>105</v>
      </c>
      <c r="G456">
        <f>Table001__Page_15[[#This Row],[FİYAT]]*Table001__Page_15[[#This Row],[MİKTAR]]</f>
        <v>0</v>
      </c>
      <c r="H456">
        <v>2</v>
      </c>
      <c r="I456">
        <f>Table001__Page_15[[#This Row],[FİYAT]]*Table001__Page_15[[#This Row],[Sütun2]]</f>
        <v>210</v>
      </c>
      <c r="J456">
        <v>200</v>
      </c>
      <c r="K456" t="s">
        <v>8</v>
      </c>
      <c r="L456" s="50">
        <f>Table001__Page_15[[#This Row],[SATIŞ FİYATI]]-Table001__Page_15[[#This Row],[YUVARLAMA]]</f>
        <v>10</v>
      </c>
      <c r="M456">
        <v>200</v>
      </c>
      <c r="N456">
        <f>M456-Table001__Page_15[[#This Row],[YUVARLAMA]]</f>
        <v>0</v>
      </c>
    </row>
    <row r="457" spans="1:14" x14ac:dyDescent="0.25">
      <c r="C457" t="s">
        <v>3166</v>
      </c>
      <c r="F457">
        <v>1</v>
      </c>
      <c r="G457">
        <f>Table001__Page_15[[#This Row],[FİYAT]]*Table001__Page_15[[#This Row],[MİKTAR]]</f>
        <v>0</v>
      </c>
      <c r="I457">
        <f>Table001__Page_15[[#This Row],[FİYAT]]*Table001__Page_15[[#This Row],[Sütun2]]</f>
        <v>0</v>
      </c>
      <c r="J457">
        <v>200</v>
      </c>
      <c r="K457" t="s">
        <v>176</v>
      </c>
      <c r="L457" s="50">
        <f>Table001__Page_15[[#This Row],[SATIŞ FİYATI]]-Table001__Page_15[[#This Row],[YUVARLAMA]]</f>
        <v>-200</v>
      </c>
      <c r="M457">
        <v>200</v>
      </c>
      <c r="N457">
        <f>M457-Table001__Page_15[[#This Row],[YUVARLAMA]]</f>
        <v>0</v>
      </c>
    </row>
    <row r="458" spans="1:14" x14ac:dyDescent="0.25">
      <c r="C458" t="s">
        <v>3248</v>
      </c>
      <c r="F458">
        <v>110</v>
      </c>
      <c r="G458">
        <f>Table001__Page_15[[#This Row],[FİYAT]]*Table001__Page_15[[#This Row],[MİKTAR]]</f>
        <v>0</v>
      </c>
      <c r="H458">
        <v>1.55</v>
      </c>
      <c r="I458">
        <f>Table001__Page_15[[#This Row],[FİYAT]]*Table001__Page_15[[#This Row],[Sütun2]]</f>
        <v>170.5</v>
      </c>
      <c r="J458">
        <v>170</v>
      </c>
      <c r="K458" t="s">
        <v>515</v>
      </c>
      <c r="L458" s="50">
        <f>Table001__Page_15[[#This Row],[SATIŞ FİYATI]]-Table001__Page_15[[#This Row],[YUVARLAMA]]</f>
        <v>0.5</v>
      </c>
      <c r="M458">
        <v>170</v>
      </c>
      <c r="N458">
        <f>M458-Table001__Page_15[[#This Row],[YUVARLAMA]]</f>
        <v>0</v>
      </c>
    </row>
    <row r="459" spans="1:14" x14ac:dyDescent="0.25">
      <c r="C459" t="s">
        <v>3378</v>
      </c>
      <c r="F459">
        <v>0</v>
      </c>
      <c r="G459">
        <f>Table001__Page_15[[#This Row],[FİYAT]]*Table001__Page_15[[#This Row],[MİKTAR]]</f>
        <v>0</v>
      </c>
      <c r="I459">
        <v>100</v>
      </c>
      <c r="J459">
        <v>100</v>
      </c>
      <c r="L459" s="50">
        <f>Table001__Page_15[[#This Row],[SATIŞ FİYATI]]-Table001__Page_15[[#This Row],[YUVARLAMA]]</f>
        <v>0</v>
      </c>
      <c r="M459">
        <v>100</v>
      </c>
      <c r="N459">
        <f>M459-Table001__Page_15[[#This Row],[YUVARLAMA]]</f>
        <v>0</v>
      </c>
    </row>
    <row r="460" spans="1:14" x14ac:dyDescent="0.25">
      <c r="A460" t="s">
        <v>484</v>
      </c>
      <c r="B460" t="s">
        <v>538</v>
      </c>
      <c r="C460" t="s">
        <v>3381</v>
      </c>
      <c r="D460">
        <v>10</v>
      </c>
      <c r="E460" t="s">
        <v>127</v>
      </c>
      <c r="F460">
        <v>135</v>
      </c>
      <c r="G460">
        <f>Table001__Page_15[[#This Row],[FİYAT]]*Table001__Page_15[[#This Row],[MİKTAR]]</f>
        <v>1350</v>
      </c>
      <c r="H460">
        <v>1.8</v>
      </c>
      <c r="I460">
        <f>Table001__Page_15[[#This Row],[FİYAT]]*Table001__Page_15[[#This Row],[Sütun2]]</f>
        <v>243</v>
      </c>
      <c r="J460">
        <v>250</v>
      </c>
      <c r="L460" s="50">
        <f>Table001__Page_15[[#This Row],[SATIŞ FİYATI]]-Table001__Page_15[[#This Row],[YUVARLAMA]]</f>
        <v>-7</v>
      </c>
      <c r="M460">
        <v>250</v>
      </c>
      <c r="N460">
        <f>M460-Table001__Page_15[[#This Row],[YUVARLAMA]]</f>
        <v>0</v>
      </c>
    </row>
    <row r="461" spans="1:14" x14ac:dyDescent="0.25">
      <c r="A461" t="s">
        <v>484</v>
      </c>
      <c r="B461" t="s">
        <v>538</v>
      </c>
      <c r="C461" t="s">
        <v>3382</v>
      </c>
      <c r="D461">
        <v>5</v>
      </c>
      <c r="E461" t="s">
        <v>127</v>
      </c>
      <c r="F461">
        <v>130</v>
      </c>
      <c r="G461">
        <f>Table001__Page_15[[#This Row],[FİYAT]]*Table001__Page_15[[#This Row],[MİKTAR]]</f>
        <v>650</v>
      </c>
      <c r="H461">
        <v>1.8</v>
      </c>
      <c r="I461">
        <f>Table001__Page_15[[#This Row],[FİYAT]]*Table001__Page_15[[#This Row],[Sütun2]]</f>
        <v>234</v>
      </c>
      <c r="J461">
        <v>250</v>
      </c>
      <c r="L461" s="50">
        <f>Table001__Page_15[[#This Row],[SATIŞ FİYATI]]-Table001__Page_15[[#This Row],[YUVARLAMA]]</f>
        <v>-16</v>
      </c>
      <c r="M461">
        <v>250</v>
      </c>
      <c r="N461">
        <f>M461-Table001__Page_15[[#This Row],[YUVARLAMA]]</f>
        <v>0</v>
      </c>
    </row>
    <row r="462" spans="1:14" x14ac:dyDescent="0.25">
      <c r="A462" t="s">
        <v>125</v>
      </c>
      <c r="C462" t="s">
        <v>3865</v>
      </c>
      <c r="D462">
        <v>10</v>
      </c>
      <c r="E462" t="s">
        <v>127</v>
      </c>
      <c r="F462">
        <v>175</v>
      </c>
      <c r="G462">
        <f>Table001__Page_15[[#This Row],[FİYAT]]*Table001__Page_15[[#This Row],[MİKTAR]]</f>
        <v>1750</v>
      </c>
      <c r="H462">
        <v>2</v>
      </c>
      <c r="I462">
        <f>Table001__Page_15[[#This Row],[FİYAT]]*Table001__Page_15[[#This Row],[Sütun2]]</f>
        <v>350</v>
      </c>
      <c r="J462">
        <v>350</v>
      </c>
      <c r="K462" t="s">
        <v>3866</v>
      </c>
      <c r="L462" s="50">
        <f>Table001__Page_15[[#This Row],[SATIŞ FİYATI]]-Table001__Page_15[[#This Row],[YUVARLAMA]]</f>
        <v>0</v>
      </c>
      <c r="M462">
        <v>350</v>
      </c>
      <c r="N462">
        <f>M462-Table001__Page_15[[#This Row],[YUVARLAMA]]</f>
        <v>0</v>
      </c>
    </row>
    <row r="463" spans="1:14" x14ac:dyDescent="0.25">
      <c r="A463" t="s">
        <v>484</v>
      </c>
      <c r="C463" t="s">
        <v>3889</v>
      </c>
      <c r="D463">
        <v>30</v>
      </c>
      <c r="E463" t="s">
        <v>127</v>
      </c>
      <c r="F463">
        <v>550</v>
      </c>
      <c r="G463">
        <f>Table001__Page_15[[#This Row],[FİYAT]]*Table001__Page_15[[#This Row],[MİKTAR]]</f>
        <v>16500</v>
      </c>
      <c r="H463">
        <v>1.1819999999999999</v>
      </c>
      <c r="I463">
        <f>Table001__Page_15[[#This Row],[FİYAT]]*Table001__Page_15[[#This Row],[Sütun2]]</f>
        <v>650.1</v>
      </c>
      <c r="J463">
        <v>650</v>
      </c>
      <c r="K463" t="s">
        <v>2566</v>
      </c>
      <c r="L463" s="50">
        <f>Table001__Page_15[[#This Row],[SATIŞ FİYATI]]-Table001__Page_15[[#This Row],[YUVARLAMA]]</f>
        <v>0.10000000000002274</v>
      </c>
    </row>
    <row r="464" spans="1:14" x14ac:dyDescent="0.25">
      <c r="G464">
        <f>Table001__Page_15[[#This Row],[FİYAT]]*Table001__Page_15[[#This Row],[MİKTAR]]</f>
        <v>0</v>
      </c>
      <c r="I464">
        <f>Table001__Page_15[[#This Row],[FİYAT]]*Table001__Page_15[[#This Row],[Sütun2]]</f>
        <v>0</v>
      </c>
      <c r="L464" s="50">
        <f>Table001__Page_15[[#This Row],[SATIŞ FİYATI]]-Table001__Page_15[[#This Row],[YUVARLAMA]]</f>
        <v>0</v>
      </c>
    </row>
    <row r="465" spans="7:12" x14ac:dyDescent="0.25">
      <c r="G465">
        <f>Table001__Page_15[[#This Row],[FİYAT]]*Table001__Page_15[[#This Row],[MİKTAR]]</f>
        <v>0</v>
      </c>
      <c r="I465">
        <f>Table001__Page_15[[#This Row],[FİYAT]]*Table001__Page_15[[#This Row],[Sütun2]]</f>
        <v>0</v>
      </c>
      <c r="L465" s="50">
        <f>Table001__Page_15[[#This Row],[SATIŞ FİYATI]]-Table001__Page_15[[#This Row],[YUVARLAMA]]</f>
        <v>0</v>
      </c>
    </row>
    <row r="466" spans="7:12" x14ac:dyDescent="0.25">
      <c r="G466">
        <f>Table001__Page_15[[#This Row],[FİYAT]]*Table001__Page_15[[#This Row],[MİKTAR]]</f>
        <v>0</v>
      </c>
      <c r="I466">
        <f>Table001__Page_15[[#This Row],[FİYAT]]*Table001__Page_15[[#This Row],[Sütun2]]</f>
        <v>0</v>
      </c>
      <c r="L466" s="50">
        <f>Table001__Page_15[[#This Row],[SATIŞ FİYATI]]-Table001__Page_15[[#This Row],[YUVARLAMA]]</f>
        <v>0</v>
      </c>
    </row>
    <row r="467" spans="7:12" x14ac:dyDescent="0.25">
      <c r="G467">
        <f>Table001__Page_15[[#This Row],[FİYAT]]*Table001__Page_15[[#This Row],[MİKTAR]]</f>
        <v>0</v>
      </c>
      <c r="I467">
        <f>Table001__Page_15[[#This Row],[FİYAT]]*Table001__Page_15[[#This Row],[Sütun2]]</f>
        <v>0</v>
      </c>
      <c r="L467" s="50">
        <f>Table001__Page_15[[#This Row],[SATIŞ FİYATI]]-Table001__Page_15[[#This Row],[YUVARLAMA]]</f>
        <v>0</v>
      </c>
    </row>
    <row r="468" spans="7:12" x14ac:dyDescent="0.25">
      <c r="G468">
        <f>Table001__Page_15[[#This Row],[FİYAT]]*Table001__Page_15[[#This Row],[MİKTAR]]</f>
        <v>0</v>
      </c>
      <c r="I468">
        <f>Table001__Page_15[[#This Row],[FİYAT]]*Table001__Page_15[[#This Row],[Sütun2]]</f>
        <v>0</v>
      </c>
      <c r="L468" s="50">
        <f>Table001__Page_15[[#This Row],[SATIŞ FİYATI]]-Table001__Page_15[[#This Row],[YUVARLAMA]]</f>
        <v>0</v>
      </c>
    </row>
    <row r="469" spans="7:12" x14ac:dyDescent="0.25">
      <c r="G469">
        <f>Table001__Page_15[[#This Row],[FİYAT]]*Table001__Page_15[[#This Row],[MİKTAR]]</f>
        <v>0</v>
      </c>
      <c r="I469">
        <f>Table001__Page_15[[#This Row],[FİYAT]]*Table001__Page_15[[#This Row],[Sütun2]]</f>
        <v>0</v>
      </c>
      <c r="L469" s="50">
        <f>Table001__Page_15[[#This Row],[SATIŞ FİYATI]]-Table001__Page_15[[#This Row],[YUVARLAMA]]</f>
        <v>0</v>
      </c>
    </row>
    <row r="470" spans="7:12" x14ac:dyDescent="0.25">
      <c r="G470">
        <f>Table001__Page_15[[#This Row],[FİYAT]]*Table001__Page_15[[#This Row],[MİKTAR]]</f>
        <v>0</v>
      </c>
      <c r="I470">
        <f>Table001__Page_15[[#This Row],[FİYAT]]*Table001__Page_15[[#This Row],[Sütun2]]</f>
        <v>0</v>
      </c>
      <c r="L470" s="50">
        <f>Table001__Page_15[[#This Row],[SATIŞ FİYATI]]-Table001__Page_15[[#This Row],[YUVARLAMA]]</f>
        <v>0</v>
      </c>
    </row>
    <row r="471" spans="7:12" x14ac:dyDescent="0.25">
      <c r="G471">
        <f>Table001__Page_15[[#This Row],[FİYAT]]*Table001__Page_15[[#This Row],[MİKTAR]]</f>
        <v>0</v>
      </c>
      <c r="I471">
        <f>Table001__Page_15[[#This Row],[FİYAT]]*Table001__Page_15[[#This Row],[Sütun2]]</f>
        <v>0</v>
      </c>
      <c r="L471" s="50">
        <f>Table001__Page_15[[#This Row],[SATIŞ FİYATI]]-Table001__Page_15[[#This Row],[YUVARLAMA]]</f>
        <v>0</v>
      </c>
    </row>
    <row r="472" spans="7:12" x14ac:dyDescent="0.25">
      <c r="G472">
        <f>Table001__Page_15[[#This Row],[FİYAT]]*Table001__Page_15[[#This Row],[MİKTAR]]</f>
        <v>0</v>
      </c>
      <c r="I472">
        <f>Table001__Page_15[[#This Row],[FİYAT]]*Table001__Page_15[[#This Row],[Sütun2]]</f>
        <v>0</v>
      </c>
      <c r="L472" s="50">
        <f>Table001__Page_15[[#This Row],[SATIŞ FİYATI]]-Table001__Page_15[[#This Row],[YUVARLAMA]]</f>
        <v>0</v>
      </c>
    </row>
    <row r="473" spans="7:12" x14ac:dyDescent="0.25">
      <c r="G473">
        <f>Table001__Page_15[[#This Row],[FİYAT]]*Table001__Page_15[[#This Row],[MİKTAR]]</f>
        <v>0</v>
      </c>
      <c r="I473">
        <f>Table001__Page_15[[#This Row],[FİYAT]]*Table001__Page_15[[#This Row],[Sütun2]]</f>
        <v>0</v>
      </c>
      <c r="L473" s="50">
        <f>Table001__Page_15[[#This Row],[SATIŞ FİYATI]]-Table001__Page_15[[#This Row],[YUVARLAMA]]</f>
        <v>0</v>
      </c>
    </row>
    <row r="474" spans="7:12" x14ac:dyDescent="0.25">
      <c r="G474">
        <f>Table001__Page_15[[#This Row],[FİYAT]]*Table001__Page_15[[#This Row],[MİKTAR]]</f>
        <v>0</v>
      </c>
      <c r="I474">
        <f>Table001__Page_15[[#This Row],[FİYAT]]*Table001__Page_15[[#This Row],[Sütun2]]</f>
        <v>0</v>
      </c>
      <c r="L474" s="50">
        <f>Table001__Page_15[[#This Row],[SATIŞ FİYATI]]-Table001__Page_15[[#This Row],[YUVARLAMA]]</f>
        <v>0</v>
      </c>
    </row>
    <row r="475" spans="7:12" x14ac:dyDescent="0.25">
      <c r="G475">
        <f>Table001__Page_15[[#This Row],[FİYAT]]*Table001__Page_15[[#This Row],[MİKTAR]]</f>
        <v>0</v>
      </c>
      <c r="I475">
        <f>Table001__Page_15[[#This Row],[FİYAT]]*Table001__Page_15[[#This Row],[Sütun2]]</f>
        <v>0</v>
      </c>
      <c r="L475" s="50">
        <f>Table001__Page_15[[#This Row],[SATIŞ FİYATI]]-Table001__Page_15[[#This Row],[YUVARLAMA]]</f>
        <v>0</v>
      </c>
    </row>
    <row r="476" spans="7:12" x14ac:dyDescent="0.25">
      <c r="G476">
        <f>Table001__Page_15[[#This Row],[FİYAT]]*Table001__Page_15[[#This Row],[MİKTAR]]</f>
        <v>0</v>
      </c>
      <c r="I476">
        <f>Table001__Page_15[[#This Row],[FİYAT]]*Table001__Page_15[[#This Row],[Sütun2]]</f>
        <v>0</v>
      </c>
      <c r="L476" s="50">
        <f>Table001__Page_15[[#This Row],[SATIŞ FİYATI]]-Table001__Page_15[[#This Row],[YUVARLAMA]]</f>
        <v>0</v>
      </c>
    </row>
    <row r="477" spans="7:12" x14ac:dyDescent="0.25">
      <c r="G477">
        <f>Table001__Page_15[[#This Row],[FİYAT]]*Table001__Page_15[[#This Row],[MİKTAR]]</f>
        <v>0</v>
      </c>
      <c r="I477">
        <f>Table001__Page_15[[#This Row],[FİYAT]]*Table001__Page_15[[#This Row],[Sütun2]]</f>
        <v>0</v>
      </c>
      <c r="L477" s="50">
        <f>Table001__Page_15[[#This Row],[SATIŞ FİYATI]]-Table001__Page_15[[#This Row],[YUVARLAMA]]</f>
        <v>0</v>
      </c>
    </row>
    <row r="478" spans="7:12" x14ac:dyDescent="0.25">
      <c r="G478">
        <f>Table001__Page_15[[#This Row],[FİYAT]]*Table001__Page_15[[#This Row],[MİKTAR]]</f>
        <v>0</v>
      </c>
      <c r="I478">
        <f>Table001__Page_15[[#This Row],[FİYAT]]*Table001__Page_15[[#This Row],[Sütun2]]</f>
        <v>0</v>
      </c>
      <c r="L478" s="50">
        <f>Table001__Page_15[[#This Row],[SATIŞ FİYATI]]-Table001__Page_15[[#This Row],[YUVARLAMA]]</f>
        <v>0</v>
      </c>
    </row>
    <row r="479" spans="7:12" x14ac:dyDescent="0.25">
      <c r="G479">
        <f>Table001__Page_15[[#This Row],[FİYAT]]*Table001__Page_15[[#This Row],[MİKTAR]]</f>
        <v>0</v>
      </c>
      <c r="I479">
        <f>Table001__Page_15[[#This Row],[FİYAT]]*Table001__Page_15[[#This Row],[Sütun2]]</f>
        <v>0</v>
      </c>
      <c r="L479" s="50">
        <f>Table001__Page_15[[#This Row],[SATIŞ FİYATI]]-Table001__Page_15[[#This Row],[YUVARLAMA]]</f>
        <v>0</v>
      </c>
    </row>
    <row r="480" spans="7:12" x14ac:dyDescent="0.25">
      <c r="G480">
        <f>Table001__Page_15[[#This Row],[FİYAT]]*Table001__Page_15[[#This Row],[MİKTAR]]</f>
        <v>0</v>
      </c>
      <c r="I480">
        <f>Table001__Page_15[[#This Row],[FİYAT]]*Table001__Page_15[[#This Row],[Sütun2]]</f>
        <v>0</v>
      </c>
      <c r="L480" s="50">
        <f>Table001__Page_15[[#This Row],[SATIŞ FİYATI]]-Table001__Page_15[[#This Row],[YUVARLAMA]]</f>
        <v>0</v>
      </c>
    </row>
    <row r="481" spans="7:12" x14ac:dyDescent="0.25">
      <c r="G481">
        <f>Table001__Page_15[[#This Row],[FİYAT]]*Table001__Page_15[[#This Row],[MİKTAR]]</f>
        <v>0</v>
      </c>
      <c r="I481">
        <f>Table001__Page_15[[#This Row],[FİYAT]]*Table001__Page_15[[#This Row],[Sütun2]]</f>
        <v>0</v>
      </c>
      <c r="L481" s="50">
        <f>Table001__Page_15[[#This Row],[SATIŞ FİYATI]]-Table001__Page_15[[#This Row],[YUVARLAMA]]</f>
        <v>0</v>
      </c>
    </row>
    <row r="482" spans="7:12" x14ac:dyDescent="0.25">
      <c r="G482">
        <f>Table001__Page_15[[#This Row],[FİYAT]]*Table001__Page_15[[#This Row],[MİKTAR]]</f>
        <v>0</v>
      </c>
      <c r="I482">
        <f>Table001__Page_15[[#This Row],[FİYAT]]*Table001__Page_15[[#This Row],[Sütun2]]</f>
        <v>0</v>
      </c>
      <c r="L482" s="50">
        <f>Table001__Page_15[[#This Row],[SATIŞ FİYATI]]-Table001__Page_15[[#This Row],[YUVARLAMA]]</f>
        <v>0</v>
      </c>
    </row>
    <row r="483" spans="7:12" x14ac:dyDescent="0.25">
      <c r="G483">
        <f>Table001__Page_15[[#This Row],[FİYAT]]*Table001__Page_15[[#This Row],[MİKTAR]]</f>
        <v>0</v>
      </c>
      <c r="I483">
        <f>Table001__Page_15[[#This Row],[FİYAT]]*Table001__Page_15[[#This Row],[Sütun2]]</f>
        <v>0</v>
      </c>
      <c r="L483" s="50">
        <f>Table001__Page_15[[#This Row],[SATIŞ FİYATI]]-Table001__Page_15[[#This Row],[YUVARLAMA]]</f>
        <v>0</v>
      </c>
    </row>
    <row r="484" spans="7:12" x14ac:dyDescent="0.25">
      <c r="G484">
        <f>Table001__Page_15[[#This Row],[FİYAT]]*Table001__Page_15[[#This Row],[MİKTAR]]</f>
        <v>0</v>
      </c>
      <c r="I484">
        <f>Table001__Page_15[[#This Row],[FİYAT]]*Table001__Page_15[[#This Row],[Sütun2]]</f>
        <v>0</v>
      </c>
      <c r="L484" s="50">
        <f>Table001__Page_15[[#This Row],[SATIŞ FİYATI]]-Table001__Page_15[[#This Row],[YUVARLAMA]]</f>
        <v>0</v>
      </c>
    </row>
    <row r="485" spans="7:12" x14ac:dyDescent="0.25">
      <c r="G485">
        <f>Table001__Page_15[[#This Row],[FİYAT]]*Table001__Page_15[[#This Row],[MİKTAR]]</f>
        <v>0</v>
      </c>
      <c r="I485">
        <f>Table001__Page_15[[#This Row],[FİYAT]]*Table001__Page_15[[#This Row],[Sütun2]]</f>
        <v>0</v>
      </c>
      <c r="L485" s="50">
        <f>Table001__Page_15[[#This Row],[SATIŞ FİYATI]]-Table001__Page_15[[#This Row],[YUVARLAMA]]</f>
        <v>0</v>
      </c>
    </row>
    <row r="486" spans="7:12" x14ac:dyDescent="0.25">
      <c r="G486">
        <f>Table001__Page_15[[#This Row],[FİYAT]]*Table001__Page_15[[#This Row],[MİKTAR]]</f>
        <v>0</v>
      </c>
      <c r="I486">
        <f>Table001__Page_15[[#This Row],[FİYAT]]*Table001__Page_15[[#This Row],[Sütun2]]</f>
        <v>0</v>
      </c>
      <c r="L486" s="50">
        <f>Table001__Page_15[[#This Row],[SATIŞ FİYATI]]-Table001__Page_15[[#This Row],[YUVARLAMA]]</f>
        <v>0</v>
      </c>
    </row>
    <row r="487" spans="7:12" x14ac:dyDescent="0.25">
      <c r="G487">
        <f>Table001__Page_15[[#This Row],[FİYAT]]*Table001__Page_15[[#This Row],[MİKTAR]]</f>
        <v>0</v>
      </c>
      <c r="I487">
        <f>Table001__Page_15[[#This Row],[FİYAT]]*Table001__Page_15[[#This Row],[Sütun2]]</f>
        <v>0</v>
      </c>
      <c r="L487" s="50">
        <f>Table001__Page_15[[#This Row],[SATIŞ FİYATI]]-Table001__Page_15[[#This Row],[YUVARLAMA]]</f>
        <v>0</v>
      </c>
    </row>
    <row r="488" spans="7:12" x14ac:dyDescent="0.25">
      <c r="G488">
        <f>Table001__Page_15[[#This Row],[FİYAT]]*Table001__Page_15[[#This Row],[MİKTAR]]</f>
        <v>0</v>
      </c>
      <c r="I488">
        <f>Table001__Page_15[[#This Row],[FİYAT]]*Table001__Page_15[[#This Row],[Sütun2]]</f>
        <v>0</v>
      </c>
      <c r="L488" s="50">
        <f>Table001__Page_15[[#This Row],[SATIŞ FİYATI]]-Table001__Page_15[[#This Row],[YUVARLAMA]]</f>
        <v>0</v>
      </c>
    </row>
    <row r="489" spans="7:12" x14ac:dyDescent="0.25">
      <c r="G489">
        <f>Table001__Page_15[[#This Row],[FİYAT]]*Table001__Page_15[[#This Row],[MİKTAR]]</f>
        <v>0</v>
      </c>
      <c r="I489">
        <f>Table001__Page_15[[#This Row],[FİYAT]]*Table001__Page_15[[#This Row],[Sütun2]]</f>
        <v>0</v>
      </c>
      <c r="L489" s="50">
        <f>Table001__Page_15[[#This Row],[SATIŞ FİYATI]]-Table001__Page_15[[#This Row],[YUVARLAMA]]</f>
        <v>0</v>
      </c>
    </row>
    <row r="490" spans="7:12" x14ac:dyDescent="0.25">
      <c r="G490">
        <f>Table001__Page_15[[#This Row],[FİYAT]]*Table001__Page_15[[#This Row],[MİKTAR]]</f>
        <v>0</v>
      </c>
      <c r="I490">
        <f>Table001__Page_15[[#This Row],[FİYAT]]*Table001__Page_15[[#This Row],[Sütun2]]</f>
        <v>0</v>
      </c>
      <c r="L490" s="50">
        <f>Table001__Page_15[[#This Row],[SATIŞ FİYATI]]-Table001__Page_15[[#This Row],[YUVARLAMA]]</f>
        <v>0</v>
      </c>
    </row>
    <row r="491" spans="7:12" x14ac:dyDescent="0.25">
      <c r="G491">
        <f>Table001__Page_15[[#This Row],[FİYAT]]*Table001__Page_15[[#This Row],[MİKTAR]]</f>
        <v>0</v>
      </c>
      <c r="I491">
        <f>Table001__Page_15[[#This Row],[FİYAT]]*Table001__Page_15[[#This Row],[Sütun2]]</f>
        <v>0</v>
      </c>
      <c r="L491" s="50">
        <f>Table001__Page_15[[#This Row],[SATIŞ FİYATI]]-Table001__Page_15[[#This Row],[YUVARLAMA]]</f>
        <v>0</v>
      </c>
    </row>
    <row r="492" spans="7:12" x14ac:dyDescent="0.25">
      <c r="G492">
        <f>Table001__Page_15[[#This Row],[FİYAT]]*Table001__Page_15[[#This Row],[MİKTAR]]</f>
        <v>0</v>
      </c>
      <c r="I492">
        <f>Table001__Page_15[[#This Row],[FİYAT]]*Table001__Page_15[[#This Row],[Sütun2]]</f>
        <v>0</v>
      </c>
      <c r="L492" s="50">
        <f>Table001__Page_15[[#This Row],[SATIŞ FİYATI]]-Table001__Page_15[[#This Row],[YUVARLAMA]]</f>
        <v>0</v>
      </c>
    </row>
    <row r="493" spans="7:12" x14ac:dyDescent="0.25">
      <c r="G493">
        <f>Table001__Page_15[[#This Row],[FİYAT]]*Table001__Page_15[[#This Row],[MİKTAR]]</f>
        <v>0</v>
      </c>
      <c r="I493">
        <f>Table001__Page_15[[#This Row],[FİYAT]]*Table001__Page_15[[#This Row],[Sütun2]]</f>
        <v>0</v>
      </c>
      <c r="L493" s="50">
        <f>Table001__Page_15[[#This Row],[SATIŞ FİYATI]]-Table001__Page_15[[#This Row],[YUVARLAMA]]</f>
        <v>0</v>
      </c>
    </row>
    <row r="494" spans="7:12" x14ac:dyDescent="0.25">
      <c r="G494">
        <f>Table001__Page_15[[#This Row],[FİYAT]]*Table001__Page_15[[#This Row],[MİKTAR]]</f>
        <v>0</v>
      </c>
      <c r="I494">
        <f>Table001__Page_15[[#This Row],[FİYAT]]*Table001__Page_15[[#This Row],[Sütun2]]</f>
        <v>0</v>
      </c>
      <c r="L494" s="50">
        <f>Table001__Page_15[[#This Row],[SATIŞ FİYATI]]-Table001__Page_15[[#This Row],[YUVARLAMA]]</f>
        <v>0</v>
      </c>
    </row>
    <row r="495" spans="7:12" x14ac:dyDescent="0.25">
      <c r="G495">
        <f>Table001__Page_15[[#This Row],[FİYAT]]*Table001__Page_15[[#This Row],[MİKTAR]]</f>
        <v>0</v>
      </c>
      <c r="I495">
        <f>Table001__Page_15[[#This Row],[FİYAT]]*Table001__Page_15[[#This Row],[Sütun2]]</f>
        <v>0</v>
      </c>
      <c r="L495" s="50">
        <f>Table001__Page_15[[#This Row],[SATIŞ FİYATI]]-Table001__Page_15[[#This Row],[YUVARLAMA]]</f>
        <v>0</v>
      </c>
    </row>
    <row r="496" spans="7:12" x14ac:dyDescent="0.25">
      <c r="G496">
        <f>Table001__Page_15[[#This Row],[FİYAT]]*Table001__Page_15[[#This Row],[MİKTAR]]</f>
        <v>0</v>
      </c>
      <c r="I496">
        <f>Table001__Page_15[[#This Row],[FİYAT]]*Table001__Page_15[[#This Row],[Sütun2]]</f>
        <v>0</v>
      </c>
      <c r="L496" s="50">
        <f>Table001__Page_15[[#This Row],[SATIŞ FİYATI]]-Table001__Page_15[[#This Row],[YUVARLAMA]]</f>
        <v>0</v>
      </c>
    </row>
    <row r="497" spans="7:12" x14ac:dyDescent="0.25">
      <c r="G497">
        <f>Table001__Page_15[[#This Row],[FİYAT]]*Table001__Page_15[[#This Row],[MİKTAR]]</f>
        <v>0</v>
      </c>
      <c r="I497">
        <f>Table001__Page_15[[#This Row],[FİYAT]]*Table001__Page_15[[#This Row],[Sütun2]]</f>
        <v>0</v>
      </c>
      <c r="L497" s="50">
        <f>Table001__Page_15[[#This Row],[SATIŞ FİYATI]]-Table001__Page_15[[#This Row],[YUVARLAMA]]</f>
        <v>0</v>
      </c>
    </row>
    <row r="498" spans="7:12" x14ac:dyDescent="0.25">
      <c r="G498">
        <f>Table001__Page_15[[#This Row],[FİYAT]]*Table001__Page_15[[#This Row],[MİKTAR]]</f>
        <v>0</v>
      </c>
      <c r="I498">
        <f>Table001__Page_15[[#This Row],[FİYAT]]*Table001__Page_15[[#This Row],[Sütun2]]</f>
        <v>0</v>
      </c>
      <c r="L498" s="50">
        <f>Table001__Page_15[[#This Row],[SATIŞ FİYATI]]-Table001__Page_15[[#This Row],[YUVARLAMA]]</f>
        <v>0</v>
      </c>
    </row>
    <row r="499" spans="7:12" x14ac:dyDescent="0.25">
      <c r="G499">
        <f>Table001__Page_15[[#This Row],[FİYAT]]*Table001__Page_15[[#This Row],[MİKTAR]]</f>
        <v>0</v>
      </c>
      <c r="I499">
        <f>Table001__Page_15[[#This Row],[FİYAT]]*Table001__Page_15[[#This Row],[Sütun2]]</f>
        <v>0</v>
      </c>
      <c r="L499" s="50">
        <f>Table001__Page_15[[#This Row],[SATIŞ FİYATI]]-Table001__Page_15[[#This Row],[YUVARLAMA]]</f>
        <v>0</v>
      </c>
    </row>
    <row r="500" spans="7:12" x14ac:dyDescent="0.25">
      <c r="G500">
        <f>Table001__Page_15[[#This Row],[FİYAT]]*Table001__Page_15[[#This Row],[MİKTAR]]</f>
        <v>0</v>
      </c>
      <c r="I500">
        <f>Table001__Page_15[[#This Row],[FİYAT]]*Table001__Page_15[[#This Row],[Sütun2]]</f>
        <v>0</v>
      </c>
      <c r="L500" s="50">
        <f>Table001__Page_15[[#This Row],[SATIŞ FİYATI]]-Table001__Page_15[[#This Row],[YUVARLAMA]]</f>
        <v>0</v>
      </c>
    </row>
    <row r="501" spans="7:12" x14ac:dyDescent="0.25">
      <c r="G501">
        <f>Table001__Page_15[[#This Row],[FİYAT]]*Table001__Page_15[[#This Row],[MİKTAR]]</f>
        <v>0</v>
      </c>
      <c r="I501">
        <f>Table001__Page_15[[#This Row],[FİYAT]]*Table001__Page_15[[#This Row],[Sütun2]]</f>
        <v>0</v>
      </c>
      <c r="L501" s="50">
        <f>Table001__Page_15[[#This Row],[SATIŞ FİYATI]]-Table001__Page_15[[#This Row],[YUVARLAMA]]</f>
        <v>0</v>
      </c>
    </row>
    <row r="502" spans="7:12" x14ac:dyDescent="0.25">
      <c r="G502">
        <f>Table001__Page_15[[#This Row],[FİYAT]]*Table001__Page_15[[#This Row],[MİKTAR]]</f>
        <v>0</v>
      </c>
      <c r="I502">
        <f>Table001__Page_15[[#This Row],[FİYAT]]*Table001__Page_15[[#This Row],[Sütun2]]</f>
        <v>0</v>
      </c>
      <c r="L502" s="50">
        <f>Table001__Page_15[[#This Row],[SATIŞ FİYATI]]-Table001__Page_15[[#This Row],[YUVARLAMA]]</f>
        <v>0</v>
      </c>
    </row>
    <row r="503" spans="7:12" x14ac:dyDescent="0.25">
      <c r="G503">
        <f>Table001__Page_15[[#This Row],[FİYAT]]*Table001__Page_15[[#This Row],[MİKTAR]]</f>
        <v>0</v>
      </c>
      <c r="I503">
        <f>Table001__Page_15[[#This Row],[FİYAT]]*Table001__Page_15[[#This Row],[Sütun2]]</f>
        <v>0</v>
      </c>
      <c r="L503" s="50">
        <f>Table001__Page_15[[#This Row],[SATIŞ FİYATI]]-Table001__Page_15[[#This Row],[YUVARLAMA]]</f>
        <v>0</v>
      </c>
    </row>
    <row r="504" spans="7:12" x14ac:dyDescent="0.25">
      <c r="G504">
        <f>Table001__Page_15[[#This Row],[FİYAT]]*Table001__Page_15[[#This Row],[MİKTAR]]</f>
        <v>0</v>
      </c>
      <c r="I504">
        <f>Table001__Page_15[[#This Row],[FİYAT]]*Table001__Page_15[[#This Row],[Sütun2]]</f>
        <v>0</v>
      </c>
      <c r="L504" s="50">
        <f>Table001__Page_15[[#This Row],[SATIŞ FİYATI]]-Table001__Page_15[[#This Row],[YUVARLAMA]]</f>
        <v>0</v>
      </c>
    </row>
    <row r="505" spans="7:12" x14ac:dyDescent="0.25">
      <c r="G505">
        <f>Table001__Page_15[[#This Row],[FİYAT]]*Table001__Page_15[[#This Row],[MİKTAR]]</f>
        <v>0</v>
      </c>
      <c r="I505">
        <f>Table001__Page_15[[#This Row],[FİYAT]]*Table001__Page_15[[#This Row],[Sütun2]]</f>
        <v>0</v>
      </c>
      <c r="L505" s="50">
        <f>Table001__Page_15[[#This Row],[SATIŞ FİYATI]]-Table001__Page_15[[#This Row],[YUVARLAMA]]</f>
        <v>0</v>
      </c>
    </row>
    <row r="506" spans="7:12" x14ac:dyDescent="0.25">
      <c r="G506">
        <f>Table001__Page_15[[#This Row],[FİYAT]]*Table001__Page_15[[#This Row],[MİKTAR]]</f>
        <v>0</v>
      </c>
      <c r="I506">
        <f>Table001__Page_15[[#This Row],[FİYAT]]*Table001__Page_15[[#This Row],[Sütun2]]</f>
        <v>0</v>
      </c>
      <c r="L506" s="50">
        <f>Table001__Page_15[[#This Row],[SATIŞ FİYATI]]-Table001__Page_15[[#This Row],[YUVARLAMA]]</f>
        <v>0</v>
      </c>
    </row>
    <row r="507" spans="7:12" x14ac:dyDescent="0.25">
      <c r="G507">
        <f>Table001__Page_15[[#This Row],[FİYAT]]*Table001__Page_15[[#This Row],[MİKTAR]]</f>
        <v>0</v>
      </c>
      <c r="I507">
        <f>Table001__Page_15[[#This Row],[FİYAT]]*Table001__Page_15[[#This Row],[Sütun2]]</f>
        <v>0</v>
      </c>
      <c r="L507" s="50">
        <f>Table001__Page_15[[#This Row],[SATIŞ FİYATI]]-Table001__Page_15[[#This Row],[YUVARLAMA]]</f>
        <v>0</v>
      </c>
    </row>
    <row r="508" spans="7:12" x14ac:dyDescent="0.25">
      <c r="G508">
        <f>Table001__Page_15[[#This Row],[FİYAT]]*Table001__Page_15[[#This Row],[MİKTAR]]</f>
        <v>0</v>
      </c>
      <c r="I508">
        <f>Table001__Page_15[[#This Row],[FİYAT]]*Table001__Page_15[[#This Row],[Sütun2]]</f>
        <v>0</v>
      </c>
      <c r="L508" s="50">
        <f>Table001__Page_15[[#This Row],[SATIŞ FİYATI]]-Table001__Page_15[[#This Row],[YUVARLAMA]]</f>
        <v>0</v>
      </c>
    </row>
    <row r="509" spans="7:12" x14ac:dyDescent="0.25">
      <c r="G509">
        <f>Table001__Page_15[[#This Row],[FİYAT]]*Table001__Page_15[[#This Row],[MİKTAR]]</f>
        <v>0</v>
      </c>
      <c r="I509">
        <f>Table001__Page_15[[#This Row],[FİYAT]]*Table001__Page_15[[#This Row],[Sütun2]]</f>
        <v>0</v>
      </c>
      <c r="L509" s="50">
        <f>Table001__Page_15[[#This Row],[SATIŞ FİYATI]]-Table001__Page_15[[#This Row],[YUVARLAMA]]</f>
        <v>0</v>
      </c>
    </row>
    <row r="510" spans="7:12" x14ac:dyDescent="0.25">
      <c r="G510">
        <f>Table001__Page_15[[#This Row],[FİYAT]]*Table001__Page_15[[#This Row],[MİKTAR]]</f>
        <v>0</v>
      </c>
      <c r="I510">
        <f>Table001__Page_15[[#This Row],[FİYAT]]*Table001__Page_15[[#This Row],[Sütun2]]</f>
        <v>0</v>
      </c>
      <c r="L510" s="50">
        <f>Table001__Page_15[[#This Row],[SATIŞ FİYATI]]-Table001__Page_15[[#This Row],[YUVARLAMA]]</f>
        <v>0</v>
      </c>
    </row>
    <row r="511" spans="7:12" x14ac:dyDescent="0.25">
      <c r="G511">
        <f>Table001__Page_15[[#This Row],[FİYAT]]*Table001__Page_15[[#This Row],[MİKTAR]]</f>
        <v>0</v>
      </c>
      <c r="I511">
        <f>Table001__Page_15[[#This Row],[FİYAT]]*Table001__Page_15[[#This Row],[Sütun2]]</f>
        <v>0</v>
      </c>
      <c r="L511" s="50">
        <f>Table001__Page_15[[#This Row],[SATIŞ FİYATI]]-Table001__Page_15[[#This Row],[YUVARLAMA]]</f>
        <v>0</v>
      </c>
    </row>
    <row r="512" spans="7:12" x14ac:dyDescent="0.25">
      <c r="G512">
        <f>Table001__Page_15[[#This Row],[FİYAT]]*Table001__Page_15[[#This Row],[MİKTAR]]</f>
        <v>0</v>
      </c>
      <c r="I512">
        <f>Table001__Page_15[[#This Row],[FİYAT]]*Table001__Page_15[[#This Row],[Sütun2]]</f>
        <v>0</v>
      </c>
      <c r="L512" s="50">
        <f>Table001__Page_15[[#This Row],[SATIŞ FİYATI]]-Table001__Page_15[[#This Row],[YUVARLAMA]]</f>
        <v>0</v>
      </c>
    </row>
    <row r="513" spans="7:12" x14ac:dyDescent="0.25">
      <c r="G513">
        <f>Table001__Page_15[[#This Row],[FİYAT]]*Table001__Page_15[[#This Row],[MİKTAR]]</f>
        <v>0</v>
      </c>
      <c r="I513">
        <f>Table001__Page_15[[#This Row],[FİYAT]]*Table001__Page_15[[#This Row],[Sütun2]]</f>
        <v>0</v>
      </c>
      <c r="L513" s="50">
        <f>Table001__Page_15[[#This Row],[SATIŞ FİYATI]]-Table001__Page_15[[#This Row],[YUVARLAMA]]</f>
        <v>0</v>
      </c>
    </row>
    <row r="514" spans="7:12" x14ac:dyDescent="0.25">
      <c r="G514">
        <f>Table001__Page_15[[#This Row],[FİYAT]]*Table001__Page_15[[#This Row],[MİKTAR]]</f>
        <v>0</v>
      </c>
      <c r="I514">
        <f>Table001__Page_15[[#This Row],[FİYAT]]*Table001__Page_15[[#This Row],[Sütun2]]</f>
        <v>0</v>
      </c>
      <c r="L514" s="50">
        <f>Table001__Page_15[[#This Row],[SATIŞ FİYATI]]-Table001__Page_15[[#This Row],[YUVARLAMA]]</f>
        <v>0</v>
      </c>
    </row>
    <row r="515" spans="7:12" x14ac:dyDescent="0.25">
      <c r="G515">
        <f>Table001__Page_15[[#This Row],[FİYAT]]*Table001__Page_15[[#This Row],[MİKTAR]]</f>
        <v>0</v>
      </c>
      <c r="I515">
        <f>Table001__Page_15[[#This Row],[FİYAT]]*Table001__Page_15[[#This Row],[Sütun2]]</f>
        <v>0</v>
      </c>
      <c r="L515" s="50">
        <f>Table001__Page_15[[#This Row],[SATIŞ FİYATI]]-Table001__Page_15[[#This Row],[YUVARLAMA]]</f>
        <v>0</v>
      </c>
    </row>
    <row r="516" spans="7:12" x14ac:dyDescent="0.25">
      <c r="G516">
        <f>Table001__Page_15[[#This Row],[FİYAT]]*Table001__Page_15[[#This Row],[MİKTAR]]</f>
        <v>0</v>
      </c>
      <c r="I516">
        <f>Table001__Page_15[[#This Row],[FİYAT]]*Table001__Page_15[[#This Row],[Sütun2]]</f>
        <v>0</v>
      </c>
      <c r="L516" s="50">
        <f>Table001__Page_15[[#This Row],[SATIŞ FİYATI]]-Table001__Page_15[[#This Row],[YUVARLAMA]]</f>
        <v>0</v>
      </c>
    </row>
    <row r="517" spans="7:12" x14ac:dyDescent="0.25">
      <c r="G517">
        <f>Table001__Page_15[[#This Row],[FİYAT]]*Table001__Page_15[[#This Row],[MİKTAR]]</f>
        <v>0</v>
      </c>
      <c r="I517">
        <f>Table001__Page_15[[#This Row],[FİYAT]]*Table001__Page_15[[#This Row],[Sütun2]]</f>
        <v>0</v>
      </c>
      <c r="L517" s="50">
        <f>Table001__Page_15[[#This Row],[SATIŞ FİYATI]]-Table001__Page_15[[#This Row],[YUVARLAMA]]</f>
        <v>0</v>
      </c>
    </row>
    <row r="518" spans="7:12" x14ac:dyDescent="0.25">
      <c r="G518">
        <f>Table001__Page_15[[#This Row],[FİYAT]]*Table001__Page_15[[#This Row],[MİKTAR]]</f>
        <v>0</v>
      </c>
      <c r="I518">
        <f>Table001__Page_15[[#This Row],[FİYAT]]*Table001__Page_15[[#This Row],[Sütun2]]</f>
        <v>0</v>
      </c>
      <c r="L518" s="50">
        <f>Table001__Page_15[[#This Row],[SATIŞ FİYATI]]-Table001__Page_15[[#This Row],[YUVARLAMA]]</f>
        <v>0</v>
      </c>
    </row>
    <row r="519" spans="7:12" x14ac:dyDescent="0.25">
      <c r="G519">
        <f>Table001__Page_15[[#This Row],[FİYAT]]*Table001__Page_15[[#This Row],[MİKTAR]]</f>
        <v>0</v>
      </c>
      <c r="I519">
        <f>Table001__Page_15[[#This Row],[FİYAT]]*Table001__Page_15[[#This Row],[Sütun2]]</f>
        <v>0</v>
      </c>
      <c r="L519" s="50">
        <f>Table001__Page_15[[#This Row],[SATIŞ FİYATI]]-Table001__Page_15[[#This Row],[YUVARLAMA]]</f>
        <v>0</v>
      </c>
    </row>
    <row r="520" spans="7:12" x14ac:dyDescent="0.25">
      <c r="G520">
        <f>Table001__Page_15[[#This Row],[FİYAT]]*Table001__Page_15[[#This Row],[MİKTAR]]</f>
        <v>0</v>
      </c>
      <c r="I520">
        <f>Table001__Page_15[[#This Row],[FİYAT]]*Table001__Page_15[[#This Row],[Sütun2]]</f>
        <v>0</v>
      </c>
      <c r="L520" s="50">
        <f>Table001__Page_15[[#This Row],[SATIŞ FİYATI]]-Table001__Page_15[[#This Row],[YUVARLAMA]]</f>
        <v>0</v>
      </c>
    </row>
    <row r="521" spans="7:12" x14ac:dyDescent="0.25">
      <c r="G521">
        <f>Table001__Page_15[[#This Row],[FİYAT]]*Table001__Page_15[[#This Row],[MİKTAR]]</f>
        <v>0</v>
      </c>
      <c r="I521">
        <f>Table001__Page_15[[#This Row],[FİYAT]]*Table001__Page_15[[#This Row],[Sütun2]]</f>
        <v>0</v>
      </c>
      <c r="L521" s="50">
        <f>Table001__Page_15[[#This Row],[SATIŞ FİYATI]]-Table001__Page_15[[#This Row],[YUVARLAMA]]</f>
        <v>0</v>
      </c>
    </row>
    <row r="522" spans="7:12" x14ac:dyDescent="0.25">
      <c r="G522">
        <f>Table001__Page_15[[#This Row],[FİYAT]]*Table001__Page_15[[#This Row],[MİKTAR]]</f>
        <v>0</v>
      </c>
      <c r="I522">
        <f>Table001__Page_15[[#This Row],[FİYAT]]*Table001__Page_15[[#This Row],[Sütun2]]</f>
        <v>0</v>
      </c>
      <c r="L522" s="50">
        <f>Table001__Page_15[[#This Row],[SATIŞ FİYATI]]-Table001__Page_15[[#This Row],[YUVARLAMA]]</f>
        <v>0</v>
      </c>
    </row>
    <row r="523" spans="7:12" x14ac:dyDescent="0.25">
      <c r="G523">
        <f>Table001__Page_15[[#This Row],[FİYAT]]*Table001__Page_15[[#This Row],[MİKTAR]]</f>
        <v>0</v>
      </c>
      <c r="I523">
        <f>Table001__Page_15[[#This Row],[FİYAT]]*Table001__Page_15[[#This Row],[Sütun2]]</f>
        <v>0</v>
      </c>
      <c r="L523" s="50">
        <f>Table001__Page_15[[#This Row],[SATIŞ FİYATI]]-Table001__Page_15[[#This Row],[YUVARLAMA]]</f>
        <v>0</v>
      </c>
    </row>
    <row r="524" spans="7:12" x14ac:dyDescent="0.25">
      <c r="G524">
        <f>Table001__Page_15[[#This Row],[FİYAT]]*Table001__Page_15[[#This Row],[MİKTAR]]</f>
        <v>0</v>
      </c>
      <c r="I524">
        <f>Table001__Page_15[[#This Row],[FİYAT]]*Table001__Page_15[[#This Row],[Sütun2]]</f>
        <v>0</v>
      </c>
      <c r="L524" s="50">
        <f>Table001__Page_15[[#This Row],[SATIŞ FİYATI]]-Table001__Page_15[[#This Row],[YUVARLAMA]]</f>
        <v>0</v>
      </c>
    </row>
    <row r="525" spans="7:12" x14ac:dyDescent="0.25">
      <c r="G525">
        <f>Table001__Page_15[[#This Row],[FİYAT]]*Table001__Page_15[[#This Row],[MİKTAR]]</f>
        <v>0</v>
      </c>
      <c r="I525">
        <f>Table001__Page_15[[#This Row],[FİYAT]]*Table001__Page_15[[#This Row],[Sütun2]]</f>
        <v>0</v>
      </c>
      <c r="L525" s="50">
        <f>Table001__Page_15[[#This Row],[SATIŞ FİYATI]]-Table001__Page_15[[#This Row],[YUVARLAMA]]</f>
        <v>0</v>
      </c>
    </row>
    <row r="526" spans="7:12" x14ac:dyDescent="0.25">
      <c r="G526">
        <f>Table001__Page_15[[#This Row],[FİYAT]]*Table001__Page_15[[#This Row],[MİKTAR]]</f>
        <v>0</v>
      </c>
      <c r="I526">
        <f>Table001__Page_15[[#This Row],[FİYAT]]*Table001__Page_15[[#This Row],[Sütun2]]</f>
        <v>0</v>
      </c>
      <c r="L526" s="50">
        <f>Table001__Page_15[[#This Row],[SATIŞ FİYATI]]-Table001__Page_15[[#This Row],[YUVARLAMA]]</f>
        <v>0</v>
      </c>
    </row>
    <row r="527" spans="7:12" x14ac:dyDescent="0.25">
      <c r="G527">
        <f>Table001__Page_15[[#This Row],[FİYAT]]*Table001__Page_15[[#This Row],[MİKTAR]]</f>
        <v>0</v>
      </c>
      <c r="I527">
        <f>Table001__Page_15[[#This Row],[FİYAT]]*Table001__Page_15[[#This Row],[Sütun2]]</f>
        <v>0</v>
      </c>
      <c r="L527" s="50">
        <f>Table001__Page_15[[#This Row],[SATIŞ FİYATI]]-Table001__Page_15[[#This Row],[YUVARLAMA]]</f>
        <v>0</v>
      </c>
    </row>
    <row r="528" spans="7:12" x14ac:dyDescent="0.25">
      <c r="G528">
        <f>Table001__Page_15[[#This Row],[FİYAT]]*Table001__Page_15[[#This Row],[MİKTAR]]</f>
        <v>0</v>
      </c>
      <c r="I528">
        <f>Table001__Page_15[[#This Row],[FİYAT]]*Table001__Page_15[[#This Row],[Sütun2]]</f>
        <v>0</v>
      </c>
      <c r="L528" s="50">
        <f>Table001__Page_15[[#This Row],[SATIŞ FİYATI]]-Table001__Page_15[[#This Row],[YUVARLAMA]]</f>
        <v>0</v>
      </c>
    </row>
    <row r="529" spans="7:12" x14ac:dyDescent="0.25">
      <c r="G529">
        <f>Table001__Page_15[[#This Row],[FİYAT]]*Table001__Page_15[[#This Row],[MİKTAR]]</f>
        <v>0</v>
      </c>
      <c r="I529">
        <f>Table001__Page_15[[#This Row],[FİYAT]]*Table001__Page_15[[#This Row],[Sütun2]]</f>
        <v>0</v>
      </c>
      <c r="L529" s="50">
        <f>Table001__Page_15[[#This Row],[SATIŞ FİYATI]]-Table001__Page_15[[#This Row],[YUVARLAMA]]</f>
        <v>0</v>
      </c>
    </row>
    <row r="530" spans="7:12" x14ac:dyDescent="0.25">
      <c r="G530">
        <f>Table001__Page_15[[#This Row],[FİYAT]]*Table001__Page_15[[#This Row],[MİKTAR]]</f>
        <v>0</v>
      </c>
      <c r="I530">
        <f>Table001__Page_15[[#This Row],[FİYAT]]*Table001__Page_15[[#This Row],[Sütun2]]</f>
        <v>0</v>
      </c>
      <c r="L530" s="50">
        <f>Table001__Page_15[[#This Row],[SATIŞ FİYATI]]-Table001__Page_15[[#This Row],[YUVARLAMA]]</f>
        <v>0</v>
      </c>
    </row>
    <row r="531" spans="7:12" x14ac:dyDescent="0.25">
      <c r="G531">
        <f>Table001__Page_15[[#This Row],[FİYAT]]*Table001__Page_15[[#This Row],[MİKTAR]]</f>
        <v>0</v>
      </c>
      <c r="I531">
        <f>Table001__Page_15[[#This Row],[FİYAT]]*Table001__Page_15[[#This Row],[Sütun2]]</f>
        <v>0</v>
      </c>
      <c r="L531" s="50">
        <f>Table001__Page_15[[#This Row],[SATIŞ FİYATI]]-Table001__Page_15[[#This Row],[YUVARLAMA]]</f>
        <v>0</v>
      </c>
    </row>
    <row r="532" spans="7:12" x14ac:dyDescent="0.25">
      <c r="G532">
        <f>Table001__Page_15[[#This Row],[FİYAT]]*Table001__Page_15[[#This Row],[MİKTAR]]</f>
        <v>0</v>
      </c>
      <c r="I532">
        <f>Table001__Page_15[[#This Row],[FİYAT]]*Table001__Page_15[[#This Row],[Sütun2]]</f>
        <v>0</v>
      </c>
      <c r="L532" s="50">
        <f>Table001__Page_15[[#This Row],[SATIŞ FİYATI]]-Table001__Page_15[[#This Row],[YUVARLAMA]]</f>
        <v>0</v>
      </c>
    </row>
    <row r="533" spans="7:12" x14ac:dyDescent="0.25">
      <c r="G533">
        <f>Table001__Page_15[[#This Row],[FİYAT]]*Table001__Page_15[[#This Row],[MİKTAR]]</f>
        <v>0</v>
      </c>
      <c r="I533">
        <f>Table001__Page_15[[#This Row],[FİYAT]]*Table001__Page_15[[#This Row],[Sütun2]]</f>
        <v>0</v>
      </c>
      <c r="L533" s="50">
        <f>Table001__Page_15[[#This Row],[SATIŞ FİYATI]]-Table001__Page_15[[#This Row],[YUVARLAMA]]</f>
        <v>0</v>
      </c>
    </row>
    <row r="534" spans="7:12" x14ac:dyDescent="0.25">
      <c r="G534">
        <f>Table001__Page_15[[#This Row],[FİYAT]]*Table001__Page_15[[#This Row],[MİKTAR]]</f>
        <v>0</v>
      </c>
      <c r="I534">
        <f>Table001__Page_15[[#This Row],[FİYAT]]*Table001__Page_15[[#This Row],[Sütun2]]</f>
        <v>0</v>
      </c>
      <c r="L534" s="50">
        <f>Table001__Page_15[[#This Row],[SATIŞ FİYATI]]-Table001__Page_15[[#This Row],[YUVARLAMA]]</f>
        <v>0</v>
      </c>
    </row>
    <row r="535" spans="7:12" x14ac:dyDescent="0.25">
      <c r="G535">
        <f>Table001__Page_15[[#This Row],[FİYAT]]*Table001__Page_15[[#This Row],[MİKTAR]]</f>
        <v>0</v>
      </c>
      <c r="I535">
        <f>Table001__Page_15[[#This Row],[FİYAT]]*Table001__Page_15[[#This Row],[Sütun2]]</f>
        <v>0</v>
      </c>
      <c r="L535" s="50">
        <f>Table001__Page_15[[#This Row],[SATIŞ FİYATI]]-Table001__Page_15[[#This Row],[YUVARLAMA]]</f>
        <v>0</v>
      </c>
    </row>
    <row r="536" spans="7:12" x14ac:dyDescent="0.25">
      <c r="G536">
        <f>Table001__Page_15[[#This Row],[FİYAT]]*Table001__Page_15[[#This Row],[MİKTAR]]</f>
        <v>0</v>
      </c>
      <c r="I536">
        <f>Table001__Page_15[[#This Row],[FİYAT]]*Table001__Page_15[[#This Row],[Sütun2]]</f>
        <v>0</v>
      </c>
      <c r="L536" s="50">
        <f>Table001__Page_15[[#This Row],[SATIŞ FİYATI]]-Table001__Page_15[[#This Row],[YUVARLAMA]]</f>
        <v>0</v>
      </c>
    </row>
    <row r="537" spans="7:12" x14ac:dyDescent="0.25">
      <c r="G537">
        <f>Table001__Page_15[[#This Row],[FİYAT]]*Table001__Page_15[[#This Row],[MİKTAR]]</f>
        <v>0</v>
      </c>
      <c r="I537">
        <f>Table001__Page_15[[#This Row],[FİYAT]]*Table001__Page_15[[#This Row],[Sütun2]]</f>
        <v>0</v>
      </c>
      <c r="L537" s="50">
        <f>Table001__Page_15[[#This Row],[SATIŞ FİYATI]]-Table001__Page_15[[#This Row],[YUVARLAMA]]</f>
        <v>0</v>
      </c>
    </row>
    <row r="538" spans="7:12" x14ac:dyDescent="0.25">
      <c r="G538">
        <f>Table001__Page_15[[#This Row],[FİYAT]]*Table001__Page_15[[#This Row],[MİKTAR]]</f>
        <v>0</v>
      </c>
      <c r="I538">
        <f>Table001__Page_15[[#This Row],[FİYAT]]*Table001__Page_15[[#This Row],[Sütun2]]</f>
        <v>0</v>
      </c>
      <c r="L538" s="50">
        <f>Table001__Page_15[[#This Row],[SATIŞ FİYATI]]-Table001__Page_15[[#This Row],[YUVARLAMA]]</f>
        <v>0</v>
      </c>
    </row>
    <row r="539" spans="7:12" x14ac:dyDescent="0.25">
      <c r="G539">
        <f>Table001__Page_15[[#This Row],[FİYAT]]*Table001__Page_15[[#This Row],[MİKTAR]]</f>
        <v>0</v>
      </c>
      <c r="I539">
        <f>Table001__Page_15[[#This Row],[FİYAT]]*Table001__Page_15[[#This Row],[Sütun2]]</f>
        <v>0</v>
      </c>
      <c r="L539" s="50">
        <f>Table001__Page_15[[#This Row],[SATIŞ FİYATI]]-Table001__Page_15[[#This Row],[YUVARLAMA]]</f>
        <v>0</v>
      </c>
    </row>
    <row r="540" spans="7:12" x14ac:dyDescent="0.25">
      <c r="G540">
        <f>Table001__Page_15[[#This Row],[FİYAT]]*Table001__Page_15[[#This Row],[MİKTAR]]</f>
        <v>0</v>
      </c>
      <c r="I540">
        <f>Table001__Page_15[[#This Row],[FİYAT]]*Table001__Page_15[[#This Row],[Sütun2]]</f>
        <v>0</v>
      </c>
      <c r="L540" s="50">
        <f>Table001__Page_15[[#This Row],[SATIŞ FİYATI]]-Table001__Page_15[[#This Row],[YUVARLAMA]]</f>
        <v>0</v>
      </c>
    </row>
    <row r="541" spans="7:12" x14ac:dyDescent="0.25">
      <c r="G541">
        <f>Table001__Page_15[[#This Row],[FİYAT]]*Table001__Page_15[[#This Row],[MİKTAR]]</f>
        <v>0</v>
      </c>
      <c r="I541">
        <f>Table001__Page_15[[#This Row],[FİYAT]]*Table001__Page_15[[#This Row],[Sütun2]]</f>
        <v>0</v>
      </c>
      <c r="L541" s="50">
        <f>Table001__Page_15[[#This Row],[SATIŞ FİYATI]]-Table001__Page_15[[#This Row],[YUVARLAMA]]</f>
        <v>0</v>
      </c>
    </row>
    <row r="542" spans="7:12" x14ac:dyDescent="0.25">
      <c r="G542">
        <f>Table001__Page_15[[#This Row],[FİYAT]]*Table001__Page_15[[#This Row],[MİKTAR]]</f>
        <v>0</v>
      </c>
      <c r="I542">
        <f>Table001__Page_15[[#This Row],[FİYAT]]*Table001__Page_15[[#This Row],[Sütun2]]</f>
        <v>0</v>
      </c>
      <c r="L542" s="50">
        <f>Table001__Page_15[[#This Row],[SATIŞ FİYATI]]-Table001__Page_15[[#This Row],[YUVARLAMA]]</f>
        <v>0</v>
      </c>
    </row>
    <row r="543" spans="7:12" x14ac:dyDescent="0.25">
      <c r="G543">
        <f>Table001__Page_15[[#This Row],[FİYAT]]*Table001__Page_15[[#This Row],[MİKTAR]]</f>
        <v>0</v>
      </c>
      <c r="I543">
        <f>Table001__Page_15[[#This Row],[FİYAT]]*Table001__Page_15[[#This Row],[Sütun2]]</f>
        <v>0</v>
      </c>
      <c r="L543" s="50">
        <f>Table001__Page_15[[#This Row],[SATIŞ FİYATI]]-Table001__Page_15[[#This Row],[YUVARLAMA]]</f>
        <v>0</v>
      </c>
    </row>
    <row r="544" spans="7:12" x14ac:dyDescent="0.25">
      <c r="G544">
        <f>Table001__Page_15[[#This Row],[FİYAT]]*Table001__Page_15[[#This Row],[MİKTAR]]</f>
        <v>0</v>
      </c>
      <c r="I544">
        <f>Table001__Page_15[[#This Row],[FİYAT]]*Table001__Page_15[[#This Row],[Sütun2]]</f>
        <v>0</v>
      </c>
      <c r="L544" s="50">
        <f>Table001__Page_15[[#This Row],[SATIŞ FİYATI]]-Table001__Page_15[[#This Row],[YUVARLAMA]]</f>
        <v>0</v>
      </c>
    </row>
    <row r="545" spans="7:12" x14ac:dyDescent="0.25">
      <c r="G545">
        <f>Table001__Page_15[[#This Row],[FİYAT]]*Table001__Page_15[[#This Row],[MİKTAR]]</f>
        <v>0</v>
      </c>
      <c r="I545">
        <f>Table001__Page_15[[#This Row],[FİYAT]]*Table001__Page_15[[#This Row],[Sütun2]]</f>
        <v>0</v>
      </c>
      <c r="L545" s="50">
        <f>Table001__Page_15[[#This Row],[SATIŞ FİYATI]]-Table001__Page_15[[#This Row],[YUVARLAMA]]</f>
        <v>0</v>
      </c>
    </row>
    <row r="546" spans="7:12" x14ac:dyDescent="0.25">
      <c r="G546">
        <f>Table001__Page_15[[#This Row],[FİYAT]]*Table001__Page_15[[#This Row],[MİKTAR]]</f>
        <v>0</v>
      </c>
      <c r="I546">
        <f>Table001__Page_15[[#This Row],[FİYAT]]*Table001__Page_15[[#This Row],[Sütun2]]</f>
        <v>0</v>
      </c>
      <c r="L546" s="50">
        <f>Table001__Page_15[[#This Row],[SATIŞ FİYATI]]-Table001__Page_15[[#This Row],[YUVARLAMA]]</f>
        <v>0</v>
      </c>
    </row>
    <row r="547" spans="7:12" x14ac:dyDescent="0.25">
      <c r="G547">
        <f>Table001__Page_15[[#This Row],[FİYAT]]*Table001__Page_15[[#This Row],[MİKTAR]]</f>
        <v>0</v>
      </c>
      <c r="I547">
        <f>Table001__Page_15[[#This Row],[FİYAT]]*Table001__Page_15[[#This Row],[Sütun2]]</f>
        <v>0</v>
      </c>
      <c r="L547" s="50">
        <f>Table001__Page_15[[#This Row],[SATIŞ FİYATI]]-Table001__Page_15[[#This Row],[YUVARLAMA]]</f>
        <v>0</v>
      </c>
    </row>
    <row r="548" spans="7:12" x14ac:dyDescent="0.25">
      <c r="G548">
        <f>Table001__Page_15[[#This Row],[FİYAT]]*Table001__Page_15[[#This Row],[MİKTAR]]</f>
        <v>0</v>
      </c>
      <c r="I548">
        <f>Table001__Page_15[[#This Row],[FİYAT]]*Table001__Page_15[[#This Row],[Sütun2]]</f>
        <v>0</v>
      </c>
      <c r="L548" s="50">
        <f>Table001__Page_15[[#This Row],[SATIŞ FİYATI]]-Table001__Page_15[[#This Row],[YUVARLAMA]]</f>
        <v>0</v>
      </c>
    </row>
    <row r="549" spans="7:12" x14ac:dyDescent="0.25">
      <c r="G549">
        <f>Table001__Page_15[[#This Row],[FİYAT]]*Table001__Page_15[[#This Row],[MİKTAR]]</f>
        <v>0</v>
      </c>
      <c r="I549">
        <f>Table001__Page_15[[#This Row],[FİYAT]]*Table001__Page_15[[#This Row],[Sütun2]]</f>
        <v>0</v>
      </c>
      <c r="L549" s="50">
        <f>Table001__Page_15[[#This Row],[SATIŞ FİYATI]]-Table001__Page_15[[#This Row],[YUVARLAMA]]</f>
        <v>0</v>
      </c>
    </row>
    <row r="550" spans="7:12" x14ac:dyDescent="0.25">
      <c r="G550">
        <f>Table001__Page_15[[#This Row],[FİYAT]]*Table001__Page_15[[#This Row],[MİKTAR]]</f>
        <v>0</v>
      </c>
      <c r="I550">
        <f>Table001__Page_15[[#This Row],[FİYAT]]*Table001__Page_15[[#This Row],[Sütun2]]</f>
        <v>0</v>
      </c>
      <c r="L550" s="50">
        <f>Table001__Page_15[[#This Row],[SATIŞ FİYATI]]-Table001__Page_15[[#This Row],[YUVARLAMA]]</f>
        <v>0</v>
      </c>
    </row>
    <row r="551" spans="7:12" x14ac:dyDescent="0.25">
      <c r="G551">
        <f>Table001__Page_15[[#This Row],[FİYAT]]*Table001__Page_15[[#This Row],[MİKTAR]]</f>
        <v>0</v>
      </c>
      <c r="I551">
        <f>Table001__Page_15[[#This Row],[FİYAT]]*Table001__Page_15[[#This Row],[Sütun2]]</f>
        <v>0</v>
      </c>
      <c r="L551" s="50">
        <f>Table001__Page_15[[#This Row],[SATIŞ FİYATI]]-Table001__Page_15[[#This Row],[YUVARLAMA]]</f>
        <v>0</v>
      </c>
    </row>
    <row r="552" spans="7:12" x14ac:dyDescent="0.25">
      <c r="G552">
        <f>Table001__Page_15[[#This Row],[FİYAT]]*Table001__Page_15[[#This Row],[MİKTAR]]</f>
        <v>0</v>
      </c>
      <c r="I552">
        <f>Table001__Page_15[[#This Row],[FİYAT]]*Table001__Page_15[[#This Row],[Sütun2]]</f>
        <v>0</v>
      </c>
      <c r="L552" s="50">
        <f>Table001__Page_15[[#This Row],[SATIŞ FİYATI]]-Table001__Page_15[[#This Row],[YUVARLAMA]]</f>
        <v>0</v>
      </c>
    </row>
    <row r="553" spans="7:12" x14ac:dyDescent="0.25">
      <c r="G553">
        <f>Table001__Page_15[[#This Row],[FİYAT]]*Table001__Page_15[[#This Row],[MİKTAR]]</f>
        <v>0</v>
      </c>
      <c r="I553">
        <f>Table001__Page_15[[#This Row],[FİYAT]]*Table001__Page_15[[#This Row],[Sütun2]]</f>
        <v>0</v>
      </c>
      <c r="L553" s="50">
        <f>Table001__Page_15[[#This Row],[SATIŞ FİYATI]]-Table001__Page_15[[#This Row],[YUVARLAMA]]</f>
        <v>0</v>
      </c>
    </row>
    <row r="554" spans="7:12" x14ac:dyDescent="0.25">
      <c r="G554">
        <f>Table001__Page_15[[#This Row],[FİYAT]]*Table001__Page_15[[#This Row],[MİKTAR]]</f>
        <v>0</v>
      </c>
      <c r="I554">
        <f>Table001__Page_15[[#This Row],[FİYAT]]*Table001__Page_15[[#This Row],[Sütun2]]</f>
        <v>0</v>
      </c>
      <c r="L554" s="50">
        <f>Table001__Page_15[[#This Row],[SATIŞ FİYATI]]-Table001__Page_15[[#This Row],[YUVARLAMA]]</f>
        <v>0</v>
      </c>
    </row>
    <row r="555" spans="7:12" x14ac:dyDescent="0.25">
      <c r="G555">
        <f>Table001__Page_15[[#This Row],[FİYAT]]*Table001__Page_15[[#This Row],[MİKTAR]]</f>
        <v>0</v>
      </c>
      <c r="I555">
        <f>Table001__Page_15[[#This Row],[FİYAT]]*Table001__Page_15[[#This Row],[Sütun2]]</f>
        <v>0</v>
      </c>
      <c r="L555" s="50">
        <f>Table001__Page_15[[#This Row],[SATIŞ FİYATI]]-Table001__Page_15[[#This Row],[YUVARLAMA]]</f>
        <v>0</v>
      </c>
    </row>
    <row r="556" spans="7:12" x14ac:dyDescent="0.25">
      <c r="G556">
        <f>Table001__Page_15[[#This Row],[FİYAT]]*Table001__Page_15[[#This Row],[MİKTAR]]</f>
        <v>0</v>
      </c>
      <c r="I556">
        <f>Table001__Page_15[[#This Row],[FİYAT]]*Table001__Page_15[[#This Row],[Sütun2]]</f>
        <v>0</v>
      </c>
      <c r="L556" s="50">
        <f>Table001__Page_15[[#This Row],[SATIŞ FİYATI]]-Table001__Page_15[[#This Row],[YUVARLAMA]]</f>
        <v>0</v>
      </c>
    </row>
    <row r="557" spans="7:12" x14ac:dyDescent="0.25">
      <c r="G557">
        <f>Table001__Page_15[[#This Row],[FİYAT]]*Table001__Page_15[[#This Row],[MİKTAR]]</f>
        <v>0</v>
      </c>
      <c r="I557">
        <f>Table001__Page_15[[#This Row],[FİYAT]]*Table001__Page_15[[#This Row],[Sütun2]]</f>
        <v>0</v>
      </c>
      <c r="L557" s="50">
        <f>Table001__Page_15[[#This Row],[SATIŞ FİYATI]]-Table001__Page_15[[#This Row],[YUVARLAMA]]</f>
        <v>0</v>
      </c>
    </row>
    <row r="558" spans="7:12" x14ac:dyDescent="0.25">
      <c r="G558">
        <f>Table001__Page_15[[#This Row],[FİYAT]]*Table001__Page_15[[#This Row],[MİKTAR]]</f>
        <v>0</v>
      </c>
      <c r="I558">
        <f>Table001__Page_15[[#This Row],[FİYAT]]*Table001__Page_15[[#This Row],[Sütun2]]</f>
        <v>0</v>
      </c>
      <c r="L558" s="50">
        <f>Table001__Page_15[[#This Row],[SATIŞ FİYATI]]-Table001__Page_15[[#This Row],[YUVARLAMA]]</f>
        <v>0</v>
      </c>
    </row>
    <row r="559" spans="7:12" x14ac:dyDescent="0.25">
      <c r="G559">
        <f>Table001__Page_15[[#This Row],[FİYAT]]*Table001__Page_15[[#This Row],[MİKTAR]]</f>
        <v>0</v>
      </c>
      <c r="I559">
        <f>Table001__Page_15[[#This Row],[FİYAT]]*Table001__Page_15[[#This Row],[Sütun2]]</f>
        <v>0</v>
      </c>
      <c r="L559" s="50">
        <f>Table001__Page_15[[#This Row],[SATIŞ FİYATI]]-Table001__Page_15[[#This Row],[YUVARLAMA]]</f>
        <v>0</v>
      </c>
    </row>
    <row r="560" spans="7:12" x14ac:dyDescent="0.25">
      <c r="G560">
        <f>Table001__Page_15[[#This Row],[FİYAT]]*Table001__Page_15[[#This Row],[MİKTAR]]</f>
        <v>0</v>
      </c>
      <c r="I560">
        <f>Table001__Page_15[[#This Row],[FİYAT]]*Table001__Page_15[[#This Row],[Sütun2]]</f>
        <v>0</v>
      </c>
      <c r="L560" s="50">
        <f>Table001__Page_15[[#This Row],[SATIŞ FİYATI]]-Table001__Page_15[[#This Row],[YUVARLAMA]]</f>
        <v>0</v>
      </c>
    </row>
    <row r="561" spans="7:12" x14ac:dyDescent="0.25">
      <c r="G561">
        <f>Table001__Page_15[[#This Row],[FİYAT]]*Table001__Page_15[[#This Row],[MİKTAR]]</f>
        <v>0</v>
      </c>
      <c r="I561">
        <f>Table001__Page_15[[#This Row],[FİYAT]]*Table001__Page_15[[#This Row],[Sütun2]]</f>
        <v>0</v>
      </c>
      <c r="L561" s="50">
        <f>Table001__Page_15[[#This Row],[SATIŞ FİYATI]]-Table001__Page_15[[#This Row],[YUVARLAMA]]</f>
        <v>0</v>
      </c>
    </row>
    <row r="562" spans="7:12" x14ac:dyDescent="0.25">
      <c r="G562">
        <f>Table001__Page_15[[#This Row],[FİYAT]]*Table001__Page_15[[#This Row],[MİKTAR]]</f>
        <v>0</v>
      </c>
      <c r="I562">
        <f>Table001__Page_15[[#This Row],[FİYAT]]*Table001__Page_15[[#This Row],[Sütun2]]</f>
        <v>0</v>
      </c>
      <c r="L562" s="50">
        <f>Table001__Page_15[[#This Row],[SATIŞ FİYATI]]-Table001__Page_15[[#This Row],[YUVARLAMA]]</f>
        <v>0</v>
      </c>
    </row>
    <row r="563" spans="7:12" x14ac:dyDescent="0.25">
      <c r="G563">
        <f>Table001__Page_15[[#This Row],[FİYAT]]*Table001__Page_15[[#This Row],[MİKTAR]]</f>
        <v>0</v>
      </c>
      <c r="I563">
        <f>Table001__Page_15[[#This Row],[FİYAT]]*Table001__Page_15[[#This Row],[Sütun2]]</f>
        <v>0</v>
      </c>
      <c r="L563" s="50">
        <f>Table001__Page_15[[#This Row],[SATIŞ FİYATI]]-Table001__Page_15[[#This Row],[YUVARLAMA]]</f>
        <v>0</v>
      </c>
    </row>
    <row r="564" spans="7:12" x14ac:dyDescent="0.25">
      <c r="G564">
        <f>Table001__Page_15[[#This Row],[FİYAT]]*Table001__Page_15[[#This Row],[MİKTAR]]</f>
        <v>0</v>
      </c>
      <c r="I564">
        <f>Table001__Page_15[[#This Row],[FİYAT]]*Table001__Page_15[[#This Row],[Sütun2]]</f>
        <v>0</v>
      </c>
      <c r="L564" s="50">
        <f>Table001__Page_15[[#This Row],[SATIŞ FİYATI]]-Table001__Page_15[[#This Row],[YUVARLAMA]]</f>
        <v>0</v>
      </c>
    </row>
    <row r="565" spans="7:12" x14ac:dyDescent="0.25">
      <c r="G565">
        <f>Table001__Page_15[[#This Row],[FİYAT]]*Table001__Page_15[[#This Row],[MİKTAR]]</f>
        <v>0</v>
      </c>
      <c r="I565">
        <f>Table001__Page_15[[#This Row],[FİYAT]]*Table001__Page_15[[#This Row],[Sütun2]]</f>
        <v>0</v>
      </c>
      <c r="L565" s="50">
        <f>Table001__Page_15[[#This Row],[SATIŞ FİYATI]]-Table001__Page_15[[#This Row],[YUVARLAMA]]</f>
        <v>0</v>
      </c>
    </row>
    <row r="566" spans="7:12" x14ac:dyDescent="0.25">
      <c r="G566">
        <f>Table001__Page_15[[#This Row],[FİYAT]]*Table001__Page_15[[#This Row],[MİKTAR]]</f>
        <v>0</v>
      </c>
      <c r="I566">
        <f>Table001__Page_15[[#This Row],[FİYAT]]*Table001__Page_15[[#This Row],[Sütun2]]</f>
        <v>0</v>
      </c>
      <c r="L566" s="50">
        <f>Table001__Page_15[[#This Row],[SATIŞ FİYATI]]-Table001__Page_15[[#This Row],[YUVARLAMA]]</f>
        <v>0</v>
      </c>
    </row>
    <row r="567" spans="7:12" x14ac:dyDescent="0.25">
      <c r="G567">
        <f>Table001__Page_15[[#This Row],[FİYAT]]*Table001__Page_15[[#This Row],[MİKTAR]]</f>
        <v>0</v>
      </c>
      <c r="I567">
        <f>Table001__Page_15[[#This Row],[FİYAT]]*Table001__Page_15[[#This Row],[Sütun2]]</f>
        <v>0</v>
      </c>
      <c r="L567" s="50">
        <f>Table001__Page_15[[#This Row],[SATIŞ FİYATI]]-Table001__Page_15[[#This Row],[YUVARLAMA]]</f>
        <v>0</v>
      </c>
    </row>
    <row r="568" spans="7:12" x14ac:dyDescent="0.25">
      <c r="G568">
        <f>Table001__Page_15[[#This Row],[FİYAT]]*Table001__Page_15[[#This Row],[MİKTAR]]</f>
        <v>0</v>
      </c>
      <c r="I568">
        <f>Table001__Page_15[[#This Row],[FİYAT]]*Table001__Page_15[[#This Row],[Sütun2]]</f>
        <v>0</v>
      </c>
      <c r="L568" s="50">
        <f>Table001__Page_15[[#This Row],[SATIŞ FİYATI]]-Table001__Page_15[[#This Row],[YUVARLAMA]]</f>
        <v>0</v>
      </c>
    </row>
    <row r="569" spans="7:12" x14ac:dyDescent="0.25">
      <c r="G569">
        <f>Table001__Page_15[[#This Row],[FİYAT]]*Table001__Page_15[[#This Row],[MİKTAR]]</f>
        <v>0</v>
      </c>
      <c r="I569">
        <f>Table001__Page_15[[#This Row],[FİYAT]]*Table001__Page_15[[#This Row],[Sütun2]]</f>
        <v>0</v>
      </c>
      <c r="L569" s="50">
        <f>Table001__Page_15[[#This Row],[SATIŞ FİYATI]]-Table001__Page_15[[#This Row],[YUVARLAMA]]</f>
        <v>0</v>
      </c>
    </row>
    <row r="570" spans="7:12" x14ac:dyDescent="0.25">
      <c r="G570">
        <f>Table001__Page_15[[#This Row],[FİYAT]]*Table001__Page_15[[#This Row],[MİKTAR]]</f>
        <v>0</v>
      </c>
      <c r="I570">
        <f>Table001__Page_15[[#This Row],[FİYAT]]*Table001__Page_15[[#This Row],[Sütun2]]</f>
        <v>0</v>
      </c>
      <c r="L570" s="50">
        <f>Table001__Page_15[[#This Row],[SATIŞ FİYATI]]-Table001__Page_15[[#This Row],[YUVARLAMA]]</f>
        <v>0</v>
      </c>
    </row>
    <row r="571" spans="7:12" x14ac:dyDescent="0.25">
      <c r="G571">
        <f>Table001__Page_15[[#This Row],[FİYAT]]*Table001__Page_15[[#This Row],[MİKTAR]]</f>
        <v>0</v>
      </c>
      <c r="I571">
        <f>Table001__Page_15[[#This Row],[FİYAT]]*Table001__Page_15[[#This Row],[Sütun2]]</f>
        <v>0</v>
      </c>
      <c r="L571" s="50">
        <f>Table001__Page_15[[#This Row],[SATIŞ FİYATI]]-Table001__Page_15[[#This Row],[YUVARLAMA]]</f>
        <v>0</v>
      </c>
    </row>
    <row r="572" spans="7:12" x14ac:dyDescent="0.25">
      <c r="G572">
        <f>Table001__Page_15[[#This Row],[FİYAT]]*Table001__Page_15[[#This Row],[MİKTAR]]</f>
        <v>0</v>
      </c>
      <c r="I572">
        <f>Table001__Page_15[[#This Row],[FİYAT]]*Table001__Page_15[[#This Row],[Sütun2]]</f>
        <v>0</v>
      </c>
      <c r="L572" s="50">
        <f>Table001__Page_15[[#This Row],[SATIŞ FİYATI]]-Table001__Page_15[[#This Row],[YUVARLAMA]]</f>
        <v>0</v>
      </c>
    </row>
    <row r="573" spans="7:12" x14ac:dyDescent="0.25">
      <c r="G573">
        <f>Table001__Page_15[[#This Row],[FİYAT]]*Table001__Page_15[[#This Row],[MİKTAR]]</f>
        <v>0</v>
      </c>
      <c r="I573">
        <f>Table001__Page_15[[#This Row],[FİYAT]]*Table001__Page_15[[#This Row],[Sütun2]]</f>
        <v>0</v>
      </c>
      <c r="L573" s="50">
        <f>Table001__Page_15[[#This Row],[SATIŞ FİYATI]]-Table001__Page_15[[#This Row],[YUVARLAMA]]</f>
        <v>0</v>
      </c>
    </row>
    <row r="574" spans="7:12" x14ac:dyDescent="0.25">
      <c r="G574">
        <f>Table001__Page_15[[#This Row],[FİYAT]]*Table001__Page_15[[#This Row],[MİKTAR]]</f>
        <v>0</v>
      </c>
      <c r="I574">
        <f>Table001__Page_15[[#This Row],[FİYAT]]*Table001__Page_15[[#This Row],[Sütun2]]</f>
        <v>0</v>
      </c>
      <c r="L574" s="50">
        <f>Table001__Page_15[[#This Row],[SATIŞ FİYATI]]-Table001__Page_15[[#This Row],[YUVARLAMA]]</f>
        <v>0</v>
      </c>
    </row>
    <row r="575" spans="7:12" x14ac:dyDescent="0.25">
      <c r="G575">
        <f>Table001__Page_15[[#This Row],[FİYAT]]*Table001__Page_15[[#This Row],[MİKTAR]]</f>
        <v>0</v>
      </c>
      <c r="I575">
        <f>Table001__Page_15[[#This Row],[FİYAT]]*Table001__Page_15[[#This Row],[Sütun2]]</f>
        <v>0</v>
      </c>
      <c r="L575" s="50">
        <f>Table001__Page_15[[#This Row],[SATIŞ FİYATI]]-Table001__Page_15[[#This Row],[YUVARLAMA]]</f>
        <v>0</v>
      </c>
    </row>
    <row r="576" spans="7:12" x14ac:dyDescent="0.25">
      <c r="G576">
        <f>Table001__Page_15[[#This Row],[FİYAT]]*Table001__Page_15[[#This Row],[MİKTAR]]</f>
        <v>0</v>
      </c>
      <c r="I576">
        <f>Table001__Page_15[[#This Row],[FİYAT]]*Table001__Page_15[[#This Row],[Sütun2]]</f>
        <v>0</v>
      </c>
      <c r="L576" s="50">
        <f>Table001__Page_15[[#This Row],[SATIŞ FİYATI]]-Table001__Page_15[[#This Row],[YUVARLAMA]]</f>
        <v>0</v>
      </c>
    </row>
    <row r="577" spans="7:12" x14ac:dyDescent="0.25">
      <c r="G577">
        <f>Table001__Page_15[[#This Row],[FİYAT]]*Table001__Page_15[[#This Row],[MİKTAR]]</f>
        <v>0</v>
      </c>
      <c r="I577">
        <f>Table001__Page_15[[#This Row],[FİYAT]]*Table001__Page_15[[#This Row],[Sütun2]]</f>
        <v>0</v>
      </c>
      <c r="L577" s="50">
        <f>Table001__Page_15[[#This Row],[SATIŞ FİYATI]]-Table001__Page_15[[#This Row],[YUVARLAMA]]</f>
        <v>0</v>
      </c>
    </row>
    <row r="578" spans="7:12" x14ac:dyDescent="0.25">
      <c r="G578">
        <f>Table001__Page_15[[#This Row],[FİYAT]]*Table001__Page_15[[#This Row],[MİKTAR]]</f>
        <v>0</v>
      </c>
      <c r="I578">
        <f>Table001__Page_15[[#This Row],[FİYAT]]*Table001__Page_15[[#This Row],[Sütun2]]</f>
        <v>0</v>
      </c>
      <c r="L578" s="50">
        <f>Table001__Page_15[[#This Row],[SATIŞ FİYATI]]-Table001__Page_15[[#This Row],[YUVARLAMA]]</f>
        <v>0</v>
      </c>
    </row>
    <row r="579" spans="7:12" x14ac:dyDescent="0.25">
      <c r="G579">
        <f>Table001__Page_15[[#This Row],[FİYAT]]*Table001__Page_15[[#This Row],[MİKTAR]]</f>
        <v>0</v>
      </c>
      <c r="I579">
        <f>Table001__Page_15[[#This Row],[FİYAT]]*Table001__Page_15[[#This Row],[Sütun2]]</f>
        <v>0</v>
      </c>
      <c r="L579" s="50">
        <f>Table001__Page_15[[#This Row],[SATIŞ FİYATI]]-Table001__Page_15[[#This Row],[YUVARLAMA]]</f>
        <v>0</v>
      </c>
    </row>
    <row r="580" spans="7:12" x14ac:dyDescent="0.25">
      <c r="G580">
        <f>Table001__Page_15[[#This Row],[FİYAT]]*Table001__Page_15[[#This Row],[MİKTAR]]</f>
        <v>0</v>
      </c>
      <c r="I580">
        <f>Table001__Page_15[[#This Row],[FİYAT]]*Table001__Page_15[[#This Row],[Sütun2]]</f>
        <v>0</v>
      </c>
      <c r="L580" s="50">
        <f>Table001__Page_15[[#This Row],[SATIŞ FİYATI]]-Table001__Page_15[[#This Row],[YUVARLAMA]]</f>
        <v>0</v>
      </c>
    </row>
    <row r="581" spans="7:12" x14ac:dyDescent="0.25">
      <c r="G581">
        <f>Table001__Page_15[[#This Row],[FİYAT]]*Table001__Page_15[[#This Row],[MİKTAR]]</f>
        <v>0</v>
      </c>
      <c r="I581">
        <f>Table001__Page_15[[#This Row],[FİYAT]]*Table001__Page_15[[#This Row],[Sütun2]]</f>
        <v>0</v>
      </c>
      <c r="L581" s="50">
        <f>Table001__Page_15[[#This Row],[SATIŞ FİYATI]]-Table001__Page_15[[#This Row],[YUVARLAMA]]</f>
        <v>0</v>
      </c>
    </row>
    <row r="582" spans="7:12" x14ac:dyDescent="0.25">
      <c r="G582">
        <f>Table001__Page_15[[#This Row],[FİYAT]]*Table001__Page_15[[#This Row],[MİKTAR]]</f>
        <v>0</v>
      </c>
      <c r="I582">
        <f>Table001__Page_15[[#This Row],[FİYAT]]*Table001__Page_15[[#This Row],[Sütun2]]</f>
        <v>0</v>
      </c>
      <c r="L582" s="50">
        <f>Table001__Page_15[[#This Row],[SATIŞ FİYATI]]-Table001__Page_15[[#This Row],[YUVARLAMA]]</f>
        <v>0</v>
      </c>
    </row>
    <row r="583" spans="7:12" x14ac:dyDescent="0.25">
      <c r="G583">
        <f>Table001__Page_15[[#This Row],[FİYAT]]*Table001__Page_15[[#This Row],[MİKTAR]]</f>
        <v>0</v>
      </c>
      <c r="I583">
        <f>Table001__Page_15[[#This Row],[FİYAT]]*Table001__Page_15[[#This Row],[Sütun2]]</f>
        <v>0</v>
      </c>
      <c r="L583" s="50">
        <f>Table001__Page_15[[#This Row],[SATIŞ FİYATI]]-Table001__Page_15[[#This Row],[YUVARLAMA]]</f>
        <v>0</v>
      </c>
    </row>
    <row r="584" spans="7:12" x14ac:dyDescent="0.25">
      <c r="G584">
        <f>Table001__Page_15[[#This Row],[FİYAT]]*Table001__Page_15[[#This Row],[MİKTAR]]</f>
        <v>0</v>
      </c>
      <c r="I584">
        <f>Table001__Page_15[[#This Row],[FİYAT]]*Table001__Page_15[[#This Row],[Sütun2]]</f>
        <v>0</v>
      </c>
      <c r="L584" s="50">
        <f>Table001__Page_15[[#This Row],[SATIŞ FİYATI]]-Table001__Page_15[[#This Row],[YUVARLAMA]]</f>
        <v>0</v>
      </c>
    </row>
    <row r="585" spans="7:12" x14ac:dyDescent="0.25">
      <c r="G585">
        <f>Table001__Page_15[[#This Row],[FİYAT]]*Table001__Page_15[[#This Row],[MİKTAR]]</f>
        <v>0</v>
      </c>
      <c r="I585">
        <f>Table001__Page_15[[#This Row],[FİYAT]]*Table001__Page_15[[#This Row],[Sütun2]]</f>
        <v>0</v>
      </c>
      <c r="L585" s="50">
        <f>Table001__Page_15[[#This Row],[SATIŞ FİYATI]]-Table001__Page_15[[#This Row],[YUVARLAMA]]</f>
        <v>0</v>
      </c>
    </row>
    <row r="586" spans="7:12" x14ac:dyDescent="0.25">
      <c r="G586">
        <f>Table001__Page_15[[#This Row],[FİYAT]]*Table001__Page_15[[#This Row],[MİKTAR]]</f>
        <v>0</v>
      </c>
      <c r="I586">
        <f>Table001__Page_15[[#This Row],[FİYAT]]*Table001__Page_15[[#This Row],[Sütun2]]</f>
        <v>0</v>
      </c>
      <c r="L586" s="50">
        <f>Table001__Page_15[[#This Row],[SATIŞ FİYATI]]-Table001__Page_15[[#This Row],[YUVARLAMA]]</f>
        <v>0</v>
      </c>
    </row>
    <row r="587" spans="7:12" x14ac:dyDescent="0.25">
      <c r="G587">
        <f>Table001__Page_15[[#This Row],[FİYAT]]*Table001__Page_15[[#This Row],[MİKTAR]]</f>
        <v>0</v>
      </c>
      <c r="I587">
        <f>Table001__Page_15[[#This Row],[FİYAT]]*Table001__Page_15[[#This Row],[Sütun2]]</f>
        <v>0</v>
      </c>
      <c r="L587" s="50">
        <f>Table001__Page_15[[#This Row],[SATIŞ FİYATI]]-Table001__Page_15[[#This Row],[YUVARLAMA]]</f>
        <v>0</v>
      </c>
    </row>
    <row r="588" spans="7:12" x14ac:dyDescent="0.25">
      <c r="G588">
        <f>Table001__Page_15[[#This Row],[FİYAT]]*Table001__Page_15[[#This Row],[MİKTAR]]</f>
        <v>0</v>
      </c>
      <c r="I588">
        <f>Table001__Page_15[[#This Row],[FİYAT]]*Table001__Page_15[[#This Row],[Sütun2]]</f>
        <v>0</v>
      </c>
      <c r="L588" s="50">
        <f>Table001__Page_15[[#This Row],[SATIŞ FİYATI]]-Table001__Page_15[[#This Row],[YUVARLAMA]]</f>
        <v>0</v>
      </c>
    </row>
    <row r="589" spans="7:12" x14ac:dyDescent="0.25">
      <c r="G589">
        <f>Table001__Page_15[[#This Row],[FİYAT]]*Table001__Page_15[[#This Row],[MİKTAR]]</f>
        <v>0</v>
      </c>
      <c r="I589">
        <f>Table001__Page_15[[#This Row],[FİYAT]]*Table001__Page_15[[#This Row],[Sütun2]]</f>
        <v>0</v>
      </c>
      <c r="L589" s="50">
        <f>Table001__Page_15[[#This Row],[SATIŞ FİYATI]]-Table001__Page_15[[#This Row],[YUVARLAMA]]</f>
        <v>0</v>
      </c>
    </row>
    <row r="590" spans="7:12" x14ac:dyDescent="0.25">
      <c r="G590">
        <f>Table001__Page_15[[#This Row],[FİYAT]]*Table001__Page_15[[#This Row],[MİKTAR]]</f>
        <v>0</v>
      </c>
      <c r="I590">
        <f>Table001__Page_15[[#This Row],[FİYAT]]*Table001__Page_15[[#This Row],[Sütun2]]</f>
        <v>0</v>
      </c>
      <c r="L590" s="50">
        <f>Table001__Page_15[[#This Row],[SATIŞ FİYATI]]-Table001__Page_15[[#This Row],[YUVARLAMA]]</f>
        <v>0</v>
      </c>
    </row>
    <row r="591" spans="7:12" x14ac:dyDescent="0.25">
      <c r="G591">
        <f>Table001__Page_15[[#This Row],[FİYAT]]*Table001__Page_15[[#This Row],[MİKTAR]]</f>
        <v>0</v>
      </c>
      <c r="I591">
        <f>Table001__Page_15[[#This Row],[FİYAT]]*Table001__Page_15[[#This Row],[Sütun2]]</f>
        <v>0</v>
      </c>
      <c r="L591" s="50">
        <f>Table001__Page_15[[#This Row],[SATIŞ FİYATI]]-Table001__Page_15[[#This Row],[YUVARLAMA]]</f>
        <v>0</v>
      </c>
    </row>
    <row r="592" spans="7:12" x14ac:dyDescent="0.25">
      <c r="G592">
        <f>Table001__Page_15[[#This Row],[FİYAT]]*Table001__Page_15[[#This Row],[MİKTAR]]</f>
        <v>0</v>
      </c>
      <c r="I592">
        <f>Table001__Page_15[[#This Row],[FİYAT]]*Table001__Page_15[[#This Row],[Sütun2]]</f>
        <v>0</v>
      </c>
      <c r="L592" s="50">
        <f>Table001__Page_15[[#This Row],[SATIŞ FİYATI]]-Table001__Page_15[[#This Row],[YUVARLAMA]]</f>
        <v>0</v>
      </c>
    </row>
    <row r="593" spans="7:12" x14ac:dyDescent="0.25">
      <c r="G593">
        <f>Table001__Page_15[[#This Row],[FİYAT]]*Table001__Page_15[[#This Row],[MİKTAR]]</f>
        <v>0</v>
      </c>
      <c r="I593">
        <f>Table001__Page_15[[#This Row],[FİYAT]]*Table001__Page_15[[#This Row],[Sütun2]]</f>
        <v>0</v>
      </c>
      <c r="L593" s="50">
        <f>Table001__Page_15[[#This Row],[SATIŞ FİYATI]]-Table001__Page_15[[#This Row],[YUVARLAMA]]</f>
        <v>0</v>
      </c>
    </row>
    <row r="594" spans="7:12" x14ac:dyDescent="0.25">
      <c r="G594">
        <f>Table001__Page_15[[#This Row],[FİYAT]]*Table001__Page_15[[#This Row],[MİKTAR]]</f>
        <v>0</v>
      </c>
      <c r="I594">
        <f>Table001__Page_15[[#This Row],[FİYAT]]*Table001__Page_15[[#This Row],[Sütun2]]</f>
        <v>0</v>
      </c>
      <c r="L594" s="50">
        <f>Table001__Page_15[[#This Row],[SATIŞ FİYATI]]-Table001__Page_15[[#This Row],[YUVARLAMA]]</f>
        <v>0</v>
      </c>
    </row>
    <row r="595" spans="7:12" x14ac:dyDescent="0.25">
      <c r="G595">
        <f>Table001__Page_15[[#This Row],[FİYAT]]*Table001__Page_15[[#This Row],[MİKTAR]]</f>
        <v>0</v>
      </c>
      <c r="I595">
        <f>Table001__Page_15[[#This Row],[FİYAT]]*Table001__Page_15[[#This Row],[Sütun2]]</f>
        <v>0</v>
      </c>
      <c r="L595" s="50">
        <f>Table001__Page_15[[#This Row],[SATIŞ FİYATI]]-Table001__Page_15[[#This Row],[YUVARLAMA]]</f>
        <v>0</v>
      </c>
    </row>
    <row r="596" spans="7:12" x14ac:dyDescent="0.25">
      <c r="G596">
        <f>Table001__Page_15[[#This Row],[FİYAT]]*Table001__Page_15[[#This Row],[MİKTAR]]</f>
        <v>0</v>
      </c>
      <c r="I596">
        <f>Table001__Page_15[[#This Row],[FİYAT]]*Table001__Page_15[[#This Row],[Sütun2]]</f>
        <v>0</v>
      </c>
      <c r="L596" s="50">
        <f>Table001__Page_15[[#This Row],[SATIŞ FİYATI]]-Table001__Page_15[[#This Row],[YUVARLAMA]]</f>
        <v>0</v>
      </c>
    </row>
    <row r="597" spans="7:12" x14ac:dyDescent="0.25">
      <c r="G597">
        <f>Table001__Page_15[[#This Row],[FİYAT]]*Table001__Page_15[[#This Row],[MİKTAR]]</f>
        <v>0</v>
      </c>
      <c r="I597">
        <f>Table001__Page_15[[#This Row],[FİYAT]]*Table001__Page_15[[#This Row],[Sütun2]]</f>
        <v>0</v>
      </c>
      <c r="L597" s="50">
        <f>Table001__Page_15[[#This Row],[SATIŞ FİYATI]]-Table001__Page_15[[#This Row],[YUVARLAMA]]</f>
        <v>0</v>
      </c>
    </row>
    <row r="598" spans="7:12" x14ac:dyDescent="0.25">
      <c r="G598">
        <f>Table001__Page_15[[#This Row],[FİYAT]]*Table001__Page_15[[#This Row],[MİKTAR]]</f>
        <v>0</v>
      </c>
      <c r="I598">
        <f>Table001__Page_15[[#This Row],[FİYAT]]*Table001__Page_15[[#This Row],[Sütun2]]</f>
        <v>0</v>
      </c>
      <c r="L598" s="50">
        <f>Table001__Page_15[[#This Row],[SATIŞ FİYATI]]-Table001__Page_15[[#This Row],[YUVARLAMA]]</f>
        <v>0</v>
      </c>
    </row>
    <row r="599" spans="7:12" x14ac:dyDescent="0.25">
      <c r="G599">
        <f>Table001__Page_15[[#This Row],[FİYAT]]*Table001__Page_15[[#This Row],[MİKTAR]]</f>
        <v>0</v>
      </c>
      <c r="I599">
        <f>Table001__Page_15[[#This Row],[FİYAT]]*Table001__Page_15[[#This Row],[Sütun2]]</f>
        <v>0</v>
      </c>
      <c r="L599" s="50">
        <f>Table001__Page_15[[#This Row],[SATIŞ FİYATI]]-Table001__Page_15[[#This Row],[YUVARLAMA]]</f>
        <v>0</v>
      </c>
    </row>
    <row r="600" spans="7:12" x14ac:dyDescent="0.25">
      <c r="G600">
        <f>Table001__Page_15[[#This Row],[FİYAT]]*Table001__Page_15[[#This Row],[MİKTAR]]</f>
        <v>0</v>
      </c>
      <c r="I600">
        <f>Table001__Page_15[[#This Row],[FİYAT]]*Table001__Page_15[[#This Row],[Sütun2]]</f>
        <v>0</v>
      </c>
      <c r="L600" s="50">
        <f>Table001__Page_15[[#This Row],[SATIŞ FİYATI]]-Table001__Page_15[[#This Row],[YUVARLAMA]]</f>
        <v>0</v>
      </c>
    </row>
    <row r="601" spans="7:12" x14ac:dyDescent="0.25">
      <c r="G601">
        <f>Table001__Page_15[[#This Row],[FİYAT]]*Table001__Page_15[[#This Row],[MİKTAR]]</f>
        <v>0</v>
      </c>
      <c r="I601">
        <f>Table001__Page_15[[#This Row],[FİYAT]]*Table001__Page_15[[#This Row],[Sütun2]]</f>
        <v>0</v>
      </c>
      <c r="L601" s="50">
        <f>Table001__Page_15[[#This Row],[SATIŞ FİYATI]]-Table001__Page_15[[#This Row],[YUVARLAMA]]</f>
        <v>0</v>
      </c>
    </row>
    <row r="602" spans="7:12" x14ac:dyDescent="0.25">
      <c r="G602">
        <f>Table001__Page_15[[#This Row],[FİYAT]]*Table001__Page_15[[#This Row],[MİKTAR]]</f>
        <v>0</v>
      </c>
      <c r="I602">
        <f>Table001__Page_15[[#This Row],[FİYAT]]*Table001__Page_15[[#This Row],[Sütun2]]</f>
        <v>0</v>
      </c>
      <c r="L602" s="50">
        <f>Table001__Page_15[[#This Row],[SATIŞ FİYATI]]-Table001__Page_15[[#This Row],[YUVARLAMA]]</f>
        <v>0</v>
      </c>
    </row>
    <row r="603" spans="7:12" x14ac:dyDescent="0.25">
      <c r="G603">
        <f>Table001__Page_15[[#This Row],[FİYAT]]*Table001__Page_15[[#This Row],[MİKTAR]]</f>
        <v>0</v>
      </c>
      <c r="I603">
        <f>Table001__Page_15[[#This Row],[FİYAT]]*Table001__Page_15[[#This Row],[Sütun2]]</f>
        <v>0</v>
      </c>
      <c r="L603" s="50">
        <f>Table001__Page_15[[#This Row],[SATIŞ FİYATI]]-Table001__Page_15[[#This Row],[YUVARLAMA]]</f>
        <v>0</v>
      </c>
    </row>
    <row r="604" spans="7:12" x14ac:dyDescent="0.25">
      <c r="G604">
        <f>Table001__Page_15[[#This Row],[FİYAT]]*Table001__Page_15[[#This Row],[MİKTAR]]</f>
        <v>0</v>
      </c>
      <c r="I604">
        <f>Table001__Page_15[[#This Row],[FİYAT]]*Table001__Page_15[[#This Row],[Sütun2]]</f>
        <v>0</v>
      </c>
      <c r="L604" s="50">
        <f>Table001__Page_15[[#This Row],[SATIŞ FİYATI]]-Table001__Page_15[[#This Row],[YUVARLAMA]]</f>
        <v>0</v>
      </c>
    </row>
    <row r="605" spans="7:12" x14ac:dyDescent="0.25">
      <c r="G605">
        <f>Table001__Page_15[[#This Row],[FİYAT]]*Table001__Page_15[[#This Row],[MİKTAR]]</f>
        <v>0</v>
      </c>
      <c r="I605">
        <f>Table001__Page_15[[#This Row],[FİYAT]]*Table001__Page_15[[#This Row],[Sütun2]]</f>
        <v>0</v>
      </c>
      <c r="L605" s="50">
        <f>Table001__Page_15[[#This Row],[SATIŞ FİYATI]]-Table001__Page_15[[#This Row],[YUVARLAMA]]</f>
        <v>0</v>
      </c>
    </row>
    <row r="606" spans="7:12" x14ac:dyDescent="0.25">
      <c r="G606">
        <f>Table001__Page_15[[#This Row],[FİYAT]]*Table001__Page_15[[#This Row],[MİKTAR]]</f>
        <v>0</v>
      </c>
      <c r="I606">
        <f>Table001__Page_15[[#This Row],[FİYAT]]*Table001__Page_15[[#This Row],[Sütun2]]</f>
        <v>0</v>
      </c>
      <c r="L606" s="50">
        <f>Table001__Page_15[[#This Row],[SATIŞ FİYATI]]-Table001__Page_15[[#This Row],[YUVARLAMA]]</f>
        <v>0</v>
      </c>
    </row>
    <row r="607" spans="7:12" x14ac:dyDescent="0.25">
      <c r="G607">
        <f>Table001__Page_15[[#This Row],[FİYAT]]*Table001__Page_15[[#This Row],[MİKTAR]]</f>
        <v>0</v>
      </c>
      <c r="I607">
        <f>Table001__Page_15[[#This Row],[FİYAT]]*Table001__Page_15[[#This Row],[Sütun2]]</f>
        <v>0</v>
      </c>
      <c r="L607" s="50">
        <f>Table001__Page_15[[#This Row],[SATIŞ FİYATI]]-Table001__Page_15[[#This Row],[YUVARLAMA]]</f>
        <v>0</v>
      </c>
    </row>
    <row r="608" spans="7:12" x14ac:dyDescent="0.25">
      <c r="G608">
        <f>Table001__Page_15[[#This Row],[FİYAT]]*Table001__Page_15[[#This Row],[MİKTAR]]</f>
        <v>0</v>
      </c>
      <c r="I608">
        <f>Table001__Page_15[[#This Row],[FİYAT]]*Table001__Page_15[[#This Row],[Sütun2]]</f>
        <v>0</v>
      </c>
      <c r="L608" s="50">
        <f>Table001__Page_15[[#This Row],[SATIŞ FİYATI]]-Table001__Page_15[[#This Row],[YUVARLAMA]]</f>
        <v>0</v>
      </c>
    </row>
    <row r="609" spans="7:12" x14ac:dyDescent="0.25">
      <c r="G609">
        <f>Table001__Page_15[[#This Row],[FİYAT]]*Table001__Page_15[[#This Row],[MİKTAR]]</f>
        <v>0</v>
      </c>
      <c r="I609">
        <f>Table001__Page_15[[#This Row],[FİYAT]]*Table001__Page_15[[#This Row],[Sütun2]]</f>
        <v>0</v>
      </c>
      <c r="L609" s="50">
        <f>Table001__Page_15[[#This Row],[SATIŞ FİYATI]]-Table001__Page_15[[#This Row],[YUVARLAMA]]</f>
        <v>0</v>
      </c>
    </row>
    <row r="610" spans="7:12" x14ac:dyDescent="0.25">
      <c r="G610">
        <f>Table001__Page_15[[#This Row],[FİYAT]]*Table001__Page_15[[#This Row],[MİKTAR]]</f>
        <v>0</v>
      </c>
      <c r="I610">
        <f>Table001__Page_15[[#This Row],[FİYAT]]*Table001__Page_15[[#This Row],[Sütun2]]</f>
        <v>0</v>
      </c>
      <c r="L610" s="50">
        <f>Table001__Page_15[[#This Row],[SATIŞ FİYATI]]-Table001__Page_15[[#This Row],[YUVARLAMA]]</f>
        <v>0</v>
      </c>
    </row>
    <row r="611" spans="7:12" x14ac:dyDescent="0.25">
      <c r="G611">
        <f>Table001__Page_15[[#This Row],[FİYAT]]*Table001__Page_15[[#This Row],[MİKTAR]]</f>
        <v>0</v>
      </c>
      <c r="I611">
        <f>Table001__Page_15[[#This Row],[FİYAT]]*Table001__Page_15[[#This Row],[Sütun2]]</f>
        <v>0</v>
      </c>
      <c r="L611" s="50">
        <f>Table001__Page_15[[#This Row],[SATIŞ FİYATI]]-Table001__Page_15[[#This Row],[YUVARLAMA]]</f>
        <v>0</v>
      </c>
    </row>
    <row r="612" spans="7:12" x14ac:dyDescent="0.25">
      <c r="G612">
        <f>Table001__Page_15[[#This Row],[FİYAT]]*Table001__Page_15[[#This Row],[MİKTAR]]</f>
        <v>0</v>
      </c>
      <c r="I612">
        <f>Table001__Page_15[[#This Row],[FİYAT]]*Table001__Page_15[[#This Row],[Sütun2]]</f>
        <v>0</v>
      </c>
      <c r="L612" s="50">
        <f>Table001__Page_15[[#This Row],[SATIŞ FİYATI]]-Table001__Page_15[[#This Row],[YUVARLAMA]]</f>
        <v>0</v>
      </c>
    </row>
    <row r="613" spans="7:12" x14ac:dyDescent="0.25">
      <c r="G613">
        <f>Table001__Page_15[[#This Row],[FİYAT]]*Table001__Page_15[[#This Row],[MİKTAR]]</f>
        <v>0</v>
      </c>
      <c r="I613">
        <f>Table001__Page_15[[#This Row],[FİYAT]]*Table001__Page_15[[#This Row],[Sütun2]]</f>
        <v>0</v>
      </c>
      <c r="L613" s="50">
        <f>Table001__Page_15[[#This Row],[SATIŞ FİYATI]]-Table001__Page_15[[#This Row],[YUVARLAMA]]</f>
        <v>0</v>
      </c>
    </row>
    <row r="614" spans="7:12" x14ac:dyDescent="0.25">
      <c r="G614">
        <f>Table001__Page_15[[#This Row],[FİYAT]]*Table001__Page_15[[#This Row],[MİKTAR]]</f>
        <v>0</v>
      </c>
      <c r="I614">
        <f>Table001__Page_15[[#This Row],[FİYAT]]*Table001__Page_15[[#This Row],[Sütun2]]</f>
        <v>0</v>
      </c>
      <c r="L614" s="50">
        <f>Table001__Page_15[[#This Row],[SATIŞ FİYATI]]-Table001__Page_15[[#This Row],[YUVARLAMA]]</f>
        <v>0</v>
      </c>
    </row>
    <row r="615" spans="7:12" x14ac:dyDescent="0.25">
      <c r="G615">
        <f>Table001__Page_15[[#This Row],[FİYAT]]*Table001__Page_15[[#This Row],[MİKTAR]]</f>
        <v>0</v>
      </c>
      <c r="I615">
        <f>Table001__Page_15[[#This Row],[FİYAT]]*Table001__Page_15[[#This Row],[Sütun2]]</f>
        <v>0</v>
      </c>
      <c r="L615" s="50">
        <f>Table001__Page_15[[#This Row],[SATIŞ FİYATI]]-Table001__Page_15[[#This Row],[YUVARLAMA]]</f>
        <v>0</v>
      </c>
    </row>
    <row r="616" spans="7:12" x14ac:dyDescent="0.25">
      <c r="G616">
        <f>Table001__Page_15[[#This Row],[FİYAT]]*Table001__Page_15[[#This Row],[MİKTAR]]</f>
        <v>0</v>
      </c>
      <c r="I616">
        <f>Table001__Page_15[[#This Row],[FİYAT]]*Table001__Page_15[[#This Row],[Sütun2]]</f>
        <v>0</v>
      </c>
      <c r="L616" s="50">
        <f>Table001__Page_15[[#This Row],[SATIŞ FİYATI]]-Table001__Page_15[[#This Row],[YUVARLAMA]]</f>
        <v>0</v>
      </c>
    </row>
    <row r="617" spans="7:12" x14ac:dyDescent="0.25">
      <c r="G617">
        <f>Table001__Page_15[[#This Row],[FİYAT]]*Table001__Page_15[[#This Row],[MİKTAR]]</f>
        <v>0</v>
      </c>
      <c r="I617">
        <f>Table001__Page_15[[#This Row],[FİYAT]]*Table001__Page_15[[#This Row],[Sütun2]]</f>
        <v>0</v>
      </c>
      <c r="L617" s="50">
        <f>Table001__Page_15[[#This Row],[SATIŞ FİYATI]]-Table001__Page_15[[#This Row],[YUVARLAMA]]</f>
        <v>0</v>
      </c>
    </row>
    <row r="618" spans="7:12" x14ac:dyDescent="0.25">
      <c r="G618">
        <f>Table001__Page_15[[#This Row],[FİYAT]]*Table001__Page_15[[#This Row],[MİKTAR]]</f>
        <v>0</v>
      </c>
      <c r="I618">
        <f>Table001__Page_15[[#This Row],[FİYAT]]*Table001__Page_15[[#This Row],[Sütun2]]</f>
        <v>0</v>
      </c>
      <c r="L618" s="50">
        <f>Table001__Page_15[[#This Row],[SATIŞ FİYATI]]-Table001__Page_15[[#This Row],[YUVARLAMA]]</f>
        <v>0</v>
      </c>
    </row>
    <row r="619" spans="7:12" x14ac:dyDescent="0.25">
      <c r="G619">
        <f>Table001__Page_15[[#This Row],[FİYAT]]*Table001__Page_15[[#This Row],[MİKTAR]]</f>
        <v>0</v>
      </c>
      <c r="I619">
        <f>Table001__Page_15[[#This Row],[FİYAT]]*Table001__Page_15[[#This Row],[Sütun2]]</f>
        <v>0</v>
      </c>
      <c r="L619" s="50">
        <f>Table001__Page_15[[#This Row],[SATIŞ FİYATI]]-Table001__Page_15[[#This Row],[YUVARLAMA]]</f>
        <v>0</v>
      </c>
    </row>
    <row r="620" spans="7:12" x14ac:dyDescent="0.25">
      <c r="G620">
        <f>Table001__Page_15[[#This Row],[FİYAT]]*Table001__Page_15[[#This Row],[MİKTAR]]</f>
        <v>0</v>
      </c>
      <c r="I620">
        <f>Table001__Page_15[[#This Row],[FİYAT]]*Table001__Page_15[[#This Row],[Sütun2]]</f>
        <v>0</v>
      </c>
      <c r="L620" s="50">
        <f>Table001__Page_15[[#This Row],[SATIŞ FİYATI]]-Table001__Page_15[[#This Row],[YUVARLAMA]]</f>
        <v>0</v>
      </c>
    </row>
    <row r="621" spans="7:12" x14ac:dyDescent="0.25">
      <c r="G621">
        <f>Table001__Page_15[[#This Row],[FİYAT]]*Table001__Page_15[[#This Row],[MİKTAR]]</f>
        <v>0</v>
      </c>
      <c r="I621">
        <f>Table001__Page_15[[#This Row],[FİYAT]]*Table001__Page_15[[#This Row],[Sütun2]]</f>
        <v>0</v>
      </c>
      <c r="L621" s="50">
        <f>Table001__Page_15[[#This Row],[SATIŞ FİYATI]]-Table001__Page_15[[#This Row],[YUVARLAMA]]</f>
        <v>0</v>
      </c>
    </row>
    <row r="622" spans="7:12" x14ac:dyDescent="0.25">
      <c r="G622">
        <f>Table001__Page_15[[#This Row],[FİYAT]]*Table001__Page_15[[#This Row],[MİKTAR]]</f>
        <v>0</v>
      </c>
      <c r="I622">
        <f>Table001__Page_15[[#This Row],[FİYAT]]*Table001__Page_15[[#This Row],[Sütun2]]</f>
        <v>0</v>
      </c>
      <c r="L622" s="50">
        <f>Table001__Page_15[[#This Row],[SATIŞ FİYATI]]-Table001__Page_15[[#This Row],[YUVARLAMA]]</f>
        <v>0</v>
      </c>
    </row>
    <row r="623" spans="7:12" x14ac:dyDescent="0.25">
      <c r="G623">
        <f>Table001__Page_15[[#This Row],[FİYAT]]*Table001__Page_15[[#This Row],[MİKTAR]]</f>
        <v>0</v>
      </c>
      <c r="I623">
        <f>Table001__Page_15[[#This Row],[FİYAT]]*Table001__Page_15[[#This Row],[Sütun2]]</f>
        <v>0</v>
      </c>
      <c r="L623" s="50">
        <f>Table001__Page_15[[#This Row],[SATIŞ FİYATI]]-Table001__Page_15[[#This Row],[YUVARLAMA]]</f>
        <v>0</v>
      </c>
    </row>
    <row r="624" spans="7:12" x14ac:dyDescent="0.25">
      <c r="G624">
        <f>Table001__Page_15[[#This Row],[FİYAT]]*Table001__Page_15[[#This Row],[MİKTAR]]</f>
        <v>0</v>
      </c>
      <c r="I624">
        <f>Table001__Page_15[[#This Row],[FİYAT]]*Table001__Page_15[[#This Row],[Sütun2]]</f>
        <v>0</v>
      </c>
      <c r="L624" s="50">
        <f>Table001__Page_15[[#This Row],[SATIŞ FİYATI]]-Table001__Page_15[[#This Row],[YUVARLAMA]]</f>
        <v>0</v>
      </c>
    </row>
    <row r="625" spans="7:12" x14ac:dyDescent="0.25">
      <c r="G625">
        <f>Table001__Page_15[[#This Row],[FİYAT]]*Table001__Page_15[[#This Row],[MİKTAR]]</f>
        <v>0</v>
      </c>
      <c r="I625">
        <f>Table001__Page_15[[#This Row],[FİYAT]]*Table001__Page_15[[#This Row],[Sütun2]]</f>
        <v>0</v>
      </c>
      <c r="L625" s="50">
        <f>Table001__Page_15[[#This Row],[SATIŞ FİYATI]]-Table001__Page_15[[#This Row],[YUVARLAMA]]</f>
        <v>0</v>
      </c>
    </row>
    <row r="626" spans="7:12" x14ac:dyDescent="0.25">
      <c r="G626">
        <f>Table001__Page_15[[#This Row],[FİYAT]]*Table001__Page_15[[#This Row],[MİKTAR]]</f>
        <v>0</v>
      </c>
      <c r="I626">
        <f>Table001__Page_15[[#This Row],[FİYAT]]*Table001__Page_15[[#This Row],[Sütun2]]</f>
        <v>0</v>
      </c>
      <c r="L626" s="50">
        <f>Table001__Page_15[[#This Row],[SATIŞ FİYATI]]-Table001__Page_15[[#This Row],[YUVARLAMA]]</f>
        <v>0</v>
      </c>
    </row>
    <row r="627" spans="7:12" x14ac:dyDescent="0.25">
      <c r="G627">
        <f>Table001__Page_15[[#This Row],[FİYAT]]*Table001__Page_15[[#This Row],[MİKTAR]]</f>
        <v>0</v>
      </c>
      <c r="I627">
        <f>Table001__Page_15[[#This Row],[FİYAT]]*Table001__Page_15[[#This Row],[Sütun2]]</f>
        <v>0</v>
      </c>
      <c r="L627" s="50">
        <f>Table001__Page_15[[#This Row],[SATIŞ FİYATI]]-Table001__Page_15[[#This Row],[YUVARLAMA]]</f>
        <v>0</v>
      </c>
    </row>
    <row r="628" spans="7:12" x14ac:dyDescent="0.25">
      <c r="G628">
        <f>Table001__Page_15[[#This Row],[FİYAT]]*Table001__Page_15[[#This Row],[MİKTAR]]</f>
        <v>0</v>
      </c>
      <c r="I628">
        <f>Table001__Page_15[[#This Row],[FİYAT]]*Table001__Page_15[[#This Row],[Sütun2]]</f>
        <v>0</v>
      </c>
      <c r="L628" s="50">
        <f>Table001__Page_15[[#This Row],[SATIŞ FİYATI]]-Table001__Page_15[[#This Row],[YUVARLAMA]]</f>
        <v>0</v>
      </c>
    </row>
    <row r="629" spans="7:12" x14ac:dyDescent="0.25">
      <c r="G629">
        <f>Table001__Page_15[[#This Row],[FİYAT]]*Table001__Page_15[[#This Row],[MİKTAR]]</f>
        <v>0</v>
      </c>
      <c r="I629">
        <f>Table001__Page_15[[#This Row],[FİYAT]]*Table001__Page_15[[#This Row],[Sütun2]]</f>
        <v>0</v>
      </c>
      <c r="L629" s="50">
        <f>Table001__Page_15[[#This Row],[SATIŞ FİYATI]]-Table001__Page_15[[#This Row],[YUVARLAMA]]</f>
        <v>0</v>
      </c>
    </row>
    <row r="630" spans="7:12" x14ac:dyDescent="0.25">
      <c r="G630">
        <f>Table001__Page_15[[#This Row],[FİYAT]]*Table001__Page_15[[#This Row],[MİKTAR]]</f>
        <v>0</v>
      </c>
      <c r="I630">
        <f>Table001__Page_15[[#This Row],[FİYAT]]*Table001__Page_15[[#This Row],[Sütun2]]</f>
        <v>0</v>
      </c>
      <c r="L630" s="50">
        <f>Table001__Page_15[[#This Row],[SATIŞ FİYATI]]-Table001__Page_15[[#This Row],[YUVARLAMA]]</f>
        <v>0</v>
      </c>
    </row>
    <row r="631" spans="7:12" x14ac:dyDescent="0.25">
      <c r="G631">
        <f>Table001__Page_15[[#This Row],[FİYAT]]*Table001__Page_15[[#This Row],[MİKTAR]]</f>
        <v>0</v>
      </c>
      <c r="I631">
        <f>Table001__Page_15[[#This Row],[FİYAT]]*Table001__Page_15[[#This Row],[Sütun2]]</f>
        <v>0</v>
      </c>
      <c r="L631" s="50">
        <f>Table001__Page_15[[#This Row],[SATIŞ FİYATI]]-Table001__Page_15[[#This Row],[YUVARLAMA]]</f>
        <v>0</v>
      </c>
    </row>
    <row r="632" spans="7:12" x14ac:dyDescent="0.25">
      <c r="G632">
        <f>Table001__Page_15[[#This Row],[FİYAT]]*Table001__Page_15[[#This Row],[MİKTAR]]</f>
        <v>0</v>
      </c>
      <c r="I632">
        <f>Table001__Page_15[[#This Row],[FİYAT]]*Table001__Page_15[[#This Row],[Sütun2]]</f>
        <v>0</v>
      </c>
      <c r="L632" s="50">
        <f>Table001__Page_15[[#This Row],[SATIŞ FİYATI]]-Table001__Page_15[[#This Row],[YUVARLAMA]]</f>
        <v>0</v>
      </c>
    </row>
    <row r="633" spans="7:12" x14ac:dyDescent="0.25">
      <c r="G633">
        <f>Table001__Page_15[[#This Row],[FİYAT]]*Table001__Page_15[[#This Row],[MİKTAR]]</f>
        <v>0</v>
      </c>
      <c r="I633">
        <f>Table001__Page_15[[#This Row],[FİYAT]]*Table001__Page_15[[#This Row],[Sütun2]]</f>
        <v>0</v>
      </c>
      <c r="L633" s="50">
        <f>Table001__Page_15[[#This Row],[SATIŞ FİYATI]]-Table001__Page_15[[#This Row],[YUVARLAMA]]</f>
        <v>0</v>
      </c>
    </row>
    <row r="634" spans="7:12" x14ac:dyDescent="0.25">
      <c r="G634">
        <f>Table001__Page_15[[#This Row],[FİYAT]]*Table001__Page_15[[#This Row],[MİKTAR]]</f>
        <v>0</v>
      </c>
      <c r="I634">
        <f>Table001__Page_15[[#This Row],[FİYAT]]*Table001__Page_15[[#This Row],[Sütun2]]</f>
        <v>0</v>
      </c>
      <c r="L634" s="50">
        <f>Table001__Page_15[[#This Row],[SATIŞ FİYATI]]-Table001__Page_15[[#This Row],[YUVARLAMA]]</f>
        <v>0</v>
      </c>
    </row>
    <row r="635" spans="7:12" x14ac:dyDescent="0.25">
      <c r="G635">
        <f>Table001__Page_15[[#This Row],[FİYAT]]*Table001__Page_15[[#This Row],[MİKTAR]]</f>
        <v>0</v>
      </c>
      <c r="I635">
        <f>Table001__Page_15[[#This Row],[FİYAT]]*Table001__Page_15[[#This Row],[Sütun2]]</f>
        <v>0</v>
      </c>
      <c r="L635" s="50">
        <f>Table001__Page_15[[#This Row],[SATIŞ FİYATI]]-Table001__Page_15[[#This Row],[YUVARLAMA]]</f>
        <v>0</v>
      </c>
    </row>
    <row r="636" spans="7:12" x14ac:dyDescent="0.25">
      <c r="G636">
        <f>Table001__Page_15[[#This Row],[FİYAT]]*Table001__Page_15[[#This Row],[MİKTAR]]</f>
        <v>0</v>
      </c>
      <c r="I636">
        <f>Table001__Page_15[[#This Row],[FİYAT]]*Table001__Page_15[[#This Row],[Sütun2]]</f>
        <v>0</v>
      </c>
      <c r="L636" s="50">
        <f>Table001__Page_15[[#This Row],[SATIŞ FİYATI]]-Table001__Page_15[[#This Row],[YUVARLAMA]]</f>
        <v>0</v>
      </c>
    </row>
    <row r="637" spans="7:12" x14ac:dyDescent="0.25">
      <c r="G637">
        <f>Table001__Page_15[[#This Row],[FİYAT]]*Table001__Page_15[[#This Row],[MİKTAR]]</f>
        <v>0</v>
      </c>
      <c r="I637">
        <f>Table001__Page_15[[#This Row],[FİYAT]]*Table001__Page_15[[#This Row],[Sütun2]]</f>
        <v>0</v>
      </c>
      <c r="L637" s="50">
        <f>Table001__Page_15[[#This Row],[SATIŞ FİYATI]]-Table001__Page_15[[#This Row],[YUVARLAMA]]</f>
        <v>0</v>
      </c>
    </row>
    <row r="638" spans="7:12" x14ac:dyDescent="0.25">
      <c r="G638">
        <f>Table001__Page_15[[#This Row],[FİYAT]]*Table001__Page_15[[#This Row],[MİKTAR]]</f>
        <v>0</v>
      </c>
      <c r="I638">
        <f>Table001__Page_15[[#This Row],[FİYAT]]*Table001__Page_15[[#This Row],[Sütun2]]</f>
        <v>0</v>
      </c>
      <c r="L638" s="50">
        <f>Table001__Page_15[[#This Row],[SATIŞ FİYATI]]-Table001__Page_15[[#This Row],[YUVARLAMA]]</f>
        <v>0</v>
      </c>
    </row>
    <row r="639" spans="7:12" x14ac:dyDescent="0.25">
      <c r="G639">
        <f>Table001__Page_15[[#This Row],[FİYAT]]*Table001__Page_15[[#This Row],[MİKTAR]]</f>
        <v>0</v>
      </c>
      <c r="I639">
        <f>Table001__Page_15[[#This Row],[FİYAT]]*Table001__Page_15[[#This Row],[Sütun2]]</f>
        <v>0</v>
      </c>
      <c r="L639" s="50">
        <f>Table001__Page_15[[#This Row],[SATIŞ FİYATI]]-Table001__Page_15[[#This Row],[YUVARLAMA]]</f>
        <v>0</v>
      </c>
    </row>
    <row r="640" spans="7:12" x14ac:dyDescent="0.25">
      <c r="G640">
        <f>Table001__Page_15[[#This Row],[FİYAT]]*Table001__Page_15[[#This Row],[MİKTAR]]</f>
        <v>0</v>
      </c>
      <c r="I640">
        <f>Table001__Page_15[[#This Row],[FİYAT]]*Table001__Page_15[[#This Row],[Sütun2]]</f>
        <v>0</v>
      </c>
      <c r="L640" s="50">
        <f>Table001__Page_15[[#This Row],[SATIŞ FİYATI]]-Table001__Page_15[[#This Row],[YUVARLAMA]]</f>
        <v>0</v>
      </c>
    </row>
    <row r="641" spans="7:12" x14ac:dyDescent="0.25">
      <c r="G641">
        <f>Table001__Page_15[[#This Row],[FİYAT]]*Table001__Page_15[[#This Row],[MİKTAR]]</f>
        <v>0</v>
      </c>
      <c r="I641">
        <f>Table001__Page_15[[#This Row],[FİYAT]]*Table001__Page_15[[#This Row],[Sütun2]]</f>
        <v>0</v>
      </c>
      <c r="L641" s="50">
        <f>Table001__Page_15[[#This Row],[SATIŞ FİYATI]]-Table001__Page_15[[#This Row],[YUVARLAMA]]</f>
        <v>0</v>
      </c>
    </row>
    <row r="642" spans="7:12" x14ac:dyDescent="0.25">
      <c r="G642">
        <f>Table001__Page_15[[#This Row],[FİYAT]]*Table001__Page_15[[#This Row],[MİKTAR]]</f>
        <v>0</v>
      </c>
      <c r="I642">
        <f>Table001__Page_15[[#This Row],[FİYAT]]*Table001__Page_15[[#This Row],[Sütun2]]</f>
        <v>0</v>
      </c>
      <c r="L642" s="50">
        <f>Table001__Page_15[[#This Row],[SATIŞ FİYATI]]-Table001__Page_15[[#This Row],[YUVARLAMA]]</f>
        <v>0</v>
      </c>
    </row>
    <row r="643" spans="7:12" x14ac:dyDescent="0.25">
      <c r="G643">
        <f>Table001__Page_15[[#This Row],[FİYAT]]*Table001__Page_15[[#This Row],[MİKTAR]]</f>
        <v>0</v>
      </c>
      <c r="I643">
        <f>Table001__Page_15[[#This Row],[FİYAT]]*Table001__Page_15[[#This Row],[Sütun2]]</f>
        <v>0</v>
      </c>
      <c r="L643" s="50">
        <f>Table001__Page_15[[#This Row],[SATIŞ FİYATI]]-Table001__Page_15[[#This Row],[YUVARLAMA]]</f>
        <v>0</v>
      </c>
    </row>
    <row r="644" spans="7:12" x14ac:dyDescent="0.25">
      <c r="G644">
        <f>Table001__Page_15[[#This Row],[FİYAT]]*Table001__Page_15[[#This Row],[MİKTAR]]</f>
        <v>0</v>
      </c>
      <c r="I644">
        <f>Table001__Page_15[[#This Row],[FİYAT]]*Table001__Page_15[[#This Row],[Sütun2]]</f>
        <v>0</v>
      </c>
      <c r="L644" s="50">
        <f>Table001__Page_15[[#This Row],[SATIŞ FİYATI]]-Table001__Page_15[[#This Row],[YUVARLAMA]]</f>
        <v>0</v>
      </c>
    </row>
    <row r="645" spans="7:12" x14ac:dyDescent="0.25">
      <c r="G645">
        <f>Table001__Page_15[[#This Row],[FİYAT]]*Table001__Page_15[[#This Row],[MİKTAR]]</f>
        <v>0</v>
      </c>
      <c r="I645">
        <f>Table001__Page_15[[#This Row],[FİYAT]]*Table001__Page_15[[#This Row],[Sütun2]]</f>
        <v>0</v>
      </c>
      <c r="L645" s="50">
        <f>Table001__Page_15[[#This Row],[SATIŞ FİYATI]]-Table001__Page_15[[#This Row],[YUVARLAMA]]</f>
        <v>0</v>
      </c>
    </row>
    <row r="646" spans="7:12" x14ac:dyDescent="0.25">
      <c r="G646">
        <f>Table001__Page_15[[#This Row],[FİYAT]]*Table001__Page_15[[#This Row],[MİKTAR]]</f>
        <v>0</v>
      </c>
      <c r="I646">
        <f>Table001__Page_15[[#This Row],[FİYAT]]*Table001__Page_15[[#This Row],[Sütun2]]</f>
        <v>0</v>
      </c>
      <c r="L646" s="50">
        <f>Table001__Page_15[[#This Row],[SATIŞ FİYATI]]-Table001__Page_15[[#This Row],[YUVARLAMA]]</f>
        <v>0</v>
      </c>
    </row>
    <row r="647" spans="7:12" x14ac:dyDescent="0.25">
      <c r="G647">
        <f>Table001__Page_15[[#This Row],[FİYAT]]*Table001__Page_15[[#This Row],[MİKTAR]]</f>
        <v>0</v>
      </c>
      <c r="I647">
        <f>Table001__Page_15[[#This Row],[FİYAT]]*Table001__Page_15[[#This Row],[Sütun2]]</f>
        <v>0</v>
      </c>
      <c r="L647" s="50">
        <f>Table001__Page_15[[#This Row],[SATIŞ FİYATI]]-Table001__Page_15[[#This Row],[YUVARLAMA]]</f>
        <v>0</v>
      </c>
    </row>
    <row r="648" spans="7:12" x14ac:dyDescent="0.25">
      <c r="G648">
        <f>Table001__Page_15[[#This Row],[FİYAT]]*Table001__Page_15[[#This Row],[MİKTAR]]</f>
        <v>0</v>
      </c>
      <c r="I648">
        <f>Table001__Page_15[[#This Row],[FİYAT]]*Table001__Page_15[[#This Row],[Sütun2]]</f>
        <v>0</v>
      </c>
      <c r="L648" s="50">
        <f>Table001__Page_15[[#This Row],[SATIŞ FİYATI]]-Table001__Page_15[[#This Row],[YUVARLAMA]]</f>
        <v>0</v>
      </c>
    </row>
    <row r="649" spans="7:12" x14ac:dyDescent="0.25">
      <c r="G649">
        <f>Table001__Page_15[[#This Row],[FİYAT]]*Table001__Page_15[[#This Row],[MİKTAR]]</f>
        <v>0</v>
      </c>
      <c r="I649">
        <f>Table001__Page_15[[#This Row],[FİYAT]]*Table001__Page_15[[#This Row],[Sütun2]]</f>
        <v>0</v>
      </c>
      <c r="L649" s="50">
        <f>Table001__Page_15[[#This Row],[SATIŞ FİYATI]]-Table001__Page_15[[#This Row],[YUVARLAMA]]</f>
        <v>0</v>
      </c>
    </row>
    <row r="650" spans="7:12" x14ac:dyDescent="0.25">
      <c r="G650">
        <f>Table001__Page_15[[#This Row],[FİYAT]]*Table001__Page_15[[#This Row],[MİKTAR]]</f>
        <v>0</v>
      </c>
      <c r="I650">
        <f>Table001__Page_15[[#This Row],[FİYAT]]*Table001__Page_15[[#This Row],[Sütun2]]</f>
        <v>0</v>
      </c>
      <c r="L650" s="50">
        <f>Table001__Page_15[[#This Row],[SATIŞ FİYATI]]-Table001__Page_15[[#This Row],[YUVARLAMA]]</f>
        <v>0</v>
      </c>
    </row>
    <row r="651" spans="7:12" x14ac:dyDescent="0.25">
      <c r="G651">
        <f>Table001__Page_15[[#This Row],[FİYAT]]*Table001__Page_15[[#This Row],[MİKTAR]]</f>
        <v>0</v>
      </c>
      <c r="I651">
        <f>Table001__Page_15[[#This Row],[FİYAT]]*Table001__Page_15[[#This Row],[Sütun2]]</f>
        <v>0</v>
      </c>
      <c r="L651" s="50">
        <f>Table001__Page_15[[#This Row],[SATIŞ FİYATI]]-Table001__Page_15[[#This Row],[YUVARLAMA]]</f>
        <v>0</v>
      </c>
    </row>
    <row r="652" spans="7:12" x14ac:dyDescent="0.25">
      <c r="G652">
        <f>Table001__Page_15[[#This Row],[FİYAT]]*Table001__Page_15[[#This Row],[MİKTAR]]</f>
        <v>0</v>
      </c>
      <c r="I652">
        <f>Table001__Page_15[[#This Row],[FİYAT]]*Table001__Page_15[[#This Row],[Sütun2]]</f>
        <v>0</v>
      </c>
      <c r="L652" s="50">
        <f>Table001__Page_15[[#This Row],[SATIŞ FİYATI]]-Table001__Page_15[[#This Row],[YUVARLAMA]]</f>
        <v>0</v>
      </c>
    </row>
    <row r="653" spans="7:12" x14ac:dyDescent="0.25">
      <c r="G653">
        <f>Table001__Page_15[[#This Row],[FİYAT]]*Table001__Page_15[[#This Row],[MİKTAR]]</f>
        <v>0</v>
      </c>
      <c r="I653">
        <f>Table001__Page_15[[#This Row],[FİYAT]]*Table001__Page_15[[#This Row],[Sütun2]]</f>
        <v>0</v>
      </c>
      <c r="L653" s="50">
        <f>Table001__Page_15[[#This Row],[SATIŞ FİYATI]]-Table001__Page_15[[#This Row],[YUVARLAMA]]</f>
        <v>0</v>
      </c>
    </row>
    <row r="654" spans="7:12" x14ac:dyDescent="0.25">
      <c r="G654">
        <f>Table001__Page_15[[#This Row],[FİYAT]]*Table001__Page_15[[#This Row],[MİKTAR]]</f>
        <v>0</v>
      </c>
      <c r="I654">
        <f>Table001__Page_15[[#This Row],[FİYAT]]*Table001__Page_15[[#This Row],[Sütun2]]</f>
        <v>0</v>
      </c>
      <c r="L654" s="50">
        <f>Table001__Page_15[[#This Row],[SATIŞ FİYATI]]-Table001__Page_15[[#This Row],[YUVARLAMA]]</f>
        <v>0</v>
      </c>
    </row>
    <row r="655" spans="7:12" x14ac:dyDescent="0.25">
      <c r="G655">
        <f>Table001__Page_15[[#This Row],[FİYAT]]*Table001__Page_15[[#This Row],[MİKTAR]]</f>
        <v>0</v>
      </c>
      <c r="I655">
        <f>Table001__Page_15[[#This Row],[FİYAT]]*Table001__Page_15[[#This Row],[Sütun2]]</f>
        <v>0</v>
      </c>
      <c r="L655" s="50">
        <f>Table001__Page_15[[#This Row],[SATIŞ FİYATI]]-Table001__Page_15[[#This Row],[YUVARLAMA]]</f>
        <v>0</v>
      </c>
    </row>
    <row r="656" spans="7:12" x14ac:dyDescent="0.25">
      <c r="G656">
        <f>Table001__Page_15[[#This Row],[FİYAT]]*Table001__Page_15[[#This Row],[MİKTAR]]</f>
        <v>0</v>
      </c>
      <c r="I656">
        <f>Table001__Page_15[[#This Row],[FİYAT]]*Table001__Page_15[[#This Row],[Sütun2]]</f>
        <v>0</v>
      </c>
      <c r="L656" s="50">
        <f>Table001__Page_15[[#This Row],[SATIŞ FİYATI]]-Table001__Page_15[[#This Row],[YUVARLAMA]]</f>
        <v>0</v>
      </c>
    </row>
    <row r="657" spans="7:12" x14ac:dyDescent="0.25">
      <c r="G657">
        <f>Table001__Page_15[[#This Row],[FİYAT]]*Table001__Page_15[[#This Row],[MİKTAR]]</f>
        <v>0</v>
      </c>
      <c r="I657">
        <f>Table001__Page_15[[#This Row],[FİYAT]]*Table001__Page_15[[#This Row],[Sütun2]]</f>
        <v>0</v>
      </c>
      <c r="L657" s="50">
        <f>Table001__Page_15[[#This Row],[SATIŞ FİYATI]]-Table001__Page_15[[#This Row],[YUVARLAMA]]</f>
        <v>0</v>
      </c>
    </row>
    <row r="658" spans="7:12" x14ac:dyDescent="0.25">
      <c r="G658">
        <f>Table001__Page_15[[#This Row],[FİYAT]]*Table001__Page_15[[#This Row],[MİKTAR]]</f>
        <v>0</v>
      </c>
      <c r="I658">
        <f>Table001__Page_15[[#This Row],[FİYAT]]*Table001__Page_15[[#This Row],[Sütun2]]</f>
        <v>0</v>
      </c>
      <c r="L658" s="50">
        <f>Table001__Page_15[[#This Row],[SATIŞ FİYATI]]-Table001__Page_15[[#This Row],[YUVARLAMA]]</f>
        <v>0</v>
      </c>
    </row>
    <row r="659" spans="7:12" x14ac:dyDescent="0.25">
      <c r="G659">
        <f>Table001__Page_15[[#This Row],[FİYAT]]*Table001__Page_15[[#This Row],[MİKTAR]]</f>
        <v>0</v>
      </c>
      <c r="I659">
        <f>Table001__Page_15[[#This Row],[FİYAT]]*Table001__Page_15[[#This Row],[Sütun2]]</f>
        <v>0</v>
      </c>
      <c r="L659" s="50">
        <f>Table001__Page_15[[#This Row],[SATIŞ FİYATI]]-Table001__Page_15[[#This Row],[YUVARLAMA]]</f>
        <v>0</v>
      </c>
    </row>
    <row r="660" spans="7:12" x14ac:dyDescent="0.25">
      <c r="G660">
        <f>Table001__Page_15[[#This Row],[FİYAT]]*Table001__Page_15[[#This Row],[MİKTAR]]</f>
        <v>0</v>
      </c>
      <c r="I660">
        <f>Table001__Page_15[[#This Row],[FİYAT]]*Table001__Page_15[[#This Row],[Sütun2]]</f>
        <v>0</v>
      </c>
      <c r="L660" s="50">
        <f>Table001__Page_15[[#This Row],[SATIŞ FİYATI]]-Table001__Page_15[[#This Row],[YUVARLAMA]]</f>
        <v>0</v>
      </c>
    </row>
    <row r="661" spans="7:12" x14ac:dyDescent="0.25">
      <c r="G661">
        <f>Table001__Page_15[[#This Row],[FİYAT]]*Table001__Page_15[[#This Row],[MİKTAR]]</f>
        <v>0</v>
      </c>
      <c r="I661">
        <f>Table001__Page_15[[#This Row],[FİYAT]]*Table001__Page_15[[#This Row],[Sütun2]]</f>
        <v>0</v>
      </c>
      <c r="L661" s="50">
        <f>Table001__Page_15[[#This Row],[SATIŞ FİYATI]]-Table001__Page_15[[#This Row],[YUVARLAMA]]</f>
        <v>0</v>
      </c>
    </row>
    <row r="662" spans="7:12" x14ac:dyDescent="0.25">
      <c r="G662">
        <f>Table001__Page_15[[#This Row],[FİYAT]]*Table001__Page_15[[#This Row],[MİKTAR]]</f>
        <v>0</v>
      </c>
      <c r="I662">
        <f>Table001__Page_15[[#This Row],[FİYAT]]*Table001__Page_15[[#This Row],[Sütun2]]</f>
        <v>0</v>
      </c>
      <c r="L662" s="50">
        <f>Table001__Page_15[[#This Row],[SATIŞ FİYATI]]-Table001__Page_15[[#This Row],[YUVARLAMA]]</f>
        <v>0</v>
      </c>
    </row>
    <row r="663" spans="7:12" x14ac:dyDescent="0.25">
      <c r="G663">
        <f>Table001__Page_15[[#This Row],[FİYAT]]*Table001__Page_15[[#This Row],[MİKTAR]]</f>
        <v>0</v>
      </c>
      <c r="I663">
        <f>Table001__Page_15[[#This Row],[FİYAT]]*Table001__Page_15[[#This Row],[Sütun2]]</f>
        <v>0</v>
      </c>
      <c r="L663" s="50">
        <f>Table001__Page_15[[#This Row],[SATIŞ FİYATI]]-Table001__Page_15[[#This Row],[YUVARLAMA]]</f>
        <v>0</v>
      </c>
    </row>
    <row r="664" spans="7:12" x14ac:dyDescent="0.25">
      <c r="G664">
        <f>Table001__Page_15[[#This Row],[FİYAT]]*Table001__Page_15[[#This Row],[MİKTAR]]</f>
        <v>0</v>
      </c>
      <c r="I664">
        <f>Table001__Page_15[[#This Row],[FİYAT]]*Table001__Page_15[[#This Row],[Sütun2]]</f>
        <v>0</v>
      </c>
      <c r="L664" s="50">
        <f>Table001__Page_15[[#This Row],[SATIŞ FİYATI]]-Table001__Page_15[[#This Row],[YUVARLAMA]]</f>
        <v>0</v>
      </c>
    </row>
    <row r="665" spans="7:12" x14ac:dyDescent="0.25">
      <c r="G665">
        <f>Table001__Page_15[[#This Row],[FİYAT]]*Table001__Page_15[[#This Row],[MİKTAR]]</f>
        <v>0</v>
      </c>
      <c r="I665">
        <f>Table001__Page_15[[#This Row],[FİYAT]]*Table001__Page_15[[#This Row],[Sütun2]]</f>
        <v>0</v>
      </c>
      <c r="L665" s="50">
        <f>Table001__Page_15[[#This Row],[SATIŞ FİYATI]]-Table001__Page_15[[#This Row],[YUVARLAMA]]</f>
        <v>0</v>
      </c>
    </row>
    <row r="666" spans="7:12" x14ac:dyDescent="0.25">
      <c r="G666">
        <f>Table001__Page_15[[#This Row],[FİYAT]]*Table001__Page_15[[#This Row],[MİKTAR]]</f>
        <v>0</v>
      </c>
      <c r="I666">
        <f>Table001__Page_15[[#This Row],[FİYAT]]*Table001__Page_15[[#This Row],[Sütun2]]</f>
        <v>0</v>
      </c>
      <c r="L666" s="50">
        <f>Table001__Page_15[[#This Row],[SATIŞ FİYATI]]-Table001__Page_15[[#This Row],[YUVARLAMA]]</f>
        <v>0</v>
      </c>
    </row>
    <row r="667" spans="7:12" x14ac:dyDescent="0.25">
      <c r="G667">
        <f>Table001__Page_15[[#This Row],[FİYAT]]*Table001__Page_15[[#This Row],[MİKTAR]]</f>
        <v>0</v>
      </c>
      <c r="I667">
        <f>Table001__Page_15[[#This Row],[FİYAT]]*Table001__Page_15[[#This Row],[Sütun2]]</f>
        <v>0</v>
      </c>
      <c r="L667" s="50">
        <f>Table001__Page_15[[#This Row],[SATIŞ FİYATI]]-Table001__Page_15[[#This Row],[YUVARLAMA]]</f>
        <v>0</v>
      </c>
    </row>
    <row r="668" spans="7:12" x14ac:dyDescent="0.25">
      <c r="G668">
        <f>Table001__Page_15[[#This Row],[FİYAT]]*Table001__Page_15[[#This Row],[MİKTAR]]</f>
        <v>0</v>
      </c>
      <c r="I668">
        <f>Table001__Page_15[[#This Row],[FİYAT]]*Table001__Page_15[[#This Row],[Sütun2]]</f>
        <v>0</v>
      </c>
      <c r="L668" s="50">
        <f>Table001__Page_15[[#This Row],[SATIŞ FİYATI]]-Table001__Page_15[[#This Row],[YUVARLAMA]]</f>
        <v>0</v>
      </c>
    </row>
    <row r="669" spans="7:12" x14ac:dyDescent="0.25">
      <c r="G669">
        <f>Table001__Page_15[[#This Row],[FİYAT]]*Table001__Page_15[[#This Row],[MİKTAR]]</f>
        <v>0</v>
      </c>
      <c r="I669">
        <f>Table001__Page_15[[#This Row],[FİYAT]]*Table001__Page_15[[#This Row],[Sütun2]]</f>
        <v>0</v>
      </c>
      <c r="L669" s="50">
        <f>Table001__Page_15[[#This Row],[SATIŞ FİYATI]]-Table001__Page_15[[#This Row],[YUVARLAMA]]</f>
        <v>0</v>
      </c>
    </row>
    <row r="670" spans="7:12" x14ac:dyDescent="0.25">
      <c r="G670">
        <f>Table001__Page_15[[#This Row],[FİYAT]]*Table001__Page_15[[#This Row],[MİKTAR]]</f>
        <v>0</v>
      </c>
      <c r="I670">
        <f>Table001__Page_15[[#This Row],[FİYAT]]*Table001__Page_15[[#This Row],[Sütun2]]</f>
        <v>0</v>
      </c>
      <c r="L670" s="50">
        <f>Table001__Page_15[[#This Row],[SATIŞ FİYATI]]-Table001__Page_15[[#This Row],[YUVARLAMA]]</f>
        <v>0</v>
      </c>
    </row>
    <row r="671" spans="7:12" x14ac:dyDescent="0.25">
      <c r="G671">
        <f>Table001__Page_15[[#This Row],[FİYAT]]*Table001__Page_15[[#This Row],[MİKTAR]]</f>
        <v>0</v>
      </c>
      <c r="I671">
        <f>Table001__Page_15[[#This Row],[FİYAT]]*Table001__Page_15[[#This Row],[Sütun2]]</f>
        <v>0</v>
      </c>
      <c r="L671" s="50">
        <f>Table001__Page_15[[#This Row],[SATIŞ FİYATI]]-Table001__Page_15[[#This Row],[YUVARLAMA]]</f>
        <v>0</v>
      </c>
    </row>
    <row r="672" spans="7:12" x14ac:dyDescent="0.25">
      <c r="G672">
        <f>Table001__Page_15[[#This Row],[FİYAT]]*Table001__Page_15[[#This Row],[MİKTAR]]</f>
        <v>0</v>
      </c>
      <c r="I672">
        <f>Table001__Page_15[[#This Row],[FİYAT]]*Table001__Page_15[[#This Row],[Sütun2]]</f>
        <v>0</v>
      </c>
      <c r="L672" s="50">
        <f>Table001__Page_15[[#This Row],[SATIŞ FİYATI]]-Table001__Page_15[[#This Row],[YUVARLAMA]]</f>
        <v>0</v>
      </c>
    </row>
    <row r="673" spans="7:12" x14ac:dyDescent="0.25">
      <c r="G673">
        <f>Table001__Page_15[[#This Row],[FİYAT]]*Table001__Page_15[[#This Row],[MİKTAR]]</f>
        <v>0</v>
      </c>
      <c r="I673">
        <f>Table001__Page_15[[#This Row],[FİYAT]]*Table001__Page_15[[#This Row],[Sütun2]]</f>
        <v>0</v>
      </c>
      <c r="L673" s="50">
        <f>Table001__Page_15[[#This Row],[SATIŞ FİYATI]]-Table001__Page_15[[#This Row],[YUVARLAMA]]</f>
        <v>0</v>
      </c>
    </row>
    <row r="674" spans="7:12" x14ac:dyDescent="0.25">
      <c r="G674">
        <f>Table001__Page_15[[#This Row],[FİYAT]]*Table001__Page_15[[#This Row],[MİKTAR]]</f>
        <v>0</v>
      </c>
      <c r="I674">
        <f>Table001__Page_15[[#This Row],[FİYAT]]*Table001__Page_15[[#This Row],[Sütun2]]</f>
        <v>0</v>
      </c>
      <c r="L674" s="50">
        <f>Table001__Page_15[[#This Row],[SATIŞ FİYATI]]-Table001__Page_15[[#This Row],[YUVARLAMA]]</f>
        <v>0</v>
      </c>
    </row>
    <row r="675" spans="7:12" x14ac:dyDescent="0.25">
      <c r="G675">
        <f>Table001__Page_15[[#This Row],[FİYAT]]*Table001__Page_15[[#This Row],[MİKTAR]]</f>
        <v>0</v>
      </c>
      <c r="I675">
        <f>Table001__Page_15[[#This Row],[FİYAT]]*Table001__Page_15[[#This Row],[Sütun2]]</f>
        <v>0</v>
      </c>
      <c r="L675" s="50">
        <f>Table001__Page_15[[#This Row],[SATIŞ FİYATI]]-Table001__Page_15[[#This Row],[YUVARLAMA]]</f>
        <v>0</v>
      </c>
    </row>
    <row r="676" spans="7:12" x14ac:dyDescent="0.25">
      <c r="G676">
        <f>Table001__Page_15[[#This Row],[FİYAT]]*Table001__Page_15[[#This Row],[MİKTAR]]</f>
        <v>0</v>
      </c>
      <c r="I676">
        <f>Table001__Page_15[[#This Row],[FİYAT]]*Table001__Page_15[[#This Row],[Sütun2]]</f>
        <v>0</v>
      </c>
      <c r="L676" s="50">
        <f>Table001__Page_15[[#This Row],[SATIŞ FİYATI]]-Table001__Page_15[[#This Row],[YUVARLAMA]]</f>
        <v>0</v>
      </c>
    </row>
    <row r="677" spans="7:12" x14ac:dyDescent="0.25">
      <c r="G677">
        <f>Table001__Page_15[[#This Row],[FİYAT]]*Table001__Page_15[[#This Row],[MİKTAR]]</f>
        <v>0</v>
      </c>
      <c r="I677">
        <f>Table001__Page_15[[#This Row],[FİYAT]]*Table001__Page_15[[#This Row],[Sütun2]]</f>
        <v>0</v>
      </c>
      <c r="L677" s="50">
        <f>Table001__Page_15[[#This Row],[SATIŞ FİYATI]]-Table001__Page_15[[#This Row],[YUVARLAMA]]</f>
        <v>0</v>
      </c>
    </row>
    <row r="678" spans="7:12" x14ac:dyDescent="0.25">
      <c r="G678">
        <f>Table001__Page_15[[#This Row],[FİYAT]]*Table001__Page_15[[#This Row],[MİKTAR]]</f>
        <v>0</v>
      </c>
      <c r="I678">
        <f>Table001__Page_15[[#This Row],[FİYAT]]*Table001__Page_15[[#This Row],[Sütun2]]</f>
        <v>0</v>
      </c>
      <c r="L678" s="50">
        <f>Table001__Page_15[[#This Row],[SATIŞ FİYATI]]-Table001__Page_15[[#This Row],[YUVARLAMA]]</f>
        <v>0</v>
      </c>
    </row>
    <row r="679" spans="7:12" x14ac:dyDescent="0.25">
      <c r="G679">
        <f>Table001__Page_15[[#This Row],[FİYAT]]*Table001__Page_15[[#This Row],[MİKTAR]]</f>
        <v>0</v>
      </c>
      <c r="I679">
        <f>Table001__Page_15[[#This Row],[FİYAT]]*Table001__Page_15[[#This Row],[Sütun2]]</f>
        <v>0</v>
      </c>
      <c r="L679" s="50">
        <f>Table001__Page_15[[#This Row],[SATIŞ FİYATI]]-Table001__Page_15[[#This Row],[YUVARLAMA]]</f>
        <v>0</v>
      </c>
    </row>
    <row r="680" spans="7:12" x14ac:dyDescent="0.25">
      <c r="G680">
        <f>Table001__Page_15[[#This Row],[FİYAT]]*Table001__Page_15[[#This Row],[MİKTAR]]</f>
        <v>0</v>
      </c>
      <c r="I680">
        <f>Table001__Page_15[[#This Row],[FİYAT]]*Table001__Page_15[[#This Row],[Sütun2]]</f>
        <v>0</v>
      </c>
      <c r="L680" s="50">
        <f>Table001__Page_15[[#This Row],[SATIŞ FİYATI]]-Table001__Page_15[[#This Row],[YUVARLAMA]]</f>
        <v>0</v>
      </c>
    </row>
    <row r="681" spans="7:12" x14ac:dyDescent="0.25">
      <c r="G681">
        <f>Table001__Page_15[[#This Row],[FİYAT]]*Table001__Page_15[[#This Row],[MİKTAR]]</f>
        <v>0</v>
      </c>
      <c r="I681">
        <f>Table001__Page_15[[#This Row],[FİYAT]]*Table001__Page_15[[#This Row],[Sütun2]]</f>
        <v>0</v>
      </c>
      <c r="L681" s="50">
        <f>Table001__Page_15[[#This Row],[SATIŞ FİYATI]]-Table001__Page_15[[#This Row],[YUVARLAMA]]</f>
        <v>0</v>
      </c>
    </row>
    <row r="682" spans="7:12" x14ac:dyDescent="0.25">
      <c r="G682">
        <f>Table001__Page_15[[#This Row],[FİYAT]]*Table001__Page_15[[#This Row],[MİKTAR]]</f>
        <v>0</v>
      </c>
      <c r="I682">
        <f>Table001__Page_15[[#This Row],[FİYAT]]*Table001__Page_15[[#This Row],[Sütun2]]</f>
        <v>0</v>
      </c>
      <c r="L682" s="50">
        <f>Table001__Page_15[[#This Row],[SATIŞ FİYATI]]-Table001__Page_15[[#This Row],[YUVARLAMA]]</f>
        <v>0</v>
      </c>
    </row>
    <row r="683" spans="7:12" x14ac:dyDescent="0.25">
      <c r="G683">
        <f>Table001__Page_15[[#This Row],[FİYAT]]*Table001__Page_15[[#This Row],[MİKTAR]]</f>
        <v>0</v>
      </c>
      <c r="I683">
        <f>Table001__Page_15[[#This Row],[FİYAT]]*Table001__Page_15[[#This Row],[Sütun2]]</f>
        <v>0</v>
      </c>
      <c r="L683" s="50">
        <f>Table001__Page_15[[#This Row],[SATIŞ FİYATI]]-Table001__Page_15[[#This Row],[YUVARLAMA]]</f>
        <v>0</v>
      </c>
    </row>
    <row r="684" spans="7:12" x14ac:dyDescent="0.25">
      <c r="G684">
        <f>Table001__Page_15[[#This Row],[FİYAT]]*Table001__Page_15[[#This Row],[MİKTAR]]</f>
        <v>0</v>
      </c>
      <c r="I684">
        <f>Table001__Page_15[[#This Row],[FİYAT]]*Table001__Page_15[[#This Row],[Sütun2]]</f>
        <v>0</v>
      </c>
      <c r="L684" s="50">
        <f>Table001__Page_15[[#This Row],[SATIŞ FİYATI]]-Table001__Page_15[[#This Row],[YUVARLAMA]]</f>
        <v>0</v>
      </c>
    </row>
    <row r="685" spans="7:12" x14ac:dyDescent="0.25">
      <c r="G685">
        <f>Table001__Page_15[[#This Row],[FİYAT]]*Table001__Page_15[[#This Row],[MİKTAR]]</f>
        <v>0</v>
      </c>
      <c r="I685">
        <f>Table001__Page_15[[#This Row],[FİYAT]]*Table001__Page_15[[#This Row],[Sütun2]]</f>
        <v>0</v>
      </c>
      <c r="L685" s="50">
        <f>Table001__Page_15[[#This Row],[SATIŞ FİYATI]]-Table001__Page_15[[#This Row],[YUVARLAMA]]</f>
        <v>0</v>
      </c>
    </row>
    <row r="686" spans="7:12" x14ac:dyDescent="0.25">
      <c r="G686">
        <f>Table001__Page_15[[#This Row],[FİYAT]]*Table001__Page_15[[#This Row],[MİKTAR]]</f>
        <v>0</v>
      </c>
      <c r="I686">
        <f>Table001__Page_15[[#This Row],[FİYAT]]*Table001__Page_15[[#This Row],[Sütun2]]</f>
        <v>0</v>
      </c>
      <c r="L686" s="50">
        <f>Table001__Page_15[[#This Row],[SATIŞ FİYATI]]-Table001__Page_15[[#This Row],[YUVARLAMA]]</f>
        <v>0</v>
      </c>
    </row>
    <row r="687" spans="7:12" x14ac:dyDescent="0.25">
      <c r="G687">
        <f>Table001__Page_15[[#This Row],[FİYAT]]*Table001__Page_15[[#This Row],[MİKTAR]]</f>
        <v>0</v>
      </c>
      <c r="I687">
        <f>Table001__Page_15[[#This Row],[FİYAT]]*Table001__Page_15[[#This Row],[Sütun2]]</f>
        <v>0</v>
      </c>
      <c r="L687" s="50">
        <f>Table001__Page_15[[#This Row],[SATIŞ FİYATI]]-Table001__Page_15[[#This Row],[YUVARLAMA]]</f>
        <v>0</v>
      </c>
    </row>
    <row r="688" spans="7:12" x14ac:dyDescent="0.25">
      <c r="G688">
        <f>Table001__Page_15[[#This Row],[FİYAT]]*Table001__Page_15[[#This Row],[MİKTAR]]</f>
        <v>0</v>
      </c>
      <c r="I688">
        <f>Table001__Page_15[[#This Row],[FİYAT]]*Table001__Page_15[[#This Row],[Sütun2]]</f>
        <v>0</v>
      </c>
      <c r="L688" s="50">
        <f>Table001__Page_15[[#This Row],[SATIŞ FİYATI]]-Table001__Page_15[[#This Row],[YUVARLAMA]]</f>
        <v>0</v>
      </c>
    </row>
    <row r="689" spans="7:12" x14ac:dyDescent="0.25">
      <c r="G689">
        <f>Table001__Page_15[[#This Row],[FİYAT]]*Table001__Page_15[[#This Row],[MİKTAR]]</f>
        <v>0</v>
      </c>
      <c r="I689">
        <f>Table001__Page_15[[#This Row],[FİYAT]]*Table001__Page_15[[#This Row],[Sütun2]]</f>
        <v>0</v>
      </c>
      <c r="L689" s="50">
        <f>Table001__Page_15[[#This Row],[SATIŞ FİYATI]]-Table001__Page_15[[#This Row],[YUVARLAMA]]</f>
        <v>0</v>
      </c>
    </row>
    <row r="690" spans="7:12" x14ac:dyDescent="0.25">
      <c r="G690">
        <f>Table001__Page_15[[#This Row],[FİYAT]]*Table001__Page_15[[#This Row],[MİKTAR]]</f>
        <v>0</v>
      </c>
      <c r="I690">
        <f>Table001__Page_15[[#This Row],[FİYAT]]*Table001__Page_15[[#This Row],[Sütun2]]</f>
        <v>0</v>
      </c>
      <c r="L690" s="50">
        <f>Table001__Page_15[[#This Row],[SATIŞ FİYATI]]-Table001__Page_15[[#This Row],[YUVARLAMA]]</f>
        <v>0</v>
      </c>
    </row>
    <row r="691" spans="7:12" x14ac:dyDescent="0.25">
      <c r="G691">
        <f>Table001__Page_15[[#This Row],[FİYAT]]*Table001__Page_15[[#This Row],[MİKTAR]]</f>
        <v>0</v>
      </c>
      <c r="I691">
        <f>Table001__Page_15[[#This Row],[FİYAT]]*Table001__Page_15[[#This Row],[Sütun2]]</f>
        <v>0</v>
      </c>
      <c r="L691" s="50">
        <f>Table001__Page_15[[#This Row],[SATIŞ FİYATI]]-Table001__Page_15[[#This Row],[YUVARLAMA]]</f>
        <v>0</v>
      </c>
    </row>
    <row r="692" spans="7:12" x14ac:dyDescent="0.25">
      <c r="G692">
        <f>Table001__Page_15[[#This Row],[FİYAT]]*Table001__Page_15[[#This Row],[MİKTAR]]</f>
        <v>0</v>
      </c>
      <c r="I692">
        <f>Table001__Page_15[[#This Row],[FİYAT]]*Table001__Page_15[[#This Row],[Sütun2]]</f>
        <v>0</v>
      </c>
      <c r="L692" s="50">
        <f>Table001__Page_15[[#This Row],[SATIŞ FİYATI]]-Table001__Page_15[[#This Row],[YUVARLAMA]]</f>
        <v>0</v>
      </c>
    </row>
    <row r="693" spans="7:12" x14ac:dyDescent="0.25">
      <c r="G693">
        <f>Table001__Page_15[[#This Row],[FİYAT]]*Table001__Page_15[[#This Row],[MİKTAR]]</f>
        <v>0</v>
      </c>
      <c r="I693">
        <f>Table001__Page_15[[#This Row],[FİYAT]]*Table001__Page_15[[#This Row],[Sütun2]]</f>
        <v>0</v>
      </c>
      <c r="L693" s="50">
        <f>Table001__Page_15[[#This Row],[SATIŞ FİYATI]]-Table001__Page_15[[#This Row],[YUVARLAMA]]</f>
        <v>0</v>
      </c>
    </row>
    <row r="694" spans="7:12" x14ac:dyDescent="0.25">
      <c r="G694">
        <f>Table001__Page_15[[#This Row],[FİYAT]]*Table001__Page_15[[#This Row],[MİKTAR]]</f>
        <v>0</v>
      </c>
      <c r="I694">
        <f>Table001__Page_15[[#This Row],[FİYAT]]*Table001__Page_15[[#This Row],[Sütun2]]</f>
        <v>0</v>
      </c>
      <c r="L694" s="50">
        <f>Table001__Page_15[[#This Row],[SATIŞ FİYATI]]-Table001__Page_15[[#This Row],[YUVARLAMA]]</f>
        <v>0</v>
      </c>
    </row>
    <row r="695" spans="7:12" x14ac:dyDescent="0.25">
      <c r="G695">
        <f>Table001__Page_15[[#This Row],[FİYAT]]*Table001__Page_15[[#This Row],[MİKTAR]]</f>
        <v>0</v>
      </c>
      <c r="I695">
        <f>Table001__Page_15[[#This Row],[FİYAT]]*Table001__Page_15[[#This Row],[Sütun2]]</f>
        <v>0</v>
      </c>
      <c r="L695" s="50">
        <f>Table001__Page_15[[#This Row],[SATIŞ FİYATI]]-Table001__Page_15[[#This Row],[YUVARLAMA]]</f>
        <v>0</v>
      </c>
    </row>
    <row r="696" spans="7:12" x14ac:dyDescent="0.25">
      <c r="G696">
        <f>Table001__Page_15[[#This Row],[FİYAT]]*Table001__Page_15[[#This Row],[MİKTAR]]</f>
        <v>0</v>
      </c>
      <c r="I696">
        <f>Table001__Page_15[[#This Row],[FİYAT]]*Table001__Page_15[[#This Row],[Sütun2]]</f>
        <v>0</v>
      </c>
      <c r="L696" s="50">
        <f>Table001__Page_15[[#This Row],[SATIŞ FİYATI]]-Table001__Page_15[[#This Row],[YUVARLAMA]]</f>
        <v>0</v>
      </c>
    </row>
    <row r="697" spans="7:12" x14ac:dyDescent="0.25">
      <c r="G697">
        <f>Table001__Page_15[[#This Row],[FİYAT]]*Table001__Page_15[[#This Row],[MİKTAR]]</f>
        <v>0</v>
      </c>
      <c r="I697">
        <f>Table001__Page_15[[#This Row],[FİYAT]]*Table001__Page_15[[#This Row],[Sütun2]]</f>
        <v>0</v>
      </c>
      <c r="L697" s="50">
        <f>Table001__Page_15[[#This Row],[SATIŞ FİYATI]]-Table001__Page_15[[#This Row],[YUVARLAMA]]</f>
        <v>0</v>
      </c>
    </row>
    <row r="698" spans="7:12" x14ac:dyDescent="0.25">
      <c r="G698">
        <f>Table001__Page_15[[#This Row],[FİYAT]]*Table001__Page_15[[#This Row],[MİKTAR]]</f>
        <v>0</v>
      </c>
      <c r="I698">
        <f>Table001__Page_15[[#This Row],[FİYAT]]*Table001__Page_15[[#This Row],[Sütun2]]</f>
        <v>0</v>
      </c>
      <c r="L698" s="50">
        <f>Table001__Page_15[[#This Row],[SATIŞ FİYATI]]-Table001__Page_15[[#This Row],[YUVARLAMA]]</f>
        <v>0</v>
      </c>
    </row>
    <row r="699" spans="7:12" x14ac:dyDescent="0.25">
      <c r="G699">
        <f>Table001__Page_15[[#This Row],[FİYAT]]*Table001__Page_15[[#This Row],[MİKTAR]]</f>
        <v>0</v>
      </c>
      <c r="I699">
        <f>Table001__Page_15[[#This Row],[FİYAT]]*Table001__Page_15[[#This Row],[Sütun2]]</f>
        <v>0</v>
      </c>
      <c r="L699" s="50">
        <f>Table001__Page_15[[#This Row],[SATIŞ FİYATI]]-Table001__Page_15[[#This Row],[YUVARLAMA]]</f>
        <v>0</v>
      </c>
    </row>
    <row r="700" spans="7:12" x14ac:dyDescent="0.25">
      <c r="G700">
        <f>Table001__Page_15[[#This Row],[FİYAT]]*Table001__Page_15[[#This Row],[MİKTAR]]</f>
        <v>0</v>
      </c>
      <c r="I700">
        <f>Table001__Page_15[[#This Row],[FİYAT]]*Table001__Page_15[[#This Row],[Sütun2]]</f>
        <v>0</v>
      </c>
      <c r="L700" s="50">
        <f>Table001__Page_15[[#This Row],[SATIŞ FİYATI]]-Table001__Page_15[[#This Row],[YUVARLAMA]]</f>
        <v>0</v>
      </c>
    </row>
    <row r="701" spans="7:12" x14ac:dyDescent="0.25">
      <c r="G701">
        <f>Table001__Page_15[[#This Row],[FİYAT]]*Table001__Page_15[[#This Row],[MİKTAR]]</f>
        <v>0</v>
      </c>
      <c r="I701">
        <f>Table001__Page_15[[#This Row],[FİYAT]]*Table001__Page_15[[#This Row],[Sütun2]]</f>
        <v>0</v>
      </c>
      <c r="L701" s="50">
        <f>Table001__Page_15[[#This Row],[SATIŞ FİYATI]]-Table001__Page_15[[#This Row],[YUVARLAMA]]</f>
        <v>0</v>
      </c>
    </row>
    <row r="702" spans="7:12" x14ac:dyDescent="0.25">
      <c r="G702">
        <f>Table001__Page_15[[#This Row],[FİYAT]]*Table001__Page_15[[#This Row],[MİKTAR]]</f>
        <v>0</v>
      </c>
      <c r="I702">
        <f>Table001__Page_15[[#This Row],[FİYAT]]*Table001__Page_15[[#This Row],[Sütun2]]</f>
        <v>0</v>
      </c>
      <c r="L702" s="50">
        <f>Table001__Page_15[[#This Row],[SATIŞ FİYATI]]-Table001__Page_15[[#This Row],[YUVARLAMA]]</f>
        <v>0</v>
      </c>
    </row>
    <row r="703" spans="7:12" x14ac:dyDescent="0.25">
      <c r="G703">
        <f>Table001__Page_15[[#This Row],[FİYAT]]*Table001__Page_15[[#This Row],[MİKTAR]]</f>
        <v>0</v>
      </c>
      <c r="I703">
        <f>Table001__Page_15[[#This Row],[FİYAT]]*Table001__Page_15[[#This Row],[Sütun2]]</f>
        <v>0</v>
      </c>
      <c r="L703" s="50">
        <f>Table001__Page_15[[#This Row],[SATIŞ FİYATI]]-Table001__Page_15[[#This Row],[YUVARLAMA]]</f>
        <v>0</v>
      </c>
    </row>
    <row r="704" spans="7:12" x14ac:dyDescent="0.25">
      <c r="G704">
        <f>Table001__Page_15[[#This Row],[FİYAT]]*Table001__Page_15[[#This Row],[MİKTAR]]</f>
        <v>0</v>
      </c>
      <c r="I704">
        <f>Table001__Page_15[[#This Row],[FİYAT]]*Table001__Page_15[[#This Row],[Sütun2]]</f>
        <v>0</v>
      </c>
      <c r="L704" s="50">
        <f>Table001__Page_15[[#This Row],[SATIŞ FİYATI]]-Table001__Page_15[[#This Row],[YUVARLAMA]]</f>
        <v>0</v>
      </c>
    </row>
    <row r="705" spans="7:12" x14ac:dyDescent="0.25">
      <c r="G705">
        <f>Table001__Page_15[[#This Row],[FİYAT]]*Table001__Page_15[[#This Row],[MİKTAR]]</f>
        <v>0</v>
      </c>
      <c r="I705">
        <f>Table001__Page_15[[#This Row],[FİYAT]]*Table001__Page_15[[#This Row],[Sütun2]]</f>
        <v>0</v>
      </c>
      <c r="L705" s="50">
        <f>Table001__Page_15[[#This Row],[SATIŞ FİYATI]]-Table001__Page_15[[#This Row],[YUVARLAMA]]</f>
        <v>0</v>
      </c>
    </row>
    <row r="706" spans="7:12" x14ac:dyDescent="0.25">
      <c r="G706">
        <f>Table001__Page_15[[#This Row],[FİYAT]]*Table001__Page_15[[#This Row],[MİKTAR]]</f>
        <v>0</v>
      </c>
      <c r="I706">
        <f>Table001__Page_15[[#This Row],[FİYAT]]*Table001__Page_15[[#This Row],[Sütun2]]</f>
        <v>0</v>
      </c>
      <c r="L706" s="50">
        <f>Table001__Page_15[[#This Row],[SATIŞ FİYATI]]-Table001__Page_15[[#This Row],[YUVARLAMA]]</f>
        <v>0</v>
      </c>
    </row>
    <row r="707" spans="7:12" x14ac:dyDescent="0.25">
      <c r="G707">
        <f>Table001__Page_15[[#This Row],[FİYAT]]*Table001__Page_15[[#This Row],[MİKTAR]]</f>
        <v>0</v>
      </c>
      <c r="I707">
        <f>Table001__Page_15[[#This Row],[FİYAT]]*Table001__Page_15[[#This Row],[Sütun2]]</f>
        <v>0</v>
      </c>
      <c r="L707" s="50">
        <f>Table001__Page_15[[#This Row],[SATIŞ FİYATI]]-Table001__Page_15[[#This Row],[YUVARLAMA]]</f>
        <v>0</v>
      </c>
    </row>
    <row r="708" spans="7:12" x14ac:dyDescent="0.25">
      <c r="G708">
        <f>Table001__Page_15[[#This Row],[FİYAT]]*Table001__Page_15[[#This Row],[MİKTAR]]</f>
        <v>0</v>
      </c>
      <c r="I708">
        <f>Table001__Page_15[[#This Row],[FİYAT]]*Table001__Page_15[[#This Row],[Sütun2]]</f>
        <v>0</v>
      </c>
      <c r="L708" s="50">
        <f>Table001__Page_15[[#This Row],[SATIŞ FİYATI]]-Table001__Page_15[[#This Row],[YUVARLAMA]]</f>
        <v>0</v>
      </c>
    </row>
    <row r="709" spans="7:12" x14ac:dyDescent="0.25">
      <c r="G709">
        <f>Table001__Page_15[[#This Row],[FİYAT]]*Table001__Page_15[[#This Row],[MİKTAR]]</f>
        <v>0</v>
      </c>
      <c r="I709">
        <f>Table001__Page_15[[#This Row],[FİYAT]]*Table001__Page_15[[#This Row],[Sütun2]]</f>
        <v>0</v>
      </c>
      <c r="L709" s="50">
        <f>Table001__Page_15[[#This Row],[SATIŞ FİYATI]]-Table001__Page_15[[#This Row],[YUVARLAMA]]</f>
        <v>0</v>
      </c>
    </row>
    <row r="710" spans="7:12" x14ac:dyDescent="0.25">
      <c r="G710">
        <f>Table001__Page_15[[#This Row],[FİYAT]]*Table001__Page_15[[#This Row],[MİKTAR]]</f>
        <v>0</v>
      </c>
      <c r="I710">
        <f>Table001__Page_15[[#This Row],[FİYAT]]*Table001__Page_15[[#This Row],[Sütun2]]</f>
        <v>0</v>
      </c>
      <c r="L710" s="50">
        <f>Table001__Page_15[[#This Row],[SATIŞ FİYATI]]-Table001__Page_15[[#This Row],[YUVARLAMA]]</f>
        <v>0</v>
      </c>
    </row>
    <row r="711" spans="7:12" x14ac:dyDescent="0.25">
      <c r="G711">
        <f>Table001__Page_15[[#This Row],[FİYAT]]*Table001__Page_15[[#This Row],[MİKTAR]]</f>
        <v>0</v>
      </c>
      <c r="I711">
        <f>Table001__Page_15[[#This Row],[FİYAT]]*Table001__Page_15[[#This Row],[Sütun2]]</f>
        <v>0</v>
      </c>
      <c r="L711" s="50">
        <f>Table001__Page_15[[#This Row],[SATIŞ FİYATI]]-Table001__Page_15[[#This Row],[YUVARLAMA]]</f>
        <v>0</v>
      </c>
    </row>
    <row r="712" spans="7:12" x14ac:dyDescent="0.25">
      <c r="G712">
        <f>Table001__Page_15[[#This Row],[FİYAT]]*Table001__Page_15[[#This Row],[MİKTAR]]</f>
        <v>0</v>
      </c>
      <c r="I712">
        <f>Table001__Page_15[[#This Row],[FİYAT]]*Table001__Page_15[[#This Row],[Sütun2]]</f>
        <v>0</v>
      </c>
      <c r="L712" s="50">
        <f>Table001__Page_15[[#This Row],[SATIŞ FİYATI]]-Table001__Page_15[[#This Row],[YUVARLAMA]]</f>
        <v>0</v>
      </c>
    </row>
    <row r="713" spans="7:12" x14ac:dyDescent="0.25">
      <c r="G713">
        <f>Table001__Page_15[[#This Row],[FİYAT]]*Table001__Page_15[[#This Row],[MİKTAR]]</f>
        <v>0</v>
      </c>
      <c r="I713">
        <f>Table001__Page_15[[#This Row],[FİYAT]]*Table001__Page_15[[#This Row],[Sütun2]]</f>
        <v>0</v>
      </c>
      <c r="L713" s="50">
        <f>Table001__Page_15[[#This Row],[SATIŞ FİYATI]]-Table001__Page_15[[#This Row],[YUVARLAMA]]</f>
        <v>0</v>
      </c>
    </row>
    <row r="714" spans="7:12" x14ac:dyDescent="0.25">
      <c r="G714">
        <f>Table001__Page_15[[#This Row],[FİYAT]]*Table001__Page_15[[#This Row],[MİKTAR]]</f>
        <v>0</v>
      </c>
      <c r="I714">
        <f>Table001__Page_15[[#This Row],[FİYAT]]*Table001__Page_15[[#This Row],[Sütun2]]</f>
        <v>0</v>
      </c>
      <c r="L714" s="50">
        <f>Table001__Page_15[[#This Row],[SATIŞ FİYATI]]-Table001__Page_15[[#This Row],[YUVARLAMA]]</f>
        <v>0</v>
      </c>
    </row>
    <row r="715" spans="7:12" x14ac:dyDescent="0.25">
      <c r="G715">
        <f>Table001__Page_15[[#This Row],[FİYAT]]*Table001__Page_15[[#This Row],[MİKTAR]]</f>
        <v>0</v>
      </c>
      <c r="I715">
        <f>Table001__Page_15[[#This Row],[FİYAT]]*Table001__Page_15[[#This Row],[Sütun2]]</f>
        <v>0</v>
      </c>
      <c r="L715" s="50">
        <f>Table001__Page_15[[#This Row],[SATIŞ FİYATI]]-Table001__Page_15[[#This Row],[YUVARLAMA]]</f>
        <v>0</v>
      </c>
    </row>
    <row r="716" spans="7:12" x14ac:dyDescent="0.25">
      <c r="G716">
        <f>Table001__Page_15[[#This Row],[FİYAT]]*Table001__Page_15[[#This Row],[MİKTAR]]</f>
        <v>0</v>
      </c>
      <c r="I716">
        <f>Table001__Page_15[[#This Row],[FİYAT]]*Table001__Page_15[[#This Row],[Sütun2]]</f>
        <v>0</v>
      </c>
      <c r="L716" s="50">
        <f>Table001__Page_15[[#This Row],[SATIŞ FİYATI]]-Table001__Page_15[[#This Row],[YUVARLAMA]]</f>
        <v>0</v>
      </c>
    </row>
    <row r="717" spans="7:12" x14ac:dyDescent="0.25">
      <c r="G717">
        <f>Table001__Page_15[[#This Row],[FİYAT]]*Table001__Page_15[[#This Row],[MİKTAR]]</f>
        <v>0</v>
      </c>
      <c r="I717">
        <f>Table001__Page_15[[#This Row],[FİYAT]]*Table001__Page_15[[#This Row],[Sütun2]]</f>
        <v>0</v>
      </c>
      <c r="L717" s="50">
        <f>Table001__Page_15[[#This Row],[SATIŞ FİYATI]]-Table001__Page_15[[#This Row],[YUVARLAMA]]</f>
        <v>0</v>
      </c>
    </row>
    <row r="718" spans="7:12" x14ac:dyDescent="0.25">
      <c r="G718">
        <f>Table001__Page_15[[#This Row],[FİYAT]]*Table001__Page_15[[#This Row],[MİKTAR]]</f>
        <v>0</v>
      </c>
      <c r="I718">
        <f>Table001__Page_15[[#This Row],[FİYAT]]*Table001__Page_15[[#This Row],[Sütun2]]</f>
        <v>0</v>
      </c>
      <c r="L718" s="50">
        <f>Table001__Page_15[[#This Row],[SATIŞ FİYATI]]-Table001__Page_15[[#This Row],[YUVARLAMA]]</f>
        <v>0</v>
      </c>
    </row>
    <row r="719" spans="7:12" x14ac:dyDescent="0.25">
      <c r="G719">
        <f>Table001__Page_15[[#This Row],[FİYAT]]*Table001__Page_15[[#This Row],[MİKTAR]]</f>
        <v>0</v>
      </c>
      <c r="I719">
        <f>Table001__Page_15[[#This Row],[FİYAT]]*Table001__Page_15[[#This Row],[Sütun2]]</f>
        <v>0</v>
      </c>
      <c r="L719" s="50">
        <f>Table001__Page_15[[#This Row],[SATIŞ FİYATI]]-Table001__Page_15[[#This Row],[YUVARLAMA]]</f>
        <v>0</v>
      </c>
    </row>
    <row r="720" spans="7:12" x14ac:dyDescent="0.25">
      <c r="G720">
        <f>Table001__Page_15[[#This Row],[FİYAT]]*Table001__Page_15[[#This Row],[MİKTAR]]</f>
        <v>0</v>
      </c>
      <c r="I720">
        <f>Table001__Page_15[[#This Row],[FİYAT]]*Table001__Page_15[[#This Row],[Sütun2]]</f>
        <v>0</v>
      </c>
      <c r="L720" s="50">
        <f>Table001__Page_15[[#This Row],[SATIŞ FİYATI]]-Table001__Page_15[[#This Row],[YUVARLAMA]]</f>
        <v>0</v>
      </c>
    </row>
    <row r="721" spans="7:12" x14ac:dyDescent="0.25">
      <c r="G721">
        <f>Table001__Page_15[[#This Row],[FİYAT]]*Table001__Page_15[[#This Row],[MİKTAR]]</f>
        <v>0</v>
      </c>
      <c r="I721">
        <f>Table001__Page_15[[#This Row],[FİYAT]]*Table001__Page_15[[#This Row],[Sütun2]]</f>
        <v>0</v>
      </c>
      <c r="L721" s="50">
        <f>Table001__Page_15[[#This Row],[SATIŞ FİYATI]]-Table001__Page_15[[#This Row],[YUVARLAMA]]</f>
        <v>0</v>
      </c>
    </row>
    <row r="722" spans="7:12" x14ac:dyDescent="0.25">
      <c r="G722">
        <f>Table001__Page_15[[#This Row],[FİYAT]]*Table001__Page_15[[#This Row],[MİKTAR]]</f>
        <v>0</v>
      </c>
      <c r="I722">
        <f>Table001__Page_15[[#This Row],[FİYAT]]*Table001__Page_15[[#This Row],[Sütun2]]</f>
        <v>0</v>
      </c>
      <c r="L722" s="50">
        <f>Table001__Page_15[[#This Row],[SATIŞ FİYATI]]-Table001__Page_15[[#This Row],[YUVARLAMA]]</f>
        <v>0</v>
      </c>
    </row>
    <row r="723" spans="7:12" x14ac:dyDescent="0.25">
      <c r="G723">
        <f>Table001__Page_15[[#This Row],[FİYAT]]*Table001__Page_15[[#This Row],[MİKTAR]]</f>
        <v>0</v>
      </c>
      <c r="I723">
        <f>Table001__Page_15[[#This Row],[FİYAT]]*Table001__Page_15[[#This Row],[Sütun2]]</f>
        <v>0</v>
      </c>
      <c r="L723" s="50">
        <f>Table001__Page_15[[#This Row],[SATIŞ FİYATI]]-Table001__Page_15[[#This Row],[YUVARLAMA]]</f>
        <v>0</v>
      </c>
    </row>
    <row r="724" spans="7:12" x14ac:dyDescent="0.25">
      <c r="G724">
        <f>Table001__Page_15[[#This Row],[FİYAT]]*Table001__Page_15[[#This Row],[MİKTAR]]</f>
        <v>0</v>
      </c>
      <c r="I724">
        <f>Table001__Page_15[[#This Row],[FİYAT]]*Table001__Page_15[[#This Row],[Sütun2]]</f>
        <v>0</v>
      </c>
      <c r="L724" s="50">
        <f>Table001__Page_15[[#This Row],[SATIŞ FİYATI]]-Table001__Page_15[[#This Row],[YUVARLAMA]]</f>
        <v>0</v>
      </c>
    </row>
    <row r="725" spans="7:12" x14ac:dyDescent="0.25">
      <c r="G725">
        <f>Table001__Page_15[[#This Row],[FİYAT]]*Table001__Page_15[[#This Row],[MİKTAR]]</f>
        <v>0</v>
      </c>
      <c r="I725">
        <f>Table001__Page_15[[#This Row],[FİYAT]]*Table001__Page_15[[#This Row],[Sütun2]]</f>
        <v>0</v>
      </c>
      <c r="L725" s="50">
        <f>Table001__Page_15[[#This Row],[SATIŞ FİYATI]]-Table001__Page_15[[#This Row],[YUVARLAMA]]</f>
        <v>0</v>
      </c>
    </row>
    <row r="726" spans="7:12" x14ac:dyDescent="0.25">
      <c r="G726">
        <f>Table001__Page_15[[#This Row],[FİYAT]]*Table001__Page_15[[#This Row],[MİKTAR]]</f>
        <v>0</v>
      </c>
      <c r="I726">
        <f>Table001__Page_15[[#This Row],[FİYAT]]*Table001__Page_15[[#This Row],[Sütun2]]</f>
        <v>0</v>
      </c>
      <c r="L726" s="50">
        <f>Table001__Page_15[[#This Row],[SATIŞ FİYATI]]-Table001__Page_15[[#This Row],[YUVARLAMA]]</f>
        <v>0</v>
      </c>
    </row>
    <row r="727" spans="7:12" x14ac:dyDescent="0.25">
      <c r="G727">
        <f>Table001__Page_15[[#This Row],[FİYAT]]*Table001__Page_15[[#This Row],[MİKTAR]]</f>
        <v>0</v>
      </c>
      <c r="I727">
        <f>Table001__Page_15[[#This Row],[FİYAT]]*Table001__Page_15[[#This Row],[Sütun2]]</f>
        <v>0</v>
      </c>
      <c r="L727" s="50">
        <f>Table001__Page_15[[#This Row],[SATIŞ FİYATI]]-Table001__Page_15[[#This Row],[YUVARLAMA]]</f>
        <v>0</v>
      </c>
    </row>
    <row r="728" spans="7:12" x14ac:dyDescent="0.25">
      <c r="G728">
        <f>Table001__Page_15[[#This Row],[FİYAT]]*Table001__Page_15[[#This Row],[MİKTAR]]</f>
        <v>0</v>
      </c>
      <c r="I728">
        <f>Table001__Page_15[[#This Row],[FİYAT]]*Table001__Page_15[[#This Row],[Sütun2]]</f>
        <v>0</v>
      </c>
      <c r="L728" s="50">
        <f>Table001__Page_15[[#This Row],[SATIŞ FİYATI]]-Table001__Page_15[[#This Row],[YUVARLAMA]]</f>
        <v>0</v>
      </c>
    </row>
    <row r="729" spans="7:12" x14ac:dyDescent="0.25">
      <c r="G729">
        <f>Table001__Page_15[[#This Row],[FİYAT]]*Table001__Page_15[[#This Row],[MİKTAR]]</f>
        <v>0</v>
      </c>
      <c r="I729">
        <f>Table001__Page_15[[#This Row],[FİYAT]]*Table001__Page_15[[#This Row],[Sütun2]]</f>
        <v>0</v>
      </c>
      <c r="L729" s="50">
        <f>Table001__Page_15[[#This Row],[SATIŞ FİYATI]]-Table001__Page_15[[#This Row],[YUVARLAMA]]</f>
        <v>0</v>
      </c>
    </row>
    <row r="730" spans="7:12" x14ac:dyDescent="0.25">
      <c r="G730">
        <f>Table001__Page_15[[#This Row],[FİYAT]]*Table001__Page_15[[#This Row],[MİKTAR]]</f>
        <v>0</v>
      </c>
      <c r="I730">
        <f>Table001__Page_15[[#This Row],[FİYAT]]*Table001__Page_15[[#This Row],[Sütun2]]</f>
        <v>0</v>
      </c>
      <c r="L730" s="50">
        <f>Table001__Page_15[[#This Row],[SATIŞ FİYATI]]-Table001__Page_15[[#This Row],[YUVARLAMA]]</f>
        <v>0</v>
      </c>
    </row>
    <row r="731" spans="7:12" x14ac:dyDescent="0.25">
      <c r="G731">
        <f>Table001__Page_15[[#This Row],[FİYAT]]*Table001__Page_15[[#This Row],[MİKTAR]]</f>
        <v>0</v>
      </c>
      <c r="I731">
        <f>Table001__Page_15[[#This Row],[FİYAT]]*Table001__Page_15[[#This Row],[Sütun2]]</f>
        <v>0</v>
      </c>
      <c r="L731" s="50">
        <f>Table001__Page_15[[#This Row],[SATIŞ FİYATI]]-Table001__Page_15[[#This Row],[YUVARLAMA]]</f>
        <v>0</v>
      </c>
    </row>
    <row r="732" spans="7:12" x14ac:dyDescent="0.25">
      <c r="G732">
        <f>Table001__Page_15[[#This Row],[FİYAT]]*Table001__Page_15[[#This Row],[MİKTAR]]</f>
        <v>0</v>
      </c>
      <c r="I732">
        <f>Table001__Page_15[[#This Row],[FİYAT]]*Table001__Page_15[[#This Row],[Sütun2]]</f>
        <v>0</v>
      </c>
      <c r="L732" s="50">
        <f>Table001__Page_15[[#This Row],[SATIŞ FİYATI]]-Table001__Page_15[[#This Row],[YUVARLAMA]]</f>
        <v>0</v>
      </c>
    </row>
    <row r="733" spans="7:12" x14ac:dyDescent="0.25">
      <c r="G733">
        <f>Table001__Page_15[[#This Row],[FİYAT]]*Table001__Page_15[[#This Row],[MİKTAR]]</f>
        <v>0</v>
      </c>
      <c r="I733">
        <f>Table001__Page_15[[#This Row],[FİYAT]]*Table001__Page_15[[#This Row],[Sütun2]]</f>
        <v>0</v>
      </c>
      <c r="L733" s="50">
        <f>Table001__Page_15[[#This Row],[SATIŞ FİYATI]]-Table001__Page_15[[#This Row],[YUVARLAMA]]</f>
        <v>0</v>
      </c>
    </row>
    <row r="734" spans="7:12" x14ac:dyDescent="0.25">
      <c r="G734">
        <f>Table001__Page_15[[#This Row],[FİYAT]]*Table001__Page_15[[#This Row],[MİKTAR]]</f>
        <v>0</v>
      </c>
      <c r="I734">
        <f>Table001__Page_15[[#This Row],[FİYAT]]*Table001__Page_15[[#This Row],[Sütun2]]</f>
        <v>0</v>
      </c>
      <c r="L734" s="50">
        <f>Table001__Page_15[[#This Row],[SATIŞ FİYATI]]-Table001__Page_15[[#This Row],[YUVARLAMA]]</f>
        <v>0</v>
      </c>
    </row>
    <row r="735" spans="7:12" x14ac:dyDescent="0.25">
      <c r="G735">
        <f>Table001__Page_15[[#This Row],[FİYAT]]*Table001__Page_15[[#This Row],[MİKTAR]]</f>
        <v>0</v>
      </c>
      <c r="I735">
        <f>Table001__Page_15[[#This Row],[FİYAT]]*Table001__Page_15[[#This Row],[Sütun2]]</f>
        <v>0</v>
      </c>
      <c r="L735" s="50">
        <f>Table001__Page_15[[#This Row],[SATIŞ FİYATI]]-Table001__Page_15[[#This Row],[YUVARLAMA]]</f>
        <v>0</v>
      </c>
    </row>
    <row r="736" spans="7:12" x14ac:dyDescent="0.25">
      <c r="G736">
        <f>Table001__Page_15[[#This Row],[FİYAT]]*Table001__Page_15[[#This Row],[MİKTAR]]</f>
        <v>0</v>
      </c>
      <c r="I736">
        <f>Table001__Page_15[[#This Row],[FİYAT]]*Table001__Page_15[[#This Row],[Sütun2]]</f>
        <v>0</v>
      </c>
      <c r="L736" s="50">
        <f>Table001__Page_15[[#This Row],[SATIŞ FİYATI]]-Table001__Page_15[[#This Row],[YUVARLAMA]]</f>
        <v>0</v>
      </c>
    </row>
    <row r="737" spans="7:12" x14ac:dyDescent="0.25">
      <c r="G737">
        <f>Table001__Page_15[[#This Row],[FİYAT]]*Table001__Page_15[[#This Row],[MİKTAR]]</f>
        <v>0</v>
      </c>
      <c r="I737">
        <f>Table001__Page_15[[#This Row],[FİYAT]]*Table001__Page_15[[#This Row],[Sütun2]]</f>
        <v>0</v>
      </c>
      <c r="L737" s="50">
        <f>Table001__Page_15[[#This Row],[SATIŞ FİYATI]]-Table001__Page_15[[#This Row],[YUVARLAMA]]</f>
        <v>0</v>
      </c>
    </row>
    <row r="738" spans="7:12" x14ac:dyDescent="0.25">
      <c r="G738">
        <f>Table001__Page_15[[#This Row],[FİYAT]]*Table001__Page_15[[#This Row],[MİKTAR]]</f>
        <v>0</v>
      </c>
      <c r="I738">
        <f>Table001__Page_15[[#This Row],[FİYAT]]*Table001__Page_15[[#This Row],[Sütun2]]</f>
        <v>0</v>
      </c>
      <c r="L738" s="50">
        <f>Table001__Page_15[[#This Row],[SATIŞ FİYATI]]-Table001__Page_15[[#This Row],[YUVARLAMA]]</f>
        <v>0</v>
      </c>
    </row>
    <row r="739" spans="7:12" x14ac:dyDescent="0.25">
      <c r="G739">
        <f>Table001__Page_15[[#This Row],[FİYAT]]*Table001__Page_15[[#This Row],[MİKTAR]]</f>
        <v>0</v>
      </c>
      <c r="I739">
        <f>Table001__Page_15[[#This Row],[FİYAT]]*Table001__Page_15[[#This Row],[Sütun2]]</f>
        <v>0</v>
      </c>
      <c r="L739" s="50">
        <f>Table001__Page_15[[#This Row],[SATIŞ FİYATI]]-Table001__Page_15[[#This Row],[YUVARLAMA]]</f>
        <v>0</v>
      </c>
    </row>
    <row r="740" spans="7:12" x14ac:dyDescent="0.25">
      <c r="G740">
        <f>Table001__Page_15[[#This Row],[FİYAT]]*Table001__Page_15[[#This Row],[MİKTAR]]</f>
        <v>0</v>
      </c>
      <c r="I740">
        <f>Table001__Page_15[[#This Row],[FİYAT]]*Table001__Page_15[[#This Row],[Sütun2]]</f>
        <v>0</v>
      </c>
      <c r="L740" s="50">
        <f>Table001__Page_15[[#This Row],[SATIŞ FİYATI]]-Table001__Page_15[[#This Row],[YUVARLAMA]]</f>
        <v>0</v>
      </c>
    </row>
    <row r="741" spans="7:12" x14ac:dyDescent="0.25">
      <c r="G741">
        <f>Table001__Page_15[[#This Row],[FİYAT]]*Table001__Page_15[[#This Row],[MİKTAR]]</f>
        <v>0</v>
      </c>
      <c r="I741">
        <f>Table001__Page_15[[#This Row],[FİYAT]]*Table001__Page_15[[#This Row],[Sütun2]]</f>
        <v>0</v>
      </c>
      <c r="L741" s="50">
        <f>Table001__Page_15[[#This Row],[SATIŞ FİYATI]]-Table001__Page_15[[#This Row],[YUVARLAMA]]</f>
        <v>0</v>
      </c>
    </row>
    <row r="742" spans="7:12" x14ac:dyDescent="0.25">
      <c r="G742">
        <f>Table001__Page_15[[#This Row],[FİYAT]]*Table001__Page_15[[#This Row],[MİKTAR]]</f>
        <v>0</v>
      </c>
      <c r="I742">
        <f>Table001__Page_15[[#This Row],[FİYAT]]*Table001__Page_15[[#This Row],[Sütun2]]</f>
        <v>0</v>
      </c>
      <c r="L742" s="50">
        <f>Table001__Page_15[[#This Row],[SATIŞ FİYATI]]-Table001__Page_15[[#This Row],[YUVARLAMA]]</f>
        <v>0</v>
      </c>
    </row>
    <row r="743" spans="7:12" x14ac:dyDescent="0.25">
      <c r="G743">
        <f>Table001__Page_15[[#This Row],[FİYAT]]*Table001__Page_15[[#This Row],[MİKTAR]]</f>
        <v>0</v>
      </c>
      <c r="I743">
        <f>Table001__Page_15[[#This Row],[FİYAT]]*Table001__Page_15[[#This Row],[Sütun2]]</f>
        <v>0</v>
      </c>
      <c r="L743" s="50">
        <f>Table001__Page_15[[#This Row],[SATIŞ FİYATI]]-Table001__Page_15[[#This Row],[YUVARLAMA]]</f>
        <v>0</v>
      </c>
    </row>
    <row r="744" spans="7:12" x14ac:dyDescent="0.25">
      <c r="G744">
        <f>Table001__Page_15[[#This Row],[FİYAT]]*Table001__Page_15[[#This Row],[MİKTAR]]</f>
        <v>0</v>
      </c>
      <c r="I744">
        <f>Table001__Page_15[[#This Row],[FİYAT]]*Table001__Page_15[[#This Row],[Sütun2]]</f>
        <v>0</v>
      </c>
      <c r="L744" s="50">
        <f>Table001__Page_15[[#This Row],[SATIŞ FİYATI]]-Table001__Page_15[[#This Row],[YUVARLAMA]]</f>
        <v>0</v>
      </c>
    </row>
    <row r="745" spans="7:12" x14ac:dyDescent="0.25">
      <c r="G745">
        <f>Table001__Page_15[[#This Row],[FİYAT]]*Table001__Page_15[[#This Row],[MİKTAR]]</f>
        <v>0</v>
      </c>
      <c r="I745">
        <f>Table001__Page_15[[#This Row],[FİYAT]]*Table001__Page_15[[#This Row],[Sütun2]]</f>
        <v>0</v>
      </c>
      <c r="L745" s="50">
        <f>Table001__Page_15[[#This Row],[SATIŞ FİYATI]]-Table001__Page_15[[#This Row],[YUVARLAMA]]</f>
        <v>0</v>
      </c>
    </row>
    <row r="746" spans="7:12" x14ac:dyDescent="0.25">
      <c r="G746">
        <f>Table001__Page_15[[#This Row],[FİYAT]]*Table001__Page_15[[#This Row],[MİKTAR]]</f>
        <v>0</v>
      </c>
      <c r="I746">
        <f>Table001__Page_15[[#This Row],[FİYAT]]*Table001__Page_15[[#This Row],[Sütun2]]</f>
        <v>0</v>
      </c>
      <c r="L746" s="50">
        <f>Table001__Page_15[[#This Row],[SATIŞ FİYATI]]-Table001__Page_15[[#This Row],[YUVARLAMA]]</f>
        <v>0</v>
      </c>
    </row>
    <row r="747" spans="7:12" x14ac:dyDescent="0.25">
      <c r="G747">
        <f>Table001__Page_15[[#This Row],[FİYAT]]*Table001__Page_15[[#This Row],[MİKTAR]]</f>
        <v>0</v>
      </c>
      <c r="I747">
        <f>Table001__Page_15[[#This Row],[FİYAT]]*Table001__Page_15[[#This Row],[Sütun2]]</f>
        <v>0</v>
      </c>
      <c r="L747" s="50">
        <f>Table001__Page_15[[#This Row],[SATIŞ FİYATI]]-Table001__Page_15[[#This Row],[YUVARLAMA]]</f>
        <v>0</v>
      </c>
    </row>
    <row r="748" spans="7:12" x14ac:dyDescent="0.25">
      <c r="G748">
        <f>Table001__Page_15[[#This Row],[FİYAT]]*Table001__Page_15[[#This Row],[MİKTAR]]</f>
        <v>0</v>
      </c>
      <c r="I748">
        <f>Table001__Page_15[[#This Row],[FİYAT]]*Table001__Page_15[[#This Row],[Sütun2]]</f>
        <v>0</v>
      </c>
      <c r="L748" s="50">
        <f>Table001__Page_15[[#This Row],[SATIŞ FİYATI]]-Table001__Page_15[[#This Row],[YUVARLAMA]]</f>
        <v>0</v>
      </c>
    </row>
    <row r="749" spans="7:12" x14ac:dyDescent="0.25">
      <c r="G749">
        <f>Table001__Page_15[[#This Row],[FİYAT]]*Table001__Page_15[[#This Row],[MİKTAR]]</f>
        <v>0</v>
      </c>
      <c r="I749">
        <f>Table001__Page_15[[#This Row],[FİYAT]]*Table001__Page_15[[#This Row],[Sütun2]]</f>
        <v>0</v>
      </c>
      <c r="L749" s="50">
        <f>Table001__Page_15[[#This Row],[SATIŞ FİYATI]]-Table001__Page_15[[#This Row],[YUVARLAMA]]</f>
        <v>0</v>
      </c>
    </row>
    <row r="750" spans="7:12" x14ac:dyDescent="0.25">
      <c r="G750">
        <f>Table001__Page_15[[#This Row],[FİYAT]]*Table001__Page_15[[#This Row],[MİKTAR]]</f>
        <v>0</v>
      </c>
      <c r="I750">
        <f>Table001__Page_15[[#This Row],[FİYAT]]*Table001__Page_15[[#This Row],[Sütun2]]</f>
        <v>0</v>
      </c>
      <c r="L750" s="50">
        <f>Table001__Page_15[[#This Row],[SATIŞ FİYATI]]-Table001__Page_15[[#This Row],[YUVARLAMA]]</f>
        <v>0</v>
      </c>
    </row>
    <row r="751" spans="7:12" x14ac:dyDescent="0.25">
      <c r="G751">
        <f>Table001__Page_15[[#This Row],[FİYAT]]*Table001__Page_15[[#This Row],[MİKTAR]]</f>
        <v>0</v>
      </c>
      <c r="I751">
        <f>Table001__Page_15[[#This Row],[FİYAT]]*Table001__Page_15[[#This Row],[Sütun2]]</f>
        <v>0</v>
      </c>
      <c r="L751" s="50">
        <f>Table001__Page_15[[#This Row],[SATIŞ FİYATI]]-Table001__Page_15[[#This Row],[YUVARLAMA]]</f>
        <v>0</v>
      </c>
    </row>
    <row r="752" spans="7:12" x14ac:dyDescent="0.25">
      <c r="G752">
        <f>Table001__Page_15[[#This Row],[FİYAT]]*Table001__Page_15[[#This Row],[MİKTAR]]</f>
        <v>0</v>
      </c>
      <c r="I752">
        <f>Table001__Page_15[[#This Row],[FİYAT]]*Table001__Page_15[[#This Row],[Sütun2]]</f>
        <v>0</v>
      </c>
      <c r="L752" s="50">
        <f>Table001__Page_15[[#This Row],[SATIŞ FİYATI]]-Table001__Page_15[[#This Row],[YUVARLAMA]]</f>
        <v>0</v>
      </c>
    </row>
    <row r="753" spans="7:12" x14ac:dyDescent="0.25">
      <c r="G753">
        <f>Table001__Page_15[[#This Row],[FİYAT]]*Table001__Page_15[[#This Row],[MİKTAR]]</f>
        <v>0</v>
      </c>
      <c r="I753">
        <f>Table001__Page_15[[#This Row],[FİYAT]]*Table001__Page_15[[#This Row],[Sütun2]]</f>
        <v>0</v>
      </c>
      <c r="L753" s="50">
        <f>Table001__Page_15[[#This Row],[SATIŞ FİYATI]]-Table001__Page_15[[#This Row],[YUVARLAMA]]</f>
        <v>0</v>
      </c>
    </row>
    <row r="754" spans="7:12" x14ac:dyDescent="0.25">
      <c r="G754">
        <f>Table001__Page_15[[#This Row],[FİYAT]]*Table001__Page_15[[#This Row],[MİKTAR]]</f>
        <v>0</v>
      </c>
      <c r="I754">
        <f>Table001__Page_15[[#This Row],[FİYAT]]*Table001__Page_15[[#This Row],[Sütun2]]</f>
        <v>0</v>
      </c>
      <c r="L754" s="50">
        <f>Table001__Page_15[[#This Row],[SATIŞ FİYATI]]-Table001__Page_15[[#This Row],[YUVARLAMA]]</f>
        <v>0</v>
      </c>
    </row>
    <row r="755" spans="7:12" x14ac:dyDescent="0.25">
      <c r="G755">
        <f>Table001__Page_15[[#This Row],[FİYAT]]*Table001__Page_15[[#This Row],[MİKTAR]]</f>
        <v>0</v>
      </c>
      <c r="I755">
        <f>Table001__Page_15[[#This Row],[FİYAT]]*Table001__Page_15[[#This Row],[Sütun2]]</f>
        <v>0</v>
      </c>
      <c r="L755" s="50">
        <f>Table001__Page_15[[#This Row],[SATIŞ FİYATI]]-Table001__Page_15[[#This Row],[YUVARLAMA]]</f>
        <v>0</v>
      </c>
    </row>
    <row r="756" spans="7:12" x14ac:dyDescent="0.25">
      <c r="G756">
        <f>Table001__Page_15[[#This Row],[FİYAT]]*Table001__Page_15[[#This Row],[MİKTAR]]</f>
        <v>0</v>
      </c>
      <c r="I756">
        <f>Table001__Page_15[[#This Row],[FİYAT]]*Table001__Page_15[[#This Row],[Sütun2]]</f>
        <v>0</v>
      </c>
      <c r="L756" s="50">
        <f>Table001__Page_15[[#This Row],[SATIŞ FİYATI]]-Table001__Page_15[[#This Row],[YUVARLAMA]]</f>
        <v>0</v>
      </c>
    </row>
    <row r="757" spans="7:12" x14ac:dyDescent="0.25">
      <c r="G757">
        <f>Table001__Page_15[[#This Row],[FİYAT]]*Table001__Page_15[[#This Row],[MİKTAR]]</f>
        <v>0</v>
      </c>
      <c r="I757">
        <f>Table001__Page_15[[#This Row],[FİYAT]]*Table001__Page_15[[#This Row],[Sütun2]]</f>
        <v>0</v>
      </c>
      <c r="L757" s="50">
        <f>Table001__Page_15[[#This Row],[SATIŞ FİYATI]]-Table001__Page_15[[#This Row],[YUVARLAMA]]</f>
        <v>0</v>
      </c>
    </row>
    <row r="758" spans="7:12" x14ac:dyDescent="0.25">
      <c r="G758">
        <f>Table001__Page_15[[#This Row],[FİYAT]]*Table001__Page_15[[#This Row],[MİKTAR]]</f>
        <v>0</v>
      </c>
      <c r="I758">
        <f>Table001__Page_15[[#This Row],[FİYAT]]*Table001__Page_15[[#This Row],[Sütun2]]</f>
        <v>0</v>
      </c>
      <c r="L758" s="50">
        <f>Table001__Page_15[[#This Row],[SATIŞ FİYATI]]-Table001__Page_15[[#This Row],[YUVARLAMA]]</f>
        <v>0</v>
      </c>
    </row>
    <row r="759" spans="7:12" x14ac:dyDescent="0.25">
      <c r="G759">
        <f>Table001__Page_15[[#This Row],[FİYAT]]*Table001__Page_15[[#This Row],[MİKTAR]]</f>
        <v>0</v>
      </c>
      <c r="I759">
        <f>Table001__Page_15[[#This Row],[FİYAT]]*Table001__Page_15[[#This Row],[Sütun2]]</f>
        <v>0</v>
      </c>
      <c r="L759" s="50">
        <f>Table001__Page_15[[#This Row],[SATIŞ FİYATI]]-Table001__Page_15[[#This Row],[YUVARLAMA]]</f>
        <v>0</v>
      </c>
    </row>
    <row r="760" spans="7:12" x14ac:dyDescent="0.25">
      <c r="G760">
        <f>Table001__Page_15[[#This Row],[FİYAT]]*Table001__Page_15[[#This Row],[MİKTAR]]</f>
        <v>0</v>
      </c>
      <c r="I760">
        <f>Table001__Page_15[[#This Row],[FİYAT]]*Table001__Page_15[[#This Row],[Sütun2]]</f>
        <v>0</v>
      </c>
      <c r="L760" s="50">
        <f>Table001__Page_15[[#This Row],[SATIŞ FİYATI]]-Table001__Page_15[[#This Row],[YUVARLAMA]]</f>
        <v>0</v>
      </c>
    </row>
    <row r="761" spans="7:12" x14ac:dyDescent="0.25">
      <c r="G761">
        <f>Table001__Page_15[[#This Row],[FİYAT]]*Table001__Page_15[[#This Row],[MİKTAR]]</f>
        <v>0</v>
      </c>
      <c r="I761">
        <f>Table001__Page_15[[#This Row],[FİYAT]]*Table001__Page_15[[#This Row],[Sütun2]]</f>
        <v>0</v>
      </c>
      <c r="L761" s="50">
        <f>Table001__Page_15[[#This Row],[SATIŞ FİYATI]]-Table001__Page_15[[#This Row],[YUVARLAMA]]</f>
        <v>0</v>
      </c>
    </row>
    <row r="762" spans="7:12" x14ac:dyDescent="0.25">
      <c r="G762">
        <f>Table001__Page_15[[#This Row],[FİYAT]]*Table001__Page_15[[#This Row],[MİKTAR]]</f>
        <v>0</v>
      </c>
      <c r="I762">
        <f>Table001__Page_15[[#This Row],[FİYAT]]*Table001__Page_15[[#This Row],[Sütun2]]</f>
        <v>0</v>
      </c>
      <c r="L762" s="50">
        <f>Table001__Page_15[[#This Row],[SATIŞ FİYATI]]-Table001__Page_15[[#This Row],[YUVARLAMA]]</f>
        <v>0</v>
      </c>
    </row>
    <row r="763" spans="7:12" x14ac:dyDescent="0.25">
      <c r="G763">
        <f>Table001__Page_15[[#This Row],[FİYAT]]*Table001__Page_15[[#This Row],[MİKTAR]]</f>
        <v>0</v>
      </c>
      <c r="I763">
        <f>Table001__Page_15[[#This Row],[FİYAT]]*Table001__Page_15[[#This Row],[Sütun2]]</f>
        <v>0</v>
      </c>
      <c r="L763" s="50">
        <f>Table001__Page_15[[#This Row],[SATIŞ FİYATI]]-Table001__Page_15[[#This Row],[YUVARLAMA]]</f>
        <v>0</v>
      </c>
    </row>
    <row r="764" spans="7:12" x14ac:dyDescent="0.25">
      <c r="G764">
        <f>Table001__Page_15[[#This Row],[FİYAT]]*Table001__Page_15[[#This Row],[MİKTAR]]</f>
        <v>0</v>
      </c>
      <c r="I764">
        <f>Table001__Page_15[[#This Row],[FİYAT]]*Table001__Page_15[[#This Row],[Sütun2]]</f>
        <v>0</v>
      </c>
      <c r="L764" s="50">
        <f>Table001__Page_15[[#This Row],[SATIŞ FİYATI]]-Table001__Page_15[[#This Row],[YUVARLAMA]]</f>
        <v>0</v>
      </c>
    </row>
    <row r="765" spans="7:12" x14ac:dyDescent="0.25">
      <c r="G765">
        <f>Table001__Page_15[[#This Row],[FİYAT]]*Table001__Page_15[[#This Row],[MİKTAR]]</f>
        <v>0</v>
      </c>
      <c r="I765">
        <f>Table001__Page_15[[#This Row],[FİYAT]]*Table001__Page_15[[#This Row],[Sütun2]]</f>
        <v>0</v>
      </c>
      <c r="L765" s="50">
        <f>Table001__Page_15[[#This Row],[SATIŞ FİYATI]]-Table001__Page_15[[#This Row],[YUVARLAMA]]</f>
        <v>0</v>
      </c>
    </row>
    <row r="766" spans="7:12" x14ac:dyDescent="0.25">
      <c r="G766">
        <f>Table001__Page_15[[#This Row],[FİYAT]]*Table001__Page_15[[#This Row],[MİKTAR]]</f>
        <v>0</v>
      </c>
      <c r="I766">
        <f>Table001__Page_15[[#This Row],[FİYAT]]*Table001__Page_15[[#This Row],[Sütun2]]</f>
        <v>0</v>
      </c>
      <c r="L766" s="50">
        <f>Table001__Page_15[[#This Row],[SATIŞ FİYATI]]-Table001__Page_15[[#This Row],[YUVARLAMA]]</f>
        <v>0</v>
      </c>
    </row>
    <row r="767" spans="7:12" x14ac:dyDescent="0.25">
      <c r="G767">
        <f>Table001__Page_15[[#This Row],[FİYAT]]*Table001__Page_15[[#This Row],[MİKTAR]]</f>
        <v>0</v>
      </c>
      <c r="I767">
        <f>Table001__Page_15[[#This Row],[FİYAT]]*Table001__Page_15[[#This Row],[Sütun2]]</f>
        <v>0</v>
      </c>
      <c r="L767" s="50">
        <f>Table001__Page_15[[#This Row],[SATIŞ FİYATI]]-Table001__Page_15[[#This Row],[YUVARLAMA]]</f>
        <v>0</v>
      </c>
    </row>
    <row r="768" spans="7:12" x14ac:dyDescent="0.25">
      <c r="G768">
        <f>Table001__Page_15[[#This Row],[FİYAT]]*Table001__Page_15[[#This Row],[MİKTAR]]</f>
        <v>0</v>
      </c>
      <c r="I768">
        <f>Table001__Page_15[[#This Row],[FİYAT]]*Table001__Page_15[[#This Row],[Sütun2]]</f>
        <v>0</v>
      </c>
      <c r="L768" s="50">
        <f>Table001__Page_15[[#This Row],[SATIŞ FİYATI]]-Table001__Page_15[[#This Row],[YUVARLAMA]]</f>
        <v>0</v>
      </c>
    </row>
    <row r="769" spans="7:12" x14ac:dyDescent="0.25">
      <c r="G769">
        <f>Table001__Page_15[[#This Row],[FİYAT]]*Table001__Page_15[[#This Row],[MİKTAR]]</f>
        <v>0</v>
      </c>
      <c r="I769">
        <f>Table001__Page_15[[#This Row],[FİYAT]]*Table001__Page_15[[#This Row],[Sütun2]]</f>
        <v>0</v>
      </c>
      <c r="L769" s="50">
        <f>Table001__Page_15[[#This Row],[SATIŞ FİYATI]]-Table001__Page_15[[#This Row],[YUVARLAMA]]</f>
        <v>0</v>
      </c>
    </row>
    <row r="770" spans="7:12" x14ac:dyDescent="0.25">
      <c r="G770">
        <f>Table001__Page_15[[#This Row],[FİYAT]]*Table001__Page_15[[#This Row],[MİKTAR]]</f>
        <v>0</v>
      </c>
      <c r="I770">
        <f>Table001__Page_15[[#This Row],[FİYAT]]*Table001__Page_15[[#This Row],[Sütun2]]</f>
        <v>0</v>
      </c>
      <c r="L770" s="50">
        <f>Table001__Page_15[[#This Row],[SATIŞ FİYATI]]-Table001__Page_15[[#This Row],[YUVARLAMA]]</f>
        <v>0</v>
      </c>
    </row>
    <row r="771" spans="7:12" x14ac:dyDescent="0.25">
      <c r="G771">
        <f>Table001__Page_15[[#This Row],[FİYAT]]*Table001__Page_15[[#This Row],[MİKTAR]]</f>
        <v>0</v>
      </c>
      <c r="I771">
        <f>Table001__Page_15[[#This Row],[FİYAT]]*Table001__Page_15[[#This Row],[Sütun2]]</f>
        <v>0</v>
      </c>
      <c r="L771" s="50">
        <f>Table001__Page_15[[#This Row],[SATIŞ FİYATI]]-Table001__Page_15[[#This Row],[YUVARLAMA]]</f>
        <v>0</v>
      </c>
    </row>
    <row r="772" spans="7:12" x14ac:dyDescent="0.25">
      <c r="G772">
        <f>Table001__Page_15[[#This Row],[FİYAT]]*Table001__Page_15[[#This Row],[MİKTAR]]</f>
        <v>0</v>
      </c>
      <c r="I772">
        <f>Table001__Page_15[[#This Row],[FİYAT]]*Table001__Page_15[[#This Row],[Sütun2]]</f>
        <v>0</v>
      </c>
      <c r="L772" s="50">
        <f>Table001__Page_15[[#This Row],[SATIŞ FİYATI]]-Table001__Page_15[[#This Row],[YUVARLAMA]]</f>
        <v>0</v>
      </c>
    </row>
    <row r="773" spans="7:12" x14ac:dyDescent="0.25">
      <c r="G773">
        <f>Table001__Page_15[[#This Row],[FİYAT]]*Table001__Page_15[[#This Row],[MİKTAR]]</f>
        <v>0</v>
      </c>
      <c r="I773">
        <f>Table001__Page_15[[#This Row],[FİYAT]]*Table001__Page_15[[#This Row],[Sütun2]]</f>
        <v>0</v>
      </c>
      <c r="L773" s="50">
        <f>Table001__Page_15[[#This Row],[SATIŞ FİYATI]]-Table001__Page_15[[#This Row],[YUVARLAMA]]</f>
        <v>0</v>
      </c>
    </row>
    <row r="774" spans="7:12" x14ac:dyDescent="0.25">
      <c r="G774">
        <f>Table001__Page_15[[#This Row],[FİYAT]]*Table001__Page_15[[#This Row],[MİKTAR]]</f>
        <v>0</v>
      </c>
      <c r="I774">
        <f>Table001__Page_15[[#This Row],[FİYAT]]*Table001__Page_15[[#This Row],[Sütun2]]</f>
        <v>0</v>
      </c>
      <c r="L774" s="50">
        <f>Table001__Page_15[[#This Row],[SATIŞ FİYATI]]-Table001__Page_15[[#This Row],[YUVARLAMA]]</f>
        <v>0</v>
      </c>
    </row>
    <row r="775" spans="7:12" x14ac:dyDescent="0.25">
      <c r="G775">
        <f>Table001__Page_15[[#This Row],[FİYAT]]*Table001__Page_15[[#This Row],[MİKTAR]]</f>
        <v>0</v>
      </c>
      <c r="I775">
        <f>Table001__Page_15[[#This Row],[FİYAT]]*Table001__Page_15[[#This Row],[Sütun2]]</f>
        <v>0</v>
      </c>
      <c r="L775" s="50">
        <f>Table001__Page_15[[#This Row],[SATIŞ FİYATI]]-Table001__Page_15[[#This Row],[YUVARLAMA]]</f>
        <v>0</v>
      </c>
    </row>
    <row r="776" spans="7:12" x14ac:dyDescent="0.25">
      <c r="G776">
        <f>Table001__Page_15[[#This Row],[FİYAT]]*Table001__Page_15[[#This Row],[MİKTAR]]</f>
        <v>0</v>
      </c>
      <c r="I776">
        <f>Table001__Page_15[[#This Row],[FİYAT]]*Table001__Page_15[[#This Row],[Sütun2]]</f>
        <v>0</v>
      </c>
      <c r="L776" s="50">
        <f>Table001__Page_15[[#This Row],[SATIŞ FİYATI]]-Table001__Page_15[[#This Row],[YUVARLAMA]]</f>
        <v>0</v>
      </c>
    </row>
    <row r="777" spans="7:12" x14ac:dyDescent="0.25">
      <c r="G777">
        <f>Table001__Page_15[[#This Row],[FİYAT]]*Table001__Page_15[[#This Row],[MİKTAR]]</f>
        <v>0</v>
      </c>
      <c r="I777">
        <f>Table001__Page_15[[#This Row],[FİYAT]]*Table001__Page_15[[#This Row],[Sütun2]]</f>
        <v>0</v>
      </c>
      <c r="L777" s="50">
        <f>Table001__Page_15[[#This Row],[SATIŞ FİYATI]]-Table001__Page_15[[#This Row],[YUVARLAMA]]</f>
        <v>0</v>
      </c>
    </row>
    <row r="778" spans="7:12" x14ac:dyDescent="0.25">
      <c r="G778">
        <f>Table001__Page_15[[#This Row],[FİYAT]]*Table001__Page_15[[#This Row],[MİKTAR]]</f>
        <v>0</v>
      </c>
      <c r="I778">
        <f>Table001__Page_15[[#This Row],[FİYAT]]*Table001__Page_15[[#This Row],[Sütun2]]</f>
        <v>0</v>
      </c>
      <c r="L778" s="50">
        <f>Table001__Page_15[[#This Row],[SATIŞ FİYATI]]-Table001__Page_15[[#This Row],[YUVARLAMA]]</f>
        <v>0</v>
      </c>
    </row>
    <row r="779" spans="7:12" x14ac:dyDescent="0.25">
      <c r="G779">
        <f>Table001__Page_15[[#This Row],[FİYAT]]*Table001__Page_15[[#This Row],[MİKTAR]]</f>
        <v>0</v>
      </c>
      <c r="I779">
        <f>Table001__Page_15[[#This Row],[FİYAT]]*Table001__Page_15[[#This Row],[Sütun2]]</f>
        <v>0</v>
      </c>
      <c r="L779" s="50">
        <f>Table001__Page_15[[#This Row],[SATIŞ FİYATI]]-Table001__Page_15[[#This Row],[YUVARLAMA]]</f>
        <v>0</v>
      </c>
    </row>
    <row r="780" spans="7:12" x14ac:dyDescent="0.25">
      <c r="G780">
        <f>Table001__Page_15[[#This Row],[FİYAT]]*Table001__Page_15[[#This Row],[MİKTAR]]</f>
        <v>0</v>
      </c>
      <c r="I780">
        <f>Table001__Page_15[[#This Row],[FİYAT]]*Table001__Page_15[[#This Row],[Sütun2]]</f>
        <v>0</v>
      </c>
      <c r="L780" s="50">
        <f>Table001__Page_15[[#This Row],[SATIŞ FİYATI]]-Table001__Page_15[[#This Row],[YUVARLAMA]]</f>
        <v>0</v>
      </c>
    </row>
    <row r="781" spans="7:12" x14ac:dyDescent="0.25">
      <c r="G781">
        <f>Table001__Page_15[[#This Row],[FİYAT]]*Table001__Page_15[[#This Row],[MİKTAR]]</f>
        <v>0</v>
      </c>
      <c r="I781">
        <f>Table001__Page_15[[#This Row],[FİYAT]]*Table001__Page_15[[#This Row],[Sütun2]]</f>
        <v>0</v>
      </c>
      <c r="L781" s="50">
        <f>Table001__Page_15[[#This Row],[SATIŞ FİYATI]]-Table001__Page_15[[#This Row],[YUVARLAMA]]</f>
        <v>0</v>
      </c>
    </row>
    <row r="782" spans="7:12" x14ac:dyDescent="0.25">
      <c r="G782">
        <f>Table001__Page_15[[#This Row],[FİYAT]]*Table001__Page_15[[#This Row],[MİKTAR]]</f>
        <v>0</v>
      </c>
      <c r="I782">
        <f>Table001__Page_15[[#This Row],[FİYAT]]*Table001__Page_15[[#This Row],[Sütun2]]</f>
        <v>0</v>
      </c>
      <c r="L782" s="50">
        <f>Table001__Page_15[[#This Row],[SATIŞ FİYATI]]-Table001__Page_15[[#This Row],[YUVARLAMA]]</f>
        <v>0</v>
      </c>
    </row>
    <row r="783" spans="7:12" x14ac:dyDescent="0.25">
      <c r="G783">
        <f>Table001__Page_15[[#This Row],[FİYAT]]*Table001__Page_15[[#This Row],[MİKTAR]]</f>
        <v>0</v>
      </c>
      <c r="I783">
        <f>Table001__Page_15[[#This Row],[FİYAT]]*Table001__Page_15[[#This Row],[Sütun2]]</f>
        <v>0</v>
      </c>
      <c r="L783" s="50">
        <f>Table001__Page_15[[#This Row],[SATIŞ FİYATI]]-Table001__Page_15[[#This Row],[YUVARLAMA]]</f>
        <v>0</v>
      </c>
    </row>
    <row r="784" spans="7:12" x14ac:dyDescent="0.25">
      <c r="G784">
        <f>Table001__Page_15[[#This Row],[FİYAT]]*Table001__Page_15[[#This Row],[MİKTAR]]</f>
        <v>0</v>
      </c>
      <c r="I784">
        <f>Table001__Page_15[[#This Row],[FİYAT]]*Table001__Page_15[[#This Row],[Sütun2]]</f>
        <v>0</v>
      </c>
      <c r="L784" s="50">
        <f>Table001__Page_15[[#This Row],[SATIŞ FİYATI]]-Table001__Page_15[[#This Row],[YUVARLAMA]]</f>
        <v>0</v>
      </c>
    </row>
    <row r="785" spans="7:12" x14ac:dyDescent="0.25">
      <c r="G785">
        <f>Table001__Page_15[[#This Row],[FİYAT]]*Table001__Page_15[[#This Row],[MİKTAR]]</f>
        <v>0</v>
      </c>
      <c r="I785">
        <f>Table001__Page_15[[#This Row],[FİYAT]]*Table001__Page_15[[#This Row],[Sütun2]]</f>
        <v>0</v>
      </c>
      <c r="L785" s="50">
        <f>Table001__Page_15[[#This Row],[SATIŞ FİYATI]]-Table001__Page_15[[#This Row],[YUVARLAMA]]</f>
        <v>0</v>
      </c>
    </row>
    <row r="786" spans="7:12" x14ac:dyDescent="0.25">
      <c r="G786">
        <f>Table001__Page_15[[#This Row],[FİYAT]]*Table001__Page_15[[#This Row],[MİKTAR]]</f>
        <v>0</v>
      </c>
      <c r="I786">
        <f>Table001__Page_15[[#This Row],[FİYAT]]*Table001__Page_15[[#This Row],[Sütun2]]</f>
        <v>0</v>
      </c>
      <c r="L786" s="50">
        <f>Table001__Page_15[[#This Row],[SATIŞ FİYATI]]-Table001__Page_15[[#This Row],[YUVARLAMA]]</f>
        <v>0</v>
      </c>
    </row>
    <row r="787" spans="7:12" x14ac:dyDescent="0.25">
      <c r="G787">
        <f>Table001__Page_15[[#This Row],[FİYAT]]*Table001__Page_15[[#This Row],[MİKTAR]]</f>
        <v>0</v>
      </c>
      <c r="I787">
        <f>Table001__Page_15[[#This Row],[FİYAT]]*Table001__Page_15[[#This Row],[Sütun2]]</f>
        <v>0</v>
      </c>
      <c r="L787" s="50">
        <f>Table001__Page_15[[#This Row],[SATIŞ FİYATI]]-Table001__Page_15[[#This Row],[YUVARLAMA]]</f>
        <v>0</v>
      </c>
    </row>
    <row r="788" spans="7:12" x14ac:dyDescent="0.25">
      <c r="G788">
        <f>Table001__Page_15[[#This Row],[FİYAT]]*Table001__Page_15[[#This Row],[MİKTAR]]</f>
        <v>0</v>
      </c>
      <c r="I788">
        <f>Table001__Page_15[[#This Row],[FİYAT]]*Table001__Page_15[[#This Row],[Sütun2]]</f>
        <v>0</v>
      </c>
      <c r="L788" s="50">
        <f>Table001__Page_15[[#This Row],[SATIŞ FİYATI]]-Table001__Page_15[[#This Row],[YUVARLAMA]]</f>
        <v>0</v>
      </c>
    </row>
    <row r="789" spans="7:12" x14ac:dyDescent="0.25">
      <c r="G789">
        <f>Table001__Page_15[[#This Row],[FİYAT]]*Table001__Page_15[[#This Row],[MİKTAR]]</f>
        <v>0</v>
      </c>
      <c r="I789">
        <f>Table001__Page_15[[#This Row],[FİYAT]]*Table001__Page_15[[#This Row],[Sütun2]]</f>
        <v>0</v>
      </c>
      <c r="L789" s="50">
        <f>Table001__Page_15[[#This Row],[SATIŞ FİYATI]]-Table001__Page_15[[#This Row],[YUVARLAMA]]</f>
        <v>0</v>
      </c>
    </row>
    <row r="790" spans="7:12" x14ac:dyDescent="0.25">
      <c r="G790">
        <f>Table001__Page_15[[#This Row],[FİYAT]]*Table001__Page_15[[#This Row],[MİKTAR]]</f>
        <v>0</v>
      </c>
      <c r="I790">
        <f>Table001__Page_15[[#This Row],[FİYAT]]*Table001__Page_15[[#This Row],[Sütun2]]</f>
        <v>0</v>
      </c>
      <c r="L790" s="50">
        <f>Table001__Page_15[[#This Row],[SATIŞ FİYATI]]-Table001__Page_15[[#This Row],[YUVARLAMA]]</f>
        <v>0</v>
      </c>
    </row>
    <row r="791" spans="7:12" x14ac:dyDescent="0.25">
      <c r="G791">
        <f>Table001__Page_15[[#This Row],[FİYAT]]*Table001__Page_15[[#This Row],[MİKTAR]]</f>
        <v>0</v>
      </c>
      <c r="I791">
        <f>Table001__Page_15[[#This Row],[FİYAT]]*Table001__Page_15[[#This Row],[Sütun2]]</f>
        <v>0</v>
      </c>
      <c r="L791" s="50">
        <f>Table001__Page_15[[#This Row],[SATIŞ FİYATI]]-Table001__Page_15[[#This Row],[YUVARLAMA]]</f>
        <v>0</v>
      </c>
    </row>
    <row r="792" spans="7:12" x14ac:dyDescent="0.25">
      <c r="G792">
        <f>Table001__Page_15[[#This Row],[FİYAT]]*Table001__Page_15[[#This Row],[MİKTAR]]</f>
        <v>0</v>
      </c>
      <c r="I792">
        <f>Table001__Page_15[[#This Row],[FİYAT]]*Table001__Page_15[[#This Row],[Sütun2]]</f>
        <v>0</v>
      </c>
      <c r="L792" s="50">
        <f>Table001__Page_15[[#This Row],[SATIŞ FİYATI]]-Table001__Page_15[[#This Row],[YUVARLAMA]]</f>
        <v>0</v>
      </c>
    </row>
    <row r="793" spans="7:12" x14ac:dyDescent="0.25">
      <c r="G793">
        <f>Table001__Page_15[[#This Row],[FİYAT]]*Table001__Page_15[[#This Row],[MİKTAR]]</f>
        <v>0</v>
      </c>
      <c r="I793">
        <f>Table001__Page_15[[#This Row],[FİYAT]]*Table001__Page_15[[#This Row],[Sütun2]]</f>
        <v>0</v>
      </c>
      <c r="L793" s="50">
        <f>Table001__Page_15[[#This Row],[SATIŞ FİYATI]]-Table001__Page_15[[#This Row],[YUVARLAMA]]</f>
        <v>0</v>
      </c>
    </row>
    <row r="794" spans="7:12" x14ac:dyDescent="0.25">
      <c r="G794">
        <f>Table001__Page_15[[#This Row],[FİYAT]]*Table001__Page_15[[#This Row],[MİKTAR]]</f>
        <v>0</v>
      </c>
      <c r="I794">
        <f>Table001__Page_15[[#This Row],[FİYAT]]*Table001__Page_15[[#This Row],[Sütun2]]</f>
        <v>0</v>
      </c>
      <c r="L794" s="50">
        <f>Table001__Page_15[[#This Row],[SATIŞ FİYATI]]-Table001__Page_15[[#This Row],[YUVARLAMA]]</f>
        <v>0</v>
      </c>
    </row>
    <row r="795" spans="7:12" x14ac:dyDescent="0.25">
      <c r="G795">
        <f>Table001__Page_15[[#This Row],[FİYAT]]*Table001__Page_15[[#This Row],[MİKTAR]]</f>
        <v>0</v>
      </c>
      <c r="I795">
        <f>Table001__Page_15[[#This Row],[FİYAT]]*Table001__Page_15[[#This Row],[Sütun2]]</f>
        <v>0</v>
      </c>
      <c r="L795" s="50">
        <f>Table001__Page_15[[#This Row],[SATIŞ FİYATI]]-Table001__Page_15[[#This Row],[YUVARLAMA]]</f>
        <v>0</v>
      </c>
    </row>
    <row r="796" spans="7:12" x14ac:dyDescent="0.25">
      <c r="G796">
        <f>Table001__Page_15[[#This Row],[FİYAT]]*Table001__Page_15[[#This Row],[MİKTAR]]</f>
        <v>0</v>
      </c>
      <c r="I796">
        <f>Table001__Page_15[[#This Row],[FİYAT]]*Table001__Page_15[[#This Row],[Sütun2]]</f>
        <v>0</v>
      </c>
      <c r="L796" s="50">
        <f>Table001__Page_15[[#This Row],[SATIŞ FİYATI]]-Table001__Page_15[[#This Row],[YUVARLAMA]]</f>
        <v>0</v>
      </c>
    </row>
    <row r="797" spans="7:12" x14ac:dyDescent="0.25">
      <c r="G797">
        <f>Table001__Page_15[[#This Row],[FİYAT]]*Table001__Page_15[[#This Row],[MİKTAR]]</f>
        <v>0</v>
      </c>
      <c r="I797">
        <f>Table001__Page_15[[#This Row],[FİYAT]]*Table001__Page_15[[#This Row],[Sütun2]]</f>
        <v>0</v>
      </c>
      <c r="L797" s="50">
        <f>Table001__Page_15[[#This Row],[SATIŞ FİYATI]]-Table001__Page_15[[#This Row],[YUVARLAMA]]</f>
        <v>0</v>
      </c>
    </row>
    <row r="798" spans="7:12" x14ac:dyDescent="0.25">
      <c r="G798">
        <f>Table001__Page_15[[#This Row],[FİYAT]]*Table001__Page_15[[#This Row],[MİKTAR]]</f>
        <v>0</v>
      </c>
      <c r="I798">
        <f>Table001__Page_15[[#This Row],[FİYAT]]*Table001__Page_15[[#This Row],[Sütun2]]</f>
        <v>0</v>
      </c>
      <c r="L798" s="50">
        <f>Table001__Page_15[[#This Row],[SATIŞ FİYATI]]-Table001__Page_15[[#This Row],[YUVARLAMA]]</f>
        <v>0</v>
      </c>
    </row>
    <row r="799" spans="7:12" x14ac:dyDescent="0.25">
      <c r="G799">
        <f>Table001__Page_15[[#This Row],[FİYAT]]*Table001__Page_15[[#This Row],[MİKTAR]]</f>
        <v>0</v>
      </c>
      <c r="I799">
        <f>Table001__Page_15[[#This Row],[FİYAT]]*Table001__Page_15[[#This Row],[Sütun2]]</f>
        <v>0</v>
      </c>
      <c r="L799" s="50">
        <f>Table001__Page_15[[#This Row],[SATIŞ FİYATI]]-Table001__Page_15[[#This Row],[YUVARLAMA]]</f>
        <v>0</v>
      </c>
    </row>
    <row r="800" spans="7:12" x14ac:dyDescent="0.25">
      <c r="G800">
        <f>Table001__Page_15[[#This Row],[FİYAT]]*Table001__Page_15[[#This Row],[MİKTAR]]</f>
        <v>0</v>
      </c>
      <c r="I800">
        <f>Table001__Page_15[[#This Row],[FİYAT]]*Table001__Page_15[[#This Row],[Sütun2]]</f>
        <v>0</v>
      </c>
      <c r="L800" s="50">
        <f>Table001__Page_15[[#This Row],[SATIŞ FİYATI]]-Table001__Page_15[[#This Row],[YUVARLAMA]]</f>
        <v>0</v>
      </c>
    </row>
    <row r="801" spans="7:12" x14ac:dyDescent="0.25">
      <c r="G801">
        <f>Table001__Page_15[[#This Row],[FİYAT]]*Table001__Page_15[[#This Row],[MİKTAR]]</f>
        <v>0</v>
      </c>
      <c r="I801">
        <f>Table001__Page_15[[#This Row],[FİYAT]]*Table001__Page_15[[#This Row],[Sütun2]]</f>
        <v>0</v>
      </c>
      <c r="L801" s="50">
        <f>Table001__Page_15[[#This Row],[SATIŞ FİYATI]]-Table001__Page_15[[#This Row],[YUVARLAMA]]</f>
        <v>0</v>
      </c>
    </row>
    <row r="802" spans="7:12" x14ac:dyDescent="0.25">
      <c r="G802">
        <f>Table001__Page_15[[#This Row],[FİYAT]]*Table001__Page_15[[#This Row],[MİKTAR]]</f>
        <v>0</v>
      </c>
      <c r="I802">
        <f>Table001__Page_15[[#This Row],[FİYAT]]*Table001__Page_15[[#This Row],[Sütun2]]</f>
        <v>0</v>
      </c>
      <c r="L802" s="50">
        <f>Table001__Page_15[[#This Row],[SATIŞ FİYATI]]-Table001__Page_15[[#This Row],[YUVARLAMA]]</f>
        <v>0</v>
      </c>
    </row>
    <row r="803" spans="7:12" x14ac:dyDescent="0.25">
      <c r="G803">
        <f>Table001__Page_15[[#This Row],[FİYAT]]*Table001__Page_15[[#This Row],[MİKTAR]]</f>
        <v>0</v>
      </c>
      <c r="I803">
        <f>Table001__Page_15[[#This Row],[FİYAT]]*Table001__Page_15[[#This Row],[Sütun2]]</f>
        <v>0</v>
      </c>
      <c r="L803" s="50">
        <f>Table001__Page_15[[#This Row],[SATIŞ FİYATI]]-Table001__Page_15[[#This Row],[YUVARLAMA]]</f>
        <v>0</v>
      </c>
    </row>
    <row r="804" spans="7:12" x14ac:dyDescent="0.25">
      <c r="G804">
        <f>Table001__Page_15[[#This Row],[FİYAT]]*Table001__Page_15[[#This Row],[MİKTAR]]</f>
        <v>0</v>
      </c>
      <c r="I804">
        <f>Table001__Page_15[[#This Row],[FİYAT]]*Table001__Page_15[[#This Row],[Sütun2]]</f>
        <v>0</v>
      </c>
      <c r="L804" s="50">
        <f>Table001__Page_15[[#This Row],[SATIŞ FİYATI]]-Table001__Page_15[[#This Row],[YUVARLAMA]]</f>
        <v>0</v>
      </c>
    </row>
    <row r="805" spans="7:12" x14ac:dyDescent="0.25">
      <c r="G805">
        <f>Table001__Page_15[[#This Row],[FİYAT]]*Table001__Page_15[[#This Row],[MİKTAR]]</f>
        <v>0</v>
      </c>
      <c r="I805">
        <f>Table001__Page_15[[#This Row],[FİYAT]]*Table001__Page_15[[#This Row],[Sütun2]]</f>
        <v>0</v>
      </c>
      <c r="L805" s="50">
        <f>Table001__Page_15[[#This Row],[SATIŞ FİYATI]]-Table001__Page_15[[#This Row],[YUVARLAMA]]</f>
        <v>0</v>
      </c>
    </row>
    <row r="806" spans="7:12" x14ac:dyDescent="0.25">
      <c r="G806">
        <f>Table001__Page_15[[#This Row],[FİYAT]]*Table001__Page_15[[#This Row],[MİKTAR]]</f>
        <v>0</v>
      </c>
      <c r="I806">
        <f>Table001__Page_15[[#This Row],[FİYAT]]*Table001__Page_15[[#This Row],[Sütun2]]</f>
        <v>0</v>
      </c>
      <c r="L806" s="50">
        <f>Table001__Page_15[[#This Row],[SATIŞ FİYATI]]-Table001__Page_15[[#This Row],[YUVARLAMA]]</f>
        <v>0</v>
      </c>
    </row>
    <row r="807" spans="7:12" x14ac:dyDescent="0.25">
      <c r="G807">
        <f>Table001__Page_15[[#This Row],[FİYAT]]*Table001__Page_15[[#This Row],[MİKTAR]]</f>
        <v>0</v>
      </c>
      <c r="I807">
        <f>Table001__Page_15[[#This Row],[FİYAT]]*Table001__Page_15[[#This Row],[Sütun2]]</f>
        <v>0</v>
      </c>
      <c r="L807" s="50">
        <f>Table001__Page_15[[#This Row],[SATIŞ FİYATI]]-Table001__Page_15[[#This Row],[YUVARLAMA]]</f>
        <v>0</v>
      </c>
    </row>
    <row r="808" spans="7:12" x14ac:dyDescent="0.25">
      <c r="G808">
        <f>Table001__Page_15[[#This Row],[FİYAT]]*Table001__Page_15[[#This Row],[MİKTAR]]</f>
        <v>0</v>
      </c>
      <c r="I808">
        <f>Table001__Page_15[[#This Row],[FİYAT]]*Table001__Page_15[[#This Row],[Sütun2]]</f>
        <v>0</v>
      </c>
      <c r="L808" s="50">
        <f>Table001__Page_15[[#This Row],[SATIŞ FİYATI]]-Table001__Page_15[[#This Row],[YUVARLAMA]]</f>
        <v>0</v>
      </c>
    </row>
    <row r="809" spans="7:12" x14ac:dyDescent="0.25">
      <c r="G809">
        <f>Table001__Page_15[[#This Row],[FİYAT]]*Table001__Page_15[[#This Row],[MİKTAR]]</f>
        <v>0</v>
      </c>
      <c r="I809">
        <f>Table001__Page_15[[#This Row],[FİYAT]]*Table001__Page_15[[#This Row],[Sütun2]]</f>
        <v>0</v>
      </c>
      <c r="L809" s="50">
        <f>Table001__Page_15[[#This Row],[SATIŞ FİYATI]]-Table001__Page_15[[#This Row],[YUVARLAMA]]</f>
        <v>0</v>
      </c>
    </row>
    <row r="810" spans="7:12" x14ac:dyDescent="0.25">
      <c r="G810">
        <f>Table001__Page_15[[#This Row],[FİYAT]]*Table001__Page_15[[#This Row],[MİKTAR]]</f>
        <v>0</v>
      </c>
      <c r="I810">
        <f>Table001__Page_15[[#This Row],[FİYAT]]*Table001__Page_15[[#This Row],[Sütun2]]</f>
        <v>0</v>
      </c>
      <c r="L810" s="50">
        <f>Table001__Page_15[[#This Row],[SATIŞ FİYATI]]-Table001__Page_15[[#This Row],[YUVARLAMA]]</f>
        <v>0</v>
      </c>
    </row>
    <row r="811" spans="7:12" x14ac:dyDescent="0.25">
      <c r="G811">
        <f>Table001__Page_15[[#This Row],[FİYAT]]*Table001__Page_15[[#This Row],[MİKTAR]]</f>
        <v>0</v>
      </c>
      <c r="I811">
        <f>Table001__Page_15[[#This Row],[FİYAT]]*Table001__Page_15[[#This Row],[Sütun2]]</f>
        <v>0</v>
      </c>
      <c r="L811" s="50">
        <f>Table001__Page_15[[#This Row],[SATIŞ FİYATI]]-Table001__Page_15[[#This Row],[YUVARLAMA]]</f>
        <v>0</v>
      </c>
    </row>
    <row r="812" spans="7:12" x14ac:dyDescent="0.25">
      <c r="G812">
        <f>Table001__Page_15[[#This Row],[FİYAT]]*Table001__Page_15[[#This Row],[MİKTAR]]</f>
        <v>0</v>
      </c>
      <c r="I812">
        <f>Table001__Page_15[[#This Row],[FİYAT]]*Table001__Page_15[[#This Row],[Sütun2]]</f>
        <v>0</v>
      </c>
      <c r="L812" s="50">
        <f>Table001__Page_15[[#This Row],[SATIŞ FİYATI]]-Table001__Page_15[[#This Row],[YUVARLAMA]]</f>
        <v>0</v>
      </c>
    </row>
    <row r="813" spans="7:12" x14ac:dyDescent="0.25">
      <c r="G813">
        <f>Table001__Page_15[[#This Row],[FİYAT]]*Table001__Page_15[[#This Row],[MİKTAR]]</f>
        <v>0</v>
      </c>
      <c r="I813">
        <f>Table001__Page_15[[#This Row],[FİYAT]]*Table001__Page_15[[#This Row],[Sütun2]]</f>
        <v>0</v>
      </c>
      <c r="L813" s="50">
        <f>Table001__Page_15[[#This Row],[SATIŞ FİYATI]]-Table001__Page_15[[#This Row],[YUVARLAMA]]</f>
        <v>0</v>
      </c>
    </row>
    <row r="814" spans="7:12" x14ac:dyDescent="0.25">
      <c r="G814">
        <f>Table001__Page_15[[#This Row],[FİYAT]]*Table001__Page_15[[#This Row],[MİKTAR]]</f>
        <v>0</v>
      </c>
      <c r="I814">
        <f>Table001__Page_15[[#This Row],[FİYAT]]*Table001__Page_15[[#This Row],[Sütun2]]</f>
        <v>0</v>
      </c>
      <c r="L814" s="50">
        <f>Table001__Page_15[[#This Row],[SATIŞ FİYATI]]-Table001__Page_15[[#This Row],[YUVARLAMA]]</f>
        <v>0</v>
      </c>
    </row>
    <row r="815" spans="7:12" x14ac:dyDescent="0.25">
      <c r="G815">
        <f>Table001__Page_15[[#This Row],[FİYAT]]*Table001__Page_15[[#This Row],[MİKTAR]]</f>
        <v>0</v>
      </c>
      <c r="I815">
        <f>Table001__Page_15[[#This Row],[FİYAT]]*Table001__Page_15[[#This Row],[Sütun2]]</f>
        <v>0</v>
      </c>
      <c r="L815" s="50">
        <f>Table001__Page_15[[#This Row],[SATIŞ FİYATI]]-Table001__Page_15[[#This Row],[YUVARLAMA]]</f>
        <v>0</v>
      </c>
    </row>
    <row r="816" spans="7:12" x14ac:dyDescent="0.25">
      <c r="G816">
        <f>Table001__Page_15[[#This Row],[FİYAT]]*Table001__Page_15[[#This Row],[MİKTAR]]</f>
        <v>0</v>
      </c>
      <c r="I816">
        <f>Table001__Page_15[[#This Row],[FİYAT]]*Table001__Page_15[[#This Row],[Sütun2]]</f>
        <v>0</v>
      </c>
      <c r="L816" s="50">
        <f>Table001__Page_15[[#This Row],[SATIŞ FİYATI]]-Table001__Page_15[[#This Row],[YUVARLAMA]]</f>
        <v>0</v>
      </c>
    </row>
    <row r="817" spans="7:12" x14ac:dyDescent="0.25">
      <c r="G817">
        <f>Table001__Page_15[[#This Row],[FİYAT]]*Table001__Page_15[[#This Row],[MİKTAR]]</f>
        <v>0</v>
      </c>
      <c r="I817">
        <f>Table001__Page_15[[#This Row],[FİYAT]]*Table001__Page_15[[#This Row],[Sütun2]]</f>
        <v>0</v>
      </c>
      <c r="L817" s="50">
        <f>Table001__Page_15[[#This Row],[SATIŞ FİYATI]]-Table001__Page_15[[#This Row],[YUVARLAMA]]</f>
        <v>0</v>
      </c>
    </row>
    <row r="818" spans="7:12" x14ac:dyDescent="0.25">
      <c r="G818">
        <f>Table001__Page_15[[#This Row],[FİYAT]]*Table001__Page_15[[#This Row],[MİKTAR]]</f>
        <v>0</v>
      </c>
      <c r="I818">
        <f>Table001__Page_15[[#This Row],[FİYAT]]*Table001__Page_15[[#This Row],[Sütun2]]</f>
        <v>0</v>
      </c>
      <c r="L818" s="50">
        <f>Table001__Page_15[[#This Row],[SATIŞ FİYATI]]-Table001__Page_15[[#This Row],[YUVARLAMA]]</f>
        <v>0</v>
      </c>
    </row>
    <row r="819" spans="7:12" x14ac:dyDescent="0.25">
      <c r="G819">
        <f>Table001__Page_15[[#This Row],[FİYAT]]*Table001__Page_15[[#This Row],[MİKTAR]]</f>
        <v>0</v>
      </c>
      <c r="I819">
        <f>Table001__Page_15[[#This Row],[FİYAT]]*Table001__Page_15[[#This Row],[Sütun2]]</f>
        <v>0</v>
      </c>
      <c r="L819" s="50">
        <f>Table001__Page_15[[#This Row],[SATIŞ FİYATI]]-Table001__Page_15[[#This Row],[YUVARLAMA]]</f>
        <v>0</v>
      </c>
    </row>
    <row r="820" spans="7:12" x14ac:dyDescent="0.25">
      <c r="G820">
        <f>Table001__Page_15[[#This Row],[FİYAT]]*Table001__Page_15[[#This Row],[MİKTAR]]</f>
        <v>0</v>
      </c>
      <c r="I820">
        <f>Table001__Page_15[[#This Row],[FİYAT]]*Table001__Page_15[[#This Row],[Sütun2]]</f>
        <v>0</v>
      </c>
      <c r="L820" s="50">
        <f>Table001__Page_15[[#This Row],[SATIŞ FİYATI]]-Table001__Page_15[[#This Row],[YUVARLAMA]]</f>
        <v>0</v>
      </c>
    </row>
    <row r="821" spans="7:12" x14ac:dyDescent="0.25">
      <c r="G821">
        <f>Table001__Page_15[[#This Row],[FİYAT]]*Table001__Page_15[[#This Row],[MİKTAR]]</f>
        <v>0</v>
      </c>
      <c r="I821">
        <f>Table001__Page_15[[#This Row],[FİYAT]]*Table001__Page_15[[#This Row],[Sütun2]]</f>
        <v>0</v>
      </c>
      <c r="L821" s="50">
        <f>Table001__Page_15[[#This Row],[SATIŞ FİYATI]]-Table001__Page_15[[#This Row],[YUVARLAMA]]</f>
        <v>0</v>
      </c>
    </row>
    <row r="822" spans="7:12" x14ac:dyDescent="0.25">
      <c r="G822">
        <f>Table001__Page_15[[#This Row],[FİYAT]]*Table001__Page_15[[#This Row],[MİKTAR]]</f>
        <v>0</v>
      </c>
      <c r="I822">
        <f>Table001__Page_15[[#This Row],[FİYAT]]*Table001__Page_15[[#This Row],[Sütun2]]</f>
        <v>0</v>
      </c>
      <c r="L822" s="50">
        <f>Table001__Page_15[[#This Row],[SATIŞ FİYATI]]-Table001__Page_15[[#This Row],[YUVARLAMA]]</f>
        <v>0</v>
      </c>
    </row>
    <row r="823" spans="7:12" x14ac:dyDescent="0.25">
      <c r="G823">
        <f>Table001__Page_15[[#This Row],[FİYAT]]*Table001__Page_15[[#This Row],[MİKTAR]]</f>
        <v>0</v>
      </c>
      <c r="I823">
        <f>Table001__Page_15[[#This Row],[FİYAT]]*Table001__Page_15[[#This Row],[Sütun2]]</f>
        <v>0</v>
      </c>
      <c r="L823" s="50">
        <f>Table001__Page_15[[#This Row],[SATIŞ FİYATI]]-Table001__Page_15[[#This Row],[YUVARLAMA]]</f>
        <v>0</v>
      </c>
    </row>
    <row r="824" spans="7:12" x14ac:dyDescent="0.25">
      <c r="G824">
        <f>Table001__Page_15[[#This Row],[FİYAT]]*Table001__Page_15[[#This Row],[MİKTAR]]</f>
        <v>0</v>
      </c>
      <c r="I824">
        <f>Table001__Page_15[[#This Row],[FİYAT]]*Table001__Page_15[[#This Row],[Sütun2]]</f>
        <v>0</v>
      </c>
      <c r="L824" s="50">
        <f>Table001__Page_15[[#This Row],[SATIŞ FİYATI]]-Table001__Page_15[[#This Row],[YUVARLAMA]]</f>
        <v>0</v>
      </c>
    </row>
    <row r="825" spans="7:12" x14ac:dyDescent="0.25">
      <c r="G825">
        <f>Table001__Page_15[[#This Row],[FİYAT]]*Table001__Page_15[[#This Row],[MİKTAR]]</f>
        <v>0</v>
      </c>
      <c r="I825">
        <f>Table001__Page_15[[#This Row],[FİYAT]]*Table001__Page_15[[#This Row],[Sütun2]]</f>
        <v>0</v>
      </c>
      <c r="L825" s="50">
        <f>Table001__Page_15[[#This Row],[SATIŞ FİYATI]]-Table001__Page_15[[#This Row],[YUVARLAMA]]</f>
        <v>0</v>
      </c>
    </row>
    <row r="826" spans="7:12" x14ac:dyDescent="0.25">
      <c r="G826">
        <f>Table001__Page_15[[#This Row],[FİYAT]]*Table001__Page_15[[#This Row],[MİKTAR]]</f>
        <v>0</v>
      </c>
      <c r="I826">
        <f>Table001__Page_15[[#This Row],[FİYAT]]*Table001__Page_15[[#This Row],[Sütun2]]</f>
        <v>0</v>
      </c>
      <c r="L826" s="50">
        <f>Table001__Page_15[[#This Row],[SATIŞ FİYATI]]-Table001__Page_15[[#This Row],[YUVARLAMA]]</f>
        <v>0</v>
      </c>
    </row>
    <row r="827" spans="7:12" x14ac:dyDescent="0.25">
      <c r="G827">
        <f>Table001__Page_15[[#This Row],[FİYAT]]*Table001__Page_15[[#This Row],[MİKTAR]]</f>
        <v>0</v>
      </c>
      <c r="I827">
        <f>Table001__Page_15[[#This Row],[FİYAT]]*Table001__Page_15[[#This Row],[Sütun2]]</f>
        <v>0</v>
      </c>
      <c r="L827" s="50">
        <f>Table001__Page_15[[#This Row],[SATIŞ FİYATI]]-Table001__Page_15[[#This Row],[YUVARLAMA]]</f>
        <v>0</v>
      </c>
    </row>
    <row r="828" spans="7:12" x14ac:dyDescent="0.25">
      <c r="G828">
        <f>Table001__Page_15[[#This Row],[FİYAT]]*Table001__Page_15[[#This Row],[MİKTAR]]</f>
        <v>0</v>
      </c>
      <c r="I828">
        <f>Table001__Page_15[[#This Row],[FİYAT]]*Table001__Page_15[[#This Row],[Sütun2]]</f>
        <v>0</v>
      </c>
      <c r="L828" s="50">
        <f>Table001__Page_15[[#This Row],[SATIŞ FİYATI]]-Table001__Page_15[[#This Row],[YUVARLAMA]]</f>
        <v>0</v>
      </c>
    </row>
    <row r="829" spans="7:12" x14ac:dyDescent="0.25">
      <c r="G829">
        <f>Table001__Page_15[[#This Row],[FİYAT]]*Table001__Page_15[[#This Row],[MİKTAR]]</f>
        <v>0</v>
      </c>
      <c r="I829">
        <f>Table001__Page_15[[#This Row],[FİYAT]]*Table001__Page_15[[#This Row],[Sütun2]]</f>
        <v>0</v>
      </c>
      <c r="L829" s="50">
        <f>Table001__Page_15[[#This Row],[SATIŞ FİYATI]]-Table001__Page_15[[#This Row],[YUVARLAMA]]</f>
        <v>0</v>
      </c>
    </row>
    <row r="830" spans="7:12" x14ac:dyDescent="0.25">
      <c r="G830">
        <f>Table001__Page_15[[#This Row],[FİYAT]]*Table001__Page_15[[#This Row],[MİKTAR]]</f>
        <v>0</v>
      </c>
      <c r="I830">
        <f>Table001__Page_15[[#This Row],[FİYAT]]*Table001__Page_15[[#This Row],[Sütun2]]</f>
        <v>0</v>
      </c>
      <c r="L830" s="50">
        <f>Table001__Page_15[[#This Row],[SATIŞ FİYATI]]-Table001__Page_15[[#This Row],[YUVARLAMA]]</f>
        <v>0</v>
      </c>
    </row>
    <row r="831" spans="7:12" x14ac:dyDescent="0.25">
      <c r="G831">
        <f>Table001__Page_15[[#This Row],[FİYAT]]*Table001__Page_15[[#This Row],[MİKTAR]]</f>
        <v>0</v>
      </c>
      <c r="I831">
        <f>Table001__Page_15[[#This Row],[FİYAT]]*Table001__Page_15[[#This Row],[Sütun2]]</f>
        <v>0</v>
      </c>
      <c r="L831" s="50">
        <f>Table001__Page_15[[#This Row],[SATIŞ FİYATI]]-Table001__Page_15[[#This Row],[YUVARLAMA]]</f>
        <v>0</v>
      </c>
    </row>
    <row r="832" spans="7:12" x14ac:dyDescent="0.25">
      <c r="G832">
        <f>Table001__Page_15[[#This Row],[FİYAT]]*Table001__Page_15[[#This Row],[MİKTAR]]</f>
        <v>0</v>
      </c>
      <c r="I832">
        <f>Table001__Page_15[[#This Row],[FİYAT]]*Table001__Page_15[[#This Row],[Sütun2]]</f>
        <v>0</v>
      </c>
      <c r="L832" s="50">
        <f>Table001__Page_15[[#This Row],[SATIŞ FİYATI]]-Table001__Page_15[[#This Row],[YUVARLAMA]]</f>
        <v>0</v>
      </c>
    </row>
    <row r="833" spans="7:12" x14ac:dyDescent="0.25">
      <c r="G833">
        <f>Table001__Page_15[[#This Row],[FİYAT]]*Table001__Page_15[[#This Row],[MİKTAR]]</f>
        <v>0</v>
      </c>
      <c r="I833">
        <f>Table001__Page_15[[#This Row],[FİYAT]]*Table001__Page_15[[#This Row],[Sütun2]]</f>
        <v>0</v>
      </c>
      <c r="L833" s="50">
        <f>Table001__Page_15[[#This Row],[SATIŞ FİYATI]]-Table001__Page_15[[#This Row],[YUVARLAMA]]</f>
        <v>0</v>
      </c>
    </row>
    <row r="834" spans="7:12" x14ac:dyDescent="0.25">
      <c r="G834">
        <f>Table001__Page_15[[#This Row],[FİYAT]]*Table001__Page_15[[#This Row],[MİKTAR]]</f>
        <v>0</v>
      </c>
      <c r="I834">
        <f>Table001__Page_15[[#This Row],[FİYAT]]*Table001__Page_15[[#This Row],[Sütun2]]</f>
        <v>0</v>
      </c>
      <c r="L834" s="50">
        <f>Table001__Page_15[[#This Row],[SATIŞ FİYATI]]-Table001__Page_15[[#This Row],[YUVARLAMA]]</f>
        <v>0</v>
      </c>
    </row>
    <row r="835" spans="7:12" x14ac:dyDescent="0.25">
      <c r="G835">
        <f>Table001__Page_15[[#This Row],[FİYAT]]*Table001__Page_15[[#This Row],[MİKTAR]]</f>
        <v>0</v>
      </c>
      <c r="I835">
        <f>Table001__Page_15[[#This Row],[FİYAT]]*Table001__Page_15[[#This Row],[Sütun2]]</f>
        <v>0</v>
      </c>
      <c r="L835" s="50">
        <f>Table001__Page_15[[#This Row],[SATIŞ FİYATI]]-Table001__Page_15[[#This Row],[YUVARLAMA]]</f>
        <v>0</v>
      </c>
    </row>
    <row r="836" spans="7:12" x14ac:dyDescent="0.25">
      <c r="G836">
        <f>Table001__Page_15[[#This Row],[FİYAT]]*Table001__Page_15[[#This Row],[MİKTAR]]</f>
        <v>0</v>
      </c>
      <c r="I836">
        <f>Table001__Page_15[[#This Row],[FİYAT]]*Table001__Page_15[[#This Row],[Sütun2]]</f>
        <v>0</v>
      </c>
      <c r="L836" s="50">
        <f>Table001__Page_15[[#This Row],[SATIŞ FİYATI]]-Table001__Page_15[[#This Row],[YUVARLAMA]]</f>
        <v>0</v>
      </c>
    </row>
    <row r="837" spans="7:12" x14ac:dyDescent="0.25">
      <c r="G837">
        <f>Table001__Page_15[[#This Row],[FİYAT]]*Table001__Page_15[[#This Row],[MİKTAR]]</f>
        <v>0</v>
      </c>
      <c r="I837">
        <f>Table001__Page_15[[#This Row],[FİYAT]]*Table001__Page_15[[#This Row],[Sütun2]]</f>
        <v>0</v>
      </c>
      <c r="L837" s="50">
        <f>Table001__Page_15[[#This Row],[SATIŞ FİYATI]]-Table001__Page_15[[#This Row],[YUVARLAMA]]</f>
        <v>0</v>
      </c>
    </row>
    <row r="838" spans="7:12" x14ac:dyDescent="0.25">
      <c r="G838">
        <f>Table001__Page_15[[#This Row],[FİYAT]]*Table001__Page_15[[#This Row],[MİKTAR]]</f>
        <v>0</v>
      </c>
      <c r="I838">
        <f>Table001__Page_15[[#This Row],[FİYAT]]*Table001__Page_15[[#This Row],[Sütun2]]</f>
        <v>0</v>
      </c>
      <c r="L838" s="50">
        <f>Table001__Page_15[[#This Row],[SATIŞ FİYATI]]-Table001__Page_15[[#This Row],[YUVARLAMA]]</f>
        <v>0</v>
      </c>
    </row>
    <row r="839" spans="7:12" x14ac:dyDescent="0.25">
      <c r="G839">
        <f>Table001__Page_15[[#This Row],[FİYAT]]*Table001__Page_15[[#This Row],[MİKTAR]]</f>
        <v>0</v>
      </c>
      <c r="I839">
        <f>Table001__Page_15[[#This Row],[FİYAT]]*Table001__Page_15[[#This Row],[Sütun2]]</f>
        <v>0</v>
      </c>
      <c r="L839" s="50">
        <f>Table001__Page_15[[#This Row],[SATIŞ FİYATI]]-Table001__Page_15[[#This Row],[YUVARLAMA]]</f>
        <v>0</v>
      </c>
    </row>
    <row r="840" spans="7:12" x14ac:dyDescent="0.25">
      <c r="G840">
        <f>Table001__Page_15[[#This Row],[FİYAT]]*Table001__Page_15[[#This Row],[MİKTAR]]</f>
        <v>0</v>
      </c>
      <c r="I840">
        <f>Table001__Page_15[[#This Row],[FİYAT]]*Table001__Page_15[[#This Row],[Sütun2]]</f>
        <v>0</v>
      </c>
      <c r="L840" s="50">
        <f>Table001__Page_15[[#This Row],[SATIŞ FİYATI]]-Table001__Page_15[[#This Row],[YUVARLAMA]]</f>
        <v>0</v>
      </c>
    </row>
    <row r="841" spans="7:12" x14ac:dyDescent="0.25">
      <c r="G841">
        <f>Table001__Page_15[[#This Row],[FİYAT]]*Table001__Page_15[[#This Row],[MİKTAR]]</f>
        <v>0</v>
      </c>
      <c r="I841">
        <f>Table001__Page_15[[#This Row],[FİYAT]]*Table001__Page_15[[#This Row],[Sütun2]]</f>
        <v>0</v>
      </c>
      <c r="L841" s="50">
        <f>Table001__Page_15[[#This Row],[SATIŞ FİYATI]]-Table001__Page_15[[#This Row],[YUVARLAMA]]</f>
        <v>0</v>
      </c>
    </row>
    <row r="842" spans="7:12" x14ac:dyDescent="0.25">
      <c r="G842">
        <f>Table001__Page_15[[#This Row],[FİYAT]]*Table001__Page_15[[#This Row],[MİKTAR]]</f>
        <v>0</v>
      </c>
      <c r="I842">
        <f>Table001__Page_15[[#This Row],[FİYAT]]*Table001__Page_15[[#This Row],[Sütun2]]</f>
        <v>0</v>
      </c>
      <c r="L842" s="50">
        <f>Table001__Page_15[[#This Row],[SATIŞ FİYATI]]-Table001__Page_15[[#This Row],[YUVARLAMA]]</f>
        <v>0</v>
      </c>
    </row>
    <row r="843" spans="7:12" x14ac:dyDescent="0.25">
      <c r="G843">
        <f>Table001__Page_15[[#This Row],[FİYAT]]*Table001__Page_15[[#This Row],[MİKTAR]]</f>
        <v>0</v>
      </c>
      <c r="I843">
        <f>Table001__Page_15[[#This Row],[FİYAT]]*Table001__Page_15[[#This Row],[Sütun2]]</f>
        <v>0</v>
      </c>
      <c r="L843" s="50">
        <f>Table001__Page_15[[#This Row],[SATIŞ FİYATI]]-Table001__Page_15[[#This Row],[YUVARLAMA]]</f>
        <v>0</v>
      </c>
    </row>
    <row r="844" spans="7:12" x14ac:dyDescent="0.25">
      <c r="G844">
        <f>Table001__Page_15[[#This Row],[FİYAT]]*Table001__Page_15[[#This Row],[MİKTAR]]</f>
        <v>0</v>
      </c>
      <c r="I844">
        <f>Table001__Page_15[[#This Row],[FİYAT]]*Table001__Page_15[[#This Row],[Sütun2]]</f>
        <v>0</v>
      </c>
      <c r="L844" s="50">
        <f>Table001__Page_15[[#This Row],[SATIŞ FİYATI]]-Table001__Page_15[[#This Row],[YUVARLAMA]]</f>
        <v>0</v>
      </c>
    </row>
    <row r="845" spans="7:12" x14ac:dyDescent="0.25">
      <c r="G845">
        <f>Table001__Page_15[[#This Row],[FİYAT]]*Table001__Page_15[[#This Row],[MİKTAR]]</f>
        <v>0</v>
      </c>
      <c r="I845">
        <f>Table001__Page_15[[#This Row],[FİYAT]]*Table001__Page_15[[#This Row],[Sütun2]]</f>
        <v>0</v>
      </c>
      <c r="L845" s="50">
        <f>Table001__Page_15[[#This Row],[SATIŞ FİYATI]]-Table001__Page_15[[#This Row],[YUVARLAMA]]</f>
        <v>0</v>
      </c>
    </row>
    <row r="846" spans="7:12" x14ac:dyDescent="0.25">
      <c r="G846">
        <f>Table001__Page_15[[#This Row],[FİYAT]]*Table001__Page_15[[#This Row],[MİKTAR]]</f>
        <v>0</v>
      </c>
      <c r="I846">
        <f>Table001__Page_15[[#This Row],[FİYAT]]*Table001__Page_15[[#This Row],[Sütun2]]</f>
        <v>0</v>
      </c>
      <c r="L846" s="50">
        <f>Table001__Page_15[[#This Row],[SATIŞ FİYATI]]-Table001__Page_15[[#This Row],[YUVARLAMA]]</f>
        <v>0</v>
      </c>
    </row>
    <row r="847" spans="7:12" x14ac:dyDescent="0.25">
      <c r="G847">
        <f>Table001__Page_15[[#This Row],[FİYAT]]*Table001__Page_15[[#This Row],[MİKTAR]]</f>
        <v>0</v>
      </c>
      <c r="I847">
        <f>Table001__Page_15[[#This Row],[FİYAT]]*Table001__Page_15[[#This Row],[Sütun2]]</f>
        <v>0</v>
      </c>
      <c r="L847" s="50">
        <f>Table001__Page_15[[#This Row],[SATIŞ FİYATI]]-Table001__Page_15[[#This Row],[YUVARLAMA]]</f>
        <v>0</v>
      </c>
    </row>
    <row r="848" spans="7:12" x14ac:dyDescent="0.25">
      <c r="G848">
        <f>Table001__Page_15[[#This Row],[FİYAT]]*Table001__Page_15[[#This Row],[MİKTAR]]</f>
        <v>0</v>
      </c>
      <c r="I848">
        <f>Table001__Page_15[[#This Row],[FİYAT]]*Table001__Page_15[[#This Row],[Sütun2]]</f>
        <v>0</v>
      </c>
      <c r="L848" s="50">
        <f>Table001__Page_15[[#This Row],[SATIŞ FİYATI]]-Table001__Page_15[[#This Row],[YUVARLAMA]]</f>
        <v>0</v>
      </c>
    </row>
    <row r="849" spans="7:12" x14ac:dyDescent="0.25">
      <c r="G849">
        <f>Table001__Page_15[[#This Row],[FİYAT]]*Table001__Page_15[[#This Row],[MİKTAR]]</f>
        <v>0</v>
      </c>
      <c r="I849">
        <f>Table001__Page_15[[#This Row],[FİYAT]]*Table001__Page_15[[#This Row],[Sütun2]]</f>
        <v>0</v>
      </c>
      <c r="L849" s="50">
        <f>Table001__Page_15[[#This Row],[SATIŞ FİYATI]]-Table001__Page_15[[#This Row],[YUVARLAMA]]</f>
        <v>0</v>
      </c>
    </row>
    <row r="850" spans="7:12" x14ac:dyDescent="0.25">
      <c r="G850">
        <f>Table001__Page_15[[#This Row],[FİYAT]]*Table001__Page_15[[#This Row],[MİKTAR]]</f>
        <v>0</v>
      </c>
      <c r="I850">
        <f>Table001__Page_15[[#This Row],[FİYAT]]*Table001__Page_15[[#This Row],[Sütun2]]</f>
        <v>0</v>
      </c>
      <c r="L850" s="50">
        <f>Table001__Page_15[[#This Row],[SATIŞ FİYATI]]-Table001__Page_15[[#This Row],[YUVARLAMA]]</f>
        <v>0</v>
      </c>
    </row>
    <row r="851" spans="7:12" x14ac:dyDescent="0.25">
      <c r="G851">
        <f>Table001__Page_15[[#This Row],[FİYAT]]*Table001__Page_15[[#This Row],[MİKTAR]]</f>
        <v>0</v>
      </c>
      <c r="I851">
        <f>Table001__Page_15[[#This Row],[FİYAT]]*Table001__Page_15[[#This Row],[Sütun2]]</f>
        <v>0</v>
      </c>
      <c r="L851" s="50">
        <f>Table001__Page_15[[#This Row],[SATIŞ FİYATI]]-Table001__Page_15[[#This Row],[YUVARLAMA]]</f>
        <v>0</v>
      </c>
    </row>
    <row r="852" spans="7:12" x14ac:dyDescent="0.25">
      <c r="G852">
        <f>Table001__Page_15[[#This Row],[FİYAT]]*Table001__Page_15[[#This Row],[MİKTAR]]</f>
        <v>0</v>
      </c>
      <c r="I852">
        <f>Table001__Page_15[[#This Row],[FİYAT]]*Table001__Page_15[[#This Row],[Sütun2]]</f>
        <v>0</v>
      </c>
      <c r="L852" s="50">
        <f>Table001__Page_15[[#This Row],[SATIŞ FİYATI]]-Table001__Page_15[[#This Row],[YUVARLAMA]]</f>
        <v>0</v>
      </c>
    </row>
    <row r="853" spans="7:12" x14ac:dyDescent="0.25">
      <c r="G853">
        <f>Table001__Page_15[[#This Row],[FİYAT]]*Table001__Page_15[[#This Row],[MİKTAR]]</f>
        <v>0</v>
      </c>
      <c r="I853">
        <f>Table001__Page_15[[#This Row],[FİYAT]]*Table001__Page_15[[#This Row],[Sütun2]]</f>
        <v>0</v>
      </c>
      <c r="L853" s="50">
        <f>Table001__Page_15[[#This Row],[SATIŞ FİYATI]]-Table001__Page_15[[#This Row],[YUVARLAMA]]</f>
        <v>0</v>
      </c>
    </row>
    <row r="854" spans="7:12" x14ac:dyDescent="0.25">
      <c r="G854">
        <f>Table001__Page_15[[#This Row],[FİYAT]]*Table001__Page_15[[#This Row],[MİKTAR]]</f>
        <v>0</v>
      </c>
      <c r="I854">
        <f>Table001__Page_15[[#This Row],[FİYAT]]*Table001__Page_15[[#This Row],[Sütun2]]</f>
        <v>0</v>
      </c>
      <c r="L854" s="50">
        <f>Table001__Page_15[[#This Row],[SATIŞ FİYATI]]-Table001__Page_15[[#This Row],[YUVARLAMA]]</f>
        <v>0</v>
      </c>
    </row>
    <row r="855" spans="7:12" x14ac:dyDescent="0.25">
      <c r="G855">
        <f>Table001__Page_15[[#This Row],[FİYAT]]*Table001__Page_15[[#This Row],[MİKTAR]]</f>
        <v>0</v>
      </c>
      <c r="I855">
        <f>Table001__Page_15[[#This Row],[FİYAT]]*Table001__Page_15[[#This Row],[Sütun2]]</f>
        <v>0</v>
      </c>
      <c r="L855" s="50">
        <f>Table001__Page_15[[#This Row],[SATIŞ FİYATI]]-Table001__Page_15[[#This Row],[YUVARLAMA]]</f>
        <v>0</v>
      </c>
    </row>
    <row r="856" spans="7:12" x14ac:dyDescent="0.25">
      <c r="G856">
        <f>Table001__Page_15[[#This Row],[FİYAT]]*Table001__Page_15[[#This Row],[MİKTAR]]</f>
        <v>0</v>
      </c>
      <c r="I856">
        <f>Table001__Page_15[[#This Row],[FİYAT]]*Table001__Page_15[[#This Row],[Sütun2]]</f>
        <v>0</v>
      </c>
      <c r="L856" s="50">
        <f>Table001__Page_15[[#This Row],[SATIŞ FİYATI]]-Table001__Page_15[[#This Row],[YUVARLAMA]]</f>
        <v>0</v>
      </c>
    </row>
    <row r="857" spans="7:12" x14ac:dyDescent="0.25">
      <c r="G857">
        <f>Table001__Page_15[[#This Row],[FİYAT]]*Table001__Page_15[[#This Row],[MİKTAR]]</f>
        <v>0</v>
      </c>
      <c r="I857">
        <f>Table001__Page_15[[#This Row],[FİYAT]]*Table001__Page_15[[#This Row],[Sütun2]]</f>
        <v>0</v>
      </c>
      <c r="L857" s="50">
        <f>Table001__Page_15[[#This Row],[SATIŞ FİYATI]]-Table001__Page_15[[#This Row],[YUVARLAMA]]</f>
        <v>0</v>
      </c>
    </row>
    <row r="858" spans="7:12" x14ac:dyDescent="0.25">
      <c r="G858">
        <f>Table001__Page_15[[#This Row],[FİYAT]]*Table001__Page_15[[#This Row],[MİKTAR]]</f>
        <v>0</v>
      </c>
      <c r="I858">
        <f>Table001__Page_15[[#This Row],[FİYAT]]*Table001__Page_15[[#This Row],[Sütun2]]</f>
        <v>0</v>
      </c>
      <c r="L858" s="50">
        <f>Table001__Page_15[[#This Row],[SATIŞ FİYATI]]-Table001__Page_15[[#This Row],[YUVARLAMA]]</f>
        <v>0</v>
      </c>
    </row>
    <row r="859" spans="7:12" x14ac:dyDescent="0.25">
      <c r="G859">
        <f>Table001__Page_15[[#This Row],[FİYAT]]*Table001__Page_15[[#This Row],[MİKTAR]]</f>
        <v>0</v>
      </c>
      <c r="I859">
        <f>Table001__Page_15[[#This Row],[FİYAT]]*Table001__Page_15[[#This Row],[Sütun2]]</f>
        <v>0</v>
      </c>
      <c r="L859" s="50">
        <f>Table001__Page_15[[#This Row],[SATIŞ FİYATI]]-Table001__Page_15[[#This Row],[YUVARLAMA]]</f>
        <v>0</v>
      </c>
    </row>
    <row r="860" spans="7:12" x14ac:dyDescent="0.25">
      <c r="G860">
        <f>Table001__Page_15[[#This Row],[FİYAT]]*Table001__Page_15[[#This Row],[MİKTAR]]</f>
        <v>0</v>
      </c>
      <c r="I860">
        <f>Table001__Page_15[[#This Row],[FİYAT]]*Table001__Page_15[[#This Row],[Sütun2]]</f>
        <v>0</v>
      </c>
      <c r="L860" s="50">
        <f>Table001__Page_15[[#This Row],[SATIŞ FİYATI]]-Table001__Page_15[[#This Row],[YUVARLAMA]]</f>
        <v>0</v>
      </c>
    </row>
    <row r="861" spans="7:12" x14ac:dyDescent="0.25">
      <c r="G861">
        <f>Table001__Page_15[[#This Row],[FİYAT]]*Table001__Page_15[[#This Row],[MİKTAR]]</f>
        <v>0</v>
      </c>
      <c r="I861">
        <f>Table001__Page_15[[#This Row],[FİYAT]]*Table001__Page_15[[#This Row],[Sütun2]]</f>
        <v>0</v>
      </c>
      <c r="L861" s="50">
        <f>Table001__Page_15[[#This Row],[SATIŞ FİYATI]]-Table001__Page_15[[#This Row],[YUVARLAMA]]</f>
        <v>0</v>
      </c>
    </row>
    <row r="862" spans="7:12" x14ac:dyDescent="0.25">
      <c r="G862">
        <f>Table001__Page_15[[#This Row],[FİYAT]]*Table001__Page_15[[#This Row],[MİKTAR]]</f>
        <v>0</v>
      </c>
      <c r="I862">
        <f>Table001__Page_15[[#This Row],[FİYAT]]*Table001__Page_15[[#This Row],[Sütun2]]</f>
        <v>0</v>
      </c>
      <c r="L862" s="50">
        <f>Table001__Page_15[[#This Row],[SATIŞ FİYATI]]-Table001__Page_15[[#This Row],[YUVARLAMA]]</f>
        <v>0</v>
      </c>
    </row>
    <row r="863" spans="7:12" x14ac:dyDescent="0.25">
      <c r="G863">
        <f>Table001__Page_15[[#This Row],[FİYAT]]*Table001__Page_15[[#This Row],[MİKTAR]]</f>
        <v>0</v>
      </c>
      <c r="I863">
        <f>Table001__Page_15[[#This Row],[FİYAT]]*Table001__Page_15[[#This Row],[Sütun2]]</f>
        <v>0</v>
      </c>
      <c r="L863" s="50">
        <f>Table001__Page_15[[#This Row],[SATIŞ FİYATI]]-Table001__Page_15[[#This Row],[YUVARLAMA]]</f>
        <v>0</v>
      </c>
    </row>
    <row r="864" spans="7:12" x14ac:dyDescent="0.25">
      <c r="G864">
        <f>Table001__Page_15[[#This Row],[FİYAT]]*Table001__Page_15[[#This Row],[MİKTAR]]</f>
        <v>0</v>
      </c>
      <c r="I864">
        <f>Table001__Page_15[[#This Row],[FİYAT]]*Table001__Page_15[[#This Row],[Sütun2]]</f>
        <v>0</v>
      </c>
      <c r="L864" s="50">
        <f>Table001__Page_15[[#This Row],[SATIŞ FİYATI]]-Table001__Page_15[[#This Row],[YUVARLAMA]]</f>
        <v>0</v>
      </c>
    </row>
    <row r="865" spans="7:12" x14ac:dyDescent="0.25">
      <c r="G865">
        <f>Table001__Page_15[[#This Row],[FİYAT]]*Table001__Page_15[[#This Row],[MİKTAR]]</f>
        <v>0</v>
      </c>
      <c r="I865">
        <f>Table001__Page_15[[#This Row],[FİYAT]]*Table001__Page_15[[#This Row],[Sütun2]]</f>
        <v>0</v>
      </c>
      <c r="L865" s="50">
        <f>Table001__Page_15[[#This Row],[SATIŞ FİYATI]]-Table001__Page_15[[#This Row],[YUVARLAMA]]</f>
        <v>0</v>
      </c>
    </row>
    <row r="866" spans="7:12" x14ac:dyDescent="0.25">
      <c r="G866">
        <f>Table001__Page_15[[#This Row],[FİYAT]]*Table001__Page_15[[#This Row],[MİKTAR]]</f>
        <v>0</v>
      </c>
      <c r="I866">
        <f>Table001__Page_15[[#This Row],[FİYAT]]*Table001__Page_15[[#This Row],[Sütun2]]</f>
        <v>0</v>
      </c>
      <c r="L866" s="50">
        <f>Table001__Page_15[[#This Row],[SATIŞ FİYATI]]-Table001__Page_15[[#This Row],[YUVARLAMA]]</f>
        <v>0</v>
      </c>
    </row>
    <row r="867" spans="7:12" x14ac:dyDescent="0.25">
      <c r="G867">
        <f>Table001__Page_15[[#This Row],[FİYAT]]*Table001__Page_15[[#This Row],[MİKTAR]]</f>
        <v>0</v>
      </c>
      <c r="I867">
        <f>Table001__Page_15[[#This Row],[FİYAT]]*Table001__Page_15[[#This Row],[Sütun2]]</f>
        <v>0</v>
      </c>
      <c r="L867" s="50">
        <f>Table001__Page_15[[#This Row],[SATIŞ FİYATI]]-Table001__Page_15[[#This Row],[YUVARLAMA]]</f>
        <v>0</v>
      </c>
    </row>
    <row r="868" spans="7:12" x14ac:dyDescent="0.25">
      <c r="G868">
        <f>Table001__Page_15[[#This Row],[FİYAT]]*Table001__Page_15[[#This Row],[MİKTAR]]</f>
        <v>0</v>
      </c>
      <c r="I868">
        <f>Table001__Page_15[[#This Row],[FİYAT]]*Table001__Page_15[[#This Row],[Sütun2]]</f>
        <v>0</v>
      </c>
      <c r="L868" s="50">
        <f>Table001__Page_15[[#This Row],[SATIŞ FİYATI]]-Table001__Page_15[[#This Row],[YUVARLAMA]]</f>
        <v>0</v>
      </c>
    </row>
    <row r="869" spans="7:12" x14ac:dyDescent="0.25">
      <c r="G869">
        <f>Table001__Page_15[[#This Row],[FİYAT]]*Table001__Page_15[[#This Row],[MİKTAR]]</f>
        <v>0</v>
      </c>
      <c r="I869">
        <f>Table001__Page_15[[#This Row],[FİYAT]]*Table001__Page_15[[#This Row],[Sütun2]]</f>
        <v>0</v>
      </c>
      <c r="L869" s="50">
        <f>Table001__Page_15[[#This Row],[SATIŞ FİYATI]]-Table001__Page_15[[#This Row],[YUVARLAMA]]</f>
        <v>0</v>
      </c>
    </row>
    <row r="870" spans="7:12" x14ac:dyDescent="0.25">
      <c r="G870">
        <f>Table001__Page_15[[#This Row],[FİYAT]]*Table001__Page_15[[#This Row],[MİKTAR]]</f>
        <v>0</v>
      </c>
      <c r="I870">
        <f>Table001__Page_15[[#This Row],[FİYAT]]*Table001__Page_15[[#This Row],[Sütun2]]</f>
        <v>0</v>
      </c>
      <c r="L870" s="50">
        <f>Table001__Page_15[[#This Row],[SATIŞ FİYATI]]-Table001__Page_15[[#This Row],[YUVARLAMA]]</f>
        <v>0</v>
      </c>
    </row>
    <row r="871" spans="7:12" x14ac:dyDescent="0.25">
      <c r="G871">
        <f>Table001__Page_15[[#This Row],[FİYAT]]*Table001__Page_15[[#This Row],[MİKTAR]]</f>
        <v>0</v>
      </c>
      <c r="I871">
        <f>Table001__Page_15[[#This Row],[FİYAT]]*Table001__Page_15[[#This Row],[Sütun2]]</f>
        <v>0</v>
      </c>
      <c r="L871" s="50">
        <f>Table001__Page_15[[#This Row],[SATIŞ FİYATI]]-Table001__Page_15[[#This Row],[YUVARLAMA]]</f>
        <v>0</v>
      </c>
    </row>
    <row r="872" spans="7:12" x14ac:dyDescent="0.25">
      <c r="G872">
        <f>Table001__Page_15[[#This Row],[FİYAT]]*Table001__Page_15[[#This Row],[MİKTAR]]</f>
        <v>0</v>
      </c>
      <c r="I872">
        <f>Table001__Page_15[[#This Row],[FİYAT]]*Table001__Page_15[[#This Row],[Sütun2]]</f>
        <v>0</v>
      </c>
      <c r="L872" s="50">
        <f>Table001__Page_15[[#This Row],[SATIŞ FİYATI]]-Table001__Page_15[[#This Row],[YUVARLAMA]]</f>
        <v>0</v>
      </c>
    </row>
    <row r="873" spans="7:12" x14ac:dyDescent="0.25">
      <c r="G873">
        <f>Table001__Page_15[[#This Row],[FİYAT]]*Table001__Page_15[[#This Row],[MİKTAR]]</f>
        <v>0</v>
      </c>
      <c r="I873">
        <f>Table001__Page_15[[#This Row],[FİYAT]]*Table001__Page_15[[#This Row],[Sütun2]]</f>
        <v>0</v>
      </c>
      <c r="L873" s="50">
        <f>Table001__Page_15[[#This Row],[SATIŞ FİYATI]]-Table001__Page_15[[#This Row],[YUVARLAMA]]</f>
        <v>0</v>
      </c>
    </row>
    <row r="874" spans="7:12" x14ac:dyDescent="0.25">
      <c r="G874">
        <f>Table001__Page_15[[#This Row],[FİYAT]]*Table001__Page_15[[#This Row],[MİKTAR]]</f>
        <v>0</v>
      </c>
      <c r="I874">
        <f>Table001__Page_15[[#This Row],[FİYAT]]*Table001__Page_15[[#This Row],[Sütun2]]</f>
        <v>0</v>
      </c>
      <c r="L874" s="50">
        <f>Table001__Page_15[[#This Row],[SATIŞ FİYATI]]-Table001__Page_15[[#This Row],[YUVARLAMA]]</f>
        <v>0</v>
      </c>
    </row>
    <row r="875" spans="7:12" x14ac:dyDescent="0.25">
      <c r="G875">
        <f>Table001__Page_15[[#This Row],[FİYAT]]*Table001__Page_15[[#This Row],[MİKTAR]]</f>
        <v>0</v>
      </c>
      <c r="I875">
        <f>Table001__Page_15[[#This Row],[FİYAT]]*Table001__Page_15[[#This Row],[Sütun2]]</f>
        <v>0</v>
      </c>
      <c r="L875" s="50">
        <f>Table001__Page_15[[#This Row],[SATIŞ FİYATI]]-Table001__Page_15[[#This Row],[YUVARLAMA]]</f>
        <v>0</v>
      </c>
    </row>
    <row r="876" spans="7:12" x14ac:dyDescent="0.25">
      <c r="G876">
        <f>Table001__Page_15[[#This Row],[FİYAT]]*Table001__Page_15[[#This Row],[MİKTAR]]</f>
        <v>0</v>
      </c>
      <c r="I876">
        <f>Table001__Page_15[[#This Row],[FİYAT]]*Table001__Page_15[[#This Row],[Sütun2]]</f>
        <v>0</v>
      </c>
      <c r="L876" s="50">
        <f>Table001__Page_15[[#This Row],[SATIŞ FİYATI]]-Table001__Page_15[[#This Row],[YUVARLAMA]]</f>
        <v>0</v>
      </c>
    </row>
    <row r="877" spans="7:12" x14ac:dyDescent="0.25">
      <c r="G877">
        <f>Table001__Page_15[[#This Row],[FİYAT]]*Table001__Page_15[[#This Row],[MİKTAR]]</f>
        <v>0</v>
      </c>
      <c r="I877">
        <f>Table001__Page_15[[#This Row],[FİYAT]]*Table001__Page_15[[#This Row],[Sütun2]]</f>
        <v>0</v>
      </c>
      <c r="L877" s="50">
        <f>Table001__Page_15[[#This Row],[SATIŞ FİYATI]]-Table001__Page_15[[#This Row],[YUVARLAMA]]</f>
        <v>0</v>
      </c>
    </row>
    <row r="878" spans="7:12" x14ac:dyDescent="0.25">
      <c r="G878">
        <f>Table001__Page_15[[#This Row],[FİYAT]]*Table001__Page_15[[#This Row],[MİKTAR]]</f>
        <v>0</v>
      </c>
      <c r="I878">
        <f>Table001__Page_15[[#This Row],[FİYAT]]*Table001__Page_15[[#This Row],[Sütun2]]</f>
        <v>0</v>
      </c>
      <c r="L878" s="50">
        <f>Table001__Page_15[[#This Row],[SATIŞ FİYATI]]-Table001__Page_15[[#This Row],[YUVARLAMA]]</f>
        <v>0</v>
      </c>
    </row>
    <row r="879" spans="7:12" x14ac:dyDescent="0.25">
      <c r="G879">
        <f>Table001__Page_15[[#This Row],[FİYAT]]*Table001__Page_15[[#This Row],[MİKTAR]]</f>
        <v>0</v>
      </c>
      <c r="I879">
        <f>Table001__Page_15[[#This Row],[FİYAT]]*Table001__Page_15[[#This Row],[Sütun2]]</f>
        <v>0</v>
      </c>
      <c r="L879" s="50">
        <f>Table001__Page_15[[#This Row],[SATIŞ FİYATI]]-Table001__Page_15[[#This Row],[YUVARLAMA]]</f>
        <v>0</v>
      </c>
    </row>
    <row r="880" spans="7:12" x14ac:dyDescent="0.25">
      <c r="G880">
        <f>Table001__Page_15[[#This Row],[FİYAT]]*Table001__Page_15[[#This Row],[MİKTAR]]</f>
        <v>0</v>
      </c>
      <c r="I880">
        <f>Table001__Page_15[[#This Row],[FİYAT]]*Table001__Page_15[[#This Row],[Sütun2]]</f>
        <v>0</v>
      </c>
      <c r="L880" s="50">
        <f>Table001__Page_15[[#This Row],[SATIŞ FİYATI]]-Table001__Page_15[[#This Row],[YUVARLAMA]]</f>
        <v>0</v>
      </c>
    </row>
    <row r="881" spans="7:12" x14ac:dyDescent="0.25">
      <c r="G881">
        <f>Table001__Page_15[[#This Row],[FİYAT]]*Table001__Page_15[[#This Row],[MİKTAR]]</f>
        <v>0</v>
      </c>
      <c r="I881">
        <f>Table001__Page_15[[#This Row],[FİYAT]]*Table001__Page_15[[#This Row],[Sütun2]]</f>
        <v>0</v>
      </c>
      <c r="L881" s="50">
        <f>Table001__Page_15[[#This Row],[SATIŞ FİYATI]]-Table001__Page_15[[#This Row],[YUVARLAMA]]</f>
        <v>0</v>
      </c>
    </row>
    <row r="882" spans="7:12" x14ac:dyDescent="0.25">
      <c r="G882">
        <f>Table001__Page_15[[#This Row],[FİYAT]]*Table001__Page_15[[#This Row],[MİKTAR]]</f>
        <v>0</v>
      </c>
      <c r="I882">
        <f>Table001__Page_15[[#This Row],[FİYAT]]*Table001__Page_15[[#This Row],[Sütun2]]</f>
        <v>0</v>
      </c>
      <c r="L882" s="50">
        <f>Table001__Page_15[[#This Row],[SATIŞ FİYATI]]-Table001__Page_15[[#This Row],[YUVARLAMA]]</f>
        <v>0</v>
      </c>
    </row>
    <row r="883" spans="7:12" x14ac:dyDescent="0.25">
      <c r="G883">
        <f>Table001__Page_15[[#This Row],[FİYAT]]*Table001__Page_15[[#This Row],[MİKTAR]]</f>
        <v>0</v>
      </c>
      <c r="I883">
        <f>Table001__Page_15[[#This Row],[FİYAT]]*Table001__Page_15[[#This Row],[Sütun2]]</f>
        <v>0</v>
      </c>
      <c r="L883" s="50">
        <f>Table001__Page_15[[#This Row],[SATIŞ FİYATI]]-Table001__Page_15[[#This Row],[YUVARLAMA]]</f>
        <v>0</v>
      </c>
    </row>
    <row r="884" spans="7:12" x14ac:dyDescent="0.25">
      <c r="G884">
        <f>Table001__Page_15[[#This Row],[FİYAT]]*Table001__Page_15[[#This Row],[MİKTAR]]</f>
        <v>0</v>
      </c>
      <c r="I884">
        <f>Table001__Page_15[[#This Row],[FİYAT]]*Table001__Page_15[[#This Row],[Sütun2]]</f>
        <v>0</v>
      </c>
      <c r="L884" s="50">
        <f>Table001__Page_15[[#This Row],[SATIŞ FİYATI]]-Table001__Page_15[[#This Row],[YUVARLAMA]]</f>
        <v>0</v>
      </c>
    </row>
    <row r="885" spans="7:12" x14ac:dyDescent="0.25">
      <c r="G885">
        <f>Table001__Page_15[[#This Row],[FİYAT]]*Table001__Page_15[[#This Row],[MİKTAR]]</f>
        <v>0</v>
      </c>
      <c r="I885">
        <f>Table001__Page_15[[#This Row],[FİYAT]]*Table001__Page_15[[#This Row],[Sütun2]]</f>
        <v>0</v>
      </c>
      <c r="L885" s="50">
        <f>Table001__Page_15[[#This Row],[SATIŞ FİYATI]]-Table001__Page_15[[#This Row],[YUVARLAMA]]</f>
        <v>0</v>
      </c>
    </row>
    <row r="886" spans="7:12" x14ac:dyDescent="0.25">
      <c r="G886">
        <f>Table001__Page_15[[#This Row],[FİYAT]]*Table001__Page_15[[#This Row],[MİKTAR]]</f>
        <v>0</v>
      </c>
      <c r="I886">
        <f>Table001__Page_15[[#This Row],[FİYAT]]*Table001__Page_15[[#This Row],[Sütun2]]</f>
        <v>0</v>
      </c>
      <c r="L886" s="50">
        <f>Table001__Page_15[[#This Row],[SATIŞ FİYATI]]-Table001__Page_15[[#This Row],[YUVARLAMA]]</f>
        <v>0</v>
      </c>
    </row>
    <row r="887" spans="7:12" x14ac:dyDescent="0.25">
      <c r="G887">
        <f>Table001__Page_15[[#This Row],[FİYAT]]*Table001__Page_15[[#This Row],[MİKTAR]]</f>
        <v>0</v>
      </c>
      <c r="I887">
        <f>Table001__Page_15[[#This Row],[FİYAT]]*Table001__Page_15[[#This Row],[Sütun2]]</f>
        <v>0</v>
      </c>
      <c r="L887" s="50">
        <f>Table001__Page_15[[#This Row],[SATIŞ FİYATI]]-Table001__Page_15[[#This Row],[YUVARLAMA]]</f>
        <v>0</v>
      </c>
    </row>
    <row r="888" spans="7:12" x14ac:dyDescent="0.25">
      <c r="G888">
        <f>Table001__Page_15[[#This Row],[FİYAT]]*Table001__Page_15[[#This Row],[MİKTAR]]</f>
        <v>0</v>
      </c>
      <c r="I888">
        <f>Table001__Page_15[[#This Row],[FİYAT]]*Table001__Page_15[[#This Row],[Sütun2]]</f>
        <v>0</v>
      </c>
      <c r="L888" s="50">
        <f>Table001__Page_15[[#This Row],[SATIŞ FİYATI]]-Table001__Page_15[[#This Row],[YUVARLAMA]]</f>
        <v>0</v>
      </c>
    </row>
    <row r="889" spans="7:12" x14ac:dyDescent="0.25">
      <c r="G889">
        <f>Table001__Page_15[[#This Row],[FİYAT]]*Table001__Page_15[[#This Row],[MİKTAR]]</f>
        <v>0</v>
      </c>
      <c r="I889">
        <f>Table001__Page_15[[#This Row],[FİYAT]]*Table001__Page_15[[#This Row],[Sütun2]]</f>
        <v>0</v>
      </c>
      <c r="L889" s="50">
        <f>Table001__Page_15[[#This Row],[SATIŞ FİYATI]]-Table001__Page_15[[#This Row],[YUVARLAMA]]</f>
        <v>0</v>
      </c>
    </row>
    <row r="890" spans="7:12" x14ac:dyDescent="0.25">
      <c r="G890">
        <f>Table001__Page_15[[#This Row],[FİYAT]]*Table001__Page_15[[#This Row],[MİKTAR]]</f>
        <v>0</v>
      </c>
      <c r="I890">
        <f>Table001__Page_15[[#This Row],[FİYAT]]*Table001__Page_15[[#This Row],[Sütun2]]</f>
        <v>0</v>
      </c>
      <c r="L890" s="50">
        <f>Table001__Page_15[[#This Row],[SATIŞ FİYATI]]-Table001__Page_15[[#This Row],[YUVARLAMA]]</f>
        <v>0</v>
      </c>
    </row>
    <row r="891" spans="7:12" x14ac:dyDescent="0.25">
      <c r="G891">
        <f>Table001__Page_15[[#This Row],[FİYAT]]*Table001__Page_15[[#This Row],[MİKTAR]]</f>
        <v>0</v>
      </c>
      <c r="I891">
        <f>Table001__Page_15[[#This Row],[FİYAT]]*Table001__Page_15[[#This Row],[Sütun2]]</f>
        <v>0</v>
      </c>
      <c r="L891" s="50">
        <f>Table001__Page_15[[#This Row],[SATIŞ FİYATI]]-Table001__Page_15[[#This Row],[YUVARLAMA]]</f>
        <v>0</v>
      </c>
    </row>
    <row r="892" spans="7:12" x14ac:dyDescent="0.25">
      <c r="G892">
        <f>Table001__Page_15[[#This Row],[FİYAT]]*Table001__Page_15[[#This Row],[MİKTAR]]</f>
        <v>0</v>
      </c>
      <c r="I892">
        <f>Table001__Page_15[[#This Row],[FİYAT]]*Table001__Page_15[[#This Row],[Sütun2]]</f>
        <v>0</v>
      </c>
      <c r="L892" s="50">
        <f>Table001__Page_15[[#This Row],[SATIŞ FİYATI]]-Table001__Page_15[[#This Row],[YUVARLAMA]]</f>
        <v>0</v>
      </c>
    </row>
    <row r="893" spans="7:12" x14ac:dyDescent="0.25">
      <c r="G893">
        <f>Table001__Page_15[[#This Row],[FİYAT]]*Table001__Page_15[[#This Row],[MİKTAR]]</f>
        <v>0</v>
      </c>
      <c r="I893">
        <f>Table001__Page_15[[#This Row],[FİYAT]]*Table001__Page_15[[#This Row],[Sütun2]]</f>
        <v>0</v>
      </c>
      <c r="L893" s="50">
        <f>Table001__Page_15[[#This Row],[SATIŞ FİYATI]]-Table001__Page_15[[#This Row],[YUVARLAMA]]</f>
        <v>0</v>
      </c>
    </row>
    <row r="894" spans="7:12" x14ac:dyDescent="0.25">
      <c r="G894">
        <f>Table001__Page_15[[#This Row],[FİYAT]]*Table001__Page_15[[#This Row],[MİKTAR]]</f>
        <v>0</v>
      </c>
      <c r="I894">
        <f>Table001__Page_15[[#This Row],[FİYAT]]*Table001__Page_15[[#This Row],[Sütun2]]</f>
        <v>0</v>
      </c>
      <c r="L894" s="50">
        <f>Table001__Page_15[[#This Row],[SATIŞ FİYATI]]-Table001__Page_15[[#This Row],[YUVARLAMA]]</f>
        <v>0</v>
      </c>
    </row>
    <row r="895" spans="7:12" x14ac:dyDescent="0.25">
      <c r="G895">
        <f>Table001__Page_15[[#This Row],[FİYAT]]*Table001__Page_15[[#This Row],[MİKTAR]]</f>
        <v>0</v>
      </c>
      <c r="I895">
        <f>Table001__Page_15[[#This Row],[FİYAT]]*Table001__Page_15[[#This Row],[Sütun2]]</f>
        <v>0</v>
      </c>
      <c r="L895" s="50">
        <f>Table001__Page_15[[#This Row],[SATIŞ FİYATI]]-Table001__Page_15[[#This Row],[YUVARLAMA]]</f>
        <v>0</v>
      </c>
    </row>
    <row r="896" spans="7:12" x14ac:dyDescent="0.25">
      <c r="G896">
        <f>Table001__Page_15[[#This Row],[FİYAT]]*Table001__Page_15[[#This Row],[MİKTAR]]</f>
        <v>0</v>
      </c>
      <c r="I896">
        <f>Table001__Page_15[[#This Row],[FİYAT]]*Table001__Page_15[[#This Row],[Sütun2]]</f>
        <v>0</v>
      </c>
      <c r="L896" s="50">
        <f>Table001__Page_15[[#This Row],[SATIŞ FİYATI]]-Table001__Page_15[[#This Row],[YUVARLAMA]]</f>
        <v>0</v>
      </c>
    </row>
    <row r="897" spans="7:12" x14ac:dyDescent="0.25">
      <c r="G897">
        <f>Table001__Page_15[[#This Row],[FİYAT]]*Table001__Page_15[[#This Row],[MİKTAR]]</f>
        <v>0</v>
      </c>
      <c r="I897">
        <f>Table001__Page_15[[#This Row],[FİYAT]]*Table001__Page_15[[#This Row],[Sütun2]]</f>
        <v>0</v>
      </c>
      <c r="L897" s="50">
        <f>Table001__Page_15[[#This Row],[SATIŞ FİYATI]]-Table001__Page_15[[#This Row],[YUVARLAMA]]</f>
        <v>0</v>
      </c>
    </row>
    <row r="898" spans="7:12" x14ac:dyDescent="0.25">
      <c r="G898">
        <f>Table001__Page_15[[#This Row],[FİYAT]]*Table001__Page_15[[#This Row],[MİKTAR]]</f>
        <v>0</v>
      </c>
      <c r="I898">
        <f>Table001__Page_15[[#This Row],[FİYAT]]*Table001__Page_15[[#This Row],[Sütun2]]</f>
        <v>0</v>
      </c>
      <c r="L898" s="50">
        <f>Table001__Page_15[[#This Row],[SATIŞ FİYATI]]-Table001__Page_15[[#This Row],[YUVARLAMA]]</f>
        <v>0</v>
      </c>
    </row>
    <row r="899" spans="7:12" x14ac:dyDescent="0.25">
      <c r="G899">
        <f>Table001__Page_15[[#This Row],[FİYAT]]*Table001__Page_15[[#This Row],[MİKTAR]]</f>
        <v>0</v>
      </c>
      <c r="I899">
        <f>Table001__Page_15[[#This Row],[FİYAT]]*Table001__Page_15[[#This Row],[Sütun2]]</f>
        <v>0</v>
      </c>
      <c r="L899" s="50">
        <f>Table001__Page_15[[#This Row],[SATIŞ FİYATI]]-Table001__Page_15[[#This Row],[YUVARLAMA]]</f>
        <v>0</v>
      </c>
    </row>
    <row r="900" spans="7:12" x14ac:dyDescent="0.25">
      <c r="G900">
        <f>Table001__Page_15[[#This Row],[FİYAT]]*Table001__Page_15[[#This Row],[MİKTAR]]</f>
        <v>0</v>
      </c>
      <c r="I900">
        <f>Table001__Page_15[[#This Row],[FİYAT]]*Table001__Page_15[[#This Row],[Sütun2]]</f>
        <v>0</v>
      </c>
      <c r="L900" s="50">
        <f>Table001__Page_15[[#This Row],[SATIŞ FİYATI]]-Table001__Page_15[[#This Row],[YUVARLAMA]]</f>
        <v>0</v>
      </c>
    </row>
    <row r="901" spans="7:12" x14ac:dyDescent="0.25">
      <c r="G901">
        <f>Table001__Page_15[[#This Row],[FİYAT]]*Table001__Page_15[[#This Row],[MİKTAR]]</f>
        <v>0</v>
      </c>
      <c r="I901">
        <f>Table001__Page_15[[#This Row],[FİYAT]]*Table001__Page_15[[#This Row],[Sütun2]]</f>
        <v>0</v>
      </c>
      <c r="L901" s="50">
        <f>Table001__Page_15[[#This Row],[SATIŞ FİYATI]]-Table001__Page_15[[#This Row],[YUVARLAMA]]</f>
        <v>0</v>
      </c>
    </row>
    <row r="902" spans="7:12" x14ac:dyDescent="0.25">
      <c r="G902">
        <f>Table001__Page_15[[#This Row],[FİYAT]]*Table001__Page_15[[#This Row],[MİKTAR]]</f>
        <v>0</v>
      </c>
      <c r="I902">
        <f>Table001__Page_15[[#This Row],[FİYAT]]*Table001__Page_15[[#This Row],[Sütun2]]</f>
        <v>0</v>
      </c>
      <c r="L902" s="50">
        <f>Table001__Page_15[[#This Row],[SATIŞ FİYATI]]-Table001__Page_15[[#This Row],[YUVARLAMA]]</f>
        <v>0</v>
      </c>
    </row>
    <row r="903" spans="7:12" x14ac:dyDescent="0.25">
      <c r="G903">
        <f>Table001__Page_15[[#This Row],[FİYAT]]*Table001__Page_15[[#This Row],[MİKTAR]]</f>
        <v>0</v>
      </c>
      <c r="I903">
        <f>Table001__Page_15[[#This Row],[FİYAT]]*Table001__Page_15[[#This Row],[Sütun2]]</f>
        <v>0</v>
      </c>
      <c r="L903" s="50">
        <f>Table001__Page_15[[#This Row],[SATIŞ FİYATI]]-Table001__Page_15[[#This Row],[YUVARLAMA]]</f>
        <v>0</v>
      </c>
    </row>
    <row r="904" spans="7:12" x14ac:dyDescent="0.25">
      <c r="G904">
        <f>Table001__Page_15[[#This Row],[FİYAT]]*Table001__Page_15[[#This Row],[MİKTAR]]</f>
        <v>0</v>
      </c>
      <c r="I904">
        <f>Table001__Page_15[[#This Row],[FİYAT]]*Table001__Page_15[[#This Row],[Sütun2]]</f>
        <v>0</v>
      </c>
      <c r="L904" s="50">
        <f>Table001__Page_15[[#This Row],[SATIŞ FİYATI]]-Table001__Page_15[[#This Row],[YUVARLAMA]]</f>
        <v>0</v>
      </c>
    </row>
    <row r="905" spans="7:12" x14ac:dyDescent="0.25">
      <c r="G905">
        <f>Table001__Page_15[[#This Row],[FİYAT]]*Table001__Page_15[[#This Row],[MİKTAR]]</f>
        <v>0</v>
      </c>
      <c r="I905">
        <f>Table001__Page_15[[#This Row],[FİYAT]]*Table001__Page_15[[#This Row],[Sütun2]]</f>
        <v>0</v>
      </c>
      <c r="L905" s="50">
        <f>Table001__Page_15[[#This Row],[SATIŞ FİYATI]]-Table001__Page_15[[#This Row],[YUVARLAMA]]</f>
        <v>0</v>
      </c>
    </row>
    <row r="906" spans="7:12" x14ac:dyDescent="0.25">
      <c r="G906">
        <f>Table001__Page_15[[#This Row],[FİYAT]]*Table001__Page_15[[#This Row],[MİKTAR]]</f>
        <v>0</v>
      </c>
      <c r="I906">
        <f>Table001__Page_15[[#This Row],[FİYAT]]*Table001__Page_15[[#This Row],[Sütun2]]</f>
        <v>0</v>
      </c>
      <c r="L906" s="50">
        <f>Table001__Page_15[[#This Row],[SATIŞ FİYATI]]-Table001__Page_15[[#This Row],[YUVARLAMA]]</f>
        <v>0</v>
      </c>
    </row>
    <row r="907" spans="7:12" x14ac:dyDescent="0.25">
      <c r="G907">
        <f>Table001__Page_15[[#This Row],[FİYAT]]*Table001__Page_15[[#This Row],[MİKTAR]]</f>
        <v>0</v>
      </c>
      <c r="I907">
        <f>Table001__Page_15[[#This Row],[FİYAT]]*Table001__Page_15[[#This Row],[Sütun2]]</f>
        <v>0</v>
      </c>
      <c r="L907" s="50">
        <f>Table001__Page_15[[#This Row],[SATIŞ FİYATI]]-Table001__Page_15[[#This Row],[YUVARLAMA]]</f>
        <v>0</v>
      </c>
    </row>
    <row r="908" spans="7:12" x14ac:dyDescent="0.25">
      <c r="G908">
        <f>Table001__Page_15[[#This Row],[FİYAT]]*Table001__Page_15[[#This Row],[MİKTAR]]</f>
        <v>0</v>
      </c>
      <c r="I908">
        <f>Table001__Page_15[[#This Row],[FİYAT]]*Table001__Page_15[[#This Row],[Sütun2]]</f>
        <v>0</v>
      </c>
      <c r="L908" s="50">
        <f>Table001__Page_15[[#This Row],[SATIŞ FİYATI]]-Table001__Page_15[[#This Row],[YUVARLAMA]]</f>
        <v>0</v>
      </c>
    </row>
    <row r="909" spans="7:12" x14ac:dyDescent="0.25">
      <c r="G909">
        <f>Table001__Page_15[[#This Row],[FİYAT]]*Table001__Page_15[[#This Row],[MİKTAR]]</f>
        <v>0</v>
      </c>
      <c r="I909">
        <f>Table001__Page_15[[#This Row],[FİYAT]]*Table001__Page_15[[#This Row],[Sütun2]]</f>
        <v>0</v>
      </c>
      <c r="L909" s="50">
        <f>Table001__Page_15[[#This Row],[SATIŞ FİYATI]]-Table001__Page_15[[#This Row],[YUVARLAMA]]</f>
        <v>0</v>
      </c>
    </row>
    <row r="910" spans="7:12" x14ac:dyDescent="0.25">
      <c r="G910">
        <f>Table001__Page_15[[#This Row],[FİYAT]]*Table001__Page_15[[#This Row],[MİKTAR]]</f>
        <v>0</v>
      </c>
      <c r="I910">
        <f>Table001__Page_15[[#This Row],[FİYAT]]*Table001__Page_15[[#This Row],[Sütun2]]</f>
        <v>0</v>
      </c>
      <c r="L910" s="50">
        <f>Table001__Page_15[[#This Row],[SATIŞ FİYATI]]-Table001__Page_15[[#This Row],[YUVARLAMA]]</f>
        <v>0</v>
      </c>
    </row>
    <row r="911" spans="7:12" x14ac:dyDescent="0.25">
      <c r="G911">
        <f>Table001__Page_15[[#This Row],[FİYAT]]*Table001__Page_15[[#This Row],[MİKTAR]]</f>
        <v>0</v>
      </c>
      <c r="I911">
        <f>Table001__Page_15[[#This Row],[FİYAT]]*Table001__Page_15[[#This Row],[Sütun2]]</f>
        <v>0</v>
      </c>
      <c r="L911" s="50">
        <f>Table001__Page_15[[#This Row],[SATIŞ FİYATI]]-Table001__Page_15[[#This Row],[YUVARLAMA]]</f>
        <v>0</v>
      </c>
    </row>
    <row r="912" spans="7:12" x14ac:dyDescent="0.25">
      <c r="G912">
        <f>Table001__Page_15[[#This Row],[FİYAT]]*Table001__Page_15[[#This Row],[MİKTAR]]</f>
        <v>0</v>
      </c>
      <c r="I912">
        <f>Table001__Page_15[[#This Row],[FİYAT]]*Table001__Page_15[[#This Row],[Sütun2]]</f>
        <v>0</v>
      </c>
      <c r="L912" s="50">
        <f>Table001__Page_15[[#This Row],[SATIŞ FİYATI]]-Table001__Page_15[[#This Row],[YUVARLAMA]]</f>
        <v>0</v>
      </c>
    </row>
    <row r="913" spans="7:12" x14ac:dyDescent="0.25">
      <c r="G913">
        <f>Table001__Page_15[[#This Row],[FİYAT]]*Table001__Page_15[[#This Row],[MİKTAR]]</f>
        <v>0</v>
      </c>
      <c r="I913">
        <f>Table001__Page_15[[#This Row],[FİYAT]]*Table001__Page_15[[#This Row],[Sütun2]]</f>
        <v>0</v>
      </c>
      <c r="L913" s="50">
        <f>Table001__Page_15[[#This Row],[SATIŞ FİYATI]]-Table001__Page_15[[#This Row],[YUVARLAMA]]</f>
        <v>0</v>
      </c>
    </row>
    <row r="914" spans="7:12" x14ac:dyDescent="0.25">
      <c r="G914">
        <f>Table001__Page_15[[#This Row],[FİYAT]]*Table001__Page_15[[#This Row],[MİKTAR]]</f>
        <v>0</v>
      </c>
      <c r="I914">
        <f>Table001__Page_15[[#This Row],[FİYAT]]*Table001__Page_15[[#This Row],[Sütun2]]</f>
        <v>0</v>
      </c>
      <c r="L914" s="50">
        <f>Table001__Page_15[[#This Row],[SATIŞ FİYATI]]-Table001__Page_15[[#This Row],[YUVARLAMA]]</f>
        <v>0</v>
      </c>
    </row>
    <row r="915" spans="7:12" x14ac:dyDescent="0.25">
      <c r="G915">
        <f>Table001__Page_15[[#This Row],[FİYAT]]*Table001__Page_15[[#This Row],[MİKTAR]]</f>
        <v>0</v>
      </c>
      <c r="I915">
        <f>Table001__Page_15[[#This Row],[FİYAT]]*Table001__Page_15[[#This Row],[Sütun2]]</f>
        <v>0</v>
      </c>
      <c r="L915" s="50">
        <f>Table001__Page_15[[#This Row],[SATIŞ FİYATI]]-Table001__Page_15[[#This Row],[YUVARLAMA]]</f>
        <v>0</v>
      </c>
    </row>
    <row r="916" spans="7:12" x14ac:dyDescent="0.25">
      <c r="G916">
        <f>Table001__Page_15[[#This Row],[FİYAT]]*Table001__Page_15[[#This Row],[MİKTAR]]</f>
        <v>0</v>
      </c>
      <c r="I916">
        <f>Table001__Page_15[[#This Row],[FİYAT]]*Table001__Page_15[[#This Row],[Sütun2]]</f>
        <v>0</v>
      </c>
      <c r="L916" s="50">
        <f>Table001__Page_15[[#This Row],[SATIŞ FİYATI]]-Table001__Page_15[[#This Row],[YUVARLAMA]]</f>
        <v>0</v>
      </c>
    </row>
    <row r="917" spans="7:12" x14ac:dyDescent="0.25">
      <c r="G917">
        <f>Table001__Page_15[[#This Row],[FİYAT]]*Table001__Page_15[[#This Row],[MİKTAR]]</f>
        <v>0</v>
      </c>
      <c r="I917">
        <f>Table001__Page_15[[#This Row],[FİYAT]]*Table001__Page_15[[#This Row],[Sütun2]]</f>
        <v>0</v>
      </c>
      <c r="L917" s="50">
        <f>Table001__Page_15[[#This Row],[SATIŞ FİYATI]]-Table001__Page_15[[#This Row],[YUVARLAMA]]</f>
        <v>0</v>
      </c>
    </row>
    <row r="918" spans="7:12" x14ac:dyDescent="0.25">
      <c r="G918">
        <f>Table001__Page_15[[#This Row],[FİYAT]]*Table001__Page_15[[#This Row],[MİKTAR]]</f>
        <v>0</v>
      </c>
      <c r="I918">
        <f>Table001__Page_15[[#This Row],[FİYAT]]*Table001__Page_15[[#This Row],[Sütun2]]</f>
        <v>0</v>
      </c>
      <c r="L918" s="50">
        <f>Table001__Page_15[[#This Row],[SATIŞ FİYATI]]-Table001__Page_15[[#This Row],[YUVARLAMA]]</f>
        <v>0</v>
      </c>
    </row>
    <row r="919" spans="7:12" x14ac:dyDescent="0.25">
      <c r="G919">
        <f>Table001__Page_15[[#This Row],[FİYAT]]*Table001__Page_15[[#This Row],[MİKTAR]]</f>
        <v>0</v>
      </c>
      <c r="I919">
        <f>Table001__Page_15[[#This Row],[FİYAT]]*Table001__Page_15[[#This Row],[Sütun2]]</f>
        <v>0</v>
      </c>
      <c r="L919" s="50">
        <f>Table001__Page_15[[#This Row],[SATIŞ FİYATI]]-Table001__Page_15[[#This Row],[YUVARLAMA]]</f>
        <v>0</v>
      </c>
    </row>
    <row r="920" spans="7:12" x14ac:dyDescent="0.25">
      <c r="G920">
        <f>Table001__Page_15[[#This Row],[FİYAT]]*Table001__Page_15[[#This Row],[MİKTAR]]</f>
        <v>0</v>
      </c>
      <c r="I920">
        <f>Table001__Page_15[[#This Row],[FİYAT]]*Table001__Page_15[[#This Row],[Sütun2]]</f>
        <v>0</v>
      </c>
      <c r="L920" s="50">
        <f>Table001__Page_15[[#This Row],[SATIŞ FİYATI]]-Table001__Page_15[[#This Row],[YUVARLAMA]]</f>
        <v>0</v>
      </c>
    </row>
    <row r="921" spans="7:12" x14ac:dyDescent="0.25">
      <c r="G921">
        <f>Table001__Page_15[[#This Row],[FİYAT]]*Table001__Page_15[[#This Row],[MİKTAR]]</f>
        <v>0</v>
      </c>
      <c r="I921">
        <f>Table001__Page_15[[#This Row],[FİYAT]]*Table001__Page_15[[#This Row],[Sütun2]]</f>
        <v>0</v>
      </c>
      <c r="L921" s="50">
        <f>Table001__Page_15[[#This Row],[SATIŞ FİYATI]]-Table001__Page_15[[#This Row],[YUVARLAMA]]</f>
        <v>0</v>
      </c>
    </row>
    <row r="922" spans="7:12" x14ac:dyDescent="0.25">
      <c r="G922">
        <f>Table001__Page_15[[#This Row],[FİYAT]]*Table001__Page_15[[#This Row],[MİKTAR]]</f>
        <v>0</v>
      </c>
      <c r="I922">
        <f>Table001__Page_15[[#This Row],[FİYAT]]*Table001__Page_15[[#This Row],[Sütun2]]</f>
        <v>0</v>
      </c>
      <c r="L922" s="50">
        <f>Table001__Page_15[[#This Row],[SATIŞ FİYATI]]-Table001__Page_15[[#This Row],[YUVARLAMA]]</f>
        <v>0</v>
      </c>
    </row>
    <row r="923" spans="7:12" x14ac:dyDescent="0.25">
      <c r="G923">
        <f>Table001__Page_15[[#This Row],[FİYAT]]*Table001__Page_15[[#This Row],[MİKTAR]]</f>
        <v>0</v>
      </c>
      <c r="I923">
        <f>Table001__Page_15[[#This Row],[FİYAT]]*Table001__Page_15[[#This Row],[Sütun2]]</f>
        <v>0</v>
      </c>
      <c r="L923" s="50">
        <f>Table001__Page_15[[#This Row],[SATIŞ FİYATI]]-Table001__Page_15[[#This Row],[YUVARLAMA]]</f>
        <v>0</v>
      </c>
    </row>
    <row r="924" spans="7:12" x14ac:dyDescent="0.25">
      <c r="G924">
        <f>Table001__Page_15[[#This Row],[FİYAT]]*Table001__Page_15[[#This Row],[MİKTAR]]</f>
        <v>0</v>
      </c>
      <c r="I924">
        <f>Table001__Page_15[[#This Row],[FİYAT]]*Table001__Page_15[[#This Row],[Sütun2]]</f>
        <v>0</v>
      </c>
      <c r="L924" s="50">
        <f>Table001__Page_15[[#This Row],[SATIŞ FİYATI]]-Table001__Page_15[[#This Row],[YUVARLAMA]]</f>
        <v>0</v>
      </c>
    </row>
    <row r="925" spans="7:12" x14ac:dyDescent="0.25">
      <c r="G925">
        <f>Table001__Page_15[[#This Row],[FİYAT]]*Table001__Page_15[[#This Row],[MİKTAR]]</f>
        <v>0</v>
      </c>
      <c r="I925">
        <f>Table001__Page_15[[#This Row],[FİYAT]]*Table001__Page_15[[#This Row],[Sütun2]]</f>
        <v>0</v>
      </c>
      <c r="L925" s="50">
        <f>Table001__Page_15[[#This Row],[SATIŞ FİYATI]]-Table001__Page_15[[#This Row],[YUVARLAMA]]</f>
        <v>0</v>
      </c>
    </row>
    <row r="926" spans="7:12" x14ac:dyDescent="0.25">
      <c r="G926">
        <f>Table001__Page_15[[#This Row],[FİYAT]]*Table001__Page_15[[#This Row],[MİKTAR]]</f>
        <v>0</v>
      </c>
      <c r="I926">
        <f>Table001__Page_15[[#This Row],[FİYAT]]*Table001__Page_15[[#This Row],[Sütun2]]</f>
        <v>0</v>
      </c>
      <c r="L926" s="50">
        <f>Table001__Page_15[[#This Row],[SATIŞ FİYATI]]-Table001__Page_15[[#This Row],[YUVARLAMA]]</f>
        <v>0</v>
      </c>
    </row>
    <row r="927" spans="7:12" x14ac:dyDescent="0.25">
      <c r="G927">
        <f>Table001__Page_15[[#This Row],[FİYAT]]*Table001__Page_15[[#This Row],[MİKTAR]]</f>
        <v>0</v>
      </c>
      <c r="I927">
        <f>Table001__Page_15[[#This Row],[FİYAT]]*Table001__Page_15[[#This Row],[Sütun2]]</f>
        <v>0</v>
      </c>
      <c r="L927" s="50">
        <f>Table001__Page_15[[#This Row],[SATIŞ FİYATI]]-Table001__Page_15[[#This Row],[YUVARLAMA]]</f>
        <v>0</v>
      </c>
    </row>
    <row r="928" spans="7:12" x14ac:dyDescent="0.25">
      <c r="G928">
        <f>Table001__Page_15[[#This Row],[FİYAT]]*Table001__Page_15[[#This Row],[MİKTAR]]</f>
        <v>0</v>
      </c>
      <c r="I928">
        <f>Table001__Page_15[[#This Row],[FİYAT]]*Table001__Page_15[[#This Row],[Sütun2]]</f>
        <v>0</v>
      </c>
      <c r="L928" s="50">
        <f>Table001__Page_15[[#This Row],[SATIŞ FİYATI]]-Table001__Page_15[[#This Row],[YUVARLAMA]]</f>
        <v>0</v>
      </c>
    </row>
    <row r="929" spans="7:12" x14ac:dyDescent="0.25">
      <c r="G929">
        <f>Table001__Page_15[[#This Row],[FİYAT]]*Table001__Page_15[[#This Row],[MİKTAR]]</f>
        <v>0</v>
      </c>
      <c r="I929">
        <f>Table001__Page_15[[#This Row],[FİYAT]]*Table001__Page_15[[#This Row],[Sütun2]]</f>
        <v>0</v>
      </c>
      <c r="L929" s="50">
        <f>Table001__Page_15[[#This Row],[SATIŞ FİYATI]]-Table001__Page_15[[#This Row],[YUVARLAMA]]</f>
        <v>0</v>
      </c>
    </row>
    <row r="930" spans="7:12" x14ac:dyDescent="0.25">
      <c r="G930">
        <f>Table001__Page_15[[#This Row],[FİYAT]]*Table001__Page_15[[#This Row],[MİKTAR]]</f>
        <v>0</v>
      </c>
      <c r="I930">
        <f>Table001__Page_15[[#This Row],[FİYAT]]*Table001__Page_15[[#This Row],[Sütun2]]</f>
        <v>0</v>
      </c>
      <c r="L930" s="50">
        <f>Table001__Page_15[[#This Row],[SATIŞ FİYATI]]-Table001__Page_15[[#This Row],[YUVARLAMA]]</f>
        <v>0</v>
      </c>
    </row>
    <row r="931" spans="7:12" x14ac:dyDescent="0.25">
      <c r="G931">
        <f>Table001__Page_15[[#This Row],[FİYAT]]*Table001__Page_15[[#This Row],[MİKTAR]]</f>
        <v>0</v>
      </c>
      <c r="I931">
        <f>Table001__Page_15[[#This Row],[FİYAT]]*Table001__Page_15[[#This Row],[Sütun2]]</f>
        <v>0</v>
      </c>
      <c r="L931" s="50">
        <f>Table001__Page_15[[#This Row],[SATIŞ FİYATI]]-Table001__Page_15[[#This Row],[YUVARLAMA]]</f>
        <v>0</v>
      </c>
    </row>
    <row r="932" spans="7:12" x14ac:dyDescent="0.25">
      <c r="G932">
        <f>Table001__Page_15[[#This Row],[FİYAT]]*Table001__Page_15[[#This Row],[MİKTAR]]</f>
        <v>0</v>
      </c>
      <c r="I932">
        <f>Table001__Page_15[[#This Row],[FİYAT]]*Table001__Page_15[[#This Row],[Sütun2]]</f>
        <v>0</v>
      </c>
      <c r="L932" s="50">
        <f>Table001__Page_15[[#This Row],[SATIŞ FİYATI]]-Table001__Page_15[[#This Row],[YUVARLAMA]]</f>
        <v>0</v>
      </c>
    </row>
    <row r="933" spans="7:12" x14ac:dyDescent="0.25">
      <c r="G933">
        <f>Table001__Page_15[[#This Row],[FİYAT]]*Table001__Page_15[[#This Row],[MİKTAR]]</f>
        <v>0</v>
      </c>
      <c r="I933">
        <f>Table001__Page_15[[#This Row],[FİYAT]]*Table001__Page_15[[#This Row],[Sütun2]]</f>
        <v>0</v>
      </c>
      <c r="L933" s="50">
        <f>Table001__Page_15[[#This Row],[SATIŞ FİYATI]]-Table001__Page_15[[#This Row],[YUVARLAMA]]</f>
        <v>0</v>
      </c>
    </row>
    <row r="934" spans="7:12" x14ac:dyDescent="0.25">
      <c r="G934">
        <f>Table001__Page_15[[#This Row],[FİYAT]]*Table001__Page_15[[#This Row],[MİKTAR]]</f>
        <v>0</v>
      </c>
      <c r="I934">
        <f>Table001__Page_15[[#This Row],[FİYAT]]*Table001__Page_15[[#This Row],[Sütun2]]</f>
        <v>0</v>
      </c>
      <c r="L934" s="50">
        <f>Table001__Page_15[[#This Row],[SATIŞ FİYATI]]-Table001__Page_15[[#This Row],[YUVARLAMA]]</f>
        <v>0</v>
      </c>
    </row>
    <row r="935" spans="7:12" x14ac:dyDescent="0.25">
      <c r="G935">
        <f>Table001__Page_15[[#This Row],[FİYAT]]*Table001__Page_15[[#This Row],[MİKTAR]]</f>
        <v>0</v>
      </c>
      <c r="I935">
        <f>Table001__Page_15[[#This Row],[FİYAT]]*Table001__Page_15[[#This Row],[Sütun2]]</f>
        <v>0</v>
      </c>
      <c r="L935" s="50">
        <f>Table001__Page_15[[#This Row],[SATIŞ FİYATI]]-Table001__Page_15[[#This Row],[YUVARLAMA]]</f>
        <v>0</v>
      </c>
    </row>
    <row r="936" spans="7:12" x14ac:dyDescent="0.25">
      <c r="G936">
        <f>Table001__Page_15[[#This Row],[FİYAT]]*Table001__Page_15[[#This Row],[MİKTAR]]</f>
        <v>0</v>
      </c>
      <c r="I936">
        <f>Table001__Page_15[[#This Row],[FİYAT]]*Table001__Page_15[[#This Row],[Sütun2]]</f>
        <v>0</v>
      </c>
      <c r="L936" s="50">
        <f>Table001__Page_15[[#This Row],[SATIŞ FİYATI]]-Table001__Page_15[[#This Row],[YUVARLAMA]]</f>
        <v>0</v>
      </c>
    </row>
    <row r="937" spans="7:12" x14ac:dyDescent="0.25">
      <c r="G937">
        <f>Table001__Page_15[[#This Row],[FİYAT]]*Table001__Page_15[[#This Row],[MİKTAR]]</f>
        <v>0</v>
      </c>
      <c r="I937">
        <f>Table001__Page_15[[#This Row],[FİYAT]]*Table001__Page_15[[#This Row],[Sütun2]]</f>
        <v>0</v>
      </c>
      <c r="L937" s="50">
        <f>Table001__Page_15[[#This Row],[SATIŞ FİYATI]]-Table001__Page_15[[#This Row],[YUVARLAMA]]</f>
        <v>0</v>
      </c>
    </row>
    <row r="938" spans="7:12" x14ac:dyDescent="0.25">
      <c r="G938">
        <f>Table001__Page_15[[#This Row],[FİYAT]]*Table001__Page_15[[#This Row],[MİKTAR]]</f>
        <v>0</v>
      </c>
      <c r="I938">
        <f>Table001__Page_15[[#This Row],[FİYAT]]*Table001__Page_15[[#This Row],[Sütun2]]</f>
        <v>0</v>
      </c>
      <c r="L938" s="50">
        <f>Table001__Page_15[[#This Row],[SATIŞ FİYATI]]-Table001__Page_15[[#This Row],[YUVARLAMA]]</f>
        <v>0</v>
      </c>
    </row>
    <row r="939" spans="7:12" x14ac:dyDescent="0.25">
      <c r="G939">
        <f>Table001__Page_15[[#This Row],[FİYAT]]*Table001__Page_15[[#This Row],[MİKTAR]]</f>
        <v>0</v>
      </c>
      <c r="I939">
        <f>Table001__Page_15[[#This Row],[FİYAT]]*Table001__Page_15[[#This Row],[Sütun2]]</f>
        <v>0</v>
      </c>
      <c r="L939" s="50">
        <f>Table001__Page_15[[#This Row],[SATIŞ FİYATI]]-Table001__Page_15[[#This Row],[YUVARLAMA]]</f>
        <v>0</v>
      </c>
    </row>
    <row r="940" spans="7:12" x14ac:dyDescent="0.25">
      <c r="G940">
        <f>Table001__Page_15[[#This Row],[FİYAT]]*Table001__Page_15[[#This Row],[MİKTAR]]</f>
        <v>0</v>
      </c>
      <c r="I940">
        <f>Table001__Page_15[[#This Row],[FİYAT]]*Table001__Page_15[[#This Row],[Sütun2]]</f>
        <v>0</v>
      </c>
      <c r="L940" s="50">
        <f>Table001__Page_15[[#This Row],[SATIŞ FİYATI]]-Table001__Page_15[[#This Row],[YUVARLAMA]]</f>
        <v>0</v>
      </c>
    </row>
    <row r="941" spans="7:12" x14ac:dyDescent="0.25">
      <c r="G941">
        <f>Table001__Page_15[[#This Row],[FİYAT]]*Table001__Page_15[[#This Row],[MİKTAR]]</f>
        <v>0</v>
      </c>
      <c r="I941">
        <f>Table001__Page_15[[#This Row],[FİYAT]]*Table001__Page_15[[#This Row],[Sütun2]]</f>
        <v>0</v>
      </c>
      <c r="L941" s="50">
        <f>Table001__Page_15[[#This Row],[SATIŞ FİYATI]]-Table001__Page_15[[#This Row],[YUVARLAMA]]</f>
        <v>0</v>
      </c>
    </row>
    <row r="942" spans="7:12" x14ac:dyDescent="0.25">
      <c r="G942">
        <f>Table001__Page_15[[#This Row],[FİYAT]]*Table001__Page_15[[#This Row],[MİKTAR]]</f>
        <v>0</v>
      </c>
      <c r="I942">
        <f>Table001__Page_15[[#This Row],[FİYAT]]*Table001__Page_15[[#This Row],[Sütun2]]</f>
        <v>0</v>
      </c>
      <c r="L942" s="50">
        <f>Table001__Page_15[[#This Row],[SATIŞ FİYATI]]-Table001__Page_15[[#This Row],[YUVARLAMA]]</f>
        <v>0</v>
      </c>
    </row>
    <row r="943" spans="7:12" x14ac:dyDescent="0.25">
      <c r="G943">
        <f>Table001__Page_15[[#This Row],[FİYAT]]*Table001__Page_15[[#This Row],[MİKTAR]]</f>
        <v>0</v>
      </c>
      <c r="I943">
        <f>Table001__Page_15[[#This Row],[FİYAT]]*Table001__Page_15[[#This Row],[Sütun2]]</f>
        <v>0</v>
      </c>
      <c r="L943" s="50">
        <f>Table001__Page_15[[#This Row],[SATIŞ FİYATI]]-Table001__Page_15[[#This Row],[YUVARLAMA]]</f>
        <v>0</v>
      </c>
    </row>
    <row r="944" spans="7:12" x14ac:dyDescent="0.25">
      <c r="G944">
        <f>Table001__Page_15[[#This Row],[FİYAT]]*Table001__Page_15[[#This Row],[MİKTAR]]</f>
        <v>0</v>
      </c>
      <c r="I944">
        <f>Table001__Page_15[[#This Row],[FİYAT]]*Table001__Page_15[[#This Row],[Sütun2]]</f>
        <v>0</v>
      </c>
      <c r="L944" s="50">
        <f>Table001__Page_15[[#This Row],[SATIŞ FİYATI]]-Table001__Page_15[[#This Row],[YUVARLAMA]]</f>
        <v>0</v>
      </c>
    </row>
    <row r="945" spans="7:12" x14ac:dyDescent="0.25">
      <c r="G945">
        <f>Table001__Page_15[[#This Row],[FİYAT]]*Table001__Page_15[[#This Row],[MİKTAR]]</f>
        <v>0</v>
      </c>
      <c r="I945">
        <f>Table001__Page_15[[#This Row],[FİYAT]]*Table001__Page_15[[#This Row],[Sütun2]]</f>
        <v>0</v>
      </c>
      <c r="L945" s="50">
        <f>Table001__Page_15[[#This Row],[SATIŞ FİYATI]]-Table001__Page_15[[#This Row],[YUVARLAMA]]</f>
        <v>0</v>
      </c>
    </row>
    <row r="946" spans="7:12" x14ac:dyDescent="0.25">
      <c r="G946">
        <f>Table001__Page_15[[#This Row],[FİYAT]]*Table001__Page_15[[#This Row],[MİKTAR]]</f>
        <v>0</v>
      </c>
      <c r="I946">
        <f>Table001__Page_15[[#This Row],[FİYAT]]*Table001__Page_15[[#This Row],[Sütun2]]</f>
        <v>0</v>
      </c>
      <c r="L946" s="50">
        <f>Table001__Page_15[[#This Row],[SATIŞ FİYATI]]-Table001__Page_15[[#This Row],[YUVARLAMA]]</f>
        <v>0</v>
      </c>
    </row>
    <row r="947" spans="7:12" x14ac:dyDescent="0.25">
      <c r="G947">
        <f>Table001__Page_15[[#This Row],[FİYAT]]*Table001__Page_15[[#This Row],[MİKTAR]]</f>
        <v>0</v>
      </c>
      <c r="I947">
        <f>Table001__Page_15[[#This Row],[FİYAT]]*Table001__Page_15[[#This Row],[Sütun2]]</f>
        <v>0</v>
      </c>
      <c r="L947" s="50">
        <f>Table001__Page_15[[#This Row],[SATIŞ FİYATI]]-Table001__Page_15[[#This Row],[YUVARLAMA]]</f>
        <v>0</v>
      </c>
    </row>
    <row r="948" spans="7:12" x14ac:dyDescent="0.25">
      <c r="G948">
        <f>Table001__Page_15[[#This Row],[FİYAT]]*Table001__Page_15[[#This Row],[MİKTAR]]</f>
        <v>0</v>
      </c>
      <c r="I948">
        <f>Table001__Page_15[[#This Row],[FİYAT]]*Table001__Page_15[[#This Row],[Sütun2]]</f>
        <v>0</v>
      </c>
      <c r="L948" s="50">
        <f>Table001__Page_15[[#This Row],[SATIŞ FİYATI]]-Table001__Page_15[[#This Row],[YUVARLAMA]]</f>
        <v>0</v>
      </c>
    </row>
    <row r="949" spans="7:12" x14ac:dyDescent="0.25">
      <c r="G949">
        <f>Table001__Page_15[[#This Row],[FİYAT]]*Table001__Page_15[[#This Row],[MİKTAR]]</f>
        <v>0</v>
      </c>
      <c r="I949">
        <f>Table001__Page_15[[#This Row],[FİYAT]]*Table001__Page_15[[#This Row],[Sütun2]]</f>
        <v>0</v>
      </c>
      <c r="L949" s="50">
        <f>Table001__Page_15[[#This Row],[SATIŞ FİYATI]]-Table001__Page_15[[#This Row],[YUVARLAMA]]</f>
        <v>0</v>
      </c>
    </row>
    <row r="950" spans="7:12" x14ac:dyDescent="0.25">
      <c r="G950">
        <f>Table001__Page_15[[#This Row],[FİYAT]]*Table001__Page_15[[#This Row],[MİKTAR]]</f>
        <v>0</v>
      </c>
      <c r="I950">
        <f>Table001__Page_15[[#This Row],[FİYAT]]*Table001__Page_15[[#This Row],[Sütun2]]</f>
        <v>0</v>
      </c>
      <c r="L950" s="50">
        <f>Table001__Page_15[[#This Row],[SATIŞ FİYATI]]-Table001__Page_15[[#This Row],[YUVARLAMA]]</f>
        <v>0</v>
      </c>
    </row>
    <row r="951" spans="7:12" x14ac:dyDescent="0.25">
      <c r="G951">
        <f>Table001__Page_15[[#This Row],[FİYAT]]*Table001__Page_15[[#This Row],[MİKTAR]]</f>
        <v>0</v>
      </c>
      <c r="I951">
        <f>Table001__Page_15[[#This Row],[FİYAT]]*Table001__Page_15[[#This Row],[Sütun2]]</f>
        <v>0</v>
      </c>
      <c r="L951" s="50">
        <f>Table001__Page_15[[#This Row],[SATIŞ FİYATI]]-Table001__Page_15[[#This Row],[YUVARLAMA]]</f>
        <v>0</v>
      </c>
    </row>
    <row r="952" spans="7:12" x14ac:dyDescent="0.25">
      <c r="G952">
        <f>Table001__Page_15[[#This Row],[FİYAT]]*Table001__Page_15[[#This Row],[MİKTAR]]</f>
        <v>0</v>
      </c>
      <c r="I952">
        <f>Table001__Page_15[[#This Row],[FİYAT]]*Table001__Page_15[[#This Row],[Sütun2]]</f>
        <v>0</v>
      </c>
      <c r="L952" s="50">
        <f>Table001__Page_15[[#This Row],[SATIŞ FİYATI]]-Table001__Page_15[[#This Row],[YUVARLAMA]]</f>
        <v>0</v>
      </c>
    </row>
    <row r="953" spans="7:12" x14ac:dyDescent="0.25">
      <c r="G953">
        <f>Table001__Page_15[[#This Row],[FİYAT]]*Table001__Page_15[[#This Row],[MİKTAR]]</f>
        <v>0</v>
      </c>
      <c r="I953">
        <f>Table001__Page_15[[#This Row],[FİYAT]]*Table001__Page_15[[#This Row],[Sütun2]]</f>
        <v>0</v>
      </c>
      <c r="L953" s="50">
        <f>Table001__Page_15[[#This Row],[SATIŞ FİYATI]]-Table001__Page_15[[#This Row],[YUVARLAMA]]</f>
        <v>0</v>
      </c>
    </row>
    <row r="954" spans="7:12" x14ac:dyDescent="0.25">
      <c r="G954">
        <f>Table001__Page_15[[#This Row],[FİYAT]]*Table001__Page_15[[#This Row],[MİKTAR]]</f>
        <v>0</v>
      </c>
      <c r="I954">
        <f>Table001__Page_15[[#This Row],[FİYAT]]*Table001__Page_15[[#This Row],[Sütun2]]</f>
        <v>0</v>
      </c>
      <c r="L954" s="50">
        <f>Table001__Page_15[[#This Row],[SATIŞ FİYATI]]-Table001__Page_15[[#This Row],[YUVARLAMA]]</f>
        <v>0</v>
      </c>
    </row>
    <row r="955" spans="7:12" x14ac:dyDescent="0.25">
      <c r="G955">
        <f>Table001__Page_15[[#This Row],[FİYAT]]*Table001__Page_15[[#This Row],[MİKTAR]]</f>
        <v>0</v>
      </c>
      <c r="I955">
        <f>Table001__Page_15[[#This Row],[FİYAT]]*Table001__Page_15[[#This Row],[Sütun2]]</f>
        <v>0</v>
      </c>
      <c r="L955" s="50">
        <f>Table001__Page_15[[#This Row],[SATIŞ FİYATI]]-Table001__Page_15[[#This Row],[YUVARLAMA]]</f>
        <v>0</v>
      </c>
    </row>
    <row r="956" spans="7:12" x14ac:dyDescent="0.25">
      <c r="G956">
        <f>Table001__Page_15[[#This Row],[FİYAT]]*Table001__Page_15[[#This Row],[MİKTAR]]</f>
        <v>0</v>
      </c>
      <c r="I956">
        <f>Table001__Page_15[[#This Row],[FİYAT]]*Table001__Page_15[[#This Row],[Sütun2]]</f>
        <v>0</v>
      </c>
      <c r="L956" s="50">
        <f>Table001__Page_15[[#This Row],[SATIŞ FİYATI]]-Table001__Page_15[[#This Row],[YUVARLAMA]]</f>
        <v>0</v>
      </c>
    </row>
    <row r="957" spans="7:12" x14ac:dyDescent="0.25">
      <c r="G957">
        <f>Table001__Page_15[[#This Row],[FİYAT]]*Table001__Page_15[[#This Row],[MİKTAR]]</f>
        <v>0</v>
      </c>
      <c r="I957">
        <f>Table001__Page_15[[#This Row],[FİYAT]]*Table001__Page_15[[#This Row],[Sütun2]]</f>
        <v>0</v>
      </c>
      <c r="L957" s="50">
        <f>Table001__Page_15[[#This Row],[SATIŞ FİYATI]]-Table001__Page_15[[#This Row],[YUVARLAMA]]</f>
        <v>0</v>
      </c>
    </row>
    <row r="958" spans="7:12" x14ac:dyDescent="0.25">
      <c r="G958">
        <f>Table001__Page_15[[#This Row],[FİYAT]]*Table001__Page_15[[#This Row],[MİKTAR]]</f>
        <v>0</v>
      </c>
      <c r="I958">
        <f>Table001__Page_15[[#This Row],[FİYAT]]*Table001__Page_15[[#This Row],[Sütun2]]</f>
        <v>0</v>
      </c>
      <c r="L958" s="50">
        <f>Table001__Page_15[[#This Row],[SATIŞ FİYATI]]-Table001__Page_15[[#This Row],[YUVARLAMA]]</f>
        <v>0</v>
      </c>
    </row>
    <row r="959" spans="7:12" x14ac:dyDescent="0.25">
      <c r="G959">
        <f>Table001__Page_15[[#This Row],[FİYAT]]*Table001__Page_15[[#This Row],[MİKTAR]]</f>
        <v>0</v>
      </c>
      <c r="I959">
        <f>Table001__Page_15[[#This Row],[FİYAT]]*Table001__Page_15[[#This Row],[Sütun2]]</f>
        <v>0</v>
      </c>
      <c r="L959" s="50">
        <f>Table001__Page_15[[#This Row],[SATIŞ FİYATI]]-Table001__Page_15[[#This Row],[YUVARLAMA]]</f>
        <v>0</v>
      </c>
    </row>
    <row r="960" spans="7:12" x14ac:dyDescent="0.25">
      <c r="G960">
        <f>Table001__Page_15[[#This Row],[FİYAT]]*Table001__Page_15[[#This Row],[MİKTAR]]</f>
        <v>0</v>
      </c>
      <c r="I960">
        <f>Table001__Page_15[[#This Row],[FİYAT]]*Table001__Page_15[[#This Row],[Sütun2]]</f>
        <v>0</v>
      </c>
      <c r="L960" s="50">
        <f>Table001__Page_15[[#This Row],[SATIŞ FİYATI]]-Table001__Page_15[[#This Row],[YUVARLAMA]]</f>
        <v>0</v>
      </c>
    </row>
    <row r="961" spans="7:12" x14ac:dyDescent="0.25">
      <c r="G961">
        <f>Table001__Page_15[[#This Row],[FİYAT]]*Table001__Page_15[[#This Row],[MİKTAR]]</f>
        <v>0</v>
      </c>
      <c r="I961">
        <f>Table001__Page_15[[#This Row],[FİYAT]]*Table001__Page_15[[#This Row],[Sütun2]]</f>
        <v>0</v>
      </c>
      <c r="L961" s="50">
        <f>Table001__Page_15[[#This Row],[SATIŞ FİYATI]]-Table001__Page_15[[#This Row],[YUVARLAMA]]</f>
        <v>0</v>
      </c>
    </row>
    <row r="962" spans="7:12" x14ac:dyDescent="0.25">
      <c r="G962">
        <f>Table001__Page_15[[#This Row],[FİYAT]]*Table001__Page_15[[#This Row],[MİKTAR]]</f>
        <v>0</v>
      </c>
      <c r="I962">
        <f>Table001__Page_15[[#This Row],[FİYAT]]*Table001__Page_15[[#This Row],[Sütun2]]</f>
        <v>0</v>
      </c>
      <c r="L962" s="50">
        <f>Table001__Page_15[[#This Row],[SATIŞ FİYATI]]-Table001__Page_15[[#This Row],[YUVARLAMA]]</f>
        <v>0</v>
      </c>
    </row>
    <row r="963" spans="7:12" x14ac:dyDescent="0.25">
      <c r="G963">
        <f>Table001__Page_15[[#This Row],[FİYAT]]*Table001__Page_15[[#This Row],[MİKTAR]]</f>
        <v>0</v>
      </c>
      <c r="I963">
        <f>Table001__Page_15[[#This Row],[FİYAT]]*Table001__Page_15[[#This Row],[Sütun2]]</f>
        <v>0</v>
      </c>
      <c r="L963" s="50">
        <f>Table001__Page_15[[#This Row],[SATIŞ FİYATI]]-Table001__Page_15[[#This Row],[YUVARLAMA]]</f>
        <v>0</v>
      </c>
    </row>
    <row r="964" spans="7:12" x14ac:dyDescent="0.25">
      <c r="G964">
        <f>Table001__Page_15[[#This Row],[FİYAT]]*Table001__Page_15[[#This Row],[MİKTAR]]</f>
        <v>0</v>
      </c>
      <c r="I964">
        <f>Table001__Page_15[[#This Row],[FİYAT]]*Table001__Page_15[[#This Row],[Sütun2]]</f>
        <v>0</v>
      </c>
      <c r="L964" s="50">
        <f>Table001__Page_15[[#This Row],[SATIŞ FİYATI]]-Table001__Page_15[[#This Row],[YUVARLAMA]]</f>
        <v>0</v>
      </c>
    </row>
    <row r="965" spans="7:12" x14ac:dyDescent="0.25">
      <c r="G965">
        <f>Table001__Page_15[[#This Row],[FİYAT]]*Table001__Page_15[[#This Row],[MİKTAR]]</f>
        <v>0</v>
      </c>
      <c r="I965">
        <f>Table001__Page_15[[#This Row],[FİYAT]]*Table001__Page_15[[#This Row],[Sütun2]]</f>
        <v>0</v>
      </c>
      <c r="L965" s="50">
        <f>Table001__Page_15[[#This Row],[SATIŞ FİYATI]]-Table001__Page_15[[#This Row],[YUVARLAMA]]</f>
        <v>0</v>
      </c>
    </row>
    <row r="966" spans="7:12" x14ac:dyDescent="0.25">
      <c r="G966">
        <f>Table001__Page_15[[#This Row],[FİYAT]]*Table001__Page_15[[#This Row],[MİKTAR]]</f>
        <v>0</v>
      </c>
      <c r="I966">
        <f>Table001__Page_15[[#This Row],[FİYAT]]*Table001__Page_15[[#This Row],[Sütun2]]</f>
        <v>0</v>
      </c>
      <c r="L966" s="50">
        <f>Table001__Page_15[[#This Row],[SATIŞ FİYATI]]-Table001__Page_15[[#This Row],[YUVARLAMA]]</f>
        <v>0</v>
      </c>
    </row>
    <row r="967" spans="7:12" x14ac:dyDescent="0.25">
      <c r="G967">
        <f>Table001__Page_15[[#This Row],[FİYAT]]*Table001__Page_15[[#This Row],[MİKTAR]]</f>
        <v>0</v>
      </c>
      <c r="I967">
        <f>Table001__Page_15[[#This Row],[FİYAT]]*Table001__Page_15[[#This Row],[Sütun2]]</f>
        <v>0</v>
      </c>
      <c r="L967" s="50">
        <f>Table001__Page_15[[#This Row],[SATIŞ FİYATI]]-Table001__Page_15[[#This Row],[YUVARLAMA]]</f>
        <v>0</v>
      </c>
    </row>
    <row r="968" spans="7:12" x14ac:dyDescent="0.25">
      <c r="G968">
        <f>Table001__Page_15[[#This Row],[FİYAT]]*Table001__Page_15[[#This Row],[MİKTAR]]</f>
        <v>0</v>
      </c>
      <c r="I968">
        <f>Table001__Page_15[[#This Row],[FİYAT]]*Table001__Page_15[[#This Row],[Sütun2]]</f>
        <v>0</v>
      </c>
      <c r="L968" s="50">
        <f>Table001__Page_15[[#This Row],[SATIŞ FİYATI]]-Table001__Page_15[[#This Row],[YUVARLAMA]]</f>
        <v>0</v>
      </c>
    </row>
    <row r="969" spans="7:12" x14ac:dyDescent="0.25">
      <c r="G969">
        <f>Table001__Page_15[[#This Row],[FİYAT]]*Table001__Page_15[[#This Row],[MİKTAR]]</f>
        <v>0</v>
      </c>
      <c r="I969">
        <f>Table001__Page_15[[#This Row],[FİYAT]]*Table001__Page_15[[#This Row],[Sütun2]]</f>
        <v>0</v>
      </c>
      <c r="L969" s="50">
        <f>Table001__Page_15[[#This Row],[SATIŞ FİYATI]]-Table001__Page_15[[#This Row],[YUVARLAMA]]</f>
        <v>0</v>
      </c>
    </row>
    <row r="970" spans="7:12" x14ac:dyDescent="0.25">
      <c r="G970">
        <f>Table001__Page_15[[#This Row],[FİYAT]]*Table001__Page_15[[#This Row],[MİKTAR]]</f>
        <v>0</v>
      </c>
      <c r="I970">
        <f>Table001__Page_15[[#This Row],[FİYAT]]*Table001__Page_15[[#This Row],[Sütun2]]</f>
        <v>0</v>
      </c>
      <c r="L970" s="50">
        <f>Table001__Page_15[[#This Row],[SATIŞ FİYATI]]-Table001__Page_15[[#This Row],[YUVARLAMA]]</f>
        <v>0</v>
      </c>
    </row>
    <row r="971" spans="7:12" x14ac:dyDescent="0.25">
      <c r="G971">
        <f>Table001__Page_15[[#This Row],[FİYAT]]*Table001__Page_15[[#This Row],[MİKTAR]]</f>
        <v>0</v>
      </c>
      <c r="I971">
        <f>Table001__Page_15[[#This Row],[FİYAT]]*Table001__Page_15[[#This Row],[Sütun2]]</f>
        <v>0</v>
      </c>
      <c r="L971" s="50">
        <f>Table001__Page_15[[#This Row],[SATIŞ FİYATI]]-Table001__Page_15[[#This Row],[YUVARLAMA]]</f>
        <v>0</v>
      </c>
    </row>
    <row r="972" spans="7:12" x14ac:dyDescent="0.25">
      <c r="G972">
        <f>Table001__Page_15[[#This Row],[FİYAT]]*Table001__Page_15[[#This Row],[MİKTAR]]</f>
        <v>0</v>
      </c>
      <c r="I972">
        <f>Table001__Page_15[[#This Row],[FİYAT]]*Table001__Page_15[[#This Row],[Sütun2]]</f>
        <v>0</v>
      </c>
      <c r="L972" s="50">
        <f>Table001__Page_15[[#This Row],[SATIŞ FİYATI]]-Table001__Page_15[[#This Row],[YUVARLAMA]]</f>
        <v>0</v>
      </c>
    </row>
    <row r="973" spans="7:12" x14ac:dyDescent="0.25">
      <c r="G973">
        <f>Table001__Page_15[[#This Row],[FİYAT]]*Table001__Page_15[[#This Row],[MİKTAR]]</f>
        <v>0</v>
      </c>
      <c r="I973">
        <f>Table001__Page_15[[#This Row],[FİYAT]]*Table001__Page_15[[#This Row],[Sütun2]]</f>
        <v>0</v>
      </c>
      <c r="L973" s="50">
        <f>Table001__Page_15[[#This Row],[SATIŞ FİYATI]]-Table001__Page_15[[#This Row],[YUVARLAMA]]</f>
        <v>0</v>
      </c>
    </row>
    <row r="974" spans="7:12" x14ac:dyDescent="0.25">
      <c r="G974">
        <f>Table001__Page_15[[#This Row],[FİYAT]]*Table001__Page_15[[#This Row],[MİKTAR]]</f>
        <v>0</v>
      </c>
      <c r="I974">
        <f>Table001__Page_15[[#This Row],[FİYAT]]*Table001__Page_15[[#This Row],[Sütun2]]</f>
        <v>0</v>
      </c>
      <c r="L974" s="50">
        <f>Table001__Page_15[[#This Row],[SATIŞ FİYATI]]-Table001__Page_15[[#This Row],[YUVARLAMA]]</f>
        <v>0</v>
      </c>
    </row>
    <row r="975" spans="7:12" x14ac:dyDescent="0.25">
      <c r="G975">
        <f>Table001__Page_15[[#This Row],[FİYAT]]*Table001__Page_15[[#This Row],[MİKTAR]]</f>
        <v>0</v>
      </c>
      <c r="I975">
        <f>Table001__Page_15[[#This Row],[FİYAT]]*Table001__Page_15[[#This Row],[Sütun2]]</f>
        <v>0</v>
      </c>
      <c r="L975" s="50">
        <f>Table001__Page_15[[#This Row],[SATIŞ FİYATI]]-Table001__Page_15[[#This Row],[YUVARLAMA]]</f>
        <v>0</v>
      </c>
    </row>
    <row r="976" spans="7:12" x14ac:dyDescent="0.25">
      <c r="G976">
        <f>Table001__Page_15[[#This Row],[FİYAT]]*Table001__Page_15[[#This Row],[MİKTAR]]</f>
        <v>0</v>
      </c>
      <c r="I976">
        <f>Table001__Page_15[[#This Row],[FİYAT]]*Table001__Page_15[[#This Row],[Sütun2]]</f>
        <v>0</v>
      </c>
      <c r="L976" s="50">
        <f>Table001__Page_15[[#This Row],[SATIŞ FİYATI]]-Table001__Page_15[[#This Row],[YUVARLAMA]]</f>
        <v>0</v>
      </c>
    </row>
    <row r="977" spans="7:12" x14ac:dyDescent="0.25">
      <c r="G977">
        <f>Table001__Page_15[[#This Row],[FİYAT]]*Table001__Page_15[[#This Row],[MİKTAR]]</f>
        <v>0</v>
      </c>
      <c r="I977">
        <f>Table001__Page_15[[#This Row],[FİYAT]]*Table001__Page_15[[#This Row],[Sütun2]]</f>
        <v>0</v>
      </c>
      <c r="L977" s="50">
        <f>Table001__Page_15[[#This Row],[SATIŞ FİYATI]]-Table001__Page_15[[#This Row],[YUVARLAMA]]</f>
        <v>0</v>
      </c>
    </row>
    <row r="978" spans="7:12" x14ac:dyDescent="0.25">
      <c r="G978">
        <f>Table001__Page_15[[#This Row],[FİYAT]]*Table001__Page_15[[#This Row],[MİKTAR]]</f>
        <v>0</v>
      </c>
      <c r="I978">
        <f>Table001__Page_15[[#This Row],[FİYAT]]*Table001__Page_15[[#This Row],[Sütun2]]</f>
        <v>0</v>
      </c>
      <c r="L978" s="50">
        <f>Table001__Page_15[[#This Row],[SATIŞ FİYATI]]-Table001__Page_15[[#This Row],[YUVARLAMA]]</f>
        <v>0</v>
      </c>
    </row>
    <row r="979" spans="7:12" x14ac:dyDescent="0.25">
      <c r="G979">
        <f>Table001__Page_15[[#This Row],[FİYAT]]*Table001__Page_15[[#This Row],[MİKTAR]]</f>
        <v>0</v>
      </c>
      <c r="I979">
        <f>Table001__Page_15[[#This Row],[FİYAT]]*Table001__Page_15[[#This Row],[Sütun2]]</f>
        <v>0</v>
      </c>
      <c r="L979" s="50">
        <f>Table001__Page_15[[#This Row],[SATIŞ FİYATI]]-Table001__Page_15[[#This Row],[YUVARLAMA]]</f>
        <v>0</v>
      </c>
    </row>
    <row r="980" spans="7:12" x14ac:dyDescent="0.25">
      <c r="G980">
        <f>Table001__Page_15[[#This Row],[FİYAT]]*Table001__Page_15[[#This Row],[MİKTAR]]</f>
        <v>0</v>
      </c>
      <c r="I980">
        <f>Table001__Page_15[[#This Row],[FİYAT]]*Table001__Page_15[[#This Row],[Sütun2]]</f>
        <v>0</v>
      </c>
      <c r="L980" s="50">
        <f>Table001__Page_15[[#This Row],[SATIŞ FİYATI]]-Table001__Page_15[[#This Row],[YUVARLAMA]]</f>
        <v>0</v>
      </c>
    </row>
    <row r="981" spans="7:12" x14ac:dyDescent="0.25">
      <c r="G981">
        <f>Table001__Page_15[[#This Row],[FİYAT]]*Table001__Page_15[[#This Row],[MİKTAR]]</f>
        <v>0</v>
      </c>
      <c r="I981">
        <f>Table001__Page_15[[#This Row],[FİYAT]]*Table001__Page_15[[#This Row],[Sütun2]]</f>
        <v>0</v>
      </c>
      <c r="L981" s="50">
        <f>Table001__Page_15[[#This Row],[SATIŞ FİYATI]]-Table001__Page_15[[#This Row],[YUVARLAMA]]</f>
        <v>0</v>
      </c>
    </row>
    <row r="982" spans="7:12" x14ac:dyDescent="0.25">
      <c r="G982">
        <f>Table001__Page_15[[#This Row],[FİYAT]]*Table001__Page_15[[#This Row],[MİKTAR]]</f>
        <v>0</v>
      </c>
      <c r="I982">
        <f>Table001__Page_15[[#This Row],[FİYAT]]*Table001__Page_15[[#This Row],[Sütun2]]</f>
        <v>0</v>
      </c>
      <c r="L982" s="50">
        <f>Table001__Page_15[[#This Row],[SATIŞ FİYATI]]-Table001__Page_15[[#This Row],[YUVARLAMA]]</f>
        <v>0</v>
      </c>
    </row>
    <row r="983" spans="7:12" x14ac:dyDescent="0.25">
      <c r="G983">
        <f>Table001__Page_15[[#This Row],[FİYAT]]*Table001__Page_15[[#This Row],[MİKTAR]]</f>
        <v>0</v>
      </c>
      <c r="I983">
        <f>Table001__Page_15[[#This Row],[FİYAT]]*Table001__Page_15[[#This Row],[Sütun2]]</f>
        <v>0</v>
      </c>
      <c r="L983" s="50">
        <f>Table001__Page_15[[#This Row],[SATIŞ FİYATI]]-Table001__Page_15[[#This Row],[YUVARLAMA]]</f>
        <v>0</v>
      </c>
    </row>
    <row r="984" spans="7:12" x14ac:dyDescent="0.25">
      <c r="G984">
        <f>Table001__Page_15[[#This Row],[FİYAT]]*Table001__Page_15[[#This Row],[MİKTAR]]</f>
        <v>0</v>
      </c>
      <c r="I984">
        <f>Table001__Page_15[[#This Row],[FİYAT]]*Table001__Page_15[[#This Row],[Sütun2]]</f>
        <v>0</v>
      </c>
      <c r="L984" s="50">
        <f>Table001__Page_15[[#This Row],[SATIŞ FİYATI]]-Table001__Page_15[[#This Row],[YUVARLAMA]]</f>
        <v>0</v>
      </c>
    </row>
    <row r="985" spans="7:12" x14ac:dyDescent="0.25">
      <c r="G985">
        <f>Table001__Page_15[[#This Row],[FİYAT]]*Table001__Page_15[[#This Row],[MİKTAR]]</f>
        <v>0</v>
      </c>
      <c r="I985">
        <f>Table001__Page_15[[#This Row],[FİYAT]]*Table001__Page_15[[#This Row],[Sütun2]]</f>
        <v>0</v>
      </c>
      <c r="L985" s="50">
        <f>Table001__Page_15[[#This Row],[SATIŞ FİYATI]]-Table001__Page_15[[#This Row],[YUVARLAMA]]</f>
        <v>0</v>
      </c>
    </row>
    <row r="986" spans="7:12" x14ac:dyDescent="0.25">
      <c r="G986">
        <f>Table001__Page_15[[#This Row],[FİYAT]]*Table001__Page_15[[#This Row],[MİKTAR]]</f>
        <v>0</v>
      </c>
      <c r="I986">
        <f>Table001__Page_15[[#This Row],[FİYAT]]*Table001__Page_15[[#This Row],[Sütun2]]</f>
        <v>0</v>
      </c>
      <c r="L986" s="50">
        <f>Table001__Page_15[[#This Row],[SATIŞ FİYATI]]-Table001__Page_15[[#This Row],[YUVARLAMA]]</f>
        <v>0</v>
      </c>
    </row>
    <row r="987" spans="7:12" x14ac:dyDescent="0.25">
      <c r="G987">
        <f>Table001__Page_15[[#This Row],[FİYAT]]*Table001__Page_15[[#This Row],[MİKTAR]]</f>
        <v>0</v>
      </c>
      <c r="I987">
        <f>Table001__Page_15[[#This Row],[FİYAT]]*Table001__Page_15[[#This Row],[Sütun2]]</f>
        <v>0</v>
      </c>
      <c r="L987" s="50">
        <f>Table001__Page_15[[#This Row],[SATIŞ FİYATI]]-Table001__Page_15[[#This Row],[YUVARLAMA]]</f>
        <v>0</v>
      </c>
    </row>
    <row r="988" spans="7:12" x14ac:dyDescent="0.25">
      <c r="G988">
        <f>Table001__Page_15[[#This Row],[FİYAT]]*Table001__Page_15[[#This Row],[MİKTAR]]</f>
        <v>0</v>
      </c>
      <c r="I988">
        <f>Table001__Page_15[[#This Row],[FİYAT]]*Table001__Page_15[[#This Row],[Sütun2]]</f>
        <v>0</v>
      </c>
      <c r="L988" s="50">
        <f>Table001__Page_15[[#This Row],[SATIŞ FİYATI]]-Table001__Page_15[[#This Row],[YUVARLAMA]]</f>
        <v>0</v>
      </c>
    </row>
    <row r="989" spans="7:12" x14ac:dyDescent="0.25">
      <c r="G989">
        <f>Table001__Page_15[[#This Row],[FİYAT]]*Table001__Page_15[[#This Row],[MİKTAR]]</f>
        <v>0</v>
      </c>
      <c r="I989">
        <f>Table001__Page_15[[#This Row],[FİYAT]]*Table001__Page_15[[#This Row],[Sütun2]]</f>
        <v>0</v>
      </c>
      <c r="L989" s="50">
        <f>Table001__Page_15[[#This Row],[SATIŞ FİYATI]]-Table001__Page_15[[#This Row],[YUVARLAMA]]</f>
        <v>0</v>
      </c>
    </row>
    <row r="990" spans="7:12" x14ac:dyDescent="0.25">
      <c r="G990">
        <f>Table001__Page_15[[#This Row],[FİYAT]]*Table001__Page_15[[#This Row],[MİKTAR]]</f>
        <v>0</v>
      </c>
      <c r="I990">
        <f>Table001__Page_15[[#This Row],[FİYAT]]*Table001__Page_15[[#This Row],[Sütun2]]</f>
        <v>0</v>
      </c>
      <c r="L990" s="50">
        <f>Table001__Page_15[[#This Row],[SATIŞ FİYATI]]-Table001__Page_15[[#This Row],[YUVARLAMA]]</f>
        <v>0</v>
      </c>
    </row>
    <row r="991" spans="7:12" x14ac:dyDescent="0.25">
      <c r="G991">
        <f>Table001__Page_15[[#This Row],[FİYAT]]*Table001__Page_15[[#This Row],[MİKTAR]]</f>
        <v>0</v>
      </c>
      <c r="I991">
        <f>Table001__Page_15[[#This Row],[FİYAT]]*Table001__Page_15[[#This Row],[Sütun2]]</f>
        <v>0</v>
      </c>
      <c r="L991" s="50">
        <f>Table001__Page_15[[#This Row],[SATIŞ FİYATI]]-Table001__Page_15[[#This Row],[YUVARLAMA]]</f>
        <v>0</v>
      </c>
    </row>
    <row r="992" spans="7:12" x14ac:dyDescent="0.25">
      <c r="G992">
        <f>Table001__Page_15[[#This Row],[FİYAT]]*Table001__Page_15[[#This Row],[MİKTAR]]</f>
        <v>0</v>
      </c>
      <c r="I992">
        <f>Table001__Page_15[[#This Row],[FİYAT]]*Table001__Page_15[[#This Row],[Sütun2]]</f>
        <v>0</v>
      </c>
      <c r="L992" s="50">
        <f>Table001__Page_15[[#This Row],[SATIŞ FİYATI]]-Table001__Page_15[[#This Row],[YUVARLAMA]]</f>
        <v>0</v>
      </c>
    </row>
    <row r="993" spans="7:12" x14ac:dyDescent="0.25">
      <c r="G993">
        <f>Table001__Page_15[[#This Row],[FİYAT]]*Table001__Page_15[[#This Row],[MİKTAR]]</f>
        <v>0</v>
      </c>
      <c r="I993">
        <f>Table001__Page_15[[#This Row],[FİYAT]]*Table001__Page_15[[#This Row],[Sütun2]]</f>
        <v>0</v>
      </c>
      <c r="L993" s="50">
        <f>Table001__Page_15[[#This Row],[SATIŞ FİYATI]]-Table001__Page_15[[#This Row],[YUVARLAMA]]</f>
        <v>0</v>
      </c>
    </row>
    <row r="994" spans="7:12" x14ac:dyDescent="0.25">
      <c r="G994">
        <f>Table001__Page_15[[#This Row],[FİYAT]]*Table001__Page_15[[#This Row],[MİKTAR]]</f>
        <v>0</v>
      </c>
      <c r="I994">
        <f>Table001__Page_15[[#This Row],[FİYAT]]*Table001__Page_15[[#This Row],[Sütun2]]</f>
        <v>0</v>
      </c>
      <c r="L994" s="50">
        <f>Table001__Page_15[[#This Row],[SATIŞ FİYATI]]-Table001__Page_15[[#This Row],[YUVARLAMA]]</f>
        <v>0</v>
      </c>
    </row>
    <row r="995" spans="7:12" x14ac:dyDescent="0.25">
      <c r="G995">
        <f>Table001__Page_15[[#This Row],[FİYAT]]*Table001__Page_15[[#This Row],[MİKTAR]]</f>
        <v>0</v>
      </c>
      <c r="I995">
        <f>Table001__Page_15[[#This Row],[FİYAT]]*Table001__Page_15[[#This Row],[Sütun2]]</f>
        <v>0</v>
      </c>
      <c r="L995" s="50">
        <f>Table001__Page_15[[#This Row],[SATIŞ FİYATI]]-Table001__Page_15[[#This Row],[YUVARLAMA]]</f>
        <v>0</v>
      </c>
    </row>
    <row r="996" spans="7:12" x14ac:dyDescent="0.25">
      <c r="G996">
        <f>Table001__Page_15[[#This Row],[FİYAT]]*Table001__Page_15[[#This Row],[MİKTAR]]</f>
        <v>0</v>
      </c>
      <c r="I996">
        <f>Table001__Page_15[[#This Row],[FİYAT]]*Table001__Page_15[[#This Row],[Sütun2]]</f>
        <v>0</v>
      </c>
      <c r="L996" s="50">
        <f>Table001__Page_15[[#This Row],[SATIŞ FİYATI]]-Table001__Page_15[[#This Row],[YUVARLAMA]]</f>
        <v>0</v>
      </c>
    </row>
    <row r="997" spans="7:12" x14ac:dyDescent="0.25">
      <c r="G997">
        <f>Table001__Page_15[[#This Row],[FİYAT]]*Table001__Page_15[[#This Row],[MİKTAR]]</f>
        <v>0</v>
      </c>
      <c r="I997">
        <f>Table001__Page_15[[#This Row],[FİYAT]]*Table001__Page_15[[#This Row],[Sütun2]]</f>
        <v>0</v>
      </c>
      <c r="L997" s="50">
        <f>Table001__Page_15[[#This Row],[SATIŞ FİYATI]]-Table001__Page_15[[#This Row],[YUVARLAMA]]</f>
        <v>0</v>
      </c>
    </row>
    <row r="998" spans="7:12" x14ac:dyDescent="0.25">
      <c r="G998">
        <f>Table001__Page_15[[#This Row],[FİYAT]]*Table001__Page_15[[#This Row],[MİKTAR]]</f>
        <v>0</v>
      </c>
      <c r="I998">
        <f>Table001__Page_15[[#This Row],[FİYAT]]*Table001__Page_15[[#This Row],[Sütun2]]</f>
        <v>0</v>
      </c>
      <c r="L998" s="50">
        <f>Table001__Page_15[[#This Row],[SATIŞ FİYATI]]-Table001__Page_15[[#This Row],[YUVARLAMA]]</f>
        <v>0</v>
      </c>
    </row>
    <row r="999" spans="7:12" x14ac:dyDescent="0.25">
      <c r="G999">
        <f>Table001__Page_15[[#This Row],[FİYAT]]*Table001__Page_15[[#This Row],[MİKTAR]]</f>
        <v>0</v>
      </c>
      <c r="I999">
        <f>Table001__Page_15[[#This Row],[FİYAT]]*Table001__Page_15[[#This Row],[Sütun2]]</f>
        <v>0</v>
      </c>
      <c r="L999" s="50">
        <f>Table001__Page_15[[#This Row],[SATIŞ FİYATI]]-Table001__Page_15[[#This Row],[YUVARLAMA]]</f>
        <v>0</v>
      </c>
    </row>
    <row r="1000" spans="7:12" x14ac:dyDescent="0.25">
      <c r="G1000">
        <f>Table001__Page_15[[#This Row],[FİYAT]]*Table001__Page_15[[#This Row],[MİKTAR]]</f>
        <v>0</v>
      </c>
      <c r="I1000">
        <f>Table001__Page_15[[#This Row],[FİYAT]]*Table001__Page_15[[#This Row],[Sütun2]]</f>
        <v>0</v>
      </c>
      <c r="L1000" s="50">
        <f>Table001__Page_15[[#This Row],[SATIŞ FİYATI]]-Table001__Page_15[[#This Row],[YUVARLAMA]]</f>
        <v>0</v>
      </c>
    </row>
    <row r="1001" spans="7:12" x14ac:dyDescent="0.25">
      <c r="G1001">
        <f>Table001__Page_15[[#This Row],[FİYAT]]*Table001__Page_15[[#This Row],[MİKTAR]]</f>
        <v>0</v>
      </c>
      <c r="I1001">
        <f>Table001__Page_15[[#This Row],[FİYAT]]*Table001__Page_15[[#This Row],[Sütun2]]</f>
        <v>0</v>
      </c>
      <c r="L1001" s="50">
        <f>Table001__Page_15[[#This Row],[SATIŞ FİYATI]]-Table001__Page_15[[#This Row],[YUVARLAMA]]</f>
        <v>0</v>
      </c>
    </row>
    <row r="1002" spans="7:12" x14ac:dyDescent="0.25">
      <c r="G1002">
        <f>Table001__Page_15[[#This Row],[FİYAT]]*Table001__Page_15[[#This Row],[MİKTAR]]</f>
        <v>0</v>
      </c>
      <c r="I1002">
        <f>Table001__Page_15[[#This Row],[FİYAT]]*Table001__Page_15[[#This Row],[Sütun2]]</f>
        <v>0</v>
      </c>
      <c r="L1002" s="50">
        <f>Table001__Page_15[[#This Row],[SATIŞ FİYATI]]-Table001__Page_15[[#This Row],[YUVARLAMA]]</f>
        <v>0</v>
      </c>
    </row>
    <row r="1003" spans="7:12" x14ac:dyDescent="0.25">
      <c r="G1003">
        <f>Table001__Page_15[[#This Row],[FİYAT]]*Table001__Page_15[[#This Row],[MİKTAR]]</f>
        <v>0</v>
      </c>
      <c r="I1003">
        <f>Table001__Page_15[[#This Row],[FİYAT]]*Table001__Page_15[[#This Row],[Sütun2]]</f>
        <v>0</v>
      </c>
      <c r="L1003" s="50">
        <f>Table001__Page_15[[#This Row],[SATIŞ FİYATI]]-Table001__Page_15[[#This Row],[YUVARLAMA]]</f>
        <v>0</v>
      </c>
    </row>
    <row r="1004" spans="7:12" x14ac:dyDescent="0.25">
      <c r="G1004">
        <f>Table001__Page_15[[#This Row],[FİYAT]]*Table001__Page_15[[#This Row],[MİKTAR]]</f>
        <v>0</v>
      </c>
      <c r="I1004">
        <f>Table001__Page_15[[#This Row],[FİYAT]]*Table001__Page_15[[#This Row],[Sütun2]]</f>
        <v>0</v>
      </c>
      <c r="L1004" s="50">
        <f>Table001__Page_15[[#This Row],[SATIŞ FİYATI]]-Table001__Page_15[[#This Row],[YUVARLAMA]]</f>
        <v>0</v>
      </c>
    </row>
    <row r="1005" spans="7:12" x14ac:dyDescent="0.25">
      <c r="G1005">
        <f>Table001__Page_15[[#This Row],[FİYAT]]*Table001__Page_15[[#This Row],[MİKTAR]]</f>
        <v>0</v>
      </c>
      <c r="I1005">
        <f>Table001__Page_15[[#This Row],[FİYAT]]*Table001__Page_15[[#This Row],[Sütun2]]</f>
        <v>0</v>
      </c>
      <c r="L1005" s="50">
        <f>Table001__Page_15[[#This Row],[SATIŞ FİYATI]]-Table001__Page_15[[#This Row],[YUVARLAMA]]</f>
        <v>0</v>
      </c>
    </row>
    <row r="1006" spans="7:12" x14ac:dyDescent="0.25">
      <c r="G1006">
        <f>Table001__Page_15[[#This Row],[FİYAT]]*Table001__Page_15[[#This Row],[MİKTAR]]</f>
        <v>0</v>
      </c>
      <c r="I1006">
        <f>Table001__Page_15[[#This Row],[FİYAT]]*Table001__Page_15[[#This Row],[Sütun2]]</f>
        <v>0</v>
      </c>
      <c r="L1006" s="50">
        <f>Table001__Page_15[[#This Row],[SATIŞ FİYATI]]-Table001__Page_15[[#This Row],[YUVARLAMA]]</f>
        <v>0</v>
      </c>
    </row>
    <row r="1007" spans="7:12" x14ac:dyDescent="0.25">
      <c r="G1007">
        <f>Table001__Page_15[[#This Row],[FİYAT]]*Table001__Page_15[[#This Row],[MİKTAR]]</f>
        <v>0</v>
      </c>
      <c r="I1007">
        <f>Table001__Page_15[[#This Row],[FİYAT]]*Table001__Page_15[[#This Row],[Sütun2]]</f>
        <v>0</v>
      </c>
      <c r="L1007" s="50">
        <f>Table001__Page_15[[#This Row],[SATIŞ FİYATI]]-Table001__Page_15[[#This Row],[YUVARLAMA]]</f>
        <v>0</v>
      </c>
    </row>
    <row r="1008" spans="7:12" x14ac:dyDescent="0.25">
      <c r="G1008">
        <f>Table001__Page_15[[#This Row],[FİYAT]]*Table001__Page_15[[#This Row],[MİKTAR]]</f>
        <v>0</v>
      </c>
      <c r="I1008">
        <f>Table001__Page_15[[#This Row],[FİYAT]]*Table001__Page_15[[#This Row],[Sütun2]]</f>
        <v>0</v>
      </c>
      <c r="L1008" s="50">
        <f>Table001__Page_15[[#This Row],[SATIŞ FİYATI]]-Table001__Page_15[[#This Row],[YUVARLAMA]]</f>
        <v>0</v>
      </c>
    </row>
    <row r="1009" spans="7:12" x14ac:dyDescent="0.25">
      <c r="G1009">
        <f>Table001__Page_15[[#This Row],[FİYAT]]*Table001__Page_15[[#This Row],[MİKTAR]]</f>
        <v>0</v>
      </c>
      <c r="I1009">
        <f>Table001__Page_15[[#This Row],[FİYAT]]*Table001__Page_15[[#This Row],[Sütun2]]</f>
        <v>0</v>
      </c>
      <c r="L1009" s="50">
        <f>Table001__Page_15[[#This Row],[SATIŞ FİYATI]]-Table001__Page_15[[#This Row],[YUVARLAMA]]</f>
        <v>0</v>
      </c>
    </row>
    <row r="1010" spans="7:12" x14ac:dyDescent="0.25">
      <c r="G1010">
        <f>Table001__Page_15[[#This Row],[FİYAT]]*Table001__Page_15[[#This Row],[MİKTAR]]</f>
        <v>0</v>
      </c>
      <c r="I1010">
        <f>Table001__Page_15[[#This Row],[FİYAT]]*Table001__Page_15[[#This Row],[Sütun2]]</f>
        <v>0</v>
      </c>
      <c r="L1010" s="50">
        <f>Table001__Page_15[[#This Row],[SATIŞ FİYATI]]-Table001__Page_15[[#This Row],[YUVARLAMA]]</f>
        <v>0</v>
      </c>
    </row>
    <row r="1011" spans="7:12" x14ac:dyDescent="0.25">
      <c r="G1011">
        <f>Table001__Page_15[[#This Row],[FİYAT]]*Table001__Page_15[[#This Row],[MİKTAR]]</f>
        <v>0</v>
      </c>
      <c r="I1011">
        <f>Table001__Page_15[[#This Row],[FİYAT]]*Table001__Page_15[[#This Row],[Sütun2]]</f>
        <v>0</v>
      </c>
      <c r="L1011" s="50">
        <f>Table001__Page_15[[#This Row],[SATIŞ FİYATI]]-Table001__Page_15[[#This Row],[YUVARLAMA]]</f>
        <v>0</v>
      </c>
    </row>
    <row r="1012" spans="7:12" x14ac:dyDescent="0.25">
      <c r="G1012">
        <f>Table001__Page_15[[#This Row],[FİYAT]]*Table001__Page_15[[#This Row],[MİKTAR]]</f>
        <v>0</v>
      </c>
      <c r="I1012">
        <f>Table001__Page_15[[#This Row],[FİYAT]]*Table001__Page_15[[#This Row],[Sütun2]]</f>
        <v>0</v>
      </c>
      <c r="L1012" s="50">
        <f>Table001__Page_15[[#This Row],[SATIŞ FİYATI]]-Table001__Page_15[[#This Row],[YUVARLAMA]]</f>
        <v>0</v>
      </c>
    </row>
    <row r="1013" spans="7:12" x14ac:dyDescent="0.25">
      <c r="G1013">
        <f>Table001__Page_15[[#This Row],[FİYAT]]*Table001__Page_15[[#This Row],[MİKTAR]]</f>
        <v>0</v>
      </c>
      <c r="I1013">
        <f>Table001__Page_15[[#This Row],[FİYAT]]*Table001__Page_15[[#This Row],[Sütun2]]</f>
        <v>0</v>
      </c>
      <c r="L1013" s="50">
        <f>Table001__Page_15[[#This Row],[SATIŞ FİYATI]]-Table001__Page_15[[#This Row],[YUVARLAMA]]</f>
        <v>0</v>
      </c>
    </row>
    <row r="1014" spans="7:12" x14ac:dyDescent="0.25">
      <c r="G1014">
        <f>Table001__Page_15[[#This Row],[FİYAT]]*Table001__Page_15[[#This Row],[MİKTAR]]</f>
        <v>0</v>
      </c>
      <c r="I1014">
        <f>Table001__Page_15[[#This Row],[FİYAT]]*Table001__Page_15[[#This Row],[Sütun2]]</f>
        <v>0</v>
      </c>
      <c r="L1014" s="50">
        <f>Table001__Page_15[[#This Row],[SATIŞ FİYATI]]-Table001__Page_15[[#This Row],[YUVARLAMA]]</f>
        <v>0</v>
      </c>
    </row>
    <row r="1015" spans="7:12" x14ac:dyDescent="0.25">
      <c r="G1015">
        <f>Table001__Page_15[[#This Row],[FİYAT]]*Table001__Page_15[[#This Row],[MİKTAR]]</f>
        <v>0</v>
      </c>
      <c r="I1015">
        <f>Table001__Page_15[[#This Row],[FİYAT]]*Table001__Page_15[[#This Row],[Sütun2]]</f>
        <v>0</v>
      </c>
      <c r="L1015" s="50">
        <f>Table001__Page_15[[#This Row],[SATIŞ FİYATI]]-Table001__Page_15[[#This Row],[YUVARLAMA]]</f>
        <v>0</v>
      </c>
    </row>
    <row r="1016" spans="7:12" x14ac:dyDescent="0.25">
      <c r="G1016">
        <f>Table001__Page_15[[#This Row],[FİYAT]]*Table001__Page_15[[#This Row],[MİKTAR]]</f>
        <v>0</v>
      </c>
      <c r="I1016">
        <f>Table001__Page_15[[#This Row],[FİYAT]]*Table001__Page_15[[#This Row],[Sütun2]]</f>
        <v>0</v>
      </c>
      <c r="L1016" s="50">
        <f>Table001__Page_15[[#This Row],[SATIŞ FİYATI]]-Table001__Page_15[[#This Row],[YUVARLAMA]]</f>
        <v>0</v>
      </c>
    </row>
    <row r="1017" spans="7:12" x14ac:dyDescent="0.25">
      <c r="G1017">
        <f>Table001__Page_15[[#This Row],[FİYAT]]*Table001__Page_15[[#This Row],[MİKTAR]]</f>
        <v>0</v>
      </c>
      <c r="I1017">
        <f>Table001__Page_15[[#This Row],[FİYAT]]*Table001__Page_15[[#This Row],[Sütun2]]</f>
        <v>0</v>
      </c>
      <c r="L1017" s="50">
        <f>Table001__Page_15[[#This Row],[SATIŞ FİYATI]]-Table001__Page_15[[#This Row],[YUVARLAMA]]</f>
        <v>0</v>
      </c>
    </row>
    <row r="1018" spans="7:12" x14ac:dyDescent="0.25">
      <c r="G1018">
        <f>Table001__Page_15[[#This Row],[FİYAT]]*Table001__Page_15[[#This Row],[MİKTAR]]</f>
        <v>0</v>
      </c>
      <c r="I1018">
        <f>Table001__Page_15[[#This Row],[FİYAT]]*Table001__Page_15[[#This Row],[Sütun2]]</f>
        <v>0</v>
      </c>
      <c r="L1018" s="50">
        <f>Table001__Page_15[[#This Row],[SATIŞ FİYATI]]-Table001__Page_15[[#This Row],[YUVARLAMA]]</f>
        <v>0</v>
      </c>
    </row>
    <row r="1019" spans="7:12" x14ac:dyDescent="0.25">
      <c r="G1019">
        <f>Table001__Page_15[[#This Row],[FİYAT]]*Table001__Page_15[[#This Row],[MİKTAR]]</f>
        <v>0</v>
      </c>
      <c r="I1019">
        <f>Table001__Page_15[[#This Row],[FİYAT]]*Table001__Page_15[[#This Row],[Sütun2]]</f>
        <v>0</v>
      </c>
      <c r="L1019" s="50">
        <f>Table001__Page_15[[#This Row],[SATIŞ FİYATI]]-Table001__Page_15[[#This Row],[YUVARLAMA]]</f>
        <v>0</v>
      </c>
    </row>
    <row r="1020" spans="7:12" x14ac:dyDescent="0.25">
      <c r="G1020">
        <f>Table001__Page_15[[#This Row],[FİYAT]]*Table001__Page_15[[#This Row],[MİKTAR]]</f>
        <v>0</v>
      </c>
      <c r="I1020">
        <f>Table001__Page_15[[#This Row],[FİYAT]]*Table001__Page_15[[#This Row],[Sütun2]]</f>
        <v>0</v>
      </c>
      <c r="L1020" s="50">
        <f>Table001__Page_15[[#This Row],[SATIŞ FİYATI]]-Table001__Page_15[[#This Row],[YUVARLAMA]]</f>
        <v>0</v>
      </c>
    </row>
    <row r="1021" spans="7:12" x14ac:dyDescent="0.25">
      <c r="G1021">
        <f>Table001__Page_15[[#This Row],[FİYAT]]*Table001__Page_15[[#This Row],[MİKTAR]]</f>
        <v>0</v>
      </c>
      <c r="I1021">
        <f>Table001__Page_15[[#This Row],[FİYAT]]*Table001__Page_15[[#This Row],[Sütun2]]</f>
        <v>0</v>
      </c>
      <c r="L1021" s="50">
        <f>Table001__Page_15[[#This Row],[SATIŞ FİYATI]]-Table001__Page_15[[#This Row],[YUVARLAMA]]</f>
        <v>0</v>
      </c>
    </row>
    <row r="1022" spans="7:12" x14ac:dyDescent="0.25">
      <c r="G1022">
        <f>Table001__Page_15[[#This Row],[FİYAT]]*Table001__Page_15[[#This Row],[MİKTAR]]</f>
        <v>0</v>
      </c>
      <c r="I1022">
        <f>Table001__Page_15[[#This Row],[FİYAT]]*Table001__Page_15[[#This Row],[Sütun2]]</f>
        <v>0</v>
      </c>
      <c r="L1022" s="50">
        <f>Table001__Page_15[[#This Row],[SATIŞ FİYATI]]-Table001__Page_15[[#This Row],[YUVARLAMA]]</f>
        <v>0</v>
      </c>
    </row>
    <row r="1023" spans="7:12" x14ac:dyDescent="0.25">
      <c r="G1023">
        <f>Table001__Page_15[[#This Row],[FİYAT]]*Table001__Page_15[[#This Row],[MİKTAR]]</f>
        <v>0</v>
      </c>
      <c r="I1023">
        <f>Table001__Page_15[[#This Row],[FİYAT]]*Table001__Page_15[[#This Row],[Sütun2]]</f>
        <v>0</v>
      </c>
      <c r="L1023" s="50">
        <f>Table001__Page_15[[#This Row],[SATIŞ FİYATI]]-Table001__Page_15[[#This Row],[YUVARLAMA]]</f>
        <v>0</v>
      </c>
    </row>
    <row r="1024" spans="7:12" x14ac:dyDescent="0.25">
      <c r="G1024">
        <f>Table001__Page_15[[#This Row],[FİYAT]]*Table001__Page_15[[#This Row],[MİKTAR]]</f>
        <v>0</v>
      </c>
      <c r="I1024">
        <f>Table001__Page_15[[#This Row],[FİYAT]]*Table001__Page_15[[#This Row],[Sütun2]]</f>
        <v>0</v>
      </c>
      <c r="L1024" s="50">
        <f>Table001__Page_15[[#This Row],[SATIŞ FİYATI]]-Table001__Page_15[[#This Row],[YUVARLAMA]]</f>
        <v>0</v>
      </c>
    </row>
    <row r="1025" spans="7:12" x14ac:dyDescent="0.25">
      <c r="G1025">
        <f>Table001__Page_15[[#This Row],[FİYAT]]*Table001__Page_15[[#This Row],[MİKTAR]]</f>
        <v>0</v>
      </c>
      <c r="I1025">
        <f>Table001__Page_15[[#This Row],[FİYAT]]*Table001__Page_15[[#This Row],[Sütun2]]</f>
        <v>0</v>
      </c>
      <c r="L1025" s="50">
        <f>Table001__Page_15[[#This Row],[SATIŞ FİYATI]]-Table001__Page_15[[#This Row],[YUVARLAMA]]</f>
        <v>0</v>
      </c>
    </row>
    <row r="1026" spans="7:12" x14ac:dyDescent="0.25">
      <c r="G1026">
        <f>Table001__Page_15[[#This Row],[FİYAT]]*Table001__Page_15[[#This Row],[MİKTAR]]</f>
        <v>0</v>
      </c>
      <c r="I1026">
        <f>Table001__Page_15[[#This Row],[FİYAT]]*Table001__Page_15[[#This Row],[Sütun2]]</f>
        <v>0</v>
      </c>
      <c r="L1026" s="50">
        <f>Table001__Page_15[[#This Row],[SATIŞ FİYATI]]-Table001__Page_15[[#This Row],[YUVARLAMA]]</f>
        <v>0</v>
      </c>
    </row>
    <row r="1027" spans="7:12" x14ac:dyDescent="0.25">
      <c r="G1027">
        <f>Table001__Page_15[[#This Row],[FİYAT]]*Table001__Page_15[[#This Row],[MİKTAR]]</f>
        <v>0</v>
      </c>
      <c r="I1027">
        <f>Table001__Page_15[[#This Row],[FİYAT]]*Table001__Page_15[[#This Row],[Sütun2]]</f>
        <v>0</v>
      </c>
      <c r="L1027" s="50">
        <f>Table001__Page_15[[#This Row],[SATIŞ FİYATI]]-Table001__Page_15[[#This Row],[YUVARLAMA]]</f>
        <v>0</v>
      </c>
    </row>
    <row r="1028" spans="7:12" x14ac:dyDescent="0.25">
      <c r="G1028">
        <f>Table001__Page_15[[#This Row],[FİYAT]]*Table001__Page_15[[#This Row],[MİKTAR]]</f>
        <v>0</v>
      </c>
      <c r="I1028">
        <f>Table001__Page_15[[#This Row],[FİYAT]]*Table001__Page_15[[#This Row],[Sütun2]]</f>
        <v>0</v>
      </c>
      <c r="L1028" s="50">
        <f>Table001__Page_15[[#This Row],[SATIŞ FİYATI]]-Table001__Page_15[[#This Row],[YUVARLAMA]]</f>
        <v>0</v>
      </c>
    </row>
    <row r="1029" spans="7:12" x14ac:dyDescent="0.25">
      <c r="G1029">
        <f>Table001__Page_15[[#This Row],[FİYAT]]*Table001__Page_15[[#This Row],[MİKTAR]]</f>
        <v>0</v>
      </c>
      <c r="I1029">
        <f>Table001__Page_15[[#This Row],[FİYAT]]*Table001__Page_15[[#This Row],[Sütun2]]</f>
        <v>0</v>
      </c>
      <c r="L1029" s="50">
        <f>Table001__Page_15[[#This Row],[SATIŞ FİYATI]]-Table001__Page_15[[#This Row],[YUVARLAMA]]</f>
        <v>0</v>
      </c>
    </row>
    <row r="1030" spans="7:12" x14ac:dyDescent="0.25">
      <c r="G1030">
        <f>Table001__Page_15[[#This Row],[FİYAT]]*Table001__Page_15[[#This Row],[MİKTAR]]</f>
        <v>0</v>
      </c>
      <c r="I1030">
        <f>Table001__Page_15[[#This Row],[FİYAT]]*Table001__Page_15[[#This Row],[Sütun2]]</f>
        <v>0</v>
      </c>
      <c r="L1030" s="50">
        <f>Table001__Page_15[[#This Row],[SATIŞ FİYATI]]-Table001__Page_15[[#This Row],[YUVARLAMA]]</f>
        <v>0</v>
      </c>
    </row>
    <row r="1031" spans="7:12" x14ac:dyDescent="0.25">
      <c r="G1031">
        <f>Table001__Page_15[[#This Row],[FİYAT]]*Table001__Page_15[[#This Row],[MİKTAR]]</f>
        <v>0</v>
      </c>
      <c r="I1031">
        <f>Table001__Page_15[[#This Row],[FİYAT]]*Table001__Page_15[[#This Row],[Sütun2]]</f>
        <v>0</v>
      </c>
      <c r="L1031" s="50">
        <f>Table001__Page_15[[#This Row],[SATIŞ FİYATI]]-Table001__Page_15[[#This Row],[YUVARLAMA]]</f>
        <v>0</v>
      </c>
    </row>
    <row r="1032" spans="7:12" x14ac:dyDescent="0.25">
      <c r="G1032">
        <f>Table001__Page_15[[#This Row],[FİYAT]]*Table001__Page_15[[#This Row],[MİKTAR]]</f>
        <v>0</v>
      </c>
      <c r="I1032">
        <f>Table001__Page_15[[#This Row],[FİYAT]]*Table001__Page_15[[#This Row],[Sütun2]]</f>
        <v>0</v>
      </c>
      <c r="L1032" s="50">
        <f>Table001__Page_15[[#This Row],[SATIŞ FİYATI]]-Table001__Page_15[[#This Row],[YUVARLAMA]]</f>
        <v>0</v>
      </c>
    </row>
    <row r="1033" spans="7:12" x14ac:dyDescent="0.25">
      <c r="G1033">
        <f>Table001__Page_15[[#This Row],[FİYAT]]*Table001__Page_15[[#This Row],[MİKTAR]]</f>
        <v>0</v>
      </c>
      <c r="I1033">
        <f>Table001__Page_15[[#This Row],[FİYAT]]*Table001__Page_15[[#This Row],[Sütun2]]</f>
        <v>0</v>
      </c>
      <c r="L1033" s="50">
        <f>Table001__Page_15[[#This Row],[SATIŞ FİYATI]]-Table001__Page_15[[#This Row],[YUVARLAMA]]</f>
        <v>0</v>
      </c>
    </row>
    <row r="1034" spans="7:12" x14ac:dyDescent="0.25">
      <c r="G1034">
        <f>Table001__Page_15[[#This Row],[FİYAT]]*Table001__Page_15[[#This Row],[MİKTAR]]</f>
        <v>0</v>
      </c>
      <c r="I1034">
        <f>Table001__Page_15[[#This Row],[FİYAT]]*Table001__Page_15[[#This Row],[Sütun2]]</f>
        <v>0</v>
      </c>
      <c r="L1034" s="50">
        <f>Table001__Page_15[[#This Row],[SATIŞ FİYATI]]-Table001__Page_15[[#This Row],[YUVARLAMA]]</f>
        <v>0</v>
      </c>
    </row>
    <row r="1035" spans="7:12" x14ac:dyDescent="0.25">
      <c r="G1035">
        <f>Table001__Page_15[[#This Row],[FİYAT]]*Table001__Page_15[[#This Row],[MİKTAR]]</f>
        <v>0</v>
      </c>
      <c r="I1035">
        <f>Table001__Page_15[[#This Row],[FİYAT]]*Table001__Page_15[[#This Row],[Sütun2]]</f>
        <v>0</v>
      </c>
      <c r="L1035" s="50">
        <f>Table001__Page_15[[#This Row],[SATIŞ FİYATI]]-Table001__Page_15[[#This Row],[YUVARLAMA]]</f>
        <v>0</v>
      </c>
    </row>
    <row r="1036" spans="7:12" x14ac:dyDescent="0.25">
      <c r="G1036">
        <f>Table001__Page_15[[#This Row],[FİYAT]]*Table001__Page_15[[#This Row],[MİKTAR]]</f>
        <v>0</v>
      </c>
      <c r="I1036">
        <f>Table001__Page_15[[#This Row],[FİYAT]]*Table001__Page_15[[#This Row],[Sütun2]]</f>
        <v>0</v>
      </c>
      <c r="L1036" s="50">
        <f>Table001__Page_15[[#This Row],[SATIŞ FİYATI]]-Table001__Page_15[[#This Row],[YUVARLAMA]]</f>
        <v>0</v>
      </c>
    </row>
    <row r="1037" spans="7:12" x14ac:dyDescent="0.25">
      <c r="G1037">
        <f>Table001__Page_15[[#This Row],[FİYAT]]*Table001__Page_15[[#This Row],[MİKTAR]]</f>
        <v>0</v>
      </c>
      <c r="I1037">
        <f>Table001__Page_15[[#This Row],[FİYAT]]*Table001__Page_15[[#This Row],[Sütun2]]</f>
        <v>0</v>
      </c>
      <c r="L1037" s="50">
        <f>Table001__Page_15[[#This Row],[SATIŞ FİYATI]]-Table001__Page_15[[#This Row],[YUVARLAMA]]</f>
        <v>0</v>
      </c>
    </row>
    <row r="1038" spans="7:12" x14ac:dyDescent="0.25">
      <c r="G1038">
        <f>Table001__Page_15[[#This Row],[FİYAT]]*Table001__Page_15[[#This Row],[MİKTAR]]</f>
        <v>0</v>
      </c>
      <c r="I1038">
        <f>Table001__Page_15[[#This Row],[FİYAT]]*Table001__Page_15[[#This Row],[Sütun2]]</f>
        <v>0</v>
      </c>
      <c r="L1038" s="50">
        <f>Table001__Page_15[[#This Row],[SATIŞ FİYATI]]-Table001__Page_15[[#This Row],[YUVARLAMA]]</f>
        <v>0</v>
      </c>
    </row>
    <row r="1039" spans="7:12" x14ac:dyDescent="0.25">
      <c r="G1039">
        <f>Table001__Page_15[[#This Row],[FİYAT]]*Table001__Page_15[[#This Row],[MİKTAR]]</f>
        <v>0</v>
      </c>
      <c r="I1039">
        <f>Table001__Page_15[[#This Row],[FİYAT]]*Table001__Page_15[[#This Row],[Sütun2]]</f>
        <v>0</v>
      </c>
      <c r="L1039" s="50">
        <f>Table001__Page_15[[#This Row],[SATIŞ FİYATI]]-Table001__Page_15[[#This Row],[YUVARLAMA]]</f>
        <v>0</v>
      </c>
    </row>
    <row r="1040" spans="7:12" x14ac:dyDescent="0.25">
      <c r="G1040">
        <f>Table001__Page_15[[#This Row],[FİYAT]]*Table001__Page_15[[#This Row],[MİKTAR]]</f>
        <v>0</v>
      </c>
      <c r="I1040">
        <f>Table001__Page_15[[#This Row],[FİYAT]]*Table001__Page_15[[#This Row],[Sütun2]]</f>
        <v>0</v>
      </c>
      <c r="L1040" s="50">
        <f>Table001__Page_15[[#This Row],[SATIŞ FİYATI]]-Table001__Page_15[[#This Row],[YUVARLAMA]]</f>
        <v>0</v>
      </c>
    </row>
    <row r="1041" spans="7:12" x14ac:dyDescent="0.25">
      <c r="G1041">
        <f>Table001__Page_15[[#This Row],[FİYAT]]*Table001__Page_15[[#This Row],[MİKTAR]]</f>
        <v>0</v>
      </c>
      <c r="I1041">
        <f>Table001__Page_15[[#This Row],[FİYAT]]*Table001__Page_15[[#This Row],[Sütun2]]</f>
        <v>0</v>
      </c>
      <c r="L1041" s="50">
        <f>Table001__Page_15[[#This Row],[SATIŞ FİYATI]]-Table001__Page_15[[#This Row],[YUVARLAMA]]</f>
        <v>0</v>
      </c>
    </row>
    <row r="1042" spans="7:12" x14ac:dyDescent="0.25">
      <c r="G1042">
        <f>Table001__Page_15[[#This Row],[FİYAT]]*Table001__Page_15[[#This Row],[MİKTAR]]</f>
        <v>0</v>
      </c>
      <c r="I1042">
        <f>Table001__Page_15[[#This Row],[FİYAT]]*Table001__Page_15[[#This Row],[Sütun2]]</f>
        <v>0</v>
      </c>
      <c r="L1042" s="50">
        <f>Table001__Page_15[[#This Row],[SATIŞ FİYATI]]-Table001__Page_15[[#This Row],[YUVARLAMA]]</f>
        <v>0</v>
      </c>
    </row>
    <row r="1043" spans="7:12" x14ac:dyDescent="0.25">
      <c r="G1043">
        <f>Table001__Page_15[[#This Row],[FİYAT]]*Table001__Page_15[[#This Row],[MİKTAR]]</f>
        <v>0</v>
      </c>
      <c r="I1043">
        <f>Table001__Page_15[[#This Row],[FİYAT]]*Table001__Page_15[[#This Row],[Sütun2]]</f>
        <v>0</v>
      </c>
      <c r="L1043" s="50">
        <f>Table001__Page_15[[#This Row],[SATIŞ FİYATI]]-Table001__Page_15[[#This Row],[YUVARLAMA]]</f>
        <v>0</v>
      </c>
    </row>
    <row r="1044" spans="7:12" x14ac:dyDescent="0.25">
      <c r="G1044">
        <f>Table001__Page_15[[#This Row],[FİYAT]]*Table001__Page_15[[#This Row],[MİKTAR]]</f>
        <v>0</v>
      </c>
      <c r="I1044">
        <f>Table001__Page_15[[#This Row],[FİYAT]]*Table001__Page_15[[#This Row],[Sütun2]]</f>
        <v>0</v>
      </c>
      <c r="L1044" s="50">
        <f>Table001__Page_15[[#This Row],[SATIŞ FİYATI]]-Table001__Page_15[[#This Row],[YUVARLAMA]]</f>
        <v>0</v>
      </c>
    </row>
    <row r="1045" spans="7:12" x14ac:dyDescent="0.25">
      <c r="G1045">
        <f>Table001__Page_15[[#This Row],[FİYAT]]*Table001__Page_15[[#This Row],[MİKTAR]]</f>
        <v>0</v>
      </c>
      <c r="I1045">
        <f>Table001__Page_15[[#This Row],[FİYAT]]*Table001__Page_15[[#This Row],[Sütun2]]</f>
        <v>0</v>
      </c>
      <c r="L1045" s="50">
        <f>Table001__Page_15[[#This Row],[SATIŞ FİYATI]]-Table001__Page_15[[#This Row],[YUVARLAMA]]</f>
        <v>0</v>
      </c>
    </row>
    <row r="1046" spans="7:12" x14ac:dyDescent="0.25">
      <c r="G1046">
        <f>Table001__Page_15[[#This Row],[FİYAT]]*Table001__Page_15[[#This Row],[MİKTAR]]</f>
        <v>0</v>
      </c>
      <c r="I1046">
        <f>Table001__Page_15[[#This Row],[FİYAT]]*Table001__Page_15[[#This Row],[Sütun2]]</f>
        <v>0</v>
      </c>
      <c r="L1046" s="50">
        <f>Table001__Page_15[[#This Row],[SATIŞ FİYATI]]-Table001__Page_15[[#This Row],[YUVARLAMA]]</f>
        <v>0</v>
      </c>
    </row>
    <row r="1047" spans="7:12" x14ac:dyDescent="0.25">
      <c r="G1047">
        <f>Table001__Page_15[[#This Row],[FİYAT]]*Table001__Page_15[[#This Row],[MİKTAR]]</f>
        <v>0</v>
      </c>
      <c r="I1047">
        <f>Table001__Page_15[[#This Row],[FİYAT]]*Table001__Page_15[[#This Row],[Sütun2]]</f>
        <v>0</v>
      </c>
      <c r="L1047" s="50">
        <f>Table001__Page_15[[#This Row],[SATIŞ FİYATI]]-Table001__Page_15[[#This Row],[YUVARLAMA]]</f>
        <v>0</v>
      </c>
    </row>
    <row r="1048" spans="7:12" x14ac:dyDescent="0.25">
      <c r="G1048">
        <f>Table001__Page_15[[#This Row],[FİYAT]]*Table001__Page_15[[#This Row],[MİKTAR]]</f>
        <v>0</v>
      </c>
      <c r="I1048">
        <f>Table001__Page_15[[#This Row],[FİYAT]]*Table001__Page_15[[#This Row],[Sütun2]]</f>
        <v>0</v>
      </c>
      <c r="L1048" s="50">
        <f>Table001__Page_15[[#This Row],[SATIŞ FİYATI]]-Table001__Page_15[[#This Row],[YUVARLAMA]]</f>
        <v>0</v>
      </c>
    </row>
    <row r="1049" spans="7:12" x14ac:dyDescent="0.25">
      <c r="G1049">
        <f>Table001__Page_15[[#This Row],[FİYAT]]*Table001__Page_15[[#This Row],[MİKTAR]]</f>
        <v>0</v>
      </c>
      <c r="I1049">
        <f>Table001__Page_15[[#This Row],[FİYAT]]*Table001__Page_15[[#This Row],[Sütun2]]</f>
        <v>0</v>
      </c>
      <c r="L1049" s="50">
        <f>Table001__Page_15[[#This Row],[SATIŞ FİYATI]]-Table001__Page_15[[#This Row],[YUVARLAMA]]</f>
        <v>0</v>
      </c>
    </row>
    <row r="1050" spans="7:12" x14ac:dyDescent="0.25">
      <c r="G1050">
        <f>Table001__Page_15[[#This Row],[FİYAT]]*Table001__Page_15[[#This Row],[MİKTAR]]</f>
        <v>0</v>
      </c>
      <c r="I1050">
        <f>Table001__Page_15[[#This Row],[FİYAT]]*Table001__Page_15[[#This Row],[Sütun2]]</f>
        <v>0</v>
      </c>
      <c r="L1050" s="50">
        <f>Table001__Page_15[[#This Row],[SATIŞ FİYATI]]-Table001__Page_15[[#This Row],[YUVARLAMA]]</f>
        <v>0</v>
      </c>
    </row>
    <row r="1051" spans="7:12" x14ac:dyDescent="0.25">
      <c r="G1051">
        <f>Table001__Page_15[[#This Row],[FİYAT]]*Table001__Page_15[[#This Row],[MİKTAR]]</f>
        <v>0</v>
      </c>
      <c r="I1051">
        <f>Table001__Page_15[[#This Row],[FİYAT]]*Table001__Page_15[[#This Row],[Sütun2]]</f>
        <v>0</v>
      </c>
      <c r="L1051" s="50">
        <f>Table001__Page_15[[#This Row],[SATIŞ FİYATI]]-Table001__Page_15[[#This Row],[YUVARLAMA]]</f>
        <v>0</v>
      </c>
    </row>
    <row r="1052" spans="7:12" x14ac:dyDescent="0.25">
      <c r="G1052">
        <f>Table001__Page_15[[#This Row],[FİYAT]]*Table001__Page_15[[#This Row],[MİKTAR]]</f>
        <v>0</v>
      </c>
      <c r="I1052">
        <f>Table001__Page_15[[#This Row],[FİYAT]]*Table001__Page_15[[#This Row],[Sütun2]]</f>
        <v>0</v>
      </c>
      <c r="L1052" s="50">
        <f>Table001__Page_15[[#This Row],[SATIŞ FİYATI]]-Table001__Page_15[[#This Row],[YUVARLAMA]]</f>
        <v>0</v>
      </c>
    </row>
    <row r="1053" spans="7:12" x14ac:dyDescent="0.25">
      <c r="G1053">
        <f>Table001__Page_15[[#This Row],[FİYAT]]*Table001__Page_15[[#This Row],[MİKTAR]]</f>
        <v>0</v>
      </c>
      <c r="I1053">
        <f>Table001__Page_15[[#This Row],[FİYAT]]*Table001__Page_15[[#This Row],[Sütun2]]</f>
        <v>0</v>
      </c>
      <c r="L1053" s="50">
        <f>Table001__Page_15[[#This Row],[SATIŞ FİYATI]]-Table001__Page_15[[#This Row],[YUVARLAMA]]</f>
        <v>0</v>
      </c>
    </row>
    <row r="1054" spans="7:12" x14ac:dyDescent="0.25">
      <c r="G1054">
        <f>Table001__Page_15[[#This Row],[FİYAT]]*Table001__Page_15[[#This Row],[MİKTAR]]</f>
        <v>0</v>
      </c>
      <c r="I1054">
        <f>Table001__Page_15[[#This Row],[FİYAT]]*Table001__Page_15[[#This Row],[Sütun2]]</f>
        <v>0</v>
      </c>
      <c r="L1054" s="50">
        <f>Table001__Page_15[[#This Row],[SATIŞ FİYATI]]-Table001__Page_15[[#This Row],[YUVARLAMA]]</f>
        <v>0</v>
      </c>
    </row>
    <row r="1055" spans="7:12" x14ac:dyDescent="0.25">
      <c r="G1055">
        <f>Table001__Page_15[[#This Row],[FİYAT]]*Table001__Page_15[[#This Row],[MİKTAR]]</f>
        <v>0</v>
      </c>
      <c r="I1055">
        <f>Table001__Page_15[[#This Row],[FİYAT]]*Table001__Page_15[[#This Row],[Sütun2]]</f>
        <v>0</v>
      </c>
      <c r="L1055" s="50">
        <f>Table001__Page_15[[#This Row],[SATIŞ FİYATI]]-Table001__Page_15[[#This Row],[YUVARLAMA]]</f>
        <v>0</v>
      </c>
    </row>
    <row r="1056" spans="7:12" x14ac:dyDescent="0.25">
      <c r="G1056">
        <f>Table001__Page_15[[#This Row],[FİYAT]]*Table001__Page_15[[#This Row],[MİKTAR]]</f>
        <v>0</v>
      </c>
      <c r="I1056">
        <f>Table001__Page_15[[#This Row],[FİYAT]]*Table001__Page_15[[#This Row],[Sütun2]]</f>
        <v>0</v>
      </c>
      <c r="L1056" s="50">
        <f>Table001__Page_15[[#This Row],[SATIŞ FİYATI]]-Table001__Page_15[[#This Row],[YUVARLAMA]]</f>
        <v>0</v>
      </c>
    </row>
    <row r="1057" spans="7:12" x14ac:dyDescent="0.25">
      <c r="G1057">
        <f>Table001__Page_15[[#This Row],[FİYAT]]*Table001__Page_15[[#This Row],[MİKTAR]]</f>
        <v>0</v>
      </c>
      <c r="I1057">
        <f>Table001__Page_15[[#This Row],[FİYAT]]*Table001__Page_15[[#This Row],[Sütun2]]</f>
        <v>0</v>
      </c>
      <c r="L1057" s="50">
        <f>Table001__Page_15[[#This Row],[SATIŞ FİYATI]]-Table001__Page_15[[#This Row],[YUVARLAMA]]</f>
        <v>0</v>
      </c>
    </row>
    <row r="1058" spans="7:12" x14ac:dyDescent="0.25">
      <c r="G1058">
        <f>Table001__Page_15[[#This Row],[FİYAT]]*Table001__Page_15[[#This Row],[MİKTAR]]</f>
        <v>0</v>
      </c>
      <c r="I1058">
        <f>Table001__Page_15[[#This Row],[FİYAT]]*Table001__Page_15[[#This Row],[Sütun2]]</f>
        <v>0</v>
      </c>
      <c r="L1058" s="50">
        <f>Table001__Page_15[[#This Row],[SATIŞ FİYATI]]-Table001__Page_15[[#This Row],[YUVARLAMA]]</f>
        <v>0</v>
      </c>
    </row>
    <row r="1059" spans="7:12" x14ac:dyDescent="0.25">
      <c r="G1059">
        <f>Table001__Page_15[[#This Row],[FİYAT]]*Table001__Page_15[[#This Row],[MİKTAR]]</f>
        <v>0</v>
      </c>
      <c r="I1059">
        <f>Table001__Page_15[[#This Row],[FİYAT]]*Table001__Page_15[[#This Row],[Sütun2]]</f>
        <v>0</v>
      </c>
      <c r="L1059" s="50">
        <f>Table001__Page_15[[#This Row],[SATIŞ FİYATI]]-Table001__Page_15[[#This Row],[YUVARLAMA]]</f>
        <v>0</v>
      </c>
    </row>
    <row r="1060" spans="7:12" x14ac:dyDescent="0.25">
      <c r="G1060">
        <f>Table001__Page_15[[#This Row],[FİYAT]]*Table001__Page_15[[#This Row],[MİKTAR]]</f>
        <v>0</v>
      </c>
      <c r="I1060">
        <f>Table001__Page_15[[#This Row],[FİYAT]]*Table001__Page_15[[#This Row],[Sütun2]]</f>
        <v>0</v>
      </c>
      <c r="L1060" s="50">
        <f>Table001__Page_15[[#This Row],[SATIŞ FİYATI]]-Table001__Page_15[[#This Row],[YUVARLAMA]]</f>
        <v>0</v>
      </c>
    </row>
    <row r="1061" spans="7:12" x14ac:dyDescent="0.25">
      <c r="G1061">
        <f>Table001__Page_15[[#This Row],[FİYAT]]*Table001__Page_15[[#This Row],[MİKTAR]]</f>
        <v>0</v>
      </c>
      <c r="I1061">
        <f>Table001__Page_15[[#This Row],[FİYAT]]*Table001__Page_15[[#This Row],[Sütun2]]</f>
        <v>0</v>
      </c>
      <c r="L1061" s="50">
        <f>Table001__Page_15[[#This Row],[SATIŞ FİYATI]]-Table001__Page_15[[#This Row],[YUVARLAMA]]</f>
        <v>0</v>
      </c>
    </row>
    <row r="1062" spans="7:12" x14ac:dyDescent="0.25">
      <c r="G1062">
        <f>Table001__Page_15[[#This Row],[FİYAT]]*Table001__Page_15[[#This Row],[MİKTAR]]</f>
        <v>0</v>
      </c>
      <c r="I1062">
        <f>Table001__Page_15[[#This Row],[FİYAT]]*Table001__Page_15[[#This Row],[Sütun2]]</f>
        <v>0</v>
      </c>
      <c r="L1062" s="50">
        <f>Table001__Page_15[[#This Row],[SATIŞ FİYATI]]-Table001__Page_15[[#This Row],[YUVARLAMA]]</f>
        <v>0</v>
      </c>
    </row>
    <row r="1063" spans="7:12" x14ac:dyDescent="0.25">
      <c r="G1063">
        <f>Table001__Page_15[[#This Row],[FİYAT]]*Table001__Page_15[[#This Row],[MİKTAR]]</f>
        <v>0</v>
      </c>
      <c r="I1063">
        <f>Table001__Page_15[[#This Row],[FİYAT]]*Table001__Page_15[[#This Row],[Sütun2]]</f>
        <v>0</v>
      </c>
      <c r="L1063" s="50">
        <f>Table001__Page_15[[#This Row],[SATIŞ FİYATI]]-Table001__Page_15[[#This Row],[YUVARLAMA]]</f>
        <v>0</v>
      </c>
    </row>
    <row r="1064" spans="7:12" x14ac:dyDescent="0.25">
      <c r="G1064">
        <f>Table001__Page_15[[#This Row],[FİYAT]]*Table001__Page_15[[#This Row],[MİKTAR]]</f>
        <v>0</v>
      </c>
      <c r="I1064">
        <f>Table001__Page_15[[#This Row],[FİYAT]]*Table001__Page_15[[#This Row],[Sütun2]]</f>
        <v>0</v>
      </c>
      <c r="L1064" s="50">
        <f>Table001__Page_15[[#This Row],[SATIŞ FİYATI]]-Table001__Page_15[[#This Row],[YUVARLAMA]]</f>
        <v>0</v>
      </c>
    </row>
    <row r="1065" spans="7:12" x14ac:dyDescent="0.25">
      <c r="G1065">
        <f>Table001__Page_15[[#This Row],[FİYAT]]*Table001__Page_15[[#This Row],[MİKTAR]]</f>
        <v>0</v>
      </c>
      <c r="I1065">
        <f>Table001__Page_15[[#This Row],[FİYAT]]*Table001__Page_15[[#This Row],[Sütun2]]</f>
        <v>0</v>
      </c>
      <c r="L1065" s="50">
        <f>Table001__Page_15[[#This Row],[SATIŞ FİYATI]]-Table001__Page_15[[#This Row],[YUVARLAMA]]</f>
        <v>0</v>
      </c>
    </row>
    <row r="1066" spans="7:12" x14ac:dyDescent="0.25">
      <c r="G1066">
        <f>Table001__Page_15[[#This Row],[FİYAT]]*Table001__Page_15[[#This Row],[MİKTAR]]</f>
        <v>0</v>
      </c>
      <c r="I1066">
        <f>Table001__Page_15[[#This Row],[FİYAT]]*Table001__Page_15[[#This Row],[Sütun2]]</f>
        <v>0</v>
      </c>
      <c r="L1066" s="50">
        <f>Table001__Page_15[[#This Row],[SATIŞ FİYATI]]-Table001__Page_15[[#This Row],[YUVARLAMA]]</f>
        <v>0</v>
      </c>
    </row>
    <row r="1067" spans="7:12" x14ac:dyDescent="0.25">
      <c r="G1067">
        <f>Table001__Page_15[[#This Row],[FİYAT]]*Table001__Page_15[[#This Row],[MİKTAR]]</f>
        <v>0</v>
      </c>
      <c r="I1067">
        <f>Table001__Page_15[[#This Row],[FİYAT]]*Table001__Page_15[[#This Row],[Sütun2]]</f>
        <v>0</v>
      </c>
      <c r="L1067" s="50">
        <f>Table001__Page_15[[#This Row],[SATIŞ FİYATI]]-Table001__Page_15[[#This Row],[YUVARLAMA]]</f>
        <v>0</v>
      </c>
    </row>
    <row r="1068" spans="7:12" x14ac:dyDescent="0.25">
      <c r="G1068">
        <f>Table001__Page_15[[#This Row],[FİYAT]]*Table001__Page_15[[#This Row],[MİKTAR]]</f>
        <v>0</v>
      </c>
      <c r="I1068">
        <f>Table001__Page_15[[#This Row],[FİYAT]]*Table001__Page_15[[#This Row],[Sütun2]]</f>
        <v>0</v>
      </c>
      <c r="L1068" s="50">
        <f>Table001__Page_15[[#This Row],[SATIŞ FİYATI]]-Table001__Page_15[[#This Row],[YUVARLAMA]]</f>
        <v>0</v>
      </c>
    </row>
    <row r="1069" spans="7:12" x14ac:dyDescent="0.25">
      <c r="G1069">
        <f>Table001__Page_15[[#This Row],[FİYAT]]*Table001__Page_15[[#This Row],[MİKTAR]]</f>
        <v>0</v>
      </c>
      <c r="I1069">
        <f>Table001__Page_15[[#This Row],[FİYAT]]*Table001__Page_15[[#This Row],[Sütun2]]</f>
        <v>0</v>
      </c>
      <c r="L1069" s="50">
        <f>Table001__Page_15[[#This Row],[SATIŞ FİYATI]]-Table001__Page_15[[#This Row],[YUVARLAMA]]</f>
        <v>0</v>
      </c>
    </row>
    <row r="1070" spans="7:12" x14ac:dyDescent="0.25">
      <c r="G1070">
        <f>Table001__Page_15[[#This Row],[FİYAT]]*Table001__Page_15[[#This Row],[MİKTAR]]</f>
        <v>0</v>
      </c>
      <c r="I1070">
        <f>Table001__Page_15[[#This Row],[FİYAT]]*Table001__Page_15[[#This Row],[Sütun2]]</f>
        <v>0</v>
      </c>
      <c r="L1070" s="50">
        <f>Table001__Page_15[[#This Row],[SATIŞ FİYATI]]-Table001__Page_15[[#This Row],[YUVARLAMA]]</f>
        <v>0</v>
      </c>
    </row>
    <row r="1071" spans="7:12" x14ac:dyDescent="0.25">
      <c r="G1071">
        <f>Table001__Page_15[[#This Row],[FİYAT]]*Table001__Page_15[[#This Row],[MİKTAR]]</f>
        <v>0</v>
      </c>
      <c r="I1071">
        <f>Table001__Page_15[[#This Row],[FİYAT]]*Table001__Page_15[[#This Row],[Sütun2]]</f>
        <v>0</v>
      </c>
      <c r="L1071" s="50">
        <f>Table001__Page_15[[#This Row],[SATIŞ FİYATI]]-Table001__Page_15[[#This Row],[YUVARLAMA]]</f>
        <v>0</v>
      </c>
    </row>
    <row r="1072" spans="7:12" x14ac:dyDescent="0.25">
      <c r="G1072">
        <f>Table001__Page_15[[#This Row],[FİYAT]]*Table001__Page_15[[#This Row],[MİKTAR]]</f>
        <v>0</v>
      </c>
      <c r="I1072">
        <f>Table001__Page_15[[#This Row],[FİYAT]]*Table001__Page_15[[#This Row],[Sütun2]]</f>
        <v>0</v>
      </c>
      <c r="L1072" s="50">
        <f>Table001__Page_15[[#This Row],[SATIŞ FİYATI]]-Table001__Page_15[[#This Row],[YUVARLAMA]]</f>
        <v>0</v>
      </c>
    </row>
    <row r="1073" spans="7:12" x14ac:dyDescent="0.25">
      <c r="G1073">
        <f>Table001__Page_15[[#This Row],[FİYAT]]*Table001__Page_15[[#This Row],[MİKTAR]]</f>
        <v>0</v>
      </c>
      <c r="I1073">
        <f>Table001__Page_15[[#This Row],[FİYAT]]*Table001__Page_15[[#This Row],[Sütun2]]</f>
        <v>0</v>
      </c>
      <c r="L1073" s="50">
        <f>Table001__Page_15[[#This Row],[SATIŞ FİYATI]]-Table001__Page_15[[#This Row],[YUVARLAMA]]</f>
        <v>0</v>
      </c>
    </row>
    <row r="1074" spans="7:12" x14ac:dyDescent="0.25">
      <c r="G1074">
        <f>Table001__Page_15[[#This Row],[FİYAT]]*Table001__Page_15[[#This Row],[MİKTAR]]</f>
        <v>0</v>
      </c>
      <c r="I1074">
        <f>Table001__Page_15[[#This Row],[FİYAT]]*Table001__Page_15[[#This Row],[Sütun2]]</f>
        <v>0</v>
      </c>
      <c r="L1074" s="50">
        <f>Table001__Page_15[[#This Row],[SATIŞ FİYATI]]-Table001__Page_15[[#This Row],[YUVARLAMA]]</f>
        <v>0</v>
      </c>
    </row>
    <row r="1075" spans="7:12" x14ac:dyDescent="0.25">
      <c r="G1075">
        <f>Table001__Page_15[[#This Row],[FİYAT]]*Table001__Page_15[[#This Row],[MİKTAR]]</f>
        <v>0</v>
      </c>
      <c r="I1075">
        <f>Table001__Page_15[[#This Row],[FİYAT]]*Table001__Page_15[[#This Row],[Sütun2]]</f>
        <v>0</v>
      </c>
      <c r="L1075" s="50">
        <f>Table001__Page_15[[#This Row],[SATIŞ FİYATI]]-Table001__Page_15[[#This Row],[YUVARLAMA]]</f>
        <v>0</v>
      </c>
    </row>
    <row r="1076" spans="7:12" x14ac:dyDescent="0.25">
      <c r="G1076">
        <f>Table001__Page_15[[#This Row],[FİYAT]]*Table001__Page_15[[#This Row],[MİKTAR]]</f>
        <v>0</v>
      </c>
      <c r="I1076">
        <f>Table001__Page_15[[#This Row],[FİYAT]]*Table001__Page_15[[#This Row],[Sütun2]]</f>
        <v>0</v>
      </c>
      <c r="L1076" s="50">
        <f>Table001__Page_15[[#This Row],[SATIŞ FİYATI]]-Table001__Page_15[[#This Row],[YUVARLAMA]]</f>
        <v>0</v>
      </c>
    </row>
    <row r="1077" spans="7:12" x14ac:dyDescent="0.25">
      <c r="G1077">
        <f>Table001__Page_15[[#This Row],[FİYAT]]*Table001__Page_15[[#This Row],[MİKTAR]]</f>
        <v>0</v>
      </c>
      <c r="I1077">
        <f>Table001__Page_15[[#This Row],[FİYAT]]*Table001__Page_15[[#This Row],[Sütun2]]</f>
        <v>0</v>
      </c>
      <c r="L1077" s="50">
        <f>Table001__Page_15[[#This Row],[SATIŞ FİYATI]]-Table001__Page_15[[#This Row],[YUVARLAMA]]</f>
        <v>0</v>
      </c>
    </row>
    <row r="1078" spans="7:12" x14ac:dyDescent="0.25">
      <c r="G1078">
        <f>Table001__Page_15[[#This Row],[FİYAT]]*Table001__Page_15[[#This Row],[MİKTAR]]</f>
        <v>0</v>
      </c>
      <c r="I1078">
        <f>Table001__Page_15[[#This Row],[FİYAT]]*Table001__Page_15[[#This Row],[Sütun2]]</f>
        <v>0</v>
      </c>
      <c r="L1078" s="50">
        <f>Table001__Page_15[[#This Row],[SATIŞ FİYATI]]-Table001__Page_15[[#This Row],[YUVARLAMA]]</f>
        <v>0</v>
      </c>
    </row>
    <row r="1079" spans="7:12" x14ac:dyDescent="0.25">
      <c r="G1079">
        <f>Table001__Page_15[[#This Row],[FİYAT]]*Table001__Page_15[[#This Row],[MİKTAR]]</f>
        <v>0</v>
      </c>
      <c r="I1079">
        <f>Table001__Page_15[[#This Row],[FİYAT]]*Table001__Page_15[[#This Row],[Sütun2]]</f>
        <v>0</v>
      </c>
      <c r="L1079" s="50">
        <f>Table001__Page_15[[#This Row],[SATIŞ FİYATI]]-Table001__Page_15[[#This Row],[YUVARLAMA]]</f>
        <v>0</v>
      </c>
    </row>
    <row r="1080" spans="7:12" x14ac:dyDescent="0.25">
      <c r="G1080">
        <f>Table001__Page_15[[#This Row],[FİYAT]]*Table001__Page_15[[#This Row],[MİKTAR]]</f>
        <v>0</v>
      </c>
      <c r="I1080">
        <f>Table001__Page_15[[#This Row],[FİYAT]]*Table001__Page_15[[#This Row],[Sütun2]]</f>
        <v>0</v>
      </c>
      <c r="L1080" s="50">
        <f>Table001__Page_15[[#This Row],[SATIŞ FİYATI]]-Table001__Page_15[[#This Row],[YUVARLAMA]]</f>
        <v>0</v>
      </c>
    </row>
    <row r="1081" spans="7:12" x14ac:dyDescent="0.25">
      <c r="G1081">
        <f>Table001__Page_15[[#This Row],[FİYAT]]*Table001__Page_15[[#This Row],[MİKTAR]]</f>
        <v>0</v>
      </c>
      <c r="I1081">
        <f>Table001__Page_15[[#This Row],[FİYAT]]*Table001__Page_15[[#This Row],[Sütun2]]</f>
        <v>0</v>
      </c>
      <c r="L1081" s="50">
        <f>Table001__Page_15[[#This Row],[SATIŞ FİYATI]]-Table001__Page_15[[#This Row],[YUVARLAMA]]</f>
        <v>0</v>
      </c>
    </row>
    <row r="1082" spans="7:12" x14ac:dyDescent="0.25">
      <c r="G1082">
        <f>Table001__Page_15[[#This Row],[FİYAT]]*Table001__Page_15[[#This Row],[MİKTAR]]</f>
        <v>0</v>
      </c>
      <c r="I1082">
        <f>Table001__Page_15[[#This Row],[FİYAT]]*Table001__Page_15[[#This Row],[Sütun2]]</f>
        <v>0</v>
      </c>
      <c r="L1082" s="50">
        <f>Table001__Page_15[[#This Row],[SATIŞ FİYATI]]-Table001__Page_15[[#This Row],[YUVARLAMA]]</f>
        <v>0</v>
      </c>
    </row>
    <row r="1083" spans="7:12" x14ac:dyDescent="0.25">
      <c r="G1083">
        <f>Table001__Page_15[[#This Row],[FİYAT]]*Table001__Page_15[[#This Row],[MİKTAR]]</f>
        <v>0</v>
      </c>
      <c r="I1083">
        <f>Table001__Page_15[[#This Row],[FİYAT]]*Table001__Page_15[[#This Row],[Sütun2]]</f>
        <v>0</v>
      </c>
      <c r="L1083" s="50">
        <f>Table001__Page_15[[#This Row],[SATIŞ FİYATI]]-Table001__Page_15[[#This Row],[YUVARLAMA]]</f>
        <v>0</v>
      </c>
    </row>
    <row r="1084" spans="7:12" x14ac:dyDescent="0.25">
      <c r="G1084">
        <f>Table001__Page_15[[#This Row],[FİYAT]]*Table001__Page_15[[#This Row],[MİKTAR]]</f>
        <v>0</v>
      </c>
      <c r="I1084">
        <f>Table001__Page_15[[#This Row],[FİYAT]]*Table001__Page_15[[#This Row],[Sütun2]]</f>
        <v>0</v>
      </c>
      <c r="L1084" s="50">
        <f>Table001__Page_15[[#This Row],[SATIŞ FİYATI]]-Table001__Page_15[[#This Row],[YUVARLAMA]]</f>
        <v>0</v>
      </c>
    </row>
    <row r="1085" spans="7:12" x14ac:dyDescent="0.25">
      <c r="G1085">
        <f>Table001__Page_15[[#This Row],[FİYAT]]*Table001__Page_15[[#This Row],[MİKTAR]]</f>
        <v>0</v>
      </c>
      <c r="I1085">
        <f>Table001__Page_15[[#This Row],[FİYAT]]*Table001__Page_15[[#This Row],[Sütun2]]</f>
        <v>0</v>
      </c>
      <c r="L1085" s="50">
        <f>Table001__Page_15[[#This Row],[SATIŞ FİYATI]]-Table001__Page_15[[#This Row],[YUVARLAMA]]</f>
        <v>0</v>
      </c>
    </row>
    <row r="1086" spans="7:12" x14ac:dyDescent="0.25">
      <c r="G1086">
        <f>Table001__Page_15[[#This Row],[FİYAT]]*Table001__Page_15[[#This Row],[MİKTAR]]</f>
        <v>0</v>
      </c>
      <c r="I1086">
        <f>Table001__Page_15[[#This Row],[FİYAT]]*Table001__Page_15[[#This Row],[Sütun2]]</f>
        <v>0</v>
      </c>
      <c r="L1086" s="50">
        <f>Table001__Page_15[[#This Row],[SATIŞ FİYATI]]-Table001__Page_15[[#This Row],[YUVARLAMA]]</f>
        <v>0</v>
      </c>
    </row>
    <row r="1087" spans="7:12" x14ac:dyDescent="0.25">
      <c r="G1087">
        <f>Table001__Page_15[[#This Row],[FİYAT]]*Table001__Page_15[[#This Row],[MİKTAR]]</f>
        <v>0</v>
      </c>
      <c r="I1087">
        <f>Table001__Page_15[[#This Row],[FİYAT]]*Table001__Page_15[[#This Row],[Sütun2]]</f>
        <v>0</v>
      </c>
      <c r="L1087" s="50">
        <f>Table001__Page_15[[#This Row],[SATIŞ FİYATI]]-Table001__Page_15[[#This Row],[YUVARLAMA]]</f>
        <v>0</v>
      </c>
    </row>
    <row r="1088" spans="7:12" x14ac:dyDescent="0.25">
      <c r="G1088">
        <f>Table001__Page_15[[#This Row],[FİYAT]]*Table001__Page_15[[#This Row],[MİKTAR]]</f>
        <v>0</v>
      </c>
      <c r="I1088">
        <f>Table001__Page_15[[#This Row],[FİYAT]]*Table001__Page_15[[#This Row],[Sütun2]]</f>
        <v>0</v>
      </c>
      <c r="L1088" s="50">
        <f>Table001__Page_15[[#This Row],[SATIŞ FİYATI]]-Table001__Page_15[[#This Row],[YUVARLAMA]]</f>
        <v>0</v>
      </c>
    </row>
    <row r="1089" spans="7:12" x14ac:dyDescent="0.25">
      <c r="G1089">
        <f>Table001__Page_15[[#This Row],[FİYAT]]*Table001__Page_15[[#This Row],[MİKTAR]]</f>
        <v>0</v>
      </c>
      <c r="I1089">
        <f>Table001__Page_15[[#This Row],[FİYAT]]*Table001__Page_15[[#This Row],[Sütun2]]</f>
        <v>0</v>
      </c>
      <c r="L1089" s="50">
        <f>Table001__Page_15[[#This Row],[SATIŞ FİYATI]]-Table001__Page_15[[#This Row],[YUVARLAMA]]</f>
        <v>0</v>
      </c>
    </row>
    <row r="1090" spans="7:12" x14ac:dyDescent="0.25">
      <c r="G1090">
        <f>Table001__Page_15[[#This Row],[FİYAT]]*Table001__Page_15[[#This Row],[MİKTAR]]</f>
        <v>0</v>
      </c>
      <c r="I1090">
        <f>Table001__Page_15[[#This Row],[FİYAT]]*Table001__Page_15[[#This Row],[Sütun2]]</f>
        <v>0</v>
      </c>
      <c r="L1090" s="50">
        <f>Table001__Page_15[[#This Row],[SATIŞ FİYATI]]-Table001__Page_15[[#This Row],[YUVARLAMA]]</f>
        <v>0</v>
      </c>
    </row>
    <row r="1091" spans="7:12" x14ac:dyDescent="0.25">
      <c r="G1091">
        <f>Table001__Page_15[[#This Row],[FİYAT]]*Table001__Page_15[[#This Row],[MİKTAR]]</f>
        <v>0</v>
      </c>
      <c r="I1091">
        <f>Table001__Page_15[[#This Row],[FİYAT]]*Table001__Page_15[[#This Row],[Sütun2]]</f>
        <v>0</v>
      </c>
      <c r="L1091" s="50">
        <f>Table001__Page_15[[#This Row],[SATIŞ FİYATI]]-Table001__Page_15[[#This Row],[YUVARLAMA]]</f>
        <v>0</v>
      </c>
    </row>
    <row r="1092" spans="7:12" x14ac:dyDescent="0.25">
      <c r="G1092">
        <f>Table001__Page_15[[#This Row],[FİYAT]]*Table001__Page_15[[#This Row],[MİKTAR]]</f>
        <v>0</v>
      </c>
      <c r="I1092">
        <f>Table001__Page_15[[#This Row],[FİYAT]]*Table001__Page_15[[#This Row],[Sütun2]]</f>
        <v>0</v>
      </c>
      <c r="L1092" s="50">
        <f>Table001__Page_15[[#This Row],[SATIŞ FİYATI]]-Table001__Page_15[[#This Row],[YUVARLAMA]]</f>
        <v>0</v>
      </c>
    </row>
    <row r="1093" spans="7:12" x14ac:dyDescent="0.25">
      <c r="G1093">
        <f>Table001__Page_15[[#This Row],[FİYAT]]*Table001__Page_15[[#This Row],[MİKTAR]]</f>
        <v>0</v>
      </c>
      <c r="I1093">
        <f>Table001__Page_15[[#This Row],[FİYAT]]*Table001__Page_15[[#This Row],[Sütun2]]</f>
        <v>0</v>
      </c>
      <c r="L1093" s="50">
        <f>Table001__Page_15[[#This Row],[SATIŞ FİYATI]]-Table001__Page_15[[#This Row],[YUVARLAMA]]</f>
        <v>0</v>
      </c>
    </row>
    <row r="1094" spans="7:12" x14ac:dyDescent="0.25">
      <c r="G1094">
        <f>Table001__Page_15[[#This Row],[FİYAT]]*Table001__Page_15[[#This Row],[MİKTAR]]</f>
        <v>0</v>
      </c>
      <c r="I1094">
        <f>Table001__Page_15[[#This Row],[FİYAT]]*Table001__Page_15[[#This Row],[Sütun2]]</f>
        <v>0</v>
      </c>
      <c r="L1094" s="50">
        <f>Table001__Page_15[[#This Row],[SATIŞ FİYATI]]-Table001__Page_15[[#This Row],[YUVARLAMA]]</f>
        <v>0</v>
      </c>
    </row>
    <row r="1095" spans="7:12" x14ac:dyDescent="0.25">
      <c r="G1095">
        <f>Table001__Page_15[[#This Row],[FİYAT]]*Table001__Page_15[[#This Row],[MİKTAR]]</f>
        <v>0</v>
      </c>
      <c r="I1095">
        <f>Table001__Page_15[[#This Row],[FİYAT]]*Table001__Page_15[[#This Row],[Sütun2]]</f>
        <v>0</v>
      </c>
      <c r="L1095" s="50">
        <f>Table001__Page_15[[#This Row],[SATIŞ FİYATI]]-Table001__Page_15[[#This Row],[YUVARLAMA]]</f>
        <v>0</v>
      </c>
    </row>
    <row r="1096" spans="7:12" x14ac:dyDescent="0.25">
      <c r="G1096">
        <f>Table001__Page_15[[#This Row],[FİYAT]]*Table001__Page_15[[#This Row],[MİKTAR]]</f>
        <v>0</v>
      </c>
      <c r="I1096">
        <f>Table001__Page_15[[#This Row],[FİYAT]]*Table001__Page_15[[#This Row],[Sütun2]]</f>
        <v>0</v>
      </c>
      <c r="L1096" s="50">
        <f>Table001__Page_15[[#This Row],[SATIŞ FİYATI]]-Table001__Page_15[[#This Row],[YUVARLAMA]]</f>
        <v>0</v>
      </c>
    </row>
    <row r="1097" spans="7:12" x14ac:dyDescent="0.25">
      <c r="G1097">
        <f>Table001__Page_15[[#This Row],[FİYAT]]*Table001__Page_15[[#This Row],[MİKTAR]]</f>
        <v>0</v>
      </c>
      <c r="I1097">
        <f>Table001__Page_15[[#This Row],[FİYAT]]*Table001__Page_15[[#This Row],[Sütun2]]</f>
        <v>0</v>
      </c>
      <c r="L1097" s="50">
        <f>Table001__Page_15[[#This Row],[SATIŞ FİYATI]]-Table001__Page_15[[#This Row],[YUVARLAMA]]</f>
        <v>0</v>
      </c>
    </row>
    <row r="1098" spans="7:12" x14ac:dyDescent="0.25">
      <c r="G1098">
        <f>Table001__Page_15[[#This Row],[FİYAT]]*Table001__Page_15[[#This Row],[MİKTAR]]</f>
        <v>0</v>
      </c>
      <c r="I1098">
        <f>Table001__Page_15[[#This Row],[FİYAT]]*Table001__Page_15[[#This Row],[Sütun2]]</f>
        <v>0</v>
      </c>
      <c r="L1098" s="50">
        <f>Table001__Page_15[[#This Row],[SATIŞ FİYATI]]-Table001__Page_15[[#This Row],[YUVARLAMA]]</f>
        <v>0</v>
      </c>
    </row>
    <row r="1099" spans="7:12" x14ac:dyDescent="0.25">
      <c r="G1099">
        <f>Table001__Page_15[[#This Row],[FİYAT]]*Table001__Page_15[[#This Row],[MİKTAR]]</f>
        <v>0</v>
      </c>
      <c r="I1099">
        <f>Table001__Page_15[[#This Row],[FİYAT]]*Table001__Page_15[[#This Row],[Sütun2]]</f>
        <v>0</v>
      </c>
      <c r="L1099" s="50">
        <f>Table001__Page_15[[#This Row],[SATIŞ FİYATI]]-Table001__Page_15[[#This Row],[YUVARLAMA]]</f>
        <v>0</v>
      </c>
    </row>
    <row r="1100" spans="7:12" x14ac:dyDescent="0.25">
      <c r="G1100">
        <f>Table001__Page_15[[#This Row],[FİYAT]]*Table001__Page_15[[#This Row],[MİKTAR]]</f>
        <v>0</v>
      </c>
      <c r="I1100">
        <f>Table001__Page_15[[#This Row],[FİYAT]]*Table001__Page_15[[#This Row],[Sütun2]]</f>
        <v>0</v>
      </c>
      <c r="L1100" s="50">
        <f>Table001__Page_15[[#This Row],[SATIŞ FİYATI]]-Table001__Page_15[[#This Row],[YUVARLAMA]]</f>
        <v>0</v>
      </c>
    </row>
    <row r="1101" spans="7:12" x14ac:dyDescent="0.25">
      <c r="G1101">
        <f>Table001__Page_15[[#This Row],[FİYAT]]*Table001__Page_15[[#This Row],[MİKTAR]]</f>
        <v>0</v>
      </c>
      <c r="I1101">
        <f>Table001__Page_15[[#This Row],[FİYAT]]*Table001__Page_15[[#This Row],[Sütun2]]</f>
        <v>0</v>
      </c>
      <c r="L1101" s="50">
        <f>Table001__Page_15[[#This Row],[SATIŞ FİYATI]]-Table001__Page_15[[#This Row],[YUVARLAMA]]</f>
        <v>0</v>
      </c>
    </row>
    <row r="1102" spans="7:12" x14ac:dyDescent="0.25">
      <c r="G1102">
        <f>Table001__Page_15[[#This Row],[FİYAT]]*Table001__Page_15[[#This Row],[MİKTAR]]</f>
        <v>0</v>
      </c>
      <c r="I1102">
        <f>Table001__Page_15[[#This Row],[FİYAT]]*Table001__Page_15[[#This Row],[Sütun2]]</f>
        <v>0</v>
      </c>
      <c r="L1102" s="50">
        <f>Table001__Page_15[[#This Row],[SATIŞ FİYATI]]-Table001__Page_15[[#This Row],[YUVARLAMA]]</f>
        <v>0</v>
      </c>
    </row>
    <row r="1103" spans="7:12" x14ac:dyDescent="0.25">
      <c r="G1103">
        <f>Table001__Page_15[[#This Row],[FİYAT]]*Table001__Page_15[[#This Row],[MİKTAR]]</f>
        <v>0</v>
      </c>
      <c r="I1103">
        <f>Table001__Page_15[[#This Row],[FİYAT]]*Table001__Page_15[[#This Row],[Sütun2]]</f>
        <v>0</v>
      </c>
      <c r="L1103" s="50">
        <f>Table001__Page_15[[#This Row],[SATIŞ FİYATI]]-Table001__Page_15[[#This Row],[YUVARLAMA]]</f>
        <v>0</v>
      </c>
    </row>
    <row r="1104" spans="7:12" x14ac:dyDescent="0.25">
      <c r="G1104">
        <f>Table001__Page_15[[#This Row],[FİYAT]]*Table001__Page_15[[#This Row],[MİKTAR]]</f>
        <v>0</v>
      </c>
      <c r="I1104">
        <f>Table001__Page_15[[#This Row],[FİYAT]]*Table001__Page_15[[#This Row],[Sütun2]]</f>
        <v>0</v>
      </c>
      <c r="L1104" s="50">
        <f>Table001__Page_15[[#This Row],[SATIŞ FİYATI]]-Table001__Page_15[[#This Row],[YUVARLAMA]]</f>
        <v>0</v>
      </c>
    </row>
    <row r="1105" spans="7:12" x14ac:dyDescent="0.25">
      <c r="G1105">
        <f>Table001__Page_15[[#This Row],[FİYAT]]*Table001__Page_15[[#This Row],[MİKTAR]]</f>
        <v>0</v>
      </c>
      <c r="I1105">
        <f>Table001__Page_15[[#This Row],[FİYAT]]*Table001__Page_15[[#This Row],[Sütun2]]</f>
        <v>0</v>
      </c>
      <c r="L1105" s="50">
        <f>Table001__Page_15[[#This Row],[SATIŞ FİYATI]]-Table001__Page_15[[#This Row],[YUVARLAMA]]</f>
        <v>0</v>
      </c>
    </row>
    <row r="1106" spans="7:12" x14ac:dyDescent="0.25">
      <c r="G1106">
        <f>Table001__Page_15[[#This Row],[FİYAT]]*Table001__Page_15[[#This Row],[MİKTAR]]</f>
        <v>0</v>
      </c>
      <c r="I1106">
        <f>Table001__Page_15[[#This Row],[FİYAT]]*Table001__Page_15[[#This Row],[Sütun2]]</f>
        <v>0</v>
      </c>
      <c r="L1106" s="50">
        <f>Table001__Page_15[[#This Row],[SATIŞ FİYATI]]-Table001__Page_15[[#This Row],[YUVARLAMA]]</f>
        <v>0</v>
      </c>
    </row>
    <row r="1107" spans="7:12" x14ac:dyDescent="0.25">
      <c r="G1107">
        <f>Table001__Page_15[[#This Row],[FİYAT]]*Table001__Page_15[[#This Row],[MİKTAR]]</f>
        <v>0</v>
      </c>
      <c r="I1107">
        <f>Table001__Page_15[[#This Row],[FİYAT]]*Table001__Page_15[[#This Row],[Sütun2]]</f>
        <v>0</v>
      </c>
      <c r="L1107" s="50">
        <f>Table001__Page_15[[#This Row],[SATIŞ FİYATI]]-Table001__Page_15[[#This Row],[YUVARLAMA]]</f>
        <v>0</v>
      </c>
    </row>
    <row r="1108" spans="7:12" x14ac:dyDescent="0.25">
      <c r="G1108">
        <f>Table001__Page_15[[#This Row],[FİYAT]]*Table001__Page_15[[#This Row],[MİKTAR]]</f>
        <v>0</v>
      </c>
      <c r="I1108">
        <f>Table001__Page_15[[#This Row],[FİYAT]]*Table001__Page_15[[#This Row],[Sütun2]]</f>
        <v>0</v>
      </c>
      <c r="L1108" s="50">
        <f>Table001__Page_15[[#This Row],[SATIŞ FİYATI]]-Table001__Page_15[[#This Row],[YUVARLAMA]]</f>
        <v>0</v>
      </c>
    </row>
    <row r="1109" spans="7:12" x14ac:dyDescent="0.25">
      <c r="G1109">
        <f>Table001__Page_15[[#This Row],[FİYAT]]*Table001__Page_15[[#This Row],[MİKTAR]]</f>
        <v>0</v>
      </c>
      <c r="I1109">
        <f>Table001__Page_15[[#This Row],[FİYAT]]*Table001__Page_15[[#This Row],[Sütun2]]</f>
        <v>0</v>
      </c>
      <c r="L1109" s="50">
        <f>Table001__Page_15[[#This Row],[SATIŞ FİYATI]]-Table001__Page_15[[#This Row],[YUVARLAMA]]</f>
        <v>0</v>
      </c>
    </row>
    <row r="1110" spans="7:12" x14ac:dyDescent="0.25">
      <c r="G1110">
        <f>Table001__Page_15[[#This Row],[FİYAT]]*Table001__Page_15[[#This Row],[MİKTAR]]</f>
        <v>0</v>
      </c>
      <c r="I1110">
        <f>Table001__Page_15[[#This Row],[FİYAT]]*Table001__Page_15[[#This Row],[Sütun2]]</f>
        <v>0</v>
      </c>
      <c r="L1110" s="50">
        <f>Table001__Page_15[[#This Row],[SATIŞ FİYATI]]-Table001__Page_15[[#This Row],[YUVARLAMA]]</f>
        <v>0</v>
      </c>
    </row>
    <row r="1111" spans="7:12" x14ac:dyDescent="0.25">
      <c r="G1111">
        <f>Table001__Page_15[[#This Row],[FİYAT]]*Table001__Page_15[[#This Row],[MİKTAR]]</f>
        <v>0</v>
      </c>
      <c r="I1111">
        <f>Table001__Page_15[[#This Row],[FİYAT]]*Table001__Page_15[[#This Row],[Sütun2]]</f>
        <v>0</v>
      </c>
      <c r="L1111" s="50">
        <f>Table001__Page_15[[#This Row],[SATIŞ FİYATI]]-Table001__Page_15[[#This Row],[YUVARLAMA]]</f>
        <v>0</v>
      </c>
    </row>
    <row r="1112" spans="7:12" x14ac:dyDescent="0.25">
      <c r="G1112">
        <f>Table001__Page_15[[#This Row],[FİYAT]]*Table001__Page_15[[#This Row],[MİKTAR]]</f>
        <v>0</v>
      </c>
      <c r="I1112">
        <f>Table001__Page_15[[#This Row],[FİYAT]]*Table001__Page_15[[#This Row],[Sütun2]]</f>
        <v>0</v>
      </c>
      <c r="L1112" s="50">
        <f>Table001__Page_15[[#This Row],[SATIŞ FİYATI]]-Table001__Page_15[[#This Row],[YUVARLAMA]]</f>
        <v>0</v>
      </c>
    </row>
    <row r="1113" spans="7:12" x14ac:dyDescent="0.25">
      <c r="G1113">
        <f>Table001__Page_15[[#This Row],[FİYAT]]*Table001__Page_15[[#This Row],[MİKTAR]]</f>
        <v>0</v>
      </c>
      <c r="I1113">
        <f>Table001__Page_15[[#This Row],[FİYAT]]*Table001__Page_15[[#This Row],[Sütun2]]</f>
        <v>0</v>
      </c>
      <c r="L1113" s="50">
        <f>Table001__Page_15[[#This Row],[SATIŞ FİYATI]]-Table001__Page_15[[#This Row],[YUVARLAMA]]</f>
        <v>0</v>
      </c>
    </row>
    <row r="1114" spans="7:12" x14ac:dyDescent="0.25">
      <c r="G1114">
        <f>Table001__Page_15[[#This Row],[FİYAT]]*Table001__Page_15[[#This Row],[MİKTAR]]</f>
        <v>0</v>
      </c>
      <c r="I1114">
        <f>Table001__Page_15[[#This Row],[FİYAT]]*Table001__Page_15[[#This Row],[Sütun2]]</f>
        <v>0</v>
      </c>
      <c r="L1114" s="50">
        <f>Table001__Page_15[[#This Row],[SATIŞ FİYATI]]-Table001__Page_15[[#This Row],[YUVARLAMA]]</f>
        <v>0</v>
      </c>
    </row>
    <row r="1115" spans="7:12" x14ac:dyDescent="0.25">
      <c r="G1115">
        <f>Table001__Page_15[[#This Row],[FİYAT]]*Table001__Page_15[[#This Row],[MİKTAR]]</f>
        <v>0</v>
      </c>
      <c r="I1115">
        <f>Table001__Page_15[[#This Row],[FİYAT]]*Table001__Page_15[[#This Row],[Sütun2]]</f>
        <v>0</v>
      </c>
      <c r="L1115" s="50">
        <f>Table001__Page_15[[#This Row],[SATIŞ FİYATI]]-Table001__Page_15[[#This Row],[YUVARLAMA]]</f>
        <v>0</v>
      </c>
    </row>
    <row r="1116" spans="7:12" x14ac:dyDescent="0.25">
      <c r="G1116">
        <f>Table001__Page_15[[#This Row],[FİYAT]]*Table001__Page_15[[#This Row],[MİKTAR]]</f>
        <v>0</v>
      </c>
      <c r="I1116">
        <f>Table001__Page_15[[#This Row],[FİYAT]]*Table001__Page_15[[#This Row],[Sütun2]]</f>
        <v>0</v>
      </c>
      <c r="L1116" s="50">
        <f>Table001__Page_15[[#This Row],[SATIŞ FİYATI]]-Table001__Page_15[[#This Row],[YUVARLAMA]]</f>
        <v>0</v>
      </c>
    </row>
    <row r="1117" spans="7:12" x14ac:dyDescent="0.25">
      <c r="G1117">
        <f>Table001__Page_15[[#This Row],[FİYAT]]*Table001__Page_15[[#This Row],[MİKTAR]]</f>
        <v>0</v>
      </c>
      <c r="I1117">
        <f>Table001__Page_15[[#This Row],[FİYAT]]*Table001__Page_15[[#This Row],[Sütun2]]</f>
        <v>0</v>
      </c>
      <c r="L1117" s="50">
        <f>Table001__Page_15[[#This Row],[SATIŞ FİYATI]]-Table001__Page_15[[#This Row],[YUVARLAMA]]</f>
        <v>0</v>
      </c>
    </row>
    <row r="1118" spans="7:12" x14ac:dyDescent="0.25">
      <c r="G1118">
        <f>Table001__Page_15[[#This Row],[FİYAT]]*Table001__Page_15[[#This Row],[MİKTAR]]</f>
        <v>0</v>
      </c>
      <c r="I1118">
        <f>Table001__Page_15[[#This Row],[FİYAT]]*Table001__Page_15[[#This Row],[Sütun2]]</f>
        <v>0</v>
      </c>
      <c r="L1118" s="50">
        <f>Table001__Page_15[[#This Row],[SATIŞ FİYATI]]-Table001__Page_15[[#This Row],[YUVARLAMA]]</f>
        <v>0</v>
      </c>
    </row>
    <row r="1119" spans="7:12" x14ac:dyDescent="0.25">
      <c r="G1119">
        <f>Table001__Page_15[[#This Row],[FİYAT]]*Table001__Page_15[[#This Row],[MİKTAR]]</f>
        <v>0</v>
      </c>
      <c r="I1119">
        <f>Table001__Page_15[[#This Row],[FİYAT]]*Table001__Page_15[[#This Row],[Sütun2]]</f>
        <v>0</v>
      </c>
      <c r="L1119" s="50">
        <f>Table001__Page_15[[#This Row],[SATIŞ FİYATI]]-Table001__Page_15[[#This Row],[YUVARLAMA]]</f>
        <v>0</v>
      </c>
    </row>
    <row r="1120" spans="7:12" x14ac:dyDescent="0.25">
      <c r="G1120">
        <f>Table001__Page_15[[#This Row],[FİYAT]]*Table001__Page_15[[#This Row],[MİKTAR]]</f>
        <v>0</v>
      </c>
      <c r="I1120">
        <f>Table001__Page_15[[#This Row],[FİYAT]]*Table001__Page_15[[#This Row],[Sütun2]]</f>
        <v>0</v>
      </c>
      <c r="L1120" s="50">
        <f>Table001__Page_15[[#This Row],[SATIŞ FİYATI]]-Table001__Page_15[[#This Row],[YUVARLAMA]]</f>
        <v>0</v>
      </c>
    </row>
    <row r="1121" spans="7:12" x14ac:dyDescent="0.25">
      <c r="G1121">
        <f>Table001__Page_15[[#This Row],[FİYAT]]*Table001__Page_15[[#This Row],[MİKTAR]]</f>
        <v>0</v>
      </c>
      <c r="I1121">
        <f>Table001__Page_15[[#This Row],[FİYAT]]*Table001__Page_15[[#This Row],[Sütun2]]</f>
        <v>0</v>
      </c>
      <c r="L1121" s="50">
        <f>Table001__Page_15[[#This Row],[SATIŞ FİYATI]]-Table001__Page_15[[#This Row],[YUVARLAMA]]</f>
        <v>0</v>
      </c>
    </row>
    <row r="1122" spans="7:12" x14ac:dyDescent="0.25">
      <c r="G1122">
        <f>Table001__Page_15[[#This Row],[FİYAT]]*Table001__Page_15[[#This Row],[MİKTAR]]</f>
        <v>0</v>
      </c>
      <c r="I1122">
        <f>Table001__Page_15[[#This Row],[FİYAT]]*Table001__Page_15[[#This Row],[Sütun2]]</f>
        <v>0</v>
      </c>
      <c r="L1122" s="50">
        <f>Table001__Page_15[[#This Row],[SATIŞ FİYATI]]-Table001__Page_15[[#This Row],[YUVARLAMA]]</f>
        <v>0</v>
      </c>
    </row>
    <row r="1123" spans="7:12" x14ac:dyDescent="0.25">
      <c r="G1123">
        <f>Table001__Page_15[[#This Row],[FİYAT]]*Table001__Page_15[[#This Row],[MİKTAR]]</f>
        <v>0</v>
      </c>
      <c r="I1123">
        <f>Table001__Page_15[[#This Row],[FİYAT]]*Table001__Page_15[[#This Row],[Sütun2]]</f>
        <v>0</v>
      </c>
      <c r="L1123" s="50">
        <f>Table001__Page_15[[#This Row],[SATIŞ FİYATI]]-Table001__Page_15[[#This Row],[YUVARLAMA]]</f>
        <v>0</v>
      </c>
    </row>
    <row r="1124" spans="7:12" x14ac:dyDescent="0.25">
      <c r="G1124">
        <f>Table001__Page_15[[#This Row],[FİYAT]]*Table001__Page_15[[#This Row],[MİKTAR]]</f>
        <v>0</v>
      </c>
      <c r="I1124">
        <f>Table001__Page_15[[#This Row],[FİYAT]]*Table001__Page_15[[#This Row],[Sütun2]]</f>
        <v>0</v>
      </c>
      <c r="L1124" s="50">
        <f>Table001__Page_15[[#This Row],[SATIŞ FİYATI]]-Table001__Page_15[[#This Row],[YUVARLAMA]]</f>
        <v>0</v>
      </c>
    </row>
    <row r="1125" spans="7:12" x14ac:dyDescent="0.25">
      <c r="G1125">
        <f>Table001__Page_15[[#This Row],[FİYAT]]*Table001__Page_15[[#This Row],[MİKTAR]]</f>
        <v>0</v>
      </c>
      <c r="I1125">
        <f>Table001__Page_15[[#This Row],[FİYAT]]*Table001__Page_15[[#This Row],[Sütun2]]</f>
        <v>0</v>
      </c>
      <c r="L1125" s="50">
        <f>Table001__Page_15[[#This Row],[SATIŞ FİYATI]]-Table001__Page_15[[#This Row],[YUVARLAMA]]</f>
        <v>0</v>
      </c>
    </row>
    <row r="1126" spans="7:12" x14ac:dyDescent="0.25">
      <c r="G1126">
        <f>Table001__Page_15[[#This Row],[FİYAT]]*Table001__Page_15[[#This Row],[MİKTAR]]</f>
        <v>0</v>
      </c>
      <c r="I1126">
        <f>Table001__Page_15[[#This Row],[FİYAT]]*Table001__Page_15[[#This Row],[Sütun2]]</f>
        <v>0</v>
      </c>
      <c r="L1126" s="50">
        <f>Table001__Page_15[[#This Row],[SATIŞ FİYATI]]-Table001__Page_15[[#This Row],[YUVARLAMA]]</f>
        <v>0</v>
      </c>
    </row>
    <row r="1127" spans="7:12" x14ac:dyDescent="0.25">
      <c r="G1127">
        <f>Table001__Page_15[[#This Row],[FİYAT]]*Table001__Page_15[[#This Row],[MİKTAR]]</f>
        <v>0</v>
      </c>
      <c r="I1127">
        <f>Table001__Page_15[[#This Row],[FİYAT]]*Table001__Page_15[[#This Row],[Sütun2]]</f>
        <v>0</v>
      </c>
      <c r="L1127" s="50">
        <f>Table001__Page_15[[#This Row],[SATIŞ FİYATI]]-Table001__Page_15[[#This Row],[YUVARLAMA]]</f>
        <v>0</v>
      </c>
    </row>
    <row r="1128" spans="7:12" x14ac:dyDescent="0.25">
      <c r="G1128">
        <f>Table001__Page_15[[#This Row],[FİYAT]]*Table001__Page_15[[#This Row],[MİKTAR]]</f>
        <v>0</v>
      </c>
      <c r="I1128">
        <f>Table001__Page_15[[#This Row],[FİYAT]]*Table001__Page_15[[#This Row],[Sütun2]]</f>
        <v>0</v>
      </c>
      <c r="L1128" s="50">
        <f>Table001__Page_15[[#This Row],[SATIŞ FİYATI]]-Table001__Page_15[[#This Row],[YUVARLAMA]]</f>
        <v>0</v>
      </c>
    </row>
    <row r="1129" spans="7:12" x14ac:dyDescent="0.25">
      <c r="G1129">
        <f>Table001__Page_15[[#This Row],[FİYAT]]*Table001__Page_15[[#This Row],[MİKTAR]]</f>
        <v>0</v>
      </c>
      <c r="I1129">
        <f>Table001__Page_15[[#This Row],[FİYAT]]*Table001__Page_15[[#This Row],[Sütun2]]</f>
        <v>0</v>
      </c>
      <c r="L1129" s="50">
        <f>Table001__Page_15[[#This Row],[SATIŞ FİYATI]]-Table001__Page_15[[#This Row],[YUVARLAMA]]</f>
        <v>0</v>
      </c>
    </row>
    <row r="1130" spans="7:12" x14ac:dyDescent="0.25">
      <c r="G1130">
        <f>Table001__Page_15[[#This Row],[FİYAT]]*Table001__Page_15[[#This Row],[MİKTAR]]</f>
        <v>0</v>
      </c>
      <c r="I1130">
        <f>Table001__Page_15[[#This Row],[FİYAT]]*Table001__Page_15[[#This Row],[Sütun2]]</f>
        <v>0</v>
      </c>
      <c r="L1130" s="50">
        <f>Table001__Page_15[[#This Row],[SATIŞ FİYATI]]-Table001__Page_15[[#This Row],[YUVARLAMA]]</f>
        <v>0</v>
      </c>
    </row>
    <row r="1131" spans="7:12" x14ac:dyDescent="0.25">
      <c r="G1131">
        <f>Table001__Page_15[[#This Row],[FİYAT]]*Table001__Page_15[[#This Row],[MİKTAR]]</f>
        <v>0</v>
      </c>
      <c r="I1131">
        <f>Table001__Page_15[[#This Row],[FİYAT]]*Table001__Page_15[[#This Row],[Sütun2]]</f>
        <v>0</v>
      </c>
      <c r="L1131" s="50">
        <f>Table001__Page_15[[#This Row],[SATIŞ FİYATI]]-Table001__Page_15[[#This Row],[YUVARLAMA]]</f>
        <v>0</v>
      </c>
    </row>
    <row r="1132" spans="7:12" x14ac:dyDescent="0.25">
      <c r="G1132">
        <f>Table001__Page_15[[#This Row],[FİYAT]]*Table001__Page_15[[#This Row],[MİKTAR]]</f>
        <v>0</v>
      </c>
      <c r="I1132">
        <f>Table001__Page_15[[#This Row],[FİYAT]]*Table001__Page_15[[#This Row],[Sütun2]]</f>
        <v>0</v>
      </c>
      <c r="L1132" s="50">
        <f>Table001__Page_15[[#This Row],[SATIŞ FİYATI]]-Table001__Page_15[[#This Row],[YUVARLAMA]]</f>
        <v>0</v>
      </c>
    </row>
    <row r="1133" spans="7:12" x14ac:dyDescent="0.25">
      <c r="G1133">
        <f>Table001__Page_15[[#This Row],[FİYAT]]*Table001__Page_15[[#This Row],[MİKTAR]]</f>
        <v>0</v>
      </c>
      <c r="I1133">
        <f>Table001__Page_15[[#This Row],[FİYAT]]*Table001__Page_15[[#This Row],[Sütun2]]</f>
        <v>0</v>
      </c>
      <c r="L1133" s="50">
        <f>Table001__Page_15[[#This Row],[SATIŞ FİYATI]]-Table001__Page_15[[#This Row],[YUVARLAMA]]</f>
        <v>0</v>
      </c>
    </row>
    <row r="1134" spans="7:12" x14ac:dyDescent="0.25">
      <c r="G1134">
        <f>Table001__Page_15[[#This Row],[FİYAT]]*Table001__Page_15[[#This Row],[MİKTAR]]</f>
        <v>0</v>
      </c>
      <c r="I1134">
        <f>Table001__Page_15[[#This Row],[FİYAT]]*Table001__Page_15[[#This Row],[Sütun2]]</f>
        <v>0</v>
      </c>
      <c r="L1134" s="50">
        <f>Table001__Page_15[[#This Row],[SATIŞ FİYATI]]-Table001__Page_15[[#This Row],[YUVARLAMA]]</f>
        <v>0</v>
      </c>
    </row>
    <row r="1135" spans="7:12" x14ac:dyDescent="0.25">
      <c r="G1135">
        <f>Table001__Page_15[[#This Row],[FİYAT]]*Table001__Page_15[[#This Row],[MİKTAR]]</f>
        <v>0</v>
      </c>
      <c r="I1135">
        <f>Table001__Page_15[[#This Row],[FİYAT]]*Table001__Page_15[[#This Row],[Sütun2]]</f>
        <v>0</v>
      </c>
      <c r="L1135" s="50">
        <f>Table001__Page_15[[#This Row],[SATIŞ FİYATI]]-Table001__Page_15[[#This Row],[YUVARLAMA]]</f>
        <v>0</v>
      </c>
    </row>
    <row r="1136" spans="7:12" x14ac:dyDescent="0.25">
      <c r="G1136">
        <f>Table001__Page_15[[#This Row],[FİYAT]]*Table001__Page_15[[#This Row],[MİKTAR]]</f>
        <v>0</v>
      </c>
      <c r="I1136">
        <f>Table001__Page_15[[#This Row],[FİYAT]]*Table001__Page_15[[#This Row],[Sütun2]]</f>
        <v>0</v>
      </c>
      <c r="L1136" s="50">
        <f>Table001__Page_15[[#This Row],[SATIŞ FİYATI]]-Table001__Page_15[[#This Row],[YUVARLAMA]]</f>
        <v>0</v>
      </c>
    </row>
    <row r="1137" spans="7:12" x14ac:dyDescent="0.25">
      <c r="G1137">
        <f>Table001__Page_15[[#This Row],[FİYAT]]*Table001__Page_15[[#This Row],[MİKTAR]]</f>
        <v>0</v>
      </c>
      <c r="I1137">
        <f>Table001__Page_15[[#This Row],[FİYAT]]*Table001__Page_15[[#This Row],[Sütun2]]</f>
        <v>0</v>
      </c>
      <c r="L1137" s="50">
        <f>Table001__Page_15[[#This Row],[SATIŞ FİYATI]]-Table001__Page_15[[#This Row],[YUVARLAMA]]</f>
        <v>0</v>
      </c>
    </row>
    <row r="1138" spans="7:12" x14ac:dyDescent="0.25">
      <c r="G1138">
        <f>Table001__Page_15[[#This Row],[FİYAT]]*Table001__Page_15[[#This Row],[MİKTAR]]</f>
        <v>0</v>
      </c>
      <c r="I1138">
        <f>Table001__Page_15[[#This Row],[FİYAT]]*Table001__Page_15[[#This Row],[Sütun2]]</f>
        <v>0</v>
      </c>
      <c r="L1138" s="50">
        <f>Table001__Page_15[[#This Row],[SATIŞ FİYATI]]-Table001__Page_15[[#This Row],[YUVARLAMA]]</f>
        <v>0</v>
      </c>
    </row>
    <row r="1139" spans="7:12" x14ac:dyDescent="0.25">
      <c r="G1139">
        <f>Table001__Page_15[[#This Row],[FİYAT]]*Table001__Page_15[[#This Row],[MİKTAR]]</f>
        <v>0</v>
      </c>
      <c r="I1139">
        <f>Table001__Page_15[[#This Row],[FİYAT]]*Table001__Page_15[[#This Row],[Sütun2]]</f>
        <v>0</v>
      </c>
      <c r="L1139" s="50">
        <f>Table001__Page_15[[#This Row],[SATIŞ FİYATI]]-Table001__Page_15[[#This Row],[YUVARLAMA]]</f>
        <v>0</v>
      </c>
    </row>
    <row r="1140" spans="7:12" x14ac:dyDescent="0.25">
      <c r="G1140">
        <f>Table001__Page_15[[#This Row],[FİYAT]]*Table001__Page_15[[#This Row],[MİKTAR]]</f>
        <v>0</v>
      </c>
      <c r="I1140">
        <f>Table001__Page_15[[#This Row],[FİYAT]]*Table001__Page_15[[#This Row],[Sütun2]]</f>
        <v>0</v>
      </c>
      <c r="L1140" s="50">
        <f>Table001__Page_15[[#This Row],[SATIŞ FİYATI]]-Table001__Page_15[[#This Row],[YUVARLAMA]]</f>
        <v>0</v>
      </c>
    </row>
    <row r="1141" spans="7:12" x14ac:dyDescent="0.25">
      <c r="G1141">
        <f>Table001__Page_15[[#This Row],[FİYAT]]*Table001__Page_15[[#This Row],[MİKTAR]]</f>
        <v>0</v>
      </c>
      <c r="I1141">
        <f>Table001__Page_15[[#This Row],[FİYAT]]*Table001__Page_15[[#This Row],[Sütun2]]</f>
        <v>0</v>
      </c>
      <c r="L1141" s="50">
        <f>Table001__Page_15[[#This Row],[SATIŞ FİYATI]]-Table001__Page_15[[#This Row],[YUVARLAMA]]</f>
        <v>0</v>
      </c>
    </row>
    <row r="1142" spans="7:12" x14ac:dyDescent="0.25">
      <c r="G1142">
        <f>Table001__Page_15[[#This Row],[FİYAT]]*Table001__Page_15[[#This Row],[MİKTAR]]</f>
        <v>0</v>
      </c>
      <c r="I1142">
        <f>Table001__Page_15[[#This Row],[FİYAT]]*Table001__Page_15[[#This Row],[Sütun2]]</f>
        <v>0</v>
      </c>
      <c r="L1142" s="50">
        <f>Table001__Page_15[[#This Row],[SATIŞ FİYATI]]-Table001__Page_15[[#This Row],[YUVARLAMA]]</f>
        <v>0</v>
      </c>
    </row>
    <row r="1143" spans="7:12" x14ac:dyDescent="0.25">
      <c r="G1143">
        <f>Table001__Page_15[[#This Row],[FİYAT]]*Table001__Page_15[[#This Row],[MİKTAR]]</f>
        <v>0</v>
      </c>
      <c r="I1143">
        <f>Table001__Page_15[[#This Row],[FİYAT]]*Table001__Page_15[[#This Row],[Sütun2]]</f>
        <v>0</v>
      </c>
      <c r="L1143" s="50">
        <f>Table001__Page_15[[#This Row],[SATIŞ FİYATI]]-Table001__Page_15[[#This Row],[YUVARLAMA]]</f>
        <v>0</v>
      </c>
    </row>
    <row r="1144" spans="7:12" x14ac:dyDescent="0.25">
      <c r="G1144">
        <f>Table001__Page_15[[#This Row],[FİYAT]]*Table001__Page_15[[#This Row],[MİKTAR]]</f>
        <v>0</v>
      </c>
      <c r="I1144">
        <f>Table001__Page_15[[#This Row],[FİYAT]]*Table001__Page_15[[#This Row],[Sütun2]]</f>
        <v>0</v>
      </c>
      <c r="L1144" s="50">
        <f>Table001__Page_15[[#This Row],[SATIŞ FİYATI]]-Table001__Page_15[[#This Row],[YUVARLAMA]]</f>
        <v>0</v>
      </c>
    </row>
    <row r="1145" spans="7:12" x14ac:dyDescent="0.25">
      <c r="G1145">
        <f>Table001__Page_15[[#This Row],[FİYAT]]*Table001__Page_15[[#This Row],[MİKTAR]]</f>
        <v>0</v>
      </c>
      <c r="I1145">
        <f>Table001__Page_15[[#This Row],[FİYAT]]*Table001__Page_15[[#This Row],[Sütun2]]</f>
        <v>0</v>
      </c>
      <c r="L1145" s="50">
        <f>Table001__Page_15[[#This Row],[SATIŞ FİYATI]]-Table001__Page_15[[#This Row],[YUVARLAMA]]</f>
        <v>0</v>
      </c>
    </row>
    <row r="1146" spans="7:12" x14ac:dyDescent="0.25">
      <c r="G1146">
        <f>Table001__Page_15[[#This Row],[FİYAT]]*Table001__Page_15[[#This Row],[MİKTAR]]</f>
        <v>0</v>
      </c>
      <c r="I1146">
        <f>Table001__Page_15[[#This Row],[FİYAT]]*Table001__Page_15[[#This Row],[Sütun2]]</f>
        <v>0</v>
      </c>
      <c r="L1146" s="50">
        <f>Table001__Page_15[[#This Row],[SATIŞ FİYATI]]-Table001__Page_15[[#This Row],[YUVARLAMA]]</f>
        <v>0</v>
      </c>
    </row>
    <row r="1147" spans="7:12" x14ac:dyDescent="0.25">
      <c r="G1147">
        <f>Table001__Page_15[[#This Row],[FİYAT]]*Table001__Page_15[[#This Row],[MİKTAR]]</f>
        <v>0</v>
      </c>
      <c r="I1147">
        <f>Table001__Page_15[[#This Row],[FİYAT]]*Table001__Page_15[[#This Row],[Sütun2]]</f>
        <v>0</v>
      </c>
      <c r="L1147" s="50">
        <f>Table001__Page_15[[#This Row],[SATIŞ FİYATI]]-Table001__Page_15[[#This Row],[YUVARLAMA]]</f>
        <v>0</v>
      </c>
    </row>
    <row r="1148" spans="7:12" x14ac:dyDescent="0.25">
      <c r="G1148">
        <f>Table001__Page_15[[#This Row],[FİYAT]]*Table001__Page_15[[#This Row],[MİKTAR]]</f>
        <v>0</v>
      </c>
      <c r="I1148">
        <f>Table001__Page_15[[#This Row],[FİYAT]]*Table001__Page_15[[#This Row],[Sütun2]]</f>
        <v>0</v>
      </c>
      <c r="L1148" s="50">
        <f>Table001__Page_15[[#This Row],[SATIŞ FİYATI]]-Table001__Page_15[[#This Row],[YUVARLAMA]]</f>
        <v>0</v>
      </c>
    </row>
    <row r="1149" spans="7:12" x14ac:dyDescent="0.25">
      <c r="G1149">
        <f>Table001__Page_15[[#This Row],[FİYAT]]*Table001__Page_15[[#This Row],[MİKTAR]]</f>
        <v>0</v>
      </c>
      <c r="I1149">
        <f>Table001__Page_15[[#This Row],[FİYAT]]*Table001__Page_15[[#This Row],[Sütun2]]</f>
        <v>0</v>
      </c>
      <c r="L1149" s="50">
        <f>Table001__Page_15[[#This Row],[SATIŞ FİYATI]]-Table001__Page_15[[#This Row],[YUVARLAMA]]</f>
        <v>0</v>
      </c>
    </row>
    <row r="1150" spans="7:12" x14ac:dyDescent="0.25">
      <c r="G1150">
        <f>Table001__Page_15[[#This Row],[FİYAT]]*Table001__Page_15[[#This Row],[MİKTAR]]</f>
        <v>0</v>
      </c>
      <c r="I1150">
        <f>Table001__Page_15[[#This Row],[FİYAT]]*Table001__Page_15[[#This Row],[Sütun2]]</f>
        <v>0</v>
      </c>
      <c r="L1150" s="50">
        <f>Table001__Page_15[[#This Row],[SATIŞ FİYATI]]-Table001__Page_15[[#This Row],[YUVARLAMA]]</f>
        <v>0</v>
      </c>
    </row>
    <row r="1151" spans="7:12" x14ac:dyDescent="0.25">
      <c r="G1151">
        <f>Table001__Page_15[[#This Row],[FİYAT]]*Table001__Page_15[[#This Row],[MİKTAR]]</f>
        <v>0</v>
      </c>
      <c r="I1151">
        <f>Table001__Page_15[[#This Row],[FİYAT]]*Table001__Page_15[[#This Row],[Sütun2]]</f>
        <v>0</v>
      </c>
      <c r="L1151" s="50">
        <f>Table001__Page_15[[#This Row],[SATIŞ FİYATI]]-Table001__Page_15[[#This Row],[YUVARLAMA]]</f>
        <v>0</v>
      </c>
    </row>
    <row r="1152" spans="7:12" x14ac:dyDescent="0.25">
      <c r="G1152">
        <f>Table001__Page_15[[#This Row],[FİYAT]]*Table001__Page_15[[#This Row],[MİKTAR]]</f>
        <v>0</v>
      </c>
      <c r="I1152">
        <f>Table001__Page_15[[#This Row],[FİYAT]]*Table001__Page_15[[#This Row],[Sütun2]]</f>
        <v>0</v>
      </c>
      <c r="L1152" s="50">
        <f>Table001__Page_15[[#This Row],[SATIŞ FİYATI]]-Table001__Page_15[[#This Row],[YUVARLAMA]]</f>
        <v>0</v>
      </c>
    </row>
    <row r="1153" spans="7:12" x14ac:dyDescent="0.25">
      <c r="G1153">
        <f>Table001__Page_15[[#This Row],[FİYAT]]*Table001__Page_15[[#This Row],[MİKTAR]]</f>
        <v>0</v>
      </c>
      <c r="I1153">
        <f>Table001__Page_15[[#This Row],[FİYAT]]*Table001__Page_15[[#This Row],[Sütun2]]</f>
        <v>0</v>
      </c>
      <c r="L1153" s="50">
        <f>Table001__Page_15[[#This Row],[SATIŞ FİYATI]]-Table001__Page_15[[#This Row],[YUVARLAMA]]</f>
        <v>0</v>
      </c>
    </row>
    <row r="1154" spans="7:12" x14ac:dyDescent="0.25">
      <c r="G1154">
        <f>Table001__Page_15[[#This Row],[FİYAT]]*Table001__Page_15[[#This Row],[MİKTAR]]</f>
        <v>0</v>
      </c>
      <c r="I1154">
        <f>Table001__Page_15[[#This Row],[FİYAT]]*Table001__Page_15[[#This Row],[Sütun2]]</f>
        <v>0</v>
      </c>
      <c r="L1154" s="50">
        <f>Table001__Page_15[[#This Row],[SATIŞ FİYATI]]-Table001__Page_15[[#This Row],[YUVARLAMA]]</f>
        <v>0</v>
      </c>
    </row>
    <row r="1155" spans="7:12" x14ac:dyDescent="0.25">
      <c r="G1155">
        <f>Table001__Page_15[[#This Row],[FİYAT]]*Table001__Page_15[[#This Row],[MİKTAR]]</f>
        <v>0</v>
      </c>
      <c r="I1155">
        <f>Table001__Page_15[[#This Row],[FİYAT]]*Table001__Page_15[[#This Row],[Sütun2]]</f>
        <v>0</v>
      </c>
      <c r="L1155" s="50">
        <f>Table001__Page_15[[#This Row],[SATIŞ FİYATI]]-Table001__Page_15[[#This Row],[YUVARLAMA]]</f>
        <v>0</v>
      </c>
    </row>
    <row r="1156" spans="7:12" x14ac:dyDescent="0.25">
      <c r="G1156">
        <f>Table001__Page_15[[#This Row],[FİYAT]]*Table001__Page_15[[#This Row],[MİKTAR]]</f>
        <v>0</v>
      </c>
      <c r="I1156">
        <f>Table001__Page_15[[#This Row],[FİYAT]]*Table001__Page_15[[#This Row],[Sütun2]]</f>
        <v>0</v>
      </c>
      <c r="L1156" s="50">
        <f>Table001__Page_15[[#This Row],[SATIŞ FİYATI]]-Table001__Page_15[[#This Row],[YUVARLAMA]]</f>
        <v>0</v>
      </c>
    </row>
    <row r="1157" spans="7:12" x14ac:dyDescent="0.25">
      <c r="G1157">
        <f>Table001__Page_15[[#This Row],[FİYAT]]*Table001__Page_15[[#This Row],[MİKTAR]]</f>
        <v>0</v>
      </c>
      <c r="I1157">
        <f>Table001__Page_15[[#This Row],[FİYAT]]*Table001__Page_15[[#This Row],[Sütun2]]</f>
        <v>0</v>
      </c>
      <c r="L1157" s="50">
        <f>Table001__Page_15[[#This Row],[SATIŞ FİYATI]]-Table001__Page_15[[#This Row],[YUVARLAMA]]</f>
        <v>0</v>
      </c>
    </row>
    <row r="1158" spans="7:12" x14ac:dyDescent="0.25">
      <c r="G1158">
        <f>Table001__Page_15[[#This Row],[FİYAT]]*Table001__Page_15[[#This Row],[MİKTAR]]</f>
        <v>0</v>
      </c>
      <c r="I1158">
        <f>Table001__Page_15[[#This Row],[FİYAT]]*Table001__Page_15[[#This Row],[Sütun2]]</f>
        <v>0</v>
      </c>
      <c r="L1158" s="50">
        <f>Table001__Page_15[[#This Row],[SATIŞ FİYATI]]-Table001__Page_15[[#This Row],[YUVARLAMA]]</f>
        <v>0</v>
      </c>
    </row>
    <row r="1159" spans="7:12" x14ac:dyDescent="0.25">
      <c r="G1159">
        <f>Table001__Page_15[[#This Row],[FİYAT]]*Table001__Page_15[[#This Row],[MİKTAR]]</f>
        <v>0</v>
      </c>
      <c r="I1159">
        <f>Table001__Page_15[[#This Row],[FİYAT]]*Table001__Page_15[[#This Row],[Sütun2]]</f>
        <v>0</v>
      </c>
      <c r="L1159" s="50">
        <f>Table001__Page_15[[#This Row],[SATIŞ FİYATI]]-Table001__Page_15[[#This Row],[YUVARLAMA]]</f>
        <v>0</v>
      </c>
    </row>
    <row r="1160" spans="7:12" x14ac:dyDescent="0.25">
      <c r="G1160">
        <f>Table001__Page_15[[#This Row],[FİYAT]]*Table001__Page_15[[#This Row],[MİKTAR]]</f>
        <v>0</v>
      </c>
      <c r="I1160">
        <f>Table001__Page_15[[#This Row],[FİYAT]]*Table001__Page_15[[#This Row],[Sütun2]]</f>
        <v>0</v>
      </c>
      <c r="L1160" s="50">
        <f>Table001__Page_15[[#This Row],[SATIŞ FİYATI]]-Table001__Page_15[[#This Row],[YUVARLAMA]]</f>
        <v>0</v>
      </c>
    </row>
    <row r="1161" spans="7:12" x14ac:dyDescent="0.25">
      <c r="G1161">
        <f>Table001__Page_15[[#This Row],[FİYAT]]*Table001__Page_15[[#This Row],[MİKTAR]]</f>
        <v>0</v>
      </c>
      <c r="I1161">
        <f>Table001__Page_15[[#This Row],[FİYAT]]*Table001__Page_15[[#This Row],[Sütun2]]</f>
        <v>0</v>
      </c>
      <c r="L1161" s="50">
        <f>Table001__Page_15[[#This Row],[SATIŞ FİYATI]]-Table001__Page_15[[#This Row],[YUVARLAMA]]</f>
        <v>0</v>
      </c>
    </row>
    <row r="1162" spans="7:12" x14ac:dyDescent="0.25">
      <c r="G1162">
        <f>Table001__Page_15[[#This Row],[FİYAT]]*Table001__Page_15[[#This Row],[MİKTAR]]</f>
        <v>0</v>
      </c>
      <c r="I1162">
        <f>Table001__Page_15[[#This Row],[FİYAT]]*Table001__Page_15[[#This Row],[Sütun2]]</f>
        <v>0</v>
      </c>
      <c r="L1162" s="50">
        <f>Table001__Page_15[[#This Row],[SATIŞ FİYATI]]-Table001__Page_15[[#This Row],[YUVARLAMA]]</f>
        <v>0</v>
      </c>
    </row>
    <row r="1163" spans="7:12" x14ac:dyDescent="0.25">
      <c r="G1163">
        <f>Table001__Page_15[[#This Row],[FİYAT]]*Table001__Page_15[[#This Row],[MİKTAR]]</f>
        <v>0</v>
      </c>
      <c r="I1163">
        <f>Table001__Page_15[[#This Row],[FİYAT]]*Table001__Page_15[[#This Row],[Sütun2]]</f>
        <v>0</v>
      </c>
      <c r="L1163" s="50">
        <f>Table001__Page_15[[#This Row],[SATIŞ FİYATI]]-Table001__Page_15[[#This Row],[YUVARLAMA]]</f>
        <v>0</v>
      </c>
    </row>
    <row r="1164" spans="7:12" x14ac:dyDescent="0.25">
      <c r="G1164">
        <f>Table001__Page_15[[#This Row],[FİYAT]]*Table001__Page_15[[#This Row],[MİKTAR]]</f>
        <v>0</v>
      </c>
      <c r="I1164">
        <f>Table001__Page_15[[#This Row],[FİYAT]]*Table001__Page_15[[#This Row],[Sütun2]]</f>
        <v>0</v>
      </c>
      <c r="L1164" s="50">
        <f>Table001__Page_15[[#This Row],[SATIŞ FİYATI]]-Table001__Page_15[[#This Row],[YUVARLAMA]]</f>
        <v>0</v>
      </c>
    </row>
    <row r="1165" spans="7:12" x14ac:dyDescent="0.25">
      <c r="G1165">
        <f>Table001__Page_15[[#This Row],[FİYAT]]*Table001__Page_15[[#This Row],[MİKTAR]]</f>
        <v>0</v>
      </c>
      <c r="I1165">
        <f>Table001__Page_15[[#This Row],[FİYAT]]*Table001__Page_15[[#This Row],[Sütun2]]</f>
        <v>0</v>
      </c>
      <c r="L1165" s="50">
        <f>Table001__Page_15[[#This Row],[SATIŞ FİYATI]]-Table001__Page_15[[#This Row],[YUVARLAMA]]</f>
        <v>0</v>
      </c>
    </row>
    <row r="1166" spans="7:12" x14ac:dyDescent="0.25">
      <c r="G1166">
        <f>Table001__Page_15[[#This Row],[FİYAT]]*Table001__Page_15[[#This Row],[MİKTAR]]</f>
        <v>0</v>
      </c>
      <c r="I1166">
        <f>Table001__Page_15[[#This Row],[FİYAT]]*Table001__Page_15[[#This Row],[Sütun2]]</f>
        <v>0</v>
      </c>
      <c r="L1166" s="50">
        <f>Table001__Page_15[[#This Row],[SATIŞ FİYATI]]-Table001__Page_15[[#This Row],[YUVARLAMA]]</f>
        <v>0</v>
      </c>
    </row>
    <row r="1167" spans="7:12" x14ac:dyDescent="0.25">
      <c r="G1167">
        <f>Table001__Page_15[[#This Row],[FİYAT]]*Table001__Page_15[[#This Row],[MİKTAR]]</f>
        <v>0</v>
      </c>
      <c r="I1167">
        <f>Table001__Page_15[[#This Row],[FİYAT]]*Table001__Page_15[[#This Row],[Sütun2]]</f>
        <v>0</v>
      </c>
      <c r="L1167" s="50">
        <f>Table001__Page_15[[#This Row],[SATIŞ FİYATI]]-Table001__Page_15[[#This Row],[YUVARLAMA]]</f>
        <v>0</v>
      </c>
    </row>
    <row r="1168" spans="7:12" x14ac:dyDescent="0.25">
      <c r="G1168">
        <f>Table001__Page_15[[#This Row],[FİYAT]]*Table001__Page_15[[#This Row],[MİKTAR]]</f>
        <v>0</v>
      </c>
      <c r="I1168">
        <f>Table001__Page_15[[#This Row],[FİYAT]]*Table001__Page_15[[#This Row],[Sütun2]]</f>
        <v>0</v>
      </c>
      <c r="L1168" s="50">
        <f>Table001__Page_15[[#This Row],[SATIŞ FİYATI]]-Table001__Page_15[[#This Row],[YUVARLAMA]]</f>
        <v>0</v>
      </c>
    </row>
    <row r="1169" spans="7:12" x14ac:dyDescent="0.25">
      <c r="G1169">
        <f>Table001__Page_15[[#This Row],[FİYAT]]*Table001__Page_15[[#This Row],[MİKTAR]]</f>
        <v>0</v>
      </c>
      <c r="I1169">
        <f>Table001__Page_15[[#This Row],[FİYAT]]*Table001__Page_15[[#This Row],[Sütun2]]</f>
        <v>0</v>
      </c>
      <c r="L1169" s="50">
        <f>Table001__Page_15[[#This Row],[SATIŞ FİYATI]]-Table001__Page_15[[#This Row],[YUVARLAMA]]</f>
        <v>0</v>
      </c>
    </row>
    <row r="1170" spans="7:12" x14ac:dyDescent="0.25">
      <c r="G1170">
        <f>Table001__Page_15[[#This Row],[FİYAT]]*Table001__Page_15[[#This Row],[MİKTAR]]</f>
        <v>0</v>
      </c>
      <c r="I1170">
        <f>Table001__Page_15[[#This Row],[FİYAT]]*Table001__Page_15[[#This Row],[Sütun2]]</f>
        <v>0</v>
      </c>
      <c r="L1170" s="50">
        <f>Table001__Page_15[[#This Row],[SATIŞ FİYATI]]-Table001__Page_15[[#This Row],[YUVARLAMA]]</f>
        <v>0</v>
      </c>
    </row>
    <row r="1171" spans="7:12" x14ac:dyDescent="0.25">
      <c r="G1171">
        <f>Table001__Page_15[[#This Row],[FİYAT]]*Table001__Page_15[[#This Row],[MİKTAR]]</f>
        <v>0</v>
      </c>
      <c r="I1171">
        <f>Table001__Page_15[[#This Row],[FİYAT]]*Table001__Page_15[[#This Row],[Sütun2]]</f>
        <v>0</v>
      </c>
      <c r="L1171" s="50">
        <f>Table001__Page_15[[#This Row],[SATIŞ FİYATI]]-Table001__Page_15[[#This Row],[YUVARLAMA]]</f>
        <v>0</v>
      </c>
    </row>
    <row r="1172" spans="7:12" x14ac:dyDescent="0.25">
      <c r="G1172">
        <f>Table001__Page_15[[#This Row],[FİYAT]]*Table001__Page_15[[#This Row],[MİKTAR]]</f>
        <v>0</v>
      </c>
      <c r="I1172">
        <f>Table001__Page_15[[#This Row],[FİYAT]]*Table001__Page_15[[#This Row],[Sütun2]]</f>
        <v>0</v>
      </c>
      <c r="L1172" s="50">
        <f>Table001__Page_15[[#This Row],[SATIŞ FİYATI]]-Table001__Page_15[[#This Row],[YUVARLAMA]]</f>
        <v>0</v>
      </c>
    </row>
    <row r="1173" spans="7:12" x14ac:dyDescent="0.25">
      <c r="G1173">
        <f>Table001__Page_15[[#This Row],[FİYAT]]*Table001__Page_15[[#This Row],[MİKTAR]]</f>
        <v>0</v>
      </c>
      <c r="I1173">
        <f>Table001__Page_15[[#This Row],[FİYAT]]*Table001__Page_15[[#This Row],[Sütun2]]</f>
        <v>0</v>
      </c>
      <c r="L1173" s="50">
        <f>Table001__Page_15[[#This Row],[SATIŞ FİYATI]]-Table001__Page_15[[#This Row],[YUVARLAMA]]</f>
        <v>0</v>
      </c>
    </row>
    <row r="1174" spans="7:12" x14ac:dyDescent="0.25">
      <c r="G1174">
        <f>Table001__Page_15[[#This Row],[FİYAT]]*Table001__Page_15[[#This Row],[MİKTAR]]</f>
        <v>0</v>
      </c>
      <c r="I1174">
        <f>Table001__Page_15[[#This Row],[FİYAT]]*Table001__Page_15[[#This Row],[Sütun2]]</f>
        <v>0</v>
      </c>
      <c r="L1174" s="50">
        <f>Table001__Page_15[[#This Row],[SATIŞ FİYATI]]-Table001__Page_15[[#This Row],[YUVARLAMA]]</f>
        <v>0</v>
      </c>
    </row>
    <row r="1175" spans="7:12" x14ac:dyDescent="0.25">
      <c r="G1175">
        <f>Table001__Page_15[[#This Row],[FİYAT]]*Table001__Page_15[[#This Row],[MİKTAR]]</f>
        <v>0</v>
      </c>
      <c r="I1175">
        <f>Table001__Page_15[[#This Row],[FİYAT]]*Table001__Page_15[[#This Row],[Sütun2]]</f>
        <v>0</v>
      </c>
      <c r="L1175" s="50">
        <f>Table001__Page_15[[#This Row],[SATIŞ FİYATI]]-Table001__Page_15[[#This Row],[YUVARLAMA]]</f>
        <v>0</v>
      </c>
    </row>
    <row r="1176" spans="7:12" x14ac:dyDescent="0.25">
      <c r="G1176">
        <f>Table001__Page_15[[#This Row],[FİYAT]]*Table001__Page_15[[#This Row],[MİKTAR]]</f>
        <v>0</v>
      </c>
      <c r="I1176">
        <f>Table001__Page_15[[#This Row],[FİYAT]]*Table001__Page_15[[#This Row],[Sütun2]]</f>
        <v>0</v>
      </c>
      <c r="L1176" s="50">
        <f>Table001__Page_15[[#This Row],[SATIŞ FİYATI]]-Table001__Page_15[[#This Row],[YUVARLAMA]]</f>
        <v>0</v>
      </c>
    </row>
    <row r="1177" spans="7:12" x14ac:dyDescent="0.25">
      <c r="G1177">
        <f>Table001__Page_15[[#This Row],[FİYAT]]*Table001__Page_15[[#This Row],[MİKTAR]]</f>
        <v>0</v>
      </c>
      <c r="I1177">
        <f>Table001__Page_15[[#This Row],[FİYAT]]*Table001__Page_15[[#This Row],[Sütun2]]</f>
        <v>0</v>
      </c>
      <c r="L1177" s="50">
        <f>Table001__Page_15[[#This Row],[SATIŞ FİYATI]]-Table001__Page_15[[#This Row],[YUVARLAMA]]</f>
        <v>0</v>
      </c>
    </row>
    <row r="1178" spans="7:12" x14ac:dyDescent="0.25">
      <c r="G1178">
        <f>Table001__Page_15[[#This Row],[FİYAT]]*Table001__Page_15[[#This Row],[MİKTAR]]</f>
        <v>0</v>
      </c>
      <c r="I1178">
        <f>Table001__Page_15[[#This Row],[FİYAT]]*Table001__Page_15[[#This Row],[Sütun2]]</f>
        <v>0</v>
      </c>
      <c r="L1178" s="50">
        <f>Table001__Page_15[[#This Row],[SATIŞ FİYATI]]-Table001__Page_15[[#This Row],[YUVARLAMA]]</f>
        <v>0</v>
      </c>
    </row>
    <row r="1179" spans="7:12" x14ac:dyDescent="0.25">
      <c r="G1179">
        <f>Table001__Page_15[[#This Row],[FİYAT]]*Table001__Page_15[[#This Row],[MİKTAR]]</f>
        <v>0</v>
      </c>
      <c r="I1179">
        <f>Table001__Page_15[[#This Row],[FİYAT]]*Table001__Page_15[[#This Row],[Sütun2]]</f>
        <v>0</v>
      </c>
      <c r="L1179" s="50">
        <f>Table001__Page_15[[#This Row],[SATIŞ FİYATI]]-Table001__Page_15[[#This Row],[YUVARLAMA]]</f>
        <v>0</v>
      </c>
    </row>
    <row r="1180" spans="7:12" x14ac:dyDescent="0.25">
      <c r="G1180">
        <f>Table001__Page_15[[#This Row],[FİYAT]]*Table001__Page_15[[#This Row],[MİKTAR]]</f>
        <v>0</v>
      </c>
      <c r="I1180">
        <f>Table001__Page_15[[#This Row],[FİYAT]]*Table001__Page_15[[#This Row],[Sütun2]]</f>
        <v>0</v>
      </c>
      <c r="L1180" s="50">
        <f>Table001__Page_15[[#This Row],[SATIŞ FİYATI]]-Table001__Page_15[[#This Row],[YUVARLAMA]]</f>
        <v>0</v>
      </c>
    </row>
    <row r="1181" spans="7:12" x14ac:dyDescent="0.25">
      <c r="G1181">
        <f>Table001__Page_15[[#This Row],[FİYAT]]*Table001__Page_15[[#This Row],[MİKTAR]]</f>
        <v>0</v>
      </c>
      <c r="I1181">
        <f>Table001__Page_15[[#This Row],[FİYAT]]*Table001__Page_15[[#This Row],[Sütun2]]</f>
        <v>0</v>
      </c>
      <c r="L1181" s="50">
        <f>Table001__Page_15[[#This Row],[SATIŞ FİYATI]]-Table001__Page_15[[#This Row],[YUVARLAMA]]</f>
        <v>0</v>
      </c>
    </row>
    <row r="1182" spans="7:12" x14ac:dyDescent="0.25">
      <c r="G1182">
        <f>Table001__Page_15[[#This Row],[FİYAT]]*Table001__Page_15[[#This Row],[MİKTAR]]</f>
        <v>0</v>
      </c>
      <c r="I1182">
        <f>Table001__Page_15[[#This Row],[FİYAT]]*Table001__Page_15[[#This Row],[Sütun2]]</f>
        <v>0</v>
      </c>
      <c r="L1182" s="50">
        <f>Table001__Page_15[[#This Row],[SATIŞ FİYATI]]-Table001__Page_15[[#This Row],[YUVARLAMA]]</f>
        <v>0</v>
      </c>
    </row>
    <row r="1183" spans="7:12" x14ac:dyDescent="0.25">
      <c r="G1183">
        <f>Table001__Page_15[[#This Row],[FİYAT]]*Table001__Page_15[[#This Row],[MİKTAR]]</f>
        <v>0</v>
      </c>
      <c r="I1183">
        <f>Table001__Page_15[[#This Row],[FİYAT]]*Table001__Page_15[[#This Row],[Sütun2]]</f>
        <v>0</v>
      </c>
      <c r="L1183" s="50">
        <f>Table001__Page_15[[#This Row],[SATIŞ FİYATI]]-Table001__Page_15[[#This Row],[YUVARLAMA]]</f>
        <v>0</v>
      </c>
    </row>
    <row r="1184" spans="7:12" x14ac:dyDescent="0.25">
      <c r="G1184">
        <f>Table001__Page_15[[#This Row],[FİYAT]]*Table001__Page_15[[#This Row],[MİKTAR]]</f>
        <v>0</v>
      </c>
      <c r="I1184">
        <f>Table001__Page_15[[#This Row],[FİYAT]]*Table001__Page_15[[#This Row],[Sütun2]]</f>
        <v>0</v>
      </c>
      <c r="L1184" s="50">
        <f>Table001__Page_15[[#This Row],[SATIŞ FİYATI]]-Table001__Page_15[[#This Row],[YUVARLAMA]]</f>
        <v>0</v>
      </c>
    </row>
    <row r="1185" spans="7:12" x14ac:dyDescent="0.25">
      <c r="G1185">
        <f>Table001__Page_15[[#This Row],[FİYAT]]*Table001__Page_15[[#This Row],[MİKTAR]]</f>
        <v>0</v>
      </c>
      <c r="I1185">
        <f>Table001__Page_15[[#This Row],[FİYAT]]*Table001__Page_15[[#This Row],[Sütun2]]</f>
        <v>0</v>
      </c>
      <c r="L1185" s="50">
        <f>Table001__Page_15[[#This Row],[SATIŞ FİYATI]]-Table001__Page_15[[#This Row],[YUVARLAMA]]</f>
        <v>0</v>
      </c>
    </row>
    <row r="1186" spans="7:12" x14ac:dyDescent="0.25">
      <c r="G1186">
        <f>Table001__Page_15[[#This Row],[FİYAT]]*Table001__Page_15[[#This Row],[MİKTAR]]</f>
        <v>0</v>
      </c>
      <c r="I1186">
        <f>Table001__Page_15[[#This Row],[FİYAT]]*Table001__Page_15[[#This Row],[Sütun2]]</f>
        <v>0</v>
      </c>
      <c r="L1186" s="50">
        <f>Table001__Page_15[[#This Row],[SATIŞ FİYATI]]-Table001__Page_15[[#This Row],[YUVARLAMA]]</f>
        <v>0</v>
      </c>
    </row>
    <row r="1187" spans="7:12" x14ac:dyDescent="0.25">
      <c r="G1187">
        <f>Table001__Page_15[[#This Row],[FİYAT]]*Table001__Page_15[[#This Row],[MİKTAR]]</f>
        <v>0</v>
      </c>
      <c r="I1187">
        <f>Table001__Page_15[[#This Row],[FİYAT]]*Table001__Page_15[[#This Row],[Sütun2]]</f>
        <v>0</v>
      </c>
      <c r="L1187" s="50">
        <f>Table001__Page_15[[#This Row],[SATIŞ FİYATI]]-Table001__Page_15[[#This Row],[YUVARLAMA]]</f>
        <v>0</v>
      </c>
    </row>
    <row r="1188" spans="7:12" x14ac:dyDescent="0.25">
      <c r="G1188">
        <f>Table001__Page_15[[#This Row],[FİYAT]]*Table001__Page_15[[#This Row],[MİKTAR]]</f>
        <v>0</v>
      </c>
      <c r="I1188">
        <f>Table001__Page_15[[#This Row],[FİYAT]]*Table001__Page_15[[#This Row],[Sütun2]]</f>
        <v>0</v>
      </c>
      <c r="L1188" s="50">
        <f>Table001__Page_15[[#This Row],[SATIŞ FİYATI]]-Table001__Page_15[[#This Row],[YUVARLAMA]]</f>
        <v>0</v>
      </c>
    </row>
    <row r="1189" spans="7:12" x14ac:dyDescent="0.25">
      <c r="G1189">
        <f>Table001__Page_15[[#This Row],[FİYAT]]*Table001__Page_15[[#This Row],[MİKTAR]]</f>
        <v>0</v>
      </c>
      <c r="I1189">
        <f>Table001__Page_15[[#This Row],[FİYAT]]*Table001__Page_15[[#This Row],[Sütun2]]</f>
        <v>0</v>
      </c>
      <c r="L1189" s="50">
        <f>Table001__Page_15[[#This Row],[SATIŞ FİYATI]]-Table001__Page_15[[#This Row],[YUVARLAMA]]</f>
        <v>0</v>
      </c>
    </row>
    <row r="1190" spans="7:12" x14ac:dyDescent="0.25">
      <c r="G1190">
        <f>Table001__Page_15[[#This Row],[FİYAT]]*Table001__Page_15[[#This Row],[MİKTAR]]</f>
        <v>0</v>
      </c>
      <c r="I1190">
        <f>Table001__Page_15[[#This Row],[FİYAT]]*Table001__Page_15[[#This Row],[Sütun2]]</f>
        <v>0</v>
      </c>
      <c r="L1190" s="50">
        <f>Table001__Page_15[[#This Row],[SATIŞ FİYATI]]-Table001__Page_15[[#This Row],[YUVARLAMA]]</f>
        <v>0</v>
      </c>
    </row>
    <row r="1191" spans="7:12" x14ac:dyDescent="0.25">
      <c r="G1191">
        <f>Table001__Page_15[[#This Row],[FİYAT]]*Table001__Page_15[[#This Row],[MİKTAR]]</f>
        <v>0</v>
      </c>
      <c r="I1191">
        <f>Table001__Page_15[[#This Row],[FİYAT]]*Table001__Page_15[[#This Row],[Sütun2]]</f>
        <v>0</v>
      </c>
      <c r="L1191" s="50">
        <f>Table001__Page_15[[#This Row],[SATIŞ FİYATI]]-Table001__Page_15[[#This Row],[YUVARLAMA]]</f>
        <v>0</v>
      </c>
    </row>
    <row r="1192" spans="7:12" x14ac:dyDescent="0.25">
      <c r="G1192">
        <f>Table001__Page_15[[#This Row],[FİYAT]]*Table001__Page_15[[#This Row],[MİKTAR]]</f>
        <v>0</v>
      </c>
      <c r="I1192">
        <f>Table001__Page_15[[#This Row],[FİYAT]]*Table001__Page_15[[#This Row],[Sütun2]]</f>
        <v>0</v>
      </c>
      <c r="L1192" s="50">
        <f>Table001__Page_15[[#This Row],[SATIŞ FİYATI]]-Table001__Page_15[[#This Row],[YUVARLAMA]]</f>
        <v>0</v>
      </c>
    </row>
    <row r="1193" spans="7:12" x14ac:dyDescent="0.25">
      <c r="G1193">
        <f>Table001__Page_15[[#This Row],[FİYAT]]*Table001__Page_15[[#This Row],[MİKTAR]]</f>
        <v>0</v>
      </c>
      <c r="I1193">
        <f>Table001__Page_15[[#This Row],[FİYAT]]*Table001__Page_15[[#This Row],[Sütun2]]</f>
        <v>0</v>
      </c>
      <c r="L1193" s="50">
        <f>Table001__Page_15[[#This Row],[SATIŞ FİYATI]]-Table001__Page_15[[#This Row],[YUVARLAMA]]</f>
        <v>0</v>
      </c>
    </row>
    <row r="1194" spans="7:12" x14ac:dyDescent="0.25">
      <c r="G1194">
        <f>Table001__Page_15[[#This Row],[FİYAT]]*Table001__Page_15[[#This Row],[MİKTAR]]</f>
        <v>0</v>
      </c>
      <c r="I1194">
        <f>Table001__Page_15[[#This Row],[FİYAT]]*Table001__Page_15[[#This Row],[Sütun2]]</f>
        <v>0</v>
      </c>
      <c r="L1194" s="50">
        <f>Table001__Page_15[[#This Row],[SATIŞ FİYATI]]-Table001__Page_15[[#This Row],[YUVARLAMA]]</f>
        <v>0</v>
      </c>
    </row>
    <row r="1195" spans="7:12" x14ac:dyDescent="0.25">
      <c r="G1195">
        <f>Table001__Page_15[[#This Row],[FİYAT]]*Table001__Page_15[[#This Row],[MİKTAR]]</f>
        <v>0</v>
      </c>
      <c r="I1195">
        <f>Table001__Page_15[[#This Row],[FİYAT]]*Table001__Page_15[[#This Row],[Sütun2]]</f>
        <v>0</v>
      </c>
      <c r="L1195" s="50">
        <f>Table001__Page_15[[#This Row],[SATIŞ FİYATI]]-Table001__Page_15[[#This Row],[YUVARLAMA]]</f>
        <v>0</v>
      </c>
    </row>
    <row r="1196" spans="7:12" x14ac:dyDescent="0.25">
      <c r="G1196">
        <f>Table001__Page_15[[#This Row],[FİYAT]]*Table001__Page_15[[#This Row],[MİKTAR]]</f>
        <v>0</v>
      </c>
      <c r="I1196">
        <f>Table001__Page_15[[#This Row],[FİYAT]]*Table001__Page_15[[#This Row],[Sütun2]]</f>
        <v>0</v>
      </c>
      <c r="L1196" s="50">
        <f>Table001__Page_15[[#This Row],[SATIŞ FİYATI]]-Table001__Page_15[[#This Row],[YUVARLAMA]]</f>
        <v>0</v>
      </c>
    </row>
    <row r="1197" spans="7:12" x14ac:dyDescent="0.25">
      <c r="G1197">
        <f>Table001__Page_15[[#This Row],[FİYAT]]*Table001__Page_15[[#This Row],[MİKTAR]]</f>
        <v>0</v>
      </c>
      <c r="I1197">
        <f>Table001__Page_15[[#This Row],[FİYAT]]*Table001__Page_15[[#This Row],[Sütun2]]</f>
        <v>0</v>
      </c>
      <c r="L1197" s="50">
        <f>Table001__Page_15[[#This Row],[SATIŞ FİYATI]]-Table001__Page_15[[#This Row],[YUVARLAMA]]</f>
        <v>0</v>
      </c>
    </row>
    <row r="1198" spans="7:12" x14ac:dyDescent="0.25">
      <c r="G1198">
        <f>Table001__Page_15[[#This Row],[FİYAT]]*Table001__Page_15[[#This Row],[MİKTAR]]</f>
        <v>0</v>
      </c>
      <c r="I1198">
        <f>Table001__Page_15[[#This Row],[FİYAT]]*Table001__Page_15[[#This Row],[Sütun2]]</f>
        <v>0</v>
      </c>
      <c r="L1198" s="50">
        <f>Table001__Page_15[[#This Row],[SATIŞ FİYATI]]-Table001__Page_15[[#This Row],[YUVARLAMA]]</f>
        <v>0</v>
      </c>
    </row>
    <row r="1199" spans="7:12" x14ac:dyDescent="0.25">
      <c r="G1199">
        <f>Table001__Page_15[[#This Row],[FİYAT]]*Table001__Page_15[[#This Row],[MİKTAR]]</f>
        <v>0</v>
      </c>
      <c r="I1199">
        <f>Table001__Page_15[[#This Row],[FİYAT]]*Table001__Page_15[[#This Row],[Sütun2]]</f>
        <v>0</v>
      </c>
      <c r="L1199" s="50">
        <f>Table001__Page_15[[#This Row],[SATIŞ FİYATI]]-Table001__Page_15[[#This Row],[YUVARLAMA]]</f>
        <v>0</v>
      </c>
    </row>
    <row r="1200" spans="7:12" x14ac:dyDescent="0.25">
      <c r="G1200">
        <f>Table001__Page_15[[#This Row],[FİYAT]]*Table001__Page_15[[#This Row],[MİKTAR]]</f>
        <v>0</v>
      </c>
      <c r="I1200">
        <f>Table001__Page_15[[#This Row],[FİYAT]]*Table001__Page_15[[#This Row],[Sütun2]]</f>
        <v>0</v>
      </c>
      <c r="L1200" s="50">
        <f>Table001__Page_15[[#This Row],[SATIŞ FİYATI]]-Table001__Page_15[[#This Row],[YUVARLAMA]]</f>
        <v>0</v>
      </c>
    </row>
    <row r="1201" spans="7:12" x14ac:dyDescent="0.25">
      <c r="G1201">
        <f>Table001__Page_15[[#This Row],[FİYAT]]*Table001__Page_15[[#This Row],[MİKTAR]]</f>
        <v>0</v>
      </c>
      <c r="I1201">
        <f>Table001__Page_15[[#This Row],[FİYAT]]*Table001__Page_15[[#This Row],[Sütun2]]</f>
        <v>0</v>
      </c>
      <c r="L1201" s="50">
        <f>Table001__Page_15[[#This Row],[SATIŞ FİYATI]]-Table001__Page_15[[#This Row],[YUVARLAMA]]</f>
        <v>0</v>
      </c>
    </row>
    <row r="1202" spans="7:12" x14ac:dyDescent="0.25">
      <c r="G1202">
        <f>Table001__Page_15[[#This Row],[FİYAT]]*Table001__Page_15[[#This Row],[MİKTAR]]</f>
        <v>0</v>
      </c>
      <c r="I1202">
        <f>Table001__Page_15[[#This Row],[FİYAT]]*Table001__Page_15[[#This Row],[Sütun2]]</f>
        <v>0</v>
      </c>
      <c r="L1202" s="50">
        <f>Table001__Page_15[[#This Row],[SATIŞ FİYATI]]-Table001__Page_15[[#This Row],[YUVARLAMA]]</f>
        <v>0</v>
      </c>
    </row>
    <row r="1203" spans="7:12" x14ac:dyDescent="0.25">
      <c r="G1203">
        <f>Table001__Page_15[[#This Row],[FİYAT]]*Table001__Page_15[[#This Row],[MİKTAR]]</f>
        <v>0</v>
      </c>
      <c r="I1203">
        <f>Table001__Page_15[[#This Row],[FİYAT]]*Table001__Page_15[[#This Row],[Sütun2]]</f>
        <v>0</v>
      </c>
      <c r="L1203" s="50">
        <f>Table001__Page_15[[#This Row],[SATIŞ FİYATI]]-Table001__Page_15[[#This Row],[YUVARLAMA]]</f>
        <v>0</v>
      </c>
    </row>
    <row r="1204" spans="7:12" x14ac:dyDescent="0.25">
      <c r="G1204">
        <f>Table001__Page_15[[#This Row],[FİYAT]]*Table001__Page_15[[#This Row],[MİKTAR]]</f>
        <v>0</v>
      </c>
      <c r="I1204">
        <f>Table001__Page_15[[#This Row],[FİYAT]]*Table001__Page_15[[#This Row],[Sütun2]]</f>
        <v>0</v>
      </c>
      <c r="L1204" s="50">
        <f>Table001__Page_15[[#This Row],[SATIŞ FİYATI]]-Table001__Page_15[[#This Row],[YUVARLAMA]]</f>
        <v>0</v>
      </c>
    </row>
    <row r="1205" spans="7:12" x14ac:dyDescent="0.25">
      <c r="G1205">
        <f>Table001__Page_15[[#This Row],[FİYAT]]*Table001__Page_15[[#This Row],[MİKTAR]]</f>
        <v>0</v>
      </c>
      <c r="I1205">
        <f>Table001__Page_15[[#This Row],[FİYAT]]*Table001__Page_15[[#This Row],[Sütun2]]</f>
        <v>0</v>
      </c>
      <c r="L1205" s="50">
        <f>Table001__Page_15[[#This Row],[SATIŞ FİYATI]]-Table001__Page_15[[#This Row],[YUVARLAMA]]</f>
        <v>0</v>
      </c>
    </row>
    <row r="1206" spans="7:12" x14ac:dyDescent="0.25">
      <c r="G1206">
        <f>Table001__Page_15[[#This Row],[FİYAT]]*Table001__Page_15[[#This Row],[MİKTAR]]</f>
        <v>0</v>
      </c>
      <c r="I1206">
        <f>Table001__Page_15[[#This Row],[FİYAT]]*Table001__Page_15[[#This Row],[Sütun2]]</f>
        <v>0</v>
      </c>
      <c r="L1206" s="50">
        <f>Table001__Page_15[[#This Row],[SATIŞ FİYATI]]-Table001__Page_15[[#This Row],[YUVARLAMA]]</f>
        <v>0</v>
      </c>
    </row>
    <row r="1207" spans="7:12" x14ac:dyDescent="0.25">
      <c r="G1207">
        <f>Table001__Page_15[[#This Row],[FİYAT]]*Table001__Page_15[[#This Row],[MİKTAR]]</f>
        <v>0</v>
      </c>
      <c r="I1207">
        <f>Table001__Page_15[[#This Row],[FİYAT]]*Table001__Page_15[[#This Row],[Sütun2]]</f>
        <v>0</v>
      </c>
      <c r="L1207" s="50">
        <f>Table001__Page_15[[#This Row],[SATIŞ FİYATI]]-Table001__Page_15[[#This Row],[YUVARLAMA]]</f>
        <v>0</v>
      </c>
    </row>
    <row r="1208" spans="7:12" x14ac:dyDescent="0.25">
      <c r="G1208">
        <f>Table001__Page_15[[#This Row],[FİYAT]]*Table001__Page_15[[#This Row],[MİKTAR]]</f>
        <v>0</v>
      </c>
      <c r="I1208">
        <f>Table001__Page_15[[#This Row],[FİYAT]]*Table001__Page_15[[#This Row],[Sütun2]]</f>
        <v>0</v>
      </c>
      <c r="L1208" s="50">
        <f>Table001__Page_15[[#This Row],[SATIŞ FİYATI]]-Table001__Page_15[[#This Row],[YUVARLAMA]]</f>
        <v>0</v>
      </c>
    </row>
    <row r="1209" spans="7:12" x14ac:dyDescent="0.25">
      <c r="G1209">
        <f>Table001__Page_15[[#This Row],[FİYAT]]*Table001__Page_15[[#This Row],[MİKTAR]]</f>
        <v>0</v>
      </c>
      <c r="I1209">
        <f>Table001__Page_15[[#This Row],[FİYAT]]*Table001__Page_15[[#This Row],[Sütun2]]</f>
        <v>0</v>
      </c>
      <c r="L1209" s="50">
        <f>Table001__Page_15[[#This Row],[SATIŞ FİYATI]]-Table001__Page_15[[#This Row],[YUVARLAMA]]</f>
        <v>0</v>
      </c>
    </row>
    <row r="1210" spans="7:12" x14ac:dyDescent="0.25">
      <c r="G1210">
        <f>Table001__Page_15[[#This Row],[FİYAT]]*Table001__Page_15[[#This Row],[MİKTAR]]</f>
        <v>0</v>
      </c>
      <c r="I1210">
        <f>Table001__Page_15[[#This Row],[FİYAT]]*Table001__Page_15[[#This Row],[Sütun2]]</f>
        <v>0</v>
      </c>
      <c r="L1210" s="50">
        <f>Table001__Page_15[[#This Row],[SATIŞ FİYATI]]-Table001__Page_15[[#This Row],[YUVARLAMA]]</f>
        <v>0</v>
      </c>
    </row>
    <row r="1211" spans="7:12" x14ac:dyDescent="0.25">
      <c r="G1211">
        <f>Table001__Page_15[[#This Row],[FİYAT]]*Table001__Page_15[[#This Row],[MİKTAR]]</f>
        <v>0</v>
      </c>
      <c r="I1211">
        <f>Table001__Page_15[[#This Row],[FİYAT]]*Table001__Page_15[[#This Row],[Sütun2]]</f>
        <v>0</v>
      </c>
      <c r="L1211" s="50">
        <f>Table001__Page_15[[#This Row],[SATIŞ FİYATI]]-Table001__Page_15[[#This Row],[YUVARLAMA]]</f>
        <v>0</v>
      </c>
    </row>
    <row r="1212" spans="7:12" x14ac:dyDescent="0.25">
      <c r="G1212">
        <f>Table001__Page_15[[#This Row],[FİYAT]]*Table001__Page_15[[#This Row],[MİKTAR]]</f>
        <v>0</v>
      </c>
      <c r="I1212">
        <f>Table001__Page_15[[#This Row],[FİYAT]]*Table001__Page_15[[#This Row],[Sütun2]]</f>
        <v>0</v>
      </c>
      <c r="L1212" s="50">
        <f>Table001__Page_15[[#This Row],[SATIŞ FİYATI]]-Table001__Page_15[[#This Row],[YUVARLAMA]]</f>
        <v>0</v>
      </c>
    </row>
    <row r="1213" spans="7:12" x14ac:dyDescent="0.25">
      <c r="G1213">
        <f>Table001__Page_15[[#This Row],[FİYAT]]*Table001__Page_15[[#This Row],[MİKTAR]]</f>
        <v>0</v>
      </c>
      <c r="I1213">
        <f>Table001__Page_15[[#This Row],[FİYAT]]*Table001__Page_15[[#This Row],[Sütun2]]</f>
        <v>0</v>
      </c>
      <c r="L1213" s="50">
        <f>Table001__Page_15[[#This Row],[SATIŞ FİYATI]]-Table001__Page_15[[#This Row],[YUVARLAMA]]</f>
        <v>0</v>
      </c>
    </row>
    <row r="1214" spans="7:12" x14ac:dyDescent="0.25">
      <c r="G1214">
        <f>Table001__Page_15[[#This Row],[FİYAT]]*Table001__Page_15[[#This Row],[MİKTAR]]</f>
        <v>0</v>
      </c>
      <c r="I1214">
        <f>Table001__Page_15[[#This Row],[FİYAT]]*Table001__Page_15[[#This Row],[Sütun2]]</f>
        <v>0</v>
      </c>
      <c r="L1214" s="50">
        <f>Table001__Page_15[[#This Row],[SATIŞ FİYATI]]-Table001__Page_15[[#This Row],[YUVARLAMA]]</f>
        <v>0</v>
      </c>
    </row>
    <row r="1215" spans="7:12" x14ac:dyDescent="0.25">
      <c r="G1215">
        <f>Table001__Page_15[[#This Row],[FİYAT]]*Table001__Page_15[[#This Row],[MİKTAR]]</f>
        <v>0</v>
      </c>
      <c r="I1215">
        <f>Table001__Page_15[[#This Row],[FİYAT]]*Table001__Page_15[[#This Row],[Sütun2]]</f>
        <v>0</v>
      </c>
      <c r="L1215" s="50">
        <f>Table001__Page_15[[#This Row],[SATIŞ FİYATI]]-Table001__Page_15[[#This Row],[YUVARLAMA]]</f>
        <v>0</v>
      </c>
    </row>
    <row r="1216" spans="7:12" x14ac:dyDescent="0.25">
      <c r="G1216">
        <f>Table001__Page_15[[#This Row],[FİYAT]]*Table001__Page_15[[#This Row],[MİKTAR]]</f>
        <v>0</v>
      </c>
      <c r="I1216">
        <f>Table001__Page_15[[#This Row],[FİYAT]]*Table001__Page_15[[#This Row],[Sütun2]]</f>
        <v>0</v>
      </c>
      <c r="L1216" s="50">
        <f>Table001__Page_15[[#This Row],[SATIŞ FİYATI]]-Table001__Page_15[[#This Row],[YUVARLAMA]]</f>
        <v>0</v>
      </c>
    </row>
    <row r="1217" spans="7:12" x14ac:dyDescent="0.25">
      <c r="G1217">
        <f>Table001__Page_15[[#This Row],[FİYAT]]*Table001__Page_15[[#This Row],[MİKTAR]]</f>
        <v>0</v>
      </c>
      <c r="I1217">
        <f>Table001__Page_15[[#This Row],[FİYAT]]*Table001__Page_15[[#This Row],[Sütun2]]</f>
        <v>0</v>
      </c>
      <c r="L1217" s="50">
        <f>Table001__Page_15[[#This Row],[SATIŞ FİYATI]]-Table001__Page_15[[#This Row],[YUVARLAMA]]</f>
        <v>0</v>
      </c>
    </row>
    <row r="1218" spans="7:12" x14ac:dyDescent="0.25">
      <c r="G1218">
        <f>Table001__Page_15[[#This Row],[FİYAT]]*Table001__Page_15[[#This Row],[MİKTAR]]</f>
        <v>0</v>
      </c>
      <c r="I1218">
        <f>Table001__Page_15[[#This Row],[FİYAT]]*Table001__Page_15[[#This Row],[Sütun2]]</f>
        <v>0</v>
      </c>
      <c r="L1218" s="50">
        <f>Table001__Page_15[[#This Row],[SATIŞ FİYATI]]-Table001__Page_15[[#This Row],[YUVARLAMA]]</f>
        <v>0</v>
      </c>
    </row>
    <row r="1219" spans="7:12" x14ac:dyDescent="0.25">
      <c r="G1219">
        <f>Table001__Page_15[[#This Row],[FİYAT]]*Table001__Page_15[[#This Row],[MİKTAR]]</f>
        <v>0</v>
      </c>
      <c r="I1219">
        <f>Table001__Page_15[[#This Row],[FİYAT]]*Table001__Page_15[[#This Row],[Sütun2]]</f>
        <v>0</v>
      </c>
      <c r="L1219" s="50">
        <f>Table001__Page_15[[#This Row],[SATIŞ FİYATI]]-Table001__Page_15[[#This Row],[YUVARLAMA]]</f>
        <v>0</v>
      </c>
    </row>
    <row r="1220" spans="7:12" x14ac:dyDescent="0.25">
      <c r="G1220">
        <f>Table001__Page_15[[#This Row],[FİYAT]]*Table001__Page_15[[#This Row],[MİKTAR]]</f>
        <v>0</v>
      </c>
      <c r="I1220">
        <f>Table001__Page_15[[#This Row],[FİYAT]]*Table001__Page_15[[#This Row],[Sütun2]]</f>
        <v>0</v>
      </c>
      <c r="L1220" s="50">
        <f>Table001__Page_15[[#This Row],[SATIŞ FİYATI]]-Table001__Page_15[[#This Row],[YUVARLAMA]]</f>
        <v>0</v>
      </c>
    </row>
    <row r="1221" spans="7:12" x14ac:dyDescent="0.25">
      <c r="G1221">
        <f>Table001__Page_15[[#This Row],[FİYAT]]*Table001__Page_15[[#This Row],[MİKTAR]]</f>
        <v>0</v>
      </c>
      <c r="I1221">
        <f>Table001__Page_15[[#This Row],[FİYAT]]*Table001__Page_15[[#This Row],[Sütun2]]</f>
        <v>0</v>
      </c>
      <c r="L1221" s="50">
        <f>Table001__Page_15[[#This Row],[SATIŞ FİYATI]]-Table001__Page_15[[#This Row],[YUVARLAMA]]</f>
        <v>0</v>
      </c>
    </row>
    <row r="1222" spans="7:12" x14ac:dyDescent="0.25">
      <c r="G1222">
        <f>Table001__Page_15[[#This Row],[FİYAT]]*Table001__Page_15[[#This Row],[MİKTAR]]</f>
        <v>0</v>
      </c>
      <c r="I1222">
        <f>Table001__Page_15[[#This Row],[FİYAT]]*Table001__Page_15[[#This Row],[Sütun2]]</f>
        <v>0</v>
      </c>
      <c r="L1222" s="50">
        <f>Table001__Page_15[[#This Row],[SATIŞ FİYATI]]-Table001__Page_15[[#This Row],[YUVARLAMA]]</f>
        <v>0</v>
      </c>
    </row>
    <row r="1223" spans="7:12" x14ac:dyDescent="0.25">
      <c r="G1223">
        <f>Table001__Page_15[[#This Row],[FİYAT]]*Table001__Page_15[[#This Row],[MİKTAR]]</f>
        <v>0</v>
      </c>
      <c r="I1223">
        <f>Table001__Page_15[[#This Row],[FİYAT]]*Table001__Page_15[[#This Row],[Sütun2]]</f>
        <v>0</v>
      </c>
      <c r="L1223" s="50">
        <f>Table001__Page_15[[#This Row],[SATIŞ FİYATI]]-Table001__Page_15[[#This Row],[YUVARLAMA]]</f>
        <v>0</v>
      </c>
    </row>
    <row r="1224" spans="7:12" x14ac:dyDescent="0.25">
      <c r="G1224">
        <f>Table001__Page_15[[#This Row],[FİYAT]]*Table001__Page_15[[#This Row],[MİKTAR]]</f>
        <v>0</v>
      </c>
      <c r="I1224">
        <f>Table001__Page_15[[#This Row],[FİYAT]]*Table001__Page_15[[#This Row],[Sütun2]]</f>
        <v>0</v>
      </c>
      <c r="L1224" s="50">
        <f>Table001__Page_15[[#This Row],[SATIŞ FİYATI]]-Table001__Page_15[[#This Row],[YUVARLAMA]]</f>
        <v>0</v>
      </c>
    </row>
    <row r="1225" spans="7:12" x14ac:dyDescent="0.25">
      <c r="G1225">
        <f>Table001__Page_15[[#This Row],[FİYAT]]*Table001__Page_15[[#This Row],[MİKTAR]]</f>
        <v>0</v>
      </c>
      <c r="I1225">
        <f>Table001__Page_15[[#This Row],[FİYAT]]*Table001__Page_15[[#This Row],[Sütun2]]</f>
        <v>0</v>
      </c>
      <c r="L1225" s="50">
        <f>Table001__Page_15[[#This Row],[SATIŞ FİYATI]]-Table001__Page_15[[#This Row],[YUVARLAMA]]</f>
        <v>0</v>
      </c>
    </row>
    <row r="1226" spans="7:12" x14ac:dyDescent="0.25">
      <c r="G1226">
        <f>Table001__Page_15[[#This Row],[FİYAT]]*Table001__Page_15[[#This Row],[MİKTAR]]</f>
        <v>0</v>
      </c>
      <c r="I1226">
        <f>Table001__Page_15[[#This Row],[FİYAT]]*Table001__Page_15[[#This Row],[Sütun2]]</f>
        <v>0</v>
      </c>
      <c r="L1226" s="50">
        <f>Table001__Page_15[[#This Row],[SATIŞ FİYATI]]-Table001__Page_15[[#This Row],[YUVARLAMA]]</f>
        <v>0</v>
      </c>
    </row>
    <row r="1227" spans="7:12" x14ac:dyDescent="0.25">
      <c r="G1227">
        <f>Table001__Page_15[[#This Row],[FİYAT]]*Table001__Page_15[[#This Row],[MİKTAR]]</f>
        <v>0</v>
      </c>
      <c r="I1227">
        <f>Table001__Page_15[[#This Row],[FİYAT]]*Table001__Page_15[[#This Row],[Sütun2]]</f>
        <v>0</v>
      </c>
      <c r="L1227" s="50">
        <f>Table001__Page_15[[#This Row],[SATIŞ FİYATI]]-Table001__Page_15[[#This Row],[YUVARLAMA]]</f>
        <v>0</v>
      </c>
    </row>
    <row r="1228" spans="7:12" x14ac:dyDescent="0.25">
      <c r="G1228">
        <f>Table001__Page_15[[#This Row],[FİYAT]]*Table001__Page_15[[#This Row],[MİKTAR]]</f>
        <v>0</v>
      </c>
      <c r="I1228">
        <f>Table001__Page_15[[#This Row],[FİYAT]]*Table001__Page_15[[#This Row],[Sütun2]]</f>
        <v>0</v>
      </c>
      <c r="L1228" s="50">
        <f>Table001__Page_15[[#This Row],[SATIŞ FİYATI]]-Table001__Page_15[[#This Row],[YUVARLAMA]]</f>
        <v>0</v>
      </c>
    </row>
    <row r="1229" spans="7:12" x14ac:dyDescent="0.25">
      <c r="G1229">
        <f>Table001__Page_15[[#This Row],[FİYAT]]*Table001__Page_15[[#This Row],[MİKTAR]]</f>
        <v>0</v>
      </c>
      <c r="I1229">
        <f>Table001__Page_15[[#This Row],[FİYAT]]*Table001__Page_15[[#This Row],[Sütun2]]</f>
        <v>0</v>
      </c>
      <c r="L1229" s="50">
        <f>Table001__Page_15[[#This Row],[SATIŞ FİYATI]]-Table001__Page_15[[#This Row],[YUVARLAMA]]</f>
        <v>0</v>
      </c>
    </row>
    <row r="1230" spans="7:12" x14ac:dyDescent="0.25">
      <c r="G1230">
        <f>Table001__Page_15[[#This Row],[FİYAT]]*Table001__Page_15[[#This Row],[MİKTAR]]</f>
        <v>0</v>
      </c>
      <c r="I1230">
        <f>Table001__Page_15[[#This Row],[FİYAT]]*Table001__Page_15[[#This Row],[Sütun2]]</f>
        <v>0</v>
      </c>
      <c r="L1230" s="50">
        <f>Table001__Page_15[[#This Row],[SATIŞ FİYATI]]-Table001__Page_15[[#This Row],[YUVARLAMA]]</f>
        <v>0</v>
      </c>
    </row>
  </sheetData>
  <phoneticPr fontId="1" type="noConversion"/>
  <dataValidations disablePrompts="1" count="1">
    <dataValidation type="list" allowBlank="1" showInputMessage="1" showErrorMessage="1" sqref="C182" xr:uid="{C08163C5-51ED-4957-9832-1A676C0FE2DA}">
      <formula1>$C$2:$C$1230</formula1>
    </dataValidation>
  </dataValidations>
  <pageMargins left="0.7" right="0.7" top="0.75" bottom="0.75" header="0.3" footer="0.3"/>
  <pageSetup paperSize="256" orientation="portrait" horizontalDpi="203" verticalDpi="203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E76D-044E-4690-A2BF-1CADB6FEA753}">
  <dimension ref="B2:AE588"/>
  <sheetViews>
    <sheetView zoomScale="85" zoomScaleNormal="85" workbookViewId="0">
      <selection activeCell="M20" sqref="M20"/>
    </sheetView>
  </sheetViews>
  <sheetFormatPr defaultRowHeight="15" x14ac:dyDescent="0.25"/>
  <cols>
    <col min="1" max="1" width="9.5703125" customWidth="1"/>
    <col min="2" max="2" width="14" style="72" customWidth="1"/>
    <col min="3" max="3" width="14" customWidth="1"/>
    <col min="4" max="4" width="22.5703125" hidden="1" customWidth="1"/>
    <col min="5" max="5" width="14" hidden="1" customWidth="1"/>
    <col min="6" max="7" width="14" customWidth="1"/>
    <col min="8" max="8" width="32.7109375" customWidth="1"/>
    <col min="9" max="9" width="11.5703125" customWidth="1"/>
    <col min="10" max="10" width="13.5703125" bestFit="1" customWidth="1"/>
    <col min="11" max="11" width="13.140625" bestFit="1" customWidth="1"/>
    <col min="12" max="12" width="10.85546875" customWidth="1"/>
    <col min="13" max="13" width="12.5703125" customWidth="1"/>
    <col min="14" max="16" width="13.5703125" hidden="1" customWidth="1"/>
    <col min="17" max="17" width="14" hidden="1" customWidth="1"/>
    <col min="18" max="19" width="14" customWidth="1"/>
    <col min="20" max="22" width="9.140625" style="2"/>
    <col min="23" max="23" width="15" customWidth="1"/>
    <col min="24" max="24" width="32.85546875" customWidth="1"/>
    <col min="25" max="27" width="15.5703125" customWidth="1"/>
    <col min="28" max="28" width="11.7109375" style="2" customWidth="1"/>
    <col min="29" max="29" width="13.5703125" customWidth="1"/>
    <col min="30" max="30" width="13.42578125" style="2" customWidth="1"/>
  </cols>
  <sheetData>
    <row r="2" spans="2:31" x14ac:dyDescent="0.25">
      <c r="B2" s="72" t="s">
        <v>194</v>
      </c>
      <c r="H2" t="s">
        <v>2931</v>
      </c>
      <c r="I2" cm="1">
        <f t="array" ref="I2">SUM(SUMIFS(KASA!I:I, KASA!C:C, B2, KASA!B:B, {"MAL SATIŞI","MAL İADE","ÜRETİM ÇIKIŞ"}))</f>
        <v>10.072666666666667</v>
      </c>
    </row>
    <row r="4" spans="2:31" ht="51" customHeight="1" x14ac:dyDescent="0.25">
      <c r="B4" s="81" t="s">
        <v>271</v>
      </c>
      <c r="C4" s="82" t="s">
        <v>280</v>
      </c>
      <c r="D4" s="82" t="s">
        <v>2</v>
      </c>
      <c r="E4" s="82" t="s">
        <v>281</v>
      </c>
      <c r="F4" s="82" t="s">
        <v>304</v>
      </c>
      <c r="G4" s="82" t="s">
        <v>282</v>
      </c>
      <c r="H4" s="82" t="s">
        <v>283</v>
      </c>
      <c r="I4" s="82" t="s">
        <v>284</v>
      </c>
      <c r="J4" s="83" t="s">
        <v>913</v>
      </c>
      <c r="K4" s="84" t="s">
        <v>914</v>
      </c>
      <c r="L4" s="84" t="s">
        <v>916</v>
      </c>
      <c r="M4" s="85" t="s">
        <v>915</v>
      </c>
      <c r="N4" s="83" t="s">
        <v>512</v>
      </c>
      <c r="O4" s="83" t="s">
        <v>513</v>
      </c>
      <c r="P4" s="85" t="s">
        <v>510</v>
      </c>
      <c r="Q4" s="85" t="s">
        <v>511</v>
      </c>
      <c r="R4" s="85" t="s">
        <v>924</v>
      </c>
      <c r="S4" s="84" t="s">
        <v>925</v>
      </c>
      <c r="T4" s="86" t="s">
        <v>2814</v>
      </c>
      <c r="U4" s="74" t="s">
        <v>2815</v>
      </c>
      <c r="V4" s="74" t="s">
        <v>2936</v>
      </c>
      <c r="AE4" s="73"/>
    </row>
    <row r="5" spans="2:31" x14ac:dyDescent="0.25">
      <c r="B5" s="87" cm="1">
        <f t="array" ref="B5:S20">_xlfn._xlws.FILTER(KASA!A:R,KASA!C:C=B2)</f>
        <v>45950</v>
      </c>
      <c r="C5" s="4" t="str">
        <v>MAL ALIMI</v>
      </c>
      <c r="D5" s="4" t="str">
        <v>CEVİZ KELEBEK (ŞİLİ)</v>
      </c>
      <c r="E5" s="4">
        <v>0</v>
      </c>
      <c r="F5" s="4" t="str">
        <v>TÜDAB A.Ş.</v>
      </c>
      <c r="G5" s="4" t="str">
        <v>FT00000000002</v>
      </c>
      <c r="H5" s="4" t="str">
        <v>TÜDAB A.Ş.</v>
      </c>
      <c r="I5" s="4" t="str">
        <v>CARİ</v>
      </c>
      <c r="J5" s="4">
        <v>5</v>
      </c>
      <c r="K5" s="4">
        <v>570</v>
      </c>
      <c r="L5" s="4">
        <v>0</v>
      </c>
      <c r="M5" s="4">
        <v>2850</v>
      </c>
      <c r="N5" s="4">
        <v>0</v>
      </c>
      <c r="O5" s="4">
        <v>5</v>
      </c>
      <c r="P5" s="4">
        <v>0</v>
      </c>
      <c r="Q5" s="4">
        <v>570</v>
      </c>
      <c r="R5" s="4">
        <v>0</v>
      </c>
      <c r="S5" s="4">
        <v>0</v>
      </c>
      <c r="T5" s="96">
        <f>IF(OR(C5="MAL ALIMI", C5="ÜRETİM GİRİŞ"), IF(J5 - MAX(0, $I$2 - (SUMIF($C$4:C4, "MAL ALIMI", $J$4:J4) + SUMIF($C$4:C4, "ÜRETİM GİRİŞ", $J$4:J4))) &gt; 0, J5 - MAX(0, $I$2 - (SUMIF($C$4:C4, "MAL ALIMI", $J$4:J4) + SUMIF($C$4:C4, "ÜRETİM GİRİŞ", $J$4:J4))), 0), 0)</f>
        <v>0</v>
      </c>
      <c r="U5" s="96">
        <f>T5*K5</f>
        <v>0</v>
      </c>
      <c r="V5" s="96">
        <f>IF(OR(C5="MAL ALIMI", C5="ÜRETİM GİRİŞ"), J5 * K5, 0)</f>
        <v>2850</v>
      </c>
      <c r="W5" s="2">
        <f t="shared" ref="W5:W7" si="0">V5-U5</f>
        <v>2850</v>
      </c>
      <c r="X5" s="90" t="s">
        <v>2932</v>
      </c>
      <c r="Y5" s="88">
        <f>(SUMIFS(KASA!I:I,KASA!C:C,B2,KASA!B:B,"MAL ALIMI") + SUMIFS(KASA!I:I,KASA!C:C,B2,KASA!B:B,"ÜRETİM GİRİŞ"))</f>
        <v>12</v>
      </c>
    </row>
    <row r="6" spans="2:31" x14ac:dyDescent="0.25">
      <c r="B6" s="87">
        <v>45954</v>
      </c>
      <c r="C6" s="4" t="str">
        <v>MAL İADE</v>
      </c>
      <c r="D6" s="4" t="str">
        <v>CEVİZ KELEBEK (ŞİLİ)</v>
      </c>
      <c r="E6" s="4">
        <v>0</v>
      </c>
      <c r="F6" s="4" t="str">
        <v>TÜDAB A.Ş.</v>
      </c>
      <c r="G6" s="4" t="str">
        <v>IA00000000001</v>
      </c>
      <c r="H6" s="4" t="str">
        <v>TÜDAB A.Ş.</v>
      </c>
      <c r="I6" s="4" t="str">
        <v>CARİ</v>
      </c>
      <c r="J6" s="4">
        <v>5</v>
      </c>
      <c r="K6" s="4">
        <v>570</v>
      </c>
      <c r="L6" s="4">
        <v>2850</v>
      </c>
      <c r="M6" s="4">
        <v>0</v>
      </c>
      <c r="N6" s="4">
        <v>5</v>
      </c>
      <c r="O6" s="4">
        <v>0</v>
      </c>
      <c r="P6" s="4">
        <v>570</v>
      </c>
      <c r="Q6" s="4">
        <v>0</v>
      </c>
      <c r="R6" s="4">
        <v>0</v>
      </c>
      <c r="S6" s="4">
        <v>0</v>
      </c>
      <c r="T6" s="96">
        <f>IF(OR(C6="MAL ALIMI", C6="ÜRETİM GİRİŞ"), IF(J6 - MAX(0, $I$2 - (SUMIF($C$4:C5, "MAL ALIMI", $J$4:J5) + SUMIF($C$4:C5, "ÜRETİM GİRİŞ", $J$4:J5))) &gt; 0, J6 - MAX(0, $I$2 - (SUMIF($C$4:C5, "MAL ALIMI", $J$4:J5) + SUMIF($C$4:C5, "ÜRETİM GİRİŞ", $J$4:J5))), 0), 0)</f>
        <v>0</v>
      </c>
      <c r="U6" s="96">
        <f t="shared" ref="U6:U69" si="1">T6*K6</f>
        <v>0</v>
      </c>
      <c r="V6" s="96">
        <f t="shared" ref="V6:V69" si="2">IF(OR(C6="MAL ALIMI", C6="ÜRETİM GİRİŞ"), J6 * K6, 0)</f>
        <v>0</v>
      </c>
      <c r="W6" s="2">
        <f t="shared" si="0"/>
        <v>0</v>
      </c>
      <c r="X6" s="90" t="s">
        <v>2949</v>
      </c>
      <c r="Y6" s="88">
        <f>SUM(V:V)</f>
        <v>6763.2849999999999</v>
      </c>
    </row>
    <row r="7" spans="2:31" x14ac:dyDescent="0.25">
      <c r="B7" s="87">
        <v>46076</v>
      </c>
      <c r="C7" s="4" t="str">
        <v>MAL ALIMI</v>
      </c>
      <c r="D7" s="4" t="str">
        <v>CEVİZ KELEBEK (ŞİLİ)</v>
      </c>
      <c r="E7" s="4">
        <v>0</v>
      </c>
      <c r="F7" s="4" t="str">
        <v>TÜDAB A.Ş.</v>
      </c>
      <c r="G7" s="4">
        <v>998909</v>
      </c>
      <c r="H7" s="4" t="str">
        <v>TÜDAB A.Ş.</v>
      </c>
      <c r="I7" s="4" t="str">
        <v>CARİ</v>
      </c>
      <c r="J7" s="4">
        <v>5</v>
      </c>
      <c r="K7" s="4">
        <v>585</v>
      </c>
      <c r="L7" s="4">
        <v>0</v>
      </c>
      <c r="M7" s="4">
        <v>2925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6">
        <f>IF(OR(C7="MAL ALIMI", C7="ÜRETİM GİRİŞ"), IF(J7 - MAX(0, $I$2 - (SUMIF($C$4:C6, "MAL ALIMI", $J$4:J6) + SUMIF($C$4:C6, "ÜRETİM GİRİŞ", $J$4:J6))) &gt; 0, J7 - MAX(0, $I$2 - (SUMIF($C$4:C6, "MAL ALIMI", $J$4:J6) + SUMIF($C$4:C6, "ÜRETİM GİRİŞ", $J$4:J6))), 0), 0)</f>
        <v>0</v>
      </c>
      <c r="U7" s="96">
        <f t="shared" si="1"/>
        <v>0</v>
      </c>
      <c r="V7" s="96">
        <f t="shared" si="2"/>
        <v>2925</v>
      </c>
      <c r="W7" s="2">
        <f t="shared" si="0"/>
        <v>2925</v>
      </c>
      <c r="X7" s="90" t="s">
        <v>2950</v>
      </c>
      <c r="Y7" s="88">
        <f>Y6/Y5</f>
        <v>563.60708333333332</v>
      </c>
    </row>
    <row r="8" spans="2:31" x14ac:dyDescent="0.25">
      <c r="B8" s="87">
        <v>46081</v>
      </c>
      <c r="C8" s="4" t="str">
        <v>MAL SATIŞI</v>
      </c>
      <c r="D8" s="4" t="str">
        <v>CEVİZ KELEBEK (ŞİLİ)</v>
      </c>
      <c r="E8" s="4">
        <v>0</v>
      </c>
      <c r="F8" s="4" t="str">
        <v>TFK-POS</v>
      </c>
      <c r="G8" s="4" t="str">
        <v>ST00000001426</v>
      </c>
      <c r="H8" s="4" t="str">
        <v>SATIŞ</v>
      </c>
      <c r="I8" s="4" t="str">
        <v>POS</v>
      </c>
      <c r="J8" s="4">
        <v>1</v>
      </c>
      <c r="K8" s="4">
        <v>750</v>
      </c>
      <c r="L8" s="4">
        <v>750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6">
        <f>IF(OR(C8="MAL ALIMI", C8="ÜRETİM GİRİŞ"), IF(J8 - MAX(0, $I$2 - (SUMIF($C$4:C7, "MAL ALIMI", $J$4:J7) + SUMIF($C$4:C7, "ÜRETİM GİRİŞ", $J$4:J7))) &gt; 0, J8 - MAX(0, $I$2 - (SUMIF($C$4:C7, "MAL ALIMI", $J$4:J7) + SUMIF($C$4:C7, "ÜRETİM GİRİŞ", $J$4:J7))), 0), 0)</f>
        <v>0</v>
      </c>
      <c r="U8" s="96">
        <f t="shared" si="1"/>
        <v>0</v>
      </c>
      <c r="V8" s="96">
        <f t="shared" si="2"/>
        <v>0</v>
      </c>
      <c r="W8" s="2">
        <f>V8-U8</f>
        <v>0</v>
      </c>
      <c r="X8" s="91" t="s">
        <v>2944</v>
      </c>
      <c r="Y8" s="89" cm="1">
        <f t="array" ref="Y8">SUM(SUMIFS(KASA!I:I, KASA!C:C, B2, KASA!B:B, {"MAL SATIŞI"}))</f>
        <v>5.0726666666666675</v>
      </c>
    </row>
    <row r="9" spans="2:31" x14ac:dyDescent="0.25">
      <c r="B9" s="87">
        <v>46085</v>
      </c>
      <c r="C9" s="4" t="str">
        <v>MAL SATIŞI</v>
      </c>
      <c r="D9" s="4" t="str">
        <v>CEVİZ KELEBEK (ŞİLİ)</v>
      </c>
      <c r="E9" s="4">
        <v>0</v>
      </c>
      <c r="F9" s="4">
        <v>0</v>
      </c>
      <c r="G9" s="4" t="str">
        <v>ST00000001479</v>
      </c>
      <c r="H9" s="4" t="str">
        <v>SATIŞ</v>
      </c>
      <c r="I9" s="4" t="str">
        <v>NAKİT</v>
      </c>
      <c r="J9" s="4">
        <v>0.5</v>
      </c>
      <c r="K9" s="4">
        <v>750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375</v>
      </c>
      <c r="S9" s="4">
        <v>0</v>
      </c>
      <c r="T9" s="96">
        <f>IF(OR(C9="MAL ALIMI", C9="ÜRETİM GİRİŞ"), IF(J9 - MAX(0, $I$2 - (SUMIF($C$4:C8, "MAL ALIMI", $J$4:J8) + SUMIF($C$4:C8, "ÜRETİM GİRİŞ", $J$4:J8))) &gt; 0, J9 - MAX(0, $I$2 - (SUMIF($C$4:C8, "MAL ALIMI", $J$4:J8) + SUMIF($C$4:C8, "ÜRETİM GİRİŞ", $J$4:J8))), 0), 0)</f>
        <v>0</v>
      </c>
      <c r="U9" s="96">
        <f t="shared" si="1"/>
        <v>0</v>
      </c>
      <c r="V9" s="96">
        <f t="shared" si="2"/>
        <v>0</v>
      </c>
      <c r="W9" s="2">
        <f t="shared" ref="W9:W72" si="3">V9-U9</f>
        <v>0</v>
      </c>
      <c r="X9" s="91" t="s">
        <v>2947</v>
      </c>
      <c r="Y9" s="89">
        <f>(SUMIFS(KASA!K:K, KASA!C:C, B2, KASA!B:B, "MAL SATIŞI") + SUMIFS(KASA!Q:Q, KASA!C:C, B2, KASA!B:B, "MAL SATIŞI"))</f>
        <v>3804.5</v>
      </c>
    </row>
    <row r="10" spans="2:31" x14ac:dyDescent="0.25">
      <c r="B10" s="87">
        <v>46086</v>
      </c>
      <c r="C10" s="4" t="str">
        <v>MAL SATIŞI</v>
      </c>
      <c r="D10" s="4" t="str">
        <v>CEVİZ KELEBEK (ŞİLİ)</v>
      </c>
      <c r="E10" s="4">
        <v>0</v>
      </c>
      <c r="F10" s="4" t="str">
        <v>TFK-POS</v>
      </c>
      <c r="G10" s="4" t="str">
        <v>ST00000001497</v>
      </c>
      <c r="H10" s="4" t="str">
        <v>SATIŞ</v>
      </c>
      <c r="I10" s="4" t="str">
        <v>POS</v>
      </c>
      <c r="J10" s="4">
        <v>0.156</v>
      </c>
      <c r="K10" s="4">
        <v>750</v>
      </c>
      <c r="L10" s="4">
        <v>117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6">
        <f>IF(OR(C10="MAL ALIMI", C10="ÜRETİM GİRİŞ"), IF(J10 - MAX(0, $I$2 - (SUMIF($C$4:C9, "MAL ALIMI", $J$4:J9) + SUMIF($C$4:C9, "ÜRETİM GİRİŞ", $J$4:J9))) &gt; 0, J10 - MAX(0, $I$2 - (SUMIF($C$4:C9, "MAL ALIMI", $J$4:J9) + SUMIF($C$4:C9, "ÜRETİM GİRİŞ", $J$4:J9))), 0), 0)</f>
        <v>0</v>
      </c>
      <c r="U10" s="96">
        <f t="shared" si="1"/>
        <v>0</v>
      </c>
      <c r="V10" s="96">
        <f t="shared" si="2"/>
        <v>0</v>
      </c>
      <c r="W10" s="2">
        <f t="shared" si="3"/>
        <v>0</v>
      </c>
      <c r="X10" s="91" t="s">
        <v>2813</v>
      </c>
      <c r="Y10" s="89">
        <f>Y9/Y8</f>
        <v>749.99999999999989</v>
      </c>
    </row>
    <row r="11" spans="2:31" x14ac:dyDescent="0.25">
      <c r="B11" s="87">
        <v>46095</v>
      </c>
      <c r="C11" s="4" t="str">
        <v>MAL SATIŞI</v>
      </c>
      <c r="D11" s="4" t="str">
        <v>CEVİZ KELEBEK (ŞİLİ)</v>
      </c>
      <c r="E11" s="4">
        <v>0</v>
      </c>
      <c r="F11" s="4">
        <v>0</v>
      </c>
      <c r="G11" s="4" t="str">
        <v>ST00000001617</v>
      </c>
      <c r="H11" s="4" t="str">
        <v>SATIŞ</v>
      </c>
      <c r="I11" s="4" t="str">
        <v>NAKİT</v>
      </c>
      <c r="J11" s="4">
        <v>0.504</v>
      </c>
      <c r="K11" s="4">
        <v>750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378</v>
      </c>
      <c r="S11" s="4">
        <v>0</v>
      </c>
      <c r="T11" s="96">
        <f>IF(OR(C11="MAL ALIMI", C11="ÜRETİM GİRİŞ"), IF(J11 - MAX(0, $I$2 - (SUMIF($C$4:C10, "MAL ALIMI", $J$4:J10) + SUMIF($C$4:C10, "ÜRETİM GİRİŞ", $J$4:J10))) &gt; 0, J11 - MAX(0, $I$2 - (SUMIF($C$4:C10, "MAL ALIMI", $J$4:J10) + SUMIF($C$4:C10, "ÜRETİM GİRİŞ", $J$4:J10))), 0), 0)</f>
        <v>0</v>
      </c>
      <c r="U11" s="96">
        <f t="shared" si="1"/>
        <v>0</v>
      </c>
      <c r="V11" s="96">
        <f t="shared" si="2"/>
        <v>0</v>
      </c>
      <c r="W11" s="2">
        <f t="shared" si="3"/>
        <v>0</v>
      </c>
      <c r="X11" s="92" t="s">
        <v>2945</v>
      </c>
      <c r="Y11" s="93" cm="1">
        <f t="array" ref="Y11">SUM(SUMIFS(KASA!I:I, KASA!C:C, B2, KASA!B:B, {"MAL İADE"}))</f>
        <v>5</v>
      </c>
    </row>
    <row r="12" spans="2:31" x14ac:dyDescent="0.25">
      <c r="B12" s="87">
        <v>46113</v>
      </c>
      <c r="C12" s="4" t="str">
        <v>MAL SATIŞI</v>
      </c>
      <c r="D12" s="4" t="str">
        <v>CEVİZ KELEBEK (ŞİLİ)</v>
      </c>
      <c r="E12" s="4">
        <v>0</v>
      </c>
      <c r="F12" s="4" t="str">
        <v>TFK-POS</v>
      </c>
      <c r="G12" s="4" t="str">
        <v>ST00000001787</v>
      </c>
      <c r="H12" s="4" t="str">
        <v>SATIŞ</v>
      </c>
      <c r="I12" s="4" t="str">
        <v>POS</v>
      </c>
      <c r="J12" s="4">
        <v>0.184</v>
      </c>
      <c r="K12" s="4">
        <v>750</v>
      </c>
      <c r="L12" s="4">
        <v>138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6">
        <f>IF(OR(C12="MAL ALIMI", C12="ÜRETİM GİRİŞ"), IF(J12 - MAX(0, $I$2 - (SUMIF($C$4:C11, "MAL ALIMI", $J$4:J11) + SUMIF($C$4:C11, "ÜRETİM GİRİŞ", $J$4:J11))) &gt; 0, J12 - MAX(0, $I$2 - (SUMIF($C$4:C11, "MAL ALIMI", $J$4:J11) + SUMIF($C$4:C11, "ÜRETİM GİRİŞ", $J$4:J11))), 0), 0)</f>
        <v>0</v>
      </c>
      <c r="U12" s="96">
        <f t="shared" si="1"/>
        <v>0</v>
      </c>
      <c r="V12" s="96">
        <f t="shared" si="2"/>
        <v>0</v>
      </c>
      <c r="W12" s="2">
        <f t="shared" si="3"/>
        <v>0</v>
      </c>
      <c r="X12" s="92" t="s">
        <v>2948</v>
      </c>
      <c r="Y12" s="93">
        <f>(SUMIFS(KASA!K:K, KASA!C:C, B2, KASA!B:B, "MAL İADE") + SUMIFS(KASA!Q:Q, KASA!C:C, B2, KASA!B:B, "MAL İADE"))</f>
        <v>2850</v>
      </c>
    </row>
    <row r="13" spans="2:31" x14ac:dyDescent="0.25">
      <c r="B13" s="87">
        <v>46115</v>
      </c>
      <c r="C13" s="4" t="str">
        <v>MAL SATIŞI</v>
      </c>
      <c r="D13" s="4" t="str">
        <v>CEVİZ KELEBEK (ŞİLİ)</v>
      </c>
      <c r="E13" s="4">
        <v>0</v>
      </c>
      <c r="F13" s="4" t="str">
        <v>TFK-POS</v>
      </c>
      <c r="G13" s="4" t="str">
        <v>ST00000001818</v>
      </c>
      <c r="H13" s="4" t="str">
        <v>SATIŞ</v>
      </c>
      <c r="I13" s="4" t="str">
        <v>POS</v>
      </c>
      <c r="J13" s="4">
        <v>1</v>
      </c>
      <c r="K13" s="4">
        <v>750</v>
      </c>
      <c r="L13" s="4">
        <v>750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6">
        <f>IF(OR(C13="MAL ALIMI", C13="ÜRETİM GİRİŞ"), IF(J13 - MAX(0, $I$2 - (SUMIF($C$4:C12, "MAL ALIMI", $J$4:J12) + SUMIF($C$4:C12, "ÜRETİM GİRİŞ", $J$4:J12))) &gt; 0, J13 - MAX(0, $I$2 - (SUMIF($C$4:C12, "MAL ALIMI", $J$4:J12) + SUMIF($C$4:C12, "ÜRETİM GİRİŞ", $J$4:J12))), 0), 0)</f>
        <v>0</v>
      </c>
      <c r="U13" s="96">
        <f t="shared" si="1"/>
        <v>0</v>
      </c>
      <c r="V13" s="96">
        <f t="shared" si="2"/>
        <v>0</v>
      </c>
      <c r="W13" s="2">
        <f t="shared" si="3"/>
        <v>0</v>
      </c>
      <c r="X13" s="92" t="s">
        <v>2946</v>
      </c>
      <c r="Y13" s="93" cm="1">
        <f t="array" ref="Y13">SUM(SUMIFS(KASA!I:I, KASA!C:C, B2, KASA!B:B, {"ÜRETİM ÇIKIŞ"}))</f>
        <v>0</v>
      </c>
    </row>
    <row r="14" spans="2:31" x14ac:dyDescent="0.25">
      <c r="B14" s="87">
        <v>46116</v>
      </c>
      <c r="C14" s="4" t="str">
        <v>MAL SATIŞI</v>
      </c>
      <c r="D14" s="4" t="str">
        <v>CEVİZ KELEBEK (ŞİLİ)</v>
      </c>
      <c r="E14" s="4">
        <v>0</v>
      </c>
      <c r="F14" s="4">
        <v>0</v>
      </c>
      <c r="G14" s="4" t="str">
        <v>ST00000001827</v>
      </c>
      <c r="H14" s="4" t="str">
        <v>SATIŞ - SUAT</v>
      </c>
      <c r="I14" s="4" t="str">
        <v>NAKİT</v>
      </c>
      <c r="J14" s="4">
        <v>0.246</v>
      </c>
      <c r="K14" s="4">
        <v>750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184.5</v>
      </c>
      <c r="S14" s="4">
        <v>0</v>
      </c>
      <c r="T14" s="96">
        <f>IF(OR(C14="MAL ALIMI", C14="ÜRETİM GİRİŞ"), IF(J14 - MAX(0, $I$2 - (SUMIF($C$4:C13, "MAL ALIMI", $J$4:J13) + SUMIF($C$4:C13, "ÜRETİM GİRİŞ", $J$4:J13))) &gt; 0, J14 - MAX(0, $I$2 - (SUMIF($C$4:C13, "MAL ALIMI", $J$4:J13) + SUMIF($C$4:C13, "ÜRETİM GİRİŞ", $J$4:J13))), 0), 0)</f>
        <v>0</v>
      </c>
      <c r="U14" s="96">
        <f t="shared" si="1"/>
        <v>0</v>
      </c>
      <c r="V14" s="96">
        <f t="shared" si="2"/>
        <v>0</v>
      </c>
      <c r="W14" s="2">
        <f t="shared" si="3"/>
        <v>0</v>
      </c>
      <c r="X14" s="92" t="s">
        <v>2951</v>
      </c>
      <c r="Y14" s="93">
        <f>(SUMIFS(KASA!K:K, KASA!C:C, B2, KASA!B:B, "ÜRETİM ÇIKIŞ") + SUMIFS(KASA!Q:Q, KASA!C:C, B2, KASA!B:B, "ÜRETİM ÇIKIŞ"))</f>
        <v>0</v>
      </c>
    </row>
    <row r="15" spans="2:31" x14ac:dyDescent="0.25">
      <c r="B15" s="87">
        <v>46124</v>
      </c>
      <c r="C15" s="4" t="str">
        <v>MAL SATIŞI</v>
      </c>
      <c r="D15" s="4" t="str">
        <v>CEVİZ KELEBEK (ŞİLİ)</v>
      </c>
      <c r="E15" s="4">
        <v>0</v>
      </c>
      <c r="F15" s="4" t="str">
        <v>TFK-POS</v>
      </c>
      <c r="G15" s="4" t="str">
        <v>ST00000001917</v>
      </c>
      <c r="H15" s="4" t="str">
        <v>SATIŞ</v>
      </c>
      <c r="I15" s="4" t="str">
        <v>POS</v>
      </c>
      <c r="J15" s="4">
        <v>0.5</v>
      </c>
      <c r="K15" s="4">
        <v>750</v>
      </c>
      <c r="L15" s="4">
        <v>375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96">
        <f>IF(OR(C15="MAL ALIMI", C15="ÜRETİM GİRİŞ"), IF(J15 - MAX(0, $I$2 - (SUMIF($C$4:C14, "MAL ALIMI", $J$4:J14) + SUMIF($C$4:C14, "ÜRETİM GİRİŞ", $J$4:J14))) &gt; 0, J15 - MAX(0, $I$2 - (SUMIF($C$4:C14, "MAL ALIMI", $J$4:J14) + SUMIF($C$4:C14, "ÜRETİM GİRİŞ", $J$4:J14))), 0), 0)</f>
        <v>0</v>
      </c>
      <c r="U15" s="96">
        <f t="shared" si="1"/>
        <v>0</v>
      </c>
      <c r="V15" s="96">
        <f t="shared" si="2"/>
        <v>0</v>
      </c>
      <c r="W15" s="2">
        <f t="shared" si="3"/>
        <v>0</v>
      </c>
      <c r="X15" s="94" t="s">
        <v>2952</v>
      </c>
      <c r="Y15" s="95">
        <f>SUM(T:T)</f>
        <v>1.9273333333333333</v>
      </c>
    </row>
    <row r="16" spans="2:31" x14ac:dyDescent="0.25">
      <c r="B16" s="87">
        <v>46147</v>
      </c>
      <c r="C16" s="4" t="str">
        <v>MAL SATIŞI</v>
      </c>
      <c r="D16" s="4" t="str">
        <v>CEVİZ KELEBEK (ŞİLİ)</v>
      </c>
      <c r="E16" s="4">
        <v>0</v>
      </c>
      <c r="F16" s="4">
        <v>0</v>
      </c>
      <c r="G16" s="4" t="str">
        <v>ST00000002180</v>
      </c>
      <c r="H16" s="4" t="str">
        <v>SATIŞ</v>
      </c>
      <c r="I16" s="4" t="str">
        <v>NAKİT</v>
      </c>
      <c r="J16" s="4">
        <v>0.13333333333333333</v>
      </c>
      <c r="K16" s="4">
        <v>750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100</v>
      </c>
      <c r="S16" s="4">
        <v>0</v>
      </c>
      <c r="T16" s="96">
        <f>IF(OR(C16="MAL ALIMI", C16="ÜRETİM GİRİŞ"), IF(J16 - MAX(0, $I$2 - (SUMIF($C$4:C15, "MAL ALIMI", $J$4:J15) + SUMIF($C$4:C15, "ÜRETİM GİRİŞ", $J$4:J15))) &gt; 0, J16 - MAX(0, $I$2 - (SUMIF($C$4:C15, "MAL ALIMI", $J$4:J15) + SUMIF($C$4:C15, "ÜRETİM GİRİŞ", $J$4:J15))), 0), 0)</f>
        <v>0</v>
      </c>
      <c r="U16" s="96">
        <f t="shared" si="1"/>
        <v>0</v>
      </c>
      <c r="V16" s="96">
        <f t="shared" si="2"/>
        <v>0</v>
      </c>
      <c r="W16" s="2">
        <f t="shared" si="3"/>
        <v>0</v>
      </c>
      <c r="X16" s="94" t="s">
        <v>2953</v>
      </c>
      <c r="Y16" s="95">
        <f>SUM(U:U)</f>
        <v>952.37731166666663</v>
      </c>
    </row>
    <row r="17" spans="2:25" x14ac:dyDescent="0.25">
      <c r="B17" s="87">
        <v>46160</v>
      </c>
      <c r="C17" s="4" t="str">
        <v>MAL SATIŞI</v>
      </c>
      <c r="D17" s="4" t="str">
        <v>CEVİZ KELEBEK (ŞİLİ)</v>
      </c>
      <c r="E17" s="4">
        <v>0</v>
      </c>
      <c r="F17" s="4" t="str">
        <v>TFK-POS</v>
      </c>
      <c r="G17" s="4" t="str">
        <v>ST00000002294</v>
      </c>
      <c r="H17" s="4" t="str">
        <v>SATIŞ</v>
      </c>
      <c r="I17" s="4" t="str">
        <v>POS</v>
      </c>
      <c r="J17" s="4">
        <v>0.5</v>
      </c>
      <c r="K17" s="4">
        <v>750</v>
      </c>
      <c r="L17" s="4">
        <v>375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96">
        <f>IF(OR(C17="MAL ALIMI", C17="ÜRETİM GİRİŞ"), IF(J17 - MAX(0, $I$2 - (SUMIF($C$4:C16, "MAL ALIMI", $J$4:J16) + SUMIF($C$4:C16, "ÜRETİM GİRİŞ", $J$4:J16))) &gt; 0, J17 - MAX(0, $I$2 - (SUMIF($C$4:C16, "MAL ALIMI", $J$4:J16) + SUMIF($C$4:C16, "ÜRETİM GİRİŞ", $J$4:J16))), 0), 0)</f>
        <v>0</v>
      </c>
      <c r="U17" s="96">
        <f t="shared" si="1"/>
        <v>0</v>
      </c>
      <c r="V17" s="96">
        <f t="shared" si="2"/>
        <v>0</v>
      </c>
      <c r="W17" s="2">
        <f t="shared" si="3"/>
        <v>0</v>
      </c>
      <c r="Y17" s="2"/>
    </row>
    <row r="18" spans="2:25" x14ac:dyDescent="0.25">
      <c r="B18" s="87">
        <v>46167</v>
      </c>
      <c r="C18" s="4" t="str">
        <v>MAL SATIŞI</v>
      </c>
      <c r="D18" s="4" t="str">
        <v>CEVİZ KELEBEK (ŞİLİ)</v>
      </c>
      <c r="E18" s="4">
        <v>0</v>
      </c>
      <c r="F18" s="4" t="str">
        <v>TFK-POS</v>
      </c>
      <c r="G18" s="4" t="str">
        <v>ST00000002356</v>
      </c>
      <c r="H18" s="4" t="str">
        <v>SATIŞ</v>
      </c>
      <c r="I18" s="4" t="str">
        <v>POS</v>
      </c>
      <c r="J18" s="4">
        <v>0.2</v>
      </c>
      <c r="K18" s="4">
        <v>750</v>
      </c>
      <c r="L18" s="4">
        <v>150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96">
        <f>IF(OR(C18="MAL ALIMI", C18="ÜRETİM GİRİŞ"), IF(J18 - MAX(0, $I$2 - (SUMIF($C$4:C17, "MAL ALIMI", $J$4:J17) + SUMIF($C$4:C17, "ÜRETİM GİRİŞ", $J$4:J17))) &gt; 0, J18 - MAX(0, $I$2 - (SUMIF($C$4:C17, "MAL ALIMI", $J$4:J17) + SUMIF($C$4:C17, "ÜRETİM GİRİŞ", $J$4:J17))), 0), 0)</f>
        <v>0</v>
      </c>
      <c r="U18" s="96">
        <f t="shared" si="1"/>
        <v>0</v>
      </c>
      <c r="V18" s="96">
        <f t="shared" si="2"/>
        <v>0</v>
      </c>
      <c r="W18" s="2">
        <f t="shared" si="3"/>
        <v>0</v>
      </c>
      <c r="Y18" s="2"/>
    </row>
    <row r="19" spans="2:25" x14ac:dyDescent="0.25">
      <c r="B19" s="87">
        <v>46191</v>
      </c>
      <c r="C19" s="4" t="str">
        <v>MAL SATIŞI</v>
      </c>
      <c r="D19" s="4" t="str">
        <v>CEVİZ KELEBEK (ŞİLİ)</v>
      </c>
      <c r="E19" s="4">
        <v>0</v>
      </c>
      <c r="F19" s="4" t="str">
        <v>TFK-POS</v>
      </c>
      <c r="G19" s="4" t="str">
        <v>ST00000002519</v>
      </c>
      <c r="H19" s="4" t="str">
        <v>SATIŞ</v>
      </c>
      <c r="I19" s="4" t="str">
        <v>POS</v>
      </c>
      <c r="J19" s="4">
        <v>0.14933333333333335</v>
      </c>
      <c r="K19" s="4">
        <v>750</v>
      </c>
      <c r="L19" s="4">
        <v>112.00000000000001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96">
        <f>IF(OR(C19="MAL ALIMI", C19="ÜRETİM GİRİŞ"), IF(J19 - MAX(0, $I$2 - (SUMIF($C$4:C18, "MAL ALIMI", $J$4:J18) + SUMIF($C$4:C18, "ÜRETİM GİRİŞ", $J$4:J18))) &gt; 0, J19 - MAX(0, $I$2 - (SUMIF($C$4:C18, "MAL ALIMI", $J$4:J18) + SUMIF($C$4:C18, "ÜRETİM GİRİŞ", $J$4:J18))), 0), 0)</f>
        <v>0</v>
      </c>
      <c r="U19" s="96">
        <f t="shared" si="1"/>
        <v>0</v>
      </c>
      <c r="V19" s="96">
        <f t="shared" si="2"/>
        <v>0</v>
      </c>
      <c r="W19" s="2">
        <f t="shared" si="3"/>
        <v>0</v>
      </c>
      <c r="Y19" s="2"/>
    </row>
    <row r="20" spans="2:25" x14ac:dyDescent="0.25">
      <c r="B20" s="87">
        <v>46219</v>
      </c>
      <c r="C20" s="4" t="str">
        <v>MAL ALIMI</v>
      </c>
      <c r="D20" s="4" t="str">
        <v>CEVİZ KELEBEK (ŞİLİ)</v>
      </c>
      <c r="E20" s="4">
        <v>0</v>
      </c>
      <c r="F20" s="4" t="str">
        <v>NEVANTAT KURUYEMİŞ</v>
      </c>
      <c r="G20" s="4" t="str">
        <v>NTA20260000000259</v>
      </c>
      <c r="H20" s="4" t="str">
        <v>NEVANTAT MAL ALIMI</v>
      </c>
      <c r="I20" s="4" t="str">
        <v>CARİ</v>
      </c>
      <c r="J20" s="4">
        <v>2</v>
      </c>
      <c r="K20" s="4">
        <v>494.14249999999998</v>
      </c>
      <c r="L20" s="4">
        <v>0</v>
      </c>
      <c r="M20" s="4">
        <v>988.28499999999997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96">
        <f>IF(OR(C20="MAL ALIMI", C20="ÜRETİM GİRİŞ"), IF(J20 - MAX(0, $I$2 - (SUMIF($C$4:C19, "MAL ALIMI", $J$4:J19) + SUMIF($C$4:C19, "ÜRETİM GİRİŞ", $J$4:J19))) &gt; 0, J20 - MAX(0, $I$2 - (SUMIF($C$4:C19, "MAL ALIMI", $J$4:J19) + SUMIF($C$4:C19, "ÜRETİM GİRİŞ", $J$4:J19))), 0), 0)</f>
        <v>1.9273333333333333</v>
      </c>
      <c r="U20" s="96">
        <f t="shared" si="1"/>
        <v>952.37731166666663</v>
      </c>
      <c r="V20" s="96">
        <f t="shared" si="2"/>
        <v>988.28499999999997</v>
      </c>
      <c r="W20" s="2">
        <f t="shared" si="3"/>
        <v>35.90768833333334</v>
      </c>
      <c r="Y20" s="2"/>
    </row>
    <row r="21" spans="2:25" x14ac:dyDescent="0.25">
      <c r="B21" s="8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96">
        <f>IF(OR(C21="MAL ALIMI", C21="ÜRETİM GİRİŞ"), IF(J21 - MAX(0, $I$2 - (SUMIF($C$4:C20, "MAL ALIMI", $J$4:J20) + SUMIF($C$4:C20, "ÜRETİM GİRİŞ", $J$4:J20))) &gt; 0, J21 - MAX(0, $I$2 - (SUMIF($C$4:C20, "MAL ALIMI", $J$4:J20) + SUMIF($C$4:C20, "ÜRETİM GİRİŞ", $J$4:J20))), 0), 0)</f>
        <v>0</v>
      </c>
      <c r="U21" s="96">
        <f t="shared" si="1"/>
        <v>0</v>
      </c>
      <c r="V21" s="96">
        <f t="shared" si="2"/>
        <v>0</v>
      </c>
      <c r="W21" s="2">
        <f t="shared" si="3"/>
        <v>0</v>
      </c>
      <c r="Y21" s="2"/>
    </row>
    <row r="22" spans="2:25" x14ac:dyDescent="0.25">
      <c r="B22" s="8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96">
        <f>IF(OR(C22="MAL ALIMI", C22="ÜRETİM GİRİŞ"), IF(J22 - MAX(0, $I$2 - (SUMIF($C$4:C21, "MAL ALIMI", $J$4:J21) + SUMIF($C$4:C21, "ÜRETİM GİRİŞ", $J$4:J21))) &gt; 0, J22 - MAX(0, $I$2 - (SUMIF($C$4:C21, "MAL ALIMI", $J$4:J21) + SUMIF($C$4:C21, "ÜRETİM GİRİŞ", $J$4:J21))), 0), 0)</f>
        <v>0</v>
      </c>
      <c r="U22" s="96">
        <f t="shared" si="1"/>
        <v>0</v>
      </c>
      <c r="V22" s="96">
        <f t="shared" si="2"/>
        <v>0</v>
      </c>
      <c r="W22" s="2">
        <f t="shared" si="3"/>
        <v>0</v>
      </c>
      <c r="Y22" s="2"/>
    </row>
    <row r="23" spans="2:25" x14ac:dyDescent="0.25">
      <c r="B23" s="8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96">
        <f>IF(OR(C23="MAL ALIMI", C23="ÜRETİM GİRİŞ"), IF(J23 - MAX(0, $I$2 - (SUMIF($C$4:C22, "MAL ALIMI", $J$4:J22) + SUMIF($C$4:C22, "ÜRETİM GİRİŞ", $J$4:J22))) &gt; 0, J23 - MAX(0, $I$2 - (SUMIF($C$4:C22, "MAL ALIMI", $J$4:J22) + SUMIF($C$4:C22, "ÜRETİM GİRİŞ", $J$4:J22))), 0), 0)</f>
        <v>0</v>
      </c>
      <c r="U23" s="96">
        <f t="shared" si="1"/>
        <v>0</v>
      </c>
      <c r="V23" s="96">
        <f t="shared" si="2"/>
        <v>0</v>
      </c>
      <c r="W23" s="2">
        <f t="shared" si="3"/>
        <v>0</v>
      </c>
      <c r="Y23" s="2"/>
    </row>
    <row r="24" spans="2:25" x14ac:dyDescent="0.25">
      <c r="B24" s="87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96">
        <f>IF(OR(C24="MAL ALIMI", C24="ÜRETİM GİRİŞ"), IF(J24 - MAX(0, $I$2 - (SUMIF($C$4:C23, "MAL ALIMI", $J$4:J23) + SUMIF($C$4:C23, "ÜRETİM GİRİŞ", $J$4:J23))) &gt; 0, J24 - MAX(0, $I$2 - (SUMIF($C$4:C23, "MAL ALIMI", $J$4:J23) + SUMIF($C$4:C23, "ÜRETİM GİRİŞ", $J$4:J23))), 0), 0)</f>
        <v>0</v>
      </c>
      <c r="U24" s="96">
        <f t="shared" si="1"/>
        <v>0</v>
      </c>
      <c r="V24" s="96">
        <f t="shared" si="2"/>
        <v>0</v>
      </c>
      <c r="W24" s="2">
        <f t="shared" si="3"/>
        <v>0</v>
      </c>
      <c r="Y24" s="2"/>
    </row>
    <row r="25" spans="2:25" x14ac:dyDescent="0.25">
      <c r="B25" s="8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96">
        <f>IF(OR(C25="MAL ALIMI", C25="ÜRETİM GİRİŞ"), IF(J25 - MAX(0, $I$2 - (SUMIF($C$4:C24, "MAL ALIMI", $J$4:J24) + SUMIF($C$4:C24, "ÜRETİM GİRİŞ", $J$4:J24))) &gt; 0, J25 - MAX(0, $I$2 - (SUMIF($C$4:C24, "MAL ALIMI", $J$4:J24) + SUMIF($C$4:C24, "ÜRETİM GİRİŞ", $J$4:J24))), 0), 0)</f>
        <v>0</v>
      </c>
      <c r="U25" s="96">
        <f t="shared" si="1"/>
        <v>0</v>
      </c>
      <c r="V25" s="96">
        <f t="shared" si="2"/>
        <v>0</v>
      </c>
      <c r="W25" s="2">
        <f t="shared" si="3"/>
        <v>0</v>
      </c>
      <c r="Y25" s="2"/>
    </row>
    <row r="26" spans="2:25" x14ac:dyDescent="0.25">
      <c r="B26" s="8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96">
        <f>IF(OR(C26="MAL ALIMI", C26="ÜRETİM GİRİŞ"), IF(J26 - MAX(0, $I$2 - (SUMIF($C$4:C25, "MAL ALIMI", $J$4:J25) + SUMIF($C$4:C25, "ÜRETİM GİRİŞ", $J$4:J25))) &gt; 0, J26 - MAX(0, $I$2 - (SUMIF($C$4:C25, "MAL ALIMI", $J$4:J25) + SUMIF($C$4:C25, "ÜRETİM GİRİŞ", $J$4:J25))), 0), 0)</f>
        <v>0</v>
      </c>
      <c r="U26" s="96">
        <f t="shared" si="1"/>
        <v>0</v>
      </c>
      <c r="V26" s="96">
        <f t="shared" si="2"/>
        <v>0</v>
      </c>
      <c r="W26" s="2">
        <f t="shared" si="3"/>
        <v>0</v>
      </c>
    </row>
    <row r="27" spans="2:25" x14ac:dyDescent="0.25">
      <c r="B27" s="87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96">
        <f>IF(OR(C27="MAL ALIMI", C27="ÜRETİM GİRİŞ"), IF(J27 - MAX(0, $I$2 - (SUMIF($C$4:C26, "MAL ALIMI", $J$4:J26) + SUMIF($C$4:C26, "ÜRETİM GİRİŞ", $J$4:J26))) &gt; 0, J27 - MAX(0, $I$2 - (SUMIF($C$4:C26, "MAL ALIMI", $J$4:J26) + SUMIF($C$4:C26, "ÜRETİM GİRİŞ", $J$4:J26))), 0), 0)</f>
        <v>0</v>
      </c>
      <c r="U27" s="96">
        <f t="shared" si="1"/>
        <v>0</v>
      </c>
      <c r="V27" s="96">
        <f t="shared" si="2"/>
        <v>0</v>
      </c>
      <c r="W27" s="2">
        <f t="shared" si="3"/>
        <v>0</v>
      </c>
    </row>
    <row r="28" spans="2:25" x14ac:dyDescent="0.25">
      <c r="B28" s="8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96">
        <f>IF(OR(C28="MAL ALIMI", C28="ÜRETİM GİRİŞ"), IF(J28 - MAX(0, $I$2 - (SUMIF($C$4:C27, "MAL ALIMI", $J$4:J27) + SUMIF($C$4:C27, "ÜRETİM GİRİŞ", $J$4:J27))) &gt; 0, J28 - MAX(0, $I$2 - (SUMIF($C$4:C27, "MAL ALIMI", $J$4:J27) + SUMIF($C$4:C27, "ÜRETİM GİRİŞ", $J$4:J27))), 0), 0)</f>
        <v>0</v>
      </c>
      <c r="U28" s="96">
        <f t="shared" si="1"/>
        <v>0</v>
      </c>
      <c r="V28" s="96">
        <f t="shared" si="2"/>
        <v>0</v>
      </c>
      <c r="W28" s="2">
        <f t="shared" si="3"/>
        <v>0</v>
      </c>
    </row>
    <row r="29" spans="2:25" x14ac:dyDescent="0.25">
      <c r="B29" s="8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6">
        <f>IF(OR(C29="MAL ALIMI", C29="ÜRETİM GİRİŞ"), IF(J29 - MAX(0, $I$2 - (SUMIF($C$4:C28, "MAL ALIMI", $J$4:J28) + SUMIF($C$4:C28, "ÜRETİM GİRİŞ", $J$4:J28))) &gt; 0, J29 - MAX(0, $I$2 - (SUMIF($C$4:C28, "MAL ALIMI", $J$4:J28) + SUMIF($C$4:C28, "ÜRETİM GİRİŞ", $J$4:J28))), 0), 0)</f>
        <v>0</v>
      </c>
      <c r="U29" s="96">
        <f t="shared" si="1"/>
        <v>0</v>
      </c>
      <c r="V29" s="96">
        <f t="shared" si="2"/>
        <v>0</v>
      </c>
      <c r="W29" s="2">
        <f t="shared" si="3"/>
        <v>0</v>
      </c>
    </row>
    <row r="30" spans="2:25" x14ac:dyDescent="0.25">
      <c r="B30" s="87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6">
        <f>IF(OR(C30="MAL ALIMI", C30="ÜRETİM GİRİŞ"), IF(J30 - MAX(0, $I$2 - (SUMIF($C$4:C29, "MAL ALIMI", $J$4:J29) + SUMIF($C$4:C29, "ÜRETİM GİRİŞ", $J$4:J29))) &gt; 0, J30 - MAX(0, $I$2 - (SUMIF($C$4:C29, "MAL ALIMI", $J$4:J29) + SUMIF($C$4:C29, "ÜRETİM GİRİŞ", $J$4:J29))), 0), 0)</f>
        <v>0</v>
      </c>
      <c r="U30" s="96">
        <f t="shared" si="1"/>
        <v>0</v>
      </c>
      <c r="V30" s="96">
        <f t="shared" si="2"/>
        <v>0</v>
      </c>
      <c r="W30" s="2">
        <f t="shared" si="3"/>
        <v>0</v>
      </c>
    </row>
    <row r="31" spans="2:25" x14ac:dyDescent="0.25">
      <c r="B31" s="8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6">
        <f>IF(OR(C31="MAL ALIMI", C31="ÜRETİM GİRİŞ"), IF(J31 - MAX(0, $I$2 - (SUMIF($C$4:C30, "MAL ALIMI", $J$4:J30) + SUMIF($C$4:C30, "ÜRETİM GİRİŞ", $J$4:J30))) &gt; 0, J31 - MAX(0, $I$2 - (SUMIF($C$4:C30, "MAL ALIMI", $J$4:J30) + SUMIF($C$4:C30, "ÜRETİM GİRİŞ", $J$4:J30))), 0), 0)</f>
        <v>0</v>
      </c>
      <c r="U31" s="96">
        <f t="shared" si="1"/>
        <v>0</v>
      </c>
      <c r="V31" s="96">
        <f t="shared" si="2"/>
        <v>0</v>
      </c>
      <c r="W31" s="2">
        <f t="shared" si="3"/>
        <v>0</v>
      </c>
    </row>
    <row r="32" spans="2:25" x14ac:dyDescent="0.25">
      <c r="B32" s="87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6">
        <f>IF(OR(C32="MAL ALIMI", C32="ÜRETİM GİRİŞ"), IF(J32 - MAX(0, $I$2 - (SUMIF($C$4:C31, "MAL ALIMI", $J$4:J31) + SUMIF($C$4:C31, "ÜRETİM GİRİŞ", $J$4:J31))) &gt; 0, J32 - MAX(0, $I$2 - (SUMIF($C$4:C31, "MAL ALIMI", $J$4:J31) + SUMIF($C$4:C31, "ÜRETİM GİRİŞ", $J$4:J31))), 0), 0)</f>
        <v>0</v>
      </c>
      <c r="U32" s="96">
        <f t="shared" si="1"/>
        <v>0</v>
      </c>
      <c r="V32" s="96">
        <f t="shared" si="2"/>
        <v>0</v>
      </c>
      <c r="W32" s="2">
        <f t="shared" si="3"/>
        <v>0</v>
      </c>
    </row>
    <row r="33" spans="2:23" x14ac:dyDescent="0.25">
      <c r="B33" s="87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96">
        <f>IF(OR(C33="MAL ALIMI", C33="ÜRETİM GİRİŞ"), IF(J33 - MAX(0, $I$2 - (SUMIF($C$4:C32, "MAL ALIMI", $J$4:J32) + SUMIF($C$4:C32, "ÜRETİM GİRİŞ", $J$4:J32))) &gt; 0, J33 - MAX(0, $I$2 - (SUMIF($C$4:C32, "MAL ALIMI", $J$4:J32) + SUMIF($C$4:C32, "ÜRETİM GİRİŞ", $J$4:J32))), 0), 0)</f>
        <v>0</v>
      </c>
      <c r="U33" s="96">
        <f t="shared" si="1"/>
        <v>0</v>
      </c>
      <c r="V33" s="96">
        <f t="shared" si="2"/>
        <v>0</v>
      </c>
      <c r="W33" s="2">
        <f t="shared" si="3"/>
        <v>0</v>
      </c>
    </row>
    <row r="34" spans="2:23" x14ac:dyDescent="0.25">
      <c r="B34" s="8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96">
        <f>IF(OR(C34="MAL ALIMI", C34="ÜRETİM GİRİŞ"), IF(J34 - MAX(0, $I$2 - (SUMIF($C$4:C33, "MAL ALIMI", $J$4:J33) + SUMIF($C$4:C33, "ÜRETİM GİRİŞ", $J$4:J33))) &gt; 0, J34 - MAX(0, $I$2 - (SUMIF($C$4:C33, "MAL ALIMI", $J$4:J33) + SUMIF($C$4:C33, "ÜRETİM GİRİŞ", $J$4:J33))), 0), 0)</f>
        <v>0</v>
      </c>
      <c r="U34" s="96">
        <f t="shared" si="1"/>
        <v>0</v>
      </c>
      <c r="V34" s="96">
        <f t="shared" si="2"/>
        <v>0</v>
      </c>
      <c r="W34" s="2">
        <f t="shared" si="3"/>
        <v>0</v>
      </c>
    </row>
    <row r="35" spans="2:23" x14ac:dyDescent="0.25">
      <c r="B35" s="87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96">
        <f>IF(OR(C35="MAL ALIMI", C35="ÜRETİM GİRİŞ"), IF(J35 - MAX(0, $I$2 - (SUMIF($C$4:C34, "MAL ALIMI", $J$4:J34) + SUMIF($C$4:C34, "ÜRETİM GİRİŞ", $J$4:J34))) &gt; 0, J35 - MAX(0, $I$2 - (SUMIF($C$4:C34, "MAL ALIMI", $J$4:J34) + SUMIF($C$4:C34, "ÜRETİM GİRİŞ", $J$4:J34))), 0), 0)</f>
        <v>0</v>
      </c>
      <c r="U35" s="96">
        <f t="shared" si="1"/>
        <v>0</v>
      </c>
      <c r="V35" s="96">
        <f t="shared" si="2"/>
        <v>0</v>
      </c>
      <c r="W35" s="2">
        <f t="shared" si="3"/>
        <v>0</v>
      </c>
    </row>
    <row r="36" spans="2:23" x14ac:dyDescent="0.25">
      <c r="B36" s="8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96">
        <f>IF(OR(C36="MAL ALIMI", C36="ÜRETİM GİRİŞ"), IF(J36 - MAX(0, $I$2 - (SUMIF($C$4:C35, "MAL ALIMI", $J$4:J35) + SUMIF($C$4:C35, "ÜRETİM GİRİŞ", $J$4:J35))) &gt; 0, J36 - MAX(0, $I$2 - (SUMIF($C$4:C35, "MAL ALIMI", $J$4:J35) + SUMIF($C$4:C35, "ÜRETİM GİRİŞ", $J$4:J35))), 0), 0)</f>
        <v>0</v>
      </c>
      <c r="U36" s="96">
        <f t="shared" si="1"/>
        <v>0</v>
      </c>
      <c r="V36" s="96">
        <f t="shared" si="2"/>
        <v>0</v>
      </c>
      <c r="W36" s="2">
        <f t="shared" si="3"/>
        <v>0</v>
      </c>
    </row>
    <row r="37" spans="2:23" x14ac:dyDescent="0.25">
      <c r="B37" s="87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96">
        <f>IF(OR(C37="MAL ALIMI", C37="ÜRETİM GİRİŞ"), IF(J37 - MAX(0, $I$2 - (SUMIF($C$4:C36, "MAL ALIMI", $J$4:J36) + SUMIF($C$4:C36, "ÜRETİM GİRİŞ", $J$4:J36))) &gt; 0, J37 - MAX(0, $I$2 - (SUMIF($C$4:C36, "MAL ALIMI", $J$4:J36) + SUMIF($C$4:C36, "ÜRETİM GİRİŞ", $J$4:J36))), 0), 0)</f>
        <v>0</v>
      </c>
      <c r="U37" s="96">
        <f t="shared" si="1"/>
        <v>0</v>
      </c>
      <c r="V37" s="96">
        <f t="shared" si="2"/>
        <v>0</v>
      </c>
      <c r="W37" s="2">
        <f t="shared" si="3"/>
        <v>0</v>
      </c>
    </row>
    <row r="38" spans="2:23" x14ac:dyDescent="0.25">
      <c r="B38" s="87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96">
        <f>IF(OR(C38="MAL ALIMI", C38="ÜRETİM GİRİŞ"), IF(J38 - MAX(0, $I$2 - (SUMIF($C$4:C37, "MAL ALIMI", $J$4:J37) + SUMIF($C$4:C37, "ÜRETİM GİRİŞ", $J$4:J37))) &gt; 0, J38 - MAX(0, $I$2 - (SUMIF($C$4:C37, "MAL ALIMI", $J$4:J37) + SUMIF($C$4:C37, "ÜRETİM GİRİŞ", $J$4:J37))), 0), 0)</f>
        <v>0</v>
      </c>
      <c r="U38" s="96">
        <f t="shared" si="1"/>
        <v>0</v>
      </c>
      <c r="V38" s="96">
        <f t="shared" si="2"/>
        <v>0</v>
      </c>
      <c r="W38" s="2">
        <f t="shared" si="3"/>
        <v>0</v>
      </c>
    </row>
    <row r="39" spans="2:23" x14ac:dyDescent="0.25">
      <c r="B39" s="87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96">
        <f>IF(OR(C39="MAL ALIMI", C39="ÜRETİM GİRİŞ"), IF(J39 - MAX(0, $I$2 - (SUMIF($C$4:C38, "MAL ALIMI", $J$4:J38) + SUMIF($C$4:C38, "ÜRETİM GİRİŞ", $J$4:J38))) &gt; 0, J39 - MAX(0, $I$2 - (SUMIF($C$4:C38, "MAL ALIMI", $J$4:J38) + SUMIF($C$4:C38, "ÜRETİM GİRİŞ", $J$4:J38))), 0), 0)</f>
        <v>0</v>
      </c>
      <c r="U39" s="96">
        <f t="shared" si="1"/>
        <v>0</v>
      </c>
      <c r="V39" s="96">
        <f t="shared" si="2"/>
        <v>0</v>
      </c>
      <c r="W39" s="2">
        <f t="shared" si="3"/>
        <v>0</v>
      </c>
    </row>
    <row r="40" spans="2:23" x14ac:dyDescent="0.25">
      <c r="B40" s="87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96">
        <f>IF(OR(C40="MAL ALIMI", C40="ÜRETİM GİRİŞ"), IF(J40 - MAX(0, $I$2 - (SUMIF($C$4:C39, "MAL ALIMI", $J$4:J39) + SUMIF($C$4:C39, "ÜRETİM GİRİŞ", $J$4:J39))) &gt; 0, J40 - MAX(0, $I$2 - (SUMIF($C$4:C39, "MAL ALIMI", $J$4:J39) + SUMIF($C$4:C39, "ÜRETİM GİRİŞ", $J$4:J39))), 0), 0)</f>
        <v>0</v>
      </c>
      <c r="U40" s="96">
        <f t="shared" si="1"/>
        <v>0</v>
      </c>
      <c r="V40" s="96">
        <f t="shared" si="2"/>
        <v>0</v>
      </c>
      <c r="W40" s="2">
        <f t="shared" si="3"/>
        <v>0</v>
      </c>
    </row>
    <row r="41" spans="2:23" x14ac:dyDescent="0.25">
      <c r="B41" s="87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96">
        <f>IF(OR(C41="MAL ALIMI", C41="ÜRETİM GİRİŞ"), IF(J41 - MAX(0, $I$2 - (SUMIF($C$4:C40, "MAL ALIMI", $J$4:J40) + SUMIF($C$4:C40, "ÜRETİM GİRİŞ", $J$4:J40))) &gt; 0, J41 - MAX(0, $I$2 - (SUMIF($C$4:C40, "MAL ALIMI", $J$4:J40) + SUMIF($C$4:C40, "ÜRETİM GİRİŞ", $J$4:J40))), 0), 0)</f>
        <v>0</v>
      </c>
      <c r="U41" s="96">
        <f>T41*K41</f>
        <v>0</v>
      </c>
      <c r="V41" s="96">
        <f>IF(OR(C41="MAL ALIMI", C41="ÜRETİM GİRİŞ"), J41 * K41, 0)</f>
        <v>0</v>
      </c>
      <c r="W41" s="2">
        <f t="shared" si="3"/>
        <v>0</v>
      </c>
    </row>
    <row r="42" spans="2:23" x14ac:dyDescent="0.25">
      <c r="B42" s="87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96">
        <f>IF(OR(C42="MAL ALIMI", C42="ÜRETİM GİRİŞ"), IF(J42 - MAX(0, $I$2 - (SUMIF($C$4:C41, "MAL ALIMI", $J$4:J41) + SUMIF($C$4:C41, "ÜRETİM GİRİŞ", $J$4:J41))) &gt; 0, J42 - MAX(0, $I$2 - (SUMIF($C$4:C41, "MAL ALIMI", $J$4:J41) + SUMIF($C$4:C41, "ÜRETİM GİRİŞ", $J$4:J41))), 0), 0)</f>
        <v>0</v>
      </c>
      <c r="U42" s="96">
        <f>T42*K42</f>
        <v>0</v>
      </c>
      <c r="V42" s="96">
        <f>IF(OR(C42="MAL ALIMI", C42="ÜRETİM GİRİŞ"), J42 * K42, 0)</f>
        <v>0</v>
      </c>
      <c r="W42" s="2">
        <f t="shared" si="3"/>
        <v>0</v>
      </c>
    </row>
    <row r="43" spans="2:23" x14ac:dyDescent="0.25">
      <c r="B43" s="87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96">
        <f>IF(OR(C43="MAL ALIMI", C43="ÜRETİM GİRİŞ"), IF(J43 - MAX(0, $I$2 - (SUMIF($C$4:C42, "MAL ALIMI", $J$4:J42) + SUMIF($C$4:C42, "ÜRETİM GİRİŞ", $J$4:J42))) &gt; 0, J43 - MAX(0, $I$2 - (SUMIF($C$4:C42, "MAL ALIMI", $J$4:J42) + SUMIF($C$4:C42, "ÜRETİM GİRİŞ", $J$4:J42))), 0), 0)</f>
        <v>0</v>
      </c>
      <c r="U43" s="96">
        <f t="shared" si="1"/>
        <v>0</v>
      </c>
      <c r="V43" s="96">
        <f t="shared" si="2"/>
        <v>0</v>
      </c>
      <c r="W43" s="2">
        <f t="shared" si="3"/>
        <v>0</v>
      </c>
    </row>
    <row r="44" spans="2:23" x14ac:dyDescent="0.25">
      <c r="B44" s="8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96">
        <f>IF(OR(C44="MAL ALIMI", C44="ÜRETİM GİRİŞ"), IF(J44 - MAX(0, $I$2 - (SUMIF($C$4:C43, "MAL ALIMI", $J$4:J43) + SUMIF($C$4:C43, "ÜRETİM GİRİŞ", $J$4:J43))) &gt; 0, J44 - MAX(0, $I$2 - (SUMIF($C$4:C43, "MAL ALIMI", $J$4:J43) + SUMIF($C$4:C43, "ÜRETİM GİRİŞ", $J$4:J43))), 0), 0)</f>
        <v>0</v>
      </c>
      <c r="U44" s="96">
        <f t="shared" si="1"/>
        <v>0</v>
      </c>
      <c r="V44" s="96">
        <f t="shared" si="2"/>
        <v>0</v>
      </c>
      <c r="W44" s="2">
        <f t="shared" si="3"/>
        <v>0</v>
      </c>
    </row>
    <row r="45" spans="2:23" x14ac:dyDescent="0.25">
      <c r="B45" s="8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96">
        <f>IF(OR(C45="MAL ALIMI", C45="ÜRETİM GİRİŞ"), IF(J45 - MAX(0, $I$2 - (SUMIF($C$4:C44, "MAL ALIMI", $J$4:J44) + SUMIF($C$4:C44, "ÜRETİM GİRİŞ", $J$4:J44))) &gt; 0, J45 - MAX(0, $I$2 - (SUMIF($C$4:C44, "MAL ALIMI", $J$4:J44) + SUMIF($C$4:C44, "ÜRETİM GİRİŞ", $J$4:J44))), 0), 0)</f>
        <v>0</v>
      </c>
      <c r="U45" s="96">
        <f t="shared" si="1"/>
        <v>0</v>
      </c>
      <c r="V45" s="96">
        <f t="shared" si="2"/>
        <v>0</v>
      </c>
      <c r="W45" s="2">
        <f t="shared" si="3"/>
        <v>0</v>
      </c>
    </row>
    <row r="46" spans="2:23" x14ac:dyDescent="0.25">
      <c r="B46" s="8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96">
        <f>IF(OR(C46="MAL ALIMI", C46="ÜRETİM GİRİŞ"), IF(J46 - MAX(0, $I$2 - (SUMIF($C$4:C45, "MAL ALIMI", $J$4:J45) + SUMIF($C$4:C45, "ÜRETİM GİRİŞ", $J$4:J45))) &gt; 0, J46 - MAX(0, $I$2 - (SUMIF($C$4:C45, "MAL ALIMI", $J$4:J45) + SUMIF($C$4:C45, "ÜRETİM GİRİŞ", $J$4:J45))), 0), 0)</f>
        <v>0</v>
      </c>
      <c r="U46" s="96">
        <f t="shared" si="1"/>
        <v>0</v>
      </c>
      <c r="V46" s="96">
        <f t="shared" si="2"/>
        <v>0</v>
      </c>
      <c r="W46" s="2">
        <f t="shared" si="3"/>
        <v>0</v>
      </c>
    </row>
    <row r="47" spans="2:23" x14ac:dyDescent="0.25">
      <c r="B47" s="8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96">
        <f>IF(OR(C47="MAL ALIMI", C47="ÜRETİM GİRİŞ"), IF(J47 - MAX(0, $I$2 - (SUMIF($C$4:C46, "MAL ALIMI", $J$4:J46) + SUMIF($C$4:C46, "ÜRETİM GİRİŞ", $J$4:J46))) &gt; 0, J47 - MAX(0, $I$2 - (SUMIF($C$4:C46, "MAL ALIMI", $J$4:J46) + SUMIF($C$4:C46, "ÜRETİM GİRİŞ", $J$4:J46))), 0), 0)</f>
        <v>0</v>
      </c>
      <c r="U47" s="96">
        <f t="shared" si="1"/>
        <v>0</v>
      </c>
      <c r="V47" s="96">
        <f t="shared" si="2"/>
        <v>0</v>
      </c>
      <c r="W47" s="2">
        <f t="shared" si="3"/>
        <v>0</v>
      </c>
    </row>
    <row r="48" spans="2:23" x14ac:dyDescent="0.25">
      <c r="B48" s="87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96">
        <f>IF(OR(C48="MAL ALIMI", C48="ÜRETİM GİRİŞ"), IF(J48 - MAX(0, $I$2 - (SUMIF($C$4:C47, "MAL ALIMI", $J$4:J47) + SUMIF($C$4:C47, "ÜRETİM GİRİŞ", $J$4:J47))) &gt; 0, J48 - MAX(0, $I$2 - (SUMIF($C$4:C47, "MAL ALIMI", $J$4:J47) + SUMIF($C$4:C47, "ÜRETİM GİRİŞ", $J$4:J47))), 0), 0)</f>
        <v>0</v>
      </c>
      <c r="U48" s="96">
        <f t="shared" si="1"/>
        <v>0</v>
      </c>
      <c r="V48" s="96">
        <f t="shared" si="2"/>
        <v>0</v>
      </c>
      <c r="W48" s="2">
        <f t="shared" si="3"/>
        <v>0</v>
      </c>
    </row>
    <row r="49" spans="2:23" x14ac:dyDescent="0.25">
      <c r="B49" s="87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96">
        <f>IF(OR(C49="MAL ALIMI", C49="ÜRETİM GİRİŞ"), IF(J49 - MAX(0, $I$2 - (SUMIF($C$4:C48, "MAL ALIMI", $J$4:J48) + SUMIF($C$4:C48, "ÜRETİM GİRİŞ", $J$4:J48))) &gt; 0, J49 - MAX(0, $I$2 - (SUMIF($C$4:C48, "MAL ALIMI", $J$4:J48) + SUMIF($C$4:C48, "ÜRETİM GİRİŞ", $J$4:J48))), 0), 0)</f>
        <v>0</v>
      </c>
      <c r="U49" s="96">
        <f t="shared" si="1"/>
        <v>0</v>
      </c>
      <c r="V49" s="96">
        <f t="shared" si="2"/>
        <v>0</v>
      </c>
      <c r="W49" s="2">
        <f t="shared" si="3"/>
        <v>0</v>
      </c>
    </row>
    <row r="50" spans="2:23" x14ac:dyDescent="0.25">
      <c r="B50" s="87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96">
        <f>IF(OR(C50="MAL ALIMI", C50="ÜRETİM GİRİŞ"), IF(J50 - MAX(0, $I$2 - (SUMIF($C$4:C49, "MAL ALIMI", $J$4:J49) + SUMIF($C$4:C49, "ÜRETİM GİRİŞ", $J$4:J49))) &gt; 0, J50 - MAX(0, $I$2 - (SUMIF($C$4:C49, "MAL ALIMI", $J$4:J49) + SUMIF($C$4:C49, "ÜRETİM GİRİŞ", $J$4:J49))), 0), 0)</f>
        <v>0</v>
      </c>
      <c r="U50" s="96">
        <f t="shared" si="1"/>
        <v>0</v>
      </c>
      <c r="V50" s="96">
        <f t="shared" si="2"/>
        <v>0</v>
      </c>
      <c r="W50" s="2">
        <f t="shared" si="3"/>
        <v>0</v>
      </c>
    </row>
    <row r="51" spans="2:23" x14ac:dyDescent="0.25">
      <c r="B51" s="8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96">
        <f>IF(OR(C51="MAL ALIMI", C51="ÜRETİM GİRİŞ"), IF(J51 - MAX(0, $I$2 - (SUMIF($C$4:C50, "MAL ALIMI", $J$4:J50) + SUMIF($C$4:C50, "ÜRETİM GİRİŞ", $J$4:J50))) &gt; 0, J51 - MAX(0, $I$2 - (SUMIF($C$4:C50, "MAL ALIMI", $J$4:J50) + SUMIF($C$4:C50, "ÜRETİM GİRİŞ", $J$4:J50))), 0), 0)</f>
        <v>0</v>
      </c>
      <c r="U51" s="96">
        <f t="shared" si="1"/>
        <v>0</v>
      </c>
      <c r="V51" s="96">
        <f t="shared" si="2"/>
        <v>0</v>
      </c>
      <c r="W51" s="2">
        <f t="shared" si="3"/>
        <v>0</v>
      </c>
    </row>
    <row r="52" spans="2:23" x14ac:dyDescent="0.25">
      <c r="B52" s="8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96">
        <f>IF(OR(C52="MAL ALIMI", C52="ÜRETİM GİRİŞ"), IF(J52 - MAX(0, $I$2 - (SUMIF($C$4:C51, "MAL ALIMI", $J$4:J51) + SUMIF($C$4:C51, "ÜRETİM GİRİŞ", $J$4:J51))) &gt; 0, J52 - MAX(0, $I$2 - (SUMIF($C$4:C51, "MAL ALIMI", $J$4:J51) + SUMIF($C$4:C51, "ÜRETİM GİRİŞ", $J$4:J51))), 0), 0)</f>
        <v>0</v>
      </c>
      <c r="U52" s="96">
        <f t="shared" si="1"/>
        <v>0</v>
      </c>
      <c r="V52" s="96">
        <f t="shared" si="2"/>
        <v>0</v>
      </c>
      <c r="W52" s="2">
        <f t="shared" si="3"/>
        <v>0</v>
      </c>
    </row>
    <row r="53" spans="2:23" x14ac:dyDescent="0.25">
      <c r="B53" s="8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96">
        <f>IF(OR(C53="MAL ALIMI", C53="ÜRETİM GİRİŞ"), IF(J53 - MAX(0, $I$2 - (SUMIF($C$4:C52, "MAL ALIMI", $J$4:J52) + SUMIF($C$4:C52, "ÜRETİM GİRİŞ", $J$4:J52))) &gt; 0, J53 - MAX(0, $I$2 - (SUMIF($C$4:C52, "MAL ALIMI", $J$4:J52) + SUMIF($C$4:C52, "ÜRETİM GİRİŞ", $J$4:J52))), 0), 0)</f>
        <v>0</v>
      </c>
      <c r="U53" s="96">
        <f t="shared" si="1"/>
        <v>0</v>
      </c>
      <c r="V53" s="96">
        <f t="shared" si="2"/>
        <v>0</v>
      </c>
      <c r="W53" s="2">
        <f t="shared" si="3"/>
        <v>0</v>
      </c>
    </row>
    <row r="54" spans="2:23" x14ac:dyDescent="0.25">
      <c r="B54" s="8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96">
        <f>IF(OR(C54="MAL ALIMI", C54="ÜRETİM GİRİŞ"), IF(J54 - MAX(0, $I$2 - (SUMIF($C$4:C53, "MAL ALIMI", $J$4:J53) + SUMIF($C$4:C53, "ÜRETİM GİRİŞ", $J$4:J53))) &gt; 0, J54 - MAX(0, $I$2 - (SUMIF($C$4:C53, "MAL ALIMI", $J$4:J53) + SUMIF($C$4:C53, "ÜRETİM GİRİŞ", $J$4:J53))), 0), 0)</f>
        <v>0</v>
      </c>
      <c r="U54" s="96">
        <f t="shared" si="1"/>
        <v>0</v>
      </c>
      <c r="V54" s="96">
        <f t="shared" si="2"/>
        <v>0</v>
      </c>
      <c r="W54" s="2">
        <f t="shared" si="3"/>
        <v>0</v>
      </c>
    </row>
    <row r="55" spans="2:23" x14ac:dyDescent="0.25">
      <c r="B55" s="8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96">
        <f>IF(OR(C55="MAL ALIMI", C55="ÜRETİM GİRİŞ"), IF(J55 - MAX(0, $I$2 - (SUMIF($C$4:C54, "MAL ALIMI", $J$4:J54) + SUMIF($C$4:C54, "ÜRETİM GİRİŞ", $J$4:J54))) &gt; 0, J55 - MAX(0, $I$2 - (SUMIF($C$4:C54, "MAL ALIMI", $J$4:J54) + SUMIF($C$4:C54, "ÜRETİM GİRİŞ", $J$4:J54))), 0), 0)</f>
        <v>0</v>
      </c>
      <c r="U55" s="96">
        <f t="shared" si="1"/>
        <v>0</v>
      </c>
      <c r="V55" s="96">
        <f t="shared" si="2"/>
        <v>0</v>
      </c>
      <c r="W55" s="2">
        <f t="shared" si="3"/>
        <v>0</v>
      </c>
    </row>
    <row r="56" spans="2:23" x14ac:dyDescent="0.25">
      <c r="B56" s="8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96">
        <f>IF(OR(C56="MAL ALIMI", C56="ÜRETİM GİRİŞ"), IF(J56 - MAX(0, $I$2 - (SUMIF($C$4:C55, "MAL ALIMI", $J$4:J55) + SUMIF($C$4:C55, "ÜRETİM GİRİŞ", $J$4:J55))) &gt; 0, J56 - MAX(0, $I$2 - (SUMIF($C$4:C55, "MAL ALIMI", $J$4:J55) + SUMIF($C$4:C55, "ÜRETİM GİRİŞ", $J$4:J55))), 0), 0)</f>
        <v>0</v>
      </c>
      <c r="U56" s="96">
        <f t="shared" si="1"/>
        <v>0</v>
      </c>
      <c r="V56" s="96">
        <f t="shared" si="2"/>
        <v>0</v>
      </c>
      <c r="W56" s="2">
        <f t="shared" si="3"/>
        <v>0</v>
      </c>
    </row>
    <row r="57" spans="2:23" x14ac:dyDescent="0.25">
      <c r="B57" s="8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96">
        <f>IF(OR(C57="MAL ALIMI", C57="ÜRETİM GİRİŞ"), IF(J57 - MAX(0, $I$2 - (SUMIF($C$4:C56, "MAL ALIMI", $J$4:J56) + SUMIF($C$4:C56, "ÜRETİM GİRİŞ", $J$4:J56))) &gt; 0, J57 - MAX(0, $I$2 - (SUMIF($C$4:C56, "MAL ALIMI", $J$4:J56) + SUMIF($C$4:C56, "ÜRETİM GİRİŞ", $J$4:J56))), 0), 0)</f>
        <v>0</v>
      </c>
      <c r="U57" s="96">
        <f t="shared" si="1"/>
        <v>0</v>
      </c>
      <c r="V57" s="96">
        <f t="shared" si="2"/>
        <v>0</v>
      </c>
      <c r="W57" s="2">
        <f t="shared" si="3"/>
        <v>0</v>
      </c>
    </row>
    <row r="58" spans="2:23" x14ac:dyDescent="0.25">
      <c r="B58" s="8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96">
        <f>IF(OR(C58="MAL ALIMI", C58="ÜRETİM GİRİŞ"), IF(J58 - MAX(0, $I$2 - (SUMIF($C$4:C57, "MAL ALIMI", $J$4:J57) + SUMIF($C$4:C57, "ÜRETİM GİRİŞ", $J$4:J57))) &gt; 0, J58 - MAX(0, $I$2 - (SUMIF($C$4:C57, "MAL ALIMI", $J$4:J57) + SUMIF($C$4:C57, "ÜRETİM GİRİŞ", $J$4:J57))), 0), 0)</f>
        <v>0</v>
      </c>
      <c r="U58" s="96">
        <f t="shared" si="1"/>
        <v>0</v>
      </c>
      <c r="V58" s="96">
        <f t="shared" si="2"/>
        <v>0</v>
      </c>
      <c r="W58" s="2">
        <f t="shared" si="3"/>
        <v>0</v>
      </c>
    </row>
    <row r="59" spans="2:23" x14ac:dyDescent="0.25">
      <c r="B59" s="87"/>
      <c r="C59" s="4"/>
      <c r="D59" s="4"/>
      <c r="E59" s="4"/>
      <c r="F59" s="4"/>
      <c r="G59" s="4"/>
      <c r="H59" s="4"/>
      <c r="I59" s="4"/>
      <c r="J59" s="4"/>
      <c r="L59" s="4"/>
      <c r="M59" s="4"/>
      <c r="N59" s="4"/>
      <c r="O59" s="4"/>
      <c r="P59" s="4"/>
      <c r="Q59" s="4"/>
      <c r="R59" s="4"/>
      <c r="S59" s="4"/>
      <c r="T59" s="96">
        <f>IF(OR(C59="MAL ALIMI", C59="ÜRETİM GİRİŞ"), IF(J59 - MAX(0, $I$2 - (SUMIF($C$4:C58, "MAL ALIMI", $J$4:J58) + SUMIF($C$4:C58, "ÜRETİM GİRİŞ", $J$4:J58))) &gt; 0, J59 - MAX(0, $I$2 - (SUMIF($C$4:C58, "MAL ALIMI", $J$4:J58) + SUMIF($C$4:C58, "ÜRETİM GİRİŞ", $J$4:J58))), 0), 0)</f>
        <v>0</v>
      </c>
      <c r="U59" s="96">
        <f>T59*J59</f>
        <v>0</v>
      </c>
      <c r="V59" s="96">
        <f>IF(OR(C59="MAL ALIMI", C59="ÜRETİM GİRİŞ"),#REF! * J59, 0)</f>
        <v>0</v>
      </c>
      <c r="W59" s="2">
        <f t="shared" si="3"/>
        <v>0</v>
      </c>
    </row>
    <row r="60" spans="2:23" x14ac:dyDescent="0.25">
      <c r="B60" s="8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96">
        <f>IF(OR(C60="MAL ALIMI", C60="ÜRETİM GİRİŞ"), IF(J60 - MAX(0, $I$2 - (SUMIF($C$4:C59, "MAL ALIMI", $J$4:J59) + SUMIF($C$4:C59, "ÜRETİM GİRİŞ", $J$4:J59))) &gt; 0, J60 - MAX(0, $I$2 - (SUMIF($C$4:C59, "MAL ALIMI", $J$4:J59) + SUMIF($C$4:C59, "ÜRETİM GİRİŞ", $J$4:J59))), 0), 0)</f>
        <v>0</v>
      </c>
      <c r="U60" s="96">
        <f t="shared" si="1"/>
        <v>0</v>
      </c>
      <c r="V60" s="96">
        <f t="shared" si="2"/>
        <v>0</v>
      </c>
      <c r="W60" s="2">
        <f t="shared" si="3"/>
        <v>0</v>
      </c>
    </row>
    <row r="61" spans="2:23" x14ac:dyDescent="0.25">
      <c r="B61" s="8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96">
        <f>IF(OR(C61="MAL ALIMI", C61="ÜRETİM GİRİŞ"), IF(J61 - MAX(0, $I$2 - (SUMIF($C$4:C60, "MAL ALIMI", $J$4:J60) + SUMIF($C$4:C60, "ÜRETİM GİRİŞ", $J$4:J60))) &gt; 0, J61 - MAX(0, $I$2 - (SUMIF($C$4:C60, "MAL ALIMI", $J$4:J60) + SUMIF($C$4:C60, "ÜRETİM GİRİŞ", $J$4:J60))), 0), 0)</f>
        <v>0</v>
      </c>
      <c r="U61" s="96">
        <f t="shared" si="1"/>
        <v>0</v>
      </c>
      <c r="V61" s="96">
        <f t="shared" si="2"/>
        <v>0</v>
      </c>
      <c r="W61" s="2">
        <f t="shared" si="3"/>
        <v>0</v>
      </c>
    </row>
    <row r="62" spans="2:23" x14ac:dyDescent="0.25">
      <c r="B62" s="8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96">
        <f>IF(OR(C62="MAL ALIMI", C62="ÜRETİM GİRİŞ"), IF(J62 - MAX(0, $I$2 - (SUMIF($C$4:C61, "MAL ALIMI", $J$4:J61) + SUMIF($C$4:C61, "ÜRETİM GİRİŞ", $J$4:J61))) &gt; 0, J62 - MAX(0, $I$2 - (SUMIF($C$4:C61, "MAL ALIMI", $J$4:J61) + SUMIF($C$4:C61, "ÜRETİM GİRİŞ", $J$4:J61))), 0), 0)</f>
        <v>0</v>
      </c>
      <c r="U62" s="96">
        <f t="shared" si="1"/>
        <v>0</v>
      </c>
      <c r="V62" s="96">
        <f t="shared" si="2"/>
        <v>0</v>
      </c>
      <c r="W62" s="2">
        <f t="shared" si="3"/>
        <v>0</v>
      </c>
    </row>
    <row r="63" spans="2:23" x14ac:dyDescent="0.25">
      <c r="B63" s="8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96">
        <f>IF(OR(C63="MAL ALIMI", C63="ÜRETİM GİRİŞ"), IF(J63 - MAX(0, $I$2 - (SUMIF($C$4:C62, "MAL ALIMI", $J$4:J62) + SUMIF($C$4:C62, "ÜRETİM GİRİŞ", $J$4:J62))) &gt; 0, J63 - MAX(0, $I$2 - (SUMIF($C$4:C62, "MAL ALIMI", $J$4:J62) + SUMIF($C$4:C62, "ÜRETİM GİRİŞ", $J$4:J62))), 0), 0)</f>
        <v>0</v>
      </c>
      <c r="U63" s="96">
        <f t="shared" si="1"/>
        <v>0</v>
      </c>
      <c r="V63" s="96">
        <f t="shared" si="2"/>
        <v>0</v>
      </c>
      <c r="W63" s="2">
        <f t="shared" si="3"/>
        <v>0</v>
      </c>
    </row>
    <row r="64" spans="2:23" x14ac:dyDescent="0.25">
      <c r="B64" s="8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96">
        <f>IF(OR(C64="MAL ALIMI", C64="ÜRETİM GİRİŞ"), IF(J64 - MAX(0, $I$2 - (SUMIF($C$4:C63, "MAL ALIMI", $J$4:J63) + SUMIF($C$4:C63, "ÜRETİM GİRİŞ", $J$4:J63))) &gt; 0, J64 - MAX(0, $I$2 - (SUMIF($C$4:C63, "MAL ALIMI", $J$4:J63) + SUMIF($C$4:C63, "ÜRETİM GİRİŞ", $J$4:J63))), 0), 0)</f>
        <v>0</v>
      </c>
      <c r="U64" s="96">
        <f t="shared" si="1"/>
        <v>0</v>
      </c>
      <c r="V64" s="96">
        <f t="shared" si="2"/>
        <v>0</v>
      </c>
      <c r="W64" s="2">
        <f t="shared" si="3"/>
        <v>0</v>
      </c>
    </row>
    <row r="65" spans="2:23" x14ac:dyDescent="0.25">
      <c r="B65" s="8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96">
        <f>IF(OR(C65="MAL ALIMI", C65="ÜRETİM GİRİŞ"), IF(J65 - MAX(0, $I$2 - (SUMIF($C$4:C64, "MAL ALIMI", $J$4:J64) + SUMIF($C$4:C64, "ÜRETİM GİRİŞ", $J$4:J64))) &gt; 0, J65 - MAX(0, $I$2 - (SUMIF($C$4:C64, "MAL ALIMI", $J$4:J64) + SUMIF($C$4:C64, "ÜRETİM GİRİŞ", $J$4:J64))), 0), 0)</f>
        <v>0</v>
      </c>
      <c r="U65" s="96">
        <f t="shared" si="1"/>
        <v>0</v>
      </c>
      <c r="V65" s="96">
        <f t="shared" si="2"/>
        <v>0</v>
      </c>
      <c r="W65" s="2">
        <f t="shared" si="3"/>
        <v>0</v>
      </c>
    </row>
    <row r="66" spans="2:23" x14ac:dyDescent="0.25">
      <c r="B66" s="8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96">
        <f>IF(OR(C66="MAL ALIMI", C66="ÜRETİM GİRİŞ"), IF(J66 - MAX(0, $I$2 - (SUMIF($C$4:C65, "MAL ALIMI", $J$4:J65) + SUMIF($C$4:C65, "ÜRETİM GİRİŞ", $J$4:J65))) &gt; 0, J66 - MAX(0, $I$2 - (SUMIF($C$4:C65, "MAL ALIMI", $J$4:J65) + SUMIF($C$4:C65, "ÜRETİM GİRİŞ", $J$4:J65))), 0), 0)</f>
        <v>0</v>
      </c>
      <c r="U66" s="96">
        <f t="shared" si="1"/>
        <v>0</v>
      </c>
      <c r="V66" s="96">
        <f t="shared" si="2"/>
        <v>0</v>
      </c>
      <c r="W66" s="2">
        <f t="shared" si="3"/>
        <v>0</v>
      </c>
    </row>
    <row r="67" spans="2:23" x14ac:dyDescent="0.25">
      <c r="B67" s="8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96">
        <f>IF(OR(C67="MAL ALIMI", C67="ÜRETİM GİRİŞ"), IF(J67 - MAX(0, $I$2 - (SUMIF($C$4:C66, "MAL ALIMI", $J$4:J66) + SUMIF($C$4:C66, "ÜRETİM GİRİŞ", $J$4:J66))) &gt; 0, J67 - MAX(0, $I$2 - (SUMIF($C$4:C66, "MAL ALIMI", $J$4:J66) + SUMIF($C$4:C66, "ÜRETİM GİRİŞ", $J$4:J66))), 0), 0)</f>
        <v>0</v>
      </c>
      <c r="U67" s="96">
        <f t="shared" si="1"/>
        <v>0</v>
      </c>
      <c r="V67" s="96">
        <f t="shared" si="2"/>
        <v>0</v>
      </c>
      <c r="W67" s="2">
        <f t="shared" si="3"/>
        <v>0</v>
      </c>
    </row>
    <row r="68" spans="2:23" x14ac:dyDescent="0.25">
      <c r="B68" s="8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96">
        <f>IF(OR(C68="MAL ALIMI", C68="ÜRETİM GİRİŞ"), IF(J68 - MAX(0, $I$2 - (SUMIF($C$4:C67, "MAL ALIMI", $J$4:J67) + SUMIF($C$4:C67, "ÜRETİM GİRİŞ", $J$4:J67))) &gt; 0, J68 - MAX(0, $I$2 - (SUMIF($C$4:C67, "MAL ALIMI", $J$4:J67) + SUMIF($C$4:C67, "ÜRETİM GİRİŞ", $J$4:J67))), 0), 0)</f>
        <v>0</v>
      </c>
      <c r="U68" s="96">
        <f t="shared" si="1"/>
        <v>0</v>
      </c>
      <c r="V68" s="96">
        <f t="shared" si="2"/>
        <v>0</v>
      </c>
      <c r="W68" s="2">
        <f t="shared" si="3"/>
        <v>0</v>
      </c>
    </row>
    <row r="69" spans="2:23" x14ac:dyDescent="0.25">
      <c r="B69" s="8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96">
        <f>IF(OR(C69="MAL ALIMI", C69="ÜRETİM GİRİŞ"), IF(J69 - MAX(0, $I$2 - (SUMIF($C$4:C68, "MAL ALIMI", $J$4:J68) + SUMIF($C$4:C68, "ÜRETİM GİRİŞ", $J$4:J68))) &gt; 0, J69 - MAX(0, $I$2 - (SUMIF($C$4:C68, "MAL ALIMI", $J$4:J68) + SUMIF($C$4:C68, "ÜRETİM GİRİŞ", $J$4:J68))), 0), 0)</f>
        <v>0</v>
      </c>
      <c r="U69" s="96">
        <f t="shared" si="1"/>
        <v>0</v>
      </c>
      <c r="V69" s="96">
        <f t="shared" si="2"/>
        <v>0</v>
      </c>
      <c r="W69" s="2">
        <f t="shared" si="3"/>
        <v>0</v>
      </c>
    </row>
    <row r="70" spans="2:23" x14ac:dyDescent="0.25">
      <c r="B70" s="8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96">
        <f>IF(OR(C70="MAL ALIMI", C70="ÜRETİM GİRİŞ"), IF(J70 - MAX(0, $I$2 - (SUMIF($C$4:C69, "MAL ALIMI", $J$4:J69) + SUMIF($C$4:C69, "ÜRETİM GİRİŞ", $J$4:J69))) &gt; 0, J70 - MAX(0, $I$2 - (SUMIF($C$4:C69, "MAL ALIMI", $J$4:J69) + SUMIF($C$4:C69, "ÜRETİM GİRİŞ", $J$4:J69))), 0), 0)</f>
        <v>0</v>
      </c>
      <c r="U70" s="96">
        <f t="shared" ref="U70:U133" si="4">T70*K70</f>
        <v>0</v>
      </c>
      <c r="V70" s="96">
        <f t="shared" ref="V70:V133" si="5">IF(OR(C70="MAL ALIMI", C70="ÜRETİM GİRİŞ"), J70 * K70, 0)</f>
        <v>0</v>
      </c>
      <c r="W70" s="2">
        <f t="shared" si="3"/>
        <v>0</v>
      </c>
    </row>
    <row r="71" spans="2:23" x14ac:dyDescent="0.25">
      <c r="B71" s="8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96">
        <f>IF(OR(C71="MAL ALIMI", C71="ÜRETİM GİRİŞ"), IF(J71 - MAX(0, $I$2 - (SUMIF($C$4:C70, "MAL ALIMI", $J$4:J70) + SUMIF($C$4:C70, "ÜRETİM GİRİŞ", $J$4:J70))) &gt; 0, J71 - MAX(0, $I$2 - (SUMIF($C$4:C70, "MAL ALIMI", $J$4:J70) + SUMIF($C$4:C70, "ÜRETİM GİRİŞ", $J$4:J70))), 0), 0)</f>
        <v>0</v>
      </c>
      <c r="U71" s="96">
        <f t="shared" si="4"/>
        <v>0</v>
      </c>
      <c r="V71" s="96">
        <f t="shared" si="5"/>
        <v>0</v>
      </c>
      <c r="W71" s="2">
        <f t="shared" si="3"/>
        <v>0</v>
      </c>
    </row>
    <row r="72" spans="2:23" x14ac:dyDescent="0.25">
      <c r="B72" s="8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96">
        <f>IF(OR(C72="MAL ALIMI", C72="ÜRETİM GİRİŞ"), IF(J72 - MAX(0, $I$2 - (SUMIF($C$4:C71, "MAL ALIMI", $J$4:J71) + SUMIF($C$4:C71, "ÜRETİM GİRİŞ", $J$4:J71))) &gt; 0, J72 - MAX(0, $I$2 - (SUMIF($C$4:C71, "MAL ALIMI", $J$4:J71) + SUMIF($C$4:C71, "ÜRETİM GİRİŞ", $J$4:J71))), 0), 0)</f>
        <v>0</v>
      </c>
      <c r="U72" s="96">
        <f t="shared" si="4"/>
        <v>0</v>
      </c>
      <c r="V72" s="96">
        <f t="shared" si="5"/>
        <v>0</v>
      </c>
      <c r="W72" s="2">
        <f t="shared" si="3"/>
        <v>0</v>
      </c>
    </row>
    <row r="73" spans="2:23" x14ac:dyDescent="0.25">
      <c r="B73" s="8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96">
        <f>IF(OR(C73="MAL ALIMI", C73="ÜRETİM GİRİŞ"), IF(J73 - MAX(0, $I$2 - (SUMIF($C$4:C72, "MAL ALIMI", $J$4:J72) + SUMIF($C$4:C72, "ÜRETİM GİRİŞ", $J$4:J72))) &gt; 0, J73 - MAX(0, $I$2 - (SUMIF($C$4:C72, "MAL ALIMI", $J$4:J72) + SUMIF($C$4:C72, "ÜRETİM GİRİŞ", $J$4:J72))), 0), 0)</f>
        <v>0</v>
      </c>
      <c r="U73" s="96">
        <f t="shared" si="4"/>
        <v>0</v>
      </c>
      <c r="V73" s="96">
        <f t="shared" si="5"/>
        <v>0</v>
      </c>
      <c r="W73" s="2">
        <f t="shared" ref="W73:W120" si="6">V73-U73</f>
        <v>0</v>
      </c>
    </row>
    <row r="74" spans="2:23" x14ac:dyDescent="0.25">
      <c r="B74" s="8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96">
        <f>IF(OR(C74="MAL ALIMI", C74="ÜRETİM GİRİŞ"), IF(J74 - MAX(0, $I$2 - (SUMIF($C$4:C73, "MAL ALIMI", $J$4:J73) + SUMIF($C$4:C73, "ÜRETİM GİRİŞ", $J$4:J73))) &gt; 0, J74 - MAX(0, $I$2 - (SUMIF($C$4:C73, "MAL ALIMI", $J$4:J73) + SUMIF($C$4:C73, "ÜRETİM GİRİŞ", $J$4:J73))), 0), 0)</f>
        <v>0</v>
      </c>
      <c r="U74" s="96">
        <f t="shared" si="4"/>
        <v>0</v>
      </c>
      <c r="V74" s="96">
        <f t="shared" si="5"/>
        <v>0</v>
      </c>
      <c r="W74" s="2">
        <f t="shared" si="6"/>
        <v>0</v>
      </c>
    </row>
    <row r="75" spans="2:23" x14ac:dyDescent="0.25">
      <c r="B75" s="8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96">
        <f>IF(OR(C75="MAL ALIMI", C75="ÜRETİM GİRİŞ"), IF(J75 - MAX(0, $I$2 - (SUMIF($C$4:C74, "MAL ALIMI", $J$4:J74) + SUMIF($C$4:C74, "ÜRETİM GİRİŞ", $J$4:J74))) &gt; 0, J75 - MAX(0, $I$2 - (SUMIF($C$4:C74, "MAL ALIMI", $J$4:J74) + SUMIF($C$4:C74, "ÜRETİM GİRİŞ", $J$4:J74))), 0), 0)</f>
        <v>0</v>
      </c>
      <c r="U75" s="96">
        <f t="shared" si="4"/>
        <v>0</v>
      </c>
      <c r="V75" s="96">
        <f t="shared" si="5"/>
        <v>0</v>
      </c>
      <c r="W75" s="2">
        <f t="shared" si="6"/>
        <v>0</v>
      </c>
    </row>
    <row r="76" spans="2:23" x14ac:dyDescent="0.25">
      <c r="B76" s="8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96">
        <f>IF(OR(C76="MAL ALIMI", C76="ÜRETİM GİRİŞ"), IF(J76 - MAX(0, $I$2 - (SUMIF($C$4:C75, "MAL ALIMI", $J$4:J75) + SUMIF($C$4:C75, "ÜRETİM GİRİŞ", $J$4:J75))) &gt; 0, J76 - MAX(0, $I$2 - (SUMIF($C$4:C75, "MAL ALIMI", $J$4:J75) + SUMIF($C$4:C75, "ÜRETİM GİRİŞ", $J$4:J75))), 0), 0)</f>
        <v>0</v>
      </c>
      <c r="U76" s="96">
        <f t="shared" si="4"/>
        <v>0</v>
      </c>
      <c r="V76" s="96">
        <f t="shared" si="5"/>
        <v>0</v>
      </c>
      <c r="W76" s="2">
        <f t="shared" si="6"/>
        <v>0</v>
      </c>
    </row>
    <row r="77" spans="2:23" x14ac:dyDescent="0.25">
      <c r="B77" s="8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96">
        <f>IF(OR(C77="MAL ALIMI", C77="ÜRETİM GİRİŞ"), IF(J77 - MAX(0, $I$2 - (SUMIF($C$4:C76, "MAL ALIMI", $J$4:J76) + SUMIF($C$4:C76, "ÜRETİM GİRİŞ", $J$4:J76))) &gt; 0, J77 - MAX(0, $I$2 - (SUMIF($C$4:C76, "MAL ALIMI", $J$4:J76) + SUMIF($C$4:C76, "ÜRETİM GİRİŞ", $J$4:J76))), 0), 0)</f>
        <v>0</v>
      </c>
      <c r="U77" s="96">
        <f t="shared" si="4"/>
        <v>0</v>
      </c>
      <c r="V77" s="96">
        <f t="shared" si="5"/>
        <v>0</v>
      </c>
      <c r="W77" s="2">
        <f t="shared" si="6"/>
        <v>0</v>
      </c>
    </row>
    <row r="78" spans="2:23" x14ac:dyDescent="0.25">
      <c r="B78" s="8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96">
        <f>IF(OR(C78="MAL ALIMI", C78="ÜRETİM GİRİŞ"), IF(J78 - MAX(0, $I$2 - (SUMIF($C$4:C77, "MAL ALIMI", $J$4:J77) + SUMIF($C$4:C77, "ÜRETİM GİRİŞ", $J$4:J77))) &gt; 0, J78 - MAX(0, $I$2 - (SUMIF($C$4:C77, "MAL ALIMI", $J$4:J77) + SUMIF($C$4:C77, "ÜRETİM GİRİŞ", $J$4:J77))), 0), 0)</f>
        <v>0</v>
      </c>
      <c r="U78" s="96">
        <f t="shared" si="4"/>
        <v>0</v>
      </c>
      <c r="V78" s="96">
        <f t="shared" si="5"/>
        <v>0</v>
      </c>
      <c r="W78" s="2">
        <f t="shared" si="6"/>
        <v>0</v>
      </c>
    </row>
    <row r="79" spans="2:23" x14ac:dyDescent="0.25">
      <c r="B79" s="8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96">
        <f>IF(OR(C79="MAL ALIMI", C79="ÜRETİM GİRİŞ"), IF(J79 - MAX(0, $I$2 - (SUMIF($C$4:C78, "MAL ALIMI", $J$4:J78) + SUMIF($C$4:C78, "ÜRETİM GİRİŞ", $J$4:J78))) &gt; 0, J79 - MAX(0, $I$2 - (SUMIF($C$4:C78, "MAL ALIMI", $J$4:J78) + SUMIF($C$4:C78, "ÜRETİM GİRİŞ", $J$4:J78))), 0), 0)</f>
        <v>0</v>
      </c>
      <c r="U79" s="96">
        <f t="shared" si="4"/>
        <v>0</v>
      </c>
      <c r="V79" s="96">
        <f t="shared" si="5"/>
        <v>0</v>
      </c>
      <c r="W79" s="2">
        <f t="shared" si="6"/>
        <v>0</v>
      </c>
    </row>
    <row r="80" spans="2:23" x14ac:dyDescent="0.25">
      <c r="B80" s="8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96">
        <f>IF(OR(C80="MAL ALIMI", C80="ÜRETİM GİRİŞ"), IF(J80 - MAX(0, $I$2 - (SUMIF($C$4:C79, "MAL ALIMI", $J$4:J79) + SUMIF($C$4:C79, "ÜRETİM GİRİŞ", $J$4:J79))) &gt; 0, J80 - MAX(0, $I$2 - (SUMIF($C$4:C79, "MAL ALIMI", $J$4:J79) + SUMIF($C$4:C79, "ÜRETİM GİRİŞ", $J$4:J79))), 0), 0)</f>
        <v>0</v>
      </c>
      <c r="U80" s="96">
        <f t="shared" si="4"/>
        <v>0</v>
      </c>
      <c r="V80" s="96">
        <f t="shared" si="5"/>
        <v>0</v>
      </c>
      <c r="W80" s="2">
        <f t="shared" si="6"/>
        <v>0</v>
      </c>
    </row>
    <row r="81" spans="2:23" x14ac:dyDescent="0.25">
      <c r="B81" s="8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96">
        <f>IF(OR(C81="MAL ALIMI", C81="ÜRETİM GİRİŞ"), IF(J81 - MAX(0, $I$2 - (SUMIF($C$4:C80, "MAL ALIMI", $J$4:J80) + SUMIF($C$4:C80, "ÜRETİM GİRİŞ", $J$4:J80))) &gt; 0, J81 - MAX(0, $I$2 - (SUMIF($C$4:C80, "MAL ALIMI", $J$4:J80) + SUMIF($C$4:C80, "ÜRETİM GİRİŞ", $J$4:J80))), 0), 0)</f>
        <v>0</v>
      </c>
      <c r="U81" s="96">
        <f t="shared" si="4"/>
        <v>0</v>
      </c>
      <c r="V81" s="96">
        <f t="shared" si="5"/>
        <v>0</v>
      </c>
      <c r="W81" s="2">
        <f t="shared" si="6"/>
        <v>0</v>
      </c>
    </row>
    <row r="82" spans="2:23" x14ac:dyDescent="0.25">
      <c r="B82" s="8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96">
        <f>IF(OR(C82="MAL ALIMI", C82="ÜRETİM GİRİŞ"), IF(J82 - MAX(0, $I$2 - (SUMIF($C$4:C81, "MAL ALIMI", $J$4:J81) + SUMIF($C$4:C81, "ÜRETİM GİRİŞ", $J$4:J81))) &gt; 0, J82 - MAX(0, $I$2 - (SUMIF($C$4:C81, "MAL ALIMI", $J$4:J81) + SUMIF($C$4:C81, "ÜRETİM GİRİŞ", $J$4:J81))), 0), 0)</f>
        <v>0</v>
      </c>
      <c r="U82" s="96">
        <f t="shared" si="4"/>
        <v>0</v>
      </c>
      <c r="V82" s="96">
        <f t="shared" si="5"/>
        <v>0</v>
      </c>
      <c r="W82" s="2">
        <f t="shared" si="6"/>
        <v>0</v>
      </c>
    </row>
    <row r="83" spans="2:23" x14ac:dyDescent="0.25">
      <c r="B83" s="8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96">
        <f>IF(OR(C83="MAL ALIMI", C83="ÜRETİM GİRİŞ"), IF(J83 - MAX(0, $I$2 - (SUMIF($C$4:C82, "MAL ALIMI", $J$4:J82) + SUMIF($C$4:C82, "ÜRETİM GİRİŞ", $J$4:J82))) &gt; 0, J83 - MAX(0, $I$2 - (SUMIF($C$4:C82, "MAL ALIMI", $J$4:J82) + SUMIF($C$4:C82, "ÜRETİM GİRİŞ", $J$4:J82))), 0), 0)</f>
        <v>0</v>
      </c>
      <c r="U83" s="96">
        <f t="shared" si="4"/>
        <v>0</v>
      </c>
      <c r="V83" s="96">
        <f t="shared" si="5"/>
        <v>0</v>
      </c>
      <c r="W83" s="2">
        <f t="shared" si="6"/>
        <v>0</v>
      </c>
    </row>
    <row r="84" spans="2:23" x14ac:dyDescent="0.25">
      <c r="B84" s="8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96">
        <f>IF(OR(C84="MAL ALIMI", C84="ÜRETİM GİRİŞ"), IF(J84 - MAX(0, $I$2 - (SUMIF($C$4:C83, "MAL ALIMI", $J$4:J83) + SUMIF($C$4:C83, "ÜRETİM GİRİŞ", $J$4:J83))) &gt; 0, J84 - MAX(0, $I$2 - (SUMIF($C$4:C83, "MAL ALIMI", $J$4:J83) + SUMIF($C$4:C83, "ÜRETİM GİRİŞ", $J$4:J83))), 0), 0)</f>
        <v>0</v>
      </c>
      <c r="U84" s="96">
        <f t="shared" si="4"/>
        <v>0</v>
      </c>
      <c r="V84" s="96">
        <f t="shared" si="5"/>
        <v>0</v>
      </c>
      <c r="W84" s="2">
        <f t="shared" si="6"/>
        <v>0</v>
      </c>
    </row>
    <row r="85" spans="2:23" x14ac:dyDescent="0.25">
      <c r="B85" s="8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96">
        <f>IF(OR(C85="MAL ALIMI", C85="ÜRETİM GİRİŞ"), IF(J85 - MAX(0, $I$2 - (SUMIF($C$4:C84, "MAL ALIMI", $J$4:J84) + SUMIF($C$4:C84, "ÜRETİM GİRİŞ", $J$4:J84))) &gt; 0, J85 - MAX(0, $I$2 - (SUMIF($C$4:C84, "MAL ALIMI", $J$4:J84) + SUMIF($C$4:C84, "ÜRETİM GİRİŞ", $J$4:J84))), 0), 0)</f>
        <v>0</v>
      </c>
      <c r="U85" s="96">
        <f t="shared" si="4"/>
        <v>0</v>
      </c>
      <c r="V85" s="96">
        <f t="shared" si="5"/>
        <v>0</v>
      </c>
      <c r="W85" s="2">
        <f t="shared" si="6"/>
        <v>0</v>
      </c>
    </row>
    <row r="86" spans="2:23" x14ac:dyDescent="0.25">
      <c r="B86" s="8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96">
        <f>IF(OR(C86="MAL ALIMI", C86="ÜRETİM GİRİŞ"), IF(J86 - MAX(0, $I$2 - (SUMIF($C$4:C85, "MAL ALIMI", $J$4:J85) + SUMIF($C$4:C85, "ÜRETİM GİRİŞ", $J$4:J85))) &gt; 0, J86 - MAX(0, $I$2 - (SUMIF($C$4:C85, "MAL ALIMI", $J$4:J85) + SUMIF($C$4:C85, "ÜRETİM GİRİŞ", $J$4:J85))), 0), 0)</f>
        <v>0</v>
      </c>
      <c r="U86" s="96">
        <f t="shared" si="4"/>
        <v>0</v>
      </c>
      <c r="V86" s="96">
        <f t="shared" si="5"/>
        <v>0</v>
      </c>
      <c r="W86" s="2">
        <f t="shared" si="6"/>
        <v>0</v>
      </c>
    </row>
    <row r="87" spans="2:23" x14ac:dyDescent="0.25">
      <c r="B87" s="8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96">
        <f>IF(OR(C87="MAL ALIMI", C87="ÜRETİM GİRİŞ"), IF(J87 - MAX(0, $I$2 - (SUMIF($C$4:C86, "MAL ALIMI", $J$4:J86) + SUMIF($C$4:C86, "ÜRETİM GİRİŞ", $J$4:J86))) &gt; 0, J87 - MAX(0, $I$2 - (SUMIF($C$4:C86, "MAL ALIMI", $J$4:J86) + SUMIF($C$4:C86, "ÜRETİM GİRİŞ", $J$4:J86))), 0), 0)</f>
        <v>0</v>
      </c>
      <c r="U87" s="96">
        <f t="shared" si="4"/>
        <v>0</v>
      </c>
      <c r="V87" s="96">
        <f t="shared" si="5"/>
        <v>0</v>
      </c>
      <c r="W87" s="2">
        <f t="shared" si="6"/>
        <v>0</v>
      </c>
    </row>
    <row r="88" spans="2:23" x14ac:dyDescent="0.25">
      <c r="B88" s="8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96">
        <f>IF(OR(C88="MAL ALIMI", C88="ÜRETİM GİRİŞ"), IF(J88 - MAX(0, $I$2 - (SUMIF($C$4:C87, "MAL ALIMI", $J$4:J87) + SUMIF($C$4:C87, "ÜRETİM GİRİŞ", $J$4:J87))) &gt; 0, J88 - MAX(0, $I$2 - (SUMIF($C$4:C87, "MAL ALIMI", $J$4:J87) + SUMIF($C$4:C87, "ÜRETİM GİRİŞ", $J$4:J87))), 0), 0)</f>
        <v>0</v>
      </c>
      <c r="U88" s="96">
        <f t="shared" si="4"/>
        <v>0</v>
      </c>
      <c r="V88" s="96">
        <f t="shared" si="5"/>
        <v>0</v>
      </c>
      <c r="W88" s="2">
        <f t="shared" si="6"/>
        <v>0</v>
      </c>
    </row>
    <row r="89" spans="2:23" x14ac:dyDescent="0.25">
      <c r="B89" s="8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96">
        <f>IF(OR(C89="MAL ALIMI", C89="ÜRETİM GİRİŞ"), IF(J89 - MAX(0, $I$2 - (SUMIF($C$4:C88, "MAL ALIMI", $J$4:J88) + SUMIF($C$4:C88, "ÜRETİM GİRİŞ", $J$4:J88))) &gt; 0, J89 - MAX(0, $I$2 - (SUMIF($C$4:C88, "MAL ALIMI", $J$4:J88) + SUMIF($C$4:C88, "ÜRETİM GİRİŞ", $J$4:J88))), 0), 0)</f>
        <v>0</v>
      </c>
      <c r="U89" s="96">
        <f t="shared" si="4"/>
        <v>0</v>
      </c>
      <c r="V89" s="96">
        <f t="shared" si="5"/>
        <v>0</v>
      </c>
      <c r="W89" s="2">
        <f t="shared" si="6"/>
        <v>0</v>
      </c>
    </row>
    <row r="90" spans="2:23" x14ac:dyDescent="0.25">
      <c r="B90" s="8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96">
        <f>IF(OR(C90="MAL ALIMI", C90="ÜRETİM GİRİŞ"), IF(J90 - MAX(0, $I$2 - (SUMIF($C$4:C89, "MAL ALIMI", $J$4:J89) + SUMIF($C$4:C89, "ÜRETİM GİRİŞ", $J$4:J89))) &gt; 0, J90 - MAX(0, $I$2 - (SUMIF($C$4:C89, "MAL ALIMI", $J$4:J89) + SUMIF($C$4:C89, "ÜRETİM GİRİŞ", $J$4:J89))), 0), 0)</f>
        <v>0</v>
      </c>
      <c r="U90" s="96">
        <f t="shared" si="4"/>
        <v>0</v>
      </c>
      <c r="V90" s="96">
        <f t="shared" si="5"/>
        <v>0</v>
      </c>
      <c r="W90" s="2">
        <f t="shared" si="6"/>
        <v>0</v>
      </c>
    </row>
    <row r="91" spans="2:23" x14ac:dyDescent="0.25">
      <c r="B91" s="8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96">
        <f>IF(OR(C91="MAL ALIMI", C91="ÜRETİM GİRİŞ"), IF(J91 - MAX(0, $I$2 - (SUMIF($C$4:C90, "MAL ALIMI", $J$4:J90) + SUMIF($C$4:C90, "ÜRETİM GİRİŞ", $J$4:J90))) &gt; 0, J91 - MAX(0, $I$2 - (SUMIF($C$4:C90, "MAL ALIMI", $J$4:J90) + SUMIF($C$4:C90, "ÜRETİM GİRİŞ", $J$4:J90))), 0), 0)</f>
        <v>0</v>
      </c>
      <c r="U91" s="96">
        <f t="shared" si="4"/>
        <v>0</v>
      </c>
      <c r="V91" s="96">
        <f t="shared" si="5"/>
        <v>0</v>
      </c>
      <c r="W91" s="2">
        <f t="shared" si="6"/>
        <v>0</v>
      </c>
    </row>
    <row r="92" spans="2:23" x14ac:dyDescent="0.25">
      <c r="B92" s="8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96">
        <f>IF(OR(C92="MAL ALIMI", C92="ÜRETİM GİRİŞ"), IF(J92 - MAX(0, $I$2 - (SUMIF($C$4:C91, "MAL ALIMI", $J$4:J91) + SUMIF($C$4:C91, "ÜRETİM GİRİŞ", $J$4:J91))) &gt; 0, J92 - MAX(0, $I$2 - (SUMIF($C$4:C91, "MAL ALIMI", $J$4:J91) + SUMIF($C$4:C91, "ÜRETİM GİRİŞ", $J$4:J91))), 0), 0)</f>
        <v>0</v>
      </c>
      <c r="U92" s="96">
        <f t="shared" si="4"/>
        <v>0</v>
      </c>
      <c r="V92" s="96">
        <f t="shared" si="5"/>
        <v>0</v>
      </c>
      <c r="W92" s="2">
        <f t="shared" si="6"/>
        <v>0</v>
      </c>
    </row>
    <row r="93" spans="2:23" x14ac:dyDescent="0.25">
      <c r="B93" s="8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96">
        <f>IF(OR(C93="MAL ALIMI", C93="ÜRETİM GİRİŞ"), IF(J93 - MAX(0, $I$2 - (SUMIF($C$4:C92, "MAL ALIMI", $J$4:J92) + SUMIF($C$4:C92, "ÜRETİM GİRİŞ", $J$4:J92))) &gt; 0, J93 - MAX(0, $I$2 - (SUMIF($C$4:C92, "MAL ALIMI", $J$4:J92) + SUMIF($C$4:C92, "ÜRETİM GİRİŞ", $J$4:J92))), 0), 0)</f>
        <v>0</v>
      </c>
      <c r="U93" s="96">
        <f t="shared" si="4"/>
        <v>0</v>
      </c>
      <c r="V93" s="96">
        <f t="shared" si="5"/>
        <v>0</v>
      </c>
      <c r="W93" s="2">
        <f t="shared" si="6"/>
        <v>0</v>
      </c>
    </row>
    <row r="94" spans="2:23" x14ac:dyDescent="0.25">
      <c r="B94" s="8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96">
        <f>IF(OR(C94="MAL ALIMI", C94="ÜRETİM GİRİŞ"), IF(J94 - MAX(0, $I$2 - (SUMIF($C$4:C93, "MAL ALIMI", $J$4:J93) + SUMIF($C$4:C93, "ÜRETİM GİRİŞ", $J$4:J93))) &gt; 0, J94 - MAX(0, $I$2 - (SUMIF($C$4:C93, "MAL ALIMI", $J$4:J93) + SUMIF($C$4:C93, "ÜRETİM GİRİŞ", $J$4:J93))), 0), 0)</f>
        <v>0</v>
      </c>
      <c r="U94" s="96">
        <f t="shared" si="4"/>
        <v>0</v>
      </c>
      <c r="V94" s="96">
        <f t="shared" si="5"/>
        <v>0</v>
      </c>
      <c r="W94" s="2">
        <f t="shared" si="6"/>
        <v>0</v>
      </c>
    </row>
    <row r="95" spans="2:23" x14ac:dyDescent="0.25">
      <c r="B95" s="8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96">
        <f>IF(OR(C95="MAL ALIMI", C95="ÜRETİM GİRİŞ"), IF(J95 - MAX(0, $I$2 - (SUMIF($C$4:C94, "MAL ALIMI", $J$4:J94) + SUMIF($C$4:C94, "ÜRETİM GİRİŞ", $J$4:J94))) &gt; 0, J95 - MAX(0, $I$2 - (SUMIF($C$4:C94, "MAL ALIMI", $J$4:J94) + SUMIF($C$4:C94, "ÜRETİM GİRİŞ", $J$4:J94))), 0), 0)</f>
        <v>0</v>
      </c>
      <c r="U95" s="96">
        <f t="shared" si="4"/>
        <v>0</v>
      </c>
      <c r="V95" s="96">
        <f t="shared" si="5"/>
        <v>0</v>
      </c>
      <c r="W95" s="2">
        <f t="shared" si="6"/>
        <v>0</v>
      </c>
    </row>
    <row r="96" spans="2:23" x14ac:dyDescent="0.25">
      <c r="B96" s="8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96">
        <f>IF(OR(C96="MAL ALIMI", C96="ÜRETİM GİRİŞ"), IF(J96 - MAX(0, $I$2 - (SUMIF($C$4:C95, "MAL ALIMI", $J$4:J95) + SUMIF($C$4:C95, "ÜRETİM GİRİŞ", $J$4:J95))) &gt; 0, J96 - MAX(0, $I$2 - (SUMIF($C$4:C95, "MAL ALIMI", $J$4:J95) + SUMIF($C$4:C95, "ÜRETİM GİRİŞ", $J$4:J95))), 0), 0)</f>
        <v>0</v>
      </c>
      <c r="U96" s="96">
        <f t="shared" si="4"/>
        <v>0</v>
      </c>
      <c r="V96" s="96">
        <f t="shared" si="5"/>
        <v>0</v>
      </c>
      <c r="W96" s="2">
        <f t="shared" si="6"/>
        <v>0</v>
      </c>
    </row>
    <row r="97" spans="2:23" x14ac:dyDescent="0.25">
      <c r="B97" s="8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96">
        <f>IF(OR(C97="MAL ALIMI", C97="ÜRETİM GİRİŞ"), IF(J97 - MAX(0, $I$2 - (SUMIF($C$4:C96, "MAL ALIMI", $J$4:J96) + SUMIF($C$4:C96, "ÜRETİM GİRİŞ", $J$4:J96))) &gt; 0, J97 - MAX(0, $I$2 - (SUMIF($C$4:C96, "MAL ALIMI", $J$4:J96) + SUMIF($C$4:C96, "ÜRETİM GİRİŞ", $J$4:J96))), 0), 0)</f>
        <v>0</v>
      </c>
      <c r="U97" s="96">
        <f t="shared" si="4"/>
        <v>0</v>
      </c>
      <c r="V97" s="96">
        <f t="shared" si="5"/>
        <v>0</v>
      </c>
      <c r="W97" s="2">
        <f t="shared" si="6"/>
        <v>0</v>
      </c>
    </row>
    <row r="98" spans="2:23" x14ac:dyDescent="0.25">
      <c r="B98" s="8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96">
        <f>IF(OR(C98="MAL ALIMI", C98="ÜRETİM GİRİŞ"), IF(J98 - MAX(0, $I$2 - (SUMIF($C$4:C97, "MAL ALIMI", $J$4:J97) + SUMIF($C$4:C97, "ÜRETİM GİRİŞ", $J$4:J97))) &gt; 0, J98 - MAX(0, $I$2 - (SUMIF($C$4:C97, "MAL ALIMI", $J$4:J97) + SUMIF($C$4:C97, "ÜRETİM GİRİŞ", $J$4:J97))), 0), 0)</f>
        <v>0</v>
      </c>
      <c r="U98" s="96">
        <f t="shared" si="4"/>
        <v>0</v>
      </c>
      <c r="V98" s="96">
        <f t="shared" si="5"/>
        <v>0</v>
      </c>
      <c r="W98" s="2">
        <f t="shared" si="6"/>
        <v>0</v>
      </c>
    </row>
    <row r="99" spans="2:23" x14ac:dyDescent="0.25">
      <c r="B99" s="8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96">
        <f>IF(OR(C99="MAL ALIMI", C99="ÜRETİM GİRİŞ"), IF(J99 - MAX(0, $I$2 - (SUMIF($C$4:C98, "MAL ALIMI", $J$4:J98) + SUMIF($C$4:C98, "ÜRETİM GİRİŞ", $J$4:J98))) &gt; 0, J99 - MAX(0, $I$2 - (SUMIF($C$4:C98, "MAL ALIMI", $J$4:J98) + SUMIF($C$4:C98, "ÜRETİM GİRİŞ", $J$4:J98))), 0), 0)</f>
        <v>0</v>
      </c>
      <c r="U99" s="96">
        <f t="shared" si="4"/>
        <v>0</v>
      </c>
      <c r="V99" s="96">
        <f t="shared" si="5"/>
        <v>0</v>
      </c>
      <c r="W99" s="2">
        <f t="shared" si="6"/>
        <v>0</v>
      </c>
    </row>
    <row r="100" spans="2:23" x14ac:dyDescent="0.25">
      <c r="B100" s="8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96">
        <f>IF(OR(C100="MAL ALIMI", C100="ÜRETİM GİRİŞ"), IF(J100 - MAX(0, $I$2 - (SUMIF($C$4:C99, "MAL ALIMI", $J$4:J99) + SUMIF($C$4:C99, "ÜRETİM GİRİŞ", $J$4:J99))) &gt; 0, J100 - MAX(0, $I$2 - (SUMIF($C$4:C99, "MAL ALIMI", $J$4:J99) + SUMIF($C$4:C99, "ÜRETİM GİRİŞ", $J$4:J99))), 0), 0)</f>
        <v>0</v>
      </c>
      <c r="U100" s="96">
        <f t="shared" si="4"/>
        <v>0</v>
      </c>
      <c r="V100" s="96">
        <f t="shared" si="5"/>
        <v>0</v>
      </c>
      <c r="W100" s="2">
        <f t="shared" si="6"/>
        <v>0</v>
      </c>
    </row>
    <row r="101" spans="2:23" x14ac:dyDescent="0.25">
      <c r="B101" s="8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96">
        <f>IF(OR(C101="MAL ALIMI", C101="ÜRETİM GİRİŞ"), IF(J101 - MAX(0, $I$2 - (SUMIF($C$4:C100, "MAL ALIMI", $J$4:J100) + SUMIF($C$4:C100, "ÜRETİM GİRİŞ", $J$4:J100))) &gt; 0, J101 - MAX(0, $I$2 - (SUMIF($C$4:C100, "MAL ALIMI", $J$4:J100) + SUMIF($C$4:C100, "ÜRETİM GİRİŞ", $J$4:J100))), 0), 0)</f>
        <v>0</v>
      </c>
      <c r="U101" s="96">
        <f t="shared" si="4"/>
        <v>0</v>
      </c>
      <c r="V101" s="96">
        <f t="shared" si="5"/>
        <v>0</v>
      </c>
      <c r="W101" s="2">
        <f t="shared" si="6"/>
        <v>0</v>
      </c>
    </row>
    <row r="102" spans="2:23" x14ac:dyDescent="0.25">
      <c r="B102" s="8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96">
        <f>IF(OR(C102="MAL ALIMI", C102="ÜRETİM GİRİŞ"), IF(J102 - MAX(0, $I$2 - (SUMIF($C$4:C101, "MAL ALIMI", $J$4:J101) + SUMIF($C$4:C101, "ÜRETİM GİRİŞ", $J$4:J101))) &gt; 0, J102 - MAX(0, $I$2 - (SUMIF($C$4:C101, "MAL ALIMI", $J$4:J101) + SUMIF($C$4:C101, "ÜRETİM GİRİŞ", $J$4:J101))), 0), 0)</f>
        <v>0</v>
      </c>
      <c r="U102" s="96">
        <f t="shared" si="4"/>
        <v>0</v>
      </c>
      <c r="V102" s="96">
        <f t="shared" si="5"/>
        <v>0</v>
      </c>
      <c r="W102" s="2">
        <f t="shared" si="6"/>
        <v>0</v>
      </c>
    </row>
    <row r="103" spans="2:23" x14ac:dyDescent="0.25">
      <c r="B103" s="8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96">
        <f>IF(OR(C103="MAL ALIMI", C103="ÜRETİM GİRİŞ"), IF(J103 - MAX(0, $I$2 - (SUMIF($C$4:C102, "MAL ALIMI", $J$4:J102) + SUMIF($C$4:C102, "ÜRETİM GİRİŞ", $J$4:J102))) &gt; 0, J103 - MAX(0, $I$2 - (SUMIF($C$4:C102, "MAL ALIMI", $J$4:J102) + SUMIF($C$4:C102, "ÜRETİM GİRİŞ", $J$4:J102))), 0), 0)</f>
        <v>0</v>
      </c>
      <c r="U103" s="96">
        <f t="shared" si="4"/>
        <v>0</v>
      </c>
      <c r="V103" s="96">
        <f t="shared" si="5"/>
        <v>0</v>
      </c>
      <c r="W103" s="2">
        <f t="shared" si="6"/>
        <v>0</v>
      </c>
    </row>
    <row r="104" spans="2:23" x14ac:dyDescent="0.25">
      <c r="B104" s="8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96">
        <f>IF(OR(C104="MAL ALIMI", C104="ÜRETİM GİRİŞ"), IF(J104 - MAX(0, $I$2 - (SUMIF($C$4:C103, "MAL ALIMI", $J$4:J103) + SUMIF($C$4:C103, "ÜRETİM GİRİŞ", $J$4:J103))) &gt; 0, J104 - MAX(0, $I$2 - (SUMIF($C$4:C103, "MAL ALIMI", $J$4:J103) + SUMIF($C$4:C103, "ÜRETİM GİRİŞ", $J$4:J103))), 0), 0)</f>
        <v>0</v>
      </c>
      <c r="U104" s="96">
        <f t="shared" si="4"/>
        <v>0</v>
      </c>
      <c r="V104" s="96">
        <f t="shared" si="5"/>
        <v>0</v>
      </c>
      <c r="W104" s="2">
        <f t="shared" si="6"/>
        <v>0</v>
      </c>
    </row>
    <row r="105" spans="2:23" x14ac:dyDescent="0.25">
      <c r="B105" s="8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96">
        <f>IF(OR(C105="MAL ALIMI", C105="ÜRETİM GİRİŞ"), IF(J105 - MAX(0, $I$2 - (SUMIF($C$4:C104, "MAL ALIMI", $J$4:J104) + SUMIF($C$4:C104, "ÜRETİM GİRİŞ", $J$4:J104))) &gt; 0, J105 - MAX(0, $I$2 - (SUMIF($C$4:C104, "MAL ALIMI", $J$4:J104) + SUMIF($C$4:C104, "ÜRETİM GİRİŞ", $J$4:J104))), 0), 0)</f>
        <v>0</v>
      </c>
      <c r="U105" s="96">
        <f t="shared" si="4"/>
        <v>0</v>
      </c>
      <c r="V105" s="96">
        <f t="shared" si="5"/>
        <v>0</v>
      </c>
      <c r="W105" s="2">
        <f t="shared" si="6"/>
        <v>0</v>
      </c>
    </row>
    <row r="106" spans="2:23" x14ac:dyDescent="0.25">
      <c r="B106" s="8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96">
        <f>IF(OR(C106="MAL ALIMI", C106="ÜRETİM GİRİŞ"), IF(J106 - MAX(0, $I$2 - (SUMIF($C$4:C105, "MAL ALIMI", $J$4:J105) + SUMIF($C$4:C105, "ÜRETİM GİRİŞ", $J$4:J105))) &gt; 0, J106 - MAX(0, $I$2 - (SUMIF($C$4:C105, "MAL ALIMI", $J$4:J105) + SUMIF($C$4:C105, "ÜRETİM GİRİŞ", $J$4:J105))), 0), 0)</f>
        <v>0</v>
      </c>
      <c r="U106" s="96">
        <f t="shared" si="4"/>
        <v>0</v>
      </c>
      <c r="V106" s="96">
        <f t="shared" si="5"/>
        <v>0</v>
      </c>
      <c r="W106" s="2">
        <f t="shared" si="6"/>
        <v>0</v>
      </c>
    </row>
    <row r="107" spans="2:23" x14ac:dyDescent="0.25">
      <c r="B107" s="8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96">
        <f>IF(OR(C107="MAL ALIMI", C107="ÜRETİM GİRİŞ"), IF(J107 - MAX(0, $I$2 - (SUMIF($C$4:C106, "MAL ALIMI", $J$4:J106) + SUMIF($C$4:C106, "ÜRETİM GİRİŞ", $J$4:J106))) &gt; 0, J107 - MAX(0, $I$2 - (SUMIF($C$4:C106, "MAL ALIMI", $J$4:J106) + SUMIF($C$4:C106, "ÜRETİM GİRİŞ", $J$4:J106))), 0), 0)</f>
        <v>0</v>
      </c>
      <c r="U107" s="96">
        <f t="shared" si="4"/>
        <v>0</v>
      </c>
      <c r="V107" s="96">
        <f t="shared" si="5"/>
        <v>0</v>
      </c>
      <c r="W107" s="2">
        <f t="shared" si="6"/>
        <v>0</v>
      </c>
    </row>
    <row r="108" spans="2:23" x14ac:dyDescent="0.25">
      <c r="B108" s="8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96">
        <f>IF(OR(C108="MAL ALIMI", C108="ÜRETİM GİRİŞ"), IF(J108 - MAX(0, $I$2 - (SUMIF($C$4:C107, "MAL ALIMI", $J$4:J107) + SUMIF($C$4:C107, "ÜRETİM GİRİŞ", $J$4:J107))) &gt; 0, J108 - MAX(0, $I$2 - (SUMIF($C$4:C107, "MAL ALIMI", $J$4:J107) + SUMIF($C$4:C107, "ÜRETİM GİRİŞ", $J$4:J107))), 0), 0)</f>
        <v>0</v>
      </c>
      <c r="U108" s="96">
        <f t="shared" si="4"/>
        <v>0</v>
      </c>
      <c r="V108" s="96">
        <f t="shared" si="5"/>
        <v>0</v>
      </c>
      <c r="W108" s="2">
        <f t="shared" si="6"/>
        <v>0</v>
      </c>
    </row>
    <row r="109" spans="2:23" x14ac:dyDescent="0.25">
      <c r="B109" s="8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96">
        <f>IF(OR(C109="MAL ALIMI", C109="ÜRETİM GİRİŞ"), IF(J109 - MAX(0, $I$2 - (SUMIF($C$4:C108, "MAL ALIMI", $J$4:J108) + SUMIF($C$4:C108, "ÜRETİM GİRİŞ", $J$4:J108))) &gt; 0, J109 - MAX(0, $I$2 - (SUMIF($C$4:C108, "MAL ALIMI", $J$4:J108) + SUMIF($C$4:C108, "ÜRETİM GİRİŞ", $J$4:J108))), 0), 0)</f>
        <v>0</v>
      </c>
      <c r="U109" s="96">
        <f t="shared" si="4"/>
        <v>0</v>
      </c>
      <c r="V109" s="96">
        <f t="shared" si="5"/>
        <v>0</v>
      </c>
      <c r="W109" s="2">
        <f t="shared" si="6"/>
        <v>0</v>
      </c>
    </row>
    <row r="110" spans="2:23" x14ac:dyDescent="0.25">
      <c r="B110" s="8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96">
        <f>IF(OR(C110="MAL ALIMI", C110="ÜRETİM GİRİŞ"), IF(J110 - MAX(0, $I$2 - (SUMIF($C$4:C109, "MAL ALIMI", $J$4:J109) + SUMIF($C$4:C109, "ÜRETİM GİRİŞ", $J$4:J109))) &gt; 0, J110 - MAX(0, $I$2 - (SUMIF($C$4:C109, "MAL ALIMI", $J$4:J109) + SUMIF($C$4:C109, "ÜRETİM GİRİŞ", $J$4:J109))), 0), 0)</f>
        <v>0</v>
      </c>
      <c r="U110" s="96">
        <f t="shared" si="4"/>
        <v>0</v>
      </c>
      <c r="V110" s="96">
        <f t="shared" si="5"/>
        <v>0</v>
      </c>
      <c r="W110" s="2">
        <f t="shared" si="6"/>
        <v>0</v>
      </c>
    </row>
    <row r="111" spans="2:23" x14ac:dyDescent="0.25">
      <c r="B111" s="8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96">
        <f>IF(OR(C111="MAL ALIMI", C111="ÜRETİM GİRİŞ"), IF(J111 - MAX(0, $I$2 - (SUMIF($C$4:C110, "MAL ALIMI", $J$4:J110) + SUMIF($C$4:C110, "ÜRETİM GİRİŞ", $J$4:J110))) &gt; 0, J111 - MAX(0, $I$2 - (SUMIF($C$4:C110, "MAL ALIMI", $J$4:J110) + SUMIF($C$4:C110, "ÜRETİM GİRİŞ", $J$4:J110))), 0), 0)</f>
        <v>0</v>
      </c>
      <c r="U111" s="96">
        <f t="shared" si="4"/>
        <v>0</v>
      </c>
      <c r="V111" s="96">
        <f t="shared" si="5"/>
        <v>0</v>
      </c>
      <c r="W111" s="2">
        <f t="shared" si="6"/>
        <v>0</v>
      </c>
    </row>
    <row r="112" spans="2:23" x14ac:dyDescent="0.25">
      <c r="B112" s="8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96">
        <f>IF(OR(C112="MAL ALIMI", C112="ÜRETİM GİRİŞ"), IF(J112 - MAX(0, $I$2 - (SUMIF($C$4:C111, "MAL ALIMI", $J$4:J111) + SUMIF($C$4:C111, "ÜRETİM GİRİŞ", $J$4:J111))) &gt; 0, J112 - MAX(0, $I$2 - (SUMIF($C$4:C111, "MAL ALIMI", $J$4:J111) + SUMIF($C$4:C111, "ÜRETİM GİRİŞ", $J$4:J111))), 0), 0)</f>
        <v>0</v>
      </c>
      <c r="U112" s="96">
        <f t="shared" si="4"/>
        <v>0</v>
      </c>
      <c r="V112" s="96">
        <f t="shared" si="5"/>
        <v>0</v>
      </c>
      <c r="W112" s="2">
        <f t="shared" si="6"/>
        <v>0</v>
      </c>
    </row>
    <row r="113" spans="2:23" x14ac:dyDescent="0.25">
      <c r="B113" s="8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96">
        <f>IF(OR(C113="MAL ALIMI", C113="ÜRETİM GİRİŞ"), IF(J113 - MAX(0, $I$2 - (SUMIF($C$4:C112, "MAL ALIMI", $J$4:J112) + SUMIF($C$4:C112, "ÜRETİM GİRİŞ", $J$4:J112))) &gt; 0, J113 - MAX(0, $I$2 - (SUMIF($C$4:C112, "MAL ALIMI", $J$4:J112) + SUMIF($C$4:C112, "ÜRETİM GİRİŞ", $J$4:J112))), 0), 0)</f>
        <v>0</v>
      </c>
      <c r="U113" s="96">
        <f t="shared" si="4"/>
        <v>0</v>
      </c>
      <c r="V113" s="96">
        <f t="shared" si="5"/>
        <v>0</v>
      </c>
      <c r="W113" s="2">
        <f t="shared" si="6"/>
        <v>0</v>
      </c>
    </row>
    <row r="114" spans="2:23" x14ac:dyDescent="0.25">
      <c r="B114" s="8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96">
        <f>IF(OR(C114="MAL ALIMI", C114="ÜRETİM GİRİŞ"), IF(J114 - MAX(0, $I$2 - (SUMIF($C$4:C113, "MAL ALIMI", $J$4:J113) + SUMIF($C$4:C113, "ÜRETİM GİRİŞ", $J$4:J113))) &gt; 0, J114 - MAX(0, $I$2 - (SUMIF($C$4:C113, "MAL ALIMI", $J$4:J113) + SUMIF($C$4:C113, "ÜRETİM GİRİŞ", $J$4:J113))), 0), 0)</f>
        <v>0</v>
      </c>
      <c r="U114" s="96">
        <f t="shared" si="4"/>
        <v>0</v>
      </c>
      <c r="V114" s="96">
        <f t="shared" si="5"/>
        <v>0</v>
      </c>
      <c r="W114" s="2">
        <f t="shared" si="6"/>
        <v>0</v>
      </c>
    </row>
    <row r="115" spans="2:23" x14ac:dyDescent="0.25">
      <c r="B115" s="8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96">
        <f>IF(OR(C115="MAL ALIMI", C115="ÜRETİM GİRİŞ"), IF(J115 - MAX(0, $I$2 - (SUMIF($C$4:C114, "MAL ALIMI", $J$4:J114) + SUMIF($C$4:C114, "ÜRETİM GİRİŞ", $J$4:J114))) &gt; 0, J115 - MAX(0, $I$2 - (SUMIF($C$4:C114, "MAL ALIMI", $J$4:J114) + SUMIF($C$4:C114, "ÜRETİM GİRİŞ", $J$4:J114))), 0), 0)</f>
        <v>0</v>
      </c>
      <c r="U115" s="96">
        <f t="shared" si="4"/>
        <v>0</v>
      </c>
      <c r="V115" s="96">
        <f t="shared" si="5"/>
        <v>0</v>
      </c>
      <c r="W115" s="2">
        <f t="shared" si="6"/>
        <v>0</v>
      </c>
    </row>
    <row r="116" spans="2:23" x14ac:dyDescent="0.25">
      <c r="B116" s="8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96">
        <f>IF(OR(C116="MAL ALIMI", C116="ÜRETİM GİRİŞ"), IF(J116 - MAX(0, $I$2 - (SUMIF($C$4:C115, "MAL ALIMI", $J$4:J115) + SUMIF($C$4:C115, "ÜRETİM GİRİŞ", $J$4:J115))) &gt; 0, J116 - MAX(0, $I$2 - (SUMIF($C$4:C115, "MAL ALIMI", $J$4:J115) + SUMIF($C$4:C115, "ÜRETİM GİRİŞ", $J$4:J115))), 0), 0)</f>
        <v>0</v>
      </c>
      <c r="U116" s="96">
        <f t="shared" si="4"/>
        <v>0</v>
      </c>
      <c r="V116" s="96">
        <f t="shared" si="5"/>
        <v>0</v>
      </c>
      <c r="W116" s="2">
        <f t="shared" si="6"/>
        <v>0</v>
      </c>
    </row>
    <row r="117" spans="2:23" x14ac:dyDescent="0.25">
      <c r="B117" s="8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96">
        <f>IF(OR(C117="MAL ALIMI", C117="ÜRETİM GİRİŞ"), IF(J117 - MAX(0, $I$2 - (SUMIF($C$4:C116, "MAL ALIMI", $J$4:J116) + SUMIF($C$4:C116, "ÜRETİM GİRİŞ", $J$4:J116))) &gt; 0, J117 - MAX(0, $I$2 - (SUMIF($C$4:C116, "MAL ALIMI", $J$4:J116) + SUMIF($C$4:C116, "ÜRETİM GİRİŞ", $J$4:J116))), 0), 0)</f>
        <v>0</v>
      </c>
      <c r="U117" s="96">
        <f t="shared" si="4"/>
        <v>0</v>
      </c>
      <c r="V117" s="96">
        <f t="shared" si="5"/>
        <v>0</v>
      </c>
      <c r="W117" s="2">
        <f t="shared" si="6"/>
        <v>0</v>
      </c>
    </row>
    <row r="118" spans="2:23" x14ac:dyDescent="0.25">
      <c r="B118" s="8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96">
        <f>IF(OR(C118="MAL ALIMI", C118="ÜRETİM GİRİŞ"), IF(J118 - MAX(0, $I$2 - (SUMIF($C$4:C117, "MAL ALIMI", $J$4:J117) + SUMIF($C$4:C117, "ÜRETİM GİRİŞ", $J$4:J117))) &gt; 0, J118 - MAX(0, $I$2 - (SUMIF($C$4:C117, "MAL ALIMI", $J$4:J117) + SUMIF($C$4:C117, "ÜRETİM GİRİŞ", $J$4:J117))), 0), 0)</f>
        <v>0</v>
      </c>
      <c r="U118" s="96">
        <f t="shared" si="4"/>
        <v>0</v>
      </c>
      <c r="V118" s="96">
        <f t="shared" si="5"/>
        <v>0</v>
      </c>
      <c r="W118" s="2">
        <f t="shared" si="6"/>
        <v>0</v>
      </c>
    </row>
    <row r="119" spans="2:23" x14ac:dyDescent="0.25">
      <c r="B119" s="8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96">
        <f>IF(OR(C119="MAL ALIMI", C119="ÜRETİM GİRİŞ"), IF(J119 - MAX(0, $I$2 - (SUMIF($C$4:C118, "MAL ALIMI", $J$4:J118) + SUMIF($C$4:C118, "ÜRETİM GİRİŞ", $J$4:J118))) &gt; 0, J119 - MAX(0, $I$2 - (SUMIF($C$4:C118, "MAL ALIMI", $J$4:J118) + SUMIF($C$4:C118, "ÜRETİM GİRİŞ", $J$4:J118))), 0), 0)</f>
        <v>0</v>
      </c>
      <c r="U119" s="96">
        <f t="shared" si="4"/>
        <v>0</v>
      </c>
      <c r="V119" s="96">
        <f t="shared" si="5"/>
        <v>0</v>
      </c>
      <c r="W119" s="2">
        <f t="shared" si="6"/>
        <v>0</v>
      </c>
    </row>
    <row r="120" spans="2:23" x14ac:dyDescent="0.25">
      <c r="B120" s="8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96">
        <f>IF(OR(C120="MAL ALIMI", C120="ÜRETİM GİRİŞ"), IF(J120 - MAX(0, $I$2 - (SUMIF($C$4:C119, "MAL ALIMI", $J$4:J119) + SUMIF($C$4:C119, "ÜRETİM GİRİŞ", $J$4:J119))) &gt; 0, J120 - MAX(0, $I$2 - (SUMIF($C$4:C119, "MAL ALIMI", $J$4:J119) + SUMIF($C$4:C119, "ÜRETİM GİRİŞ", $J$4:J119))), 0), 0)</f>
        <v>0</v>
      </c>
      <c r="U120" s="96">
        <f t="shared" si="4"/>
        <v>0</v>
      </c>
      <c r="V120" s="96">
        <f t="shared" si="5"/>
        <v>0</v>
      </c>
      <c r="W120" s="2">
        <f t="shared" si="6"/>
        <v>0</v>
      </c>
    </row>
    <row r="121" spans="2:23" x14ac:dyDescent="0.25">
      <c r="B121" s="8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96">
        <f>IF(OR(C121="MAL ALIMI", C121="ÜRETİM GİRİŞ"), IF(J121 - MAX(0, $I$2 - (SUMIF($C$4:C120, "MAL ALIMI", $J$4:J120) + SUMIF($C$4:C120, "ÜRETİM GİRİŞ", $J$4:J120))) &gt; 0, J121 - MAX(0, $I$2 - (SUMIF($C$4:C120, "MAL ALIMI", $J$4:J120) + SUMIF($C$4:C120, "ÜRETİM GİRİŞ", $J$4:J120))), 0), 0)</f>
        <v>0</v>
      </c>
      <c r="U121" s="96">
        <f t="shared" si="4"/>
        <v>0</v>
      </c>
      <c r="V121" s="96">
        <f t="shared" si="5"/>
        <v>0</v>
      </c>
    </row>
    <row r="122" spans="2:23" x14ac:dyDescent="0.25">
      <c r="B122" s="8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96">
        <f>IF(OR(C122="MAL ALIMI", C122="ÜRETİM GİRİŞ"), IF(J122 - MAX(0, $I$2 - (SUMIF($C$4:C121, "MAL ALIMI", $J$4:J121) + SUMIF($C$4:C121, "ÜRETİM GİRİŞ", $J$4:J121))) &gt; 0, J122 - MAX(0, $I$2 - (SUMIF($C$4:C121, "MAL ALIMI", $J$4:J121) + SUMIF($C$4:C121, "ÜRETİM GİRİŞ", $J$4:J121))), 0), 0)</f>
        <v>0</v>
      </c>
      <c r="U122" s="96">
        <f t="shared" si="4"/>
        <v>0</v>
      </c>
      <c r="V122" s="96">
        <f t="shared" si="5"/>
        <v>0</v>
      </c>
    </row>
    <row r="123" spans="2:23" x14ac:dyDescent="0.25">
      <c r="B123" s="8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96">
        <f>IF(OR(C123="MAL ALIMI", C123="ÜRETİM GİRİŞ"), IF(J123 - MAX(0, $I$2 - (SUMIF($C$4:C122, "MAL ALIMI", $J$4:J122) + SUMIF($C$4:C122, "ÜRETİM GİRİŞ", $J$4:J122))) &gt; 0, J123 - MAX(0, $I$2 - (SUMIF($C$4:C122, "MAL ALIMI", $J$4:J122) + SUMIF($C$4:C122, "ÜRETİM GİRİŞ", $J$4:J122))), 0), 0)</f>
        <v>0</v>
      </c>
      <c r="U123" s="96">
        <f t="shared" si="4"/>
        <v>0</v>
      </c>
      <c r="V123" s="96">
        <f t="shared" si="5"/>
        <v>0</v>
      </c>
    </row>
    <row r="124" spans="2:23" x14ac:dyDescent="0.25">
      <c r="B124" s="8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96">
        <f>IF(OR(C124="MAL ALIMI", C124="ÜRETİM GİRİŞ"), IF(J124 - MAX(0, $I$2 - (SUMIF($C$4:C123, "MAL ALIMI", $J$4:J123) + SUMIF($C$4:C123, "ÜRETİM GİRİŞ", $J$4:J123))) &gt; 0, J124 - MAX(0, $I$2 - (SUMIF($C$4:C123, "MAL ALIMI", $J$4:J123) + SUMIF($C$4:C123, "ÜRETİM GİRİŞ", $J$4:J123))), 0), 0)</f>
        <v>0</v>
      </c>
      <c r="U124" s="96">
        <f t="shared" si="4"/>
        <v>0</v>
      </c>
      <c r="V124" s="96">
        <f t="shared" si="5"/>
        <v>0</v>
      </c>
    </row>
    <row r="125" spans="2:23" x14ac:dyDescent="0.25">
      <c r="B125" s="8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96">
        <f>IF(OR(C125="MAL ALIMI", C125="ÜRETİM GİRİŞ"), IF(J125 - MAX(0, $I$2 - (SUMIF($C$4:C124, "MAL ALIMI", $J$4:J124) + SUMIF($C$4:C124, "ÜRETİM GİRİŞ", $J$4:J124))) &gt; 0, J125 - MAX(0, $I$2 - (SUMIF($C$4:C124, "MAL ALIMI", $J$4:J124) + SUMIF($C$4:C124, "ÜRETİM GİRİŞ", $J$4:J124))), 0), 0)</f>
        <v>0</v>
      </c>
      <c r="U125" s="96">
        <f t="shared" si="4"/>
        <v>0</v>
      </c>
      <c r="V125" s="96">
        <f t="shared" si="5"/>
        <v>0</v>
      </c>
    </row>
    <row r="126" spans="2:23" x14ac:dyDescent="0.25">
      <c r="B126" s="8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96">
        <f>IF(OR(C126="MAL ALIMI", C126="ÜRETİM GİRİŞ"), IF(J126 - MAX(0, $I$2 - (SUMIF($C$4:C125, "MAL ALIMI", $J$4:J125) + SUMIF($C$4:C125, "ÜRETİM GİRİŞ", $J$4:J125))) &gt; 0, J126 - MAX(0, $I$2 - (SUMIF($C$4:C125, "MAL ALIMI", $J$4:J125) + SUMIF($C$4:C125, "ÜRETİM GİRİŞ", $J$4:J125))), 0), 0)</f>
        <v>0</v>
      </c>
      <c r="U126" s="96">
        <f t="shared" si="4"/>
        <v>0</v>
      </c>
      <c r="V126" s="96">
        <f t="shared" si="5"/>
        <v>0</v>
      </c>
    </row>
    <row r="127" spans="2:23" x14ac:dyDescent="0.25">
      <c r="B127" s="8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96">
        <f>IF(OR(C127="MAL ALIMI", C127="ÜRETİM GİRİŞ"), IF(J127 - MAX(0, $I$2 - (SUMIF($C$4:C126, "MAL ALIMI", $J$4:J126) + SUMIF($C$4:C126, "ÜRETİM GİRİŞ", $J$4:J126))) &gt; 0, J127 - MAX(0, $I$2 - (SUMIF($C$4:C126, "MAL ALIMI", $J$4:J126) + SUMIF($C$4:C126, "ÜRETİM GİRİŞ", $J$4:J126))), 0), 0)</f>
        <v>0</v>
      </c>
      <c r="U127" s="96">
        <f t="shared" si="4"/>
        <v>0</v>
      </c>
      <c r="V127" s="96">
        <f t="shared" si="5"/>
        <v>0</v>
      </c>
    </row>
    <row r="128" spans="2:23" x14ac:dyDescent="0.25">
      <c r="B128" s="8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96">
        <f>IF(OR(C128="MAL ALIMI", C128="ÜRETİM GİRİŞ"), IF(J128 - MAX(0, $I$2 - (SUMIF($C$4:C127, "MAL ALIMI", $J$4:J127) + SUMIF($C$4:C127, "ÜRETİM GİRİŞ", $J$4:J127))) &gt; 0, J128 - MAX(0, $I$2 - (SUMIF($C$4:C127, "MAL ALIMI", $J$4:J127) + SUMIF($C$4:C127, "ÜRETİM GİRİŞ", $J$4:J127))), 0), 0)</f>
        <v>0</v>
      </c>
      <c r="U128" s="96">
        <f t="shared" si="4"/>
        <v>0</v>
      </c>
      <c r="V128" s="96">
        <f t="shared" si="5"/>
        <v>0</v>
      </c>
    </row>
    <row r="129" spans="2:22" x14ac:dyDescent="0.25">
      <c r="B129" s="8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96">
        <f>IF(OR(C129="MAL ALIMI", C129="ÜRETİM GİRİŞ"), IF(J129 - MAX(0, $I$2 - (SUMIF($C$4:C128, "MAL ALIMI", $J$4:J128) + SUMIF($C$4:C128, "ÜRETİM GİRİŞ", $J$4:J128))) &gt; 0, J129 - MAX(0, $I$2 - (SUMIF($C$4:C128, "MAL ALIMI", $J$4:J128) + SUMIF($C$4:C128, "ÜRETİM GİRİŞ", $J$4:J128))), 0), 0)</f>
        <v>0</v>
      </c>
      <c r="U129" s="96">
        <f t="shared" si="4"/>
        <v>0</v>
      </c>
      <c r="V129" s="96">
        <f t="shared" si="5"/>
        <v>0</v>
      </c>
    </row>
    <row r="130" spans="2:22" x14ac:dyDescent="0.25">
      <c r="B130" s="8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96">
        <f>IF(OR(C130="MAL ALIMI", C130="ÜRETİM GİRİŞ"), IF(J130 - MAX(0, $I$2 - (SUMIF($C$4:C129, "MAL ALIMI", $J$4:J129) + SUMIF($C$4:C129, "ÜRETİM GİRİŞ", $J$4:J129))) &gt; 0, J130 - MAX(0, $I$2 - (SUMIF($C$4:C129, "MAL ALIMI", $J$4:J129) + SUMIF($C$4:C129, "ÜRETİM GİRİŞ", $J$4:J129))), 0), 0)</f>
        <v>0</v>
      </c>
      <c r="U130" s="96">
        <f t="shared" si="4"/>
        <v>0</v>
      </c>
      <c r="V130" s="96">
        <f t="shared" si="5"/>
        <v>0</v>
      </c>
    </row>
    <row r="131" spans="2:22" x14ac:dyDescent="0.25">
      <c r="B131" s="8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96">
        <f>IF(OR(C131="MAL ALIMI", C131="ÜRETİM GİRİŞ"), IF(J131 - MAX(0, $I$2 - (SUMIF($C$4:C130, "MAL ALIMI", $J$4:J130) + SUMIF($C$4:C130, "ÜRETİM GİRİŞ", $J$4:J130))) &gt; 0, J131 - MAX(0, $I$2 - (SUMIF($C$4:C130, "MAL ALIMI", $J$4:J130) + SUMIF($C$4:C130, "ÜRETİM GİRİŞ", $J$4:J130))), 0), 0)</f>
        <v>0</v>
      </c>
      <c r="U131" s="96">
        <f t="shared" si="4"/>
        <v>0</v>
      </c>
      <c r="V131" s="96">
        <f t="shared" si="5"/>
        <v>0</v>
      </c>
    </row>
    <row r="132" spans="2:22" x14ac:dyDescent="0.25">
      <c r="B132" s="8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96">
        <f>IF(OR(C132="MAL ALIMI", C132="ÜRETİM GİRİŞ"), IF(J132 - MAX(0, $I$2 - (SUMIF($C$4:C131, "MAL ALIMI", $J$4:J131) + SUMIF($C$4:C131, "ÜRETİM GİRİŞ", $J$4:J131))) &gt; 0, J132 - MAX(0, $I$2 - (SUMIF($C$4:C131, "MAL ALIMI", $J$4:J131) + SUMIF($C$4:C131, "ÜRETİM GİRİŞ", $J$4:J131))), 0), 0)</f>
        <v>0</v>
      </c>
      <c r="U132" s="96">
        <f t="shared" si="4"/>
        <v>0</v>
      </c>
      <c r="V132" s="96">
        <f t="shared" si="5"/>
        <v>0</v>
      </c>
    </row>
    <row r="133" spans="2:22" x14ac:dyDescent="0.25">
      <c r="B133" s="8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96">
        <f>IF(OR(C133="MAL ALIMI", C133="ÜRETİM GİRİŞ"), IF(J133 - MAX(0, $I$2 - (SUMIF($C$4:C132, "MAL ALIMI", $J$4:J132) + SUMIF($C$4:C132, "ÜRETİM GİRİŞ", $J$4:J132))) &gt; 0, J133 - MAX(0, $I$2 - (SUMIF($C$4:C132, "MAL ALIMI", $J$4:J132) + SUMIF($C$4:C132, "ÜRETİM GİRİŞ", $J$4:J132))), 0), 0)</f>
        <v>0</v>
      </c>
      <c r="U133" s="96">
        <f t="shared" si="4"/>
        <v>0</v>
      </c>
      <c r="V133" s="96">
        <f t="shared" si="5"/>
        <v>0</v>
      </c>
    </row>
    <row r="134" spans="2:22" x14ac:dyDescent="0.25">
      <c r="B134" s="8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96">
        <f>IF(OR(C134="MAL ALIMI", C134="ÜRETİM GİRİŞ"), IF(J134 - MAX(0, $I$2 - (SUMIF($C$4:C133, "MAL ALIMI", $J$4:J133) + SUMIF($C$4:C133, "ÜRETİM GİRİŞ", $J$4:J133))) &gt; 0, J134 - MAX(0, $I$2 - (SUMIF($C$4:C133, "MAL ALIMI", $J$4:J133) + SUMIF($C$4:C133, "ÜRETİM GİRİŞ", $J$4:J133))), 0), 0)</f>
        <v>0</v>
      </c>
      <c r="U134" s="96">
        <f t="shared" ref="U134:U197" si="7">T134*K134</f>
        <v>0</v>
      </c>
      <c r="V134" s="96">
        <f t="shared" ref="V134:V197" si="8">IF(OR(C134="MAL ALIMI", C134="ÜRETİM GİRİŞ"), J134 * K134, 0)</f>
        <v>0</v>
      </c>
    </row>
    <row r="135" spans="2:22" x14ac:dyDescent="0.25">
      <c r="B135" s="8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96">
        <f>IF(OR(C135="MAL ALIMI", C135="ÜRETİM GİRİŞ"), IF(J135 - MAX(0, $I$2 - (SUMIF($C$4:C134, "MAL ALIMI", $J$4:J134) + SUMIF($C$4:C134, "ÜRETİM GİRİŞ", $J$4:J134))) &gt; 0, J135 - MAX(0, $I$2 - (SUMIF($C$4:C134, "MAL ALIMI", $J$4:J134) + SUMIF($C$4:C134, "ÜRETİM GİRİŞ", $J$4:J134))), 0), 0)</f>
        <v>0</v>
      </c>
      <c r="U135" s="96">
        <f t="shared" si="7"/>
        <v>0</v>
      </c>
      <c r="V135" s="96">
        <f t="shared" si="8"/>
        <v>0</v>
      </c>
    </row>
    <row r="136" spans="2:22" x14ac:dyDescent="0.25">
      <c r="B136" s="8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96">
        <f>IF(OR(C136="MAL ALIMI", C136="ÜRETİM GİRİŞ"), IF(J136 - MAX(0, $I$2 - (SUMIF($C$4:C135, "MAL ALIMI", $J$4:J135) + SUMIF($C$4:C135, "ÜRETİM GİRİŞ", $J$4:J135))) &gt; 0, J136 - MAX(0, $I$2 - (SUMIF($C$4:C135, "MAL ALIMI", $J$4:J135) + SUMIF($C$4:C135, "ÜRETİM GİRİŞ", $J$4:J135))), 0), 0)</f>
        <v>0</v>
      </c>
      <c r="U136" s="96">
        <f t="shared" si="7"/>
        <v>0</v>
      </c>
      <c r="V136" s="96">
        <f t="shared" si="8"/>
        <v>0</v>
      </c>
    </row>
    <row r="137" spans="2:22" x14ac:dyDescent="0.25">
      <c r="B137" s="8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96">
        <f>IF(OR(C137="MAL ALIMI", C137="ÜRETİM GİRİŞ"), IF(J137 - MAX(0, $I$2 - (SUMIF($C$4:C136, "MAL ALIMI", $J$4:J136) + SUMIF($C$4:C136, "ÜRETİM GİRİŞ", $J$4:J136))) &gt; 0, J137 - MAX(0, $I$2 - (SUMIF($C$4:C136, "MAL ALIMI", $J$4:J136) + SUMIF($C$4:C136, "ÜRETİM GİRİŞ", $J$4:J136))), 0), 0)</f>
        <v>0</v>
      </c>
      <c r="U137" s="96">
        <f t="shared" si="7"/>
        <v>0</v>
      </c>
      <c r="V137" s="96">
        <f t="shared" si="8"/>
        <v>0</v>
      </c>
    </row>
    <row r="138" spans="2:22" x14ac:dyDescent="0.25">
      <c r="B138" s="8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96">
        <f>IF(OR(C138="MAL ALIMI", C138="ÜRETİM GİRİŞ"), IF(J138 - MAX(0, $I$2 - (SUMIF($C$4:C137, "MAL ALIMI", $J$4:J137) + SUMIF($C$4:C137, "ÜRETİM GİRİŞ", $J$4:J137))) &gt; 0, J138 - MAX(0, $I$2 - (SUMIF($C$4:C137, "MAL ALIMI", $J$4:J137) + SUMIF($C$4:C137, "ÜRETİM GİRİŞ", $J$4:J137))), 0), 0)</f>
        <v>0</v>
      </c>
      <c r="U138" s="96">
        <f t="shared" si="7"/>
        <v>0</v>
      </c>
      <c r="V138" s="96">
        <f t="shared" si="8"/>
        <v>0</v>
      </c>
    </row>
    <row r="139" spans="2:22" x14ac:dyDescent="0.25">
      <c r="B139" s="8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96">
        <f>IF(OR(C139="MAL ALIMI", C139="ÜRETİM GİRİŞ"), IF(J139 - MAX(0, $I$2 - (SUMIF($C$4:C138, "MAL ALIMI", $J$4:J138) + SUMIF($C$4:C138, "ÜRETİM GİRİŞ", $J$4:J138))) &gt; 0, J139 - MAX(0, $I$2 - (SUMIF($C$4:C138, "MAL ALIMI", $J$4:J138) + SUMIF($C$4:C138, "ÜRETİM GİRİŞ", $J$4:J138))), 0), 0)</f>
        <v>0</v>
      </c>
      <c r="U139" s="96">
        <f t="shared" si="7"/>
        <v>0</v>
      </c>
      <c r="V139" s="96">
        <f t="shared" si="8"/>
        <v>0</v>
      </c>
    </row>
    <row r="140" spans="2:22" x14ac:dyDescent="0.25">
      <c r="B140" s="8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96">
        <f>IF(OR(C140="MAL ALIMI", C140="ÜRETİM GİRİŞ"), IF(J140 - MAX(0, $I$2 - (SUMIF($C$4:C139, "MAL ALIMI", $J$4:J139) + SUMIF($C$4:C139, "ÜRETİM GİRİŞ", $J$4:J139))) &gt; 0, J140 - MAX(0, $I$2 - (SUMIF($C$4:C139, "MAL ALIMI", $J$4:J139) + SUMIF($C$4:C139, "ÜRETİM GİRİŞ", $J$4:J139))), 0), 0)</f>
        <v>0</v>
      </c>
      <c r="U140" s="96">
        <f t="shared" si="7"/>
        <v>0</v>
      </c>
      <c r="V140" s="96">
        <f t="shared" si="8"/>
        <v>0</v>
      </c>
    </row>
    <row r="141" spans="2:22" x14ac:dyDescent="0.25">
      <c r="B141" s="8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96">
        <f>IF(OR(C141="MAL ALIMI", C141="ÜRETİM GİRİŞ"), IF(J141 - MAX(0, $I$2 - (SUMIF($C$4:C140, "MAL ALIMI", $J$4:J140) + SUMIF($C$4:C140, "ÜRETİM GİRİŞ", $J$4:J140))) &gt; 0, J141 - MAX(0, $I$2 - (SUMIF($C$4:C140, "MAL ALIMI", $J$4:J140) + SUMIF($C$4:C140, "ÜRETİM GİRİŞ", $J$4:J140))), 0), 0)</f>
        <v>0</v>
      </c>
      <c r="U141" s="96">
        <f t="shared" si="7"/>
        <v>0</v>
      </c>
      <c r="V141" s="96">
        <f t="shared" si="8"/>
        <v>0</v>
      </c>
    </row>
    <row r="142" spans="2:22" x14ac:dyDescent="0.25">
      <c r="B142" s="8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96">
        <f>IF(OR(C142="MAL ALIMI", C142="ÜRETİM GİRİŞ"), IF(J142 - MAX(0, $I$2 - (SUMIF($C$4:C141, "MAL ALIMI", $J$4:J141) + SUMIF($C$4:C141, "ÜRETİM GİRİŞ", $J$4:J141))) &gt; 0, J142 - MAX(0, $I$2 - (SUMIF($C$4:C141, "MAL ALIMI", $J$4:J141) + SUMIF($C$4:C141, "ÜRETİM GİRİŞ", $J$4:J141))), 0), 0)</f>
        <v>0</v>
      </c>
      <c r="U142" s="96">
        <f t="shared" si="7"/>
        <v>0</v>
      </c>
      <c r="V142" s="96">
        <f t="shared" si="8"/>
        <v>0</v>
      </c>
    </row>
    <row r="143" spans="2:22" x14ac:dyDescent="0.25">
      <c r="B143" s="8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96">
        <f>IF(OR(C143="MAL ALIMI", C143="ÜRETİM GİRİŞ"), IF(J143 - MAX(0, $I$2 - (SUMIF($C$4:C142, "MAL ALIMI", $J$4:J142) + SUMIF($C$4:C142, "ÜRETİM GİRİŞ", $J$4:J142))) &gt; 0, J143 - MAX(0, $I$2 - (SUMIF($C$4:C142, "MAL ALIMI", $J$4:J142) + SUMIF($C$4:C142, "ÜRETİM GİRİŞ", $J$4:J142))), 0), 0)</f>
        <v>0</v>
      </c>
      <c r="U143" s="96">
        <f t="shared" si="7"/>
        <v>0</v>
      </c>
      <c r="V143" s="96">
        <f t="shared" si="8"/>
        <v>0</v>
      </c>
    </row>
    <row r="144" spans="2:22" x14ac:dyDescent="0.25">
      <c r="B144" s="8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96">
        <f>IF(OR(C144="MAL ALIMI", C144="ÜRETİM GİRİŞ"), IF(J144 - MAX(0, $I$2 - (SUMIF($C$4:C143, "MAL ALIMI", $J$4:J143) + SUMIF($C$4:C143, "ÜRETİM GİRİŞ", $J$4:J143))) &gt; 0, J144 - MAX(0, $I$2 - (SUMIF($C$4:C143, "MAL ALIMI", $J$4:J143) + SUMIF($C$4:C143, "ÜRETİM GİRİŞ", $J$4:J143))), 0), 0)</f>
        <v>0</v>
      </c>
      <c r="U144" s="96">
        <f t="shared" si="7"/>
        <v>0</v>
      </c>
      <c r="V144" s="96">
        <f t="shared" si="8"/>
        <v>0</v>
      </c>
    </row>
    <row r="145" spans="2:22" x14ac:dyDescent="0.25">
      <c r="B145" s="8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96">
        <f>IF(OR(C145="MAL ALIMI", C145="ÜRETİM GİRİŞ"), IF(J145 - MAX(0, $I$2 - (SUMIF($C$4:C144, "MAL ALIMI", $J$4:J144) + SUMIF($C$4:C144, "ÜRETİM GİRİŞ", $J$4:J144))) &gt; 0, J145 - MAX(0, $I$2 - (SUMIF($C$4:C144, "MAL ALIMI", $J$4:J144) + SUMIF($C$4:C144, "ÜRETİM GİRİŞ", $J$4:J144))), 0), 0)</f>
        <v>0</v>
      </c>
      <c r="U145" s="96">
        <f t="shared" si="7"/>
        <v>0</v>
      </c>
      <c r="V145" s="96">
        <f t="shared" si="8"/>
        <v>0</v>
      </c>
    </row>
    <row r="146" spans="2:22" x14ac:dyDescent="0.25">
      <c r="B146" s="8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96">
        <f>IF(OR(C146="MAL ALIMI", C146="ÜRETİM GİRİŞ"), IF(J146 - MAX(0, $I$2 - (SUMIF($C$4:C145, "MAL ALIMI", $J$4:J145) + SUMIF($C$4:C145, "ÜRETİM GİRİŞ", $J$4:J145))) &gt; 0, J146 - MAX(0, $I$2 - (SUMIF($C$4:C145, "MAL ALIMI", $J$4:J145) + SUMIF($C$4:C145, "ÜRETİM GİRİŞ", $J$4:J145))), 0), 0)</f>
        <v>0</v>
      </c>
      <c r="U146" s="96">
        <f t="shared" si="7"/>
        <v>0</v>
      </c>
      <c r="V146" s="96">
        <f t="shared" si="8"/>
        <v>0</v>
      </c>
    </row>
    <row r="147" spans="2:22" x14ac:dyDescent="0.25">
      <c r="B147" s="8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96">
        <f>IF(OR(C147="MAL ALIMI", C147="ÜRETİM GİRİŞ"), IF(J147 - MAX(0, $I$2 - (SUMIF($C$4:C146, "MAL ALIMI", $J$4:J146) + SUMIF($C$4:C146, "ÜRETİM GİRİŞ", $J$4:J146))) &gt; 0, J147 - MAX(0, $I$2 - (SUMIF($C$4:C146, "MAL ALIMI", $J$4:J146) + SUMIF($C$4:C146, "ÜRETİM GİRİŞ", $J$4:J146))), 0), 0)</f>
        <v>0</v>
      </c>
      <c r="U147" s="96">
        <f t="shared" si="7"/>
        <v>0</v>
      </c>
      <c r="V147" s="96">
        <f t="shared" si="8"/>
        <v>0</v>
      </c>
    </row>
    <row r="148" spans="2:22" x14ac:dyDescent="0.25">
      <c r="B148" s="8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96">
        <f>IF(OR(C148="MAL ALIMI", C148="ÜRETİM GİRİŞ"), IF(J148 - MAX(0, $I$2 - (SUMIF($C$4:C147, "MAL ALIMI", $J$4:J147) + SUMIF($C$4:C147, "ÜRETİM GİRİŞ", $J$4:J147))) &gt; 0, J148 - MAX(0, $I$2 - (SUMIF($C$4:C147, "MAL ALIMI", $J$4:J147) + SUMIF($C$4:C147, "ÜRETİM GİRİŞ", $J$4:J147))), 0), 0)</f>
        <v>0</v>
      </c>
      <c r="U148" s="96">
        <f t="shared" si="7"/>
        <v>0</v>
      </c>
      <c r="V148" s="96">
        <f t="shared" si="8"/>
        <v>0</v>
      </c>
    </row>
    <row r="149" spans="2:22" x14ac:dyDescent="0.25">
      <c r="B149" s="8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96">
        <f>IF(OR(C149="MAL ALIMI", C149="ÜRETİM GİRİŞ"), IF(J149 - MAX(0, $I$2 - (SUMIF($C$4:C148, "MAL ALIMI", $J$4:J148) + SUMIF($C$4:C148, "ÜRETİM GİRİŞ", $J$4:J148))) &gt; 0, J149 - MAX(0, $I$2 - (SUMIF($C$4:C148, "MAL ALIMI", $J$4:J148) + SUMIF($C$4:C148, "ÜRETİM GİRİŞ", $J$4:J148))), 0), 0)</f>
        <v>0</v>
      </c>
      <c r="U149" s="96">
        <f t="shared" si="7"/>
        <v>0</v>
      </c>
      <c r="V149" s="96">
        <f t="shared" si="8"/>
        <v>0</v>
      </c>
    </row>
    <row r="150" spans="2:22" x14ac:dyDescent="0.25">
      <c r="B150" s="8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96">
        <f>IF(OR(C150="MAL ALIMI", C150="ÜRETİM GİRİŞ"), IF(J150 - MAX(0, $I$2 - (SUMIF($C$4:C149, "MAL ALIMI", $J$4:J149) + SUMIF($C$4:C149, "ÜRETİM GİRİŞ", $J$4:J149))) &gt; 0, J150 - MAX(0, $I$2 - (SUMIF($C$4:C149, "MAL ALIMI", $J$4:J149) + SUMIF($C$4:C149, "ÜRETİM GİRİŞ", $J$4:J149))), 0), 0)</f>
        <v>0</v>
      </c>
      <c r="U150" s="96">
        <f t="shared" si="7"/>
        <v>0</v>
      </c>
      <c r="V150" s="96">
        <f t="shared" si="8"/>
        <v>0</v>
      </c>
    </row>
    <row r="151" spans="2:22" x14ac:dyDescent="0.25">
      <c r="B151" s="8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96">
        <f>IF(OR(C151="MAL ALIMI", C151="ÜRETİM GİRİŞ"), IF(J151 - MAX(0, $I$2 - (SUMIF($C$4:C150, "MAL ALIMI", $J$4:J150) + SUMIF($C$4:C150, "ÜRETİM GİRİŞ", $J$4:J150))) &gt; 0, J151 - MAX(0, $I$2 - (SUMIF($C$4:C150, "MAL ALIMI", $J$4:J150) + SUMIF($C$4:C150, "ÜRETİM GİRİŞ", $J$4:J150))), 0), 0)</f>
        <v>0</v>
      </c>
      <c r="U151" s="96">
        <f t="shared" si="7"/>
        <v>0</v>
      </c>
      <c r="V151" s="96">
        <f t="shared" si="8"/>
        <v>0</v>
      </c>
    </row>
    <row r="152" spans="2:22" x14ac:dyDescent="0.25">
      <c r="B152" s="8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96">
        <f>IF(OR(C152="MAL ALIMI", C152="ÜRETİM GİRİŞ"), IF(J152 - MAX(0, $I$2 - (SUMIF($C$4:C151, "MAL ALIMI", $J$4:J151) + SUMIF($C$4:C151, "ÜRETİM GİRİŞ", $J$4:J151))) &gt; 0, J152 - MAX(0, $I$2 - (SUMIF($C$4:C151, "MAL ALIMI", $J$4:J151) + SUMIF($C$4:C151, "ÜRETİM GİRİŞ", $J$4:J151))), 0), 0)</f>
        <v>0</v>
      </c>
      <c r="U152" s="96">
        <f t="shared" si="7"/>
        <v>0</v>
      </c>
      <c r="V152" s="96">
        <f t="shared" si="8"/>
        <v>0</v>
      </c>
    </row>
    <row r="153" spans="2:22" x14ac:dyDescent="0.25">
      <c r="B153" s="8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96">
        <f>IF(OR(C153="MAL ALIMI", C153="ÜRETİM GİRİŞ"), IF(J153 - MAX(0, $I$2 - (SUMIF($C$4:C152, "MAL ALIMI", $J$4:J152) + SUMIF($C$4:C152, "ÜRETİM GİRİŞ", $J$4:J152))) &gt; 0, J153 - MAX(0, $I$2 - (SUMIF($C$4:C152, "MAL ALIMI", $J$4:J152) + SUMIF($C$4:C152, "ÜRETİM GİRİŞ", $J$4:J152))), 0), 0)</f>
        <v>0</v>
      </c>
      <c r="U153" s="96">
        <f t="shared" si="7"/>
        <v>0</v>
      </c>
      <c r="V153" s="96">
        <f t="shared" si="8"/>
        <v>0</v>
      </c>
    </row>
    <row r="154" spans="2:22" x14ac:dyDescent="0.25">
      <c r="B154" s="8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96">
        <f>IF(OR(C154="MAL ALIMI", C154="ÜRETİM GİRİŞ"), IF(J154 - MAX(0, $I$2 - (SUMIF($C$4:C153, "MAL ALIMI", $J$4:J153) + SUMIF($C$4:C153, "ÜRETİM GİRİŞ", $J$4:J153))) &gt; 0, J154 - MAX(0, $I$2 - (SUMIF($C$4:C153, "MAL ALIMI", $J$4:J153) + SUMIF($C$4:C153, "ÜRETİM GİRİŞ", $J$4:J153))), 0), 0)</f>
        <v>0</v>
      </c>
      <c r="U154" s="96">
        <f t="shared" si="7"/>
        <v>0</v>
      </c>
      <c r="V154" s="96">
        <f t="shared" si="8"/>
        <v>0</v>
      </c>
    </row>
    <row r="155" spans="2:22" x14ac:dyDescent="0.25">
      <c r="B155" s="8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96">
        <f>IF(OR(C155="MAL ALIMI", C155="ÜRETİM GİRİŞ"), IF(J155 - MAX(0, $I$2 - (SUMIF($C$4:C154, "MAL ALIMI", $J$4:J154) + SUMIF($C$4:C154, "ÜRETİM GİRİŞ", $J$4:J154))) &gt; 0, J155 - MAX(0, $I$2 - (SUMIF($C$4:C154, "MAL ALIMI", $J$4:J154) + SUMIF($C$4:C154, "ÜRETİM GİRİŞ", $J$4:J154))), 0), 0)</f>
        <v>0</v>
      </c>
      <c r="U155" s="96">
        <f t="shared" si="7"/>
        <v>0</v>
      </c>
      <c r="V155" s="96">
        <f t="shared" si="8"/>
        <v>0</v>
      </c>
    </row>
    <row r="156" spans="2:22" x14ac:dyDescent="0.25">
      <c r="B156" s="8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96">
        <f>IF(OR(C156="MAL ALIMI", C156="ÜRETİM GİRİŞ"), IF(J156 - MAX(0, $I$2 - (SUMIF($C$4:C155, "MAL ALIMI", $J$4:J155) + SUMIF($C$4:C155, "ÜRETİM GİRİŞ", $J$4:J155))) &gt; 0, J156 - MAX(0, $I$2 - (SUMIF($C$4:C155, "MAL ALIMI", $J$4:J155) + SUMIF($C$4:C155, "ÜRETİM GİRİŞ", $J$4:J155))), 0), 0)</f>
        <v>0</v>
      </c>
      <c r="U156" s="96">
        <f t="shared" si="7"/>
        <v>0</v>
      </c>
      <c r="V156" s="96">
        <f t="shared" si="8"/>
        <v>0</v>
      </c>
    </row>
    <row r="157" spans="2:22" x14ac:dyDescent="0.25">
      <c r="B157" s="8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96">
        <f>IF(OR(C157="MAL ALIMI", C157="ÜRETİM GİRİŞ"), IF(J157 - MAX(0, $I$2 - (SUMIF($C$4:C156, "MAL ALIMI", $J$4:J156) + SUMIF($C$4:C156, "ÜRETİM GİRİŞ", $J$4:J156))) &gt; 0, J157 - MAX(0, $I$2 - (SUMIF($C$4:C156, "MAL ALIMI", $J$4:J156) + SUMIF($C$4:C156, "ÜRETİM GİRİŞ", $J$4:J156))), 0), 0)</f>
        <v>0</v>
      </c>
      <c r="U157" s="96">
        <f t="shared" si="7"/>
        <v>0</v>
      </c>
      <c r="V157" s="96">
        <f t="shared" si="8"/>
        <v>0</v>
      </c>
    </row>
    <row r="158" spans="2:22" x14ac:dyDescent="0.25">
      <c r="B158" s="8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96">
        <f>IF(OR(C158="MAL ALIMI", C158="ÜRETİM GİRİŞ"), IF(J158 - MAX(0, $I$2 - (SUMIF($C$4:C157, "MAL ALIMI", $J$4:J157) + SUMIF($C$4:C157, "ÜRETİM GİRİŞ", $J$4:J157))) &gt; 0, J158 - MAX(0, $I$2 - (SUMIF($C$4:C157, "MAL ALIMI", $J$4:J157) + SUMIF($C$4:C157, "ÜRETİM GİRİŞ", $J$4:J157))), 0), 0)</f>
        <v>0</v>
      </c>
      <c r="U158" s="96">
        <f t="shared" si="7"/>
        <v>0</v>
      </c>
      <c r="V158" s="96">
        <f t="shared" si="8"/>
        <v>0</v>
      </c>
    </row>
    <row r="159" spans="2:22" x14ac:dyDescent="0.25">
      <c r="B159" s="8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96">
        <f>IF(OR(C159="MAL ALIMI", C159="ÜRETİM GİRİŞ"), IF(J159 - MAX(0, $I$2 - (SUMIF($C$4:C158, "MAL ALIMI", $J$4:J158) + SUMIF($C$4:C158, "ÜRETİM GİRİŞ", $J$4:J158))) &gt; 0, J159 - MAX(0, $I$2 - (SUMIF($C$4:C158, "MAL ALIMI", $J$4:J158) + SUMIF($C$4:C158, "ÜRETİM GİRİŞ", $J$4:J158))), 0), 0)</f>
        <v>0</v>
      </c>
      <c r="U159" s="96">
        <f t="shared" si="7"/>
        <v>0</v>
      </c>
      <c r="V159" s="96">
        <f t="shared" si="8"/>
        <v>0</v>
      </c>
    </row>
    <row r="160" spans="2:22" x14ac:dyDescent="0.25">
      <c r="B160" s="8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96">
        <f>IF(OR(C160="MAL ALIMI", C160="ÜRETİM GİRİŞ"), IF(J160 - MAX(0, $I$2 - (SUMIF($C$4:C159, "MAL ALIMI", $J$4:J159) + SUMIF($C$4:C159, "ÜRETİM GİRİŞ", $J$4:J159))) &gt; 0, J160 - MAX(0, $I$2 - (SUMIF($C$4:C159, "MAL ALIMI", $J$4:J159) + SUMIF($C$4:C159, "ÜRETİM GİRİŞ", $J$4:J159))), 0), 0)</f>
        <v>0</v>
      </c>
      <c r="U160" s="96">
        <f t="shared" si="7"/>
        <v>0</v>
      </c>
      <c r="V160" s="96">
        <f t="shared" si="8"/>
        <v>0</v>
      </c>
    </row>
    <row r="161" spans="2:22" x14ac:dyDescent="0.25">
      <c r="B161" s="8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96">
        <f>IF(OR(C161="MAL ALIMI", C161="ÜRETİM GİRİŞ"), IF(J161 - MAX(0, $I$2 - (SUMIF($C$4:C160, "MAL ALIMI", $J$4:J160) + SUMIF($C$4:C160, "ÜRETİM GİRİŞ", $J$4:J160))) &gt; 0, J161 - MAX(0, $I$2 - (SUMIF($C$4:C160, "MAL ALIMI", $J$4:J160) + SUMIF($C$4:C160, "ÜRETİM GİRİŞ", $J$4:J160))), 0), 0)</f>
        <v>0</v>
      </c>
      <c r="U161" s="96">
        <f t="shared" si="7"/>
        <v>0</v>
      </c>
      <c r="V161" s="96">
        <f t="shared" si="8"/>
        <v>0</v>
      </c>
    </row>
    <row r="162" spans="2:22" x14ac:dyDescent="0.25">
      <c r="B162" s="8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96">
        <f>IF(OR(C162="MAL ALIMI", C162="ÜRETİM GİRİŞ"), IF(J162 - MAX(0, $I$2 - (SUMIF($C$4:C161, "MAL ALIMI", $J$4:J161) + SUMIF($C$4:C161, "ÜRETİM GİRİŞ", $J$4:J161))) &gt; 0, J162 - MAX(0, $I$2 - (SUMIF($C$4:C161, "MAL ALIMI", $J$4:J161) + SUMIF($C$4:C161, "ÜRETİM GİRİŞ", $J$4:J161))), 0), 0)</f>
        <v>0</v>
      </c>
      <c r="U162" s="96">
        <f t="shared" si="7"/>
        <v>0</v>
      </c>
      <c r="V162" s="96">
        <f t="shared" si="8"/>
        <v>0</v>
      </c>
    </row>
    <row r="163" spans="2:22" x14ac:dyDescent="0.25">
      <c r="B163" s="8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96">
        <f>IF(OR(C163="MAL ALIMI", C163="ÜRETİM GİRİŞ"), IF(J163 - MAX(0, $I$2 - (SUMIF($C$4:C162, "MAL ALIMI", $J$4:J162) + SUMIF($C$4:C162, "ÜRETİM GİRİŞ", $J$4:J162))) &gt; 0, J163 - MAX(0, $I$2 - (SUMIF($C$4:C162, "MAL ALIMI", $J$4:J162) + SUMIF($C$4:C162, "ÜRETİM GİRİŞ", $J$4:J162))), 0), 0)</f>
        <v>0</v>
      </c>
      <c r="U163" s="96">
        <f t="shared" si="7"/>
        <v>0</v>
      </c>
      <c r="V163" s="96">
        <f t="shared" si="8"/>
        <v>0</v>
      </c>
    </row>
    <row r="164" spans="2:22" x14ac:dyDescent="0.25">
      <c r="B164" s="8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96">
        <f>IF(OR(C164="MAL ALIMI", C164="ÜRETİM GİRİŞ"), IF(J164 - MAX(0, $I$2 - (SUMIF($C$4:C163, "MAL ALIMI", $J$4:J163) + SUMIF($C$4:C163, "ÜRETİM GİRİŞ", $J$4:J163))) &gt; 0, J164 - MAX(0, $I$2 - (SUMIF($C$4:C163, "MAL ALIMI", $J$4:J163) + SUMIF($C$4:C163, "ÜRETİM GİRİŞ", $J$4:J163))), 0), 0)</f>
        <v>0</v>
      </c>
      <c r="U164" s="96">
        <f t="shared" si="7"/>
        <v>0</v>
      </c>
      <c r="V164" s="96">
        <f t="shared" si="8"/>
        <v>0</v>
      </c>
    </row>
    <row r="165" spans="2:22" x14ac:dyDescent="0.25">
      <c r="B165" s="8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96">
        <f>IF(OR(C165="MAL ALIMI", C165="ÜRETİM GİRİŞ"), IF(J165 - MAX(0, $I$2 - (SUMIF($C$4:C164, "MAL ALIMI", $J$4:J164) + SUMIF($C$4:C164, "ÜRETİM GİRİŞ", $J$4:J164))) &gt; 0, J165 - MAX(0, $I$2 - (SUMIF($C$4:C164, "MAL ALIMI", $J$4:J164) + SUMIF($C$4:C164, "ÜRETİM GİRİŞ", $J$4:J164))), 0), 0)</f>
        <v>0</v>
      </c>
      <c r="U165" s="96">
        <f t="shared" si="7"/>
        <v>0</v>
      </c>
      <c r="V165" s="96">
        <f t="shared" si="8"/>
        <v>0</v>
      </c>
    </row>
    <row r="166" spans="2:22" x14ac:dyDescent="0.25">
      <c r="B166" s="8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96">
        <f>IF(OR(C166="MAL ALIMI", C166="ÜRETİM GİRİŞ"), IF(J166 - MAX(0, $I$2 - (SUMIF($C$4:C165, "MAL ALIMI", $J$4:J165) + SUMIF($C$4:C165, "ÜRETİM GİRİŞ", $J$4:J165))) &gt; 0, J166 - MAX(0, $I$2 - (SUMIF($C$4:C165, "MAL ALIMI", $J$4:J165) + SUMIF($C$4:C165, "ÜRETİM GİRİŞ", $J$4:J165))), 0), 0)</f>
        <v>0</v>
      </c>
      <c r="U166" s="96">
        <f t="shared" si="7"/>
        <v>0</v>
      </c>
      <c r="V166" s="96">
        <f t="shared" si="8"/>
        <v>0</v>
      </c>
    </row>
    <row r="167" spans="2:22" x14ac:dyDescent="0.25">
      <c r="B167" s="8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96">
        <f>IF(OR(C167="MAL ALIMI", C167="ÜRETİM GİRİŞ"), IF(J167 - MAX(0, $I$2 - (SUMIF($C$4:C166, "MAL ALIMI", $J$4:J166) + SUMIF($C$4:C166, "ÜRETİM GİRİŞ", $J$4:J166))) &gt; 0, J167 - MAX(0, $I$2 - (SUMIF($C$4:C166, "MAL ALIMI", $J$4:J166) + SUMIF($C$4:C166, "ÜRETİM GİRİŞ", $J$4:J166))), 0), 0)</f>
        <v>0</v>
      </c>
      <c r="U167" s="96">
        <f t="shared" si="7"/>
        <v>0</v>
      </c>
      <c r="V167" s="96">
        <f t="shared" si="8"/>
        <v>0</v>
      </c>
    </row>
    <row r="168" spans="2:22" x14ac:dyDescent="0.25">
      <c r="B168" s="8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96">
        <f>IF(OR(C168="MAL ALIMI", C168="ÜRETİM GİRİŞ"), IF(J168 - MAX(0, $I$2 - (SUMIF($C$4:C167, "MAL ALIMI", $J$4:J167) + SUMIF($C$4:C167, "ÜRETİM GİRİŞ", $J$4:J167))) &gt; 0, J168 - MAX(0, $I$2 - (SUMIF($C$4:C167, "MAL ALIMI", $J$4:J167) + SUMIF($C$4:C167, "ÜRETİM GİRİŞ", $J$4:J167))), 0), 0)</f>
        <v>0</v>
      </c>
      <c r="U168" s="96">
        <f t="shared" si="7"/>
        <v>0</v>
      </c>
      <c r="V168" s="96">
        <f t="shared" si="8"/>
        <v>0</v>
      </c>
    </row>
    <row r="169" spans="2:22" x14ac:dyDescent="0.25">
      <c r="B169" s="8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96">
        <f>IF(OR(C169="MAL ALIMI", C169="ÜRETİM GİRİŞ"), IF(J169 - MAX(0, $I$2 - (SUMIF($C$4:C168, "MAL ALIMI", $J$4:J168) + SUMIF($C$4:C168, "ÜRETİM GİRİŞ", $J$4:J168))) &gt; 0, J169 - MAX(0, $I$2 - (SUMIF($C$4:C168, "MAL ALIMI", $J$4:J168) + SUMIF($C$4:C168, "ÜRETİM GİRİŞ", $J$4:J168))), 0), 0)</f>
        <v>0</v>
      </c>
      <c r="U169" s="96">
        <f t="shared" si="7"/>
        <v>0</v>
      </c>
      <c r="V169" s="96">
        <f t="shared" si="8"/>
        <v>0</v>
      </c>
    </row>
    <row r="170" spans="2:22" x14ac:dyDescent="0.25">
      <c r="B170" s="8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96">
        <f>IF(OR(C170="MAL ALIMI", C170="ÜRETİM GİRİŞ"), IF(J170 - MAX(0, $I$2 - (SUMIF($C$4:C169, "MAL ALIMI", $J$4:J169) + SUMIF($C$4:C169, "ÜRETİM GİRİŞ", $J$4:J169))) &gt; 0, J170 - MAX(0, $I$2 - (SUMIF($C$4:C169, "MAL ALIMI", $J$4:J169) + SUMIF($C$4:C169, "ÜRETİM GİRİŞ", $J$4:J169))), 0), 0)</f>
        <v>0</v>
      </c>
      <c r="U170" s="96">
        <f t="shared" si="7"/>
        <v>0</v>
      </c>
      <c r="V170" s="96">
        <f t="shared" si="8"/>
        <v>0</v>
      </c>
    </row>
    <row r="171" spans="2:22" x14ac:dyDescent="0.25">
      <c r="B171" s="8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96">
        <f>IF(OR(C171="MAL ALIMI", C171="ÜRETİM GİRİŞ"), IF(J171 - MAX(0, $I$2 - (SUMIF($C$4:C170, "MAL ALIMI", $J$4:J170) + SUMIF($C$4:C170, "ÜRETİM GİRİŞ", $J$4:J170))) &gt; 0, J171 - MAX(0, $I$2 - (SUMIF($C$4:C170, "MAL ALIMI", $J$4:J170) + SUMIF($C$4:C170, "ÜRETİM GİRİŞ", $J$4:J170))), 0), 0)</f>
        <v>0</v>
      </c>
      <c r="U171" s="96">
        <f t="shared" si="7"/>
        <v>0</v>
      </c>
      <c r="V171" s="96">
        <f t="shared" si="8"/>
        <v>0</v>
      </c>
    </row>
    <row r="172" spans="2:22" x14ac:dyDescent="0.25">
      <c r="B172" s="8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96">
        <f>IF(OR(C172="MAL ALIMI", C172="ÜRETİM GİRİŞ"), IF(J172 - MAX(0, $I$2 - (SUMIF($C$4:C171, "MAL ALIMI", $J$4:J171) + SUMIF($C$4:C171, "ÜRETİM GİRİŞ", $J$4:J171))) &gt; 0, J172 - MAX(0, $I$2 - (SUMIF($C$4:C171, "MAL ALIMI", $J$4:J171) + SUMIF($C$4:C171, "ÜRETİM GİRİŞ", $J$4:J171))), 0), 0)</f>
        <v>0</v>
      </c>
      <c r="U172" s="96">
        <f t="shared" si="7"/>
        <v>0</v>
      </c>
      <c r="V172" s="96">
        <f t="shared" si="8"/>
        <v>0</v>
      </c>
    </row>
    <row r="173" spans="2:22" x14ac:dyDescent="0.25">
      <c r="B173" s="8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96">
        <f>IF(OR(C173="MAL ALIMI", C173="ÜRETİM GİRİŞ"), IF(J173 - MAX(0, $I$2 - (SUMIF($C$4:C172, "MAL ALIMI", $J$4:J172) + SUMIF($C$4:C172, "ÜRETİM GİRİŞ", $J$4:J172))) &gt; 0, J173 - MAX(0, $I$2 - (SUMIF($C$4:C172, "MAL ALIMI", $J$4:J172) + SUMIF($C$4:C172, "ÜRETİM GİRİŞ", $J$4:J172))), 0), 0)</f>
        <v>0</v>
      </c>
      <c r="U173" s="96">
        <f t="shared" si="7"/>
        <v>0</v>
      </c>
      <c r="V173" s="96">
        <f t="shared" si="8"/>
        <v>0</v>
      </c>
    </row>
    <row r="174" spans="2:22" x14ac:dyDescent="0.25">
      <c r="B174" s="8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96">
        <f>IF(OR(C174="MAL ALIMI", C174="ÜRETİM GİRİŞ"), IF(J174 - MAX(0, $I$2 - (SUMIF($C$4:C173, "MAL ALIMI", $J$4:J173) + SUMIF($C$4:C173, "ÜRETİM GİRİŞ", $J$4:J173))) &gt; 0, J174 - MAX(0, $I$2 - (SUMIF($C$4:C173, "MAL ALIMI", $J$4:J173) + SUMIF($C$4:C173, "ÜRETİM GİRİŞ", $J$4:J173))), 0), 0)</f>
        <v>0</v>
      </c>
      <c r="U174" s="96">
        <f t="shared" si="7"/>
        <v>0</v>
      </c>
      <c r="V174" s="96">
        <f t="shared" si="8"/>
        <v>0</v>
      </c>
    </row>
    <row r="175" spans="2:22" x14ac:dyDescent="0.25">
      <c r="B175" s="8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96">
        <f>IF(OR(C175="MAL ALIMI", C175="ÜRETİM GİRİŞ"), IF(J175 - MAX(0, $I$2 - (SUMIF($C$4:C174, "MAL ALIMI", $J$4:J174) + SUMIF($C$4:C174, "ÜRETİM GİRİŞ", $J$4:J174))) &gt; 0, J175 - MAX(0, $I$2 - (SUMIF($C$4:C174, "MAL ALIMI", $J$4:J174) + SUMIF($C$4:C174, "ÜRETİM GİRİŞ", $J$4:J174))), 0), 0)</f>
        <v>0</v>
      </c>
      <c r="U175" s="96">
        <f t="shared" si="7"/>
        <v>0</v>
      </c>
      <c r="V175" s="96">
        <f t="shared" si="8"/>
        <v>0</v>
      </c>
    </row>
    <row r="176" spans="2:22" x14ac:dyDescent="0.25">
      <c r="B176" s="8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96">
        <f>IF(OR(C176="MAL ALIMI", C176="ÜRETİM GİRİŞ"), IF(J176 - MAX(0, $I$2 - (SUMIF($C$4:C175, "MAL ALIMI", $J$4:J175) + SUMIF($C$4:C175, "ÜRETİM GİRİŞ", $J$4:J175))) &gt; 0, J176 - MAX(0, $I$2 - (SUMIF($C$4:C175, "MAL ALIMI", $J$4:J175) + SUMIF($C$4:C175, "ÜRETİM GİRİŞ", $J$4:J175))), 0), 0)</f>
        <v>0</v>
      </c>
      <c r="U176" s="96">
        <f t="shared" si="7"/>
        <v>0</v>
      </c>
      <c r="V176" s="96">
        <f t="shared" si="8"/>
        <v>0</v>
      </c>
    </row>
    <row r="177" spans="2:22" x14ac:dyDescent="0.25">
      <c r="B177" s="8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96">
        <f>IF(OR(C177="MAL ALIMI", C177="ÜRETİM GİRİŞ"), IF(J177 - MAX(0, $I$2 - (SUMIF($C$4:C176, "MAL ALIMI", $J$4:J176) + SUMIF($C$4:C176, "ÜRETİM GİRİŞ", $J$4:J176))) &gt; 0, J177 - MAX(0, $I$2 - (SUMIF($C$4:C176, "MAL ALIMI", $J$4:J176) + SUMIF($C$4:C176, "ÜRETİM GİRİŞ", $J$4:J176))), 0), 0)</f>
        <v>0</v>
      </c>
      <c r="U177" s="96">
        <f t="shared" si="7"/>
        <v>0</v>
      </c>
      <c r="V177" s="96">
        <f t="shared" si="8"/>
        <v>0</v>
      </c>
    </row>
    <row r="178" spans="2:22" x14ac:dyDescent="0.25">
      <c r="B178" s="8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96">
        <f>IF(OR(C178="MAL ALIMI", C178="ÜRETİM GİRİŞ"), IF(J178 - MAX(0, $I$2 - (SUMIF($C$4:C177, "MAL ALIMI", $J$4:J177) + SUMIF($C$4:C177, "ÜRETİM GİRİŞ", $J$4:J177))) &gt; 0, J178 - MAX(0, $I$2 - (SUMIF($C$4:C177, "MAL ALIMI", $J$4:J177) + SUMIF($C$4:C177, "ÜRETİM GİRİŞ", $J$4:J177))), 0), 0)</f>
        <v>0</v>
      </c>
      <c r="U178" s="96">
        <f t="shared" si="7"/>
        <v>0</v>
      </c>
      <c r="V178" s="96">
        <f t="shared" si="8"/>
        <v>0</v>
      </c>
    </row>
    <row r="179" spans="2:22" x14ac:dyDescent="0.25">
      <c r="B179" s="8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96">
        <f>IF(OR(C179="MAL ALIMI", C179="ÜRETİM GİRİŞ"), IF(J179 - MAX(0, $I$2 - (SUMIF($C$4:C178, "MAL ALIMI", $J$4:J178) + SUMIF($C$4:C178, "ÜRETİM GİRİŞ", $J$4:J178))) &gt; 0, J179 - MAX(0, $I$2 - (SUMIF($C$4:C178, "MAL ALIMI", $J$4:J178) + SUMIF($C$4:C178, "ÜRETİM GİRİŞ", $J$4:J178))), 0), 0)</f>
        <v>0</v>
      </c>
      <c r="U179" s="96">
        <f t="shared" si="7"/>
        <v>0</v>
      </c>
      <c r="V179" s="96">
        <f t="shared" si="8"/>
        <v>0</v>
      </c>
    </row>
    <row r="180" spans="2:22" x14ac:dyDescent="0.25">
      <c r="B180" s="8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96">
        <f>IF(OR(C180="MAL ALIMI", C180="ÜRETİM GİRİŞ"), IF(J180 - MAX(0, $I$2 - (SUMIF($C$4:C179, "MAL ALIMI", $J$4:J179) + SUMIF($C$4:C179, "ÜRETİM GİRİŞ", $J$4:J179))) &gt; 0, J180 - MAX(0, $I$2 - (SUMIF($C$4:C179, "MAL ALIMI", $J$4:J179) + SUMIF($C$4:C179, "ÜRETİM GİRİŞ", $J$4:J179))), 0), 0)</f>
        <v>0</v>
      </c>
      <c r="U180" s="96">
        <f t="shared" si="7"/>
        <v>0</v>
      </c>
      <c r="V180" s="96">
        <f t="shared" si="8"/>
        <v>0</v>
      </c>
    </row>
    <row r="181" spans="2:22" x14ac:dyDescent="0.25">
      <c r="B181" s="8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96">
        <f>IF(OR(C181="MAL ALIMI", C181="ÜRETİM GİRİŞ"), IF(J181 - MAX(0, $I$2 - (SUMIF($C$4:C180, "MAL ALIMI", $J$4:J180) + SUMIF($C$4:C180, "ÜRETİM GİRİŞ", $J$4:J180))) &gt; 0, J181 - MAX(0, $I$2 - (SUMIF($C$4:C180, "MAL ALIMI", $J$4:J180) + SUMIF($C$4:C180, "ÜRETİM GİRİŞ", $J$4:J180))), 0), 0)</f>
        <v>0</v>
      </c>
      <c r="U181" s="96">
        <f t="shared" si="7"/>
        <v>0</v>
      </c>
      <c r="V181" s="96">
        <f t="shared" si="8"/>
        <v>0</v>
      </c>
    </row>
    <row r="182" spans="2:22" x14ac:dyDescent="0.25">
      <c r="B182" s="8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96">
        <f>IF(OR(C182="MAL ALIMI", C182="ÜRETİM GİRİŞ"), IF(J182 - MAX(0, $I$2 - (SUMIF($C$4:C181, "MAL ALIMI", $J$4:J181) + SUMIF($C$4:C181, "ÜRETİM GİRİŞ", $J$4:J181))) &gt; 0, J182 - MAX(0, $I$2 - (SUMIF($C$4:C181, "MAL ALIMI", $J$4:J181) + SUMIF($C$4:C181, "ÜRETİM GİRİŞ", $J$4:J181))), 0), 0)</f>
        <v>0</v>
      </c>
      <c r="U182" s="96">
        <f t="shared" si="7"/>
        <v>0</v>
      </c>
      <c r="V182" s="96">
        <f t="shared" si="8"/>
        <v>0</v>
      </c>
    </row>
    <row r="183" spans="2:22" x14ac:dyDescent="0.25">
      <c r="B183" s="8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96">
        <f>IF(OR(C183="MAL ALIMI", C183="ÜRETİM GİRİŞ"), IF(J183 - MAX(0, $I$2 - (SUMIF($C$4:C182, "MAL ALIMI", $J$4:J182) + SUMIF($C$4:C182, "ÜRETİM GİRİŞ", $J$4:J182))) &gt; 0, J183 - MAX(0, $I$2 - (SUMIF($C$4:C182, "MAL ALIMI", $J$4:J182) + SUMIF($C$4:C182, "ÜRETİM GİRİŞ", $J$4:J182))), 0), 0)</f>
        <v>0</v>
      </c>
      <c r="U183" s="96">
        <f t="shared" si="7"/>
        <v>0</v>
      </c>
      <c r="V183" s="96">
        <f t="shared" si="8"/>
        <v>0</v>
      </c>
    </row>
    <row r="184" spans="2:22" x14ac:dyDescent="0.25">
      <c r="B184" s="8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96">
        <f>IF(OR(C184="MAL ALIMI", C184="ÜRETİM GİRİŞ"), IF(J184 - MAX(0, $I$2 - (SUMIF($C$4:C183, "MAL ALIMI", $J$4:J183) + SUMIF($C$4:C183, "ÜRETİM GİRİŞ", $J$4:J183))) &gt; 0, J184 - MAX(0, $I$2 - (SUMIF($C$4:C183, "MAL ALIMI", $J$4:J183) + SUMIF($C$4:C183, "ÜRETİM GİRİŞ", $J$4:J183))), 0), 0)</f>
        <v>0</v>
      </c>
      <c r="U184" s="96">
        <f t="shared" si="7"/>
        <v>0</v>
      </c>
      <c r="V184" s="96">
        <f t="shared" si="8"/>
        <v>0</v>
      </c>
    </row>
    <row r="185" spans="2:22" x14ac:dyDescent="0.25">
      <c r="B185" s="8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96">
        <f>IF(OR(C185="MAL ALIMI", C185="ÜRETİM GİRİŞ"), IF(J185 - MAX(0, $I$2 - (SUMIF($C$4:C184, "MAL ALIMI", $J$4:J184) + SUMIF($C$4:C184, "ÜRETİM GİRİŞ", $J$4:J184))) &gt; 0, J185 - MAX(0, $I$2 - (SUMIF($C$4:C184, "MAL ALIMI", $J$4:J184) + SUMIF($C$4:C184, "ÜRETİM GİRİŞ", $J$4:J184))), 0), 0)</f>
        <v>0</v>
      </c>
      <c r="U185" s="96">
        <f t="shared" si="7"/>
        <v>0</v>
      </c>
      <c r="V185" s="96">
        <f t="shared" si="8"/>
        <v>0</v>
      </c>
    </row>
    <row r="186" spans="2:22" x14ac:dyDescent="0.25">
      <c r="B186" s="8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96">
        <f>IF(OR(C186="MAL ALIMI", C186="ÜRETİM GİRİŞ"), IF(J186 - MAX(0, $I$2 - (SUMIF($C$4:C185, "MAL ALIMI", $J$4:J185) + SUMIF($C$4:C185, "ÜRETİM GİRİŞ", $J$4:J185))) &gt; 0, J186 - MAX(0, $I$2 - (SUMIF($C$4:C185, "MAL ALIMI", $J$4:J185) + SUMIF($C$4:C185, "ÜRETİM GİRİŞ", $J$4:J185))), 0), 0)</f>
        <v>0</v>
      </c>
      <c r="U186" s="96">
        <f t="shared" si="7"/>
        <v>0</v>
      </c>
      <c r="V186" s="96">
        <f t="shared" si="8"/>
        <v>0</v>
      </c>
    </row>
    <row r="187" spans="2:22" x14ac:dyDescent="0.25">
      <c r="B187" s="8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96">
        <f>IF(OR(C187="MAL ALIMI", C187="ÜRETİM GİRİŞ"), IF(J187 - MAX(0, $I$2 - (SUMIF($C$4:C186, "MAL ALIMI", $J$4:J186) + SUMIF($C$4:C186, "ÜRETİM GİRİŞ", $J$4:J186))) &gt; 0, J187 - MAX(0, $I$2 - (SUMIF($C$4:C186, "MAL ALIMI", $J$4:J186) + SUMIF($C$4:C186, "ÜRETİM GİRİŞ", $J$4:J186))), 0), 0)</f>
        <v>0</v>
      </c>
      <c r="U187" s="96">
        <f t="shared" si="7"/>
        <v>0</v>
      </c>
      <c r="V187" s="96">
        <f t="shared" si="8"/>
        <v>0</v>
      </c>
    </row>
    <row r="188" spans="2:22" x14ac:dyDescent="0.25">
      <c r="B188" s="8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96">
        <f>IF(OR(C188="MAL ALIMI", C188="ÜRETİM GİRİŞ"), IF(J188 - MAX(0, $I$2 - (SUMIF($C$4:C187, "MAL ALIMI", $J$4:J187) + SUMIF($C$4:C187, "ÜRETİM GİRİŞ", $J$4:J187))) &gt; 0, J188 - MAX(0, $I$2 - (SUMIF($C$4:C187, "MAL ALIMI", $J$4:J187) + SUMIF($C$4:C187, "ÜRETİM GİRİŞ", $J$4:J187))), 0), 0)</f>
        <v>0</v>
      </c>
      <c r="U188" s="96">
        <f t="shared" si="7"/>
        <v>0</v>
      </c>
      <c r="V188" s="96">
        <f t="shared" si="8"/>
        <v>0</v>
      </c>
    </row>
    <row r="189" spans="2:22" x14ac:dyDescent="0.25">
      <c r="B189" s="8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96">
        <f>IF(OR(C189="MAL ALIMI", C189="ÜRETİM GİRİŞ"), IF(J189 - MAX(0, $I$2 - (SUMIF($C$4:C188, "MAL ALIMI", $J$4:J188) + SUMIF($C$4:C188, "ÜRETİM GİRİŞ", $J$4:J188))) &gt; 0, J189 - MAX(0, $I$2 - (SUMIF($C$4:C188, "MAL ALIMI", $J$4:J188) + SUMIF($C$4:C188, "ÜRETİM GİRİŞ", $J$4:J188))), 0), 0)</f>
        <v>0</v>
      </c>
      <c r="U189" s="96">
        <f t="shared" si="7"/>
        <v>0</v>
      </c>
      <c r="V189" s="96">
        <f t="shared" si="8"/>
        <v>0</v>
      </c>
    </row>
    <row r="190" spans="2:22" x14ac:dyDescent="0.25">
      <c r="B190" s="8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96">
        <f>IF(OR(C190="MAL ALIMI", C190="ÜRETİM GİRİŞ"), IF(J190 - MAX(0, $I$2 - (SUMIF($C$4:C189, "MAL ALIMI", $J$4:J189) + SUMIF($C$4:C189, "ÜRETİM GİRİŞ", $J$4:J189))) &gt; 0, J190 - MAX(0, $I$2 - (SUMIF($C$4:C189, "MAL ALIMI", $J$4:J189) + SUMIF($C$4:C189, "ÜRETİM GİRİŞ", $J$4:J189))), 0), 0)</f>
        <v>0</v>
      </c>
      <c r="U190" s="96">
        <f t="shared" si="7"/>
        <v>0</v>
      </c>
      <c r="V190" s="96">
        <f t="shared" si="8"/>
        <v>0</v>
      </c>
    </row>
    <row r="191" spans="2:22" x14ac:dyDescent="0.25">
      <c r="B191" s="8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96">
        <f>IF(OR(C191="MAL ALIMI", C191="ÜRETİM GİRİŞ"), IF(J191 - MAX(0, $I$2 - (SUMIF($C$4:C190, "MAL ALIMI", $J$4:J190) + SUMIF($C$4:C190, "ÜRETİM GİRİŞ", $J$4:J190))) &gt; 0, J191 - MAX(0, $I$2 - (SUMIF($C$4:C190, "MAL ALIMI", $J$4:J190) + SUMIF($C$4:C190, "ÜRETİM GİRİŞ", $J$4:J190))), 0), 0)</f>
        <v>0</v>
      </c>
      <c r="U191" s="96">
        <f t="shared" si="7"/>
        <v>0</v>
      </c>
      <c r="V191" s="96">
        <f t="shared" si="8"/>
        <v>0</v>
      </c>
    </row>
    <row r="192" spans="2:22" x14ac:dyDescent="0.25">
      <c r="B192" s="8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96">
        <f>IF(OR(C192="MAL ALIMI", C192="ÜRETİM GİRİŞ"), IF(J192 - MAX(0, $I$2 - (SUMIF($C$4:C191, "MAL ALIMI", $J$4:J191) + SUMIF($C$4:C191, "ÜRETİM GİRİŞ", $J$4:J191))) &gt; 0, J192 - MAX(0, $I$2 - (SUMIF($C$4:C191, "MAL ALIMI", $J$4:J191) + SUMIF($C$4:C191, "ÜRETİM GİRİŞ", $J$4:J191))), 0), 0)</f>
        <v>0</v>
      </c>
      <c r="U192" s="96">
        <f t="shared" si="7"/>
        <v>0</v>
      </c>
      <c r="V192" s="96">
        <f t="shared" si="8"/>
        <v>0</v>
      </c>
    </row>
    <row r="193" spans="2:22" x14ac:dyDescent="0.25">
      <c r="B193" s="8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96">
        <f>IF(OR(C193="MAL ALIMI", C193="ÜRETİM GİRİŞ"), IF(J193 - MAX(0, $I$2 - (SUMIF($C$4:C192, "MAL ALIMI", $J$4:J192) + SUMIF($C$4:C192, "ÜRETİM GİRİŞ", $J$4:J192))) &gt; 0, J193 - MAX(0, $I$2 - (SUMIF($C$4:C192, "MAL ALIMI", $J$4:J192) + SUMIF($C$4:C192, "ÜRETİM GİRİŞ", $J$4:J192))), 0), 0)</f>
        <v>0</v>
      </c>
      <c r="U193" s="96">
        <f t="shared" si="7"/>
        <v>0</v>
      </c>
      <c r="V193" s="96">
        <f t="shared" si="8"/>
        <v>0</v>
      </c>
    </row>
    <row r="194" spans="2:22" x14ac:dyDescent="0.25">
      <c r="B194" s="8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96">
        <f>IF(OR(C194="MAL ALIMI", C194="ÜRETİM GİRİŞ"), IF(J194 - MAX(0, $I$2 - (SUMIF($C$4:C193, "MAL ALIMI", $J$4:J193) + SUMIF($C$4:C193, "ÜRETİM GİRİŞ", $J$4:J193))) &gt; 0, J194 - MAX(0, $I$2 - (SUMIF($C$4:C193, "MAL ALIMI", $J$4:J193) + SUMIF($C$4:C193, "ÜRETİM GİRİŞ", $J$4:J193))), 0), 0)</f>
        <v>0</v>
      </c>
      <c r="U194" s="96">
        <f t="shared" si="7"/>
        <v>0</v>
      </c>
      <c r="V194" s="96">
        <f t="shared" si="8"/>
        <v>0</v>
      </c>
    </row>
    <row r="195" spans="2:22" x14ac:dyDescent="0.25">
      <c r="B195" s="8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96">
        <f>IF(OR(C195="MAL ALIMI", C195="ÜRETİM GİRİŞ"), IF(J195 - MAX(0, $I$2 - (SUMIF($C$4:C194, "MAL ALIMI", $J$4:J194) + SUMIF($C$4:C194, "ÜRETİM GİRİŞ", $J$4:J194))) &gt; 0, J195 - MAX(0, $I$2 - (SUMIF($C$4:C194, "MAL ALIMI", $J$4:J194) + SUMIF($C$4:C194, "ÜRETİM GİRİŞ", $J$4:J194))), 0), 0)</f>
        <v>0</v>
      </c>
      <c r="U195" s="96">
        <f t="shared" si="7"/>
        <v>0</v>
      </c>
      <c r="V195" s="96">
        <f t="shared" si="8"/>
        <v>0</v>
      </c>
    </row>
    <row r="196" spans="2:22" x14ac:dyDescent="0.25">
      <c r="B196" s="8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96">
        <f>IF(OR(C196="MAL ALIMI", C196="ÜRETİM GİRİŞ"), IF(J196 - MAX(0, $I$2 - (SUMIF($C$4:C195, "MAL ALIMI", $J$4:J195) + SUMIF($C$4:C195, "ÜRETİM GİRİŞ", $J$4:J195))) &gt; 0, J196 - MAX(0, $I$2 - (SUMIF($C$4:C195, "MAL ALIMI", $J$4:J195) + SUMIF($C$4:C195, "ÜRETİM GİRİŞ", $J$4:J195))), 0), 0)</f>
        <v>0</v>
      </c>
      <c r="U196" s="96">
        <f t="shared" si="7"/>
        <v>0</v>
      </c>
      <c r="V196" s="96">
        <f t="shared" si="8"/>
        <v>0</v>
      </c>
    </row>
    <row r="197" spans="2:22" x14ac:dyDescent="0.25">
      <c r="B197" s="8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96">
        <f>IF(OR(C197="MAL ALIMI", C197="ÜRETİM GİRİŞ"), IF(J197 - MAX(0, $I$2 - (SUMIF($C$4:C196, "MAL ALIMI", $J$4:J196) + SUMIF($C$4:C196, "ÜRETİM GİRİŞ", $J$4:J196))) &gt; 0, J197 - MAX(0, $I$2 - (SUMIF($C$4:C196, "MAL ALIMI", $J$4:J196) + SUMIF($C$4:C196, "ÜRETİM GİRİŞ", $J$4:J196))), 0), 0)</f>
        <v>0</v>
      </c>
      <c r="U197" s="96">
        <f t="shared" si="7"/>
        <v>0</v>
      </c>
      <c r="V197" s="96">
        <f t="shared" si="8"/>
        <v>0</v>
      </c>
    </row>
    <row r="198" spans="2:22" x14ac:dyDescent="0.25">
      <c r="B198" s="8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96">
        <f>IF(OR(C198="MAL ALIMI", C198="ÜRETİM GİRİŞ"), IF(J198 - MAX(0, $I$2 - (SUMIF($C$4:C197, "MAL ALIMI", $J$4:J197) + SUMIF($C$4:C197, "ÜRETİM GİRİŞ", $J$4:J197))) &gt; 0, J198 - MAX(0, $I$2 - (SUMIF($C$4:C197, "MAL ALIMI", $J$4:J197) + SUMIF($C$4:C197, "ÜRETİM GİRİŞ", $J$4:J197))), 0), 0)</f>
        <v>0</v>
      </c>
      <c r="U198" s="96">
        <f t="shared" ref="U198:U261" si="9">T198*K198</f>
        <v>0</v>
      </c>
      <c r="V198" s="96">
        <f t="shared" ref="V198:V261" si="10">IF(OR(C198="MAL ALIMI", C198="ÜRETİM GİRİŞ"), J198 * K198, 0)</f>
        <v>0</v>
      </c>
    </row>
    <row r="199" spans="2:22" x14ac:dyDescent="0.25">
      <c r="B199" s="8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96">
        <f>IF(OR(C199="MAL ALIMI", C199="ÜRETİM GİRİŞ"), IF(J199 - MAX(0, $I$2 - (SUMIF($C$4:C198, "MAL ALIMI", $J$4:J198) + SUMIF($C$4:C198, "ÜRETİM GİRİŞ", $J$4:J198))) &gt; 0, J199 - MAX(0, $I$2 - (SUMIF($C$4:C198, "MAL ALIMI", $J$4:J198) + SUMIF($C$4:C198, "ÜRETİM GİRİŞ", $J$4:J198))), 0), 0)</f>
        <v>0</v>
      </c>
      <c r="U199" s="96">
        <f t="shared" si="9"/>
        <v>0</v>
      </c>
      <c r="V199" s="96">
        <f t="shared" si="10"/>
        <v>0</v>
      </c>
    </row>
    <row r="200" spans="2:22" x14ac:dyDescent="0.25">
      <c r="B200" s="8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96">
        <f>IF(OR(C200="MAL ALIMI", C200="ÜRETİM GİRİŞ"), IF(J200 - MAX(0, $I$2 - (SUMIF($C$4:C199, "MAL ALIMI", $J$4:J199) + SUMIF($C$4:C199, "ÜRETİM GİRİŞ", $J$4:J199))) &gt; 0, J200 - MAX(0, $I$2 - (SUMIF($C$4:C199, "MAL ALIMI", $J$4:J199) + SUMIF($C$4:C199, "ÜRETİM GİRİŞ", $J$4:J199))), 0), 0)</f>
        <v>0</v>
      </c>
      <c r="U200" s="96">
        <f t="shared" si="9"/>
        <v>0</v>
      </c>
      <c r="V200" s="96">
        <f t="shared" si="10"/>
        <v>0</v>
      </c>
    </row>
    <row r="201" spans="2:22" x14ac:dyDescent="0.25">
      <c r="B201" s="8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96">
        <f>IF(OR(C201="MAL ALIMI", C201="ÜRETİM GİRİŞ"), IF(J201 - MAX(0, $I$2 - (SUMIF($C$4:C200, "MAL ALIMI", $J$4:J200) + SUMIF($C$4:C200, "ÜRETİM GİRİŞ", $J$4:J200))) &gt; 0, J201 - MAX(0, $I$2 - (SUMIF($C$4:C200, "MAL ALIMI", $J$4:J200) + SUMIF($C$4:C200, "ÜRETİM GİRİŞ", $J$4:J200))), 0), 0)</f>
        <v>0</v>
      </c>
      <c r="U201" s="96">
        <f t="shared" si="9"/>
        <v>0</v>
      </c>
      <c r="V201" s="96">
        <f t="shared" si="10"/>
        <v>0</v>
      </c>
    </row>
    <row r="202" spans="2:22" x14ac:dyDescent="0.25">
      <c r="B202" s="8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96">
        <f>IF(OR(C202="MAL ALIMI", C202="ÜRETİM GİRİŞ"), IF(J202 - MAX(0, $I$2 - (SUMIF($C$4:C201, "MAL ALIMI", $J$4:J201) + SUMIF($C$4:C201, "ÜRETİM GİRİŞ", $J$4:J201))) &gt; 0, J202 - MAX(0, $I$2 - (SUMIF($C$4:C201, "MAL ALIMI", $J$4:J201) + SUMIF($C$4:C201, "ÜRETİM GİRİŞ", $J$4:J201))), 0), 0)</f>
        <v>0</v>
      </c>
      <c r="U202" s="96">
        <f t="shared" si="9"/>
        <v>0</v>
      </c>
      <c r="V202" s="96">
        <f t="shared" si="10"/>
        <v>0</v>
      </c>
    </row>
    <row r="203" spans="2:22" x14ac:dyDescent="0.25">
      <c r="B203" s="8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96">
        <f>IF(OR(C203="MAL ALIMI", C203="ÜRETİM GİRİŞ"), IF(J203 - MAX(0, $I$2 - (SUMIF($C$4:C202, "MAL ALIMI", $J$4:J202) + SUMIF($C$4:C202, "ÜRETİM GİRİŞ", $J$4:J202))) &gt; 0, J203 - MAX(0, $I$2 - (SUMIF($C$4:C202, "MAL ALIMI", $J$4:J202) + SUMIF($C$4:C202, "ÜRETİM GİRİŞ", $J$4:J202))), 0), 0)</f>
        <v>0</v>
      </c>
      <c r="U203" s="96">
        <f t="shared" si="9"/>
        <v>0</v>
      </c>
      <c r="V203" s="96">
        <f t="shared" si="10"/>
        <v>0</v>
      </c>
    </row>
    <row r="204" spans="2:22" x14ac:dyDescent="0.25">
      <c r="B204" s="8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96">
        <f>IF(OR(C204="MAL ALIMI", C204="ÜRETİM GİRİŞ"), IF(J204 - MAX(0, $I$2 - (SUMIF($C$4:C203, "MAL ALIMI", $J$4:J203) + SUMIF($C$4:C203, "ÜRETİM GİRİŞ", $J$4:J203))) &gt; 0, J204 - MAX(0, $I$2 - (SUMIF($C$4:C203, "MAL ALIMI", $J$4:J203) + SUMIF($C$4:C203, "ÜRETİM GİRİŞ", $J$4:J203))), 0), 0)</f>
        <v>0</v>
      </c>
      <c r="U204" s="96">
        <f t="shared" si="9"/>
        <v>0</v>
      </c>
      <c r="V204" s="96">
        <f t="shared" si="10"/>
        <v>0</v>
      </c>
    </row>
    <row r="205" spans="2:22" x14ac:dyDescent="0.25">
      <c r="B205" s="8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96">
        <f>IF(OR(C205="MAL ALIMI", C205="ÜRETİM GİRİŞ"), IF(J205 - MAX(0, $I$2 - (SUMIF($C$4:C204, "MAL ALIMI", $J$4:J204) + SUMIF($C$4:C204, "ÜRETİM GİRİŞ", $J$4:J204))) &gt; 0, J205 - MAX(0, $I$2 - (SUMIF($C$4:C204, "MAL ALIMI", $J$4:J204) + SUMIF($C$4:C204, "ÜRETİM GİRİŞ", $J$4:J204))), 0), 0)</f>
        <v>0</v>
      </c>
      <c r="U205" s="96">
        <f t="shared" si="9"/>
        <v>0</v>
      </c>
      <c r="V205" s="96">
        <f t="shared" si="10"/>
        <v>0</v>
      </c>
    </row>
    <row r="206" spans="2:22" x14ac:dyDescent="0.25">
      <c r="B206" s="8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96">
        <f>IF(OR(C206="MAL ALIMI", C206="ÜRETİM GİRİŞ"), IF(J206 - MAX(0, $I$2 - (SUMIF($C$4:C205, "MAL ALIMI", $J$4:J205) + SUMIF($C$4:C205, "ÜRETİM GİRİŞ", $J$4:J205))) &gt; 0, J206 - MAX(0, $I$2 - (SUMIF($C$4:C205, "MAL ALIMI", $J$4:J205) + SUMIF($C$4:C205, "ÜRETİM GİRİŞ", $J$4:J205))), 0), 0)</f>
        <v>0</v>
      </c>
      <c r="U206" s="96">
        <f t="shared" si="9"/>
        <v>0</v>
      </c>
      <c r="V206" s="96">
        <f t="shared" si="10"/>
        <v>0</v>
      </c>
    </row>
    <row r="207" spans="2:22" x14ac:dyDescent="0.25">
      <c r="B207" s="8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96">
        <f>IF(OR(C207="MAL ALIMI", C207="ÜRETİM GİRİŞ"), IF(J207 - MAX(0, $I$2 - (SUMIF($C$4:C206, "MAL ALIMI", $J$4:J206) + SUMIF($C$4:C206, "ÜRETİM GİRİŞ", $J$4:J206))) &gt; 0, J207 - MAX(0, $I$2 - (SUMIF($C$4:C206, "MAL ALIMI", $J$4:J206) + SUMIF($C$4:C206, "ÜRETİM GİRİŞ", $J$4:J206))), 0), 0)</f>
        <v>0</v>
      </c>
      <c r="U207" s="96">
        <f t="shared" si="9"/>
        <v>0</v>
      </c>
      <c r="V207" s="96">
        <f t="shared" si="10"/>
        <v>0</v>
      </c>
    </row>
    <row r="208" spans="2:22" x14ac:dyDescent="0.25">
      <c r="B208" s="8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96">
        <f>IF(OR(C208="MAL ALIMI", C208="ÜRETİM GİRİŞ"), IF(J208 - MAX(0, $I$2 - (SUMIF($C$4:C207, "MAL ALIMI", $J$4:J207) + SUMIF($C$4:C207, "ÜRETİM GİRİŞ", $J$4:J207))) &gt; 0, J208 - MAX(0, $I$2 - (SUMIF($C$4:C207, "MAL ALIMI", $J$4:J207) + SUMIF($C$4:C207, "ÜRETİM GİRİŞ", $J$4:J207))), 0), 0)</f>
        <v>0</v>
      </c>
      <c r="U208" s="96">
        <f t="shared" si="9"/>
        <v>0</v>
      </c>
      <c r="V208" s="96">
        <f t="shared" si="10"/>
        <v>0</v>
      </c>
    </row>
    <row r="209" spans="2:22" x14ac:dyDescent="0.25">
      <c r="B209" s="8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96">
        <f>IF(OR(C209="MAL ALIMI", C209="ÜRETİM GİRİŞ"), IF(J209 - MAX(0, $I$2 - (SUMIF($C$4:C208, "MAL ALIMI", $J$4:J208) + SUMIF($C$4:C208, "ÜRETİM GİRİŞ", $J$4:J208))) &gt; 0, J209 - MAX(0, $I$2 - (SUMIF($C$4:C208, "MAL ALIMI", $J$4:J208) + SUMIF($C$4:C208, "ÜRETİM GİRİŞ", $J$4:J208))), 0), 0)</f>
        <v>0</v>
      </c>
      <c r="U209" s="96">
        <f t="shared" si="9"/>
        <v>0</v>
      </c>
      <c r="V209" s="96">
        <f t="shared" si="10"/>
        <v>0</v>
      </c>
    </row>
    <row r="210" spans="2:22" x14ac:dyDescent="0.25">
      <c r="B210" s="8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96">
        <f>IF(OR(C210="MAL ALIMI", C210="ÜRETİM GİRİŞ"), IF(J210 - MAX(0, $I$2 - (SUMIF($C$4:C209, "MAL ALIMI", $J$4:J209) + SUMIF($C$4:C209, "ÜRETİM GİRİŞ", $J$4:J209))) &gt; 0, J210 - MAX(0, $I$2 - (SUMIF($C$4:C209, "MAL ALIMI", $J$4:J209) + SUMIF($C$4:C209, "ÜRETİM GİRİŞ", $J$4:J209))), 0), 0)</f>
        <v>0</v>
      </c>
      <c r="U210" s="96">
        <f t="shared" si="9"/>
        <v>0</v>
      </c>
      <c r="V210" s="96">
        <f t="shared" si="10"/>
        <v>0</v>
      </c>
    </row>
    <row r="211" spans="2:22" x14ac:dyDescent="0.25">
      <c r="B211" s="8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96">
        <f>IF(OR(C211="MAL ALIMI", C211="ÜRETİM GİRİŞ"), IF(J211 - MAX(0, $I$2 - (SUMIF($C$4:C210, "MAL ALIMI", $J$4:J210) + SUMIF($C$4:C210, "ÜRETİM GİRİŞ", $J$4:J210))) &gt; 0, J211 - MAX(0, $I$2 - (SUMIF($C$4:C210, "MAL ALIMI", $J$4:J210) + SUMIF($C$4:C210, "ÜRETİM GİRİŞ", $J$4:J210))), 0), 0)</f>
        <v>0</v>
      </c>
      <c r="U211" s="96">
        <f t="shared" si="9"/>
        <v>0</v>
      </c>
      <c r="V211" s="96">
        <f t="shared" si="10"/>
        <v>0</v>
      </c>
    </row>
    <row r="212" spans="2:22" x14ac:dyDescent="0.25">
      <c r="B212" s="8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96">
        <f>IF(OR(C212="MAL ALIMI", C212="ÜRETİM GİRİŞ"), IF(J212 - MAX(0, $I$2 - (SUMIF($C$4:C211, "MAL ALIMI", $J$4:J211) + SUMIF($C$4:C211, "ÜRETİM GİRİŞ", $J$4:J211))) &gt; 0, J212 - MAX(0, $I$2 - (SUMIF($C$4:C211, "MAL ALIMI", $J$4:J211) + SUMIF($C$4:C211, "ÜRETİM GİRİŞ", $J$4:J211))), 0), 0)</f>
        <v>0</v>
      </c>
      <c r="U212" s="96">
        <f t="shared" si="9"/>
        <v>0</v>
      </c>
      <c r="V212" s="96">
        <f t="shared" si="10"/>
        <v>0</v>
      </c>
    </row>
    <row r="213" spans="2:22" x14ac:dyDescent="0.25">
      <c r="B213" s="8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96">
        <f>IF(OR(C213="MAL ALIMI", C213="ÜRETİM GİRİŞ"), IF(J213 - MAX(0, $I$2 - (SUMIF($C$4:C212, "MAL ALIMI", $J$4:J212) + SUMIF($C$4:C212, "ÜRETİM GİRİŞ", $J$4:J212))) &gt; 0, J213 - MAX(0, $I$2 - (SUMIF($C$4:C212, "MAL ALIMI", $J$4:J212) + SUMIF($C$4:C212, "ÜRETİM GİRİŞ", $J$4:J212))), 0), 0)</f>
        <v>0</v>
      </c>
      <c r="U213" s="96">
        <f t="shared" si="9"/>
        <v>0</v>
      </c>
      <c r="V213" s="96">
        <f t="shared" si="10"/>
        <v>0</v>
      </c>
    </row>
    <row r="214" spans="2:22" x14ac:dyDescent="0.25">
      <c r="B214" s="8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96">
        <f>IF(OR(C214="MAL ALIMI", C214="ÜRETİM GİRİŞ"), IF(J214 - MAX(0, $I$2 - (SUMIF($C$4:C213, "MAL ALIMI", $J$4:J213) + SUMIF($C$4:C213, "ÜRETİM GİRİŞ", $J$4:J213))) &gt; 0, J214 - MAX(0, $I$2 - (SUMIF($C$4:C213, "MAL ALIMI", $J$4:J213) + SUMIF($C$4:C213, "ÜRETİM GİRİŞ", $J$4:J213))), 0), 0)</f>
        <v>0</v>
      </c>
      <c r="U214" s="96">
        <f t="shared" si="9"/>
        <v>0</v>
      </c>
      <c r="V214" s="96">
        <f t="shared" si="10"/>
        <v>0</v>
      </c>
    </row>
    <row r="215" spans="2:22" x14ac:dyDescent="0.25">
      <c r="B215" s="8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96">
        <f>IF(OR(C215="MAL ALIMI", C215="ÜRETİM GİRİŞ"), IF(J215 - MAX(0, $I$2 - (SUMIF($C$4:C214, "MAL ALIMI", $J$4:J214) + SUMIF($C$4:C214, "ÜRETİM GİRİŞ", $J$4:J214))) &gt; 0, J215 - MAX(0, $I$2 - (SUMIF($C$4:C214, "MAL ALIMI", $J$4:J214) + SUMIF($C$4:C214, "ÜRETİM GİRİŞ", $J$4:J214))), 0), 0)</f>
        <v>0</v>
      </c>
      <c r="U215" s="96">
        <f t="shared" si="9"/>
        <v>0</v>
      </c>
      <c r="V215" s="96">
        <f t="shared" si="10"/>
        <v>0</v>
      </c>
    </row>
    <row r="216" spans="2:22" x14ac:dyDescent="0.25">
      <c r="B216" s="8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96">
        <f>IF(OR(C216="MAL ALIMI", C216="ÜRETİM GİRİŞ"), IF(J216 - MAX(0, $I$2 - (SUMIF($C$4:C215, "MAL ALIMI", $J$4:J215) + SUMIF($C$4:C215, "ÜRETİM GİRİŞ", $J$4:J215))) &gt; 0, J216 - MAX(0, $I$2 - (SUMIF($C$4:C215, "MAL ALIMI", $J$4:J215) + SUMIF($C$4:C215, "ÜRETİM GİRİŞ", $J$4:J215))), 0), 0)</f>
        <v>0</v>
      </c>
      <c r="U216" s="96">
        <f t="shared" si="9"/>
        <v>0</v>
      </c>
      <c r="V216" s="96">
        <f t="shared" si="10"/>
        <v>0</v>
      </c>
    </row>
    <row r="217" spans="2:22" x14ac:dyDescent="0.25">
      <c r="B217" s="8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96">
        <f>IF(OR(C217="MAL ALIMI", C217="ÜRETİM GİRİŞ"), IF(J217 - MAX(0, $I$2 - (SUMIF($C$4:C216, "MAL ALIMI", $J$4:J216) + SUMIF($C$4:C216, "ÜRETİM GİRİŞ", $J$4:J216))) &gt; 0, J217 - MAX(0, $I$2 - (SUMIF($C$4:C216, "MAL ALIMI", $J$4:J216) + SUMIF($C$4:C216, "ÜRETİM GİRİŞ", $J$4:J216))), 0), 0)</f>
        <v>0</v>
      </c>
      <c r="U217" s="96">
        <f t="shared" si="9"/>
        <v>0</v>
      </c>
      <c r="V217" s="96">
        <f t="shared" si="10"/>
        <v>0</v>
      </c>
    </row>
    <row r="218" spans="2:22" x14ac:dyDescent="0.25">
      <c r="B218" s="8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96">
        <f>IF(OR(C218="MAL ALIMI", C218="ÜRETİM GİRİŞ"), IF(J218 - MAX(0, $I$2 - (SUMIF($C$4:C217, "MAL ALIMI", $J$4:J217) + SUMIF($C$4:C217, "ÜRETİM GİRİŞ", $J$4:J217))) &gt; 0, J218 - MAX(0, $I$2 - (SUMIF($C$4:C217, "MAL ALIMI", $J$4:J217) + SUMIF($C$4:C217, "ÜRETİM GİRİŞ", $J$4:J217))), 0), 0)</f>
        <v>0</v>
      </c>
      <c r="U218" s="96">
        <f t="shared" si="9"/>
        <v>0</v>
      </c>
      <c r="V218" s="96">
        <f t="shared" si="10"/>
        <v>0</v>
      </c>
    </row>
    <row r="219" spans="2:22" x14ac:dyDescent="0.25">
      <c r="B219" s="8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96">
        <f>IF(OR(C219="MAL ALIMI", C219="ÜRETİM GİRİŞ"), IF(J219 - MAX(0, $I$2 - (SUMIF($C$4:C218, "MAL ALIMI", $J$4:J218) + SUMIF($C$4:C218, "ÜRETİM GİRİŞ", $J$4:J218))) &gt; 0, J219 - MAX(0, $I$2 - (SUMIF($C$4:C218, "MAL ALIMI", $J$4:J218) + SUMIF($C$4:C218, "ÜRETİM GİRİŞ", $J$4:J218))), 0), 0)</f>
        <v>0</v>
      </c>
      <c r="U219" s="96">
        <f t="shared" si="9"/>
        <v>0</v>
      </c>
      <c r="V219" s="96">
        <f t="shared" si="10"/>
        <v>0</v>
      </c>
    </row>
    <row r="220" spans="2:22" x14ac:dyDescent="0.25">
      <c r="B220" s="8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96">
        <f>IF(OR(C220="MAL ALIMI", C220="ÜRETİM GİRİŞ"), IF(J220 - MAX(0, $I$2 - (SUMIF($C$4:C219, "MAL ALIMI", $J$4:J219) + SUMIF($C$4:C219, "ÜRETİM GİRİŞ", $J$4:J219))) &gt; 0, J220 - MAX(0, $I$2 - (SUMIF($C$4:C219, "MAL ALIMI", $J$4:J219) + SUMIF($C$4:C219, "ÜRETİM GİRİŞ", $J$4:J219))), 0), 0)</f>
        <v>0</v>
      </c>
      <c r="U220" s="96">
        <f t="shared" si="9"/>
        <v>0</v>
      </c>
      <c r="V220" s="96">
        <f t="shared" si="10"/>
        <v>0</v>
      </c>
    </row>
    <row r="221" spans="2:22" x14ac:dyDescent="0.25">
      <c r="B221" s="8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96">
        <f>IF(OR(C221="MAL ALIMI", C221="ÜRETİM GİRİŞ"), IF(J221 - MAX(0, $I$2 - (SUMIF($C$4:C220, "MAL ALIMI", $J$4:J220) + SUMIF($C$4:C220, "ÜRETİM GİRİŞ", $J$4:J220))) &gt; 0, J221 - MAX(0, $I$2 - (SUMIF($C$4:C220, "MAL ALIMI", $J$4:J220) + SUMIF($C$4:C220, "ÜRETİM GİRİŞ", $J$4:J220))), 0), 0)</f>
        <v>0</v>
      </c>
      <c r="U221" s="96">
        <f t="shared" si="9"/>
        <v>0</v>
      </c>
      <c r="V221" s="96">
        <f t="shared" si="10"/>
        <v>0</v>
      </c>
    </row>
    <row r="222" spans="2:22" x14ac:dyDescent="0.25">
      <c r="B222" s="8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96">
        <f>IF(OR(C222="MAL ALIMI", C222="ÜRETİM GİRİŞ"), IF(J222 - MAX(0, $I$2 - (SUMIF($C$4:C221, "MAL ALIMI", $J$4:J221) + SUMIF($C$4:C221, "ÜRETİM GİRİŞ", $J$4:J221))) &gt; 0, J222 - MAX(0, $I$2 - (SUMIF($C$4:C221, "MAL ALIMI", $J$4:J221) + SUMIF($C$4:C221, "ÜRETİM GİRİŞ", $J$4:J221))), 0), 0)</f>
        <v>0</v>
      </c>
      <c r="U222" s="96">
        <f t="shared" si="9"/>
        <v>0</v>
      </c>
      <c r="V222" s="96">
        <f t="shared" si="10"/>
        <v>0</v>
      </c>
    </row>
    <row r="223" spans="2:22" x14ac:dyDescent="0.25">
      <c r="B223" s="8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96">
        <f>IF(OR(C223="MAL ALIMI", C223="ÜRETİM GİRİŞ"), IF(J223 - MAX(0, $I$2 - (SUMIF($C$4:C222, "MAL ALIMI", $J$4:J222) + SUMIF($C$4:C222, "ÜRETİM GİRİŞ", $J$4:J222))) &gt; 0, J223 - MAX(0, $I$2 - (SUMIF($C$4:C222, "MAL ALIMI", $J$4:J222) + SUMIF($C$4:C222, "ÜRETİM GİRİŞ", $J$4:J222))), 0), 0)</f>
        <v>0</v>
      </c>
      <c r="U223" s="96">
        <f t="shared" si="9"/>
        <v>0</v>
      </c>
      <c r="V223" s="96">
        <f t="shared" si="10"/>
        <v>0</v>
      </c>
    </row>
    <row r="224" spans="2:22" x14ac:dyDescent="0.25">
      <c r="B224" s="8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96">
        <f>IF(OR(C224="MAL ALIMI", C224="ÜRETİM GİRİŞ"), IF(J224 - MAX(0, $I$2 - (SUMIF($C$4:C223, "MAL ALIMI", $J$4:J223) + SUMIF($C$4:C223, "ÜRETİM GİRİŞ", $J$4:J223))) &gt; 0, J224 - MAX(0, $I$2 - (SUMIF($C$4:C223, "MAL ALIMI", $J$4:J223) + SUMIF($C$4:C223, "ÜRETİM GİRİŞ", $J$4:J223))), 0), 0)</f>
        <v>0</v>
      </c>
      <c r="U224" s="96">
        <f t="shared" si="9"/>
        <v>0</v>
      </c>
      <c r="V224" s="96">
        <f t="shared" si="10"/>
        <v>0</v>
      </c>
    </row>
    <row r="225" spans="2:22" x14ac:dyDescent="0.25">
      <c r="B225" s="8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96">
        <f>IF(OR(C225="MAL ALIMI", C225="ÜRETİM GİRİŞ"), IF(J225 - MAX(0, $I$2 - (SUMIF($C$4:C224, "MAL ALIMI", $J$4:J224) + SUMIF($C$4:C224, "ÜRETİM GİRİŞ", $J$4:J224))) &gt; 0, J225 - MAX(0, $I$2 - (SUMIF($C$4:C224, "MAL ALIMI", $J$4:J224) + SUMIF($C$4:C224, "ÜRETİM GİRİŞ", $J$4:J224))), 0), 0)</f>
        <v>0</v>
      </c>
      <c r="U225" s="96">
        <f t="shared" si="9"/>
        <v>0</v>
      </c>
      <c r="V225" s="96">
        <f t="shared" si="10"/>
        <v>0</v>
      </c>
    </row>
    <row r="226" spans="2:22" x14ac:dyDescent="0.25">
      <c r="B226" s="8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96">
        <f>IF(OR(C226="MAL ALIMI", C226="ÜRETİM GİRİŞ"), IF(J226 - MAX(0, $I$2 - (SUMIF($C$4:C225, "MAL ALIMI", $J$4:J225) + SUMIF($C$4:C225, "ÜRETİM GİRİŞ", $J$4:J225))) &gt; 0, J226 - MAX(0, $I$2 - (SUMIF($C$4:C225, "MAL ALIMI", $J$4:J225) + SUMIF($C$4:C225, "ÜRETİM GİRİŞ", $J$4:J225))), 0), 0)</f>
        <v>0</v>
      </c>
      <c r="U226" s="96">
        <f t="shared" si="9"/>
        <v>0</v>
      </c>
      <c r="V226" s="96">
        <f t="shared" si="10"/>
        <v>0</v>
      </c>
    </row>
    <row r="227" spans="2:22" x14ac:dyDescent="0.25">
      <c r="B227" s="8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96">
        <f>IF(OR(C227="MAL ALIMI", C227="ÜRETİM GİRİŞ"), IF(J227 - MAX(0, $I$2 - (SUMIF($C$4:C226, "MAL ALIMI", $J$4:J226) + SUMIF($C$4:C226, "ÜRETİM GİRİŞ", $J$4:J226))) &gt; 0, J227 - MAX(0, $I$2 - (SUMIF($C$4:C226, "MAL ALIMI", $J$4:J226) + SUMIF($C$4:C226, "ÜRETİM GİRİŞ", $J$4:J226))), 0), 0)</f>
        <v>0</v>
      </c>
      <c r="U227" s="96">
        <f t="shared" si="9"/>
        <v>0</v>
      </c>
      <c r="V227" s="96">
        <f t="shared" si="10"/>
        <v>0</v>
      </c>
    </row>
    <row r="228" spans="2:22" x14ac:dyDescent="0.25">
      <c r="B228" s="8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96">
        <f>IF(OR(C228="MAL ALIMI", C228="ÜRETİM GİRİŞ"), IF(J228 - MAX(0, $I$2 - (SUMIF($C$4:C227, "MAL ALIMI", $J$4:J227) + SUMIF($C$4:C227, "ÜRETİM GİRİŞ", $J$4:J227))) &gt; 0, J228 - MAX(0, $I$2 - (SUMIF($C$4:C227, "MAL ALIMI", $J$4:J227) + SUMIF($C$4:C227, "ÜRETİM GİRİŞ", $J$4:J227))), 0), 0)</f>
        <v>0</v>
      </c>
      <c r="U228" s="96">
        <f t="shared" si="9"/>
        <v>0</v>
      </c>
      <c r="V228" s="96">
        <f t="shared" si="10"/>
        <v>0</v>
      </c>
    </row>
    <row r="229" spans="2:22" x14ac:dyDescent="0.25">
      <c r="B229" s="8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96">
        <f>IF(OR(C229="MAL ALIMI", C229="ÜRETİM GİRİŞ"), IF(J229 - MAX(0, $I$2 - (SUMIF($C$4:C228, "MAL ALIMI", $J$4:J228) + SUMIF($C$4:C228, "ÜRETİM GİRİŞ", $J$4:J228))) &gt; 0, J229 - MAX(0, $I$2 - (SUMIF($C$4:C228, "MAL ALIMI", $J$4:J228) + SUMIF($C$4:C228, "ÜRETİM GİRİŞ", $J$4:J228))), 0), 0)</f>
        <v>0</v>
      </c>
      <c r="U229" s="96">
        <f t="shared" si="9"/>
        <v>0</v>
      </c>
      <c r="V229" s="96">
        <f t="shared" si="10"/>
        <v>0</v>
      </c>
    </row>
    <row r="230" spans="2:22" x14ac:dyDescent="0.25">
      <c r="B230" s="8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96">
        <f>IF(OR(C230="MAL ALIMI", C230="ÜRETİM GİRİŞ"), IF(J230 - MAX(0, $I$2 - (SUMIF($C$4:C229, "MAL ALIMI", $J$4:J229) + SUMIF($C$4:C229, "ÜRETİM GİRİŞ", $J$4:J229))) &gt; 0, J230 - MAX(0, $I$2 - (SUMIF($C$4:C229, "MAL ALIMI", $J$4:J229) + SUMIF($C$4:C229, "ÜRETİM GİRİŞ", $J$4:J229))), 0), 0)</f>
        <v>0</v>
      </c>
      <c r="U230" s="96">
        <f t="shared" si="9"/>
        <v>0</v>
      </c>
      <c r="V230" s="96">
        <f t="shared" si="10"/>
        <v>0</v>
      </c>
    </row>
    <row r="231" spans="2:22" x14ac:dyDescent="0.25">
      <c r="B231" s="8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96">
        <f>IF(OR(C231="MAL ALIMI", C231="ÜRETİM GİRİŞ"), IF(J231 - MAX(0, $I$2 - (SUMIF($C$4:C230, "MAL ALIMI", $J$4:J230) + SUMIF($C$4:C230, "ÜRETİM GİRİŞ", $J$4:J230))) &gt; 0, J231 - MAX(0, $I$2 - (SUMIF($C$4:C230, "MAL ALIMI", $J$4:J230) + SUMIF($C$4:C230, "ÜRETİM GİRİŞ", $J$4:J230))), 0), 0)</f>
        <v>0</v>
      </c>
      <c r="U231" s="96">
        <f t="shared" si="9"/>
        <v>0</v>
      </c>
      <c r="V231" s="96">
        <f t="shared" si="10"/>
        <v>0</v>
      </c>
    </row>
    <row r="232" spans="2:22" x14ac:dyDescent="0.25">
      <c r="B232" s="8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96">
        <f>IF(OR(C232="MAL ALIMI", C232="ÜRETİM GİRİŞ"), IF(J232 - MAX(0, $I$2 - (SUMIF($C$4:C231, "MAL ALIMI", $J$4:J231) + SUMIF($C$4:C231, "ÜRETİM GİRİŞ", $J$4:J231))) &gt; 0, J232 - MAX(0, $I$2 - (SUMIF($C$4:C231, "MAL ALIMI", $J$4:J231) + SUMIF($C$4:C231, "ÜRETİM GİRİŞ", $J$4:J231))), 0), 0)</f>
        <v>0</v>
      </c>
      <c r="U232" s="96">
        <f t="shared" si="9"/>
        <v>0</v>
      </c>
      <c r="V232" s="96">
        <f t="shared" si="10"/>
        <v>0</v>
      </c>
    </row>
    <row r="233" spans="2:22" x14ac:dyDescent="0.25">
      <c r="B233" s="8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96">
        <f>IF(OR(C233="MAL ALIMI", C233="ÜRETİM GİRİŞ"), IF(J233 - MAX(0, $I$2 - (SUMIF($C$4:C232, "MAL ALIMI", $J$4:J232) + SUMIF($C$4:C232, "ÜRETİM GİRİŞ", $J$4:J232))) &gt; 0, J233 - MAX(0, $I$2 - (SUMIF($C$4:C232, "MAL ALIMI", $J$4:J232) + SUMIF($C$4:C232, "ÜRETİM GİRİŞ", $J$4:J232))), 0), 0)</f>
        <v>0</v>
      </c>
      <c r="U233" s="96">
        <f t="shared" si="9"/>
        <v>0</v>
      </c>
      <c r="V233" s="96">
        <f t="shared" si="10"/>
        <v>0</v>
      </c>
    </row>
    <row r="234" spans="2:22" x14ac:dyDescent="0.25">
      <c r="B234" s="8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96">
        <f>IF(OR(C234="MAL ALIMI", C234="ÜRETİM GİRİŞ"), IF(J234 - MAX(0, $I$2 - (SUMIF($C$4:C233, "MAL ALIMI", $J$4:J233) + SUMIF($C$4:C233, "ÜRETİM GİRİŞ", $J$4:J233))) &gt; 0, J234 - MAX(0, $I$2 - (SUMIF($C$4:C233, "MAL ALIMI", $J$4:J233) + SUMIF($C$4:C233, "ÜRETİM GİRİŞ", $J$4:J233))), 0), 0)</f>
        <v>0</v>
      </c>
      <c r="U234" s="96">
        <f t="shared" si="9"/>
        <v>0</v>
      </c>
      <c r="V234" s="96">
        <f t="shared" si="10"/>
        <v>0</v>
      </c>
    </row>
    <row r="235" spans="2:22" x14ac:dyDescent="0.25">
      <c r="B235" s="8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96">
        <f>IF(OR(C235="MAL ALIMI", C235="ÜRETİM GİRİŞ"), IF(J235 - MAX(0, $I$2 - (SUMIF($C$4:C234, "MAL ALIMI", $J$4:J234) + SUMIF($C$4:C234, "ÜRETİM GİRİŞ", $J$4:J234))) &gt; 0, J235 - MAX(0, $I$2 - (SUMIF($C$4:C234, "MAL ALIMI", $J$4:J234) + SUMIF($C$4:C234, "ÜRETİM GİRİŞ", $J$4:J234))), 0), 0)</f>
        <v>0</v>
      </c>
      <c r="U235" s="96">
        <f t="shared" si="9"/>
        <v>0</v>
      </c>
      <c r="V235" s="96">
        <f t="shared" si="10"/>
        <v>0</v>
      </c>
    </row>
    <row r="236" spans="2:22" x14ac:dyDescent="0.25">
      <c r="B236" s="8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96">
        <f>IF(OR(C236="MAL ALIMI", C236="ÜRETİM GİRİŞ"), IF(J236 - MAX(0, $I$2 - (SUMIF($C$4:C235, "MAL ALIMI", $J$4:J235) + SUMIF($C$4:C235, "ÜRETİM GİRİŞ", $J$4:J235))) &gt; 0, J236 - MAX(0, $I$2 - (SUMIF($C$4:C235, "MAL ALIMI", $J$4:J235) + SUMIF($C$4:C235, "ÜRETİM GİRİŞ", $J$4:J235))), 0), 0)</f>
        <v>0</v>
      </c>
      <c r="U236" s="96">
        <f t="shared" si="9"/>
        <v>0</v>
      </c>
      <c r="V236" s="96">
        <f t="shared" si="10"/>
        <v>0</v>
      </c>
    </row>
    <row r="237" spans="2:22" x14ac:dyDescent="0.25">
      <c r="B237" s="8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96">
        <f>IF(OR(C237="MAL ALIMI", C237="ÜRETİM GİRİŞ"), IF(J237 - MAX(0, $I$2 - (SUMIF($C$4:C236, "MAL ALIMI", $J$4:J236) + SUMIF($C$4:C236, "ÜRETİM GİRİŞ", $J$4:J236))) &gt; 0, J237 - MAX(0, $I$2 - (SUMIF($C$4:C236, "MAL ALIMI", $J$4:J236) + SUMIF($C$4:C236, "ÜRETİM GİRİŞ", $J$4:J236))), 0), 0)</f>
        <v>0</v>
      </c>
      <c r="U237" s="96">
        <f t="shared" si="9"/>
        <v>0</v>
      </c>
      <c r="V237" s="96">
        <f t="shared" si="10"/>
        <v>0</v>
      </c>
    </row>
    <row r="238" spans="2:22" x14ac:dyDescent="0.25">
      <c r="B238" s="8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96">
        <f>IF(OR(C238="MAL ALIMI", C238="ÜRETİM GİRİŞ"), IF(J238 - MAX(0, $I$2 - (SUMIF($C$4:C237, "MAL ALIMI", $J$4:J237) + SUMIF($C$4:C237, "ÜRETİM GİRİŞ", $J$4:J237))) &gt; 0, J238 - MAX(0, $I$2 - (SUMIF($C$4:C237, "MAL ALIMI", $J$4:J237) + SUMIF($C$4:C237, "ÜRETİM GİRİŞ", $J$4:J237))), 0), 0)</f>
        <v>0</v>
      </c>
      <c r="U238" s="96">
        <f t="shared" si="9"/>
        <v>0</v>
      </c>
      <c r="V238" s="96">
        <f t="shared" si="10"/>
        <v>0</v>
      </c>
    </row>
    <row r="239" spans="2:22" x14ac:dyDescent="0.25">
      <c r="B239" s="8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96">
        <f>IF(OR(C239="MAL ALIMI", C239="ÜRETİM GİRİŞ"), IF(J239 - MAX(0, $I$2 - (SUMIF($C$4:C238, "MAL ALIMI", $J$4:J238) + SUMIF($C$4:C238, "ÜRETİM GİRİŞ", $J$4:J238))) &gt; 0, J239 - MAX(0, $I$2 - (SUMIF($C$4:C238, "MAL ALIMI", $J$4:J238) + SUMIF($C$4:C238, "ÜRETİM GİRİŞ", $J$4:J238))), 0), 0)</f>
        <v>0</v>
      </c>
      <c r="U239" s="96">
        <f t="shared" si="9"/>
        <v>0</v>
      </c>
      <c r="V239" s="96">
        <f t="shared" si="10"/>
        <v>0</v>
      </c>
    </row>
    <row r="240" spans="2:22" x14ac:dyDescent="0.25">
      <c r="B240" s="8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96">
        <f>IF(OR(C240="MAL ALIMI", C240="ÜRETİM GİRİŞ"), IF(J240 - MAX(0, $I$2 - (SUMIF($C$4:C239, "MAL ALIMI", $J$4:J239) + SUMIF($C$4:C239, "ÜRETİM GİRİŞ", $J$4:J239))) &gt; 0, J240 - MAX(0, $I$2 - (SUMIF($C$4:C239, "MAL ALIMI", $J$4:J239) + SUMIF($C$4:C239, "ÜRETİM GİRİŞ", $J$4:J239))), 0), 0)</f>
        <v>0</v>
      </c>
      <c r="U240" s="96">
        <f t="shared" si="9"/>
        <v>0</v>
      </c>
      <c r="V240" s="96">
        <f t="shared" si="10"/>
        <v>0</v>
      </c>
    </row>
    <row r="241" spans="2:22" x14ac:dyDescent="0.25">
      <c r="B241" s="8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96">
        <f>IF(OR(C241="MAL ALIMI", C241="ÜRETİM GİRİŞ"), IF(J241 - MAX(0, $I$2 - (SUMIF($C$4:C240, "MAL ALIMI", $J$4:J240) + SUMIF($C$4:C240, "ÜRETİM GİRİŞ", $J$4:J240))) &gt; 0, J241 - MAX(0, $I$2 - (SUMIF($C$4:C240, "MAL ALIMI", $J$4:J240) + SUMIF($C$4:C240, "ÜRETİM GİRİŞ", $J$4:J240))), 0), 0)</f>
        <v>0</v>
      </c>
      <c r="U241" s="96">
        <f t="shared" si="9"/>
        <v>0</v>
      </c>
      <c r="V241" s="96">
        <f t="shared" si="10"/>
        <v>0</v>
      </c>
    </row>
    <row r="242" spans="2:22" x14ac:dyDescent="0.25">
      <c r="B242" s="8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96">
        <f>IF(OR(C242="MAL ALIMI", C242="ÜRETİM GİRİŞ"), IF(J242 - MAX(0, $I$2 - (SUMIF($C$4:C241, "MAL ALIMI", $J$4:J241) + SUMIF($C$4:C241, "ÜRETİM GİRİŞ", $J$4:J241))) &gt; 0, J242 - MAX(0, $I$2 - (SUMIF($C$4:C241, "MAL ALIMI", $J$4:J241) + SUMIF($C$4:C241, "ÜRETİM GİRİŞ", $J$4:J241))), 0), 0)</f>
        <v>0</v>
      </c>
      <c r="U242" s="96">
        <f t="shared" si="9"/>
        <v>0</v>
      </c>
      <c r="V242" s="96">
        <f t="shared" si="10"/>
        <v>0</v>
      </c>
    </row>
    <row r="243" spans="2:22" x14ac:dyDescent="0.25">
      <c r="B243" s="8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96">
        <f>IF(OR(C243="MAL ALIMI", C243="ÜRETİM GİRİŞ"), IF(J243 - MAX(0, $I$2 - (SUMIF($C$4:C242, "MAL ALIMI", $J$4:J242) + SUMIF($C$4:C242, "ÜRETİM GİRİŞ", $J$4:J242))) &gt; 0, J243 - MAX(0, $I$2 - (SUMIF($C$4:C242, "MAL ALIMI", $J$4:J242) + SUMIF($C$4:C242, "ÜRETİM GİRİŞ", $J$4:J242))), 0), 0)</f>
        <v>0</v>
      </c>
      <c r="U243" s="96">
        <f t="shared" si="9"/>
        <v>0</v>
      </c>
      <c r="V243" s="96">
        <f t="shared" si="10"/>
        <v>0</v>
      </c>
    </row>
    <row r="244" spans="2:22" x14ac:dyDescent="0.25">
      <c r="B244" s="8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96">
        <f>IF(OR(C244="MAL ALIMI", C244="ÜRETİM GİRİŞ"), IF(J244 - MAX(0, $I$2 - (SUMIF($C$4:C243, "MAL ALIMI", $J$4:J243) + SUMIF($C$4:C243, "ÜRETİM GİRİŞ", $J$4:J243))) &gt; 0, J244 - MAX(0, $I$2 - (SUMIF($C$4:C243, "MAL ALIMI", $J$4:J243) + SUMIF($C$4:C243, "ÜRETİM GİRİŞ", $J$4:J243))), 0), 0)</f>
        <v>0</v>
      </c>
      <c r="U244" s="96">
        <f t="shared" si="9"/>
        <v>0</v>
      </c>
      <c r="V244" s="96">
        <f t="shared" si="10"/>
        <v>0</v>
      </c>
    </row>
    <row r="245" spans="2:22" x14ac:dyDescent="0.25">
      <c r="B245" s="8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96">
        <f>IF(OR(C245="MAL ALIMI", C245="ÜRETİM GİRİŞ"), IF(J245 - MAX(0, $I$2 - (SUMIF($C$4:C244, "MAL ALIMI", $J$4:J244) + SUMIF($C$4:C244, "ÜRETİM GİRİŞ", $J$4:J244))) &gt; 0, J245 - MAX(0, $I$2 - (SUMIF($C$4:C244, "MAL ALIMI", $J$4:J244) + SUMIF($C$4:C244, "ÜRETİM GİRİŞ", $J$4:J244))), 0), 0)</f>
        <v>0</v>
      </c>
      <c r="U245" s="96">
        <f t="shared" si="9"/>
        <v>0</v>
      </c>
      <c r="V245" s="96">
        <f t="shared" si="10"/>
        <v>0</v>
      </c>
    </row>
    <row r="246" spans="2:22" x14ac:dyDescent="0.25">
      <c r="B246" s="8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96">
        <f>IF(OR(C246="MAL ALIMI", C246="ÜRETİM GİRİŞ"), IF(J246 - MAX(0, $I$2 - (SUMIF($C$4:C245, "MAL ALIMI", $J$4:J245) + SUMIF($C$4:C245, "ÜRETİM GİRİŞ", $J$4:J245))) &gt; 0, J246 - MAX(0, $I$2 - (SUMIF($C$4:C245, "MAL ALIMI", $J$4:J245) + SUMIF($C$4:C245, "ÜRETİM GİRİŞ", $J$4:J245))), 0), 0)</f>
        <v>0</v>
      </c>
      <c r="U246" s="96">
        <f t="shared" si="9"/>
        <v>0</v>
      </c>
      <c r="V246" s="96">
        <f t="shared" si="10"/>
        <v>0</v>
      </c>
    </row>
    <row r="247" spans="2:22" x14ac:dyDescent="0.25">
      <c r="B247" s="8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96">
        <f>IF(OR(C247="MAL ALIMI", C247="ÜRETİM GİRİŞ"), IF(J247 - MAX(0, $I$2 - (SUMIF($C$4:C246, "MAL ALIMI", $J$4:J246) + SUMIF($C$4:C246, "ÜRETİM GİRİŞ", $J$4:J246))) &gt; 0, J247 - MAX(0, $I$2 - (SUMIF($C$4:C246, "MAL ALIMI", $J$4:J246) + SUMIF($C$4:C246, "ÜRETİM GİRİŞ", $J$4:J246))), 0), 0)</f>
        <v>0</v>
      </c>
      <c r="U247" s="96">
        <f t="shared" si="9"/>
        <v>0</v>
      </c>
      <c r="V247" s="96">
        <f t="shared" si="10"/>
        <v>0</v>
      </c>
    </row>
    <row r="248" spans="2:22" x14ac:dyDescent="0.25">
      <c r="B248" s="8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96">
        <f>IF(OR(C248="MAL ALIMI", C248="ÜRETİM GİRİŞ"), IF(J248 - MAX(0, $I$2 - (SUMIF($C$4:C247, "MAL ALIMI", $J$4:J247) + SUMIF($C$4:C247, "ÜRETİM GİRİŞ", $J$4:J247))) &gt; 0, J248 - MAX(0, $I$2 - (SUMIF($C$4:C247, "MAL ALIMI", $J$4:J247) + SUMIF($C$4:C247, "ÜRETİM GİRİŞ", $J$4:J247))), 0), 0)</f>
        <v>0</v>
      </c>
      <c r="U248" s="96">
        <f t="shared" si="9"/>
        <v>0</v>
      </c>
      <c r="V248" s="96">
        <f t="shared" si="10"/>
        <v>0</v>
      </c>
    </row>
    <row r="249" spans="2:22" x14ac:dyDescent="0.25">
      <c r="B249" s="8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96">
        <f>IF(OR(C249="MAL ALIMI", C249="ÜRETİM GİRİŞ"), IF(J249 - MAX(0, $I$2 - (SUMIF($C$4:C248, "MAL ALIMI", $J$4:J248) + SUMIF($C$4:C248, "ÜRETİM GİRİŞ", $J$4:J248))) &gt; 0, J249 - MAX(0, $I$2 - (SUMIF($C$4:C248, "MAL ALIMI", $J$4:J248) + SUMIF($C$4:C248, "ÜRETİM GİRİŞ", $J$4:J248))), 0), 0)</f>
        <v>0</v>
      </c>
      <c r="U249" s="96">
        <f t="shared" si="9"/>
        <v>0</v>
      </c>
      <c r="V249" s="96">
        <f t="shared" si="10"/>
        <v>0</v>
      </c>
    </row>
    <row r="250" spans="2:22" x14ac:dyDescent="0.25">
      <c r="B250" s="8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96">
        <f>IF(OR(C250="MAL ALIMI", C250="ÜRETİM GİRİŞ"), IF(J250 - MAX(0, $I$2 - (SUMIF($C$4:C249, "MAL ALIMI", $J$4:J249) + SUMIF($C$4:C249, "ÜRETİM GİRİŞ", $J$4:J249))) &gt; 0, J250 - MAX(0, $I$2 - (SUMIF($C$4:C249, "MAL ALIMI", $J$4:J249) + SUMIF($C$4:C249, "ÜRETİM GİRİŞ", $J$4:J249))), 0), 0)</f>
        <v>0</v>
      </c>
      <c r="U250" s="96">
        <f t="shared" si="9"/>
        <v>0</v>
      </c>
      <c r="V250" s="96">
        <f t="shared" si="10"/>
        <v>0</v>
      </c>
    </row>
    <row r="251" spans="2:22" x14ac:dyDescent="0.25">
      <c r="B251" s="8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96">
        <f>IF(OR(C251="MAL ALIMI", C251="ÜRETİM GİRİŞ"), IF(J251 - MAX(0, $I$2 - (SUMIF($C$4:C250, "MAL ALIMI", $J$4:J250) + SUMIF($C$4:C250, "ÜRETİM GİRİŞ", $J$4:J250))) &gt; 0, J251 - MAX(0, $I$2 - (SUMIF($C$4:C250, "MAL ALIMI", $J$4:J250) + SUMIF($C$4:C250, "ÜRETİM GİRİŞ", $J$4:J250))), 0), 0)</f>
        <v>0</v>
      </c>
      <c r="U251" s="96">
        <f t="shared" si="9"/>
        <v>0</v>
      </c>
      <c r="V251" s="96">
        <f t="shared" si="10"/>
        <v>0</v>
      </c>
    </row>
    <row r="252" spans="2:22" x14ac:dyDescent="0.25">
      <c r="B252" s="8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96">
        <f>IF(OR(C252="MAL ALIMI", C252="ÜRETİM GİRİŞ"), IF(J252 - MAX(0, $I$2 - (SUMIF($C$4:C251, "MAL ALIMI", $J$4:J251) + SUMIF($C$4:C251, "ÜRETİM GİRİŞ", $J$4:J251))) &gt; 0, J252 - MAX(0, $I$2 - (SUMIF($C$4:C251, "MAL ALIMI", $J$4:J251) + SUMIF($C$4:C251, "ÜRETİM GİRİŞ", $J$4:J251))), 0), 0)</f>
        <v>0</v>
      </c>
      <c r="U252" s="96">
        <f t="shared" si="9"/>
        <v>0</v>
      </c>
      <c r="V252" s="96">
        <f t="shared" si="10"/>
        <v>0</v>
      </c>
    </row>
    <row r="253" spans="2:22" x14ac:dyDescent="0.25">
      <c r="B253" s="8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96">
        <f>IF(OR(C253="MAL ALIMI", C253="ÜRETİM GİRİŞ"), IF(J253 - MAX(0, $I$2 - (SUMIF($C$4:C252, "MAL ALIMI", $J$4:J252) + SUMIF($C$4:C252, "ÜRETİM GİRİŞ", $J$4:J252))) &gt; 0, J253 - MAX(0, $I$2 - (SUMIF($C$4:C252, "MAL ALIMI", $J$4:J252) + SUMIF($C$4:C252, "ÜRETİM GİRİŞ", $J$4:J252))), 0), 0)</f>
        <v>0</v>
      </c>
      <c r="U253" s="96">
        <f t="shared" si="9"/>
        <v>0</v>
      </c>
      <c r="V253" s="96">
        <f t="shared" si="10"/>
        <v>0</v>
      </c>
    </row>
    <row r="254" spans="2:22" x14ac:dyDescent="0.25">
      <c r="B254" s="8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96">
        <f>IF(OR(C254="MAL ALIMI", C254="ÜRETİM GİRİŞ"), IF(J254 - MAX(0, $I$2 - (SUMIF($C$4:C253, "MAL ALIMI", $J$4:J253) + SUMIF($C$4:C253, "ÜRETİM GİRİŞ", $J$4:J253))) &gt; 0, J254 - MAX(0, $I$2 - (SUMIF($C$4:C253, "MAL ALIMI", $J$4:J253) + SUMIF($C$4:C253, "ÜRETİM GİRİŞ", $J$4:J253))), 0), 0)</f>
        <v>0</v>
      </c>
      <c r="U254" s="96">
        <f t="shared" si="9"/>
        <v>0</v>
      </c>
      <c r="V254" s="96">
        <f t="shared" si="10"/>
        <v>0</v>
      </c>
    </row>
    <row r="255" spans="2:22" x14ac:dyDescent="0.25">
      <c r="B255" s="8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96">
        <f>IF(OR(C255="MAL ALIMI", C255="ÜRETİM GİRİŞ"), IF(J255 - MAX(0, $I$2 - (SUMIF($C$4:C254, "MAL ALIMI", $J$4:J254) + SUMIF($C$4:C254, "ÜRETİM GİRİŞ", $J$4:J254))) &gt; 0, J255 - MAX(0, $I$2 - (SUMIF($C$4:C254, "MAL ALIMI", $J$4:J254) + SUMIF($C$4:C254, "ÜRETİM GİRİŞ", $J$4:J254))), 0), 0)</f>
        <v>0</v>
      </c>
      <c r="U255" s="96">
        <f t="shared" si="9"/>
        <v>0</v>
      </c>
      <c r="V255" s="96">
        <f t="shared" si="10"/>
        <v>0</v>
      </c>
    </row>
    <row r="256" spans="2:22" x14ac:dyDescent="0.25">
      <c r="B256" s="8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96">
        <f>IF(OR(C256="MAL ALIMI", C256="ÜRETİM GİRİŞ"), IF(J256 - MAX(0, $I$2 - (SUMIF($C$4:C255, "MAL ALIMI", $J$4:J255) + SUMIF($C$4:C255, "ÜRETİM GİRİŞ", $J$4:J255))) &gt; 0, J256 - MAX(0, $I$2 - (SUMIF($C$4:C255, "MAL ALIMI", $J$4:J255) + SUMIF($C$4:C255, "ÜRETİM GİRİŞ", $J$4:J255))), 0), 0)</f>
        <v>0</v>
      </c>
      <c r="U256" s="96">
        <f t="shared" si="9"/>
        <v>0</v>
      </c>
      <c r="V256" s="96">
        <f t="shared" si="10"/>
        <v>0</v>
      </c>
    </row>
    <row r="257" spans="2:22" x14ac:dyDescent="0.25">
      <c r="B257" s="8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96">
        <f>IF(OR(C257="MAL ALIMI", C257="ÜRETİM GİRİŞ"), IF(J257 - MAX(0, $I$2 - (SUMIF($C$4:C256, "MAL ALIMI", $J$4:J256) + SUMIF($C$4:C256, "ÜRETİM GİRİŞ", $J$4:J256))) &gt; 0, J257 - MAX(0, $I$2 - (SUMIF($C$4:C256, "MAL ALIMI", $J$4:J256) + SUMIF($C$4:C256, "ÜRETİM GİRİŞ", $J$4:J256))), 0), 0)</f>
        <v>0</v>
      </c>
      <c r="U257" s="96">
        <f t="shared" si="9"/>
        <v>0</v>
      </c>
      <c r="V257" s="96">
        <f t="shared" si="10"/>
        <v>0</v>
      </c>
    </row>
    <row r="258" spans="2:22" x14ac:dyDescent="0.25">
      <c r="B258" s="8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96">
        <f>IF(OR(C258="MAL ALIMI", C258="ÜRETİM GİRİŞ"), IF(J258 - MAX(0, $I$2 - (SUMIF($C$4:C257, "MAL ALIMI", $J$4:J257) + SUMIF($C$4:C257, "ÜRETİM GİRİŞ", $J$4:J257))) &gt; 0, J258 - MAX(0, $I$2 - (SUMIF($C$4:C257, "MAL ALIMI", $J$4:J257) + SUMIF($C$4:C257, "ÜRETİM GİRİŞ", $J$4:J257))), 0), 0)</f>
        <v>0</v>
      </c>
      <c r="U258" s="96">
        <f t="shared" si="9"/>
        <v>0</v>
      </c>
      <c r="V258" s="96">
        <f t="shared" si="10"/>
        <v>0</v>
      </c>
    </row>
    <row r="259" spans="2:22" x14ac:dyDescent="0.25">
      <c r="B259" s="8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96">
        <f>IF(OR(C259="MAL ALIMI", C259="ÜRETİM GİRİŞ"), IF(J259 - MAX(0, $I$2 - (SUMIF($C$4:C258, "MAL ALIMI", $J$4:J258) + SUMIF($C$4:C258, "ÜRETİM GİRİŞ", $J$4:J258))) &gt; 0, J259 - MAX(0, $I$2 - (SUMIF($C$4:C258, "MAL ALIMI", $J$4:J258) + SUMIF($C$4:C258, "ÜRETİM GİRİŞ", $J$4:J258))), 0), 0)</f>
        <v>0</v>
      </c>
      <c r="U259" s="96">
        <f t="shared" si="9"/>
        <v>0</v>
      </c>
      <c r="V259" s="96">
        <f t="shared" si="10"/>
        <v>0</v>
      </c>
    </row>
    <row r="260" spans="2:22" x14ac:dyDescent="0.25">
      <c r="B260" s="8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96">
        <f>IF(OR(C260="MAL ALIMI", C260="ÜRETİM GİRİŞ"), IF(J260 - MAX(0, $I$2 - (SUMIF($C$4:C259, "MAL ALIMI", $J$4:J259) + SUMIF($C$4:C259, "ÜRETİM GİRİŞ", $J$4:J259))) &gt; 0, J260 - MAX(0, $I$2 - (SUMIF($C$4:C259, "MAL ALIMI", $J$4:J259) + SUMIF($C$4:C259, "ÜRETİM GİRİŞ", $J$4:J259))), 0), 0)</f>
        <v>0</v>
      </c>
      <c r="U260" s="96">
        <f t="shared" si="9"/>
        <v>0</v>
      </c>
      <c r="V260" s="96">
        <f t="shared" si="10"/>
        <v>0</v>
      </c>
    </row>
    <row r="261" spans="2:22" x14ac:dyDescent="0.25">
      <c r="B261" s="8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96">
        <f>IF(OR(C261="MAL ALIMI", C261="ÜRETİM GİRİŞ"), IF(J261 - MAX(0, $I$2 - (SUMIF($C$4:C260, "MAL ALIMI", $J$4:J260) + SUMIF($C$4:C260, "ÜRETİM GİRİŞ", $J$4:J260))) &gt; 0, J261 - MAX(0, $I$2 - (SUMIF($C$4:C260, "MAL ALIMI", $J$4:J260) + SUMIF($C$4:C260, "ÜRETİM GİRİŞ", $J$4:J260))), 0), 0)</f>
        <v>0</v>
      </c>
      <c r="U261" s="96">
        <f t="shared" si="9"/>
        <v>0</v>
      </c>
      <c r="V261" s="96">
        <f t="shared" si="10"/>
        <v>0</v>
      </c>
    </row>
    <row r="262" spans="2:22" x14ac:dyDescent="0.25">
      <c r="B262" s="8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96">
        <f>IF(OR(C262="MAL ALIMI", C262="ÜRETİM GİRİŞ"), IF(J262 - MAX(0, $I$2 - (SUMIF($C$4:C261, "MAL ALIMI", $J$4:J261) + SUMIF($C$4:C261, "ÜRETİM GİRİŞ", $J$4:J261))) &gt; 0, J262 - MAX(0, $I$2 - (SUMIF($C$4:C261, "MAL ALIMI", $J$4:J261) + SUMIF($C$4:C261, "ÜRETİM GİRİŞ", $J$4:J261))), 0), 0)</f>
        <v>0</v>
      </c>
      <c r="U262" s="96">
        <f t="shared" ref="U262:U325" si="11">T262*K262</f>
        <v>0</v>
      </c>
      <c r="V262" s="96">
        <f t="shared" ref="V262:V325" si="12">IF(OR(C262="MAL ALIMI", C262="ÜRETİM GİRİŞ"), J262 * K262, 0)</f>
        <v>0</v>
      </c>
    </row>
    <row r="263" spans="2:22" x14ac:dyDescent="0.25">
      <c r="B263" s="8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96">
        <f>IF(OR(C263="MAL ALIMI", C263="ÜRETİM GİRİŞ"), IF(J263 - MAX(0, $I$2 - (SUMIF($C$4:C262, "MAL ALIMI", $J$4:J262) + SUMIF($C$4:C262, "ÜRETİM GİRİŞ", $J$4:J262))) &gt; 0, J263 - MAX(0, $I$2 - (SUMIF($C$4:C262, "MAL ALIMI", $J$4:J262) + SUMIF($C$4:C262, "ÜRETİM GİRİŞ", $J$4:J262))), 0), 0)</f>
        <v>0</v>
      </c>
      <c r="U263" s="96">
        <f t="shared" si="11"/>
        <v>0</v>
      </c>
      <c r="V263" s="96">
        <f t="shared" si="12"/>
        <v>0</v>
      </c>
    </row>
    <row r="264" spans="2:22" x14ac:dyDescent="0.25">
      <c r="B264" s="8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96">
        <f>IF(OR(C264="MAL ALIMI", C264="ÜRETİM GİRİŞ"), IF(J264 - MAX(0, $I$2 - (SUMIF($C$4:C263, "MAL ALIMI", $J$4:J263) + SUMIF($C$4:C263, "ÜRETİM GİRİŞ", $J$4:J263))) &gt; 0, J264 - MAX(0, $I$2 - (SUMIF($C$4:C263, "MAL ALIMI", $J$4:J263) + SUMIF($C$4:C263, "ÜRETİM GİRİŞ", $J$4:J263))), 0), 0)</f>
        <v>0</v>
      </c>
      <c r="U264" s="96">
        <f t="shared" si="11"/>
        <v>0</v>
      </c>
      <c r="V264" s="96">
        <f t="shared" si="12"/>
        <v>0</v>
      </c>
    </row>
    <row r="265" spans="2:22" x14ac:dyDescent="0.25">
      <c r="B265" s="8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96">
        <f>IF(OR(C265="MAL ALIMI", C265="ÜRETİM GİRİŞ"), IF(J265 - MAX(0, $I$2 - (SUMIF($C$4:C264, "MAL ALIMI", $J$4:J264) + SUMIF($C$4:C264, "ÜRETİM GİRİŞ", $J$4:J264))) &gt; 0, J265 - MAX(0, $I$2 - (SUMIF($C$4:C264, "MAL ALIMI", $J$4:J264) + SUMIF($C$4:C264, "ÜRETİM GİRİŞ", $J$4:J264))), 0), 0)</f>
        <v>0</v>
      </c>
      <c r="U265" s="96">
        <f t="shared" si="11"/>
        <v>0</v>
      </c>
      <c r="V265" s="96">
        <f t="shared" si="12"/>
        <v>0</v>
      </c>
    </row>
    <row r="266" spans="2:22" x14ac:dyDescent="0.25">
      <c r="B266" s="8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96">
        <f>IF(OR(C266="MAL ALIMI", C266="ÜRETİM GİRİŞ"), IF(J266 - MAX(0, $I$2 - (SUMIF($C$4:C265, "MAL ALIMI", $J$4:J265) + SUMIF($C$4:C265, "ÜRETİM GİRİŞ", $J$4:J265))) &gt; 0, J266 - MAX(0, $I$2 - (SUMIF($C$4:C265, "MAL ALIMI", $J$4:J265) + SUMIF($C$4:C265, "ÜRETİM GİRİŞ", $J$4:J265))), 0), 0)</f>
        <v>0</v>
      </c>
      <c r="U266" s="96">
        <f t="shared" si="11"/>
        <v>0</v>
      </c>
      <c r="V266" s="96">
        <f t="shared" si="12"/>
        <v>0</v>
      </c>
    </row>
    <row r="267" spans="2:22" x14ac:dyDescent="0.25">
      <c r="B267" s="8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96">
        <f>IF(OR(C267="MAL ALIMI", C267="ÜRETİM GİRİŞ"), IF(J267 - MAX(0, $I$2 - (SUMIF($C$4:C266, "MAL ALIMI", $J$4:J266) + SUMIF($C$4:C266, "ÜRETİM GİRİŞ", $J$4:J266))) &gt; 0, J267 - MAX(0, $I$2 - (SUMIF($C$4:C266, "MAL ALIMI", $J$4:J266) + SUMIF($C$4:C266, "ÜRETİM GİRİŞ", $J$4:J266))), 0), 0)</f>
        <v>0</v>
      </c>
      <c r="U267" s="96">
        <f t="shared" si="11"/>
        <v>0</v>
      </c>
      <c r="V267" s="96">
        <f t="shared" si="12"/>
        <v>0</v>
      </c>
    </row>
    <row r="268" spans="2:22" x14ac:dyDescent="0.25">
      <c r="B268" s="8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96">
        <f>IF(OR(C268="MAL ALIMI", C268="ÜRETİM GİRİŞ"), IF(J268 - MAX(0, $I$2 - (SUMIF($C$4:C267, "MAL ALIMI", $J$4:J267) + SUMIF($C$4:C267, "ÜRETİM GİRİŞ", $J$4:J267))) &gt; 0, J268 - MAX(0, $I$2 - (SUMIF($C$4:C267, "MAL ALIMI", $J$4:J267) + SUMIF($C$4:C267, "ÜRETİM GİRİŞ", $J$4:J267))), 0), 0)</f>
        <v>0</v>
      </c>
      <c r="U268" s="96">
        <f t="shared" si="11"/>
        <v>0</v>
      </c>
      <c r="V268" s="96">
        <f t="shared" si="12"/>
        <v>0</v>
      </c>
    </row>
    <row r="269" spans="2:22" x14ac:dyDescent="0.25">
      <c r="B269" s="87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96">
        <f>IF(OR(C269="MAL ALIMI", C269="ÜRETİM GİRİŞ"), IF(J269 - MAX(0, $I$2 - (SUMIF($C$4:C268, "MAL ALIMI", $J$4:J268) + SUMIF($C$4:C268, "ÜRETİM GİRİŞ", $J$4:J268))) &gt; 0, J269 - MAX(0, $I$2 - (SUMIF($C$4:C268, "MAL ALIMI", $J$4:J268) + SUMIF($C$4:C268, "ÜRETİM GİRİŞ", $J$4:J268))), 0), 0)</f>
        <v>0</v>
      </c>
      <c r="U269" s="96">
        <f t="shared" si="11"/>
        <v>0</v>
      </c>
      <c r="V269" s="96">
        <f t="shared" si="12"/>
        <v>0</v>
      </c>
    </row>
    <row r="270" spans="2:22" x14ac:dyDescent="0.25">
      <c r="B270" s="87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96">
        <f>IF(OR(C270="MAL ALIMI", C270="ÜRETİM GİRİŞ"), IF(J270 - MAX(0, $I$2 - (SUMIF($C$4:C269, "MAL ALIMI", $J$4:J269) + SUMIF($C$4:C269, "ÜRETİM GİRİŞ", $J$4:J269))) &gt; 0, J270 - MAX(0, $I$2 - (SUMIF($C$4:C269, "MAL ALIMI", $J$4:J269) + SUMIF($C$4:C269, "ÜRETİM GİRİŞ", $J$4:J269))), 0), 0)</f>
        <v>0</v>
      </c>
      <c r="U270" s="96">
        <f t="shared" si="11"/>
        <v>0</v>
      </c>
      <c r="V270" s="96">
        <f t="shared" si="12"/>
        <v>0</v>
      </c>
    </row>
    <row r="271" spans="2:22" x14ac:dyDescent="0.25">
      <c r="B271" s="8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96">
        <f>IF(OR(C271="MAL ALIMI", C271="ÜRETİM GİRİŞ"), IF(J271 - MAX(0, $I$2 - (SUMIF($C$4:C270, "MAL ALIMI", $J$4:J270) + SUMIF($C$4:C270, "ÜRETİM GİRİŞ", $J$4:J270))) &gt; 0, J271 - MAX(0, $I$2 - (SUMIF($C$4:C270, "MAL ALIMI", $J$4:J270) + SUMIF($C$4:C270, "ÜRETİM GİRİŞ", $J$4:J270))), 0), 0)</f>
        <v>0</v>
      </c>
      <c r="U271" s="96">
        <f t="shared" si="11"/>
        <v>0</v>
      </c>
      <c r="V271" s="96">
        <f t="shared" si="12"/>
        <v>0</v>
      </c>
    </row>
    <row r="272" spans="2:22" x14ac:dyDescent="0.25">
      <c r="B272" s="87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96">
        <f>IF(OR(C272="MAL ALIMI", C272="ÜRETİM GİRİŞ"), IF(J272 - MAX(0, $I$2 - (SUMIF($C$4:C271, "MAL ALIMI", $J$4:J271) + SUMIF($C$4:C271, "ÜRETİM GİRİŞ", $J$4:J271))) &gt; 0, J272 - MAX(0, $I$2 - (SUMIF($C$4:C271, "MAL ALIMI", $J$4:J271) + SUMIF($C$4:C271, "ÜRETİM GİRİŞ", $J$4:J271))), 0), 0)</f>
        <v>0</v>
      </c>
      <c r="U272" s="96">
        <f t="shared" si="11"/>
        <v>0</v>
      </c>
      <c r="V272" s="96">
        <f t="shared" si="12"/>
        <v>0</v>
      </c>
    </row>
    <row r="273" spans="2:22" x14ac:dyDescent="0.25">
      <c r="B273" s="87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96">
        <f>IF(OR(C273="MAL ALIMI", C273="ÜRETİM GİRİŞ"), IF(J273 - MAX(0, $I$2 - (SUMIF($C$4:C272, "MAL ALIMI", $J$4:J272) + SUMIF($C$4:C272, "ÜRETİM GİRİŞ", $J$4:J272))) &gt; 0, J273 - MAX(0, $I$2 - (SUMIF($C$4:C272, "MAL ALIMI", $J$4:J272) + SUMIF($C$4:C272, "ÜRETİM GİRİŞ", $J$4:J272))), 0), 0)</f>
        <v>0</v>
      </c>
      <c r="U273" s="96">
        <f t="shared" si="11"/>
        <v>0</v>
      </c>
      <c r="V273" s="96">
        <f t="shared" si="12"/>
        <v>0</v>
      </c>
    </row>
    <row r="274" spans="2:22" x14ac:dyDescent="0.25">
      <c r="B274" s="87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96">
        <f>IF(OR(C274="MAL ALIMI", C274="ÜRETİM GİRİŞ"), IF(J274 - MAX(0, $I$2 - (SUMIF($C$4:C273, "MAL ALIMI", $J$4:J273) + SUMIF($C$4:C273, "ÜRETİM GİRİŞ", $J$4:J273))) &gt; 0, J274 - MAX(0, $I$2 - (SUMIF($C$4:C273, "MAL ALIMI", $J$4:J273) + SUMIF($C$4:C273, "ÜRETİM GİRİŞ", $J$4:J273))), 0), 0)</f>
        <v>0</v>
      </c>
      <c r="U274" s="96">
        <f t="shared" si="11"/>
        <v>0</v>
      </c>
      <c r="V274" s="96">
        <f t="shared" si="12"/>
        <v>0</v>
      </c>
    </row>
    <row r="275" spans="2:22" x14ac:dyDescent="0.25">
      <c r="B275" s="87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96">
        <f>IF(OR(C275="MAL ALIMI", C275="ÜRETİM GİRİŞ"), IF(J275 - MAX(0, $I$2 - (SUMIF($C$4:C274, "MAL ALIMI", $J$4:J274) + SUMIF($C$4:C274, "ÜRETİM GİRİŞ", $J$4:J274))) &gt; 0, J275 - MAX(0, $I$2 - (SUMIF($C$4:C274, "MAL ALIMI", $J$4:J274) + SUMIF($C$4:C274, "ÜRETİM GİRİŞ", $J$4:J274))), 0), 0)</f>
        <v>0</v>
      </c>
      <c r="U275" s="96">
        <f t="shared" si="11"/>
        <v>0</v>
      </c>
      <c r="V275" s="96">
        <f t="shared" si="12"/>
        <v>0</v>
      </c>
    </row>
    <row r="276" spans="2:22" x14ac:dyDescent="0.25">
      <c r="B276" s="87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96">
        <f>IF(OR(C276="MAL ALIMI", C276="ÜRETİM GİRİŞ"), IF(J276 - MAX(0, $I$2 - (SUMIF($C$4:C275, "MAL ALIMI", $J$4:J275) + SUMIF($C$4:C275, "ÜRETİM GİRİŞ", $J$4:J275))) &gt; 0, J276 - MAX(0, $I$2 - (SUMIF($C$4:C275, "MAL ALIMI", $J$4:J275) + SUMIF($C$4:C275, "ÜRETİM GİRİŞ", $J$4:J275))), 0), 0)</f>
        <v>0</v>
      </c>
      <c r="U276" s="96">
        <f t="shared" si="11"/>
        <v>0</v>
      </c>
      <c r="V276" s="96">
        <f t="shared" si="12"/>
        <v>0</v>
      </c>
    </row>
    <row r="277" spans="2:22" x14ac:dyDescent="0.25">
      <c r="B277" s="87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96">
        <f>IF(OR(C277="MAL ALIMI", C277="ÜRETİM GİRİŞ"), IF(J277 - MAX(0, $I$2 - (SUMIF($C$4:C276, "MAL ALIMI", $J$4:J276) + SUMIF($C$4:C276, "ÜRETİM GİRİŞ", $J$4:J276))) &gt; 0, J277 - MAX(0, $I$2 - (SUMIF($C$4:C276, "MAL ALIMI", $J$4:J276) + SUMIF($C$4:C276, "ÜRETİM GİRİŞ", $J$4:J276))), 0), 0)</f>
        <v>0</v>
      </c>
      <c r="U277" s="96">
        <f t="shared" si="11"/>
        <v>0</v>
      </c>
      <c r="V277" s="96">
        <f t="shared" si="12"/>
        <v>0</v>
      </c>
    </row>
    <row r="278" spans="2:22" x14ac:dyDescent="0.25">
      <c r="B278" s="87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96">
        <f>IF(OR(C278="MAL ALIMI", C278="ÜRETİM GİRİŞ"), IF(J278 - MAX(0, $I$2 - (SUMIF($C$4:C277, "MAL ALIMI", $J$4:J277) + SUMIF($C$4:C277, "ÜRETİM GİRİŞ", $J$4:J277))) &gt; 0, J278 - MAX(0, $I$2 - (SUMIF($C$4:C277, "MAL ALIMI", $J$4:J277) + SUMIF($C$4:C277, "ÜRETİM GİRİŞ", $J$4:J277))), 0), 0)</f>
        <v>0</v>
      </c>
      <c r="U278" s="96">
        <f t="shared" si="11"/>
        <v>0</v>
      </c>
      <c r="V278" s="96">
        <f t="shared" si="12"/>
        <v>0</v>
      </c>
    </row>
    <row r="279" spans="2:22" x14ac:dyDescent="0.25">
      <c r="B279" s="87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96">
        <f>IF(OR(C279="MAL ALIMI", C279="ÜRETİM GİRİŞ"), IF(J279 - MAX(0, $I$2 - (SUMIF($C$4:C278, "MAL ALIMI", $J$4:J278) + SUMIF($C$4:C278, "ÜRETİM GİRİŞ", $J$4:J278))) &gt; 0, J279 - MAX(0, $I$2 - (SUMIF($C$4:C278, "MAL ALIMI", $J$4:J278) + SUMIF($C$4:C278, "ÜRETİM GİRİŞ", $J$4:J278))), 0), 0)</f>
        <v>0</v>
      </c>
      <c r="U279" s="96">
        <f t="shared" si="11"/>
        <v>0</v>
      </c>
      <c r="V279" s="96">
        <f t="shared" si="12"/>
        <v>0</v>
      </c>
    </row>
    <row r="280" spans="2:22" x14ac:dyDescent="0.25">
      <c r="B280" s="87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96">
        <f>IF(OR(C280="MAL ALIMI", C280="ÜRETİM GİRİŞ"), IF(J280 - MAX(0, $I$2 - (SUMIF($C$4:C279, "MAL ALIMI", $J$4:J279) + SUMIF($C$4:C279, "ÜRETİM GİRİŞ", $J$4:J279))) &gt; 0, J280 - MAX(0, $I$2 - (SUMIF($C$4:C279, "MAL ALIMI", $J$4:J279) + SUMIF($C$4:C279, "ÜRETİM GİRİŞ", $J$4:J279))), 0), 0)</f>
        <v>0</v>
      </c>
      <c r="U280" s="96">
        <f t="shared" si="11"/>
        <v>0</v>
      </c>
      <c r="V280" s="96">
        <f t="shared" si="12"/>
        <v>0</v>
      </c>
    </row>
    <row r="281" spans="2:22" x14ac:dyDescent="0.25">
      <c r="B281" s="87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96">
        <f>IF(OR(C281="MAL ALIMI", C281="ÜRETİM GİRİŞ"), IF(J281 - MAX(0, $I$2 - (SUMIF($C$4:C280, "MAL ALIMI", $J$4:J280) + SUMIF($C$4:C280, "ÜRETİM GİRİŞ", $J$4:J280))) &gt; 0, J281 - MAX(0, $I$2 - (SUMIF($C$4:C280, "MAL ALIMI", $J$4:J280) + SUMIF($C$4:C280, "ÜRETİM GİRİŞ", $J$4:J280))), 0), 0)</f>
        <v>0</v>
      </c>
      <c r="U281" s="96">
        <f t="shared" si="11"/>
        <v>0</v>
      </c>
      <c r="V281" s="96">
        <f t="shared" si="12"/>
        <v>0</v>
      </c>
    </row>
    <row r="282" spans="2:22" x14ac:dyDescent="0.25">
      <c r="B282" s="87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96">
        <f>IF(OR(C282="MAL ALIMI", C282="ÜRETİM GİRİŞ"), IF(J282 - MAX(0, $I$2 - (SUMIF($C$4:C281, "MAL ALIMI", $J$4:J281) + SUMIF($C$4:C281, "ÜRETİM GİRİŞ", $J$4:J281))) &gt; 0, J282 - MAX(0, $I$2 - (SUMIF($C$4:C281, "MAL ALIMI", $J$4:J281) + SUMIF($C$4:C281, "ÜRETİM GİRİŞ", $J$4:J281))), 0), 0)</f>
        <v>0</v>
      </c>
      <c r="U282" s="96">
        <f t="shared" si="11"/>
        <v>0</v>
      </c>
      <c r="V282" s="96">
        <f t="shared" si="12"/>
        <v>0</v>
      </c>
    </row>
    <row r="283" spans="2:22" x14ac:dyDescent="0.25">
      <c r="B283" s="8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96">
        <f>IF(OR(C283="MAL ALIMI", C283="ÜRETİM GİRİŞ"), IF(J283 - MAX(0, $I$2 - (SUMIF($C$4:C282, "MAL ALIMI", $J$4:J282) + SUMIF($C$4:C282, "ÜRETİM GİRİŞ", $J$4:J282))) &gt; 0, J283 - MAX(0, $I$2 - (SUMIF($C$4:C282, "MAL ALIMI", $J$4:J282) + SUMIF($C$4:C282, "ÜRETİM GİRİŞ", $J$4:J282))), 0), 0)</f>
        <v>0</v>
      </c>
      <c r="U283" s="96">
        <f t="shared" si="11"/>
        <v>0</v>
      </c>
      <c r="V283" s="96">
        <f t="shared" si="12"/>
        <v>0</v>
      </c>
    </row>
    <row r="284" spans="2:22" x14ac:dyDescent="0.25">
      <c r="B284" s="87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96">
        <f>IF(OR(C284="MAL ALIMI", C284="ÜRETİM GİRİŞ"), IF(J284 - MAX(0, $I$2 - (SUMIF($C$4:C283, "MAL ALIMI", $J$4:J283) + SUMIF($C$4:C283, "ÜRETİM GİRİŞ", $J$4:J283))) &gt; 0, J284 - MAX(0, $I$2 - (SUMIF($C$4:C283, "MAL ALIMI", $J$4:J283) + SUMIF($C$4:C283, "ÜRETİM GİRİŞ", $J$4:J283))), 0), 0)</f>
        <v>0</v>
      </c>
      <c r="U284" s="96">
        <f t="shared" si="11"/>
        <v>0</v>
      </c>
      <c r="V284" s="96">
        <f t="shared" si="12"/>
        <v>0</v>
      </c>
    </row>
    <row r="285" spans="2:22" x14ac:dyDescent="0.25">
      <c r="B285" s="87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96">
        <f>IF(OR(C285="MAL ALIMI", C285="ÜRETİM GİRİŞ"), IF(J285 - MAX(0, $I$2 - (SUMIF($C$4:C284, "MAL ALIMI", $J$4:J284) + SUMIF($C$4:C284, "ÜRETİM GİRİŞ", $J$4:J284))) &gt; 0, J285 - MAX(0, $I$2 - (SUMIF($C$4:C284, "MAL ALIMI", $J$4:J284) + SUMIF($C$4:C284, "ÜRETİM GİRİŞ", $J$4:J284))), 0), 0)</f>
        <v>0</v>
      </c>
      <c r="U285" s="96">
        <f t="shared" si="11"/>
        <v>0</v>
      </c>
      <c r="V285" s="96">
        <f t="shared" si="12"/>
        <v>0</v>
      </c>
    </row>
    <row r="286" spans="2:22" x14ac:dyDescent="0.25">
      <c r="B286" s="87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96">
        <f>IF(OR(C286="MAL ALIMI", C286="ÜRETİM GİRİŞ"), IF(J286 - MAX(0, $I$2 - (SUMIF($C$4:C285, "MAL ALIMI", $J$4:J285) + SUMIF($C$4:C285, "ÜRETİM GİRİŞ", $J$4:J285))) &gt; 0, J286 - MAX(0, $I$2 - (SUMIF($C$4:C285, "MAL ALIMI", $J$4:J285) + SUMIF($C$4:C285, "ÜRETİM GİRİŞ", $J$4:J285))), 0), 0)</f>
        <v>0</v>
      </c>
      <c r="U286" s="96">
        <f t="shared" si="11"/>
        <v>0</v>
      </c>
      <c r="V286" s="96">
        <f t="shared" si="12"/>
        <v>0</v>
      </c>
    </row>
    <row r="287" spans="2:22" x14ac:dyDescent="0.25">
      <c r="B287" s="87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96">
        <f>IF(OR(C287="MAL ALIMI", C287="ÜRETİM GİRİŞ"), IF(J287 - MAX(0, $I$2 - (SUMIF($C$4:C286, "MAL ALIMI", $J$4:J286) + SUMIF($C$4:C286, "ÜRETİM GİRİŞ", $J$4:J286))) &gt; 0, J287 - MAX(0, $I$2 - (SUMIF($C$4:C286, "MAL ALIMI", $J$4:J286) + SUMIF($C$4:C286, "ÜRETİM GİRİŞ", $J$4:J286))), 0), 0)</f>
        <v>0</v>
      </c>
      <c r="U287" s="96">
        <f t="shared" si="11"/>
        <v>0</v>
      </c>
      <c r="V287" s="96">
        <f t="shared" si="12"/>
        <v>0</v>
      </c>
    </row>
    <row r="288" spans="2:22" x14ac:dyDescent="0.25">
      <c r="B288" s="87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96">
        <f>IF(OR(C288="MAL ALIMI", C288="ÜRETİM GİRİŞ"), IF(J288 - MAX(0, $I$2 - (SUMIF($C$4:C287, "MAL ALIMI", $J$4:J287) + SUMIF($C$4:C287, "ÜRETİM GİRİŞ", $J$4:J287))) &gt; 0, J288 - MAX(0, $I$2 - (SUMIF($C$4:C287, "MAL ALIMI", $J$4:J287) + SUMIF($C$4:C287, "ÜRETİM GİRİŞ", $J$4:J287))), 0), 0)</f>
        <v>0</v>
      </c>
      <c r="U288" s="96">
        <f t="shared" si="11"/>
        <v>0</v>
      </c>
      <c r="V288" s="96">
        <f t="shared" si="12"/>
        <v>0</v>
      </c>
    </row>
    <row r="289" spans="2:22" x14ac:dyDescent="0.25">
      <c r="B289" s="87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96">
        <f>IF(OR(C289="MAL ALIMI", C289="ÜRETİM GİRİŞ"), IF(J289 - MAX(0, $I$2 - (SUMIF($C$4:C288, "MAL ALIMI", $J$4:J288) + SUMIF($C$4:C288, "ÜRETİM GİRİŞ", $J$4:J288))) &gt; 0, J289 - MAX(0, $I$2 - (SUMIF($C$4:C288, "MAL ALIMI", $J$4:J288) + SUMIF($C$4:C288, "ÜRETİM GİRİŞ", $J$4:J288))), 0), 0)</f>
        <v>0</v>
      </c>
      <c r="U289" s="96">
        <f t="shared" si="11"/>
        <v>0</v>
      </c>
      <c r="V289" s="96">
        <f t="shared" si="12"/>
        <v>0</v>
      </c>
    </row>
    <row r="290" spans="2:22" x14ac:dyDescent="0.25">
      <c r="B290" s="87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96">
        <f>IF(OR(C290="MAL ALIMI", C290="ÜRETİM GİRİŞ"), IF(J290 - MAX(0, $I$2 - (SUMIF($C$4:C289, "MAL ALIMI", $J$4:J289) + SUMIF($C$4:C289, "ÜRETİM GİRİŞ", $J$4:J289))) &gt; 0, J290 - MAX(0, $I$2 - (SUMIF($C$4:C289, "MAL ALIMI", $J$4:J289) + SUMIF($C$4:C289, "ÜRETİM GİRİŞ", $J$4:J289))), 0), 0)</f>
        <v>0</v>
      </c>
      <c r="U290" s="96">
        <f t="shared" si="11"/>
        <v>0</v>
      </c>
      <c r="V290" s="96">
        <f t="shared" si="12"/>
        <v>0</v>
      </c>
    </row>
    <row r="291" spans="2:22" x14ac:dyDescent="0.25">
      <c r="B291" s="87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96">
        <f>IF(OR(C291="MAL ALIMI", C291="ÜRETİM GİRİŞ"), IF(J291 - MAX(0, $I$2 - (SUMIF($C$4:C290, "MAL ALIMI", $J$4:J290) + SUMIF($C$4:C290, "ÜRETİM GİRİŞ", $J$4:J290))) &gt; 0, J291 - MAX(0, $I$2 - (SUMIF($C$4:C290, "MAL ALIMI", $J$4:J290) + SUMIF($C$4:C290, "ÜRETİM GİRİŞ", $J$4:J290))), 0), 0)</f>
        <v>0</v>
      </c>
      <c r="U291" s="96">
        <f t="shared" si="11"/>
        <v>0</v>
      </c>
      <c r="V291" s="96">
        <f t="shared" si="12"/>
        <v>0</v>
      </c>
    </row>
    <row r="292" spans="2:22" x14ac:dyDescent="0.25">
      <c r="B292" s="87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96">
        <f>IF(OR(C292="MAL ALIMI", C292="ÜRETİM GİRİŞ"), IF(J292 - MAX(0, $I$2 - (SUMIF($C$4:C291, "MAL ALIMI", $J$4:J291) + SUMIF($C$4:C291, "ÜRETİM GİRİŞ", $J$4:J291))) &gt; 0, J292 - MAX(0, $I$2 - (SUMIF($C$4:C291, "MAL ALIMI", $J$4:J291) + SUMIF($C$4:C291, "ÜRETİM GİRİŞ", $J$4:J291))), 0), 0)</f>
        <v>0</v>
      </c>
      <c r="U292" s="96">
        <f t="shared" si="11"/>
        <v>0</v>
      </c>
      <c r="V292" s="96">
        <f t="shared" si="12"/>
        <v>0</v>
      </c>
    </row>
    <row r="293" spans="2:22" x14ac:dyDescent="0.25">
      <c r="B293" s="87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96">
        <f>IF(OR(C293="MAL ALIMI", C293="ÜRETİM GİRİŞ"), IF(J293 - MAX(0, $I$2 - (SUMIF($C$4:C292, "MAL ALIMI", $J$4:J292) + SUMIF($C$4:C292, "ÜRETİM GİRİŞ", $J$4:J292))) &gt; 0, J293 - MAX(0, $I$2 - (SUMIF($C$4:C292, "MAL ALIMI", $J$4:J292) + SUMIF($C$4:C292, "ÜRETİM GİRİŞ", $J$4:J292))), 0), 0)</f>
        <v>0</v>
      </c>
      <c r="U293" s="96">
        <f t="shared" si="11"/>
        <v>0</v>
      </c>
      <c r="V293" s="96">
        <f t="shared" si="12"/>
        <v>0</v>
      </c>
    </row>
    <row r="294" spans="2:22" x14ac:dyDescent="0.25">
      <c r="B294" s="87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96">
        <f>IF(OR(C294="MAL ALIMI", C294="ÜRETİM GİRİŞ"), IF(J294 - MAX(0, $I$2 - (SUMIF($C$4:C293, "MAL ALIMI", $J$4:J293) + SUMIF($C$4:C293, "ÜRETİM GİRİŞ", $J$4:J293))) &gt; 0, J294 - MAX(0, $I$2 - (SUMIF($C$4:C293, "MAL ALIMI", $J$4:J293) + SUMIF($C$4:C293, "ÜRETİM GİRİŞ", $J$4:J293))), 0), 0)</f>
        <v>0</v>
      </c>
      <c r="U294" s="96">
        <f t="shared" si="11"/>
        <v>0</v>
      </c>
      <c r="V294" s="96">
        <f t="shared" si="12"/>
        <v>0</v>
      </c>
    </row>
    <row r="295" spans="2:22" x14ac:dyDescent="0.25">
      <c r="B295" s="87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96">
        <f>IF(OR(C295="MAL ALIMI", C295="ÜRETİM GİRİŞ"), IF(J295 - MAX(0, $I$2 - (SUMIF($C$4:C294, "MAL ALIMI", $J$4:J294) + SUMIF($C$4:C294, "ÜRETİM GİRİŞ", $J$4:J294))) &gt; 0, J295 - MAX(0, $I$2 - (SUMIF($C$4:C294, "MAL ALIMI", $J$4:J294) + SUMIF($C$4:C294, "ÜRETİM GİRİŞ", $J$4:J294))), 0), 0)</f>
        <v>0</v>
      </c>
      <c r="U295" s="96">
        <f t="shared" si="11"/>
        <v>0</v>
      </c>
      <c r="V295" s="96">
        <f t="shared" si="12"/>
        <v>0</v>
      </c>
    </row>
    <row r="296" spans="2:22" x14ac:dyDescent="0.25">
      <c r="B296" s="87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96">
        <f>IF(OR(C296="MAL ALIMI", C296="ÜRETİM GİRİŞ"), IF(J296 - MAX(0, $I$2 - (SUMIF($C$4:C295, "MAL ALIMI", $J$4:J295) + SUMIF($C$4:C295, "ÜRETİM GİRİŞ", $J$4:J295))) &gt; 0, J296 - MAX(0, $I$2 - (SUMIF($C$4:C295, "MAL ALIMI", $J$4:J295) + SUMIF($C$4:C295, "ÜRETİM GİRİŞ", $J$4:J295))), 0), 0)</f>
        <v>0</v>
      </c>
      <c r="U296" s="96">
        <f t="shared" si="11"/>
        <v>0</v>
      </c>
      <c r="V296" s="96">
        <f t="shared" si="12"/>
        <v>0</v>
      </c>
    </row>
    <row r="297" spans="2:22" x14ac:dyDescent="0.25">
      <c r="B297" s="87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96">
        <f>IF(OR(C297="MAL ALIMI", C297="ÜRETİM GİRİŞ"), IF(J297 - MAX(0, $I$2 - (SUMIF($C$4:C296, "MAL ALIMI", $J$4:J296) + SUMIF($C$4:C296, "ÜRETİM GİRİŞ", $J$4:J296))) &gt; 0, J297 - MAX(0, $I$2 - (SUMIF($C$4:C296, "MAL ALIMI", $J$4:J296) + SUMIF($C$4:C296, "ÜRETİM GİRİŞ", $J$4:J296))), 0), 0)</f>
        <v>0</v>
      </c>
      <c r="U297" s="96">
        <f t="shared" si="11"/>
        <v>0</v>
      </c>
      <c r="V297" s="96">
        <f t="shared" si="12"/>
        <v>0</v>
      </c>
    </row>
    <row r="298" spans="2:22" x14ac:dyDescent="0.25">
      <c r="B298" s="87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96">
        <f>IF(OR(C298="MAL ALIMI", C298="ÜRETİM GİRİŞ"), IF(J298 - MAX(0, $I$2 - (SUMIF($C$4:C297, "MAL ALIMI", $J$4:J297) + SUMIF($C$4:C297, "ÜRETİM GİRİŞ", $J$4:J297))) &gt; 0, J298 - MAX(0, $I$2 - (SUMIF($C$4:C297, "MAL ALIMI", $J$4:J297) + SUMIF($C$4:C297, "ÜRETİM GİRİŞ", $J$4:J297))), 0), 0)</f>
        <v>0</v>
      </c>
      <c r="U298" s="96">
        <f t="shared" si="11"/>
        <v>0</v>
      </c>
      <c r="V298" s="96">
        <f t="shared" si="12"/>
        <v>0</v>
      </c>
    </row>
    <row r="299" spans="2:22" x14ac:dyDescent="0.25">
      <c r="B299" s="87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96">
        <f>IF(OR(C299="MAL ALIMI", C299="ÜRETİM GİRİŞ"), IF(J299 - MAX(0, $I$2 - (SUMIF($C$4:C298, "MAL ALIMI", $J$4:J298) + SUMIF($C$4:C298, "ÜRETİM GİRİŞ", $J$4:J298))) &gt; 0, J299 - MAX(0, $I$2 - (SUMIF($C$4:C298, "MAL ALIMI", $J$4:J298) + SUMIF($C$4:C298, "ÜRETİM GİRİŞ", $J$4:J298))), 0), 0)</f>
        <v>0</v>
      </c>
      <c r="U299" s="96">
        <f t="shared" si="11"/>
        <v>0</v>
      </c>
      <c r="V299" s="96">
        <f t="shared" si="12"/>
        <v>0</v>
      </c>
    </row>
    <row r="300" spans="2:22" x14ac:dyDescent="0.25">
      <c r="B300" s="87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96">
        <f>IF(OR(C300="MAL ALIMI", C300="ÜRETİM GİRİŞ"), IF(J300 - MAX(0, $I$2 - (SUMIF($C$4:C299, "MAL ALIMI", $J$4:J299) + SUMIF($C$4:C299, "ÜRETİM GİRİŞ", $J$4:J299))) &gt; 0, J300 - MAX(0, $I$2 - (SUMIF($C$4:C299, "MAL ALIMI", $J$4:J299) + SUMIF($C$4:C299, "ÜRETİM GİRİŞ", $J$4:J299))), 0), 0)</f>
        <v>0</v>
      </c>
      <c r="U300" s="96">
        <f t="shared" si="11"/>
        <v>0</v>
      </c>
      <c r="V300" s="96">
        <f t="shared" si="12"/>
        <v>0</v>
      </c>
    </row>
    <row r="301" spans="2:22" x14ac:dyDescent="0.25">
      <c r="B301" s="87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96">
        <f>IF(OR(C301="MAL ALIMI", C301="ÜRETİM GİRİŞ"), IF(J301 - MAX(0, $I$2 - (SUMIF($C$4:C300, "MAL ALIMI", $J$4:J300) + SUMIF($C$4:C300, "ÜRETİM GİRİŞ", $J$4:J300))) &gt; 0, J301 - MAX(0, $I$2 - (SUMIF($C$4:C300, "MAL ALIMI", $J$4:J300) + SUMIF($C$4:C300, "ÜRETİM GİRİŞ", $J$4:J300))), 0), 0)</f>
        <v>0</v>
      </c>
      <c r="U301" s="96">
        <f t="shared" si="11"/>
        <v>0</v>
      </c>
      <c r="V301" s="96">
        <f t="shared" si="12"/>
        <v>0</v>
      </c>
    </row>
    <row r="302" spans="2:22" x14ac:dyDescent="0.25">
      <c r="B302" s="87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96">
        <f>IF(OR(C302="MAL ALIMI", C302="ÜRETİM GİRİŞ"), IF(J302 - MAX(0, $I$2 - (SUMIF($C$4:C301, "MAL ALIMI", $J$4:J301) + SUMIF($C$4:C301, "ÜRETİM GİRİŞ", $J$4:J301))) &gt; 0, J302 - MAX(0, $I$2 - (SUMIF($C$4:C301, "MAL ALIMI", $J$4:J301) + SUMIF($C$4:C301, "ÜRETİM GİRİŞ", $J$4:J301))), 0), 0)</f>
        <v>0</v>
      </c>
      <c r="U302" s="96">
        <f t="shared" si="11"/>
        <v>0</v>
      </c>
      <c r="V302" s="96">
        <f t="shared" si="12"/>
        <v>0</v>
      </c>
    </row>
    <row r="303" spans="2:22" x14ac:dyDescent="0.25">
      <c r="B303" s="87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96">
        <f>IF(OR(C303="MAL ALIMI", C303="ÜRETİM GİRİŞ"), IF(J303 - MAX(0, $I$2 - (SUMIF($C$4:C302, "MAL ALIMI", $J$4:J302) + SUMIF($C$4:C302, "ÜRETİM GİRİŞ", $J$4:J302))) &gt; 0, J303 - MAX(0, $I$2 - (SUMIF($C$4:C302, "MAL ALIMI", $J$4:J302) + SUMIF($C$4:C302, "ÜRETİM GİRİŞ", $J$4:J302))), 0), 0)</f>
        <v>0</v>
      </c>
      <c r="U303" s="96">
        <f t="shared" si="11"/>
        <v>0</v>
      </c>
      <c r="V303" s="96">
        <f t="shared" si="12"/>
        <v>0</v>
      </c>
    </row>
    <row r="304" spans="2:22" x14ac:dyDescent="0.25">
      <c r="B304" s="87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96">
        <f>IF(OR(C304="MAL ALIMI", C304="ÜRETİM GİRİŞ"), IF(J304 - MAX(0, $I$2 - (SUMIF($C$4:C303, "MAL ALIMI", $J$4:J303) + SUMIF($C$4:C303, "ÜRETİM GİRİŞ", $J$4:J303))) &gt; 0, J304 - MAX(0, $I$2 - (SUMIF($C$4:C303, "MAL ALIMI", $J$4:J303) + SUMIF($C$4:C303, "ÜRETİM GİRİŞ", $J$4:J303))), 0), 0)</f>
        <v>0</v>
      </c>
      <c r="U304" s="96">
        <f t="shared" si="11"/>
        <v>0</v>
      </c>
      <c r="V304" s="96">
        <f t="shared" si="12"/>
        <v>0</v>
      </c>
    </row>
    <row r="305" spans="2:22" x14ac:dyDescent="0.25">
      <c r="B305" s="87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96">
        <f>IF(OR(C305="MAL ALIMI", C305="ÜRETİM GİRİŞ"), IF(J305 - MAX(0, $I$2 - (SUMIF($C$4:C304, "MAL ALIMI", $J$4:J304) + SUMIF($C$4:C304, "ÜRETİM GİRİŞ", $J$4:J304))) &gt; 0, J305 - MAX(0, $I$2 - (SUMIF($C$4:C304, "MAL ALIMI", $J$4:J304) + SUMIF($C$4:C304, "ÜRETİM GİRİŞ", $J$4:J304))), 0), 0)</f>
        <v>0</v>
      </c>
      <c r="U305" s="96">
        <f t="shared" si="11"/>
        <v>0</v>
      </c>
      <c r="V305" s="96">
        <f t="shared" si="12"/>
        <v>0</v>
      </c>
    </row>
    <row r="306" spans="2:22" x14ac:dyDescent="0.25">
      <c r="B306" s="87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96">
        <f>IF(OR(C306="MAL ALIMI", C306="ÜRETİM GİRİŞ"), IF(J306 - MAX(0, $I$2 - (SUMIF($C$4:C305, "MAL ALIMI", $J$4:J305) + SUMIF($C$4:C305, "ÜRETİM GİRİŞ", $J$4:J305))) &gt; 0, J306 - MAX(0, $I$2 - (SUMIF($C$4:C305, "MAL ALIMI", $J$4:J305) + SUMIF($C$4:C305, "ÜRETİM GİRİŞ", $J$4:J305))), 0), 0)</f>
        <v>0</v>
      </c>
      <c r="U306" s="96">
        <f t="shared" si="11"/>
        <v>0</v>
      </c>
      <c r="V306" s="96">
        <f t="shared" si="12"/>
        <v>0</v>
      </c>
    </row>
    <row r="307" spans="2:22" x14ac:dyDescent="0.25">
      <c r="B307" s="87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96">
        <f>IF(OR(C307="MAL ALIMI", C307="ÜRETİM GİRİŞ"), IF(J307 - MAX(0, $I$2 - (SUMIF($C$4:C306, "MAL ALIMI", $J$4:J306) + SUMIF($C$4:C306, "ÜRETİM GİRİŞ", $J$4:J306))) &gt; 0, J307 - MAX(0, $I$2 - (SUMIF($C$4:C306, "MAL ALIMI", $J$4:J306) + SUMIF($C$4:C306, "ÜRETİM GİRİŞ", $J$4:J306))), 0), 0)</f>
        <v>0</v>
      </c>
      <c r="U307" s="96">
        <f t="shared" si="11"/>
        <v>0</v>
      </c>
      <c r="V307" s="96">
        <f t="shared" si="12"/>
        <v>0</v>
      </c>
    </row>
    <row r="308" spans="2:22" x14ac:dyDescent="0.25">
      <c r="B308" s="87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96">
        <f>IF(OR(C308="MAL ALIMI", C308="ÜRETİM GİRİŞ"), IF(J308 - MAX(0, $I$2 - (SUMIF($C$4:C307, "MAL ALIMI", $J$4:J307) + SUMIF($C$4:C307, "ÜRETİM GİRİŞ", $J$4:J307))) &gt; 0, J308 - MAX(0, $I$2 - (SUMIF($C$4:C307, "MAL ALIMI", $J$4:J307) + SUMIF($C$4:C307, "ÜRETİM GİRİŞ", $J$4:J307))), 0), 0)</f>
        <v>0</v>
      </c>
      <c r="U308" s="96">
        <f t="shared" si="11"/>
        <v>0</v>
      </c>
      <c r="V308" s="96">
        <f t="shared" si="12"/>
        <v>0</v>
      </c>
    </row>
    <row r="309" spans="2:22" x14ac:dyDescent="0.25">
      <c r="B309" s="87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96">
        <f>IF(OR(C309="MAL ALIMI", C309="ÜRETİM GİRİŞ"), IF(J309 - MAX(0, $I$2 - (SUMIF($C$4:C308, "MAL ALIMI", $J$4:J308) + SUMIF($C$4:C308, "ÜRETİM GİRİŞ", $J$4:J308))) &gt; 0, J309 - MAX(0, $I$2 - (SUMIF($C$4:C308, "MAL ALIMI", $J$4:J308) + SUMIF($C$4:C308, "ÜRETİM GİRİŞ", $J$4:J308))), 0), 0)</f>
        <v>0</v>
      </c>
      <c r="U309" s="96">
        <f t="shared" si="11"/>
        <v>0</v>
      </c>
      <c r="V309" s="96">
        <f t="shared" si="12"/>
        <v>0</v>
      </c>
    </row>
    <row r="310" spans="2:22" x14ac:dyDescent="0.25">
      <c r="B310" s="87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96">
        <f>IF(OR(C310="MAL ALIMI", C310="ÜRETİM GİRİŞ"), IF(J310 - MAX(0, $I$2 - (SUMIF($C$4:C309, "MAL ALIMI", $J$4:J309) + SUMIF($C$4:C309, "ÜRETİM GİRİŞ", $J$4:J309))) &gt; 0, J310 - MAX(0, $I$2 - (SUMIF($C$4:C309, "MAL ALIMI", $J$4:J309) + SUMIF($C$4:C309, "ÜRETİM GİRİŞ", $J$4:J309))), 0), 0)</f>
        <v>0</v>
      </c>
      <c r="U310" s="96">
        <f t="shared" si="11"/>
        <v>0</v>
      </c>
      <c r="V310" s="96">
        <f t="shared" si="12"/>
        <v>0</v>
      </c>
    </row>
    <row r="311" spans="2:22" x14ac:dyDescent="0.25">
      <c r="B311" s="87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96">
        <f>IF(OR(C311="MAL ALIMI", C311="ÜRETİM GİRİŞ"), IF(J311 - MAX(0, $I$2 - (SUMIF($C$4:C310, "MAL ALIMI", $J$4:J310) + SUMIF($C$4:C310, "ÜRETİM GİRİŞ", $J$4:J310))) &gt; 0, J311 - MAX(0, $I$2 - (SUMIF($C$4:C310, "MAL ALIMI", $J$4:J310) + SUMIF($C$4:C310, "ÜRETİM GİRİŞ", $J$4:J310))), 0), 0)</f>
        <v>0</v>
      </c>
      <c r="U311" s="96">
        <f t="shared" si="11"/>
        <v>0</v>
      </c>
      <c r="V311" s="96">
        <f t="shared" si="12"/>
        <v>0</v>
      </c>
    </row>
    <row r="312" spans="2:22" x14ac:dyDescent="0.25">
      <c r="B312" s="87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96">
        <f>IF(OR(C312="MAL ALIMI", C312="ÜRETİM GİRİŞ"), IF(J312 - MAX(0, $I$2 - (SUMIF($C$4:C311, "MAL ALIMI", $J$4:J311) + SUMIF($C$4:C311, "ÜRETİM GİRİŞ", $J$4:J311))) &gt; 0, J312 - MAX(0, $I$2 - (SUMIF($C$4:C311, "MAL ALIMI", $J$4:J311) + SUMIF($C$4:C311, "ÜRETİM GİRİŞ", $J$4:J311))), 0), 0)</f>
        <v>0</v>
      </c>
      <c r="U312" s="96">
        <f t="shared" si="11"/>
        <v>0</v>
      </c>
      <c r="V312" s="96">
        <f t="shared" si="12"/>
        <v>0</v>
      </c>
    </row>
    <row r="313" spans="2:22" x14ac:dyDescent="0.25">
      <c r="B313" s="87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96">
        <f>IF(OR(C313="MAL ALIMI", C313="ÜRETİM GİRİŞ"), IF(J313 - MAX(0, $I$2 - (SUMIF($C$4:C312, "MAL ALIMI", $J$4:J312) + SUMIF($C$4:C312, "ÜRETİM GİRİŞ", $J$4:J312))) &gt; 0, J313 - MAX(0, $I$2 - (SUMIF($C$4:C312, "MAL ALIMI", $J$4:J312) + SUMIF($C$4:C312, "ÜRETİM GİRİŞ", $J$4:J312))), 0), 0)</f>
        <v>0</v>
      </c>
      <c r="U313" s="96">
        <f t="shared" si="11"/>
        <v>0</v>
      </c>
      <c r="V313" s="96">
        <f t="shared" si="12"/>
        <v>0</v>
      </c>
    </row>
    <row r="314" spans="2:22" x14ac:dyDescent="0.25">
      <c r="B314" s="87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96">
        <f>IF(OR(C314="MAL ALIMI", C314="ÜRETİM GİRİŞ"), IF(J314 - MAX(0, $I$2 - (SUMIF($C$4:C313, "MAL ALIMI", $J$4:J313) + SUMIF($C$4:C313, "ÜRETİM GİRİŞ", $J$4:J313))) &gt; 0, J314 - MAX(0, $I$2 - (SUMIF($C$4:C313, "MAL ALIMI", $J$4:J313) + SUMIF($C$4:C313, "ÜRETİM GİRİŞ", $J$4:J313))), 0), 0)</f>
        <v>0</v>
      </c>
      <c r="U314" s="96">
        <f t="shared" si="11"/>
        <v>0</v>
      </c>
      <c r="V314" s="96">
        <f t="shared" si="12"/>
        <v>0</v>
      </c>
    </row>
    <row r="315" spans="2:22" x14ac:dyDescent="0.25">
      <c r="B315" s="87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96">
        <f>IF(OR(C315="MAL ALIMI", C315="ÜRETİM GİRİŞ"), IF(J315 - MAX(0, $I$2 - (SUMIF($C$4:C314, "MAL ALIMI", $J$4:J314) + SUMIF($C$4:C314, "ÜRETİM GİRİŞ", $J$4:J314))) &gt; 0, J315 - MAX(0, $I$2 - (SUMIF($C$4:C314, "MAL ALIMI", $J$4:J314) + SUMIF($C$4:C314, "ÜRETİM GİRİŞ", $J$4:J314))), 0), 0)</f>
        <v>0</v>
      </c>
      <c r="U315" s="96">
        <f t="shared" si="11"/>
        <v>0</v>
      </c>
      <c r="V315" s="96">
        <f t="shared" si="12"/>
        <v>0</v>
      </c>
    </row>
    <row r="316" spans="2:22" x14ac:dyDescent="0.25">
      <c r="B316" s="87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96">
        <f>IF(OR(C316="MAL ALIMI", C316="ÜRETİM GİRİŞ"), IF(J316 - MAX(0, $I$2 - (SUMIF($C$4:C315, "MAL ALIMI", $J$4:J315) + SUMIF($C$4:C315, "ÜRETİM GİRİŞ", $J$4:J315))) &gt; 0, J316 - MAX(0, $I$2 - (SUMIF($C$4:C315, "MAL ALIMI", $J$4:J315) + SUMIF($C$4:C315, "ÜRETİM GİRİŞ", $J$4:J315))), 0), 0)</f>
        <v>0</v>
      </c>
      <c r="U316" s="96">
        <f t="shared" si="11"/>
        <v>0</v>
      </c>
      <c r="V316" s="96">
        <f t="shared" si="12"/>
        <v>0</v>
      </c>
    </row>
    <row r="317" spans="2:22" x14ac:dyDescent="0.25">
      <c r="B317" s="87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96">
        <f>IF(OR(C317="MAL ALIMI", C317="ÜRETİM GİRİŞ"), IF(J317 - MAX(0, $I$2 - (SUMIF($C$4:C316, "MAL ALIMI", $J$4:J316) + SUMIF($C$4:C316, "ÜRETİM GİRİŞ", $J$4:J316))) &gt; 0, J317 - MAX(0, $I$2 - (SUMIF($C$4:C316, "MAL ALIMI", $J$4:J316) + SUMIF($C$4:C316, "ÜRETİM GİRİŞ", $J$4:J316))), 0), 0)</f>
        <v>0</v>
      </c>
      <c r="U317" s="96">
        <f t="shared" si="11"/>
        <v>0</v>
      </c>
      <c r="V317" s="96">
        <f t="shared" si="12"/>
        <v>0</v>
      </c>
    </row>
    <row r="318" spans="2:22" x14ac:dyDescent="0.25">
      <c r="B318" s="87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96">
        <f>IF(OR(C318="MAL ALIMI", C318="ÜRETİM GİRİŞ"), IF(J318 - MAX(0, $I$2 - (SUMIF($C$4:C317, "MAL ALIMI", $J$4:J317) + SUMIF($C$4:C317, "ÜRETİM GİRİŞ", $J$4:J317))) &gt; 0, J318 - MAX(0, $I$2 - (SUMIF($C$4:C317, "MAL ALIMI", $J$4:J317) + SUMIF($C$4:C317, "ÜRETİM GİRİŞ", $J$4:J317))), 0), 0)</f>
        <v>0</v>
      </c>
      <c r="U318" s="96">
        <f t="shared" si="11"/>
        <v>0</v>
      </c>
      <c r="V318" s="96">
        <f t="shared" si="12"/>
        <v>0</v>
      </c>
    </row>
    <row r="319" spans="2:22" x14ac:dyDescent="0.25">
      <c r="B319" s="87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96">
        <f>IF(OR(C319="MAL ALIMI", C319="ÜRETİM GİRİŞ"), IF(J319 - MAX(0, $I$2 - (SUMIF($C$4:C318, "MAL ALIMI", $J$4:J318) + SUMIF($C$4:C318, "ÜRETİM GİRİŞ", $J$4:J318))) &gt; 0, J319 - MAX(0, $I$2 - (SUMIF($C$4:C318, "MAL ALIMI", $J$4:J318) + SUMIF($C$4:C318, "ÜRETİM GİRİŞ", $J$4:J318))), 0), 0)</f>
        <v>0</v>
      </c>
      <c r="U319" s="96">
        <f t="shared" si="11"/>
        <v>0</v>
      </c>
      <c r="V319" s="96">
        <f t="shared" si="12"/>
        <v>0</v>
      </c>
    </row>
    <row r="320" spans="2:22" x14ac:dyDescent="0.25">
      <c r="B320" s="87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96">
        <f>IF(OR(C320="MAL ALIMI", C320="ÜRETİM GİRİŞ"), IF(J320 - MAX(0, $I$2 - (SUMIF($C$4:C319, "MAL ALIMI", $J$4:J319) + SUMIF($C$4:C319, "ÜRETİM GİRİŞ", $J$4:J319))) &gt; 0, J320 - MAX(0, $I$2 - (SUMIF($C$4:C319, "MAL ALIMI", $J$4:J319) + SUMIF($C$4:C319, "ÜRETİM GİRİŞ", $J$4:J319))), 0), 0)</f>
        <v>0</v>
      </c>
      <c r="U320" s="96">
        <f t="shared" si="11"/>
        <v>0</v>
      </c>
      <c r="V320" s="96">
        <f t="shared" si="12"/>
        <v>0</v>
      </c>
    </row>
    <row r="321" spans="2:22" x14ac:dyDescent="0.25">
      <c r="B321" s="87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96">
        <f>IF(OR(C321="MAL ALIMI", C321="ÜRETİM GİRİŞ"), IF(J321 - MAX(0, $I$2 - (SUMIF($C$4:C320, "MAL ALIMI", $J$4:J320) + SUMIF($C$4:C320, "ÜRETİM GİRİŞ", $J$4:J320))) &gt; 0, J321 - MAX(0, $I$2 - (SUMIF($C$4:C320, "MAL ALIMI", $J$4:J320) + SUMIF($C$4:C320, "ÜRETİM GİRİŞ", $J$4:J320))), 0), 0)</f>
        <v>0</v>
      </c>
      <c r="U321" s="96">
        <f t="shared" si="11"/>
        <v>0</v>
      </c>
      <c r="V321" s="96">
        <f t="shared" si="12"/>
        <v>0</v>
      </c>
    </row>
    <row r="322" spans="2:22" x14ac:dyDescent="0.25">
      <c r="B322" s="87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96">
        <f>IF(OR(C322="MAL ALIMI", C322="ÜRETİM GİRİŞ"), IF(J322 - MAX(0, $I$2 - (SUMIF($C$4:C321, "MAL ALIMI", $J$4:J321) + SUMIF($C$4:C321, "ÜRETİM GİRİŞ", $J$4:J321))) &gt; 0, J322 - MAX(0, $I$2 - (SUMIF($C$4:C321, "MAL ALIMI", $J$4:J321) + SUMIF($C$4:C321, "ÜRETİM GİRİŞ", $J$4:J321))), 0), 0)</f>
        <v>0</v>
      </c>
      <c r="U322" s="96">
        <f t="shared" si="11"/>
        <v>0</v>
      </c>
      <c r="V322" s="96">
        <f t="shared" si="12"/>
        <v>0</v>
      </c>
    </row>
    <row r="323" spans="2:22" x14ac:dyDescent="0.25">
      <c r="B323" s="87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96">
        <f>IF(OR(C323="MAL ALIMI", C323="ÜRETİM GİRİŞ"), IF(J323 - MAX(0, $I$2 - (SUMIF($C$4:C322, "MAL ALIMI", $J$4:J322) + SUMIF($C$4:C322, "ÜRETİM GİRİŞ", $J$4:J322))) &gt; 0, J323 - MAX(0, $I$2 - (SUMIF($C$4:C322, "MAL ALIMI", $J$4:J322) + SUMIF($C$4:C322, "ÜRETİM GİRİŞ", $J$4:J322))), 0), 0)</f>
        <v>0</v>
      </c>
      <c r="U323" s="96">
        <f t="shared" si="11"/>
        <v>0</v>
      </c>
      <c r="V323" s="96">
        <f t="shared" si="12"/>
        <v>0</v>
      </c>
    </row>
    <row r="324" spans="2:22" x14ac:dyDescent="0.25">
      <c r="B324" s="87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96">
        <f>IF(OR(C324="MAL ALIMI", C324="ÜRETİM GİRİŞ"), IF(J324 - MAX(0, $I$2 - (SUMIF($C$4:C323, "MAL ALIMI", $J$4:J323) + SUMIF($C$4:C323, "ÜRETİM GİRİŞ", $J$4:J323))) &gt; 0, J324 - MAX(0, $I$2 - (SUMIF($C$4:C323, "MAL ALIMI", $J$4:J323) + SUMIF($C$4:C323, "ÜRETİM GİRİŞ", $J$4:J323))), 0), 0)</f>
        <v>0</v>
      </c>
      <c r="U324" s="96">
        <f t="shared" si="11"/>
        <v>0</v>
      </c>
      <c r="V324" s="96">
        <f t="shared" si="12"/>
        <v>0</v>
      </c>
    </row>
    <row r="325" spans="2:22" x14ac:dyDescent="0.25">
      <c r="B325" s="87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96">
        <f>IF(OR(C325="MAL ALIMI", C325="ÜRETİM GİRİŞ"), IF(J325 - MAX(0, $I$2 - (SUMIF($C$4:C324, "MAL ALIMI", $J$4:J324) + SUMIF($C$4:C324, "ÜRETİM GİRİŞ", $J$4:J324))) &gt; 0, J325 - MAX(0, $I$2 - (SUMIF($C$4:C324, "MAL ALIMI", $J$4:J324) + SUMIF($C$4:C324, "ÜRETİM GİRİŞ", $J$4:J324))), 0), 0)</f>
        <v>0</v>
      </c>
      <c r="U325" s="96">
        <f t="shared" si="11"/>
        <v>0</v>
      </c>
      <c r="V325" s="96">
        <f t="shared" si="12"/>
        <v>0</v>
      </c>
    </row>
    <row r="326" spans="2:22" x14ac:dyDescent="0.25">
      <c r="B326" s="87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96">
        <f>IF(OR(C326="MAL ALIMI", C326="ÜRETİM GİRİŞ"), IF(J326 - MAX(0, $I$2 - (SUMIF($C$4:C325, "MAL ALIMI", $J$4:J325) + SUMIF($C$4:C325, "ÜRETİM GİRİŞ", $J$4:J325))) &gt; 0, J326 - MAX(0, $I$2 - (SUMIF($C$4:C325, "MAL ALIMI", $J$4:J325) + SUMIF($C$4:C325, "ÜRETİM GİRİŞ", $J$4:J325))), 0), 0)</f>
        <v>0</v>
      </c>
      <c r="U326" s="96">
        <f t="shared" ref="U326:U389" si="13">T326*K326</f>
        <v>0</v>
      </c>
      <c r="V326" s="96">
        <f t="shared" ref="V326:V389" si="14">IF(OR(C326="MAL ALIMI", C326="ÜRETİM GİRİŞ"), J326 * K326, 0)</f>
        <v>0</v>
      </c>
    </row>
    <row r="327" spans="2:22" x14ac:dyDescent="0.25">
      <c r="B327" s="87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96">
        <f>IF(OR(C327="MAL ALIMI", C327="ÜRETİM GİRİŞ"), IF(J327 - MAX(0, $I$2 - (SUMIF($C$4:C326, "MAL ALIMI", $J$4:J326) + SUMIF($C$4:C326, "ÜRETİM GİRİŞ", $J$4:J326))) &gt; 0, J327 - MAX(0, $I$2 - (SUMIF($C$4:C326, "MAL ALIMI", $J$4:J326) + SUMIF($C$4:C326, "ÜRETİM GİRİŞ", $J$4:J326))), 0), 0)</f>
        <v>0</v>
      </c>
      <c r="U327" s="96">
        <f t="shared" si="13"/>
        <v>0</v>
      </c>
      <c r="V327" s="96">
        <f t="shared" si="14"/>
        <v>0</v>
      </c>
    </row>
    <row r="328" spans="2:22" x14ac:dyDescent="0.25">
      <c r="B328" s="87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96">
        <f>IF(OR(C328="MAL ALIMI", C328="ÜRETİM GİRİŞ"), IF(J328 - MAX(0, $I$2 - (SUMIF($C$4:C327, "MAL ALIMI", $J$4:J327) + SUMIF($C$4:C327, "ÜRETİM GİRİŞ", $J$4:J327))) &gt; 0, J328 - MAX(0, $I$2 - (SUMIF($C$4:C327, "MAL ALIMI", $J$4:J327) + SUMIF($C$4:C327, "ÜRETİM GİRİŞ", $J$4:J327))), 0), 0)</f>
        <v>0</v>
      </c>
      <c r="U328" s="96">
        <f t="shared" si="13"/>
        <v>0</v>
      </c>
      <c r="V328" s="96">
        <f t="shared" si="14"/>
        <v>0</v>
      </c>
    </row>
    <row r="329" spans="2:22" x14ac:dyDescent="0.25">
      <c r="B329" s="87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96">
        <f>IF(OR(C329="MAL ALIMI", C329="ÜRETİM GİRİŞ"), IF(J329 - MAX(0, $I$2 - (SUMIF($C$4:C328, "MAL ALIMI", $J$4:J328) + SUMIF($C$4:C328, "ÜRETİM GİRİŞ", $J$4:J328))) &gt; 0, J329 - MAX(0, $I$2 - (SUMIF($C$4:C328, "MAL ALIMI", $J$4:J328) + SUMIF($C$4:C328, "ÜRETİM GİRİŞ", $J$4:J328))), 0), 0)</f>
        <v>0</v>
      </c>
      <c r="U329" s="96">
        <f t="shared" si="13"/>
        <v>0</v>
      </c>
      <c r="V329" s="96">
        <f t="shared" si="14"/>
        <v>0</v>
      </c>
    </row>
    <row r="330" spans="2:22" x14ac:dyDescent="0.25">
      <c r="B330" s="87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96">
        <f>IF(OR(C330="MAL ALIMI", C330="ÜRETİM GİRİŞ"), IF(J330 - MAX(0, $I$2 - (SUMIF($C$4:C329, "MAL ALIMI", $J$4:J329) + SUMIF($C$4:C329, "ÜRETİM GİRİŞ", $J$4:J329))) &gt; 0, J330 - MAX(0, $I$2 - (SUMIF($C$4:C329, "MAL ALIMI", $J$4:J329) + SUMIF($C$4:C329, "ÜRETİM GİRİŞ", $J$4:J329))), 0), 0)</f>
        <v>0</v>
      </c>
      <c r="U330" s="96">
        <f t="shared" si="13"/>
        <v>0</v>
      </c>
      <c r="V330" s="96">
        <f t="shared" si="14"/>
        <v>0</v>
      </c>
    </row>
    <row r="331" spans="2:22" x14ac:dyDescent="0.25">
      <c r="B331" s="87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96">
        <f>IF(OR(C331="MAL ALIMI", C331="ÜRETİM GİRİŞ"), IF(J331 - MAX(0, $I$2 - (SUMIF($C$4:C330, "MAL ALIMI", $J$4:J330) + SUMIF($C$4:C330, "ÜRETİM GİRİŞ", $J$4:J330))) &gt; 0, J331 - MAX(0, $I$2 - (SUMIF($C$4:C330, "MAL ALIMI", $J$4:J330) + SUMIF($C$4:C330, "ÜRETİM GİRİŞ", $J$4:J330))), 0), 0)</f>
        <v>0</v>
      </c>
      <c r="U331" s="96">
        <f t="shared" si="13"/>
        <v>0</v>
      </c>
      <c r="V331" s="96">
        <f t="shared" si="14"/>
        <v>0</v>
      </c>
    </row>
    <row r="332" spans="2:22" x14ac:dyDescent="0.25">
      <c r="B332" s="87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96">
        <f>IF(OR(C332="MAL ALIMI", C332="ÜRETİM GİRİŞ"), IF(J332 - MAX(0, $I$2 - (SUMIF($C$4:C331, "MAL ALIMI", $J$4:J331) + SUMIF($C$4:C331, "ÜRETİM GİRİŞ", $J$4:J331))) &gt; 0, J332 - MAX(0, $I$2 - (SUMIF($C$4:C331, "MAL ALIMI", $J$4:J331) + SUMIF($C$4:C331, "ÜRETİM GİRİŞ", $J$4:J331))), 0), 0)</f>
        <v>0</v>
      </c>
      <c r="U332" s="96">
        <f t="shared" si="13"/>
        <v>0</v>
      </c>
      <c r="V332" s="96">
        <f t="shared" si="14"/>
        <v>0</v>
      </c>
    </row>
    <row r="333" spans="2:22" x14ac:dyDescent="0.25">
      <c r="B333" s="87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96">
        <f>IF(OR(C333="MAL ALIMI", C333="ÜRETİM GİRİŞ"), IF(J333 - MAX(0, $I$2 - (SUMIF($C$4:C332, "MAL ALIMI", $J$4:J332) + SUMIF($C$4:C332, "ÜRETİM GİRİŞ", $J$4:J332))) &gt; 0, J333 - MAX(0, $I$2 - (SUMIF($C$4:C332, "MAL ALIMI", $J$4:J332) + SUMIF($C$4:C332, "ÜRETİM GİRİŞ", $J$4:J332))), 0), 0)</f>
        <v>0</v>
      </c>
      <c r="U333" s="96">
        <f t="shared" si="13"/>
        <v>0</v>
      </c>
      <c r="V333" s="96">
        <f t="shared" si="14"/>
        <v>0</v>
      </c>
    </row>
    <row r="334" spans="2:22" x14ac:dyDescent="0.25">
      <c r="B334" s="87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96">
        <f>IF(OR(C334="MAL ALIMI", C334="ÜRETİM GİRİŞ"), IF(J334 - MAX(0, $I$2 - (SUMIF($C$4:C333, "MAL ALIMI", $J$4:J333) + SUMIF($C$4:C333, "ÜRETİM GİRİŞ", $J$4:J333))) &gt; 0, J334 - MAX(0, $I$2 - (SUMIF($C$4:C333, "MAL ALIMI", $J$4:J333) + SUMIF($C$4:C333, "ÜRETİM GİRİŞ", $J$4:J333))), 0), 0)</f>
        <v>0</v>
      </c>
      <c r="U334" s="96">
        <f t="shared" si="13"/>
        <v>0</v>
      </c>
      <c r="V334" s="96">
        <f t="shared" si="14"/>
        <v>0</v>
      </c>
    </row>
    <row r="335" spans="2:22" x14ac:dyDescent="0.25">
      <c r="B335" s="87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96">
        <f>IF(OR(C335="MAL ALIMI", C335="ÜRETİM GİRİŞ"), IF(J335 - MAX(0, $I$2 - (SUMIF($C$4:C334, "MAL ALIMI", $J$4:J334) + SUMIF($C$4:C334, "ÜRETİM GİRİŞ", $J$4:J334))) &gt; 0, J335 - MAX(0, $I$2 - (SUMIF($C$4:C334, "MAL ALIMI", $J$4:J334) + SUMIF($C$4:C334, "ÜRETİM GİRİŞ", $J$4:J334))), 0), 0)</f>
        <v>0</v>
      </c>
      <c r="U335" s="96">
        <f t="shared" si="13"/>
        <v>0</v>
      </c>
      <c r="V335" s="96">
        <f t="shared" si="14"/>
        <v>0</v>
      </c>
    </row>
    <row r="336" spans="2:22" x14ac:dyDescent="0.25">
      <c r="B336" s="87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96">
        <f>IF(OR(C336="MAL ALIMI", C336="ÜRETİM GİRİŞ"), IF(J336 - MAX(0, $I$2 - (SUMIF($C$4:C335, "MAL ALIMI", $J$4:J335) + SUMIF($C$4:C335, "ÜRETİM GİRİŞ", $J$4:J335))) &gt; 0, J336 - MAX(0, $I$2 - (SUMIF($C$4:C335, "MAL ALIMI", $J$4:J335) + SUMIF($C$4:C335, "ÜRETİM GİRİŞ", $J$4:J335))), 0), 0)</f>
        <v>0</v>
      </c>
      <c r="U336" s="96">
        <f t="shared" si="13"/>
        <v>0</v>
      </c>
      <c r="V336" s="96">
        <f t="shared" si="14"/>
        <v>0</v>
      </c>
    </row>
    <row r="337" spans="2:22" x14ac:dyDescent="0.25">
      <c r="B337" s="87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96">
        <f>IF(OR(C337="MAL ALIMI", C337="ÜRETİM GİRİŞ"), IF(J337 - MAX(0, $I$2 - (SUMIF($C$4:C336, "MAL ALIMI", $J$4:J336) + SUMIF($C$4:C336, "ÜRETİM GİRİŞ", $J$4:J336))) &gt; 0, J337 - MAX(0, $I$2 - (SUMIF($C$4:C336, "MAL ALIMI", $J$4:J336) + SUMIF($C$4:C336, "ÜRETİM GİRİŞ", $J$4:J336))), 0), 0)</f>
        <v>0</v>
      </c>
      <c r="U337" s="96">
        <f t="shared" si="13"/>
        <v>0</v>
      </c>
      <c r="V337" s="96">
        <f t="shared" si="14"/>
        <v>0</v>
      </c>
    </row>
    <row r="338" spans="2:22" x14ac:dyDescent="0.25">
      <c r="B338" s="87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96">
        <f>IF(OR(C338="MAL ALIMI", C338="ÜRETİM GİRİŞ"), IF(J338 - MAX(0, $I$2 - (SUMIF($C$4:C337, "MAL ALIMI", $J$4:J337) + SUMIF($C$4:C337, "ÜRETİM GİRİŞ", $J$4:J337))) &gt; 0, J338 - MAX(0, $I$2 - (SUMIF($C$4:C337, "MAL ALIMI", $J$4:J337) + SUMIF($C$4:C337, "ÜRETİM GİRİŞ", $J$4:J337))), 0), 0)</f>
        <v>0</v>
      </c>
      <c r="U338" s="96">
        <f t="shared" si="13"/>
        <v>0</v>
      </c>
      <c r="V338" s="96">
        <f t="shared" si="14"/>
        <v>0</v>
      </c>
    </row>
    <row r="339" spans="2:22" x14ac:dyDescent="0.25">
      <c r="B339" s="87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96">
        <f>IF(OR(C339="MAL ALIMI", C339="ÜRETİM GİRİŞ"), IF(J339 - MAX(0, $I$2 - (SUMIF($C$4:C338, "MAL ALIMI", $J$4:J338) + SUMIF($C$4:C338, "ÜRETİM GİRİŞ", $J$4:J338))) &gt; 0, J339 - MAX(0, $I$2 - (SUMIF($C$4:C338, "MAL ALIMI", $J$4:J338) + SUMIF($C$4:C338, "ÜRETİM GİRİŞ", $J$4:J338))), 0), 0)</f>
        <v>0</v>
      </c>
      <c r="U339" s="96">
        <f t="shared" si="13"/>
        <v>0</v>
      </c>
      <c r="V339" s="96">
        <f t="shared" si="14"/>
        <v>0</v>
      </c>
    </row>
    <row r="340" spans="2:22" x14ac:dyDescent="0.25">
      <c r="B340" s="87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96">
        <f>IF(OR(C340="MAL ALIMI", C340="ÜRETİM GİRİŞ"), IF(J340 - MAX(0, $I$2 - (SUMIF($C$4:C339, "MAL ALIMI", $J$4:J339) + SUMIF($C$4:C339, "ÜRETİM GİRİŞ", $J$4:J339))) &gt; 0, J340 - MAX(0, $I$2 - (SUMIF($C$4:C339, "MAL ALIMI", $J$4:J339) + SUMIF($C$4:C339, "ÜRETİM GİRİŞ", $J$4:J339))), 0), 0)</f>
        <v>0</v>
      </c>
      <c r="U340" s="96">
        <f t="shared" si="13"/>
        <v>0</v>
      </c>
      <c r="V340" s="96">
        <f t="shared" si="14"/>
        <v>0</v>
      </c>
    </row>
    <row r="341" spans="2:22" x14ac:dyDescent="0.25">
      <c r="B341" s="87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96">
        <f>IF(OR(C341="MAL ALIMI", C341="ÜRETİM GİRİŞ"), IF(J341 - MAX(0, $I$2 - (SUMIF($C$4:C340, "MAL ALIMI", $J$4:J340) + SUMIF($C$4:C340, "ÜRETİM GİRİŞ", $J$4:J340))) &gt; 0, J341 - MAX(0, $I$2 - (SUMIF($C$4:C340, "MAL ALIMI", $J$4:J340) + SUMIF($C$4:C340, "ÜRETİM GİRİŞ", $J$4:J340))), 0), 0)</f>
        <v>0</v>
      </c>
      <c r="U341" s="96">
        <f t="shared" si="13"/>
        <v>0</v>
      </c>
      <c r="V341" s="96">
        <f t="shared" si="14"/>
        <v>0</v>
      </c>
    </row>
    <row r="342" spans="2:22" x14ac:dyDescent="0.25">
      <c r="B342" s="87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96">
        <f>IF(OR(C342="MAL ALIMI", C342="ÜRETİM GİRİŞ"), IF(J342 - MAX(0, $I$2 - (SUMIF($C$4:C341, "MAL ALIMI", $J$4:J341) + SUMIF($C$4:C341, "ÜRETİM GİRİŞ", $J$4:J341))) &gt; 0, J342 - MAX(0, $I$2 - (SUMIF($C$4:C341, "MAL ALIMI", $J$4:J341) + SUMIF($C$4:C341, "ÜRETİM GİRİŞ", $J$4:J341))), 0), 0)</f>
        <v>0</v>
      </c>
      <c r="U342" s="96">
        <f t="shared" si="13"/>
        <v>0</v>
      </c>
      <c r="V342" s="96">
        <f t="shared" si="14"/>
        <v>0</v>
      </c>
    </row>
    <row r="343" spans="2:22" x14ac:dyDescent="0.25">
      <c r="B343" s="87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96">
        <f>IF(OR(C343="MAL ALIMI", C343="ÜRETİM GİRİŞ"), IF(J343 - MAX(0, $I$2 - (SUMIF($C$4:C342, "MAL ALIMI", $J$4:J342) + SUMIF($C$4:C342, "ÜRETİM GİRİŞ", $J$4:J342))) &gt; 0, J343 - MAX(0, $I$2 - (SUMIF($C$4:C342, "MAL ALIMI", $J$4:J342) + SUMIF($C$4:C342, "ÜRETİM GİRİŞ", $J$4:J342))), 0), 0)</f>
        <v>0</v>
      </c>
      <c r="U343" s="96">
        <f t="shared" si="13"/>
        <v>0</v>
      </c>
      <c r="V343" s="96">
        <f t="shared" si="14"/>
        <v>0</v>
      </c>
    </row>
    <row r="344" spans="2:22" x14ac:dyDescent="0.25">
      <c r="B344" s="87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96">
        <f>IF(OR(C344="MAL ALIMI", C344="ÜRETİM GİRİŞ"), IF(J344 - MAX(0, $I$2 - (SUMIF($C$4:C343, "MAL ALIMI", $J$4:J343) + SUMIF($C$4:C343, "ÜRETİM GİRİŞ", $J$4:J343))) &gt; 0, J344 - MAX(0, $I$2 - (SUMIF($C$4:C343, "MAL ALIMI", $J$4:J343) + SUMIF($C$4:C343, "ÜRETİM GİRİŞ", $J$4:J343))), 0), 0)</f>
        <v>0</v>
      </c>
      <c r="U344" s="96">
        <f t="shared" si="13"/>
        <v>0</v>
      </c>
      <c r="V344" s="96">
        <f t="shared" si="14"/>
        <v>0</v>
      </c>
    </row>
    <row r="345" spans="2:22" x14ac:dyDescent="0.25">
      <c r="B345" s="87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96">
        <f>IF(OR(C345="MAL ALIMI", C345="ÜRETİM GİRİŞ"), IF(J345 - MAX(0, $I$2 - (SUMIF($C$4:C344, "MAL ALIMI", $J$4:J344) + SUMIF($C$4:C344, "ÜRETİM GİRİŞ", $J$4:J344))) &gt; 0, J345 - MAX(0, $I$2 - (SUMIF($C$4:C344, "MAL ALIMI", $J$4:J344) + SUMIF($C$4:C344, "ÜRETİM GİRİŞ", $J$4:J344))), 0), 0)</f>
        <v>0</v>
      </c>
      <c r="U345" s="96">
        <f t="shared" si="13"/>
        <v>0</v>
      </c>
      <c r="V345" s="96">
        <f t="shared" si="14"/>
        <v>0</v>
      </c>
    </row>
    <row r="346" spans="2:22" x14ac:dyDescent="0.25">
      <c r="B346" s="87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96">
        <f>IF(OR(C346="MAL ALIMI", C346="ÜRETİM GİRİŞ"), IF(J346 - MAX(0, $I$2 - (SUMIF($C$4:C345, "MAL ALIMI", $J$4:J345) + SUMIF($C$4:C345, "ÜRETİM GİRİŞ", $J$4:J345))) &gt; 0, J346 - MAX(0, $I$2 - (SUMIF($C$4:C345, "MAL ALIMI", $J$4:J345) + SUMIF($C$4:C345, "ÜRETİM GİRİŞ", $J$4:J345))), 0), 0)</f>
        <v>0</v>
      </c>
      <c r="U346" s="96">
        <f t="shared" si="13"/>
        <v>0</v>
      </c>
      <c r="V346" s="96">
        <f t="shared" si="14"/>
        <v>0</v>
      </c>
    </row>
    <row r="347" spans="2:22" x14ac:dyDescent="0.25">
      <c r="B347" s="87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96">
        <f>IF(OR(C347="MAL ALIMI", C347="ÜRETİM GİRİŞ"), IF(J347 - MAX(0, $I$2 - (SUMIF($C$4:C346, "MAL ALIMI", $J$4:J346) + SUMIF($C$4:C346, "ÜRETİM GİRİŞ", $J$4:J346))) &gt; 0, J347 - MAX(0, $I$2 - (SUMIF($C$4:C346, "MAL ALIMI", $J$4:J346) + SUMIF($C$4:C346, "ÜRETİM GİRİŞ", $J$4:J346))), 0), 0)</f>
        <v>0</v>
      </c>
      <c r="U347" s="96">
        <f t="shared" si="13"/>
        <v>0</v>
      </c>
      <c r="V347" s="96">
        <f t="shared" si="14"/>
        <v>0</v>
      </c>
    </row>
    <row r="348" spans="2:22" x14ac:dyDescent="0.25">
      <c r="B348" s="87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96">
        <f>IF(OR(C348="MAL ALIMI", C348="ÜRETİM GİRİŞ"), IF(J348 - MAX(0, $I$2 - (SUMIF($C$4:C347, "MAL ALIMI", $J$4:J347) + SUMIF($C$4:C347, "ÜRETİM GİRİŞ", $J$4:J347))) &gt; 0, J348 - MAX(0, $I$2 - (SUMIF($C$4:C347, "MAL ALIMI", $J$4:J347) + SUMIF($C$4:C347, "ÜRETİM GİRİŞ", $J$4:J347))), 0), 0)</f>
        <v>0</v>
      </c>
      <c r="U348" s="96">
        <f t="shared" si="13"/>
        <v>0</v>
      </c>
      <c r="V348" s="96">
        <f t="shared" si="14"/>
        <v>0</v>
      </c>
    </row>
    <row r="349" spans="2:22" x14ac:dyDescent="0.25">
      <c r="B349" s="87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96">
        <f>IF(OR(C349="MAL ALIMI", C349="ÜRETİM GİRİŞ"), IF(J349 - MAX(0, $I$2 - (SUMIF($C$4:C348, "MAL ALIMI", $J$4:J348) + SUMIF($C$4:C348, "ÜRETİM GİRİŞ", $J$4:J348))) &gt; 0, J349 - MAX(0, $I$2 - (SUMIF($C$4:C348, "MAL ALIMI", $J$4:J348) + SUMIF($C$4:C348, "ÜRETİM GİRİŞ", $J$4:J348))), 0), 0)</f>
        <v>0</v>
      </c>
      <c r="U349" s="96">
        <f t="shared" si="13"/>
        <v>0</v>
      </c>
      <c r="V349" s="96">
        <f t="shared" si="14"/>
        <v>0</v>
      </c>
    </row>
    <row r="350" spans="2:22" x14ac:dyDescent="0.25">
      <c r="B350" s="87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96">
        <f>IF(OR(C350="MAL ALIMI", C350="ÜRETİM GİRİŞ"), IF(J350 - MAX(0, $I$2 - (SUMIF($C$4:C349, "MAL ALIMI", $J$4:J349) + SUMIF($C$4:C349, "ÜRETİM GİRİŞ", $J$4:J349))) &gt; 0, J350 - MAX(0, $I$2 - (SUMIF($C$4:C349, "MAL ALIMI", $J$4:J349) + SUMIF($C$4:C349, "ÜRETİM GİRİŞ", $J$4:J349))), 0), 0)</f>
        <v>0</v>
      </c>
      <c r="U350" s="96">
        <f t="shared" si="13"/>
        <v>0</v>
      </c>
      <c r="V350" s="96">
        <f t="shared" si="14"/>
        <v>0</v>
      </c>
    </row>
    <row r="351" spans="2:22" x14ac:dyDescent="0.25">
      <c r="B351" s="87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96">
        <f>IF(OR(C351="MAL ALIMI", C351="ÜRETİM GİRİŞ"), IF(J351 - MAX(0, $I$2 - (SUMIF($C$4:C350, "MAL ALIMI", $J$4:J350) + SUMIF($C$4:C350, "ÜRETİM GİRİŞ", $J$4:J350))) &gt; 0, J351 - MAX(0, $I$2 - (SUMIF($C$4:C350, "MAL ALIMI", $J$4:J350) + SUMIF($C$4:C350, "ÜRETİM GİRİŞ", $J$4:J350))), 0), 0)</f>
        <v>0</v>
      </c>
      <c r="U351" s="96">
        <f t="shared" si="13"/>
        <v>0</v>
      </c>
      <c r="V351" s="96">
        <f t="shared" si="14"/>
        <v>0</v>
      </c>
    </row>
    <row r="352" spans="2:22" x14ac:dyDescent="0.25">
      <c r="B352" s="87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96">
        <f>IF(OR(C352="MAL ALIMI", C352="ÜRETİM GİRİŞ"), IF(J352 - MAX(0, $I$2 - (SUMIF($C$4:C351, "MAL ALIMI", $J$4:J351) + SUMIF($C$4:C351, "ÜRETİM GİRİŞ", $J$4:J351))) &gt; 0, J352 - MAX(0, $I$2 - (SUMIF($C$4:C351, "MAL ALIMI", $J$4:J351) + SUMIF($C$4:C351, "ÜRETİM GİRİŞ", $J$4:J351))), 0), 0)</f>
        <v>0</v>
      </c>
      <c r="U352" s="96">
        <f t="shared" si="13"/>
        <v>0</v>
      </c>
      <c r="V352" s="96">
        <f t="shared" si="14"/>
        <v>0</v>
      </c>
    </row>
    <row r="353" spans="2:22" x14ac:dyDescent="0.25">
      <c r="B353" s="87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96">
        <f>IF(OR(C353="MAL ALIMI", C353="ÜRETİM GİRİŞ"), IF(J353 - MAX(0, $I$2 - (SUMIF($C$4:C352, "MAL ALIMI", $J$4:J352) + SUMIF($C$4:C352, "ÜRETİM GİRİŞ", $J$4:J352))) &gt; 0, J353 - MAX(0, $I$2 - (SUMIF($C$4:C352, "MAL ALIMI", $J$4:J352) + SUMIF($C$4:C352, "ÜRETİM GİRİŞ", $J$4:J352))), 0), 0)</f>
        <v>0</v>
      </c>
      <c r="U353" s="96">
        <f t="shared" si="13"/>
        <v>0</v>
      </c>
      <c r="V353" s="96">
        <f t="shared" si="14"/>
        <v>0</v>
      </c>
    </row>
    <row r="354" spans="2:22" x14ac:dyDescent="0.25">
      <c r="B354" s="87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96">
        <f>IF(OR(C354="MAL ALIMI", C354="ÜRETİM GİRİŞ"), IF(J354 - MAX(0, $I$2 - (SUMIF($C$4:C353, "MAL ALIMI", $J$4:J353) + SUMIF($C$4:C353, "ÜRETİM GİRİŞ", $J$4:J353))) &gt; 0, J354 - MAX(0, $I$2 - (SUMIF($C$4:C353, "MAL ALIMI", $J$4:J353) + SUMIF($C$4:C353, "ÜRETİM GİRİŞ", $J$4:J353))), 0), 0)</f>
        <v>0</v>
      </c>
      <c r="U354" s="96">
        <f t="shared" si="13"/>
        <v>0</v>
      </c>
      <c r="V354" s="96">
        <f t="shared" si="14"/>
        <v>0</v>
      </c>
    </row>
    <row r="355" spans="2:22" x14ac:dyDescent="0.25">
      <c r="B355" s="87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96">
        <f>IF(OR(C355="MAL ALIMI", C355="ÜRETİM GİRİŞ"), IF(J355 - MAX(0, $I$2 - (SUMIF($C$4:C354, "MAL ALIMI", $J$4:J354) + SUMIF($C$4:C354, "ÜRETİM GİRİŞ", $J$4:J354))) &gt; 0, J355 - MAX(0, $I$2 - (SUMIF($C$4:C354, "MAL ALIMI", $J$4:J354) + SUMIF($C$4:C354, "ÜRETİM GİRİŞ", $J$4:J354))), 0), 0)</f>
        <v>0</v>
      </c>
      <c r="U355" s="96">
        <f t="shared" si="13"/>
        <v>0</v>
      </c>
      <c r="V355" s="96">
        <f t="shared" si="14"/>
        <v>0</v>
      </c>
    </row>
    <row r="356" spans="2:22" x14ac:dyDescent="0.25">
      <c r="B356" s="87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96">
        <f>IF(OR(C356="MAL ALIMI", C356="ÜRETİM GİRİŞ"), IF(J356 - MAX(0, $I$2 - (SUMIF($C$4:C355, "MAL ALIMI", $J$4:J355) + SUMIF($C$4:C355, "ÜRETİM GİRİŞ", $J$4:J355))) &gt; 0, J356 - MAX(0, $I$2 - (SUMIF($C$4:C355, "MAL ALIMI", $J$4:J355) + SUMIF($C$4:C355, "ÜRETİM GİRİŞ", $J$4:J355))), 0), 0)</f>
        <v>0</v>
      </c>
      <c r="U356" s="96">
        <f t="shared" si="13"/>
        <v>0</v>
      </c>
      <c r="V356" s="96">
        <f t="shared" si="14"/>
        <v>0</v>
      </c>
    </row>
    <row r="357" spans="2:22" x14ac:dyDescent="0.25">
      <c r="B357" s="87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96">
        <f>IF(OR(C357="MAL ALIMI", C357="ÜRETİM GİRİŞ"), IF(J357 - MAX(0, $I$2 - (SUMIF($C$4:C356, "MAL ALIMI", $J$4:J356) + SUMIF($C$4:C356, "ÜRETİM GİRİŞ", $J$4:J356))) &gt; 0, J357 - MAX(0, $I$2 - (SUMIF($C$4:C356, "MAL ALIMI", $J$4:J356) + SUMIF($C$4:C356, "ÜRETİM GİRİŞ", $J$4:J356))), 0), 0)</f>
        <v>0</v>
      </c>
      <c r="U357" s="96">
        <f t="shared" si="13"/>
        <v>0</v>
      </c>
      <c r="V357" s="96">
        <f t="shared" si="14"/>
        <v>0</v>
      </c>
    </row>
    <row r="358" spans="2:22" x14ac:dyDescent="0.25">
      <c r="B358" s="87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96">
        <f>IF(OR(C358="MAL ALIMI", C358="ÜRETİM GİRİŞ"), IF(J358 - MAX(0, $I$2 - (SUMIF($C$4:C357, "MAL ALIMI", $J$4:J357) + SUMIF($C$4:C357, "ÜRETİM GİRİŞ", $J$4:J357))) &gt; 0, J358 - MAX(0, $I$2 - (SUMIF($C$4:C357, "MAL ALIMI", $J$4:J357) + SUMIF($C$4:C357, "ÜRETİM GİRİŞ", $J$4:J357))), 0), 0)</f>
        <v>0</v>
      </c>
      <c r="U358" s="96">
        <f t="shared" si="13"/>
        <v>0</v>
      </c>
      <c r="V358" s="96">
        <f t="shared" si="14"/>
        <v>0</v>
      </c>
    </row>
    <row r="359" spans="2:22" x14ac:dyDescent="0.25">
      <c r="B359" s="87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96">
        <f>IF(OR(C359="MAL ALIMI", C359="ÜRETİM GİRİŞ"), IF(J359 - MAX(0, $I$2 - (SUMIF($C$4:C358, "MAL ALIMI", $J$4:J358) + SUMIF($C$4:C358, "ÜRETİM GİRİŞ", $J$4:J358))) &gt; 0, J359 - MAX(0, $I$2 - (SUMIF($C$4:C358, "MAL ALIMI", $J$4:J358) + SUMIF($C$4:C358, "ÜRETİM GİRİŞ", $J$4:J358))), 0), 0)</f>
        <v>0</v>
      </c>
      <c r="U359" s="96">
        <f t="shared" si="13"/>
        <v>0</v>
      </c>
      <c r="V359" s="96">
        <f t="shared" si="14"/>
        <v>0</v>
      </c>
    </row>
    <row r="360" spans="2:22" x14ac:dyDescent="0.25">
      <c r="B360" s="87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96">
        <f>IF(OR(C360="MAL ALIMI", C360="ÜRETİM GİRİŞ"), IF(J360 - MAX(0, $I$2 - (SUMIF($C$4:C359, "MAL ALIMI", $J$4:J359) + SUMIF($C$4:C359, "ÜRETİM GİRİŞ", $J$4:J359))) &gt; 0, J360 - MAX(0, $I$2 - (SUMIF($C$4:C359, "MAL ALIMI", $J$4:J359) + SUMIF($C$4:C359, "ÜRETİM GİRİŞ", $J$4:J359))), 0), 0)</f>
        <v>0</v>
      </c>
      <c r="U360" s="96">
        <f t="shared" si="13"/>
        <v>0</v>
      </c>
      <c r="V360" s="96">
        <f t="shared" si="14"/>
        <v>0</v>
      </c>
    </row>
    <row r="361" spans="2:22" x14ac:dyDescent="0.25">
      <c r="B361" s="87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96">
        <f>IF(OR(C361="MAL ALIMI", C361="ÜRETİM GİRİŞ"), IF(J361 - MAX(0, $I$2 - (SUMIF($C$4:C360, "MAL ALIMI", $J$4:J360) + SUMIF($C$4:C360, "ÜRETİM GİRİŞ", $J$4:J360))) &gt; 0, J361 - MAX(0, $I$2 - (SUMIF($C$4:C360, "MAL ALIMI", $J$4:J360) + SUMIF($C$4:C360, "ÜRETİM GİRİŞ", $J$4:J360))), 0), 0)</f>
        <v>0</v>
      </c>
      <c r="U361" s="96">
        <f t="shared" si="13"/>
        <v>0</v>
      </c>
      <c r="V361" s="96">
        <f t="shared" si="14"/>
        <v>0</v>
      </c>
    </row>
    <row r="362" spans="2:22" x14ac:dyDescent="0.25">
      <c r="B362" s="87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96">
        <f>IF(OR(C362="MAL ALIMI", C362="ÜRETİM GİRİŞ"), IF(J362 - MAX(0, $I$2 - (SUMIF($C$4:C361, "MAL ALIMI", $J$4:J361) + SUMIF($C$4:C361, "ÜRETİM GİRİŞ", $J$4:J361))) &gt; 0, J362 - MAX(0, $I$2 - (SUMIF($C$4:C361, "MAL ALIMI", $J$4:J361) + SUMIF($C$4:C361, "ÜRETİM GİRİŞ", $J$4:J361))), 0), 0)</f>
        <v>0</v>
      </c>
      <c r="U362" s="96">
        <f t="shared" si="13"/>
        <v>0</v>
      </c>
      <c r="V362" s="96">
        <f t="shared" si="14"/>
        <v>0</v>
      </c>
    </row>
    <row r="363" spans="2:22" x14ac:dyDescent="0.25">
      <c r="B363" s="87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96">
        <f>IF(OR(C363="MAL ALIMI", C363="ÜRETİM GİRİŞ"), IF(J363 - MAX(0, $I$2 - (SUMIF($C$4:C362, "MAL ALIMI", $J$4:J362) + SUMIF($C$4:C362, "ÜRETİM GİRİŞ", $J$4:J362))) &gt; 0, J363 - MAX(0, $I$2 - (SUMIF($C$4:C362, "MAL ALIMI", $J$4:J362) + SUMIF($C$4:C362, "ÜRETİM GİRİŞ", $J$4:J362))), 0), 0)</f>
        <v>0</v>
      </c>
      <c r="U363" s="96">
        <f t="shared" si="13"/>
        <v>0</v>
      </c>
      <c r="V363" s="96">
        <f t="shared" si="14"/>
        <v>0</v>
      </c>
    </row>
    <row r="364" spans="2:22" x14ac:dyDescent="0.25">
      <c r="B364" s="87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96">
        <f>IF(OR(C364="MAL ALIMI", C364="ÜRETİM GİRİŞ"), IF(J364 - MAX(0, $I$2 - (SUMIF($C$4:C363, "MAL ALIMI", $J$4:J363) + SUMIF($C$4:C363, "ÜRETİM GİRİŞ", $J$4:J363))) &gt; 0, J364 - MAX(0, $I$2 - (SUMIF($C$4:C363, "MAL ALIMI", $J$4:J363) + SUMIF($C$4:C363, "ÜRETİM GİRİŞ", $J$4:J363))), 0), 0)</f>
        <v>0</v>
      </c>
      <c r="U364" s="96">
        <f t="shared" si="13"/>
        <v>0</v>
      </c>
      <c r="V364" s="96">
        <f t="shared" si="14"/>
        <v>0</v>
      </c>
    </row>
    <row r="365" spans="2:22" x14ac:dyDescent="0.25">
      <c r="B365" s="87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96">
        <f>IF(OR(C365="MAL ALIMI", C365="ÜRETİM GİRİŞ"), IF(J365 - MAX(0, $I$2 - (SUMIF($C$4:C364, "MAL ALIMI", $J$4:J364) + SUMIF($C$4:C364, "ÜRETİM GİRİŞ", $J$4:J364))) &gt; 0, J365 - MAX(0, $I$2 - (SUMIF($C$4:C364, "MAL ALIMI", $J$4:J364) + SUMIF($C$4:C364, "ÜRETİM GİRİŞ", $J$4:J364))), 0), 0)</f>
        <v>0</v>
      </c>
      <c r="U365" s="96">
        <f t="shared" si="13"/>
        <v>0</v>
      </c>
      <c r="V365" s="96">
        <f t="shared" si="14"/>
        <v>0</v>
      </c>
    </row>
    <row r="366" spans="2:22" x14ac:dyDescent="0.25">
      <c r="B366" s="87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96">
        <f>IF(OR(C366="MAL ALIMI", C366="ÜRETİM GİRİŞ"), IF(J366 - MAX(0, $I$2 - (SUMIF($C$4:C365, "MAL ALIMI", $J$4:J365) + SUMIF($C$4:C365, "ÜRETİM GİRİŞ", $J$4:J365))) &gt; 0, J366 - MAX(0, $I$2 - (SUMIF($C$4:C365, "MAL ALIMI", $J$4:J365) + SUMIF($C$4:C365, "ÜRETİM GİRİŞ", $J$4:J365))), 0), 0)</f>
        <v>0</v>
      </c>
      <c r="U366" s="96">
        <f t="shared" si="13"/>
        <v>0</v>
      </c>
      <c r="V366" s="96">
        <f t="shared" si="14"/>
        <v>0</v>
      </c>
    </row>
    <row r="367" spans="2:22" x14ac:dyDescent="0.25">
      <c r="B367" s="87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96">
        <f>IF(OR(C367="MAL ALIMI", C367="ÜRETİM GİRİŞ"), IF(J367 - MAX(0, $I$2 - (SUMIF($C$4:C366, "MAL ALIMI", $J$4:J366) + SUMIF($C$4:C366, "ÜRETİM GİRİŞ", $J$4:J366))) &gt; 0, J367 - MAX(0, $I$2 - (SUMIF($C$4:C366, "MAL ALIMI", $J$4:J366) + SUMIF($C$4:C366, "ÜRETİM GİRİŞ", $J$4:J366))), 0), 0)</f>
        <v>0</v>
      </c>
      <c r="U367" s="96">
        <f t="shared" si="13"/>
        <v>0</v>
      </c>
      <c r="V367" s="96">
        <f t="shared" si="14"/>
        <v>0</v>
      </c>
    </row>
    <row r="368" spans="2:22" x14ac:dyDescent="0.25">
      <c r="B368" s="87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96">
        <f>IF(OR(C368="MAL ALIMI", C368="ÜRETİM GİRİŞ"), IF(J368 - MAX(0, $I$2 - (SUMIF($C$4:C367, "MAL ALIMI", $J$4:J367) + SUMIF($C$4:C367, "ÜRETİM GİRİŞ", $J$4:J367))) &gt; 0, J368 - MAX(0, $I$2 - (SUMIF($C$4:C367, "MAL ALIMI", $J$4:J367) + SUMIF($C$4:C367, "ÜRETİM GİRİŞ", $J$4:J367))), 0), 0)</f>
        <v>0</v>
      </c>
      <c r="U368" s="96">
        <f t="shared" si="13"/>
        <v>0</v>
      </c>
      <c r="V368" s="96">
        <f t="shared" si="14"/>
        <v>0</v>
      </c>
    </row>
    <row r="369" spans="2:22" x14ac:dyDescent="0.25">
      <c r="B369" s="87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96">
        <f>IF(OR(C369="MAL ALIMI", C369="ÜRETİM GİRİŞ"), IF(J369 - MAX(0, $I$2 - (SUMIF($C$4:C368, "MAL ALIMI", $J$4:J368) + SUMIF($C$4:C368, "ÜRETİM GİRİŞ", $J$4:J368))) &gt; 0, J369 - MAX(0, $I$2 - (SUMIF($C$4:C368, "MAL ALIMI", $J$4:J368) + SUMIF($C$4:C368, "ÜRETİM GİRİŞ", $J$4:J368))), 0), 0)</f>
        <v>0</v>
      </c>
      <c r="U369" s="96">
        <f t="shared" si="13"/>
        <v>0</v>
      </c>
      <c r="V369" s="96">
        <f t="shared" si="14"/>
        <v>0</v>
      </c>
    </row>
    <row r="370" spans="2:22" x14ac:dyDescent="0.25">
      <c r="B370" s="87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96">
        <f>IF(OR(C370="MAL ALIMI", C370="ÜRETİM GİRİŞ"), IF(J370 - MAX(0, $I$2 - (SUMIF($C$4:C369, "MAL ALIMI", $J$4:J369) + SUMIF($C$4:C369, "ÜRETİM GİRİŞ", $J$4:J369))) &gt; 0, J370 - MAX(0, $I$2 - (SUMIF($C$4:C369, "MAL ALIMI", $J$4:J369) + SUMIF($C$4:C369, "ÜRETİM GİRİŞ", $J$4:J369))), 0), 0)</f>
        <v>0</v>
      </c>
      <c r="U370" s="96">
        <f t="shared" si="13"/>
        <v>0</v>
      </c>
      <c r="V370" s="96">
        <f t="shared" si="14"/>
        <v>0</v>
      </c>
    </row>
    <row r="371" spans="2:22" x14ac:dyDescent="0.25">
      <c r="B371" s="87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96">
        <f>IF(OR(C371="MAL ALIMI", C371="ÜRETİM GİRİŞ"), IF(J371 - MAX(0, $I$2 - (SUMIF($C$4:C370, "MAL ALIMI", $J$4:J370) + SUMIF($C$4:C370, "ÜRETİM GİRİŞ", $J$4:J370))) &gt; 0, J371 - MAX(0, $I$2 - (SUMIF($C$4:C370, "MAL ALIMI", $J$4:J370) + SUMIF($C$4:C370, "ÜRETİM GİRİŞ", $J$4:J370))), 0), 0)</f>
        <v>0</v>
      </c>
      <c r="U371" s="96">
        <f t="shared" si="13"/>
        <v>0</v>
      </c>
      <c r="V371" s="96">
        <f t="shared" si="14"/>
        <v>0</v>
      </c>
    </row>
    <row r="372" spans="2:22" x14ac:dyDescent="0.25">
      <c r="B372" s="87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96">
        <f>IF(OR(C372="MAL ALIMI", C372="ÜRETİM GİRİŞ"), IF(J372 - MAX(0, $I$2 - (SUMIF($C$4:C371, "MAL ALIMI", $J$4:J371) + SUMIF($C$4:C371, "ÜRETİM GİRİŞ", $J$4:J371))) &gt; 0, J372 - MAX(0, $I$2 - (SUMIF($C$4:C371, "MAL ALIMI", $J$4:J371) + SUMIF($C$4:C371, "ÜRETİM GİRİŞ", $J$4:J371))), 0), 0)</f>
        <v>0</v>
      </c>
      <c r="U372" s="96">
        <f t="shared" si="13"/>
        <v>0</v>
      </c>
      <c r="V372" s="96">
        <f t="shared" si="14"/>
        <v>0</v>
      </c>
    </row>
    <row r="373" spans="2:22" x14ac:dyDescent="0.25">
      <c r="B373" s="87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96">
        <f>IF(OR(C373="MAL ALIMI", C373="ÜRETİM GİRİŞ"), IF(J373 - MAX(0, $I$2 - (SUMIF($C$4:C372, "MAL ALIMI", $J$4:J372) + SUMIF($C$4:C372, "ÜRETİM GİRİŞ", $J$4:J372))) &gt; 0, J373 - MAX(0, $I$2 - (SUMIF($C$4:C372, "MAL ALIMI", $J$4:J372) + SUMIF($C$4:C372, "ÜRETİM GİRİŞ", $J$4:J372))), 0), 0)</f>
        <v>0</v>
      </c>
      <c r="U373" s="96">
        <f t="shared" si="13"/>
        <v>0</v>
      </c>
      <c r="V373" s="96">
        <f t="shared" si="14"/>
        <v>0</v>
      </c>
    </row>
    <row r="374" spans="2:22" x14ac:dyDescent="0.25">
      <c r="B374" s="87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96">
        <f>IF(OR(C374="MAL ALIMI", C374="ÜRETİM GİRİŞ"), IF(J374 - MAX(0, $I$2 - (SUMIF($C$4:C373, "MAL ALIMI", $J$4:J373) + SUMIF($C$4:C373, "ÜRETİM GİRİŞ", $J$4:J373))) &gt; 0, J374 - MAX(0, $I$2 - (SUMIF($C$4:C373, "MAL ALIMI", $J$4:J373) + SUMIF($C$4:C373, "ÜRETİM GİRİŞ", $J$4:J373))), 0), 0)</f>
        <v>0</v>
      </c>
      <c r="U374" s="96">
        <f t="shared" si="13"/>
        <v>0</v>
      </c>
      <c r="V374" s="96">
        <f t="shared" si="14"/>
        <v>0</v>
      </c>
    </row>
    <row r="375" spans="2:22" x14ac:dyDescent="0.25">
      <c r="B375" s="87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96">
        <f>IF(OR(C375="MAL ALIMI", C375="ÜRETİM GİRİŞ"), IF(J375 - MAX(0, $I$2 - (SUMIF($C$4:C374, "MAL ALIMI", $J$4:J374) + SUMIF($C$4:C374, "ÜRETİM GİRİŞ", $J$4:J374))) &gt; 0, J375 - MAX(0, $I$2 - (SUMIF($C$4:C374, "MAL ALIMI", $J$4:J374) + SUMIF($C$4:C374, "ÜRETİM GİRİŞ", $J$4:J374))), 0), 0)</f>
        <v>0</v>
      </c>
      <c r="U375" s="96">
        <f t="shared" si="13"/>
        <v>0</v>
      </c>
      <c r="V375" s="96">
        <f t="shared" si="14"/>
        <v>0</v>
      </c>
    </row>
    <row r="376" spans="2:22" x14ac:dyDescent="0.25">
      <c r="B376" s="87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96">
        <f>IF(OR(C376="MAL ALIMI", C376="ÜRETİM GİRİŞ"), IF(J376 - MAX(0, $I$2 - (SUMIF($C$4:C375, "MAL ALIMI", $J$4:J375) + SUMIF($C$4:C375, "ÜRETİM GİRİŞ", $J$4:J375))) &gt; 0, J376 - MAX(0, $I$2 - (SUMIF($C$4:C375, "MAL ALIMI", $J$4:J375) + SUMIF($C$4:C375, "ÜRETİM GİRİŞ", $J$4:J375))), 0), 0)</f>
        <v>0</v>
      </c>
      <c r="U376" s="96">
        <f t="shared" si="13"/>
        <v>0</v>
      </c>
      <c r="V376" s="96">
        <f t="shared" si="14"/>
        <v>0</v>
      </c>
    </row>
    <row r="377" spans="2:22" x14ac:dyDescent="0.25">
      <c r="B377" s="87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96">
        <f>IF(OR(C377="MAL ALIMI", C377="ÜRETİM GİRİŞ"), IF(J377 - MAX(0, $I$2 - (SUMIF($C$4:C376, "MAL ALIMI", $J$4:J376) + SUMIF($C$4:C376, "ÜRETİM GİRİŞ", $J$4:J376))) &gt; 0, J377 - MAX(0, $I$2 - (SUMIF($C$4:C376, "MAL ALIMI", $J$4:J376) + SUMIF($C$4:C376, "ÜRETİM GİRİŞ", $J$4:J376))), 0), 0)</f>
        <v>0</v>
      </c>
      <c r="U377" s="96">
        <f t="shared" si="13"/>
        <v>0</v>
      </c>
      <c r="V377" s="96">
        <f t="shared" si="14"/>
        <v>0</v>
      </c>
    </row>
    <row r="378" spans="2:22" x14ac:dyDescent="0.25">
      <c r="B378" s="87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96">
        <f>IF(OR(C378="MAL ALIMI", C378="ÜRETİM GİRİŞ"), IF(J378 - MAX(0, $I$2 - (SUMIF($C$4:C377, "MAL ALIMI", $J$4:J377) + SUMIF($C$4:C377, "ÜRETİM GİRİŞ", $J$4:J377))) &gt; 0, J378 - MAX(0, $I$2 - (SUMIF($C$4:C377, "MAL ALIMI", $J$4:J377) + SUMIF($C$4:C377, "ÜRETİM GİRİŞ", $J$4:J377))), 0), 0)</f>
        <v>0</v>
      </c>
      <c r="U378" s="96">
        <f t="shared" si="13"/>
        <v>0</v>
      </c>
      <c r="V378" s="96">
        <f t="shared" si="14"/>
        <v>0</v>
      </c>
    </row>
    <row r="379" spans="2:22" x14ac:dyDescent="0.25">
      <c r="B379" s="87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96">
        <f>IF(OR(C379="MAL ALIMI", C379="ÜRETİM GİRİŞ"), IF(J379 - MAX(0, $I$2 - (SUMIF($C$4:C378, "MAL ALIMI", $J$4:J378) + SUMIF($C$4:C378, "ÜRETİM GİRİŞ", $J$4:J378))) &gt; 0, J379 - MAX(0, $I$2 - (SUMIF($C$4:C378, "MAL ALIMI", $J$4:J378) + SUMIF($C$4:C378, "ÜRETİM GİRİŞ", $J$4:J378))), 0), 0)</f>
        <v>0</v>
      </c>
      <c r="U379" s="96">
        <f t="shared" si="13"/>
        <v>0</v>
      </c>
      <c r="V379" s="96">
        <f t="shared" si="14"/>
        <v>0</v>
      </c>
    </row>
    <row r="380" spans="2:22" x14ac:dyDescent="0.25">
      <c r="B380" s="87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96">
        <f>IF(OR(C380="MAL ALIMI", C380="ÜRETİM GİRİŞ"), IF(J380 - MAX(0, $I$2 - (SUMIF($C$4:C379, "MAL ALIMI", $J$4:J379) + SUMIF($C$4:C379, "ÜRETİM GİRİŞ", $J$4:J379))) &gt; 0, J380 - MAX(0, $I$2 - (SUMIF($C$4:C379, "MAL ALIMI", $J$4:J379) + SUMIF($C$4:C379, "ÜRETİM GİRİŞ", $J$4:J379))), 0), 0)</f>
        <v>0</v>
      </c>
      <c r="U380" s="96">
        <f t="shared" si="13"/>
        <v>0</v>
      </c>
      <c r="V380" s="96">
        <f t="shared" si="14"/>
        <v>0</v>
      </c>
    </row>
    <row r="381" spans="2:22" x14ac:dyDescent="0.25">
      <c r="B381" s="87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96">
        <f>IF(OR(C381="MAL ALIMI", C381="ÜRETİM GİRİŞ"), IF(J381 - MAX(0, $I$2 - (SUMIF($C$4:C380, "MAL ALIMI", $J$4:J380) + SUMIF($C$4:C380, "ÜRETİM GİRİŞ", $J$4:J380))) &gt; 0, J381 - MAX(0, $I$2 - (SUMIF($C$4:C380, "MAL ALIMI", $J$4:J380) + SUMIF($C$4:C380, "ÜRETİM GİRİŞ", $J$4:J380))), 0), 0)</f>
        <v>0</v>
      </c>
      <c r="U381" s="96">
        <f t="shared" si="13"/>
        <v>0</v>
      </c>
      <c r="V381" s="96">
        <f t="shared" si="14"/>
        <v>0</v>
      </c>
    </row>
    <row r="382" spans="2:22" x14ac:dyDescent="0.25">
      <c r="B382" s="87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96">
        <f>IF(OR(C382="MAL ALIMI", C382="ÜRETİM GİRİŞ"), IF(J382 - MAX(0, $I$2 - (SUMIF($C$4:C381, "MAL ALIMI", $J$4:J381) + SUMIF($C$4:C381, "ÜRETİM GİRİŞ", $J$4:J381))) &gt; 0, J382 - MAX(0, $I$2 - (SUMIF($C$4:C381, "MAL ALIMI", $J$4:J381) + SUMIF($C$4:C381, "ÜRETİM GİRİŞ", $J$4:J381))), 0), 0)</f>
        <v>0</v>
      </c>
      <c r="U382" s="96">
        <f t="shared" si="13"/>
        <v>0</v>
      </c>
      <c r="V382" s="96">
        <f t="shared" si="14"/>
        <v>0</v>
      </c>
    </row>
    <row r="383" spans="2:22" x14ac:dyDescent="0.25">
      <c r="B383" s="87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96">
        <f>IF(OR(C383="MAL ALIMI", C383="ÜRETİM GİRİŞ"), IF(J383 - MAX(0, $I$2 - (SUMIF($C$4:C382, "MAL ALIMI", $J$4:J382) + SUMIF($C$4:C382, "ÜRETİM GİRİŞ", $J$4:J382))) &gt; 0, J383 - MAX(0, $I$2 - (SUMIF($C$4:C382, "MAL ALIMI", $J$4:J382) + SUMIF($C$4:C382, "ÜRETİM GİRİŞ", $J$4:J382))), 0), 0)</f>
        <v>0</v>
      </c>
      <c r="U383" s="96">
        <f t="shared" si="13"/>
        <v>0</v>
      </c>
      <c r="V383" s="96">
        <f t="shared" si="14"/>
        <v>0</v>
      </c>
    </row>
    <row r="384" spans="2:22" x14ac:dyDescent="0.25">
      <c r="B384" s="87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96">
        <f>IF(OR(C384="MAL ALIMI", C384="ÜRETİM GİRİŞ"), IF(J384 - MAX(0, $I$2 - (SUMIF($C$4:C383, "MAL ALIMI", $J$4:J383) + SUMIF($C$4:C383, "ÜRETİM GİRİŞ", $J$4:J383))) &gt; 0, J384 - MAX(0, $I$2 - (SUMIF($C$4:C383, "MAL ALIMI", $J$4:J383) + SUMIF($C$4:C383, "ÜRETİM GİRİŞ", $J$4:J383))), 0), 0)</f>
        <v>0</v>
      </c>
      <c r="U384" s="96">
        <f t="shared" si="13"/>
        <v>0</v>
      </c>
      <c r="V384" s="96">
        <f t="shared" si="14"/>
        <v>0</v>
      </c>
    </row>
    <row r="385" spans="2:22" x14ac:dyDescent="0.25">
      <c r="B385" s="87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96">
        <f>IF(OR(C385="MAL ALIMI", C385="ÜRETİM GİRİŞ"), IF(J385 - MAX(0, $I$2 - (SUMIF($C$4:C384, "MAL ALIMI", $J$4:J384) + SUMIF($C$4:C384, "ÜRETİM GİRİŞ", $J$4:J384))) &gt; 0, J385 - MAX(0, $I$2 - (SUMIF($C$4:C384, "MAL ALIMI", $J$4:J384) + SUMIF($C$4:C384, "ÜRETİM GİRİŞ", $J$4:J384))), 0), 0)</f>
        <v>0</v>
      </c>
      <c r="U385" s="96">
        <f t="shared" si="13"/>
        <v>0</v>
      </c>
      <c r="V385" s="96">
        <f t="shared" si="14"/>
        <v>0</v>
      </c>
    </row>
    <row r="386" spans="2:22" x14ac:dyDescent="0.25">
      <c r="B386" s="87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96">
        <f>IF(OR(C386="MAL ALIMI", C386="ÜRETİM GİRİŞ"), IF(J386 - MAX(0, $I$2 - (SUMIF($C$4:C385, "MAL ALIMI", $J$4:J385) + SUMIF($C$4:C385, "ÜRETİM GİRİŞ", $J$4:J385))) &gt; 0, J386 - MAX(0, $I$2 - (SUMIF($C$4:C385, "MAL ALIMI", $J$4:J385) + SUMIF($C$4:C385, "ÜRETİM GİRİŞ", $J$4:J385))), 0), 0)</f>
        <v>0</v>
      </c>
      <c r="U386" s="96">
        <f t="shared" si="13"/>
        <v>0</v>
      </c>
      <c r="V386" s="96">
        <f t="shared" si="14"/>
        <v>0</v>
      </c>
    </row>
    <row r="387" spans="2:22" x14ac:dyDescent="0.25">
      <c r="B387" s="87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96">
        <f>IF(OR(C387="MAL ALIMI", C387="ÜRETİM GİRİŞ"), IF(J387 - MAX(0, $I$2 - (SUMIF($C$4:C386, "MAL ALIMI", $J$4:J386) + SUMIF($C$4:C386, "ÜRETİM GİRİŞ", $J$4:J386))) &gt; 0, J387 - MAX(0, $I$2 - (SUMIF($C$4:C386, "MAL ALIMI", $J$4:J386) + SUMIF($C$4:C386, "ÜRETİM GİRİŞ", $J$4:J386))), 0), 0)</f>
        <v>0</v>
      </c>
      <c r="U387" s="96">
        <f t="shared" si="13"/>
        <v>0</v>
      </c>
      <c r="V387" s="96">
        <f t="shared" si="14"/>
        <v>0</v>
      </c>
    </row>
    <row r="388" spans="2:22" x14ac:dyDescent="0.25">
      <c r="B388" s="87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96">
        <f>IF(OR(C388="MAL ALIMI", C388="ÜRETİM GİRİŞ"), IF(J388 - MAX(0, $I$2 - (SUMIF($C$4:C387, "MAL ALIMI", $J$4:J387) + SUMIF($C$4:C387, "ÜRETİM GİRİŞ", $J$4:J387))) &gt; 0, J388 - MAX(0, $I$2 - (SUMIF($C$4:C387, "MAL ALIMI", $J$4:J387) + SUMIF($C$4:C387, "ÜRETİM GİRİŞ", $J$4:J387))), 0), 0)</f>
        <v>0</v>
      </c>
      <c r="U388" s="96">
        <f t="shared" si="13"/>
        <v>0</v>
      </c>
      <c r="V388" s="96">
        <f t="shared" si="14"/>
        <v>0</v>
      </c>
    </row>
    <row r="389" spans="2:22" x14ac:dyDescent="0.25">
      <c r="B389" s="87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96">
        <f>IF(OR(C389="MAL ALIMI", C389="ÜRETİM GİRİŞ"), IF(J389 - MAX(0, $I$2 - (SUMIF($C$4:C388, "MAL ALIMI", $J$4:J388) + SUMIF($C$4:C388, "ÜRETİM GİRİŞ", $J$4:J388))) &gt; 0, J389 - MAX(0, $I$2 - (SUMIF($C$4:C388, "MAL ALIMI", $J$4:J388) + SUMIF($C$4:C388, "ÜRETİM GİRİŞ", $J$4:J388))), 0), 0)</f>
        <v>0</v>
      </c>
      <c r="U389" s="96">
        <f t="shared" si="13"/>
        <v>0</v>
      </c>
      <c r="V389" s="96">
        <f t="shared" si="14"/>
        <v>0</v>
      </c>
    </row>
    <row r="390" spans="2:22" x14ac:dyDescent="0.25">
      <c r="B390" s="87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96">
        <f>IF(OR(C390="MAL ALIMI", C390="ÜRETİM GİRİŞ"), IF(J390 - MAX(0, $I$2 - (SUMIF($C$4:C389, "MAL ALIMI", $J$4:J389) + SUMIF($C$4:C389, "ÜRETİM GİRİŞ", $J$4:J389))) &gt; 0, J390 - MAX(0, $I$2 - (SUMIF($C$4:C389, "MAL ALIMI", $J$4:J389) + SUMIF($C$4:C389, "ÜRETİM GİRİŞ", $J$4:J389))), 0), 0)</f>
        <v>0</v>
      </c>
      <c r="U390" s="96">
        <f t="shared" ref="U390:U453" si="15">T390*K390</f>
        <v>0</v>
      </c>
      <c r="V390" s="96">
        <f t="shared" ref="V390:V453" si="16">IF(OR(C390="MAL ALIMI", C390="ÜRETİM GİRİŞ"), J390 * K390, 0)</f>
        <v>0</v>
      </c>
    </row>
    <row r="391" spans="2:22" x14ac:dyDescent="0.25">
      <c r="B391" s="87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96">
        <f>IF(OR(C391="MAL ALIMI", C391="ÜRETİM GİRİŞ"), IF(J391 - MAX(0, $I$2 - (SUMIF($C$4:C390, "MAL ALIMI", $J$4:J390) + SUMIF($C$4:C390, "ÜRETİM GİRİŞ", $J$4:J390))) &gt; 0, J391 - MAX(0, $I$2 - (SUMIF($C$4:C390, "MAL ALIMI", $J$4:J390) + SUMIF($C$4:C390, "ÜRETİM GİRİŞ", $J$4:J390))), 0), 0)</f>
        <v>0</v>
      </c>
      <c r="U391" s="96">
        <f t="shared" si="15"/>
        <v>0</v>
      </c>
      <c r="V391" s="96">
        <f t="shared" si="16"/>
        <v>0</v>
      </c>
    </row>
    <row r="392" spans="2:22" x14ac:dyDescent="0.25">
      <c r="B392" s="87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96">
        <f>IF(OR(C392="MAL ALIMI", C392="ÜRETİM GİRİŞ"), IF(J392 - MAX(0, $I$2 - (SUMIF($C$4:C391, "MAL ALIMI", $J$4:J391) + SUMIF($C$4:C391, "ÜRETİM GİRİŞ", $J$4:J391))) &gt; 0, J392 - MAX(0, $I$2 - (SUMIF($C$4:C391, "MAL ALIMI", $J$4:J391) + SUMIF($C$4:C391, "ÜRETİM GİRİŞ", $J$4:J391))), 0), 0)</f>
        <v>0</v>
      </c>
      <c r="U392" s="96">
        <f t="shared" si="15"/>
        <v>0</v>
      </c>
      <c r="V392" s="96">
        <f t="shared" si="16"/>
        <v>0</v>
      </c>
    </row>
    <row r="393" spans="2:22" x14ac:dyDescent="0.25">
      <c r="B393" s="87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96">
        <f>IF(OR(C393="MAL ALIMI", C393="ÜRETİM GİRİŞ"), IF(J393 - MAX(0, $I$2 - (SUMIF($C$4:C392, "MAL ALIMI", $J$4:J392) + SUMIF($C$4:C392, "ÜRETİM GİRİŞ", $J$4:J392))) &gt; 0, J393 - MAX(0, $I$2 - (SUMIF($C$4:C392, "MAL ALIMI", $J$4:J392) + SUMIF($C$4:C392, "ÜRETİM GİRİŞ", $J$4:J392))), 0), 0)</f>
        <v>0</v>
      </c>
      <c r="U393" s="96">
        <f t="shared" si="15"/>
        <v>0</v>
      </c>
      <c r="V393" s="96">
        <f t="shared" si="16"/>
        <v>0</v>
      </c>
    </row>
    <row r="394" spans="2:22" x14ac:dyDescent="0.25">
      <c r="B394" s="87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96">
        <f>IF(OR(C394="MAL ALIMI", C394="ÜRETİM GİRİŞ"), IF(J394 - MAX(0, $I$2 - (SUMIF($C$4:C393, "MAL ALIMI", $J$4:J393) + SUMIF($C$4:C393, "ÜRETİM GİRİŞ", $J$4:J393))) &gt; 0, J394 - MAX(0, $I$2 - (SUMIF($C$4:C393, "MAL ALIMI", $J$4:J393) + SUMIF($C$4:C393, "ÜRETİM GİRİŞ", $J$4:J393))), 0), 0)</f>
        <v>0</v>
      </c>
      <c r="U394" s="96">
        <f t="shared" si="15"/>
        <v>0</v>
      </c>
      <c r="V394" s="96">
        <f t="shared" si="16"/>
        <v>0</v>
      </c>
    </row>
    <row r="395" spans="2:22" x14ac:dyDescent="0.25">
      <c r="B395" s="87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96">
        <f>IF(OR(C395="MAL ALIMI", C395="ÜRETİM GİRİŞ"), IF(J395 - MAX(0, $I$2 - (SUMIF($C$4:C394, "MAL ALIMI", $J$4:J394) + SUMIF($C$4:C394, "ÜRETİM GİRİŞ", $J$4:J394))) &gt; 0, J395 - MAX(0, $I$2 - (SUMIF($C$4:C394, "MAL ALIMI", $J$4:J394) + SUMIF($C$4:C394, "ÜRETİM GİRİŞ", $J$4:J394))), 0), 0)</f>
        <v>0</v>
      </c>
      <c r="U395" s="96">
        <f t="shared" si="15"/>
        <v>0</v>
      </c>
      <c r="V395" s="96">
        <f t="shared" si="16"/>
        <v>0</v>
      </c>
    </row>
    <row r="396" spans="2:22" x14ac:dyDescent="0.25">
      <c r="B396" s="87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96">
        <f>IF(OR(C396="MAL ALIMI", C396="ÜRETİM GİRİŞ"), IF(J396 - MAX(0, $I$2 - (SUMIF($C$4:C395, "MAL ALIMI", $J$4:J395) + SUMIF($C$4:C395, "ÜRETİM GİRİŞ", $J$4:J395))) &gt; 0, J396 - MAX(0, $I$2 - (SUMIF($C$4:C395, "MAL ALIMI", $J$4:J395) + SUMIF($C$4:C395, "ÜRETİM GİRİŞ", $J$4:J395))), 0), 0)</f>
        <v>0</v>
      </c>
      <c r="U396" s="96">
        <f t="shared" si="15"/>
        <v>0</v>
      </c>
      <c r="V396" s="96">
        <f t="shared" si="16"/>
        <v>0</v>
      </c>
    </row>
    <row r="397" spans="2:22" x14ac:dyDescent="0.25">
      <c r="B397" s="87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96">
        <f>IF(OR(C397="MAL ALIMI", C397="ÜRETİM GİRİŞ"), IF(J397 - MAX(0, $I$2 - (SUMIF($C$4:C396, "MAL ALIMI", $J$4:J396) + SUMIF($C$4:C396, "ÜRETİM GİRİŞ", $J$4:J396))) &gt; 0, J397 - MAX(0, $I$2 - (SUMIF($C$4:C396, "MAL ALIMI", $J$4:J396) + SUMIF($C$4:C396, "ÜRETİM GİRİŞ", $J$4:J396))), 0), 0)</f>
        <v>0</v>
      </c>
      <c r="U397" s="96">
        <f t="shared" si="15"/>
        <v>0</v>
      </c>
      <c r="V397" s="96">
        <f t="shared" si="16"/>
        <v>0</v>
      </c>
    </row>
    <row r="398" spans="2:22" x14ac:dyDescent="0.25">
      <c r="B398" s="87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96">
        <f>IF(OR(C398="MAL ALIMI", C398="ÜRETİM GİRİŞ"), IF(J398 - MAX(0, $I$2 - (SUMIF($C$4:C397, "MAL ALIMI", $J$4:J397) + SUMIF($C$4:C397, "ÜRETİM GİRİŞ", $J$4:J397))) &gt; 0, J398 - MAX(0, $I$2 - (SUMIF($C$4:C397, "MAL ALIMI", $J$4:J397) + SUMIF($C$4:C397, "ÜRETİM GİRİŞ", $J$4:J397))), 0), 0)</f>
        <v>0</v>
      </c>
      <c r="U398" s="96">
        <f t="shared" si="15"/>
        <v>0</v>
      </c>
      <c r="V398" s="96">
        <f t="shared" si="16"/>
        <v>0</v>
      </c>
    </row>
    <row r="399" spans="2:22" x14ac:dyDescent="0.25">
      <c r="B399" s="87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96">
        <f>IF(OR(C399="MAL ALIMI", C399="ÜRETİM GİRİŞ"), IF(J399 - MAX(0, $I$2 - (SUMIF($C$4:C398, "MAL ALIMI", $J$4:J398) + SUMIF($C$4:C398, "ÜRETİM GİRİŞ", $J$4:J398))) &gt; 0, J399 - MAX(0, $I$2 - (SUMIF($C$4:C398, "MAL ALIMI", $J$4:J398) + SUMIF($C$4:C398, "ÜRETİM GİRİŞ", $J$4:J398))), 0), 0)</f>
        <v>0</v>
      </c>
      <c r="U399" s="96">
        <f t="shared" si="15"/>
        <v>0</v>
      </c>
      <c r="V399" s="96">
        <f t="shared" si="16"/>
        <v>0</v>
      </c>
    </row>
    <row r="400" spans="2:22" x14ac:dyDescent="0.25">
      <c r="B400" s="87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96">
        <f>IF(OR(C400="MAL ALIMI", C400="ÜRETİM GİRİŞ"), IF(J400 - MAX(0, $I$2 - (SUMIF($C$4:C399, "MAL ALIMI", $J$4:J399) + SUMIF($C$4:C399, "ÜRETİM GİRİŞ", $J$4:J399))) &gt; 0, J400 - MAX(0, $I$2 - (SUMIF($C$4:C399, "MAL ALIMI", $J$4:J399) + SUMIF($C$4:C399, "ÜRETİM GİRİŞ", $J$4:J399))), 0), 0)</f>
        <v>0</v>
      </c>
      <c r="U400" s="96">
        <f t="shared" si="15"/>
        <v>0</v>
      </c>
      <c r="V400" s="96">
        <f t="shared" si="16"/>
        <v>0</v>
      </c>
    </row>
    <row r="401" spans="2:22" x14ac:dyDescent="0.25">
      <c r="B401" s="87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96">
        <f>IF(OR(C401="MAL ALIMI", C401="ÜRETİM GİRİŞ"), IF(J401 - MAX(0, $I$2 - (SUMIF($C$4:C400, "MAL ALIMI", $J$4:J400) + SUMIF($C$4:C400, "ÜRETİM GİRİŞ", $J$4:J400))) &gt; 0, J401 - MAX(0, $I$2 - (SUMIF($C$4:C400, "MAL ALIMI", $J$4:J400) + SUMIF($C$4:C400, "ÜRETİM GİRİŞ", $J$4:J400))), 0), 0)</f>
        <v>0</v>
      </c>
      <c r="U401" s="96">
        <f t="shared" si="15"/>
        <v>0</v>
      </c>
      <c r="V401" s="96">
        <f t="shared" si="16"/>
        <v>0</v>
      </c>
    </row>
    <row r="402" spans="2:22" x14ac:dyDescent="0.25">
      <c r="B402" s="87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96">
        <f>IF(OR(C402="MAL ALIMI", C402="ÜRETİM GİRİŞ"), IF(J402 - MAX(0, $I$2 - (SUMIF($C$4:C401, "MAL ALIMI", $J$4:J401) + SUMIF($C$4:C401, "ÜRETİM GİRİŞ", $J$4:J401))) &gt; 0, J402 - MAX(0, $I$2 - (SUMIF($C$4:C401, "MAL ALIMI", $J$4:J401) + SUMIF($C$4:C401, "ÜRETİM GİRİŞ", $J$4:J401))), 0), 0)</f>
        <v>0</v>
      </c>
      <c r="U402" s="96">
        <f t="shared" si="15"/>
        <v>0</v>
      </c>
      <c r="V402" s="96">
        <f t="shared" si="16"/>
        <v>0</v>
      </c>
    </row>
    <row r="403" spans="2:22" x14ac:dyDescent="0.25">
      <c r="B403" s="87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96">
        <f>IF(OR(C403="MAL ALIMI", C403="ÜRETİM GİRİŞ"), IF(J403 - MAX(0, $I$2 - (SUMIF($C$4:C402, "MAL ALIMI", $J$4:J402) + SUMIF($C$4:C402, "ÜRETİM GİRİŞ", $J$4:J402))) &gt; 0, J403 - MAX(0, $I$2 - (SUMIF($C$4:C402, "MAL ALIMI", $J$4:J402) + SUMIF($C$4:C402, "ÜRETİM GİRİŞ", $J$4:J402))), 0), 0)</f>
        <v>0</v>
      </c>
      <c r="U403" s="96">
        <f t="shared" si="15"/>
        <v>0</v>
      </c>
      <c r="V403" s="96">
        <f t="shared" si="16"/>
        <v>0</v>
      </c>
    </row>
    <row r="404" spans="2:22" x14ac:dyDescent="0.25">
      <c r="B404" s="87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96">
        <f>IF(OR(C404="MAL ALIMI", C404="ÜRETİM GİRİŞ"), IF(J404 - MAX(0, $I$2 - (SUMIF($C$4:C403, "MAL ALIMI", $J$4:J403) + SUMIF($C$4:C403, "ÜRETİM GİRİŞ", $J$4:J403))) &gt; 0, J404 - MAX(0, $I$2 - (SUMIF($C$4:C403, "MAL ALIMI", $J$4:J403) + SUMIF($C$4:C403, "ÜRETİM GİRİŞ", $J$4:J403))), 0), 0)</f>
        <v>0</v>
      </c>
      <c r="U404" s="96">
        <f t="shared" si="15"/>
        <v>0</v>
      </c>
      <c r="V404" s="96">
        <f t="shared" si="16"/>
        <v>0</v>
      </c>
    </row>
    <row r="405" spans="2:22" x14ac:dyDescent="0.25">
      <c r="B405" s="87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96">
        <f>IF(OR(C405="MAL ALIMI", C405="ÜRETİM GİRİŞ"), IF(J405 - MAX(0, $I$2 - (SUMIF($C$4:C404, "MAL ALIMI", $J$4:J404) + SUMIF($C$4:C404, "ÜRETİM GİRİŞ", $J$4:J404))) &gt; 0, J405 - MAX(0, $I$2 - (SUMIF($C$4:C404, "MAL ALIMI", $J$4:J404) + SUMIF($C$4:C404, "ÜRETİM GİRİŞ", $J$4:J404))), 0), 0)</f>
        <v>0</v>
      </c>
      <c r="U405" s="96">
        <f t="shared" si="15"/>
        <v>0</v>
      </c>
      <c r="V405" s="96">
        <f t="shared" si="16"/>
        <v>0</v>
      </c>
    </row>
    <row r="406" spans="2:22" x14ac:dyDescent="0.25">
      <c r="B406" s="87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96">
        <f>IF(OR(C406="MAL ALIMI", C406="ÜRETİM GİRİŞ"), IF(J406 - MAX(0, $I$2 - (SUMIF($C$4:C405, "MAL ALIMI", $J$4:J405) + SUMIF($C$4:C405, "ÜRETİM GİRİŞ", $J$4:J405))) &gt; 0, J406 - MAX(0, $I$2 - (SUMIF($C$4:C405, "MAL ALIMI", $J$4:J405) + SUMIF($C$4:C405, "ÜRETİM GİRİŞ", $J$4:J405))), 0), 0)</f>
        <v>0</v>
      </c>
      <c r="U406" s="96">
        <f t="shared" si="15"/>
        <v>0</v>
      </c>
      <c r="V406" s="96">
        <f t="shared" si="16"/>
        <v>0</v>
      </c>
    </row>
    <row r="407" spans="2:22" x14ac:dyDescent="0.25">
      <c r="B407" s="87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96">
        <f>IF(OR(C407="MAL ALIMI", C407="ÜRETİM GİRİŞ"), IF(J407 - MAX(0, $I$2 - (SUMIF($C$4:C406, "MAL ALIMI", $J$4:J406) + SUMIF($C$4:C406, "ÜRETİM GİRİŞ", $J$4:J406))) &gt; 0, J407 - MAX(0, $I$2 - (SUMIF($C$4:C406, "MAL ALIMI", $J$4:J406) + SUMIF($C$4:C406, "ÜRETİM GİRİŞ", $J$4:J406))), 0), 0)</f>
        <v>0</v>
      </c>
      <c r="U407" s="96">
        <f t="shared" si="15"/>
        <v>0</v>
      </c>
      <c r="V407" s="96">
        <f t="shared" si="16"/>
        <v>0</v>
      </c>
    </row>
    <row r="408" spans="2:22" x14ac:dyDescent="0.25">
      <c r="B408" s="87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96">
        <f>IF(OR(C408="MAL ALIMI", C408="ÜRETİM GİRİŞ"), IF(J408 - MAX(0, $I$2 - (SUMIF($C$4:C407, "MAL ALIMI", $J$4:J407) + SUMIF($C$4:C407, "ÜRETİM GİRİŞ", $J$4:J407))) &gt; 0, J408 - MAX(0, $I$2 - (SUMIF($C$4:C407, "MAL ALIMI", $J$4:J407) + SUMIF($C$4:C407, "ÜRETİM GİRİŞ", $J$4:J407))), 0), 0)</f>
        <v>0</v>
      </c>
      <c r="U408" s="96">
        <f t="shared" si="15"/>
        <v>0</v>
      </c>
      <c r="V408" s="96">
        <f t="shared" si="16"/>
        <v>0</v>
      </c>
    </row>
    <row r="409" spans="2:22" x14ac:dyDescent="0.25">
      <c r="B409" s="87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96">
        <f>IF(OR(C409="MAL ALIMI", C409="ÜRETİM GİRİŞ"), IF(J409 - MAX(0, $I$2 - (SUMIF($C$4:C408, "MAL ALIMI", $J$4:J408) + SUMIF($C$4:C408, "ÜRETİM GİRİŞ", $J$4:J408))) &gt; 0, J409 - MAX(0, $I$2 - (SUMIF($C$4:C408, "MAL ALIMI", $J$4:J408) + SUMIF($C$4:C408, "ÜRETİM GİRİŞ", $J$4:J408))), 0), 0)</f>
        <v>0</v>
      </c>
      <c r="U409" s="96">
        <f t="shared" si="15"/>
        <v>0</v>
      </c>
      <c r="V409" s="96">
        <f t="shared" si="16"/>
        <v>0</v>
      </c>
    </row>
    <row r="410" spans="2:22" x14ac:dyDescent="0.25">
      <c r="B410" s="87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96">
        <f>IF(OR(C410="MAL ALIMI", C410="ÜRETİM GİRİŞ"), IF(J410 - MAX(0, $I$2 - (SUMIF($C$4:C409, "MAL ALIMI", $J$4:J409) + SUMIF($C$4:C409, "ÜRETİM GİRİŞ", $J$4:J409))) &gt; 0, J410 - MAX(0, $I$2 - (SUMIF($C$4:C409, "MAL ALIMI", $J$4:J409) + SUMIF($C$4:C409, "ÜRETİM GİRİŞ", $J$4:J409))), 0), 0)</f>
        <v>0</v>
      </c>
      <c r="U410" s="96">
        <f t="shared" si="15"/>
        <v>0</v>
      </c>
      <c r="V410" s="96">
        <f t="shared" si="16"/>
        <v>0</v>
      </c>
    </row>
    <row r="411" spans="2:22" x14ac:dyDescent="0.25">
      <c r="B411" s="87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96">
        <f>IF(OR(C411="MAL ALIMI", C411="ÜRETİM GİRİŞ"), IF(J411 - MAX(0, $I$2 - (SUMIF($C$4:C410, "MAL ALIMI", $J$4:J410) + SUMIF($C$4:C410, "ÜRETİM GİRİŞ", $J$4:J410))) &gt; 0, J411 - MAX(0, $I$2 - (SUMIF($C$4:C410, "MAL ALIMI", $J$4:J410) + SUMIF($C$4:C410, "ÜRETİM GİRİŞ", $J$4:J410))), 0), 0)</f>
        <v>0</v>
      </c>
      <c r="U411" s="96">
        <f t="shared" si="15"/>
        <v>0</v>
      </c>
      <c r="V411" s="96">
        <f t="shared" si="16"/>
        <v>0</v>
      </c>
    </row>
    <row r="412" spans="2:22" x14ac:dyDescent="0.25">
      <c r="B412" s="87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96">
        <f>IF(OR(C412="MAL ALIMI", C412="ÜRETİM GİRİŞ"), IF(J412 - MAX(0, $I$2 - (SUMIF($C$4:C411, "MAL ALIMI", $J$4:J411) + SUMIF($C$4:C411, "ÜRETİM GİRİŞ", $J$4:J411))) &gt; 0, J412 - MAX(0, $I$2 - (SUMIF($C$4:C411, "MAL ALIMI", $J$4:J411) + SUMIF($C$4:C411, "ÜRETİM GİRİŞ", $J$4:J411))), 0), 0)</f>
        <v>0</v>
      </c>
      <c r="U412" s="96">
        <f t="shared" si="15"/>
        <v>0</v>
      </c>
      <c r="V412" s="96">
        <f t="shared" si="16"/>
        <v>0</v>
      </c>
    </row>
    <row r="413" spans="2:22" x14ac:dyDescent="0.25">
      <c r="B413" s="87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96">
        <f>IF(OR(C413="MAL ALIMI", C413="ÜRETİM GİRİŞ"), IF(J413 - MAX(0, $I$2 - (SUMIF($C$4:C412, "MAL ALIMI", $J$4:J412) + SUMIF($C$4:C412, "ÜRETİM GİRİŞ", $J$4:J412))) &gt; 0, J413 - MAX(0, $I$2 - (SUMIF($C$4:C412, "MAL ALIMI", $J$4:J412) + SUMIF($C$4:C412, "ÜRETİM GİRİŞ", $J$4:J412))), 0), 0)</f>
        <v>0</v>
      </c>
      <c r="U413" s="96">
        <f t="shared" si="15"/>
        <v>0</v>
      </c>
      <c r="V413" s="96">
        <f t="shared" si="16"/>
        <v>0</v>
      </c>
    </row>
    <row r="414" spans="2:22" x14ac:dyDescent="0.25">
      <c r="B414" s="87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96">
        <f>IF(OR(C414="MAL ALIMI", C414="ÜRETİM GİRİŞ"), IF(J414 - MAX(0, $I$2 - (SUMIF($C$4:C413, "MAL ALIMI", $J$4:J413) + SUMIF($C$4:C413, "ÜRETİM GİRİŞ", $J$4:J413))) &gt; 0, J414 - MAX(0, $I$2 - (SUMIF($C$4:C413, "MAL ALIMI", $J$4:J413) + SUMIF($C$4:C413, "ÜRETİM GİRİŞ", $J$4:J413))), 0), 0)</f>
        <v>0</v>
      </c>
      <c r="U414" s="96">
        <f t="shared" si="15"/>
        <v>0</v>
      </c>
      <c r="V414" s="96">
        <f t="shared" si="16"/>
        <v>0</v>
      </c>
    </row>
    <row r="415" spans="2:22" x14ac:dyDescent="0.25">
      <c r="B415" s="87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96">
        <f>IF(OR(C415="MAL ALIMI", C415="ÜRETİM GİRİŞ"), IF(J415 - MAX(0, $I$2 - (SUMIF($C$4:C414, "MAL ALIMI", $J$4:J414) + SUMIF($C$4:C414, "ÜRETİM GİRİŞ", $J$4:J414))) &gt; 0, J415 - MAX(0, $I$2 - (SUMIF($C$4:C414, "MAL ALIMI", $J$4:J414) + SUMIF($C$4:C414, "ÜRETİM GİRİŞ", $J$4:J414))), 0), 0)</f>
        <v>0</v>
      </c>
      <c r="U415" s="96">
        <f t="shared" si="15"/>
        <v>0</v>
      </c>
      <c r="V415" s="96">
        <f t="shared" si="16"/>
        <v>0</v>
      </c>
    </row>
    <row r="416" spans="2:22" x14ac:dyDescent="0.25">
      <c r="B416" s="87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96">
        <f>IF(OR(C416="MAL ALIMI", C416="ÜRETİM GİRİŞ"), IF(J416 - MAX(0, $I$2 - (SUMIF($C$4:C415, "MAL ALIMI", $J$4:J415) + SUMIF($C$4:C415, "ÜRETİM GİRİŞ", $J$4:J415))) &gt; 0, J416 - MAX(0, $I$2 - (SUMIF($C$4:C415, "MAL ALIMI", $J$4:J415) + SUMIF($C$4:C415, "ÜRETİM GİRİŞ", $J$4:J415))), 0), 0)</f>
        <v>0</v>
      </c>
      <c r="U416" s="96">
        <f t="shared" si="15"/>
        <v>0</v>
      </c>
      <c r="V416" s="96">
        <f t="shared" si="16"/>
        <v>0</v>
      </c>
    </row>
    <row r="417" spans="2:22" x14ac:dyDescent="0.25">
      <c r="B417" s="87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96">
        <f>IF(OR(C417="MAL ALIMI", C417="ÜRETİM GİRİŞ"), IF(J417 - MAX(0, $I$2 - (SUMIF($C$4:C416, "MAL ALIMI", $J$4:J416) + SUMIF($C$4:C416, "ÜRETİM GİRİŞ", $J$4:J416))) &gt; 0, J417 - MAX(0, $I$2 - (SUMIF($C$4:C416, "MAL ALIMI", $J$4:J416) + SUMIF($C$4:C416, "ÜRETİM GİRİŞ", $J$4:J416))), 0), 0)</f>
        <v>0</v>
      </c>
      <c r="U417" s="96">
        <f t="shared" si="15"/>
        <v>0</v>
      </c>
      <c r="V417" s="96">
        <f t="shared" si="16"/>
        <v>0</v>
      </c>
    </row>
    <row r="418" spans="2:22" x14ac:dyDescent="0.25">
      <c r="B418" s="87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96">
        <f>IF(OR(C418="MAL ALIMI", C418="ÜRETİM GİRİŞ"), IF(J418 - MAX(0, $I$2 - (SUMIF($C$4:C417, "MAL ALIMI", $J$4:J417) + SUMIF($C$4:C417, "ÜRETİM GİRİŞ", $J$4:J417))) &gt; 0, J418 - MAX(0, $I$2 - (SUMIF($C$4:C417, "MAL ALIMI", $J$4:J417) + SUMIF($C$4:C417, "ÜRETİM GİRİŞ", $J$4:J417))), 0), 0)</f>
        <v>0</v>
      </c>
      <c r="U418" s="96">
        <f t="shared" si="15"/>
        <v>0</v>
      </c>
      <c r="V418" s="96">
        <f t="shared" si="16"/>
        <v>0</v>
      </c>
    </row>
    <row r="419" spans="2:22" x14ac:dyDescent="0.25">
      <c r="B419" s="87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96">
        <f>IF(OR(C419="MAL ALIMI", C419="ÜRETİM GİRİŞ"), IF(J419 - MAX(0, $I$2 - (SUMIF($C$4:C418, "MAL ALIMI", $J$4:J418) + SUMIF($C$4:C418, "ÜRETİM GİRİŞ", $J$4:J418))) &gt; 0, J419 - MAX(0, $I$2 - (SUMIF($C$4:C418, "MAL ALIMI", $J$4:J418) + SUMIF($C$4:C418, "ÜRETİM GİRİŞ", $J$4:J418))), 0), 0)</f>
        <v>0</v>
      </c>
      <c r="U419" s="96">
        <f t="shared" si="15"/>
        <v>0</v>
      </c>
      <c r="V419" s="96">
        <f t="shared" si="16"/>
        <v>0</v>
      </c>
    </row>
    <row r="420" spans="2:22" x14ac:dyDescent="0.25">
      <c r="B420" s="87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96">
        <f>IF(OR(C420="MAL ALIMI", C420="ÜRETİM GİRİŞ"), IF(J420 - MAX(0, $I$2 - (SUMIF($C$4:C419, "MAL ALIMI", $J$4:J419) + SUMIF($C$4:C419, "ÜRETİM GİRİŞ", $J$4:J419))) &gt; 0, J420 - MAX(0, $I$2 - (SUMIF($C$4:C419, "MAL ALIMI", $J$4:J419) + SUMIF($C$4:C419, "ÜRETİM GİRİŞ", $J$4:J419))), 0), 0)</f>
        <v>0</v>
      </c>
      <c r="U420" s="96">
        <f t="shared" si="15"/>
        <v>0</v>
      </c>
      <c r="V420" s="96">
        <f t="shared" si="16"/>
        <v>0</v>
      </c>
    </row>
    <row r="421" spans="2:22" x14ac:dyDescent="0.25">
      <c r="B421" s="87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96">
        <f>IF(OR(C421="MAL ALIMI", C421="ÜRETİM GİRİŞ"), IF(J421 - MAX(0, $I$2 - (SUMIF($C$4:C420, "MAL ALIMI", $J$4:J420) + SUMIF($C$4:C420, "ÜRETİM GİRİŞ", $J$4:J420))) &gt; 0, J421 - MAX(0, $I$2 - (SUMIF($C$4:C420, "MAL ALIMI", $J$4:J420) + SUMIF($C$4:C420, "ÜRETİM GİRİŞ", $J$4:J420))), 0), 0)</f>
        <v>0</v>
      </c>
      <c r="U421" s="96">
        <f t="shared" si="15"/>
        <v>0</v>
      </c>
      <c r="V421" s="96">
        <f t="shared" si="16"/>
        <v>0</v>
      </c>
    </row>
    <row r="422" spans="2:22" x14ac:dyDescent="0.25">
      <c r="B422" s="87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96">
        <f>IF(OR(C422="MAL ALIMI", C422="ÜRETİM GİRİŞ"), IF(J422 - MAX(0, $I$2 - (SUMIF($C$4:C421, "MAL ALIMI", $J$4:J421) + SUMIF($C$4:C421, "ÜRETİM GİRİŞ", $J$4:J421))) &gt; 0, J422 - MAX(0, $I$2 - (SUMIF($C$4:C421, "MAL ALIMI", $J$4:J421) + SUMIF($C$4:C421, "ÜRETİM GİRİŞ", $J$4:J421))), 0), 0)</f>
        <v>0</v>
      </c>
      <c r="U422" s="96">
        <f t="shared" si="15"/>
        <v>0</v>
      </c>
      <c r="V422" s="96">
        <f t="shared" si="16"/>
        <v>0</v>
      </c>
    </row>
    <row r="423" spans="2:22" x14ac:dyDescent="0.25">
      <c r="B423" s="87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96">
        <f>IF(OR(C423="MAL ALIMI", C423="ÜRETİM GİRİŞ"), IF(J423 - MAX(0, $I$2 - (SUMIF($C$4:C422, "MAL ALIMI", $J$4:J422) + SUMIF($C$4:C422, "ÜRETİM GİRİŞ", $J$4:J422))) &gt; 0, J423 - MAX(0, $I$2 - (SUMIF($C$4:C422, "MAL ALIMI", $J$4:J422) + SUMIF($C$4:C422, "ÜRETİM GİRİŞ", $J$4:J422))), 0), 0)</f>
        <v>0</v>
      </c>
      <c r="U423" s="96">
        <f t="shared" si="15"/>
        <v>0</v>
      </c>
      <c r="V423" s="96">
        <f t="shared" si="16"/>
        <v>0</v>
      </c>
    </row>
    <row r="424" spans="2:22" x14ac:dyDescent="0.25">
      <c r="B424" s="87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96">
        <f>IF(OR(C424="MAL ALIMI", C424="ÜRETİM GİRİŞ"), IF(J424 - MAX(0, $I$2 - (SUMIF($C$4:C423, "MAL ALIMI", $J$4:J423) + SUMIF($C$4:C423, "ÜRETİM GİRİŞ", $J$4:J423))) &gt; 0, J424 - MAX(0, $I$2 - (SUMIF($C$4:C423, "MAL ALIMI", $J$4:J423) + SUMIF($C$4:C423, "ÜRETİM GİRİŞ", $J$4:J423))), 0), 0)</f>
        <v>0</v>
      </c>
      <c r="U424" s="96">
        <f t="shared" si="15"/>
        <v>0</v>
      </c>
      <c r="V424" s="96">
        <f t="shared" si="16"/>
        <v>0</v>
      </c>
    </row>
    <row r="425" spans="2:22" x14ac:dyDescent="0.25">
      <c r="B425" s="87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96">
        <f>IF(OR(C425="MAL ALIMI", C425="ÜRETİM GİRİŞ"), IF(J425 - MAX(0, $I$2 - (SUMIF($C$4:C424, "MAL ALIMI", $J$4:J424) + SUMIF($C$4:C424, "ÜRETİM GİRİŞ", $J$4:J424))) &gt; 0, J425 - MAX(0, $I$2 - (SUMIF($C$4:C424, "MAL ALIMI", $J$4:J424) + SUMIF($C$4:C424, "ÜRETİM GİRİŞ", $J$4:J424))), 0), 0)</f>
        <v>0</v>
      </c>
      <c r="U425" s="96">
        <f t="shared" si="15"/>
        <v>0</v>
      </c>
      <c r="V425" s="96">
        <f t="shared" si="16"/>
        <v>0</v>
      </c>
    </row>
    <row r="426" spans="2:22" x14ac:dyDescent="0.25">
      <c r="B426" s="87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96">
        <f>IF(OR(C426="MAL ALIMI", C426="ÜRETİM GİRİŞ"), IF(J426 - MAX(0, $I$2 - (SUMIF($C$4:C425, "MAL ALIMI", $J$4:J425) + SUMIF($C$4:C425, "ÜRETİM GİRİŞ", $J$4:J425))) &gt; 0, J426 - MAX(0, $I$2 - (SUMIF($C$4:C425, "MAL ALIMI", $J$4:J425) + SUMIF($C$4:C425, "ÜRETİM GİRİŞ", $J$4:J425))), 0), 0)</f>
        <v>0</v>
      </c>
      <c r="U426" s="96">
        <f t="shared" si="15"/>
        <v>0</v>
      </c>
      <c r="V426" s="96">
        <f t="shared" si="16"/>
        <v>0</v>
      </c>
    </row>
    <row r="427" spans="2:22" x14ac:dyDescent="0.25">
      <c r="B427" s="87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96">
        <f>IF(OR(C427="MAL ALIMI", C427="ÜRETİM GİRİŞ"), IF(J427 - MAX(0, $I$2 - (SUMIF($C$4:C426, "MAL ALIMI", $J$4:J426) + SUMIF($C$4:C426, "ÜRETİM GİRİŞ", $J$4:J426))) &gt; 0, J427 - MAX(0, $I$2 - (SUMIF($C$4:C426, "MAL ALIMI", $J$4:J426) + SUMIF($C$4:C426, "ÜRETİM GİRİŞ", $J$4:J426))), 0), 0)</f>
        <v>0</v>
      </c>
      <c r="U427" s="96">
        <f t="shared" si="15"/>
        <v>0</v>
      </c>
      <c r="V427" s="96">
        <f t="shared" si="16"/>
        <v>0</v>
      </c>
    </row>
    <row r="428" spans="2:22" x14ac:dyDescent="0.25">
      <c r="B428" s="87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96">
        <f>IF(OR(C428="MAL ALIMI", C428="ÜRETİM GİRİŞ"), IF(J428 - MAX(0, $I$2 - (SUMIF($C$4:C427, "MAL ALIMI", $J$4:J427) + SUMIF($C$4:C427, "ÜRETİM GİRİŞ", $J$4:J427))) &gt; 0, J428 - MAX(0, $I$2 - (SUMIF($C$4:C427, "MAL ALIMI", $J$4:J427) + SUMIF($C$4:C427, "ÜRETİM GİRİŞ", $J$4:J427))), 0), 0)</f>
        <v>0</v>
      </c>
      <c r="U428" s="96">
        <f t="shared" si="15"/>
        <v>0</v>
      </c>
      <c r="V428" s="96">
        <f t="shared" si="16"/>
        <v>0</v>
      </c>
    </row>
    <row r="429" spans="2:22" x14ac:dyDescent="0.25">
      <c r="B429" s="87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96">
        <f>IF(OR(C429="MAL ALIMI", C429="ÜRETİM GİRİŞ"), IF(J429 - MAX(0, $I$2 - (SUMIF($C$4:C428, "MAL ALIMI", $J$4:J428) + SUMIF($C$4:C428, "ÜRETİM GİRİŞ", $J$4:J428))) &gt; 0, J429 - MAX(0, $I$2 - (SUMIF($C$4:C428, "MAL ALIMI", $J$4:J428) + SUMIF($C$4:C428, "ÜRETİM GİRİŞ", $J$4:J428))), 0), 0)</f>
        <v>0</v>
      </c>
      <c r="U429" s="96">
        <f t="shared" si="15"/>
        <v>0</v>
      </c>
      <c r="V429" s="96">
        <f t="shared" si="16"/>
        <v>0</v>
      </c>
    </row>
    <row r="430" spans="2:22" x14ac:dyDescent="0.25">
      <c r="B430" s="87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96">
        <f>IF(OR(C430="MAL ALIMI", C430="ÜRETİM GİRİŞ"), IF(J430 - MAX(0, $I$2 - (SUMIF($C$4:C429, "MAL ALIMI", $J$4:J429) + SUMIF($C$4:C429, "ÜRETİM GİRİŞ", $J$4:J429))) &gt; 0, J430 - MAX(0, $I$2 - (SUMIF($C$4:C429, "MAL ALIMI", $J$4:J429) + SUMIF($C$4:C429, "ÜRETİM GİRİŞ", $J$4:J429))), 0), 0)</f>
        <v>0</v>
      </c>
      <c r="U430" s="96">
        <f t="shared" si="15"/>
        <v>0</v>
      </c>
      <c r="V430" s="96">
        <f t="shared" si="16"/>
        <v>0</v>
      </c>
    </row>
    <row r="431" spans="2:22" x14ac:dyDescent="0.25">
      <c r="B431" s="87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96">
        <f>IF(OR(C431="MAL ALIMI", C431="ÜRETİM GİRİŞ"), IF(J431 - MAX(0, $I$2 - (SUMIF($C$4:C430, "MAL ALIMI", $J$4:J430) + SUMIF($C$4:C430, "ÜRETİM GİRİŞ", $J$4:J430))) &gt; 0, J431 - MAX(0, $I$2 - (SUMIF($C$4:C430, "MAL ALIMI", $J$4:J430) + SUMIF($C$4:C430, "ÜRETİM GİRİŞ", $J$4:J430))), 0), 0)</f>
        <v>0</v>
      </c>
      <c r="U431" s="96">
        <f t="shared" si="15"/>
        <v>0</v>
      </c>
      <c r="V431" s="96">
        <f t="shared" si="16"/>
        <v>0</v>
      </c>
    </row>
    <row r="432" spans="2:22" x14ac:dyDescent="0.25">
      <c r="B432" s="87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96">
        <f>IF(OR(C432="MAL ALIMI", C432="ÜRETİM GİRİŞ"), IF(J432 - MAX(0, $I$2 - (SUMIF($C$4:C431, "MAL ALIMI", $J$4:J431) + SUMIF($C$4:C431, "ÜRETİM GİRİŞ", $J$4:J431))) &gt; 0, J432 - MAX(0, $I$2 - (SUMIF($C$4:C431, "MAL ALIMI", $J$4:J431) + SUMIF($C$4:C431, "ÜRETİM GİRİŞ", $J$4:J431))), 0), 0)</f>
        <v>0</v>
      </c>
      <c r="U432" s="96">
        <f t="shared" si="15"/>
        <v>0</v>
      </c>
      <c r="V432" s="96">
        <f t="shared" si="16"/>
        <v>0</v>
      </c>
    </row>
    <row r="433" spans="2:22" x14ac:dyDescent="0.25">
      <c r="B433" s="87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96">
        <f>IF(OR(C433="MAL ALIMI", C433="ÜRETİM GİRİŞ"), IF(J433 - MAX(0, $I$2 - (SUMIF($C$4:C432, "MAL ALIMI", $J$4:J432) + SUMIF($C$4:C432, "ÜRETİM GİRİŞ", $J$4:J432))) &gt; 0, J433 - MAX(0, $I$2 - (SUMIF($C$4:C432, "MAL ALIMI", $J$4:J432) + SUMIF($C$4:C432, "ÜRETİM GİRİŞ", $J$4:J432))), 0), 0)</f>
        <v>0</v>
      </c>
      <c r="U433" s="96">
        <f t="shared" si="15"/>
        <v>0</v>
      </c>
      <c r="V433" s="96">
        <f t="shared" si="16"/>
        <v>0</v>
      </c>
    </row>
    <row r="434" spans="2:22" x14ac:dyDescent="0.25">
      <c r="B434" s="87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96">
        <f>IF(OR(C434="MAL ALIMI", C434="ÜRETİM GİRİŞ"), IF(J434 - MAX(0, $I$2 - (SUMIF($C$4:C433, "MAL ALIMI", $J$4:J433) + SUMIF($C$4:C433, "ÜRETİM GİRİŞ", $J$4:J433))) &gt; 0, J434 - MAX(0, $I$2 - (SUMIF($C$4:C433, "MAL ALIMI", $J$4:J433) + SUMIF($C$4:C433, "ÜRETİM GİRİŞ", $J$4:J433))), 0), 0)</f>
        <v>0</v>
      </c>
      <c r="U434" s="96">
        <f t="shared" si="15"/>
        <v>0</v>
      </c>
      <c r="V434" s="96">
        <f t="shared" si="16"/>
        <v>0</v>
      </c>
    </row>
    <row r="435" spans="2:22" x14ac:dyDescent="0.25">
      <c r="B435" s="87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96">
        <f>IF(OR(C435="MAL ALIMI", C435="ÜRETİM GİRİŞ"), IF(J435 - MAX(0, $I$2 - (SUMIF($C$4:C434, "MAL ALIMI", $J$4:J434) + SUMIF($C$4:C434, "ÜRETİM GİRİŞ", $J$4:J434))) &gt; 0, J435 - MAX(0, $I$2 - (SUMIF($C$4:C434, "MAL ALIMI", $J$4:J434) + SUMIF($C$4:C434, "ÜRETİM GİRİŞ", $J$4:J434))), 0), 0)</f>
        <v>0</v>
      </c>
      <c r="U435" s="96">
        <f t="shared" si="15"/>
        <v>0</v>
      </c>
      <c r="V435" s="96">
        <f t="shared" si="16"/>
        <v>0</v>
      </c>
    </row>
    <row r="436" spans="2:22" x14ac:dyDescent="0.25">
      <c r="B436" s="87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96">
        <f>IF(OR(C436="MAL ALIMI", C436="ÜRETİM GİRİŞ"), IF(J436 - MAX(0, $I$2 - (SUMIF($C$4:C435, "MAL ALIMI", $J$4:J435) + SUMIF($C$4:C435, "ÜRETİM GİRİŞ", $J$4:J435))) &gt; 0, J436 - MAX(0, $I$2 - (SUMIF($C$4:C435, "MAL ALIMI", $J$4:J435) + SUMIF($C$4:C435, "ÜRETİM GİRİŞ", $J$4:J435))), 0), 0)</f>
        <v>0</v>
      </c>
      <c r="U436" s="96">
        <f t="shared" si="15"/>
        <v>0</v>
      </c>
      <c r="V436" s="96">
        <f t="shared" si="16"/>
        <v>0</v>
      </c>
    </row>
    <row r="437" spans="2:22" x14ac:dyDescent="0.25">
      <c r="B437" s="87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96">
        <f>IF(OR(C437="MAL ALIMI", C437="ÜRETİM GİRİŞ"), IF(J437 - MAX(0, $I$2 - (SUMIF($C$4:C436, "MAL ALIMI", $J$4:J436) + SUMIF($C$4:C436, "ÜRETİM GİRİŞ", $J$4:J436))) &gt; 0, J437 - MAX(0, $I$2 - (SUMIF($C$4:C436, "MAL ALIMI", $J$4:J436) + SUMIF($C$4:C436, "ÜRETİM GİRİŞ", $J$4:J436))), 0), 0)</f>
        <v>0</v>
      </c>
      <c r="U437" s="96">
        <f t="shared" si="15"/>
        <v>0</v>
      </c>
      <c r="V437" s="96">
        <f t="shared" si="16"/>
        <v>0</v>
      </c>
    </row>
    <row r="438" spans="2:22" x14ac:dyDescent="0.25">
      <c r="B438" s="87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96">
        <f>IF(OR(C438="MAL ALIMI", C438="ÜRETİM GİRİŞ"), IF(J438 - MAX(0, $I$2 - (SUMIF($C$4:C437, "MAL ALIMI", $J$4:J437) + SUMIF($C$4:C437, "ÜRETİM GİRİŞ", $J$4:J437))) &gt; 0, J438 - MAX(0, $I$2 - (SUMIF($C$4:C437, "MAL ALIMI", $J$4:J437) + SUMIF($C$4:C437, "ÜRETİM GİRİŞ", $J$4:J437))), 0), 0)</f>
        <v>0</v>
      </c>
      <c r="U438" s="96">
        <f t="shared" si="15"/>
        <v>0</v>
      </c>
      <c r="V438" s="96">
        <f t="shared" si="16"/>
        <v>0</v>
      </c>
    </row>
    <row r="439" spans="2:22" x14ac:dyDescent="0.25">
      <c r="B439" s="87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96">
        <f>IF(OR(C439="MAL ALIMI", C439="ÜRETİM GİRİŞ"), IF(J439 - MAX(0, $I$2 - (SUMIF($C$4:C438, "MAL ALIMI", $J$4:J438) + SUMIF($C$4:C438, "ÜRETİM GİRİŞ", $J$4:J438))) &gt; 0, J439 - MAX(0, $I$2 - (SUMIF($C$4:C438, "MAL ALIMI", $J$4:J438) + SUMIF($C$4:C438, "ÜRETİM GİRİŞ", $J$4:J438))), 0), 0)</f>
        <v>0</v>
      </c>
      <c r="U439" s="96">
        <f t="shared" si="15"/>
        <v>0</v>
      </c>
      <c r="V439" s="96">
        <f t="shared" si="16"/>
        <v>0</v>
      </c>
    </row>
    <row r="440" spans="2:22" x14ac:dyDescent="0.25">
      <c r="B440" s="87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96">
        <f>IF(OR(C440="MAL ALIMI", C440="ÜRETİM GİRİŞ"), IF(J440 - MAX(0, $I$2 - (SUMIF($C$4:C439, "MAL ALIMI", $J$4:J439) + SUMIF($C$4:C439, "ÜRETİM GİRİŞ", $J$4:J439))) &gt; 0, J440 - MAX(0, $I$2 - (SUMIF($C$4:C439, "MAL ALIMI", $J$4:J439) + SUMIF($C$4:C439, "ÜRETİM GİRİŞ", $J$4:J439))), 0), 0)</f>
        <v>0</v>
      </c>
      <c r="U440" s="96">
        <f t="shared" si="15"/>
        <v>0</v>
      </c>
      <c r="V440" s="96">
        <f t="shared" si="16"/>
        <v>0</v>
      </c>
    </row>
    <row r="441" spans="2:22" x14ac:dyDescent="0.25">
      <c r="B441" s="87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96">
        <f>IF(OR(C441="MAL ALIMI", C441="ÜRETİM GİRİŞ"), IF(J441 - MAX(0, $I$2 - (SUMIF($C$4:C440, "MAL ALIMI", $J$4:J440) + SUMIF($C$4:C440, "ÜRETİM GİRİŞ", $J$4:J440))) &gt; 0, J441 - MAX(0, $I$2 - (SUMIF($C$4:C440, "MAL ALIMI", $J$4:J440) + SUMIF($C$4:C440, "ÜRETİM GİRİŞ", $J$4:J440))), 0), 0)</f>
        <v>0</v>
      </c>
      <c r="U441" s="96">
        <f t="shared" si="15"/>
        <v>0</v>
      </c>
      <c r="V441" s="96">
        <f t="shared" si="16"/>
        <v>0</v>
      </c>
    </row>
    <row r="442" spans="2:22" x14ac:dyDescent="0.25">
      <c r="B442" s="87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96">
        <f>IF(OR(C442="MAL ALIMI", C442="ÜRETİM GİRİŞ"), IF(J442 - MAX(0, $I$2 - (SUMIF($C$4:C441, "MAL ALIMI", $J$4:J441) + SUMIF($C$4:C441, "ÜRETİM GİRİŞ", $J$4:J441))) &gt; 0, J442 - MAX(0, $I$2 - (SUMIF($C$4:C441, "MAL ALIMI", $J$4:J441) + SUMIF($C$4:C441, "ÜRETİM GİRİŞ", $J$4:J441))), 0), 0)</f>
        <v>0</v>
      </c>
      <c r="U442" s="96">
        <f t="shared" si="15"/>
        <v>0</v>
      </c>
      <c r="V442" s="96">
        <f t="shared" si="16"/>
        <v>0</v>
      </c>
    </row>
    <row r="443" spans="2:22" x14ac:dyDescent="0.25">
      <c r="B443" s="87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96">
        <f>IF(OR(C443="MAL ALIMI", C443="ÜRETİM GİRİŞ"), IF(J443 - MAX(0, $I$2 - (SUMIF($C$4:C442, "MAL ALIMI", $J$4:J442) + SUMIF($C$4:C442, "ÜRETİM GİRİŞ", $J$4:J442))) &gt; 0, J443 - MAX(0, $I$2 - (SUMIF($C$4:C442, "MAL ALIMI", $J$4:J442) + SUMIF($C$4:C442, "ÜRETİM GİRİŞ", $J$4:J442))), 0), 0)</f>
        <v>0</v>
      </c>
      <c r="U443" s="96">
        <f t="shared" si="15"/>
        <v>0</v>
      </c>
      <c r="V443" s="96">
        <f t="shared" si="16"/>
        <v>0</v>
      </c>
    </row>
    <row r="444" spans="2:22" x14ac:dyDescent="0.25">
      <c r="B444" s="87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96">
        <f>IF(OR(C444="MAL ALIMI", C444="ÜRETİM GİRİŞ"), IF(J444 - MAX(0, $I$2 - (SUMIF($C$4:C443, "MAL ALIMI", $J$4:J443) + SUMIF($C$4:C443, "ÜRETİM GİRİŞ", $J$4:J443))) &gt; 0, J444 - MAX(0, $I$2 - (SUMIF($C$4:C443, "MAL ALIMI", $J$4:J443) + SUMIF($C$4:C443, "ÜRETİM GİRİŞ", $J$4:J443))), 0), 0)</f>
        <v>0</v>
      </c>
      <c r="U444" s="96">
        <f t="shared" si="15"/>
        <v>0</v>
      </c>
      <c r="V444" s="96">
        <f t="shared" si="16"/>
        <v>0</v>
      </c>
    </row>
    <row r="445" spans="2:22" x14ac:dyDescent="0.25">
      <c r="B445" s="87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96">
        <f>IF(OR(C445="MAL ALIMI", C445="ÜRETİM GİRİŞ"), IF(J445 - MAX(0, $I$2 - (SUMIF($C$4:C444, "MAL ALIMI", $J$4:J444) + SUMIF($C$4:C444, "ÜRETİM GİRİŞ", $J$4:J444))) &gt; 0, J445 - MAX(0, $I$2 - (SUMIF($C$4:C444, "MAL ALIMI", $J$4:J444) + SUMIF($C$4:C444, "ÜRETİM GİRİŞ", $J$4:J444))), 0), 0)</f>
        <v>0</v>
      </c>
      <c r="U445" s="96">
        <f t="shared" si="15"/>
        <v>0</v>
      </c>
      <c r="V445" s="96">
        <f t="shared" si="16"/>
        <v>0</v>
      </c>
    </row>
    <row r="446" spans="2:22" x14ac:dyDescent="0.25">
      <c r="B446" s="87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96">
        <f>IF(OR(C446="MAL ALIMI", C446="ÜRETİM GİRİŞ"), IF(J446 - MAX(0, $I$2 - (SUMIF($C$4:C445, "MAL ALIMI", $J$4:J445) + SUMIF($C$4:C445, "ÜRETİM GİRİŞ", $J$4:J445))) &gt; 0, J446 - MAX(0, $I$2 - (SUMIF($C$4:C445, "MAL ALIMI", $J$4:J445) + SUMIF($C$4:C445, "ÜRETİM GİRİŞ", $J$4:J445))), 0), 0)</f>
        <v>0</v>
      </c>
      <c r="U446" s="96">
        <f t="shared" si="15"/>
        <v>0</v>
      </c>
      <c r="V446" s="96">
        <f t="shared" si="16"/>
        <v>0</v>
      </c>
    </row>
    <row r="447" spans="2:22" x14ac:dyDescent="0.25">
      <c r="B447" s="87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96">
        <f>IF(OR(C447="MAL ALIMI", C447="ÜRETİM GİRİŞ"), IF(J447 - MAX(0, $I$2 - (SUMIF($C$4:C446, "MAL ALIMI", $J$4:J446) + SUMIF($C$4:C446, "ÜRETİM GİRİŞ", $J$4:J446))) &gt; 0, J447 - MAX(0, $I$2 - (SUMIF($C$4:C446, "MAL ALIMI", $J$4:J446) + SUMIF($C$4:C446, "ÜRETİM GİRİŞ", $J$4:J446))), 0), 0)</f>
        <v>0</v>
      </c>
      <c r="U447" s="96">
        <f t="shared" si="15"/>
        <v>0</v>
      </c>
      <c r="V447" s="96">
        <f t="shared" si="16"/>
        <v>0</v>
      </c>
    </row>
    <row r="448" spans="2:22" x14ac:dyDescent="0.25">
      <c r="B448" s="87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96">
        <f>IF(OR(C448="MAL ALIMI", C448="ÜRETİM GİRİŞ"), IF(J448 - MAX(0, $I$2 - (SUMIF($C$4:C447, "MAL ALIMI", $J$4:J447) + SUMIF($C$4:C447, "ÜRETİM GİRİŞ", $J$4:J447))) &gt; 0, J448 - MAX(0, $I$2 - (SUMIF($C$4:C447, "MAL ALIMI", $J$4:J447) + SUMIF($C$4:C447, "ÜRETİM GİRİŞ", $J$4:J447))), 0), 0)</f>
        <v>0</v>
      </c>
      <c r="U448" s="96">
        <f t="shared" si="15"/>
        <v>0</v>
      </c>
      <c r="V448" s="96">
        <f t="shared" si="16"/>
        <v>0</v>
      </c>
    </row>
    <row r="449" spans="2:22" x14ac:dyDescent="0.25">
      <c r="B449" s="87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96">
        <f>IF(OR(C449="MAL ALIMI", C449="ÜRETİM GİRİŞ"), IF(J449 - MAX(0, $I$2 - (SUMIF($C$4:C448, "MAL ALIMI", $J$4:J448) + SUMIF($C$4:C448, "ÜRETİM GİRİŞ", $J$4:J448))) &gt; 0, J449 - MAX(0, $I$2 - (SUMIF($C$4:C448, "MAL ALIMI", $J$4:J448) + SUMIF($C$4:C448, "ÜRETİM GİRİŞ", $J$4:J448))), 0), 0)</f>
        <v>0</v>
      </c>
      <c r="U449" s="96">
        <f t="shared" si="15"/>
        <v>0</v>
      </c>
      <c r="V449" s="96">
        <f t="shared" si="16"/>
        <v>0</v>
      </c>
    </row>
    <row r="450" spans="2:22" x14ac:dyDescent="0.25">
      <c r="B450" s="87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96">
        <f>IF(OR(C450="MAL ALIMI", C450="ÜRETİM GİRİŞ"), IF(J450 - MAX(0, $I$2 - (SUMIF($C$4:C449, "MAL ALIMI", $J$4:J449) + SUMIF($C$4:C449, "ÜRETİM GİRİŞ", $J$4:J449))) &gt; 0, J450 - MAX(0, $I$2 - (SUMIF($C$4:C449, "MAL ALIMI", $J$4:J449) + SUMIF($C$4:C449, "ÜRETİM GİRİŞ", $J$4:J449))), 0), 0)</f>
        <v>0</v>
      </c>
      <c r="U450" s="96">
        <f t="shared" si="15"/>
        <v>0</v>
      </c>
      <c r="V450" s="96">
        <f t="shared" si="16"/>
        <v>0</v>
      </c>
    </row>
    <row r="451" spans="2:22" x14ac:dyDescent="0.25">
      <c r="B451" s="87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96">
        <f>IF(OR(C451="MAL ALIMI", C451="ÜRETİM GİRİŞ"), IF(J451 - MAX(0, $I$2 - (SUMIF($C$4:C450, "MAL ALIMI", $J$4:J450) + SUMIF($C$4:C450, "ÜRETİM GİRİŞ", $J$4:J450))) &gt; 0, J451 - MAX(0, $I$2 - (SUMIF($C$4:C450, "MAL ALIMI", $J$4:J450) + SUMIF($C$4:C450, "ÜRETİM GİRİŞ", $J$4:J450))), 0), 0)</f>
        <v>0</v>
      </c>
      <c r="U451" s="96">
        <f t="shared" si="15"/>
        <v>0</v>
      </c>
      <c r="V451" s="96">
        <f t="shared" si="16"/>
        <v>0</v>
      </c>
    </row>
    <row r="452" spans="2:22" x14ac:dyDescent="0.25">
      <c r="B452" s="87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96">
        <f>IF(OR(C452="MAL ALIMI", C452="ÜRETİM GİRİŞ"), IF(J452 - MAX(0, $I$2 - (SUMIF($C$4:C451, "MAL ALIMI", $J$4:J451) + SUMIF($C$4:C451, "ÜRETİM GİRİŞ", $J$4:J451))) &gt; 0, J452 - MAX(0, $I$2 - (SUMIF($C$4:C451, "MAL ALIMI", $J$4:J451) + SUMIF($C$4:C451, "ÜRETİM GİRİŞ", $J$4:J451))), 0), 0)</f>
        <v>0</v>
      </c>
      <c r="U452" s="96">
        <f t="shared" si="15"/>
        <v>0</v>
      </c>
      <c r="V452" s="96">
        <f t="shared" si="16"/>
        <v>0</v>
      </c>
    </row>
    <row r="453" spans="2:22" x14ac:dyDescent="0.25">
      <c r="B453" s="87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96">
        <f>IF(OR(C453="MAL ALIMI", C453="ÜRETİM GİRİŞ"), IF(J453 - MAX(0, $I$2 - (SUMIF($C$4:C452, "MAL ALIMI", $J$4:J452) + SUMIF($C$4:C452, "ÜRETİM GİRİŞ", $J$4:J452))) &gt; 0, J453 - MAX(0, $I$2 - (SUMIF($C$4:C452, "MAL ALIMI", $J$4:J452) + SUMIF($C$4:C452, "ÜRETİM GİRİŞ", $J$4:J452))), 0), 0)</f>
        <v>0</v>
      </c>
      <c r="U453" s="96">
        <f t="shared" si="15"/>
        <v>0</v>
      </c>
      <c r="V453" s="96">
        <f t="shared" si="16"/>
        <v>0</v>
      </c>
    </row>
    <row r="454" spans="2:22" x14ac:dyDescent="0.25">
      <c r="B454" s="87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96">
        <f>IF(OR(C454="MAL ALIMI", C454="ÜRETİM GİRİŞ"), IF(J454 - MAX(0, $I$2 - (SUMIF($C$4:C453, "MAL ALIMI", $J$4:J453) + SUMIF($C$4:C453, "ÜRETİM GİRİŞ", $J$4:J453))) &gt; 0, J454 - MAX(0, $I$2 - (SUMIF($C$4:C453, "MAL ALIMI", $J$4:J453) + SUMIF($C$4:C453, "ÜRETİM GİRİŞ", $J$4:J453))), 0), 0)</f>
        <v>0</v>
      </c>
      <c r="U454" s="96">
        <f t="shared" ref="U454:U517" si="17">T454*K454</f>
        <v>0</v>
      </c>
      <c r="V454" s="96">
        <f t="shared" ref="V454:V517" si="18">IF(OR(C454="MAL ALIMI", C454="ÜRETİM GİRİŞ"), J454 * K454, 0)</f>
        <v>0</v>
      </c>
    </row>
    <row r="455" spans="2:22" x14ac:dyDescent="0.25">
      <c r="B455" s="87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96">
        <f>IF(OR(C455="MAL ALIMI", C455="ÜRETİM GİRİŞ"), IF(J455 - MAX(0, $I$2 - (SUMIF($C$4:C454, "MAL ALIMI", $J$4:J454) + SUMIF($C$4:C454, "ÜRETİM GİRİŞ", $J$4:J454))) &gt; 0, J455 - MAX(0, $I$2 - (SUMIF($C$4:C454, "MAL ALIMI", $J$4:J454) + SUMIF($C$4:C454, "ÜRETİM GİRİŞ", $J$4:J454))), 0), 0)</f>
        <v>0</v>
      </c>
      <c r="U455" s="96">
        <f t="shared" si="17"/>
        <v>0</v>
      </c>
      <c r="V455" s="96">
        <f t="shared" si="18"/>
        <v>0</v>
      </c>
    </row>
    <row r="456" spans="2:22" x14ac:dyDescent="0.25">
      <c r="B456" s="87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96">
        <f>IF(OR(C456="MAL ALIMI", C456="ÜRETİM GİRİŞ"), IF(J456 - MAX(0, $I$2 - (SUMIF($C$4:C455, "MAL ALIMI", $J$4:J455) + SUMIF($C$4:C455, "ÜRETİM GİRİŞ", $J$4:J455))) &gt; 0, J456 - MAX(0, $I$2 - (SUMIF($C$4:C455, "MAL ALIMI", $J$4:J455) + SUMIF($C$4:C455, "ÜRETİM GİRİŞ", $J$4:J455))), 0), 0)</f>
        <v>0</v>
      </c>
      <c r="U456" s="96">
        <f t="shared" si="17"/>
        <v>0</v>
      </c>
      <c r="V456" s="96">
        <f t="shared" si="18"/>
        <v>0</v>
      </c>
    </row>
    <row r="457" spans="2:22" x14ac:dyDescent="0.25">
      <c r="B457" s="87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96">
        <f>IF(OR(C457="MAL ALIMI", C457="ÜRETİM GİRİŞ"), IF(J457 - MAX(0, $I$2 - (SUMIF($C$4:C456, "MAL ALIMI", $J$4:J456) + SUMIF($C$4:C456, "ÜRETİM GİRİŞ", $J$4:J456))) &gt; 0, J457 - MAX(0, $I$2 - (SUMIF($C$4:C456, "MAL ALIMI", $J$4:J456) + SUMIF($C$4:C456, "ÜRETİM GİRİŞ", $J$4:J456))), 0), 0)</f>
        <v>0</v>
      </c>
      <c r="U457" s="96">
        <f t="shared" si="17"/>
        <v>0</v>
      </c>
      <c r="V457" s="96">
        <f t="shared" si="18"/>
        <v>0</v>
      </c>
    </row>
    <row r="458" spans="2:22" x14ac:dyDescent="0.25">
      <c r="B458" s="87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96">
        <f>IF(OR(C458="MAL ALIMI", C458="ÜRETİM GİRİŞ"), IF(J458 - MAX(0, $I$2 - (SUMIF($C$4:C457, "MAL ALIMI", $J$4:J457) + SUMIF($C$4:C457, "ÜRETİM GİRİŞ", $J$4:J457))) &gt; 0, J458 - MAX(0, $I$2 - (SUMIF($C$4:C457, "MAL ALIMI", $J$4:J457) + SUMIF($C$4:C457, "ÜRETİM GİRİŞ", $J$4:J457))), 0), 0)</f>
        <v>0</v>
      </c>
      <c r="U458" s="96">
        <f t="shared" si="17"/>
        <v>0</v>
      </c>
      <c r="V458" s="96">
        <f t="shared" si="18"/>
        <v>0</v>
      </c>
    </row>
    <row r="459" spans="2:22" x14ac:dyDescent="0.25">
      <c r="B459" s="87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96">
        <f>IF(OR(C459="MAL ALIMI", C459="ÜRETİM GİRİŞ"), IF(J459 - MAX(0, $I$2 - (SUMIF($C$4:C458, "MAL ALIMI", $J$4:J458) + SUMIF($C$4:C458, "ÜRETİM GİRİŞ", $J$4:J458))) &gt; 0, J459 - MAX(0, $I$2 - (SUMIF($C$4:C458, "MAL ALIMI", $J$4:J458) + SUMIF($C$4:C458, "ÜRETİM GİRİŞ", $J$4:J458))), 0), 0)</f>
        <v>0</v>
      </c>
      <c r="U459" s="96">
        <f t="shared" si="17"/>
        <v>0</v>
      </c>
      <c r="V459" s="96">
        <f t="shared" si="18"/>
        <v>0</v>
      </c>
    </row>
    <row r="460" spans="2:22" x14ac:dyDescent="0.25">
      <c r="B460" s="87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96">
        <f>IF(OR(C460="MAL ALIMI", C460="ÜRETİM GİRİŞ"), IF(J460 - MAX(0, $I$2 - (SUMIF($C$4:C459, "MAL ALIMI", $J$4:J459) + SUMIF($C$4:C459, "ÜRETİM GİRİŞ", $J$4:J459))) &gt; 0, J460 - MAX(0, $I$2 - (SUMIF($C$4:C459, "MAL ALIMI", $J$4:J459) + SUMIF($C$4:C459, "ÜRETİM GİRİŞ", $J$4:J459))), 0), 0)</f>
        <v>0</v>
      </c>
      <c r="U460" s="96">
        <f t="shared" si="17"/>
        <v>0</v>
      </c>
      <c r="V460" s="96">
        <f t="shared" si="18"/>
        <v>0</v>
      </c>
    </row>
    <row r="461" spans="2:22" x14ac:dyDescent="0.25">
      <c r="B461" s="87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96">
        <f>IF(OR(C461="MAL ALIMI", C461="ÜRETİM GİRİŞ"), IF(J461 - MAX(0, $I$2 - (SUMIF($C$4:C460, "MAL ALIMI", $J$4:J460) + SUMIF($C$4:C460, "ÜRETİM GİRİŞ", $J$4:J460))) &gt; 0, J461 - MAX(0, $I$2 - (SUMIF($C$4:C460, "MAL ALIMI", $J$4:J460) + SUMIF($C$4:C460, "ÜRETİM GİRİŞ", $J$4:J460))), 0), 0)</f>
        <v>0</v>
      </c>
      <c r="U461" s="96">
        <f t="shared" si="17"/>
        <v>0</v>
      </c>
      <c r="V461" s="96">
        <f t="shared" si="18"/>
        <v>0</v>
      </c>
    </row>
    <row r="462" spans="2:22" x14ac:dyDescent="0.25">
      <c r="B462" s="87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96">
        <f>IF(OR(C462="MAL ALIMI", C462="ÜRETİM GİRİŞ"), IF(J462 - MAX(0, $I$2 - (SUMIF($C$4:C461, "MAL ALIMI", $J$4:J461) + SUMIF($C$4:C461, "ÜRETİM GİRİŞ", $J$4:J461))) &gt; 0, J462 - MAX(0, $I$2 - (SUMIF($C$4:C461, "MAL ALIMI", $J$4:J461) + SUMIF($C$4:C461, "ÜRETİM GİRİŞ", $J$4:J461))), 0), 0)</f>
        <v>0</v>
      </c>
      <c r="U462" s="96">
        <f t="shared" si="17"/>
        <v>0</v>
      </c>
      <c r="V462" s="96">
        <f t="shared" si="18"/>
        <v>0</v>
      </c>
    </row>
    <row r="463" spans="2:22" x14ac:dyDescent="0.25">
      <c r="B463" s="87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96">
        <f>IF(OR(C463="MAL ALIMI", C463="ÜRETİM GİRİŞ"), IF(J463 - MAX(0, $I$2 - (SUMIF($C$4:C462, "MAL ALIMI", $J$4:J462) + SUMIF($C$4:C462, "ÜRETİM GİRİŞ", $J$4:J462))) &gt; 0, J463 - MAX(0, $I$2 - (SUMIF($C$4:C462, "MAL ALIMI", $J$4:J462) + SUMIF($C$4:C462, "ÜRETİM GİRİŞ", $J$4:J462))), 0), 0)</f>
        <v>0</v>
      </c>
      <c r="U463" s="96">
        <f t="shared" si="17"/>
        <v>0</v>
      </c>
      <c r="V463" s="96">
        <f t="shared" si="18"/>
        <v>0</v>
      </c>
    </row>
    <row r="464" spans="2:22" x14ac:dyDescent="0.25">
      <c r="B464" s="87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96">
        <f>IF(OR(C464="MAL ALIMI", C464="ÜRETİM GİRİŞ"), IF(J464 - MAX(0, $I$2 - (SUMIF($C$4:C463, "MAL ALIMI", $J$4:J463) + SUMIF($C$4:C463, "ÜRETİM GİRİŞ", $J$4:J463))) &gt; 0, J464 - MAX(0, $I$2 - (SUMIF($C$4:C463, "MAL ALIMI", $J$4:J463) + SUMIF($C$4:C463, "ÜRETİM GİRİŞ", $J$4:J463))), 0), 0)</f>
        <v>0</v>
      </c>
      <c r="U464" s="96">
        <f t="shared" si="17"/>
        <v>0</v>
      </c>
      <c r="V464" s="96">
        <f t="shared" si="18"/>
        <v>0</v>
      </c>
    </row>
    <row r="465" spans="2:22" x14ac:dyDescent="0.25">
      <c r="B465" s="87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96">
        <f>IF(OR(C465="MAL ALIMI", C465="ÜRETİM GİRİŞ"), IF(J465 - MAX(0, $I$2 - (SUMIF($C$4:C464, "MAL ALIMI", $J$4:J464) + SUMIF($C$4:C464, "ÜRETİM GİRİŞ", $J$4:J464))) &gt; 0, J465 - MAX(0, $I$2 - (SUMIF($C$4:C464, "MAL ALIMI", $J$4:J464) + SUMIF($C$4:C464, "ÜRETİM GİRİŞ", $J$4:J464))), 0), 0)</f>
        <v>0</v>
      </c>
      <c r="U465" s="96">
        <f t="shared" si="17"/>
        <v>0</v>
      </c>
      <c r="V465" s="96">
        <f t="shared" si="18"/>
        <v>0</v>
      </c>
    </row>
    <row r="466" spans="2:22" x14ac:dyDescent="0.25">
      <c r="B466" s="87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96">
        <f>IF(OR(C466="MAL ALIMI", C466="ÜRETİM GİRİŞ"), IF(J466 - MAX(0, $I$2 - (SUMIF($C$4:C465, "MAL ALIMI", $J$4:J465) + SUMIF($C$4:C465, "ÜRETİM GİRİŞ", $J$4:J465))) &gt; 0, J466 - MAX(0, $I$2 - (SUMIF($C$4:C465, "MAL ALIMI", $J$4:J465) + SUMIF($C$4:C465, "ÜRETİM GİRİŞ", $J$4:J465))), 0), 0)</f>
        <v>0</v>
      </c>
      <c r="U466" s="96">
        <f t="shared" si="17"/>
        <v>0</v>
      </c>
      <c r="V466" s="96">
        <f t="shared" si="18"/>
        <v>0</v>
      </c>
    </row>
    <row r="467" spans="2:22" x14ac:dyDescent="0.25">
      <c r="B467" s="87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96">
        <f>IF(OR(C467="MAL ALIMI", C467="ÜRETİM GİRİŞ"), IF(J467 - MAX(0, $I$2 - (SUMIF($C$4:C466, "MAL ALIMI", $J$4:J466) + SUMIF($C$4:C466, "ÜRETİM GİRİŞ", $J$4:J466))) &gt; 0, J467 - MAX(0, $I$2 - (SUMIF($C$4:C466, "MAL ALIMI", $J$4:J466) + SUMIF($C$4:C466, "ÜRETİM GİRİŞ", $J$4:J466))), 0), 0)</f>
        <v>0</v>
      </c>
      <c r="U467" s="96">
        <f t="shared" si="17"/>
        <v>0</v>
      </c>
      <c r="V467" s="96">
        <f t="shared" si="18"/>
        <v>0</v>
      </c>
    </row>
    <row r="468" spans="2:22" x14ac:dyDescent="0.25">
      <c r="B468" s="87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96">
        <f>IF(OR(C468="MAL ALIMI", C468="ÜRETİM GİRİŞ"), IF(J468 - MAX(0, $I$2 - (SUMIF($C$4:C467, "MAL ALIMI", $J$4:J467) + SUMIF($C$4:C467, "ÜRETİM GİRİŞ", $J$4:J467))) &gt; 0, J468 - MAX(0, $I$2 - (SUMIF($C$4:C467, "MAL ALIMI", $J$4:J467) + SUMIF($C$4:C467, "ÜRETİM GİRİŞ", $J$4:J467))), 0), 0)</f>
        <v>0</v>
      </c>
      <c r="U468" s="96">
        <f t="shared" si="17"/>
        <v>0</v>
      </c>
      <c r="V468" s="96">
        <f t="shared" si="18"/>
        <v>0</v>
      </c>
    </row>
    <row r="469" spans="2:22" x14ac:dyDescent="0.25">
      <c r="B469" s="87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96">
        <f>IF(OR(C469="MAL ALIMI", C469="ÜRETİM GİRİŞ"), IF(J469 - MAX(0, $I$2 - (SUMIF($C$4:C468, "MAL ALIMI", $J$4:J468) + SUMIF($C$4:C468, "ÜRETİM GİRİŞ", $J$4:J468))) &gt; 0, J469 - MAX(0, $I$2 - (SUMIF($C$4:C468, "MAL ALIMI", $J$4:J468) + SUMIF($C$4:C468, "ÜRETİM GİRİŞ", $J$4:J468))), 0), 0)</f>
        <v>0</v>
      </c>
      <c r="U469" s="96">
        <f t="shared" si="17"/>
        <v>0</v>
      </c>
      <c r="V469" s="96">
        <f t="shared" si="18"/>
        <v>0</v>
      </c>
    </row>
    <row r="470" spans="2:22" x14ac:dyDescent="0.25">
      <c r="B470" s="87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96">
        <f>IF(OR(C470="MAL ALIMI", C470="ÜRETİM GİRİŞ"), IF(J470 - MAX(0, $I$2 - (SUMIF($C$4:C469, "MAL ALIMI", $J$4:J469) + SUMIF($C$4:C469, "ÜRETİM GİRİŞ", $J$4:J469))) &gt; 0, J470 - MAX(0, $I$2 - (SUMIF($C$4:C469, "MAL ALIMI", $J$4:J469) + SUMIF($C$4:C469, "ÜRETİM GİRİŞ", $J$4:J469))), 0), 0)</f>
        <v>0</v>
      </c>
      <c r="U470" s="96">
        <f t="shared" si="17"/>
        <v>0</v>
      </c>
      <c r="V470" s="96">
        <f t="shared" si="18"/>
        <v>0</v>
      </c>
    </row>
    <row r="471" spans="2:22" x14ac:dyDescent="0.25">
      <c r="B471" s="87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96">
        <f>IF(OR(C471="MAL ALIMI", C471="ÜRETİM GİRİŞ"), IF(J471 - MAX(0, $I$2 - (SUMIF($C$4:C470, "MAL ALIMI", $J$4:J470) + SUMIF($C$4:C470, "ÜRETİM GİRİŞ", $J$4:J470))) &gt; 0, J471 - MAX(0, $I$2 - (SUMIF($C$4:C470, "MAL ALIMI", $J$4:J470) + SUMIF($C$4:C470, "ÜRETİM GİRİŞ", $J$4:J470))), 0), 0)</f>
        <v>0</v>
      </c>
      <c r="U471" s="96">
        <f t="shared" si="17"/>
        <v>0</v>
      </c>
      <c r="V471" s="96">
        <f t="shared" si="18"/>
        <v>0</v>
      </c>
    </row>
    <row r="472" spans="2:22" x14ac:dyDescent="0.25">
      <c r="B472" s="87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96">
        <f>IF(OR(C472="MAL ALIMI", C472="ÜRETİM GİRİŞ"), IF(J472 - MAX(0, $I$2 - (SUMIF($C$4:C471, "MAL ALIMI", $J$4:J471) + SUMIF($C$4:C471, "ÜRETİM GİRİŞ", $J$4:J471))) &gt; 0, J472 - MAX(0, $I$2 - (SUMIF($C$4:C471, "MAL ALIMI", $J$4:J471) + SUMIF($C$4:C471, "ÜRETİM GİRİŞ", $J$4:J471))), 0), 0)</f>
        <v>0</v>
      </c>
      <c r="U472" s="96">
        <f t="shared" si="17"/>
        <v>0</v>
      </c>
      <c r="V472" s="96">
        <f t="shared" si="18"/>
        <v>0</v>
      </c>
    </row>
    <row r="473" spans="2:22" x14ac:dyDescent="0.25">
      <c r="B473" s="87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96">
        <f>IF(OR(C473="MAL ALIMI", C473="ÜRETİM GİRİŞ"), IF(J473 - MAX(0, $I$2 - (SUMIF($C$4:C472, "MAL ALIMI", $J$4:J472) + SUMIF($C$4:C472, "ÜRETİM GİRİŞ", $J$4:J472))) &gt; 0, J473 - MAX(0, $I$2 - (SUMIF($C$4:C472, "MAL ALIMI", $J$4:J472) + SUMIF($C$4:C472, "ÜRETİM GİRİŞ", $J$4:J472))), 0), 0)</f>
        <v>0</v>
      </c>
      <c r="U473" s="96">
        <f t="shared" si="17"/>
        <v>0</v>
      </c>
      <c r="V473" s="96">
        <f t="shared" si="18"/>
        <v>0</v>
      </c>
    </row>
    <row r="474" spans="2:22" x14ac:dyDescent="0.25">
      <c r="B474" s="87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96">
        <f>IF(OR(C474="MAL ALIMI", C474="ÜRETİM GİRİŞ"), IF(J474 - MAX(0, $I$2 - (SUMIF($C$4:C473, "MAL ALIMI", $J$4:J473) + SUMIF($C$4:C473, "ÜRETİM GİRİŞ", $J$4:J473))) &gt; 0, J474 - MAX(0, $I$2 - (SUMIF($C$4:C473, "MAL ALIMI", $J$4:J473) + SUMIF($C$4:C473, "ÜRETİM GİRİŞ", $J$4:J473))), 0), 0)</f>
        <v>0</v>
      </c>
      <c r="U474" s="96">
        <f t="shared" si="17"/>
        <v>0</v>
      </c>
      <c r="V474" s="96">
        <f t="shared" si="18"/>
        <v>0</v>
      </c>
    </row>
    <row r="475" spans="2:22" x14ac:dyDescent="0.25">
      <c r="B475" s="87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96">
        <f>IF(OR(C475="MAL ALIMI", C475="ÜRETİM GİRİŞ"), IF(J475 - MAX(0, $I$2 - (SUMIF($C$4:C474, "MAL ALIMI", $J$4:J474) + SUMIF($C$4:C474, "ÜRETİM GİRİŞ", $J$4:J474))) &gt; 0, J475 - MAX(0, $I$2 - (SUMIF($C$4:C474, "MAL ALIMI", $J$4:J474) + SUMIF($C$4:C474, "ÜRETİM GİRİŞ", $J$4:J474))), 0), 0)</f>
        <v>0</v>
      </c>
      <c r="U475" s="96">
        <f t="shared" si="17"/>
        <v>0</v>
      </c>
      <c r="V475" s="96">
        <f t="shared" si="18"/>
        <v>0</v>
      </c>
    </row>
    <row r="476" spans="2:22" x14ac:dyDescent="0.25">
      <c r="B476" s="87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96">
        <f>IF(OR(C476="MAL ALIMI", C476="ÜRETİM GİRİŞ"), IF(J476 - MAX(0, $I$2 - (SUMIF($C$4:C475, "MAL ALIMI", $J$4:J475) + SUMIF($C$4:C475, "ÜRETİM GİRİŞ", $J$4:J475))) &gt; 0, J476 - MAX(0, $I$2 - (SUMIF($C$4:C475, "MAL ALIMI", $J$4:J475) + SUMIF($C$4:C475, "ÜRETİM GİRİŞ", $J$4:J475))), 0), 0)</f>
        <v>0</v>
      </c>
      <c r="U476" s="96">
        <f t="shared" si="17"/>
        <v>0</v>
      </c>
      <c r="V476" s="96">
        <f t="shared" si="18"/>
        <v>0</v>
      </c>
    </row>
    <row r="477" spans="2:22" x14ac:dyDescent="0.25">
      <c r="B477" s="87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96">
        <f>IF(OR(C477="MAL ALIMI", C477="ÜRETİM GİRİŞ"), IF(J477 - MAX(0, $I$2 - (SUMIF($C$4:C476, "MAL ALIMI", $J$4:J476) + SUMIF($C$4:C476, "ÜRETİM GİRİŞ", $J$4:J476))) &gt; 0, J477 - MAX(0, $I$2 - (SUMIF($C$4:C476, "MAL ALIMI", $J$4:J476) + SUMIF($C$4:C476, "ÜRETİM GİRİŞ", $J$4:J476))), 0), 0)</f>
        <v>0</v>
      </c>
      <c r="U477" s="96">
        <f t="shared" si="17"/>
        <v>0</v>
      </c>
      <c r="V477" s="96">
        <f t="shared" si="18"/>
        <v>0</v>
      </c>
    </row>
    <row r="478" spans="2:22" x14ac:dyDescent="0.25">
      <c r="B478" s="87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96">
        <f>IF(OR(C478="MAL ALIMI", C478="ÜRETİM GİRİŞ"), IF(J478 - MAX(0, $I$2 - (SUMIF($C$4:C477, "MAL ALIMI", $J$4:J477) + SUMIF($C$4:C477, "ÜRETİM GİRİŞ", $J$4:J477))) &gt; 0, J478 - MAX(0, $I$2 - (SUMIF($C$4:C477, "MAL ALIMI", $J$4:J477) + SUMIF($C$4:C477, "ÜRETİM GİRİŞ", $J$4:J477))), 0), 0)</f>
        <v>0</v>
      </c>
      <c r="U478" s="96">
        <f t="shared" si="17"/>
        <v>0</v>
      </c>
      <c r="V478" s="96">
        <f t="shared" si="18"/>
        <v>0</v>
      </c>
    </row>
    <row r="479" spans="2:22" x14ac:dyDescent="0.25">
      <c r="B479" s="87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96">
        <f>IF(OR(C479="MAL ALIMI", C479="ÜRETİM GİRİŞ"), IF(J479 - MAX(0, $I$2 - (SUMIF($C$4:C478, "MAL ALIMI", $J$4:J478) + SUMIF($C$4:C478, "ÜRETİM GİRİŞ", $J$4:J478))) &gt; 0, J479 - MAX(0, $I$2 - (SUMIF($C$4:C478, "MAL ALIMI", $J$4:J478) + SUMIF($C$4:C478, "ÜRETİM GİRİŞ", $J$4:J478))), 0), 0)</f>
        <v>0</v>
      </c>
      <c r="U479" s="96">
        <f t="shared" si="17"/>
        <v>0</v>
      </c>
      <c r="V479" s="96">
        <f t="shared" si="18"/>
        <v>0</v>
      </c>
    </row>
    <row r="480" spans="2:22" x14ac:dyDescent="0.25">
      <c r="B480" s="87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96">
        <f>IF(OR(C480="MAL ALIMI", C480="ÜRETİM GİRİŞ"), IF(J480 - MAX(0, $I$2 - (SUMIF($C$4:C479, "MAL ALIMI", $J$4:J479) + SUMIF($C$4:C479, "ÜRETİM GİRİŞ", $J$4:J479))) &gt; 0, J480 - MAX(0, $I$2 - (SUMIF($C$4:C479, "MAL ALIMI", $J$4:J479) + SUMIF($C$4:C479, "ÜRETİM GİRİŞ", $J$4:J479))), 0), 0)</f>
        <v>0</v>
      </c>
      <c r="U480" s="96">
        <f t="shared" si="17"/>
        <v>0</v>
      </c>
      <c r="V480" s="96">
        <f t="shared" si="18"/>
        <v>0</v>
      </c>
    </row>
    <row r="481" spans="2:22" x14ac:dyDescent="0.25">
      <c r="B481" s="87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96">
        <f>IF(OR(C481="MAL ALIMI", C481="ÜRETİM GİRİŞ"), IF(J481 - MAX(0, $I$2 - (SUMIF($C$4:C480, "MAL ALIMI", $J$4:J480) + SUMIF($C$4:C480, "ÜRETİM GİRİŞ", $J$4:J480))) &gt; 0, J481 - MAX(0, $I$2 - (SUMIF($C$4:C480, "MAL ALIMI", $J$4:J480) + SUMIF($C$4:C480, "ÜRETİM GİRİŞ", $J$4:J480))), 0), 0)</f>
        <v>0</v>
      </c>
      <c r="U481" s="96">
        <f t="shared" si="17"/>
        <v>0</v>
      </c>
      <c r="V481" s="96">
        <f t="shared" si="18"/>
        <v>0</v>
      </c>
    </row>
    <row r="482" spans="2:22" x14ac:dyDescent="0.25">
      <c r="B482" s="87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96">
        <f>IF(OR(C482="MAL ALIMI", C482="ÜRETİM GİRİŞ"), IF(J482 - MAX(0, $I$2 - (SUMIF($C$4:C481, "MAL ALIMI", $J$4:J481) + SUMIF($C$4:C481, "ÜRETİM GİRİŞ", $J$4:J481))) &gt; 0, J482 - MAX(0, $I$2 - (SUMIF($C$4:C481, "MAL ALIMI", $J$4:J481) + SUMIF($C$4:C481, "ÜRETİM GİRİŞ", $J$4:J481))), 0), 0)</f>
        <v>0</v>
      </c>
      <c r="U482" s="96">
        <f t="shared" si="17"/>
        <v>0</v>
      </c>
      <c r="V482" s="96">
        <f t="shared" si="18"/>
        <v>0</v>
      </c>
    </row>
    <row r="483" spans="2:22" x14ac:dyDescent="0.25">
      <c r="B483" s="87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96">
        <f>IF(OR(C483="MAL ALIMI", C483="ÜRETİM GİRİŞ"), IF(J483 - MAX(0, $I$2 - (SUMIF($C$4:C482, "MAL ALIMI", $J$4:J482) + SUMIF($C$4:C482, "ÜRETİM GİRİŞ", $J$4:J482))) &gt; 0, J483 - MAX(0, $I$2 - (SUMIF($C$4:C482, "MAL ALIMI", $J$4:J482) + SUMIF($C$4:C482, "ÜRETİM GİRİŞ", $J$4:J482))), 0), 0)</f>
        <v>0</v>
      </c>
      <c r="U483" s="96">
        <f t="shared" si="17"/>
        <v>0</v>
      </c>
      <c r="V483" s="96">
        <f t="shared" si="18"/>
        <v>0</v>
      </c>
    </row>
    <row r="484" spans="2:22" x14ac:dyDescent="0.25">
      <c r="B484" s="87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96">
        <f>IF(OR(C484="MAL ALIMI", C484="ÜRETİM GİRİŞ"), IF(J484 - MAX(0, $I$2 - (SUMIF($C$4:C483, "MAL ALIMI", $J$4:J483) + SUMIF($C$4:C483, "ÜRETİM GİRİŞ", $J$4:J483))) &gt; 0, J484 - MAX(0, $I$2 - (SUMIF($C$4:C483, "MAL ALIMI", $J$4:J483) + SUMIF($C$4:C483, "ÜRETİM GİRİŞ", $J$4:J483))), 0), 0)</f>
        <v>0</v>
      </c>
      <c r="U484" s="96">
        <f t="shared" si="17"/>
        <v>0</v>
      </c>
      <c r="V484" s="96">
        <f t="shared" si="18"/>
        <v>0</v>
      </c>
    </row>
    <row r="485" spans="2:22" x14ac:dyDescent="0.25">
      <c r="B485" s="87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96">
        <f>IF(OR(C485="MAL ALIMI", C485="ÜRETİM GİRİŞ"), IF(J485 - MAX(0, $I$2 - (SUMIF($C$4:C484, "MAL ALIMI", $J$4:J484) + SUMIF($C$4:C484, "ÜRETİM GİRİŞ", $J$4:J484))) &gt; 0, J485 - MAX(0, $I$2 - (SUMIF($C$4:C484, "MAL ALIMI", $J$4:J484) + SUMIF($C$4:C484, "ÜRETİM GİRİŞ", $J$4:J484))), 0), 0)</f>
        <v>0</v>
      </c>
      <c r="U485" s="96">
        <f t="shared" si="17"/>
        <v>0</v>
      </c>
      <c r="V485" s="96">
        <f t="shared" si="18"/>
        <v>0</v>
      </c>
    </row>
    <row r="486" spans="2:22" x14ac:dyDescent="0.25">
      <c r="B486" s="87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96">
        <f>IF(OR(C486="MAL ALIMI", C486="ÜRETİM GİRİŞ"), IF(J486 - MAX(0, $I$2 - (SUMIF($C$4:C485, "MAL ALIMI", $J$4:J485) + SUMIF($C$4:C485, "ÜRETİM GİRİŞ", $J$4:J485))) &gt; 0, J486 - MAX(0, $I$2 - (SUMIF($C$4:C485, "MAL ALIMI", $J$4:J485) + SUMIF($C$4:C485, "ÜRETİM GİRİŞ", $J$4:J485))), 0), 0)</f>
        <v>0</v>
      </c>
      <c r="U486" s="96">
        <f t="shared" si="17"/>
        <v>0</v>
      </c>
      <c r="V486" s="96">
        <f t="shared" si="18"/>
        <v>0</v>
      </c>
    </row>
    <row r="487" spans="2:22" x14ac:dyDescent="0.25">
      <c r="B487" s="87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96">
        <f>IF(OR(C487="MAL ALIMI", C487="ÜRETİM GİRİŞ"), IF(J487 - MAX(0, $I$2 - (SUMIF($C$4:C486, "MAL ALIMI", $J$4:J486) + SUMIF($C$4:C486, "ÜRETİM GİRİŞ", $J$4:J486))) &gt; 0, J487 - MAX(0, $I$2 - (SUMIF($C$4:C486, "MAL ALIMI", $J$4:J486) + SUMIF($C$4:C486, "ÜRETİM GİRİŞ", $J$4:J486))), 0), 0)</f>
        <v>0</v>
      </c>
      <c r="U487" s="96">
        <f t="shared" si="17"/>
        <v>0</v>
      </c>
      <c r="V487" s="96">
        <f t="shared" si="18"/>
        <v>0</v>
      </c>
    </row>
    <row r="488" spans="2:22" x14ac:dyDescent="0.25">
      <c r="B488" s="87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96">
        <f>IF(OR(C488="MAL ALIMI", C488="ÜRETİM GİRİŞ"), IF(J488 - MAX(0, $I$2 - (SUMIF($C$4:C487, "MAL ALIMI", $J$4:J487) + SUMIF($C$4:C487, "ÜRETİM GİRİŞ", $J$4:J487))) &gt; 0, J488 - MAX(0, $I$2 - (SUMIF($C$4:C487, "MAL ALIMI", $J$4:J487) + SUMIF($C$4:C487, "ÜRETİM GİRİŞ", $J$4:J487))), 0), 0)</f>
        <v>0</v>
      </c>
      <c r="U488" s="96">
        <f t="shared" si="17"/>
        <v>0</v>
      </c>
      <c r="V488" s="96">
        <f t="shared" si="18"/>
        <v>0</v>
      </c>
    </row>
    <row r="489" spans="2:22" x14ac:dyDescent="0.25">
      <c r="B489" s="87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96">
        <f>IF(OR(C489="MAL ALIMI", C489="ÜRETİM GİRİŞ"), IF(J489 - MAX(0, $I$2 - (SUMIF($C$4:C488, "MAL ALIMI", $J$4:J488) + SUMIF($C$4:C488, "ÜRETİM GİRİŞ", $J$4:J488))) &gt; 0, J489 - MAX(0, $I$2 - (SUMIF($C$4:C488, "MAL ALIMI", $J$4:J488) + SUMIF($C$4:C488, "ÜRETİM GİRİŞ", $J$4:J488))), 0), 0)</f>
        <v>0</v>
      </c>
      <c r="U489" s="96">
        <f t="shared" si="17"/>
        <v>0</v>
      </c>
      <c r="V489" s="96">
        <f t="shared" si="18"/>
        <v>0</v>
      </c>
    </row>
    <row r="490" spans="2:22" x14ac:dyDescent="0.25">
      <c r="B490" s="87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96">
        <f>IF(OR(C490="MAL ALIMI", C490="ÜRETİM GİRİŞ"), IF(J490 - MAX(0, $I$2 - (SUMIF($C$4:C489, "MAL ALIMI", $J$4:J489) + SUMIF($C$4:C489, "ÜRETİM GİRİŞ", $J$4:J489))) &gt; 0, J490 - MAX(0, $I$2 - (SUMIF($C$4:C489, "MAL ALIMI", $J$4:J489) + SUMIF($C$4:C489, "ÜRETİM GİRİŞ", $J$4:J489))), 0), 0)</f>
        <v>0</v>
      </c>
      <c r="U490" s="96">
        <f t="shared" si="17"/>
        <v>0</v>
      </c>
      <c r="V490" s="96">
        <f t="shared" si="18"/>
        <v>0</v>
      </c>
    </row>
    <row r="491" spans="2:22" x14ac:dyDescent="0.25">
      <c r="B491" s="87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96">
        <f>IF(OR(C491="MAL ALIMI", C491="ÜRETİM GİRİŞ"), IF(J491 - MAX(0, $I$2 - (SUMIF($C$4:C490, "MAL ALIMI", $J$4:J490) + SUMIF($C$4:C490, "ÜRETİM GİRİŞ", $J$4:J490))) &gt; 0, J491 - MAX(0, $I$2 - (SUMIF($C$4:C490, "MAL ALIMI", $J$4:J490) + SUMIF($C$4:C490, "ÜRETİM GİRİŞ", $J$4:J490))), 0), 0)</f>
        <v>0</v>
      </c>
      <c r="U491" s="96">
        <f t="shared" si="17"/>
        <v>0</v>
      </c>
      <c r="V491" s="96">
        <f t="shared" si="18"/>
        <v>0</v>
      </c>
    </row>
    <row r="492" spans="2:22" x14ac:dyDescent="0.25">
      <c r="B492" s="87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96">
        <f>IF(OR(C492="MAL ALIMI", C492="ÜRETİM GİRİŞ"), IF(J492 - MAX(0, $I$2 - (SUMIF($C$4:C491, "MAL ALIMI", $J$4:J491) + SUMIF($C$4:C491, "ÜRETİM GİRİŞ", $J$4:J491))) &gt; 0, J492 - MAX(0, $I$2 - (SUMIF($C$4:C491, "MAL ALIMI", $J$4:J491) + SUMIF($C$4:C491, "ÜRETİM GİRİŞ", $J$4:J491))), 0), 0)</f>
        <v>0</v>
      </c>
      <c r="U492" s="96">
        <f t="shared" si="17"/>
        <v>0</v>
      </c>
      <c r="V492" s="96">
        <f t="shared" si="18"/>
        <v>0</v>
      </c>
    </row>
    <row r="493" spans="2:22" x14ac:dyDescent="0.25">
      <c r="B493" s="87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96">
        <f>IF(OR(C493="MAL ALIMI", C493="ÜRETİM GİRİŞ"), IF(J493 - MAX(0, $I$2 - (SUMIF($C$4:C492, "MAL ALIMI", $J$4:J492) + SUMIF($C$4:C492, "ÜRETİM GİRİŞ", $J$4:J492))) &gt; 0, J493 - MAX(0, $I$2 - (SUMIF($C$4:C492, "MAL ALIMI", $J$4:J492) + SUMIF($C$4:C492, "ÜRETİM GİRİŞ", $J$4:J492))), 0), 0)</f>
        <v>0</v>
      </c>
      <c r="U493" s="96">
        <f t="shared" si="17"/>
        <v>0</v>
      </c>
      <c r="V493" s="96">
        <f t="shared" si="18"/>
        <v>0</v>
      </c>
    </row>
    <row r="494" spans="2:22" x14ac:dyDescent="0.25">
      <c r="B494" s="87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96">
        <f>IF(OR(C494="MAL ALIMI", C494="ÜRETİM GİRİŞ"), IF(J494 - MAX(0, $I$2 - (SUMIF($C$4:C493, "MAL ALIMI", $J$4:J493) + SUMIF($C$4:C493, "ÜRETİM GİRİŞ", $J$4:J493))) &gt; 0, J494 - MAX(0, $I$2 - (SUMIF($C$4:C493, "MAL ALIMI", $J$4:J493) + SUMIF($C$4:C493, "ÜRETİM GİRİŞ", $J$4:J493))), 0), 0)</f>
        <v>0</v>
      </c>
      <c r="U494" s="96">
        <f t="shared" si="17"/>
        <v>0</v>
      </c>
      <c r="V494" s="96">
        <f t="shared" si="18"/>
        <v>0</v>
      </c>
    </row>
    <row r="495" spans="2:22" x14ac:dyDescent="0.25">
      <c r="B495" s="87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96">
        <f>IF(OR(C495="MAL ALIMI", C495="ÜRETİM GİRİŞ"), IF(J495 - MAX(0, $I$2 - (SUMIF($C$4:C494, "MAL ALIMI", $J$4:J494) + SUMIF($C$4:C494, "ÜRETİM GİRİŞ", $J$4:J494))) &gt; 0, J495 - MAX(0, $I$2 - (SUMIF($C$4:C494, "MAL ALIMI", $J$4:J494) + SUMIF($C$4:C494, "ÜRETİM GİRİŞ", $J$4:J494))), 0), 0)</f>
        <v>0</v>
      </c>
      <c r="U495" s="96">
        <f t="shared" si="17"/>
        <v>0</v>
      </c>
      <c r="V495" s="96">
        <f t="shared" si="18"/>
        <v>0</v>
      </c>
    </row>
    <row r="496" spans="2:22" x14ac:dyDescent="0.25">
      <c r="B496" s="87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96">
        <f>IF(OR(C496="MAL ALIMI", C496="ÜRETİM GİRİŞ"), IF(J496 - MAX(0, $I$2 - (SUMIF($C$4:C495, "MAL ALIMI", $J$4:J495) + SUMIF($C$4:C495, "ÜRETİM GİRİŞ", $J$4:J495))) &gt; 0, J496 - MAX(0, $I$2 - (SUMIF($C$4:C495, "MAL ALIMI", $J$4:J495) + SUMIF($C$4:C495, "ÜRETİM GİRİŞ", $J$4:J495))), 0), 0)</f>
        <v>0</v>
      </c>
      <c r="U496" s="96">
        <f t="shared" si="17"/>
        <v>0</v>
      </c>
      <c r="V496" s="96">
        <f t="shared" si="18"/>
        <v>0</v>
      </c>
    </row>
    <row r="497" spans="2:22" x14ac:dyDescent="0.25">
      <c r="B497" s="87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96">
        <f>IF(OR(C497="MAL ALIMI", C497="ÜRETİM GİRİŞ"), IF(J497 - MAX(0, $I$2 - (SUMIF($C$4:C496, "MAL ALIMI", $J$4:J496) + SUMIF($C$4:C496, "ÜRETİM GİRİŞ", $J$4:J496))) &gt; 0, J497 - MAX(0, $I$2 - (SUMIF($C$4:C496, "MAL ALIMI", $J$4:J496) + SUMIF($C$4:C496, "ÜRETİM GİRİŞ", $J$4:J496))), 0), 0)</f>
        <v>0</v>
      </c>
      <c r="U497" s="96">
        <f t="shared" si="17"/>
        <v>0</v>
      </c>
      <c r="V497" s="96">
        <f t="shared" si="18"/>
        <v>0</v>
      </c>
    </row>
    <row r="498" spans="2:22" x14ac:dyDescent="0.25">
      <c r="B498" s="87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96">
        <f>IF(OR(C498="MAL ALIMI", C498="ÜRETİM GİRİŞ"), IF(J498 - MAX(0, $I$2 - (SUMIF($C$4:C497, "MAL ALIMI", $J$4:J497) + SUMIF($C$4:C497, "ÜRETİM GİRİŞ", $J$4:J497))) &gt; 0, J498 - MAX(0, $I$2 - (SUMIF($C$4:C497, "MAL ALIMI", $J$4:J497) + SUMIF($C$4:C497, "ÜRETİM GİRİŞ", $J$4:J497))), 0), 0)</f>
        <v>0</v>
      </c>
      <c r="U498" s="96">
        <f t="shared" si="17"/>
        <v>0</v>
      </c>
      <c r="V498" s="96">
        <f t="shared" si="18"/>
        <v>0</v>
      </c>
    </row>
    <row r="499" spans="2:22" x14ac:dyDescent="0.25">
      <c r="B499" s="87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96">
        <f>IF(OR(C499="MAL ALIMI", C499="ÜRETİM GİRİŞ"), IF(J499 - MAX(0, $I$2 - (SUMIF($C$4:C498, "MAL ALIMI", $J$4:J498) + SUMIF($C$4:C498, "ÜRETİM GİRİŞ", $J$4:J498))) &gt; 0, J499 - MAX(0, $I$2 - (SUMIF($C$4:C498, "MAL ALIMI", $J$4:J498) + SUMIF($C$4:C498, "ÜRETİM GİRİŞ", $J$4:J498))), 0), 0)</f>
        <v>0</v>
      </c>
      <c r="U499" s="96">
        <f t="shared" si="17"/>
        <v>0</v>
      </c>
      <c r="V499" s="96">
        <f t="shared" si="18"/>
        <v>0</v>
      </c>
    </row>
    <row r="500" spans="2:22" x14ac:dyDescent="0.25">
      <c r="B500" s="87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96">
        <f>IF(OR(C500="MAL ALIMI", C500="ÜRETİM GİRİŞ"), IF(J500 - MAX(0, $I$2 - (SUMIF($C$4:C499, "MAL ALIMI", $J$4:J499) + SUMIF($C$4:C499, "ÜRETİM GİRİŞ", $J$4:J499))) &gt; 0, J500 - MAX(0, $I$2 - (SUMIF($C$4:C499, "MAL ALIMI", $J$4:J499) + SUMIF($C$4:C499, "ÜRETİM GİRİŞ", $J$4:J499))), 0), 0)</f>
        <v>0</v>
      </c>
      <c r="U500" s="96">
        <f t="shared" si="17"/>
        <v>0</v>
      </c>
      <c r="V500" s="96">
        <f t="shared" si="18"/>
        <v>0</v>
      </c>
    </row>
    <row r="501" spans="2:22" x14ac:dyDescent="0.25">
      <c r="B501" s="87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96">
        <f>IF(OR(C501="MAL ALIMI", C501="ÜRETİM GİRİŞ"), IF(J501 - MAX(0, $I$2 - (SUMIF($C$4:C500, "MAL ALIMI", $J$4:J500) + SUMIF($C$4:C500, "ÜRETİM GİRİŞ", $J$4:J500))) &gt; 0, J501 - MAX(0, $I$2 - (SUMIF($C$4:C500, "MAL ALIMI", $J$4:J500) + SUMIF($C$4:C500, "ÜRETİM GİRİŞ", $J$4:J500))), 0), 0)</f>
        <v>0</v>
      </c>
      <c r="U501" s="96">
        <f t="shared" si="17"/>
        <v>0</v>
      </c>
      <c r="V501" s="96">
        <f t="shared" si="18"/>
        <v>0</v>
      </c>
    </row>
    <row r="502" spans="2:22" x14ac:dyDescent="0.25">
      <c r="B502" s="87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96">
        <f>IF(OR(C502="MAL ALIMI", C502="ÜRETİM GİRİŞ"), IF(J502 - MAX(0, $I$2 - (SUMIF($C$4:C501, "MAL ALIMI", $J$4:J501) + SUMIF($C$4:C501, "ÜRETİM GİRİŞ", $J$4:J501))) &gt; 0, J502 - MAX(0, $I$2 - (SUMIF($C$4:C501, "MAL ALIMI", $J$4:J501) + SUMIF($C$4:C501, "ÜRETİM GİRİŞ", $J$4:J501))), 0), 0)</f>
        <v>0</v>
      </c>
      <c r="U502" s="96">
        <f t="shared" si="17"/>
        <v>0</v>
      </c>
      <c r="V502" s="96">
        <f t="shared" si="18"/>
        <v>0</v>
      </c>
    </row>
    <row r="503" spans="2:22" x14ac:dyDescent="0.25">
      <c r="B503" s="87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96">
        <f>IF(OR(C503="MAL ALIMI", C503="ÜRETİM GİRİŞ"), IF(J503 - MAX(0, $I$2 - (SUMIF($C$4:C502, "MAL ALIMI", $J$4:J502) + SUMIF($C$4:C502, "ÜRETİM GİRİŞ", $J$4:J502))) &gt; 0, J503 - MAX(0, $I$2 - (SUMIF($C$4:C502, "MAL ALIMI", $J$4:J502) + SUMIF($C$4:C502, "ÜRETİM GİRİŞ", $J$4:J502))), 0), 0)</f>
        <v>0</v>
      </c>
      <c r="U503" s="96">
        <f t="shared" si="17"/>
        <v>0</v>
      </c>
      <c r="V503" s="96">
        <f t="shared" si="18"/>
        <v>0</v>
      </c>
    </row>
    <row r="504" spans="2:22" x14ac:dyDescent="0.25">
      <c r="B504" s="87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96">
        <f>IF(OR(C504="MAL ALIMI", C504="ÜRETİM GİRİŞ"), IF(J504 - MAX(0, $I$2 - (SUMIF($C$4:C503, "MAL ALIMI", $J$4:J503) + SUMIF($C$4:C503, "ÜRETİM GİRİŞ", $J$4:J503))) &gt; 0, J504 - MAX(0, $I$2 - (SUMIF($C$4:C503, "MAL ALIMI", $J$4:J503) + SUMIF($C$4:C503, "ÜRETİM GİRİŞ", $J$4:J503))), 0), 0)</f>
        <v>0</v>
      </c>
      <c r="U504" s="96">
        <f t="shared" si="17"/>
        <v>0</v>
      </c>
      <c r="V504" s="96">
        <f t="shared" si="18"/>
        <v>0</v>
      </c>
    </row>
    <row r="505" spans="2:22" x14ac:dyDescent="0.25">
      <c r="B505" s="87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96">
        <f>IF(OR(C505="MAL ALIMI", C505="ÜRETİM GİRİŞ"), IF(J505 - MAX(0, $I$2 - (SUMIF($C$4:C504, "MAL ALIMI", $J$4:J504) + SUMIF($C$4:C504, "ÜRETİM GİRİŞ", $J$4:J504))) &gt; 0, J505 - MAX(0, $I$2 - (SUMIF($C$4:C504, "MAL ALIMI", $J$4:J504) + SUMIF($C$4:C504, "ÜRETİM GİRİŞ", $J$4:J504))), 0), 0)</f>
        <v>0</v>
      </c>
      <c r="U505" s="96">
        <f t="shared" si="17"/>
        <v>0</v>
      </c>
      <c r="V505" s="96">
        <f t="shared" si="18"/>
        <v>0</v>
      </c>
    </row>
    <row r="506" spans="2:22" x14ac:dyDescent="0.25">
      <c r="B506" s="87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96">
        <f>IF(OR(C506="MAL ALIMI", C506="ÜRETİM GİRİŞ"), IF(J506 - MAX(0, $I$2 - (SUMIF($C$4:C505, "MAL ALIMI", $J$4:J505) + SUMIF($C$4:C505, "ÜRETİM GİRİŞ", $J$4:J505))) &gt; 0, J506 - MAX(0, $I$2 - (SUMIF($C$4:C505, "MAL ALIMI", $J$4:J505) + SUMIF($C$4:C505, "ÜRETİM GİRİŞ", $J$4:J505))), 0), 0)</f>
        <v>0</v>
      </c>
      <c r="U506" s="96">
        <f t="shared" si="17"/>
        <v>0</v>
      </c>
      <c r="V506" s="96">
        <f t="shared" si="18"/>
        <v>0</v>
      </c>
    </row>
    <row r="507" spans="2:22" x14ac:dyDescent="0.25">
      <c r="B507" s="87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96">
        <f>IF(OR(C507="MAL ALIMI", C507="ÜRETİM GİRİŞ"), IF(J507 - MAX(0, $I$2 - (SUMIF($C$4:C506, "MAL ALIMI", $J$4:J506) + SUMIF($C$4:C506, "ÜRETİM GİRİŞ", $J$4:J506))) &gt; 0, J507 - MAX(0, $I$2 - (SUMIF($C$4:C506, "MAL ALIMI", $J$4:J506) + SUMIF($C$4:C506, "ÜRETİM GİRİŞ", $J$4:J506))), 0), 0)</f>
        <v>0</v>
      </c>
      <c r="U507" s="96">
        <f t="shared" si="17"/>
        <v>0</v>
      </c>
      <c r="V507" s="96">
        <f t="shared" si="18"/>
        <v>0</v>
      </c>
    </row>
    <row r="508" spans="2:22" x14ac:dyDescent="0.25">
      <c r="B508" s="87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96">
        <f>IF(OR(C508="MAL ALIMI", C508="ÜRETİM GİRİŞ"), IF(J508 - MAX(0, $I$2 - (SUMIF($C$4:C507, "MAL ALIMI", $J$4:J507) + SUMIF($C$4:C507, "ÜRETİM GİRİŞ", $J$4:J507))) &gt; 0, J508 - MAX(0, $I$2 - (SUMIF($C$4:C507, "MAL ALIMI", $J$4:J507) + SUMIF($C$4:C507, "ÜRETİM GİRİŞ", $J$4:J507))), 0), 0)</f>
        <v>0</v>
      </c>
      <c r="U508" s="96">
        <f t="shared" si="17"/>
        <v>0</v>
      </c>
      <c r="V508" s="96">
        <f t="shared" si="18"/>
        <v>0</v>
      </c>
    </row>
    <row r="509" spans="2:22" x14ac:dyDescent="0.25">
      <c r="B509" s="87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96">
        <f>IF(OR(C509="MAL ALIMI", C509="ÜRETİM GİRİŞ"), IF(J509 - MAX(0, $I$2 - (SUMIF($C$4:C508, "MAL ALIMI", $J$4:J508) + SUMIF($C$4:C508, "ÜRETİM GİRİŞ", $J$4:J508))) &gt; 0, J509 - MAX(0, $I$2 - (SUMIF($C$4:C508, "MAL ALIMI", $J$4:J508) + SUMIF($C$4:C508, "ÜRETİM GİRİŞ", $J$4:J508))), 0), 0)</f>
        <v>0</v>
      </c>
      <c r="U509" s="96">
        <f t="shared" si="17"/>
        <v>0</v>
      </c>
      <c r="V509" s="96">
        <f t="shared" si="18"/>
        <v>0</v>
      </c>
    </row>
    <row r="510" spans="2:22" x14ac:dyDescent="0.25">
      <c r="B510" s="87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96">
        <f>IF(OR(C510="MAL ALIMI", C510="ÜRETİM GİRİŞ"), IF(J510 - MAX(0, $I$2 - (SUMIF($C$4:C509, "MAL ALIMI", $J$4:J509) + SUMIF($C$4:C509, "ÜRETİM GİRİŞ", $J$4:J509))) &gt; 0, J510 - MAX(0, $I$2 - (SUMIF($C$4:C509, "MAL ALIMI", $J$4:J509) + SUMIF($C$4:C509, "ÜRETİM GİRİŞ", $J$4:J509))), 0), 0)</f>
        <v>0</v>
      </c>
      <c r="U510" s="96">
        <f t="shared" si="17"/>
        <v>0</v>
      </c>
      <c r="V510" s="96">
        <f t="shared" si="18"/>
        <v>0</v>
      </c>
    </row>
    <row r="511" spans="2:22" x14ac:dyDescent="0.25">
      <c r="B511" s="87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96">
        <f>IF(OR(C511="MAL ALIMI", C511="ÜRETİM GİRİŞ"), IF(J511 - MAX(0, $I$2 - (SUMIF($C$4:C510, "MAL ALIMI", $J$4:J510) + SUMIF($C$4:C510, "ÜRETİM GİRİŞ", $J$4:J510))) &gt; 0, J511 - MAX(0, $I$2 - (SUMIF($C$4:C510, "MAL ALIMI", $J$4:J510) + SUMIF($C$4:C510, "ÜRETİM GİRİŞ", $J$4:J510))), 0), 0)</f>
        <v>0</v>
      </c>
      <c r="U511" s="96">
        <f t="shared" si="17"/>
        <v>0</v>
      </c>
      <c r="V511" s="96">
        <f t="shared" si="18"/>
        <v>0</v>
      </c>
    </row>
    <row r="512" spans="2:22" x14ac:dyDescent="0.25">
      <c r="B512" s="87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96">
        <f>IF(OR(C512="MAL ALIMI", C512="ÜRETİM GİRİŞ"), IF(J512 - MAX(0, $I$2 - (SUMIF($C$4:C511, "MAL ALIMI", $J$4:J511) + SUMIF($C$4:C511, "ÜRETİM GİRİŞ", $J$4:J511))) &gt; 0, J512 - MAX(0, $I$2 - (SUMIF($C$4:C511, "MAL ALIMI", $J$4:J511) + SUMIF($C$4:C511, "ÜRETİM GİRİŞ", $J$4:J511))), 0), 0)</f>
        <v>0</v>
      </c>
      <c r="U512" s="96">
        <f t="shared" si="17"/>
        <v>0</v>
      </c>
      <c r="V512" s="96">
        <f t="shared" si="18"/>
        <v>0</v>
      </c>
    </row>
    <row r="513" spans="2:22" x14ac:dyDescent="0.25">
      <c r="B513" s="87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96">
        <f>IF(OR(C513="MAL ALIMI", C513="ÜRETİM GİRİŞ"), IF(J513 - MAX(0, $I$2 - (SUMIF($C$4:C512, "MAL ALIMI", $J$4:J512) + SUMIF($C$4:C512, "ÜRETİM GİRİŞ", $J$4:J512))) &gt; 0, J513 - MAX(0, $I$2 - (SUMIF($C$4:C512, "MAL ALIMI", $J$4:J512) + SUMIF($C$4:C512, "ÜRETİM GİRİŞ", $J$4:J512))), 0), 0)</f>
        <v>0</v>
      </c>
      <c r="U513" s="96">
        <f t="shared" si="17"/>
        <v>0</v>
      </c>
      <c r="V513" s="96">
        <f t="shared" si="18"/>
        <v>0</v>
      </c>
    </row>
    <row r="514" spans="2:22" x14ac:dyDescent="0.25">
      <c r="B514" s="87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96">
        <f>IF(OR(C514="MAL ALIMI", C514="ÜRETİM GİRİŞ"), IF(J514 - MAX(0, $I$2 - (SUMIF($C$4:C513, "MAL ALIMI", $J$4:J513) + SUMIF($C$4:C513, "ÜRETİM GİRİŞ", $J$4:J513))) &gt; 0, J514 - MAX(0, $I$2 - (SUMIF($C$4:C513, "MAL ALIMI", $J$4:J513) + SUMIF($C$4:C513, "ÜRETİM GİRİŞ", $J$4:J513))), 0), 0)</f>
        <v>0</v>
      </c>
      <c r="U514" s="96">
        <f t="shared" si="17"/>
        <v>0</v>
      </c>
      <c r="V514" s="96">
        <f t="shared" si="18"/>
        <v>0</v>
      </c>
    </row>
    <row r="515" spans="2:22" x14ac:dyDescent="0.25">
      <c r="B515" s="87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96">
        <f>IF(OR(C515="MAL ALIMI", C515="ÜRETİM GİRİŞ"), IF(J515 - MAX(0, $I$2 - (SUMIF($C$4:C514, "MAL ALIMI", $J$4:J514) + SUMIF($C$4:C514, "ÜRETİM GİRİŞ", $J$4:J514))) &gt; 0, J515 - MAX(0, $I$2 - (SUMIF($C$4:C514, "MAL ALIMI", $J$4:J514) + SUMIF($C$4:C514, "ÜRETİM GİRİŞ", $J$4:J514))), 0), 0)</f>
        <v>0</v>
      </c>
      <c r="U515" s="96">
        <f t="shared" si="17"/>
        <v>0</v>
      </c>
      <c r="V515" s="96">
        <f t="shared" si="18"/>
        <v>0</v>
      </c>
    </row>
    <row r="516" spans="2:22" x14ac:dyDescent="0.25">
      <c r="B516" s="87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96">
        <f>IF(OR(C516="MAL ALIMI", C516="ÜRETİM GİRİŞ"), IF(J516 - MAX(0, $I$2 - (SUMIF($C$4:C515, "MAL ALIMI", $J$4:J515) + SUMIF($C$4:C515, "ÜRETİM GİRİŞ", $J$4:J515))) &gt; 0, J516 - MAX(0, $I$2 - (SUMIF($C$4:C515, "MAL ALIMI", $J$4:J515) + SUMIF($C$4:C515, "ÜRETİM GİRİŞ", $J$4:J515))), 0), 0)</f>
        <v>0</v>
      </c>
      <c r="U516" s="96">
        <f t="shared" si="17"/>
        <v>0</v>
      </c>
      <c r="V516" s="96">
        <f t="shared" si="18"/>
        <v>0</v>
      </c>
    </row>
    <row r="517" spans="2:22" x14ac:dyDescent="0.25">
      <c r="B517" s="87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96">
        <f>IF(OR(C517="MAL ALIMI", C517="ÜRETİM GİRİŞ"), IF(J517 - MAX(0, $I$2 - (SUMIF($C$4:C516, "MAL ALIMI", $J$4:J516) + SUMIF($C$4:C516, "ÜRETİM GİRİŞ", $J$4:J516))) &gt; 0, J517 - MAX(0, $I$2 - (SUMIF($C$4:C516, "MAL ALIMI", $J$4:J516) + SUMIF($C$4:C516, "ÜRETİM GİRİŞ", $J$4:J516))), 0), 0)</f>
        <v>0</v>
      </c>
      <c r="U517" s="96">
        <f t="shared" si="17"/>
        <v>0</v>
      </c>
      <c r="V517" s="96">
        <f t="shared" si="18"/>
        <v>0</v>
      </c>
    </row>
    <row r="518" spans="2:22" x14ac:dyDescent="0.25">
      <c r="B518" s="87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96">
        <f>IF(OR(C518="MAL ALIMI", C518="ÜRETİM GİRİŞ"), IF(J518 - MAX(0, $I$2 - (SUMIF($C$4:C517, "MAL ALIMI", $J$4:J517) + SUMIF($C$4:C517, "ÜRETİM GİRİŞ", $J$4:J517))) &gt; 0, J518 - MAX(0, $I$2 - (SUMIF($C$4:C517, "MAL ALIMI", $J$4:J517) + SUMIF($C$4:C517, "ÜRETİM GİRİŞ", $J$4:J517))), 0), 0)</f>
        <v>0</v>
      </c>
      <c r="U518" s="96">
        <f t="shared" ref="U518:U581" si="19">T518*K518</f>
        <v>0</v>
      </c>
      <c r="V518" s="96">
        <f t="shared" ref="V518:V581" si="20">IF(OR(C518="MAL ALIMI", C518="ÜRETİM GİRİŞ"), J518 * K518, 0)</f>
        <v>0</v>
      </c>
    </row>
    <row r="519" spans="2:22" x14ac:dyDescent="0.25">
      <c r="B519" s="87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96">
        <f>IF(OR(C519="MAL ALIMI", C519="ÜRETİM GİRİŞ"), IF(J519 - MAX(0, $I$2 - (SUMIF($C$4:C518, "MAL ALIMI", $J$4:J518) + SUMIF($C$4:C518, "ÜRETİM GİRİŞ", $J$4:J518))) &gt; 0, J519 - MAX(0, $I$2 - (SUMIF($C$4:C518, "MAL ALIMI", $J$4:J518) + SUMIF($C$4:C518, "ÜRETİM GİRİŞ", $J$4:J518))), 0), 0)</f>
        <v>0</v>
      </c>
      <c r="U519" s="96">
        <f t="shared" si="19"/>
        <v>0</v>
      </c>
      <c r="V519" s="96">
        <f t="shared" si="20"/>
        <v>0</v>
      </c>
    </row>
    <row r="520" spans="2:22" x14ac:dyDescent="0.25">
      <c r="B520" s="87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96">
        <f>IF(OR(C520="MAL ALIMI", C520="ÜRETİM GİRİŞ"), IF(J520 - MAX(0, $I$2 - (SUMIF($C$4:C519, "MAL ALIMI", $J$4:J519) + SUMIF($C$4:C519, "ÜRETİM GİRİŞ", $J$4:J519))) &gt; 0, J520 - MAX(0, $I$2 - (SUMIF($C$4:C519, "MAL ALIMI", $J$4:J519) + SUMIF($C$4:C519, "ÜRETİM GİRİŞ", $J$4:J519))), 0), 0)</f>
        <v>0</v>
      </c>
      <c r="U520" s="96">
        <f t="shared" si="19"/>
        <v>0</v>
      </c>
      <c r="V520" s="96">
        <f t="shared" si="20"/>
        <v>0</v>
      </c>
    </row>
    <row r="521" spans="2:22" x14ac:dyDescent="0.25">
      <c r="B521" s="87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96">
        <f>IF(OR(C521="MAL ALIMI", C521="ÜRETİM GİRİŞ"), IF(J521 - MAX(0, $I$2 - (SUMIF($C$4:C520, "MAL ALIMI", $J$4:J520) + SUMIF($C$4:C520, "ÜRETİM GİRİŞ", $J$4:J520))) &gt; 0, J521 - MAX(0, $I$2 - (SUMIF($C$4:C520, "MAL ALIMI", $J$4:J520) + SUMIF($C$4:C520, "ÜRETİM GİRİŞ", $J$4:J520))), 0), 0)</f>
        <v>0</v>
      </c>
      <c r="U521" s="96">
        <f t="shared" si="19"/>
        <v>0</v>
      </c>
      <c r="V521" s="96">
        <f t="shared" si="20"/>
        <v>0</v>
      </c>
    </row>
    <row r="522" spans="2:22" x14ac:dyDescent="0.25">
      <c r="B522" s="87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96">
        <f>IF(OR(C522="MAL ALIMI", C522="ÜRETİM GİRİŞ"), IF(J522 - MAX(0, $I$2 - (SUMIF($C$4:C521, "MAL ALIMI", $J$4:J521) + SUMIF($C$4:C521, "ÜRETİM GİRİŞ", $J$4:J521))) &gt; 0, J522 - MAX(0, $I$2 - (SUMIF($C$4:C521, "MAL ALIMI", $J$4:J521) + SUMIF($C$4:C521, "ÜRETİM GİRİŞ", $J$4:J521))), 0), 0)</f>
        <v>0</v>
      </c>
      <c r="U522" s="96">
        <f t="shared" si="19"/>
        <v>0</v>
      </c>
      <c r="V522" s="96">
        <f t="shared" si="20"/>
        <v>0</v>
      </c>
    </row>
    <row r="523" spans="2:22" x14ac:dyDescent="0.25">
      <c r="B523" s="87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96">
        <f>IF(OR(C523="MAL ALIMI", C523="ÜRETİM GİRİŞ"), IF(J523 - MAX(0, $I$2 - (SUMIF($C$4:C522, "MAL ALIMI", $J$4:J522) + SUMIF($C$4:C522, "ÜRETİM GİRİŞ", $J$4:J522))) &gt; 0, J523 - MAX(0, $I$2 - (SUMIF($C$4:C522, "MAL ALIMI", $J$4:J522) + SUMIF($C$4:C522, "ÜRETİM GİRİŞ", $J$4:J522))), 0), 0)</f>
        <v>0</v>
      </c>
      <c r="U523" s="96">
        <f t="shared" si="19"/>
        <v>0</v>
      </c>
      <c r="V523" s="96">
        <f t="shared" si="20"/>
        <v>0</v>
      </c>
    </row>
    <row r="524" spans="2:22" x14ac:dyDescent="0.25">
      <c r="B524" s="87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96">
        <f>IF(OR(C524="MAL ALIMI", C524="ÜRETİM GİRİŞ"), IF(J524 - MAX(0, $I$2 - (SUMIF($C$4:C523, "MAL ALIMI", $J$4:J523) + SUMIF($C$4:C523, "ÜRETİM GİRİŞ", $J$4:J523))) &gt; 0, J524 - MAX(0, $I$2 - (SUMIF($C$4:C523, "MAL ALIMI", $J$4:J523) + SUMIF($C$4:C523, "ÜRETİM GİRİŞ", $J$4:J523))), 0), 0)</f>
        <v>0</v>
      </c>
      <c r="U524" s="96">
        <f t="shared" si="19"/>
        <v>0</v>
      </c>
      <c r="V524" s="96">
        <f t="shared" si="20"/>
        <v>0</v>
      </c>
    </row>
    <row r="525" spans="2:22" x14ac:dyDescent="0.25">
      <c r="B525" s="87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96">
        <f>IF(OR(C525="MAL ALIMI", C525="ÜRETİM GİRİŞ"), IF(J525 - MAX(0, $I$2 - (SUMIF($C$4:C524, "MAL ALIMI", $J$4:J524) + SUMIF($C$4:C524, "ÜRETİM GİRİŞ", $J$4:J524))) &gt; 0, J525 - MAX(0, $I$2 - (SUMIF($C$4:C524, "MAL ALIMI", $J$4:J524) + SUMIF($C$4:C524, "ÜRETİM GİRİŞ", $J$4:J524))), 0), 0)</f>
        <v>0</v>
      </c>
      <c r="U525" s="96">
        <f t="shared" si="19"/>
        <v>0</v>
      </c>
      <c r="V525" s="96">
        <f t="shared" si="20"/>
        <v>0</v>
      </c>
    </row>
    <row r="526" spans="2:22" x14ac:dyDescent="0.25">
      <c r="B526" s="87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96">
        <f>IF(OR(C526="MAL ALIMI", C526="ÜRETİM GİRİŞ"), IF(J526 - MAX(0, $I$2 - (SUMIF($C$4:C525, "MAL ALIMI", $J$4:J525) + SUMIF($C$4:C525, "ÜRETİM GİRİŞ", $J$4:J525))) &gt; 0, J526 - MAX(0, $I$2 - (SUMIF($C$4:C525, "MAL ALIMI", $J$4:J525) + SUMIF($C$4:C525, "ÜRETİM GİRİŞ", $J$4:J525))), 0), 0)</f>
        <v>0</v>
      </c>
      <c r="U526" s="96">
        <f t="shared" si="19"/>
        <v>0</v>
      </c>
      <c r="V526" s="96">
        <f t="shared" si="20"/>
        <v>0</v>
      </c>
    </row>
    <row r="527" spans="2:22" x14ac:dyDescent="0.25">
      <c r="B527" s="87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96">
        <f>IF(OR(C527="MAL ALIMI", C527="ÜRETİM GİRİŞ"), IF(J527 - MAX(0, $I$2 - (SUMIF($C$4:C526, "MAL ALIMI", $J$4:J526) + SUMIF($C$4:C526, "ÜRETİM GİRİŞ", $J$4:J526))) &gt; 0, J527 - MAX(0, $I$2 - (SUMIF($C$4:C526, "MAL ALIMI", $J$4:J526) + SUMIF($C$4:C526, "ÜRETİM GİRİŞ", $J$4:J526))), 0), 0)</f>
        <v>0</v>
      </c>
      <c r="U527" s="96">
        <f t="shared" si="19"/>
        <v>0</v>
      </c>
      <c r="V527" s="96">
        <f t="shared" si="20"/>
        <v>0</v>
      </c>
    </row>
    <row r="528" spans="2:22" x14ac:dyDescent="0.25">
      <c r="B528" s="87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96">
        <f>IF(OR(C528="MAL ALIMI", C528="ÜRETİM GİRİŞ"), IF(J528 - MAX(0, $I$2 - (SUMIF($C$4:C527, "MAL ALIMI", $J$4:J527) + SUMIF($C$4:C527, "ÜRETİM GİRİŞ", $J$4:J527))) &gt; 0, J528 - MAX(0, $I$2 - (SUMIF($C$4:C527, "MAL ALIMI", $J$4:J527) + SUMIF($C$4:C527, "ÜRETİM GİRİŞ", $J$4:J527))), 0), 0)</f>
        <v>0</v>
      </c>
      <c r="U528" s="96">
        <f t="shared" si="19"/>
        <v>0</v>
      </c>
      <c r="V528" s="96">
        <f t="shared" si="20"/>
        <v>0</v>
      </c>
    </row>
    <row r="529" spans="2:22" x14ac:dyDescent="0.25">
      <c r="B529" s="87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96">
        <f>IF(OR(C529="MAL ALIMI", C529="ÜRETİM GİRİŞ"), IF(J529 - MAX(0, $I$2 - (SUMIF($C$4:C528, "MAL ALIMI", $J$4:J528) + SUMIF($C$4:C528, "ÜRETİM GİRİŞ", $J$4:J528))) &gt; 0, J529 - MAX(0, $I$2 - (SUMIF($C$4:C528, "MAL ALIMI", $J$4:J528) + SUMIF($C$4:C528, "ÜRETİM GİRİŞ", $J$4:J528))), 0), 0)</f>
        <v>0</v>
      </c>
      <c r="U529" s="96">
        <f t="shared" si="19"/>
        <v>0</v>
      </c>
      <c r="V529" s="96">
        <f t="shared" si="20"/>
        <v>0</v>
      </c>
    </row>
    <row r="530" spans="2:22" x14ac:dyDescent="0.25">
      <c r="B530" s="87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96">
        <f>IF(OR(C530="MAL ALIMI", C530="ÜRETİM GİRİŞ"), IF(J530 - MAX(0, $I$2 - (SUMIF($C$4:C529, "MAL ALIMI", $J$4:J529) + SUMIF($C$4:C529, "ÜRETİM GİRİŞ", $J$4:J529))) &gt; 0, J530 - MAX(0, $I$2 - (SUMIF($C$4:C529, "MAL ALIMI", $J$4:J529) + SUMIF($C$4:C529, "ÜRETİM GİRİŞ", $J$4:J529))), 0), 0)</f>
        <v>0</v>
      </c>
      <c r="U530" s="96">
        <f t="shared" si="19"/>
        <v>0</v>
      </c>
      <c r="V530" s="96">
        <f t="shared" si="20"/>
        <v>0</v>
      </c>
    </row>
    <row r="531" spans="2:22" x14ac:dyDescent="0.25">
      <c r="B531" s="87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96">
        <f>IF(OR(C531="MAL ALIMI", C531="ÜRETİM GİRİŞ"), IF(J531 - MAX(0, $I$2 - (SUMIF($C$4:C530, "MAL ALIMI", $J$4:J530) + SUMIF($C$4:C530, "ÜRETİM GİRİŞ", $J$4:J530))) &gt; 0, J531 - MAX(0, $I$2 - (SUMIF($C$4:C530, "MAL ALIMI", $J$4:J530) + SUMIF($C$4:C530, "ÜRETİM GİRİŞ", $J$4:J530))), 0), 0)</f>
        <v>0</v>
      </c>
      <c r="U531" s="96">
        <f t="shared" si="19"/>
        <v>0</v>
      </c>
      <c r="V531" s="96">
        <f t="shared" si="20"/>
        <v>0</v>
      </c>
    </row>
    <row r="532" spans="2:22" x14ac:dyDescent="0.25">
      <c r="B532" s="87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96">
        <f>IF(OR(C532="MAL ALIMI", C532="ÜRETİM GİRİŞ"), IF(J532 - MAX(0, $I$2 - (SUMIF($C$4:C531, "MAL ALIMI", $J$4:J531) + SUMIF($C$4:C531, "ÜRETİM GİRİŞ", $J$4:J531))) &gt; 0, J532 - MAX(0, $I$2 - (SUMIF($C$4:C531, "MAL ALIMI", $J$4:J531) + SUMIF($C$4:C531, "ÜRETİM GİRİŞ", $J$4:J531))), 0), 0)</f>
        <v>0</v>
      </c>
      <c r="U532" s="96">
        <f t="shared" si="19"/>
        <v>0</v>
      </c>
      <c r="V532" s="96">
        <f t="shared" si="20"/>
        <v>0</v>
      </c>
    </row>
    <row r="533" spans="2:22" x14ac:dyDescent="0.25">
      <c r="B533" s="87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96">
        <f>IF(OR(C533="MAL ALIMI", C533="ÜRETİM GİRİŞ"), IF(J533 - MAX(0, $I$2 - (SUMIF($C$4:C532, "MAL ALIMI", $J$4:J532) + SUMIF($C$4:C532, "ÜRETİM GİRİŞ", $J$4:J532))) &gt; 0, J533 - MAX(0, $I$2 - (SUMIF($C$4:C532, "MAL ALIMI", $J$4:J532) + SUMIF($C$4:C532, "ÜRETİM GİRİŞ", $J$4:J532))), 0), 0)</f>
        <v>0</v>
      </c>
      <c r="U533" s="96">
        <f t="shared" si="19"/>
        <v>0</v>
      </c>
      <c r="V533" s="96">
        <f t="shared" si="20"/>
        <v>0</v>
      </c>
    </row>
    <row r="534" spans="2:22" x14ac:dyDescent="0.25">
      <c r="B534" s="87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96">
        <f>IF(OR(C534="MAL ALIMI", C534="ÜRETİM GİRİŞ"), IF(J534 - MAX(0, $I$2 - (SUMIF($C$4:C533, "MAL ALIMI", $J$4:J533) + SUMIF($C$4:C533, "ÜRETİM GİRİŞ", $J$4:J533))) &gt; 0, J534 - MAX(0, $I$2 - (SUMIF($C$4:C533, "MAL ALIMI", $J$4:J533) + SUMIF($C$4:C533, "ÜRETİM GİRİŞ", $J$4:J533))), 0), 0)</f>
        <v>0</v>
      </c>
      <c r="U534" s="96">
        <f t="shared" si="19"/>
        <v>0</v>
      </c>
      <c r="V534" s="96">
        <f t="shared" si="20"/>
        <v>0</v>
      </c>
    </row>
    <row r="535" spans="2:22" x14ac:dyDescent="0.25">
      <c r="B535" s="87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96">
        <f>IF(OR(C535="MAL ALIMI", C535="ÜRETİM GİRİŞ"), IF(J535 - MAX(0, $I$2 - (SUMIF($C$4:C534, "MAL ALIMI", $J$4:J534) + SUMIF($C$4:C534, "ÜRETİM GİRİŞ", $J$4:J534))) &gt; 0, J535 - MAX(0, $I$2 - (SUMIF($C$4:C534, "MAL ALIMI", $J$4:J534) + SUMIF($C$4:C534, "ÜRETİM GİRİŞ", $J$4:J534))), 0), 0)</f>
        <v>0</v>
      </c>
      <c r="U535" s="96">
        <f t="shared" si="19"/>
        <v>0</v>
      </c>
      <c r="V535" s="96">
        <f t="shared" si="20"/>
        <v>0</v>
      </c>
    </row>
    <row r="536" spans="2:22" x14ac:dyDescent="0.25">
      <c r="B536" s="87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96">
        <f>IF(OR(C536="MAL ALIMI", C536="ÜRETİM GİRİŞ"), IF(J536 - MAX(0, $I$2 - (SUMIF($C$4:C535, "MAL ALIMI", $J$4:J535) + SUMIF($C$4:C535, "ÜRETİM GİRİŞ", $J$4:J535))) &gt; 0, J536 - MAX(0, $I$2 - (SUMIF($C$4:C535, "MAL ALIMI", $J$4:J535) + SUMIF($C$4:C535, "ÜRETİM GİRİŞ", $J$4:J535))), 0), 0)</f>
        <v>0</v>
      </c>
      <c r="U536" s="96">
        <f t="shared" si="19"/>
        <v>0</v>
      </c>
      <c r="V536" s="96">
        <f t="shared" si="20"/>
        <v>0</v>
      </c>
    </row>
    <row r="537" spans="2:22" x14ac:dyDescent="0.25">
      <c r="B537" s="87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96">
        <f>IF(OR(C537="MAL ALIMI", C537="ÜRETİM GİRİŞ"), IF(J537 - MAX(0, $I$2 - (SUMIF($C$4:C536, "MAL ALIMI", $J$4:J536) + SUMIF($C$4:C536, "ÜRETİM GİRİŞ", $J$4:J536))) &gt; 0, J537 - MAX(0, $I$2 - (SUMIF($C$4:C536, "MAL ALIMI", $J$4:J536) + SUMIF($C$4:C536, "ÜRETİM GİRİŞ", $J$4:J536))), 0), 0)</f>
        <v>0</v>
      </c>
      <c r="U537" s="96">
        <f t="shared" si="19"/>
        <v>0</v>
      </c>
      <c r="V537" s="96">
        <f t="shared" si="20"/>
        <v>0</v>
      </c>
    </row>
    <row r="538" spans="2:22" x14ac:dyDescent="0.25">
      <c r="B538" s="87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96">
        <f>IF(OR(C538="MAL ALIMI", C538="ÜRETİM GİRİŞ"), IF(J538 - MAX(0, $I$2 - (SUMIF($C$4:C537, "MAL ALIMI", $J$4:J537) + SUMIF($C$4:C537, "ÜRETİM GİRİŞ", $J$4:J537))) &gt; 0, J538 - MAX(0, $I$2 - (SUMIF($C$4:C537, "MAL ALIMI", $J$4:J537) + SUMIF($C$4:C537, "ÜRETİM GİRİŞ", $J$4:J537))), 0), 0)</f>
        <v>0</v>
      </c>
      <c r="U538" s="96">
        <f t="shared" si="19"/>
        <v>0</v>
      </c>
      <c r="V538" s="96">
        <f t="shared" si="20"/>
        <v>0</v>
      </c>
    </row>
    <row r="539" spans="2:22" x14ac:dyDescent="0.25">
      <c r="B539" s="87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96">
        <f>IF(OR(C539="MAL ALIMI", C539="ÜRETİM GİRİŞ"), IF(J539 - MAX(0, $I$2 - (SUMIF($C$4:C538, "MAL ALIMI", $J$4:J538) + SUMIF($C$4:C538, "ÜRETİM GİRİŞ", $J$4:J538))) &gt; 0, J539 - MAX(0, $I$2 - (SUMIF($C$4:C538, "MAL ALIMI", $J$4:J538) + SUMIF($C$4:C538, "ÜRETİM GİRİŞ", $J$4:J538))), 0), 0)</f>
        <v>0</v>
      </c>
      <c r="U539" s="96">
        <f t="shared" si="19"/>
        <v>0</v>
      </c>
      <c r="V539" s="96">
        <f t="shared" si="20"/>
        <v>0</v>
      </c>
    </row>
    <row r="540" spans="2:22" x14ac:dyDescent="0.25">
      <c r="B540" s="87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96">
        <f>IF(OR(C540="MAL ALIMI", C540="ÜRETİM GİRİŞ"), IF(J540 - MAX(0, $I$2 - (SUMIF($C$4:C539, "MAL ALIMI", $J$4:J539) + SUMIF($C$4:C539, "ÜRETİM GİRİŞ", $J$4:J539))) &gt; 0, J540 - MAX(0, $I$2 - (SUMIF($C$4:C539, "MAL ALIMI", $J$4:J539) + SUMIF($C$4:C539, "ÜRETİM GİRİŞ", $J$4:J539))), 0), 0)</f>
        <v>0</v>
      </c>
      <c r="U540" s="96">
        <f t="shared" si="19"/>
        <v>0</v>
      </c>
      <c r="V540" s="96">
        <f t="shared" si="20"/>
        <v>0</v>
      </c>
    </row>
    <row r="541" spans="2:22" x14ac:dyDescent="0.25">
      <c r="B541" s="87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96">
        <f>IF(OR(C541="MAL ALIMI", C541="ÜRETİM GİRİŞ"), IF(J541 - MAX(0, $I$2 - (SUMIF($C$4:C540, "MAL ALIMI", $J$4:J540) + SUMIF($C$4:C540, "ÜRETİM GİRİŞ", $J$4:J540))) &gt; 0, J541 - MAX(0, $I$2 - (SUMIF($C$4:C540, "MAL ALIMI", $J$4:J540) + SUMIF($C$4:C540, "ÜRETİM GİRİŞ", $J$4:J540))), 0), 0)</f>
        <v>0</v>
      </c>
      <c r="U541" s="96">
        <f t="shared" si="19"/>
        <v>0</v>
      </c>
      <c r="V541" s="96">
        <f t="shared" si="20"/>
        <v>0</v>
      </c>
    </row>
    <row r="542" spans="2:22" x14ac:dyDescent="0.25">
      <c r="B542" s="87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96">
        <f>IF(OR(C542="MAL ALIMI", C542="ÜRETİM GİRİŞ"), IF(J542 - MAX(0, $I$2 - (SUMIF($C$4:C541, "MAL ALIMI", $J$4:J541) + SUMIF($C$4:C541, "ÜRETİM GİRİŞ", $J$4:J541))) &gt; 0, J542 - MAX(0, $I$2 - (SUMIF($C$4:C541, "MAL ALIMI", $J$4:J541) + SUMIF($C$4:C541, "ÜRETİM GİRİŞ", $J$4:J541))), 0), 0)</f>
        <v>0</v>
      </c>
      <c r="U542" s="96">
        <f t="shared" si="19"/>
        <v>0</v>
      </c>
      <c r="V542" s="96">
        <f t="shared" si="20"/>
        <v>0</v>
      </c>
    </row>
    <row r="543" spans="2:22" x14ac:dyDescent="0.25">
      <c r="B543" s="87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96">
        <f>IF(OR(C543="MAL ALIMI", C543="ÜRETİM GİRİŞ"), IF(J543 - MAX(0, $I$2 - (SUMIF($C$4:C542, "MAL ALIMI", $J$4:J542) + SUMIF($C$4:C542, "ÜRETİM GİRİŞ", $J$4:J542))) &gt; 0, J543 - MAX(0, $I$2 - (SUMIF($C$4:C542, "MAL ALIMI", $J$4:J542) + SUMIF($C$4:C542, "ÜRETİM GİRİŞ", $J$4:J542))), 0), 0)</f>
        <v>0</v>
      </c>
      <c r="U543" s="96">
        <f t="shared" si="19"/>
        <v>0</v>
      </c>
      <c r="V543" s="96">
        <f t="shared" si="20"/>
        <v>0</v>
      </c>
    </row>
    <row r="544" spans="2:22" x14ac:dyDescent="0.25">
      <c r="B544" s="87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96">
        <f>IF(OR(C544="MAL ALIMI", C544="ÜRETİM GİRİŞ"), IF(J544 - MAX(0, $I$2 - (SUMIF($C$4:C543, "MAL ALIMI", $J$4:J543) + SUMIF($C$4:C543, "ÜRETİM GİRİŞ", $J$4:J543))) &gt; 0, J544 - MAX(0, $I$2 - (SUMIF($C$4:C543, "MAL ALIMI", $J$4:J543) + SUMIF($C$4:C543, "ÜRETİM GİRİŞ", $J$4:J543))), 0), 0)</f>
        <v>0</v>
      </c>
      <c r="U544" s="96">
        <f t="shared" si="19"/>
        <v>0</v>
      </c>
      <c r="V544" s="96">
        <f t="shared" si="20"/>
        <v>0</v>
      </c>
    </row>
    <row r="545" spans="2:22" x14ac:dyDescent="0.25">
      <c r="B545" s="87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96">
        <f>IF(OR(C545="MAL ALIMI", C545="ÜRETİM GİRİŞ"), IF(J545 - MAX(0, $I$2 - (SUMIF($C$4:C544, "MAL ALIMI", $J$4:J544) + SUMIF($C$4:C544, "ÜRETİM GİRİŞ", $J$4:J544))) &gt; 0, J545 - MAX(0, $I$2 - (SUMIF($C$4:C544, "MAL ALIMI", $J$4:J544) + SUMIF($C$4:C544, "ÜRETİM GİRİŞ", $J$4:J544))), 0), 0)</f>
        <v>0</v>
      </c>
      <c r="U545" s="96">
        <f t="shared" si="19"/>
        <v>0</v>
      </c>
      <c r="V545" s="96">
        <f t="shared" si="20"/>
        <v>0</v>
      </c>
    </row>
    <row r="546" spans="2:22" x14ac:dyDescent="0.25">
      <c r="B546" s="87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96">
        <f>IF(OR(C546="MAL ALIMI", C546="ÜRETİM GİRİŞ"), IF(J546 - MAX(0, $I$2 - (SUMIF($C$4:C545, "MAL ALIMI", $J$4:J545) + SUMIF($C$4:C545, "ÜRETİM GİRİŞ", $J$4:J545))) &gt; 0, J546 - MAX(0, $I$2 - (SUMIF($C$4:C545, "MAL ALIMI", $J$4:J545) + SUMIF($C$4:C545, "ÜRETİM GİRİŞ", $J$4:J545))), 0), 0)</f>
        <v>0</v>
      </c>
      <c r="U546" s="96">
        <f t="shared" si="19"/>
        <v>0</v>
      </c>
      <c r="V546" s="96">
        <f t="shared" si="20"/>
        <v>0</v>
      </c>
    </row>
    <row r="547" spans="2:22" x14ac:dyDescent="0.25">
      <c r="B547" s="87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96">
        <f>IF(OR(C547="MAL ALIMI", C547="ÜRETİM GİRİŞ"), IF(J547 - MAX(0, $I$2 - (SUMIF($C$4:C546, "MAL ALIMI", $J$4:J546) + SUMIF($C$4:C546, "ÜRETİM GİRİŞ", $J$4:J546))) &gt; 0, J547 - MAX(0, $I$2 - (SUMIF($C$4:C546, "MAL ALIMI", $J$4:J546) + SUMIF($C$4:C546, "ÜRETİM GİRİŞ", $J$4:J546))), 0), 0)</f>
        <v>0</v>
      </c>
      <c r="U547" s="96">
        <f t="shared" si="19"/>
        <v>0</v>
      </c>
      <c r="V547" s="96">
        <f t="shared" si="20"/>
        <v>0</v>
      </c>
    </row>
    <row r="548" spans="2:22" x14ac:dyDescent="0.25">
      <c r="B548" s="87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96">
        <f>IF(OR(C548="MAL ALIMI", C548="ÜRETİM GİRİŞ"), IF(J548 - MAX(0, $I$2 - (SUMIF($C$4:C547, "MAL ALIMI", $J$4:J547) + SUMIF($C$4:C547, "ÜRETİM GİRİŞ", $J$4:J547))) &gt; 0, J548 - MAX(0, $I$2 - (SUMIF($C$4:C547, "MAL ALIMI", $J$4:J547) + SUMIF($C$4:C547, "ÜRETİM GİRİŞ", $J$4:J547))), 0), 0)</f>
        <v>0</v>
      </c>
      <c r="U548" s="96">
        <f t="shared" si="19"/>
        <v>0</v>
      </c>
      <c r="V548" s="96">
        <f t="shared" si="20"/>
        <v>0</v>
      </c>
    </row>
    <row r="549" spans="2:22" x14ac:dyDescent="0.25">
      <c r="B549" s="87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96">
        <f>IF(OR(C549="MAL ALIMI", C549="ÜRETİM GİRİŞ"), IF(J549 - MAX(0, $I$2 - (SUMIF($C$4:C548, "MAL ALIMI", $J$4:J548) + SUMIF($C$4:C548, "ÜRETİM GİRİŞ", $J$4:J548))) &gt; 0, J549 - MAX(0, $I$2 - (SUMIF($C$4:C548, "MAL ALIMI", $J$4:J548) + SUMIF($C$4:C548, "ÜRETİM GİRİŞ", $J$4:J548))), 0), 0)</f>
        <v>0</v>
      </c>
      <c r="U549" s="96">
        <f t="shared" si="19"/>
        <v>0</v>
      </c>
      <c r="V549" s="96">
        <f t="shared" si="20"/>
        <v>0</v>
      </c>
    </row>
    <row r="550" spans="2:22" x14ac:dyDescent="0.25">
      <c r="B550" s="87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96">
        <f>IF(OR(C550="MAL ALIMI", C550="ÜRETİM GİRİŞ"), IF(J550 - MAX(0, $I$2 - (SUMIF($C$4:C549, "MAL ALIMI", $J$4:J549) + SUMIF($C$4:C549, "ÜRETİM GİRİŞ", $J$4:J549))) &gt; 0, J550 - MAX(0, $I$2 - (SUMIF($C$4:C549, "MAL ALIMI", $J$4:J549) + SUMIF($C$4:C549, "ÜRETİM GİRİŞ", $J$4:J549))), 0), 0)</f>
        <v>0</v>
      </c>
      <c r="U550" s="96">
        <f t="shared" si="19"/>
        <v>0</v>
      </c>
      <c r="V550" s="96">
        <f t="shared" si="20"/>
        <v>0</v>
      </c>
    </row>
    <row r="551" spans="2:22" x14ac:dyDescent="0.25">
      <c r="B551" s="87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96">
        <f>IF(OR(C551="MAL ALIMI", C551="ÜRETİM GİRİŞ"), IF(J551 - MAX(0, $I$2 - (SUMIF($C$4:C550, "MAL ALIMI", $J$4:J550) + SUMIF($C$4:C550, "ÜRETİM GİRİŞ", $J$4:J550))) &gt; 0, J551 - MAX(0, $I$2 - (SUMIF($C$4:C550, "MAL ALIMI", $J$4:J550) + SUMIF($C$4:C550, "ÜRETİM GİRİŞ", $J$4:J550))), 0), 0)</f>
        <v>0</v>
      </c>
      <c r="U551" s="96">
        <f t="shared" si="19"/>
        <v>0</v>
      </c>
      <c r="V551" s="96">
        <f t="shared" si="20"/>
        <v>0</v>
      </c>
    </row>
    <row r="552" spans="2:22" x14ac:dyDescent="0.25">
      <c r="B552" s="87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96">
        <f>IF(OR(C552="MAL ALIMI", C552="ÜRETİM GİRİŞ"), IF(J552 - MAX(0, $I$2 - (SUMIF($C$4:C551, "MAL ALIMI", $J$4:J551) + SUMIF($C$4:C551, "ÜRETİM GİRİŞ", $J$4:J551))) &gt; 0, J552 - MAX(0, $I$2 - (SUMIF($C$4:C551, "MAL ALIMI", $J$4:J551) + SUMIF($C$4:C551, "ÜRETİM GİRİŞ", $J$4:J551))), 0), 0)</f>
        <v>0</v>
      </c>
      <c r="U552" s="96">
        <f t="shared" si="19"/>
        <v>0</v>
      </c>
      <c r="V552" s="96">
        <f t="shared" si="20"/>
        <v>0</v>
      </c>
    </row>
    <row r="553" spans="2:22" x14ac:dyDescent="0.25">
      <c r="B553" s="87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96">
        <f>IF(OR(C553="MAL ALIMI", C553="ÜRETİM GİRİŞ"), IF(J553 - MAX(0, $I$2 - (SUMIF($C$4:C552, "MAL ALIMI", $J$4:J552) + SUMIF($C$4:C552, "ÜRETİM GİRİŞ", $J$4:J552))) &gt; 0, J553 - MAX(0, $I$2 - (SUMIF($C$4:C552, "MAL ALIMI", $J$4:J552) + SUMIF($C$4:C552, "ÜRETİM GİRİŞ", $J$4:J552))), 0), 0)</f>
        <v>0</v>
      </c>
      <c r="U553" s="96">
        <f t="shared" si="19"/>
        <v>0</v>
      </c>
      <c r="V553" s="96">
        <f t="shared" si="20"/>
        <v>0</v>
      </c>
    </row>
    <row r="554" spans="2:22" x14ac:dyDescent="0.25">
      <c r="B554" s="87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96">
        <f>IF(OR(C554="MAL ALIMI", C554="ÜRETİM GİRİŞ"), IF(J554 - MAX(0, $I$2 - (SUMIF($C$4:C553, "MAL ALIMI", $J$4:J553) + SUMIF($C$4:C553, "ÜRETİM GİRİŞ", $J$4:J553))) &gt; 0, J554 - MAX(0, $I$2 - (SUMIF($C$4:C553, "MAL ALIMI", $J$4:J553) + SUMIF($C$4:C553, "ÜRETİM GİRİŞ", $J$4:J553))), 0), 0)</f>
        <v>0</v>
      </c>
      <c r="U554" s="96">
        <f t="shared" si="19"/>
        <v>0</v>
      </c>
      <c r="V554" s="96">
        <f t="shared" si="20"/>
        <v>0</v>
      </c>
    </row>
    <row r="555" spans="2:22" x14ac:dyDescent="0.25">
      <c r="B555" s="87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96">
        <f>IF(OR(C555="MAL ALIMI", C555="ÜRETİM GİRİŞ"), IF(J555 - MAX(0, $I$2 - (SUMIF($C$4:C554, "MAL ALIMI", $J$4:J554) + SUMIF($C$4:C554, "ÜRETİM GİRİŞ", $J$4:J554))) &gt; 0, J555 - MAX(0, $I$2 - (SUMIF($C$4:C554, "MAL ALIMI", $J$4:J554) + SUMIF($C$4:C554, "ÜRETİM GİRİŞ", $J$4:J554))), 0), 0)</f>
        <v>0</v>
      </c>
      <c r="U555" s="96">
        <f t="shared" si="19"/>
        <v>0</v>
      </c>
      <c r="V555" s="96">
        <f t="shared" si="20"/>
        <v>0</v>
      </c>
    </row>
    <row r="556" spans="2:22" x14ac:dyDescent="0.25">
      <c r="B556" s="87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96">
        <f>IF(OR(C556="MAL ALIMI", C556="ÜRETİM GİRİŞ"), IF(J556 - MAX(0, $I$2 - (SUMIF($C$4:C555, "MAL ALIMI", $J$4:J555) + SUMIF($C$4:C555, "ÜRETİM GİRİŞ", $J$4:J555))) &gt; 0, J556 - MAX(0, $I$2 - (SUMIF($C$4:C555, "MAL ALIMI", $J$4:J555) + SUMIF($C$4:C555, "ÜRETİM GİRİŞ", $J$4:J555))), 0), 0)</f>
        <v>0</v>
      </c>
      <c r="U556" s="96">
        <f t="shared" si="19"/>
        <v>0</v>
      </c>
      <c r="V556" s="96">
        <f t="shared" si="20"/>
        <v>0</v>
      </c>
    </row>
    <row r="557" spans="2:22" x14ac:dyDescent="0.25">
      <c r="B557" s="87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96">
        <f>IF(OR(C557="MAL ALIMI", C557="ÜRETİM GİRİŞ"), IF(J557 - MAX(0, $I$2 - (SUMIF($C$4:C556, "MAL ALIMI", $J$4:J556) + SUMIF($C$4:C556, "ÜRETİM GİRİŞ", $J$4:J556))) &gt; 0, J557 - MAX(0, $I$2 - (SUMIF($C$4:C556, "MAL ALIMI", $J$4:J556) + SUMIF($C$4:C556, "ÜRETİM GİRİŞ", $J$4:J556))), 0), 0)</f>
        <v>0</v>
      </c>
      <c r="U557" s="96">
        <f t="shared" si="19"/>
        <v>0</v>
      </c>
      <c r="V557" s="96">
        <f t="shared" si="20"/>
        <v>0</v>
      </c>
    </row>
    <row r="558" spans="2:22" x14ac:dyDescent="0.25">
      <c r="B558" s="87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96">
        <f>IF(OR(C558="MAL ALIMI", C558="ÜRETİM GİRİŞ"), IF(J558 - MAX(0, $I$2 - (SUMIF($C$4:C557, "MAL ALIMI", $J$4:J557) + SUMIF($C$4:C557, "ÜRETİM GİRİŞ", $J$4:J557))) &gt; 0, J558 - MAX(0, $I$2 - (SUMIF($C$4:C557, "MAL ALIMI", $J$4:J557) + SUMIF($C$4:C557, "ÜRETİM GİRİŞ", $J$4:J557))), 0), 0)</f>
        <v>0</v>
      </c>
      <c r="U558" s="96">
        <f t="shared" si="19"/>
        <v>0</v>
      </c>
      <c r="V558" s="96">
        <f t="shared" si="20"/>
        <v>0</v>
      </c>
    </row>
    <row r="559" spans="2:22" x14ac:dyDescent="0.25">
      <c r="B559" s="87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96">
        <f>IF(OR(C559="MAL ALIMI", C559="ÜRETİM GİRİŞ"), IF(J559 - MAX(0, $I$2 - (SUMIF($C$4:C558, "MAL ALIMI", $J$4:J558) + SUMIF($C$4:C558, "ÜRETİM GİRİŞ", $J$4:J558))) &gt; 0, J559 - MAX(0, $I$2 - (SUMIF($C$4:C558, "MAL ALIMI", $J$4:J558) + SUMIF($C$4:C558, "ÜRETİM GİRİŞ", $J$4:J558))), 0), 0)</f>
        <v>0</v>
      </c>
      <c r="U559" s="96">
        <f t="shared" si="19"/>
        <v>0</v>
      </c>
      <c r="V559" s="96">
        <f t="shared" si="20"/>
        <v>0</v>
      </c>
    </row>
    <row r="560" spans="2:22" x14ac:dyDescent="0.25">
      <c r="B560" s="87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96">
        <f>IF(OR(C560="MAL ALIMI", C560="ÜRETİM GİRİŞ"), IF(J560 - MAX(0, $I$2 - (SUMIF($C$4:C559, "MAL ALIMI", $J$4:J559) + SUMIF($C$4:C559, "ÜRETİM GİRİŞ", $J$4:J559))) &gt; 0, J560 - MAX(0, $I$2 - (SUMIF($C$4:C559, "MAL ALIMI", $J$4:J559) + SUMIF($C$4:C559, "ÜRETİM GİRİŞ", $J$4:J559))), 0), 0)</f>
        <v>0</v>
      </c>
      <c r="U560" s="96">
        <f t="shared" si="19"/>
        <v>0</v>
      </c>
      <c r="V560" s="96">
        <f t="shared" si="20"/>
        <v>0</v>
      </c>
    </row>
    <row r="561" spans="2:22" x14ac:dyDescent="0.25">
      <c r="B561" s="87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96">
        <f>IF(OR(C561="MAL ALIMI", C561="ÜRETİM GİRİŞ"), IF(J561 - MAX(0, $I$2 - (SUMIF($C$4:C560, "MAL ALIMI", $J$4:J560) + SUMIF($C$4:C560, "ÜRETİM GİRİŞ", $J$4:J560))) &gt; 0, J561 - MAX(0, $I$2 - (SUMIF($C$4:C560, "MAL ALIMI", $J$4:J560) + SUMIF($C$4:C560, "ÜRETİM GİRİŞ", $J$4:J560))), 0), 0)</f>
        <v>0</v>
      </c>
      <c r="U561" s="96">
        <f t="shared" si="19"/>
        <v>0</v>
      </c>
      <c r="V561" s="96">
        <f t="shared" si="20"/>
        <v>0</v>
      </c>
    </row>
    <row r="562" spans="2:22" x14ac:dyDescent="0.25">
      <c r="B562" s="87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96">
        <f>IF(OR(C562="MAL ALIMI", C562="ÜRETİM GİRİŞ"), IF(J562 - MAX(0, $I$2 - (SUMIF($C$4:C561, "MAL ALIMI", $J$4:J561) + SUMIF($C$4:C561, "ÜRETİM GİRİŞ", $J$4:J561))) &gt; 0, J562 - MAX(0, $I$2 - (SUMIF($C$4:C561, "MAL ALIMI", $J$4:J561) + SUMIF($C$4:C561, "ÜRETİM GİRİŞ", $J$4:J561))), 0), 0)</f>
        <v>0</v>
      </c>
      <c r="U562" s="96">
        <f t="shared" si="19"/>
        <v>0</v>
      </c>
      <c r="V562" s="96">
        <f t="shared" si="20"/>
        <v>0</v>
      </c>
    </row>
    <row r="563" spans="2:22" x14ac:dyDescent="0.25">
      <c r="B563" s="87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96">
        <f>IF(OR(C563="MAL ALIMI", C563="ÜRETİM GİRİŞ"), IF(J563 - MAX(0, $I$2 - (SUMIF($C$4:C562, "MAL ALIMI", $J$4:J562) + SUMIF($C$4:C562, "ÜRETİM GİRİŞ", $J$4:J562))) &gt; 0, J563 - MAX(0, $I$2 - (SUMIF($C$4:C562, "MAL ALIMI", $J$4:J562) + SUMIF($C$4:C562, "ÜRETİM GİRİŞ", $J$4:J562))), 0), 0)</f>
        <v>0</v>
      </c>
      <c r="U563" s="96">
        <f t="shared" si="19"/>
        <v>0</v>
      </c>
      <c r="V563" s="96">
        <f t="shared" si="20"/>
        <v>0</v>
      </c>
    </row>
    <row r="564" spans="2:22" x14ac:dyDescent="0.25">
      <c r="B564" s="87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96">
        <f>IF(OR(C564="MAL ALIMI", C564="ÜRETİM GİRİŞ"), IF(J564 - MAX(0, $I$2 - (SUMIF($C$4:C563, "MAL ALIMI", $J$4:J563) + SUMIF($C$4:C563, "ÜRETİM GİRİŞ", $J$4:J563))) &gt; 0, J564 - MAX(0, $I$2 - (SUMIF($C$4:C563, "MAL ALIMI", $J$4:J563) + SUMIF($C$4:C563, "ÜRETİM GİRİŞ", $J$4:J563))), 0), 0)</f>
        <v>0</v>
      </c>
      <c r="U564" s="96">
        <f t="shared" si="19"/>
        <v>0</v>
      </c>
      <c r="V564" s="96">
        <f t="shared" si="20"/>
        <v>0</v>
      </c>
    </row>
    <row r="565" spans="2:22" x14ac:dyDescent="0.25">
      <c r="B565" s="87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96">
        <f>IF(OR(C565="MAL ALIMI", C565="ÜRETİM GİRİŞ"), IF(J565 - MAX(0, $I$2 - (SUMIF($C$4:C564, "MAL ALIMI", $J$4:J564) + SUMIF($C$4:C564, "ÜRETİM GİRİŞ", $J$4:J564))) &gt; 0, J565 - MAX(0, $I$2 - (SUMIF($C$4:C564, "MAL ALIMI", $J$4:J564) + SUMIF($C$4:C564, "ÜRETİM GİRİŞ", $J$4:J564))), 0), 0)</f>
        <v>0</v>
      </c>
      <c r="U565" s="96">
        <f t="shared" si="19"/>
        <v>0</v>
      </c>
      <c r="V565" s="96">
        <f t="shared" si="20"/>
        <v>0</v>
      </c>
    </row>
    <row r="566" spans="2:22" x14ac:dyDescent="0.25">
      <c r="B566" s="87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96">
        <f>IF(OR(C566="MAL ALIMI", C566="ÜRETİM GİRİŞ"), IF(J566 - MAX(0, $I$2 - (SUMIF($C$4:C565, "MAL ALIMI", $J$4:J565) + SUMIF($C$4:C565, "ÜRETİM GİRİŞ", $J$4:J565))) &gt; 0, J566 - MAX(0, $I$2 - (SUMIF($C$4:C565, "MAL ALIMI", $J$4:J565) + SUMIF($C$4:C565, "ÜRETİM GİRİŞ", $J$4:J565))), 0), 0)</f>
        <v>0</v>
      </c>
      <c r="U566" s="96">
        <f t="shared" si="19"/>
        <v>0</v>
      </c>
      <c r="V566" s="96">
        <f t="shared" si="20"/>
        <v>0</v>
      </c>
    </row>
    <row r="567" spans="2:22" x14ac:dyDescent="0.25">
      <c r="B567" s="87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96">
        <f>IF(OR(C567="MAL ALIMI", C567="ÜRETİM GİRİŞ"), IF(J567 - MAX(0, $I$2 - (SUMIF($C$4:C566, "MAL ALIMI", $J$4:J566) + SUMIF($C$4:C566, "ÜRETİM GİRİŞ", $J$4:J566))) &gt; 0, J567 - MAX(0, $I$2 - (SUMIF($C$4:C566, "MAL ALIMI", $J$4:J566) + SUMIF($C$4:C566, "ÜRETİM GİRİŞ", $J$4:J566))), 0), 0)</f>
        <v>0</v>
      </c>
      <c r="U567" s="96">
        <f t="shared" si="19"/>
        <v>0</v>
      </c>
      <c r="V567" s="96">
        <f t="shared" si="20"/>
        <v>0</v>
      </c>
    </row>
    <row r="568" spans="2:22" x14ac:dyDescent="0.25">
      <c r="B568" s="87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96">
        <f>IF(OR(C568="MAL ALIMI", C568="ÜRETİM GİRİŞ"), IF(J568 - MAX(0, $I$2 - (SUMIF($C$4:C567, "MAL ALIMI", $J$4:J567) + SUMIF($C$4:C567, "ÜRETİM GİRİŞ", $J$4:J567))) &gt; 0, J568 - MAX(0, $I$2 - (SUMIF($C$4:C567, "MAL ALIMI", $J$4:J567) + SUMIF($C$4:C567, "ÜRETİM GİRİŞ", $J$4:J567))), 0), 0)</f>
        <v>0</v>
      </c>
      <c r="U568" s="96">
        <f t="shared" si="19"/>
        <v>0</v>
      </c>
      <c r="V568" s="96">
        <f t="shared" si="20"/>
        <v>0</v>
      </c>
    </row>
    <row r="569" spans="2:22" x14ac:dyDescent="0.25">
      <c r="B569" s="87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96">
        <f>IF(OR(C569="MAL ALIMI", C569="ÜRETİM GİRİŞ"), IF(J569 - MAX(0, $I$2 - (SUMIF($C$4:C568, "MAL ALIMI", $J$4:J568) + SUMIF($C$4:C568, "ÜRETİM GİRİŞ", $J$4:J568))) &gt; 0, J569 - MAX(0, $I$2 - (SUMIF($C$4:C568, "MAL ALIMI", $J$4:J568) + SUMIF($C$4:C568, "ÜRETİM GİRİŞ", $J$4:J568))), 0), 0)</f>
        <v>0</v>
      </c>
      <c r="U569" s="96">
        <f t="shared" si="19"/>
        <v>0</v>
      </c>
      <c r="V569" s="96">
        <f t="shared" si="20"/>
        <v>0</v>
      </c>
    </row>
    <row r="570" spans="2:22" x14ac:dyDescent="0.25">
      <c r="B570" s="87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96">
        <f>IF(OR(C570="MAL ALIMI", C570="ÜRETİM GİRİŞ"), IF(J570 - MAX(0, $I$2 - (SUMIF($C$4:C569, "MAL ALIMI", $J$4:J569) + SUMIF($C$4:C569, "ÜRETİM GİRİŞ", $J$4:J569))) &gt; 0, J570 - MAX(0, $I$2 - (SUMIF($C$4:C569, "MAL ALIMI", $J$4:J569) + SUMIF($C$4:C569, "ÜRETİM GİRİŞ", $J$4:J569))), 0), 0)</f>
        <v>0</v>
      </c>
      <c r="U570" s="96">
        <f t="shared" si="19"/>
        <v>0</v>
      </c>
      <c r="V570" s="96">
        <f t="shared" si="20"/>
        <v>0</v>
      </c>
    </row>
    <row r="571" spans="2:22" x14ac:dyDescent="0.25">
      <c r="B571" s="87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96">
        <f>IF(OR(C571="MAL ALIMI", C571="ÜRETİM GİRİŞ"), IF(J571 - MAX(0, $I$2 - (SUMIF($C$4:C570, "MAL ALIMI", $J$4:J570) + SUMIF($C$4:C570, "ÜRETİM GİRİŞ", $J$4:J570))) &gt; 0, J571 - MAX(0, $I$2 - (SUMIF($C$4:C570, "MAL ALIMI", $J$4:J570) + SUMIF($C$4:C570, "ÜRETİM GİRİŞ", $J$4:J570))), 0), 0)</f>
        <v>0</v>
      </c>
      <c r="U571" s="96">
        <f t="shared" si="19"/>
        <v>0</v>
      </c>
      <c r="V571" s="96">
        <f t="shared" si="20"/>
        <v>0</v>
      </c>
    </row>
    <row r="572" spans="2:22" x14ac:dyDescent="0.25">
      <c r="B572" s="87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96">
        <f>IF(OR(C572="MAL ALIMI", C572="ÜRETİM GİRİŞ"), IF(J572 - MAX(0, $I$2 - (SUMIF($C$4:C571, "MAL ALIMI", $J$4:J571) + SUMIF($C$4:C571, "ÜRETİM GİRİŞ", $J$4:J571))) &gt; 0, J572 - MAX(0, $I$2 - (SUMIF($C$4:C571, "MAL ALIMI", $J$4:J571) + SUMIF($C$4:C571, "ÜRETİM GİRİŞ", $J$4:J571))), 0), 0)</f>
        <v>0</v>
      </c>
      <c r="U572" s="96">
        <f t="shared" si="19"/>
        <v>0</v>
      </c>
      <c r="V572" s="96">
        <f t="shared" si="20"/>
        <v>0</v>
      </c>
    </row>
    <row r="573" spans="2:22" x14ac:dyDescent="0.25">
      <c r="B573" s="87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96">
        <f>IF(OR(C573="MAL ALIMI", C573="ÜRETİM GİRİŞ"), IF(J573 - MAX(0, $I$2 - (SUMIF($C$4:C572, "MAL ALIMI", $J$4:J572) + SUMIF($C$4:C572, "ÜRETİM GİRİŞ", $J$4:J572))) &gt; 0, J573 - MAX(0, $I$2 - (SUMIF($C$4:C572, "MAL ALIMI", $J$4:J572) + SUMIF($C$4:C572, "ÜRETİM GİRİŞ", $J$4:J572))), 0), 0)</f>
        <v>0</v>
      </c>
      <c r="U573" s="96">
        <f t="shared" si="19"/>
        <v>0</v>
      </c>
      <c r="V573" s="96">
        <f t="shared" si="20"/>
        <v>0</v>
      </c>
    </row>
    <row r="574" spans="2:22" x14ac:dyDescent="0.25">
      <c r="B574" s="87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96">
        <f>IF(OR(C574="MAL ALIMI", C574="ÜRETİM GİRİŞ"), IF(J574 - MAX(0, $I$2 - (SUMIF($C$4:C573, "MAL ALIMI", $J$4:J573) + SUMIF($C$4:C573, "ÜRETİM GİRİŞ", $J$4:J573))) &gt; 0, J574 - MAX(0, $I$2 - (SUMIF($C$4:C573, "MAL ALIMI", $J$4:J573) + SUMIF($C$4:C573, "ÜRETİM GİRİŞ", $J$4:J573))), 0), 0)</f>
        <v>0</v>
      </c>
      <c r="U574" s="96">
        <f t="shared" si="19"/>
        <v>0</v>
      </c>
      <c r="V574" s="96">
        <f t="shared" si="20"/>
        <v>0</v>
      </c>
    </row>
    <row r="575" spans="2:22" x14ac:dyDescent="0.25">
      <c r="B575" s="87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96">
        <f>IF(OR(C575="MAL ALIMI", C575="ÜRETİM GİRİŞ"), IF(J575 - MAX(0, $I$2 - (SUMIF($C$4:C574, "MAL ALIMI", $J$4:J574) + SUMIF($C$4:C574, "ÜRETİM GİRİŞ", $J$4:J574))) &gt; 0, J575 - MAX(0, $I$2 - (SUMIF($C$4:C574, "MAL ALIMI", $J$4:J574) + SUMIF($C$4:C574, "ÜRETİM GİRİŞ", $J$4:J574))), 0), 0)</f>
        <v>0</v>
      </c>
      <c r="U575" s="96">
        <f t="shared" si="19"/>
        <v>0</v>
      </c>
      <c r="V575" s="96">
        <f t="shared" si="20"/>
        <v>0</v>
      </c>
    </row>
    <row r="576" spans="2:22" x14ac:dyDescent="0.25">
      <c r="B576" s="87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96">
        <f>IF(OR(C576="MAL ALIMI", C576="ÜRETİM GİRİŞ"), IF(J576 - MAX(0, $I$2 - (SUMIF($C$4:C575, "MAL ALIMI", $J$4:J575) + SUMIF($C$4:C575, "ÜRETİM GİRİŞ", $J$4:J575))) &gt; 0, J576 - MAX(0, $I$2 - (SUMIF($C$4:C575, "MAL ALIMI", $J$4:J575) + SUMIF($C$4:C575, "ÜRETİM GİRİŞ", $J$4:J575))), 0), 0)</f>
        <v>0</v>
      </c>
      <c r="U576" s="96">
        <f t="shared" si="19"/>
        <v>0</v>
      </c>
      <c r="V576" s="96">
        <f t="shared" si="20"/>
        <v>0</v>
      </c>
    </row>
    <row r="577" spans="2:22" x14ac:dyDescent="0.25">
      <c r="B577" s="87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96">
        <f>IF(OR(C577="MAL ALIMI", C577="ÜRETİM GİRİŞ"), IF(J577 - MAX(0, $I$2 - (SUMIF($C$4:C576, "MAL ALIMI", $J$4:J576) + SUMIF($C$4:C576, "ÜRETİM GİRİŞ", $J$4:J576))) &gt; 0, J577 - MAX(0, $I$2 - (SUMIF($C$4:C576, "MAL ALIMI", $J$4:J576) + SUMIF($C$4:C576, "ÜRETİM GİRİŞ", $J$4:J576))), 0), 0)</f>
        <v>0</v>
      </c>
      <c r="U577" s="96">
        <f t="shared" si="19"/>
        <v>0</v>
      </c>
      <c r="V577" s="96">
        <f t="shared" si="20"/>
        <v>0</v>
      </c>
    </row>
    <row r="578" spans="2:22" x14ac:dyDescent="0.25">
      <c r="B578" s="87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96">
        <f>IF(OR(C578="MAL ALIMI", C578="ÜRETİM GİRİŞ"), IF(J578 - MAX(0, $I$2 - (SUMIF($C$4:C577, "MAL ALIMI", $J$4:J577) + SUMIF($C$4:C577, "ÜRETİM GİRİŞ", $J$4:J577))) &gt; 0, J578 - MAX(0, $I$2 - (SUMIF($C$4:C577, "MAL ALIMI", $J$4:J577) + SUMIF($C$4:C577, "ÜRETİM GİRİŞ", $J$4:J577))), 0), 0)</f>
        <v>0</v>
      </c>
      <c r="U578" s="96">
        <f t="shared" si="19"/>
        <v>0</v>
      </c>
      <c r="V578" s="96">
        <f t="shared" si="20"/>
        <v>0</v>
      </c>
    </row>
    <row r="579" spans="2:22" x14ac:dyDescent="0.25">
      <c r="B579" s="87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96">
        <f>IF(OR(C579="MAL ALIMI", C579="ÜRETİM GİRİŞ"), IF(J579 - MAX(0, $I$2 - (SUMIF($C$4:C578, "MAL ALIMI", $J$4:J578) + SUMIF($C$4:C578, "ÜRETİM GİRİŞ", $J$4:J578))) &gt; 0, J579 - MAX(0, $I$2 - (SUMIF($C$4:C578, "MAL ALIMI", $J$4:J578) + SUMIF($C$4:C578, "ÜRETİM GİRİŞ", $J$4:J578))), 0), 0)</f>
        <v>0</v>
      </c>
      <c r="U579" s="96">
        <f t="shared" si="19"/>
        <v>0</v>
      </c>
      <c r="V579" s="96">
        <f t="shared" si="20"/>
        <v>0</v>
      </c>
    </row>
    <row r="580" spans="2:22" x14ac:dyDescent="0.25">
      <c r="B580" s="87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96">
        <f>IF(OR(C580="MAL ALIMI", C580="ÜRETİM GİRİŞ"), IF(J580 - MAX(0, $I$2 - (SUMIF($C$4:C579, "MAL ALIMI", $J$4:J579) + SUMIF($C$4:C579, "ÜRETİM GİRİŞ", $J$4:J579))) &gt; 0, J580 - MAX(0, $I$2 - (SUMIF($C$4:C579, "MAL ALIMI", $J$4:J579) + SUMIF($C$4:C579, "ÜRETİM GİRİŞ", $J$4:J579))), 0), 0)</f>
        <v>0</v>
      </c>
      <c r="U580" s="96">
        <f t="shared" si="19"/>
        <v>0</v>
      </c>
      <c r="V580" s="96">
        <f t="shared" si="20"/>
        <v>0</v>
      </c>
    </row>
    <row r="581" spans="2:22" x14ac:dyDescent="0.25">
      <c r="B581" s="87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96">
        <f>IF(OR(C581="MAL ALIMI", C581="ÜRETİM GİRİŞ"), IF(J581 - MAX(0, $I$2 - (SUMIF($C$4:C580, "MAL ALIMI", $J$4:J580) + SUMIF($C$4:C580, "ÜRETİM GİRİŞ", $J$4:J580))) &gt; 0, J581 - MAX(0, $I$2 - (SUMIF($C$4:C580, "MAL ALIMI", $J$4:J580) + SUMIF($C$4:C580, "ÜRETİM GİRİŞ", $J$4:J580))), 0), 0)</f>
        <v>0</v>
      </c>
      <c r="U581" s="96">
        <f t="shared" si="19"/>
        <v>0</v>
      </c>
      <c r="V581" s="96">
        <f t="shared" si="20"/>
        <v>0</v>
      </c>
    </row>
    <row r="582" spans="2:22" x14ac:dyDescent="0.25">
      <c r="B582" s="87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96">
        <f>IF(OR(C582="MAL ALIMI", C582="ÜRETİM GİRİŞ"), IF(J582 - MAX(0, $I$2 - (SUMIF($C$4:C581, "MAL ALIMI", $J$4:J581) + SUMIF($C$4:C581, "ÜRETİM GİRİŞ", $J$4:J581))) &gt; 0, J582 - MAX(0, $I$2 - (SUMIF($C$4:C581, "MAL ALIMI", $J$4:J581) + SUMIF($C$4:C581, "ÜRETİM GİRİŞ", $J$4:J581))), 0), 0)</f>
        <v>0</v>
      </c>
      <c r="U582" s="96">
        <f t="shared" ref="U582:U588" si="21">T582*K582</f>
        <v>0</v>
      </c>
      <c r="V582" s="96">
        <f t="shared" ref="V582:V588" si="22">IF(OR(C582="MAL ALIMI", C582="ÜRETİM GİRİŞ"), J582 * K582, 0)</f>
        <v>0</v>
      </c>
    </row>
    <row r="583" spans="2:22" x14ac:dyDescent="0.25">
      <c r="B583" s="87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96">
        <f>IF(OR(C583="MAL ALIMI", C583="ÜRETİM GİRİŞ"), IF(J583 - MAX(0, $I$2 - (SUMIF($C$4:C582, "MAL ALIMI", $J$4:J582) + SUMIF($C$4:C582, "ÜRETİM GİRİŞ", $J$4:J582))) &gt; 0, J583 - MAX(0, $I$2 - (SUMIF($C$4:C582, "MAL ALIMI", $J$4:J582) + SUMIF($C$4:C582, "ÜRETİM GİRİŞ", $J$4:J582))), 0), 0)</f>
        <v>0</v>
      </c>
      <c r="U583" s="96">
        <f t="shared" si="21"/>
        <v>0</v>
      </c>
      <c r="V583" s="96">
        <f t="shared" si="22"/>
        <v>0</v>
      </c>
    </row>
    <row r="584" spans="2:22" x14ac:dyDescent="0.25">
      <c r="B584" s="87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96">
        <f>IF(OR(C584="MAL ALIMI", C584="ÜRETİM GİRİŞ"), IF(J584 - MAX(0, $I$2 - (SUMIF($C$4:C583, "MAL ALIMI", $J$4:J583) + SUMIF($C$4:C583, "ÜRETİM GİRİŞ", $J$4:J583))) &gt; 0, J584 - MAX(0, $I$2 - (SUMIF($C$4:C583, "MAL ALIMI", $J$4:J583) + SUMIF($C$4:C583, "ÜRETİM GİRİŞ", $J$4:J583))), 0), 0)</f>
        <v>0</v>
      </c>
      <c r="U584" s="96">
        <f t="shared" si="21"/>
        <v>0</v>
      </c>
      <c r="V584" s="96">
        <f t="shared" si="22"/>
        <v>0</v>
      </c>
    </row>
    <row r="585" spans="2:22" x14ac:dyDescent="0.25">
      <c r="B585" s="87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96">
        <f>IF(OR(C585="MAL ALIMI", C585="ÜRETİM GİRİŞ"), IF(J585 - MAX(0, $I$2 - (SUMIF($C$4:C584, "MAL ALIMI", $J$4:J584) + SUMIF($C$4:C584, "ÜRETİM GİRİŞ", $J$4:J584))) &gt; 0, J585 - MAX(0, $I$2 - (SUMIF($C$4:C584, "MAL ALIMI", $J$4:J584) + SUMIF($C$4:C584, "ÜRETİM GİRİŞ", $J$4:J584))), 0), 0)</f>
        <v>0</v>
      </c>
      <c r="U585" s="96">
        <f t="shared" si="21"/>
        <v>0</v>
      </c>
      <c r="V585" s="96">
        <f t="shared" si="22"/>
        <v>0</v>
      </c>
    </row>
    <row r="586" spans="2:22" x14ac:dyDescent="0.25">
      <c r="B586" s="87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96">
        <f>IF(OR(C586="MAL ALIMI", C586="ÜRETİM GİRİŞ"), IF(J586 - MAX(0, $I$2 - (SUMIF($C$4:C585, "MAL ALIMI", $J$4:J585) + SUMIF($C$4:C585, "ÜRETİM GİRİŞ", $J$4:J585))) &gt; 0, J586 - MAX(0, $I$2 - (SUMIF($C$4:C585, "MAL ALIMI", $J$4:J585) + SUMIF($C$4:C585, "ÜRETİM GİRİŞ", $J$4:J585))), 0), 0)</f>
        <v>0</v>
      </c>
      <c r="U586" s="96">
        <f t="shared" si="21"/>
        <v>0</v>
      </c>
      <c r="V586" s="96">
        <f t="shared" si="22"/>
        <v>0</v>
      </c>
    </row>
    <row r="587" spans="2:22" x14ac:dyDescent="0.25">
      <c r="B587" s="87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96">
        <f>IF(OR(C587="MAL ALIMI", C587="ÜRETİM GİRİŞ"), IF(J587 - MAX(0, $I$2 - (SUMIF($C$4:C586, "MAL ALIMI", $J$4:J586) + SUMIF($C$4:C586, "ÜRETİM GİRİŞ", $J$4:J586))) &gt; 0, J587 - MAX(0, $I$2 - (SUMIF($C$4:C586, "MAL ALIMI", $J$4:J586) + SUMIF($C$4:C586, "ÜRETİM GİRİŞ", $J$4:J586))), 0), 0)</f>
        <v>0</v>
      </c>
      <c r="U587" s="96">
        <f t="shared" si="21"/>
        <v>0</v>
      </c>
      <c r="V587" s="96">
        <f t="shared" si="22"/>
        <v>0</v>
      </c>
    </row>
    <row r="588" spans="2:22" x14ac:dyDescent="0.25">
      <c r="B588" s="87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96">
        <f>IF(OR(C588="MAL ALIMI", C588="ÜRETİM GİRİŞ"), IF(J588 - MAX(0, $I$2 - (SUMIF($C$4:C587, "MAL ALIMI", $J$4:J587) + SUMIF($C$4:C587, "ÜRETİM GİRİŞ", $J$4:J587))) &gt; 0, J588 - MAX(0, $I$2 - (SUMIF($C$4:C587, "MAL ALIMI", $J$4:J587) + SUMIF($C$4:C587, "ÜRETİM GİRİŞ", $J$4:J587))), 0), 0)</f>
        <v>0</v>
      </c>
      <c r="U588" s="96">
        <f t="shared" si="21"/>
        <v>0</v>
      </c>
      <c r="V588" s="96">
        <f t="shared" si="22"/>
        <v>0</v>
      </c>
    </row>
  </sheetData>
  <autoFilter ref="B4:S588" xr:uid="{3942E76D-044E-4690-A2BF-1CADB6FEA753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5FF09B1-709E-483D-B5E7-05A9C28E10F7}">
          <x14:formula1>
            <xm:f>'STOK KARTLARI'!$C$2:$C$1648</xm:f>
          </x14:formula1>
          <xm:sqref>B2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EE6F-1BC6-4F05-AEBF-1188F83B6467}">
  <dimension ref="C1:AA467"/>
  <sheetViews>
    <sheetView topLeftCell="D1" workbookViewId="0">
      <pane ySplit="1" topLeftCell="A2" activePane="bottomLeft" state="frozen"/>
      <selection pane="bottomLeft" activeCell="AC8" sqref="AC8"/>
    </sheetView>
  </sheetViews>
  <sheetFormatPr defaultRowHeight="15" x14ac:dyDescent="0.25"/>
  <cols>
    <col min="1" max="1" width="1.85546875" customWidth="1"/>
    <col min="2" max="2" width="1.5703125" customWidth="1"/>
    <col min="3" max="3" width="32" customWidth="1"/>
    <col min="4" max="9" width="9.140625" style="2"/>
    <col min="10" max="10" width="13.140625" style="2" bestFit="1" customWidth="1"/>
    <col min="11" max="11" width="10.85546875" style="2" bestFit="1" customWidth="1"/>
    <col min="12" max="12" width="10.5703125" style="2" bestFit="1" customWidth="1"/>
    <col min="13" max="13" width="12.85546875" style="2" bestFit="1" customWidth="1"/>
    <col min="14" max="14" width="11.5703125" style="2" bestFit="1" customWidth="1"/>
    <col min="15" max="15" width="10.85546875" style="68" bestFit="1" customWidth="1"/>
    <col min="16" max="16" width="11" style="2" customWidth="1"/>
    <col min="18" max="18" width="11.5703125" style="2" bestFit="1" customWidth="1"/>
    <col min="19" max="19" width="12" style="2" bestFit="1" customWidth="1"/>
    <col min="20" max="20" width="10.140625" hidden="1" customWidth="1"/>
    <col min="21" max="21" width="0" hidden="1" customWidth="1"/>
    <col min="22" max="22" width="14.28515625" customWidth="1"/>
    <col min="23" max="23" width="12.5703125" customWidth="1"/>
    <col min="24" max="24" width="9.7109375" customWidth="1"/>
    <col min="25" max="25" width="10.28515625" customWidth="1"/>
    <col min="26" max="26" width="8.42578125" customWidth="1"/>
  </cols>
  <sheetData>
    <row r="1" spans="3:27" ht="75" x14ac:dyDescent="0.25">
      <c r="C1" s="23" t="s">
        <v>2</v>
      </c>
      <c r="D1" s="60" t="s">
        <v>2803</v>
      </c>
      <c r="E1" s="60" t="s">
        <v>2804</v>
      </c>
      <c r="F1" s="60" t="s">
        <v>2805</v>
      </c>
      <c r="G1" s="60" t="s">
        <v>2806</v>
      </c>
      <c r="H1" s="60" t="s">
        <v>2939</v>
      </c>
      <c r="I1" s="60" t="s">
        <v>2935</v>
      </c>
      <c r="J1" s="60" t="s">
        <v>2807</v>
      </c>
      <c r="K1" s="60" t="s">
        <v>2808</v>
      </c>
      <c r="L1" s="60" t="s">
        <v>2809</v>
      </c>
      <c r="M1" s="60" t="s">
        <v>2810</v>
      </c>
      <c r="N1" s="60" t="s">
        <v>2811</v>
      </c>
      <c r="O1" s="61" t="s">
        <v>2812</v>
      </c>
      <c r="P1" s="60" t="s">
        <v>2813</v>
      </c>
      <c r="Q1" s="62" t="s">
        <v>2814</v>
      </c>
      <c r="R1" s="63" t="s">
        <v>2815</v>
      </c>
      <c r="S1" s="63" t="s">
        <v>2816</v>
      </c>
      <c r="T1" s="64" t="s">
        <v>2817</v>
      </c>
      <c r="U1" s="64" t="s">
        <v>2818</v>
      </c>
      <c r="V1" s="64" t="s">
        <v>2940</v>
      </c>
      <c r="W1" s="64" t="s">
        <v>2941</v>
      </c>
      <c r="X1" s="64" t="s">
        <v>2942</v>
      </c>
      <c r="Y1" s="64" t="s">
        <v>2943</v>
      </c>
      <c r="Z1" s="64" t="s">
        <v>2937</v>
      </c>
      <c r="AA1" s="64" t="s">
        <v>2938</v>
      </c>
    </row>
    <row r="2" spans="3:27" x14ac:dyDescent="0.25">
      <c r="C2" s="4" t="s">
        <v>126</v>
      </c>
      <c r="D2" s="5">
        <f>SUMIFS(KASA!$I:$I, KASA!$C:$C, $C2, KASA!$B:$B, "MAL ALIMI") + SUMIFS(KASA!$I:$I, KASA!$C:$C, $C2, KASA!$B:$B, "ÜRETİM GİRİŞ")</f>
        <v>50</v>
      </c>
      <c r="E2" s="5">
        <f>Z2/D2</f>
        <v>330</v>
      </c>
      <c r="F2" s="5">
        <f>SUMIFS(KASA!$I:$I, KASA!$C:$C, $C2, KASA!$B:$B, "MAL SATIŞI") + SUMIFS(KASA!$I:$I, KASA!$C:$C, $C2, KASA!$B:$B, "ÜRETİM ÇIKIŞ")</f>
        <v>26.466580783799515</v>
      </c>
      <c r="G2" s="5">
        <f>SUMIFS(KASA!$I:$I, KASA!$C:$C, $C2, KASA!$B:$B, "MAL İADE")</f>
        <v>0</v>
      </c>
      <c r="H2" s="5">
        <f>SUMIFS(KASA!$K:$K, KASA!$C:$C, $C2, KASA!$B:$B, "MAL İADE") + SUMIFS(KASA!$Q:$Q, KASA!$C:$C, $C2, KASA!$B:$B, "MAL İADE")</f>
        <v>0</v>
      </c>
      <c r="I2" s="5">
        <f t="shared" ref="I2:I65" si="0">F2+G2</f>
        <v>26.466580783799515</v>
      </c>
      <c r="J2" s="5">
        <f t="shared" ref="J2:J65" si="1">E2*F2</f>
        <v>8733.9716586538398</v>
      </c>
      <c r="K2" s="5">
        <f>SUMIFS(KASA!$Q:$Q, KASA!$C:$C, $C2, KASA!$B:$B, "MAL SATIŞI") + SUMIFS(KASA!$Q:$Q, KASA!$C:$C, $C2, KASA!$B:$B, "ÜRETİM ÇIKIŞ")</f>
        <v>10098.196153846155</v>
      </c>
      <c r="L2" s="5">
        <f>SUMIFS(KASA!$K:$K, KASA!$C:$C, $C2, KASA!$B:$B, "MAL SATIŞI") + SUMIFS(KASA!$K:$K, KASA!$C:$C, $C2, KASA!$B:$B, "ÜRETİM ÇIKIŞ")</f>
        <v>5868.9661538461551</v>
      </c>
      <c r="M2" s="5">
        <f t="shared" ref="M2:M65" si="2">K2+L2</f>
        <v>15967.16230769231</v>
      </c>
      <c r="N2" s="5">
        <f t="shared" ref="N2:N65" si="3">M2-J2</f>
        <v>7233.1906490384699</v>
      </c>
      <c r="O2" s="65">
        <f t="shared" ref="O2:O65" si="4">IFERROR(((M2-J2)/J2),0)</f>
        <v>0.82816740558937374</v>
      </c>
      <c r="P2" s="5">
        <f t="shared" ref="P2:P65" si="5">M2/F2</f>
        <v>603.29524384449337</v>
      </c>
      <c r="Q2" s="5">
        <f t="shared" ref="Q2:Q65" si="6">D2-F2-G2</f>
        <v>23.533419216200485</v>
      </c>
      <c r="R2" s="5">
        <f t="shared" ref="R2:R65" si="7">Q2*E2</f>
        <v>7766.0283413461602</v>
      </c>
      <c r="S2" s="5">
        <f t="shared" ref="S2:S65" si="8">D2*E2</f>
        <v>16500</v>
      </c>
      <c r="T2">
        <f>2.056+24.836+2.636-0.156</f>
        <v>29.372</v>
      </c>
      <c r="U2" s="2">
        <f t="shared" ref="U2:U65" si="9">Q2-T2</f>
        <v>-5.8385807837995145</v>
      </c>
      <c r="V2">
        <f>SUMIF(KASA!$C$2:$C$9980, C2, KASA!$T$2:$T$9980)</f>
        <v>23.533419216200485</v>
      </c>
      <c r="W2">
        <f>SUMIF(KASA!$C$2:$C$9980, C2, KASA!$U$2:$U$9980)</f>
        <v>8001.3625335081651</v>
      </c>
      <c r="X2" s="2">
        <f>V2-G2</f>
        <v>23.533419216200485</v>
      </c>
      <c r="Y2" s="2">
        <f>W2-H2</f>
        <v>8001.3625335081651</v>
      </c>
      <c r="Z2">
        <f>SUMIF(KASA!$C$2:$C$9980, C2, KASA!$V$2:$V$9980)</f>
        <v>16500</v>
      </c>
      <c r="AA2">
        <f>Z2-W2</f>
        <v>8498.6374664918349</v>
      </c>
    </row>
    <row r="3" spans="3:27" x14ac:dyDescent="0.25">
      <c r="C3" s="4" t="s">
        <v>129</v>
      </c>
      <c r="D3" s="5">
        <f>SUMIFS(KASA!$I:$I, KASA!$C:$C, $C3, KASA!$B:$B, "MAL ALIMI") + SUMIFS(KASA!$I:$I, KASA!$C:$C, $C3, KASA!$B:$B, "ÜRETİM GİRİŞ")</f>
        <v>50</v>
      </c>
      <c r="E3" s="5">
        <f>Z3/D3</f>
        <v>185</v>
      </c>
      <c r="F3" s="5">
        <f>SUMIFS(KASA!$I:$I, KASA!$C:$C, $C3, KASA!$B:$B, "MAL SATIŞI") + SUMIFS(KASA!$I:$I, KASA!$C:$C, $C3, KASA!$B:$B, "ÜRETİM ÇIKIŞ")</f>
        <v>20.48671266968325</v>
      </c>
      <c r="G3" s="5">
        <f>SUMIFS(KASA!$I:$I, KASA!$C:$C, $C3, KASA!$B:$B, "MAL İADE")</f>
        <v>0</v>
      </c>
      <c r="H3" s="5">
        <f>SUMIFS(KASA!$K:$K, KASA!$C:$C, $C3, KASA!$B:$B, "MAL İADE") + SUMIFS(KASA!$Q:$Q, KASA!$C:$C, $C3, KASA!$B:$B, "MAL İADE")</f>
        <v>0</v>
      </c>
      <c r="I3" s="5">
        <f t="shared" si="0"/>
        <v>20.48671266968325</v>
      </c>
      <c r="J3" s="5">
        <f t="shared" si="1"/>
        <v>3790.0418438914012</v>
      </c>
      <c r="K3" s="5">
        <f>SUMIFS(KASA!$Q:$Q, KASA!$C:$C, $C3, KASA!$B:$B, "MAL SATIŞI") + SUMIFS(KASA!$Q:$Q, KASA!$C:$C, $C3, KASA!$B:$B, "ÜRETİM ÇIKIŞ")</f>
        <v>5409.6050000000023</v>
      </c>
      <c r="L3" s="5">
        <f>SUMIFS(KASA!$K:$K, KASA!$C:$C, $C3, KASA!$B:$B, "MAL SATIŞI") + SUMIFS(KASA!$K:$K, KASA!$C:$C, $C3, KASA!$B:$B, "ÜRETİM ÇIKIŞ")</f>
        <v>1890.7799999999995</v>
      </c>
      <c r="M3" s="5">
        <f t="shared" si="2"/>
        <v>7300.385000000002</v>
      </c>
      <c r="N3" s="5">
        <f t="shared" si="3"/>
        <v>3510.3431561086009</v>
      </c>
      <c r="O3" s="65">
        <f t="shared" si="4"/>
        <v>0.92620168871391095</v>
      </c>
      <c r="P3" s="5">
        <f t="shared" si="5"/>
        <v>356.34731241207351</v>
      </c>
      <c r="Q3" s="5">
        <f t="shared" si="6"/>
        <v>29.51328733031675</v>
      </c>
      <c r="R3" s="5">
        <f t="shared" si="7"/>
        <v>5459.9581561085988</v>
      </c>
      <c r="S3" s="5">
        <f t="shared" si="8"/>
        <v>9250</v>
      </c>
      <c r="T3">
        <v>34.845999999999997</v>
      </c>
      <c r="U3" s="2">
        <f t="shared" si="9"/>
        <v>-5.3327126696832465</v>
      </c>
      <c r="V3">
        <f>SUMIF(KASA!$C$2:$C$9980, C3, KASA!$T$2:$T$9980)</f>
        <v>29.51328733031675</v>
      </c>
      <c r="W3">
        <f>SUMIF(KASA!$C$2:$C$9980, C3, KASA!$U$2:$U$9980)</f>
        <v>5767.2588461538471</v>
      </c>
      <c r="X3" s="2">
        <f t="shared" ref="X3:X66" si="10">V3-G3</f>
        <v>29.51328733031675</v>
      </c>
      <c r="Y3" s="2">
        <f t="shared" ref="Y3:Y66" si="11">W3-H3</f>
        <v>5767.2588461538471</v>
      </c>
      <c r="Z3">
        <f>SUMIF(KASA!$C$2:$C$9980, C3, KASA!$V$2:$V$9980)</f>
        <v>9250</v>
      </c>
      <c r="AA3">
        <f t="shared" ref="AA3:AA66" si="12">Z3-W3</f>
        <v>3482.7411538461529</v>
      </c>
    </row>
    <row r="4" spans="3:27" x14ac:dyDescent="0.25">
      <c r="C4" s="4" t="s">
        <v>130</v>
      </c>
      <c r="D4" s="5">
        <f>SUMIFS(KASA!$I:$I, KASA!$C:$C, $C4, KASA!$B:$B, "MAL ALIMI") + SUMIFS(KASA!$I:$I, KASA!$C:$C, $C4, KASA!$B:$B, "ÜRETİM GİRİŞ")</f>
        <v>15</v>
      </c>
      <c r="E4" s="5" cm="1">
        <f t="array" ref="E4">IFERROR(AVERAGE(IF((KASA!$C$2:$C$9980=$C4)*((KASA!$B$2:$B$9980="MAL ALIMI")+(KASA!$B$2:$B$9980="ÜRETİM GİRİŞ")),KASA!$J$2:$J$9980)),0)</f>
        <v>185</v>
      </c>
      <c r="F4" s="5">
        <f>SUMIFS(KASA!$I:$I, KASA!$C:$C, $C4, KASA!$B:$B, "MAL SATIŞI") + SUMIFS(KASA!$I:$I, KASA!$C:$C, $C4, KASA!$B:$B, "ÜRETİM ÇIKIŞ")</f>
        <v>4.0523712737127386</v>
      </c>
      <c r="G4" s="5">
        <f>SUMIFS(KASA!$I:$I, KASA!$C:$C, $C4, KASA!$B:$B, "MAL İADE")</f>
        <v>0</v>
      </c>
      <c r="H4" s="5">
        <f>SUMIFS(KASA!$K:$K, KASA!$C:$C, $C4, KASA!$B:$B, "MAL İADE") + SUMIFS(KASA!$Q:$Q, KASA!$C:$C, $C4, KASA!$B:$B, "MAL İADE")</f>
        <v>0</v>
      </c>
      <c r="I4" s="5">
        <f t="shared" si="0"/>
        <v>4.0523712737127386</v>
      </c>
      <c r="J4" s="5">
        <f t="shared" si="1"/>
        <v>749.68868563685669</v>
      </c>
      <c r="K4" s="5">
        <f>SUMIFS(KASA!$Q:$Q, KASA!$C:$C, $C4, KASA!$B:$B, "MAL SATIŞI") + SUMIFS(KASA!$Q:$Q, KASA!$C:$C, $C4, KASA!$B:$B, "ÜRETİM ÇIKIŞ")</f>
        <v>1059</v>
      </c>
      <c r="L4" s="5">
        <f>SUMIFS(KASA!$K:$K, KASA!$C:$C, $C4, KASA!$B:$B, "MAL SATIŞI") + SUMIFS(KASA!$K:$K, KASA!$C:$C, $C4, KASA!$B:$B, "ÜRETİM ÇIKIŞ")</f>
        <v>544.1</v>
      </c>
      <c r="M4" s="5">
        <f t="shared" si="2"/>
        <v>1603.1</v>
      </c>
      <c r="N4" s="5">
        <f t="shared" si="3"/>
        <v>853.41131436314322</v>
      </c>
      <c r="O4" s="65">
        <f t="shared" si="4"/>
        <v>1.1383542671958224</v>
      </c>
      <c r="P4" s="5">
        <f t="shared" si="5"/>
        <v>395.59553943122717</v>
      </c>
      <c r="Q4" s="5">
        <f t="shared" si="6"/>
        <v>10.947628726287261</v>
      </c>
      <c r="R4" s="5">
        <f t="shared" si="7"/>
        <v>2025.3113143631433</v>
      </c>
      <c r="S4" s="5">
        <f t="shared" si="8"/>
        <v>2775</v>
      </c>
      <c r="T4">
        <v>13.59</v>
      </c>
      <c r="U4" s="2">
        <f t="shared" si="9"/>
        <v>-2.6423712737127385</v>
      </c>
      <c r="V4">
        <f>SUMIF(KASA!$C$2:$C$9980, C4, KASA!$T$2:$T$9980)</f>
        <v>10.947628726287261</v>
      </c>
      <c r="W4">
        <f>SUMIF(KASA!$C$2:$C$9980, C4, KASA!$U$2:$U$9980)</f>
        <v>2020.573170731707</v>
      </c>
      <c r="X4" s="2">
        <f t="shared" si="10"/>
        <v>10.947628726287261</v>
      </c>
      <c r="Y4" s="2">
        <f t="shared" si="11"/>
        <v>2020.573170731707</v>
      </c>
      <c r="Z4">
        <f>SUMIF(KASA!$C$2:$C$9980, C4, KASA!$V$2:$V$9980)</f>
        <v>2750</v>
      </c>
      <c r="AA4">
        <f t="shared" si="12"/>
        <v>729.42682926829298</v>
      </c>
    </row>
    <row r="5" spans="3:27" x14ac:dyDescent="0.25">
      <c r="C5" s="4" t="s">
        <v>131</v>
      </c>
      <c r="D5" s="5">
        <f>SUMIFS(KASA!$I:$I, KASA!$C:$C, $C5, KASA!$B:$B, "MAL ALIMI") + SUMIFS(KASA!$I:$I, KASA!$C:$C, $C5, KASA!$B:$B, "ÜRETİM GİRİŞ")</f>
        <v>50</v>
      </c>
      <c r="E5" s="5" cm="1">
        <f t="array" ref="E5">IFERROR(AVERAGE(IF((KASA!$C$2:$C$9980=$C5)*((KASA!$B$2:$B$9980="MAL ALIMI")+(KASA!$B$2:$B$9980="ÜRETİM GİRİŞ")),KASA!$J$2:$J$9980)),0)</f>
        <v>127.5</v>
      </c>
      <c r="F5" s="5">
        <f>SUMIFS(KASA!$I:$I, KASA!$C:$C, $C5, KASA!$B:$B, "MAL SATIŞI") + SUMIFS(KASA!$I:$I, KASA!$C:$C, $C5, KASA!$B:$B, "ÜRETİM ÇIKIŞ")</f>
        <v>21.381971428571436</v>
      </c>
      <c r="G5" s="5">
        <f>SUMIFS(KASA!$I:$I, KASA!$C:$C, $C5, KASA!$B:$B, "MAL İADE")</f>
        <v>0</v>
      </c>
      <c r="H5" s="5">
        <f>SUMIFS(KASA!$K:$K, KASA!$C:$C, $C5, KASA!$B:$B, "MAL İADE") + SUMIFS(KASA!$Q:$Q, KASA!$C:$C, $C5, KASA!$B:$B, "MAL İADE")</f>
        <v>0</v>
      </c>
      <c r="I5" s="5">
        <f t="shared" si="0"/>
        <v>21.381971428571436</v>
      </c>
      <c r="J5" s="5">
        <f t="shared" si="1"/>
        <v>2726.2013571428579</v>
      </c>
      <c r="K5" s="5">
        <f>SUMIFS(KASA!$Q:$Q, KASA!$C:$C, $C5, KASA!$B:$B, "MAL SATIŞI") + SUMIFS(KASA!$Q:$Q, KASA!$C:$C, $C5, KASA!$B:$B, "ÜRETİM ÇIKIŞ")</f>
        <v>5975.4700000000012</v>
      </c>
      <c r="L5" s="5">
        <f>SUMIFS(KASA!$K:$K, KASA!$C:$C, $C5, KASA!$B:$B, "MAL SATIŞI") + SUMIFS(KASA!$K:$K, KASA!$C:$C, $C5, KASA!$B:$B, "ÜRETİM ÇIKIŞ")</f>
        <v>1819</v>
      </c>
      <c r="M5" s="5">
        <f t="shared" si="2"/>
        <v>7794.4700000000012</v>
      </c>
      <c r="N5" s="5">
        <f t="shared" si="3"/>
        <v>5068.2686428571433</v>
      </c>
      <c r="O5" s="65">
        <f t="shared" si="4"/>
        <v>1.8590954881516322</v>
      </c>
      <c r="P5" s="5">
        <f t="shared" si="5"/>
        <v>364.53467473933307</v>
      </c>
      <c r="Q5" s="5">
        <f t="shared" si="6"/>
        <v>28.618028571428564</v>
      </c>
      <c r="R5" s="5">
        <f t="shared" si="7"/>
        <v>3648.7986428571421</v>
      </c>
      <c r="S5" s="5">
        <f t="shared" si="8"/>
        <v>6375</v>
      </c>
      <c r="T5">
        <v>33.53</v>
      </c>
      <c r="U5" s="2">
        <f t="shared" si="9"/>
        <v>-4.9119714285714373</v>
      </c>
      <c r="V5">
        <f>SUMIF(KASA!$C$2:$C$9980, C5, KASA!$T$2:$T$9980)</f>
        <v>28.618028571428564</v>
      </c>
      <c r="W5">
        <f>SUMIF(KASA!$C$2:$C$9980, C5, KASA!$U$2:$U$9980)</f>
        <v>3702.2535714285705</v>
      </c>
      <c r="X5" s="2">
        <f t="shared" si="10"/>
        <v>28.618028571428564</v>
      </c>
      <c r="Y5" s="2">
        <f t="shared" si="11"/>
        <v>3702.2535714285705</v>
      </c>
      <c r="Z5">
        <f>SUMIF(KASA!$C$2:$C$9980, C5, KASA!$V$2:$V$9980)</f>
        <v>6375</v>
      </c>
      <c r="AA5">
        <f t="shared" si="12"/>
        <v>2672.7464285714295</v>
      </c>
    </row>
    <row r="6" spans="3:27" x14ac:dyDescent="0.25">
      <c r="C6" s="4" t="s">
        <v>92</v>
      </c>
      <c r="D6" s="5">
        <f>SUMIFS(KASA!$I:$I, KASA!$C:$C, $C6, KASA!$B:$B, "MAL ALIMI") + SUMIFS(KASA!$I:$I, KASA!$C:$C, $C6, KASA!$B:$B, "ÜRETİM GİRİŞ")</f>
        <v>25</v>
      </c>
      <c r="E6" s="5" cm="1">
        <f t="array" ref="E6">IFERROR(AVERAGE(IF((KASA!$C$2:$C$9980=$C6)*((KASA!$B$2:$B$9980="MAL ALIMI")+(KASA!$B$2:$B$9980="ÜRETİM GİRİŞ")),KASA!$J$2:$J$9980)),0)</f>
        <v>200</v>
      </c>
      <c r="F6" s="5">
        <f>SUMIFS(KASA!$I:$I, KASA!$C:$C, $C6, KASA!$B:$B, "MAL SATIŞI") + SUMIFS(KASA!$I:$I, KASA!$C:$C, $C6, KASA!$B:$B, "ÜRETİM ÇIKIŞ")</f>
        <v>25.313714285714287</v>
      </c>
      <c r="G6" s="5">
        <f>SUMIFS(KASA!$I:$I, KASA!$C:$C, $C6, KASA!$B:$B, "MAL İADE")</f>
        <v>0</v>
      </c>
      <c r="H6" s="5">
        <f>SUMIFS(KASA!$K:$K, KASA!$C:$C, $C6, KASA!$B:$B, "MAL İADE") + SUMIFS(KASA!$Q:$Q, KASA!$C:$C, $C6, KASA!$B:$B, "MAL İADE")</f>
        <v>0</v>
      </c>
      <c r="I6" s="5">
        <f t="shared" si="0"/>
        <v>25.313714285714287</v>
      </c>
      <c r="J6" s="5">
        <f t="shared" si="1"/>
        <v>5062.7428571428572</v>
      </c>
      <c r="K6" s="5">
        <f>SUMIFS(KASA!$Q:$Q, KASA!$C:$C, $C6, KASA!$B:$B, "MAL SATIŞI") + SUMIFS(KASA!$Q:$Q, KASA!$C:$C, $C6, KASA!$B:$B, "ÜRETİM ÇIKIŞ")</f>
        <v>6738</v>
      </c>
      <c r="L6" s="5">
        <f>SUMIFS(KASA!$K:$K, KASA!$C:$C, $C6, KASA!$B:$B, "MAL SATIŞI") + SUMIFS(KASA!$K:$K, KASA!$C:$C, $C6, KASA!$B:$B, "ÜRETİM ÇIKIŞ")</f>
        <v>4211.46</v>
      </c>
      <c r="M6" s="5">
        <f t="shared" si="2"/>
        <v>10949.46</v>
      </c>
      <c r="N6" s="5">
        <f t="shared" si="3"/>
        <v>5886.7171428571419</v>
      </c>
      <c r="O6" s="65">
        <f t="shared" si="4"/>
        <v>1.1627525452041805</v>
      </c>
      <c r="P6" s="5">
        <f t="shared" si="5"/>
        <v>432.55050904083606</v>
      </c>
      <c r="Q6" s="5">
        <f t="shared" si="6"/>
        <v>-0.31371428571428694</v>
      </c>
      <c r="R6" s="5">
        <f t="shared" si="7"/>
        <v>-62.742857142857389</v>
      </c>
      <c r="S6" s="5">
        <f t="shared" si="8"/>
        <v>5000</v>
      </c>
      <c r="T6">
        <v>4.5339999999999998</v>
      </c>
      <c r="U6" s="2">
        <f t="shared" si="9"/>
        <v>-4.8477142857142868</v>
      </c>
      <c r="V6">
        <f>SUMIF(KASA!$C$2:$C$9980, C6, KASA!$T$2:$T$9980)</f>
        <v>0</v>
      </c>
      <c r="W6">
        <f>SUMIF(KASA!$C$2:$C$9980, C6, KASA!$U$2:$U$9980)</f>
        <v>0</v>
      </c>
      <c r="X6" s="2">
        <f t="shared" si="10"/>
        <v>0</v>
      </c>
      <c r="Y6" s="2">
        <f t="shared" si="11"/>
        <v>0</v>
      </c>
      <c r="Z6">
        <f>SUMIF(KASA!$C$2:$C$9980, C6, KASA!$V$2:$V$9980)</f>
        <v>5000</v>
      </c>
      <c r="AA6">
        <f t="shared" si="12"/>
        <v>5000</v>
      </c>
    </row>
    <row r="7" spans="3:27" x14ac:dyDescent="0.25">
      <c r="C7" s="4" t="s">
        <v>91</v>
      </c>
      <c r="D7" s="5">
        <f>SUMIFS(KASA!$I:$I, KASA!$C:$C, $C7, KASA!$B:$B, "MAL ALIMI") + SUMIFS(KASA!$I:$I, KASA!$C:$C, $C7, KASA!$B:$B, "ÜRETİM GİRİŞ")</f>
        <v>20</v>
      </c>
      <c r="E7" s="5" cm="1">
        <f t="array" ref="E7">IFERROR(AVERAGE(IF((KASA!$C$2:$C$9980=$C7)*((KASA!$B$2:$B$9980="MAL ALIMI")+(KASA!$B$2:$B$9980="ÜRETİM GİRİŞ")),KASA!$J$2:$J$9980)),0)</f>
        <v>520</v>
      </c>
      <c r="F7" s="5">
        <f>SUMIFS(KASA!$I:$I, KASA!$C:$C, $C7, KASA!$B:$B, "MAL SATIŞI") + SUMIFS(KASA!$I:$I, KASA!$C:$C, $C7, KASA!$B:$B, "ÜRETİM ÇIKIŞ")</f>
        <v>11.428462578391676</v>
      </c>
      <c r="G7" s="5">
        <f>SUMIFS(KASA!$I:$I, KASA!$C:$C, $C7, KASA!$B:$B, "MAL İADE")</f>
        <v>0</v>
      </c>
      <c r="H7" s="5">
        <f>SUMIFS(KASA!$K:$K, KASA!$C:$C, $C7, KASA!$B:$B, "MAL İADE") + SUMIFS(KASA!$Q:$Q, KASA!$C:$C, $C7, KASA!$B:$B, "MAL İADE")</f>
        <v>0</v>
      </c>
      <c r="I7" s="5">
        <f t="shared" si="0"/>
        <v>11.428462578391676</v>
      </c>
      <c r="J7" s="5">
        <f t="shared" si="1"/>
        <v>5942.8005407636711</v>
      </c>
      <c r="K7" s="5">
        <f>SUMIFS(KASA!$Q:$Q, KASA!$C:$C, $C7, KASA!$B:$B, "MAL SATIŞI") + SUMIFS(KASA!$Q:$Q, KASA!$C:$C, $C7, KASA!$B:$B, "ÜRETİM ÇIKIŞ")</f>
        <v>5451.5899999999992</v>
      </c>
      <c r="L7" s="5">
        <f>SUMIFS(KASA!$K:$K, KASA!$C:$C, $C7, KASA!$B:$B, "MAL SATIŞI") + SUMIFS(KASA!$K:$K, KASA!$C:$C, $C7, KASA!$B:$B, "ÜRETİM ÇIKIŞ")</f>
        <v>3045.6129999999998</v>
      </c>
      <c r="M7" s="5">
        <f t="shared" si="2"/>
        <v>8497.2029999999995</v>
      </c>
      <c r="N7" s="5">
        <f t="shared" si="3"/>
        <v>2554.4024592363285</v>
      </c>
      <c r="O7" s="65">
        <f t="shared" si="4"/>
        <v>0.42983143077322239</v>
      </c>
      <c r="P7" s="5">
        <f t="shared" si="5"/>
        <v>743.51234400207557</v>
      </c>
      <c r="Q7" s="5">
        <f t="shared" si="6"/>
        <v>8.5715374216083244</v>
      </c>
      <c r="R7" s="5">
        <f t="shared" si="7"/>
        <v>4457.1994592363289</v>
      </c>
      <c r="S7" s="5">
        <f t="shared" si="8"/>
        <v>10400</v>
      </c>
      <c r="T7">
        <v>2.0099999999999998</v>
      </c>
      <c r="U7" s="2">
        <f t="shared" si="9"/>
        <v>6.5615374216083246</v>
      </c>
      <c r="V7">
        <f>SUMIF(KASA!$C$2:$C$9980, C7, KASA!$T$2:$T$9980)</f>
        <v>8.5715374216083244</v>
      </c>
      <c r="W7">
        <f>SUMIF(KASA!$C$2:$C$9980, C7, KASA!$U$2:$U$9980)</f>
        <v>5314.3532013971608</v>
      </c>
      <c r="X7" s="2">
        <f t="shared" si="10"/>
        <v>8.5715374216083244</v>
      </c>
      <c r="Y7" s="2">
        <f t="shared" si="11"/>
        <v>5314.3532013971608</v>
      </c>
      <c r="Z7">
        <f>SUMIF(KASA!$C$2:$C$9980, C7, KASA!$V$2:$V$9980)</f>
        <v>10400</v>
      </c>
      <c r="AA7">
        <f t="shared" si="12"/>
        <v>5085.6467986028392</v>
      </c>
    </row>
    <row r="8" spans="3:27" x14ac:dyDescent="0.25">
      <c r="C8" s="4" t="s">
        <v>132</v>
      </c>
      <c r="D8" s="5">
        <f>SUMIFS(KASA!$I:$I, KASA!$C:$C, $C8, KASA!$B:$B, "MAL ALIMI") + SUMIFS(KASA!$I:$I, KASA!$C:$C, $C8, KASA!$B:$B, "ÜRETİM GİRİŞ")</f>
        <v>65</v>
      </c>
      <c r="E8" s="5" cm="1">
        <f t="array" ref="E8">IFERROR(AVERAGE(IF((KASA!$C$2:$C$9980=$C8)*((KASA!$B$2:$B$9980="MAL ALIMI")+(KASA!$B$2:$B$9980="ÜRETİM GİRİŞ")),KASA!$J$2:$J$9980)),0)</f>
        <v>265</v>
      </c>
      <c r="F8" s="5">
        <f>SUMIFS(KASA!$I:$I, KASA!$C:$C, $C8, KASA!$B:$B, "MAL SATIŞI") + SUMIFS(KASA!$I:$I, KASA!$C:$C, $C8, KASA!$B:$B, "ÜRETİM ÇIKIŞ")</f>
        <v>30.969999999999995</v>
      </c>
      <c r="G8" s="5">
        <f>SUMIFS(KASA!$I:$I, KASA!$C:$C, $C8, KASA!$B:$B, "MAL İADE")</f>
        <v>0</v>
      </c>
      <c r="H8" s="5">
        <f>SUMIFS(KASA!$K:$K, KASA!$C:$C, $C8, KASA!$B:$B, "MAL İADE") + SUMIFS(KASA!$Q:$Q, KASA!$C:$C, $C8, KASA!$B:$B, "MAL İADE")</f>
        <v>0</v>
      </c>
      <c r="I8" s="5">
        <f t="shared" si="0"/>
        <v>30.969999999999995</v>
      </c>
      <c r="J8" s="5">
        <f t="shared" si="1"/>
        <v>8207.0499999999993</v>
      </c>
      <c r="K8" s="5">
        <f>SUMIFS(KASA!$Q:$Q, KASA!$C:$C, $C8, KASA!$B:$B, "MAL SATIŞI") + SUMIFS(KASA!$Q:$Q, KASA!$C:$C, $C8, KASA!$B:$B, "ÜRETİM ÇIKIŞ")</f>
        <v>8073.52</v>
      </c>
      <c r="L8" s="5">
        <f>SUMIFS(KASA!$K:$K, KASA!$C:$C, $C8, KASA!$B:$B, "MAL SATIŞI") + SUMIFS(KASA!$K:$K, KASA!$C:$C, $C8, KASA!$B:$B, "ÜRETİM ÇIKIŞ")</f>
        <v>6486.95</v>
      </c>
      <c r="M8" s="5">
        <f t="shared" si="2"/>
        <v>14560.470000000001</v>
      </c>
      <c r="N8" s="5">
        <f t="shared" si="3"/>
        <v>6353.4200000000019</v>
      </c>
      <c r="O8" s="65">
        <f t="shared" si="4"/>
        <v>0.77414174398840052</v>
      </c>
      <c r="P8" s="5">
        <f t="shared" si="5"/>
        <v>470.14756215692614</v>
      </c>
      <c r="Q8" s="5">
        <f t="shared" si="6"/>
        <v>34.03</v>
      </c>
      <c r="R8" s="5">
        <f t="shared" si="7"/>
        <v>9017.9500000000007</v>
      </c>
      <c r="S8" s="5">
        <f t="shared" si="8"/>
        <v>17225</v>
      </c>
      <c r="T8">
        <v>20.056000000000001</v>
      </c>
      <c r="U8" s="2">
        <f t="shared" si="9"/>
        <v>13.974</v>
      </c>
      <c r="V8">
        <f>SUMIF(KASA!$C$2:$C$9980, C8, KASA!$T$2:$T$9980)</f>
        <v>34.03</v>
      </c>
      <c r="W8">
        <f>SUMIF(KASA!$C$2:$C$9980, C8, KASA!$U$2:$U$9980)</f>
        <v>9347.8000000000011</v>
      </c>
      <c r="X8" s="2">
        <f t="shared" si="10"/>
        <v>34.03</v>
      </c>
      <c r="Y8" s="2">
        <f t="shared" si="11"/>
        <v>9347.8000000000011</v>
      </c>
      <c r="Z8">
        <f>SUMIF(KASA!$C$2:$C$9980, C8, KASA!$V$2:$V$9980)</f>
        <v>17150</v>
      </c>
      <c r="AA8">
        <f t="shared" si="12"/>
        <v>7802.1999999999989</v>
      </c>
    </row>
    <row r="9" spans="3:27" x14ac:dyDescent="0.25">
      <c r="C9" s="4" t="s">
        <v>96</v>
      </c>
      <c r="D9" s="5">
        <f>SUMIFS(KASA!$I:$I, KASA!$C:$C, $C9, KASA!$B:$B, "MAL ALIMI") + SUMIFS(KASA!$I:$I, KASA!$C:$C, $C9, KASA!$B:$B, "ÜRETİM GİRİŞ")</f>
        <v>50</v>
      </c>
      <c r="E9" s="5" cm="1">
        <f t="array" ref="E9">IFERROR(AVERAGE(IF((KASA!$C$2:$C$9980=$C9)*((KASA!$B$2:$B$9980="MAL ALIMI")+(KASA!$B$2:$B$9980="ÜRETİM GİRİŞ")),KASA!$J$2:$J$9980)),0)</f>
        <v>180</v>
      </c>
      <c r="F9" s="5">
        <f>SUMIFS(KASA!$I:$I, KASA!$C:$C, $C9, KASA!$B:$B, "MAL SATIŞI") + SUMIFS(KASA!$I:$I, KASA!$C:$C, $C9, KASA!$B:$B, "ÜRETİM ÇIKIŞ")</f>
        <v>31.508263157894746</v>
      </c>
      <c r="G9" s="5">
        <f>SUMIFS(KASA!$I:$I, KASA!$C:$C, $C9, KASA!$B:$B, "MAL İADE")</f>
        <v>0</v>
      </c>
      <c r="H9" s="5">
        <f>SUMIFS(KASA!$K:$K, KASA!$C:$C, $C9, KASA!$B:$B, "MAL İADE") + SUMIFS(KASA!$Q:$Q, KASA!$C:$C, $C9, KASA!$B:$B, "MAL İADE")</f>
        <v>0</v>
      </c>
      <c r="I9" s="5">
        <f t="shared" si="0"/>
        <v>31.508263157894746</v>
      </c>
      <c r="J9" s="5">
        <f t="shared" si="1"/>
        <v>5671.4873684210543</v>
      </c>
      <c r="K9" s="5">
        <f>SUMIFS(KASA!$Q:$Q, KASA!$C:$C, $C9, KASA!$B:$B, "MAL SATIŞI") + SUMIFS(KASA!$Q:$Q, KASA!$C:$C, $C9, KASA!$B:$B, "ÜRETİM ÇIKIŞ")</f>
        <v>5039.28</v>
      </c>
      <c r="L9" s="5">
        <f>SUMIFS(KASA!$K:$K, KASA!$C:$C, $C9, KASA!$B:$B, "MAL SATIŞI") + SUMIFS(KASA!$K:$K, KASA!$C:$C, $C9, KASA!$B:$B, "ÜRETİM ÇIKIŞ")</f>
        <v>5229.0649999999996</v>
      </c>
      <c r="M9" s="5">
        <f t="shared" si="2"/>
        <v>10268.344999999999</v>
      </c>
      <c r="N9" s="5">
        <f t="shared" si="3"/>
        <v>4596.8576315789451</v>
      </c>
      <c r="O9" s="65">
        <f t="shared" si="4"/>
        <v>0.810520650574721</v>
      </c>
      <c r="P9" s="5">
        <f t="shared" si="5"/>
        <v>325.89371710344977</v>
      </c>
      <c r="Q9" s="5">
        <f t="shared" si="6"/>
        <v>18.491736842105254</v>
      </c>
      <c r="R9" s="5">
        <f t="shared" si="7"/>
        <v>3328.5126315789457</v>
      </c>
      <c r="S9" s="5">
        <f t="shared" si="8"/>
        <v>9000</v>
      </c>
      <c r="T9">
        <v>27.9</v>
      </c>
      <c r="U9" s="2">
        <f t="shared" si="9"/>
        <v>-9.4082631578947442</v>
      </c>
      <c r="V9">
        <f>SUMIF(KASA!$C$2:$C$9980, C9, KASA!$T$2:$T$9980)</f>
        <v>18.491736842105254</v>
      </c>
      <c r="W9">
        <f>SUMIF(KASA!$C$2:$C$9980, C9, KASA!$U$2:$U$9980)</f>
        <v>3328.5126315789457</v>
      </c>
      <c r="X9" s="2">
        <f t="shared" si="10"/>
        <v>18.491736842105254</v>
      </c>
      <c r="Y9" s="2">
        <f t="shared" si="11"/>
        <v>3328.5126315789457</v>
      </c>
      <c r="Z9">
        <f>SUMIF(KASA!$C$2:$C$9980, C9, KASA!$V$2:$V$9980)</f>
        <v>9000</v>
      </c>
      <c r="AA9">
        <f t="shared" si="12"/>
        <v>5671.4873684210543</v>
      </c>
    </row>
    <row r="10" spans="3:27" s="79" customFormat="1" x14ac:dyDescent="0.25">
      <c r="C10" s="76" t="s">
        <v>3167</v>
      </c>
      <c r="D10" s="77">
        <f>SUMIFS(KASA!$I:$I, KASA!$C:$C, $C10, KASA!$B:$B, "MAL ALIMI") + SUMIFS(KASA!$I:$I, KASA!$C:$C, $C10, KASA!$B:$B, "ÜRETİM GİRİŞ")</f>
        <v>25</v>
      </c>
      <c r="E10" s="77" cm="1">
        <f t="array" ref="E10">IFERROR(AVERAGE(IF((KASA!$C$2:$C$9980=$C10)*((KASA!$B$2:$B$9980="MAL ALIMI")+(KASA!$B$2:$B$9980="ÜRETİM GİRİŞ")),KASA!$J$2:$J$9980)),0)</f>
        <v>160</v>
      </c>
      <c r="F10" s="77">
        <f>SUMIFS(KASA!$I:$I, KASA!$C:$C, $C10, KASA!$B:$B, "MAL SATIŞI") + SUMIFS(KASA!$I:$I, KASA!$C:$C, $C10, KASA!$B:$B, "ÜRETİM ÇIKIŞ")</f>
        <v>5.634905405405406</v>
      </c>
      <c r="G10" s="77">
        <f>SUMIFS(KASA!$I:$I, KASA!$C:$C, $C10, KASA!$B:$B, "MAL İADE")</f>
        <v>16.2</v>
      </c>
      <c r="H10" s="77">
        <f>SUMIFS(KASA!$K:$K, KASA!$C:$C, $C10, KASA!$B:$B, "MAL İADE") + SUMIFS(KASA!$Q:$Q, KASA!$C:$C, $C10, KASA!$B:$B, "MAL İADE")</f>
        <v>2592</v>
      </c>
      <c r="I10" s="77">
        <f t="shared" si="0"/>
        <v>21.834905405405404</v>
      </c>
      <c r="J10" s="77">
        <f t="shared" si="1"/>
        <v>901.58486486486493</v>
      </c>
      <c r="K10" s="77">
        <f>SUMIFS(KASA!$Q:$Q, KASA!$C:$C, $C10, KASA!$B:$B, "MAL SATIŞI") + SUMIFS(KASA!$Q:$Q, KASA!$C:$C, $C10, KASA!$B:$B, "ÜRETİM ÇIKIŞ")</f>
        <v>1473.31</v>
      </c>
      <c r="L10" s="77">
        <f>SUMIFS(KASA!$K:$K, KASA!$C:$C, $C10, KASA!$B:$B, "MAL SATIŞI") + SUMIFS(KASA!$K:$K, KASA!$C:$C, $C10, KASA!$B:$B, "ÜRETİM ÇIKIŞ")</f>
        <v>501.36999999999995</v>
      </c>
      <c r="M10" s="77">
        <f t="shared" si="2"/>
        <v>1974.6799999999998</v>
      </c>
      <c r="N10" s="77">
        <f t="shared" si="3"/>
        <v>1073.095135135135</v>
      </c>
      <c r="O10" s="78">
        <f t="shared" si="4"/>
        <v>1.1902319758839088</v>
      </c>
      <c r="P10" s="77">
        <f t="shared" si="5"/>
        <v>350.43711614142535</v>
      </c>
      <c r="Q10" s="77">
        <f t="shared" si="6"/>
        <v>3.1650945945945956</v>
      </c>
      <c r="R10" s="77">
        <f t="shared" si="7"/>
        <v>506.4151351351353</v>
      </c>
      <c r="S10" s="77">
        <f t="shared" si="8"/>
        <v>4000</v>
      </c>
      <c r="T10" s="79">
        <v>5.4359999999999999</v>
      </c>
      <c r="U10" s="80">
        <f t="shared" si="9"/>
        <v>-2.2709054054054043</v>
      </c>
      <c r="V10" s="79">
        <f>SUMIF(KASA!$C$2:$C$9980, C10, KASA!$T$2:$T$9980)</f>
        <v>19.365094594594595</v>
      </c>
      <c r="W10" s="79">
        <f>SUMIF(KASA!$C$2:$C$9980, C10, KASA!$U$2:$U$9980)</f>
        <v>3098.4151351351352</v>
      </c>
      <c r="X10" s="2">
        <f t="shared" si="10"/>
        <v>3.1650945945945956</v>
      </c>
      <c r="Y10" s="2">
        <f t="shared" si="11"/>
        <v>506.41513513513519</v>
      </c>
      <c r="Z10" s="79">
        <f>SUMIF(KASA!$C$2:$C$9980, C10, KASA!$V$2:$V$9980)</f>
        <v>4000</v>
      </c>
      <c r="AA10" s="79">
        <f t="shared" si="12"/>
        <v>901.58486486486481</v>
      </c>
    </row>
    <row r="11" spans="3:27" x14ac:dyDescent="0.25">
      <c r="C11" s="4" t="s">
        <v>133</v>
      </c>
      <c r="D11" s="5">
        <f>SUMIFS(KASA!$I:$I, KASA!$C:$C, $C11, KASA!$B:$B, "MAL ALIMI") + SUMIFS(KASA!$I:$I, KASA!$C:$C, $C11, KASA!$B:$B, "ÜRETİM GİRİŞ")</f>
        <v>75</v>
      </c>
      <c r="E11" s="5" cm="1">
        <f t="array" ref="E11">IFERROR(AVERAGE(IF((KASA!$C$2:$C$9980=$C11)*((KASA!$B$2:$B$9980="MAL ALIMI")+(KASA!$B$2:$B$9980="ÜRETİM GİRİŞ")),KASA!$J$2:$J$9980)),0)</f>
        <v>186.66666666666666</v>
      </c>
      <c r="F11" s="5">
        <f>SUMIFS(KASA!$I:$I, KASA!$C:$C, $C11, KASA!$B:$B, "MAL SATIŞI") + SUMIFS(KASA!$I:$I, KASA!$C:$C, $C11, KASA!$B:$B, "ÜRETİM ÇIKIŞ")</f>
        <v>54.567077192982467</v>
      </c>
      <c r="G11" s="5">
        <f>SUMIFS(KASA!$I:$I, KASA!$C:$C, $C11, KASA!$B:$B, "MAL İADE")</f>
        <v>0</v>
      </c>
      <c r="H11" s="5">
        <f>SUMIFS(KASA!$K:$K, KASA!$C:$C, $C11, KASA!$B:$B, "MAL İADE") + SUMIFS(KASA!$Q:$Q, KASA!$C:$C, $C11, KASA!$B:$B, "MAL İADE")</f>
        <v>0</v>
      </c>
      <c r="I11" s="5">
        <f t="shared" si="0"/>
        <v>54.567077192982467</v>
      </c>
      <c r="J11" s="5">
        <f t="shared" si="1"/>
        <v>10185.854409356727</v>
      </c>
      <c r="K11" s="5">
        <f>SUMIFS(KASA!$Q:$Q, KASA!$C:$C, $C11, KASA!$B:$B, "MAL SATIŞI") + SUMIFS(KASA!$Q:$Q, KASA!$C:$C, $C11, KASA!$B:$B, "ÜRETİM ÇIKIŞ")</f>
        <v>8181.5960000000014</v>
      </c>
      <c r="L11" s="5">
        <f>SUMIFS(KASA!$K:$K, KASA!$C:$C, $C11, KASA!$B:$B, "MAL SATIŞI") + SUMIFS(KASA!$K:$K, KASA!$C:$C, $C11, KASA!$B:$B, "ÜRETİM ÇIKIŞ")</f>
        <v>9330.8599999999988</v>
      </c>
      <c r="M11" s="5">
        <f t="shared" si="2"/>
        <v>17512.455999999998</v>
      </c>
      <c r="N11" s="5">
        <f t="shared" si="3"/>
        <v>7326.6015906432713</v>
      </c>
      <c r="O11" s="65">
        <f t="shared" si="4"/>
        <v>0.71929180373057899</v>
      </c>
      <c r="P11" s="5">
        <f t="shared" si="5"/>
        <v>320.93447002970805</v>
      </c>
      <c r="Q11" s="5">
        <f t="shared" si="6"/>
        <v>20.432922807017533</v>
      </c>
      <c r="R11" s="5">
        <f t="shared" si="7"/>
        <v>3814.1455906432725</v>
      </c>
      <c r="S11" s="5">
        <f t="shared" si="8"/>
        <v>14000</v>
      </c>
      <c r="T11">
        <v>25.25</v>
      </c>
      <c r="U11" s="2">
        <f t="shared" si="9"/>
        <v>-4.8170771929824667</v>
      </c>
      <c r="V11">
        <f>SUMIF(KASA!$C$2:$C$9980, C11, KASA!$T$2:$T$9980)</f>
        <v>20.432922807017533</v>
      </c>
      <c r="W11">
        <f>SUMIF(KASA!$C$2:$C$9980, C11, KASA!$U$2:$U$9980)</f>
        <v>4290.9137894736823</v>
      </c>
      <c r="X11" s="2">
        <f t="shared" si="10"/>
        <v>20.432922807017533</v>
      </c>
      <c r="Y11" s="2">
        <f t="shared" si="11"/>
        <v>4290.9137894736823</v>
      </c>
      <c r="Z11">
        <f>SUMIF(KASA!$C$2:$C$9980, C11, KASA!$V$2:$V$9980)</f>
        <v>14000</v>
      </c>
      <c r="AA11">
        <f t="shared" si="12"/>
        <v>9709.0862105263186</v>
      </c>
    </row>
    <row r="12" spans="3:27" x14ac:dyDescent="0.25">
      <c r="C12" s="4" t="s">
        <v>134</v>
      </c>
      <c r="D12" s="5">
        <f>SUMIFS(KASA!$I:$I, KASA!$C:$C, $C12, KASA!$B:$B, "MAL ALIMI") + SUMIFS(KASA!$I:$I, KASA!$C:$C, $C12, KASA!$B:$B, "ÜRETİM GİRİŞ")</f>
        <v>25</v>
      </c>
      <c r="E12" s="5" cm="1">
        <f t="array" ref="E12">IFERROR(AVERAGE(IF((KASA!$C$2:$C$9980=$C12)*((KASA!$B$2:$B$9980="MAL ALIMI")+(KASA!$B$2:$B$9980="ÜRETİM GİRİŞ")),KASA!$J$2:$J$9980)),0)</f>
        <v>150</v>
      </c>
      <c r="F12" s="5">
        <f>SUMIFS(KASA!$I:$I, KASA!$C:$C, $C12, KASA!$B:$B, "MAL SATIŞI") + SUMIFS(KASA!$I:$I, KASA!$C:$C, $C12, KASA!$B:$B, "ÜRETİM ÇIKIŞ")</f>
        <v>7.1069999999999949</v>
      </c>
      <c r="G12" s="5">
        <f>SUMIFS(KASA!$I:$I, KASA!$C:$C, $C12, KASA!$B:$B, "MAL İADE")</f>
        <v>13.5</v>
      </c>
      <c r="H12" s="5">
        <f>SUMIFS(KASA!$K:$K, KASA!$C:$C, $C12, KASA!$B:$B, "MAL İADE") + SUMIFS(KASA!$Q:$Q, KASA!$C:$C, $C12, KASA!$B:$B, "MAL İADE")</f>
        <v>2025</v>
      </c>
      <c r="I12" s="5">
        <f t="shared" si="0"/>
        <v>20.606999999999996</v>
      </c>
      <c r="J12" s="5">
        <f t="shared" si="1"/>
        <v>1066.0499999999993</v>
      </c>
      <c r="K12" s="5">
        <f>SUMIFS(KASA!$Q:$Q, KASA!$C:$C, $C12, KASA!$B:$B, "MAL SATIŞI") + SUMIFS(KASA!$Q:$Q, KASA!$C:$C, $C12, KASA!$B:$B, "ÜRETİM ÇIKIŞ")</f>
        <v>1745.6</v>
      </c>
      <c r="L12" s="5">
        <f>SUMIFS(KASA!$K:$K, KASA!$C:$C, $C12, KASA!$B:$B, "MAL SATIŞI") + SUMIFS(KASA!$K:$K, KASA!$C:$C, $C12, KASA!$B:$B, "ÜRETİM ÇIKIŞ")</f>
        <v>843</v>
      </c>
      <c r="M12" s="5">
        <f t="shared" si="2"/>
        <v>2588.6</v>
      </c>
      <c r="N12" s="5">
        <f t="shared" si="3"/>
        <v>1522.5500000000006</v>
      </c>
      <c r="O12" s="65">
        <f t="shared" si="4"/>
        <v>1.4282163125556979</v>
      </c>
      <c r="P12" s="5">
        <f t="shared" si="5"/>
        <v>364.23244688335467</v>
      </c>
      <c r="Q12" s="5">
        <f t="shared" si="6"/>
        <v>4.3930000000000042</v>
      </c>
      <c r="R12" s="5">
        <f t="shared" si="7"/>
        <v>658.95000000000061</v>
      </c>
      <c r="S12" s="5">
        <f t="shared" si="8"/>
        <v>3750</v>
      </c>
      <c r="U12" s="2">
        <f t="shared" si="9"/>
        <v>4.3930000000000042</v>
      </c>
      <c r="V12">
        <f>SUMIF(KASA!$C$2:$C$9980, C12, KASA!$T$2:$T$9980)</f>
        <v>17.893000000000004</v>
      </c>
      <c r="W12">
        <f>SUMIF(KASA!$C$2:$C$9980, C12, KASA!$U$2:$U$9980)</f>
        <v>2683.9500000000007</v>
      </c>
      <c r="X12" s="2">
        <f t="shared" si="10"/>
        <v>4.3930000000000042</v>
      </c>
      <c r="Y12" s="2">
        <f t="shared" si="11"/>
        <v>658.95000000000073</v>
      </c>
      <c r="Z12">
        <f>SUMIF(KASA!$C$2:$C$9980, C12, KASA!$V$2:$V$9980)</f>
        <v>3750</v>
      </c>
      <c r="AA12">
        <f t="shared" si="12"/>
        <v>1066.0499999999993</v>
      </c>
    </row>
    <row r="13" spans="3:27" x14ac:dyDescent="0.25">
      <c r="C13" s="4" t="s">
        <v>136</v>
      </c>
      <c r="D13" s="5">
        <f>SUMIFS(KASA!$I:$I, KASA!$C:$C, $C13, KASA!$B:$B, "MAL ALIMI") + SUMIFS(KASA!$I:$I, KASA!$C:$C, $C13, KASA!$B:$B, "ÜRETİM GİRİŞ")</f>
        <v>25</v>
      </c>
      <c r="E13" s="5" cm="1">
        <f t="array" ref="E13">IFERROR(AVERAGE(IF((KASA!$C$2:$C$9980=$C13)*((KASA!$B$2:$B$9980="MAL ALIMI")+(KASA!$B$2:$B$9980="ÜRETİM GİRİŞ")),KASA!$J$2:$J$9980)),0)</f>
        <v>70</v>
      </c>
      <c r="F13" s="5">
        <f>SUMIFS(KASA!$I:$I, KASA!$C:$C, $C13, KASA!$B:$B, "MAL SATIŞI") + SUMIFS(KASA!$I:$I, KASA!$C:$C, $C13, KASA!$B:$B, "ÜRETİM ÇIKIŞ")</f>
        <v>2.75</v>
      </c>
      <c r="G13" s="5">
        <f>SUMIFS(KASA!$I:$I, KASA!$C:$C, $C13, KASA!$B:$B, "MAL İADE")</f>
        <v>0</v>
      </c>
      <c r="H13" s="5">
        <f>SUMIFS(KASA!$K:$K, KASA!$C:$C, $C13, KASA!$B:$B, "MAL İADE") + SUMIFS(KASA!$Q:$Q, KASA!$C:$C, $C13, KASA!$B:$B, "MAL İADE")</f>
        <v>0</v>
      </c>
      <c r="I13" s="5">
        <f t="shared" si="0"/>
        <v>2.75</v>
      </c>
      <c r="J13" s="5">
        <f t="shared" si="1"/>
        <v>192.5</v>
      </c>
      <c r="K13" s="5">
        <f>SUMIFS(KASA!$Q:$Q, KASA!$C:$C, $C13, KASA!$B:$B, "MAL SATIŞI") + SUMIFS(KASA!$Q:$Q, KASA!$C:$C, $C13, KASA!$B:$B, "ÜRETİM ÇIKIŞ")</f>
        <v>90</v>
      </c>
      <c r="L13" s="5">
        <f>SUMIFS(KASA!$K:$K, KASA!$C:$C, $C13, KASA!$B:$B, "MAL SATIŞI") + SUMIFS(KASA!$K:$K, KASA!$C:$C, $C13, KASA!$B:$B, "ÜRETİM ÇIKIŞ")</f>
        <v>355</v>
      </c>
      <c r="M13" s="5">
        <f t="shared" si="2"/>
        <v>445</v>
      </c>
      <c r="N13" s="5">
        <f t="shared" si="3"/>
        <v>252.5</v>
      </c>
      <c r="O13" s="65">
        <f t="shared" si="4"/>
        <v>1.3116883116883118</v>
      </c>
      <c r="P13" s="5">
        <f t="shared" si="5"/>
        <v>161.81818181818181</v>
      </c>
      <c r="Q13" s="5">
        <f t="shared" si="6"/>
        <v>22.25</v>
      </c>
      <c r="R13" s="5">
        <f t="shared" si="7"/>
        <v>1557.5</v>
      </c>
      <c r="S13" s="5">
        <f t="shared" si="8"/>
        <v>1750</v>
      </c>
      <c r="T13">
        <v>22.5</v>
      </c>
      <c r="U13" s="2">
        <f t="shared" si="9"/>
        <v>-0.25</v>
      </c>
      <c r="V13">
        <f>SUMIF(KASA!$C$2:$C$9980, C13, KASA!$T$2:$T$9980)</f>
        <v>22.25</v>
      </c>
      <c r="W13">
        <f>SUMIF(KASA!$C$2:$C$9980, C13, KASA!$U$2:$U$9980)</f>
        <v>1557.5</v>
      </c>
      <c r="X13" s="2">
        <f t="shared" si="10"/>
        <v>22.25</v>
      </c>
      <c r="Y13" s="2">
        <f t="shared" si="11"/>
        <v>1557.5</v>
      </c>
      <c r="Z13">
        <f>SUMIF(KASA!$C$2:$C$9980, C13, KASA!$V$2:$V$9980)</f>
        <v>1750</v>
      </c>
      <c r="AA13">
        <f t="shared" si="12"/>
        <v>192.5</v>
      </c>
    </row>
    <row r="14" spans="3:27" x14ac:dyDescent="0.25">
      <c r="C14" s="4" t="s">
        <v>137</v>
      </c>
      <c r="D14" s="5">
        <f>SUMIFS(KASA!$I:$I, KASA!$C:$C, $C14, KASA!$B:$B, "MAL ALIMI") + SUMIFS(KASA!$I:$I, KASA!$C:$C, $C14, KASA!$B:$B, "ÜRETİM GİRİŞ")</f>
        <v>25</v>
      </c>
      <c r="E14" s="5" cm="1">
        <f t="array" ref="E14">IFERROR(AVERAGE(IF((KASA!$C$2:$C$9980=$C14)*((KASA!$B$2:$B$9980="MAL ALIMI")+(KASA!$B$2:$B$9980="ÜRETİM GİRİŞ")),KASA!$J$2:$J$9980)),0)</f>
        <v>80</v>
      </c>
      <c r="F14" s="5">
        <f>SUMIFS(KASA!$I:$I, KASA!$C:$C, $C14, KASA!$B:$B, "MAL SATIŞI") + SUMIFS(KASA!$I:$I, KASA!$C:$C, $C14, KASA!$B:$B, "ÜRETİM ÇIKIŞ")</f>
        <v>12.667333333333342</v>
      </c>
      <c r="G14" s="5">
        <f>SUMIFS(KASA!$I:$I, KASA!$C:$C, $C14, KASA!$B:$B, "MAL İADE")</f>
        <v>0</v>
      </c>
      <c r="H14" s="5">
        <f>SUMIFS(KASA!$K:$K, KASA!$C:$C, $C14, KASA!$B:$B, "MAL İADE") + SUMIFS(KASA!$Q:$Q, KASA!$C:$C, $C14, KASA!$B:$B, "MAL İADE")</f>
        <v>0</v>
      </c>
      <c r="I14" s="5">
        <f t="shared" si="0"/>
        <v>12.667333333333342</v>
      </c>
      <c r="J14" s="5">
        <f t="shared" si="1"/>
        <v>1013.3866666666675</v>
      </c>
      <c r="K14" s="5">
        <f>SUMIFS(KASA!$Q:$Q, KASA!$C:$C, $C14, KASA!$B:$B, "MAL SATIŞI") + SUMIFS(KASA!$Q:$Q, KASA!$C:$C, $C14, KASA!$B:$B, "ÜRETİM ÇIKIŞ")</f>
        <v>1397.7799999999997</v>
      </c>
      <c r="L14" s="5">
        <f>SUMIFS(KASA!$K:$K, KASA!$C:$C, $C14, KASA!$B:$B, "MAL SATIŞI") + SUMIFS(KASA!$K:$K, KASA!$C:$C, $C14, KASA!$B:$B, "ÜRETİM ÇIKIŞ")</f>
        <v>785.04</v>
      </c>
      <c r="M14" s="5">
        <f t="shared" si="2"/>
        <v>2182.8199999999997</v>
      </c>
      <c r="N14" s="5">
        <f t="shared" si="3"/>
        <v>1169.4333333333323</v>
      </c>
      <c r="O14" s="65">
        <f t="shared" si="4"/>
        <v>1.1539853165622842</v>
      </c>
      <c r="P14" s="5">
        <f t="shared" si="5"/>
        <v>172.31882532498275</v>
      </c>
      <c r="Q14" s="5">
        <f t="shared" si="6"/>
        <v>12.332666666666658</v>
      </c>
      <c r="R14" s="5">
        <f t="shared" si="7"/>
        <v>986.61333333333255</v>
      </c>
      <c r="S14" s="5">
        <f t="shared" si="8"/>
        <v>2000</v>
      </c>
      <c r="T14">
        <v>14.554</v>
      </c>
      <c r="U14" s="2">
        <f t="shared" si="9"/>
        <v>-2.2213333333333427</v>
      </c>
      <c r="V14">
        <f>SUMIF(KASA!$C$2:$C$9980, C14, KASA!$T$2:$T$9980)</f>
        <v>12.332666666666658</v>
      </c>
      <c r="W14">
        <f>SUMIF(KASA!$C$2:$C$9980, C14, KASA!$U$2:$U$9980)</f>
        <v>986.61333333333255</v>
      </c>
      <c r="X14" s="2">
        <f t="shared" si="10"/>
        <v>12.332666666666658</v>
      </c>
      <c r="Y14" s="2">
        <f t="shared" si="11"/>
        <v>986.61333333333255</v>
      </c>
      <c r="Z14">
        <f>SUMIF(KASA!$C$2:$C$9980, C14, KASA!$V$2:$V$9980)</f>
        <v>2000</v>
      </c>
      <c r="AA14">
        <f t="shared" si="12"/>
        <v>1013.3866666666675</v>
      </c>
    </row>
    <row r="15" spans="3:27" x14ac:dyDescent="0.25">
      <c r="C15" s="4" t="s">
        <v>527</v>
      </c>
      <c r="D15" s="5">
        <f>SUMIFS(KASA!$I:$I, KASA!$C:$C, $C15, KASA!$B:$B, "MAL ALIMI") + SUMIFS(KASA!$I:$I, KASA!$C:$C, $C15, KASA!$B:$B, "ÜRETİM GİRİŞ")</f>
        <v>0</v>
      </c>
      <c r="E15" s="5" cm="1">
        <f t="array" ref="E15">IFERROR(AVERAGE(IF((KASA!$C$2:$C$9980=$C15)*((KASA!$B$2:$B$9980="MAL ALIMI")+(KASA!$B$2:$B$9980="ÜRETİM GİRİŞ")),KASA!$J$2:$J$9980)),0)</f>
        <v>0</v>
      </c>
      <c r="F15" s="5">
        <f>SUMIFS(KASA!$I:$I, KASA!$C:$C, $C15, KASA!$B:$B, "MAL SATIŞI") + SUMIFS(KASA!$I:$I, KASA!$C:$C, $C15, KASA!$B:$B, "ÜRETİM ÇIKIŞ")</f>
        <v>0</v>
      </c>
      <c r="G15" s="5">
        <f>SUMIFS(KASA!$I:$I, KASA!$C:$C, $C15, KASA!$B:$B, "MAL İADE")</f>
        <v>0</v>
      </c>
      <c r="H15" s="5">
        <f>SUMIFS(KASA!$K:$K, KASA!$C:$C, $C15, KASA!$B:$B, "MAL İADE") + SUMIFS(KASA!$Q:$Q, KASA!$C:$C, $C15, KASA!$B:$B, "MAL İADE")</f>
        <v>0</v>
      </c>
      <c r="I15" s="5">
        <f t="shared" si="0"/>
        <v>0</v>
      </c>
      <c r="J15" s="5">
        <f t="shared" si="1"/>
        <v>0</v>
      </c>
      <c r="K15" s="5">
        <f>SUMIFS(KASA!$Q:$Q, KASA!$C:$C, $C15, KASA!$B:$B, "MAL SATIŞI") + SUMIFS(KASA!$Q:$Q, KASA!$C:$C, $C15, KASA!$B:$B, "ÜRETİM ÇIKIŞ")</f>
        <v>0</v>
      </c>
      <c r="L15" s="5">
        <f>SUMIFS(KASA!$K:$K, KASA!$C:$C, $C15, KASA!$B:$B, "MAL SATIŞI") + SUMIFS(KASA!$K:$K, KASA!$C:$C, $C15, KASA!$B:$B, "ÜRETİM ÇIKIŞ")</f>
        <v>0</v>
      </c>
      <c r="M15" s="5">
        <f t="shared" si="2"/>
        <v>0</v>
      </c>
      <c r="N15" s="5">
        <f t="shared" si="3"/>
        <v>0</v>
      </c>
      <c r="O15" s="65">
        <f t="shared" si="4"/>
        <v>0</v>
      </c>
      <c r="P15" s="5" t="e">
        <f t="shared" si="5"/>
        <v>#DIV/0!</v>
      </c>
      <c r="Q15" s="5">
        <f t="shared" si="6"/>
        <v>0</v>
      </c>
      <c r="R15" s="5">
        <f t="shared" si="7"/>
        <v>0</v>
      </c>
      <c r="S15" s="5">
        <f t="shared" si="8"/>
        <v>0</v>
      </c>
      <c r="T15">
        <v>0</v>
      </c>
      <c r="U15" s="2">
        <f t="shared" si="9"/>
        <v>0</v>
      </c>
      <c r="V15">
        <f>SUMIF(KASA!$C$2:$C$9980, C15, KASA!$T$2:$T$9980)</f>
        <v>0</v>
      </c>
      <c r="W15">
        <f>SUMIF(KASA!$C$2:$C$9980, C15, KASA!$U$2:$U$9980)</f>
        <v>0</v>
      </c>
      <c r="X15" s="2">
        <f t="shared" si="10"/>
        <v>0</v>
      </c>
      <c r="Y15" s="2">
        <f t="shared" si="11"/>
        <v>0</v>
      </c>
      <c r="Z15">
        <f>SUMIF(KASA!$C$2:$C$9980, C15, KASA!$V$2:$V$9980)</f>
        <v>0</v>
      </c>
      <c r="AA15">
        <f t="shared" si="12"/>
        <v>0</v>
      </c>
    </row>
    <row r="16" spans="3:27" x14ac:dyDescent="0.25">
      <c r="C16" s="4" t="s">
        <v>528</v>
      </c>
      <c r="D16" s="5">
        <f>SUMIFS(KASA!$I:$I, KASA!$C:$C, $C16, KASA!$B:$B, "MAL ALIMI") + SUMIFS(KASA!$I:$I, KASA!$C:$C, $C16, KASA!$B:$B, "ÜRETİM GİRİŞ")</f>
        <v>0</v>
      </c>
      <c r="E16" s="5" cm="1">
        <f t="array" ref="E16">IFERROR(AVERAGE(IF((KASA!$C$2:$C$9980=$C16)*((KASA!$B$2:$B$9980="MAL ALIMI")+(KASA!$B$2:$B$9980="ÜRETİM GİRİŞ")),KASA!$J$2:$J$9980)),0)</f>
        <v>0</v>
      </c>
      <c r="F16" s="5">
        <f>SUMIFS(KASA!$I:$I, KASA!$C:$C, $C16, KASA!$B:$B, "MAL SATIŞI") + SUMIFS(KASA!$I:$I, KASA!$C:$C, $C16, KASA!$B:$B, "ÜRETİM ÇIKIŞ")</f>
        <v>0</v>
      </c>
      <c r="G16" s="5">
        <f>SUMIFS(KASA!$I:$I, KASA!$C:$C, $C16, KASA!$B:$B, "MAL İADE")</f>
        <v>0</v>
      </c>
      <c r="H16" s="5">
        <f>SUMIFS(KASA!$K:$K, KASA!$C:$C, $C16, KASA!$B:$B, "MAL İADE") + SUMIFS(KASA!$Q:$Q, KASA!$C:$C, $C16, KASA!$B:$B, "MAL İADE")</f>
        <v>0</v>
      </c>
      <c r="I16" s="5">
        <f t="shared" si="0"/>
        <v>0</v>
      </c>
      <c r="J16" s="5">
        <f t="shared" si="1"/>
        <v>0</v>
      </c>
      <c r="K16" s="5">
        <f>SUMIFS(KASA!$Q:$Q, KASA!$C:$C, $C16, KASA!$B:$B, "MAL SATIŞI") + SUMIFS(KASA!$Q:$Q, KASA!$C:$C, $C16, KASA!$B:$B, "ÜRETİM ÇIKIŞ")</f>
        <v>0</v>
      </c>
      <c r="L16" s="5">
        <f>SUMIFS(KASA!$K:$K, KASA!$C:$C, $C16, KASA!$B:$B, "MAL SATIŞI") + SUMIFS(KASA!$K:$K, KASA!$C:$C, $C16, KASA!$B:$B, "ÜRETİM ÇIKIŞ")</f>
        <v>0</v>
      </c>
      <c r="M16" s="5">
        <f t="shared" si="2"/>
        <v>0</v>
      </c>
      <c r="N16" s="5">
        <f t="shared" si="3"/>
        <v>0</v>
      </c>
      <c r="O16" s="65">
        <f t="shared" si="4"/>
        <v>0</v>
      </c>
      <c r="P16" s="5" t="e">
        <f t="shared" si="5"/>
        <v>#DIV/0!</v>
      </c>
      <c r="Q16" s="5">
        <f t="shared" si="6"/>
        <v>0</v>
      </c>
      <c r="R16" s="5">
        <f t="shared" si="7"/>
        <v>0</v>
      </c>
      <c r="S16" s="5">
        <f t="shared" si="8"/>
        <v>0</v>
      </c>
      <c r="T16">
        <v>0</v>
      </c>
      <c r="U16" s="2">
        <f t="shared" si="9"/>
        <v>0</v>
      </c>
      <c r="V16">
        <f>SUMIF(KASA!$C$2:$C$9980, C16, KASA!$T$2:$T$9980)</f>
        <v>0</v>
      </c>
      <c r="W16">
        <f>SUMIF(KASA!$C$2:$C$9980, C16, KASA!$U$2:$U$9980)</f>
        <v>0</v>
      </c>
      <c r="X16" s="2">
        <f t="shared" si="10"/>
        <v>0</v>
      </c>
      <c r="Y16" s="2">
        <f t="shared" si="11"/>
        <v>0</v>
      </c>
      <c r="Z16">
        <f>SUMIF(KASA!$C$2:$C$9980, C16, KASA!$V$2:$V$9980)</f>
        <v>0</v>
      </c>
      <c r="AA16">
        <f t="shared" si="12"/>
        <v>0</v>
      </c>
    </row>
    <row r="17" spans="3:27" x14ac:dyDescent="0.25">
      <c r="C17" s="4" t="s">
        <v>89</v>
      </c>
      <c r="D17" s="5">
        <f>SUMIFS(KASA!$I:$I, KASA!$C:$C, $C17, KASA!$B:$B, "MAL ALIMI") + SUMIFS(KASA!$I:$I, KASA!$C:$C, $C17, KASA!$B:$B, "ÜRETİM GİRİŞ")</f>
        <v>30</v>
      </c>
      <c r="E17" s="5" cm="1">
        <f t="array" ref="E17">IFERROR(AVERAGE(IF((KASA!$C$2:$C$9980=$C17)*((KASA!$B$2:$B$9980="MAL ALIMI")+(KASA!$B$2:$B$9980="ÜRETİM GİRİŞ")),KASA!$J$2:$J$9980)),0)</f>
        <v>446.66666666666669</v>
      </c>
      <c r="F17" s="5">
        <f>SUMIFS(KASA!$I:$I, KASA!$C:$C, $C17, KASA!$B:$B, "MAL SATIŞI") + SUMIFS(KASA!$I:$I, KASA!$C:$C, $C17, KASA!$B:$B, "ÜRETİM ÇIKIŞ")</f>
        <v>11.79683516483516</v>
      </c>
      <c r="G17" s="5">
        <f>SUMIFS(KASA!$I:$I, KASA!$C:$C, $C17, KASA!$B:$B, "MAL İADE")</f>
        <v>0</v>
      </c>
      <c r="H17" s="5">
        <f>SUMIFS(KASA!$K:$K, KASA!$C:$C, $C17, KASA!$B:$B, "MAL İADE") + SUMIFS(KASA!$Q:$Q, KASA!$C:$C, $C17, KASA!$B:$B, "MAL İADE")</f>
        <v>0</v>
      </c>
      <c r="I17" s="5">
        <f t="shared" si="0"/>
        <v>11.79683516483516</v>
      </c>
      <c r="J17" s="5">
        <f t="shared" si="1"/>
        <v>5269.2530402930388</v>
      </c>
      <c r="K17" s="5">
        <f>SUMIFS(KASA!$Q:$Q, KASA!$C:$C, $C17, KASA!$B:$B, "MAL SATIŞI") + SUMIFS(KASA!$Q:$Q, KASA!$C:$C, $C17, KASA!$B:$B, "ÜRETİM ÇIKIŞ")</f>
        <v>3336</v>
      </c>
      <c r="L17" s="5">
        <f>SUMIFS(KASA!$K:$K, KASA!$C:$C, $C17, KASA!$B:$B, "MAL SATIŞI") + SUMIFS(KASA!$K:$K, KASA!$C:$C, $C17, KASA!$B:$B, "ÜRETİM ÇIKIŞ")</f>
        <v>4067.9009999999994</v>
      </c>
      <c r="M17" s="5">
        <f t="shared" si="2"/>
        <v>7403.9009999999998</v>
      </c>
      <c r="N17" s="5">
        <f t="shared" si="3"/>
        <v>2134.647959706961</v>
      </c>
      <c r="O17" s="65">
        <f t="shared" si="4"/>
        <v>0.40511395892049379</v>
      </c>
      <c r="P17" s="5">
        <f t="shared" si="5"/>
        <v>627.61756831782066</v>
      </c>
      <c r="Q17" s="5">
        <f t="shared" si="6"/>
        <v>18.203164835164841</v>
      </c>
      <c r="R17" s="5">
        <f t="shared" si="7"/>
        <v>8130.746959706963</v>
      </c>
      <c r="S17" s="5">
        <f t="shared" si="8"/>
        <v>13400</v>
      </c>
      <c r="T17">
        <v>2.7679999999999998</v>
      </c>
      <c r="U17" s="2">
        <f t="shared" si="9"/>
        <v>15.435164835164841</v>
      </c>
      <c r="V17">
        <f>SUMIF(KASA!$C$2:$C$9980, C17, KASA!$T$2:$T$9980)</f>
        <v>18.203164835164841</v>
      </c>
      <c r="W17">
        <f>SUMIF(KASA!$C$2:$C$9980, C17, KASA!$U$2:$U$9980)</f>
        <v>8373.4558241758277</v>
      </c>
      <c r="X17" s="2">
        <f t="shared" si="10"/>
        <v>18.203164835164841</v>
      </c>
      <c r="Y17" s="2">
        <f t="shared" si="11"/>
        <v>8373.4558241758277</v>
      </c>
      <c r="Z17">
        <f>SUMIF(KASA!$C$2:$C$9980, C17, KASA!$V$2:$V$9980)</f>
        <v>13600</v>
      </c>
      <c r="AA17">
        <f t="shared" si="12"/>
        <v>5226.5441758241723</v>
      </c>
    </row>
    <row r="18" spans="3:27" x14ac:dyDescent="0.25">
      <c r="C18" s="4" t="s">
        <v>76</v>
      </c>
      <c r="D18" s="5">
        <f>SUMIFS(KASA!$I:$I, KASA!$C:$C, $C18, KASA!$B:$B, "MAL ALIMI") + SUMIFS(KASA!$I:$I, KASA!$C:$C, $C18, KASA!$B:$B, "ÜRETİM GİRİŞ")</f>
        <v>5</v>
      </c>
      <c r="E18" s="5" cm="1">
        <f t="array" ref="E18">IFERROR(AVERAGE(IF((KASA!$C$2:$C$9980=$C18)*((KASA!$B$2:$B$9980="MAL ALIMI")+(KASA!$B$2:$B$9980="ÜRETİM GİRİŞ")),KASA!$J$2:$J$9980)),0)</f>
        <v>190</v>
      </c>
      <c r="F18" s="5">
        <f>SUMIFS(KASA!$I:$I, KASA!$C:$C, $C18, KASA!$B:$B, "MAL SATIŞI") + SUMIFS(KASA!$I:$I, KASA!$C:$C, $C18, KASA!$B:$B, "ÜRETİM ÇIKIŞ")</f>
        <v>1.6060000000000003</v>
      </c>
      <c r="G18" s="5">
        <f>SUMIFS(KASA!$I:$I, KASA!$C:$C, $C18, KASA!$B:$B, "MAL İADE")</f>
        <v>0</v>
      </c>
      <c r="H18" s="5">
        <f>SUMIFS(KASA!$K:$K, KASA!$C:$C, $C18, KASA!$B:$B, "MAL İADE") + SUMIFS(KASA!$Q:$Q, KASA!$C:$C, $C18, KASA!$B:$B, "MAL İADE")</f>
        <v>0</v>
      </c>
      <c r="I18" s="5">
        <f t="shared" si="0"/>
        <v>1.6060000000000003</v>
      </c>
      <c r="J18" s="5">
        <f t="shared" si="1"/>
        <v>305.14000000000004</v>
      </c>
      <c r="K18" s="5">
        <f>SUMIFS(KASA!$Q:$Q, KASA!$C:$C, $C18, KASA!$B:$B, "MAL SATIŞI") + SUMIFS(KASA!$Q:$Q, KASA!$C:$C, $C18, KASA!$B:$B, "ÜRETİM ÇIKIŞ")</f>
        <v>587.88</v>
      </c>
      <c r="L18" s="5">
        <f>SUMIFS(KASA!$K:$K, KASA!$C:$C, $C18, KASA!$B:$B, "MAL SATIŞI") + SUMIFS(KASA!$K:$K, KASA!$C:$C, $C18, KASA!$B:$B, "ÜRETİM ÇIKIŞ")</f>
        <v>149.6</v>
      </c>
      <c r="M18" s="5">
        <f t="shared" si="2"/>
        <v>737.48</v>
      </c>
      <c r="N18" s="5">
        <f t="shared" si="3"/>
        <v>432.34</v>
      </c>
      <c r="O18" s="65">
        <f t="shared" si="4"/>
        <v>1.4168578357475254</v>
      </c>
      <c r="P18" s="5">
        <f t="shared" si="5"/>
        <v>459.20298879202983</v>
      </c>
      <c r="Q18" s="5">
        <f t="shared" si="6"/>
        <v>3.3939999999999997</v>
      </c>
      <c r="R18" s="5">
        <f t="shared" si="7"/>
        <v>644.8599999999999</v>
      </c>
      <c r="S18" s="5">
        <f t="shared" si="8"/>
        <v>950</v>
      </c>
      <c r="U18" s="2">
        <f t="shared" si="9"/>
        <v>3.3939999999999997</v>
      </c>
      <c r="V18">
        <f>SUMIF(KASA!$C$2:$C$9980, C18, KASA!$T$2:$T$9980)</f>
        <v>3.3939999999999997</v>
      </c>
      <c r="W18">
        <f>SUMIF(KASA!$C$2:$C$9980, C18, KASA!$U$2:$U$9980)</f>
        <v>644.8599999999999</v>
      </c>
      <c r="X18" s="2">
        <f t="shared" si="10"/>
        <v>3.3939999999999997</v>
      </c>
      <c r="Y18" s="2">
        <f t="shared" si="11"/>
        <v>644.8599999999999</v>
      </c>
      <c r="Z18">
        <f>SUMIF(KASA!$C$2:$C$9980, C18, KASA!$V$2:$V$9980)</f>
        <v>950</v>
      </c>
      <c r="AA18">
        <f t="shared" si="12"/>
        <v>305.1400000000001</v>
      </c>
    </row>
    <row r="19" spans="3:27" x14ac:dyDescent="0.25">
      <c r="C19" s="4" t="s">
        <v>98</v>
      </c>
      <c r="D19" s="5">
        <f>SUMIFS(KASA!$I:$I, KASA!$C:$C, $C19, KASA!$B:$B, "MAL ALIMI") + SUMIFS(KASA!$I:$I, KASA!$C:$C, $C19, KASA!$B:$B, "ÜRETİM GİRİŞ")</f>
        <v>15</v>
      </c>
      <c r="E19" s="5" cm="1">
        <f t="array" ref="E19">IFERROR(AVERAGE(IF((KASA!$C$2:$C$9980=$C19)*((KASA!$B$2:$B$9980="MAL ALIMI")+(KASA!$B$2:$B$9980="ÜRETİM GİRİŞ")),KASA!$J$2:$J$9980)),0)</f>
        <v>180</v>
      </c>
      <c r="F19" s="5">
        <f>SUMIFS(KASA!$I:$I, KASA!$C:$C, $C19, KASA!$B:$B, "MAL SATIŞI") + SUMIFS(KASA!$I:$I, KASA!$C:$C, $C19, KASA!$B:$B, "ÜRETİM ÇIKIŞ")</f>
        <v>8.1446111111111108</v>
      </c>
      <c r="G19" s="5">
        <f>SUMIFS(KASA!$I:$I, KASA!$C:$C, $C19, KASA!$B:$B, "MAL İADE")</f>
        <v>0</v>
      </c>
      <c r="H19" s="5">
        <f>SUMIFS(KASA!$K:$K, KASA!$C:$C, $C19, KASA!$B:$B, "MAL İADE") + SUMIFS(KASA!$Q:$Q, KASA!$C:$C, $C19, KASA!$B:$B, "MAL İADE")</f>
        <v>0</v>
      </c>
      <c r="I19" s="5">
        <f t="shared" si="0"/>
        <v>8.1446111111111108</v>
      </c>
      <c r="J19" s="5">
        <f t="shared" si="1"/>
        <v>1466.03</v>
      </c>
      <c r="K19" s="5">
        <f>SUMIFS(KASA!$Q:$Q, KASA!$C:$C, $C19, KASA!$B:$B, "MAL SATIŞI") + SUMIFS(KASA!$Q:$Q, KASA!$C:$C, $C19, KASA!$B:$B, "ÜRETİM ÇIKIŞ")</f>
        <v>1754.2400000000002</v>
      </c>
      <c r="L19" s="5">
        <f>SUMIFS(KASA!$K:$K, KASA!$C:$C, $C19, KASA!$B:$B, "MAL SATIŞI") + SUMIFS(KASA!$K:$K, KASA!$C:$C, $C19, KASA!$B:$B, "ÜRETİM ÇIKIŞ")</f>
        <v>1220.9075</v>
      </c>
      <c r="M19" s="5">
        <f t="shared" si="2"/>
        <v>2975.1475</v>
      </c>
      <c r="N19" s="5">
        <f t="shared" si="3"/>
        <v>1509.1175000000001</v>
      </c>
      <c r="O19" s="65">
        <f t="shared" si="4"/>
        <v>1.0293905991009735</v>
      </c>
      <c r="P19" s="5">
        <f t="shared" si="5"/>
        <v>365.29030783817524</v>
      </c>
      <c r="Q19" s="5">
        <f t="shared" si="6"/>
        <v>6.8553888888888892</v>
      </c>
      <c r="R19" s="5">
        <f t="shared" si="7"/>
        <v>1233.97</v>
      </c>
      <c r="S19" s="5">
        <f t="shared" si="8"/>
        <v>2700</v>
      </c>
      <c r="U19" s="2">
        <f t="shared" si="9"/>
        <v>6.8553888888888892</v>
      </c>
      <c r="V19">
        <f>SUMIF(KASA!$C$2:$C$9980, C19, KASA!$T$2:$T$9980)</f>
        <v>6.8553888888888892</v>
      </c>
      <c r="W19">
        <f>SUMIF(KASA!$C$2:$C$9980, C19, KASA!$U$2:$U$9980)</f>
        <v>1233.97</v>
      </c>
      <c r="X19" s="2">
        <f t="shared" si="10"/>
        <v>6.8553888888888892</v>
      </c>
      <c r="Y19" s="2">
        <f t="shared" si="11"/>
        <v>1233.97</v>
      </c>
      <c r="Z19">
        <f>SUMIF(KASA!$C$2:$C$9980, C19, KASA!$V$2:$V$9980)</f>
        <v>2700</v>
      </c>
      <c r="AA19">
        <f t="shared" si="12"/>
        <v>1466.03</v>
      </c>
    </row>
    <row r="20" spans="3:27" x14ac:dyDescent="0.25">
      <c r="C20" s="4" t="s">
        <v>140</v>
      </c>
      <c r="D20" s="5">
        <f>SUMIFS(KASA!$I:$I, KASA!$C:$C, $C20, KASA!$B:$B, "MAL ALIMI") + SUMIFS(KASA!$I:$I, KASA!$C:$C, $C20, KASA!$B:$B, "ÜRETİM GİRİŞ")</f>
        <v>20</v>
      </c>
      <c r="E20" s="5" cm="1">
        <f t="array" ref="E20">IFERROR(AVERAGE(IF((KASA!$C$2:$C$9980=$C20)*((KASA!$B$2:$B$9980="MAL ALIMI")+(KASA!$B$2:$B$9980="ÜRETİM GİRİŞ")),KASA!$J$2:$J$9980)),0)</f>
        <v>125</v>
      </c>
      <c r="F20" s="5">
        <f>SUMIFS(KASA!$I:$I, KASA!$C:$C, $C20, KASA!$B:$B, "MAL SATIŞI") + SUMIFS(KASA!$I:$I, KASA!$C:$C, $C20, KASA!$B:$B, "ÜRETİM ÇIKIŞ")</f>
        <v>14.653499999999998</v>
      </c>
      <c r="G20" s="5">
        <f>SUMIFS(KASA!$I:$I, KASA!$C:$C, $C20, KASA!$B:$B, "MAL İADE")</f>
        <v>0</v>
      </c>
      <c r="H20" s="5">
        <f>SUMIFS(KASA!$K:$K, KASA!$C:$C, $C20, KASA!$B:$B, "MAL İADE") + SUMIFS(KASA!$Q:$Q, KASA!$C:$C, $C20, KASA!$B:$B, "MAL İADE")</f>
        <v>0</v>
      </c>
      <c r="I20" s="5">
        <f t="shared" si="0"/>
        <v>14.653499999999998</v>
      </c>
      <c r="J20" s="5">
        <f t="shared" si="1"/>
        <v>1831.6874999999998</v>
      </c>
      <c r="K20" s="5">
        <f>SUMIFS(KASA!$Q:$Q, KASA!$C:$C, $C20, KASA!$B:$B, "MAL SATIŞI") + SUMIFS(KASA!$Q:$Q, KASA!$C:$C, $C20, KASA!$B:$B, "ÜRETİM ÇIKIŞ")</f>
        <v>2812.4340000000002</v>
      </c>
      <c r="L20" s="5">
        <f>SUMIFS(KASA!$K:$K, KASA!$C:$C, $C20, KASA!$B:$B, "MAL SATIŞI") + SUMIFS(KASA!$K:$K, KASA!$C:$C, $C20, KASA!$B:$B, "ÜRETİM ÇIKIŞ")</f>
        <v>1340.4159999999999</v>
      </c>
      <c r="M20" s="5">
        <f t="shared" si="2"/>
        <v>4152.8500000000004</v>
      </c>
      <c r="N20" s="5">
        <f t="shared" si="3"/>
        <v>2321.1625000000004</v>
      </c>
      <c r="O20" s="65">
        <f t="shared" si="4"/>
        <v>1.2672262599378992</v>
      </c>
      <c r="P20" s="5">
        <f t="shared" si="5"/>
        <v>283.40328249223739</v>
      </c>
      <c r="Q20" s="5">
        <f t="shared" si="6"/>
        <v>5.3465000000000025</v>
      </c>
      <c r="R20" s="5">
        <f t="shared" si="7"/>
        <v>668.31250000000034</v>
      </c>
      <c r="S20" s="5">
        <f t="shared" si="8"/>
        <v>2500</v>
      </c>
      <c r="U20" s="2">
        <f t="shared" si="9"/>
        <v>5.3465000000000025</v>
      </c>
      <c r="V20">
        <f>SUMIF(KASA!$C$2:$C$9980, C20, KASA!$T$2:$T$9980)</f>
        <v>5.3465000000000025</v>
      </c>
      <c r="W20">
        <f>SUMIF(KASA!$C$2:$C$9980, C20, KASA!$U$2:$U$9980)</f>
        <v>668.31250000000034</v>
      </c>
      <c r="X20" s="2">
        <f t="shared" si="10"/>
        <v>5.3465000000000025</v>
      </c>
      <c r="Y20" s="2">
        <f t="shared" si="11"/>
        <v>668.31250000000034</v>
      </c>
      <c r="Z20">
        <f>SUMIF(KASA!$C$2:$C$9980, C20, KASA!$V$2:$V$9980)</f>
        <v>2500</v>
      </c>
      <c r="AA20">
        <f t="shared" si="12"/>
        <v>1831.6874999999995</v>
      </c>
    </row>
    <row r="21" spans="3:27" x14ac:dyDescent="0.25">
      <c r="C21" s="4" t="s">
        <v>141</v>
      </c>
      <c r="D21" s="5">
        <f>SUMIFS(KASA!$I:$I, KASA!$C:$C, $C21, KASA!$B:$B, "MAL ALIMI") + SUMIFS(KASA!$I:$I, KASA!$C:$C, $C21, KASA!$B:$B, "ÜRETİM GİRİŞ")</f>
        <v>10</v>
      </c>
      <c r="E21" s="5" cm="1">
        <f t="array" ref="E21">IFERROR(AVERAGE(IF((KASA!$C$2:$C$9980=$C21)*((KASA!$B$2:$B$9980="MAL ALIMI")+(KASA!$B$2:$B$9980="ÜRETİM GİRİŞ")),KASA!$J$2:$J$9980)),0)</f>
        <v>70</v>
      </c>
      <c r="F21" s="5">
        <f>SUMIFS(KASA!$I:$I, KASA!$C:$C, $C21, KASA!$B:$B, "MAL SATIŞI") + SUMIFS(KASA!$I:$I, KASA!$C:$C, $C21, KASA!$B:$B, "ÜRETİM ÇIKIŞ")</f>
        <v>2.4097142857142853</v>
      </c>
      <c r="G21" s="5">
        <f>SUMIFS(KASA!$I:$I, KASA!$C:$C, $C21, KASA!$B:$B, "MAL İADE")</f>
        <v>0</v>
      </c>
      <c r="H21" s="5">
        <f>SUMIFS(KASA!$K:$K, KASA!$C:$C, $C21, KASA!$B:$B, "MAL İADE") + SUMIFS(KASA!$Q:$Q, KASA!$C:$C, $C21, KASA!$B:$B, "MAL İADE")</f>
        <v>0</v>
      </c>
      <c r="I21" s="5">
        <f t="shared" si="0"/>
        <v>2.4097142857142853</v>
      </c>
      <c r="J21" s="5">
        <f t="shared" si="1"/>
        <v>168.67999999999998</v>
      </c>
      <c r="K21" s="5">
        <f>SUMIFS(KASA!$Q:$Q, KASA!$C:$C, $C21, KASA!$B:$B, "MAL SATIŞI") + SUMIFS(KASA!$Q:$Q, KASA!$C:$C, $C21, KASA!$B:$B, "ÜRETİM ÇIKIŞ")</f>
        <v>236.32000000000002</v>
      </c>
      <c r="L21" s="5">
        <f>SUMIFS(KASA!$K:$K, KASA!$C:$C, $C21, KASA!$B:$B, "MAL SATIŞI") + SUMIFS(KASA!$K:$K, KASA!$C:$C, $C21, KASA!$B:$B, "ÜRETİM ÇIKIŞ")</f>
        <v>91.11999999999999</v>
      </c>
      <c r="M21" s="5">
        <f t="shared" si="2"/>
        <v>327.44</v>
      </c>
      <c r="N21" s="5">
        <f t="shared" si="3"/>
        <v>158.76000000000002</v>
      </c>
      <c r="O21" s="65">
        <f t="shared" si="4"/>
        <v>0.94119041972966588</v>
      </c>
      <c r="P21" s="5">
        <f t="shared" si="5"/>
        <v>135.88332938107661</v>
      </c>
      <c r="Q21" s="5">
        <f t="shared" si="6"/>
        <v>7.5902857142857147</v>
      </c>
      <c r="R21" s="5">
        <f t="shared" si="7"/>
        <v>531.32000000000005</v>
      </c>
      <c r="S21" s="5">
        <f t="shared" si="8"/>
        <v>700</v>
      </c>
      <c r="U21" s="2">
        <f t="shared" si="9"/>
        <v>7.5902857142857147</v>
      </c>
      <c r="V21">
        <f>SUMIF(KASA!$C$2:$C$9980, C21, KASA!$T$2:$T$9980)</f>
        <v>7.5902857142857147</v>
      </c>
      <c r="W21">
        <f>SUMIF(KASA!$C$2:$C$9980, C21, KASA!$U$2:$U$9980)</f>
        <v>531.32000000000005</v>
      </c>
      <c r="X21" s="2">
        <f t="shared" si="10"/>
        <v>7.5902857142857147</v>
      </c>
      <c r="Y21" s="2">
        <f t="shared" si="11"/>
        <v>531.32000000000005</v>
      </c>
      <c r="Z21">
        <f>SUMIF(KASA!$C$2:$C$9980, C21, KASA!$V$2:$V$9980)</f>
        <v>700</v>
      </c>
      <c r="AA21">
        <f t="shared" si="12"/>
        <v>168.67999999999995</v>
      </c>
    </row>
    <row r="22" spans="3:27" x14ac:dyDescent="0.25">
      <c r="C22" s="4" t="s">
        <v>143</v>
      </c>
      <c r="D22" s="5">
        <f>SUMIFS(KASA!$I:$I, KASA!$C:$C, $C22, KASA!$B:$B, "MAL ALIMI") + SUMIFS(KASA!$I:$I, KASA!$C:$C, $C22, KASA!$B:$B, "ÜRETİM GİRİŞ")</f>
        <v>12</v>
      </c>
      <c r="E22" s="5" cm="1">
        <f t="array" ref="E22">IFERROR(AVERAGE(IF((KASA!$C$2:$C$9980=$C22)*((KASA!$B$2:$B$9980="MAL ALIMI")+(KASA!$B$2:$B$9980="ÜRETİM GİRİŞ")),KASA!$J$2:$J$9980)),0)</f>
        <v>42</v>
      </c>
      <c r="F22" s="5">
        <f>SUMIFS(KASA!$I:$I, KASA!$C:$C, $C22, KASA!$B:$B, "MAL SATIŞI") + SUMIFS(KASA!$I:$I, KASA!$C:$C, $C22, KASA!$B:$B, "ÜRETİM ÇIKIŞ")</f>
        <v>7</v>
      </c>
      <c r="G22" s="5">
        <f>SUMIFS(KASA!$I:$I, KASA!$C:$C, $C22, KASA!$B:$B, "MAL İADE")</f>
        <v>0</v>
      </c>
      <c r="H22" s="5">
        <f>SUMIFS(KASA!$K:$K, KASA!$C:$C, $C22, KASA!$B:$B, "MAL İADE") + SUMIFS(KASA!$Q:$Q, KASA!$C:$C, $C22, KASA!$B:$B, "MAL İADE")</f>
        <v>0</v>
      </c>
      <c r="I22" s="5">
        <f t="shared" si="0"/>
        <v>7</v>
      </c>
      <c r="J22" s="5">
        <f t="shared" si="1"/>
        <v>294</v>
      </c>
      <c r="K22" s="5">
        <f>SUMIFS(KASA!$Q:$Q, KASA!$C:$C, $C22, KASA!$B:$B, "MAL SATIŞI") + SUMIFS(KASA!$Q:$Q, KASA!$C:$C, $C22, KASA!$B:$B, "ÜRETİM ÇIKIŞ")</f>
        <v>400</v>
      </c>
      <c r="L22" s="5">
        <f>SUMIFS(KASA!$K:$K, KASA!$C:$C, $C22, KASA!$B:$B, "MAL SATIŞI") + SUMIFS(KASA!$K:$K, KASA!$C:$C, $C22, KASA!$B:$B, "ÜRETİM ÇIKIŞ")</f>
        <v>300</v>
      </c>
      <c r="M22" s="5">
        <f t="shared" si="2"/>
        <v>700</v>
      </c>
      <c r="N22" s="5">
        <f t="shared" si="3"/>
        <v>406</v>
      </c>
      <c r="O22" s="65">
        <f t="shared" si="4"/>
        <v>1.3809523809523809</v>
      </c>
      <c r="P22" s="5">
        <f t="shared" si="5"/>
        <v>100</v>
      </c>
      <c r="Q22" s="5">
        <f t="shared" si="6"/>
        <v>5</v>
      </c>
      <c r="R22" s="5">
        <f t="shared" si="7"/>
        <v>210</v>
      </c>
      <c r="S22" s="5">
        <f t="shared" si="8"/>
        <v>504</v>
      </c>
      <c r="T22">
        <v>7</v>
      </c>
      <c r="U22" s="2">
        <f t="shared" si="9"/>
        <v>-2</v>
      </c>
      <c r="V22">
        <f>SUMIF(KASA!$C$2:$C$9980, C22, KASA!$T$2:$T$9980)</f>
        <v>5</v>
      </c>
      <c r="W22">
        <f>SUMIF(KASA!$C$2:$C$9980, C22, KASA!$U$2:$U$9980)</f>
        <v>210</v>
      </c>
      <c r="X22" s="2">
        <f t="shared" si="10"/>
        <v>5</v>
      </c>
      <c r="Y22" s="2">
        <f t="shared" si="11"/>
        <v>210</v>
      </c>
      <c r="Z22">
        <f>SUMIF(KASA!$C$2:$C$9980, C22, KASA!$V$2:$V$9980)</f>
        <v>504</v>
      </c>
      <c r="AA22">
        <f t="shared" si="12"/>
        <v>294</v>
      </c>
    </row>
    <row r="23" spans="3:27" x14ac:dyDescent="0.25">
      <c r="C23" s="4" t="s">
        <v>145</v>
      </c>
      <c r="D23" s="5">
        <f>SUMIFS(KASA!$I:$I, KASA!$C:$C, $C23, KASA!$B:$B, "MAL ALIMI") + SUMIFS(KASA!$I:$I, KASA!$C:$C, $C23, KASA!$B:$B, "ÜRETİM GİRİŞ")</f>
        <v>24</v>
      </c>
      <c r="E23" s="5" cm="1">
        <f t="array" ref="E23">IFERROR(AVERAGE(IF((KASA!$C$2:$C$9980=$C23)*((KASA!$B$2:$B$9980="MAL ALIMI")+(KASA!$B$2:$B$9980="ÜRETİM GİRİŞ")),KASA!$J$2:$J$9980)),0)</f>
        <v>21</v>
      </c>
      <c r="F23" s="5">
        <f>SUMIFS(KASA!$I:$I, KASA!$C:$C, $C23, KASA!$B:$B, "MAL SATIŞI") + SUMIFS(KASA!$I:$I, KASA!$C:$C, $C23, KASA!$B:$B, "ÜRETİM ÇIKIŞ")</f>
        <v>6</v>
      </c>
      <c r="G23" s="5">
        <f>SUMIFS(KASA!$I:$I, KASA!$C:$C, $C23, KASA!$B:$B, "MAL İADE")</f>
        <v>0</v>
      </c>
      <c r="H23" s="5">
        <f>SUMIFS(KASA!$K:$K, KASA!$C:$C, $C23, KASA!$B:$B, "MAL İADE") + SUMIFS(KASA!$Q:$Q, KASA!$C:$C, $C23, KASA!$B:$B, "MAL İADE")</f>
        <v>0</v>
      </c>
      <c r="I23" s="5">
        <f t="shared" si="0"/>
        <v>6</v>
      </c>
      <c r="J23" s="5">
        <f t="shared" si="1"/>
        <v>126</v>
      </c>
      <c r="K23" s="5">
        <f>SUMIFS(KASA!$Q:$Q, KASA!$C:$C, $C23, KASA!$B:$B, "MAL SATIŞI") + SUMIFS(KASA!$Q:$Q, KASA!$C:$C, $C23, KASA!$B:$B, "ÜRETİM ÇIKIŞ")</f>
        <v>270</v>
      </c>
      <c r="L23" s="5">
        <f>SUMIFS(KASA!$K:$K, KASA!$C:$C, $C23, KASA!$B:$B, "MAL SATIŞI") + SUMIFS(KASA!$K:$K, KASA!$C:$C, $C23, KASA!$B:$B, "ÜRETİM ÇIKIŞ")</f>
        <v>65</v>
      </c>
      <c r="M23" s="5">
        <f t="shared" si="2"/>
        <v>335</v>
      </c>
      <c r="N23" s="5">
        <f t="shared" si="3"/>
        <v>209</v>
      </c>
      <c r="O23" s="65">
        <f t="shared" si="4"/>
        <v>1.6587301587301588</v>
      </c>
      <c r="P23" s="5">
        <f t="shared" si="5"/>
        <v>55.833333333333336</v>
      </c>
      <c r="Q23" s="5">
        <f t="shared" si="6"/>
        <v>18</v>
      </c>
      <c r="R23" s="5">
        <f t="shared" si="7"/>
        <v>378</v>
      </c>
      <c r="S23" s="5">
        <f t="shared" si="8"/>
        <v>504</v>
      </c>
      <c r="T23">
        <v>19</v>
      </c>
      <c r="U23" s="2">
        <f t="shared" si="9"/>
        <v>-1</v>
      </c>
      <c r="V23">
        <f>SUMIF(KASA!$C$2:$C$9980, C23, KASA!$T$2:$T$9980)</f>
        <v>18</v>
      </c>
      <c r="W23">
        <f>SUMIF(KASA!$C$2:$C$9980, C23, KASA!$U$2:$U$9980)</f>
        <v>378</v>
      </c>
      <c r="X23" s="2">
        <f t="shared" si="10"/>
        <v>18</v>
      </c>
      <c r="Y23" s="2">
        <f t="shared" si="11"/>
        <v>378</v>
      </c>
      <c r="Z23">
        <f>SUMIF(KASA!$C$2:$C$9980, C23, KASA!$V$2:$V$9980)</f>
        <v>504</v>
      </c>
      <c r="AA23">
        <f t="shared" si="12"/>
        <v>126</v>
      </c>
    </row>
    <row r="24" spans="3:27" x14ac:dyDescent="0.25">
      <c r="C24" s="4" t="s">
        <v>146</v>
      </c>
      <c r="D24" s="5">
        <f>SUMIFS(KASA!$I:$I, KASA!$C:$C, $C24, KASA!$B:$B, "MAL ALIMI") + SUMIFS(KASA!$I:$I, KASA!$C:$C, $C24, KASA!$B:$B, "ÜRETİM GİRİŞ")</f>
        <v>12</v>
      </c>
      <c r="E24" s="5" cm="1">
        <f t="array" ref="E24">IFERROR(AVERAGE(IF((KASA!$C$2:$C$9980=$C24)*((KASA!$B$2:$B$9980="MAL ALIMI")+(KASA!$B$2:$B$9980="ÜRETİM GİRİŞ")),KASA!$J$2:$J$9980)),0)</f>
        <v>40</v>
      </c>
      <c r="F24" s="5">
        <f>SUMIFS(KASA!$I:$I, KASA!$C:$C, $C24, KASA!$B:$B, "MAL SATIŞI") + SUMIFS(KASA!$I:$I, KASA!$C:$C, $C24, KASA!$B:$B, "ÜRETİM ÇIKIŞ")</f>
        <v>5</v>
      </c>
      <c r="G24" s="5">
        <f>SUMIFS(KASA!$I:$I, KASA!$C:$C, $C24, KASA!$B:$B, "MAL İADE")</f>
        <v>0</v>
      </c>
      <c r="H24" s="5">
        <f>SUMIFS(KASA!$K:$K, KASA!$C:$C, $C24, KASA!$B:$B, "MAL İADE") + SUMIFS(KASA!$Q:$Q, KASA!$C:$C, $C24, KASA!$B:$B, "MAL İADE")</f>
        <v>0</v>
      </c>
      <c r="I24" s="5">
        <f t="shared" si="0"/>
        <v>5</v>
      </c>
      <c r="J24" s="5">
        <f t="shared" si="1"/>
        <v>200</v>
      </c>
      <c r="K24" s="5">
        <f>SUMIFS(KASA!$Q:$Q, KASA!$C:$C, $C24, KASA!$B:$B, "MAL SATIŞI") + SUMIFS(KASA!$Q:$Q, KASA!$C:$C, $C24, KASA!$B:$B, "ÜRETİM ÇIKIŞ")</f>
        <v>240</v>
      </c>
      <c r="L24" s="5">
        <f>SUMIFS(KASA!$K:$K, KASA!$C:$C, $C24, KASA!$B:$B, "MAL SATIŞI") + SUMIFS(KASA!$K:$K, KASA!$C:$C, $C24, KASA!$B:$B, "ÜRETİM ÇIKIŞ")</f>
        <v>160</v>
      </c>
      <c r="M24" s="5">
        <f t="shared" si="2"/>
        <v>400</v>
      </c>
      <c r="N24" s="5">
        <f t="shared" si="3"/>
        <v>200</v>
      </c>
      <c r="O24" s="65">
        <f t="shared" si="4"/>
        <v>1</v>
      </c>
      <c r="P24" s="5">
        <f t="shared" si="5"/>
        <v>80</v>
      </c>
      <c r="Q24" s="5">
        <f t="shared" si="6"/>
        <v>7</v>
      </c>
      <c r="R24" s="5">
        <f t="shared" si="7"/>
        <v>280</v>
      </c>
      <c r="S24" s="5">
        <f t="shared" si="8"/>
        <v>480</v>
      </c>
      <c r="T24">
        <v>9</v>
      </c>
      <c r="U24" s="2">
        <f t="shared" si="9"/>
        <v>-2</v>
      </c>
      <c r="V24">
        <f>SUMIF(KASA!$C$2:$C$9980, C24, KASA!$T$2:$T$9980)</f>
        <v>7</v>
      </c>
      <c r="W24">
        <f>SUMIF(KASA!$C$2:$C$9980, C24, KASA!$U$2:$U$9980)</f>
        <v>280</v>
      </c>
      <c r="X24" s="2">
        <f t="shared" si="10"/>
        <v>7</v>
      </c>
      <c r="Y24" s="2">
        <f t="shared" si="11"/>
        <v>280</v>
      </c>
      <c r="Z24">
        <f>SUMIF(KASA!$C$2:$C$9980, C24, KASA!$V$2:$V$9980)</f>
        <v>480</v>
      </c>
      <c r="AA24">
        <f t="shared" si="12"/>
        <v>200</v>
      </c>
    </row>
    <row r="25" spans="3:27" x14ac:dyDescent="0.25">
      <c r="C25" s="4" t="s">
        <v>147</v>
      </c>
      <c r="D25" s="5">
        <f>SUMIFS(KASA!$I:$I, KASA!$C:$C, $C25, KASA!$B:$B, "MAL ALIMI") + SUMIFS(KASA!$I:$I, KASA!$C:$C, $C25, KASA!$B:$B, "ÜRETİM GİRİŞ")</f>
        <v>24</v>
      </c>
      <c r="E25" s="5" cm="1">
        <f t="array" ref="E25">IFERROR(AVERAGE(IF((KASA!$C$2:$C$9980=$C25)*((KASA!$B$2:$B$9980="MAL ALIMI")+(KASA!$B$2:$B$9980="ÜRETİM GİRİŞ")),KASA!$J$2:$J$9980)),0)</f>
        <v>35</v>
      </c>
      <c r="F25" s="5">
        <f>SUMIFS(KASA!$I:$I, KASA!$C:$C, $C25, KASA!$B:$B, "MAL SATIŞI") + SUMIFS(KASA!$I:$I, KASA!$C:$C, $C25, KASA!$B:$B, "ÜRETİM ÇIKIŞ")</f>
        <v>10</v>
      </c>
      <c r="G25" s="5">
        <f>SUMIFS(KASA!$I:$I, KASA!$C:$C, $C25, KASA!$B:$B, "MAL İADE")</f>
        <v>0</v>
      </c>
      <c r="H25" s="5">
        <f>SUMIFS(KASA!$K:$K, KASA!$C:$C, $C25, KASA!$B:$B, "MAL İADE") + SUMIFS(KASA!$Q:$Q, KASA!$C:$C, $C25, KASA!$B:$B, "MAL İADE")</f>
        <v>0</v>
      </c>
      <c r="I25" s="5">
        <f t="shared" si="0"/>
        <v>10</v>
      </c>
      <c r="J25" s="5">
        <f t="shared" si="1"/>
        <v>350</v>
      </c>
      <c r="K25" s="5">
        <f>SUMIFS(KASA!$Q:$Q, KASA!$C:$C, $C25, KASA!$B:$B, "MAL SATIŞI") + SUMIFS(KASA!$Q:$Q, KASA!$C:$C, $C25, KASA!$B:$B, "ÜRETİM ÇIKIŞ")</f>
        <v>585</v>
      </c>
      <c r="L25" s="5">
        <f>SUMIFS(KASA!$K:$K, KASA!$C:$C, $C25, KASA!$B:$B, "MAL SATIŞI") + SUMIFS(KASA!$K:$K, KASA!$C:$C, $C25, KASA!$B:$B, "ÜRETİM ÇIKIŞ")</f>
        <v>65</v>
      </c>
      <c r="M25" s="5">
        <f t="shared" si="2"/>
        <v>650</v>
      </c>
      <c r="N25" s="5">
        <f t="shared" si="3"/>
        <v>300</v>
      </c>
      <c r="O25" s="65">
        <f t="shared" si="4"/>
        <v>0.8571428571428571</v>
      </c>
      <c r="P25" s="5">
        <f t="shared" si="5"/>
        <v>65</v>
      </c>
      <c r="Q25" s="5">
        <f t="shared" si="6"/>
        <v>14</v>
      </c>
      <c r="R25" s="5">
        <f t="shared" si="7"/>
        <v>490</v>
      </c>
      <c r="S25" s="5">
        <f t="shared" si="8"/>
        <v>840</v>
      </c>
      <c r="T25">
        <v>14</v>
      </c>
      <c r="U25" s="2">
        <f t="shared" si="9"/>
        <v>0</v>
      </c>
      <c r="V25">
        <f>SUMIF(KASA!$C$2:$C$9980, C25, KASA!$T$2:$T$9980)</f>
        <v>14</v>
      </c>
      <c r="W25">
        <f>SUMIF(KASA!$C$2:$C$9980, C25, KASA!$U$2:$U$9980)</f>
        <v>490</v>
      </c>
      <c r="X25" s="2">
        <f t="shared" si="10"/>
        <v>14</v>
      </c>
      <c r="Y25" s="2">
        <f t="shared" si="11"/>
        <v>490</v>
      </c>
      <c r="Z25">
        <f>SUMIF(KASA!$C$2:$C$9980, C25, KASA!$V$2:$V$9980)</f>
        <v>840</v>
      </c>
      <c r="AA25">
        <f t="shared" si="12"/>
        <v>350</v>
      </c>
    </row>
    <row r="26" spans="3:27" x14ac:dyDescent="0.25">
      <c r="C26" s="4" t="s">
        <v>148</v>
      </c>
      <c r="D26" s="5">
        <f>SUMIFS(KASA!$I:$I, KASA!$C:$C, $C26, KASA!$B:$B, "MAL ALIMI") + SUMIFS(KASA!$I:$I, KASA!$C:$C, $C26, KASA!$B:$B, "ÜRETİM GİRİŞ")</f>
        <v>24</v>
      </c>
      <c r="E26" s="5" cm="1">
        <f t="array" ref="E26">IFERROR(AVERAGE(IF((KASA!$C$2:$C$9980=$C26)*((KASA!$B$2:$B$9980="MAL ALIMI")+(KASA!$B$2:$B$9980="ÜRETİM GİRİŞ")),KASA!$J$2:$J$9980)),0)</f>
        <v>35</v>
      </c>
      <c r="F26" s="5">
        <f>SUMIFS(KASA!$I:$I, KASA!$C:$C, $C26, KASA!$B:$B, "MAL SATIŞI") + SUMIFS(KASA!$I:$I, KASA!$C:$C, $C26, KASA!$B:$B, "ÜRETİM ÇIKIŞ")</f>
        <v>15</v>
      </c>
      <c r="G26" s="5">
        <f>SUMIFS(KASA!$I:$I, KASA!$C:$C, $C26, KASA!$B:$B, "MAL İADE")</f>
        <v>0</v>
      </c>
      <c r="H26" s="5">
        <f>SUMIFS(KASA!$K:$K, KASA!$C:$C, $C26, KASA!$B:$B, "MAL İADE") + SUMIFS(KASA!$Q:$Q, KASA!$C:$C, $C26, KASA!$B:$B, "MAL İADE")</f>
        <v>0</v>
      </c>
      <c r="I26" s="5">
        <f t="shared" si="0"/>
        <v>15</v>
      </c>
      <c r="J26" s="5">
        <f t="shared" si="1"/>
        <v>525</v>
      </c>
      <c r="K26" s="5">
        <f>SUMIFS(KASA!$Q:$Q, KASA!$C:$C, $C26, KASA!$B:$B, "MAL SATIŞI") + SUMIFS(KASA!$Q:$Q, KASA!$C:$C, $C26, KASA!$B:$B, "ÜRETİM ÇIKIŞ")</f>
        <v>605</v>
      </c>
      <c r="L26" s="5">
        <f>SUMIFS(KASA!$K:$K, KASA!$C:$C, $C26, KASA!$B:$B, "MAL SATIŞI") + SUMIFS(KASA!$K:$K, KASA!$C:$C, $C26, KASA!$B:$B, "ÜRETİM ÇIKIŞ")</f>
        <v>335</v>
      </c>
      <c r="M26" s="5">
        <f t="shared" si="2"/>
        <v>940</v>
      </c>
      <c r="N26" s="5">
        <f t="shared" si="3"/>
        <v>415</v>
      </c>
      <c r="O26" s="65">
        <f t="shared" si="4"/>
        <v>0.79047619047619044</v>
      </c>
      <c r="P26" s="5">
        <f t="shared" si="5"/>
        <v>62.666666666666664</v>
      </c>
      <c r="Q26" s="5">
        <f t="shared" si="6"/>
        <v>9</v>
      </c>
      <c r="R26" s="5">
        <f t="shared" si="7"/>
        <v>315</v>
      </c>
      <c r="S26" s="5">
        <f t="shared" si="8"/>
        <v>840</v>
      </c>
      <c r="T26">
        <v>10</v>
      </c>
      <c r="U26" s="2">
        <f t="shared" si="9"/>
        <v>-1</v>
      </c>
      <c r="V26">
        <f>SUMIF(KASA!$C$2:$C$9980, C26, KASA!$T$2:$T$9980)</f>
        <v>9</v>
      </c>
      <c r="W26">
        <f>SUMIF(KASA!$C$2:$C$9980, C26, KASA!$U$2:$U$9980)</f>
        <v>315</v>
      </c>
      <c r="X26" s="2">
        <f t="shared" si="10"/>
        <v>9</v>
      </c>
      <c r="Y26" s="2">
        <f t="shared" si="11"/>
        <v>315</v>
      </c>
      <c r="Z26">
        <f>SUMIF(KASA!$C$2:$C$9980, C26, KASA!$V$2:$V$9980)</f>
        <v>840</v>
      </c>
      <c r="AA26">
        <f t="shared" si="12"/>
        <v>525</v>
      </c>
    </row>
    <row r="27" spans="3:27" x14ac:dyDescent="0.25">
      <c r="C27" s="4" t="s">
        <v>149</v>
      </c>
      <c r="D27" s="5">
        <f>SUMIFS(KASA!$I:$I, KASA!$C:$C, $C27, KASA!$B:$B, "MAL ALIMI") + SUMIFS(KASA!$I:$I, KASA!$C:$C, $C27, KASA!$B:$B, "ÜRETİM GİRİŞ")</f>
        <v>24</v>
      </c>
      <c r="E27" s="5" cm="1">
        <f t="array" ref="E27">IFERROR(AVERAGE(IF((KASA!$C$2:$C$9980=$C27)*((KASA!$B$2:$B$9980="MAL ALIMI")+(KASA!$B$2:$B$9980="ÜRETİM GİRİŞ")),KASA!$J$2:$J$9980)),0)</f>
        <v>35</v>
      </c>
      <c r="F27" s="5">
        <f>SUMIFS(KASA!$I:$I, KASA!$C:$C, $C27, KASA!$B:$B, "MAL SATIŞI") + SUMIFS(KASA!$I:$I, KASA!$C:$C, $C27, KASA!$B:$B, "ÜRETİM ÇIKIŞ")</f>
        <v>23</v>
      </c>
      <c r="G27" s="5">
        <f>SUMIFS(KASA!$I:$I, KASA!$C:$C, $C27, KASA!$B:$B, "MAL İADE")</f>
        <v>0</v>
      </c>
      <c r="H27" s="5">
        <f>SUMIFS(KASA!$K:$K, KASA!$C:$C, $C27, KASA!$B:$B, "MAL İADE") + SUMIFS(KASA!$Q:$Q, KASA!$C:$C, $C27, KASA!$B:$B, "MAL İADE")</f>
        <v>0</v>
      </c>
      <c r="I27" s="5">
        <f t="shared" si="0"/>
        <v>23</v>
      </c>
      <c r="J27" s="5">
        <f t="shared" si="1"/>
        <v>805</v>
      </c>
      <c r="K27" s="5">
        <f>SUMIFS(KASA!$Q:$Q, KASA!$C:$C, $C27, KASA!$B:$B, "MAL SATIŞI") + SUMIFS(KASA!$Q:$Q, KASA!$C:$C, $C27, KASA!$B:$B, "ÜRETİM ÇIKIŞ")</f>
        <v>815</v>
      </c>
      <c r="L27" s="5">
        <f>SUMIFS(KASA!$K:$K, KASA!$C:$C, $C27, KASA!$B:$B, "MAL SATIŞI") + SUMIFS(KASA!$K:$K, KASA!$C:$C, $C27, KASA!$B:$B, "ÜRETİM ÇIKIŞ")</f>
        <v>665</v>
      </c>
      <c r="M27" s="5">
        <f t="shared" si="2"/>
        <v>1480</v>
      </c>
      <c r="N27" s="5">
        <f t="shared" si="3"/>
        <v>675</v>
      </c>
      <c r="O27" s="65">
        <f t="shared" si="4"/>
        <v>0.83850931677018636</v>
      </c>
      <c r="P27" s="5">
        <f t="shared" si="5"/>
        <v>64.347826086956516</v>
      </c>
      <c r="Q27" s="5">
        <f t="shared" si="6"/>
        <v>1</v>
      </c>
      <c r="R27" s="5">
        <f t="shared" si="7"/>
        <v>35</v>
      </c>
      <c r="S27" s="5">
        <f t="shared" si="8"/>
        <v>840</v>
      </c>
      <c r="T27">
        <v>5</v>
      </c>
      <c r="U27" s="2">
        <f t="shared" si="9"/>
        <v>-4</v>
      </c>
      <c r="V27">
        <f>SUMIF(KASA!$C$2:$C$9980, C27, KASA!$T$2:$T$9980)</f>
        <v>1</v>
      </c>
      <c r="W27">
        <f>SUMIF(KASA!$C$2:$C$9980, C27, KASA!$U$2:$U$9980)</f>
        <v>35</v>
      </c>
      <c r="X27" s="2">
        <f t="shared" si="10"/>
        <v>1</v>
      </c>
      <c r="Y27" s="2">
        <f t="shared" si="11"/>
        <v>35</v>
      </c>
      <c r="Z27">
        <f>SUMIF(KASA!$C$2:$C$9980, C27, KASA!$V$2:$V$9980)</f>
        <v>840</v>
      </c>
      <c r="AA27">
        <f t="shared" si="12"/>
        <v>805</v>
      </c>
    </row>
    <row r="28" spans="3:27" x14ac:dyDescent="0.25">
      <c r="C28" s="4" t="s">
        <v>150</v>
      </c>
      <c r="D28" s="5">
        <f>SUMIFS(KASA!$I:$I, KASA!$C:$C, $C28, KASA!$B:$B, "MAL ALIMI") + SUMIFS(KASA!$I:$I, KASA!$C:$C, $C28, KASA!$B:$B, "ÜRETİM GİRİŞ")</f>
        <v>3</v>
      </c>
      <c r="E28" s="5" cm="1">
        <f t="array" ref="E28">IFERROR(AVERAGE(IF((KASA!$C$2:$C$9980=$C28)*((KASA!$B$2:$B$9980="MAL ALIMI")+(KASA!$B$2:$B$9980="ÜRETİM GİRİŞ")),KASA!$J$2:$J$9980)),0)</f>
        <v>600</v>
      </c>
      <c r="F28" s="5">
        <f>SUMIFS(KASA!$I:$I, KASA!$C:$C, $C28, KASA!$B:$B, "MAL SATIŞI") + SUMIFS(KASA!$I:$I, KASA!$C:$C, $C28, KASA!$B:$B, "ÜRETİM ÇIKIŞ")</f>
        <v>0.15</v>
      </c>
      <c r="G28" s="5">
        <f>SUMIFS(KASA!$I:$I, KASA!$C:$C, $C28, KASA!$B:$B, "MAL İADE")</f>
        <v>1.85</v>
      </c>
      <c r="H28" s="5">
        <f>SUMIFS(KASA!$K:$K, KASA!$C:$C, $C28, KASA!$B:$B, "MAL İADE") + SUMIFS(KASA!$Q:$Q, KASA!$C:$C, $C28, KASA!$B:$B, "MAL İADE")</f>
        <v>1017.5</v>
      </c>
      <c r="I28" s="5">
        <f t="shared" si="0"/>
        <v>2</v>
      </c>
      <c r="J28" s="5">
        <f t="shared" si="1"/>
        <v>90</v>
      </c>
      <c r="K28" s="5">
        <f>SUMIFS(KASA!$Q:$Q, KASA!$C:$C, $C28, KASA!$B:$B, "MAL SATIŞI") + SUMIFS(KASA!$Q:$Q, KASA!$C:$C, $C28, KASA!$B:$B, "ÜRETİM ÇIKIŞ")</f>
        <v>200</v>
      </c>
      <c r="L28" s="5">
        <f>SUMIFS(KASA!$K:$K, KASA!$C:$C, $C28, KASA!$B:$B, "MAL SATIŞI") + SUMIFS(KASA!$K:$K, KASA!$C:$C, $C28, KASA!$B:$B, "ÜRETİM ÇIKIŞ")</f>
        <v>100</v>
      </c>
      <c r="M28" s="5">
        <f t="shared" si="2"/>
        <v>300</v>
      </c>
      <c r="N28" s="5">
        <f t="shared" si="3"/>
        <v>210</v>
      </c>
      <c r="O28" s="65">
        <f t="shared" si="4"/>
        <v>2.3333333333333335</v>
      </c>
      <c r="P28" s="5">
        <f t="shared" si="5"/>
        <v>2000</v>
      </c>
      <c r="Q28" s="5">
        <f t="shared" si="6"/>
        <v>1</v>
      </c>
      <c r="R28" s="5">
        <f t="shared" si="7"/>
        <v>600</v>
      </c>
      <c r="S28" s="5">
        <f t="shared" si="8"/>
        <v>1800</v>
      </c>
      <c r="T28">
        <v>2.5000000000000001E-2</v>
      </c>
      <c r="U28" s="2">
        <f t="shared" si="9"/>
        <v>0.97499999999999998</v>
      </c>
      <c r="V28">
        <f>SUMIF(KASA!$C$2:$C$9980, C28, KASA!$T$2:$T$9980)</f>
        <v>2.85</v>
      </c>
      <c r="W28">
        <f>SUMIF(KASA!$C$2:$C$9980, C28, KASA!$U$2:$U$9980)</f>
        <v>1667.5</v>
      </c>
      <c r="X28" s="2">
        <f t="shared" si="10"/>
        <v>1</v>
      </c>
      <c r="Y28" s="2">
        <f t="shared" si="11"/>
        <v>650</v>
      </c>
      <c r="Z28">
        <f>SUMIF(KASA!$C$2:$C$9980, C28, KASA!$V$2:$V$9980)</f>
        <v>1750</v>
      </c>
      <c r="AA28">
        <f t="shared" si="12"/>
        <v>82.5</v>
      </c>
    </row>
    <row r="29" spans="3:27" x14ac:dyDescent="0.25">
      <c r="C29" s="4" t="s">
        <v>151</v>
      </c>
      <c r="D29" s="5">
        <f>SUMIFS(KASA!$I:$I, KASA!$C:$C, $C29, KASA!$B:$B, "MAL ALIMI") + SUMIFS(KASA!$I:$I, KASA!$C:$C, $C29, KASA!$B:$B, "ÜRETİM GİRİŞ")</f>
        <v>5</v>
      </c>
      <c r="E29" s="5" cm="1">
        <f t="array" ref="E29">IFERROR(AVERAGE(IF((KASA!$C$2:$C$9980=$C29)*((KASA!$B$2:$B$9980="MAL ALIMI")+(KASA!$B$2:$B$9980="ÜRETİM GİRİŞ")),KASA!$J$2:$J$9980)),0)</f>
        <v>200</v>
      </c>
      <c r="F29" s="5">
        <f>SUMIFS(KASA!$I:$I, KASA!$C:$C, $C29, KASA!$B:$B, "MAL SATIŞI") + SUMIFS(KASA!$I:$I, KASA!$C:$C, $C29, KASA!$B:$B, "ÜRETİM ÇIKIŞ")</f>
        <v>1.3519999999999999</v>
      </c>
      <c r="G29" s="5">
        <f>SUMIFS(KASA!$I:$I, KASA!$C:$C, $C29, KASA!$B:$B, "MAL İADE")</f>
        <v>0</v>
      </c>
      <c r="H29" s="5">
        <f>SUMIFS(KASA!$K:$K, KASA!$C:$C, $C29, KASA!$B:$B, "MAL İADE") + SUMIFS(KASA!$Q:$Q, KASA!$C:$C, $C29, KASA!$B:$B, "MAL İADE")</f>
        <v>0</v>
      </c>
      <c r="I29" s="5">
        <f t="shared" si="0"/>
        <v>1.3519999999999999</v>
      </c>
      <c r="J29" s="5">
        <f t="shared" si="1"/>
        <v>270.39999999999998</v>
      </c>
      <c r="K29" s="5">
        <f>SUMIFS(KASA!$Q:$Q, KASA!$C:$C, $C29, KASA!$B:$B, "MAL SATIŞI") + SUMIFS(KASA!$Q:$Q, KASA!$C:$C, $C29, KASA!$B:$B, "ÜRETİM ÇIKIŞ")</f>
        <v>411.4</v>
      </c>
      <c r="L29" s="5">
        <f>SUMIFS(KASA!$K:$K, KASA!$C:$C, $C29, KASA!$B:$B, "MAL SATIŞI") + SUMIFS(KASA!$K:$K, KASA!$C:$C, $C29, KASA!$B:$B, "ÜRETİM ÇIKIŞ")</f>
        <v>129.4</v>
      </c>
      <c r="M29" s="5">
        <f t="shared" si="2"/>
        <v>540.79999999999995</v>
      </c>
      <c r="N29" s="5">
        <f t="shared" si="3"/>
        <v>270.39999999999998</v>
      </c>
      <c r="O29" s="65">
        <f t="shared" si="4"/>
        <v>1</v>
      </c>
      <c r="P29" s="5">
        <f t="shared" si="5"/>
        <v>400</v>
      </c>
      <c r="Q29" s="5">
        <f t="shared" si="6"/>
        <v>3.6480000000000001</v>
      </c>
      <c r="R29" s="5">
        <f t="shared" si="7"/>
        <v>729.6</v>
      </c>
      <c r="S29" s="5">
        <f t="shared" si="8"/>
        <v>1000</v>
      </c>
      <c r="U29" s="2">
        <f t="shared" si="9"/>
        <v>3.6480000000000001</v>
      </c>
      <c r="V29">
        <f>SUMIF(KASA!$C$2:$C$9980, C29, KASA!$T$2:$T$9980)</f>
        <v>3.6480000000000001</v>
      </c>
      <c r="W29">
        <f>SUMIF(KASA!$C$2:$C$9980, C29, KASA!$U$2:$U$9980)</f>
        <v>729.6</v>
      </c>
      <c r="X29" s="2">
        <f t="shared" si="10"/>
        <v>3.6480000000000001</v>
      </c>
      <c r="Y29" s="2">
        <f t="shared" si="11"/>
        <v>729.6</v>
      </c>
      <c r="Z29">
        <f>SUMIF(KASA!$C$2:$C$9980, C29, KASA!$V$2:$V$9980)</f>
        <v>1000</v>
      </c>
      <c r="AA29">
        <f t="shared" si="12"/>
        <v>270.39999999999998</v>
      </c>
    </row>
    <row r="30" spans="3:27" x14ac:dyDescent="0.25">
      <c r="C30" s="4" t="s">
        <v>74</v>
      </c>
      <c r="D30" s="5">
        <f>SUMIFS(KASA!$I:$I, KASA!$C:$C, $C30, KASA!$B:$B, "MAL ALIMI") + SUMIFS(KASA!$I:$I, KASA!$C:$C, $C30, KASA!$B:$B, "ÜRETİM GİRİŞ")</f>
        <v>3</v>
      </c>
      <c r="E30" s="5" cm="1">
        <f t="array" ref="E30">IFERROR(AVERAGE(IF((KASA!$C$2:$C$9980=$C30)*((KASA!$B$2:$B$9980="MAL ALIMI")+(KASA!$B$2:$B$9980="ÜRETİM GİRİŞ")),KASA!$J$2:$J$9980)),0)</f>
        <v>500</v>
      </c>
      <c r="F30" s="5">
        <f>SUMIFS(KASA!$I:$I, KASA!$C:$C, $C30, KASA!$B:$B, "MAL SATIŞI") + SUMIFS(KASA!$I:$I, KASA!$C:$C, $C30, KASA!$B:$B, "ÜRETİM ÇIKIŞ")</f>
        <v>1.1000000000000001</v>
      </c>
      <c r="G30" s="5">
        <f>SUMIFS(KASA!$I:$I, KASA!$C:$C, $C30, KASA!$B:$B, "MAL İADE")</f>
        <v>1</v>
      </c>
      <c r="H30" s="5">
        <f>SUMIFS(KASA!$K:$K, KASA!$C:$C, $C30, KASA!$B:$B, "MAL İADE") + SUMIFS(KASA!$Q:$Q, KASA!$C:$C, $C30, KASA!$B:$B, "MAL İADE")</f>
        <v>500</v>
      </c>
      <c r="I30" s="5">
        <f t="shared" si="0"/>
        <v>2.1</v>
      </c>
      <c r="J30" s="5">
        <f t="shared" si="1"/>
        <v>550</v>
      </c>
      <c r="K30" s="5">
        <f>SUMIFS(KASA!$Q:$Q, KASA!$C:$C, $C30, KASA!$B:$B, "MAL SATIŞI") + SUMIFS(KASA!$Q:$Q, KASA!$C:$C, $C30, KASA!$B:$B, "ÜRETİM ÇIKIŞ")</f>
        <v>600</v>
      </c>
      <c r="L30" s="5">
        <f>SUMIFS(KASA!$K:$K, KASA!$C:$C, $C30, KASA!$B:$B, "MAL SATIŞI") + SUMIFS(KASA!$K:$K, KASA!$C:$C, $C30, KASA!$B:$B, "ÜRETİM ÇIKIŞ")</f>
        <v>740</v>
      </c>
      <c r="M30" s="5">
        <f t="shared" si="2"/>
        <v>1340</v>
      </c>
      <c r="N30" s="5">
        <f t="shared" si="3"/>
        <v>790</v>
      </c>
      <c r="O30" s="65">
        <f t="shared" si="4"/>
        <v>1.4363636363636363</v>
      </c>
      <c r="P30" s="5">
        <f t="shared" si="5"/>
        <v>1218.181818181818</v>
      </c>
      <c r="Q30" s="5">
        <f t="shared" si="6"/>
        <v>0.89999999999999991</v>
      </c>
      <c r="R30" s="5">
        <f t="shared" si="7"/>
        <v>449.99999999999994</v>
      </c>
      <c r="S30" s="5">
        <f t="shared" si="8"/>
        <v>1500</v>
      </c>
      <c r="T30">
        <v>0.05</v>
      </c>
      <c r="U30" s="2">
        <f t="shared" si="9"/>
        <v>0.84999999999999987</v>
      </c>
      <c r="V30">
        <f>SUMIF(KASA!$C$2:$C$9980, C30, KASA!$T$2:$T$9980)</f>
        <v>1.9</v>
      </c>
      <c r="W30">
        <f>SUMIF(KASA!$C$2:$C$9980, C30, KASA!$U$2:$U$9980)</f>
        <v>950</v>
      </c>
      <c r="X30" s="2">
        <f t="shared" si="10"/>
        <v>0.89999999999999991</v>
      </c>
      <c r="Y30" s="2">
        <f t="shared" si="11"/>
        <v>450</v>
      </c>
      <c r="Z30">
        <f>SUMIF(KASA!$C$2:$C$9980, C30, KASA!$V$2:$V$9980)</f>
        <v>1500</v>
      </c>
      <c r="AA30">
        <f t="shared" si="12"/>
        <v>550</v>
      </c>
    </row>
    <row r="31" spans="3:27" x14ac:dyDescent="0.25">
      <c r="C31" s="4" t="s">
        <v>529</v>
      </c>
      <c r="D31" s="5">
        <f>SUMIFS(KASA!$I:$I, KASA!$C:$C, $C31, KASA!$B:$B, "MAL ALIMI") + SUMIFS(KASA!$I:$I, KASA!$C:$C, $C31, KASA!$B:$B, "ÜRETİM GİRİŞ")</f>
        <v>15</v>
      </c>
      <c r="E31" s="5" cm="1">
        <f t="array" ref="E31">IFERROR(AVERAGE(IF((KASA!$C$2:$C$9980=$C31)*((KASA!$B$2:$B$9980="MAL ALIMI")+(KASA!$B$2:$B$9980="ÜRETİM GİRİŞ")),KASA!$J$2:$J$9980)),0)</f>
        <v>125</v>
      </c>
      <c r="F31" s="5">
        <f>SUMIFS(KASA!$I:$I, KASA!$C:$C, $C31, KASA!$B:$B, "MAL SATIŞI") + SUMIFS(KASA!$I:$I, KASA!$C:$C, $C31, KASA!$B:$B, "ÜRETİM ÇIKIŞ")</f>
        <v>9.3393333333333324</v>
      </c>
      <c r="G31" s="5">
        <f>SUMIFS(KASA!$I:$I, KASA!$C:$C, $C31, KASA!$B:$B, "MAL İADE")</f>
        <v>0</v>
      </c>
      <c r="H31" s="5">
        <f>SUMIFS(KASA!$K:$K, KASA!$C:$C, $C31, KASA!$B:$B, "MAL İADE") + SUMIFS(KASA!$Q:$Q, KASA!$C:$C, $C31, KASA!$B:$B, "MAL İADE")</f>
        <v>0</v>
      </c>
      <c r="I31" s="5">
        <f t="shared" si="0"/>
        <v>9.3393333333333324</v>
      </c>
      <c r="J31" s="5">
        <f t="shared" si="1"/>
        <v>1167.4166666666665</v>
      </c>
      <c r="K31" s="5">
        <f>SUMIFS(KASA!$Q:$Q, KASA!$C:$C, $C31, KASA!$B:$B, "MAL SATIŞI") + SUMIFS(KASA!$Q:$Q, KASA!$C:$C, $C31, KASA!$B:$B, "ÜRETİM ÇIKIŞ")</f>
        <v>3207.96</v>
      </c>
      <c r="L31" s="5">
        <f>SUMIFS(KASA!$K:$K, KASA!$C:$C, $C31, KASA!$B:$B, "MAL SATIŞI") + SUMIFS(KASA!$K:$K, KASA!$C:$C, $C31, KASA!$B:$B, "ÜRETİM ÇIKIŞ")</f>
        <v>1749</v>
      </c>
      <c r="M31" s="5">
        <f t="shared" si="2"/>
        <v>4956.96</v>
      </c>
      <c r="N31" s="5">
        <f t="shared" si="3"/>
        <v>3789.5433333333335</v>
      </c>
      <c r="O31" s="65">
        <f t="shared" si="4"/>
        <v>3.2460932257834254</v>
      </c>
      <c r="P31" s="5">
        <f t="shared" si="5"/>
        <v>530.7616532229282</v>
      </c>
      <c r="Q31" s="5">
        <f t="shared" si="6"/>
        <v>5.6606666666666676</v>
      </c>
      <c r="R31" s="5">
        <f t="shared" si="7"/>
        <v>707.58333333333348</v>
      </c>
      <c r="S31" s="5">
        <f t="shared" si="8"/>
        <v>1875</v>
      </c>
      <c r="T31">
        <v>8.734</v>
      </c>
      <c r="U31" s="2">
        <f t="shared" si="9"/>
        <v>-3.0733333333333324</v>
      </c>
      <c r="V31">
        <f>SUMIF(KASA!$C$2:$C$9980, C31, KASA!$T$2:$T$9980)</f>
        <v>5.6606666666666676</v>
      </c>
      <c r="W31">
        <f>SUMIF(KASA!$C$2:$C$9980, C31, KASA!$U$2:$U$9980)</f>
        <v>707.58333333333348</v>
      </c>
      <c r="X31" s="2">
        <f t="shared" si="10"/>
        <v>5.6606666666666676</v>
      </c>
      <c r="Y31" s="2">
        <f t="shared" si="11"/>
        <v>707.58333333333348</v>
      </c>
      <c r="Z31">
        <f>SUMIF(KASA!$C$2:$C$9980, C31, KASA!$V$2:$V$9980)</f>
        <v>1875</v>
      </c>
      <c r="AA31">
        <f t="shared" si="12"/>
        <v>1167.4166666666665</v>
      </c>
    </row>
    <row r="32" spans="3:27" x14ac:dyDescent="0.25">
      <c r="C32" s="4" t="s">
        <v>523</v>
      </c>
      <c r="D32" s="5">
        <f>SUMIFS(KASA!$I:$I, KASA!$C:$C, $C32, KASA!$B:$B, "MAL ALIMI") + SUMIFS(KASA!$I:$I, KASA!$C:$C, $C32, KASA!$B:$B, "ÜRETİM GİRİŞ")</f>
        <v>20</v>
      </c>
      <c r="E32" s="5" cm="1">
        <f t="array" ref="E32">IFERROR(AVERAGE(IF((KASA!$C$2:$C$9980=$C32)*((KASA!$B$2:$B$9980="MAL ALIMI")+(KASA!$B$2:$B$9980="ÜRETİM GİRİŞ")),KASA!$J$2:$J$9980)),0)</f>
        <v>235</v>
      </c>
      <c r="F32" s="5">
        <f>SUMIFS(KASA!$I:$I, KASA!$C:$C, $C32, KASA!$B:$B, "MAL SATIŞI") + SUMIFS(KASA!$I:$I, KASA!$C:$C, $C32, KASA!$B:$B, "ÜRETİM ÇIKIŞ")</f>
        <v>9.6980000000000004</v>
      </c>
      <c r="G32" s="5">
        <f>SUMIFS(KASA!$I:$I, KASA!$C:$C, $C32, KASA!$B:$B, "MAL İADE")</f>
        <v>0</v>
      </c>
      <c r="H32" s="5">
        <f>SUMIFS(KASA!$K:$K, KASA!$C:$C, $C32, KASA!$B:$B, "MAL İADE") + SUMIFS(KASA!$Q:$Q, KASA!$C:$C, $C32, KASA!$B:$B, "MAL İADE")</f>
        <v>0</v>
      </c>
      <c r="I32" s="5">
        <f t="shared" si="0"/>
        <v>9.6980000000000004</v>
      </c>
      <c r="J32" s="5">
        <f t="shared" si="1"/>
        <v>2279.0300000000002</v>
      </c>
      <c r="K32" s="5">
        <f>SUMIFS(KASA!$Q:$Q, KASA!$C:$C, $C32, KASA!$B:$B, "MAL SATIŞI") + SUMIFS(KASA!$Q:$Q, KASA!$C:$C, $C32, KASA!$B:$B, "ÜRETİM ÇIKIŞ")</f>
        <v>3624.17</v>
      </c>
      <c r="L32" s="5">
        <f>SUMIFS(KASA!$K:$K, KASA!$C:$C, $C32, KASA!$B:$B, "MAL SATIŞI") + SUMIFS(KASA!$K:$K, KASA!$C:$C, $C32, KASA!$B:$B, "ÜRETİM ÇIKIŞ")</f>
        <v>2643</v>
      </c>
      <c r="M32" s="5">
        <f t="shared" si="2"/>
        <v>6267.17</v>
      </c>
      <c r="N32" s="5">
        <f t="shared" si="3"/>
        <v>3988.14</v>
      </c>
      <c r="O32" s="65">
        <f t="shared" si="4"/>
        <v>1.7499286977354398</v>
      </c>
      <c r="P32" s="5">
        <f t="shared" si="5"/>
        <v>646.23324396782834</v>
      </c>
      <c r="Q32" s="5">
        <f t="shared" si="6"/>
        <v>10.302</v>
      </c>
      <c r="R32" s="5">
        <f t="shared" si="7"/>
        <v>2420.9699999999998</v>
      </c>
      <c r="S32" s="5">
        <f t="shared" si="8"/>
        <v>4700</v>
      </c>
      <c r="T32">
        <v>12.632</v>
      </c>
      <c r="U32" s="2">
        <f t="shared" si="9"/>
        <v>-2.33</v>
      </c>
      <c r="V32">
        <f>SUMIF(KASA!$C$2:$C$9980, C32, KASA!$T$2:$T$9980)</f>
        <v>10.302</v>
      </c>
      <c r="W32">
        <f>SUMIF(KASA!$C$2:$C$9980, C32, KASA!$U$2:$U$9980)</f>
        <v>2566.44</v>
      </c>
      <c r="X32" s="2">
        <f t="shared" si="10"/>
        <v>10.302</v>
      </c>
      <c r="Y32" s="2">
        <f t="shared" si="11"/>
        <v>2566.44</v>
      </c>
      <c r="Z32">
        <f>SUMIF(KASA!$C$2:$C$9980, C32, KASA!$V$2:$V$9980)</f>
        <v>4700</v>
      </c>
      <c r="AA32">
        <f t="shared" si="12"/>
        <v>2133.56</v>
      </c>
    </row>
    <row r="33" spans="3:27" x14ac:dyDescent="0.25">
      <c r="C33" s="4" t="s">
        <v>524</v>
      </c>
      <c r="D33" s="5">
        <f>SUMIFS(KASA!$I:$I, KASA!$C:$C, $C33, KASA!$B:$B, "MAL ALIMI") + SUMIFS(KASA!$I:$I, KASA!$C:$C, $C33, KASA!$B:$B, "ÜRETİM GİRİŞ")</f>
        <v>10</v>
      </c>
      <c r="E33" s="5" cm="1">
        <f t="array" ref="E33">IFERROR(AVERAGE(IF((KASA!$C$2:$C$9980=$C33)*((KASA!$B$2:$B$9980="MAL ALIMI")+(KASA!$B$2:$B$9980="ÜRETİM GİRİŞ")),KASA!$J$2:$J$9980)),0)</f>
        <v>125</v>
      </c>
      <c r="F33" s="5">
        <f>SUMIFS(KASA!$I:$I, KASA!$C:$C, $C33, KASA!$B:$B, "MAL SATIŞI") + SUMIFS(KASA!$I:$I, KASA!$C:$C, $C33, KASA!$B:$B, "ÜRETİM ÇIKIŞ")</f>
        <v>3.9100000000000019</v>
      </c>
      <c r="G33" s="5">
        <f>SUMIFS(KASA!$I:$I, KASA!$C:$C, $C33, KASA!$B:$B, "MAL İADE")</f>
        <v>0</v>
      </c>
      <c r="H33" s="5">
        <f>SUMIFS(KASA!$K:$K, KASA!$C:$C, $C33, KASA!$B:$B, "MAL İADE") + SUMIFS(KASA!$Q:$Q, KASA!$C:$C, $C33, KASA!$B:$B, "MAL İADE")</f>
        <v>0</v>
      </c>
      <c r="I33" s="5">
        <f t="shared" si="0"/>
        <v>3.9100000000000019</v>
      </c>
      <c r="J33" s="5">
        <f t="shared" si="1"/>
        <v>488.75000000000023</v>
      </c>
      <c r="K33" s="5">
        <f>SUMIFS(KASA!$Q:$Q, KASA!$C:$C, $C33, KASA!$B:$B, "MAL SATIŞI") + SUMIFS(KASA!$Q:$Q, KASA!$C:$C, $C33, KASA!$B:$B, "ÜRETİM ÇIKIŞ")</f>
        <v>790.4</v>
      </c>
      <c r="L33" s="5">
        <f>SUMIFS(KASA!$K:$K, KASA!$C:$C, $C33, KASA!$B:$B, "MAL SATIŞI") + SUMIFS(KASA!$K:$K, KASA!$C:$C, $C33, KASA!$B:$B, "ÜRETİM ÇIKIŞ")</f>
        <v>455</v>
      </c>
      <c r="M33" s="5">
        <f t="shared" si="2"/>
        <v>1245.4000000000001</v>
      </c>
      <c r="N33" s="5">
        <f t="shared" si="3"/>
        <v>756.64999999999986</v>
      </c>
      <c r="O33" s="65">
        <f t="shared" si="4"/>
        <v>1.5481329923273648</v>
      </c>
      <c r="P33" s="5">
        <f t="shared" si="5"/>
        <v>318.51662404092059</v>
      </c>
      <c r="Q33" s="5">
        <f t="shared" si="6"/>
        <v>6.0899999999999981</v>
      </c>
      <c r="R33" s="5">
        <f t="shared" si="7"/>
        <v>761.24999999999977</v>
      </c>
      <c r="S33" s="5">
        <f t="shared" si="8"/>
        <v>1250</v>
      </c>
      <c r="T33">
        <v>6.69</v>
      </c>
      <c r="U33" s="2">
        <f t="shared" si="9"/>
        <v>-0.60000000000000231</v>
      </c>
      <c r="V33">
        <f>SUMIF(KASA!$C$2:$C$9980, C33, KASA!$T$2:$T$9980)</f>
        <v>6.0899999999999981</v>
      </c>
      <c r="W33">
        <f>SUMIF(KASA!$C$2:$C$9980, C33, KASA!$U$2:$U$9980)</f>
        <v>761.24999999999977</v>
      </c>
      <c r="X33" s="2">
        <f t="shared" si="10"/>
        <v>6.0899999999999981</v>
      </c>
      <c r="Y33" s="2">
        <f t="shared" si="11"/>
        <v>761.24999999999977</v>
      </c>
      <c r="Z33">
        <f>SUMIF(KASA!$C$2:$C$9980, C33, KASA!$V$2:$V$9980)</f>
        <v>1250</v>
      </c>
      <c r="AA33">
        <f t="shared" si="12"/>
        <v>488.75000000000023</v>
      </c>
    </row>
    <row r="34" spans="3:27" x14ac:dyDescent="0.25">
      <c r="C34" s="4" t="s">
        <v>152</v>
      </c>
      <c r="D34" s="5">
        <f>SUMIFS(KASA!$I:$I, KASA!$C:$C, $C34, KASA!$B:$B, "MAL ALIMI") + SUMIFS(KASA!$I:$I, KASA!$C:$C, $C34, KASA!$B:$B, "ÜRETİM GİRİŞ")</f>
        <v>28</v>
      </c>
      <c r="E34" s="5" cm="1">
        <f t="array" ref="E34">IFERROR(AVERAGE(IF((KASA!$C$2:$C$9980=$C34)*((KASA!$B$2:$B$9980="MAL ALIMI")+(KASA!$B$2:$B$9980="ÜRETİM GİRİŞ")),KASA!$J$2:$J$9980)),0)</f>
        <v>95</v>
      </c>
      <c r="F34" s="5">
        <f>SUMIFS(KASA!$I:$I, KASA!$C:$C, $C34, KASA!$B:$B, "MAL SATIŞI") + SUMIFS(KASA!$I:$I, KASA!$C:$C, $C34, KASA!$B:$B, "ÜRETİM ÇIKIŞ")</f>
        <v>15.099999999999991</v>
      </c>
      <c r="G34" s="5">
        <f>SUMIFS(KASA!$I:$I, KASA!$C:$C, $C34, KASA!$B:$B, "MAL İADE")</f>
        <v>11</v>
      </c>
      <c r="H34" s="5">
        <f>SUMIFS(KASA!$K:$K, KASA!$C:$C, $C34, KASA!$B:$B, "MAL İADE") + SUMIFS(KASA!$Q:$Q, KASA!$C:$C, $C34, KASA!$B:$B, "MAL İADE")</f>
        <v>880</v>
      </c>
      <c r="I34" s="5">
        <f t="shared" si="0"/>
        <v>26.099999999999991</v>
      </c>
      <c r="J34" s="5">
        <f t="shared" si="1"/>
        <v>1434.4999999999991</v>
      </c>
      <c r="K34" s="5">
        <f>SUMIFS(KASA!$Q:$Q, KASA!$C:$C, $C34, KASA!$B:$B, "MAL SATIŞI") + SUMIFS(KASA!$Q:$Q, KASA!$C:$C, $C34, KASA!$B:$B, "ÜRETİM ÇIKIŞ")</f>
        <v>2180</v>
      </c>
      <c r="L34" s="5">
        <f>SUMIFS(KASA!$K:$K, KASA!$C:$C, $C34, KASA!$B:$B, "MAL SATIŞI") + SUMIFS(KASA!$K:$K, KASA!$C:$C, $C34, KASA!$B:$B, "ÜRETİM ÇIKIŞ")</f>
        <v>655</v>
      </c>
      <c r="M34" s="5">
        <f t="shared" si="2"/>
        <v>2835</v>
      </c>
      <c r="N34" s="5">
        <f t="shared" si="3"/>
        <v>1400.5000000000009</v>
      </c>
      <c r="O34" s="65">
        <f t="shared" si="4"/>
        <v>0.97629836179853735</v>
      </c>
      <c r="P34" s="5">
        <f t="shared" si="5"/>
        <v>187.74834437086105</v>
      </c>
      <c r="Q34" s="5">
        <f t="shared" si="6"/>
        <v>1.9000000000000092</v>
      </c>
      <c r="R34" s="5">
        <f t="shared" si="7"/>
        <v>180.50000000000088</v>
      </c>
      <c r="S34" s="5">
        <f t="shared" si="8"/>
        <v>2660</v>
      </c>
      <c r="U34" s="2">
        <f t="shared" si="9"/>
        <v>1.9000000000000092</v>
      </c>
      <c r="V34">
        <f>SUMIF(KASA!$C$2:$C$9980, C34, KASA!$T$2:$T$9980)</f>
        <v>12.900000000000009</v>
      </c>
      <c r="W34">
        <f>SUMIF(KASA!$C$2:$C$9980, C34, KASA!$U$2:$U$9980)</f>
        <v>1122.0000000000007</v>
      </c>
      <c r="X34" s="2">
        <f t="shared" si="10"/>
        <v>1.9000000000000092</v>
      </c>
      <c r="Y34" s="2">
        <f t="shared" si="11"/>
        <v>242.00000000000068</v>
      </c>
      <c r="Z34">
        <f>SUMIF(KASA!$C$2:$C$9980, C34, KASA!$V$2:$V$9980)</f>
        <v>2330</v>
      </c>
      <c r="AA34">
        <f t="shared" si="12"/>
        <v>1207.9999999999993</v>
      </c>
    </row>
    <row r="35" spans="3:27" x14ac:dyDescent="0.25">
      <c r="C35" s="4" t="s">
        <v>153</v>
      </c>
      <c r="D35" s="5">
        <f>SUMIFS(KASA!$I:$I, KASA!$C:$C, $C35, KASA!$B:$B, "MAL ALIMI") + SUMIFS(KASA!$I:$I, KASA!$C:$C, $C35, KASA!$B:$B, "ÜRETİM GİRİŞ")</f>
        <v>10</v>
      </c>
      <c r="E35" s="5" cm="1">
        <f t="array" ref="E35">IFERROR(AVERAGE(IF((KASA!$C$2:$C$9980=$C35)*((KASA!$B$2:$B$9980="MAL ALIMI")+(KASA!$B$2:$B$9980="ÜRETİM GİRİŞ")),KASA!$J$2:$J$9980)),0)</f>
        <v>70</v>
      </c>
      <c r="F35" s="5">
        <f>SUMIFS(KASA!$I:$I, KASA!$C:$C, $C35, KASA!$B:$B, "MAL SATIŞI") + SUMIFS(KASA!$I:$I, KASA!$C:$C, $C35, KASA!$B:$B, "ÜRETİM ÇIKIŞ")</f>
        <v>1.8000000000000003</v>
      </c>
      <c r="G35" s="5">
        <f>SUMIFS(KASA!$I:$I, KASA!$C:$C, $C35, KASA!$B:$B, "MAL İADE")</f>
        <v>7.86</v>
      </c>
      <c r="H35" s="5">
        <f>SUMIFS(KASA!$K:$K, KASA!$C:$C, $C35, KASA!$B:$B, "MAL İADE") + SUMIFS(KASA!$Q:$Q, KASA!$C:$C, $C35, KASA!$B:$B, "MAL İADE")</f>
        <v>550.20000000000005</v>
      </c>
      <c r="I35" s="5">
        <f t="shared" si="0"/>
        <v>9.66</v>
      </c>
      <c r="J35" s="5">
        <f t="shared" si="1"/>
        <v>126.00000000000001</v>
      </c>
      <c r="K35" s="5">
        <f>SUMIFS(KASA!$Q:$Q, KASA!$C:$C, $C35, KASA!$B:$B, "MAL SATIŞI") + SUMIFS(KASA!$Q:$Q, KASA!$C:$C, $C35, KASA!$B:$B, "ÜRETİM ÇIKIŞ")</f>
        <v>325.15999999999997</v>
      </c>
      <c r="L35" s="5">
        <f>SUMIFS(KASA!$K:$K, KASA!$C:$C, $C35, KASA!$B:$B, "MAL SATIŞI") + SUMIFS(KASA!$K:$K, KASA!$C:$C, $C35, KASA!$B:$B, "ÜRETİM ÇIKIŞ")</f>
        <v>205.2</v>
      </c>
      <c r="M35" s="5">
        <f t="shared" si="2"/>
        <v>530.3599999999999</v>
      </c>
      <c r="N35" s="5">
        <f t="shared" si="3"/>
        <v>404.3599999999999</v>
      </c>
      <c r="O35" s="65">
        <f t="shared" si="4"/>
        <v>3.2092063492063478</v>
      </c>
      <c r="P35" s="5">
        <f t="shared" si="5"/>
        <v>294.64444444444433</v>
      </c>
      <c r="Q35" s="5">
        <f t="shared" si="6"/>
        <v>0.33999999999999897</v>
      </c>
      <c r="R35" s="5">
        <f t="shared" si="7"/>
        <v>23.799999999999926</v>
      </c>
      <c r="S35" s="5">
        <f t="shared" si="8"/>
        <v>700</v>
      </c>
      <c r="U35" s="2">
        <f t="shared" si="9"/>
        <v>0.33999999999999897</v>
      </c>
      <c r="V35">
        <f>SUMIF(KASA!$C$2:$C$9980, C35, KASA!$T$2:$T$9980)</f>
        <v>8.1999999999999993</v>
      </c>
      <c r="W35">
        <f>SUMIF(KASA!$C$2:$C$9980, C35, KASA!$U$2:$U$9980)</f>
        <v>574</v>
      </c>
      <c r="X35" s="2">
        <f t="shared" si="10"/>
        <v>0.33999999999999897</v>
      </c>
      <c r="Y35" s="2">
        <f t="shared" si="11"/>
        <v>23.799999999999955</v>
      </c>
      <c r="Z35">
        <f>SUMIF(KASA!$C$2:$C$9980, C35, KASA!$V$2:$V$9980)</f>
        <v>700</v>
      </c>
      <c r="AA35">
        <f t="shared" si="12"/>
        <v>126</v>
      </c>
    </row>
    <row r="36" spans="3:27" x14ac:dyDescent="0.25">
      <c r="C36" s="4" t="s">
        <v>154</v>
      </c>
      <c r="D36" s="5">
        <f>SUMIFS(KASA!$I:$I, KASA!$C:$C, $C36, KASA!$B:$B, "MAL ALIMI") + SUMIFS(KASA!$I:$I, KASA!$C:$C, $C36, KASA!$B:$B, "ÜRETİM GİRİŞ")</f>
        <v>25</v>
      </c>
      <c r="E36" s="5" cm="1">
        <f t="array" ref="E36">IFERROR(AVERAGE(IF((KASA!$C$2:$C$9980=$C36)*((KASA!$B$2:$B$9980="MAL ALIMI")+(KASA!$B$2:$B$9980="ÜRETİM GİRİŞ")),KASA!$J$2:$J$9980)),0)</f>
        <v>150</v>
      </c>
      <c r="F36" s="5">
        <f>SUMIFS(KASA!$I:$I, KASA!$C:$C, $C36, KASA!$B:$B, "MAL SATIŞI") + SUMIFS(KASA!$I:$I, KASA!$C:$C, $C36, KASA!$B:$B, "ÜRETİM ÇIKIŞ")</f>
        <v>7.2166666666666641</v>
      </c>
      <c r="G36" s="5">
        <f>SUMIFS(KASA!$I:$I, KASA!$C:$C, $C36, KASA!$B:$B, "MAL İADE")</f>
        <v>0</v>
      </c>
      <c r="H36" s="5">
        <f>SUMIFS(KASA!$K:$K, KASA!$C:$C, $C36, KASA!$B:$B, "MAL İADE") + SUMIFS(KASA!$Q:$Q, KASA!$C:$C, $C36, KASA!$B:$B, "MAL İADE")</f>
        <v>0</v>
      </c>
      <c r="I36" s="5">
        <f t="shared" si="0"/>
        <v>7.2166666666666641</v>
      </c>
      <c r="J36" s="5">
        <f t="shared" si="1"/>
        <v>1082.4999999999995</v>
      </c>
      <c r="K36" s="5">
        <f>SUMIFS(KASA!$Q:$Q, KASA!$C:$C, $C36, KASA!$B:$B, "MAL SATIŞI") + SUMIFS(KASA!$Q:$Q, KASA!$C:$C, $C36, KASA!$B:$B, "ÜRETİM ÇIKIŞ")</f>
        <v>1190.75</v>
      </c>
      <c r="L36" s="5">
        <f>SUMIFS(KASA!$K:$K, KASA!$C:$C, $C36, KASA!$B:$B, "MAL SATIŞI") + SUMIFS(KASA!$K:$K, KASA!$C:$C, $C36, KASA!$B:$B, "ÜRETİM ÇIKIŞ")</f>
        <v>1075</v>
      </c>
      <c r="M36" s="5">
        <f t="shared" si="2"/>
        <v>2265.75</v>
      </c>
      <c r="N36" s="5">
        <f t="shared" si="3"/>
        <v>1183.2500000000005</v>
      </c>
      <c r="O36" s="65">
        <f t="shared" si="4"/>
        <v>1.0930715935334883</v>
      </c>
      <c r="P36" s="5">
        <f t="shared" si="5"/>
        <v>313.96073903002321</v>
      </c>
      <c r="Q36" s="5">
        <f t="shared" si="6"/>
        <v>17.783333333333335</v>
      </c>
      <c r="R36" s="5">
        <f t="shared" si="7"/>
        <v>2667.5000000000005</v>
      </c>
      <c r="S36" s="5">
        <f t="shared" si="8"/>
        <v>3750</v>
      </c>
      <c r="T36">
        <v>19.760000000000002</v>
      </c>
      <c r="U36" s="2">
        <f t="shared" si="9"/>
        <v>-1.9766666666666666</v>
      </c>
      <c r="V36">
        <f>SUMIF(KASA!$C$2:$C$9980, C36, KASA!$T$2:$T$9980)</f>
        <v>17.783333333333335</v>
      </c>
      <c r="W36">
        <f>SUMIF(KASA!$C$2:$C$9980, C36, KASA!$U$2:$U$9980)</f>
        <v>2667.5000000000005</v>
      </c>
      <c r="X36" s="2">
        <f t="shared" si="10"/>
        <v>17.783333333333335</v>
      </c>
      <c r="Y36" s="2">
        <f t="shared" si="11"/>
        <v>2667.5000000000005</v>
      </c>
      <c r="Z36">
        <f>SUMIF(KASA!$C$2:$C$9980, C36, KASA!$V$2:$V$9980)</f>
        <v>3750</v>
      </c>
      <c r="AA36">
        <f t="shared" si="12"/>
        <v>1082.4999999999995</v>
      </c>
    </row>
    <row r="37" spans="3:27" x14ac:dyDescent="0.25">
      <c r="C37" s="4" t="s">
        <v>156</v>
      </c>
      <c r="D37" s="5">
        <f>SUMIFS(KASA!$I:$I, KASA!$C:$C, $C37, KASA!$B:$B, "MAL ALIMI") + SUMIFS(KASA!$I:$I, KASA!$C:$C, $C37, KASA!$B:$B, "ÜRETİM GİRİŞ")</f>
        <v>193.5</v>
      </c>
      <c r="E37" s="5" cm="1">
        <f t="array" ref="E37">IFERROR(AVERAGE(IF((KASA!$C$2:$C$9980=$C37)*((KASA!$B$2:$B$9980="MAL ALIMI")+(KASA!$B$2:$B$9980="ÜRETİM GİRİŞ")),KASA!$J$2:$J$9980)),0)</f>
        <v>98.191199999999995</v>
      </c>
      <c r="F37" s="5">
        <f>SUMIFS(KASA!$I:$I, KASA!$C:$C, $C37, KASA!$B:$B, "MAL SATIŞI") + SUMIFS(KASA!$I:$I, KASA!$C:$C, $C37, KASA!$B:$B, "ÜRETİM ÇIKIŞ")</f>
        <v>114.97499999999999</v>
      </c>
      <c r="G37" s="5">
        <f>SUMIFS(KASA!$I:$I, KASA!$C:$C, $C37, KASA!$B:$B, "MAL İADE")</f>
        <v>0</v>
      </c>
      <c r="H37" s="5">
        <f>SUMIFS(KASA!$K:$K, KASA!$C:$C, $C37, KASA!$B:$B, "MAL İADE") + SUMIFS(KASA!$Q:$Q, KASA!$C:$C, $C37, KASA!$B:$B, "MAL İADE")</f>
        <v>0</v>
      </c>
      <c r="I37" s="5">
        <f t="shared" si="0"/>
        <v>114.97499999999999</v>
      </c>
      <c r="J37" s="5">
        <f t="shared" si="1"/>
        <v>11289.533219999999</v>
      </c>
      <c r="K37" s="5">
        <f>SUMIFS(KASA!$Q:$Q, KASA!$C:$C, $C37, KASA!$B:$B, "MAL SATIŞI") + SUMIFS(KASA!$Q:$Q, KASA!$C:$C, $C37, KASA!$B:$B, "ÜRETİM ÇIKIŞ")</f>
        <v>12129.788433599999</v>
      </c>
      <c r="L37" s="5">
        <f>SUMIFS(KASA!$K:$K, KASA!$C:$C, $C37, KASA!$B:$B, "MAL SATIŞI") + SUMIFS(KASA!$K:$K, KASA!$C:$C, $C37, KASA!$B:$B, "ÜRETİM ÇIKIŞ")</f>
        <v>8518.0191799999993</v>
      </c>
      <c r="M37" s="5">
        <f t="shared" si="2"/>
        <v>20647.807613599998</v>
      </c>
      <c r="N37" s="5">
        <f t="shared" si="3"/>
        <v>9358.2743935999988</v>
      </c>
      <c r="O37" s="65">
        <f t="shared" si="4"/>
        <v>0.8289336867374929</v>
      </c>
      <c r="P37" s="5">
        <f t="shared" si="5"/>
        <v>179.5851934211785</v>
      </c>
      <c r="Q37" s="5">
        <f t="shared" si="6"/>
        <v>78.525000000000006</v>
      </c>
      <c r="R37" s="5">
        <f t="shared" si="7"/>
        <v>7710.4639800000004</v>
      </c>
      <c r="S37" s="5">
        <f t="shared" si="8"/>
        <v>18999.997199999998</v>
      </c>
      <c r="T37">
        <f>96.75+6</f>
        <v>102.75</v>
      </c>
      <c r="U37" s="2">
        <f t="shared" si="9"/>
        <v>-24.224999999999994</v>
      </c>
      <c r="V37">
        <f>SUMIF(KASA!$C$2:$C$9980, C37, KASA!$T$2:$T$9980)</f>
        <v>78.525000000000006</v>
      </c>
      <c r="W37">
        <f>SUMIF(KASA!$C$2:$C$9980, C37, KASA!$U$2:$U$9980)</f>
        <v>7710.4639800000004</v>
      </c>
      <c r="X37" s="2">
        <f t="shared" si="10"/>
        <v>78.525000000000006</v>
      </c>
      <c r="Y37" s="2">
        <f t="shared" si="11"/>
        <v>7710.4639800000004</v>
      </c>
      <c r="Z37">
        <f>SUMIF(KASA!$C$2:$C$9980, C37, KASA!$V$2:$V$9980)</f>
        <v>18999.997199999998</v>
      </c>
      <c r="AA37">
        <f t="shared" si="12"/>
        <v>11289.533219999998</v>
      </c>
    </row>
    <row r="38" spans="3:27" x14ac:dyDescent="0.25">
      <c r="C38" s="4" t="s">
        <v>157</v>
      </c>
      <c r="D38" s="5">
        <f>SUMIFS(KASA!$I:$I, KASA!$C:$C, $C38, KASA!$B:$B, "MAL ALIMI") + SUMIFS(KASA!$I:$I, KASA!$C:$C, $C38, KASA!$B:$B, "ÜRETİM GİRİŞ")</f>
        <v>290.25</v>
      </c>
      <c r="E38" s="5" cm="1">
        <f t="array" ref="E38">IFERROR(AVERAGE(IF((KASA!$C$2:$C$9980=$C38)*((KASA!$B$2:$B$9980="MAL ALIMI")+(KASA!$B$2:$B$9980="ÜRETİM GİRİŞ")),KASA!$J$2:$J$9980)),0)</f>
        <v>98.191199999999995</v>
      </c>
      <c r="F38" s="5">
        <f>SUMIFS(KASA!$I:$I, KASA!$C:$C, $C38, KASA!$B:$B, "MAL SATIŞI") + SUMIFS(KASA!$I:$I, KASA!$C:$C, $C38, KASA!$B:$B, "ÜRETİM ÇIKIŞ")</f>
        <v>278.226</v>
      </c>
      <c r="G38" s="5">
        <f>SUMIFS(KASA!$I:$I, KASA!$C:$C, $C38, KASA!$B:$B, "MAL İADE")</f>
        <v>0</v>
      </c>
      <c r="H38" s="5">
        <f>SUMIFS(KASA!$K:$K, KASA!$C:$C, $C38, KASA!$B:$B, "MAL İADE") + SUMIFS(KASA!$Q:$Q, KASA!$C:$C, $C38, KASA!$B:$B, "MAL İADE")</f>
        <v>0</v>
      </c>
      <c r="I38" s="5">
        <f t="shared" si="0"/>
        <v>278.226</v>
      </c>
      <c r="J38" s="5">
        <f t="shared" si="1"/>
        <v>27319.344811199997</v>
      </c>
      <c r="K38" s="5">
        <f>SUMIFS(KASA!$Q:$Q, KASA!$C:$C, $C38, KASA!$B:$B, "MAL SATIŞI") + SUMIFS(KASA!$Q:$Q, KASA!$C:$C, $C38, KASA!$B:$B, "ÜRETİM ÇIKIŞ")</f>
        <v>28032.484227799996</v>
      </c>
      <c r="L38" s="5">
        <f>SUMIFS(KASA!$K:$K, KASA!$C:$C, $C38, KASA!$B:$B, "MAL SATIŞI") + SUMIFS(KASA!$K:$K, KASA!$C:$C, $C38, KASA!$B:$B, "ÜRETİM ÇIKIŞ")</f>
        <v>18668</v>
      </c>
      <c r="M38" s="5">
        <f t="shared" si="2"/>
        <v>46700.4842278</v>
      </c>
      <c r="N38" s="5">
        <f t="shared" si="3"/>
        <v>19381.139416600003</v>
      </c>
      <c r="O38" s="65">
        <f t="shared" si="4"/>
        <v>0.70942914445936489</v>
      </c>
      <c r="P38" s="5">
        <f t="shared" si="5"/>
        <v>167.85089900943836</v>
      </c>
      <c r="Q38" s="5">
        <f t="shared" si="6"/>
        <v>12.024000000000001</v>
      </c>
      <c r="R38" s="5">
        <f t="shared" si="7"/>
        <v>1180.6509888000001</v>
      </c>
      <c r="S38" s="5">
        <f t="shared" si="8"/>
        <v>28499.995799999997</v>
      </c>
      <c r="T38">
        <f>116.1+6.784</f>
        <v>122.884</v>
      </c>
      <c r="U38" s="2">
        <f t="shared" si="9"/>
        <v>-110.86</v>
      </c>
      <c r="V38">
        <f>SUMIF(KASA!$C$2:$C$9980, C38, KASA!$T$2:$T$9980)</f>
        <v>12.024000000000001</v>
      </c>
      <c r="W38">
        <f>SUMIF(KASA!$C$2:$C$9980, C38, KASA!$U$2:$U$9980)</f>
        <v>1180.6509888000001</v>
      </c>
      <c r="X38" s="2">
        <f t="shared" si="10"/>
        <v>12.024000000000001</v>
      </c>
      <c r="Y38" s="2">
        <f t="shared" si="11"/>
        <v>1180.6509888000001</v>
      </c>
      <c r="Z38">
        <f>SUMIF(KASA!$C$2:$C$9980, C38, KASA!$V$2:$V$9980)</f>
        <v>28499.995799999997</v>
      </c>
      <c r="AA38">
        <f t="shared" si="12"/>
        <v>27319.344811199997</v>
      </c>
    </row>
    <row r="39" spans="3:27" x14ac:dyDescent="0.25">
      <c r="C39" s="4" t="s">
        <v>158</v>
      </c>
      <c r="D39" s="5">
        <f>SUMIFS(KASA!$I:$I, KASA!$C:$C, $C39, KASA!$B:$B, "MAL ALIMI") + SUMIFS(KASA!$I:$I, KASA!$C:$C, $C39, KASA!$B:$B, "ÜRETİM GİRİŞ")</f>
        <v>483.75</v>
      </c>
      <c r="E39" s="5" cm="1">
        <f t="array" ref="E39">IFERROR(AVERAGE(IF((KASA!$C$2:$C$9980=$C39)*((KASA!$B$2:$B$9980="MAL ALIMI")+(KASA!$B$2:$B$9980="ÜRETİM GİRİŞ")),KASA!$J$2:$J$9980)),0)</f>
        <v>65.891435000000001</v>
      </c>
      <c r="F39" s="5">
        <f>SUMIFS(KASA!$I:$I, KASA!$C:$C, $C39, KASA!$B:$B, "MAL SATIŞI") + SUMIFS(KASA!$I:$I, KASA!$C:$C, $C39, KASA!$B:$B, "ÜRETİM ÇIKIŞ")</f>
        <v>279.9133333333333</v>
      </c>
      <c r="G39" s="5">
        <f>SUMIFS(KASA!$I:$I, KASA!$C:$C, $C39, KASA!$B:$B, "MAL İADE")</f>
        <v>193.5</v>
      </c>
      <c r="H39" s="5">
        <f>SUMIFS(KASA!$K:$K, KASA!$C:$C, $C39, KASA!$B:$B, "MAL İADE") + SUMIFS(KASA!$Q:$Q, KASA!$C:$C, $C39, KASA!$B:$B, "MAL İADE")</f>
        <v>12000</v>
      </c>
      <c r="I39" s="5">
        <f t="shared" si="0"/>
        <v>473.4133333333333</v>
      </c>
      <c r="J39" s="5">
        <f t="shared" si="1"/>
        <v>18443.891208966666</v>
      </c>
      <c r="K39" s="5">
        <f>SUMIFS(KASA!$Q:$Q, KASA!$C:$C, $C39, KASA!$B:$B, "MAL SATIŞI") + SUMIFS(KASA!$Q:$Q, KASA!$C:$C, $C39, KASA!$B:$B, "ÜRETİM ÇIKIŞ")</f>
        <v>25804.570081718335</v>
      </c>
      <c r="L39" s="5">
        <f>SUMIFS(KASA!$K:$K, KASA!$C:$C, $C39, KASA!$B:$B, "MAL SATIŞI") + SUMIFS(KASA!$K:$K, KASA!$C:$C, $C39, KASA!$B:$B, "ÜRETİM ÇIKIŞ")</f>
        <v>10967.06</v>
      </c>
      <c r="M39" s="5">
        <f t="shared" si="2"/>
        <v>36771.630081718336</v>
      </c>
      <c r="N39" s="5">
        <f t="shared" si="3"/>
        <v>18327.73887275167</v>
      </c>
      <c r="O39" s="65">
        <f t="shared" si="4"/>
        <v>0.99370239528638471</v>
      </c>
      <c r="P39" s="5">
        <f t="shared" si="5"/>
        <v>131.36791178835713</v>
      </c>
      <c r="Q39" s="5">
        <f t="shared" si="6"/>
        <v>10.336666666666702</v>
      </c>
      <c r="R39" s="5">
        <f t="shared" si="7"/>
        <v>681.09779978333563</v>
      </c>
      <c r="S39" s="5">
        <f t="shared" si="8"/>
        <v>31874.981681249999</v>
      </c>
      <c r="T39">
        <f>96.75+15</f>
        <v>111.75</v>
      </c>
      <c r="U39" s="2">
        <f t="shared" si="9"/>
        <v>-101.4133333333333</v>
      </c>
      <c r="V39">
        <f>SUMIF(KASA!$C$2:$C$9980, C39, KASA!$T$2:$T$9980)</f>
        <v>203.8366666666667</v>
      </c>
      <c r="W39">
        <f>SUMIF(KASA!$C$2:$C$9980, C39, KASA!$U$2:$U$9980)</f>
        <v>12694.452074800003</v>
      </c>
      <c r="X39" s="2">
        <f t="shared" si="10"/>
        <v>10.336666666666702</v>
      </c>
      <c r="Y39" s="2">
        <f t="shared" si="11"/>
        <v>694.45207480000317</v>
      </c>
      <c r="Z39">
        <f>SUMIF(KASA!$C$2:$C$9980, C39, KASA!$V$2:$V$9980)</f>
        <v>31499.988840000002</v>
      </c>
      <c r="AA39">
        <f t="shared" si="12"/>
        <v>18805.536765199999</v>
      </c>
    </row>
    <row r="40" spans="3:27" x14ac:dyDescent="0.25">
      <c r="C40" s="4" t="s">
        <v>160</v>
      </c>
      <c r="D40" s="5">
        <f>SUMIFS(KASA!$I:$I, KASA!$C:$C, $C40, KASA!$B:$B, "MAL ALIMI") + SUMIFS(KASA!$I:$I, KASA!$C:$C, $C40, KASA!$B:$B, "ÜRETİM GİRİŞ")</f>
        <v>440</v>
      </c>
      <c r="E40" s="5" cm="1">
        <f t="array" ref="E40">IFERROR(AVERAGE(IF((KASA!$C$2:$C$9980=$C40)*((KASA!$B$2:$B$9980="MAL ALIMI")+(KASA!$B$2:$B$9980="ÜRETİM GİRİŞ")),KASA!$J$2:$J$9980)),0)</f>
        <v>160</v>
      </c>
      <c r="F40" s="5">
        <f>SUMIFS(KASA!$I:$I, KASA!$C:$C, $C40, KASA!$B:$B, "MAL SATIŞI") + SUMIFS(KASA!$I:$I, KASA!$C:$C, $C40, KASA!$B:$B, "ÜRETİM ÇIKIŞ")</f>
        <v>424.7</v>
      </c>
      <c r="G40" s="5">
        <f>SUMIFS(KASA!$I:$I, KASA!$C:$C, $C40, KASA!$B:$B, "MAL İADE")</f>
        <v>0</v>
      </c>
      <c r="H40" s="5">
        <f>SUMIFS(KASA!$K:$K, KASA!$C:$C, $C40, KASA!$B:$B, "MAL İADE") + SUMIFS(KASA!$Q:$Q, KASA!$C:$C, $C40, KASA!$B:$B, "MAL İADE")</f>
        <v>0</v>
      </c>
      <c r="I40" s="5">
        <f t="shared" si="0"/>
        <v>424.7</v>
      </c>
      <c r="J40" s="5">
        <f t="shared" si="1"/>
        <v>67952</v>
      </c>
      <c r="K40" s="5">
        <f>SUMIFS(KASA!$Q:$Q, KASA!$C:$C, $C40, KASA!$B:$B, "MAL SATIŞI") + SUMIFS(KASA!$Q:$Q, KASA!$C:$C, $C40, KASA!$B:$B, "ÜRETİM ÇIKIŞ")</f>
        <v>49681.5</v>
      </c>
      <c r="L40" s="5">
        <f>SUMIFS(KASA!$K:$K, KASA!$C:$C, $C40, KASA!$B:$B, "MAL SATIŞI") + SUMIFS(KASA!$K:$K, KASA!$C:$C, $C40, KASA!$B:$B, "ÜRETİM ÇIKIŞ")</f>
        <v>50585</v>
      </c>
      <c r="M40" s="5">
        <f t="shared" si="2"/>
        <v>100266.5</v>
      </c>
      <c r="N40" s="5">
        <f t="shared" si="3"/>
        <v>32314.5</v>
      </c>
      <c r="O40" s="65">
        <f t="shared" si="4"/>
        <v>0.47554891688250528</v>
      </c>
      <c r="P40" s="5">
        <f t="shared" si="5"/>
        <v>236.08782670120087</v>
      </c>
      <c r="Q40" s="5">
        <f t="shared" si="6"/>
        <v>15.300000000000011</v>
      </c>
      <c r="R40" s="5">
        <f t="shared" si="7"/>
        <v>2448.0000000000018</v>
      </c>
      <c r="S40" s="5">
        <f t="shared" si="8"/>
        <v>70400</v>
      </c>
      <c r="T40">
        <v>88.5</v>
      </c>
      <c r="U40" s="2">
        <f t="shared" si="9"/>
        <v>-73.199999999999989</v>
      </c>
      <c r="V40">
        <f>SUMIF(KASA!$C$2:$C$9980, C40, KASA!$T$2:$T$9980)</f>
        <v>15.300000000000011</v>
      </c>
      <c r="W40">
        <f>SUMIF(KASA!$C$2:$C$9980, C40, KASA!$U$2:$U$9980)</f>
        <v>2907.0000000000023</v>
      </c>
      <c r="X40" s="2">
        <f t="shared" si="10"/>
        <v>15.300000000000011</v>
      </c>
      <c r="Y40" s="2">
        <f t="shared" si="11"/>
        <v>2907.0000000000023</v>
      </c>
      <c r="Z40">
        <f>SUMIF(KASA!$C$2:$C$9980, C40, KASA!$V$2:$V$9980)</f>
        <v>68800</v>
      </c>
      <c r="AA40">
        <f t="shared" si="12"/>
        <v>65893</v>
      </c>
    </row>
    <row r="41" spans="3:27" x14ac:dyDescent="0.25">
      <c r="C41" s="4" t="s">
        <v>161</v>
      </c>
      <c r="D41" s="5">
        <f>SUMIFS(KASA!$I:$I, KASA!$C:$C, $C41, KASA!$B:$B, "MAL ALIMI") + SUMIFS(KASA!$I:$I, KASA!$C:$C, $C41, KASA!$B:$B, "ÜRETİM GİRİŞ")</f>
        <v>280</v>
      </c>
      <c r="E41" s="5" cm="1">
        <f t="array" ref="E41">IFERROR(AVERAGE(IF((KASA!$C$2:$C$9980=$C41)*((KASA!$B$2:$B$9980="MAL ALIMI")+(KASA!$B$2:$B$9980="ÜRETİM GİRİŞ")),KASA!$J$2:$J$9980)),0)</f>
        <v>135</v>
      </c>
      <c r="F41" s="5">
        <f>SUMIFS(KASA!$I:$I, KASA!$C:$C, $C41, KASA!$B:$B, "MAL SATIŞI") + SUMIFS(KASA!$I:$I, KASA!$C:$C, $C41, KASA!$B:$B, "ÜRETİM ÇIKIŞ")</f>
        <v>229.23099999999999</v>
      </c>
      <c r="G41" s="5">
        <f>SUMIFS(KASA!$I:$I, KASA!$C:$C, $C41, KASA!$B:$B, "MAL İADE")</f>
        <v>0</v>
      </c>
      <c r="H41" s="5">
        <f>SUMIFS(KASA!$K:$K, KASA!$C:$C, $C41, KASA!$B:$B, "MAL İADE") + SUMIFS(KASA!$Q:$Q, KASA!$C:$C, $C41, KASA!$B:$B, "MAL İADE")</f>
        <v>0</v>
      </c>
      <c r="I41" s="5">
        <f t="shared" si="0"/>
        <v>229.23099999999999</v>
      </c>
      <c r="J41" s="5">
        <f t="shared" si="1"/>
        <v>30946.184999999998</v>
      </c>
      <c r="K41" s="5">
        <f>SUMIFS(KASA!$Q:$Q, KASA!$C:$C, $C41, KASA!$B:$B, "MAL SATIŞI") + SUMIFS(KASA!$Q:$Q, KASA!$C:$C, $C41, KASA!$B:$B, "ÜRETİM ÇIKIŞ")</f>
        <v>25543.599999999999</v>
      </c>
      <c r="L41" s="5">
        <f>SUMIFS(KASA!$K:$K, KASA!$C:$C, $C41, KASA!$B:$B, "MAL SATIŞI") + SUMIFS(KASA!$K:$K, KASA!$C:$C, $C41, KASA!$B:$B, "ÜRETİM ÇIKIŞ")</f>
        <v>23527.53</v>
      </c>
      <c r="M41" s="5">
        <f t="shared" si="2"/>
        <v>49071.13</v>
      </c>
      <c r="N41" s="5">
        <f t="shared" si="3"/>
        <v>18124.945</v>
      </c>
      <c r="O41" s="65">
        <f t="shared" si="4"/>
        <v>0.5856923882539965</v>
      </c>
      <c r="P41" s="5">
        <f t="shared" si="5"/>
        <v>214.06847241428952</v>
      </c>
      <c r="Q41" s="5">
        <f t="shared" si="6"/>
        <v>50.769000000000005</v>
      </c>
      <c r="R41" s="5">
        <f t="shared" si="7"/>
        <v>6853.8150000000005</v>
      </c>
      <c r="S41" s="5">
        <f t="shared" si="8"/>
        <v>37800</v>
      </c>
      <c r="T41">
        <f>6+11+14+60</f>
        <v>91</v>
      </c>
      <c r="U41" s="2">
        <f t="shared" si="9"/>
        <v>-40.230999999999995</v>
      </c>
      <c r="V41">
        <f>SUMIF(KASA!$C$2:$C$9980, C41, KASA!$T$2:$T$9980)</f>
        <v>50.769000000000005</v>
      </c>
      <c r="W41">
        <f>SUMIF(KASA!$C$2:$C$9980, C41, KASA!$U$2:$U$9980)</f>
        <v>7107.6600000000008</v>
      </c>
      <c r="X41" s="2">
        <f t="shared" si="10"/>
        <v>50.769000000000005</v>
      </c>
      <c r="Y41" s="2">
        <f t="shared" si="11"/>
        <v>7107.6600000000008</v>
      </c>
      <c r="Z41">
        <f>SUMIF(KASA!$C$2:$C$9980, C41, KASA!$V$2:$V$9980)</f>
        <v>38000</v>
      </c>
      <c r="AA41">
        <f t="shared" si="12"/>
        <v>30892.34</v>
      </c>
    </row>
    <row r="42" spans="3:27" x14ac:dyDescent="0.25">
      <c r="C42" s="4" t="s">
        <v>162</v>
      </c>
      <c r="D42" s="5">
        <f>SUMIFS(KASA!$I:$I, KASA!$C:$C, $C42, KASA!$B:$B, "MAL ALIMI") + SUMIFS(KASA!$I:$I, KASA!$C:$C, $C42, KASA!$B:$B, "ÜRETİM GİRİŞ")</f>
        <v>40</v>
      </c>
      <c r="E42" s="5" cm="1">
        <f t="array" ref="E42">IFERROR(AVERAGE(IF((KASA!$C$2:$C$9980=$C42)*((KASA!$B$2:$B$9980="MAL ALIMI")+(KASA!$B$2:$B$9980="ÜRETİM GİRİŞ")),KASA!$J$2:$J$9980)),0)</f>
        <v>175</v>
      </c>
      <c r="F42" s="5">
        <f>SUMIFS(KASA!$I:$I, KASA!$C:$C, $C42, KASA!$B:$B, "MAL SATIŞI") + SUMIFS(KASA!$I:$I, KASA!$C:$C, $C42, KASA!$B:$B, "ÜRETİM ÇIKIŞ")</f>
        <v>40</v>
      </c>
      <c r="G42" s="5">
        <f>SUMIFS(KASA!$I:$I, KASA!$C:$C, $C42, KASA!$B:$B, "MAL İADE")</f>
        <v>0</v>
      </c>
      <c r="H42" s="5">
        <f>SUMIFS(KASA!$K:$K, KASA!$C:$C, $C42, KASA!$B:$B, "MAL İADE") + SUMIFS(KASA!$Q:$Q, KASA!$C:$C, $C42, KASA!$B:$B, "MAL İADE")</f>
        <v>0</v>
      </c>
      <c r="I42" s="5">
        <f t="shared" si="0"/>
        <v>40</v>
      </c>
      <c r="J42" s="5">
        <f t="shared" si="1"/>
        <v>7000</v>
      </c>
      <c r="K42" s="5">
        <f>SUMIFS(KASA!$Q:$Q, KASA!$C:$C, $C42, KASA!$B:$B, "MAL SATIŞI") + SUMIFS(KASA!$Q:$Q, KASA!$C:$C, $C42, KASA!$B:$B, "ÜRETİM ÇIKIŞ")</f>
        <v>6938</v>
      </c>
      <c r="L42" s="5">
        <f>SUMIFS(KASA!$K:$K, KASA!$C:$C, $C42, KASA!$B:$B, "MAL SATIŞI") + SUMIFS(KASA!$K:$K, KASA!$C:$C, $C42, KASA!$B:$B, "ÜRETİM ÇIKIŞ")</f>
        <v>2966</v>
      </c>
      <c r="M42" s="5">
        <f t="shared" si="2"/>
        <v>9904</v>
      </c>
      <c r="N42" s="5">
        <f t="shared" si="3"/>
        <v>2904</v>
      </c>
      <c r="O42" s="65">
        <f t="shared" si="4"/>
        <v>0.41485714285714287</v>
      </c>
      <c r="P42" s="5">
        <f t="shared" si="5"/>
        <v>247.6</v>
      </c>
      <c r="Q42" s="5">
        <f t="shared" si="6"/>
        <v>0</v>
      </c>
      <c r="R42" s="5">
        <f t="shared" si="7"/>
        <v>0</v>
      </c>
      <c r="S42" s="5">
        <f t="shared" si="8"/>
        <v>7000</v>
      </c>
      <c r="T42">
        <v>0</v>
      </c>
      <c r="U42" s="2">
        <f t="shared" si="9"/>
        <v>0</v>
      </c>
      <c r="V42">
        <f>SUMIF(KASA!$C$2:$C$9980, C42, KASA!$T$2:$T$9980)</f>
        <v>0</v>
      </c>
      <c r="W42">
        <f>SUMIF(KASA!$C$2:$C$9980, C42, KASA!$U$2:$U$9980)</f>
        <v>0</v>
      </c>
      <c r="X42" s="2">
        <f t="shared" si="10"/>
        <v>0</v>
      </c>
      <c r="Y42" s="2">
        <f t="shared" si="11"/>
        <v>0</v>
      </c>
      <c r="Z42">
        <f>SUMIF(KASA!$C$2:$C$9980, C42, KASA!$V$2:$V$9980)</f>
        <v>7000</v>
      </c>
      <c r="AA42">
        <f t="shared" si="12"/>
        <v>7000</v>
      </c>
    </row>
    <row r="43" spans="3:27" x14ac:dyDescent="0.25">
      <c r="C43" s="4" t="s">
        <v>163</v>
      </c>
      <c r="D43" s="5">
        <f>SUMIFS(KASA!$I:$I, KASA!$C:$C, $C43, KASA!$B:$B, "MAL ALIMI") + SUMIFS(KASA!$I:$I, KASA!$C:$C, $C43, KASA!$B:$B, "ÜRETİM GİRİŞ")</f>
        <v>25</v>
      </c>
      <c r="E43" s="5" cm="1">
        <f t="array" ref="E43">IFERROR(AVERAGE(IF((KASA!$C$2:$C$9980=$C43)*((KASA!$B$2:$B$9980="MAL ALIMI")+(KASA!$B$2:$B$9980="ÜRETİM GİRİŞ")),KASA!$J$2:$J$9980)),0)</f>
        <v>210</v>
      </c>
      <c r="F43" s="5">
        <f>SUMIFS(KASA!$I:$I, KASA!$C:$C, $C43, KASA!$B:$B, "MAL SATIŞI") + SUMIFS(KASA!$I:$I, KASA!$C:$C, $C43, KASA!$B:$B, "ÜRETİM ÇIKIŞ")</f>
        <v>15.576813902572519</v>
      </c>
      <c r="G43" s="5">
        <f>SUMIFS(KASA!$I:$I, KASA!$C:$C, $C43, KASA!$B:$B, "MAL İADE")</f>
        <v>0</v>
      </c>
      <c r="H43" s="5">
        <f>SUMIFS(KASA!$K:$K, KASA!$C:$C, $C43, KASA!$B:$B, "MAL İADE") + SUMIFS(KASA!$Q:$Q, KASA!$C:$C, $C43, KASA!$B:$B, "MAL İADE")</f>
        <v>0</v>
      </c>
      <c r="I43" s="5">
        <f t="shared" si="0"/>
        <v>15.576813902572519</v>
      </c>
      <c r="J43" s="5">
        <f t="shared" si="1"/>
        <v>3271.1309195402291</v>
      </c>
      <c r="K43" s="5">
        <f>SUMIFS(KASA!$Q:$Q, KASA!$C:$C, $C43, KASA!$B:$B, "MAL SATIŞI") + SUMIFS(KASA!$Q:$Q, KASA!$C:$C, $C43, KASA!$B:$B, "ÜRETİM ÇIKIŞ")</f>
        <v>4483.311111111112</v>
      </c>
      <c r="L43" s="5">
        <f>SUMIFS(KASA!$K:$K, KASA!$C:$C, $C43, KASA!$B:$B, "MAL SATIŞI") + SUMIFS(KASA!$K:$K, KASA!$C:$C, $C43, KASA!$B:$B, "ÜRETİM ÇIKIŞ")</f>
        <v>2001.7000000000003</v>
      </c>
      <c r="M43" s="5">
        <f t="shared" si="2"/>
        <v>6485.0111111111128</v>
      </c>
      <c r="N43" s="5">
        <f t="shared" si="3"/>
        <v>3213.8801915708837</v>
      </c>
      <c r="O43" s="65">
        <f t="shared" si="4"/>
        <v>0.98249818506885311</v>
      </c>
      <c r="P43" s="5">
        <f t="shared" si="5"/>
        <v>416.32461886445918</v>
      </c>
      <c r="Q43" s="5">
        <f t="shared" si="6"/>
        <v>9.4231860974274806</v>
      </c>
      <c r="R43" s="5">
        <f t="shared" si="7"/>
        <v>1978.8690804597709</v>
      </c>
      <c r="S43" s="5">
        <f t="shared" si="8"/>
        <v>5250</v>
      </c>
      <c r="T43">
        <v>11.17</v>
      </c>
      <c r="U43" s="2">
        <f t="shared" si="9"/>
        <v>-1.7468139025725193</v>
      </c>
      <c r="V43">
        <f>SUMIF(KASA!$C$2:$C$9980, C43, KASA!$T$2:$T$9980)</f>
        <v>9.4231860974274806</v>
      </c>
      <c r="W43">
        <f>SUMIF(KASA!$C$2:$C$9980, C43, KASA!$U$2:$U$9980)</f>
        <v>1978.8690804597709</v>
      </c>
      <c r="X43" s="2">
        <f t="shared" si="10"/>
        <v>9.4231860974274806</v>
      </c>
      <c r="Y43" s="2">
        <f t="shared" si="11"/>
        <v>1978.8690804597709</v>
      </c>
      <c r="Z43">
        <f>SUMIF(KASA!$C$2:$C$9980, C43, KASA!$V$2:$V$9980)</f>
        <v>5250</v>
      </c>
      <c r="AA43">
        <f t="shared" si="12"/>
        <v>3271.1309195402291</v>
      </c>
    </row>
    <row r="44" spans="3:27" x14ac:dyDescent="0.25">
      <c r="C44" s="4" t="s">
        <v>165</v>
      </c>
      <c r="D44" s="5">
        <f>SUMIFS(KASA!$I:$I, KASA!$C:$C, $C44, KASA!$B:$B, "MAL ALIMI") + SUMIFS(KASA!$I:$I, KASA!$C:$C, $C44, KASA!$B:$B, "ÜRETİM GİRİŞ")</f>
        <v>10</v>
      </c>
      <c r="E44" s="5" cm="1">
        <f t="array" ref="E44">IFERROR(AVERAGE(IF((KASA!$C$2:$C$9980=$C44)*((KASA!$B$2:$B$9980="MAL ALIMI")+(KASA!$B$2:$B$9980="ÜRETİM GİRİŞ")),KASA!$J$2:$J$9980)),0)</f>
        <v>125</v>
      </c>
      <c r="F44" s="5">
        <f>SUMIFS(KASA!$I:$I, KASA!$C:$C, $C44, KASA!$B:$B, "MAL SATIŞI") + SUMIFS(KASA!$I:$I, KASA!$C:$C, $C44, KASA!$B:$B, "ÜRETİM ÇIKIŞ")</f>
        <v>1.2999999999999998</v>
      </c>
      <c r="G44" s="5">
        <f>SUMIFS(KASA!$I:$I, KASA!$C:$C, $C44, KASA!$B:$B, "MAL İADE")</f>
        <v>6.94</v>
      </c>
      <c r="H44" s="5">
        <f>SUMIFS(KASA!$K:$K, KASA!$C:$C, $C44, KASA!$B:$B, "MAL İADE") + SUMIFS(KASA!$Q:$Q, KASA!$C:$C, $C44, KASA!$B:$B, "MAL İADE")</f>
        <v>867.5</v>
      </c>
      <c r="I44" s="5">
        <f t="shared" si="0"/>
        <v>8.24</v>
      </c>
      <c r="J44" s="5">
        <f t="shared" si="1"/>
        <v>162.49999999999997</v>
      </c>
      <c r="K44" s="5">
        <f>SUMIFS(KASA!$Q:$Q, KASA!$C:$C, $C44, KASA!$B:$B, "MAL SATIŞI") + SUMIFS(KASA!$Q:$Q, KASA!$C:$C, $C44, KASA!$B:$B, "ÜRETİM ÇIKIŞ")</f>
        <v>175</v>
      </c>
      <c r="L44" s="5">
        <f>SUMIFS(KASA!$K:$K, KASA!$C:$C, $C44, KASA!$B:$B, "MAL SATIŞI") + SUMIFS(KASA!$K:$K, KASA!$C:$C, $C44, KASA!$B:$B, "ÜRETİM ÇIKIŞ")</f>
        <v>150</v>
      </c>
      <c r="M44" s="5">
        <f t="shared" si="2"/>
        <v>325</v>
      </c>
      <c r="N44" s="5">
        <f t="shared" si="3"/>
        <v>162.50000000000003</v>
      </c>
      <c r="O44" s="65">
        <f t="shared" si="4"/>
        <v>1.0000000000000004</v>
      </c>
      <c r="P44" s="5">
        <f t="shared" si="5"/>
        <v>250.00000000000003</v>
      </c>
      <c r="Q44" s="5">
        <f t="shared" si="6"/>
        <v>1.7599999999999989</v>
      </c>
      <c r="R44" s="5">
        <f t="shared" si="7"/>
        <v>219.99999999999986</v>
      </c>
      <c r="S44" s="5">
        <f t="shared" si="8"/>
        <v>1250</v>
      </c>
      <c r="U44" s="2">
        <f t="shared" si="9"/>
        <v>1.7599999999999989</v>
      </c>
      <c r="V44">
        <f>SUMIF(KASA!$C$2:$C$9980, C44, KASA!$T$2:$T$9980)</f>
        <v>8.6999999999999993</v>
      </c>
      <c r="W44">
        <f>SUMIF(KASA!$C$2:$C$9980, C44, KASA!$U$2:$U$9980)</f>
        <v>1087.5</v>
      </c>
      <c r="X44" s="2">
        <f t="shared" si="10"/>
        <v>1.7599999999999989</v>
      </c>
      <c r="Y44" s="2">
        <f t="shared" si="11"/>
        <v>220</v>
      </c>
      <c r="Z44">
        <f>SUMIF(KASA!$C$2:$C$9980, C44, KASA!$V$2:$V$9980)</f>
        <v>1250</v>
      </c>
      <c r="AA44">
        <f t="shared" si="12"/>
        <v>162.5</v>
      </c>
    </row>
    <row r="45" spans="3:27" x14ac:dyDescent="0.25">
      <c r="C45" s="4" t="s">
        <v>166</v>
      </c>
      <c r="D45" s="5">
        <f>SUMIFS(KASA!$I:$I, KASA!$C:$C, $C45, KASA!$B:$B, "MAL ALIMI") + SUMIFS(KASA!$I:$I, KASA!$C:$C, $C45, KASA!$B:$B, "ÜRETİM GİRİŞ")</f>
        <v>5</v>
      </c>
      <c r="E45" s="5" cm="1">
        <f t="array" ref="E45">IFERROR(AVERAGE(IF((KASA!$C$2:$C$9980=$C45)*((KASA!$B$2:$B$9980="MAL ALIMI")+(KASA!$B$2:$B$9980="ÜRETİM GİRİŞ")),KASA!$J$2:$J$9980)),0)</f>
        <v>425</v>
      </c>
      <c r="F45" s="5">
        <f>SUMIFS(KASA!$I:$I, KASA!$C:$C, $C45, KASA!$B:$B, "MAL SATIŞI") + SUMIFS(KASA!$I:$I, KASA!$C:$C, $C45, KASA!$B:$B, "ÜRETİM ÇIKIŞ")</f>
        <v>3.4170649350649351</v>
      </c>
      <c r="G45" s="5">
        <f>SUMIFS(KASA!$I:$I, KASA!$C:$C, $C45, KASA!$B:$B, "MAL İADE")</f>
        <v>0</v>
      </c>
      <c r="H45" s="5">
        <f>SUMIFS(KASA!$K:$K, KASA!$C:$C, $C45, KASA!$B:$B, "MAL İADE") + SUMIFS(KASA!$Q:$Q, KASA!$C:$C, $C45, KASA!$B:$B, "MAL İADE")</f>
        <v>0</v>
      </c>
      <c r="I45" s="5">
        <f t="shared" si="0"/>
        <v>3.4170649350649351</v>
      </c>
      <c r="J45" s="5">
        <f t="shared" si="1"/>
        <v>1452.2525974025975</v>
      </c>
      <c r="K45" s="5">
        <f>SUMIFS(KASA!$Q:$Q, KASA!$C:$C, $C45, KASA!$B:$B, "MAL SATIŞI") + SUMIFS(KASA!$Q:$Q, KASA!$C:$C, $C45, KASA!$B:$B, "ÜRETİM ÇIKIŞ")</f>
        <v>1446.8200000000002</v>
      </c>
      <c r="L45" s="5">
        <f>SUMIFS(KASA!$K:$K, KASA!$C:$C, $C45, KASA!$B:$B, "MAL SATIŞI") + SUMIFS(KASA!$K:$K, KASA!$C:$C, $C45, KASA!$B:$B, "ÜRETİM ÇIKIŞ")</f>
        <v>1170.162</v>
      </c>
      <c r="M45" s="5">
        <f t="shared" si="2"/>
        <v>2616.982</v>
      </c>
      <c r="N45" s="5">
        <f t="shared" si="3"/>
        <v>1164.7294025974024</v>
      </c>
      <c r="O45" s="65">
        <f t="shared" si="4"/>
        <v>0.80201571316213172</v>
      </c>
      <c r="P45" s="5">
        <f t="shared" si="5"/>
        <v>765.856678093906</v>
      </c>
      <c r="Q45" s="5">
        <f t="shared" si="6"/>
        <v>1.5829350649350649</v>
      </c>
      <c r="R45" s="5">
        <f t="shared" si="7"/>
        <v>672.74740259740258</v>
      </c>
      <c r="S45" s="5">
        <f t="shared" si="8"/>
        <v>2125</v>
      </c>
      <c r="U45" s="2">
        <f t="shared" si="9"/>
        <v>1.5829350649350649</v>
      </c>
      <c r="V45">
        <f>SUMIF(KASA!$C$2:$C$9980, C45, KASA!$T$2:$T$9980)</f>
        <v>1.5829350649350649</v>
      </c>
      <c r="W45">
        <f>SUMIF(KASA!$C$2:$C$9980, C45, KASA!$U$2:$U$9980)</f>
        <v>672.74740259740258</v>
      </c>
      <c r="X45" s="2">
        <f t="shared" si="10"/>
        <v>1.5829350649350649</v>
      </c>
      <c r="Y45" s="2">
        <f t="shared" si="11"/>
        <v>672.74740259740258</v>
      </c>
      <c r="Z45">
        <f>SUMIF(KASA!$C$2:$C$9980, C45, KASA!$V$2:$V$9980)</f>
        <v>2125</v>
      </c>
      <c r="AA45">
        <f t="shared" si="12"/>
        <v>1452.2525974025975</v>
      </c>
    </row>
    <row r="46" spans="3:27" x14ac:dyDescent="0.25">
      <c r="C46" s="4" t="s">
        <v>167</v>
      </c>
      <c r="D46" s="5">
        <f>SUMIFS(KASA!$I:$I, KASA!$C:$C, $C46, KASA!$B:$B, "MAL ALIMI") + SUMIFS(KASA!$I:$I, KASA!$C:$C, $C46, KASA!$B:$B, "ÜRETİM GİRİŞ")</f>
        <v>100</v>
      </c>
      <c r="E46" s="5" cm="1">
        <f t="array" ref="E46">IFERROR(AVERAGE(IF((KASA!$C$2:$C$9980=$C46)*((KASA!$B$2:$B$9980="MAL ALIMI")+(KASA!$B$2:$B$9980="ÜRETİM GİRİŞ")),KASA!$J$2:$J$9980)),0)</f>
        <v>125</v>
      </c>
      <c r="F46" s="5">
        <f>SUMIFS(KASA!$I:$I, KASA!$C:$C, $C46, KASA!$B:$B, "MAL SATIŞI") + SUMIFS(KASA!$I:$I, KASA!$C:$C, $C46, KASA!$B:$B, "ÜRETİM ÇIKIŞ")</f>
        <v>71.319999999999993</v>
      </c>
      <c r="G46" s="5">
        <f>SUMIFS(KASA!$I:$I, KASA!$C:$C, $C46, KASA!$B:$B, "MAL İADE")</f>
        <v>0</v>
      </c>
      <c r="H46" s="5">
        <f>SUMIFS(KASA!$K:$K, KASA!$C:$C, $C46, KASA!$B:$B, "MAL İADE") + SUMIFS(KASA!$Q:$Q, KASA!$C:$C, $C46, KASA!$B:$B, "MAL İADE")</f>
        <v>0</v>
      </c>
      <c r="I46" s="5">
        <f t="shared" si="0"/>
        <v>71.319999999999993</v>
      </c>
      <c r="J46" s="5">
        <f t="shared" si="1"/>
        <v>8915</v>
      </c>
      <c r="K46" s="5">
        <f>SUMIFS(KASA!$Q:$Q, KASA!$C:$C, $C46, KASA!$B:$B, "MAL SATIŞI") + SUMIFS(KASA!$Q:$Q, KASA!$C:$C, $C46, KASA!$B:$B, "ÜRETİM ÇIKIŞ")</f>
        <v>7509</v>
      </c>
      <c r="L46" s="5">
        <f>SUMIFS(KASA!$K:$K, KASA!$C:$C, $C46, KASA!$B:$B, "MAL SATIŞI") + SUMIFS(KASA!$K:$K, KASA!$C:$C, $C46, KASA!$B:$B, "ÜRETİM ÇIKIŞ")</f>
        <v>7630.6</v>
      </c>
      <c r="M46" s="5">
        <f t="shared" si="2"/>
        <v>15139.6</v>
      </c>
      <c r="N46" s="5">
        <f t="shared" si="3"/>
        <v>6224.6</v>
      </c>
      <c r="O46" s="65">
        <f t="shared" si="4"/>
        <v>0.69821648906337641</v>
      </c>
      <c r="P46" s="5">
        <f t="shared" si="5"/>
        <v>212.27706113292206</v>
      </c>
      <c r="Q46" s="5">
        <f t="shared" si="6"/>
        <v>28.680000000000007</v>
      </c>
      <c r="R46" s="5">
        <f t="shared" si="7"/>
        <v>3585.0000000000009</v>
      </c>
      <c r="S46" s="5">
        <f t="shared" si="8"/>
        <v>12500</v>
      </c>
      <c r="T46">
        <v>35</v>
      </c>
      <c r="U46" s="2">
        <f t="shared" si="9"/>
        <v>-6.3199999999999932</v>
      </c>
      <c r="V46">
        <f>SUMIF(KASA!$C$2:$C$9980, C46, KASA!$T$2:$T$9980)</f>
        <v>28.680000000000007</v>
      </c>
      <c r="W46">
        <f>SUMIF(KASA!$C$2:$C$9980, C46, KASA!$U$2:$U$9980)</f>
        <v>3585.0000000000009</v>
      </c>
      <c r="X46" s="2">
        <f t="shared" si="10"/>
        <v>28.680000000000007</v>
      </c>
      <c r="Y46" s="2">
        <f t="shared" si="11"/>
        <v>3585.0000000000009</v>
      </c>
      <c r="Z46">
        <f>SUMIF(KASA!$C$2:$C$9980, C46, KASA!$V$2:$V$9980)</f>
        <v>12500</v>
      </c>
      <c r="AA46">
        <f t="shared" si="12"/>
        <v>8915</v>
      </c>
    </row>
    <row r="47" spans="3:27" x14ac:dyDescent="0.25">
      <c r="C47" s="4" t="s">
        <v>168</v>
      </c>
      <c r="D47" s="5">
        <f>SUMIFS(KASA!$I:$I, KASA!$C:$C, $C47, KASA!$B:$B, "MAL ALIMI") + SUMIFS(KASA!$I:$I, KASA!$C:$C, $C47, KASA!$B:$B, "ÜRETİM GİRİŞ")</f>
        <v>40</v>
      </c>
      <c r="E47" s="5" cm="1">
        <f t="array" ref="E47">IFERROR(AVERAGE(IF((KASA!$C$2:$C$9980=$C47)*((KASA!$B$2:$B$9980="MAL ALIMI")+(KASA!$B$2:$B$9980="ÜRETİM GİRİŞ")),KASA!$J$2:$J$9980)),0)</f>
        <v>110</v>
      </c>
      <c r="F47" s="5">
        <f>SUMIFS(KASA!$I:$I, KASA!$C:$C, $C47, KASA!$B:$B, "MAL SATIŞI") + SUMIFS(KASA!$I:$I, KASA!$C:$C, $C47, KASA!$B:$B, "ÜRETİM ÇIKIŞ")</f>
        <v>40.002173913043478</v>
      </c>
      <c r="G47" s="5">
        <f>SUMIFS(KASA!$I:$I, KASA!$C:$C, $C47, KASA!$B:$B, "MAL İADE")</f>
        <v>0</v>
      </c>
      <c r="H47" s="5">
        <f>SUMIFS(KASA!$K:$K, KASA!$C:$C, $C47, KASA!$B:$B, "MAL İADE") + SUMIFS(KASA!$Q:$Q, KASA!$C:$C, $C47, KASA!$B:$B, "MAL İADE")</f>
        <v>0</v>
      </c>
      <c r="I47" s="5">
        <f t="shared" si="0"/>
        <v>40.002173913043478</v>
      </c>
      <c r="J47" s="5">
        <f t="shared" si="1"/>
        <v>4400.239130434783</v>
      </c>
      <c r="K47" s="5">
        <f>SUMIFS(KASA!$Q:$Q, KASA!$C:$C, $C47, KASA!$B:$B, "MAL SATIŞI") + SUMIFS(KASA!$Q:$Q, KASA!$C:$C, $C47, KASA!$B:$B, "ÜRETİM ÇIKIŞ")</f>
        <v>3855.4</v>
      </c>
      <c r="L47" s="5">
        <f>SUMIFS(KASA!$K:$K, KASA!$C:$C, $C47, KASA!$B:$B, "MAL SATIŞI") + SUMIFS(KASA!$K:$K, KASA!$C:$C, $C47, KASA!$B:$B, "ÜRETİM ÇIKIŞ")</f>
        <v>4077.5</v>
      </c>
      <c r="M47" s="5">
        <f t="shared" si="2"/>
        <v>7932.9</v>
      </c>
      <c r="N47" s="5">
        <f t="shared" si="3"/>
        <v>3532.6608695652167</v>
      </c>
      <c r="O47" s="65">
        <f t="shared" si="4"/>
        <v>0.80283383808192221</v>
      </c>
      <c r="P47" s="5">
        <f t="shared" si="5"/>
        <v>198.31172218901145</v>
      </c>
      <c r="Q47" s="5">
        <f t="shared" si="6"/>
        <v>-2.1739130434781373E-3</v>
      </c>
      <c r="R47" s="5">
        <f t="shared" si="7"/>
        <v>-0.2391304347825951</v>
      </c>
      <c r="S47" s="5">
        <f t="shared" si="8"/>
        <v>4400</v>
      </c>
      <c r="T47">
        <v>7.7</v>
      </c>
      <c r="U47" s="2">
        <f t="shared" si="9"/>
        <v>-7.7021739130434783</v>
      </c>
      <c r="V47">
        <f>SUMIF(KASA!$C$2:$C$9980, C47, KASA!$T$2:$T$9980)</f>
        <v>0</v>
      </c>
      <c r="W47">
        <f>SUMIF(KASA!$C$2:$C$9980, C47, KASA!$U$2:$U$9980)</f>
        <v>0</v>
      </c>
      <c r="X47" s="2">
        <f t="shared" si="10"/>
        <v>0</v>
      </c>
      <c r="Y47" s="2">
        <f t="shared" si="11"/>
        <v>0</v>
      </c>
      <c r="Z47">
        <f>SUMIF(KASA!$C$2:$C$9980, C47, KASA!$V$2:$V$9980)</f>
        <v>4400</v>
      </c>
      <c r="AA47">
        <f t="shared" si="12"/>
        <v>4400</v>
      </c>
    </row>
    <row r="48" spans="3:27" x14ac:dyDescent="0.25">
      <c r="C48" s="4" t="s">
        <v>1150</v>
      </c>
      <c r="D48" s="5">
        <f>SUMIFS(KASA!$I:$I, KASA!$C:$C, $C48, KASA!$B:$B, "MAL ALIMI") + SUMIFS(KASA!$I:$I, KASA!$C:$C, $C48, KASA!$B:$B, "ÜRETİM GİRİŞ")</f>
        <v>5</v>
      </c>
      <c r="E48" s="5" cm="1">
        <f t="array" ref="E48">IFERROR(AVERAGE(IF((KASA!$C$2:$C$9980=$C48)*((KASA!$B$2:$B$9980="MAL ALIMI")+(KASA!$B$2:$B$9980="ÜRETİM GİRİŞ")),KASA!$J$2:$J$9980)),0)</f>
        <v>270</v>
      </c>
      <c r="F48" s="5">
        <f>SUMIFS(KASA!$I:$I, KASA!$C:$C, $C48, KASA!$B:$B, "MAL SATIŞI") + SUMIFS(KASA!$I:$I, KASA!$C:$C, $C48, KASA!$B:$B, "ÜRETİM ÇIKIŞ")</f>
        <v>5.0049629629629626</v>
      </c>
      <c r="G48" s="5">
        <f>SUMIFS(KASA!$I:$I, KASA!$C:$C, $C48, KASA!$B:$B, "MAL İADE")</f>
        <v>0</v>
      </c>
      <c r="H48" s="5">
        <f>SUMIFS(KASA!$K:$K, KASA!$C:$C, $C48, KASA!$B:$B, "MAL İADE") + SUMIFS(KASA!$Q:$Q, KASA!$C:$C, $C48, KASA!$B:$B, "MAL İADE")</f>
        <v>0</v>
      </c>
      <c r="I48" s="5">
        <f t="shared" si="0"/>
        <v>5.0049629629629626</v>
      </c>
      <c r="J48" s="5">
        <f t="shared" si="1"/>
        <v>1351.34</v>
      </c>
      <c r="K48" s="5">
        <f>SUMIFS(KASA!$Q:$Q, KASA!$C:$C, $C48, KASA!$B:$B, "MAL SATIŞI") + SUMIFS(KASA!$Q:$Q, KASA!$C:$C, $C48, KASA!$B:$B, "ÜRETİM ÇIKIŞ")</f>
        <v>2253.56</v>
      </c>
      <c r="L48" s="5">
        <f>SUMIFS(KASA!$K:$K, KASA!$C:$C, $C48, KASA!$B:$B, "MAL SATIŞI") + SUMIFS(KASA!$K:$K, KASA!$C:$C, $C48, KASA!$B:$B, "ÜRETİM ÇIKIŞ")</f>
        <v>319.12</v>
      </c>
      <c r="M48" s="5">
        <f t="shared" si="2"/>
        <v>2572.6799999999998</v>
      </c>
      <c r="N48" s="5">
        <f t="shared" si="3"/>
        <v>1221.3399999999999</v>
      </c>
      <c r="O48" s="65">
        <f t="shared" si="4"/>
        <v>0.90379919191321212</v>
      </c>
      <c r="P48" s="5">
        <f t="shared" si="5"/>
        <v>514.02578181656725</v>
      </c>
      <c r="Q48" s="5">
        <f t="shared" si="6"/>
        <v>-4.9629629629626137E-3</v>
      </c>
      <c r="R48" s="5">
        <f t="shared" si="7"/>
        <v>-1.3399999999999057</v>
      </c>
      <c r="S48" s="5">
        <f t="shared" si="8"/>
        <v>1350</v>
      </c>
      <c r="T48">
        <v>0.2</v>
      </c>
      <c r="U48" s="2">
        <f t="shared" si="9"/>
        <v>-0.20496296296296262</v>
      </c>
      <c r="V48">
        <f>SUMIF(KASA!$C$2:$C$9980, C48, KASA!$T$2:$T$9980)</f>
        <v>0</v>
      </c>
      <c r="W48">
        <f>SUMIF(KASA!$C$2:$C$9980, C48, KASA!$U$2:$U$9980)</f>
        <v>0</v>
      </c>
      <c r="X48" s="2">
        <f t="shared" si="10"/>
        <v>0</v>
      </c>
      <c r="Y48" s="2">
        <f t="shared" si="11"/>
        <v>0</v>
      </c>
      <c r="Z48">
        <f>SUMIF(KASA!$C$2:$C$9980, C48, KASA!$V$2:$V$9980)</f>
        <v>1350</v>
      </c>
      <c r="AA48">
        <f t="shared" si="12"/>
        <v>1350</v>
      </c>
    </row>
    <row r="49" spans="3:27" x14ac:dyDescent="0.25">
      <c r="C49" s="4" t="s">
        <v>1151</v>
      </c>
      <c r="D49" s="5">
        <f>SUMIFS(KASA!$I:$I, KASA!$C:$C, $C49, KASA!$B:$B, "MAL ALIMI") + SUMIFS(KASA!$I:$I, KASA!$C:$C, $C49, KASA!$B:$B, "ÜRETİM GİRİŞ")</f>
        <v>20</v>
      </c>
      <c r="E49" s="5" cm="1">
        <f t="array" ref="E49">IFERROR(AVERAGE(IF((KASA!$C$2:$C$9980=$C49)*((KASA!$B$2:$B$9980="MAL ALIMI")+(KASA!$B$2:$B$9980="ÜRETİM GİRİŞ")),KASA!$J$2:$J$9980)),0)</f>
        <v>185</v>
      </c>
      <c r="F49" s="5">
        <f>SUMIFS(KASA!$I:$I, KASA!$C:$C, $C49, KASA!$B:$B, "MAL SATIŞI") + SUMIFS(KASA!$I:$I, KASA!$C:$C, $C49, KASA!$B:$B, "ÜRETİM ÇIKIŞ")</f>
        <v>15.492565257565259</v>
      </c>
      <c r="G49" s="5">
        <f>SUMIFS(KASA!$I:$I, KASA!$C:$C, $C49, KASA!$B:$B, "MAL İADE")</f>
        <v>0</v>
      </c>
      <c r="H49" s="5">
        <f>SUMIFS(KASA!$K:$K, KASA!$C:$C, $C49, KASA!$B:$B, "MAL İADE") + SUMIFS(KASA!$Q:$Q, KASA!$C:$C, $C49, KASA!$B:$B, "MAL İADE")</f>
        <v>0</v>
      </c>
      <c r="I49" s="5">
        <f t="shared" si="0"/>
        <v>15.492565257565259</v>
      </c>
      <c r="J49" s="5">
        <f t="shared" si="1"/>
        <v>2866.1245726495727</v>
      </c>
      <c r="K49" s="5">
        <f>SUMIFS(KASA!$Q:$Q, KASA!$C:$C, $C49, KASA!$B:$B, "MAL SATIŞI") + SUMIFS(KASA!$Q:$Q, KASA!$C:$C, $C49, KASA!$B:$B, "ÜRETİM ÇIKIŞ")</f>
        <v>2176.0522222222221</v>
      </c>
      <c r="L49" s="5">
        <f>SUMIFS(KASA!$K:$K, KASA!$C:$C, $C49, KASA!$B:$B, "MAL SATIŞI") + SUMIFS(KASA!$K:$K, KASA!$C:$C, $C49, KASA!$B:$B, "ÜRETİM ÇIKIŞ")</f>
        <v>2651.5322222222221</v>
      </c>
      <c r="M49" s="5">
        <f t="shared" si="2"/>
        <v>4827.5844444444447</v>
      </c>
      <c r="N49" s="5">
        <f t="shared" si="3"/>
        <v>1961.459871794872</v>
      </c>
      <c r="O49" s="65">
        <f t="shared" si="4"/>
        <v>0.68435960199092516</v>
      </c>
      <c r="P49" s="5">
        <f t="shared" si="5"/>
        <v>311.60652636832111</v>
      </c>
      <c r="Q49" s="5">
        <f t="shared" si="6"/>
        <v>4.5074347424347412</v>
      </c>
      <c r="R49" s="5">
        <f t="shared" si="7"/>
        <v>833.87542735042712</v>
      </c>
      <c r="S49" s="5">
        <f t="shared" si="8"/>
        <v>3700</v>
      </c>
      <c r="T49">
        <v>5.37</v>
      </c>
      <c r="U49" s="2">
        <f t="shared" si="9"/>
        <v>-0.86256525756525892</v>
      </c>
      <c r="V49">
        <f>SUMIF(KASA!$C$2:$C$9980, C49, KASA!$T$2:$T$9980)</f>
        <v>4.5074347424347412</v>
      </c>
      <c r="W49">
        <f>SUMIF(KASA!$C$2:$C$9980, C49, KASA!$U$2:$U$9980)</f>
        <v>856.41260106260086</v>
      </c>
      <c r="X49" s="2">
        <f t="shared" si="10"/>
        <v>4.5074347424347412</v>
      </c>
      <c r="Y49" s="2">
        <f t="shared" si="11"/>
        <v>856.41260106260086</v>
      </c>
      <c r="Z49">
        <f>SUMIF(KASA!$C$2:$C$9980, C49, KASA!$V$2:$V$9980)</f>
        <v>3700</v>
      </c>
      <c r="AA49">
        <f t="shared" si="12"/>
        <v>2843.587398937399</v>
      </c>
    </row>
    <row r="50" spans="3:27" x14ac:dyDescent="0.25">
      <c r="C50" s="42" t="s">
        <v>139</v>
      </c>
      <c r="D50" s="5">
        <f>SUMIFS(KASA!$I:$I, KASA!$C:$C, $C50, KASA!$B:$B, "MAL ALIMI") + SUMIFS(KASA!$I:$I, KASA!$C:$C, $C50, KASA!$B:$B, "ÜRETİM GİRİŞ")</f>
        <v>25</v>
      </c>
      <c r="E50" s="5" cm="1">
        <f t="array" ref="E50">IFERROR(AVERAGE(IF((KASA!$C$2:$C$9980=$C50)*((KASA!$B$2:$B$9980="MAL ALIMI")+(KASA!$B$2:$B$9980="ÜRETİM GİRİŞ")),KASA!$J$2:$J$9980)),0)</f>
        <v>115</v>
      </c>
      <c r="F50" s="5">
        <f>SUMIFS(KASA!$I:$I, KASA!$C:$C, $C50, KASA!$B:$B, "MAL SATIŞI") + SUMIFS(KASA!$I:$I, KASA!$C:$C, $C50, KASA!$B:$B, "ÜRETİM ÇIKIŞ")</f>
        <v>0</v>
      </c>
      <c r="G50" s="5">
        <f>SUMIFS(KASA!$I:$I, KASA!$C:$C, $C50, KASA!$B:$B, "MAL İADE")</f>
        <v>21</v>
      </c>
      <c r="H50" s="5">
        <f>SUMIFS(KASA!$K:$K, KASA!$C:$C, $C50, KASA!$B:$B, "MAL İADE") + SUMIFS(KASA!$Q:$Q, KASA!$C:$C, $C50, KASA!$B:$B, "MAL İADE")</f>
        <v>2415</v>
      </c>
      <c r="I50" s="5">
        <f t="shared" si="0"/>
        <v>21</v>
      </c>
      <c r="J50" s="5">
        <f t="shared" si="1"/>
        <v>0</v>
      </c>
      <c r="K50" s="5">
        <f>SUMIFS(KASA!$Q:$Q, KASA!$C:$C, $C50, KASA!$B:$B, "MAL SATIŞI") + SUMIFS(KASA!$Q:$Q, KASA!$C:$C, $C50, KASA!$B:$B, "ÜRETİM ÇIKIŞ")</f>
        <v>0</v>
      </c>
      <c r="L50" s="5">
        <f>SUMIFS(KASA!$K:$K, KASA!$C:$C, $C50, KASA!$B:$B, "MAL SATIŞI") + SUMIFS(KASA!$K:$K, KASA!$C:$C, $C50, KASA!$B:$B, "ÜRETİM ÇIKIŞ")</f>
        <v>0</v>
      </c>
      <c r="M50" s="5">
        <f t="shared" si="2"/>
        <v>0</v>
      </c>
      <c r="N50" s="5">
        <f t="shared" si="3"/>
        <v>0</v>
      </c>
      <c r="O50" s="65">
        <f t="shared" si="4"/>
        <v>0</v>
      </c>
      <c r="P50" s="5" t="e">
        <f t="shared" si="5"/>
        <v>#DIV/0!</v>
      </c>
      <c r="Q50" s="5">
        <f t="shared" si="6"/>
        <v>4</v>
      </c>
      <c r="R50" s="5">
        <f t="shared" si="7"/>
        <v>460</v>
      </c>
      <c r="S50" s="5">
        <f t="shared" si="8"/>
        <v>2875</v>
      </c>
      <c r="U50" s="2">
        <f t="shared" si="9"/>
        <v>4</v>
      </c>
      <c r="V50">
        <f>SUMIF(KASA!$C$2:$C$9980, C50, KASA!$T$2:$T$9980)</f>
        <v>25</v>
      </c>
      <c r="W50">
        <f>SUMIF(KASA!$C$2:$C$9980, C50, KASA!$U$2:$U$9980)</f>
        <v>2875</v>
      </c>
      <c r="X50" s="2">
        <f t="shared" si="10"/>
        <v>4</v>
      </c>
      <c r="Y50" s="2">
        <f t="shared" si="11"/>
        <v>460</v>
      </c>
      <c r="Z50">
        <f>SUMIF(KASA!$C$2:$C$9980, C50, KASA!$V$2:$V$9980)</f>
        <v>2875</v>
      </c>
      <c r="AA50">
        <f t="shared" si="12"/>
        <v>0</v>
      </c>
    </row>
    <row r="51" spans="3:27" x14ac:dyDescent="0.25">
      <c r="C51" s="4" t="s">
        <v>2243</v>
      </c>
      <c r="D51" s="5">
        <f>SUMIFS(KASA!$I:$I, KASA!$C:$C, $C51, KASA!$B:$B, "MAL ALIMI") + SUMIFS(KASA!$I:$I, KASA!$C:$C, $C51, KASA!$B:$B, "ÜRETİM GİRİŞ")</f>
        <v>25</v>
      </c>
      <c r="E51" s="5" cm="1">
        <f t="array" ref="E51">IFERROR(AVERAGE(IF((KASA!$C$2:$C$9980=$C51)*((KASA!$B$2:$B$9980="MAL ALIMI")+(KASA!$B$2:$B$9980="ÜRETİM GİRİŞ")),KASA!$J$2:$J$9980)),0)</f>
        <v>260</v>
      </c>
      <c r="F51" s="5">
        <f>SUMIFS(KASA!$I:$I, KASA!$C:$C, $C51, KASA!$B:$B, "MAL SATIŞI") + SUMIFS(KASA!$I:$I, KASA!$C:$C, $C51, KASA!$B:$B, "ÜRETİM ÇIKIŞ")</f>
        <v>5.0525554445554439</v>
      </c>
      <c r="G51" s="5">
        <f>SUMIFS(KASA!$I:$I, KASA!$C:$C, $C51, KASA!$B:$B, "MAL İADE")</f>
        <v>0</v>
      </c>
      <c r="H51" s="5">
        <f>SUMIFS(KASA!$K:$K, KASA!$C:$C, $C51, KASA!$B:$B, "MAL İADE") + SUMIFS(KASA!$Q:$Q, KASA!$C:$C, $C51, KASA!$B:$B, "MAL İADE")</f>
        <v>0</v>
      </c>
      <c r="I51" s="5">
        <f t="shared" si="0"/>
        <v>5.0525554445554439</v>
      </c>
      <c r="J51" s="5">
        <f t="shared" si="1"/>
        <v>1313.6644155844153</v>
      </c>
      <c r="K51" s="5">
        <f>SUMIFS(KASA!$Q:$Q, KASA!$C:$C, $C51, KASA!$B:$B, "MAL SATIŞI") + SUMIFS(KASA!$Q:$Q, KASA!$C:$C, $C51, KASA!$B:$B, "ÜRETİM ÇIKIŞ")</f>
        <v>501.70831168831165</v>
      </c>
      <c r="L51" s="5">
        <f>SUMIFS(KASA!$K:$K, KASA!$C:$C, $C51, KASA!$B:$B, "MAL SATIŞI") + SUMIFS(KASA!$K:$K, KASA!$C:$C, $C51, KASA!$B:$B, "ÜRETİM ÇIKIŞ")</f>
        <v>1481</v>
      </c>
      <c r="M51" s="5">
        <f t="shared" si="2"/>
        <v>1982.7083116883116</v>
      </c>
      <c r="N51" s="5">
        <f t="shared" si="3"/>
        <v>669.04389610389626</v>
      </c>
      <c r="O51" s="65">
        <f t="shared" si="4"/>
        <v>0.50929589640003758</v>
      </c>
      <c r="P51" s="5">
        <f t="shared" si="5"/>
        <v>392.41693306400975</v>
      </c>
      <c r="Q51" s="5">
        <f t="shared" si="6"/>
        <v>19.947444555444555</v>
      </c>
      <c r="R51" s="5">
        <f t="shared" si="7"/>
        <v>5186.335584415584</v>
      </c>
      <c r="S51" s="5">
        <f t="shared" si="8"/>
        <v>6500</v>
      </c>
      <c r="T51">
        <v>25</v>
      </c>
      <c r="U51" s="2">
        <f t="shared" si="9"/>
        <v>-5.0525554445554448</v>
      </c>
      <c r="V51">
        <f>SUMIF(KASA!$C$2:$C$9980, C51, KASA!$T$2:$T$9980)</f>
        <v>19.947444555444555</v>
      </c>
      <c r="W51">
        <f>SUMIF(KASA!$C$2:$C$9980, C51, KASA!$U$2:$U$9980)</f>
        <v>5186.335584415584</v>
      </c>
      <c r="X51" s="2">
        <f t="shared" si="10"/>
        <v>19.947444555444555</v>
      </c>
      <c r="Y51" s="2">
        <f t="shared" si="11"/>
        <v>5186.335584415584</v>
      </c>
      <c r="Z51">
        <f>SUMIF(KASA!$C$2:$C$9980, C51, KASA!$V$2:$V$9980)</f>
        <v>6500</v>
      </c>
      <c r="AA51">
        <f t="shared" si="12"/>
        <v>1313.664415584416</v>
      </c>
    </row>
    <row r="52" spans="3:27" x14ac:dyDescent="0.25">
      <c r="C52" s="4" t="s">
        <v>2488</v>
      </c>
      <c r="D52" s="5">
        <f>SUMIFS(KASA!$I:$I, KASA!$C:$C, $C52, KASA!$B:$B, "MAL ALIMI") + SUMIFS(KASA!$I:$I, KASA!$C:$C, $C52, KASA!$B:$B, "ÜRETİM GİRİŞ")</f>
        <v>10</v>
      </c>
      <c r="E52" s="5" cm="1">
        <f t="array" ref="E52">IFERROR(AVERAGE(IF((KASA!$C$2:$C$9980=$C52)*((KASA!$B$2:$B$9980="MAL ALIMI")+(KASA!$B$2:$B$9980="ÜRETİM GİRİŞ")),KASA!$J$2:$J$9980)),0)</f>
        <v>275</v>
      </c>
      <c r="F52" s="5">
        <f>SUMIFS(KASA!$I:$I, KASA!$C:$C, $C52, KASA!$B:$B, "MAL SATIŞI") + SUMIFS(KASA!$I:$I, KASA!$C:$C, $C52, KASA!$B:$B, "ÜRETİM ÇIKIŞ")</f>
        <v>3.7851363636363642</v>
      </c>
      <c r="G52" s="5">
        <f>SUMIFS(KASA!$I:$I, KASA!$C:$C, $C52, KASA!$B:$B, "MAL İADE")</f>
        <v>0</v>
      </c>
      <c r="H52" s="5">
        <f>SUMIFS(KASA!$K:$K, KASA!$C:$C, $C52, KASA!$B:$B, "MAL İADE") + SUMIFS(KASA!$Q:$Q, KASA!$C:$C, $C52, KASA!$B:$B, "MAL İADE")</f>
        <v>0</v>
      </c>
      <c r="I52" s="5">
        <f t="shared" si="0"/>
        <v>3.7851363636363642</v>
      </c>
      <c r="J52" s="5">
        <f t="shared" si="1"/>
        <v>1040.9125000000001</v>
      </c>
      <c r="K52" s="5">
        <f>SUMIFS(KASA!$Q:$Q, KASA!$C:$C, $C52, KASA!$B:$B, "MAL SATIŞI") + SUMIFS(KASA!$Q:$Q, KASA!$C:$C, $C52, KASA!$B:$B, "ÜRETİM ÇIKIŞ")</f>
        <v>140.22727272727275</v>
      </c>
      <c r="L52" s="5">
        <f>SUMIFS(KASA!$K:$K, KASA!$C:$C, $C52, KASA!$B:$B, "MAL SATIŞI") + SUMIFS(KASA!$K:$K, KASA!$C:$C, $C52, KASA!$B:$B, "ÜRETİM ÇIKIŞ")</f>
        <v>1781.7</v>
      </c>
      <c r="M52" s="5">
        <f t="shared" si="2"/>
        <v>1921.9272727272728</v>
      </c>
      <c r="N52" s="5">
        <f t="shared" si="3"/>
        <v>881.01477272727266</v>
      </c>
      <c r="O52" s="65">
        <f t="shared" si="4"/>
        <v>0.84638696598155228</v>
      </c>
      <c r="P52" s="5">
        <f t="shared" si="5"/>
        <v>507.75641564492685</v>
      </c>
      <c r="Q52" s="5">
        <f t="shared" si="6"/>
        <v>6.2148636363636358</v>
      </c>
      <c r="R52" s="5">
        <f t="shared" si="7"/>
        <v>1709.0874999999999</v>
      </c>
      <c r="S52" s="5">
        <f t="shared" si="8"/>
        <v>2750</v>
      </c>
      <c r="T52">
        <v>8.8800000000000008</v>
      </c>
      <c r="U52" s="2">
        <f t="shared" si="9"/>
        <v>-2.665136363636365</v>
      </c>
      <c r="V52">
        <f>SUMIF(KASA!$C$2:$C$9980, C52, KASA!$T$2:$T$9980)</f>
        <v>6.2148636363636358</v>
      </c>
      <c r="W52">
        <f>SUMIF(KASA!$C$2:$C$9980, C52, KASA!$U$2:$U$9980)</f>
        <v>1709.0874999999999</v>
      </c>
      <c r="X52" s="2">
        <f t="shared" si="10"/>
        <v>6.2148636363636358</v>
      </c>
      <c r="Y52" s="2">
        <f t="shared" si="11"/>
        <v>1709.0874999999999</v>
      </c>
      <c r="Z52">
        <f>SUMIF(KASA!$C$2:$C$9980, C52, KASA!$V$2:$V$9980)</f>
        <v>2750</v>
      </c>
      <c r="AA52">
        <f t="shared" si="12"/>
        <v>1040.9125000000001</v>
      </c>
    </row>
    <row r="53" spans="3:27" x14ac:dyDescent="0.25">
      <c r="C53" s="4" t="s">
        <v>2601</v>
      </c>
      <c r="D53" s="5">
        <f>SUMIFS(KASA!$I:$I, KASA!$C:$C, $C53, KASA!$B:$B, "MAL ALIMI") + SUMIFS(KASA!$I:$I, KASA!$C:$C, $C53, KASA!$B:$B, "ÜRETİM GİRİŞ")</f>
        <v>1</v>
      </c>
      <c r="E53" s="5" cm="1">
        <f t="array" ref="E53">IFERROR(AVERAGE(IF((KASA!$C$2:$C$9980=$C53)*((KASA!$B$2:$B$9980="MAL ALIMI")+(KASA!$B$2:$B$9980="ÜRETİM GİRİŞ")),KASA!$J$2:$J$9980)),0)</f>
        <v>85</v>
      </c>
      <c r="F53" s="5">
        <f>SUMIFS(KASA!$I:$I, KASA!$C:$C, $C53, KASA!$B:$B, "MAL SATIŞI") + SUMIFS(KASA!$I:$I, KASA!$C:$C, $C53, KASA!$B:$B, "ÜRETİM ÇIKIŞ")</f>
        <v>0.2</v>
      </c>
      <c r="G53" s="5">
        <f>SUMIFS(KASA!$I:$I, KASA!$C:$C, $C53, KASA!$B:$B, "MAL İADE")</f>
        <v>0</v>
      </c>
      <c r="H53" s="5">
        <f>SUMIFS(KASA!$K:$K, KASA!$C:$C, $C53, KASA!$B:$B, "MAL İADE") + SUMIFS(KASA!$Q:$Q, KASA!$C:$C, $C53, KASA!$B:$B, "MAL İADE")</f>
        <v>0</v>
      </c>
      <c r="I53" s="5">
        <f t="shared" si="0"/>
        <v>0.2</v>
      </c>
      <c r="J53" s="5">
        <f t="shared" si="1"/>
        <v>17</v>
      </c>
      <c r="K53" s="5">
        <f>SUMIFS(KASA!$Q:$Q, KASA!$C:$C, $C53, KASA!$B:$B, "MAL SATIŞI") + SUMIFS(KASA!$Q:$Q, KASA!$C:$C, $C53, KASA!$B:$B, "ÜRETİM ÇIKIŞ")</f>
        <v>75</v>
      </c>
      <c r="L53" s="5">
        <f>SUMIFS(KASA!$K:$K, KASA!$C:$C, $C53, KASA!$B:$B, "MAL SATIŞI") + SUMIFS(KASA!$K:$K, KASA!$C:$C, $C53, KASA!$B:$B, "ÜRETİM ÇIKIŞ")</f>
        <v>25</v>
      </c>
      <c r="M53" s="5">
        <f t="shared" si="2"/>
        <v>100</v>
      </c>
      <c r="N53" s="5">
        <f t="shared" si="3"/>
        <v>83</v>
      </c>
      <c r="O53" s="65">
        <f t="shared" si="4"/>
        <v>4.882352941176471</v>
      </c>
      <c r="P53" s="5">
        <f t="shared" si="5"/>
        <v>500</v>
      </c>
      <c r="Q53" s="5">
        <f t="shared" si="6"/>
        <v>0.8</v>
      </c>
      <c r="R53" s="5">
        <f t="shared" si="7"/>
        <v>68</v>
      </c>
      <c r="S53" s="5">
        <f t="shared" si="8"/>
        <v>85</v>
      </c>
      <c r="T53">
        <v>0.95</v>
      </c>
      <c r="U53" s="2">
        <f t="shared" si="9"/>
        <v>-0.14999999999999991</v>
      </c>
      <c r="V53">
        <f>SUMIF(KASA!$C$2:$C$9980, C53, KASA!$T$2:$T$9980)</f>
        <v>0.8</v>
      </c>
      <c r="W53">
        <f>SUMIF(KASA!$C$2:$C$9980, C53, KASA!$U$2:$U$9980)</f>
        <v>68</v>
      </c>
      <c r="X53" s="2">
        <f t="shared" si="10"/>
        <v>0.8</v>
      </c>
      <c r="Y53" s="2">
        <f t="shared" si="11"/>
        <v>68</v>
      </c>
      <c r="Z53">
        <f>SUMIF(KASA!$C$2:$C$9980, C53, KASA!$V$2:$V$9980)</f>
        <v>85</v>
      </c>
      <c r="AA53">
        <f t="shared" si="12"/>
        <v>17</v>
      </c>
    </row>
    <row r="54" spans="3:27" x14ac:dyDescent="0.25">
      <c r="C54" s="42" t="s">
        <v>2602</v>
      </c>
      <c r="D54" s="5">
        <f>SUMIFS(KASA!$I:$I, KASA!$C:$C, $C54, KASA!$B:$B, "MAL ALIMI") + SUMIFS(KASA!$I:$I, KASA!$C:$C, $C54, KASA!$B:$B, "ÜRETİM GİRİŞ")</f>
        <v>1</v>
      </c>
      <c r="E54" s="5" cm="1">
        <f t="array" ref="E54">IFERROR(AVERAGE(IF((KASA!$C$2:$C$9980=$C54)*((KASA!$B$2:$B$9980="MAL ALIMI")+(KASA!$B$2:$B$9980="ÜRETİM GİRİŞ")),KASA!$J$2:$J$9980)),0)</f>
        <v>175</v>
      </c>
      <c r="F54" s="5">
        <f>SUMIFS(KASA!$I:$I, KASA!$C:$C, $C54, KASA!$B:$B, "MAL SATIŞI") + SUMIFS(KASA!$I:$I, KASA!$C:$C, $C54, KASA!$B:$B, "ÜRETİM ÇIKIŞ")</f>
        <v>0</v>
      </c>
      <c r="G54" s="5">
        <f>SUMIFS(KASA!$I:$I, KASA!$C:$C, $C54, KASA!$B:$B, "MAL İADE")</f>
        <v>0</v>
      </c>
      <c r="H54" s="5">
        <f>SUMIFS(KASA!$K:$K, KASA!$C:$C, $C54, KASA!$B:$B, "MAL İADE") + SUMIFS(KASA!$Q:$Q, KASA!$C:$C, $C54, KASA!$B:$B, "MAL İADE")</f>
        <v>0</v>
      </c>
      <c r="I54" s="5">
        <f t="shared" si="0"/>
        <v>0</v>
      </c>
      <c r="J54" s="5">
        <f t="shared" si="1"/>
        <v>0</v>
      </c>
      <c r="K54" s="5">
        <f>SUMIFS(KASA!$Q:$Q, KASA!$C:$C, $C54, KASA!$B:$B, "MAL SATIŞI") + SUMIFS(KASA!$Q:$Q, KASA!$C:$C, $C54, KASA!$B:$B, "ÜRETİM ÇIKIŞ")</f>
        <v>0</v>
      </c>
      <c r="L54" s="5">
        <f>SUMIFS(KASA!$K:$K, KASA!$C:$C, $C54, KASA!$B:$B, "MAL SATIŞI") + SUMIFS(KASA!$K:$K, KASA!$C:$C, $C54, KASA!$B:$B, "ÜRETİM ÇIKIŞ")</f>
        <v>0</v>
      </c>
      <c r="M54" s="5">
        <f t="shared" si="2"/>
        <v>0</v>
      </c>
      <c r="N54" s="5">
        <f t="shared" si="3"/>
        <v>0</v>
      </c>
      <c r="O54" s="65">
        <f t="shared" si="4"/>
        <v>0</v>
      </c>
      <c r="P54" s="5" t="e">
        <f t="shared" si="5"/>
        <v>#DIV/0!</v>
      </c>
      <c r="Q54" s="5">
        <f t="shared" si="6"/>
        <v>1</v>
      </c>
      <c r="R54" s="5">
        <f t="shared" si="7"/>
        <v>175</v>
      </c>
      <c r="S54" s="5">
        <f t="shared" si="8"/>
        <v>175</v>
      </c>
      <c r="T54">
        <v>1</v>
      </c>
      <c r="U54" s="2">
        <f t="shared" si="9"/>
        <v>0</v>
      </c>
      <c r="V54">
        <f>SUMIF(KASA!$C$2:$C$9980, C54, KASA!$T$2:$T$9980)</f>
        <v>1</v>
      </c>
      <c r="W54">
        <f>SUMIF(KASA!$C$2:$C$9980, C54, KASA!$U$2:$U$9980)</f>
        <v>175</v>
      </c>
      <c r="X54" s="2">
        <f t="shared" si="10"/>
        <v>1</v>
      </c>
      <c r="Y54" s="2">
        <f t="shared" si="11"/>
        <v>175</v>
      </c>
      <c r="Z54">
        <f>SUMIF(KASA!$C$2:$C$9980, C54, KASA!$V$2:$V$9980)</f>
        <v>175</v>
      </c>
      <c r="AA54">
        <f t="shared" si="12"/>
        <v>0</v>
      </c>
    </row>
    <row r="55" spans="3:27" x14ac:dyDescent="0.25">
      <c r="C55" s="4" t="s">
        <v>2603</v>
      </c>
      <c r="D55" s="5">
        <f>SUMIFS(KASA!$I:$I, KASA!$C:$C, $C55, KASA!$B:$B, "MAL ALIMI") + SUMIFS(KASA!$I:$I, KASA!$C:$C, $C55, KASA!$B:$B, "ÜRETİM GİRİŞ")</f>
        <v>1</v>
      </c>
      <c r="E55" s="5" cm="1">
        <f t="array" ref="E55">IFERROR(AVERAGE(IF((KASA!$C$2:$C$9980=$C55)*((KASA!$B$2:$B$9980="MAL ALIMI")+(KASA!$B$2:$B$9980="ÜRETİM GİRİŞ")),KASA!$J$2:$J$9980)),0)</f>
        <v>400</v>
      </c>
      <c r="F55" s="5">
        <f>SUMIFS(KASA!$I:$I, KASA!$C:$C, $C55, KASA!$B:$B, "MAL SATIŞI") + SUMIFS(KASA!$I:$I, KASA!$C:$C, $C55, KASA!$B:$B, "ÜRETİM ÇIKIŞ")</f>
        <v>0.1</v>
      </c>
      <c r="G55" s="5">
        <f>SUMIFS(KASA!$I:$I, KASA!$C:$C, $C55, KASA!$B:$B, "MAL İADE")</f>
        <v>0</v>
      </c>
      <c r="H55" s="5">
        <f>SUMIFS(KASA!$K:$K, KASA!$C:$C, $C55, KASA!$B:$B, "MAL İADE") + SUMIFS(KASA!$Q:$Q, KASA!$C:$C, $C55, KASA!$B:$B, "MAL İADE")</f>
        <v>0</v>
      </c>
      <c r="I55" s="5">
        <f t="shared" si="0"/>
        <v>0.1</v>
      </c>
      <c r="J55" s="5">
        <f t="shared" si="1"/>
        <v>40</v>
      </c>
      <c r="K55" s="5">
        <f>SUMIFS(KASA!$Q:$Q, KASA!$C:$C, $C55, KASA!$B:$B, "MAL SATIŞI") + SUMIFS(KASA!$Q:$Q, KASA!$C:$C, $C55, KASA!$B:$B, "ÜRETİM ÇIKIŞ")</f>
        <v>0</v>
      </c>
      <c r="L55" s="5">
        <f>SUMIFS(KASA!$K:$K, KASA!$C:$C, $C55, KASA!$B:$B, "MAL SATIŞI") + SUMIFS(KASA!$K:$K, KASA!$C:$C, $C55, KASA!$B:$B, "ÜRETİM ÇIKIŞ")</f>
        <v>120</v>
      </c>
      <c r="M55" s="5">
        <f t="shared" si="2"/>
        <v>120</v>
      </c>
      <c r="N55" s="5">
        <f t="shared" si="3"/>
        <v>80</v>
      </c>
      <c r="O55" s="65">
        <f t="shared" si="4"/>
        <v>2</v>
      </c>
      <c r="P55" s="5">
        <f t="shared" si="5"/>
        <v>1200</v>
      </c>
      <c r="Q55" s="5">
        <f t="shared" si="6"/>
        <v>0.9</v>
      </c>
      <c r="R55" s="5">
        <f t="shared" si="7"/>
        <v>360</v>
      </c>
      <c r="S55" s="5">
        <f t="shared" si="8"/>
        <v>400</v>
      </c>
      <c r="T55">
        <v>1</v>
      </c>
      <c r="U55" s="2">
        <f t="shared" si="9"/>
        <v>-9.9999999999999978E-2</v>
      </c>
      <c r="V55">
        <f>SUMIF(KASA!$C$2:$C$9980, C55, KASA!$T$2:$T$9980)</f>
        <v>0.9</v>
      </c>
      <c r="W55">
        <f>SUMIF(KASA!$C$2:$C$9980, C55, KASA!$U$2:$U$9980)</f>
        <v>360</v>
      </c>
      <c r="X55" s="2">
        <f t="shared" si="10"/>
        <v>0.9</v>
      </c>
      <c r="Y55" s="2">
        <f t="shared" si="11"/>
        <v>360</v>
      </c>
      <c r="Z55">
        <f>SUMIF(KASA!$C$2:$C$9980, C55, KASA!$V$2:$V$9980)</f>
        <v>400</v>
      </c>
      <c r="AA55">
        <f t="shared" si="12"/>
        <v>40</v>
      </c>
    </row>
    <row r="56" spans="3:27" x14ac:dyDescent="0.25">
      <c r="C56" s="4" t="s">
        <v>2604</v>
      </c>
      <c r="D56" s="5">
        <f>SUMIFS(KASA!$I:$I, KASA!$C:$C, $C56, KASA!$B:$B, "MAL ALIMI") + SUMIFS(KASA!$I:$I, KASA!$C:$C, $C56, KASA!$B:$B, "ÜRETİM GİRİŞ")</f>
        <v>1</v>
      </c>
      <c r="E56" s="5" cm="1">
        <f t="array" ref="E56">IFERROR(AVERAGE(IF((KASA!$C$2:$C$9980=$C56)*((KASA!$B$2:$B$9980="MAL ALIMI")+(KASA!$B$2:$B$9980="ÜRETİM GİRİŞ")),KASA!$J$2:$J$9980)),0)</f>
        <v>80</v>
      </c>
      <c r="F56" s="5">
        <f>SUMIFS(KASA!$I:$I, KASA!$C:$C, $C56, KASA!$B:$B, "MAL SATIŞI") + SUMIFS(KASA!$I:$I, KASA!$C:$C, $C56, KASA!$B:$B, "ÜRETİM ÇIKIŞ")</f>
        <v>0.30000000000000004</v>
      </c>
      <c r="G56" s="5">
        <f>SUMIFS(KASA!$I:$I, KASA!$C:$C, $C56, KASA!$B:$B, "MAL İADE")</f>
        <v>0</v>
      </c>
      <c r="H56" s="5">
        <f>SUMIFS(KASA!$K:$K, KASA!$C:$C, $C56, KASA!$B:$B, "MAL İADE") + SUMIFS(KASA!$Q:$Q, KASA!$C:$C, $C56, KASA!$B:$B, "MAL İADE")</f>
        <v>0</v>
      </c>
      <c r="I56" s="5">
        <f t="shared" si="0"/>
        <v>0.30000000000000004</v>
      </c>
      <c r="J56" s="5">
        <f t="shared" si="1"/>
        <v>24.000000000000004</v>
      </c>
      <c r="K56" s="5">
        <f>SUMIFS(KASA!$Q:$Q, KASA!$C:$C, $C56, KASA!$B:$B, "MAL SATIŞI") + SUMIFS(KASA!$Q:$Q, KASA!$C:$C, $C56, KASA!$B:$B, "ÜRETİM ÇIKIŞ")</f>
        <v>100</v>
      </c>
      <c r="L56" s="5">
        <f>SUMIFS(KASA!$K:$K, KASA!$C:$C, $C56, KASA!$B:$B, "MAL SATIŞI") + SUMIFS(KASA!$K:$K, KASA!$C:$C, $C56, KASA!$B:$B, "ÜRETİM ÇIKIŞ")</f>
        <v>50</v>
      </c>
      <c r="M56" s="5">
        <f t="shared" si="2"/>
        <v>150</v>
      </c>
      <c r="N56" s="5">
        <f t="shared" si="3"/>
        <v>126</v>
      </c>
      <c r="O56" s="65">
        <f t="shared" si="4"/>
        <v>5.2499999999999991</v>
      </c>
      <c r="P56" s="5">
        <f t="shared" si="5"/>
        <v>499.99999999999994</v>
      </c>
      <c r="Q56" s="5">
        <f t="shared" si="6"/>
        <v>0.7</v>
      </c>
      <c r="R56" s="5">
        <f t="shared" si="7"/>
        <v>56</v>
      </c>
      <c r="S56" s="5">
        <f t="shared" si="8"/>
        <v>80</v>
      </c>
      <c r="T56">
        <v>1</v>
      </c>
      <c r="U56" s="2">
        <f t="shared" si="9"/>
        <v>-0.30000000000000004</v>
      </c>
      <c r="V56">
        <f>SUMIF(KASA!$C$2:$C$9980, C56, KASA!$T$2:$T$9980)</f>
        <v>0.7</v>
      </c>
      <c r="W56">
        <f>SUMIF(KASA!$C$2:$C$9980, C56, KASA!$U$2:$U$9980)</f>
        <v>56</v>
      </c>
      <c r="X56" s="2">
        <f t="shared" si="10"/>
        <v>0.7</v>
      </c>
      <c r="Y56" s="2">
        <f t="shared" si="11"/>
        <v>56</v>
      </c>
      <c r="Z56">
        <f>SUMIF(KASA!$C$2:$C$9980, C56, KASA!$V$2:$V$9980)</f>
        <v>80</v>
      </c>
      <c r="AA56">
        <f t="shared" si="12"/>
        <v>24</v>
      </c>
    </row>
    <row r="57" spans="3:27" x14ac:dyDescent="0.25">
      <c r="C57" s="4" t="s">
        <v>2605</v>
      </c>
      <c r="D57" s="5">
        <f>SUMIFS(KASA!$I:$I, KASA!$C:$C, $C57, KASA!$B:$B, "MAL ALIMI") + SUMIFS(KASA!$I:$I, KASA!$C:$C, $C57, KASA!$B:$B, "ÜRETİM GİRİŞ")</f>
        <v>10</v>
      </c>
      <c r="E57" s="5" cm="1">
        <f t="array" ref="E57">IFERROR(AVERAGE(IF((KASA!$C$2:$C$9980=$C57)*((KASA!$B$2:$B$9980="MAL ALIMI")+(KASA!$B$2:$B$9980="ÜRETİM GİRİŞ")),KASA!$J$2:$J$9980)),0)</f>
        <v>140</v>
      </c>
      <c r="F57" s="5">
        <f>SUMIFS(KASA!$I:$I, KASA!$C:$C, $C57, KASA!$B:$B, "MAL SATIŞI") + SUMIFS(KASA!$I:$I, KASA!$C:$C, $C57, KASA!$B:$B, "ÜRETİM ÇIKIŞ")</f>
        <v>0.28599999999999998</v>
      </c>
      <c r="G57" s="5">
        <f>SUMIFS(KASA!$I:$I, KASA!$C:$C, $C57, KASA!$B:$B, "MAL İADE")</f>
        <v>0</v>
      </c>
      <c r="H57" s="5">
        <f>SUMIFS(KASA!$K:$K, KASA!$C:$C, $C57, KASA!$B:$B, "MAL İADE") + SUMIFS(KASA!$Q:$Q, KASA!$C:$C, $C57, KASA!$B:$B, "MAL İADE")</f>
        <v>0</v>
      </c>
      <c r="I57" s="5">
        <f t="shared" si="0"/>
        <v>0.28599999999999998</v>
      </c>
      <c r="J57" s="5">
        <f t="shared" si="1"/>
        <v>40.04</v>
      </c>
      <c r="K57" s="5">
        <f>SUMIFS(KASA!$Q:$Q, KASA!$C:$C, $C57, KASA!$B:$B, "MAL SATIŞI") + SUMIFS(KASA!$Q:$Q, KASA!$C:$C, $C57, KASA!$B:$B, "ÜRETİM ÇIKIŞ")</f>
        <v>80.08</v>
      </c>
      <c r="L57" s="5">
        <f>SUMIFS(KASA!$K:$K, KASA!$C:$C, $C57, KASA!$B:$B, "MAL SATIŞI") + SUMIFS(KASA!$K:$K, KASA!$C:$C, $C57, KASA!$B:$B, "ÜRETİM ÇIKIŞ")</f>
        <v>0</v>
      </c>
      <c r="M57" s="5">
        <f t="shared" si="2"/>
        <v>80.08</v>
      </c>
      <c r="N57" s="5">
        <f t="shared" si="3"/>
        <v>40.04</v>
      </c>
      <c r="O57" s="65">
        <f t="shared" si="4"/>
        <v>1</v>
      </c>
      <c r="P57" s="5">
        <f t="shared" si="5"/>
        <v>280</v>
      </c>
      <c r="Q57" s="5">
        <f t="shared" si="6"/>
        <v>9.7140000000000004</v>
      </c>
      <c r="R57" s="5">
        <f t="shared" si="7"/>
        <v>1359.96</v>
      </c>
      <c r="S57" s="5">
        <f t="shared" si="8"/>
        <v>1400</v>
      </c>
      <c r="T57">
        <v>9.7100000000000009</v>
      </c>
      <c r="U57" s="2">
        <f t="shared" si="9"/>
        <v>3.9999999999995595E-3</v>
      </c>
      <c r="V57">
        <f>SUMIF(KASA!$C$2:$C$9980, C57, KASA!$T$2:$T$9980)</f>
        <v>9.7140000000000004</v>
      </c>
      <c r="W57">
        <f>SUMIF(KASA!$C$2:$C$9980, C57, KASA!$U$2:$U$9980)</f>
        <v>1359.96</v>
      </c>
      <c r="X57" s="2">
        <f t="shared" si="10"/>
        <v>9.7140000000000004</v>
      </c>
      <c r="Y57" s="2">
        <f t="shared" si="11"/>
        <v>1359.96</v>
      </c>
      <c r="Z57">
        <f>SUMIF(KASA!$C$2:$C$9980, C57, KASA!$V$2:$V$9980)</f>
        <v>1400</v>
      </c>
      <c r="AA57">
        <f t="shared" si="12"/>
        <v>40.039999999999964</v>
      </c>
    </row>
    <row r="58" spans="3:27" x14ac:dyDescent="0.25">
      <c r="C58" s="4" t="s">
        <v>2606</v>
      </c>
      <c r="D58" s="5">
        <f>SUMIFS(KASA!$I:$I, KASA!$C:$C, $C58, KASA!$B:$B, "MAL ALIMI") + SUMIFS(KASA!$I:$I, KASA!$C:$C, $C58, KASA!$B:$B, "ÜRETİM GİRİŞ")</f>
        <v>1</v>
      </c>
      <c r="E58" s="5" cm="1">
        <f t="array" ref="E58">IFERROR(AVERAGE(IF((KASA!$C$2:$C$9980=$C58)*((KASA!$B$2:$B$9980="MAL ALIMI")+(KASA!$B$2:$B$9980="ÜRETİM GİRİŞ")),KASA!$J$2:$J$9980)),0)</f>
        <v>140</v>
      </c>
      <c r="F58" s="5">
        <f>SUMIFS(KASA!$I:$I, KASA!$C:$C, $C58, KASA!$B:$B, "MAL SATIŞI") + SUMIFS(KASA!$I:$I, KASA!$C:$C, $C58, KASA!$B:$B, "ÜRETİM ÇIKIŞ")</f>
        <v>0.7</v>
      </c>
      <c r="G58" s="5">
        <f>SUMIFS(KASA!$I:$I, KASA!$C:$C, $C58, KASA!$B:$B, "MAL İADE")</f>
        <v>0</v>
      </c>
      <c r="H58" s="5">
        <f>SUMIFS(KASA!$K:$K, KASA!$C:$C, $C58, KASA!$B:$B, "MAL İADE") + SUMIFS(KASA!$Q:$Q, KASA!$C:$C, $C58, KASA!$B:$B, "MAL İADE")</f>
        <v>0</v>
      </c>
      <c r="I58" s="5">
        <f t="shared" si="0"/>
        <v>0.7</v>
      </c>
      <c r="J58" s="5">
        <f t="shared" si="1"/>
        <v>98</v>
      </c>
      <c r="K58" s="5">
        <f>SUMIFS(KASA!$Q:$Q, KASA!$C:$C, $C58, KASA!$B:$B, "MAL SATIŞI") + SUMIFS(KASA!$Q:$Q, KASA!$C:$C, $C58, KASA!$B:$B, "ÜRETİM ÇIKIŞ")</f>
        <v>60</v>
      </c>
      <c r="L58" s="5">
        <f>SUMIFS(KASA!$K:$K, KASA!$C:$C, $C58, KASA!$B:$B, "MAL SATIŞI") + SUMIFS(KASA!$K:$K, KASA!$C:$C, $C58, KASA!$B:$B, "ÜRETİM ÇIKIŞ")</f>
        <v>115</v>
      </c>
      <c r="M58" s="5">
        <f t="shared" si="2"/>
        <v>175</v>
      </c>
      <c r="N58" s="5">
        <f t="shared" si="3"/>
        <v>77</v>
      </c>
      <c r="O58" s="65">
        <f t="shared" si="4"/>
        <v>0.7857142857142857</v>
      </c>
      <c r="P58" s="5">
        <f t="shared" si="5"/>
        <v>250.00000000000003</v>
      </c>
      <c r="Q58" s="5">
        <f t="shared" si="6"/>
        <v>0.30000000000000004</v>
      </c>
      <c r="R58" s="5">
        <f t="shared" si="7"/>
        <v>42.000000000000007</v>
      </c>
      <c r="S58" s="5">
        <f t="shared" si="8"/>
        <v>140</v>
      </c>
      <c r="T58">
        <v>0.54</v>
      </c>
      <c r="U58" s="2">
        <f t="shared" si="9"/>
        <v>-0.24</v>
      </c>
      <c r="V58">
        <f>SUMIF(KASA!$C$2:$C$9980, C58, KASA!$T$2:$T$9980)</f>
        <v>0.30000000000000004</v>
      </c>
      <c r="W58">
        <f>SUMIF(KASA!$C$2:$C$9980, C58, KASA!$U$2:$U$9980)</f>
        <v>42.000000000000007</v>
      </c>
      <c r="X58" s="2">
        <f t="shared" si="10"/>
        <v>0.30000000000000004</v>
      </c>
      <c r="Y58" s="2">
        <f t="shared" si="11"/>
        <v>42.000000000000007</v>
      </c>
      <c r="Z58">
        <f>SUMIF(KASA!$C$2:$C$9980, C58, KASA!$V$2:$V$9980)</f>
        <v>140</v>
      </c>
      <c r="AA58">
        <f t="shared" si="12"/>
        <v>98</v>
      </c>
    </row>
    <row r="59" spans="3:27" x14ac:dyDescent="0.25">
      <c r="C59" s="4" t="s">
        <v>2607</v>
      </c>
      <c r="D59" s="5">
        <f>SUMIFS(KASA!$I:$I, KASA!$C:$C, $C59, KASA!$B:$B, "MAL ALIMI") + SUMIFS(KASA!$I:$I, KASA!$C:$C, $C59, KASA!$B:$B, "ÜRETİM GİRİŞ")</f>
        <v>1</v>
      </c>
      <c r="E59" s="5" cm="1">
        <f t="array" ref="E59">IFERROR(AVERAGE(IF((KASA!$C$2:$C$9980=$C59)*((KASA!$B$2:$B$9980="MAL ALIMI")+(KASA!$B$2:$B$9980="ÜRETİM GİRİŞ")),KASA!$J$2:$J$9980)),0)</f>
        <v>180</v>
      </c>
      <c r="F59" s="5">
        <f>SUMIFS(KASA!$I:$I, KASA!$C:$C, $C59, KASA!$B:$B, "MAL SATIŞI") + SUMIFS(KASA!$I:$I, KASA!$C:$C, $C59, KASA!$B:$B, "ÜRETİM ÇIKIŞ")</f>
        <v>0.1</v>
      </c>
      <c r="G59" s="5">
        <f>SUMIFS(KASA!$I:$I, KASA!$C:$C, $C59, KASA!$B:$B, "MAL İADE")</f>
        <v>0</v>
      </c>
      <c r="H59" s="5">
        <f>SUMIFS(KASA!$K:$K, KASA!$C:$C, $C59, KASA!$B:$B, "MAL İADE") + SUMIFS(KASA!$Q:$Q, KASA!$C:$C, $C59, KASA!$B:$B, "MAL İADE")</f>
        <v>0</v>
      </c>
      <c r="I59" s="5">
        <f t="shared" si="0"/>
        <v>0.1</v>
      </c>
      <c r="J59" s="5">
        <f t="shared" si="1"/>
        <v>18</v>
      </c>
      <c r="K59" s="5">
        <f>SUMIFS(KASA!$Q:$Q, KASA!$C:$C, $C59, KASA!$B:$B, "MAL SATIŞI") + SUMIFS(KASA!$Q:$Q, KASA!$C:$C, $C59, KASA!$B:$B, "ÜRETİM ÇIKIŞ")</f>
        <v>0</v>
      </c>
      <c r="L59" s="5">
        <f>SUMIFS(KASA!$K:$K, KASA!$C:$C, $C59, KASA!$B:$B, "MAL SATIŞI") + SUMIFS(KASA!$K:$K, KASA!$C:$C, $C59, KASA!$B:$B, "ÜRETİM ÇIKIŞ")</f>
        <v>45</v>
      </c>
      <c r="M59" s="5">
        <f t="shared" si="2"/>
        <v>45</v>
      </c>
      <c r="N59" s="5">
        <f t="shared" si="3"/>
        <v>27</v>
      </c>
      <c r="O59" s="65">
        <f t="shared" si="4"/>
        <v>1.5</v>
      </c>
      <c r="P59" s="5">
        <f t="shared" si="5"/>
        <v>450</v>
      </c>
      <c r="Q59" s="5">
        <f t="shared" si="6"/>
        <v>0.9</v>
      </c>
      <c r="R59" s="5">
        <f t="shared" si="7"/>
        <v>162</v>
      </c>
      <c r="S59" s="5">
        <f t="shared" si="8"/>
        <v>180</v>
      </c>
      <c r="T59">
        <v>1</v>
      </c>
      <c r="U59" s="2">
        <f t="shared" si="9"/>
        <v>-9.9999999999999978E-2</v>
      </c>
      <c r="V59">
        <f>SUMIF(KASA!$C$2:$C$9980, C59, KASA!$T$2:$T$9980)</f>
        <v>0.9</v>
      </c>
      <c r="W59">
        <f>SUMIF(KASA!$C$2:$C$9980, C59, KASA!$U$2:$U$9980)</f>
        <v>162</v>
      </c>
      <c r="X59" s="2">
        <f t="shared" si="10"/>
        <v>0.9</v>
      </c>
      <c r="Y59" s="2">
        <f t="shared" si="11"/>
        <v>162</v>
      </c>
      <c r="Z59">
        <f>SUMIF(KASA!$C$2:$C$9980, C59, KASA!$V$2:$V$9980)</f>
        <v>180</v>
      </c>
      <c r="AA59">
        <f t="shared" si="12"/>
        <v>18</v>
      </c>
    </row>
    <row r="60" spans="3:27" x14ac:dyDescent="0.25">
      <c r="C60" s="4" t="s">
        <v>2608</v>
      </c>
      <c r="D60" s="5">
        <f>SUMIFS(KASA!$I:$I, KASA!$C:$C, $C60, KASA!$B:$B, "MAL ALIMI") + SUMIFS(KASA!$I:$I, KASA!$C:$C, $C60, KASA!$B:$B, "ÜRETİM GİRİŞ")</f>
        <v>3</v>
      </c>
      <c r="E60" s="5" cm="1">
        <f t="array" ref="E60">IFERROR(AVERAGE(IF((KASA!$C$2:$C$9980=$C60)*((KASA!$B$2:$B$9980="MAL ALIMI")+(KASA!$B$2:$B$9980="ÜRETİM GİRİŞ")),KASA!$J$2:$J$9980)),0)</f>
        <v>195</v>
      </c>
      <c r="F60" s="5">
        <f>SUMIFS(KASA!$I:$I, KASA!$C:$C, $C60, KASA!$B:$B, "MAL SATIŞI") + SUMIFS(KASA!$I:$I, KASA!$C:$C, $C60, KASA!$B:$B, "ÜRETİM ÇIKIŞ")</f>
        <v>0.8</v>
      </c>
      <c r="G60" s="5">
        <f>SUMIFS(KASA!$I:$I, KASA!$C:$C, $C60, KASA!$B:$B, "MAL İADE")</f>
        <v>0</v>
      </c>
      <c r="H60" s="5">
        <f>SUMIFS(KASA!$K:$K, KASA!$C:$C, $C60, KASA!$B:$B, "MAL İADE") + SUMIFS(KASA!$Q:$Q, KASA!$C:$C, $C60, KASA!$B:$B, "MAL İADE")</f>
        <v>0</v>
      </c>
      <c r="I60" s="5">
        <f t="shared" si="0"/>
        <v>0.8</v>
      </c>
      <c r="J60" s="5">
        <f t="shared" si="1"/>
        <v>156</v>
      </c>
      <c r="K60" s="5">
        <f>SUMIFS(KASA!$Q:$Q, KASA!$C:$C, $C60, KASA!$B:$B, "MAL SATIŞI") + SUMIFS(KASA!$Q:$Q, KASA!$C:$C, $C60, KASA!$B:$B, "ÜRETİM ÇIKIŞ")</f>
        <v>140</v>
      </c>
      <c r="L60" s="5">
        <f>SUMIFS(KASA!$K:$K, KASA!$C:$C, $C60, KASA!$B:$B, "MAL SATIŞI") + SUMIFS(KASA!$K:$K, KASA!$C:$C, $C60, KASA!$B:$B, "ÜRETİM ÇIKIŞ")</f>
        <v>250</v>
      </c>
      <c r="M60" s="5">
        <f t="shared" si="2"/>
        <v>390</v>
      </c>
      <c r="N60" s="5">
        <f t="shared" si="3"/>
        <v>234</v>
      </c>
      <c r="O60" s="65">
        <f t="shared" si="4"/>
        <v>1.5</v>
      </c>
      <c r="P60" s="5">
        <f t="shared" si="5"/>
        <v>487.5</v>
      </c>
      <c r="Q60" s="5">
        <f t="shared" si="6"/>
        <v>2.2000000000000002</v>
      </c>
      <c r="R60" s="5">
        <f t="shared" si="7"/>
        <v>429.00000000000006</v>
      </c>
      <c r="S60" s="5">
        <f t="shared" si="8"/>
        <v>585</v>
      </c>
      <c r="T60">
        <v>1</v>
      </c>
      <c r="U60" s="2">
        <f t="shared" si="9"/>
        <v>1.2000000000000002</v>
      </c>
      <c r="V60">
        <f>SUMIF(KASA!$C$2:$C$9980, C60, KASA!$T$2:$T$9980)</f>
        <v>2.2000000000000002</v>
      </c>
      <c r="W60">
        <f>SUMIF(KASA!$C$2:$C$9980, C60, KASA!$U$2:$U$9980)</f>
        <v>474</v>
      </c>
      <c r="X60" s="2">
        <f t="shared" si="10"/>
        <v>2.2000000000000002</v>
      </c>
      <c r="Y60" s="2">
        <f t="shared" si="11"/>
        <v>474</v>
      </c>
      <c r="Z60">
        <f>SUMIF(KASA!$C$2:$C$9980, C60, KASA!$V$2:$V$9980)</f>
        <v>610</v>
      </c>
      <c r="AA60">
        <f t="shared" si="12"/>
        <v>136</v>
      </c>
    </row>
    <row r="61" spans="3:27" x14ac:dyDescent="0.25">
      <c r="C61" s="4" t="s">
        <v>169</v>
      </c>
      <c r="D61" s="5">
        <f>SUMIFS(KASA!$I:$I, KASA!$C:$C, $C61, KASA!$B:$B, "MAL ALIMI") + SUMIFS(KASA!$I:$I, KASA!$C:$C, $C61, KASA!$B:$B, "ÜRETİM GİRİŞ")</f>
        <v>3</v>
      </c>
      <c r="E61" s="5" cm="1">
        <f t="array" ref="E61">IFERROR(AVERAGE(IF((KASA!$C$2:$C$9980=$C61)*((KASA!$B$2:$B$9980="MAL ALIMI")+(KASA!$B$2:$B$9980="ÜRETİM GİRİŞ")),KASA!$J$2:$J$9980)),0)</f>
        <v>99.899999999999991</v>
      </c>
      <c r="F61" s="5">
        <f>SUMIFS(KASA!$I:$I, KASA!$C:$C, $C61, KASA!$B:$B, "MAL SATIŞI") + SUMIFS(KASA!$I:$I, KASA!$C:$C, $C61, KASA!$B:$B, "ÜRETİM ÇIKIŞ")</f>
        <v>3</v>
      </c>
      <c r="G61" s="5">
        <f>SUMIFS(KASA!$I:$I, KASA!$C:$C, $C61, KASA!$B:$B, "MAL İADE")</f>
        <v>0</v>
      </c>
      <c r="H61" s="5">
        <f>SUMIFS(KASA!$K:$K, KASA!$C:$C, $C61, KASA!$B:$B, "MAL İADE") + SUMIFS(KASA!$Q:$Q, KASA!$C:$C, $C61, KASA!$B:$B, "MAL İADE")</f>
        <v>0</v>
      </c>
      <c r="I61" s="5">
        <f t="shared" si="0"/>
        <v>3</v>
      </c>
      <c r="J61" s="5">
        <f t="shared" si="1"/>
        <v>299.7</v>
      </c>
      <c r="K61" s="5">
        <f>SUMIFS(KASA!$Q:$Q, KASA!$C:$C, $C61, KASA!$B:$B, "MAL SATIŞI") + SUMIFS(KASA!$Q:$Q, KASA!$C:$C, $C61, KASA!$B:$B, "ÜRETİM ÇIKIŞ")</f>
        <v>360</v>
      </c>
      <c r="L61" s="5">
        <f>SUMIFS(KASA!$K:$K, KASA!$C:$C, $C61, KASA!$B:$B, "MAL SATIŞI") + SUMIFS(KASA!$K:$K, KASA!$C:$C, $C61, KASA!$B:$B, "ÜRETİM ÇIKIŞ")</f>
        <v>0</v>
      </c>
      <c r="M61" s="5">
        <f t="shared" si="2"/>
        <v>360</v>
      </c>
      <c r="N61" s="5">
        <f t="shared" si="3"/>
        <v>60.300000000000011</v>
      </c>
      <c r="O61" s="65">
        <f t="shared" si="4"/>
        <v>0.20120120120120125</v>
      </c>
      <c r="P61" s="5">
        <f t="shared" si="5"/>
        <v>120</v>
      </c>
      <c r="Q61" s="5">
        <f t="shared" si="6"/>
        <v>0</v>
      </c>
      <c r="R61" s="5">
        <f t="shared" si="7"/>
        <v>0</v>
      </c>
      <c r="S61" s="5">
        <f t="shared" si="8"/>
        <v>299.7</v>
      </c>
      <c r="T61">
        <v>0</v>
      </c>
      <c r="U61" s="2">
        <f t="shared" si="9"/>
        <v>0</v>
      </c>
      <c r="V61">
        <f>SUMIF(KASA!$C$2:$C$9980, C61, KASA!$T$2:$T$9980)</f>
        <v>0</v>
      </c>
      <c r="W61">
        <f>SUMIF(KASA!$C$2:$C$9980, C61, KASA!$U$2:$U$9980)</f>
        <v>0</v>
      </c>
      <c r="X61" s="2">
        <f t="shared" si="10"/>
        <v>0</v>
      </c>
      <c r="Y61" s="2">
        <f t="shared" si="11"/>
        <v>0</v>
      </c>
      <c r="Z61">
        <f>SUMIF(KASA!$C$2:$C$9980, C61, KASA!$V$2:$V$9980)</f>
        <v>299.7</v>
      </c>
      <c r="AA61">
        <f t="shared" si="12"/>
        <v>299.7</v>
      </c>
    </row>
    <row r="62" spans="3:27" x14ac:dyDescent="0.25">
      <c r="C62" s="4" t="s">
        <v>171</v>
      </c>
      <c r="D62" s="5">
        <f>SUMIFS(KASA!$I:$I, KASA!$C:$C, $C62, KASA!$B:$B, "MAL ALIMI") + SUMIFS(KASA!$I:$I, KASA!$C:$C, $C62, KASA!$B:$B, "ÜRETİM GİRİŞ")</f>
        <v>3</v>
      </c>
      <c r="E62" s="5" cm="1">
        <f t="array" ref="E62">IFERROR(AVERAGE(IF((KASA!$C$2:$C$9980=$C62)*((KASA!$B$2:$B$9980="MAL ALIMI")+(KASA!$B$2:$B$9980="ÜRETİM GİRİŞ")),KASA!$J$2:$J$9980)),0)</f>
        <v>79.899999999999991</v>
      </c>
      <c r="F62" s="5">
        <f>SUMIFS(KASA!$I:$I, KASA!$C:$C, $C62, KASA!$B:$B, "MAL SATIŞI") + SUMIFS(KASA!$I:$I, KASA!$C:$C, $C62, KASA!$B:$B, "ÜRETİM ÇIKIŞ")</f>
        <v>3</v>
      </c>
      <c r="G62" s="5">
        <f>SUMIFS(KASA!$I:$I, KASA!$C:$C, $C62, KASA!$B:$B, "MAL İADE")</f>
        <v>0</v>
      </c>
      <c r="H62" s="5">
        <f>SUMIFS(KASA!$K:$K, KASA!$C:$C, $C62, KASA!$B:$B, "MAL İADE") + SUMIFS(KASA!$Q:$Q, KASA!$C:$C, $C62, KASA!$B:$B, "MAL İADE")</f>
        <v>0</v>
      </c>
      <c r="I62" s="5">
        <f t="shared" si="0"/>
        <v>3</v>
      </c>
      <c r="J62" s="5">
        <f t="shared" si="1"/>
        <v>239.7</v>
      </c>
      <c r="K62" s="5">
        <f>SUMIFS(KASA!$Q:$Q, KASA!$C:$C, $C62, KASA!$B:$B, "MAL SATIŞI") + SUMIFS(KASA!$Q:$Q, KASA!$C:$C, $C62, KASA!$B:$B, "ÜRETİM ÇIKIŞ")</f>
        <v>330</v>
      </c>
      <c r="L62" s="5">
        <f>SUMIFS(KASA!$K:$K, KASA!$C:$C, $C62, KASA!$B:$B, "MAL SATIŞI") + SUMIFS(KASA!$K:$K, KASA!$C:$C, $C62, KASA!$B:$B, "ÜRETİM ÇIKIŞ")</f>
        <v>0</v>
      </c>
      <c r="M62" s="5">
        <f t="shared" si="2"/>
        <v>330</v>
      </c>
      <c r="N62" s="5">
        <f t="shared" si="3"/>
        <v>90.300000000000011</v>
      </c>
      <c r="O62" s="65">
        <f t="shared" si="4"/>
        <v>0.37672090112640805</v>
      </c>
      <c r="P62" s="5">
        <f t="shared" si="5"/>
        <v>110</v>
      </c>
      <c r="Q62" s="5">
        <f t="shared" si="6"/>
        <v>0</v>
      </c>
      <c r="R62" s="5">
        <f t="shared" si="7"/>
        <v>0</v>
      </c>
      <c r="S62" s="5">
        <f t="shared" si="8"/>
        <v>239.7</v>
      </c>
      <c r="T62">
        <v>0</v>
      </c>
      <c r="U62" s="2">
        <f t="shared" si="9"/>
        <v>0</v>
      </c>
      <c r="V62">
        <f>SUMIF(KASA!$C$2:$C$9980, C62, KASA!$T$2:$T$9980)</f>
        <v>0</v>
      </c>
      <c r="W62">
        <f>SUMIF(KASA!$C$2:$C$9980, C62, KASA!$U$2:$U$9980)</f>
        <v>0</v>
      </c>
      <c r="X62" s="2">
        <f t="shared" si="10"/>
        <v>0</v>
      </c>
      <c r="Y62" s="2">
        <f t="shared" si="11"/>
        <v>0</v>
      </c>
      <c r="Z62">
        <f>SUMIF(KASA!$C$2:$C$9980, C62, KASA!$V$2:$V$9980)</f>
        <v>239.7</v>
      </c>
      <c r="AA62">
        <f t="shared" si="12"/>
        <v>239.7</v>
      </c>
    </row>
    <row r="63" spans="3:27" x14ac:dyDescent="0.25">
      <c r="C63" s="4" t="s">
        <v>172</v>
      </c>
      <c r="D63" s="5">
        <f>SUMIFS(KASA!$I:$I, KASA!$C:$C, $C63, KASA!$B:$B, "MAL ALIMI") + SUMIFS(KASA!$I:$I, KASA!$C:$C, $C63, KASA!$B:$B, "ÜRETİM GİRİŞ")</f>
        <v>3</v>
      </c>
      <c r="E63" s="5" cm="1">
        <f t="array" ref="E63">IFERROR(AVERAGE(IF((KASA!$C$2:$C$9980=$C63)*((KASA!$B$2:$B$9980="MAL ALIMI")+(KASA!$B$2:$B$9980="ÜRETİM GİRİŞ")),KASA!$J$2:$J$9980)),0)</f>
        <v>75</v>
      </c>
      <c r="F63" s="5">
        <f>SUMIFS(KASA!$I:$I, KASA!$C:$C, $C63, KASA!$B:$B, "MAL SATIŞI") + SUMIFS(KASA!$I:$I, KASA!$C:$C, $C63, KASA!$B:$B, "ÜRETİM ÇIKIŞ")</f>
        <v>3</v>
      </c>
      <c r="G63" s="5">
        <f>SUMIFS(KASA!$I:$I, KASA!$C:$C, $C63, KASA!$B:$B, "MAL İADE")</f>
        <v>0</v>
      </c>
      <c r="H63" s="5">
        <f>SUMIFS(KASA!$K:$K, KASA!$C:$C, $C63, KASA!$B:$B, "MAL İADE") + SUMIFS(KASA!$Q:$Q, KASA!$C:$C, $C63, KASA!$B:$B, "MAL İADE")</f>
        <v>0</v>
      </c>
      <c r="I63" s="5">
        <f t="shared" si="0"/>
        <v>3</v>
      </c>
      <c r="J63" s="5">
        <f t="shared" si="1"/>
        <v>225</v>
      </c>
      <c r="K63" s="5">
        <f>SUMIFS(KASA!$Q:$Q, KASA!$C:$C, $C63, KASA!$B:$B, "MAL SATIŞI") + SUMIFS(KASA!$Q:$Q, KASA!$C:$C, $C63, KASA!$B:$B, "ÜRETİM ÇIKIŞ")</f>
        <v>320</v>
      </c>
      <c r="L63" s="5">
        <f>SUMIFS(KASA!$K:$K, KASA!$C:$C, $C63, KASA!$B:$B, "MAL SATIŞI") + SUMIFS(KASA!$K:$K, KASA!$C:$C, $C63, KASA!$B:$B, "ÜRETİM ÇIKIŞ")</f>
        <v>0</v>
      </c>
      <c r="M63" s="5">
        <f t="shared" si="2"/>
        <v>320</v>
      </c>
      <c r="N63" s="5">
        <f t="shared" si="3"/>
        <v>95</v>
      </c>
      <c r="O63" s="65">
        <f t="shared" si="4"/>
        <v>0.42222222222222222</v>
      </c>
      <c r="P63" s="5">
        <f t="shared" si="5"/>
        <v>106.66666666666667</v>
      </c>
      <c r="Q63" s="5">
        <f t="shared" si="6"/>
        <v>0</v>
      </c>
      <c r="R63" s="5">
        <f t="shared" si="7"/>
        <v>0</v>
      </c>
      <c r="S63" s="5">
        <f t="shared" si="8"/>
        <v>225</v>
      </c>
      <c r="T63">
        <v>0</v>
      </c>
      <c r="U63" s="2">
        <f t="shared" si="9"/>
        <v>0</v>
      </c>
      <c r="V63">
        <f>SUMIF(KASA!$C$2:$C$9980, C63, KASA!$T$2:$T$9980)</f>
        <v>0</v>
      </c>
      <c r="W63">
        <f>SUMIF(KASA!$C$2:$C$9980, C63, KASA!$U$2:$U$9980)</f>
        <v>0</v>
      </c>
      <c r="X63" s="2">
        <f t="shared" si="10"/>
        <v>0</v>
      </c>
      <c r="Y63" s="2">
        <f t="shared" si="11"/>
        <v>0</v>
      </c>
      <c r="Z63">
        <f>SUMIF(KASA!$C$2:$C$9980, C63, KASA!$V$2:$V$9980)</f>
        <v>225</v>
      </c>
      <c r="AA63">
        <f t="shared" si="12"/>
        <v>225</v>
      </c>
    </row>
    <row r="64" spans="3:27" ht="15.75" customHeight="1" x14ac:dyDescent="0.25">
      <c r="C64" s="4" t="s">
        <v>173</v>
      </c>
      <c r="D64" s="5">
        <f>SUMIFS(KASA!$I:$I, KASA!$C:$C, $C64, KASA!$B:$B, "MAL ALIMI") + SUMIFS(KASA!$I:$I, KASA!$C:$C, $C64, KASA!$B:$B, "ÜRETİM GİRİŞ")</f>
        <v>4</v>
      </c>
      <c r="E64" s="5" cm="1">
        <f t="array" ref="E64">IFERROR(AVERAGE(IF((KASA!$C$2:$C$9980=$C64)*((KASA!$B$2:$B$9980="MAL ALIMI")+(KASA!$B$2:$B$9980="ÜRETİM GİRİŞ")),KASA!$J$2:$J$9980)),0)</f>
        <v>79.900000000000006</v>
      </c>
      <c r="F64" s="5">
        <f>SUMIFS(KASA!$I:$I, KASA!$C:$C, $C64, KASA!$B:$B, "MAL SATIŞI") + SUMIFS(KASA!$I:$I, KASA!$C:$C, $C64, KASA!$B:$B, "ÜRETİM ÇIKIŞ")</f>
        <v>2</v>
      </c>
      <c r="G64" s="5">
        <f>SUMIFS(KASA!$I:$I, KASA!$C:$C, $C64, KASA!$B:$B, "MAL İADE")</f>
        <v>0</v>
      </c>
      <c r="H64" s="5">
        <f>SUMIFS(KASA!$K:$K, KASA!$C:$C, $C64, KASA!$B:$B, "MAL İADE") + SUMIFS(KASA!$Q:$Q, KASA!$C:$C, $C64, KASA!$B:$B, "MAL İADE")</f>
        <v>0</v>
      </c>
      <c r="I64" s="5">
        <f t="shared" si="0"/>
        <v>2</v>
      </c>
      <c r="J64" s="5">
        <f t="shared" si="1"/>
        <v>159.80000000000001</v>
      </c>
      <c r="K64" s="5">
        <f>SUMIFS(KASA!$Q:$Q, KASA!$C:$C, $C64, KASA!$B:$B, "MAL SATIŞI") + SUMIFS(KASA!$Q:$Q, KASA!$C:$C, $C64, KASA!$B:$B, "ÜRETİM ÇIKIŞ")</f>
        <v>110</v>
      </c>
      <c r="L64" s="5">
        <f>SUMIFS(KASA!$K:$K, KASA!$C:$C, $C64, KASA!$B:$B, "MAL SATIŞI") + SUMIFS(KASA!$K:$K, KASA!$C:$C, $C64, KASA!$B:$B, "ÜRETİM ÇIKIŞ")</f>
        <v>100</v>
      </c>
      <c r="M64" s="5">
        <f t="shared" si="2"/>
        <v>210</v>
      </c>
      <c r="N64" s="5">
        <f t="shared" si="3"/>
        <v>50.199999999999989</v>
      </c>
      <c r="O64" s="65">
        <f t="shared" si="4"/>
        <v>0.3141426783479348</v>
      </c>
      <c r="P64" s="5">
        <f t="shared" si="5"/>
        <v>105</v>
      </c>
      <c r="Q64" s="5">
        <f t="shared" si="6"/>
        <v>2</v>
      </c>
      <c r="R64" s="5">
        <f t="shared" si="7"/>
        <v>159.80000000000001</v>
      </c>
      <c r="S64" s="5">
        <f t="shared" si="8"/>
        <v>319.60000000000002</v>
      </c>
      <c r="T64">
        <v>2</v>
      </c>
      <c r="U64" s="2">
        <f t="shared" si="9"/>
        <v>0</v>
      </c>
      <c r="V64">
        <f>SUMIF(KASA!$C$2:$C$9980, C64, KASA!$T$2:$T$9980)</f>
        <v>2</v>
      </c>
      <c r="W64">
        <f>SUMIF(KASA!$C$2:$C$9980, C64, KASA!$U$2:$U$9980)</f>
        <v>159.80000000000001</v>
      </c>
      <c r="X64" s="2">
        <f t="shared" si="10"/>
        <v>2</v>
      </c>
      <c r="Y64" s="2">
        <f t="shared" si="11"/>
        <v>159.80000000000001</v>
      </c>
      <c r="Z64">
        <f>SUMIF(KASA!$C$2:$C$9980, C64, KASA!$V$2:$V$9980)</f>
        <v>319.60000000000002</v>
      </c>
      <c r="AA64">
        <f t="shared" si="12"/>
        <v>159.80000000000001</v>
      </c>
    </row>
    <row r="65" spans="3:27" x14ac:dyDescent="0.25">
      <c r="C65" s="4" t="s">
        <v>175</v>
      </c>
      <c r="D65" s="5">
        <f>SUMIFS(KASA!$I:$I, KASA!$C:$C, $C65, KASA!$B:$B, "MAL ALIMI") + SUMIFS(KASA!$I:$I, KASA!$C:$C, $C65, KASA!$B:$B, "ÜRETİM GİRİŞ")</f>
        <v>10</v>
      </c>
      <c r="E65" s="5" cm="1">
        <f t="array" ref="E65">IFERROR(AVERAGE(IF((KASA!$C$2:$C$9980=$C65)*((KASA!$B$2:$B$9980="MAL ALIMI")+(KASA!$B$2:$B$9980="ÜRETİM GİRİŞ")),KASA!$J$2:$J$9980)),0)</f>
        <v>199</v>
      </c>
      <c r="F65" s="5">
        <f>SUMIFS(KASA!$I:$I, KASA!$C:$C, $C65, KASA!$B:$B, "MAL SATIŞI") + SUMIFS(KASA!$I:$I, KASA!$C:$C, $C65, KASA!$B:$B, "ÜRETİM ÇIKIŞ")</f>
        <v>10</v>
      </c>
      <c r="G65" s="5">
        <f>SUMIFS(KASA!$I:$I, KASA!$C:$C, $C65, KASA!$B:$B, "MAL İADE")</f>
        <v>0</v>
      </c>
      <c r="H65" s="5">
        <f>SUMIFS(KASA!$K:$K, KASA!$C:$C, $C65, KASA!$B:$B, "MAL İADE") + SUMIFS(KASA!$Q:$Q, KASA!$C:$C, $C65, KASA!$B:$B, "MAL İADE")</f>
        <v>0</v>
      </c>
      <c r="I65" s="5">
        <f t="shared" si="0"/>
        <v>10</v>
      </c>
      <c r="J65" s="5">
        <f t="shared" si="1"/>
        <v>1990</v>
      </c>
      <c r="K65" s="5">
        <f>SUMIFS(KASA!$Q:$Q, KASA!$C:$C, $C65, KASA!$B:$B, "MAL SATIŞI") + SUMIFS(KASA!$Q:$Q, KASA!$C:$C, $C65, KASA!$B:$B, "ÜRETİM ÇIKIŞ")</f>
        <v>2305</v>
      </c>
      <c r="L65" s="5">
        <f>SUMIFS(KASA!$K:$K, KASA!$C:$C, $C65, KASA!$B:$B, "MAL SATIŞI") + SUMIFS(KASA!$K:$K, KASA!$C:$C, $C65, KASA!$B:$B, "ÜRETİM ÇIKIŞ")</f>
        <v>0</v>
      </c>
      <c r="M65" s="5">
        <f t="shared" si="2"/>
        <v>2305</v>
      </c>
      <c r="N65" s="5">
        <f t="shared" si="3"/>
        <v>315</v>
      </c>
      <c r="O65" s="65">
        <f t="shared" si="4"/>
        <v>0.15829145728643215</v>
      </c>
      <c r="P65" s="5">
        <f t="shared" si="5"/>
        <v>230.5</v>
      </c>
      <c r="Q65" s="5">
        <f t="shared" si="6"/>
        <v>0</v>
      </c>
      <c r="R65" s="5">
        <f t="shared" si="7"/>
        <v>0</v>
      </c>
      <c r="S65" s="5">
        <f t="shared" si="8"/>
        <v>1990</v>
      </c>
      <c r="T65">
        <v>0</v>
      </c>
      <c r="U65" s="2">
        <f t="shared" si="9"/>
        <v>0</v>
      </c>
      <c r="V65">
        <f>SUMIF(KASA!$C$2:$C$9980, C65, KASA!$T$2:$T$9980)</f>
        <v>0</v>
      </c>
      <c r="W65">
        <f>SUMIF(KASA!$C$2:$C$9980, C65, KASA!$U$2:$U$9980)</f>
        <v>0</v>
      </c>
      <c r="X65" s="2">
        <f t="shared" si="10"/>
        <v>0</v>
      </c>
      <c r="Y65" s="2">
        <f t="shared" si="11"/>
        <v>0</v>
      </c>
      <c r="Z65">
        <f>SUMIF(KASA!$C$2:$C$9980, C65, KASA!$V$2:$V$9980)</f>
        <v>1990</v>
      </c>
      <c r="AA65">
        <f t="shared" si="12"/>
        <v>1990</v>
      </c>
    </row>
    <row r="66" spans="3:27" x14ac:dyDescent="0.25">
      <c r="C66" s="4" t="s">
        <v>178</v>
      </c>
      <c r="D66" s="5">
        <f>SUMIFS(KASA!$I:$I, KASA!$C:$C, $C66, KASA!$B:$B, "MAL ALIMI") + SUMIFS(KASA!$I:$I, KASA!$C:$C, $C66, KASA!$B:$B, "ÜRETİM GİRİŞ")</f>
        <v>22</v>
      </c>
      <c r="E66" s="5" cm="1">
        <f t="array" ref="E66">IFERROR(AVERAGE(IF((KASA!$C$2:$C$9980=$C66)*((KASA!$B$2:$B$9980="MAL ALIMI")+(KASA!$B$2:$B$9980="ÜRETİM GİRİŞ")),KASA!$J$2:$J$9980)),0)</f>
        <v>49</v>
      </c>
      <c r="F66" s="5">
        <f>SUMIFS(KASA!$I:$I, KASA!$C:$C, $C66, KASA!$B:$B, "MAL SATIŞI") + SUMIFS(KASA!$I:$I, KASA!$C:$C, $C66, KASA!$B:$B, "ÜRETİM ÇIKIŞ")</f>
        <v>7</v>
      </c>
      <c r="G66" s="5">
        <f>SUMIFS(KASA!$I:$I, KASA!$C:$C, $C66, KASA!$B:$B, "MAL İADE")</f>
        <v>0</v>
      </c>
      <c r="H66" s="5">
        <f>SUMIFS(KASA!$K:$K, KASA!$C:$C, $C66, KASA!$B:$B, "MAL İADE") + SUMIFS(KASA!$Q:$Q, KASA!$C:$C, $C66, KASA!$B:$B, "MAL İADE")</f>
        <v>0</v>
      </c>
      <c r="I66" s="5">
        <f t="shared" ref="I66:I129" si="13">F66+G66</f>
        <v>7</v>
      </c>
      <c r="J66" s="5">
        <f t="shared" ref="J66:J129" si="14">E66*F66</f>
        <v>343</v>
      </c>
      <c r="K66" s="5">
        <f>SUMIFS(KASA!$Q:$Q, KASA!$C:$C, $C66, KASA!$B:$B, "MAL SATIŞI") + SUMIFS(KASA!$Q:$Q, KASA!$C:$C, $C66, KASA!$B:$B, "ÜRETİM ÇIKIŞ")</f>
        <v>655</v>
      </c>
      <c r="L66" s="5">
        <f>SUMIFS(KASA!$K:$K, KASA!$C:$C, $C66, KASA!$B:$B, "MAL SATIŞI") + SUMIFS(KASA!$K:$K, KASA!$C:$C, $C66, KASA!$B:$B, "ÜRETİM ÇIKIŞ")</f>
        <v>0</v>
      </c>
      <c r="M66" s="5">
        <f t="shared" ref="M66:M129" si="15">K66+L66</f>
        <v>655</v>
      </c>
      <c r="N66" s="5">
        <f t="shared" ref="N66:N129" si="16">M66-J66</f>
        <v>312</v>
      </c>
      <c r="O66" s="65">
        <f t="shared" ref="O66:O129" si="17">IFERROR(((M66-J66)/J66),0)</f>
        <v>0.90962099125364426</v>
      </c>
      <c r="P66" s="5">
        <f t="shared" ref="P66:P129" si="18">M66/F66</f>
        <v>93.571428571428569</v>
      </c>
      <c r="Q66" s="5">
        <f t="shared" ref="Q66:Q129" si="19">D66-F66-G66</f>
        <v>15</v>
      </c>
      <c r="R66" s="5">
        <f t="shared" ref="R66:R129" si="20">Q66*E66</f>
        <v>735</v>
      </c>
      <c r="S66" s="5">
        <f t="shared" ref="S66:S129" si="21">D66*E66</f>
        <v>1078</v>
      </c>
      <c r="T66">
        <v>17</v>
      </c>
      <c r="U66" s="2">
        <f t="shared" ref="U66:U129" si="22">Q66-T66</f>
        <v>-2</v>
      </c>
      <c r="V66">
        <f>SUMIF(KASA!$C$2:$C$9980, C66, KASA!$T$2:$T$9980)</f>
        <v>15</v>
      </c>
      <c r="W66">
        <f>SUMIF(KASA!$C$2:$C$9980, C66, KASA!$U$2:$U$9980)</f>
        <v>667.5</v>
      </c>
      <c r="X66" s="2">
        <f t="shared" si="10"/>
        <v>15</v>
      </c>
      <c r="Y66" s="2">
        <f t="shared" si="11"/>
        <v>667.5</v>
      </c>
      <c r="Z66">
        <f>SUMIF(KASA!$C$2:$C$9980, C66, KASA!$V$2:$V$9980)</f>
        <v>1042</v>
      </c>
      <c r="AA66">
        <f t="shared" si="12"/>
        <v>374.5</v>
      </c>
    </row>
    <row r="67" spans="3:27" x14ac:dyDescent="0.25">
      <c r="C67" s="4" t="s">
        <v>179</v>
      </c>
      <c r="D67" s="5">
        <f>SUMIFS(KASA!$I:$I, KASA!$C:$C, $C67, KASA!$B:$B, "MAL ALIMI") + SUMIFS(KASA!$I:$I, KASA!$C:$C, $C67, KASA!$B:$B, "ÜRETİM GİRİŞ")</f>
        <v>12</v>
      </c>
      <c r="E67" s="5" cm="1">
        <f t="array" ref="E67">IFERROR(AVERAGE(IF((KASA!$C$2:$C$9980=$C67)*((KASA!$B$2:$B$9980="MAL ALIMI")+(KASA!$B$2:$B$9980="ÜRETİM GİRİŞ")),KASA!$J$2:$J$9980)),0)</f>
        <v>90</v>
      </c>
      <c r="F67" s="5">
        <f>SUMIFS(KASA!$I:$I, KASA!$C:$C, $C67, KASA!$B:$B, "MAL SATIŞI") + SUMIFS(KASA!$I:$I, KASA!$C:$C, $C67, KASA!$B:$B, "ÜRETİM ÇIKIŞ")</f>
        <v>12</v>
      </c>
      <c r="G67" s="5">
        <f>SUMIFS(KASA!$I:$I, KASA!$C:$C, $C67, KASA!$B:$B, "MAL İADE")</f>
        <v>0</v>
      </c>
      <c r="H67" s="5">
        <f>SUMIFS(KASA!$K:$K, KASA!$C:$C, $C67, KASA!$B:$B, "MAL İADE") + SUMIFS(KASA!$Q:$Q, KASA!$C:$C, $C67, KASA!$B:$B, "MAL İADE")</f>
        <v>0</v>
      </c>
      <c r="I67" s="5">
        <f t="shared" si="13"/>
        <v>12</v>
      </c>
      <c r="J67" s="5">
        <f t="shared" si="14"/>
        <v>1080</v>
      </c>
      <c r="K67" s="5">
        <f>SUMIFS(KASA!$Q:$Q, KASA!$C:$C, $C67, KASA!$B:$B, "MAL SATIŞI") + SUMIFS(KASA!$Q:$Q, KASA!$C:$C, $C67, KASA!$B:$B, "ÜRETİM ÇIKIŞ")</f>
        <v>1760</v>
      </c>
      <c r="L67" s="5">
        <f>SUMIFS(KASA!$K:$K, KASA!$C:$C, $C67, KASA!$B:$B, "MAL SATIŞI") + SUMIFS(KASA!$K:$K, KASA!$C:$C, $C67, KASA!$B:$B, "ÜRETİM ÇIKIŞ")</f>
        <v>160</v>
      </c>
      <c r="M67" s="5">
        <f t="shared" si="15"/>
        <v>1920</v>
      </c>
      <c r="N67" s="5">
        <f t="shared" si="16"/>
        <v>840</v>
      </c>
      <c r="O67" s="65">
        <f t="shared" si="17"/>
        <v>0.77777777777777779</v>
      </c>
      <c r="P67" s="5">
        <f t="shared" si="18"/>
        <v>160</v>
      </c>
      <c r="Q67" s="5">
        <f t="shared" si="19"/>
        <v>0</v>
      </c>
      <c r="R67" s="5">
        <f t="shared" si="20"/>
        <v>0</v>
      </c>
      <c r="S67" s="5">
        <f t="shared" si="21"/>
        <v>1080</v>
      </c>
      <c r="T67">
        <v>2</v>
      </c>
      <c r="U67" s="2">
        <f t="shared" si="22"/>
        <v>-2</v>
      </c>
      <c r="V67">
        <f>SUMIF(KASA!$C$2:$C$9980, C67, KASA!$T$2:$T$9980)</f>
        <v>0</v>
      </c>
      <c r="W67">
        <f>SUMIF(KASA!$C$2:$C$9980, C67, KASA!$U$2:$U$9980)</f>
        <v>0</v>
      </c>
      <c r="X67" s="2">
        <f t="shared" ref="X67:X130" si="23">V67-G67</f>
        <v>0</v>
      </c>
      <c r="Y67" s="2">
        <f t="shared" ref="Y67:Y130" si="24">W67-H67</f>
        <v>0</v>
      </c>
      <c r="Z67">
        <f>SUMIF(KASA!$C$2:$C$9980, C67, KASA!$V$2:$V$9980)</f>
        <v>1080</v>
      </c>
      <c r="AA67">
        <f t="shared" ref="AA67:AA130" si="25">Z67-W67</f>
        <v>1080</v>
      </c>
    </row>
    <row r="68" spans="3:27" x14ac:dyDescent="0.25">
      <c r="C68" s="4" t="s">
        <v>180</v>
      </c>
      <c r="D68" s="5">
        <f>SUMIFS(KASA!$I:$I, KASA!$C:$C, $C68, KASA!$B:$B, "MAL ALIMI") + SUMIFS(KASA!$I:$I, KASA!$C:$C, $C68, KASA!$B:$B, "ÜRETİM GİRİŞ")</f>
        <v>12</v>
      </c>
      <c r="E68" s="5" cm="1">
        <f t="array" ref="E68">IFERROR(AVERAGE(IF((KASA!$C$2:$C$9980=$C68)*((KASA!$B$2:$B$9980="MAL ALIMI")+(KASA!$B$2:$B$9980="ÜRETİM GİRİŞ")),KASA!$J$2:$J$9980)),0)</f>
        <v>95</v>
      </c>
      <c r="F68" s="5">
        <f>SUMIFS(KASA!$I:$I, KASA!$C:$C, $C68, KASA!$B:$B, "MAL SATIŞI") + SUMIFS(KASA!$I:$I, KASA!$C:$C, $C68, KASA!$B:$B, "ÜRETİM ÇIKIŞ")</f>
        <v>8</v>
      </c>
      <c r="G68" s="5">
        <f>SUMIFS(KASA!$I:$I, KASA!$C:$C, $C68, KASA!$B:$B, "MAL İADE")</f>
        <v>0</v>
      </c>
      <c r="H68" s="5">
        <f>SUMIFS(KASA!$K:$K, KASA!$C:$C, $C68, KASA!$B:$B, "MAL İADE") + SUMIFS(KASA!$Q:$Q, KASA!$C:$C, $C68, KASA!$B:$B, "MAL İADE")</f>
        <v>0</v>
      </c>
      <c r="I68" s="5">
        <f t="shared" si="13"/>
        <v>8</v>
      </c>
      <c r="J68" s="5">
        <f t="shared" si="14"/>
        <v>760</v>
      </c>
      <c r="K68" s="5">
        <f>SUMIFS(KASA!$Q:$Q, KASA!$C:$C, $C68, KASA!$B:$B, "MAL SATIŞI") + SUMIFS(KASA!$Q:$Q, KASA!$C:$C, $C68, KASA!$B:$B, "ÜRETİM ÇIKIŞ")</f>
        <v>1190</v>
      </c>
      <c r="L68" s="5">
        <f>SUMIFS(KASA!$K:$K, KASA!$C:$C, $C68, KASA!$B:$B, "MAL SATIŞI") + SUMIFS(KASA!$K:$K, KASA!$C:$C, $C68, KASA!$B:$B, "ÜRETİM ÇIKIŞ")</f>
        <v>170</v>
      </c>
      <c r="M68" s="5">
        <f t="shared" si="15"/>
        <v>1360</v>
      </c>
      <c r="N68" s="5">
        <f t="shared" si="16"/>
        <v>600</v>
      </c>
      <c r="O68" s="65">
        <f t="shared" si="17"/>
        <v>0.78947368421052633</v>
      </c>
      <c r="P68" s="5">
        <f t="shared" si="18"/>
        <v>170</v>
      </c>
      <c r="Q68" s="5">
        <f t="shared" si="19"/>
        <v>4</v>
      </c>
      <c r="R68" s="5">
        <f t="shared" si="20"/>
        <v>380</v>
      </c>
      <c r="S68" s="5">
        <f t="shared" si="21"/>
        <v>1140</v>
      </c>
      <c r="T68">
        <v>4</v>
      </c>
      <c r="U68" s="2">
        <f t="shared" si="22"/>
        <v>0</v>
      </c>
      <c r="V68">
        <f>SUMIF(KASA!$C$2:$C$9980, C68, KASA!$T$2:$T$9980)</f>
        <v>4</v>
      </c>
      <c r="W68">
        <f>SUMIF(KASA!$C$2:$C$9980, C68, KASA!$U$2:$U$9980)</f>
        <v>380</v>
      </c>
      <c r="X68" s="2">
        <f t="shared" si="23"/>
        <v>4</v>
      </c>
      <c r="Y68" s="2">
        <f t="shared" si="24"/>
        <v>380</v>
      </c>
      <c r="Z68">
        <f>SUMIF(KASA!$C$2:$C$9980, C68, KASA!$V$2:$V$9980)</f>
        <v>1140</v>
      </c>
      <c r="AA68">
        <f t="shared" si="25"/>
        <v>760</v>
      </c>
    </row>
    <row r="69" spans="3:27" x14ac:dyDescent="0.25">
      <c r="C69" s="4" t="s">
        <v>181</v>
      </c>
      <c r="D69" s="5">
        <f>SUMIFS(KASA!$I:$I, KASA!$C:$C, $C69, KASA!$B:$B, "MAL ALIMI") + SUMIFS(KASA!$I:$I, KASA!$C:$C, $C69, KASA!$B:$B, "ÜRETİM GİRİŞ")</f>
        <v>6</v>
      </c>
      <c r="E69" s="5" cm="1">
        <f t="array" ref="E69">IFERROR(AVERAGE(IF((KASA!$C$2:$C$9980=$C69)*((KASA!$B$2:$B$9980="MAL ALIMI")+(KASA!$B$2:$B$9980="ÜRETİM GİRİŞ")),KASA!$J$2:$J$9980)),0)</f>
        <v>75</v>
      </c>
      <c r="F69" s="5">
        <f>SUMIFS(KASA!$I:$I, KASA!$C:$C, $C69, KASA!$B:$B, "MAL SATIŞI") + SUMIFS(KASA!$I:$I, KASA!$C:$C, $C69, KASA!$B:$B, "ÜRETİM ÇIKIŞ")</f>
        <v>6</v>
      </c>
      <c r="G69" s="5">
        <f>SUMIFS(KASA!$I:$I, KASA!$C:$C, $C69, KASA!$B:$B, "MAL İADE")</f>
        <v>0</v>
      </c>
      <c r="H69" s="5">
        <f>SUMIFS(KASA!$K:$K, KASA!$C:$C, $C69, KASA!$B:$B, "MAL İADE") + SUMIFS(KASA!$Q:$Q, KASA!$C:$C, $C69, KASA!$B:$B, "MAL İADE")</f>
        <v>0</v>
      </c>
      <c r="I69" s="5">
        <f t="shared" si="13"/>
        <v>6</v>
      </c>
      <c r="J69" s="5">
        <f t="shared" si="14"/>
        <v>450</v>
      </c>
      <c r="K69" s="5">
        <f>SUMIFS(KASA!$Q:$Q, KASA!$C:$C, $C69, KASA!$B:$B, "MAL SATIŞI") + SUMIFS(KASA!$Q:$Q, KASA!$C:$C, $C69, KASA!$B:$B, "ÜRETİM ÇIKIŞ")</f>
        <v>475</v>
      </c>
      <c r="L69" s="5">
        <f>SUMIFS(KASA!$K:$K, KASA!$C:$C, $C69, KASA!$B:$B, "MAL SATIŞI") + SUMIFS(KASA!$K:$K, KASA!$C:$C, $C69, KASA!$B:$B, "ÜRETİM ÇIKIŞ")</f>
        <v>95</v>
      </c>
      <c r="M69" s="5">
        <f t="shared" si="15"/>
        <v>570</v>
      </c>
      <c r="N69" s="5">
        <f t="shared" si="16"/>
        <v>120</v>
      </c>
      <c r="O69" s="65">
        <f t="shared" si="17"/>
        <v>0.26666666666666666</v>
      </c>
      <c r="P69" s="5">
        <f t="shared" si="18"/>
        <v>95</v>
      </c>
      <c r="Q69" s="5">
        <f t="shared" si="19"/>
        <v>0</v>
      </c>
      <c r="R69" s="5">
        <f t="shared" si="20"/>
        <v>0</v>
      </c>
      <c r="S69" s="5">
        <f t="shared" si="21"/>
        <v>450</v>
      </c>
      <c r="T69">
        <v>4</v>
      </c>
      <c r="U69" s="2">
        <f t="shared" si="22"/>
        <v>-4</v>
      </c>
      <c r="V69">
        <f>SUMIF(KASA!$C$2:$C$9980, C69, KASA!$T$2:$T$9980)</f>
        <v>0</v>
      </c>
      <c r="W69">
        <f>SUMIF(KASA!$C$2:$C$9980, C69, KASA!$U$2:$U$9980)</f>
        <v>0</v>
      </c>
      <c r="X69" s="2">
        <f t="shared" si="23"/>
        <v>0</v>
      </c>
      <c r="Y69" s="2">
        <f t="shared" si="24"/>
        <v>0</v>
      </c>
      <c r="Z69">
        <f>SUMIF(KASA!$C$2:$C$9980, C69, KASA!$V$2:$V$9980)</f>
        <v>450</v>
      </c>
      <c r="AA69">
        <f t="shared" si="25"/>
        <v>450</v>
      </c>
    </row>
    <row r="70" spans="3:27" x14ac:dyDescent="0.25">
      <c r="C70" s="4" t="s">
        <v>182</v>
      </c>
      <c r="D70" s="5">
        <f>SUMIFS(KASA!$I:$I, KASA!$C:$C, $C70, KASA!$B:$B, "MAL ALIMI") + SUMIFS(KASA!$I:$I, KASA!$C:$C, $C70, KASA!$B:$B, "ÜRETİM GİRİŞ")</f>
        <v>1</v>
      </c>
      <c r="E70" s="5" cm="1">
        <f t="array" ref="E70">IFERROR(AVERAGE(IF((KASA!$C$2:$C$9980=$C70)*((KASA!$B$2:$B$9980="MAL ALIMI")+(KASA!$B$2:$B$9980="ÜRETİM GİRİŞ")),KASA!$J$2:$J$9980)),0)</f>
        <v>125</v>
      </c>
      <c r="F70" s="5">
        <f>SUMIFS(KASA!$I:$I, KASA!$C:$C, $C70, KASA!$B:$B, "MAL SATIŞI") + SUMIFS(KASA!$I:$I, KASA!$C:$C, $C70, KASA!$B:$B, "ÜRETİM ÇIKIŞ")</f>
        <v>1</v>
      </c>
      <c r="G70" s="5">
        <f>SUMIFS(KASA!$I:$I, KASA!$C:$C, $C70, KASA!$B:$B, "MAL İADE")</f>
        <v>0</v>
      </c>
      <c r="H70" s="5">
        <f>SUMIFS(KASA!$K:$K, KASA!$C:$C, $C70, KASA!$B:$B, "MAL İADE") + SUMIFS(KASA!$Q:$Q, KASA!$C:$C, $C70, KASA!$B:$B, "MAL İADE")</f>
        <v>0</v>
      </c>
      <c r="I70" s="5">
        <f t="shared" si="13"/>
        <v>1</v>
      </c>
      <c r="J70" s="5">
        <f t="shared" si="14"/>
        <v>125</v>
      </c>
      <c r="K70" s="5">
        <f>SUMIFS(KASA!$Q:$Q, KASA!$C:$C, $C70, KASA!$B:$B, "MAL SATIŞI") + SUMIFS(KASA!$Q:$Q, KASA!$C:$C, $C70, KASA!$B:$B, "ÜRETİM ÇIKIŞ")</f>
        <v>190</v>
      </c>
      <c r="L70" s="5">
        <f>SUMIFS(KASA!$K:$K, KASA!$C:$C, $C70, KASA!$B:$B, "MAL SATIŞI") + SUMIFS(KASA!$K:$K, KASA!$C:$C, $C70, KASA!$B:$B, "ÜRETİM ÇIKIŞ")</f>
        <v>0</v>
      </c>
      <c r="M70" s="5">
        <f t="shared" si="15"/>
        <v>190</v>
      </c>
      <c r="N70" s="5">
        <f t="shared" si="16"/>
        <v>65</v>
      </c>
      <c r="O70" s="65">
        <f t="shared" si="17"/>
        <v>0.52</v>
      </c>
      <c r="P70" s="5">
        <f t="shared" si="18"/>
        <v>190</v>
      </c>
      <c r="Q70" s="5">
        <f t="shared" si="19"/>
        <v>0</v>
      </c>
      <c r="R70" s="5">
        <f t="shared" si="20"/>
        <v>0</v>
      </c>
      <c r="S70" s="5">
        <f t="shared" si="21"/>
        <v>125</v>
      </c>
      <c r="T70">
        <v>0</v>
      </c>
      <c r="U70" s="2">
        <f t="shared" si="22"/>
        <v>0</v>
      </c>
      <c r="V70">
        <f>SUMIF(KASA!$C$2:$C$9980, C70, KASA!$T$2:$T$9980)</f>
        <v>0</v>
      </c>
      <c r="W70">
        <f>SUMIF(KASA!$C$2:$C$9980, C70, KASA!$U$2:$U$9980)</f>
        <v>0</v>
      </c>
      <c r="X70" s="2">
        <f t="shared" si="23"/>
        <v>0</v>
      </c>
      <c r="Y70" s="2">
        <f t="shared" si="24"/>
        <v>0</v>
      </c>
      <c r="Z70">
        <f>SUMIF(KASA!$C$2:$C$9980, C70, KASA!$V$2:$V$9980)</f>
        <v>125</v>
      </c>
      <c r="AA70">
        <f t="shared" si="25"/>
        <v>125</v>
      </c>
    </row>
    <row r="71" spans="3:27" x14ac:dyDescent="0.25">
      <c r="C71" s="4" t="s">
        <v>184</v>
      </c>
      <c r="D71" s="5">
        <f>SUMIFS(KASA!$I:$I, KASA!$C:$C, $C71, KASA!$B:$B, "MAL ALIMI") + SUMIFS(KASA!$I:$I, KASA!$C:$C, $C71, KASA!$B:$B, "ÜRETİM GİRİŞ")</f>
        <v>7</v>
      </c>
      <c r="E71" s="5" cm="1">
        <f t="array" ref="E71">IFERROR(AVERAGE(IF((KASA!$C$2:$C$9980=$C71)*((KASA!$B$2:$B$9980="MAL ALIMI")+(KASA!$B$2:$B$9980="ÜRETİM GİRİŞ")),KASA!$J$2:$J$9980)),0)</f>
        <v>159</v>
      </c>
      <c r="F71" s="5">
        <f>SUMIFS(KASA!$I:$I, KASA!$C:$C, $C71, KASA!$B:$B, "MAL SATIŞI") + SUMIFS(KASA!$I:$I, KASA!$C:$C, $C71, KASA!$B:$B, "ÜRETİM ÇIKIŞ")</f>
        <v>5</v>
      </c>
      <c r="G71" s="5">
        <f>SUMIFS(KASA!$I:$I, KASA!$C:$C, $C71, KASA!$B:$B, "MAL İADE")</f>
        <v>0</v>
      </c>
      <c r="H71" s="5">
        <f>SUMIFS(KASA!$K:$K, KASA!$C:$C, $C71, KASA!$B:$B, "MAL İADE") + SUMIFS(KASA!$Q:$Q, KASA!$C:$C, $C71, KASA!$B:$B, "MAL İADE")</f>
        <v>0</v>
      </c>
      <c r="I71" s="5">
        <f t="shared" si="13"/>
        <v>5</v>
      </c>
      <c r="J71" s="5">
        <f t="shared" si="14"/>
        <v>795</v>
      </c>
      <c r="K71" s="5">
        <f>SUMIFS(KASA!$Q:$Q, KASA!$C:$C, $C71, KASA!$B:$B, "MAL SATIŞI") + SUMIFS(KASA!$Q:$Q, KASA!$C:$C, $C71, KASA!$B:$B, "ÜRETİM ÇIKIŞ")</f>
        <v>1100</v>
      </c>
      <c r="L71" s="5">
        <f>SUMIFS(KASA!$K:$K, KASA!$C:$C, $C71, KASA!$B:$B, "MAL SATIŞI") + SUMIFS(KASA!$K:$K, KASA!$C:$C, $C71, KASA!$B:$B, "ÜRETİM ÇIKIŞ")</f>
        <v>0</v>
      </c>
      <c r="M71" s="5">
        <f t="shared" si="15"/>
        <v>1100</v>
      </c>
      <c r="N71" s="5">
        <f t="shared" si="16"/>
        <v>305</v>
      </c>
      <c r="O71" s="65">
        <f t="shared" si="17"/>
        <v>0.38364779874213839</v>
      </c>
      <c r="P71" s="5">
        <f t="shared" si="18"/>
        <v>220</v>
      </c>
      <c r="Q71" s="5">
        <f t="shared" si="19"/>
        <v>2</v>
      </c>
      <c r="R71" s="5">
        <f t="shared" si="20"/>
        <v>318</v>
      </c>
      <c r="S71" s="5">
        <f t="shared" si="21"/>
        <v>1113</v>
      </c>
      <c r="T71">
        <v>2</v>
      </c>
      <c r="U71" s="2">
        <f t="shared" si="22"/>
        <v>0</v>
      </c>
      <c r="V71">
        <f>SUMIF(KASA!$C$2:$C$9980, C71, KASA!$T$2:$T$9980)</f>
        <v>2</v>
      </c>
      <c r="W71">
        <f>SUMIF(KASA!$C$2:$C$9980, C71, KASA!$U$2:$U$9980)</f>
        <v>318</v>
      </c>
      <c r="X71" s="2">
        <f t="shared" si="23"/>
        <v>2</v>
      </c>
      <c r="Y71" s="2">
        <f t="shared" si="24"/>
        <v>318</v>
      </c>
      <c r="Z71">
        <f>SUMIF(KASA!$C$2:$C$9980, C71, KASA!$V$2:$V$9980)</f>
        <v>1113</v>
      </c>
      <c r="AA71">
        <f t="shared" si="25"/>
        <v>795</v>
      </c>
    </row>
    <row r="72" spans="3:27" x14ac:dyDescent="0.25">
      <c r="C72" s="4" t="s">
        <v>183</v>
      </c>
      <c r="D72" s="5">
        <f>SUMIFS(KASA!$I:$I, KASA!$C:$C, $C72, KASA!$B:$B, "MAL ALIMI") + SUMIFS(KASA!$I:$I, KASA!$C:$C, $C72, KASA!$B:$B, "ÜRETİM GİRİŞ")</f>
        <v>4</v>
      </c>
      <c r="E72" s="5" cm="1">
        <f t="array" ref="E72">IFERROR(AVERAGE(IF((KASA!$C$2:$C$9980=$C72)*((KASA!$B$2:$B$9980="MAL ALIMI")+(KASA!$B$2:$B$9980="ÜRETİM GİRİŞ")),KASA!$J$2:$J$9980)),0)</f>
        <v>165</v>
      </c>
      <c r="F72" s="5">
        <f>SUMIFS(KASA!$I:$I, KASA!$C:$C, $C72, KASA!$B:$B, "MAL SATIŞI") + SUMIFS(KASA!$I:$I, KASA!$C:$C, $C72, KASA!$B:$B, "ÜRETİM ÇIKIŞ")</f>
        <v>1</v>
      </c>
      <c r="G72" s="5">
        <f>SUMIFS(KASA!$I:$I, KASA!$C:$C, $C72, KASA!$B:$B, "MAL İADE")</f>
        <v>0</v>
      </c>
      <c r="H72" s="5">
        <f>SUMIFS(KASA!$K:$K, KASA!$C:$C, $C72, KASA!$B:$B, "MAL İADE") + SUMIFS(KASA!$Q:$Q, KASA!$C:$C, $C72, KASA!$B:$B, "MAL İADE")</f>
        <v>0</v>
      </c>
      <c r="I72" s="5">
        <f t="shared" si="13"/>
        <v>1</v>
      </c>
      <c r="J72" s="5">
        <f t="shared" si="14"/>
        <v>165</v>
      </c>
      <c r="K72" s="5">
        <f>SUMIFS(KASA!$Q:$Q, KASA!$C:$C, $C72, KASA!$B:$B, "MAL SATIŞI") + SUMIFS(KASA!$Q:$Q, KASA!$C:$C, $C72, KASA!$B:$B, "ÜRETİM ÇIKIŞ")</f>
        <v>210</v>
      </c>
      <c r="L72" s="5">
        <f>SUMIFS(KASA!$K:$K, KASA!$C:$C, $C72, KASA!$B:$B, "MAL SATIŞI") + SUMIFS(KASA!$K:$K, KASA!$C:$C, $C72, KASA!$B:$B, "ÜRETİM ÇIKIŞ")</f>
        <v>0</v>
      </c>
      <c r="M72" s="5">
        <f t="shared" si="15"/>
        <v>210</v>
      </c>
      <c r="N72" s="5">
        <f t="shared" si="16"/>
        <v>45</v>
      </c>
      <c r="O72" s="65">
        <f t="shared" si="17"/>
        <v>0.27272727272727271</v>
      </c>
      <c r="P72" s="5">
        <f t="shared" si="18"/>
        <v>210</v>
      </c>
      <c r="Q72" s="5">
        <f t="shared" si="19"/>
        <v>3</v>
      </c>
      <c r="R72" s="5">
        <f t="shared" si="20"/>
        <v>495</v>
      </c>
      <c r="S72" s="5">
        <f t="shared" si="21"/>
        <v>660</v>
      </c>
      <c r="T72">
        <v>4</v>
      </c>
      <c r="U72" s="2">
        <f t="shared" si="22"/>
        <v>-1</v>
      </c>
      <c r="V72">
        <f>SUMIF(KASA!$C$2:$C$9980, C72, KASA!$T$2:$T$9980)</f>
        <v>3</v>
      </c>
      <c r="W72">
        <f>SUMIF(KASA!$C$2:$C$9980, C72, KASA!$U$2:$U$9980)</f>
        <v>505</v>
      </c>
      <c r="X72" s="2">
        <f t="shared" si="23"/>
        <v>3</v>
      </c>
      <c r="Y72" s="2">
        <f t="shared" si="24"/>
        <v>505</v>
      </c>
      <c r="Z72">
        <f>SUMIF(KASA!$C$2:$C$9980, C72, KASA!$V$2:$V$9980)</f>
        <v>680</v>
      </c>
      <c r="AA72">
        <f t="shared" si="25"/>
        <v>175</v>
      </c>
    </row>
    <row r="73" spans="3:27" x14ac:dyDescent="0.25">
      <c r="C73" s="4" t="s">
        <v>185</v>
      </c>
      <c r="D73" s="5">
        <f>SUMIFS(KASA!$I:$I, KASA!$C:$C, $C73, KASA!$B:$B, "MAL ALIMI") + SUMIFS(KASA!$I:$I, KASA!$C:$C, $C73, KASA!$B:$B, "ÜRETİM GİRİŞ")</f>
        <v>4</v>
      </c>
      <c r="E73" s="5" cm="1">
        <f t="array" ref="E73">IFERROR(AVERAGE(IF((KASA!$C$2:$C$9980=$C73)*((KASA!$B$2:$B$9980="MAL ALIMI")+(KASA!$B$2:$B$9980="ÜRETİM GİRİŞ")),KASA!$J$2:$J$9980)),0)</f>
        <v>146.25</v>
      </c>
      <c r="F73" s="5">
        <f>SUMIFS(KASA!$I:$I, KASA!$C:$C, $C73, KASA!$B:$B, "MAL SATIŞI") + SUMIFS(KASA!$I:$I, KASA!$C:$C, $C73, KASA!$B:$B, "ÜRETİM ÇIKIŞ")</f>
        <v>4</v>
      </c>
      <c r="G73" s="5">
        <f>SUMIFS(KASA!$I:$I, KASA!$C:$C, $C73, KASA!$B:$B, "MAL İADE")</f>
        <v>0</v>
      </c>
      <c r="H73" s="5">
        <f>SUMIFS(KASA!$K:$K, KASA!$C:$C, $C73, KASA!$B:$B, "MAL İADE") + SUMIFS(KASA!$Q:$Q, KASA!$C:$C, $C73, KASA!$B:$B, "MAL İADE")</f>
        <v>0</v>
      </c>
      <c r="I73" s="5">
        <f t="shared" si="13"/>
        <v>4</v>
      </c>
      <c r="J73" s="5">
        <f t="shared" si="14"/>
        <v>585</v>
      </c>
      <c r="K73" s="5">
        <f>SUMIFS(KASA!$Q:$Q, KASA!$C:$C, $C73, KASA!$B:$B, "MAL SATIŞI") + SUMIFS(KASA!$Q:$Q, KASA!$C:$C, $C73, KASA!$B:$B, "ÜRETİM ÇIKIŞ")</f>
        <v>585</v>
      </c>
      <c r="L73" s="5">
        <f>SUMIFS(KASA!$K:$K, KASA!$C:$C, $C73, KASA!$B:$B, "MAL SATIŞI") + SUMIFS(KASA!$K:$K, KASA!$C:$C, $C73, KASA!$B:$B, "ÜRETİM ÇIKIŞ")</f>
        <v>0</v>
      </c>
      <c r="M73" s="5">
        <f t="shared" si="15"/>
        <v>585</v>
      </c>
      <c r="N73" s="5">
        <f t="shared" si="16"/>
        <v>0</v>
      </c>
      <c r="O73" s="65">
        <f t="shared" si="17"/>
        <v>0</v>
      </c>
      <c r="P73" s="5">
        <f t="shared" si="18"/>
        <v>146.25</v>
      </c>
      <c r="Q73" s="5">
        <f t="shared" si="19"/>
        <v>0</v>
      </c>
      <c r="R73" s="5">
        <f t="shared" si="20"/>
        <v>0</v>
      </c>
      <c r="S73" s="5">
        <f t="shared" si="21"/>
        <v>585</v>
      </c>
      <c r="T73">
        <v>0</v>
      </c>
      <c r="U73" s="2">
        <f t="shared" si="22"/>
        <v>0</v>
      </c>
      <c r="V73">
        <f>SUMIF(KASA!$C$2:$C$9980, C73, KASA!$T$2:$T$9980)</f>
        <v>0</v>
      </c>
      <c r="W73">
        <f>SUMIF(KASA!$C$2:$C$9980, C73, KASA!$U$2:$U$9980)</f>
        <v>0</v>
      </c>
      <c r="X73" s="2">
        <f t="shared" si="23"/>
        <v>0</v>
      </c>
      <c r="Y73" s="2">
        <f t="shared" si="24"/>
        <v>0</v>
      </c>
      <c r="Z73">
        <f>SUMIF(KASA!$C$2:$C$9980, C73, KASA!$V$2:$V$9980)</f>
        <v>585</v>
      </c>
      <c r="AA73">
        <f t="shared" si="25"/>
        <v>585</v>
      </c>
    </row>
    <row r="74" spans="3:27" x14ac:dyDescent="0.25">
      <c r="C74" s="4" t="s">
        <v>499</v>
      </c>
      <c r="D74" s="5">
        <f>SUMIFS(KASA!$I:$I, KASA!$C:$C, $C74, KASA!$B:$B, "MAL ALIMI") + SUMIFS(KASA!$I:$I, KASA!$C:$C, $C74, KASA!$B:$B, "ÜRETİM GİRİŞ")</f>
        <v>2</v>
      </c>
      <c r="E74" s="5" cm="1">
        <f t="array" ref="E74">IFERROR(AVERAGE(IF((KASA!$C$2:$C$9980=$C74)*((KASA!$B$2:$B$9980="MAL ALIMI")+(KASA!$B$2:$B$9980="ÜRETİM GİRİŞ")),KASA!$J$2:$J$9980)),0)</f>
        <v>199</v>
      </c>
      <c r="F74" s="5">
        <f>SUMIFS(KASA!$I:$I, KASA!$C:$C, $C74, KASA!$B:$B, "MAL SATIŞI") + SUMIFS(KASA!$I:$I, KASA!$C:$C, $C74, KASA!$B:$B, "ÜRETİM ÇIKIŞ")</f>
        <v>1</v>
      </c>
      <c r="G74" s="5">
        <f>SUMIFS(KASA!$I:$I, KASA!$C:$C, $C74, KASA!$B:$B, "MAL İADE")</f>
        <v>0</v>
      </c>
      <c r="H74" s="5">
        <f>SUMIFS(KASA!$K:$K, KASA!$C:$C, $C74, KASA!$B:$B, "MAL İADE") + SUMIFS(KASA!$Q:$Q, KASA!$C:$C, $C74, KASA!$B:$B, "MAL İADE")</f>
        <v>0</v>
      </c>
      <c r="I74" s="5">
        <f t="shared" si="13"/>
        <v>1</v>
      </c>
      <c r="J74" s="5">
        <f t="shared" si="14"/>
        <v>199</v>
      </c>
      <c r="K74" s="5">
        <f>SUMIFS(KASA!$Q:$Q, KASA!$C:$C, $C74, KASA!$B:$B, "MAL SATIŞI") + SUMIFS(KASA!$Q:$Q, KASA!$C:$C, $C74, KASA!$B:$B, "ÜRETİM ÇIKIŞ")</f>
        <v>295</v>
      </c>
      <c r="L74" s="5">
        <f>SUMIFS(KASA!$K:$K, KASA!$C:$C, $C74, KASA!$B:$B, "MAL SATIŞI") + SUMIFS(KASA!$K:$K, KASA!$C:$C, $C74, KASA!$B:$B, "ÜRETİM ÇIKIŞ")</f>
        <v>0</v>
      </c>
      <c r="M74" s="5">
        <f t="shared" si="15"/>
        <v>295</v>
      </c>
      <c r="N74" s="5">
        <f t="shared" si="16"/>
        <v>96</v>
      </c>
      <c r="O74" s="65">
        <f t="shared" si="17"/>
        <v>0.48241206030150752</v>
      </c>
      <c r="P74" s="5">
        <f t="shared" si="18"/>
        <v>295</v>
      </c>
      <c r="Q74" s="5">
        <f t="shared" si="19"/>
        <v>1</v>
      </c>
      <c r="R74" s="5">
        <f t="shared" si="20"/>
        <v>199</v>
      </c>
      <c r="S74" s="5">
        <f t="shared" si="21"/>
        <v>398</v>
      </c>
      <c r="T74">
        <v>1</v>
      </c>
      <c r="U74" s="2">
        <f t="shared" si="22"/>
        <v>0</v>
      </c>
      <c r="V74">
        <f>SUMIF(KASA!$C$2:$C$9980, C74, KASA!$T$2:$T$9980)</f>
        <v>1</v>
      </c>
      <c r="W74">
        <f>SUMIF(KASA!$C$2:$C$9980, C74, KASA!$U$2:$U$9980)</f>
        <v>199</v>
      </c>
      <c r="X74" s="2">
        <f t="shared" si="23"/>
        <v>1</v>
      </c>
      <c r="Y74" s="2">
        <f t="shared" si="24"/>
        <v>199</v>
      </c>
      <c r="Z74">
        <f>SUMIF(KASA!$C$2:$C$9980, C74, KASA!$V$2:$V$9980)</f>
        <v>398</v>
      </c>
      <c r="AA74">
        <f t="shared" si="25"/>
        <v>199</v>
      </c>
    </row>
    <row r="75" spans="3:27" x14ac:dyDescent="0.25">
      <c r="C75" s="4" t="s">
        <v>500</v>
      </c>
      <c r="D75" s="5">
        <f>SUMIFS(KASA!$I:$I, KASA!$C:$C, $C75, KASA!$B:$B, "MAL ALIMI") + SUMIFS(KASA!$I:$I, KASA!$C:$C, $C75, KASA!$B:$B, "ÜRETİM GİRİŞ")</f>
        <v>2</v>
      </c>
      <c r="E75" s="5" cm="1">
        <f t="array" ref="E75">IFERROR(AVERAGE(IF((KASA!$C$2:$C$9980=$C75)*((KASA!$B$2:$B$9980="MAL ALIMI")+(KASA!$B$2:$B$9980="ÜRETİM GİRİŞ")),KASA!$J$2:$J$9980)),0)</f>
        <v>119</v>
      </c>
      <c r="F75" s="5">
        <f>SUMIFS(KASA!$I:$I, KASA!$C:$C, $C75, KASA!$B:$B, "MAL SATIŞI") + SUMIFS(KASA!$I:$I, KASA!$C:$C, $C75, KASA!$B:$B, "ÜRETİM ÇIKIŞ")</f>
        <v>0</v>
      </c>
      <c r="G75" s="5">
        <f>SUMIFS(KASA!$I:$I, KASA!$C:$C, $C75, KASA!$B:$B, "MAL İADE")</f>
        <v>0</v>
      </c>
      <c r="H75" s="5">
        <f>SUMIFS(KASA!$K:$K, KASA!$C:$C, $C75, KASA!$B:$B, "MAL İADE") + SUMIFS(KASA!$Q:$Q, KASA!$C:$C, $C75, KASA!$B:$B, "MAL İADE")</f>
        <v>0</v>
      </c>
      <c r="I75" s="5">
        <f t="shared" si="13"/>
        <v>0</v>
      </c>
      <c r="J75" s="5">
        <f t="shared" si="14"/>
        <v>0</v>
      </c>
      <c r="K75" s="5">
        <f>SUMIFS(KASA!$Q:$Q, KASA!$C:$C, $C75, KASA!$B:$B, "MAL SATIŞI") + SUMIFS(KASA!$Q:$Q, KASA!$C:$C, $C75, KASA!$B:$B, "ÜRETİM ÇIKIŞ")</f>
        <v>0</v>
      </c>
      <c r="L75" s="5">
        <f>SUMIFS(KASA!$K:$K, KASA!$C:$C, $C75, KASA!$B:$B, "MAL SATIŞI") + SUMIFS(KASA!$K:$K, KASA!$C:$C, $C75, KASA!$B:$B, "ÜRETİM ÇIKIŞ")</f>
        <v>0</v>
      </c>
      <c r="M75" s="5">
        <f t="shared" si="15"/>
        <v>0</v>
      </c>
      <c r="N75" s="5">
        <f t="shared" si="16"/>
        <v>0</v>
      </c>
      <c r="O75" s="65">
        <f t="shared" si="17"/>
        <v>0</v>
      </c>
      <c r="P75" s="5" t="e">
        <f t="shared" si="18"/>
        <v>#DIV/0!</v>
      </c>
      <c r="Q75" s="5">
        <f t="shared" si="19"/>
        <v>2</v>
      </c>
      <c r="R75" s="5">
        <f t="shared" si="20"/>
        <v>238</v>
      </c>
      <c r="S75" s="5">
        <f t="shared" si="21"/>
        <v>238</v>
      </c>
      <c r="T75">
        <v>2</v>
      </c>
      <c r="U75" s="2">
        <f t="shared" si="22"/>
        <v>0</v>
      </c>
      <c r="V75">
        <f>SUMIF(KASA!$C$2:$C$9980, C75, KASA!$T$2:$T$9980)</f>
        <v>2</v>
      </c>
      <c r="W75">
        <f>SUMIF(KASA!$C$2:$C$9980, C75, KASA!$U$2:$U$9980)</f>
        <v>238</v>
      </c>
      <c r="X75" s="2">
        <f t="shared" si="23"/>
        <v>2</v>
      </c>
      <c r="Y75" s="2">
        <f t="shared" si="24"/>
        <v>238</v>
      </c>
      <c r="Z75">
        <f>SUMIF(KASA!$C$2:$C$9980, C75, KASA!$V$2:$V$9980)</f>
        <v>238</v>
      </c>
      <c r="AA75">
        <f t="shared" si="25"/>
        <v>0</v>
      </c>
    </row>
    <row r="76" spans="3:27" x14ac:dyDescent="0.25">
      <c r="C76" s="4" t="s">
        <v>501</v>
      </c>
      <c r="D76" s="5">
        <f>SUMIFS(KASA!$I:$I, KASA!$C:$C, $C76, KASA!$B:$B, "MAL ALIMI") + SUMIFS(KASA!$I:$I, KASA!$C:$C, $C76, KASA!$B:$B, "ÜRETİM GİRİŞ")</f>
        <v>2</v>
      </c>
      <c r="E76" s="5" cm="1">
        <f t="array" ref="E76">IFERROR(AVERAGE(IF((KASA!$C$2:$C$9980=$C76)*((KASA!$B$2:$B$9980="MAL ALIMI")+(KASA!$B$2:$B$9980="ÜRETİM GİRİŞ")),KASA!$J$2:$J$9980)),0)</f>
        <v>119</v>
      </c>
      <c r="F76" s="5">
        <f>SUMIFS(KASA!$I:$I, KASA!$C:$C, $C76, KASA!$B:$B, "MAL SATIŞI") + SUMIFS(KASA!$I:$I, KASA!$C:$C, $C76, KASA!$B:$B, "ÜRETİM ÇIKIŞ")</f>
        <v>0</v>
      </c>
      <c r="G76" s="5">
        <f>SUMIFS(KASA!$I:$I, KASA!$C:$C, $C76, KASA!$B:$B, "MAL İADE")</f>
        <v>0</v>
      </c>
      <c r="H76" s="5">
        <f>SUMIFS(KASA!$K:$K, KASA!$C:$C, $C76, KASA!$B:$B, "MAL İADE") + SUMIFS(KASA!$Q:$Q, KASA!$C:$C, $C76, KASA!$B:$B, "MAL İADE")</f>
        <v>0</v>
      </c>
      <c r="I76" s="5">
        <f t="shared" si="13"/>
        <v>0</v>
      </c>
      <c r="J76" s="5">
        <f t="shared" si="14"/>
        <v>0</v>
      </c>
      <c r="K76" s="5">
        <f>SUMIFS(KASA!$Q:$Q, KASA!$C:$C, $C76, KASA!$B:$B, "MAL SATIŞI") + SUMIFS(KASA!$Q:$Q, KASA!$C:$C, $C76, KASA!$B:$B, "ÜRETİM ÇIKIŞ")</f>
        <v>0</v>
      </c>
      <c r="L76" s="5">
        <f>SUMIFS(KASA!$K:$K, KASA!$C:$C, $C76, KASA!$B:$B, "MAL SATIŞI") + SUMIFS(KASA!$K:$K, KASA!$C:$C, $C76, KASA!$B:$B, "ÜRETİM ÇIKIŞ")</f>
        <v>0</v>
      </c>
      <c r="M76" s="5">
        <f t="shared" si="15"/>
        <v>0</v>
      </c>
      <c r="N76" s="5">
        <f t="shared" si="16"/>
        <v>0</v>
      </c>
      <c r="O76" s="65">
        <f t="shared" si="17"/>
        <v>0</v>
      </c>
      <c r="P76" s="5" t="e">
        <f t="shared" si="18"/>
        <v>#DIV/0!</v>
      </c>
      <c r="Q76" s="5">
        <f t="shared" si="19"/>
        <v>2</v>
      </c>
      <c r="R76" s="5">
        <f t="shared" si="20"/>
        <v>238</v>
      </c>
      <c r="S76" s="5">
        <f t="shared" si="21"/>
        <v>238</v>
      </c>
      <c r="T76">
        <v>2</v>
      </c>
      <c r="U76" s="2">
        <f t="shared" si="22"/>
        <v>0</v>
      </c>
      <c r="V76">
        <f>SUMIF(KASA!$C$2:$C$9980, C76, KASA!$T$2:$T$9980)</f>
        <v>2</v>
      </c>
      <c r="W76">
        <f>SUMIF(KASA!$C$2:$C$9980, C76, KASA!$U$2:$U$9980)</f>
        <v>238</v>
      </c>
      <c r="X76" s="2">
        <f t="shared" si="23"/>
        <v>2</v>
      </c>
      <c r="Y76" s="2">
        <f t="shared" si="24"/>
        <v>238</v>
      </c>
      <c r="Z76">
        <f>SUMIF(KASA!$C$2:$C$9980, C76, KASA!$V$2:$V$9980)</f>
        <v>238</v>
      </c>
      <c r="AA76">
        <f t="shared" si="25"/>
        <v>0</v>
      </c>
    </row>
    <row r="77" spans="3:27" x14ac:dyDescent="0.25">
      <c r="C77" s="4" t="s">
        <v>502</v>
      </c>
      <c r="D77" s="5">
        <f>SUMIFS(KASA!$I:$I, KASA!$C:$C, $C77, KASA!$B:$B, "MAL ALIMI") + SUMIFS(KASA!$I:$I, KASA!$C:$C, $C77, KASA!$B:$B, "ÜRETİM GİRİŞ")</f>
        <v>2</v>
      </c>
      <c r="E77" s="5" cm="1">
        <f t="array" ref="E77">IFERROR(AVERAGE(IF((KASA!$C$2:$C$9980=$C77)*((KASA!$B$2:$B$9980="MAL ALIMI")+(KASA!$B$2:$B$9980="ÜRETİM GİRİŞ")),KASA!$J$2:$J$9980)),0)</f>
        <v>109</v>
      </c>
      <c r="F77" s="5">
        <f>SUMIFS(KASA!$I:$I, KASA!$C:$C, $C77, KASA!$B:$B, "MAL SATIŞI") + SUMIFS(KASA!$I:$I, KASA!$C:$C, $C77, KASA!$B:$B, "ÜRETİM ÇIKIŞ")</f>
        <v>1</v>
      </c>
      <c r="G77" s="5">
        <f>SUMIFS(KASA!$I:$I, KASA!$C:$C, $C77, KASA!$B:$B, "MAL İADE")</f>
        <v>0</v>
      </c>
      <c r="H77" s="5">
        <f>SUMIFS(KASA!$K:$K, KASA!$C:$C, $C77, KASA!$B:$B, "MAL İADE") + SUMIFS(KASA!$Q:$Q, KASA!$C:$C, $C77, KASA!$B:$B, "MAL İADE")</f>
        <v>0</v>
      </c>
      <c r="I77" s="5">
        <f t="shared" si="13"/>
        <v>1</v>
      </c>
      <c r="J77" s="5">
        <f t="shared" si="14"/>
        <v>109</v>
      </c>
      <c r="K77" s="5">
        <f>SUMIFS(KASA!$Q:$Q, KASA!$C:$C, $C77, KASA!$B:$B, "MAL SATIŞI") + SUMIFS(KASA!$Q:$Q, KASA!$C:$C, $C77, KASA!$B:$B, "ÜRETİM ÇIKIŞ")</f>
        <v>0</v>
      </c>
      <c r="L77" s="5">
        <f>SUMIFS(KASA!$K:$K, KASA!$C:$C, $C77, KASA!$B:$B, "MAL SATIŞI") + SUMIFS(KASA!$K:$K, KASA!$C:$C, $C77, KASA!$B:$B, "ÜRETİM ÇIKIŞ")</f>
        <v>195</v>
      </c>
      <c r="M77" s="5">
        <f t="shared" si="15"/>
        <v>195</v>
      </c>
      <c r="N77" s="5">
        <f t="shared" si="16"/>
        <v>86</v>
      </c>
      <c r="O77" s="65">
        <f t="shared" si="17"/>
        <v>0.78899082568807344</v>
      </c>
      <c r="P77" s="5">
        <f t="shared" si="18"/>
        <v>195</v>
      </c>
      <c r="Q77" s="5">
        <f t="shared" si="19"/>
        <v>1</v>
      </c>
      <c r="R77" s="5">
        <f t="shared" si="20"/>
        <v>109</v>
      </c>
      <c r="S77" s="5">
        <f t="shared" si="21"/>
        <v>218</v>
      </c>
      <c r="T77">
        <v>1</v>
      </c>
      <c r="U77" s="2">
        <f t="shared" si="22"/>
        <v>0</v>
      </c>
      <c r="V77">
        <f>SUMIF(KASA!$C$2:$C$9980, C77, KASA!$T$2:$T$9980)</f>
        <v>1</v>
      </c>
      <c r="W77">
        <f>SUMIF(KASA!$C$2:$C$9980, C77, KASA!$U$2:$U$9980)</f>
        <v>109</v>
      </c>
      <c r="X77" s="2">
        <f t="shared" si="23"/>
        <v>1</v>
      </c>
      <c r="Y77" s="2">
        <f t="shared" si="24"/>
        <v>109</v>
      </c>
      <c r="Z77">
        <f>SUMIF(KASA!$C$2:$C$9980, C77, KASA!$V$2:$V$9980)</f>
        <v>218</v>
      </c>
      <c r="AA77">
        <f t="shared" si="25"/>
        <v>109</v>
      </c>
    </row>
    <row r="78" spans="3:27" x14ac:dyDescent="0.25">
      <c r="C78" s="4" t="s">
        <v>493</v>
      </c>
      <c r="D78" s="5">
        <f>SUMIFS(KASA!$I:$I, KASA!$C:$C, $C78, KASA!$B:$B, "MAL ALIMI") + SUMIFS(KASA!$I:$I, KASA!$C:$C, $C78, KASA!$B:$B, "ÜRETİM GİRİŞ")</f>
        <v>3</v>
      </c>
      <c r="E78" s="5" cm="1">
        <f t="array" ref="E78">IFERROR(AVERAGE(IF((KASA!$C$2:$C$9980=$C78)*((KASA!$B$2:$B$9980="MAL ALIMI")+(KASA!$B$2:$B$9980="ÜRETİM GİRİŞ")),KASA!$J$2:$J$9980)),0)</f>
        <v>119</v>
      </c>
      <c r="F78" s="5">
        <f>SUMIFS(KASA!$I:$I, KASA!$C:$C, $C78, KASA!$B:$B, "MAL SATIŞI") + SUMIFS(KASA!$I:$I, KASA!$C:$C, $C78, KASA!$B:$B, "ÜRETİM ÇIKIŞ")</f>
        <v>3</v>
      </c>
      <c r="G78" s="5">
        <f>SUMIFS(KASA!$I:$I, KASA!$C:$C, $C78, KASA!$B:$B, "MAL İADE")</f>
        <v>0</v>
      </c>
      <c r="H78" s="5">
        <f>SUMIFS(KASA!$K:$K, KASA!$C:$C, $C78, KASA!$B:$B, "MAL İADE") + SUMIFS(KASA!$Q:$Q, KASA!$C:$C, $C78, KASA!$B:$B, "MAL İADE")</f>
        <v>0</v>
      </c>
      <c r="I78" s="5">
        <f t="shared" si="13"/>
        <v>3</v>
      </c>
      <c r="J78" s="5">
        <f t="shared" si="14"/>
        <v>357</v>
      </c>
      <c r="K78" s="5">
        <f>SUMIFS(KASA!$Q:$Q, KASA!$C:$C, $C78, KASA!$B:$B, "MAL SATIŞI") + SUMIFS(KASA!$Q:$Q, KASA!$C:$C, $C78, KASA!$B:$B, "ÜRETİM ÇIKIŞ")</f>
        <v>690</v>
      </c>
      <c r="L78" s="5">
        <f>SUMIFS(KASA!$K:$K, KASA!$C:$C, $C78, KASA!$B:$B, "MAL SATIŞI") + SUMIFS(KASA!$K:$K, KASA!$C:$C, $C78, KASA!$B:$B, "ÜRETİM ÇIKIŞ")</f>
        <v>0</v>
      </c>
      <c r="M78" s="5">
        <f t="shared" si="15"/>
        <v>690</v>
      </c>
      <c r="N78" s="5">
        <f t="shared" si="16"/>
        <v>333</v>
      </c>
      <c r="O78" s="65">
        <f t="shared" si="17"/>
        <v>0.9327731092436975</v>
      </c>
      <c r="P78" s="5">
        <f t="shared" si="18"/>
        <v>230</v>
      </c>
      <c r="Q78" s="5">
        <f t="shared" si="19"/>
        <v>0</v>
      </c>
      <c r="R78" s="5">
        <f t="shared" si="20"/>
        <v>0</v>
      </c>
      <c r="S78" s="5">
        <f t="shared" si="21"/>
        <v>357</v>
      </c>
      <c r="T78">
        <v>1</v>
      </c>
      <c r="U78" s="2">
        <f t="shared" si="22"/>
        <v>-1</v>
      </c>
      <c r="V78">
        <f>SUMIF(KASA!$C$2:$C$9980, C78, KASA!$T$2:$T$9980)</f>
        <v>0</v>
      </c>
      <c r="W78">
        <f>SUMIF(KASA!$C$2:$C$9980, C78, KASA!$U$2:$U$9980)</f>
        <v>0</v>
      </c>
      <c r="X78" s="2">
        <f t="shared" si="23"/>
        <v>0</v>
      </c>
      <c r="Y78" s="2">
        <f t="shared" si="24"/>
        <v>0</v>
      </c>
      <c r="Z78">
        <f>SUMIF(KASA!$C$2:$C$9980, C78, KASA!$V$2:$V$9980)</f>
        <v>357</v>
      </c>
      <c r="AA78">
        <f t="shared" si="25"/>
        <v>357</v>
      </c>
    </row>
    <row r="79" spans="3:27" x14ac:dyDescent="0.25">
      <c r="C79" s="4" t="s">
        <v>491</v>
      </c>
      <c r="D79" s="5">
        <f>SUMIFS(KASA!$I:$I, KASA!$C:$C, $C79, KASA!$B:$B, "MAL ALIMI") + SUMIFS(KASA!$I:$I, KASA!$C:$C, $C79, KASA!$B:$B, "ÜRETİM GİRİŞ")</f>
        <v>4</v>
      </c>
      <c r="E79" s="5" cm="1">
        <f t="array" ref="E79">IFERROR(AVERAGE(IF((KASA!$C$2:$C$9980=$C79)*((KASA!$B$2:$B$9980="MAL ALIMI")+(KASA!$B$2:$B$9980="ÜRETİM GİRİŞ")),KASA!$J$2:$J$9980)),0)</f>
        <v>109</v>
      </c>
      <c r="F79" s="5">
        <f>SUMIFS(KASA!$I:$I, KASA!$C:$C, $C79, KASA!$B:$B, "MAL SATIŞI") + SUMIFS(KASA!$I:$I, KASA!$C:$C, $C79, KASA!$B:$B, "ÜRETİM ÇIKIŞ")</f>
        <v>0</v>
      </c>
      <c r="G79" s="5">
        <f>SUMIFS(KASA!$I:$I, KASA!$C:$C, $C79, KASA!$B:$B, "MAL İADE")</f>
        <v>0</v>
      </c>
      <c r="H79" s="5">
        <f>SUMIFS(KASA!$K:$K, KASA!$C:$C, $C79, KASA!$B:$B, "MAL İADE") + SUMIFS(KASA!$Q:$Q, KASA!$C:$C, $C79, KASA!$B:$B, "MAL İADE")</f>
        <v>0</v>
      </c>
      <c r="I79" s="5">
        <f t="shared" si="13"/>
        <v>0</v>
      </c>
      <c r="J79" s="5">
        <f t="shared" si="14"/>
        <v>0</v>
      </c>
      <c r="K79" s="5">
        <f>SUMIFS(KASA!$Q:$Q, KASA!$C:$C, $C79, KASA!$B:$B, "MAL SATIŞI") + SUMIFS(KASA!$Q:$Q, KASA!$C:$C, $C79, KASA!$B:$B, "ÜRETİM ÇIKIŞ")</f>
        <v>0</v>
      </c>
      <c r="L79" s="5">
        <f>SUMIFS(KASA!$K:$K, KASA!$C:$C, $C79, KASA!$B:$B, "MAL SATIŞI") + SUMIFS(KASA!$K:$K, KASA!$C:$C, $C79, KASA!$B:$B, "ÜRETİM ÇIKIŞ")</f>
        <v>0</v>
      </c>
      <c r="M79" s="5">
        <f t="shared" si="15"/>
        <v>0</v>
      </c>
      <c r="N79" s="5">
        <f t="shared" si="16"/>
        <v>0</v>
      </c>
      <c r="O79" s="65">
        <f t="shared" si="17"/>
        <v>0</v>
      </c>
      <c r="P79" s="5" t="e">
        <f t="shared" si="18"/>
        <v>#DIV/0!</v>
      </c>
      <c r="Q79" s="5">
        <f t="shared" si="19"/>
        <v>4</v>
      </c>
      <c r="R79" s="5">
        <f t="shared" si="20"/>
        <v>436</v>
      </c>
      <c r="S79" s="5">
        <f t="shared" si="21"/>
        <v>436</v>
      </c>
      <c r="T79">
        <v>4</v>
      </c>
      <c r="U79" s="2">
        <f t="shared" si="22"/>
        <v>0</v>
      </c>
      <c r="V79">
        <f>SUMIF(KASA!$C$2:$C$9980, C79, KASA!$T$2:$T$9980)</f>
        <v>4</v>
      </c>
      <c r="W79">
        <f>SUMIF(KASA!$C$2:$C$9980, C79, KASA!$U$2:$U$9980)</f>
        <v>436</v>
      </c>
      <c r="X79" s="2">
        <f t="shared" si="23"/>
        <v>4</v>
      </c>
      <c r="Y79" s="2">
        <f t="shared" si="24"/>
        <v>436</v>
      </c>
      <c r="Z79">
        <f>SUMIF(KASA!$C$2:$C$9980, C79, KASA!$V$2:$V$9980)</f>
        <v>436</v>
      </c>
      <c r="AA79">
        <f t="shared" si="25"/>
        <v>0</v>
      </c>
    </row>
    <row r="80" spans="3:27" x14ac:dyDescent="0.25">
      <c r="C80" s="4" t="s">
        <v>492</v>
      </c>
      <c r="D80" s="5">
        <f>SUMIFS(KASA!$I:$I, KASA!$C:$C, $C80, KASA!$B:$B, "MAL ALIMI") + SUMIFS(KASA!$I:$I, KASA!$C:$C, $C80, KASA!$B:$B, "ÜRETİM GİRİŞ")</f>
        <v>4</v>
      </c>
      <c r="E80" s="5" cm="1">
        <f t="array" ref="E80">IFERROR(AVERAGE(IF((KASA!$C$2:$C$9980=$C80)*((KASA!$B$2:$B$9980="MAL ALIMI")+(KASA!$B$2:$B$9980="ÜRETİM GİRİŞ")),KASA!$J$2:$J$9980)),0)</f>
        <v>109</v>
      </c>
      <c r="F80" s="5">
        <f>SUMIFS(KASA!$I:$I, KASA!$C:$C, $C80, KASA!$B:$B, "MAL SATIŞI") + SUMIFS(KASA!$I:$I, KASA!$C:$C, $C80, KASA!$B:$B, "ÜRETİM ÇIKIŞ")</f>
        <v>1</v>
      </c>
      <c r="G80" s="5">
        <f>SUMIFS(KASA!$I:$I, KASA!$C:$C, $C80, KASA!$B:$B, "MAL İADE")</f>
        <v>0</v>
      </c>
      <c r="H80" s="5">
        <f>SUMIFS(KASA!$K:$K, KASA!$C:$C, $C80, KASA!$B:$B, "MAL İADE") + SUMIFS(KASA!$Q:$Q, KASA!$C:$C, $C80, KASA!$B:$B, "MAL İADE")</f>
        <v>0</v>
      </c>
      <c r="I80" s="5">
        <f t="shared" si="13"/>
        <v>1</v>
      </c>
      <c r="J80" s="5">
        <f t="shared" si="14"/>
        <v>109</v>
      </c>
      <c r="K80" s="5">
        <f>SUMIFS(KASA!$Q:$Q, KASA!$C:$C, $C80, KASA!$B:$B, "MAL SATIŞI") + SUMIFS(KASA!$Q:$Q, KASA!$C:$C, $C80, KASA!$B:$B, "ÜRETİM ÇIKIŞ")</f>
        <v>165</v>
      </c>
      <c r="L80" s="5">
        <f>SUMIFS(KASA!$K:$K, KASA!$C:$C, $C80, KASA!$B:$B, "MAL SATIŞI") + SUMIFS(KASA!$K:$K, KASA!$C:$C, $C80, KASA!$B:$B, "ÜRETİM ÇIKIŞ")</f>
        <v>0</v>
      </c>
      <c r="M80" s="5">
        <f t="shared" si="15"/>
        <v>165</v>
      </c>
      <c r="N80" s="5">
        <f t="shared" si="16"/>
        <v>56</v>
      </c>
      <c r="O80" s="65">
        <f t="shared" si="17"/>
        <v>0.51376146788990829</v>
      </c>
      <c r="P80" s="5">
        <f t="shared" si="18"/>
        <v>165</v>
      </c>
      <c r="Q80" s="5">
        <f t="shared" si="19"/>
        <v>3</v>
      </c>
      <c r="R80" s="5">
        <f t="shared" si="20"/>
        <v>327</v>
      </c>
      <c r="S80" s="5">
        <f t="shared" si="21"/>
        <v>436</v>
      </c>
      <c r="T80">
        <v>4</v>
      </c>
      <c r="U80" s="2">
        <f t="shared" si="22"/>
        <v>-1</v>
      </c>
      <c r="V80">
        <f>SUMIF(KASA!$C$2:$C$9980, C80, KASA!$T$2:$T$9980)</f>
        <v>3</v>
      </c>
      <c r="W80">
        <f>SUMIF(KASA!$C$2:$C$9980, C80, KASA!$U$2:$U$9980)</f>
        <v>327</v>
      </c>
      <c r="X80" s="2">
        <f t="shared" si="23"/>
        <v>3</v>
      </c>
      <c r="Y80" s="2">
        <f t="shared" si="24"/>
        <v>327</v>
      </c>
      <c r="Z80">
        <f>SUMIF(KASA!$C$2:$C$9980, C80, KASA!$V$2:$V$9980)</f>
        <v>436</v>
      </c>
      <c r="AA80">
        <f t="shared" si="25"/>
        <v>109</v>
      </c>
    </row>
    <row r="81" spans="3:27" x14ac:dyDescent="0.25">
      <c r="C81" s="4" t="s">
        <v>490</v>
      </c>
      <c r="D81" s="5">
        <f>SUMIFS(KASA!$I:$I, KASA!$C:$C, $C81, KASA!$B:$B, "MAL ALIMI") + SUMIFS(KASA!$I:$I, KASA!$C:$C, $C81, KASA!$B:$B, "ÜRETİM GİRİŞ")</f>
        <v>3</v>
      </c>
      <c r="E81" s="5" cm="1">
        <f t="array" ref="E81">IFERROR(AVERAGE(IF((KASA!$C$2:$C$9980=$C81)*((KASA!$B$2:$B$9980="MAL ALIMI")+(KASA!$B$2:$B$9980="ÜRETİM GİRİŞ")),KASA!$J$2:$J$9980)),0)</f>
        <v>119</v>
      </c>
      <c r="F81" s="5">
        <f>SUMIFS(KASA!$I:$I, KASA!$C:$C, $C81, KASA!$B:$B, "MAL SATIŞI") + SUMIFS(KASA!$I:$I, KASA!$C:$C, $C81, KASA!$B:$B, "ÜRETİM ÇIKIŞ")</f>
        <v>3</v>
      </c>
      <c r="G81" s="5">
        <f>SUMIFS(KASA!$I:$I, KASA!$C:$C, $C81, KASA!$B:$B, "MAL İADE")</f>
        <v>0</v>
      </c>
      <c r="H81" s="5">
        <f>SUMIFS(KASA!$K:$K, KASA!$C:$C, $C81, KASA!$B:$B, "MAL İADE") + SUMIFS(KASA!$Q:$Q, KASA!$C:$C, $C81, KASA!$B:$B, "MAL İADE")</f>
        <v>0</v>
      </c>
      <c r="I81" s="5">
        <f t="shared" si="13"/>
        <v>3</v>
      </c>
      <c r="J81" s="5">
        <f t="shared" si="14"/>
        <v>357</v>
      </c>
      <c r="K81" s="5">
        <f>SUMIFS(KASA!$Q:$Q, KASA!$C:$C, $C81, KASA!$B:$B, "MAL SATIŞI") + SUMIFS(KASA!$Q:$Q, KASA!$C:$C, $C81, KASA!$B:$B, "ÜRETİM ÇIKIŞ")</f>
        <v>420</v>
      </c>
      <c r="L81" s="5">
        <f>SUMIFS(KASA!$K:$K, KASA!$C:$C, $C81, KASA!$B:$B, "MAL SATIŞI") + SUMIFS(KASA!$K:$K, KASA!$C:$C, $C81, KASA!$B:$B, "ÜRETİM ÇIKIŞ")</f>
        <v>220</v>
      </c>
      <c r="M81" s="5">
        <f t="shared" si="15"/>
        <v>640</v>
      </c>
      <c r="N81" s="5">
        <f t="shared" si="16"/>
        <v>283</v>
      </c>
      <c r="O81" s="65">
        <f t="shared" si="17"/>
        <v>0.79271708683473385</v>
      </c>
      <c r="P81" s="5">
        <f t="shared" si="18"/>
        <v>213.33333333333334</v>
      </c>
      <c r="Q81" s="5">
        <f t="shared" si="19"/>
        <v>0</v>
      </c>
      <c r="R81" s="5">
        <f t="shared" si="20"/>
        <v>0</v>
      </c>
      <c r="S81" s="5">
        <f t="shared" si="21"/>
        <v>357</v>
      </c>
      <c r="T81">
        <v>1</v>
      </c>
      <c r="U81" s="2">
        <f t="shared" si="22"/>
        <v>-1</v>
      </c>
      <c r="V81">
        <f>SUMIF(KASA!$C$2:$C$9980, C81, KASA!$T$2:$T$9980)</f>
        <v>0</v>
      </c>
      <c r="W81">
        <f>SUMIF(KASA!$C$2:$C$9980, C81, KASA!$U$2:$U$9980)</f>
        <v>0</v>
      </c>
      <c r="X81" s="2">
        <f t="shared" si="23"/>
        <v>0</v>
      </c>
      <c r="Y81" s="2">
        <f t="shared" si="24"/>
        <v>0</v>
      </c>
      <c r="Z81">
        <f>SUMIF(KASA!$C$2:$C$9980, C81, KASA!$V$2:$V$9980)</f>
        <v>357</v>
      </c>
      <c r="AA81">
        <f t="shared" si="25"/>
        <v>357</v>
      </c>
    </row>
    <row r="82" spans="3:27" x14ac:dyDescent="0.25">
      <c r="C82" s="4" t="s">
        <v>489</v>
      </c>
      <c r="D82" s="5">
        <f>SUMIFS(KASA!$I:$I, KASA!$C:$C, $C82, KASA!$B:$B, "MAL ALIMI") + SUMIFS(KASA!$I:$I, KASA!$C:$C, $C82, KASA!$B:$B, "ÜRETİM GİRİŞ")</f>
        <v>3</v>
      </c>
      <c r="E82" s="5" cm="1">
        <f t="array" ref="E82">IFERROR(AVERAGE(IF((KASA!$C$2:$C$9980=$C82)*((KASA!$B$2:$B$9980="MAL ALIMI")+(KASA!$B$2:$B$9980="ÜRETİM GİRİŞ")),KASA!$J$2:$J$9980)),0)</f>
        <v>119</v>
      </c>
      <c r="F82" s="5">
        <f>SUMIFS(KASA!$I:$I, KASA!$C:$C, $C82, KASA!$B:$B, "MAL SATIŞI") + SUMIFS(KASA!$I:$I, KASA!$C:$C, $C82, KASA!$B:$B, "ÜRETİM ÇIKIŞ")</f>
        <v>1</v>
      </c>
      <c r="G82" s="5">
        <f>SUMIFS(KASA!$I:$I, KASA!$C:$C, $C82, KASA!$B:$B, "MAL İADE")</f>
        <v>0</v>
      </c>
      <c r="H82" s="5">
        <f>SUMIFS(KASA!$K:$K, KASA!$C:$C, $C82, KASA!$B:$B, "MAL İADE") + SUMIFS(KASA!$Q:$Q, KASA!$C:$C, $C82, KASA!$B:$B, "MAL İADE")</f>
        <v>0</v>
      </c>
      <c r="I82" s="5">
        <f t="shared" si="13"/>
        <v>1</v>
      </c>
      <c r="J82" s="5">
        <f t="shared" si="14"/>
        <v>119</v>
      </c>
      <c r="K82" s="5">
        <f>SUMIFS(KASA!$Q:$Q, KASA!$C:$C, $C82, KASA!$B:$B, "MAL SATIŞI") + SUMIFS(KASA!$Q:$Q, KASA!$C:$C, $C82, KASA!$B:$B, "ÜRETİM ÇIKIŞ")</f>
        <v>210</v>
      </c>
      <c r="L82" s="5">
        <f>SUMIFS(KASA!$K:$K, KASA!$C:$C, $C82, KASA!$B:$B, "MAL SATIŞI") + SUMIFS(KASA!$K:$K, KASA!$C:$C, $C82, KASA!$B:$B, "ÜRETİM ÇIKIŞ")</f>
        <v>0</v>
      </c>
      <c r="M82" s="5">
        <f t="shared" si="15"/>
        <v>210</v>
      </c>
      <c r="N82" s="5">
        <f t="shared" si="16"/>
        <v>91</v>
      </c>
      <c r="O82" s="65">
        <f t="shared" si="17"/>
        <v>0.76470588235294112</v>
      </c>
      <c r="P82" s="5">
        <f t="shared" si="18"/>
        <v>210</v>
      </c>
      <c r="Q82" s="5">
        <f t="shared" si="19"/>
        <v>2</v>
      </c>
      <c r="R82" s="5">
        <f t="shared" si="20"/>
        <v>238</v>
      </c>
      <c r="S82" s="5">
        <f t="shared" si="21"/>
        <v>357</v>
      </c>
      <c r="T82">
        <v>2</v>
      </c>
      <c r="U82" s="2">
        <f t="shared" si="22"/>
        <v>0</v>
      </c>
      <c r="V82">
        <f>SUMIF(KASA!$C$2:$C$9980, C82, KASA!$T$2:$T$9980)</f>
        <v>2</v>
      </c>
      <c r="W82">
        <f>SUMIF(KASA!$C$2:$C$9980, C82, KASA!$U$2:$U$9980)</f>
        <v>238</v>
      </c>
      <c r="X82" s="2">
        <f t="shared" si="23"/>
        <v>2</v>
      </c>
      <c r="Y82" s="2">
        <f t="shared" si="24"/>
        <v>238</v>
      </c>
      <c r="Z82">
        <f>SUMIF(KASA!$C$2:$C$9980, C82, KASA!$V$2:$V$9980)</f>
        <v>357</v>
      </c>
      <c r="AA82">
        <f t="shared" si="25"/>
        <v>119</v>
      </c>
    </row>
    <row r="83" spans="3:27" x14ac:dyDescent="0.25">
      <c r="C83" s="4" t="s">
        <v>496</v>
      </c>
      <c r="D83" s="5">
        <f>SUMIFS(KASA!$I:$I, KASA!$C:$C, $C83, KASA!$B:$B, "MAL ALIMI") + SUMIFS(KASA!$I:$I, KASA!$C:$C, $C83, KASA!$B:$B, "ÜRETİM GİRİŞ")</f>
        <v>5</v>
      </c>
      <c r="E83" s="5" cm="1">
        <f t="array" ref="E83">IFERROR(AVERAGE(IF((KASA!$C$2:$C$9980=$C83)*((KASA!$B$2:$B$9980="MAL ALIMI")+(KASA!$B$2:$B$9980="ÜRETİM GİRİŞ")),KASA!$J$2:$J$9980)),0)</f>
        <v>99.9</v>
      </c>
      <c r="F83" s="5">
        <f>SUMIFS(KASA!$I:$I, KASA!$C:$C, $C83, KASA!$B:$B, "MAL SATIŞI") + SUMIFS(KASA!$I:$I, KASA!$C:$C, $C83, KASA!$B:$B, "ÜRETİM ÇIKIŞ")</f>
        <v>3</v>
      </c>
      <c r="G83" s="5">
        <f>SUMIFS(KASA!$I:$I, KASA!$C:$C, $C83, KASA!$B:$B, "MAL İADE")</f>
        <v>0</v>
      </c>
      <c r="H83" s="5">
        <f>SUMIFS(KASA!$K:$K, KASA!$C:$C, $C83, KASA!$B:$B, "MAL İADE") + SUMIFS(KASA!$Q:$Q, KASA!$C:$C, $C83, KASA!$B:$B, "MAL İADE")</f>
        <v>0</v>
      </c>
      <c r="I83" s="5">
        <f t="shared" si="13"/>
        <v>3</v>
      </c>
      <c r="J83" s="5">
        <f t="shared" si="14"/>
        <v>299.70000000000005</v>
      </c>
      <c r="K83" s="5">
        <f>SUMIFS(KASA!$Q:$Q, KASA!$C:$C, $C83, KASA!$B:$B, "MAL SATIŞI") + SUMIFS(KASA!$Q:$Q, KASA!$C:$C, $C83, KASA!$B:$B, "ÜRETİM ÇIKIŞ")</f>
        <v>447</v>
      </c>
      <c r="L83" s="5">
        <f>SUMIFS(KASA!$K:$K, KASA!$C:$C, $C83, KASA!$B:$B, "MAL SATIŞI") + SUMIFS(KASA!$K:$K, KASA!$C:$C, $C83, KASA!$B:$B, "ÜRETİM ÇIKIŞ")</f>
        <v>0</v>
      </c>
      <c r="M83" s="5">
        <f t="shared" si="15"/>
        <v>447</v>
      </c>
      <c r="N83" s="5">
        <f t="shared" si="16"/>
        <v>147.29999999999995</v>
      </c>
      <c r="O83" s="65">
        <f t="shared" si="17"/>
        <v>0.49149149149149124</v>
      </c>
      <c r="P83" s="5">
        <f t="shared" si="18"/>
        <v>149</v>
      </c>
      <c r="Q83" s="5">
        <f t="shared" si="19"/>
        <v>2</v>
      </c>
      <c r="R83" s="5">
        <f t="shared" si="20"/>
        <v>199.8</v>
      </c>
      <c r="S83" s="5">
        <f t="shared" si="21"/>
        <v>499.5</v>
      </c>
      <c r="T83">
        <v>3</v>
      </c>
      <c r="U83" s="2">
        <f t="shared" si="22"/>
        <v>-1</v>
      </c>
      <c r="V83">
        <f>SUMIF(KASA!$C$2:$C$9980, C83, KASA!$T$2:$T$9980)</f>
        <v>2</v>
      </c>
      <c r="W83">
        <f>SUMIF(KASA!$C$2:$C$9980, C83, KASA!$U$2:$U$9980)</f>
        <v>199.8</v>
      </c>
      <c r="X83" s="2">
        <f t="shared" si="23"/>
        <v>2</v>
      </c>
      <c r="Y83" s="2">
        <f t="shared" si="24"/>
        <v>199.8</v>
      </c>
      <c r="Z83">
        <f>SUMIF(KASA!$C$2:$C$9980, C83, KASA!$V$2:$V$9980)</f>
        <v>499.5</v>
      </c>
      <c r="AA83">
        <f t="shared" si="25"/>
        <v>299.7</v>
      </c>
    </row>
    <row r="84" spans="3:27" x14ac:dyDescent="0.25">
      <c r="C84" s="4" t="s">
        <v>483</v>
      </c>
      <c r="D84" s="5">
        <f>SUMIFS(KASA!$I:$I, KASA!$C:$C, $C84, KASA!$B:$B, "MAL ALIMI") + SUMIFS(KASA!$I:$I, KASA!$C:$C, $C84, KASA!$B:$B, "ÜRETİM GİRİŞ")</f>
        <v>1.26</v>
      </c>
      <c r="E84" s="5" cm="1">
        <f t="array" ref="E84">IFERROR(AVERAGE(IF((KASA!$C$2:$C$9980=$C84)*((KASA!$B$2:$B$9980="MAL ALIMI")+(KASA!$B$2:$B$9980="ÜRETİM GİRİŞ")),KASA!$J$2:$J$9980)),0)</f>
        <v>595</v>
      </c>
      <c r="F84" s="5">
        <f>SUMIFS(KASA!$I:$I, KASA!$C:$C, $C84, KASA!$B:$B, "MAL SATIŞI") + SUMIFS(KASA!$I:$I, KASA!$C:$C, $C84, KASA!$B:$B, "ÜRETİM ÇIKIŞ")</f>
        <v>1.2599999999999998</v>
      </c>
      <c r="G84" s="5">
        <f>SUMIFS(KASA!$I:$I, KASA!$C:$C, $C84, KASA!$B:$B, "MAL İADE")</f>
        <v>0</v>
      </c>
      <c r="H84" s="5">
        <f>SUMIFS(KASA!$K:$K, KASA!$C:$C, $C84, KASA!$B:$B, "MAL İADE") + SUMIFS(KASA!$Q:$Q, KASA!$C:$C, $C84, KASA!$B:$B, "MAL İADE")</f>
        <v>0</v>
      </c>
      <c r="I84" s="5">
        <f t="shared" si="13"/>
        <v>1.2599999999999998</v>
      </c>
      <c r="J84" s="5">
        <f t="shared" si="14"/>
        <v>749.69999999999982</v>
      </c>
      <c r="K84" s="5">
        <f>SUMIFS(KASA!$Q:$Q, KASA!$C:$C, $C84, KASA!$B:$B, "MAL SATIŞI") + SUMIFS(KASA!$Q:$Q, KASA!$C:$C, $C84, KASA!$B:$B, "ÜRETİM ÇIKIŞ")</f>
        <v>417.495</v>
      </c>
      <c r="L84" s="5">
        <f>SUMIFS(KASA!$K:$K, KASA!$C:$C, $C84, KASA!$B:$B, "MAL SATIŞI") + SUMIFS(KASA!$K:$K, KASA!$C:$C, $C84, KASA!$B:$B, "ÜRETİM ÇIKIŞ")</f>
        <v>401.505</v>
      </c>
      <c r="M84" s="5">
        <f t="shared" si="15"/>
        <v>819</v>
      </c>
      <c r="N84" s="5">
        <f t="shared" si="16"/>
        <v>69.300000000000182</v>
      </c>
      <c r="O84" s="65">
        <f t="shared" si="17"/>
        <v>9.2436974789916235E-2</v>
      </c>
      <c r="P84" s="5">
        <f t="shared" si="18"/>
        <v>650.00000000000011</v>
      </c>
      <c r="Q84" s="5">
        <f t="shared" si="19"/>
        <v>2.2204460492503131E-16</v>
      </c>
      <c r="R84" s="5">
        <f t="shared" si="20"/>
        <v>1.3211653993039363E-13</v>
      </c>
      <c r="S84" s="5">
        <f t="shared" si="21"/>
        <v>749.7</v>
      </c>
      <c r="T84">
        <v>0</v>
      </c>
      <c r="U84" s="2">
        <f t="shared" si="22"/>
        <v>2.2204460492503131E-16</v>
      </c>
      <c r="V84">
        <f>SUMIF(KASA!$C$2:$C$9980, C84, KASA!$T$2:$T$9980)</f>
        <v>2.2204460492503131E-16</v>
      </c>
      <c r="W84">
        <f>SUMIF(KASA!$C$2:$C$9980, C84, KASA!$U$2:$U$9980)</f>
        <v>1.3211653993039363E-13</v>
      </c>
      <c r="X84" s="2">
        <f t="shared" si="23"/>
        <v>2.2204460492503131E-16</v>
      </c>
      <c r="Y84" s="2">
        <f t="shared" si="24"/>
        <v>1.3211653993039363E-13</v>
      </c>
      <c r="Z84">
        <f>SUMIF(KASA!$C$2:$C$9980, C84, KASA!$V$2:$V$9980)</f>
        <v>749.7</v>
      </c>
      <c r="AA84">
        <f t="shared" si="25"/>
        <v>749.69999999999993</v>
      </c>
    </row>
    <row r="85" spans="3:27" x14ac:dyDescent="0.25">
      <c r="C85" s="4" t="s">
        <v>503</v>
      </c>
      <c r="D85" s="5">
        <f>SUMIFS(KASA!$I:$I, KASA!$C:$C, $C85, KASA!$B:$B, "MAL ALIMI") + SUMIFS(KASA!$I:$I, KASA!$C:$C, $C85, KASA!$B:$B, "ÜRETİM GİRİŞ")</f>
        <v>1</v>
      </c>
      <c r="E85" s="5" cm="1">
        <f t="array" ref="E85">IFERROR(AVERAGE(IF((KASA!$C$2:$C$9980=$C85)*((KASA!$B$2:$B$9980="MAL ALIMI")+(KASA!$B$2:$B$9980="ÜRETİM GİRİŞ")),KASA!$J$2:$J$9980)),0)</f>
        <v>89.9</v>
      </c>
      <c r="F85" s="5">
        <f>SUMIFS(KASA!$I:$I, KASA!$C:$C, $C85, KASA!$B:$B, "MAL SATIŞI") + SUMIFS(KASA!$I:$I, KASA!$C:$C, $C85, KASA!$B:$B, "ÜRETİM ÇIKIŞ")</f>
        <v>1</v>
      </c>
      <c r="G85" s="5">
        <f>SUMIFS(KASA!$I:$I, KASA!$C:$C, $C85, KASA!$B:$B, "MAL İADE")</f>
        <v>0</v>
      </c>
      <c r="H85" s="5">
        <f>SUMIFS(KASA!$K:$K, KASA!$C:$C, $C85, KASA!$B:$B, "MAL İADE") + SUMIFS(KASA!$Q:$Q, KASA!$C:$C, $C85, KASA!$B:$B, "MAL İADE")</f>
        <v>0</v>
      </c>
      <c r="I85" s="5">
        <f t="shared" si="13"/>
        <v>1</v>
      </c>
      <c r="J85" s="5">
        <f t="shared" si="14"/>
        <v>89.9</v>
      </c>
      <c r="K85" s="5">
        <f>SUMIFS(KASA!$Q:$Q, KASA!$C:$C, $C85, KASA!$B:$B, "MAL SATIŞI") + SUMIFS(KASA!$Q:$Q, KASA!$C:$C, $C85, KASA!$B:$B, "ÜRETİM ÇIKIŞ")</f>
        <v>135</v>
      </c>
      <c r="L85" s="5">
        <f>SUMIFS(KASA!$K:$K, KASA!$C:$C, $C85, KASA!$B:$B, "MAL SATIŞI") + SUMIFS(KASA!$K:$K, KASA!$C:$C, $C85, KASA!$B:$B, "ÜRETİM ÇIKIŞ")</f>
        <v>0</v>
      </c>
      <c r="M85" s="5">
        <f t="shared" si="15"/>
        <v>135</v>
      </c>
      <c r="N85" s="5">
        <f t="shared" si="16"/>
        <v>45.099999999999994</v>
      </c>
      <c r="O85" s="65">
        <f t="shared" si="17"/>
        <v>0.50166852057842037</v>
      </c>
      <c r="P85" s="5">
        <f t="shared" si="18"/>
        <v>135</v>
      </c>
      <c r="Q85" s="5">
        <f t="shared" si="19"/>
        <v>0</v>
      </c>
      <c r="R85" s="5">
        <f t="shared" si="20"/>
        <v>0</v>
      </c>
      <c r="S85" s="5">
        <f t="shared" si="21"/>
        <v>89.9</v>
      </c>
      <c r="T85">
        <v>0</v>
      </c>
      <c r="U85" s="2">
        <f t="shared" si="22"/>
        <v>0</v>
      </c>
      <c r="V85">
        <f>SUMIF(KASA!$C$2:$C$9980, C85, KASA!$T$2:$T$9980)</f>
        <v>0</v>
      </c>
      <c r="W85">
        <f>SUMIF(KASA!$C$2:$C$9980, C85, KASA!$U$2:$U$9980)</f>
        <v>0</v>
      </c>
      <c r="X85" s="2">
        <f t="shared" si="23"/>
        <v>0</v>
      </c>
      <c r="Y85" s="2">
        <f t="shared" si="24"/>
        <v>0</v>
      </c>
      <c r="Z85">
        <f>SUMIF(KASA!$C$2:$C$9980, C85, KASA!$V$2:$V$9980)</f>
        <v>89.9</v>
      </c>
      <c r="AA85">
        <f t="shared" si="25"/>
        <v>89.9</v>
      </c>
    </row>
    <row r="86" spans="3:27" x14ac:dyDescent="0.25">
      <c r="C86" s="4" t="s">
        <v>504</v>
      </c>
      <c r="D86" s="5">
        <f>SUMIFS(KASA!$I:$I, KASA!$C:$C, $C86, KASA!$B:$B, "MAL ALIMI") + SUMIFS(KASA!$I:$I, KASA!$C:$C, $C86, KASA!$B:$B, "ÜRETİM GİRİŞ")</f>
        <v>1</v>
      </c>
      <c r="E86" s="5" cm="1">
        <f t="array" ref="E86">IFERROR(AVERAGE(IF((KASA!$C$2:$C$9980=$C86)*((KASA!$B$2:$B$9980="MAL ALIMI")+(KASA!$B$2:$B$9980="ÜRETİM GİRİŞ")),KASA!$J$2:$J$9980)),0)</f>
        <v>89.9</v>
      </c>
      <c r="F86" s="5">
        <f>SUMIFS(KASA!$I:$I, KASA!$C:$C, $C86, KASA!$B:$B, "MAL SATIŞI") + SUMIFS(KASA!$I:$I, KASA!$C:$C, $C86, KASA!$B:$B, "ÜRETİM ÇIKIŞ")</f>
        <v>0</v>
      </c>
      <c r="G86" s="5">
        <f>SUMIFS(KASA!$I:$I, KASA!$C:$C, $C86, KASA!$B:$B, "MAL İADE")</f>
        <v>0</v>
      </c>
      <c r="H86" s="5">
        <f>SUMIFS(KASA!$K:$K, KASA!$C:$C, $C86, KASA!$B:$B, "MAL İADE") + SUMIFS(KASA!$Q:$Q, KASA!$C:$C, $C86, KASA!$B:$B, "MAL İADE")</f>
        <v>0</v>
      </c>
      <c r="I86" s="5">
        <f t="shared" si="13"/>
        <v>0</v>
      </c>
      <c r="J86" s="5">
        <f t="shared" si="14"/>
        <v>0</v>
      </c>
      <c r="K86" s="5">
        <f>SUMIFS(KASA!$Q:$Q, KASA!$C:$C, $C86, KASA!$B:$B, "MAL SATIŞI") + SUMIFS(KASA!$Q:$Q, KASA!$C:$C, $C86, KASA!$B:$B, "ÜRETİM ÇIKIŞ")</f>
        <v>0</v>
      </c>
      <c r="L86" s="5">
        <f>SUMIFS(KASA!$K:$K, KASA!$C:$C, $C86, KASA!$B:$B, "MAL SATIŞI") + SUMIFS(KASA!$K:$K, KASA!$C:$C, $C86, KASA!$B:$B, "ÜRETİM ÇIKIŞ")</f>
        <v>0</v>
      </c>
      <c r="M86" s="5">
        <f t="shared" si="15"/>
        <v>0</v>
      </c>
      <c r="N86" s="5">
        <f t="shared" si="16"/>
        <v>0</v>
      </c>
      <c r="O86" s="65">
        <f t="shared" si="17"/>
        <v>0</v>
      </c>
      <c r="P86" s="5" t="e">
        <f t="shared" si="18"/>
        <v>#DIV/0!</v>
      </c>
      <c r="Q86" s="5">
        <f t="shared" si="19"/>
        <v>1</v>
      </c>
      <c r="R86" s="5">
        <f t="shared" si="20"/>
        <v>89.9</v>
      </c>
      <c r="S86" s="5">
        <f t="shared" si="21"/>
        <v>89.9</v>
      </c>
      <c r="T86">
        <v>1</v>
      </c>
      <c r="U86" s="2">
        <f t="shared" si="22"/>
        <v>0</v>
      </c>
      <c r="V86">
        <f>SUMIF(KASA!$C$2:$C$9980, C86, KASA!$T$2:$T$9980)</f>
        <v>1</v>
      </c>
      <c r="W86">
        <f>SUMIF(KASA!$C$2:$C$9980, C86, KASA!$U$2:$U$9980)</f>
        <v>89.9</v>
      </c>
      <c r="X86" s="2">
        <f t="shared" si="23"/>
        <v>1</v>
      </c>
      <c r="Y86" s="2">
        <f t="shared" si="24"/>
        <v>89.9</v>
      </c>
      <c r="Z86">
        <f>SUMIF(KASA!$C$2:$C$9980, C86, KASA!$V$2:$V$9980)</f>
        <v>89.9</v>
      </c>
      <c r="AA86">
        <f t="shared" si="25"/>
        <v>0</v>
      </c>
    </row>
    <row r="87" spans="3:27" x14ac:dyDescent="0.25">
      <c r="C87" s="4" t="s">
        <v>505</v>
      </c>
      <c r="D87" s="5">
        <f>SUMIFS(KASA!$I:$I, KASA!$C:$C, $C87, KASA!$B:$B, "MAL ALIMI") + SUMIFS(KASA!$I:$I, KASA!$C:$C, $C87, KASA!$B:$B, "ÜRETİM GİRİŞ")</f>
        <v>4</v>
      </c>
      <c r="E87" s="5" cm="1">
        <f t="array" ref="E87">IFERROR(AVERAGE(IF((KASA!$C$2:$C$9980=$C87)*((KASA!$B$2:$B$9980="MAL ALIMI")+(KASA!$B$2:$B$9980="ÜRETİM GİRİŞ")),KASA!$J$2:$J$9980)),0)</f>
        <v>119</v>
      </c>
      <c r="F87" s="5">
        <f>SUMIFS(KASA!$I:$I, KASA!$C:$C, $C87, KASA!$B:$B, "MAL SATIŞI") + SUMIFS(KASA!$I:$I, KASA!$C:$C, $C87, KASA!$B:$B, "ÜRETİM ÇIKIŞ")</f>
        <v>4</v>
      </c>
      <c r="G87" s="5">
        <f>SUMIFS(KASA!$I:$I, KASA!$C:$C, $C87, KASA!$B:$B, "MAL İADE")</f>
        <v>0</v>
      </c>
      <c r="H87" s="5">
        <f>SUMIFS(KASA!$K:$K, KASA!$C:$C, $C87, KASA!$B:$B, "MAL İADE") + SUMIFS(KASA!$Q:$Q, KASA!$C:$C, $C87, KASA!$B:$B, "MAL İADE")</f>
        <v>0</v>
      </c>
      <c r="I87" s="5">
        <f t="shared" si="13"/>
        <v>4</v>
      </c>
      <c r="J87" s="5">
        <f t="shared" si="14"/>
        <v>476</v>
      </c>
      <c r="K87" s="5">
        <f>SUMIFS(KASA!$Q:$Q, KASA!$C:$C, $C87, KASA!$B:$B, "MAL SATIŞI") + SUMIFS(KASA!$Q:$Q, KASA!$C:$C, $C87, KASA!$B:$B, "ÜRETİM ÇIKIŞ")</f>
        <v>910</v>
      </c>
      <c r="L87" s="5">
        <f>SUMIFS(KASA!$K:$K, KASA!$C:$C, $C87, KASA!$B:$B, "MAL SATIŞI") + SUMIFS(KASA!$K:$K, KASA!$C:$C, $C87, KASA!$B:$B, "ÜRETİM ÇIKIŞ")</f>
        <v>0</v>
      </c>
      <c r="M87" s="5">
        <f t="shared" si="15"/>
        <v>910</v>
      </c>
      <c r="N87" s="5">
        <f t="shared" si="16"/>
        <v>434</v>
      </c>
      <c r="O87" s="65">
        <f t="shared" si="17"/>
        <v>0.91176470588235292</v>
      </c>
      <c r="P87" s="5">
        <f t="shared" si="18"/>
        <v>227.5</v>
      </c>
      <c r="Q87" s="5">
        <f t="shared" si="19"/>
        <v>0</v>
      </c>
      <c r="R87" s="5">
        <f t="shared" si="20"/>
        <v>0</v>
      </c>
      <c r="S87" s="5">
        <f t="shared" si="21"/>
        <v>476</v>
      </c>
      <c r="T87">
        <v>2</v>
      </c>
      <c r="U87" s="2">
        <f t="shared" si="22"/>
        <v>-2</v>
      </c>
      <c r="V87">
        <f>SUMIF(KASA!$C$2:$C$9980, C87, KASA!$T$2:$T$9980)</f>
        <v>0</v>
      </c>
      <c r="W87">
        <f>SUMIF(KASA!$C$2:$C$9980, C87, KASA!$U$2:$U$9980)</f>
        <v>0</v>
      </c>
      <c r="X87" s="2">
        <f t="shared" si="23"/>
        <v>0</v>
      </c>
      <c r="Y87" s="2">
        <f t="shared" si="24"/>
        <v>0</v>
      </c>
      <c r="Z87">
        <f>SUMIF(KASA!$C$2:$C$9980, C87, KASA!$V$2:$V$9980)</f>
        <v>476</v>
      </c>
      <c r="AA87">
        <f t="shared" si="25"/>
        <v>476</v>
      </c>
    </row>
    <row r="88" spans="3:27" x14ac:dyDescent="0.25">
      <c r="C88" s="4" t="s">
        <v>518</v>
      </c>
      <c r="D88" s="5">
        <f>SUMIFS(KASA!$I:$I, KASA!$C:$C, $C88, KASA!$B:$B, "MAL ALIMI") + SUMIFS(KASA!$I:$I, KASA!$C:$C, $C88, KASA!$B:$B, "ÜRETİM GİRİŞ")</f>
        <v>0</v>
      </c>
      <c r="E88" s="5" cm="1">
        <f t="array" ref="E88">IFERROR(AVERAGE(IF((KASA!$C$2:$C$9980=$C88)*((KASA!$B$2:$B$9980="MAL ALIMI")+(KASA!$B$2:$B$9980="ÜRETİM GİRİŞ")),KASA!$J$2:$J$9980)),0)</f>
        <v>0</v>
      </c>
      <c r="F88" s="5">
        <f>SUMIFS(KASA!$I:$I, KASA!$C:$C, $C88, KASA!$B:$B, "MAL SATIŞI") + SUMIFS(KASA!$I:$I, KASA!$C:$C, $C88, KASA!$B:$B, "ÜRETİM ÇIKIŞ")</f>
        <v>0</v>
      </c>
      <c r="G88" s="5">
        <f>SUMIFS(KASA!$I:$I, KASA!$C:$C, $C88, KASA!$B:$B, "MAL İADE")</f>
        <v>0</v>
      </c>
      <c r="H88" s="5">
        <f>SUMIFS(KASA!$K:$K, KASA!$C:$C, $C88, KASA!$B:$B, "MAL İADE") + SUMIFS(KASA!$Q:$Q, KASA!$C:$C, $C88, KASA!$B:$B, "MAL İADE")</f>
        <v>0</v>
      </c>
      <c r="I88" s="5">
        <f t="shared" si="13"/>
        <v>0</v>
      </c>
      <c r="J88" s="5">
        <f t="shared" si="14"/>
        <v>0</v>
      </c>
      <c r="K88" s="5">
        <f>SUMIFS(KASA!$Q:$Q, KASA!$C:$C, $C88, KASA!$B:$B, "MAL SATIŞI") + SUMIFS(KASA!$Q:$Q, KASA!$C:$C, $C88, KASA!$B:$B, "ÜRETİM ÇIKIŞ")</f>
        <v>0</v>
      </c>
      <c r="L88" s="5">
        <f>SUMIFS(KASA!$K:$K, KASA!$C:$C, $C88, KASA!$B:$B, "MAL SATIŞI") + SUMIFS(KASA!$K:$K, KASA!$C:$C, $C88, KASA!$B:$B, "ÜRETİM ÇIKIŞ")</f>
        <v>0</v>
      </c>
      <c r="M88" s="5">
        <f t="shared" si="15"/>
        <v>0</v>
      </c>
      <c r="N88" s="5">
        <f t="shared" si="16"/>
        <v>0</v>
      </c>
      <c r="O88" s="65">
        <f t="shared" si="17"/>
        <v>0</v>
      </c>
      <c r="P88" s="5" t="e">
        <f t="shared" si="18"/>
        <v>#DIV/0!</v>
      </c>
      <c r="Q88" s="5">
        <f t="shared" si="19"/>
        <v>0</v>
      </c>
      <c r="R88" s="5">
        <f t="shared" si="20"/>
        <v>0</v>
      </c>
      <c r="S88" s="5">
        <f t="shared" si="21"/>
        <v>0</v>
      </c>
      <c r="T88">
        <v>0</v>
      </c>
      <c r="U88" s="2">
        <f t="shared" si="22"/>
        <v>0</v>
      </c>
      <c r="V88">
        <f>SUMIF(KASA!$C$2:$C$9980, C88, KASA!$T$2:$T$9980)</f>
        <v>0</v>
      </c>
      <c r="W88">
        <f>SUMIF(KASA!$C$2:$C$9980, C88, KASA!$U$2:$U$9980)</f>
        <v>0</v>
      </c>
      <c r="X88" s="2">
        <f t="shared" si="23"/>
        <v>0</v>
      </c>
      <c r="Y88" s="2">
        <f t="shared" si="24"/>
        <v>0</v>
      </c>
      <c r="Z88">
        <f>SUMIF(KASA!$C$2:$C$9980, C88, KASA!$V$2:$V$9980)</f>
        <v>0</v>
      </c>
      <c r="AA88">
        <f t="shared" si="25"/>
        <v>0</v>
      </c>
    </row>
    <row r="89" spans="3:27" x14ac:dyDescent="0.25">
      <c r="C89" s="4" t="s">
        <v>519</v>
      </c>
      <c r="D89" s="5">
        <f>SUMIFS(KASA!$I:$I, KASA!$C:$C, $C89, KASA!$B:$B, "MAL ALIMI") + SUMIFS(KASA!$I:$I, KASA!$C:$C, $C89, KASA!$B:$B, "ÜRETİM GİRİŞ")</f>
        <v>1</v>
      </c>
      <c r="E89" s="5" cm="1">
        <f t="array" ref="E89">IFERROR(AVERAGE(IF((KASA!$C$2:$C$9980=$C89)*((KASA!$B$2:$B$9980="MAL ALIMI")+(KASA!$B$2:$B$9980="ÜRETİM GİRİŞ")),KASA!$J$2:$J$9980)),0)</f>
        <v>129</v>
      </c>
      <c r="F89" s="5">
        <f>SUMIFS(KASA!$I:$I, KASA!$C:$C, $C89, KASA!$B:$B, "MAL SATIŞI") + SUMIFS(KASA!$I:$I, KASA!$C:$C, $C89, KASA!$B:$B, "ÜRETİM ÇIKIŞ")</f>
        <v>1</v>
      </c>
      <c r="G89" s="5">
        <f>SUMIFS(KASA!$I:$I, KASA!$C:$C, $C89, KASA!$B:$B, "MAL İADE")</f>
        <v>0</v>
      </c>
      <c r="H89" s="5">
        <f>SUMIFS(KASA!$K:$K, KASA!$C:$C, $C89, KASA!$B:$B, "MAL İADE") + SUMIFS(KASA!$Q:$Q, KASA!$C:$C, $C89, KASA!$B:$B, "MAL İADE")</f>
        <v>0</v>
      </c>
      <c r="I89" s="5">
        <f t="shared" si="13"/>
        <v>1</v>
      </c>
      <c r="J89" s="5">
        <f t="shared" si="14"/>
        <v>129</v>
      </c>
      <c r="K89" s="5">
        <f>SUMIFS(KASA!$Q:$Q, KASA!$C:$C, $C89, KASA!$B:$B, "MAL SATIŞI") + SUMIFS(KASA!$Q:$Q, KASA!$C:$C, $C89, KASA!$B:$B, "ÜRETİM ÇIKIŞ")</f>
        <v>165</v>
      </c>
      <c r="L89" s="5">
        <f>SUMIFS(KASA!$K:$K, KASA!$C:$C, $C89, KASA!$B:$B, "MAL SATIŞI") + SUMIFS(KASA!$K:$K, KASA!$C:$C, $C89, KASA!$B:$B, "ÜRETİM ÇIKIŞ")</f>
        <v>0</v>
      </c>
      <c r="M89" s="5">
        <f t="shared" si="15"/>
        <v>165</v>
      </c>
      <c r="N89" s="5">
        <f t="shared" si="16"/>
        <v>36</v>
      </c>
      <c r="O89" s="65">
        <f t="shared" si="17"/>
        <v>0.27906976744186046</v>
      </c>
      <c r="P89" s="5">
        <f t="shared" si="18"/>
        <v>165</v>
      </c>
      <c r="Q89" s="5">
        <f t="shared" si="19"/>
        <v>0</v>
      </c>
      <c r="R89" s="5">
        <f t="shared" si="20"/>
        <v>0</v>
      </c>
      <c r="S89" s="5">
        <f t="shared" si="21"/>
        <v>129</v>
      </c>
      <c r="T89">
        <v>0</v>
      </c>
      <c r="U89" s="2">
        <f t="shared" si="22"/>
        <v>0</v>
      </c>
      <c r="V89">
        <f>SUMIF(KASA!$C$2:$C$9980, C89, KASA!$T$2:$T$9980)</f>
        <v>0</v>
      </c>
      <c r="W89">
        <f>SUMIF(KASA!$C$2:$C$9980, C89, KASA!$U$2:$U$9980)</f>
        <v>0</v>
      </c>
      <c r="X89" s="2">
        <f t="shared" si="23"/>
        <v>0</v>
      </c>
      <c r="Y89" s="2">
        <f t="shared" si="24"/>
        <v>0</v>
      </c>
      <c r="Z89">
        <f>SUMIF(KASA!$C$2:$C$9980, C89, KASA!$V$2:$V$9980)</f>
        <v>129</v>
      </c>
      <c r="AA89">
        <f t="shared" si="25"/>
        <v>129</v>
      </c>
    </row>
    <row r="90" spans="3:27" x14ac:dyDescent="0.25">
      <c r="C90" s="4" t="s">
        <v>517</v>
      </c>
      <c r="D90" s="5">
        <f>SUMIFS(KASA!$I:$I, KASA!$C:$C, $C90, KASA!$B:$B, "MAL ALIMI") + SUMIFS(KASA!$I:$I, KASA!$C:$C, $C90, KASA!$B:$B, "ÜRETİM GİRİŞ")</f>
        <v>5</v>
      </c>
      <c r="E90" s="5" cm="1">
        <f t="array" ref="E90">IFERROR(AVERAGE(IF((KASA!$C$2:$C$9980=$C90)*((KASA!$B$2:$B$9980="MAL ALIMI")+(KASA!$B$2:$B$9980="ÜRETİM GİRİŞ")),KASA!$J$2:$J$9980)),0)</f>
        <v>69.900000000000006</v>
      </c>
      <c r="F90" s="5">
        <f>SUMIFS(KASA!$I:$I, KASA!$C:$C, $C90, KASA!$B:$B, "MAL SATIŞI") + SUMIFS(KASA!$I:$I, KASA!$C:$C, $C90, KASA!$B:$B, "ÜRETİM ÇIKIŞ")</f>
        <v>5</v>
      </c>
      <c r="G90" s="5">
        <f>SUMIFS(KASA!$I:$I, KASA!$C:$C, $C90, KASA!$B:$B, "MAL İADE")</f>
        <v>0</v>
      </c>
      <c r="H90" s="5">
        <f>SUMIFS(KASA!$K:$K, KASA!$C:$C, $C90, KASA!$B:$B, "MAL İADE") + SUMIFS(KASA!$Q:$Q, KASA!$C:$C, $C90, KASA!$B:$B, "MAL İADE")</f>
        <v>0</v>
      </c>
      <c r="I90" s="5">
        <f t="shared" si="13"/>
        <v>5</v>
      </c>
      <c r="J90" s="5">
        <f t="shared" si="14"/>
        <v>349.5</v>
      </c>
      <c r="K90" s="5">
        <f>SUMIFS(KASA!$Q:$Q, KASA!$C:$C, $C90, KASA!$B:$B, "MAL SATIŞI") + SUMIFS(KASA!$Q:$Q, KASA!$C:$C, $C90, KASA!$B:$B, "ÜRETİM ÇIKIŞ")</f>
        <v>570</v>
      </c>
      <c r="L90" s="5">
        <f>SUMIFS(KASA!$K:$K, KASA!$C:$C, $C90, KASA!$B:$B, "MAL SATIŞI") + SUMIFS(KASA!$K:$K, KASA!$C:$C, $C90, KASA!$B:$B, "ÜRETİM ÇIKIŞ")</f>
        <v>380</v>
      </c>
      <c r="M90" s="5">
        <f t="shared" si="15"/>
        <v>950</v>
      </c>
      <c r="N90" s="5">
        <f t="shared" si="16"/>
        <v>600.5</v>
      </c>
      <c r="O90" s="65">
        <f t="shared" si="17"/>
        <v>1.7181688125894135</v>
      </c>
      <c r="P90" s="5">
        <f t="shared" si="18"/>
        <v>190</v>
      </c>
      <c r="Q90" s="5">
        <f t="shared" si="19"/>
        <v>0</v>
      </c>
      <c r="R90" s="5">
        <f t="shared" si="20"/>
        <v>0</v>
      </c>
      <c r="S90" s="5">
        <f t="shared" si="21"/>
        <v>349.5</v>
      </c>
      <c r="T90">
        <v>2</v>
      </c>
      <c r="U90" s="2">
        <f t="shared" si="22"/>
        <v>-2</v>
      </c>
      <c r="V90">
        <f>SUMIF(KASA!$C$2:$C$9980, C90, KASA!$T$2:$T$9980)</f>
        <v>0</v>
      </c>
      <c r="W90">
        <f>SUMIF(KASA!$C$2:$C$9980, C90, KASA!$U$2:$U$9980)</f>
        <v>0</v>
      </c>
      <c r="X90" s="2">
        <f t="shared" si="23"/>
        <v>0</v>
      </c>
      <c r="Y90" s="2">
        <f t="shared" si="24"/>
        <v>0</v>
      </c>
      <c r="Z90">
        <f>SUMIF(KASA!$C$2:$C$9980, C90, KASA!$V$2:$V$9980)</f>
        <v>349.5</v>
      </c>
      <c r="AA90">
        <f t="shared" si="25"/>
        <v>349.5</v>
      </c>
    </row>
    <row r="91" spans="3:27" x14ac:dyDescent="0.25">
      <c r="C91" s="4" t="s">
        <v>507</v>
      </c>
      <c r="D91" s="5">
        <f>SUMIFS(KASA!$I:$I, KASA!$C:$C, $C91, KASA!$B:$B, "MAL ALIMI") + SUMIFS(KASA!$I:$I, KASA!$C:$C, $C91, KASA!$B:$B, "ÜRETİM GİRİŞ")</f>
        <v>8</v>
      </c>
      <c r="E91" s="5" cm="1">
        <f t="array" ref="E91">IFERROR(AVERAGE(IF((KASA!$C$2:$C$9980=$C91)*((KASA!$B$2:$B$9980="MAL ALIMI")+(KASA!$B$2:$B$9980="ÜRETİM GİRİŞ")),KASA!$J$2:$J$9980)),0)</f>
        <v>98.63</v>
      </c>
      <c r="F91" s="5">
        <f>SUMIFS(KASA!$I:$I, KASA!$C:$C, $C91, KASA!$B:$B, "MAL SATIŞI") + SUMIFS(KASA!$I:$I, KASA!$C:$C, $C91, KASA!$B:$B, "ÜRETİM ÇIKIŞ")</f>
        <v>5</v>
      </c>
      <c r="G91" s="5">
        <f>SUMIFS(KASA!$I:$I, KASA!$C:$C, $C91, KASA!$B:$B, "MAL İADE")</f>
        <v>0</v>
      </c>
      <c r="H91" s="5">
        <f>SUMIFS(KASA!$K:$K, KASA!$C:$C, $C91, KASA!$B:$B, "MAL İADE") + SUMIFS(KASA!$Q:$Q, KASA!$C:$C, $C91, KASA!$B:$B, "MAL İADE")</f>
        <v>0</v>
      </c>
      <c r="I91" s="5">
        <f t="shared" si="13"/>
        <v>5</v>
      </c>
      <c r="J91" s="5">
        <f t="shared" si="14"/>
        <v>493.15</v>
      </c>
      <c r="K91" s="5">
        <f>SUMIFS(KASA!$Q:$Q, KASA!$C:$C, $C91, KASA!$B:$B, "MAL SATIŞI") + SUMIFS(KASA!$Q:$Q, KASA!$C:$C, $C91, KASA!$B:$B, "ÜRETİM ÇIKIŞ")</f>
        <v>760</v>
      </c>
      <c r="L91" s="5">
        <f>SUMIFS(KASA!$K:$K, KASA!$C:$C, $C91, KASA!$B:$B, "MAL SATIŞI") + SUMIFS(KASA!$K:$K, KASA!$C:$C, $C91, KASA!$B:$B, "ÜRETİM ÇIKIŞ")</f>
        <v>190</v>
      </c>
      <c r="M91" s="5">
        <f t="shared" si="15"/>
        <v>950</v>
      </c>
      <c r="N91" s="5">
        <f t="shared" si="16"/>
        <v>456.85</v>
      </c>
      <c r="O91" s="65">
        <f t="shared" si="17"/>
        <v>0.92639156443272852</v>
      </c>
      <c r="P91" s="5">
        <f t="shared" si="18"/>
        <v>190</v>
      </c>
      <c r="Q91" s="5">
        <f t="shared" si="19"/>
        <v>3</v>
      </c>
      <c r="R91" s="5">
        <f t="shared" si="20"/>
        <v>295.89</v>
      </c>
      <c r="S91" s="5">
        <f t="shared" si="21"/>
        <v>789.04</v>
      </c>
      <c r="T91">
        <v>4</v>
      </c>
      <c r="U91" s="2">
        <f t="shared" si="22"/>
        <v>-1</v>
      </c>
      <c r="V91">
        <f>SUMIF(KASA!$C$2:$C$9980, C91, KASA!$T$2:$T$9980)</f>
        <v>3</v>
      </c>
      <c r="W91">
        <f>SUMIF(KASA!$C$2:$C$9980, C91, KASA!$U$2:$U$9980)</f>
        <v>382.08</v>
      </c>
      <c r="X91" s="2">
        <f t="shared" si="23"/>
        <v>3</v>
      </c>
      <c r="Y91" s="2">
        <f t="shared" si="24"/>
        <v>382.08</v>
      </c>
      <c r="Z91">
        <f>SUMIF(KASA!$C$2:$C$9980, C91, KASA!$V$2:$V$9980)</f>
        <v>903.96</v>
      </c>
      <c r="AA91">
        <f t="shared" si="25"/>
        <v>521.88000000000011</v>
      </c>
    </row>
    <row r="92" spans="3:27" x14ac:dyDescent="0.25">
      <c r="C92" s="4" t="s">
        <v>619</v>
      </c>
      <c r="D92" s="5">
        <f>SUMIFS(KASA!$I:$I, KASA!$C:$C, $C92, KASA!$B:$B, "MAL ALIMI") + SUMIFS(KASA!$I:$I, KASA!$C:$C, $C92, KASA!$B:$B, "ÜRETİM GİRİŞ")</f>
        <v>2.31</v>
      </c>
      <c r="E92" s="5" cm="1">
        <f t="array" ref="E92">IFERROR(AVERAGE(IF((KASA!$C$2:$C$9980=$C92)*((KASA!$B$2:$B$9980="MAL ALIMI")+(KASA!$B$2:$B$9980="ÜRETİM GİRİŞ")),KASA!$J$2:$J$9980)),0)</f>
        <v>109.63800000000001</v>
      </c>
      <c r="F92" s="5">
        <f>SUMIFS(KASA!$I:$I, KASA!$C:$C, $C92, KASA!$B:$B, "MAL SATIŞI") + SUMIFS(KASA!$I:$I, KASA!$C:$C, $C92, KASA!$B:$B, "ÜRETİM ÇIKIŞ")</f>
        <v>2.3139354838709676</v>
      </c>
      <c r="G92" s="5">
        <f>SUMIFS(KASA!$I:$I, KASA!$C:$C, $C92, KASA!$B:$B, "MAL İADE")</f>
        <v>0</v>
      </c>
      <c r="H92" s="5">
        <f>SUMIFS(KASA!$K:$K, KASA!$C:$C, $C92, KASA!$B:$B, "MAL İADE") + SUMIFS(KASA!$Q:$Q, KASA!$C:$C, $C92, KASA!$B:$B, "MAL İADE")</f>
        <v>0</v>
      </c>
      <c r="I92" s="5">
        <f t="shared" si="13"/>
        <v>2.3139354838709676</v>
      </c>
      <c r="J92" s="5">
        <f t="shared" si="14"/>
        <v>253.69525858064515</v>
      </c>
      <c r="K92" s="5">
        <f>SUMIFS(KASA!$Q:$Q, KASA!$C:$C, $C92, KASA!$B:$B, "MAL SATIŞI") + SUMIFS(KASA!$Q:$Q, KASA!$C:$C, $C92, KASA!$B:$B, "ÜRETİM ÇIKIŞ")</f>
        <v>320.99</v>
      </c>
      <c r="L92" s="5">
        <f>SUMIFS(KASA!$K:$K, KASA!$C:$C, $C92, KASA!$B:$B, "MAL SATIŞI") + SUMIFS(KASA!$K:$K, KASA!$C:$C, $C92, KASA!$B:$B, "ÜRETİM ÇIKIŞ")</f>
        <v>81</v>
      </c>
      <c r="M92" s="5">
        <f t="shared" si="15"/>
        <v>401.99</v>
      </c>
      <c r="N92" s="5">
        <f t="shared" si="16"/>
        <v>148.29474141935486</v>
      </c>
      <c r="O92" s="65">
        <f t="shared" si="17"/>
        <v>0.58453887648126712</v>
      </c>
      <c r="P92" s="5">
        <f t="shared" si="18"/>
        <v>173.72567333965316</v>
      </c>
      <c r="Q92" s="5">
        <f t="shared" si="19"/>
        <v>-3.9354838709675377E-3</v>
      </c>
      <c r="R92" s="5">
        <f t="shared" si="20"/>
        <v>-0.43147858064513894</v>
      </c>
      <c r="S92" s="5">
        <f t="shared" si="21"/>
        <v>253.26378000000003</v>
      </c>
      <c r="T92">
        <v>0</v>
      </c>
      <c r="U92" s="2">
        <f t="shared" si="22"/>
        <v>-3.9354838709675377E-3</v>
      </c>
      <c r="V92">
        <f>SUMIF(KASA!$C$2:$C$9980, C92, KASA!$T$2:$T$9980)</f>
        <v>0</v>
      </c>
      <c r="W92">
        <f>SUMIF(KASA!$C$2:$C$9980, C92, KASA!$U$2:$U$9980)</f>
        <v>0</v>
      </c>
      <c r="X92" s="2">
        <f t="shared" si="23"/>
        <v>0</v>
      </c>
      <c r="Y92" s="2">
        <f t="shared" si="24"/>
        <v>0</v>
      </c>
      <c r="Z92">
        <f>SUMIF(KASA!$C$2:$C$9980, C92, KASA!$V$2:$V$9980)</f>
        <v>253.29000000000002</v>
      </c>
      <c r="AA92">
        <f t="shared" si="25"/>
        <v>253.29000000000002</v>
      </c>
    </row>
    <row r="93" spans="3:27" x14ac:dyDescent="0.25">
      <c r="C93" s="4" t="s">
        <v>620</v>
      </c>
      <c r="D93" s="5">
        <f>SUMIFS(KASA!$I:$I, KASA!$C:$C, $C93, KASA!$B:$B, "MAL ALIMI") + SUMIFS(KASA!$I:$I, KASA!$C:$C, $C93, KASA!$B:$B, "ÜRETİM GİRİŞ")</f>
        <v>4.34</v>
      </c>
      <c r="E93" s="5" cm="1">
        <f t="array" ref="E93">IFERROR(AVERAGE(IF((KASA!$C$2:$C$9980=$C93)*((KASA!$B$2:$B$9980="MAL ALIMI")+(KASA!$B$2:$B$9980="ÜRETİM GİRİŞ")),KASA!$J$2:$J$9980)),0)</f>
        <v>139.68464424999999</v>
      </c>
      <c r="F93" s="5">
        <f>SUMIFS(KASA!$I:$I, KASA!$C:$C, $C93, KASA!$B:$B, "MAL SATIŞI") + SUMIFS(KASA!$I:$I, KASA!$C:$C, $C93, KASA!$B:$B, "ÜRETİM ÇIKIŞ")</f>
        <v>4.3385128205128209</v>
      </c>
      <c r="G93" s="5">
        <f>SUMIFS(KASA!$I:$I, KASA!$C:$C, $C93, KASA!$B:$B, "MAL İADE")</f>
        <v>0</v>
      </c>
      <c r="H93" s="5">
        <f>SUMIFS(KASA!$K:$K, KASA!$C:$C, $C93, KASA!$B:$B, "MAL İADE") + SUMIFS(KASA!$Q:$Q, KASA!$C:$C, $C93, KASA!$B:$B, "MAL İADE")</f>
        <v>0</v>
      </c>
      <c r="I93" s="5">
        <f t="shared" si="13"/>
        <v>4.3385128205128209</v>
      </c>
      <c r="J93" s="5">
        <f t="shared" si="14"/>
        <v>606.02361990739746</v>
      </c>
      <c r="K93" s="5">
        <f>SUMIFS(KASA!$Q:$Q, KASA!$C:$C, $C93, KASA!$B:$B, "MAL SATIŞI") + SUMIFS(KASA!$Q:$Q, KASA!$C:$C, $C93, KASA!$B:$B, "ÜRETİM ÇIKIŞ")</f>
        <v>410.68000000000006</v>
      </c>
      <c r="L93" s="5">
        <f>SUMIFS(KASA!$K:$K, KASA!$C:$C, $C93, KASA!$B:$B, "MAL SATIŞI") + SUMIFS(KASA!$K:$K, KASA!$C:$C, $C93, KASA!$B:$B, "ÜRETİM ÇIKIŞ")</f>
        <v>361.63</v>
      </c>
      <c r="M93" s="5">
        <f t="shared" si="15"/>
        <v>772.31000000000006</v>
      </c>
      <c r="N93" s="5">
        <f t="shared" si="16"/>
        <v>166.2863800926026</v>
      </c>
      <c r="O93" s="65">
        <f t="shared" si="17"/>
        <v>0.27438927234884303</v>
      </c>
      <c r="P93" s="5">
        <f t="shared" si="18"/>
        <v>178.01261214406449</v>
      </c>
      <c r="Q93" s="5">
        <f t="shared" si="19"/>
        <v>1.4871794871789135E-3</v>
      </c>
      <c r="R93" s="5">
        <f t="shared" si="20"/>
        <v>0.20773613760248394</v>
      </c>
      <c r="S93" s="5">
        <f t="shared" si="21"/>
        <v>606.23135604499998</v>
      </c>
      <c r="T93">
        <v>0</v>
      </c>
      <c r="U93" s="2">
        <f t="shared" si="22"/>
        <v>1.4871794871789135E-3</v>
      </c>
      <c r="V93">
        <f>SUMIF(KASA!$C$2:$C$9980, C93, KASA!$T$2:$T$9980)</f>
        <v>1.4871794871789135E-3</v>
      </c>
      <c r="W93">
        <f>SUMIF(KASA!$C$2:$C$9980, C93, KASA!$U$2:$U$9980)</f>
        <v>0.20801179487171464</v>
      </c>
      <c r="X93" s="2">
        <f t="shared" si="23"/>
        <v>1.4871794871789135E-3</v>
      </c>
      <c r="Y93" s="2">
        <f t="shared" si="24"/>
        <v>0.20801179487171464</v>
      </c>
      <c r="Z93">
        <f>SUMIF(KASA!$C$2:$C$9980, C93, KASA!$V$2:$V$9980)</f>
        <v>606.25699990500004</v>
      </c>
      <c r="AA93">
        <f t="shared" si="25"/>
        <v>606.04898811012833</v>
      </c>
    </row>
    <row r="94" spans="3:27" x14ac:dyDescent="0.25">
      <c r="C94" s="4" t="s">
        <v>713</v>
      </c>
      <c r="D94" s="5">
        <f>SUMIFS(KASA!$I:$I, KASA!$C:$C, $C94, KASA!$B:$B, "MAL ALIMI") + SUMIFS(KASA!$I:$I, KASA!$C:$C, $C94, KASA!$B:$B, "ÜRETİM GİRİŞ")</f>
        <v>3</v>
      </c>
      <c r="E94" s="5" cm="1">
        <f t="array" ref="E94">IFERROR(AVERAGE(IF((KASA!$C$2:$C$9980=$C94)*((KASA!$B$2:$B$9980="MAL ALIMI")+(KASA!$B$2:$B$9980="ÜRETİM GİRİŞ")),KASA!$J$2:$J$9980)),0)</f>
        <v>226.36</v>
      </c>
      <c r="F94" s="5">
        <f>SUMIFS(KASA!$I:$I, KASA!$C:$C, $C94, KASA!$B:$B, "MAL SATIŞI") + SUMIFS(KASA!$I:$I, KASA!$C:$C, $C94, KASA!$B:$B, "ÜRETİM ÇIKIŞ")</f>
        <v>2</v>
      </c>
      <c r="G94" s="5">
        <f>SUMIFS(KASA!$I:$I, KASA!$C:$C, $C94, KASA!$B:$B, "MAL İADE")</f>
        <v>0</v>
      </c>
      <c r="H94" s="5">
        <f>SUMIFS(KASA!$K:$K, KASA!$C:$C, $C94, KASA!$B:$B, "MAL İADE") + SUMIFS(KASA!$Q:$Q, KASA!$C:$C, $C94, KASA!$B:$B, "MAL İADE")</f>
        <v>0</v>
      </c>
      <c r="I94" s="5">
        <f t="shared" si="13"/>
        <v>2</v>
      </c>
      <c r="J94" s="5">
        <f t="shared" si="14"/>
        <v>452.72</v>
      </c>
      <c r="K94" s="5">
        <f>SUMIFS(KASA!$Q:$Q, KASA!$C:$C, $C94, KASA!$B:$B, "MAL SATIŞI") + SUMIFS(KASA!$Q:$Q, KASA!$C:$C, $C94, KASA!$B:$B, "ÜRETİM ÇIKIŞ")</f>
        <v>620</v>
      </c>
      <c r="L94" s="5">
        <f>SUMIFS(KASA!$K:$K, KASA!$C:$C, $C94, KASA!$B:$B, "MAL SATIŞI") + SUMIFS(KASA!$K:$K, KASA!$C:$C, $C94, KASA!$B:$B, "ÜRETİM ÇIKIŞ")</f>
        <v>0</v>
      </c>
      <c r="M94" s="5">
        <f t="shared" si="15"/>
        <v>620</v>
      </c>
      <c r="N94" s="5">
        <f t="shared" si="16"/>
        <v>167.27999999999997</v>
      </c>
      <c r="O94" s="65">
        <f t="shared" si="17"/>
        <v>0.36949991164516693</v>
      </c>
      <c r="P94" s="5">
        <f t="shared" si="18"/>
        <v>310</v>
      </c>
      <c r="Q94" s="5">
        <f t="shared" si="19"/>
        <v>1</v>
      </c>
      <c r="R94" s="5">
        <f t="shared" si="20"/>
        <v>226.36</v>
      </c>
      <c r="S94" s="5">
        <f t="shared" si="21"/>
        <v>679.08</v>
      </c>
      <c r="T94">
        <v>1</v>
      </c>
      <c r="U94" s="2">
        <f t="shared" si="22"/>
        <v>0</v>
      </c>
      <c r="V94">
        <f>SUMIF(KASA!$C$2:$C$9980, C94, KASA!$T$2:$T$9980)</f>
        <v>1</v>
      </c>
      <c r="W94">
        <f>SUMIF(KASA!$C$2:$C$9980, C94, KASA!$U$2:$U$9980)</f>
        <v>226.36</v>
      </c>
      <c r="X94" s="2">
        <f t="shared" si="23"/>
        <v>1</v>
      </c>
      <c r="Y94" s="2">
        <f t="shared" si="24"/>
        <v>226.36</v>
      </c>
      <c r="Z94">
        <f>SUMIF(KASA!$C$2:$C$9980, C94, KASA!$V$2:$V$9980)</f>
        <v>679.08</v>
      </c>
      <c r="AA94">
        <f t="shared" si="25"/>
        <v>452.72</v>
      </c>
    </row>
    <row r="95" spans="3:27" x14ac:dyDescent="0.25">
      <c r="C95" s="4" t="s">
        <v>714</v>
      </c>
      <c r="D95" s="5">
        <f>SUMIFS(KASA!$I:$I, KASA!$C:$C, $C95, KASA!$B:$B, "MAL ALIMI") + SUMIFS(KASA!$I:$I, KASA!$C:$C, $C95, KASA!$B:$B, "ÜRETİM GİRİŞ")</f>
        <v>4</v>
      </c>
      <c r="E95" s="5" cm="1">
        <f t="array" ref="E95">IFERROR(AVERAGE(IF((KASA!$C$2:$C$9980=$C95)*((KASA!$B$2:$B$9980="MAL ALIMI")+(KASA!$B$2:$B$9980="ÜRETİM GİRİŞ")),KASA!$J$2:$J$9980)),0)</f>
        <v>158.38</v>
      </c>
      <c r="F95" s="5">
        <f>SUMIFS(KASA!$I:$I, KASA!$C:$C, $C95, KASA!$B:$B, "MAL SATIŞI") + SUMIFS(KASA!$I:$I, KASA!$C:$C, $C95, KASA!$B:$B, "ÜRETİM ÇIKIŞ")</f>
        <v>2</v>
      </c>
      <c r="G95" s="5">
        <f>SUMIFS(KASA!$I:$I, KASA!$C:$C, $C95, KASA!$B:$B, "MAL İADE")</f>
        <v>0</v>
      </c>
      <c r="H95" s="5">
        <f>SUMIFS(KASA!$K:$K, KASA!$C:$C, $C95, KASA!$B:$B, "MAL İADE") + SUMIFS(KASA!$Q:$Q, KASA!$C:$C, $C95, KASA!$B:$B, "MAL İADE")</f>
        <v>0</v>
      </c>
      <c r="I95" s="5">
        <f t="shared" si="13"/>
        <v>2</v>
      </c>
      <c r="J95" s="5">
        <f t="shared" si="14"/>
        <v>316.76</v>
      </c>
      <c r="K95" s="5">
        <f>SUMIFS(KASA!$Q:$Q, KASA!$C:$C, $C95, KASA!$B:$B, "MAL SATIŞI") + SUMIFS(KASA!$Q:$Q, KASA!$C:$C, $C95, KASA!$B:$B, "ÜRETİM ÇIKIŞ")</f>
        <v>460</v>
      </c>
      <c r="L95" s="5">
        <f>SUMIFS(KASA!$K:$K, KASA!$C:$C, $C95, KASA!$B:$B, "MAL SATIŞI") + SUMIFS(KASA!$K:$K, KASA!$C:$C, $C95, KASA!$B:$B, "ÜRETİM ÇIKIŞ")</f>
        <v>0</v>
      </c>
      <c r="M95" s="5">
        <f t="shared" si="15"/>
        <v>460</v>
      </c>
      <c r="N95" s="5">
        <f t="shared" si="16"/>
        <v>143.24</v>
      </c>
      <c r="O95" s="65">
        <f t="shared" si="17"/>
        <v>0.45220356105568887</v>
      </c>
      <c r="P95" s="5">
        <f t="shared" si="18"/>
        <v>230</v>
      </c>
      <c r="Q95" s="5">
        <f t="shared" si="19"/>
        <v>2</v>
      </c>
      <c r="R95" s="5">
        <f t="shared" si="20"/>
        <v>316.76</v>
      </c>
      <c r="S95" s="5">
        <f t="shared" si="21"/>
        <v>633.52</v>
      </c>
      <c r="T95">
        <v>3</v>
      </c>
      <c r="U95" s="2">
        <f t="shared" si="22"/>
        <v>-1</v>
      </c>
      <c r="V95">
        <f>SUMIF(KASA!$C$2:$C$9980, C95, KASA!$T$2:$T$9980)</f>
        <v>2</v>
      </c>
      <c r="W95">
        <f>SUMIF(KASA!$C$2:$C$9980, C95, KASA!$U$2:$U$9980)</f>
        <v>316.76</v>
      </c>
      <c r="X95" s="2">
        <f t="shared" si="23"/>
        <v>2</v>
      </c>
      <c r="Y95" s="2">
        <f t="shared" si="24"/>
        <v>316.76</v>
      </c>
      <c r="Z95">
        <f>SUMIF(KASA!$C$2:$C$9980, C95, KASA!$V$2:$V$9980)</f>
        <v>633.52</v>
      </c>
      <c r="AA95">
        <f t="shared" si="25"/>
        <v>316.76</v>
      </c>
    </row>
    <row r="96" spans="3:27" x14ac:dyDescent="0.25">
      <c r="C96" s="4" t="s">
        <v>715</v>
      </c>
      <c r="D96" s="5">
        <f>SUMIFS(KASA!$I:$I, KASA!$C:$C, $C96, KASA!$B:$B, "MAL ALIMI") + SUMIFS(KASA!$I:$I, KASA!$C:$C, $C96, KASA!$B:$B, "ÜRETİM GİRİŞ")</f>
        <v>3</v>
      </c>
      <c r="E96" s="5" cm="1">
        <f t="array" ref="E96">IFERROR(AVERAGE(IF((KASA!$C$2:$C$9980=$C96)*((KASA!$B$2:$B$9980="MAL ALIMI")+(KASA!$B$2:$B$9980="ÜRETİM GİRİŞ")),KASA!$J$2:$J$9980)),0)</f>
        <v>248.91</v>
      </c>
      <c r="F96" s="5">
        <f>SUMIFS(KASA!$I:$I, KASA!$C:$C, $C96, KASA!$B:$B, "MAL SATIŞI") + SUMIFS(KASA!$I:$I, KASA!$C:$C, $C96, KASA!$B:$B, "ÜRETİM ÇIKIŞ")</f>
        <v>3</v>
      </c>
      <c r="G96" s="5">
        <f>SUMIFS(KASA!$I:$I, KASA!$C:$C, $C96, KASA!$B:$B, "MAL İADE")</f>
        <v>0</v>
      </c>
      <c r="H96" s="5">
        <f>SUMIFS(KASA!$K:$K, KASA!$C:$C, $C96, KASA!$B:$B, "MAL İADE") + SUMIFS(KASA!$Q:$Q, KASA!$C:$C, $C96, KASA!$B:$B, "MAL İADE")</f>
        <v>0</v>
      </c>
      <c r="I96" s="5">
        <f t="shared" si="13"/>
        <v>3</v>
      </c>
      <c r="J96" s="5">
        <f t="shared" si="14"/>
        <v>746.73</v>
      </c>
      <c r="K96" s="5">
        <f>SUMIFS(KASA!$Q:$Q, KASA!$C:$C, $C96, KASA!$B:$B, "MAL SATIŞI") + SUMIFS(KASA!$Q:$Q, KASA!$C:$C, $C96, KASA!$B:$B, "ÜRETİM ÇIKIŞ")</f>
        <v>350</v>
      </c>
      <c r="L96" s="5">
        <f>SUMIFS(KASA!$K:$K, KASA!$C:$C, $C96, KASA!$B:$B, "MAL SATIŞI") + SUMIFS(KASA!$K:$K, KASA!$C:$C, $C96, KASA!$B:$B, "ÜRETİM ÇIKIŞ")</f>
        <v>800</v>
      </c>
      <c r="M96" s="5">
        <f t="shared" si="15"/>
        <v>1150</v>
      </c>
      <c r="N96" s="5">
        <f t="shared" si="16"/>
        <v>403.27</v>
      </c>
      <c r="O96" s="65">
        <f t="shared" si="17"/>
        <v>0.5400479423620318</v>
      </c>
      <c r="P96" s="5">
        <f t="shared" si="18"/>
        <v>383.33333333333331</v>
      </c>
      <c r="Q96" s="5">
        <f t="shared" si="19"/>
        <v>0</v>
      </c>
      <c r="R96" s="5">
        <f t="shared" si="20"/>
        <v>0</v>
      </c>
      <c r="S96" s="5">
        <f t="shared" si="21"/>
        <v>746.73</v>
      </c>
      <c r="T96">
        <v>2</v>
      </c>
      <c r="U96" s="2">
        <f t="shared" si="22"/>
        <v>-2</v>
      </c>
      <c r="V96">
        <f>SUMIF(KASA!$C$2:$C$9980, C96, KASA!$T$2:$T$9980)</f>
        <v>0</v>
      </c>
      <c r="W96">
        <f>SUMIF(KASA!$C$2:$C$9980, C96, KASA!$U$2:$U$9980)</f>
        <v>0</v>
      </c>
      <c r="X96" s="2">
        <f t="shared" si="23"/>
        <v>0</v>
      </c>
      <c r="Y96" s="2">
        <f t="shared" si="24"/>
        <v>0</v>
      </c>
      <c r="Z96">
        <f>SUMIF(KASA!$C$2:$C$9980, C96, KASA!$V$2:$V$9980)</f>
        <v>746.73</v>
      </c>
      <c r="AA96">
        <f t="shared" si="25"/>
        <v>746.73</v>
      </c>
    </row>
    <row r="97" spans="3:27" x14ac:dyDescent="0.25">
      <c r="C97" s="4" t="s">
        <v>716</v>
      </c>
      <c r="D97" s="5">
        <f>SUMIFS(KASA!$I:$I, KASA!$C:$C, $C97, KASA!$B:$B, "MAL ALIMI") + SUMIFS(KASA!$I:$I, KASA!$C:$C, $C97, KASA!$B:$B, "ÜRETİM GİRİŞ")</f>
        <v>6</v>
      </c>
      <c r="E97" s="5" cm="1">
        <f t="array" ref="E97">IFERROR(AVERAGE(IF((KASA!$C$2:$C$9980=$C97)*((KASA!$B$2:$B$9980="MAL ALIMI")+(KASA!$B$2:$B$9980="ÜRETİM GİRİŞ")),KASA!$J$2:$J$9980)),0)</f>
        <v>144.16999999999999</v>
      </c>
      <c r="F97" s="5">
        <f>SUMIFS(KASA!$I:$I, KASA!$C:$C, $C97, KASA!$B:$B, "MAL SATIŞI") + SUMIFS(KASA!$I:$I, KASA!$C:$C, $C97, KASA!$B:$B, "ÜRETİM ÇIKIŞ")</f>
        <v>3</v>
      </c>
      <c r="G97" s="5">
        <f>SUMIFS(KASA!$I:$I, KASA!$C:$C, $C97, KASA!$B:$B, "MAL İADE")</f>
        <v>0</v>
      </c>
      <c r="H97" s="5">
        <f>SUMIFS(KASA!$K:$K, KASA!$C:$C, $C97, KASA!$B:$B, "MAL İADE") + SUMIFS(KASA!$Q:$Q, KASA!$C:$C, $C97, KASA!$B:$B, "MAL İADE")</f>
        <v>0</v>
      </c>
      <c r="I97" s="5">
        <f t="shared" si="13"/>
        <v>3</v>
      </c>
      <c r="J97" s="5">
        <f t="shared" si="14"/>
        <v>432.51</v>
      </c>
      <c r="K97" s="5">
        <f>SUMIFS(KASA!$Q:$Q, KASA!$C:$C, $C97, KASA!$B:$B, "MAL SATIŞI") + SUMIFS(KASA!$Q:$Q, KASA!$C:$C, $C97, KASA!$B:$B, "ÜRETİM ÇIKIŞ")</f>
        <v>280</v>
      </c>
      <c r="L97" s="5">
        <f>SUMIFS(KASA!$K:$K, KASA!$C:$C, $C97, KASA!$B:$B, "MAL SATIŞI") + SUMIFS(KASA!$K:$K, KASA!$C:$C, $C97, KASA!$B:$B, "ÜRETİM ÇIKIŞ")</f>
        <v>560</v>
      </c>
      <c r="M97" s="5">
        <f t="shared" si="15"/>
        <v>840</v>
      </c>
      <c r="N97" s="5">
        <f t="shared" si="16"/>
        <v>407.49</v>
      </c>
      <c r="O97" s="65">
        <f t="shared" si="17"/>
        <v>0.94215162655198725</v>
      </c>
      <c r="P97" s="5">
        <f t="shared" si="18"/>
        <v>280</v>
      </c>
      <c r="Q97" s="5">
        <f t="shared" si="19"/>
        <v>3</v>
      </c>
      <c r="R97" s="5">
        <f t="shared" si="20"/>
        <v>432.51</v>
      </c>
      <c r="S97" s="5">
        <f t="shared" si="21"/>
        <v>865.02</v>
      </c>
      <c r="T97">
        <v>3</v>
      </c>
      <c r="U97" s="2">
        <f t="shared" si="22"/>
        <v>0</v>
      </c>
      <c r="V97">
        <f>SUMIF(KASA!$C$2:$C$9980, C97, KASA!$T$2:$T$9980)</f>
        <v>3</v>
      </c>
      <c r="W97">
        <f>SUMIF(KASA!$C$2:$C$9980, C97, KASA!$U$2:$U$9980)</f>
        <v>432.51</v>
      </c>
      <c r="X97" s="2">
        <f t="shared" si="23"/>
        <v>3</v>
      </c>
      <c r="Y97" s="2">
        <f t="shared" si="24"/>
        <v>432.51</v>
      </c>
      <c r="Z97">
        <f>SUMIF(KASA!$C$2:$C$9980, C97, KASA!$V$2:$V$9980)</f>
        <v>865.02</v>
      </c>
      <c r="AA97">
        <f t="shared" si="25"/>
        <v>432.51</v>
      </c>
    </row>
    <row r="98" spans="3:27" x14ac:dyDescent="0.25">
      <c r="C98" s="4" t="s">
        <v>717</v>
      </c>
      <c r="D98" s="5">
        <f>SUMIFS(KASA!$I:$I, KASA!$C:$C, $C98, KASA!$B:$B, "MAL ALIMI") + SUMIFS(KASA!$I:$I, KASA!$C:$C, $C98, KASA!$B:$B, "ÜRETİM GİRİŞ")</f>
        <v>6</v>
      </c>
      <c r="E98" s="5" cm="1">
        <f t="array" ref="E98">IFERROR(AVERAGE(IF((KASA!$C$2:$C$9980=$C98)*((KASA!$B$2:$B$9980="MAL ALIMI")+(KASA!$B$2:$B$9980="ÜRETİM GİRİŞ")),KASA!$J$2:$J$9980)),0)</f>
        <v>235.05500000000001</v>
      </c>
      <c r="F98" s="5">
        <f>SUMIFS(KASA!$I:$I, KASA!$C:$C, $C98, KASA!$B:$B, "MAL SATIŞI") + SUMIFS(KASA!$I:$I, KASA!$C:$C, $C98, KASA!$B:$B, "ÜRETİM ÇIKIŞ")</f>
        <v>4</v>
      </c>
      <c r="G98" s="5">
        <f>SUMIFS(KASA!$I:$I, KASA!$C:$C, $C98, KASA!$B:$B, "MAL İADE")</f>
        <v>0</v>
      </c>
      <c r="H98" s="5">
        <f>SUMIFS(KASA!$K:$K, KASA!$C:$C, $C98, KASA!$B:$B, "MAL İADE") + SUMIFS(KASA!$Q:$Q, KASA!$C:$C, $C98, KASA!$B:$B, "MAL İADE")</f>
        <v>0</v>
      </c>
      <c r="I98" s="5">
        <f t="shared" si="13"/>
        <v>4</v>
      </c>
      <c r="J98" s="5">
        <f t="shared" si="14"/>
        <v>940.22</v>
      </c>
      <c r="K98" s="5">
        <f>SUMIFS(KASA!$Q:$Q, KASA!$C:$C, $C98, KASA!$B:$B, "MAL SATIŞI") + SUMIFS(KASA!$Q:$Q, KASA!$C:$C, $C98, KASA!$B:$B, "ÜRETİM ÇIKIŞ")</f>
        <v>1100</v>
      </c>
      <c r="L98" s="5">
        <f>SUMIFS(KASA!$K:$K, KASA!$C:$C, $C98, KASA!$B:$B, "MAL SATIŞI") + SUMIFS(KASA!$K:$K, KASA!$C:$C, $C98, KASA!$B:$B, "ÜRETİM ÇIKIŞ")</f>
        <v>350</v>
      </c>
      <c r="M98" s="5">
        <f t="shared" si="15"/>
        <v>1450</v>
      </c>
      <c r="N98" s="5">
        <f t="shared" si="16"/>
        <v>509.78</v>
      </c>
      <c r="O98" s="65">
        <f t="shared" si="17"/>
        <v>0.54219225287698625</v>
      </c>
      <c r="P98" s="5">
        <f t="shared" si="18"/>
        <v>362.5</v>
      </c>
      <c r="Q98" s="5">
        <f t="shared" si="19"/>
        <v>2</v>
      </c>
      <c r="R98" s="5">
        <f t="shared" si="20"/>
        <v>470.11</v>
      </c>
      <c r="S98" s="5">
        <f t="shared" si="21"/>
        <v>1410.33</v>
      </c>
      <c r="T98">
        <v>4</v>
      </c>
      <c r="U98" s="2">
        <f t="shared" si="22"/>
        <v>-2</v>
      </c>
      <c r="V98">
        <f>SUMIF(KASA!$C$2:$C$9980, C98, KASA!$T$2:$T$9980)</f>
        <v>2</v>
      </c>
      <c r="W98">
        <f>SUMIF(KASA!$C$2:$C$9980, C98, KASA!$U$2:$U$9980)</f>
        <v>474.88</v>
      </c>
      <c r="X98" s="2">
        <f t="shared" si="23"/>
        <v>2</v>
      </c>
      <c r="Y98" s="2">
        <f t="shared" si="24"/>
        <v>474.88</v>
      </c>
      <c r="Z98">
        <f>SUMIF(KASA!$C$2:$C$9980, C98, KASA!$V$2:$V$9980)</f>
        <v>1410.33</v>
      </c>
      <c r="AA98">
        <f t="shared" si="25"/>
        <v>935.44999999999993</v>
      </c>
    </row>
    <row r="99" spans="3:27" x14ac:dyDescent="0.25">
      <c r="C99" s="4" t="s">
        <v>720</v>
      </c>
      <c r="D99" s="5">
        <f>SUMIFS(KASA!$I:$I, KASA!$C:$C, $C99, KASA!$B:$B, "MAL ALIMI") + SUMIFS(KASA!$I:$I, KASA!$C:$C, $C99, KASA!$B:$B, "ÜRETİM GİRİŞ")</f>
        <v>3</v>
      </c>
      <c r="E99" s="5" cm="1">
        <f t="array" ref="E99">IFERROR(AVERAGE(IF((KASA!$C$2:$C$9980=$C99)*((KASA!$B$2:$B$9980="MAL ALIMI")+(KASA!$B$2:$B$9980="ÜRETİM GİRİŞ")),KASA!$J$2:$J$9980)),0)</f>
        <v>141.02000000000001</v>
      </c>
      <c r="F99" s="5">
        <f>SUMIFS(KASA!$I:$I, KASA!$C:$C, $C99, KASA!$B:$B, "MAL SATIŞI") + SUMIFS(KASA!$I:$I, KASA!$C:$C, $C99, KASA!$B:$B, "ÜRETİM ÇIKIŞ")</f>
        <v>1</v>
      </c>
      <c r="G99" s="5">
        <f>SUMIFS(KASA!$I:$I, KASA!$C:$C, $C99, KASA!$B:$B, "MAL İADE")</f>
        <v>0</v>
      </c>
      <c r="H99" s="5">
        <f>SUMIFS(KASA!$K:$K, KASA!$C:$C, $C99, KASA!$B:$B, "MAL İADE") + SUMIFS(KASA!$Q:$Q, KASA!$C:$C, $C99, KASA!$B:$B, "MAL İADE")</f>
        <v>0</v>
      </c>
      <c r="I99" s="5">
        <f t="shared" si="13"/>
        <v>1</v>
      </c>
      <c r="J99" s="5">
        <f t="shared" si="14"/>
        <v>141.02000000000001</v>
      </c>
      <c r="K99" s="5">
        <f>SUMIFS(KASA!$Q:$Q, KASA!$C:$C, $C99, KASA!$B:$B, "MAL SATIŞI") + SUMIFS(KASA!$Q:$Q, KASA!$C:$C, $C99, KASA!$B:$B, "ÜRETİM ÇIKIŞ")</f>
        <v>0</v>
      </c>
      <c r="L99" s="5">
        <f>SUMIFS(KASA!$K:$K, KASA!$C:$C, $C99, KASA!$B:$B, "MAL SATIŞI") + SUMIFS(KASA!$K:$K, KASA!$C:$C, $C99, KASA!$B:$B, "ÜRETİM ÇIKIŞ")</f>
        <v>240</v>
      </c>
      <c r="M99" s="5">
        <f t="shared" si="15"/>
        <v>240</v>
      </c>
      <c r="N99" s="5">
        <f t="shared" si="16"/>
        <v>98.97999999999999</v>
      </c>
      <c r="O99" s="65">
        <f t="shared" si="17"/>
        <v>0.70188625726847242</v>
      </c>
      <c r="P99" s="5">
        <f t="shared" si="18"/>
        <v>240</v>
      </c>
      <c r="Q99" s="5">
        <f t="shared" si="19"/>
        <v>2</v>
      </c>
      <c r="R99" s="5">
        <f t="shared" si="20"/>
        <v>282.04000000000002</v>
      </c>
      <c r="S99" s="5">
        <f t="shared" si="21"/>
        <v>423.06000000000006</v>
      </c>
      <c r="T99">
        <v>3</v>
      </c>
      <c r="U99" s="2">
        <f t="shared" si="22"/>
        <v>-1</v>
      </c>
      <c r="V99">
        <f>SUMIF(KASA!$C$2:$C$9980, C99, KASA!$T$2:$T$9980)</f>
        <v>2</v>
      </c>
      <c r="W99">
        <f>SUMIF(KASA!$C$2:$C$9980, C99, KASA!$U$2:$U$9980)</f>
        <v>282.04000000000002</v>
      </c>
      <c r="X99" s="2">
        <f t="shared" si="23"/>
        <v>2</v>
      </c>
      <c r="Y99" s="2">
        <f t="shared" si="24"/>
        <v>282.04000000000002</v>
      </c>
      <c r="Z99">
        <f>SUMIF(KASA!$C$2:$C$9980, C99, KASA!$V$2:$V$9980)</f>
        <v>423.06000000000006</v>
      </c>
      <c r="AA99">
        <f t="shared" si="25"/>
        <v>141.02000000000004</v>
      </c>
    </row>
    <row r="100" spans="3:27" x14ac:dyDescent="0.25">
      <c r="C100" s="4" t="s">
        <v>718</v>
      </c>
      <c r="D100" s="5">
        <f>SUMIFS(KASA!$I:$I, KASA!$C:$C, $C100, KASA!$B:$B, "MAL ALIMI") + SUMIFS(KASA!$I:$I, KASA!$C:$C, $C100, KASA!$B:$B, "ÜRETİM GİRİŞ")</f>
        <v>3</v>
      </c>
      <c r="E100" s="5" cm="1">
        <f t="array" ref="E100">IFERROR(AVERAGE(IF((KASA!$C$2:$C$9980=$C100)*((KASA!$B$2:$B$9980="MAL ALIMI")+(KASA!$B$2:$B$9980="ÜRETİM GİRİŞ")),KASA!$J$2:$J$9980)),0)</f>
        <v>56.696666666666665</v>
      </c>
      <c r="F100" s="5">
        <f>SUMIFS(KASA!$I:$I, KASA!$C:$C, $C100, KASA!$B:$B, "MAL SATIŞI") + SUMIFS(KASA!$I:$I, KASA!$C:$C, $C100, KASA!$B:$B, "ÜRETİM ÇIKIŞ")</f>
        <v>1</v>
      </c>
      <c r="G100" s="5">
        <f>SUMIFS(KASA!$I:$I, KASA!$C:$C, $C100, KASA!$B:$B, "MAL İADE")</f>
        <v>0</v>
      </c>
      <c r="H100" s="5">
        <f>SUMIFS(KASA!$K:$K, KASA!$C:$C, $C100, KASA!$B:$B, "MAL İADE") + SUMIFS(KASA!$Q:$Q, KASA!$C:$C, $C100, KASA!$B:$B, "MAL İADE")</f>
        <v>0</v>
      </c>
      <c r="I100" s="5">
        <f t="shared" si="13"/>
        <v>1</v>
      </c>
      <c r="J100" s="5">
        <f t="shared" si="14"/>
        <v>56.696666666666665</v>
      </c>
      <c r="K100" s="5">
        <f>SUMIFS(KASA!$Q:$Q, KASA!$C:$C, $C100, KASA!$B:$B, "MAL SATIŞI") + SUMIFS(KASA!$Q:$Q, KASA!$C:$C, $C100, KASA!$B:$B, "ÜRETİM ÇIKIŞ")</f>
        <v>0</v>
      </c>
      <c r="L100" s="5">
        <f>SUMIFS(KASA!$K:$K, KASA!$C:$C, $C100, KASA!$B:$B, "MAL SATIŞI") + SUMIFS(KASA!$K:$K, KASA!$C:$C, $C100, KASA!$B:$B, "ÜRETİM ÇIKIŞ")</f>
        <v>95</v>
      </c>
      <c r="M100" s="5">
        <f t="shared" si="15"/>
        <v>95</v>
      </c>
      <c r="N100" s="5">
        <f t="shared" si="16"/>
        <v>38.303333333333335</v>
      </c>
      <c r="O100" s="65">
        <f t="shared" si="17"/>
        <v>0.67558351460991239</v>
      </c>
      <c r="P100" s="5">
        <f t="shared" si="18"/>
        <v>95</v>
      </c>
      <c r="Q100" s="5">
        <f t="shared" si="19"/>
        <v>2</v>
      </c>
      <c r="R100" s="5">
        <f t="shared" si="20"/>
        <v>113.39333333333333</v>
      </c>
      <c r="S100" s="5">
        <f t="shared" si="21"/>
        <v>170.09</v>
      </c>
      <c r="T100">
        <v>2</v>
      </c>
      <c r="U100" s="2">
        <f t="shared" si="22"/>
        <v>0</v>
      </c>
      <c r="V100">
        <f>SUMIF(KASA!$C$2:$C$9980, C100, KASA!$T$2:$T$9980)</f>
        <v>2</v>
      </c>
      <c r="W100">
        <f>SUMIF(KASA!$C$2:$C$9980, C100, KASA!$U$2:$U$9980)</f>
        <v>113.39333333333333</v>
      </c>
      <c r="X100" s="2">
        <f t="shared" si="23"/>
        <v>2</v>
      </c>
      <c r="Y100" s="2">
        <f t="shared" si="24"/>
        <v>113.39333333333333</v>
      </c>
      <c r="Z100">
        <f>SUMIF(KASA!$C$2:$C$9980, C100, KASA!$V$2:$V$9980)</f>
        <v>170.09</v>
      </c>
      <c r="AA100">
        <f t="shared" si="25"/>
        <v>56.696666666666673</v>
      </c>
    </row>
    <row r="101" spans="3:27" x14ac:dyDescent="0.25">
      <c r="C101" s="4" t="s">
        <v>719</v>
      </c>
      <c r="D101" s="5">
        <f>SUMIFS(KASA!$I:$I, KASA!$C:$C, $C101, KASA!$B:$B, "MAL ALIMI") + SUMIFS(KASA!$I:$I, KASA!$C:$C, $C101, KASA!$B:$B, "ÜRETİM GİRİŞ")</f>
        <v>2</v>
      </c>
      <c r="E101" s="5" cm="1">
        <f t="array" ref="E101">IFERROR(AVERAGE(IF((KASA!$C$2:$C$9980=$C101)*((KASA!$B$2:$B$9980="MAL ALIMI")+(KASA!$B$2:$B$9980="ÜRETİM GİRİŞ")),KASA!$J$2:$J$9980)),0)</f>
        <v>170.97</v>
      </c>
      <c r="F101" s="5">
        <f>SUMIFS(KASA!$I:$I, KASA!$C:$C, $C101, KASA!$B:$B, "MAL SATIŞI") + SUMIFS(KASA!$I:$I, KASA!$C:$C, $C101, KASA!$B:$B, "ÜRETİM ÇIKIŞ")</f>
        <v>2</v>
      </c>
      <c r="G101" s="5">
        <f>SUMIFS(KASA!$I:$I, KASA!$C:$C, $C101, KASA!$B:$B, "MAL İADE")</f>
        <v>0</v>
      </c>
      <c r="H101" s="5">
        <f>SUMIFS(KASA!$K:$K, KASA!$C:$C, $C101, KASA!$B:$B, "MAL İADE") + SUMIFS(KASA!$Q:$Q, KASA!$C:$C, $C101, KASA!$B:$B, "MAL İADE")</f>
        <v>0</v>
      </c>
      <c r="I101" s="5">
        <f t="shared" si="13"/>
        <v>2</v>
      </c>
      <c r="J101" s="5">
        <f t="shared" si="14"/>
        <v>341.94</v>
      </c>
      <c r="K101" s="5">
        <f>SUMIFS(KASA!$Q:$Q, KASA!$C:$C, $C101, KASA!$B:$B, "MAL SATIŞI") + SUMIFS(KASA!$Q:$Q, KASA!$C:$C, $C101, KASA!$B:$B, "ÜRETİM ÇIKIŞ")</f>
        <v>250</v>
      </c>
      <c r="L101" s="5">
        <f>SUMIFS(KASA!$K:$K, KASA!$C:$C, $C101, KASA!$B:$B, "MAL SATIŞI") + SUMIFS(KASA!$K:$K, KASA!$C:$C, $C101, KASA!$B:$B, "ÜRETİM ÇIKIŞ")</f>
        <v>255</v>
      </c>
      <c r="M101" s="5">
        <f t="shared" si="15"/>
        <v>505</v>
      </c>
      <c r="N101" s="5">
        <f t="shared" si="16"/>
        <v>163.06</v>
      </c>
      <c r="O101" s="65">
        <f t="shared" si="17"/>
        <v>0.47686728665847811</v>
      </c>
      <c r="P101" s="5">
        <f t="shared" si="18"/>
        <v>252.5</v>
      </c>
      <c r="Q101" s="5">
        <f t="shared" si="19"/>
        <v>0</v>
      </c>
      <c r="R101" s="5">
        <f t="shared" si="20"/>
        <v>0</v>
      </c>
      <c r="S101" s="5">
        <f t="shared" si="21"/>
        <v>341.94</v>
      </c>
      <c r="T101">
        <v>1</v>
      </c>
      <c r="U101" s="2">
        <f t="shared" si="22"/>
        <v>-1</v>
      </c>
      <c r="V101">
        <f>SUMIF(KASA!$C$2:$C$9980, C101, KASA!$T$2:$T$9980)</f>
        <v>0</v>
      </c>
      <c r="W101">
        <f>SUMIF(KASA!$C$2:$C$9980, C101, KASA!$U$2:$U$9980)</f>
        <v>0</v>
      </c>
      <c r="X101" s="2">
        <f t="shared" si="23"/>
        <v>0</v>
      </c>
      <c r="Y101" s="2">
        <f t="shared" si="24"/>
        <v>0</v>
      </c>
      <c r="Z101">
        <f>SUMIF(KASA!$C$2:$C$9980, C101, KASA!$V$2:$V$9980)</f>
        <v>341.94</v>
      </c>
      <c r="AA101">
        <f t="shared" si="25"/>
        <v>341.94</v>
      </c>
    </row>
    <row r="102" spans="3:27" x14ac:dyDescent="0.25">
      <c r="C102" s="4" t="s">
        <v>722</v>
      </c>
      <c r="D102" s="5">
        <f>SUMIFS(KASA!$I:$I, KASA!$C:$C, $C102, KASA!$B:$B, "MAL ALIMI") + SUMIFS(KASA!$I:$I, KASA!$C:$C, $C102, KASA!$B:$B, "ÜRETİM GİRİŞ")</f>
        <v>6</v>
      </c>
      <c r="E102" s="5" cm="1">
        <f t="array" ref="E102">IFERROR(AVERAGE(IF((KASA!$C$2:$C$9980=$C102)*((KASA!$B$2:$B$9980="MAL ALIMI")+(KASA!$B$2:$B$9980="ÜRETİM GİRİŞ")),KASA!$J$2:$J$9980)),0)</f>
        <v>233.80999999999997</v>
      </c>
      <c r="F102" s="5">
        <f>SUMIFS(KASA!$I:$I, KASA!$C:$C, $C102, KASA!$B:$B, "MAL SATIŞI") + SUMIFS(KASA!$I:$I, KASA!$C:$C, $C102, KASA!$B:$B, "ÜRETİM ÇIKIŞ")</f>
        <v>6</v>
      </c>
      <c r="G102" s="5">
        <f>SUMIFS(KASA!$I:$I, KASA!$C:$C, $C102, KASA!$B:$B, "MAL İADE")</f>
        <v>0</v>
      </c>
      <c r="H102" s="5">
        <f>SUMIFS(KASA!$K:$K, KASA!$C:$C, $C102, KASA!$B:$B, "MAL İADE") + SUMIFS(KASA!$Q:$Q, KASA!$C:$C, $C102, KASA!$B:$B, "MAL İADE")</f>
        <v>0</v>
      </c>
      <c r="I102" s="5">
        <f t="shared" si="13"/>
        <v>6</v>
      </c>
      <c r="J102" s="5">
        <f t="shared" si="14"/>
        <v>1402.86</v>
      </c>
      <c r="K102" s="5">
        <f>SUMIFS(KASA!$Q:$Q, KASA!$C:$C, $C102, KASA!$B:$B, "MAL SATIŞI") + SUMIFS(KASA!$Q:$Q, KASA!$C:$C, $C102, KASA!$B:$B, "ÜRETİM ÇIKIŞ")</f>
        <v>1925</v>
      </c>
      <c r="L102" s="5">
        <f>SUMIFS(KASA!$K:$K, KASA!$C:$C, $C102, KASA!$B:$B, "MAL SATIŞI") + SUMIFS(KASA!$K:$K, KASA!$C:$C, $C102, KASA!$B:$B, "ÜRETİM ÇIKIŞ")</f>
        <v>270</v>
      </c>
      <c r="M102" s="5">
        <f t="shared" si="15"/>
        <v>2195</v>
      </c>
      <c r="N102" s="5">
        <f t="shared" si="16"/>
        <v>792.1400000000001</v>
      </c>
      <c r="O102" s="65">
        <f t="shared" si="17"/>
        <v>0.56466076443836177</v>
      </c>
      <c r="P102" s="5">
        <f t="shared" si="18"/>
        <v>365.83333333333331</v>
      </c>
      <c r="Q102" s="5">
        <f t="shared" si="19"/>
        <v>0</v>
      </c>
      <c r="R102" s="5">
        <f t="shared" si="20"/>
        <v>0</v>
      </c>
      <c r="S102" s="5">
        <f t="shared" si="21"/>
        <v>1402.86</v>
      </c>
      <c r="T102">
        <v>4</v>
      </c>
      <c r="U102" s="2">
        <f t="shared" si="22"/>
        <v>-4</v>
      </c>
      <c r="V102">
        <f>SUMIF(KASA!$C$2:$C$9980, C102, KASA!$T$2:$T$9980)</f>
        <v>0</v>
      </c>
      <c r="W102">
        <f>SUMIF(KASA!$C$2:$C$9980, C102, KASA!$U$2:$U$9980)</f>
        <v>0</v>
      </c>
      <c r="X102" s="2">
        <f t="shared" si="23"/>
        <v>0</v>
      </c>
      <c r="Y102" s="2">
        <f t="shared" si="24"/>
        <v>0</v>
      </c>
      <c r="Z102">
        <f>SUMIF(KASA!$C$2:$C$9980, C102, KASA!$V$2:$V$9980)</f>
        <v>1402.86</v>
      </c>
      <c r="AA102">
        <f t="shared" si="25"/>
        <v>1402.86</v>
      </c>
    </row>
    <row r="103" spans="3:27" x14ac:dyDescent="0.25">
      <c r="C103" s="4" t="s">
        <v>728</v>
      </c>
      <c r="D103" s="5">
        <f>SUMIFS(KASA!$I:$I, KASA!$C:$C, $C103, KASA!$B:$B, "MAL ALIMI") + SUMIFS(KASA!$I:$I, KASA!$C:$C, $C103, KASA!$B:$B, "ÜRETİM GİRİŞ")</f>
        <v>28.564999999999998</v>
      </c>
      <c r="E103" s="5" cm="1">
        <f t="array" ref="E103">IFERROR(AVERAGE(IF((KASA!$C$2:$C$9980=$C103)*((KASA!$B$2:$B$9980="MAL ALIMI")+(KASA!$B$2:$B$9980="ÜRETİM GİRİŞ")),KASA!$J$2:$J$9980)),0)</f>
        <v>478.54499120000003</v>
      </c>
      <c r="F103" s="5">
        <f>SUMIFS(KASA!$I:$I, KASA!$C:$C, $C103, KASA!$B:$B, "MAL SATIŞI") + SUMIFS(KASA!$I:$I, KASA!$C:$C, $C103, KASA!$B:$B, "ÜRETİM ÇIKIŞ")</f>
        <v>28.071972129319953</v>
      </c>
      <c r="G103" s="5">
        <f>SUMIFS(KASA!$I:$I, KASA!$C:$C, $C103, KASA!$B:$B, "MAL İADE")</f>
        <v>0</v>
      </c>
      <c r="H103" s="5">
        <f>SUMIFS(KASA!$K:$K, KASA!$C:$C, $C103, KASA!$B:$B, "MAL İADE") + SUMIFS(KASA!$Q:$Q, KASA!$C:$C, $C103, KASA!$B:$B, "MAL İADE")</f>
        <v>0</v>
      </c>
      <c r="I103" s="5">
        <f t="shared" si="13"/>
        <v>28.071972129319953</v>
      </c>
      <c r="J103" s="5">
        <f t="shared" si="14"/>
        <v>13433.701655592064</v>
      </c>
      <c r="K103" s="5">
        <f>SUMIFS(KASA!$Q:$Q, KASA!$C:$C, $C103, KASA!$B:$B, "MAL SATIŞI") + SUMIFS(KASA!$Q:$Q, KASA!$C:$C, $C103, KASA!$B:$B, "ÜRETİM ÇIKIŞ")</f>
        <v>6767.608405797102</v>
      </c>
      <c r="L103" s="5">
        <f>SUMIFS(KASA!$K:$K, KASA!$C:$C, $C103, KASA!$B:$B, "MAL SATIŞI") + SUMIFS(KASA!$K:$K, KASA!$C:$C, $C103, KASA!$B:$B, "ÜRETİM ÇIKIŞ")</f>
        <v>11553.339476031215</v>
      </c>
      <c r="M103" s="5">
        <f t="shared" si="15"/>
        <v>18320.947881828317</v>
      </c>
      <c r="N103" s="5">
        <f t="shared" si="16"/>
        <v>4887.2462262362533</v>
      </c>
      <c r="O103" s="65">
        <f t="shared" si="17"/>
        <v>0.36380488055589899</v>
      </c>
      <c r="P103" s="5">
        <f t="shared" si="18"/>
        <v>652.64199456413985</v>
      </c>
      <c r="Q103" s="5">
        <f t="shared" si="19"/>
        <v>0.49302787068004505</v>
      </c>
      <c r="R103" s="5">
        <f t="shared" si="20"/>
        <v>235.93601803593691</v>
      </c>
      <c r="S103" s="5">
        <f t="shared" si="21"/>
        <v>13669.637673628</v>
      </c>
      <c r="T103">
        <v>5.4539999999999997</v>
      </c>
      <c r="U103" s="2">
        <f t="shared" si="22"/>
        <v>-4.9609721293199547</v>
      </c>
      <c r="V103">
        <f>SUMIF(KASA!$C$2:$C$9980, C103, KASA!$T$2:$T$9980)</f>
        <v>0.49302787068004505</v>
      </c>
      <c r="W103">
        <f>SUMIF(KASA!$C$2:$C$9980, C103, KASA!$U$2:$U$9980)</f>
        <v>260.18313305462681</v>
      </c>
      <c r="X103" s="2">
        <f t="shared" si="23"/>
        <v>0.49302787068004505</v>
      </c>
      <c r="Y103" s="2">
        <f t="shared" si="24"/>
        <v>260.18313305462681</v>
      </c>
      <c r="Z103">
        <f>SUMIF(KASA!$C$2:$C$9980, C103, KASA!$V$2:$V$9980)</f>
        <v>13624.799955999999</v>
      </c>
      <c r="AA103">
        <f t="shared" si="25"/>
        <v>13364.616822945372</v>
      </c>
    </row>
    <row r="104" spans="3:27" x14ac:dyDescent="0.25">
      <c r="C104" s="4" t="s">
        <v>729</v>
      </c>
      <c r="D104" s="5">
        <f>SUMIFS(KASA!$I:$I, KASA!$C:$C, $C104, KASA!$B:$B, "MAL ALIMI") + SUMIFS(KASA!$I:$I, KASA!$C:$C, $C104, KASA!$B:$B, "ÜRETİM GİRİŞ")</f>
        <v>6</v>
      </c>
      <c r="E104" s="5" cm="1">
        <f t="array" ref="E104">IFERROR(AVERAGE(IF((KASA!$C$2:$C$9980=$C104)*((KASA!$B$2:$B$9980="MAL ALIMI")+(KASA!$B$2:$B$9980="ÜRETİM GİRİŞ")),KASA!$J$2:$J$9980)),0)</f>
        <v>59.5</v>
      </c>
      <c r="F104" s="5">
        <f>SUMIFS(KASA!$I:$I, KASA!$C:$C, $C104, KASA!$B:$B, "MAL SATIŞI") + SUMIFS(KASA!$I:$I, KASA!$C:$C, $C104, KASA!$B:$B, "ÜRETİM ÇIKIŞ")</f>
        <v>5</v>
      </c>
      <c r="G104" s="5">
        <f>SUMIFS(KASA!$I:$I, KASA!$C:$C, $C104, KASA!$B:$B, "MAL İADE")</f>
        <v>0</v>
      </c>
      <c r="H104" s="5">
        <f>SUMIFS(KASA!$K:$K, KASA!$C:$C, $C104, KASA!$B:$B, "MAL İADE") + SUMIFS(KASA!$Q:$Q, KASA!$C:$C, $C104, KASA!$B:$B, "MAL İADE")</f>
        <v>0</v>
      </c>
      <c r="I104" s="5">
        <f t="shared" si="13"/>
        <v>5</v>
      </c>
      <c r="J104" s="5">
        <f t="shared" si="14"/>
        <v>297.5</v>
      </c>
      <c r="K104" s="5">
        <f>SUMIFS(KASA!$Q:$Q, KASA!$C:$C, $C104, KASA!$B:$B, "MAL SATIŞI") + SUMIFS(KASA!$Q:$Q, KASA!$C:$C, $C104, KASA!$B:$B, "ÜRETİM ÇIKIŞ")</f>
        <v>270</v>
      </c>
      <c r="L104" s="5">
        <f>SUMIFS(KASA!$K:$K, KASA!$C:$C, $C104, KASA!$B:$B, "MAL SATIŞI") + SUMIFS(KASA!$K:$K, KASA!$C:$C, $C104, KASA!$B:$B, "ÜRETİM ÇIKIŞ")</f>
        <v>180</v>
      </c>
      <c r="M104" s="5">
        <f t="shared" si="15"/>
        <v>450</v>
      </c>
      <c r="N104" s="5">
        <f t="shared" si="16"/>
        <v>152.5</v>
      </c>
      <c r="O104" s="65">
        <f t="shared" si="17"/>
        <v>0.51260504201680668</v>
      </c>
      <c r="P104" s="5">
        <f t="shared" si="18"/>
        <v>90</v>
      </c>
      <c r="Q104" s="5">
        <f t="shared" si="19"/>
        <v>1</v>
      </c>
      <c r="R104" s="5">
        <f t="shared" si="20"/>
        <v>59.5</v>
      </c>
      <c r="S104" s="5">
        <f t="shared" si="21"/>
        <v>357</v>
      </c>
      <c r="T104">
        <v>1</v>
      </c>
      <c r="U104" s="2">
        <f t="shared" si="22"/>
        <v>0</v>
      </c>
      <c r="V104">
        <f>SUMIF(KASA!$C$2:$C$9980, C104, KASA!$T$2:$T$9980)</f>
        <v>1</v>
      </c>
      <c r="W104">
        <f>SUMIF(KASA!$C$2:$C$9980, C104, KASA!$U$2:$U$9980)</f>
        <v>59.5</v>
      </c>
      <c r="X104" s="2">
        <f t="shared" si="23"/>
        <v>1</v>
      </c>
      <c r="Y104" s="2">
        <f t="shared" si="24"/>
        <v>59.5</v>
      </c>
      <c r="Z104">
        <f>SUMIF(KASA!$C$2:$C$9980, C104, KASA!$V$2:$V$9980)</f>
        <v>357</v>
      </c>
      <c r="AA104">
        <f t="shared" si="25"/>
        <v>297.5</v>
      </c>
    </row>
    <row r="105" spans="3:27" x14ac:dyDescent="0.25">
      <c r="C105" s="4" t="s">
        <v>730</v>
      </c>
      <c r="D105" s="5">
        <f>SUMIFS(KASA!$I:$I, KASA!$C:$C, $C105, KASA!$B:$B, "MAL ALIMI") + SUMIFS(KASA!$I:$I, KASA!$C:$C, $C105, KASA!$B:$B, "ÜRETİM GİRİŞ")</f>
        <v>7</v>
      </c>
      <c r="E105" s="5" cm="1">
        <f t="array" ref="E105">IFERROR(AVERAGE(IF((KASA!$C$2:$C$9980=$C105)*((KASA!$B$2:$B$9980="MAL ALIMI")+(KASA!$B$2:$B$9980="ÜRETİM GİRİŞ")),KASA!$J$2:$J$9980)),0)</f>
        <v>59.5</v>
      </c>
      <c r="F105" s="5">
        <f>SUMIFS(KASA!$I:$I, KASA!$C:$C, $C105, KASA!$B:$B, "MAL SATIŞI") + SUMIFS(KASA!$I:$I, KASA!$C:$C, $C105, KASA!$B:$B, "ÜRETİM ÇIKIŞ")</f>
        <v>7</v>
      </c>
      <c r="G105" s="5">
        <f>SUMIFS(KASA!$I:$I, KASA!$C:$C, $C105, KASA!$B:$B, "MAL İADE")</f>
        <v>0</v>
      </c>
      <c r="H105" s="5">
        <f>SUMIFS(KASA!$K:$K, KASA!$C:$C, $C105, KASA!$B:$B, "MAL İADE") + SUMIFS(KASA!$Q:$Q, KASA!$C:$C, $C105, KASA!$B:$B, "MAL İADE")</f>
        <v>0</v>
      </c>
      <c r="I105" s="5">
        <f t="shared" si="13"/>
        <v>7</v>
      </c>
      <c r="J105" s="5">
        <f t="shared" si="14"/>
        <v>416.5</v>
      </c>
      <c r="K105" s="5">
        <f>SUMIFS(KASA!$Q:$Q, KASA!$C:$C, $C105, KASA!$B:$B, "MAL SATIŞI") + SUMIFS(KASA!$Q:$Q, KASA!$C:$C, $C105, KASA!$B:$B, "ÜRETİM ÇIKIŞ")</f>
        <v>360</v>
      </c>
      <c r="L105" s="5">
        <f>SUMIFS(KASA!$K:$K, KASA!$C:$C, $C105, KASA!$B:$B, "MAL SATIŞI") + SUMIFS(KASA!$K:$K, KASA!$C:$C, $C105, KASA!$B:$B, "ÜRETİM ÇIKIŞ")</f>
        <v>180</v>
      </c>
      <c r="M105" s="5">
        <f t="shared" si="15"/>
        <v>540</v>
      </c>
      <c r="N105" s="5">
        <f t="shared" si="16"/>
        <v>123.5</v>
      </c>
      <c r="O105" s="65">
        <f t="shared" si="17"/>
        <v>0.2965186074429772</v>
      </c>
      <c r="P105" s="5">
        <f t="shared" si="18"/>
        <v>77.142857142857139</v>
      </c>
      <c r="Q105" s="5">
        <f t="shared" si="19"/>
        <v>0</v>
      </c>
      <c r="R105" s="5">
        <f t="shared" si="20"/>
        <v>0</v>
      </c>
      <c r="S105" s="5">
        <f t="shared" si="21"/>
        <v>416.5</v>
      </c>
      <c r="T105">
        <v>1</v>
      </c>
      <c r="U105" s="2">
        <f t="shared" si="22"/>
        <v>-1</v>
      </c>
      <c r="V105">
        <f>SUMIF(KASA!$C$2:$C$9980, C105, KASA!$T$2:$T$9980)</f>
        <v>0</v>
      </c>
      <c r="W105">
        <f>SUMIF(KASA!$C$2:$C$9980, C105, KASA!$U$2:$U$9980)</f>
        <v>0</v>
      </c>
      <c r="X105" s="2">
        <f t="shared" si="23"/>
        <v>0</v>
      </c>
      <c r="Y105" s="2">
        <f t="shared" si="24"/>
        <v>0</v>
      </c>
      <c r="Z105">
        <f>SUMIF(KASA!$C$2:$C$9980, C105, KASA!$V$2:$V$9980)</f>
        <v>416.5</v>
      </c>
      <c r="AA105">
        <f t="shared" si="25"/>
        <v>416.5</v>
      </c>
    </row>
    <row r="106" spans="3:27" x14ac:dyDescent="0.25">
      <c r="C106" s="4" t="s">
        <v>731</v>
      </c>
      <c r="D106" s="5">
        <f>SUMIFS(KASA!$I:$I, KASA!$C:$C, $C106, KASA!$B:$B, "MAL ALIMI") + SUMIFS(KASA!$I:$I, KASA!$C:$C, $C106, KASA!$B:$B, "ÜRETİM GİRİŞ")</f>
        <v>6</v>
      </c>
      <c r="E106" s="5" cm="1">
        <f t="array" ref="E106">IFERROR(AVERAGE(IF((KASA!$C$2:$C$9980=$C106)*((KASA!$B$2:$B$9980="MAL ALIMI")+(KASA!$B$2:$B$9980="ÜRETİM GİRİŞ")),KASA!$J$2:$J$9980)),0)</f>
        <v>59.5</v>
      </c>
      <c r="F106" s="5">
        <f>SUMIFS(KASA!$I:$I, KASA!$C:$C, $C106, KASA!$B:$B, "MAL SATIŞI") + SUMIFS(KASA!$I:$I, KASA!$C:$C, $C106, KASA!$B:$B, "ÜRETİM ÇIKIŞ")</f>
        <v>5</v>
      </c>
      <c r="G106" s="5">
        <f>SUMIFS(KASA!$I:$I, KASA!$C:$C, $C106, KASA!$B:$B, "MAL İADE")</f>
        <v>0</v>
      </c>
      <c r="H106" s="5">
        <f>SUMIFS(KASA!$K:$K, KASA!$C:$C, $C106, KASA!$B:$B, "MAL İADE") + SUMIFS(KASA!$Q:$Q, KASA!$C:$C, $C106, KASA!$B:$B, "MAL İADE")</f>
        <v>0</v>
      </c>
      <c r="I106" s="5">
        <f t="shared" si="13"/>
        <v>5</v>
      </c>
      <c r="J106" s="5">
        <f t="shared" si="14"/>
        <v>297.5</v>
      </c>
      <c r="K106" s="5">
        <f>SUMIFS(KASA!$Q:$Q, KASA!$C:$C, $C106, KASA!$B:$B, "MAL SATIŞI") + SUMIFS(KASA!$Q:$Q, KASA!$C:$C, $C106, KASA!$B:$B, "ÜRETİM ÇIKIŞ")</f>
        <v>420</v>
      </c>
      <c r="L106" s="5">
        <f>SUMIFS(KASA!$K:$K, KASA!$C:$C, $C106, KASA!$B:$B, "MAL SATIŞI") + SUMIFS(KASA!$K:$K, KASA!$C:$C, $C106, KASA!$B:$B, "ÜRETİM ÇIKIŞ")</f>
        <v>0</v>
      </c>
      <c r="M106" s="5">
        <f t="shared" si="15"/>
        <v>420</v>
      </c>
      <c r="N106" s="5">
        <f t="shared" si="16"/>
        <v>122.5</v>
      </c>
      <c r="O106" s="65">
        <f t="shared" si="17"/>
        <v>0.41176470588235292</v>
      </c>
      <c r="P106" s="5">
        <f t="shared" si="18"/>
        <v>84</v>
      </c>
      <c r="Q106" s="5">
        <f t="shared" si="19"/>
        <v>1</v>
      </c>
      <c r="R106" s="5">
        <f t="shared" si="20"/>
        <v>59.5</v>
      </c>
      <c r="S106" s="5">
        <f t="shared" si="21"/>
        <v>357</v>
      </c>
      <c r="T106">
        <v>1</v>
      </c>
      <c r="U106" s="2">
        <f t="shared" si="22"/>
        <v>0</v>
      </c>
      <c r="V106">
        <f>SUMIF(KASA!$C$2:$C$9980, C106, KASA!$T$2:$T$9980)</f>
        <v>1</v>
      </c>
      <c r="W106">
        <f>SUMIF(KASA!$C$2:$C$9980, C106, KASA!$U$2:$U$9980)</f>
        <v>59.5</v>
      </c>
      <c r="X106" s="2">
        <f t="shared" si="23"/>
        <v>1</v>
      </c>
      <c r="Y106" s="2">
        <f t="shared" si="24"/>
        <v>59.5</v>
      </c>
      <c r="Z106">
        <f>SUMIF(KASA!$C$2:$C$9980, C106, KASA!$V$2:$V$9980)</f>
        <v>357</v>
      </c>
      <c r="AA106">
        <f t="shared" si="25"/>
        <v>297.5</v>
      </c>
    </row>
    <row r="107" spans="3:27" x14ac:dyDescent="0.25">
      <c r="C107" s="4" t="s">
        <v>764</v>
      </c>
      <c r="D107" s="5">
        <f>SUMIFS(KASA!$I:$I, KASA!$C:$C, $C107, KASA!$B:$B, "MAL ALIMI") + SUMIFS(KASA!$I:$I, KASA!$C:$C, $C107, KASA!$B:$B, "ÜRETİM GİRİŞ")</f>
        <v>5</v>
      </c>
      <c r="E107" s="5" cm="1">
        <f t="array" ref="E107">IFERROR(AVERAGE(IF((KASA!$C$2:$C$9980=$C107)*((KASA!$B$2:$B$9980="MAL ALIMI")+(KASA!$B$2:$B$9980="ÜRETİM GİRİŞ")),KASA!$J$2:$J$9980)),0)</f>
        <v>79.5</v>
      </c>
      <c r="F107" s="5">
        <f>SUMIFS(KASA!$I:$I, KASA!$C:$C, $C107, KASA!$B:$B, "MAL SATIŞI") + SUMIFS(KASA!$I:$I, KASA!$C:$C, $C107, KASA!$B:$B, "ÜRETİM ÇIKIŞ")</f>
        <v>5</v>
      </c>
      <c r="G107" s="5">
        <f>SUMIFS(KASA!$I:$I, KASA!$C:$C, $C107, KASA!$B:$B, "MAL İADE")</f>
        <v>0</v>
      </c>
      <c r="H107" s="5">
        <f>SUMIFS(KASA!$K:$K, KASA!$C:$C, $C107, KASA!$B:$B, "MAL İADE") + SUMIFS(KASA!$Q:$Q, KASA!$C:$C, $C107, KASA!$B:$B, "MAL İADE")</f>
        <v>0</v>
      </c>
      <c r="I107" s="5">
        <f t="shared" si="13"/>
        <v>5</v>
      </c>
      <c r="J107" s="5">
        <f t="shared" si="14"/>
        <v>397.5</v>
      </c>
      <c r="K107" s="5">
        <f>SUMIFS(KASA!$Q:$Q, KASA!$C:$C, $C107, KASA!$B:$B, "MAL SATIŞI") + SUMIFS(KASA!$Q:$Q, KASA!$C:$C, $C107, KASA!$B:$B, "ÜRETİM ÇIKIŞ")</f>
        <v>375</v>
      </c>
      <c r="L107" s="5">
        <f>SUMIFS(KASA!$K:$K, KASA!$C:$C, $C107, KASA!$B:$B, "MAL SATIŞI") + SUMIFS(KASA!$K:$K, KASA!$C:$C, $C107, KASA!$B:$B, "ÜRETİM ÇIKIŞ")</f>
        <v>250</v>
      </c>
      <c r="M107" s="5">
        <f t="shared" si="15"/>
        <v>625</v>
      </c>
      <c r="N107" s="5">
        <f t="shared" si="16"/>
        <v>227.5</v>
      </c>
      <c r="O107" s="65">
        <f t="shared" si="17"/>
        <v>0.57232704402515722</v>
      </c>
      <c r="P107" s="5">
        <f t="shared" si="18"/>
        <v>125</v>
      </c>
      <c r="Q107" s="5">
        <f t="shared" si="19"/>
        <v>0</v>
      </c>
      <c r="R107" s="5">
        <f t="shared" si="20"/>
        <v>0</v>
      </c>
      <c r="S107" s="5">
        <f t="shared" si="21"/>
        <v>397.5</v>
      </c>
      <c r="T107">
        <v>0</v>
      </c>
      <c r="U107" s="2">
        <f t="shared" si="22"/>
        <v>0</v>
      </c>
      <c r="V107">
        <f>SUMIF(KASA!$C$2:$C$9980, C107, KASA!$T$2:$T$9980)</f>
        <v>0</v>
      </c>
      <c r="W107">
        <f>SUMIF(KASA!$C$2:$C$9980, C107, KASA!$U$2:$U$9980)</f>
        <v>0</v>
      </c>
      <c r="X107" s="2">
        <f t="shared" si="23"/>
        <v>0</v>
      </c>
      <c r="Y107" s="2">
        <f t="shared" si="24"/>
        <v>0</v>
      </c>
      <c r="Z107">
        <f>SUMIF(KASA!$C$2:$C$9980, C107, KASA!$V$2:$V$9980)</f>
        <v>397.5</v>
      </c>
      <c r="AA107">
        <f t="shared" si="25"/>
        <v>397.5</v>
      </c>
    </row>
    <row r="108" spans="3:27" x14ac:dyDescent="0.25">
      <c r="C108" s="4" t="s">
        <v>766</v>
      </c>
      <c r="D108" s="5">
        <f>SUMIFS(KASA!$I:$I, KASA!$C:$C, $C108, KASA!$B:$B, "MAL ALIMI") + SUMIFS(KASA!$I:$I, KASA!$C:$C, $C108, KASA!$B:$B, "ÜRETİM GİRİŞ")</f>
        <v>7</v>
      </c>
      <c r="E108" s="5" cm="1">
        <f t="array" ref="E108">IFERROR(AVERAGE(IF((KASA!$C$2:$C$9980=$C108)*((KASA!$B$2:$B$9980="MAL ALIMI")+(KASA!$B$2:$B$9980="ÜRETİM GİRİŞ")),KASA!$J$2:$J$9980)),0)</f>
        <v>140.33500000000001</v>
      </c>
      <c r="F108" s="5">
        <f>SUMIFS(KASA!$I:$I, KASA!$C:$C, $C108, KASA!$B:$B, "MAL SATIŞI") + SUMIFS(KASA!$I:$I, KASA!$C:$C, $C108, KASA!$B:$B, "ÜRETİM ÇIKIŞ")</f>
        <v>7</v>
      </c>
      <c r="G108" s="5">
        <f>SUMIFS(KASA!$I:$I, KASA!$C:$C, $C108, KASA!$B:$B, "MAL İADE")</f>
        <v>0</v>
      </c>
      <c r="H108" s="5">
        <f>SUMIFS(KASA!$K:$K, KASA!$C:$C, $C108, KASA!$B:$B, "MAL İADE") + SUMIFS(KASA!$Q:$Q, KASA!$C:$C, $C108, KASA!$B:$B, "MAL İADE")</f>
        <v>0</v>
      </c>
      <c r="I108" s="5">
        <f t="shared" si="13"/>
        <v>7</v>
      </c>
      <c r="J108" s="5">
        <f t="shared" si="14"/>
        <v>982.34500000000003</v>
      </c>
      <c r="K108" s="5">
        <f>SUMIFS(KASA!$Q:$Q, KASA!$C:$C, $C108, KASA!$B:$B, "MAL SATIŞI") + SUMIFS(KASA!$Q:$Q, KASA!$C:$C, $C108, KASA!$B:$B, "ÜRETİM ÇIKIŞ")</f>
        <v>1100</v>
      </c>
      <c r="L108" s="5">
        <f>SUMIFS(KASA!$K:$K, KASA!$C:$C, $C108, KASA!$B:$B, "MAL SATIŞI") + SUMIFS(KASA!$K:$K, KASA!$C:$C, $C108, KASA!$B:$B, "ÜRETİM ÇIKIŞ")</f>
        <v>390</v>
      </c>
      <c r="M108" s="5">
        <f t="shared" si="15"/>
        <v>1490</v>
      </c>
      <c r="N108" s="5">
        <f t="shared" si="16"/>
        <v>507.65499999999997</v>
      </c>
      <c r="O108" s="65">
        <f t="shared" si="17"/>
        <v>0.51677872845079886</v>
      </c>
      <c r="P108" s="5">
        <f t="shared" si="18"/>
        <v>212.85714285714286</v>
      </c>
      <c r="Q108" s="5">
        <f t="shared" si="19"/>
        <v>0</v>
      </c>
      <c r="R108" s="5">
        <f t="shared" si="20"/>
        <v>0</v>
      </c>
      <c r="S108" s="5">
        <f t="shared" si="21"/>
        <v>982.34500000000003</v>
      </c>
      <c r="T108">
        <v>5</v>
      </c>
      <c r="U108" s="2">
        <f t="shared" si="22"/>
        <v>-5</v>
      </c>
      <c r="V108">
        <f>SUMIF(KASA!$C$2:$C$9980, C108, KASA!$T$2:$T$9980)</f>
        <v>0</v>
      </c>
      <c r="W108">
        <f>SUMIF(KASA!$C$2:$C$9980, C108, KASA!$U$2:$U$9980)</f>
        <v>0</v>
      </c>
      <c r="X108" s="2">
        <f t="shared" si="23"/>
        <v>0</v>
      </c>
      <c r="Y108" s="2">
        <f t="shared" si="24"/>
        <v>0</v>
      </c>
      <c r="Z108">
        <f>SUMIF(KASA!$C$2:$C$9980, C108, KASA!$V$2:$V$9980)</f>
        <v>981.04</v>
      </c>
      <c r="AA108">
        <f t="shared" si="25"/>
        <v>981.04</v>
      </c>
    </row>
    <row r="109" spans="3:27" x14ac:dyDescent="0.25">
      <c r="C109" s="4" t="s">
        <v>767</v>
      </c>
      <c r="D109" s="5">
        <f>SUMIFS(KASA!$I:$I, KASA!$C:$C, $C109, KASA!$B:$B, "MAL ALIMI") + SUMIFS(KASA!$I:$I, KASA!$C:$C, $C109, KASA!$B:$B, "ÜRETİM GİRİŞ")</f>
        <v>11</v>
      </c>
      <c r="E109" s="5" cm="1">
        <f t="array" ref="E109">IFERROR(AVERAGE(IF((KASA!$C$2:$C$9980=$C109)*((KASA!$B$2:$B$9980="MAL ALIMI")+(KASA!$B$2:$B$9980="ÜRETİM GİRİŞ")),KASA!$J$2:$J$9980)),0)</f>
        <v>147.07333333333335</v>
      </c>
      <c r="F109" s="5">
        <f>SUMIFS(KASA!$I:$I, KASA!$C:$C, $C109, KASA!$B:$B, "MAL SATIŞI") + SUMIFS(KASA!$I:$I, KASA!$C:$C, $C109, KASA!$B:$B, "ÜRETİM ÇIKIŞ")</f>
        <v>6</v>
      </c>
      <c r="G109" s="5">
        <f>SUMIFS(KASA!$I:$I, KASA!$C:$C, $C109, KASA!$B:$B, "MAL İADE")</f>
        <v>0</v>
      </c>
      <c r="H109" s="5">
        <f>SUMIFS(KASA!$K:$K, KASA!$C:$C, $C109, KASA!$B:$B, "MAL İADE") + SUMIFS(KASA!$Q:$Q, KASA!$C:$C, $C109, KASA!$B:$B, "MAL İADE")</f>
        <v>0</v>
      </c>
      <c r="I109" s="5">
        <f t="shared" si="13"/>
        <v>6</v>
      </c>
      <c r="J109" s="5">
        <f t="shared" si="14"/>
        <v>882.44</v>
      </c>
      <c r="K109" s="5">
        <f>SUMIFS(KASA!$Q:$Q, KASA!$C:$C, $C109, KASA!$B:$B, "MAL SATIŞI") + SUMIFS(KASA!$Q:$Q, KASA!$C:$C, $C109, KASA!$B:$B, "ÜRETİM ÇIKIŞ")</f>
        <v>400</v>
      </c>
      <c r="L109" s="5">
        <f>SUMIFS(KASA!$K:$K, KASA!$C:$C, $C109, KASA!$B:$B, "MAL SATIŞI") + SUMIFS(KASA!$K:$K, KASA!$C:$C, $C109, KASA!$B:$B, "ÜRETİM ÇIKIŞ")</f>
        <v>874</v>
      </c>
      <c r="M109" s="5">
        <f t="shared" si="15"/>
        <v>1274</v>
      </c>
      <c r="N109" s="5">
        <f t="shared" si="16"/>
        <v>391.55999999999995</v>
      </c>
      <c r="O109" s="65">
        <f t="shared" si="17"/>
        <v>0.44372421921037114</v>
      </c>
      <c r="P109" s="5">
        <f t="shared" si="18"/>
        <v>212.33333333333334</v>
      </c>
      <c r="Q109" s="5">
        <f t="shared" si="19"/>
        <v>5</v>
      </c>
      <c r="R109" s="5">
        <f t="shared" si="20"/>
        <v>735.36666666666679</v>
      </c>
      <c r="S109" s="5">
        <f t="shared" si="21"/>
        <v>1617.8066666666668</v>
      </c>
      <c r="T109">
        <v>8</v>
      </c>
      <c r="U109" s="2">
        <f t="shared" si="22"/>
        <v>-3</v>
      </c>
      <c r="V109">
        <f>SUMIF(KASA!$C$2:$C$9980, C109, KASA!$T$2:$T$9980)</f>
        <v>5</v>
      </c>
      <c r="W109">
        <f>SUMIF(KASA!$C$2:$C$9980, C109, KASA!$U$2:$U$9980)</f>
        <v>638.1</v>
      </c>
      <c r="X109" s="2">
        <f t="shared" si="23"/>
        <v>5</v>
      </c>
      <c r="Y109" s="2">
        <f t="shared" si="24"/>
        <v>638.1</v>
      </c>
      <c r="Z109">
        <f>SUMIF(KASA!$C$2:$C$9980, C109, KASA!$V$2:$V$9980)</f>
        <v>1557.92</v>
      </c>
      <c r="AA109">
        <f t="shared" si="25"/>
        <v>919.82</v>
      </c>
    </row>
    <row r="110" spans="3:27" x14ac:dyDescent="0.25">
      <c r="C110" s="4" t="s">
        <v>768</v>
      </c>
      <c r="D110" s="5">
        <f>SUMIFS(KASA!$I:$I, KASA!$C:$C, $C110, KASA!$B:$B, "MAL ALIMI") + SUMIFS(KASA!$I:$I, KASA!$C:$C, $C110, KASA!$B:$B, "ÜRETİM GİRİŞ")</f>
        <v>4</v>
      </c>
      <c r="E110" s="5" cm="1">
        <f t="array" ref="E110">IFERROR(AVERAGE(IF((KASA!$C$2:$C$9980=$C110)*((KASA!$B$2:$B$9980="MAL ALIMI")+(KASA!$B$2:$B$9980="ÜRETİM GİRİŞ")),KASA!$J$2:$J$9980)),0)</f>
        <v>140.77000000000001</v>
      </c>
      <c r="F110" s="5">
        <f>SUMIFS(KASA!$I:$I, KASA!$C:$C, $C110, KASA!$B:$B, "MAL SATIŞI") + SUMIFS(KASA!$I:$I, KASA!$C:$C, $C110, KASA!$B:$B, "ÜRETİM ÇIKIŞ")</f>
        <v>1</v>
      </c>
      <c r="G110" s="5">
        <f>SUMIFS(KASA!$I:$I, KASA!$C:$C, $C110, KASA!$B:$B, "MAL İADE")</f>
        <v>0</v>
      </c>
      <c r="H110" s="5">
        <f>SUMIFS(KASA!$K:$K, KASA!$C:$C, $C110, KASA!$B:$B, "MAL İADE") + SUMIFS(KASA!$Q:$Q, KASA!$C:$C, $C110, KASA!$B:$B, "MAL İADE")</f>
        <v>0</v>
      </c>
      <c r="I110" s="5">
        <f t="shared" si="13"/>
        <v>1</v>
      </c>
      <c r="J110" s="5">
        <f t="shared" si="14"/>
        <v>140.77000000000001</v>
      </c>
      <c r="K110" s="5">
        <f>SUMIFS(KASA!$Q:$Q, KASA!$C:$C, $C110, KASA!$B:$B, "MAL SATIŞI") + SUMIFS(KASA!$Q:$Q, KASA!$C:$C, $C110, KASA!$B:$B, "ÜRETİM ÇIKIŞ")</f>
        <v>0</v>
      </c>
      <c r="L110" s="5">
        <f>SUMIFS(KASA!$K:$K, KASA!$C:$C, $C110, KASA!$B:$B, "MAL SATIŞI") + SUMIFS(KASA!$K:$K, KASA!$C:$C, $C110, KASA!$B:$B, "ÜRETİM ÇIKIŞ")</f>
        <v>220</v>
      </c>
      <c r="M110" s="5">
        <f t="shared" si="15"/>
        <v>220</v>
      </c>
      <c r="N110" s="5">
        <f t="shared" si="16"/>
        <v>79.22999999999999</v>
      </c>
      <c r="O110" s="65">
        <f t="shared" si="17"/>
        <v>0.56283298998366116</v>
      </c>
      <c r="P110" s="5">
        <f t="shared" si="18"/>
        <v>220</v>
      </c>
      <c r="Q110" s="5">
        <f t="shared" si="19"/>
        <v>3</v>
      </c>
      <c r="R110" s="5">
        <f t="shared" si="20"/>
        <v>422.31000000000006</v>
      </c>
      <c r="S110" s="5">
        <f t="shared" si="21"/>
        <v>563.08000000000004</v>
      </c>
      <c r="T110">
        <v>3</v>
      </c>
      <c r="U110" s="2">
        <f t="shared" si="22"/>
        <v>0</v>
      </c>
      <c r="V110">
        <f>SUMIF(KASA!$C$2:$C$9980, C110, KASA!$T$2:$T$9980)</f>
        <v>3</v>
      </c>
      <c r="W110">
        <f>SUMIF(KASA!$C$2:$C$9980, C110, KASA!$U$2:$U$9980)</f>
        <v>422.31000000000006</v>
      </c>
      <c r="X110" s="2">
        <f t="shared" si="23"/>
        <v>3</v>
      </c>
      <c r="Y110" s="2">
        <f t="shared" si="24"/>
        <v>422.31000000000006</v>
      </c>
      <c r="Z110">
        <f>SUMIF(KASA!$C$2:$C$9980, C110, KASA!$V$2:$V$9980)</f>
        <v>563.08000000000004</v>
      </c>
      <c r="AA110">
        <f t="shared" si="25"/>
        <v>140.76999999999998</v>
      </c>
    </row>
    <row r="111" spans="3:27" x14ac:dyDescent="0.25">
      <c r="C111" s="4" t="s">
        <v>757</v>
      </c>
      <c r="D111" s="5">
        <f>SUMIFS(KASA!$I:$I, KASA!$C:$C, $C111, KASA!$B:$B, "MAL ALIMI") + SUMIFS(KASA!$I:$I, KASA!$C:$C, $C111, KASA!$B:$B, "ÜRETİM GİRİŞ")</f>
        <v>9</v>
      </c>
      <c r="E111" s="5" cm="1">
        <f t="array" ref="E111">IFERROR(AVERAGE(IF((KASA!$C$2:$C$9980=$C111)*((KASA!$B$2:$B$9980="MAL ALIMI")+(KASA!$B$2:$B$9980="ÜRETİM GİRİŞ")),KASA!$J$2:$J$9980)),0)</f>
        <v>353.68375000000003</v>
      </c>
      <c r="F111" s="5">
        <f>SUMIFS(KASA!$I:$I, KASA!$C:$C, $C111, KASA!$B:$B, "MAL SATIŞI") + SUMIFS(KASA!$I:$I, KASA!$C:$C, $C111, KASA!$B:$B, "ÜRETİM ÇIKIŞ")</f>
        <v>6</v>
      </c>
      <c r="G111" s="5">
        <f>SUMIFS(KASA!$I:$I, KASA!$C:$C, $C111, KASA!$B:$B, "MAL İADE")</f>
        <v>0</v>
      </c>
      <c r="H111" s="5">
        <f>SUMIFS(KASA!$K:$K, KASA!$C:$C, $C111, KASA!$B:$B, "MAL İADE") + SUMIFS(KASA!$Q:$Q, KASA!$C:$C, $C111, KASA!$B:$B, "MAL İADE")</f>
        <v>0</v>
      </c>
      <c r="I111" s="5">
        <f t="shared" si="13"/>
        <v>6</v>
      </c>
      <c r="J111" s="5">
        <f t="shared" si="14"/>
        <v>2122.1025</v>
      </c>
      <c r="K111" s="5">
        <f>SUMIFS(KASA!$Q:$Q, KASA!$C:$C, $C111, KASA!$B:$B, "MAL SATIŞI") + SUMIFS(KASA!$Q:$Q, KASA!$C:$C, $C111, KASA!$B:$B, "ÜRETİM ÇIKIŞ")</f>
        <v>1340</v>
      </c>
      <c r="L111" s="5">
        <f>SUMIFS(KASA!$K:$K, KASA!$C:$C, $C111, KASA!$B:$B, "MAL SATIŞI") + SUMIFS(KASA!$K:$K, KASA!$C:$C, $C111, KASA!$B:$B, "ÜRETİM ÇIKIŞ")</f>
        <v>1380</v>
      </c>
      <c r="M111" s="5">
        <f t="shared" si="15"/>
        <v>2720</v>
      </c>
      <c r="N111" s="5">
        <f t="shared" si="16"/>
        <v>597.89750000000004</v>
      </c>
      <c r="O111" s="65">
        <f t="shared" si="17"/>
        <v>0.28174770068835037</v>
      </c>
      <c r="P111" s="5">
        <f t="shared" si="18"/>
        <v>453.33333333333331</v>
      </c>
      <c r="Q111" s="5">
        <f t="shared" si="19"/>
        <v>3</v>
      </c>
      <c r="R111" s="5">
        <f t="shared" si="20"/>
        <v>1061.05125</v>
      </c>
      <c r="S111" s="5">
        <f t="shared" si="21"/>
        <v>3183.1537500000004</v>
      </c>
      <c r="T111">
        <v>6</v>
      </c>
      <c r="U111" s="2">
        <f t="shared" si="22"/>
        <v>-3</v>
      </c>
      <c r="V111">
        <f>SUMIF(KASA!$C$2:$C$9980, C111, KASA!$T$2:$T$9980)</f>
        <v>3</v>
      </c>
      <c r="W111">
        <f>SUMIF(KASA!$C$2:$C$9980, C111, KASA!$U$2:$U$9980)</f>
        <v>1128.72</v>
      </c>
      <c r="X111" s="2">
        <f t="shared" si="23"/>
        <v>3</v>
      </c>
      <c r="Y111" s="2">
        <f t="shared" si="24"/>
        <v>1128.72</v>
      </c>
      <c r="Z111">
        <f>SUMIF(KASA!$C$2:$C$9980, C111, KASA!$V$2:$V$9980)</f>
        <v>3205.71</v>
      </c>
      <c r="AA111">
        <f t="shared" si="25"/>
        <v>2076.9899999999998</v>
      </c>
    </row>
    <row r="112" spans="3:27" x14ac:dyDescent="0.25">
      <c r="C112" s="4" t="s">
        <v>634</v>
      </c>
      <c r="D112" s="5">
        <f>SUMIFS(KASA!$I:$I, KASA!$C:$C, $C112, KASA!$B:$B, "MAL ALIMI") + SUMIFS(KASA!$I:$I, KASA!$C:$C, $C112, KASA!$B:$B, "ÜRETİM GİRİŞ")</f>
        <v>22.052</v>
      </c>
      <c r="E112" s="5" cm="1">
        <f t="array" ref="E112">IFERROR(AVERAGE(IF((KASA!$C$2:$C$9980=$C112)*((KASA!$B$2:$B$9980="MAL ALIMI")+(KASA!$B$2:$B$9980="ÜRETİM GİRİŞ")),KASA!$J$2:$J$9980)),0)</f>
        <v>679.92500655555557</v>
      </c>
      <c r="F112" s="5">
        <f>SUMIFS(KASA!$I:$I, KASA!$C:$C, $C112, KASA!$B:$B, "MAL SATIŞI") + SUMIFS(KASA!$I:$I, KASA!$C:$C, $C112, KASA!$B:$B, "ÜRETİM ÇIKIŞ")</f>
        <v>22.124117647058817</v>
      </c>
      <c r="G112" s="5">
        <f>SUMIFS(KASA!$I:$I, KASA!$C:$C, $C112, KASA!$B:$B, "MAL İADE")</f>
        <v>0</v>
      </c>
      <c r="H112" s="5">
        <f>SUMIFS(KASA!$K:$K, KASA!$C:$C, $C112, KASA!$B:$B, "MAL İADE") + SUMIFS(KASA!$Q:$Q, KASA!$C:$C, $C112, KASA!$B:$B, "MAL İADE")</f>
        <v>0</v>
      </c>
      <c r="I112" s="5">
        <f t="shared" si="13"/>
        <v>22.124117647058817</v>
      </c>
      <c r="J112" s="5">
        <f t="shared" si="14"/>
        <v>15042.74083621235</v>
      </c>
      <c r="K112" s="5">
        <f>SUMIFS(KASA!$Q:$Q, KASA!$C:$C, $C112, KASA!$B:$B, "MAL SATIŞI") + SUMIFS(KASA!$Q:$Q, KASA!$C:$C, $C112, KASA!$B:$B, "ÜRETİM ÇIKIŞ")</f>
        <v>4837.4000000000005</v>
      </c>
      <c r="L112" s="5">
        <f>SUMIFS(KASA!$K:$K, KASA!$C:$C, $C112, KASA!$B:$B, "MAL SATIŞI") + SUMIFS(KASA!$K:$K, KASA!$C:$C, $C112, KASA!$B:$B, "ÜRETİM ÇIKIŞ")</f>
        <v>13016.46</v>
      </c>
      <c r="M112" s="5">
        <f t="shared" si="15"/>
        <v>17853.86</v>
      </c>
      <c r="N112" s="5">
        <f t="shared" si="16"/>
        <v>2811.1191637876509</v>
      </c>
      <c r="O112" s="65">
        <f t="shared" si="17"/>
        <v>0.18687546334777311</v>
      </c>
      <c r="P112" s="5">
        <f t="shared" si="18"/>
        <v>806.98630719736275</v>
      </c>
      <c r="Q112" s="5">
        <f t="shared" si="19"/>
        <v>-7.2117647058817624E-2</v>
      </c>
      <c r="R112" s="5">
        <f t="shared" si="20"/>
        <v>-49.034591649237818</v>
      </c>
      <c r="S112" s="5">
        <f t="shared" si="21"/>
        <v>14993.706244563111</v>
      </c>
      <c r="T112">
        <v>4</v>
      </c>
      <c r="U112" s="2">
        <f t="shared" si="22"/>
        <v>-4.0721176470588176</v>
      </c>
      <c r="V112">
        <f>SUMIF(KASA!$C$2:$C$9980, C112, KASA!$T$2:$T$9980)</f>
        <v>0</v>
      </c>
      <c r="W112">
        <f>SUMIF(KASA!$C$2:$C$9980, C112, KASA!$U$2:$U$9980)</f>
        <v>0</v>
      </c>
      <c r="X112" s="2">
        <f t="shared" si="23"/>
        <v>0</v>
      </c>
      <c r="Y112" s="2">
        <f t="shared" si="24"/>
        <v>0</v>
      </c>
      <c r="Z112">
        <f>SUMIF(KASA!$C$2:$C$9980, C112, KASA!$V$2:$V$9980)</f>
        <v>15055.879219848001</v>
      </c>
      <c r="AA112">
        <f t="shared" si="25"/>
        <v>15055.879219848001</v>
      </c>
    </row>
    <row r="113" spans="3:27" x14ac:dyDescent="0.25">
      <c r="C113" s="4" t="s">
        <v>721</v>
      </c>
      <c r="D113" s="5">
        <f>SUMIFS(KASA!$I:$I, KASA!$C:$C, $C113, KASA!$B:$B, "MAL ALIMI") + SUMIFS(KASA!$I:$I, KASA!$C:$C, $C113, KASA!$B:$B, "ÜRETİM GİRİŞ")</f>
        <v>6</v>
      </c>
      <c r="E113" s="5" cm="1">
        <f t="array" ref="E113">IFERROR(AVERAGE(IF((KASA!$C$2:$C$9980=$C113)*((KASA!$B$2:$B$9980="MAL ALIMI")+(KASA!$B$2:$B$9980="ÜRETİM GİRİŞ")),KASA!$J$2:$J$9980)),0)</f>
        <v>132.11666666666667</v>
      </c>
      <c r="F113" s="5">
        <f>SUMIFS(KASA!$I:$I, KASA!$C:$C, $C113, KASA!$B:$B, "MAL SATIŞI") + SUMIFS(KASA!$I:$I, KASA!$C:$C, $C113, KASA!$B:$B, "ÜRETİM ÇIKIŞ")</f>
        <v>2</v>
      </c>
      <c r="G113" s="5">
        <f>SUMIFS(KASA!$I:$I, KASA!$C:$C, $C113, KASA!$B:$B, "MAL İADE")</f>
        <v>0</v>
      </c>
      <c r="H113" s="5">
        <f>SUMIFS(KASA!$K:$K, KASA!$C:$C, $C113, KASA!$B:$B, "MAL İADE") + SUMIFS(KASA!$Q:$Q, KASA!$C:$C, $C113, KASA!$B:$B, "MAL İADE")</f>
        <v>0</v>
      </c>
      <c r="I113" s="5">
        <f t="shared" si="13"/>
        <v>2</v>
      </c>
      <c r="J113" s="5">
        <f t="shared" si="14"/>
        <v>264.23333333333335</v>
      </c>
      <c r="K113" s="5">
        <f>SUMIFS(KASA!$Q:$Q, KASA!$C:$C, $C113, KASA!$B:$B, "MAL SATIŞI") + SUMIFS(KASA!$Q:$Q, KASA!$C:$C, $C113, KASA!$B:$B, "ÜRETİM ÇIKIŞ")</f>
        <v>220</v>
      </c>
      <c r="L113" s="5">
        <f>SUMIFS(KASA!$K:$K, KASA!$C:$C, $C113, KASA!$B:$B, "MAL SATIŞI") + SUMIFS(KASA!$K:$K, KASA!$C:$C, $C113, KASA!$B:$B, "ÜRETİM ÇIKIŞ")</f>
        <v>220</v>
      </c>
      <c r="M113" s="5">
        <f t="shared" si="15"/>
        <v>440</v>
      </c>
      <c r="N113" s="5">
        <f t="shared" si="16"/>
        <v>175.76666666666665</v>
      </c>
      <c r="O113" s="65">
        <f t="shared" si="17"/>
        <v>0.66519490349438615</v>
      </c>
      <c r="P113" s="5">
        <f t="shared" si="18"/>
        <v>220</v>
      </c>
      <c r="Q113" s="5">
        <f t="shared" si="19"/>
        <v>4</v>
      </c>
      <c r="R113" s="5">
        <f t="shared" si="20"/>
        <v>528.4666666666667</v>
      </c>
      <c r="S113" s="5">
        <f t="shared" si="21"/>
        <v>792.7</v>
      </c>
      <c r="T113">
        <v>4</v>
      </c>
      <c r="U113" s="2">
        <f t="shared" si="22"/>
        <v>0</v>
      </c>
      <c r="V113">
        <f>SUMIF(KASA!$C$2:$C$9980, C113, KASA!$T$2:$T$9980)</f>
        <v>4</v>
      </c>
      <c r="W113">
        <f>SUMIF(KASA!$C$2:$C$9980, C113, KASA!$U$2:$U$9980)</f>
        <v>528.4666666666667</v>
      </c>
      <c r="X113" s="2">
        <f t="shared" si="23"/>
        <v>4</v>
      </c>
      <c r="Y113" s="2">
        <f t="shared" si="24"/>
        <v>528.4666666666667</v>
      </c>
      <c r="Z113">
        <f>SUMIF(KASA!$C$2:$C$9980, C113, KASA!$V$2:$V$9980)</f>
        <v>792.7</v>
      </c>
      <c r="AA113">
        <f t="shared" si="25"/>
        <v>264.23333333333335</v>
      </c>
    </row>
    <row r="114" spans="3:27" x14ac:dyDescent="0.25">
      <c r="C114" s="4" t="s">
        <v>723</v>
      </c>
      <c r="D114" s="5">
        <f>SUMIFS(KASA!$I:$I, KASA!$C:$C, $C114, KASA!$B:$B, "MAL ALIMI") + SUMIFS(KASA!$I:$I, KASA!$C:$C, $C114, KASA!$B:$B, "ÜRETİM GİRİŞ")</f>
        <v>5</v>
      </c>
      <c r="E114" s="5" cm="1">
        <f t="array" ref="E114">IFERROR(AVERAGE(IF((KASA!$C$2:$C$9980=$C114)*((KASA!$B$2:$B$9980="MAL ALIMI")+(KASA!$B$2:$B$9980="ÜRETİM GİRİŞ")),KASA!$J$2:$J$9980)),0)</f>
        <v>185.83833333333334</v>
      </c>
      <c r="F114" s="5">
        <f>SUMIFS(KASA!$I:$I, KASA!$C:$C, $C114, KASA!$B:$B, "MAL SATIŞI") + SUMIFS(KASA!$I:$I, KASA!$C:$C, $C114, KASA!$B:$B, "ÜRETİM ÇIKIŞ")</f>
        <v>2</v>
      </c>
      <c r="G114" s="5">
        <f>SUMIFS(KASA!$I:$I, KASA!$C:$C, $C114, KASA!$B:$B, "MAL İADE")</f>
        <v>0</v>
      </c>
      <c r="H114" s="5">
        <f>SUMIFS(KASA!$K:$K, KASA!$C:$C, $C114, KASA!$B:$B, "MAL İADE") + SUMIFS(KASA!$Q:$Q, KASA!$C:$C, $C114, KASA!$B:$B, "MAL İADE")</f>
        <v>0</v>
      </c>
      <c r="I114" s="5">
        <f t="shared" si="13"/>
        <v>2</v>
      </c>
      <c r="J114" s="5">
        <f t="shared" si="14"/>
        <v>371.67666666666668</v>
      </c>
      <c r="K114" s="5">
        <f>SUMIFS(KASA!$Q:$Q, KASA!$C:$C, $C114, KASA!$B:$B, "MAL SATIŞI") + SUMIFS(KASA!$Q:$Q, KASA!$C:$C, $C114, KASA!$B:$B, "ÜRETİM ÇIKIŞ")</f>
        <v>190</v>
      </c>
      <c r="L114" s="5">
        <f>SUMIFS(KASA!$K:$K, KASA!$C:$C, $C114, KASA!$B:$B, "MAL SATIŞI") + SUMIFS(KASA!$K:$K, KASA!$C:$C, $C114, KASA!$B:$B, "ÜRETİM ÇIKIŞ")</f>
        <v>172</v>
      </c>
      <c r="M114" s="5">
        <f t="shared" si="15"/>
        <v>362</v>
      </c>
      <c r="N114" s="5">
        <f t="shared" si="16"/>
        <v>-9.6766666666666765</v>
      </c>
      <c r="O114" s="65">
        <f t="shared" si="17"/>
        <v>-2.6035173941508324E-2</v>
      </c>
      <c r="P114" s="5">
        <f t="shared" si="18"/>
        <v>181</v>
      </c>
      <c r="Q114" s="5">
        <f t="shared" si="19"/>
        <v>3</v>
      </c>
      <c r="R114" s="5">
        <f t="shared" si="20"/>
        <v>557.51499999999999</v>
      </c>
      <c r="S114" s="5">
        <f t="shared" si="21"/>
        <v>929.19166666666672</v>
      </c>
      <c r="T114">
        <v>3</v>
      </c>
      <c r="U114" s="2">
        <f t="shared" si="22"/>
        <v>0</v>
      </c>
      <c r="V114">
        <f>SUMIF(KASA!$C$2:$C$9980, C114, KASA!$T$2:$T$9980)</f>
        <v>3</v>
      </c>
      <c r="W114">
        <f>SUMIF(KASA!$C$2:$C$9980, C114, KASA!$U$2:$U$9980)</f>
        <v>624.91999999999996</v>
      </c>
      <c r="X114" s="2">
        <f t="shared" si="23"/>
        <v>3</v>
      </c>
      <c r="Y114" s="2">
        <f t="shared" si="24"/>
        <v>624.91999999999996</v>
      </c>
      <c r="Z114">
        <f>SUMIF(KASA!$C$2:$C$9980, C114, KASA!$V$2:$V$9980)</f>
        <v>915.56999999999994</v>
      </c>
      <c r="AA114">
        <f t="shared" si="25"/>
        <v>290.64999999999998</v>
      </c>
    </row>
    <row r="115" spans="3:27" x14ac:dyDescent="0.25">
      <c r="C115" s="4" t="s">
        <v>724</v>
      </c>
      <c r="D115" s="5">
        <f>SUMIFS(KASA!$I:$I, KASA!$C:$C, $C115, KASA!$B:$B, "MAL ALIMI") + SUMIFS(KASA!$I:$I, KASA!$C:$C, $C115, KASA!$B:$B, "ÜRETİM GİRİŞ")</f>
        <v>5</v>
      </c>
      <c r="E115" s="5" cm="1">
        <f t="array" ref="E115">IFERROR(AVERAGE(IF((KASA!$C$2:$C$9980=$C115)*((KASA!$B$2:$B$9980="MAL ALIMI")+(KASA!$B$2:$B$9980="ÜRETİM GİRİŞ")),KASA!$J$2:$J$9980)),0)</f>
        <v>197.17666666666665</v>
      </c>
      <c r="F115" s="5">
        <f>SUMIFS(KASA!$I:$I, KASA!$C:$C, $C115, KASA!$B:$B, "MAL SATIŞI") + SUMIFS(KASA!$I:$I, KASA!$C:$C, $C115, KASA!$B:$B, "ÜRETİM ÇIKIŞ")</f>
        <v>3</v>
      </c>
      <c r="G115" s="5">
        <f>SUMIFS(KASA!$I:$I, KASA!$C:$C, $C115, KASA!$B:$B, "MAL İADE")</f>
        <v>0</v>
      </c>
      <c r="H115" s="5">
        <f>SUMIFS(KASA!$K:$K, KASA!$C:$C, $C115, KASA!$B:$B, "MAL İADE") + SUMIFS(KASA!$Q:$Q, KASA!$C:$C, $C115, KASA!$B:$B, "MAL İADE")</f>
        <v>0</v>
      </c>
      <c r="I115" s="5">
        <f t="shared" si="13"/>
        <v>3</v>
      </c>
      <c r="J115" s="5">
        <f t="shared" si="14"/>
        <v>591.53</v>
      </c>
      <c r="K115" s="5">
        <f>SUMIFS(KASA!$Q:$Q, KASA!$C:$C, $C115, KASA!$B:$B, "MAL SATIŞI") + SUMIFS(KASA!$Q:$Q, KASA!$C:$C, $C115, KASA!$B:$B, "ÜRETİM ÇIKIŞ")</f>
        <v>800</v>
      </c>
      <c r="L115" s="5">
        <f>SUMIFS(KASA!$K:$K, KASA!$C:$C, $C115, KASA!$B:$B, "MAL SATIŞI") + SUMIFS(KASA!$K:$K, KASA!$C:$C, $C115, KASA!$B:$B, "ÜRETİM ÇIKIŞ")</f>
        <v>0</v>
      </c>
      <c r="M115" s="5">
        <f t="shared" si="15"/>
        <v>800</v>
      </c>
      <c r="N115" s="5">
        <f t="shared" si="16"/>
        <v>208.47000000000003</v>
      </c>
      <c r="O115" s="65">
        <f t="shared" si="17"/>
        <v>0.3524250671986206</v>
      </c>
      <c r="P115" s="5">
        <f t="shared" si="18"/>
        <v>266.66666666666669</v>
      </c>
      <c r="Q115" s="5">
        <f t="shared" si="19"/>
        <v>2</v>
      </c>
      <c r="R115" s="5">
        <f t="shared" si="20"/>
        <v>394.3533333333333</v>
      </c>
      <c r="S115" s="5">
        <f t="shared" si="21"/>
        <v>985.88333333333321</v>
      </c>
      <c r="T115">
        <v>3</v>
      </c>
      <c r="U115" s="2">
        <f t="shared" si="22"/>
        <v>-1</v>
      </c>
      <c r="V115">
        <f>SUMIF(KASA!$C$2:$C$9980, C115, KASA!$T$2:$T$9980)</f>
        <v>2</v>
      </c>
      <c r="W115">
        <f>SUMIF(KASA!$C$2:$C$9980, C115, KASA!$U$2:$U$9980)</f>
        <v>412.18</v>
      </c>
      <c r="X115" s="2">
        <f t="shared" si="23"/>
        <v>2</v>
      </c>
      <c r="Y115" s="2">
        <f t="shared" si="24"/>
        <v>412.18</v>
      </c>
      <c r="Z115">
        <f>SUMIF(KASA!$C$2:$C$9980, C115, KASA!$V$2:$V$9980)</f>
        <v>983.6</v>
      </c>
      <c r="AA115">
        <f t="shared" si="25"/>
        <v>571.42000000000007</v>
      </c>
    </row>
    <row r="116" spans="3:27" x14ac:dyDescent="0.25">
      <c r="C116" s="4" t="s">
        <v>725</v>
      </c>
      <c r="D116" s="5">
        <f>SUMIFS(KASA!$I:$I, KASA!$C:$C, $C116, KASA!$B:$B, "MAL ALIMI") + SUMIFS(KASA!$I:$I, KASA!$C:$C, $C116, KASA!$B:$B, "ÜRETİM GİRİŞ")</f>
        <v>5</v>
      </c>
      <c r="E116" s="5" cm="1">
        <f t="array" ref="E116">IFERROR(AVERAGE(IF((KASA!$C$2:$C$9980=$C116)*((KASA!$B$2:$B$9980="MAL ALIMI")+(KASA!$B$2:$B$9980="ÜRETİM GİRİŞ")),KASA!$J$2:$J$9980)),0)</f>
        <v>180.89500000000001</v>
      </c>
      <c r="F116" s="5">
        <f>SUMIFS(KASA!$I:$I, KASA!$C:$C, $C116, KASA!$B:$B, "MAL SATIŞI") + SUMIFS(KASA!$I:$I, KASA!$C:$C, $C116, KASA!$B:$B, "ÜRETİM ÇIKIŞ")</f>
        <v>4</v>
      </c>
      <c r="G116" s="5">
        <f>SUMIFS(KASA!$I:$I, KASA!$C:$C, $C116, KASA!$B:$B, "MAL İADE")</f>
        <v>0</v>
      </c>
      <c r="H116" s="5">
        <f>SUMIFS(KASA!$K:$K, KASA!$C:$C, $C116, KASA!$B:$B, "MAL İADE") + SUMIFS(KASA!$Q:$Q, KASA!$C:$C, $C116, KASA!$B:$B, "MAL İADE")</f>
        <v>0</v>
      </c>
      <c r="I116" s="5">
        <f t="shared" si="13"/>
        <v>4</v>
      </c>
      <c r="J116" s="5">
        <f t="shared" si="14"/>
        <v>723.58</v>
      </c>
      <c r="K116" s="5">
        <f>SUMIFS(KASA!$Q:$Q, KASA!$C:$C, $C116, KASA!$B:$B, "MAL SATIŞI") + SUMIFS(KASA!$Q:$Q, KASA!$C:$C, $C116, KASA!$B:$B, "ÜRETİM ÇIKIŞ")</f>
        <v>610</v>
      </c>
      <c r="L116" s="5">
        <f>SUMIFS(KASA!$K:$K, KASA!$C:$C, $C116, KASA!$B:$B, "MAL SATIŞI") + SUMIFS(KASA!$K:$K, KASA!$C:$C, $C116, KASA!$B:$B, "ÜRETİM ÇIKIŞ")</f>
        <v>580</v>
      </c>
      <c r="M116" s="5">
        <f t="shared" si="15"/>
        <v>1190</v>
      </c>
      <c r="N116" s="5">
        <f t="shared" si="16"/>
        <v>466.41999999999996</v>
      </c>
      <c r="O116" s="65">
        <f t="shared" si="17"/>
        <v>0.64460045882970773</v>
      </c>
      <c r="P116" s="5">
        <f t="shared" si="18"/>
        <v>297.5</v>
      </c>
      <c r="Q116" s="5">
        <f t="shared" si="19"/>
        <v>1</v>
      </c>
      <c r="R116" s="5">
        <f t="shared" si="20"/>
        <v>180.89500000000001</v>
      </c>
      <c r="S116" s="5">
        <f t="shared" si="21"/>
        <v>904.47500000000002</v>
      </c>
      <c r="T116">
        <v>3</v>
      </c>
      <c r="U116" s="2">
        <f t="shared" si="22"/>
        <v>-2</v>
      </c>
      <c r="V116">
        <f>SUMIF(KASA!$C$2:$C$9980, C116, KASA!$T$2:$T$9980)</f>
        <v>1</v>
      </c>
      <c r="W116">
        <f>SUMIF(KASA!$C$2:$C$9980, C116, KASA!$U$2:$U$9980)</f>
        <v>199.46</v>
      </c>
      <c r="X116" s="2">
        <f t="shared" si="23"/>
        <v>1</v>
      </c>
      <c r="Y116" s="2">
        <f t="shared" si="24"/>
        <v>199.46</v>
      </c>
      <c r="Z116">
        <f>SUMIF(KASA!$C$2:$C$9980, C116, KASA!$V$2:$V$9980)</f>
        <v>885.91000000000008</v>
      </c>
      <c r="AA116">
        <f t="shared" si="25"/>
        <v>686.45</v>
      </c>
    </row>
    <row r="117" spans="3:27" x14ac:dyDescent="0.25">
      <c r="C117" s="4" t="s">
        <v>726</v>
      </c>
      <c r="D117" s="5">
        <f>SUMIFS(KASA!$I:$I, KASA!$C:$C, $C117, KASA!$B:$B, "MAL ALIMI") + SUMIFS(KASA!$I:$I, KASA!$C:$C, $C117, KASA!$B:$B, "ÜRETİM GİRİŞ")</f>
        <v>5</v>
      </c>
      <c r="E117" s="5" cm="1">
        <f t="array" ref="E117">IFERROR(AVERAGE(IF((KASA!$C$2:$C$9980=$C117)*((KASA!$B$2:$B$9980="MAL ALIMI")+(KASA!$B$2:$B$9980="ÜRETİM GİRİŞ")),KASA!$J$2:$J$9980)),0)</f>
        <v>180.22000000000003</v>
      </c>
      <c r="F117" s="5">
        <f>SUMIFS(KASA!$I:$I, KASA!$C:$C, $C117, KASA!$B:$B, "MAL SATIŞI") + SUMIFS(KASA!$I:$I, KASA!$C:$C, $C117, KASA!$B:$B, "ÜRETİM ÇIKIŞ")</f>
        <v>2</v>
      </c>
      <c r="G117" s="5">
        <f>SUMIFS(KASA!$I:$I, KASA!$C:$C, $C117, KASA!$B:$B, "MAL İADE")</f>
        <v>0</v>
      </c>
      <c r="H117" s="5">
        <f>SUMIFS(KASA!$K:$K, KASA!$C:$C, $C117, KASA!$B:$B, "MAL İADE") + SUMIFS(KASA!$Q:$Q, KASA!$C:$C, $C117, KASA!$B:$B, "MAL İADE")</f>
        <v>0</v>
      </c>
      <c r="I117" s="5">
        <f t="shared" si="13"/>
        <v>2</v>
      </c>
      <c r="J117" s="5">
        <f t="shared" si="14"/>
        <v>360.44000000000005</v>
      </c>
      <c r="K117" s="5">
        <f>SUMIFS(KASA!$Q:$Q, KASA!$C:$C, $C117, KASA!$B:$B, "MAL SATIŞI") + SUMIFS(KASA!$Q:$Q, KASA!$C:$C, $C117, KASA!$B:$B, "ÜRETİM ÇIKIŞ")</f>
        <v>500</v>
      </c>
      <c r="L117" s="5">
        <f>SUMIFS(KASA!$K:$K, KASA!$C:$C, $C117, KASA!$B:$B, "MAL SATIŞI") + SUMIFS(KASA!$K:$K, KASA!$C:$C, $C117, KASA!$B:$B, "ÜRETİM ÇIKIŞ")</f>
        <v>0</v>
      </c>
      <c r="M117" s="5">
        <f t="shared" si="15"/>
        <v>500</v>
      </c>
      <c r="N117" s="5">
        <f t="shared" si="16"/>
        <v>139.55999999999995</v>
      </c>
      <c r="O117" s="65">
        <f t="shared" si="17"/>
        <v>0.38719343025191411</v>
      </c>
      <c r="P117" s="5">
        <f t="shared" si="18"/>
        <v>250</v>
      </c>
      <c r="Q117" s="5">
        <f t="shared" si="19"/>
        <v>3</v>
      </c>
      <c r="R117" s="5">
        <f t="shared" si="20"/>
        <v>540.66000000000008</v>
      </c>
      <c r="S117" s="5">
        <f t="shared" si="21"/>
        <v>901.10000000000014</v>
      </c>
      <c r="T117">
        <v>3</v>
      </c>
      <c r="U117" s="2">
        <f t="shared" si="22"/>
        <v>0</v>
      </c>
      <c r="V117">
        <f>SUMIF(KASA!$C$2:$C$9980, C117, KASA!$T$2:$T$9980)</f>
        <v>3</v>
      </c>
      <c r="W117">
        <f>SUMIF(KASA!$C$2:$C$9980, C117, KASA!$U$2:$U$9980)</f>
        <v>595.26</v>
      </c>
      <c r="X117" s="2">
        <f t="shared" si="23"/>
        <v>3</v>
      </c>
      <c r="Y117" s="2">
        <f t="shared" si="24"/>
        <v>595.26</v>
      </c>
      <c r="Z117">
        <f>SUMIF(KASA!$C$2:$C$9980, C117, KASA!$V$2:$V$9980)</f>
        <v>881.86000000000013</v>
      </c>
      <c r="AA117">
        <f t="shared" si="25"/>
        <v>286.60000000000014</v>
      </c>
    </row>
    <row r="118" spans="3:27" x14ac:dyDescent="0.25">
      <c r="C118" s="4" t="s">
        <v>727</v>
      </c>
      <c r="D118" s="5">
        <f>SUMIFS(KASA!$I:$I, KASA!$C:$C, $C118, KASA!$B:$B, "MAL ALIMI") + SUMIFS(KASA!$I:$I, KASA!$C:$C, $C118, KASA!$B:$B, "ÜRETİM GİRİŞ")</f>
        <v>4</v>
      </c>
      <c r="E118" s="5" cm="1">
        <f t="array" ref="E118">IFERROR(AVERAGE(IF((KASA!$C$2:$C$9980=$C118)*((KASA!$B$2:$B$9980="MAL ALIMI")+(KASA!$B$2:$B$9980="ÜRETİM GİRİŞ")),KASA!$J$2:$J$9980)),0)</f>
        <v>182.06</v>
      </c>
      <c r="F118" s="5">
        <f>SUMIFS(KASA!$I:$I, KASA!$C:$C, $C118, KASA!$B:$B, "MAL SATIŞI") + SUMIFS(KASA!$I:$I, KASA!$C:$C, $C118, KASA!$B:$B, "ÜRETİM ÇIKIŞ")</f>
        <v>3</v>
      </c>
      <c r="G118" s="5">
        <f>SUMIFS(KASA!$I:$I, KASA!$C:$C, $C118, KASA!$B:$B, "MAL İADE")</f>
        <v>0</v>
      </c>
      <c r="H118" s="5">
        <f>SUMIFS(KASA!$K:$K, KASA!$C:$C, $C118, KASA!$B:$B, "MAL İADE") + SUMIFS(KASA!$Q:$Q, KASA!$C:$C, $C118, KASA!$B:$B, "MAL İADE")</f>
        <v>0</v>
      </c>
      <c r="I118" s="5">
        <f t="shared" si="13"/>
        <v>3</v>
      </c>
      <c r="J118" s="5">
        <f t="shared" si="14"/>
        <v>546.18000000000006</v>
      </c>
      <c r="K118" s="5">
        <f>SUMIFS(KASA!$Q:$Q, KASA!$C:$C, $C118, KASA!$B:$B, "MAL SATIŞI") + SUMIFS(KASA!$Q:$Q, KASA!$C:$C, $C118, KASA!$B:$B, "ÜRETİM ÇIKIŞ")</f>
        <v>980</v>
      </c>
      <c r="L118" s="5">
        <f>SUMIFS(KASA!$K:$K, KASA!$C:$C, $C118, KASA!$B:$B, "MAL SATIŞI") + SUMIFS(KASA!$K:$K, KASA!$C:$C, $C118, KASA!$B:$B, "ÜRETİM ÇIKIŞ")</f>
        <v>0</v>
      </c>
      <c r="M118" s="5">
        <f t="shared" si="15"/>
        <v>980</v>
      </c>
      <c r="N118" s="5">
        <f t="shared" si="16"/>
        <v>433.81999999999994</v>
      </c>
      <c r="O118" s="65">
        <f t="shared" si="17"/>
        <v>0.79428027390237632</v>
      </c>
      <c r="P118" s="5">
        <f t="shared" si="18"/>
        <v>326.66666666666669</v>
      </c>
      <c r="Q118" s="5">
        <f t="shared" si="19"/>
        <v>1</v>
      </c>
      <c r="R118" s="5">
        <f t="shared" si="20"/>
        <v>182.06</v>
      </c>
      <c r="S118" s="5">
        <f t="shared" si="21"/>
        <v>728.24</v>
      </c>
      <c r="T118">
        <v>3</v>
      </c>
      <c r="U118" s="2">
        <f t="shared" si="22"/>
        <v>-2</v>
      </c>
      <c r="V118">
        <f>SUMIF(KASA!$C$2:$C$9980, C118, KASA!$T$2:$T$9980)</f>
        <v>1</v>
      </c>
      <c r="W118">
        <f>SUMIF(KASA!$C$2:$C$9980, C118, KASA!$U$2:$U$9980)</f>
        <v>216.13</v>
      </c>
      <c r="X118" s="2">
        <f t="shared" si="23"/>
        <v>1</v>
      </c>
      <c r="Y118" s="2">
        <f t="shared" si="24"/>
        <v>216.13</v>
      </c>
      <c r="Z118">
        <f>SUMIF(KASA!$C$2:$C$9980, C118, KASA!$V$2:$V$9980)</f>
        <v>728.24</v>
      </c>
      <c r="AA118">
        <f t="shared" si="25"/>
        <v>512.11</v>
      </c>
    </row>
    <row r="119" spans="3:27" x14ac:dyDescent="0.25">
      <c r="C119" s="4" t="s">
        <v>748</v>
      </c>
      <c r="D119" s="5">
        <f>SUMIFS(KASA!$I:$I, KASA!$C:$C, $C119, KASA!$B:$B, "MAL ALIMI") + SUMIFS(KASA!$I:$I, KASA!$C:$C, $C119, KASA!$B:$B, "ÜRETİM GİRİŞ")</f>
        <v>7</v>
      </c>
      <c r="E119" s="5" cm="1">
        <f t="array" ref="E119">IFERROR(AVERAGE(IF((KASA!$C$2:$C$9980=$C119)*((KASA!$B$2:$B$9980="MAL ALIMI")+(KASA!$B$2:$B$9980="ÜRETİM GİRİŞ")),KASA!$J$2:$J$9980)),0)</f>
        <v>162.4</v>
      </c>
      <c r="F119" s="5">
        <f>SUMIFS(KASA!$I:$I, KASA!$C:$C, $C119, KASA!$B:$B, "MAL SATIŞI") + SUMIFS(KASA!$I:$I, KASA!$C:$C, $C119, KASA!$B:$B, "ÜRETİM ÇIKIŞ")</f>
        <v>5</v>
      </c>
      <c r="G119" s="5">
        <f>SUMIFS(KASA!$I:$I, KASA!$C:$C, $C119, KASA!$B:$B, "MAL İADE")</f>
        <v>0</v>
      </c>
      <c r="H119" s="5">
        <f>SUMIFS(KASA!$K:$K, KASA!$C:$C, $C119, KASA!$B:$B, "MAL İADE") + SUMIFS(KASA!$Q:$Q, KASA!$C:$C, $C119, KASA!$B:$B, "MAL İADE")</f>
        <v>0</v>
      </c>
      <c r="I119" s="5">
        <f t="shared" si="13"/>
        <v>5</v>
      </c>
      <c r="J119" s="5">
        <f t="shared" si="14"/>
        <v>812</v>
      </c>
      <c r="K119" s="5">
        <f>SUMIFS(KASA!$Q:$Q, KASA!$C:$C, $C119, KASA!$B:$B, "MAL SATIŞI") + SUMIFS(KASA!$Q:$Q, KASA!$C:$C, $C119, KASA!$B:$B, "ÜRETİM ÇIKIŞ")</f>
        <v>660</v>
      </c>
      <c r="L119" s="5">
        <f>SUMIFS(KASA!$K:$K, KASA!$C:$C, $C119, KASA!$B:$B, "MAL SATIŞI") + SUMIFS(KASA!$K:$K, KASA!$C:$C, $C119, KASA!$B:$B, "ÜRETİM ÇIKIŞ")</f>
        <v>460</v>
      </c>
      <c r="M119" s="5">
        <f t="shared" si="15"/>
        <v>1120</v>
      </c>
      <c r="N119" s="5">
        <f t="shared" si="16"/>
        <v>308</v>
      </c>
      <c r="O119" s="65">
        <f t="shared" si="17"/>
        <v>0.37931034482758619</v>
      </c>
      <c r="P119" s="5">
        <f t="shared" si="18"/>
        <v>224</v>
      </c>
      <c r="Q119" s="5">
        <f t="shared" si="19"/>
        <v>2</v>
      </c>
      <c r="R119" s="5">
        <f t="shared" si="20"/>
        <v>324.8</v>
      </c>
      <c r="S119" s="5">
        <f t="shared" si="21"/>
        <v>1136.8</v>
      </c>
      <c r="T119">
        <v>2</v>
      </c>
      <c r="U119" s="2">
        <f t="shared" si="22"/>
        <v>0</v>
      </c>
      <c r="V119">
        <f>SUMIF(KASA!$C$2:$C$9980, C119, KASA!$T$2:$T$9980)</f>
        <v>2</v>
      </c>
      <c r="W119">
        <f>SUMIF(KASA!$C$2:$C$9980, C119, KASA!$U$2:$U$9980)</f>
        <v>339.8</v>
      </c>
      <c r="X119" s="2">
        <f t="shared" si="23"/>
        <v>2</v>
      </c>
      <c r="Y119" s="2">
        <f t="shared" si="24"/>
        <v>339.8</v>
      </c>
      <c r="Z119">
        <f>SUMIF(KASA!$C$2:$C$9980, C119, KASA!$V$2:$V$9980)</f>
        <v>1114.3</v>
      </c>
      <c r="AA119">
        <f t="shared" si="25"/>
        <v>774.5</v>
      </c>
    </row>
    <row r="120" spans="3:27" x14ac:dyDescent="0.25">
      <c r="C120" s="4" t="s">
        <v>749</v>
      </c>
      <c r="D120" s="5">
        <f>SUMIFS(KASA!$I:$I, KASA!$C:$C, $C120, KASA!$B:$B, "MAL ALIMI") + SUMIFS(KASA!$I:$I, KASA!$C:$C, $C120, KASA!$B:$B, "ÜRETİM GİRİŞ")</f>
        <v>13</v>
      </c>
      <c r="E120" s="5" cm="1">
        <f t="array" ref="E120">IFERROR(AVERAGE(IF((KASA!$C$2:$C$9980=$C120)*((KASA!$B$2:$B$9980="MAL ALIMI")+(KASA!$B$2:$B$9980="ÜRETİM GİRİŞ")),KASA!$J$2:$J$9980)),0)</f>
        <v>167.4</v>
      </c>
      <c r="F120" s="5">
        <f>SUMIFS(KASA!$I:$I, KASA!$C:$C, $C120, KASA!$B:$B, "MAL SATIŞI") + SUMIFS(KASA!$I:$I, KASA!$C:$C, $C120, KASA!$B:$B, "ÜRETİM ÇIKIŞ")</f>
        <v>4</v>
      </c>
      <c r="G120" s="5">
        <f>SUMIFS(KASA!$I:$I, KASA!$C:$C, $C120, KASA!$B:$B, "MAL İADE")</f>
        <v>0</v>
      </c>
      <c r="H120" s="5">
        <f>SUMIFS(KASA!$K:$K, KASA!$C:$C, $C120, KASA!$B:$B, "MAL İADE") + SUMIFS(KASA!$Q:$Q, KASA!$C:$C, $C120, KASA!$B:$B, "MAL İADE")</f>
        <v>0</v>
      </c>
      <c r="I120" s="5">
        <f t="shared" si="13"/>
        <v>4</v>
      </c>
      <c r="J120" s="5">
        <f t="shared" si="14"/>
        <v>669.6</v>
      </c>
      <c r="K120" s="5">
        <f>SUMIFS(KASA!$Q:$Q, KASA!$C:$C, $C120, KASA!$B:$B, "MAL SATIŞI") + SUMIFS(KASA!$Q:$Q, KASA!$C:$C, $C120, KASA!$B:$B, "ÜRETİM ÇIKIŞ")</f>
        <v>650</v>
      </c>
      <c r="L120" s="5">
        <f>SUMIFS(KASA!$K:$K, KASA!$C:$C, $C120, KASA!$B:$B, "MAL SATIŞI") + SUMIFS(KASA!$K:$K, KASA!$C:$C, $C120, KASA!$B:$B, "ÜRETİM ÇIKIŞ")</f>
        <v>220</v>
      </c>
      <c r="M120" s="5">
        <f t="shared" si="15"/>
        <v>870</v>
      </c>
      <c r="N120" s="5">
        <f t="shared" si="16"/>
        <v>200.39999999999998</v>
      </c>
      <c r="O120" s="65">
        <f t="shared" si="17"/>
        <v>0.29928315412186374</v>
      </c>
      <c r="P120" s="5">
        <f t="shared" si="18"/>
        <v>217.5</v>
      </c>
      <c r="Q120" s="5">
        <f t="shared" si="19"/>
        <v>9</v>
      </c>
      <c r="R120" s="5">
        <f t="shared" si="20"/>
        <v>1506.6000000000001</v>
      </c>
      <c r="S120" s="5">
        <f t="shared" si="21"/>
        <v>2176.2000000000003</v>
      </c>
      <c r="T120">
        <v>9</v>
      </c>
      <c r="U120" s="2">
        <f t="shared" si="22"/>
        <v>0</v>
      </c>
      <c r="V120">
        <f>SUMIF(KASA!$C$2:$C$9980, C120, KASA!$T$2:$T$9980)</f>
        <v>9</v>
      </c>
      <c r="W120">
        <f>SUMIF(KASA!$C$2:$C$9980, C120, KASA!$U$2:$U$9980)</f>
        <v>1519.1000000000001</v>
      </c>
      <c r="X120" s="2">
        <f t="shared" si="23"/>
        <v>9</v>
      </c>
      <c r="Y120" s="2">
        <f t="shared" si="24"/>
        <v>1519.1000000000001</v>
      </c>
      <c r="Z120">
        <f>SUMIF(KASA!$C$2:$C$9980, C120, KASA!$V$2:$V$9980)</f>
        <v>2158.7000000000003</v>
      </c>
      <c r="AA120">
        <f t="shared" si="25"/>
        <v>639.60000000000014</v>
      </c>
    </row>
    <row r="121" spans="3:27" x14ac:dyDescent="0.25">
      <c r="C121" s="4" t="s">
        <v>750</v>
      </c>
      <c r="D121" s="5">
        <f>SUMIFS(KASA!$I:$I, KASA!$C:$C, $C121, KASA!$B:$B, "MAL ALIMI") + SUMIFS(KASA!$I:$I, KASA!$C:$C, $C121, KASA!$B:$B, "ÜRETİM GİRİŞ")</f>
        <v>20</v>
      </c>
      <c r="E121" s="5" cm="1">
        <f t="array" ref="E121">IFERROR(AVERAGE(IF((KASA!$C$2:$C$9980=$C121)*((KASA!$B$2:$B$9980="MAL ALIMI")+(KASA!$B$2:$B$9980="ÜRETİM GİRİŞ")),KASA!$J$2:$J$9980)),0)</f>
        <v>149.375</v>
      </c>
      <c r="F121" s="5">
        <f>SUMIFS(KASA!$I:$I, KASA!$C:$C, $C121, KASA!$B:$B, "MAL SATIŞI") + SUMIFS(KASA!$I:$I, KASA!$C:$C, $C121, KASA!$B:$B, "ÜRETİM ÇIKIŞ")</f>
        <v>14</v>
      </c>
      <c r="G121" s="5">
        <f>SUMIFS(KASA!$I:$I, KASA!$C:$C, $C121, KASA!$B:$B, "MAL İADE")</f>
        <v>0</v>
      </c>
      <c r="H121" s="5">
        <f>SUMIFS(KASA!$K:$K, KASA!$C:$C, $C121, KASA!$B:$B, "MAL İADE") + SUMIFS(KASA!$Q:$Q, KASA!$C:$C, $C121, KASA!$B:$B, "MAL İADE")</f>
        <v>0</v>
      </c>
      <c r="I121" s="5">
        <f t="shared" si="13"/>
        <v>14</v>
      </c>
      <c r="J121" s="5">
        <f t="shared" si="14"/>
        <v>2091.25</v>
      </c>
      <c r="K121" s="5">
        <f>SUMIFS(KASA!$Q:$Q, KASA!$C:$C, $C121, KASA!$B:$B, "MAL SATIŞI") + SUMIFS(KASA!$Q:$Q, KASA!$C:$C, $C121, KASA!$B:$B, "ÜRETİM ÇIKIŞ")</f>
        <v>1880</v>
      </c>
      <c r="L121" s="5">
        <f>SUMIFS(KASA!$K:$K, KASA!$C:$C, $C121, KASA!$B:$B, "MAL SATIŞI") + SUMIFS(KASA!$K:$K, KASA!$C:$C, $C121, KASA!$B:$B, "ÜRETİM ÇIKIŞ")</f>
        <v>1440</v>
      </c>
      <c r="M121" s="5">
        <f t="shared" si="15"/>
        <v>3320</v>
      </c>
      <c r="N121" s="5">
        <f t="shared" si="16"/>
        <v>1228.75</v>
      </c>
      <c r="O121" s="65">
        <f t="shared" si="17"/>
        <v>0.58756724447101016</v>
      </c>
      <c r="P121" s="5">
        <f t="shared" si="18"/>
        <v>237.14285714285714</v>
      </c>
      <c r="Q121" s="5">
        <f t="shared" si="19"/>
        <v>6</v>
      </c>
      <c r="R121" s="5">
        <f t="shared" si="20"/>
        <v>896.25</v>
      </c>
      <c r="S121" s="5">
        <f t="shared" si="21"/>
        <v>2987.5</v>
      </c>
      <c r="T121">
        <v>12</v>
      </c>
      <c r="U121" s="2">
        <f t="shared" si="22"/>
        <v>-6</v>
      </c>
      <c r="V121">
        <f>SUMIF(KASA!$C$2:$C$9980, C121, KASA!$T$2:$T$9980)</f>
        <v>6</v>
      </c>
      <c r="W121">
        <f>SUMIF(KASA!$C$2:$C$9980, C121, KASA!$U$2:$U$9980)</f>
        <v>937.16000000000008</v>
      </c>
      <c r="X121" s="2">
        <f t="shared" si="23"/>
        <v>6</v>
      </c>
      <c r="Y121" s="2">
        <f t="shared" si="24"/>
        <v>937.16000000000008</v>
      </c>
      <c r="Z121">
        <f>SUMIF(KASA!$C$2:$C$9980, C121, KASA!$V$2:$V$9980)</f>
        <v>2967.6</v>
      </c>
      <c r="AA121">
        <f t="shared" si="25"/>
        <v>2030.4399999999998</v>
      </c>
    </row>
    <row r="122" spans="3:27" x14ac:dyDescent="0.25">
      <c r="C122" s="4" t="s">
        <v>751</v>
      </c>
      <c r="D122" s="5">
        <f>SUMIFS(KASA!$I:$I, KASA!$C:$C, $C122, KASA!$B:$B, "MAL ALIMI") + SUMIFS(KASA!$I:$I, KASA!$C:$C, $C122, KASA!$B:$B, "ÜRETİM GİRİŞ")</f>
        <v>42</v>
      </c>
      <c r="E122" s="5" cm="1">
        <f t="array" ref="E122">IFERROR(AVERAGE(IF((KASA!$C$2:$C$9980=$C122)*((KASA!$B$2:$B$9980="MAL ALIMI")+(KASA!$B$2:$B$9980="ÜRETİM GİRİŞ")),KASA!$J$2:$J$9980)),0)</f>
        <v>156.47800000000001</v>
      </c>
      <c r="F122" s="5">
        <f>SUMIFS(KASA!$I:$I, KASA!$C:$C, $C122, KASA!$B:$B, "MAL SATIŞI") + SUMIFS(KASA!$I:$I, KASA!$C:$C, $C122, KASA!$B:$B, "ÜRETİM ÇIKIŞ")</f>
        <v>25</v>
      </c>
      <c r="G122" s="5">
        <f>SUMIFS(KASA!$I:$I, KASA!$C:$C, $C122, KASA!$B:$B, "MAL İADE")</f>
        <v>0</v>
      </c>
      <c r="H122" s="5">
        <f>SUMIFS(KASA!$K:$K, KASA!$C:$C, $C122, KASA!$B:$B, "MAL İADE") + SUMIFS(KASA!$Q:$Q, KASA!$C:$C, $C122, KASA!$B:$B, "MAL İADE")</f>
        <v>0</v>
      </c>
      <c r="I122" s="5">
        <f t="shared" si="13"/>
        <v>25</v>
      </c>
      <c r="J122" s="5">
        <f t="shared" si="14"/>
        <v>3911.9500000000003</v>
      </c>
      <c r="K122" s="5">
        <f>SUMIFS(KASA!$Q:$Q, KASA!$C:$C, $C122, KASA!$B:$B, "MAL SATIŞI") + SUMIFS(KASA!$Q:$Q, KASA!$C:$C, $C122, KASA!$B:$B, "ÜRETİM ÇIKIŞ")</f>
        <v>3460</v>
      </c>
      <c r="L122" s="5">
        <f>SUMIFS(KASA!$K:$K, KASA!$C:$C, $C122, KASA!$B:$B, "MAL SATIŞI") + SUMIFS(KASA!$K:$K, KASA!$C:$C, $C122, KASA!$B:$B, "ÜRETİM ÇIKIŞ")</f>
        <v>2365</v>
      </c>
      <c r="M122" s="5">
        <f t="shared" si="15"/>
        <v>5825</v>
      </c>
      <c r="N122" s="5">
        <f t="shared" si="16"/>
        <v>1913.0499999999997</v>
      </c>
      <c r="O122" s="65">
        <f t="shared" si="17"/>
        <v>0.48902721149298933</v>
      </c>
      <c r="P122" s="5">
        <f t="shared" si="18"/>
        <v>233</v>
      </c>
      <c r="Q122" s="5">
        <f t="shared" si="19"/>
        <v>17</v>
      </c>
      <c r="R122" s="5">
        <f t="shared" si="20"/>
        <v>2660.1260000000002</v>
      </c>
      <c r="S122" s="5">
        <f t="shared" si="21"/>
        <v>6572.076</v>
      </c>
      <c r="T122">
        <v>24</v>
      </c>
      <c r="U122" s="2">
        <f t="shared" si="22"/>
        <v>-7</v>
      </c>
      <c r="V122">
        <f>SUMIF(KASA!$C$2:$C$9980, C122, KASA!$T$2:$T$9980)</f>
        <v>17</v>
      </c>
      <c r="W122">
        <f>SUMIF(KASA!$C$2:$C$9980, C122, KASA!$U$2:$U$9980)</f>
        <v>2708.3</v>
      </c>
      <c r="X122" s="2">
        <f t="shared" si="23"/>
        <v>17</v>
      </c>
      <c r="Y122" s="2">
        <f t="shared" si="24"/>
        <v>2708.3</v>
      </c>
      <c r="Z122">
        <f>SUMIF(KASA!$C$2:$C$9980, C122, KASA!$V$2:$V$9980)</f>
        <v>6597.52</v>
      </c>
      <c r="AA122">
        <f t="shared" si="25"/>
        <v>3889.2200000000003</v>
      </c>
    </row>
    <row r="123" spans="3:27" x14ac:dyDescent="0.25">
      <c r="C123" s="4" t="s">
        <v>711</v>
      </c>
      <c r="D123" s="5">
        <f>SUMIFS(KASA!$I:$I, KASA!$C:$C, $C123, KASA!$B:$B, "MAL ALIMI") + SUMIFS(KASA!$I:$I, KASA!$C:$C, $C123, KASA!$B:$B, "ÜRETİM GİRİŞ")</f>
        <v>6</v>
      </c>
      <c r="E123" s="5" cm="1">
        <f t="array" ref="E123">IFERROR(AVERAGE(IF((KASA!$C$2:$C$9980=$C123)*((KASA!$B$2:$B$9980="MAL ALIMI")+(KASA!$B$2:$B$9980="ÜRETİM GİRİŞ")),KASA!$J$2:$J$9980)),0)</f>
        <v>112.87</v>
      </c>
      <c r="F123" s="5">
        <f>SUMIFS(KASA!$I:$I, KASA!$C:$C, $C123, KASA!$B:$B, "MAL SATIŞI") + SUMIFS(KASA!$I:$I, KASA!$C:$C, $C123, KASA!$B:$B, "ÜRETİM ÇIKIŞ")</f>
        <v>6</v>
      </c>
      <c r="G123" s="5">
        <f>SUMIFS(KASA!$I:$I, KASA!$C:$C, $C123, KASA!$B:$B, "MAL İADE")</f>
        <v>0</v>
      </c>
      <c r="H123" s="5">
        <f>SUMIFS(KASA!$K:$K, KASA!$C:$C, $C123, KASA!$B:$B, "MAL İADE") + SUMIFS(KASA!$Q:$Q, KASA!$C:$C, $C123, KASA!$B:$B, "MAL İADE")</f>
        <v>0</v>
      </c>
      <c r="I123" s="5">
        <f t="shared" si="13"/>
        <v>6</v>
      </c>
      <c r="J123" s="5">
        <f t="shared" si="14"/>
        <v>677.22</v>
      </c>
      <c r="K123" s="5">
        <f>SUMIFS(KASA!$Q:$Q, KASA!$C:$C, $C123, KASA!$B:$B, "MAL SATIŞI") + SUMIFS(KASA!$Q:$Q, KASA!$C:$C, $C123, KASA!$B:$B, "ÜRETİM ÇIKIŞ")</f>
        <v>710</v>
      </c>
      <c r="L123" s="5">
        <f>SUMIFS(KASA!$K:$K, KASA!$C:$C, $C123, KASA!$B:$B, "MAL SATIŞI") + SUMIFS(KASA!$K:$K, KASA!$C:$C, $C123, KASA!$B:$B, "ÜRETİM ÇIKIŞ")</f>
        <v>340</v>
      </c>
      <c r="M123" s="5">
        <f t="shared" si="15"/>
        <v>1050</v>
      </c>
      <c r="N123" s="5">
        <f t="shared" si="16"/>
        <v>372.78</v>
      </c>
      <c r="O123" s="65">
        <f t="shared" si="17"/>
        <v>0.55045627713298484</v>
      </c>
      <c r="P123" s="5">
        <f t="shared" si="18"/>
        <v>175</v>
      </c>
      <c r="Q123" s="5">
        <f t="shared" si="19"/>
        <v>0</v>
      </c>
      <c r="R123" s="5">
        <f t="shared" si="20"/>
        <v>0</v>
      </c>
      <c r="S123" s="5">
        <f t="shared" si="21"/>
        <v>677.22</v>
      </c>
      <c r="T123">
        <v>3</v>
      </c>
      <c r="U123" s="2">
        <f t="shared" si="22"/>
        <v>-3</v>
      </c>
      <c r="V123">
        <f>SUMIF(KASA!$C$2:$C$9980, C123, KASA!$T$2:$T$9980)</f>
        <v>0</v>
      </c>
      <c r="W123">
        <f>SUMIF(KASA!$C$2:$C$9980, C123, KASA!$U$2:$U$9980)</f>
        <v>0</v>
      </c>
      <c r="X123" s="2">
        <f t="shared" si="23"/>
        <v>0</v>
      </c>
      <c r="Y123" s="2">
        <f t="shared" si="24"/>
        <v>0</v>
      </c>
      <c r="Z123">
        <f>SUMIF(KASA!$C$2:$C$9980, C123, KASA!$V$2:$V$9980)</f>
        <v>677.22</v>
      </c>
      <c r="AA123">
        <f t="shared" si="25"/>
        <v>677.22</v>
      </c>
    </row>
    <row r="124" spans="3:27" x14ac:dyDescent="0.25">
      <c r="C124" s="4" t="s">
        <v>712</v>
      </c>
      <c r="D124" s="5">
        <f>SUMIFS(KASA!$I:$I, KASA!$C:$C, $C124, KASA!$B:$B, "MAL ALIMI") + SUMIFS(KASA!$I:$I, KASA!$C:$C, $C124, KASA!$B:$B, "ÜRETİM GİRİŞ")</f>
        <v>5</v>
      </c>
      <c r="E124" s="5" cm="1">
        <f t="array" ref="E124">IFERROR(AVERAGE(IF((KASA!$C$2:$C$9980=$C124)*((KASA!$B$2:$B$9980="MAL ALIMI")+(KASA!$B$2:$B$9980="ÜRETİM GİRİŞ")),KASA!$J$2:$J$9980)),0)</f>
        <v>180.11</v>
      </c>
      <c r="F124" s="5">
        <f>SUMIFS(KASA!$I:$I, KASA!$C:$C, $C124, KASA!$B:$B, "MAL SATIŞI") + SUMIFS(KASA!$I:$I, KASA!$C:$C, $C124, KASA!$B:$B, "ÜRETİM ÇIKIŞ")</f>
        <v>1</v>
      </c>
      <c r="G124" s="5">
        <f>SUMIFS(KASA!$I:$I, KASA!$C:$C, $C124, KASA!$B:$B, "MAL İADE")</f>
        <v>0</v>
      </c>
      <c r="H124" s="5">
        <f>SUMIFS(KASA!$K:$K, KASA!$C:$C, $C124, KASA!$B:$B, "MAL İADE") + SUMIFS(KASA!$Q:$Q, KASA!$C:$C, $C124, KASA!$B:$B, "MAL İADE")</f>
        <v>0</v>
      </c>
      <c r="I124" s="5">
        <f t="shared" si="13"/>
        <v>1</v>
      </c>
      <c r="J124" s="5">
        <f t="shared" si="14"/>
        <v>180.11</v>
      </c>
      <c r="K124" s="5">
        <f>SUMIFS(KASA!$Q:$Q, KASA!$C:$C, $C124, KASA!$B:$B, "MAL SATIŞI") + SUMIFS(KASA!$Q:$Q, KASA!$C:$C, $C124, KASA!$B:$B, "ÜRETİM ÇIKIŞ")</f>
        <v>280</v>
      </c>
      <c r="L124" s="5">
        <f>SUMIFS(KASA!$K:$K, KASA!$C:$C, $C124, KASA!$B:$B, "MAL SATIŞI") + SUMIFS(KASA!$K:$K, KASA!$C:$C, $C124, KASA!$B:$B, "ÜRETİM ÇIKIŞ")</f>
        <v>0</v>
      </c>
      <c r="M124" s="5">
        <f t="shared" si="15"/>
        <v>280</v>
      </c>
      <c r="N124" s="5">
        <f t="shared" si="16"/>
        <v>99.889999999999986</v>
      </c>
      <c r="O124" s="65">
        <f t="shared" si="17"/>
        <v>0.55460551884959175</v>
      </c>
      <c r="P124" s="5">
        <f t="shared" si="18"/>
        <v>280</v>
      </c>
      <c r="Q124" s="5">
        <f t="shared" si="19"/>
        <v>4</v>
      </c>
      <c r="R124" s="5">
        <f t="shared" si="20"/>
        <v>720.44</v>
      </c>
      <c r="S124" s="5">
        <f t="shared" si="21"/>
        <v>900.55000000000007</v>
      </c>
      <c r="T124">
        <v>4</v>
      </c>
      <c r="U124" s="2">
        <f t="shared" si="22"/>
        <v>0</v>
      </c>
      <c r="V124">
        <f>SUMIF(KASA!$C$2:$C$9980, C124, KASA!$T$2:$T$9980)</f>
        <v>4</v>
      </c>
      <c r="W124">
        <f>SUMIF(KASA!$C$2:$C$9980, C124, KASA!$U$2:$U$9980)</f>
        <v>720.44</v>
      </c>
      <c r="X124" s="2">
        <f t="shared" si="23"/>
        <v>4</v>
      </c>
      <c r="Y124" s="2">
        <f t="shared" si="24"/>
        <v>720.44</v>
      </c>
      <c r="Z124">
        <f>SUMIF(KASA!$C$2:$C$9980, C124, KASA!$V$2:$V$9980)</f>
        <v>900.55000000000007</v>
      </c>
      <c r="AA124">
        <f t="shared" si="25"/>
        <v>180.11</v>
      </c>
    </row>
    <row r="125" spans="3:27" x14ac:dyDescent="0.25">
      <c r="C125" s="4" t="s">
        <v>755</v>
      </c>
      <c r="D125" s="5">
        <f>SUMIFS(KASA!$I:$I, KASA!$C:$C, $C125, KASA!$B:$B, "MAL ALIMI") + SUMIFS(KASA!$I:$I, KASA!$C:$C, $C125, KASA!$B:$B, "ÜRETİM GİRİŞ")</f>
        <v>4</v>
      </c>
      <c r="E125" s="5" cm="1">
        <f t="array" ref="E125">IFERROR(AVERAGE(IF((KASA!$C$2:$C$9980=$C125)*((KASA!$B$2:$B$9980="MAL ALIMI")+(KASA!$B$2:$B$9980="ÜRETİM GİRİŞ")),KASA!$J$2:$J$9980)),0)</f>
        <v>156.61000000000001</v>
      </c>
      <c r="F125" s="5">
        <f>SUMIFS(KASA!$I:$I, KASA!$C:$C, $C125, KASA!$B:$B, "MAL SATIŞI") + SUMIFS(KASA!$I:$I, KASA!$C:$C, $C125, KASA!$B:$B, "ÜRETİM ÇIKIŞ")</f>
        <v>3</v>
      </c>
      <c r="G125" s="5">
        <f>SUMIFS(KASA!$I:$I, KASA!$C:$C, $C125, KASA!$B:$B, "MAL İADE")</f>
        <v>0</v>
      </c>
      <c r="H125" s="5">
        <f>SUMIFS(KASA!$K:$K, KASA!$C:$C, $C125, KASA!$B:$B, "MAL İADE") + SUMIFS(KASA!$Q:$Q, KASA!$C:$C, $C125, KASA!$B:$B, "MAL İADE")</f>
        <v>0</v>
      </c>
      <c r="I125" s="5">
        <f t="shared" si="13"/>
        <v>3</v>
      </c>
      <c r="J125" s="5">
        <f t="shared" si="14"/>
        <v>469.83000000000004</v>
      </c>
      <c r="K125" s="5">
        <f>SUMIFS(KASA!$Q:$Q, KASA!$C:$C, $C125, KASA!$B:$B, "MAL SATIŞI") + SUMIFS(KASA!$Q:$Q, KASA!$C:$C, $C125, KASA!$B:$B, "ÜRETİM ÇIKIŞ")</f>
        <v>260</v>
      </c>
      <c r="L125" s="5">
        <f>SUMIFS(KASA!$K:$K, KASA!$C:$C, $C125, KASA!$B:$B, "MAL SATIŞI") + SUMIFS(KASA!$K:$K, KASA!$C:$C, $C125, KASA!$B:$B, "ÜRETİM ÇIKIŞ")</f>
        <v>480</v>
      </c>
      <c r="M125" s="5">
        <f t="shared" si="15"/>
        <v>740</v>
      </c>
      <c r="N125" s="5">
        <f t="shared" si="16"/>
        <v>270.16999999999996</v>
      </c>
      <c r="O125" s="65">
        <f t="shared" si="17"/>
        <v>0.57503777962241653</v>
      </c>
      <c r="P125" s="5">
        <f t="shared" si="18"/>
        <v>246.66666666666666</v>
      </c>
      <c r="Q125" s="5">
        <f t="shared" si="19"/>
        <v>1</v>
      </c>
      <c r="R125" s="5">
        <f t="shared" si="20"/>
        <v>156.61000000000001</v>
      </c>
      <c r="S125" s="5">
        <f t="shared" si="21"/>
        <v>626.44000000000005</v>
      </c>
      <c r="T125">
        <v>2</v>
      </c>
      <c r="U125" s="2">
        <f t="shared" si="22"/>
        <v>-1</v>
      </c>
      <c r="V125">
        <f>SUMIF(KASA!$C$2:$C$9980, C125, KASA!$T$2:$T$9980)</f>
        <v>1</v>
      </c>
      <c r="W125">
        <f>SUMIF(KASA!$C$2:$C$9980, C125, KASA!$U$2:$U$9980)</f>
        <v>156.61000000000001</v>
      </c>
      <c r="X125" s="2">
        <f t="shared" si="23"/>
        <v>1</v>
      </c>
      <c r="Y125" s="2">
        <f t="shared" si="24"/>
        <v>156.61000000000001</v>
      </c>
      <c r="Z125">
        <f>SUMIF(KASA!$C$2:$C$9980, C125, KASA!$V$2:$V$9980)</f>
        <v>626.44000000000005</v>
      </c>
      <c r="AA125">
        <f t="shared" si="25"/>
        <v>469.83000000000004</v>
      </c>
    </row>
    <row r="126" spans="3:27" x14ac:dyDescent="0.25">
      <c r="C126" s="4" t="s">
        <v>756</v>
      </c>
      <c r="D126" s="5">
        <f>SUMIFS(KASA!$I:$I, KASA!$C:$C, $C126, KASA!$B:$B, "MAL ALIMI") + SUMIFS(KASA!$I:$I, KASA!$C:$C, $C126, KASA!$B:$B, "ÜRETİM GİRİŞ")</f>
        <v>5</v>
      </c>
      <c r="E126" s="5" cm="1">
        <f t="array" ref="E126">IFERROR(AVERAGE(IF((KASA!$C$2:$C$9980=$C126)*((KASA!$B$2:$B$9980="MAL ALIMI")+(KASA!$B$2:$B$9980="ÜRETİM GİRİŞ")),KASA!$J$2:$J$9980)),0)</f>
        <v>156.61000000000001</v>
      </c>
      <c r="F126" s="5">
        <f>SUMIFS(KASA!$I:$I, KASA!$C:$C, $C126, KASA!$B:$B, "MAL SATIŞI") + SUMIFS(KASA!$I:$I, KASA!$C:$C, $C126, KASA!$B:$B, "ÜRETİM ÇIKIŞ")</f>
        <v>0</v>
      </c>
      <c r="G126" s="5">
        <f>SUMIFS(KASA!$I:$I, KASA!$C:$C, $C126, KASA!$B:$B, "MAL İADE")</f>
        <v>0</v>
      </c>
      <c r="H126" s="5">
        <f>SUMIFS(KASA!$K:$K, KASA!$C:$C, $C126, KASA!$B:$B, "MAL İADE") + SUMIFS(KASA!$Q:$Q, KASA!$C:$C, $C126, KASA!$B:$B, "MAL İADE")</f>
        <v>0</v>
      </c>
      <c r="I126" s="5">
        <f t="shared" si="13"/>
        <v>0</v>
      </c>
      <c r="J126" s="5">
        <f t="shared" si="14"/>
        <v>0</v>
      </c>
      <c r="K126" s="5">
        <f>SUMIFS(KASA!$Q:$Q, KASA!$C:$C, $C126, KASA!$B:$B, "MAL SATIŞI") + SUMIFS(KASA!$Q:$Q, KASA!$C:$C, $C126, KASA!$B:$B, "ÜRETİM ÇIKIŞ")</f>
        <v>0</v>
      </c>
      <c r="L126" s="5">
        <f>SUMIFS(KASA!$K:$K, KASA!$C:$C, $C126, KASA!$B:$B, "MAL SATIŞI") + SUMIFS(KASA!$K:$K, KASA!$C:$C, $C126, KASA!$B:$B, "ÜRETİM ÇIKIŞ")</f>
        <v>0</v>
      </c>
      <c r="M126" s="5">
        <f t="shared" si="15"/>
        <v>0</v>
      </c>
      <c r="N126" s="5">
        <f t="shared" si="16"/>
        <v>0</v>
      </c>
      <c r="O126" s="65">
        <f t="shared" si="17"/>
        <v>0</v>
      </c>
      <c r="P126" s="5" t="e">
        <f t="shared" si="18"/>
        <v>#DIV/0!</v>
      </c>
      <c r="Q126" s="5">
        <f t="shared" si="19"/>
        <v>5</v>
      </c>
      <c r="R126" s="5">
        <f t="shared" si="20"/>
        <v>783.05000000000007</v>
      </c>
      <c r="S126" s="5">
        <f t="shared" si="21"/>
        <v>783.05000000000007</v>
      </c>
      <c r="T126">
        <v>5</v>
      </c>
      <c r="U126" s="2">
        <f t="shared" si="22"/>
        <v>0</v>
      </c>
      <c r="V126">
        <f>SUMIF(KASA!$C$2:$C$9980, C126, KASA!$T$2:$T$9980)</f>
        <v>5</v>
      </c>
      <c r="W126">
        <f>SUMIF(KASA!$C$2:$C$9980, C126, KASA!$U$2:$U$9980)</f>
        <v>783.05000000000007</v>
      </c>
      <c r="X126" s="2">
        <f t="shared" si="23"/>
        <v>5</v>
      </c>
      <c r="Y126" s="2">
        <f t="shared" si="24"/>
        <v>783.05000000000007</v>
      </c>
      <c r="Z126">
        <f>SUMIF(KASA!$C$2:$C$9980, C126, KASA!$V$2:$V$9980)</f>
        <v>783.05000000000007</v>
      </c>
      <c r="AA126">
        <f t="shared" si="25"/>
        <v>0</v>
      </c>
    </row>
    <row r="127" spans="3:27" x14ac:dyDescent="0.25">
      <c r="C127" s="4" t="s">
        <v>796</v>
      </c>
      <c r="D127" s="5">
        <f>SUMIFS(KASA!$I:$I, KASA!$C:$C, $C127, KASA!$B:$B, "MAL ALIMI") + SUMIFS(KASA!$I:$I, KASA!$C:$C, $C127, KASA!$B:$B, "ÜRETİM GİRİŞ")</f>
        <v>12</v>
      </c>
      <c r="E127" s="5" cm="1">
        <f t="array" ref="E127">IFERROR(AVERAGE(IF((KASA!$C$2:$C$9980=$C127)*((KASA!$B$2:$B$9980="MAL ALIMI")+(KASA!$B$2:$B$9980="ÜRETİM GİRİŞ")),KASA!$J$2:$J$9980)),0)</f>
        <v>161.71</v>
      </c>
      <c r="F127" s="5">
        <f>SUMIFS(KASA!$I:$I, KASA!$C:$C, $C127, KASA!$B:$B, "MAL SATIŞI") + SUMIFS(KASA!$I:$I, KASA!$C:$C, $C127, KASA!$B:$B, "ÜRETİM ÇIKIŞ")</f>
        <v>7</v>
      </c>
      <c r="G127" s="5">
        <f>SUMIFS(KASA!$I:$I, KASA!$C:$C, $C127, KASA!$B:$B, "MAL İADE")</f>
        <v>0</v>
      </c>
      <c r="H127" s="5">
        <f>SUMIFS(KASA!$K:$K, KASA!$C:$C, $C127, KASA!$B:$B, "MAL İADE") + SUMIFS(KASA!$Q:$Q, KASA!$C:$C, $C127, KASA!$B:$B, "MAL İADE")</f>
        <v>0</v>
      </c>
      <c r="I127" s="5">
        <f t="shared" si="13"/>
        <v>7</v>
      </c>
      <c r="J127" s="5">
        <f t="shared" si="14"/>
        <v>1131.97</v>
      </c>
      <c r="K127" s="5">
        <f>SUMIFS(KASA!$Q:$Q, KASA!$C:$C, $C127, KASA!$B:$B, "MAL SATIŞI") + SUMIFS(KASA!$Q:$Q, KASA!$C:$C, $C127, KASA!$B:$B, "ÜRETİM ÇIKIŞ")</f>
        <v>760</v>
      </c>
      <c r="L127" s="5">
        <f>SUMIFS(KASA!$K:$K, KASA!$C:$C, $C127, KASA!$B:$B, "MAL SATIŞI") + SUMIFS(KASA!$K:$K, KASA!$C:$C, $C127, KASA!$B:$B, "ÜRETİM ÇIKIŞ")</f>
        <v>980</v>
      </c>
      <c r="M127" s="5">
        <f t="shared" si="15"/>
        <v>1740</v>
      </c>
      <c r="N127" s="5">
        <f t="shared" si="16"/>
        <v>608.03</v>
      </c>
      <c r="O127" s="65">
        <f t="shared" si="17"/>
        <v>0.5371432105091124</v>
      </c>
      <c r="P127" s="5">
        <f t="shared" si="18"/>
        <v>248.57142857142858</v>
      </c>
      <c r="Q127" s="5">
        <f t="shared" si="19"/>
        <v>5</v>
      </c>
      <c r="R127" s="5">
        <f t="shared" si="20"/>
        <v>808.55000000000007</v>
      </c>
      <c r="S127" s="5">
        <f t="shared" si="21"/>
        <v>1940.52</v>
      </c>
      <c r="T127">
        <v>7</v>
      </c>
      <c r="U127" s="2">
        <f t="shared" si="22"/>
        <v>-2</v>
      </c>
      <c r="V127">
        <f>SUMIF(KASA!$C$2:$C$9980, C127, KASA!$T$2:$T$9980)</f>
        <v>5</v>
      </c>
      <c r="W127">
        <f>SUMIF(KASA!$C$2:$C$9980, C127, KASA!$U$2:$U$9980)</f>
        <v>849.5</v>
      </c>
      <c r="X127" s="2">
        <f t="shared" si="23"/>
        <v>5</v>
      </c>
      <c r="Y127" s="2">
        <f t="shared" si="24"/>
        <v>849.5</v>
      </c>
      <c r="Z127">
        <f>SUMIF(KASA!$C$2:$C$9980, C127, KASA!$V$2:$V$9980)</f>
        <v>1891.3799999999999</v>
      </c>
      <c r="AA127">
        <f t="shared" si="25"/>
        <v>1041.8799999999999</v>
      </c>
    </row>
    <row r="128" spans="3:27" x14ac:dyDescent="0.25">
      <c r="C128" s="4" t="s">
        <v>911</v>
      </c>
      <c r="D128" s="5">
        <f>SUMIFS(KASA!$I:$I, KASA!$C:$C, $C128, KASA!$B:$B, "MAL ALIMI") + SUMIFS(KASA!$I:$I, KASA!$C:$C, $C128, KASA!$B:$B, "ÜRETİM GİRİŞ")</f>
        <v>20</v>
      </c>
      <c r="E128" s="5" cm="1">
        <f t="array" ref="E128">IFERROR(AVERAGE(IF((KASA!$C$2:$C$9980=$C128)*((KASA!$B$2:$B$9980="MAL ALIMI")+(KASA!$B$2:$B$9980="ÜRETİM GİRİŞ")),KASA!$J$2:$J$9980)),0)</f>
        <v>68.500833333333333</v>
      </c>
      <c r="F128" s="5">
        <f>SUMIFS(KASA!$I:$I, KASA!$C:$C, $C128, KASA!$B:$B, "MAL SATIŞI") + SUMIFS(KASA!$I:$I, KASA!$C:$C, $C128, KASA!$B:$B, "ÜRETİM ÇIKIŞ")</f>
        <v>16</v>
      </c>
      <c r="G128" s="5">
        <f>SUMIFS(KASA!$I:$I, KASA!$C:$C, $C128, KASA!$B:$B, "MAL İADE")</f>
        <v>0</v>
      </c>
      <c r="H128" s="5">
        <f>SUMIFS(KASA!$K:$K, KASA!$C:$C, $C128, KASA!$B:$B, "MAL İADE") + SUMIFS(KASA!$Q:$Q, KASA!$C:$C, $C128, KASA!$B:$B, "MAL İADE")</f>
        <v>0</v>
      </c>
      <c r="I128" s="5">
        <f t="shared" si="13"/>
        <v>16</v>
      </c>
      <c r="J128" s="5">
        <f t="shared" si="14"/>
        <v>1096.0133333333333</v>
      </c>
      <c r="K128" s="5">
        <f>SUMIFS(KASA!$Q:$Q, KASA!$C:$C, $C128, KASA!$B:$B, "MAL SATIŞI") + SUMIFS(KASA!$Q:$Q, KASA!$C:$C, $C128, KASA!$B:$B, "ÜRETİM ÇIKIŞ")</f>
        <v>1800</v>
      </c>
      <c r="L128" s="5">
        <f>SUMIFS(KASA!$K:$K, KASA!$C:$C, $C128, KASA!$B:$B, "MAL SATIŞI") + SUMIFS(KASA!$K:$K, KASA!$C:$C, $C128, KASA!$B:$B, "ÜRETİM ÇIKIŞ")</f>
        <v>410</v>
      </c>
      <c r="M128" s="5">
        <f t="shared" si="15"/>
        <v>2210</v>
      </c>
      <c r="N128" s="5">
        <f t="shared" si="16"/>
        <v>1113.9866666666667</v>
      </c>
      <c r="O128" s="65">
        <f t="shared" si="17"/>
        <v>1.0163988272648752</v>
      </c>
      <c r="P128" s="5">
        <f t="shared" si="18"/>
        <v>138.125</v>
      </c>
      <c r="Q128" s="5">
        <f t="shared" si="19"/>
        <v>4</v>
      </c>
      <c r="R128" s="5">
        <f t="shared" si="20"/>
        <v>274.00333333333333</v>
      </c>
      <c r="S128" s="5">
        <f t="shared" si="21"/>
        <v>1370.0166666666667</v>
      </c>
      <c r="T128">
        <v>8</v>
      </c>
      <c r="U128" s="2">
        <f t="shared" si="22"/>
        <v>-4</v>
      </c>
      <c r="V128">
        <f>SUMIF(KASA!$C$2:$C$9980, C128, KASA!$T$2:$T$9980)</f>
        <v>4</v>
      </c>
      <c r="W128">
        <f>SUMIF(KASA!$C$2:$C$9980, C128, KASA!$U$2:$U$9980)</f>
        <v>258.80666666666667</v>
      </c>
      <c r="X128" s="2">
        <f t="shared" si="23"/>
        <v>4</v>
      </c>
      <c r="Y128" s="2">
        <f t="shared" si="24"/>
        <v>258.80666666666667</v>
      </c>
      <c r="Z128">
        <f>SUMIF(KASA!$C$2:$C$9980, C128, KASA!$V$2:$V$9980)</f>
        <v>1354.8200000000002</v>
      </c>
      <c r="AA128">
        <f t="shared" si="25"/>
        <v>1096.0133333333335</v>
      </c>
    </row>
    <row r="129" spans="3:27" x14ac:dyDescent="0.25">
      <c r="C129" s="4" t="s">
        <v>1120</v>
      </c>
      <c r="D129" s="5">
        <f>SUMIFS(KASA!$I:$I, KASA!$C:$C, $C129, KASA!$B:$B, "MAL ALIMI") + SUMIFS(KASA!$I:$I, KASA!$C:$C, $C129, KASA!$B:$B, "ÜRETİM GİRİŞ")</f>
        <v>8</v>
      </c>
      <c r="E129" s="5" cm="1">
        <f t="array" ref="E129">IFERROR(AVERAGE(IF((KASA!$C$2:$C$9980=$C129)*((KASA!$B$2:$B$9980="MAL ALIMI")+(KASA!$B$2:$B$9980="ÜRETİM GİRİŞ")),KASA!$J$2:$J$9980)),0)</f>
        <v>102.52500000000001</v>
      </c>
      <c r="F129" s="5">
        <f>SUMIFS(KASA!$I:$I, KASA!$C:$C, $C129, KASA!$B:$B, "MAL SATIŞI") + SUMIFS(KASA!$I:$I, KASA!$C:$C, $C129, KASA!$B:$B, "ÜRETİM ÇIKIŞ")</f>
        <v>2</v>
      </c>
      <c r="G129" s="5">
        <f>SUMIFS(KASA!$I:$I, KASA!$C:$C, $C129, KASA!$B:$B, "MAL İADE")</f>
        <v>0</v>
      </c>
      <c r="H129" s="5">
        <f>SUMIFS(KASA!$K:$K, KASA!$C:$C, $C129, KASA!$B:$B, "MAL İADE") + SUMIFS(KASA!$Q:$Q, KASA!$C:$C, $C129, KASA!$B:$B, "MAL İADE")</f>
        <v>0</v>
      </c>
      <c r="I129" s="5">
        <f t="shared" si="13"/>
        <v>2</v>
      </c>
      <c r="J129" s="5">
        <f t="shared" si="14"/>
        <v>205.05</v>
      </c>
      <c r="K129" s="5">
        <f>SUMIFS(KASA!$Q:$Q, KASA!$C:$C, $C129, KASA!$B:$B, "MAL SATIŞI") + SUMIFS(KASA!$Q:$Q, KASA!$C:$C, $C129, KASA!$B:$B, "ÜRETİM ÇIKIŞ")</f>
        <v>205</v>
      </c>
      <c r="L129" s="5">
        <f>SUMIFS(KASA!$K:$K, KASA!$C:$C, $C129, KASA!$B:$B, "MAL SATIŞI") + SUMIFS(KASA!$K:$K, KASA!$C:$C, $C129, KASA!$B:$B, "ÜRETİM ÇIKIŞ")</f>
        <v>205</v>
      </c>
      <c r="M129" s="5">
        <f t="shared" si="15"/>
        <v>410</v>
      </c>
      <c r="N129" s="5">
        <f t="shared" si="16"/>
        <v>204.95</v>
      </c>
      <c r="O129" s="65">
        <f t="shared" si="17"/>
        <v>0.99951231406973895</v>
      </c>
      <c r="P129" s="5">
        <f t="shared" si="18"/>
        <v>205</v>
      </c>
      <c r="Q129" s="5">
        <f t="shared" si="19"/>
        <v>6</v>
      </c>
      <c r="R129" s="5">
        <f t="shared" si="20"/>
        <v>615.15000000000009</v>
      </c>
      <c r="S129" s="5">
        <f t="shared" si="21"/>
        <v>820.2</v>
      </c>
      <c r="T129">
        <v>6</v>
      </c>
      <c r="U129" s="2">
        <f t="shared" si="22"/>
        <v>0</v>
      </c>
      <c r="V129">
        <f>SUMIF(KASA!$C$2:$C$9980, C129, KASA!$T$2:$T$9980)</f>
        <v>6</v>
      </c>
      <c r="W129">
        <f>SUMIF(KASA!$C$2:$C$9980, C129, KASA!$U$2:$U$9980)</f>
        <v>615.15000000000009</v>
      </c>
      <c r="X129" s="2">
        <f t="shared" si="23"/>
        <v>6</v>
      </c>
      <c r="Y129" s="2">
        <f t="shared" si="24"/>
        <v>615.15000000000009</v>
      </c>
      <c r="Z129">
        <f>SUMIF(KASA!$C$2:$C$9980, C129, KASA!$V$2:$V$9980)</f>
        <v>820.2</v>
      </c>
      <c r="AA129">
        <f t="shared" si="25"/>
        <v>205.04999999999995</v>
      </c>
    </row>
    <row r="130" spans="3:27" x14ac:dyDescent="0.25">
      <c r="C130" s="4" t="s">
        <v>1126</v>
      </c>
      <c r="D130" s="5">
        <f>SUMIFS(KASA!$I:$I, KASA!$C:$C, $C130, KASA!$B:$B, "MAL ALIMI") + SUMIFS(KASA!$I:$I, KASA!$C:$C, $C130, KASA!$B:$B, "ÜRETİM GİRİŞ")</f>
        <v>12</v>
      </c>
      <c r="E130" s="5" cm="1">
        <f t="array" ref="E130">IFERROR(AVERAGE(IF((KASA!$C$2:$C$9980=$C130)*((KASA!$B$2:$B$9980="MAL ALIMI")+(KASA!$B$2:$B$9980="ÜRETİM GİRİŞ")),KASA!$J$2:$J$9980)),0)</f>
        <v>145.76333333333332</v>
      </c>
      <c r="F130" s="5">
        <f>SUMIFS(KASA!$I:$I, KASA!$C:$C, $C130, KASA!$B:$B, "MAL SATIŞI") + SUMIFS(KASA!$I:$I, KASA!$C:$C, $C130, KASA!$B:$B, "ÜRETİM ÇIKIŞ")</f>
        <v>6</v>
      </c>
      <c r="G130" s="5">
        <f>SUMIFS(KASA!$I:$I, KASA!$C:$C, $C130, KASA!$B:$B, "MAL İADE")</f>
        <v>0</v>
      </c>
      <c r="H130" s="5">
        <f>SUMIFS(KASA!$K:$K, KASA!$C:$C, $C130, KASA!$B:$B, "MAL İADE") + SUMIFS(KASA!$Q:$Q, KASA!$C:$C, $C130, KASA!$B:$B, "MAL İADE")</f>
        <v>0</v>
      </c>
      <c r="I130" s="5">
        <f t="shared" ref="I130:I193" si="26">F130+G130</f>
        <v>6</v>
      </c>
      <c r="J130" s="5">
        <f t="shared" ref="J130:J193" si="27">E130*F130</f>
        <v>874.57999999999993</v>
      </c>
      <c r="K130" s="5">
        <f>SUMIFS(KASA!$Q:$Q, KASA!$C:$C, $C130, KASA!$B:$B, "MAL SATIŞI") + SUMIFS(KASA!$Q:$Q, KASA!$C:$C, $C130, KASA!$B:$B, "ÜRETİM ÇIKIŞ")</f>
        <v>1160</v>
      </c>
      <c r="L130" s="5">
        <f>SUMIFS(KASA!$K:$K, KASA!$C:$C, $C130, KASA!$B:$B, "MAL SATIŞI") + SUMIFS(KASA!$K:$K, KASA!$C:$C, $C130, KASA!$B:$B, "ÜRETİM ÇIKIŞ")</f>
        <v>580</v>
      </c>
      <c r="M130" s="5">
        <f t="shared" ref="M130:M193" si="28">K130+L130</f>
        <v>1740</v>
      </c>
      <c r="N130" s="5">
        <f t="shared" ref="N130:N193" si="29">M130-J130</f>
        <v>865.42000000000007</v>
      </c>
      <c r="O130" s="65">
        <f t="shared" ref="O130:O193" si="30">IFERROR(((M130-J130)/J130),0)</f>
        <v>0.98952640124402591</v>
      </c>
      <c r="P130" s="5">
        <f t="shared" ref="P130:P193" si="31">M130/F130</f>
        <v>290</v>
      </c>
      <c r="Q130" s="5">
        <f t="shared" ref="Q130:Q193" si="32">D130-F130-G130</f>
        <v>6</v>
      </c>
      <c r="R130" s="5">
        <f t="shared" ref="R130:R193" si="33">Q130*E130</f>
        <v>874.57999999999993</v>
      </c>
      <c r="S130" s="5">
        <f t="shared" ref="S130:S193" si="34">D130*E130</f>
        <v>1749.1599999999999</v>
      </c>
      <c r="T130">
        <v>9</v>
      </c>
      <c r="U130" s="2">
        <f t="shared" ref="U130:U193" si="35">Q130-T130</f>
        <v>-3</v>
      </c>
      <c r="V130">
        <f>SUMIF(KASA!$C$2:$C$9980, C130, KASA!$T$2:$T$9980)</f>
        <v>6</v>
      </c>
      <c r="W130">
        <f>SUMIF(KASA!$C$2:$C$9980, C130, KASA!$U$2:$U$9980)</f>
        <v>869.56</v>
      </c>
      <c r="X130" s="2">
        <f t="shared" si="23"/>
        <v>6</v>
      </c>
      <c r="Y130" s="2">
        <f t="shared" si="24"/>
        <v>869.56</v>
      </c>
      <c r="Z130">
        <f>SUMIF(KASA!$C$2:$C$9980, C130, KASA!$V$2:$V$9980)</f>
        <v>1749.1599999999999</v>
      </c>
      <c r="AA130">
        <f t="shared" si="25"/>
        <v>879.59999999999991</v>
      </c>
    </row>
    <row r="131" spans="3:27" x14ac:dyDescent="0.25">
      <c r="C131" s="4" t="s">
        <v>1127</v>
      </c>
      <c r="D131" s="5">
        <f>SUMIFS(KASA!$I:$I, KASA!$C:$C, $C131, KASA!$B:$B, "MAL ALIMI") + SUMIFS(KASA!$I:$I, KASA!$C:$C, $C131, KASA!$B:$B, "ÜRETİM GİRİŞ")</f>
        <v>8</v>
      </c>
      <c r="E131" s="5" cm="1">
        <f t="array" ref="E131">IFERROR(AVERAGE(IF((KASA!$C$2:$C$9980=$C131)*((KASA!$B$2:$B$9980="MAL ALIMI")+(KASA!$B$2:$B$9980="ÜRETİM GİRİŞ")),KASA!$J$2:$J$9980)),0)</f>
        <v>222.33333333333334</v>
      </c>
      <c r="F131" s="5">
        <f>SUMIFS(KASA!$I:$I, KASA!$C:$C, $C131, KASA!$B:$B, "MAL SATIŞI") + SUMIFS(KASA!$I:$I, KASA!$C:$C, $C131, KASA!$B:$B, "ÜRETİM ÇIKIŞ")</f>
        <v>5</v>
      </c>
      <c r="G131" s="5">
        <f>SUMIFS(KASA!$I:$I, KASA!$C:$C, $C131, KASA!$B:$B, "MAL İADE")</f>
        <v>0</v>
      </c>
      <c r="H131" s="5">
        <f>SUMIFS(KASA!$K:$K, KASA!$C:$C, $C131, KASA!$B:$B, "MAL İADE") + SUMIFS(KASA!$Q:$Q, KASA!$C:$C, $C131, KASA!$B:$B, "MAL İADE")</f>
        <v>0</v>
      </c>
      <c r="I131" s="5">
        <f t="shared" si="26"/>
        <v>5</v>
      </c>
      <c r="J131" s="5">
        <f t="shared" si="27"/>
        <v>1111.6666666666667</v>
      </c>
      <c r="K131" s="5">
        <f>SUMIFS(KASA!$Q:$Q, KASA!$C:$C, $C131, KASA!$B:$B, "MAL SATIŞI") + SUMIFS(KASA!$Q:$Q, KASA!$C:$C, $C131, KASA!$B:$B, "ÜRETİM ÇIKIŞ")</f>
        <v>1400</v>
      </c>
      <c r="L131" s="5">
        <f>SUMIFS(KASA!$K:$K, KASA!$C:$C, $C131, KASA!$B:$B, "MAL SATIŞI") + SUMIFS(KASA!$K:$K, KASA!$C:$C, $C131, KASA!$B:$B, "ÜRETİM ÇIKIŞ")</f>
        <v>350</v>
      </c>
      <c r="M131" s="5">
        <f t="shared" si="28"/>
        <v>1750</v>
      </c>
      <c r="N131" s="5">
        <f t="shared" si="29"/>
        <v>638.33333333333326</v>
      </c>
      <c r="O131" s="65">
        <f t="shared" si="30"/>
        <v>0.57421289355322325</v>
      </c>
      <c r="P131" s="5">
        <f t="shared" si="31"/>
        <v>350</v>
      </c>
      <c r="Q131" s="5">
        <f t="shared" si="32"/>
        <v>3</v>
      </c>
      <c r="R131" s="5">
        <f t="shared" si="33"/>
        <v>667</v>
      </c>
      <c r="S131" s="5">
        <f t="shared" si="34"/>
        <v>1778.6666666666667</v>
      </c>
      <c r="T131">
        <v>1</v>
      </c>
      <c r="U131" s="2">
        <f t="shared" si="35"/>
        <v>2</v>
      </c>
      <c r="V131">
        <f>SUMIF(KASA!$C$2:$C$9980, C131, KASA!$T$2:$T$9980)</f>
        <v>3</v>
      </c>
      <c r="W131">
        <f>SUMIF(KASA!$C$2:$C$9980, C131, KASA!$U$2:$U$9980)</f>
        <v>748.5</v>
      </c>
      <c r="X131" s="2">
        <f t="shared" ref="X131:X194" si="36">V131-G131</f>
        <v>3</v>
      </c>
      <c r="Y131" s="2">
        <f t="shared" ref="Y131:Y194" si="37">W131-H131</f>
        <v>748.5</v>
      </c>
      <c r="Z131">
        <f>SUMIF(KASA!$C$2:$C$9980, C131, KASA!$V$2:$V$9980)</f>
        <v>1670</v>
      </c>
      <c r="AA131">
        <f t="shared" ref="AA131:AA194" si="38">Z131-W131</f>
        <v>921.5</v>
      </c>
    </row>
    <row r="132" spans="3:27" x14ac:dyDescent="0.25">
      <c r="C132" s="4" t="s">
        <v>1203</v>
      </c>
      <c r="D132" s="5">
        <f>SUMIFS(KASA!$I:$I, KASA!$C:$C, $C132, KASA!$B:$B, "MAL ALIMI") + SUMIFS(KASA!$I:$I, KASA!$C:$C, $C132, KASA!$B:$B, "ÜRETİM GİRİŞ")</f>
        <v>8</v>
      </c>
      <c r="E132" s="5" cm="1">
        <f t="array" ref="E132">IFERROR(AVERAGE(IF((KASA!$C$2:$C$9980=$C132)*((KASA!$B$2:$B$9980="MAL ALIMI")+(KASA!$B$2:$B$9980="ÜRETİM GİRİŞ")),KASA!$J$2:$J$9980)),0)</f>
        <v>71.03</v>
      </c>
      <c r="F132" s="5">
        <f>SUMIFS(KASA!$I:$I, KASA!$C:$C, $C132, KASA!$B:$B, "MAL SATIŞI") + SUMIFS(KASA!$I:$I, KASA!$C:$C, $C132, KASA!$B:$B, "ÜRETİM ÇIKIŞ")</f>
        <v>6</v>
      </c>
      <c r="G132" s="5">
        <f>SUMIFS(KASA!$I:$I, KASA!$C:$C, $C132, KASA!$B:$B, "MAL İADE")</f>
        <v>0</v>
      </c>
      <c r="H132" s="5">
        <f>SUMIFS(KASA!$K:$K, KASA!$C:$C, $C132, KASA!$B:$B, "MAL İADE") + SUMIFS(KASA!$Q:$Q, KASA!$C:$C, $C132, KASA!$B:$B, "MAL İADE")</f>
        <v>0</v>
      </c>
      <c r="I132" s="5">
        <f t="shared" si="26"/>
        <v>6</v>
      </c>
      <c r="J132" s="5">
        <f t="shared" si="27"/>
        <v>426.18</v>
      </c>
      <c r="K132" s="5">
        <f>SUMIFS(KASA!$Q:$Q, KASA!$C:$C, $C132, KASA!$B:$B, "MAL SATIŞI") + SUMIFS(KASA!$Q:$Q, KASA!$C:$C, $C132, KASA!$B:$B, "ÜRETİM ÇIKIŞ")</f>
        <v>420</v>
      </c>
      <c r="L132" s="5">
        <f>SUMIFS(KASA!$K:$K, KASA!$C:$C, $C132, KASA!$B:$B, "MAL SATIŞI") + SUMIFS(KASA!$K:$K, KASA!$C:$C, $C132, KASA!$B:$B, "ÜRETİM ÇIKIŞ")</f>
        <v>420</v>
      </c>
      <c r="M132" s="5">
        <f t="shared" si="28"/>
        <v>840</v>
      </c>
      <c r="N132" s="5">
        <f t="shared" si="29"/>
        <v>413.82</v>
      </c>
      <c r="O132" s="65">
        <f t="shared" si="30"/>
        <v>0.97099816978741371</v>
      </c>
      <c r="P132" s="5">
        <f t="shared" si="31"/>
        <v>140</v>
      </c>
      <c r="Q132" s="5">
        <f t="shared" si="32"/>
        <v>2</v>
      </c>
      <c r="R132" s="5">
        <f t="shared" si="33"/>
        <v>142.06</v>
      </c>
      <c r="S132" s="5">
        <f t="shared" si="34"/>
        <v>568.24</v>
      </c>
      <c r="T132">
        <v>4</v>
      </c>
      <c r="U132" s="2">
        <f t="shared" si="35"/>
        <v>-2</v>
      </c>
      <c r="V132">
        <f>SUMIF(KASA!$C$2:$C$9980, C132, KASA!$T$2:$T$9980)</f>
        <v>2</v>
      </c>
      <c r="W132">
        <f>SUMIF(KASA!$C$2:$C$9980, C132, KASA!$U$2:$U$9980)</f>
        <v>142.06</v>
      </c>
      <c r="X132" s="2">
        <f t="shared" si="36"/>
        <v>2</v>
      </c>
      <c r="Y132" s="2">
        <f t="shared" si="37"/>
        <v>142.06</v>
      </c>
      <c r="Z132">
        <f>SUMIF(KASA!$C$2:$C$9980, C132, KASA!$V$2:$V$9980)</f>
        <v>568.24</v>
      </c>
      <c r="AA132">
        <f t="shared" si="38"/>
        <v>426.18</v>
      </c>
    </row>
    <row r="133" spans="3:27" x14ac:dyDescent="0.25">
      <c r="C133" s="4" t="s">
        <v>1326</v>
      </c>
      <c r="D133" s="5">
        <f>SUMIFS(KASA!$I:$I, KASA!$C:$C, $C133, KASA!$B:$B, "MAL ALIMI") + SUMIFS(KASA!$I:$I, KASA!$C:$C, $C133, KASA!$B:$B, "ÜRETİM GİRİŞ")</f>
        <v>6</v>
      </c>
      <c r="E133" s="5" cm="1">
        <f t="array" ref="E133">IFERROR(AVERAGE(IF((KASA!$C$2:$C$9980=$C133)*((KASA!$B$2:$B$9980="MAL ALIMI")+(KASA!$B$2:$B$9980="ÜRETİM GİRİŞ")),KASA!$J$2:$J$9980)),0)</f>
        <v>89</v>
      </c>
      <c r="F133" s="5">
        <f>SUMIFS(KASA!$I:$I, KASA!$C:$C, $C133, KASA!$B:$B, "MAL SATIŞI") + SUMIFS(KASA!$I:$I, KASA!$C:$C, $C133, KASA!$B:$B, "ÜRETİM ÇIKIŞ")</f>
        <v>6</v>
      </c>
      <c r="G133" s="5">
        <f>SUMIFS(KASA!$I:$I, KASA!$C:$C, $C133, KASA!$B:$B, "MAL İADE")</f>
        <v>0</v>
      </c>
      <c r="H133" s="5">
        <f>SUMIFS(KASA!$K:$K, KASA!$C:$C, $C133, KASA!$B:$B, "MAL İADE") + SUMIFS(KASA!$Q:$Q, KASA!$C:$C, $C133, KASA!$B:$B, "MAL İADE")</f>
        <v>0</v>
      </c>
      <c r="I133" s="5">
        <f t="shared" si="26"/>
        <v>6</v>
      </c>
      <c r="J133" s="5">
        <f t="shared" si="27"/>
        <v>534</v>
      </c>
      <c r="K133" s="5">
        <f>SUMIFS(KASA!$Q:$Q, KASA!$C:$C, $C133, KASA!$B:$B, "MAL SATIŞI") + SUMIFS(KASA!$Q:$Q, KASA!$C:$C, $C133, KASA!$B:$B, "ÜRETİM ÇIKIŞ")</f>
        <v>640</v>
      </c>
      <c r="L133" s="5">
        <f>SUMIFS(KASA!$K:$K, KASA!$C:$C, $C133, KASA!$B:$B, "MAL SATIŞI") + SUMIFS(KASA!$K:$K, KASA!$C:$C, $C133, KASA!$B:$B, "ÜRETİM ÇIKIŞ")</f>
        <v>135</v>
      </c>
      <c r="M133" s="5">
        <f t="shared" si="28"/>
        <v>775</v>
      </c>
      <c r="N133" s="5">
        <f t="shared" si="29"/>
        <v>241</v>
      </c>
      <c r="O133" s="65">
        <f t="shared" si="30"/>
        <v>0.45131086142322097</v>
      </c>
      <c r="P133" s="5">
        <f t="shared" si="31"/>
        <v>129.16666666666666</v>
      </c>
      <c r="Q133" s="5">
        <f t="shared" si="32"/>
        <v>0</v>
      </c>
      <c r="R133" s="5">
        <f t="shared" si="33"/>
        <v>0</v>
      </c>
      <c r="S133" s="5">
        <f t="shared" si="34"/>
        <v>534</v>
      </c>
      <c r="T133">
        <v>1</v>
      </c>
      <c r="U133" s="2">
        <f t="shared" si="35"/>
        <v>-1</v>
      </c>
      <c r="V133">
        <f>SUMIF(KASA!$C$2:$C$9980, C133, KASA!$T$2:$T$9980)</f>
        <v>0</v>
      </c>
      <c r="W133">
        <f>SUMIF(KASA!$C$2:$C$9980, C133, KASA!$U$2:$U$9980)</f>
        <v>0</v>
      </c>
      <c r="X133" s="2">
        <f t="shared" si="36"/>
        <v>0</v>
      </c>
      <c r="Y133" s="2">
        <f t="shared" si="37"/>
        <v>0</v>
      </c>
      <c r="Z133">
        <f>SUMIF(KASA!$C$2:$C$9980, C133, KASA!$V$2:$V$9980)</f>
        <v>534</v>
      </c>
      <c r="AA133">
        <f t="shared" si="38"/>
        <v>534</v>
      </c>
    </row>
    <row r="134" spans="3:27" x14ac:dyDescent="0.25">
      <c r="C134" s="4" t="s">
        <v>1327</v>
      </c>
      <c r="D134" s="5">
        <f>SUMIFS(KASA!$I:$I, KASA!$C:$C, $C134, KASA!$B:$B, "MAL ALIMI") + SUMIFS(KASA!$I:$I, KASA!$C:$C, $C134, KASA!$B:$B, "ÜRETİM GİRİŞ")</f>
        <v>3</v>
      </c>
      <c r="E134" s="5" cm="1">
        <f t="array" ref="E134">IFERROR(AVERAGE(IF((KASA!$C$2:$C$9980=$C134)*((KASA!$B$2:$B$9980="MAL ALIMI")+(KASA!$B$2:$B$9980="ÜRETİM GİRİŞ")),KASA!$J$2:$J$9980)),0)</f>
        <v>89</v>
      </c>
      <c r="F134" s="5">
        <f>SUMIFS(KASA!$I:$I, KASA!$C:$C, $C134, KASA!$B:$B, "MAL SATIŞI") + SUMIFS(KASA!$I:$I, KASA!$C:$C, $C134, KASA!$B:$B, "ÜRETİM ÇIKIŞ")</f>
        <v>3</v>
      </c>
      <c r="G134" s="5">
        <f>SUMIFS(KASA!$I:$I, KASA!$C:$C, $C134, KASA!$B:$B, "MAL İADE")</f>
        <v>0</v>
      </c>
      <c r="H134" s="5">
        <f>SUMIFS(KASA!$K:$K, KASA!$C:$C, $C134, KASA!$B:$B, "MAL İADE") + SUMIFS(KASA!$Q:$Q, KASA!$C:$C, $C134, KASA!$B:$B, "MAL İADE")</f>
        <v>0</v>
      </c>
      <c r="I134" s="5">
        <f t="shared" si="26"/>
        <v>3</v>
      </c>
      <c r="J134" s="5">
        <f t="shared" si="27"/>
        <v>267</v>
      </c>
      <c r="K134" s="5">
        <f>SUMIFS(KASA!$Q:$Q, KASA!$C:$C, $C134, KASA!$B:$B, "MAL SATIŞI") + SUMIFS(KASA!$Q:$Q, KASA!$C:$C, $C134, KASA!$B:$B, "ÜRETİM ÇIKIŞ")</f>
        <v>390</v>
      </c>
      <c r="L134" s="5">
        <f>SUMIFS(KASA!$K:$K, KASA!$C:$C, $C134, KASA!$B:$B, "MAL SATIŞI") + SUMIFS(KASA!$K:$K, KASA!$C:$C, $C134, KASA!$B:$B, "ÜRETİM ÇIKIŞ")</f>
        <v>0</v>
      </c>
      <c r="M134" s="5">
        <f t="shared" si="28"/>
        <v>390</v>
      </c>
      <c r="N134" s="5">
        <f t="shared" si="29"/>
        <v>123</v>
      </c>
      <c r="O134" s="65">
        <f t="shared" si="30"/>
        <v>0.4606741573033708</v>
      </c>
      <c r="P134" s="5">
        <f t="shared" si="31"/>
        <v>130</v>
      </c>
      <c r="Q134" s="5">
        <f t="shared" si="32"/>
        <v>0</v>
      </c>
      <c r="R134" s="5">
        <f t="shared" si="33"/>
        <v>0</v>
      </c>
      <c r="S134" s="5">
        <f t="shared" si="34"/>
        <v>267</v>
      </c>
      <c r="T134">
        <v>1</v>
      </c>
      <c r="U134" s="2">
        <f t="shared" si="35"/>
        <v>-1</v>
      </c>
      <c r="V134">
        <f>SUMIF(KASA!$C$2:$C$9980, C134, KASA!$T$2:$T$9980)</f>
        <v>0</v>
      </c>
      <c r="W134">
        <f>SUMIF(KASA!$C$2:$C$9980, C134, KASA!$U$2:$U$9980)</f>
        <v>0</v>
      </c>
      <c r="X134" s="2">
        <f t="shared" si="36"/>
        <v>0</v>
      </c>
      <c r="Y134" s="2">
        <f t="shared" si="37"/>
        <v>0</v>
      </c>
      <c r="Z134">
        <f>SUMIF(KASA!$C$2:$C$9980, C134, KASA!$V$2:$V$9980)</f>
        <v>267</v>
      </c>
      <c r="AA134">
        <f t="shared" si="38"/>
        <v>267</v>
      </c>
    </row>
    <row r="135" spans="3:27" x14ac:dyDescent="0.25">
      <c r="C135" s="4" t="s">
        <v>1330</v>
      </c>
      <c r="D135" s="5">
        <f>SUMIFS(KASA!$I:$I, KASA!$C:$C, $C135, KASA!$B:$B, "MAL ALIMI") + SUMIFS(KASA!$I:$I, KASA!$C:$C, $C135, KASA!$B:$B, "ÜRETİM GİRİŞ")</f>
        <v>4</v>
      </c>
      <c r="E135" s="5" cm="1">
        <f t="array" ref="E135">IFERROR(AVERAGE(IF((KASA!$C$2:$C$9980=$C135)*((KASA!$B$2:$B$9980="MAL ALIMI")+(KASA!$B$2:$B$9980="ÜRETİM GİRİŞ")),KASA!$J$2:$J$9980)),0)</f>
        <v>166.7</v>
      </c>
      <c r="F135" s="5">
        <f>SUMIFS(KASA!$I:$I, KASA!$C:$C, $C135, KASA!$B:$B, "MAL SATIŞI") + SUMIFS(KASA!$I:$I, KASA!$C:$C, $C135, KASA!$B:$B, "ÜRETİM ÇIKIŞ")</f>
        <v>0</v>
      </c>
      <c r="G135" s="5">
        <f>SUMIFS(KASA!$I:$I, KASA!$C:$C, $C135, KASA!$B:$B, "MAL İADE")</f>
        <v>0</v>
      </c>
      <c r="H135" s="5">
        <f>SUMIFS(KASA!$K:$K, KASA!$C:$C, $C135, KASA!$B:$B, "MAL İADE") + SUMIFS(KASA!$Q:$Q, KASA!$C:$C, $C135, KASA!$B:$B, "MAL İADE")</f>
        <v>0</v>
      </c>
      <c r="I135" s="5">
        <f t="shared" si="26"/>
        <v>0</v>
      </c>
      <c r="J135" s="5">
        <f t="shared" si="27"/>
        <v>0</v>
      </c>
      <c r="K135" s="5">
        <f>SUMIFS(KASA!$Q:$Q, KASA!$C:$C, $C135, KASA!$B:$B, "MAL SATIŞI") + SUMIFS(KASA!$Q:$Q, KASA!$C:$C, $C135, KASA!$B:$B, "ÜRETİM ÇIKIŞ")</f>
        <v>0</v>
      </c>
      <c r="L135" s="5">
        <f>SUMIFS(KASA!$K:$K, KASA!$C:$C, $C135, KASA!$B:$B, "MAL SATIŞI") + SUMIFS(KASA!$K:$K, KASA!$C:$C, $C135, KASA!$B:$B, "ÜRETİM ÇIKIŞ")</f>
        <v>0</v>
      </c>
      <c r="M135" s="5">
        <f t="shared" si="28"/>
        <v>0</v>
      </c>
      <c r="N135" s="5">
        <f t="shared" si="29"/>
        <v>0</v>
      </c>
      <c r="O135" s="65">
        <f t="shared" si="30"/>
        <v>0</v>
      </c>
      <c r="P135" s="5" t="e">
        <f t="shared" si="31"/>
        <v>#DIV/0!</v>
      </c>
      <c r="Q135" s="5">
        <f t="shared" si="32"/>
        <v>4</v>
      </c>
      <c r="R135" s="5">
        <f t="shared" si="33"/>
        <v>666.8</v>
      </c>
      <c r="S135" s="5">
        <f t="shared" si="34"/>
        <v>666.8</v>
      </c>
      <c r="T135">
        <v>4</v>
      </c>
      <c r="U135" s="2">
        <f t="shared" si="35"/>
        <v>0</v>
      </c>
      <c r="V135">
        <f>SUMIF(KASA!$C$2:$C$9980, C135, KASA!$T$2:$T$9980)</f>
        <v>4</v>
      </c>
      <c r="W135">
        <f>SUMIF(KASA!$C$2:$C$9980, C135, KASA!$U$2:$U$9980)</f>
        <v>666.8</v>
      </c>
      <c r="X135" s="2">
        <f t="shared" si="36"/>
        <v>4</v>
      </c>
      <c r="Y135" s="2">
        <f t="shared" si="37"/>
        <v>666.8</v>
      </c>
      <c r="Z135">
        <f>SUMIF(KASA!$C$2:$C$9980, C135, KASA!$V$2:$V$9980)</f>
        <v>666.8</v>
      </c>
      <c r="AA135">
        <f t="shared" si="38"/>
        <v>0</v>
      </c>
    </row>
    <row r="136" spans="3:27" x14ac:dyDescent="0.25">
      <c r="C136" s="4" t="s">
        <v>1634</v>
      </c>
      <c r="D136" s="5">
        <f>SUMIFS(KASA!$I:$I, KASA!$C:$C, $C136, KASA!$B:$B, "MAL ALIMI") + SUMIFS(KASA!$I:$I, KASA!$C:$C, $C136, KASA!$B:$B, "ÜRETİM GİRİŞ")</f>
        <v>58.25</v>
      </c>
      <c r="E136" s="5" cm="1">
        <f t="array" ref="E136">IFERROR(AVERAGE(IF((KASA!$C$2:$C$9980=$C136)*((KASA!$B$2:$B$9980="MAL ALIMI")+(KASA!$B$2:$B$9980="ÜRETİM GİRİŞ")),KASA!$J$2:$J$9980)),0)</f>
        <v>233.66</v>
      </c>
      <c r="F136" s="5">
        <f>SUMIFS(KASA!$I:$I, KASA!$C:$C, $C136, KASA!$B:$B, "MAL SATIŞI") + SUMIFS(KASA!$I:$I, KASA!$C:$C, $C136, KASA!$B:$B, "ÜRETİM ÇIKIŞ")</f>
        <v>60.418357142857133</v>
      </c>
      <c r="G136" s="5">
        <f>SUMIFS(KASA!$I:$I, KASA!$C:$C, $C136, KASA!$B:$B, "MAL İADE")</f>
        <v>0</v>
      </c>
      <c r="H136" s="5">
        <f>SUMIFS(KASA!$K:$K, KASA!$C:$C, $C136, KASA!$B:$B, "MAL İADE") + SUMIFS(KASA!$Q:$Q, KASA!$C:$C, $C136, KASA!$B:$B, "MAL İADE")</f>
        <v>0</v>
      </c>
      <c r="I136" s="5">
        <f t="shared" si="26"/>
        <v>60.418357142857133</v>
      </c>
      <c r="J136" s="5">
        <f t="shared" si="27"/>
        <v>14117.353329999998</v>
      </c>
      <c r="K136" s="5">
        <f>SUMIFS(KASA!$Q:$Q, KASA!$C:$C, $C136, KASA!$B:$B, "MAL SATIŞI") + SUMIFS(KASA!$Q:$Q, KASA!$C:$C, $C136, KASA!$B:$B, "ÜRETİM ÇIKIŞ")</f>
        <v>8549.2000000000007</v>
      </c>
      <c r="L136" s="5">
        <f>SUMIFS(KASA!$K:$K, KASA!$C:$C, $C136, KASA!$B:$B, "MAL SATIŞI") + SUMIFS(KASA!$K:$K, KASA!$C:$C, $C136, KASA!$B:$B, "ÜRETİM ÇIKIŞ")</f>
        <v>11316.85</v>
      </c>
      <c r="M136" s="5">
        <f t="shared" si="28"/>
        <v>19866.050000000003</v>
      </c>
      <c r="N136" s="5">
        <f t="shared" si="29"/>
        <v>5748.6966700000048</v>
      </c>
      <c r="O136" s="65">
        <f t="shared" si="30"/>
        <v>0.40720781973939624</v>
      </c>
      <c r="P136" s="5">
        <f t="shared" si="31"/>
        <v>328.80817916030736</v>
      </c>
      <c r="Q136" s="5">
        <f t="shared" si="32"/>
        <v>-2.1683571428571327</v>
      </c>
      <c r="R136" s="5">
        <f t="shared" si="33"/>
        <v>-506.65832999999759</v>
      </c>
      <c r="S136" s="5">
        <f t="shared" si="34"/>
        <v>13610.695</v>
      </c>
      <c r="U136" s="2">
        <f t="shared" si="35"/>
        <v>-2.1683571428571327</v>
      </c>
      <c r="V136">
        <f>SUMIF(KASA!$C$2:$C$9980, C136, KASA!$T$2:$T$9980)</f>
        <v>0</v>
      </c>
      <c r="W136">
        <f>SUMIF(KASA!$C$2:$C$9980, C136, KASA!$U$2:$U$9980)</f>
        <v>0</v>
      </c>
      <c r="X136" s="2">
        <f t="shared" si="36"/>
        <v>0</v>
      </c>
      <c r="Y136" s="2">
        <f t="shared" si="37"/>
        <v>0</v>
      </c>
      <c r="Z136">
        <f>SUMIF(KASA!$C$2:$C$9980, C136, KASA!$V$2:$V$9980)</f>
        <v>12050.029999999999</v>
      </c>
      <c r="AA136">
        <f t="shared" si="38"/>
        <v>12050.029999999999</v>
      </c>
    </row>
    <row r="137" spans="3:27" x14ac:dyDescent="0.25">
      <c r="C137" s="4" t="s">
        <v>2440</v>
      </c>
      <c r="D137" s="5">
        <f>SUMIFS(KASA!$I:$I, KASA!$C:$C, $C137, KASA!$B:$B, "MAL ALIMI") + SUMIFS(KASA!$I:$I, KASA!$C:$C, $C137, KASA!$B:$B, "ÜRETİM GİRİŞ")</f>
        <v>8</v>
      </c>
      <c r="E137" s="5" cm="1">
        <f t="array" ref="E137">IFERROR(AVERAGE(IF((KASA!$C$2:$C$9980=$C137)*((KASA!$B$2:$B$9980="MAL ALIMI")+(KASA!$B$2:$B$9980="ÜRETİM GİRİŞ")),KASA!$J$2:$J$9980)),0)</f>
        <v>69.95</v>
      </c>
      <c r="F137" s="5">
        <f>SUMIFS(KASA!$I:$I, KASA!$C:$C, $C137, KASA!$B:$B, "MAL SATIŞI") + SUMIFS(KASA!$I:$I, KASA!$C:$C, $C137, KASA!$B:$B, "ÜRETİM ÇIKIŞ")</f>
        <v>0</v>
      </c>
      <c r="G137" s="5">
        <f>SUMIFS(KASA!$I:$I, KASA!$C:$C, $C137, KASA!$B:$B, "MAL İADE")</f>
        <v>0</v>
      </c>
      <c r="H137" s="5">
        <f>SUMIFS(KASA!$K:$K, KASA!$C:$C, $C137, KASA!$B:$B, "MAL İADE") + SUMIFS(KASA!$Q:$Q, KASA!$C:$C, $C137, KASA!$B:$B, "MAL İADE")</f>
        <v>0</v>
      </c>
      <c r="I137" s="5">
        <f t="shared" si="26"/>
        <v>0</v>
      </c>
      <c r="J137" s="5">
        <f t="shared" si="27"/>
        <v>0</v>
      </c>
      <c r="K137" s="5">
        <f>SUMIFS(KASA!$Q:$Q, KASA!$C:$C, $C137, KASA!$B:$B, "MAL SATIŞI") + SUMIFS(KASA!$Q:$Q, KASA!$C:$C, $C137, KASA!$B:$B, "ÜRETİM ÇIKIŞ")</f>
        <v>0</v>
      </c>
      <c r="L137" s="5">
        <f>SUMIFS(KASA!$K:$K, KASA!$C:$C, $C137, KASA!$B:$B, "MAL SATIŞI") + SUMIFS(KASA!$K:$K, KASA!$C:$C, $C137, KASA!$B:$B, "ÜRETİM ÇIKIŞ")</f>
        <v>0</v>
      </c>
      <c r="M137" s="5">
        <f t="shared" si="28"/>
        <v>0</v>
      </c>
      <c r="N137" s="5">
        <f t="shared" si="29"/>
        <v>0</v>
      </c>
      <c r="O137" s="65">
        <f t="shared" si="30"/>
        <v>0</v>
      </c>
      <c r="P137" s="5" t="e">
        <f t="shared" si="31"/>
        <v>#DIV/0!</v>
      </c>
      <c r="Q137" s="5">
        <f t="shared" si="32"/>
        <v>8</v>
      </c>
      <c r="R137" s="5">
        <f t="shared" si="33"/>
        <v>559.6</v>
      </c>
      <c r="S137" s="5">
        <f t="shared" si="34"/>
        <v>559.6</v>
      </c>
      <c r="T137">
        <v>8</v>
      </c>
      <c r="U137" s="2">
        <f t="shared" si="35"/>
        <v>0</v>
      </c>
      <c r="V137">
        <f>SUMIF(KASA!$C$2:$C$9980, C137, KASA!$T$2:$T$9980)</f>
        <v>8</v>
      </c>
      <c r="W137">
        <f>SUMIF(KASA!$C$2:$C$9980, C137, KASA!$U$2:$U$9980)</f>
        <v>559.6</v>
      </c>
      <c r="X137" s="2">
        <f t="shared" si="36"/>
        <v>8</v>
      </c>
      <c r="Y137" s="2">
        <f t="shared" si="37"/>
        <v>559.6</v>
      </c>
      <c r="Z137">
        <f>SUMIF(KASA!$C$2:$C$9980, C137, KASA!$V$2:$V$9980)</f>
        <v>559.6</v>
      </c>
      <c r="AA137">
        <f t="shared" si="38"/>
        <v>0</v>
      </c>
    </row>
    <row r="138" spans="3:27" x14ac:dyDescent="0.25">
      <c r="C138" s="4" t="s">
        <v>2562</v>
      </c>
      <c r="D138" s="5">
        <f>SUMIFS(KASA!$I:$I, KASA!$C:$C, $C138, KASA!$B:$B, "MAL ALIMI") + SUMIFS(KASA!$I:$I, KASA!$C:$C, $C138, KASA!$B:$B, "ÜRETİM GİRİŞ")</f>
        <v>17</v>
      </c>
      <c r="E138" s="5" cm="1">
        <f t="array" ref="E138">IFERROR(AVERAGE(IF((KASA!$C$2:$C$9980=$C138)*((KASA!$B$2:$B$9980="MAL ALIMI")+(KASA!$B$2:$B$9980="ÜRETİM GİRİŞ")),KASA!$J$2:$J$9980)),0)</f>
        <v>50.25</v>
      </c>
      <c r="F138" s="5">
        <f>SUMIFS(KASA!$I:$I, KASA!$C:$C, $C138, KASA!$B:$B, "MAL SATIŞI") + SUMIFS(KASA!$I:$I, KASA!$C:$C, $C138, KASA!$B:$B, "ÜRETİM ÇIKIŞ")</f>
        <v>9</v>
      </c>
      <c r="G138" s="5">
        <f>SUMIFS(KASA!$I:$I, KASA!$C:$C, $C138, KASA!$B:$B, "MAL İADE")</f>
        <v>0</v>
      </c>
      <c r="H138" s="5">
        <f>SUMIFS(KASA!$K:$K, KASA!$C:$C, $C138, KASA!$B:$B, "MAL İADE") + SUMIFS(KASA!$Q:$Q, KASA!$C:$C, $C138, KASA!$B:$B, "MAL İADE")</f>
        <v>0</v>
      </c>
      <c r="I138" s="5">
        <f t="shared" si="26"/>
        <v>9</v>
      </c>
      <c r="J138" s="5">
        <f t="shared" si="27"/>
        <v>452.25</v>
      </c>
      <c r="K138" s="5">
        <f>SUMIFS(KASA!$Q:$Q, KASA!$C:$C, $C138, KASA!$B:$B, "MAL SATIŞI") + SUMIFS(KASA!$Q:$Q, KASA!$C:$C, $C138, KASA!$B:$B, "ÜRETİM ÇIKIŞ")</f>
        <v>500</v>
      </c>
      <c r="L138" s="5">
        <f>SUMIFS(KASA!$K:$K, KASA!$C:$C, $C138, KASA!$B:$B, "MAL SATIŞI") + SUMIFS(KASA!$K:$K, KASA!$C:$C, $C138, KASA!$B:$B, "ÜRETİM ÇIKIŞ")</f>
        <v>230</v>
      </c>
      <c r="M138" s="5">
        <f t="shared" si="28"/>
        <v>730</v>
      </c>
      <c r="N138" s="5">
        <f t="shared" si="29"/>
        <v>277.75</v>
      </c>
      <c r="O138" s="65">
        <f t="shared" si="30"/>
        <v>0.61415146489773353</v>
      </c>
      <c r="P138" s="5">
        <f t="shared" si="31"/>
        <v>81.111111111111114</v>
      </c>
      <c r="Q138" s="5">
        <f t="shared" si="32"/>
        <v>8</v>
      </c>
      <c r="R138" s="5">
        <f t="shared" si="33"/>
        <v>402</v>
      </c>
      <c r="S138" s="5">
        <f t="shared" si="34"/>
        <v>854.25</v>
      </c>
      <c r="T138">
        <v>1</v>
      </c>
      <c r="U138" s="2">
        <f t="shared" si="35"/>
        <v>7</v>
      </c>
      <c r="V138">
        <f>SUMIF(KASA!$C$2:$C$9980, C138, KASA!$T$2:$T$9980)</f>
        <v>8</v>
      </c>
      <c r="W138">
        <f>SUMIF(KASA!$C$2:$C$9980, C138, KASA!$U$2:$U$9980)</f>
        <v>400</v>
      </c>
      <c r="X138" s="2">
        <f t="shared" si="36"/>
        <v>8</v>
      </c>
      <c r="Y138" s="2">
        <f t="shared" si="37"/>
        <v>400</v>
      </c>
      <c r="Z138">
        <f>SUMIF(KASA!$C$2:$C$9980, C138, KASA!$V$2:$V$9980)</f>
        <v>852.5</v>
      </c>
      <c r="AA138">
        <f t="shared" si="38"/>
        <v>452.5</v>
      </c>
    </row>
    <row r="139" spans="3:27" x14ac:dyDescent="0.25">
      <c r="C139" s="4" t="s">
        <v>2563</v>
      </c>
      <c r="D139" s="5">
        <f>SUMIFS(KASA!$I:$I, KASA!$C:$C, $C139, KASA!$B:$B, "MAL ALIMI") + SUMIFS(KASA!$I:$I, KASA!$C:$C, $C139, KASA!$B:$B, "ÜRETİM GİRİŞ")</f>
        <v>3</v>
      </c>
      <c r="E139" s="5" cm="1">
        <f t="array" ref="E139">IFERROR(AVERAGE(IF((KASA!$C$2:$C$9980=$C139)*((KASA!$B$2:$B$9980="MAL ALIMI")+(KASA!$B$2:$B$9980="ÜRETİM GİRİŞ")),KASA!$J$2:$J$9980)),0)</f>
        <v>50.5</v>
      </c>
      <c r="F139" s="5">
        <f>SUMIFS(KASA!$I:$I, KASA!$C:$C, $C139, KASA!$B:$B, "MAL SATIŞI") + SUMIFS(KASA!$I:$I, KASA!$C:$C, $C139, KASA!$B:$B, "ÜRETİM ÇIKIŞ")</f>
        <v>3</v>
      </c>
      <c r="G139" s="5">
        <f>SUMIFS(KASA!$I:$I, KASA!$C:$C, $C139, KASA!$B:$B, "MAL İADE")</f>
        <v>0</v>
      </c>
      <c r="H139" s="5">
        <f>SUMIFS(KASA!$K:$K, KASA!$C:$C, $C139, KASA!$B:$B, "MAL İADE") + SUMIFS(KASA!$Q:$Q, KASA!$C:$C, $C139, KASA!$B:$B, "MAL İADE")</f>
        <v>0</v>
      </c>
      <c r="I139" s="5">
        <f t="shared" si="26"/>
        <v>3</v>
      </c>
      <c r="J139" s="5">
        <f t="shared" si="27"/>
        <v>151.5</v>
      </c>
      <c r="K139" s="5">
        <f>SUMIFS(KASA!$Q:$Q, KASA!$C:$C, $C139, KASA!$B:$B, "MAL SATIŞI") + SUMIFS(KASA!$Q:$Q, KASA!$C:$C, $C139, KASA!$B:$B, "ÜRETİM ÇIKIŞ")</f>
        <v>190</v>
      </c>
      <c r="L139" s="5">
        <f>SUMIFS(KASA!$K:$K, KASA!$C:$C, $C139, KASA!$B:$B, "MAL SATIŞI") + SUMIFS(KASA!$K:$K, KASA!$C:$C, $C139, KASA!$B:$B, "ÜRETİM ÇIKIŞ")</f>
        <v>0</v>
      </c>
      <c r="M139" s="5">
        <f t="shared" si="28"/>
        <v>190</v>
      </c>
      <c r="N139" s="5">
        <f t="shared" si="29"/>
        <v>38.5</v>
      </c>
      <c r="O139" s="65">
        <f t="shared" si="30"/>
        <v>0.25412541254125415</v>
      </c>
      <c r="P139" s="5">
        <f t="shared" si="31"/>
        <v>63.333333333333336</v>
      </c>
      <c r="Q139" s="5">
        <f t="shared" si="32"/>
        <v>0</v>
      </c>
      <c r="R139" s="5">
        <f t="shared" si="33"/>
        <v>0</v>
      </c>
      <c r="S139" s="5">
        <f t="shared" si="34"/>
        <v>151.5</v>
      </c>
      <c r="T139">
        <v>2</v>
      </c>
      <c r="U139" s="2">
        <f t="shared" si="35"/>
        <v>-2</v>
      </c>
      <c r="V139">
        <f>SUMIF(KASA!$C$2:$C$9980, C139, KASA!$T$2:$T$9980)</f>
        <v>0</v>
      </c>
      <c r="W139">
        <f>SUMIF(KASA!$C$2:$C$9980, C139, KASA!$U$2:$U$9980)</f>
        <v>0</v>
      </c>
      <c r="X139" s="2">
        <f t="shared" si="36"/>
        <v>0</v>
      </c>
      <c r="Y139" s="2">
        <f t="shared" si="37"/>
        <v>0</v>
      </c>
      <c r="Z139">
        <f>SUMIF(KASA!$C$2:$C$9980, C139, KASA!$V$2:$V$9980)</f>
        <v>151.5</v>
      </c>
      <c r="AA139">
        <f t="shared" si="38"/>
        <v>151.5</v>
      </c>
    </row>
    <row r="140" spans="3:27" x14ac:dyDescent="0.25">
      <c r="C140" s="4" t="s">
        <v>2565</v>
      </c>
      <c r="D140" s="5">
        <f>SUMIFS(KASA!$I:$I, KASA!$C:$C, $C140, KASA!$B:$B, "MAL ALIMI") + SUMIFS(KASA!$I:$I, KASA!$C:$C, $C140, KASA!$B:$B, "ÜRETİM GİRİŞ")</f>
        <v>15</v>
      </c>
      <c r="E140" s="5" cm="1">
        <f t="array" ref="E140">IFERROR(AVERAGE(IF((KASA!$C$2:$C$9980=$C140)*((KASA!$B$2:$B$9980="MAL ALIMI")+(KASA!$B$2:$B$9980="ÜRETİM GİRİŞ")),KASA!$J$2:$J$9980)),0)</f>
        <v>392.15</v>
      </c>
      <c r="F140" s="5">
        <f>SUMIFS(KASA!$I:$I, KASA!$C:$C, $C140, KASA!$B:$B, "MAL SATIŞI") + SUMIFS(KASA!$I:$I, KASA!$C:$C, $C140, KASA!$B:$B, "ÜRETİM ÇIKIŞ")</f>
        <v>3.9339953846153843</v>
      </c>
      <c r="G140" s="5">
        <f>SUMIFS(KASA!$I:$I, KASA!$C:$C, $C140, KASA!$B:$B, "MAL İADE")</f>
        <v>0</v>
      </c>
      <c r="H140" s="5">
        <f>SUMIFS(KASA!$K:$K, KASA!$C:$C, $C140, KASA!$B:$B, "MAL İADE") + SUMIFS(KASA!$Q:$Q, KASA!$C:$C, $C140, KASA!$B:$B, "MAL İADE")</f>
        <v>0</v>
      </c>
      <c r="I140" s="5">
        <f t="shared" si="26"/>
        <v>3.9339953846153843</v>
      </c>
      <c r="J140" s="5">
        <f t="shared" si="27"/>
        <v>1542.7162900769229</v>
      </c>
      <c r="K140" s="5">
        <f>SUMIFS(KASA!$Q:$Q, KASA!$C:$C, $C140, KASA!$B:$B, "MAL SATIŞI") + SUMIFS(KASA!$Q:$Q, KASA!$C:$C, $C140, KASA!$B:$B, "ÜRETİM ÇIKIŞ")</f>
        <v>1170</v>
      </c>
      <c r="L140" s="5">
        <f>SUMIFS(KASA!$K:$K, KASA!$C:$C, $C140, KASA!$B:$B, "MAL SATIŞI") + SUMIFS(KASA!$K:$K, KASA!$C:$C, $C140, KASA!$B:$B, "ÜRETİM ÇIKIŞ")</f>
        <v>1387.097</v>
      </c>
      <c r="M140" s="5">
        <f t="shared" si="28"/>
        <v>2557.0969999999998</v>
      </c>
      <c r="N140" s="5">
        <f t="shared" si="29"/>
        <v>1014.3807099230769</v>
      </c>
      <c r="O140" s="65">
        <f t="shared" si="30"/>
        <v>0.65752900675761838</v>
      </c>
      <c r="P140" s="5">
        <f t="shared" si="31"/>
        <v>650</v>
      </c>
      <c r="Q140" s="5">
        <f t="shared" si="32"/>
        <v>11.066004615384616</v>
      </c>
      <c r="R140" s="5">
        <f t="shared" si="33"/>
        <v>4339.5337099230765</v>
      </c>
      <c r="S140" s="5">
        <f t="shared" si="34"/>
        <v>5882.25</v>
      </c>
      <c r="T140">
        <v>3.778</v>
      </c>
      <c r="U140" s="2">
        <f t="shared" si="35"/>
        <v>7.2880046153846152</v>
      </c>
      <c r="V140">
        <f>SUMIF(KASA!$C$2:$C$9980, C140, KASA!$T$2:$T$9980)</f>
        <v>11.066004615384616</v>
      </c>
      <c r="W140">
        <f>SUMIF(KASA!$C$2:$C$9980, C140, KASA!$U$2:$U$9980)</f>
        <v>3962.9658044615385</v>
      </c>
      <c r="X140" s="2">
        <f t="shared" si="36"/>
        <v>11.066004615384616</v>
      </c>
      <c r="Y140" s="2">
        <f t="shared" si="37"/>
        <v>3962.9658044615385</v>
      </c>
      <c r="Z140">
        <f>SUMIF(KASA!$C$2:$C$9980, C140, KASA!$V$2:$V$9980)</f>
        <v>5671.5</v>
      </c>
      <c r="AA140">
        <f t="shared" si="38"/>
        <v>1708.5341955384615</v>
      </c>
    </row>
    <row r="141" spans="3:27" x14ac:dyDescent="0.25">
      <c r="C141" s="4" t="s">
        <v>2671</v>
      </c>
      <c r="D141" s="5">
        <f>SUMIFS(KASA!$I:$I, KASA!$C:$C, $C141, KASA!$B:$B, "MAL ALIMI") + SUMIFS(KASA!$I:$I, KASA!$C:$C, $C141, KASA!$B:$B, "ÜRETİM GİRİŞ")</f>
        <v>3</v>
      </c>
      <c r="E141" s="5" cm="1">
        <f t="array" ref="E141">IFERROR(AVERAGE(IF((KASA!$C$2:$C$9980=$C141)*((KASA!$B$2:$B$9980="MAL ALIMI")+(KASA!$B$2:$B$9980="ÜRETİM GİRİŞ")),KASA!$J$2:$J$9980)),0)</f>
        <v>219.91</v>
      </c>
      <c r="F141" s="5">
        <f>SUMIFS(KASA!$I:$I, KASA!$C:$C, $C141, KASA!$B:$B, "MAL SATIŞI") + SUMIFS(KASA!$I:$I, KASA!$C:$C, $C141, KASA!$B:$B, "ÜRETİM ÇIKIŞ")</f>
        <v>0</v>
      </c>
      <c r="G141" s="5">
        <f>SUMIFS(KASA!$I:$I, KASA!$C:$C, $C141, KASA!$B:$B, "MAL İADE")</f>
        <v>0</v>
      </c>
      <c r="H141" s="5">
        <f>SUMIFS(KASA!$K:$K, KASA!$C:$C, $C141, KASA!$B:$B, "MAL İADE") + SUMIFS(KASA!$Q:$Q, KASA!$C:$C, $C141, KASA!$B:$B, "MAL İADE")</f>
        <v>0</v>
      </c>
      <c r="I141" s="5">
        <f t="shared" si="26"/>
        <v>0</v>
      </c>
      <c r="J141" s="5">
        <f t="shared" si="27"/>
        <v>0</v>
      </c>
      <c r="K141" s="5">
        <f>SUMIFS(KASA!$Q:$Q, KASA!$C:$C, $C141, KASA!$B:$B, "MAL SATIŞI") + SUMIFS(KASA!$Q:$Q, KASA!$C:$C, $C141, KASA!$B:$B, "ÜRETİM ÇIKIŞ")</f>
        <v>0</v>
      </c>
      <c r="L141" s="5">
        <f>SUMIFS(KASA!$K:$K, KASA!$C:$C, $C141, KASA!$B:$B, "MAL SATIŞI") + SUMIFS(KASA!$K:$K, KASA!$C:$C, $C141, KASA!$B:$B, "ÜRETİM ÇIKIŞ")</f>
        <v>0</v>
      </c>
      <c r="M141" s="5">
        <f t="shared" si="28"/>
        <v>0</v>
      </c>
      <c r="N141" s="5">
        <f t="shared" si="29"/>
        <v>0</v>
      </c>
      <c r="O141" s="65">
        <f t="shared" si="30"/>
        <v>0</v>
      </c>
      <c r="P141" s="5" t="e">
        <f t="shared" si="31"/>
        <v>#DIV/0!</v>
      </c>
      <c r="Q141" s="5">
        <f t="shared" si="32"/>
        <v>3</v>
      </c>
      <c r="R141" s="5">
        <f t="shared" si="33"/>
        <v>659.73</v>
      </c>
      <c r="S141" s="5">
        <f t="shared" si="34"/>
        <v>659.73</v>
      </c>
      <c r="T141">
        <v>3</v>
      </c>
      <c r="U141" s="2">
        <f t="shared" si="35"/>
        <v>0</v>
      </c>
      <c r="V141">
        <f>SUMIF(KASA!$C$2:$C$9980, C141, KASA!$T$2:$T$9980)</f>
        <v>3</v>
      </c>
      <c r="W141">
        <f>SUMIF(KASA!$C$2:$C$9980, C141, KASA!$U$2:$U$9980)</f>
        <v>661.88</v>
      </c>
      <c r="X141" s="2">
        <f t="shared" si="36"/>
        <v>3</v>
      </c>
      <c r="Y141" s="2">
        <f t="shared" si="37"/>
        <v>661.88</v>
      </c>
      <c r="Z141">
        <f>SUMIF(KASA!$C$2:$C$9980, C141, KASA!$V$2:$V$9980)</f>
        <v>661.88</v>
      </c>
      <c r="AA141">
        <f t="shared" si="38"/>
        <v>0</v>
      </c>
    </row>
    <row r="142" spans="3:27" x14ac:dyDescent="0.25">
      <c r="C142" s="4" t="s">
        <v>2682</v>
      </c>
      <c r="D142" s="5">
        <f>SUMIFS(KASA!$I:$I, KASA!$C:$C, $C142, KASA!$B:$B, "MAL ALIMI") + SUMIFS(KASA!$I:$I, KASA!$C:$C, $C142, KASA!$B:$B, "ÜRETİM GİRİŞ")</f>
        <v>5</v>
      </c>
      <c r="E142" s="5" cm="1">
        <f t="array" ref="E142">IFERROR(AVERAGE(IF((KASA!$C$2:$C$9980=$C142)*((KASA!$B$2:$B$9980="MAL ALIMI")+(KASA!$B$2:$B$9980="ÜRETİM GİRİŞ")),KASA!$J$2:$J$9980)),0)</f>
        <v>182.00399999999999</v>
      </c>
      <c r="F142" s="5">
        <f>SUMIFS(KASA!$I:$I, KASA!$C:$C, $C142, KASA!$B:$B, "MAL SATIŞI") + SUMIFS(KASA!$I:$I, KASA!$C:$C, $C142, KASA!$B:$B, "ÜRETİM ÇIKIŞ")</f>
        <v>3</v>
      </c>
      <c r="G142" s="5">
        <f>SUMIFS(KASA!$I:$I, KASA!$C:$C, $C142, KASA!$B:$B, "MAL İADE")</f>
        <v>0</v>
      </c>
      <c r="H142" s="5">
        <f>SUMIFS(KASA!$K:$K, KASA!$C:$C, $C142, KASA!$B:$B, "MAL İADE") + SUMIFS(KASA!$Q:$Q, KASA!$C:$C, $C142, KASA!$B:$B, "MAL İADE")</f>
        <v>0</v>
      </c>
      <c r="I142" s="5">
        <f t="shared" si="26"/>
        <v>3</v>
      </c>
      <c r="J142" s="5">
        <f t="shared" si="27"/>
        <v>546.01199999999994</v>
      </c>
      <c r="K142" s="5">
        <f>SUMIFS(KASA!$Q:$Q, KASA!$C:$C, $C142, KASA!$B:$B, "MAL SATIŞI") + SUMIFS(KASA!$Q:$Q, KASA!$C:$C, $C142, KASA!$B:$B, "ÜRETİM ÇIKIŞ")</f>
        <v>950</v>
      </c>
      <c r="L142" s="5">
        <f>SUMIFS(KASA!$K:$K, KASA!$C:$C, $C142, KASA!$B:$B, "MAL SATIŞI") + SUMIFS(KASA!$K:$K, KASA!$C:$C, $C142, KASA!$B:$B, "ÜRETİM ÇIKIŞ")</f>
        <v>500</v>
      </c>
      <c r="M142" s="5">
        <f t="shared" si="28"/>
        <v>1450</v>
      </c>
      <c r="N142" s="5">
        <f t="shared" si="29"/>
        <v>903.98800000000006</v>
      </c>
      <c r="O142" s="65">
        <f t="shared" si="30"/>
        <v>1.6556192904185258</v>
      </c>
      <c r="P142" s="5">
        <f t="shared" si="31"/>
        <v>483.33333333333331</v>
      </c>
      <c r="Q142" s="5">
        <f t="shared" si="32"/>
        <v>2</v>
      </c>
      <c r="R142" s="5">
        <f t="shared" si="33"/>
        <v>364.00799999999998</v>
      </c>
      <c r="S142" s="5">
        <f t="shared" si="34"/>
        <v>910.02</v>
      </c>
      <c r="T142">
        <v>5</v>
      </c>
      <c r="U142" s="2">
        <f t="shared" si="35"/>
        <v>-3</v>
      </c>
      <c r="V142">
        <f>SUMIF(KASA!$C$2:$C$9980, C142, KASA!$T$2:$T$9980)</f>
        <v>2</v>
      </c>
      <c r="W142">
        <f>SUMIF(KASA!$C$2:$C$9980, C142, KASA!$U$2:$U$9980)</f>
        <v>364.00799999999998</v>
      </c>
      <c r="X142" s="2">
        <f t="shared" si="36"/>
        <v>2</v>
      </c>
      <c r="Y142" s="2">
        <f t="shared" si="37"/>
        <v>364.00799999999998</v>
      </c>
      <c r="Z142">
        <f>SUMIF(KASA!$C$2:$C$9980, C142, KASA!$V$2:$V$9980)</f>
        <v>910.02</v>
      </c>
      <c r="AA142">
        <f t="shared" si="38"/>
        <v>546.01199999999994</v>
      </c>
    </row>
    <row r="143" spans="3:27" x14ac:dyDescent="0.25">
      <c r="C143" s="4" t="s">
        <v>187</v>
      </c>
      <c r="D143" s="5">
        <f>SUMIFS(KASA!$I:$I, KASA!$C:$C, $C143, KASA!$B:$B, "MAL ALIMI") + SUMIFS(KASA!$I:$I, KASA!$C:$C, $C143, KASA!$B:$B, "ÜRETİM GİRİŞ")</f>
        <v>10</v>
      </c>
      <c r="E143" s="5" cm="1">
        <f t="array" ref="E143">IFERROR(AVERAGE(IF((KASA!$C$2:$C$9980=$C143)*((KASA!$B$2:$B$9980="MAL ALIMI")+(KASA!$B$2:$B$9980="ÜRETİM GİRİŞ")),KASA!$J$2:$J$9980)),0)</f>
        <v>20</v>
      </c>
      <c r="F143" s="5">
        <f>SUMIFS(KASA!$I:$I, KASA!$C:$C, $C143, KASA!$B:$B, "MAL SATIŞI") + SUMIFS(KASA!$I:$I, KASA!$C:$C, $C143, KASA!$B:$B, "ÜRETİM ÇIKIŞ")</f>
        <v>9</v>
      </c>
      <c r="G143" s="5">
        <f>SUMIFS(KASA!$I:$I, KASA!$C:$C, $C143, KASA!$B:$B, "MAL İADE")</f>
        <v>0</v>
      </c>
      <c r="H143" s="5">
        <f>SUMIFS(KASA!$K:$K, KASA!$C:$C, $C143, KASA!$B:$B, "MAL İADE") + SUMIFS(KASA!$Q:$Q, KASA!$C:$C, $C143, KASA!$B:$B, "MAL İADE")</f>
        <v>0</v>
      </c>
      <c r="I143" s="5">
        <f t="shared" si="26"/>
        <v>9</v>
      </c>
      <c r="J143" s="5">
        <f t="shared" si="27"/>
        <v>180</v>
      </c>
      <c r="K143" s="5">
        <f>SUMIFS(KASA!$Q:$Q, KASA!$C:$C, $C143, KASA!$B:$B, "MAL SATIŞI") + SUMIFS(KASA!$Q:$Q, KASA!$C:$C, $C143, KASA!$B:$B, "ÜRETİM ÇIKIŞ")</f>
        <v>240</v>
      </c>
      <c r="L143" s="5">
        <f>SUMIFS(KASA!$K:$K, KASA!$C:$C, $C143, KASA!$B:$B, "MAL SATIŞI") + SUMIFS(KASA!$K:$K, KASA!$C:$C, $C143, KASA!$B:$B, "ÜRETİM ÇIKIŞ")</f>
        <v>300</v>
      </c>
      <c r="M143" s="5">
        <f t="shared" si="28"/>
        <v>540</v>
      </c>
      <c r="N143" s="5">
        <f t="shared" si="29"/>
        <v>360</v>
      </c>
      <c r="O143" s="65">
        <f t="shared" si="30"/>
        <v>2</v>
      </c>
      <c r="P143" s="5">
        <f t="shared" si="31"/>
        <v>60</v>
      </c>
      <c r="Q143" s="5">
        <f t="shared" si="32"/>
        <v>1</v>
      </c>
      <c r="R143" s="5">
        <f t="shared" si="33"/>
        <v>20</v>
      </c>
      <c r="S143" s="5">
        <f t="shared" si="34"/>
        <v>200</v>
      </c>
      <c r="T143">
        <v>1</v>
      </c>
      <c r="U143" s="2">
        <f t="shared" si="35"/>
        <v>0</v>
      </c>
      <c r="V143">
        <f>SUMIF(KASA!$C$2:$C$9980, C143, KASA!$T$2:$T$9980)</f>
        <v>1</v>
      </c>
      <c r="W143">
        <f>SUMIF(KASA!$C$2:$C$9980, C143, KASA!$U$2:$U$9980)</f>
        <v>20</v>
      </c>
      <c r="X143" s="2">
        <f t="shared" si="36"/>
        <v>1</v>
      </c>
      <c r="Y143" s="2">
        <f t="shared" si="37"/>
        <v>20</v>
      </c>
      <c r="Z143">
        <f>SUMIF(KASA!$C$2:$C$9980, C143, KASA!$V$2:$V$9980)</f>
        <v>200</v>
      </c>
      <c r="AA143">
        <f t="shared" si="38"/>
        <v>180</v>
      </c>
    </row>
    <row r="144" spans="3:27" x14ac:dyDescent="0.25">
      <c r="C144" s="4" t="s">
        <v>189</v>
      </c>
      <c r="D144" s="5">
        <f>SUMIFS(KASA!$I:$I, KASA!$C:$C, $C144, KASA!$B:$B, "MAL ALIMI") + SUMIFS(KASA!$I:$I, KASA!$C:$C, $C144, KASA!$B:$B, "ÜRETİM GİRİŞ")</f>
        <v>1</v>
      </c>
      <c r="E144" s="5" cm="1">
        <f t="array" ref="E144">IFERROR(AVERAGE(IF((KASA!$C$2:$C$9980=$C144)*((KASA!$B$2:$B$9980="MAL ALIMI")+(KASA!$B$2:$B$9980="ÜRETİM GİRİŞ")),KASA!$J$2:$J$9980)),0)</f>
        <v>245</v>
      </c>
      <c r="F144" s="5">
        <f>SUMIFS(KASA!$I:$I, KASA!$C:$C, $C144, KASA!$B:$B, "MAL SATIŞI") + SUMIFS(KASA!$I:$I, KASA!$C:$C, $C144, KASA!$B:$B, "ÜRETİM ÇIKIŞ")</f>
        <v>0.42578378378378384</v>
      </c>
      <c r="G144" s="5">
        <f>SUMIFS(KASA!$I:$I, KASA!$C:$C, $C144, KASA!$B:$B, "MAL İADE")</f>
        <v>0</v>
      </c>
      <c r="H144" s="5">
        <f>SUMIFS(KASA!$K:$K, KASA!$C:$C, $C144, KASA!$B:$B, "MAL İADE") + SUMIFS(KASA!$Q:$Q, KASA!$C:$C, $C144, KASA!$B:$B, "MAL İADE")</f>
        <v>0</v>
      </c>
      <c r="I144" s="5">
        <f t="shared" si="26"/>
        <v>0.42578378378378384</v>
      </c>
      <c r="J144" s="5">
        <f t="shared" si="27"/>
        <v>104.31702702702704</v>
      </c>
      <c r="K144" s="5">
        <f>SUMIFS(KASA!$Q:$Q, KASA!$C:$C, $C144, KASA!$B:$B, "MAL SATIŞI") + SUMIFS(KASA!$Q:$Q, KASA!$C:$C, $C144, KASA!$B:$B, "ÜRETİM ÇIKIŞ")</f>
        <v>219.37</v>
      </c>
      <c r="L144" s="5">
        <f>SUMIFS(KASA!$K:$K, KASA!$C:$C, $C144, KASA!$B:$B, "MAL SATIŞI") + SUMIFS(KASA!$K:$K, KASA!$C:$C, $C144, KASA!$B:$B, "ÜRETİM ÇIKIŞ")</f>
        <v>93</v>
      </c>
      <c r="M144" s="5">
        <f t="shared" si="28"/>
        <v>312.37</v>
      </c>
      <c r="N144" s="5">
        <f t="shared" si="29"/>
        <v>208.05297297297295</v>
      </c>
      <c r="O144" s="65">
        <f t="shared" si="30"/>
        <v>1.9944296621784421</v>
      </c>
      <c r="P144" s="5">
        <f t="shared" si="31"/>
        <v>733.63526723371831</v>
      </c>
      <c r="Q144" s="5">
        <f t="shared" si="32"/>
        <v>0.5742162162162161</v>
      </c>
      <c r="R144" s="5">
        <f t="shared" si="33"/>
        <v>140.68297297297295</v>
      </c>
      <c r="S144" s="5">
        <f t="shared" si="34"/>
        <v>245</v>
      </c>
      <c r="T144">
        <v>0.76</v>
      </c>
      <c r="U144" s="2">
        <f t="shared" si="35"/>
        <v>-0.18578378378378391</v>
      </c>
      <c r="V144">
        <f>SUMIF(KASA!$C$2:$C$9980, C144, KASA!$T$2:$T$9980)</f>
        <v>0.5742162162162161</v>
      </c>
      <c r="W144">
        <f>SUMIF(KASA!$C$2:$C$9980, C144, KASA!$U$2:$U$9980)</f>
        <v>140.68297297297295</v>
      </c>
      <c r="X144" s="2">
        <f t="shared" si="36"/>
        <v>0.5742162162162161</v>
      </c>
      <c r="Y144" s="2">
        <f t="shared" si="37"/>
        <v>140.68297297297295</v>
      </c>
      <c r="Z144">
        <f>SUMIF(KASA!$C$2:$C$9980, C144, KASA!$V$2:$V$9980)</f>
        <v>245</v>
      </c>
      <c r="AA144">
        <f t="shared" si="38"/>
        <v>104.31702702702705</v>
      </c>
    </row>
    <row r="145" spans="3:27" x14ac:dyDescent="0.25">
      <c r="C145" s="4" t="s">
        <v>190</v>
      </c>
      <c r="D145" s="5">
        <f>SUMIFS(KASA!$I:$I, KASA!$C:$C, $C145, KASA!$B:$B, "MAL ALIMI") + SUMIFS(KASA!$I:$I, KASA!$C:$C, $C145, KASA!$B:$B, "ÜRETİM GİRİŞ")</f>
        <v>1</v>
      </c>
      <c r="E145" s="5" cm="1">
        <f t="array" ref="E145">IFERROR(AVERAGE(IF((KASA!$C$2:$C$9980=$C145)*((KASA!$B$2:$B$9980="MAL ALIMI")+(KASA!$B$2:$B$9980="ÜRETİM GİRİŞ")),KASA!$J$2:$J$9980)),0)</f>
        <v>590</v>
      </c>
      <c r="F145" s="5">
        <f>SUMIFS(KASA!$I:$I, KASA!$C:$C, $C145, KASA!$B:$B, "MAL SATIŞI") + SUMIFS(KASA!$I:$I, KASA!$C:$C, $C145, KASA!$B:$B, "ÜRETİM ÇIKIŞ")</f>
        <v>0.26100000000000001</v>
      </c>
      <c r="G145" s="5">
        <f>SUMIFS(KASA!$I:$I, KASA!$C:$C, $C145, KASA!$B:$B, "MAL İADE")</f>
        <v>0</v>
      </c>
      <c r="H145" s="5">
        <f>SUMIFS(KASA!$K:$K, KASA!$C:$C, $C145, KASA!$B:$B, "MAL İADE") + SUMIFS(KASA!$Q:$Q, KASA!$C:$C, $C145, KASA!$B:$B, "MAL İADE")</f>
        <v>0</v>
      </c>
      <c r="I145" s="5">
        <f t="shared" si="26"/>
        <v>0.26100000000000001</v>
      </c>
      <c r="J145" s="5">
        <f t="shared" si="27"/>
        <v>153.99</v>
      </c>
      <c r="K145" s="5">
        <f>SUMIFS(KASA!$Q:$Q, KASA!$C:$C, $C145, KASA!$B:$B, "MAL SATIŞI") + SUMIFS(KASA!$Q:$Q, KASA!$C:$C, $C145, KASA!$B:$B, "ÜRETİM ÇIKIŞ")</f>
        <v>364.96999999999997</v>
      </c>
      <c r="L145" s="5">
        <f>SUMIFS(KASA!$K:$K, KASA!$C:$C, $C145, KASA!$B:$B, "MAL SATIŞI") + SUMIFS(KASA!$K:$K, KASA!$C:$C, $C145, KASA!$B:$B, "ÜRETİM ÇIKIŞ")</f>
        <v>88.5</v>
      </c>
      <c r="M145" s="5">
        <f t="shared" si="28"/>
        <v>453.46999999999997</v>
      </c>
      <c r="N145" s="5">
        <f t="shared" si="29"/>
        <v>299.47999999999996</v>
      </c>
      <c r="O145" s="65">
        <f t="shared" si="30"/>
        <v>1.9448016104941876</v>
      </c>
      <c r="P145" s="5">
        <f t="shared" si="31"/>
        <v>1737.4329501915706</v>
      </c>
      <c r="Q145" s="5">
        <f t="shared" si="32"/>
        <v>0.73899999999999999</v>
      </c>
      <c r="R145" s="5">
        <f t="shared" si="33"/>
        <v>436.01</v>
      </c>
      <c r="S145" s="5">
        <f t="shared" si="34"/>
        <v>590</v>
      </c>
      <c r="T145">
        <v>0.74</v>
      </c>
      <c r="U145" s="2">
        <f t="shared" si="35"/>
        <v>-1.0000000000000009E-3</v>
      </c>
      <c r="V145">
        <f>SUMIF(KASA!$C$2:$C$9980, C145, KASA!$T$2:$T$9980)</f>
        <v>0.73899999999999999</v>
      </c>
      <c r="W145">
        <f>SUMIF(KASA!$C$2:$C$9980, C145, KASA!$U$2:$U$9980)</f>
        <v>436.01</v>
      </c>
      <c r="X145" s="2">
        <f t="shared" si="36"/>
        <v>0.73899999999999999</v>
      </c>
      <c r="Y145" s="2">
        <f t="shared" si="37"/>
        <v>436.01</v>
      </c>
      <c r="Z145">
        <f>SUMIF(KASA!$C$2:$C$9980, C145, KASA!$V$2:$V$9980)</f>
        <v>590</v>
      </c>
      <c r="AA145">
        <f t="shared" si="38"/>
        <v>153.99</v>
      </c>
    </row>
    <row r="146" spans="3:27" x14ac:dyDescent="0.25">
      <c r="C146" s="4" t="s">
        <v>191</v>
      </c>
      <c r="D146" s="5">
        <f>SUMIFS(KASA!$I:$I, KASA!$C:$C, $C146, KASA!$B:$B, "MAL ALIMI") + SUMIFS(KASA!$I:$I, KASA!$C:$C, $C146, KASA!$B:$B, "ÜRETİM GİRİŞ")</f>
        <v>1</v>
      </c>
      <c r="E146" s="5" cm="1">
        <f t="array" ref="E146">IFERROR(AVERAGE(IF((KASA!$C$2:$C$9980=$C146)*((KASA!$B$2:$B$9980="MAL ALIMI")+(KASA!$B$2:$B$9980="ÜRETİM GİRİŞ")),KASA!$J$2:$J$9980)),0)</f>
        <v>95</v>
      </c>
      <c r="F146" s="5">
        <f>SUMIFS(KASA!$I:$I, KASA!$C:$C, $C146, KASA!$B:$B, "MAL SATIŞI") + SUMIFS(KASA!$I:$I, KASA!$C:$C, $C146, KASA!$B:$B, "ÜRETİM ÇIKIŞ")</f>
        <v>3.5999999999999997E-2</v>
      </c>
      <c r="G146" s="5">
        <f>SUMIFS(KASA!$I:$I, KASA!$C:$C, $C146, KASA!$B:$B, "MAL İADE")</f>
        <v>0</v>
      </c>
      <c r="H146" s="5">
        <f>SUMIFS(KASA!$K:$K, KASA!$C:$C, $C146, KASA!$B:$B, "MAL İADE") + SUMIFS(KASA!$Q:$Q, KASA!$C:$C, $C146, KASA!$B:$B, "MAL İADE")</f>
        <v>0</v>
      </c>
      <c r="I146" s="5">
        <f t="shared" si="26"/>
        <v>3.5999999999999997E-2</v>
      </c>
      <c r="J146" s="5">
        <f t="shared" si="27"/>
        <v>3.42</v>
      </c>
      <c r="K146" s="5">
        <f>SUMIFS(KASA!$Q:$Q, KASA!$C:$C, $C146, KASA!$B:$B, "MAL SATIŞI") + SUMIFS(KASA!$Q:$Q, KASA!$C:$C, $C146, KASA!$B:$B, "ÜRETİM ÇIKIŞ")</f>
        <v>0</v>
      </c>
      <c r="L146" s="5">
        <f>SUMIFS(KASA!$K:$K, KASA!$C:$C, $C146, KASA!$B:$B, "MAL SATIŞI") + SUMIFS(KASA!$K:$K, KASA!$C:$C, $C146, KASA!$B:$B, "ÜRETİM ÇIKIŞ")</f>
        <v>26.999999999999996</v>
      </c>
      <c r="M146" s="5">
        <f t="shared" si="28"/>
        <v>26.999999999999996</v>
      </c>
      <c r="N146" s="5">
        <f t="shared" si="29"/>
        <v>23.58</v>
      </c>
      <c r="O146" s="65">
        <f t="shared" si="30"/>
        <v>6.8947368421052628</v>
      </c>
      <c r="P146" s="5">
        <f t="shared" si="31"/>
        <v>750</v>
      </c>
      <c r="Q146" s="5">
        <f t="shared" si="32"/>
        <v>0.96399999999999997</v>
      </c>
      <c r="R146" s="5">
        <f t="shared" si="33"/>
        <v>91.58</v>
      </c>
      <c r="S146" s="5">
        <f t="shared" si="34"/>
        <v>95</v>
      </c>
      <c r="T146">
        <v>0.96</v>
      </c>
      <c r="U146" s="2">
        <f t="shared" si="35"/>
        <v>4.0000000000000036E-3</v>
      </c>
      <c r="V146">
        <f>SUMIF(KASA!$C$2:$C$9980, C146, KASA!$T$2:$T$9980)</f>
        <v>0.96399999999999997</v>
      </c>
      <c r="W146">
        <f>SUMIF(KASA!$C$2:$C$9980, C146, KASA!$U$2:$U$9980)</f>
        <v>91.58</v>
      </c>
      <c r="X146" s="2">
        <f t="shared" si="36"/>
        <v>0.96399999999999997</v>
      </c>
      <c r="Y146" s="2">
        <f t="shared" si="37"/>
        <v>91.58</v>
      </c>
      <c r="Z146">
        <f>SUMIF(KASA!$C$2:$C$9980, C146, KASA!$V$2:$V$9980)</f>
        <v>95</v>
      </c>
      <c r="AA146">
        <f t="shared" si="38"/>
        <v>3.4200000000000017</v>
      </c>
    </row>
    <row r="147" spans="3:27" x14ac:dyDescent="0.25">
      <c r="C147" s="4" t="s">
        <v>192</v>
      </c>
      <c r="D147" s="5">
        <f>SUMIFS(KASA!$I:$I, KASA!$C:$C, $C147, KASA!$B:$B, "MAL ALIMI") + SUMIFS(KASA!$I:$I, KASA!$C:$C, $C147, KASA!$B:$B, "ÜRETİM GİRİŞ")</f>
        <v>6</v>
      </c>
      <c r="E147" s="5" cm="1">
        <f t="array" ref="E147">IFERROR(AVERAGE(IF((KASA!$C$2:$C$9980=$C147)*((KASA!$B$2:$B$9980="MAL ALIMI")+(KASA!$B$2:$B$9980="ÜRETİM GİRİŞ")),KASA!$J$2:$J$9980)),0)</f>
        <v>88.75</v>
      </c>
      <c r="F147" s="5">
        <f>SUMIFS(KASA!$I:$I, KASA!$C:$C, $C147, KASA!$B:$B, "MAL SATIŞI") + SUMIFS(KASA!$I:$I, KASA!$C:$C, $C147, KASA!$B:$B, "ÜRETİM ÇIKIŞ")</f>
        <v>5.7031203836930491</v>
      </c>
      <c r="G147" s="5">
        <f>SUMIFS(KASA!$I:$I, KASA!$C:$C, $C147, KASA!$B:$B, "MAL İADE")</f>
        <v>0</v>
      </c>
      <c r="H147" s="5">
        <f>SUMIFS(KASA!$K:$K, KASA!$C:$C, $C147, KASA!$B:$B, "MAL İADE") + SUMIFS(KASA!$Q:$Q, KASA!$C:$C, $C147, KASA!$B:$B, "MAL İADE")</f>
        <v>0</v>
      </c>
      <c r="I147" s="5">
        <f t="shared" si="26"/>
        <v>5.7031203836930491</v>
      </c>
      <c r="J147" s="5">
        <f t="shared" si="27"/>
        <v>506.15193405275812</v>
      </c>
      <c r="K147" s="5">
        <f>SUMIFS(KASA!$Q:$Q, KASA!$C:$C, $C147, KASA!$B:$B, "MAL SATIŞI") + SUMIFS(KASA!$Q:$Q, KASA!$C:$C, $C147, KASA!$B:$B, "ÜRETİM ÇIKIŞ")</f>
        <v>1741.7659999999994</v>
      </c>
      <c r="L147" s="5">
        <f>SUMIFS(KASA!$K:$K, KASA!$C:$C, $C147, KASA!$B:$B, "MAL SATIŞI") + SUMIFS(KASA!$K:$K, KASA!$C:$C, $C147, KASA!$B:$B, "ÜRETİM ÇIKIŞ")</f>
        <v>490.6</v>
      </c>
      <c r="M147" s="5">
        <f t="shared" si="28"/>
        <v>2232.3659999999995</v>
      </c>
      <c r="N147" s="5">
        <f t="shared" si="29"/>
        <v>1726.2140659472414</v>
      </c>
      <c r="O147" s="65">
        <f t="shared" si="30"/>
        <v>3.4104662055234023</v>
      </c>
      <c r="P147" s="5">
        <f t="shared" si="31"/>
        <v>391.42887574020199</v>
      </c>
      <c r="Q147" s="5">
        <f t="shared" si="32"/>
        <v>0.29687961630695092</v>
      </c>
      <c r="R147" s="5">
        <f t="shared" si="33"/>
        <v>26.348065947241896</v>
      </c>
      <c r="S147" s="5">
        <f t="shared" si="34"/>
        <v>532.5</v>
      </c>
      <c r="T147">
        <v>2.7</v>
      </c>
      <c r="U147" s="2">
        <f t="shared" si="35"/>
        <v>-2.4031203836930493</v>
      </c>
      <c r="V147">
        <f>SUMIF(KASA!$C$2:$C$9980, C147, KASA!$T$2:$T$9980)</f>
        <v>0.29687961630695092</v>
      </c>
      <c r="W147">
        <f>SUMIF(KASA!$C$2:$C$9980, C147, KASA!$U$2:$U$9980)</f>
        <v>29.687961630695092</v>
      </c>
      <c r="X147" s="2">
        <f t="shared" si="36"/>
        <v>0.29687961630695092</v>
      </c>
      <c r="Y147" s="2">
        <f t="shared" si="37"/>
        <v>29.687961630695092</v>
      </c>
      <c r="Z147">
        <f>SUMIF(KASA!$C$2:$C$9980, C147, KASA!$V$2:$V$9980)</f>
        <v>540</v>
      </c>
      <c r="AA147">
        <f t="shared" si="38"/>
        <v>510.3120383693049</v>
      </c>
    </row>
    <row r="148" spans="3:27" x14ac:dyDescent="0.25">
      <c r="C148" s="4" t="s">
        <v>193</v>
      </c>
      <c r="D148" s="5">
        <f>SUMIFS(KASA!$I:$I, KASA!$C:$C, $C148, KASA!$B:$B, "MAL ALIMI") + SUMIFS(KASA!$I:$I, KASA!$C:$C, $C148, KASA!$B:$B, "ÜRETİM GİRİŞ")</f>
        <v>3</v>
      </c>
      <c r="E148" s="5" cm="1">
        <f t="array" ref="E148">IFERROR(AVERAGE(IF((KASA!$C$2:$C$9980=$C148)*((KASA!$B$2:$B$9980="MAL ALIMI")+(KASA!$B$2:$B$9980="ÜRETİM GİRİŞ")),KASA!$J$2:$J$9980)),0)</f>
        <v>168.33331766666666</v>
      </c>
      <c r="F148" s="5">
        <f>SUMIFS(KASA!$I:$I, KASA!$C:$C, $C148, KASA!$B:$B, "MAL SATIŞI") + SUMIFS(KASA!$I:$I, KASA!$C:$C, $C148, KASA!$B:$B, "ÜRETİM ÇIKIŞ")</f>
        <v>1.8530000000000006</v>
      </c>
      <c r="G148" s="5">
        <f>SUMIFS(KASA!$I:$I, KASA!$C:$C, $C148, KASA!$B:$B, "MAL İADE")</f>
        <v>0</v>
      </c>
      <c r="H148" s="5">
        <f>SUMIFS(KASA!$K:$K, KASA!$C:$C, $C148, KASA!$B:$B, "MAL İADE") + SUMIFS(KASA!$Q:$Q, KASA!$C:$C, $C148, KASA!$B:$B, "MAL İADE")</f>
        <v>0</v>
      </c>
      <c r="I148" s="5">
        <f t="shared" si="26"/>
        <v>1.8530000000000006</v>
      </c>
      <c r="J148" s="5">
        <f t="shared" si="27"/>
        <v>311.9216376363334</v>
      </c>
      <c r="K148" s="5">
        <f>SUMIFS(KASA!$Q:$Q, KASA!$C:$C, $C148, KASA!$B:$B, "MAL SATIŞI") + SUMIFS(KASA!$Q:$Q, KASA!$C:$C, $C148, KASA!$B:$B, "ÜRETİM ÇIKIŞ")</f>
        <v>1169.4000000000001</v>
      </c>
      <c r="L148" s="5">
        <f>SUMIFS(KASA!$K:$K, KASA!$C:$C, $C148, KASA!$B:$B, "MAL SATIŞI") + SUMIFS(KASA!$K:$K, KASA!$C:$C, $C148, KASA!$B:$B, "ÜRETİM ÇIKIŞ")</f>
        <v>881.8</v>
      </c>
      <c r="M148" s="5">
        <f t="shared" si="28"/>
        <v>2051.1999999999998</v>
      </c>
      <c r="N148" s="5">
        <f t="shared" si="29"/>
        <v>1739.2783623636665</v>
      </c>
      <c r="O148" s="65">
        <f t="shared" si="30"/>
        <v>5.5760106145360631</v>
      </c>
      <c r="P148" s="5">
        <f t="shared" si="31"/>
        <v>1106.9616837560707</v>
      </c>
      <c r="Q148" s="5">
        <f t="shared" si="32"/>
        <v>1.1469999999999994</v>
      </c>
      <c r="R148" s="5">
        <f t="shared" si="33"/>
        <v>193.07831536366655</v>
      </c>
      <c r="S148" s="5">
        <f t="shared" si="34"/>
        <v>504.999953</v>
      </c>
      <c r="T148">
        <v>0.7</v>
      </c>
      <c r="U148" s="2">
        <f t="shared" si="35"/>
        <v>0.4469999999999994</v>
      </c>
      <c r="V148">
        <f>SUMIF(KASA!$C$2:$C$9980, C148, KASA!$T$2:$T$9980)</f>
        <v>1.1469999999999994</v>
      </c>
      <c r="W148">
        <f>SUMIF(KASA!$C$2:$C$9980, C148, KASA!$U$2:$U$9980)</f>
        <v>177.0499529999999</v>
      </c>
      <c r="X148" s="2">
        <f t="shared" si="36"/>
        <v>1.1469999999999994</v>
      </c>
      <c r="Y148" s="2">
        <f t="shared" si="37"/>
        <v>177.0499529999999</v>
      </c>
      <c r="Z148">
        <f>SUMIF(KASA!$C$2:$C$9980, C148, KASA!$V$2:$V$9980)</f>
        <v>504.999953</v>
      </c>
      <c r="AA148">
        <f t="shared" si="38"/>
        <v>327.9500000000001</v>
      </c>
    </row>
    <row r="149" spans="3:27" x14ac:dyDescent="0.25">
      <c r="C149" s="4" t="s">
        <v>194</v>
      </c>
      <c r="D149" s="5">
        <f>SUMIFS(KASA!$I:$I, KASA!$C:$C, $C149, KASA!$B:$B, "MAL ALIMI") + SUMIFS(KASA!$I:$I, KASA!$C:$C, $C149, KASA!$B:$B, "ÜRETİM GİRİŞ")</f>
        <v>12</v>
      </c>
      <c r="E149" s="5" cm="1">
        <f t="array" ref="E149">IFERROR(AVERAGE(IF((KASA!$C$2:$C$9980=$C149)*((KASA!$B$2:$B$9980="MAL ALIMI")+(KASA!$B$2:$B$9980="ÜRETİM GİRİŞ")),KASA!$J$2:$J$9980)),0)</f>
        <v>549.71416666666664</v>
      </c>
      <c r="F149" s="5">
        <f>SUMIFS(KASA!$I:$I, KASA!$C:$C, $C149, KASA!$B:$B, "MAL SATIŞI") + SUMIFS(KASA!$I:$I, KASA!$C:$C, $C149, KASA!$B:$B, "ÜRETİM ÇIKIŞ")</f>
        <v>5.0726666666666675</v>
      </c>
      <c r="G149" s="5">
        <f>SUMIFS(KASA!$I:$I, KASA!$C:$C, $C149, KASA!$B:$B, "MAL İADE")</f>
        <v>5</v>
      </c>
      <c r="H149" s="5">
        <f>SUMIFS(KASA!$K:$K, KASA!$C:$C, $C149, KASA!$B:$B, "MAL İADE") + SUMIFS(KASA!$Q:$Q, KASA!$C:$C, $C149, KASA!$B:$B, "MAL İADE")</f>
        <v>2850</v>
      </c>
      <c r="I149" s="5">
        <f t="shared" si="26"/>
        <v>10.072666666666667</v>
      </c>
      <c r="J149" s="5">
        <f t="shared" si="27"/>
        <v>2788.516729444445</v>
      </c>
      <c r="K149" s="5">
        <f>SUMIFS(KASA!$Q:$Q, KASA!$C:$C, $C149, KASA!$B:$B, "MAL SATIŞI") + SUMIFS(KASA!$Q:$Q, KASA!$C:$C, $C149, KASA!$B:$B, "ÜRETİM ÇIKIŞ")</f>
        <v>1037.5</v>
      </c>
      <c r="L149" s="5">
        <f>SUMIFS(KASA!$K:$K, KASA!$C:$C, $C149, KASA!$B:$B, "MAL SATIŞI") + SUMIFS(KASA!$K:$K, KASA!$C:$C, $C149, KASA!$B:$B, "ÜRETİM ÇIKIŞ")</f>
        <v>2767</v>
      </c>
      <c r="M149" s="5">
        <f t="shared" si="28"/>
        <v>3804.5</v>
      </c>
      <c r="N149" s="5">
        <f t="shared" si="29"/>
        <v>1015.983270555555</v>
      </c>
      <c r="O149" s="65">
        <f t="shared" si="30"/>
        <v>0.36434540981146235</v>
      </c>
      <c r="P149" s="5">
        <f t="shared" si="31"/>
        <v>749.99999999999989</v>
      </c>
      <c r="Q149" s="5">
        <f t="shared" si="32"/>
        <v>1.9273333333333325</v>
      </c>
      <c r="R149" s="5">
        <f t="shared" si="33"/>
        <v>1059.4824372222217</v>
      </c>
      <c r="S149" s="5">
        <f t="shared" si="34"/>
        <v>6596.57</v>
      </c>
      <c r="T149">
        <v>2.6520000000000001</v>
      </c>
      <c r="U149" s="2">
        <f t="shared" si="35"/>
        <v>-0.72466666666666768</v>
      </c>
      <c r="V149">
        <f>SUMIF(KASA!$C$2:$C$9980, C149, KASA!$T$2:$T$9980)</f>
        <v>6.9273333333333325</v>
      </c>
      <c r="W149">
        <f>SUMIF(KASA!$C$2:$C$9980, C149, KASA!$U$2:$U$9980)</f>
        <v>3870.7749999999992</v>
      </c>
      <c r="X149" s="2">
        <f t="shared" si="36"/>
        <v>1.9273333333333325</v>
      </c>
      <c r="Y149" s="2">
        <f t="shared" si="37"/>
        <v>1020.7749999999992</v>
      </c>
      <c r="Z149">
        <f>SUMIF(KASA!$C$2:$C$9980, C149, KASA!$V$2:$V$9980)</f>
        <v>6763.2849999999999</v>
      </c>
      <c r="AA149">
        <f t="shared" si="38"/>
        <v>2892.5100000000007</v>
      </c>
    </row>
    <row r="150" spans="3:27" x14ac:dyDescent="0.25">
      <c r="C150" s="4" t="s">
        <v>195</v>
      </c>
      <c r="D150" s="5">
        <f>SUMIFS(KASA!$I:$I, KASA!$C:$C, $C150, KASA!$B:$B, "MAL ALIMI") + SUMIFS(KASA!$I:$I, KASA!$C:$C, $C150, KASA!$B:$B, "ÜRETİM GİRİŞ")</f>
        <v>3</v>
      </c>
      <c r="E150" s="5" cm="1">
        <f t="array" ref="E150">IFERROR(AVERAGE(IF((KASA!$C$2:$C$9980=$C150)*((KASA!$B$2:$B$9980="MAL ALIMI")+(KASA!$B$2:$B$9980="ÜRETİM GİRİŞ")),KASA!$J$2:$J$9980)),0)</f>
        <v>293.33333333333331</v>
      </c>
      <c r="F150" s="5">
        <f>SUMIFS(KASA!$I:$I, KASA!$C:$C, $C150, KASA!$B:$B, "MAL SATIŞI") + SUMIFS(KASA!$I:$I, KASA!$C:$C, $C150, KASA!$B:$B, "ÜRETİM ÇIKIŞ")</f>
        <v>0.90800000000000036</v>
      </c>
      <c r="G150" s="5">
        <f>SUMIFS(KASA!$I:$I, KASA!$C:$C, $C150, KASA!$B:$B, "MAL İADE")</f>
        <v>1</v>
      </c>
      <c r="H150" s="5">
        <f>SUMIFS(KASA!$K:$K, KASA!$C:$C, $C150, KASA!$B:$B, "MAL İADE") + SUMIFS(KASA!$Q:$Q, KASA!$C:$C, $C150, KASA!$B:$B, "MAL İADE")</f>
        <v>295</v>
      </c>
      <c r="I150" s="5">
        <f t="shared" si="26"/>
        <v>1.9080000000000004</v>
      </c>
      <c r="J150" s="5">
        <f t="shared" si="27"/>
        <v>266.34666666666675</v>
      </c>
      <c r="K150" s="5">
        <f>SUMIFS(KASA!$Q:$Q, KASA!$C:$C, $C150, KASA!$B:$B, "MAL SATIŞI") + SUMIFS(KASA!$Q:$Q, KASA!$C:$C, $C150, KASA!$B:$B, "ÜRETİM ÇIKIŞ")</f>
        <v>683</v>
      </c>
      <c r="L150" s="5">
        <f>SUMIFS(KASA!$K:$K, KASA!$C:$C, $C150, KASA!$B:$B, "MAL SATIŞI") + SUMIFS(KASA!$K:$K, KASA!$C:$C, $C150, KASA!$B:$B, "ÜRETİM ÇIKIŞ")</f>
        <v>200</v>
      </c>
      <c r="M150" s="5">
        <f t="shared" si="28"/>
        <v>883</v>
      </c>
      <c r="N150" s="5">
        <f t="shared" si="29"/>
        <v>616.65333333333319</v>
      </c>
      <c r="O150" s="65">
        <f t="shared" si="30"/>
        <v>2.3152282739287133</v>
      </c>
      <c r="P150" s="5">
        <f t="shared" si="31"/>
        <v>972.46696035242257</v>
      </c>
      <c r="Q150" s="5">
        <f t="shared" si="32"/>
        <v>1.0919999999999996</v>
      </c>
      <c r="R150" s="5">
        <f t="shared" si="33"/>
        <v>320.31999999999988</v>
      </c>
      <c r="S150" s="5">
        <f t="shared" si="34"/>
        <v>880</v>
      </c>
      <c r="U150" s="2">
        <f t="shared" si="35"/>
        <v>1.0919999999999996</v>
      </c>
      <c r="V150">
        <f>SUMIF(KASA!$C$2:$C$9980, C150, KASA!$T$2:$T$9980)</f>
        <v>2.0919999999999996</v>
      </c>
      <c r="W150">
        <f>SUMIF(KASA!$C$2:$C$9980, C150, KASA!$U$2:$U$9980)</f>
        <v>612.13999999999987</v>
      </c>
      <c r="X150" s="2">
        <f t="shared" si="36"/>
        <v>1.0919999999999996</v>
      </c>
      <c r="Y150" s="2">
        <f t="shared" si="37"/>
        <v>317.13999999999987</v>
      </c>
      <c r="Z150">
        <f>SUMIF(KASA!$C$2:$C$9980, C150, KASA!$V$2:$V$9980)</f>
        <v>880</v>
      </c>
      <c r="AA150">
        <f t="shared" si="38"/>
        <v>267.86000000000013</v>
      </c>
    </row>
    <row r="151" spans="3:27" x14ac:dyDescent="0.25">
      <c r="C151" s="4" t="s">
        <v>196</v>
      </c>
      <c r="D151" s="5">
        <f>SUMIFS(KASA!$I:$I, KASA!$C:$C, $C151, KASA!$B:$B, "MAL ALIMI") + SUMIFS(KASA!$I:$I, KASA!$C:$C, $C151, KASA!$B:$B, "ÜRETİM GİRİŞ")</f>
        <v>25</v>
      </c>
      <c r="E151" s="5" cm="1">
        <f t="array" ref="E151">IFERROR(AVERAGE(IF((KASA!$C$2:$C$9980=$C151)*((KASA!$B$2:$B$9980="MAL ALIMI")+(KASA!$B$2:$B$9980="ÜRETİM GİRİŞ")),KASA!$J$2:$J$9980)),0)</f>
        <v>116.66392857142857</v>
      </c>
      <c r="F151" s="5">
        <f>SUMIFS(KASA!$I:$I, KASA!$C:$C, $C151, KASA!$B:$B, "MAL SATIŞI") + SUMIFS(KASA!$I:$I, KASA!$C:$C, $C151, KASA!$B:$B, "ÜRETİM ÇIKIŞ")</f>
        <v>15.09745</v>
      </c>
      <c r="G151" s="5">
        <f>SUMIFS(KASA!$I:$I, KASA!$C:$C, $C151, KASA!$B:$B, "MAL İADE")</f>
        <v>0</v>
      </c>
      <c r="H151" s="5">
        <f>SUMIFS(KASA!$K:$K, KASA!$C:$C, $C151, KASA!$B:$B, "MAL İADE") + SUMIFS(KASA!$Q:$Q, KASA!$C:$C, $C151, KASA!$B:$B, "MAL İADE")</f>
        <v>0</v>
      </c>
      <c r="I151" s="5">
        <f t="shared" si="26"/>
        <v>15.09745</v>
      </c>
      <c r="J151" s="5">
        <f t="shared" si="27"/>
        <v>1761.3278284107143</v>
      </c>
      <c r="K151" s="5">
        <f>SUMIFS(KASA!$Q:$Q, KASA!$C:$C, $C151, KASA!$B:$B, "MAL SATIŞI") + SUMIFS(KASA!$Q:$Q, KASA!$C:$C, $C151, KASA!$B:$B, "ÜRETİM ÇIKIŞ")</f>
        <v>2286.6876086956522</v>
      </c>
      <c r="L151" s="5">
        <f>SUMIFS(KASA!$K:$K, KASA!$C:$C, $C151, KASA!$B:$B, "MAL SATIŞI") + SUMIFS(KASA!$K:$K, KASA!$C:$C, $C151, KASA!$B:$B, "ÜRETİM ÇIKIŞ")</f>
        <v>565.93000000000006</v>
      </c>
      <c r="M151" s="5">
        <f t="shared" si="28"/>
        <v>2852.6176086956521</v>
      </c>
      <c r="N151" s="5">
        <f t="shared" si="29"/>
        <v>1091.2897802849377</v>
      </c>
      <c r="O151" s="65">
        <f t="shared" si="30"/>
        <v>0.61958356796623881</v>
      </c>
      <c r="P151" s="5">
        <f t="shared" si="31"/>
        <v>188.94698168867274</v>
      </c>
      <c r="Q151" s="5">
        <f t="shared" si="32"/>
        <v>9.9025499999999997</v>
      </c>
      <c r="R151" s="5">
        <f t="shared" si="33"/>
        <v>1155.2703858749999</v>
      </c>
      <c r="S151" s="5">
        <f t="shared" si="34"/>
        <v>2916.5982142857142</v>
      </c>
      <c r="T151">
        <v>2.3759999999999999</v>
      </c>
      <c r="U151" s="2">
        <f t="shared" si="35"/>
        <v>7.5265500000000003</v>
      </c>
      <c r="V151">
        <f>SUMIF(KASA!$C$2:$C$9980, C151, KASA!$T$2:$T$9980)</f>
        <v>9.9025499999999997</v>
      </c>
      <c r="W151">
        <f>SUMIF(KASA!$C$2:$C$9980, C151, KASA!$U$2:$U$9980)</f>
        <v>1018.5052499999999</v>
      </c>
      <c r="X151" s="2">
        <f t="shared" si="36"/>
        <v>9.9025499999999997</v>
      </c>
      <c r="Y151" s="2">
        <f t="shared" si="37"/>
        <v>1018.5052499999999</v>
      </c>
      <c r="Z151">
        <f>SUMIF(KASA!$C$2:$C$9980, C151, KASA!$V$2:$V$9980)</f>
        <v>2939.6375000000003</v>
      </c>
      <c r="AA151">
        <f t="shared" si="38"/>
        <v>1921.1322500000003</v>
      </c>
    </row>
    <row r="152" spans="3:27" x14ac:dyDescent="0.25">
      <c r="C152" s="4" t="s">
        <v>197</v>
      </c>
      <c r="D152" s="5">
        <f>SUMIFS(KASA!$I:$I, KASA!$C:$C, $C152, KASA!$B:$B, "MAL ALIMI") + SUMIFS(KASA!$I:$I, KASA!$C:$C, $C152, KASA!$B:$B, "ÜRETİM GİRİŞ")</f>
        <v>17</v>
      </c>
      <c r="E152" s="5" cm="1">
        <f t="array" ref="E152">IFERROR(AVERAGE(IF((KASA!$C$2:$C$9980=$C152)*((KASA!$B$2:$B$9980="MAL ALIMI")+(KASA!$B$2:$B$9980="ÜRETİM GİRİŞ")),KASA!$J$2:$J$9980)),0)</f>
        <v>125.208</v>
      </c>
      <c r="F152" s="5">
        <f>SUMIFS(KASA!$I:$I, KASA!$C:$C, $C152, KASA!$B:$B, "MAL SATIŞI") + SUMIFS(KASA!$I:$I, KASA!$C:$C, $C152, KASA!$B:$B, "ÜRETİM ÇIKIŞ")</f>
        <v>10.670088787185353</v>
      </c>
      <c r="G152" s="5">
        <f>SUMIFS(KASA!$I:$I, KASA!$C:$C, $C152, KASA!$B:$B, "MAL İADE")</f>
        <v>0</v>
      </c>
      <c r="H152" s="5">
        <f>SUMIFS(KASA!$K:$K, KASA!$C:$C, $C152, KASA!$B:$B, "MAL İADE") + SUMIFS(KASA!$Q:$Q, KASA!$C:$C, $C152, KASA!$B:$B, "MAL İADE")</f>
        <v>0</v>
      </c>
      <c r="I152" s="5">
        <f t="shared" si="26"/>
        <v>10.670088787185353</v>
      </c>
      <c r="J152" s="5">
        <f t="shared" si="27"/>
        <v>1335.9804768659037</v>
      </c>
      <c r="K152" s="5">
        <f>SUMIFS(KASA!$Q:$Q, KASA!$C:$C, $C152, KASA!$B:$B, "MAL SATIŞI") + SUMIFS(KASA!$Q:$Q, KASA!$C:$C, $C152, KASA!$B:$B, "ÜRETİM ÇIKIŞ")</f>
        <v>1160.47</v>
      </c>
      <c r="L152" s="5">
        <f>SUMIFS(KASA!$K:$K, KASA!$C:$C, $C152, KASA!$B:$B, "MAL SATIŞI") + SUMIFS(KASA!$K:$K, KASA!$C:$C, $C152, KASA!$B:$B, "ÜRETİM ÇIKIŞ")</f>
        <v>705.79200000000003</v>
      </c>
      <c r="M152" s="5">
        <f t="shared" si="28"/>
        <v>1866.2620000000002</v>
      </c>
      <c r="N152" s="5">
        <f t="shared" si="29"/>
        <v>530.28152313409646</v>
      </c>
      <c r="O152" s="65">
        <f t="shared" si="30"/>
        <v>0.39692310802182657</v>
      </c>
      <c r="P152" s="5">
        <f t="shared" si="31"/>
        <v>174.90594850919686</v>
      </c>
      <c r="Q152" s="5">
        <f t="shared" si="32"/>
        <v>6.3299112128146469</v>
      </c>
      <c r="R152" s="5">
        <f t="shared" si="33"/>
        <v>792.55552313409635</v>
      </c>
      <c r="S152" s="5">
        <f t="shared" si="34"/>
        <v>2128.5360000000001</v>
      </c>
      <c r="T152">
        <v>2.64</v>
      </c>
      <c r="U152" s="2">
        <f t="shared" si="35"/>
        <v>3.6899112128146467</v>
      </c>
      <c r="V152">
        <f>SUMIF(KASA!$C$2:$C$9980, C152, KASA!$T$2:$T$9980)</f>
        <v>6.3299112128146469</v>
      </c>
      <c r="W152">
        <f>SUMIF(KASA!$C$2:$C$9980, C152, KASA!$U$2:$U$9980)</f>
        <v>712.78756979405057</v>
      </c>
      <c r="X152" s="2">
        <f t="shared" si="36"/>
        <v>6.3299112128146469</v>
      </c>
      <c r="Y152" s="2">
        <f t="shared" si="37"/>
        <v>712.78756979405057</v>
      </c>
      <c r="Z152">
        <f>SUMIF(KASA!$C$2:$C$9980, C152, KASA!$V$2:$V$9980)</f>
        <v>2206.6000000000004</v>
      </c>
      <c r="AA152">
        <f t="shared" si="38"/>
        <v>1493.8124302059498</v>
      </c>
    </row>
    <row r="153" spans="3:27" x14ac:dyDescent="0.25">
      <c r="C153" s="4" t="s">
        <v>198</v>
      </c>
      <c r="D153" s="5">
        <f>SUMIFS(KASA!$I:$I, KASA!$C:$C, $C153, KASA!$B:$B, "MAL ALIMI") + SUMIFS(KASA!$I:$I, KASA!$C:$C, $C153, KASA!$B:$B, "ÜRETİM GİRİŞ")</f>
        <v>2</v>
      </c>
      <c r="E153" s="5" cm="1">
        <f t="array" ref="E153">IFERROR(AVERAGE(IF((KASA!$C$2:$C$9980=$C153)*((KASA!$B$2:$B$9980="MAL ALIMI")+(KASA!$B$2:$B$9980="ÜRETİM GİRİŞ")),KASA!$J$2:$J$9980)),0)</f>
        <v>177.5</v>
      </c>
      <c r="F153" s="5">
        <f>SUMIFS(KASA!$I:$I, KASA!$C:$C, $C153, KASA!$B:$B, "MAL SATIŞI") + SUMIFS(KASA!$I:$I, KASA!$C:$C, $C153, KASA!$B:$B, "ÜRETİM ÇIKIŞ")</f>
        <v>1.0800000000000005</v>
      </c>
      <c r="G153" s="5">
        <f>SUMIFS(KASA!$I:$I, KASA!$C:$C, $C153, KASA!$B:$B, "MAL İADE")</f>
        <v>0</v>
      </c>
      <c r="H153" s="5">
        <f>SUMIFS(KASA!$K:$K, KASA!$C:$C, $C153, KASA!$B:$B, "MAL İADE") + SUMIFS(KASA!$Q:$Q, KASA!$C:$C, $C153, KASA!$B:$B, "MAL İADE")</f>
        <v>0</v>
      </c>
      <c r="I153" s="5">
        <f t="shared" si="26"/>
        <v>1.0800000000000005</v>
      </c>
      <c r="J153" s="5">
        <f t="shared" si="27"/>
        <v>191.7000000000001</v>
      </c>
      <c r="K153" s="5">
        <f>SUMIFS(KASA!$Q:$Q, KASA!$C:$C, $C153, KASA!$B:$B, "MAL SATIŞI") + SUMIFS(KASA!$Q:$Q, KASA!$C:$C, $C153, KASA!$B:$B, "ÜRETİM ÇIKIŞ")</f>
        <v>960.4</v>
      </c>
      <c r="L153" s="5">
        <f>SUMIFS(KASA!$K:$K, KASA!$C:$C, $C153, KASA!$B:$B, "MAL SATIŞI") + SUMIFS(KASA!$K:$K, KASA!$C:$C, $C153, KASA!$B:$B, "ÜRETİM ÇIKIŞ")</f>
        <v>551.6</v>
      </c>
      <c r="M153" s="5">
        <f t="shared" si="28"/>
        <v>1512</v>
      </c>
      <c r="N153" s="5">
        <f t="shared" si="29"/>
        <v>1320.3</v>
      </c>
      <c r="O153" s="65">
        <f t="shared" si="30"/>
        <v>6.8873239436619675</v>
      </c>
      <c r="P153" s="5">
        <f t="shared" si="31"/>
        <v>1399.9999999999993</v>
      </c>
      <c r="Q153" s="5">
        <f t="shared" si="32"/>
        <v>0.91999999999999948</v>
      </c>
      <c r="R153" s="5">
        <f t="shared" si="33"/>
        <v>163.2999999999999</v>
      </c>
      <c r="S153" s="5">
        <f t="shared" si="34"/>
        <v>355</v>
      </c>
      <c r="U153" s="2">
        <f t="shared" si="35"/>
        <v>0.91999999999999948</v>
      </c>
      <c r="V153">
        <f>SUMIF(KASA!$C$2:$C$9980, C153, KASA!$T$2:$T$9980)</f>
        <v>0.91999999999999948</v>
      </c>
      <c r="W153">
        <f>SUMIF(KASA!$C$2:$C$9980, C153, KASA!$U$2:$U$9980)</f>
        <v>142.59999999999991</v>
      </c>
      <c r="X153" s="2">
        <f t="shared" si="36"/>
        <v>0.91999999999999948</v>
      </c>
      <c r="Y153" s="2">
        <f t="shared" si="37"/>
        <v>142.59999999999991</v>
      </c>
      <c r="Z153">
        <f>SUMIF(KASA!$C$2:$C$9980, C153, KASA!$V$2:$V$9980)</f>
        <v>355</v>
      </c>
      <c r="AA153">
        <f t="shared" si="38"/>
        <v>212.40000000000009</v>
      </c>
    </row>
    <row r="154" spans="3:27" x14ac:dyDescent="0.25">
      <c r="C154" s="4" t="s">
        <v>199</v>
      </c>
      <c r="D154" s="5">
        <f>SUMIFS(KASA!$I:$I, KASA!$C:$C, $C154, KASA!$B:$B, "MAL ALIMI") + SUMIFS(KASA!$I:$I, KASA!$C:$C, $C154, KASA!$B:$B, "ÜRETİM GİRİŞ")</f>
        <v>15</v>
      </c>
      <c r="E154" s="5" cm="1">
        <f t="array" ref="E154">IFERROR(AVERAGE(IF((KASA!$C$2:$C$9980=$C154)*((KASA!$B$2:$B$9980="MAL ALIMI")+(KASA!$B$2:$B$9980="ÜRETİM GİRİŞ")),KASA!$J$2:$J$9980)),0)</f>
        <v>700</v>
      </c>
      <c r="F154" s="5">
        <f>SUMIFS(KASA!$I:$I, KASA!$C:$C, $C154, KASA!$B:$B, "MAL SATIŞI") + SUMIFS(KASA!$I:$I, KASA!$C:$C, $C154, KASA!$B:$B, "ÜRETİM ÇIKIŞ")</f>
        <v>7.4368596491228072</v>
      </c>
      <c r="G154" s="5">
        <f>SUMIFS(KASA!$I:$I, KASA!$C:$C, $C154, KASA!$B:$B, "MAL İADE")</f>
        <v>0</v>
      </c>
      <c r="H154" s="5">
        <f>SUMIFS(KASA!$K:$K, KASA!$C:$C, $C154, KASA!$B:$B, "MAL İADE") + SUMIFS(KASA!$Q:$Q, KASA!$C:$C, $C154, KASA!$B:$B, "MAL İADE")</f>
        <v>0</v>
      </c>
      <c r="I154" s="5">
        <f t="shared" si="26"/>
        <v>7.4368596491228072</v>
      </c>
      <c r="J154" s="5">
        <f t="shared" si="27"/>
        <v>5205.8017543859651</v>
      </c>
      <c r="K154" s="5">
        <f>SUMIFS(KASA!$Q:$Q, KASA!$C:$C, $C154, KASA!$B:$B, "MAL SATIŞI") + SUMIFS(KASA!$Q:$Q, KASA!$C:$C, $C154, KASA!$B:$B, "ÜRETİM ÇIKIŞ")</f>
        <v>4151.3599999999997</v>
      </c>
      <c r="L154" s="5">
        <f>SUMIFS(KASA!$K:$K, KASA!$C:$C, $C154, KASA!$B:$B, "MAL SATIŞI") + SUMIFS(KASA!$K:$K, KASA!$C:$C, $C154, KASA!$B:$B, "ÜRETİM ÇIKIŞ")</f>
        <v>2078.11</v>
      </c>
      <c r="M154" s="5">
        <f t="shared" si="28"/>
        <v>6229.4699999999993</v>
      </c>
      <c r="N154" s="5">
        <f t="shared" si="29"/>
        <v>1023.6682456140343</v>
      </c>
      <c r="O154" s="65">
        <f t="shared" si="30"/>
        <v>0.19663988256017984</v>
      </c>
      <c r="P154" s="5">
        <f t="shared" si="31"/>
        <v>837.6479177921259</v>
      </c>
      <c r="Q154" s="5">
        <f t="shared" si="32"/>
        <v>7.5631403508771928</v>
      </c>
      <c r="R154" s="5">
        <f t="shared" si="33"/>
        <v>5294.1982456140349</v>
      </c>
      <c r="S154" s="5">
        <f t="shared" si="34"/>
        <v>10500</v>
      </c>
      <c r="T154">
        <v>11.05</v>
      </c>
      <c r="U154" s="2">
        <f t="shared" si="35"/>
        <v>-3.4868596491228079</v>
      </c>
      <c r="V154">
        <f>SUMIF(KASA!$C$2:$C$9980, C154, KASA!$T$2:$T$9980)</f>
        <v>7.5631403508771928</v>
      </c>
      <c r="W154">
        <f>SUMIF(KASA!$C$2:$C$9980, C154, KASA!$U$2:$U$9980)</f>
        <v>4159.7271929824565</v>
      </c>
      <c r="X154" s="2">
        <f t="shared" si="36"/>
        <v>7.5631403508771928</v>
      </c>
      <c r="Y154" s="2">
        <f t="shared" si="37"/>
        <v>4159.7271929824565</v>
      </c>
      <c r="Z154">
        <f>SUMIF(KASA!$C$2:$C$9980, C154, KASA!$V$2:$V$9980)</f>
        <v>9750</v>
      </c>
      <c r="AA154">
        <f t="shared" si="38"/>
        <v>5590.2728070175435</v>
      </c>
    </row>
    <row r="155" spans="3:27" x14ac:dyDescent="0.25">
      <c r="C155" s="4" t="s">
        <v>200</v>
      </c>
      <c r="D155" s="5">
        <f>SUMIFS(KASA!$I:$I, KASA!$C:$C, $C155, KASA!$B:$B, "MAL ALIMI") + SUMIFS(KASA!$I:$I, KASA!$C:$C, $C155, KASA!$B:$B, "ÜRETİM GİRİŞ")</f>
        <v>7</v>
      </c>
      <c r="E155" s="5" cm="1">
        <f t="array" ref="E155">IFERROR(AVERAGE(IF((KASA!$C$2:$C$9980=$C155)*((KASA!$B$2:$B$9980="MAL ALIMI")+(KASA!$B$2:$B$9980="ÜRETİM GİRİŞ")),KASA!$J$2:$J$9980)),0)</f>
        <v>195</v>
      </c>
      <c r="F155" s="5">
        <f>SUMIFS(KASA!$I:$I, KASA!$C:$C, $C155, KASA!$B:$B, "MAL SATIŞI") + SUMIFS(KASA!$I:$I, KASA!$C:$C, $C155, KASA!$B:$B, "ÜRETİM ÇIKIŞ")</f>
        <v>8.0040000000000013</v>
      </c>
      <c r="G155" s="5">
        <f>SUMIFS(KASA!$I:$I, KASA!$C:$C, $C155, KASA!$B:$B, "MAL İADE")</f>
        <v>0</v>
      </c>
      <c r="H155" s="5">
        <f>SUMIFS(KASA!$K:$K, KASA!$C:$C, $C155, KASA!$B:$B, "MAL İADE") + SUMIFS(KASA!$Q:$Q, KASA!$C:$C, $C155, KASA!$B:$B, "MAL İADE")</f>
        <v>0</v>
      </c>
      <c r="I155" s="5">
        <f t="shared" si="26"/>
        <v>8.0040000000000013</v>
      </c>
      <c r="J155" s="5">
        <f t="shared" si="27"/>
        <v>1560.7800000000002</v>
      </c>
      <c r="K155" s="5">
        <f>SUMIFS(KASA!$Q:$Q, KASA!$C:$C, $C155, KASA!$B:$B, "MAL SATIŞI") + SUMIFS(KASA!$Q:$Q, KASA!$C:$C, $C155, KASA!$B:$B, "ÜRETİM ÇIKIŞ")</f>
        <v>1636.44</v>
      </c>
      <c r="L155" s="5">
        <f>SUMIFS(KASA!$K:$K, KASA!$C:$C, $C155, KASA!$B:$B, "MAL SATIŞI") + SUMIFS(KASA!$K:$K, KASA!$C:$C, $C155, KASA!$B:$B, "ÜRETİM ÇIKIŞ")</f>
        <v>855</v>
      </c>
      <c r="M155" s="5">
        <f t="shared" si="28"/>
        <v>2491.44</v>
      </c>
      <c r="N155" s="5">
        <f t="shared" si="29"/>
        <v>930.65999999999985</v>
      </c>
      <c r="O155" s="65">
        <f t="shared" si="30"/>
        <v>0.59627878368508036</v>
      </c>
      <c r="P155" s="5">
        <f t="shared" si="31"/>
        <v>311.27436281859065</v>
      </c>
      <c r="Q155" s="5">
        <f t="shared" si="32"/>
        <v>-1.0040000000000013</v>
      </c>
      <c r="R155" s="5">
        <f t="shared" si="33"/>
        <v>-195.78000000000026</v>
      </c>
      <c r="S155" s="5">
        <f t="shared" si="34"/>
        <v>1365</v>
      </c>
      <c r="T155">
        <v>2</v>
      </c>
      <c r="U155" s="2">
        <f t="shared" si="35"/>
        <v>-3.0040000000000013</v>
      </c>
      <c r="V155">
        <f>SUMIF(KASA!$C$2:$C$9980, C155, KASA!$T$2:$T$9980)</f>
        <v>0</v>
      </c>
      <c r="W155">
        <f>SUMIF(KASA!$C$2:$C$9980, C155, KASA!$U$2:$U$9980)</f>
        <v>0</v>
      </c>
      <c r="X155" s="2">
        <f t="shared" si="36"/>
        <v>0</v>
      </c>
      <c r="Y155" s="2">
        <f t="shared" si="37"/>
        <v>0</v>
      </c>
      <c r="Z155">
        <f>SUMIF(KASA!$C$2:$C$9980, C155, KASA!$V$2:$V$9980)</f>
        <v>1365</v>
      </c>
      <c r="AA155">
        <f t="shared" si="38"/>
        <v>1365</v>
      </c>
    </row>
    <row r="156" spans="3:27" x14ac:dyDescent="0.25">
      <c r="C156" s="4" t="s">
        <v>201</v>
      </c>
      <c r="D156" s="5">
        <f>SUMIFS(KASA!$I:$I, KASA!$C:$C, $C156, KASA!$B:$B, "MAL ALIMI") + SUMIFS(KASA!$I:$I, KASA!$C:$C, $C156, KASA!$B:$B, "ÜRETİM GİRİŞ")</f>
        <v>5</v>
      </c>
      <c r="E156" s="5" cm="1">
        <f t="array" ref="E156">IFERROR(AVERAGE(IF((KASA!$C$2:$C$9980=$C156)*((KASA!$B$2:$B$9980="MAL ALIMI")+(KASA!$B$2:$B$9980="ÜRETİM GİRİŞ")),KASA!$J$2:$J$9980)),0)</f>
        <v>620</v>
      </c>
      <c r="F156" s="5">
        <f>SUMIFS(KASA!$I:$I, KASA!$C:$C, $C156, KASA!$B:$B, "MAL SATIŞI") + SUMIFS(KASA!$I:$I, KASA!$C:$C, $C156, KASA!$B:$B, "ÜRETİM ÇIKIŞ")</f>
        <v>4.9997500000000006</v>
      </c>
      <c r="G156" s="5">
        <f>SUMIFS(KASA!$I:$I, KASA!$C:$C, $C156, KASA!$B:$B, "MAL İADE")</f>
        <v>0</v>
      </c>
      <c r="H156" s="5">
        <f>SUMIFS(KASA!$K:$K, KASA!$C:$C, $C156, KASA!$B:$B, "MAL İADE") + SUMIFS(KASA!$Q:$Q, KASA!$C:$C, $C156, KASA!$B:$B, "MAL İADE")</f>
        <v>0</v>
      </c>
      <c r="I156" s="5">
        <f t="shared" si="26"/>
        <v>4.9997500000000006</v>
      </c>
      <c r="J156" s="5">
        <f t="shared" si="27"/>
        <v>3099.8450000000003</v>
      </c>
      <c r="K156" s="5">
        <f>SUMIFS(KASA!$Q:$Q, KASA!$C:$C, $C156, KASA!$B:$B, "MAL SATIŞI") + SUMIFS(KASA!$Q:$Q, KASA!$C:$C, $C156, KASA!$B:$B, "ÜRETİM ÇIKIŞ")</f>
        <v>2766.8</v>
      </c>
      <c r="L156" s="5">
        <f>SUMIFS(KASA!$K:$K, KASA!$C:$C, $C156, KASA!$B:$B, "MAL SATIŞI") + SUMIFS(KASA!$K:$K, KASA!$C:$C, $C156, KASA!$B:$B, "ÜRETİM ÇIKIŞ")</f>
        <v>1033.2</v>
      </c>
      <c r="M156" s="5">
        <f t="shared" si="28"/>
        <v>3800</v>
      </c>
      <c r="N156" s="5">
        <f t="shared" si="29"/>
        <v>700.15499999999975</v>
      </c>
      <c r="O156" s="65">
        <f t="shared" si="30"/>
        <v>0.22586774500015314</v>
      </c>
      <c r="P156" s="5">
        <f t="shared" si="31"/>
        <v>760.03800190009497</v>
      </c>
      <c r="Q156" s="5">
        <f t="shared" si="32"/>
        <v>2.4999999999941735E-4</v>
      </c>
      <c r="R156" s="5">
        <f t="shared" si="33"/>
        <v>0.15499999999963876</v>
      </c>
      <c r="S156" s="5">
        <f t="shared" si="34"/>
        <v>3100</v>
      </c>
      <c r="T156">
        <v>0</v>
      </c>
      <c r="U156" s="2">
        <f t="shared" si="35"/>
        <v>2.4999999999941735E-4</v>
      </c>
      <c r="V156">
        <f>SUMIF(KASA!$C$2:$C$9980, C156, KASA!$T$2:$T$9980)</f>
        <v>2.4999999999941735E-4</v>
      </c>
      <c r="W156">
        <f>SUMIF(KASA!$C$2:$C$9980, C156, KASA!$U$2:$U$9980)</f>
        <v>0.15499999999963876</v>
      </c>
      <c r="X156" s="2">
        <f t="shared" si="36"/>
        <v>2.4999999999941735E-4</v>
      </c>
      <c r="Y156" s="2">
        <f t="shared" si="37"/>
        <v>0.15499999999963876</v>
      </c>
      <c r="Z156">
        <f>SUMIF(KASA!$C$2:$C$9980, C156, KASA!$V$2:$V$9980)</f>
        <v>3100</v>
      </c>
      <c r="AA156">
        <f t="shared" si="38"/>
        <v>3099.8450000000003</v>
      </c>
    </row>
    <row r="157" spans="3:27" x14ac:dyDescent="0.25">
      <c r="C157" s="4" t="s">
        <v>202</v>
      </c>
      <c r="D157" s="5">
        <f>SUMIFS(KASA!$I:$I, KASA!$C:$C, $C157, KASA!$B:$B, "MAL ALIMI") + SUMIFS(KASA!$I:$I, KASA!$C:$C, $C157, KASA!$B:$B, "ÜRETİM GİRİŞ")</f>
        <v>70</v>
      </c>
      <c r="E157" s="5" cm="1">
        <f t="array" ref="E157">IFERROR(AVERAGE(IF((KASA!$C$2:$C$9980=$C157)*((KASA!$B$2:$B$9980="MAL ALIMI")+(KASA!$B$2:$B$9980="ÜRETİM GİRİŞ")),KASA!$J$2:$J$9980)),0)</f>
        <v>17</v>
      </c>
      <c r="F157" s="5">
        <f>SUMIFS(KASA!$I:$I, KASA!$C:$C, $C157, KASA!$B:$B, "MAL SATIŞI") + SUMIFS(KASA!$I:$I, KASA!$C:$C, $C157, KASA!$B:$B, "ÜRETİM ÇIKIŞ")</f>
        <v>51.25</v>
      </c>
      <c r="G157" s="5">
        <f>SUMIFS(KASA!$I:$I, KASA!$C:$C, $C157, KASA!$B:$B, "MAL İADE")</f>
        <v>0</v>
      </c>
      <c r="H157" s="5">
        <f>SUMIFS(KASA!$K:$K, KASA!$C:$C, $C157, KASA!$B:$B, "MAL İADE") + SUMIFS(KASA!$Q:$Q, KASA!$C:$C, $C157, KASA!$B:$B, "MAL İADE")</f>
        <v>0</v>
      </c>
      <c r="I157" s="5">
        <f t="shared" si="26"/>
        <v>51.25</v>
      </c>
      <c r="J157" s="5">
        <f t="shared" si="27"/>
        <v>871.25</v>
      </c>
      <c r="K157" s="5">
        <f>SUMIFS(KASA!$Q:$Q, KASA!$C:$C, $C157, KASA!$B:$B, "MAL SATIŞI") + SUMIFS(KASA!$Q:$Q, KASA!$C:$C, $C157, KASA!$B:$B, "ÜRETİM ÇIKIŞ")</f>
        <v>1557.5</v>
      </c>
      <c r="L157" s="5">
        <f>SUMIFS(KASA!$K:$K, KASA!$C:$C, $C157, KASA!$B:$B, "MAL SATIŞI") + SUMIFS(KASA!$K:$K, KASA!$C:$C, $C157, KASA!$B:$B, "ÜRETİM ÇIKIŞ")</f>
        <v>1065</v>
      </c>
      <c r="M157" s="5">
        <f t="shared" si="28"/>
        <v>2622.5</v>
      </c>
      <c r="N157" s="5">
        <f t="shared" si="29"/>
        <v>1751.25</v>
      </c>
      <c r="O157" s="65">
        <f t="shared" si="30"/>
        <v>2.0100430416068868</v>
      </c>
      <c r="P157" s="5">
        <f t="shared" si="31"/>
        <v>51.170731707317074</v>
      </c>
      <c r="Q157" s="5">
        <f t="shared" si="32"/>
        <v>18.75</v>
      </c>
      <c r="R157" s="5">
        <f t="shared" si="33"/>
        <v>318.75</v>
      </c>
      <c r="S157" s="5">
        <f t="shared" si="34"/>
        <v>1190</v>
      </c>
      <c r="T157">
        <v>25</v>
      </c>
      <c r="U157" s="2">
        <f t="shared" si="35"/>
        <v>-6.25</v>
      </c>
      <c r="V157">
        <f>SUMIF(KASA!$C$2:$C$9980, C157, KASA!$T$2:$T$9980)</f>
        <v>18.75</v>
      </c>
      <c r="W157">
        <f>SUMIF(KASA!$C$2:$C$9980, C157, KASA!$U$2:$U$9980)</f>
        <v>356.25</v>
      </c>
      <c r="X157" s="2">
        <f t="shared" si="36"/>
        <v>18.75</v>
      </c>
      <c r="Y157" s="2">
        <f t="shared" si="37"/>
        <v>356.25</v>
      </c>
      <c r="Z157">
        <f>SUMIF(KASA!$C$2:$C$9980, C157, KASA!$V$2:$V$9980)</f>
        <v>1250</v>
      </c>
      <c r="AA157">
        <f t="shared" si="38"/>
        <v>893.75</v>
      </c>
    </row>
    <row r="158" spans="3:27" x14ac:dyDescent="0.25">
      <c r="C158" s="4" t="s">
        <v>203</v>
      </c>
      <c r="D158" s="5">
        <f>SUMIFS(KASA!$I:$I, KASA!$C:$C, $C158, KASA!$B:$B, "MAL ALIMI") + SUMIFS(KASA!$I:$I, KASA!$C:$C, $C158, KASA!$B:$B, "ÜRETİM GİRİŞ")</f>
        <v>20</v>
      </c>
      <c r="E158" s="5" cm="1">
        <f t="array" ref="E158">IFERROR(AVERAGE(IF((KASA!$C$2:$C$9980=$C158)*((KASA!$B$2:$B$9980="MAL ALIMI")+(KASA!$B$2:$B$9980="ÜRETİM GİRİŞ")),KASA!$J$2:$J$9980)),0)</f>
        <v>15</v>
      </c>
      <c r="F158" s="5">
        <f>SUMIFS(KASA!$I:$I, KASA!$C:$C, $C158, KASA!$B:$B, "MAL SATIŞI") + SUMIFS(KASA!$I:$I, KASA!$C:$C, $C158, KASA!$B:$B, "ÜRETİM ÇIKIŞ")</f>
        <v>8.5</v>
      </c>
      <c r="G158" s="5">
        <f>SUMIFS(KASA!$I:$I, KASA!$C:$C, $C158, KASA!$B:$B, "MAL İADE")</f>
        <v>0</v>
      </c>
      <c r="H158" s="5">
        <f>SUMIFS(KASA!$K:$K, KASA!$C:$C, $C158, KASA!$B:$B, "MAL İADE") + SUMIFS(KASA!$Q:$Q, KASA!$C:$C, $C158, KASA!$B:$B, "MAL İADE")</f>
        <v>0</v>
      </c>
      <c r="I158" s="5">
        <f t="shared" si="26"/>
        <v>8.5</v>
      </c>
      <c r="J158" s="5">
        <f t="shared" si="27"/>
        <v>127.5</v>
      </c>
      <c r="K158" s="5">
        <f>SUMIFS(KASA!$Q:$Q, KASA!$C:$C, $C158, KASA!$B:$B, "MAL SATIŞI") + SUMIFS(KASA!$Q:$Q, KASA!$C:$C, $C158, KASA!$B:$B, "ÜRETİM ÇIKIŞ")</f>
        <v>287.5</v>
      </c>
      <c r="L158" s="5">
        <f>SUMIFS(KASA!$K:$K, KASA!$C:$C, $C158, KASA!$B:$B, "MAL SATIŞI") + SUMIFS(KASA!$K:$K, KASA!$C:$C, $C158, KASA!$B:$B, "ÜRETİM ÇIKIŞ")</f>
        <v>310</v>
      </c>
      <c r="M158" s="5">
        <f t="shared" si="28"/>
        <v>597.5</v>
      </c>
      <c r="N158" s="5">
        <f t="shared" si="29"/>
        <v>470</v>
      </c>
      <c r="O158" s="65">
        <f t="shared" si="30"/>
        <v>3.6862745098039214</v>
      </c>
      <c r="P158" s="5">
        <f t="shared" si="31"/>
        <v>70.294117647058826</v>
      </c>
      <c r="Q158" s="5">
        <f t="shared" si="32"/>
        <v>11.5</v>
      </c>
      <c r="R158" s="5">
        <f t="shared" si="33"/>
        <v>172.5</v>
      </c>
      <c r="S158" s="5">
        <f t="shared" si="34"/>
        <v>300</v>
      </c>
      <c r="T158">
        <v>13</v>
      </c>
      <c r="U158" s="2">
        <f t="shared" si="35"/>
        <v>-1.5</v>
      </c>
      <c r="V158">
        <f>SUMIF(KASA!$C$2:$C$9980, C158, KASA!$T$2:$T$9980)</f>
        <v>11.5</v>
      </c>
      <c r="W158">
        <f>SUMIF(KASA!$C$2:$C$9980, C158, KASA!$U$2:$U$9980)</f>
        <v>172.5</v>
      </c>
      <c r="X158" s="2">
        <f t="shared" si="36"/>
        <v>11.5</v>
      </c>
      <c r="Y158" s="2">
        <f t="shared" si="37"/>
        <v>172.5</v>
      </c>
      <c r="Z158">
        <f>SUMIF(KASA!$C$2:$C$9980, C158, KASA!$V$2:$V$9980)</f>
        <v>300</v>
      </c>
      <c r="AA158">
        <f t="shared" si="38"/>
        <v>127.5</v>
      </c>
    </row>
    <row r="159" spans="3:27" x14ac:dyDescent="0.25">
      <c r="C159" s="4" t="s">
        <v>204</v>
      </c>
      <c r="D159" s="5">
        <f>SUMIFS(KASA!$I:$I, KASA!$C:$C, $C159, KASA!$B:$B, "MAL ALIMI") + SUMIFS(KASA!$I:$I, KASA!$C:$C, $C159, KASA!$B:$B, "ÜRETİM GİRİŞ")</f>
        <v>1</v>
      </c>
      <c r="E159" s="5" cm="1">
        <f t="array" ref="E159">IFERROR(AVERAGE(IF((KASA!$C$2:$C$9980=$C159)*((KASA!$B$2:$B$9980="MAL ALIMI")+(KASA!$B$2:$B$9980="ÜRETİM GİRİŞ")),KASA!$J$2:$J$9980)),0)</f>
        <v>550</v>
      </c>
      <c r="F159" s="5">
        <f>SUMIFS(KASA!$I:$I, KASA!$C:$C, $C159, KASA!$B:$B, "MAL SATIŞI") + SUMIFS(KASA!$I:$I, KASA!$C:$C, $C159, KASA!$B:$B, "ÜRETİM ÇIKIŞ")</f>
        <v>0.52371428571428569</v>
      </c>
      <c r="G159" s="5">
        <f>SUMIFS(KASA!$I:$I, KASA!$C:$C, $C159, KASA!$B:$B, "MAL İADE")</f>
        <v>0</v>
      </c>
      <c r="H159" s="5">
        <f>SUMIFS(KASA!$K:$K, KASA!$C:$C, $C159, KASA!$B:$B, "MAL İADE") + SUMIFS(KASA!$Q:$Q, KASA!$C:$C, $C159, KASA!$B:$B, "MAL İADE")</f>
        <v>0</v>
      </c>
      <c r="I159" s="5">
        <f t="shared" si="26"/>
        <v>0.52371428571428569</v>
      </c>
      <c r="J159" s="5">
        <f t="shared" si="27"/>
        <v>288.04285714285714</v>
      </c>
      <c r="K159" s="5">
        <f>SUMIFS(KASA!$Q:$Q, KASA!$C:$C, $C159, KASA!$B:$B, "MAL SATIŞI") + SUMIFS(KASA!$Q:$Q, KASA!$C:$C, $C159, KASA!$B:$B, "ÜRETİM ÇIKIŞ")</f>
        <v>457.2</v>
      </c>
      <c r="L159" s="5">
        <f>SUMIFS(KASA!$K:$K, KASA!$C:$C, $C159, KASA!$B:$B, "MAL SATIŞI") + SUMIFS(KASA!$K:$K, KASA!$C:$C, $C159, KASA!$B:$B, "ÜRETİM ÇIKIŞ")</f>
        <v>266.35714285714283</v>
      </c>
      <c r="M159" s="5">
        <f t="shared" si="28"/>
        <v>723.55714285714282</v>
      </c>
      <c r="N159" s="5">
        <f t="shared" si="29"/>
        <v>435.51428571428568</v>
      </c>
      <c r="O159" s="65">
        <f t="shared" si="30"/>
        <v>1.5119773843178097</v>
      </c>
      <c r="P159" s="5">
        <f t="shared" si="31"/>
        <v>1381.5875613747953</v>
      </c>
      <c r="Q159" s="5">
        <f t="shared" si="32"/>
        <v>0.47628571428571431</v>
      </c>
      <c r="R159" s="5">
        <f t="shared" si="33"/>
        <v>261.95714285714286</v>
      </c>
      <c r="S159" s="5">
        <f t="shared" si="34"/>
        <v>550</v>
      </c>
      <c r="U159" s="2">
        <f t="shared" si="35"/>
        <v>0.47628571428571431</v>
      </c>
      <c r="V159">
        <f>SUMIF(KASA!$C$2:$C$9980, C159, KASA!$T$2:$T$9980)</f>
        <v>0.47628571428571431</v>
      </c>
      <c r="W159">
        <f>SUMIF(KASA!$C$2:$C$9980, C159, KASA!$U$2:$U$9980)</f>
        <v>261.95714285714286</v>
      </c>
      <c r="X159" s="2">
        <f t="shared" si="36"/>
        <v>0.47628571428571431</v>
      </c>
      <c r="Y159" s="2">
        <f t="shared" si="37"/>
        <v>261.95714285714286</v>
      </c>
      <c r="Z159">
        <f>SUMIF(KASA!$C$2:$C$9980, C159, KASA!$V$2:$V$9980)</f>
        <v>550</v>
      </c>
      <c r="AA159">
        <f t="shared" si="38"/>
        <v>288.04285714285714</v>
      </c>
    </row>
    <row r="160" spans="3:27" x14ac:dyDescent="0.25">
      <c r="C160" s="4" t="s">
        <v>205</v>
      </c>
      <c r="D160" s="5">
        <f>SUMIFS(KASA!$I:$I, KASA!$C:$C, $C160, KASA!$B:$B, "MAL ALIMI") + SUMIFS(KASA!$I:$I, KASA!$C:$C, $C160, KASA!$B:$B, "ÜRETİM GİRİŞ")</f>
        <v>8</v>
      </c>
      <c r="E160" s="5" cm="1">
        <f t="array" ref="E160">IFERROR(AVERAGE(IF((KASA!$C$2:$C$9980=$C160)*((KASA!$B$2:$B$9980="MAL ALIMI")+(KASA!$B$2:$B$9980="ÜRETİM GİRİŞ")),KASA!$J$2:$J$9980)),0)</f>
        <v>205</v>
      </c>
      <c r="F160" s="5">
        <f>SUMIFS(KASA!$I:$I, KASA!$C:$C, $C160, KASA!$B:$B, "MAL SATIŞI") + SUMIFS(KASA!$I:$I, KASA!$C:$C, $C160, KASA!$B:$B, "ÜRETİM ÇIKIŞ")</f>
        <v>6</v>
      </c>
      <c r="G160" s="5">
        <f>SUMIFS(KASA!$I:$I, KASA!$C:$C, $C160, KASA!$B:$B, "MAL İADE")</f>
        <v>0</v>
      </c>
      <c r="H160" s="5">
        <f>SUMIFS(KASA!$K:$K, KASA!$C:$C, $C160, KASA!$B:$B, "MAL İADE") + SUMIFS(KASA!$Q:$Q, KASA!$C:$C, $C160, KASA!$B:$B, "MAL İADE")</f>
        <v>0</v>
      </c>
      <c r="I160" s="5">
        <f t="shared" si="26"/>
        <v>6</v>
      </c>
      <c r="J160" s="5">
        <f t="shared" si="27"/>
        <v>1230</v>
      </c>
      <c r="K160" s="5">
        <f>SUMIFS(KASA!$Q:$Q, KASA!$C:$C, $C160, KASA!$B:$B, "MAL SATIŞI") + SUMIFS(KASA!$Q:$Q, KASA!$C:$C, $C160, KASA!$B:$B, "ÜRETİM ÇIKIŞ")</f>
        <v>790</v>
      </c>
      <c r="L160" s="5">
        <f>SUMIFS(KASA!$K:$K, KASA!$C:$C, $C160, KASA!$B:$B, "MAL SATIŞI") + SUMIFS(KASA!$K:$K, KASA!$C:$C, $C160, KASA!$B:$B, "ÜRETİM ÇIKIŞ")</f>
        <v>830</v>
      </c>
      <c r="M160" s="5">
        <f t="shared" si="28"/>
        <v>1620</v>
      </c>
      <c r="N160" s="5">
        <f t="shared" si="29"/>
        <v>390</v>
      </c>
      <c r="O160" s="65">
        <f t="shared" si="30"/>
        <v>0.31707317073170732</v>
      </c>
      <c r="P160" s="5">
        <f t="shared" si="31"/>
        <v>270</v>
      </c>
      <c r="Q160" s="5">
        <f t="shared" si="32"/>
        <v>2</v>
      </c>
      <c r="R160" s="5">
        <f t="shared" si="33"/>
        <v>410</v>
      </c>
      <c r="S160" s="5">
        <f t="shared" si="34"/>
        <v>1640</v>
      </c>
      <c r="T160">
        <v>2</v>
      </c>
      <c r="U160" s="2">
        <f t="shared" si="35"/>
        <v>0</v>
      </c>
      <c r="V160">
        <f>SUMIF(KASA!$C$2:$C$9980, C160, KASA!$T$2:$T$9980)</f>
        <v>2</v>
      </c>
      <c r="W160">
        <f>SUMIF(KASA!$C$2:$C$9980, C160, KASA!$U$2:$U$9980)</f>
        <v>410</v>
      </c>
      <c r="X160" s="2">
        <f t="shared" si="36"/>
        <v>2</v>
      </c>
      <c r="Y160" s="2">
        <f t="shared" si="37"/>
        <v>410</v>
      </c>
      <c r="Z160">
        <f>SUMIF(KASA!$C$2:$C$9980, C160, KASA!$V$2:$V$9980)</f>
        <v>1640</v>
      </c>
      <c r="AA160">
        <f t="shared" si="38"/>
        <v>1230</v>
      </c>
    </row>
    <row r="161" spans="3:27" x14ac:dyDescent="0.25">
      <c r="C161" s="4" t="s">
        <v>206</v>
      </c>
      <c r="D161" s="5">
        <f>SUMIFS(KASA!$I:$I, KASA!$C:$C, $C161, KASA!$B:$B, "MAL ALIMI") + SUMIFS(KASA!$I:$I, KASA!$C:$C, $C161, KASA!$B:$B, "ÜRETİM GİRİŞ")</f>
        <v>8</v>
      </c>
      <c r="E161" s="5" cm="1">
        <f t="array" ref="E161">IFERROR(AVERAGE(IF((KASA!$C$2:$C$9980=$C161)*((KASA!$B$2:$B$9980="MAL ALIMI")+(KASA!$B$2:$B$9980="ÜRETİM GİRİŞ")),KASA!$J$2:$J$9980)),0)</f>
        <v>185</v>
      </c>
      <c r="F161" s="5">
        <f>SUMIFS(KASA!$I:$I, KASA!$C:$C, $C161, KASA!$B:$B, "MAL SATIŞI") + SUMIFS(KASA!$I:$I, KASA!$C:$C, $C161, KASA!$B:$B, "ÜRETİM ÇIKIŞ")</f>
        <v>7</v>
      </c>
      <c r="G161" s="5">
        <f>SUMIFS(KASA!$I:$I, KASA!$C:$C, $C161, KASA!$B:$B, "MAL İADE")</f>
        <v>0</v>
      </c>
      <c r="H161" s="5">
        <f>SUMIFS(KASA!$K:$K, KASA!$C:$C, $C161, KASA!$B:$B, "MAL İADE") + SUMIFS(KASA!$Q:$Q, KASA!$C:$C, $C161, KASA!$B:$B, "MAL İADE")</f>
        <v>0</v>
      </c>
      <c r="I161" s="5">
        <f t="shared" si="26"/>
        <v>7</v>
      </c>
      <c r="J161" s="5">
        <f t="shared" si="27"/>
        <v>1295</v>
      </c>
      <c r="K161" s="5">
        <f>SUMIFS(KASA!$Q:$Q, KASA!$C:$C, $C161, KASA!$B:$B, "MAL SATIŞI") + SUMIFS(KASA!$Q:$Q, KASA!$C:$C, $C161, KASA!$B:$B, "ÜRETİM ÇIKIŞ")</f>
        <v>570</v>
      </c>
      <c r="L161" s="5">
        <f>SUMIFS(KASA!$K:$K, KASA!$C:$C, $C161, KASA!$B:$B, "MAL SATIŞI") + SUMIFS(KASA!$K:$K, KASA!$C:$C, $C161, KASA!$B:$B, "ÜRETİM ÇIKIŞ")</f>
        <v>1330</v>
      </c>
      <c r="M161" s="5">
        <f t="shared" si="28"/>
        <v>1900</v>
      </c>
      <c r="N161" s="5">
        <f t="shared" si="29"/>
        <v>605</v>
      </c>
      <c r="O161" s="65">
        <f t="shared" si="30"/>
        <v>0.46718146718146719</v>
      </c>
      <c r="P161" s="5">
        <f t="shared" si="31"/>
        <v>271.42857142857144</v>
      </c>
      <c r="Q161" s="5">
        <f t="shared" si="32"/>
        <v>1</v>
      </c>
      <c r="R161" s="5">
        <f t="shared" si="33"/>
        <v>185</v>
      </c>
      <c r="S161" s="5">
        <f t="shared" si="34"/>
        <v>1480</v>
      </c>
      <c r="T161">
        <v>4</v>
      </c>
      <c r="U161" s="2">
        <f t="shared" si="35"/>
        <v>-3</v>
      </c>
      <c r="V161">
        <f>SUMIF(KASA!$C$2:$C$9980, C161, KASA!$T$2:$T$9980)</f>
        <v>1</v>
      </c>
      <c r="W161">
        <f>SUMIF(KASA!$C$2:$C$9980, C161, KASA!$U$2:$U$9980)</f>
        <v>185</v>
      </c>
      <c r="X161" s="2">
        <f t="shared" si="36"/>
        <v>1</v>
      </c>
      <c r="Y161" s="2">
        <f t="shared" si="37"/>
        <v>185</v>
      </c>
      <c r="Z161">
        <f>SUMIF(KASA!$C$2:$C$9980, C161, KASA!$V$2:$V$9980)</f>
        <v>1480</v>
      </c>
      <c r="AA161">
        <f t="shared" si="38"/>
        <v>1295</v>
      </c>
    </row>
    <row r="162" spans="3:27" x14ac:dyDescent="0.25">
      <c r="C162" s="4" t="s">
        <v>207</v>
      </c>
      <c r="D162" s="5">
        <f>SUMIFS(KASA!$I:$I, KASA!$C:$C, $C162, KASA!$B:$B, "MAL ALIMI") + SUMIFS(KASA!$I:$I, KASA!$C:$C, $C162, KASA!$B:$B, "ÜRETİM GİRİŞ")</f>
        <v>10</v>
      </c>
      <c r="E162" s="5" cm="1">
        <f t="array" ref="E162">IFERROR(AVERAGE(IF((KASA!$C$2:$C$9980=$C162)*((KASA!$B$2:$B$9980="MAL ALIMI")+(KASA!$B$2:$B$9980="ÜRETİM GİRİŞ")),KASA!$J$2:$J$9980)),0)</f>
        <v>26</v>
      </c>
      <c r="F162" s="5">
        <f>SUMIFS(KASA!$I:$I, KASA!$C:$C, $C162, KASA!$B:$B, "MAL SATIŞI") + SUMIFS(KASA!$I:$I, KASA!$C:$C, $C162, KASA!$B:$B, "ÜRETİM ÇIKIŞ")</f>
        <v>2.5</v>
      </c>
      <c r="G162" s="5">
        <f>SUMIFS(KASA!$I:$I, KASA!$C:$C, $C162, KASA!$B:$B, "MAL İADE")</f>
        <v>0</v>
      </c>
      <c r="H162" s="5">
        <f>SUMIFS(KASA!$K:$K, KASA!$C:$C, $C162, KASA!$B:$B, "MAL İADE") + SUMIFS(KASA!$Q:$Q, KASA!$C:$C, $C162, KASA!$B:$B, "MAL İADE")</f>
        <v>0</v>
      </c>
      <c r="I162" s="5">
        <f t="shared" si="26"/>
        <v>2.5</v>
      </c>
      <c r="J162" s="5">
        <f t="shared" si="27"/>
        <v>65</v>
      </c>
      <c r="K162" s="5">
        <f>SUMIFS(KASA!$Q:$Q, KASA!$C:$C, $C162, KASA!$B:$B, "MAL SATIŞI") + SUMIFS(KASA!$Q:$Q, KASA!$C:$C, $C162, KASA!$B:$B, "ÜRETİM ÇIKIŞ")</f>
        <v>280</v>
      </c>
      <c r="L162" s="5">
        <f>SUMIFS(KASA!$K:$K, KASA!$C:$C, $C162, KASA!$B:$B, "MAL SATIŞI") + SUMIFS(KASA!$K:$K, KASA!$C:$C, $C162, KASA!$B:$B, "ÜRETİM ÇIKIŞ")</f>
        <v>70</v>
      </c>
      <c r="M162" s="5">
        <f t="shared" si="28"/>
        <v>350</v>
      </c>
      <c r="N162" s="5">
        <f t="shared" si="29"/>
        <v>285</v>
      </c>
      <c r="O162" s="65">
        <f t="shared" si="30"/>
        <v>4.384615384615385</v>
      </c>
      <c r="P162" s="5">
        <f t="shared" si="31"/>
        <v>140</v>
      </c>
      <c r="Q162" s="5">
        <f t="shared" si="32"/>
        <v>7.5</v>
      </c>
      <c r="R162" s="5">
        <f t="shared" si="33"/>
        <v>195</v>
      </c>
      <c r="S162" s="5">
        <f t="shared" si="34"/>
        <v>260</v>
      </c>
      <c r="T162">
        <v>9.5</v>
      </c>
      <c r="U162" s="2">
        <f t="shared" si="35"/>
        <v>-2</v>
      </c>
      <c r="V162">
        <f>SUMIF(KASA!$C$2:$C$9980, C162, KASA!$T$2:$T$9980)</f>
        <v>7.5</v>
      </c>
      <c r="W162">
        <f>SUMIF(KASA!$C$2:$C$9980, C162, KASA!$U$2:$U$9980)</f>
        <v>195</v>
      </c>
      <c r="X162" s="2">
        <f t="shared" si="36"/>
        <v>7.5</v>
      </c>
      <c r="Y162" s="2">
        <f t="shared" si="37"/>
        <v>195</v>
      </c>
      <c r="Z162">
        <f>SUMIF(KASA!$C$2:$C$9980, C162, KASA!$V$2:$V$9980)</f>
        <v>260</v>
      </c>
      <c r="AA162">
        <f t="shared" si="38"/>
        <v>65</v>
      </c>
    </row>
    <row r="163" spans="3:27" x14ac:dyDescent="0.25">
      <c r="C163" s="4" t="s">
        <v>208</v>
      </c>
      <c r="D163" s="5">
        <f>SUMIFS(KASA!$I:$I, KASA!$C:$C, $C163, KASA!$B:$B, "MAL ALIMI") + SUMIFS(KASA!$I:$I, KASA!$C:$C, $C163, KASA!$B:$B, "ÜRETİM GİRİŞ")</f>
        <v>10</v>
      </c>
      <c r="E163" s="5" cm="1">
        <f t="array" ref="E163">IFERROR(AVERAGE(IF((KASA!$C$2:$C$9980=$C163)*((KASA!$B$2:$B$9980="MAL ALIMI")+(KASA!$B$2:$B$9980="ÜRETİM GİRİŞ")),KASA!$J$2:$J$9980)),0)</f>
        <v>26</v>
      </c>
      <c r="F163" s="5">
        <f>SUMIFS(KASA!$I:$I, KASA!$C:$C, $C163, KASA!$B:$B, "MAL SATIŞI") + SUMIFS(KASA!$I:$I, KASA!$C:$C, $C163, KASA!$B:$B, "ÜRETİM ÇIKIŞ")</f>
        <v>6.95</v>
      </c>
      <c r="G163" s="5">
        <f>SUMIFS(KASA!$I:$I, KASA!$C:$C, $C163, KASA!$B:$B, "MAL İADE")</f>
        <v>0</v>
      </c>
      <c r="H163" s="5">
        <f>SUMIFS(KASA!$K:$K, KASA!$C:$C, $C163, KASA!$B:$B, "MAL İADE") + SUMIFS(KASA!$Q:$Q, KASA!$C:$C, $C163, KASA!$B:$B, "MAL İADE")</f>
        <v>0</v>
      </c>
      <c r="I163" s="5">
        <f t="shared" si="26"/>
        <v>6.95</v>
      </c>
      <c r="J163" s="5">
        <f t="shared" si="27"/>
        <v>180.70000000000002</v>
      </c>
      <c r="K163" s="5">
        <f>SUMIFS(KASA!$Q:$Q, KASA!$C:$C, $C163, KASA!$B:$B, "MAL SATIŞI") + SUMIFS(KASA!$Q:$Q, KASA!$C:$C, $C163, KASA!$B:$B, "ÜRETİM ÇIKIŞ")</f>
        <v>630</v>
      </c>
      <c r="L163" s="5">
        <f>SUMIFS(KASA!$K:$K, KASA!$C:$C, $C163, KASA!$B:$B, "MAL SATIŞI") + SUMIFS(KASA!$K:$K, KASA!$C:$C, $C163, KASA!$B:$B, "ÜRETİM ÇIKIŞ")</f>
        <v>343</v>
      </c>
      <c r="M163" s="5">
        <f t="shared" si="28"/>
        <v>973</v>
      </c>
      <c r="N163" s="5">
        <f t="shared" si="29"/>
        <v>792.3</v>
      </c>
      <c r="O163" s="65">
        <f t="shared" si="30"/>
        <v>4.3846153846153841</v>
      </c>
      <c r="P163" s="5">
        <f t="shared" si="31"/>
        <v>140</v>
      </c>
      <c r="Q163" s="5">
        <f t="shared" si="32"/>
        <v>3.05</v>
      </c>
      <c r="R163" s="5">
        <f t="shared" si="33"/>
        <v>79.3</v>
      </c>
      <c r="S163" s="5">
        <f t="shared" si="34"/>
        <v>260</v>
      </c>
      <c r="T163">
        <v>3.5</v>
      </c>
      <c r="U163" s="2">
        <f t="shared" si="35"/>
        <v>-0.45000000000000018</v>
      </c>
      <c r="V163">
        <f>SUMIF(KASA!$C$2:$C$9980, C163, KASA!$T$2:$T$9980)</f>
        <v>3.05</v>
      </c>
      <c r="W163">
        <f>SUMIF(KASA!$C$2:$C$9980, C163, KASA!$U$2:$U$9980)</f>
        <v>79.3</v>
      </c>
      <c r="X163" s="2">
        <f t="shared" si="36"/>
        <v>3.05</v>
      </c>
      <c r="Y163" s="2">
        <f t="shared" si="37"/>
        <v>79.3</v>
      </c>
      <c r="Z163">
        <f>SUMIF(KASA!$C$2:$C$9980, C163, KASA!$V$2:$V$9980)</f>
        <v>260</v>
      </c>
      <c r="AA163">
        <f t="shared" si="38"/>
        <v>180.7</v>
      </c>
    </row>
    <row r="164" spans="3:27" x14ac:dyDescent="0.25">
      <c r="C164" s="4" t="s">
        <v>209</v>
      </c>
      <c r="D164" s="5">
        <f>SUMIFS(KASA!$I:$I, KASA!$C:$C, $C164, KASA!$B:$B, "MAL ALIMI") + SUMIFS(KASA!$I:$I, KASA!$C:$C, $C164, KASA!$B:$B, "ÜRETİM GİRİŞ")</f>
        <v>4.5</v>
      </c>
      <c r="E164" s="5" cm="1">
        <f t="array" ref="E164">IFERROR(AVERAGE(IF((KASA!$C$2:$C$9980=$C164)*((KASA!$B$2:$B$9980="MAL ALIMI")+(KASA!$B$2:$B$9980="ÜRETİM GİRİŞ")),KASA!$J$2:$J$9980)),0)</f>
        <v>1125</v>
      </c>
      <c r="F164" s="5">
        <f>SUMIFS(KASA!$I:$I, KASA!$C:$C, $C164, KASA!$B:$B, "MAL SATIŞI") + SUMIFS(KASA!$I:$I, KASA!$C:$C, $C164, KASA!$B:$B, "ÜRETİM ÇIKIŞ")</f>
        <v>3.7959999999999967</v>
      </c>
      <c r="G164" s="5">
        <f>SUMIFS(KASA!$I:$I, KASA!$C:$C, $C164, KASA!$B:$B, "MAL İADE")</f>
        <v>0</v>
      </c>
      <c r="H164" s="5">
        <f>SUMIFS(KASA!$K:$K, KASA!$C:$C, $C164, KASA!$B:$B, "MAL İADE") + SUMIFS(KASA!$Q:$Q, KASA!$C:$C, $C164, KASA!$B:$B, "MAL İADE")</f>
        <v>0</v>
      </c>
      <c r="I164" s="5">
        <f t="shared" si="26"/>
        <v>3.7959999999999967</v>
      </c>
      <c r="J164" s="5">
        <f t="shared" si="27"/>
        <v>4270.4999999999964</v>
      </c>
      <c r="K164" s="5">
        <f>SUMIFS(KASA!$Q:$Q, KASA!$C:$C, $C164, KASA!$B:$B, "MAL SATIŞI") + SUMIFS(KASA!$Q:$Q, KASA!$C:$C, $C164, KASA!$B:$B, "ÜRETİM ÇIKIŞ")</f>
        <v>4092</v>
      </c>
      <c r="L164" s="5">
        <f>SUMIFS(KASA!$K:$K, KASA!$C:$C, $C164, KASA!$B:$B, "MAL SATIŞI") + SUMIFS(KASA!$K:$K, KASA!$C:$C, $C164, KASA!$B:$B, "ÜRETİM ÇIKIŞ")</f>
        <v>5035</v>
      </c>
      <c r="M164" s="5">
        <f t="shared" si="28"/>
        <v>9127</v>
      </c>
      <c r="N164" s="5">
        <f t="shared" si="29"/>
        <v>4856.5000000000036</v>
      </c>
      <c r="O164" s="65">
        <f t="shared" si="30"/>
        <v>1.1372204659875911</v>
      </c>
      <c r="P164" s="5">
        <f t="shared" si="31"/>
        <v>2404.3730242360402</v>
      </c>
      <c r="Q164" s="5">
        <f t="shared" si="32"/>
        <v>0.70400000000000329</v>
      </c>
      <c r="R164" s="5">
        <f t="shared" si="33"/>
        <v>792.00000000000375</v>
      </c>
      <c r="S164" s="5">
        <f t="shared" si="34"/>
        <v>5062.5</v>
      </c>
      <c r="T164">
        <v>1.2</v>
      </c>
      <c r="U164" s="2">
        <f t="shared" si="35"/>
        <v>-0.49599999999999667</v>
      </c>
      <c r="V164">
        <f>SUMIF(KASA!$C$2:$C$9980, C164, KASA!$T$2:$T$9980)</f>
        <v>0.70400000000000329</v>
      </c>
      <c r="W164">
        <f>SUMIF(KASA!$C$2:$C$9980, C164, KASA!$U$2:$U$9980)</f>
        <v>704.0000000000033</v>
      </c>
      <c r="X164" s="2">
        <f t="shared" si="36"/>
        <v>0.70400000000000329</v>
      </c>
      <c r="Y164" s="2">
        <f t="shared" si="37"/>
        <v>704.0000000000033</v>
      </c>
      <c r="Z164">
        <f>SUMIF(KASA!$C$2:$C$9980, C164, KASA!$V$2:$V$9980)</f>
        <v>4750</v>
      </c>
      <c r="AA164">
        <f t="shared" si="38"/>
        <v>4045.9999999999968</v>
      </c>
    </row>
    <row r="165" spans="3:27" x14ac:dyDescent="0.25">
      <c r="C165" s="4" t="s">
        <v>210</v>
      </c>
      <c r="D165" s="5">
        <f>SUMIFS(KASA!$I:$I, KASA!$C:$C, $C165, KASA!$B:$B, "MAL ALIMI") + SUMIFS(KASA!$I:$I, KASA!$C:$C, $C165, KASA!$B:$B, "ÜRETİM GİRİŞ")</f>
        <v>1</v>
      </c>
      <c r="E165" s="5" cm="1">
        <f t="array" ref="E165">IFERROR(AVERAGE(IF((KASA!$C$2:$C$9980=$C165)*((KASA!$B$2:$B$9980="MAL ALIMI")+(KASA!$B$2:$B$9980="ÜRETİM GİRİŞ")),KASA!$J$2:$J$9980)),0)</f>
        <v>2250</v>
      </c>
      <c r="F165" s="5">
        <f>SUMIFS(KASA!$I:$I, KASA!$C:$C, $C165, KASA!$B:$B, "MAL SATIŞI") + SUMIFS(KASA!$I:$I, KASA!$C:$C, $C165, KASA!$B:$B, "ÜRETİM ÇIKIŞ")</f>
        <v>0.24</v>
      </c>
      <c r="G165" s="5">
        <f>SUMIFS(KASA!$I:$I, KASA!$C:$C, $C165, KASA!$B:$B, "MAL İADE")</f>
        <v>0</v>
      </c>
      <c r="H165" s="5">
        <f>SUMIFS(KASA!$K:$K, KASA!$C:$C, $C165, KASA!$B:$B, "MAL İADE") + SUMIFS(KASA!$Q:$Q, KASA!$C:$C, $C165, KASA!$B:$B, "MAL İADE")</f>
        <v>0</v>
      </c>
      <c r="I165" s="5">
        <f t="shared" si="26"/>
        <v>0.24</v>
      </c>
      <c r="J165" s="5">
        <f t="shared" si="27"/>
        <v>540</v>
      </c>
      <c r="K165" s="5">
        <f>SUMIFS(KASA!$Q:$Q, KASA!$C:$C, $C165, KASA!$B:$B, "MAL SATIŞI") + SUMIFS(KASA!$Q:$Q, KASA!$C:$C, $C165, KASA!$B:$B, "ÜRETİM ÇIKIŞ")</f>
        <v>570</v>
      </c>
      <c r="L165" s="5">
        <f>SUMIFS(KASA!$K:$K, KASA!$C:$C, $C165, KASA!$B:$B, "MAL SATIŞI") + SUMIFS(KASA!$K:$K, KASA!$C:$C, $C165, KASA!$B:$B, "ÜRETİM ÇIKIŞ")</f>
        <v>180</v>
      </c>
      <c r="M165" s="5">
        <f t="shared" si="28"/>
        <v>750</v>
      </c>
      <c r="N165" s="5">
        <f t="shared" si="29"/>
        <v>210</v>
      </c>
      <c r="O165" s="65">
        <f t="shared" si="30"/>
        <v>0.3888888888888889</v>
      </c>
      <c r="P165" s="5">
        <f t="shared" si="31"/>
        <v>3125</v>
      </c>
      <c r="Q165" s="5">
        <f t="shared" si="32"/>
        <v>0.76</v>
      </c>
      <c r="R165" s="5">
        <f t="shared" si="33"/>
        <v>1710</v>
      </c>
      <c r="S165" s="5">
        <f t="shared" si="34"/>
        <v>2250</v>
      </c>
      <c r="T165">
        <f>0.04*19</f>
        <v>0.76</v>
      </c>
      <c r="U165" s="2">
        <f t="shared" si="35"/>
        <v>0</v>
      </c>
      <c r="V165">
        <f>SUMIF(KASA!$C$2:$C$9980, C165, KASA!$T$2:$T$9980)</f>
        <v>0.76</v>
      </c>
      <c r="W165">
        <f>SUMIF(KASA!$C$2:$C$9980, C165, KASA!$U$2:$U$9980)</f>
        <v>1710</v>
      </c>
      <c r="X165" s="2">
        <f t="shared" si="36"/>
        <v>0.76</v>
      </c>
      <c r="Y165" s="2">
        <f t="shared" si="37"/>
        <v>1710</v>
      </c>
      <c r="Z165">
        <f>SUMIF(KASA!$C$2:$C$9980, C165, KASA!$V$2:$V$9980)</f>
        <v>2250</v>
      </c>
      <c r="AA165">
        <f t="shared" si="38"/>
        <v>540</v>
      </c>
    </row>
    <row r="166" spans="3:27" x14ac:dyDescent="0.25">
      <c r="C166" s="4" t="s">
        <v>211</v>
      </c>
      <c r="D166" s="5">
        <f>SUMIFS(KASA!$I:$I, KASA!$C:$C, $C166, KASA!$B:$B, "MAL ALIMI") + SUMIFS(KASA!$I:$I, KASA!$C:$C, $C166, KASA!$B:$B, "ÜRETİM GİRİŞ")</f>
        <v>25</v>
      </c>
      <c r="E166" s="5" cm="1">
        <f t="array" ref="E166">IFERROR(AVERAGE(IF((KASA!$C$2:$C$9980=$C166)*((KASA!$B$2:$B$9980="MAL ALIMI")+(KASA!$B$2:$B$9980="ÜRETİM GİRİŞ")),KASA!$J$2:$J$9980)),0)</f>
        <v>240</v>
      </c>
      <c r="F166" s="5">
        <f>SUMIFS(KASA!$I:$I, KASA!$C:$C, $C166, KASA!$B:$B, "MAL SATIŞI") + SUMIFS(KASA!$I:$I, KASA!$C:$C, $C166, KASA!$B:$B, "ÜRETİM ÇIKIŞ")</f>
        <v>25.003379310344833</v>
      </c>
      <c r="G166" s="5">
        <f>SUMIFS(KASA!$I:$I, KASA!$C:$C, $C166, KASA!$B:$B, "MAL İADE")</f>
        <v>0</v>
      </c>
      <c r="H166" s="5">
        <f>SUMIFS(KASA!$K:$K, KASA!$C:$C, $C166, KASA!$B:$B, "MAL İADE") + SUMIFS(KASA!$Q:$Q, KASA!$C:$C, $C166, KASA!$B:$B, "MAL İADE")</f>
        <v>0</v>
      </c>
      <c r="I166" s="5">
        <f t="shared" si="26"/>
        <v>25.003379310344833</v>
      </c>
      <c r="J166" s="5">
        <f t="shared" si="27"/>
        <v>6000.8110344827601</v>
      </c>
      <c r="K166" s="5">
        <f>SUMIFS(KASA!$Q:$Q, KASA!$C:$C, $C166, KASA!$B:$B, "MAL SATIŞI") + SUMIFS(KASA!$Q:$Q, KASA!$C:$C, $C166, KASA!$B:$B, "ÜRETİM ÇIKIŞ")</f>
        <v>6691.5199999999995</v>
      </c>
      <c r="L166" s="5">
        <f>SUMIFS(KASA!$K:$K, KASA!$C:$C, $C166, KASA!$B:$B, "MAL SATIŞI") + SUMIFS(KASA!$K:$K, KASA!$C:$C, $C166, KASA!$B:$B, "ÜRETİM ÇIKIŞ")</f>
        <v>678.37</v>
      </c>
      <c r="M166" s="5">
        <f t="shared" si="28"/>
        <v>7369.8899999999994</v>
      </c>
      <c r="N166" s="5">
        <f t="shared" si="29"/>
        <v>1369.0789655172393</v>
      </c>
      <c r="O166" s="65">
        <f t="shared" si="30"/>
        <v>0.22814898813677559</v>
      </c>
      <c r="P166" s="5">
        <f t="shared" si="31"/>
        <v>294.75575715282616</v>
      </c>
      <c r="Q166" s="5">
        <f t="shared" si="32"/>
        <v>-3.3793103448331863E-3</v>
      </c>
      <c r="R166" s="5">
        <f t="shared" si="33"/>
        <v>-0.8110344827599647</v>
      </c>
      <c r="S166" s="5">
        <f t="shared" si="34"/>
        <v>6000</v>
      </c>
      <c r="T166">
        <v>0</v>
      </c>
      <c r="U166" s="2">
        <f t="shared" si="35"/>
        <v>-3.3793103448331863E-3</v>
      </c>
      <c r="V166">
        <f>SUMIF(KASA!$C$2:$C$9980, C166, KASA!$T$2:$T$9980)</f>
        <v>0</v>
      </c>
      <c r="W166">
        <f>SUMIF(KASA!$C$2:$C$9980, C166, KASA!$U$2:$U$9980)</f>
        <v>0</v>
      </c>
      <c r="X166" s="2">
        <f t="shared" si="36"/>
        <v>0</v>
      </c>
      <c r="Y166" s="2">
        <f t="shared" si="37"/>
        <v>0</v>
      </c>
      <c r="Z166">
        <f>SUMIF(KASA!$C$2:$C$9980, C166, KASA!$V$2:$V$9980)</f>
        <v>6000</v>
      </c>
      <c r="AA166">
        <f t="shared" si="38"/>
        <v>6000</v>
      </c>
    </row>
    <row r="167" spans="3:27" x14ac:dyDescent="0.25">
      <c r="C167" s="4" t="s">
        <v>212</v>
      </c>
      <c r="D167" s="5">
        <f>SUMIFS(KASA!$I:$I, KASA!$C:$C, $C167, KASA!$B:$B, "MAL ALIMI") + SUMIFS(KASA!$I:$I, KASA!$C:$C, $C167, KASA!$B:$B, "ÜRETİM GİRİŞ")</f>
        <v>12</v>
      </c>
      <c r="E167" s="5" cm="1">
        <f t="array" ref="E167">IFERROR(AVERAGE(IF((KASA!$C$2:$C$9980=$C167)*((KASA!$B$2:$B$9980="MAL ALIMI")+(KASA!$B$2:$B$9980="ÜRETİM GİRİŞ")),KASA!$J$2:$J$9980)),0)</f>
        <v>275</v>
      </c>
      <c r="F167" s="5">
        <f>SUMIFS(KASA!$I:$I, KASA!$C:$C, $C167, KASA!$B:$B, "MAL SATIŞI") + SUMIFS(KASA!$I:$I, KASA!$C:$C, $C167, KASA!$B:$B, "ÜRETİM ÇIKIŞ")</f>
        <v>6.759999999999998</v>
      </c>
      <c r="G167" s="5">
        <f>SUMIFS(KASA!$I:$I, KASA!$C:$C, $C167, KASA!$B:$B, "MAL İADE")</f>
        <v>0</v>
      </c>
      <c r="H167" s="5">
        <f>SUMIFS(KASA!$K:$K, KASA!$C:$C, $C167, KASA!$B:$B, "MAL İADE") + SUMIFS(KASA!$Q:$Q, KASA!$C:$C, $C167, KASA!$B:$B, "MAL İADE")</f>
        <v>0</v>
      </c>
      <c r="I167" s="5">
        <f t="shared" si="26"/>
        <v>6.759999999999998</v>
      </c>
      <c r="J167" s="5">
        <f t="shared" si="27"/>
        <v>1858.9999999999995</v>
      </c>
      <c r="K167" s="5">
        <f>SUMIFS(KASA!$Q:$Q, KASA!$C:$C, $C167, KASA!$B:$B, "MAL SATIŞI") + SUMIFS(KASA!$Q:$Q, KASA!$C:$C, $C167, KASA!$B:$B, "ÜRETİM ÇIKIŞ")</f>
        <v>2380</v>
      </c>
      <c r="L167" s="5">
        <f>SUMIFS(KASA!$K:$K, KASA!$C:$C, $C167, KASA!$B:$B, "MAL SATIŞI") + SUMIFS(KASA!$K:$K, KASA!$C:$C, $C167, KASA!$B:$B, "ÜRETİM ÇIKIŞ")</f>
        <v>428.2</v>
      </c>
      <c r="M167" s="5">
        <f t="shared" si="28"/>
        <v>2808.2</v>
      </c>
      <c r="N167" s="5">
        <f t="shared" si="29"/>
        <v>949.20000000000027</v>
      </c>
      <c r="O167" s="65">
        <f t="shared" si="30"/>
        <v>0.51059709521248009</v>
      </c>
      <c r="P167" s="5">
        <f t="shared" si="31"/>
        <v>415.41420118343206</v>
      </c>
      <c r="Q167" s="5">
        <f t="shared" si="32"/>
        <v>5.240000000000002</v>
      </c>
      <c r="R167" s="5">
        <f t="shared" si="33"/>
        <v>1441.0000000000005</v>
      </c>
      <c r="S167" s="5">
        <f t="shared" si="34"/>
        <v>3300</v>
      </c>
      <c r="T167">
        <v>5.54</v>
      </c>
      <c r="U167" s="2">
        <f t="shared" si="35"/>
        <v>-0.29999999999999805</v>
      </c>
      <c r="V167">
        <f>SUMIF(KASA!$C$2:$C$9980, C167, KASA!$T$2:$T$9980)</f>
        <v>5.240000000000002</v>
      </c>
      <c r="W167">
        <f>SUMIF(KASA!$C$2:$C$9980, C167, KASA!$U$2:$U$9980)</f>
        <v>1441.0000000000005</v>
      </c>
      <c r="X167" s="2">
        <f t="shared" si="36"/>
        <v>5.240000000000002</v>
      </c>
      <c r="Y167" s="2">
        <f t="shared" si="37"/>
        <v>1441.0000000000005</v>
      </c>
      <c r="Z167">
        <f>SUMIF(KASA!$C$2:$C$9980, C167, KASA!$V$2:$V$9980)</f>
        <v>3300</v>
      </c>
      <c r="AA167">
        <f t="shared" si="38"/>
        <v>1858.9999999999995</v>
      </c>
    </row>
    <row r="168" spans="3:27" x14ac:dyDescent="0.25">
      <c r="C168" s="4" t="s">
        <v>213</v>
      </c>
      <c r="D168" s="5">
        <f>SUMIFS(KASA!$I:$I, KASA!$C:$C, $C168, KASA!$B:$B, "MAL ALIMI") + SUMIFS(KASA!$I:$I, KASA!$C:$C, $C168, KASA!$B:$B, "ÜRETİM GİRİŞ")</f>
        <v>1</v>
      </c>
      <c r="E168" s="5" cm="1">
        <f t="array" ref="E168">IFERROR(AVERAGE(IF((KASA!$C$2:$C$9980=$C168)*((KASA!$B$2:$B$9980="MAL ALIMI")+(KASA!$B$2:$B$9980="ÜRETİM GİRİŞ")),KASA!$J$2:$J$9980)),0)</f>
        <v>300</v>
      </c>
      <c r="F168" s="5">
        <f>SUMIFS(KASA!$I:$I, KASA!$C:$C, $C168, KASA!$B:$B, "MAL SATIŞI") + SUMIFS(KASA!$I:$I, KASA!$C:$C, $C168, KASA!$B:$B, "ÜRETİM ÇIKIŞ")</f>
        <v>0.33342857142857141</v>
      </c>
      <c r="G168" s="5">
        <f>SUMIFS(KASA!$I:$I, KASA!$C:$C, $C168, KASA!$B:$B, "MAL İADE")</f>
        <v>0</v>
      </c>
      <c r="H168" s="5">
        <f>SUMIFS(KASA!$K:$K, KASA!$C:$C, $C168, KASA!$B:$B, "MAL İADE") + SUMIFS(KASA!$Q:$Q, KASA!$C:$C, $C168, KASA!$B:$B, "MAL İADE")</f>
        <v>0</v>
      </c>
      <c r="I168" s="5">
        <f t="shared" si="26"/>
        <v>0.33342857142857141</v>
      </c>
      <c r="J168" s="5">
        <f t="shared" si="27"/>
        <v>100.02857142857142</v>
      </c>
      <c r="K168" s="5">
        <f>SUMIFS(KASA!$Q:$Q, KASA!$C:$C, $C168, KASA!$B:$B, "MAL SATIŞI") + SUMIFS(KASA!$Q:$Q, KASA!$C:$C, $C168, KASA!$B:$B, "ÜRETİM ÇIKIŞ")</f>
        <v>326.8</v>
      </c>
      <c r="L168" s="5">
        <f>SUMIFS(KASA!$K:$K, KASA!$C:$C, $C168, KASA!$B:$B, "MAL SATIŞI") + SUMIFS(KASA!$K:$K, KASA!$C:$C, $C168, KASA!$B:$B, "ÜRETİM ÇIKIŞ")</f>
        <v>140</v>
      </c>
      <c r="M168" s="5">
        <f t="shared" si="28"/>
        <v>466.8</v>
      </c>
      <c r="N168" s="5">
        <f t="shared" si="29"/>
        <v>366.7714285714286</v>
      </c>
      <c r="O168" s="65">
        <f t="shared" si="30"/>
        <v>3.666666666666667</v>
      </c>
      <c r="P168" s="5">
        <f t="shared" si="31"/>
        <v>1400.0000000000002</v>
      </c>
      <c r="Q168" s="5">
        <f t="shared" si="32"/>
        <v>0.66657142857142859</v>
      </c>
      <c r="R168" s="5">
        <f t="shared" si="33"/>
        <v>199.97142857142859</v>
      </c>
      <c r="S168" s="5">
        <f t="shared" si="34"/>
        <v>300</v>
      </c>
      <c r="U168" s="2">
        <f t="shared" si="35"/>
        <v>0.66657142857142859</v>
      </c>
      <c r="V168">
        <f>SUMIF(KASA!$C$2:$C$9980, C168, KASA!$T$2:$T$9980)</f>
        <v>0.66657142857142859</v>
      </c>
      <c r="W168">
        <f>SUMIF(KASA!$C$2:$C$9980, C168, KASA!$U$2:$U$9980)</f>
        <v>199.97142857142859</v>
      </c>
      <c r="X168" s="2">
        <f t="shared" si="36"/>
        <v>0.66657142857142859</v>
      </c>
      <c r="Y168" s="2">
        <f t="shared" si="37"/>
        <v>199.97142857142859</v>
      </c>
      <c r="Z168">
        <f>SUMIF(KASA!$C$2:$C$9980, C168, KASA!$V$2:$V$9980)</f>
        <v>300</v>
      </c>
      <c r="AA168">
        <f t="shared" si="38"/>
        <v>100.02857142857141</v>
      </c>
    </row>
    <row r="169" spans="3:27" x14ac:dyDescent="0.25">
      <c r="C169" s="4" t="s">
        <v>60</v>
      </c>
      <c r="D169" s="5">
        <f>SUMIFS(KASA!$I:$I, KASA!$C:$C, $C169, KASA!$B:$B, "MAL ALIMI") + SUMIFS(KASA!$I:$I, KASA!$C:$C, $C169, KASA!$B:$B, "ÜRETİM GİRİŞ")</f>
        <v>11</v>
      </c>
      <c r="E169" s="5" cm="1">
        <f t="array" ref="E169">IFERROR(AVERAGE(IF((KASA!$C$2:$C$9980=$C169)*((KASA!$B$2:$B$9980="MAL ALIMI")+(KASA!$B$2:$B$9980="ÜRETİM GİRİŞ")),KASA!$J$2:$J$9980)),0)</f>
        <v>541</v>
      </c>
      <c r="F169" s="5">
        <f>SUMIFS(KASA!$I:$I, KASA!$C:$C, $C169, KASA!$B:$B, "MAL SATIŞI") + SUMIFS(KASA!$I:$I, KASA!$C:$C, $C169, KASA!$B:$B, "ÜRETİM ÇIKIŞ")</f>
        <v>7.249999999999984</v>
      </c>
      <c r="G169" s="5">
        <f>SUMIFS(KASA!$I:$I, KASA!$C:$C, $C169, KASA!$B:$B, "MAL İADE")</f>
        <v>0</v>
      </c>
      <c r="H169" s="5">
        <f>SUMIFS(KASA!$K:$K, KASA!$C:$C, $C169, KASA!$B:$B, "MAL İADE") + SUMIFS(KASA!$Q:$Q, KASA!$C:$C, $C169, KASA!$B:$B, "MAL İADE")</f>
        <v>0</v>
      </c>
      <c r="I169" s="5">
        <f t="shared" si="26"/>
        <v>7.249999999999984</v>
      </c>
      <c r="J169" s="5">
        <f t="shared" si="27"/>
        <v>3922.2499999999914</v>
      </c>
      <c r="K169" s="5">
        <f>SUMIFS(KASA!$Q:$Q, KASA!$C:$C, $C169, KASA!$B:$B, "MAL SATIŞI") + SUMIFS(KASA!$Q:$Q, KASA!$C:$C, $C169, KASA!$B:$B, "ÜRETİM ÇIKIŞ")</f>
        <v>5136.6949999999997</v>
      </c>
      <c r="L169" s="5">
        <f>SUMIFS(KASA!$K:$K, KASA!$C:$C, $C169, KASA!$B:$B, "MAL SATIŞI") + SUMIFS(KASA!$K:$K, KASA!$C:$C, $C169, KASA!$B:$B, "ÜRETİM ÇIKIŞ")</f>
        <v>3194.9949999999999</v>
      </c>
      <c r="M169" s="5">
        <f t="shared" si="28"/>
        <v>8331.6899999999987</v>
      </c>
      <c r="N169" s="5">
        <f t="shared" si="29"/>
        <v>4409.4400000000078</v>
      </c>
      <c r="O169" s="65">
        <f t="shared" si="30"/>
        <v>1.1242118681879067</v>
      </c>
      <c r="P169" s="5">
        <f t="shared" si="31"/>
        <v>1149.1986206896574</v>
      </c>
      <c r="Q169" s="5">
        <f t="shared" si="32"/>
        <v>3.750000000000016</v>
      </c>
      <c r="R169" s="5">
        <f t="shared" si="33"/>
        <v>2028.7500000000086</v>
      </c>
      <c r="S169" s="5">
        <f t="shared" si="34"/>
        <v>5951</v>
      </c>
      <c r="T169">
        <v>6.1</v>
      </c>
      <c r="U169" s="2">
        <f t="shared" si="35"/>
        <v>-2.3499999999999837</v>
      </c>
      <c r="V169">
        <f>SUMIF(KASA!$C$2:$C$9980, C169, KASA!$T$2:$T$9980)</f>
        <v>3.750000000000016</v>
      </c>
      <c r="W169">
        <f>SUMIF(KASA!$C$2:$C$9980, C169, KASA!$U$2:$U$9980)</f>
        <v>1762.5000000000075</v>
      </c>
      <c r="X169" s="2">
        <f t="shared" si="36"/>
        <v>3.750000000000016</v>
      </c>
      <c r="Y169" s="2">
        <f t="shared" si="37"/>
        <v>1762.5000000000075</v>
      </c>
      <c r="Z169">
        <f>SUMIF(KASA!$C$2:$C$9980, C169, KASA!$V$2:$V$9980)</f>
        <v>5805</v>
      </c>
      <c r="AA169">
        <f t="shared" si="38"/>
        <v>4042.4999999999927</v>
      </c>
    </row>
    <row r="170" spans="3:27" x14ac:dyDescent="0.25">
      <c r="C170" s="4" t="s">
        <v>214</v>
      </c>
      <c r="D170" s="5">
        <f>SUMIFS(KASA!$I:$I, KASA!$C:$C, $C170, KASA!$B:$B, "MAL ALIMI") + SUMIFS(KASA!$I:$I, KASA!$C:$C, $C170, KASA!$B:$B, "ÜRETİM GİRİŞ")</f>
        <v>3</v>
      </c>
      <c r="E170" s="5" cm="1">
        <f t="array" ref="E170">IFERROR(AVERAGE(IF((KASA!$C$2:$C$9980=$C170)*((KASA!$B$2:$B$9980="MAL ALIMI")+(KASA!$B$2:$B$9980="ÜRETİM GİRİŞ")),KASA!$J$2:$J$9980)),0)</f>
        <v>193.33332433333331</v>
      </c>
      <c r="F170" s="5">
        <f>SUMIFS(KASA!$I:$I, KASA!$C:$C, $C170, KASA!$B:$B, "MAL SATIŞI") + SUMIFS(KASA!$I:$I, KASA!$C:$C, $C170, KASA!$B:$B, "ÜRETİM ÇIKIŞ")</f>
        <v>2.4390869565217397</v>
      </c>
      <c r="G170" s="5">
        <f>SUMIFS(KASA!$I:$I, KASA!$C:$C, $C170, KASA!$B:$B, "MAL İADE")</f>
        <v>0</v>
      </c>
      <c r="H170" s="5">
        <f>SUMIFS(KASA!$K:$K, KASA!$C:$C, $C170, KASA!$B:$B, "MAL İADE") + SUMIFS(KASA!$Q:$Q, KASA!$C:$C, $C170, KASA!$B:$B, "MAL İADE")</f>
        <v>0</v>
      </c>
      <c r="I170" s="5">
        <f t="shared" si="26"/>
        <v>2.4390869565217397</v>
      </c>
      <c r="J170" s="5">
        <f t="shared" si="27"/>
        <v>471.55678964242031</v>
      </c>
      <c r="K170" s="5">
        <f>SUMIFS(KASA!$Q:$Q, KASA!$C:$C, $C170, KASA!$B:$B, "MAL SATIŞI") + SUMIFS(KASA!$Q:$Q, KASA!$C:$C, $C170, KASA!$B:$B, "ÜRETİM ÇIKIŞ")</f>
        <v>1083.4521739130435</v>
      </c>
      <c r="L170" s="5">
        <f>SUMIFS(KASA!$K:$K, KASA!$C:$C, $C170, KASA!$B:$B, "MAL SATIŞI") + SUMIFS(KASA!$K:$K, KASA!$C:$C, $C170, KASA!$B:$B, "ÜRETİM ÇIKIŞ")</f>
        <v>1201.6999999999998</v>
      </c>
      <c r="M170" s="5">
        <f t="shared" si="28"/>
        <v>2285.152173913043</v>
      </c>
      <c r="N170" s="5">
        <f t="shared" si="29"/>
        <v>1813.5953842706226</v>
      </c>
      <c r="O170" s="65">
        <f t="shared" si="30"/>
        <v>3.8459744915259622</v>
      </c>
      <c r="P170" s="5">
        <f t="shared" si="31"/>
        <v>936.88835808124884</v>
      </c>
      <c r="Q170" s="5">
        <f t="shared" si="32"/>
        <v>0.56091304347826032</v>
      </c>
      <c r="R170" s="5">
        <f t="shared" si="33"/>
        <v>108.44318335757958</v>
      </c>
      <c r="S170" s="5">
        <f t="shared" si="34"/>
        <v>579.99997299999995</v>
      </c>
      <c r="T170">
        <v>1.17</v>
      </c>
      <c r="U170" s="2">
        <f t="shared" si="35"/>
        <v>-0.60908695652173961</v>
      </c>
      <c r="V170">
        <f>SUMIF(KASA!$C$2:$C$9980, C170, KASA!$T$2:$T$9980)</f>
        <v>0.56091304347826032</v>
      </c>
      <c r="W170">
        <f>SUMIF(KASA!$C$2:$C$9980, C170, KASA!$U$2:$U$9980)</f>
        <v>98.159767464043384</v>
      </c>
      <c r="X170" s="2">
        <f t="shared" si="36"/>
        <v>0.56091304347826032</v>
      </c>
      <c r="Y170" s="2">
        <f t="shared" si="37"/>
        <v>98.159767464043384</v>
      </c>
      <c r="Z170">
        <f>SUMIF(KASA!$C$2:$C$9980, C170, KASA!$V$2:$V$9980)</f>
        <v>579.99997299999995</v>
      </c>
      <c r="AA170">
        <f t="shared" si="38"/>
        <v>481.84020553595656</v>
      </c>
    </row>
    <row r="171" spans="3:27" x14ac:dyDescent="0.25">
      <c r="C171" s="4" t="s">
        <v>215</v>
      </c>
      <c r="D171" s="5">
        <f>SUMIFS(KASA!$I:$I, KASA!$C:$C, $C171, KASA!$B:$B, "MAL ALIMI") + SUMIFS(KASA!$I:$I, KASA!$C:$C, $C171, KASA!$B:$B, "ÜRETİM GİRİŞ")</f>
        <v>15</v>
      </c>
      <c r="E171" s="5" cm="1">
        <f t="array" ref="E171">IFERROR(AVERAGE(IF((KASA!$C$2:$C$9980=$C171)*((KASA!$B$2:$B$9980="MAL ALIMI")+(KASA!$B$2:$B$9980="ÜRETİM GİRİŞ")),KASA!$J$2:$J$9980)),0)</f>
        <v>125</v>
      </c>
      <c r="F171" s="5">
        <f>SUMIFS(KASA!$I:$I, KASA!$C:$C, $C171, KASA!$B:$B, "MAL SATIŞI") + SUMIFS(KASA!$I:$I, KASA!$C:$C, $C171, KASA!$B:$B, "ÜRETİM ÇIKIŞ")</f>
        <v>7</v>
      </c>
      <c r="G171" s="5">
        <f>SUMIFS(KASA!$I:$I, KASA!$C:$C, $C171, KASA!$B:$B, "MAL İADE")</f>
        <v>0</v>
      </c>
      <c r="H171" s="5">
        <f>SUMIFS(KASA!$K:$K, KASA!$C:$C, $C171, KASA!$B:$B, "MAL İADE") + SUMIFS(KASA!$Q:$Q, KASA!$C:$C, $C171, KASA!$B:$B, "MAL İADE")</f>
        <v>0</v>
      </c>
      <c r="I171" s="5">
        <f t="shared" si="26"/>
        <v>7</v>
      </c>
      <c r="J171" s="5">
        <f t="shared" si="27"/>
        <v>875</v>
      </c>
      <c r="K171" s="5">
        <f>SUMIFS(KASA!$Q:$Q, KASA!$C:$C, $C171, KASA!$B:$B, "MAL SATIŞI") + SUMIFS(KASA!$Q:$Q, KASA!$C:$C, $C171, KASA!$B:$B, "ÜRETİM ÇIKIŞ")</f>
        <v>1175</v>
      </c>
      <c r="L171" s="5">
        <f>SUMIFS(KASA!$K:$K, KASA!$C:$C, $C171, KASA!$B:$B, "MAL SATIŞI") + SUMIFS(KASA!$K:$K, KASA!$C:$C, $C171, KASA!$B:$B, "ÜRETİM ÇIKIŞ")</f>
        <v>475</v>
      </c>
      <c r="M171" s="5">
        <f t="shared" si="28"/>
        <v>1650</v>
      </c>
      <c r="N171" s="5">
        <f t="shared" si="29"/>
        <v>775</v>
      </c>
      <c r="O171" s="65">
        <f t="shared" si="30"/>
        <v>0.88571428571428568</v>
      </c>
      <c r="P171" s="5">
        <f t="shared" si="31"/>
        <v>235.71428571428572</v>
      </c>
      <c r="Q171" s="5">
        <f t="shared" si="32"/>
        <v>8</v>
      </c>
      <c r="R171" s="5">
        <f t="shared" si="33"/>
        <v>1000</v>
      </c>
      <c r="S171" s="5">
        <f t="shared" si="34"/>
        <v>1875</v>
      </c>
      <c r="T171">
        <v>11</v>
      </c>
      <c r="U171" s="2">
        <f t="shared" si="35"/>
        <v>-3</v>
      </c>
      <c r="V171">
        <f>SUMIF(KASA!$C$2:$C$9980, C171, KASA!$T$2:$T$9980)</f>
        <v>8</v>
      </c>
      <c r="W171">
        <f>SUMIF(KASA!$C$2:$C$9980, C171, KASA!$U$2:$U$9980)</f>
        <v>1000</v>
      </c>
      <c r="X171" s="2">
        <f t="shared" si="36"/>
        <v>8</v>
      </c>
      <c r="Y171" s="2">
        <f t="shared" si="37"/>
        <v>1000</v>
      </c>
      <c r="Z171">
        <f>SUMIF(KASA!$C$2:$C$9980, C171, KASA!$V$2:$V$9980)</f>
        <v>1875</v>
      </c>
      <c r="AA171">
        <f t="shared" si="38"/>
        <v>875</v>
      </c>
    </row>
    <row r="172" spans="3:27" x14ac:dyDescent="0.25">
      <c r="C172" s="4" t="s">
        <v>216</v>
      </c>
      <c r="D172" s="5">
        <f>SUMIFS(KASA!$I:$I, KASA!$C:$C, $C172, KASA!$B:$B, "MAL ALIMI") + SUMIFS(KASA!$I:$I, KASA!$C:$C, $C172, KASA!$B:$B, "ÜRETİM GİRİŞ")</f>
        <v>3</v>
      </c>
      <c r="E172" s="5" cm="1">
        <f t="array" ref="E172">IFERROR(AVERAGE(IF((KASA!$C$2:$C$9980=$C172)*((KASA!$B$2:$B$9980="MAL ALIMI")+(KASA!$B$2:$B$9980="ÜRETİM GİRİŞ")),KASA!$J$2:$J$9980)),0)</f>
        <v>65</v>
      </c>
      <c r="F172" s="5">
        <f>SUMIFS(KASA!$I:$I, KASA!$C:$C, $C172, KASA!$B:$B, "MAL SATIŞI") + SUMIFS(KASA!$I:$I, KASA!$C:$C, $C172, KASA!$B:$B, "ÜRETİM ÇIKIŞ")</f>
        <v>0</v>
      </c>
      <c r="G172" s="5">
        <f>SUMIFS(KASA!$I:$I, KASA!$C:$C, $C172, KASA!$B:$B, "MAL İADE")</f>
        <v>3</v>
      </c>
      <c r="H172" s="5">
        <f>SUMIFS(KASA!$K:$K, KASA!$C:$C, $C172, KASA!$B:$B, "MAL İADE") + SUMIFS(KASA!$Q:$Q, KASA!$C:$C, $C172, KASA!$B:$B, "MAL İADE")</f>
        <v>195</v>
      </c>
      <c r="I172" s="5">
        <f t="shared" si="26"/>
        <v>3</v>
      </c>
      <c r="J172" s="5">
        <f t="shared" si="27"/>
        <v>0</v>
      </c>
      <c r="K172" s="5">
        <f>SUMIFS(KASA!$Q:$Q, KASA!$C:$C, $C172, KASA!$B:$B, "MAL SATIŞI") + SUMIFS(KASA!$Q:$Q, KASA!$C:$C, $C172, KASA!$B:$B, "ÜRETİM ÇIKIŞ")</f>
        <v>0</v>
      </c>
      <c r="L172" s="5">
        <f>SUMIFS(KASA!$K:$K, KASA!$C:$C, $C172, KASA!$B:$B, "MAL SATIŞI") + SUMIFS(KASA!$K:$K, KASA!$C:$C, $C172, KASA!$B:$B, "ÜRETİM ÇIKIŞ")</f>
        <v>0</v>
      </c>
      <c r="M172" s="5">
        <f t="shared" si="28"/>
        <v>0</v>
      </c>
      <c r="N172" s="5">
        <f t="shared" si="29"/>
        <v>0</v>
      </c>
      <c r="O172" s="65">
        <f t="shared" si="30"/>
        <v>0</v>
      </c>
      <c r="P172" s="5" t="e">
        <f t="shared" si="31"/>
        <v>#DIV/0!</v>
      </c>
      <c r="Q172" s="5">
        <f t="shared" si="32"/>
        <v>0</v>
      </c>
      <c r="R172" s="5">
        <f t="shared" si="33"/>
        <v>0</v>
      </c>
      <c r="S172" s="5">
        <f t="shared" si="34"/>
        <v>195</v>
      </c>
      <c r="T172">
        <v>3</v>
      </c>
      <c r="U172" s="2">
        <f t="shared" si="35"/>
        <v>-3</v>
      </c>
      <c r="V172">
        <f>SUMIF(KASA!$C$2:$C$9980, C172, KASA!$T$2:$T$9980)</f>
        <v>3</v>
      </c>
      <c r="W172">
        <f>SUMIF(KASA!$C$2:$C$9980, C172, KASA!$U$2:$U$9980)</f>
        <v>195</v>
      </c>
      <c r="X172" s="2">
        <f t="shared" si="36"/>
        <v>0</v>
      </c>
      <c r="Y172" s="2">
        <f t="shared" si="37"/>
        <v>0</v>
      </c>
      <c r="Z172">
        <f>SUMIF(KASA!$C$2:$C$9980, C172, KASA!$V$2:$V$9980)</f>
        <v>195</v>
      </c>
      <c r="AA172">
        <f t="shared" si="38"/>
        <v>0</v>
      </c>
    </row>
    <row r="173" spans="3:27" x14ac:dyDescent="0.25">
      <c r="C173" s="4" t="s">
        <v>217</v>
      </c>
      <c r="D173" s="5">
        <f>SUMIFS(KASA!$I:$I, KASA!$C:$C, $C173, KASA!$B:$B, "MAL ALIMI") + SUMIFS(KASA!$I:$I, KASA!$C:$C, $C173, KASA!$B:$B, "ÜRETİM GİRİŞ")</f>
        <v>1</v>
      </c>
      <c r="E173" s="5" cm="1">
        <f t="array" ref="E173">IFERROR(AVERAGE(IF((KASA!$C$2:$C$9980=$C173)*((KASA!$B$2:$B$9980="MAL ALIMI")+(KASA!$B$2:$B$9980="ÜRETİM GİRİŞ")),KASA!$J$2:$J$9980)),0)</f>
        <v>165</v>
      </c>
      <c r="F173" s="5">
        <f>SUMIFS(KASA!$I:$I, KASA!$C:$C, $C173, KASA!$B:$B, "MAL SATIŞI") + SUMIFS(KASA!$I:$I, KASA!$C:$C, $C173, KASA!$B:$B, "ÜRETİM ÇIKIŞ")</f>
        <v>9.1999999999999998E-2</v>
      </c>
      <c r="G173" s="5">
        <f>SUMIFS(KASA!$I:$I, KASA!$C:$C, $C173, KASA!$B:$B, "MAL İADE")</f>
        <v>0</v>
      </c>
      <c r="H173" s="5">
        <f>SUMIFS(KASA!$K:$K, KASA!$C:$C, $C173, KASA!$B:$B, "MAL İADE") + SUMIFS(KASA!$Q:$Q, KASA!$C:$C, $C173, KASA!$B:$B, "MAL İADE")</f>
        <v>0</v>
      </c>
      <c r="I173" s="5">
        <f t="shared" si="26"/>
        <v>9.1999999999999998E-2</v>
      </c>
      <c r="J173" s="5">
        <f t="shared" si="27"/>
        <v>15.18</v>
      </c>
      <c r="K173" s="5">
        <f>SUMIFS(KASA!$Q:$Q, KASA!$C:$C, $C173, KASA!$B:$B, "MAL SATIŞI") + SUMIFS(KASA!$Q:$Q, KASA!$C:$C, $C173, KASA!$B:$B, "ÜRETİM ÇIKIŞ")</f>
        <v>0</v>
      </c>
      <c r="L173" s="5">
        <f>SUMIFS(KASA!$K:$K, KASA!$C:$C, $C173, KASA!$B:$B, "MAL SATIŞI") + SUMIFS(KASA!$K:$K, KASA!$C:$C, $C173, KASA!$B:$B, "ÜRETİM ÇIKIŞ")</f>
        <v>30.36</v>
      </c>
      <c r="M173" s="5">
        <f t="shared" si="28"/>
        <v>30.36</v>
      </c>
      <c r="N173" s="5">
        <f t="shared" si="29"/>
        <v>15.18</v>
      </c>
      <c r="O173" s="65">
        <f t="shared" si="30"/>
        <v>1</v>
      </c>
      <c r="P173" s="5">
        <f t="shared" si="31"/>
        <v>330</v>
      </c>
      <c r="Q173" s="5">
        <f t="shared" si="32"/>
        <v>0.90800000000000003</v>
      </c>
      <c r="R173" s="5">
        <f t="shared" si="33"/>
        <v>149.82</v>
      </c>
      <c r="S173" s="5">
        <f t="shared" si="34"/>
        <v>165</v>
      </c>
      <c r="T173">
        <v>0.91</v>
      </c>
      <c r="U173" s="2">
        <f t="shared" si="35"/>
        <v>-2.0000000000000018E-3</v>
      </c>
      <c r="V173">
        <f>SUMIF(KASA!$C$2:$C$9980, C173, KASA!$T$2:$T$9980)</f>
        <v>0.90800000000000003</v>
      </c>
      <c r="W173">
        <f>SUMIF(KASA!$C$2:$C$9980, C173, KASA!$U$2:$U$9980)</f>
        <v>149.82</v>
      </c>
      <c r="X173" s="2">
        <f t="shared" si="36"/>
        <v>0.90800000000000003</v>
      </c>
      <c r="Y173" s="2">
        <f t="shared" si="37"/>
        <v>149.82</v>
      </c>
      <c r="Z173">
        <f>SUMIF(KASA!$C$2:$C$9980, C173, KASA!$V$2:$V$9980)</f>
        <v>165</v>
      </c>
      <c r="AA173">
        <f t="shared" si="38"/>
        <v>15.180000000000007</v>
      </c>
    </row>
    <row r="174" spans="3:27" x14ac:dyDescent="0.25">
      <c r="C174" s="4" t="s">
        <v>218</v>
      </c>
      <c r="D174" s="5">
        <f>SUMIFS(KASA!$I:$I, KASA!$C:$C, $C174, KASA!$B:$B, "MAL ALIMI") + SUMIFS(KASA!$I:$I, KASA!$C:$C, $C174, KASA!$B:$B, "ÜRETİM GİRİŞ")</f>
        <v>29</v>
      </c>
      <c r="E174" s="5" cm="1">
        <f t="array" ref="E174">IFERROR(AVERAGE(IF((KASA!$C$2:$C$9980=$C174)*((KASA!$B$2:$B$9980="MAL ALIMI")+(KASA!$B$2:$B$9980="ÜRETİM GİRİŞ")),KASA!$J$2:$J$9980)),0)</f>
        <v>228.75</v>
      </c>
      <c r="F174" s="5">
        <f>SUMIFS(KASA!$I:$I, KASA!$C:$C, $C174, KASA!$B:$B, "MAL SATIŞI") + SUMIFS(KASA!$I:$I, KASA!$C:$C, $C174, KASA!$B:$B, "ÜRETİM ÇIKIŞ")</f>
        <v>24</v>
      </c>
      <c r="G174" s="5">
        <f>SUMIFS(KASA!$I:$I, KASA!$C:$C, $C174, KASA!$B:$B, "MAL İADE")</f>
        <v>0</v>
      </c>
      <c r="H174" s="5">
        <f>SUMIFS(KASA!$K:$K, KASA!$C:$C, $C174, KASA!$B:$B, "MAL İADE") + SUMIFS(KASA!$Q:$Q, KASA!$C:$C, $C174, KASA!$B:$B, "MAL İADE")</f>
        <v>0</v>
      </c>
      <c r="I174" s="5">
        <f t="shared" si="26"/>
        <v>24</v>
      </c>
      <c r="J174" s="5">
        <f t="shared" si="27"/>
        <v>5490</v>
      </c>
      <c r="K174" s="5">
        <f>SUMIFS(KASA!$Q:$Q, KASA!$C:$C, $C174, KASA!$B:$B, "MAL SATIŞI") + SUMIFS(KASA!$Q:$Q, KASA!$C:$C, $C174, KASA!$B:$B, "ÜRETİM ÇIKIŞ")</f>
        <v>5310</v>
      </c>
      <c r="L174" s="5">
        <f>SUMIFS(KASA!$K:$K, KASA!$C:$C, $C174, KASA!$B:$B, "MAL SATIŞI") + SUMIFS(KASA!$K:$K, KASA!$C:$C, $C174, KASA!$B:$B, "ÜRETİM ÇIKIŞ")</f>
        <v>1985</v>
      </c>
      <c r="M174" s="5">
        <f t="shared" si="28"/>
        <v>7295</v>
      </c>
      <c r="N174" s="5">
        <f t="shared" si="29"/>
        <v>1805</v>
      </c>
      <c r="O174" s="65">
        <f t="shared" si="30"/>
        <v>0.32877959927140255</v>
      </c>
      <c r="P174" s="5">
        <f t="shared" si="31"/>
        <v>303.95833333333331</v>
      </c>
      <c r="Q174" s="5">
        <f t="shared" si="32"/>
        <v>5</v>
      </c>
      <c r="R174" s="5">
        <f t="shared" si="33"/>
        <v>1143.75</v>
      </c>
      <c r="S174" s="5">
        <f t="shared" si="34"/>
        <v>6633.75</v>
      </c>
      <c r="T174">
        <v>5</v>
      </c>
      <c r="U174" s="2">
        <f t="shared" si="35"/>
        <v>0</v>
      </c>
      <c r="V174">
        <f>SUMIF(KASA!$C$2:$C$9980, C174, KASA!$T$2:$T$9980)</f>
        <v>5</v>
      </c>
      <c r="W174">
        <f>SUMIF(KASA!$C$2:$C$9980, C174, KASA!$U$2:$U$9980)</f>
        <v>1200</v>
      </c>
      <c r="X174" s="2">
        <f t="shared" si="36"/>
        <v>5</v>
      </c>
      <c r="Y174" s="2">
        <f t="shared" si="37"/>
        <v>1200</v>
      </c>
      <c r="Z174">
        <f>SUMIF(KASA!$C$2:$C$9980, C174, KASA!$V$2:$V$9980)</f>
        <v>6615</v>
      </c>
      <c r="AA174">
        <f t="shared" si="38"/>
        <v>5415</v>
      </c>
    </row>
    <row r="175" spans="3:27" x14ac:dyDescent="0.25">
      <c r="C175" s="4" t="s">
        <v>219</v>
      </c>
      <c r="D175" s="5">
        <f>SUMIFS(KASA!$I:$I, KASA!$C:$C, $C175, KASA!$B:$B, "MAL ALIMI") + SUMIFS(KASA!$I:$I, KASA!$C:$C, $C175, KASA!$B:$B, "ÜRETİM GİRİŞ")</f>
        <v>1</v>
      </c>
      <c r="E175" s="5" cm="1">
        <f t="array" ref="E175">IFERROR(AVERAGE(IF((KASA!$C$2:$C$9980=$C175)*((KASA!$B$2:$B$9980="MAL ALIMI")+(KASA!$B$2:$B$9980="ÜRETİM GİRİŞ")),KASA!$J$2:$J$9980)),0)</f>
        <v>1000</v>
      </c>
      <c r="F175" s="5">
        <f>SUMIFS(KASA!$I:$I, KASA!$C:$C, $C175, KASA!$B:$B, "MAL SATIŞI") + SUMIFS(KASA!$I:$I, KASA!$C:$C, $C175, KASA!$B:$B, "ÜRETİM ÇIKIŞ")</f>
        <v>0.70650000000000024</v>
      </c>
      <c r="G175" s="5">
        <f>SUMIFS(KASA!$I:$I, KASA!$C:$C, $C175, KASA!$B:$B, "MAL İADE")</f>
        <v>0</v>
      </c>
      <c r="H175" s="5">
        <f>SUMIFS(KASA!$K:$K, KASA!$C:$C, $C175, KASA!$B:$B, "MAL İADE") + SUMIFS(KASA!$Q:$Q, KASA!$C:$C, $C175, KASA!$B:$B, "MAL İADE")</f>
        <v>0</v>
      </c>
      <c r="I175" s="5">
        <f t="shared" si="26"/>
        <v>0.70650000000000024</v>
      </c>
      <c r="J175" s="5">
        <f t="shared" si="27"/>
        <v>706.50000000000023</v>
      </c>
      <c r="K175" s="5">
        <f>SUMIFS(KASA!$Q:$Q, KASA!$C:$C, $C175, KASA!$B:$B, "MAL SATIŞI") + SUMIFS(KASA!$Q:$Q, KASA!$C:$C, $C175, KASA!$B:$B, "ÜRETİM ÇIKIŞ")</f>
        <v>826</v>
      </c>
      <c r="L175" s="5">
        <f>SUMIFS(KASA!$K:$K, KASA!$C:$C, $C175, KASA!$B:$B, "MAL SATIŞI") + SUMIFS(KASA!$K:$K, KASA!$C:$C, $C175, KASA!$B:$B, "ÜRETİM ÇIKIŞ")</f>
        <v>507</v>
      </c>
      <c r="M175" s="5">
        <f t="shared" si="28"/>
        <v>1333</v>
      </c>
      <c r="N175" s="5">
        <f t="shared" si="29"/>
        <v>626.49999999999977</v>
      </c>
      <c r="O175" s="65">
        <f t="shared" si="30"/>
        <v>0.8867657466383575</v>
      </c>
      <c r="P175" s="5">
        <f t="shared" si="31"/>
        <v>1886.7657466383575</v>
      </c>
      <c r="Q175" s="5">
        <f t="shared" si="32"/>
        <v>0.29349999999999976</v>
      </c>
      <c r="R175" s="5">
        <f t="shared" si="33"/>
        <v>293.49999999999977</v>
      </c>
      <c r="S175" s="5">
        <f t="shared" si="34"/>
        <v>1000</v>
      </c>
      <c r="U175" s="2">
        <f t="shared" si="35"/>
        <v>0.29349999999999976</v>
      </c>
      <c r="V175">
        <f>SUMIF(KASA!$C$2:$C$9980, C175, KASA!$T$2:$T$9980)</f>
        <v>0.29349999999999976</v>
      </c>
      <c r="W175">
        <f>SUMIF(KASA!$C$2:$C$9980, C175, KASA!$U$2:$U$9980)</f>
        <v>293.49999999999977</v>
      </c>
      <c r="X175" s="2">
        <f t="shared" si="36"/>
        <v>0.29349999999999976</v>
      </c>
      <c r="Y175" s="2">
        <f t="shared" si="37"/>
        <v>293.49999999999977</v>
      </c>
      <c r="Z175">
        <f>SUMIF(KASA!$C$2:$C$9980, C175, KASA!$V$2:$V$9980)</f>
        <v>1000</v>
      </c>
      <c r="AA175">
        <f t="shared" si="38"/>
        <v>706.50000000000023</v>
      </c>
    </row>
    <row r="176" spans="3:27" x14ac:dyDescent="0.25">
      <c r="C176" s="4" t="s">
        <v>220</v>
      </c>
      <c r="D176" s="5">
        <f>SUMIFS(KASA!$I:$I, KASA!$C:$C, $C176, KASA!$B:$B, "MAL ALIMI") + SUMIFS(KASA!$I:$I, KASA!$C:$C, $C176, KASA!$B:$B, "ÜRETİM GİRİŞ")</f>
        <v>1</v>
      </c>
      <c r="E176" s="5" cm="1">
        <f t="array" ref="E176">IFERROR(AVERAGE(IF((KASA!$C$2:$C$9980=$C176)*((KASA!$B$2:$B$9980="MAL ALIMI")+(KASA!$B$2:$B$9980="ÜRETİM GİRİŞ")),KASA!$J$2:$J$9980)),0)</f>
        <v>180</v>
      </c>
      <c r="F176" s="5">
        <f>SUMIFS(KASA!$I:$I, KASA!$C:$C, $C176, KASA!$B:$B, "MAL SATIŞI") + SUMIFS(KASA!$I:$I, KASA!$C:$C, $C176, KASA!$B:$B, "ÜRETİM ÇIKIŞ")</f>
        <v>0</v>
      </c>
      <c r="G176" s="5">
        <f>SUMIFS(KASA!$I:$I, KASA!$C:$C, $C176, KASA!$B:$B, "MAL İADE")</f>
        <v>0</v>
      </c>
      <c r="H176" s="5">
        <f>SUMIFS(KASA!$K:$K, KASA!$C:$C, $C176, KASA!$B:$B, "MAL İADE") + SUMIFS(KASA!$Q:$Q, KASA!$C:$C, $C176, KASA!$B:$B, "MAL İADE")</f>
        <v>0</v>
      </c>
      <c r="I176" s="5">
        <f t="shared" si="26"/>
        <v>0</v>
      </c>
      <c r="J176" s="5">
        <f t="shared" si="27"/>
        <v>0</v>
      </c>
      <c r="K176" s="5">
        <f>SUMIFS(KASA!$Q:$Q, KASA!$C:$C, $C176, KASA!$B:$B, "MAL SATIŞI") + SUMIFS(KASA!$Q:$Q, KASA!$C:$C, $C176, KASA!$B:$B, "ÜRETİM ÇIKIŞ")</f>
        <v>0</v>
      </c>
      <c r="L176" s="5">
        <f>SUMIFS(KASA!$K:$K, KASA!$C:$C, $C176, KASA!$B:$B, "MAL SATIŞI") + SUMIFS(KASA!$K:$K, KASA!$C:$C, $C176, KASA!$B:$B, "ÜRETİM ÇIKIŞ")</f>
        <v>0</v>
      </c>
      <c r="M176" s="5">
        <f t="shared" si="28"/>
        <v>0</v>
      </c>
      <c r="N176" s="5">
        <f t="shared" si="29"/>
        <v>0</v>
      </c>
      <c r="O176" s="65">
        <f t="shared" si="30"/>
        <v>0</v>
      </c>
      <c r="P176" s="5" t="e">
        <f t="shared" si="31"/>
        <v>#DIV/0!</v>
      </c>
      <c r="Q176" s="5">
        <f t="shared" si="32"/>
        <v>1</v>
      </c>
      <c r="R176" s="5">
        <f t="shared" si="33"/>
        <v>180</v>
      </c>
      <c r="S176" s="5">
        <f t="shared" si="34"/>
        <v>180</v>
      </c>
      <c r="T176">
        <v>1</v>
      </c>
      <c r="U176" s="2">
        <f t="shared" si="35"/>
        <v>0</v>
      </c>
      <c r="V176">
        <f>SUMIF(KASA!$C$2:$C$9980, C176, KASA!$T$2:$T$9980)</f>
        <v>1</v>
      </c>
      <c r="W176">
        <f>SUMIF(KASA!$C$2:$C$9980, C176, KASA!$U$2:$U$9980)</f>
        <v>180</v>
      </c>
      <c r="X176" s="2">
        <f t="shared" si="36"/>
        <v>1</v>
      </c>
      <c r="Y176" s="2">
        <f t="shared" si="37"/>
        <v>180</v>
      </c>
      <c r="Z176">
        <f>SUMIF(KASA!$C$2:$C$9980, C176, KASA!$V$2:$V$9980)</f>
        <v>180</v>
      </c>
      <c r="AA176">
        <f t="shared" si="38"/>
        <v>0</v>
      </c>
    </row>
    <row r="177" spans="3:27" x14ac:dyDescent="0.25">
      <c r="C177" s="4" t="s">
        <v>221</v>
      </c>
      <c r="D177" s="5">
        <f>SUMIFS(KASA!$I:$I, KASA!$C:$C, $C177, KASA!$B:$B, "MAL ALIMI") + SUMIFS(KASA!$I:$I, KASA!$C:$C, $C177, KASA!$B:$B, "ÜRETİM GİRİŞ")</f>
        <v>1</v>
      </c>
      <c r="E177" s="5" cm="1">
        <f t="array" ref="E177">IFERROR(AVERAGE(IF((KASA!$C$2:$C$9980=$C177)*((KASA!$B$2:$B$9980="MAL ALIMI")+(KASA!$B$2:$B$9980="ÜRETİM GİRİŞ")),KASA!$J$2:$J$9980)),0)</f>
        <v>265</v>
      </c>
      <c r="F177" s="5">
        <f>SUMIFS(KASA!$I:$I, KASA!$C:$C, $C177, KASA!$B:$B, "MAL SATIŞI") + SUMIFS(KASA!$I:$I, KASA!$C:$C, $C177, KASA!$B:$B, "ÜRETİM ÇIKIŞ")</f>
        <v>0.34756923076923074</v>
      </c>
      <c r="G177" s="5">
        <f>SUMIFS(KASA!$I:$I, KASA!$C:$C, $C177, KASA!$B:$B, "MAL İADE")</f>
        <v>0</v>
      </c>
      <c r="H177" s="5">
        <f>SUMIFS(KASA!$K:$K, KASA!$C:$C, $C177, KASA!$B:$B, "MAL İADE") + SUMIFS(KASA!$Q:$Q, KASA!$C:$C, $C177, KASA!$B:$B, "MAL İADE")</f>
        <v>0</v>
      </c>
      <c r="I177" s="5">
        <f t="shared" si="26"/>
        <v>0.34756923076923074</v>
      </c>
      <c r="J177" s="5">
        <f t="shared" si="27"/>
        <v>92.105846153846144</v>
      </c>
      <c r="K177" s="5">
        <f>SUMIFS(KASA!$Q:$Q, KASA!$C:$C, $C177, KASA!$B:$B, "MAL SATIŞI") + SUMIFS(KASA!$Q:$Q, KASA!$C:$C, $C177, KASA!$B:$B, "ÜRETİM ÇIKIŞ")</f>
        <v>287.70153846153846</v>
      </c>
      <c r="L177" s="5">
        <f>SUMIFS(KASA!$K:$K, KASA!$C:$C, $C177, KASA!$B:$B, "MAL SATIŞI") + SUMIFS(KASA!$K:$K, KASA!$C:$C, $C177, KASA!$B:$B, "ÜRETİM ÇIKIŞ")</f>
        <v>156.59999999999997</v>
      </c>
      <c r="M177" s="5">
        <f t="shared" si="28"/>
        <v>444.30153846153843</v>
      </c>
      <c r="N177" s="5">
        <f t="shared" si="29"/>
        <v>352.1956923076923</v>
      </c>
      <c r="O177" s="65">
        <f t="shared" si="30"/>
        <v>3.8238147415682295</v>
      </c>
      <c r="P177" s="5">
        <f t="shared" si="31"/>
        <v>1278.3109065155807</v>
      </c>
      <c r="Q177" s="5">
        <f t="shared" si="32"/>
        <v>0.65243076923076926</v>
      </c>
      <c r="R177" s="5">
        <f t="shared" si="33"/>
        <v>172.89415384615384</v>
      </c>
      <c r="S177" s="5">
        <f t="shared" si="34"/>
        <v>265</v>
      </c>
      <c r="T177">
        <v>0.86</v>
      </c>
      <c r="U177" s="2">
        <f t="shared" si="35"/>
        <v>-0.20756923076923073</v>
      </c>
      <c r="V177">
        <f>SUMIF(KASA!$C$2:$C$9980, C177, KASA!$T$2:$T$9980)</f>
        <v>0.65243076923076926</v>
      </c>
      <c r="W177">
        <f>SUMIF(KASA!$C$2:$C$9980, C177, KASA!$U$2:$U$9980)</f>
        <v>172.89415384615384</v>
      </c>
      <c r="X177" s="2">
        <f t="shared" si="36"/>
        <v>0.65243076923076926</v>
      </c>
      <c r="Y177" s="2">
        <f t="shared" si="37"/>
        <v>172.89415384615384</v>
      </c>
      <c r="Z177">
        <f>SUMIF(KASA!$C$2:$C$9980, C177, KASA!$V$2:$V$9980)</f>
        <v>265</v>
      </c>
      <c r="AA177">
        <f t="shared" si="38"/>
        <v>92.105846153846159</v>
      </c>
    </row>
    <row r="178" spans="3:27" x14ac:dyDescent="0.25">
      <c r="C178" s="4" t="s">
        <v>222</v>
      </c>
      <c r="D178" s="5">
        <f>SUMIFS(KASA!$I:$I, KASA!$C:$C, $C178, KASA!$B:$B, "MAL ALIMI") + SUMIFS(KASA!$I:$I, KASA!$C:$C, $C178, KASA!$B:$B, "ÜRETİM GİRİŞ")</f>
        <v>5</v>
      </c>
      <c r="E178" s="5" cm="1">
        <f t="array" ref="E178">IFERROR(AVERAGE(IF((KASA!$C$2:$C$9980=$C178)*((KASA!$B$2:$B$9980="MAL ALIMI")+(KASA!$B$2:$B$9980="ÜRETİM GİRİŞ")),KASA!$J$2:$J$9980)),0)</f>
        <v>450</v>
      </c>
      <c r="F178" s="5">
        <f>SUMIFS(KASA!$I:$I, KASA!$C:$C, $C178, KASA!$B:$B, "MAL SATIŞI") + SUMIFS(KASA!$I:$I, KASA!$C:$C, $C178, KASA!$B:$B, "ÜRETİM ÇIKIŞ")</f>
        <v>4.9979999999999993</v>
      </c>
      <c r="G178" s="5">
        <f>SUMIFS(KASA!$I:$I, KASA!$C:$C, $C178, KASA!$B:$B, "MAL İADE")</f>
        <v>0</v>
      </c>
      <c r="H178" s="5">
        <f>SUMIFS(KASA!$K:$K, KASA!$C:$C, $C178, KASA!$B:$B, "MAL İADE") + SUMIFS(KASA!$Q:$Q, KASA!$C:$C, $C178, KASA!$B:$B, "MAL İADE")</f>
        <v>0</v>
      </c>
      <c r="I178" s="5">
        <f t="shared" si="26"/>
        <v>4.9979999999999993</v>
      </c>
      <c r="J178" s="5">
        <f t="shared" si="27"/>
        <v>2249.1</v>
      </c>
      <c r="K178" s="5">
        <f>SUMIFS(KASA!$Q:$Q, KASA!$C:$C, $C178, KASA!$B:$B, "MAL SATIŞI") + SUMIFS(KASA!$Q:$Q, KASA!$C:$C, $C178, KASA!$B:$B, "ÜRETİM ÇIKIŞ")</f>
        <v>2353.1999999999998</v>
      </c>
      <c r="L178" s="5">
        <f>SUMIFS(KASA!$K:$K, KASA!$C:$C, $C178, KASA!$B:$B, "MAL SATIŞI") + SUMIFS(KASA!$K:$K, KASA!$C:$C, $C178, KASA!$B:$B, "ÜRETİM ÇIKIŞ")</f>
        <v>435.6</v>
      </c>
      <c r="M178" s="5">
        <f t="shared" si="28"/>
        <v>2788.7999999999997</v>
      </c>
      <c r="N178" s="5">
        <f t="shared" si="29"/>
        <v>539.69999999999982</v>
      </c>
      <c r="O178" s="65">
        <f t="shared" si="30"/>
        <v>0.23996265172735753</v>
      </c>
      <c r="P178" s="5">
        <f t="shared" si="31"/>
        <v>557.98319327731099</v>
      </c>
      <c r="Q178" s="5">
        <f t="shared" si="32"/>
        <v>2.0000000000006679E-3</v>
      </c>
      <c r="R178" s="5">
        <f t="shared" si="33"/>
        <v>0.90000000000030056</v>
      </c>
      <c r="S178" s="5">
        <f t="shared" si="34"/>
        <v>2250</v>
      </c>
      <c r="T178">
        <v>0</v>
      </c>
      <c r="U178" s="2">
        <f t="shared" si="35"/>
        <v>2.0000000000006679E-3</v>
      </c>
      <c r="V178">
        <f>SUMIF(KASA!$C$2:$C$9980, C178, KASA!$T$2:$T$9980)</f>
        <v>2.0000000000006679E-3</v>
      </c>
      <c r="W178">
        <f>SUMIF(KASA!$C$2:$C$9980, C178, KASA!$U$2:$U$9980)</f>
        <v>0.90000000000030056</v>
      </c>
      <c r="X178" s="2">
        <f t="shared" si="36"/>
        <v>2.0000000000006679E-3</v>
      </c>
      <c r="Y178" s="2">
        <f t="shared" si="37"/>
        <v>0.90000000000030056</v>
      </c>
      <c r="Z178">
        <f>SUMIF(KASA!$C$2:$C$9980, C178, KASA!$V$2:$V$9980)</f>
        <v>2250</v>
      </c>
      <c r="AA178">
        <f t="shared" si="38"/>
        <v>2249.1</v>
      </c>
    </row>
    <row r="179" spans="3:27" x14ac:dyDescent="0.25">
      <c r="C179" s="4" t="s">
        <v>223</v>
      </c>
      <c r="D179" s="5">
        <f>SUMIFS(KASA!$I:$I, KASA!$C:$C, $C179, KASA!$B:$B, "MAL ALIMI") + SUMIFS(KASA!$I:$I, KASA!$C:$C, $C179, KASA!$B:$B, "ÜRETİM GİRİŞ")</f>
        <v>30</v>
      </c>
      <c r="E179" s="5" cm="1">
        <f t="array" ref="E179">IFERROR(AVERAGE(IF((KASA!$C$2:$C$9980=$C179)*((KASA!$B$2:$B$9980="MAL ALIMI")+(KASA!$B$2:$B$9980="ÜRETİM GİRİŞ")),KASA!$J$2:$J$9980)),0)</f>
        <v>558.33333333333337</v>
      </c>
      <c r="F179" s="5">
        <f>SUMIFS(KASA!$I:$I, KASA!$C:$C, $C179, KASA!$B:$B, "MAL SATIŞI") + SUMIFS(KASA!$I:$I, KASA!$C:$C, $C179, KASA!$B:$B, "ÜRETİM ÇIKIŞ")</f>
        <v>25.208142857142864</v>
      </c>
      <c r="G179" s="5">
        <f>SUMIFS(KASA!$I:$I, KASA!$C:$C, $C179, KASA!$B:$B, "MAL İADE")</f>
        <v>4.75</v>
      </c>
      <c r="H179" s="5">
        <f>SUMIFS(KASA!$K:$K, KASA!$C:$C, $C179, KASA!$B:$B, "MAL İADE") + SUMIFS(KASA!$Q:$Q, KASA!$C:$C, $C179, KASA!$B:$B, "MAL İADE")</f>
        <v>2612.5</v>
      </c>
      <c r="I179" s="5">
        <f t="shared" si="26"/>
        <v>29.958142857142864</v>
      </c>
      <c r="J179" s="5">
        <f t="shared" si="27"/>
        <v>14074.546428571433</v>
      </c>
      <c r="K179" s="5">
        <f>SUMIFS(KASA!$Q:$Q, KASA!$C:$C, $C179, KASA!$B:$B, "MAL SATIŞI") + SUMIFS(KASA!$Q:$Q, KASA!$C:$C, $C179, KASA!$B:$B, "ÜRETİM ÇIKIŞ")</f>
        <v>9094.6</v>
      </c>
      <c r="L179" s="5">
        <f>SUMIFS(KASA!$K:$K, KASA!$C:$C, $C179, KASA!$B:$B, "MAL SATIŞI") + SUMIFS(KASA!$K:$K, KASA!$C:$C, $C179, KASA!$B:$B, "ÜRETİM ÇIKIŞ")</f>
        <v>8987.2000000000007</v>
      </c>
      <c r="M179" s="5">
        <f t="shared" si="28"/>
        <v>18081.800000000003</v>
      </c>
      <c r="N179" s="5">
        <f t="shared" si="29"/>
        <v>4007.2535714285696</v>
      </c>
      <c r="O179" s="65">
        <f t="shared" si="30"/>
        <v>0.28471635599523232</v>
      </c>
      <c r="P179" s="5">
        <f t="shared" si="31"/>
        <v>717.29996543067136</v>
      </c>
      <c r="Q179" s="5">
        <f t="shared" si="32"/>
        <v>4.1857142857136154E-2</v>
      </c>
      <c r="R179" s="5">
        <f t="shared" si="33"/>
        <v>23.370238095234352</v>
      </c>
      <c r="S179" s="5">
        <f t="shared" si="34"/>
        <v>16750</v>
      </c>
      <c r="T179">
        <v>2.4460000000000002</v>
      </c>
      <c r="U179" s="2">
        <f t="shared" si="35"/>
        <v>-2.404142857142864</v>
      </c>
      <c r="V179">
        <f>SUMIF(KASA!$C$2:$C$9980, C179, KASA!$T$2:$T$9980)</f>
        <v>4.7918571428571362</v>
      </c>
      <c r="W179">
        <f>SUMIF(KASA!$C$2:$C$9980, C179, KASA!$U$2:$U$9980)</f>
        <v>2635.5214285714251</v>
      </c>
      <c r="X179" s="2">
        <f t="shared" si="36"/>
        <v>4.1857142857136154E-2</v>
      </c>
      <c r="Y179" s="2">
        <f t="shared" si="37"/>
        <v>23.021428571425076</v>
      </c>
      <c r="Z179">
        <f>SUMIF(KASA!$C$2:$C$9980, C179, KASA!$V$2:$V$9980)</f>
        <v>16750</v>
      </c>
      <c r="AA179">
        <f t="shared" si="38"/>
        <v>14114.478571428575</v>
      </c>
    </row>
    <row r="180" spans="3:27" x14ac:dyDescent="0.25">
      <c r="C180" s="4" t="s">
        <v>224</v>
      </c>
      <c r="D180" s="5">
        <f>SUMIFS(KASA!$I:$I, KASA!$C:$C, $C180, KASA!$B:$B, "MAL ALIMI") + SUMIFS(KASA!$I:$I, KASA!$C:$C, $C180, KASA!$B:$B, "ÜRETİM GİRİŞ")</f>
        <v>4</v>
      </c>
      <c r="E180" s="5" cm="1">
        <f t="array" ref="E180">IFERROR(AVERAGE(IF((KASA!$C$2:$C$9980=$C180)*((KASA!$B$2:$B$9980="MAL ALIMI")+(KASA!$B$2:$B$9980="ÜRETİM GİRİŞ")),KASA!$J$2:$J$9980)),0)</f>
        <v>140</v>
      </c>
      <c r="F180" s="5">
        <f>SUMIFS(KASA!$I:$I, KASA!$C:$C, $C180, KASA!$B:$B, "MAL SATIŞI") + SUMIFS(KASA!$I:$I, KASA!$C:$C, $C180, KASA!$B:$B, "ÜRETİM ÇIKIŞ")</f>
        <v>3.3335555555555549</v>
      </c>
      <c r="G180" s="5">
        <f>SUMIFS(KASA!$I:$I, KASA!$C:$C, $C180, KASA!$B:$B, "MAL İADE")</f>
        <v>0</v>
      </c>
      <c r="H180" s="5">
        <f>SUMIFS(KASA!$K:$K, KASA!$C:$C, $C180, KASA!$B:$B, "MAL İADE") + SUMIFS(KASA!$Q:$Q, KASA!$C:$C, $C180, KASA!$B:$B, "MAL İADE")</f>
        <v>0</v>
      </c>
      <c r="I180" s="5">
        <f t="shared" si="26"/>
        <v>3.3335555555555549</v>
      </c>
      <c r="J180" s="5">
        <f t="shared" si="27"/>
        <v>466.69777777777767</v>
      </c>
      <c r="K180" s="5">
        <f>SUMIFS(KASA!$Q:$Q, KASA!$C:$C, $C180, KASA!$B:$B, "MAL SATIŞI") + SUMIFS(KASA!$Q:$Q, KASA!$C:$C, $C180, KASA!$B:$B, "ÜRETİM ÇIKIŞ")</f>
        <v>940.1</v>
      </c>
      <c r="L180" s="5">
        <f>SUMIFS(KASA!$K:$K, KASA!$C:$C, $C180, KASA!$B:$B, "MAL SATIŞI") + SUMIFS(KASA!$K:$K, KASA!$C:$C, $C180, KASA!$B:$B, "ÜRETİM ÇIKIŞ")</f>
        <v>1505.0277777777778</v>
      </c>
      <c r="M180" s="5">
        <f t="shared" si="28"/>
        <v>2445.1277777777777</v>
      </c>
      <c r="N180" s="5">
        <f t="shared" si="29"/>
        <v>1978.43</v>
      </c>
      <c r="O180" s="65">
        <f t="shared" si="30"/>
        <v>4.2392102431266494</v>
      </c>
      <c r="P180" s="5">
        <f t="shared" si="31"/>
        <v>733.48943403773092</v>
      </c>
      <c r="Q180" s="5">
        <f t="shared" si="32"/>
        <v>0.66644444444444506</v>
      </c>
      <c r="R180" s="5">
        <f t="shared" si="33"/>
        <v>93.302222222222312</v>
      </c>
      <c r="S180" s="5">
        <f t="shared" si="34"/>
        <v>560</v>
      </c>
      <c r="T180">
        <v>1.85</v>
      </c>
      <c r="U180" s="2">
        <f t="shared" si="35"/>
        <v>-1.183555555555555</v>
      </c>
      <c r="V180">
        <f>SUMIF(KASA!$C$2:$C$9980, C180, KASA!$T$2:$T$9980)</f>
        <v>0.66644444444444506</v>
      </c>
      <c r="W180">
        <f>SUMIF(KASA!$C$2:$C$9980, C180, KASA!$U$2:$U$9980)</f>
        <v>99.966666666666754</v>
      </c>
      <c r="X180" s="2">
        <f t="shared" si="36"/>
        <v>0.66644444444444506</v>
      </c>
      <c r="Y180" s="2">
        <f t="shared" si="37"/>
        <v>99.966666666666754</v>
      </c>
      <c r="Z180">
        <f>SUMIF(KASA!$C$2:$C$9980, C180, KASA!$V$2:$V$9980)</f>
        <v>560</v>
      </c>
      <c r="AA180">
        <f t="shared" si="38"/>
        <v>460.03333333333325</v>
      </c>
    </row>
    <row r="181" spans="3:27" x14ac:dyDescent="0.25">
      <c r="C181" s="4" t="s">
        <v>225</v>
      </c>
      <c r="D181" s="5">
        <f>SUMIFS(KASA!$I:$I, KASA!$C:$C, $C181, KASA!$B:$B, "MAL ALIMI") + SUMIFS(KASA!$I:$I, KASA!$C:$C, $C181, KASA!$B:$B, "ÜRETİM GİRİŞ")</f>
        <v>16</v>
      </c>
      <c r="E181" s="5" cm="1">
        <f t="array" ref="E181">IFERROR(AVERAGE(IF((KASA!$C$2:$C$9980=$C181)*((KASA!$B$2:$B$9980="MAL ALIMI")+(KASA!$B$2:$B$9980="ÜRETİM GİRİŞ")),KASA!$J$2:$J$9980)),0)</f>
        <v>481.05</v>
      </c>
      <c r="F181" s="5">
        <f>SUMIFS(KASA!$I:$I, KASA!$C:$C, $C181, KASA!$B:$B, "MAL SATIŞI") + SUMIFS(KASA!$I:$I, KASA!$C:$C, $C181, KASA!$B:$B, "ÜRETİM ÇIKIŞ")</f>
        <v>16.000615384615383</v>
      </c>
      <c r="G181" s="5">
        <f>SUMIFS(KASA!$I:$I, KASA!$C:$C, $C181, KASA!$B:$B, "MAL İADE")</f>
        <v>0</v>
      </c>
      <c r="H181" s="5">
        <f>SUMIFS(KASA!$K:$K, KASA!$C:$C, $C181, KASA!$B:$B, "MAL İADE") + SUMIFS(KASA!$Q:$Q, KASA!$C:$C, $C181, KASA!$B:$B, "MAL İADE")</f>
        <v>0</v>
      </c>
      <c r="I181" s="5">
        <f t="shared" si="26"/>
        <v>16.000615384615383</v>
      </c>
      <c r="J181" s="5">
        <f t="shared" si="27"/>
        <v>7697.0960307692303</v>
      </c>
      <c r="K181" s="5">
        <f>SUMIFS(KASA!$Q:$Q, KASA!$C:$C, $C181, KASA!$B:$B, "MAL SATIŞI") + SUMIFS(KASA!$Q:$Q, KASA!$C:$C, $C181, KASA!$B:$B, "ÜRETİM ÇIKIŞ")</f>
        <v>8142.05</v>
      </c>
      <c r="L181" s="5">
        <f>SUMIFS(KASA!$K:$K, KASA!$C:$C, $C181, KASA!$B:$B, "MAL SATIŞI") + SUMIFS(KASA!$K:$K, KASA!$C:$C, $C181, KASA!$B:$B, "ÜRETİM ÇIKIŞ")</f>
        <v>2848.65</v>
      </c>
      <c r="M181" s="5">
        <f t="shared" si="28"/>
        <v>10990.7</v>
      </c>
      <c r="N181" s="5">
        <f t="shared" si="29"/>
        <v>3293.6039692307704</v>
      </c>
      <c r="O181" s="65">
        <f t="shared" si="30"/>
        <v>0.42790215375572171</v>
      </c>
      <c r="P181" s="5">
        <f t="shared" si="31"/>
        <v>686.89233106418999</v>
      </c>
      <c r="Q181" s="5">
        <f t="shared" si="32"/>
        <v>-6.153846153829079E-4</v>
      </c>
      <c r="R181" s="5">
        <f t="shared" si="33"/>
        <v>-0.29603076922994787</v>
      </c>
      <c r="S181" s="5">
        <f t="shared" si="34"/>
        <v>7696.8</v>
      </c>
      <c r="T181">
        <v>0</v>
      </c>
      <c r="U181" s="2">
        <f t="shared" si="35"/>
        <v>-6.153846153829079E-4</v>
      </c>
      <c r="V181">
        <f>SUMIF(KASA!$C$2:$C$9980, C181, KASA!$T$2:$T$9980)</f>
        <v>0</v>
      </c>
      <c r="W181">
        <f>SUMIF(KASA!$C$2:$C$9980, C181, KASA!$U$2:$U$9980)</f>
        <v>0</v>
      </c>
      <c r="X181" s="2">
        <f t="shared" si="36"/>
        <v>0</v>
      </c>
      <c r="Y181" s="2">
        <f t="shared" si="37"/>
        <v>0</v>
      </c>
      <c r="Z181">
        <f>SUMIF(KASA!$C$2:$C$9980, C181, KASA!$V$2:$V$9980)</f>
        <v>7924.2</v>
      </c>
      <c r="AA181">
        <f t="shared" si="38"/>
        <v>7924.2</v>
      </c>
    </row>
    <row r="182" spans="3:27" x14ac:dyDescent="0.25">
      <c r="C182" s="4" t="s">
        <v>226</v>
      </c>
      <c r="D182" s="5">
        <f>SUMIFS(KASA!$I:$I, KASA!$C:$C, $C182, KASA!$B:$B, "MAL ALIMI") + SUMIFS(KASA!$I:$I, KASA!$C:$C, $C182, KASA!$B:$B, "ÜRETİM GİRİŞ")</f>
        <v>21</v>
      </c>
      <c r="E182" s="5" cm="1">
        <f t="array" ref="E182">IFERROR(AVERAGE(IF((KASA!$C$2:$C$9980=$C182)*((KASA!$B$2:$B$9980="MAL ALIMI")+(KASA!$B$2:$B$9980="ÜRETİM GİRİŞ")),KASA!$J$2:$J$9980)),0)</f>
        <v>123.10899999999999</v>
      </c>
      <c r="F182" s="5">
        <f>SUMIFS(KASA!$I:$I, KASA!$C:$C, $C182, KASA!$B:$B, "MAL SATIŞI") + SUMIFS(KASA!$I:$I, KASA!$C:$C, $C182, KASA!$B:$B, "ÜRETİM ÇIKIŞ")</f>
        <v>17.429272727272721</v>
      </c>
      <c r="G182" s="5">
        <f>SUMIFS(KASA!$I:$I, KASA!$C:$C, $C182, KASA!$B:$B, "MAL İADE")</f>
        <v>0</v>
      </c>
      <c r="H182" s="5">
        <f>SUMIFS(KASA!$K:$K, KASA!$C:$C, $C182, KASA!$B:$B, "MAL İADE") + SUMIFS(KASA!$Q:$Q, KASA!$C:$C, $C182, KASA!$B:$B, "MAL İADE")</f>
        <v>0</v>
      </c>
      <c r="I182" s="5">
        <f t="shared" si="26"/>
        <v>17.429272727272721</v>
      </c>
      <c r="J182" s="5">
        <f t="shared" si="27"/>
        <v>2145.7003361818174</v>
      </c>
      <c r="K182" s="5">
        <f>SUMIFS(KASA!$Q:$Q, KASA!$C:$C, $C182, KASA!$B:$B, "MAL SATIŞI") + SUMIFS(KASA!$Q:$Q, KASA!$C:$C, $C182, KASA!$B:$B, "ÜRETİM ÇIKIŞ")</f>
        <v>1934.5654545454549</v>
      </c>
      <c r="L182" s="5">
        <f>SUMIFS(KASA!$K:$K, KASA!$C:$C, $C182, KASA!$B:$B, "MAL SATIŞI") + SUMIFS(KASA!$K:$K, KASA!$C:$C, $C182, KASA!$B:$B, "ÜRETİM ÇIKIŞ")</f>
        <v>1143.3330454545453</v>
      </c>
      <c r="M182" s="5">
        <f t="shared" si="28"/>
        <v>3077.8985000000002</v>
      </c>
      <c r="N182" s="5">
        <f t="shared" si="29"/>
        <v>932.19816381818282</v>
      </c>
      <c r="O182" s="65">
        <f t="shared" si="30"/>
        <v>0.4344493721229451</v>
      </c>
      <c r="P182" s="5">
        <f t="shared" si="31"/>
        <v>176.59362775268366</v>
      </c>
      <c r="Q182" s="5">
        <f t="shared" si="32"/>
        <v>3.5707272727272787</v>
      </c>
      <c r="R182" s="5">
        <f t="shared" si="33"/>
        <v>439.58866381818257</v>
      </c>
      <c r="S182" s="5">
        <f t="shared" si="34"/>
        <v>2585.2889999999998</v>
      </c>
      <c r="T182">
        <v>3.4</v>
      </c>
      <c r="U182" s="2">
        <f t="shared" si="35"/>
        <v>0.17072727272727883</v>
      </c>
      <c r="V182">
        <f>SUMIF(KASA!$C$2:$C$9980, C182, KASA!$T$2:$T$9980)</f>
        <v>3.5707272727272787</v>
      </c>
      <c r="W182">
        <f>SUMIF(KASA!$C$2:$C$9980, C182, KASA!$U$2:$U$9980)</f>
        <v>376.87241000000063</v>
      </c>
      <c r="X182" s="2">
        <f t="shared" si="36"/>
        <v>3.5707272727272787</v>
      </c>
      <c r="Y182" s="2">
        <f t="shared" si="37"/>
        <v>376.87241000000063</v>
      </c>
      <c r="Z182">
        <f>SUMIF(KASA!$C$2:$C$9980, C182, KASA!$V$2:$V$9980)</f>
        <v>2497.7249999999999</v>
      </c>
      <c r="AA182">
        <f t="shared" si="38"/>
        <v>2120.8525899999995</v>
      </c>
    </row>
    <row r="183" spans="3:27" x14ac:dyDescent="0.25">
      <c r="C183" s="4" t="s">
        <v>227</v>
      </c>
      <c r="D183" s="5">
        <f>SUMIFS(KASA!$I:$I, KASA!$C:$C, $C183, KASA!$B:$B, "MAL ALIMI") + SUMIFS(KASA!$I:$I, KASA!$C:$C, $C183, KASA!$B:$B, "ÜRETİM GİRİŞ")</f>
        <v>1</v>
      </c>
      <c r="E183" s="5" cm="1">
        <f t="array" ref="E183">IFERROR(AVERAGE(IF((KASA!$C$2:$C$9980=$C183)*((KASA!$B$2:$B$9980="MAL ALIMI")+(KASA!$B$2:$B$9980="ÜRETİM GİRİŞ")),KASA!$J$2:$J$9980)),0)</f>
        <v>75</v>
      </c>
      <c r="F183" s="5">
        <f>SUMIFS(KASA!$I:$I, KASA!$C:$C, $C183, KASA!$B:$B, "MAL SATIŞI") + SUMIFS(KASA!$I:$I, KASA!$C:$C, $C183, KASA!$B:$B, "ÜRETİM ÇIKIŞ")</f>
        <v>0.47499999999999998</v>
      </c>
      <c r="G183" s="5">
        <f>SUMIFS(KASA!$I:$I, KASA!$C:$C, $C183, KASA!$B:$B, "MAL İADE")</f>
        <v>0</v>
      </c>
      <c r="H183" s="5">
        <f>SUMIFS(KASA!$K:$K, KASA!$C:$C, $C183, KASA!$B:$B, "MAL İADE") + SUMIFS(KASA!$Q:$Q, KASA!$C:$C, $C183, KASA!$B:$B, "MAL İADE")</f>
        <v>0</v>
      </c>
      <c r="I183" s="5">
        <f t="shared" si="26"/>
        <v>0.47499999999999998</v>
      </c>
      <c r="J183" s="5">
        <f t="shared" si="27"/>
        <v>35.625</v>
      </c>
      <c r="K183" s="5">
        <f>SUMIFS(KASA!$Q:$Q, KASA!$C:$C, $C183, KASA!$B:$B, "MAL SATIŞI") + SUMIFS(KASA!$Q:$Q, KASA!$C:$C, $C183, KASA!$B:$B, "ÜRETİM ÇIKIŞ")</f>
        <v>175</v>
      </c>
      <c r="L183" s="5">
        <f>SUMIFS(KASA!$K:$K, KASA!$C:$C, $C183, KASA!$B:$B, "MAL SATIŞI") + SUMIFS(KASA!$K:$K, KASA!$C:$C, $C183, KASA!$B:$B, "ÜRETİM ÇIKIŞ")</f>
        <v>50</v>
      </c>
      <c r="M183" s="5">
        <f t="shared" si="28"/>
        <v>225</v>
      </c>
      <c r="N183" s="5">
        <f t="shared" si="29"/>
        <v>189.375</v>
      </c>
      <c r="O183" s="65">
        <f t="shared" si="30"/>
        <v>5.3157894736842106</v>
      </c>
      <c r="P183" s="5">
        <f t="shared" si="31"/>
        <v>473.68421052631584</v>
      </c>
      <c r="Q183" s="5">
        <f t="shared" si="32"/>
        <v>0.52500000000000002</v>
      </c>
      <c r="R183" s="5">
        <f t="shared" si="33"/>
        <v>39.375</v>
      </c>
      <c r="S183" s="5">
        <f t="shared" si="34"/>
        <v>75</v>
      </c>
      <c r="T183">
        <v>0.63</v>
      </c>
      <c r="U183" s="2">
        <f t="shared" si="35"/>
        <v>-0.10499999999999998</v>
      </c>
      <c r="V183">
        <f>SUMIF(KASA!$C$2:$C$9980, C183, KASA!$T$2:$T$9980)</f>
        <v>0.52500000000000002</v>
      </c>
      <c r="W183">
        <f>SUMIF(KASA!$C$2:$C$9980, C183, KASA!$U$2:$U$9980)</f>
        <v>39.375</v>
      </c>
      <c r="X183" s="2">
        <f t="shared" si="36"/>
        <v>0.52500000000000002</v>
      </c>
      <c r="Y183" s="2">
        <f t="shared" si="37"/>
        <v>39.375</v>
      </c>
      <c r="Z183">
        <f>SUMIF(KASA!$C$2:$C$9980, C183, KASA!$V$2:$V$9980)</f>
        <v>75</v>
      </c>
      <c r="AA183">
        <f t="shared" si="38"/>
        <v>35.625</v>
      </c>
    </row>
    <row r="184" spans="3:27" x14ac:dyDescent="0.25">
      <c r="C184" s="4" t="s">
        <v>228</v>
      </c>
      <c r="D184" s="5">
        <f>SUMIFS(KASA!$I:$I, KASA!$C:$C, $C184, KASA!$B:$B, "MAL ALIMI") + SUMIFS(KASA!$I:$I, KASA!$C:$C, $C184, KASA!$B:$B, "ÜRETİM GİRİŞ")</f>
        <v>5</v>
      </c>
      <c r="E184" s="5" cm="1">
        <f t="array" ref="E184">IFERROR(AVERAGE(IF((KASA!$C$2:$C$9980=$C184)*((KASA!$B$2:$B$9980="MAL ALIMI")+(KASA!$B$2:$B$9980="ÜRETİM GİRİŞ")),KASA!$J$2:$J$9980)),0)</f>
        <v>170</v>
      </c>
      <c r="F184" s="5">
        <f>SUMIFS(KASA!$I:$I, KASA!$C:$C, $C184, KASA!$B:$B, "MAL SATIŞI") + SUMIFS(KASA!$I:$I, KASA!$C:$C, $C184, KASA!$B:$B, "ÜRETİM ÇIKIŞ")</f>
        <v>4</v>
      </c>
      <c r="G184" s="5">
        <f>SUMIFS(KASA!$I:$I, KASA!$C:$C, $C184, KASA!$B:$B, "MAL İADE")</f>
        <v>0</v>
      </c>
      <c r="H184" s="5">
        <f>SUMIFS(KASA!$K:$K, KASA!$C:$C, $C184, KASA!$B:$B, "MAL İADE") + SUMIFS(KASA!$Q:$Q, KASA!$C:$C, $C184, KASA!$B:$B, "MAL İADE")</f>
        <v>0</v>
      </c>
      <c r="I184" s="5">
        <f t="shared" si="26"/>
        <v>4</v>
      </c>
      <c r="J184" s="5">
        <f t="shared" si="27"/>
        <v>680</v>
      </c>
      <c r="K184" s="5">
        <f>SUMIFS(KASA!$Q:$Q, KASA!$C:$C, $C184, KASA!$B:$B, "MAL SATIŞI") + SUMIFS(KASA!$Q:$Q, KASA!$C:$C, $C184, KASA!$B:$B, "ÜRETİM ÇIKIŞ")</f>
        <v>0</v>
      </c>
      <c r="L184" s="5">
        <f>SUMIFS(KASA!$K:$K, KASA!$C:$C, $C184, KASA!$B:$B, "MAL SATIŞI") + SUMIFS(KASA!$K:$K, KASA!$C:$C, $C184, KASA!$B:$B, "ÜRETİM ÇIKIŞ")</f>
        <v>1040</v>
      </c>
      <c r="M184" s="5">
        <f t="shared" si="28"/>
        <v>1040</v>
      </c>
      <c r="N184" s="5">
        <f t="shared" si="29"/>
        <v>360</v>
      </c>
      <c r="O184" s="65">
        <f t="shared" si="30"/>
        <v>0.52941176470588236</v>
      </c>
      <c r="P184" s="5">
        <f t="shared" si="31"/>
        <v>260</v>
      </c>
      <c r="Q184" s="5">
        <f t="shared" si="32"/>
        <v>1</v>
      </c>
      <c r="R184" s="5">
        <f t="shared" si="33"/>
        <v>170</v>
      </c>
      <c r="S184" s="5">
        <f t="shared" si="34"/>
        <v>850</v>
      </c>
      <c r="T184">
        <v>2</v>
      </c>
      <c r="U184" s="2">
        <f t="shared" si="35"/>
        <v>-1</v>
      </c>
      <c r="V184">
        <f>SUMIF(KASA!$C$2:$C$9980, C184, KASA!$T$2:$T$9980)</f>
        <v>1</v>
      </c>
      <c r="W184">
        <f>SUMIF(KASA!$C$2:$C$9980, C184, KASA!$U$2:$U$9980)</f>
        <v>170</v>
      </c>
      <c r="X184" s="2">
        <f t="shared" si="36"/>
        <v>1</v>
      </c>
      <c r="Y184" s="2">
        <f t="shared" si="37"/>
        <v>170</v>
      </c>
      <c r="Z184">
        <f>SUMIF(KASA!$C$2:$C$9980, C184, KASA!$V$2:$V$9980)</f>
        <v>850</v>
      </c>
      <c r="AA184">
        <f t="shared" si="38"/>
        <v>680</v>
      </c>
    </row>
    <row r="185" spans="3:27" x14ac:dyDescent="0.25">
      <c r="C185" s="4" t="s">
        <v>229</v>
      </c>
      <c r="D185" s="5">
        <f>SUMIFS(KASA!$I:$I, KASA!$C:$C, $C185, KASA!$B:$B, "MAL ALIMI") + SUMIFS(KASA!$I:$I, KASA!$C:$C, $C185, KASA!$B:$B, "ÜRETİM GİRİŞ")</f>
        <v>14</v>
      </c>
      <c r="E185" s="5" cm="1">
        <f t="array" ref="E185">IFERROR(AVERAGE(IF((KASA!$C$2:$C$9980=$C185)*((KASA!$B$2:$B$9980="MAL ALIMI")+(KASA!$B$2:$B$9980="ÜRETİM GİRİŞ")),KASA!$J$2:$J$9980)),0)</f>
        <v>135</v>
      </c>
      <c r="F185" s="5">
        <f>SUMIFS(KASA!$I:$I, KASA!$C:$C, $C185, KASA!$B:$B, "MAL SATIŞI") + SUMIFS(KASA!$I:$I, KASA!$C:$C, $C185, KASA!$B:$B, "ÜRETİM ÇIKIŞ")</f>
        <v>8</v>
      </c>
      <c r="G185" s="5">
        <f>SUMIFS(KASA!$I:$I, KASA!$C:$C, $C185, KASA!$B:$B, "MAL İADE")</f>
        <v>0</v>
      </c>
      <c r="H185" s="5">
        <f>SUMIFS(KASA!$K:$K, KASA!$C:$C, $C185, KASA!$B:$B, "MAL İADE") + SUMIFS(KASA!$Q:$Q, KASA!$C:$C, $C185, KASA!$B:$B, "MAL İADE")</f>
        <v>0</v>
      </c>
      <c r="I185" s="5">
        <f t="shared" si="26"/>
        <v>8</v>
      </c>
      <c r="J185" s="5">
        <f t="shared" si="27"/>
        <v>1080</v>
      </c>
      <c r="K185" s="5">
        <f>SUMIFS(KASA!$Q:$Q, KASA!$C:$C, $C185, KASA!$B:$B, "MAL SATIŞI") + SUMIFS(KASA!$Q:$Q, KASA!$C:$C, $C185, KASA!$B:$B, "ÜRETİM ÇIKIŞ")</f>
        <v>895</v>
      </c>
      <c r="L185" s="5">
        <f>SUMIFS(KASA!$K:$K, KASA!$C:$C, $C185, KASA!$B:$B, "MAL SATIŞI") + SUMIFS(KASA!$K:$K, KASA!$C:$C, $C185, KASA!$B:$B, "ÜRETİM ÇIKIŞ")</f>
        <v>565</v>
      </c>
      <c r="M185" s="5">
        <f t="shared" si="28"/>
        <v>1460</v>
      </c>
      <c r="N185" s="5">
        <f t="shared" si="29"/>
        <v>380</v>
      </c>
      <c r="O185" s="65">
        <f t="shared" si="30"/>
        <v>0.35185185185185186</v>
      </c>
      <c r="P185" s="5">
        <f t="shared" si="31"/>
        <v>182.5</v>
      </c>
      <c r="Q185" s="5">
        <f t="shared" si="32"/>
        <v>6</v>
      </c>
      <c r="R185" s="5">
        <f t="shared" si="33"/>
        <v>810</v>
      </c>
      <c r="S185" s="5">
        <f t="shared" si="34"/>
        <v>1890</v>
      </c>
      <c r="T185">
        <v>0</v>
      </c>
      <c r="U185" s="2">
        <f t="shared" si="35"/>
        <v>6</v>
      </c>
      <c r="V185">
        <f>SUMIF(KASA!$C$2:$C$9980, C185, KASA!$T$2:$T$9980)</f>
        <v>6</v>
      </c>
      <c r="W185">
        <f>SUMIF(KASA!$C$2:$C$9980, C185, KASA!$U$2:$U$9980)</f>
        <v>810</v>
      </c>
      <c r="X185" s="2">
        <f t="shared" si="36"/>
        <v>6</v>
      </c>
      <c r="Y185" s="2">
        <f t="shared" si="37"/>
        <v>810</v>
      </c>
      <c r="Z185">
        <f>SUMIF(KASA!$C$2:$C$9980, C185, KASA!$V$2:$V$9980)</f>
        <v>1890</v>
      </c>
      <c r="AA185">
        <f t="shared" si="38"/>
        <v>1080</v>
      </c>
    </row>
    <row r="186" spans="3:27" x14ac:dyDescent="0.25">
      <c r="C186" s="4" t="s">
        <v>230</v>
      </c>
      <c r="D186" s="5">
        <f>SUMIFS(KASA!$I:$I, KASA!$C:$C, $C186, KASA!$B:$B, "MAL ALIMI") + SUMIFS(KASA!$I:$I, KASA!$C:$C, $C186, KASA!$B:$B, "ÜRETİM GİRİŞ")</f>
        <v>14</v>
      </c>
      <c r="E186" s="5" cm="1">
        <f t="array" ref="E186">IFERROR(AVERAGE(IF((KASA!$C$2:$C$9980=$C186)*((KASA!$B$2:$B$9980="MAL ALIMI")+(KASA!$B$2:$B$9980="ÜRETİM GİRİŞ")),KASA!$J$2:$J$9980)),0)</f>
        <v>135</v>
      </c>
      <c r="F186" s="5">
        <f>SUMIFS(KASA!$I:$I, KASA!$C:$C, $C186, KASA!$B:$B, "MAL SATIŞI") + SUMIFS(KASA!$I:$I, KASA!$C:$C, $C186, KASA!$B:$B, "ÜRETİM ÇIKIŞ")</f>
        <v>11</v>
      </c>
      <c r="G186" s="5">
        <f>SUMIFS(KASA!$I:$I, KASA!$C:$C, $C186, KASA!$B:$B, "MAL İADE")</f>
        <v>0</v>
      </c>
      <c r="H186" s="5">
        <f>SUMIFS(KASA!$K:$K, KASA!$C:$C, $C186, KASA!$B:$B, "MAL İADE") + SUMIFS(KASA!$Q:$Q, KASA!$C:$C, $C186, KASA!$B:$B, "MAL İADE")</f>
        <v>0</v>
      </c>
      <c r="I186" s="5">
        <f t="shared" si="26"/>
        <v>11</v>
      </c>
      <c r="J186" s="5">
        <f t="shared" si="27"/>
        <v>1485</v>
      </c>
      <c r="K186" s="5">
        <f>SUMIFS(KASA!$Q:$Q, KASA!$C:$C, $C186, KASA!$B:$B, "MAL SATIŞI") + SUMIFS(KASA!$Q:$Q, KASA!$C:$C, $C186, KASA!$B:$B, "ÜRETİM ÇIKIŞ")</f>
        <v>1880</v>
      </c>
      <c r="L186" s="5">
        <f>SUMIFS(KASA!$K:$K, KASA!$C:$C, $C186, KASA!$B:$B, "MAL SATIŞI") + SUMIFS(KASA!$K:$K, KASA!$C:$C, $C186, KASA!$B:$B, "ÜRETİM ÇIKIŞ")</f>
        <v>200</v>
      </c>
      <c r="M186" s="5">
        <f t="shared" si="28"/>
        <v>2080</v>
      </c>
      <c r="N186" s="5">
        <f t="shared" si="29"/>
        <v>595</v>
      </c>
      <c r="O186" s="65">
        <f t="shared" si="30"/>
        <v>0.40067340067340068</v>
      </c>
      <c r="P186" s="5">
        <f t="shared" si="31"/>
        <v>189.09090909090909</v>
      </c>
      <c r="Q186" s="5">
        <f t="shared" si="32"/>
        <v>3</v>
      </c>
      <c r="R186" s="5">
        <f t="shared" si="33"/>
        <v>405</v>
      </c>
      <c r="S186" s="5">
        <f t="shared" si="34"/>
        <v>1890</v>
      </c>
      <c r="T186">
        <v>0</v>
      </c>
      <c r="U186" s="2">
        <f t="shared" si="35"/>
        <v>3</v>
      </c>
      <c r="V186">
        <f>SUMIF(KASA!$C$2:$C$9980, C186, KASA!$T$2:$T$9980)</f>
        <v>3</v>
      </c>
      <c r="W186">
        <f>SUMIF(KASA!$C$2:$C$9980, C186, KASA!$U$2:$U$9980)</f>
        <v>405</v>
      </c>
      <c r="X186" s="2">
        <f t="shared" si="36"/>
        <v>3</v>
      </c>
      <c r="Y186" s="2">
        <f t="shared" si="37"/>
        <v>405</v>
      </c>
      <c r="Z186">
        <f>SUMIF(KASA!$C$2:$C$9980, C186, KASA!$V$2:$V$9980)</f>
        <v>1890</v>
      </c>
      <c r="AA186">
        <f t="shared" si="38"/>
        <v>1485</v>
      </c>
    </row>
    <row r="187" spans="3:27" x14ac:dyDescent="0.25">
      <c r="C187" s="4" t="s">
        <v>231</v>
      </c>
      <c r="D187" s="5">
        <f>SUMIFS(KASA!$I:$I, KASA!$C:$C, $C187, KASA!$B:$B, "MAL ALIMI") + SUMIFS(KASA!$I:$I, KASA!$C:$C, $C187, KASA!$B:$B, "ÜRETİM GİRİŞ")</f>
        <v>27</v>
      </c>
      <c r="E187" s="5" cm="1">
        <f t="array" ref="E187">IFERROR(AVERAGE(IF((KASA!$C$2:$C$9980=$C187)*((KASA!$B$2:$B$9980="MAL ALIMI")+(KASA!$B$2:$B$9980="ÜRETİM GİRİŞ")),KASA!$J$2:$J$9980)),0)</f>
        <v>135</v>
      </c>
      <c r="F187" s="5">
        <f>SUMIFS(KASA!$I:$I, KASA!$C:$C, $C187, KASA!$B:$B, "MAL SATIŞI") + SUMIFS(KASA!$I:$I, KASA!$C:$C, $C187, KASA!$B:$B, "ÜRETİM ÇIKIŞ")</f>
        <v>20</v>
      </c>
      <c r="G187" s="5">
        <f>SUMIFS(KASA!$I:$I, KASA!$C:$C, $C187, KASA!$B:$B, "MAL İADE")</f>
        <v>0</v>
      </c>
      <c r="H187" s="5">
        <f>SUMIFS(KASA!$K:$K, KASA!$C:$C, $C187, KASA!$B:$B, "MAL İADE") + SUMIFS(KASA!$Q:$Q, KASA!$C:$C, $C187, KASA!$B:$B, "MAL İADE")</f>
        <v>0</v>
      </c>
      <c r="I187" s="5">
        <f t="shared" si="26"/>
        <v>20</v>
      </c>
      <c r="J187" s="5">
        <f t="shared" si="27"/>
        <v>2700</v>
      </c>
      <c r="K187" s="5">
        <f>SUMIFS(KASA!$Q:$Q, KASA!$C:$C, $C187, KASA!$B:$B, "MAL SATIŞI") + SUMIFS(KASA!$Q:$Q, KASA!$C:$C, $C187, KASA!$B:$B, "ÜRETİM ÇIKIŞ")</f>
        <v>2545</v>
      </c>
      <c r="L187" s="5">
        <f>SUMIFS(KASA!$K:$K, KASA!$C:$C, $C187, KASA!$B:$B, "MAL SATIŞI") + SUMIFS(KASA!$K:$K, KASA!$C:$C, $C187, KASA!$B:$B, "ÜRETİM ÇIKIŞ")</f>
        <v>1000</v>
      </c>
      <c r="M187" s="5">
        <f t="shared" si="28"/>
        <v>3545</v>
      </c>
      <c r="N187" s="5">
        <f t="shared" si="29"/>
        <v>845</v>
      </c>
      <c r="O187" s="65">
        <f t="shared" si="30"/>
        <v>0.31296296296296294</v>
      </c>
      <c r="P187" s="5">
        <f t="shared" si="31"/>
        <v>177.25</v>
      </c>
      <c r="Q187" s="5">
        <f t="shared" si="32"/>
        <v>7</v>
      </c>
      <c r="R187" s="5">
        <f t="shared" si="33"/>
        <v>945</v>
      </c>
      <c r="S187" s="5">
        <f t="shared" si="34"/>
        <v>3645</v>
      </c>
      <c r="T187">
        <v>1</v>
      </c>
      <c r="U187" s="2">
        <f t="shared" si="35"/>
        <v>6</v>
      </c>
      <c r="V187">
        <f>SUMIF(KASA!$C$2:$C$9980, C187, KASA!$T$2:$T$9980)</f>
        <v>7</v>
      </c>
      <c r="W187">
        <f>SUMIF(KASA!$C$2:$C$9980, C187, KASA!$U$2:$U$9980)</f>
        <v>945</v>
      </c>
      <c r="X187" s="2">
        <f t="shared" si="36"/>
        <v>7</v>
      </c>
      <c r="Y187" s="2">
        <f t="shared" si="37"/>
        <v>945</v>
      </c>
      <c r="Z187">
        <f>SUMIF(KASA!$C$2:$C$9980, C187, KASA!$V$2:$V$9980)</f>
        <v>3645</v>
      </c>
      <c r="AA187">
        <f t="shared" si="38"/>
        <v>2700</v>
      </c>
    </row>
    <row r="188" spans="3:27" x14ac:dyDescent="0.25">
      <c r="C188" s="4" t="s">
        <v>232</v>
      </c>
      <c r="D188" s="5">
        <f>SUMIFS(KASA!$I:$I, KASA!$C:$C, $C188, KASA!$B:$B, "MAL ALIMI") + SUMIFS(KASA!$I:$I, KASA!$C:$C, $C188, KASA!$B:$B, "ÜRETİM GİRİŞ")</f>
        <v>5</v>
      </c>
      <c r="E188" s="5" cm="1">
        <f t="array" ref="E188">IFERROR(AVERAGE(IF((KASA!$C$2:$C$9980=$C188)*((KASA!$B$2:$B$9980="MAL ALIMI")+(KASA!$B$2:$B$9980="ÜRETİM GİRİŞ")),KASA!$J$2:$J$9980)),0)</f>
        <v>170</v>
      </c>
      <c r="F188" s="5">
        <f>SUMIFS(KASA!$I:$I, KASA!$C:$C, $C188, KASA!$B:$B, "MAL SATIŞI") + SUMIFS(KASA!$I:$I, KASA!$C:$C, $C188, KASA!$B:$B, "ÜRETİM ÇIKIŞ")</f>
        <v>0</v>
      </c>
      <c r="G188" s="5">
        <f>SUMIFS(KASA!$I:$I, KASA!$C:$C, $C188, KASA!$B:$B, "MAL İADE")</f>
        <v>0</v>
      </c>
      <c r="H188" s="5">
        <f>SUMIFS(KASA!$K:$K, KASA!$C:$C, $C188, KASA!$B:$B, "MAL İADE") + SUMIFS(KASA!$Q:$Q, KASA!$C:$C, $C188, KASA!$B:$B, "MAL İADE")</f>
        <v>0</v>
      </c>
      <c r="I188" s="5">
        <f t="shared" si="26"/>
        <v>0</v>
      </c>
      <c r="J188" s="5">
        <f t="shared" si="27"/>
        <v>0</v>
      </c>
      <c r="K188" s="5">
        <f>SUMIFS(KASA!$Q:$Q, KASA!$C:$C, $C188, KASA!$B:$B, "MAL SATIŞI") + SUMIFS(KASA!$Q:$Q, KASA!$C:$C, $C188, KASA!$B:$B, "ÜRETİM ÇIKIŞ")</f>
        <v>0</v>
      </c>
      <c r="L188" s="5">
        <f>SUMIFS(KASA!$K:$K, KASA!$C:$C, $C188, KASA!$B:$B, "MAL SATIŞI") + SUMIFS(KASA!$K:$K, KASA!$C:$C, $C188, KASA!$B:$B, "ÜRETİM ÇIKIŞ")</f>
        <v>0</v>
      </c>
      <c r="M188" s="5">
        <f t="shared" si="28"/>
        <v>0</v>
      </c>
      <c r="N188" s="5">
        <f t="shared" si="29"/>
        <v>0</v>
      </c>
      <c r="O188" s="65">
        <f t="shared" si="30"/>
        <v>0</v>
      </c>
      <c r="P188" s="5" t="e">
        <f t="shared" si="31"/>
        <v>#DIV/0!</v>
      </c>
      <c r="Q188" s="5">
        <f t="shared" si="32"/>
        <v>5</v>
      </c>
      <c r="R188" s="5">
        <f t="shared" si="33"/>
        <v>850</v>
      </c>
      <c r="S188" s="5">
        <f t="shared" si="34"/>
        <v>850</v>
      </c>
      <c r="T188">
        <v>5</v>
      </c>
      <c r="U188" s="2">
        <f t="shared" si="35"/>
        <v>0</v>
      </c>
      <c r="V188">
        <f>SUMIF(KASA!$C$2:$C$9980, C188, KASA!$T$2:$T$9980)</f>
        <v>5</v>
      </c>
      <c r="W188">
        <f>SUMIF(KASA!$C$2:$C$9980, C188, KASA!$U$2:$U$9980)</f>
        <v>850</v>
      </c>
      <c r="X188" s="2">
        <f t="shared" si="36"/>
        <v>5</v>
      </c>
      <c r="Y188" s="2">
        <f t="shared" si="37"/>
        <v>850</v>
      </c>
      <c r="Z188">
        <f>SUMIF(KASA!$C$2:$C$9980, C188, KASA!$V$2:$V$9980)</f>
        <v>850</v>
      </c>
      <c r="AA188">
        <f t="shared" si="38"/>
        <v>0</v>
      </c>
    </row>
    <row r="189" spans="3:27" x14ac:dyDescent="0.25">
      <c r="C189" s="4" t="s">
        <v>233</v>
      </c>
      <c r="D189" s="5">
        <f>SUMIFS(KASA!$I:$I, KASA!$C:$C, $C189, KASA!$B:$B, "MAL ALIMI") + SUMIFS(KASA!$I:$I, KASA!$C:$C, $C189, KASA!$B:$B, "ÜRETİM GİRİŞ")</f>
        <v>16</v>
      </c>
      <c r="E189" s="5" cm="1">
        <f t="array" ref="E189">IFERROR(AVERAGE(IF((KASA!$C$2:$C$9980=$C189)*((KASA!$B$2:$B$9980="MAL ALIMI")+(KASA!$B$2:$B$9980="ÜRETİM GİRİŞ")),KASA!$J$2:$J$9980)),0)</f>
        <v>105</v>
      </c>
      <c r="F189" s="5">
        <f>SUMIFS(KASA!$I:$I, KASA!$C:$C, $C189, KASA!$B:$B, "MAL SATIŞI") + SUMIFS(KASA!$I:$I, KASA!$C:$C, $C189, KASA!$B:$B, "ÜRETİM ÇIKIŞ")</f>
        <v>8</v>
      </c>
      <c r="G189" s="5">
        <f>SUMIFS(KASA!$I:$I, KASA!$C:$C, $C189, KASA!$B:$B, "MAL İADE")</f>
        <v>1</v>
      </c>
      <c r="H189" s="5">
        <f>SUMIFS(KASA!$K:$K, KASA!$C:$C, $C189, KASA!$B:$B, "MAL İADE") + SUMIFS(KASA!$Q:$Q, KASA!$C:$C, $C189, KASA!$B:$B, "MAL İADE")</f>
        <v>115</v>
      </c>
      <c r="I189" s="5">
        <f t="shared" si="26"/>
        <v>9</v>
      </c>
      <c r="J189" s="5">
        <f t="shared" si="27"/>
        <v>840</v>
      </c>
      <c r="K189" s="5">
        <f>SUMIFS(KASA!$Q:$Q, KASA!$C:$C, $C189, KASA!$B:$B, "MAL SATIŞI") + SUMIFS(KASA!$Q:$Q, KASA!$C:$C, $C189, KASA!$B:$B, "ÜRETİM ÇIKIŞ")</f>
        <v>855</v>
      </c>
      <c r="L189" s="5">
        <f>SUMIFS(KASA!$K:$K, KASA!$C:$C, $C189, KASA!$B:$B, "MAL SATIŞI") + SUMIFS(KASA!$K:$K, KASA!$C:$C, $C189, KASA!$B:$B, "ÜRETİM ÇIKIŞ")</f>
        <v>570</v>
      </c>
      <c r="M189" s="5">
        <f t="shared" si="28"/>
        <v>1425</v>
      </c>
      <c r="N189" s="5">
        <f t="shared" si="29"/>
        <v>585</v>
      </c>
      <c r="O189" s="65">
        <f t="shared" si="30"/>
        <v>0.6964285714285714</v>
      </c>
      <c r="P189" s="5">
        <f t="shared" si="31"/>
        <v>178.125</v>
      </c>
      <c r="Q189" s="5">
        <f t="shared" si="32"/>
        <v>7</v>
      </c>
      <c r="R189" s="5">
        <f t="shared" si="33"/>
        <v>735</v>
      </c>
      <c r="S189" s="5">
        <f t="shared" si="34"/>
        <v>1680</v>
      </c>
      <c r="T189">
        <v>7</v>
      </c>
      <c r="U189" s="2">
        <f t="shared" si="35"/>
        <v>0</v>
      </c>
      <c r="V189">
        <f>SUMIF(KASA!$C$2:$C$9980, C189, KASA!$T$2:$T$9980)</f>
        <v>8</v>
      </c>
      <c r="W189">
        <f>SUMIF(KASA!$C$2:$C$9980, C189, KASA!$U$2:$U$9980)</f>
        <v>920</v>
      </c>
      <c r="X189" s="2">
        <f t="shared" si="36"/>
        <v>7</v>
      </c>
      <c r="Y189" s="2">
        <f t="shared" si="37"/>
        <v>805</v>
      </c>
      <c r="Z189">
        <f>SUMIF(KASA!$C$2:$C$9980, C189, KASA!$V$2:$V$9980)</f>
        <v>1740</v>
      </c>
      <c r="AA189">
        <f t="shared" si="38"/>
        <v>820</v>
      </c>
    </row>
    <row r="190" spans="3:27" x14ac:dyDescent="0.25">
      <c r="C190" s="4" t="s">
        <v>234</v>
      </c>
      <c r="D190" s="5">
        <f>SUMIFS(KASA!$I:$I, KASA!$C:$C, $C190, KASA!$B:$B, "MAL ALIMI") + SUMIFS(KASA!$I:$I, KASA!$C:$C, $C190, KASA!$B:$B, "ÜRETİM GİRİŞ")</f>
        <v>11</v>
      </c>
      <c r="E190" s="5" cm="1">
        <f t="array" ref="E190">IFERROR(AVERAGE(IF((KASA!$C$2:$C$9980=$C190)*((KASA!$B$2:$B$9980="MAL ALIMI")+(KASA!$B$2:$B$9980="ÜRETİM GİRİŞ")),KASA!$J$2:$J$9980)),0)</f>
        <v>90</v>
      </c>
      <c r="F190" s="5">
        <f>SUMIFS(KASA!$I:$I, KASA!$C:$C, $C190, KASA!$B:$B, "MAL SATIŞI") + SUMIFS(KASA!$I:$I, KASA!$C:$C, $C190, KASA!$B:$B, "ÜRETİM ÇIKIŞ")</f>
        <v>8</v>
      </c>
      <c r="G190" s="5">
        <f>SUMIFS(KASA!$I:$I, KASA!$C:$C, $C190, KASA!$B:$B, "MAL İADE")</f>
        <v>0</v>
      </c>
      <c r="H190" s="5">
        <f>SUMIFS(KASA!$K:$K, KASA!$C:$C, $C190, KASA!$B:$B, "MAL İADE") + SUMIFS(KASA!$Q:$Q, KASA!$C:$C, $C190, KASA!$B:$B, "MAL İADE")</f>
        <v>0</v>
      </c>
      <c r="I190" s="5">
        <f t="shared" si="26"/>
        <v>8</v>
      </c>
      <c r="J190" s="5">
        <f t="shared" si="27"/>
        <v>720</v>
      </c>
      <c r="K190" s="5">
        <f>SUMIFS(KASA!$Q:$Q, KASA!$C:$C, $C190, KASA!$B:$B, "MAL SATIŞI") + SUMIFS(KASA!$Q:$Q, KASA!$C:$C, $C190, KASA!$B:$B, "ÜRETİM ÇIKIŞ")</f>
        <v>540</v>
      </c>
      <c r="L190" s="5">
        <f>SUMIFS(KASA!$K:$K, KASA!$C:$C, $C190, KASA!$B:$B, "MAL SATIŞI") + SUMIFS(KASA!$K:$K, KASA!$C:$C, $C190, KASA!$B:$B, "ÜRETİM ÇIKIŞ")</f>
        <v>900</v>
      </c>
      <c r="M190" s="5">
        <f t="shared" si="28"/>
        <v>1440</v>
      </c>
      <c r="N190" s="5">
        <f t="shared" si="29"/>
        <v>720</v>
      </c>
      <c r="O190" s="65">
        <f t="shared" si="30"/>
        <v>1</v>
      </c>
      <c r="P190" s="5">
        <f t="shared" si="31"/>
        <v>180</v>
      </c>
      <c r="Q190" s="5">
        <f t="shared" si="32"/>
        <v>3</v>
      </c>
      <c r="R190" s="5">
        <f t="shared" si="33"/>
        <v>270</v>
      </c>
      <c r="S190" s="5">
        <f t="shared" si="34"/>
        <v>990</v>
      </c>
      <c r="T190">
        <v>5</v>
      </c>
      <c r="U190" s="2">
        <f t="shared" si="35"/>
        <v>-2</v>
      </c>
      <c r="V190">
        <f>SUMIF(KASA!$C$2:$C$9980, C190, KASA!$T$2:$T$9980)</f>
        <v>3</v>
      </c>
      <c r="W190">
        <f>SUMIF(KASA!$C$2:$C$9980, C190, KASA!$U$2:$U$9980)</f>
        <v>270</v>
      </c>
      <c r="X190" s="2">
        <f t="shared" si="36"/>
        <v>3</v>
      </c>
      <c r="Y190" s="2">
        <f t="shared" si="37"/>
        <v>270</v>
      </c>
      <c r="Z190">
        <f>SUMIF(KASA!$C$2:$C$9980, C190, KASA!$V$2:$V$9980)</f>
        <v>990</v>
      </c>
      <c r="AA190">
        <f t="shared" si="38"/>
        <v>720</v>
      </c>
    </row>
    <row r="191" spans="3:27" x14ac:dyDescent="0.25">
      <c r="C191" s="4" t="s">
        <v>235</v>
      </c>
      <c r="D191" s="5">
        <f>SUMIFS(KASA!$I:$I, KASA!$C:$C, $C191, KASA!$B:$B, "MAL ALIMI") + SUMIFS(KASA!$I:$I, KASA!$C:$C, $C191, KASA!$B:$B, "ÜRETİM GİRİŞ")</f>
        <v>5</v>
      </c>
      <c r="E191" s="5" cm="1">
        <f t="array" ref="E191">IFERROR(AVERAGE(IF((KASA!$C$2:$C$9980=$C191)*((KASA!$B$2:$B$9980="MAL ALIMI")+(KASA!$B$2:$B$9980="ÜRETİM GİRİŞ")),KASA!$J$2:$J$9980)),0)</f>
        <v>100</v>
      </c>
      <c r="F191" s="5">
        <f>SUMIFS(KASA!$I:$I, KASA!$C:$C, $C191, KASA!$B:$B, "MAL SATIŞI") + SUMIFS(KASA!$I:$I, KASA!$C:$C, $C191, KASA!$B:$B, "ÜRETİM ÇIKIŞ")</f>
        <v>3</v>
      </c>
      <c r="G191" s="5">
        <f>SUMIFS(KASA!$I:$I, KASA!$C:$C, $C191, KASA!$B:$B, "MAL İADE")</f>
        <v>0</v>
      </c>
      <c r="H191" s="5">
        <f>SUMIFS(KASA!$K:$K, KASA!$C:$C, $C191, KASA!$B:$B, "MAL İADE") + SUMIFS(KASA!$Q:$Q, KASA!$C:$C, $C191, KASA!$B:$B, "MAL İADE")</f>
        <v>0</v>
      </c>
      <c r="I191" s="5">
        <f t="shared" si="26"/>
        <v>3</v>
      </c>
      <c r="J191" s="5">
        <f t="shared" si="27"/>
        <v>300</v>
      </c>
      <c r="K191" s="5">
        <f>SUMIFS(KASA!$Q:$Q, KASA!$C:$C, $C191, KASA!$B:$B, "MAL SATIŞI") + SUMIFS(KASA!$Q:$Q, KASA!$C:$C, $C191, KASA!$B:$B, "ÜRETİM ÇIKIŞ")</f>
        <v>190</v>
      </c>
      <c r="L191" s="5">
        <f>SUMIFS(KASA!$K:$K, KASA!$C:$C, $C191, KASA!$B:$B, "MAL SATIŞI") + SUMIFS(KASA!$K:$K, KASA!$C:$C, $C191, KASA!$B:$B, "ÜRETİM ÇIKIŞ")</f>
        <v>380</v>
      </c>
      <c r="M191" s="5">
        <f t="shared" si="28"/>
        <v>570</v>
      </c>
      <c r="N191" s="5">
        <f t="shared" si="29"/>
        <v>270</v>
      </c>
      <c r="O191" s="65">
        <f t="shared" si="30"/>
        <v>0.9</v>
      </c>
      <c r="P191" s="5">
        <f t="shared" si="31"/>
        <v>190</v>
      </c>
      <c r="Q191" s="5">
        <f t="shared" si="32"/>
        <v>2</v>
      </c>
      <c r="R191" s="5">
        <f t="shared" si="33"/>
        <v>200</v>
      </c>
      <c r="S191" s="5">
        <f t="shared" si="34"/>
        <v>500</v>
      </c>
      <c r="T191">
        <v>2</v>
      </c>
      <c r="U191" s="2">
        <f t="shared" si="35"/>
        <v>0</v>
      </c>
      <c r="V191">
        <f>SUMIF(KASA!$C$2:$C$9980, C191, KASA!$T$2:$T$9980)</f>
        <v>2</v>
      </c>
      <c r="W191">
        <f>SUMIF(KASA!$C$2:$C$9980, C191, KASA!$U$2:$U$9980)</f>
        <v>200</v>
      </c>
      <c r="X191" s="2">
        <f t="shared" si="36"/>
        <v>2</v>
      </c>
      <c r="Y191" s="2">
        <f t="shared" si="37"/>
        <v>200</v>
      </c>
      <c r="Z191">
        <f>SUMIF(KASA!$C$2:$C$9980, C191, KASA!$V$2:$V$9980)</f>
        <v>500</v>
      </c>
      <c r="AA191">
        <f t="shared" si="38"/>
        <v>300</v>
      </c>
    </row>
    <row r="192" spans="3:27" x14ac:dyDescent="0.25">
      <c r="C192" s="4" t="s">
        <v>236</v>
      </c>
      <c r="D192" s="5">
        <f>SUMIFS(KASA!$I:$I, KASA!$C:$C, $C192, KASA!$B:$B, "MAL ALIMI") + SUMIFS(KASA!$I:$I, KASA!$C:$C, $C192, KASA!$B:$B, "ÜRETİM GİRİŞ")</f>
        <v>14</v>
      </c>
      <c r="E192" s="5" cm="1">
        <f t="array" ref="E192">IFERROR(AVERAGE(IF((KASA!$C$2:$C$9980=$C192)*((KASA!$B$2:$B$9980="MAL ALIMI")+(KASA!$B$2:$B$9980="ÜRETİM GİRİŞ")),KASA!$J$2:$J$9980)),0)</f>
        <v>143.33333333333334</v>
      </c>
      <c r="F192" s="5">
        <f>SUMIFS(KASA!$I:$I, KASA!$C:$C, $C192, KASA!$B:$B, "MAL SATIŞI") + SUMIFS(KASA!$I:$I, KASA!$C:$C, $C192, KASA!$B:$B, "ÜRETİM ÇIKIŞ")</f>
        <v>11.04742857142857</v>
      </c>
      <c r="G192" s="5">
        <f>SUMIFS(KASA!$I:$I, KASA!$C:$C, $C192, KASA!$B:$B, "MAL İADE")</f>
        <v>0</v>
      </c>
      <c r="H192" s="5">
        <f>SUMIFS(KASA!$K:$K, KASA!$C:$C, $C192, KASA!$B:$B, "MAL İADE") + SUMIFS(KASA!$Q:$Q, KASA!$C:$C, $C192, KASA!$B:$B, "MAL İADE")</f>
        <v>0</v>
      </c>
      <c r="I192" s="5">
        <f t="shared" si="26"/>
        <v>11.04742857142857</v>
      </c>
      <c r="J192" s="5">
        <f t="shared" si="27"/>
        <v>1583.4647619047619</v>
      </c>
      <c r="K192" s="5">
        <f>SUMIFS(KASA!$Q:$Q, KASA!$C:$C, $C192, KASA!$B:$B, "MAL SATIŞI") + SUMIFS(KASA!$Q:$Q, KASA!$C:$C, $C192, KASA!$B:$B, "ÜRETİM ÇIKIŞ")</f>
        <v>2943.3357142857139</v>
      </c>
      <c r="L192" s="5">
        <f>SUMIFS(KASA!$K:$K, KASA!$C:$C, $C192, KASA!$B:$B, "MAL SATIŞI") + SUMIFS(KASA!$K:$K, KASA!$C:$C, $C192, KASA!$B:$B, "ÜRETİM ÇIKIŞ")</f>
        <v>834.72</v>
      </c>
      <c r="M192" s="5">
        <f t="shared" si="28"/>
        <v>3778.0557142857142</v>
      </c>
      <c r="N192" s="5">
        <f t="shared" si="29"/>
        <v>2194.5909523809523</v>
      </c>
      <c r="O192" s="65">
        <f t="shared" si="30"/>
        <v>1.3859423999692055</v>
      </c>
      <c r="P192" s="5">
        <f t="shared" si="31"/>
        <v>341.98507732891949</v>
      </c>
      <c r="Q192" s="5">
        <f t="shared" si="32"/>
        <v>2.9525714285714297</v>
      </c>
      <c r="R192" s="5">
        <f t="shared" si="33"/>
        <v>423.20190476190498</v>
      </c>
      <c r="S192" s="5">
        <f t="shared" si="34"/>
        <v>2006.6666666666667</v>
      </c>
      <c r="T192">
        <v>0.81399999999999995</v>
      </c>
      <c r="U192" s="2">
        <f t="shared" si="35"/>
        <v>2.1385714285714297</v>
      </c>
      <c r="V192">
        <f>SUMIF(KASA!$C$2:$C$9980, C192, KASA!$T$2:$T$9980)</f>
        <v>2.9525714285714297</v>
      </c>
      <c r="W192">
        <f>SUMIF(KASA!$C$2:$C$9980, C192, KASA!$U$2:$U$9980)</f>
        <v>442.88571428571447</v>
      </c>
      <c r="X192" s="2">
        <f t="shared" si="36"/>
        <v>2.9525714285714297</v>
      </c>
      <c r="Y192" s="2">
        <f t="shared" si="37"/>
        <v>442.88571428571447</v>
      </c>
      <c r="Z192">
        <f>SUMIF(KASA!$C$2:$C$9980, C192, KASA!$V$2:$V$9980)</f>
        <v>2020</v>
      </c>
      <c r="AA192">
        <f t="shared" si="38"/>
        <v>1577.1142857142854</v>
      </c>
    </row>
    <row r="193" spans="3:27" x14ac:dyDescent="0.25">
      <c r="C193" s="4" t="s">
        <v>237</v>
      </c>
      <c r="D193" s="5">
        <f>SUMIFS(KASA!$I:$I, KASA!$C:$C, $C193, KASA!$B:$B, "MAL ALIMI") + SUMIFS(KASA!$I:$I, KASA!$C:$C, $C193, KASA!$B:$B, "ÜRETİM GİRİŞ")</f>
        <v>3</v>
      </c>
      <c r="E193" s="5" cm="1">
        <f t="array" ref="E193">IFERROR(AVERAGE(IF((KASA!$C$2:$C$9980=$C193)*((KASA!$B$2:$B$9980="MAL ALIMI")+(KASA!$B$2:$B$9980="ÜRETİM GİRİŞ")),KASA!$J$2:$J$9980)),0)</f>
        <v>683.33333099999993</v>
      </c>
      <c r="F193" s="5">
        <f>SUMIFS(KASA!$I:$I, KASA!$C:$C, $C193, KASA!$B:$B, "MAL SATIŞI") + SUMIFS(KASA!$I:$I, KASA!$C:$C, $C193, KASA!$B:$B, "ÜRETİM ÇIKIŞ")</f>
        <v>2.0420000000000007</v>
      </c>
      <c r="G193" s="5">
        <f>SUMIFS(KASA!$I:$I, KASA!$C:$C, $C193, KASA!$B:$B, "MAL İADE")</f>
        <v>0</v>
      </c>
      <c r="H193" s="5">
        <f>SUMIFS(KASA!$K:$K, KASA!$C:$C, $C193, KASA!$B:$B, "MAL İADE") + SUMIFS(KASA!$Q:$Q, KASA!$C:$C, $C193, KASA!$B:$B, "MAL İADE")</f>
        <v>0</v>
      </c>
      <c r="I193" s="5">
        <f t="shared" si="26"/>
        <v>2.0420000000000007</v>
      </c>
      <c r="J193" s="5">
        <f t="shared" si="27"/>
        <v>1395.3666619020003</v>
      </c>
      <c r="K193" s="5">
        <f>SUMIFS(KASA!$Q:$Q, KASA!$C:$C, $C193, KASA!$B:$B, "MAL SATIŞI") + SUMIFS(KASA!$Q:$Q, KASA!$C:$C, $C193, KASA!$B:$B, "ÜRETİM ÇIKIŞ")</f>
        <v>2208.25</v>
      </c>
      <c r="L193" s="5">
        <f>SUMIFS(KASA!$K:$K, KASA!$C:$C, $C193, KASA!$B:$B, "MAL SATIŞI") + SUMIFS(KASA!$K:$K, KASA!$C:$C, $C193, KASA!$B:$B, "ÜRETİM ÇIKIŞ")</f>
        <v>1162</v>
      </c>
      <c r="M193" s="5">
        <f t="shared" si="28"/>
        <v>3370.25</v>
      </c>
      <c r="N193" s="5">
        <f t="shared" si="29"/>
        <v>1974.8833380979997</v>
      </c>
      <c r="O193" s="65">
        <f t="shared" si="30"/>
        <v>1.4153149792227875</v>
      </c>
      <c r="P193" s="5">
        <f t="shared" si="31"/>
        <v>1650.4652301665028</v>
      </c>
      <c r="Q193" s="5">
        <f t="shared" si="32"/>
        <v>0.9579999999999993</v>
      </c>
      <c r="R193" s="5">
        <f t="shared" si="33"/>
        <v>654.63333109799942</v>
      </c>
      <c r="S193" s="5">
        <f t="shared" si="34"/>
        <v>2049.9999929999999</v>
      </c>
      <c r="T193">
        <f>6*0.05</f>
        <v>0.30000000000000004</v>
      </c>
      <c r="U193" s="2">
        <f t="shared" si="35"/>
        <v>0.65799999999999925</v>
      </c>
      <c r="V193">
        <f>SUMIF(KASA!$C$2:$C$9980, C193, KASA!$T$2:$T$9980)</f>
        <v>0.9579999999999993</v>
      </c>
      <c r="W193">
        <f>SUMIF(KASA!$C$2:$C$9980, C193, KASA!$U$2:$U$9980)</f>
        <v>670.59999329399955</v>
      </c>
      <c r="X193" s="2">
        <f t="shared" si="36"/>
        <v>0.9579999999999993</v>
      </c>
      <c r="Y193" s="2">
        <f t="shared" si="37"/>
        <v>670.59999329399955</v>
      </c>
      <c r="Z193">
        <f>SUMIF(KASA!$C$2:$C$9980, C193, KASA!$V$2:$V$9980)</f>
        <v>2049.9999929999999</v>
      </c>
      <c r="AA193">
        <f t="shared" si="38"/>
        <v>1379.3999997060005</v>
      </c>
    </row>
    <row r="194" spans="3:27" x14ac:dyDescent="0.25">
      <c r="C194" s="4" t="s">
        <v>238</v>
      </c>
      <c r="D194" s="5">
        <f>SUMIFS(KASA!$I:$I, KASA!$C:$C, $C194, KASA!$B:$B, "MAL ALIMI") + SUMIFS(KASA!$I:$I, KASA!$C:$C, $C194, KASA!$B:$B, "ÜRETİM GİRİŞ")</f>
        <v>5</v>
      </c>
      <c r="E194" s="5" cm="1">
        <f t="array" ref="E194">IFERROR(AVERAGE(IF((KASA!$C$2:$C$9980=$C194)*((KASA!$B$2:$B$9980="MAL ALIMI")+(KASA!$B$2:$B$9980="ÜRETİM GİRİŞ")),KASA!$J$2:$J$9980)),0)</f>
        <v>315</v>
      </c>
      <c r="F194" s="5">
        <f>SUMIFS(KASA!$I:$I, KASA!$C:$C, $C194, KASA!$B:$B, "MAL SATIŞI") + SUMIFS(KASA!$I:$I, KASA!$C:$C, $C194, KASA!$B:$B, "ÜRETİM ÇIKIŞ")</f>
        <v>2.5540000000000012</v>
      </c>
      <c r="G194" s="5">
        <f>SUMIFS(KASA!$I:$I, KASA!$C:$C, $C194, KASA!$B:$B, "MAL İADE")</f>
        <v>0</v>
      </c>
      <c r="H194" s="5">
        <f>SUMIFS(KASA!$K:$K, KASA!$C:$C, $C194, KASA!$B:$B, "MAL İADE") + SUMIFS(KASA!$Q:$Q, KASA!$C:$C, $C194, KASA!$B:$B, "MAL İADE")</f>
        <v>0</v>
      </c>
      <c r="I194" s="5">
        <f t="shared" ref="I194:I257" si="39">F194+G194</f>
        <v>2.5540000000000012</v>
      </c>
      <c r="J194" s="5">
        <f t="shared" ref="J194:J257" si="40">E194*F194</f>
        <v>804.51000000000033</v>
      </c>
      <c r="K194" s="5">
        <f>SUMIFS(KASA!$Q:$Q, KASA!$C:$C, $C194, KASA!$B:$B, "MAL SATIŞI") + SUMIFS(KASA!$Q:$Q, KASA!$C:$C, $C194, KASA!$B:$B, "ÜRETİM ÇIKIŞ")</f>
        <v>2270.7399999999998</v>
      </c>
      <c r="L194" s="5">
        <f>SUMIFS(KASA!$K:$K, KASA!$C:$C, $C194, KASA!$B:$B, "MAL SATIŞI") + SUMIFS(KASA!$K:$K, KASA!$C:$C, $C194, KASA!$B:$B, "ÜRETİM ÇIKIŞ")</f>
        <v>805</v>
      </c>
      <c r="M194" s="5">
        <f t="shared" ref="M194:M257" si="41">K194+L194</f>
        <v>3075.74</v>
      </c>
      <c r="N194" s="5">
        <f t="shared" ref="N194:N257" si="42">M194-J194</f>
        <v>2271.2299999999996</v>
      </c>
      <c r="O194" s="65">
        <f t="shared" ref="O194:O257" si="43">IFERROR(((M194-J194)/J194),0)</f>
        <v>2.8231221488856555</v>
      </c>
      <c r="P194" s="5">
        <f t="shared" ref="P194:P257" si="44">M194/F194</f>
        <v>1204.2834768989815</v>
      </c>
      <c r="Q194" s="5">
        <f t="shared" ref="Q194:Q257" si="45">D194-F194-G194</f>
        <v>2.4459999999999988</v>
      </c>
      <c r="R194" s="5">
        <f t="shared" ref="R194:R257" si="46">Q194*E194</f>
        <v>770.48999999999967</v>
      </c>
      <c r="S194" s="5">
        <f t="shared" ref="S194:S257" si="47">D194*E194</f>
        <v>1575</v>
      </c>
      <c r="T194">
        <v>0.7</v>
      </c>
      <c r="U194" s="2">
        <f t="shared" ref="U194:U257" si="48">Q194-T194</f>
        <v>1.7459999999999989</v>
      </c>
      <c r="V194">
        <f>SUMIF(KASA!$C$2:$C$9980, C194, KASA!$T$2:$T$9980)</f>
        <v>2.4459999999999988</v>
      </c>
      <c r="W194">
        <f>SUMIF(KASA!$C$2:$C$9980, C194, KASA!$U$2:$U$9980)</f>
        <v>817.24999999999955</v>
      </c>
      <c r="X194" s="2">
        <f t="shared" si="36"/>
        <v>2.4459999999999988</v>
      </c>
      <c r="Y194" s="2">
        <f t="shared" si="37"/>
        <v>817.24999999999955</v>
      </c>
      <c r="Z194">
        <f>SUMIF(KASA!$C$2:$C$9980, C194, KASA!$V$2:$V$9980)</f>
        <v>1585</v>
      </c>
      <c r="AA194">
        <f t="shared" si="38"/>
        <v>767.75000000000045</v>
      </c>
    </row>
    <row r="195" spans="3:27" x14ac:dyDescent="0.25">
      <c r="C195" s="4" t="s">
        <v>239</v>
      </c>
      <c r="D195" s="5">
        <f>SUMIFS(KASA!$I:$I, KASA!$C:$C, $C195, KASA!$B:$B, "MAL ALIMI") + SUMIFS(KASA!$I:$I, KASA!$C:$C, $C195, KASA!$B:$B, "ÜRETİM GİRİŞ")</f>
        <v>1</v>
      </c>
      <c r="E195" s="5" cm="1">
        <f t="array" ref="E195">IFERROR(AVERAGE(IF((KASA!$C$2:$C$9980=$C195)*((KASA!$B$2:$B$9980="MAL ALIMI")+(KASA!$B$2:$B$9980="ÜRETİM GİRİŞ")),KASA!$J$2:$J$9980)),0)</f>
        <v>160</v>
      </c>
      <c r="F195" s="5">
        <f>SUMIFS(KASA!$I:$I, KASA!$C:$C, $C195, KASA!$B:$B, "MAL SATIŞI") + SUMIFS(KASA!$I:$I, KASA!$C:$C, $C195, KASA!$B:$B, "ÜRETİM ÇIKIŞ")</f>
        <v>9.8000000000000004E-2</v>
      </c>
      <c r="G195" s="5">
        <f>SUMIFS(KASA!$I:$I, KASA!$C:$C, $C195, KASA!$B:$B, "MAL İADE")</f>
        <v>0</v>
      </c>
      <c r="H195" s="5">
        <f>SUMIFS(KASA!$K:$K, KASA!$C:$C, $C195, KASA!$B:$B, "MAL İADE") + SUMIFS(KASA!$Q:$Q, KASA!$C:$C, $C195, KASA!$B:$B, "MAL İADE")</f>
        <v>0</v>
      </c>
      <c r="I195" s="5">
        <f t="shared" si="39"/>
        <v>9.8000000000000004E-2</v>
      </c>
      <c r="J195" s="5">
        <f t="shared" si="40"/>
        <v>15.68</v>
      </c>
      <c r="K195" s="5">
        <f>SUMIFS(KASA!$Q:$Q, KASA!$C:$C, $C195, KASA!$B:$B, "MAL SATIŞI") + SUMIFS(KASA!$Q:$Q, KASA!$C:$C, $C195, KASA!$B:$B, "ÜRETİM ÇIKIŞ")</f>
        <v>41.160000000000004</v>
      </c>
      <c r="L195" s="5">
        <f>SUMIFS(KASA!$K:$K, KASA!$C:$C, $C195, KASA!$B:$B, "MAL SATIŞI") + SUMIFS(KASA!$K:$K, KASA!$C:$C, $C195, KASA!$B:$B, "ÜRETİM ÇIKIŞ")</f>
        <v>0</v>
      </c>
      <c r="M195" s="5">
        <f t="shared" si="41"/>
        <v>41.160000000000004</v>
      </c>
      <c r="N195" s="5">
        <f t="shared" si="42"/>
        <v>25.480000000000004</v>
      </c>
      <c r="O195" s="65">
        <f t="shared" si="43"/>
        <v>1.6250000000000002</v>
      </c>
      <c r="P195" s="5">
        <f t="shared" si="44"/>
        <v>420</v>
      </c>
      <c r="Q195" s="5">
        <f t="shared" si="45"/>
        <v>0.90200000000000002</v>
      </c>
      <c r="R195" s="5">
        <f t="shared" si="46"/>
        <v>144.32</v>
      </c>
      <c r="S195" s="5">
        <f t="shared" si="47"/>
        <v>160</v>
      </c>
      <c r="T195">
        <v>0.9</v>
      </c>
      <c r="U195" s="2">
        <f t="shared" si="48"/>
        <v>2.0000000000000018E-3</v>
      </c>
      <c r="V195">
        <f>SUMIF(KASA!$C$2:$C$9980, C195, KASA!$T$2:$T$9980)</f>
        <v>0.90200000000000002</v>
      </c>
      <c r="W195">
        <f>SUMIF(KASA!$C$2:$C$9980, C195, KASA!$U$2:$U$9980)</f>
        <v>144.32</v>
      </c>
      <c r="X195" s="2">
        <f t="shared" ref="X195:X258" si="49">V195-G195</f>
        <v>0.90200000000000002</v>
      </c>
      <c r="Y195" s="2">
        <f t="shared" ref="Y195:Y258" si="50">W195-H195</f>
        <v>144.32</v>
      </c>
      <c r="Z195">
        <f>SUMIF(KASA!$C$2:$C$9980, C195, KASA!$V$2:$V$9980)</f>
        <v>160</v>
      </c>
      <c r="AA195">
        <f t="shared" ref="AA195:AA258" si="51">Z195-W195</f>
        <v>15.680000000000007</v>
      </c>
    </row>
    <row r="196" spans="3:27" x14ac:dyDescent="0.25">
      <c r="C196" s="4" t="s">
        <v>240</v>
      </c>
      <c r="D196" s="5">
        <f>SUMIFS(KASA!$I:$I, KASA!$C:$C, $C196, KASA!$B:$B, "MAL ALIMI") + SUMIFS(KASA!$I:$I, KASA!$C:$C, $C196, KASA!$B:$B, "ÜRETİM GİRİŞ")</f>
        <v>1</v>
      </c>
      <c r="E196" s="5" cm="1">
        <f t="array" ref="E196">IFERROR(AVERAGE(IF((KASA!$C$2:$C$9980=$C196)*((KASA!$B$2:$B$9980="MAL ALIMI")+(KASA!$B$2:$B$9980="ÜRETİM GİRİŞ")),KASA!$J$2:$J$9980)),0)</f>
        <v>40</v>
      </c>
      <c r="F196" s="5">
        <f>SUMIFS(KASA!$I:$I, KASA!$C:$C, $C196, KASA!$B:$B, "MAL SATIŞI") + SUMIFS(KASA!$I:$I, KASA!$C:$C, $C196, KASA!$B:$B, "ÜRETİM ÇIKIŞ")</f>
        <v>0.49166666666666659</v>
      </c>
      <c r="G196" s="5">
        <f>SUMIFS(KASA!$I:$I, KASA!$C:$C, $C196, KASA!$B:$B, "MAL İADE")</f>
        <v>0</v>
      </c>
      <c r="H196" s="5">
        <f>SUMIFS(KASA!$K:$K, KASA!$C:$C, $C196, KASA!$B:$B, "MAL İADE") + SUMIFS(KASA!$Q:$Q, KASA!$C:$C, $C196, KASA!$B:$B, "MAL İADE")</f>
        <v>0</v>
      </c>
      <c r="I196" s="5">
        <f t="shared" si="39"/>
        <v>0.49166666666666659</v>
      </c>
      <c r="J196" s="5">
        <f t="shared" si="40"/>
        <v>19.666666666666664</v>
      </c>
      <c r="K196" s="5">
        <f>SUMIFS(KASA!$Q:$Q, KASA!$C:$C, $C196, KASA!$B:$B, "MAL SATIŞI") + SUMIFS(KASA!$Q:$Q, KASA!$C:$C, $C196, KASA!$B:$B, "ÜRETİM ÇIKIŞ")</f>
        <v>40</v>
      </c>
      <c r="L196" s="5">
        <f>SUMIFS(KASA!$K:$K, KASA!$C:$C, $C196, KASA!$B:$B, "MAL SATIŞI") + SUMIFS(KASA!$K:$K, KASA!$C:$C, $C196, KASA!$B:$B, "ÜRETİM ÇIKIŞ")</f>
        <v>58</v>
      </c>
      <c r="M196" s="5">
        <f t="shared" si="41"/>
        <v>98</v>
      </c>
      <c r="N196" s="5">
        <f t="shared" si="42"/>
        <v>78.333333333333343</v>
      </c>
      <c r="O196" s="65">
        <f t="shared" si="43"/>
        <v>3.9830508474576281</v>
      </c>
      <c r="P196" s="5">
        <f t="shared" si="44"/>
        <v>199.32203389830511</v>
      </c>
      <c r="Q196" s="5">
        <f t="shared" si="45"/>
        <v>0.50833333333333341</v>
      </c>
      <c r="R196" s="5">
        <f t="shared" si="46"/>
        <v>20.333333333333336</v>
      </c>
      <c r="S196" s="5">
        <f t="shared" si="47"/>
        <v>40</v>
      </c>
      <c r="T196">
        <v>0.75</v>
      </c>
      <c r="U196" s="2">
        <f t="shared" si="48"/>
        <v>-0.24166666666666659</v>
      </c>
      <c r="V196">
        <f>SUMIF(KASA!$C$2:$C$9980, C196, KASA!$T$2:$T$9980)</f>
        <v>0.50833333333333341</v>
      </c>
      <c r="W196">
        <f>SUMIF(KASA!$C$2:$C$9980, C196, KASA!$U$2:$U$9980)</f>
        <v>20.333333333333336</v>
      </c>
      <c r="X196" s="2">
        <f t="shared" si="49"/>
        <v>0.50833333333333341</v>
      </c>
      <c r="Y196" s="2">
        <f t="shared" si="50"/>
        <v>20.333333333333336</v>
      </c>
      <c r="Z196">
        <f>SUMIF(KASA!$C$2:$C$9980, C196, KASA!$V$2:$V$9980)</f>
        <v>40</v>
      </c>
      <c r="AA196">
        <f t="shared" si="51"/>
        <v>19.666666666666664</v>
      </c>
    </row>
    <row r="197" spans="3:27" x14ac:dyDescent="0.25">
      <c r="C197" s="4" t="s">
        <v>241</v>
      </c>
      <c r="D197" s="5">
        <f>SUMIFS(KASA!$I:$I, KASA!$C:$C, $C197, KASA!$B:$B, "MAL ALIMI") + SUMIFS(KASA!$I:$I, KASA!$C:$C, $C197, KASA!$B:$B, "ÜRETİM GİRİŞ")</f>
        <v>21</v>
      </c>
      <c r="E197" s="5" cm="1">
        <f t="array" ref="E197">IFERROR(AVERAGE(IF((KASA!$C$2:$C$9980=$C197)*((KASA!$B$2:$B$9980="MAL ALIMI")+(KASA!$B$2:$B$9980="ÜRETİM GİRİŞ")),KASA!$J$2:$J$9980)),0)</f>
        <v>285</v>
      </c>
      <c r="F197" s="5">
        <f>SUMIFS(KASA!$I:$I, KASA!$C:$C, $C197, KASA!$B:$B, "MAL SATIŞI") + SUMIFS(KASA!$I:$I, KASA!$C:$C, $C197, KASA!$B:$B, "ÜRETİM ÇIKIŞ")</f>
        <v>20.995488372093021</v>
      </c>
      <c r="G197" s="5">
        <f>SUMIFS(KASA!$I:$I, KASA!$C:$C, $C197, KASA!$B:$B, "MAL İADE")</f>
        <v>0</v>
      </c>
      <c r="H197" s="5">
        <f>SUMIFS(KASA!$K:$K, KASA!$C:$C, $C197, KASA!$B:$B, "MAL İADE") + SUMIFS(KASA!$Q:$Q, KASA!$C:$C, $C197, KASA!$B:$B, "MAL İADE")</f>
        <v>0</v>
      </c>
      <c r="I197" s="5">
        <f t="shared" si="39"/>
        <v>20.995488372093021</v>
      </c>
      <c r="J197" s="5">
        <f t="shared" si="40"/>
        <v>5983.7141860465108</v>
      </c>
      <c r="K197" s="5">
        <f>SUMIFS(KASA!$Q:$Q, KASA!$C:$C, $C197, KASA!$B:$B, "MAL SATIŞI") + SUMIFS(KASA!$Q:$Q, KASA!$C:$C, $C197, KASA!$B:$B, "ÜRETİM ÇIKIŞ")</f>
        <v>5796.4599999999991</v>
      </c>
      <c r="L197" s="5">
        <f>SUMIFS(KASA!$K:$K, KASA!$C:$C, $C197, KASA!$B:$B, "MAL SATIŞI") + SUMIFS(KASA!$K:$K, KASA!$C:$C, $C197, KASA!$B:$B, "ÜRETİM ÇIKIŞ")</f>
        <v>2370.1999999999998</v>
      </c>
      <c r="M197" s="5">
        <f t="shared" si="41"/>
        <v>8166.6599999999989</v>
      </c>
      <c r="N197" s="5">
        <f t="shared" si="42"/>
        <v>2182.9458139534881</v>
      </c>
      <c r="O197" s="65">
        <f t="shared" si="43"/>
        <v>0.36481451922351565</v>
      </c>
      <c r="P197" s="5">
        <f t="shared" si="44"/>
        <v>388.97213797870194</v>
      </c>
      <c r="Q197" s="5">
        <f t="shared" si="45"/>
        <v>4.5116279069787879E-3</v>
      </c>
      <c r="R197" s="5">
        <f t="shared" si="46"/>
        <v>1.2858139534889546</v>
      </c>
      <c r="S197" s="5">
        <f t="shared" si="47"/>
        <v>5985</v>
      </c>
      <c r="T197">
        <v>2.48</v>
      </c>
      <c r="U197" s="2">
        <f t="shared" si="48"/>
        <v>-2.4754883720930212</v>
      </c>
      <c r="V197">
        <f>SUMIF(KASA!$C$2:$C$9980, C197, KASA!$T$2:$T$9980)</f>
        <v>4.5116279069787879E-3</v>
      </c>
      <c r="W197">
        <f>SUMIF(KASA!$C$2:$C$9980, C197, KASA!$U$2:$U$9980)</f>
        <v>1.3083720930238485</v>
      </c>
      <c r="X197" s="2">
        <f t="shared" si="49"/>
        <v>4.5116279069787879E-3</v>
      </c>
      <c r="Y197" s="2">
        <f t="shared" si="50"/>
        <v>1.3083720930238485</v>
      </c>
      <c r="Z197">
        <f>SUMIF(KASA!$C$2:$C$9980, C197, KASA!$V$2:$V$9980)</f>
        <v>5965</v>
      </c>
      <c r="AA197">
        <f t="shared" si="51"/>
        <v>5963.6916279069765</v>
      </c>
    </row>
    <row r="198" spans="3:27" x14ac:dyDescent="0.25">
      <c r="C198" s="4" t="s">
        <v>242</v>
      </c>
      <c r="D198" s="5">
        <f>SUMIFS(KASA!$I:$I, KASA!$C:$C, $C198, KASA!$B:$B, "MAL ALIMI") + SUMIFS(KASA!$I:$I, KASA!$C:$C, $C198, KASA!$B:$B, "ÜRETİM GİRİŞ")</f>
        <v>5</v>
      </c>
      <c r="E198" s="5" cm="1">
        <f t="array" ref="E198">IFERROR(AVERAGE(IF((KASA!$C$2:$C$9980=$C198)*((KASA!$B$2:$B$9980="MAL ALIMI")+(KASA!$B$2:$B$9980="ÜRETİM GİRİŞ")),KASA!$J$2:$J$9980)),0)</f>
        <v>275</v>
      </c>
      <c r="F198" s="5">
        <f>SUMIFS(KASA!$I:$I, KASA!$C:$C, $C198, KASA!$B:$B, "MAL SATIŞI") + SUMIFS(KASA!$I:$I, KASA!$C:$C, $C198, KASA!$B:$B, "ÜRETİM ÇIKIŞ")</f>
        <v>5</v>
      </c>
      <c r="G198" s="5">
        <f>SUMIFS(KASA!$I:$I, KASA!$C:$C, $C198, KASA!$B:$B, "MAL İADE")</f>
        <v>0</v>
      </c>
      <c r="H198" s="5">
        <f>SUMIFS(KASA!$K:$K, KASA!$C:$C, $C198, KASA!$B:$B, "MAL İADE") + SUMIFS(KASA!$Q:$Q, KASA!$C:$C, $C198, KASA!$B:$B, "MAL İADE")</f>
        <v>0</v>
      </c>
      <c r="I198" s="5">
        <f t="shared" si="39"/>
        <v>5</v>
      </c>
      <c r="J198" s="5">
        <f t="shared" si="40"/>
        <v>1375</v>
      </c>
      <c r="K198" s="5">
        <f>SUMIFS(KASA!$Q:$Q, KASA!$C:$C, $C198, KASA!$B:$B, "MAL SATIŞI") + SUMIFS(KASA!$Q:$Q, KASA!$C:$C, $C198, KASA!$B:$B, "ÜRETİM ÇIKIŞ")</f>
        <v>1641.75</v>
      </c>
      <c r="L198" s="5">
        <f>SUMIFS(KASA!$K:$K, KASA!$C:$C, $C198, KASA!$B:$B, "MAL SATIŞI") + SUMIFS(KASA!$K:$K, KASA!$C:$C, $C198, KASA!$B:$B, "ÜRETİM ÇIKIŞ")</f>
        <v>133</v>
      </c>
      <c r="M198" s="5">
        <f t="shared" si="41"/>
        <v>1774.75</v>
      </c>
      <c r="N198" s="5">
        <f t="shared" si="42"/>
        <v>399.75</v>
      </c>
      <c r="O198" s="65">
        <f t="shared" si="43"/>
        <v>0.29072727272727272</v>
      </c>
      <c r="P198" s="5">
        <f t="shared" si="44"/>
        <v>354.95</v>
      </c>
      <c r="Q198" s="5">
        <f t="shared" si="45"/>
        <v>0</v>
      </c>
      <c r="R198" s="5">
        <f t="shared" si="46"/>
        <v>0</v>
      </c>
      <c r="S198" s="5">
        <f t="shared" si="47"/>
        <v>1375</v>
      </c>
      <c r="T198">
        <v>0</v>
      </c>
      <c r="U198" s="2">
        <f t="shared" si="48"/>
        <v>0</v>
      </c>
      <c r="V198">
        <f>SUMIF(KASA!$C$2:$C$9980, C198, KASA!$T$2:$T$9980)</f>
        <v>0</v>
      </c>
      <c r="W198">
        <f>SUMIF(KASA!$C$2:$C$9980, C198, KASA!$U$2:$U$9980)</f>
        <v>0</v>
      </c>
      <c r="X198" s="2">
        <f t="shared" si="49"/>
        <v>0</v>
      </c>
      <c r="Y198" s="2">
        <f t="shared" si="50"/>
        <v>0</v>
      </c>
      <c r="Z198">
        <f>SUMIF(KASA!$C$2:$C$9980, C198, KASA!$V$2:$V$9980)</f>
        <v>1375</v>
      </c>
      <c r="AA198">
        <f t="shared" si="51"/>
        <v>1375</v>
      </c>
    </row>
    <row r="199" spans="3:27" x14ac:dyDescent="0.25">
      <c r="C199" s="4" t="s">
        <v>243</v>
      </c>
      <c r="D199" s="5">
        <f>SUMIFS(KASA!$I:$I, KASA!$C:$C, $C199, KASA!$B:$B, "MAL ALIMI") + SUMIFS(KASA!$I:$I, KASA!$C:$C, $C199, KASA!$B:$B, "ÜRETİM GİRİŞ")</f>
        <v>17</v>
      </c>
      <c r="E199" s="5" cm="1">
        <f t="array" ref="E199">IFERROR(AVERAGE(IF((KASA!$C$2:$C$9980=$C199)*((KASA!$B$2:$B$9980="MAL ALIMI")+(KASA!$B$2:$B$9980="ÜRETİM GİRİŞ")),KASA!$J$2:$J$9980)),0)</f>
        <v>95</v>
      </c>
      <c r="F199" s="5">
        <f>SUMIFS(KASA!$I:$I, KASA!$C:$C, $C199, KASA!$B:$B, "MAL SATIŞI") + SUMIFS(KASA!$I:$I, KASA!$C:$C, $C199, KASA!$B:$B, "ÜRETİM ÇIKIŞ")</f>
        <v>8</v>
      </c>
      <c r="G199" s="5">
        <f>SUMIFS(KASA!$I:$I, KASA!$C:$C, $C199, KASA!$B:$B, "MAL İADE")</f>
        <v>0</v>
      </c>
      <c r="H199" s="5">
        <f>SUMIFS(KASA!$K:$K, KASA!$C:$C, $C199, KASA!$B:$B, "MAL İADE") + SUMIFS(KASA!$Q:$Q, KASA!$C:$C, $C199, KASA!$B:$B, "MAL İADE")</f>
        <v>0</v>
      </c>
      <c r="I199" s="5">
        <f t="shared" si="39"/>
        <v>8</v>
      </c>
      <c r="J199" s="5">
        <f t="shared" si="40"/>
        <v>760</v>
      </c>
      <c r="K199" s="5">
        <f>SUMIFS(KASA!$Q:$Q, KASA!$C:$C, $C199, KASA!$B:$B, "MAL SATIŞI") + SUMIFS(KASA!$Q:$Q, KASA!$C:$C, $C199, KASA!$B:$B, "ÜRETİM ÇIKIŞ")</f>
        <v>900</v>
      </c>
      <c r="L199" s="5">
        <f>SUMIFS(KASA!$K:$K, KASA!$C:$C, $C199, KASA!$B:$B, "MAL SATIŞI") + SUMIFS(KASA!$K:$K, KASA!$C:$C, $C199, KASA!$B:$B, "ÜRETİM ÇIKIŞ")</f>
        <v>540</v>
      </c>
      <c r="M199" s="5">
        <f t="shared" si="41"/>
        <v>1440</v>
      </c>
      <c r="N199" s="5">
        <f t="shared" si="42"/>
        <v>680</v>
      </c>
      <c r="O199" s="65">
        <f t="shared" si="43"/>
        <v>0.89473684210526316</v>
      </c>
      <c r="P199" s="5">
        <f t="shared" si="44"/>
        <v>180</v>
      </c>
      <c r="Q199" s="5">
        <f t="shared" si="45"/>
        <v>9</v>
      </c>
      <c r="R199" s="5">
        <f t="shared" si="46"/>
        <v>855</v>
      </c>
      <c r="S199" s="5">
        <f t="shared" si="47"/>
        <v>1615</v>
      </c>
      <c r="T199">
        <v>10</v>
      </c>
      <c r="U199" s="2">
        <f t="shared" si="48"/>
        <v>-1</v>
      </c>
      <c r="V199">
        <f>SUMIF(KASA!$C$2:$C$9980, C199, KASA!$T$2:$T$9980)</f>
        <v>9</v>
      </c>
      <c r="W199">
        <f>SUMIF(KASA!$C$2:$C$9980, C199, KASA!$U$2:$U$9980)</f>
        <v>855</v>
      </c>
      <c r="X199" s="2">
        <f t="shared" si="49"/>
        <v>9</v>
      </c>
      <c r="Y199" s="2">
        <f t="shared" si="50"/>
        <v>855</v>
      </c>
      <c r="Z199">
        <f>SUMIF(KASA!$C$2:$C$9980, C199, KASA!$V$2:$V$9980)</f>
        <v>1615</v>
      </c>
      <c r="AA199">
        <f t="shared" si="51"/>
        <v>760</v>
      </c>
    </row>
    <row r="200" spans="3:27" x14ac:dyDescent="0.25">
      <c r="C200" s="4" t="s">
        <v>244</v>
      </c>
      <c r="D200" s="5">
        <f>SUMIFS(KASA!$I:$I, KASA!$C:$C, $C200, KASA!$B:$B, "MAL ALIMI") + SUMIFS(KASA!$I:$I, KASA!$C:$C, $C200, KASA!$B:$B, "ÜRETİM GİRİŞ")</f>
        <v>20</v>
      </c>
      <c r="E200" s="5" cm="1">
        <f t="array" ref="E200">IFERROR(AVERAGE(IF((KASA!$C$2:$C$9980=$C200)*((KASA!$B$2:$B$9980="MAL ALIMI")+(KASA!$B$2:$B$9980="ÜRETİM GİRİŞ")),KASA!$J$2:$J$9980)),0)</f>
        <v>542.85</v>
      </c>
      <c r="F200" s="5">
        <f>SUMIFS(KASA!$I:$I, KASA!$C:$C, $C200, KASA!$B:$B, "MAL SATIŞI") + SUMIFS(KASA!$I:$I, KASA!$C:$C, $C200, KASA!$B:$B, "ÜRETİM ÇIKIŞ")</f>
        <v>13.219846153846156</v>
      </c>
      <c r="G200" s="5">
        <f>SUMIFS(KASA!$I:$I, KASA!$C:$C, $C200, KASA!$B:$B, "MAL İADE")</f>
        <v>0</v>
      </c>
      <c r="H200" s="5">
        <f>SUMIFS(KASA!$K:$K, KASA!$C:$C, $C200, KASA!$B:$B, "MAL İADE") + SUMIFS(KASA!$Q:$Q, KASA!$C:$C, $C200, KASA!$B:$B, "MAL İADE")</f>
        <v>0</v>
      </c>
      <c r="I200" s="5">
        <f t="shared" si="39"/>
        <v>13.219846153846156</v>
      </c>
      <c r="J200" s="5">
        <f t="shared" si="40"/>
        <v>7176.3934846153861</v>
      </c>
      <c r="K200" s="5">
        <f>SUMIFS(KASA!$Q:$Q, KASA!$C:$C, $C200, KASA!$B:$B, "MAL SATIŞI") + SUMIFS(KASA!$Q:$Q, KASA!$C:$C, $C200, KASA!$B:$B, "ÜRETİM ÇIKIŞ")</f>
        <v>6653.37</v>
      </c>
      <c r="L200" s="5">
        <f>SUMIFS(KASA!$K:$K, KASA!$C:$C, $C200, KASA!$B:$B, "MAL SATIŞI") + SUMIFS(KASA!$K:$K, KASA!$C:$C, $C200, KASA!$B:$B, "ÜRETİM ÇIKIŞ")</f>
        <v>804.1</v>
      </c>
      <c r="M200" s="5">
        <f t="shared" si="41"/>
        <v>7457.47</v>
      </c>
      <c r="N200" s="5">
        <f t="shared" si="42"/>
        <v>281.07651538461414</v>
      </c>
      <c r="O200" s="65">
        <f t="shared" si="43"/>
        <v>3.916682049098625E-2</v>
      </c>
      <c r="P200" s="5">
        <f t="shared" si="44"/>
        <v>564.11170850353187</v>
      </c>
      <c r="Q200" s="5">
        <f t="shared" si="45"/>
        <v>6.7801538461538442</v>
      </c>
      <c r="R200" s="5">
        <f t="shared" si="46"/>
        <v>3680.6065153846143</v>
      </c>
      <c r="S200" s="5">
        <f t="shared" si="47"/>
        <v>10857</v>
      </c>
      <c r="T200">
        <v>3.1320000000000001</v>
      </c>
      <c r="U200" s="2">
        <f t="shared" si="48"/>
        <v>3.6481538461538441</v>
      </c>
      <c r="V200">
        <f>SUMIF(KASA!$C$2:$C$9980, C200, KASA!$T$2:$T$9980)</f>
        <v>6.7801538461538442</v>
      </c>
      <c r="W200">
        <f>SUMIF(KASA!$C$2:$C$9980, C200, KASA!$U$2:$U$9980)</f>
        <v>3903.3345692307685</v>
      </c>
      <c r="X200" s="2">
        <f t="shared" si="49"/>
        <v>6.7801538461538442</v>
      </c>
      <c r="Y200" s="2">
        <f t="shared" si="50"/>
        <v>3903.3345692307685</v>
      </c>
      <c r="Z200">
        <f>SUMIF(KASA!$C$2:$C$9980, C200, KASA!$V$2:$V$9980)</f>
        <v>10857</v>
      </c>
      <c r="AA200">
        <f t="shared" si="51"/>
        <v>6953.6654307692315</v>
      </c>
    </row>
    <row r="201" spans="3:27" x14ac:dyDescent="0.25">
      <c r="C201" s="4" t="s">
        <v>245</v>
      </c>
      <c r="D201" s="5">
        <f>SUMIFS(KASA!$I:$I, KASA!$C:$C, $C201, KASA!$B:$B, "MAL ALIMI") + SUMIFS(KASA!$I:$I, KASA!$C:$C, $C201, KASA!$B:$B, "ÜRETİM GİRİŞ")</f>
        <v>10</v>
      </c>
      <c r="E201" s="5" cm="1">
        <f t="array" ref="E201">IFERROR(AVERAGE(IF((KASA!$C$2:$C$9980=$C201)*((KASA!$B$2:$B$9980="MAL ALIMI")+(KASA!$B$2:$B$9980="ÜRETİM GİRİŞ")),KASA!$J$2:$J$9980)),0)</f>
        <v>520.55250000000001</v>
      </c>
      <c r="F201" s="5">
        <f>SUMIFS(KASA!$I:$I, KASA!$C:$C, $C201, KASA!$B:$B, "MAL SATIŞI") + SUMIFS(KASA!$I:$I, KASA!$C:$C, $C201, KASA!$B:$B, "ÜRETİM ÇIKIŞ")</f>
        <v>4.989538461538463</v>
      </c>
      <c r="G201" s="5">
        <f>SUMIFS(KASA!$I:$I, KASA!$C:$C, $C201, KASA!$B:$B, "MAL İADE")</f>
        <v>0</v>
      </c>
      <c r="H201" s="5">
        <f>SUMIFS(KASA!$K:$K, KASA!$C:$C, $C201, KASA!$B:$B, "MAL İADE") + SUMIFS(KASA!$Q:$Q, KASA!$C:$C, $C201, KASA!$B:$B, "MAL İADE")</f>
        <v>0</v>
      </c>
      <c r="I201" s="5">
        <f t="shared" si="39"/>
        <v>4.989538461538463</v>
      </c>
      <c r="J201" s="5">
        <f t="shared" si="40"/>
        <v>2597.3167200000007</v>
      </c>
      <c r="K201" s="5">
        <f>SUMIFS(KASA!$Q:$Q, KASA!$C:$C, $C201, KASA!$B:$B, "MAL SATIŞI") + SUMIFS(KASA!$Q:$Q, KASA!$C:$C, $C201, KASA!$B:$B, "ÜRETİM ÇIKIŞ")</f>
        <v>1757.6499999999999</v>
      </c>
      <c r="L201" s="5">
        <f>SUMIFS(KASA!$K:$K, KASA!$C:$C, $C201, KASA!$B:$B, "MAL SATIŞI") + SUMIFS(KASA!$K:$K, KASA!$C:$C, $C201, KASA!$B:$B, "ÜRETİM ÇIKIŞ")</f>
        <v>1349.0884615384614</v>
      </c>
      <c r="M201" s="5">
        <f t="shared" si="41"/>
        <v>3106.7384615384613</v>
      </c>
      <c r="N201" s="5">
        <f t="shared" si="42"/>
        <v>509.42174153846054</v>
      </c>
      <c r="O201" s="65">
        <f t="shared" si="43"/>
        <v>0.19613385522673585</v>
      </c>
      <c r="P201" s="5">
        <f t="shared" si="44"/>
        <v>622.65046867291539</v>
      </c>
      <c r="Q201" s="5">
        <f t="shared" si="45"/>
        <v>5.010461538461537</v>
      </c>
      <c r="R201" s="5">
        <f t="shared" si="46"/>
        <v>2608.2082799999994</v>
      </c>
      <c r="S201" s="5">
        <f t="shared" si="47"/>
        <v>5205.5249999999996</v>
      </c>
      <c r="T201">
        <v>1.3979999999999999</v>
      </c>
      <c r="U201" s="2">
        <f t="shared" si="48"/>
        <v>3.6124615384615373</v>
      </c>
      <c r="V201">
        <f>SUMIF(KASA!$C$2:$C$9980, C201, KASA!$T$2:$T$9980)</f>
        <v>5.010461538461537</v>
      </c>
      <c r="W201">
        <f>SUMIF(KASA!$C$2:$C$9980, C201, KASA!$U$2:$U$9980)</f>
        <v>2835.4942307692299</v>
      </c>
      <c r="X201" s="2">
        <f t="shared" si="49"/>
        <v>5.010461538461537</v>
      </c>
      <c r="Y201" s="2">
        <f t="shared" si="50"/>
        <v>2835.4942307692299</v>
      </c>
      <c r="Z201">
        <f>SUMIF(KASA!$C$2:$C$9980, C201, KASA!$V$2:$V$9980)</f>
        <v>5205.5249999999996</v>
      </c>
      <c r="AA201">
        <f t="shared" si="51"/>
        <v>2370.0307692307697</v>
      </c>
    </row>
    <row r="202" spans="3:27" x14ac:dyDescent="0.25">
      <c r="C202" s="4" t="s">
        <v>246</v>
      </c>
      <c r="D202" s="5">
        <f>SUMIFS(KASA!$I:$I, KASA!$C:$C, $C202, KASA!$B:$B, "MAL ALIMI") + SUMIFS(KASA!$I:$I, KASA!$C:$C, $C202, KASA!$B:$B, "ÜRETİM GİRİŞ")</f>
        <v>9</v>
      </c>
      <c r="E202" s="5" cm="1">
        <f t="array" ref="E202">IFERROR(AVERAGE(IF((KASA!$C$2:$C$9980=$C202)*((KASA!$B$2:$B$9980="MAL ALIMI")+(KASA!$B$2:$B$9980="ÜRETİM GİRİŞ")),KASA!$J$2:$J$9980)),0)</f>
        <v>1180.25</v>
      </c>
      <c r="F202" s="5">
        <f>SUMIFS(KASA!$I:$I, KASA!$C:$C, $C202, KASA!$B:$B, "MAL SATIŞI") + SUMIFS(KASA!$I:$I, KASA!$C:$C, $C202, KASA!$B:$B, "ÜRETİM ÇIKIŞ")</f>
        <v>6.6560000000000006</v>
      </c>
      <c r="G202" s="5">
        <f>SUMIFS(KASA!$I:$I, KASA!$C:$C, $C202, KASA!$B:$B, "MAL İADE")</f>
        <v>0</v>
      </c>
      <c r="H202" s="5">
        <f>SUMIFS(KASA!$K:$K, KASA!$C:$C, $C202, KASA!$B:$B, "MAL İADE") + SUMIFS(KASA!$Q:$Q, KASA!$C:$C, $C202, KASA!$B:$B, "MAL İADE")</f>
        <v>0</v>
      </c>
      <c r="I202" s="5">
        <f t="shared" si="39"/>
        <v>6.6560000000000006</v>
      </c>
      <c r="J202" s="5">
        <f t="shared" si="40"/>
        <v>7855.7440000000006</v>
      </c>
      <c r="K202" s="5">
        <f>SUMIFS(KASA!$Q:$Q, KASA!$C:$C, $C202, KASA!$B:$B, "MAL SATIŞI") + SUMIFS(KASA!$Q:$Q, KASA!$C:$C, $C202, KASA!$B:$B, "ÜRETİM ÇIKIŞ")</f>
        <v>7487.45</v>
      </c>
      <c r="L202" s="5">
        <f>SUMIFS(KASA!$K:$K, KASA!$C:$C, $C202, KASA!$B:$B, "MAL SATIŞI") + SUMIFS(KASA!$K:$K, KASA!$C:$C, $C202, KASA!$B:$B, "ÜRETİM ÇIKIŞ")</f>
        <v>542.5</v>
      </c>
      <c r="M202" s="5">
        <f t="shared" si="41"/>
        <v>8029.95</v>
      </c>
      <c r="N202" s="5">
        <f t="shared" si="42"/>
        <v>174.20599999999922</v>
      </c>
      <c r="O202" s="65">
        <f t="shared" si="43"/>
        <v>2.2175620794160196E-2</v>
      </c>
      <c r="P202" s="5">
        <f t="shared" si="44"/>
        <v>1206.4227764423076</v>
      </c>
      <c r="Q202" s="5">
        <f t="shared" si="45"/>
        <v>2.3439999999999994</v>
      </c>
      <c r="R202" s="5">
        <f t="shared" si="46"/>
        <v>2766.5059999999994</v>
      </c>
      <c r="S202" s="5">
        <f t="shared" si="47"/>
        <v>10622.25</v>
      </c>
      <c r="T202">
        <v>0.74</v>
      </c>
      <c r="U202" s="2">
        <f t="shared" si="48"/>
        <v>1.6039999999999994</v>
      </c>
      <c r="V202">
        <f>SUMIF(KASA!$C$2:$C$9980, C202, KASA!$T$2:$T$9980)</f>
        <v>2.3439999999999994</v>
      </c>
      <c r="W202">
        <f>SUMIF(KASA!$C$2:$C$9980, C202, KASA!$U$2:$U$9980)</f>
        <v>2733.4399999999991</v>
      </c>
      <c r="X202" s="2">
        <f t="shared" si="49"/>
        <v>2.3439999999999994</v>
      </c>
      <c r="Y202" s="2">
        <f t="shared" si="50"/>
        <v>2733.4399999999991</v>
      </c>
      <c r="Z202">
        <f>SUMIF(KASA!$C$2:$C$9980, C202, KASA!$V$2:$V$9980)</f>
        <v>10581</v>
      </c>
      <c r="AA202">
        <f t="shared" si="51"/>
        <v>7847.5600000000013</v>
      </c>
    </row>
    <row r="203" spans="3:27" x14ac:dyDescent="0.25">
      <c r="C203" s="4" t="s">
        <v>247</v>
      </c>
      <c r="D203" s="5">
        <f>SUMIFS(KASA!$I:$I, KASA!$C:$C, $C203, KASA!$B:$B, "MAL ALIMI") + SUMIFS(KASA!$I:$I, KASA!$C:$C, $C203, KASA!$B:$B, "ÜRETİM GİRİŞ")</f>
        <v>16</v>
      </c>
      <c r="E203" s="5" cm="1">
        <f t="array" ref="E203">IFERROR(AVERAGE(IF((KASA!$C$2:$C$9980=$C203)*((KASA!$B$2:$B$9980="MAL ALIMI")+(KASA!$B$2:$B$9980="ÜRETİM GİRİŞ")),KASA!$J$2:$J$9980)),0)</f>
        <v>903.9</v>
      </c>
      <c r="F203" s="5">
        <f>SUMIFS(KASA!$I:$I, KASA!$C:$C, $C203, KASA!$B:$B, "MAL SATIŞI") + SUMIFS(KASA!$I:$I, KASA!$C:$C, $C203, KASA!$B:$B, "ÜRETİM ÇIKIŞ")</f>
        <v>10.864333333333335</v>
      </c>
      <c r="G203" s="5">
        <f>SUMIFS(KASA!$I:$I, KASA!$C:$C, $C203, KASA!$B:$B, "MAL İADE")</f>
        <v>0</v>
      </c>
      <c r="H203" s="5">
        <f>SUMIFS(KASA!$K:$K, KASA!$C:$C, $C203, KASA!$B:$B, "MAL İADE") + SUMIFS(KASA!$Q:$Q, KASA!$C:$C, $C203, KASA!$B:$B, "MAL İADE")</f>
        <v>0</v>
      </c>
      <c r="I203" s="5">
        <f t="shared" si="39"/>
        <v>10.864333333333335</v>
      </c>
      <c r="J203" s="5">
        <f t="shared" si="40"/>
        <v>9820.2709000000013</v>
      </c>
      <c r="K203" s="5">
        <f>SUMIFS(KASA!$Q:$Q, KASA!$C:$C, $C203, KASA!$B:$B, "MAL SATIŞI") + SUMIFS(KASA!$Q:$Q, KASA!$C:$C, $C203, KASA!$B:$B, "ÜRETİM ÇIKIŞ")</f>
        <v>8061.9</v>
      </c>
      <c r="L203" s="5">
        <f>SUMIFS(KASA!$K:$K, KASA!$C:$C, $C203, KASA!$B:$B, "MAL SATIŞI") + SUMIFS(KASA!$K:$K, KASA!$C:$C, $C203, KASA!$B:$B, "ÜRETİM ÇIKIŞ")</f>
        <v>3487.4833333333336</v>
      </c>
      <c r="M203" s="5">
        <f t="shared" si="41"/>
        <v>11549.383333333333</v>
      </c>
      <c r="N203" s="5">
        <f t="shared" si="42"/>
        <v>1729.1124333333319</v>
      </c>
      <c r="O203" s="65">
        <f t="shared" si="43"/>
        <v>0.17607583853245146</v>
      </c>
      <c r="P203" s="5">
        <f t="shared" si="44"/>
        <v>1063.0549504494829</v>
      </c>
      <c r="Q203" s="5">
        <f t="shared" si="45"/>
        <v>5.1356666666666655</v>
      </c>
      <c r="R203" s="5">
        <f t="shared" si="46"/>
        <v>4642.1290999999992</v>
      </c>
      <c r="S203" s="5">
        <f t="shared" si="47"/>
        <v>14462.4</v>
      </c>
      <c r="T203">
        <v>4.4539999999999997</v>
      </c>
      <c r="U203" s="2">
        <f t="shared" si="48"/>
        <v>0.68166666666666575</v>
      </c>
      <c r="V203">
        <f>SUMIF(KASA!$C$2:$C$9980, C203, KASA!$T$2:$T$9980)</f>
        <v>5.1356666666666655</v>
      </c>
      <c r="W203">
        <f>SUMIF(KASA!$C$2:$C$9980, C203, KASA!$U$2:$U$9980)</f>
        <v>4903.3199999999988</v>
      </c>
      <c r="X203" s="2">
        <f t="shared" si="49"/>
        <v>5.1356666666666655</v>
      </c>
      <c r="Y203" s="2">
        <f t="shared" si="50"/>
        <v>4903.3199999999988</v>
      </c>
      <c r="Z203">
        <f>SUMIF(KASA!$C$2:$C$9980, C203, KASA!$V$2:$V$9980)</f>
        <v>15577.5</v>
      </c>
      <c r="AA203">
        <f t="shared" si="51"/>
        <v>10674.18</v>
      </c>
    </row>
    <row r="204" spans="3:27" x14ac:dyDescent="0.25">
      <c r="C204" s="4" t="s">
        <v>248</v>
      </c>
      <c r="D204" s="5">
        <f>SUMIFS(KASA!$I:$I, KASA!$C:$C, $C204, KASA!$B:$B, "MAL ALIMI") + SUMIFS(KASA!$I:$I, KASA!$C:$C, $C204, KASA!$B:$B, "ÜRETİM GİRİŞ")</f>
        <v>5</v>
      </c>
      <c r="E204" s="5" cm="1">
        <f t="array" ref="E204">IFERROR(AVERAGE(IF((KASA!$C$2:$C$9980=$C204)*((KASA!$B$2:$B$9980="MAL ALIMI")+(KASA!$B$2:$B$9980="ÜRETİM GİRİŞ")),KASA!$J$2:$J$9980)),0)</f>
        <v>900</v>
      </c>
      <c r="F204" s="5">
        <f>SUMIFS(KASA!$I:$I, KASA!$C:$C, $C204, KASA!$B:$B, "MAL SATIŞI") + SUMIFS(KASA!$I:$I, KASA!$C:$C, $C204, KASA!$B:$B, "ÜRETİM ÇIKIŞ")</f>
        <v>3.4880000000000009</v>
      </c>
      <c r="G204" s="5">
        <f>SUMIFS(KASA!$I:$I, KASA!$C:$C, $C204, KASA!$B:$B, "MAL İADE")</f>
        <v>0</v>
      </c>
      <c r="H204" s="5">
        <f>SUMIFS(KASA!$K:$K, KASA!$C:$C, $C204, KASA!$B:$B, "MAL İADE") + SUMIFS(KASA!$Q:$Q, KASA!$C:$C, $C204, KASA!$B:$B, "MAL İADE")</f>
        <v>0</v>
      </c>
      <c r="I204" s="5">
        <f t="shared" si="39"/>
        <v>3.4880000000000009</v>
      </c>
      <c r="J204" s="5">
        <f t="shared" si="40"/>
        <v>3139.2000000000007</v>
      </c>
      <c r="K204" s="5">
        <f>SUMIFS(KASA!$Q:$Q, KASA!$C:$C, $C204, KASA!$B:$B, "MAL SATIŞI") + SUMIFS(KASA!$Q:$Q, KASA!$C:$C, $C204, KASA!$B:$B, "ÜRETİM ÇIKIŞ")</f>
        <v>2068.94</v>
      </c>
      <c r="L204" s="5">
        <f>SUMIFS(KASA!$K:$K, KASA!$C:$C, $C204, KASA!$B:$B, "MAL SATIŞI") + SUMIFS(KASA!$K:$K, KASA!$C:$C, $C204, KASA!$B:$B, "ÜRETİM ÇIKIŞ")</f>
        <v>1401.6</v>
      </c>
      <c r="M204" s="5">
        <f t="shared" si="41"/>
        <v>3470.54</v>
      </c>
      <c r="N204" s="5">
        <f t="shared" si="42"/>
        <v>331.33999999999924</v>
      </c>
      <c r="O204" s="65">
        <f t="shared" si="43"/>
        <v>0.10554918450560626</v>
      </c>
      <c r="P204" s="5">
        <f t="shared" si="44"/>
        <v>994.99426605504561</v>
      </c>
      <c r="Q204" s="5">
        <f t="shared" si="45"/>
        <v>1.5119999999999991</v>
      </c>
      <c r="R204" s="5">
        <f t="shared" si="46"/>
        <v>1360.7999999999993</v>
      </c>
      <c r="S204" s="5">
        <f t="shared" si="47"/>
        <v>4500</v>
      </c>
      <c r="T204">
        <v>2.214</v>
      </c>
      <c r="U204" s="2">
        <f t="shared" si="48"/>
        <v>-0.70200000000000085</v>
      </c>
      <c r="V204">
        <f>SUMIF(KASA!$C$2:$C$9980, C204, KASA!$T$2:$T$9980)</f>
        <v>1.5119999999999991</v>
      </c>
      <c r="W204">
        <f>SUMIF(KASA!$C$2:$C$9980, C204, KASA!$U$2:$U$9980)</f>
        <v>1360.7999999999993</v>
      </c>
      <c r="X204" s="2">
        <f t="shared" si="49"/>
        <v>1.5119999999999991</v>
      </c>
      <c r="Y204" s="2">
        <f t="shared" si="50"/>
        <v>1360.7999999999993</v>
      </c>
      <c r="Z204">
        <f>SUMIF(KASA!$C$2:$C$9980, C204, KASA!$V$2:$V$9980)</f>
        <v>4500</v>
      </c>
      <c r="AA204">
        <f t="shared" si="51"/>
        <v>3139.2000000000007</v>
      </c>
    </row>
    <row r="205" spans="3:27" x14ac:dyDescent="0.25">
      <c r="C205" s="4" t="s">
        <v>249</v>
      </c>
      <c r="D205" s="5">
        <f>SUMIFS(KASA!$I:$I, KASA!$C:$C, $C205, KASA!$B:$B, "MAL ALIMI") + SUMIFS(KASA!$I:$I, KASA!$C:$C, $C205, KASA!$B:$B, "ÜRETİM GİRİŞ")</f>
        <v>3</v>
      </c>
      <c r="E205" s="5" cm="1">
        <f t="array" ref="E205">IFERROR(AVERAGE(IF((KASA!$C$2:$C$9980=$C205)*((KASA!$B$2:$B$9980="MAL ALIMI")+(KASA!$B$2:$B$9980="ÜRETİM GİRİŞ")),KASA!$J$2:$J$9980)),0)</f>
        <v>150.00001633333332</v>
      </c>
      <c r="F205" s="5">
        <f>SUMIFS(KASA!$I:$I, KASA!$C:$C, $C205, KASA!$B:$B, "MAL SATIŞI") + SUMIFS(KASA!$I:$I, KASA!$C:$C, $C205, KASA!$B:$B, "ÜRETİM ÇIKIŞ")</f>
        <v>1.6500000000000004</v>
      </c>
      <c r="G205" s="5">
        <f>SUMIFS(KASA!$I:$I, KASA!$C:$C, $C205, KASA!$B:$B, "MAL İADE")</f>
        <v>0</v>
      </c>
      <c r="H205" s="5">
        <f>SUMIFS(KASA!$K:$K, KASA!$C:$C, $C205, KASA!$B:$B, "MAL İADE") + SUMIFS(KASA!$Q:$Q, KASA!$C:$C, $C205, KASA!$B:$B, "MAL İADE")</f>
        <v>0</v>
      </c>
      <c r="I205" s="5">
        <f t="shared" si="39"/>
        <v>1.6500000000000004</v>
      </c>
      <c r="J205" s="5">
        <f t="shared" si="40"/>
        <v>247.50002695000003</v>
      </c>
      <c r="K205" s="5">
        <f>SUMIFS(KASA!$Q:$Q, KASA!$C:$C, $C205, KASA!$B:$B, "MAL SATIŞI") + SUMIFS(KASA!$Q:$Q, KASA!$C:$C, $C205, KASA!$B:$B, "ÜRETİM ÇIKIŞ")</f>
        <v>815</v>
      </c>
      <c r="L205" s="5">
        <f>SUMIFS(KASA!$K:$K, KASA!$C:$C, $C205, KASA!$B:$B, "MAL SATIŞI") + SUMIFS(KASA!$K:$K, KASA!$C:$C, $C205, KASA!$B:$B, "ÜRETİM ÇIKIŞ")</f>
        <v>630</v>
      </c>
      <c r="M205" s="5">
        <f t="shared" si="41"/>
        <v>1445</v>
      </c>
      <c r="N205" s="5">
        <f t="shared" si="42"/>
        <v>1197.4999730499999</v>
      </c>
      <c r="O205" s="65">
        <f t="shared" si="43"/>
        <v>4.8383832026487772</v>
      </c>
      <c r="P205" s="5">
        <f t="shared" si="44"/>
        <v>875.75757575757552</v>
      </c>
      <c r="Q205" s="5">
        <f t="shared" si="45"/>
        <v>1.3499999999999996</v>
      </c>
      <c r="R205" s="5">
        <f t="shared" si="46"/>
        <v>202.50002204999993</v>
      </c>
      <c r="S205" s="5">
        <f t="shared" si="47"/>
        <v>450.00004899999999</v>
      </c>
      <c r="T205">
        <v>0.6</v>
      </c>
      <c r="U205" s="2">
        <f t="shared" si="48"/>
        <v>0.74999999999999967</v>
      </c>
      <c r="V205">
        <f>SUMIF(KASA!$C$2:$C$9980, C205, KASA!$T$2:$T$9980)</f>
        <v>1.3499999999999996</v>
      </c>
      <c r="W205">
        <f>SUMIF(KASA!$C$2:$C$9980, C205, KASA!$U$2:$U$9980)</f>
        <v>202.50004899999996</v>
      </c>
      <c r="X205" s="2">
        <f t="shared" si="49"/>
        <v>1.3499999999999996</v>
      </c>
      <c r="Y205" s="2">
        <f t="shared" si="50"/>
        <v>202.50004899999996</v>
      </c>
      <c r="Z205">
        <f>SUMIF(KASA!$C$2:$C$9980, C205, KASA!$V$2:$V$9980)</f>
        <v>450.00004899999999</v>
      </c>
      <c r="AA205">
        <f t="shared" si="51"/>
        <v>247.50000000000003</v>
      </c>
    </row>
    <row r="206" spans="3:27" x14ac:dyDescent="0.25">
      <c r="C206" s="4" t="s">
        <v>250</v>
      </c>
      <c r="D206" s="5">
        <f>SUMIFS(KASA!$I:$I, KASA!$C:$C, $C206, KASA!$B:$B, "MAL ALIMI") + SUMIFS(KASA!$I:$I, KASA!$C:$C, $C206, KASA!$B:$B, "ÜRETİM GİRİŞ")</f>
        <v>5</v>
      </c>
      <c r="E206" s="5" cm="1">
        <f t="array" ref="E206">IFERROR(AVERAGE(IF((KASA!$C$2:$C$9980=$C206)*((KASA!$B$2:$B$9980="MAL ALIMI")+(KASA!$B$2:$B$9980="ÜRETİM GİRİŞ")),KASA!$J$2:$J$9980)),0)</f>
        <v>500</v>
      </c>
      <c r="F206" s="5">
        <f>SUMIFS(KASA!$I:$I, KASA!$C:$C, $C206, KASA!$B:$B, "MAL SATIŞI") + SUMIFS(KASA!$I:$I, KASA!$C:$C, $C206, KASA!$B:$B, "ÜRETİM ÇIKIŞ")</f>
        <v>0</v>
      </c>
      <c r="G206" s="5">
        <f>SUMIFS(KASA!$I:$I, KASA!$C:$C, $C206, KASA!$B:$B, "MAL İADE")</f>
        <v>5</v>
      </c>
      <c r="H206" s="5">
        <f>SUMIFS(KASA!$K:$K, KASA!$C:$C, $C206, KASA!$B:$B, "MAL İADE") + SUMIFS(KASA!$Q:$Q, KASA!$C:$C, $C206, KASA!$B:$B, "MAL İADE")</f>
        <v>2500</v>
      </c>
      <c r="I206" s="5">
        <f t="shared" si="39"/>
        <v>5</v>
      </c>
      <c r="J206" s="5">
        <f t="shared" si="40"/>
        <v>0</v>
      </c>
      <c r="K206" s="5">
        <f>SUMIFS(KASA!$Q:$Q, KASA!$C:$C, $C206, KASA!$B:$B, "MAL SATIŞI") + SUMIFS(KASA!$Q:$Q, KASA!$C:$C, $C206, KASA!$B:$B, "ÜRETİM ÇIKIŞ")</f>
        <v>0</v>
      </c>
      <c r="L206" s="5">
        <f>SUMIFS(KASA!$K:$K, KASA!$C:$C, $C206, KASA!$B:$B, "MAL SATIŞI") + SUMIFS(KASA!$K:$K, KASA!$C:$C, $C206, KASA!$B:$B, "ÜRETİM ÇIKIŞ")</f>
        <v>0</v>
      </c>
      <c r="M206" s="5">
        <f t="shared" si="41"/>
        <v>0</v>
      </c>
      <c r="N206" s="5">
        <f t="shared" si="42"/>
        <v>0</v>
      </c>
      <c r="O206" s="65">
        <f t="shared" si="43"/>
        <v>0</v>
      </c>
      <c r="P206" s="5" t="e">
        <f t="shared" si="44"/>
        <v>#DIV/0!</v>
      </c>
      <c r="Q206" s="5">
        <f t="shared" si="45"/>
        <v>0</v>
      </c>
      <c r="R206" s="5">
        <f t="shared" si="46"/>
        <v>0</v>
      </c>
      <c r="S206" s="5">
        <f t="shared" si="47"/>
        <v>2500</v>
      </c>
      <c r="T206">
        <v>0</v>
      </c>
      <c r="U206" s="2">
        <f t="shared" si="48"/>
        <v>0</v>
      </c>
      <c r="V206">
        <f>SUMIF(KASA!$C$2:$C$9980, C206, KASA!$T$2:$T$9980)</f>
        <v>5</v>
      </c>
      <c r="W206">
        <f>SUMIF(KASA!$C$2:$C$9980, C206, KASA!$U$2:$U$9980)</f>
        <v>2500</v>
      </c>
      <c r="X206" s="2">
        <f t="shared" si="49"/>
        <v>0</v>
      </c>
      <c r="Y206" s="2">
        <f t="shared" si="50"/>
        <v>0</v>
      </c>
      <c r="Z206">
        <f>SUMIF(KASA!$C$2:$C$9980, C206, KASA!$V$2:$V$9980)</f>
        <v>2500</v>
      </c>
      <c r="AA206">
        <f t="shared" si="51"/>
        <v>0</v>
      </c>
    </row>
    <row r="207" spans="3:27" x14ac:dyDescent="0.25">
      <c r="C207" s="4" t="s">
        <v>1502</v>
      </c>
      <c r="D207" s="5">
        <f>SUMIFS(KASA!$I:$I, KASA!$C:$C, $C207, KASA!$B:$B, "MAL ALIMI") + SUMIFS(KASA!$I:$I, KASA!$C:$C, $C207, KASA!$B:$B, "ÜRETİM GİRİŞ")</f>
        <v>1</v>
      </c>
      <c r="E207" s="5" cm="1">
        <f t="array" ref="E207">IFERROR(AVERAGE(IF((KASA!$C$2:$C$9980=$C207)*((KASA!$B$2:$B$9980="MAL ALIMI")+(KASA!$B$2:$B$9980="ÜRETİM GİRİŞ")),KASA!$J$2:$J$9980)),0)</f>
        <v>180</v>
      </c>
      <c r="F207" s="5">
        <f>SUMIFS(KASA!$I:$I, KASA!$C:$C, $C207, KASA!$B:$B, "MAL SATIŞI") + SUMIFS(KASA!$I:$I, KASA!$C:$C, $C207, KASA!$B:$B, "ÜRETİM ÇIKIŞ")</f>
        <v>0.1</v>
      </c>
      <c r="G207" s="5">
        <f>SUMIFS(KASA!$I:$I, KASA!$C:$C, $C207, KASA!$B:$B, "MAL İADE")</f>
        <v>0</v>
      </c>
      <c r="H207" s="5">
        <f>SUMIFS(KASA!$K:$K, KASA!$C:$C, $C207, KASA!$B:$B, "MAL İADE") + SUMIFS(KASA!$Q:$Q, KASA!$C:$C, $C207, KASA!$B:$B, "MAL İADE")</f>
        <v>0</v>
      </c>
      <c r="I207" s="5">
        <f t="shared" si="39"/>
        <v>0.1</v>
      </c>
      <c r="J207" s="5">
        <f t="shared" si="40"/>
        <v>18</v>
      </c>
      <c r="K207" s="5">
        <f>SUMIFS(KASA!$Q:$Q, KASA!$C:$C, $C207, KASA!$B:$B, "MAL SATIŞI") + SUMIFS(KASA!$Q:$Q, KASA!$C:$C, $C207, KASA!$B:$B, "ÜRETİM ÇIKIŞ")</f>
        <v>45</v>
      </c>
      <c r="L207" s="5">
        <f>SUMIFS(KASA!$K:$K, KASA!$C:$C, $C207, KASA!$B:$B, "MAL SATIŞI") + SUMIFS(KASA!$K:$K, KASA!$C:$C, $C207, KASA!$B:$B, "ÜRETİM ÇIKIŞ")</f>
        <v>45</v>
      </c>
      <c r="M207" s="5">
        <f t="shared" si="41"/>
        <v>90</v>
      </c>
      <c r="N207" s="5">
        <f t="shared" si="42"/>
        <v>72</v>
      </c>
      <c r="O207" s="65">
        <f t="shared" si="43"/>
        <v>4</v>
      </c>
      <c r="P207" s="5">
        <f t="shared" si="44"/>
        <v>900</v>
      </c>
      <c r="Q207" s="5">
        <f t="shared" si="45"/>
        <v>0.9</v>
      </c>
      <c r="R207" s="5">
        <f t="shared" si="46"/>
        <v>162</v>
      </c>
      <c r="S207" s="5">
        <f t="shared" si="47"/>
        <v>180</v>
      </c>
      <c r="T207">
        <v>0.9</v>
      </c>
      <c r="U207" s="2">
        <f t="shared" si="48"/>
        <v>0</v>
      </c>
      <c r="V207">
        <f>SUMIF(KASA!$C$2:$C$9980, C207, KASA!$T$2:$T$9980)</f>
        <v>0.9</v>
      </c>
      <c r="W207">
        <f>SUMIF(KASA!$C$2:$C$9980, C207, KASA!$U$2:$U$9980)</f>
        <v>162</v>
      </c>
      <c r="X207" s="2">
        <f t="shared" si="49"/>
        <v>0.9</v>
      </c>
      <c r="Y207" s="2">
        <f t="shared" si="50"/>
        <v>162</v>
      </c>
      <c r="Z207">
        <f>SUMIF(KASA!$C$2:$C$9980, C207, KASA!$V$2:$V$9980)</f>
        <v>180</v>
      </c>
      <c r="AA207">
        <f t="shared" si="51"/>
        <v>18</v>
      </c>
    </row>
    <row r="208" spans="3:27" x14ac:dyDescent="0.25">
      <c r="C208" s="4" t="s">
        <v>251</v>
      </c>
      <c r="D208" s="5">
        <f>SUMIFS(KASA!$I:$I, KASA!$C:$C, $C208, KASA!$B:$B, "MAL ALIMI") + SUMIFS(KASA!$I:$I, KASA!$C:$C, $C208, KASA!$B:$B, "ÜRETİM GİRİŞ")</f>
        <v>10</v>
      </c>
      <c r="E208" s="5" cm="1">
        <f t="array" ref="E208">IFERROR(AVERAGE(IF((KASA!$C$2:$C$9980=$C208)*((KASA!$B$2:$B$9980="MAL ALIMI")+(KASA!$B$2:$B$9980="ÜRETİM GİRİŞ")),KASA!$J$2:$J$9980)),0)</f>
        <v>455</v>
      </c>
      <c r="F208" s="5">
        <f>SUMIFS(KASA!$I:$I, KASA!$C:$C, $C208, KASA!$B:$B, "MAL SATIŞI") + SUMIFS(KASA!$I:$I, KASA!$C:$C, $C208, KASA!$B:$B, "ÜRETİM ÇIKIŞ")</f>
        <v>10.000955223880597</v>
      </c>
      <c r="G208" s="5">
        <f>SUMIFS(KASA!$I:$I, KASA!$C:$C, $C208, KASA!$B:$B, "MAL İADE")</f>
        <v>0</v>
      </c>
      <c r="H208" s="5">
        <f>SUMIFS(KASA!$K:$K, KASA!$C:$C, $C208, KASA!$B:$B, "MAL İADE") + SUMIFS(KASA!$Q:$Q, KASA!$C:$C, $C208, KASA!$B:$B, "MAL İADE")</f>
        <v>0</v>
      </c>
      <c r="I208" s="5">
        <f t="shared" si="39"/>
        <v>10.000955223880597</v>
      </c>
      <c r="J208" s="5">
        <f t="shared" si="40"/>
        <v>4550.4346268656718</v>
      </c>
      <c r="K208" s="5">
        <f>SUMIFS(KASA!$Q:$Q, KASA!$C:$C, $C208, KASA!$B:$B, "MAL SATIŞI") + SUMIFS(KASA!$Q:$Q, KASA!$C:$C, $C208, KASA!$B:$B, "ÜRETİM ÇIKIŞ")</f>
        <v>4337.4400000000005</v>
      </c>
      <c r="L208" s="5">
        <f>SUMIFS(KASA!$K:$K, KASA!$C:$C, $C208, KASA!$B:$B, "MAL SATIŞI") + SUMIFS(KASA!$K:$K, KASA!$C:$C, $C208, KASA!$B:$B, "ÜRETİM ÇIKIŞ")</f>
        <v>1973.4</v>
      </c>
      <c r="M208" s="5">
        <f t="shared" si="41"/>
        <v>6310.84</v>
      </c>
      <c r="N208" s="5">
        <f t="shared" si="42"/>
        <v>1760.4053731343283</v>
      </c>
      <c r="O208" s="65">
        <f t="shared" si="43"/>
        <v>0.38686532550999225</v>
      </c>
      <c r="P208" s="5">
        <f t="shared" si="44"/>
        <v>631.02372310704652</v>
      </c>
      <c r="Q208" s="5">
        <f t="shared" si="45"/>
        <v>-9.5522388059698926E-4</v>
      </c>
      <c r="R208" s="5">
        <f t="shared" si="46"/>
        <v>-0.43462686567163011</v>
      </c>
      <c r="S208" s="5">
        <f t="shared" si="47"/>
        <v>4550</v>
      </c>
      <c r="T208">
        <v>0</v>
      </c>
      <c r="U208" s="2">
        <f t="shared" si="48"/>
        <v>-9.5522388059698926E-4</v>
      </c>
      <c r="V208">
        <f>SUMIF(KASA!$C$2:$C$9980, C208, KASA!$T$2:$T$9980)</f>
        <v>0</v>
      </c>
      <c r="W208">
        <f>SUMIF(KASA!$C$2:$C$9980, C208, KASA!$U$2:$U$9980)</f>
        <v>0</v>
      </c>
      <c r="X208" s="2">
        <f t="shared" si="49"/>
        <v>0</v>
      </c>
      <c r="Y208" s="2">
        <f t="shared" si="50"/>
        <v>0</v>
      </c>
      <c r="Z208">
        <f>SUMIF(KASA!$C$2:$C$9980, C208, KASA!$V$2:$V$9980)</f>
        <v>4550</v>
      </c>
      <c r="AA208">
        <f t="shared" si="51"/>
        <v>4550</v>
      </c>
    </row>
    <row r="209" spans="3:27" x14ac:dyDescent="0.25">
      <c r="C209" s="4" t="s">
        <v>252</v>
      </c>
      <c r="D209" s="5">
        <f>SUMIFS(KASA!$I:$I, KASA!$C:$C, $C209, KASA!$B:$B, "MAL ALIMI") + SUMIFS(KASA!$I:$I, KASA!$C:$C, $C209, KASA!$B:$B, "ÜRETİM GİRİŞ")</f>
        <v>10</v>
      </c>
      <c r="E209" s="5" cm="1">
        <f t="array" ref="E209">IFERROR(AVERAGE(IF((KASA!$C$2:$C$9980=$C209)*((KASA!$B$2:$B$9980="MAL ALIMI")+(KASA!$B$2:$B$9980="ÜRETİM GİRİŞ")),KASA!$J$2:$J$9980)),0)</f>
        <v>107.5</v>
      </c>
      <c r="F209" s="5">
        <f>SUMIFS(KASA!$I:$I, KASA!$C:$C, $C209, KASA!$B:$B, "MAL SATIŞI") + SUMIFS(KASA!$I:$I, KASA!$C:$C, $C209, KASA!$B:$B, "ÜRETİM ÇIKIŞ")</f>
        <v>6.0030000000000001</v>
      </c>
      <c r="G209" s="5">
        <f>SUMIFS(KASA!$I:$I, KASA!$C:$C, $C209, KASA!$B:$B, "MAL İADE")</f>
        <v>0</v>
      </c>
      <c r="H209" s="5">
        <f>SUMIFS(KASA!$K:$K, KASA!$C:$C, $C209, KASA!$B:$B, "MAL İADE") + SUMIFS(KASA!$Q:$Q, KASA!$C:$C, $C209, KASA!$B:$B, "MAL İADE")</f>
        <v>0</v>
      </c>
      <c r="I209" s="5">
        <f t="shared" si="39"/>
        <v>6.0030000000000001</v>
      </c>
      <c r="J209" s="5">
        <f t="shared" si="40"/>
        <v>645.32249999999999</v>
      </c>
      <c r="K209" s="5">
        <f>SUMIFS(KASA!$Q:$Q, KASA!$C:$C, $C209, KASA!$B:$B, "MAL SATIŞI") + SUMIFS(KASA!$Q:$Q, KASA!$C:$C, $C209, KASA!$B:$B, "ÜRETİM ÇIKIŞ")</f>
        <v>750.16</v>
      </c>
      <c r="L209" s="5">
        <f>SUMIFS(KASA!$K:$K, KASA!$C:$C, $C209, KASA!$B:$B, "MAL SATIŞI") + SUMIFS(KASA!$K:$K, KASA!$C:$C, $C209, KASA!$B:$B, "ÜRETİM ÇIKIŞ")</f>
        <v>288.02</v>
      </c>
      <c r="M209" s="5">
        <f t="shared" si="41"/>
        <v>1038.1799999999998</v>
      </c>
      <c r="N209" s="5">
        <f t="shared" si="42"/>
        <v>392.85749999999985</v>
      </c>
      <c r="O209" s="65">
        <f t="shared" si="43"/>
        <v>0.60877700684541425</v>
      </c>
      <c r="P209" s="5">
        <f t="shared" si="44"/>
        <v>172.94352823588204</v>
      </c>
      <c r="Q209" s="5">
        <f t="shared" si="45"/>
        <v>3.9969999999999999</v>
      </c>
      <c r="R209" s="5">
        <f t="shared" si="46"/>
        <v>429.67750000000001</v>
      </c>
      <c r="S209" s="5">
        <f t="shared" si="47"/>
        <v>1075</v>
      </c>
      <c r="T209">
        <v>1</v>
      </c>
      <c r="U209" s="2">
        <f t="shared" si="48"/>
        <v>2.9969999999999999</v>
      </c>
      <c r="V209">
        <f>SUMIF(KASA!$C$2:$C$9980, C209, KASA!$T$2:$T$9980)</f>
        <v>3.9969999999999999</v>
      </c>
      <c r="W209">
        <f>SUMIF(KASA!$C$2:$C$9980, C209, KASA!$U$2:$U$9980)</f>
        <v>379.71499999999997</v>
      </c>
      <c r="X209" s="2">
        <f t="shared" si="49"/>
        <v>3.9969999999999999</v>
      </c>
      <c r="Y209" s="2">
        <f t="shared" si="50"/>
        <v>379.71499999999997</v>
      </c>
      <c r="Z209">
        <f>SUMIF(KASA!$C$2:$C$9980, C209, KASA!$V$2:$V$9980)</f>
        <v>1075</v>
      </c>
      <c r="AA209">
        <f t="shared" si="51"/>
        <v>695.28500000000008</v>
      </c>
    </row>
    <row r="210" spans="3:27" x14ac:dyDescent="0.25">
      <c r="C210" s="4" t="s">
        <v>253</v>
      </c>
      <c r="D210" s="5">
        <f>SUMIFS(KASA!$I:$I, KASA!$C:$C, $C210, KASA!$B:$B, "MAL ALIMI") + SUMIFS(KASA!$I:$I, KASA!$C:$C, $C210, KASA!$B:$B, "ÜRETİM GİRİŞ")</f>
        <v>23</v>
      </c>
      <c r="E210" s="5" cm="1">
        <f t="array" ref="E210">IFERROR(AVERAGE(IF((KASA!$C$2:$C$9980=$C210)*((KASA!$B$2:$B$9980="MAL ALIMI")+(KASA!$B$2:$B$9980="ÜRETİM GİRİŞ")),KASA!$J$2:$J$9980)),0)</f>
        <v>169.42750000000001</v>
      </c>
      <c r="F210" s="5">
        <f>SUMIFS(KASA!$I:$I, KASA!$C:$C, $C210, KASA!$B:$B, "MAL SATIŞI") + SUMIFS(KASA!$I:$I, KASA!$C:$C, $C210, KASA!$B:$B, "ÜRETİM ÇIKIŞ")</f>
        <v>11.498000000000001</v>
      </c>
      <c r="G210" s="5">
        <f>SUMIFS(KASA!$I:$I, KASA!$C:$C, $C210, KASA!$B:$B, "MAL İADE")</f>
        <v>0</v>
      </c>
      <c r="H210" s="5">
        <f>SUMIFS(KASA!$K:$K, KASA!$C:$C, $C210, KASA!$B:$B, "MAL İADE") + SUMIFS(KASA!$Q:$Q, KASA!$C:$C, $C210, KASA!$B:$B, "MAL İADE")</f>
        <v>0</v>
      </c>
      <c r="I210" s="5">
        <f t="shared" si="39"/>
        <v>11.498000000000001</v>
      </c>
      <c r="J210" s="5">
        <f t="shared" si="40"/>
        <v>1948.0773950000003</v>
      </c>
      <c r="K210" s="5">
        <f>SUMIFS(KASA!$Q:$Q, KASA!$C:$C, $C210, KASA!$B:$B, "MAL SATIŞI") + SUMIFS(KASA!$Q:$Q, KASA!$C:$C, $C210, KASA!$B:$B, "ÜRETİM ÇIKIŞ")</f>
        <v>1614.4433333333332</v>
      </c>
      <c r="L210" s="5">
        <f>SUMIFS(KASA!$K:$K, KASA!$C:$C, $C210, KASA!$B:$B, "MAL SATIŞI") + SUMIFS(KASA!$K:$K, KASA!$C:$C, $C210, KASA!$B:$B, "ÜRETİM ÇIKIŞ")</f>
        <v>1000.56</v>
      </c>
      <c r="M210" s="5">
        <f t="shared" si="41"/>
        <v>2615.0033333333331</v>
      </c>
      <c r="N210" s="5">
        <f t="shared" si="42"/>
        <v>666.92593833333285</v>
      </c>
      <c r="O210" s="65">
        <f t="shared" si="43"/>
        <v>0.34235084296193108</v>
      </c>
      <c r="P210" s="5">
        <f t="shared" si="44"/>
        <v>227.4311474459326</v>
      </c>
      <c r="Q210" s="5">
        <f t="shared" si="45"/>
        <v>11.501999999999999</v>
      </c>
      <c r="R210" s="5">
        <f t="shared" si="46"/>
        <v>1948.755105</v>
      </c>
      <c r="S210" s="5">
        <f t="shared" si="47"/>
        <v>3896.8325000000004</v>
      </c>
      <c r="T210">
        <v>1.46</v>
      </c>
      <c r="U210" s="2">
        <f t="shared" si="48"/>
        <v>10.041999999999998</v>
      </c>
      <c r="V210">
        <f>SUMIF(KASA!$C$2:$C$9980, C210, KASA!$T$2:$T$9980)</f>
        <v>11.501999999999999</v>
      </c>
      <c r="W210">
        <f>SUMIF(KASA!$C$2:$C$9980, C210, KASA!$U$2:$U$9980)</f>
        <v>1997.46</v>
      </c>
      <c r="X210" s="2">
        <f t="shared" si="49"/>
        <v>11.501999999999999</v>
      </c>
      <c r="Y210" s="2">
        <f t="shared" si="50"/>
        <v>1997.46</v>
      </c>
      <c r="Z210">
        <f>SUMIF(KASA!$C$2:$C$9980, C210, KASA!$V$2:$V$9980)</f>
        <v>3912.1000000000004</v>
      </c>
      <c r="AA210">
        <f t="shared" si="51"/>
        <v>1914.6400000000003</v>
      </c>
    </row>
    <row r="211" spans="3:27" x14ac:dyDescent="0.25">
      <c r="C211" s="4" t="s">
        <v>254</v>
      </c>
      <c r="D211" s="5">
        <f>SUMIFS(KASA!$I:$I, KASA!$C:$C, $C211, KASA!$B:$B, "MAL ALIMI") + SUMIFS(KASA!$I:$I, KASA!$C:$C, $C211, KASA!$B:$B, "ÜRETİM GİRİŞ")</f>
        <v>5</v>
      </c>
      <c r="E211" s="5" cm="1">
        <f t="array" ref="E211">IFERROR(AVERAGE(IF((KASA!$C$2:$C$9980=$C211)*((KASA!$B$2:$B$9980="MAL ALIMI")+(KASA!$B$2:$B$9980="ÜRETİM GİRİŞ")),KASA!$J$2:$J$9980)),0)</f>
        <v>115</v>
      </c>
      <c r="F211" s="5">
        <f>SUMIFS(KASA!$I:$I, KASA!$C:$C, $C211, KASA!$B:$B, "MAL SATIŞI") + SUMIFS(KASA!$I:$I, KASA!$C:$C, $C211, KASA!$B:$B, "ÜRETİM ÇIKIŞ")</f>
        <v>4.3363913043478259</v>
      </c>
      <c r="G211" s="5">
        <f>SUMIFS(KASA!$I:$I, KASA!$C:$C, $C211, KASA!$B:$B, "MAL İADE")</f>
        <v>0</v>
      </c>
      <c r="H211" s="5">
        <f>SUMIFS(KASA!$K:$K, KASA!$C:$C, $C211, KASA!$B:$B, "MAL İADE") + SUMIFS(KASA!$Q:$Q, KASA!$C:$C, $C211, KASA!$B:$B, "MAL İADE")</f>
        <v>0</v>
      </c>
      <c r="I211" s="5">
        <f t="shared" si="39"/>
        <v>4.3363913043478259</v>
      </c>
      <c r="J211" s="5">
        <f t="shared" si="40"/>
        <v>498.685</v>
      </c>
      <c r="K211" s="5">
        <f>SUMIFS(KASA!$Q:$Q, KASA!$C:$C, $C211, KASA!$B:$B, "MAL SATIŞI") + SUMIFS(KASA!$Q:$Q, KASA!$C:$C, $C211, KASA!$B:$B, "ÜRETİM ÇIKIŞ")</f>
        <v>689.93</v>
      </c>
      <c r="L211" s="5">
        <f>SUMIFS(KASA!$K:$K, KASA!$C:$C, $C211, KASA!$B:$B, "MAL SATIŞI") + SUMIFS(KASA!$K:$K, KASA!$C:$C, $C211, KASA!$B:$B, "ÜRETİM ÇIKIŞ")</f>
        <v>50.14</v>
      </c>
      <c r="M211" s="5">
        <f t="shared" si="41"/>
        <v>740.06999999999994</v>
      </c>
      <c r="N211" s="5">
        <f t="shared" si="42"/>
        <v>241.38499999999993</v>
      </c>
      <c r="O211" s="65">
        <f t="shared" si="43"/>
        <v>0.48404303317725605</v>
      </c>
      <c r="P211" s="5">
        <f t="shared" si="44"/>
        <v>170.66494881538446</v>
      </c>
      <c r="Q211" s="5">
        <f t="shared" si="45"/>
        <v>0.66360869565217406</v>
      </c>
      <c r="R211" s="5">
        <f t="shared" si="46"/>
        <v>76.315000000000012</v>
      </c>
      <c r="S211" s="5">
        <f t="shared" si="47"/>
        <v>575</v>
      </c>
      <c r="T211">
        <v>1.1000000000000001</v>
      </c>
      <c r="U211" s="2">
        <f t="shared" si="48"/>
        <v>-0.43639130434782603</v>
      </c>
      <c r="V211">
        <f>SUMIF(KASA!$C$2:$C$9980, C211, KASA!$T$2:$T$9980)</f>
        <v>0.66360869565217406</v>
      </c>
      <c r="W211">
        <f>SUMIF(KASA!$C$2:$C$9980, C211, KASA!$U$2:$U$9980)</f>
        <v>76.315000000000012</v>
      </c>
      <c r="X211" s="2">
        <f t="shared" si="49"/>
        <v>0.66360869565217406</v>
      </c>
      <c r="Y211" s="2">
        <f t="shared" si="50"/>
        <v>76.315000000000012</v>
      </c>
      <c r="Z211">
        <f>SUMIF(KASA!$C$2:$C$9980, C211, KASA!$V$2:$V$9980)</f>
        <v>575</v>
      </c>
      <c r="AA211">
        <f t="shared" si="51"/>
        <v>498.685</v>
      </c>
    </row>
    <row r="212" spans="3:27" x14ac:dyDescent="0.25">
      <c r="C212" s="4" t="s">
        <v>255</v>
      </c>
      <c r="D212" s="5">
        <f>SUMIFS(KASA!$I:$I, KASA!$C:$C, $C212, KASA!$B:$B, "MAL ALIMI") + SUMIFS(KASA!$I:$I, KASA!$C:$C, $C212, KASA!$B:$B, "ÜRETİM GİRİŞ")</f>
        <v>5</v>
      </c>
      <c r="E212" s="5" cm="1">
        <f t="array" ref="E212">IFERROR(AVERAGE(IF((KASA!$C$2:$C$9980=$C212)*((KASA!$B$2:$B$9980="MAL ALIMI")+(KASA!$B$2:$B$9980="ÜRETİM GİRİŞ")),KASA!$J$2:$J$9980)),0)</f>
        <v>150</v>
      </c>
      <c r="F212" s="5">
        <f>SUMIFS(KASA!$I:$I, KASA!$C:$C, $C212, KASA!$B:$B, "MAL SATIŞI") + SUMIFS(KASA!$I:$I, KASA!$C:$C, $C212, KASA!$B:$B, "ÜRETİM ÇIKIŞ")</f>
        <v>3</v>
      </c>
      <c r="G212" s="5">
        <f>SUMIFS(KASA!$I:$I, KASA!$C:$C, $C212, KASA!$B:$B, "MAL İADE")</f>
        <v>0</v>
      </c>
      <c r="H212" s="5">
        <f>SUMIFS(KASA!$K:$K, KASA!$C:$C, $C212, KASA!$B:$B, "MAL İADE") + SUMIFS(KASA!$Q:$Q, KASA!$C:$C, $C212, KASA!$B:$B, "MAL İADE")</f>
        <v>0</v>
      </c>
      <c r="I212" s="5">
        <f t="shared" si="39"/>
        <v>3</v>
      </c>
      <c r="J212" s="5">
        <f t="shared" si="40"/>
        <v>450</v>
      </c>
      <c r="K212" s="5">
        <f>SUMIFS(KASA!$Q:$Q, KASA!$C:$C, $C212, KASA!$B:$B, "MAL SATIŞI") + SUMIFS(KASA!$Q:$Q, KASA!$C:$C, $C212, KASA!$B:$B, "ÜRETİM ÇIKIŞ")</f>
        <v>423</v>
      </c>
      <c r="L212" s="5">
        <f>SUMIFS(KASA!$K:$K, KASA!$C:$C, $C212, KASA!$B:$B, "MAL SATIŞI") + SUMIFS(KASA!$K:$K, KASA!$C:$C, $C212, KASA!$B:$B, "ÜRETİM ÇIKIŞ")</f>
        <v>220</v>
      </c>
      <c r="M212" s="5">
        <f t="shared" si="41"/>
        <v>643</v>
      </c>
      <c r="N212" s="5">
        <f t="shared" si="42"/>
        <v>193</v>
      </c>
      <c r="O212" s="65">
        <f t="shared" si="43"/>
        <v>0.42888888888888888</v>
      </c>
      <c r="P212" s="5">
        <f t="shared" si="44"/>
        <v>214.33333333333334</v>
      </c>
      <c r="Q212" s="5">
        <f t="shared" si="45"/>
        <v>2</v>
      </c>
      <c r="R212" s="5">
        <f t="shared" si="46"/>
        <v>300</v>
      </c>
      <c r="S212" s="5">
        <f t="shared" si="47"/>
        <v>750</v>
      </c>
      <c r="T212">
        <v>4</v>
      </c>
      <c r="U212" s="2">
        <f t="shared" si="48"/>
        <v>-2</v>
      </c>
      <c r="V212">
        <f>SUMIF(KASA!$C$2:$C$9980, C212, KASA!$T$2:$T$9980)</f>
        <v>2</v>
      </c>
      <c r="W212">
        <f>SUMIF(KASA!$C$2:$C$9980, C212, KASA!$U$2:$U$9980)</f>
        <v>300</v>
      </c>
      <c r="X212" s="2">
        <f t="shared" si="49"/>
        <v>2</v>
      </c>
      <c r="Y212" s="2">
        <f t="shared" si="50"/>
        <v>300</v>
      </c>
      <c r="Z212">
        <f>SUMIF(KASA!$C$2:$C$9980, C212, KASA!$V$2:$V$9980)</f>
        <v>750</v>
      </c>
      <c r="AA212">
        <f t="shared" si="51"/>
        <v>450</v>
      </c>
    </row>
    <row r="213" spans="3:27" x14ac:dyDescent="0.25">
      <c r="C213" s="4" t="s">
        <v>256</v>
      </c>
      <c r="D213" s="5">
        <f>SUMIFS(KASA!$I:$I, KASA!$C:$C, $C213, KASA!$B:$B, "MAL ALIMI") + SUMIFS(KASA!$I:$I, KASA!$C:$C, $C213, KASA!$B:$B, "ÜRETİM GİRİŞ")</f>
        <v>17</v>
      </c>
      <c r="E213" s="5" cm="1">
        <f t="array" ref="E213">IFERROR(AVERAGE(IF((KASA!$C$2:$C$9980=$C213)*((KASA!$B$2:$B$9980="MAL ALIMI")+(KASA!$B$2:$B$9980="ÜRETİM GİRİŞ")),KASA!$J$2:$J$9980)),0)</f>
        <v>144.815</v>
      </c>
      <c r="F213" s="5">
        <f>SUMIFS(KASA!$I:$I, KASA!$C:$C, $C213, KASA!$B:$B, "MAL SATIŞI") + SUMIFS(KASA!$I:$I, KASA!$C:$C, $C213, KASA!$B:$B, "ÜRETİM ÇIKIŞ")</f>
        <v>13</v>
      </c>
      <c r="G213" s="5">
        <f>SUMIFS(KASA!$I:$I, KASA!$C:$C, $C213, KASA!$B:$B, "MAL İADE")</f>
        <v>0</v>
      </c>
      <c r="H213" s="5">
        <f>SUMIFS(KASA!$K:$K, KASA!$C:$C, $C213, KASA!$B:$B, "MAL İADE") + SUMIFS(KASA!$Q:$Q, KASA!$C:$C, $C213, KASA!$B:$B, "MAL İADE")</f>
        <v>0</v>
      </c>
      <c r="I213" s="5">
        <f t="shared" si="39"/>
        <v>13</v>
      </c>
      <c r="J213" s="5">
        <f t="shared" si="40"/>
        <v>1882.595</v>
      </c>
      <c r="K213" s="5">
        <f>SUMIFS(KASA!$Q:$Q, KASA!$C:$C, $C213, KASA!$B:$B, "MAL SATIŞI") + SUMIFS(KASA!$Q:$Q, KASA!$C:$C, $C213, KASA!$B:$B, "ÜRETİM ÇIKIŞ")</f>
        <v>2380</v>
      </c>
      <c r="L213" s="5">
        <f>SUMIFS(KASA!$K:$K, KASA!$C:$C, $C213, KASA!$B:$B, "MAL SATIŞI") + SUMIFS(KASA!$K:$K, KASA!$C:$C, $C213, KASA!$B:$B, "ÜRETİM ÇIKIŞ")</f>
        <v>410</v>
      </c>
      <c r="M213" s="5">
        <f t="shared" si="41"/>
        <v>2790</v>
      </c>
      <c r="N213" s="5">
        <f t="shared" si="42"/>
        <v>907.40499999999997</v>
      </c>
      <c r="O213" s="65">
        <f t="shared" si="43"/>
        <v>0.48199692445799547</v>
      </c>
      <c r="P213" s="5">
        <f t="shared" si="44"/>
        <v>214.61538461538461</v>
      </c>
      <c r="Q213" s="5">
        <f t="shared" si="45"/>
        <v>4</v>
      </c>
      <c r="R213" s="5">
        <f t="shared" si="46"/>
        <v>579.26</v>
      </c>
      <c r="S213" s="5">
        <f t="shared" si="47"/>
        <v>2461.855</v>
      </c>
      <c r="T213">
        <v>2</v>
      </c>
      <c r="U213" s="2">
        <f t="shared" si="48"/>
        <v>2</v>
      </c>
      <c r="V213">
        <f>SUMIF(KASA!$C$2:$C$9980, C213, KASA!$T$2:$T$9980)</f>
        <v>4</v>
      </c>
      <c r="W213">
        <f>SUMIF(KASA!$C$2:$C$9980, C213, KASA!$U$2:$U$9980)</f>
        <v>581.01</v>
      </c>
      <c r="X213" s="2">
        <f t="shared" si="49"/>
        <v>4</v>
      </c>
      <c r="Y213" s="2">
        <f t="shared" si="50"/>
        <v>581.01</v>
      </c>
      <c r="Z213">
        <f>SUMIF(KASA!$C$2:$C$9980, C213, KASA!$V$2:$V$9980)</f>
        <v>2487.7799999999997</v>
      </c>
      <c r="AA213">
        <f t="shared" si="51"/>
        <v>1906.7699999999998</v>
      </c>
    </row>
    <row r="214" spans="3:27" x14ac:dyDescent="0.25">
      <c r="C214" s="4" t="s">
        <v>257</v>
      </c>
      <c r="D214" s="5">
        <f>SUMIFS(KASA!$I:$I, KASA!$C:$C, $C214, KASA!$B:$B, "MAL ALIMI") + SUMIFS(KASA!$I:$I, KASA!$C:$C, $C214, KASA!$B:$B, "ÜRETİM GİRİŞ")</f>
        <v>8</v>
      </c>
      <c r="E214" s="5" cm="1">
        <f t="array" ref="E214">IFERROR(AVERAGE(IF((KASA!$C$2:$C$9980=$C214)*((KASA!$B$2:$B$9980="MAL ALIMI")+(KASA!$B$2:$B$9980="ÜRETİM GİRİŞ")),KASA!$J$2:$J$9980)),0)</f>
        <v>137.08500000000001</v>
      </c>
      <c r="F214" s="5">
        <f>SUMIFS(KASA!$I:$I, KASA!$C:$C, $C214, KASA!$B:$B, "MAL SATIŞI") + SUMIFS(KASA!$I:$I, KASA!$C:$C, $C214, KASA!$B:$B, "ÜRETİM ÇIKIŞ")</f>
        <v>7</v>
      </c>
      <c r="G214" s="5">
        <f>SUMIFS(KASA!$I:$I, KASA!$C:$C, $C214, KASA!$B:$B, "MAL İADE")</f>
        <v>0</v>
      </c>
      <c r="H214" s="5">
        <f>SUMIFS(KASA!$K:$K, KASA!$C:$C, $C214, KASA!$B:$B, "MAL İADE") + SUMIFS(KASA!$Q:$Q, KASA!$C:$C, $C214, KASA!$B:$B, "MAL İADE")</f>
        <v>0</v>
      </c>
      <c r="I214" s="5">
        <f t="shared" si="39"/>
        <v>7</v>
      </c>
      <c r="J214" s="5">
        <f t="shared" si="40"/>
        <v>959.59500000000003</v>
      </c>
      <c r="K214" s="5">
        <f>SUMIFS(KASA!$Q:$Q, KASA!$C:$C, $C214, KASA!$B:$B, "MAL SATIŞI") + SUMIFS(KASA!$Q:$Q, KASA!$C:$C, $C214, KASA!$B:$B, "ÜRETİM ÇIKIŞ")</f>
        <v>853</v>
      </c>
      <c r="L214" s="5">
        <f>SUMIFS(KASA!$K:$K, KASA!$C:$C, $C214, KASA!$B:$B, "MAL SATIŞI") + SUMIFS(KASA!$K:$K, KASA!$C:$C, $C214, KASA!$B:$B, "ÜRETİM ÇIKIŞ")</f>
        <v>600</v>
      </c>
      <c r="M214" s="5">
        <f t="shared" si="41"/>
        <v>1453</v>
      </c>
      <c r="N214" s="5">
        <f t="shared" si="42"/>
        <v>493.40499999999997</v>
      </c>
      <c r="O214" s="65">
        <f t="shared" si="43"/>
        <v>0.51418046154888253</v>
      </c>
      <c r="P214" s="5">
        <f t="shared" si="44"/>
        <v>207.57142857142858</v>
      </c>
      <c r="Q214" s="5">
        <f t="shared" si="45"/>
        <v>1</v>
      </c>
      <c r="R214" s="5">
        <f t="shared" si="46"/>
        <v>137.08500000000001</v>
      </c>
      <c r="S214" s="5">
        <f t="shared" si="47"/>
        <v>1096.68</v>
      </c>
      <c r="T214">
        <v>5</v>
      </c>
      <c r="U214" s="2">
        <f t="shared" si="48"/>
        <v>-4</v>
      </c>
      <c r="V214">
        <f>SUMIF(KASA!$C$2:$C$9980, C214, KASA!$T$2:$T$9980)</f>
        <v>1</v>
      </c>
      <c r="W214">
        <f>SUMIF(KASA!$C$2:$C$9980, C214, KASA!$U$2:$U$9980)</f>
        <v>124.17</v>
      </c>
      <c r="X214" s="2">
        <f t="shared" si="49"/>
        <v>1</v>
      </c>
      <c r="Y214" s="2">
        <f t="shared" si="50"/>
        <v>124.17</v>
      </c>
      <c r="Z214">
        <f>SUMIF(KASA!$C$2:$C$9980, C214, KASA!$V$2:$V$9980)</f>
        <v>1122.51</v>
      </c>
      <c r="AA214">
        <f t="shared" si="51"/>
        <v>998.34</v>
      </c>
    </row>
    <row r="215" spans="3:27" x14ac:dyDescent="0.25">
      <c r="C215" s="4" t="s">
        <v>258</v>
      </c>
      <c r="D215" s="5">
        <f>SUMIFS(KASA!$I:$I, KASA!$C:$C, $C215, KASA!$B:$B, "MAL ALIMI") + SUMIFS(KASA!$I:$I, KASA!$C:$C, $C215, KASA!$B:$B, "ÜRETİM GİRİŞ")</f>
        <v>5</v>
      </c>
      <c r="E215" s="5" cm="1">
        <f t="array" ref="E215">IFERROR(AVERAGE(IF((KASA!$C$2:$C$9980=$C215)*((KASA!$B$2:$B$9980="MAL ALIMI")+(KASA!$B$2:$B$9980="ÜRETİM GİRİŞ")),KASA!$J$2:$J$9980)),0)</f>
        <v>470</v>
      </c>
      <c r="F215" s="5">
        <f>SUMIFS(KASA!$I:$I, KASA!$C:$C, $C215, KASA!$B:$B, "MAL SATIŞI") + SUMIFS(KASA!$I:$I, KASA!$C:$C, $C215, KASA!$B:$B, "ÜRETİM ÇIKIŞ")</f>
        <v>1.6319999999999999</v>
      </c>
      <c r="G215" s="5">
        <f>SUMIFS(KASA!$I:$I, KASA!$C:$C, $C215, KASA!$B:$B, "MAL İADE")</f>
        <v>3.37</v>
      </c>
      <c r="H215" s="5">
        <f>SUMIFS(KASA!$K:$K, KASA!$C:$C, $C215, KASA!$B:$B, "MAL İADE") + SUMIFS(KASA!$Q:$Q, KASA!$C:$C, $C215, KASA!$B:$B, "MAL İADE")</f>
        <v>1583.4</v>
      </c>
      <c r="I215" s="5">
        <f t="shared" si="39"/>
        <v>5.0019999999999998</v>
      </c>
      <c r="J215" s="5">
        <f t="shared" si="40"/>
        <v>767.04</v>
      </c>
      <c r="K215" s="5">
        <f>SUMIFS(KASA!$Q:$Q, KASA!$C:$C, $C215, KASA!$B:$B, "MAL SATIŞI") + SUMIFS(KASA!$Q:$Q, KASA!$C:$C, $C215, KASA!$B:$B, "ÜRETİM ÇIKIŞ")</f>
        <v>921.34</v>
      </c>
      <c r="L215" s="5">
        <f>SUMIFS(KASA!$K:$K, KASA!$C:$C, $C215, KASA!$B:$B, "MAL SATIŞI") + SUMIFS(KASA!$K:$K, KASA!$C:$C, $C215, KASA!$B:$B, "ÜRETİM ÇIKIŞ")</f>
        <v>0</v>
      </c>
      <c r="M215" s="5">
        <f t="shared" si="41"/>
        <v>921.34</v>
      </c>
      <c r="N215" s="5">
        <f t="shared" si="42"/>
        <v>154.30000000000007</v>
      </c>
      <c r="O215" s="65">
        <f t="shared" si="43"/>
        <v>0.20116291197330005</v>
      </c>
      <c r="P215" s="5">
        <f t="shared" si="44"/>
        <v>564.54656862745105</v>
      </c>
      <c r="Q215" s="5">
        <f t="shared" si="45"/>
        <v>-1.9999999999997797E-3</v>
      </c>
      <c r="R215" s="5">
        <f t="shared" si="46"/>
        <v>-0.93999999999989647</v>
      </c>
      <c r="S215" s="5">
        <f t="shared" si="47"/>
        <v>2350</v>
      </c>
      <c r="T215">
        <v>0</v>
      </c>
      <c r="U215" s="2">
        <f t="shared" si="48"/>
        <v>-1.9999999999997797E-3</v>
      </c>
      <c r="V215">
        <f>SUMIF(KASA!$C$2:$C$9980, C215, KASA!$T$2:$T$9980)</f>
        <v>3.3680000000000003</v>
      </c>
      <c r="W215">
        <f>SUMIF(KASA!$C$2:$C$9980, C215, KASA!$U$2:$U$9980)</f>
        <v>1582.9600000000003</v>
      </c>
      <c r="X215" s="2">
        <f t="shared" si="49"/>
        <v>-1.9999999999997797E-3</v>
      </c>
      <c r="Y215" s="2">
        <f t="shared" si="50"/>
        <v>-0.4399999999998272</v>
      </c>
      <c r="Z215">
        <f>SUMIF(KASA!$C$2:$C$9980, C215, KASA!$V$2:$V$9980)</f>
        <v>2350</v>
      </c>
      <c r="AA215">
        <f t="shared" si="51"/>
        <v>767.03999999999974</v>
      </c>
    </row>
    <row r="216" spans="3:27" x14ac:dyDescent="0.25">
      <c r="C216" s="4" t="s">
        <v>259</v>
      </c>
      <c r="D216" s="5">
        <f>SUMIFS(KASA!$I:$I, KASA!$C:$C, $C216, KASA!$B:$B, "MAL ALIMI") + SUMIFS(KASA!$I:$I, KASA!$C:$C, $C216, KASA!$B:$B, "ÜRETİM GİRİŞ")</f>
        <v>12</v>
      </c>
      <c r="E216" s="5" cm="1">
        <f t="array" ref="E216">IFERROR(AVERAGE(IF((KASA!$C$2:$C$9980=$C216)*((KASA!$B$2:$B$9980="MAL ALIMI")+(KASA!$B$2:$B$9980="ÜRETİM GİRİŞ")),KASA!$J$2:$J$9980)),0)</f>
        <v>42</v>
      </c>
      <c r="F216" s="5">
        <f>SUMIFS(KASA!$I:$I, KASA!$C:$C, $C216, KASA!$B:$B, "MAL SATIŞI") + SUMIFS(KASA!$I:$I, KASA!$C:$C, $C216, KASA!$B:$B, "ÜRETİM ÇIKIŞ")</f>
        <v>6</v>
      </c>
      <c r="G216" s="5">
        <f>SUMIFS(KASA!$I:$I, KASA!$C:$C, $C216, KASA!$B:$B, "MAL İADE")</f>
        <v>0</v>
      </c>
      <c r="H216" s="5">
        <f>SUMIFS(KASA!$K:$K, KASA!$C:$C, $C216, KASA!$B:$B, "MAL İADE") + SUMIFS(KASA!$Q:$Q, KASA!$C:$C, $C216, KASA!$B:$B, "MAL İADE")</f>
        <v>0</v>
      </c>
      <c r="I216" s="5">
        <f t="shared" si="39"/>
        <v>6</v>
      </c>
      <c r="J216" s="5">
        <f t="shared" si="40"/>
        <v>252</v>
      </c>
      <c r="K216" s="5">
        <f>SUMIFS(KASA!$Q:$Q, KASA!$C:$C, $C216, KASA!$B:$B, "MAL SATIŞI") + SUMIFS(KASA!$Q:$Q, KASA!$C:$C, $C216, KASA!$B:$B, "ÜRETİM ÇIKIŞ")</f>
        <v>200</v>
      </c>
      <c r="L216" s="5">
        <f>SUMIFS(KASA!$K:$K, KASA!$C:$C, $C216, KASA!$B:$B, "MAL SATIŞI") + SUMIFS(KASA!$K:$K, KASA!$C:$C, $C216, KASA!$B:$B, "ÜRETİM ÇIKIŞ")</f>
        <v>400</v>
      </c>
      <c r="M216" s="5">
        <f t="shared" si="41"/>
        <v>600</v>
      </c>
      <c r="N216" s="5">
        <f t="shared" si="42"/>
        <v>348</v>
      </c>
      <c r="O216" s="65">
        <f t="shared" si="43"/>
        <v>1.3809523809523809</v>
      </c>
      <c r="P216" s="5">
        <f t="shared" si="44"/>
        <v>100</v>
      </c>
      <c r="Q216" s="5">
        <f t="shared" si="45"/>
        <v>6</v>
      </c>
      <c r="R216" s="5">
        <f t="shared" si="46"/>
        <v>252</v>
      </c>
      <c r="S216" s="5">
        <f t="shared" si="47"/>
        <v>504</v>
      </c>
      <c r="T216">
        <v>7</v>
      </c>
      <c r="U216" s="2">
        <f t="shared" si="48"/>
        <v>-1</v>
      </c>
      <c r="V216">
        <f>SUMIF(KASA!$C$2:$C$9980, C216, KASA!$T$2:$T$9980)</f>
        <v>6</v>
      </c>
      <c r="W216">
        <f>SUMIF(KASA!$C$2:$C$9980, C216, KASA!$U$2:$U$9980)</f>
        <v>252</v>
      </c>
      <c r="X216" s="2">
        <f t="shared" si="49"/>
        <v>6</v>
      </c>
      <c r="Y216" s="2">
        <f t="shared" si="50"/>
        <v>252</v>
      </c>
      <c r="Z216">
        <f>SUMIF(KASA!$C$2:$C$9980, C216, KASA!$V$2:$V$9980)</f>
        <v>504</v>
      </c>
      <c r="AA216">
        <f t="shared" si="51"/>
        <v>252</v>
      </c>
    </row>
    <row r="217" spans="3:27" x14ac:dyDescent="0.25">
      <c r="C217" s="4" t="s">
        <v>260</v>
      </c>
      <c r="D217" s="5">
        <f>SUMIFS(KASA!$I:$I, KASA!$C:$C, $C217, KASA!$B:$B, "MAL ALIMI") + SUMIFS(KASA!$I:$I, KASA!$C:$C, $C217, KASA!$B:$B, "ÜRETİM GİRİŞ")</f>
        <v>11</v>
      </c>
      <c r="E217" s="5" cm="1">
        <f t="array" ref="E217">IFERROR(AVERAGE(IF((KASA!$C$2:$C$9980=$C217)*((KASA!$B$2:$B$9980="MAL ALIMI")+(KASA!$B$2:$B$9980="ÜRETİM GİRİŞ")),KASA!$J$2:$J$9980)),0)</f>
        <v>90</v>
      </c>
      <c r="F217" s="5">
        <f>SUMIFS(KASA!$I:$I, KASA!$C:$C, $C217, KASA!$B:$B, "MAL SATIŞI") + SUMIFS(KASA!$I:$I, KASA!$C:$C, $C217, KASA!$B:$B, "ÜRETİM ÇIKIŞ")</f>
        <v>12</v>
      </c>
      <c r="G217" s="5">
        <f>SUMIFS(KASA!$I:$I, KASA!$C:$C, $C217, KASA!$B:$B, "MAL İADE")</f>
        <v>0</v>
      </c>
      <c r="H217" s="5">
        <f>SUMIFS(KASA!$K:$K, KASA!$C:$C, $C217, KASA!$B:$B, "MAL İADE") + SUMIFS(KASA!$Q:$Q, KASA!$C:$C, $C217, KASA!$B:$B, "MAL İADE")</f>
        <v>0</v>
      </c>
      <c r="I217" s="5">
        <f t="shared" si="39"/>
        <v>12</v>
      </c>
      <c r="J217" s="5">
        <f t="shared" si="40"/>
        <v>1080</v>
      </c>
      <c r="K217" s="5">
        <f>SUMIFS(KASA!$Q:$Q, KASA!$C:$C, $C217, KASA!$B:$B, "MAL SATIŞI") + SUMIFS(KASA!$Q:$Q, KASA!$C:$C, $C217, KASA!$B:$B, "ÜRETİM ÇIKIŞ")</f>
        <v>1290</v>
      </c>
      <c r="L217" s="5">
        <f>SUMIFS(KASA!$K:$K, KASA!$C:$C, $C217, KASA!$B:$B, "MAL SATIŞI") + SUMIFS(KASA!$K:$K, KASA!$C:$C, $C217, KASA!$B:$B, "ÜRETİM ÇIKIŞ")</f>
        <v>420</v>
      </c>
      <c r="M217" s="5">
        <f t="shared" si="41"/>
        <v>1710</v>
      </c>
      <c r="N217" s="5">
        <f t="shared" si="42"/>
        <v>630</v>
      </c>
      <c r="O217" s="65">
        <f t="shared" si="43"/>
        <v>0.58333333333333337</v>
      </c>
      <c r="P217" s="5">
        <f t="shared" si="44"/>
        <v>142.5</v>
      </c>
      <c r="Q217" s="5">
        <f t="shared" si="45"/>
        <v>-1</v>
      </c>
      <c r="R217" s="5">
        <f t="shared" si="46"/>
        <v>-90</v>
      </c>
      <c r="S217" s="5">
        <f t="shared" si="47"/>
        <v>990</v>
      </c>
      <c r="T217">
        <v>0</v>
      </c>
      <c r="U217" s="2">
        <f t="shared" si="48"/>
        <v>-1</v>
      </c>
      <c r="V217">
        <f>SUMIF(KASA!$C$2:$C$9980, C217, KASA!$T$2:$T$9980)</f>
        <v>0</v>
      </c>
      <c r="W217">
        <f>SUMIF(KASA!$C$2:$C$9980, C217, KASA!$U$2:$U$9980)</f>
        <v>0</v>
      </c>
      <c r="X217" s="2">
        <f t="shared" si="49"/>
        <v>0</v>
      </c>
      <c r="Y217" s="2">
        <f t="shared" si="50"/>
        <v>0</v>
      </c>
      <c r="Z217">
        <f>SUMIF(KASA!$C$2:$C$9980, C217, KASA!$V$2:$V$9980)</f>
        <v>990</v>
      </c>
      <c r="AA217">
        <f t="shared" si="51"/>
        <v>990</v>
      </c>
    </row>
    <row r="218" spans="3:27" x14ac:dyDescent="0.25">
      <c r="C218" s="4" t="s">
        <v>261</v>
      </c>
      <c r="D218" s="5">
        <f>SUMIFS(KASA!$I:$I, KASA!$C:$C, $C218, KASA!$B:$B, "MAL ALIMI") + SUMIFS(KASA!$I:$I, KASA!$C:$C, $C218, KASA!$B:$B, "ÜRETİM GİRİŞ")</f>
        <v>11</v>
      </c>
      <c r="E218" s="5" cm="1">
        <f t="array" ref="E218">IFERROR(AVERAGE(IF((KASA!$C$2:$C$9980=$C218)*((KASA!$B$2:$B$9980="MAL ALIMI")+(KASA!$B$2:$B$9980="ÜRETİM GİRİŞ")),KASA!$J$2:$J$9980)),0)</f>
        <v>105</v>
      </c>
      <c r="F218" s="5">
        <f>SUMIFS(KASA!$I:$I, KASA!$C:$C, $C218, KASA!$B:$B, "MAL SATIŞI") + SUMIFS(KASA!$I:$I, KASA!$C:$C, $C218, KASA!$B:$B, "ÜRETİM ÇIKIŞ")</f>
        <v>4</v>
      </c>
      <c r="G218" s="5">
        <f>SUMIFS(KASA!$I:$I, KASA!$C:$C, $C218, KASA!$B:$B, "MAL İADE")</f>
        <v>0</v>
      </c>
      <c r="H218" s="5">
        <f>SUMIFS(KASA!$K:$K, KASA!$C:$C, $C218, KASA!$B:$B, "MAL İADE") + SUMIFS(KASA!$Q:$Q, KASA!$C:$C, $C218, KASA!$B:$B, "MAL İADE")</f>
        <v>0</v>
      </c>
      <c r="I218" s="5">
        <f t="shared" si="39"/>
        <v>4</v>
      </c>
      <c r="J218" s="5">
        <f t="shared" si="40"/>
        <v>420</v>
      </c>
      <c r="K218" s="5">
        <f>SUMIFS(KASA!$Q:$Q, KASA!$C:$C, $C218, KASA!$B:$B, "MAL SATIŞI") + SUMIFS(KASA!$Q:$Q, KASA!$C:$C, $C218, KASA!$B:$B, "ÜRETİM ÇIKIŞ")</f>
        <v>150</v>
      </c>
      <c r="L218" s="5">
        <f>SUMIFS(KASA!$K:$K, KASA!$C:$C, $C218, KASA!$B:$B, "MAL SATIŞI") + SUMIFS(KASA!$K:$K, KASA!$C:$C, $C218, KASA!$B:$B, "ÜRETİM ÇIKIŞ")</f>
        <v>440</v>
      </c>
      <c r="M218" s="5">
        <f t="shared" si="41"/>
        <v>590</v>
      </c>
      <c r="N218" s="5">
        <f t="shared" si="42"/>
        <v>170</v>
      </c>
      <c r="O218" s="65">
        <f t="shared" si="43"/>
        <v>0.40476190476190477</v>
      </c>
      <c r="P218" s="5">
        <f t="shared" si="44"/>
        <v>147.5</v>
      </c>
      <c r="Q218" s="5">
        <f t="shared" si="45"/>
        <v>7</v>
      </c>
      <c r="R218" s="5">
        <f t="shared" si="46"/>
        <v>735</v>
      </c>
      <c r="S218" s="5">
        <f t="shared" si="47"/>
        <v>1155</v>
      </c>
      <c r="T218">
        <v>7</v>
      </c>
      <c r="U218" s="2">
        <f t="shared" si="48"/>
        <v>0</v>
      </c>
      <c r="V218">
        <f>SUMIF(KASA!$C$2:$C$9980, C218, KASA!$T$2:$T$9980)</f>
        <v>7</v>
      </c>
      <c r="W218">
        <f>SUMIF(KASA!$C$2:$C$9980, C218, KASA!$U$2:$U$9980)</f>
        <v>735</v>
      </c>
      <c r="X218" s="2">
        <f t="shared" si="49"/>
        <v>7</v>
      </c>
      <c r="Y218" s="2">
        <f t="shared" si="50"/>
        <v>735</v>
      </c>
      <c r="Z218">
        <f>SUMIF(KASA!$C$2:$C$9980, C218, KASA!$V$2:$V$9980)</f>
        <v>1155</v>
      </c>
      <c r="AA218">
        <f t="shared" si="51"/>
        <v>420</v>
      </c>
    </row>
    <row r="219" spans="3:27" x14ac:dyDescent="0.25">
      <c r="C219" s="4" t="s">
        <v>262</v>
      </c>
      <c r="D219" s="5">
        <f>SUMIFS(KASA!$I:$I, KASA!$C:$C, $C219, KASA!$B:$B, "MAL ALIMI") + SUMIFS(KASA!$I:$I, KASA!$C:$C, $C219, KASA!$B:$B, "ÜRETİM GİRİŞ")</f>
        <v>5</v>
      </c>
      <c r="E219" s="5" cm="1">
        <f t="array" ref="E219">IFERROR(AVERAGE(IF((KASA!$C$2:$C$9980=$C219)*((KASA!$B$2:$B$9980="MAL ALIMI")+(KASA!$B$2:$B$9980="ÜRETİM GİRİŞ")),KASA!$J$2:$J$9980)),0)</f>
        <v>90</v>
      </c>
      <c r="F219" s="5">
        <f>SUMIFS(KASA!$I:$I, KASA!$C:$C, $C219, KASA!$B:$B, "MAL SATIŞI") + SUMIFS(KASA!$I:$I, KASA!$C:$C, $C219, KASA!$B:$B, "ÜRETİM ÇIKIŞ")</f>
        <v>5</v>
      </c>
      <c r="G219" s="5">
        <f>SUMIFS(KASA!$I:$I, KASA!$C:$C, $C219, KASA!$B:$B, "MAL İADE")</f>
        <v>0</v>
      </c>
      <c r="H219" s="5">
        <f>SUMIFS(KASA!$K:$K, KASA!$C:$C, $C219, KASA!$B:$B, "MAL İADE") + SUMIFS(KASA!$Q:$Q, KASA!$C:$C, $C219, KASA!$B:$B, "MAL İADE")</f>
        <v>0</v>
      </c>
      <c r="I219" s="5">
        <f t="shared" si="39"/>
        <v>5</v>
      </c>
      <c r="J219" s="5">
        <f t="shared" si="40"/>
        <v>450</v>
      </c>
      <c r="K219" s="5">
        <f>SUMIFS(KASA!$Q:$Q, KASA!$C:$C, $C219, KASA!$B:$B, "MAL SATIŞI") + SUMIFS(KASA!$Q:$Q, KASA!$C:$C, $C219, KASA!$B:$B, "ÜRETİM ÇIKIŞ")</f>
        <v>580</v>
      </c>
      <c r="L219" s="5">
        <f>SUMIFS(KASA!$K:$K, KASA!$C:$C, $C219, KASA!$B:$B, "MAL SATIŞI") + SUMIFS(KASA!$K:$K, KASA!$C:$C, $C219, KASA!$B:$B, "ÜRETİM ÇIKIŞ")</f>
        <v>140</v>
      </c>
      <c r="M219" s="5">
        <f t="shared" si="41"/>
        <v>720</v>
      </c>
      <c r="N219" s="5">
        <f t="shared" si="42"/>
        <v>270</v>
      </c>
      <c r="O219" s="65">
        <f t="shared" si="43"/>
        <v>0.6</v>
      </c>
      <c r="P219" s="5">
        <f t="shared" si="44"/>
        <v>144</v>
      </c>
      <c r="Q219" s="5">
        <f t="shared" si="45"/>
        <v>0</v>
      </c>
      <c r="R219" s="5">
        <f t="shared" si="46"/>
        <v>0</v>
      </c>
      <c r="S219" s="5">
        <f t="shared" si="47"/>
        <v>450</v>
      </c>
      <c r="T219">
        <v>0</v>
      </c>
      <c r="U219" s="2">
        <f t="shared" si="48"/>
        <v>0</v>
      </c>
      <c r="V219">
        <f>SUMIF(KASA!$C$2:$C$9980, C219, KASA!$T$2:$T$9980)</f>
        <v>0</v>
      </c>
      <c r="W219">
        <f>SUMIF(KASA!$C$2:$C$9980, C219, KASA!$U$2:$U$9980)</f>
        <v>0</v>
      </c>
      <c r="X219" s="2">
        <f t="shared" si="49"/>
        <v>0</v>
      </c>
      <c r="Y219" s="2">
        <f t="shared" si="50"/>
        <v>0</v>
      </c>
      <c r="Z219">
        <f>SUMIF(KASA!$C$2:$C$9980, C219, KASA!$V$2:$V$9980)</f>
        <v>450</v>
      </c>
      <c r="AA219">
        <f t="shared" si="51"/>
        <v>450</v>
      </c>
    </row>
    <row r="220" spans="3:27" x14ac:dyDescent="0.25">
      <c r="C220" s="4" t="s">
        <v>263</v>
      </c>
      <c r="D220" s="5">
        <f>SUMIFS(KASA!$I:$I, KASA!$C:$C, $C220, KASA!$B:$B, "MAL ALIMI") + SUMIFS(KASA!$I:$I, KASA!$C:$C, $C220, KASA!$B:$B, "ÜRETİM GİRİŞ")</f>
        <v>5</v>
      </c>
      <c r="E220" s="5" cm="1">
        <f t="array" ref="E220">IFERROR(AVERAGE(IF((KASA!$C$2:$C$9980=$C220)*((KASA!$B$2:$B$9980="MAL ALIMI")+(KASA!$B$2:$B$9980="ÜRETİM GİRİŞ")),KASA!$J$2:$J$9980)),0)</f>
        <v>105</v>
      </c>
      <c r="F220" s="5">
        <f>SUMIFS(KASA!$I:$I, KASA!$C:$C, $C220, KASA!$B:$B, "MAL SATIŞI") + SUMIFS(KASA!$I:$I, KASA!$C:$C, $C220, KASA!$B:$B, "ÜRETİM ÇIKIŞ")</f>
        <v>1</v>
      </c>
      <c r="G220" s="5">
        <f>SUMIFS(KASA!$I:$I, KASA!$C:$C, $C220, KASA!$B:$B, "MAL İADE")</f>
        <v>0</v>
      </c>
      <c r="H220" s="5">
        <f>SUMIFS(KASA!$K:$K, KASA!$C:$C, $C220, KASA!$B:$B, "MAL İADE") + SUMIFS(KASA!$Q:$Q, KASA!$C:$C, $C220, KASA!$B:$B, "MAL İADE")</f>
        <v>0</v>
      </c>
      <c r="I220" s="5">
        <f t="shared" si="39"/>
        <v>1</v>
      </c>
      <c r="J220" s="5">
        <f t="shared" si="40"/>
        <v>105</v>
      </c>
      <c r="K220" s="5">
        <f>SUMIFS(KASA!$Q:$Q, KASA!$C:$C, $C220, KASA!$B:$B, "MAL SATIŞI") + SUMIFS(KASA!$Q:$Q, KASA!$C:$C, $C220, KASA!$B:$B, "ÜRETİM ÇIKIŞ")</f>
        <v>0</v>
      </c>
      <c r="L220" s="5">
        <f>SUMIFS(KASA!$K:$K, KASA!$C:$C, $C220, KASA!$B:$B, "MAL SATIŞI") + SUMIFS(KASA!$K:$K, KASA!$C:$C, $C220, KASA!$B:$B, "ÜRETİM ÇIKIŞ")</f>
        <v>140</v>
      </c>
      <c r="M220" s="5">
        <f t="shared" si="41"/>
        <v>140</v>
      </c>
      <c r="N220" s="5">
        <f t="shared" si="42"/>
        <v>35</v>
      </c>
      <c r="O220" s="65">
        <f t="shared" si="43"/>
        <v>0.33333333333333331</v>
      </c>
      <c r="P220" s="5">
        <f t="shared" si="44"/>
        <v>140</v>
      </c>
      <c r="Q220" s="5">
        <f t="shared" si="45"/>
        <v>4</v>
      </c>
      <c r="R220" s="5">
        <f t="shared" si="46"/>
        <v>420</v>
      </c>
      <c r="S220" s="5">
        <f t="shared" si="47"/>
        <v>525</v>
      </c>
      <c r="T220">
        <v>4</v>
      </c>
      <c r="U220" s="2">
        <f t="shared" si="48"/>
        <v>0</v>
      </c>
      <c r="V220">
        <f>SUMIF(KASA!$C$2:$C$9980, C220, KASA!$T$2:$T$9980)</f>
        <v>4</v>
      </c>
      <c r="W220">
        <f>SUMIF(KASA!$C$2:$C$9980, C220, KASA!$U$2:$U$9980)</f>
        <v>420</v>
      </c>
      <c r="X220" s="2">
        <f t="shared" si="49"/>
        <v>4</v>
      </c>
      <c r="Y220" s="2">
        <f t="shared" si="50"/>
        <v>420</v>
      </c>
      <c r="Z220">
        <f>SUMIF(KASA!$C$2:$C$9980, C220, KASA!$V$2:$V$9980)</f>
        <v>525</v>
      </c>
      <c r="AA220">
        <f t="shared" si="51"/>
        <v>105</v>
      </c>
    </row>
    <row r="221" spans="3:27" x14ac:dyDescent="0.25">
      <c r="C221" s="4" t="s">
        <v>264</v>
      </c>
      <c r="D221" s="5">
        <f>SUMIFS(KASA!$I:$I, KASA!$C:$C, $C221, KASA!$B:$B, "MAL ALIMI") + SUMIFS(KASA!$I:$I, KASA!$C:$C, $C221, KASA!$B:$B, "ÜRETİM GİRİŞ")</f>
        <v>10</v>
      </c>
      <c r="E221" s="5" cm="1">
        <f t="array" ref="E221">IFERROR(AVERAGE(IF((KASA!$C$2:$C$9980=$C221)*((KASA!$B$2:$B$9980="MAL ALIMI")+(KASA!$B$2:$B$9980="ÜRETİM GİRİŞ")),KASA!$J$2:$J$9980)),0)</f>
        <v>92.5</v>
      </c>
      <c r="F221" s="5">
        <f>SUMIFS(KASA!$I:$I, KASA!$C:$C, $C221, KASA!$B:$B, "MAL SATIŞI") + SUMIFS(KASA!$I:$I, KASA!$C:$C, $C221, KASA!$B:$B, "ÜRETİM ÇIKIŞ")</f>
        <v>5</v>
      </c>
      <c r="G221" s="5">
        <f>SUMIFS(KASA!$I:$I, KASA!$C:$C, $C221, KASA!$B:$B, "MAL İADE")</f>
        <v>0</v>
      </c>
      <c r="H221" s="5">
        <f>SUMIFS(KASA!$K:$K, KASA!$C:$C, $C221, KASA!$B:$B, "MAL İADE") + SUMIFS(KASA!$Q:$Q, KASA!$C:$C, $C221, KASA!$B:$B, "MAL İADE")</f>
        <v>0</v>
      </c>
      <c r="I221" s="5">
        <f t="shared" si="39"/>
        <v>5</v>
      </c>
      <c r="J221" s="5">
        <f t="shared" si="40"/>
        <v>462.5</v>
      </c>
      <c r="K221" s="5">
        <f>SUMIFS(KASA!$Q:$Q, KASA!$C:$C, $C221, KASA!$B:$B, "MAL SATIŞI") + SUMIFS(KASA!$Q:$Q, KASA!$C:$C, $C221, KASA!$B:$B, "ÜRETİM ÇIKIŞ")</f>
        <v>140</v>
      </c>
      <c r="L221" s="5">
        <f>SUMIFS(KASA!$K:$K, KASA!$C:$C, $C221, KASA!$B:$B, "MAL SATIŞI") + SUMIFS(KASA!$K:$K, KASA!$C:$C, $C221, KASA!$B:$B, "ÜRETİM ÇIKIŞ")</f>
        <v>570</v>
      </c>
      <c r="M221" s="5">
        <f t="shared" si="41"/>
        <v>710</v>
      </c>
      <c r="N221" s="5">
        <f t="shared" si="42"/>
        <v>247.5</v>
      </c>
      <c r="O221" s="65">
        <f t="shared" si="43"/>
        <v>0.53513513513513511</v>
      </c>
      <c r="P221" s="5">
        <f t="shared" si="44"/>
        <v>142</v>
      </c>
      <c r="Q221" s="5">
        <f t="shared" si="45"/>
        <v>5</v>
      </c>
      <c r="R221" s="5">
        <f t="shared" si="46"/>
        <v>462.5</v>
      </c>
      <c r="S221" s="5">
        <f t="shared" si="47"/>
        <v>925</v>
      </c>
      <c r="T221">
        <v>3</v>
      </c>
      <c r="U221" s="2">
        <f t="shared" si="48"/>
        <v>2</v>
      </c>
      <c r="V221">
        <f>SUMIF(KASA!$C$2:$C$9980, C221, KASA!$T$2:$T$9980)</f>
        <v>5</v>
      </c>
      <c r="W221">
        <f>SUMIF(KASA!$C$2:$C$9980, C221, KASA!$U$2:$U$9980)</f>
        <v>475</v>
      </c>
      <c r="X221" s="2">
        <f t="shared" si="49"/>
        <v>5</v>
      </c>
      <c r="Y221" s="2">
        <f t="shared" si="50"/>
        <v>475</v>
      </c>
      <c r="Z221">
        <f>SUMIF(KASA!$C$2:$C$9980, C221, KASA!$V$2:$V$9980)</f>
        <v>925</v>
      </c>
      <c r="AA221">
        <f t="shared" si="51"/>
        <v>450</v>
      </c>
    </row>
    <row r="222" spans="3:27" x14ac:dyDescent="0.25">
      <c r="C222" s="4" t="s">
        <v>265</v>
      </c>
      <c r="D222" s="5">
        <f>SUMIFS(KASA!$I:$I, KASA!$C:$C, $C222, KASA!$B:$B, "MAL ALIMI") + SUMIFS(KASA!$I:$I, KASA!$C:$C, $C222, KASA!$B:$B, "ÜRETİM GİRİŞ")</f>
        <v>35</v>
      </c>
      <c r="E222" s="5" cm="1">
        <f t="array" ref="E222">IFERROR(AVERAGE(IF((KASA!$C$2:$C$9980=$C222)*((KASA!$B$2:$B$9980="MAL ALIMI")+(KASA!$B$2:$B$9980="ÜRETİM GİRİŞ")),KASA!$J$2:$J$9980)),0)</f>
        <v>48</v>
      </c>
      <c r="F222" s="5">
        <f>SUMIFS(KASA!$I:$I, KASA!$C:$C, $C222, KASA!$B:$B, "MAL SATIŞI") + SUMIFS(KASA!$I:$I, KASA!$C:$C, $C222, KASA!$B:$B, "ÜRETİM ÇIKIŞ")</f>
        <v>27</v>
      </c>
      <c r="G222" s="5">
        <f>SUMIFS(KASA!$I:$I, KASA!$C:$C, $C222, KASA!$B:$B, "MAL İADE")</f>
        <v>0</v>
      </c>
      <c r="H222" s="5">
        <f>SUMIFS(KASA!$K:$K, KASA!$C:$C, $C222, KASA!$B:$B, "MAL İADE") + SUMIFS(KASA!$Q:$Q, KASA!$C:$C, $C222, KASA!$B:$B, "MAL İADE")</f>
        <v>0</v>
      </c>
      <c r="I222" s="5">
        <f t="shared" si="39"/>
        <v>27</v>
      </c>
      <c r="J222" s="5">
        <f t="shared" si="40"/>
        <v>1296</v>
      </c>
      <c r="K222" s="5">
        <f>SUMIFS(KASA!$Q:$Q, KASA!$C:$C, $C222, KASA!$B:$B, "MAL SATIŞI") + SUMIFS(KASA!$Q:$Q, KASA!$C:$C, $C222, KASA!$B:$B, "ÜRETİM ÇIKIŞ")</f>
        <v>1720</v>
      </c>
      <c r="L222" s="5">
        <f>SUMIFS(KASA!$K:$K, KASA!$C:$C, $C222, KASA!$B:$B, "MAL SATIŞI") + SUMIFS(KASA!$K:$K, KASA!$C:$C, $C222, KASA!$B:$B, "ÜRETİM ÇIKIŞ")</f>
        <v>1800</v>
      </c>
      <c r="M222" s="5">
        <f t="shared" si="41"/>
        <v>3520</v>
      </c>
      <c r="N222" s="5">
        <f t="shared" si="42"/>
        <v>2224</v>
      </c>
      <c r="O222" s="65">
        <f t="shared" si="43"/>
        <v>1.7160493827160495</v>
      </c>
      <c r="P222" s="5">
        <f t="shared" si="44"/>
        <v>130.37037037037038</v>
      </c>
      <c r="Q222" s="5">
        <f t="shared" si="45"/>
        <v>8</v>
      </c>
      <c r="R222" s="5">
        <f t="shared" si="46"/>
        <v>384</v>
      </c>
      <c r="S222" s="5">
        <f t="shared" si="47"/>
        <v>1680</v>
      </c>
      <c r="T222">
        <v>10</v>
      </c>
      <c r="U222" s="2">
        <f t="shared" si="48"/>
        <v>-2</v>
      </c>
      <c r="V222">
        <f>SUMIF(KASA!$C$2:$C$9980, C222, KASA!$T$2:$T$9980)</f>
        <v>8</v>
      </c>
      <c r="W222">
        <f>SUMIF(KASA!$C$2:$C$9980, C222, KASA!$U$2:$U$9980)</f>
        <v>384</v>
      </c>
      <c r="X222" s="2">
        <f t="shared" si="49"/>
        <v>8</v>
      </c>
      <c r="Y222" s="2">
        <f t="shared" si="50"/>
        <v>384</v>
      </c>
      <c r="Z222">
        <f>SUMIF(KASA!$C$2:$C$9980, C222, KASA!$V$2:$V$9980)</f>
        <v>1680</v>
      </c>
      <c r="AA222">
        <f t="shared" si="51"/>
        <v>1296</v>
      </c>
    </row>
    <row r="223" spans="3:27" x14ac:dyDescent="0.25">
      <c r="C223" s="4" t="s">
        <v>266</v>
      </c>
      <c r="D223" s="5">
        <f>SUMIFS(KASA!$I:$I, KASA!$C:$C, $C223, KASA!$B:$B, "MAL ALIMI") + SUMIFS(KASA!$I:$I, KASA!$C:$C, $C223, KASA!$B:$B, "ÜRETİM GİRİŞ")</f>
        <v>35.448</v>
      </c>
      <c r="E223" s="5" cm="1">
        <f t="array" ref="E223">IFERROR(AVERAGE(IF((KASA!$C$2:$C$9980=$C223)*((KASA!$B$2:$B$9980="MAL ALIMI")+(KASA!$B$2:$B$9980="ÜRETİM GİRİŞ")),KASA!$J$2:$J$9980)),0)</f>
        <v>175.16249999999999</v>
      </c>
      <c r="F223" s="5">
        <f>SUMIFS(KASA!$I:$I, KASA!$C:$C, $C223, KASA!$B:$B, "MAL SATIŞI") + SUMIFS(KASA!$I:$I, KASA!$C:$C, $C223, KASA!$B:$B, "ÜRETİM ÇIKIŞ")</f>
        <v>30.305</v>
      </c>
      <c r="G223" s="5">
        <f>SUMIFS(KASA!$I:$I, KASA!$C:$C, $C223, KASA!$B:$B, "MAL İADE")</f>
        <v>0</v>
      </c>
      <c r="H223" s="5">
        <f>SUMIFS(KASA!$K:$K, KASA!$C:$C, $C223, KASA!$B:$B, "MAL İADE") + SUMIFS(KASA!$Q:$Q, KASA!$C:$C, $C223, KASA!$B:$B, "MAL İADE")</f>
        <v>0</v>
      </c>
      <c r="I223" s="5">
        <f t="shared" si="39"/>
        <v>30.305</v>
      </c>
      <c r="J223" s="5">
        <f t="shared" si="40"/>
        <v>5308.2995624999994</v>
      </c>
      <c r="K223" s="5">
        <f>SUMIFS(KASA!$Q:$Q, KASA!$C:$C, $C223, KASA!$B:$B, "MAL SATIŞI") + SUMIFS(KASA!$Q:$Q, KASA!$C:$C, $C223, KASA!$B:$B, "ÜRETİM ÇIKIŞ")</f>
        <v>4555.93</v>
      </c>
      <c r="L223" s="5">
        <f>SUMIFS(KASA!$K:$K, KASA!$C:$C, $C223, KASA!$B:$B, "MAL SATIŞI") + SUMIFS(KASA!$K:$K, KASA!$C:$C, $C223, KASA!$B:$B, "ÜRETİM ÇIKIŞ")</f>
        <v>2901.828</v>
      </c>
      <c r="M223" s="5">
        <f t="shared" si="41"/>
        <v>7457.7579999999998</v>
      </c>
      <c r="N223" s="5">
        <f t="shared" si="42"/>
        <v>2149.4584375000004</v>
      </c>
      <c r="O223" s="65">
        <f t="shared" si="43"/>
        <v>0.40492410275498664</v>
      </c>
      <c r="P223" s="5">
        <f t="shared" si="44"/>
        <v>246.09001814882032</v>
      </c>
      <c r="Q223" s="5">
        <f t="shared" si="45"/>
        <v>5.1430000000000007</v>
      </c>
      <c r="R223" s="5">
        <f t="shared" si="46"/>
        <v>900.86073750000014</v>
      </c>
      <c r="S223" s="5">
        <f t="shared" si="47"/>
        <v>6209.1602999999996</v>
      </c>
      <c r="T223">
        <v>8.1059999999999999</v>
      </c>
      <c r="U223" s="2">
        <f t="shared" si="48"/>
        <v>-2.9629999999999992</v>
      </c>
      <c r="V223">
        <f>SUMIF(KASA!$C$2:$C$9980, C223, KASA!$T$2:$T$9980)</f>
        <v>5.1430000000000007</v>
      </c>
      <c r="W223">
        <f>SUMIF(KASA!$C$2:$C$9980, C223, KASA!$U$2:$U$9980)</f>
        <v>925.99740000000008</v>
      </c>
      <c r="X223" s="2">
        <f t="shared" si="49"/>
        <v>5.1430000000000007</v>
      </c>
      <c r="Y223" s="2">
        <f t="shared" si="50"/>
        <v>925.99740000000008</v>
      </c>
      <c r="Z223">
        <f>SUMIF(KASA!$C$2:$C$9980, C223, KASA!$V$2:$V$9980)</f>
        <v>6143.8959999999997</v>
      </c>
      <c r="AA223">
        <f t="shared" si="51"/>
        <v>5217.8985999999995</v>
      </c>
    </row>
    <row r="224" spans="3:27" x14ac:dyDescent="0.25">
      <c r="C224" s="4" t="s">
        <v>267</v>
      </c>
      <c r="D224" s="5">
        <f>SUMIFS(KASA!$I:$I, KASA!$C:$C, $C224, KASA!$B:$B, "MAL ALIMI") + SUMIFS(KASA!$I:$I, KASA!$C:$C, $C224, KASA!$B:$B, "ÜRETİM GİRİŞ")</f>
        <v>13</v>
      </c>
      <c r="E224" s="5" cm="1">
        <f t="array" ref="E224">IFERROR(AVERAGE(IF((KASA!$C$2:$C$9980=$C224)*((KASA!$B$2:$B$9980="MAL ALIMI")+(KASA!$B$2:$B$9980="ÜRETİM GİRİŞ")),KASA!$J$2:$J$9980)),0)</f>
        <v>110</v>
      </c>
      <c r="F224" s="5">
        <f>SUMIFS(KASA!$I:$I, KASA!$C:$C, $C224, KASA!$B:$B, "MAL SATIŞI") + SUMIFS(KASA!$I:$I, KASA!$C:$C, $C224, KASA!$B:$B, "ÜRETİM ÇIKIŞ")</f>
        <v>11</v>
      </c>
      <c r="G224" s="5">
        <f>SUMIFS(KASA!$I:$I, KASA!$C:$C, $C224, KASA!$B:$B, "MAL İADE")</f>
        <v>0</v>
      </c>
      <c r="H224" s="5">
        <f>SUMIFS(KASA!$K:$K, KASA!$C:$C, $C224, KASA!$B:$B, "MAL İADE") + SUMIFS(KASA!$Q:$Q, KASA!$C:$C, $C224, KASA!$B:$B, "MAL İADE")</f>
        <v>0</v>
      </c>
      <c r="I224" s="5">
        <f t="shared" si="39"/>
        <v>11</v>
      </c>
      <c r="J224" s="5">
        <f t="shared" si="40"/>
        <v>1210</v>
      </c>
      <c r="K224" s="5">
        <f>SUMIFS(KASA!$Q:$Q, KASA!$C:$C, $C224, KASA!$B:$B, "MAL SATIŞI") + SUMIFS(KASA!$Q:$Q, KASA!$C:$C, $C224, KASA!$B:$B, "ÜRETİM ÇIKIŞ")</f>
        <v>1850</v>
      </c>
      <c r="L224" s="5">
        <f>SUMIFS(KASA!$K:$K, KASA!$C:$C, $C224, KASA!$B:$B, "MAL SATIŞI") + SUMIFS(KASA!$K:$K, KASA!$C:$C, $C224, KASA!$B:$B, "ÜRETİM ÇIKIŞ")</f>
        <v>190</v>
      </c>
      <c r="M224" s="5">
        <f t="shared" si="41"/>
        <v>2040</v>
      </c>
      <c r="N224" s="5">
        <f t="shared" si="42"/>
        <v>830</v>
      </c>
      <c r="O224" s="65">
        <f t="shared" si="43"/>
        <v>0.68595041322314054</v>
      </c>
      <c r="P224" s="5">
        <f t="shared" si="44"/>
        <v>185.45454545454547</v>
      </c>
      <c r="Q224" s="5">
        <f t="shared" si="45"/>
        <v>2</v>
      </c>
      <c r="R224" s="5">
        <f t="shared" si="46"/>
        <v>220</v>
      </c>
      <c r="S224" s="5">
        <f t="shared" si="47"/>
        <v>1430</v>
      </c>
      <c r="T224">
        <v>4</v>
      </c>
      <c r="U224" s="2">
        <f t="shared" si="48"/>
        <v>-2</v>
      </c>
      <c r="V224">
        <f>SUMIF(KASA!$C$2:$C$9980, C224, KASA!$T$2:$T$9980)</f>
        <v>2</v>
      </c>
      <c r="W224">
        <f>SUMIF(KASA!$C$2:$C$9980, C224, KASA!$U$2:$U$9980)</f>
        <v>220</v>
      </c>
      <c r="X224" s="2">
        <f t="shared" si="49"/>
        <v>2</v>
      </c>
      <c r="Y224" s="2">
        <f t="shared" si="50"/>
        <v>220</v>
      </c>
      <c r="Z224">
        <f>SUMIF(KASA!$C$2:$C$9980, C224, KASA!$V$2:$V$9980)</f>
        <v>1430</v>
      </c>
      <c r="AA224">
        <f t="shared" si="51"/>
        <v>1210</v>
      </c>
    </row>
    <row r="225" spans="3:27" x14ac:dyDescent="0.25">
      <c r="C225" s="4" t="s">
        <v>268</v>
      </c>
      <c r="D225" s="5">
        <f>SUMIFS(KASA!$I:$I, KASA!$C:$C, $C225, KASA!$B:$B, "MAL ALIMI") + SUMIFS(KASA!$I:$I, KASA!$C:$C, $C225, KASA!$B:$B, "ÜRETİM GİRİŞ")</f>
        <v>5</v>
      </c>
      <c r="E225" s="5" cm="1">
        <f t="array" ref="E225">IFERROR(AVERAGE(IF((KASA!$C$2:$C$9980=$C225)*((KASA!$B$2:$B$9980="MAL ALIMI")+(KASA!$B$2:$B$9980="ÜRETİM GİRİŞ")),KASA!$J$2:$J$9980)),0)</f>
        <v>75</v>
      </c>
      <c r="F225" s="5">
        <f>SUMIFS(KASA!$I:$I, KASA!$C:$C, $C225, KASA!$B:$B, "MAL SATIŞI") + SUMIFS(KASA!$I:$I, KASA!$C:$C, $C225, KASA!$B:$B, "ÜRETİM ÇIKIŞ")</f>
        <v>5</v>
      </c>
      <c r="G225" s="5">
        <f>SUMIFS(KASA!$I:$I, KASA!$C:$C, $C225, KASA!$B:$B, "MAL İADE")</f>
        <v>0</v>
      </c>
      <c r="H225" s="5">
        <f>SUMIFS(KASA!$K:$K, KASA!$C:$C, $C225, KASA!$B:$B, "MAL İADE") + SUMIFS(KASA!$Q:$Q, KASA!$C:$C, $C225, KASA!$B:$B, "MAL İADE")</f>
        <v>0</v>
      </c>
      <c r="I225" s="5">
        <f t="shared" si="39"/>
        <v>5</v>
      </c>
      <c r="J225" s="5">
        <f t="shared" si="40"/>
        <v>375</v>
      </c>
      <c r="K225" s="5">
        <f>SUMIFS(KASA!$Q:$Q, KASA!$C:$C, $C225, KASA!$B:$B, "MAL SATIŞI") + SUMIFS(KASA!$Q:$Q, KASA!$C:$C, $C225, KASA!$B:$B, "ÜRETİM ÇIKIŞ")</f>
        <v>280</v>
      </c>
      <c r="L225" s="5">
        <f>SUMIFS(KASA!$K:$K, KASA!$C:$C, $C225, KASA!$B:$B, "MAL SATIŞI") + SUMIFS(KASA!$K:$K, KASA!$C:$C, $C225, KASA!$B:$B, "ÜRETİM ÇIKIŞ")</f>
        <v>420</v>
      </c>
      <c r="M225" s="5">
        <f t="shared" si="41"/>
        <v>700</v>
      </c>
      <c r="N225" s="5">
        <f t="shared" si="42"/>
        <v>325</v>
      </c>
      <c r="O225" s="65">
        <f t="shared" si="43"/>
        <v>0.8666666666666667</v>
      </c>
      <c r="P225" s="5">
        <f t="shared" si="44"/>
        <v>140</v>
      </c>
      <c r="Q225" s="5">
        <f t="shared" si="45"/>
        <v>0</v>
      </c>
      <c r="R225" s="5">
        <f t="shared" si="46"/>
        <v>0</v>
      </c>
      <c r="S225" s="5">
        <f t="shared" si="47"/>
        <v>375</v>
      </c>
      <c r="T225">
        <v>0</v>
      </c>
      <c r="U225" s="2">
        <f t="shared" si="48"/>
        <v>0</v>
      </c>
      <c r="V225">
        <f>SUMIF(KASA!$C$2:$C$9980, C225, KASA!$T$2:$T$9980)</f>
        <v>0</v>
      </c>
      <c r="W225">
        <f>SUMIF(KASA!$C$2:$C$9980, C225, KASA!$U$2:$U$9980)</f>
        <v>0</v>
      </c>
      <c r="X225" s="2">
        <f t="shared" si="49"/>
        <v>0</v>
      </c>
      <c r="Y225" s="2">
        <f t="shared" si="50"/>
        <v>0</v>
      </c>
      <c r="Z225">
        <f>SUMIF(KASA!$C$2:$C$9980, C225, KASA!$V$2:$V$9980)</f>
        <v>375</v>
      </c>
      <c r="AA225">
        <f t="shared" si="51"/>
        <v>375</v>
      </c>
    </row>
    <row r="226" spans="3:27" x14ac:dyDescent="0.25">
      <c r="C226" s="4" t="s">
        <v>697</v>
      </c>
      <c r="D226" s="5">
        <f>SUMIFS(KASA!$I:$I, KASA!$C:$C, $C226, KASA!$B:$B, "MAL ALIMI") + SUMIFS(KASA!$I:$I, KASA!$C:$C, $C226, KASA!$B:$B, "ÜRETİM GİRİŞ")</f>
        <v>6</v>
      </c>
      <c r="E226" s="5" cm="1">
        <f t="array" ref="E226">IFERROR(AVERAGE(IF((KASA!$C$2:$C$9980=$C226)*((KASA!$B$2:$B$9980="MAL ALIMI")+(KASA!$B$2:$B$9980="ÜRETİM GİRİŞ")),KASA!$J$2:$J$9980)),0)</f>
        <v>236.66666666666666</v>
      </c>
      <c r="F226" s="5">
        <f>SUMIFS(KASA!$I:$I, KASA!$C:$C, $C226, KASA!$B:$B, "MAL SATIŞI") + SUMIFS(KASA!$I:$I, KASA!$C:$C, $C226, KASA!$B:$B, "ÜRETİM ÇIKIŞ")</f>
        <v>4.6999999999999984</v>
      </c>
      <c r="G226" s="5">
        <f>SUMIFS(KASA!$I:$I, KASA!$C:$C, $C226, KASA!$B:$B, "MAL İADE")</f>
        <v>0</v>
      </c>
      <c r="H226" s="5">
        <f>SUMIFS(KASA!$K:$K, KASA!$C:$C, $C226, KASA!$B:$B, "MAL İADE") + SUMIFS(KASA!$Q:$Q, KASA!$C:$C, $C226, KASA!$B:$B, "MAL İADE")</f>
        <v>0</v>
      </c>
      <c r="I226" s="5">
        <f t="shared" si="39"/>
        <v>4.6999999999999984</v>
      </c>
      <c r="J226" s="5">
        <f t="shared" si="40"/>
        <v>1112.3333333333328</v>
      </c>
      <c r="K226" s="5">
        <f>SUMIFS(KASA!$Q:$Q, KASA!$C:$C, $C226, KASA!$B:$B, "MAL SATIŞI") + SUMIFS(KASA!$Q:$Q, KASA!$C:$C, $C226, KASA!$B:$B, "ÜRETİM ÇIKIŞ")</f>
        <v>679</v>
      </c>
      <c r="L226" s="5">
        <f>SUMIFS(KASA!$K:$K, KASA!$C:$C, $C226, KASA!$B:$B, "MAL SATIŞI") + SUMIFS(KASA!$K:$K, KASA!$C:$C, $C226, KASA!$B:$B, "ÜRETİM ÇIKIŞ")</f>
        <v>1500</v>
      </c>
      <c r="M226" s="5">
        <f t="shared" si="41"/>
        <v>2179</v>
      </c>
      <c r="N226" s="5">
        <f t="shared" si="42"/>
        <v>1066.6666666666672</v>
      </c>
      <c r="O226" s="65">
        <f t="shared" si="43"/>
        <v>0.95894516032364496</v>
      </c>
      <c r="P226" s="5">
        <f t="shared" si="44"/>
        <v>463.61702127659589</v>
      </c>
      <c r="Q226" s="5">
        <f t="shared" si="45"/>
        <v>1.3000000000000016</v>
      </c>
      <c r="R226" s="5">
        <f t="shared" si="46"/>
        <v>307.66666666666703</v>
      </c>
      <c r="S226" s="5">
        <f t="shared" si="47"/>
        <v>1420</v>
      </c>
      <c r="U226" s="2">
        <f t="shared" si="48"/>
        <v>1.3000000000000016</v>
      </c>
      <c r="V226">
        <f>SUMIF(KASA!$C$2:$C$9980, C226, KASA!$T$2:$T$9980)</f>
        <v>1.3000000000000016</v>
      </c>
      <c r="W226">
        <f>SUMIF(KASA!$C$2:$C$9980, C226, KASA!$U$2:$U$9980)</f>
        <v>247.00000000000031</v>
      </c>
      <c r="X226" s="2">
        <f t="shared" si="49"/>
        <v>1.3000000000000016</v>
      </c>
      <c r="Y226" s="2">
        <f t="shared" si="50"/>
        <v>247.00000000000031</v>
      </c>
      <c r="Z226">
        <f>SUMIF(KASA!$C$2:$C$9980, C226, KASA!$V$2:$V$9980)</f>
        <v>1430</v>
      </c>
      <c r="AA226">
        <f t="shared" si="51"/>
        <v>1182.9999999999998</v>
      </c>
    </row>
    <row r="227" spans="3:27" x14ac:dyDescent="0.25">
      <c r="C227" s="4" t="s">
        <v>455</v>
      </c>
      <c r="D227" s="5">
        <f>SUMIFS(KASA!$I:$I, KASA!$C:$C, $C227, KASA!$B:$B, "MAL ALIMI") + SUMIFS(KASA!$I:$I, KASA!$C:$C, $C227, KASA!$B:$B, "ÜRETİM GİRİŞ")</f>
        <v>10</v>
      </c>
      <c r="E227" s="5" cm="1">
        <f t="array" ref="E227">IFERROR(AVERAGE(IF((KASA!$C$2:$C$9980=$C227)*((KASA!$B$2:$B$9980="MAL ALIMI")+(KASA!$B$2:$B$9980="ÜRETİM GİRİŞ")),KASA!$J$2:$J$9980)),0)</f>
        <v>27.5</v>
      </c>
      <c r="F227" s="5">
        <f>SUMIFS(KASA!$I:$I, KASA!$C:$C, $C227, KASA!$B:$B, "MAL SATIŞI") + SUMIFS(KASA!$I:$I, KASA!$C:$C, $C227, KASA!$B:$B, "ÜRETİM ÇIKIŞ")</f>
        <v>7</v>
      </c>
      <c r="G227" s="5">
        <f>SUMIFS(KASA!$I:$I, KASA!$C:$C, $C227, KASA!$B:$B, "MAL İADE")</f>
        <v>0</v>
      </c>
      <c r="H227" s="5">
        <f>SUMIFS(KASA!$K:$K, KASA!$C:$C, $C227, KASA!$B:$B, "MAL İADE") + SUMIFS(KASA!$Q:$Q, KASA!$C:$C, $C227, KASA!$B:$B, "MAL İADE")</f>
        <v>0</v>
      </c>
      <c r="I227" s="5">
        <f t="shared" si="39"/>
        <v>7</v>
      </c>
      <c r="J227" s="5">
        <f t="shared" si="40"/>
        <v>192.5</v>
      </c>
      <c r="K227" s="5">
        <f>SUMIFS(KASA!$Q:$Q, KASA!$C:$C, $C227, KASA!$B:$B, "MAL SATIŞI") + SUMIFS(KASA!$Q:$Q, KASA!$C:$C, $C227, KASA!$B:$B, "ÜRETİM ÇIKIŞ")</f>
        <v>380</v>
      </c>
      <c r="L227" s="5">
        <f>SUMIFS(KASA!$K:$K, KASA!$C:$C, $C227, KASA!$B:$B, "MAL SATIŞI") + SUMIFS(KASA!$K:$K, KASA!$C:$C, $C227, KASA!$B:$B, "ÜRETİM ÇIKIŞ")</f>
        <v>160</v>
      </c>
      <c r="M227" s="5">
        <f t="shared" si="41"/>
        <v>540</v>
      </c>
      <c r="N227" s="5">
        <f t="shared" si="42"/>
        <v>347.5</v>
      </c>
      <c r="O227" s="65">
        <f t="shared" si="43"/>
        <v>1.8051948051948052</v>
      </c>
      <c r="P227" s="5">
        <f t="shared" si="44"/>
        <v>77.142857142857139</v>
      </c>
      <c r="Q227" s="5">
        <f t="shared" si="45"/>
        <v>3</v>
      </c>
      <c r="R227" s="5">
        <f t="shared" si="46"/>
        <v>82.5</v>
      </c>
      <c r="S227" s="5">
        <f t="shared" si="47"/>
        <v>275</v>
      </c>
      <c r="T227">
        <v>5</v>
      </c>
      <c r="U227" s="2">
        <f t="shared" si="48"/>
        <v>-2</v>
      </c>
      <c r="V227">
        <f>SUMIF(KASA!$C$2:$C$9980, C227, KASA!$T$2:$T$9980)</f>
        <v>3</v>
      </c>
      <c r="W227">
        <f>SUMIF(KASA!$C$2:$C$9980, C227, KASA!$U$2:$U$9980)</f>
        <v>90</v>
      </c>
      <c r="X227" s="2">
        <f t="shared" si="49"/>
        <v>3</v>
      </c>
      <c r="Y227" s="2">
        <f t="shared" si="50"/>
        <v>90</v>
      </c>
      <c r="Z227">
        <f>SUMIF(KASA!$C$2:$C$9980, C227, KASA!$V$2:$V$9980)</f>
        <v>275</v>
      </c>
      <c r="AA227">
        <f t="shared" si="51"/>
        <v>185</v>
      </c>
    </row>
    <row r="228" spans="3:27" x14ac:dyDescent="0.25">
      <c r="C228" s="4" t="s">
        <v>456</v>
      </c>
      <c r="D228" s="5">
        <f>SUMIFS(KASA!$I:$I, KASA!$C:$C, $C228, KASA!$B:$B, "MAL ALIMI") + SUMIFS(KASA!$I:$I, KASA!$C:$C, $C228, KASA!$B:$B, "ÜRETİM GİRİŞ")</f>
        <v>10</v>
      </c>
      <c r="E228" s="5" cm="1">
        <f t="array" ref="E228">IFERROR(AVERAGE(IF((KASA!$C$2:$C$9980=$C228)*((KASA!$B$2:$B$9980="MAL ALIMI")+(KASA!$B$2:$B$9980="ÜRETİM GİRİŞ")),KASA!$J$2:$J$9980)),0)</f>
        <v>25</v>
      </c>
      <c r="F228" s="5">
        <f>SUMIFS(KASA!$I:$I, KASA!$C:$C, $C228, KASA!$B:$B, "MAL SATIŞI") + SUMIFS(KASA!$I:$I, KASA!$C:$C, $C228, KASA!$B:$B, "ÜRETİM ÇIKIŞ")</f>
        <v>7</v>
      </c>
      <c r="G228" s="5">
        <f>SUMIFS(KASA!$I:$I, KASA!$C:$C, $C228, KASA!$B:$B, "MAL İADE")</f>
        <v>0</v>
      </c>
      <c r="H228" s="5">
        <f>SUMIFS(KASA!$K:$K, KASA!$C:$C, $C228, KASA!$B:$B, "MAL İADE") + SUMIFS(KASA!$Q:$Q, KASA!$C:$C, $C228, KASA!$B:$B, "MAL İADE")</f>
        <v>0</v>
      </c>
      <c r="I228" s="5">
        <f t="shared" si="39"/>
        <v>7</v>
      </c>
      <c r="J228" s="5">
        <f t="shared" si="40"/>
        <v>175</v>
      </c>
      <c r="K228" s="5">
        <f>SUMIFS(KASA!$Q:$Q, KASA!$C:$C, $C228, KASA!$B:$B, "MAL SATIŞI") + SUMIFS(KASA!$Q:$Q, KASA!$C:$C, $C228, KASA!$B:$B, "ÜRETİM ÇIKIŞ")</f>
        <v>245</v>
      </c>
      <c r="L228" s="5">
        <f>SUMIFS(KASA!$K:$K, KASA!$C:$C, $C228, KASA!$B:$B, "MAL SATIŞI") + SUMIFS(KASA!$K:$K, KASA!$C:$C, $C228, KASA!$B:$B, "ÜRETİM ÇIKIŞ")</f>
        <v>240</v>
      </c>
      <c r="M228" s="5">
        <f t="shared" si="41"/>
        <v>485</v>
      </c>
      <c r="N228" s="5">
        <f t="shared" si="42"/>
        <v>310</v>
      </c>
      <c r="O228" s="65">
        <f t="shared" si="43"/>
        <v>1.7714285714285714</v>
      </c>
      <c r="P228" s="5">
        <f t="shared" si="44"/>
        <v>69.285714285714292</v>
      </c>
      <c r="Q228" s="5">
        <f t="shared" si="45"/>
        <v>3</v>
      </c>
      <c r="R228" s="5">
        <f t="shared" si="46"/>
        <v>75</v>
      </c>
      <c r="S228" s="5">
        <f t="shared" si="47"/>
        <v>250</v>
      </c>
      <c r="T228">
        <v>3</v>
      </c>
      <c r="U228" s="2">
        <f t="shared" si="48"/>
        <v>0</v>
      </c>
      <c r="V228">
        <f>SUMIF(KASA!$C$2:$C$9980, C228, KASA!$T$2:$T$9980)</f>
        <v>3</v>
      </c>
      <c r="W228">
        <f>SUMIF(KASA!$C$2:$C$9980, C228, KASA!$U$2:$U$9980)</f>
        <v>75</v>
      </c>
      <c r="X228" s="2">
        <f t="shared" si="49"/>
        <v>3</v>
      </c>
      <c r="Y228" s="2">
        <f t="shared" si="50"/>
        <v>75</v>
      </c>
      <c r="Z228">
        <f>SUMIF(KASA!$C$2:$C$9980, C228, KASA!$V$2:$V$9980)</f>
        <v>250</v>
      </c>
      <c r="AA228">
        <f t="shared" si="51"/>
        <v>175</v>
      </c>
    </row>
    <row r="229" spans="3:27" x14ac:dyDescent="0.25">
      <c r="C229" s="4" t="s">
        <v>486</v>
      </c>
      <c r="D229" s="5">
        <f>SUMIFS(KASA!$I:$I, KASA!$C:$C, $C229, KASA!$B:$B, "MAL ALIMI") + SUMIFS(KASA!$I:$I, KASA!$C:$C, $C229, KASA!$B:$B, "ÜRETİM GİRİŞ")</f>
        <v>40</v>
      </c>
      <c r="E229" s="5" cm="1">
        <f t="array" ref="E229">IFERROR(AVERAGE(IF((KASA!$C$2:$C$9980=$C229)*((KASA!$B$2:$B$9980="MAL ALIMI")+(KASA!$B$2:$B$9980="ÜRETİM GİRİŞ")),KASA!$J$2:$J$9980)),0)</f>
        <v>95</v>
      </c>
      <c r="F229" s="5">
        <f>SUMIFS(KASA!$I:$I, KASA!$C:$C, $C229, KASA!$B:$B, "MAL SATIŞI") + SUMIFS(KASA!$I:$I, KASA!$C:$C, $C229, KASA!$B:$B, "ÜRETİM ÇIKIŞ")</f>
        <v>20.62222222222222</v>
      </c>
      <c r="G229" s="5">
        <f>SUMIFS(KASA!$I:$I, KASA!$C:$C, $C229, KASA!$B:$B, "MAL İADE")</f>
        <v>0</v>
      </c>
      <c r="H229" s="5">
        <f>SUMIFS(KASA!$K:$K, KASA!$C:$C, $C229, KASA!$B:$B, "MAL İADE") + SUMIFS(KASA!$Q:$Q, KASA!$C:$C, $C229, KASA!$B:$B, "MAL İADE")</f>
        <v>0</v>
      </c>
      <c r="I229" s="5">
        <f t="shared" si="39"/>
        <v>20.62222222222222</v>
      </c>
      <c r="J229" s="5">
        <f t="shared" si="40"/>
        <v>1959.1111111111109</v>
      </c>
      <c r="K229" s="5">
        <f>SUMIFS(KASA!$Q:$Q, KASA!$C:$C, $C229, KASA!$B:$B, "MAL SATIŞI") + SUMIFS(KASA!$Q:$Q, KASA!$C:$C, $C229, KASA!$B:$B, "ÜRETİM ÇIKIŞ")</f>
        <v>1490</v>
      </c>
      <c r="L229" s="5">
        <f>SUMIFS(KASA!$K:$K, KASA!$C:$C, $C229, KASA!$B:$B, "MAL SATIŞI") + SUMIFS(KASA!$K:$K, KASA!$C:$C, $C229, KASA!$B:$B, "ÜRETİM ÇIKIŞ")</f>
        <v>2060</v>
      </c>
      <c r="M229" s="5">
        <f t="shared" si="41"/>
        <v>3550</v>
      </c>
      <c r="N229" s="5">
        <f t="shared" si="42"/>
        <v>1590.8888888888891</v>
      </c>
      <c r="O229" s="65">
        <f t="shared" si="43"/>
        <v>0.81204627949183328</v>
      </c>
      <c r="P229" s="5">
        <f t="shared" si="44"/>
        <v>172.14439655172416</v>
      </c>
      <c r="Q229" s="5">
        <f t="shared" si="45"/>
        <v>19.37777777777778</v>
      </c>
      <c r="R229" s="5">
        <f t="shared" si="46"/>
        <v>1840.8888888888891</v>
      </c>
      <c r="S229" s="5">
        <f t="shared" si="47"/>
        <v>3800</v>
      </c>
      <c r="T229">
        <v>14.6</v>
      </c>
      <c r="U229" s="2">
        <f t="shared" si="48"/>
        <v>4.7777777777777803</v>
      </c>
      <c r="V229">
        <f>SUMIF(KASA!$C$2:$C$9980, C229, KASA!$T$2:$T$9980)</f>
        <v>19.37777777777778</v>
      </c>
      <c r="W229">
        <f>SUMIF(KASA!$C$2:$C$9980, C229, KASA!$U$2:$U$9980)</f>
        <v>1894.0000000000002</v>
      </c>
      <c r="X229" s="2">
        <f t="shared" si="49"/>
        <v>19.37777777777778</v>
      </c>
      <c r="Y229" s="2">
        <f t="shared" si="50"/>
        <v>1894.0000000000002</v>
      </c>
      <c r="Z229">
        <f>SUMIF(KASA!$C$2:$C$9980, C229, KASA!$V$2:$V$9980)</f>
        <v>3750</v>
      </c>
      <c r="AA229">
        <f t="shared" si="51"/>
        <v>1855.9999999999998</v>
      </c>
    </row>
    <row r="230" spans="3:27" x14ac:dyDescent="0.25">
      <c r="C230" s="4" t="s">
        <v>457</v>
      </c>
      <c r="D230" s="5">
        <f>SUMIFS(KASA!$I:$I, KASA!$C:$C, $C230, KASA!$B:$B, "MAL ALIMI") + SUMIFS(KASA!$I:$I, KASA!$C:$C, $C230, KASA!$B:$B, "ÜRETİM GİRİŞ")</f>
        <v>2</v>
      </c>
      <c r="E230" s="5" cm="1">
        <f t="array" ref="E230">IFERROR(AVERAGE(IF((KASA!$C$2:$C$9980=$C230)*((KASA!$B$2:$B$9980="MAL ALIMI")+(KASA!$B$2:$B$9980="ÜRETİM GİRİŞ")),KASA!$J$2:$J$9980)),0)</f>
        <v>400</v>
      </c>
      <c r="F230" s="5">
        <f>SUMIFS(KASA!$I:$I, KASA!$C:$C, $C230, KASA!$B:$B, "MAL SATIŞI") + SUMIFS(KASA!$I:$I, KASA!$C:$C, $C230, KASA!$B:$B, "ÜRETİM ÇIKIŞ")</f>
        <v>1.2</v>
      </c>
      <c r="G230" s="5">
        <f>SUMIFS(KASA!$I:$I, KASA!$C:$C, $C230, KASA!$B:$B, "MAL İADE")</f>
        <v>0</v>
      </c>
      <c r="H230" s="5">
        <f>SUMIFS(KASA!$K:$K, KASA!$C:$C, $C230, KASA!$B:$B, "MAL İADE") + SUMIFS(KASA!$Q:$Q, KASA!$C:$C, $C230, KASA!$B:$B, "MAL İADE")</f>
        <v>0</v>
      </c>
      <c r="I230" s="5">
        <f t="shared" si="39"/>
        <v>1.2</v>
      </c>
      <c r="J230" s="5">
        <f t="shared" si="40"/>
        <v>480</v>
      </c>
      <c r="K230" s="5">
        <f>SUMIFS(KASA!$Q:$Q, KASA!$C:$C, $C230, KASA!$B:$B, "MAL SATIŞI") + SUMIFS(KASA!$Q:$Q, KASA!$C:$C, $C230, KASA!$B:$B, "ÜRETİM ÇIKIŞ")</f>
        <v>490</v>
      </c>
      <c r="L230" s="5">
        <f>SUMIFS(KASA!$K:$K, KASA!$C:$C, $C230, KASA!$B:$B, "MAL SATIŞI") + SUMIFS(KASA!$K:$K, KASA!$C:$C, $C230, KASA!$B:$B, "ÜRETİM ÇIKIŞ")</f>
        <v>350</v>
      </c>
      <c r="M230" s="5">
        <f t="shared" si="41"/>
        <v>840</v>
      </c>
      <c r="N230" s="5">
        <f t="shared" si="42"/>
        <v>360</v>
      </c>
      <c r="O230" s="65">
        <f t="shared" si="43"/>
        <v>0.75</v>
      </c>
      <c r="P230" s="5">
        <f t="shared" si="44"/>
        <v>700</v>
      </c>
      <c r="Q230" s="5">
        <f t="shared" si="45"/>
        <v>0.8</v>
      </c>
      <c r="R230" s="5">
        <f t="shared" si="46"/>
        <v>320</v>
      </c>
      <c r="S230" s="5">
        <f t="shared" si="47"/>
        <v>800</v>
      </c>
      <c r="T230">
        <v>1.2</v>
      </c>
      <c r="U230" s="2">
        <f t="shared" si="48"/>
        <v>-0.39999999999999991</v>
      </c>
      <c r="V230">
        <f>SUMIF(KASA!$C$2:$C$9980, C230, KASA!$T$2:$T$9980)</f>
        <v>0.8</v>
      </c>
      <c r="W230">
        <f>SUMIF(KASA!$C$2:$C$9980, C230, KASA!$U$2:$U$9980)</f>
        <v>320</v>
      </c>
      <c r="X230" s="2">
        <f t="shared" si="49"/>
        <v>0.8</v>
      </c>
      <c r="Y230" s="2">
        <f t="shared" si="50"/>
        <v>320</v>
      </c>
      <c r="Z230">
        <f>SUMIF(KASA!$C$2:$C$9980, C230, KASA!$V$2:$V$9980)</f>
        <v>800</v>
      </c>
      <c r="AA230">
        <f t="shared" si="51"/>
        <v>480</v>
      </c>
    </row>
    <row r="231" spans="3:27" x14ac:dyDescent="0.25">
      <c r="C231" s="4" t="s">
        <v>458</v>
      </c>
      <c r="D231" s="5">
        <f>SUMIFS(KASA!$I:$I, KASA!$C:$C, $C231, KASA!$B:$B, "MAL ALIMI") + SUMIFS(KASA!$I:$I, KASA!$C:$C, $C231, KASA!$B:$B, "ÜRETİM GİRİŞ")</f>
        <v>16</v>
      </c>
      <c r="E231" s="5" cm="1">
        <f t="array" ref="E231">IFERROR(AVERAGE(IF((KASA!$C$2:$C$9980=$C231)*((KASA!$B$2:$B$9980="MAL ALIMI")+(KASA!$B$2:$B$9980="ÜRETİM GİRİŞ")),KASA!$J$2:$J$9980)),0)</f>
        <v>32.833333333333336</v>
      </c>
      <c r="F231" s="5">
        <f>SUMIFS(KASA!$I:$I, KASA!$C:$C, $C231, KASA!$B:$B, "MAL SATIŞI") + SUMIFS(KASA!$I:$I, KASA!$C:$C, $C231, KASA!$B:$B, "ÜRETİM ÇIKIŞ")</f>
        <v>8.5</v>
      </c>
      <c r="G231" s="5">
        <f>SUMIFS(KASA!$I:$I, KASA!$C:$C, $C231, KASA!$B:$B, "MAL İADE")</f>
        <v>0</v>
      </c>
      <c r="H231" s="5">
        <f>SUMIFS(KASA!$K:$K, KASA!$C:$C, $C231, KASA!$B:$B, "MAL İADE") + SUMIFS(KASA!$Q:$Q, KASA!$C:$C, $C231, KASA!$B:$B, "MAL İADE")</f>
        <v>0</v>
      </c>
      <c r="I231" s="5">
        <f t="shared" si="39"/>
        <v>8.5</v>
      </c>
      <c r="J231" s="5">
        <f t="shared" si="40"/>
        <v>279.08333333333337</v>
      </c>
      <c r="K231" s="5">
        <f>SUMIFS(KASA!$Q:$Q, KASA!$C:$C, $C231, KASA!$B:$B, "MAL SATIŞI") + SUMIFS(KASA!$Q:$Q, KASA!$C:$C, $C231, KASA!$B:$B, "ÜRETİM ÇIKIŞ")</f>
        <v>327.5</v>
      </c>
      <c r="L231" s="5">
        <f>SUMIFS(KASA!$K:$K, KASA!$C:$C, $C231, KASA!$B:$B, "MAL SATIŞI") + SUMIFS(KASA!$K:$K, KASA!$C:$C, $C231, KASA!$B:$B, "ÜRETİM ÇIKIŞ")</f>
        <v>180</v>
      </c>
      <c r="M231" s="5">
        <f t="shared" si="41"/>
        <v>507.5</v>
      </c>
      <c r="N231" s="5">
        <f t="shared" si="42"/>
        <v>228.41666666666663</v>
      </c>
      <c r="O231" s="65">
        <f t="shared" si="43"/>
        <v>0.81845326963272591</v>
      </c>
      <c r="P231" s="5">
        <f t="shared" si="44"/>
        <v>59.705882352941174</v>
      </c>
      <c r="Q231" s="5">
        <f t="shared" si="45"/>
        <v>7.5</v>
      </c>
      <c r="R231" s="5">
        <f t="shared" si="46"/>
        <v>246.25000000000003</v>
      </c>
      <c r="S231" s="5">
        <f t="shared" si="47"/>
        <v>525.33333333333337</v>
      </c>
      <c r="T231">
        <v>10</v>
      </c>
      <c r="U231" s="2">
        <f t="shared" si="48"/>
        <v>-2.5</v>
      </c>
      <c r="V231">
        <f>SUMIF(KASA!$C$2:$C$9980, C231, KASA!$T$2:$T$9980)</f>
        <v>7.5</v>
      </c>
      <c r="W231">
        <f>SUMIF(KASA!$C$2:$C$9980, C231, KASA!$U$2:$U$9980)</f>
        <v>225</v>
      </c>
      <c r="X231" s="2">
        <f t="shared" si="49"/>
        <v>7.5</v>
      </c>
      <c r="Y231" s="2">
        <f t="shared" si="50"/>
        <v>225</v>
      </c>
      <c r="Z231">
        <f>SUMIF(KASA!$C$2:$C$9980, C231, KASA!$V$2:$V$9980)</f>
        <v>528.5</v>
      </c>
      <c r="AA231">
        <f t="shared" si="51"/>
        <v>303.5</v>
      </c>
    </row>
    <row r="232" spans="3:27" x14ac:dyDescent="0.25">
      <c r="C232" s="4" t="s">
        <v>459</v>
      </c>
      <c r="D232" s="5">
        <f>SUMIFS(KASA!$I:$I, KASA!$C:$C, $C232, KASA!$B:$B, "MAL ALIMI") + SUMIFS(KASA!$I:$I, KASA!$C:$C, $C232, KASA!$B:$B, "ÜRETİM GİRİŞ")</f>
        <v>12</v>
      </c>
      <c r="E232" s="5" cm="1">
        <f t="array" ref="E232">IFERROR(AVERAGE(IF((KASA!$C$2:$C$9980=$C232)*((KASA!$B$2:$B$9980="MAL ALIMI")+(KASA!$B$2:$B$9980="ÜRETİM GİRİŞ")),KASA!$J$2:$J$9980)),0)</f>
        <v>63.333333333333336</v>
      </c>
      <c r="F232" s="5">
        <f>SUMIFS(KASA!$I:$I, KASA!$C:$C, $C232, KASA!$B:$B, "MAL SATIŞI") + SUMIFS(KASA!$I:$I, KASA!$C:$C, $C232, KASA!$B:$B, "ÜRETİM ÇIKIŞ")</f>
        <v>7.8768571428571432</v>
      </c>
      <c r="G232" s="5">
        <f>SUMIFS(KASA!$I:$I, KASA!$C:$C, $C232, KASA!$B:$B, "MAL İADE")</f>
        <v>0</v>
      </c>
      <c r="H232" s="5">
        <f>SUMIFS(KASA!$K:$K, KASA!$C:$C, $C232, KASA!$B:$B, "MAL İADE") + SUMIFS(KASA!$Q:$Q, KASA!$C:$C, $C232, KASA!$B:$B, "MAL İADE")</f>
        <v>0</v>
      </c>
      <c r="I232" s="5">
        <f t="shared" si="39"/>
        <v>7.8768571428571432</v>
      </c>
      <c r="J232" s="5">
        <f t="shared" si="40"/>
        <v>498.86761904761909</v>
      </c>
      <c r="K232" s="5">
        <f>SUMIFS(KASA!$Q:$Q, KASA!$C:$C, $C232, KASA!$B:$B, "MAL SATIŞI") + SUMIFS(KASA!$Q:$Q, KASA!$C:$C, $C232, KASA!$B:$B, "ÜRETİM ÇIKIŞ")</f>
        <v>810.95999999999992</v>
      </c>
      <c r="L232" s="5">
        <f>SUMIFS(KASA!$K:$K, KASA!$C:$C, $C232, KASA!$B:$B, "MAL SATIŞI") + SUMIFS(KASA!$K:$K, KASA!$C:$C, $C232, KASA!$B:$B, "ÜRETİM ÇIKIŞ")</f>
        <v>320</v>
      </c>
      <c r="M232" s="5">
        <f t="shared" si="41"/>
        <v>1130.96</v>
      </c>
      <c r="N232" s="5">
        <f t="shared" si="42"/>
        <v>632.09238095238095</v>
      </c>
      <c r="O232" s="65">
        <f t="shared" si="43"/>
        <v>1.2670543383014101</v>
      </c>
      <c r="P232" s="5">
        <f t="shared" si="44"/>
        <v>143.58010809242265</v>
      </c>
      <c r="Q232" s="5">
        <f t="shared" si="45"/>
        <v>4.1231428571428568</v>
      </c>
      <c r="R232" s="5">
        <f t="shared" si="46"/>
        <v>261.13238095238091</v>
      </c>
      <c r="S232" s="5">
        <f t="shared" si="47"/>
        <v>760</v>
      </c>
      <c r="T232">
        <v>1.8160000000000001</v>
      </c>
      <c r="U232" s="2">
        <f t="shared" si="48"/>
        <v>2.3071428571428569</v>
      </c>
      <c r="V232">
        <f>SUMIF(KASA!$C$2:$C$9980, C232, KASA!$T$2:$T$9980)</f>
        <v>4.1231428571428568</v>
      </c>
      <c r="W232">
        <f>SUMIF(KASA!$C$2:$C$9980, C232, KASA!$U$2:$U$9980)</f>
        <v>247.3885714285714</v>
      </c>
      <c r="X232" s="2">
        <f t="shared" si="49"/>
        <v>4.1231428571428568</v>
      </c>
      <c r="Y232" s="2">
        <f t="shared" si="50"/>
        <v>247.3885714285714</v>
      </c>
      <c r="Z232">
        <f>SUMIF(KASA!$C$2:$C$9980, C232, KASA!$V$2:$V$9980)</f>
        <v>740</v>
      </c>
      <c r="AA232">
        <f t="shared" si="51"/>
        <v>492.61142857142863</v>
      </c>
    </row>
    <row r="233" spans="3:27" x14ac:dyDescent="0.25">
      <c r="C233" s="4" t="s">
        <v>460</v>
      </c>
      <c r="D233" s="5">
        <f>SUMIFS(KASA!$I:$I, KASA!$C:$C, $C233, KASA!$B:$B, "MAL ALIMI") + SUMIFS(KASA!$I:$I, KASA!$C:$C, $C233, KASA!$B:$B, "ÜRETİM GİRİŞ")</f>
        <v>70</v>
      </c>
      <c r="E233" s="5" cm="1">
        <f t="array" ref="E233">IFERROR(AVERAGE(IF((KASA!$C$2:$C$9980=$C233)*((KASA!$B$2:$B$9980="MAL ALIMI")+(KASA!$B$2:$B$9980="ÜRETİM GİRİŞ")),KASA!$J$2:$J$9980)),0)</f>
        <v>6.5</v>
      </c>
      <c r="F233" s="5">
        <f>SUMIFS(KASA!$I:$I, KASA!$C:$C, $C233, KASA!$B:$B, "MAL SATIŞI") + SUMIFS(KASA!$I:$I, KASA!$C:$C, $C233, KASA!$B:$B, "ÜRETİM ÇIKIŞ")</f>
        <v>53</v>
      </c>
      <c r="G233" s="5">
        <f>SUMIFS(KASA!$I:$I, KASA!$C:$C, $C233, KASA!$B:$B, "MAL İADE")</f>
        <v>0</v>
      </c>
      <c r="H233" s="5">
        <f>SUMIFS(KASA!$K:$K, KASA!$C:$C, $C233, KASA!$B:$B, "MAL İADE") + SUMIFS(KASA!$Q:$Q, KASA!$C:$C, $C233, KASA!$B:$B, "MAL İADE")</f>
        <v>0</v>
      </c>
      <c r="I233" s="5">
        <f t="shared" si="39"/>
        <v>53</v>
      </c>
      <c r="J233" s="5">
        <f t="shared" si="40"/>
        <v>344.5</v>
      </c>
      <c r="K233" s="5">
        <f>SUMIFS(KASA!$Q:$Q, KASA!$C:$C, $C233, KASA!$B:$B, "MAL SATIŞI") + SUMIFS(KASA!$Q:$Q, KASA!$C:$C, $C233, KASA!$B:$B, "ÜRETİM ÇIKIŞ")</f>
        <v>495</v>
      </c>
      <c r="L233" s="5">
        <f>SUMIFS(KASA!$K:$K, KASA!$C:$C, $C233, KASA!$B:$B, "MAL SATIŞI") + SUMIFS(KASA!$K:$K, KASA!$C:$C, $C233, KASA!$B:$B, "ÜRETİM ÇIKIŞ")</f>
        <v>300</v>
      </c>
      <c r="M233" s="5">
        <f t="shared" si="41"/>
        <v>795</v>
      </c>
      <c r="N233" s="5">
        <f t="shared" si="42"/>
        <v>450.5</v>
      </c>
      <c r="O233" s="65">
        <f t="shared" si="43"/>
        <v>1.3076923076923077</v>
      </c>
      <c r="P233" s="5">
        <f t="shared" si="44"/>
        <v>15</v>
      </c>
      <c r="Q233" s="5">
        <f t="shared" si="45"/>
        <v>17</v>
      </c>
      <c r="R233" s="5">
        <f t="shared" si="46"/>
        <v>110.5</v>
      </c>
      <c r="S233" s="5">
        <f t="shared" si="47"/>
        <v>455</v>
      </c>
      <c r="T233">
        <v>5</v>
      </c>
      <c r="U233" s="2">
        <f t="shared" si="48"/>
        <v>12</v>
      </c>
      <c r="V233">
        <f>SUMIF(KASA!$C$2:$C$9980, C233, KASA!$T$2:$T$9980)</f>
        <v>17</v>
      </c>
      <c r="W233">
        <f>SUMIF(KASA!$C$2:$C$9980, C233, KASA!$U$2:$U$9980)</f>
        <v>110.5</v>
      </c>
      <c r="X233" s="2">
        <f t="shared" si="49"/>
        <v>17</v>
      </c>
      <c r="Y233" s="2">
        <f t="shared" si="50"/>
        <v>110.5</v>
      </c>
      <c r="Z233">
        <f>SUMIF(KASA!$C$2:$C$9980, C233, KASA!$V$2:$V$9980)</f>
        <v>455</v>
      </c>
      <c r="AA233">
        <f t="shared" si="51"/>
        <v>344.5</v>
      </c>
    </row>
    <row r="234" spans="3:27" x14ac:dyDescent="0.25">
      <c r="C234" s="4" t="s">
        <v>461</v>
      </c>
      <c r="D234" s="5">
        <f>SUMIFS(KASA!$I:$I, KASA!$C:$C, $C234, KASA!$B:$B, "MAL ALIMI") + SUMIFS(KASA!$I:$I, KASA!$C:$C, $C234, KASA!$B:$B, "ÜRETİM GİRİŞ")</f>
        <v>24</v>
      </c>
      <c r="E234" s="5" cm="1">
        <f t="array" ref="E234">IFERROR(AVERAGE(IF((KASA!$C$2:$C$9980=$C234)*((KASA!$B$2:$B$9980="MAL ALIMI")+(KASA!$B$2:$B$9980="ÜRETİM GİRİŞ")),KASA!$J$2:$J$9980)),0)</f>
        <v>56.666666666666664</v>
      </c>
      <c r="F234" s="5">
        <f>SUMIFS(KASA!$I:$I, KASA!$C:$C, $C234, KASA!$B:$B, "MAL SATIŞI") + SUMIFS(KASA!$I:$I, KASA!$C:$C, $C234, KASA!$B:$B, "ÜRETİM ÇIKIŞ")</f>
        <v>13</v>
      </c>
      <c r="G234" s="5">
        <f>SUMIFS(KASA!$I:$I, KASA!$C:$C, $C234, KASA!$B:$B, "MAL İADE")</f>
        <v>0</v>
      </c>
      <c r="H234" s="5">
        <f>SUMIFS(KASA!$K:$K, KASA!$C:$C, $C234, KASA!$B:$B, "MAL İADE") + SUMIFS(KASA!$Q:$Q, KASA!$C:$C, $C234, KASA!$B:$B, "MAL İADE")</f>
        <v>0</v>
      </c>
      <c r="I234" s="5">
        <f t="shared" si="39"/>
        <v>13</v>
      </c>
      <c r="J234" s="5">
        <f t="shared" si="40"/>
        <v>736.66666666666663</v>
      </c>
      <c r="K234" s="5">
        <f>SUMIFS(KASA!$Q:$Q, KASA!$C:$C, $C234, KASA!$B:$B, "MAL SATIŞI") + SUMIFS(KASA!$Q:$Q, KASA!$C:$C, $C234, KASA!$B:$B, "ÜRETİM ÇIKIŞ")</f>
        <v>500</v>
      </c>
      <c r="L234" s="5">
        <f>SUMIFS(KASA!$K:$K, KASA!$C:$C, $C234, KASA!$B:$B, "MAL SATIŞI") + SUMIFS(KASA!$K:$K, KASA!$C:$C, $C234, KASA!$B:$B, "ÜRETİM ÇIKIŞ")</f>
        <v>800</v>
      </c>
      <c r="M234" s="5">
        <f t="shared" si="41"/>
        <v>1300</v>
      </c>
      <c r="N234" s="5">
        <f t="shared" si="42"/>
        <v>563.33333333333337</v>
      </c>
      <c r="O234" s="65">
        <f t="shared" si="43"/>
        <v>0.76470588235294124</v>
      </c>
      <c r="P234" s="5">
        <f t="shared" si="44"/>
        <v>100</v>
      </c>
      <c r="Q234" s="5">
        <f t="shared" si="45"/>
        <v>11</v>
      </c>
      <c r="R234" s="5">
        <f t="shared" si="46"/>
        <v>623.33333333333326</v>
      </c>
      <c r="S234" s="5">
        <f t="shared" si="47"/>
        <v>1360</v>
      </c>
      <c r="T234">
        <v>5</v>
      </c>
      <c r="U234" s="2">
        <f t="shared" si="48"/>
        <v>6</v>
      </c>
      <c r="V234">
        <f>SUMIF(KASA!$C$2:$C$9980, C234, KASA!$T$2:$T$9980)</f>
        <v>11</v>
      </c>
      <c r="W234">
        <f>SUMIF(KASA!$C$2:$C$9980, C234, KASA!$U$2:$U$9980)</f>
        <v>660</v>
      </c>
      <c r="X234" s="2">
        <f t="shared" si="49"/>
        <v>11</v>
      </c>
      <c r="Y234" s="2">
        <f t="shared" si="50"/>
        <v>660</v>
      </c>
      <c r="Z234">
        <f>SUMIF(KASA!$C$2:$C$9980, C234, KASA!$V$2:$V$9980)</f>
        <v>1380</v>
      </c>
      <c r="AA234">
        <f t="shared" si="51"/>
        <v>720</v>
      </c>
    </row>
    <row r="235" spans="3:27" x14ac:dyDescent="0.25">
      <c r="C235" s="4" t="s">
        <v>462</v>
      </c>
      <c r="D235" s="5">
        <f>SUMIFS(KASA!$I:$I, KASA!$C:$C, $C235, KASA!$B:$B, "MAL ALIMI") + SUMIFS(KASA!$I:$I, KASA!$C:$C, $C235, KASA!$B:$B, "ÜRETİM GİRİŞ")</f>
        <v>30</v>
      </c>
      <c r="E235" s="5" cm="1">
        <f t="array" ref="E235">IFERROR(AVERAGE(IF((KASA!$C$2:$C$9980=$C235)*((KASA!$B$2:$B$9980="MAL ALIMI")+(KASA!$B$2:$B$9980="ÜRETİM GİRİŞ")),KASA!$J$2:$J$9980)),0)</f>
        <v>63.333333333333336</v>
      </c>
      <c r="F235" s="5">
        <f>SUMIFS(KASA!$I:$I, KASA!$C:$C, $C235, KASA!$B:$B, "MAL SATIŞI") + SUMIFS(KASA!$I:$I, KASA!$C:$C, $C235, KASA!$B:$B, "ÜRETİM ÇIKIŞ")</f>
        <v>11</v>
      </c>
      <c r="G235" s="5">
        <f>SUMIFS(KASA!$I:$I, KASA!$C:$C, $C235, KASA!$B:$B, "MAL İADE")</f>
        <v>0</v>
      </c>
      <c r="H235" s="5">
        <f>SUMIFS(KASA!$K:$K, KASA!$C:$C, $C235, KASA!$B:$B, "MAL İADE") + SUMIFS(KASA!$Q:$Q, KASA!$C:$C, $C235, KASA!$B:$B, "MAL İADE")</f>
        <v>0</v>
      </c>
      <c r="I235" s="5">
        <f t="shared" si="39"/>
        <v>11</v>
      </c>
      <c r="J235" s="5">
        <f t="shared" si="40"/>
        <v>696.66666666666674</v>
      </c>
      <c r="K235" s="5">
        <f>SUMIFS(KASA!$Q:$Q, KASA!$C:$C, $C235, KASA!$B:$B, "MAL SATIŞI") + SUMIFS(KASA!$Q:$Q, KASA!$C:$C, $C235, KASA!$B:$B, "ÜRETİM ÇIKIŞ")</f>
        <v>450</v>
      </c>
      <c r="L235" s="5">
        <f>SUMIFS(KASA!$K:$K, KASA!$C:$C, $C235, KASA!$B:$B, "MAL SATIŞI") + SUMIFS(KASA!$K:$K, KASA!$C:$C, $C235, KASA!$B:$B, "ÜRETİM ÇIKIŞ")</f>
        <v>820</v>
      </c>
      <c r="M235" s="5">
        <f t="shared" si="41"/>
        <v>1270</v>
      </c>
      <c r="N235" s="5">
        <f t="shared" si="42"/>
        <v>573.33333333333326</v>
      </c>
      <c r="O235" s="65">
        <f t="shared" si="43"/>
        <v>0.82296650717703335</v>
      </c>
      <c r="P235" s="5">
        <f t="shared" si="44"/>
        <v>115.45454545454545</v>
      </c>
      <c r="Q235" s="5">
        <f t="shared" si="45"/>
        <v>19</v>
      </c>
      <c r="R235" s="5">
        <f t="shared" si="46"/>
        <v>1203.3333333333335</v>
      </c>
      <c r="S235" s="5">
        <f t="shared" si="47"/>
        <v>1900</v>
      </c>
      <c r="T235">
        <v>11</v>
      </c>
      <c r="U235" s="2">
        <f t="shared" si="48"/>
        <v>8</v>
      </c>
      <c r="V235">
        <f>SUMIF(KASA!$C$2:$C$9980, C235, KASA!$T$2:$T$9980)</f>
        <v>19</v>
      </c>
      <c r="W235">
        <f>SUMIF(KASA!$C$2:$C$9980, C235, KASA!$U$2:$U$9980)</f>
        <v>1260</v>
      </c>
      <c r="X235" s="2">
        <f t="shared" si="49"/>
        <v>19</v>
      </c>
      <c r="Y235" s="2">
        <f t="shared" si="50"/>
        <v>1260</v>
      </c>
      <c r="Z235">
        <f>SUMIF(KASA!$C$2:$C$9980, C235, KASA!$V$2:$V$9980)</f>
        <v>1920</v>
      </c>
      <c r="AA235">
        <f t="shared" si="51"/>
        <v>660</v>
      </c>
    </row>
    <row r="236" spans="3:27" x14ac:dyDescent="0.25">
      <c r="C236" s="4" t="s">
        <v>463</v>
      </c>
      <c r="D236" s="5">
        <f>SUMIFS(KASA!$I:$I, KASA!$C:$C, $C236, KASA!$B:$B, "MAL ALIMI") + SUMIFS(KASA!$I:$I, KASA!$C:$C, $C236, KASA!$B:$B, "ÜRETİM GİRİŞ")</f>
        <v>107</v>
      </c>
      <c r="E236" s="5" cm="1">
        <f t="array" ref="E236">IFERROR(AVERAGE(IF((KASA!$C$2:$C$9980=$C236)*((KASA!$B$2:$B$9980="MAL ALIMI")+(KASA!$B$2:$B$9980="ÜRETİM GİRİŞ")),KASA!$J$2:$J$9980)),0)</f>
        <v>198.75</v>
      </c>
      <c r="F236" s="5">
        <f>SUMIFS(KASA!$I:$I, KASA!$C:$C, $C236, KASA!$B:$B, "MAL SATIŞI") + SUMIFS(KASA!$I:$I, KASA!$C:$C, $C236, KASA!$B:$B, "ÜRETİM ÇIKIŞ")</f>
        <v>68.365264393773799</v>
      </c>
      <c r="G236" s="5">
        <f>SUMIFS(KASA!$I:$I, KASA!$C:$C, $C236, KASA!$B:$B, "MAL İADE")</f>
        <v>0</v>
      </c>
      <c r="H236" s="5">
        <f>SUMIFS(KASA!$K:$K, KASA!$C:$C, $C236, KASA!$B:$B, "MAL İADE") + SUMIFS(KASA!$Q:$Q, KASA!$C:$C, $C236, KASA!$B:$B, "MAL İADE")</f>
        <v>0</v>
      </c>
      <c r="I236" s="5">
        <f t="shared" si="39"/>
        <v>68.365264393773799</v>
      </c>
      <c r="J236" s="5">
        <f t="shared" si="40"/>
        <v>13587.596298262542</v>
      </c>
      <c r="K236" s="5">
        <f>SUMIFS(KASA!$Q:$Q, KASA!$C:$C, $C236, KASA!$B:$B, "MAL SATIŞI") + SUMIFS(KASA!$Q:$Q, KASA!$C:$C, $C236, KASA!$B:$B, "ÜRETİM ÇIKIŞ")</f>
        <v>12290.159999999998</v>
      </c>
      <c r="L236" s="5">
        <f>SUMIFS(KASA!$K:$K, KASA!$C:$C, $C236, KASA!$B:$B, "MAL SATIŞI") + SUMIFS(KASA!$K:$K, KASA!$C:$C, $C236, KASA!$B:$B, "ÜRETİM ÇIKIŞ")</f>
        <v>9537.0224999999991</v>
      </c>
      <c r="M236" s="5">
        <f t="shared" si="41"/>
        <v>21827.182499999995</v>
      </c>
      <c r="N236" s="5">
        <f t="shared" si="42"/>
        <v>8239.5862017374529</v>
      </c>
      <c r="O236" s="65">
        <f t="shared" si="43"/>
        <v>0.60640499032128703</v>
      </c>
      <c r="P236" s="5">
        <f t="shared" si="44"/>
        <v>319.27299182635579</v>
      </c>
      <c r="Q236" s="5">
        <f t="shared" si="45"/>
        <v>38.634735606226201</v>
      </c>
      <c r="R236" s="5">
        <f t="shared" si="46"/>
        <v>7678.6537017374576</v>
      </c>
      <c r="S236" s="5">
        <f t="shared" si="47"/>
        <v>21266.25</v>
      </c>
      <c r="T236">
        <v>68.441999999999993</v>
      </c>
      <c r="U236" s="2">
        <f t="shared" si="48"/>
        <v>-29.807264393773792</v>
      </c>
      <c r="V236">
        <f>SUMIF(KASA!$C$2:$C$9980, C236, KASA!$T$2:$T$9980)</f>
        <v>38.634735606226201</v>
      </c>
      <c r="W236">
        <f>SUMIF(KASA!$C$2:$C$9980, C236, KASA!$U$2:$U$9980)</f>
        <v>7340.5997651829784</v>
      </c>
      <c r="X236" s="2">
        <f t="shared" si="49"/>
        <v>38.634735606226201</v>
      </c>
      <c r="Y236" s="2">
        <f t="shared" si="50"/>
        <v>7340.5997651829784</v>
      </c>
      <c r="Z236">
        <f>SUMIF(KASA!$C$2:$C$9980, C236, KASA!$V$2:$V$9980)</f>
        <v>20220</v>
      </c>
      <c r="AA236">
        <f t="shared" si="51"/>
        <v>12879.400234817022</v>
      </c>
    </row>
    <row r="237" spans="3:27" x14ac:dyDescent="0.25">
      <c r="C237" s="4" t="s">
        <v>464</v>
      </c>
      <c r="D237" s="5">
        <f>SUMIFS(KASA!$I:$I, KASA!$C:$C, $C237, KASA!$B:$B, "MAL ALIMI") + SUMIFS(KASA!$I:$I, KASA!$C:$C, $C237, KASA!$B:$B, "ÜRETİM GİRİŞ")</f>
        <v>14</v>
      </c>
      <c r="E237" s="5" cm="1">
        <f t="array" ref="E237">IFERROR(AVERAGE(IF((KASA!$C$2:$C$9980=$C237)*((KASA!$B$2:$B$9980="MAL ALIMI")+(KASA!$B$2:$B$9980="ÜRETİM GİRİŞ")),KASA!$J$2:$J$9980)),0)</f>
        <v>21.375</v>
      </c>
      <c r="F237" s="5">
        <f>SUMIFS(KASA!$I:$I, KASA!$C:$C, $C237, KASA!$B:$B, "MAL SATIŞI") + SUMIFS(KASA!$I:$I, KASA!$C:$C, $C237, KASA!$B:$B, "ÜRETİM ÇIKIŞ")</f>
        <v>11</v>
      </c>
      <c r="G237" s="5">
        <f>SUMIFS(KASA!$I:$I, KASA!$C:$C, $C237, KASA!$B:$B, "MAL İADE")</f>
        <v>0</v>
      </c>
      <c r="H237" s="5">
        <f>SUMIFS(KASA!$K:$K, KASA!$C:$C, $C237, KASA!$B:$B, "MAL İADE") + SUMIFS(KASA!$Q:$Q, KASA!$C:$C, $C237, KASA!$B:$B, "MAL İADE")</f>
        <v>0</v>
      </c>
      <c r="I237" s="5">
        <f t="shared" si="39"/>
        <v>11</v>
      </c>
      <c r="J237" s="5">
        <f t="shared" si="40"/>
        <v>235.125</v>
      </c>
      <c r="K237" s="5">
        <f>SUMIFS(KASA!$Q:$Q, KASA!$C:$C, $C237, KASA!$B:$B, "MAL SATIŞI") + SUMIFS(KASA!$Q:$Q, KASA!$C:$C, $C237, KASA!$B:$B, "ÜRETİM ÇIKIŞ")</f>
        <v>410</v>
      </c>
      <c r="L237" s="5">
        <f>SUMIFS(KASA!$K:$K, KASA!$C:$C, $C237, KASA!$B:$B, "MAL SATIŞI") + SUMIFS(KASA!$K:$K, KASA!$C:$C, $C237, KASA!$B:$B, "ÜRETİM ÇIKIŞ")</f>
        <v>110</v>
      </c>
      <c r="M237" s="5">
        <f t="shared" si="41"/>
        <v>520</v>
      </c>
      <c r="N237" s="5">
        <f t="shared" si="42"/>
        <v>284.875</v>
      </c>
      <c r="O237" s="65">
        <f t="shared" si="43"/>
        <v>1.2115895800106327</v>
      </c>
      <c r="P237" s="5">
        <f t="shared" si="44"/>
        <v>47.272727272727273</v>
      </c>
      <c r="Q237" s="5">
        <f t="shared" si="45"/>
        <v>3</v>
      </c>
      <c r="R237" s="5">
        <f t="shared" si="46"/>
        <v>64.125</v>
      </c>
      <c r="S237" s="5">
        <f t="shared" si="47"/>
        <v>299.25</v>
      </c>
      <c r="T237">
        <v>8</v>
      </c>
      <c r="U237" s="2">
        <f t="shared" si="48"/>
        <v>-5</v>
      </c>
      <c r="V237">
        <f>SUMIF(KASA!$C$2:$C$9980, C237, KASA!$T$2:$T$9980)</f>
        <v>3</v>
      </c>
      <c r="W237">
        <f>SUMIF(KASA!$C$2:$C$9980, C237, KASA!$U$2:$U$9980)</f>
        <v>64.125</v>
      </c>
      <c r="X237" s="2">
        <f t="shared" si="49"/>
        <v>3</v>
      </c>
      <c r="Y237" s="2">
        <f t="shared" si="50"/>
        <v>64.125</v>
      </c>
      <c r="Z237">
        <f>SUMIF(KASA!$C$2:$C$9980, C237, KASA!$V$2:$V$9980)</f>
        <v>299.25</v>
      </c>
      <c r="AA237">
        <f t="shared" si="51"/>
        <v>235.125</v>
      </c>
    </row>
    <row r="238" spans="3:27" x14ac:dyDescent="0.25">
      <c r="C238" s="4" t="s">
        <v>465</v>
      </c>
      <c r="D238" s="5">
        <f>SUMIFS(KASA!$I:$I, KASA!$C:$C, $C238, KASA!$B:$B, "MAL ALIMI") + SUMIFS(KASA!$I:$I, KASA!$C:$C, $C238, KASA!$B:$B, "ÜRETİM GİRİŞ")</f>
        <v>31.06</v>
      </c>
      <c r="E238" s="5" cm="1">
        <f t="array" ref="E238">IFERROR(AVERAGE(IF((KASA!$C$2:$C$9980=$C238)*((KASA!$B$2:$B$9980="MAL ALIMI")+(KASA!$B$2:$B$9980="ÜRETİM GİRİŞ")),KASA!$J$2:$J$9980)),0)</f>
        <v>75.412500000000009</v>
      </c>
      <c r="F238" s="5">
        <f>SUMIFS(KASA!$I:$I, KASA!$C:$C, $C238, KASA!$B:$B, "MAL SATIŞI") + SUMIFS(KASA!$I:$I, KASA!$C:$C, $C238, KASA!$B:$B, "ÜRETİM ÇIKIŞ")</f>
        <v>31</v>
      </c>
      <c r="G238" s="5">
        <f>SUMIFS(KASA!$I:$I, KASA!$C:$C, $C238, KASA!$B:$B, "MAL İADE")</f>
        <v>0</v>
      </c>
      <c r="H238" s="5">
        <f>SUMIFS(KASA!$K:$K, KASA!$C:$C, $C238, KASA!$B:$B, "MAL İADE") + SUMIFS(KASA!$Q:$Q, KASA!$C:$C, $C238, KASA!$B:$B, "MAL İADE")</f>
        <v>0</v>
      </c>
      <c r="I238" s="5">
        <f t="shared" si="39"/>
        <v>31</v>
      </c>
      <c r="J238" s="5">
        <f t="shared" si="40"/>
        <v>2337.7875000000004</v>
      </c>
      <c r="K238" s="5">
        <f>SUMIFS(KASA!$Q:$Q, KASA!$C:$C, $C238, KASA!$B:$B, "MAL SATIŞI") + SUMIFS(KASA!$Q:$Q, KASA!$C:$C, $C238, KASA!$B:$B, "ÜRETİM ÇIKIŞ")</f>
        <v>985</v>
      </c>
      <c r="L238" s="5">
        <f>SUMIFS(KASA!$K:$K, KASA!$C:$C, $C238, KASA!$B:$B, "MAL SATIŞI") + SUMIFS(KASA!$K:$K, KASA!$C:$C, $C238, KASA!$B:$B, "ÜRETİM ÇIKIŞ")</f>
        <v>422</v>
      </c>
      <c r="M238" s="5">
        <f t="shared" si="41"/>
        <v>1407</v>
      </c>
      <c r="N238" s="5">
        <f t="shared" si="42"/>
        <v>-930.78750000000036</v>
      </c>
      <c r="O238" s="65">
        <f t="shared" si="43"/>
        <v>-0.3981488907781397</v>
      </c>
      <c r="P238" s="5">
        <f t="shared" si="44"/>
        <v>45.387096774193552</v>
      </c>
      <c r="Q238" s="5">
        <f t="shared" si="45"/>
        <v>5.9999999999998721E-2</v>
      </c>
      <c r="R238" s="5">
        <f t="shared" si="46"/>
        <v>4.5247499999999041</v>
      </c>
      <c r="S238" s="5">
        <f t="shared" si="47"/>
        <v>2342.3122499999999</v>
      </c>
      <c r="T238">
        <v>6</v>
      </c>
      <c r="U238" s="2">
        <f t="shared" si="48"/>
        <v>-5.9400000000000013</v>
      </c>
      <c r="V238">
        <f>SUMIF(KASA!$C$2:$C$9980, C238, KASA!$T$2:$T$9980)</f>
        <v>5.9999999999998721E-2</v>
      </c>
      <c r="W238">
        <f>SUMIF(KASA!$C$2:$C$9980, C238, KASA!$U$2:$U$9980)</f>
        <v>10.499999999999776</v>
      </c>
      <c r="X238" s="2">
        <f t="shared" si="49"/>
        <v>5.9999999999998721E-2</v>
      </c>
      <c r="Y238" s="2">
        <f t="shared" si="50"/>
        <v>10.499999999999776</v>
      </c>
      <c r="Z238">
        <f>SUMIF(KASA!$C$2:$C$9980, C238, KASA!$V$2:$V$9980)</f>
        <v>962.05</v>
      </c>
      <c r="AA238">
        <f t="shared" si="51"/>
        <v>951.55000000000018</v>
      </c>
    </row>
    <row r="239" spans="3:27" x14ac:dyDescent="0.25">
      <c r="C239" s="4" t="s">
        <v>466</v>
      </c>
      <c r="D239" s="5">
        <f>SUMIFS(KASA!$I:$I, KASA!$C:$C, $C239, KASA!$B:$B, "MAL ALIMI") + SUMIFS(KASA!$I:$I, KASA!$C:$C, $C239, KASA!$B:$B, "ÜRETİM GİRİŞ")</f>
        <v>15</v>
      </c>
      <c r="E239" s="5" cm="1">
        <f t="array" ref="E239">IFERROR(AVERAGE(IF((KASA!$C$2:$C$9980=$C239)*((KASA!$B$2:$B$9980="MAL ALIMI")+(KASA!$B$2:$B$9980="ÜRETİM GİRİŞ")),KASA!$J$2:$J$9980)),0)</f>
        <v>21.35</v>
      </c>
      <c r="F239" s="5">
        <f>SUMIFS(KASA!$I:$I, KASA!$C:$C, $C239, KASA!$B:$B, "MAL SATIŞI") + SUMIFS(KASA!$I:$I, KASA!$C:$C, $C239, KASA!$B:$B, "ÜRETİM ÇIKIŞ")</f>
        <v>9</v>
      </c>
      <c r="G239" s="5">
        <f>SUMIFS(KASA!$I:$I, KASA!$C:$C, $C239, KASA!$B:$B, "MAL İADE")</f>
        <v>0</v>
      </c>
      <c r="H239" s="5">
        <f>SUMIFS(KASA!$K:$K, KASA!$C:$C, $C239, KASA!$B:$B, "MAL İADE") + SUMIFS(KASA!$Q:$Q, KASA!$C:$C, $C239, KASA!$B:$B, "MAL İADE")</f>
        <v>0</v>
      </c>
      <c r="I239" s="5">
        <f t="shared" si="39"/>
        <v>9</v>
      </c>
      <c r="J239" s="5">
        <f t="shared" si="40"/>
        <v>192.15</v>
      </c>
      <c r="K239" s="5">
        <f>SUMIFS(KASA!$Q:$Q, KASA!$C:$C, $C239, KASA!$B:$B, "MAL SATIŞI") + SUMIFS(KASA!$Q:$Q, KASA!$C:$C, $C239, KASA!$B:$B, "ÜRETİM ÇIKIŞ")</f>
        <v>270</v>
      </c>
      <c r="L239" s="5">
        <f>SUMIFS(KASA!$K:$K, KASA!$C:$C, $C239, KASA!$B:$B, "MAL SATIŞI") + SUMIFS(KASA!$K:$K, KASA!$C:$C, $C239, KASA!$B:$B, "ÜRETİM ÇIKIŞ")</f>
        <v>120</v>
      </c>
      <c r="M239" s="5">
        <f t="shared" si="41"/>
        <v>390</v>
      </c>
      <c r="N239" s="5">
        <f t="shared" si="42"/>
        <v>197.85</v>
      </c>
      <c r="O239" s="65">
        <f t="shared" si="43"/>
        <v>1.029664324746292</v>
      </c>
      <c r="P239" s="5">
        <f t="shared" si="44"/>
        <v>43.333333333333336</v>
      </c>
      <c r="Q239" s="5">
        <f t="shared" si="45"/>
        <v>6</v>
      </c>
      <c r="R239" s="5">
        <f t="shared" si="46"/>
        <v>128.10000000000002</v>
      </c>
      <c r="S239" s="5">
        <f t="shared" si="47"/>
        <v>320.25</v>
      </c>
      <c r="T239">
        <v>8</v>
      </c>
      <c r="U239" s="2">
        <f t="shared" si="48"/>
        <v>-2</v>
      </c>
      <c r="V239">
        <f>SUMIF(KASA!$C$2:$C$9980, C239, KASA!$T$2:$T$9980)</f>
        <v>6</v>
      </c>
      <c r="W239">
        <f>SUMIF(KASA!$C$2:$C$9980, C239, KASA!$U$2:$U$9980)</f>
        <v>128.10000000000002</v>
      </c>
      <c r="X239" s="2">
        <f t="shared" si="49"/>
        <v>6</v>
      </c>
      <c r="Y239" s="2">
        <f t="shared" si="50"/>
        <v>128.10000000000002</v>
      </c>
      <c r="Z239">
        <f>SUMIF(KASA!$C$2:$C$9980, C239, KASA!$V$2:$V$9980)</f>
        <v>320.25</v>
      </c>
      <c r="AA239">
        <f t="shared" si="51"/>
        <v>192.14999999999998</v>
      </c>
    </row>
    <row r="240" spans="3:27" x14ac:dyDescent="0.25">
      <c r="C240" s="4" t="s">
        <v>467</v>
      </c>
      <c r="D240" s="5">
        <f>SUMIFS(KASA!$I:$I, KASA!$C:$C, $C240, KASA!$B:$B, "MAL ALIMI") + SUMIFS(KASA!$I:$I, KASA!$C:$C, $C240, KASA!$B:$B, "ÜRETİM GİRİŞ")</f>
        <v>15.04</v>
      </c>
      <c r="E240" s="5" cm="1">
        <f t="array" ref="E240">IFERROR(AVERAGE(IF((KASA!$C$2:$C$9980=$C240)*((KASA!$B$2:$B$9980="MAL ALIMI")+(KASA!$B$2:$B$9980="ÜRETİM GİRİŞ")),KASA!$J$2:$J$9980)),0)</f>
        <v>98.1875</v>
      </c>
      <c r="F240" s="5">
        <f>SUMIFS(KASA!$I:$I, KASA!$C:$C, $C240, KASA!$B:$B, "MAL SATIŞI") + SUMIFS(KASA!$I:$I, KASA!$C:$C, $C240, KASA!$B:$B, "ÜRETİM ÇIKIŞ")</f>
        <v>14</v>
      </c>
      <c r="G240" s="5">
        <f>SUMIFS(KASA!$I:$I, KASA!$C:$C, $C240, KASA!$B:$B, "MAL İADE")</f>
        <v>0</v>
      </c>
      <c r="H240" s="5">
        <f>SUMIFS(KASA!$K:$K, KASA!$C:$C, $C240, KASA!$B:$B, "MAL İADE") + SUMIFS(KASA!$Q:$Q, KASA!$C:$C, $C240, KASA!$B:$B, "MAL İADE")</f>
        <v>0</v>
      </c>
      <c r="I240" s="5">
        <f t="shared" si="39"/>
        <v>14</v>
      </c>
      <c r="J240" s="5">
        <f t="shared" si="40"/>
        <v>1374.625</v>
      </c>
      <c r="K240" s="5">
        <f>SUMIFS(KASA!$Q:$Q, KASA!$C:$C, $C240, KASA!$B:$B, "MAL SATIŞI") + SUMIFS(KASA!$Q:$Q, KASA!$C:$C, $C240, KASA!$B:$B, "ÜRETİM ÇIKIŞ")</f>
        <v>435</v>
      </c>
      <c r="L240" s="5">
        <f>SUMIFS(KASA!$K:$K, KASA!$C:$C, $C240, KASA!$B:$B, "MAL SATIŞI") + SUMIFS(KASA!$K:$K, KASA!$C:$C, $C240, KASA!$B:$B, "ÜRETİM ÇIKIŞ")</f>
        <v>170</v>
      </c>
      <c r="M240" s="5">
        <f t="shared" si="41"/>
        <v>605</v>
      </c>
      <c r="N240" s="5">
        <f t="shared" si="42"/>
        <v>-769.625</v>
      </c>
      <c r="O240" s="65">
        <f t="shared" si="43"/>
        <v>-0.55987996726379918</v>
      </c>
      <c r="P240" s="5">
        <f t="shared" si="44"/>
        <v>43.214285714285715</v>
      </c>
      <c r="Q240" s="5">
        <f t="shared" si="45"/>
        <v>1.0399999999999991</v>
      </c>
      <c r="R240" s="5">
        <f t="shared" si="46"/>
        <v>102.11499999999991</v>
      </c>
      <c r="S240" s="5">
        <f t="shared" si="47"/>
        <v>1476.74</v>
      </c>
      <c r="T240">
        <v>4</v>
      </c>
      <c r="U240" s="2">
        <f t="shared" si="48"/>
        <v>-2.9600000000000009</v>
      </c>
      <c r="V240">
        <f>SUMIF(KASA!$C$2:$C$9980, C240, KASA!$T$2:$T$9980)</f>
        <v>1.0399999999999991</v>
      </c>
      <c r="W240">
        <f>SUMIF(KASA!$C$2:$C$9980, C240, KASA!$U$2:$U$9980)</f>
        <v>181.99999999999986</v>
      </c>
      <c r="X240" s="2">
        <f t="shared" si="49"/>
        <v>1.0399999999999991</v>
      </c>
      <c r="Y240" s="2">
        <f t="shared" si="50"/>
        <v>181.99999999999986</v>
      </c>
      <c r="Z240">
        <f>SUMIF(KASA!$C$2:$C$9980, C240, KASA!$V$2:$V$9980)</f>
        <v>481.25</v>
      </c>
      <c r="AA240">
        <f t="shared" si="51"/>
        <v>299.25000000000011</v>
      </c>
    </row>
    <row r="241" spans="3:27" x14ac:dyDescent="0.25">
      <c r="C241" s="4" t="s">
        <v>468</v>
      </c>
      <c r="D241" s="5">
        <f>SUMIFS(KASA!$I:$I, KASA!$C:$C, $C241, KASA!$B:$B, "MAL ALIMI") + SUMIFS(KASA!$I:$I, KASA!$C:$C, $C241, KASA!$B:$B, "ÜRETİM GİRİŞ")</f>
        <v>31</v>
      </c>
      <c r="E241" s="5" cm="1">
        <f t="array" ref="E241">IFERROR(AVERAGE(IF((KASA!$C$2:$C$9980=$C241)*((KASA!$B$2:$B$9980="MAL ALIMI")+(KASA!$B$2:$B$9980="ÜRETİM GİRİŞ")),KASA!$J$2:$J$9980)),0)</f>
        <v>21.393750000000001</v>
      </c>
      <c r="F241" s="5">
        <f>SUMIFS(KASA!$I:$I, KASA!$C:$C, $C241, KASA!$B:$B, "MAL SATIŞI") + SUMIFS(KASA!$I:$I, KASA!$C:$C, $C241, KASA!$B:$B, "ÜRETİM ÇIKIŞ")</f>
        <v>25</v>
      </c>
      <c r="G241" s="5">
        <f>SUMIFS(KASA!$I:$I, KASA!$C:$C, $C241, KASA!$B:$B, "MAL İADE")</f>
        <v>0</v>
      </c>
      <c r="H241" s="5">
        <f>SUMIFS(KASA!$K:$K, KASA!$C:$C, $C241, KASA!$B:$B, "MAL İADE") + SUMIFS(KASA!$Q:$Q, KASA!$C:$C, $C241, KASA!$B:$B, "MAL İADE")</f>
        <v>0</v>
      </c>
      <c r="I241" s="5">
        <f t="shared" si="39"/>
        <v>25</v>
      </c>
      <c r="J241" s="5">
        <f t="shared" si="40"/>
        <v>534.84375</v>
      </c>
      <c r="K241" s="5">
        <f>SUMIFS(KASA!$Q:$Q, KASA!$C:$C, $C241, KASA!$B:$B, "MAL SATIŞI") + SUMIFS(KASA!$Q:$Q, KASA!$C:$C, $C241, KASA!$B:$B, "ÜRETİM ÇIKIŞ")</f>
        <v>691</v>
      </c>
      <c r="L241" s="5">
        <f>SUMIFS(KASA!$K:$K, KASA!$C:$C, $C241, KASA!$B:$B, "MAL SATIŞI") + SUMIFS(KASA!$K:$K, KASA!$C:$C, $C241, KASA!$B:$B, "ÜRETİM ÇIKIŞ")</f>
        <v>432</v>
      </c>
      <c r="M241" s="5">
        <f t="shared" si="41"/>
        <v>1123</v>
      </c>
      <c r="N241" s="5">
        <f t="shared" si="42"/>
        <v>588.15625</v>
      </c>
      <c r="O241" s="65">
        <f t="shared" si="43"/>
        <v>1.0996786444639206</v>
      </c>
      <c r="P241" s="5">
        <f t="shared" si="44"/>
        <v>44.92</v>
      </c>
      <c r="Q241" s="5">
        <f t="shared" si="45"/>
        <v>6</v>
      </c>
      <c r="R241" s="5">
        <f t="shared" si="46"/>
        <v>128.36250000000001</v>
      </c>
      <c r="S241" s="5">
        <f t="shared" si="47"/>
        <v>663.20625000000007</v>
      </c>
      <c r="T241">
        <v>13</v>
      </c>
      <c r="U241" s="2">
        <f t="shared" si="48"/>
        <v>-7</v>
      </c>
      <c r="V241">
        <f>SUMIF(KASA!$C$2:$C$9980, C241, KASA!$T$2:$T$9980)</f>
        <v>6</v>
      </c>
      <c r="W241">
        <f>SUMIF(KASA!$C$2:$C$9980, C241, KASA!$U$2:$U$9980)</f>
        <v>128.625</v>
      </c>
      <c r="X241" s="2">
        <f t="shared" si="49"/>
        <v>6</v>
      </c>
      <c r="Y241" s="2">
        <f t="shared" si="50"/>
        <v>128.625</v>
      </c>
      <c r="Z241">
        <f>SUMIF(KASA!$C$2:$C$9980, C241, KASA!$V$2:$V$9980)</f>
        <v>663.25</v>
      </c>
      <c r="AA241">
        <f t="shared" si="51"/>
        <v>534.625</v>
      </c>
    </row>
    <row r="242" spans="3:27" x14ac:dyDescent="0.25">
      <c r="C242" s="4" t="s">
        <v>469</v>
      </c>
      <c r="D242" s="5">
        <f>SUMIFS(KASA!$I:$I, KASA!$C:$C, $C242, KASA!$B:$B, "MAL ALIMI") + SUMIFS(KASA!$I:$I, KASA!$C:$C, $C242, KASA!$B:$B, "ÜRETİM GİRİŞ")</f>
        <v>13</v>
      </c>
      <c r="E242" s="5" cm="1">
        <f t="array" ref="E242">IFERROR(AVERAGE(IF((KASA!$C$2:$C$9980=$C242)*((KASA!$B$2:$B$9980="MAL ALIMI")+(KASA!$B$2:$B$9980="ÜRETİM GİRİŞ")),KASA!$J$2:$J$9980)),0)</f>
        <v>21.134615384615383</v>
      </c>
      <c r="F242" s="5">
        <f>SUMIFS(KASA!$I:$I, KASA!$C:$C, $C242, KASA!$B:$B, "MAL SATIŞI") + SUMIFS(KASA!$I:$I, KASA!$C:$C, $C242, KASA!$B:$B, "ÜRETİM ÇIKIŞ")</f>
        <v>4</v>
      </c>
      <c r="G242" s="5">
        <f>SUMIFS(KASA!$I:$I, KASA!$C:$C, $C242, KASA!$B:$B, "MAL İADE")</f>
        <v>0</v>
      </c>
      <c r="H242" s="5">
        <f>SUMIFS(KASA!$K:$K, KASA!$C:$C, $C242, KASA!$B:$B, "MAL İADE") + SUMIFS(KASA!$Q:$Q, KASA!$C:$C, $C242, KASA!$B:$B, "MAL İADE")</f>
        <v>0</v>
      </c>
      <c r="I242" s="5">
        <f t="shared" si="39"/>
        <v>4</v>
      </c>
      <c r="J242" s="5">
        <f t="shared" si="40"/>
        <v>84.538461538461533</v>
      </c>
      <c r="K242" s="5">
        <f>SUMIFS(KASA!$Q:$Q, KASA!$C:$C, $C242, KASA!$B:$B, "MAL SATIŞI") + SUMIFS(KASA!$Q:$Q, KASA!$C:$C, $C242, KASA!$B:$B, "ÜRETİM ÇIKIŞ")</f>
        <v>180</v>
      </c>
      <c r="L242" s="5">
        <f>SUMIFS(KASA!$K:$K, KASA!$C:$C, $C242, KASA!$B:$B, "MAL SATIŞI") + SUMIFS(KASA!$K:$K, KASA!$C:$C, $C242, KASA!$B:$B, "ÜRETİM ÇIKIŞ")</f>
        <v>0</v>
      </c>
      <c r="M242" s="5">
        <f t="shared" si="41"/>
        <v>180</v>
      </c>
      <c r="N242" s="5">
        <f t="shared" si="42"/>
        <v>95.461538461538467</v>
      </c>
      <c r="O242" s="65">
        <f t="shared" si="43"/>
        <v>1.1292083712465879</v>
      </c>
      <c r="P242" s="5">
        <f t="shared" si="44"/>
        <v>45</v>
      </c>
      <c r="Q242" s="5">
        <f t="shared" si="45"/>
        <v>9</v>
      </c>
      <c r="R242" s="5">
        <f t="shared" si="46"/>
        <v>190.21153846153845</v>
      </c>
      <c r="S242" s="5">
        <f t="shared" si="47"/>
        <v>274.75</v>
      </c>
      <c r="T242">
        <v>12</v>
      </c>
      <c r="U242" s="2">
        <f t="shared" si="48"/>
        <v>-3</v>
      </c>
      <c r="V242">
        <f>SUMIF(KASA!$C$2:$C$9980, C242, KASA!$T$2:$T$9980)</f>
        <v>9</v>
      </c>
      <c r="W242">
        <f>SUMIF(KASA!$C$2:$C$9980, C242, KASA!$U$2:$U$9980)</f>
        <v>190.21153846153845</v>
      </c>
      <c r="X242" s="2">
        <f t="shared" si="49"/>
        <v>9</v>
      </c>
      <c r="Y242" s="2">
        <f t="shared" si="50"/>
        <v>190.21153846153845</v>
      </c>
      <c r="Z242">
        <f>SUMIF(KASA!$C$2:$C$9980, C242, KASA!$V$2:$V$9980)</f>
        <v>274.75</v>
      </c>
      <c r="AA242">
        <f t="shared" si="51"/>
        <v>84.538461538461547</v>
      </c>
    </row>
    <row r="243" spans="3:27" x14ac:dyDescent="0.25">
      <c r="C243" s="4" t="s">
        <v>470</v>
      </c>
      <c r="D243" s="5">
        <f>SUMIFS(KASA!$I:$I, KASA!$C:$C, $C243, KASA!$B:$B, "MAL ALIMI") + SUMIFS(KASA!$I:$I, KASA!$C:$C, $C243, KASA!$B:$B, "ÜRETİM GİRİŞ")</f>
        <v>14</v>
      </c>
      <c r="E243" s="5" cm="1">
        <f t="array" ref="E243">IFERROR(AVERAGE(IF((KASA!$C$2:$C$9980=$C243)*((KASA!$B$2:$B$9980="MAL ALIMI")+(KASA!$B$2:$B$9980="ÜRETİM GİRİŞ")),KASA!$J$2:$J$9980)),0)</f>
        <v>21.375</v>
      </c>
      <c r="F243" s="5">
        <f>SUMIFS(KASA!$I:$I, KASA!$C:$C, $C243, KASA!$B:$B, "MAL SATIŞI") + SUMIFS(KASA!$I:$I, KASA!$C:$C, $C243, KASA!$B:$B, "ÜRETİM ÇIKIŞ")</f>
        <v>15</v>
      </c>
      <c r="G243" s="5">
        <f>SUMIFS(KASA!$I:$I, KASA!$C:$C, $C243, KASA!$B:$B, "MAL İADE")</f>
        <v>0</v>
      </c>
      <c r="H243" s="5">
        <f>SUMIFS(KASA!$K:$K, KASA!$C:$C, $C243, KASA!$B:$B, "MAL İADE") + SUMIFS(KASA!$Q:$Q, KASA!$C:$C, $C243, KASA!$B:$B, "MAL İADE")</f>
        <v>0</v>
      </c>
      <c r="I243" s="5">
        <f t="shared" si="39"/>
        <v>15</v>
      </c>
      <c r="J243" s="5">
        <f t="shared" si="40"/>
        <v>320.625</v>
      </c>
      <c r="K243" s="5">
        <f>SUMIFS(KASA!$Q:$Q, KASA!$C:$C, $C243, KASA!$B:$B, "MAL SATIŞI") + SUMIFS(KASA!$Q:$Q, KASA!$C:$C, $C243, KASA!$B:$B, "ÜRETİM ÇIKIŞ")</f>
        <v>710</v>
      </c>
      <c r="L243" s="5">
        <f>SUMIFS(KASA!$K:$K, KASA!$C:$C, $C243, KASA!$B:$B, "MAL SATIŞI") + SUMIFS(KASA!$K:$K, KASA!$C:$C, $C243, KASA!$B:$B, "ÜRETİM ÇIKIŞ")</f>
        <v>50</v>
      </c>
      <c r="M243" s="5">
        <f t="shared" si="41"/>
        <v>760</v>
      </c>
      <c r="N243" s="5">
        <f t="shared" si="42"/>
        <v>439.375</v>
      </c>
      <c r="O243" s="65">
        <f t="shared" si="43"/>
        <v>1.3703703703703705</v>
      </c>
      <c r="P243" s="5">
        <f t="shared" si="44"/>
        <v>50.666666666666664</v>
      </c>
      <c r="Q243" s="5">
        <f t="shared" si="45"/>
        <v>-1</v>
      </c>
      <c r="R243" s="5">
        <f t="shared" si="46"/>
        <v>-21.375</v>
      </c>
      <c r="S243" s="5">
        <f t="shared" si="47"/>
        <v>299.25</v>
      </c>
      <c r="T243">
        <v>9</v>
      </c>
      <c r="U243" s="2">
        <f t="shared" si="48"/>
        <v>-10</v>
      </c>
      <c r="V243">
        <f>SUMIF(KASA!$C$2:$C$9980, C243, KASA!$T$2:$T$9980)</f>
        <v>0</v>
      </c>
      <c r="W243">
        <f>SUMIF(KASA!$C$2:$C$9980, C243, KASA!$U$2:$U$9980)</f>
        <v>0</v>
      </c>
      <c r="X243" s="2">
        <f t="shared" si="49"/>
        <v>0</v>
      </c>
      <c r="Y243" s="2">
        <f t="shared" si="50"/>
        <v>0</v>
      </c>
      <c r="Z243">
        <f>SUMIF(KASA!$C$2:$C$9980, C243, KASA!$V$2:$V$9980)</f>
        <v>299.25</v>
      </c>
      <c r="AA243">
        <f t="shared" si="51"/>
        <v>299.25</v>
      </c>
    </row>
    <row r="244" spans="3:27" x14ac:dyDescent="0.25">
      <c r="C244" s="4" t="s">
        <v>588</v>
      </c>
      <c r="D244" s="5">
        <f>SUMIFS(KASA!$I:$I, KASA!$C:$C, $C244, KASA!$B:$B, "MAL ALIMI") + SUMIFS(KASA!$I:$I, KASA!$C:$C, $C244, KASA!$B:$B, "ÜRETİM GİRİŞ")</f>
        <v>20</v>
      </c>
      <c r="E244" s="5" cm="1">
        <f t="array" ref="E244">IFERROR(AVERAGE(IF((KASA!$C$2:$C$9980=$C244)*((KASA!$B$2:$B$9980="MAL ALIMI")+(KASA!$B$2:$B$9980="ÜRETİM GİRİŞ")),KASA!$J$2:$J$9980)),0)</f>
        <v>235</v>
      </c>
      <c r="F244" s="5">
        <f>SUMIFS(KASA!$I:$I, KASA!$C:$C, $C244, KASA!$B:$B, "MAL SATIŞI") + SUMIFS(KASA!$I:$I, KASA!$C:$C, $C244, KASA!$B:$B, "ÜRETİM ÇIKIŞ")</f>
        <v>18</v>
      </c>
      <c r="G244" s="5">
        <f>SUMIFS(KASA!$I:$I, KASA!$C:$C, $C244, KASA!$B:$B, "MAL İADE")</f>
        <v>2</v>
      </c>
      <c r="H244" s="5">
        <f>SUMIFS(KASA!$K:$K, KASA!$C:$C, $C244, KASA!$B:$B, "MAL İADE") + SUMIFS(KASA!$Q:$Q, KASA!$C:$C, $C244, KASA!$B:$B, "MAL İADE")</f>
        <v>470</v>
      </c>
      <c r="I244" s="5">
        <f t="shared" si="39"/>
        <v>20</v>
      </c>
      <c r="J244" s="5">
        <f t="shared" si="40"/>
        <v>4230</v>
      </c>
      <c r="K244" s="5">
        <f>SUMIFS(KASA!$Q:$Q, KASA!$C:$C, $C244, KASA!$B:$B, "MAL SATIŞI") + SUMIFS(KASA!$Q:$Q, KASA!$C:$C, $C244, KASA!$B:$B, "ÜRETİM ÇIKIŞ")</f>
        <v>2850</v>
      </c>
      <c r="L244" s="5">
        <f>SUMIFS(KASA!$K:$K, KASA!$C:$C, $C244, KASA!$B:$B, "MAL SATIŞI") + SUMIFS(KASA!$K:$K, KASA!$C:$C, $C244, KASA!$B:$B, "ÜRETİM ÇIKIŞ")</f>
        <v>3090</v>
      </c>
      <c r="M244" s="5">
        <f t="shared" si="41"/>
        <v>5940</v>
      </c>
      <c r="N244" s="5">
        <f t="shared" si="42"/>
        <v>1710</v>
      </c>
      <c r="O244" s="65">
        <f t="shared" si="43"/>
        <v>0.40425531914893614</v>
      </c>
      <c r="P244" s="5">
        <f t="shared" si="44"/>
        <v>330</v>
      </c>
      <c r="Q244" s="5">
        <f t="shared" si="45"/>
        <v>0</v>
      </c>
      <c r="R244" s="5">
        <f t="shared" si="46"/>
        <v>0</v>
      </c>
      <c r="S244" s="5">
        <f t="shared" si="47"/>
        <v>4700</v>
      </c>
      <c r="T244">
        <v>6</v>
      </c>
      <c r="U244" s="2">
        <f t="shared" si="48"/>
        <v>-6</v>
      </c>
      <c r="V244">
        <f>SUMIF(KASA!$C$2:$C$9980, C244, KASA!$T$2:$T$9980)</f>
        <v>2</v>
      </c>
      <c r="W244">
        <f>SUMIF(KASA!$C$2:$C$9980, C244, KASA!$U$2:$U$9980)</f>
        <v>470</v>
      </c>
      <c r="X244" s="2">
        <f t="shared" si="49"/>
        <v>0</v>
      </c>
      <c r="Y244" s="2">
        <f t="shared" si="50"/>
        <v>0</v>
      </c>
      <c r="Z244">
        <f>SUMIF(KASA!$C$2:$C$9980, C244, KASA!$V$2:$V$9980)</f>
        <v>4700</v>
      </c>
      <c r="AA244">
        <f t="shared" si="51"/>
        <v>4230</v>
      </c>
    </row>
    <row r="245" spans="3:27" x14ac:dyDescent="0.25">
      <c r="C245" s="4" t="s">
        <v>585</v>
      </c>
      <c r="D245" s="5">
        <f>SUMIFS(KASA!$I:$I, KASA!$C:$C, $C245, KASA!$B:$B, "MAL ALIMI") + SUMIFS(KASA!$I:$I, KASA!$C:$C, $C245, KASA!$B:$B, "ÜRETİM GİRİŞ")</f>
        <v>38.700000000000003</v>
      </c>
      <c r="E245" s="5" cm="1">
        <f t="array" ref="E245">IFERROR(AVERAGE(IF((KASA!$C$2:$C$9980=$C245)*((KASA!$B$2:$B$9980="MAL ALIMI")+(KASA!$B$2:$B$9980="ÜRETİM GİRİŞ")),KASA!$J$2:$J$9980)),0)</f>
        <v>94.316627906976748</v>
      </c>
      <c r="F245" s="5">
        <f>SUMIFS(KASA!$I:$I, KASA!$C:$C, $C245, KASA!$B:$B, "MAL SATIŞI") + SUMIFS(KASA!$I:$I, KASA!$C:$C, $C245, KASA!$B:$B, "ÜRETİM ÇIKIŞ")</f>
        <v>38.700000000000003</v>
      </c>
      <c r="G245" s="5">
        <f>SUMIFS(KASA!$I:$I, KASA!$C:$C, $C245, KASA!$B:$B, "MAL İADE")</f>
        <v>0</v>
      </c>
      <c r="H245" s="5">
        <f>SUMIFS(KASA!$K:$K, KASA!$C:$C, $C245, KASA!$B:$B, "MAL İADE") + SUMIFS(KASA!$Q:$Q, KASA!$C:$C, $C245, KASA!$B:$B, "MAL İADE")</f>
        <v>0</v>
      </c>
      <c r="I245" s="5">
        <f t="shared" si="39"/>
        <v>38.700000000000003</v>
      </c>
      <c r="J245" s="5">
        <f t="shared" si="40"/>
        <v>3650.0535000000004</v>
      </c>
      <c r="K245" s="5">
        <f>SUMIFS(KASA!$Q:$Q, KASA!$C:$C, $C245, KASA!$B:$B, "MAL SATIŞI") + SUMIFS(KASA!$Q:$Q, KASA!$C:$C, $C245, KASA!$B:$B, "ÜRETİM ÇIKIŞ")</f>
        <v>5578.7036441860464</v>
      </c>
      <c r="L245" s="5">
        <f>SUMIFS(KASA!$K:$K, KASA!$C:$C, $C245, KASA!$B:$B, "MAL SATIŞI") + SUMIFS(KASA!$K:$K, KASA!$C:$C, $C245, KASA!$B:$B, "ÜRETİM ÇIKIŞ")</f>
        <v>2070</v>
      </c>
      <c r="M245" s="5">
        <f t="shared" si="41"/>
        <v>7648.7036441860464</v>
      </c>
      <c r="N245" s="5">
        <f t="shared" si="42"/>
        <v>3998.650144186046</v>
      </c>
      <c r="O245" s="65">
        <f t="shared" si="43"/>
        <v>1.095504530053065</v>
      </c>
      <c r="P245" s="5">
        <f t="shared" si="44"/>
        <v>197.64092103839911</v>
      </c>
      <c r="Q245" s="5">
        <f t="shared" si="45"/>
        <v>0</v>
      </c>
      <c r="R245" s="5">
        <f t="shared" si="46"/>
        <v>0</v>
      </c>
      <c r="S245" s="5">
        <f t="shared" si="47"/>
        <v>3650.0535000000004</v>
      </c>
      <c r="T245">
        <v>0</v>
      </c>
      <c r="U245" s="2">
        <f t="shared" si="48"/>
        <v>0</v>
      </c>
      <c r="V245">
        <f>SUMIF(KASA!$C$2:$C$9980, C245, KASA!$T$2:$T$9980)</f>
        <v>0</v>
      </c>
      <c r="W245">
        <f>SUMIF(KASA!$C$2:$C$9980, C245, KASA!$U$2:$U$9980)</f>
        <v>0</v>
      </c>
      <c r="X245" s="2">
        <f t="shared" si="49"/>
        <v>0</v>
      </c>
      <c r="Y245" s="2">
        <f t="shared" si="50"/>
        <v>0</v>
      </c>
      <c r="Z245">
        <f>SUMIF(KASA!$C$2:$C$9980, C245, KASA!$V$2:$V$9980)</f>
        <v>3650.0535</v>
      </c>
      <c r="AA245">
        <f t="shared" si="51"/>
        <v>3650.0535</v>
      </c>
    </row>
    <row r="246" spans="3:27" x14ac:dyDescent="0.25">
      <c r="C246" s="4" t="s">
        <v>586</v>
      </c>
      <c r="D246" s="5">
        <f>SUMIFS(KASA!$I:$I, KASA!$C:$C, $C246, KASA!$B:$B, "MAL ALIMI") + SUMIFS(KASA!$I:$I, KASA!$C:$C, $C246, KASA!$B:$B, "ÜRETİM GİRİŞ")</f>
        <v>77.400000000000006</v>
      </c>
      <c r="E246" s="5" cm="1">
        <f t="array" ref="E246">IFERROR(AVERAGE(IF((KASA!$C$2:$C$9980=$C246)*((KASA!$B$2:$B$9980="MAL ALIMI")+(KASA!$B$2:$B$9980="ÜRETİM GİRİŞ")),KASA!$J$2:$J$9980)),0)</f>
        <v>94.962500000000006</v>
      </c>
      <c r="F246" s="5">
        <f>SUMIFS(KASA!$I:$I, KASA!$C:$C, $C246, KASA!$B:$B, "MAL SATIŞI") + SUMIFS(KASA!$I:$I, KASA!$C:$C, $C246, KASA!$B:$B, "ÜRETİM ÇIKIŞ")</f>
        <v>77.400000000000006</v>
      </c>
      <c r="G246" s="5">
        <f>SUMIFS(KASA!$I:$I, KASA!$C:$C, $C246, KASA!$B:$B, "MAL İADE")</f>
        <v>0</v>
      </c>
      <c r="H246" s="5">
        <f>SUMIFS(KASA!$K:$K, KASA!$C:$C, $C246, KASA!$B:$B, "MAL İADE") + SUMIFS(KASA!$Q:$Q, KASA!$C:$C, $C246, KASA!$B:$B, "MAL İADE")</f>
        <v>0</v>
      </c>
      <c r="I246" s="5">
        <f t="shared" si="39"/>
        <v>77.400000000000006</v>
      </c>
      <c r="J246" s="5">
        <f t="shared" si="40"/>
        <v>7350.0975000000008</v>
      </c>
      <c r="K246" s="5">
        <f>SUMIFS(KASA!$Q:$Q, KASA!$C:$C, $C246, KASA!$B:$B, "MAL SATIŞI") + SUMIFS(KASA!$Q:$Q, KASA!$C:$C, $C246, KASA!$B:$B, "ÜRETİM ÇIKIŞ")</f>
        <v>5041.3860000000004</v>
      </c>
      <c r="L246" s="5">
        <f>SUMIFS(KASA!$K:$K, KASA!$C:$C, $C246, KASA!$B:$B, "MAL SATIŞI") + SUMIFS(KASA!$K:$K, KASA!$C:$C, $C246, KASA!$B:$B, "ÜRETİM ÇIKIŞ")</f>
        <v>6231</v>
      </c>
      <c r="M246" s="5">
        <f t="shared" si="41"/>
        <v>11272.386</v>
      </c>
      <c r="N246" s="5">
        <f t="shared" si="42"/>
        <v>3922.2884999999997</v>
      </c>
      <c r="O246" s="65">
        <f t="shared" si="43"/>
        <v>0.5336376150112293</v>
      </c>
      <c r="P246" s="5">
        <f t="shared" si="44"/>
        <v>145.63806201550386</v>
      </c>
      <c r="Q246" s="5">
        <f t="shared" si="45"/>
        <v>0</v>
      </c>
      <c r="R246" s="5">
        <f t="shared" si="46"/>
        <v>0</v>
      </c>
      <c r="S246" s="5">
        <f t="shared" si="47"/>
        <v>7350.0975000000008</v>
      </c>
      <c r="T246">
        <v>0</v>
      </c>
      <c r="U246" s="2">
        <f t="shared" si="48"/>
        <v>0</v>
      </c>
      <c r="V246">
        <f>SUMIF(KASA!$C$2:$C$9980, C246, KASA!$T$2:$T$9980)</f>
        <v>0</v>
      </c>
      <c r="W246">
        <f>SUMIF(KASA!$C$2:$C$9980, C246, KASA!$U$2:$U$9980)</f>
        <v>0</v>
      </c>
      <c r="X246" s="2">
        <f t="shared" si="49"/>
        <v>0</v>
      </c>
      <c r="Y246" s="2">
        <f t="shared" si="50"/>
        <v>0</v>
      </c>
      <c r="Z246">
        <f>SUMIF(KASA!$C$2:$C$9980, C246, KASA!$V$2:$V$9980)</f>
        <v>7350.0975000000008</v>
      </c>
      <c r="AA246">
        <f t="shared" si="51"/>
        <v>7350.0975000000008</v>
      </c>
    </row>
    <row r="247" spans="3:27" x14ac:dyDescent="0.25">
      <c r="C247" s="4" t="s">
        <v>587</v>
      </c>
      <c r="D247" s="5">
        <f>SUMIFS(KASA!$I:$I, KASA!$C:$C, $C247, KASA!$B:$B, "MAL ALIMI") + SUMIFS(KASA!$I:$I, KASA!$C:$C, $C247, KASA!$B:$B, "ÜRETİM GİRİŞ")</f>
        <v>154.79999999999998</v>
      </c>
      <c r="E247" s="5" cm="1">
        <f t="array" ref="E247">IFERROR(AVERAGE(IF((KASA!$C$2:$C$9980=$C247)*((KASA!$B$2:$B$9980="MAL ALIMI")+(KASA!$B$2:$B$9980="ÜRETİM GİRİŞ")),KASA!$J$2:$J$9980)),0)</f>
        <v>73.829342930970839</v>
      </c>
      <c r="F247" s="5">
        <f>SUMIFS(KASA!$I:$I, KASA!$C:$C, $C247, KASA!$B:$B, "MAL SATIŞI") + SUMIFS(KASA!$I:$I, KASA!$C:$C, $C247, KASA!$B:$B, "ÜRETİM ÇIKIŞ")</f>
        <v>154.79999999999998</v>
      </c>
      <c r="G247" s="5">
        <f>SUMIFS(KASA!$I:$I, KASA!$C:$C, $C247, KASA!$B:$B, "MAL İADE")</f>
        <v>0</v>
      </c>
      <c r="H247" s="5">
        <f>SUMIFS(KASA!$K:$K, KASA!$C:$C, $C247, KASA!$B:$B, "MAL İADE") + SUMIFS(KASA!$Q:$Q, KASA!$C:$C, $C247, KASA!$B:$B, "MAL İADE")</f>
        <v>0</v>
      </c>
      <c r="I247" s="5">
        <f t="shared" si="39"/>
        <v>154.79999999999998</v>
      </c>
      <c r="J247" s="5">
        <f t="shared" si="40"/>
        <v>11428.782285714284</v>
      </c>
      <c r="K247" s="5">
        <f>SUMIFS(KASA!$Q:$Q, KASA!$C:$C, $C247, KASA!$B:$B, "MAL SATIŞI") + SUMIFS(KASA!$Q:$Q, KASA!$C:$C, $C247, KASA!$B:$B, "ÜRETİM ÇIKIŞ")</f>
        <v>13048.45658168533</v>
      </c>
      <c r="L247" s="5">
        <f>SUMIFS(KASA!$K:$K, KASA!$C:$C, $C247, KASA!$B:$B, "MAL SATIŞI") + SUMIFS(KASA!$K:$K, KASA!$C:$C, $C247, KASA!$B:$B, "ÜRETİM ÇIKIŞ")</f>
        <v>5811.0700000000006</v>
      </c>
      <c r="M247" s="5">
        <f t="shared" si="41"/>
        <v>18859.526581685332</v>
      </c>
      <c r="N247" s="5">
        <f t="shared" si="42"/>
        <v>7430.7442959710479</v>
      </c>
      <c r="O247" s="65">
        <f t="shared" si="43"/>
        <v>0.65017813011096626</v>
      </c>
      <c r="P247" s="5">
        <f t="shared" si="44"/>
        <v>121.83156706515074</v>
      </c>
      <c r="Q247" s="5">
        <f t="shared" si="45"/>
        <v>0</v>
      </c>
      <c r="R247" s="5">
        <f t="shared" si="46"/>
        <v>0</v>
      </c>
      <c r="S247" s="5">
        <f t="shared" si="47"/>
        <v>11428.782285714284</v>
      </c>
      <c r="T247">
        <v>0</v>
      </c>
      <c r="U247" s="2">
        <f t="shared" si="48"/>
        <v>0</v>
      </c>
      <c r="V247">
        <f>SUMIF(KASA!$C$2:$C$9980, C247, KASA!$T$2:$T$9980)</f>
        <v>0</v>
      </c>
      <c r="W247">
        <f>SUMIF(KASA!$C$2:$C$9980, C247, KASA!$U$2:$U$9980)</f>
        <v>0</v>
      </c>
      <c r="X247" s="2">
        <f t="shared" si="49"/>
        <v>0</v>
      </c>
      <c r="Y247" s="2">
        <f t="shared" si="50"/>
        <v>0</v>
      </c>
      <c r="Z247">
        <f>SUMIF(KASA!$C$2:$C$9980, C247, KASA!$V$2:$V$9980)</f>
        <v>11450.273499999999</v>
      </c>
      <c r="AA247">
        <f t="shared" si="51"/>
        <v>11450.273499999999</v>
      </c>
    </row>
    <row r="248" spans="3:27" x14ac:dyDescent="0.25">
      <c r="C248" s="4" t="s">
        <v>592</v>
      </c>
      <c r="D248" s="5">
        <f>SUMIFS(KASA!$I:$I, KASA!$C:$C, $C248, KASA!$B:$B, "MAL ALIMI") + SUMIFS(KASA!$I:$I, KASA!$C:$C, $C248, KASA!$B:$B, "ÜRETİM GİRİŞ")</f>
        <v>12</v>
      </c>
      <c r="E248" s="5" cm="1">
        <f t="array" ref="E248">IFERROR(AVERAGE(IF((KASA!$C$2:$C$9980=$C248)*((KASA!$B$2:$B$9980="MAL ALIMI")+(KASA!$B$2:$B$9980="ÜRETİM GİRİŞ")),KASA!$J$2:$J$9980)),0)</f>
        <v>18.332999999999998</v>
      </c>
      <c r="F248" s="5">
        <f>SUMIFS(KASA!$I:$I, KASA!$C:$C, $C248, KASA!$B:$B, "MAL SATIŞI") + SUMIFS(KASA!$I:$I, KASA!$C:$C, $C248, KASA!$B:$B, "ÜRETİM ÇIKIŞ")</f>
        <v>12</v>
      </c>
      <c r="G248" s="5">
        <f>SUMIFS(KASA!$I:$I, KASA!$C:$C, $C248, KASA!$B:$B, "MAL İADE")</f>
        <v>0</v>
      </c>
      <c r="H248" s="5">
        <f>SUMIFS(KASA!$K:$K, KASA!$C:$C, $C248, KASA!$B:$B, "MAL İADE") + SUMIFS(KASA!$Q:$Q, KASA!$C:$C, $C248, KASA!$B:$B, "MAL İADE")</f>
        <v>0</v>
      </c>
      <c r="I248" s="5">
        <f t="shared" si="39"/>
        <v>12</v>
      </c>
      <c r="J248" s="5">
        <f t="shared" si="40"/>
        <v>219.99599999999998</v>
      </c>
      <c r="K248" s="5">
        <f>SUMIFS(KASA!$Q:$Q, KASA!$C:$C, $C248, KASA!$B:$B, "MAL SATIŞI") + SUMIFS(KASA!$Q:$Q, KASA!$C:$C, $C248, KASA!$B:$B, "ÜRETİM ÇIKIŞ")</f>
        <v>70</v>
      </c>
      <c r="L248" s="5">
        <f>SUMIFS(KASA!$K:$K, KASA!$C:$C, $C248, KASA!$B:$B, "MAL SATIŞI") + SUMIFS(KASA!$K:$K, KASA!$C:$C, $C248, KASA!$B:$B, "ÜRETİM ÇIKIŞ")</f>
        <v>350</v>
      </c>
      <c r="M248" s="5">
        <f t="shared" si="41"/>
        <v>420</v>
      </c>
      <c r="N248" s="5">
        <f t="shared" si="42"/>
        <v>200.00400000000002</v>
      </c>
      <c r="O248" s="65">
        <f t="shared" si="43"/>
        <v>0.90912562046582679</v>
      </c>
      <c r="P248" s="5">
        <f t="shared" si="44"/>
        <v>35</v>
      </c>
      <c r="Q248" s="5">
        <f t="shared" si="45"/>
        <v>0</v>
      </c>
      <c r="R248" s="5">
        <f t="shared" si="46"/>
        <v>0</v>
      </c>
      <c r="S248" s="5">
        <f t="shared" si="47"/>
        <v>219.99599999999998</v>
      </c>
      <c r="T248">
        <v>0</v>
      </c>
      <c r="U248" s="2">
        <f t="shared" si="48"/>
        <v>0</v>
      </c>
      <c r="V248">
        <f>SUMIF(KASA!$C$2:$C$9980, C248, KASA!$T$2:$T$9980)</f>
        <v>0</v>
      </c>
      <c r="W248">
        <f>SUMIF(KASA!$C$2:$C$9980, C248, KASA!$U$2:$U$9980)</f>
        <v>0</v>
      </c>
      <c r="X248" s="2">
        <f t="shared" si="49"/>
        <v>0</v>
      </c>
      <c r="Y248" s="2">
        <f t="shared" si="50"/>
        <v>0</v>
      </c>
      <c r="Z248">
        <f>SUMIF(KASA!$C$2:$C$9980, C248, KASA!$V$2:$V$9980)</f>
        <v>219.99599999999998</v>
      </c>
      <c r="AA248">
        <f t="shared" si="51"/>
        <v>219.99599999999998</v>
      </c>
    </row>
    <row r="249" spans="3:27" x14ac:dyDescent="0.25">
      <c r="C249" s="4" t="s">
        <v>593</v>
      </c>
      <c r="D249" s="5">
        <f>SUMIFS(KASA!$I:$I, KASA!$C:$C, $C249, KASA!$B:$B, "MAL ALIMI") + SUMIFS(KASA!$I:$I, KASA!$C:$C, $C249, KASA!$B:$B, "ÜRETİM GİRİŞ")</f>
        <v>6</v>
      </c>
      <c r="E249" s="5" cm="1">
        <f t="array" ref="E249">IFERROR(AVERAGE(IF((KASA!$C$2:$C$9980=$C249)*((KASA!$B$2:$B$9980="MAL ALIMI")+(KASA!$B$2:$B$9980="ÜRETİM GİRİŞ")),KASA!$J$2:$J$9980)),0)</f>
        <v>18.332999999999998</v>
      </c>
      <c r="F249" s="5">
        <f>SUMIFS(KASA!$I:$I, KASA!$C:$C, $C249, KASA!$B:$B, "MAL SATIŞI") + SUMIFS(KASA!$I:$I, KASA!$C:$C, $C249, KASA!$B:$B, "ÜRETİM ÇIKIŞ")</f>
        <v>6</v>
      </c>
      <c r="G249" s="5">
        <f>SUMIFS(KASA!$I:$I, KASA!$C:$C, $C249, KASA!$B:$B, "MAL İADE")</f>
        <v>0</v>
      </c>
      <c r="H249" s="5">
        <f>SUMIFS(KASA!$K:$K, KASA!$C:$C, $C249, KASA!$B:$B, "MAL İADE") + SUMIFS(KASA!$Q:$Q, KASA!$C:$C, $C249, KASA!$B:$B, "MAL İADE")</f>
        <v>0</v>
      </c>
      <c r="I249" s="5">
        <f t="shared" si="39"/>
        <v>6</v>
      </c>
      <c r="J249" s="5">
        <f t="shared" si="40"/>
        <v>109.99799999999999</v>
      </c>
      <c r="K249" s="5">
        <f>SUMIFS(KASA!$Q:$Q, KASA!$C:$C, $C249, KASA!$B:$B, "MAL SATIŞI") + SUMIFS(KASA!$Q:$Q, KASA!$C:$C, $C249, KASA!$B:$B, "ÜRETİM ÇIKIŞ")</f>
        <v>70</v>
      </c>
      <c r="L249" s="5">
        <f>SUMIFS(KASA!$K:$K, KASA!$C:$C, $C249, KASA!$B:$B, "MAL SATIŞI") + SUMIFS(KASA!$K:$K, KASA!$C:$C, $C249, KASA!$B:$B, "ÜRETİM ÇIKIŞ")</f>
        <v>140</v>
      </c>
      <c r="M249" s="5">
        <f t="shared" si="41"/>
        <v>210</v>
      </c>
      <c r="N249" s="5">
        <f t="shared" si="42"/>
        <v>100.00200000000001</v>
      </c>
      <c r="O249" s="65">
        <f t="shared" si="43"/>
        <v>0.90912562046582679</v>
      </c>
      <c r="P249" s="5">
        <f t="shared" si="44"/>
        <v>35</v>
      </c>
      <c r="Q249" s="5">
        <f t="shared" si="45"/>
        <v>0</v>
      </c>
      <c r="R249" s="5">
        <f t="shared" si="46"/>
        <v>0</v>
      </c>
      <c r="S249" s="5">
        <f t="shared" si="47"/>
        <v>109.99799999999999</v>
      </c>
      <c r="T249">
        <v>0</v>
      </c>
      <c r="U249" s="2">
        <f t="shared" si="48"/>
        <v>0</v>
      </c>
      <c r="V249">
        <f>SUMIF(KASA!$C$2:$C$9980, C249, KASA!$T$2:$T$9980)</f>
        <v>0</v>
      </c>
      <c r="W249">
        <f>SUMIF(KASA!$C$2:$C$9980, C249, KASA!$U$2:$U$9980)</f>
        <v>0</v>
      </c>
      <c r="X249" s="2">
        <f t="shared" si="49"/>
        <v>0</v>
      </c>
      <c r="Y249" s="2">
        <f t="shared" si="50"/>
        <v>0</v>
      </c>
      <c r="Z249">
        <f>SUMIF(KASA!$C$2:$C$9980, C249, KASA!$V$2:$V$9980)</f>
        <v>109.99799999999999</v>
      </c>
      <c r="AA249">
        <f t="shared" si="51"/>
        <v>109.99799999999999</v>
      </c>
    </row>
    <row r="250" spans="3:27" x14ac:dyDescent="0.25">
      <c r="C250" s="4" t="s">
        <v>594</v>
      </c>
      <c r="D250" s="5">
        <f>SUMIFS(KASA!$I:$I, KASA!$C:$C, $C250, KASA!$B:$B, "MAL ALIMI") + SUMIFS(KASA!$I:$I, KASA!$C:$C, $C250, KASA!$B:$B, "ÜRETİM GİRİŞ")</f>
        <v>12</v>
      </c>
      <c r="E250" s="5" cm="1">
        <f t="array" ref="E250">IFERROR(AVERAGE(IF((KASA!$C$2:$C$9980=$C250)*((KASA!$B$2:$B$9980="MAL ALIMI")+(KASA!$B$2:$B$9980="ÜRETİM GİRİŞ")),KASA!$J$2:$J$9980)),0)</f>
        <v>18.332999999999998</v>
      </c>
      <c r="F250" s="5">
        <f>SUMIFS(KASA!$I:$I, KASA!$C:$C, $C250, KASA!$B:$B, "MAL SATIŞI") + SUMIFS(KASA!$I:$I, KASA!$C:$C, $C250, KASA!$B:$B, "ÜRETİM ÇIKIŞ")</f>
        <v>0</v>
      </c>
      <c r="G250" s="5">
        <f>SUMIFS(KASA!$I:$I, KASA!$C:$C, $C250, KASA!$B:$B, "MAL İADE")</f>
        <v>0</v>
      </c>
      <c r="H250" s="5">
        <f>SUMIFS(KASA!$K:$K, KASA!$C:$C, $C250, KASA!$B:$B, "MAL İADE") + SUMIFS(KASA!$Q:$Q, KASA!$C:$C, $C250, KASA!$B:$B, "MAL İADE")</f>
        <v>0</v>
      </c>
      <c r="I250" s="5">
        <f t="shared" si="39"/>
        <v>0</v>
      </c>
      <c r="J250" s="5">
        <f t="shared" si="40"/>
        <v>0</v>
      </c>
      <c r="K250" s="5">
        <f>SUMIFS(KASA!$Q:$Q, KASA!$C:$C, $C250, KASA!$B:$B, "MAL SATIŞI") + SUMIFS(KASA!$Q:$Q, KASA!$C:$C, $C250, KASA!$B:$B, "ÜRETİM ÇIKIŞ")</f>
        <v>0</v>
      </c>
      <c r="L250" s="5">
        <f>SUMIFS(KASA!$K:$K, KASA!$C:$C, $C250, KASA!$B:$B, "MAL SATIŞI") + SUMIFS(KASA!$K:$K, KASA!$C:$C, $C250, KASA!$B:$B, "ÜRETİM ÇIKIŞ")</f>
        <v>0</v>
      </c>
      <c r="M250" s="5">
        <f t="shared" si="41"/>
        <v>0</v>
      </c>
      <c r="N250" s="5">
        <f t="shared" si="42"/>
        <v>0</v>
      </c>
      <c r="O250" s="65">
        <f t="shared" si="43"/>
        <v>0</v>
      </c>
      <c r="P250" s="5" t="e">
        <f t="shared" si="44"/>
        <v>#DIV/0!</v>
      </c>
      <c r="Q250" s="5">
        <f t="shared" si="45"/>
        <v>12</v>
      </c>
      <c r="R250" s="5">
        <f t="shared" si="46"/>
        <v>219.99599999999998</v>
      </c>
      <c r="S250" s="5">
        <f t="shared" si="47"/>
        <v>219.99599999999998</v>
      </c>
      <c r="T250">
        <v>12</v>
      </c>
      <c r="U250" s="2">
        <f t="shared" si="48"/>
        <v>0</v>
      </c>
      <c r="V250">
        <f>SUMIF(KASA!$C$2:$C$9980, C250, KASA!$T$2:$T$9980)</f>
        <v>12</v>
      </c>
      <c r="W250">
        <f>SUMIF(KASA!$C$2:$C$9980, C250, KASA!$U$2:$U$9980)</f>
        <v>219.99599999999998</v>
      </c>
      <c r="X250" s="2">
        <f t="shared" si="49"/>
        <v>12</v>
      </c>
      <c r="Y250" s="2">
        <f t="shared" si="50"/>
        <v>219.99599999999998</v>
      </c>
      <c r="Z250">
        <f>SUMIF(KASA!$C$2:$C$9980, C250, KASA!$V$2:$V$9980)</f>
        <v>219.99599999999998</v>
      </c>
      <c r="AA250">
        <f t="shared" si="51"/>
        <v>0</v>
      </c>
    </row>
    <row r="251" spans="3:27" x14ac:dyDescent="0.25">
      <c r="C251" s="4" t="s">
        <v>595</v>
      </c>
      <c r="D251" s="5">
        <f>SUMIFS(KASA!$I:$I, KASA!$C:$C, $C251, KASA!$B:$B, "MAL ALIMI") + SUMIFS(KASA!$I:$I, KASA!$C:$C, $C251, KASA!$B:$B, "ÜRETİM GİRİŞ")</f>
        <v>6</v>
      </c>
      <c r="E251" s="5" cm="1">
        <f t="array" ref="E251">IFERROR(AVERAGE(IF((KASA!$C$2:$C$9980=$C251)*((KASA!$B$2:$B$9980="MAL ALIMI")+(KASA!$B$2:$B$9980="ÜRETİM GİRİŞ")),KASA!$J$2:$J$9980)),0)</f>
        <v>18.332999999999998</v>
      </c>
      <c r="F251" s="5">
        <f>SUMIFS(KASA!$I:$I, KASA!$C:$C, $C251, KASA!$B:$B, "MAL SATIŞI") + SUMIFS(KASA!$I:$I, KASA!$C:$C, $C251, KASA!$B:$B, "ÜRETİM ÇIKIŞ")</f>
        <v>0</v>
      </c>
      <c r="G251" s="5">
        <f>SUMIFS(KASA!$I:$I, KASA!$C:$C, $C251, KASA!$B:$B, "MAL İADE")</f>
        <v>0</v>
      </c>
      <c r="H251" s="5">
        <f>SUMIFS(KASA!$K:$K, KASA!$C:$C, $C251, KASA!$B:$B, "MAL İADE") + SUMIFS(KASA!$Q:$Q, KASA!$C:$C, $C251, KASA!$B:$B, "MAL İADE")</f>
        <v>0</v>
      </c>
      <c r="I251" s="5">
        <f t="shared" si="39"/>
        <v>0</v>
      </c>
      <c r="J251" s="5">
        <f t="shared" si="40"/>
        <v>0</v>
      </c>
      <c r="K251" s="5">
        <f>SUMIFS(KASA!$Q:$Q, KASA!$C:$C, $C251, KASA!$B:$B, "MAL SATIŞI") + SUMIFS(KASA!$Q:$Q, KASA!$C:$C, $C251, KASA!$B:$B, "ÜRETİM ÇIKIŞ")</f>
        <v>0</v>
      </c>
      <c r="L251" s="5">
        <f>SUMIFS(KASA!$K:$K, KASA!$C:$C, $C251, KASA!$B:$B, "MAL SATIŞI") + SUMIFS(KASA!$K:$K, KASA!$C:$C, $C251, KASA!$B:$B, "ÜRETİM ÇIKIŞ")</f>
        <v>0</v>
      </c>
      <c r="M251" s="5">
        <f t="shared" si="41"/>
        <v>0</v>
      </c>
      <c r="N251" s="5">
        <f t="shared" si="42"/>
        <v>0</v>
      </c>
      <c r="O251" s="65">
        <f t="shared" si="43"/>
        <v>0</v>
      </c>
      <c r="P251" s="5" t="e">
        <f t="shared" si="44"/>
        <v>#DIV/0!</v>
      </c>
      <c r="Q251" s="5">
        <f t="shared" si="45"/>
        <v>6</v>
      </c>
      <c r="R251" s="5">
        <f t="shared" si="46"/>
        <v>109.99799999999999</v>
      </c>
      <c r="S251" s="5">
        <f t="shared" si="47"/>
        <v>109.99799999999999</v>
      </c>
      <c r="T251">
        <v>6</v>
      </c>
      <c r="U251" s="2">
        <f t="shared" si="48"/>
        <v>0</v>
      </c>
      <c r="V251">
        <f>SUMIF(KASA!$C$2:$C$9980, C251, KASA!$T$2:$T$9980)</f>
        <v>6</v>
      </c>
      <c r="W251">
        <f>SUMIF(KASA!$C$2:$C$9980, C251, KASA!$U$2:$U$9980)</f>
        <v>109.99799999999999</v>
      </c>
      <c r="X251" s="2">
        <f t="shared" si="49"/>
        <v>6</v>
      </c>
      <c r="Y251" s="2">
        <f t="shared" si="50"/>
        <v>109.99799999999999</v>
      </c>
      <c r="Z251">
        <f>SUMIF(KASA!$C$2:$C$9980, C251, KASA!$V$2:$V$9980)</f>
        <v>109.99799999999999</v>
      </c>
      <c r="AA251">
        <f t="shared" si="51"/>
        <v>0</v>
      </c>
    </row>
    <row r="252" spans="3:27" x14ac:dyDescent="0.25">
      <c r="C252" s="4" t="s">
        <v>589</v>
      </c>
      <c r="D252" s="5">
        <f>SUMIFS(KASA!$I:$I, KASA!$C:$C, $C252, KASA!$B:$B, "MAL ALIMI") + SUMIFS(KASA!$I:$I, KASA!$C:$C, $C252, KASA!$B:$B, "ÜRETİM GİRİŞ")</f>
        <v>2</v>
      </c>
      <c r="E252" s="5" cm="1">
        <f t="array" ref="E252">IFERROR(AVERAGE(IF((KASA!$C$2:$C$9980=$C252)*((KASA!$B$2:$B$9980="MAL ALIMI")+(KASA!$B$2:$B$9980="ÜRETİM GİRİŞ")),KASA!$J$2:$J$9980)),0)</f>
        <v>317.5</v>
      </c>
      <c r="F252" s="5">
        <f>SUMIFS(KASA!$I:$I, KASA!$C:$C, $C252, KASA!$B:$B, "MAL SATIŞI") + SUMIFS(KASA!$I:$I, KASA!$C:$C, $C252, KASA!$B:$B, "ÜRETİM ÇIKIŞ")</f>
        <v>1.3997500000000003</v>
      </c>
      <c r="G252" s="5">
        <f>SUMIFS(KASA!$I:$I, KASA!$C:$C, $C252, KASA!$B:$B, "MAL İADE")</f>
        <v>0</v>
      </c>
      <c r="H252" s="5">
        <f>SUMIFS(KASA!$K:$K, KASA!$C:$C, $C252, KASA!$B:$B, "MAL İADE") + SUMIFS(KASA!$Q:$Q, KASA!$C:$C, $C252, KASA!$B:$B, "MAL İADE")</f>
        <v>0</v>
      </c>
      <c r="I252" s="5">
        <f t="shared" si="39"/>
        <v>1.3997500000000003</v>
      </c>
      <c r="J252" s="5">
        <f t="shared" si="40"/>
        <v>444.42062500000009</v>
      </c>
      <c r="K252" s="5">
        <f>SUMIFS(KASA!$Q:$Q, KASA!$C:$C, $C252, KASA!$B:$B, "MAL SATIŞI") + SUMIFS(KASA!$Q:$Q, KASA!$C:$C, $C252, KASA!$B:$B, "ÜRETİM ÇIKIŞ")</f>
        <v>316.375</v>
      </c>
      <c r="L252" s="5">
        <f>SUMIFS(KASA!$K:$K, KASA!$C:$C, $C252, KASA!$B:$B, "MAL SATIŞI") + SUMIFS(KASA!$K:$K, KASA!$C:$C, $C252, KASA!$B:$B, "ÜRETİM ÇIKIŞ")</f>
        <v>191.07999999999998</v>
      </c>
      <c r="M252" s="5">
        <f t="shared" si="41"/>
        <v>507.45499999999998</v>
      </c>
      <c r="N252" s="5">
        <f t="shared" si="42"/>
        <v>63.034374999999898</v>
      </c>
      <c r="O252" s="65">
        <f t="shared" si="43"/>
        <v>0.14183494521659495</v>
      </c>
      <c r="P252" s="5">
        <f t="shared" si="44"/>
        <v>362.5325951062689</v>
      </c>
      <c r="Q252" s="5">
        <f t="shared" si="45"/>
        <v>0.60024999999999973</v>
      </c>
      <c r="R252" s="5">
        <f t="shared" si="46"/>
        <v>190.57937499999991</v>
      </c>
      <c r="S252" s="5">
        <f t="shared" si="47"/>
        <v>635</v>
      </c>
      <c r="U252" s="2">
        <f t="shared" si="48"/>
        <v>0.60024999999999973</v>
      </c>
      <c r="V252">
        <f>SUMIF(KASA!$C$2:$C$9980, C252, KASA!$T$2:$T$9980)</f>
        <v>0.60024999999999973</v>
      </c>
      <c r="W252">
        <f>SUMIF(KASA!$C$2:$C$9980, C252, KASA!$U$2:$U$9980)</f>
        <v>144.05999999999995</v>
      </c>
      <c r="X252" s="2">
        <f t="shared" si="49"/>
        <v>0.60024999999999973</v>
      </c>
      <c r="Y252" s="2">
        <f t="shared" si="50"/>
        <v>144.05999999999995</v>
      </c>
      <c r="Z252">
        <f>SUMIF(KASA!$C$2:$C$9980, C252, KASA!$V$2:$V$9980)</f>
        <v>635</v>
      </c>
      <c r="AA252">
        <f t="shared" si="51"/>
        <v>490.94000000000005</v>
      </c>
    </row>
    <row r="253" spans="3:27" x14ac:dyDescent="0.25">
      <c r="C253" s="4" t="s">
        <v>590</v>
      </c>
      <c r="D253" s="5">
        <f>SUMIFS(KASA!$I:$I, KASA!$C:$C, $C253, KASA!$B:$B, "MAL ALIMI") + SUMIFS(KASA!$I:$I, KASA!$C:$C, $C253, KASA!$B:$B, "ÜRETİM GİRİŞ")</f>
        <v>30.92</v>
      </c>
      <c r="E253" s="5" cm="1">
        <f t="array" ref="E253">IFERROR(AVERAGE(IF((KASA!$C$2:$C$9980=$C253)*((KASA!$B$2:$B$9980="MAL ALIMI")+(KASA!$B$2:$B$9980="ÜRETİM GİRİŞ")),KASA!$J$2:$J$9980)),0)</f>
        <v>54.666666666666664</v>
      </c>
      <c r="F253" s="5">
        <f>SUMIFS(KASA!$I:$I, KASA!$C:$C, $C253, KASA!$B:$B, "MAL SATIŞI") + SUMIFS(KASA!$I:$I, KASA!$C:$C, $C253, KASA!$B:$B, "ÜRETİM ÇIKIŞ")</f>
        <v>26.92</v>
      </c>
      <c r="G253" s="5">
        <f>SUMIFS(KASA!$I:$I, KASA!$C:$C, $C253, KASA!$B:$B, "MAL İADE")</f>
        <v>0</v>
      </c>
      <c r="H253" s="5">
        <f>SUMIFS(KASA!$K:$K, KASA!$C:$C, $C253, KASA!$B:$B, "MAL İADE") + SUMIFS(KASA!$Q:$Q, KASA!$C:$C, $C253, KASA!$B:$B, "MAL İADE")</f>
        <v>0</v>
      </c>
      <c r="I253" s="5">
        <f t="shared" si="39"/>
        <v>26.92</v>
      </c>
      <c r="J253" s="5">
        <f t="shared" si="40"/>
        <v>1471.6266666666668</v>
      </c>
      <c r="K253" s="5">
        <f>SUMIFS(KASA!$Q:$Q, KASA!$C:$C, $C253, KASA!$B:$B, "MAL SATIŞI") + SUMIFS(KASA!$Q:$Q, KASA!$C:$C, $C253, KASA!$B:$B, "ÜRETİM ÇIKIŞ")</f>
        <v>1049.8</v>
      </c>
      <c r="L253" s="5">
        <f>SUMIFS(KASA!$K:$K, KASA!$C:$C, $C253, KASA!$B:$B, "MAL SATIŞI") + SUMIFS(KASA!$K:$K, KASA!$C:$C, $C253, KASA!$B:$B, "ÜRETİM ÇIKIŞ")</f>
        <v>750</v>
      </c>
      <c r="M253" s="5">
        <f t="shared" si="41"/>
        <v>1799.8</v>
      </c>
      <c r="N253" s="5">
        <f t="shared" si="42"/>
        <v>328.17333333333318</v>
      </c>
      <c r="O253" s="65">
        <f t="shared" si="43"/>
        <v>0.22300039865183185</v>
      </c>
      <c r="P253" s="5">
        <f t="shared" si="44"/>
        <v>66.857355126300149</v>
      </c>
      <c r="Q253" s="5">
        <f t="shared" si="45"/>
        <v>4</v>
      </c>
      <c r="R253" s="5">
        <f t="shared" si="46"/>
        <v>218.66666666666666</v>
      </c>
      <c r="S253" s="5">
        <f t="shared" si="47"/>
        <v>1690.2933333333333</v>
      </c>
      <c r="T253">
        <v>1</v>
      </c>
      <c r="U253" s="2">
        <f t="shared" si="48"/>
        <v>3</v>
      </c>
      <c r="V253">
        <f>SUMIF(KASA!$C$2:$C$9980, C253, KASA!$T$2:$T$9980)</f>
        <v>4</v>
      </c>
      <c r="W253">
        <f>SUMIF(KASA!$C$2:$C$9980, C253, KASA!$U$2:$U$9980)</f>
        <v>208</v>
      </c>
      <c r="X253" s="2">
        <f t="shared" si="49"/>
        <v>4</v>
      </c>
      <c r="Y253" s="2">
        <f t="shared" si="50"/>
        <v>208</v>
      </c>
      <c r="Z253">
        <f>SUMIF(KASA!$C$2:$C$9980, C253, KASA!$V$2:$V$9980)</f>
        <v>1635.8400000000001</v>
      </c>
      <c r="AA253">
        <f t="shared" si="51"/>
        <v>1427.8400000000001</v>
      </c>
    </row>
    <row r="254" spans="3:27" x14ac:dyDescent="0.25">
      <c r="C254" s="4" t="s">
        <v>591</v>
      </c>
      <c r="D254" s="5">
        <f>SUMIFS(KASA!$I:$I, KASA!$C:$C, $C254, KASA!$B:$B, "MAL ALIMI") + SUMIFS(KASA!$I:$I, KASA!$C:$C, $C254, KASA!$B:$B, "ÜRETİM GİRİŞ")</f>
        <v>20</v>
      </c>
      <c r="E254" s="5" cm="1">
        <f t="array" ref="E254">IFERROR(AVERAGE(IF((KASA!$C$2:$C$9980=$C254)*((KASA!$B$2:$B$9980="MAL ALIMI")+(KASA!$B$2:$B$9980="ÜRETİM GİRİŞ")),KASA!$J$2:$J$9980)),0)</f>
        <v>235</v>
      </c>
      <c r="F254" s="5">
        <f>SUMIFS(KASA!$I:$I, KASA!$C:$C, $C254, KASA!$B:$B, "MAL SATIŞI") + SUMIFS(KASA!$I:$I, KASA!$C:$C, $C254, KASA!$B:$B, "ÜRETİM ÇIKIŞ")</f>
        <v>20</v>
      </c>
      <c r="G254" s="5">
        <f>SUMIFS(KASA!$I:$I, KASA!$C:$C, $C254, KASA!$B:$B, "MAL İADE")</f>
        <v>0</v>
      </c>
      <c r="H254" s="5">
        <f>SUMIFS(KASA!$K:$K, KASA!$C:$C, $C254, KASA!$B:$B, "MAL İADE") + SUMIFS(KASA!$Q:$Q, KASA!$C:$C, $C254, KASA!$B:$B, "MAL İADE")</f>
        <v>0</v>
      </c>
      <c r="I254" s="5">
        <f t="shared" si="39"/>
        <v>20</v>
      </c>
      <c r="J254" s="5">
        <f t="shared" si="40"/>
        <v>4700</v>
      </c>
      <c r="K254" s="5">
        <f>SUMIFS(KASA!$Q:$Q, KASA!$C:$C, $C254, KASA!$B:$B, "MAL SATIŞI") + SUMIFS(KASA!$Q:$Q, KASA!$C:$C, $C254, KASA!$B:$B, "ÜRETİM ÇIKIŞ")</f>
        <v>3150</v>
      </c>
      <c r="L254" s="5">
        <f>SUMIFS(KASA!$K:$K, KASA!$C:$C, $C254, KASA!$B:$B, "MAL SATIŞI") + SUMIFS(KASA!$K:$K, KASA!$C:$C, $C254, KASA!$B:$B, "ÜRETİM ÇIKIŞ")</f>
        <v>3800</v>
      </c>
      <c r="M254" s="5">
        <f t="shared" si="41"/>
        <v>6950</v>
      </c>
      <c r="N254" s="5">
        <f t="shared" si="42"/>
        <v>2250</v>
      </c>
      <c r="O254" s="65">
        <f t="shared" si="43"/>
        <v>0.47872340425531917</v>
      </c>
      <c r="P254" s="5">
        <f t="shared" si="44"/>
        <v>347.5</v>
      </c>
      <c r="Q254" s="5">
        <f t="shared" si="45"/>
        <v>0</v>
      </c>
      <c r="R254" s="5">
        <f t="shared" si="46"/>
        <v>0</v>
      </c>
      <c r="S254" s="5">
        <f t="shared" si="47"/>
        <v>4700</v>
      </c>
      <c r="T254">
        <v>3</v>
      </c>
      <c r="U254" s="2">
        <f t="shared" si="48"/>
        <v>-3</v>
      </c>
      <c r="V254">
        <f>SUMIF(KASA!$C$2:$C$9980, C254, KASA!$T$2:$T$9980)</f>
        <v>0</v>
      </c>
      <c r="W254">
        <f>SUMIF(KASA!$C$2:$C$9980, C254, KASA!$U$2:$U$9980)</f>
        <v>0</v>
      </c>
      <c r="X254" s="2">
        <f t="shared" si="49"/>
        <v>0</v>
      </c>
      <c r="Y254" s="2">
        <f t="shared" si="50"/>
        <v>0</v>
      </c>
      <c r="Z254">
        <f>SUMIF(KASA!$C$2:$C$9980, C254, KASA!$V$2:$V$9980)</f>
        <v>4700</v>
      </c>
      <c r="AA254">
        <f t="shared" si="51"/>
        <v>4700</v>
      </c>
    </row>
    <row r="255" spans="3:27" x14ac:dyDescent="0.25">
      <c r="C255" s="4" t="s">
        <v>597</v>
      </c>
      <c r="D255" s="5">
        <f>SUMIFS(KASA!$I:$I, KASA!$C:$C, $C255, KASA!$B:$B, "MAL ALIMI") + SUMIFS(KASA!$I:$I, KASA!$C:$C, $C255, KASA!$B:$B, "ÜRETİM GİRİŞ")</f>
        <v>27</v>
      </c>
      <c r="E255" s="5" cm="1">
        <f t="array" ref="E255">IFERROR(AVERAGE(IF((KASA!$C$2:$C$9980=$C255)*((KASA!$B$2:$B$9980="MAL ALIMI")+(KASA!$B$2:$B$9980="ÜRETİM GİRİŞ")),KASA!$J$2:$J$9980)),0)</f>
        <v>242.5</v>
      </c>
      <c r="F255" s="5">
        <f>SUMIFS(KASA!$I:$I, KASA!$C:$C, $C255, KASA!$B:$B, "MAL SATIŞI") + SUMIFS(KASA!$I:$I, KASA!$C:$C, $C255, KASA!$B:$B, "ÜRETİM ÇIKIŞ")</f>
        <v>25</v>
      </c>
      <c r="G255" s="5">
        <f>SUMIFS(KASA!$I:$I, KASA!$C:$C, $C255, KASA!$B:$B, "MAL İADE")</f>
        <v>0</v>
      </c>
      <c r="H255" s="5">
        <f>SUMIFS(KASA!$K:$K, KASA!$C:$C, $C255, KASA!$B:$B, "MAL İADE") + SUMIFS(KASA!$Q:$Q, KASA!$C:$C, $C255, KASA!$B:$B, "MAL İADE")</f>
        <v>0</v>
      </c>
      <c r="I255" s="5">
        <f t="shared" si="39"/>
        <v>25</v>
      </c>
      <c r="J255" s="5">
        <f t="shared" si="40"/>
        <v>6062.5</v>
      </c>
      <c r="K255" s="5">
        <f>SUMIFS(KASA!$Q:$Q, KASA!$C:$C, $C255, KASA!$B:$B, "MAL SATIŞI") + SUMIFS(KASA!$Q:$Q, KASA!$C:$C, $C255, KASA!$B:$B, "ÜRETİM ÇIKIŞ")</f>
        <v>2020</v>
      </c>
      <c r="L255" s="5">
        <f>SUMIFS(KASA!$K:$K, KASA!$C:$C, $C255, KASA!$B:$B, "MAL SATIŞI") + SUMIFS(KASA!$K:$K, KASA!$C:$C, $C255, KASA!$B:$B, "ÜRETİM ÇIKIŞ")</f>
        <v>5810</v>
      </c>
      <c r="M255" s="5">
        <f t="shared" si="41"/>
        <v>7830</v>
      </c>
      <c r="N255" s="5">
        <f t="shared" si="42"/>
        <v>1767.5</v>
      </c>
      <c r="O255" s="65">
        <f t="shared" si="43"/>
        <v>0.29154639175257729</v>
      </c>
      <c r="P255" s="5">
        <f t="shared" si="44"/>
        <v>313.2</v>
      </c>
      <c r="Q255" s="5">
        <f t="shared" si="45"/>
        <v>2</v>
      </c>
      <c r="R255" s="5">
        <f t="shared" si="46"/>
        <v>485</v>
      </c>
      <c r="S255" s="5">
        <f t="shared" si="47"/>
        <v>6547.5</v>
      </c>
      <c r="T255">
        <v>0</v>
      </c>
      <c r="U255" s="2">
        <f t="shared" si="48"/>
        <v>2</v>
      </c>
      <c r="V255">
        <f>SUMIF(KASA!$C$2:$C$9980, C255, KASA!$T$2:$T$9980)</f>
        <v>2</v>
      </c>
      <c r="W255">
        <f>SUMIF(KASA!$C$2:$C$9980, C255, KASA!$U$2:$U$9980)</f>
        <v>500</v>
      </c>
      <c r="X255" s="2">
        <f t="shared" si="49"/>
        <v>2</v>
      </c>
      <c r="Y255" s="2">
        <f t="shared" si="50"/>
        <v>500</v>
      </c>
      <c r="Z255">
        <f>SUMIF(KASA!$C$2:$C$9980, C255, KASA!$V$2:$V$9980)</f>
        <v>6480</v>
      </c>
      <c r="AA255">
        <f t="shared" si="51"/>
        <v>5980</v>
      </c>
    </row>
    <row r="256" spans="3:27" x14ac:dyDescent="0.25">
      <c r="C256" s="4" t="s">
        <v>598</v>
      </c>
      <c r="D256" s="5">
        <f>SUMIFS(KASA!$I:$I, KASA!$C:$C, $C256, KASA!$B:$B, "MAL ALIMI") + SUMIFS(KASA!$I:$I, KASA!$C:$C, $C256, KASA!$B:$B, "ÜRETİM GİRİŞ")</f>
        <v>10</v>
      </c>
      <c r="E256" s="5" cm="1">
        <f t="array" ref="E256">IFERROR(AVERAGE(IF((KASA!$C$2:$C$9980=$C256)*((KASA!$B$2:$B$9980="MAL ALIMI")+(KASA!$B$2:$B$9980="ÜRETİM GİRİŞ")),KASA!$J$2:$J$9980)),0)</f>
        <v>225</v>
      </c>
      <c r="F256" s="5">
        <f>SUMIFS(KASA!$I:$I, KASA!$C:$C, $C256, KASA!$B:$B, "MAL SATIŞI") + SUMIFS(KASA!$I:$I, KASA!$C:$C, $C256, KASA!$B:$B, "ÜRETİM ÇIKIŞ")</f>
        <v>10.000241379310346</v>
      </c>
      <c r="G256" s="5">
        <f>SUMIFS(KASA!$I:$I, KASA!$C:$C, $C256, KASA!$B:$B, "MAL İADE")</f>
        <v>0</v>
      </c>
      <c r="H256" s="5">
        <f>SUMIFS(KASA!$K:$K, KASA!$C:$C, $C256, KASA!$B:$B, "MAL İADE") + SUMIFS(KASA!$Q:$Q, KASA!$C:$C, $C256, KASA!$B:$B, "MAL İADE")</f>
        <v>0</v>
      </c>
      <c r="I256" s="5">
        <f t="shared" si="39"/>
        <v>10.000241379310346</v>
      </c>
      <c r="J256" s="5">
        <f t="shared" si="40"/>
        <v>2250.0543103448276</v>
      </c>
      <c r="K256" s="5">
        <f>SUMIFS(KASA!$Q:$Q, KASA!$C:$C, $C256, KASA!$B:$B, "MAL SATIŞI") + SUMIFS(KASA!$Q:$Q, KASA!$C:$C, $C256, KASA!$B:$B, "ÜRETİM ÇIKIŞ")</f>
        <v>2352.3649999999998</v>
      </c>
      <c r="L256" s="5">
        <f>SUMIFS(KASA!$K:$K, KASA!$C:$C, $C256, KASA!$B:$B, "MAL SATIŞI") + SUMIFS(KASA!$K:$K, KASA!$C:$C, $C256, KASA!$B:$B, "ÜRETİM ÇIKIŞ")</f>
        <v>458.2</v>
      </c>
      <c r="M256" s="5">
        <f t="shared" si="41"/>
        <v>2810.5649999999996</v>
      </c>
      <c r="N256" s="5">
        <f t="shared" si="42"/>
        <v>560.51068965517197</v>
      </c>
      <c r="O256" s="65">
        <f t="shared" si="43"/>
        <v>0.24910984907260839</v>
      </c>
      <c r="P256" s="5">
        <f t="shared" si="44"/>
        <v>281.04971604133686</v>
      </c>
      <c r="Q256" s="5">
        <f t="shared" si="45"/>
        <v>-2.4137931034573512E-4</v>
      </c>
      <c r="R256" s="5">
        <f t="shared" si="46"/>
        <v>-5.4310344827790402E-2</v>
      </c>
      <c r="S256" s="5">
        <f t="shared" si="47"/>
        <v>2250</v>
      </c>
      <c r="T256">
        <v>0</v>
      </c>
      <c r="U256" s="2">
        <f t="shared" si="48"/>
        <v>-2.4137931034573512E-4</v>
      </c>
      <c r="V256">
        <f>SUMIF(KASA!$C$2:$C$9980, C256, KASA!$T$2:$T$9980)</f>
        <v>0</v>
      </c>
      <c r="W256">
        <f>SUMIF(KASA!$C$2:$C$9980, C256, KASA!$U$2:$U$9980)</f>
        <v>0</v>
      </c>
      <c r="X256" s="2">
        <f t="shared" si="49"/>
        <v>0</v>
      </c>
      <c r="Y256" s="2">
        <f t="shared" si="50"/>
        <v>0</v>
      </c>
      <c r="Z256">
        <f>SUMIF(KASA!$C$2:$C$9980, C256, KASA!$V$2:$V$9980)</f>
        <v>2250</v>
      </c>
      <c r="AA256">
        <f t="shared" si="51"/>
        <v>2250</v>
      </c>
    </row>
    <row r="257" spans="3:27" x14ac:dyDescent="0.25">
      <c r="C257" s="4" t="s">
        <v>599</v>
      </c>
      <c r="D257" s="5">
        <f>SUMIFS(KASA!$I:$I, KASA!$C:$C, $C257, KASA!$B:$B, "MAL ALIMI") + SUMIFS(KASA!$I:$I, KASA!$C:$C, $C257, KASA!$B:$B, "ÜRETİM GİRİŞ")</f>
        <v>12</v>
      </c>
      <c r="E257" s="5" cm="1">
        <f t="array" ref="E257">IFERROR(AVERAGE(IF((KASA!$C$2:$C$9980=$C257)*((KASA!$B$2:$B$9980="MAL ALIMI")+(KASA!$B$2:$B$9980="ÜRETİM GİRİŞ")),KASA!$J$2:$J$9980)),0)</f>
        <v>25</v>
      </c>
      <c r="F257" s="5">
        <f>SUMIFS(KASA!$I:$I, KASA!$C:$C, $C257, KASA!$B:$B, "MAL SATIŞI") + SUMIFS(KASA!$I:$I, KASA!$C:$C, $C257, KASA!$B:$B, "ÜRETİM ÇIKIŞ")</f>
        <v>5</v>
      </c>
      <c r="G257" s="5">
        <f>SUMIFS(KASA!$I:$I, KASA!$C:$C, $C257, KASA!$B:$B, "MAL İADE")</f>
        <v>0</v>
      </c>
      <c r="H257" s="5">
        <f>SUMIFS(KASA!$K:$K, KASA!$C:$C, $C257, KASA!$B:$B, "MAL İADE") + SUMIFS(KASA!$Q:$Q, KASA!$C:$C, $C257, KASA!$B:$B, "MAL İADE")</f>
        <v>0</v>
      </c>
      <c r="I257" s="5">
        <f t="shared" si="39"/>
        <v>5</v>
      </c>
      <c r="J257" s="5">
        <f t="shared" si="40"/>
        <v>125</v>
      </c>
      <c r="K257" s="5">
        <f>SUMIFS(KASA!$Q:$Q, KASA!$C:$C, $C257, KASA!$B:$B, "MAL SATIŞI") + SUMIFS(KASA!$Q:$Q, KASA!$C:$C, $C257, KASA!$B:$B, "ÜRETİM ÇIKIŞ")</f>
        <v>250</v>
      </c>
      <c r="L257" s="5">
        <f>SUMIFS(KASA!$K:$K, KASA!$C:$C, $C257, KASA!$B:$B, "MAL SATIŞI") + SUMIFS(KASA!$K:$K, KASA!$C:$C, $C257, KASA!$B:$B, "ÜRETİM ÇIKIŞ")</f>
        <v>0</v>
      </c>
      <c r="M257" s="5">
        <f t="shared" si="41"/>
        <v>250</v>
      </c>
      <c r="N257" s="5">
        <f t="shared" si="42"/>
        <v>125</v>
      </c>
      <c r="O257" s="65">
        <f t="shared" si="43"/>
        <v>1</v>
      </c>
      <c r="P257" s="5">
        <f t="shared" si="44"/>
        <v>50</v>
      </c>
      <c r="Q257" s="5">
        <f t="shared" si="45"/>
        <v>7</v>
      </c>
      <c r="R257" s="5">
        <f t="shared" si="46"/>
        <v>175</v>
      </c>
      <c r="S257" s="5">
        <f t="shared" si="47"/>
        <v>300</v>
      </c>
      <c r="T257">
        <v>10</v>
      </c>
      <c r="U257" s="2">
        <f t="shared" si="48"/>
        <v>-3</v>
      </c>
      <c r="V257">
        <f>SUMIF(KASA!$C$2:$C$9980, C257, KASA!$T$2:$T$9980)</f>
        <v>7</v>
      </c>
      <c r="W257">
        <f>SUMIF(KASA!$C$2:$C$9980, C257, KASA!$U$2:$U$9980)</f>
        <v>175</v>
      </c>
      <c r="X257" s="2">
        <f t="shared" si="49"/>
        <v>7</v>
      </c>
      <c r="Y257" s="2">
        <f t="shared" si="50"/>
        <v>175</v>
      </c>
      <c r="Z257">
        <f>SUMIF(KASA!$C$2:$C$9980, C257, KASA!$V$2:$V$9980)</f>
        <v>300</v>
      </c>
      <c r="AA257">
        <f t="shared" si="51"/>
        <v>125</v>
      </c>
    </row>
    <row r="258" spans="3:27" x14ac:dyDescent="0.25">
      <c r="C258" s="4" t="s">
        <v>600</v>
      </c>
      <c r="D258" s="5">
        <f>SUMIFS(KASA!$I:$I, KASA!$C:$C, $C258, KASA!$B:$B, "MAL ALIMI") + SUMIFS(KASA!$I:$I, KASA!$C:$C, $C258, KASA!$B:$B, "ÜRETİM GİRİŞ")</f>
        <v>12</v>
      </c>
      <c r="E258" s="5" cm="1">
        <f t="array" ref="E258">IFERROR(AVERAGE(IF((KASA!$C$2:$C$9980=$C258)*((KASA!$B$2:$B$9980="MAL ALIMI")+(KASA!$B$2:$B$9980="ÜRETİM GİRİŞ")),KASA!$J$2:$J$9980)),0)</f>
        <v>25</v>
      </c>
      <c r="F258" s="5">
        <f>SUMIFS(KASA!$I:$I, KASA!$C:$C, $C258, KASA!$B:$B, "MAL SATIŞI") + SUMIFS(KASA!$I:$I, KASA!$C:$C, $C258, KASA!$B:$B, "ÜRETİM ÇIKIŞ")</f>
        <v>1</v>
      </c>
      <c r="G258" s="5">
        <f>SUMIFS(KASA!$I:$I, KASA!$C:$C, $C258, KASA!$B:$B, "MAL İADE")</f>
        <v>0</v>
      </c>
      <c r="H258" s="5">
        <f>SUMIFS(KASA!$K:$K, KASA!$C:$C, $C258, KASA!$B:$B, "MAL İADE") + SUMIFS(KASA!$Q:$Q, KASA!$C:$C, $C258, KASA!$B:$B, "MAL İADE")</f>
        <v>0</v>
      </c>
      <c r="I258" s="5">
        <f t="shared" ref="I258:I321" si="52">F258+G258</f>
        <v>1</v>
      </c>
      <c r="J258" s="5">
        <f t="shared" ref="J258:J321" si="53">E258*F258</f>
        <v>25</v>
      </c>
      <c r="K258" s="5">
        <f>SUMIFS(KASA!$Q:$Q, KASA!$C:$C, $C258, KASA!$B:$B, "MAL SATIŞI") + SUMIFS(KASA!$Q:$Q, KASA!$C:$C, $C258, KASA!$B:$B, "ÜRETİM ÇIKIŞ")</f>
        <v>50</v>
      </c>
      <c r="L258" s="5">
        <f>SUMIFS(KASA!$K:$K, KASA!$C:$C, $C258, KASA!$B:$B, "MAL SATIŞI") + SUMIFS(KASA!$K:$K, KASA!$C:$C, $C258, KASA!$B:$B, "ÜRETİM ÇIKIŞ")</f>
        <v>0</v>
      </c>
      <c r="M258" s="5">
        <f t="shared" ref="M258:M321" si="54">K258+L258</f>
        <v>50</v>
      </c>
      <c r="N258" s="5">
        <f t="shared" ref="N258:N321" si="55">M258-J258</f>
        <v>25</v>
      </c>
      <c r="O258" s="65">
        <f t="shared" ref="O258:O321" si="56">IFERROR(((M258-J258)/J258),0)</f>
        <v>1</v>
      </c>
      <c r="P258" s="5">
        <f t="shared" ref="P258:P321" si="57">M258/F258</f>
        <v>50</v>
      </c>
      <c r="Q258" s="5">
        <f t="shared" ref="Q258:Q321" si="58">D258-F258-G258</f>
        <v>11</v>
      </c>
      <c r="R258" s="5">
        <f t="shared" ref="R258:R321" si="59">Q258*E258</f>
        <v>275</v>
      </c>
      <c r="S258" s="5">
        <f t="shared" ref="S258:S321" si="60">D258*E258</f>
        <v>300</v>
      </c>
      <c r="T258">
        <v>12</v>
      </c>
      <c r="U258" s="2">
        <f t="shared" ref="U258:U321" si="61">Q258-T258</f>
        <v>-1</v>
      </c>
      <c r="V258">
        <f>SUMIF(KASA!$C$2:$C$9980, C258, KASA!$T$2:$T$9980)</f>
        <v>11</v>
      </c>
      <c r="W258">
        <f>SUMIF(KASA!$C$2:$C$9980, C258, KASA!$U$2:$U$9980)</f>
        <v>275</v>
      </c>
      <c r="X258" s="2">
        <f t="shared" si="49"/>
        <v>11</v>
      </c>
      <c r="Y258" s="2">
        <f t="shared" si="50"/>
        <v>275</v>
      </c>
      <c r="Z258">
        <f>SUMIF(KASA!$C$2:$C$9980, C258, KASA!$V$2:$V$9980)</f>
        <v>300</v>
      </c>
      <c r="AA258">
        <f t="shared" si="51"/>
        <v>25</v>
      </c>
    </row>
    <row r="259" spans="3:27" x14ac:dyDescent="0.25">
      <c r="C259" s="4" t="s">
        <v>601</v>
      </c>
      <c r="D259" s="5">
        <f>SUMIFS(KASA!$I:$I, KASA!$C:$C, $C259, KASA!$B:$B, "MAL ALIMI") + SUMIFS(KASA!$I:$I, KASA!$C:$C, $C259, KASA!$B:$B, "ÜRETİM GİRİŞ")</f>
        <v>20</v>
      </c>
      <c r="E259" s="5" cm="1">
        <f t="array" ref="E259">IFERROR(AVERAGE(IF((KASA!$C$2:$C$9980=$C259)*((KASA!$B$2:$B$9980="MAL ALIMI")+(KASA!$B$2:$B$9980="ÜRETİM GİRİŞ")),KASA!$J$2:$J$9980)),0)</f>
        <v>403.75374999999997</v>
      </c>
      <c r="F259" s="5">
        <f>SUMIFS(KASA!$I:$I, KASA!$C:$C, $C259, KASA!$B:$B, "MAL SATIŞI") + SUMIFS(KASA!$I:$I, KASA!$C:$C, $C259, KASA!$B:$B, "ÜRETİM ÇIKIŞ")</f>
        <v>9.7537454545454541</v>
      </c>
      <c r="G259" s="5">
        <f>SUMIFS(KASA!$I:$I, KASA!$C:$C, $C259, KASA!$B:$B, "MAL İADE")</f>
        <v>5</v>
      </c>
      <c r="H259" s="5">
        <f>SUMIFS(KASA!$K:$K, KASA!$C:$C, $C259, KASA!$B:$B, "MAL İADE") + SUMIFS(KASA!$Q:$Q, KASA!$C:$C, $C259, KASA!$B:$B, "MAL İADE")</f>
        <v>2700</v>
      </c>
      <c r="I259" s="5">
        <f t="shared" si="52"/>
        <v>14.753745454545454</v>
      </c>
      <c r="J259" s="5">
        <f t="shared" si="53"/>
        <v>3938.1113038181811</v>
      </c>
      <c r="K259" s="5">
        <f>SUMIFS(KASA!$Q:$Q, KASA!$C:$C, $C259, KASA!$B:$B, "MAL SATIŞI") + SUMIFS(KASA!$Q:$Q, KASA!$C:$C, $C259, KASA!$B:$B, "ÜRETİM ÇIKIŞ")</f>
        <v>3215.44</v>
      </c>
      <c r="L259" s="5">
        <f>SUMIFS(KASA!$K:$K, KASA!$C:$C, $C259, KASA!$B:$B, "MAL SATIŞI") + SUMIFS(KASA!$K:$K, KASA!$C:$C, $C259, KASA!$B:$B, "ÜRETİM ÇIKIŞ")</f>
        <v>2017.5403636363633</v>
      </c>
      <c r="M259" s="5">
        <f t="shared" si="54"/>
        <v>5232.9803636363631</v>
      </c>
      <c r="N259" s="5">
        <f t="shared" si="55"/>
        <v>1294.869059818182</v>
      </c>
      <c r="O259" s="65">
        <f t="shared" si="56"/>
        <v>0.32880458674764895</v>
      </c>
      <c r="P259" s="5">
        <f t="shared" si="57"/>
        <v>536.50983491656348</v>
      </c>
      <c r="Q259" s="5">
        <f t="shared" si="58"/>
        <v>5.2462545454545459</v>
      </c>
      <c r="R259" s="5">
        <f t="shared" si="59"/>
        <v>2118.1949461818181</v>
      </c>
      <c r="S259" s="5">
        <f t="shared" si="60"/>
        <v>8075.0749999999989</v>
      </c>
      <c r="T259">
        <v>0.93200000000000005</v>
      </c>
      <c r="U259" s="2">
        <f t="shared" si="61"/>
        <v>4.3142545454545456</v>
      </c>
      <c r="V259">
        <f>SUMIF(KASA!$C$2:$C$9980, C259, KASA!$T$2:$T$9980)</f>
        <v>10.246254545454546</v>
      </c>
      <c r="W259">
        <f>SUMIF(KASA!$C$2:$C$9980, C259, KASA!$U$2:$U$9980)</f>
        <v>4561.2640909090915</v>
      </c>
      <c r="X259" s="2">
        <f t="shared" ref="X259:X322" si="62">V259-G259</f>
        <v>5.2462545454545459</v>
      </c>
      <c r="Y259" s="2">
        <f t="shared" ref="Y259:Y322" si="63">W259-H259</f>
        <v>1861.2640909090915</v>
      </c>
      <c r="Z259">
        <f>SUMIF(KASA!$C$2:$C$9980, C259, KASA!$V$2:$V$9980)</f>
        <v>8075.0749999999998</v>
      </c>
      <c r="AA259">
        <f t="shared" ref="AA259:AA322" si="64">Z259-W259</f>
        <v>3513.8109090909084</v>
      </c>
    </row>
    <row r="260" spans="3:27" x14ac:dyDescent="0.25">
      <c r="C260" s="4" t="s">
        <v>647</v>
      </c>
      <c r="D260" s="5">
        <f>SUMIFS(KASA!$I:$I, KASA!$C:$C, $C260, KASA!$B:$B, "MAL ALIMI") + SUMIFS(KASA!$I:$I, KASA!$C:$C, $C260, KASA!$B:$B, "ÜRETİM GİRİŞ")</f>
        <v>10</v>
      </c>
      <c r="E260" s="5" cm="1">
        <f t="array" ref="E260">IFERROR(AVERAGE(IF((KASA!$C$2:$C$9980=$C260)*((KASA!$B$2:$B$9980="MAL ALIMI")+(KASA!$B$2:$B$9980="ÜRETİM GİRİŞ")),KASA!$J$2:$J$9980)),0)</f>
        <v>137.5</v>
      </c>
      <c r="F260" s="5">
        <f>SUMIFS(KASA!$I:$I, KASA!$C:$C, $C260, KASA!$B:$B, "MAL SATIŞI") + SUMIFS(KASA!$I:$I, KASA!$C:$C, $C260, KASA!$B:$B, "ÜRETİM ÇIKIŞ")</f>
        <v>5.8000000000000007</v>
      </c>
      <c r="G260" s="5">
        <f>SUMIFS(KASA!$I:$I, KASA!$C:$C, $C260, KASA!$B:$B, "MAL İADE")</f>
        <v>0</v>
      </c>
      <c r="H260" s="5">
        <f>SUMIFS(KASA!$K:$K, KASA!$C:$C, $C260, KASA!$B:$B, "MAL İADE") + SUMIFS(KASA!$Q:$Q, KASA!$C:$C, $C260, KASA!$B:$B, "MAL İADE")</f>
        <v>0</v>
      </c>
      <c r="I260" s="5">
        <f t="shared" si="52"/>
        <v>5.8000000000000007</v>
      </c>
      <c r="J260" s="5">
        <f t="shared" si="53"/>
        <v>797.50000000000011</v>
      </c>
      <c r="K260" s="5">
        <f>SUMIFS(KASA!$Q:$Q, KASA!$C:$C, $C260, KASA!$B:$B, "MAL SATIŞI") + SUMIFS(KASA!$Q:$Q, KASA!$C:$C, $C260, KASA!$B:$B, "ÜRETİM ÇIKIŞ")</f>
        <v>1156.25</v>
      </c>
      <c r="L260" s="5">
        <f>SUMIFS(KASA!$K:$K, KASA!$C:$C, $C260, KASA!$B:$B, "MAL SATIŞI") + SUMIFS(KASA!$K:$K, KASA!$C:$C, $C260, KASA!$B:$B, "ÜRETİM ÇIKIŞ")</f>
        <v>1050</v>
      </c>
      <c r="M260" s="5">
        <f t="shared" si="54"/>
        <v>2206.25</v>
      </c>
      <c r="N260" s="5">
        <f t="shared" si="55"/>
        <v>1408.75</v>
      </c>
      <c r="O260" s="65">
        <f t="shared" si="56"/>
        <v>1.7664576802507834</v>
      </c>
      <c r="P260" s="5">
        <f t="shared" si="57"/>
        <v>380.38793103448273</v>
      </c>
      <c r="Q260" s="5">
        <f t="shared" si="58"/>
        <v>4.1999999999999993</v>
      </c>
      <c r="R260" s="5">
        <f t="shared" si="59"/>
        <v>577.49999999999989</v>
      </c>
      <c r="S260" s="5">
        <f t="shared" si="60"/>
        <v>1375</v>
      </c>
      <c r="T260">
        <v>0</v>
      </c>
      <c r="U260" s="2">
        <f t="shared" si="61"/>
        <v>4.1999999999999993</v>
      </c>
      <c r="V260">
        <f>SUMIF(KASA!$C$2:$C$9980, C260, KASA!$T$2:$T$9980)</f>
        <v>4.1999999999999993</v>
      </c>
      <c r="W260">
        <f>SUMIF(KASA!$C$2:$C$9980, C260, KASA!$U$2:$U$9980)</f>
        <v>629.99999999999989</v>
      </c>
      <c r="X260" s="2">
        <f t="shared" si="62"/>
        <v>4.1999999999999993</v>
      </c>
      <c r="Y260" s="2">
        <f t="shared" si="63"/>
        <v>629.99999999999989</v>
      </c>
      <c r="Z260">
        <f>SUMIF(KASA!$C$2:$C$9980, C260, KASA!$V$2:$V$9980)</f>
        <v>1375</v>
      </c>
      <c r="AA260">
        <f t="shared" si="64"/>
        <v>745.00000000000011</v>
      </c>
    </row>
    <row r="261" spans="3:27" x14ac:dyDescent="0.25">
      <c r="C261" s="4" t="s">
        <v>648</v>
      </c>
      <c r="D261" s="5">
        <f>SUMIFS(KASA!$I:$I, KASA!$C:$C, $C261, KASA!$B:$B, "MAL ALIMI") + SUMIFS(KASA!$I:$I, KASA!$C:$C, $C261, KASA!$B:$B, "ÜRETİM GİRİŞ")</f>
        <v>18</v>
      </c>
      <c r="E261" s="5" cm="1">
        <f t="array" ref="E261">IFERROR(AVERAGE(IF((KASA!$C$2:$C$9980=$C261)*((KASA!$B$2:$B$9980="MAL ALIMI")+(KASA!$B$2:$B$9980="ÜRETİM GİRİŞ")),KASA!$J$2:$J$9980)),0)</f>
        <v>458.6875</v>
      </c>
      <c r="F261" s="5">
        <f>SUMIFS(KASA!$I:$I, KASA!$C:$C, $C261, KASA!$B:$B, "MAL SATIŞI") + SUMIFS(KASA!$I:$I, KASA!$C:$C, $C261, KASA!$B:$B, "ÜRETİM ÇIKIŞ")</f>
        <v>12.682307692307692</v>
      </c>
      <c r="G261" s="5">
        <f>SUMIFS(KASA!$I:$I, KASA!$C:$C, $C261, KASA!$B:$B, "MAL İADE")</f>
        <v>0</v>
      </c>
      <c r="H261" s="5">
        <f>SUMIFS(KASA!$K:$K, KASA!$C:$C, $C261, KASA!$B:$B, "MAL İADE") + SUMIFS(KASA!$Q:$Q, KASA!$C:$C, $C261, KASA!$B:$B, "MAL İADE")</f>
        <v>0</v>
      </c>
      <c r="I261" s="5">
        <f t="shared" si="52"/>
        <v>12.682307692307692</v>
      </c>
      <c r="J261" s="5">
        <f t="shared" si="53"/>
        <v>5817.2160096153848</v>
      </c>
      <c r="K261" s="5">
        <f>SUMIFS(KASA!$Q:$Q, KASA!$C:$C, $C261, KASA!$B:$B, "MAL SATIŞI") + SUMIFS(KASA!$Q:$Q, KASA!$C:$C, $C261, KASA!$B:$B, "ÜRETİM ÇIKIŞ")</f>
        <v>5539.51</v>
      </c>
      <c r="L261" s="5">
        <f>SUMIFS(KASA!$K:$K, KASA!$C:$C, $C261, KASA!$B:$B, "MAL SATIŞI") + SUMIFS(KASA!$K:$K, KASA!$C:$C, $C261, KASA!$B:$B, "ÜRETİM ÇIKIŞ")</f>
        <v>800</v>
      </c>
      <c r="M261" s="5">
        <f t="shared" si="54"/>
        <v>6339.51</v>
      </c>
      <c r="N261" s="5">
        <f t="shared" si="55"/>
        <v>522.29399038461543</v>
      </c>
      <c r="O261" s="65">
        <f t="shared" si="56"/>
        <v>8.9784183623455957E-2</v>
      </c>
      <c r="P261" s="5">
        <f t="shared" si="57"/>
        <v>499.870382725784</v>
      </c>
      <c r="Q261" s="5">
        <f t="shared" si="58"/>
        <v>5.3176923076923082</v>
      </c>
      <c r="R261" s="5">
        <f t="shared" si="59"/>
        <v>2439.1589903846157</v>
      </c>
      <c r="S261" s="5">
        <f t="shared" si="60"/>
        <v>8256.375</v>
      </c>
      <c r="T261">
        <v>3.972</v>
      </c>
      <c r="U261" s="2">
        <f t="shared" si="61"/>
        <v>1.3456923076923082</v>
      </c>
      <c r="V261">
        <f>SUMIF(KASA!$C$2:$C$9980, C261, KASA!$T$2:$T$9980)</f>
        <v>5.3176923076923082</v>
      </c>
      <c r="W261">
        <f>SUMIF(KASA!$C$2:$C$9980, C261, KASA!$U$2:$U$9980)</f>
        <v>2557.5961538461543</v>
      </c>
      <c r="X261" s="2">
        <f t="shared" si="62"/>
        <v>5.3176923076923082</v>
      </c>
      <c r="Y261" s="2">
        <f t="shared" si="63"/>
        <v>2557.5961538461543</v>
      </c>
      <c r="Z261">
        <f>SUMIF(KASA!$C$2:$C$9980, C261, KASA!$V$2:$V$9980)</f>
        <v>8173.75</v>
      </c>
      <c r="AA261">
        <f t="shared" si="64"/>
        <v>5616.1538461538457</v>
      </c>
    </row>
    <row r="262" spans="3:27" x14ac:dyDescent="0.25">
      <c r="C262" s="4" t="s">
        <v>649</v>
      </c>
      <c r="D262" s="5">
        <f>SUMIFS(KASA!$I:$I, KASA!$C:$C, $C262, KASA!$B:$B, "MAL ALIMI") + SUMIFS(KASA!$I:$I, KASA!$C:$C, $C262, KASA!$B:$B, "ÜRETİM GİRİŞ")</f>
        <v>30</v>
      </c>
      <c r="E262" s="5" cm="1">
        <f t="array" ref="E262">IFERROR(AVERAGE(IF((KASA!$C$2:$C$9980=$C262)*((KASA!$B$2:$B$9980="MAL ALIMI")+(KASA!$B$2:$B$9980="ÜRETİM GİRİŞ")),KASA!$J$2:$J$9980)),0)</f>
        <v>205</v>
      </c>
      <c r="F262" s="5">
        <f>SUMIFS(KASA!$I:$I, KASA!$C:$C, $C262, KASA!$B:$B, "MAL SATIŞI") + SUMIFS(KASA!$I:$I, KASA!$C:$C, $C262, KASA!$B:$B, "ÜRETİM ÇIKIŞ")</f>
        <v>17</v>
      </c>
      <c r="G262" s="5">
        <f>SUMIFS(KASA!$I:$I, KASA!$C:$C, $C262, KASA!$B:$B, "MAL İADE")</f>
        <v>1</v>
      </c>
      <c r="H262" s="5">
        <f>SUMIFS(KASA!$K:$K, KASA!$C:$C, $C262, KASA!$B:$B, "MAL İADE") + SUMIFS(KASA!$Q:$Q, KASA!$C:$C, $C262, KASA!$B:$B, "MAL İADE")</f>
        <v>205</v>
      </c>
      <c r="I262" s="5">
        <f t="shared" si="52"/>
        <v>18</v>
      </c>
      <c r="J262" s="5">
        <f t="shared" si="53"/>
        <v>3485</v>
      </c>
      <c r="K262" s="5">
        <f>SUMIFS(KASA!$Q:$Q, KASA!$C:$C, $C262, KASA!$B:$B, "MAL SATIŞI") + SUMIFS(KASA!$Q:$Q, KASA!$C:$C, $C262, KASA!$B:$B, "ÜRETİM ÇIKIŞ")</f>
        <v>4350</v>
      </c>
      <c r="L262" s="5">
        <f>SUMIFS(KASA!$K:$K, KASA!$C:$C, $C262, KASA!$B:$B, "MAL SATIŞI") + SUMIFS(KASA!$K:$K, KASA!$C:$C, $C262, KASA!$B:$B, "ÜRETİM ÇIKIŞ")</f>
        <v>620</v>
      </c>
      <c r="M262" s="5">
        <f t="shared" si="54"/>
        <v>4970</v>
      </c>
      <c r="N262" s="5">
        <f t="shared" si="55"/>
        <v>1485</v>
      </c>
      <c r="O262" s="65">
        <f t="shared" si="56"/>
        <v>0.42611190817790529</v>
      </c>
      <c r="P262" s="5">
        <f t="shared" si="57"/>
        <v>292.35294117647061</v>
      </c>
      <c r="Q262" s="5">
        <f t="shared" si="58"/>
        <v>12</v>
      </c>
      <c r="R262" s="5">
        <f t="shared" si="59"/>
        <v>2460</v>
      </c>
      <c r="S262" s="5">
        <f t="shared" si="60"/>
        <v>6150</v>
      </c>
      <c r="T262">
        <v>21</v>
      </c>
      <c r="U262" s="2">
        <f t="shared" si="61"/>
        <v>-9</v>
      </c>
      <c r="V262">
        <f>SUMIF(KASA!$C$2:$C$9980, C262, KASA!$T$2:$T$9980)</f>
        <v>13</v>
      </c>
      <c r="W262">
        <f>SUMIF(KASA!$C$2:$C$9980, C262, KASA!$U$2:$U$9980)</f>
        <v>2665</v>
      </c>
      <c r="X262" s="2">
        <f t="shared" si="62"/>
        <v>12</v>
      </c>
      <c r="Y262" s="2">
        <f t="shared" si="63"/>
        <v>2460</v>
      </c>
      <c r="Z262">
        <f>SUMIF(KASA!$C$2:$C$9980, C262, KASA!$V$2:$V$9980)</f>
        <v>6150</v>
      </c>
      <c r="AA262">
        <f t="shared" si="64"/>
        <v>3485</v>
      </c>
    </row>
    <row r="263" spans="3:27" x14ac:dyDescent="0.25">
      <c r="C263" s="4" t="s">
        <v>651</v>
      </c>
      <c r="D263" s="5">
        <f>SUMIFS(KASA!$I:$I, KASA!$C:$C, $C263, KASA!$B:$B, "MAL ALIMI") + SUMIFS(KASA!$I:$I, KASA!$C:$C, $C263, KASA!$B:$B, "ÜRETİM GİRİŞ")</f>
        <v>35</v>
      </c>
      <c r="E263" s="5" cm="1">
        <f t="array" ref="E263">IFERROR(AVERAGE(IF((KASA!$C$2:$C$9980=$C263)*((KASA!$B$2:$B$9980="MAL ALIMI")+(KASA!$B$2:$B$9980="ÜRETİM GİRİŞ")),KASA!$J$2:$J$9980)),0)</f>
        <v>265</v>
      </c>
      <c r="F263" s="5">
        <f>SUMIFS(KASA!$I:$I, KASA!$C:$C, $C263, KASA!$B:$B, "MAL SATIŞI") + SUMIFS(KASA!$I:$I, KASA!$C:$C, $C263, KASA!$B:$B, "ÜRETİM ÇIKIŞ")</f>
        <v>35</v>
      </c>
      <c r="G263" s="5">
        <f>SUMIFS(KASA!$I:$I, KASA!$C:$C, $C263, KASA!$B:$B, "MAL İADE")</f>
        <v>0</v>
      </c>
      <c r="H263" s="5">
        <f>SUMIFS(KASA!$K:$K, KASA!$C:$C, $C263, KASA!$B:$B, "MAL İADE") + SUMIFS(KASA!$Q:$Q, KASA!$C:$C, $C263, KASA!$B:$B, "MAL İADE")</f>
        <v>0</v>
      </c>
      <c r="I263" s="5">
        <f t="shared" si="52"/>
        <v>35</v>
      </c>
      <c r="J263" s="5">
        <f t="shared" si="53"/>
        <v>9275</v>
      </c>
      <c r="K263" s="5">
        <f>SUMIFS(KASA!$Q:$Q, KASA!$C:$C, $C263, KASA!$B:$B, "MAL SATIŞI") + SUMIFS(KASA!$Q:$Q, KASA!$C:$C, $C263, KASA!$B:$B, "ÜRETİM ÇIKIŞ")</f>
        <v>7933</v>
      </c>
      <c r="L263" s="5">
        <f>SUMIFS(KASA!$K:$K, KASA!$C:$C, $C263, KASA!$B:$B, "MAL SATIŞI") + SUMIFS(KASA!$K:$K, KASA!$C:$C, $C263, KASA!$B:$B, "ÜRETİM ÇIKIŞ")</f>
        <v>5900</v>
      </c>
      <c r="M263" s="5">
        <f t="shared" si="54"/>
        <v>13833</v>
      </c>
      <c r="N263" s="5">
        <f t="shared" si="55"/>
        <v>4558</v>
      </c>
      <c r="O263" s="65">
        <f t="shared" si="56"/>
        <v>0.49142857142857144</v>
      </c>
      <c r="P263" s="5">
        <f t="shared" si="57"/>
        <v>395.22857142857146</v>
      </c>
      <c r="Q263" s="5">
        <f t="shared" si="58"/>
        <v>0</v>
      </c>
      <c r="R263" s="5">
        <f t="shared" si="59"/>
        <v>0</v>
      </c>
      <c r="S263" s="5">
        <f t="shared" si="60"/>
        <v>9275</v>
      </c>
      <c r="T263">
        <v>2</v>
      </c>
      <c r="U263" s="2">
        <f t="shared" si="61"/>
        <v>-2</v>
      </c>
      <c r="V263">
        <f>SUMIF(KASA!$C$2:$C$9980, C263, KASA!$T$2:$T$9980)</f>
        <v>0</v>
      </c>
      <c r="W263">
        <f>SUMIF(KASA!$C$2:$C$9980, C263, KASA!$U$2:$U$9980)</f>
        <v>0</v>
      </c>
      <c r="X263" s="2">
        <f t="shared" si="62"/>
        <v>0</v>
      </c>
      <c r="Y263" s="2">
        <f t="shared" si="63"/>
        <v>0</v>
      </c>
      <c r="Z263">
        <f>SUMIF(KASA!$C$2:$C$9980, C263, KASA!$V$2:$V$9980)</f>
        <v>9275</v>
      </c>
      <c r="AA263">
        <f t="shared" si="64"/>
        <v>9275</v>
      </c>
    </row>
    <row r="264" spans="3:27" x14ac:dyDescent="0.25">
      <c r="C264" s="4" t="s">
        <v>690</v>
      </c>
      <c r="D264" s="5">
        <f>SUMIFS(KASA!$I:$I, KASA!$C:$C, $C264, KASA!$B:$B, "MAL ALIMI") + SUMIFS(KASA!$I:$I, KASA!$C:$C, $C264, KASA!$B:$B, "ÜRETİM GİRİŞ")</f>
        <v>30</v>
      </c>
      <c r="E264" s="5" cm="1">
        <f t="array" ref="E264">IFERROR(AVERAGE(IF((KASA!$C$2:$C$9980=$C264)*((KASA!$B$2:$B$9980="MAL ALIMI")+(KASA!$B$2:$B$9980="ÜRETİM GİRİŞ")),KASA!$J$2:$J$9980)),0)</f>
        <v>225</v>
      </c>
      <c r="F264" s="5">
        <f>SUMIFS(KASA!$I:$I, KASA!$C:$C, $C264, KASA!$B:$B, "MAL SATIŞI") + SUMIFS(KASA!$I:$I, KASA!$C:$C, $C264, KASA!$B:$B, "ÜRETİM ÇIKIŞ")</f>
        <v>24.473612394957986</v>
      </c>
      <c r="G264" s="5">
        <f>SUMIFS(KASA!$I:$I, KASA!$C:$C, $C264, KASA!$B:$B, "MAL İADE")</f>
        <v>0</v>
      </c>
      <c r="H264" s="5">
        <f>SUMIFS(KASA!$K:$K, KASA!$C:$C, $C264, KASA!$B:$B, "MAL İADE") + SUMIFS(KASA!$Q:$Q, KASA!$C:$C, $C264, KASA!$B:$B, "MAL İADE")</f>
        <v>0</v>
      </c>
      <c r="I264" s="5">
        <f t="shared" si="52"/>
        <v>24.473612394957986</v>
      </c>
      <c r="J264" s="5">
        <f t="shared" si="53"/>
        <v>5506.5627888655472</v>
      </c>
      <c r="K264" s="5">
        <f>SUMIFS(KASA!$Q:$Q, KASA!$C:$C, $C264, KASA!$B:$B, "MAL SATIŞI") + SUMIFS(KASA!$Q:$Q, KASA!$C:$C, $C264, KASA!$B:$B, "ÜRETİM ÇIKIŞ")</f>
        <v>4270.46</v>
      </c>
      <c r="L264" s="5">
        <f>SUMIFS(KASA!$K:$K, KASA!$C:$C, $C264, KASA!$B:$B, "MAL SATIŞI") + SUMIFS(KASA!$K:$K, KASA!$C:$C, $C264, KASA!$B:$B, "ÜRETİM ÇIKIŞ")</f>
        <v>3892.4023529411761</v>
      </c>
      <c r="M264" s="5">
        <f t="shared" si="54"/>
        <v>8162.8623529411761</v>
      </c>
      <c r="N264" s="5">
        <f t="shared" si="55"/>
        <v>2656.299564075629</v>
      </c>
      <c r="O264" s="65">
        <f t="shared" si="56"/>
        <v>0.48238795523166556</v>
      </c>
      <c r="P264" s="5">
        <f t="shared" si="57"/>
        <v>333.53728992712479</v>
      </c>
      <c r="Q264" s="5">
        <f t="shared" si="58"/>
        <v>5.5263876050420144</v>
      </c>
      <c r="R264" s="5">
        <f t="shared" si="59"/>
        <v>1243.4372111344533</v>
      </c>
      <c r="S264" s="5">
        <f t="shared" si="60"/>
        <v>6750</v>
      </c>
      <c r="T264">
        <v>10.9</v>
      </c>
      <c r="U264" s="2">
        <f t="shared" si="61"/>
        <v>-5.3736123949579859</v>
      </c>
      <c r="V264">
        <f>SUMIF(KASA!$C$2:$C$9980, C264, KASA!$T$2:$T$9980)</f>
        <v>5.5263876050420144</v>
      </c>
      <c r="W264">
        <f>SUMIF(KASA!$C$2:$C$9980, C264, KASA!$U$2:$U$9980)</f>
        <v>1243.4372111344533</v>
      </c>
      <c r="X264" s="2">
        <f t="shared" si="62"/>
        <v>5.5263876050420144</v>
      </c>
      <c r="Y264" s="2">
        <f t="shared" si="63"/>
        <v>1243.4372111344533</v>
      </c>
      <c r="Z264">
        <f>SUMIF(KASA!$C$2:$C$9980, C264, KASA!$V$2:$V$9980)</f>
        <v>6750</v>
      </c>
      <c r="AA264">
        <f t="shared" si="64"/>
        <v>5506.5627888655472</v>
      </c>
    </row>
    <row r="265" spans="3:27" x14ac:dyDescent="0.25">
      <c r="C265" s="4" t="s">
        <v>679</v>
      </c>
      <c r="D265" s="5">
        <f>SUMIFS(KASA!$I:$I, KASA!$C:$C, $C265, KASA!$B:$B, "MAL ALIMI") + SUMIFS(KASA!$I:$I, KASA!$C:$C, $C265, KASA!$B:$B, "ÜRETİM GİRİŞ")</f>
        <v>15</v>
      </c>
      <c r="E265" s="5" cm="1">
        <f t="array" ref="E265">IFERROR(AVERAGE(IF((KASA!$C$2:$C$9980=$C265)*((KASA!$B$2:$B$9980="MAL ALIMI")+(KASA!$B$2:$B$9980="ÜRETİM GİRİŞ")),KASA!$J$2:$J$9980)),0)</f>
        <v>179.33333333333334</v>
      </c>
      <c r="F265" s="5">
        <f>SUMIFS(KASA!$I:$I, KASA!$C:$C, $C265, KASA!$B:$B, "MAL SATIŞI") + SUMIFS(KASA!$I:$I, KASA!$C:$C, $C265, KASA!$B:$B, "ÜRETİM ÇIKIŞ")</f>
        <v>12.574999999999999</v>
      </c>
      <c r="G265" s="5">
        <f>SUMIFS(KASA!$I:$I, KASA!$C:$C, $C265, KASA!$B:$B, "MAL İADE")</f>
        <v>0</v>
      </c>
      <c r="H265" s="5">
        <f>SUMIFS(KASA!$K:$K, KASA!$C:$C, $C265, KASA!$B:$B, "MAL İADE") + SUMIFS(KASA!$Q:$Q, KASA!$C:$C, $C265, KASA!$B:$B, "MAL İADE")</f>
        <v>0</v>
      </c>
      <c r="I265" s="5">
        <f t="shared" si="52"/>
        <v>12.574999999999999</v>
      </c>
      <c r="J265" s="5">
        <f t="shared" si="53"/>
        <v>2255.1166666666668</v>
      </c>
      <c r="K265" s="5">
        <f>SUMIFS(KASA!$Q:$Q, KASA!$C:$C, $C265, KASA!$B:$B, "MAL SATIŞI") + SUMIFS(KASA!$Q:$Q, KASA!$C:$C, $C265, KASA!$B:$B, "ÜRETİM ÇIKIŞ")</f>
        <v>3380</v>
      </c>
      <c r="L265" s="5">
        <f>SUMIFS(KASA!$K:$K, KASA!$C:$C, $C265, KASA!$B:$B, "MAL SATIŞI") + SUMIFS(KASA!$K:$K, KASA!$C:$C, $C265, KASA!$B:$B, "ÜRETİM ÇIKIŞ")</f>
        <v>1500</v>
      </c>
      <c r="M265" s="5">
        <f t="shared" si="54"/>
        <v>4880</v>
      </c>
      <c r="N265" s="5">
        <f t="shared" si="55"/>
        <v>2624.8833333333332</v>
      </c>
      <c r="O265" s="65">
        <f t="shared" si="56"/>
        <v>1.1639678656684427</v>
      </c>
      <c r="P265" s="5">
        <f t="shared" si="57"/>
        <v>388.07157057654075</v>
      </c>
      <c r="Q265" s="5">
        <f t="shared" si="58"/>
        <v>2.4250000000000007</v>
      </c>
      <c r="R265" s="5">
        <f t="shared" si="59"/>
        <v>434.8833333333335</v>
      </c>
      <c r="S265" s="5">
        <f t="shared" si="60"/>
        <v>2690</v>
      </c>
      <c r="T265">
        <v>2.5</v>
      </c>
      <c r="U265" s="2">
        <f t="shared" si="61"/>
        <v>-7.4999999999999289E-2</v>
      </c>
      <c r="V265">
        <f>SUMIF(KASA!$C$2:$C$9980, C265, KASA!$T$2:$T$9980)</f>
        <v>2.4250000000000007</v>
      </c>
      <c r="W265">
        <f>SUMIF(KASA!$C$2:$C$9980, C265, KASA!$U$2:$U$9980)</f>
        <v>412.25000000000011</v>
      </c>
      <c r="X265" s="2">
        <f t="shared" si="62"/>
        <v>2.4250000000000007</v>
      </c>
      <c r="Y265" s="2">
        <f t="shared" si="63"/>
        <v>412.25000000000011</v>
      </c>
      <c r="Z265">
        <f>SUMIF(KASA!$C$2:$C$9980, C265, KASA!$V$2:$V$9980)</f>
        <v>2690</v>
      </c>
      <c r="AA265">
        <f t="shared" si="64"/>
        <v>2277.75</v>
      </c>
    </row>
    <row r="266" spans="3:27" x14ac:dyDescent="0.25">
      <c r="C266" s="4" t="s">
        <v>691</v>
      </c>
      <c r="D266" s="5">
        <f>SUMIFS(KASA!$I:$I, KASA!$C:$C, $C266, KASA!$B:$B, "MAL ALIMI") + SUMIFS(KASA!$I:$I, KASA!$C:$C, $C266, KASA!$B:$B, "ÜRETİM GİRİŞ")</f>
        <v>15</v>
      </c>
      <c r="E266" s="5" cm="1">
        <f t="array" ref="E266">IFERROR(AVERAGE(IF((KASA!$C$2:$C$9980=$C266)*((KASA!$B$2:$B$9980="MAL ALIMI")+(KASA!$B$2:$B$9980="ÜRETİM GİRİŞ")),KASA!$J$2:$J$9980)),0)</f>
        <v>113</v>
      </c>
      <c r="F266" s="5">
        <f>SUMIFS(KASA!$I:$I, KASA!$C:$C, $C266, KASA!$B:$B, "MAL SATIŞI") + SUMIFS(KASA!$I:$I, KASA!$C:$C, $C266, KASA!$B:$B, "ÜRETİM ÇIKIŞ")</f>
        <v>10.518054919908467</v>
      </c>
      <c r="G266" s="5">
        <f>SUMIFS(KASA!$I:$I, KASA!$C:$C, $C266, KASA!$B:$B, "MAL İADE")</f>
        <v>0</v>
      </c>
      <c r="H266" s="5">
        <f>SUMIFS(KASA!$K:$K, KASA!$C:$C, $C266, KASA!$B:$B, "MAL İADE") + SUMIFS(KASA!$Q:$Q, KASA!$C:$C, $C266, KASA!$B:$B, "MAL İADE")</f>
        <v>0</v>
      </c>
      <c r="I266" s="5">
        <f t="shared" si="52"/>
        <v>10.518054919908467</v>
      </c>
      <c r="J266" s="5">
        <f t="shared" si="53"/>
        <v>1188.5402059496569</v>
      </c>
      <c r="K266" s="5">
        <f>SUMIFS(KASA!$Q:$Q, KASA!$C:$C, $C266, KASA!$B:$B, "MAL SATIŞI") + SUMIFS(KASA!$Q:$Q, KASA!$C:$C, $C266, KASA!$B:$B, "ÜRETİM ÇIKIŞ")</f>
        <v>1209.6617391304346</v>
      </c>
      <c r="L266" s="5">
        <f>SUMIFS(KASA!$K:$K, KASA!$C:$C, $C266, KASA!$B:$B, "MAL SATIŞI") + SUMIFS(KASA!$K:$K, KASA!$C:$C, $C266, KASA!$B:$B, "ÜRETİM ÇIKIŞ")</f>
        <v>1140.4939130434782</v>
      </c>
      <c r="M266" s="5">
        <f t="shared" si="54"/>
        <v>2350.155652173913</v>
      </c>
      <c r="N266" s="5">
        <f t="shared" si="55"/>
        <v>1161.6154462242562</v>
      </c>
      <c r="O266" s="65">
        <f t="shared" si="56"/>
        <v>0.97734636187264068</v>
      </c>
      <c r="P266" s="5">
        <f t="shared" si="57"/>
        <v>223.4401388916084</v>
      </c>
      <c r="Q266" s="5">
        <f t="shared" si="58"/>
        <v>4.481945080091533</v>
      </c>
      <c r="R266" s="5">
        <f t="shared" si="59"/>
        <v>506.45979405034325</v>
      </c>
      <c r="S266" s="5">
        <f t="shared" si="60"/>
        <v>1695</v>
      </c>
      <c r="T266">
        <v>3.23</v>
      </c>
      <c r="U266" s="2">
        <f t="shared" si="61"/>
        <v>1.251945080091533</v>
      </c>
      <c r="V266">
        <f>SUMIF(KASA!$C$2:$C$9980, C266, KASA!$T$2:$T$9980)</f>
        <v>4.481945080091533</v>
      </c>
      <c r="W266">
        <f>SUMIF(KASA!$C$2:$C$9980, C266, KASA!$U$2:$U$9980)</f>
        <v>443.71256292906179</v>
      </c>
      <c r="X266" s="2">
        <f t="shared" si="62"/>
        <v>4.481945080091533</v>
      </c>
      <c r="Y266" s="2">
        <f t="shared" si="63"/>
        <v>443.71256292906179</v>
      </c>
      <c r="Z266">
        <f>SUMIF(KASA!$C$2:$C$9980, C266, KASA!$V$2:$V$9980)</f>
        <v>1695</v>
      </c>
      <c r="AA266">
        <f t="shared" si="64"/>
        <v>1251.2874370709383</v>
      </c>
    </row>
    <row r="267" spans="3:27" x14ac:dyDescent="0.25">
      <c r="C267" s="4" t="s">
        <v>692</v>
      </c>
      <c r="D267" s="5">
        <f>SUMIFS(KASA!$I:$I, KASA!$C:$C, $C267, KASA!$B:$B, "MAL ALIMI") + SUMIFS(KASA!$I:$I, KASA!$C:$C, $C267, KASA!$B:$B, "ÜRETİM GİRİŞ")</f>
        <v>24.95</v>
      </c>
      <c r="E267" s="5" cm="1">
        <f t="array" ref="E267">IFERROR(AVERAGE(IF((KASA!$C$2:$C$9980=$C267)*((KASA!$B$2:$B$9980="MAL ALIMI")+(KASA!$B$2:$B$9980="ÜRETİM GİRİŞ")),KASA!$J$2:$J$9980)),0)</f>
        <v>33</v>
      </c>
      <c r="F267" s="5">
        <f>SUMIFS(KASA!$I:$I, KASA!$C:$C, $C267, KASA!$B:$B, "MAL SATIŞI") + SUMIFS(KASA!$I:$I, KASA!$C:$C, $C267, KASA!$B:$B, "ÜRETİM ÇIKIŞ")</f>
        <v>16.935333333333332</v>
      </c>
      <c r="G267" s="5">
        <f>SUMIFS(KASA!$I:$I, KASA!$C:$C, $C267, KASA!$B:$B, "MAL İADE")</f>
        <v>0</v>
      </c>
      <c r="H267" s="5">
        <f>SUMIFS(KASA!$K:$K, KASA!$C:$C, $C267, KASA!$B:$B, "MAL İADE") + SUMIFS(KASA!$Q:$Q, KASA!$C:$C, $C267, KASA!$B:$B, "MAL İADE")</f>
        <v>0</v>
      </c>
      <c r="I267" s="5">
        <f t="shared" si="52"/>
        <v>16.935333333333332</v>
      </c>
      <c r="J267" s="5">
        <f t="shared" si="53"/>
        <v>558.86599999999999</v>
      </c>
      <c r="K267" s="5">
        <f>SUMIFS(KASA!$Q:$Q, KASA!$C:$C, $C267, KASA!$B:$B, "MAL SATIŞI") + SUMIFS(KASA!$Q:$Q, KASA!$C:$C, $C267, KASA!$B:$B, "ÜRETİM ÇIKIŞ")</f>
        <v>718.31</v>
      </c>
      <c r="L267" s="5">
        <f>SUMIFS(KASA!$K:$K, KASA!$C:$C, $C267, KASA!$B:$B, "MAL SATIŞI") + SUMIFS(KASA!$K:$K, KASA!$C:$C, $C267, KASA!$B:$B, "ÜRETİM ÇIKIŞ")</f>
        <v>270</v>
      </c>
      <c r="M267" s="5">
        <f t="shared" si="54"/>
        <v>988.31</v>
      </c>
      <c r="N267" s="5">
        <f t="shared" si="55"/>
        <v>429.44399999999996</v>
      </c>
      <c r="O267" s="65">
        <f t="shared" si="56"/>
        <v>0.76842033689650113</v>
      </c>
      <c r="P267" s="5">
        <f t="shared" si="57"/>
        <v>58.357871117584537</v>
      </c>
      <c r="Q267" s="5">
        <f t="shared" si="58"/>
        <v>8.0146666666666668</v>
      </c>
      <c r="R267" s="5">
        <f t="shared" si="59"/>
        <v>264.48399999999998</v>
      </c>
      <c r="S267" s="5">
        <f t="shared" si="60"/>
        <v>823.35</v>
      </c>
      <c r="T267">
        <v>9.0180000000000007</v>
      </c>
      <c r="U267" s="2">
        <f t="shared" si="61"/>
        <v>-1.0033333333333339</v>
      </c>
      <c r="V267">
        <f>SUMIF(KASA!$C$2:$C$9980, C267, KASA!$T$2:$T$9980)</f>
        <v>8.0146666666666668</v>
      </c>
      <c r="W267">
        <f>SUMIF(KASA!$C$2:$C$9980, C267, KASA!$U$2:$U$9980)</f>
        <v>264.48399999999998</v>
      </c>
      <c r="X267" s="2">
        <f t="shared" si="62"/>
        <v>8.0146666666666668</v>
      </c>
      <c r="Y267" s="2">
        <f t="shared" si="63"/>
        <v>264.48399999999998</v>
      </c>
      <c r="Z267">
        <f>SUMIF(KASA!$C$2:$C$9980, C267, KASA!$V$2:$V$9980)</f>
        <v>823.34999999999991</v>
      </c>
      <c r="AA267">
        <f t="shared" si="64"/>
        <v>558.86599999999999</v>
      </c>
    </row>
    <row r="268" spans="3:27" x14ac:dyDescent="0.25">
      <c r="C268" s="4" t="s">
        <v>693</v>
      </c>
      <c r="D268" s="5">
        <f>SUMIFS(KASA!$I:$I, KASA!$C:$C, $C268, KASA!$B:$B, "MAL ALIMI") + SUMIFS(KASA!$I:$I, KASA!$C:$C, $C268, KASA!$B:$B, "ÜRETİM GİRİŞ")</f>
        <v>10</v>
      </c>
      <c r="E268" s="5" cm="1">
        <f t="array" ref="E268">IFERROR(AVERAGE(IF((KASA!$C$2:$C$9980=$C268)*((KASA!$B$2:$B$9980="MAL ALIMI")+(KASA!$B$2:$B$9980="ÜRETİM GİRİŞ")),KASA!$J$2:$J$9980)),0)</f>
        <v>199.63375000000002</v>
      </c>
      <c r="F268" s="5">
        <f>SUMIFS(KASA!$I:$I, KASA!$C:$C, $C268, KASA!$B:$B, "MAL SATIŞI") + SUMIFS(KASA!$I:$I, KASA!$C:$C, $C268, KASA!$B:$B, "ÜRETİM ÇIKIŞ")</f>
        <v>4.9772820512820513</v>
      </c>
      <c r="G268" s="5">
        <f>SUMIFS(KASA!$I:$I, KASA!$C:$C, $C268, KASA!$B:$B, "MAL İADE")</f>
        <v>0</v>
      </c>
      <c r="H268" s="5">
        <f>SUMIFS(KASA!$K:$K, KASA!$C:$C, $C268, KASA!$B:$B, "MAL İADE") + SUMIFS(KASA!$Q:$Q, KASA!$C:$C, $C268, KASA!$B:$B, "MAL İADE")</f>
        <v>0</v>
      </c>
      <c r="I268" s="5">
        <f t="shared" si="52"/>
        <v>4.9772820512820513</v>
      </c>
      <c r="J268" s="5">
        <f t="shared" si="53"/>
        <v>993.63348070512825</v>
      </c>
      <c r="K268" s="5">
        <f>SUMIFS(KASA!$Q:$Q, KASA!$C:$C, $C268, KASA!$B:$B, "MAL SATIŞI") + SUMIFS(KASA!$Q:$Q, KASA!$C:$C, $C268, KASA!$B:$B, "ÜRETİM ÇIKIŞ")</f>
        <v>355.47499999999997</v>
      </c>
      <c r="L268" s="5">
        <f>SUMIFS(KASA!$K:$K, KASA!$C:$C, $C268, KASA!$B:$B, "MAL SATIŞI") + SUMIFS(KASA!$K:$K, KASA!$C:$C, $C268, KASA!$B:$B, "ÜRETİM ÇIKIŞ")</f>
        <v>612.89499999999998</v>
      </c>
      <c r="M268" s="5">
        <f t="shared" si="54"/>
        <v>968.36999999999989</v>
      </c>
      <c r="N268" s="5">
        <f t="shared" si="55"/>
        <v>-25.263480705128359</v>
      </c>
      <c r="O268" s="65">
        <f t="shared" si="56"/>
        <v>-2.5425351697288042E-2</v>
      </c>
      <c r="P268" s="5">
        <f t="shared" si="57"/>
        <v>194.55799169560154</v>
      </c>
      <c r="Q268" s="5">
        <f t="shared" si="58"/>
        <v>5.0227179487179487</v>
      </c>
      <c r="R268" s="5">
        <f t="shared" si="59"/>
        <v>1002.704019294872</v>
      </c>
      <c r="S268" s="5">
        <f t="shared" si="60"/>
        <v>1996.3375000000001</v>
      </c>
      <c r="T268">
        <v>1.05</v>
      </c>
      <c r="U268" s="2">
        <f t="shared" si="61"/>
        <v>3.9727179487179489</v>
      </c>
      <c r="V268">
        <f>SUMIF(KASA!$C$2:$C$9980, C268, KASA!$T$2:$T$9980)</f>
        <v>5.0227179487179487</v>
      </c>
      <c r="W268">
        <f>SUMIF(KASA!$C$2:$C$9980, C268, KASA!$U$2:$U$9980)</f>
        <v>1274.6316025641026</v>
      </c>
      <c r="X268" s="2">
        <f t="shared" si="62"/>
        <v>5.0227179487179487</v>
      </c>
      <c r="Y268" s="2">
        <f t="shared" si="63"/>
        <v>1274.6316025641026</v>
      </c>
      <c r="Z268">
        <f>SUMIF(KASA!$C$2:$C$9980, C268, KASA!$V$2:$V$9980)</f>
        <v>1996.3375000000001</v>
      </c>
      <c r="AA268">
        <f t="shared" si="64"/>
        <v>721.70589743589744</v>
      </c>
    </row>
    <row r="269" spans="3:27" x14ac:dyDescent="0.25">
      <c r="C269" s="4" t="s">
        <v>694</v>
      </c>
      <c r="D269" s="5">
        <f>SUMIFS(KASA!$I:$I, KASA!$C:$C, $C269, KASA!$B:$B, "MAL ALIMI") + SUMIFS(KASA!$I:$I, KASA!$C:$C, $C269, KASA!$B:$B, "ÜRETİM GİRİŞ")</f>
        <v>5</v>
      </c>
      <c r="E269" s="5" cm="1">
        <f t="array" ref="E269">IFERROR(AVERAGE(IF((KASA!$C$2:$C$9980=$C269)*((KASA!$B$2:$B$9980="MAL ALIMI")+(KASA!$B$2:$B$9980="ÜRETİM GİRİŞ")),KASA!$J$2:$J$9980)),0)</f>
        <v>150</v>
      </c>
      <c r="F269" s="5">
        <f>SUMIFS(KASA!$I:$I, KASA!$C:$C, $C269, KASA!$B:$B, "MAL SATIŞI") + SUMIFS(KASA!$I:$I, KASA!$C:$C, $C269, KASA!$B:$B, "ÜRETİM ÇIKIŞ")</f>
        <v>2.927051282051282</v>
      </c>
      <c r="G269" s="5">
        <f>SUMIFS(KASA!$I:$I, KASA!$C:$C, $C269, KASA!$B:$B, "MAL İADE")</f>
        <v>0</v>
      </c>
      <c r="H269" s="5">
        <f>SUMIFS(KASA!$K:$K, KASA!$C:$C, $C269, KASA!$B:$B, "MAL İADE") + SUMIFS(KASA!$Q:$Q, KASA!$C:$C, $C269, KASA!$B:$B, "MAL İADE")</f>
        <v>0</v>
      </c>
      <c r="I269" s="5">
        <f t="shared" si="52"/>
        <v>2.927051282051282</v>
      </c>
      <c r="J269" s="5">
        <f t="shared" si="53"/>
        <v>439.05769230769232</v>
      </c>
      <c r="K269" s="5">
        <f>SUMIFS(KASA!$Q:$Q, KASA!$C:$C, $C269, KASA!$B:$B, "MAL SATIŞI") + SUMIFS(KASA!$Q:$Q, KASA!$C:$C, $C269, KASA!$B:$B, "ÜRETİM ÇIKIŞ")</f>
        <v>420.74</v>
      </c>
      <c r="L269" s="5">
        <f>SUMIFS(KASA!$K:$K, KASA!$C:$C, $C269, KASA!$B:$B, "MAL SATIŞI") + SUMIFS(KASA!$K:$K, KASA!$C:$C, $C269, KASA!$B:$B, "ÜRETİM ÇIKIŞ")</f>
        <v>150.035</v>
      </c>
      <c r="M269" s="5">
        <f t="shared" si="54"/>
        <v>570.77499999999998</v>
      </c>
      <c r="N269" s="5">
        <f t="shared" si="55"/>
        <v>131.71730769230766</v>
      </c>
      <c r="O269" s="65">
        <f t="shared" si="56"/>
        <v>0.29999999999999993</v>
      </c>
      <c r="P269" s="5">
        <f t="shared" si="57"/>
        <v>195</v>
      </c>
      <c r="Q269" s="5">
        <f t="shared" si="58"/>
        <v>2.072948717948718</v>
      </c>
      <c r="R269" s="5">
        <f t="shared" si="59"/>
        <v>310.94230769230768</v>
      </c>
      <c r="S269" s="5">
        <f t="shared" si="60"/>
        <v>750</v>
      </c>
      <c r="T269">
        <v>2.2999999999999998</v>
      </c>
      <c r="U269" s="2">
        <f t="shared" si="61"/>
        <v>-0.22705128205128178</v>
      </c>
      <c r="V269">
        <f>SUMIF(KASA!$C$2:$C$9980, C269, KASA!$T$2:$T$9980)</f>
        <v>2.072948717948718</v>
      </c>
      <c r="W269">
        <f>SUMIF(KASA!$C$2:$C$9980, C269, KASA!$U$2:$U$9980)</f>
        <v>310.94230769230768</v>
      </c>
      <c r="X269" s="2">
        <f t="shared" si="62"/>
        <v>2.072948717948718</v>
      </c>
      <c r="Y269" s="2">
        <f t="shared" si="63"/>
        <v>310.94230769230768</v>
      </c>
      <c r="Z269">
        <f>SUMIF(KASA!$C$2:$C$9980, C269, KASA!$V$2:$V$9980)</f>
        <v>750</v>
      </c>
      <c r="AA269">
        <f t="shared" si="64"/>
        <v>439.05769230769232</v>
      </c>
    </row>
    <row r="270" spans="3:27" x14ac:dyDescent="0.25">
      <c r="C270" s="4" t="s">
        <v>695</v>
      </c>
      <c r="D270" s="5">
        <f>SUMIFS(KASA!$I:$I, KASA!$C:$C, $C270, KASA!$B:$B, "MAL ALIMI") + SUMIFS(KASA!$I:$I, KASA!$C:$C, $C270, KASA!$B:$B, "ÜRETİM GİRİŞ")</f>
        <v>50</v>
      </c>
      <c r="E270" s="5" cm="1">
        <f t="array" ref="E270">IFERROR(AVERAGE(IF((KASA!$C$2:$C$9980=$C270)*((KASA!$B$2:$B$9980="MAL ALIMI")+(KASA!$B$2:$B$9980="ÜRETİM GİRİŞ")),KASA!$J$2:$J$9980)),0)</f>
        <v>59</v>
      </c>
      <c r="F270" s="5">
        <f>SUMIFS(KASA!$I:$I, KASA!$C:$C, $C270, KASA!$B:$B, "MAL SATIŞI") + SUMIFS(KASA!$I:$I, KASA!$C:$C, $C270, KASA!$B:$B, "ÜRETİM ÇIKIŞ")</f>
        <v>25.92</v>
      </c>
      <c r="G270" s="5">
        <f>SUMIFS(KASA!$I:$I, KASA!$C:$C, $C270, KASA!$B:$B, "MAL İADE")</f>
        <v>0</v>
      </c>
      <c r="H270" s="5">
        <f>SUMIFS(KASA!$K:$K, KASA!$C:$C, $C270, KASA!$B:$B, "MAL İADE") + SUMIFS(KASA!$Q:$Q, KASA!$C:$C, $C270, KASA!$B:$B, "MAL İADE")</f>
        <v>0</v>
      </c>
      <c r="I270" s="5">
        <f t="shared" si="52"/>
        <v>25.92</v>
      </c>
      <c r="J270" s="5">
        <f t="shared" si="53"/>
        <v>1529.2800000000002</v>
      </c>
      <c r="K270" s="5">
        <f>SUMIFS(KASA!$Q:$Q, KASA!$C:$C, $C270, KASA!$B:$B, "MAL SATIŞI") + SUMIFS(KASA!$Q:$Q, KASA!$C:$C, $C270, KASA!$B:$B, "ÜRETİM ÇIKIŞ")</f>
        <v>1653.78</v>
      </c>
      <c r="L270" s="5">
        <f>SUMIFS(KASA!$K:$K, KASA!$C:$C, $C270, KASA!$B:$B, "MAL SATIŞI") + SUMIFS(KASA!$K:$K, KASA!$C:$C, $C270, KASA!$B:$B, "ÜRETİM ÇIKIŞ")</f>
        <v>1070</v>
      </c>
      <c r="M270" s="5">
        <f t="shared" si="54"/>
        <v>2723.7799999999997</v>
      </c>
      <c r="N270" s="5">
        <f t="shared" si="55"/>
        <v>1194.4999999999995</v>
      </c>
      <c r="O270" s="65">
        <f t="shared" si="56"/>
        <v>0.78108652437748438</v>
      </c>
      <c r="P270" s="5">
        <f t="shared" si="57"/>
        <v>105.08410493827159</v>
      </c>
      <c r="Q270" s="5">
        <f t="shared" si="58"/>
        <v>24.08</v>
      </c>
      <c r="R270" s="5">
        <f t="shared" si="59"/>
        <v>1420.7199999999998</v>
      </c>
      <c r="S270" s="5">
        <f t="shared" si="60"/>
        <v>2950</v>
      </c>
      <c r="T270">
        <f>25+5.582+1.5</f>
        <v>32.082000000000001</v>
      </c>
      <c r="U270" s="2">
        <f t="shared" si="61"/>
        <v>-8.0020000000000024</v>
      </c>
      <c r="V270">
        <f>SUMIF(KASA!$C$2:$C$9980, C270, KASA!$T$2:$T$9980)</f>
        <v>24.08</v>
      </c>
      <c r="W270">
        <f>SUMIF(KASA!$C$2:$C$9980, C270, KASA!$U$2:$U$9980)</f>
        <v>1035.4399999999998</v>
      </c>
      <c r="X270" s="2">
        <f t="shared" si="62"/>
        <v>24.08</v>
      </c>
      <c r="Y270" s="2">
        <f t="shared" si="63"/>
        <v>1035.4399999999998</v>
      </c>
      <c r="Z270">
        <f>SUMIF(KASA!$C$2:$C$9980, C270, KASA!$V$2:$V$9980)</f>
        <v>2690</v>
      </c>
      <c r="AA270">
        <f t="shared" si="64"/>
        <v>1654.5600000000002</v>
      </c>
    </row>
    <row r="271" spans="3:27" x14ac:dyDescent="0.25">
      <c r="C271" s="4" t="s">
        <v>840</v>
      </c>
      <c r="D271" s="5">
        <f>SUMIFS(KASA!$I:$I, KASA!$C:$C, $C271, KASA!$B:$B, "MAL ALIMI") + SUMIFS(KASA!$I:$I, KASA!$C:$C, $C271, KASA!$B:$B, "ÜRETİM GİRİŞ")</f>
        <v>8</v>
      </c>
      <c r="E271" s="5" cm="1">
        <f t="array" ref="E271">IFERROR(AVERAGE(IF((KASA!$C$2:$C$9980=$C271)*((KASA!$B$2:$B$9980="MAL ALIMI")+(KASA!$B$2:$B$9980="ÜRETİM GİRİŞ")),KASA!$J$2:$J$9980)),0)</f>
        <v>180</v>
      </c>
      <c r="F271" s="5">
        <f>SUMIFS(KASA!$I:$I, KASA!$C:$C, $C271, KASA!$B:$B, "MAL SATIŞI") + SUMIFS(KASA!$I:$I, KASA!$C:$C, $C271, KASA!$B:$B, "ÜRETİM ÇIKIŞ")</f>
        <v>3.0939999999999999</v>
      </c>
      <c r="G271" s="5">
        <f>SUMIFS(KASA!$I:$I, KASA!$C:$C, $C271, KASA!$B:$B, "MAL İADE")</f>
        <v>0</v>
      </c>
      <c r="H271" s="5">
        <f>SUMIFS(KASA!$K:$K, KASA!$C:$C, $C271, KASA!$B:$B, "MAL İADE") + SUMIFS(KASA!$Q:$Q, KASA!$C:$C, $C271, KASA!$B:$B, "MAL İADE")</f>
        <v>0</v>
      </c>
      <c r="I271" s="5">
        <f t="shared" si="52"/>
        <v>3.0939999999999999</v>
      </c>
      <c r="J271" s="5">
        <f t="shared" si="53"/>
        <v>556.91999999999996</v>
      </c>
      <c r="K271" s="5">
        <f>SUMIFS(KASA!$Q:$Q, KASA!$C:$C, $C271, KASA!$B:$B, "MAL SATIŞI") + SUMIFS(KASA!$Q:$Q, KASA!$C:$C, $C271, KASA!$B:$B, "ÜRETİM ÇIKIŞ")</f>
        <v>730.10400000000004</v>
      </c>
      <c r="L271" s="5">
        <f>SUMIFS(KASA!$K:$K, KASA!$C:$C, $C271, KASA!$B:$B, "MAL SATIŞI") + SUMIFS(KASA!$K:$K, KASA!$C:$C, $C271, KASA!$B:$B, "ÜRETİM ÇIKIŞ")</f>
        <v>360</v>
      </c>
      <c r="M271" s="5">
        <f t="shared" si="54"/>
        <v>1090.104</v>
      </c>
      <c r="N271" s="5">
        <f t="shared" si="55"/>
        <v>533.18400000000008</v>
      </c>
      <c r="O271" s="65">
        <f t="shared" si="56"/>
        <v>0.95737987502693411</v>
      </c>
      <c r="P271" s="5">
        <f t="shared" si="57"/>
        <v>352.32837750484811</v>
      </c>
      <c r="Q271" s="5">
        <f t="shared" si="58"/>
        <v>4.9060000000000006</v>
      </c>
      <c r="R271" s="5">
        <f t="shared" si="59"/>
        <v>883.08000000000015</v>
      </c>
      <c r="S271" s="5">
        <f t="shared" si="60"/>
        <v>1440</v>
      </c>
      <c r="U271" s="2">
        <f t="shared" si="61"/>
        <v>4.9060000000000006</v>
      </c>
      <c r="V271">
        <f>SUMIF(KASA!$C$2:$C$9980, C271, KASA!$T$2:$T$9980)</f>
        <v>4.9060000000000006</v>
      </c>
      <c r="W271">
        <f>SUMIF(KASA!$C$2:$C$9980, C271, KASA!$U$2:$U$9980)</f>
        <v>883.08</v>
      </c>
      <c r="X271" s="2">
        <f t="shared" si="62"/>
        <v>4.9060000000000006</v>
      </c>
      <c r="Y271" s="2">
        <f t="shared" si="63"/>
        <v>883.08</v>
      </c>
      <c r="Z271">
        <f>SUMIF(KASA!$C$2:$C$9980, C271, KASA!$V$2:$V$9980)</f>
        <v>1440</v>
      </c>
      <c r="AA271">
        <f t="shared" si="64"/>
        <v>556.91999999999996</v>
      </c>
    </row>
    <row r="272" spans="3:27" x14ac:dyDescent="0.25">
      <c r="C272" s="4" t="s">
        <v>842</v>
      </c>
      <c r="D272" s="5">
        <f>SUMIFS(KASA!$I:$I, KASA!$C:$C, $C272, KASA!$B:$B, "MAL ALIMI") + SUMIFS(KASA!$I:$I, KASA!$C:$C, $C272, KASA!$B:$B, "ÜRETİM GİRİŞ")</f>
        <v>5</v>
      </c>
      <c r="E272" s="5" cm="1">
        <f t="array" ref="E272">IFERROR(AVERAGE(IF((KASA!$C$2:$C$9980=$C272)*((KASA!$B$2:$B$9980="MAL ALIMI")+(KASA!$B$2:$B$9980="ÜRETİM GİRİŞ")),KASA!$J$2:$J$9980)),0)</f>
        <v>70</v>
      </c>
      <c r="F272" s="5">
        <f>SUMIFS(KASA!$I:$I, KASA!$C:$C, $C272, KASA!$B:$B, "MAL SATIŞI") + SUMIFS(KASA!$I:$I, KASA!$C:$C, $C272, KASA!$B:$B, "ÜRETİM ÇIKIŞ")</f>
        <v>5</v>
      </c>
      <c r="G272" s="5">
        <f>SUMIFS(KASA!$I:$I, KASA!$C:$C, $C272, KASA!$B:$B, "MAL İADE")</f>
        <v>0</v>
      </c>
      <c r="H272" s="5">
        <f>SUMIFS(KASA!$K:$K, KASA!$C:$C, $C272, KASA!$B:$B, "MAL İADE") + SUMIFS(KASA!$Q:$Q, KASA!$C:$C, $C272, KASA!$B:$B, "MAL İADE")</f>
        <v>0</v>
      </c>
      <c r="I272" s="5">
        <f t="shared" si="52"/>
        <v>5</v>
      </c>
      <c r="J272" s="5">
        <f t="shared" si="53"/>
        <v>350</v>
      </c>
      <c r="K272" s="5">
        <f>SUMIFS(KASA!$Q:$Q, KASA!$C:$C, $C272, KASA!$B:$B, "MAL SATIŞI") + SUMIFS(KASA!$Q:$Q, KASA!$C:$C, $C272, KASA!$B:$B, "ÜRETİM ÇIKIŞ")</f>
        <v>400</v>
      </c>
      <c r="L272" s="5">
        <f>SUMIFS(KASA!$K:$K, KASA!$C:$C, $C272, KASA!$B:$B, "MAL SATIŞI") + SUMIFS(KASA!$K:$K, KASA!$C:$C, $C272, KASA!$B:$B, "ÜRETİM ÇIKIŞ")</f>
        <v>100</v>
      </c>
      <c r="M272" s="5">
        <f t="shared" si="54"/>
        <v>500</v>
      </c>
      <c r="N272" s="5">
        <f t="shared" si="55"/>
        <v>150</v>
      </c>
      <c r="O272" s="65">
        <f t="shared" si="56"/>
        <v>0.42857142857142855</v>
      </c>
      <c r="P272" s="5">
        <f t="shared" si="57"/>
        <v>100</v>
      </c>
      <c r="Q272" s="5">
        <f t="shared" si="58"/>
        <v>0</v>
      </c>
      <c r="R272" s="5">
        <f t="shared" si="59"/>
        <v>0</v>
      </c>
      <c r="S272" s="5">
        <f t="shared" si="60"/>
        <v>350</v>
      </c>
      <c r="T272">
        <v>0</v>
      </c>
      <c r="U272" s="2">
        <f t="shared" si="61"/>
        <v>0</v>
      </c>
      <c r="V272">
        <f>SUMIF(KASA!$C$2:$C$9980, C272, KASA!$T$2:$T$9980)</f>
        <v>0</v>
      </c>
      <c r="W272">
        <f>SUMIF(KASA!$C$2:$C$9980, C272, KASA!$U$2:$U$9980)</f>
        <v>0</v>
      </c>
      <c r="X272" s="2">
        <f t="shared" si="62"/>
        <v>0</v>
      </c>
      <c r="Y272" s="2">
        <f t="shared" si="63"/>
        <v>0</v>
      </c>
      <c r="Z272">
        <f>SUMIF(KASA!$C$2:$C$9980, C272, KASA!$V$2:$V$9980)</f>
        <v>350</v>
      </c>
      <c r="AA272">
        <f t="shared" si="64"/>
        <v>350</v>
      </c>
    </row>
    <row r="273" spans="3:27" x14ac:dyDescent="0.25">
      <c r="C273" s="4" t="s">
        <v>1871</v>
      </c>
      <c r="D273" s="5">
        <f>SUMIFS(KASA!$I:$I, KASA!$C:$C, $C273, KASA!$B:$B, "MAL ALIMI") + SUMIFS(KASA!$I:$I, KASA!$C:$C, $C273, KASA!$B:$B, "ÜRETİM GİRİŞ")</f>
        <v>5</v>
      </c>
      <c r="E273" s="5" cm="1">
        <f t="array" ref="E273">IFERROR(AVERAGE(IF((KASA!$C$2:$C$9980=$C273)*((KASA!$B$2:$B$9980="MAL ALIMI")+(KASA!$B$2:$B$9980="ÜRETİM GİRİŞ")),KASA!$J$2:$J$9980)),0)</f>
        <v>95</v>
      </c>
      <c r="F273" s="5">
        <f>SUMIFS(KASA!$I:$I, KASA!$C:$C, $C273, KASA!$B:$B, "MAL SATIŞI") + SUMIFS(KASA!$I:$I, KASA!$C:$C, $C273, KASA!$B:$B, "ÜRETİM ÇIKIŞ")</f>
        <v>5</v>
      </c>
      <c r="G273" s="5">
        <f>SUMIFS(KASA!$I:$I, KASA!$C:$C, $C273, KASA!$B:$B, "MAL İADE")</f>
        <v>0</v>
      </c>
      <c r="H273" s="5">
        <f>SUMIFS(KASA!$K:$K, KASA!$C:$C, $C273, KASA!$B:$B, "MAL İADE") + SUMIFS(KASA!$Q:$Q, KASA!$C:$C, $C273, KASA!$B:$B, "MAL İADE")</f>
        <v>0</v>
      </c>
      <c r="I273" s="5">
        <f t="shared" si="52"/>
        <v>5</v>
      </c>
      <c r="J273" s="5">
        <f t="shared" si="53"/>
        <v>475</v>
      </c>
      <c r="K273" s="5">
        <f>SUMIFS(KASA!$Q:$Q, KASA!$C:$C, $C273, KASA!$B:$B, "MAL SATIŞI") + SUMIFS(KASA!$Q:$Q, KASA!$C:$C, $C273, KASA!$B:$B, "ÜRETİM ÇIKIŞ")</f>
        <v>750</v>
      </c>
      <c r="L273" s="5">
        <f>SUMIFS(KASA!$K:$K, KASA!$C:$C, $C273, KASA!$B:$B, "MAL SATIŞI") + SUMIFS(KASA!$K:$K, KASA!$C:$C, $C273, KASA!$B:$B, "ÜRETİM ÇIKIŞ")</f>
        <v>0</v>
      </c>
      <c r="M273" s="5">
        <f t="shared" si="54"/>
        <v>750</v>
      </c>
      <c r="N273" s="5">
        <f t="shared" si="55"/>
        <v>275</v>
      </c>
      <c r="O273" s="65">
        <f t="shared" si="56"/>
        <v>0.57894736842105265</v>
      </c>
      <c r="P273" s="5">
        <f t="shared" si="57"/>
        <v>150</v>
      </c>
      <c r="Q273" s="5">
        <f t="shared" si="58"/>
        <v>0</v>
      </c>
      <c r="R273" s="5">
        <f t="shared" si="59"/>
        <v>0</v>
      </c>
      <c r="S273" s="5">
        <f t="shared" si="60"/>
        <v>475</v>
      </c>
      <c r="T273">
        <v>1</v>
      </c>
      <c r="U273" s="2">
        <f t="shared" si="61"/>
        <v>-1</v>
      </c>
      <c r="V273">
        <f>SUMIF(KASA!$C$2:$C$9980, C273, KASA!$T$2:$T$9980)</f>
        <v>0</v>
      </c>
      <c r="W273">
        <f>SUMIF(KASA!$C$2:$C$9980, C273, KASA!$U$2:$U$9980)</f>
        <v>0</v>
      </c>
      <c r="X273" s="2">
        <f t="shared" si="62"/>
        <v>0</v>
      </c>
      <c r="Y273" s="2">
        <f t="shared" si="63"/>
        <v>0</v>
      </c>
      <c r="Z273">
        <f>SUMIF(KASA!$C$2:$C$9980, C273, KASA!$V$2:$V$9980)</f>
        <v>475</v>
      </c>
      <c r="AA273">
        <f t="shared" si="64"/>
        <v>475</v>
      </c>
    </row>
    <row r="274" spans="3:27" x14ac:dyDescent="0.25">
      <c r="C274" s="4" t="s">
        <v>843</v>
      </c>
      <c r="D274" s="5">
        <f>SUMIFS(KASA!$I:$I, KASA!$C:$C, $C274, KASA!$B:$B, "MAL ALIMI") + SUMIFS(KASA!$I:$I, KASA!$C:$C, $C274, KASA!$B:$B, "ÜRETİM GİRİŞ")</f>
        <v>1</v>
      </c>
      <c r="E274" s="5" cm="1">
        <f t="array" ref="E274">IFERROR(AVERAGE(IF((KASA!$C$2:$C$9980=$C274)*((KASA!$B$2:$B$9980="MAL ALIMI")+(KASA!$B$2:$B$9980="ÜRETİM GİRİŞ")),KASA!$J$2:$J$9980)),0)</f>
        <v>500</v>
      </c>
      <c r="F274" s="5">
        <f>SUMIFS(KASA!$I:$I, KASA!$C:$C, $C274, KASA!$B:$B, "MAL SATIŞI") + SUMIFS(KASA!$I:$I, KASA!$C:$C, $C274, KASA!$B:$B, "ÜRETİM ÇIKIŞ")</f>
        <v>0.6</v>
      </c>
      <c r="G274" s="5">
        <f>SUMIFS(KASA!$I:$I, KASA!$C:$C, $C274, KASA!$B:$B, "MAL İADE")</f>
        <v>0</v>
      </c>
      <c r="H274" s="5">
        <f>SUMIFS(KASA!$K:$K, KASA!$C:$C, $C274, KASA!$B:$B, "MAL İADE") + SUMIFS(KASA!$Q:$Q, KASA!$C:$C, $C274, KASA!$B:$B, "MAL İADE")</f>
        <v>0</v>
      </c>
      <c r="I274" s="5">
        <f t="shared" si="52"/>
        <v>0.6</v>
      </c>
      <c r="J274" s="5">
        <f t="shared" si="53"/>
        <v>300</v>
      </c>
      <c r="K274" s="5">
        <f>SUMIFS(KASA!$Q:$Q, KASA!$C:$C, $C274, KASA!$B:$B, "MAL SATIŞI") + SUMIFS(KASA!$Q:$Q, KASA!$C:$C, $C274, KASA!$B:$B, "ÜRETİM ÇIKIŞ")</f>
        <v>270</v>
      </c>
      <c r="L274" s="5">
        <f>SUMIFS(KASA!$K:$K, KASA!$C:$C, $C274, KASA!$B:$B, "MAL SATIŞI") + SUMIFS(KASA!$K:$K, KASA!$C:$C, $C274, KASA!$B:$B, "ÜRETİM ÇIKIŞ")</f>
        <v>270</v>
      </c>
      <c r="M274" s="5">
        <f t="shared" si="54"/>
        <v>540</v>
      </c>
      <c r="N274" s="5">
        <f t="shared" si="55"/>
        <v>240</v>
      </c>
      <c r="O274" s="65">
        <f t="shared" si="56"/>
        <v>0.8</v>
      </c>
      <c r="P274" s="5">
        <f t="shared" si="57"/>
        <v>900</v>
      </c>
      <c r="Q274" s="5">
        <f t="shared" si="58"/>
        <v>0.4</v>
      </c>
      <c r="R274" s="5">
        <f t="shared" si="59"/>
        <v>200</v>
      </c>
      <c r="S274" s="5">
        <f t="shared" si="60"/>
        <v>500</v>
      </c>
      <c r="T274">
        <v>0.5</v>
      </c>
      <c r="U274" s="2">
        <f t="shared" si="61"/>
        <v>-9.9999999999999978E-2</v>
      </c>
      <c r="V274">
        <f>SUMIF(KASA!$C$2:$C$9980, C274, KASA!$T$2:$T$9980)</f>
        <v>0.4</v>
      </c>
      <c r="W274">
        <f>SUMIF(KASA!$C$2:$C$9980, C274, KASA!$U$2:$U$9980)</f>
        <v>200</v>
      </c>
      <c r="X274" s="2">
        <f t="shared" si="62"/>
        <v>0.4</v>
      </c>
      <c r="Y274" s="2">
        <f t="shared" si="63"/>
        <v>200</v>
      </c>
      <c r="Z274">
        <f>SUMIF(KASA!$C$2:$C$9980, C274, KASA!$V$2:$V$9980)</f>
        <v>500</v>
      </c>
      <c r="AA274">
        <f t="shared" si="64"/>
        <v>300</v>
      </c>
    </row>
    <row r="275" spans="3:27" x14ac:dyDescent="0.25">
      <c r="C275" s="4" t="s">
        <v>844</v>
      </c>
      <c r="D275" s="5">
        <f>SUMIFS(KASA!$I:$I, KASA!$C:$C, $C275, KASA!$B:$B, "MAL ALIMI") + SUMIFS(KASA!$I:$I, KASA!$C:$C, $C275, KASA!$B:$B, "ÜRETİM GİRİŞ")</f>
        <v>6</v>
      </c>
      <c r="E275" s="5" cm="1">
        <f t="array" ref="E275">IFERROR(AVERAGE(IF((KASA!$C$2:$C$9980=$C275)*((KASA!$B$2:$B$9980="MAL ALIMI")+(KASA!$B$2:$B$9980="ÜRETİM GİRİŞ")),KASA!$J$2:$J$9980)),0)</f>
        <v>115</v>
      </c>
      <c r="F275" s="5">
        <f>SUMIFS(KASA!$I:$I, KASA!$C:$C, $C275, KASA!$B:$B, "MAL SATIŞI") + SUMIFS(KASA!$I:$I, KASA!$C:$C, $C275, KASA!$B:$B, "ÜRETİM ÇIKIŞ")</f>
        <v>2</v>
      </c>
      <c r="G275" s="5">
        <f>SUMIFS(KASA!$I:$I, KASA!$C:$C, $C275, KASA!$B:$B, "MAL İADE")</f>
        <v>0</v>
      </c>
      <c r="H275" s="5">
        <f>SUMIFS(KASA!$K:$K, KASA!$C:$C, $C275, KASA!$B:$B, "MAL İADE") + SUMIFS(KASA!$Q:$Q, KASA!$C:$C, $C275, KASA!$B:$B, "MAL İADE")</f>
        <v>0</v>
      </c>
      <c r="I275" s="5">
        <f t="shared" si="52"/>
        <v>2</v>
      </c>
      <c r="J275" s="5">
        <f t="shared" si="53"/>
        <v>230</v>
      </c>
      <c r="K275" s="5">
        <f>SUMIFS(KASA!$Q:$Q, KASA!$C:$C, $C275, KASA!$B:$B, "MAL SATIŞI") + SUMIFS(KASA!$Q:$Q, KASA!$C:$C, $C275, KASA!$B:$B, "ÜRETİM ÇIKIŞ")</f>
        <v>170</v>
      </c>
      <c r="L275" s="5">
        <f>SUMIFS(KASA!$K:$K, KASA!$C:$C, $C275, KASA!$B:$B, "MAL SATIŞI") + SUMIFS(KASA!$K:$K, KASA!$C:$C, $C275, KASA!$B:$B, "ÜRETİM ÇIKIŞ")</f>
        <v>170</v>
      </c>
      <c r="M275" s="5">
        <f t="shared" si="54"/>
        <v>340</v>
      </c>
      <c r="N275" s="5">
        <f t="shared" si="55"/>
        <v>110</v>
      </c>
      <c r="O275" s="65">
        <f t="shared" si="56"/>
        <v>0.47826086956521741</v>
      </c>
      <c r="P275" s="5">
        <f t="shared" si="57"/>
        <v>170</v>
      </c>
      <c r="Q275" s="5">
        <f t="shared" si="58"/>
        <v>4</v>
      </c>
      <c r="R275" s="5">
        <f t="shared" si="59"/>
        <v>460</v>
      </c>
      <c r="S275" s="5">
        <f t="shared" si="60"/>
        <v>690</v>
      </c>
      <c r="T275">
        <v>6</v>
      </c>
      <c r="U275" s="2">
        <f t="shared" si="61"/>
        <v>-2</v>
      </c>
      <c r="V275">
        <f>SUMIF(KASA!$C$2:$C$9980, C275, KASA!$T$2:$T$9980)</f>
        <v>4</v>
      </c>
      <c r="W275">
        <f>SUMIF(KASA!$C$2:$C$9980, C275, KASA!$U$2:$U$9980)</f>
        <v>460</v>
      </c>
      <c r="X275" s="2">
        <f t="shared" si="62"/>
        <v>4</v>
      </c>
      <c r="Y275" s="2">
        <f t="shared" si="63"/>
        <v>460</v>
      </c>
      <c r="Z275">
        <f>SUMIF(KASA!$C$2:$C$9980, C275, KASA!$V$2:$V$9980)</f>
        <v>690</v>
      </c>
      <c r="AA275">
        <f t="shared" si="64"/>
        <v>230</v>
      </c>
    </row>
    <row r="276" spans="3:27" x14ac:dyDescent="0.25">
      <c r="C276" s="4" t="s">
        <v>1368</v>
      </c>
      <c r="D276" s="5">
        <f>SUMIFS(KASA!$I:$I, KASA!$C:$C, $C276, KASA!$B:$B, "MAL ALIMI") + SUMIFS(KASA!$I:$I, KASA!$C:$C, $C276, KASA!$B:$B, "ÜRETİM GİRİŞ")</f>
        <v>12</v>
      </c>
      <c r="E276" s="5" cm="1">
        <f t="array" ref="E276">IFERROR(AVERAGE(IF((KASA!$C$2:$C$9980=$C276)*((KASA!$B$2:$B$9980="MAL ALIMI")+(KASA!$B$2:$B$9980="ÜRETİM GİRİŞ")),KASA!$J$2:$J$9980)),0)</f>
        <v>147.5</v>
      </c>
      <c r="F276" s="5">
        <f>SUMIFS(KASA!$I:$I, KASA!$C:$C, $C276, KASA!$B:$B, "MAL SATIŞI") + SUMIFS(KASA!$I:$I, KASA!$C:$C, $C276, KASA!$B:$B, "ÜRETİM ÇIKIŞ")</f>
        <v>8</v>
      </c>
      <c r="G276" s="5">
        <f>SUMIFS(KASA!$I:$I, KASA!$C:$C, $C276, KASA!$B:$B, "MAL İADE")</f>
        <v>0</v>
      </c>
      <c r="H276" s="5">
        <f>SUMIFS(KASA!$K:$K, KASA!$C:$C, $C276, KASA!$B:$B, "MAL İADE") + SUMIFS(KASA!$Q:$Q, KASA!$C:$C, $C276, KASA!$B:$B, "MAL İADE")</f>
        <v>0</v>
      </c>
      <c r="I276" s="5">
        <f t="shared" si="52"/>
        <v>8</v>
      </c>
      <c r="J276" s="5">
        <f t="shared" si="53"/>
        <v>1180</v>
      </c>
      <c r="K276" s="5">
        <f>SUMIFS(KASA!$Q:$Q, KASA!$C:$C, $C276, KASA!$B:$B, "MAL SATIŞI") + SUMIFS(KASA!$Q:$Q, KASA!$C:$C, $C276, KASA!$B:$B, "ÜRETİM ÇIKIŞ")</f>
        <v>510</v>
      </c>
      <c r="L276" s="5">
        <f>SUMIFS(KASA!$K:$K, KASA!$C:$C, $C276, KASA!$B:$B, "MAL SATIŞI") + SUMIFS(KASA!$K:$K, KASA!$C:$C, $C276, KASA!$B:$B, "ÜRETİM ÇIKIŞ")</f>
        <v>880</v>
      </c>
      <c r="M276" s="5">
        <f t="shared" si="54"/>
        <v>1390</v>
      </c>
      <c r="N276" s="5">
        <f t="shared" si="55"/>
        <v>210</v>
      </c>
      <c r="O276" s="65">
        <f t="shared" si="56"/>
        <v>0.17796610169491525</v>
      </c>
      <c r="P276" s="5">
        <f t="shared" si="57"/>
        <v>173.75</v>
      </c>
      <c r="Q276" s="5">
        <f t="shared" si="58"/>
        <v>4</v>
      </c>
      <c r="R276" s="5">
        <f t="shared" si="59"/>
        <v>590</v>
      </c>
      <c r="S276" s="5">
        <f t="shared" si="60"/>
        <v>1770</v>
      </c>
      <c r="T276">
        <v>1</v>
      </c>
      <c r="U276" s="2">
        <f t="shared" si="61"/>
        <v>3</v>
      </c>
      <c r="V276">
        <f>SUMIF(KASA!$C$2:$C$9980, C276, KASA!$T$2:$T$9980)</f>
        <v>4</v>
      </c>
      <c r="W276">
        <f>SUMIF(KASA!$C$2:$C$9980, C276, KASA!$U$2:$U$9980)</f>
        <v>760</v>
      </c>
      <c r="X276" s="2">
        <f t="shared" si="62"/>
        <v>4</v>
      </c>
      <c r="Y276" s="2">
        <f t="shared" si="63"/>
        <v>760</v>
      </c>
      <c r="Z276">
        <f>SUMIF(KASA!$C$2:$C$9980, C276, KASA!$V$2:$V$9980)</f>
        <v>1770</v>
      </c>
      <c r="AA276">
        <f t="shared" si="64"/>
        <v>1010</v>
      </c>
    </row>
    <row r="277" spans="3:27" x14ac:dyDescent="0.25">
      <c r="C277" s="4" t="s">
        <v>892</v>
      </c>
      <c r="D277" s="5">
        <f>SUMIFS(KASA!$I:$I, KASA!$C:$C, $C277, KASA!$B:$B, "MAL ALIMI") + SUMIFS(KASA!$I:$I, KASA!$C:$C, $C277, KASA!$B:$B, "ÜRETİM GİRİŞ")</f>
        <v>20</v>
      </c>
      <c r="E277" s="5" cm="1">
        <f t="array" ref="E277">IFERROR(AVERAGE(IF((KASA!$C$2:$C$9980=$C277)*((KASA!$B$2:$B$9980="MAL ALIMI")+(KASA!$B$2:$B$9980="ÜRETİM GİRİŞ")),KASA!$J$2:$J$9980)),0)</f>
        <v>25.5</v>
      </c>
      <c r="F277" s="5">
        <f>SUMIFS(KASA!$I:$I, KASA!$C:$C, $C277, KASA!$B:$B, "MAL SATIŞI") + SUMIFS(KASA!$I:$I, KASA!$C:$C, $C277, KASA!$B:$B, "ÜRETİM ÇIKIŞ")</f>
        <v>15</v>
      </c>
      <c r="G277" s="5">
        <f>SUMIFS(KASA!$I:$I, KASA!$C:$C, $C277, KASA!$B:$B, "MAL İADE")</f>
        <v>0</v>
      </c>
      <c r="H277" s="5">
        <f>SUMIFS(KASA!$K:$K, KASA!$C:$C, $C277, KASA!$B:$B, "MAL İADE") + SUMIFS(KASA!$Q:$Q, KASA!$C:$C, $C277, KASA!$B:$B, "MAL İADE")</f>
        <v>0</v>
      </c>
      <c r="I277" s="5">
        <f t="shared" si="52"/>
        <v>15</v>
      </c>
      <c r="J277" s="5">
        <f t="shared" si="53"/>
        <v>382.5</v>
      </c>
      <c r="K277" s="5">
        <f>SUMIFS(KASA!$Q:$Q, KASA!$C:$C, $C277, KASA!$B:$B, "MAL SATIŞI") + SUMIFS(KASA!$Q:$Q, KASA!$C:$C, $C277, KASA!$B:$B, "ÜRETİM ÇIKIŞ")</f>
        <v>560</v>
      </c>
      <c r="L277" s="5">
        <f>SUMIFS(KASA!$K:$K, KASA!$C:$C, $C277, KASA!$B:$B, "MAL SATIŞI") + SUMIFS(KASA!$K:$K, KASA!$C:$C, $C277, KASA!$B:$B, "ÜRETİM ÇIKIŞ")</f>
        <v>240</v>
      </c>
      <c r="M277" s="5">
        <f t="shared" si="54"/>
        <v>800</v>
      </c>
      <c r="N277" s="5">
        <f t="shared" si="55"/>
        <v>417.5</v>
      </c>
      <c r="O277" s="65">
        <f t="shared" si="56"/>
        <v>1.0915032679738561</v>
      </c>
      <c r="P277" s="5">
        <f t="shared" si="57"/>
        <v>53.333333333333336</v>
      </c>
      <c r="Q277" s="5">
        <f t="shared" si="58"/>
        <v>5</v>
      </c>
      <c r="R277" s="5">
        <f t="shared" si="59"/>
        <v>127.5</v>
      </c>
      <c r="S277" s="5">
        <f t="shared" si="60"/>
        <v>510</v>
      </c>
      <c r="U277" s="2">
        <f t="shared" si="61"/>
        <v>5</v>
      </c>
      <c r="V277">
        <f>SUMIF(KASA!$C$2:$C$9980, C277, KASA!$T$2:$T$9980)</f>
        <v>5</v>
      </c>
      <c r="W277">
        <f>SUMIF(KASA!$C$2:$C$9980, C277, KASA!$U$2:$U$9980)</f>
        <v>132.5</v>
      </c>
      <c r="X277" s="2">
        <f t="shared" si="62"/>
        <v>5</v>
      </c>
      <c r="Y277" s="2">
        <f t="shared" si="63"/>
        <v>132.5</v>
      </c>
      <c r="Z277">
        <f>SUMIF(KASA!$C$2:$C$9980, C277, KASA!$V$2:$V$9980)</f>
        <v>510</v>
      </c>
      <c r="AA277">
        <f t="shared" si="64"/>
        <v>377.5</v>
      </c>
    </row>
    <row r="278" spans="3:27" x14ac:dyDescent="0.25">
      <c r="C278" s="4" t="s">
        <v>893</v>
      </c>
      <c r="D278" s="5">
        <f>SUMIFS(KASA!$I:$I, KASA!$C:$C, $C278, KASA!$B:$B, "MAL ALIMI") + SUMIFS(KASA!$I:$I, KASA!$C:$C, $C278, KASA!$B:$B, "ÜRETİM GİRİŞ")</f>
        <v>12</v>
      </c>
      <c r="E278" s="5" cm="1">
        <f t="array" ref="E278">IFERROR(AVERAGE(IF((KASA!$C$2:$C$9980=$C278)*((KASA!$B$2:$B$9980="MAL ALIMI")+(KASA!$B$2:$B$9980="ÜRETİM GİRİŞ")),KASA!$J$2:$J$9980)),0)</f>
        <v>95</v>
      </c>
      <c r="F278" s="5">
        <f>SUMIFS(KASA!$I:$I, KASA!$C:$C, $C278, KASA!$B:$B, "MAL SATIŞI") + SUMIFS(KASA!$I:$I, KASA!$C:$C, $C278, KASA!$B:$B, "ÜRETİM ÇIKIŞ")</f>
        <v>3</v>
      </c>
      <c r="G278" s="5">
        <f>SUMIFS(KASA!$I:$I, KASA!$C:$C, $C278, KASA!$B:$B, "MAL İADE")</f>
        <v>0</v>
      </c>
      <c r="H278" s="5">
        <f>SUMIFS(KASA!$K:$K, KASA!$C:$C, $C278, KASA!$B:$B, "MAL İADE") + SUMIFS(KASA!$Q:$Q, KASA!$C:$C, $C278, KASA!$B:$B, "MAL İADE")</f>
        <v>0</v>
      </c>
      <c r="I278" s="5">
        <f t="shared" si="52"/>
        <v>3</v>
      </c>
      <c r="J278" s="5">
        <f t="shared" si="53"/>
        <v>285</v>
      </c>
      <c r="K278" s="5">
        <f>SUMIFS(KASA!$Q:$Q, KASA!$C:$C, $C278, KASA!$B:$B, "MAL SATIŞI") + SUMIFS(KASA!$Q:$Q, KASA!$C:$C, $C278, KASA!$B:$B, "ÜRETİM ÇIKIŞ")</f>
        <v>340</v>
      </c>
      <c r="L278" s="5">
        <f>SUMIFS(KASA!$K:$K, KASA!$C:$C, $C278, KASA!$B:$B, "MAL SATIŞI") + SUMIFS(KASA!$K:$K, KASA!$C:$C, $C278, KASA!$B:$B, "ÜRETİM ÇIKIŞ")</f>
        <v>170</v>
      </c>
      <c r="M278" s="5">
        <f t="shared" si="54"/>
        <v>510</v>
      </c>
      <c r="N278" s="5">
        <f t="shared" si="55"/>
        <v>225</v>
      </c>
      <c r="O278" s="65">
        <f t="shared" si="56"/>
        <v>0.78947368421052633</v>
      </c>
      <c r="P278" s="5">
        <f t="shared" si="57"/>
        <v>170</v>
      </c>
      <c r="Q278" s="5">
        <f t="shared" si="58"/>
        <v>9</v>
      </c>
      <c r="R278" s="5">
        <f t="shared" si="59"/>
        <v>855</v>
      </c>
      <c r="S278" s="5">
        <f t="shared" si="60"/>
        <v>1140</v>
      </c>
      <c r="T278">
        <v>10</v>
      </c>
      <c r="U278" s="2">
        <f t="shared" si="61"/>
        <v>-1</v>
      </c>
      <c r="V278">
        <f>SUMIF(KASA!$C$2:$C$9980, C278, KASA!$T$2:$T$9980)</f>
        <v>9</v>
      </c>
      <c r="W278">
        <f>SUMIF(KASA!$C$2:$C$9980, C278, KASA!$U$2:$U$9980)</f>
        <v>855</v>
      </c>
      <c r="X278" s="2">
        <f t="shared" si="62"/>
        <v>9</v>
      </c>
      <c r="Y278" s="2">
        <f t="shared" si="63"/>
        <v>855</v>
      </c>
      <c r="Z278">
        <f>SUMIF(KASA!$C$2:$C$9980, C278, KASA!$V$2:$V$9980)</f>
        <v>1140</v>
      </c>
      <c r="AA278">
        <f t="shared" si="64"/>
        <v>285</v>
      </c>
    </row>
    <row r="279" spans="3:27" x14ac:dyDescent="0.25">
      <c r="C279" s="4" t="s">
        <v>894</v>
      </c>
      <c r="D279" s="5">
        <f>SUMIFS(KASA!$I:$I, KASA!$C:$C, $C279, KASA!$B:$B, "MAL ALIMI") + SUMIFS(KASA!$I:$I, KASA!$C:$C, $C279, KASA!$B:$B, "ÜRETİM GİRİŞ")</f>
        <v>12</v>
      </c>
      <c r="E279" s="5" cm="1">
        <f t="array" ref="E279">IFERROR(AVERAGE(IF((KASA!$C$2:$C$9980=$C279)*((KASA!$B$2:$B$9980="MAL ALIMI")+(KASA!$B$2:$B$9980="ÜRETİM GİRİŞ")),KASA!$J$2:$J$9980)),0)</f>
        <v>145</v>
      </c>
      <c r="F279" s="5">
        <f>SUMIFS(KASA!$I:$I, KASA!$C:$C, $C279, KASA!$B:$B, "MAL SATIŞI") + SUMIFS(KASA!$I:$I, KASA!$C:$C, $C279, KASA!$B:$B, "ÜRETİM ÇIKIŞ")</f>
        <v>0</v>
      </c>
      <c r="G279" s="5">
        <f>SUMIFS(KASA!$I:$I, KASA!$C:$C, $C279, KASA!$B:$B, "MAL İADE")</f>
        <v>0</v>
      </c>
      <c r="H279" s="5">
        <f>SUMIFS(KASA!$K:$K, KASA!$C:$C, $C279, KASA!$B:$B, "MAL İADE") + SUMIFS(KASA!$Q:$Q, KASA!$C:$C, $C279, KASA!$B:$B, "MAL İADE")</f>
        <v>0</v>
      </c>
      <c r="I279" s="5">
        <f t="shared" si="52"/>
        <v>0</v>
      </c>
      <c r="J279" s="5">
        <f t="shared" si="53"/>
        <v>0</v>
      </c>
      <c r="K279" s="5">
        <f>SUMIFS(KASA!$Q:$Q, KASA!$C:$C, $C279, KASA!$B:$B, "MAL SATIŞI") + SUMIFS(KASA!$Q:$Q, KASA!$C:$C, $C279, KASA!$B:$B, "ÜRETİM ÇIKIŞ")</f>
        <v>0</v>
      </c>
      <c r="L279" s="5">
        <f>SUMIFS(KASA!$K:$K, KASA!$C:$C, $C279, KASA!$B:$B, "MAL SATIŞI") + SUMIFS(KASA!$K:$K, KASA!$C:$C, $C279, KASA!$B:$B, "ÜRETİM ÇIKIŞ")</f>
        <v>0</v>
      </c>
      <c r="M279" s="5">
        <f t="shared" si="54"/>
        <v>0</v>
      </c>
      <c r="N279" s="5">
        <f t="shared" si="55"/>
        <v>0</v>
      </c>
      <c r="O279" s="65">
        <f t="shared" si="56"/>
        <v>0</v>
      </c>
      <c r="P279" s="5" t="e">
        <f t="shared" si="57"/>
        <v>#DIV/0!</v>
      </c>
      <c r="Q279" s="5">
        <f t="shared" si="58"/>
        <v>12</v>
      </c>
      <c r="R279" s="5">
        <f t="shared" si="59"/>
        <v>1740</v>
      </c>
      <c r="S279" s="5">
        <f t="shared" si="60"/>
        <v>1740</v>
      </c>
      <c r="T279">
        <v>12</v>
      </c>
      <c r="U279" s="2">
        <f t="shared" si="61"/>
        <v>0</v>
      </c>
      <c r="V279">
        <f>SUMIF(KASA!$C$2:$C$9980, C279, KASA!$T$2:$T$9980)</f>
        <v>12</v>
      </c>
      <c r="W279">
        <f>SUMIF(KASA!$C$2:$C$9980, C279, KASA!$U$2:$U$9980)</f>
        <v>1740</v>
      </c>
      <c r="X279" s="2">
        <f t="shared" si="62"/>
        <v>12</v>
      </c>
      <c r="Y279" s="2">
        <f t="shared" si="63"/>
        <v>1740</v>
      </c>
      <c r="Z279">
        <f>SUMIF(KASA!$C$2:$C$9980, C279, KASA!$V$2:$V$9980)</f>
        <v>1740</v>
      </c>
      <c r="AA279">
        <f t="shared" si="64"/>
        <v>0</v>
      </c>
    </row>
    <row r="280" spans="3:27" x14ac:dyDescent="0.25">
      <c r="C280" s="4" t="s">
        <v>975</v>
      </c>
      <c r="D280" s="5">
        <f>SUMIFS(KASA!$I:$I, KASA!$C:$C, $C280, KASA!$B:$B, "MAL ALIMI") + SUMIFS(KASA!$I:$I, KASA!$C:$C, $C280, KASA!$B:$B, "ÜRETİM GİRİŞ")</f>
        <v>8</v>
      </c>
      <c r="E280" s="5" cm="1">
        <f t="array" ref="E280">IFERROR(AVERAGE(IF((KASA!$C$2:$C$9980=$C280)*((KASA!$B$2:$B$9980="MAL ALIMI")+(KASA!$B$2:$B$9980="ÜRETİM GİRİŞ")),KASA!$J$2:$J$9980)),0)</f>
        <v>145</v>
      </c>
      <c r="F280" s="5">
        <f>SUMIFS(KASA!$I:$I, KASA!$C:$C, $C280, KASA!$B:$B, "MAL SATIŞI") + SUMIFS(KASA!$I:$I, KASA!$C:$C, $C280, KASA!$B:$B, "ÜRETİM ÇIKIŞ")</f>
        <v>2</v>
      </c>
      <c r="G280" s="5">
        <f>SUMIFS(KASA!$I:$I, KASA!$C:$C, $C280, KASA!$B:$B, "MAL İADE")</f>
        <v>6</v>
      </c>
      <c r="H280" s="5">
        <f>SUMIFS(KASA!$K:$K, KASA!$C:$C, $C280, KASA!$B:$B, "MAL İADE") + SUMIFS(KASA!$Q:$Q, KASA!$C:$C, $C280, KASA!$B:$B, "MAL İADE")</f>
        <v>1170</v>
      </c>
      <c r="I280" s="5">
        <f t="shared" si="52"/>
        <v>8</v>
      </c>
      <c r="J280" s="5">
        <f t="shared" si="53"/>
        <v>290</v>
      </c>
      <c r="K280" s="5">
        <f>SUMIFS(KASA!$Q:$Q, KASA!$C:$C, $C280, KASA!$B:$B, "MAL SATIŞI") + SUMIFS(KASA!$Q:$Q, KASA!$C:$C, $C280, KASA!$B:$B, "ÜRETİM ÇIKIŞ")</f>
        <v>0</v>
      </c>
      <c r="L280" s="5">
        <f>SUMIFS(KASA!$K:$K, KASA!$C:$C, $C280, KASA!$B:$B, "MAL SATIŞI") + SUMIFS(KASA!$K:$K, KASA!$C:$C, $C280, KASA!$B:$B, "ÜRETİM ÇIKIŞ")</f>
        <v>450</v>
      </c>
      <c r="M280" s="5">
        <f t="shared" si="54"/>
        <v>450</v>
      </c>
      <c r="N280" s="5">
        <f t="shared" si="55"/>
        <v>160</v>
      </c>
      <c r="O280" s="65">
        <f t="shared" si="56"/>
        <v>0.55172413793103448</v>
      </c>
      <c r="P280" s="5">
        <f t="shared" si="57"/>
        <v>225</v>
      </c>
      <c r="Q280" s="5">
        <f t="shared" si="58"/>
        <v>0</v>
      </c>
      <c r="R280" s="5">
        <f t="shared" si="59"/>
        <v>0</v>
      </c>
      <c r="S280" s="5">
        <f t="shared" si="60"/>
        <v>1160</v>
      </c>
      <c r="U280" s="2">
        <f t="shared" si="61"/>
        <v>0</v>
      </c>
      <c r="V280">
        <f>SUMIF(KASA!$C$2:$C$9980, C280, KASA!$T$2:$T$9980)</f>
        <v>6</v>
      </c>
      <c r="W280">
        <f>SUMIF(KASA!$C$2:$C$9980, C280, KASA!$U$2:$U$9980)</f>
        <v>1170</v>
      </c>
      <c r="X280" s="2">
        <f t="shared" si="62"/>
        <v>0</v>
      </c>
      <c r="Y280" s="2">
        <f t="shared" si="63"/>
        <v>0</v>
      </c>
      <c r="Z280">
        <f>SUMIF(KASA!$C$2:$C$9980, C280, KASA!$V$2:$V$9980)</f>
        <v>1360</v>
      </c>
      <c r="AA280">
        <f t="shared" si="64"/>
        <v>190</v>
      </c>
    </row>
    <row r="281" spans="3:27" x14ac:dyDescent="0.25">
      <c r="C281" s="4" t="s">
        <v>976</v>
      </c>
      <c r="D281" s="5">
        <f>SUMIFS(KASA!$I:$I, KASA!$C:$C, $C281, KASA!$B:$B, "MAL ALIMI") + SUMIFS(KASA!$I:$I, KASA!$C:$C, $C281, KASA!$B:$B, "ÜRETİM GİRİŞ")</f>
        <v>6</v>
      </c>
      <c r="E281" s="5" cm="1">
        <f t="array" ref="E281">IFERROR(AVERAGE(IF((KASA!$C$2:$C$9980=$C281)*((KASA!$B$2:$B$9980="MAL ALIMI")+(KASA!$B$2:$B$9980="ÜRETİM GİRİŞ")),KASA!$J$2:$J$9980)),0)</f>
        <v>275</v>
      </c>
      <c r="F281" s="5">
        <f>SUMIFS(KASA!$I:$I, KASA!$C:$C, $C281, KASA!$B:$B, "MAL SATIŞI") + SUMIFS(KASA!$I:$I, KASA!$C:$C, $C281, KASA!$B:$B, "ÜRETİM ÇIKIŞ")</f>
        <v>5</v>
      </c>
      <c r="G281" s="5">
        <f>SUMIFS(KASA!$I:$I, KASA!$C:$C, $C281, KASA!$B:$B, "MAL İADE")</f>
        <v>0</v>
      </c>
      <c r="H281" s="5">
        <f>SUMIFS(KASA!$K:$K, KASA!$C:$C, $C281, KASA!$B:$B, "MAL İADE") + SUMIFS(KASA!$Q:$Q, KASA!$C:$C, $C281, KASA!$B:$B, "MAL İADE")</f>
        <v>0</v>
      </c>
      <c r="I281" s="5">
        <f t="shared" si="52"/>
        <v>5</v>
      </c>
      <c r="J281" s="5">
        <f t="shared" si="53"/>
        <v>1375</v>
      </c>
      <c r="K281" s="5">
        <f>SUMIFS(KASA!$Q:$Q, KASA!$C:$C, $C281, KASA!$B:$B, "MAL SATIŞI") + SUMIFS(KASA!$Q:$Q, KASA!$C:$C, $C281, KASA!$B:$B, "ÜRETİM ÇIKIŞ")</f>
        <v>780</v>
      </c>
      <c r="L281" s="5">
        <f>SUMIFS(KASA!$K:$K, KASA!$C:$C, $C281, KASA!$B:$B, "MAL SATIŞI") + SUMIFS(KASA!$K:$K, KASA!$C:$C, $C281, KASA!$B:$B, "ÜRETİM ÇIKIŞ")</f>
        <v>1170</v>
      </c>
      <c r="M281" s="5">
        <f t="shared" si="54"/>
        <v>1950</v>
      </c>
      <c r="N281" s="5">
        <f t="shared" si="55"/>
        <v>575</v>
      </c>
      <c r="O281" s="65">
        <f t="shared" si="56"/>
        <v>0.41818181818181815</v>
      </c>
      <c r="P281" s="5">
        <f t="shared" si="57"/>
        <v>390</v>
      </c>
      <c r="Q281" s="5">
        <f t="shared" si="58"/>
        <v>1</v>
      </c>
      <c r="R281" s="5">
        <f t="shared" si="59"/>
        <v>275</v>
      </c>
      <c r="S281" s="5">
        <f t="shared" si="60"/>
        <v>1650</v>
      </c>
      <c r="T281">
        <v>4</v>
      </c>
      <c r="U281" s="2">
        <f t="shared" si="61"/>
        <v>-3</v>
      </c>
      <c r="V281">
        <f>SUMIF(KASA!$C$2:$C$9980, C281, KASA!$T$2:$T$9980)</f>
        <v>1</v>
      </c>
      <c r="W281">
        <f>SUMIF(KASA!$C$2:$C$9980, C281, KASA!$U$2:$U$9980)</f>
        <v>275</v>
      </c>
      <c r="X281" s="2">
        <f t="shared" si="62"/>
        <v>1</v>
      </c>
      <c r="Y281" s="2">
        <f t="shared" si="63"/>
        <v>275</v>
      </c>
      <c r="Z281">
        <f>SUMIF(KASA!$C$2:$C$9980, C281, KASA!$V$2:$V$9980)</f>
        <v>1650</v>
      </c>
      <c r="AA281">
        <f t="shared" si="64"/>
        <v>1375</v>
      </c>
    </row>
    <row r="282" spans="3:27" x14ac:dyDescent="0.25">
      <c r="C282" s="4" t="s">
        <v>977</v>
      </c>
      <c r="D282" s="5">
        <f>SUMIFS(KASA!$I:$I, KASA!$C:$C, $C282, KASA!$B:$B, "MAL ALIMI") + SUMIFS(KASA!$I:$I, KASA!$C:$C, $C282, KASA!$B:$B, "ÜRETİM GİRİŞ")</f>
        <v>4</v>
      </c>
      <c r="E282" s="5" cm="1">
        <f t="array" ref="E282">IFERROR(AVERAGE(IF((KASA!$C$2:$C$9980=$C282)*((KASA!$B$2:$B$9980="MAL ALIMI")+(KASA!$B$2:$B$9980="ÜRETİM GİRİŞ")),KASA!$J$2:$J$9980)),0)</f>
        <v>160</v>
      </c>
      <c r="F282" s="5">
        <f>SUMIFS(KASA!$I:$I, KASA!$C:$C, $C282, KASA!$B:$B, "MAL SATIŞI") + SUMIFS(KASA!$I:$I, KASA!$C:$C, $C282, KASA!$B:$B, "ÜRETİM ÇIKIŞ")</f>
        <v>2.5656249999999998</v>
      </c>
      <c r="G282" s="5">
        <f>SUMIFS(KASA!$I:$I, KASA!$C:$C, $C282, KASA!$B:$B, "MAL İADE")</f>
        <v>0</v>
      </c>
      <c r="H282" s="5">
        <f>SUMIFS(KASA!$K:$K, KASA!$C:$C, $C282, KASA!$B:$B, "MAL İADE") + SUMIFS(KASA!$Q:$Q, KASA!$C:$C, $C282, KASA!$B:$B, "MAL İADE")</f>
        <v>0</v>
      </c>
      <c r="I282" s="5">
        <f t="shared" si="52"/>
        <v>2.5656249999999998</v>
      </c>
      <c r="J282" s="5">
        <f t="shared" si="53"/>
        <v>410.5</v>
      </c>
      <c r="K282" s="5">
        <f>SUMIFS(KASA!$Q:$Q, KASA!$C:$C, $C282, KASA!$B:$B, "MAL SATIŞI") + SUMIFS(KASA!$Q:$Q, KASA!$C:$C, $C282, KASA!$B:$B, "ÜRETİM ÇIKIŞ")</f>
        <v>482</v>
      </c>
      <c r="L282" s="5">
        <f>SUMIFS(KASA!$K:$K, KASA!$C:$C, $C282, KASA!$B:$B, "MAL SATIŞI") + SUMIFS(KASA!$K:$K, KASA!$C:$C, $C282, KASA!$B:$B, "ÜRETİM ÇIKIŞ")</f>
        <v>326.41875000000005</v>
      </c>
      <c r="M282" s="5">
        <f t="shared" si="54"/>
        <v>808.41875000000005</v>
      </c>
      <c r="N282" s="5">
        <f t="shared" si="55"/>
        <v>397.91875000000005</v>
      </c>
      <c r="O282" s="65">
        <f t="shared" si="56"/>
        <v>0.96935140073081616</v>
      </c>
      <c r="P282" s="5">
        <f t="shared" si="57"/>
        <v>315.09622411693061</v>
      </c>
      <c r="Q282" s="5">
        <f t="shared" si="58"/>
        <v>1.4343750000000002</v>
      </c>
      <c r="R282" s="5">
        <f t="shared" si="59"/>
        <v>229.50000000000003</v>
      </c>
      <c r="S282" s="5">
        <f t="shared" si="60"/>
        <v>640</v>
      </c>
      <c r="U282" s="2">
        <f t="shared" si="61"/>
        <v>1.4343750000000002</v>
      </c>
      <c r="V282">
        <f>SUMIF(KASA!$C$2:$C$9980, C282, KASA!$T$2:$T$9980)</f>
        <v>1.4343750000000002</v>
      </c>
      <c r="W282">
        <f>SUMIF(KASA!$C$2:$C$9980, C282, KASA!$U$2:$U$9980)</f>
        <v>229.50000000000003</v>
      </c>
      <c r="X282" s="2">
        <f t="shared" si="62"/>
        <v>1.4343750000000002</v>
      </c>
      <c r="Y282" s="2">
        <f t="shared" si="63"/>
        <v>229.50000000000003</v>
      </c>
      <c r="Z282">
        <f>SUMIF(KASA!$C$2:$C$9980, C282, KASA!$V$2:$V$9980)</f>
        <v>640</v>
      </c>
      <c r="AA282">
        <f t="shared" si="64"/>
        <v>410.5</v>
      </c>
    </row>
    <row r="283" spans="3:27" x14ac:dyDescent="0.25">
      <c r="C283" s="4" t="s">
        <v>1023</v>
      </c>
      <c r="D283" s="5">
        <f>SUMIFS(KASA!$I:$I, KASA!$C:$C, $C283, KASA!$B:$B, "MAL ALIMI") + SUMIFS(KASA!$I:$I, KASA!$C:$C, $C283, KASA!$B:$B, "ÜRETİM GİRİŞ")</f>
        <v>60</v>
      </c>
      <c r="E283" s="5" cm="1">
        <f t="array" ref="E283">IFERROR(AVERAGE(IF((KASA!$C$2:$C$9980=$C283)*((KASA!$B$2:$B$9980="MAL ALIMI")+(KASA!$B$2:$B$9980="ÜRETİM GİRİŞ")),KASA!$J$2:$J$9980)),0)</f>
        <v>39.375</v>
      </c>
      <c r="F283" s="5">
        <f>SUMIFS(KASA!$I:$I, KASA!$C:$C, $C283, KASA!$B:$B, "MAL SATIŞI") + SUMIFS(KASA!$I:$I, KASA!$C:$C, $C283, KASA!$B:$B, "ÜRETİM ÇIKIŞ")</f>
        <v>35.806538461538466</v>
      </c>
      <c r="G283" s="5">
        <f>SUMIFS(KASA!$I:$I, KASA!$C:$C, $C283, KASA!$B:$B, "MAL İADE")</f>
        <v>0</v>
      </c>
      <c r="H283" s="5">
        <f>SUMIFS(KASA!$K:$K, KASA!$C:$C, $C283, KASA!$B:$B, "MAL İADE") + SUMIFS(KASA!$Q:$Q, KASA!$C:$C, $C283, KASA!$B:$B, "MAL İADE")</f>
        <v>0</v>
      </c>
      <c r="I283" s="5">
        <f t="shared" si="52"/>
        <v>35.806538461538466</v>
      </c>
      <c r="J283" s="5">
        <f t="shared" si="53"/>
        <v>1409.882451923077</v>
      </c>
      <c r="K283" s="5">
        <f>SUMIFS(KASA!$Q:$Q, KASA!$C:$C, $C283, KASA!$B:$B, "MAL SATIŞI") + SUMIFS(KASA!$Q:$Q, KASA!$C:$C, $C283, KASA!$B:$B, "ÜRETİM ÇIKIŞ")</f>
        <v>1877.893</v>
      </c>
      <c r="L283" s="5">
        <f>SUMIFS(KASA!$K:$K, KASA!$C:$C, $C283, KASA!$B:$B, "MAL SATIŞI") + SUMIFS(KASA!$K:$K, KASA!$C:$C, $C283, KASA!$B:$B, "ÜRETİM ÇIKIŞ")</f>
        <v>360.31799999999998</v>
      </c>
      <c r="M283" s="5">
        <f t="shared" si="54"/>
        <v>2238.2110000000002</v>
      </c>
      <c r="N283" s="5">
        <f t="shared" si="55"/>
        <v>828.3285480769232</v>
      </c>
      <c r="O283" s="65">
        <f t="shared" si="56"/>
        <v>0.58751603507589201</v>
      </c>
      <c r="P283" s="5">
        <f t="shared" si="57"/>
        <v>62.508443881113244</v>
      </c>
      <c r="Q283" s="5">
        <f t="shared" si="58"/>
        <v>24.193461538461534</v>
      </c>
      <c r="R283" s="5">
        <f t="shared" si="59"/>
        <v>952.61754807692296</v>
      </c>
      <c r="S283" s="5">
        <f t="shared" si="60"/>
        <v>2362.5</v>
      </c>
      <c r="U283" s="2">
        <f t="shared" si="61"/>
        <v>24.193461538461534</v>
      </c>
      <c r="V283">
        <f>SUMIF(KASA!$C$2:$C$9980, C283, KASA!$T$2:$T$9980)</f>
        <v>24.193461538461534</v>
      </c>
      <c r="W283">
        <f>SUMIF(KASA!$C$2:$C$9980, C283, KASA!$U$2:$U$9980)</f>
        <v>1076.6090384615384</v>
      </c>
      <c r="X283" s="2">
        <f t="shared" si="62"/>
        <v>24.193461538461534</v>
      </c>
      <c r="Y283" s="2">
        <f t="shared" si="63"/>
        <v>1076.6090384615384</v>
      </c>
      <c r="Z283">
        <f>SUMIF(KASA!$C$2:$C$9980, C283, KASA!$V$2:$V$9980)</f>
        <v>2437.5</v>
      </c>
      <c r="AA283">
        <f t="shared" si="64"/>
        <v>1360.8909615384616</v>
      </c>
    </row>
    <row r="284" spans="3:27" x14ac:dyDescent="0.25">
      <c r="C284" s="4" t="s">
        <v>1024</v>
      </c>
      <c r="D284" s="5">
        <f>SUMIFS(KASA!$I:$I, KASA!$C:$C, $C284, KASA!$B:$B, "MAL ALIMI") + SUMIFS(KASA!$I:$I, KASA!$C:$C, $C284, KASA!$B:$B, "ÜRETİM GİRİŞ")</f>
        <v>55</v>
      </c>
      <c r="E284" s="5" cm="1">
        <f t="array" ref="E284">IFERROR(AVERAGE(IF((KASA!$C$2:$C$9980=$C284)*((KASA!$B$2:$B$9980="MAL ALIMI")+(KASA!$B$2:$B$9980="ÜRETİM GİRİŞ")),KASA!$J$2:$J$9980)),0)</f>
        <v>38</v>
      </c>
      <c r="F284" s="5">
        <f>SUMIFS(KASA!$I:$I, KASA!$C:$C, $C284, KASA!$B:$B, "MAL SATIŞI") + SUMIFS(KASA!$I:$I, KASA!$C:$C, $C284, KASA!$B:$B, "ÜRETİM ÇIKIŞ")</f>
        <v>52.829830769230782</v>
      </c>
      <c r="G284" s="5">
        <f>SUMIFS(KASA!$I:$I, KASA!$C:$C, $C284, KASA!$B:$B, "MAL İADE")</f>
        <v>0</v>
      </c>
      <c r="H284" s="5">
        <f>SUMIFS(KASA!$K:$K, KASA!$C:$C, $C284, KASA!$B:$B, "MAL İADE") + SUMIFS(KASA!$Q:$Q, KASA!$C:$C, $C284, KASA!$B:$B, "MAL İADE")</f>
        <v>0</v>
      </c>
      <c r="I284" s="5">
        <f t="shared" si="52"/>
        <v>52.829830769230782</v>
      </c>
      <c r="J284" s="5">
        <f t="shared" si="53"/>
        <v>2007.5335692307697</v>
      </c>
      <c r="K284" s="5">
        <f>SUMIFS(KASA!$Q:$Q, KASA!$C:$C, $C284, KASA!$B:$B, "MAL SATIŞI") + SUMIFS(KASA!$Q:$Q, KASA!$C:$C, $C284, KASA!$B:$B, "ÜRETİM ÇIKIŞ")</f>
        <v>2400.0366923076926</v>
      </c>
      <c r="L284" s="5">
        <f>SUMIFS(KASA!$K:$K, KASA!$C:$C, $C284, KASA!$B:$B, "MAL SATIŞI") + SUMIFS(KASA!$K:$K, KASA!$C:$C, $C284, KASA!$B:$B, "ÜRETİM ÇIKIŞ")</f>
        <v>935.83999999999992</v>
      </c>
      <c r="M284" s="5">
        <f t="shared" si="54"/>
        <v>3335.8766923076928</v>
      </c>
      <c r="N284" s="5">
        <f t="shared" si="55"/>
        <v>1328.3431230769231</v>
      </c>
      <c r="O284" s="65">
        <f t="shared" si="56"/>
        <v>0.66167915866328786</v>
      </c>
      <c r="P284" s="5">
        <f t="shared" si="57"/>
        <v>63.143808029204941</v>
      </c>
      <c r="Q284" s="5">
        <f t="shared" si="58"/>
        <v>2.1701692307692184</v>
      </c>
      <c r="R284" s="5">
        <f t="shared" si="59"/>
        <v>82.4664307692303</v>
      </c>
      <c r="S284" s="5">
        <f t="shared" si="60"/>
        <v>2090</v>
      </c>
      <c r="U284" s="2">
        <f t="shared" si="61"/>
        <v>2.1701692307692184</v>
      </c>
      <c r="V284">
        <f>SUMIF(KASA!$C$2:$C$9980, C284, KASA!$T$2:$T$9980)</f>
        <v>2.1701692307692184</v>
      </c>
      <c r="W284">
        <f>SUMIF(KASA!$C$2:$C$9980, C284, KASA!$U$2:$U$9980)</f>
        <v>84.636599999999518</v>
      </c>
      <c r="X284" s="2">
        <f t="shared" si="62"/>
        <v>2.1701692307692184</v>
      </c>
      <c r="Y284" s="2">
        <f t="shared" si="63"/>
        <v>84.636599999999518</v>
      </c>
      <c r="Z284">
        <f>SUMIF(KASA!$C$2:$C$9980, C284, KASA!$V$2:$V$9980)</f>
        <v>2105</v>
      </c>
      <c r="AA284">
        <f t="shared" si="64"/>
        <v>2020.3634000000004</v>
      </c>
    </row>
    <row r="285" spans="3:27" x14ac:dyDescent="0.25">
      <c r="C285" s="4" t="s">
        <v>1041</v>
      </c>
      <c r="D285" s="5">
        <f>SUMIFS(KASA!$I:$I, KASA!$C:$C, $C285, KASA!$B:$B, "MAL ALIMI") + SUMIFS(KASA!$I:$I, KASA!$C:$C, $C285, KASA!$B:$B, "ÜRETİM GİRİŞ")</f>
        <v>155</v>
      </c>
      <c r="E285" s="5" cm="1">
        <f t="array" ref="E285">IFERROR(AVERAGE(IF((KASA!$C$2:$C$9980=$C285)*((KASA!$B$2:$B$9980="MAL ALIMI")+(KASA!$B$2:$B$9980="ÜRETİM GİRİŞ")),KASA!$J$2:$J$9980)),0)</f>
        <v>193.75</v>
      </c>
      <c r="F285" s="5">
        <f>SUMIFS(KASA!$I:$I, KASA!$C:$C, $C285, KASA!$B:$B, "MAL SATIŞI") + SUMIFS(KASA!$I:$I, KASA!$C:$C, $C285, KASA!$B:$B, "ÜRETİM ÇIKIŞ")</f>
        <v>139.84592803598201</v>
      </c>
      <c r="G285" s="5">
        <f>SUMIFS(KASA!$I:$I, KASA!$C:$C, $C285, KASA!$B:$B, "MAL İADE")</f>
        <v>0</v>
      </c>
      <c r="H285" s="5">
        <f>SUMIFS(KASA!$K:$K, KASA!$C:$C, $C285, KASA!$B:$B, "MAL İADE") + SUMIFS(KASA!$Q:$Q, KASA!$C:$C, $C285, KASA!$B:$B, "MAL İADE")</f>
        <v>0</v>
      </c>
      <c r="I285" s="5">
        <f t="shared" si="52"/>
        <v>139.84592803598201</v>
      </c>
      <c r="J285" s="5">
        <f t="shared" si="53"/>
        <v>27095.148556971515</v>
      </c>
      <c r="K285" s="5">
        <f>SUMIFS(KASA!$Q:$Q, KASA!$C:$C, $C285, KASA!$B:$B, "MAL SATIŞI") + SUMIFS(KASA!$Q:$Q, KASA!$C:$C, $C285, KASA!$B:$B, "ÜRETİM ÇIKIŞ")</f>
        <v>22338</v>
      </c>
      <c r="L285" s="5">
        <f>SUMIFS(KASA!$K:$K, KASA!$C:$C, $C285, KASA!$B:$B, "MAL SATIŞI") + SUMIFS(KASA!$K:$K, KASA!$C:$C, $C285, KASA!$B:$B, "ÜRETİM ÇIKIŞ")</f>
        <v>13141.86</v>
      </c>
      <c r="M285" s="5">
        <f t="shared" si="54"/>
        <v>35479.86</v>
      </c>
      <c r="N285" s="5">
        <f t="shared" si="55"/>
        <v>8384.7114430284855</v>
      </c>
      <c r="O285" s="65">
        <f t="shared" si="56"/>
        <v>0.30945434476575773</v>
      </c>
      <c r="P285" s="5">
        <f t="shared" si="57"/>
        <v>253.70677929836555</v>
      </c>
      <c r="Q285" s="5">
        <f t="shared" si="58"/>
        <v>15.154071964017987</v>
      </c>
      <c r="R285" s="5">
        <f t="shared" si="59"/>
        <v>2936.1014430284849</v>
      </c>
      <c r="S285" s="5">
        <f t="shared" si="60"/>
        <v>30031.25</v>
      </c>
      <c r="U285" s="2">
        <f t="shared" si="61"/>
        <v>15.154071964017987</v>
      </c>
      <c r="V285">
        <f>SUMIF(KASA!$C$2:$C$9980, C285, KASA!$T$2:$T$9980)</f>
        <v>15.154071964017987</v>
      </c>
      <c r="W285">
        <f>SUMIF(KASA!$C$2:$C$9980, C285, KASA!$U$2:$U$9980)</f>
        <v>2803.5033133433276</v>
      </c>
      <c r="X285" s="2">
        <f t="shared" si="62"/>
        <v>15.154071964017987</v>
      </c>
      <c r="Y285" s="2">
        <f t="shared" si="63"/>
        <v>2803.5033133433276</v>
      </c>
      <c r="Z285">
        <f>SUMIF(KASA!$C$2:$C$9980, C285, KASA!$V$2:$V$9980)</f>
        <v>29500</v>
      </c>
      <c r="AA285">
        <f t="shared" si="64"/>
        <v>26696.496686656672</v>
      </c>
    </row>
    <row r="286" spans="3:27" x14ac:dyDescent="0.25">
      <c r="C286" s="4" t="s">
        <v>1140</v>
      </c>
      <c r="D286" s="5">
        <f>SUMIFS(KASA!$I:$I, KASA!$C:$C, $C286, KASA!$B:$B, "MAL ALIMI") + SUMIFS(KASA!$I:$I, KASA!$C:$C, $C286, KASA!$B:$B, "ÜRETİM GİRİŞ")</f>
        <v>8</v>
      </c>
      <c r="E286" s="5" cm="1">
        <f t="array" ref="E286">IFERROR(AVERAGE(IF((KASA!$C$2:$C$9980=$C286)*((KASA!$B$2:$B$9980="MAL ALIMI")+(KASA!$B$2:$B$9980="ÜRETİM GİRİŞ")),KASA!$J$2:$J$9980)),0)</f>
        <v>237.5</v>
      </c>
      <c r="F286" s="5">
        <f>SUMIFS(KASA!$I:$I, KASA!$C:$C, $C286, KASA!$B:$B, "MAL SATIŞI") + SUMIFS(KASA!$I:$I, KASA!$C:$C, $C286, KASA!$B:$B, "ÜRETİM ÇIKIŞ")</f>
        <v>4</v>
      </c>
      <c r="G286" s="5">
        <f>SUMIFS(KASA!$I:$I, KASA!$C:$C, $C286, KASA!$B:$B, "MAL İADE")</f>
        <v>0</v>
      </c>
      <c r="H286" s="5">
        <f>SUMIFS(KASA!$K:$K, KASA!$C:$C, $C286, KASA!$B:$B, "MAL İADE") + SUMIFS(KASA!$Q:$Q, KASA!$C:$C, $C286, KASA!$B:$B, "MAL İADE")</f>
        <v>0</v>
      </c>
      <c r="I286" s="5">
        <f t="shared" si="52"/>
        <v>4</v>
      </c>
      <c r="J286" s="5">
        <f t="shared" si="53"/>
        <v>950</v>
      </c>
      <c r="K286" s="5">
        <f>SUMIFS(KASA!$Q:$Q, KASA!$C:$C, $C286, KASA!$B:$B, "MAL SATIŞI") + SUMIFS(KASA!$Q:$Q, KASA!$C:$C, $C286, KASA!$B:$B, "ÜRETİM ÇIKIŞ")</f>
        <v>700</v>
      </c>
      <c r="L286" s="5">
        <f>SUMIFS(KASA!$K:$K, KASA!$C:$C, $C286, KASA!$B:$B, "MAL SATIŞI") + SUMIFS(KASA!$K:$K, KASA!$C:$C, $C286, KASA!$B:$B, "ÜRETİM ÇIKIŞ")</f>
        <v>700</v>
      </c>
      <c r="M286" s="5">
        <f t="shared" si="54"/>
        <v>1400</v>
      </c>
      <c r="N286" s="5">
        <f t="shared" si="55"/>
        <v>450</v>
      </c>
      <c r="O286" s="65">
        <f t="shared" si="56"/>
        <v>0.47368421052631576</v>
      </c>
      <c r="P286" s="5">
        <f t="shared" si="57"/>
        <v>350</v>
      </c>
      <c r="Q286" s="5">
        <f t="shared" si="58"/>
        <v>4</v>
      </c>
      <c r="R286" s="5">
        <f t="shared" si="59"/>
        <v>950</v>
      </c>
      <c r="S286" s="5">
        <f t="shared" si="60"/>
        <v>1900</v>
      </c>
      <c r="T286">
        <v>0</v>
      </c>
      <c r="U286" s="2">
        <f t="shared" si="61"/>
        <v>4</v>
      </c>
      <c r="V286">
        <f>SUMIF(KASA!$C$2:$C$9980, C286, KASA!$T$2:$T$9980)</f>
        <v>4</v>
      </c>
      <c r="W286">
        <f>SUMIF(KASA!$C$2:$C$9980, C286, KASA!$U$2:$U$9980)</f>
        <v>1080</v>
      </c>
      <c r="X286" s="2">
        <f t="shared" si="62"/>
        <v>4</v>
      </c>
      <c r="Y286" s="2">
        <f t="shared" si="63"/>
        <v>1080</v>
      </c>
      <c r="Z286">
        <f>SUMIF(KASA!$C$2:$C$9980, C286, KASA!$V$2:$V$9980)</f>
        <v>1965</v>
      </c>
      <c r="AA286">
        <f t="shared" si="64"/>
        <v>885</v>
      </c>
    </row>
    <row r="287" spans="3:27" x14ac:dyDescent="0.25">
      <c r="C287" s="4" t="s">
        <v>1141</v>
      </c>
      <c r="D287" s="5">
        <f>SUMIFS(KASA!$I:$I, KASA!$C:$C, $C287, KASA!$B:$B, "MAL ALIMI") + SUMIFS(KASA!$I:$I, KASA!$C:$C, $C287, KASA!$B:$B, "ÜRETİM GİRİŞ")</f>
        <v>3</v>
      </c>
      <c r="E287" s="5" cm="1">
        <f t="array" ref="E287">IFERROR(AVERAGE(IF((KASA!$C$2:$C$9980=$C287)*((KASA!$B$2:$B$9980="MAL ALIMI")+(KASA!$B$2:$B$9980="ÜRETİM GİRİŞ")),KASA!$J$2:$J$9980)),0)</f>
        <v>270</v>
      </c>
      <c r="F287" s="5">
        <f>SUMIFS(KASA!$I:$I, KASA!$C:$C, $C287, KASA!$B:$B, "MAL SATIŞI") + SUMIFS(KASA!$I:$I, KASA!$C:$C, $C287, KASA!$B:$B, "ÜRETİM ÇIKIŞ")</f>
        <v>0</v>
      </c>
      <c r="G287" s="5">
        <f>SUMIFS(KASA!$I:$I, KASA!$C:$C, $C287, KASA!$B:$B, "MAL İADE")</f>
        <v>0</v>
      </c>
      <c r="H287" s="5">
        <f>SUMIFS(KASA!$K:$K, KASA!$C:$C, $C287, KASA!$B:$B, "MAL İADE") + SUMIFS(KASA!$Q:$Q, KASA!$C:$C, $C287, KASA!$B:$B, "MAL İADE")</f>
        <v>0</v>
      </c>
      <c r="I287" s="5">
        <f t="shared" si="52"/>
        <v>0</v>
      </c>
      <c r="J287" s="5">
        <f t="shared" si="53"/>
        <v>0</v>
      </c>
      <c r="K287" s="5">
        <f>SUMIFS(KASA!$Q:$Q, KASA!$C:$C, $C287, KASA!$B:$B, "MAL SATIŞI") + SUMIFS(KASA!$Q:$Q, KASA!$C:$C, $C287, KASA!$B:$B, "ÜRETİM ÇIKIŞ")</f>
        <v>0</v>
      </c>
      <c r="L287" s="5">
        <f>SUMIFS(KASA!$K:$K, KASA!$C:$C, $C287, KASA!$B:$B, "MAL SATIŞI") + SUMIFS(KASA!$K:$K, KASA!$C:$C, $C287, KASA!$B:$B, "ÜRETİM ÇIKIŞ")</f>
        <v>0</v>
      </c>
      <c r="M287" s="5">
        <f t="shared" si="54"/>
        <v>0</v>
      </c>
      <c r="N287" s="5">
        <f t="shared" si="55"/>
        <v>0</v>
      </c>
      <c r="O287" s="65">
        <f t="shared" si="56"/>
        <v>0</v>
      </c>
      <c r="P287" s="5" t="e">
        <f t="shared" si="57"/>
        <v>#DIV/0!</v>
      </c>
      <c r="Q287" s="5">
        <f t="shared" si="58"/>
        <v>3</v>
      </c>
      <c r="R287" s="5">
        <f t="shared" si="59"/>
        <v>810</v>
      </c>
      <c r="S287" s="5">
        <f t="shared" si="60"/>
        <v>810</v>
      </c>
      <c r="T287">
        <v>3</v>
      </c>
      <c r="U287" s="2">
        <f t="shared" si="61"/>
        <v>0</v>
      </c>
      <c r="V287">
        <f>SUMIF(KASA!$C$2:$C$9980, C287, KASA!$T$2:$T$9980)</f>
        <v>3</v>
      </c>
      <c r="W287">
        <f>SUMIF(KASA!$C$2:$C$9980, C287, KASA!$U$2:$U$9980)</f>
        <v>810</v>
      </c>
      <c r="X287" s="2">
        <f t="shared" si="62"/>
        <v>3</v>
      </c>
      <c r="Y287" s="2">
        <f t="shared" si="63"/>
        <v>810</v>
      </c>
      <c r="Z287">
        <f>SUMIF(KASA!$C$2:$C$9980, C287, KASA!$V$2:$V$9980)</f>
        <v>810</v>
      </c>
      <c r="AA287">
        <f t="shared" si="64"/>
        <v>0</v>
      </c>
    </row>
    <row r="288" spans="3:27" x14ac:dyDescent="0.25">
      <c r="C288" s="4" t="s">
        <v>1142</v>
      </c>
      <c r="D288" s="5">
        <f>SUMIFS(KASA!$I:$I, KASA!$C:$C, $C288, KASA!$B:$B, "MAL ALIMI") + SUMIFS(KASA!$I:$I, KASA!$C:$C, $C288, KASA!$B:$B, "ÜRETİM GİRİŞ")</f>
        <v>1</v>
      </c>
      <c r="E288" s="5" cm="1">
        <f t="array" ref="E288">IFERROR(AVERAGE(IF((KASA!$C$2:$C$9980=$C288)*((KASA!$B$2:$B$9980="MAL ALIMI")+(KASA!$B$2:$B$9980="ÜRETİM GİRİŞ")),KASA!$J$2:$J$9980)),0)</f>
        <v>245</v>
      </c>
      <c r="F288" s="5">
        <f>SUMIFS(KASA!$I:$I, KASA!$C:$C, $C288, KASA!$B:$B, "MAL SATIŞI") + SUMIFS(KASA!$I:$I, KASA!$C:$C, $C288, KASA!$B:$B, "ÜRETİM ÇIKIŞ")</f>
        <v>0.31622448979591833</v>
      </c>
      <c r="G288" s="5">
        <f>SUMIFS(KASA!$I:$I, KASA!$C:$C, $C288, KASA!$B:$B, "MAL İADE")</f>
        <v>0</v>
      </c>
      <c r="H288" s="5">
        <f>SUMIFS(KASA!$K:$K, KASA!$C:$C, $C288, KASA!$B:$B, "MAL İADE") + SUMIFS(KASA!$Q:$Q, KASA!$C:$C, $C288, KASA!$B:$B, "MAL İADE")</f>
        <v>0</v>
      </c>
      <c r="I288" s="5">
        <f t="shared" si="52"/>
        <v>0.31622448979591833</v>
      </c>
      <c r="J288" s="5">
        <f t="shared" si="53"/>
        <v>77.474999999999994</v>
      </c>
      <c r="K288" s="5">
        <f>SUMIFS(KASA!$Q:$Q, KASA!$C:$C, $C288, KASA!$B:$B, "MAL SATIŞI") + SUMIFS(KASA!$Q:$Q, KASA!$C:$C, $C288, KASA!$B:$B, "ÜRETİM ÇIKIŞ")</f>
        <v>101.44999999999999</v>
      </c>
      <c r="L288" s="5">
        <f>SUMIFS(KASA!$K:$K, KASA!$C:$C, $C288, KASA!$B:$B, "MAL SATIŞI") + SUMIFS(KASA!$K:$K, KASA!$C:$C, $C288, KASA!$B:$B, "ÜRETİM ÇIKIŞ")</f>
        <v>49</v>
      </c>
      <c r="M288" s="5">
        <f t="shared" si="54"/>
        <v>150.44999999999999</v>
      </c>
      <c r="N288" s="5">
        <f t="shared" si="55"/>
        <v>72.974999999999994</v>
      </c>
      <c r="O288" s="65">
        <f t="shared" si="56"/>
        <v>0.94191674733785091</v>
      </c>
      <c r="P288" s="5">
        <f t="shared" si="57"/>
        <v>475.76960309777348</v>
      </c>
      <c r="Q288" s="5">
        <f t="shared" si="58"/>
        <v>0.68377551020408167</v>
      </c>
      <c r="R288" s="5">
        <f t="shared" si="59"/>
        <v>167.52500000000001</v>
      </c>
      <c r="S288" s="5">
        <f t="shared" si="60"/>
        <v>245</v>
      </c>
      <c r="T288">
        <v>0.78</v>
      </c>
      <c r="U288" s="2">
        <f t="shared" si="61"/>
        <v>-9.6224489795918355E-2</v>
      </c>
      <c r="V288">
        <f>SUMIF(KASA!$C$2:$C$9980, C288, KASA!$T$2:$T$9980)</f>
        <v>0.68377551020408167</v>
      </c>
      <c r="W288">
        <f>SUMIF(KASA!$C$2:$C$9980, C288, KASA!$U$2:$U$9980)</f>
        <v>167.52500000000001</v>
      </c>
      <c r="X288" s="2">
        <f t="shared" si="62"/>
        <v>0.68377551020408167</v>
      </c>
      <c r="Y288" s="2">
        <f t="shared" si="63"/>
        <v>167.52500000000001</v>
      </c>
      <c r="Z288">
        <f>SUMIF(KASA!$C$2:$C$9980, C288, KASA!$V$2:$V$9980)</f>
        <v>245</v>
      </c>
      <c r="AA288">
        <f t="shared" si="64"/>
        <v>77.474999999999994</v>
      </c>
    </row>
    <row r="289" spans="3:27" x14ac:dyDescent="0.25">
      <c r="C289" s="4" t="s">
        <v>1143</v>
      </c>
      <c r="D289" s="5">
        <f>SUMIFS(KASA!$I:$I, KASA!$C:$C, $C289, KASA!$B:$B, "MAL ALIMI") + SUMIFS(KASA!$I:$I, KASA!$C:$C, $C289, KASA!$B:$B, "ÜRETİM GİRİŞ")</f>
        <v>18</v>
      </c>
      <c r="E289" s="5" cm="1">
        <f t="array" ref="E289">IFERROR(AVERAGE(IF((KASA!$C$2:$C$9980=$C289)*((KASA!$B$2:$B$9980="MAL ALIMI")+(KASA!$B$2:$B$9980="ÜRETİM GİRİŞ")),KASA!$J$2:$J$9980)),0)</f>
        <v>75</v>
      </c>
      <c r="F289" s="5">
        <f>SUMIFS(KASA!$I:$I, KASA!$C:$C, $C289, KASA!$B:$B, "MAL SATIŞI") + SUMIFS(KASA!$I:$I, KASA!$C:$C, $C289, KASA!$B:$B, "ÜRETİM ÇIKIŞ")</f>
        <v>15</v>
      </c>
      <c r="G289" s="5">
        <f>SUMIFS(KASA!$I:$I, KASA!$C:$C, $C289, KASA!$B:$B, "MAL İADE")</f>
        <v>0</v>
      </c>
      <c r="H289" s="5">
        <f>SUMIFS(KASA!$K:$K, KASA!$C:$C, $C289, KASA!$B:$B, "MAL İADE") + SUMIFS(KASA!$Q:$Q, KASA!$C:$C, $C289, KASA!$B:$B, "MAL İADE")</f>
        <v>0</v>
      </c>
      <c r="I289" s="5">
        <f t="shared" si="52"/>
        <v>15</v>
      </c>
      <c r="J289" s="5">
        <f t="shared" si="53"/>
        <v>1125</v>
      </c>
      <c r="K289" s="5">
        <f>SUMIFS(KASA!$Q:$Q, KASA!$C:$C, $C289, KASA!$B:$B, "MAL SATIŞI") + SUMIFS(KASA!$Q:$Q, KASA!$C:$C, $C289, KASA!$B:$B, "ÜRETİM ÇIKIŞ")</f>
        <v>845</v>
      </c>
      <c r="L289" s="5">
        <f>SUMIFS(KASA!$K:$K, KASA!$C:$C, $C289, KASA!$B:$B, "MAL SATIŞI") + SUMIFS(KASA!$K:$K, KASA!$C:$C, $C289, KASA!$B:$B, "ÜRETİM ÇIKIŞ")</f>
        <v>1070</v>
      </c>
      <c r="M289" s="5">
        <f t="shared" si="54"/>
        <v>1915</v>
      </c>
      <c r="N289" s="5">
        <f t="shared" si="55"/>
        <v>790</v>
      </c>
      <c r="O289" s="65">
        <f t="shared" si="56"/>
        <v>0.70222222222222219</v>
      </c>
      <c r="P289" s="5">
        <f t="shared" si="57"/>
        <v>127.66666666666667</v>
      </c>
      <c r="Q289" s="5">
        <f t="shared" si="58"/>
        <v>3</v>
      </c>
      <c r="R289" s="5">
        <f t="shared" si="59"/>
        <v>225</v>
      </c>
      <c r="S289" s="5">
        <f t="shared" si="60"/>
        <v>1350</v>
      </c>
      <c r="T289">
        <v>8</v>
      </c>
      <c r="U289" s="2">
        <f t="shared" si="61"/>
        <v>-5</v>
      </c>
      <c r="V289">
        <f>SUMIF(KASA!$C$2:$C$9980, C289, KASA!$T$2:$T$9980)</f>
        <v>3</v>
      </c>
      <c r="W289">
        <f>SUMIF(KASA!$C$2:$C$9980, C289, KASA!$U$2:$U$9980)</f>
        <v>225</v>
      </c>
      <c r="X289" s="2">
        <f t="shared" si="62"/>
        <v>3</v>
      </c>
      <c r="Y289" s="2">
        <f t="shared" si="63"/>
        <v>225</v>
      </c>
      <c r="Z289">
        <f>SUMIF(KASA!$C$2:$C$9980, C289, KASA!$V$2:$V$9980)</f>
        <v>1350</v>
      </c>
      <c r="AA289">
        <f t="shared" si="64"/>
        <v>1125</v>
      </c>
    </row>
    <row r="290" spans="3:27" x14ac:dyDescent="0.25">
      <c r="C290" s="4" t="s">
        <v>1144</v>
      </c>
      <c r="D290" s="5">
        <f>SUMIFS(KASA!$I:$I, KASA!$C:$C, $C290, KASA!$B:$B, "MAL ALIMI") + SUMIFS(KASA!$I:$I, KASA!$C:$C, $C290, KASA!$B:$B, "ÜRETİM GİRİŞ")</f>
        <v>6</v>
      </c>
      <c r="E290" s="5" cm="1">
        <f t="array" ref="E290">IFERROR(AVERAGE(IF((KASA!$C$2:$C$9980=$C290)*((KASA!$B$2:$B$9980="MAL ALIMI")+(KASA!$B$2:$B$9980="ÜRETİM GİRİŞ")),KASA!$J$2:$J$9980)),0)</f>
        <v>65</v>
      </c>
      <c r="F290" s="5">
        <f>SUMIFS(KASA!$I:$I, KASA!$C:$C, $C290, KASA!$B:$B, "MAL SATIŞI") + SUMIFS(KASA!$I:$I, KASA!$C:$C, $C290, KASA!$B:$B, "ÜRETİM ÇIKIŞ")</f>
        <v>4</v>
      </c>
      <c r="G290" s="5">
        <f>SUMIFS(KASA!$I:$I, KASA!$C:$C, $C290, KASA!$B:$B, "MAL İADE")</f>
        <v>0</v>
      </c>
      <c r="H290" s="5">
        <f>SUMIFS(KASA!$K:$K, KASA!$C:$C, $C290, KASA!$B:$B, "MAL İADE") + SUMIFS(KASA!$Q:$Q, KASA!$C:$C, $C290, KASA!$B:$B, "MAL İADE")</f>
        <v>0</v>
      </c>
      <c r="I290" s="5">
        <f t="shared" si="52"/>
        <v>4</v>
      </c>
      <c r="J290" s="5">
        <f t="shared" si="53"/>
        <v>260</v>
      </c>
      <c r="K290" s="5">
        <f>SUMIFS(KASA!$Q:$Q, KASA!$C:$C, $C290, KASA!$B:$B, "MAL SATIŞI") + SUMIFS(KASA!$Q:$Q, KASA!$C:$C, $C290, KASA!$B:$B, "ÜRETİM ÇIKIŞ")</f>
        <v>260</v>
      </c>
      <c r="L290" s="5">
        <f>SUMIFS(KASA!$K:$K, KASA!$C:$C, $C290, KASA!$B:$B, "MAL SATIŞI") + SUMIFS(KASA!$K:$K, KASA!$C:$C, $C290, KASA!$B:$B, "ÜRETİM ÇIKIŞ")</f>
        <v>260</v>
      </c>
      <c r="M290" s="5">
        <f t="shared" si="54"/>
        <v>520</v>
      </c>
      <c r="N290" s="5">
        <f t="shared" si="55"/>
        <v>260</v>
      </c>
      <c r="O290" s="65">
        <f t="shared" si="56"/>
        <v>1</v>
      </c>
      <c r="P290" s="5">
        <f t="shared" si="57"/>
        <v>130</v>
      </c>
      <c r="Q290" s="5">
        <f t="shared" si="58"/>
        <v>2</v>
      </c>
      <c r="R290" s="5">
        <f t="shared" si="59"/>
        <v>130</v>
      </c>
      <c r="S290" s="5">
        <f t="shared" si="60"/>
        <v>390</v>
      </c>
      <c r="T290">
        <v>4</v>
      </c>
      <c r="U290" s="2">
        <f t="shared" si="61"/>
        <v>-2</v>
      </c>
      <c r="V290">
        <f>SUMIF(KASA!$C$2:$C$9980, C290, KASA!$T$2:$T$9980)</f>
        <v>2</v>
      </c>
      <c r="W290">
        <f>SUMIF(KASA!$C$2:$C$9980, C290, KASA!$U$2:$U$9980)</f>
        <v>130</v>
      </c>
      <c r="X290" s="2">
        <f t="shared" si="62"/>
        <v>2</v>
      </c>
      <c r="Y290" s="2">
        <f t="shared" si="63"/>
        <v>130</v>
      </c>
      <c r="Z290">
        <f>SUMIF(KASA!$C$2:$C$9980, C290, KASA!$V$2:$V$9980)</f>
        <v>390</v>
      </c>
      <c r="AA290">
        <f t="shared" si="64"/>
        <v>260</v>
      </c>
    </row>
    <row r="291" spans="3:27" x14ac:dyDescent="0.25">
      <c r="C291" s="4" t="s">
        <v>1399</v>
      </c>
      <c r="D291" s="5">
        <f>SUMIFS(KASA!$I:$I, KASA!$C:$C, $C291, KASA!$B:$B, "MAL ALIMI") + SUMIFS(KASA!$I:$I, KASA!$C:$C, $C291, KASA!$B:$B, "ÜRETİM GİRİŞ")</f>
        <v>18</v>
      </c>
      <c r="E291" s="5" cm="1">
        <f t="array" ref="E291">IFERROR(AVERAGE(IF((KASA!$C$2:$C$9980=$C291)*((KASA!$B$2:$B$9980="MAL ALIMI")+(KASA!$B$2:$B$9980="ÜRETİM GİRİŞ")),KASA!$J$2:$J$9980)),0)</f>
        <v>95</v>
      </c>
      <c r="F291" s="5">
        <f>SUMIFS(KASA!$I:$I, KASA!$C:$C, $C291, KASA!$B:$B, "MAL SATIŞI") + SUMIFS(KASA!$I:$I, KASA!$C:$C, $C291, KASA!$B:$B, "ÜRETİM ÇIKIŞ")</f>
        <v>12</v>
      </c>
      <c r="G291" s="5">
        <f>SUMIFS(KASA!$I:$I, KASA!$C:$C, $C291, KASA!$B:$B, "MAL İADE")</f>
        <v>0</v>
      </c>
      <c r="H291" s="5">
        <f>SUMIFS(KASA!$K:$K, KASA!$C:$C, $C291, KASA!$B:$B, "MAL İADE") + SUMIFS(KASA!$Q:$Q, KASA!$C:$C, $C291, KASA!$B:$B, "MAL İADE")</f>
        <v>0</v>
      </c>
      <c r="I291" s="5">
        <f t="shared" si="52"/>
        <v>12</v>
      </c>
      <c r="J291" s="5">
        <f t="shared" si="53"/>
        <v>1140</v>
      </c>
      <c r="K291" s="5">
        <f>SUMIFS(KASA!$Q:$Q, KASA!$C:$C, $C291, KASA!$B:$B, "MAL SATIŞI") + SUMIFS(KASA!$Q:$Q, KASA!$C:$C, $C291, KASA!$B:$B, "ÜRETİM ÇIKIŞ")</f>
        <v>995</v>
      </c>
      <c r="L291" s="5">
        <f>SUMIFS(KASA!$K:$K, KASA!$C:$C, $C291, KASA!$B:$B, "MAL SATIŞI") + SUMIFS(KASA!$K:$K, KASA!$C:$C, $C291, KASA!$B:$B, "ÜRETİM ÇIKIŞ")</f>
        <v>1020</v>
      </c>
      <c r="M291" s="5">
        <f t="shared" si="54"/>
        <v>2015</v>
      </c>
      <c r="N291" s="5">
        <f t="shared" si="55"/>
        <v>875</v>
      </c>
      <c r="O291" s="65">
        <f t="shared" si="56"/>
        <v>0.76754385964912286</v>
      </c>
      <c r="P291" s="5">
        <f t="shared" si="57"/>
        <v>167.91666666666666</v>
      </c>
      <c r="Q291" s="5">
        <f t="shared" si="58"/>
        <v>6</v>
      </c>
      <c r="R291" s="5">
        <f t="shared" si="59"/>
        <v>570</v>
      </c>
      <c r="S291" s="5">
        <f t="shared" si="60"/>
        <v>1710</v>
      </c>
      <c r="T291">
        <v>11</v>
      </c>
      <c r="U291" s="2">
        <f t="shared" si="61"/>
        <v>-5</v>
      </c>
      <c r="V291">
        <f>SUMIF(KASA!$C$2:$C$9980, C291, KASA!$T$2:$T$9980)</f>
        <v>6</v>
      </c>
      <c r="W291">
        <f>SUMIF(KASA!$C$2:$C$9980, C291, KASA!$U$2:$U$9980)</f>
        <v>570</v>
      </c>
      <c r="X291" s="2">
        <f t="shared" si="62"/>
        <v>6</v>
      </c>
      <c r="Y291" s="2">
        <f t="shared" si="63"/>
        <v>570</v>
      </c>
      <c r="Z291">
        <f>SUMIF(KASA!$C$2:$C$9980, C291, KASA!$V$2:$V$9980)</f>
        <v>1710</v>
      </c>
      <c r="AA291">
        <f t="shared" si="64"/>
        <v>1140</v>
      </c>
    </row>
    <row r="292" spans="3:27" x14ac:dyDescent="0.25">
      <c r="C292" s="4" t="s">
        <v>1422</v>
      </c>
      <c r="D292" s="5">
        <f>SUMIFS(KASA!$I:$I, KASA!$C:$C, $C292, KASA!$B:$B, "MAL ALIMI") + SUMIFS(KASA!$I:$I, KASA!$C:$C, $C292, KASA!$B:$B, "ÜRETİM GİRİŞ")</f>
        <v>0</v>
      </c>
      <c r="E292" s="5" cm="1">
        <f t="array" ref="E292">IFERROR(AVERAGE(IF((KASA!$C$2:$C$9980=$C292)*((KASA!$B$2:$B$9980="MAL ALIMI")+(KASA!$B$2:$B$9980="ÜRETİM GİRİŞ")),KASA!$J$2:$J$9980)),0)</f>
        <v>0</v>
      </c>
      <c r="F292" s="5">
        <f>SUMIFS(KASA!$I:$I, KASA!$C:$C, $C292, KASA!$B:$B, "MAL SATIŞI") + SUMIFS(KASA!$I:$I, KASA!$C:$C, $C292, KASA!$B:$B, "ÜRETİM ÇIKIŞ")</f>
        <v>0</v>
      </c>
      <c r="G292" s="5">
        <f>SUMIFS(KASA!$I:$I, KASA!$C:$C, $C292, KASA!$B:$B, "MAL İADE")</f>
        <v>0</v>
      </c>
      <c r="H292" s="5">
        <f>SUMIFS(KASA!$K:$K, KASA!$C:$C, $C292, KASA!$B:$B, "MAL İADE") + SUMIFS(KASA!$Q:$Q, KASA!$C:$C, $C292, KASA!$B:$B, "MAL İADE")</f>
        <v>0</v>
      </c>
      <c r="I292" s="5">
        <f t="shared" si="52"/>
        <v>0</v>
      </c>
      <c r="J292" s="5">
        <f t="shared" si="53"/>
        <v>0</v>
      </c>
      <c r="K292" s="5">
        <f>SUMIFS(KASA!$Q:$Q, KASA!$C:$C, $C292, KASA!$B:$B, "MAL SATIŞI") + SUMIFS(KASA!$Q:$Q, KASA!$C:$C, $C292, KASA!$B:$B, "ÜRETİM ÇIKIŞ")</f>
        <v>0</v>
      </c>
      <c r="L292" s="5">
        <f>SUMIFS(KASA!$K:$K, KASA!$C:$C, $C292, KASA!$B:$B, "MAL SATIŞI") + SUMIFS(KASA!$K:$K, KASA!$C:$C, $C292, KASA!$B:$B, "ÜRETİM ÇIKIŞ")</f>
        <v>0</v>
      </c>
      <c r="M292" s="5">
        <f t="shared" si="54"/>
        <v>0</v>
      </c>
      <c r="N292" s="5">
        <f t="shared" si="55"/>
        <v>0</v>
      </c>
      <c r="O292" s="65">
        <f t="shared" si="56"/>
        <v>0</v>
      </c>
      <c r="P292" s="5" t="e">
        <f t="shared" si="57"/>
        <v>#DIV/0!</v>
      </c>
      <c r="Q292" s="5">
        <f t="shared" si="58"/>
        <v>0</v>
      </c>
      <c r="R292" s="5">
        <f t="shared" si="59"/>
        <v>0</v>
      </c>
      <c r="S292" s="5">
        <f t="shared" si="60"/>
        <v>0</v>
      </c>
      <c r="U292" s="2">
        <f t="shared" si="61"/>
        <v>0</v>
      </c>
      <c r="V292">
        <f>SUMIF(KASA!$C$2:$C$9980, C292, KASA!$T$2:$T$9980)</f>
        <v>0</v>
      </c>
      <c r="W292">
        <f>SUMIF(KASA!$C$2:$C$9980, C292, KASA!$U$2:$U$9980)</f>
        <v>0</v>
      </c>
      <c r="X292" s="2">
        <f t="shared" si="62"/>
        <v>0</v>
      </c>
      <c r="Y292" s="2">
        <f t="shared" si="63"/>
        <v>0</v>
      </c>
      <c r="Z292">
        <f>SUMIF(KASA!$C$2:$C$9980, C292, KASA!$V$2:$V$9980)</f>
        <v>0</v>
      </c>
      <c r="AA292">
        <f t="shared" si="64"/>
        <v>0</v>
      </c>
    </row>
    <row r="293" spans="3:27" x14ac:dyDescent="0.25">
      <c r="C293" s="4" t="s">
        <v>1423</v>
      </c>
      <c r="D293" s="5">
        <f>SUMIFS(KASA!$I:$I, KASA!$C:$C, $C293, KASA!$B:$B, "MAL ALIMI") + SUMIFS(KASA!$I:$I, KASA!$C:$C, $C293, KASA!$B:$B, "ÜRETİM GİRİŞ")</f>
        <v>4</v>
      </c>
      <c r="E293" s="5" cm="1">
        <f t="array" ref="E293">IFERROR(AVERAGE(IF((KASA!$C$2:$C$9980=$C293)*((KASA!$B$2:$B$9980="MAL ALIMI")+(KASA!$B$2:$B$9980="ÜRETİM GİRİŞ")),KASA!$J$2:$J$9980)),0)</f>
        <v>58</v>
      </c>
      <c r="F293" s="5">
        <f>SUMIFS(KASA!$I:$I, KASA!$C:$C, $C293, KASA!$B:$B, "MAL SATIŞI") + SUMIFS(KASA!$I:$I, KASA!$C:$C, $C293, KASA!$B:$B, "ÜRETİM ÇIKIŞ")</f>
        <v>4</v>
      </c>
      <c r="G293" s="5">
        <f>SUMIFS(KASA!$I:$I, KASA!$C:$C, $C293, KASA!$B:$B, "MAL İADE")</f>
        <v>0</v>
      </c>
      <c r="H293" s="5">
        <f>SUMIFS(KASA!$K:$K, KASA!$C:$C, $C293, KASA!$B:$B, "MAL İADE") + SUMIFS(KASA!$Q:$Q, KASA!$C:$C, $C293, KASA!$B:$B, "MAL İADE")</f>
        <v>0</v>
      </c>
      <c r="I293" s="5">
        <f t="shared" si="52"/>
        <v>4</v>
      </c>
      <c r="J293" s="5">
        <f t="shared" si="53"/>
        <v>232</v>
      </c>
      <c r="K293" s="5">
        <f>SUMIFS(KASA!$Q:$Q, KASA!$C:$C, $C293, KASA!$B:$B, "MAL SATIŞI") + SUMIFS(KASA!$Q:$Q, KASA!$C:$C, $C293, KASA!$B:$B, "ÜRETİM ÇIKIŞ")</f>
        <v>400</v>
      </c>
      <c r="L293" s="5">
        <f>SUMIFS(KASA!$K:$K, KASA!$C:$C, $C293, KASA!$B:$B, "MAL SATIŞI") + SUMIFS(KASA!$K:$K, KASA!$C:$C, $C293, KASA!$B:$B, "ÜRETİM ÇIKIŞ")</f>
        <v>0</v>
      </c>
      <c r="M293" s="5">
        <f t="shared" si="54"/>
        <v>400</v>
      </c>
      <c r="N293" s="5">
        <f t="shared" si="55"/>
        <v>168</v>
      </c>
      <c r="O293" s="65">
        <f t="shared" si="56"/>
        <v>0.72413793103448276</v>
      </c>
      <c r="P293" s="5">
        <f t="shared" si="57"/>
        <v>100</v>
      </c>
      <c r="Q293" s="5">
        <f t="shared" si="58"/>
        <v>0</v>
      </c>
      <c r="R293" s="5">
        <f t="shared" si="59"/>
        <v>0</v>
      </c>
      <c r="S293" s="5">
        <f t="shared" si="60"/>
        <v>232</v>
      </c>
      <c r="T293">
        <v>0</v>
      </c>
      <c r="U293" s="2">
        <f t="shared" si="61"/>
        <v>0</v>
      </c>
      <c r="V293">
        <f>SUMIF(KASA!$C$2:$C$9980, C293, KASA!$T$2:$T$9980)</f>
        <v>0</v>
      </c>
      <c r="W293">
        <f>SUMIF(KASA!$C$2:$C$9980, C293, KASA!$U$2:$U$9980)</f>
        <v>0</v>
      </c>
      <c r="X293" s="2">
        <f t="shared" si="62"/>
        <v>0</v>
      </c>
      <c r="Y293" s="2">
        <f t="shared" si="63"/>
        <v>0</v>
      </c>
      <c r="Z293">
        <f>SUMIF(KASA!$C$2:$C$9980, C293, KASA!$V$2:$V$9980)</f>
        <v>232</v>
      </c>
      <c r="AA293">
        <f t="shared" si="64"/>
        <v>232</v>
      </c>
    </row>
    <row r="294" spans="3:27" x14ac:dyDescent="0.25">
      <c r="C294" s="4" t="s">
        <v>1425</v>
      </c>
      <c r="D294" s="5">
        <f>SUMIFS(KASA!$I:$I, KASA!$C:$C, $C294, KASA!$B:$B, "MAL ALIMI") + SUMIFS(KASA!$I:$I, KASA!$C:$C, $C294, KASA!$B:$B, "ÜRETİM GİRİŞ")</f>
        <v>4</v>
      </c>
      <c r="E294" s="5" cm="1">
        <f t="array" ref="E294">IFERROR(AVERAGE(IF((KASA!$C$2:$C$9980=$C294)*((KASA!$B$2:$B$9980="MAL ALIMI")+(KASA!$B$2:$B$9980="ÜRETİM GİRİŞ")),KASA!$J$2:$J$9980)),0)</f>
        <v>58</v>
      </c>
      <c r="F294" s="5">
        <f>SUMIFS(KASA!$I:$I, KASA!$C:$C, $C294, KASA!$B:$B, "MAL SATIŞI") + SUMIFS(KASA!$I:$I, KASA!$C:$C, $C294, KASA!$B:$B, "ÜRETİM ÇIKIŞ")</f>
        <v>2</v>
      </c>
      <c r="G294" s="5">
        <f>SUMIFS(KASA!$I:$I, KASA!$C:$C, $C294, KASA!$B:$B, "MAL İADE")</f>
        <v>0</v>
      </c>
      <c r="H294" s="5">
        <f>SUMIFS(KASA!$K:$K, KASA!$C:$C, $C294, KASA!$B:$B, "MAL İADE") + SUMIFS(KASA!$Q:$Q, KASA!$C:$C, $C294, KASA!$B:$B, "MAL İADE")</f>
        <v>0</v>
      </c>
      <c r="I294" s="5">
        <f t="shared" si="52"/>
        <v>2</v>
      </c>
      <c r="J294" s="5">
        <f t="shared" si="53"/>
        <v>116</v>
      </c>
      <c r="K294" s="5">
        <f>SUMIFS(KASA!$Q:$Q, KASA!$C:$C, $C294, KASA!$B:$B, "MAL SATIŞI") + SUMIFS(KASA!$Q:$Q, KASA!$C:$C, $C294, KASA!$B:$B, "ÜRETİM ÇIKIŞ")</f>
        <v>80</v>
      </c>
      <c r="L294" s="5">
        <f>SUMIFS(KASA!$K:$K, KASA!$C:$C, $C294, KASA!$B:$B, "MAL SATIŞI") + SUMIFS(KASA!$K:$K, KASA!$C:$C, $C294, KASA!$B:$B, "ÜRETİM ÇIKIŞ")</f>
        <v>100</v>
      </c>
      <c r="M294" s="5">
        <f t="shared" si="54"/>
        <v>180</v>
      </c>
      <c r="N294" s="5">
        <f t="shared" si="55"/>
        <v>64</v>
      </c>
      <c r="O294" s="65">
        <f t="shared" si="56"/>
        <v>0.55172413793103448</v>
      </c>
      <c r="P294" s="5">
        <f t="shared" si="57"/>
        <v>90</v>
      </c>
      <c r="Q294" s="5">
        <f t="shared" si="58"/>
        <v>2</v>
      </c>
      <c r="R294" s="5">
        <f t="shared" si="59"/>
        <v>116</v>
      </c>
      <c r="S294" s="5">
        <f t="shared" si="60"/>
        <v>232</v>
      </c>
      <c r="T294">
        <v>4</v>
      </c>
      <c r="U294" s="2">
        <f t="shared" si="61"/>
        <v>-2</v>
      </c>
      <c r="V294">
        <f>SUMIF(KASA!$C$2:$C$9980, C294, KASA!$T$2:$T$9980)</f>
        <v>2</v>
      </c>
      <c r="W294">
        <f>SUMIF(KASA!$C$2:$C$9980, C294, KASA!$U$2:$U$9980)</f>
        <v>116</v>
      </c>
      <c r="X294" s="2">
        <f t="shared" si="62"/>
        <v>2</v>
      </c>
      <c r="Y294" s="2">
        <f t="shared" si="63"/>
        <v>116</v>
      </c>
      <c r="Z294">
        <f>SUMIF(KASA!$C$2:$C$9980, C294, KASA!$V$2:$V$9980)</f>
        <v>232</v>
      </c>
      <c r="AA294">
        <f t="shared" si="64"/>
        <v>116</v>
      </c>
    </row>
    <row r="295" spans="3:27" x14ac:dyDescent="0.25">
      <c r="C295" s="4" t="s">
        <v>1424</v>
      </c>
      <c r="D295" s="5">
        <f>SUMIFS(KASA!$I:$I, KASA!$C:$C, $C295, KASA!$B:$B, "MAL ALIMI") + SUMIFS(KASA!$I:$I, KASA!$C:$C, $C295, KASA!$B:$B, "ÜRETİM GİRİŞ")</f>
        <v>4</v>
      </c>
      <c r="E295" s="5" cm="1">
        <f t="array" ref="E295">IFERROR(AVERAGE(IF((KASA!$C$2:$C$9980=$C295)*((KASA!$B$2:$B$9980="MAL ALIMI")+(KASA!$B$2:$B$9980="ÜRETİM GİRİŞ")),KASA!$J$2:$J$9980)),0)</f>
        <v>45</v>
      </c>
      <c r="F295" s="5">
        <f>SUMIFS(KASA!$I:$I, KASA!$C:$C, $C295, KASA!$B:$B, "MAL SATIŞI") + SUMIFS(KASA!$I:$I, KASA!$C:$C, $C295, KASA!$B:$B, "ÜRETİM ÇIKIŞ")</f>
        <v>2</v>
      </c>
      <c r="G295" s="5">
        <f>SUMIFS(KASA!$I:$I, KASA!$C:$C, $C295, KASA!$B:$B, "MAL İADE")</f>
        <v>0</v>
      </c>
      <c r="H295" s="5">
        <f>SUMIFS(KASA!$K:$K, KASA!$C:$C, $C295, KASA!$B:$B, "MAL İADE") + SUMIFS(KASA!$Q:$Q, KASA!$C:$C, $C295, KASA!$B:$B, "MAL İADE")</f>
        <v>0</v>
      </c>
      <c r="I295" s="5">
        <f t="shared" si="52"/>
        <v>2</v>
      </c>
      <c r="J295" s="5">
        <f t="shared" si="53"/>
        <v>90</v>
      </c>
      <c r="K295" s="5">
        <f>SUMIFS(KASA!$Q:$Q, KASA!$C:$C, $C295, KASA!$B:$B, "MAL SATIŞI") + SUMIFS(KASA!$Q:$Q, KASA!$C:$C, $C295, KASA!$B:$B, "ÜRETİM ÇIKIŞ")</f>
        <v>0</v>
      </c>
      <c r="L295" s="5">
        <f>SUMIFS(KASA!$K:$K, KASA!$C:$C, $C295, KASA!$B:$B, "MAL SATIŞI") + SUMIFS(KASA!$K:$K, KASA!$C:$C, $C295, KASA!$B:$B, "ÜRETİM ÇIKIŞ")</f>
        <v>200</v>
      </c>
      <c r="M295" s="5">
        <f t="shared" si="54"/>
        <v>200</v>
      </c>
      <c r="N295" s="5">
        <f t="shared" si="55"/>
        <v>110</v>
      </c>
      <c r="O295" s="65">
        <f t="shared" si="56"/>
        <v>1.2222222222222223</v>
      </c>
      <c r="P295" s="5">
        <f t="shared" si="57"/>
        <v>100</v>
      </c>
      <c r="Q295" s="5">
        <f t="shared" si="58"/>
        <v>2</v>
      </c>
      <c r="R295" s="5">
        <f t="shared" si="59"/>
        <v>90</v>
      </c>
      <c r="S295" s="5">
        <f t="shared" si="60"/>
        <v>180</v>
      </c>
      <c r="T295">
        <v>3</v>
      </c>
      <c r="U295" s="2">
        <f t="shared" si="61"/>
        <v>-1</v>
      </c>
      <c r="V295">
        <f>SUMIF(KASA!$C$2:$C$9980, C295, KASA!$T$2:$T$9980)</f>
        <v>2</v>
      </c>
      <c r="W295">
        <f>SUMIF(KASA!$C$2:$C$9980, C295, KASA!$U$2:$U$9980)</f>
        <v>90</v>
      </c>
      <c r="X295" s="2">
        <f t="shared" si="62"/>
        <v>2</v>
      </c>
      <c r="Y295" s="2">
        <f t="shared" si="63"/>
        <v>90</v>
      </c>
      <c r="Z295">
        <f>SUMIF(KASA!$C$2:$C$9980, C295, KASA!$V$2:$V$9980)</f>
        <v>180</v>
      </c>
      <c r="AA295">
        <f t="shared" si="64"/>
        <v>90</v>
      </c>
    </row>
    <row r="296" spans="3:27" x14ac:dyDescent="0.25">
      <c r="C296" s="4" t="s">
        <v>1427</v>
      </c>
      <c r="D296" s="5">
        <f>SUMIFS(KASA!$I:$I, KASA!$C:$C, $C296, KASA!$B:$B, "MAL ALIMI") + SUMIFS(KASA!$I:$I, KASA!$C:$C, $C296, KASA!$B:$B, "ÜRETİM GİRİŞ")</f>
        <v>4</v>
      </c>
      <c r="E296" s="5" cm="1">
        <f t="array" ref="E296">IFERROR(AVERAGE(IF((KASA!$C$2:$C$9980=$C296)*((KASA!$B$2:$B$9980="MAL ALIMI")+(KASA!$B$2:$B$9980="ÜRETİM GİRİŞ")),KASA!$J$2:$J$9980)),0)</f>
        <v>58</v>
      </c>
      <c r="F296" s="5">
        <f>SUMIFS(KASA!$I:$I, KASA!$C:$C, $C296, KASA!$B:$B, "MAL SATIŞI") + SUMIFS(KASA!$I:$I, KASA!$C:$C, $C296, KASA!$B:$B, "ÜRETİM ÇIKIŞ")</f>
        <v>4</v>
      </c>
      <c r="G296" s="5">
        <f>SUMIFS(KASA!$I:$I, KASA!$C:$C, $C296, KASA!$B:$B, "MAL İADE")</f>
        <v>0</v>
      </c>
      <c r="H296" s="5">
        <f>SUMIFS(KASA!$K:$K, KASA!$C:$C, $C296, KASA!$B:$B, "MAL İADE") + SUMIFS(KASA!$Q:$Q, KASA!$C:$C, $C296, KASA!$B:$B, "MAL İADE")</f>
        <v>0</v>
      </c>
      <c r="I296" s="5">
        <f t="shared" si="52"/>
        <v>4</v>
      </c>
      <c r="J296" s="5">
        <f t="shared" si="53"/>
        <v>232</v>
      </c>
      <c r="K296" s="5">
        <f>SUMIFS(KASA!$Q:$Q, KASA!$C:$C, $C296, KASA!$B:$B, "MAL SATIŞI") + SUMIFS(KASA!$Q:$Q, KASA!$C:$C, $C296, KASA!$B:$B, "ÜRETİM ÇIKIŞ")</f>
        <v>200</v>
      </c>
      <c r="L296" s="5">
        <f>SUMIFS(KASA!$K:$K, KASA!$C:$C, $C296, KASA!$B:$B, "MAL SATIŞI") + SUMIFS(KASA!$K:$K, KASA!$C:$C, $C296, KASA!$B:$B, "ÜRETİM ÇIKIŞ")</f>
        <v>200</v>
      </c>
      <c r="M296" s="5">
        <f t="shared" si="54"/>
        <v>400</v>
      </c>
      <c r="N296" s="5">
        <f t="shared" si="55"/>
        <v>168</v>
      </c>
      <c r="O296" s="65">
        <f t="shared" si="56"/>
        <v>0.72413793103448276</v>
      </c>
      <c r="P296" s="5">
        <f t="shared" si="57"/>
        <v>100</v>
      </c>
      <c r="Q296" s="5">
        <f t="shared" si="58"/>
        <v>0</v>
      </c>
      <c r="R296" s="5">
        <f t="shared" si="59"/>
        <v>0</v>
      </c>
      <c r="S296" s="5">
        <f t="shared" si="60"/>
        <v>232</v>
      </c>
      <c r="T296">
        <v>0</v>
      </c>
      <c r="U296" s="2">
        <f t="shared" si="61"/>
        <v>0</v>
      </c>
      <c r="V296">
        <f>SUMIF(KASA!$C$2:$C$9980, C296, KASA!$T$2:$T$9980)</f>
        <v>0</v>
      </c>
      <c r="W296">
        <f>SUMIF(KASA!$C$2:$C$9980, C296, KASA!$U$2:$U$9980)</f>
        <v>0</v>
      </c>
      <c r="X296" s="2">
        <f t="shared" si="62"/>
        <v>0</v>
      </c>
      <c r="Y296" s="2">
        <f t="shared" si="63"/>
        <v>0</v>
      </c>
      <c r="Z296">
        <f>SUMIF(KASA!$C$2:$C$9980, C296, KASA!$V$2:$V$9980)</f>
        <v>232</v>
      </c>
      <c r="AA296">
        <f t="shared" si="64"/>
        <v>232</v>
      </c>
    </row>
    <row r="297" spans="3:27" x14ac:dyDescent="0.25">
      <c r="C297" s="4" t="s">
        <v>1426</v>
      </c>
      <c r="D297" s="5">
        <f>SUMIFS(KASA!$I:$I, KASA!$C:$C, $C297, KASA!$B:$B, "MAL ALIMI") + SUMIFS(KASA!$I:$I, KASA!$C:$C, $C297, KASA!$B:$B, "ÜRETİM GİRİŞ")</f>
        <v>4</v>
      </c>
      <c r="E297" s="5" cm="1">
        <f t="array" ref="E297">IFERROR(AVERAGE(IF((KASA!$C$2:$C$9980=$C297)*((KASA!$B$2:$B$9980="MAL ALIMI")+(KASA!$B$2:$B$9980="ÜRETİM GİRİŞ")),KASA!$J$2:$J$9980)),0)</f>
        <v>58</v>
      </c>
      <c r="F297" s="5">
        <f>SUMIFS(KASA!$I:$I, KASA!$C:$C, $C297, KASA!$B:$B, "MAL SATIŞI") + SUMIFS(KASA!$I:$I, KASA!$C:$C, $C297, KASA!$B:$B, "ÜRETİM ÇIKIŞ")</f>
        <v>1</v>
      </c>
      <c r="G297" s="5">
        <f>SUMIFS(KASA!$I:$I, KASA!$C:$C, $C297, KASA!$B:$B, "MAL İADE")</f>
        <v>0</v>
      </c>
      <c r="H297" s="5">
        <f>SUMIFS(KASA!$K:$K, KASA!$C:$C, $C297, KASA!$B:$B, "MAL İADE") + SUMIFS(KASA!$Q:$Q, KASA!$C:$C, $C297, KASA!$B:$B, "MAL İADE")</f>
        <v>0</v>
      </c>
      <c r="I297" s="5">
        <f t="shared" si="52"/>
        <v>1</v>
      </c>
      <c r="J297" s="5">
        <f t="shared" si="53"/>
        <v>58</v>
      </c>
      <c r="K297" s="5">
        <f>SUMIFS(KASA!$Q:$Q, KASA!$C:$C, $C297, KASA!$B:$B, "MAL SATIŞI") + SUMIFS(KASA!$Q:$Q, KASA!$C:$C, $C297, KASA!$B:$B, "ÜRETİM ÇIKIŞ")</f>
        <v>0</v>
      </c>
      <c r="L297" s="5">
        <f>SUMIFS(KASA!$K:$K, KASA!$C:$C, $C297, KASA!$B:$B, "MAL SATIŞI") + SUMIFS(KASA!$K:$K, KASA!$C:$C, $C297, KASA!$B:$B, "ÜRETİM ÇIKIŞ")</f>
        <v>80</v>
      </c>
      <c r="M297" s="5">
        <f t="shared" si="54"/>
        <v>80</v>
      </c>
      <c r="N297" s="5">
        <f t="shared" si="55"/>
        <v>22</v>
      </c>
      <c r="O297" s="65">
        <f t="shared" si="56"/>
        <v>0.37931034482758619</v>
      </c>
      <c r="P297" s="5">
        <f t="shared" si="57"/>
        <v>80</v>
      </c>
      <c r="Q297" s="5">
        <f t="shared" si="58"/>
        <v>3</v>
      </c>
      <c r="R297" s="5">
        <f t="shared" si="59"/>
        <v>174</v>
      </c>
      <c r="S297" s="5">
        <f t="shared" si="60"/>
        <v>232</v>
      </c>
      <c r="T297">
        <v>3</v>
      </c>
      <c r="U297" s="2">
        <f t="shared" si="61"/>
        <v>0</v>
      </c>
      <c r="V297">
        <f>SUMIF(KASA!$C$2:$C$9980, C297, KASA!$T$2:$T$9980)</f>
        <v>3</v>
      </c>
      <c r="W297">
        <f>SUMIF(KASA!$C$2:$C$9980, C297, KASA!$U$2:$U$9980)</f>
        <v>174</v>
      </c>
      <c r="X297" s="2">
        <f t="shared" si="62"/>
        <v>3</v>
      </c>
      <c r="Y297" s="2">
        <f t="shared" si="63"/>
        <v>174</v>
      </c>
      <c r="Z297">
        <f>SUMIF(KASA!$C$2:$C$9980, C297, KASA!$V$2:$V$9980)</f>
        <v>232</v>
      </c>
      <c r="AA297">
        <f t="shared" si="64"/>
        <v>58</v>
      </c>
    </row>
    <row r="298" spans="3:27" x14ac:dyDescent="0.25">
      <c r="C298" s="4" t="s">
        <v>1428</v>
      </c>
      <c r="D298" s="5">
        <f>SUMIFS(KASA!$I:$I, KASA!$C:$C, $C298, KASA!$B:$B, "MAL ALIMI") + SUMIFS(KASA!$I:$I, KASA!$C:$C, $C298, KASA!$B:$B, "ÜRETİM GİRİŞ")</f>
        <v>1.524</v>
      </c>
      <c r="E298" s="5" cm="1">
        <f t="array" ref="E298">IFERROR(AVERAGE(IF((KASA!$C$2:$C$9980=$C298)*((KASA!$B$2:$B$9980="MAL ALIMI")+(KASA!$B$2:$B$9980="ÜRETİM GİRİŞ")),KASA!$J$2:$J$9980)),0)</f>
        <v>447.5</v>
      </c>
      <c r="F298" s="5">
        <f>SUMIFS(KASA!$I:$I, KASA!$C:$C, $C298, KASA!$B:$B, "MAL SATIŞI") + SUMIFS(KASA!$I:$I, KASA!$C:$C, $C298, KASA!$B:$B, "ÜRETİM ÇIKIŞ")</f>
        <v>1.4</v>
      </c>
      <c r="G298" s="5">
        <f>SUMIFS(KASA!$I:$I, KASA!$C:$C, $C298, KASA!$B:$B, "MAL İADE")</f>
        <v>0</v>
      </c>
      <c r="H298" s="5">
        <f>SUMIFS(KASA!$K:$K, KASA!$C:$C, $C298, KASA!$B:$B, "MAL İADE") + SUMIFS(KASA!$Q:$Q, KASA!$C:$C, $C298, KASA!$B:$B, "MAL İADE")</f>
        <v>0</v>
      </c>
      <c r="I298" s="5">
        <f t="shared" si="52"/>
        <v>1.4</v>
      </c>
      <c r="J298" s="5">
        <f t="shared" si="53"/>
        <v>626.5</v>
      </c>
      <c r="K298" s="5">
        <f>SUMIFS(KASA!$Q:$Q, KASA!$C:$C, $C298, KASA!$B:$B, "MAL SATIŞI") + SUMIFS(KASA!$Q:$Q, KASA!$C:$C, $C298, KASA!$B:$B, "ÜRETİM ÇIKIŞ")</f>
        <v>400</v>
      </c>
      <c r="L298" s="5">
        <f>SUMIFS(KASA!$K:$K, KASA!$C:$C, $C298, KASA!$B:$B, "MAL SATIŞI") + SUMIFS(KASA!$K:$K, KASA!$C:$C, $C298, KASA!$B:$B, "ÜRETİM ÇIKIŞ")</f>
        <v>712.5</v>
      </c>
      <c r="M298" s="5">
        <f t="shared" si="54"/>
        <v>1112.5</v>
      </c>
      <c r="N298" s="5">
        <f t="shared" si="55"/>
        <v>486</v>
      </c>
      <c r="O298" s="65">
        <f t="shared" si="56"/>
        <v>0.77573822825219474</v>
      </c>
      <c r="P298" s="5">
        <f t="shared" si="57"/>
        <v>794.64285714285722</v>
      </c>
      <c r="Q298" s="5">
        <f t="shared" si="58"/>
        <v>0.12400000000000011</v>
      </c>
      <c r="R298" s="5">
        <f t="shared" si="59"/>
        <v>55.490000000000052</v>
      </c>
      <c r="S298" s="5">
        <f t="shared" si="60"/>
        <v>681.99</v>
      </c>
      <c r="T298">
        <v>0.6</v>
      </c>
      <c r="U298" s="2">
        <f t="shared" si="61"/>
        <v>-0.47599999999999987</v>
      </c>
      <c r="V298">
        <f>SUMIF(KASA!$C$2:$C$9980, C298, KASA!$T$2:$T$9980)</f>
        <v>0.12400000000000011</v>
      </c>
      <c r="W298">
        <f>SUMIF(KASA!$C$2:$C$9980, C298, KASA!$U$2:$U$9980)</f>
        <v>55.180000000000049</v>
      </c>
      <c r="X298" s="2">
        <f t="shared" si="62"/>
        <v>0.12400000000000011</v>
      </c>
      <c r="Y298" s="2">
        <f t="shared" si="63"/>
        <v>55.180000000000049</v>
      </c>
      <c r="Z298">
        <f>SUMIF(KASA!$C$2:$C$9980, C298, KASA!$V$2:$V$9980)</f>
        <v>683.18000000000006</v>
      </c>
      <c r="AA298">
        <f t="shared" si="64"/>
        <v>628</v>
      </c>
    </row>
    <row r="299" spans="3:27" x14ac:dyDescent="0.25">
      <c r="C299" s="4" t="s">
        <v>1443</v>
      </c>
      <c r="D299" s="5">
        <f>SUMIFS(KASA!$I:$I, KASA!$C:$C, $C299, KASA!$B:$B, "MAL ALIMI") + SUMIFS(KASA!$I:$I, KASA!$C:$C, $C299, KASA!$B:$B, "ÜRETİM GİRİŞ")</f>
        <v>105</v>
      </c>
      <c r="E299" s="5" cm="1">
        <f t="array" ref="E299">IFERROR(AVERAGE(IF((KASA!$C$2:$C$9980=$C299)*((KASA!$B$2:$B$9980="MAL ALIMI")+(KASA!$B$2:$B$9980="ÜRETİM GİRİŞ")),KASA!$J$2:$J$9980)),0)</f>
        <v>4.6666699999999999</v>
      </c>
      <c r="F299" s="5">
        <f>SUMIFS(KASA!$I:$I, KASA!$C:$C, $C299, KASA!$B:$B, "MAL SATIŞI") + SUMIFS(KASA!$I:$I, KASA!$C:$C, $C299, KASA!$B:$B, "ÜRETİM ÇIKIŞ")</f>
        <v>79</v>
      </c>
      <c r="G299" s="5">
        <f>SUMIFS(KASA!$I:$I, KASA!$C:$C, $C299, KASA!$B:$B, "MAL İADE")</f>
        <v>0</v>
      </c>
      <c r="H299" s="5">
        <f>SUMIFS(KASA!$K:$K, KASA!$C:$C, $C299, KASA!$B:$B, "MAL İADE") + SUMIFS(KASA!$Q:$Q, KASA!$C:$C, $C299, KASA!$B:$B, "MAL İADE")</f>
        <v>0</v>
      </c>
      <c r="I299" s="5">
        <f t="shared" si="52"/>
        <v>79</v>
      </c>
      <c r="J299" s="5">
        <f t="shared" si="53"/>
        <v>368.66692999999998</v>
      </c>
      <c r="K299" s="5">
        <f>SUMIFS(KASA!$Q:$Q, KASA!$C:$C, $C299, KASA!$B:$B, "MAL SATIŞI") + SUMIFS(KASA!$Q:$Q, KASA!$C:$C, $C299, KASA!$B:$B, "ÜRETİM ÇIKIŞ")</f>
        <v>800</v>
      </c>
      <c r="L299" s="5">
        <f>SUMIFS(KASA!$K:$K, KASA!$C:$C, $C299, KASA!$B:$B, "MAL SATIŞI") + SUMIFS(KASA!$K:$K, KASA!$C:$C, $C299, KASA!$B:$B, "ÜRETİM ÇIKIŞ")</f>
        <v>140</v>
      </c>
      <c r="M299" s="5">
        <f t="shared" si="54"/>
        <v>940</v>
      </c>
      <c r="N299" s="5">
        <f t="shared" si="55"/>
        <v>571.33307000000002</v>
      </c>
      <c r="O299" s="65">
        <f t="shared" si="56"/>
        <v>1.5497269310268758</v>
      </c>
      <c r="P299" s="5">
        <f t="shared" si="57"/>
        <v>11.898734177215189</v>
      </c>
      <c r="Q299" s="5">
        <f t="shared" si="58"/>
        <v>26</v>
      </c>
      <c r="R299" s="5">
        <f t="shared" si="59"/>
        <v>121.33341999999999</v>
      </c>
      <c r="S299" s="5">
        <f t="shared" si="60"/>
        <v>490.00034999999997</v>
      </c>
      <c r="T299">
        <v>36</v>
      </c>
      <c r="U299" s="2">
        <f t="shared" si="61"/>
        <v>-10</v>
      </c>
      <c r="V299">
        <f>SUMIF(KASA!$C$2:$C$9980, C299, KASA!$T$2:$T$9980)</f>
        <v>26</v>
      </c>
      <c r="W299">
        <f>SUMIF(KASA!$C$2:$C$9980, C299, KASA!$U$2:$U$9980)</f>
        <v>121.33341999999999</v>
      </c>
      <c r="X299" s="2">
        <f t="shared" si="62"/>
        <v>26</v>
      </c>
      <c r="Y299" s="2">
        <f t="shared" si="63"/>
        <v>121.33341999999999</v>
      </c>
      <c r="Z299">
        <f>SUMIF(KASA!$C$2:$C$9980, C299, KASA!$V$2:$V$9980)</f>
        <v>490.00035000000003</v>
      </c>
      <c r="AA299">
        <f t="shared" si="64"/>
        <v>368.66693000000004</v>
      </c>
    </row>
    <row r="300" spans="3:27" x14ac:dyDescent="0.25">
      <c r="C300" s="4" t="s">
        <v>1444</v>
      </c>
      <c r="D300" s="5">
        <f>SUMIFS(KASA!$I:$I, KASA!$C:$C, $C300, KASA!$B:$B, "MAL ALIMI") + SUMIFS(KASA!$I:$I, KASA!$C:$C, $C300, KASA!$B:$B, "ÜRETİM GİRİŞ")</f>
        <v>5</v>
      </c>
      <c r="E300" s="5" cm="1">
        <f t="array" ref="E300">IFERROR(AVERAGE(IF((KASA!$C$2:$C$9980=$C300)*((KASA!$B$2:$B$9980="MAL ALIMI")+(KASA!$B$2:$B$9980="ÜRETİM GİRİŞ")),KASA!$J$2:$J$9980)),0)</f>
        <v>160</v>
      </c>
      <c r="F300" s="5">
        <f>SUMIFS(KASA!$I:$I, KASA!$C:$C, $C300, KASA!$B:$B, "MAL SATIŞI") + SUMIFS(KASA!$I:$I, KASA!$C:$C, $C300, KASA!$B:$B, "ÜRETİM ÇIKIŞ")</f>
        <v>0</v>
      </c>
      <c r="G300" s="5">
        <f>SUMIFS(KASA!$I:$I, KASA!$C:$C, $C300, KASA!$B:$B, "MAL İADE")</f>
        <v>5</v>
      </c>
      <c r="H300" s="5">
        <f>SUMIFS(KASA!$K:$K, KASA!$C:$C, $C300, KASA!$B:$B, "MAL İADE") + SUMIFS(KASA!$Q:$Q, KASA!$C:$C, $C300, KASA!$B:$B, "MAL İADE")</f>
        <v>800</v>
      </c>
      <c r="I300" s="5">
        <f t="shared" si="52"/>
        <v>5</v>
      </c>
      <c r="J300" s="5">
        <f t="shared" si="53"/>
        <v>0</v>
      </c>
      <c r="K300" s="5">
        <f>SUMIFS(KASA!$Q:$Q, KASA!$C:$C, $C300, KASA!$B:$B, "MAL SATIŞI") + SUMIFS(KASA!$Q:$Q, KASA!$C:$C, $C300, KASA!$B:$B, "ÜRETİM ÇIKIŞ")</f>
        <v>0</v>
      </c>
      <c r="L300" s="5">
        <f>SUMIFS(KASA!$K:$K, KASA!$C:$C, $C300, KASA!$B:$B, "MAL SATIŞI") + SUMIFS(KASA!$K:$K, KASA!$C:$C, $C300, KASA!$B:$B, "ÜRETİM ÇIKIŞ")</f>
        <v>0</v>
      </c>
      <c r="M300" s="5">
        <f t="shared" si="54"/>
        <v>0</v>
      </c>
      <c r="N300" s="5">
        <f t="shared" si="55"/>
        <v>0</v>
      </c>
      <c r="O300" s="65">
        <f t="shared" si="56"/>
        <v>0</v>
      </c>
      <c r="P300" s="5" t="e">
        <f t="shared" si="57"/>
        <v>#DIV/0!</v>
      </c>
      <c r="Q300" s="5">
        <f t="shared" si="58"/>
        <v>0</v>
      </c>
      <c r="R300" s="5">
        <f t="shared" si="59"/>
        <v>0</v>
      </c>
      <c r="S300" s="5">
        <f t="shared" si="60"/>
        <v>800</v>
      </c>
      <c r="T300">
        <v>0</v>
      </c>
      <c r="U300" s="2">
        <f t="shared" si="61"/>
        <v>0</v>
      </c>
      <c r="V300">
        <f>SUMIF(KASA!$C$2:$C$9980, C300, KASA!$T$2:$T$9980)</f>
        <v>5</v>
      </c>
      <c r="W300">
        <f>SUMIF(KASA!$C$2:$C$9980, C300, KASA!$U$2:$U$9980)</f>
        <v>800</v>
      </c>
      <c r="X300" s="2">
        <f t="shared" si="62"/>
        <v>0</v>
      </c>
      <c r="Y300" s="2">
        <f t="shared" si="63"/>
        <v>0</v>
      </c>
      <c r="Z300">
        <f>SUMIF(KASA!$C$2:$C$9980, C300, KASA!$V$2:$V$9980)</f>
        <v>800</v>
      </c>
      <c r="AA300">
        <f t="shared" si="64"/>
        <v>0</v>
      </c>
    </row>
    <row r="301" spans="3:27" ht="14.25" customHeight="1" x14ac:dyDescent="0.25">
      <c r="C301" s="4" t="s">
        <v>1619</v>
      </c>
      <c r="D301" s="5">
        <f>SUMIFS(KASA!$I:$I, KASA!$C:$C, $C301, KASA!$B:$B, "MAL ALIMI") + SUMIFS(KASA!$I:$I, KASA!$C:$C, $C301, KASA!$B:$B, "ÜRETİM GİRİŞ")</f>
        <v>3</v>
      </c>
      <c r="E301" s="5" cm="1">
        <f t="array" ref="E301">IFERROR(AVERAGE(IF((KASA!$C$2:$C$9980=$C301)*((KASA!$B$2:$B$9980="MAL ALIMI")+(KASA!$B$2:$B$9980="ÜRETİM GİRİŞ")),KASA!$J$2:$J$9980)),0)</f>
        <v>70</v>
      </c>
      <c r="F301" s="5">
        <f>SUMIFS(KASA!$I:$I, KASA!$C:$C, $C301, KASA!$B:$B, "MAL SATIŞI") + SUMIFS(KASA!$I:$I, KASA!$C:$C, $C301, KASA!$B:$B, "ÜRETİM ÇIKIŞ")</f>
        <v>2</v>
      </c>
      <c r="G301" s="5">
        <f>SUMIFS(KASA!$I:$I, KASA!$C:$C, $C301, KASA!$B:$B, "MAL İADE")</f>
        <v>0</v>
      </c>
      <c r="H301" s="5">
        <f>SUMIFS(KASA!$K:$K, KASA!$C:$C, $C301, KASA!$B:$B, "MAL İADE") + SUMIFS(KASA!$Q:$Q, KASA!$C:$C, $C301, KASA!$B:$B, "MAL İADE")</f>
        <v>0</v>
      </c>
      <c r="I301" s="5">
        <f t="shared" si="52"/>
        <v>2</v>
      </c>
      <c r="J301" s="5">
        <f t="shared" si="53"/>
        <v>140</v>
      </c>
      <c r="K301" s="5">
        <f>SUMIFS(KASA!$Q:$Q, KASA!$C:$C, $C301, KASA!$B:$B, "MAL SATIŞI") + SUMIFS(KASA!$Q:$Q, KASA!$C:$C, $C301, KASA!$B:$B, "ÜRETİM ÇIKIŞ")</f>
        <v>150</v>
      </c>
      <c r="L301" s="5">
        <f>SUMIFS(KASA!$K:$K, KASA!$C:$C, $C301, KASA!$B:$B, "MAL SATIŞI") + SUMIFS(KASA!$K:$K, KASA!$C:$C, $C301, KASA!$B:$B, "ÜRETİM ÇIKIŞ")</f>
        <v>100</v>
      </c>
      <c r="M301" s="5">
        <f t="shared" si="54"/>
        <v>250</v>
      </c>
      <c r="N301" s="5">
        <f t="shared" si="55"/>
        <v>110</v>
      </c>
      <c r="O301" s="65">
        <f t="shared" si="56"/>
        <v>0.7857142857142857</v>
      </c>
      <c r="P301" s="5">
        <f t="shared" si="57"/>
        <v>125</v>
      </c>
      <c r="Q301" s="5">
        <f t="shared" si="58"/>
        <v>1</v>
      </c>
      <c r="R301" s="5">
        <f t="shared" si="59"/>
        <v>70</v>
      </c>
      <c r="S301" s="5">
        <f t="shared" si="60"/>
        <v>210</v>
      </c>
      <c r="T301">
        <v>2</v>
      </c>
      <c r="U301" s="2">
        <f t="shared" si="61"/>
        <v>-1</v>
      </c>
      <c r="V301">
        <f>SUMIF(KASA!$C$2:$C$9980, C301, KASA!$T$2:$T$9980)</f>
        <v>1</v>
      </c>
      <c r="W301">
        <f>SUMIF(KASA!$C$2:$C$9980, C301, KASA!$U$2:$U$9980)</f>
        <v>70</v>
      </c>
      <c r="X301" s="2">
        <f t="shared" si="62"/>
        <v>1</v>
      </c>
      <c r="Y301" s="2">
        <f t="shared" si="63"/>
        <v>70</v>
      </c>
      <c r="Z301">
        <f>SUMIF(KASA!$C$2:$C$9980, C301, KASA!$V$2:$V$9980)</f>
        <v>210</v>
      </c>
      <c r="AA301">
        <f t="shared" si="64"/>
        <v>140</v>
      </c>
    </row>
    <row r="302" spans="3:27" x14ac:dyDescent="0.25">
      <c r="C302" s="4" t="s">
        <v>1620</v>
      </c>
      <c r="D302" s="5">
        <f>SUMIFS(KASA!$I:$I, KASA!$C:$C, $C302, KASA!$B:$B, "MAL ALIMI") + SUMIFS(KASA!$I:$I, KASA!$C:$C, $C302, KASA!$B:$B, "ÜRETİM GİRİŞ")</f>
        <v>3</v>
      </c>
      <c r="E302" s="5" cm="1">
        <f t="array" ref="E302">IFERROR(AVERAGE(IF((KASA!$C$2:$C$9980=$C302)*((KASA!$B$2:$B$9980="MAL ALIMI")+(KASA!$B$2:$B$9980="ÜRETİM GİRİŞ")),KASA!$J$2:$J$9980)),0)</f>
        <v>65</v>
      </c>
      <c r="F302" s="5">
        <f>SUMIFS(KASA!$I:$I, KASA!$C:$C, $C302, KASA!$B:$B, "MAL SATIŞI") + SUMIFS(KASA!$I:$I, KASA!$C:$C, $C302, KASA!$B:$B, "ÜRETİM ÇIKIŞ")</f>
        <v>2</v>
      </c>
      <c r="G302" s="5">
        <f>SUMIFS(KASA!$I:$I, KASA!$C:$C, $C302, KASA!$B:$B, "MAL İADE")</f>
        <v>0</v>
      </c>
      <c r="H302" s="5">
        <f>SUMIFS(KASA!$K:$K, KASA!$C:$C, $C302, KASA!$B:$B, "MAL İADE") + SUMIFS(KASA!$Q:$Q, KASA!$C:$C, $C302, KASA!$B:$B, "MAL İADE")</f>
        <v>0</v>
      </c>
      <c r="I302" s="5">
        <f t="shared" si="52"/>
        <v>2</v>
      </c>
      <c r="J302" s="5">
        <f t="shared" si="53"/>
        <v>130</v>
      </c>
      <c r="K302" s="5">
        <f>SUMIFS(KASA!$Q:$Q, KASA!$C:$C, $C302, KASA!$B:$B, "MAL SATIŞI") + SUMIFS(KASA!$Q:$Q, KASA!$C:$C, $C302, KASA!$B:$B, "ÜRETİM ÇIKIŞ")</f>
        <v>0</v>
      </c>
      <c r="L302" s="5">
        <f>SUMIFS(KASA!$K:$K, KASA!$C:$C, $C302, KASA!$B:$B, "MAL SATIŞI") + SUMIFS(KASA!$K:$K, KASA!$C:$C, $C302, KASA!$B:$B, "ÜRETİM ÇIKIŞ")</f>
        <v>200</v>
      </c>
      <c r="M302" s="5">
        <f t="shared" si="54"/>
        <v>200</v>
      </c>
      <c r="N302" s="5">
        <f t="shared" si="55"/>
        <v>70</v>
      </c>
      <c r="O302" s="65">
        <f t="shared" si="56"/>
        <v>0.53846153846153844</v>
      </c>
      <c r="P302" s="5">
        <f t="shared" si="57"/>
        <v>100</v>
      </c>
      <c r="Q302" s="5">
        <f t="shared" si="58"/>
        <v>1</v>
      </c>
      <c r="R302" s="5">
        <f t="shared" si="59"/>
        <v>65</v>
      </c>
      <c r="S302" s="5">
        <f t="shared" si="60"/>
        <v>195</v>
      </c>
      <c r="T302">
        <v>1</v>
      </c>
      <c r="U302" s="2">
        <f t="shared" si="61"/>
        <v>0</v>
      </c>
      <c r="V302">
        <f>SUMIF(KASA!$C$2:$C$9980, C302, KASA!$T$2:$T$9980)</f>
        <v>1</v>
      </c>
      <c r="W302">
        <f>SUMIF(KASA!$C$2:$C$9980, C302, KASA!$U$2:$U$9980)</f>
        <v>65</v>
      </c>
      <c r="X302" s="2">
        <f t="shared" si="62"/>
        <v>1</v>
      </c>
      <c r="Y302" s="2">
        <f t="shared" si="63"/>
        <v>65</v>
      </c>
      <c r="Z302">
        <f>SUMIF(KASA!$C$2:$C$9980, C302, KASA!$V$2:$V$9980)</f>
        <v>195</v>
      </c>
      <c r="AA302">
        <f t="shared" si="64"/>
        <v>130</v>
      </c>
    </row>
    <row r="303" spans="3:27" x14ac:dyDescent="0.25">
      <c r="C303" s="4" t="s">
        <v>1635</v>
      </c>
      <c r="D303" s="5">
        <f>SUMIFS(KASA!$I:$I, KASA!$C:$C, $C303, KASA!$B:$B, "MAL ALIMI") + SUMIFS(KASA!$I:$I, KASA!$C:$C, $C303, KASA!$B:$B, "ÜRETİM GİRİŞ")</f>
        <v>3</v>
      </c>
      <c r="E303" s="5" cm="1">
        <f t="array" ref="E303">IFERROR(AVERAGE(IF((KASA!$C$2:$C$9980=$C303)*((KASA!$B$2:$B$9980="MAL ALIMI")+(KASA!$B$2:$B$9980="ÜRETİM GİRİŞ")),KASA!$J$2:$J$9980)),0)</f>
        <v>70</v>
      </c>
      <c r="F303" s="5">
        <f>SUMIFS(KASA!$I:$I, KASA!$C:$C, $C303, KASA!$B:$B, "MAL SATIŞI") + SUMIFS(KASA!$I:$I, KASA!$C:$C, $C303, KASA!$B:$B, "ÜRETİM ÇIKIŞ")</f>
        <v>0</v>
      </c>
      <c r="G303" s="5">
        <f>SUMIFS(KASA!$I:$I, KASA!$C:$C, $C303, KASA!$B:$B, "MAL İADE")</f>
        <v>0</v>
      </c>
      <c r="H303" s="5">
        <f>SUMIFS(KASA!$K:$K, KASA!$C:$C, $C303, KASA!$B:$B, "MAL İADE") + SUMIFS(KASA!$Q:$Q, KASA!$C:$C, $C303, KASA!$B:$B, "MAL İADE")</f>
        <v>0</v>
      </c>
      <c r="I303" s="5">
        <f t="shared" si="52"/>
        <v>0</v>
      </c>
      <c r="J303" s="5">
        <f t="shared" si="53"/>
        <v>0</v>
      </c>
      <c r="K303" s="5">
        <f>SUMIFS(KASA!$Q:$Q, KASA!$C:$C, $C303, KASA!$B:$B, "MAL SATIŞI") + SUMIFS(KASA!$Q:$Q, KASA!$C:$C, $C303, KASA!$B:$B, "ÜRETİM ÇIKIŞ")</f>
        <v>0</v>
      </c>
      <c r="L303" s="5">
        <f>SUMIFS(KASA!$K:$K, KASA!$C:$C, $C303, KASA!$B:$B, "MAL SATIŞI") + SUMIFS(KASA!$K:$K, KASA!$C:$C, $C303, KASA!$B:$B, "ÜRETİM ÇIKIŞ")</f>
        <v>0</v>
      </c>
      <c r="M303" s="5">
        <f t="shared" si="54"/>
        <v>0</v>
      </c>
      <c r="N303" s="5">
        <f t="shared" si="55"/>
        <v>0</v>
      </c>
      <c r="O303" s="65">
        <f t="shared" si="56"/>
        <v>0</v>
      </c>
      <c r="P303" s="5" t="e">
        <f t="shared" si="57"/>
        <v>#DIV/0!</v>
      </c>
      <c r="Q303" s="5">
        <f t="shared" si="58"/>
        <v>3</v>
      </c>
      <c r="R303" s="5">
        <f t="shared" si="59"/>
        <v>210</v>
      </c>
      <c r="S303" s="5">
        <f t="shared" si="60"/>
        <v>210</v>
      </c>
      <c r="T303">
        <v>3</v>
      </c>
      <c r="U303" s="2">
        <f t="shared" si="61"/>
        <v>0</v>
      </c>
      <c r="V303">
        <f>SUMIF(KASA!$C$2:$C$9980, C303, KASA!$T$2:$T$9980)</f>
        <v>3</v>
      </c>
      <c r="W303">
        <f>SUMIF(KASA!$C$2:$C$9980, C303, KASA!$U$2:$U$9980)</f>
        <v>210</v>
      </c>
      <c r="X303" s="2">
        <f t="shared" si="62"/>
        <v>3</v>
      </c>
      <c r="Y303" s="2">
        <f t="shared" si="63"/>
        <v>210</v>
      </c>
      <c r="Z303">
        <f>SUMIF(KASA!$C$2:$C$9980, C303, KASA!$V$2:$V$9980)</f>
        <v>210</v>
      </c>
      <c r="AA303">
        <f t="shared" si="64"/>
        <v>0</v>
      </c>
    </row>
    <row r="304" spans="3:27" x14ac:dyDescent="0.25">
      <c r="C304" s="4" t="s">
        <v>1636</v>
      </c>
      <c r="D304" s="5">
        <f>SUMIFS(KASA!$I:$I, KASA!$C:$C, $C304, KASA!$B:$B, "MAL ALIMI") + SUMIFS(KASA!$I:$I, KASA!$C:$C, $C304, KASA!$B:$B, "ÜRETİM GİRİŞ")</f>
        <v>3</v>
      </c>
      <c r="E304" s="5" cm="1">
        <f t="array" ref="E304">IFERROR(AVERAGE(IF((KASA!$C$2:$C$9980=$C304)*((KASA!$B$2:$B$9980="MAL ALIMI")+(KASA!$B$2:$B$9980="ÜRETİM GİRİŞ")),KASA!$J$2:$J$9980)),0)</f>
        <v>85</v>
      </c>
      <c r="F304" s="5">
        <f>SUMIFS(KASA!$I:$I, KASA!$C:$C, $C304, KASA!$B:$B, "MAL SATIŞI") + SUMIFS(KASA!$I:$I, KASA!$C:$C, $C304, KASA!$B:$B, "ÜRETİM ÇIKIŞ")</f>
        <v>3</v>
      </c>
      <c r="G304" s="5">
        <f>SUMIFS(KASA!$I:$I, KASA!$C:$C, $C304, KASA!$B:$B, "MAL İADE")</f>
        <v>0</v>
      </c>
      <c r="H304" s="5">
        <f>SUMIFS(KASA!$K:$K, KASA!$C:$C, $C304, KASA!$B:$B, "MAL İADE") + SUMIFS(KASA!$Q:$Q, KASA!$C:$C, $C304, KASA!$B:$B, "MAL İADE")</f>
        <v>0</v>
      </c>
      <c r="I304" s="5">
        <f t="shared" si="52"/>
        <v>3</v>
      </c>
      <c r="J304" s="5">
        <f t="shared" si="53"/>
        <v>255</v>
      </c>
      <c r="K304" s="5">
        <f>SUMIFS(KASA!$Q:$Q, KASA!$C:$C, $C304, KASA!$B:$B, "MAL SATIŞI") + SUMIFS(KASA!$Q:$Q, KASA!$C:$C, $C304, KASA!$B:$B, "ÜRETİM ÇIKIŞ")</f>
        <v>150</v>
      </c>
      <c r="L304" s="5">
        <f>SUMIFS(KASA!$K:$K, KASA!$C:$C, $C304, KASA!$B:$B, "MAL SATIŞI") + SUMIFS(KASA!$K:$K, KASA!$C:$C, $C304, KASA!$B:$B, "ÜRETİM ÇIKIŞ")</f>
        <v>300</v>
      </c>
      <c r="M304" s="5">
        <f t="shared" si="54"/>
        <v>450</v>
      </c>
      <c r="N304" s="5">
        <f t="shared" si="55"/>
        <v>195</v>
      </c>
      <c r="O304" s="65">
        <f t="shared" si="56"/>
        <v>0.76470588235294112</v>
      </c>
      <c r="P304" s="5">
        <f t="shared" si="57"/>
        <v>150</v>
      </c>
      <c r="Q304" s="5">
        <f t="shared" si="58"/>
        <v>0</v>
      </c>
      <c r="R304" s="5">
        <f t="shared" si="59"/>
        <v>0</v>
      </c>
      <c r="S304" s="5">
        <f t="shared" si="60"/>
        <v>255</v>
      </c>
      <c r="T304">
        <v>0</v>
      </c>
      <c r="U304" s="2">
        <f t="shared" si="61"/>
        <v>0</v>
      </c>
      <c r="V304">
        <f>SUMIF(KASA!$C$2:$C$9980, C304, KASA!$T$2:$T$9980)</f>
        <v>0</v>
      </c>
      <c r="W304">
        <f>SUMIF(KASA!$C$2:$C$9980, C304, KASA!$U$2:$U$9980)</f>
        <v>0</v>
      </c>
      <c r="X304" s="2">
        <f t="shared" si="62"/>
        <v>0</v>
      </c>
      <c r="Y304" s="2">
        <f t="shared" si="63"/>
        <v>0</v>
      </c>
      <c r="Z304">
        <f>SUMIF(KASA!$C$2:$C$9980, C304, KASA!$V$2:$V$9980)</f>
        <v>255</v>
      </c>
      <c r="AA304">
        <f t="shared" si="64"/>
        <v>255</v>
      </c>
    </row>
    <row r="305" spans="3:27" x14ac:dyDescent="0.25">
      <c r="C305" s="4" t="s">
        <v>1637</v>
      </c>
      <c r="D305" s="5">
        <f>SUMIFS(KASA!$I:$I, KASA!$C:$C, $C305, KASA!$B:$B, "MAL ALIMI") + SUMIFS(KASA!$I:$I, KASA!$C:$C, $C305, KASA!$B:$B, "ÜRETİM GİRİŞ")</f>
        <v>3</v>
      </c>
      <c r="E305" s="5" cm="1">
        <f t="array" ref="E305">IFERROR(AVERAGE(IF((KASA!$C$2:$C$9980=$C305)*((KASA!$B$2:$B$9980="MAL ALIMI")+(KASA!$B$2:$B$9980="ÜRETİM GİRİŞ")),KASA!$J$2:$J$9980)),0)</f>
        <v>100</v>
      </c>
      <c r="F305" s="5">
        <f>SUMIFS(KASA!$I:$I, KASA!$C:$C, $C305, KASA!$B:$B, "MAL SATIŞI") + SUMIFS(KASA!$I:$I, KASA!$C:$C, $C305, KASA!$B:$B, "ÜRETİM ÇIKIŞ")</f>
        <v>2</v>
      </c>
      <c r="G305" s="5">
        <f>SUMIFS(KASA!$I:$I, KASA!$C:$C, $C305, KASA!$B:$B, "MAL İADE")</f>
        <v>0</v>
      </c>
      <c r="H305" s="5">
        <f>SUMIFS(KASA!$K:$K, KASA!$C:$C, $C305, KASA!$B:$B, "MAL İADE") + SUMIFS(KASA!$Q:$Q, KASA!$C:$C, $C305, KASA!$B:$B, "MAL İADE")</f>
        <v>0</v>
      </c>
      <c r="I305" s="5">
        <f t="shared" si="52"/>
        <v>2</v>
      </c>
      <c r="J305" s="5">
        <f t="shared" si="53"/>
        <v>200</v>
      </c>
      <c r="K305" s="5">
        <f>SUMIFS(KASA!$Q:$Q, KASA!$C:$C, $C305, KASA!$B:$B, "MAL SATIŞI") + SUMIFS(KASA!$Q:$Q, KASA!$C:$C, $C305, KASA!$B:$B, "ÜRETİM ÇIKIŞ")</f>
        <v>150</v>
      </c>
      <c r="L305" s="5">
        <f>SUMIFS(KASA!$K:$K, KASA!$C:$C, $C305, KASA!$B:$B, "MAL SATIŞI") + SUMIFS(KASA!$K:$K, KASA!$C:$C, $C305, KASA!$B:$B, "ÜRETİM ÇIKIŞ")</f>
        <v>150</v>
      </c>
      <c r="M305" s="5">
        <f t="shared" si="54"/>
        <v>300</v>
      </c>
      <c r="N305" s="5">
        <f t="shared" si="55"/>
        <v>100</v>
      </c>
      <c r="O305" s="65">
        <f t="shared" si="56"/>
        <v>0.5</v>
      </c>
      <c r="P305" s="5">
        <f t="shared" si="57"/>
        <v>150</v>
      </c>
      <c r="Q305" s="5">
        <f t="shared" si="58"/>
        <v>1</v>
      </c>
      <c r="R305" s="5">
        <f t="shared" si="59"/>
        <v>100</v>
      </c>
      <c r="S305" s="5">
        <f t="shared" si="60"/>
        <v>300</v>
      </c>
      <c r="T305">
        <v>2</v>
      </c>
      <c r="U305" s="2">
        <f t="shared" si="61"/>
        <v>-1</v>
      </c>
      <c r="V305">
        <f>SUMIF(KASA!$C$2:$C$9980, C305, KASA!$T$2:$T$9980)</f>
        <v>1</v>
      </c>
      <c r="W305">
        <f>SUMIF(KASA!$C$2:$C$9980, C305, KASA!$U$2:$U$9980)</f>
        <v>100</v>
      </c>
      <c r="X305" s="2">
        <f t="shared" si="62"/>
        <v>1</v>
      </c>
      <c r="Y305" s="2">
        <f t="shared" si="63"/>
        <v>100</v>
      </c>
      <c r="Z305">
        <f>SUMIF(KASA!$C$2:$C$9980, C305, KASA!$V$2:$V$9980)</f>
        <v>300</v>
      </c>
      <c r="AA305">
        <f t="shared" si="64"/>
        <v>200</v>
      </c>
    </row>
    <row r="306" spans="3:27" x14ac:dyDescent="0.25">
      <c r="C306" s="4" t="s">
        <v>1638</v>
      </c>
      <c r="D306" s="5">
        <f>SUMIFS(KASA!$I:$I, KASA!$C:$C, $C306, KASA!$B:$B, "MAL ALIMI") + SUMIFS(KASA!$I:$I, KASA!$C:$C, $C306, KASA!$B:$B, "ÜRETİM GİRİŞ")</f>
        <v>3</v>
      </c>
      <c r="E306" s="5" cm="1">
        <f t="array" ref="E306">IFERROR(AVERAGE(IF((KASA!$C$2:$C$9980=$C306)*((KASA!$B$2:$B$9980="MAL ALIMI")+(KASA!$B$2:$B$9980="ÜRETİM GİRİŞ")),KASA!$J$2:$J$9980)),0)</f>
        <v>70</v>
      </c>
      <c r="F306" s="5">
        <f>SUMIFS(KASA!$I:$I, KASA!$C:$C, $C306, KASA!$B:$B, "MAL SATIŞI") + SUMIFS(KASA!$I:$I, KASA!$C:$C, $C306, KASA!$B:$B, "ÜRETİM ÇIKIŞ")</f>
        <v>2</v>
      </c>
      <c r="G306" s="5">
        <f>SUMIFS(KASA!$I:$I, KASA!$C:$C, $C306, KASA!$B:$B, "MAL İADE")</f>
        <v>0</v>
      </c>
      <c r="H306" s="5">
        <f>SUMIFS(KASA!$K:$K, KASA!$C:$C, $C306, KASA!$B:$B, "MAL İADE") + SUMIFS(KASA!$Q:$Q, KASA!$C:$C, $C306, KASA!$B:$B, "MAL İADE")</f>
        <v>0</v>
      </c>
      <c r="I306" s="5">
        <f t="shared" si="52"/>
        <v>2</v>
      </c>
      <c r="J306" s="5">
        <f t="shared" si="53"/>
        <v>140</v>
      </c>
      <c r="K306" s="5">
        <f>SUMIFS(KASA!$Q:$Q, KASA!$C:$C, $C306, KASA!$B:$B, "MAL SATIŞI") + SUMIFS(KASA!$Q:$Q, KASA!$C:$C, $C306, KASA!$B:$B, "ÜRETİM ÇIKIŞ")</f>
        <v>0</v>
      </c>
      <c r="L306" s="5">
        <f>SUMIFS(KASA!$K:$K, KASA!$C:$C, $C306, KASA!$B:$B, "MAL SATIŞI") + SUMIFS(KASA!$K:$K, KASA!$C:$C, $C306, KASA!$B:$B, "ÜRETİM ÇIKIŞ")</f>
        <v>200</v>
      </c>
      <c r="M306" s="5">
        <f t="shared" si="54"/>
        <v>200</v>
      </c>
      <c r="N306" s="5">
        <f t="shared" si="55"/>
        <v>60</v>
      </c>
      <c r="O306" s="65">
        <f t="shared" si="56"/>
        <v>0.42857142857142855</v>
      </c>
      <c r="P306" s="5">
        <f t="shared" si="57"/>
        <v>100</v>
      </c>
      <c r="Q306" s="5">
        <f t="shared" si="58"/>
        <v>1</v>
      </c>
      <c r="R306" s="5">
        <f t="shared" si="59"/>
        <v>70</v>
      </c>
      <c r="S306" s="5">
        <f t="shared" si="60"/>
        <v>210</v>
      </c>
      <c r="T306">
        <v>1</v>
      </c>
      <c r="U306" s="2">
        <f t="shared" si="61"/>
        <v>0</v>
      </c>
      <c r="V306">
        <f>SUMIF(KASA!$C$2:$C$9980, C306, KASA!$T$2:$T$9980)</f>
        <v>1</v>
      </c>
      <c r="W306">
        <f>SUMIF(KASA!$C$2:$C$9980, C306, KASA!$U$2:$U$9980)</f>
        <v>70</v>
      </c>
      <c r="X306" s="2">
        <f t="shared" si="62"/>
        <v>1</v>
      </c>
      <c r="Y306" s="2">
        <f t="shared" si="63"/>
        <v>70</v>
      </c>
      <c r="Z306">
        <f>SUMIF(KASA!$C$2:$C$9980, C306, KASA!$V$2:$V$9980)</f>
        <v>210</v>
      </c>
      <c r="AA306">
        <f t="shared" si="64"/>
        <v>140</v>
      </c>
    </row>
    <row r="307" spans="3:27" x14ac:dyDescent="0.25">
      <c r="C307" s="4" t="s">
        <v>1897</v>
      </c>
      <c r="D307" s="5">
        <f>SUMIFS(KASA!$I:$I, KASA!$C:$C, $C307, KASA!$B:$B, "MAL ALIMI") + SUMIFS(KASA!$I:$I, KASA!$C:$C, $C307, KASA!$B:$B, "ÜRETİM GİRİŞ")</f>
        <v>56</v>
      </c>
      <c r="E307" s="5" cm="1">
        <f t="array" ref="E307">IFERROR(AVERAGE(IF((KASA!$C$2:$C$9980=$C307)*((KASA!$B$2:$B$9980="MAL ALIMI")+(KASA!$B$2:$B$9980="ÜRETİM GİRİŞ")),KASA!$J$2:$J$9980)),0)</f>
        <v>212.29999999999998</v>
      </c>
      <c r="F307" s="5">
        <f>SUMIFS(KASA!$I:$I, KASA!$C:$C, $C307, KASA!$B:$B, "MAL SATIŞI") + SUMIFS(KASA!$I:$I, KASA!$C:$C, $C307, KASA!$B:$B, "ÜRETİM ÇIKIŞ")</f>
        <v>26</v>
      </c>
      <c r="G307" s="5">
        <f>SUMIFS(KASA!$I:$I, KASA!$C:$C, $C307, KASA!$B:$B, "MAL İADE")</f>
        <v>0</v>
      </c>
      <c r="H307" s="5">
        <f>SUMIFS(KASA!$K:$K, KASA!$C:$C, $C307, KASA!$B:$B, "MAL İADE") + SUMIFS(KASA!$Q:$Q, KASA!$C:$C, $C307, KASA!$B:$B, "MAL İADE")</f>
        <v>0</v>
      </c>
      <c r="I307" s="5">
        <f t="shared" si="52"/>
        <v>26</v>
      </c>
      <c r="J307" s="5">
        <f t="shared" si="53"/>
        <v>5519.7999999999993</v>
      </c>
      <c r="K307" s="5">
        <f>SUMIFS(KASA!$Q:$Q, KASA!$C:$C, $C307, KASA!$B:$B, "MAL SATIŞI") + SUMIFS(KASA!$Q:$Q, KASA!$C:$C, $C307, KASA!$B:$B, "ÜRETİM ÇIKIŞ")</f>
        <v>3190</v>
      </c>
      <c r="L307" s="5">
        <f>SUMIFS(KASA!$K:$K, KASA!$C:$C, $C307, KASA!$B:$B, "MAL SATIŞI") + SUMIFS(KASA!$K:$K, KASA!$C:$C, $C307, KASA!$B:$B, "ÜRETİM ÇIKIŞ")</f>
        <v>4470</v>
      </c>
      <c r="M307" s="5">
        <f t="shared" si="54"/>
        <v>7660</v>
      </c>
      <c r="N307" s="5">
        <f t="shared" si="55"/>
        <v>2140.2000000000007</v>
      </c>
      <c r="O307" s="65">
        <f t="shared" si="56"/>
        <v>0.38773143954491124</v>
      </c>
      <c r="P307" s="5">
        <f t="shared" si="57"/>
        <v>294.61538461538464</v>
      </c>
      <c r="Q307" s="5">
        <f t="shared" si="58"/>
        <v>30</v>
      </c>
      <c r="R307" s="5">
        <f t="shared" si="59"/>
        <v>6368.9999999999991</v>
      </c>
      <c r="S307" s="5">
        <f t="shared" si="60"/>
        <v>11888.8</v>
      </c>
      <c r="T307">
        <v>8</v>
      </c>
      <c r="U307" s="2">
        <f t="shared" si="61"/>
        <v>22</v>
      </c>
      <c r="V307">
        <f>SUMIF(KASA!$C$2:$C$9980, C307, KASA!$T$2:$T$9980)</f>
        <v>30</v>
      </c>
      <c r="W307">
        <f>SUMIF(KASA!$C$2:$C$9980, C307, KASA!$U$2:$U$9980)</f>
        <v>5757</v>
      </c>
      <c r="X307" s="2">
        <f t="shared" si="62"/>
        <v>30</v>
      </c>
      <c r="Y307" s="2">
        <f t="shared" si="63"/>
        <v>5757</v>
      </c>
      <c r="Z307">
        <f>SUMIF(KASA!$C$2:$C$9980, C307, KASA!$V$2:$V$9980)</f>
        <v>11358.400000000001</v>
      </c>
      <c r="AA307">
        <f t="shared" si="64"/>
        <v>5601.4000000000015</v>
      </c>
    </row>
    <row r="308" spans="3:27" x14ac:dyDescent="0.25">
      <c r="C308" s="4" t="s">
        <v>1894</v>
      </c>
      <c r="D308" s="5">
        <f>SUMIFS(KASA!$I:$I, KASA!$C:$C, $C308, KASA!$B:$B, "MAL ALIMI") + SUMIFS(KASA!$I:$I, KASA!$C:$C, $C308, KASA!$B:$B, "ÜRETİM GİRİŞ")</f>
        <v>5</v>
      </c>
      <c r="E308" s="5" cm="1">
        <f t="array" ref="E308">IFERROR(AVERAGE(IF((KASA!$C$2:$C$9980=$C308)*((KASA!$B$2:$B$9980="MAL ALIMI")+(KASA!$B$2:$B$9980="ÜRETİM GİRİŞ")),KASA!$J$2:$J$9980)),0)</f>
        <v>35</v>
      </c>
      <c r="F308" s="5">
        <f>SUMIFS(KASA!$I:$I, KASA!$C:$C, $C308, KASA!$B:$B, "MAL SATIŞI") + SUMIFS(KASA!$I:$I, KASA!$C:$C, $C308, KASA!$B:$B, "ÜRETİM ÇIKIŞ")</f>
        <v>4</v>
      </c>
      <c r="G308" s="5">
        <f>SUMIFS(KASA!$I:$I, KASA!$C:$C, $C308, KASA!$B:$B, "MAL İADE")</f>
        <v>0</v>
      </c>
      <c r="H308" s="5">
        <f>SUMIFS(KASA!$K:$K, KASA!$C:$C, $C308, KASA!$B:$B, "MAL İADE") + SUMIFS(KASA!$Q:$Q, KASA!$C:$C, $C308, KASA!$B:$B, "MAL İADE")</f>
        <v>0</v>
      </c>
      <c r="I308" s="5">
        <f t="shared" si="52"/>
        <v>4</v>
      </c>
      <c r="J308" s="5">
        <f t="shared" si="53"/>
        <v>140</v>
      </c>
      <c r="K308" s="5">
        <f>SUMIFS(KASA!$Q:$Q, KASA!$C:$C, $C308, KASA!$B:$B, "MAL SATIŞI") + SUMIFS(KASA!$Q:$Q, KASA!$C:$C, $C308, KASA!$B:$B, "ÜRETİM ÇIKIŞ")</f>
        <v>245</v>
      </c>
      <c r="L308" s="5">
        <f>SUMIFS(KASA!$K:$K, KASA!$C:$C, $C308, KASA!$B:$B, "MAL SATIŞI") + SUMIFS(KASA!$K:$K, KASA!$C:$C, $C308, KASA!$B:$B, "ÜRETİM ÇIKIŞ")</f>
        <v>0</v>
      </c>
      <c r="M308" s="5">
        <f t="shared" si="54"/>
        <v>245</v>
      </c>
      <c r="N308" s="5">
        <f t="shared" si="55"/>
        <v>105</v>
      </c>
      <c r="O308" s="65">
        <f t="shared" si="56"/>
        <v>0.75</v>
      </c>
      <c r="P308" s="5">
        <f t="shared" si="57"/>
        <v>61.25</v>
      </c>
      <c r="Q308" s="5">
        <f t="shared" si="58"/>
        <v>1</v>
      </c>
      <c r="R308" s="5">
        <f t="shared" si="59"/>
        <v>35</v>
      </c>
      <c r="S308" s="5">
        <f t="shared" si="60"/>
        <v>175</v>
      </c>
      <c r="T308">
        <v>3</v>
      </c>
      <c r="U308" s="2">
        <f t="shared" si="61"/>
        <v>-2</v>
      </c>
      <c r="V308">
        <f>SUMIF(KASA!$C$2:$C$9980, C308, KASA!$T$2:$T$9980)</f>
        <v>1</v>
      </c>
      <c r="W308">
        <f>SUMIF(KASA!$C$2:$C$9980, C308, KASA!$U$2:$U$9980)</f>
        <v>35</v>
      </c>
      <c r="X308" s="2">
        <f t="shared" si="62"/>
        <v>1</v>
      </c>
      <c r="Y308" s="2">
        <f t="shared" si="63"/>
        <v>35</v>
      </c>
      <c r="Z308">
        <f>SUMIF(KASA!$C$2:$C$9980, C308, KASA!$V$2:$V$9980)</f>
        <v>175</v>
      </c>
      <c r="AA308">
        <f t="shared" si="64"/>
        <v>140</v>
      </c>
    </row>
    <row r="309" spans="3:27" x14ac:dyDescent="0.25">
      <c r="C309" s="4" t="s">
        <v>1896</v>
      </c>
      <c r="D309" s="5">
        <f>SUMIFS(KASA!$I:$I, KASA!$C:$C, $C309, KASA!$B:$B, "MAL ALIMI") + SUMIFS(KASA!$I:$I, KASA!$C:$C, $C309, KASA!$B:$B, "ÜRETİM GİRİŞ")</f>
        <v>4</v>
      </c>
      <c r="E309" s="5" cm="1">
        <f t="array" ref="E309">IFERROR(AVERAGE(IF((KASA!$C$2:$C$9980=$C309)*((KASA!$B$2:$B$9980="MAL ALIMI")+(KASA!$B$2:$B$9980="ÜRETİM GİRİŞ")),KASA!$J$2:$J$9980)),0)</f>
        <v>120</v>
      </c>
      <c r="F309" s="5">
        <f>SUMIFS(KASA!$I:$I, KASA!$C:$C, $C309, KASA!$B:$B, "MAL SATIŞI") + SUMIFS(KASA!$I:$I, KASA!$C:$C, $C309, KASA!$B:$B, "ÜRETİM ÇIKIŞ")</f>
        <v>2.3775000000000004</v>
      </c>
      <c r="G309" s="5">
        <f>SUMIFS(KASA!$I:$I, KASA!$C:$C, $C309, KASA!$B:$B, "MAL İADE")</f>
        <v>0</v>
      </c>
      <c r="H309" s="5">
        <f>SUMIFS(KASA!$K:$K, KASA!$C:$C, $C309, KASA!$B:$B, "MAL İADE") + SUMIFS(KASA!$Q:$Q, KASA!$C:$C, $C309, KASA!$B:$B, "MAL İADE")</f>
        <v>0</v>
      </c>
      <c r="I309" s="5">
        <f t="shared" si="52"/>
        <v>2.3775000000000004</v>
      </c>
      <c r="J309" s="5">
        <f t="shared" si="53"/>
        <v>285.30000000000007</v>
      </c>
      <c r="K309" s="5">
        <f>SUMIFS(KASA!$Q:$Q, KASA!$C:$C, $C309, KASA!$B:$B, "MAL SATIŞI") + SUMIFS(KASA!$Q:$Q, KASA!$C:$C, $C309, KASA!$B:$B, "ÜRETİM ÇIKIŞ")</f>
        <v>251</v>
      </c>
      <c r="L309" s="5">
        <f>SUMIFS(KASA!$K:$K, KASA!$C:$C, $C309, KASA!$B:$B, "MAL SATIŞI") + SUMIFS(KASA!$K:$K, KASA!$C:$C, $C309, KASA!$B:$B, "ÜRETİM ÇIKIŞ")</f>
        <v>574.9</v>
      </c>
      <c r="M309" s="5">
        <f t="shared" si="54"/>
        <v>825.9</v>
      </c>
      <c r="N309" s="5">
        <f t="shared" si="55"/>
        <v>540.59999999999991</v>
      </c>
      <c r="O309" s="65">
        <f t="shared" si="56"/>
        <v>1.8948475289169289</v>
      </c>
      <c r="P309" s="5">
        <f t="shared" si="57"/>
        <v>347.38170347003148</v>
      </c>
      <c r="Q309" s="5">
        <f t="shared" si="58"/>
        <v>1.6224999999999996</v>
      </c>
      <c r="R309" s="5">
        <f t="shared" si="59"/>
        <v>194.69999999999996</v>
      </c>
      <c r="S309" s="5">
        <f t="shared" si="60"/>
        <v>480</v>
      </c>
      <c r="U309" s="2">
        <f t="shared" si="61"/>
        <v>1.6224999999999996</v>
      </c>
      <c r="V309">
        <f>SUMIF(KASA!$C$2:$C$9980, C309, KASA!$T$2:$T$9980)</f>
        <v>1.6224999999999996</v>
      </c>
      <c r="W309">
        <f>SUMIF(KASA!$C$2:$C$9980, C309, KASA!$U$2:$U$9980)</f>
        <v>194.69999999999996</v>
      </c>
      <c r="X309" s="2">
        <f t="shared" si="62"/>
        <v>1.6224999999999996</v>
      </c>
      <c r="Y309" s="2">
        <f t="shared" si="63"/>
        <v>194.69999999999996</v>
      </c>
      <c r="Z309">
        <f>SUMIF(KASA!$C$2:$C$9980, C309, KASA!$V$2:$V$9980)</f>
        <v>480</v>
      </c>
      <c r="AA309">
        <f t="shared" si="64"/>
        <v>285.30000000000007</v>
      </c>
    </row>
    <row r="310" spans="3:27" x14ac:dyDescent="0.25">
      <c r="C310" s="4" t="s">
        <v>2117</v>
      </c>
      <c r="D310" s="5">
        <f>SUMIFS(KASA!$I:$I, KASA!$C:$C, $C310, KASA!$B:$B, "MAL ALIMI") + SUMIFS(KASA!$I:$I, KASA!$C:$C, $C310, KASA!$B:$B, "ÜRETİM GİRİŞ")</f>
        <v>80</v>
      </c>
      <c r="E310" s="5" cm="1">
        <f t="array" ref="E310">IFERROR(AVERAGE(IF((KASA!$C$2:$C$9980=$C310)*((KASA!$B$2:$B$9980="MAL ALIMI")+(KASA!$B$2:$B$9980="ÜRETİM GİRİŞ")),KASA!$J$2:$J$9980)),0)</f>
        <v>17.25</v>
      </c>
      <c r="F310" s="5">
        <f>SUMIFS(KASA!$I:$I, KASA!$C:$C, $C310, KASA!$B:$B, "MAL SATIŞI") + SUMIFS(KASA!$I:$I, KASA!$C:$C, $C310, KASA!$B:$B, "ÜRETİM ÇIKIŞ")</f>
        <v>25</v>
      </c>
      <c r="G310" s="5">
        <f>SUMIFS(KASA!$I:$I, KASA!$C:$C, $C310, KASA!$B:$B, "MAL İADE")</f>
        <v>0</v>
      </c>
      <c r="H310" s="5">
        <f>SUMIFS(KASA!$K:$K, KASA!$C:$C, $C310, KASA!$B:$B, "MAL İADE") + SUMIFS(KASA!$Q:$Q, KASA!$C:$C, $C310, KASA!$B:$B, "MAL İADE")</f>
        <v>0</v>
      </c>
      <c r="I310" s="5">
        <f t="shared" si="52"/>
        <v>25</v>
      </c>
      <c r="J310" s="5">
        <f t="shared" si="53"/>
        <v>431.25</v>
      </c>
      <c r="K310" s="5">
        <f>SUMIFS(KASA!$Q:$Q, KASA!$C:$C, $C310, KASA!$B:$B, "MAL SATIŞI") + SUMIFS(KASA!$Q:$Q, KASA!$C:$C, $C310, KASA!$B:$B, "ÜRETİM ÇIKIŞ")</f>
        <v>520</v>
      </c>
      <c r="L310" s="5">
        <f>SUMIFS(KASA!$K:$K, KASA!$C:$C, $C310, KASA!$B:$B, "MAL SATIŞI") + SUMIFS(KASA!$K:$K, KASA!$C:$C, $C310, KASA!$B:$B, "ÜRETİM ÇIKIŞ")</f>
        <v>210</v>
      </c>
      <c r="M310" s="5">
        <f t="shared" si="54"/>
        <v>730</v>
      </c>
      <c r="N310" s="5">
        <f t="shared" si="55"/>
        <v>298.75</v>
      </c>
      <c r="O310" s="65">
        <f t="shared" si="56"/>
        <v>0.69275362318840583</v>
      </c>
      <c r="P310" s="5">
        <f t="shared" si="57"/>
        <v>29.2</v>
      </c>
      <c r="Q310" s="5">
        <f t="shared" si="58"/>
        <v>55</v>
      </c>
      <c r="R310" s="5">
        <f t="shared" si="59"/>
        <v>948.75</v>
      </c>
      <c r="S310" s="5">
        <f t="shared" si="60"/>
        <v>1380</v>
      </c>
      <c r="T310">
        <v>9</v>
      </c>
      <c r="U310" s="2">
        <f t="shared" si="61"/>
        <v>46</v>
      </c>
      <c r="V310">
        <f>SUMIF(KASA!$C$2:$C$9980, C310, KASA!$T$2:$T$9980)</f>
        <v>55</v>
      </c>
      <c r="W310">
        <f>SUMIF(KASA!$C$2:$C$9980, C310, KASA!$U$2:$U$9980)</f>
        <v>990</v>
      </c>
      <c r="X310" s="2">
        <f t="shared" si="62"/>
        <v>55</v>
      </c>
      <c r="Y310" s="2">
        <f t="shared" si="63"/>
        <v>990</v>
      </c>
      <c r="Z310">
        <f>SUMIF(KASA!$C$2:$C$9980, C310, KASA!$V$2:$V$9980)</f>
        <v>1410</v>
      </c>
      <c r="AA310">
        <f t="shared" si="64"/>
        <v>420</v>
      </c>
    </row>
    <row r="311" spans="3:27" x14ac:dyDescent="0.25">
      <c r="C311" s="4" t="s">
        <v>2086</v>
      </c>
      <c r="D311" s="5">
        <f>SUMIFS(KASA!$I:$I, KASA!$C:$C, $C311, KASA!$B:$B, "MAL ALIMI") + SUMIFS(KASA!$I:$I, KASA!$C:$C, $C311, KASA!$B:$B, "ÜRETİM GİRİŞ")</f>
        <v>1</v>
      </c>
      <c r="E311" s="5" cm="1">
        <f t="array" ref="E311">IFERROR(AVERAGE(IF((KASA!$C$2:$C$9980=$C311)*((KASA!$B$2:$B$9980="MAL ALIMI")+(KASA!$B$2:$B$9980="ÜRETİM GİRİŞ")),KASA!$J$2:$J$9980)),0)</f>
        <v>305</v>
      </c>
      <c r="F311" s="5">
        <f>SUMIFS(KASA!$I:$I, KASA!$C:$C, $C311, KASA!$B:$B, "MAL SATIŞI") + SUMIFS(KASA!$I:$I, KASA!$C:$C, $C311, KASA!$B:$B, "ÜRETİM ÇIKIŞ")</f>
        <v>0.89999999999999991</v>
      </c>
      <c r="G311" s="5">
        <f>SUMIFS(KASA!$I:$I, KASA!$C:$C, $C311, KASA!$B:$B, "MAL İADE")</f>
        <v>0</v>
      </c>
      <c r="H311" s="5">
        <f>SUMIFS(KASA!$K:$K, KASA!$C:$C, $C311, KASA!$B:$B, "MAL İADE") + SUMIFS(KASA!$Q:$Q, KASA!$C:$C, $C311, KASA!$B:$B, "MAL İADE")</f>
        <v>0</v>
      </c>
      <c r="I311" s="5">
        <f t="shared" si="52"/>
        <v>0.89999999999999991</v>
      </c>
      <c r="J311" s="5">
        <f t="shared" si="53"/>
        <v>274.5</v>
      </c>
      <c r="K311" s="5">
        <f>SUMIFS(KASA!$Q:$Q, KASA!$C:$C, $C311, KASA!$B:$B, "MAL SATIŞI") + SUMIFS(KASA!$Q:$Q, KASA!$C:$C, $C311, KASA!$B:$B, "ÜRETİM ÇIKIŞ")</f>
        <v>480.5</v>
      </c>
      <c r="L311" s="5">
        <f>SUMIFS(KASA!$K:$K, KASA!$C:$C, $C311, KASA!$B:$B, "MAL SATIŞI") + SUMIFS(KASA!$K:$K, KASA!$C:$C, $C311, KASA!$B:$B, "ÜRETİM ÇIKIŞ")</f>
        <v>270</v>
      </c>
      <c r="M311" s="5">
        <f t="shared" si="54"/>
        <v>750.5</v>
      </c>
      <c r="N311" s="5">
        <f t="shared" si="55"/>
        <v>476</v>
      </c>
      <c r="O311" s="65">
        <f t="shared" si="56"/>
        <v>1.7340619307832423</v>
      </c>
      <c r="P311" s="5">
        <f t="shared" si="57"/>
        <v>833.88888888888903</v>
      </c>
      <c r="Q311" s="5">
        <f t="shared" si="58"/>
        <v>0.10000000000000009</v>
      </c>
      <c r="R311" s="5">
        <f t="shared" si="59"/>
        <v>30.500000000000028</v>
      </c>
      <c r="S311" s="5">
        <f t="shared" si="60"/>
        <v>305</v>
      </c>
      <c r="T311">
        <v>0.1</v>
      </c>
      <c r="U311" s="2">
        <f t="shared" si="61"/>
        <v>0</v>
      </c>
      <c r="V311">
        <f>SUMIF(KASA!$C$2:$C$9980, C311, KASA!$T$2:$T$9980)</f>
        <v>0.10000000000000009</v>
      </c>
      <c r="W311">
        <f>SUMIF(KASA!$C$2:$C$9980, C311, KASA!$U$2:$U$9980)</f>
        <v>30.500000000000028</v>
      </c>
      <c r="X311" s="2">
        <f t="shared" si="62"/>
        <v>0.10000000000000009</v>
      </c>
      <c r="Y311" s="2">
        <f t="shared" si="63"/>
        <v>30.500000000000028</v>
      </c>
      <c r="Z311">
        <f>SUMIF(KASA!$C$2:$C$9980, C311, KASA!$V$2:$V$9980)</f>
        <v>305</v>
      </c>
      <c r="AA311">
        <f t="shared" si="64"/>
        <v>274.5</v>
      </c>
    </row>
    <row r="312" spans="3:27" x14ac:dyDescent="0.25">
      <c r="C312" s="4" t="s">
        <v>2087</v>
      </c>
      <c r="D312" s="5">
        <f>SUMIFS(KASA!$I:$I, KASA!$C:$C, $C312, KASA!$B:$B, "MAL ALIMI") + SUMIFS(KASA!$I:$I, KASA!$C:$C, $C312, KASA!$B:$B, "ÜRETİM GİRİŞ")</f>
        <v>3</v>
      </c>
      <c r="E312" s="5" cm="1">
        <f t="array" ref="E312">IFERROR(AVERAGE(IF((KASA!$C$2:$C$9980=$C312)*((KASA!$B$2:$B$9980="MAL ALIMI")+(KASA!$B$2:$B$9980="ÜRETİM GİRİŞ")),KASA!$J$2:$J$9980)),0)</f>
        <v>270</v>
      </c>
      <c r="F312" s="5">
        <f>SUMIFS(KASA!$I:$I, KASA!$C:$C, $C312, KASA!$B:$B, "MAL SATIŞI") + SUMIFS(KASA!$I:$I, KASA!$C:$C, $C312, KASA!$B:$B, "ÜRETİM ÇIKIŞ")</f>
        <v>3.1948837209302328</v>
      </c>
      <c r="G312" s="5">
        <f>SUMIFS(KASA!$I:$I, KASA!$C:$C, $C312, KASA!$B:$B, "MAL İADE")</f>
        <v>0</v>
      </c>
      <c r="H312" s="5">
        <f>SUMIFS(KASA!$K:$K, KASA!$C:$C, $C312, KASA!$B:$B, "MAL İADE") + SUMIFS(KASA!$Q:$Q, KASA!$C:$C, $C312, KASA!$B:$B, "MAL İADE")</f>
        <v>0</v>
      </c>
      <c r="I312" s="5">
        <f t="shared" si="52"/>
        <v>3.1948837209302328</v>
      </c>
      <c r="J312" s="5">
        <f t="shared" si="53"/>
        <v>862.61860465116285</v>
      </c>
      <c r="K312" s="5">
        <f>SUMIFS(KASA!$Q:$Q, KASA!$C:$C, $C312, KASA!$B:$B, "MAL SATIŞI") + SUMIFS(KASA!$Q:$Q, KASA!$C:$C, $C312, KASA!$B:$B, "ÜRETİM ÇIKIŞ")</f>
        <v>741.86511627906975</v>
      </c>
      <c r="L312" s="5">
        <f>SUMIFS(KASA!$K:$K, KASA!$C:$C, $C312, KASA!$B:$B, "MAL SATIŞI") + SUMIFS(KASA!$K:$K, KASA!$C:$C, $C312, KASA!$B:$B, "ÜRETİM ÇIKIŞ")</f>
        <v>460.20000000000005</v>
      </c>
      <c r="M312" s="5">
        <f t="shared" si="54"/>
        <v>1202.0651162790698</v>
      </c>
      <c r="N312" s="5">
        <f t="shared" si="55"/>
        <v>339.44651162790694</v>
      </c>
      <c r="O312" s="65">
        <f t="shared" si="56"/>
        <v>0.3935070607075265</v>
      </c>
      <c r="P312" s="5">
        <f t="shared" si="57"/>
        <v>376.24690639103216</v>
      </c>
      <c r="Q312" s="5">
        <f t="shared" si="58"/>
        <v>-0.19488372093023276</v>
      </c>
      <c r="R312" s="5">
        <f t="shared" si="59"/>
        <v>-52.618604651162848</v>
      </c>
      <c r="S312" s="5">
        <f t="shared" si="60"/>
        <v>810</v>
      </c>
      <c r="T312">
        <v>0.28000000000000003</v>
      </c>
      <c r="U312" s="2">
        <f t="shared" si="61"/>
        <v>-0.47488372093023279</v>
      </c>
      <c r="V312">
        <f>SUMIF(KASA!$C$2:$C$9980, C312, KASA!$T$2:$T$9980)</f>
        <v>0</v>
      </c>
      <c r="W312">
        <f>SUMIF(KASA!$C$2:$C$9980, C312, KASA!$U$2:$U$9980)</f>
        <v>0</v>
      </c>
      <c r="X312" s="2">
        <f t="shared" si="62"/>
        <v>0</v>
      </c>
      <c r="Y312" s="2">
        <f t="shared" si="63"/>
        <v>0</v>
      </c>
      <c r="Z312">
        <f>SUMIF(KASA!$C$2:$C$9980, C312, KASA!$V$2:$V$9980)</f>
        <v>810</v>
      </c>
      <c r="AA312">
        <f t="shared" si="64"/>
        <v>810</v>
      </c>
    </row>
    <row r="313" spans="3:27" x14ac:dyDescent="0.25">
      <c r="C313" s="4" t="s">
        <v>2118</v>
      </c>
      <c r="D313" s="5">
        <f>SUMIFS(KASA!$I:$I, KASA!$C:$C, $C313, KASA!$B:$B, "MAL ALIMI") + SUMIFS(KASA!$I:$I, KASA!$C:$C, $C313, KASA!$B:$B, "ÜRETİM GİRİŞ")</f>
        <v>6</v>
      </c>
      <c r="E313" s="5" cm="1">
        <f t="array" ref="E313">IFERROR(AVERAGE(IF((KASA!$C$2:$C$9980=$C313)*((KASA!$B$2:$B$9980="MAL ALIMI")+(KASA!$B$2:$B$9980="ÜRETİM GİRİŞ")),KASA!$J$2:$J$9980)),0)</f>
        <v>95</v>
      </c>
      <c r="F313" s="5">
        <f>SUMIFS(KASA!$I:$I, KASA!$C:$C, $C313, KASA!$B:$B, "MAL SATIŞI") + SUMIFS(KASA!$I:$I, KASA!$C:$C, $C313, KASA!$B:$B, "ÜRETİM ÇIKIŞ")</f>
        <v>1</v>
      </c>
      <c r="G313" s="5">
        <f>SUMIFS(KASA!$I:$I, KASA!$C:$C, $C313, KASA!$B:$B, "MAL İADE")</f>
        <v>0</v>
      </c>
      <c r="H313" s="5">
        <f>SUMIFS(KASA!$K:$K, KASA!$C:$C, $C313, KASA!$B:$B, "MAL İADE") + SUMIFS(KASA!$Q:$Q, KASA!$C:$C, $C313, KASA!$B:$B, "MAL İADE")</f>
        <v>0</v>
      </c>
      <c r="I313" s="5">
        <f t="shared" si="52"/>
        <v>1</v>
      </c>
      <c r="J313" s="5">
        <f t="shared" si="53"/>
        <v>95</v>
      </c>
      <c r="K313" s="5">
        <f>SUMIFS(KASA!$Q:$Q, KASA!$C:$C, $C313, KASA!$B:$B, "MAL SATIŞI") + SUMIFS(KASA!$Q:$Q, KASA!$C:$C, $C313, KASA!$B:$B, "ÜRETİM ÇIKIŞ")</f>
        <v>150</v>
      </c>
      <c r="L313" s="5">
        <f>SUMIFS(KASA!$K:$K, KASA!$C:$C, $C313, KASA!$B:$B, "MAL SATIŞI") + SUMIFS(KASA!$K:$K, KASA!$C:$C, $C313, KASA!$B:$B, "ÜRETİM ÇIKIŞ")</f>
        <v>0</v>
      </c>
      <c r="M313" s="5">
        <f t="shared" si="54"/>
        <v>150</v>
      </c>
      <c r="N313" s="5">
        <f t="shared" si="55"/>
        <v>55</v>
      </c>
      <c r="O313" s="65">
        <f t="shared" si="56"/>
        <v>0.57894736842105265</v>
      </c>
      <c r="P313" s="5">
        <f t="shared" si="57"/>
        <v>150</v>
      </c>
      <c r="Q313" s="5">
        <f t="shared" si="58"/>
        <v>5</v>
      </c>
      <c r="R313" s="5">
        <f t="shared" si="59"/>
        <v>475</v>
      </c>
      <c r="S313" s="5">
        <f t="shared" si="60"/>
        <v>570</v>
      </c>
      <c r="T313">
        <v>6</v>
      </c>
      <c r="U313" s="2">
        <f t="shared" si="61"/>
        <v>-1</v>
      </c>
      <c r="V313">
        <f>SUMIF(KASA!$C$2:$C$9980, C313, KASA!$T$2:$T$9980)</f>
        <v>5</v>
      </c>
      <c r="W313">
        <f>SUMIF(KASA!$C$2:$C$9980, C313, KASA!$U$2:$U$9980)</f>
        <v>475</v>
      </c>
      <c r="X313" s="2">
        <f t="shared" si="62"/>
        <v>5</v>
      </c>
      <c r="Y313" s="2">
        <f t="shared" si="63"/>
        <v>475</v>
      </c>
      <c r="Z313">
        <f>SUMIF(KASA!$C$2:$C$9980, C313, KASA!$V$2:$V$9980)</f>
        <v>570</v>
      </c>
      <c r="AA313">
        <f t="shared" si="64"/>
        <v>95</v>
      </c>
    </row>
    <row r="314" spans="3:27" x14ac:dyDescent="0.25">
      <c r="C314" s="4" t="s">
        <v>2119</v>
      </c>
      <c r="D314" s="5">
        <f>SUMIFS(KASA!$I:$I, KASA!$C:$C, $C314, KASA!$B:$B, "MAL ALIMI") + SUMIFS(KASA!$I:$I, KASA!$C:$C, $C314, KASA!$B:$B, "ÜRETİM GİRİŞ")</f>
        <v>3</v>
      </c>
      <c r="E314" s="5" cm="1">
        <f t="array" ref="E314">IFERROR(AVERAGE(IF((KASA!$C$2:$C$9980=$C314)*((KASA!$B$2:$B$9980="MAL ALIMI")+(KASA!$B$2:$B$9980="ÜRETİM GİRİŞ")),KASA!$J$2:$J$9980)),0)</f>
        <v>130</v>
      </c>
      <c r="F314" s="5">
        <f>SUMIFS(KASA!$I:$I, KASA!$C:$C, $C314, KASA!$B:$B, "MAL SATIŞI") + SUMIFS(KASA!$I:$I, KASA!$C:$C, $C314, KASA!$B:$B, "ÜRETİM ÇIKIŞ")</f>
        <v>0</v>
      </c>
      <c r="G314" s="5">
        <f>SUMIFS(KASA!$I:$I, KASA!$C:$C, $C314, KASA!$B:$B, "MAL İADE")</f>
        <v>0</v>
      </c>
      <c r="H314" s="5">
        <f>SUMIFS(KASA!$K:$K, KASA!$C:$C, $C314, KASA!$B:$B, "MAL İADE") + SUMIFS(KASA!$Q:$Q, KASA!$C:$C, $C314, KASA!$B:$B, "MAL İADE")</f>
        <v>0</v>
      </c>
      <c r="I314" s="5">
        <f t="shared" si="52"/>
        <v>0</v>
      </c>
      <c r="J314" s="5">
        <f t="shared" si="53"/>
        <v>0</v>
      </c>
      <c r="K314" s="5">
        <f>SUMIFS(KASA!$Q:$Q, KASA!$C:$C, $C314, KASA!$B:$B, "MAL SATIŞI") + SUMIFS(KASA!$Q:$Q, KASA!$C:$C, $C314, KASA!$B:$B, "ÜRETİM ÇIKIŞ")</f>
        <v>0</v>
      </c>
      <c r="L314" s="5">
        <f>SUMIFS(KASA!$K:$K, KASA!$C:$C, $C314, KASA!$B:$B, "MAL SATIŞI") + SUMIFS(KASA!$K:$K, KASA!$C:$C, $C314, KASA!$B:$B, "ÜRETİM ÇIKIŞ")</f>
        <v>0</v>
      </c>
      <c r="M314" s="5">
        <f t="shared" si="54"/>
        <v>0</v>
      </c>
      <c r="N314" s="5">
        <f t="shared" si="55"/>
        <v>0</v>
      </c>
      <c r="O314" s="65">
        <f t="shared" si="56"/>
        <v>0</v>
      </c>
      <c r="P314" s="5" t="e">
        <f t="shared" si="57"/>
        <v>#DIV/0!</v>
      </c>
      <c r="Q314" s="5">
        <f t="shared" si="58"/>
        <v>3</v>
      </c>
      <c r="R314" s="5">
        <f t="shared" si="59"/>
        <v>390</v>
      </c>
      <c r="S314" s="5">
        <f t="shared" si="60"/>
        <v>390</v>
      </c>
      <c r="T314">
        <v>3</v>
      </c>
      <c r="U314" s="2">
        <f t="shared" si="61"/>
        <v>0</v>
      </c>
      <c r="V314">
        <f>SUMIF(KASA!$C$2:$C$9980, C314, KASA!$T$2:$T$9980)</f>
        <v>3</v>
      </c>
      <c r="W314">
        <f>SUMIF(KASA!$C$2:$C$9980, C314, KASA!$U$2:$U$9980)</f>
        <v>390</v>
      </c>
      <c r="X314" s="2">
        <f t="shared" si="62"/>
        <v>3</v>
      </c>
      <c r="Y314" s="2">
        <f t="shared" si="63"/>
        <v>390</v>
      </c>
      <c r="Z314">
        <f>SUMIF(KASA!$C$2:$C$9980, C314, KASA!$V$2:$V$9980)</f>
        <v>390</v>
      </c>
      <c r="AA314">
        <f t="shared" si="64"/>
        <v>0</v>
      </c>
    </row>
    <row r="315" spans="3:27" x14ac:dyDescent="0.25">
      <c r="C315" s="70" t="s">
        <v>2120</v>
      </c>
      <c r="D315" s="5">
        <f>SUMIFS(KASA!$I:$I, KASA!$C:$C, $C315, KASA!$B:$B, "MAL ALIMI") + SUMIFS(KASA!$I:$I, KASA!$C:$C, $C315, KASA!$B:$B, "ÜRETİM GİRİŞ")</f>
        <v>30</v>
      </c>
      <c r="E315" s="5" cm="1">
        <f t="array" ref="E315">IFERROR(AVERAGE(IF((KASA!$C$2:$C$9980=$C315)*((KASA!$B$2:$B$9980="MAL ALIMI")+(KASA!$B$2:$B$9980="ÜRETİM GİRİŞ")),KASA!$J$2:$J$9980)),0)</f>
        <v>31</v>
      </c>
      <c r="F315" s="5">
        <f>SUMIFS(KASA!$I:$I, KASA!$C:$C, $C315, KASA!$B:$B, "MAL SATIŞI") + SUMIFS(KASA!$I:$I, KASA!$C:$C, $C315, KASA!$B:$B, "ÜRETİM ÇIKIŞ")</f>
        <v>24.096923076923076</v>
      </c>
      <c r="G315" s="5">
        <f>SUMIFS(KASA!$I:$I, KASA!$C:$C, $C315, KASA!$B:$B, "MAL İADE")</f>
        <v>0</v>
      </c>
      <c r="H315" s="5">
        <f>SUMIFS(KASA!$K:$K, KASA!$C:$C, $C315, KASA!$B:$B, "MAL İADE") + SUMIFS(KASA!$Q:$Q, KASA!$C:$C, $C315, KASA!$B:$B, "MAL İADE")</f>
        <v>0</v>
      </c>
      <c r="I315" s="5">
        <f t="shared" si="52"/>
        <v>24.096923076923076</v>
      </c>
      <c r="J315" s="5">
        <f t="shared" si="53"/>
        <v>747.00461538461536</v>
      </c>
      <c r="K315" s="5">
        <f>SUMIFS(KASA!$Q:$Q, KASA!$C:$C, $C315, KASA!$B:$B, "MAL SATIŞI") + SUMIFS(KASA!$Q:$Q, KASA!$C:$C, $C315, KASA!$B:$B, "ÜRETİM ÇIKIŞ")</f>
        <v>1093.5806153846152</v>
      </c>
      <c r="L315" s="5">
        <f>SUMIFS(KASA!$K:$K, KASA!$C:$C, $C315, KASA!$B:$B, "MAL SATIŞI") + SUMIFS(KASA!$K:$K, KASA!$C:$C, $C315, KASA!$B:$B, "ÜRETİM ÇIKIŞ")</f>
        <v>352.03899999999999</v>
      </c>
      <c r="M315" s="5">
        <f t="shared" si="54"/>
        <v>1445.6196153846151</v>
      </c>
      <c r="N315" s="5">
        <f t="shared" si="55"/>
        <v>698.61499999999978</v>
      </c>
      <c r="O315" s="65">
        <f t="shared" si="56"/>
        <v>0.93522179865019861</v>
      </c>
      <c r="P315" s="5">
        <f t="shared" si="57"/>
        <v>59.991875758156155</v>
      </c>
      <c r="Q315" s="5">
        <f t="shared" si="58"/>
        <v>5.9030769230769238</v>
      </c>
      <c r="R315" s="5">
        <f t="shared" si="59"/>
        <v>182.99538461538464</v>
      </c>
      <c r="S315" s="5">
        <f t="shared" si="60"/>
        <v>930</v>
      </c>
      <c r="T315">
        <v>18.454000000000001</v>
      </c>
      <c r="U315" s="2">
        <f t="shared" si="61"/>
        <v>-12.550923076923077</v>
      </c>
      <c r="V315">
        <f>SUMIF(KASA!$C$2:$C$9980, C315, KASA!$T$2:$T$9980)</f>
        <v>5.9030769230769238</v>
      </c>
      <c r="W315">
        <f>SUMIF(KASA!$C$2:$C$9980, C315, KASA!$U$2:$U$9980)</f>
        <v>182.99538461538464</v>
      </c>
      <c r="X315" s="2">
        <f t="shared" si="62"/>
        <v>5.9030769230769238</v>
      </c>
      <c r="Y315" s="2">
        <f t="shared" si="63"/>
        <v>182.99538461538464</v>
      </c>
      <c r="Z315">
        <f>SUMIF(KASA!$C$2:$C$9980, C315, KASA!$V$2:$V$9980)</f>
        <v>930</v>
      </c>
      <c r="AA315">
        <f t="shared" si="64"/>
        <v>747.00461538461536</v>
      </c>
    </row>
    <row r="316" spans="3:27" x14ac:dyDescent="0.25">
      <c r="C316" s="70" t="s">
        <v>2121</v>
      </c>
      <c r="D316" s="5">
        <f>SUMIFS(KASA!$I:$I, KASA!$C:$C, $C316, KASA!$B:$B, "MAL ALIMI") + SUMIFS(KASA!$I:$I, KASA!$C:$C, $C316, KASA!$B:$B, "ÜRETİM GİRİŞ")</f>
        <v>20.2</v>
      </c>
      <c r="E316" s="5" cm="1">
        <f t="array" ref="E316">IFERROR(AVERAGE(IF((KASA!$C$2:$C$9980=$C316)*((KASA!$B$2:$B$9980="MAL ALIMI")+(KASA!$B$2:$B$9980="ÜRETİM GİRİŞ")),KASA!$J$2:$J$9980)),0)</f>
        <v>32</v>
      </c>
      <c r="F316" s="5">
        <f>SUMIFS(KASA!$I:$I, KASA!$C:$C, $C316, KASA!$B:$B, "MAL SATIŞI") + SUMIFS(KASA!$I:$I, KASA!$C:$C, $C316, KASA!$B:$B, "ÜRETİM ÇIKIŞ")</f>
        <v>3.8384615384615386</v>
      </c>
      <c r="G316" s="5">
        <f>SUMIFS(KASA!$I:$I, KASA!$C:$C, $C316, KASA!$B:$B, "MAL İADE")</f>
        <v>0</v>
      </c>
      <c r="H316" s="5">
        <f>SUMIFS(KASA!$K:$K, KASA!$C:$C, $C316, KASA!$B:$B, "MAL İADE") + SUMIFS(KASA!$Q:$Q, KASA!$C:$C, $C316, KASA!$B:$B, "MAL İADE")</f>
        <v>0</v>
      </c>
      <c r="I316" s="5">
        <f t="shared" si="52"/>
        <v>3.8384615384615386</v>
      </c>
      <c r="J316" s="5">
        <f t="shared" si="53"/>
        <v>122.83076923076923</v>
      </c>
      <c r="K316" s="5">
        <f>SUMIFS(KASA!$Q:$Q, KASA!$C:$C, $C316, KASA!$B:$B, "MAL SATIŞI") + SUMIFS(KASA!$Q:$Q, KASA!$C:$C, $C316, KASA!$B:$B, "ÜRETİM ÇIKIŞ")</f>
        <v>233</v>
      </c>
      <c r="L316" s="5">
        <f>SUMIFS(KASA!$K:$K, KASA!$C:$C, $C316, KASA!$B:$B, "MAL SATIŞI") + SUMIFS(KASA!$K:$K, KASA!$C:$C, $C316, KASA!$B:$B, "ÜRETİM ÇIKIŞ")</f>
        <v>14</v>
      </c>
      <c r="M316" s="5">
        <f t="shared" si="54"/>
        <v>247</v>
      </c>
      <c r="N316" s="5">
        <f t="shared" si="55"/>
        <v>124.16923076923077</v>
      </c>
      <c r="O316" s="65">
        <f t="shared" si="56"/>
        <v>1.0108967935871742</v>
      </c>
      <c r="P316" s="5">
        <f t="shared" si="57"/>
        <v>64.348697394789582</v>
      </c>
      <c r="Q316" s="5">
        <f t="shared" si="58"/>
        <v>16.361538461538462</v>
      </c>
      <c r="R316" s="5">
        <f t="shared" si="59"/>
        <v>523.56923076923078</v>
      </c>
      <c r="S316" s="5">
        <f t="shared" si="60"/>
        <v>646.4</v>
      </c>
      <c r="T316">
        <v>18</v>
      </c>
      <c r="U316" s="2">
        <f t="shared" si="61"/>
        <v>-1.638461538461538</v>
      </c>
      <c r="V316">
        <f>SUMIF(KASA!$C$2:$C$9980, C316, KASA!$T$2:$T$9980)</f>
        <v>16.361538461538462</v>
      </c>
      <c r="W316">
        <f>SUMIF(KASA!$C$2:$C$9980, C316, KASA!$U$2:$U$9980)</f>
        <v>523.56923076923078</v>
      </c>
      <c r="X316" s="2">
        <f t="shared" si="62"/>
        <v>16.361538461538462</v>
      </c>
      <c r="Y316" s="2">
        <f t="shared" si="63"/>
        <v>523.56923076923078</v>
      </c>
      <c r="Z316">
        <f>SUMIF(KASA!$C$2:$C$9980, C316, KASA!$V$2:$V$9980)</f>
        <v>646.4</v>
      </c>
      <c r="AA316">
        <f t="shared" si="64"/>
        <v>122.83076923076919</v>
      </c>
    </row>
    <row r="317" spans="3:27" x14ac:dyDescent="0.25">
      <c r="C317" s="70" t="s">
        <v>2281</v>
      </c>
      <c r="D317" s="5">
        <f>SUMIFS(KASA!$I:$I, KASA!$C:$C, $C317, KASA!$B:$B, "MAL ALIMI") + SUMIFS(KASA!$I:$I, KASA!$C:$C, $C317, KASA!$B:$B, "ÜRETİM GİRİŞ")</f>
        <v>1</v>
      </c>
      <c r="E317" s="5" cm="1">
        <f t="array" ref="E317">IFERROR(AVERAGE(IF((KASA!$C$2:$C$9980=$C317)*((KASA!$B$2:$B$9980="MAL ALIMI")+(KASA!$B$2:$B$9980="ÜRETİM GİRİŞ")),KASA!$J$2:$J$9980)),0)</f>
        <v>2200</v>
      </c>
      <c r="F317" s="5">
        <f>SUMIFS(KASA!$I:$I, KASA!$C:$C, $C317, KASA!$B:$B, "MAL SATIŞI") + SUMIFS(KASA!$I:$I, KASA!$C:$C, $C317, KASA!$B:$B, "ÜRETİM ÇIKIŞ")</f>
        <v>0.65999999999999992</v>
      </c>
      <c r="G317" s="5">
        <f>SUMIFS(KASA!$I:$I, KASA!$C:$C, $C317, KASA!$B:$B, "MAL İADE")</f>
        <v>0</v>
      </c>
      <c r="H317" s="5">
        <f>SUMIFS(KASA!$K:$K, KASA!$C:$C, $C317, KASA!$B:$B, "MAL İADE") + SUMIFS(KASA!$Q:$Q, KASA!$C:$C, $C317, KASA!$B:$B, "MAL İADE")</f>
        <v>0</v>
      </c>
      <c r="I317" s="5">
        <f t="shared" si="52"/>
        <v>0.65999999999999992</v>
      </c>
      <c r="J317" s="5">
        <f t="shared" si="53"/>
        <v>1451.9999999999998</v>
      </c>
      <c r="K317" s="5">
        <f>SUMIFS(KASA!$Q:$Q, KASA!$C:$C, $C317, KASA!$B:$B, "MAL SATIŞI") + SUMIFS(KASA!$Q:$Q, KASA!$C:$C, $C317, KASA!$B:$B, "ÜRETİM ÇIKIŞ")</f>
        <v>0</v>
      </c>
      <c r="L317" s="5">
        <f>SUMIFS(KASA!$K:$K, KASA!$C:$C, $C317, KASA!$B:$B, "MAL SATIŞI") + SUMIFS(KASA!$K:$K, KASA!$C:$C, $C317, KASA!$B:$B, "ÜRETİM ÇIKIŞ")</f>
        <v>1694</v>
      </c>
      <c r="M317" s="5">
        <f t="shared" si="54"/>
        <v>1694</v>
      </c>
      <c r="N317" s="5">
        <f t="shared" si="55"/>
        <v>242.00000000000023</v>
      </c>
      <c r="O317" s="65">
        <f t="shared" si="56"/>
        <v>0.16666666666666685</v>
      </c>
      <c r="P317" s="5">
        <f t="shared" si="57"/>
        <v>2566.666666666667</v>
      </c>
      <c r="Q317" s="5">
        <f t="shared" si="58"/>
        <v>0.34000000000000008</v>
      </c>
      <c r="R317" s="5">
        <f t="shared" si="59"/>
        <v>748.00000000000023</v>
      </c>
      <c r="S317" s="5">
        <f t="shared" si="60"/>
        <v>2200</v>
      </c>
      <c r="T317">
        <v>0.54</v>
      </c>
      <c r="U317" s="2">
        <f t="shared" si="61"/>
        <v>-0.19999999999999996</v>
      </c>
      <c r="V317">
        <f>SUMIF(KASA!$C$2:$C$9980, C317, KASA!$T$2:$T$9980)</f>
        <v>0.34000000000000008</v>
      </c>
      <c r="W317">
        <f>SUMIF(KASA!$C$2:$C$9980, C317, KASA!$U$2:$U$9980)</f>
        <v>748.00000000000023</v>
      </c>
      <c r="X317" s="2">
        <f t="shared" si="62"/>
        <v>0.34000000000000008</v>
      </c>
      <c r="Y317" s="2">
        <f t="shared" si="63"/>
        <v>748.00000000000023</v>
      </c>
      <c r="Z317">
        <f>SUMIF(KASA!$C$2:$C$9980, C317, KASA!$V$2:$V$9980)</f>
        <v>2200</v>
      </c>
      <c r="AA317">
        <f t="shared" si="64"/>
        <v>1451.9999999999998</v>
      </c>
    </row>
    <row r="318" spans="3:27" x14ac:dyDescent="0.25">
      <c r="C318" s="70" t="s">
        <v>2282</v>
      </c>
      <c r="D318" s="5">
        <f>SUMIFS(KASA!$I:$I, KASA!$C:$C, $C318, KASA!$B:$B, "MAL ALIMI") + SUMIFS(KASA!$I:$I, KASA!$C:$C, $C318, KASA!$B:$B, "ÜRETİM GİRİŞ")</f>
        <v>1</v>
      </c>
      <c r="E318" s="5" cm="1">
        <f t="array" ref="E318">IFERROR(AVERAGE(IF((KASA!$C$2:$C$9980=$C318)*((KASA!$B$2:$B$9980="MAL ALIMI")+(KASA!$B$2:$B$9980="ÜRETİM GİRİŞ")),KASA!$J$2:$J$9980)),0)</f>
        <v>2250</v>
      </c>
      <c r="F318" s="5">
        <f>SUMIFS(KASA!$I:$I, KASA!$C:$C, $C318, KASA!$B:$B, "MAL SATIŞI") + SUMIFS(KASA!$I:$I, KASA!$C:$C, $C318, KASA!$B:$B, "ÜRETİM ÇIKIŞ")</f>
        <v>1.0037241379310344</v>
      </c>
      <c r="G318" s="5">
        <f>SUMIFS(KASA!$I:$I, KASA!$C:$C, $C318, KASA!$B:$B, "MAL İADE")</f>
        <v>0</v>
      </c>
      <c r="H318" s="5">
        <f>SUMIFS(KASA!$K:$K, KASA!$C:$C, $C318, KASA!$B:$B, "MAL İADE") + SUMIFS(KASA!$Q:$Q, KASA!$C:$C, $C318, KASA!$B:$B, "MAL İADE")</f>
        <v>0</v>
      </c>
      <c r="I318" s="5">
        <f t="shared" si="52"/>
        <v>1.0037241379310344</v>
      </c>
      <c r="J318" s="5">
        <f t="shared" si="53"/>
        <v>2258.3793103448274</v>
      </c>
      <c r="K318" s="5">
        <f>SUMIFS(KASA!$Q:$Q, KASA!$C:$C, $C318, KASA!$B:$B, "MAL SATIŞI") + SUMIFS(KASA!$Q:$Q, KASA!$C:$C, $C318, KASA!$B:$B, "ÜRETİM ÇIKIŞ")</f>
        <v>936.00000000000011</v>
      </c>
      <c r="L318" s="5">
        <f>SUMIFS(KASA!$K:$K, KASA!$C:$C, $C318, KASA!$B:$B, "MAL SATIŞI") + SUMIFS(KASA!$K:$K, KASA!$C:$C, $C318, KASA!$B:$B, "ÜRETİM ÇIKIŞ")</f>
        <v>1670.8000000000002</v>
      </c>
      <c r="M318" s="5">
        <f t="shared" si="54"/>
        <v>2606.8000000000002</v>
      </c>
      <c r="N318" s="5">
        <f t="shared" si="55"/>
        <v>348.42068965517274</v>
      </c>
      <c r="O318" s="65">
        <f t="shared" si="56"/>
        <v>0.15427908326080664</v>
      </c>
      <c r="P318" s="5">
        <f t="shared" si="57"/>
        <v>2597.1279373368147</v>
      </c>
      <c r="Q318" s="5">
        <f t="shared" si="58"/>
        <v>-3.7241379310344325E-3</v>
      </c>
      <c r="R318" s="5">
        <f t="shared" si="59"/>
        <v>-8.3793103448274735</v>
      </c>
      <c r="S318" s="5">
        <f t="shared" si="60"/>
        <v>2250</v>
      </c>
      <c r="T318">
        <v>0.7</v>
      </c>
      <c r="U318" s="2">
        <f t="shared" si="61"/>
        <v>-0.70372413793103439</v>
      </c>
      <c r="V318">
        <f>SUMIF(KASA!$C$2:$C$9980, C318, KASA!$T$2:$T$9980)</f>
        <v>0</v>
      </c>
      <c r="W318">
        <f>SUMIF(KASA!$C$2:$C$9980, C318, KASA!$U$2:$U$9980)</f>
        <v>0</v>
      </c>
      <c r="X318" s="2">
        <f t="shared" si="62"/>
        <v>0</v>
      </c>
      <c r="Y318" s="2">
        <f t="shared" si="63"/>
        <v>0</v>
      </c>
      <c r="Z318">
        <f>SUMIF(KASA!$C$2:$C$9980, C318, KASA!$V$2:$V$9980)</f>
        <v>2250</v>
      </c>
      <c r="AA318">
        <f t="shared" si="64"/>
        <v>2250</v>
      </c>
    </row>
    <row r="319" spans="3:27" x14ac:dyDescent="0.25">
      <c r="C319" s="4" t="s">
        <v>2283</v>
      </c>
      <c r="D319" s="5">
        <f>SUMIFS(KASA!$I:$I, KASA!$C:$C, $C319, KASA!$B:$B, "MAL ALIMI") + SUMIFS(KASA!$I:$I, KASA!$C:$C, $C319, KASA!$B:$B, "ÜRETİM GİRİŞ")</f>
        <v>1</v>
      </c>
      <c r="E319" s="5" cm="1">
        <f t="array" ref="E319">IFERROR(AVERAGE(IF((KASA!$C$2:$C$9980=$C319)*((KASA!$B$2:$B$9980="MAL ALIMI")+(KASA!$B$2:$B$9980="ÜRETİM GİRİŞ")),KASA!$J$2:$J$9980)),0)</f>
        <v>260</v>
      </c>
      <c r="F319" s="5">
        <f>SUMIFS(KASA!$I:$I, KASA!$C:$C, $C319, KASA!$B:$B, "MAL SATIŞI") + SUMIFS(KASA!$I:$I, KASA!$C:$C, $C319, KASA!$B:$B, "ÜRETİM ÇIKIŞ")</f>
        <v>1</v>
      </c>
      <c r="G319" s="5">
        <f>SUMIFS(KASA!$I:$I, KASA!$C:$C, $C319, KASA!$B:$B, "MAL İADE")</f>
        <v>0</v>
      </c>
      <c r="H319" s="5">
        <f>SUMIFS(KASA!$K:$K, KASA!$C:$C, $C319, KASA!$B:$B, "MAL İADE") + SUMIFS(KASA!$Q:$Q, KASA!$C:$C, $C319, KASA!$B:$B, "MAL İADE")</f>
        <v>0</v>
      </c>
      <c r="I319" s="5">
        <f t="shared" si="52"/>
        <v>1</v>
      </c>
      <c r="J319" s="5">
        <f t="shared" si="53"/>
        <v>260</v>
      </c>
      <c r="K319" s="5">
        <f>SUMIFS(KASA!$Q:$Q, KASA!$C:$C, $C319, KASA!$B:$B, "MAL SATIŞI") + SUMIFS(KASA!$Q:$Q, KASA!$C:$C, $C319, KASA!$B:$B, "ÜRETİM ÇIKIŞ")</f>
        <v>390</v>
      </c>
      <c r="L319" s="5">
        <f>SUMIFS(KASA!$K:$K, KASA!$C:$C, $C319, KASA!$B:$B, "MAL SATIŞI") + SUMIFS(KASA!$K:$K, KASA!$C:$C, $C319, KASA!$B:$B, "ÜRETİM ÇIKIŞ")</f>
        <v>0</v>
      </c>
      <c r="M319" s="5">
        <f t="shared" si="54"/>
        <v>390</v>
      </c>
      <c r="N319" s="5">
        <f t="shared" si="55"/>
        <v>130</v>
      </c>
      <c r="O319" s="65">
        <f t="shared" si="56"/>
        <v>0.5</v>
      </c>
      <c r="P319" s="5">
        <f t="shared" si="57"/>
        <v>390</v>
      </c>
      <c r="Q319" s="5">
        <f t="shared" si="58"/>
        <v>0</v>
      </c>
      <c r="R319" s="5">
        <f t="shared" si="59"/>
        <v>0</v>
      </c>
      <c r="S319" s="5">
        <f t="shared" si="60"/>
        <v>260</v>
      </c>
      <c r="T319">
        <v>0</v>
      </c>
      <c r="U319" s="2">
        <f t="shared" si="61"/>
        <v>0</v>
      </c>
      <c r="V319">
        <f>SUMIF(KASA!$C$2:$C$9980, C319, KASA!$T$2:$T$9980)</f>
        <v>0</v>
      </c>
      <c r="W319">
        <f>SUMIF(KASA!$C$2:$C$9980, C319, KASA!$U$2:$U$9980)</f>
        <v>0</v>
      </c>
      <c r="X319" s="2">
        <f t="shared" si="62"/>
        <v>0</v>
      </c>
      <c r="Y319" s="2">
        <f t="shared" si="63"/>
        <v>0</v>
      </c>
      <c r="Z319">
        <f>SUMIF(KASA!$C$2:$C$9980, C319, KASA!$V$2:$V$9980)</f>
        <v>260</v>
      </c>
      <c r="AA319">
        <f t="shared" si="64"/>
        <v>260</v>
      </c>
    </row>
    <row r="320" spans="3:27" x14ac:dyDescent="0.25">
      <c r="C320" s="4" t="s">
        <v>2284</v>
      </c>
      <c r="D320" s="5">
        <f>SUMIFS(KASA!$I:$I, KASA!$C:$C, $C320, KASA!$B:$B, "MAL ALIMI") + SUMIFS(KASA!$I:$I, KASA!$C:$C, $C320, KASA!$B:$B, "ÜRETİM GİRİŞ")</f>
        <v>5</v>
      </c>
      <c r="E320" s="5" cm="1">
        <f t="array" ref="E320">IFERROR(AVERAGE(IF((KASA!$C$2:$C$9980=$C320)*((KASA!$B$2:$B$9980="MAL ALIMI")+(KASA!$B$2:$B$9980="ÜRETİM GİRİŞ")),KASA!$J$2:$J$9980)),0)</f>
        <v>39</v>
      </c>
      <c r="F320" s="5">
        <f>SUMIFS(KASA!$I:$I, KASA!$C:$C, $C320, KASA!$B:$B, "MAL SATIŞI") + SUMIFS(KASA!$I:$I, KASA!$C:$C, $C320, KASA!$B:$B, "ÜRETİM ÇIKIŞ")</f>
        <v>3.75</v>
      </c>
      <c r="G320" s="5">
        <f>SUMIFS(KASA!$I:$I, KASA!$C:$C, $C320, KASA!$B:$B, "MAL İADE")</f>
        <v>0</v>
      </c>
      <c r="H320" s="5">
        <f>SUMIFS(KASA!$K:$K, KASA!$C:$C, $C320, KASA!$B:$B, "MAL İADE") + SUMIFS(KASA!$Q:$Q, KASA!$C:$C, $C320, KASA!$B:$B, "MAL İADE")</f>
        <v>0</v>
      </c>
      <c r="I320" s="5">
        <f t="shared" si="52"/>
        <v>3.75</v>
      </c>
      <c r="J320" s="5">
        <f t="shared" si="53"/>
        <v>146.25</v>
      </c>
      <c r="K320" s="5">
        <f>SUMIFS(KASA!$Q:$Q, KASA!$C:$C, $C320, KASA!$B:$B, "MAL SATIŞI") + SUMIFS(KASA!$Q:$Q, KASA!$C:$C, $C320, KASA!$B:$B, "ÜRETİM ÇIKIŞ")</f>
        <v>195</v>
      </c>
      <c r="L320" s="5">
        <f>SUMIFS(KASA!$K:$K, KASA!$C:$C, $C320, KASA!$B:$B, "MAL SATIŞI") + SUMIFS(KASA!$K:$K, KASA!$C:$C, $C320, KASA!$B:$B, "ÜRETİM ÇIKIŞ")</f>
        <v>48.75</v>
      </c>
      <c r="M320" s="5">
        <f t="shared" si="54"/>
        <v>243.75</v>
      </c>
      <c r="N320" s="5">
        <f t="shared" si="55"/>
        <v>97.5</v>
      </c>
      <c r="O320" s="65">
        <f t="shared" si="56"/>
        <v>0.66666666666666663</v>
      </c>
      <c r="P320" s="5">
        <f t="shared" si="57"/>
        <v>65</v>
      </c>
      <c r="Q320" s="5">
        <f t="shared" si="58"/>
        <v>1.25</v>
      </c>
      <c r="R320" s="5">
        <f t="shared" si="59"/>
        <v>48.75</v>
      </c>
      <c r="S320" s="5">
        <f t="shared" si="60"/>
        <v>195</v>
      </c>
      <c r="T320">
        <v>5</v>
      </c>
      <c r="U320" s="2">
        <f t="shared" si="61"/>
        <v>-3.75</v>
      </c>
      <c r="V320">
        <f>SUMIF(KASA!$C$2:$C$9980, C320, KASA!$T$2:$T$9980)</f>
        <v>1.25</v>
      </c>
      <c r="W320">
        <f>SUMIF(KASA!$C$2:$C$9980, C320, KASA!$U$2:$U$9980)</f>
        <v>48.75</v>
      </c>
      <c r="X320" s="2">
        <f t="shared" si="62"/>
        <v>1.25</v>
      </c>
      <c r="Y320" s="2">
        <f t="shared" si="63"/>
        <v>48.75</v>
      </c>
      <c r="Z320">
        <f>SUMIF(KASA!$C$2:$C$9980, C320, KASA!$V$2:$V$9980)</f>
        <v>195</v>
      </c>
      <c r="AA320">
        <f t="shared" si="64"/>
        <v>146.25</v>
      </c>
    </row>
    <row r="321" spans="3:27" x14ac:dyDescent="0.25">
      <c r="C321" s="70" t="s">
        <v>530</v>
      </c>
      <c r="D321" s="5">
        <f>SUMIFS(KASA!$I:$I, KASA!$C:$C, $C321, KASA!$B:$B, "MAL ALIMI") + SUMIFS(KASA!$I:$I, KASA!$C:$C, $C321, KASA!$B:$B, "ÜRETİM GİRİŞ")</f>
        <v>15</v>
      </c>
      <c r="E321" s="5" cm="1">
        <f t="array" ref="E321">IFERROR(AVERAGE(IF((KASA!$C$2:$C$9980=$C321)*((KASA!$B$2:$B$9980="MAL ALIMI")+(KASA!$B$2:$B$9980="ÜRETİM GİRİŞ")),KASA!$J$2:$J$9980)),0)</f>
        <v>158.5</v>
      </c>
      <c r="F321" s="5">
        <f>SUMIFS(KASA!$I:$I, KASA!$C:$C, $C321, KASA!$B:$B, "MAL SATIŞI") + SUMIFS(KASA!$I:$I, KASA!$C:$C, $C321, KASA!$B:$B, "ÜRETİM ÇIKIŞ")</f>
        <v>14.037380952380953</v>
      </c>
      <c r="G321" s="5">
        <f>SUMIFS(KASA!$I:$I, KASA!$C:$C, $C321, KASA!$B:$B, "MAL İADE")</f>
        <v>0</v>
      </c>
      <c r="H321" s="5">
        <f>SUMIFS(KASA!$K:$K, KASA!$C:$C, $C321, KASA!$B:$B, "MAL İADE") + SUMIFS(KASA!$Q:$Q, KASA!$C:$C, $C321, KASA!$B:$B, "MAL İADE")</f>
        <v>0</v>
      </c>
      <c r="I321" s="5">
        <f t="shared" si="52"/>
        <v>14.037380952380953</v>
      </c>
      <c r="J321" s="5">
        <f t="shared" si="53"/>
        <v>2224.924880952381</v>
      </c>
      <c r="K321" s="5">
        <f>SUMIFS(KASA!$Q:$Q, KASA!$C:$C, $C321, KASA!$B:$B, "MAL SATIŞI") + SUMIFS(KASA!$Q:$Q, KASA!$C:$C, $C321, KASA!$B:$B, "ÜRETİM ÇIKIŞ")</f>
        <v>1323</v>
      </c>
      <c r="L321" s="5">
        <f>SUMIFS(KASA!$K:$K, KASA!$C:$C, $C321, KASA!$B:$B, "MAL SATIŞI") + SUMIFS(KASA!$K:$K, KASA!$C:$C, $C321, KASA!$B:$B, "ÜRETİM ÇIKIŞ")</f>
        <v>2690</v>
      </c>
      <c r="M321" s="5">
        <f t="shared" si="54"/>
        <v>4013</v>
      </c>
      <c r="N321" s="5">
        <f t="shared" si="55"/>
        <v>1788.075119047619</v>
      </c>
      <c r="O321" s="65">
        <f t="shared" si="56"/>
        <v>0.8036563995285233</v>
      </c>
      <c r="P321" s="5">
        <f t="shared" si="57"/>
        <v>285.87953932527091</v>
      </c>
      <c r="Q321" s="5">
        <f t="shared" si="58"/>
        <v>0.9626190476190466</v>
      </c>
      <c r="R321" s="5">
        <f t="shared" si="59"/>
        <v>152.5751190476189</v>
      </c>
      <c r="S321" s="5">
        <f t="shared" si="60"/>
        <v>2377.5</v>
      </c>
      <c r="T321">
        <v>2.87</v>
      </c>
      <c r="U321" s="2">
        <f t="shared" si="61"/>
        <v>-1.9073809523809535</v>
      </c>
      <c r="V321">
        <f>SUMIF(KASA!$C$2:$C$9980, C321, KASA!$T$2:$T$9980)</f>
        <v>0.9626190476190466</v>
      </c>
      <c r="W321">
        <f>SUMIF(KASA!$C$2:$C$9980, C321, KASA!$U$2:$U$9980)</f>
        <v>151.13119047619031</v>
      </c>
      <c r="X321" s="2">
        <f t="shared" si="62"/>
        <v>0.9626190476190466</v>
      </c>
      <c r="Y321" s="2">
        <f t="shared" si="63"/>
        <v>151.13119047619031</v>
      </c>
      <c r="Z321">
        <f>SUMIF(KASA!$C$2:$C$9980, C321, KASA!$V$2:$V$9980)</f>
        <v>2385</v>
      </c>
      <c r="AA321">
        <f t="shared" si="64"/>
        <v>2233.8688095238099</v>
      </c>
    </row>
    <row r="322" spans="3:27" x14ac:dyDescent="0.25">
      <c r="C322" s="70" t="s">
        <v>269</v>
      </c>
      <c r="D322" s="5">
        <f>SUMIFS(KASA!$I:$I, KASA!$C:$C, $C322, KASA!$B:$B, "MAL ALIMI") + SUMIFS(KASA!$I:$I, KASA!$C:$C, $C322, KASA!$B:$B, "ÜRETİM GİRİŞ")</f>
        <v>5</v>
      </c>
      <c r="E322" s="5" cm="1">
        <f t="array" ref="E322">IFERROR(AVERAGE(IF((KASA!$C$2:$C$9980=$C322)*((KASA!$B$2:$B$9980="MAL ALIMI")+(KASA!$B$2:$B$9980="ÜRETİM GİRİŞ")),KASA!$J$2:$J$9980)),0)</f>
        <v>133</v>
      </c>
      <c r="F322" s="5">
        <f>SUMIFS(KASA!$I:$I, KASA!$C:$C, $C322, KASA!$B:$B, "MAL SATIŞI") + SUMIFS(KASA!$I:$I, KASA!$C:$C, $C322, KASA!$B:$B, "ÜRETİM ÇIKIŞ")</f>
        <v>1.8798333333333332</v>
      </c>
      <c r="G322" s="5">
        <f>SUMIFS(KASA!$I:$I, KASA!$C:$C, $C322, KASA!$B:$B, "MAL İADE")</f>
        <v>0</v>
      </c>
      <c r="H322" s="5">
        <f>SUMIFS(KASA!$K:$K, KASA!$C:$C, $C322, KASA!$B:$B, "MAL İADE") + SUMIFS(KASA!$Q:$Q, KASA!$C:$C, $C322, KASA!$B:$B, "MAL İADE")</f>
        <v>0</v>
      </c>
      <c r="I322" s="5">
        <f t="shared" ref="I322:I385" si="65">F322+G322</f>
        <v>1.8798333333333332</v>
      </c>
      <c r="J322" s="5">
        <f t="shared" ref="J322:J385" si="66">E322*F322</f>
        <v>250.01783333333333</v>
      </c>
      <c r="K322" s="5">
        <f>SUMIFS(KASA!$Q:$Q, KASA!$C:$C, $C322, KASA!$B:$B, "MAL SATIŞI") + SUMIFS(KASA!$Q:$Q, KASA!$C:$C, $C322, KASA!$B:$B, "ÜRETİM ÇIKIŞ")</f>
        <v>290.15999999999997</v>
      </c>
      <c r="L322" s="5">
        <f>SUMIFS(KASA!$K:$K, KASA!$C:$C, $C322, KASA!$B:$B, "MAL SATIŞI") + SUMIFS(KASA!$K:$K, KASA!$C:$C, $C322, KASA!$B:$B, "ÜRETİM ÇIKIŞ")</f>
        <v>161</v>
      </c>
      <c r="M322" s="5">
        <f t="shared" ref="M322:M385" si="67">K322+L322</f>
        <v>451.15999999999997</v>
      </c>
      <c r="N322" s="5">
        <f t="shared" ref="N322:N385" si="68">M322-J322</f>
        <v>201.14216666666664</v>
      </c>
      <c r="O322" s="65">
        <f t="shared" ref="O322:O385" si="69">IFERROR(((M322-J322)/J322),0)</f>
        <v>0.80451127819548862</v>
      </c>
      <c r="P322" s="5">
        <f t="shared" ref="P322:P385" si="70">M322/F322</f>
        <v>240</v>
      </c>
      <c r="Q322" s="5">
        <f t="shared" ref="Q322:Q385" si="71">D322-F322-G322</f>
        <v>3.120166666666667</v>
      </c>
      <c r="R322" s="5">
        <f t="shared" ref="R322:R385" si="72">Q322*E322</f>
        <v>414.98216666666673</v>
      </c>
      <c r="S322" s="5">
        <f t="shared" ref="S322:S385" si="73">D322*E322</f>
        <v>665</v>
      </c>
      <c r="T322">
        <v>3.37</v>
      </c>
      <c r="U322" s="2">
        <f t="shared" ref="U322:U385" si="74">Q322-T322</f>
        <v>-0.24983333333333313</v>
      </c>
      <c r="V322">
        <f>SUMIF(KASA!$C$2:$C$9980, C322, KASA!$T$2:$T$9980)</f>
        <v>3.120166666666667</v>
      </c>
      <c r="W322">
        <f>SUMIF(KASA!$C$2:$C$9980, C322, KASA!$U$2:$U$9980)</f>
        <v>414.98216666666673</v>
      </c>
      <c r="X322" s="2">
        <f t="shared" si="62"/>
        <v>3.120166666666667</v>
      </c>
      <c r="Y322" s="2">
        <f t="shared" si="63"/>
        <v>414.98216666666673</v>
      </c>
      <c r="Z322">
        <f>SUMIF(KASA!$C$2:$C$9980, C322, KASA!$V$2:$V$9980)</f>
        <v>665</v>
      </c>
      <c r="AA322">
        <f t="shared" si="64"/>
        <v>250.01783333333327</v>
      </c>
    </row>
    <row r="323" spans="3:27" x14ac:dyDescent="0.25">
      <c r="C323" s="4" t="s">
        <v>270</v>
      </c>
      <c r="D323" s="5">
        <f>SUMIFS(KASA!$I:$I, KASA!$C:$C, $C323, KASA!$B:$B, "MAL ALIMI") + SUMIFS(KASA!$I:$I, KASA!$C:$C, $C323, KASA!$B:$B, "ÜRETİM GİRİŞ")</f>
        <v>30</v>
      </c>
      <c r="E323" s="5" cm="1">
        <f t="array" ref="E323">IFERROR(AVERAGE(IF((KASA!$C$2:$C$9980=$C323)*((KASA!$B$2:$B$9980="MAL ALIMI")+(KASA!$B$2:$B$9980="ÜRETİM GİRİŞ")),KASA!$J$2:$J$9980)),0)</f>
        <v>81.5</v>
      </c>
      <c r="F323" s="5">
        <f>SUMIFS(KASA!$I:$I, KASA!$C:$C, $C323, KASA!$B:$B, "MAL SATIŞI") + SUMIFS(KASA!$I:$I, KASA!$C:$C, $C323, KASA!$B:$B, "ÜRETİM ÇIKIŞ")</f>
        <v>12</v>
      </c>
      <c r="G323" s="5">
        <f>SUMIFS(KASA!$I:$I, KASA!$C:$C, $C323, KASA!$B:$B, "MAL İADE")</f>
        <v>0</v>
      </c>
      <c r="H323" s="5">
        <f>SUMIFS(KASA!$K:$K, KASA!$C:$C, $C323, KASA!$B:$B, "MAL İADE") + SUMIFS(KASA!$Q:$Q, KASA!$C:$C, $C323, KASA!$B:$B, "MAL İADE")</f>
        <v>0</v>
      </c>
      <c r="I323" s="5">
        <f t="shared" si="65"/>
        <v>12</v>
      </c>
      <c r="J323" s="5">
        <f t="shared" si="66"/>
        <v>978</v>
      </c>
      <c r="K323" s="5">
        <f>SUMIFS(KASA!$Q:$Q, KASA!$C:$C, $C323, KASA!$B:$B, "MAL SATIŞI") + SUMIFS(KASA!$Q:$Q, KASA!$C:$C, $C323, KASA!$B:$B, "ÜRETİM ÇIKIŞ")</f>
        <v>815</v>
      </c>
      <c r="L323" s="5">
        <f>SUMIFS(KASA!$K:$K, KASA!$C:$C, $C323, KASA!$B:$B, "MAL SATIŞI") + SUMIFS(KASA!$K:$K, KASA!$C:$C, $C323, KASA!$B:$B, "ÜRETİM ÇIKIŞ")</f>
        <v>940</v>
      </c>
      <c r="M323" s="5">
        <f t="shared" si="67"/>
        <v>1755</v>
      </c>
      <c r="N323" s="5">
        <f t="shared" si="68"/>
        <v>777</v>
      </c>
      <c r="O323" s="65">
        <f t="shared" si="69"/>
        <v>0.79447852760736193</v>
      </c>
      <c r="P323" s="5">
        <f t="shared" si="70"/>
        <v>146.25</v>
      </c>
      <c r="Q323" s="5">
        <f t="shared" si="71"/>
        <v>18</v>
      </c>
      <c r="R323" s="5">
        <f t="shared" si="72"/>
        <v>1467</v>
      </c>
      <c r="S323" s="5">
        <f t="shared" si="73"/>
        <v>2445</v>
      </c>
      <c r="T323">
        <v>21</v>
      </c>
      <c r="U323" s="2">
        <f t="shared" si="74"/>
        <v>-3</v>
      </c>
      <c r="V323">
        <f>SUMIF(KASA!$C$2:$C$9980, C323, KASA!$T$2:$T$9980)</f>
        <v>18</v>
      </c>
      <c r="W323">
        <f>SUMIF(KASA!$C$2:$C$9980, C323, KASA!$U$2:$U$9980)</f>
        <v>1494</v>
      </c>
      <c r="X323" s="2">
        <f t="shared" ref="X323:X386" si="75">V323-G323</f>
        <v>18</v>
      </c>
      <c r="Y323" s="2">
        <f t="shared" ref="Y323:Y386" si="76">W323-H323</f>
        <v>1494</v>
      </c>
      <c r="Z323">
        <f>SUMIF(KASA!$C$2:$C$9980, C323, KASA!$V$2:$V$9980)</f>
        <v>2472</v>
      </c>
      <c r="AA323">
        <f t="shared" ref="AA323:AA386" si="77">Z323-W323</f>
        <v>978</v>
      </c>
    </row>
    <row r="324" spans="3:27" x14ac:dyDescent="0.25">
      <c r="C324" s="70" t="s">
        <v>1176</v>
      </c>
      <c r="D324" s="5">
        <f>SUMIFS(KASA!$I:$I, KASA!$C:$C, $C324, KASA!$B:$B, "MAL ALIMI") + SUMIFS(KASA!$I:$I, KASA!$C:$C, $C324, KASA!$B:$B, "ÜRETİM GİRİŞ")</f>
        <v>2</v>
      </c>
      <c r="E324" s="5" cm="1">
        <f t="array" ref="E324">IFERROR(AVERAGE(IF((KASA!$C$2:$C$9980=$C324)*((KASA!$B$2:$B$9980="MAL ALIMI")+(KASA!$B$2:$B$9980="ÜRETİM GİRİŞ")),KASA!$J$2:$J$9980)),0)</f>
        <v>665</v>
      </c>
      <c r="F324" s="5">
        <f>SUMIFS(KASA!$I:$I, KASA!$C:$C, $C324, KASA!$B:$B, "MAL SATIŞI") + SUMIFS(KASA!$I:$I, KASA!$C:$C, $C324, KASA!$B:$B, "ÜRETİM ÇIKIŞ")</f>
        <v>2.0000000000000004</v>
      </c>
      <c r="G324" s="5">
        <f>SUMIFS(KASA!$I:$I, KASA!$C:$C, $C324, KASA!$B:$B, "MAL İADE")</f>
        <v>0</v>
      </c>
      <c r="H324" s="5">
        <f>SUMIFS(KASA!$K:$K, KASA!$C:$C, $C324, KASA!$B:$B, "MAL İADE") + SUMIFS(KASA!$Q:$Q, KASA!$C:$C, $C324, KASA!$B:$B, "MAL İADE")</f>
        <v>0</v>
      </c>
      <c r="I324" s="5">
        <f t="shared" si="65"/>
        <v>2.0000000000000004</v>
      </c>
      <c r="J324" s="5">
        <f t="shared" si="66"/>
        <v>1330.0000000000002</v>
      </c>
      <c r="K324" s="5">
        <f>SUMIFS(KASA!$Q:$Q, KASA!$C:$C, $C324, KASA!$B:$B, "MAL SATIŞI") + SUMIFS(KASA!$Q:$Q, KASA!$C:$C, $C324, KASA!$B:$B, "ÜRETİM ÇIKIŞ")</f>
        <v>2270</v>
      </c>
      <c r="L324" s="5">
        <f>SUMIFS(KASA!$K:$K, KASA!$C:$C, $C324, KASA!$B:$B, "MAL SATIŞI") + SUMIFS(KASA!$K:$K, KASA!$C:$C, $C324, KASA!$B:$B, "ÜRETİM ÇIKIŞ")</f>
        <v>1200</v>
      </c>
      <c r="M324" s="5">
        <f t="shared" si="67"/>
        <v>3470</v>
      </c>
      <c r="N324" s="5">
        <f t="shared" si="68"/>
        <v>2140</v>
      </c>
      <c r="O324" s="65">
        <f t="shared" si="69"/>
        <v>1.6090225563909772</v>
      </c>
      <c r="P324" s="5">
        <f t="shared" si="70"/>
        <v>1734.9999999999995</v>
      </c>
      <c r="Q324" s="5">
        <f t="shared" si="71"/>
        <v>-4.4408920985006262E-16</v>
      </c>
      <c r="R324" s="5">
        <f t="shared" si="72"/>
        <v>-2.9531932455029164E-13</v>
      </c>
      <c r="S324" s="5">
        <f t="shared" si="73"/>
        <v>1330</v>
      </c>
      <c r="T324">
        <v>0.9</v>
      </c>
      <c r="U324" s="2">
        <f t="shared" si="74"/>
        <v>-0.90000000000000047</v>
      </c>
      <c r="V324">
        <f>SUMIF(KASA!$C$2:$C$9980, C324, KASA!$T$2:$T$9980)</f>
        <v>0</v>
      </c>
      <c r="W324">
        <f>SUMIF(KASA!$C$2:$C$9980, C324, KASA!$U$2:$U$9980)</f>
        <v>0</v>
      </c>
      <c r="X324" s="2">
        <f t="shared" si="75"/>
        <v>0</v>
      </c>
      <c r="Y324" s="2">
        <f t="shared" si="76"/>
        <v>0</v>
      </c>
      <c r="Z324">
        <f>SUMIF(KASA!$C$2:$C$9980, C324, KASA!$V$2:$V$9980)</f>
        <v>1330</v>
      </c>
      <c r="AA324">
        <f t="shared" si="77"/>
        <v>1330</v>
      </c>
    </row>
    <row r="325" spans="3:27" x14ac:dyDescent="0.25">
      <c r="C325" s="4" t="s">
        <v>1177</v>
      </c>
      <c r="D325" s="5">
        <f>SUMIFS(KASA!$I:$I, KASA!$C:$C, $C325, KASA!$B:$B, "MAL ALIMI") + SUMIFS(KASA!$I:$I, KASA!$C:$C, $C325, KASA!$B:$B, "ÜRETİM GİRİŞ")</f>
        <v>2.5</v>
      </c>
      <c r="E325" s="5" cm="1">
        <f t="array" ref="E325">IFERROR(AVERAGE(IF((KASA!$C$2:$C$9980=$C325)*((KASA!$B$2:$B$9980="MAL ALIMI")+(KASA!$B$2:$B$9980="ÜRETİM GİRİŞ")),KASA!$J$2:$J$9980)),0)</f>
        <v>400</v>
      </c>
      <c r="F325" s="5">
        <f>SUMIFS(KASA!$I:$I, KASA!$C:$C, $C325, KASA!$B:$B, "MAL SATIŞI") + SUMIFS(KASA!$I:$I, KASA!$C:$C, $C325, KASA!$B:$B, "ÜRETİM ÇIKIŞ")</f>
        <v>0</v>
      </c>
      <c r="G325" s="5">
        <f>SUMIFS(KASA!$I:$I, KASA!$C:$C, $C325, KASA!$B:$B, "MAL İADE")</f>
        <v>2.5</v>
      </c>
      <c r="H325" s="5">
        <f>SUMIFS(KASA!$K:$K, KASA!$C:$C, $C325, KASA!$B:$B, "MAL İADE") + SUMIFS(KASA!$Q:$Q, KASA!$C:$C, $C325, KASA!$B:$B, "MAL İADE")</f>
        <v>1000</v>
      </c>
      <c r="I325" s="5">
        <f t="shared" si="65"/>
        <v>2.5</v>
      </c>
      <c r="J325" s="5">
        <f t="shared" si="66"/>
        <v>0</v>
      </c>
      <c r="K325" s="5">
        <f>SUMIFS(KASA!$Q:$Q, KASA!$C:$C, $C325, KASA!$B:$B, "MAL SATIŞI") + SUMIFS(KASA!$Q:$Q, KASA!$C:$C, $C325, KASA!$B:$B, "ÜRETİM ÇIKIŞ")</f>
        <v>0</v>
      </c>
      <c r="L325" s="5">
        <f>SUMIFS(KASA!$K:$K, KASA!$C:$C, $C325, KASA!$B:$B, "MAL SATIŞI") + SUMIFS(KASA!$K:$K, KASA!$C:$C, $C325, KASA!$B:$B, "ÜRETİM ÇIKIŞ")</f>
        <v>0</v>
      </c>
      <c r="M325" s="5">
        <f t="shared" si="67"/>
        <v>0</v>
      </c>
      <c r="N325" s="5">
        <f t="shared" si="68"/>
        <v>0</v>
      </c>
      <c r="O325" s="65">
        <f t="shared" si="69"/>
        <v>0</v>
      </c>
      <c r="P325" s="5" t="e">
        <f t="shared" si="70"/>
        <v>#DIV/0!</v>
      </c>
      <c r="Q325" s="5">
        <f t="shared" si="71"/>
        <v>0</v>
      </c>
      <c r="R325" s="5">
        <f t="shared" si="72"/>
        <v>0</v>
      </c>
      <c r="S325" s="5">
        <f t="shared" si="73"/>
        <v>1000</v>
      </c>
      <c r="T325">
        <v>0</v>
      </c>
      <c r="U325" s="2">
        <f t="shared" si="74"/>
        <v>0</v>
      </c>
      <c r="V325">
        <f>SUMIF(KASA!$C$2:$C$9980, C325, KASA!$T$2:$T$9980)</f>
        <v>2.5</v>
      </c>
      <c r="W325">
        <f>SUMIF(KASA!$C$2:$C$9980, C325, KASA!$U$2:$U$9980)</f>
        <v>1000</v>
      </c>
      <c r="X325" s="2">
        <f t="shared" si="75"/>
        <v>0</v>
      </c>
      <c r="Y325" s="2">
        <f t="shared" si="76"/>
        <v>0</v>
      </c>
      <c r="Z325">
        <f>SUMIF(KASA!$C$2:$C$9980, C325, KASA!$V$2:$V$9980)</f>
        <v>1000</v>
      </c>
      <c r="AA325">
        <f t="shared" si="77"/>
        <v>0</v>
      </c>
    </row>
    <row r="326" spans="3:27" x14ac:dyDescent="0.25">
      <c r="C326" s="4" t="s">
        <v>1178</v>
      </c>
      <c r="D326" s="5">
        <f>SUMIFS(KASA!$I:$I, KASA!$C:$C, $C326, KASA!$B:$B, "MAL ALIMI") + SUMIFS(KASA!$I:$I, KASA!$C:$C, $C326, KASA!$B:$B, "ÜRETİM GİRİŞ")</f>
        <v>1</v>
      </c>
      <c r="E326" s="5" cm="1">
        <f t="array" ref="E326">IFERROR(AVERAGE(IF((KASA!$C$2:$C$9980=$C326)*((KASA!$B$2:$B$9980="MAL ALIMI")+(KASA!$B$2:$B$9980="ÜRETİM GİRİŞ")),KASA!$J$2:$J$9980)),0)</f>
        <v>340</v>
      </c>
      <c r="F326" s="5">
        <f>SUMIFS(KASA!$I:$I, KASA!$C:$C, $C326, KASA!$B:$B, "MAL SATIŞI") + SUMIFS(KASA!$I:$I, KASA!$C:$C, $C326, KASA!$B:$B, "ÜRETİM ÇIKIŞ")</f>
        <v>0</v>
      </c>
      <c r="G326" s="5">
        <f>SUMIFS(KASA!$I:$I, KASA!$C:$C, $C326, KASA!$B:$B, "MAL İADE")</f>
        <v>1</v>
      </c>
      <c r="H326" s="5">
        <f>SUMIFS(KASA!$K:$K, KASA!$C:$C, $C326, KASA!$B:$B, "MAL İADE") + SUMIFS(KASA!$Q:$Q, KASA!$C:$C, $C326, KASA!$B:$B, "MAL İADE")</f>
        <v>340</v>
      </c>
      <c r="I326" s="5">
        <f t="shared" si="65"/>
        <v>1</v>
      </c>
      <c r="J326" s="5">
        <f t="shared" si="66"/>
        <v>0</v>
      </c>
      <c r="K326" s="5">
        <f>SUMIFS(KASA!$Q:$Q, KASA!$C:$C, $C326, KASA!$B:$B, "MAL SATIŞI") + SUMIFS(KASA!$Q:$Q, KASA!$C:$C, $C326, KASA!$B:$B, "ÜRETİM ÇIKIŞ")</f>
        <v>0</v>
      </c>
      <c r="L326" s="5">
        <f>SUMIFS(KASA!$K:$K, KASA!$C:$C, $C326, KASA!$B:$B, "MAL SATIŞI") + SUMIFS(KASA!$K:$K, KASA!$C:$C, $C326, KASA!$B:$B, "ÜRETİM ÇIKIŞ")</f>
        <v>0</v>
      </c>
      <c r="M326" s="5">
        <f t="shared" si="67"/>
        <v>0</v>
      </c>
      <c r="N326" s="5">
        <f t="shared" si="68"/>
        <v>0</v>
      </c>
      <c r="O326" s="65">
        <f t="shared" si="69"/>
        <v>0</v>
      </c>
      <c r="P326" s="5" t="e">
        <f t="shared" si="70"/>
        <v>#DIV/0!</v>
      </c>
      <c r="Q326" s="5">
        <f t="shared" si="71"/>
        <v>0</v>
      </c>
      <c r="R326" s="5">
        <f t="shared" si="72"/>
        <v>0</v>
      </c>
      <c r="S326" s="5">
        <f t="shared" si="73"/>
        <v>340</v>
      </c>
      <c r="T326">
        <v>0</v>
      </c>
      <c r="U326" s="2">
        <f t="shared" si="74"/>
        <v>0</v>
      </c>
      <c r="V326">
        <f>SUMIF(KASA!$C$2:$C$9980, C326, KASA!$T$2:$T$9980)</f>
        <v>1</v>
      </c>
      <c r="W326">
        <f>SUMIF(KASA!$C$2:$C$9980, C326, KASA!$U$2:$U$9980)</f>
        <v>340</v>
      </c>
      <c r="X326" s="2">
        <f t="shared" si="75"/>
        <v>0</v>
      </c>
      <c r="Y326" s="2">
        <f t="shared" si="76"/>
        <v>0</v>
      </c>
      <c r="Z326">
        <f>SUMIF(KASA!$C$2:$C$9980, C326, KASA!$V$2:$V$9980)</f>
        <v>340</v>
      </c>
      <c r="AA326">
        <f t="shared" si="77"/>
        <v>0</v>
      </c>
    </row>
    <row r="327" spans="3:27" x14ac:dyDescent="0.25">
      <c r="C327" s="4" t="s">
        <v>1179</v>
      </c>
      <c r="D327" s="5">
        <f>SUMIFS(KASA!$I:$I, KASA!$C:$C, $C327, KASA!$B:$B, "MAL ALIMI") + SUMIFS(KASA!$I:$I, KASA!$C:$C, $C327, KASA!$B:$B, "ÜRETİM GİRİŞ")</f>
        <v>2</v>
      </c>
      <c r="E327" s="5" cm="1">
        <f t="array" ref="E327">IFERROR(AVERAGE(IF((KASA!$C$2:$C$9980=$C327)*((KASA!$B$2:$B$9980="MAL ALIMI")+(KASA!$B$2:$B$9980="ÜRETİM GİRİŞ")),KASA!$J$2:$J$9980)),0)</f>
        <v>217</v>
      </c>
      <c r="F327" s="5">
        <f>SUMIFS(KASA!$I:$I, KASA!$C:$C, $C327, KASA!$B:$B, "MAL SATIŞI") + SUMIFS(KASA!$I:$I, KASA!$C:$C, $C327, KASA!$B:$B, "ÜRETİM ÇIKIŞ")</f>
        <v>0</v>
      </c>
      <c r="G327" s="5">
        <f>SUMIFS(KASA!$I:$I, KASA!$C:$C, $C327, KASA!$B:$B, "MAL İADE")</f>
        <v>0</v>
      </c>
      <c r="H327" s="5">
        <f>SUMIFS(KASA!$K:$K, KASA!$C:$C, $C327, KASA!$B:$B, "MAL İADE") + SUMIFS(KASA!$Q:$Q, KASA!$C:$C, $C327, KASA!$B:$B, "MAL İADE")</f>
        <v>0</v>
      </c>
      <c r="I327" s="5">
        <f t="shared" si="65"/>
        <v>0</v>
      </c>
      <c r="J327" s="5">
        <f t="shared" si="66"/>
        <v>0</v>
      </c>
      <c r="K327" s="5">
        <f>SUMIFS(KASA!$Q:$Q, KASA!$C:$C, $C327, KASA!$B:$B, "MAL SATIŞI") + SUMIFS(KASA!$Q:$Q, KASA!$C:$C, $C327, KASA!$B:$B, "ÜRETİM ÇIKIŞ")</f>
        <v>0</v>
      </c>
      <c r="L327" s="5">
        <f>SUMIFS(KASA!$K:$K, KASA!$C:$C, $C327, KASA!$B:$B, "MAL SATIŞI") + SUMIFS(KASA!$K:$K, KASA!$C:$C, $C327, KASA!$B:$B, "ÜRETİM ÇIKIŞ")</f>
        <v>0</v>
      </c>
      <c r="M327" s="5">
        <f t="shared" si="67"/>
        <v>0</v>
      </c>
      <c r="N327" s="5">
        <f t="shared" si="68"/>
        <v>0</v>
      </c>
      <c r="O327" s="65">
        <f t="shared" si="69"/>
        <v>0</v>
      </c>
      <c r="P327" s="5" t="e">
        <f t="shared" si="70"/>
        <v>#DIV/0!</v>
      </c>
      <c r="Q327" s="5">
        <f t="shared" si="71"/>
        <v>2</v>
      </c>
      <c r="R327" s="5">
        <f t="shared" si="72"/>
        <v>434</v>
      </c>
      <c r="S327" s="5">
        <f t="shared" si="73"/>
        <v>434</v>
      </c>
      <c r="T327">
        <v>2</v>
      </c>
      <c r="U327" s="2">
        <f t="shared" si="74"/>
        <v>0</v>
      </c>
      <c r="V327">
        <f>SUMIF(KASA!$C$2:$C$9980, C327, KASA!$T$2:$T$9980)</f>
        <v>2</v>
      </c>
      <c r="W327">
        <f>SUMIF(KASA!$C$2:$C$9980, C327, KASA!$U$2:$U$9980)</f>
        <v>434</v>
      </c>
      <c r="X327" s="2">
        <f t="shared" si="75"/>
        <v>2</v>
      </c>
      <c r="Y327" s="2">
        <f t="shared" si="76"/>
        <v>434</v>
      </c>
      <c r="Z327">
        <f>SUMIF(KASA!$C$2:$C$9980, C327, KASA!$V$2:$V$9980)</f>
        <v>434</v>
      </c>
      <c r="AA327">
        <f t="shared" si="77"/>
        <v>0</v>
      </c>
    </row>
    <row r="328" spans="3:27" x14ac:dyDescent="0.25">
      <c r="C328" s="4" t="s">
        <v>1180</v>
      </c>
      <c r="D328" s="5">
        <f>SUMIFS(KASA!$I:$I, KASA!$C:$C, $C328, KASA!$B:$B, "MAL ALIMI") + SUMIFS(KASA!$I:$I, KASA!$C:$C, $C328, KASA!$B:$B, "ÜRETİM GİRİŞ")</f>
        <v>2</v>
      </c>
      <c r="E328" s="5" cm="1">
        <f t="array" ref="E328">IFERROR(AVERAGE(IF((KASA!$C$2:$C$9980=$C328)*((KASA!$B$2:$B$9980="MAL ALIMI")+(KASA!$B$2:$B$9980="ÜRETİM GİRİŞ")),KASA!$J$2:$J$9980)),0)</f>
        <v>237</v>
      </c>
      <c r="F328" s="5">
        <f>SUMIFS(KASA!$I:$I, KASA!$C:$C, $C328, KASA!$B:$B, "MAL SATIŞI") + SUMIFS(KASA!$I:$I, KASA!$C:$C, $C328, KASA!$B:$B, "ÜRETİM ÇIKIŞ")</f>
        <v>1</v>
      </c>
      <c r="G328" s="5">
        <f>SUMIFS(KASA!$I:$I, KASA!$C:$C, $C328, KASA!$B:$B, "MAL İADE")</f>
        <v>0</v>
      </c>
      <c r="H328" s="5">
        <f>SUMIFS(KASA!$K:$K, KASA!$C:$C, $C328, KASA!$B:$B, "MAL İADE") + SUMIFS(KASA!$Q:$Q, KASA!$C:$C, $C328, KASA!$B:$B, "MAL İADE")</f>
        <v>0</v>
      </c>
      <c r="I328" s="5">
        <f t="shared" si="65"/>
        <v>1</v>
      </c>
      <c r="J328" s="5">
        <f t="shared" si="66"/>
        <v>237</v>
      </c>
      <c r="K328" s="5">
        <f>SUMIFS(KASA!$Q:$Q, KASA!$C:$C, $C328, KASA!$B:$B, "MAL SATIŞI") + SUMIFS(KASA!$Q:$Q, KASA!$C:$C, $C328, KASA!$B:$B, "ÜRETİM ÇIKIŞ")</f>
        <v>0</v>
      </c>
      <c r="L328" s="5">
        <f>SUMIFS(KASA!$K:$K, KASA!$C:$C, $C328, KASA!$B:$B, "MAL SATIŞI") + SUMIFS(KASA!$K:$K, KASA!$C:$C, $C328, KASA!$B:$B, "ÜRETİM ÇIKIŞ")</f>
        <v>490</v>
      </c>
      <c r="M328" s="5">
        <f t="shared" si="67"/>
        <v>490</v>
      </c>
      <c r="N328" s="5">
        <f t="shared" si="68"/>
        <v>253</v>
      </c>
      <c r="O328" s="65">
        <f t="shared" si="69"/>
        <v>1.0675105485232068</v>
      </c>
      <c r="P328" s="5">
        <f t="shared" si="70"/>
        <v>490</v>
      </c>
      <c r="Q328" s="5">
        <f t="shared" si="71"/>
        <v>1</v>
      </c>
      <c r="R328" s="5">
        <f t="shared" si="72"/>
        <v>237</v>
      </c>
      <c r="S328" s="5">
        <f t="shared" si="73"/>
        <v>474</v>
      </c>
      <c r="T328">
        <v>1</v>
      </c>
      <c r="U328" s="2">
        <f t="shared" si="74"/>
        <v>0</v>
      </c>
      <c r="V328">
        <f>SUMIF(KASA!$C$2:$C$9980, C328, KASA!$T$2:$T$9980)</f>
        <v>1</v>
      </c>
      <c r="W328">
        <f>SUMIF(KASA!$C$2:$C$9980, C328, KASA!$U$2:$U$9980)</f>
        <v>237</v>
      </c>
      <c r="X328" s="2">
        <f t="shared" si="75"/>
        <v>1</v>
      </c>
      <c r="Y328" s="2">
        <f t="shared" si="76"/>
        <v>237</v>
      </c>
      <c r="Z328">
        <f>SUMIF(KASA!$C$2:$C$9980, C328, KASA!$V$2:$V$9980)</f>
        <v>474</v>
      </c>
      <c r="AA328">
        <f t="shared" si="77"/>
        <v>237</v>
      </c>
    </row>
    <row r="329" spans="3:27" x14ac:dyDescent="0.25">
      <c r="C329" s="4" t="s">
        <v>1181</v>
      </c>
      <c r="D329" s="5">
        <f>SUMIFS(KASA!$I:$I, KASA!$C:$C, $C329, KASA!$B:$B, "MAL ALIMI") + SUMIFS(KASA!$I:$I, KASA!$C:$C, $C329, KASA!$B:$B, "ÜRETİM GİRİŞ")</f>
        <v>4</v>
      </c>
      <c r="E329" s="5" cm="1">
        <f t="array" ref="E329">IFERROR(AVERAGE(IF((KASA!$C$2:$C$9980=$C329)*((KASA!$B$2:$B$9980="MAL ALIMI")+(KASA!$B$2:$B$9980="ÜRETİM GİRİŞ")),KASA!$J$2:$J$9980)),0)</f>
        <v>269</v>
      </c>
      <c r="F329" s="5">
        <f>SUMIFS(KASA!$I:$I, KASA!$C:$C, $C329, KASA!$B:$B, "MAL SATIŞI") + SUMIFS(KASA!$I:$I, KASA!$C:$C, $C329, KASA!$B:$B, "ÜRETİM ÇIKIŞ")</f>
        <v>4</v>
      </c>
      <c r="G329" s="5">
        <f>SUMIFS(KASA!$I:$I, KASA!$C:$C, $C329, KASA!$B:$B, "MAL İADE")</f>
        <v>0</v>
      </c>
      <c r="H329" s="5">
        <f>SUMIFS(KASA!$K:$K, KASA!$C:$C, $C329, KASA!$B:$B, "MAL İADE") + SUMIFS(KASA!$Q:$Q, KASA!$C:$C, $C329, KASA!$B:$B, "MAL İADE")</f>
        <v>0</v>
      </c>
      <c r="I329" s="5">
        <f t="shared" si="65"/>
        <v>4</v>
      </c>
      <c r="J329" s="5">
        <f t="shared" si="66"/>
        <v>1076</v>
      </c>
      <c r="K329" s="5">
        <f>SUMIFS(KASA!$Q:$Q, KASA!$C:$C, $C329, KASA!$B:$B, "MAL SATIŞI") + SUMIFS(KASA!$Q:$Q, KASA!$C:$C, $C329, KASA!$B:$B, "ÜRETİM ÇIKIŞ")</f>
        <v>1280</v>
      </c>
      <c r="L329" s="5">
        <f>SUMIFS(KASA!$K:$K, KASA!$C:$C, $C329, KASA!$B:$B, "MAL SATIŞI") + SUMIFS(KASA!$K:$K, KASA!$C:$C, $C329, KASA!$B:$B, "ÜRETİM ÇIKIŞ")</f>
        <v>440</v>
      </c>
      <c r="M329" s="5">
        <f t="shared" si="67"/>
        <v>1720</v>
      </c>
      <c r="N329" s="5">
        <f t="shared" si="68"/>
        <v>644</v>
      </c>
      <c r="O329" s="65">
        <f t="shared" si="69"/>
        <v>0.5985130111524164</v>
      </c>
      <c r="P329" s="5">
        <f t="shared" si="70"/>
        <v>430</v>
      </c>
      <c r="Q329" s="5">
        <f t="shared" si="71"/>
        <v>0</v>
      </c>
      <c r="R329" s="5">
        <f t="shared" si="72"/>
        <v>0</v>
      </c>
      <c r="S329" s="5">
        <f t="shared" si="73"/>
        <v>1076</v>
      </c>
      <c r="T329">
        <v>0</v>
      </c>
      <c r="U329" s="2">
        <f t="shared" si="74"/>
        <v>0</v>
      </c>
      <c r="V329">
        <f>SUMIF(KASA!$C$2:$C$9980, C329, KASA!$T$2:$T$9980)</f>
        <v>0</v>
      </c>
      <c r="W329">
        <f>SUMIF(KASA!$C$2:$C$9980, C329, KASA!$U$2:$U$9980)</f>
        <v>0</v>
      </c>
      <c r="X329" s="2">
        <f t="shared" si="75"/>
        <v>0</v>
      </c>
      <c r="Y329" s="2">
        <f t="shared" si="76"/>
        <v>0</v>
      </c>
      <c r="Z329">
        <f>SUMIF(KASA!$C$2:$C$9980, C329, KASA!$V$2:$V$9980)</f>
        <v>1076</v>
      </c>
      <c r="AA329">
        <f t="shared" si="77"/>
        <v>1076</v>
      </c>
    </row>
    <row r="330" spans="3:27" x14ac:dyDescent="0.25">
      <c r="C330" s="4" t="s">
        <v>1182</v>
      </c>
      <c r="D330" s="5">
        <f>SUMIFS(KASA!$I:$I, KASA!$C:$C, $C330, KASA!$B:$B, "MAL ALIMI") + SUMIFS(KASA!$I:$I, KASA!$C:$C, $C330, KASA!$B:$B, "ÜRETİM GİRİŞ")</f>
        <v>3</v>
      </c>
      <c r="E330" s="5" cm="1">
        <f t="array" ref="E330">IFERROR(AVERAGE(IF((KASA!$C$2:$C$9980=$C330)*((KASA!$B$2:$B$9980="MAL ALIMI")+(KASA!$B$2:$B$9980="ÜRETİM GİRİŞ")),KASA!$J$2:$J$9980)),0)</f>
        <v>108</v>
      </c>
      <c r="F330" s="5">
        <f>SUMIFS(KASA!$I:$I, KASA!$C:$C, $C330, KASA!$B:$B, "MAL SATIŞI") + SUMIFS(KASA!$I:$I, KASA!$C:$C, $C330, KASA!$B:$B, "ÜRETİM ÇIKIŞ")</f>
        <v>0</v>
      </c>
      <c r="G330" s="5">
        <f>SUMIFS(KASA!$I:$I, KASA!$C:$C, $C330, KASA!$B:$B, "MAL İADE")</f>
        <v>0</v>
      </c>
      <c r="H330" s="5">
        <f>SUMIFS(KASA!$K:$K, KASA!$C:$C, $C330, KASA!$B:$B, "MAL İADE") + SUMIFS(KASA!$Q:$Q, KASA!$C:$C, $C330, KASA!$B:$B, "MAL İADE")</f>
        <v>0</v>
      </c>
      <c r="I330" s="5">
        <f t="shared" si="65"/>
        <v>0</v>
      </c>
      <c r="J330" s="5">
        <f t="shared" si="66"/>
        <v>0</v>
      </c>
      <c r="K330" s="5">
        <f>SUMIFS(KASA!$Q:$Q, KASA!$C:$C, $C330, KASA!$B:$B, "MAL SATIŞI") + SUMIFS(KASA!$Q:$Q, KASA!$C:$C, $C330, KASA!$B:$B, "ÜRETİM ÇIKIŞ")</f>
        <v>0</v>
      </c>
      <c r="L330" s="5">
        <f>SUMIFS(KASA!$K:$K, KASA!$C:$C, $C330, KASA!$B:$B, "MAL SATIŞI") + SUMIFS(KASA!$K:$K, KASA!$C:$C, $C330, KASA!$B:$B, "ÜRETİM ÇIKIŞ")</f>
        <v>0</v>
      </c>
      <c r="M330" s="5">
        <f t="shared" si="67"/>
        <v>0</v>
      </c>
      <c r="N330" s="5">
        <f t="shared" si="68"/>
        <v>0</v>
      </c>
      <c r="O330" s="65">
        <f t="shared" si="69"/>
        <v>0</v>
      </c>
      <c r="P330" s="5" t="e">
        <f t="shared" si="70"/>
        <v>#DIV/0!</v>
      </c>
      <c r="Q330" s="5">
        <f t="shared" si="71"/>
        <v>3</v>
      </c>
      <c r="R330" s="5">
        <f t="shared" si="72"/>
        <v>324</v>
      </c>
      <c r="S330" s="5">
        <f t="shared" si="73"/>
        <v>324</v>
      </c>
      <c r="T330">
        <v>3</v>
      </c>
      <c r="U330" s="2">
        <f t="shared" si="74"/>
        <v>0</v>
      </c>
      <c r="V330">
        <f>SUMIF(KASA!$C$2:$C$9980, C330, KASA!$T$2:$T$9980)</f>
        <v>3</v>
      </c>
      <c r="W330">
        <f>SUMIF(KASA!$C$2:$C$9980, C330, KASA!$U$2:$U$9980)</f>
        <v>324</v>
      </c>
      <c r="X330" s="2">
        <f t="shared" si="75"/>
        <v>3</v>
      </c>
      <c r="Y330" s="2">
        <f t="shared" si="76"/>
        <v>324</v>
      </c>
      <c r="Z330">
        <f>SUMIF(KASA!$C$2:$C$9980, C330, KASA!$V$2:$V$9980)</f>
        <v>324</v>
      </c>
      <c r="AA330">
        <f t="shared" si="77"/>
        <v>0</v>
      </c>
    </row>
    <row r="331" spans="3:27" x14ac:dyDescent="0.25">
      <c r="C331" s="70" t="s">
        <v>1183</v>
      </c>
      <c r="D331" s="5">
        <f>SUMIFS(KASA!$I:$I, KASA!$C:$C, $C331, KASA!$B:$B, "MAL ALIMI") + SUMIFS(KASA!$I:$I, KASA!$C:$C, $C331, KASA!$B:$B, "ÜRETİM GİRİŞ")</f>
        <v>2</v>
      </c>
      <c r="E331" s="5" cm="1">
        <f t="array" ref="E331">IFERROR(AVERAGE(IF((KASA!$C$2:$C$9980=$C331)*((KASA!$B$2:$B$9980="MAL ALIMI")+(KASA!$B$2:$B$9980="ÜRETİM GİRİŞ")),KASA!$J$2:$J$9980)),0)</f>
        <v>117.5000045</v>
      </c>
      <c r="F331" s="5">
        <f>SUMIFS(KASA!$I:$I, KASA!$C:$C, $C331, KASA!$B:$B, "MAL SATIŞI") + SUMIFS(KASA!$I:$I, KASA!$C:$C, $C331, KASA!$B:$B, "ÜRETİM ÇIKIŞ")</f>
        <v>0.6</v>
      </c>
      <c r="G331" s="5">
        <f>SUMIFS(KASA!$I:$I, KASA!$C:$C, $C331, KASA!$B:$B, "MAL İADE")</f>
        <v>0</v>
      </c>
      <c r="H331" s="5">
        <f>SUMIFS(KASA!$K:$K, KASA!$C:$C, $C331, KASA!$B:$B, "MAL İADE") + SUMIFS(KASA!$Q:$Q, KASA!$C:$C, $C331, KASA!$B:$B, "MAL İADE")</f>
        <v>0</v>
      </c>
      <c r="I331" s="5">
        <f t="shared" si="65"/>
        <v>0.6</v>
      </c>
      <c r="J331" s="5">
        <f t="shared" si="66"/>
        <v>70.500002699999996</v>
      </c>
      <c r="K331" s="5">
        <f>SUMIFS(KASA!$Q:$Q, KASA!$C:$C, $C331, KASA!$B:$B, "MAL SATIŞI") + SUMIFS(KASA!$Q:$Q, KASA!$C:$C, $C331, KASA!$B:$B, "ÜRETİM ÇIKIŞ")</f>
        <v>90</v>
      </c>
      <c r="L331" s="5">
        <f>SUMIFS(KASA!$K:$K, KASA!$C:$C, $C331, KASA!$B:$B, "MAL SATIŞI") + SUMIFS(KASA!$K:$K, KASA!$C:$C, $C331, KASA!$B:$B, "ÜRETİM ÇIKIŞ")</f>
        <v>450</v>
      </c>
      <c r="M331" s="5">
        <f t="shared" si="67"/>
        <v>540</v>
      </c>
      <c r="N331" s="5">
        <f t="shared" si="68"/>
        <v>469.49999730000002</v>
      </c>
      <c r="O331" s="65">
        <f t="shared" si="69"/>
        <v>6.6595741747397135</v>
      </c>
      <c r="P331" s="5">
        <f t="shared" si="70"/>
        <v>900</v>
      </c>
      <c r="Q331" s="5">
        <f t="shared" si="71"/>
        <v>1.4</v>
      </c>
      <c r="R331" s="5">
        <f t="shared" si="72"/>
        <v>164.5000063</v>
      </c>
      <c r="S331" s="5">
        <f t="shared" si="73"/>
        <v>235.00000900000001</v>
      </c>
      <c r="T331">
        <v>0.8</v>
      </c>
      <c r="U331" s="2">
        <f t="shared" si="74"/>
        <v>0.59999999999999987</v>
      </c>
      <c r="V331">
        <f>SUMIF(KASA!$C$2:$C$9980, C331, KASA!$T$2:$T$9980)</f>
        <v>1.4</v>
      </c>
      <c r="W331">
        <f>SUMIF(KASA!$C$2:$C$9980, C331, KASA!$U$2:$U$9980)</f>
        <v>160.00000900000001</v>
      </c>
      <c r="X331" s="2">
        <f t="shared" si="75"/>
        <v>1.4</v>
      </c>
      <c r="Y331" s="2">
        <f t="shared" si="76"/>
        <v>160.00000900000001</v>
      </c>
      <c r="Z331">
        <f>SUMIF(KASA!$C$2:$C$9980, C331, KASA!$V$2:$V$9980)</f>
        <v>235.00000900000001</v>
      </c>
      <c r="AA331">
        <f t="shared" si="77"/>
        <v>75</v>
      </c>
    </row>
    <row r="332" spans="3:27" x14ac:dyDescent="0.25">
      <c r="C332" s="70" t="s">
        <v>1184</v>
      </c>
      <c r="D332" s="5">
        <f>SUMIFS(KASA!$I:$I, KASA!$C:$C, $C332, KASA!$B:$B, "MAL ALIMI") + SUMIFS(KASA!$I:$I, KASA!$C:$C, $C332, KASA!$B:$B, "ÜRETİM GİRİŞ")</f>
        <v>1</v>
      </c>
      <c r="E332" s="5" cm="1">
        <f t="array" ref="E332">IFERROR(AVERAGE(IF((KASA!$C$2:$C$9980=$C332)*((KASA!$B$2:$B$9980="MAL ALIMI")+(KASA!$B$2:$B$9980="ÜRETİM GİRİŞ")),KASA!$J$2:$J$9980)),0)</f>
        <v>190</v>
      </c>
      <c r="F332" s="5">
        <f>SUMIFS(KASA!$I:$I, KASA!$C:$C, $C332, KASA!$B:$B, "MAL SATIŞI") + SUMIFS(KASA!$I:$I, KASA!$C:$C, $C332, KASA!$B:$B, "ÜRETİM ÇIKIŞ")</f>
        <v>0.43400000000000005</v>
      </c>
      <c r="G332" s="5">
        <f>SUMIFS(KASA!$I:$I, KASA!$C:$C, $C332, KASA!$B:$B, "MAL İADE")</f>
        <v>0</v>
      </c>
      <c r="H332" s="5">
        <f>SUMIFS(KASA!$K:$K, KASA!$C:$C, $C332, KASA!$B:$B, "MAL İADE") + SUMIFS(KASA!$Q:$Q, KASA!$C:$C, $C332, KASA!$B:$B, "MAL İADE")</f>
        <v>0</v>
      </c>
      <c r="I332" s="5">
        <f t="shared" si="65"/>
        <v>0.43400000000000005</v>
      </c>
      <c r="J332" s="5">
        <f t="shared" si="66"/>
        <v>82.460000000000008</v>
      </c>
      <c r="K332" s="5">
        <f>SUMIFS(KASA!$Q:$Q, KASA!$C:$C, $C332, KASA!$B:$B, "MAL SATIŞI") + SUMIFS(KASA!$Q:$Q, KASA!$C:$C, $C332, KASA!$B:$B, "ÜRETİM ÇIKIŞ")</f>
        <v>0</v>
      </c>
      <c r="L332" s="5">
        <f>SUMIFS(KASA!$K:$K, KASA!$C:$C, $C332, KASA!$B:$B, "MAL SATIŞI") + SUMIFS(KASA!$K:$K, KASA!$C:$C, $C332, KASA!$B:$B, "ÜRETİM ÇIKIŞ")</f>
        <v>371.84000000000003</v>
      </c>
      <c r="M332" s="5">
        <f t="shared" si="67"/>
        <v>371.84000000000003</v>
      </c>
      <c r="N332" s="5">
        <f t="shared" si="68"/>
        <v>289.38</v>
      </c>
      <c r="O332" s="65">
        <f t="shared" si="69"/>
        <v>3.5093378607809842</v>
      </c>
      <c r="P332" s="5">
        <f t="shared" si="70"/>
        <v>856.77419354838707</v>
      </c>
      <c r="Q332" s="5">
        <f t="shared" si="71"/>
        <v>0.56599999999999995</v>
      </c>
      <c r="R332" s="5">
        <f t="shared" si="72"/>
        <v>107.53999999999999</v>
      </c>
      <c r="S332" s="5">
        <f t="shared" si="73"/>
        <v>190</v>
      </c>
      <c r="T332">
        <v>0.77</v>
      </c>
      <c r="U332" s="2">
        <f t="shared" si="74"/>
        <v>-0.20400000000000007</v>
      </c>
      <c r="V332">
        <f>SUMIF(KASA!$C$2:$C$9980, C332, KASA!$T$2:$T$9980)</f>
        <v>0.56599999999999995</v>
      </c>
      <c r="W332">
        <f>SUMIF(KASA!$C$2:$C$9980, C332, KASA!$U$2:$U$9980)</f>
        <v>107.53999999999999</v>
      </c>
      <c r="X332" s="2">
        <f t="shared" si="75"/>
        <v>0.56599999999999995</v>
      </c>
      <c r="Y332" s="2">
        <f t="shared" si="76"/>
        <v>107.53999999999999</v>
      </c>
      <c r="Z332">
        <f>SUMIF(KASA!$C$2:$C$9980, C332, KASA!$V$2:$V$9980)</f>
        <v>190</v>
      </c>
      <c r="AA332">
        <f t="shared" si="77"/>
        <v>82.460000000000008</v>
      </c>
    </row>
    <row r="333" spans="3:27" x14ac:dyDescent="0.25">
      <c r="C333" s="4" t="s">
        <v>1639</v>
      </c>
      <c r="D333" s="5">
        <f>SUMIFS(KASA!$I:$I, KASA!$C:$C, $C333, KASA!$B:$B, "MAL ALIMI") + SUMIFS(KASA!$I:$I, KASA!$C:$C, $C333, KASA!$B:$B, "ÜRETİM GİRİŞ")</f>
        <v>1</v>
      </c>
      <c r="E333" s="5" cm="1">
        <f t="array" ref="E333">IFERROR(AVERAGE(IF((KASA!$C$2:$C$9980=$C333)*((KASA!$B$2:$B$9980="MAL ALIMI")+(KASA!$B$2:$B$9980="ÜRETİM GİRİŞ")),KASA!$J$2:$J$9980)),0)</f>
        <v>95</v>
      </c>
      <c r="F333" s="5">
        <f>SUMIFS(KASA!$I:$I, KASA!$C:$C, $C333, KASA!$B:$B, "MAL SATIŞI") + SUMIFS(KASA!$I:$I, KASA!$C:$C, $C333, KASA!$B:$B, "ÜRETİM ÇIKIŞ")</f>
        <v>0</v>
      </c>
      <c r="G333" s="5">
        <f>SUMIFS(KASA!$I:$I, KASA!$C:$C, $C333, KASA!$B:$B, "MAL İADE")</f>
        <v>0</v>
      </c>
      <c r="H333" s="5">
        <f>SUMIFS(KASA!$K:$K, KASA!$C:$C, $C333, KASA!$B:$B, "MAL İADE") + SUMIFS(KASA!$Q:$Q, KASA!$C:$C, $C333, KASA!$B:$B, "MAL İADE")</f>
        <v>0</v>
      </c>
      <c r="I333" s="5">
        <f t="shared" si="65"/>
        <v>0</v>
      </c>
      <c r="J333" s="5">
        <f t="shared" si="66"/>
        <v>0</v>
      </c>
      <c r="K333" s="5">
        <f>SUMIFS(KASA!$Q:$Q, KASA!$C:$C, $C333, KASA!$B:$B, "MAL SATIŞI") + SUMIFS(KASA!$Q:$Q, KASA!$C:$C, $C333, KASA!$B:$B, "ÜRETİM ÇIKIŞ")</f>
        <v>0</v>
      </c>
      <c r="L333" s="5">
        <f>SUMIFS(KASA!$K:$K, KASA!$C:$C, $C333, KASA!$B:$B, "MAL SATIŞI") + SUMIFS(KASA!$K:$K, KASA!$C:$C, $C333, KASA!$B:$B, "ÜRETİM ÇIKIŞ")</f>
        <v>0</v>
      </c>
      <c r="M333" s="5">
        <f t="shared" si="67"/>
        <v>0</v>
      </c>
      <c r="N333" s="5">
        <f t="shared" si="68"/>
        <v>0</v>
      </c>
      <c r="O333" s="65">
        <f t="shared" si="69"/>
        <v>0</v>
      </c>
      <c r="P333" s="5" t="e">
        <f t="shared" si="70"/>
        <v>#DIV/0!</v>
      </c>
      <c r="Q333" s="5">
        <f t="shared" si="71"/>
        <v>1</v>
      </c>
      <c r="R333" s="5">
        <f t="shared" si="72"/>
        <v>95</v>
      </c>
      <c r="S333" s="5">
        <f t="shared" si="73"/>
        <v>95</v>
      </c>
      <c r="T333">
        <v>1</v>
      </c>
      <c r="U333" s="2">
        <f t="shared" si="74"/>
        <v>0</v>
      </c>
      <c r="V333">
        <f>SUMIF(KASA!$C$2:$C$9980, C333, KASA!$T$2:$T$9980)</f>
        <v>1</v>
      </c>
      <c r="W333">
        <f>SUMIF(KASA!$C$2:$C$9980, C333, KASA!$U$2:$U$9980)</f>
        <v>95</v>
      </c>
      <c r="X333" s="2">
        <f t="shared" si="75"/>
        <v>1</v>
      </c>
      <c r="Y333" s="2">
        <f t="shared" si="76"/>
        <v>95</v>
      </c>
      <c r="Z333">
        <f>SUMIF(KASA!$C$2:$C$9980, C333, KASA!$V$2:$V$9980)</f>
        <v>95</v>
      </c>
      <c r="AA333">
        <f t="shared" si="77"/>
        <v>0</v>
      </c>
    </row>
    <row r="334" spans="3:27" x14ac:dyDescent="0.25">
      <c r="C334" s="70" t="s">
        <v>1640</v>
      </c>
      <c r="D334" s="5">
        <f>SUMIFS(KASA!$I:$I, KASA!$C:$C, $C334, KASA!$B:$B, "MAL ALIMI") + SUMIFS(KASA!$I:$I, KASA!$C:$C, $C334, KASA!$B:$B, "ÜRETİM GİRİŞ")</f>
        <v>1</v>
      </c>
      <c r="E334" s="5" cm="1">
        <f t="array" ref="E334">IFERROR(AVERAGE(IF((KASA!$C$2:$C$9980=$C334)*((KASA!$B$2:$B$9980="MAL ALIMI")+(KASA!$B$2:$B$9980="ÜRETİM GİRİŞ")),KASA!$J$2:$J$9980)),0)</f>
        <v>345</v>
      </c>
      <c r="F334" s="5">
        <f>SUMIFS(KASA!$I:$I, KASA!$C:$C, $C334, KASA!$B:$B, "MAL SATIŞI") + SUMIFS(KASA!$I:$I, KASA!$C:$C, $C334, KASA!$B:$B, "ÜRETİM ÇIKIŞ")</f>
        <v>0.32857142857142851</v>
      </c>
      <c r="G334" s="5">
        <f>SUMIFS(KASA!$I:$I, KASA!$C:$C, $C334, KASA!$B:$B, "MAL İADE")</f>
        <v>0</v>
      </c>
      <c r="H334" s="5">
        <f>SUMIFS(KASA!$K:$K, KASA!$C:$C, $C334, KASA!$B:$B, "MAL İADE") + SUMIFS(KASA!$Q:$Q, KASA!$C:$C, $C334, KASA!$B:$B, "MAL İADE")</f>
        <v>0</v>
      </c>
      <c r="I334" s="5">
        <f t="shared" si="65"/>
        <v>0.32857142857142851</v>
      </c>
      <c r="J334" s="5">
        <f t="shared" si="66"/>
        <v>113.35714285714283</v>
      </c>
      <c r="K334" s="5">
        <f>SUMIFS(KASA!$Q:$Q, KASA!$C:$C, $C334, KASA!$B:$B, "MAL SATIŞI") + SUMIFS(KASA!$Q:$Q, KASA!$C:$C, $C334, KASA!$B:$B, "ÜRETİM ÇIKIŞ")</f>
        <v>220</v>
      </c>
      <c r="L334" s="5">
        <f>SUMIFS(KASA!$K:$K, KASA!$C:$C, $C334, KASA!$B:$B, "MAL SATIŞI") + SUMIFS(KASA!$K:$K, KASA!$C:$C, $C334, KASA!$B:$B, "ÜRETİM ÇIKIŞ")</f>
        <v>170</v>
      </c>
      <c r="M334" s="5">
        <f t="shared" si="67"/>
        <v>390</v>
      </c>
      <c r="N334" s="5">
        <f t="shared" si="68"/>
        <v>276.64285714285717</v>
      </c>
      <c r="O334" s="65">
        <f t="shared" si="69"/>
        <v>2.4404536862003789</v>
      </c>
      <c r="P334" s="5">
        <f t="shared" si="70"/>
        <v>1186.9565217391307</v>
      </c>
      <c r="Q334" s="5">
        <f t="shared" si="71"/>
        <v>0.67142857142857149</v>
      </c>
      <c r="R334" s="5">
        <f t="shared" si="72"/>
        <v>231.64285714285717</v>
      </c>
      <c r="S334" s="5">
        <f t="shared" si="73"/>
        <v>345</v>
      </c>
      <c r="U334" s="2">
        <f t="shared" si="74"/>
        <v>0.67142857142857149</v>
      </c>
      <c r="V334">
        <f>SUMIF(KASA!$C$2:$C$9980, C334, KASA!$T$2:$T$9980)</f>
        <v>0.67142857142857149</v>
      </c>
      <c r="W334">
        <f>SUMIF(KASA!$C$2:$C$9980, C334, KASA!$U$2:$U$9980)</f>
        <v>231.64285714285717</v>
      </c>
      <c r="X334" s="2">
        <f t="shared" si="75"/>
        <v>0.67142857142857149</v>
      </c>
      <c r="Y334" s="2">
        <f t="shared" si="76"/>
        <v>231.64285714285717</v>
      </c>
      <c r="Z334">
        <f>SUMIF(KASA!$C$2:$C$9980, C334, KASA!$V$2:$V$9980)</f>
        <v>345</v>
      </c>
      <c r="AA334">
        <f t="shared" si="77"/>
        <v>113.35714285714283</v>
      </c>
    </row>
    <row r="335" spans="3:27" x14ac:dyDescent="0.25">
      <c r="C335" s="70" t="s">
        <v>1641</v>
      </c>
      <c r="D335" s="5">
        <f>SUMIFS(KASA!$I:$I, KASA!$C:$C, $C335, KASA!$B:$B, "MAL ALIMI") + SUMIFS(KASA!$I:$I, KASA!$C:$C, $C335, KASA!$B:$B, "ÜRETİM GİRİŞ")</f>
        <v>1</v>
      </c>
      <c r="E335" s="5" cm="1">
        <f t="array" ref="E335">IFERROR(AVERAGE(IF((KASA!$C$2:$C$9980=$C335)*((KASA!$B$2:$B$9980="MAL ALIMI")+(KASA!$B$2:$B$9980="ÜRETİM GİRİŞ")),KASA!$J$2:$J$9980)),0)</f>
        <v>245</v>
      </c>
      <c r="F335" s="5">
        <f>SUMIFS(KASA!$I:$I, KASA!$C:$C, $C335, KASA!$B:$B, "MAL SATIŞI") + SUMIFS(KASA!$I:$I, KASA!$C:$C, $C335, KASA!$B:$B, "ÜRETİM ÇIKIŞ")</f>
        <v>0.5</v>
      </c>
      <c r="G335" s="5">
        <f>SUMIFS(KASA!$I:$I, KASA!$C:$C, $C335, KASA!$B:$B, "MAL İADE")</f>
        <v>0</v>
      </c>
      <c r="H335" s="5">
        <f>SUMIFS(KASA!$K:$K, KASA!$C:$C, $C335, KASA!$B:$B, "MAL İADE") + SUMIFS(KASA!$Q:$Q, KASA!$C:$C, $C335, KASA!$B:$B, "MAL İADE")</f>
        <v>0</v>
      </c>
      <c r="I335" s="5">
        <f t="shared" si="65"/>
        <v>0.5</v>
      </c>
      <c r="J335" s="5">
        <f t="shared" si="66"/>
        <v>122.5</v>
      </c>
      <c r="K335" s="5">
        <f>SUMIFS(KASA!$Q:$Q, KASA!$C:$C, $C335, KASA!$B:$B, "MAL SATIŞI") + SUMIFS(KASA!$Q:$Q, KASA!$C:$C, $C335, KASA!$B:$B, "ÜRETİM ÇIKIŞ")</f>
        <v>388</v>
      </c>
      <c r="L335" s="5">
        <f>SUMIFS(KASA!$K:$K, KASA!$C:$C, $C335, KASA!$B:$B, "MAL SATIŞI") + SUMIFS(KASA!$K:$K, KASA!$C:$C, $C335, KASA!$B:$B, "ÜRETİM ÇIKIŞ")</f>
        <v>95</v>
      </c>
      <c r="M335" s="5">
        <f t="shared" si="67"/>
        <v>483</v>
      </c>
      <c r="N335" s="5">
        <f t="shared" si="68"/>
        <v>360.5</v>
      </c>
      <c r="O335" s="65">
        <f t="shared" si="69"/>
        <v>2.9428571428571431</v>
      </c>
      <c r="P335" s="5">
        <f t="shared" si="70"/>
        <v>966</v>
      </c>
      <c r="Q335" s="5">
        <f t="shared" si="71"/>
        <v>0.5</v>
      </c>
      <c r="R335" s="5">
        <f t="shared" si="72"/>
        <v>122.5</v>
      </c>
      <c r="S335" s="5">
        <f t="shared" si="73"/>
        <v>245</v>
      </c>
      <c r="U335" s="2">
        <f t="shared" si="74"/>
        <v>0.5</v>
      </c>
      <c r="V335">
        <f>SUMIF(KASA!$C$2:$C$9980, C335, KASA!$T$2:$T$9980)</f>
        <v>0.5</v>
      </c>
      <c r="W335">
        <f>SUMIF(KASA!$C$2:$C$9980, C335, KASA!$U$2:$U$9980)</f>
        <v>122.5</v>
      </c>
      <c r="X335" s="2">
        <f t="shared" si="75"/>
        <v>0.5</v>
      </c>
      <c r="Y335" s="2">
        <f t="shared" si="76"/>
        <v>122.5</v>
      </c>
      <c r="Z335">
        <f>SUMIF(KASA!$C$2:$C$9980, C335, KASA!$V$2:$V$9980)</f>
        <v>245</v>
      </c>
      <c r="AA335">
        <f t="shared" si="77"/>
        <v>122.5</v>
      </c>
    </row>
    <row r="336" spans="3:27" x14ac:dyDescent="0.25">
      <c r="C336" s="70" t="s">
        <v>1642</v>
      </c>
      <c r="D336" s="5">
        <f>SUMIFS(KASA!$I:$I, KASA!$C:$C, $C336, KASA!$B:$B, "MAL ALIMI") + SUMIFS(KASA!$I:$I, KASA!$C:$C, $C336, KASA!$B:$B, "ÜRETİM GİRİŞ")</f>
        <v>1</v>
      </c>
      <c r="E336" s="5" cm="1">
        <f t="array" ref="E336">IFERROR(AVERAGE(IF((KASA!$C$2:$C$9980=$C336)*((KASA!$B$2:$B$9980="MAL ALIMI")+(KASA!$B$2:$B$9980="ÜRETİM GİRİŞ")),KASA!$J$2:$J$9980)),0)</f>
        <v>205</v>
      </c>
      <c r="F336" s="5">
        <f>SUMIFS(KASA!$I:$I, KASA!$C:$C, $C336, KASA!$B:$B, "MAL SATIŞI") + SUMIFS(KASA!$I:$I, KASA!$C:$C, $C336, KASA!$B:$B, "ÜRETİM ÇIKIŞ")</f>
        <v>0.4</v>
      </c>
      <c r="G336" s="5">
        <f>SUMIFS(KASA!$I:$I, KASA!$C:$C, $C336, KASA!$B:$B, "MAL İADE")</f>
        <v>0</v>
      </c>
      <c r="H336" s="5">
        <f>SUMIFS(KASA!$K:$K, KASA!$C:$C, $C336, KASA!$B:$B, "MAL İADE") + SUMIFS(KASA!$Q:$Q, KASA!$C:$C, $C336, KASA!$B:$B, "MAL İADE")</f>
        <v>0</v>
      </c>
      <c r="I336" s="5">
        <f t="shared" si="65"/>
        <v>0.4</v>
      </c>
      <c r="J336" s="5">
        <f t="shared" si="66"/>
        <v>82</v>
      </c>
      <c r="K336" s="5">
        <f>SUMIFS(KASA!$Q:$Q, KASA!$C:$C, $C336, KASA!$B:$B, "MAL SATIŞI") + SUMIFS(KASA!$Q:$Q, KASA!$C:$C, $C336, KASA!$B:$B, "ÜRETİM ÇIKIŞ")</f>
        <v>167</v>
      </c>
      <c r="L336" s="5">
        <f>SUMIFS(KASA!$K:$K, KASA!$C:$C, $C336, KASA!$B:$B, "MAL SATIŞI") + SUMIFS(KASA!$K:$K, KASA!$C:$C, $C336, KASA!$B:$B, "ÜRETİM ÇIKIŞ")</f>
        <v>170</v>
      </c>
      <c r="M336" s="5">
        <f t="shared" si="67"/>
        <v>337</v>
      </c>
      <c r="N336" s="5">
        <f t="shared" si="68"/>
        <v>255</v>
      </c>
      <c r="O336" s="65">
        <f t="shared" si="69"/>
        <v>3.1097560975609757</v>
      </c>
      <c r="P336" s="5">
        <f t="shared" si="70"/>
        <v>842.5</v>
      </c>
      <c r="Q336" s="5">
        <f t="shared" si="71"/>
        <v>0.6</v>
      </c>
      <c r="R336" s="5">
        <f t="shared" si="72"/>
        <v>123</v>
      </c>
      <c r="S336" s="5">
        <f t="shared" si="73"/>
        <v>205</v>
      </c>
      <c r="U336" s="2">
        <f t="shared" si="74"/>
        <v>0.6</v>
      </c>
      <c r="V336">
        <f>SUMIF(KASA!$C$2:$C$9980, C336, KASA!$T$2:$T$9980)</f>
        <v>0.6</v>
      </c>
      <c r="W336">
        <f>SUMIF(KASA!$C$2:$C$9980, C336, KASA!$U$2:$U$9980)</f>
        <v>123</v>
      </c>
      <c r="X336" s="2">
        <f t="shared" si="75"/>
        <v>0.6</v>
      </c>
      <c r="Y336" s="2">
        <f t="shared" si="76"/>
        <v>123</v>
      </c>
      <c r="Z336">
        <f>SUMIF(KASA!$C$2:$C$9980, C336, KASA!$V$2:$V$9980)</f>
        <v>205</v>
      </c>
      <c r="AA336">
        <f t="shared" si="77"/>
        <v>82</v>
      </c>
    </row>
    <row r="337" spans="3:27" x14ac:dyDescent="0.25">
      <c r="C337" s="70" t="s">
        <v>193</v>
      </c>
      <c r="D337" s="5">
        <f>SUMIFS(KASA!$I:$I, KASA!$C:$C, $C337, KASA!$B:$B, "MAL ALIMI") + SUMIFS(KASA!$I:$I, KASA!$C:$C, $C337, KASA!$B:$B, "ÜRETİM GİRİŞ")</f>
        <v>3</v>
      </c>
      <c r="E337" s="5" cm="1">
        <f t="array" ref="E337">IFERROR(AVERAGE(IF((KASA!$C$2:$C$9980=$C337)*((KASA!$B$2:$B$9980="MAL ALIMI")+(KASA!$B$2:$B$9980="ÜRETİM GİRİŞ")),KASA!$J$2:$J$9980)),0)</f>
        <v>168.33331766666666</v>
      </c>
      <c r="F337" s="5">
        <f>SUMIFS(KASA!$I:$I, KASA!$C:$C, $C337, KASA!$B:$B, "MAL SATIŞI") + SUMIFS(KASA!$I:$I, KASA!$C:$C, $C337, KASA!$B:$B, "ÜRETİM ÇIKIŞ")</f>
        <v>1.8530000000000006</v>
      </c>
      <c r="G337" s="5">
        <f>SUMIFS(KASA!$I:$I, KASA!$C:$C, $C337, KASA!$B:$B, "MAL İADE")</f>
        <v>0</v>
      </c>
      <c r="H337" s="5">
        <f>SUMIFS(KASA!$K:$K, KASA!$C:$C, $C337, KASA!$B:$B, "MAL İADE") + SUMIFS(KASA!$Q:$Q, KASA!$C:$C, $C337, KASA!$B:$B, "MAL İADE")</f>
        <v>0</v>
      </c>
      <c r="I337" s="5">
        <f t="shared" si="65"/>
        <v>1.8530000000000006</v>
      </c>
      <c r="J337" s="5">
        <f t="shared" si="66"/>
        <v>311.9216376363334</v>
      </c>
      <c r="K337" s="5">
        <f>SUMIFS(KASA!$Q:$Q, KASA!$C:$C, $C337, KASA!$B:$B, "MAL SATIŞI") + SUMIFS(KASA!$Q:$Q, KASA!$C:$C, $C337, KASA!$B:$B, "ÜRETİM ÇIKIŞ")</f>
        <v>1169.4000000000001</v>
      </c>
      <c r="L337" s="5">
        <f>SUMIFS(KASA!$K:$K, KASA!$C:$C, $C337, KASA!$B:$B, "MAL SATIŞI") + SUMIFS(KASA!$K:$K, KASA!$C:$C, $C337, KASA!$B:$B, "ÜRETİM ÇIKIŞ")</f>
        <v>881.8</v>
      </c>
      <c r="M337" s="5">
        <f t="shared" si="67"/>
        <v>2051.1999999999998</v>
      </c>
      <c r="N337" s="5">
        <f t="shared" si="68"/>
        <v>1739.2783623636665</v>
      </c>
      <c r="O337" s="65">
        <f t="shared" si="69"/>
        <v>5.5760106145360631</v>
      </c>
      <c r="P337" s="5">
        <f t="shared" si="70"/>
        <v>1106.9616837560707</v>
      </c>
      <c r="Q337" s="5">
        <f t="shared" si="71"/>
        <v>1.1469999999999994</v>
      </c>
      <c r="R337" s="5">
        <f t="shared" si="72"/>
        <v>193.07831536366655</v>
      </c>
      <c r="S337" s="5">
        <f t="shared" si="73"/>
        <v>504.999953</v>
      </c>
      <c r="T337">
        <v>0.69</v>
      </c>
      <c r="U337" s="2">
        <f t="shared" si="74"/>
        <v>0.45699999999999941</v>
      </c>
      <c r="V337">
        <f>SUMIF(KASA!$C$2:$C$9980, C337, KASA!$T$2:$T$9980)</f>
        <v>1.1469999999999994</v>
      </c>
      <c r="W337">
        <f>SUMIF(KASA!$C$2:$C$9980, C337, KASA!$U$2:$U$9980)</f>
        <v>177.0499529999999</v>
      </c>
      <c r="X337" s="2">
        <f t="shared" si="75"/>
        <v>1.1469999999999994</v>
      </c>
      <c r="Y337" s="2">
        <f t="shared" si="76"/>
        <v>177.0499529999999</v>
      </c>
      <c r="Z337">
        <f>SUMIF(KASA!$C$2:$C$9980, C337, KASA!$V$2:$V$9980)</f>
        <v>504.999953</v>
      </c>
      <c r="AA337">
        <f t="shared" si="77"/>
        <v>327.9500000000001</v>
      </c>
    </row>
    <row r="338" spans="3:27" x14ac:dyDescent="0.25">
      <c r="C338" s="4" t="s">
        <v>1643</v>
      </c>
      <c r="D338" s="5">
        <f>SUMIFS(KASA!$I:$I, KASA!$C:$C, $C338, KASA!$B:$B, "MAL ALIMI") + SUMIFS(KASA!$I:$I, KASA!$C:$C, $C338, KASA!$B:$B, "ÜRETİM GİRİŞ")</f>
        <v>1</v>
      </c>
      <c r="E338" s="5" cm="1">
        <f t="array" ref="E338">IFERROR(AVERAGE(IF((KASA!$C$2:$C$9980=$C338)*((KASA!$B$2:$B$9980="MAL ALIMI")+(KASA!$B$2:$B$9980="ÜRETİM GİRİŞ")),KASA!$J$2:$J$9980)),0)</f>
        <v>140</v>
      </c>
      <c r="F338" s="5">
        <f>SUMIFS(KASA!$I:$I, KASA!$C:$C, $C338, KASA!$B:$B, "MAL SATIŞI") + SUMIFS(KASA!$I:$I, KASA!$C:$C, $C338, KASA!$B:$B, "ÜRETİM ÇIKIŞ")</f>
        <v>0</v>
      </c>
      <c r="G338" s="5">
        <f>SUMIFS(KASA!$I:$I, KASA!$C:$C, $C338, KASA!$B:$B, "MAL İADE")</f>
        <v>0</v>
      </c>
      <c r="H338" s="5">
        <f>SUMIFS(KASA!$K:$K, KASA!$C:$C, $C338, KASA!$B:$B, "MAL İADE") + SUMIFS(KASA!$Q:$Q, KASA!$C:$C, $C338, KASA!$B:$B, "MAL İADE")</f>
        <v>0</v>
      </c>
      <c r="I338" s="5">
        <f t="shared" si="65"/>
        <v>0</v>
      </c>
      <c r="J338" s="5">
        <f t="shared" si="66"/>
        <v>0</v>
      </c>
      <c r="K338" s="5">
        <f>SUMIFS(KASA!$Q:$Q, KASA!$C:$C, $C338, KASA!$B:$B, "MAL SATIŞI") + SUMIFS(KASA!$Q:$Q, KASA!$C:$C, $C338, KASA!$B:$B, "ÜRETİM ÇIKIŞ")</f>
        <v>0</v>
      </c>
      <c r="L338" s="5">
        <f>SUMIFS(KASA!$K:$K, KASA!$C:$C, $C338, KASA!$B:$B, "MAL SATIŞI") + SUMIFS(KASA!$K:$K, KASA!$C:$C, $C338, KASA!$B:$B, "ÜRETİM ÇIKIŞ")</f>
        <v>0</v>
      </c>
      <c r="M338" s="5">
        <f t="shared" si="67"/>
        <v>0</v>
      </c>
      <c r="N338" s="5">
        <f t="shared" si="68"/>
        <v>0</v>
      </c>
      <c r="O338" s="65">
        <f t="shared" si="69"/>
        <v>0</v>
      </c>
      <c r="P338" s="5" t="e">
        <f t="shared" si="70"/>
        <v>#DIV/0!</v>
      </c>
      <c r="Q338" s="5">
        <f t="shared" si="71"/>
        <v>1</v>
      </c>
      <c r="R338" s="5">
        <f t="shared" si="72"/>
        <v>140</v>
      </c>
      <c r="S338" s="5">
        <f t="shared" si="73"/>
        <v>140</v>
      </c>
      <c r="T338">
        <v>1</v>
      </c>
      <c r="U338" s="2">
        <f t="shared" si="74"/>
        <v>0</v>
      </c>
      <c r="V338">
        <f>SUMIF(KASA!$C$2:$C$9980, C338, KASA!$T$2:$T$9980)</f>
        <v>1</v>
      </c>
      <c r="W338">
        <f>SUMIF(KASA!$C$2:$C$9980, C338, KASA!$U$2:$U$9980)</f>
        <v>140</v>
      </c>
      <c r="X338" s="2">
        <f t="shared" si="75"/>
        <v>1</v>
      </c>
      <c r="Y338" s="2">
        <f t="shared" si="76"/>
        <v>140</v>
      </c>
      <c r="Z338">
        <f>SUMIF(KASA!$C$2:$C$9980, C338, KASA!$V$2:$V$9980)</f>
        <v>140</v>
      </c>
      <c r="AA338">
        <f t="shared" si="77"/>
        <v>0</v>
      </c>
    </row>
    <row r="339" spans="3:27" x14ac:dyDescent="0.25">
      <c r="C339" s="4" t="s">
        <v>1644</v>
      </c>
      <c r="D339" s="5">
        <f>SUMIFS(KASA!$I:$I, KASA!$C:$C, $C339, KASA!$B:$B, "MAL ALIMI") + SUMIFS(KASA!$I:$I, KASA!$C:$C, $C339, KASA!$B:$B, "ÜRETİM GİRİŞ")</f>
        <v>1</v>
      </c>
      <c r="E339" s="5" cm="1">
        <f t="array" ref="E339">IFERROR(AVERAGE(IF((KASA!$C$2:$C$9980=$C339)*((KASA!$B$2:$B$9980="MAL ALIMI")+(KASA!$B$2:$B$9980="ÜRETİM GİRİŞ")),KASA!$J$2:$J$9980)),0)</f>
        <v>270</v>
      </c>
      <c r="F339" s="5">
        <f>SUMIFS(KASA!$I:$I, KASA!$C:$C, $C339, KASA!$B:$B, "MAL SATIŞI") + SUMIFS(KASA!$I:$I, KASA!$C:$C, $C339, KASA!$B:$B, "ÜRETİM ÇIKIŞ")</f>
        <v>0</v>
      </c>
      <c r="G339" s="5">
        <f>SUMIFS(KASA!$I:$I, KASA!$C:$C, $C339, KASA!$B:$B, "MAL İADE")</f>
        <v>0</v>
      </c>
      <c r="H339" s="5">
        <f>SUMIFS(KASA!$K:$K, KASA!$C:$C, $C339, KASA!$B:$B, "MAL İADE") + SUMIFS(KASA!$Q:$Q, KASA!$C:$C, $C339, KASA!$B:$B, "MAL İADE")</f>
        <v>0</v>
      </c>
      <c r="I339" s="5">
        <f t="shared" si="65"/>
        <v>0</v>
      </c>
      <c r="J339" s="5">
        <f t="shared" si="66"/>
        <v>0</v>
      </c>
      <c r="K339" s="5">
        <f>SUMIFS(KASA!$Q:$Q, KASA!$C:$C, $C339, KASA!$B:$B, "MAL SATIŞI") + SUMIFS(KASA!$Q:$Q, KASA!$C:$C, $C339, KASA!$B:$B, "ÜRETİM ÇIKIŞ")</f>
        <v>0</v>
      </c>
      <c r="L339" s="5">
        <f>SUMIFS(KASA!$K:$K, KASA!$C:$C, $C339, KASA!$B:$B, "MAL SATIŞI") + SUMIFS(KASA!$K:$K, KASA!$C:$C, $C339, KASA!$B:$B, "ÜRETİM ÇIKIŞ")</f>
        <v>0</v>
      </c>
      <c r="M339" s="5">
        <f t="shared" si="67"/>
        <v>0</v>
      </c>
      <c r="N339" s="5">
        <f t="shared" si="68"/>
        <v>0</v>
      </c>
      <c r="O339" s="65">
        <f t="shared" si="69"/>
        <v>0</v>
      </c>
      <c r="P339" s="5" t="e">
        <f t="shared" si="70"/>
        <v>#DIV/0!</v>
      </c>
      <c r="Q339" s="5">
        <f t="shared" si="71"/>
        <v>1</v>
      </c>
      <c r="R339" s="5">
        <f t="shared" si="72"/>
        <v>270</v>
      </c>
      <c r="S339" s="5">
        <f t="shared" si="73"/>
        <v>270</v>
      </c>
      <c r="T339">
        <v>1</v>
      </c>
      <c r="U339" s="2">
        <f t="shared" si="74"/>
        <v>0</v>
      </c>
      <c r="V339">
        <f>SUMIF(KASA!$C$2:$C$9980, C339, KASA!$T$2:$T$9980)</f>
        <v>1</v>
      </c>
      <c r="W339">
        <f>SUMIF(KASA!$C$2:$C$9980, C339, KASA!$U$2:$U$9980)</f>
        <v>270</v>
      </c>
      <c r="X339" s="2">
        <f t="shared" si="75"/>
        <v>1</v>
      </c>
      <c r="Y339" s="2">
        <f t="shared" si="76"/>
        <v>270</v>
      </c>
      <c r="Z339">
        <f>SUMIF(KASA!$C$2:$C$9980, C339, KASA!$V$2:$V$9980)</f>
        <v>270</v>
      </c>
      <c r="AA339">
        <f t="shared" si="77"/>
        <v>0</v>
      </c>
    </row>
    <row r="340" spans="3:27" x14ac:dyDescent="0.25">
      <c r="C340" s="4" t="s">
        <v>1645</v>
      </c>
      <c r="D340" s="5">
        <f>SUMIFS(KASA!$I:$I, KASA!$C:$C, $C340, KASA!$B:$B, "MAL ALIMI") + SUMIFS(KASA!$I:$I, KASA!$C:$C, $C340, KASA!$B:$B, "ÜRETİM GİRİŞ")</f>
        <v>1</v>
      </c>
      <c r="E340" s="5" cm="1">
        <f t="array" ref="E340">IFERROR(AVERAGE(IF((KASA!$C$2:$C$9980=$C340)*((KASA!$B$2:$B$9980="MAL ALIMI")+(KASA!$B$2:$B$9980="ÜRETİM GİRİŞ")),KASA!$J$2:$J$9980)),0)</f>
        <v>65</v>
      </c>
      <c r="F340" s="5">
        <f>SUMIFS(KASA!$I:$I, KASA!$C:$C, $C340, KASA!$B:$B, "MAL SATIŞI") + SUMIFS(KASA!$I:$I, KASA!$C:$C, $C340, KASA!$B:$B, "ÜRETİM ÇIKIŞ")</f>
        <v>0</v>
      </c>
      <c r="G340" s="5">
        <f>SUMIFS(KASA!$I:$I, KASA!$C:$C, $C340, KASA!$B:$B, "MAL İADE")</f>
        <v>0</v>
      </c>
      <c r="H340" s="5">
        <f>SUMIFS(KASA!$K:$K, KASA!$C:$C, $C340, KASA!$B:$B, "MAL İADE") + SUMIFS(KASA!$Q:$Q, KASA!$C:$C, $C340, KASA!$B:$B, "MAL İADE")</f>
        <v>0</v>
      </c>
      <c r="I340" s="5">
        <f t="shared" si="65"/>
        <v>0</v>
      </c>
      <c r="J340" s="5">
        <f t="shared" si="66"/>
        <v>0</v>
      </c>
      <c r="K340" s="5">
        <f>SUMIFS(KASA!$Q:$Q, KASA!$C:$C, $C340, KASA!$B:$B, "MAL SATIŞI") + SUMIFS(KASA!$Q:$Q, KASA!$C:$C, $C340, KASA!$B:$B, "ÜRETİM ÇIKIŞ")</f>
        <v>0</v>
      </c>
      <c r="L340" s="5">
        <f>SUMIFS(KASA!$K:$K, KASA!$C:$C, $C340, KASA!$B:$B, "MAL SATIŞI") + SUMIFS(KASA!$K:$K, KASA!$C:$C, $C340, KASA!$B:$B, "ÜRETİM ÇIKIŞ")</f>
        <v>0</v>
      </c>
      <c r="M340" s="5">
        <f t="shared" si="67"/>
        <v>0</v>
      </c>
      <c r="N340" s="5">
        <f t="shared" si="68"/>
        <v>0</v>
      </c>
      <c r="O340" s="65">
        <f t="shared" si="69"/>
        <v>0</v>
      </c>
      <c r="P340" s="5" t="e">
        <f t="shared" si="70"/>
        <v>#DIV/0!</v>
      </c>
      <c r="Q340" s="5">
        <f t="shared" si="71"/>
        <v>1</v>
      </c>
      <c r="R340" s="5">
        <f t="shared" si="72"/>
        <v>65</v>
      </c>
      <c r="S340" s="5">
        <f t="shared" si="73"/>
        <v>65</v>
      </c>
      <c r="T340">
        <v>1</v>
      </c>
      <c r="U340" s="2">
        <f t="shared" si="74"/>
        <v>0</v>
      </c>
      <c r="V340">
        <f>SUMIF(KASA!$C$2:$C$9980, C340, KASA!$T$2:$T$9980)</f>
        <v>1</v>
      </c>
      <c r="W340">
        <f>SUMIF(KASA!$C$2:$C$9980, C340, KASA!$U$2:$U$9980)</f>
        <v>65</v>
      </c>
      <c r="X340" s="2">
        <f t="shared" si="75"/>
        <v>1</v>
      </c>
      <c r="Y340" s="2">
        <f t="shared" si="76"/>
        <v>65</v>
      </c>
      <c r="Z340">
        <f>SUMIF(KASA!$C$2:$C$9980, C340, KASA!$V$2:$V$9980)</f>
        <v>65</v>
      </c>
      <c r="AA340">
        <f t="shared" si="77"/>
        <v>0</v>
      </c>
    </row>
    <row r="341" spans="3:27" x14ac:dyDescent="0.25">
      <c r="C341" s="4" t="s">
        <v>1646</v>
      </c>
      <c r="D341" s="5">
        <f>SUMIFS(KASA!$I:$I, KASA!$C:$C, $C341, KASA!$B:$B, "MAL ALIMI") + SUMIFS(KASA!$I:$I, KASA!$C:$C, $C341, KASA!$B:$B, "ÜRETİM GİRİŞ")</f>
        <v>1</v>
      </c>
      <c r="E341" s="5" cm="1">
        <f t="array" ref="E341">IFERROR(AVERAGE(IF((KASA!$C$2:$C$9980=$C341)*((KASA!$B$2:$B$9980="MAL ALIMI")+(KASA!$B$2:$B$9980="ÜRETİM GİRİŞ")),KASA!$J$2:$J$9980)),0)</f>
        <v>195</v>
      </c>
      <c r="F341" s="5">
        <f>SUMIFS(KASA!$I:$I, KASA!$C:$C, $C341, KASA!$B:$B, "MAL SATIŞI") + SUMIFS(KASA!$I:$I, KASA!$C:$C, $C341, KASA!$B:$B, "ÜRETİM ÇIKIŞ")</f>
        <v>0.12820512820512819</v>
      </c>
      <c r="G341" s="5">
        <f>SUMIFS(KASA!$I:$I, KASA!$C:$C, $C341, KASA!$B:$B, "MAL İADE")</f>
        <v>0</v>
      </c>
      <c r="H341" s="5">
        <f>SUMIFS(KASA!$K:$K, KASA!$C:$C, $C341, KASA!$B:$B, "MAL İADE") + SUMIFS(KASA!$Q:$Q, KASA!$C:$C, $C341, KASA!$B:$B, "MAL İADE")</f>
        <v>0</v>
      </c>
      <c r="I341" s="5">
        <f t="shared" si="65"/>
        <v>0.12820512820512819</v>
      </c>
      <c r="J341" s="5">
        <f t="shared" si="66"/>
        <v>24.999999999999996</v>
      </c>
      <c r="K341" s="5">
        <f>SUMIFS(KASA!$Q:$Q, KASA!$C:$C, $C341, KASA!$B:$B, "MAL SATIŞI") + SUMIFS(KASA!$Q:$Q, KASA!$C:$C, $C341, KASA!$B:$B, "ÜRETİM ÇIKIŞ")</f>
        <v>0</v>
      </c>
      <c r="L341" s="5">
        <f>SUMIFS(KASA!$K:$K, KASA!$C:$C, $C341, KASA!$B:$B, "MAL SATIŞI") + SUMIFS(KASA!$K:$K, KASA!$C:$C, $C341, KASA!$B:$B, "ÜRETİM ÇIKIŞ")</f>
        <v>99.999999999999986</v>
      </c>
      <c r="M341" s="5">
        <f t="shared" si="67"/>
        <v>99.999999999999986</v>
      </c>
      <c r="N341" s="5">
        <f t="shared" si="68"/>
        <v>74.999999999999986</v>
      </c>
      <c r="O341" s="65">
        <f t="shared" si="69"/>
        <v>3</v>
      </c>
      <c r="P341" s="5">
        <f t="shared" si="70"/>
        <v>780</v>
      </c>
      <c r="Q341" s="5">
        <f t="shared" si="71"/>
        <v>0.87179487179487181</v>
      </c>
      <c r="R341" s="5">
        <f t="shared" si="72"/>
        <v>170</v>
      </c>
      <c r="S341" s="5">
        <f t="shared" si="73"/>
        <v>195</v>
      </c>
      <c r="T341">
        <v>1</v>
      </c>
      <c r="U341" s="2">
        <f t="shared" si="74"/>
        <v>-0.12820512820512819</v>
      </c>
      <c r="V341">
        <f>SUMIF(KASA!$C$2:$C$9980, C341, KASA!$T$2:$T$9980)</f>
        <v>0.87179487179487181</v>
      </c>
      <c r="W341">
        <f>SUMIF(KASA!$C$2:$C$9980, C341, KASA!$U$2:$U$9980)</f>
        <v>170</v>
      </c>
      <c r="X341" s="2">
        <f t="shared" si="75"/>
        <v>0.87179487179487181</v>
      </c>
      <c r="Y341" s="2">
        <f t="shared" si="76"/>
        <v>170</v>
      </c>
      <c r="Z341">
        <f>SUMIF(KASA!$C$2:$C$9980, C341, KASA!$V$2:$V$9980)</f>
        <v>195</v>
      </c>
      <c r="AA341">
        <f t="shared" si="77"/>
        <v>25</v>
      </c>
    </row>
    <row r="342" spans="3:27" x14ac:dyDescent="0.25">
      <c r="C342" s="4" t="s">
        <v>1647</v>
      </c>
      <c r="D342" s="5">
        <f>SUMIFS(KASA!$I:$I, KASA!$C:$C, $C342, KASA!$B:$B, "MAL ALIMI") + SUMIFS(KASA!$I:$I, KASA!$C:$C, $C342, KASA!$B:$B, "ÜRETİM GİRİŞ")</f>
        <v>1</v>
      </c>
      <c r="E342" s="5" cm="1">
        <f t="array" ref="E342">IFERROR(AVERAGE(IF((KASA!$C$2:$C$9980=$C342)*((KASA!$B$2:$B$9980="MAL ALIMI")+(KASA!$B$2:$B$9980="ÜRETİM GİRİŞ")),KASA!$J$2:$J$9980)),0)</f>
        <v>115</v>
      </c>
      <c r="F342" s="5">
        <f>SUMIFS(KASA!$I:$I, KASA!$C:$C, $C342, KASA!$B:$B, "MAL SATIŞI") + SUMIFS(KASA!$I:$I, KASA!$C:$C, $C342, KASA!$B:$B, "ÜRETİM ÇIKIŞ")</f>
        <v>0.1</v>
      </c>
      <c r="G342" s="5">
        <f>SUMIFS(KASA!$I:$I, KASA!$C:$C, $C342, KASA!$B:$B, "MAL İADE")</f>
        <v>0</v>
      </c>
      <c r="H342" s="5">
        <f>SUMIFS(KASA!$K:$K, KASA!$C:$C, $C342, KASA!$B:$B, "MAL İADE") + SUMIFS(KASA!$Q:$Q, KASA!$C:$C, $C342, KASA!$B:$B, "MAL İADE")</f>
        <v>0</v>
      </c>
      <c r="I342" s="5">
        <f t="shared" si="65"/>
        <v>0.1</v>
      </c>
      <c r="J342" s="5">
        <f t="shared" si="66"/>
        <v>11.5</v>
      </c>
      <c r="K342" s="5">
        <f>SUMIFS(KASA!$Q:$Q, KASA!$C:$C, $C342, KASA!$B:$B, "MAL SATIŞI") + SUMIFS(KASA!$Q:$Q, KASA!$C:$C, $C342, KASA!$B:$B, "ÜRETİM ÇIKIŞ")</f>
        <v>60</v>
      </c>
      <c r="L342" s="5">
        <f>SUMIFS(KASA!$K:$K, KASA!$C:$C, $C342, KASA!$B:$B, "MAL SATIŞI") + SUMIFS(KASA!$K:$K, KASA!$C:$C, $C342, KASA!$B:$B, "ÜRETİM ÇIKIŞ")</f>
        <v>0</v>
      </c>
      <c r="M342" s="5">
        <f t="shared" si="67"/>
        <v>60</v>
      </c>
      <c r="N342" s="5">
        <f t="shared" si="68"/>
        <v>48.5</v>
      </c>
      <c r="O342" s="65">
        <f t="shared" si="69"/>
        <v>4.2173913043478262</v>
      </c>
      <c r="P342" s="5">
        <f t="shared" si="70"/>
        <v>600</v>
      </c>
      <c r="Q342" s="5">
        <f t="shared" si="71"/>
        <v>0.9</v>
      </c>
      <c r="R342" s="5">
        <f t="shared" si="72"/>
        <v>103.5</v>
      </c>
      <c r="S342" s="5">
        <f t="shared" si="73"/>
        <v>115</v>
      </c>
      <c r="T342">
        <v>1</v>
      </c>
      <c r="U342" s="2">
        <f t="shared" si="74"/>
        <v>-9.9999999999999978E-2</v>
      </c>
      <c r="V342">
        <f>SUMIF(KASA!$C$2:$C$9980, C342, KASA!$T$2:$T$9980)</f>
        <v>0.9</v>
      </c>
      <c r="W342">
        <f>SUMIF(KASA!$C$2:$C$9980, C342, KASA!$U$2:$U$9980)</f>
        <v>103.5</v>
      </c>
      <c r="X342" s="2">
        <f t="shared" si="75"/>
        <v>0.9</v>
      </c>
      <c r="Y342" s="2">
        <f t="shared" si="76"/>
        <v>103.5</v>
      </c>
      <c r="Z342">
        <f>SUMIF(KASA!$C$2:$C$9980, C342, KASA!$V$2:$V$9980)</f>
        <v>115</v>
      </c>
      <c r="AA342">
        <f t="shared" si="77"/>
        <v>11.5</v>
      </c>
    </row>
    <row r="343" spans="3:27" x14ac:dyDescent="0.25">
      <c r="C343" s="70" t="s">
        <v>1648</v>
      </c>
      <c r="D343" s="5">
        <f>SUMIFS(KASA!$I:$I, KASA!$C:$C, $C343, KASA!$B:$B, "MAL ALIMI") + SUMIFS(KASA!$I:$I, KASA!$C:$C, $C343, KASA!$B:$B, "ÜRETİM GİRİŞ")</f>
        <v>1</v>
      </c>
      <c r="E343" s="5" cm="1">
        <f t="array" ref="E343">IFERROR(AVERAGE(IF((KASA!$C$2:$C$9980=$C343)*((KASA!$B$2:$B$9980="MAL ALIMI")+(KASA!$B$2:$B$9980="ÜRETİM GİRİŞ")),KASA!$J$2:$J$9980)),0)</f>
        <v>280</v>
      </c>
      <c r="F343" s="5">
        <f>SUMIFS(KASA!$I:$I, KASA!$C:$C, $C343, KASA!$B:$B, "MAL SATIŞI") + SUMIFS(KASA!$I:$I, KASA!$C:$C, $C343, KASA!$B:$B, "ÜRETİM ÇIKIŞ")</f>
        <v>1</v>
      </c>
      <c r="G343" s="5">
        <f>SUMIFS(KASA!$I:$I, KASA!$C:$C, $C343, KASA!$B:$B, "MAL İADE")</f>
        <v>0</v>
      </c>
      <c r="H343" s="5">
        <f>SUMIFS(KASA!$K:$K, KASA!$C:$C, $C343, KASA!$B:$B, "MAL İADE") + SUMIFS(KASA!$Q:$Q, KASA!$C:$C, $C343, KASA!$B:$B, "MAL İADE")</f>
        <v>0</v>
      </c>
      <c r="I343" s="5">
        <f t="shared" si="65"/>
        <v>1</v>
      </c>
      <c r="J343" s="5">
        <f t="shared" si="66"/>
        <v>280</v>
      </c>
      <c r="K343" s="5">
        <f>SUMIFS(KASA!$Q:$Q, KASA!$C:$C, $C343, KASA!$B:$B, "MAL SATIŞI") + SUMIFS(KASA!$Q:$Q, KASA!$C:$C, $C343, KASA!$B:$B, "ÜRETİM ÇIKIŞ")</f>
        <v>361.36</v>
      </c>
      <c r="L343" s="5">
        <f>SUMIFS(KASA!$K:$K, KASA!$C:$C, $C343, KASA!$B:$B, "MAL SATIŞI") + SUMIFS(KASA!$K:$K, KASA!$C:$C, $C343, KASA!$B:$B, "ÜRETİM ÇIKIŞ")</f>
        <v>38</v>
      </c>
      <c r="M343" s="5">
        <f t="shared" si="67"/>
        <v>399.36</v>
      </c>
      <c r="N343" s="5">
        <f t="shared" si="68"/>
        <v>119.36000000000001</v>
      </c>
      <c r="O343" s="65">
        <f t="shared" si="69"/>
        <v>0.42628571428571432</v>
      </c>
      <c r="P343" s="5">
        <f t="shared" si="70"/>
        <v>399.36</v>
      </c>
      <c r="Q343" s="5">
        <f t="shared" si="71"/>
        <v>0</v>
      </c>
      <c r="R343" s="5">
        <f t="shared" si="72"/>
        <v>0</v>
      </c>
      <c r="S343" s="5">
        <f t="shared" si="73"/>
        <v>280</v>
      </c>
      <c r="T343">
        <v>0.86</v>
      </c>
      <c r="U343" s="2">
        <f t="shared" si="74"/>
        <v>-0.86</v>
      </c>
      <c r="V343">
        <f>SUMIF(KASA!$C$2:$C$9980, C343, KASA!$T$2:$T$9980)</f>
        <v>0</v>
      </c>
      <c r="W343">
        <f>SUMIF(KASA!$C$2:$C$9980, C343, KASA!$U$2:$U$9980)</f>
        <v>0</v>
      </c>
      <c r="X343" s="2">
        <f t="shared" si="75"/>
        <v>0</v>
      </c>
      <c r="Y343" s="2">
        <f t="shared" si="76"/>
        <v>0</v>
      </c>
      <c r="Z343">
        <f>SUMIF(KASA!$C$2:$C$9980, C343, KASA!$V$2:$V$9980)</f>
        <v>280</v>
      </c>
      <c r="AA343">
        <f t="shared" si="77"/>
        <v>280</v>
      </c>
    </row>
    <row r="344" spans="3:27" x14ac:dyDescent="0.25">
      <c r="C344" s="70" t="s">
        <v>1649</v>
      </c>
      <c r="D344" s="5">
        <f>SUMIFS(KASA!$I:$I, KASA!$C:$C, $C344, KASA!$B:$B, "MAL ALIMI") + SUMIFS(KASA!$I:$I, KASA!$C:$C, $C344, KASA!$B:$B, "ÜRETİM GİRİŞ")</f>
        <v>1</v>
      </c>
      <c r="E344" s="5" cm="1">
        <f t="array" ref="E344">IFERROR(AVERAGE(IF((KASA!$C$2:$C$9980=$C344)*((KASA!$B$2:$B$9980="MAL ALIMI")+(KASA!$B$2:$B$9980="ÜRETİM GİRİŞ")),KASA!$J$2:$J$9980)),0)</f>
        <v>280</v>
      </c>
      <c r="F344" s="5">
        <f>SUMIFS(KASA!$I:$I, KASA!$C:$C, $C344, KASA!$B:$B, "MAL SATIŞI") + SUMIFS(KASA!$I:$I, KASA!$C:$C, $C344, KASA!$B:$B, "ÜRETİM ÇIKIŞ")</f>
        <v>0.125</v>
      </c>
      <c r="G344" s="5">
        <f>SUMIFS(KASA!$I:$I, KASA!$C:$C, $C344, KASA!$B:$B, "MAL İADE")</f>
        <v>0</v>
      </c>
      <c r="H344" s="5">
        <f>SUMIFS(KASA!$K:$K, KASA!$C:$C, $C344, KASA!$B:$B, "MAL İADE") + SUMIFS(KASA!$Q:$Q, KASA!$C:$C, $C344, KASA!$B:$B, "MAL İADE")</f>
        <v>0</v>
      </c>
      <c r="I344" s="5">
        <f t="shared" si="65"/>
        <v>0.125</v>
      </c>
      <c r="J344" s="5">
        <f t="shared" si="66"/>
        <v>35</v>
      </c>
      <c r="K344" s="5">
        <f>SUMIFS(KASA!$Q:$Q, KASA!$C:$C, $C344, KASA!$B:$B, "MAL SATIŞI") + SUMIFS(KASA!$Q:$Q, KASA!$C:$C, $C344, KASA!$B:$B, "ÜRETİM ÇIKIŞ")</f>
        <v>47</v>
      </c>
      <c r="L344" s="5">
        <f>SUMIFS(KASA!$K:$K, KASA!$C:$C, $C344, KASA!$B:$B, "MAL SATIŞI") + SUMIFS(KASA!$K:$K, KASA!$C:$C, $C344, KASA!$B:$B, "ÜRETİM ÇIKIŞ")</f>
        <v>49.994999999999997</v>
      </c>
      <c r="M344" s="5">
        <f t="shared" si="67"/>
        <v>96.995000000000005</v>
      </c>
      <c r="N344" s="5">
        <f t="shared" si="68"/>
        <v>61.995000000000005</v>
      </c>
      <c r="O344" s="65">
        <f t="shared" si="69"/>
        <v>1.7712857142857144</v>
      </c>
      <c r="P344" s="5">
        <f t="shared" si="70"/>
        <v>775.96</v>
      </c>
      <c r="Q344" s="5">
        <f t="shared" si="71"/>
        <v>0.875</v>
      </c>
      <c r="R344" s="5">
        <f t="shared" si="72"/>
        <v>245</v>
      </c>
      <c r="S344" s="5">
        <f t="shared" si="73"/>
        <v>280</v>
      </c>
      <c r="T344">
        <v>0.97</v>
      </c>
      <c r="U344" s="2">
        <f t="shared" si="74"/>
        <v>-9.4999999999999973E-2</v>
      </c>
      <c r="V344">
        <f>SUMIF(KASA!$C$2:$C$9980, C344, KASA!$T$2:$T$9980)</f>
        <v>0.875</v>
      </c>
      <c r="W344">
        <f>SUMIF(KASA!$C$2:$C$9980, C344, KASA!$U$2:$U$9980)</f>
        <v>245</v>
      </c>
      <c r="X344" s="2">
        <f t="shared" si="75"/>
        <v>0.875</v>
      </c>
      <c r="Y344" s="2">
        <f t="shared" si="76"/>
        <v>245</v>
      </c>
      <c r="Z344">
        <f>SUMIF(KASA!$C$2:$C$9980, C344, KASA!$V$2:$V$9980)</f>
        <v>280</v>
      </c>
      <c r="AA344">
        <f t="shared" si="77"/>
        <v>35</v>
      </c>
    </row>
    <row r="345" spans="3:27" x14ac:dyDescent="0.25">
      <c r="C345" s="4" t="s">
        <v>1650</v>
      </c>
      <c r="D345" s="5">
        <f>SUMIFS(KASA!$I:$I, KASA!$C:$C, $C345, KASA!$B:$B, "MAL ALIMI") + SUMIFS(KASA!$I:$I, KASA!$C:$C, $C345, KASA!$B:$B, "ÜRETİM GİRİŞ")</f>
        <v>1</v>
      </c>
      <c r="E345" s="5" cm="1">
        <f t="array" ref="E345">IFERROR(AVERAGE(IF((KASA!$C$2:$C$9980=$C345)*((KASA!$B$2:$B$9980="MAL ALIMI")+(KASA!$B$2:$B$9980="ÜRETİM GİRİŞ")),KASA!$J$2:$J$9980)),0)</f>
        <v>95</v>
      </c>
      <c r="F345" s="5">
        <f>SUMIFS(KASA!$I:$I, KASA!$C:$C, $C345, KASA!$B:$B, "MAL SATIŞI") + SUMIFS(KASA!$I:$I, KASA!$C:$C, $C345, KASA!$B:$B, "ÜRETİM ÇIKIŞ")</f>
        <v>0.04</v>
      </c>
      <c r="G345" s="5">
        <f>SUMIFS(KASA!$I:$I, KASA!$C:$C, $C345, KASA!$B:$B, "MAL İADE")</f>
        <v>0</v>
      </c>
      <c r="H345" s="5">
        <f>SUMIFS(KASA!$K:$K, KASA!$C:$C, $C345, KASA!$B:$B, "MAL İADE") + SUMIFS(KASA!$Q:$Q, KASA!$C:$C, $C345, KASA!$B:$B, "MAL İADE")</f>
        <v>0</v>
      </c>
      <c r="I345" s="5">
        <f t="shared" si="65"/>
        <v>0.04</v>
      </c>
      <c r="J345" s="5">
        <f t="shared" si="66"/>
        <v>3.8000000000000003</v>
      </c>
      <c r="K345" s="5">
        <f>SUMIFS(KASA!$Q:$Q, KASA!$C:$C, $C345, KASA!$B:$B, "MAL SATIŞI") + SUMIFS(KASA!$Q:$Q, KASA!$C:$C, $C345, KASA!$B:$B, "ÜRETİM ÇIKIŞ")</f>
        <v>0</v>
      </c>
      <c r="L345" s="5">
        <f>SUMIFS(KASA!$K:$K, KASA!$C:$C, $C345, KASA!$B:$B, "MAL SATIŞI") + SUMIFS(KASA!$K:$K, KASA!$C:$C, $C345, KASA!$B:$B, "ÜRETİM ÇIKIŞ")</f>
        <v>30.400000000000002</v>
      </c>
      <c r="M345" s="5">
        <f t="shared" si="67"/>
        <v>30.400000000000002</v>
      </c>
      <c r="N345" s="5">
        <f t="shared" si="68"/>
        <v>26.6</v>
      </c>
      <c r="O345" s="65">
        <f t="shared" si="69"/>
        <v>7</v>
      </c>
      <c r="P345" s="5">
        <f t="shared" si="70"/>
        <v>760</v>
      </c>
      <c r="Q345" s="5">
        <f t="shared" si="71"/>
        <v>0.96</v>
      </c>
      <c r="R345" s="5">
        <f t="shared" si="72"/>
        <v>91.2</v>
      </c>
      <c r="S345" s="5">
        <f t="shared" si="73"/>
        <v>95</v>
      </c>
      <c r="T345">
        <v>1</v>
      </c>
      <c r="U345" s="2">
        <f t="shared" si="74"/>
        <v>-4.0000000000000036E-2</v>
      </c>
      <c r="V345">
        <f>SUMIF(KASA!$C$2:$C$9980, C345, KASA!$T$2:$T$9980)</f>
        <v>0.96</v>
      </c>
      <c r="W345">
        <f>SUMIF(KASA!$C$2:$C$9980, C345, KASA!$U$2:$U$9980)</f>
        <v>91.2</v>
      </c>
      <c r="X345" s="2">
        <f t="shared" si="75"/>
        <v>0.96</v>
      </c>
      <c r="Y345" s="2">
        <f t="shared" si="76"/>
        <v>91.2</v>
      </c>
      <c r="Z345">
        <f>SUMIF(KASA!$C$2:$C$9980, C345, KASA!$V$2:$V$9980)</f>
        <v>95</v>
      </c>
      <c r="AA345">
        <f t="shared" si="77"/>
        <v>3.7999999999999972</v>
      </c>
    </row>
    <row r="346" spans="3:27" x14ac:dyDescent="0.25">
      <c r="C346" s="4" t="s">
        <v>1651</v>
      </c>
      <c r="D346" s="5">
        <f>SUMIFS(KASA!$I:$I, KASA!$C:$C, $C346, KASA!$B:$B, "MAL ALIMI") + SUMIFS(KASA!$I:$I, KASA!$C:$C, $C346, KASA!$B:$B, "ÜRETİM GİRİŞ")</f>
        <v>1</v>
      </c>
      <c r="E346" s="5" cm="1">
        <f t="array" ref="E346">IFERROR(AVERAGE(IF((KASA!$C$2:$C$9980=$C346)*((KASA!$B$2:$B$9980="MAL ALIMI")+(KASA!$B$2:$B$9980="ÜRETİM GİRİŞ")),KASA!$J$2:$J$9980)),0)</f>
        <v>230</v>
      </c>
      <c r="F346" s="5">
        <f>SUMIFS(KASA!$I:$I, KASA!$C:$C, $C346, KASA!$B:$B, "MAL SATIŞI") + SUMIFS(KASA!$I:$I, KASA!$C:$C, $C346, KASA!$B:$B, "ÜRETİM ÇIKIŞ")</f>
        <v>0</v>
      </c>
      <c r="G346" s="5">
        <f>SUMIFS(KASA!$I:$I, KASA!$C:$C, $C346, KASA!$B:$B, "MAL İADE")</f>
        <v>0</v>
      </c>
      <c r="H346" s="5">
        <f>SUMIFS(KASA!$K:$K, KASA!$C:$C, $C346, KASA!$B:$B, "MAL İADE") + SUMIFS(KASA!$Q:$Q, KASA!$C:$C, $C346, KASA!$B:$B, "MAL İADE")</f>
        <v>0</v>
      </c>
      <c r="I346" s="5">
        <f t="shared" si="65"/>
        <v>0</v>
      </c>
      <c r="J346" s="5">
        <f t="shared" si="66"/>
        <v>0</v>
      </c>
      <c r="K346" s="5">
        <f>SUMIFS(KASA!$Q:$Q, KASA!$C:$C, $C346, KASA!$B:$B, "MAL SATIŞI") + SUMIFS(KASA!$Q:$Q, KASA!$C:$C, $C346, KASA!$B:$B, "ÜRETİM ÇIKIŞ")</f>
        <v>0</v>
      </c>
      <c r="L346" s="5">
        <f>SUMIFS(KASA!$K:$K, KASA!$C:$C, $C346, KASA!$B:$B, "MAL SATIŞI") + SUMIFS(KASA!$K:$K, KASA!$C:$C, $C346, KASA!$B:$B, "ÜRETİM ÇIKIŞ")</f>
        <v>0</v>
      </c>
      <c r="M346" s="5">
        <f t="shared" si="67"/>
        <v>0</v>
      </c>
      <c r="N346" s="5">
        <f t="shared" si="68"/>
        <v>0</v>
      </c>
      <c r="O346" s="65">
        <f t="shared" si="69"/>
        <v>0</v>
      </c>
      <c r="P346" s="5" t="e">
        <f t="shared" si="70"/>
        <v>#DIV/0!</v>
      </c>
      <c r="Q346" s="5">
        <f t="shared" si="71"/>
        <v>1</v>
      </c>
      <c r="R346" s="5">
        <f t="shared" si="72"/>
        <v>230</v>
      </c>
      <c r="S346" s="5">
        <f t="shared" si="73"/>
        <v>230</v>
      </c>
      <c r="T346">
        <v>1</v>
      </c>
      <c r="U346" s="2">
        <f t="shared" si="74"/>
        <v>0</v>
      </c>
      <c r="V346">
        <f>SUMIF(KASA!$C$2:$C$9980, C346, KASA!$T$2:$T$9980)</f>
        <v>1</v>
      </c>
      <c r="W346">
        <f>SUMIF(KASA!$C$2:$C$9980, C346, KASA!$U$2:$U$9980)</f>
        <v>230</v>
      </c>
      <c r="X346" s="2">
        <f t="shared" si="75"/>
        <v>1</v>
      </c>
      <c r="Y346" s="2">
        <f t="shared" si="76"/>
        <v>230</v>
      </c>
      <c r="Z346">
        <f>SUMIF(KASA!$C$2:$C$9980, C346, KASA!$V$2:$V$9980)</f>
        <v>230</v>
      </c>
      <c r="AA346">
        <f t="shared" si="77"/>
        <v>0</v>
      </c>
    </row>
    <row r="347" spans="3:27" x14ac:dyDescent="0.25">
      <c r="C347" s="4" t="s">
        <v>1652</v>
      </c>
      <c r="D347" s="5">
        <f>SUMIFS(KASA!$I:$I, KASA!$C:$C, $C347, KASA!$B:$B, "MAL ALIMI") + SUMIFS(KASA!$I:$I, KASA!$C:$C, $C347, KASA!$B:$B, "ÜRETİM GİRİŞ")</f>
        <v>1</v>
      </c>
      <c r="E347" s="5" cm="1">
        <f t="array" ref="E347">IFERROR(AVERAGE(IF((KASA!$C$2:$C$9980=$C347)*((KASA!$B$2:$B$9980="MAL ALIMI")+(KASA!$B$2:$B$9980="ÜRETİM GİRİŞ")),KASA!$J$2:$J$9980)),0)</f>
        <v>220</v>
      </c>
      <c r="F347" s="5">
        <f>SUMIFS(KASA!$I:$I, KASA!$C:$C, $C347, KASA!$B:$B, "MAL SATIŞI") + SUMIFS(KASA!$I:$I, KASA!$C:$C, $C347, KASA!$B:$B, "ÜRETİM ÇIKIŞ")</f>
        <v>0</v>
      </c>
      <c r="G347" s="5">
        <f>SUMIFS(KASA!$I:$I, KASA!$C:$C, $C347, KASA!$B:$B, "MAL İADE")</f>
        <v>0</v>
      </c>
      <c r="H347" s="5">
        <f>SUMIFS(KASA!$K:$K, KASA!$C:$C, $C347, KASA!$B:$B, "MAL İADE") + SUMIFS(KASA!$Q:$Q, KASA!$C:$C, $C347, KASA!$B:$B, "MAL İADE")</f>
        <v>0</v>
      </c>
      <c r="I347" s="5">
        <f t="shared" si="65"/>
        <v>0</v>
      </c>
      <c r="J347" s="5">
        <f t="shared" si="66"/>
        <v>0</v>
      </c>
      <c r="K347" s="5">
        <f>SUMIFS(KASA!$Q:$Q, KASA!$C:$C, $C347, KASA!$B:$B, "MAL SATIŞI") + SUMIFS(KASA!$Q:$Q, KASA!$C:$C, $C347, KASA!$B:$B, "ÜRETİM ÇIKIŞ")</f>
        <v>0</v>
      </c>
      <c r="L347" s="5">
        <f>SUMIFS(KASA!$K:$K, KASA!$C:$C, $C347, KASA!$B:$B, "MAL SATIŞI") + SUMIFS(KASA!$K:$K, KASA!$C:$C, $C347, KASA!$B:$B, "ÜRETİM ÇIKIŞ")</f>
        <v>0</v>
      </c>
      <c r="M347" s="5">
        <f t="shared" si="67"/>
        <v>0</v>
      </c>
      <c r="N347" s="5">
        <f t="shared" si="68"/>
        <v>0</v>
      </c>
      <c r="O347" s="65">
        <f t="shared" si="69"/>
        <v>0</v>
      </c>
      <c r="P347" s="5" t="e">
        <f t="shared" si="70"/>
        <v>#DIV/0!</v>
      </c>
      <c r="Q347" s="5">
        <f t="shared" si="71"/>
        <v>1</v>
      </c>
      <c r="R347" s="5">
        <f t="shared" si="72"/>
        <v>220</v>
      </c>
      <c r="S347" s="5">
        <f t="shared" si="73"/>
        <v>220</v>
      </c>
      <c r="T347">
        <v>1</v>
      </c>
      <c r="U347" s="2">
        <f t="shared" si="74"/>
        <v>0</v>
      </c>
      <c r="V347">
        <f>SUMIF(KASA!$C$2:$C$9980, C347, KASA!$T$2:$T$9980)</f>
        <v>1</v>
      </c>
      <c r="W347">
        <f>SUMIF(KASA!$C$2:$C$9980, C347, KASA!$U$2:$U$9980)</f>
        <v>220</v>
      </c>
      <c r="X347" s="2">
        <f t="shared" si="75"/>
        <v>1</v>
      </c>
      <c r="Y347" s="2">
        <f t="shared" si="76"/>
        <v>220</v>
      </c>
      <c r="Z347">
        <f>SUMIF(KASA!$C$2:$C$9980, C347, KASA!$V$2:$V$9980)</f>
        <v>220</v>
      </c>
      <c r="AA347">
        <f t="shared" si="77"/>
        <v>0</v>
      </c>
    </row>
    <row r="348" spans="3:27" x14ac:dyDescent="0.25">
      <c r="C348" s="4" t="s">
        <v>1653</v>
      </c>
      <c r="D348" s="5">
        <f>SUMIFS(KASA!$I:$I, KASA!$C:$C, $C348, KASA!$B:$B, "MAL ALIMI") + SUMIFS(KASA!$I:$I, KASA!$C:$C, $C348, KASA!$B:$B, "ÜRETİM GİRİŞ")</f>
        <v>1</v>
      </c>
      <c r="E348" s="5" cm="1">
        <f t="array" ref="E348">IFERROR(AVERAGE(IF((KASA!$C$2:$C$9980=$C348)*((KASA!$B$2:$B$9980="MAL ALIMI")+(KASA!$B$2:$B$9980="ÜRETİM GİRİŞ")),KASA!$J$2:$J$9980)),0)</f>
        <v>315</v>
      </c>
      <c r="F348" s="5">
        <f>SUMIFS(KASA!$I:$I, KASA!$C:$C, $C348, KASA!$B:$B, "MAL SATIŞI") + SUMIFS(KASA!$I:$I, KASA!$C:$C, $C348, KASA!$B:$B, "ÜRETİM ÇIKIŞ")</f>
        <v>0</v>
      </c>
      <c r="G348" s="5">
        <f>SUMIFS(KASA!$I:$I, KASA!$C:$C, $C348, KASA!$B:$B, "MAL İADE")</f>
        <v>0</v>
      </c>
      <c r="H348" s="5">
        <f>SUMIFS(KASA!$K:$K, KASA!$C:$C, $C348, KASA!$B:$B, "MAL İADE") + SUMIFS(KASA!$Q:$Q, KASA!$C:$C, $C348, KASA!$B:$B, "MAL İADE")</f>
        <v>0</v>
      </c>
      <c r="I348" s="5">
        <f t="shared" si="65"/>
        <v>0</v>
      </c>
      <c r="J348" s="5">
        <f t="shared" si="66"/>
        <v>0</v>
      </c>
      <c r="K348" s="5">
        <f>SUMIFS(KASA!$Q:$Q, KASA!$C:$C, $C348, KASA!$B:$B, "MAL SATIŞI") + SUMIFS(KASA!$Q:$Q, KASA!$C:$C, $C348, KASA!$B:$B, "ÜRETİM ÇIKIŞ")</f>
        <v>0</v>
      </c>
      <c r="L348" s="5">
        <f>SUMIFS(KASA!$K:$K, KASA!$C:$C, $C348, KASA!$B:$B, "MAL SATIŞI") + SUMIFS(KASA!$K:$K, KASA!$C:$C, $C348, KASA!$B:$B, "ÜRETİM ÇIKIŞ")</f>
        <v>0</v>
      </c>
      <c r="M348" s="5">
        <f t="shared" si="67"/>
        <v>0</v>
      </c>
      <c r="N348" s="5">
        <f t="shared" si="68"/>
        <v>0</v>
      </c>
      <c r="O348" s="65">
        <f t="shared" si="69"/>
        <v>0</v>
      </c>
      <c r="P348" s="5" t="e">
        <f t="shared" si="70"/>
        <v>#DIV/0!</v>
      </c>
      <c r="Q348" s="5">
        <f t="shared" si="71"/>
        <v>1</v>
      </c>
      <c r="R348" s="5">
        <f t="shared" si="72"/>
        <v>315</v>
      </c>
      <c r="S348" s="5">
        <f t="shared" si="73"/>
        <v>315</v>
      </c>
      <c r="T348">
        <v>1</v>
      </c>
      <c r="U348" s="2">
        <f t="shared" si="74"/>
        <v>0</v>
      </c>
      <c r="V348">
        <f>SUMIF(KASA!$C$2:$C$9980, C348, KASA!$T$2:$T$9980)</f>
        <v>1</v>
      </c>
      <c r="W348">
        <f>SUMIF(KASA!$C$2:$C$9980, C348, KASA!$U$2:$U$9980)</f>
        <v>315</v>
      </c>
      <c r="X348" s="2">
        <f t="shared" si="75"/>
        <v>1</v>
      </c>
      <c r="Y348" s="2">
        <f t="shared" si="76"/>
        <v>315</v>
      </c>
      <c r="Z348">
        <f>SUMIF(KASA!$C$2:$C$9980, C348, KASA!$V$2:$V$9980)</f>
        <v>315</v>
      </c>
      <c r="AA348">
        <f t="shared" si="77"/>
        <v>0</v>
      </c>
    </row>
    <row r="349" spans="3:27" x14ac:dyDescent="0.25">
      <c r="C349" s="4" t="s">
        <v>2571</v>
      </c>
      <c r="D349" s="5">
        <f>SUMIFS(KASA!$I:$I, KASA!$C:$C, $C349, KASA!$B:$B, "MAL ALIMI") + SUMIFS(KASA!$I:$I, KASA!$C:$C, $C349, KASA!$B:$B, "ÜRETİM GİRİŞ")</f>
        <v>1</v>
      </c>
      <c r="E349" s="5" cm="1">
        <f t="array" ref="E349">IFERROR(AVERAGE(IF((KASA!$C$2:$C$9980=$C349)*((KASA!$B$2:$B$9980="MAL ALIMI")+(KASA!$B$2:$B$9980="ÜRETİM GİRİŞ")),KASA!$J$2:$J$9980)),0)</f>
        <v>120</v>
      </c>
      <c r="F349" s="5">
        <f>SUMIFS(KASA!$I:$I, KASA!$C:$C, $C349, KASA!$B:$B, "MAL SATIŞI") + SUMIFS(KASA!$I:$I, KASA!$C:$C, $C349, KASA!$B:$B, "ÜRETİM ÇIKIŞ")</f>
        <v>0.23400000000000001</v>
      </c>
      <c r="G349" s="5">
        <f>SUMIFS(KASA!$I:$I, KASA!$C:$C, $C349, KASA!$B:$B, "MAL İADE")</f>
        <v>0</v>
      </c>
      <c r="H349" s="5">
        <f>SUMIFS(KASA!$K:$K, KASA!$C:$C, $C349, KASA!$B:$B, "MAL İADE") + SUMIFS(KASA!$Q:$Q, KASA!$C:$C, $C349, KASA!$B:$B, "MAL İADE")</f>
        <v>0</v>
      </c>
      <c r="I349" s="5">
        <f t="shared" si="65"/>
        <v>0.23400000000000001</v>
      </c>
      <c r="J349" s="5">
        <f t="shared" si="66"/>
        <v>28.080000000000002</v>
      </c>
      <c r="K349" s="5">
        <f>SUMIFS(KASA!$Q:$Q, KASA!$C:$C, $C349, KASA!$B:$B, "MAL SATIŞI") + SUMIFS(KASA!$Q:$Q, KASA!$C:$C, $C349, KASA!$B:$B, "ÜRETİM ÇIKIŞ")</f>
        <v>140</v>
      </c>
      <c r="L349" s="5">
        <f>SUMIFS(KASA!$K:$K, KASA!$C:$C, $C349, KASA!$B:$B, "MAL SATIŞI") + SUMIFS(KASA!$K:$K, KASA!$C:$C, $C349, KASA!$B:$B, "ÜRETİM ÇIKIŞ")</f>
        <v>23.8</v>
      </c>
      <c r="M349" s="5">
        <f t="shared" si="67"/>
        <v>163.80000000000001</v>
      </c>
      <c r="N349" s="5">
        <f t="shared" si="68"/>
        <v>135.72</v>
      </c>
      <c r="O349" s="65">
        <f t="shared" si="69"/>
        <v>4.833333333333333</v>
      </c>
      <c r="P349" s="5">
        <f t="shared" si="70"/>
        <v>700</v>
      </c>
      <c r="Q349" s="5">
        <f t="shared" si="71"/>
        <v>0.76600000000000001</v>
      </c>
      <c r="R349" s="5">
        <f t="shared" si="72"/>
        <v>91.92</v>
      </c>
      <c r="S349" s="5">
        <f t="shared" si="73"/>
        <v>120</v>
      </c>
      <c r="T349">
        <v>1</v>
      </c>
      <c r="U349" s="2">
        <f t="shared" si="74"/>
        <v>-0.23399999999999999</v>
      </c>
      <c r="V349">
        <f>SUMIF(KASA!$C$2:$C$9980, C349, KASA!$T$2:$T$9980)</f>
        <v>0.76600000000000001</v>
      </c>
      <c r="W349">
        <f>SUMIF(KASA!$C$2:$C$9980, C349, KASA!$U$2:$U$9980)</f>
        <v>91.92</v>
      </c>
      <c r="X349" s="2">
        <f t="shared" si="75"/>
        <v>0.76600000000000001</v>
      </c>
      <c r="Y349" s="2">
        <f t="shared" si="76"/>
        <v>91.92</v>
      </c>
      <c r="Z349">
        <f>SUMIF(KASA!$C$2:$C$9980, C349, KASA!$V$2:$V$9980)</f>
        <v>120</v>
      </c>
      <c r="AA349">
        <f t="shared" si="77"/>
        <v>28.08</v>
      </c>
    </row>
    <row r="350" spans="3:27" x14ac:dyDescent="0.25">
      <c r="C350" s="4" t="s">
        <v>2572</v>
      </c>
      <c r="D350" s="5">
        <f>SUMIFS(KASA!$I:$I, KASA!$C:$C, $C350, KASA!$B:$B, "MAL ALIMI") + SUMIFS(KASA!$I:$I, KASA!$C:$C, $C350, KASA!$B:$B, "ÜRETİM GİRİŞ")</f>
        <v>5</v>
      </c>
      <c r="E350" s="5" cm="1">
        <f t="array" ref="E350">IFERROR(AVERAGE(IF((KASA!$C$2:$C$9980=$C350)*((KASA!$B$2:$B$9980="MAL ALIMI")+(KASA!$B$2:$B$9980="ÜRETİM GİRİŞ")),KASA!$J$2:$J$9980)),0)</f>
        <v>95</v>
      </c>
      <c r="F350" s="5">
        <f>SUMIFS(KASA!$I:$I, KASA!$C:$C, $C350, KASA!$B:$B, "MAL SATIŞI") + SUMIFS(KASA!$I:$I, KASA!$C:$C, $C350, KASA!$B:$B, "ÜRETİM ÇIKIŞ")</f>
        <v>1</v>
      </c>
      <c r="G350" s="5">
        <f>SUMIFS(KASA!$I:$I, KASA!$C:$C, $C350, KASA!$B:$B, "MAL İADE")</f>
        <v>0</v>
      </c>
      <c r="H350" s="5">
        <f>SUMIFS(KASA!$K:$K, KASA!$C:$C, $C350, KASA!$B:$B, "MAL İADE") + SUMIFS(KASA!$Q:$Q, KASA!$C:$C, $C350, KASA!$B:$B, "MAL İADE")</f>
        <v>0</v>
      </c>
      <c r="I350" s="5">
        <f t="shared" si="65"/>
        <v>1</v>
      </c>
      <c r="J350" s="5">
        <f t="shared" si="66"/>
        <v>95</v>
      </c>
      <c r="K350" s="5">
        <f>SUMIFS(KASA!$Q:$Q, KASA!$C:$C, $C350, KASA!$B:$B, "MAL SATIŞI") + SUMIFS(KASA!$Q:$Q, KASA!$C:$C, $C350, KASA!$B:$B, "ÜRETİM ÇIKIŞ")</f>
        <v>0</v>
      </c>
      <c r="L350" s="5">
        <f>SUMIFS(KASA!$K:$K, KASA!$C:$C, $C350, KASA!$B:$B, "MAL SATIŞI") + SUMIFS(KASA!$K:$K, KASA!$C:$C, $C350, KASA!$B:$B, "ÜRETİM ÇIKIŞ")</f>
        <v>200</v>
      </c>
      <c r="M350" s="5">
        <f t="shared" si="67"/>
        <v>200</v>
      </c>
      <c r="N350" s="5">
        <f t="shared" si="68"/>
        <v>105</v>
      </c>
      <c r="O350" s="65">
        <f t="shared" si="69"/>
        <v>1.1052631578947369</v>
      </c>
      <c r="P350" s="5">
        <f t="shared" si="70"/>
        <v>200</v>
      </c>
      <c r="Q350" s="5">
        <f t="shared" si="71"/>
        <v>4</v>
      </c>
      <c r="R350" s="5">
        <f t="shared" si="72"/>
        <v>380</v>
      </c>
      <c r="S350" s="5">
        <f t="shared" si="73"/>
        <v>475</v>
      </c>
      <c r="T350">
        <v>5</v>
      </c>
      <c r="U350" s="2">
        <f t="shared" si="74"/>
        <v>-1</v>
      </c>
      <c r="V350">
        <f>SUMIF(KASA!$C$2:$C$9980, C350, KASA!$T$2:$T$9980)</f>
        <v>4</v>
      </c>
      <c r="W350">
        <f>SUMIF(KASA!$C$2:$C$9980, C350, KASA!$U$2:$U$9980)</f>
        <v>380</v>
      </c>
      <c r="X350" s="2">
        <f t="shared" si="75"/>
        <v>4</v>
      </c>
      <c r="Y350" s="2">
        <f t="shared" si="76"/>
        <v>380</v>
      </c>
      <c r="Z350">
        <f>SUMIF(KASA!$C$2:$C$9980, C350, KASA!$V$2:$V$9980)</f>
        <v>475</v>
      </c>
      <c r="AA350">
        <f t="shared" si="77"/>
        <v>95</v>
      </c>
    </row>
    <row r="351" spans="3:27" x14ac:dyDescent="0.25">
      <c r="C351" s="4" t="s">
        <v>2573</v>
      </c>
      <c r="D351" s="5">
        <f>SUMIFS(KASA!$I:$I, KASA!$C:$C, $C351, KASA!$B:$B, "MAL ALIMI") + SUMIFS(KASA!$I:$I, KASA!$C:$C, $C351, KASA!$B:$B, "ÜRETİM GİRİŞ")</f>
        <v>1</v>
      </c>
      <c r="E351" s="5" cm="1">
        <f t="array" ref="E351">IFERROR(AVERAGE(IF((KASA!$C$2:$C$9980=$C351)*((KASA!$B$2:$B$9980="MAL ALIMI")+(KASA!$B$2:$B$9980="ÜRETİM GİRİŞ")),KASA!$J$2:$J$9980)),0)</f>
        <v>125</v>
      </c>
      <c r="F351" s="5">
        <f>SUMIFS(KASA!$I:$I, KASA!$C:$C, $C351, KASA!$B:$B, "MAL SATIŞI") + SUMIFS(KASA!$I:$I, KASA!$C:$C, $C351, KASA!$B:$B, "ÜRETİM ÇIKIŞ")</f>
        <v>0</v>
      </c>
      <c r="G351" s="5">
        <f>SUMIFS(KASA!$I:$I, KASA!$C:$C, $C351, KASA!$B:$B, "MAL İADE")</f>
        <v>0</v>
      </c>
      <c r="H351" s="5">
        <f>SUMIFS(KASA!$K:$K, KASA!$C:$C, $C351, KASA!$B:$B, "MAL İADE") + SUMIFS(KASA!$Q:$Q, KASA!$C:$C, $C351, KASA!$B:$B, "MAL İADE")</f>
        <v>0</v>
      </c>
      <c r="I351" s="5">
        <f t="shared" si="65"/>
        <v>0</v>
      </c>
      <c r="J351" s="5">
        <f t="shared" si="66"/>
        <v>0</v>
      </c>
      <c r="K351" s="5">
        <f>SUMIFS(KASA!$Q:$Q, KASA!$C:$C, $C351, KASA!$B:$B, "MAL SATIŞI") + SUMIFS(KASA!$Q:$Q, KASA!$C:$C, $C351, KASA!$B:$B, "ÜRETİM ÇIKIŞ")</f>
        <v>0</v>
      </c>
      <c r="L351" s="5">
        <f>SUMIFS(KASA!$K:$K, KASA!$C:$C, $C351, KASA!$B:$B, "MAL SATIŞI") + SUMIFS(KASA!$K:$K, KASA!$C:$C, $C351, KASA!$B:$B, "ÜRETİM ÇIKIŞ")</f>
        <v>0</v>
      </c>
      <c r="M351" s="5">
        <f t="shared" si="67"/>
        <v>0</v>
      </c>
      <c r="N351" s="5">
        <f t="shared" si="68"/>
        <v>0</v>
      </c>
      <c r="O351" s="65">
        <f t="shared" si="69"/>
        <v>0</v>
      </c>
      <c r="P351" s="5" t="e">
        <f t="shared" si="70"/>
        <v>#DIV/0!</v>
      </c>
      <c r="Q351" s="5">
        <f t="shared" si="71"/>
        <v>1</v>
      </c>
      <c r="R351" s="5">
        <f t="shared" si="72"/>
        <v>125</v>
      </c>
      <c r="S351" s="5">
        <f t="shared" si="73"/>
        <v>125</v>
      </c>
      <c r="T351">
        <v>1</v>
      </c>
      <c r="U351" s="2">
        <f t="shared" si="74"/>
        <v>0</v>
      </c>
      <c r="V351">
        <f>SUMIF(KASA!$C$2:$C$9980, C351, KASA!$T$2:$T$9980)</f>
        <v>1</v>
      </c>
      <c r="W351">
        <f>SUMIF(KASA!$C$2:$C$9980, C351, KASA!$U$2:$U$9980)</f>
        <v>125</v>
      </c>
      <c r="X351" s="2">
        <f t="shared" si="75"/>
        <v>1</v>
      </c>
      <c r="Y351" s="2">
        <f t="shared" si="76"/>
        <v>125</v>
      </c>
      <c r="Z351">
        <f>SUMIF(KASA!$C$2:$C$9980, C351, KASA!$V$2:$V$9980)</f>
        <v>125</v>
      </c>
      <c r="AA351">
        <f t="shared" si="77"/>
        <v>0</v>
      </c>
    </row>
    <row r="352" spans="3:27" x14ac:dyDescent="0.25">
      <c r="C352" s="4" t="s">
        <v>2574</v>
      </c>
      <c r="D352" s="5">
        <f>SUMIFS(KASA!$I:$I, KASA!$C:$C, $C352, KASA!$B:$B, "MAL ALIMI") + SUMIFS(KASA!$I:$I, KASA!$C:$C, $C352, KASA!$B:$B, "ÜRETİM GİRİŞ")</f>
        <v>3</v>
      </c>
      <c r="E352" s="5" cm="1">
        <f t="array" ref="E352">IFERROR(AVERAGE(IF((KASA!$C$2:$C$9980=$C352)*((KASA!$B$2:$B$9980="MAL ALIMI")+(KASA!$B$2:$B$9980="ÜRETİM GİRİŞ")),KASA!$J$2:$J$9980)),0)</f>
        <v>70</v>
      </c>
      <c r="F352" s="5">
        <f>SUMIFS(KASA!$I:$I, KASA!$C:$C, $C352, KASA!$B:$B, "MAL SATIŞI") + SUMIFS(KASA!$I:$I, KASA!$C:$C, $C352, KASA!$B:$B, "ÜRETİM ÇIKIŞ")</f>
        <v>0</v>
      </c>
      <c r="G352" s="5">
        <f>SUMIFS(KASA!$I:$I, KASA!$C:$C, $C352, KASA!$B:$B, "MAL İADE")</f>
        <v>0</v>
      </c>
      <c r="H352" s="5">
        <f>SUMIFS(KASA!$K:$K, KASA!$C:$C, $C352, KASA!$B:$B, "MAL İADE") + SUMIFS(KASA!$Q:$Q, KASA!$C:$C, $C352, KASA!$B:$B, "MAL İADE")</f>
        <v>0</v>
      </c>
      <c r="I352" s="5">
        <f t="shared" si="65"/>
        <v>0</v>
      </c>
      <c r="J352" s="5">
        <f t="shared" si="66"/>
        <v>0</v>
      </c>
      <c r="K352" s="5">
        <f>SUMIFS(KASA!$Q:$Q, KASA!$C:$C, $C352, KASA!$B:$B, "MAL SATIŞI") + SUMIFS(KASA!$Q:$Q, KASA!$C:$C, $C352, KASA!$B:$B, "ÜRETİM ÇIKIŞ")</f>
        <v>0</v>
      </c>
      <c r="L352" s="5">
        <f>SUMIFS(KASA!$K:$K, KASA!$C:$C, $C352, KASA!$B:$B, "MAL SATIŞI") + SUMIFS(KASA!$K:$K, KASA!$C:$C, $C352, KASA!$B:$B, "ÜRETİM ÇIKIŞ")</f>
        <v>0</v>
      </c>
      <c r="M352" s="5">
        <f t="shared" si="67"/>
        <v>0</v>
      </c>
      <c r="N352" s="5">
        <f t="shared" si="68"/>
        <v>0</v>
      </c>
      <c r="O352" s="65">
        <f t="shared" si="69"/>
        <v>0</v>
      </c>
      <c r="P352" s="5" t="e">
        <f t="shared" si="70"/>
        <v>#DIV/0!</v>
      </c>
      <c r="Q352" s="5">
        <f t="shared" si="71"/>
        <v>3</v>
      </c>
      <c r="R352" s="5">
        <f t="shared" si="72"/>
        <v>210</v>
      </c>
      <c r="S352" s="5">
        <f t="shared" si="73"/>
        <v>210</v>
      </c>
      <c r="T352">
        <v>3</v>
      </c>
      <c r="U352" s="2">
        <f t="shared" si="74"/>
        <v>0</v>
      </c>
      <c r="V352">
        <f>SUMIF(KASA!$C$2:$C$9980, C352, KASA!$T$2:$T$9980)</f>
        <v>3</v>
      </c>
      <c r="W352">
        <f>SUMIF(KASA!$C$2:$C$9980, C352, KASA!$U$2:$U$9980)</f>
        <v>210</v>
      </c>
      <c r="X352" s="2">
        <f t="shared" si="75"/>
        <v>3</v>
      </c>
      <c r="Y352" s="2">
        <f t="shared" si="76"/>
        <v>210</v>
      </c>
      <c r="Z352">
        <f>SUMIF(KASA!$C$2:$C$9980, C352, KASA!$V$2:$V$9980)</f>
        <v>210</v>
      </c>
      <c r="AA352">
        <f t="shared" si="77"/>
        <v>0</v>
      </c>
    </row>
    <row r="353" spans="3:27" x14ac:dyDescent="0.25">
      <c r="C353" s="4" t="s">
        <v>2575</v>
      </c>
      <c r="D353" s="5">
        <f>SUMIFS(KASA!$I:$I, KASA!$C:$C, $C353, KASA!$B:$B, "MAL ALIMI") + SUMIFS(KASA!$I:$I, KASA!$C:$C, $C353, KASA!$B:$B, "ÜRETİM GİRİŞ")</f>
        <v>1</v>
      </c>
      <c r="E353" s="5" cm="1">
        <f t="array" ref="E353">IFERROR(AVERAGE(IF((KASA!$C$2:$C$9980=$C353)*((KASA!$B$2:$B$9980="MAL ALIMI")+(KASA!$B$2:$B$9980="ÜRETİM GİRİŞ")),KASA!$J$2:$J$9980)),0)</f>
        <v>244</v>
      </c>
      <c r="F353" s="5">
        <f>SUMIFS(KASA!$I:$I, KASA!$C:$C, $C353, KASA!$B:$B, "MAL SATIŞI") + SUMIFS(KASA!$I:$I, KASA!$C:$C, $C353, KASA!$B:$B, "ÜRETİM ÇIKIŞ")</f>
        <v>0</v>
      </c>
      <c r="G353" s="5">
        <f>SUMIFS(KASA!$I:$I, KASA!$C:$C, $C353, KASA!$B:$B, "MAL İADE")</f>
        <v>0</v>
      </c>
      <c r="H353" s="5">
        <f>SUMIFS(KASA!$K:$K, KASA!$C:$C, $C353, KASA!$B:$B, "MAL İADE") + SUMIFS(KASA!$Q:$Q, KASA!$C:$C, $C353, KASA!$B:$B, "MAL İADE")</f>
        <v>0</v>
      </c>
      <c r="I353" s="5">
        <f t="shared" si="65"/>
        <v>0</v>
      </c>
      <c r="J353" s="5">
        <f t="shared" si="66"/>
        <v>0</v>
      </c>
      <c r="K353" s="5">
        <f>SUMIFS(KASA!$Q:$Q, KASA!$C:$C, $C353, KASA!$B:$B, "MAL SATIŞI") + SUMIFS(KASA!$Q:$Q, KASA!$C:$C, $C353, KASA!$B:$B, "ÜRETİM ÇIKIŞ")</f>
        <v>0</v>
      </c>
      <c r="L353" s="5">
        <f>SUMIFS(KASA!$K:$K, KASA!$C:$C, $C353, KASA!$B:$B, "MAL SATIŞI") + SUMIFS(KASA!$K:$K, KASA!$C:$C, $C353, KASA!$B:$B, "ÜRETİM ÇIKIŞ")</f>
        <v>0</v>
      </c>
      <c r="M353" s="5">
        <f t="shared" si="67"/>
        <v>0</v>
      </c>
      <c r="N353" s="5">
        <f t="shared" si="68"/>
        <v>0</v>
      </c>
      <c r="O353" s="65">
        <f t="shared" si="69"/>
        <v>0</v>
      </c>
      <c r="P353" s="5" t="e">
        <f t="shared" si="70"/>
        <v>#DIV/0!</v>
      </c>
      <c r="Q353" s="5">
        <f t="shared" si="71"/>
        <v>1</v>
      </c>
      <c r="R353" s="5">
        <f t="shared" si="72"/>
        <v>244</v>
      </c>
      <c r="S353" s="5">
        <f t="shared" si="73"/>
        <v>244</v>
      </c>
      <c r="T353">
        <v>1</v>
      </c>
      <c r="U353" s="2">
        <f t="shared" si="74"/>
        <v>0</v>
      </c>
      <c r="V353">
        <f>SUMIF(KASA!$C$2:$C$9980, C353, KASA!$T$2:$T$9980)</f>
        <v>1</v>
      </c>
      <c r="W353">
        <f>SUMIF(KASA!$C$2:$C$9980, C353, KASA!$U$2:$U$9980)</f>
        <v>244</v>
      </c>
      <c r="X353" s="2">
        <f t="shared" si="75"/>
        <v>1</v>
      </c>
      <c r="Y353" s="2">
        <f t="shared" si="76"/>
        <v>244</v>
      </c>
      <c r="Z353">
        <f>SUMIF(KASA!$C$2:$C$9980, C353, KASA!$V$2:$V$9980)</f>
        <v>244</v>
      </c>
      <c r="AA353">
        <f t="shared" si="77"/>
        <v>0</v>
      </c>
    </row>
    <row r="354" spans="3:27" x14ac:dyDescent="0.25">
      <c r="C354" s="4" t="s">
        <v>2576</v>
      </c>
      <c r="D354" s="5">
        <f>SUMIFS(KASA!$I:$I, KASA!$C:$C, $C354, KASA!$B:$B, "MAL ALIMI") + SUMIFS(KASA!$I:$I, KASA!$C:$C, $C354, KASA!$B:$B, "ÜRETİM GİRİŞ")</f>
        <v>1</v>
      </c>
      <c r="E354" s="5" cm="1">
        <f t="array" ref="E354">IFERROR(AVERAGE(IF((KASA!$C$2:$C$9980=$C354)*((KASA!$B$2:$B$9980="MAL ALIMI")+(KASA!$B$2:$B$9980="ÜRETİM GİRİŞ")),KASA!$J$2:$J$9980)),0)</f>
        <v>110</v>
      </c>
      <c r="F354" s="5">
        <f>SUMIFS(KASA!$I:$I, KASA!$C:$C, $C354, KASA!$B:$B, "MAL SATIŞI") + SUMIFS(KASA!$I:$I, KASA!$C:$C, $C354, KASA!$B:$B, "ÜRETİM ÇIKIŞ")</f>
        <v>0</v>
      </c>
      <c r="G354" s="5">
        <f>SUMIFS(KASA!$I:$I, KASA!$C:$C, $C354, KASA!$B:$B, "MAL İADE")</f>
        <v>0</v>
      </c>
      <c r="H354" s="5">
        <f>SUMIFS(KASA!$K:$K, KASA!$C:$C, $C354, KASA!$B:$B, "MAL İADE") + SUMIFS(KASA!$Q:$Q, KASA!$C:$C, $C354, KASA!$B:$B, "MAL İADE")</f>
        <v>0</v>
      </c>
      <c r="I354" s="5">
        <f t="shared" si="65"/>
        <v>0</v>
      </c>
      <c r="J354" s="5">
        <f t="shared" si="66"/>
        <v>0</v>
      </c>
      <c r="K354" s="5">
        <f>SUMIFS(KASA!$Q:$Q, KASA!$C:$C, $C354, KASA!$B:$B, "MAL SATIŞI") + SUMIFS(KASA!$Q:$Q, KASA!$C:$C, $C354, KASA!$B:$B, "ÜRETİM ÇIKIŞ")</f>
        <v>0</v>
      </c>
      <c r="L354" s="5">
        <f>SUMIFS(KASA!$K:$K, KASA!$C:$C, $C354, KASA!$B:$B, "MAL SATIŞI") + SUMIFS(KASA!$K:$K, KASA!$C:$C, $C354, KASA!$B:$B, "ÜRETİM ÇIKIŞ")</f>
        <v>0</v>
      </c>
      <c r="M354" s="5">
        <f t="shared" si="67"/>
        <v>0</v>
      </c>
      <c r="N354" s="5">
        <f t="shared" si="68"/>
        <v>0</v>
      </c>
      <c r="O354" s="65">
        <f t="shared" si="69"/>
        <v>0</v>
      </c>
      <c r="P354" s="5" t="e">
        <f t="shared" si="70"/>
        <v>#DIV/0!</v>
      </c>
      <c r="Q354" s="5">
        <f t="shared" si="71"/>
        <v>1</v>
      </c>
      <c r="R354" s="5">
        <f t="shared" si="72"/>
        <v>110</v>
      </c>
      <c r="S354" s="5">
        <f t="shared" si="73"/>
        <v>110</v>
      </c>
      <c r="T354">
        <v>1</v>
      </c>
      <c r="U354" s="2">
        <f t="shared" si="74"/>
        <v>0</v>
      </c>
      <c r="V354">
        <f>SUMIF(KASA!$C$2:$C$9980, C354, KASA!$T$2:$T$9980)</f>
        <v>1</v>
      </c>
      <c r="W354">
        <f>SUMIF(KASA!$C$2:$C$9980, C354, KASA!$U$2:$U$9980)</f>
        <v>110</v>
      </c>
      <c r="X354" s="2">
        <f t="shared" si="75"/>
        <v>1</v>
      </c>
      <c r="Y354" s="2">
        <f t="shared" si="76"/>
        <v>110</v>
      </c>
      <c r="Z354">
        <f>SUMIF(KASA!$C$2:$C$9980, C354, KASA!$V$2:$V$9980)</f>
        <v>110</v>
      </c>
      <c r="AA354">
        <f t="shared" si="77"/>
        <v>0</v>
      </c>
    </row>
    <row r="355" spans="3:27" x14ac:dyDescent="0.25">
      <c r="C355" s="4" t="s">
        <v>2577</v>
      </c>
      <c r="D355" s="5">
        <f>SUMIFS(KASA!$I:$I, KASA!$C:$C, $C355, KASA!$B:$B, "MAL ALIMI") + SUMIFS(KASA!$I:$I, KASA!$C:$C, $C355, KASA!$B:$B, "ÜRETİM GİRİŞ")</f>
        <v>1</v>
      </c>
      <c r="E355" s="5" cm="1">
        <f t="array" ref="E355">IFERROR(AVERAGE(IF((KASA!$C$2:$C$9980=$C355)*((KASA!$B$2:$B$9980="MAL ALIMI")+(KASA!$B$2:$B$9980="ÜRETİM GİRİŞ")),KASA!$J$2:$J$9980)),0)</f>
        <v>120</v>
      </c>
      <c r="F355" s="5">
        <f>SUMIFS(KASA!$I:$I, KASA!$C:$C, $C355, KASA!$B:$B, "MAL SATIŞI") + SUMIFS(KASA!$I:$I, KASA!$C:$C, $C355, KASA!$B:$B, "ÜRETİM ÇIKIŞ")</f>
        <v>0</v>
      </c>
      <c r="G355" s="5">
        <f>SUMIFS(KASA!$I:$I, KASA!$C:$C, $C355, KASA!$B:$B, "MAL İADE")</f>
        <v>0</v>
      </c>
      <c r="H355" s="5">
        <f>SUMIFS(KASA!$K:$K, KASA!$C:$C, $C355, KASA!$B:$B, "MAL İADE") + SUMIFS(KASA!$Q:$Q, KASA!$C:$C, $C355, KASA!$B:$B, "MAL İADE")</f>
        <v>0</v>
      </c>
      <c r="I355" s="5">
        <f t="shared" si="65"/>
        <v>0</v>
      </c>
      <c r="J355" s="5">
        <f t="shared" si="66"/>
        <v>0</v>
      </c>
      <c r="K355" s="5">
        <f>SUMIFS(KASA!$Q:$Q, KASA!$C:$C, $C355, KASA!$B:$B, "MAL SATIŞI") + SUMIFS(KASA!$Q:$Q, KASA!$C:$C, $C355, KASA!$B:$B, "ÜRETİM ÇIKIŞ")</f>
        <v>0</v>
      </c>
      <c r="L355" s="5">
        <f>SUMIFS(KASA!$K:$K, KASA!$C:$C, $C355, KASA!$B:$B, "MAL SATIŞI") + SUMIFS(KASA!$K:$K, KASA!$C:$C, $C355, KASA!$B:$B, "ÜRETİM ÇIKIŞ")</f>
        <v>0</v>
      </c>
      <c r="M355" s="5">
        <f t="shared" si="67"/>
        <v>0</v>
      </c>
      <c r="N355" s="5">
        <f t="shared" si="68"/>
        <v>0</v>
      </c>
      <c r="O355" s="65">
        <f t="shared" si="69"/>
        <v>0</v>
      </c>
      <c r="P355" s="5" t="e">
        <f t="shared" si="70"/>
        <v>#DIV/0!</v>
      </c>
      <c r="Q355" s="5">
        <f t="shared" si="71"/>
        <v>1</v>
      </c>
      <c r="R355" s="5">
        <f t="shared" si="72"/>
        <v>120</v>
      </c>
      <c r="S355" s="5">
        <f t="shared" si="73"/>
        <v>120</v>
      </c>
      <c r="T355">
        <v>1</v>
      </c>
      <c r="U355" s="2">
        <f t="shared" si="74"/>
        <v>0</v>
      </c>
      <c r="V355">
        <f>SUMIF(KASA!$C$2:$C$9980, C355, KASA!$T$2:$T$9980)</f>
        <v>1</v>
      </c>
      <c r="W355">
        <f>SUMIF(KASA!$C$2:$C$9980, C355, KASA!$U$2:$U$9980)</f>
        <v>120</v>
      </c>
      <c r="X355" s="2">
        <f t="shared" si="75"/>
        <v>1</v>
      </c>
      <c r="Y355" s="2">
        <f t="shared" si="76"/>
        <v>120</v>
      </c>
      <c r="Z355">
        <f>SUMIF(KASA!$C$2:$C$9980, C355, KASA!$V$2:$V$9980)</f>
        <v>120</v>
      </c>
      <c r="AA355">
        <f t="shared" si="77"/>
        <v>0</v>
      </c>
    </row>
    <row r="356" spans="3:27" x14ac:dyDescent="0.25">
      <c r="C356" s="4" t="s">
        <v>2578</v>
      </c>
      <c r="D356" s="5">
        <f>SUMIFS(KASA!$I:$I, KASA!$C:$C, $C356, KASA!$B:$B, "MAL ALIMI") + SUMIFS(KASA!$I:$I, KASA!$C:$C, $C356, KASA!$B:$B, "ÜRETİM GİRİŞ")</f>
        <v>3</v>
      </c>
      <c r="E356" s="5" cm="1">
        <f t="array" ref="E356">IFERROR(AVERAGE(IF((KASA!$C$2:$C$9980=$C356)*((KASA!$B$2:$B$9980="MAL ALIMI")+(KASA!$B$2:$B$9980="ÜRETİM GİRİŞ")),KASA!$J$2:$J$9980)),0)</f>
        <v>70</v>
      </c>
      <c r="F356" s="5">
        <f>SUMIFS(KASA!$I:$I, KASA!$C:$C, $C356, KASA!$B:$B, "MAL SATIŞI") + SUMIFS(KASA!$I:$I, KASA!$C:$C, $C356, KASA!$B:$B, "ÜRETİM ÇIKIŞ")</f>
        <v>0</v>
      </c>
      <c r="G356" s="5">
        <f>SUMIFS(KASA!$I:$I, KASA!$C:$C, $C356, KASA!$B:$B, "MAL İADE")</f>
        <v>0</v>
      </c>
      <c r="H356" s="5">
        <f>SUMIFS(KASA!$K:$K, KASA!$C:$C, $C356, KASA!$B:$B, "MAL İADE") + SUMIFS(KASA!$Q:$Q, KASA!$C:$C, $C356, KASA!$B:$B, "MAL İADE")</f>
        <v>0</v>
      </c>
      <c r="I356" s="5">
        <f t="shared" si="65"/>
        <v>0</v>
      </c>
      <c r="J356" s="5">
        <f t="shared" si="66"/>
        <v>0</v>
      </c>
      <c r="K356" s="5">
        <f>SUMIFS(KASA!$Q:$Q, KASA!$C:$C, $C356, KASA!$B:$B, "MAL SATIŞI") + SUMIFS(KASA!$Q:$Q, KASA!$C:$C, $C356, KASA!$B:$B, "ÜRETİM ÇIKIŞ")</f>
        <v>0</v>
      </c>
      <c r="L356" s="5">
        <f>SUMIFS(KASA!$K:$K, KASA!$C:$C, $C356, KASA!$B:$B, "MAL SATIŞI") + SUMIFS(KASA!$K:$K, KASA!$C:$C, $C356, KASA!$B:$B, "ÜRETİM ÇIKIŞ")</f>
        <v>0</v>
      </c>
      <c r="M356" s="5">
        <f t="shared" si="67"/>
        <v>0</v>
      </c>
      <c r="N356" s="5">
        <f t="shared" si="68"/>
        <v>0</v>
      </c>
      <c r="O356" s="65">
        <f t="shared" si="69"/>
        <v>0</v>
      </c>
      <c r="P356" s="5" t="e">
        <f t="shared" si="70"/>
        <v>#DIV/0!</v>
      </c>
      <c r="Q356" s="5">
        <f t="shared" si="71"/>
        <v>3</v>
      </c>
      <c r="R356" s="5">
        <f t="shared" si="72"/>
        <v>210</v>
      </c>
      <c r="S356" s="5">
        <f t="shared" si="73"/>
        <v>210</v>
      </c>
      <c r="T356">
        <v>3</v>
      </c>
      <c r="U356" s="2">
        <f t="shared" si="74"/>
        <v>0</v>
      </c>
      <c r="V356">
        <f>SUMIF(KASA!$C$2:$C$9980, C356, KASA!$T$2:$T$9980)</f>
        <v>3</v>
      </c>
      <c r="W356">
        <f>SUMIF(KASA!$C$2:$C$9980, C356, KASA!$U$2:$U$9980)</f>
        <v>210</v>
      </c>
      <c r="X356" s="2">
        <f t="shared" si="75"/>
        <v>3</v>
      </c>
      <c r="Y356" s="2">
        <f t="shared" si="76"/>
        <v>210</v>
      </c>
      <c r="Z356">
        <f>SUMIF(KASA!$C$2:$C$9980, C356, KASA!$V$2:$V$9980)</f>
        <v>210</v>
      </c>
      <c r="AA356">
        <f t="shared" si="77"/>
        <v>0</v>
      </c>
    </row>
    <row r="357" spans="3:27" x14ac:dyDescent="0.25">
      <c r="C357" s="4" t="s">
        <v>2579</v>
      </c>
      <c r="D357" s="5">
        <f>SUMIFS(KASA!$I:$I, KASA!$C:$C, $C357, KASA!$B:$B, "MAL ALIMI") + SUMIFS(KASA!$I:$I, KASA!$C:$C, $C357, KASA!$B:$B, "ÜRETİM GİRİŞ")</f>
        <v>40</v>
      </c>
      <c r="E357" s="5" cm="1">
        <f t="array" ref="E357">IFERROR(AVERAGE(IF((KASA!$C$2:$C$9980=$C357)*((KASA!$B$2:$B$9980="MAL ALIMI")+(KASA!$B$2:$B$9980="ÜRETİM GİRİŞ")),KASA!$J$2:$J$9980)),0)</f>
        <v>5.5</v>
      </c>
      <c r="F357" s="5">
        <f>SUMIFS(KASA!$I:$I, KASA!$C:$C, $C357, KASA!$B:$B, "MAL SATIŞI") + SUMIFS(KASA!$I:$I, KASA!$C:$C, $C357, KASA!$B:$B, "ÜRETİM ÇIKIŞ")</f>
        <v>22</v>
      </c>
      <c r="G357" s="5">
        <f>SUMIFS(KASA!$I:$I, KASA!$C:$C, $C357, KASA!$B:$B, "MAL İADE")</f>
        <v>0</v>
      </c>
      <c r="H357" s="5">
        <f>SUMIFS(KASA!$K:$K, KASA!$C:$C, $C357, KASA!$B:$B, "MAL İADE") + SUMIFS(KASA!$Q:$Q, KASA!$C:$C, $C357, KASA!$B:$B, "MAL İADE")</f>
        <v>0</v>
      </c>
      <c r="I357" s="5">
        <f t="shared" si="65"/>
        <v>22</v>
      </c>
      <c r="J357" s="5">
        <f t="shared" si="66"/>
        <v>121</v>
      </c>
      <c r="K357" s="5">
        <f>SUMIFS(KASA!$Q:$Q, KASA!$C:$C, $C357, KASA!$B:$B, "MAL SATIŞI") + SUMIFS(KASA!$Q:$Q, KASA!$C:$C, $C357, KASA!$B:$B, "ÜRETİM ÇIKIŞ")</f>
        <v>195</v>
      </c>
      <c r="L357" s="5">
        <f>SUMIFS(KASA!$K:$K, KASA!$C:$C, $C357, KASA!$B:$B, "MAL SATIŞI") + SUMIFS(KASA!$K:$K, KASA!$C:$C, $C357, KASA!$B:$B, "ÜRETİM ÇIKIŞ")</f>
        <v>0</v>
      </c>
      <c r="M357" s="5">
        <f t="shared" si="67"/>
        <v>195</v>
      </c>
      <c r="N357" s="5">
        <f t="shared" si="68"/>
        <v>74</v>
      </c>
      <c r="O357" s="65">
        <f t="shared" si="69"/>
        <v>0.61157024793388426</v>
      </c>
      <c r="P357" s="5">
        <f t="shared" si="70"/>
        <v>8.8636363636363633</v>
      </c>
      <c r="Q357" s="5">
        <f t="shared" si="71"/>
        <v>18</v>
      </c>
      <c r="R357" s="5">
        <f t="shared" si="72"/>
        <v>99</v>
      </c>
      <c r="S357" s="5">
        <f t="shared" si="73"/>
        <v>220</v>
      </c>
      <c r="T357">
        <v>38</v>
      </c>
      <c r="U357" s="2">
        <f t="shared" si="74"/>
        <v>-20</v>
      </c>
      <c r="V357">
        <f>SUMIF(KASA!$C$2:$C$9980, C357, KASA!$T$2:$T$9980)</f>
        <v>18</v>
      </c>
      <c r="W357">
        <f>SUMIF(KASA!$C$2:$C$9980, C357, KASA!$U$2:$U$9980)</f>
        <v>99</v>
      </c>
      <c r="X357" s="2">
        <f t="shared" si="75"/>
        <v>18</v>
      </c>
      <c r="Y357" s="2">
        <f t="shared" si="76"/>
        <v>99</v>
      </c>
      <c r="Z357">
        <f>SUMIF(KASA!$C$2:$C$9980, C357, KASA!$V$2:$V$9980)</f>
        <v>220</v>
      </c>
      <c r="AA357">
        <f t="shared" si="77"/>
        <v>121</v>
      </c>
    </row>
    <row r="358" spans="3:27" x14ac:dyDescent="0.25">
      <c r="C358" s="4" t="s">
        <v>2580</v>
      </c>
      <c r="D358" s="5">
        <f>SUMIFS(KASA!$I:$I, KASA!$C:$C, $C358, KASA!$B:$B, "MAL ALIMI") + SUMIFS(KASA!$I:$I, KASA!$C:$C, $C358, KASA!$B:$B, "ÜRETİM GİRİŞ")</f>
        <v>1</v>
      </c>
      <c r="E358" s="5" cm="1">
        <f t="array" ref="E358">IFERROR(AVERAGE(IF((KASA!$C$2:$C$9980=$C358)*((KASA!$B$2:$B$9980="MAL ALIMI")+(KASA!$B$2:$B$9980="ÜRETİM GİRİŞ")),KASA!$J$2:$J$9980)),0)</f>
        <v>1300</v>
      </c>
      <c r="F358" s="5">
        <f>SUMIFS(KASA!$I:$I, KASA!$C:$C, $C358, KASA!$B:$B, "MAL SATIŞI") + SUMIFS(KASA!$I:$I, KASA!$C:$C, $C358, KASA!$B:$B, "ÜRETİM ÇIKIŞ")</f>
        <v>0.3</v>
      </c>
      <c r="G358" s="5">
        <f>SUMIFS(KASA!$I:$I, KASA!$C:$C, $C358, KASA!$B:$B, "MAL İADE")</f>
        <v>0</v>
      </c>
      <c r="H358" s="5">
        <f>SUMIFS(KASA!$K:$K, KASA!$C:$C, $C358, KASA!$B:$B, "MAL İADE") + SUMIFS(KASA!$Q:$Q, KASA!$C:$C, $C358, KASA!$B:$B, "MAL İADE")</f>
        <v>0</v>
      </c>
      <c r="I358" s="5">
        <f t="shared" si="65"/>
        <v>0.3</v>
      </c>
      <c r="J358" s="5">
        <f t="shared" si="66"/>
        <v>390</v>
      </c>
      <c r="K358" s="5">
        <f>SUMIFS(KASA!$Q:$Q, KASA!$C:$C, $C358, KASA!$B:$B, "MAL SATIŞI") + SUMIFS(KASA!$Q:$Q, KASA!$C:$C, $C358, KASA!$B:$B, "ÜRETİM ÇIKIŞ")</f>
        <v>130</v>
      </c>
      <c r="L358" s="5">
        <f>SUMIFS(KASA!$K:$K, KASA!$C:$C, $C358, KASA!$B:$B, "MAL SATIŞI") + SUMIFS(KASA!$K:$K, KASA!$C:$C, $C358, KASA!$B:$B, "ÜRETİM ÇIKIŞ")</f>
        <v>450</v>
      </c>
      <c r="M358" s="5">
        <f t="shared" si="67"/>
        <v>580</v>
      </c>
      <c r="N358" s="5">
        <f t="shared" si="68"/>
        <v>190</v>
      </c>
      <c r="O358" s="65">
        <f t="shared" si="69"/>
        <v>0.48717948717948717</v>
      </c>
      <c r="P358" s="5">
        <f t="shared" si="70"/>
        <v>1933.3333333333335</v>
      </c>
      <c r="Q358" s="5">
        <f t="shared" si="71"/>
        <v>0.7</v>
      </c>
      <c r="R358" s="5">
        <f t="shared" si="72"/>
        <v>909.99999999999989</v>
      </c>
      <c r="S358" s="5">
        <f t="shared" si="73"/>
        <v>1300</v>
      </c>
      <c r="T358">
        <v>1</v>
      </c>
      <c r="U358" s="2">
        <f t="shared" si="74"/>
        <v>-0.30000000000000004</v>
      </c>
      <c r="V358">
        <f>SUMIF(KASA!$C$2:$C$9980, C358, KASA!$T$2:$T$9980)</f>
        <v>0.7</v>
      </c>
      <c r="W358">
        <f>SUMIF(KASA!$C$2:$C$9980, C358, KASA!$U$2:$U$9980)</f>
        <v>909.99999999999989</v>
      </c>
      <c r="X358" s="2">
        <f t="shared" si="75"/>
        <v>0.7</v>
      </c>
      <c r="Y358" s="2">
        <f t="shared" si="76"/>
        <v>909.99999999999989</v>
      </c>
      <c r="Z358">
        <f>SUMIF(KASA!$C$2:$C$9980, C358, KASA!$V$2:$V$9980)</f>
        <v>1300</v>
      </c>
      <c r="AA358">
        <f t="shared" si="77"/>
        <v>390.00000000000011</v>
      </c>
    </row>
    <row r="359" spans="3:27" x14ac:dyDescent="0.25">
      <c r="C359" s="4" t="s">
        <v>2581</v>
      </c>
      <c r="D359" s="5">
        <f>SUMIFS(KASA!$I:$I, KASA!$C:$C, $C359, KASA!$B:$B, "MAL ALIMI") + SUMIFS(KASA!$I:$I, KASA!$C:$C, $C359, KASA!$B:$B, "ÜRETİM GİRİŞ")</f>
        <v>1</v>
      </c>
      <c r="E359" s="5" cm="1">
        <f t="array" ref="E359">IFERROR(AVERAGE(IF((KASA!$C$2:$C$9980=$C359)*((KASA!$B$2:$B$9980="MAL ALIMI")+(KASA!$B$2:$B$9980="ÜRETİM GİRİŞ")),KASA!$J$2:$J$9980)),0)</f>
        <v>227</v>
      </c>
      <c r="F359" s="5">
        <f>SUMIFS(KASA!$I:$I, KASA!$C:$C, $C359, KASA!$B:$B, "MAL SATIŞI") + SUMIFS(KASA!$I:$I, KASA!$C:$C, $C359, KASA!$B:$B, "ÜRETİM ÇIKIŞ")</f>
        <v>0</v>
      </c>
      <c r="G359" s="5">
        <f>SUMIFS(KASA!$I:$I, KASA!$C:$C, $C359, KASA!$B:$B, "MAL İADE")</f>
        <v>0</v>
      </c>
      <c r="H359" s="5">
        <f>SUMIFS(KASA!$K:$K, KASA!$C:$C, $C359, KASA!$B:$B, "MAL İADE") + SUMIFS(KASA!$Q:$Q, KASA!$C:$C, $C359, KASA!$B:$B, "MAL İADE")</f>
        <v>0</v>
      </c>
      <c r="I359" s="5">
        <f t="shared" si="65"/>
        <v>0</v>
      </c>
      <c r="J359" s="5">
        <f t="shared" si="66"/>
        <v>0</v>
      </c>
      <c r="K359" s="5">
        <f>SUMIFS(KASA!$Q:$Q, KASA!$C:$C, $C359, KASA!$B:$B, "MAL SATIŞI") + SUMIFS(KASA!$Q:$Q, KASA!$C:$C, $C359, KASA!$B:$B, "ÜRETİM ÇIKIŞ")</f>
        <v>0</v>
      </c>
      <c r="L359" s="5">
        <f>SUMIFS(KASA!$K:$K, KASA!$C:$C, $C359, KASA!$B:$B, "MAL SATIŞI") + SUMIFS(KASA!$K:$K, KASA!$C:$C, $C359, KASA!$B:$B, "ÜRETİM ÇIKIŞ")</f>
        <v>0</v>
      </c>
      <c r="M359" s="5">
        <f t="shared" si="67"/>
        <v>0</v>
      </c>
      <c r="N359" s="5">
        <f t="shared" si="68"/>
        <v>0</v>
      </c>
      <c r="O359" s="65">
        <f t="shared" si="69"/>
        <v>0</v>
      </c>
      <c r="P359" s="5" t="e">
        <f t="shared" si="70"/>
        <v>#DIV/0!</v>
      </c>
      <c r="Q359" s="5">
        <f t="shared" si="71"/>
        <v>1</v>
      </c>
      <c r="R359" s="5">
        <f t="shared" si="72"/>
        <v>227</v>
      </c>
      <c r="S359" s="5">
        <f t="shared" si="73"/>
        <v>227</v>
      </c>
      <c r="T359">
        <v>1</v>
      </c>
      <c r="U359" s="2">
        <f t="shared" si="74"/>
        <v>0</v>
      </c>
      <c r="V359">
        <f>SUMIF(KASA!$C$2:$C$9980, C359, KASA!$T$2:$T$9980)</f>
        <v>1</v>
      </c>
      <c r="W359">
        <f>SUMIF(KASA!$C$2:$C$9980, C359, KASA!$U$2:$U$9980)</f>
        <v>227</v>
      </c>
      <c r="X359" s="2">
        <f t="shared" si="75"/>
        <v>1</v>
      </c>
      <c r="Y359" s="2">
        <f t="shared" si="76"/>
        <v>227</v>
      </c>
      <c r="Z359">
        <f>SUMIF(KASA!$C$2:$C$9980, C359, KASA!$V$2:$V$9980)</f>
        <v>227</v>
      </c>
      <c r="AA359">
        <f t="shared" si="77"/>
        <v>0</v>
      </c>
    </row>
    <row r="360" spans="3:27" x14ac:dyDescent="0.25">
      <c r="C360" s="4" t="s">
        <v>2582</v>
      </c>
      <c r="D360" s="5">
        <f>SUMIFS(KASA!$I:$I, KASA!$C:$C, $C360, KASA!$B:$B, "MAL ALIMI") + SUMIFS(KASA!$I:$I, KASA!$C:$C, $C360, KASA!$B:$B, "ÜRETİM GİRİŞ")</f>
        <v>1</v>
      </c>
      <c r="E360" s="5" cm="1">
        <f t="array" ref="E360">IFERROR(AVERAGE(IF((KASA!$C$2:$C$9980=$C360)*((KASA!$B$2:$B$9980="MAL ALIMI")+(KASA!$B$2:$B$9980="ÜRETİM GİRİŞ")),KASA!$J$2:$J$9980)),0)</f>
        <v>118</v>
      </c>
      <c r="F360" s="5">
        <f>SUMIFS(KASA!$I:$I, KASA!$C:$C, $C360, KASA!$B:$B, "MAL SATIŞI") + SUMIFS(KASA!$I:$I, KASA!$C:$C, $C360, KASA!$B:$B, "ÜRETİM ÇIKIŞ")</f>
        <v>0</v>
      </c>
      <c r="G360" s="5">
        <f>SUMIFS(KASA!$I:$I, KASA!$C:$C, $C360, KASA!$B:$B, "MAL İADE")</f>
        <v>0</v>
      </c>
      <c r="H360" s="5">
        <f>SUMIFS(KASA!$K:$K, KASA!$C:$C, $C360, KASA!$B:$B, "MAL İADE") + SUMIFS(KASA!$Q:$Q, KASA!$C:$C, $C360, KASA!$B:$B, "MAL İADE")</f>
        <v>0</v>
      </c>
      <c r="I360" s="5">
        <f t="shared" si="65"/>
        <v>0</v>
      </c>
      <c r="J360" s="5">
        <f t="shared" si="66"/>
        <v>0</v>
      </c>
      <c r="K360" s="5">
        <f>SUMIFS(KASA!$Q:$Q, KASA!$C:$C, $C360, KASA!$B:$B, "MAL SATIŞI") + SUMIFS(KASA!$Q:$Q, KASA!$C:$C, $C360, KASA!$B:$B, "ÜRETİM ÇIKIŞ")</f>
        <v>0</v>
      </c>
      <c r="L360" s="5">
        <f>SUMIFS(KASA!$K:$K, KASA!$C:$C, $C360, KASA!$B:$B, "MAL SATIŞI") + SUMIFS(KASA!$K:$K, KASA!$C:$C, $C360, KASA!$B:$B, "ÜRETİM ÇIKIŞ")</f>
        <v>0</v>
      </c>
      <c r="M360" s="5">
        <f t="shared" si="67"/>
        <v>0</v>
      </c>
      <c r="N360" s="5">
        <f t="shared" si="68"/>
        <v>0</v>
      </c>
      <c r="O360" s="65">
        <f t="shared" si="69"/>
        <v>0</v>
      </c>
      <c r="P360" s="5" t="e">
        <f t="shared" si="70"/>
        <v>#DIV/0!</v>
      </c>
      <c r="Q360" s="5">
        <f t="shared" si="71"/>
        <v>1</v>
      </c>
      <c r="R360" s="5">
        <f t="shared" si="72"/>
        <v>118</v>
      </c>
      <c r="S360" s="5">
        <f t="shared" si="73"/>
        <v>118</v>
      </c>
      <c r="T360">
        <v>1</v>
      </c>
      <c r="U360" s="2">
        <f t="shared" si="74"/>
        <v>0</v>
      </c>
      <c r="V360">
        <f>SUMIF(KASA!$C$2:$C$9980, C360, KASA!$T$2:$T$9980)</f>
        <v>1</v>
      </c>
      <c r="W360">
        <f>SUMIF(KASA!$C$2:$C$9980, C360, KASA!$U$2:$U$9980)</f>
        <v>118</v>
      </c>
      <c r="X360" s="2">
        <f t="shared" si="75"/>
        <v>1</v>
      </c>
      <c r="Y360" s="2">
        <f t="shared" si="76"/>
        <v>118</v>
      </c>
      <c r="Z360">
        <f>SUMIF(KASA!$C$2:$C$9980, C360, KASA!$V$2:$V$9980)</f>
        <v>118</v>
      </c>
      <c r="AA360">
        <f t="shared" si="77"/>
        <v>0</v>
      </c>
    </row>
    <row r="361" spans="3:27" x14ac:dyDescent="0.25">
      <c r="C361" s="4" t="s">
        <v>2583</v>
      </c>
      <c r="D361" s="5">
        <f>SUMIFS(KASA!$I:$I, KASA!$C:$C, $C361, KASA!$B:$B, "MAL ALIMI") + SUMIFS(KASA!$I:$I, KASA!$C:$C, $C361, KASA!$B:$B, "ÜRETİM GİRİŞ")</f>
        <v>2</v>
      </c>
      <c r="E361" s="5" cm="1">
        <f t="array" ref="E361">IFERROR(AVERAGE(IF((KASA!$C$2:$C$9980=$C361)*((KASA!$B$2:$B$9980="MAL ALIMI")+(KASA!$B$2:$B$9980="ÜRETİM GİRİŞ")),KASA!$J$2:$J$9980)),0)</f>
        <v>145</v>
      </c>
      <c r="F361" s="5">
        <f>SUMIFS(KASA!$I:$I, KASA!$C:$C, $C361, KASA!$B:$B, "MAL SATIŞI") + SUMIFS(KASA!$I:$I, KASA!$C:$C, $C361, KASA!$B:$B, "ÜRETİM ÇIKIŞ")</f>
        <v>1</v>
      </c>
      <c r="G361" s="5">
        <f>SUMIFS(KASA!$I:$I, KASA!$C:$C, $C361, KASA!$B:$B, "MAL İADE")</f>
        <v>0</v>
      </c>
      <c r="H361" s="5">
        <f>SUMIFS(KASA!$K:$K, KASA!$C:$C, $C361, KASA!$B:$B, "MAL İADE") + SUMIFS(KASA!$Q:$Q, KASA!$C:$C, $C361, KASA!$B:$B, "MAL İADE")</f>
        <v>0</v>
      </c>
      <c r="I361" s="5">
        <f t="shared" si="65"/>
        <v>1</v>
      </c>
      <c r="J361" s="5">
        <f t="shared" si="66"/>
        <v>145</v>
      </c>
      <c r="K361" s="5">
        <f>SUMIFS(KASA!$Q:$Q, KASA!$C:$C, $C361, KASA!$B:$B, "MAL SATIŞI") + SUMIFS(KASA!$Q:$Q, KASA!$C:$C, $C361, KASA!$B:$B, "ÜRETİM ÇIKIŞ")</f>
        <v>300</v>
      </c>
      <c r="L361" s="5">
        <f>SUMIFS(KASA!$K:$K, KASA!$C:$C, $C361, KASA!$B:$B, "MAL SATIŞI") + SUMIFS(KASA!$K:$K, KASA!$C:$C, $C361, KASA!$B:$B, "ÜRETİM ÇIKIŞ")</f>
        <v>0</v>
      </c>
      <c r="M361" s="5">
        <f t="shared" si="67"/>
        <v>300</v>
      </c>
      <c r="N361" s="5">
        <f t="shared" si="68"/>
        <v>155</v>
      </c>
      <c r="O361" s="65">
        <f t="shared" si="69"/>
        <v>1.0689655172413792</v>
      </c>
      <c r="P361" s="5">
        <f t="shared" si="70"/>
        <v>300</v>
      </c>
      <c r="Q361" s="5">
        <f t="shared" si="71"/>
        <v>1</v>
      </c>
      <c r="R361" s="5">
        <f t="shared" si="72"/>
        <v>145</v>
      </c>
      <c r="S361" s="5">
        <f t="shared" si="73"/>
        <v>290</v>
      </c>
      <c r="T361">
        <v>2</v>
      </c>
      <c r="U361" s="2">
        <f t="shared" si="74"/>
        <v>-1</v>
      </c>
      <c r="V361">
        <f>SUMIF(KASA!$C$2:$C$9980, C361, KASA!$T$2:$T$9980)</f>
        <v>1</v>
      </c>
      <c r="W361">
        <f>SUMIF(KASA!$C$2:$C$9980, C361, KASA!$U$2:$U$9980)</f>
        <v>145</v>
      </c>
      <c r="X361" s="2">
        <f t="shared" si="75"/>
        <v>1</v>
      </c>
      <c r="Y361" s="2">
        <f t="shared" si="76"/>
        <v>145</v>
      </c>
      <c r="Z361">
        <f>SUMIF(KASA!$C$2:$C$9980, C361, KASA!$V$2:$V$9980)</f>
        <v>290</v>
      </c>
      <c r="AA361">
        <f t="shared" si="77"/>
        <v>145</v>
      </c>
    </row>
    <row r="362" spans="3:27" x14ac:dyDescent="0.25">
      <c r="C362" s="4" t="s">
        <v>2584</v>
      </c>
      <c r="D362" s="5">
        <f>SUMIFS(KASA!$I:$I, KASA!$C:$C, $C362, KASA!$B:$B, "MAL ALIMI") + SUMIFS(KASA!$I:$I, KASA!$C:$C, $C362, KASA!$B:$B, "ÜRETİM GİRİŞ")</f>
        <v>2</v>
      </c>
      <c r="E362" s="5" cm="1">
        <f t="array" ref="E362">IFERROR(AVERAGE(IF((KASA!$C$2:$C$9980=$C362)*((KASA!$B$2:$B$9980="MAL ALIMI")+(KASA!$B$2:$B$9980="ÜRETİM GİRİŞ")),KASA!$J$2:$J$9980)),0)</f>
        <v>191</v>
      </c>
      <c r="F362" s="5">
        <f>SUMIFS(KASA!$I:$I, KASA!$C:$C, $C362, KASA!$B:$B, "MAL SATIŞI") + SUMIFS(KASA!$I:$I, KASA!$C:$C, $C362, KASA!$B:$B, "ÜRETİM ÇIKIŞ")</f>
        <v>0</v>
      </c>
      <c r="G362" s="5">
        <f>SUMIFS(KASA!$I:$I, KASA!$C:$C, $C362, KASA!$B:$B, "MAL İADE")</f>
        <v>0</v>
      </c>
      <c r="H362" s="5">
        <f>SUMIFS(KASA!$K:$K, KASA!$C:$C, $C362, KASA!$B:$B, "MAL İADE") + SUMIFS(KASA!$Q:$Q, KASA!$C:$C, $C362, KASA!$B:$B, "MAL İADE")</f>
        <v>0</v>
      </c>
      <c r="I362" s="5">
        <f t="shared" si="65"/>
        <v>0</v>
      </c>
      <c r="J362" s="5">
        <f t="shared" si="66"/>
        <v>0</v>
      </c>
      <c r="K362" s="5">
        <f>SUMIFS(KASA!$Q:$Q, KASA!$C:$C, $C362, KASA!$B:$B, "MAL SATIŞI") + SUMIFS(KASA!$Q:$Q, KASA!$C:$C, $C362, KASA!$B:$B, "ÜRETİM ÇIKIŞ")</f>
        <v>0</v>
      </c>
      <c r="L362" s="5">
        <f>SUMIFS(KASA!$K:$K, KASA!$C:$C, $C362, KASA!$B:$B, "MAL SATIŞI") + SUMIFS(KASA!$K:$K, KASA!$C:$C, $C362, KASA!$B:$B, "ÜRETİM ÇIKIŞ")</f>
        <v>0</v>
      </c>
      <c r="M362" s="5">
        <f t="shared" si="67"/>
        <v>0</v>
      </c>
      <c r="N362" s="5">
        <f t="shared" si="68"/>
        <v>0</v>
      </c>
      <c r="O362" s="65">
        <f t="shared" si="69"/>
        <v>0</v>
      </c>
      <c r="P362" s="5" t="e">
        <f t="shared" si="70"/>
        <v>#DIV/0!</v>
      </c>
      <c r="Q362" s="5">
        <f t="shared" si="71"/>
        <v>2</v>
      </c>
      <c r="R362" s="5">
        <f t="shared" si="72"/>
        <v>382</v>
      </c>
      <c r="S362" s="5">
        <f t="shared" si="73"/>
        <v>382</v>
      </c>
      <c r="T362">
        <v>2</v>
      </c>
      <c r="U362" s="2">
        <f t="shared" si="74"/>
        <v>0</v>
      </c>
      <c r="V362">
        <f>SUMIF(KASA!$C$2:$C$9980, C362, KASA!$T$2:$T$9980)</f>
        <v>2</v>
      </c>
      <c r="W362">
        <f>SUMIF(KASA!$C$2:$C$9980, C362, KASA!$U$2:$U$9980)</f>
        <v>382</v>
      </c>
      <c r="X362" s="2">
        <f t="shared" si="75"/>
        <v>2</v>
      </c>
      <c r="Y362" s="2">
        <f t="shared" si="76"/>
        <v>382</v>
      </c>
      <c r="Z362">
        <f>SUMIF(KASA!$C$2:$C$9980, C362, KASA!$V$2:$V$9980)</f>
        <v>382</v>
      </c>
      <c r="AA362">
        <f t="shared" si="77"/>
        <v>0</v>
      </c>
    </row>
    <row r="363" spans="3:27" x14ac:dyDescent="0.25">
      <c r="C363" s="4" t="s">
        <v>2585</v>
      </c>
      <c r="D363" s="5">
        <f>SUMIFS(KASA!$I:$I, KASA!$C:$C, $C363, KASA!$B:$B, "MAL ALIMI") + SUMIFS(KASA!$I:$I, KASA!$C:$C, $C363, KASA!$B:$B, "ÜRETİM GİRİŞ")</f>
        <v>1</v>
      </c>
      <c r="E363" s="5" cm="1">
        <f t="array" ref="E363">IFERROR(AVERAGE(IF((KASA!$C$2:$C$9980=$C363)*((KASA!$B$2:$B$9980="MAL ALIMI")+(KASA!$B$2:$B$9980="ÜRETİM GİRİŞ")),KASA!$J$2:$J$9980)),0)</f>
        <v>227</v>
      </c>
      <c r="F363" s="5">
        <f>SUMIFS(KASA!$I:$I, KASA!$C:$C, $C363, KASA!$B:$B, "MAL SATIŞI") + SUMIFS(KASA!$I:$I, KASA!$C:$C, $C363, KASA!$B:$B, "ÜRETİM ÇIKIŞ")</f>
        <v>0</v>
      </c>
      <c r="G363" s="5">
        <f>SUMIFS(KASA!$I:$I, KASA!$C:$C, $C363, KASA!$B:$B, "MAL İADE")</f>
        <v>0</v>
      </c>
      <c r="H363" s="5">
        <f>SUMIFS(KASA!$K:$K, KASA!$C:$C, $C363, KASA!$B:$B, "MAL İADE") + SUMIFS(KASA!$Q:$Q, KASA!$C:$C, $C363, KASA!$B:$B, "MAL İADE")</f>
        <v>0</v>
      </c>
      <c r="I363" s="5">
        <f t="shared" si="65"/>
        <v>0</v>
      </c>
      <c r="J363" s="5">
        <f t="shared" si="66"/>
        <v>0</v>
      </c>
      <c r="K363" s="5">
        <f>SUMIFS(KASA!$Q:$Q, KASA!$C:$C, $C363, KASA!$B:$B, "MAL SATIŞI") + SUMIFS(KASA!$Q:$Q, KASA!$C:$C, $C363, KASA!$B:$B, "ÜRETİM ÇIKIŞ")</f>
        <v>0</v>
      </c>
      <c r="L363" s="5">
        <f>SUMIFS(KASA!$K:$K, KASA!$C:$C, $C363, KASA!$B:$B, "MAL SATIŞI") + SUMIFS(KASA!$K:$K, KASA!$C:$C, $C363, KASA!$B:$B, "ÜRETİM ÇIKIŞ")</f>
        <v>0</v>
      </c>
      <c r="M363" s="5">
        <f t="shared" si="67"/>
        <v>0</v>
      </c>
      <c r="N363" s="5">
        <f t="shared" si="68"/>
        <v>0</v>
      </c>
      <c r="O363" s="65">
        <f t="shared" si="69"/>
        <v>0</v>
      </c>
      <c r="P363" s="5" t="e">
        <f t="shared" si="70"/>
        <v>#DIV/0!</v>
      </c>
      <c r="Q363" s="5">
        <f t="shared" si="71"/>
        <v>1</v>
      </c>
      <c r="R363" s="5">
        <f t="shared" si="72"/>
        <v>227</v>
      </c>
      <c r="S363" s="5">
        <f t="shared" si="73"/>
        <v>227</v>
      </c>
      <c r="T363">
        <v>1</v>
      </c>
      <c r="U363" s="2">
        <f t="shared" si="74"/>
        <v>0</v>
      </c>
      <c r="V363">
        <f>SUMIF(KASA!$C$2:$C$9980, C363, KASA!$T$2:$T$9980)</f>
        <v>1</v>
      </c>
      <c r="W363">
        <f>SUMIF(KASA!$C$2:$C$9980, C363, KASA!$U$2:$U$9980)</f>
        <v>227</v>
      </c>
      <c r="X363" s="2">
        <f t="shared" si="75"/>
        <v>1</v>
      </c>
      <c r="Y363" s="2">
        <f t="shared" si="76"/>
        <v>227</v>
      </c>
      <c r="Z363">
        <f>SUMIF(KASA!$C$2:$C$9980, C363, KASA!$V$2:$V$9980)</f>
        <v>227</v>
      </c>
      <c r="AA363">
        <f t="shared" si="77"/>
        <v>0</v>
      </c>
    </row>
    <row r="364" spans="3:27" x14ac:dyDescent="0.25">
      <c r="C364" s="4" t="s">
        <v>2586</v>
      </c>
      <c r="D364" s="5">
        <f>SUMIFS(KASA!$I:$I, KASA!$C:$C, $C364, KASA!$B:$B, "MAL ALIMI") + SUMIFS(KASA!$I:$I, KASA!$C:$C, $C364, KASA!$B:$B, "ÜRETİM GİRİŞ")</f>
        <v>1</v>
      </c>
      <c r="E364" s="5" cm="1">
        <f t="array" ref="E364">IFERROR(AVERAGE(IF((KASA!$C$2:$C$9980=$C364)*((KASA!$B$2:$B$9980="MAL ALIMI")+(KASA!$B$2:$B$9980="ÜRETİM GİRİŞ")),KASA!$J$2:$J$9980)),0)</f>
        <v>294</v>
      </c>
      <c r="F364" s="5">
        <f>SUMIFS(KASA!$I:$I, KASA!$C:$C, $C364, KASA!$B:$B, "MAL SATIŞI") + SUMIFS(KASA!$I:$I, KASA!$C:$C, $C364, KASA!$B:$B, "ÜRETİM ÇIKIŞ")</f>
        <v>0</v>
      </c>
      <c r="G364" s="5">
        <f>SUMIFS(KASA!$I:$I, KASA!$C:$C, $C364, KASA!$B:$B, "MAL İADE")</f>
        <v>0</v>
      </c>
      <c r="H364" s="5">
        <f>SUMIFS(KASA!$K:$K, KASA!$C:$C, $C364, KASA!$B:$B, "MAL İADE") + SUMIFS(KASA!$Q:$Q, KASA!$C:$C, $C364, KASA!$B:$B, "MAL İADE")</f>
        <v>0</v>
      </c>
      <c r="I364" s="5">
        <f t="shared" si="65"/>
        <v>0</v>
      </c>
      <c r="J364" s="5">
        <f t="shared" si="66"/>
        <v>0</v>
      </c>
      <c r="K364" s="5">
        <f>SUMIFS(KASA!$Q:$Q, KASA!$C:$C, $C364, KASA!$B:$B, "MAL SATIŞI") + SUMIFS(KASA!$Q:$Q, KASA!$C:$C, $C364, KASA!$B:$B, "ÜRETİM ÇIKIŞ")</f>
        <v>0</v>
      </c>
      <c r="L364" s="5">
        <f>SUMIFS(KASA!$K:$K, KASA!$C:$C, $C364, KASA!$B:$B, "MAL SATIŞI") + SUMIFS(KASA!$K:$K, KASA!$C:$C, $C364, KASA!$B:$B, "ÜRETİM ÇIKIŞ")</f>
        <v>0</v>
      </c>
      <c r="M364" s="5">
        <f t="shared" si="67"/>
        <v>0</v>
      </c>
      <c r="N364" s="5">
        <f t="shared" si="68"/>
        <v>0</v>
      </c>
      <c r="O364" s="65">
        <f t="shared" si="69"/>
        <v>0</v>
      </c>
      <c r="P364" s="5" t="e">
        <f t="shared" si="70"/>
        <v>#DIV/0!</v>
      </c>
      <c r="Q364" s="5">
        <f t="shared" si="71"/>
        <v>1</v>
      </c>
      <c r="R364" s="5">
        <f t="shared" si="72"/>
        <v>294</v>
      </c>
      <c r="S364" s="5">
        <f t="shared" si="73"/>
        <v>294</v>
      </c>
      <c r="T364">
        <v>1</v>
      </c>
      <c r="U364" s="2">
        <f t="shared" si="74"/>
        <v>0</v>
      </c>
      <c r="V364">
        <f>SUMIF(KASA!$C$2:$C$9980, C364, KASA!$T$2:$T$9980)</f>
        <v>1</v>
      </c>
      <c r="W364">
        <f>SUMIF(KASA!$C$2:$C$9980, C364, KASA!$U$2:$U$9980)</f>
        <v>294</v>
      </c>
      <c r="X364" s="2">
        <f t="shared" si="75"/>
        <v>1</v>
      </c>
      <c r="Y364" s="2">
        <f t="shared" si="76"/>
        <v>294</v>
      </c>
      <c r="Z364">
        <f>SUMIF(KASA!$C$2:$C$9980, C364, KASA!$V$2:$V$9980)</f>
        <v>294</v>
      </c>
      <c r="AA364">
        <f t="shared" si="77"/>
        <v>0</v>
      </c>
    </row>
    <row r="365" spans="3:27" x14ac:dyDescent="0.25">
      <c r="C365" s="4" t="s">
        <v>2587</v>
      </c>
      <c r="D365" s="5">
        <f>SUMIFS(KASA!$I:$I, KASA!$C:$C, $C365, KASA!$B:$B, "MAL ALIMI") + SUMIFS(KASA!$I:$I, KASA!$C:$C, $C365, KASA!$B:$B, "ÜRETİM GİRİŞ")</f>
        <v>1</v>
      </c>
      <c r="E365" s="5" cm="1">
        <f t="array" ref="E365">IFERROR(AVERAGE(IF((KASA!$C$2:$C$9980=$C365)*((KASA!$B$2:$B$9980="MAL ALIMI")+(KASA!$B$2:$B$9980="ÜRETİM GİRİŞ")),KASA!$J$2:$J$9980)),0)</f>
        <v>234</v>
      </c>
      <c r="F365" s="5">
        <f>SUMIFS(KASA!$I:$I, KASA!$C:$C, $C365, KASA!$B:$B, "MAL SATIŞI") + SUMIFS(KASA!$I:$I, KASA!$C:$C, $C365, KASA!$B:$B, "ÜRETİM ÇIKIŞ")</f>
        <v>0</v>
      </c>
      <c r="G365" s="5">
        <f>SUMIFS(KASA!$I:$I, KASA!$C:$C, $C365, KASA!$B:$B, "MAL İADE")</f>
        <v>0</v>
      </c>
      <c r="H365" s="5">
        <f>SUMIFS(KASA!$K:$K, KASA!$C:$C, $C365, KASA!$B:$B, "MAL İADE") + SUMIFS(KASA!$Q:$Q, KASA!$C:$C, $C365, KASA!$B:$B, "MAL İADE")</f>
        <v>0</v>
      </c>
      <c r="I365" s="5">
        <f t="shared" si="65"/>
        <v>0</v>
      </c>
      <c r="J365" s="5">
        <f t="shared" si="66"/>
        <v>0</v>
      </c>
      <c r="K365" s="5">
        <f>SUMIFS(KASA!$Q:$Q, KASA!$C:$C, $C365, KASA!$B:$B, "MAL SATIŞI") + SUMIFS(KASA!$Q:$Q, KASA!$C:$C, $C365, KASA!$B:$B, "ÜRETİM ÇIKIŞ")</f>
        <v>0</v>
      </c>
      <c r="L365" s="5">
        <f>SUMIFS(KASA!$K:$K, KASA!$C:$C, $C365, KASA!$B:$B, "MAL SATIŞI") + SUMIFS(KASA!$K:$K, KASA!$C:$C, $C365, KASA!$B:$B, "ÜRETİM ÇIKIŞ")</f>
        <v>0</v>
      </c>
      <c r="M365" s="5">
        <f t="shared" si="67"/>
        <v>0</v>
      </c>
      <c r="N365" s="5">
        <f t="shared" si="68"/>
        <v>0</v>
      </c>
      <c r="O365" s="65">
        <f t="shared" si="69"/>
        <v>0</v>
      </c>
      <c r="P365" s="5" t="e">
        <f t="shared" si="70"/>
        <v>#DIV/0!</v>
      </c>
      <c r="Q365" s="5">
        <f t="shared" si="71"/>
        <v>1</v>
      </c>
      <c r="R365" s="5">
        <f t="shared" si="72"/>
        <v>234</v>
      </c>
      <c r="S365" s="5">
        <f t="shared" si="73"/>
        <v>234</v>
      </c>
      <c r="T365">
        <v>1</v>
      </c>
      <c r="U365" s="2">
        <f t="shared" si="74"/>
        <v>0</v>
      </c>
      <c r="V365">
        <f>SUMIF(KASA!$C$2:$C$9980, C365, KASA!$T$2:$T$9980)</f>
        <v>1</v>
      </c>
      <c r="W365">
        <f>SUMIF(KASA!$C$2:$C$9980, C365, KASA!$U$2:$U$9980)</f>
        <v>234</v>
      </c>
      <c r="X365" s="2">
        <f t="shared" si="75"/>
        <v>1</v>
      </c>
      <c r="Y365" s="2">
        <f t="shared" si="76"/>
        <v>234</v>
      </c>
      <c r="Z365">
        <f>SUMIF(KASA!$C$2:$C$9980, C365, KASA!$V$2:$V$9980)</f>
        <v>234</v>
      </c>
      <c r="AA365">
        <f t="shared" si="77"/>
        <v>0</v>
      </c>
    </row>
    <row r="366" spans="3:27" x14ac:dyDescent="0.25">
      <c r="C366" s="4" t="s">
        <v>2588</v>
      </c>
      <c r="D366" s="5">
        <f>SUMIFS(KASA!$I:$I, KASA!$C:$C, $C366, KASA!$B:$B, "MAL ALIMI") + SUMIFS(KASA!$I:$I, KASA!$C:$C, $C366, KASA!$B:$B, "ÜRETİM GİRİŞ")</f>
        <v>3</v>
      </c>
      <c r="E366" s="5" cm="1">
        <f t="array" ref="E366">IFERROR(AVERAGE(IF((KASA!$C$2:$C$9980=$C366)*((KASA!$B$2:$B$9980="MAL ALIMI")+(KASA!$B$2:$B$9980="ÜRETİM GİRİŞ")),KASA!$J$2:$J$9980)),0)</f>
        <v>60</v>
      </c>
      <c r="F366" s="5">
        <f>SUMIFS(KASA!$I:$I, KASA!$C:$C, $C366, KASA!$B:$B, "MAL SATIŞI") + SUMIFS(KASA!$I:$I, KASA!$C:$C, $C366, KASA!$B:$B, "ÜRETİM ÇIKIŞ")</f>
        <v>2</v>
      </c>
      <c r="G366" s="5">
        <f>SUMIFS(KASA!$I:$I, KASA!$C:$C, $C366, KASA!$B:$B, "MAL İADE")</f>
        <v>0</v>
      </c>
      <c r="H366" s="5">
        <f>SUMIFS(KASA!$K:$K, KASA!$C:$C, $C366, KASA!$B:$B, "MAL İADE") + SUMIFS(KASA!$Q:$Q, KASA!$C:$C, $C366, KASA!$B:$B, "MAL İADE")</f>
        <v>0</v>
      </c>
      <c r="I366" s="5">
        <f t="shared" si="65"/>
        <v>2</v>
      </c>
      <c r="J366" s="5">
        <f t="shared" si="66"/>
        <v>120</v>
      </c>
      <c r="K366" s="5">
        <f>SUMIFS(KASA!$Q:$Q, KASA!$C:$C, $C366, KASA!$B:$B, "MAL SATIŞI") + SUMIFS(KASA!$Q:$Q, KASA!$C:$C, $C366, KASA!$B:$B, "ÜRETİM ÇIKIŞ")</f>
        <v>0</v>
      </c>
      <c r="L366" s="5">
        <f>SUMIFS(KASA!$K:$K, KASA!$C:$C, $C366, KASA!$B:$B, "MAL SATIŞI") + SUMIFS(KASA!$K:$K, KASA!$C:$C, $C366, KASA!$B:$B, "ÜRETİM ÇIKIŞ")</f>
        <v>245</v>
      </c>
      <c r="M366" s="5">
        <f t="shared" si="67"/>
        <v>245</v>
      </c>
      <c r="N366" s="5">
        <f t="shared" si="68"/>
        <v>125</v>
      </c>
      <c r="O366" s="65">
        <f t="shared" si="69"/>
        <v>1.0416666666666667</v>
      </c>
      <c r="P366" s="5">
        <f t="shared" si="70"/>
        <v>122.5</v>
      </c>
      <c r="Q366" s="5">
        <f t="shared" si="71"/>
        <v>1</v>
      </c>
      <c r="R366" s="5">
        <f t="shared" si="72"/>
        <v>60</v>
      </c>
      <c r="S366" s="5">
        <f t="shared" si="73"/>
        <v>180</v>
      </c>
      <c r="T366">
        <v>2</v>
      </c>
      <c r="U366" s="2">
        <f t="shared" si="74"/>
        <v>-1</v>
      </c>
      <c r="V366">
        <f>SUMIF(KASA!$C$2:$C$9980, C366, KASA!$T$2:$T$9980)</f>
        <v>1</v>
      </c>
      <c r="W366">
        <f>SUMIF(KASA!$C$2:$C$9980, C366, KASA!$U$2:$U$9980)</f>
        <v>60</v>
      </c>
      <c r="X366" s="2">
        <f t="shared" si="75"/>
        <v>1</v>
      </c>
      <c r="Y366" s="2">
        <f t="shared" si="76"/>
        <v>60</v>
      </c>
      <c r="Z366">
        <f>SUMIF(KASA!$C$2:$C$9980, C366, KASA!$V$2:$V$9980)</f>
        <v>180</v>
      </c>
      <c r="AA366">
        <f t="shared" si="77"/>
        <v>120</v>
      </c>
    </row>
    <row r="367" spans="3:27" x14ac:dyDescent="0.25">
      <c r="C367" s="4" t="s">
        <v>2592</v>
      </c>
      <c r="D367" s="5">
        <f>SUMIFS(KASA!$I:$I, KASA!$C:$C, $C367, KASA!$B:$B, "MAL ALIMI") + SUMIFS(KASA!$I:$I, KASA!$C:$C, $C367, KASA!$B:$B, "ÜRETİM GİRİŞ")</f>
        <v>3</v>
      </c>
      <c r="E367" s="5" cm="1">
        <f t="array" ref="E367">IFERROR(AVERAGE(IF((KASA!$C$2:$C$9980=$C367)*((KASA!$B$2:$B$9980="MAL ALIMI")+(KASA!$B$2:$B$9980="ÜRETİM GİRİŞ")),KASA!$J$2:$J$9980)),0)</f>
        <v>60</v>
      </c>
      <c r="F367" s="5">
        <f>SUMIFS(KASA!$I:$I, KASA!$C:$C, $C367, KASA!$B:$B, "MAL SATIŞI") + SUMIFS(KASA!$I:$I, KASA!$C:$C, $C367, KASA!$B:$B, "ÜRETİM ÇIKIŞ")</f>
        <v>2</v>
      </c>
      <c r="G367" s="5">
        <f>SUMIFS(KASA!$I:$I, KASA!$C:$C, $C367, KASA!$B:$B, "MAL İADE")</f>
        <v>0</v>
      </c>
      <c r="H367" s="5">
        <f>SUMIFS(KASA!$K:$K, KASA!$C:$C, $C367, KASA!$B:$B, "MAL İADE") + SUMIFS(KASA!$Q:$Q, KASA!$C:$C, $C367, KASA!$B:$B, "MAL İADE")</f>
        <v>0</v>
      </c>
      <c r="I367" s="5">
        <f t="shared" si="65"/>
        <v>2</v>
      </c>
      <c r="J367" s="5">
        <f t="shared" si="66"/>
        <v>120</v>
      </c>
      <c r="K367" s="5">
        <f>SUMIFS(KASA!$Q:$Q, KASA!$C:$C, $C367, KASA!$B:$B, "MAL SATIŞI") + SUMIFS(KASA!$Q:$Q, KASA!$C:$C, $C367, KASA!$B:$B, "ÜRETİM ÇIKIŞ")</f>
        <v>245</v>
      </c>
      <c r="L367" s="5">
        <f>SUMIFS(KASA!$K:$K, KASA!$C:$C, $C367, KASA!$B:$B, "MAL SATIŞI") + SUMIFS(KASA!$K:$K, KASA!$C:$C, $C367, KASA!$B:$B, "ÜRETİM ÇIKIŞ")</f>
        <v>0</v>
      </c>
      <c r="M367" s="5">
        <f t="shared" si="67"/>
        <v>245</v>
      </c>
      <c r="N367" s="5">
        <f t="shared" si="68"/>
        <v>125</v>
      </c>
      <c r="O367" s="65">
        <f t="shared" si="69"/>
        <v>1.0416666666666667</v>
      </c>
      <c r="P367" s="5">
        <f t="shared" si="70"/>
        <v>122.5</v>
      </c>
      <c r="Q367" s="5">
        <f t="shared" si="71"/>
        <v>1</v>
      </c>
      <c r="R367" s="5">
        <f t="shared" si="72"/>
        <v>60</v>
      </c>
      <c r="S367" s="5">
        <f t="shared" si="73"/>
        <v>180</v>
      </c>
      <c r="T367">
        <v>3</v>
      </c>
      <c r="U367" s="2">
        <f t="shared" si="74"/>
        <v>-2</v>
      </c>
      <c r="V367">
        <f>SUMIF(KASA!$C$2:$C$9980, C367, KASA!$T$2:$T$9980)</f>
        <v>1</v>
      </c>
      <c r="W367">
        <f>SUMIF(KASA!$C$2:$C$9980, C367, KASA!$U$2:$U$9980)</f>
        <v>60</v>
      </c>
      <c r="X367" s="2">
        <f t="shared" si="75"/>
        <v>1</v>
      </c>
      <c r="Y367" s="2">
        <f t="shared" si="76"/>
        <v>60</v>
      </c>
      <c r="Z367">
        <f>SUMIF(KASA!$C$2:$C$9980, C367, KASA!$V$2:$V$9980)</f>
        <v>180</v>
      </c>
      <c r="AA367">
        <f t="shared" si="77"/>
        <v>120</v>
      </c>
    </row>
    <row r="368" spans="3:27" x14ac:dyDescent="0.25">
      <c r="C368" s="4" t="s">
        <v>2589</v>
      </c>
      <c r="D368" s="5">
        <f>SUMIFS(KASA!$I:$I, KASA!$C:$C, $C368, KASA!$B:$B, "MAL ALIMI") + SUMIFS(KASA!$I:$I, KASA!$C:$C, $C368, KASA!$B:$B, "ÜRETİM GİRİŞ")</f>
        <v>3</v>
      </c>
      <c r="E368" s="5" cm="1">
        <f t="array" ref="E368">IFERROR(AVERAGE(IF((KASA!$C$2:$C$9980=$C368)*((KASA!$B$2:$B$9980="MAL ALIMI")+(KASA!$B$2:$B$9980="ÜRETİM GİRİŞ")),KASA!$J$2:$J$9980)),0)</f>
        <v>60</v>
      </c>
      <c r="F368" s="5">
        <f>SUMIFS(KASA!$I:$I, KASA!$C:$C, $C368, KASA!$B:$B, "MAL SATIŞI") + SUMIFS(KASA!$I:$I, KASA!$C:$C, $C368, KASA!$B:$B, "ÜRETİM ÇIKIŞ")</f>
        <v>1</v>
      </c>
      <c r="G368" s="5">
        <f>SUMIFS(KASA!$I:$I, KASA!$C:$C, $C368, KASA!$B:$B, "MAL İADE")</f>
        <v>0</v>
      </c>
      <c r="H368" s="5">
        <f>SUMIFS(KASA!$K:$K, KASA!$C:$C, $C368, KASA!$B:$B, "MAL İADE") + SUMIFS(KASA!$Q:$Q, KASA!$C:$C, $C368, KASA!$B:$B, "MAL İADE")</f>
        <v>0</v>
      </c>
      <c r="I368" s="5">
        <f t="shared" si="65"/>
        <v>1</v>
      </c>
      <c r="J368" s="5">
        <f t="shared" si="66"/>
        <v>60</v>
      </c>
      <c r="K368" s="5">
        <f>SUMIFS(KASA!$Q:$Q, KASA!$C:$C, $C368, KASA!$B:$B, "MAL SATIŞI") + SUMIFS(KASA!$Q:$Q, KASA!$C:$C, $C368, KASA!$B:$B, "ÜRETİM ÇIKIŞ")</f>
        <v>125</v>
      </c>
      <c r="L368" s="5">
        <f>SUMIFS(KASA!$K:$K, KASA!$C:$C, $C368, KASA!$B:$B, "MAL SATIŞI") + SUMIFS(KASA!$K:$K, KASA!$C:$C, $C368, KASA!$B:$B, "ÜRETİM ÇIKIŞ")</f>
        <v>0</v>
      </c>
      <c r="M368" s="5">
        <f t="shared" si="67"/>
        <v>125</v>
      </c>
      <c r="N368" s="5">
        <f t="shared" si="68"/>
        <v>65</v>
      </c>
      <c r="O368" s="65">
        <f t="shared" si="69"/>
        <v>1.0833333333333333</v>
      </c>
      <c r="P368" s="5">
        <f t="shared" si="70"/>
        <v>125</v>
      </c>
      <c r="Q368" s="5">
        <f t="shared" si="71"/>
        <v>2</v>
      </c>
      <c r="R368" s="5">
        <f t="shared" si="72"/>
        <v>120</v>
      </c>
      <c r="S368" s="5">
        <f t="shared" si="73"/>
        <v>180</v>
      </c>
      <c r="T368">
        <v>3</v>
      </c>
      <c r="U368" s="2">
        <f t="shared" si="74"/>
        <v>-1</v>
      </c>
      <c r="V368">
        <f>SUMIF(KASA!$C$2:$C$9980, C368, KASA!$T$2:$T$9980)</f>
        <v>2</v>
      </c>
      <c r="W368">
        <f>SUMIF(KASA!$C$2:$C$9980, C368, KASA!$U$2:$U$9980)</f>
        <v>120</v>
      </c>
      <c r="X368" s="2">
        <f t="shared" si="75"/>
        <v>2</v>
      </c>
      <c r="Y368" s="2">
        <f t="shared" si="76"/>
        <v>120</v>
      </c>
      <c r="Z368">
        <f>SUMIF(KASA!$C$2:$C$9980, C368, KASA!$V$2:$V$9980)</f>
        <v>180</v>
      </c>
      <c r="AA368">
        <f t="shared" si="77"/>
        <v>60</v>
      </c>
    </row>
    <row r="369" spans="3:27" x14ac:dyDescent="0.25">
      <c r="C369" s="4" t="s">
        <v>2590</v>
      </c>
      <c r="D369" s="5">
        <f>SUMIFS(KASA!$I:$I, KASA!$C:$C, $C369, KASA!$B:$B, "MAL ALIMI") + SUMIFS(KASA!$I:$I, KASA!$C:$C, $C369, KASA!$B:$B, "ÜRETİM GİRİŞ")</f>
        <v>3</v>
      </c>
      <c r="E369" s="5" cm="1">
        <f t="array" ref="E369">IFERROR(AVERAGE(IF((KASA!$C$2:$C$9980=$C369)*((KASA!$B$2:$B$9980="MAL ALIMI")+(KASA!$B$2:$B$9980="ÜRETİM GİRİŞ")),KASA!$J$2:$J$9980)),0)</f>
        <v>60</v>
      </c>
      <c r="F369" s="5">
        <f>SUMIFS(KASA!$I:$I, KASA!$C:$C, $C369, KASA!$B:$B, "MAL SATIŞI") + SUMIFS(KASA!$I:$I, KASA!$C:$C, $C369, KASA!$B:$B, "ÜRETİM ÇIKIŞ")</f>
        <v>1</v>
      </c>
      <c r="G369" s="5">
        <f>SUMIFS(KASA!$I:$I, KASA!$C:$C, $C369, KASA!$B:$B, "MAL İADE")</f>
        <v>0</v>
      </c>
      <c r="H369" s="5">
        <f>SUMIFS(KASA!$K:$K, KASA!$C:$C, $C369, KASA!$B:$B, "MAL İADE") + SUMIFS(KASA!$Q:$Q, KASA!$C:$C, $C369, KASA!$B:$B, "MAL İADE")</f>
        <v>0</v>
      </c>
      <c r="I369" s="5">
        <f t="shared" si="65"/>
        <v>1</v>
      </c>
      <c r="J369" s="5">
        <f t="shared" si="66"/>
        <v>60</v>
      </c>
      <c r="K369" s="5">
        <f>SUMIFS(KASA!$Q:$Q, KASA!$C:$C, $C369, KASA!$B:$B, "MAL SATIŞI") + SUMIFS(KASA!$Q:$Q, KASA!$C:$C, $C369, KASA!$B:$B, "ÜRETİM ÇIKIŞ")</f>
        <v>125</v>
      </c>
      <c r="L369" s="5">
        <f>SUMIFS(KASA!$K:$K, KASA!$C:$C, $C369, KASA!$B:$B, "MAL SATIŞI") + SUMIFS(KASA!$K:$K, KASA!$C:$C, $C369, KASA!$B:$B, "ÜRETİM ÇIKIŞ")</f>
        <v>0</v>
      </c>
      <c r="M369" s="5">
        <f t="shared" si="67"/>
        <v>125</v>
      </c>
      <c r="N369" s="5">
        <f t="shared" si="68"/>
        <v>65</v>
      </c>
      <c r="O369" s="65">
        <f t="shared" si="69"/>
        <v>1.0833333333333333</v>
      </c>
      <c r="P369" s="5">
        <f t="shared" si="70"/>
        <v>125</v>
      </c>
      <c r="Q369" s="5">
        <f t="shared" si="71"/>
        <v>2</v>
      </c>
      <c r="R369" s="5">
        <f t="shared" si="72"/>
        <v>120</v>
      </c>
      <c r="S369" s="5">
        <f t="shared" si="73"/>
        <v>180</v>
      </c>
      <c r="T369">
        <v>3</v>
      </c>
      <c r="U369" s="2">
        <f t="shared" si="74"/>
        <v>-1</v>
      </c>
      <c r="V369">
        <f>SUMIF(KASA!$C$2:$C$9980, C369, KASA!$T$2:$T$9980)</f>
        <v>2</v>
      </c>
      <c r="W369">
        <f>SUMIF(KASA!$C$2:$C$9980, C369, KASA!$U$2:$U$9980)</f>
        <v>120</v>
      </c>
      <c r="X369" s="2">
        <f t="shared" si="75"/>
        <v>2</v>
      </c>
      <c r="Y369" s="2">
        <f t="shared" si="76"/>
        <v>120</v>
      </c>
      <c r="Z369">
        <f>SUMIF(KASA!$C$2:$C$9980, C369, KASA!$V$2:$V$9980)</f>
        <v>180</v>
      </c>
      <c r="AA369">
        <f t="shared" si="77"/>
        <v>60</v>
      </c>
    </row>
    <row r="370" spans="3:27" x14ac:dyDescent="0.25">
      <c r="C370" s="4" t="s">
        <v>2593</v>
      </c>
      <c r="D370" s="5">
        <f>SUMIFS(KASA!$I:$I, KASA!$C:$C, $C370, KASA!$B:$B, "MAL ALIMI") + SUMIFS(KASA!$I:$I, KASA!$C:$C, $C370, KASA!$B:$B, "ÜRETİM GİRİŞ")</f>
        <v>1</v>
      </c>
      <c r="E370" s="5" cm="1">
        <f t="array" ref="E370">IFERROR(AVERAGE(IF((KASA!$C$2:$C$9980=$C370)*((KASA!$B$2:$B$9980="MAL ALIMI")+(KASA!$B$2:$B$9980="ÜRETİM GİRİŞ")),KASA!$J$2:$J$9980)),0)</f>
        <v>40</v>
      </c>
      <c r="F370" s="5">
        <f>SUMIFS(KASA!$I:$I, KASA!$C:$C, $C370, KASA!$B:$B, "MAL SATIŞI") + SUMIFS(KASA!$I:$I, KASA!$C:$C, $C370, KASA!$B:$B, "ÜRETİM ÇIKIŞ")</f>
        <v>0</v>
      </c>
      <c r="G370" s="5">
        <f>SUMIFS(KASA!$I:$I, KASA!$C:$C, $C370, KASA!$B:$B, "MAL İADE")</f>
        <v>0</v>
      </c>
      <c r="H370" s="5">
        <f>SUMIFS(KASA!$K:$K, KASA!$C:$C, $C370, KASA!$B:$B, "MAL İADE") + SUMIFS(KASA!$Q:$Q, KASA!$C:$C, $C370, KASA!$B:$B, "MAL İADE")</f>
        <v>0</v>
      </c>
      <c r="I370" s="5">
        <f t="shared" si="65"/>
        <v>0</v>
      </c>
      <c r="J370" s="5">
        <f t="shared" si="66"/>
        <v>0</v>
      </c>
      <c r="K370" s="5">
        <f>SUMIFS(KASA!$Q:$Q, KASA!$C:$C, $C370, KASA!$B:$B, "MAL SATIŞI") + SUMIFS(KASA!$Q:$Q, KASA!$C:$C, $C370, KASA!$B:$B, "ÜRETİM ÇIKIŞ")</f>
        <v>0</v>
      </c>
      <c r="L370" s="5">
        <f>SUMIFS(KASA!$K:$K, KASA!$C:$C, $C370, KASA!$B:$B, "MAL SATIŞI") + SUMIFS(KASA!$K:$K, KASA!$C:$C, $C370, KASA!$B:$B, "ÜRETİM ÇIKIŞ")</f>
        <v>0</v>
      </c>
      <c r="M370" s="5">
        <f t="shared" si="67"/>
        <v>0</v>
      </c>
      <c r="N370" s="5">
        <f t="shared" si="68"/>
        <v>0</v>
      </c>
      <c r="O370" s="65">
        <f t="shared" si="69"/>
        <v>0</v>
      </c>
      <c r="P370" s="5" t="e">
        <f t="shared" si="70"/>
        <v>#DIV/0!</v>
      </c>
      <c r="Q370" s="5">
        <f t="shared" si="71"/>
        <v>1</v>
      </c>
      <c r="R370" s="5">
        <f t="shared" si="72"/>
        <v>40</v>
      </c>
      <c r="S370" s="5">
        <f t="shared" si="73"/>
        <v>40</v>
      </c>
      <c r="T370">
        <v>1</v>
      </c>
      <c r="U370" s="2">
        <f t="shared" si="74"/>
        <v>0</v>
      </c>
      <c r="V370">
        <f>SUMIF(KASA!$C$2:$C$9980, C370, KASA!$T$2:$T$9980)</f>
        <v>1</v>
      </c>
      <c r="W370">
        <f>SUMIF(KASA!$C$2:$C$9980, C370, KASA!$U$2:$U$9980)</f>
        <v>40</v>
      </c>
      <c r="X370" s="2">
        <f t="shared" si="75"/>
        <v>1</v>
      </c>
      <c r="Y370" s="2">
        <f t="shared" si="76"/>
        <v>40</v>
      </c>
      <c r="Z370">
        <f>SUMIF(KASA!$C$2:$C$9980, C370, KASA!$V$2:$V$9980)</f>
        <v>40</v>
      </c>
      <c r="AA370">
        <f t="shared" si="77"/>
        <v>0</v>
      </c>
    </row>
    <row r="371" spans="3:27" x14ac:dyDescent="0.25">
      <c r="C371" s="4" t="s">
        <v>2591</v>
      </c>
      <c r="D371" s="5">
        <f>SUMIFS(KASA!$I:$I, KASA!$C:$C, $C371, KASA!$B:$B, "MAL ALIMI") + SUMIFS(KASA!$I:$I, KASA!$C:$C, $C371, KASA!$B:$B, "ÜRETİM GİRİŞ")</f>
        <v>1</v>
      </c>
      <c r="E371" s="5" cm="1">
        <f t="array" ref="E371">IFERROR(AVERAGE(IF((KASA!$C$2:$C$9980=$C371)*((KASA!$B$2:$B$9980="MAL ALIMI")+(KASA!$B$2:$B$9980="ÜRETİM GİRİŞ")),KASA!$J$2:$J$9980)),0)</f>
        <v>142</v>
      </c>
      <c r="F371" s="5">
        <f>SUMIFS(KASA!$I:$I, KASA!$C:$C, $C371, KASA!$B:$B, "MAL SATIŞI") + SUMIFS(KASA!$I:$I, KASA!$C:$C, $C371, KASA!$B:$B, "ÜRETİM ÇIKIŞ")</f>
        <v>0</v>
      </c>
      <c r="G371" s="5">
        <f>SUMIFS(KASA!$I:$I, KASA!$C:$C, $C371, KASA!$B:$B, "MAL İADE")</f>
        <v>0</v>
      </c>
      <c r="H371" s="5">
        <f>SUMIFS(KASA!$K:$K, KASA!$C:$C, $C371, KASA!$B:$B, "MAL İADE") + SUMIFS(KASA!$Q:$Q, KASA!$C:$C, $C371, KASA!$B:$B, "MAL İADE")</f>
        <v>0</v>
      </c>
      <c r="I371" s="5">
        <f t="shared" si="65"/>
        <v>0</v>
      </c>
      <c r="J371" s="5">
        <f t="shared" si="66"/>
        <v>0</v>
      </c>
      <c r="K371" s="5">
        <f>SUMIFS(KASA!$Q:$Q, KASA!$C:$C, $C371, KASA!$B:$B, "MAL SATIŞI") + SUMIFS(KASA!$Q:$Q, KASA!$C:$C, $C371, KASA!$B:$B, "ÜRETİM ÇIKIŞ")</f>
        <v>0</v>
      </c>
      <c r="L371" s="5">
        <f>SUMIFS(KASA!$K:$K, KASA!$C:$C, $C371, KASA!$B:$B, "MAL SATIŞI") + SUMIFS(KASA!$K:$K, KASA!$C:$C, $C371, KASA!$B:$B, "ÜRETİM ÇIKIŞ")</f>
        <v>0</v>
      </c>
      <c r="M371" s="5">
        <f t="shared" si="67"/>
        <v>0</v>
      </c>
      <c r="N371" s="5">
        <f t="shared" si="68"/>
        <v>0</v>
      </c>
      <c r="O371" s="65">
        <f t="shared" si="69"/>
        <v>0</v>
      </c>
      <c r="P371" s="5" t="e">
        <f t="shared" si="70"/>
        <v>#DIV/0!</v>
      </c>
      <c r="Q371" s="5">
        <f t="shared" si="71"/>
        <v>1</v>
      </c>
      <c r="R371" s="5">
        <f t="shared" si="72"/>
        <v>142</v>
      </c>
      <c r="S371" s="5">
        <f t="shared" si="73"/>
        <v>142</v>
      </c>
      <c r="T371">
        <v>1</v>
      </c>
      <c r="U371" s="2">
        <f t="shared" si="74"/>
        <v>0</v>
      </c>
      <c r="V371">
        <f>SUMIF(KASA!$C$2:$C$9980, C371, KASA!$T$2:$T$9980)</f>
        <v>1</v>
      </c>
      <c r="W371">
        <f>SUMIF(KASA!$C$2:$C$9980, C371, KASA!$U$2:$U$9980)</f>
        <v>142</v>
      </c>
      <c r="X371" s="2">
        <f t="shared" si="75"/>
        <v>1</v>
      </c>
      <c r="Y371" s="2">
        <f t="shared" si="76"/>
        <v>142</v>
      </c>
      <c r="Z371">
        <f>SUMIF(KASA!$C$2:$C$9980, C371, KASA!$V$2:$V$9980)</f>
        <v>142</v>
      </c>
      <c r="AA371">
        <f t="shared" si="77"/>
        <v>0</v>
      </c>
    </row>
    <row r="372" spans="3:27" x14ac:dyDescent="0.25">
      <c r="C372" s="4" t="s">
        <v>1357</v>
      </c>
      <c r="D372" s="5">
        <f>SUMIFS(KASA!$I:$I, KASA!$C:$C, $C372, KASA!$B:$B, "MAL ALIMI") + SUMIFS(KASA!$I:$I, KASA!$C:$C, $C372, KASA!$B:$B, "ÜRETİM GİRİŞ")</f>
        <v>30</v>
      </c>
      <c r="E372" s="5" cm="1">
        <f t="array" ref="E372">IFERROR(AVERAGE(IF((KASA!$C$2:$C$9980=$C372)*((KASA!$B$2:$B$9980="MAL ALIMI")+(KASA!$B$2:$B$9980="ÜRETİM GİRİŞ")),KASA!$J$2:$J$9980)),0)</f>
        <v>415</v>
      </c>
      <c r="F372" s="5">
        <f>SUMIFS(KASA!$I:$I, KASA!$C:$C, $C372, KASA!$B:$B, "MAL SATIŞI") + SUMIFS(KASA!$I:$I, KASA!$C:$C, $C372, KASA!$B:$B, "ÜRETİM ÇIKIŞ")</f>
        <v>26.83963871216503</v>
      </c>
      <c r="G372" s="5">
        <f>SUMIFS(KASA!$I:$I, KASA!$C:$C, $C372, KASA!$B:$B, "MAL İADE")</f>
        <v>0</v>
      </c>
      <c r="H372" s="5">
        <f>SUMIFS(KASA!$K:$K, KASA!$C:$C, $C372, KASA!$B:$B, "MAL İADE") + SUMIFS(KASA!$Q:$Q, KASA!$C:$C, $C372, KASA!$B:$B, "MAL İADE")</f>
        <v>0</v>
      </c>
      <c r="I372" s="5">
        <f t="shared" si="65"/>
        <v>26.83963871216503</v>
      </c>
      <c r="J372" s="5">
        <f t="shared" si="66"/>
        <v>11138.450065548488</v>
      </c>
      <c r="K372" s="5">
        <f>SUMIFS(KASA!$Q:$Q, KASA!$C:$C, $C372, KASA!$B:$B, "MAL SATIŞI") + SUMIFS(KASA!$Q:$Q, KASA!$C:$C, $C372, KASA!$B:$B, "ÜRETİM ÇIKIŞ")</f>
        <v>10535.02</v>
      </c>
      <c r="L372" s="5">
        <f>SUMIFS(KASA!$K:$K, KASA!$C:$C, $C372, KASA!$B:$B, "MAL SATIŞI") + SUMIFS(KASA!$K:$K, KASA!$C:$C, $C372, KASA!$B:$B, "ÜRETİM ÇIKIŞ")</f>
        <v>5160.091428571428</v>
      </c>
      <c r="M372" s="5">
        <f t="shared" si="67"/>
        <v>15695.111428571428</v>
      </c>
      <c r="N372" s="5">
        <f t="shared" si="68"/>
        <v>4556.6613630229403</v>
      </c>
      <c r="O372" s="65">
        <f t="shared" si="69"/>
        <v>0.40909294706242932</v>
      </c>
      <c r="P372" s="5">
        <f t="shared" si="70"/>
        <v>584.77357303090821</v>
      </c>
      <c r="Q372" s="5">
        <f t="shared" si="71"/>
        <v>3.1603612878349701</v>
      </c>
      <c r="R372" s="5">
        <f t="shared" si="72"/>
        <v>1311.5499344515126</v>
      </c>
      <c r="S372" s="5">
        <f t="shared" si="73"/>
        <v>12450</v>
      </c>
      <c r="T372">
        <v>0</v>
      </c>
      <c r="U372" s="2">
        <f t="shared" si="74"/>
        <v>3.1603612878349701</v>
      </c>
      <c r="V372">
        <f>SUMIF(KASA!$C$2:$C$9980, C372, KASA!$T$2:$T$9980)</f>
        <v>3.1603612878349701</v>
      </c>
      <c r="W372">
        <f>SUMIF(KASA!$C$2:$C$9980, C372, KASA!$U$2:$U$9980)</f>
        <v>1422.1625795257364</v>
      </c>
      <c r="X372" s="2">
        <f t="shared" si="75"/>
        <v>3.1603612878349701</v>
      </c>
      <c r="Y372" s="2">
        <f t="shared" si="76"/>
        <v>1422.1625795257364</v>
      </c>
      <c r="Z372">
        <f>SUMIF(KASA!$C$2:$C$9980, C372, KASA!$V$2:$V$9980)</f>
        <v>12100</v>
      </c>
      <c r="AA372">
        <f t="shared" si="77"/>
        <v>10677.837420474263</v>
      </c>
    </row>
    <row r="373" spans="3:27" x14ac:dyDescent="0.25">
      <c r="C373" s="4" t="s">
        <v>1359</v>
      </c>
      <c r="D373" s="5">
        <f>SUMIFS(KASA!$I:$I, KASA!$C:$C, $C373, KASA!$B:$B, "MAL ALIMI") + SUMIFS(KASA!$I:$I, KASA!$C:$C, $C373, KASA!$B:$B, "ÜRETİM GİRİŞ")</f>
        <v>16</v>
      </c>
      <c r="E373" s="5" cm="1">
        <f t="array" ref="E373">IFERROR(AVERAGE(IF((KASA!$C$2:$C$9980=$C373)*((KASA!$B$2:$B$9980="MAL ALIMI")+(KASA!$B$2:$B$9980="ÜRETİM GİRİŞ")),KASA!$J$2:$J$9980)),0)</f>
        <v>286.66666900000001</v>
      </c>
      <c r="F373" s="5">
        <f>SUMIFS(KASA!$I:$I, KASA!$C:$C, $C373, KASA!$B:$B, "MAL SATIŞI") + SUMIFS(KASA!$I:$I, KASA!$C:$C, $C373, KASA!$B:$B, "ÜRETİM ÇIKIŞ")</f>
        <v>13.747643005028095</v>
      </c>
      <c r="G373" s="5">
        <f>SUMIFS(KASA!$I:$I, KASA!$C:$C, $C373, KASA!$B:$B, "MAL İADE")</f>
        <v>0</v>
      </c>
      <c r="H373" s="5">
        <f>SUMIFS(KASA!$K:$K, KASA!$C:$C, $C373, KASA!$B:$B, "MAL İADE") + SUMIFS(KASA!$Q:$Q, KASA!$C:$C, $C373, KASA!$B:$B, "MAL İADE")</f>
        <v>0</v>
      </c>
      <c r="I373" s="5">
        <f t="shared" si="65"/>
        <v>13.747643005028095</v>
      </c>
      <c r="J373" s="5">
        <f t="shared" si="66"/>
        <v>3940.9910268525546</v>
      </c>
      <c r="K373" s="5">
        <f>SUMIFS(KASA!$Q:$Q, KASA!$C:$C, $C373, KASA!$B:$B, "MAL SATIŞI") + SUMIFS(KASA!$Q:$Q, KASA!$C:$C, $C373, KASA!$B:$B, "ÜRETİM ÇIKIŞ")</f>
        <v>3102.95</v>
      </c>
      <c r="L373" s="5">
        <f>SUMIFS(KASA!$K:$K, KASA!$C:$C, $C373, KASA!$B:$B, "MAL SATIŞI") + SUMIFS(KASA!$K:$K, KASA!$C:$C, $C373, KASA!$B:$B, "ÜRETİM ÇIKIŞ")</f>
        <v>3046.870408163265</v>
      </c>
      <c r="M373" s="5">
        <f t="shared" si="67"/>
        <v>6149.8204081632648</v>
      </c>
      <c r="N373" s="5">
        <f t="shared" si="68"/>
        <v>2208.8293813107102</v>
      </c>
      <c r="O373" s="65">
        <f t="shared" si="69"/>
        <v>0.56047561800077905</v>
      </c>
      <c r="P373" s="5">
        <f t="shared" si="70"/>
        <v>447.33634746799981</v>
      </c>
      <c r="Q373" s="5">
        <f t="shared" si="71"/>
        <v>2.2523569949719047</v>
      </c>
      <c r="R373" s="5">
        <f t="shared" si="72"/>
        <v>645.67567714744564</v>
      </c>
      <c r="S373" s="5">
        <f t="shared" si="73"/>
        <v>4586.6667040000002</v>
      </c>
      <c r="T373">
        <f>1.8-0.236</f>
        <v>1.5640000000000001</v>
      </c>
      <c r="U373" s="2">
        <f t="shared" si="74"/>
        <v>0.68835699497190461</v>
      </c>
      <c r="V373">
        <f>SUMIF(KASA!$C$2:$C$9980, C373, KASA!$T$2:$T$9980)</f>
        <v>2.2523569949719047</v>
      </c>
      <c r="W373">
        <f>SUMIF(KASA!$C$2:$C$9980, C373, KASA!$U$2:$U$9980)</f>
        <v>563.08924874297622</v>
      </c>
      <c r="X373" s="2">
        <f t="shared" si="75"/>
        <v>2.2523569949719047</v>
      </c>
      <c r="Y373" s="2">
        <f t="shared" si="76"/>
        <v>563.08924874297622</v>
      </c>
      <c r="Z373">
        <f>SUMIF(KASA!$C$2:$C$9980, C373, KASA!$V$2:$V$9980)</f>
        <v>4560.0000070000006</v>
      </c>
      <c r="AA373">
        <f t="shared" si="77"/>
        <v>3996.9107582570241</v>
      </c>
    </row>
    <row r="374" spans="3:27" x14ac:dyDescent="0.25">
      <c r="C374" s="4" t="s">
        <v>1360</v>
      </c>
      <c r="D374" s="5">
        <f>SUMIFS(KASA!$I:$I, KASA!$C:$C, $C374, KASA!$B:$B, "MAL ALIMI") + SUMIFS(KASA!$I:$I, KASA!$C:$C, $C374, KASA!$B:$B, "ÜRETİM GİRİŞ")</f>
        <v>10</v>
      </c>
      <c r="E374" s="5" cm="1">
        <f t="array" ref="E374">IFERROR(AVERAGE(IF((KASA!$C$2:$C$9980=$C374)*((KASA!$B$2:$B$9980="MAL ALIMI")+(KASA!$B$2:$B$9980="ÜRETİM GİRİŞ")),KASA!$J$2:$J$9980)),0)</f>
        <v>270</v>
      </c>
      <c r="F374" s="5">
        <f>SUMIFS(KASA!$I:$I, KASA!$C:$C, $C374, KASA!$B:$B, "MAL SATIŞI") + SUMIFS(KASA!$I:$I, KASA!$C:$C, $C374, KASA!$B:$B, "ÜRETİM ÇIKIŞ")</f>
        <v>10.004000000000001</v>
      </c>
      <c r="G374" s="5">
        <f>SUMIFS(KASA!$I:$I, KASA!$C:$C, $C374, KASA!$B:$B, "MAL İADE")</f>
        <v>0</v>
      </c>
      <c r="H374" s="5">
        <f>SUMIFS(KASA!$K:$K, KASA!$C:$C, $C374, KASA!$B:$B, "MAL İADE") + SUMIFS(KASA!$Q:$Q, KASA!$C:$C, $C374, KASA!$B:$B, "MAL İADE")</f>
        <v>0</v>
      </c>
      <c r="I374" s="5">
        <f t="shared" si="65"/>
        <v>10.004000000000001</v>
      </c>
      <c r="J374" s="5">
        <f t="shared" si="66"/>
        <v>2701.0800000000004</v>
      </c>
      <c r="K374" s="5">
        <f>SUMIFS(KASA!$Q:$Q, KASA!$C:$C, $C374, KASA!$B:$B, "MAL SATIŞI") + SUMIFS(KASA!$Q:$Q, KASA!$C:$C, $C374, KASA!$B:$B, "ÜRETİM ÇIKIŞ")</f>
        <v>2343.8999999999996</v>
      </c>
      <c r="L374" s="5">
        <f>SUMIFS(KASA!$K:$K, KASA!$C:$C, $C374, KASA!$B:$B, "MAL SATIŞI") + SUMIFS(KASA!$K:$K, KASA!$C:$C, $C374, KASA!$B:$B, "ÜRETİM ÇIKIŞ")</f>
        <v>1412</v>
      </c>
      <c r="M374" s="5">
        <f t="shared" si="67"/>
        <v>3755.8999999999996</v>
      </c>
      <c r="N374" s="5">
        <f t="shared" si="68"/>
        <v>1054.8199999999993</v>
      </c>
      <c r="O374" s="65">
        <f t="shared" si="69"/>
        <v>0.39051786692730284</v>
      </c>
      <c r="P374" s="5">
        <f t="shared" si="70"/>
        <v>375.43982407037174</v>
      </c>
      <c r="Q374" s="5">
        <f t="shared" si="71"/>
        <v>-4.0000000000013358E-3</v>
      </c>
      <c r="R374" s="5">
        <f t="shared" si="72"/>
        <v>-1.0800000000003607</v>
      </c>
      <c r="S374" s="5">
        <f t="shared" si="73"/>
        <v>2700</v>
      </c>
      <c r="T374">
        <v>0</v>
      </c>
      <c r="U374" s="2">
        <f t="shared" si="74"/>
        <v>-4.0000000000013358E-3</v>
      </c>
      <c r="V374">
        <f>SUMIF(KASA!$C$2:$C$9980, C374, KASA!$T$2:$T$9980)</f>
        <v>0</v>
      </c>
      <c r="W374">
        <f>SUMIF(KASA!$C$2:$C$9980, C374, KASA!$U$2:$U$9980)</f>
        <v>0</v>
      </c>
      <c r="X374" s="2">
        <f t="shared" si="75"/>
        <v>0</v>
      </c>
      <c r="Y374" s="2">
        <f t="shared" si="76"/>
        <v>0</v>
      </c>
      <c r="Z374">
        <f>SUMIF(KASA!$C$2:$C$9980, C374, KASA!$V$2:$V$9980)</f>
        <v>2700</v>
      </c>
      <c r="AA374">
        <f t="shared" si="77"/>
        <v>2700</v>
      </c>
    </row>
    <row r="375" spans="3:27" x14ac:dyDescent="0.25">
      <c r="C375" s="4" t="s">
        <v>2130</v>
      </c>
      <c r="D375" s="5">
        <f>SUMIFS(KASA!$I:$I, KASA!$C:$C, $C375, KASA!$B:$B, "MAL ALIMI") + SUMIFS(KASA!$I:$I, KASA!$C:$C, $C375, KASA!$B:$B, "ÜRETİM GİRİŞ")</f>
        <v>10</v>
      </c>
      <c r="E375" s="5" cm="1">
        <f t="array" ref="E375">IFERROR(AVERAGE(IF((KASA!$C$2:$C$9980=$C375)*((KASA!$B$2:$B$9980="MAL ALIMI")+(KASA!$B$2:$B$9980="ÜRETİM GİRİŞ")),KASA!$J$2:$J$9980)),0)</f>
        <v>310</v>
      </c>
      <c r="F375" s="5">
        <f>SUMIFS(KASA!$I:$I, KASA!$C:$C, $C375, KASA!$B:$B, "MAL SATIŞI") + SUMIFS(KASA!$I:$I, KASA!$C:$C, $C375, KASA!$B:$B, "ÜRETİM ÇIKIŞ")</f>
        <v>5.0039999999999996</v>
      </c>
      <c r="G375" s="5">
        <f>SUMIFS(KASA!$I:$I, KASA!$C:$C, $C375, KASA!$B:$B, "MAL İADE")</f>
        <v>5</v>
      </c>
      <c r="H375" s="5">
        <f>SUMIFS(KASA!$K:$K, KASA!$C:$C, $C375, KASA!$B:$B, "MAL İADE") + SUMIFS(KASA!$Q:$Q, KASA!$C:$C, $C375, KASA!$B:$B, "MAL İADE")</f>
        <v>1500</v>
      </c>
      <c r="I375" s="5">
        <f t="shared" si="65"/>
        <v>10.004</v>
      </c>
      <c r="J375" s="5">
        <f t="shared" si="66"/>
        <v>1551.2399999999998</v>
      </c>
      <c r="K375" s="5">
        <f>SUMIFS(KASA!$Q:$Q, KASA!$C:$C, $C375, KASA!$B:$B, "MAL SATIŞI") + SUMIFS(KASA!$Q:$Q, KASA!$C:$C, $C375, KASA!$B:$B, "ÜRETİM ÇIKIŞ")</f>
        <v>1498</v>
      </c>
      <c r="L375" s="5">
        <f>SUMIFS(KASA!$K:$K, KASA!$C:$C, $C375, KASA!$B:$B, "MAL SATIŞI") + SUMIFS(KASA!$K:$K, KASA!$C:$C, $C375, KASA!$B:$B, "ÜRETİM ÇIKIŞ")</f>
        <v>450</v>
      </c>
      <c r="M375" s="5">
        <f t="shared" si="67"/>
        <v>1948</v>
      </c>
      <c r="N375" s="5">
        <f t="shared" si="68"/>
        <v>396.76000000000022</v>
      </c>
      <c r="O375" s="65">
        <f t="shared" si="69"/>
        <v>0.2557695778860784</v>
      </c>
      <c r="P375" s="5">
        <f t="shared" si="70"/>
        <v>389.28856914468429</v>
      </c>
      <c r="Q375" s="5">
        <f t="shared" si="71"/>
        <v>-3.9999999999995595E-3</v>
      </c>
      <c r="R375" s="5">
        <f t="shared" si="72"/>
        <v>-1.2399999999998634</v>
      </c>
      <c r="S375" s="5">
        <f t="shared" si="73"/>
        <v>3100</v>
      </c>
      <c r="T375">
        <v>0</v>
      </c>
      <c r="U375" s="2">
        <f t="shared" si="74"/>
        <v>-3.9999999999995595E-3</v>
      </c>
      <c r="V375">
        <f>SUMIF(KASA!$C$2:$C$9980, C375, KASA!$T$2:$T$9980)</f>
        <v>4.9960000000000004</v>
      </c>
      <c r="W375">
        <f>SUMIF(KASA!$C$2:$C$9980, C375, KASA!$U$2:$U$9980)</f>
        <v>1548.7600000000002</v>
      </c>
      <c r="X375" s="2">
        <f t="shared" si="75"/>
        <v>-3.9999999999995595E-3</v>
      </c>
      <c r="Y375" s="2">
        <f t="shared" si="76"/>
        <v>48.760000000000218</v>
      </c>
      <c r="Z375">
        <f>SUMIF(KASA!$C$2:$C$9980, C375, KASA!$V$2:$V$9980)</f>
        <v>3100</v>
      </c>
      <c r="AA375">
        <f t="shared" si="77"/>
        <v>1551.2399999999998</v>
      </c>
    </row>
    <row r="376" spans="3:27" x14ac:dyDescent="0.25">
      <c r="C376" s="4" t="s">
        <v>2124</v>
      </c>
      <c r="D376" s="5">
        <f>SUMIFS(KASA!$I:$I, KASA!$C:$C, $C376, KASA!$B:$B, "MAL ALIMI") + SUMIFS(KASA!$I:$I, KASA!$C:$C, $C376, KASA!$B:$B, "ÜRETİM GİRİŞ")</f>
        <v>15</v>
      </c>
      <c r="E376" s="5" cm="1">
        <f t="array" ref="E376">IFERROR(AVERAGE(IF((KASA!$C$2:$C$9980=$C376)*((KASA!$B$2:$B$9980="MAL ALIMI")+(KASA!$B$2:$B$9980="ÜRETİM GİRİŞ")),KASA!$J$2:$J$9980)),0)</f>
        <v>375</v>
      </c>
      <c r="F376" s="5">
        <f>SUMIFS(KASA!$I:$I, KASA!$C:$C, $C376, KASA!$B:$B, "MAL SATIŞI") + SUMIFS(KASA!$I:$I, KASA!$C:$C, $C376, KASA!$B:$B, "ÜRETİM ÇIKIŞ")</f>
        <v>14.991272727272724</v>
      </c>
      <c r="G376" s="5">
        <f>SUMIFS(KASA!$I:$I, KASA!$C:$C, $C376, KASA!$B:$B, "MAL İADE")</f>
        <v>0</v>
      </c>
      <c r="H376" s="5">
        <f>SUMIFS(KASA!$K:$K, KASA!$C:$C, $C376, KASA!$B:$B, "MAL İADE") + SUMIFS(KASA!$Q:$Q, KASA!$C:$C, $C376, KASA!$B:$B, "MAL İADE")</f>
        <v>0</v>
      </c>
      <c r="I376" s="5">
        <f t="shared" si="65"/>
        <v>14.991272727272724</v>
      </c>
      <c r="J376" s="5">
        <f t="shared" si="66"/>
        <v>5621.7272727272712</v>
      </c>
      <c r="K376" s="5">
        <f>SUMIFS(KASA!$Q:$Q, KASA!$C:$C, $C376, KASA!$B:$B, "MAL SATIŞI") + SUMIFS(KASA!$Q:$Q, KASA!$C:$C, $C376, KASA!$B:$B, "ÜRETİM ÇIKIŞ")</f>
        <v>2754</v>
      </c>
      <c r="L376" s="5">
        <f>SUMIFS(KASA!$K:$K, KASA!$C:$C, $C376, KASA!$B:$B, "MAL SATIŞI") + SUMIFS(KASA!$K:$K, KASA!$C:$C, $C376, KASA!$B:$B, "ÜRETİM ÇIKIŞ")</f>
        <v>5022.2</v>
      </c>
      <c r="M376" s="5">
        <f t="shared" si="67"/>
        <v>7776.2</v>
      </c>
      <c r="N376" s="5">
        <f t="shared" si="68"/>
        <v>2154.4727272727287</v>
      </c>
      <c r="O376" s="65">
        <f t="shared" si="69"/>
        <v>0.38324034994097611</v>
      </c>
      <c r="P376" s="5">
        <f t="shared" si="70"/>
        <v>518.71513122786598</v>
      </c>
      <c r="Q376" s="5">
        <f t="shared" si="71"/>
        <v>8.7272727272758033E-3</v>
      </c>
      <c r="R376" s="5">
        <f t="shared" si="72"/>
        <v>3.2727272727284262</v>
      </c>
      <c r="S376" s="5">
        <f t="shared" si="73"/>
        <v>5625</v>
      </c>
      <c r="T376">
        <v>0.91200000000000003</v>
      </c>
      <c r="U376" s="2">
        <f t="shared" si="74"/>
        <v>-0.90327272727272423</v>
      </c>
      <c r="V376">
        <f>SUMIF(KASA!$C$2:$C$9980, C376, KASA!$T$2:$T$9980)</f>
        <v>8.7272727272758033E-3</v>
      </c>
      <c r="W376">
        <f>SUMIF(KASA!$C$2:$C$9980, C376, KASA!$U$2:$U$9980)</f>
        <v>3.0545454545465311</v>
      </c>
      <c r="X376" s="2">
        <f t="shared" si="75"/>
        <v>8.7272727272758033E-3</v>
      </c>
      <c r="Y376" s="2">
        <f t="shared" si="76"/>
        <v>3.0545454545465311</v>
      </c>
      <c r="Z376">
        <f>SUMIF(KASA!$C$2:$C$9980, C376, KASA!$V$2:$V$9980)</f>
        <v>5750</v>
      </c>
      <c r="AA376">
        <f t="shared" si="77"/>
        <v>5746.9454545454537</v>
      </c>
    </row>
    <row r="377" spans="3:27" x14ac:dyDescent="0.25">
      <c r="C377" s="69" t="s">
        <v>2128</v>
      </c>
      <c r="D377" s="5">
        <f>SUMIFS(KASA!$I:$I, KASA!$C:$C, $C377, KASA!$B:$B, "MAL ALIMI") + SUMIFS(KASA!$I:$I, KASA!$C:$C, $C377, KASA!$B:$B, "ÜRETİM GİRİŞ")</f>
        <v>6</v>
      </c>
      <c r="E377" s="5" cm="1">
        <f t="array" ref="E377">IFERROR(AVERAGE(IF((KASA!$C$2:$C$9980=$C377)*((KASA!$B$2:$B$9980="MAL ALIMI")+(KASA!$B$2:$B$9980="ÜRETİM GİRİŞ")),KASA!$J$2:$J$9980)),0)</f>
        <v>300</v>
      </c>
      <c r="F377" s="5">
        <f>SUMIFS(KASA!$I:$I, KASA!$C:$C, $C377, KASA!$B:$B, "MAL SATIŞI") + SUMIFS(KASA!$I:$I, KASA!$C:$C, $C377, KASA!$B:$B, "ÜRETİM ÇIKIŞ")</f>
        <v>4.5952380952380949</v>
      </c>
      <c r="G377" s="5">
        <f>SUMIFS(KASA!$I:$I, KASA!$C:$C, $C377, KASA!$B:$B, "MAL İADE")</f>
        <v>0</v>
      </c>
      <c r="H377" s="5">
        <f>SUMIFS(KASA!$K:$K, KASA!$C:$C, $C377, KASA!$B:$B, "MAL İADE") + SUMIFS(KASA!$Q:$Q, KASA!$C:$C, $C377, KASA!$B:$B, "MAL İADE")</f>
        <v>0</v>
      </c>
      <c r="I377" s="5">
        <f t="shared" si="65"/>
        <v>4.5952380952380949</v>
      </c>
      <c r="J377" s="5">
        <f t="shared" si="66"/>
        <v>1378.5714285714284</v>
      </c>
      <c r="K377" s="5">
        <f>SUMIFS(KASA!$Q:$Q, KASA!$C:$C, $C377, KASA!$B:$B, "MAL SATIŞI") + SUMIFS(KASA!$Q:$Q, KASA!$C:$C, $C377, KASA!$B:$B, "ÜRETİM ÇIKIŞ")</f>
        <v>420</v>
      </c>
      <c r="L377" s="5">
        <f>SUMIFS(KASA!$K:$K, KASA!$C:$C, $C377, KASA!$B:$B, "MAL SATIŞI") + SUMIFS(KASA!$K:$K, KASA!$C:$C, $C377, KASA!$B:$B, "ÜRETİM ÇIKIŞ")</f>
        <v>1445</v>
      </c>
      <c r="M377" s="5">
        <f t="shared" si="67"/>
        <v>1865</v>
      </c>
      <c r="N377" s="5">
        <f t="shared" si="68"/>
        <v>486.42857142857156</v>
      </c>
      <c r="O377" s="65">
        <f t="shared" si="69"/>
        <v>0.3528497409326426</v>
      </c>
      <c r="P377" s="5">
        <f t="shared" si="70"/>
        <v>405.85492227979279</v>
      </c>
      <c r="Q377" s="5">
        <f t="shared" si="71"/>
        <v>1.4047619047619051</v>
      </c>
      <c r="R377" s="5">
        <f t="shared" si="72"/>
        <v>421.42857142857156</v>
      </c>
      <c r="S377" s="5">
        <f t="shared" si="73"/>
        <v>1800</v>
      </c>
      <c r="T377">
        <v>3</v>
      </c>
      <c r="U377" s="2">
        <f t="shared" si="74"/>
        <v>-1.5952380952380949</v>
      </c>
      <c r="V377">
        <f>SUMIF(KASA!$C$2:$C$9980, C377, KASA!$T$2:$T$9980)</f>
        <v>1.4047619047619051</v>
      </c>
      <c r="W377">
        <f>SUMIF(KASA!$C$2:$C$9980, C377, KASA!$U$2:$U$9980)</f>
        <v>421.42857142857156</v>
      </c>
      <c r="X377" s="2">
        <f t="shared" si="75"/>
        <v>1.4047619047619051</v>
      </c>
      <c r="Y377" s="2">
        <f t="shared" si="76"/>
        <v>421.42857142857156</v>
      </c>
      <c r="Z377">
        <f>SUMIF(KASA!$C$2:$C$9980, C377, KASA!$V$2:$V$9980)</f>
        <v>1800</v>
      </c>
      <c r="AA377">
        <f t="shared" si="77"/>
        <v>1378.5714285714284</v>
      </c>
    </row>
    <row r="378" spans="3:27" x14ac:dyDescent="0.25">
      <c r="C378" s="69" t="s">
        <v>2129</v>
      </c>
      <c r="D378" s="5">
        <f>SUMIFS(KASA!$I:$I, KASA!$C:$C, $C378, KASA!$B:$B, "MAL ALIMI") + SUMIFS(KASA!$I:$I, KASA!$C:$C, $C378, KASA!$B:$B, "ÜRETİM GİRİŞ")</f>
        <v>10</v>
      </c>
      <c r="E378" s="5" cm="1">
        <f t="array" ref="E378">IFERROR(AVERAGE(IF((KASA!$C$2:$C$9980=$C378)*((KASA!$B$2:$B$9980="MAL ALIMI")+(KASA!$B$2:$B$9980="ÜRETİM GİRİŞ")),KASA!$J$2:$J$9980)),0)</f>
        <v>305</v>
      </c>
      <c r="F378" s="5">
        <f>SUMIFS(KASA!$I:$I, KASA!$C:$C, $C378, KASA!$B:$B, "MAL SATIŞI") + SUMIFS(KASA!$I:$I, KASA!$C:$C, $C378, KASA!$B:$B, "ÜRETİM ÇIKIŞ")</f>
        <v>9.385238095238094</v>
      </c>
      <c r="G378" s="5">
        <f>SUMIFS(KASA!$I:$I, KASA!$C:$C, $C378, KASA!$B:$B, "MAL İADE")</f>
        <v>0</v>
      </c>
      <c r="H378" s="5">
        <f>SUMIFS(KASA!$K:$K, KASA!$C:$C, $C378, KASA!$B:$B, "MAL İADE") + SUMIFS(KASA!$Q:$Q, KASA!$C:$C, $C378, KASA!$B:$B, "MAL İADE")</f>
        <v>0</v>
      </c>
      <c r="I378" s="5">
        <f t="shared" si="65"/>
        <v>9.385238095238094</v>
      </c>
      <c r="J378" s="5">
        <f t="shared" si="66"/>
        <v>2862.4976190476186</v>
      </c>
      <c r="K378" s="5">
        <f>SUMIFS(KASA!$Q:$Q, KASA!$C:$C, $C378, KASA!$B:$B, "MAL SATIŞI") + SUMIFS(KASA!$Q:$Q, KASA!$C:$C, $C378, KASA!$B:$B, "ÜRETİM ÇIKIŞ")</f>
        <v>2033.75</v>
      </c>
      <c r="L378" s="5">
        <f>SUMIFS(KASA!$K:$K, KASA!$C:$C, $C378, KASA!$B:$B, "MAL SATIŞI") + SUMIFS(KASA!$K:$K, KASA!$C:$C, $C378, KASA!$B:$B, "ÜRETİM ÇIKIŞ")</f>
        <v>1745.12</v>
      </c>
      <c r="M378" s="5">
        <f t="shared" si="67"/>
        <v>3778.87</v>
      </c>
      <c r="N378" s="5">
        <f t="shared" si="68"/>
        <v>916.37238095238126</v>
      </c>
      <c r="O378" s="65">
        <f t="shared" si="69"/>
        <v>0.32013035569170795</v>
      </c>
      <c r="P378" s="5">
        <f t="shared" si="70"/>
        <v>402.6397584859709</v>
      </c>
      <c r="Q378" s="5">
        <f t="shared" si="71"/>
        <v>0.61476190476190595</v>
      </c>
      <c r="R378" s="5">
        <f t="shared" si="72"/>
        <v>187.50238095238132</v>
      </c>
      <c r="S378" s="5">
        <f t="shared" si="73"/>
        <v>3050</v>
      </c>
      <c r="T378">
        <v>1.7270000000000001</v>
      </c>
      <c r="U378" s="2">
        <f t="shared" si="74"/>
        <v>-1.1122380952380941</v>
      </c>
      <c r="V378">
        <f>SUMIF(KASA!$C$2:$C$9980, C378, KASA!$T$2:$T$9980)</f>
        <v>0.61476190476190595</v>
      </c>
      <c r="W378">
        <f>SUMIF(KASA!$C$2:$C$9980, C378, KASA!$U$2:$U$9980)</f>
        <v>187.50238095238132</v>
      </c>
      <c r="X378" s="2">
        <f t="shared" si="75"/>
        <v>0.61476190476190595</v>
      </c>
      <c r="Y378" s="2">
        <f t="shared" si="76"/>
        <v>187.50238095238132</v>
      </c>
      <c r="Z378">
        <f>SUMIF(KASA!$C$2:$C$9980, C378, KASA!$V$2:$V$9980)</f>
        <v>3050</v>
      </c>
      <c r="AA378">
        <f t="shared" si="77"/>
        <v>2862.4976190476186</v>
      </c>
    </row>
    <row r="379" spans="3:27" x14ac:dyDescent="0.25">
      <c r="C379" s="4" t="s">
        <v>2125</v>
      </c>
      <c r="D379" s="5">
        <f>SUMIFS(KASA!$I:$I, KASA!$C:$C, $C379, KASA!$B:$B, "MAL ALIMI") + SUMIFS(KASA!$I:$I, KASA!$C:$C, $C379, KASA!$B:$B, "ÜRETİM GİRİŞ")</f>
        <v>10</v>
      </c>
      <c r="E379" s="5" cm="1">
        <f t="array" ref="E379">IFERROR(AVERAGE(IF((KASA!$C$2:$C$9980=$C379)*((KASA!$B$2:$B$9980="MAL ALIMI")+(KASA!$B$2:$B$9980="ÜRETİM GİRİŞ")),KASA!$J$2:$J$9980)),0)</f>
        <v>270</v>
      </c>
      <c r="F379" s="5">
        <f>SUMIFS(KASA!$I:$I, KASA!$C:$C, $C379, KASA!$B:$B, "MAL SATIŞI") + SUMIFS(KASA!$I:$I, KASA!$C:$C, $C379, KASA!$B:$B, "ÜRETİM ÇIKIŞ")</f>
        <v>7.2073513513513507</v>
      </c>
      <c r="G379" s="5">
        <f>SUMIFS(KASA!$I:$I, KASA!$C:$C, $C379, KASA!$B:$B, "MAL İADE")</f>
        <v>0</v>
      </c>
      <c r="H379" s="5">
        <f>SUMIFS(KASA!$K:$K, KASA!$C:$C, $C379, KASA!$B:$B, "MAL İADE") + SUMIFS(KASA!$Q:$Q, KASA!$C:$C, $C379, KASA!$B:$B, "MAL İADE")</f>
        <v>0</v>
      </c>
      <c r="I379" s="5">
        <f t="shared" si="65"/>
        <v>7.2073513513513507</v>
      </c>
      <c r="J379" s="5">
        <f t="shared" si="66"/>
        <v>1945.9848648648647</v>
      </c>
      <c r="K379" s="5">
        <f>SUMIFS(KASA!$Q:$Q, KASA!$C:$C, $C379, KASA!$B:$B, "MAL SATIŞI") + SUMIFS(KASA!$Q:$Q, KASA!$C:$C, $C379, KASA!$B:$B, "ÜRETİM ÇIKIŞ")</f>
        <v>1803.62</v>
      </c>
      <c r="L379" s="5">
        <f>SUMIFS(KASA!$K:$K, KASA!$C:$C, $C379, KASA!$B:$B, "MAL SATIŞI") + SUMIFS(KASA!$K:$K, KASA!$C:$C, $C379, KASA!$B:$B, "ÜRETİM ÇIKIŞ")</f>
        <v>863.1</v>
      </c>
      <c r="M379" s="5">
        <f t="shared" si="67"/>
        <v>2666.72</v>
      </c>
      <c r="N379" s="5">
        <f t="shared" si="68"/>
        <v>720.73513513513512</v>
      </c>
      <c r="O379" s="65">
        <f t="shared" si="69"/>
        <v>0.37037037037037041</v>
      </c>
      <c r="P379" s="5">
        <f t="shared" si="70"/>
        <v>370</v>
      </c>
      <c r="Q379" s="5">
        <f t="shared" si="71"/>
        <v>2.7926486486486493</v>
      </c>
      <c r="R379" s="5">
        <f t="shared" si="72"/>
        <v>754.01513513513532</v>
      </c>
      <c r="S379" s="5">
        <f t="shared" si="73"/>
        <v>2700</v>
      </c>
      <c r="T379">
        <v>7.25</v>
      </c>
      <c r="U379" s="2">
        <f t="shared" si="74"/>
        <v>-4.4573513513513507</v>
      </c>
      <c r="V379">
        <f>SUMIF(KASA!$C$2:$C$9980, C379, KASA!$T$2:$T$9980)</f>
        <v>2.7926486486486493</v>
      </c>
      <c r="W379">
        <f>SUMIF(KASA!$C$2:$C$9980, C379, KASA!$U$2:$U$9980)</f>
        <v>754.01513513513532</v>
      </c>
      <c r="X379" s="2">
        <f t="shared" si="75"/>
        <v>2.7926486486486493</v>
      </c>
      <c r="Y379" s="2">
        <f t="shared" si="76"/>
        <v>754.01513513513532</v>
      </c>
      <c r="Z379">
        <f>SUMIF(KASA!$C$2:$C$9980, C379, KASA!$V$2:$V$9980)</f>
        <v>2700</v>
      </c>
      <c r="AA379">
        <f t="shared" si="77"/>
        <v>1945.9848648648647</v>
      </c>
    </row>
    <row r="380" spans="3:27" x14ac:dyDescent="0.25">
      <c r="C380" s="4" t="s">
        <v>2126</v>
      </c>
      <c r="D380" s="5">
        <f>SUMIFS(KASA!$I:$I, KASA!$C:$C, $C380, KASA!$B:$B, "MAL ALIMI") + SUMIFS(KASA!$I:$I, KASA!$C:$C, $C380, KASA!$B:$B, "ÜRETİM GİRİŞ")</f>
        <v>10</v>
      </c>
      <c r="E380" s="5" cm="1">
        <f t="array" ref="E380">IFERROR(AVERAGE(IF((KASA!$C$2:$C$9980=$C380)*((KASA!$B$2:$B$9980="MAL ALIMI")+(KASA!$B$2:$B$9980="ÜRETİM GİRİŞ")),KASA!$J$2:$J$9980)),0)</f>
        <v>270</v>
      </c>
      <c r="F380" s="5">
        <f>SUMIFS(KASA!$I:$I, KASA!$C:$C, $C380, KASA!$B:$B, "MAL SATIŞI") + SUMIFS(KASA!$I:$I, KASA!$C:$C, $C380, KASA!$B:$B, "ÜRETİM ÇIKIŞ")</f>
        <v>5.6976756756756757</v>
      </c>
      <c r="G380" s="5">
        <f>SUMIFS(KASA!$I:$I, KASA!$C:$C, $C380, KASA!$B:$B, "MAL İADE")</f>
        <v>0</v>
      </c>
      <c r="H380" s="5">
        <f>SUMIFS(KASA!$K:$K, KASA!$C:$C, $C380, KASA!$B:$B, "MAL İADE") + SUMIFS(KASA!$Q:$Q, KASA!$C:$C, $C380, KASA!$B:$B, "MAL İADE")</f>
        <v>0</v>
      </c>
      <c r="I380" s="5">
        <f t="shared" si="65"/>
        <v>5.6976756756756757</v>
      </c>
      <c r="J380" s="5">
        <f t="shared" si="66"/>
        <v>1538.3724324324323</v>
      </c>
      <c r="K380" s="5">
        <f>SUMIFS(KASA!$Q:$Q, KASA!$C:$C, $C380, KASA!$B:$B, "MAL SATIŞI") + SUMIFS(KASA!$Q:$Q, KASA!$C:$C, $C380, KASA!$B:$B, "ÜRETİM ÇIKIŞ")</f>
        <v>941.14</v>
      </c>
      <c r="L380" s="5">
        <f>SUMIFS(KASA!$K:$K, KASA!$C:$C, $C380, KASA!$B:$B, "MAL SATIŞI") + SUMIFS(KASA!$K:$K, KASA!$C:$C, $C380, KASA!$B:$B, "ÜRETİM ÇIKIŞ")</f>
        <v>1114</v>
      </c>
      <c r="M380" s="5">
        <f t="shared" si="67"/>
        <v>2055.14</v>
      </c>
      <c r="N380" s="5">
        <f t="shared" si="68"/>
        <v>516.76756756756754</v>
      </c>
      <c r="O380" s="65">
        <f t="shared" si="69"/>
        <v>0.33591837494804089</v>
      </c>
      <c r="P380" s="5">
        <f t="shared" si="70"/>
        <v>360.69796123597104</v>
      </c>
      <c r="Q380" s="5">
        <f t="shared" si="71"/>
        <v>4.3023243243243243</v>
      </c>
      <c r="R380" s="5">
        <f t="shared" si="72"/>
        <v>1161.6275675675677</v>
      </c>
      <c r="S380" s="5">
        <f t="shared" si="73"/>
        <v>2700</v>
      </c>
      <c r="T380">
        <v>5.7779999999999996</v>
      </c>
      <c r="U380" s="2">
        <f t="shared" si="74"/>
        <v>-1.4756756756756753</v>
      </c>
      <c r="V380">
        <f>SUMIF(KASA!$C$2:$C$9980, C380, KASA!$T$2:$T$9980)</f>
        <v>4.3023243243243243</v>
      </c>
      <c r="W380">
        <f>SUMIF(KASA!$C$2:$C$9980, C380, KASA!$U$2:$U$9980)</f>
        <v>1161.6275675675677</v>
      </c>
      <c r="X380" s="2">
        <f t="shared" si="75"/>
        <v>4.3023243243243243</v>
      </c>
      <c r="Y380" s="2">
        <f t="shared" si="76"/>
        <v>1161.6275675675677</v>
      </c>
      <c r="Z380">
        <f>SUMIF(KASA!$C$2:$C$9980, C380, KASA!$V$2:$V$9980)</f>
        <v>2700</v>
      </c>
      <c r="AA380">
        <f t="shared" si="77"/>
        <v>1538.3724324324323</v>
      </c>
    </row>
    <row r="381" spans="3:27" x14ac:dyDescent="0.25">
      <c r="C381" s="4" t="s">
        <v>2127</v>
      </c>
      <c r="D381" s="5">
        <f>SUMIFS(KASA!$I:$I, KASA!$C:$C, $C381, KASA!$B:$B, "MAL ALIMI") + SUMIFS(KASA!$I:$I, KASA!$C:$C, $C381, KASA!$B:$B, "ÜRETİM GİRİŞ")</f>
        <v>10</v>
      </c>
      <c r="E381" s="5" cm="1">
        <f t="array" ref="E381">IFERROR(AVERAGE(IF((KASA!$C$2:$C$9980=$C381)*((KASA!$B$2:$B$9980="MAL ALIMI")+(KASA!$B$2:$B$9980="ÜRETİM GİRİŞ")),KASA!$J$2:$J$9980)),0)</f>
        <v>300</v>
      </c>
      <c r="F381" s="5">
        <f>SUMIFS(KASA!$I:$I, KASA!$C:$C, $C381, KASA!$B:$B, "MAL SATIŞI") + SUMIFS(KASA!$I:$I, KASA!$C:$C, $C381, KASA!$B:$B, "ÜRETİM ÇIKIŞ")</f>
        <v>9.7319999999999993</v>
      </c>
      <c r="G381" s="5">
        <f>SUMIFS(KASA!$I:$I, KASA!$C:$C, $C381, KASA!$B:$B, "MAL İADE")</f>
        <v>0</v>
      </c>
      <c r="H381" s="5">
        <f>SUMIFS(KASA!$K:$K, KASA!$C:$C, $C381, KASA!$B:$B, "MAL İADE") + SUMIFS(KASA!$Q:$Q, KASA!$C:$C, $C381, KASA!$B:$B, "MAL İADE")</f>
        <v>0</v>
      </c>
      <c r="I381" s="5">
        <f t="shared" si="65"/>
        <v>9.7319999999999993</v>
      </c>
      <c r="J381" s="5">
        <f t="shared" si="66"/>
        <v>2919.6</v>
      </c>
      <c r="K381" s="5">
        <f>SUMIFS(KASA!$Q:$Q, KASA!$C:$C, $C381, KASA!$B:$B, "MAL SATIŞI") + SUMIFS(KASA!$Q:$Q, KASA!$C:$C, $C381, KASA!$B:$B, "ÜRETİM ÇIKIŞ")</f>
        <v>3168.8</v>
      </c>
      <c r="L381" s="5">
        <f>SUMIFS(KASA!$K:$K, KASA!$C:$C, $C381, KASA!$B:$B, "MAL SATIŞI") + SUMIFS(KASA!$K:$K, KASA!$C:$C, $C381, KASA!$B:$B, "ÜRETİM ÇIKIŞ")</f>
        <v>697</v>
      </c>
      <c r="M381" s="5">
        <f t="shared" si="67"/>
        <v>3865.8</v>
      </c>
      <c r="N381" s="5">
        <f t="shared" si="68"/>
        <v>946.20000000000027</v>
      </c>
      <c r="O381" s="65">
        <f t="shared" si="69"/>
        <v>0.32408549116317314</v>
      </c>
      <c r="P381" s="5">
        <f t="shared" si="70"/>
        <v>397.22564734895195</v>
      </c>
      <c r="Q381" s="5">
        <f t="shared" si="71"/>
        <v>0.26800000000000068</v>
      </c>
      <c r="R381" s="5">
        <f t="shared" si="72"/>
        <v>80.400000000000205</v>
      </c>
      <c r="S381" s="5">
        <f t="shared" si="73"/>
        <v>3000</v>
      </c>
      <c r="T381">
        <v>5.7779999999999996</v>
      </c>
      <c r="U381" s="2">
        <f t="shared" si="74"/>
        <v>-5.5099999999999989</v>
      </c>
      <c r="V381">
        <f>SUMIF(KASA!$C$2:$C$9980, C381, KASA!$T$2:$T$9980)</f>
        <v>0.26800000000000068</v>
      </c>
      <c r="W381">
        <f>SUMIF(KASA!$C$2:$C$9980, C381, KASA!$U$2:$U$9980)</f>
        <v>80.400000000000205</v>
      </c>
      <c r="X381" s="2">
        <f t="shared" si="75"/>
        <v>0.26800000000000068</v>
      </c>
      <c r="Y381" s="2">
        <f t="shared" si="76"/>
        <v>80.400000000000205</v>
      </c>
      <c r="Z381">
        <f>SUMIF(KASA!$C$2:$C$9980, C381, KASA!$V$2:$V$9980)</f>
        <v>3000</v>
      </c>
      <c r="AA381">
        <f t="shared" si="77"/>
        <v>2919.6</v>
      </c>
    </row>
    <row r="382" spans="3:27" x14ac:dyDescent="0.25">
      <c r="C382" s="4" t="s">
        <v>2520</v>
      </c>
      <c r="D382" s="5">
        <f>SUMIFS(KASA!$I:$I, KASA!$C:$C, $C382, KASA!$B:$B, "MAL ALIMI") + SUMIFS(KASA!$I:$I, KASA!$C:$C, $C382, KASA!$B:$B, "ÜRETİM GİRİŞ")</f>
        <v>5</v>
      </c>
      <c r="E382" s="5" cm="1">
        <f t="array" ref="E382">IFERROR(AVERAGE(IF((KASA!$C$2:$C$9980=$C382)*((KASA!$B$2:$B$9980="MAL ALIMI")+(KASA!$B$2:$B$9980="ÜRETİM GİRİŞ")),KASA!$J$2:$J$9980)),0)</f>
        <v>450</v>
      </c>
      <c r="F382" s="5">
        <f>SUMIFS(KASA!$I:$I, KASA!$C:$C, $C382, KASA!$B:$B, "MAL SATIŞI") + SUMIFS(KASA!$I:$I, KASA!$C:$C, $C382, KASA!$B:$B, "ÜRETİM ÇIKIŞ")</f>
        <v>5.254545454545454</v>
      </c>
      <c r="G382" s="5">
        <f>SUMIFS(KASA!$I:$I, KASA!$C:$C, $C382, KASA!$B:$B, "MAL İADE")</f>
        <v>0</v>
      </c>
      <c r="H382" s="5">
        <f>SUMIFS(KASA!$K:$K, KASA!$C:$C, $C382, KASA!$B:$B, "MAL İADE") + SUMIFS(KASA!$Q:$Q, KASA!$C:$C, $C382, KASA!$B:$B, "MAL İADE")</f>
        <v>0</v>
      </c>
      <c r="I382" s="5">
        <f t="shared" si="65"/>
        <v>5.254545454545454</v>
      </c>
      <c r="J382" s="5">
        <f t="shared" si="66"/>
        <v>2364.5454545454545</v>
      </c>
      <c r="K382" s="5">
        <f>SUMIFS(KASA!$Q:$Q, KASA!$C:$C, $C382, KASA!$B:$B, "MAL SATIŞI") + SUMIFS(KASA!$Q:$Q, KASA!$C:$C, $C382, KASA!$B:$B, "ÜRETİM ÇIKIŞ")</f>
        <v>2227.4545454545455</v>
      </c>
      <c r="L382" s="5">
        <f>SUMIFS(KASA!$K:$K, KASA!$C:$C, $C382, KASA!$B:$B, "MAL SATIŞI") + SUMIFS(KASA!$K:$K, KASA!$C:$C, $C382, KASA!$B:$B, "ÜRETİM ÇIKIŞ")</f>
        <v>635</v>
      </c>
      <c r="M382" s="5">
        <f t="shared" si="67"/>
        <v>2862.4545454545455</v>
      </c>
      <c r="N382" s="5">
        <f t="shared" si="68"/>
        <v>497.90909090909099</v>
      </c>
      <c r="O382" s="65">
        <f t="shared" si="69"/>
        <v>0.21057285659361788</v>
      </c>
      <c r="P382" s="5">
        <f t="shared" si="70"/>
        <v>544.75778546712809</v>
      </c>
      <c r="Q382" s="5">
        <f t="shared" si="71"/>
        <v>-0.25454545454545396</v>
      </c>
      <c r="R382" s="5">
        <f t="shared" si="72"/>
        <v>-114.54545454545428</v>
      </c>
      <c r="S382" s="5">
        <f t="shared" si="73"/>
        <v>2250</v>
      </c>
      <c r="T382">
        <v>3.4940000000000002</v>
      </c>
      <c r="U382" s="2">
        <f t="shared" si="74"/>
        <v>-3.7485454545454542</v>
      </c>
      <c r="V382">
        <f>SUMIF(KASA!$C$2:$C$9980, C382, KASA!$T$2:$T$9980)</f>
        <v>0</v>
      </c>
      <c r="W382">
        <f>SUMIF(KASA!$C$2:$C$9980, C382, KASA!$U$2:$U$9980)</f>
        <v>0</v>
      </c>
      <c r="X382" s="2">
        <f t="shared" si="75"/>
        <v>0</v>
      </c>
      <c r="Y382" s="2">
        <f t="shared" si="76"/>
        <v>0</v>
      </c>
      <c r="Z382">
        <f>SUMIF(KASA!$C$2:$C$9980, C382, KASA!$V$2:$V$9980)</f>
        <v>2250</v>
      </c>
      <c r="AA382">
        <f t="shared" si="77"/>
        <v>2250</v>
      </c>
    </row>
    <row r="383" spans="3:27" x14ac:dyDescent="0.25">
      <c r="C383" s="4" t="s">
        <v>2521</v>
      </c>
      <c r="D383" s="5">
        <f>SUMIFS(KASA!$I:$I, KASA!$C:$C, $C383, KASA!$B:$B, "MAL ALIMI") + SUMIFS(KASA!$I:$I, KASA!$C:$C, $C383, KASA!$B:$B, "ÜRETİM GİRİŞ")</f>
        <v>5</v>
      </c>
      <c r="E383" s="5" cm="1">
        <f t="array" ref="E383">IFERROR(AVERAGE(IF((KASA!$C$2:$C$9980=$C383)*((KASA!$B$2:$B$9980="MAL ALIMI")+(KASA!$B$2:$B$9980="ÜRETİM GİRİŞ")),KASA!$J$2:$J$9980)),0)</f>
        <v>390</v>
      </c>
      <c r="F383" s="5">
        <f>SUMIFS(KASA!$I:$I, KASA!$C:$C, $C383, KASA!$B:$B, "MAL SATIŞI") + SUMIFS(KASA!$I:$I, KASA!$C:$C, $C383, KASA!$B:$B, "ÜRETİM ÇIKIŞ")</f>
        <v>0</v>
      </c>
      <c r="G383" s="5">
        <f>SUMIFS(KASA!$I:$I, KASA!$C:$C, $C383, KASA!$B:$B, "MAL İADE")</f>
        <v>0</v>
      </c>
      <c r="H383" s="5">
        <f>SUMIFS(KASA!$K:$K, KASA!$C:$C, $C383, KASA!$B:$B, "MAL İADE") + SUMIFS(KASA!$Q:$Q, KASA!$C:$C, $C383, KASA!$B:$B, "MAL İADE")</f>
        <v>0</v>
      </c>
      <c r="I383" s="5">
        <f t="shared" si="65"/>
        <v>0</v>
      </c>
      <c r="J383" s="5">
        <f t="shared" si="66"/>
        <v>0</v>
      </c>
      <c r="K383" s="5">
        <f>SUMIFS(KASA!$Q:$Q, KASA!$C:$C, $C383, KASA!$B:$B, "MAL SATIŞI") + SUMIFS(KASA!$Q:$Q, KASA!$C:$C, $C383, KASA!$B:$B, "ÜRETİM ÇIKIŞ")</f>
        <v>0</v>
      </c>
      <c r="L383" s="5">
        <f>SUMIFS(KASA!$K:$K, KASA!$C:$C, $C383, KASA!$B:$B, "MAL SATIŞI") + SUMIFS(KASA!$K:$K, KASA!$C:$C, $C383, KASA!$B:$B, "ÜRETİM ÇIKIŞ")</f>
        <v>0</v>
      </c>
      <c r="M383" s="5">
        <f t="shared" si="67"/>
        <v>0</v>
      </c>
      <c r="N383" s="5">
        <f t="shared" si="68"/>
        <v>0</v>
      </c>
      <c r="O383" s="65">
        <f t="shared" si="69"/>
        <v>0</v>
      </c>
      <c r="P383" s="5" t="e">
        <f t="shared" si="70"/>
        <v>#DIV/0!</v>
      </c>
      <c r="Q383" s="5">
        <f t="shared" si="71"/>
        <v>5</v>
      </c>
      <c r="R383" s="5">
        <f t="shared" si="72"/>
        <v>1950</v>
      </c>
      <c r="S383" s="5">
        <f t="shared" si="73"/>
        <v>1950</v>
      </c>
      <c r="T383">
        <v>5</v>
      </c>
      <c r="U383" s="2">
        <f t="shared" si="74"/>
        <v>0</v>
      </c>
      <c r="V383">
        <f>SUMIF(KASA!$C$2:$C$9980, C383, KASA!$T$2:$T$9980)</f>
        <v>5</v>
      </c>
      <c r="W383">
        <f>SUMIF(KASA!$C$2:$C$9980, C383, KASA!$U$2:$U$9980)</f>
        <v>1950</v>
      </c>
      <c r="X383" s="2">
        <f t="shared" si="75"/>
        <v>5</v>
      </c>
      <c r="Y383" s="2">
        <f t="shared" si="76"/>
        <v>1950</v>
      </c>
      <c r="Z383">
        <f>SUMIF(KASA!$C$2:$C$9980, C383, KASA!$V$2:$V$9980)</f>
        <v>1950</v>
      </c>
      <c r="AA383">
        <f t="shared" si="77"/>
        <v>0</v>
      </c>
    </row>
    <row r="384" spans="3:27" x14ac:dyDescent="0.25">
      <c r="C384" s="4" t="s">
        <v>2523</v>
      </c>
      <c r="D384" s="5">
        <f>SUMIFS(KASA!$I:$I, KASA!$C:$C, $C384, KASA!$B:$B, "MAL ALIMI") + SUMIFS(KASA!$I:$I, KASA!$C:$C, $C384, KASA!$B:$B, "ÜRETİM GİRİŞ")</f>
        <v>5</v>
      </c>
      <c r="E384" s="5" cm="1">
        <f t="array" ref="E384">IFERROR(AVERAGE(IF((KASA!$C$2:$C$9980=$C384)*((KASA!$B$2:$B$9980="MAL ALIMI")+(KASA!$B$2:$B$9980="ÜRETİM GİRİŞ")),KASA!$J$2:$J$9980)),0)</f>
        <v>230</v>
      </c>
      <c r="F384" s="5">
        <f>SUMIFS(KASA!$I:$I, KASA!$C:$C, $C384, KASA!$B:$B, "MAL SATIŞI") + SUMIFS(KASA!$I:$I, KASA!$C:$C, $C384, KASA!$B:$B, "ÜRETİM ÇIKIŞ")</f>
        <v>0.96</v>
      </c>
      <c r="G384" s="5">
        <f>SUMIFS(KASA!$I:$I, KASA!$C:$C, $C384, KASA!$B:$B, "MAL İADE")</f>
        <v>0</v>
      </c>
      <c r="H384" s="5">
        <f>SUMIFS(KASA!$K:$K, KASA!$C:$C, $C384, KASA!$B:$B, "MAL İADE") + SUMIFS(KASA!$Q:$Q, KASA!$C:$C, $C384, KASA!$B:$B, "MAL İADE")</f>
        <v>0</v>
      </c>
      <c r="I384" s="5">
        <f t="shared" si="65"/>
        <v>0.96</v>
      </c>
      <c r="J384" s="5">
        <f t="shared" si="66"/>
        <v>220.79999999999998</v>
      </c>
      <c r="K384" s="5">
        <f>SUMIFS(KASA!$Q:$Q, KASA!$C:$C, $C384, KASA!$B:$B, "MAL SATIŞI") + SUMIFS(KASA!$Q:$Q, KASA!$C:$C, $C384, KASA!$B:$B, "ÜRETİM ÇIKIŞ")</f>
        <v>174.8</v>
      </c>
      <c r="L384" s="5">
        <f>SUMIFS(KASA!$K:$K, KASA!$C:$C, $C384, KASA!$B:$B, "MAL SATIŞI") + SUMIFS(KASA!$K:$K, KASA!$C:$C, $C384, KASA!$B:$B, "ÜRETİM ÇIKIŞ")</f>
        <v>70</v>
      </c>
      <c r="M384" s="5">
        <f t="shared" si="67"/>
        <v>244.8</v>
      </c>
      <c r="N384" s="5">
        <f t="shared" si="68"/>
        <v>24.000000000000028</v>
      </c>
      <c r="O384" s="65">
        <f t="shared" si="69"/>
        <v>0.10869565217391318</v>
      </c>
      <c r="P384" s="5">
        <f t="shared" si="70"/>
        <v>255.00000000000003</v>
      </c>
      <c r="Q384" s="5">
        <f t="shared" si="71"/>
        <v>4.04</v>
      </c>
      <c r="R384" s="5">
        <f t="shared" si="72"/>
        <v>929.2</v>
      </c>
      <c r="S384" s="5">
        <f t="shared" si="73"/>
        <v>1150</v>
      </c>
      <c r="T384">
        <v>4.0439999999999996</v>
      </c>
      <c r="U384" s="2">
        <f t="shared" si="74"/>
        <v>-3.9999999999995595E-3</v>
      </c>
      <c r="V384">
        <f>SUMIF(KASA!$C$2:$C$9980, C384, KASA!$T$2:$T$9980)</f>
        <v>4.04</v>
      </c>
      <c r="W384">
        <f>SUMIF(KASA!$C$2:$C$9980, C384, KASA!$U$2:$U$9980)</f>
        <v>929.2</v>
      </c>
      <c r="X384" s="2">
        <f t="shared" si="75"/>
        <v>4.04</v>
      </c>
      <c r="Y384" s="2">
        <f t="shared" si="76"/>
        <v>929.2</v>
      </c>
      <c r="Z384">
        <f>SUMIF(KASA!$C$2:$C$9980, C384, KASA!$V$2:$V$9980)</f>
        <v>1150</v>
      </c>
      <c r="AA384">
        <f t="shared" si="77"/>
        <v>220.79999999999995</v>
      </c>
    </row>
    <row r="385" spans="3:27" x14ac:dyDescent="0.25">
      <c r="C385" s="4" t="s">
        <v>516</v>
      </c>
      <c r="D385" s="5">
        <f>SUMIFS(KASA!$I:$I, KASA!$C:$C, $C385, KASA!$B:$B, "MAL ALIMI") + SUMIFS(KASA!$I:$I, KASA!$C:$C, $C385, KASA!$B:$B, "ÜRETİM GİRİŞ")</f>
        <v>10</v>
      </c>
      <c r="E385" s="5" cm="1">
        <f t="array" ref="E385">IFERROR(AVERAGE(IF((KASA!$C$2:$C$9980=$C385)*((KASA!$B$2:$B$9980="MAL ALIMI")+(KASA!$B$2:$B$9980="ÜRETİM GİRİŞ")),KASA!$J$2:$J$9980)),0)</f>
        <v>50</v>
      </c>
      <c r="F385" s="5">
        <f>SUMIFS(KASA!$I:$I, KASA!$C:$C, $C385, KASA!$B:$B, "MAL SATIŞI") + SUMIFS(KASA!$I:$I, KASA!$C:$C, $C385, KASA!$B:$B, "ÜRETİM ÇIKIŞ")</f>
        <v>3</v>
      </c>
      <c r="G385" s="5">
        <f>SUMIFS(KASA!$I:$I, KASA!$C:$C, $C385, KASA!$B:$B, "MAL İADE")</f>
        <v>0</v>
      </c>
      <c r="H385" s="5">
        <f>SUMIFS(KASA!$K:$K, KASA!$C:$C, $C385, KASA!$B:$B, "MAL İADE") + SUMIFS(KASA!$Q:$Q, KASA!$C:$C, $C385, KASA!$B:$B, "MAL İADE")</f>
        <v>0</v>
      </c>
      <c r="I385" s="5">
        <f t="shared" si="65"/>
        <v>3</v>
      </c>
      <c r="J385" s="5">
        <f t="shared" si="66"/>
        <v>150</v>
      </c>
      <c r="K385" s="5">
        <f>SUMIFS(KASA!$Q:$Q, KASA!$C:$C, $C385, KASA!$B:$B, "MAL SATIŞI") + SUMIFS(KASA!$Q:$Q, KASA!$C:$C, $C385, KASA!$B:$B, "ÜRETİM ÇIKIŞ")</f>
        <v>200</v>
      </c>
      <c r="L385" s="5">
        <f>SUMIFS(KASA!$K:$K, KASA!$C:$C, $C385, KASA!$B:$B, "MAL SATIŞI") + SUMIFS(KASA!$K:$K, KASA!$C:$C, $C385, KASA!$B:$B, "ÜRETİM ÇIKIŞ")</f>
        <v>120</v>
      </c>
      <c r="M385" s="5">
        <f t="shared" si="67"/>
        <v>320</v>
      </c>
      <c r="N385" s="5">
        <f t="shared" si="68"/>
        <v>170</v>
      </c>
      <c r="O385" s="65">
        <f t="shared" si="69"/>
        <v>1.1333333333333333</v>
      </c>
      <c r="P385" s="5">
        <f t="shared" si="70"/>
        <v>106.66666666666667</v>
      </c>
      <c r="Q385" s="5">
        <f t="shared" si="71"/>
        <v>7</v>
      </c>
      <c r="R385" s="5">
        <f t="shared" si="72"/>
        <v>350</v>
      </c>
      <c r="S385" s="5">
        <f t="shared" si="73"/>
        <v>500</v>
      </c>
      <c r="T385">
        <v>9</v>
      </c>
      <c r="U385" s="2">
        <f t="shared" si="74"/>
        <v>-2</v>
      </c>
      <c r="V385">
        <f>SUMIF(KASA!$C$2:$C$9980, C385, KASA!$T$2:$T$9980)</f>
        <v>7</v>
      </c>
      <c r="W385">
        <f>SUMIF(KASA!$C$2:$C$9980, C385, KASA!$U$2:$U$9980)</f>
        <v>350</v>
      </c>
      <c r="X385" s="2">
        <f t="shared" si="75"/>
        <v>7</v>
      </c>
      <c r="Y385" s="2">
        <f t="shared" si="76"/>
        <v>350</v>
      </c>
      <c r="Z385">
        <f>SUMIF(KASA!$C$2:$C$9980, C385, KASA!$V$2:$V$9980)</f>
        <v>500</v>
      </c>
      <c r="AA385">
        <f t="shared" si="77"/>
        <v>150</v>
      </c>
    </row>
    <row r="386" spans="3:27" x14ac:dyDescent="0.25">
      <c r="C386" s="4" t="s">
        <v>520</v>
      </c>
      <c r="D386" s="5">
        <f>SUMIFS(KASA!$I:$I, KASA!$C:$C, $C386, KASA!$B:$B, "MAL ALIMI") + SUMIFS(KASA!$I:$I, KASA!$C:$C, $C386, KASA!$B:$B, "ÜRETİM GİRİŞ")</f>
        <v>10</v>
      </c>
      <c r="E386" s="5" cm="1">
        <f t="array" ref="E386">IFERROR(AVERAGE(IF((KASA!$C$2:$C$9980=$C386)*((KASA!$B$2:$B$9980="MAL ALIMI")+(KASA!$B$2:$B$9980="ÜRETİM GİRİŞ")),KASA!$J$2:$J$9980)),0)</f>
        <v>150</v>
      </c>
      <c r="F386" s="5">
        <f>SUMIFS(KASA!$I:$I, KASA!$C:$C, $C386, KASA!$B:$B, "MAL SATIŞI") + SUMIFS(KASA!$I:$I, KASA!$C:$C, $C386, KASA!$B:$B, "ÜRETİM ÇIKIŞ")</f>
        <v>2</v>
      </c>
      <c r="G386" s="5">
        <f>SUMIFS(KASA!$I:$I, KASA!$C:$C, $C386, KASA!$B:$B, "MAL İADE")</f>
        <v>0</v>
      </c>
      <c r="H386" s="5">
        <f>SUMIFS(KASA!$K:$K, KASA!$C:$C, $C386, KASA!$B:$B, "MAL İADE") + SUMIFS(KASA!$Q:$Q, KASA!$C:$C, $C386, KASA!$B:$B, "MAL İADE")</f>
        <v>0</v>
      </c>
      <c r="I386" s="5">
        <f t="shared" ref="I386:I449" si="78">F386+G386</f>
        <v>2</v>
      </c>
      <c r="J386" s="5">
        <f t="shared" ref="J386:J449" si="79">E386*F386</f>
        <v>300</v>
      </c>
      <c r="K386" s="5">
        <f>SUMIFS(KASA!$Q:$Q, KASA!$C:$C, $C386, KASA!$B:$B, "MAL SATIŞI") + SUMIFS(KASA!$Q:$Q, KASA!$C:$C, $C386, KASA!$B:$B, "ÜRETİM ÇIKIŞ")</f>
        <v>500</v>
      </c>
      <c r="L386" s="5">
        <f>SUMIFS(KASA!$K:$K, KASA!$C:$C, $C386, KASA!$B:$B, "MAL SATIŞI") + SUMIFS(KASA!$K:$K, KASA!$C:$C, $C386, KASA!$B:$B, "ÜRETİM ÇIKIŞ")</f>
        <v>0</v>
      </c>
      <c r="M386" s="5">
        <f t="shared" ref="M386:M449" si="80">K386+L386</f>
        <v>500</v>
      </c>
      <c r="N386" s="5">
        <f t="shared" ref="N386:N449" si="81">M386-J386</f>
        <v>200</v>
      </c>
      <c r="O386" s="65">
        <f t="shared" ref="O386:O449" si="82">IFERROR(((M386-J386)/J386),0)</f>
        <v>0.66666666666666663</v>
      </c>
      <c r="P386" s="5">
        <f t="shared" ref="P386:P449" si="83">M386/F386</f>
        <v>250</v>
      </c>
      <c r="Q386" s="5">
        <f t="shared" ref="Q386:Q449" si="84">D386-F386-G386</f>
        <v>8</v>
      </c>
      <c r="R386" s="5">
        <f t="shared" ref="R386:R449" si="85">Q386*E386</f>
        <v>1200</v>
      </c>
      <c r="S386" s="5">
        <f t="shared" ref="S386:S449" si="86">D386*E386</f>
        <v>1500</v>
      </c>
      <c r="T386">
        <v>8</v>
      </c>
      <c r="U386" s="2">
        <f t="shared" ref="U386:U449" si="87">Q386-T386</f>
        <v>0</v>
      </c>
      <c r="V386">
        <f>SUMIF(KASA!$C$2:$C$9980, C386, KASA!$T$2:$T$9980)</f>
        <v>8</v>
      </c>
      <c r="W386">
        <f>SUMIF(KASA!$C$2:$C$9980, C386, KASA!$U$2:$U$9980)</f>
        <v>1200</v>
      </c>
      <c r="X386" s="2">
        <f t="shared" si="75"/>
        <v>8</v>
      </c>
      <c r="Y386" s="2">
        <f t="shared" si="76"/>
        <v>1200</v>
      </c>
      <c r="Z386">
        <f>SUMIF(KASA!$C$2:$C$9980, C386, KASA!$V$2:$V$9980)</f>
        <v>1500</v>
      </c>
      <c r="AA386">
        <f t="shared" si="77"/>
        <v>300</v>
      </c>
    </row>
    <row r="387" spans="3:27" x14ac:dyDescent="0.25">
      <c r="C387" s="4" t="s">
        <v>522</v>
      </c>
      <c r="D387" s="5">
        <f>SUMIFS(KASA!$I:$I, KASA!$C:$C, $C387, KASA!$B:$B, "MAL ALIMI") + SUMIFS(KASA!$I:$I, KASA!$C:$C, $C387, KASA!$B:$B, "ÜRETİM GİRİŞ")</f>
        <v>10</v>
      </c>
      <c r="E387" s="5" cm="1">
        <f t="array" ref="E387">IFERROR(AVERAGE(IF((KASA!$C$2:$C$9980=$C387)*((KASA!$B$2:$B$9980="MAL ALIMI")+(KASA!$B$2:$B$9980="ÜRETİM GİRİŞ")),KASA!$J$2:$J$9980)),0)</f>
        <v>150</v>
      </c>
      <c r="F387" s="5">
        <f>SUMIFS(KASA!$I:$I, KASA!$C:$C, $C387, KASA!$B:$B, "MAL SATIŞI") + SUMIFS(KASA!$I:$I, KASA!$C:$C, $C387, KASA!$B:$B, "ÜRETİM ÇIKIŞ")</f>
        <v>4</v>
      </c>
      <c r="G387" s="5">
        <f>SUMIFS(KASA!$I:$I, KASA!$C:$C, $C387, KASA!$B:$B, "MAL İADE")</f>
        <v>0</v>
      </c>
      <c r="H387" s="5">
        <f>SUMIFS(KASA!$K:$K, KASA!$C:$C, $C387, KASA!$B:$B, "MAL İADE") + SUMIFS(KASA!$Q:$Q, KASA!$C:$C, $C387, KASA!$B:$B, "MAL İADE")</f>
        <v>0</v>
      </c>
      <c r="I387" s="5">
        <f t="shared" si="78"/>
        <v>4</v>
      </c>
      <c r="J387" s="5">
        <f t="shared" si="79"/>
        <v>600</v>
      </c>
      <c r="K387" s="5">
        <f>SUMIFS(KASA!$Q:$Q, KASA!$C:$C, $C387, KASA!$B:$B, "MAL SATIŞI") + SUMIFS(KASA!$Q:$Q, KASA!$C:$C, $C387, KASA!$B:$B, "ÜRETİM ÇIKIŞ")</f>
        <v>500</v>
      </c>
      <c r="L387" s="5">
        <f>SUMIFS(KASA!$K:$K, KASA!$C:$C, $C387, KASA!$B:$B, "MAL SATIŞI") + SUMIFS(KASA!$K:$K, KASA!$C:$C, $C387, KASA!$B:$B, "ÜRETİM ÇIKIŞ")</f>
        <v>500</v>
      </c>
      <c r="M387" s="5">
        <f t="shared" si="80"/>
        <v>1000</v>
      </c>
      <c r="N387" s="5">
        <f t="shared" si="81"/>
        <v>400</v>
      </c>
      <c r="O387" s="65">
        <f t="shared" si="82"/>
        <v>0.66666666666666663</v>
      </c>
      <c r="P387" s="5">
        <f t="shared" si="83"/>
        <v>250</v>
      </c>
      <c r="Q387" s="5">
        <f t="shared" si="84"/>
        <v>6</v>
      </c>
      <c r="R387" s="5">
        <f t="shared" si="85"/>
        <v>900</v>
      </c>
      <c r="S387" s="5">
        <f t="shared" si="86"/>
        <v>1500</v>
      </c>
      <c r="T387">
        <v>7</v>
      </c>
      <c r="U387" s="2">
        <f t="shared" si="87"/>
        <v>-1</v>
      </c>
      <c r="V387">
        <f>SUMIF(KASA!$C$2:$C$9980, C387, KASA!$T$2:$T$9980)</f>
        <v>6</v>
      </c>
      <c r="W387">
        <f>SUMIF(KASA!$C$2:$C$9980, C387, KASA!$U$2:$U$9980)</f>
        <v>900</v>
      </c>
      <c r="X387" s="2">
        <f t="shared" ref="X387:X450" si="88">V387-G387</f>
        <v>6</v>
      </c>
      <c r="Y387" s="2">
        <f t="shared" ref="Y387:Y450" si="89">W387-H387</f>
        <v>900</v>
      </c>
      <c r="Z387">
        <f>SUMIF(KASA!$C$2:$C$9980, C387, KASA!$V$2:$V$9980)</f>
        <v>1500</v>
      </c>
      <c r="AA387">
        <f t="shared" ref="AA387:AA450" si="90">Z387-W387</f>
        <v>600</v>
      </c>
    </row>
    <row r="388" spans="3:27" x14ac:dyDescent="0.25">
      <c r="C388" s="4" t="s">
        <v>549</v>
      </c>
      <c r="D388" s="5">
        <f>SUMIFS(KASA!$I:$I, KASA!$C:$C, $C388, KASA!$B:$B, "MAL ALIMI") + SUMIFS(KASA!$I:$I, KASA!$C:$C, $C388, KASA!$B:$B, "ÜRETİM GİRİŞ")</f>
        <v>50</v>
      </c>
      <c r="E388" s="5" cm="1">
        <f t="array" ref="E388">IFERROR(AVERAGE(IF((KASA!$C$2:$C$9980=$C388)*((KASA!$B$2:$B$9980="MAL ALIMI")+(KASA!$B$2:$B$9980="ÜRETİM GİRİŞ")),KASA!$J$2:$J$9980)),0)</f>
        <v>150</v>
      </c>
      <c r="F388" s="5">
        <f>SUMIFS(KASA!$I:$I, KASA!$C:$C, $C388, KASA!$B:$B, "MAL SATIŞI") + SUMIFS(KASA!$I:$I, KASA!$C:$C, $C388, KASA!$B:$B, "ÜRETİM ÇIKIŞ")</f>
        <v>2</v>
      </c>
      <c r="G388" s="5">
        <f>SUMIFS(KASA!$I:$I, KASA!$C:$C, $C388, KASA!$B:$B, "MAL İADE")</f>
        <v>0</v>
      </c>
      <c r="H388" s="5">
        <f>SUMIFS(KASA!$K:$K, KASA!$C:$C, $C388, KASA!$B:$B, "MAL İADE") + SUMIFS(KASA!$Q:$Q, KASA!$C:$C, $C388, KASA!$B:$B, "MAL İADE")</f>
        <v>0</v>
      </c>
      <c r="I388" s="5">
        <f t="shared" si="78"/>
        <v>2</v>
      </c>
      <c r="J388" s="5">
        <f t="shared" si="79"/>
        <v>300</v>
      </c>
      <c r="K388" s="5">
        <f>SUMIFS(KASA!$Q:$Q, KASA!$C:$C, $C388, KASA!$B:$B, "MAL SATIŞI") + SUMIFS(KASA!$Q:$Q, KASA!$C:$C, $C388, KASA!$B:$B, "ÜRETİM ÇIKIŞ")</f>
        <v>300</v>
      </c>
      <c r="L388" s="5">
        <f>SUMIFS(KASA!$K:$K, KASA!$C:$C, $C388, KASA!$B:$B, "MAL SATIŞI") + SUMIFS(KASA!$K:$K, KASA!$C:$C, $C388, KASA!$B:$B, "ÜRETİM ÇIKIŞ")</f>
        <v>300</v>
      </c>
      <c r="M388" s="5">
        <f t="shared" si="80"/>
        <v>600</v>
      </c>
      <c r="N388" s="5">
        <f t="shared" si="81"/>
        <v>300</v>
      </c>
      <c r="O388" s="65">
        <f t="shared" si="82"/>
        <v>1</v>
      </c>
      <c r="P388" s="5">
        <f t="shared" si="83"/>
        <v>300</v>
      </c>
      <c r="Q388" s="5">
        <f t="shared" si="84"/>
        <v>48</v>
      </c>
      <c r="R388" s="5">
        <f t="shared" si="85"/>
        <v>7200</v>
      </c>
      <c r="S388" s="5">
        <f t="shared" si="86"/>
        <v>7500</v>
      </c>
      <c r="T388">
        <v>48</v>
      </c>
      <c r="U388" s="2">
        <f t="shared" si="87"/>
        <v>0</v>
      </c>
      <c r="V388">
        <f>SUMIF(KASA!$C$2:$C$9980, C388, KASA!$T$2:$T$9980)</f>
        <v>48</v>
      </c>
      <c r="W388">
        <f>SUMIF(KASA!$C$2:$C$9980, C388, KASA!$U$2:$U$9980)</f>
        <v>7200</v>
      </c>
      <c r="X388" s="2">
        <f t="shared" si="88"/>
        <v>48</v>
      </c>
      <c r="Y388" s="2">
        <f t="shared" si="89"/>
        <v>7200</v>
      </c>
      <c r="Z388">
        <f>SUMIF(KASA!$C$2:$C$9980, C388, KASA!$V$2:$V$9980)</f>
        <v>7500</v>
      </c>
      <c r="AA388">
        <f t="shared" si="90"/>
        <v>300</v>
      </c>
    </row>
    <row r="389" spans="3:27" x14ac:dyDescent="0.25">
      <c r="C389" s="4" t="s">
        <v>550</v>
      </c>
      <c r="D389" s="5">
        <f>SUMIFS(KASA!$I:$I, KASA!$C:$C, $C389, KASA!$B:$B, "MAL ALIMI") + SUMIFS(KASA!$I:$I, KASA!$C:$C, $C389, KASA!$B:$B, "ÜRETİM GİRİŞ")</f>
        <v>50</v>
      </c>
      <c r="E389" s="5" cm="1">
        <f t="array" ref="E389">IFERROR(AVERAGE(IF((KASA!$C$2:$C$9980=$C389)*((KASA!$B$2:$B$9980="MAL ALIMI")+(KASA!$B$2:$B$9980="ÜRETİM GİRİŞ")),KASA!$J$2:$J$9980)),0)</f>
        <v>300</v>
      </c>
      <c r="F389" s="5">
        <f>SUMIFS(KASA!$I:$I, KASA!$C:$C, $C389, KASA!$B:$B, "MAL SATIŞI") + SUMIFS(KASA!$I:$I, KASA!$C:$C, $C389, KASA!$B:$B, "ÜRETİM ÇIKIŞ")</f>
        <v>4</v>
      </c>
      <c r="G389" s="5">
        <f>SUMIFS(KASA!$I:$I, KASA!$C:$C, $C389, KASA!$B:$B, "MAL İADE")</f>
        <v>0</v>
      </c>
      <c r="H389" s="5">
        <f>SUMIFS(KASA!$K:$K, KASA!$C:$C, $C389, KASA!$B:$B, "MAL İADE") + SUMIFS(KASA!$Q:$Q, KASA!$C:$C, $C389, KASA!$B:$B, "MAL İADE")</f>
        <v>0</v>
      </c>
      <c r="I389" s="5">
        <f t="shared" si="78"/>
        <v>4</v>
      </c>
      <c r="J389" s="5">
        <f t="shared" si="79"/>
        <v>1200</v>
      </c>
      <c r="K389" s="5">
        <f>SUMIFS(KASA!$Q:$Q, KASA!$C:$C, $C389, KASA!$B:$B, "MAL SATIŞI") + SUMIFS(KASA!$Q:$Q, KASA!$C:$C, $C389, KASA!$B:$B, "ÜRETİM ÇIKIŞ")</f>
        <v>1800</v>
      </c>
      <c r="L389" s="5">
        <f>SUMIFS(KASA!$K:$K, KASA!$C:$C, $C389, KASA!$B:$B, "MAL SATIŞI") + SUMIFS(KASA!$K:$K, KASA!$C:$C, $C389, KASA!$B:$B, "ÜRETİM ÇIKIŞ")</f>
        <v>600</v>
      </c>
      <c r="M389" s="5">
        <f t="shared" si="80"/>
        <v>2400</v>
      </c>
      <c r="N389" s="5">
        <f t="shared" si="81"/>
        <v>1200</v>
      </c>
      <c r="O389" s="65">
        <f t="shared" si="82"/>
        <v>1</v>
      </c>
      <c r="P389" s="5">
        <f t="shared" si="83"/>
        <v>600</v>
      </c>
      <c r="Q389" s="5">
        <f t="shared" si="84"/>
        <v>46</v>
      </c>
      <c r="R389" s="5">
        <f t="shared" si="85"/>
        <v>13800</v>
      </c>
      <c r="S389" s="5">
        <f t="shared" si="86"/>
        <v>15000</v>
      </c>
      <c r="T389">
        <v>46</v>
      </c>
      <c r="U389" s="2">
        <f t="shared" si="87"/>
        <v>0</v>
      </c>
      <c r="V389">
        <f>SUMIF(KASA!$C$2:$C$9980, C389, KASA!$T$2:$T$9980)</f>
        <v>46</v>
      </c>
      <c r="W389">
        <f>SUMIF(KASA!$C$2:$C$9980, C389, KASA!$U$2:$U$9980)</f>
        <v>13800</v>
      </c>
      <c r="X389" s="2">
        <f t="shared" si="88"/>
        <v>46</v>
      </c>
      <c r="Y389" s="2">
        <f t="shared" si="89"/>
        <v>13800</v>
      </c>
      <c r="Z389">
        <f>SUMIF(KASA!$C$2:$C$9980, C389, KASA!$V$2:$V$9980)</f>
        <v>15000</v>
      </c>
      <c r="AA389">
        <f t="shared" si="90"/>
        <v>1200</v>
      </c>
    </row>
    <row r="390" spans="3:27" x14ac:dyDescent="0.25">
      <c r="C390" s="4" t="s">
        <v>815</v>
      </c>
      <c r="D390" s="5">
        <f>SUMIFS(KASA!$I:$I, KASA!$C:$C, $C390, KASA!$B:$B, "MAL ALIMI") + SUMIFS(KASA!$I:$I, KASA!$C:$C, $C390, KASA!$B:$B, "ÜRETİM GİRİŞ")</f>
        <v>12</v>
      </c>
      <c r="E390" s="5" cm="1">
        <f t="array" ref="E390">IFERROR(AVERAGE(IF((KASA!$C$2:$C$9980=$C390)*((KASA!$B$2:$B$9980="MAL ALIMI")+(KASA!$B$2:$B$9980="ÜRETİM GİRİŞ")),KASA!$J$2:$J$9980)),0)</f>
        <v>64.8</v>
      </c>
      <c r="F390" s="5">
        <f>SUMIFS(KASA!$I:$I, KASA!$C:$C, $C390, KASA!$B:$B, "MAL SATIŞI") + SUMIFS(KASA!$I:$I, KASA!$C:$C, $C390, KASA!$B:$B, "ÜRETİM ÇIKIŞ")</f>
        <v>4</v>
      </c>
      <c r="G390" s="5">
        <f>SUMIFS(KASA!$I:$I, KASA!$C:$C, $C390, KASA!$B:$B, "MAL İADE")</f>
        <v>0</v>
      </c>
      <c r="H390" s="5">
        <f>SUMIFS(KASA!$K:$K, KASA!$C:$C, $C390, KASA!$B:$B, "MAL İADE") + SUMIFS(KASA!$Q:$Q, KASA!$C:$C, $C390, KASA!$B:$B, "MAL İADE")</f>
        <v>0</v>
      </c>
      <c r="I390" s="5">
        <f t="shared" si="78"/>
        <v>4</v>
      </c>
      <c r="J390" s="5">
        <f t="shared" si="79"/>
        <v>259.2</v>
      </c>
      <c r="K390" s="5">
        <f>SUMIFS(KASA!$Q:$Q, KASA!$C:$C, $C390, KASA!$B:$B, "MAL SATIŞI") + SUMIFS(KASA!$Q:$Q, KASA!$C:$C, $C390, KASA!$B:$B, "ÜRETİM ÇIKIŞ")</f>
        <v>500</v>
      </c>
      <c r="L390" s="5">
        <f>SUMIFS(KASA!$K:$K, KASA!$C:$C, $C390, KASA!$B:$B, "MAL SATIŞI") + SUMIFS(KASA!$K:$K, KASA!$C:$C, $C390, KASA!$B:$B, "ÜRETİM ÇIKIŞ")</f>
        <v>0</v>
      </c>
      <c r="M390" s="5">
        <f t="shared" si="80"/>
        <v>500</v>
      </c>
      <c r="N390" s="5">
        <f t="shared" si="81"/>
        <v>240.8</v>
      </c>
      <c r="O390" s="65">
        <f t="shared" si="82"/>
        <v>0.92901234567901247</v>
      </c>
      <c r="P390" s="5">
        <f t="shared" si="83"/>
        <v>125</v>
      </c>
      <c r="Q390" s="5">
        <f t="shared" si="84"/>
        <v>8</v>
      </c>
      <c r="R390" s="5">
        <f t="shared" si="85"/>
        <v>518.4</v>
      </c>
      <c r="S390" s="5">
        <f t="shared" si="86"/>
        <v>777.59999999999991</v>
      </c>
      <c r="T390">
        <v>8</v>
      </c>
      <c r="U390" s="2">
        <f t="shared" si="87"/>
        <v>0</v>
      </c>
      <c r="V390">
        <f>SUMIF(KASA!$C$2:$C$9980, C390, KASA!$T$2:$T$9980)</f>
        <v>8</v>
      </c>
      <c r="W390">
        <f>SUMIF(KASA!$C$2:$C$9980, C390, KASA!$U$2:$U$9980)</f>
        <v>518.4</v>
      </c>
      <c r="X390" s="2">
        <f t="shared" si="88"/>
        <v>8</v>
      </c>
      <c r="Y390" s="2">
        <f t="shared" si="89"/>
        <v>518.4</v>
      </c>
      <c r="Z390">
        <f>SUMIF(KASA!$C$2:$C$9980, C390, KASA!$V$2:$V$9980)</f>
        <v>777.59999999999991</v>
      </c>
      <c r="AA390">
        <f t="shared" si="90"/>
        <v>259.19999999999993</v>
      </c>
    </row>
    <row r="391" spans="3:27" x14ac:dyDescent="0.25">
      <c r="C391" s="4" t="s">
        <v>816</v>
      </c>
      <c r="D391" s="5">
        <f>SUMIFS(KASA!$I:$I, KASA!$C:$C, $C391, KASA!$B:$B, "MAL ALIMI") + SUMIFS(KASA!$I:$I, KASA!$C:$C, $C391, KASA!$B:$B, "ÜRETİM GİRİŞ")</f>
        <v>6</v>
      </c>
      <c r="E391" s="5" cm="1">
        <f t="array" ref="E391">IFERROR(AVERAGE(IF((KASA!$C$2:$C$9980=$C391)*((KASA!$B$2:$B$9980="MAL ALIMI")+(KASA!$B$2:$B$9980="ÜRETİM GİRİŞ")),KASA!$J$2:$J$9980)),0)</f>
        <v>272.7</v>
      </c>
      <c r="F391" s="5">
        <f>SUMIFS(KASA!$I:$I, KASA!$C:$C, $C391, KASA!$B:$B, "MAL SATIŞI") + SUMIFS(KASA!$I:$I, KASA!$C:$C, $C391, KASA!$B:$B, "ÜRETİM ÇIKIŞ")</f>
        <v>1</v>
      </c>
      <c r="G391" s="5">
        <f>SUMIFS(KASA!$I:$I, KASA!$C:$C, $C391, KASA!$B:$B, "MAL İADE")</f>
        <v>0</v>
      </c>
      <c r="H391" s="5">
        <f>SUMIFS(KASA!$K:$K, KASA!$C:$C, $C391, KASA!$B:$B, "MAL İADE") + SUMIFS(KASA!$Q:$Q, KASA!$C:$C, $C391, KASA!$B:$B, "MAL İADE")</f>
        <v>0</v>
      </c>
      <c r="I391" s="5">
        <f t="shared" si="78"/>
        <v>1</v>
      </c>
      <c r="J391" s="5">
        <f t="shared" si="79"/>
        <v>272.7</v>
      </c>
      <c r="K391" s="5">
        <f>SUMIFS(KASA!$Q:$Q, KASA!$C:$C, $C391, KASA!$B:$B, "MAL SATIŞI") + SUMIFS(KASA!$Q:$Q, KASA!$C:$C, $C391, KASA!$B:$B, "ÜRETİM ÇIKIŞ")</f>
        <v>0</v>
      </c>
      <c r="L391" s="5">
        <f>SUMIFS(KASA!$K:$K, KASA!$C:$C, $C391, KASA!$B:$B, "MAL SATIŞI") + SUMIFS(KASA!$K:$K, KASA!$C:$C, $C391, KASA!$B:$B, "ÜRETİM ÇIKIŞ")</f>
        <v>550</v>
      </c>
      <c r="M391" s="5">
        <f t="shared" si="80"/>
        <v>550</v>
      </c>
      <c r="N391" s="5">
        <f t="shared" si="81"/>
        <v>277.3</v>
      </c>
      <c r="O391" s="65">
        <f t="shared" si="82"/>
        <v>1.0168683535020169</v>
      </c>
      <c r="P391" s="5">
        <f t="shared" si="83"/>
        <v>550</v>
      </c>
      <c r="Q391" s="5">
        <f t="shared" si="84"/>
        <v>5</v>
      </c>
      <c r="R391" s="5">
        <f t="shared" si="85"/>
        <v>1363.5</v>
      </c>
      <c r="S391" s="5">
        <f t="shared" si="86"/>
        <v>1636.1999999999998</v>
      </c>
      <c r="T391">
        <v>6</v>
      </c>
      <c r="U391" s="2">
        <f t="shared" si="87"/>
        <v>-1</v>
      </c>
      <c r="V391">
        <f>SUMIF(KASA!$C$2:$C$9980, C391, KASA!$T$2:$T$9980)</f>
        <v>5</v>
      </c>
      <c r="W391">
        <f>SUMIF(KASA!$C$2:$C$9980, C391, KASA!$U$2:$U$9980)</f>
        <v>1363.5</v>
      </c>
      <c r="X391" s="2">
        <f t="shared" si="88"/>
        <v>5</v>
      </c>
      <c r="Y391" s="2">
        <f t="shared" si="89"/>
        <v>1363.5</v>
      </c>
      <c r="Z391">
        <f>SUMIF(KASA!$C$2:$C$9980, C391, KASA!$V$2:$V$9980)</f>
        <v>1636.1999999999998</v>
      </c>
      <c r="AA391">
        <f t="shared" si="90"/>
        <v>272.69999999999982</v>
      </c>
    </row>
    <row r="392" spans="3:27" x14ac:dyDescent="0.25">
      <c r="C392" s="4" t="s">
        <v>817</v>
      </c>
      <c r="D392" s="5">
        <f>SUMIFS(KASA!$I:$I, KASA!$C:$C, $C392, KASA!$B:$B, "MAL ALIMI") + SUMIFS(KASA!$I:$I, KASA!$C:$C, $C392, KASA!$B:$B, "ÜRETİM GİRİŞ")</f>
        <v>12</v>
      </c>
      <c r="E392" s="5" cm="1">
        <f t="array" ref="E392">IFERROR(AVERAGE(IF((KASA!$C$2:$C$9980=$C392)*((KASA!$B$2:$B$9980="MAL ALIMI")+(KASA!$B$2:$B$9980="ÜRETİM GİRİŞ")),KASA!$J$2:$J$9980)),0)</f>
        <v>90.9</v>
      </c>
      <c r="F392" s="5">
        <f>SUMIFS(KASA!$I:$I, KASA!$C:$C, $C392, KASA!$B:$B, "MAL SATIŞI") + SUMIFS(KASA!$I:$I, KASA!$C:$C, $C392, KASA!$B:$B, "ÜRETİM ÇIKIŞ")</f>
        <v>1</v>
      </c>
      <c r="G392" s="5">
        <f>SUMIFS(KASA!$I:$I, KASA!$C:$C, $C392, KASA!$B:$B, "MAL İADE")</f>
        <v>0</v>
      </c>
      <c r="H392" s="5">
        <f>SUMIFS(KASA!$K:$K, KASA!$C:$C, $C392, KASA!$B:$B, "MAL İADE") + SUMIFS(KASA!$Q:$Q, KASA!$C:$C, $C392, KASA!$B:$B, "MAL İADE")</f>
        <v>0</v>
      </c>
      <c r="I392" s="5">
        <f t="shared" si="78"/>
        <v>1</v>
      </c>
      <c r="J392" s="5">
        <f t="shared" si="79"/>
        <v>90.9</v>
      </c>
      <c r="K392" s="5">
        <f>SUMIFS(KASA!$Q:$Q, KASA!$C:$C, $C392, KASA!$B:$B, "MAL SATIŞI") + SUMIFS(KASA!$Q:$Q, KASA!$C:$C, $C392, KASA!$B:$B, "ÜRETİM ÇIKIŞ")</f>
        <v>91</v>
      </c>
      <c r="L392" s="5">
        <f>SUMIFS(KASA!$K:$K, KASA!$C:$C, $C392, KASA!$B:$B, "MAL SATIŞI") + SUMIFS(KASA!$K:$K, KASA!$C:$C, $C392, KASA!$B:$B, "ÜRETİM ÇIKIŞ")</f>
        <v>0</v>
      </c>
      <c r="M392" s="5">
        <f t="shared" si="80"/>
        <v>91</v>
      </c>
      <c r="N392" s="5">
        <f t="shared" si="81"/>
        <v>9.9999999999994316E-2</v>
      </c>
      <c r="O392" s="65">
        <f t="shared" si="82"/>
        <v>1.1001100110010376E-3</v>
      </c>
      <c r="P392" s="5">
        <f t="shared" si="83"/>
        <v>91</v>
      </c>
      <c r="Q392" s="5">
        <f t="shared" si="84"/>
        <v>11</v>
      </c>
      <c r="R392" s="5">
        <f t="shared" si="85"/>
        <v>999.90000000000009</v>
      </c>
      <c r="S392" s="5">
        <f t="shared" si="86"/>
        <v>1090.8000000000002</v>
      </c>
      <c r="T392">
        <v>11</v>
      </c>
      <c r="U392" s="2">
        <f t="shared" si="87"/>
        <v>0</v>
      </c>
      <c r="V392">
        <f>SUMIF(KASA!$C$2:$C$9980, C392, KASA!$T$2:$T$9980)</f>
        <v>11</v>
      </c>
      <c r="W392">
        <f>SUMIF(KASA!$C$2:$C$9980, C392, KASA!$U$2:$U$9980)</f>
        <v>999.90000000000009</v>
      </c>
      <c r="X392" s="2">
        <f t="shared" si="88"/>
        <v>11</v>
      </c>
      <c r="Y392" s="2">
        <f t="shared" si="89"/>
        <v>999.90000000000009</v>
      </c>
      <c r="Z392">
        <f>SUMIF(KASA!$C$2:$C$9980, C392, KASA!$V$2:$V$9980)</f>
        <v>1090.8000000000002</v>
      </c>
      <c r="AA392">
        <f t="shared" si="90"/>
        <v>90.900000000000091</v>
      </c>
    </row>
    <row r="393" spans="3:27" x14ac:dyDescent="0.25">
      <c r="C393" s="4" t="s">
        <v>818</v>
      </c>
      <c r="D393" s="5">
        <f>SUMIFS(KASA!$I:$I, KASA!$C:$C, $C393, KASA!$B:$B, "MAL ALIMI") + SUMIFS(KASA!$I:$I, KASA!$C:$C, $C393, KASA!$B:$B, "ÜRETİM GİRİŞ")</f>
        <v>12</v>
      </c>
      <c r="E393" s="5" cm="1">
        <f t="array" ref="E393">IFERROR(AVERAGE(IF((KASA!$C$2:$C$9980=$C393)*((KASA!$B$2:$B$9980="MAL ALIMI")+(KASA!$B$2:$B$9980="ÜRETİM GİRİŞ")),KASA!$J$2:$J$9980)),0)</f>
        <v>54.54</v>
      </c>
      <c r="F393" s="5">
        <f>SUMIFS(KASA!$I:$I, KASA!$C:$C, $C393, KASA!$B:$B, "MAL SATIŞI") + SUMIFS(KASA!$I:$I, KASA!$C:$C, $C393, KASA!$B:$B, "ÜRETİM ÇIKIŞ")</f>
        <v>5</v>
      </c>
      <c r="G393" s="5">
        <f>SUMIFS(KASA!$I:$I, KASA!$C:$C, $C393, KASA!$B:$B, "MAL İADE")</f>
        <v>0</v>
      </c>
      <c r="H393" s="5">
        <f>SUMIFS(KASA!$K:$K, KASA!$C:$C, $C393, KASA!$B:$B, "MAL İADE") + SUMIFS(KASA!$Q:$Q, KASA!$C:$C, $C393, KASA!$B:$B, "MAL İADE")</f>
        <v>0</v>
      </c>
      <c r="I393" s="5">
        <f t="shared" si="78"/>
        <v>5</v>
      </c>
      <c r="J393" s="5">
        <f t="shared" si="79"/>
        <v>272.7</v>
      </c>
      <c r="K393" s="5">
        <f>SUMIFS(KASA!$Q:$Q, KASA!$C:$C, $C393, KASA!$B:$B, "MAL SATIŞI") + SUMIFS(KASA!$Q:$Q, KASA!$C:$C, $C393, KASA!$B:$B, "ÜRETİM ÇIKIŞ")</f>
        <v>330</v>
      </c>
      <c r="L393" s="5">
        <f>SUMIFS(KASA!$K:$K, KASA!$C:$C, $C393, KASA!$B:$B, "MAL SATIŞI") + SUMIFS(KASA!$K:$K, KASA!$C:$C, $C393, KASA!$B:$B, "ÜRETİM ÇIKIŞ")</f>
        <v>220</v>
      </c>
      <c r="M393" s="5">
        <f t="shared" si="80"/>
        <v>550</v>
      </c>
      <c r="N393" s="5">
        <f t="shared" si="81"/>
        <v>277.3</v>
      </c>
      <c r="O393" s="65">
        <f t="shared" si="82"/>
        <v>1.0168683535020169</v>
      </c>
      <c r="P393" s="5">
        <f t="shared" si="83"/>
        <v>110</v>
      </c>
      <c r="Q393" s="5">
        <f t="shared" si="84"/>
        <v>7</v>
      </c>
      <c r="R393" s="5">
        <f t="shared" si="85"/>
        <v>381.78</v>
      </c>
      <c r="S393" s="5">
        <f t="shared" si="86"/>
        <v>654.48</v>
      </c>
      <c r="T393">
        <v>8</v>
      </c>
      <c r="U393" s="2">
        <f t="shared" si="87"/>
        <v>-1</v>
      </c>
      <c r="V393">
        <f>SUMIF(KASA!$C$2:$C$9980, C393, KASA!$T$2:$T$9980)</f>
        <v>7</v>
      </c>
      <c r="W393">
        <f>SUMIF(KASA!$C$2:$C$9980, C393, KASA!$U$2:$U$9980)</f>
        <v>381.78</v>
      </c>
      <c r="X393" s="2">
        <f t="shared" si="88"/>
        <v>7</v>
      </c>
      <c r="Y393" s="2">
        <f t="shared" si="89"/>
        <v>381.78</v>
      </c>
      <c r="Z393">
        <f>SUMIF(KASA!$C$2:$C$9980, C393, KASA!$V$2:$V$9980)</f>
        <v>654.48</v>
      </c>
      <c r="AA393">
        <f t="shared" si="90"/>
        <v>272.70000000000005</v>
      </c>
    </row>
    <row r="394" spans="3:27" x14ac:dyDescent="0.25">
      <c r="C394" s="4" t="s">
        <v>819</v>
      </c>
      <c r="D394" s="5">
        <f>SUMIFS(KASA!$I:$I, KASA!$C:$C, $C394, KASA!$B:$B, "MAL ALIMI") + SUMIFS(KASA!$I:$I, KASA!$C:$C, $C394, KASA!$B:$B, "ÜRETİM GİRİŞ")</f>
        <v>12</v>
      </c>
      <c r="E394" s="5" cm="1">
        <f t="array" ref="E394">IFERROR(AVERAGE(IF((KASA!$C$2:$C$9980=$C394)*((KASA!$B$2:$B$9980="MAL ALIMI")+(KASA!$B$2:$B$9980="ÜRETİM GİRİŞ")),KASA!$J$2:$J$9980)),0)</f>
        <v>64.8</v>
      </c>
      <c r="F394" s="5">
        <f>SUMIFS(KASA!$I:$I, KASA!$C:$C, $C394, KASA!$B:$B, "MAL SATIŞI") + SUMIFS(KASA!$I:$I, KASA!$C:$C, $C394, KASA!$B:$B, "ÜRETİM ÇIKIŞ")</f>
        <v>0</v>
      </c>
      <c r="G394" s="5">
        <f>SUMIFS(KASA!$I:$I, KASA!$C:$C, $C394, KASA!$B:$B, "MAL İADE")</f>
        <v>0</v>
      </c>
      <c r="H394" s="5">
        <f>SUMIFS(KASA!$K:$K, KASA!$C:$C, $C394, KASA!$B:$B, "MAL İADE") + SUMIFS(KASA!$Q:$Q, KASA!$C:$C, $C394, KASA!$B:$B, "MAL İADE")</f>
        <v>0</v>
      </c>
      <c r="I394" s="5">
        <f t="shared" si="78"/>
        <v>0</v>
      </c>
      <c r="J394" s="5">
        <f t="shared" si="79"/>
        <v>0</v>
      </c>
      <c r="K394" s="5">
        <f>SUMIFS(KASA!$Q:$Q, KASA!$C:$C, $C394, KASA!$B:$B, "MAL SATIŞI") + SUMIFS(KASA!$Q:$Q, KASA!$C:$C, $C394, KASA!$B:$B, "ÜRETİM ÇIKIŞ")</f>
        <v>0</v>
      </c>
      <c r="L394" s="5">
        <f>SUMIFS(KASA!$K:$K, KASA!$C:$C, $C394, KASA!$B:$B, "MAL SATIŞI") + SUMIFS(KASA!$K:$K, KASA!$C:$C, $C394, KASA!$B:$B, "ÜRETİM ÇIKIŞ")</f>
        <v>0</v>
      </c>
      <c r="M394" s="5">
        <f t="shared" si="80"/>
        <v>0</v>
      </c>
      <c r="N394" s="5">
        <f t="shared" si="81"/>
        <v>0</v>
      </c>
      <c r="O394" s="65">
        <f t="shared" si="82"/>
        <v>0</v>
      </c>
      <c r="P394" s="5" t="e">
        <f t="shared" si="83"/>
        <v>#DIV/0!</v>
      </c>
      <c r="Q394" s="5">
        <f t="shared" si="84"/>
        <v>12</v>
      </c>
      <c r="R394" s="5">
        <f t="shared" si="85"/>
        <v>777.59999999999991</v>
      </c>
      <c r="S394" s="5">
        <f t="shared" si="86"/>
        <v>777.59999999999991</v>
      </c>
      <c r="T394">
        <v>12</v>
      </c>
      <c r="U394" s="2">
        <f t="shared" si="87"/>
        <v>0</v>
      </c>
      <c r="V394">
        <f>SUMIF(KASA!$C$2:$C$9980, C394, KASA!$T$2:$T$9980)</f>
        <v>12</v>
      </c>
      <c r="W394">
        <f>SUMIF(KASA!$C$2:$C$9980, C394, KASA!$U$2:$U$9980)</f>
        <v>777.59999999999991</v>
      </c>
      <c r="X394" s="2">
        <f t="shared" si="88"/>
        <v>12</v>
      </c>
      <c r="Y394" s="2">
        <f t="shared" si="89"/>
        <v>777.59999999999991</v>
      </c>
      <c r="Z394">
        <f>SUMIF(KASA!$C$2:$C$9980, C394, KASA!$V$2:$V$9980)</f>
        <v>777.59999999999991</v>
      </c>
      <c r="AA394">
        <f t="shared" si="90"/>
        <v>0</v>
      </c>
    </row>
    <row r="395" spans="3:27" x14ac:dyDescent="0.25">
      <c r="C395" s="4" t="s">
        <v>820</v>
      </c>
      <c r="D395" s="5">
        <f>SUMIFS(KASA!$I:$I, KASA!$C:$C, $C395, KASA!$B:$B, "MAL ALIMI") + SUMIFS(KASA!$I:$I, KASA!$C:$C, $C395, KASA!$B:$B, "ÜRETİM GİRİŞ")</f>
        <v>12</v>
      </c>
      <c r="E395" s="5" cm="1">
        <f t="array" ref="E395">IFERROR(AVERAGE(IF((KASA!$C$2:$C$9980=$C395)*((KASA!$B$2:$B$9980="MAL ALIMI")+(KASA!$B$2:$B$9980="ÜRETİM GİRİŞ")),KASA!$J$2:$J$9980)),0)</f>
        <v>64.8</v>
      </c>
      <c r="F395" s="5">
        <f>SUMIFS(KASA!$I:$I, KASA!$C:$C, $C395, KASA!$B:$B, "MAL SATIŞI") + SUMIFS(KASA!$I:$I, KASA!$C:$C, $C395, KASA!$B:$B, "ÜRETİM ÇIKIŞ")</f>
        <v>2</v>
      </c>
      <c r="G395" s="5">
        <f>SUMIFS(KASA!$I:$I, KASA!$C:$C, $C395, KASA!$B:$B, "MAL İADE")</f>
        <v>0</v>
      </c>
      <c r="H395" s="5">
        <f>SUMIFS(KASA!$K:$K, KASA!$C:$C, $C395, KASA!$B:$B, "MAL İADE") + SUMIFS(KASA!$Q:$Q, KASA!$C:$C, $C395, KASA!$B:$B, "MAL İADE")</f>
        <v>0</v>
      </c>
      <c r="I395" s="5">
        <f t="shared" si="78"/>
        <v>2</v>
      </c>
      <c r="J395" s="5">
        <f t="shared" si="79"/>
        <v>129.6</v>
      </c>
      <c r="K395" s="5">
        <f>SUMIFS(KASA!$Q:$Q, KASA!$C:$C, $C395, KASA!$B:$B, "MAL SATIŞI") + SUMIFS(KASA!$Q:$Q, KASA!$C:$C, $C395, KASA!$B:$B, "ÜRETİM ÇIKIŞ")</f>
        <v>260</v>
      </c>
      <c r="L395" s="5">
        <f>SUMIFS(KASA!$K:$K, KASA!$C:$C, $C395, KASA!$B:$B, "MAL SATIŞI") + SUMIFS(KASA!$K:$K, KASA!$C:$C, $C395, KASA!$B:$B, "ÜRETİM ÇIKIŞ")</f>
        <v>0</v>
      </c>
      <c r="M395" s="5">
        <f t="shared" si="80"/>
        <v>260</v>
      </c>
      <c r="N395" s="5">
        <f t="shared" si="81"/>
        <v>130.4</v>
      </c>
      <c r="O395" s="65">
        <f t="shared" si="82"/>
        <v>1.0061728395061729</v>
      </c>
      <c r="P395" s="5">
        <f t="shared" si="83"/>
        <v>130</v>
      </c>
      <c r="Q395" s="5">
        <f t="shared" si="84"/>
        <v>10</v>
      </c>
      <c r="R395" s="5">
        <f t="shared" si="85"/>
        <v>648</v>
      </c>
      <c r="S395" s="5">
        <f t="shared" si="86"/>
        <v>777.59999999999991</v>
      </c>
      <c r="T395">
        <v>10</v>
      </c>
      <c r="U395" s="2">
        <f t="shared" si="87"/>
        <v>0</v>
      </c>
      <c r="V395">
        <f>SUMIF(KASA!$C$2:$C$9980, C395, KASA!$T$2:$T$9980)</f>
        <v>10</v>
      </c>
      <c r="W395">
        <f>SUMIF(KASA!$C$2:$C$9980, C395, KASA!$U$2:$U$9980)</f>
        <v>648</v>
      </c>
      <c r="X395" s="2">
        <f t="shared" si="88"/>
        <v>10</v>
      </c>
      <c r="Y395" s="2">
        <f t="shared" si="89"/>
        <v>648</v>
      </c>
      <c r="Z395">
        <f>SUMIF(KASA!$C$2:$C$9980, C395, KASA!$V$2:$V$9980)</f>
        <v>777.59999999999991</v>
      </c>
      <c r="AA395">
        <f t="shared" si="90"/>
        <v>129.59999999999991</v>
      </c>
    </row>
    <row r="396" spans="3:27" x14ac:dyDescent="0.25">
      <c r="C396" s="4" t="s">
        <v>821</v>
      </c>
      <c r="D396" s="5">
        <f>SUMIFS(KASA!$I:$I, KASA!$C:$C, $C396, KASA!$B:$B, "MAL ALIMI") + SUMIFS(KASA!$I:$I, KASA!$C:$C, $C396, KASA!$B:$B, "ÜRETİM GİRİŞ")</f>
        <v>12</v>
      </c>
      <c r="E396" s="5" cm="1">
        <f t="array" ref="E396">IFERROR(AVERAGE(IF((KASA!$C$2:$C$9980=$C396)*((KASA!$B$2:$B$9980="MAL ALIMI")+(KASA!$B$2:$B$9980="ÜRETİM GİRİŞ")),KASA!$J$2:$J$9980)),0)</f>
        <v>54.54</v>
      </c>
      <c r="F396" s="5">
        <f>SUMIFS(KASA!$I:$I, KASA!$C:$C, $C396, KASA!$B:$B, "MAL SATIŞI") + SUMIFS(KASA!$I:$I, KASA!$C:$C, $C396, KASA!$B:$B, "ÜRETİM ÇIKIŞ")</f>
        <v>5</v>
      </c>
      <c r="G396" s="5">
        <f>SUMIFS(KASA!$I:$I, KASA!$C:$C, $C396, KASA!$B:$B, "MAL İADE")</f>
        <v>0</v>
      </c>
      <c r="H396" s="5">
        <f>SUMIFS(KASA!$K:$K, KASA!$C:$C, $C396, KASA!$B:$B, "MAL İADE") + SUMIFS(KASA!$Q:$Q, KASA!$C:$C, $C396, KASA!$B:$B, "MAL İADE")</f>
        <v>0</v>
      </c>
      <c r="I396" s="5">
        <f t="shared" si="78"/>
        <v>5</v>
      </c>
      <c r="J396" s="5">
        <f t="shared" si="79"/>
        <v>272.7</v>
      </c>
      <c r="K396" s="5">
        <f>SUMIFS(KASA!$Q:$Q, KASA!$C:$C, $C396, KASA!$B:$B, "MAL SATIŞI") + SUMIFS(KASA!$Q:$Q, KASA!$C:$C, $C396, KASA!$B:$B, "ÜRETİM ÇIKIŞ")</f>
        <v>210</v>
      </c>
      <c r="L396" s="5">
        <f>SUMIFS(KASA!$K:$K, KASA!$C:$C, $C396, KASA!$B:$B, "MAL SATIŞI") + SUMIFS(KASA!$K:$K, KASA!$C:$C, $C396, KASA!$B:$B, "ÜRETİM ÇIKIŞ")</f>
        <v>330</v>
      </c>
      <c r="M396" s="5">
        <f t="shared" si="80"/>
        <v>540</v>
      </c>
      <c r="N396" s="5">
        <f t="shared" si="81"/>
        <v>267.3</v>
      </c>
      <c r="O396" s="65">
        <f t="shared" si="82"/>
        <v>0.98019801980198029</v>
      </c>
      <c r="P396" s="5">
        <f t="shared" si="83"/>
        <v>108</v>
      </c>
      <c r="Q396" s="5">
        <f t="shared" si="84"/>
        <v>7</v>
      </c>
      <c r="R396" s="5">
        <f t="shared" si="85"/>
        <v>381.78</v>
      </c>
      <c r="S396" s="5">
        <f t="shared" si="86"/>
        <v>654.48</v>
      </c>
      <c r="T396">
        <v>8</v>
      </c>
      <c r="U396" s="2">
        <f t="shared" si="87"/>
        <v>-1</v>
      </c>
      <c r="V396">
        <f>SUMIF(KASA!$C$2:$C$9980, C396, KASA!$T$2:$T$9980)</f>
        <v>7</v>
      </c>
      <c r="W396">
        <f>SUMIF(KASA!$C$2:$C$9980, C396, KASA!$U$2:$U$9980)</f>
        <v>381.78</v>
      </c>
      <c r="X396" s="2">
        <f t="shared" si="88"/>
        <v>7</v>
      </c>
      <c r="Y396" s="2">
        <f t="shared" si="89"/>
        <v>381.78</v>
      </c>
      <c r="Z396">
        <f>SUMIF(KASA!$C$2:$C$9980, C396, KASA!$V$2:$V$9980)</f>
        <v>654.48</v>
      </c>
      <c r="AA396">
        <f t="shared" si="90"/>
        <v>272.70000000000005</v>
      </c>
    </row>
    <row r="397" spans="3:27" x14ac:dyDescent="0.25">
      <c r="C397" s="4" t="s">
        <v>822</v>
      </c>
      <c r="D397" s="5">
        <f>SUMIFS(KASA!$I:$I, KASA!$C:$C, $C397, KASA!$B:$B, "MAL ALIMI") + SUMIFS(KASA!$I:$I, KASA!$C:$C, $C397, KASA!$B:$B, "ÜRETİM GİRİŞ")</f>
        <v>36</v>
      </c>
      <c r="E397" s="5" cm="1">
        <f t="array" ref="E397">IFERROR(AVERAGE(IF((KASA!$C$2:$C$9980=$C397)*((KASA!$B$2:$B$9980="MAL ALIMI")+(KASA!$B$2:$B$9980="ÜRETİM GİRİŞ")),KASA!$J$2:$J$9980)),0)</f>
        <v>85.274999999999991</v>
      </c>
      <c r="F397" s="5">
        <f>SUMIFS(KASA!$I:$I, KASA!$C:$C, $C397, KASA!$B:$B, "MAL SATIŞI") + SUMIFS(KASA!$I:$I, KASA!$C:$C, $C397, KASA!$B:$B, "ÜRETİM ÇIKIŞ")</f>
        <v>25</v>
      </c>
      <c r="G397" s="5">
        <f>SUMIFS(KASA!$I:$I, KASA!$C:$C, $C397, KASA!$B:$B, "MAL İADE")</f>
        <v>0</v>
      </c>
      <c r="H397" s="5">
        <f>SUMIFS(KASA!$K:$K, KASA!$C:$C, $C397, KASA!$B:$B, "MAL İADE") + SUMIFS(KASA!$Q:$Q, KASA!$C:$C, $C397, KASA!$B:$B, "MAL İADE")</f>
        <v>0</v>
      </c>
      <c r="I397" s="5">
        <f t="shared" si="78"/>
        <v>25</v>
      </c>
      <c r="J397" s="5">
        <f t="shared" si="79"/>
        <v>2131.875</v>
      </c>
      <c r="K397" s="5">
        <f>SUMIFS(KASA!$Q:$Q, KASA!$C:$C, $C397, KASA!$B:$B, "MAL SATIŞI") + SUMIFS(KASA!$Q:$Q, KASA!$C:$C, $C397, KASA!$B:$B, "ÜRETİM ÇIKIŞ")</f>
        <v>2126</v>
      </c>
      <c r="L397" s="5">
        <f>SUMIFS(KASA!$K:$K, KASA!$C:$C, $C397, KASA!$B:$B, "MAL SATIŞI") + SUMIFS(KASA!$K:$K, KASA!$C:$C, $C397, KASA!$B:$B, "ÜRETİM ÇIKIŞ")</f>
        <v>2000</v>
      </c>
      <c r="M397" s="5">
        <f t="shared" si="80"/>
        <v>4126</v>
      </c>
      <c r="N397" s="5">
        <f t="shared" si="81"/>
        <v>1994.125</v>
      </c>
      <c r="O397" s="65">
        <f t="shared" si="82"/>
        <v>0.93538551744356491</v>
      </c>
      <c r="P397" s="5">
        <f t="shared" si="83"/>
        <v>165.04</v>
      </c>
      <c r="Q397" s="5">
        <f t="shared" si="84"/>
        <v>11</v>
      </c>
      <c r="R397" s="5">
        <f t="shared" si="85"/>
        <v>938.02499999999986</v>
      </c>
      <c r="S397" s="5">
        <f t="shared" si="86"/>
        <v>3069.8999999999996</v>
      </c>
      <c r="T397">
        <v>17</v>
      </c>
      <c r="U397" s="2">
        <f t="shared" si="87"/>
        <v>-6</v>
      </c>
      <c r="V397">
        <f>SUMIF(KASA!$C$2:$C$9980, C397, KASA!$T$2:$T$9980)</f>
        <v>11</v>
      </c>
      <c r="W397">
        <f>SUMIF(KASA!$C$2:$C$9980, C397, KASA!$U$2:$U$9980)</f>
        <v>990</v>
      </c>
      <c r="X397" s="2">
        <f t="shared" si="88"/>
        <v>11</v>
      </c>
      <c r="Y397" s="2">
        <f t="shared" si="89"/>
        <v>990</v>
      </c>
      <c r="Z397">
        <f>SUMIF(KASA!$C$2:$C$9980, C397, KASA!$V$2:$V$9980)</f>
        <v>3069.9</v>
      </c>
      <c r="AA397">
        <f t="shared" si="90"/>
        <v>2079.9</v>
      </c>
    </row>
    <row r="398" spans="3:27" x14ac:dyDescent="0.25">
      <c r="C398" s="4" t="s">
        <v>823</v>
      </c>
      <c r="D398" s="5">
        <f>SUMIFS(KASA!$I:$I, KASA!$C:$C, $C398, KASA!$B:$B, "MAL ALIMI") + SUMIFS(KASA!$I:$I, KASA!$C:$C, $C398, KASA!$B:$B, "ÜRETİM GİRİŞ")</f>
        <v>24</v>
      </c>
      <c r="E398" s="5" cm="1">
        <f t="array" ref="E398">IFERROR(AVERAGE(IF((KASA!$C$2:$C$9980=$C398)*((KASA!$B$2:$B$9980="MAL ALIMI")+(KASA!$B$2:$B$9980="ÜRETİM GİRİŞ")),KASA!$J$2:$J$9980)),0)</f>
        <v>60.3</v>
      </c>
      <c r="F398" s="5">
        <f>SUMIFS(KASA!$I:$I, KASA!$C:$C, $C398, KASA!$B:$B, "MAL SATIŞI") + SUMIFS(KASA!$I:$I, KASA!$C:$C, $C398, KASA!$B:$B, "ÜRETİM ÇIKIŞ")</f>
        <v>9</v>
      </c>
      <c r="G398" s="5">
        <f>SUMIFS(KASA!$I:$I, KASA!$C:$C, $C398, KASA!$B:$B, "MAL İADE")</f>
        <v>0</v>
      </c>
      <c r="H398" s="5">
        <f>SUMIFS(KASA!$K:$K, KASA!$C:$C, $C398, KASA!$B:$B, "MAL İADE") + SUMIFS(KASA!$Q:$Q, KASA!$C:$C, $C398, KASA!$B:$B, "MAL İADE")</f>
        <v>0</v>
      </c>
      <c r="I398" s="5">
        <f t="shared" si="78"/>
        <v>9</v>
      </c>
      <c r="J398" s="5">
        <f t="shared" si="79"/>
        <v>542.69999999999993</v>
      </c>
      <c r="K398" s="5">
        <f>SUMIFS(KASA!$Q:$Q, KASA!$C:$C, $C398, KASA!$B:$B, "MAL SATIŞI") + SUMIFS(KASA!$Q:$Q, KASA!$C:$C, $C398, KASA!$B:$B, "ÜRETİM ÇIKIŞ")</f>
        <v>811</v>
      </c>
      <c r="L398" s="5">
        <f>SUMIFS(KASA!$K:$K, KASA!$C:$C, $C398, KASA!$B:$B, "MAL SATIŞI") + SUMIFS(KASA!$K:$K, KASA!$C:$C, $C398, KASA!$B:$B, "ÜRETİM ÇIKIŞ")</f>
        <v>250</v>
      </c>
      <c r="M398" s="5">
        <f t="shared" si="80"/>
        <v>1061</v>
      </c>
      <c r="N398" s="5">
        <f t="shared" si="81"/>
        <v>518.30000000000007</v>
      </c>
      <c r="O398" s="65">
        <f t="shared" si="82"/>
        <v>0.95503961673115922</v>
      </c>
      <c r="P398" s="5">
        <f t="shared" si="83"/>
        <v>117.88888888888889</v>
      </c>
      <c r="Q398" s="5">
        <f t="shared" si="84"/>
        <v>15</v>
      </c>
      <c r="R398" s="5">
        <f t="shared" si="85"/>
        <v>904.5</v>
      </c>
      <c r="S398" s="5">
        <f t="shared" si="86"/>
        <v>1447.1999999999998</v>
      </c>
      <c r="T398">
        <v>17</v>
      </c>
      <c r="U398" s="2">
        <f t="shared" si="87"/>
        <v>-2</v>
      </c>
      <c r="V398">
        <f>SUMIF(KASA!$C$2:$C$9980, C398, KASA!$T$2:$T$9980)</f>
        <v>15</v>
      </c>
      <c r="W398">
        <f>SUMIF(KASA!$C$2:$C$9980, C398, KASA!$U$2:$U$9980)</f>
        <v>901.8</v>
      </c>
      <c r="X398" s="2">
        <f t="shared" si="88"/>
        <v>15</v>
      </c>
      <c r="Y398" s="2">
        <f t="shared" si="89"/>
        <v>901.8</v>
      </c>
      <c r="Z398">
        <f>SUMIF(KASA!$C$2:$C$9980, C398, KASA!$V$2:$V$9980)</f>
        <v>1447.2</v>
      </c>
      <c r="AA398">
        <f t="shared" si="90"/>
        <v>545.40000000000009</v>
      </c>
    </row>
    <row r="399" spans="3:27" x14ac:dyDescent="0.25">
      <c r="C399" s="4" t="s">
        <v>824</v>
      </c>
      <c r="D399" s="5">
        <f>SUMIFS(KASA!$I:$I, KASA!$C:$C, $C399, KASA!$B:$B, "MAL ALIMI") + SUMIFS(KASA!$I:$I, KASA!$C:$C, $C399, KASA!$B:$B, "ÜRETİM GİRİŞ")</f>
        <v>12</v>
      </c>
      <c r="E399" s="5" cm="1">
        <f t="array" ref="E399">IFERROR(AVERAGE(IF((KASA!$C$2:$C$9980=$C399)*((KASA!$B$2:$B$9980="MAL ALIMI")+(KASA!$B$2:$B$9980="ÜRETİM GİRİŞ")),KASA!$J$2:$J$9980)),0)</f>
        <v>60.6</v>
      </c>
      <c r="F399" s="5">
        <f>SUMIFS(KASA!$I:$I, KASA!$C:$C, $C399, KASA!$B:$B, "MAL SATIŞI") + SUMIFS(KASA!$I:$I, KASA!$C:$C, $C399, KASA!$B:$B, "ÜRETİM ÇIKIŞ")</f>
        <v>6</v>
      </c>
      <c r="G399" s="5">
        <f>SUMIFS(KASA!$I:$I, KASA!$C:$C, $C399, KASA!$B:$B, "MAL İADE")</f>
        <v>0</v>
      </c>
      <c r="H399" s="5">
        <f>SUMIFS(KASA!$K:$K, KASA!$C:$C, $C399, KASA!$B:$B, "MAL İADE") + SUMIFS(KASA!$Q:$Q, KASA!$C:$C, $C399, KASA!$B:$B, "MAL İADE")</f>
        <v>0</v>
      </c>
      <c r="I399" s="5">
        <f t="shared" si="78"/>
        <v>6</v>
      </c>
      <c r="J399" s="5">
        <f t="shared" si="79"/>
        <v>363.6</v>
      </c>
      <c r="K399" s="5">
        <f>SUMIFS(KASA!$Q:$Q, KASA!$C:$C, $C399, KASA!$B:$B, "MAL SATIŞI") + SUMIFS(KASA!$Q:$Q, KASA!$C:$C, $C399, KASA!$B:$B, "ÜRETİM ÇIKIŞ")</f>
        <v>515</v>
      </c>
      <c r="L399" s="5">
        <f>SUMIFS(KASA!$K:$K, KASA!$C:$C, $C399, KASA!$B:$B, "MAL SATIŞI") + SUMIFS(KASA!$K:$K, KASA!$C:$C, $C399, KASA!$B:$B, "ÜRETİM ÇIKIŞ")</f>
        <v>125</v>
      </c>
      <c r="M399" s="5">
        <f t="shared" si="80"/>
        <v>640</v>
      </c>
      <c r="N399" s="5">
        <f t="shared" si="81"/>
        <v>276.39999999999998</v>
      </c>
      <c r="O399" s="65">
        <f t="shared" si="82"/>
        <v>0.76017601760176001</v>
      </c>
      <c r="P399" s="5">
        <f t="shared" si="83"/>
        <v>106.66666666666667</v>
      </c>
      <c r="Q399" s="5">
        <f t="shared" si="84"/>
        <v>6</v>
      </c>
      <c r="R399" s="5">
        <f t="shared" si="85"/>
        <v>363.6</v>
      </c>
      <c r="S399" s="5">
        <f t="shared" si="86"/>
        <v>727.2</v>
      </c>
      <c r="T399">
        <v>9</v>
      </c>
      <c r="U399" s="2">
        <f t="shared" si="87"/>
        <v>-3</v>
      </c>
      <c r="V399">
        <f>SUMIF(KASA!$C$2:$C$9980, C399, KASA!$T$2:$T$9980)</f>
        <v>6</v>
      </c>
      <c r="W399">
        <f>SUMIF(KASA!$C$2:$C$9980, C399, KASA!$U$2:$U$9980)</f>
        <v>363.6</v>
      </c>
      <c r="X399" s="2">
        <f t="shared" si="88"/>
        <v>6</v>
      </c>
      <c r="Y399" s="2">
        <f t="shared" si="89"/>
        <v>363.6</v>
      </c>
      <c r="Z399">
        <f>SUMIF(KASA!$C$2:$C$9980, C399, KASA!$V$2:$V$9980)</f>
        <v>727.2</v>
      </c>
      <c r="AA399">
        <f t="shared" si="90"/>
        <v>363.6</v>
      </c>
    </row>
    <row r="400" spans="3:27" x14ac:dyDescent="0.25">
      <c r="C400" s="4" t="s">
        <v>825</v>
      </c>
      <c r="D400" s="5">
        <f>SUMIFS(KASA!$I:$I, KASA!$C:$C, $C400, KASA!$B:$B, "MAL ALIMI") + SUMIFS(KASA!$I:$I, KASA!$C:$C, $C400, KASA!$B:$B, "ÜRETİM GİRİŞ")</f>
        <v>24</v>
      </c>
      <c r="E400" s="5" cm="1">
        <f t="array" ref="E400">IFERROR(AVERAGE(IF((KASA!$C$2:$C$9980=$C400)*((KASA!$B$2:$B$9980="MAL ALIMI")+(KASA!$B$2:$B$9980="ÜRETİM GİRİŞ")),KASA!$J$2:$J$9980)),0)</f>
        <v>82.5</v>
      </c>
      <c r="F400" s="5">
        <f>SUMIFS(KASA!$I:$I, KASA!$C:$C, $C400, KASA!$B:$B, "MAL SATIŞI") + SUMIFS(KASA!$I:$I, KASA!$C:$C, $C400, KASA!$B:$B, "ÜRETİM ÇIKIŞ")</f>
        <v>8</v>
      </c>
      <c r="G400" s="5">
        <f>SUMIFS(KASA!$I:$I, KASA!$C:$C, $C400, KASA!$B:$B, "MAL İADE")</f>
        <v>0</v>
      </c>
      <c r="H400" s="5">
        <f>SUMIFS(KASA!$K:$K, KASA!$C:$C, $C400, KASA!$B:$B, "MAL İADE") + SUMIFS(KASA!$Q:$Q, KASA!$C:$C, $C400, KASA!$B:$B, "MAL İADE")</f>
        <v>0</v>
      </c>
      <c r="I400" s="5">
        <f t="shared" si="78"/>
        <v>8</v>
      </c>
      <c r="J400" s="5">
        <f t="shared" si="79"/>
        <v>660</v>
      </c>
      <c r="K400" s="5">
        <f>SUMIFS(KASA!$Q:$Q, KASA!$C:$C, $C400, KASA!$B:$B, "MAL SATIŞI") + SUMIFS(KASA!$Q:$Q, KASA!$C:$C, $C400, KASA!$B:$B, "ÜRETİM ÇIKIŞ")</f>
        <v>900</v>
      </c>
      <c r="L400" s="5">
        <f>SUMIFS(KASA!$K:$K, KASA!$C:$C, $C400, KASA!$B:$B, "MAL SATIŞI") + SUMIFS(KASA!$K:$K, KASA!$C:$C, $C400, KASA!$B:$B, "ÜRETİM ÇIKIŞ")</f>
        <v>540</v>
      </c>
      <c r="M400" s="5">
        <f t="shared" si="80"/>
        <v>1440</v>
      </c>
      <c r="N400" s="5">
        <f t="shared" si="81"/>
        <v>780</v>
      </c>
      <c r="O400" s="65">
        <f t="shared" si="82"/>
        <v>1.1818181818181819</v>
      </c>
      <c r="P400" s="5">
        <f t="shared" si="83"/>
        <v>180</v>
      </c>
      <c r="Q400" s="5">
        <f t="shared" si="84"/>
        <v>16</v>
      </c>
      <c r="R400" s="5">
        <f t="shared" si="85"/>
        <v>1320</v>
      </c>
      <c r="S400" s="5">
        <f t="shared" si="86"/>
        <v>1980</v>
      </c>
      <c r="T400">
        <v>17</v>
      </c>
      <c r="U400" s="2">
        <f t="shared" si="87"/>
        <v>-1</v>
      </c>
      <c r="V400">
        <f>SUMIF(KASA!$C$2:$C$9980, C400, KASA!$T$2:$T$9980)</f>
        <v>16</v>
      </c>
      <c r="W400">
        <f>SUMIF(KASA!$C$2:$C$9980, C400, KASA!$U$2:$U$9980)</f>
        <v>1260</v>
      </c>
      <c r="X400" s="2">
        <f t="shared" si="88"/>
        <v>16</v>
      </c>
      <c r="Y400" s="2">
        <f t="shared" si="89"/>
        <v>1260</v>
      </c>
      <c r="Z400">
        <f>SUMIF(KASA!$C$2:$C$9980, C400, KASA!$V$2:$V$9980)</f>
        <v>1980</v>
      </c>
      <c r="AA400">
        <f t="shared" si="90"/>
        <v>720</v>
      </c>
    </row>
    <row r="401" spans="3:27" x14ac:dyDescent="0.25">
      <c r="C401" s="4" t="s">
        <v>826</v>
      </c>
      <c r="D401" s="5">
        <f>SUMIFS(KASA!$I:$I, KASA!$C:$C, $C401, KASA!$B:$B, "MAL ALIMI") + SUMIFS(KASA!$I:$I, KASA!$C:$C, $C401, KASA!$B:$B, "ÜRETİM GİRİŞ")</f>
        <v>24</v>
      </c>
      <c r="E401" s="5" cm="1">
        <f t="array" ref="E401">IFERROR(AVERAGE(IF((KASA!$C$2:$C$9980=$C401)*((KASA!$B$2:$B$9980="MAL ALIMI")+(KASA!$B$2:$B$9980="ÜRETİM GİRİŞ")),KASA!$J$2:$J$9980)),0)</f>
        <v>59.4</v>
      </c>
      <c r="F401" s="5">
        <f>SUMIFS(KASA!$I:$I, KASA!$C:$C, $C401, KASA!$B:$B, "MAL SATIŞI") + SUMIFS(KASA!$I:$I, KASA!$C:$C, $C401, KASA!$B:$B, "ÜRETİM ÇIKIŞ")</f>
        <v>20</v>
      </c>
      <c r="G401" s="5">
        <f>SUMIFS(KASA!$I:$I, KASA!$C:$C, $C401, KASA!$B:$B, "MAL İADE")</f>
        <v>0</v>
      </c>
      <c r="H401" s="5">
        <f>SUMIFS(KASA!$K:$K, KASA!$C:$C, $C401, KASA!$B:$B, "MAL İADE") + SUMIFS(KASA!$Q:$Q, KASA!$C:$C, $C401, KASA!$B:$B, "MAL İADE")</f>
        <v>0</v>
      </c>
      <c r="I401" s="5">
        <f t="shared" si="78"/>
        <v>20</v>
      </c>
      <c r="J401" s="5">
        <f t="shared" si="79"/>
        <v>1188</v>
      </c>
      <c r="K401" s="5">
        <f>SUMIFS(KASA!$Q:$Q, KASA!$C:$C, $C401, KASA!$B:$B, "MAL SATIŞI") + SUMIFS(KASA!$Q:$Q, KASA!$C:$C, $C401, KASA!$B:$B, "ÜRETİM ÇIKIŞ")</f>
        <v>1420</v>
      </c>
      <c r="L401" s="5">
        <f>SUMIFS(KASA!$K:$K, KASA!$C:$C, $C401, KASA!$B:$B, "MAL SATIŞI") + SUMIFS(KASA!$K:$K, KASA!$C:$C, $C401, KASA!$B:$B, "ÜRETİM ÇIKIŞ")</f>
        <v>1190</v>
      </c>
      <c r="M401" s="5">
        <f t="shared" si="80"/>
        <v>2610</v>
      </c>
      <c r="N401" s="5">
        <f t="shared" si="81"/>
        <v>1422</v>
      </c>
      <c r="O401" s="65">
        <f t="shared" si="82"/>
        <v>1.196969696969697</v>
      </c>
      <c r="P401" s="5">
        <f t="shared" si="83"/>
        <v>130.5</v>
      </c>
      <c r="Q401" s="5">
        <f t="shared" si="84"/>
        <v>4</v>
      </c>
      <c r="R401" s="5">
        <f t="shared" si="85"/>
        <v>237.6</v>
      </c>
      <c r="S401" s="5">
        <f t="shared" si="86"/>
        <v>1425.6</v>
      </c>
      <c r="T401">
        <v>13</v>
      </c>
      <c r="U401" s="2">
        <f t="shared" si="87"/>
        <v>-9</v>
      </c>
      <c r="V401">
        <f>SUMIF(KASA!$C$2:$C$9980, C401, KASA!$T$2:$T$9980)</f>
        <v>4</v>
      </c>
      <c r="W401">
        <f>SUMIF(KASA!$C$2:$C$9980, C401, KASA!$U$2:$U$9980)</f>
        <v>216</v>
      </c>
      <c r="X401" s="2">
        <f t="shared" si="88"/>
        <v>4</v>
      </c>
      <c r="Y401" s="2">
        <f t="shared" si="89"/>
        <v>216</v>
      </c>
      <c r="Z401">
        <f>SUMIF(KASA!$C$2:$C$9980, C401, KASA!$V$2:$V$9980)</f>
        <v>1425.6</v>
      </c>
      <c r="AA401">
        <f t="shared" si="90"/>
        <v>1209.5999999999999</v>
      </c>
    </row>
    <row r="402" spans="3:27" x14ac:dyDescent="0.25">
      <c r="C402" s="4" t="s">
        <v>827</v>
      </c>
      <c r="D402" s="5">
        <f>SUMIFS(KASA!$I:$I, KASA!$C:$C, $C402, KASA!$B:$B, "MAL ALIMI") + SUMIFS(KASA!$I:$I, KASA!$C:$C, $C402, KASA!$B:$B, "ÜRETİM GİRİŞ")</f>
        <v>12</v>
      </c>
      <c r="E402" s="5" cm="1">
        <f t="array" ref="E402">IFERROR(AVERAGE(IF((KASA!$C$2:$C$9980=$C402)*((KASA!$B$2:$B$9980="MAL ALIMI")+(KASA!$B$2:$B$9980="ÜRETİM GİRİŞ")),KASA!$J$2:$J$9980)),0)</f>
        <v>64.8</v>
      </c>
      <c r="F402" s="5">
        <f>SUMIFS(KASA!$I:$I, KASA!$C:$C, $C402, KASA!$B:$B, "MAL SATIŞI") + SUMIFS(KASA!$I:$I, KASA!$C:$C, $C402, KASA!$B:$B, "ÜRETİM ÇIKIŞ")</f>
        <v>9</v>
      </c>
      <c r="G402" s="5">
        <f>SUMIFS(KASA!$I:$I, KASA!$C:$C, $C402, KASA!$B:$B, "MAL İADE")</f>
        <v>0</v>
      </c>
      <c r="H402" s="5">
        <f>SUMIFS(KASA!$K:$K, KASA!$C:$C, $C402, KASA!$B:$B, "MAL İADE") + SUMIFS(KASA!$Q:$Q, KASA!$C:$C, $C402, KASA!$B:$B, "MAL İADE")</f>
        <v>0</v>
      </c>
      <c r="I402" s="5">
        <f t="shared" si="78"/>
        <v>9</v>
      </c>
      <c r="J402" s="5">
        <f t="shared" si="79"/>
        <v>583.19999999999993</v>
      </c>
      <c r="K402" s="5">
        <f>SUMIFS(KASA!$Q:$Q, KASA!$C:$C, $C402, KASA!$B:$B, "MAL SATIŞI") + SUMIFS(KASA!$Q:$Q, KASA!$C:$C, $C402, KASA!$B:$B, "ÜRETİM ÇIKIŞ")</f>
        <v>490</v>
      </c>
      <c r="L402" s="5">
        <f>SUMIFS(KASA!$K:$K, KASA!$C:$C, $C402, KASA!$B:$B, "MAL SATIŞI") + SUMIFS(KASA!$K:$K, KASA!$C:$C, $C402, KASA!$B:$B, "ÜRETİM ÇIKIŞ")</f>
        <v>650</v>
      </c>
      <c r="M402" s="5">
        <f t="shared" si="80"/>
        <v>1140</v>
      </c>
      <c r="N402" s="5">
        <f t="shared" si="81"/>
        <v>556.80000000000007</v>
      </c>
      <c r="O402" s="65">
        <f t="shared" si="82"/>
        <v>0.95473251028806605</v>
      </c>
      <c r="P402" s="5">
        <f t="shared" si="83"/>
        <v>126.66666666666667</v>
      </c>
      <c r="Q402" s="5">
        <f t="shared" si="84"/>
        <v>3</v>
      </c>
      <c r="R402" s="5">
        <f t="shared" si="85"/>
        <v>194.39999999999998</v>
      </c>
      <c r="S402" s="5">
        <f t="shared" si="86"/>
        <v>777.59999999999991</v>
      </c>
      <c r="T402">
        <v>7</v>
      </c>
      <c r="U402" s="2">
        <f t="shared" si="87"/>
        <v>-4</v>
      </c>
      <c r="V402">
        <f>SUMIF(KASA!$C$2:$C$9980, C402, KASA!$T$2:$T$9980)</f>
        <v>3</v>
      </c>
      <c r="W402">
        <f>SUMIF(KASA!$C$2:$C$9980, C402, KASA!$U$2:$U$9980)</f>
        <v>194.39999999999998</v>
      </c>
      <c r="X402" s="2">
        <f t="shared" si="88"/>
        <v>3</v>
      </c>
      <c r="Y402" s="2">
        <f t="shared" si="89"/>
        <v>194.39999999999998</v>
      </c>
      <c r="Z402">
        <f>SUMIF(KASA!$C$2:$C$9980, C402, KASA!$V$2:$V$9980)</f>
        <v>777.59999999999991</v>
      </c>
      <c r="AA402">
        <f t="shared" si="90"/>
        <v>583.19999999999993</v>
      </c>
    </row>
    <row r="403" spans="3:27" x14ac:dyDescent="0.25">
      <c r="C403" s="4" t="s">
        <v>828</v>
      </c>
      <c r="D403" s="5">
        <f>SUMIFS(KASA!$I:$I, KASA!$C:$C, $C403, KASA!$B:$B, "MAL ALIMI") + SUMIFS(KASA!$I:$I, KASA!$C:$C, $C403, KASA!$B:$B, "ÜRETİM GİRİŞ")</f>
        <v>24</v>
      </c>
      <c r="E403" s="5" cm="1">
        <f t="array" ref="E403">IFERROR(AVERAGE(IF((KASA!$C$2:$C$9980=$C403)*((KASA!$B$2:$B$9980="MAL ALIMI")+(KASA!$B$2:$B$9980="ÜRETİM GİRİŞ")),KASA!$J$2:$J$9980)),0)</f>
        <v>66</v>
      </c>
      <c r="F403" s="5">
        <f>SUMIFS(KASA!$I:$I, KASA!$C:$C, $C403, KASA!$B:$B, "MAL SATIŞI") + SUMIFS(KASA!$I:$I, KASA!$C:$C, $C403, KASA!$B:$B, "ÜRETİM ÇIKIŞ")</f>
        <v>12</v>
      </c>
      <c r="G403" s="5">
        <f>SUMIFS(KASA!$I:$I, KASA!$C:$C, $C403, KASA!$B:$B, "MAL İADE")</f>
        <v>0</v>
      </c>
      <c r="H403" s="5">
        <f>SUMIFS(KASA!$K:$K, KASA!$C:$C, $C403, KASA!$B:$B, "MAL İADE") + SUMIFS(KASA!$Q:$Q, KASA!$C:$C, $C403, KASA!$B:$B, "MAL İADE")</f>
        <v>0</v>
      </c>
      <c r="I403" s="5">
        <f t="shared" si="78"/>
        <v>12</v>
      </c>
      <c r="J403" s="5">
        <f t="shared" si="79"/>
        <v>792</v>
      </c>
      <c r="K403" s="5">
        <f>SUMIFS(KASA!$Q:$Q, KASA!$C:$C, $C403, KASA!$B:$B, "MAL SATIŞI") + SUMIFS(KASA!$Q:$Q, KASA!$C:$C, $C403, KASA!$B:$B, "ÜRETİM ÇIKIŞ")</f>
        <v>886</v>
      </c>
      <c r="L403" s="5">
        <f>SUMIFS(KASA!$K:$K, KASA!$C:$C, $C403, KASA!$B:$B, "MAL SATIŞI") + SUMIFS(KASA!$K:$K, KASA!$C:$C, $C403, KASA!$B:$B, "ÜRETİM ÇIKIŞ")</f>
        <v>690</v>
      </c>
      <c r="M403" s="5">
        <f t="shared" si="80"/>
        <v>1576</v>
      </c>
      <c r="N403" s="5">
        <f t="shared" si="81"/>
        <v>784</v>
      </c>
      <c r="O403" s="65">
        <f t="shared" si="82"/>
        <v>0.98989898989898994</v>
      </c>
      <c r="P403" s="5">
        <f t="shared" si="83"/>
        <v>131.33333333333334</v>
      </c>
      <c r="Q403" s="5">
        <f t="shared" si="84"/>
        <v>12</v>
      </c>
      <c r="R403" s="5">
        <f t="shared" si="85"/>
        <v>792</v>
      </c>
      <c r="S403" s="5">
        <f t="shared" si="86"/>
        <v>1584</v>
      </c>
      <c r="T403">
        <v>17</v>
      </c>
      <c r="U403" s="2">
        <f t="shared" si="87"/>
        <v>-5</v>
      </c>
      <c r="V403">
        <f>SUMIF(KASA!$C$2:$C$9980, C403, KASA!$T$2:$T$9980)</f>
        <v>12</v>
      </c>
      <c r="W403">
        <f>SUMIF(KASA!$C$2:$C$9980, C403, KASA!$U$2:$U$9980)</f>
        <v>720</v>
      </c>
      <c r="X403" s="2">
        <f t="shared" si="88"/>
        <v>12</v>
      </c>
      <c r="Y403" s="2">
        <f t="shared" si="89"/>
        <v>720</v>
      </c>
      <c r="Z403">
        <f>SUMIF(KASA!$C$2:$C$9980, C403, KASA!$V$2:$V$9980)</f>
        <v>1584</v>
      </c>
      <c r="AA403">
        <f t="shared" si="90"/>
        <v>864</v>
      </c>
    </row>
    <row r="404" spans="3:27" x14ac:dyDescent="0.25">
      <c r="C404" s="4" t="s">
        <v>829</v>
      </c>
      <c r="D404" s="5">
        <f>SUMIFS(KASA!$I:$I, KASA!$C:$C, $C404, KASA!$B:$B, "MAL ALIMI") + SUMIFS(KASA!$I:$I, KASA!$C:$C, $C404, KASA!$B:$B, "ÜRETİM GİRİŞ")</f>
        <v>12</v>
      </c>
      <c r="E404" s="5" cm="1">
        <f t="array" ref="E404">IFERROR(AVERAGE(IF((KASA!$C$2:$C$9980=$C404)*((KASA!$B$2:$B$9980="MAL ALIMI")+(KASA!$B$2:$B$9980="ÜRETİM GİRİŞ")),KASA!$J$2:$J$9980)),0)</f>
        <v>72</v>
      </c>
      <c r="F404" s="5">
        <f>SUMIFS(KASA!$I:$I, KASA!$C:$C, $C404, KASA!$B:$B, "MAL SATIŞI") + SUMIFS(KASA!$I:$I, KASA!$C:$C, $C404, KASA!$B:$B, "ÜRETİM ÇIKIŞ")</f>
        <v>12</v>
      </c>
      <c r="G404" s="5">
        <f>SUMIFS(KASA!$I:$I, KASA!$C:$C, $C404, KASA!$B:$B, "MAL İADE")</f>
        <v>0</v>
      </c>
      <c r="H404" s="5">
        <f>SUMIFS(KASA!$K:$K, KASA!$C:$C, $C404, KASA!$B:$B, "MAL İADE") + SUMIFS(KASA!$Q:$Q, KASA!$C:$C, $C404, KASA!$B:$B, "MAL İADE")</f>
        <v>0</v>
      </c>
      <c r="I404" s="5">
        <f t="shared" si="78"/>
        <v>12</v>
      </c>
      <c r="J404" s="5">
        <f t="shared" si="79"/>
        <v>864</v>
      </c>
      <c r="K404" s="5">
        <f>SUMIFS(KASA!$Q:$Q, KASA!$C:$C, $C404, KASA!$B:$B, "MAL SATIŞI") + SUMIFS(KASA!$Q:$Q, KASA!$C:$C, $C404, KASA!$B:$B, "ÜRETİM ÇIKIŞ")</f>
        <v>720</v>
      </c>
      <c r="L404" s="5">
        <f>SUMIFS(KASA!$K:$K, KASA!$C:$C, $C404, KASA!$B:$B, "MAL SATIŞI") + SUMIFS(KASA!$K:$K, KASA!$C:$C, $C404, KASA!$B:$B, "ÜRETİM ÇIKIŞ")</f>
        <v>1015</v>
      </c>
      <c r="M404" s="5">
        <f t="shared" si="80"/>
        <v>1735</v>
      </c>
      <c r="N404" s="5">
        <f t="shared" si="81"/>
        <v>871</v>
      </c>
      <c r="O404" s="65">
        <f t="shared" si="82"/>
        <v>1.0081018518518519</v>
      </c>
      <c r="P404" s="5">
        <f t="shared" si="83"/>
        <v>144.58333333333334</v>
      </c>
      <c r="Q404" s="5">
        <f t="shared" si="84"/>
        <v>0</v>
      </c>
      <c r="R404" s="5">
        <f t="shared" si="85"/>
        <v>0</v>
      </c>
      <c r="S404" s="5">
        <f t="shared" si="86"/>
        <v>864</v>
      </c>
      <c r="T404">
        <v>6</v>
      </c>
      <c r="U404" s="2">
        <f t="shared" si="87"/>
        <v>-6</v>
      </c>
      <c r="V404">
        <f>SUMIF(KASA!$C$2:$C$9980, C404, KASA!$T$2:$T$9980)</f>
        <v>0</v>
      </c>
      <c r="W404">
        <f>SUMIF(KASA!$C$2:$C$9980, C404, KASA!$U$2:$U$9980)</f>
        <v>0</v>
      </c>
      <c r="X404" s="2">
        <f t="shared" si="88"/>
        <v>0</v>
      </c>
      <c r="Y404" s="2">
        <f t="shared" si="89"/>
        <v>0</v>
      </c>
      <c r="Z404">
        <f>SUMIF(KASA!$C$2:$C$9980, C404, KASA!$V$2:$V$9980)</f>
        <v>864</v>
      </c>
      <c r="AA404">
        <f t="shared" si="90"/>
        <v>864</v>
      </c>
    </row>
    <row r="405" spans="3:27" x14ac:dyDescent="0.25">
      <c r="C405" s="4" t="s">
        <v>830</v>
      </c>
      <c r="D405" s="5">
        <f>SUMIFS(KASA!$I:$I, KASA!$C:$C, $C405, KASA!$B:$B, "MAL ALIMI") + SUMIFS(KASA!$I:$I, KASA!$C:$C, $C405, KASA!$B:$B, "ÜRETİM GİRİŞ")</f>
        <v>12</v>
      </c>
      <c r="E405" s="5" cm="1">
        <f t="array" ref="E405">IFERROR(AVERAGE(IF((KASA!$C$2:$C$9980=$C405)*((KASA!$B$2:$B$9980="MAL ALIMI")+(KASA!$B$2:$B$9980="ÜRETİM GİRİŞ")),KASA!$J$2:$J$9980)),0)</f>
        <v>64.8</v>
      </c>
      <c r="F405" s="5">
        <f>SUMIFS(KASA!$I:$I, KASA!$C:$C, $C405, KASA!$B:$B, "MAL SATIŞI") + SUMIFS(KASA!$I:$I, KASA!$C:$C, $C405, KASA!$B:$B, "ÜRETİM ÇIKIŞ")</f>
        <v>5</v>
      </c>
      <c r="G405" s="5">
        <f>SUMIFS(KASA!$I:$I, KASA!$C:$C, $C405, KASA!$B:$B, "MAL İADE")</f>
        <v>0</v>
      </c>
      <c r="H405" s="5">
        <f>SUMIFS(KASA!$K:$K, KASA!$C:$C, $C405, KASA!$B:$B, "MAL İADE") + SUMIFS(KASA!$Q:$Q, KASA!$C:$C, $C405, KASA!$B:$B, "MAL İADE")</f>
        <v>0</v>
      </c>
      <c r="I405" s="5">
        <f t="shared" si="78"/>
        <v>5</v>
      </c>
      <c r="J405" s="5">
        <f t="shared" si="79"/>
        <v>324</v>
      </c>
      <c r="K405" s="5">
        <f>SUMIFS(KASA!$Q:$Q, KASA!$C:$C, $C405, KASA!$B:$B, "MAL SATIŞI") + SUMIFS(KASA!$Q:$Q, KASA!$C:$C, $C405, KASA!$B:$B, "ÜRETİM ÇIKIŞ")</f>
        <v>130</v>
      </c>
      <c r="L405" s="5">
        <f>SUMIFS(KASA!$K:$K, KASA!$C:$C, $C405, KASA!$B:$B, "MAL SATIŞI") + SUMIFS(KASA!$K:$K, KASA!$C:$C, $C405, KASA!$B:$B, "ÜRETİM ÇIKIŞ")</f>
        <v>490</v>
      </c>
      <c r="M405" s="5">
        <f t="shared" si="80"/>
        <v>620</v>
      </c>
      <c r="N405" s="5">
        <f t="shared" si="81"/>
        <v>296</v>
      </c>
      <c r="O405" s="65">
        <f t="shared" si="82"/>
        <v>0.9135802469135802</v>
      </c>
      <c r="P405" s="5">
        <f t="shared" si="83"/>
        <v>124</v>
      </c>
      <c r="Q405" s="5">
        <f t="shared" si="84"/>
        <v>7</v>
      </c>
      <c r="R405" s="5">
        <f t="shared" si="85"/>
        <v>453.59999999999997</v>
      </c>
      <c r="S405" s="5">
        <f t="shared" si="86"/>
        <v>777.59999999999991</v>
      </c>
      <c r="T405">
        <v>10</v>
      </c>
      <c r="U405" s="2">
        <f t="shared" si="87"/>
        <v>-3</v>
      </c>
      <c r="V405">
        <f>SUMIF(KASA!$C$2:$C$9980, C405, KASA!$T$2:$T$9980)</f>
        <v>7</v>
      </c>
      <c r="W405">
        <f>SUMIF(KASA!$C$2:$C$9980, C405, KASA!$U$2:$U$9980)</f>
        <v>453.59999999999997</v>
      </c>
      <c r="X405" s="2">
        <f t="shared" si="88"/>
        <v>7</v>
      </c>
      <c r="Y405" s="2">
        <f t="shared" si="89"/>
        <v>453.59999999999997</v>
      </c>
      <c r="Z405">
        <f>SUMIF(KASA!$C$2:$C$9980, C405, KASA!$V$2:$V$9980)</f>
        <v>777.59999999999991</v>
      </c>
      <c r="AA405">
        <f t="shared" si="90"/>
        <v>323.99999999999994</v>
      </c>
    </row>
    <row r="406" spans="3:27" x14ac:dyDescent="0.25">
      <c r="C406" s="4" t="s">
        <v>831</v>
      </c>
      <c r="D406" s="5">
        <f>SUMIFS(KASA!$I:$I, KASA!$C:$C, $C406, KASA!$B:$B, "MAL ALIMI") + SUMIFS(KASA!$I:$I, KASA!$C:$C, $C406, KASA!$B:$B, "ÜRETİM GİRİŞ")</f>
        <v>12</v>
      </c>
      <c r="E406" s="5" cm="1">
        <f t="array" ref="E406">IFERROR(AVERAGE(IF((KASA!$C$2:$C$9980=$C406)*((KASA!$B$2:$B$9980="MAL ALIMI")+(KASA!$B$2:$B$9980="ÜRETİM GİRİŞ")),KASA!$J$2:$J$9980)),0)</f>
        <v>72</v>
      </c>
      <c r="F406" s="5">
        <f>SUMIFS(KASA!$I:$I, KASA!$C:$C, $C406, KASA!$B:$B, "MAL SATIŞI") + SUMIFS(KASA!$I:$I, KASA!$C:$C, $C406, KASA!$B:$B, "ÜRETİM ÇIKIŞ")</f>
        <v>2</v>
      </c>
      <c r="G406" s="5">
        <f>SUMIFS(KASA!$I:$I, KASA!$C:$C, $C406, KASA!$B:$B, "MAL İADE")</f>
        <v>0</v>
      </c>
      <c r="H406" s="5">
        <f>SUMIFS(KASA!$K:$K, KASA!$C:$C, $C406, KASA!$B:$B, "MAL İADE") + SUMIFS(KASA!$Q:$Q, KASA!$C:$C, $C406, KASA!$B:$B, "MAL İADE")</f>
        <v>0</v>
      </c>
      <c r="I406" s="5">
        <f t="shared" si="78"/>
        <v>2</v>
      </c>
      <c r="J406" s="5">
        <f t="shared" si="79"/>
        <v>144</v>
      </c>
      <c r="K406" s="5">
        <f>SUMIFS(KASA!$Q:$Q, KASA!$C:$C, $C406, KASA!$B:$B, "MAL SATIŞI") + SUMIFS(KASA!$Q:$Q, KASA!$C:$C, $C406, KASA!$B:$B, "ÜRETİM ÇIKIŞ")</f>
        <v>0</v>
      </c>
      <c r="L406" s="5">
        <f>SUMIFS(KASA!$K:$K, KASA!$C:$C, $C406, KASA!$B:$B, "MAL SATIŞI") + SUMIFS(KASA!$K:$K, KASA!$C:$C, $C406, KASA!$B:$B, "ÜRETİM ÇIKIŞ")</f>
        <v>290</v>
      </c>
      <c r="M406" s="5">
        <f t="shared" si="80"/>
        <v>290</v>
      </c>
      <c r="N406" s="5">
        <f t="shared" si="81"/>
        <v>146</v>
      </c>
      <c r="O406" s="65">
        <f t="shared" si="82"/>
        <v>1.0138888888888888</v>
      </c>
      <c r="P406" s="5">
        <f t="shared" si="83"/>
        <v>145</v>
      </c>
      <c r="Q406" s="5">
        <f t="shared" si="84"/>
        <v>10</v>
      </c>
      <c r="R406" s="5">
        <f t="shared" si="85"/>
        <v>720</v>
      </c>
      <c r="S406" s="5">
        <f t="shared" si="86"/>
        <v>864</v>
      </c>
      <c r="T406">
        <v>12</v>
      </c>
      <c r="U406" s="2">
        <f t="shared" si="87"/>
        <v>-2</v>
      </c>
      <c r="V406">
        <f>SUMIF(KASA!$C$2:$C$9980, C406, KASA!$T$2:$T$9980)</f>
        <v>10</v>
      </c>
      <c r="W406">
        <f>SUMIF(KASA!$C$2:$C$9980, C406, KASA!$U$2:$U$9980)</f>
        <v>720</v>
      </c>
      <c r="X406" s="2">
        <f t="shared" si="88"/>
        <v>10</v>
      </c>
      <c r="Y406" s="2">
        <f t="shared" si="89"/>
        <v>720</v>
      </c>
      <c r="Z406">
        <f>SUMIF(KASA!$C$2:$C$9980, C406, KASA!$V$2:$V$9980)</f>
        <v>864</v>
      </c>
      <c r="AA406">
        <f t="shared" si="90"/>
        <v>144</v>
      </c>
    </row>
    <row r="407" spans="3:27" x14ac:dyDescent="0.25">
      <c r="C407" s="4" t="s">
        <v>832</v>
      </c>
      <c r="D407" s="5">
        <f>SUMIFS(KASA!$I:$I, KASA!$C:$C, $C407, KASA!$B:$B, "MAL ALIMI") + SUMIFS(KASA!$I:$I, KASA!$C:$C, $C407, KASA!$B:$B, "ÜRETİM GİRİŞ")</f>
        <v>12</v>
      </c>
      <c r="E407" s="5" cm="1">
        <f t="array" ref="E407">IFERROR(AVERAGE(IF((KASA!$C$2:$C$9980=$C407)*((KASA!$B$2:$B$9980="MAL ALIMI")+(KASA!$B$2:$B$9980="ÜRETİM GİRİŞ")),KASA!$J$2:$J$9980)),0)</f>
        <v>72</v>
      </c>
      <c r="F407" s="5">
        <f>SUMIFS(KASA!$I:$I, KASA!$C:$C, $C407, KASA!$B:$B, "MAL SATIŞI") + SUMIFS(KASA!$I:$I, KASA!$C:$C, $C407, KASA!$B:$B, "ÜRETİM ÇIKIŞ")</f>
        <v>2</v>
      </c>
      <c r="G407" s="5">
        <f>SUMIFS(KASA!$I:$I, KASA!$C:$C, $C407, KASA!$B:$B, "MAL İADE")</f>
        <v>0</v>
      </c>
      <c r="H407" s="5">
        <f>SUMIFS(KASA!$K:$K, KASA!$C:$C, $C407, KASA!$B:$B, "MAL İADE") + SUMIFS(KASA!$Q:$Q, KASA!$C:$C, $C407, KASA!$B:$B, "MAL İADE")</f>
        <v>0</v>
      </c>
      <c r="I407" s="5">
        <f t="shared" si="78"/>
        <v>2</v>
      </c>
      <c r="J407" s="5">
        <f t="shared" si="79"/>
        <v>144</v>
      </c>
      <c r="K407" s="5">
        <f>SUMIFS(KASA!$Q:$Q, KASA!$C:$C, $C407, KASA!$B:$B, "MAL SATIŞI") + SUMIFS(KASA!$Q:$Q, KASA!$C:$C, $C407, KASA!$B:$B, "ÜRETİM ÇIKIŞ")</f>
        <v>0</v>
      </c>
      <c r="L407" s="5">
        <f>SUMIFS(KASA!$K:$K, KASA!$C:$C, $C407, KASA!$B:$B, "MAL SATIŞI") + SUMIFS(KASA!$K:$K, KASA!$C:$C, $C407, KASA!$B:$B, "ÜRETİM ÇIKIŞ")</f>
        <v>290</v>
      </c>
      <c r="M407" s="5">
        <f t="shared" si="80"/>
        <v>290</v>
      </c>
      <c r="N407" s="5">
        <f t="shared" si="81"/>
        <v>146</v>
      </c>
      <c r="O407" s="65">
        <f t="shared" si="82"/>
        <v>1.0138888888888888</v>
      </c>
      <c r="P407" s="5">
        <f t="shared" si="83"/>
        <v>145</v>
      </c>
      <c r="Q407" s="5">
        <f t="shared" si="84"/>
        <v>10</v>
      </c>
      <c r="R407" s="5">
        <f t="shared" si="85"/>
        <v>720</v>
      </c>
      <c r="S407" s="5">
        <f t="shared" si="86"/>
        <v>864</v>
      </c>
      <c r="T407">
        <v>10</v>
      </c>
      <c r="U407" s="2">
        <f t="shared" si="87"/>
        <v>0</v>
      </c>
      <c r="V407">
        <f>SUMIF(KASA!$C$2:$C$9980, C407, KASA!$T$2:$T$9980)</f>
        <v>10</v>
      </c>
      <c r="W407">
        <f>SUMIF(KASA!$C$2:$C$9980, C407, KASA!$U$2:$U$9980)</f>
        <v>720</v>
      </c>
      <c r="X407" s="2">
        <f t="shared" si="88"/>
        <v>10</v>
      </c>
      <c r="Y407" s="2">
        <f t="shared" si="89"/>
        <v>720</v>
      </c>
      <c r="Z407">
        <f>SUMIF(KASA!$C$2:$C$9980, C407, KASA!$V$2:$V$9980)</f>
        <v>864</v>
      </c>
      <c r="AA407">
        <f t="shared" si="90"/>
        <v>144</v>
      </c>
    </row>
    <row r="408" spans="3:27" x14ac:dyDescent="0.25">
      <c r="C408" s="4" t="s">
        <v>833</v>
      </c>
      <c r="D408" s="5">
        <f>SUMIFS(KASA!$I:$I, KASA!$C:$C, $C408, KASA!$B:$B, "MAL ALIMI") + SUMIFS(KASA!$I:$I, KASA!$C:$C, $C408, KASA!$B:$B, "ÜRETİM GİRİŞ")</f>
        <v>12</v>
      </c>
      <c r="E408" s="5" cm="1">
        <f t="array" ref="E408">IFERROR(AVERAGE(IF((KASA!$C$2:$C$9980=$C408)*((KASA!$B$2:$B$9980="MAL ALIMI")+(KASA!$B$2:$B$9980="ÜRETİM GİRİŞ")),KASA!$J$2:$J$9980)),0)</f>
        <v>86.4</v>
      </c>
      <c r="F408" s="5">
        <f>SUMIFS(KASA!$I:$I, KASA!$C:$C, $C408, KASA!$B:$B, "MAL SATIŞI") + SUMIFS(KASA!$I:$I, KASA!$C:$C, $C408, KASA!$B:$B, "ÜRETİM ÇIKIŞ")</f>
        <v>2</v>
      </c>
      <c r="G408" s="5">
        <f>SUMIFS(KASA!$I:$I, KASA!$C:$C, $C408, KASA!$B:$B, "MAL İADE")</f>
        <v>0</v>
      </c>
      <c r="H408" s="5">
        <f>SUMIFS(KASA!$K:$K, KASA!$C:$C, $C408, KASA!$B:$B, "MAL İADE") + SUMIFS(KASA!$Q:$Q, KASA!$C:$C, $C408, KASA!$B:$B, "MAL İADE")</f>
        <v>0</v>
      </c>
      <c r="I408" s="5">
        <f t="shared" si="78"/>
        <v>2</v>
      </c>
      <c r="J408" s="5">
        <f t="shared" si="79"/>
        <v>172.8</v>
      </c>
      <c r="K408" s="5">
        <f>SUMIFS(KASA!$Q:$Q, KASA!$C:$C, $C408, KASA!$B:$B, "MAL SATIŞI") + SUMIFS(KASA!$Q:$Q, KASA!$C:$C, $C408, KASA!$B:$B, "ÜRETİM ÇIKIŞ")</f>
        <v>175</v>
      </c>
      <c r="L408" s="5">
        <f>SUMIFS(KASA!$K:$K, KASA!$C:$C, $C408, KASA!$B:$B, "MAL SATIŞI") + SUMIFS(KASA!$K:$K, KASA!$C:$C, $C408, KASA!$B:$B, "ÜRETİM ÇIKIŞ")</f>
        <v>175</v>
      </c>
      <c r="M408" s="5">
        <f t="shared" si="80"/>
        <v>350</v>
      </c>
      <c r="N408" s="5">
        <f t="shared" si="81"/>
        <v>177.2</v>
      </c>
      <c r="O408" s="65">
        <f t="shared" si="82"/>
        <v>1.0254629629629628</v>
      </c>
      <c r="P408" s="5">
        <f t="shared" si="83"/>
        <v>175</v>
      </c>
      <c r="Q408" s="5">
        <f t="shared" si="84"/>
        <v>10</v>
      </c>
      <c r="R408" s="5">
        <f t="shared" si="85"/>
        <v>864</v>
      </c>
      <c r="S408" s="5">
        <f t="shared" si="86"/>
        <v>1036.8000000000002</v>
      </c>
      <c r="T408">
        <v>11</v>
      </c>
      <c r="U408" s="2">
        <f t="shared" si="87"/>
        <v>-1</v>
      </c>
      <c r="V408">
        <f>SUMIF(KASA!$C$2:$C$9980, C408, KASA!$T$2:$T$9980)</f>
        <v>10</v>
      </c>
      <c r="W408">
        <f>SUMIF(KASA!$C$2:$C$9980, C408, KASA!$U$2:$U$9980)</f>
        <v>864</v>
      </c>
      <c r="X408" s="2">
        <f t="shared" si="88"/>
        <v>10</v>
      </c>
      <c r="Y408" s="2">
        <f t="shared" si="89"/>
        <v>864</v>
      </c>
      <c r="Z408">
        <f>SUMIF(KASA!$C$2:$C$9980, C408, KASA!$V$2:$V$9980)</f>
        <v>1036.8000000000002</v>
      </c>
      <c r="AA408">
        <f t="shared" si="90"/>
        <v>172.80000000000018</v>
      </c>
    </row>
    <row r="409" spans="3:27" x14ac:dyDescent="0.25">
      <c r="C409" s="4" t="s">
        <v>834</v>
      </c>
      <c r="D409" s="5">
        <f>SUMIFS(KASA!$I:$I, KASA!$C:$C, $C409, KASA!$B:$B, "MAL ALIMI") + SUMIFS(KASA!$I:$I, KASA!$C:$C, $C409, KASA!$B:$B, "ÜRETİM GİRİŞ")</f>
        <v>12</v>
      </c>
      <c r="E409" s="5" cm="1">
        <f t="array" ref="E409">IFERROR(AVERAGE(IF((KASA!$C$2:$C$9980=$C409)*((KASA!$B$2:$B$9980="MAL ALIMI")+(KASA!$B$2:$B$9980="ÜRETİM GİRİŞ")),KASA!$J$2:$J$9980)),0)</f>
        <v>54.54</v>
      </c>
      <c r="F409" s="5">
        <f>SUMIFS(KASA!$I:$I, KASA!$C:$C, $C409, KASA!$B:$B, "MAL SATIŞI") + SUMIFS(KASA!$I:$I, KASA!$C:$C, $C409, KASA!$B:$B, "ÜRETİM ÇIKIŞ")</f>
        <v>7</v>
      </c>
      <c r="G409" s="5">
        <f>SUMIFS(KASA!$I:$I, KASA!$C:$C, $C409, KASA!$B:$B, "MAL İADE")</f>
        <v>0</v>
      </c>
      <c r="H409" s="5">
        <f>SUMIFS(KASA!$K:$K, KASA!$C:$C, $C409, KASA!$B:$B, "MAL İADE") + SUMIFS(KASA!$Q:$Q, KASA!$C:$C, $C409, KASA!$B:$B, "MAL İADE")</f>
        <v>0</v>
      </c>
      <c r="I409" s="5">
        <f t="shared" si="78"/>
        <v>7</v>
      </c>
      <c r="J409" s="5">
        <f t="shared" si="79"/>
        <v>381.78</v>
      </c>
      <c r="K409" s="5">
        <f>SUMIFS(KASA!$Q:$Q, KASA!$C:$C, $C409, KASA!$B:$B, "MAL SATIŞI") + SUMIFS(KASA!$Q:$Q, KASA!$C:$C, $C409, KASA!$B:$B, "ÜRETİM ÇIKIŞ")</f>
        <v>320</v>
      </c>
      <c r="L409" s="5">
        <f>SUMIFS(KASA!$K:$K, KASA!$C:$C, $C409, KASA!$B:$B, "MAL SATIŞI") + SUMIFS(KASA!$K:$K, KASA!$C:$C, $C409, KASA!$B:$B, "ÜRETİM ÇIKIŞ")</f>
        <v>440</v>
      </c>
      <c r="M409" s="5">
        <f t="shared" si="80"/>
        <v>760</v>
      </c>
      <c r="N409" s="5">
        <f t="shared" si="81"/>
        <v>378.22</v>
      </c>
      <c r="O409" s="65">
        <f t="shared" si="82"/>
        <v>0.99067525800199085</v>
      </c>
      <c r="P409" s="5">
        <f t="shared" si="83"/>
        <v>108.57142857142857</v>
      </c>
      <c r="Q409" s="5">
        <f t="shared" si="84"/>
        <v>5</v>
      </c>
      <c r="R409" s="5">
        <f t="shared" si="85"/>
        <v>272.7</v>
      </c>
      <c r="S409" s="5">
        <f t="shared" si="86"/>
        <v>654.48</v>
      </c>
      <c r="T409">
        <v>9</v>
      </c>
      <c r="U409" s="2">
        <f t="shared" si="87"/>
        <v>-4</v>
      </c>
      <c r="V409">
        <f>SUMIF(KASA!$C$2:$C$9980, C409, KASA!$T$2:$T$9980)</f>
        <v>5</v>
      </c>
      <c r="W409">
        <f>SUMIF(KASA!$C$2:$C$9980, C409, KASA!$U$2:$U$9980)</f>
        <v>272.7</v>
      </c>
      <c r="X409" s="2">
        <f t="shared" si="88"/>
        <v>5</v>
      </c>
      <c r="Y409" s="2">
        <f t="shared" si="89"/>
        <v>272.7</v>
      </c>
      <c r="Z409">
        <f>SUMIF(KASA!$C$2:$C$9980, C409, KASA!$V$2:$V$9980)</f>
        <v>654.48</v>
      </c>
      <c r="AA409">
        <f t="shared" si="90"/>
        <v>381.78000000000003</v>
      </c>
    </row>
    <row r="410" spans="3:27" x14ac:dyDescent="0.25">
      <c r="C410" s="4" t="s">
        <v>835</v>
      </c>
      <c r="D410" s="5">
        <f>SUMIFS(KASA!$I:$I, KASA!$C:$C, $C410, KASA!$B:$B, "MAL ALIMI") + SUMIFS(KASA!$I:$I, KASA!$C:$C, $C410, KASA!$B:$B, "ÜRETİM GİRİŞ")</f>
        <v>24</v>
      </c>
      <c r="E410" s="5" cm="1">
        <f t="array" ref="E410">IFERROR(AVERAGE(IF((KASA!$C$2:$C$9980=$C410)*((KASA!$B$2:$B$9980="MAL ALIMI")+(KASA!$B$2:$B$9980="ÜRETİM GİRİŞ")),KASA!$J$2:$J$9980)),0)</f>
        <v>62.4</v>
      </c>
      <c r="F410" s="5">
        <f>SUMIFS(KASA!$I:$I, KASA!$C:$C, $C410, KASA!$B:$B, "MAL SATIŞI") + SUMIFS(KASA!$I:$I, KASA!$C:$C, $C410, KASA!$B:$B, "ÜRETİM ÇIKIŞ")</f>
        <v>18</v>
      </c>
      <c r="G410" s="5">
        <f>SUMIFS(KASA!$I:$I, KASA!$C:$C, $C410, KASA!$B:$B, "MAL İADE")</f>
        <v>0</v>
      </c>
      <c r="H410" s="5">
        <f>SUMIFS(KASA!$K:$K, KASA!$C:$C, $C410, KASA!$B:$B, "MAL İADE") + SUMIFS(KASA!$Q:$Q, KASA!$C:$C, $C410, KASA!$B:$B, "MAL İADE")</f>
        <v>0</v>
      </c>
      <c r="I410" s="5">
        <f t="shared" si="78"/>
        <v>18</v>
      </c>
      <c r="J410" s="5">
        <f t="shared" si="79"/>
        <v>1123.2</v>
      </c>
      <c r="K410" s="5">
        <f>SUMIFS(KASA!$Q:$Q, KASA!$C:$C, $C410, KASA!$B:$B, "MAL SATIŞI") + SUMIFS(KASA!$Q:$Q, KASA!$C:$C, $C410, KASA!$B:$B, "ÜRETİM ÇIKIŞ")</f>
        <v>1103</v>
      </c>
      <c r="L410" s="5">
        <f>SUMIFS(KASA!$K:$K, KASA!$C:$C, $C410, KASA!$B:$B, "MAL SATIŞI") + SUMIFS(KASA!$K:$K, KASA!$C:$C, $C410, KASA!$B:$B, "ÜRETİM ÇIKIŞ")</f>
        <v>1170</v>
      </c>
      <c r="M410" s="5">
        <f t="shared" si="80"/>
        <v>2273</v>
      </c>
      <c r="N410" s="5">
        <f t="shared" si="81"/>
        <v>1149.8</v>
      </c>
      <c r="O410" s="65">
        <f t="shared" si="82"/>
        <v>1.0236823361823362</v>
      </c>
      <c r="P410" s="5">
        <f t="shared" si="83"/>
        <v>126.27777777777777</v>
      </c>
      <c r="Q410" s="5">
        <f t="shared" si="84"/>
        <v>6</v>
      </c>
      <c r="R410" s="5">
        <f t="shared" si="85"/>
        <v>374.4</v>
      </c>
      <c r="S410" s="5">
        <f t="shared" si="86"/>
        <v>1497.6</v>
      </c>
      <c r="T410">
        <v>10</v>
      </c>
      <c r="U410" s="2">
        <f t="shared" si="87"/>
        <v>-4</v>
      </c>
      <c r="V410">
        <f>SUMIF(KASA!$C$2:$C$9980, C410, KASA!$T$2:$T$9980)</f>
        <v>6</v>
      </c>
      <c r="W410">
        <f>SUMIF(KASA!$C$2:$C$9980, C410, KASA!$U$2:$U$9980)</f>
        <v>360</v>
      </c>
      <c r="X410" s="2">
        <f t="shared" si="88"/>
        <v>6</v>
      </c>
      <c r="Y410" s="2">
        <f t="shared" si="89"/>
        <v>360</v>
      </c>
      <c r="Z410">
        <f>SUMIF(KASA!$C$2:$C$9980, C410, KASA!$V$2:$V$9980)</f>
        <v>1497.6</v>
      </c>
      <c r="AA410">
        <f t="shared" si="90"/>
        <v>1137.5999999999999</v>
      </c>
    </row>
    <row r="411" spans="3:27" x14ac:dyDescent="0.25">
      <c r="C411" s="4" t="s">
        <v>1269</v>
      </c>
      <c r="D411" s="5">
        <f>SUMIFS(KASA!$I:$I, KASA!$C:$C, $C411, KASA!$B:$B, "MAL ALIMI") + SUMIFS(KASA!$I:$I, KASA!$C:$C, $C411, KASA!$B:$B, "ÜRETİM GİRİŞ")</f>
        <v>12</v>
      </c>
      <c r="E411" s="5" cm="1">
        <f t="array" ref="E411">IFERROR(AVERAGE(IF((KASA!$C$2:$C$9980=$C411)*((KASA!$B$2:$B$9980="MAL ALIMI")+(KASA!$B$2:$B$9980="ÜRETİM GİRİŞ")),KASA!$J$2:$J$9980)),0)</f>
        <v>60.6</v>
      </c>
      <c r="F411" s="5">
        <f>SUMIFS(KASA!$I:$I, KASA!$C:$C, $C411, KASA!$B:$B, "MAL SATIŞI") + SUMIFS(KASA!$I:$I, KASA!$C:$C, $C411, KASA!$B:$B, "ÜRETİM ÇIKIŞ")</f>
        <v>6</v>
      </c>
      <c r="G411" s="5">
        <f>SUMIFS(KASA!$I:$I, KASA!$C:$C, $C411, KASA!$B:$B, "MAL İADE")</f>
        <v>0</v>
      </c>
      <c r="H411" s="5">
        <f>SUMIFS(KASA!$K:$K, KASA!$C:$C, $C411, KASA!$B:$B, "MAL İADE") + SUMIFS(KASA!$Q:$Q, KASA!$C:$C, $C411, KASA!$B:$B, "MAL İADE")</f>
        <v>0</v>
      </c>
      <c r="I411" s="5">
        <f t="shared" si="78"/>
        <v>6</v>
      </c>
      <c r="J411" s="5">
        <f t="shared" si="79"/>
        <v>363.6</v>
      </c>
      <c r="K411" s="5">
        <f>SUMIFS(KASA!$Q:$Q, KASA!$C:$C, $C411, KASA!$B:$B, "MAL SATIŞI") + SUMIFS(KASA!$Q:$Q, KASA!$C:$C, $C411, KASA!$B:$B, "ÜRETİM ÇIKIŞ")</f>
        <v>375</v>
      </c>
      <c r="L411" s="5">
        <f>SUMIFS(KASA!$K:$K, KASA!$C:$C, $C411, KASA!$B:$B, "MAL SATIŞI") + SUMIFS(KASA!$K:$K, KASA!$C:$C, $C411, KASA!$B:$B, "ÜRETİM ÇIKIŞ")</f>
        <v>375</v>
      </c>
      <c r="M411" s="5">
        <f t="shared" si="80"/>
        <v>750</v>
      </c>
      <c r="N411" s="5">
        <f t="shared" si="81"/>
        <v>386.4</v>
      </c>
      <c r="O411" s="65">
        <f t="shared" si="82"/>
        <v>1.0627062706270627</v>
      </c>
      <c r="P411" s="5">
        <f t="shared" si="83"/>
        <v>125</v>
      </c>
      <c r="Q411" s="5">
        <f t="shared" si="84"/>
        <v>6</v>
      </c>
      <c r="R411" s="5">
        <f t="shared" si="85"/>
        <v>363.6</v>
      </c>
      <c r="S411" s="5">
        <f t="shared" si="86"/>
        <v>727.2</v>
      </c>
      <c r="T411">
        <v>9</v>
      </c>
      <c r="U411" s="2">
        <f t="shared" si="87"/>
        <v>-3</v>
      </c>
      <c r="V411">
        <f>SUMIF(KASA!$C$2:$C$9980, C411, KASA!$T$2:$T$9980)</f>
        <v>6</v>
      </c>
      <c r="W411">
        <f>SUMIF(KASA!$C$2:$C$9980, C411, KASA!$U$2:$U$9980)</f>
        <v>363.6</v>
      </c>
      <c r="X411" s="2">
        <f t="shared" si="88"/>
        <v>6</v>
      </c>
      <c r="Y411" s="2">
        <f t="shared" si="89"/>
        <v>363.6</v>
      </c>
      <c r="Z411">
        <f>SUMIF(KASA!$C$2:$C$9980, C411, KASA!$V$2:$V$9980)</f>
        <v>727.2</v>
      </c>
      <c r="AA411">
        <f t="shared" si="90"/>
        <v>363.6</v>
      </c>
    </row>
    <row r="412" spans="3:27" x14ac:dyDescent="0.25">
      <c r="C412" s="4" t="s">
        <v>1270</v>
      </c>
      <c r="D412" s="5">
        <f>SUMIFS(KASA!$I:$I, KASA!$C:$C, $C412, KASA!$B:$B, "MAL ALIMI") + SUMIFS(KASA!$I:$I, KASA!$C:$C, $C412, KASA!$B:$B, "ÜRETİM GİRİŞ")</f>
        <v>12</v>
      </c>
      <c r="E412" s="5" cm="1">
        <f t="array" ref="E412">IFERROR(AVERAGE(IF((KASA!$C$2:$C$9980=$C412)*((KASA!$B$2:$B$9980="MAL ALIMI")+(KASA!$B$2:$B$9980="ÜRETİM GİRİŞ")),KASA!$J$2:$J$9980)),0)</f>
        <v>64.8</v>
      </c>
      <c r="F412" s="5">
        <f>SUMIFS(KASA!$I:$I, KASA!$C:$C, $C412, KASA!$B:$B, "MAL SATIŞI") + SUMIFS(KASA!$I:$I, KASA!$C:$C, $C412, KASA!$B:$B, "ÜRETİM ÇIKIŞ")</f>
        <v>1</v>
      </c>
      <c r="G412" s="5">
        <f>SUMIFS(KASA!$I:$I, KASA!$C:$C, $C412, KASA!$B:$B, "MAL İADE")</f>
        <v>0</v>
      </c>
      <c r="H412" s="5">
        <f>SUMIFS(KASA!$K:$K, KASA!$C:$C, $C412, KASA!$B:$B, "MAL İADE") + SUMIFS(KASA!$Q:$Q, KASA!$C:$C, $C412, KASA!$B:$B, "MAL İADE")</f>
        <v>0</v>
      </c>
      <c r="I412" s="5">
        <f t="shared" si="78"/>
        <v>1</v>
      </c>
      <c r="J412" s="5">
        <f t="shared" si="79"/>
        <v>64.8</v>
      </c>
      <c r="K412" s="5">
        <f>SUMIFS(KASA!$Q:$Q, KASA!$C:$C, $C412, KASA!$B:$B, "MAL SATIŞI") + SUMIFS(KASA!$Q:$Q, KASA!$C:$C, $C412, KASA!$B:$B, "ÜRETİM ÇIKIŞ")</f>
        <v>130</v>
      </c>
      <c r="L412" s="5">
        <f>SUMIFS(KASA!$K:$K, KASA!$C:$C, $C412, KASA!$B:$B, "MAL SATIŞI") + SUMIFS(KASA!$K:$K, KASA!$C:$C, $C412, KASA!$B:$B, "ÜRETİM ÇIKIŞ")</f>
        <v>0</v>
      </c>
      <c r="M412" s="5">
        <f t="shared" si="80"/>
        <v>130</v>
      </c>
      <c r="N412" s="5">
        <f t="shared" si="81"/>
        <v>65.2</v>
      </c>
      <c r="O412" s="65">
        <f t="shared" si="82"/>
        <v>1.0061728395061729</v>
      </c>
      <c r="P412" s="5">
        <f t="shared" si="83"/>
        <v>130</v>
      </c>
      <c r="Q412" s="5">
        <f t="shared" si="84"/>
        <v>11</v>
      </c>
      <c r="R412" s="5">
        <f t="shared" si="85"/>
        <v>712.8</v>
      </c>
      <c r="S412" s="5">
        <f t="shared" si="86"/>
        <v>777.59999999999991</v>
      </c>
      <c r="T412">
        <v>12</v>
      </c>
      <c r="U412" s="2">
        <f t="shared" si="87"/>
        <v>-1</v>
      </c>
      <c r="V412">
        <f>SUMIF(KASA!$C$2:$C$9980, C412, KASA!$T$2:$T$9980)</f>
        <v>11</v>
      </c>
      <c r="W412">
        <f>SUMIF(KASA!$C$2:$C$9980, C412, KASA!$U$2:$U$9980)</f>
        <v>712.8</v>
      </c>
      <c r="X412" s="2">
        <f t="shared" si="88"/>
        <v>11</v>
      </c>
      <c r="Y412" s="2">
        <f t="shared" si="89"/>
        <v>712.8</v>
      </c>
      <c r="Z412">
        <f>SUMIF(KASA!$C$2:$C$9980, C412, KASA!$V$2:$V$9980)</f>
        <v>777.59999999999991</v>
      </c>
      <c r="AA412">
        <f t="shared" si="90"/>
        <v>64.799999999999955</v>
      </c>
    </row>
    <row r="413" spans="3:27" x14ac:dyDescent="0.25">
      <c r="C413" s="4" t="s">
        <v>1271</v>
      </c>
      <c r="D413" s="5">
        <f>SUMIFS(KASA!$I:$I, KASA!$C:$C, $C413, KASA!$B:$B, "MAL ALIMI") + SUMIFS(KASA!$I:$I, KASA!$C:$C, $C413, KASA!$B:$B, "ÜRETİM GİRİŞ")</f>
        <v>12</v>
      </c>
      <c r="E413" s="5" cm="1">
        <f t="array" ref="E413">IFERROR(AVERAGE(IF((KASA!$C$2:$C$9980=$C413)*((KASA!$B$2:$B$9980="MAL ALIMI")+(KASA!$B$2:$B$9980="ÜRETİM GİRİŞ")),KASA!$J$2:$J$9980)),0)</f>
        <v>90</v>
      </c>
      <c r="F413" s="5">
        <f>SUMIFS(KASA!$I:$I, KASA!$C:$C, $C413, KASA!$B:$B, "MAL SATIŞI") + SUMIFS(KASA!$I:$I, KASA!$C:$C, $C413, KASA!$B:$B, "ÜRETİM ÇIKIŞ")</f>
        <v>3</v>
      </c>
      <c r="G413" s="5">
        <f>SUMIFS(KASA!$I:$I, KASA!$C:$C, $C413, KASA!$B:$B, "MAL İADE")</f>
        <v>0</v>
      </c>
      <c r="H413" s="5">
        <f>SUMIFS(KASA!$K:$K, KASA!$C:$C, $C413, KASA!$B:$B, "MAL İADE") + SUMIFS(KASA!$Q:$Q, KASA!$C:$C, $C413, KASA!$B:$B, "MAL İADE")</f>
        <v>0</v>
      </c>
      <c r="I413" s="5">
        <f t="shared" si="78"/>
        <v>3</v>
      </c>
      <c r="J413" s="5">
        <f t="shared" si="79"/>
        <v>270</v>
      </c>
      <c r="K413" s="5">
        <f>SUMIFS(KASA!$Q:$Q, KASA!$C:$C, $C413, KASA!$B:$B, "MAL SATIŞI") + SUMIFS(KASA!$Q:$Q, KASA!$C:$C, $C413, KASA!$B:$B, "ÜRETİM ÇIKIŞ")</f>
        <v>370</v>
      </c>
      <c r="L413" s="5">
        <f>SUMIFS(KASA!$K:$K, KASA!$C:$C, $C413, KASA!$B:$B, "MAL SATIŞI") + SUMIFS(KASA!$K:$K, KASA!$C:$C, $C413, KASA!$B:$B, "ÜRETİM ÇIKIŞ")</f>
        <v>190</v>
      </c>
      <c r="M413" s="5">
        <f t="shared" si="80"/>
        <v>560</v>
      </c>
      <c r="N413" s="5">
        <f t="shared" si="81"/>
        <v>290</v>
      </c>
      <c r="O413" s="65">
        <f t="shared" si="82"/>
        <v>1.0740740740740742</v>
      </c>
      <c r="P413" s="5">
        <f t="shared" si="83"/>
        <v>186.66666666666666</v>
      </c>
      <c r="Q413" s="5">
        <f t="shared" si="84"/>
        <v>9</v>
      </c>
      <c r="R413" s="5">
        <f t="shared" si="85"/>
        <v>810</v>
      </c>
      <c r="S413" s="5">
        <f t="shared" si="86"/>
        <v>1080</v>
      </c>
      <c r="T413">
        <v>10</v>
      </c>
      <c r="U413" s="2">
        <f t="shared" si="87"/>
        <v>-1</v>
      </c>
      <c r="V413">
        <f>SUMIF(KASA!$C$2:$C$9980, C413, KASA!$T$2:$T$9980)</f>
        <v>9</v>
      </c>
      <c r="W413">
        <f>SUMIF(KASA!$C$2:$C$9980, C413, KASA!$U$2:$U$9980)</f>
        <v>810</v>
      </c>
      <c r="X413" s="2">
        <f t="shared" si="88"/>
        <v>9</v>
      </c>
      <c r="Y413" s="2">
        <f t="shared" si="89"/>
        <v>810</v>
      </c>
      <c r="Z413">
        <f>SUMIF(KASA!$C$2:$C$9980, C413, KASA!$V$2:$V$9980)</f>
        <v>1080</v>
      </c>
      <c r="AA413">
        <f t="shared" si="90"/>
        <v>270</v>
      </c>
    </row>
    <row r="414" spans="3:27" x14ac:dyDescent="0.25">
      <c r="C414" s="4" t="s">
        <v>1364</v>
      </c>
      <c r="D414" s="5">
        <f>SUMIFS(KASA!$I:$I, KASA!$C:$C, $C414, KASA!$B:$B, "MAL ALIMI") + SUMIFS(KASA!$I:$I, KASA!$C:$C, $C414, KASA!$B:$B, "ÜRETİM GİRİŞ")</f>
        <v>12</v>
      </c>
      <c r="E414" s="5" cm="1">
        <f t="array" ref="E414">IFERROR(AVERAGE(IF((KASA!$C$2:$C$9980=$C414)*((KASA!$B$2:$B$9980="MAL ALIMI")+(KASA!$B$2:$B$9980="ÜRETİM GİRİŞ")),KASA!$J$2:$J$9980)),0)</f>
        <v>81</v>
      </c>
      <c r="F414" s="5">
        <f>SUMIFS(KASA!$I:$I, KASA!$C:$C, $C414, KASA!$B:$B, "MAL SATIŞI") + SUMIFS(KASA!$I:$I, KASA!$C:$C, $C414, KASA!$B:$B, "ÜRETİM ÇIKIŞ")</f>
        <v>6</v>
      </c>
      <c r="G414" s="5">
        <f>SUMIFS(KASA!$I:$I, KASA!$C:$C, $C414, KASA!$B:$B, "MAL İADE")</f>
        <v>0</v>
      </c>
      <c r="H414" s="5">
        <f>SUMIFS(KASA!$K:$K, KASA!$C:$C, $C414, KASA!$B:$B, "MAL İADE") + SUMIFS(KASA!$Q:$Q, KASA!$C:$C, $C414, KASA!$B:$B, "MAL İADE")</f>
        <v>0</v>
      </c>
      <c r="I414" s="5">
        <f t="shared" si="78"/>
        <v>6</v>
      </c>
      <c r="J414" s="5">
        <f t="shared" si="79"/>
        <v>486</v>
      </c>
      <c r="K414" s="5">
        <f>SUMIFS(KASA!$Q:$Q, KASA!$C:$C, $C414, KASA!$B:$B, "MAL SATIŞI") + SUMIFS(KASA!$Q:$Q, KASA!$C:$C, $C414, KASA!$B:$B, "ÜRETİM ÇIKIŞ")</f>
        <v>440</v>
      </c>
      <c r="L414" s="5">
        <f>SUMIFS(KASA!$K:$K, KASA!$C:$C, $C414, KASA!$B:$B, "MAL SATIŞI") + SUMIFS(KASA!$K:$K, KASA!$C:$C, $C414, KASA!$B:$B, "ÜRETİM ÇIKIŞ")</f>
        <v>420</v>
      </c>
      <c r="M414" s="5">
        <f t="shared" si="80"/>
        <v>860</v>
      </c>
      <c r="N414" s="5">
        <f t="shared" si="81"/>
        <v>374</v>
      </c>
      <c r="O414" s="65">
        <f t="shared" si="82"/>
        <v>0.76954732510288071</v>
      </c>
      <c r="P414" s="5">
        <f t="shared" si="83"/>
        <v>143.33333333333334</v>
      </c>
      <c r="Q414" s="5">
        <f t="shared" si="84"/>
        <v>6</v>
      </c>
      <c r="R414" s="5">
        <f t="shared" si="85"/>
        <v>486</v>
      </c>
      <c r="S414" s="5">
        <f t="shared" si="86"/>
        <v>972</v>
      </c>
      <c r="T414">
        <v>11</v>
      </c>
      <c r="U414" s="2">
        <f t="shared" si="87"/>
        <v>-5</v>
      </c>
      <c r="V414">
        <f>SUMIF(KASA!$C$2:$C$9980, C414, KASA!$T$2:$T$9980)</f>
        <v>6</v>
      </c>
      <c r="W414">
        <f>SUMIF(KASA!$C$2:$C$9980, C414, KASA!$U$2:$U$9980)</f>
        <v>486</v>
      </c>
      <c r="X414" s="2">
        <f t="shared" si="88"/>
        <v>6</v>
      </c>
      <c r="Y414" s="2">
        <f t="shared" si="89"/>
        <v>486</v>
      </c>
      <c r="Z414">
        <f>SUMIF(KASA!$C$2:$C$9980, C414, KASA!$V$2:$V$9980)</f>
        <v>972</v>
      </c>
      <c r="AA414">
        <f t="shared" si="90"/>
        <v>486</v>
      </c>
    </row>
    <row r="415" spans="3:27" x14ac:dyDescent="0.25">
      <c r="C415" s="4" t="s">
        <v>1365</v>
      </c>
      <c r="D415" s="5">
        <f>SUMIFS(KASA!$I:$I, KASA!$C:$C, $C415, KASA!$B:$B, "MAL ALIMI") + SUMIFS(KASA!$I:$I, KASA!$C:$C, $C415, KASA!$B:$B, "ÜRETİM GİRİŞ")</f>
        <v>36</v>
      </c>
      <c r="E415" s="5" cm="1">
        <f t="array" ref="E415">IFERROR(AVERAGE(IF((KASA!$C$2:$C$9980=$C415)*((KASA!$B$2:$B$9980="MAL ALIMI")+(KASA!$B$2:$B$9980="ÜRETİM GİRİŞ")),KASA!$J$2:$J$9980)),0)</f>
        <v>81</v>
      </c>
      <c r="F415" s="5">
        <f>SUMIFS(KASA!$I:$I, KASA!$C:$C, $C415, KASA!$B:$B, "MAL SATIŞI") + SUMIFS(KASA!$I:$I, KASA!$C:$C, $C415, KASA!$B:$B, "ÜRETİM ÇIKIŞ")</f>
        <v>22</v>
      </c>
      <c r="G415" s="5">
        <f>SUMIFS(KASA!$I:$I, KASA!$C:$C, $C415, KASA!$B:$B, "MAL İADE")</f>
        <v>0</v>
      </c>
      <c r="H415" s="5">
        <f>SUMIFS(KASA!$K:$K, KASA!$C:$C, $C415, KASA!$B:$B, "MAL İADE") + SUMIFS(KASA!$Q:$Q, KASA!$C:$C, $C415, KASA!$B:$B, "MAL İADE")</f>
        <v>0</v>
      </c>
      <c r="I415" s="5">
        <f t="shared" si="78"/>
        <v>22</v>
      </c>
      <c r="J415" s="5">
        <f t="shared" si="79"/>
        <v>1782</v>
      </c>
      <c r="K415" s="5">
        <f>SUMIFS(KASA!$Q:$Q, KASA!$C:$C, $C415, KASA!$B:$B, "MAL SATIŞI") + SUMIFS(KASA!$Q:$Q, KASA!$C:$C, $C415, KASA!$B:$B, "ÜRETİM ÇIKIŞ")</f>
        <v>1780</v>
      </c>
      <c r="L415" s="5">
        <f>SUMIFS(KASA!$K:$K, KASA!$C:$C, $C415, KASA!$B:$B, "MAL SATIŞI") + SUMIFS(KASA!$K:$K, KASA!$C:$C, $C415, KASA!$B:$B, "ÜRETİM ÇIKIŞ")</f>
        <v>1290</v>
      </c>
      <c r="M415" s="5">
        <f t="shared" si="80"/>
        <v>3070</v>
      </c>
      <c r="N415" s="5">
        <f t="shared" si="81"/>
        <v>1288</v>
      </c>
      <c r="O415" s="65">
        <f t="shared" si="82"/>
        <v>0.72278338945005616</v>
      </c>
      <c r="P415" s="5">
        <f t="shared" si="83"/>
        <v>139.54545454545453</v>
      </c>
      <c r="Q415" s="5">
        <f t="shared" si="84"/>
        <v>14</v>
      </c>
      <c r="R415" s="5">
        <f t="shared" si="85"/>
        <v>1134</v>
      </c>
      <c r="S415" s="5">
        <f t="shared" si="86"/>
        <v>2916</v>
      </c>
      <c r="T415">
        <v>27</v>
      </c>
      <c r="U415" s="2">
        <f t="shared" si="87"/>
        <v>-13</v>
      </c>
      <c r="V415">
        <f>SUMIF(KASA!$C$2:$C$9980, C415, KASA!$T$2:$T$9980)</f>
        <v>14</v>
      </c>
      <c r="W415">
        <f>SUMIF(KASA!$C$2:$C$9980, C415, KASA!$U$2:$U$9980)</f>
        <v>1134</v>
      </c>
      <c r="X415" s="2">
        <f t="shared" si="88"/>
        <v>14</v>
      </c>
      <c r="Y415" s="2">
        <f t="shared" si="89"/>
        <v>1134</v>
      </c>
      <c r="Z415">
        <f>SUMIF(KASA!$C$2:$C$9980, C415, KASA!$V$2:$V$9980)</f>
        <v>2916</v>
      </c>
      <c r="AA415">
        <f t="shared" si="90"/>
        <v>1782</v>
      </c>
    </row>
    <row r="416" spans="3:27" x14ac:dyDescent="0.25">
      <c r="C416" s="4" t="s">
        <v>1366</v>
      </c>
      <c r="D416" s="5">
        <f>SUMIFS(KASA!$I:$I, KASA!$C:$C, $C416, KASA!$B:$B, "MAL ALIMI") + SUMIFS(KASA!$I:$I, KASA!$C:$C, $C416, KASA!$B:$B, "ÜRETİM GİRİŞ")</f>
        <v>36</v>
      </c>
      <c r="E416" s="5" cm="1">
        <f t="array" ref="E416">IFERROR(AVERAGE(IF((KASA!$C$2:$C$9980=$C416)*((KASA!$B$2:$B$9980="MAL ALIMI")+(KASA!$B$2:$B$9980="ÜRETİM GİRİŞ")),KASA!$J$2:$J$9980)),0)</f>
        <v>126</v>
      </c>
      <c r="F416" s="5">
        <f>SUMIFS(KASA!$I:$I, KASA!$C:$C, $C416, KASA!$B:$B, "MAL SATIŞI") + SUMIFS(KASA!$I:$I, KASA!$C:$C, $C416, KASA!$B:$B, "ÜRETİM ÇIKIŞ")</f>
        <v>9</v>
      </c>
      <c r="G416" s="5">
        <f>SUMIFS(KASA!$I:$I, KASA!$C:$C, $C416, KASA!$B:$B, "MAL İADE")</f>
        <v>0</v>
      </c>
      <c r="H416" s="5">
        <f>SUMIFS(KASA!$K:$K, KASA!$C:$C, $C416, KASA!$B:$B, "MAL İADE") + SUMIFS(KASA!$Q:$Q, KASA!$C:$C, $C416, KASA!$B:$B, "MAL İADE")</f>
        <v>0</v>
      </c>
      <c r="I416" s="5">
        <f t="shared" si="78"/>
        <v>9</v>
      </c>
      <c r="J416" s="5">
        <f t="shared" si="79"/>
        <v>1134</v>
      </c>
      <c r="K416" s="5">
        <f>SUMIFS(KASA!$Q:$Q, KASA!$C:$C, $C416, KASA!$B:$B, "MAL SATIŞI") + SUMIFS(KASA!$Q:$Q, KASA!$C:$C, $C416, KASA!$B:$B, "ÜRETİM ÇIKIŞ")</f>
        <v>970</v>
      </c>
      <c r="L416" s="5">
        <f>SUMIFS(KASA!$K:$K, KASA!$C:$C, $C416, KASA!$B:$B, "MAL SATIŞI") + SUMIFS(KASA!$K:$K, KASA!$C:$C, $C416, KASA!$B:$B, "ÜRETİM ÇIKIŞ")</f>
        <v>780</v>
      </c>
      <c r="M416" s="5">
        <f t="shared" si="80"/>
        <v>1750</v>
      </c>
      <c r="N416" s="5">
        <f t="shared" si="81"/>
        <v>616</v>
      </c>
      <c r="O416" s="65">
        <f t="shared" si="82"/>
        <v>0.54320987654320985</v>
      </c>
      <c r="P416" s="5">
        <f t="shared" si="83"/>
        <v>194.44444444444446</v>
      </c>
      <c r="Q416" s="5">
        <f t="shared" si="84"/>
        <v>27</v>
      </c>
      <c r="R416" s="5">
        <f t="shared" si="85"/>
        <v>3402</v>
      </c>
      <c r="S416" s="5">
        <f t="shared" si="86"/>
        <v>4536</v>
      </c>
      <c r="T416">
        <v>30</v>
      </c>
      <c r="U416" s="2">
        <f t="shared" si="87"/>
        <v>-3</v>
      </c>
      <c r="V416">
        <f>SUMIF(KASA!$C$2:$C$9980, C416, KASA!$T$2:$T$9980)</f>
        <v>27</v>
      </c>
      <c r="W416">
        <f>SUMIF(KASA!$C$2:$C$9980, C416, KASA!$U$2:$U$9980)</f>
        <v>3402</v>
      </c>
      <c r="X416" s="2">
        <f t="shared" si="88"/>
        <v>27</v>
      </c>
      <c r="Y416" s="2">
        <f t="shared" si="89"/>
        <v>3402</v>
      </c>
      <c r="Z416">
        <f>SUMIF(KASA!$C$2:$C$9980, C416, KASA!$V$2:$V$9980)</f>
        <v>4536</v>
      </c>
      <c r="AA416">
        <f t="shared" si="90"/>
        <v>1134</v>
      </c>
    </row>
    <row r="417" spans="3:27" x14ac:dyDescent="0.25">
      <c r="C417" s="4" t="s">
        <v>1367</v>
      </c>
      <c r="D417" s="5">
        <f>SUMIFS(KASA!$I:$I, KASA!$C:$C, $C417, KASA!$B:$B, "MAL ALIMI") + SUMIFS(KASA!$I:$I, KASA!$C:$C, $C417, KASA!$B:$B, "ÜRETİM GİRİŞ")</f>
        <v>12</v>
      </c>
      <c r="E417" s="5" cm="1">
        <f t="array" ref="E417">IFERROR(AVERAGE(IF((KASA!$C$2:$C$9980=$C417)*((KASA!$B$2:$B$9980="MAL ALIMI")+(KASA!$B$2:$B$9980="ÜRETİM GİRİŞ")),KASA!$J$2:$J$9980)),0)</f>
        <v>108</v>
      </c>
      <c r="F417" s="5">
        <f>SUMIFS(KASA!$I:$I, KASA!$C:$C, $C417, KASA!$B:$B, "MAL SATIŞI") + SUMIFS(KASA!$I:$I, KASA!$C:$C, $C417, KASA!$B:$B, "ÜRETİM ÇIKIŞ")</f>
        <v>12</v>
      </c>
      <c r="G417" s="5">
        <f>SUMIFS(KASA!$I:$I, KASA!$C:$C, $C417, KASA!$B:$B, "MAL İADE")</f>
        <v>0</v>
      </c>
      <c r="H417" s="5">
        <f>SUMIFS(KASA!$K:$K, KASA!$C:$C, $C417, KASA!$B:$B, "MAL İADE") + SUMIFS(KASA!$Q:$Q, KASA!$C:$C, $C417, KASA!$B:$B, "MAL İADE")</f>
        <v>0</v>
      </c>
      <c r="I417" s="5">
        <f t="shared" si="78"/>
        <v>12</v>
      </c>
      <c r="J417" s="5">
        <f t="shared" si="79"/>
        <v>1296</v>
      </c>
      <c r="K417" s="5">
        <f>SUMIFS(KASA!$Q:$Q, KASA!$C:$C, $C417, KASA!$B:$B, "MAL SATIŞI") + SUMIFS(KASA!$Q:$Q, KASA!$C:$C, $C417, KASA!$B:$B, "ÜRETİM ÇIKIŞ")</f>
        <v>1410</v>
      </c>
      <c r="L417" s="5">
        <f>SUMIFS(KASA!$K:$K, KASA!$C:$C, $C417, KASA!$B:$B, "MAL SATIŞI") + SUMIFS(KASA!$K:$K, KASA!$C:$C, $C417, KASA!$B:$B, "ÜRETİM ÇIKIŞ")</f>
        <v>720</v>
      </c>
      <c r="M417" s="5">
        <f t="shared" si="80"/>
        <v>2130</v>
      </c>
      <c r="N417" s="5">
        <f t="shared" si="81"/>
        <v>834</v>
      </c>
      <c r="O417" s="65">
        <f t="shared" si="82"/>
        <v>0.64351851851851849</v>
      </c>
      <c r="P417" s="5">
        <f t="shared" si="83"/>
        <v>177.5</v>
      </c>
      <c r="Q417" s="5">
        <f t="shared" si="84"/>
        <v>0</v>
      </c>
      <c r="R417" s="5">
        <f t="shared" si="85"/>
        <v>0</v>
      </c>
      <c r="S417" s="5">
        <f t="shared" si="86"/>
        <v>1296</v>
      </c>
      <c r="T417">
        <v>5</v>
      </c>
      <c r="U417" s="2">
        <f t="shared" si="87"/>
        <v>-5</v>
      </c>
      <c r="V417">
        <f>SUMIF(KASA!$C$2:$C$9980, C417, KASA!$T$2:$T$9980)</f>
        <v>0</v>
      </c>
      <c r="W417">
        <f>SUMIF(KASA!$C$2:$C$9980, C417, KASA!$U$2:$U$9980)</f>
        <v>0</v>
      </c>
      <c r="X417" s="2">
        <f t="shared" si="88"/>
        <v>0</v>
      </c>
      <c r="Y417" s="2">
        <f t="shared" si="89"/>
        <v>0</v>
      </c>
      <c r="Z417">
        <f>SUMIF(KASA!$C$2:$C$9980, C417, KASA!$V$2:$V$9980)</f>
        <v>1296</v>
      </c>
      <c r="AA417">
        <f t="shared" si="90"/>
        <v>1296</v>
      </c>
    </row>
    <row r="418" spans="3:27" x14ac:dyDescent="0.25">
      <c r="C418" s="4" t="s">
        <v>2240</v>
      </c>
      <c r="D418" s="5">
        <f>SUMIFS(KASA!$I:$I, KASA!$C:$C, $C418, KASA!$B:$B, "MAL ALIMI") + SUMIFS(KASA!$I:$I, KASA!$C:$C, $C418, KASA!$B:$B, "ÜRETİM GİRİŞ")</f>
        <v>6</v>
      </c>
      <c r="E418" s="5" cm="1">
        <f t="array" ref="E418">IFERROR(AVERAGE(IF((KASA!$C$2:$C$9980=$C418)*((KASA!$B$2:$B$9980="MAL ALIMI")+(KASA!$B$2:$B$9980="ÜRETİM GİRİŞ")),KASA!$J$2:$J$9980)),0)</f>
        <v>60</v>
      </c>
      <c r="F418" s="5">
        <f>SUMIFS(KASA!$I:$I, KASA!$C:$C, $C418, KASA!$B:$B, "MAL SATIŞI") + SUMIFS(KASA!$I:$I, KASA!$C:$C, $C418, KASA!$B:$B, "ÜRETİM ÇIKIŞ")</f>
        <v>2</v>
      </c>
      <c r="G418" s="5">
        <f>SUMIFS(KASA!$I:$I, KASA!$C:$C, $C418, KASA!$B:$B, "MAL İADE")</f>
        <v>0</v>
      </c>
      <c r="H418" s="5">
        <f>SUMIFS(KASA!$K:$K, KASA!$C:$C, $C418, KASA!$B:$B, "MAL İADE") + SUMIFS(KASA!$Q:$Q, KASA!$C:$C, $C418, KASA!$B:$B, "MAL İADE")</f>
        <v>0</v>
      </c>
      <c r="I418" s="5">
        <f t="shared" si="78"/>
        <v>2</v>
      </c>
      <c r="J418" s="5">
        <f t="shared" si="79"/>
        <v>120</v>
      </c>
      <c r="K418" s="5">
        <f>SUMIFS(KASA!$Q:$Q, KASA!$C:$C, $C418, KASA!$B:$B, "MAL SATIŞI") + SUMIFS(KASA!$Q:$Q, KASA!$C:$C, $C418, KASA!$B:$B, "ÜRETİM ÇIKIŞ")</f>
        <v>60</v>
      </c>
      <c r="L418" s="5">
        <f>SUMIFS(KASA!$K:$K, KASA!$C:$C, $C418, KASA!$B:$B, "MAL SATIŞI") + SUMIFS(KASA!$K:$K, KASA!$C:$C, $C418, KASA!$B:$B, "ÜRETİM ÇIKIŞ")</f>
        <v>130</v>
      </c>
      <c r="M418" s="5">
        <f t="shared" si="80"/>
        <v>190</v>
      </c>
      <c r="N418" s="5">
        <f t="shared" si="81"/>
        <v>70</v>
      </c>
      <c r="O418" s="65">
        <f t="shared" si="82"/>
        <v>0.58333333333333337</v>
      </c>
      <c r="P418" s="5">
        <f t="shared" si="83"/>
        <v>95</v>
      </c>
      <c r="Q418" s="5">
        <f t="shared" si="84"/>
        <v>4</v>
      </c>
      <c r="R418" s="5">
        <f t="shared" si="85"/>
        <v>240</v>
      </c>
      <c r="S418" s="5">
        <f t="shared" si="86"/>
        <v>360</v>
      </c>
      <c r="T418">
        <v>5</v>
      </c>
      <c r="U418" s="2">
        <f t="shared" si="87"/>
        <v>-1</v>
      </c>
      <c r="V418">
        <f>SUMIF(KASA!$C$2:$C$9980, C418, KASA!$T$2:$T$9980)</f>
        <v>4</v>
      </c>
      <c r="W418">
        <f>SUMIF(KASA!$C$2:$C$9980, C418, KASA!$U$2:$U$9980)</f>
        <v>240</v>
      </c>
      <c r="X418" s="2">
        <f t="shared" si="88"/>
        <v>4</v>
      </c>
      <c r="Y418" s="2">
        <f t="shared" si="89"/>
        <v>240</v>
      </c>
      <c r="Z418">
        <f>SUMIF(KASA!$C$2:$C$9980, C418, KASA!$V$2:$V$9980)</f>
        <v>360</v>
      </c>
      <c r="AA418">
        <f t="shared" si="90"/>
        <v>120</v>
      </c>
    </row>
    <row r="419" spans="3:27" x14ac:dyDescent="0.25">
      <c r="C419" s="4" t="s">
        <v>2241</v>
      </c>
      <c r="D419" s="5">
        <f>SUMIFS(KASA!$I:$I, KASA!$C:$C, $C419, KASA!$B:$B, "MAL ALIMI") + SUMIFS(KASA!$I:$I, KASA!$C:$C, $C419, KASA!$B:$B, "ÜRETİM GİRİŞ")</f>
        <v>6</v>
      </c>
      <c r="E419" s="5" cm="1">
        <f t="array" ref="E419">IFERROR(AVERAGE(IF((KASA!$C$2:$C$9980=$C419)*((KASA!$B$2:$B$9980="MAL ALIMI")+(KASA!$B$2:$B$9980="ÜRETİM GİRİŞ")),KASA!$J$2:$J$9980)),0)</f>
        <v>45</v>
      </c>
      <c r="F419" s="5">
        <f>SUMIFS(KASA!$I:$I, KASA!$C:$C, $C419, KASA!$B:$B, "MAL SATIŞI") + SUMIFS(KASA!$I:$I, KASA!$C:$C, $C419, KASA!$B:$B, "ÜRETİM ÇIKIŞ")</f>
        <v>3</v>
      </c>
      <c r="G419" s="5">
        <f>SUMIFS(KASA!$I:$I, KASA!$C:$C, $C419, KASA!$B:$B, "MAL İADE")</f>
        <v>0</v>
      </c>
      <c r="H419" s="5">
        <f>SUMIFS(KASA!$K:$K, KASA!$C:$C, $C419, KASA!$B:$B, "MAL İADE") + SUMIFS(KASA!$Q:$Q, KASA!$C:$C, $C419, KASA!$B:$B, "MAL İADE")</f>
        <v>0</v>
      </c>
      <c r="I419" s="5">
        <f t="shared" si="78"/>
        <v>3</v>
      </c>
      <c r="J419" s="5">
        <f t="shared" si="79"/>
        <v>135</v>
      </c>
      <c r="K419" s="5">
        <f>SUMIFS(KASA!$Q:$Q, KASA!$C:$C, $C419, KASA!$B:$B, "MAL SATIŞI") + SUMIFS(KASA!$Q:$Q, KASA!$C:$C, $C419, KASA!$B:$B, "ÜRETİM ÇIKIŞ")</f>
        <v>45</v>
      </c>
      <c r="L419" s="5">
        <f>SUMIFS(KASA!$K:$K, KASA!$C:$C, $C419, KASA!$B:$B, "MAL SATIŞI") + SUMIFS(KASA!$K:$K, KASA!$C:$C, $C419, KASA!$B:$B, "ÜRETİM ÇIKIŞ")</f>
        <v>140</v>
      </c>
      <c r="M419" s="5">
        <f t="shared" si="80"/>
        <v>185</v>
      </c>
      <c r="N419" s="5">
        <f t="shared" si="81"/>
        <v>50</v>
      </c>
      <c r="O419" s="65">
        <f t="shared" si="82"/>
        <v>0.37037037037037035</v>
      </c>
      <c r="P419" s="5">
        <f t="shared" si="83"/>
        <v>61.666666666666664</v>
      </c>
      <c r="Q419" s="5">
        <f t="shared" si="84"/>
        <v>3</v>
      </c>
      <c r="R419" s="5">
        <f t="shared" si="85"/>
        <v>135</v>
      </c>
      <c r="S419" s="5">
        <f t="shared" si="86"/>
        <v>270</v>
      </c>
      <c r="T419">
        <v>4</v>
      </c>
      <c r="U419" s="2">
        <f t="shared" si="87"/>
        <v>-1</v>
      </c>
      <c r="V419">
        <f>SUMIF(KASA!$C$2:$C$9980, C419, KASA!$T$2:$T$9980)</f>
        <v>3</v>
      </c>
      <c r="W419">
        <f>SUMIF(KASA!$C$2:$C$9980, C419, KASA!$U$2:$U$9980)</f>
        <v>135</v>
      </c>
      <c r="X419" s="2">
        <f t="shared" si="88"/>
        <v>3</v>
      </c>
      <c r="Y419" s="2">
        <f t="shared" si="89"/>
        <v>135</v>
      </c>
      <c r="Z419">
        <f>SUMIF(KASA!$C$2:$C$9980, C419, KASA!$V$2:$V$9980)</f>
        <v>270</v>
      </c>
      <c r="AA419">
        <f t="shared" si="90"/>
        <v>135</v>
      </c>
    </row>
    <row r="420" spans="3:27" x14ac:dyDescent="0.25">
      <c r="C420" s="4" t="s">
        <v>1373</v>
      </c>
      <c r="D420" s="5">
        <f>SUMIFS(KASA!$I:$I, KASA!$C:$C, $C420, KASA!$B:$B, "MAL ALIMI") + SUMIFS(KASA!$I:$I, KASA!$C:$C, $C420, KASA!$B:$B, "ÜRETİM GİRİŞ")</f>
        <v>5</v>
      </c>
      <c r="E420" s="5" cm="1">
        <f t="array" ref="E420">IFERROR(AVERAGE(IF((KASA!$C$2:$C$9980=$C420)*((KASA!$B$2:$B$9980="MAL ALIMI")+(KASA!$B$2:$B$9980="ÜRETİM GİRİŞ")),KASA!$J$2:$J$9980)),0)</f>
        <v>118.8</v>
      </c>
      <c r="F420" s="5">
        <f>SUMIFS(KASA!$I:$I, KASA!$C:$C, $C420, KASA!$B:$B, "MAL SATIŞI") + SUMIFS(KASA!$I:$I, KASA!$C:$C, $C420, KASA!$B:$B, "ÜRETİM ÇIKIŞ")</f>
        <v>3</v>
      </c>
      <c r="G420" s="5">
        <f>SUMIFS(KASA!$I:$I, KASA!$C:$C, $C420, KASA!$B:$B, "MAL İADE")</f>
        <v>0</v>
      </c>
      <c r="H420" s="5">
        <f>SUMIFS(KASA!$K:$K, KASA!$C:$C, $C420, KASA!$B:$B, "MAL İADE") + SUMIFS(KASA!$Q:$Q, KASA!$C:$C, $C420, KASA!$B:$B, "MAL İADE")</f>
        <v>0</v>
      </c>
      <c r="I420" s="5">
        <f t="shared" si="78"/>
        <v>3</v>
      </c>
      <c r="J420" s="5">
        <f t="shared" si="79"/>
        <v>356.4</v>
      </c>
      <c r="K420" s="5">
        <f>SUMIFS(KASA!$Q:$Q, KASA!$C:$C, $C420, KASA!$B:$B, "MAL SATIŞI") + SUMIFS(KASA!$Q:$Q, KASA!$C:$C, $C420, KASA!$B:$B, "ÜRETİM ÇIKIŞ")</f>
        <v>0</v>
      </c>
      <c r="L420" s="5">
        <f>SUMIFS(KASA!$K:$K, KASA!$C:$C, $C420, KASA!$B:$B, "MAL SATIŞI") + SUMIFS(KASA!$K:$K, KASA!$C:$C, $C420, KASA!$B:$B, "ÜRETİM ÇIKIŞ")</f>
        <v>660</v>
      </c>
      <c r="M420" s="5">
        <f t="shared" si="80"/>
        <v>660</v>
      </c>
      <c r="N420" s="5">
        <f t="shared" si="81"/>
        <v>303.60000000000002</v>
      </c>
      <c r="O420" s="65">
        <f t="shared" si="82"/>
        <v>0.85185185185185197</v>
      </c>
      <c r="P420" s="5">
        <f t="shared" si="83"/>
        <v>220</v>
      </c>
      <c r="Q420" s="5">
        <f t="shared" si="84"/>
        <v>2</v>
      </c>
      <c r="R420" s="5">
        <f t="shared" si="85"/>
        <v>237.6</v>
      </c>
      <c r="S420" s="5">
        <f t="shared" si="86"/>
        <v>594</v>
      </c>
      <c r="T420">
        <v>4</v>
      </c>
      <c r="U420" s="2">
        <f t="shared" si="87"/>
        <v>-2</v>
      </c>
      <c r="V420">
        <f>SUMIF(KASA!$C$2:$C$9980, C420, KASA!$T$2:$T$9980)</f>
        <v>2</v>
      </c>
      <c r="W420">
        <f>SUMIF(KASA!$C$2:$C$9980, C420, KASA!$U$2:$U$9980)</f>
        <v>237.6</v>
      </c>
      <c r="X420" s="2">
        <f t="shared" si="88"/>
        <v>2</v>
      </c>
      <c r="Y420" s="2">
        <f t="shared" si="89"/>
        <v>237.6</v>
      </c>
      <c r="Z420">
        <f>SUMIF(KASA!$C$2:$C$9980, C420, KASA!$V$2:$V$9980)</f>
        <v>594</v>
      </c>
      <c r="AA420">
        <f t="shared" si="90"/>
        <v>356.4</v>
      </c>
    </row>
    <row r="421" spans="3:27" x14ac:dyDescent="0.25">
      <c r="C421" s="4" t="s">
        <v>1374</v>
      </c>
      <c r="D421" s="5">
        <f>SUMIFS(KASA!$I:$I, KASA!$C:$C, $C421, KASA!$B:$B, "MAL ALIMI") + SUMIFS(KASA!$I:$I, KASA!$C:$C, $C421, KASA!$B:$B, "ÜRETİM GİRİŞ")</f>
        <v>5</v>
      </c>
      <c r="E421" s="5" cm="1">
        <f t="array" ref="E421">IFERROR(AVERAGE(IF((KASA!$C$2:$C$9980=$C421)*((KASA!$B$2:$B$9980="MAL ALIMI")+(KASA!$B$2:$B$9980="ÜRETİM GİRİŞ")),KASA!$J$2:$J$9980)),0)</f>
        <v>118.8</v>
      </c>
      <c r="F421" s="5">
        <f>SUMIFS(KASA!$I:$I, KASA!$C:$C, $C421, KASA!$B:$B, "MAL SATIŞI") + SUMIFS(KASA!$I:$I, KASA!$C:$C, $C421, KASA!$B:$B, "ÜRETİM ÇIKIŞ")</f>
        <v>1</v>
      </c>
      <c r="G421" s="5">
        <f>SUMIFS(KASA!$I:$I, KASA!$C:$C, $C421, KASA!$B:$B, "MAL İADE")</f>
        <v>0</v>
      </c>
      <c r="H421" s="5">
        <f>SUMIFS(KASA!$K:$K, KASA!$C:$C, $C421, KASA!$B:$B, "MAL İADE") + SUMIFS(KASA!$Q:$Q, KASA!$C:$C, $C421, KASA!$B:$B, "MAL İADE")</f>
        <v>0</v>
      </c>
      <c r="I421" s="5">
        <f t="shared" si="78"/>
        <v>1</v>
      </c>
      <c r="J421" s="5">
        <f t="shared" si="79"/>
        <v>118.8</v>
      </c>
      <c r="K421" s="5">
        <f>SUMIFS(KASA!$Q:$Q, KASA!$C:$C, $C421, KASA!$B:$B, "MAL SATIŞI") + SUMIFS(KASA!$Q:$Q, KASA!$C:$C, $C421, KASA!$B:$B, "ÜRETİM ÇIKIŞ")</f>
        <v>220</v>
      </c>
      <c r="L421" s="5">
        <f>SUMIFS(KASA!$K:$K, KASA!$C:$C, $C421, KASA!$B:$B, "MAL SATIŞI") + SUMIFS(KASA!$K:$K, KASA!$C:$C, $C421, KASA!$B:$B, "ÜRETİM ÇIKIŞ")</f>
        <v>0</v>
      </c>
      <c r="M421" s="5">
        <f t="shared" si="80"/>
        <v>220</v>
      </c>
      <c r="N421" s="5">
        <f t="shared" si="81"/>
        <v>101.2</v>
      </c>
      <c r="O421" s="65">
        <f t="shared" si="82"/>
        <v>0.85185185185185186</v>
      </c>
      <c r="P421" s="5">
        <f t="shared" si="83"/>
        <v>220</v>
      </c>
      <c r="Q421" s="5">
        <f t="shared" si="84"/>
        <v>4</v>
      </c>
      <c r="R421" s="5">
        <f t="shared" si="85"/>
        <v>475.2</v>
      </c>
      <c r="S421" s="5">
        <f t="shared" si="86"/>
        <v>594</v>
      </c>
      <c r="T421">
        <v>5</v>
      </c>
      <c r="U421" s="2">
        <f t="shared" si="87"/>
        <v>-1</v>
      </c>
      <c r="V421">
        <f>SUMIF(KASA!$C$2:$C$9980, C421, KASA!$T$2:$T$9980)</f>
        <v>4</v>
      </c>
      <c r="W421">
        <f>SUMIF(KASA!$C$2:$C$9980, C421, KASA!$U$2:$U$9980)</f>
        <v>475.2</v>
      </c>
      <c r="X421" s="2">
        <f t="shared" si="88"/>
        <v>4</v>
      </c>
      <c r="Y421" s="2">
        <f t="shared" si="89"/>
        <v>475.2</v>
      </c>
      <c r="Z421">
        <f>SUMIF(KASA!$C$2:$C$9980, C421, KASA!$V$2:$V$9980)</f>
        <v>594</v>
      </c>
      <c r="AA421">
        <f t="shared" si="90"/>
        <v>118.80000000000001</v>
      </c>
    </row>
    <row r="422" spans="3:27" x14ac:dyDescent="0.25">
      <c r="C422" s="4" t="s">
        <v>1371</v>
      </c>
      <c r="D422" s="5">
        <f>SUMIFS(KASA!$I:$I, KASA!$C:$C, $C422, KASA!$B:$B, "MAL ALIMI") + SUMIFS(KASA!$I:$I, KASA!$C:$C, $C422, KASA!$B:$B, "ÜRETİM GİRİŞ")</f>
        <v>3</v>
      </c>
      <c r="E422" s="5" cm="1">
        <f t="array" ref="E422">IFERROR(AVERAGE(IF((KASA!$C$2:$C$9980=$C422)*((KASA!$B$2:$B$9980="MAL ALIMI")+(KASA!$B$2:$B$9980="ÜRETİM GİRİŞ")),KASA!$J$2:$J$9980)),0)</f>
        <v>118.8</v>
      </c>
      <c r="F422" s="5">
        <f>SUMIFS(KASA!$I:$I, KASA!$C:$C, $C422, KASA!$B:$B, "MAL SATIŞI") + SUMIFS(KASA!$I:$I, KASA!$C:$C, $C422, KASA!$B:$B, "ÜRETİM ÇIKIŞ")</f>
        <v>1</v>
      </c>
      <c r="G422" s="5">
        <f>SUMIFS(KASA!$I:$I, KASA!$C:$C, $C422, KASA!$B:$B, "MAL İADE")</f>
        <v>0</v>
      </c>
      <c r="H422" s="5">
        <f>SUMIFS(KASA!$K:$K, KASA!$C:$C, $C422, KASA!$B:$B, "MAL İADE") + SUMIFS(KASA!$Q:$Q, KASA!$C:$C, $C422, KASA!$B:$B, "MAL İADE")</f>
        <v>0</v>
      </c>
      <c r="I422" s="5">
        <f t="shared" si="78"/>
        <v>1</v>
      </c>
      <c r="J422" s="5">
        <f t="shared" si="79"/>
        <v>118.8</v>
      </c>
      <c r="K422" s="5">
        <f>SUMIFS(KASA!$Q:$Q, KASA!$C:$C, $C422, KASA!$B:$B, "MAL SATIŞI") + SUMIFS(KASA!$Q:$Q, KASA!$C:$C, $C422, KASA!$B:$B, "ÜRETİM ÇIKIŞ")</f>
        <v>220</v>
      </c>
      <c r="L422" s="5">
        <f>SUMIFS(KASA!$K:$K, KASA!$C:$C, $C422, KASA!$B:$B, "MAL SATIŞI") + SUMIFS(KASA!$K:$K, KASA!$C:$C, $C422, KASA!$B:$B, "ÜRETİM ÇIKIŞ")</f>
        <v>0</v>
      </c>
      <c r="M422" s="5">
        <f t="shared" si="80"/>
        <v>220</v>
      </c>
      <c r="N422" s="5">
        <f t="shared" si="81"/>
        <v>101.2</v>
      </c>
      <c r="O422" s="65">
        <f t="shared" si="82"/>
        <v>0.85185185185185186</v>
      </c>
      <c r="P422" s="5">
        <f t="shared" si="83"/>
        <v>220</v>
      </c>
      <c r="Q422" s="5">
        <f t="shared" si="84"/>
        <v>2</v>
      </c>
      <c r="R422" s="5">
        <f t="shared" si="85"/>
        <v>237.6</v>
      </c>
      <c r="S422" s="5">
        <f t="shared" si="86"/>
        <v>356.4</v>
      </c>
      <c r="T422">
        <v>2</v>
      </c>
      <c r="U422" s="2">
        <f t="shared" si="87"/>
        <v>0</v>
      </c>
      <c r="V422">
        <f>SUMIF(KASA!$C$2:$C$9980, C422, KASA!$T$2:$T$9980)</f>
        <v>2</v>
      </c>
      <c r="W422">
        <f>SUMIF(KASA!$C$2:$C$9980, C422, KASA!$U$2:$U$9980)</f>
        <v>237.6</v>
      </c>
      <c r="X422" s="2">
        <f t="shared" si="88"/>
        <v>2</v>
      </c>
      <c r="Y422" s="2">
        <f t="shared" si="89"/>
        <v>237.6</v>
      </c>
      <c r="Z422">
        <f>SUMIF(KASA!$C$2:$C$9980, C422, KASA!$V$2:$V$9980)</f>
        <v>356.4</v>
      </c>
      <c r="AA422">
        <f t="shared" si="90"/>
        <v>118.79999999999998</v>
      </c>
    </row>
    <row r="423" spans="3:27" x14ac:dyDescent="0.25">
      <c r="C423" s="4" t="s">
        <v>1372</v>
      </c>
      <c r="D423" s="5">
        <f>SUMIFS(KASA!$I:$I, KASA!$C:$C, $C423, KASA!$B:$B, "MAL ALIMI") + SUMIFS(KASA!$I:$I, KASA!$C:$C, $C423, KASA!$B:$B, "ÜRETİM GİRİŞ")</f>
        <v>5</v>
      </c>
      <c r="E423" s="5" cm="1">
        <f t="array" ref="E423">IFERROR(AVERAGE(IF((KASA!$C$2:$C$9980=$C423)*((KASA!$B$2:$B$9980="MAL ALIMI")+(KASA!$B$2:$B$9980="ÜRETİM GİRİŞ")),KASA!$J$2:$J$9980)),0)</f>
        <v>118.8</v>
      </c>
      <c r="F423" s="5">
        <f>SUMIFS(KASA!$I:$I, KASA!$C:$C, $C423, KASA!$B:$B, "MAL SATIŞI") + SUMIFS(KASA!$I:$I, KASA!$C:$C, $C423, KASA!$B:$B, "ÜRETİM ÇIKIŞ")</f>
        <v>1</v>
      </c>
      <c r="G423" s="5">
        <f>SUMIFS(KASA!$I:$I, KASA!$C:$C, $C423, KASA!$B:$B, "MAL İADE")</f>
        <v>0</v>
      </c>
      <c r="H423" s="5">
        <f>SUMIFS(KASA!$K:$K, KASA!$C:$C, $C423, KASA!$B:$B, "MAL İADE") + SUMIFS(KASA!$Q:$Q, KASA!$C:$C, $C423, KASA!$B:$B, "MAL İADE")</f>
        <v>0</v>
      </c>
      <c r="I423" s="5">
        <f t="shared" si="78"/>
        <v>1</v>
      </c>
      <c r="J423" s="5">
        <f t="shared" si="79"/>
        <v>118.8</v>
      </c>
      <c r="K423" s="5">
        <f>SUMIFS(KASA!$Q:$Q, KASA!$C:$C, $C423, KASA!$B:$B, "MAL SATIŞI") + SUMIFS(KASA!$Q:$Q, KASA!$C:$C, $C423, KASA!$B:$B, "ÜRETİM ÇIKIŞ")</f>
        <v>0</v>
      </c>
      <c r="L423" s="5">
        <f>SUMIFS(KASA!$K:$K, KASA!$C:$C, $C423, KASA!$B:$B, "MAL SATIŞI") + SUMIFS(KASA!$K:$K, KASA!$C:$C, $C423, KASA!$B:$B, "ÜRETİM ÇIKIŞ")</f>
        <v>220</v>
      </c>
      <c r="M423" s="5">
        <f t="shared" si="80"/>
        <v>220</v>
      </c>
      <c r="N423" s="5">
        <f t="shared" si="81"/>
        <v>101.2</v>
      </c>
      <c r="O423" s="65">
        <f t="shared" si="82"/>
        <v>0.85185185185185186</v>
      </c>
      <c r="P423" s="5">
        <f t="shared" si="83"/>
        <v>220</v>
      </c>
      <c r="Q423" s="5">
        <f t="shared" si="84"/>
        <v>4</v>
      </c>
      <c r="R423" s="5">
        <f t="shared" si="85"/>
        <v>475.2</v>
      </c>
      <c r="S423" s="5">
        <f t="shared" si="86"/>
        <v>594</v>
      </c>
      <c r="T423">
        <v>4</v>
      </c>
      <c r="U423" s="2">
        <f t="shared" si="87"/>
        <v>0</v>
      </c>
      <c r="V423">
        <f>SUMIF(KASA!$C$2:$C$9980, C423, KASA!$T$2:$T$9980)</f>
        <v>4</v>
      </c>
      <c r="W423">
        <f>SUMIF(KASA!$C$2:$C$9980, C423, KASA!$U$2:$U$9980)</f>
        <v>475.2</v>
      </c>
      <c r="X423" s="2">
        <f t="shared" si="88"/>
        <v>4</v>
      </c>
      <c r="Y423" s="2">
        <f t="shared" si="89"/>
        <v>475.2</v>
      </c>
      <c r="Z423">
        <f>SUMIF(KASA!$C$2:$C$9980, C423, KASA!$V$2:$V$9980)</f>
        <v>594</v>
      </c>
      <c r="AA423">
        <f t="shared" si="90"/>
        <v>118.80000000000001</v>
      </c>
    </row>
    <row r="424" spans="3:27" x14ac:dyDescent="0.25">
      <c r="C424" s="4" t="s">
        <v>1375</v>
      </c>
      <c r="D424" s="5">
        <f>SUMIFS(KASA!$I:$I, KASA!$C:$C, $C424, KASA!$B:$B, "MAL ALIMI") + SUMIFS(KASA!$I:$I, KASA!$C:$C, $C424, KASA!$B:$B, "ÜRETİM GİRİŞ")</f>
        <v>3</v>
      </c>
      <c r="E424" s="5" cm="1">
        <f t="array" ref="E424">IFERROR(AVERAGE(IF((KASA!$C$2:$C$9980=$C424)*((KASA!$B$2:$B$9980="MAL ALIMI")+(KASA!$B$2:$B$9980="ÜRETİM GİRİŞ")),KASA!$J$2:$J$9980)),0)</f>
        <v>106.8</v>
      </c>
      <c r="F424" s="5">
        <f>SUMIFS(KASA!$I:$I, KASA!$C:$C, $C424, KASA!$B:$B, "MAL SATIŞI") + SUMIFS(KASA!$I:$I, KASA!$C:$C, $C424, KASA!$B:$B, "ÜRETİM ÇIKIŞ")</f>
        <v>2</v>
      </c>
      <c r="G424" s="5">
        <f>SUMIFS(KASA!$I:$I, KASA!$C:$C, $C424, KASA!$B:$B, "MAL İADE")</f>
        <v>0</v>
      </c>
      <c r="H424" s="5">
        <f>SUMIFS(KASA!$K:$K, KASA!$C:$C, $C424, KASA!$B:$B, "MAL İADE") + SUMIFS(KASA!$Q:$Q, KASA!$C:$C, $C424, KASA!$B:$B, "MAL İADE")</f>
        <v>0</v>
      </c>
      <c r="I424" s="5">
        <f t="shared" si="78"/>
        <v>2</v>
      </c>
      <c r="J424" s="5">
        <f t="shared" si="79"/>
        <v>213.6</v>
      </c>
      <c r="K424" s="5">
        <f>SUMIFS(KASA!$Q:$Q, KASA!$C:$C, $C424, KASA!$B:$B, "MAL SATIŞI") + SUMIFS(KASA!$Q:$Q, KASA!$C:$C, $C424, KASA!$B:$B, "ÜRETİM ÇIKIŞ")</f>
        <v>440</v>
      </c>
      <c r="L424" s="5">
        <f>SUMIFS(KASA!$K:$K, KASA!$C:$C, $C424, KASA!$B:$B, "MAL SATIŞI") + SUMIFS(KASA!$K:$K, KASA!$C:$C, $C424, KASA!$B:$B, "ÜRETİM ÇIKIŞ")</f>
        <v>0</v>
      </c>
      <c r="M424" s="5">
        <f t="shared" si="80"/>
        <v>440</v>
      </c>
      <c r="N424" s="5">
        <f t="shared" si="81"/>
        <v>226.4</v>
      </c>
      <c r="O424" s="65">
        <f t="shared" si="82"/>
        <v>1.0599250936329589</v>
      </c>
      <c r="P424" s="5">
        <f t="shared" si="83"/>
        <v>220</v>
      </c>
      <c r="Q424" s="5">
        <f t="shared" si="84"/>
        <v>1</v>
      </c>
      <c r="R424" s="5">
        <f t="shared" si="85"/>
        <v>106.8</v>
      </c>
      <c r="S424" s="5">
        <f t="shared" si="86"/>
        <v>320.39999999999998</v>
      </c>
      <c r="T424">
        <v>2</v>
      </c>
      <c r="U424" s="2">
        <f t="shared" si="87"/>
        <v>-1</v>
      </c>
      <c r="V424">
        <f>SUMIF(KASA!$C$2:$C$9980, C424, KASA!$T$2:$T$9980)</f>
        <v>1</v>
      </c>
      <c r="W424">
        <f>SUMIF(KASA!$C$2:$C$9980, C424, KASA!$U$2:$U$9980)</f>
        <v>106.8</v>
      </c>
      <c r="X424" s="2">
        <f t="shared" si="88"/>
        <v>1</v>
      </c>
      <c r="Y424" s="2">
        <f t="shared" si="89"/>
        <v>106.8</v>
      </c>
      <c r="Z424">
        <f>SUMIF(KASA!$C$2:$C$9980, C424, KASA!$V$2:$V$9980)</f>
        <v>320.39999999999998</v>
      </c>
      <c r="AA424">
        <f t="shared" si="90"/>
        <v>213.59999999999997</v>
      </c>
    </row>
    <row r="425" spans="3:27" x14ac:dyDescent="0.25">
      <c r="C425" s="4" t="s">
        <v>1376</v>
      </c>
      <c r="D425" s="5">
        <f>SUMIFS(KASA!$I:$I, KASA!$C:$C, $C425, KASA!$B:$B, "MAL ALIMI") + SUMIFS(KASA!$I:$I, KASA!$C:$C, $C425, KASA!$B:$B, "ÜRETİM GİRİŞ")</f>
        <v>3</v>
      </c>
      <c r="E425" s="5" cm="1">
        <f t="array" ref="E425">IFERROR(AVERAGE(IF((KASA!$C$2:$C$9980=$C425)*((KASA!$B$2:$B$9980="MAL ALIMI")+(KASA!$B$2:$B$9980="ÜRETİM GİRİŞ")),KASA!$J$2:$J$9980)),0)</f>
        <v>106.8</v>
      </c>
      <c r="F425" s="5">
        <f>SUMIFS(KASA!$I:$I, KASA!$C:$C, $C425, KASA!$B:$B, "MAL SATIŞI") + SUMIFS(KASA!$I:$I, KASA!$C:$C, $C425, KASA!$B:$B, "ÜRETİM ÇIKIŞ")</f>
        <v>0</v>
      </c>
      <c r="G425" s="5">
        <f>SUMIFS(KASA!$I:$I, KASA!$C:$C, $C425, KASA!$B:$B, "MAL İADE")</f>
        <v>0</v>
      </c>
      <c r="H425" s="5">
        <f>SUMIFS(KASA!$K:$K, KASA!$C:$C, $C425, KASA!$B:$B, "MAL İADE") + SUMIFS(KASA!$Q:$Q, KASA!$C:$C, $C425, KASA!$B:$B, "MAL İADE")</f>
        <v>0</v>
      </c>
      <c r="I425" s="5">
        <f t="shared" si="78"/>
        <v>0</v>
      </c>
      <c r="J425" s="5">
        <f t="shared" si="79"/>
        <v>0</v>
      </c>
      <c r="K425" s="5">
        <f>SUMIFS(KASA!$Q:$Q, KASA!$C:$C, $C425, KASA!$B:$B, "MAL SATIŞI") + SUMIFS(KASA!$Q:$Q, KASA!$C:$C, $C425, KASA!$B:$B, "ÜRETİM ÇIKIŞ")</f>
        <v>0</v>
      </c>
      <c r="L425" s="5">
        <f>SUMIFS(KASA!$K:$K, KASA!$C:$C, $C425, KASA!$B:$B, "MAL SATIŞI") + SUMIFS(KASA!$K:$K, KASA!$C:$C, $C425, KASA!$B:$B, "ÜRETİM ÇIKIŞ")</f>
        <v>0</v>
      </c>
      <c r="M425" s="5">
        <f t="shared" si="80"/>
        <v>0</v>
      </c>
      <c r="N425" s="5">
        <f t="shared" si="81"/>
        <v>0</v>
      </c>
      <c r="O425" s="65">
        <f t="shared" si="82"/>
        <v>0</v>
      </c>
      <c r="P425" s="5" t="e">
        <f t="shared" si="83"/>
        <v>#DIV/0!</v>
      </c>
      <c r="Q425" s="5">
        <f t="shared" si="84"/>
        <v>3</v>
      </c>
      <c r="R425" s="5">
        <f t="shared" si="85"/>
        <v>320.39999999999998</v>
      </c>
      <c r="S425" s="5">
        <f t="shared" si="86"/>
        <v>320.39999999999998</v>
      </c>
      <c r="T425">
        <v>3</v>
      </c>
      <c r="U425" s="2">
        <f t="shared" si="87"/>
        <v>0</v>
      </c>
      <c r="V425">
        <f>SUMIF(KASA!$C$2:$C$9980, C425, KASA!$T$2:$T$9980)</f>
        <v>3</v>
      </c>
      <c r="W425">
        <f>SUMIF(KASA!$C$2:$C$9980, C425, KASA!$U$2:$U$9980)</f>
        <v>320.39999999999998</v>
      </c>
      <c r="X425" s="2">
        <f t="shared" si="88"/>
        <v>3</v>
      </c>
      <c r="Y425" s="2">
        <f t="shared" si="89"/>
        <v>320.39999999999998</v>
      </c>
      <c r="Z425">
        <f>SUMIF(KASA!$C$2:$C$9980, C425, KASA!$V$2:$V$9980)</f>
        <v>320.39999999999998</v>
      </c>
      <c r="AA425">
        <f t="shared" si="90"/>
        <v>0</v>
      </c>
    </row>
    <row r="426" spans="3:27" x14ac:dyDescent="0.25">
      <c r="C426" s="4" t="s">
        <v>1377</v>
      </c>
      <c r="D426" s="5">
        <f>SUMIFS(KASA!$I:$I, KASA!$C:$C, $C426, KASA!$B:$B, "MAL ALIMI") + SUMIFS(KASA!$I:$I, KASA!$C:$C, $C426, KASA!$B:$B, "ÜRETİM GİRİŞ")</f>
        <v>5</v>
      </c>
      <c r="E426" s="5" cm="1">
        <f t="array" ref="E426">IFERROR(AVERAGE(IF((KASA!$C$2:$C$9980=$C426)*((KASA!$B$2:$B$9980="MAL ALIMI")+(KASA!$B$2:$B$9980="ÜRETİM GİRİŞ")),KASA!$J$2:$J$9980)),0)</f>
        <v>111</v>
      </c>
      <c r="F426" s="5">
        <f>SUMIFS(KASA!$I:$I, KASA!$C:$C, $C426, KASA!$B:$B, "MAL SATIŞI") + SUMIFS(KASA!$I:$I, KASA!$C:$C, $C426, KASA!$B:$B, "ÜRETİM ÇIKIŞ")</f>
        <v>0</v>
      </c>
      <c r="G426" s="5">
        <f>SUMIFS(KASA!$I:$I, KASA!$C:$C, $C426, KASA!$B:$B, "MAL İADE")</f>
        <v>0</v>
      </c>
      <c r="H426" s="5">
        <f>SUMIFS(KASA!$K:$K, KASA!$C:$C, $C426, KASA!$B:$B, "MAL İADE") + SUMIFS(KASA!$Q:$Q, KASA!$C:$C, $C426, KASA!$B:$B, "MAL İADE")</f>
        <v>0</v>
      </c>
      <c r="I426" s="5">
        <f t="shared" si="78"/>
        <v>0</v>
      </c>
      <c r="J426" s="5">
        <f t="shared" si="79"/>
        <v>0</v>
      </c>
      <c r="K426" s="5">
        <f>SUMIFS(KASA!$Q:$Q, KASA!$C:$C, $C426, KASA!$B:$B, "MAL SATIŞI") + SUMIFS(KASA!$Q:$Q, KASA!$C:$C, $C426, KASA!$B:$B, "ÜRETİM ÇIKIŞ")</f>
        <v>0</v>
      </c>
      <c r="L426" s="5">
        <f>SUMIFS(KASA!$K:$K, KASA!$C:$C, $C426, KASA!$B:$B, "MAL SATIŞI") + SUMIFS(KASA!$K:$K, KASA!$C:$C, $C426, KASA!$B:$B, "ÜRETİM ÇIKIŞ")</f>
        <v>0</v>
      </c>
      <c r="M426" s="5">
        <f t="shared" si="80"/>
        <v>0</v>
      </c>
      <c r="N426" s="5">
        <f t="shared" si="81"/>
        <v>0</v>
      </c>
      <c r="O426" s="65">
        <f t="shared" si="82"/>
        <v>0</v>
      </c>
      <c r="P426" s="5" t="e">
        <f t="shared" si="83"/>
        <v>#DIV/0!</v>
      </c>
      <c r="Q426" s="5">
        <f t="shared" si="84"/>
        <v>5</v>
      </c>
      <c r="R426" s="5">
        <f t="shared" si="85"/>
        <v>555</v>
      </c>
      <c r="S426" s="5">
        <f t="shared" si="86"/>
        <v>555</v>
      </c>
      <c r="T426">
        <v>5</v>
      </c>
      <c r="U426" s="2">
        <f t="shared" si="87"/>
        <v>0</v>
      </c>
      <c r="V426">
        <f>SUMIF(KASA!$C$2:$C$9980, C426, KASA!$T$2:$T$9980)</f>
        <v>5</v>
      </c>
      <c r="W426">
        <f>SUMIF(KASA!$C$2:$C$9980, C426, KASA!$U$2:$U$9980)</f>
        <v>555</v>
      </c>
      <c r="X426" s="2">
        <f t="shared" si="88"/>
        <v>5</v>
      </c>
      <c r="Y426" s="2">
        <f t="shared" si="89"/>
        <v>555</v>
      </c>
      <c r="Z426">
        <f>SUMIF(KASA!$C$2:$C$9980, C426, KASA!$V$2:$V$9980)</f>
        <v>555</v>
      </c>
      <c r="AA426">
        <f t="shared" si="90"/>
        <v>0</v>
      </c>
    </row>
    <row r="427" spans="3:27" x14ac:dyDescent="0.25">
      <c r="C427" s="4" t="s">
        <v>1378</v>
      </c>
      <c r="D427" s="5">
        <f>SUMIFS(KASA!$I:$I, KASA!$C:$C, $C427, KASA!$B:$B, "MAL ALIMI") + SUMIFS(KASA!$I:$I, KASA!$C:$C, $C427, KASA!$B:$B, "ÜRETİM GİRİŞ")</f>
        <v>3</v>
      </c>
      <c r="E427" s="5" cm="1">
        <f t="array" ref="E427">IFERROR(AVERAGE(IF((KASA!$C$2:$C$9980=$C427)*((KASA!$B$2:$B$9980="MAL ALIMI")+(KASA!$B$2:$B$9980="ÜRETİM GİRİŞ")),KASA!$J$2:$J$9980)),0)</f>
        <v>118.8</v>
      </c>
      <c r="F427" s="5">
        <f>SUMIFS(KASA!$I:$I, KASA!$C:$C, $C427, KASA!$B:$B, "MAL SATIŞI") + SUMIFS(KASA!$I:$I, KASA!$C:$C, $C427, KASA!$B:$B, "ÜRETİM ÇIKIŞ")</f>
        <v>0</v>
      </c>
      <c r="G427" s="5">
        <f>SUMIFS(KASA!$I:$I, KASA!$C:$C, $C427, KASA!$B:$B, "MAL İADE")</f>
        <v>0</v>
      </c>
      <c r="H427" s="5">
        <f>SUMIFS(KASA!$K:$K, KASA!$C:$C, $C427, KASA!$B:$B, "MAL İADE") + SUMIFS(KASA!$Q:$Q, KASA!$C:$C, $C427, KASA!$B:$B, "MAL İADE")</f>
        <v>0</v>
      </c>
      <c r="I427" s="5">
        <f t="shared" si="78"/>
        <v>0</v>
      </c>
      <c r="J427" s="5">
        <f t="shared" si="79"/>
        <v>0</v>
      </c>
      <c r="K427" s="5">
        <f>SUMIFS(KASA!$Q:$Q, KASA!$C:$C, $C427, KASA!$B:$B, "MAL SATIŞI") + SUMIFS(KASA!$Q:$Q, KASA!$C:$C, $C427, KASA!$B:$B, "ÜRETİM ÇIKIŞ")</f>
        <v>0</v>
      </c>
      <c r="L427" s="5">
        <f>SUMIFS(KASA!$K:$K, KASA!$C:$C, $C427, KASA!$B:$B, "MAL SATIŞI") + SUMIFS(KASA!$K:$K, KASA!$C:$C, $C427, KASA!$B:$B, "ÜRETİM ÇIKIŞ")</f>
        <v>0</v>
      </c>
      <c r="M427" s="5">
        <f t="shared" si="80"/>
        <v>0</v>
      </c>
      <c r="N427" s="5">
        <f t="shared" si="81"/>
        <v>0</v>
      </c>
      <c r="O427" s="65">
        <f t="shared" si="82"/>
        <v>0</v>
      </c>
      <c r="P427" s="5" t="e">
        <f t="shared" si="83"/>
        <v>#DIV/0!</v>
      </c>
      <c r="Q427" s="5">
        <f t="shared" si="84"/>
        <v>3</v>
      </c>
      <c r="R427" s="5">
        <f t="shared" si="85"/>
        <v>356.4</v>
      </c>
      <c r="S427" s="5">
        <f t="shared" si="86"/>
        <v>356.4</v>
      </c>
      <c r="T427">
        <v>3</v>
      </c>
      <c r="U427" s="2">
        <f t="shared" si="87"/>
        <v>0</v>
      </c>
      <c r="V427">
        <f>SUMIF(KASA!$C$2:$C$9980, C427, KASA!$T$2:$T$9980)</f>
        <v>3</v>
      </c>
      <c r="W427">
        <f>SUMIF(KASA!$C$2:$C$9980, C427, KASA!$U$2:$U$9980)</f>
        <v>356.4</v>
      </c>
      <c r="X427" s="2">
        <f t="shared" si="88"/>
        <v>3</v>
      </c>
      <c r="Y427" s="2">
        <f t="shared" si="89"/>
        <v>356.4</v>
      </c>
      <c r="Z427">
        <f>SUMIF(KASA!$C$2:$C$9980, C427, KASA!$V$2:$V$9980)</f>
        <v>356.4</v>
      </c>
      <c r="AA427">
        <f t="shared" si="90"/>
        <v>0</v>
      </c>
    </row>
    <row r="428" spans="3:27" x14ac:dyDescent="0.25">
      <c r="C428" s="4" t="s">
        <v>1379</v>
      </c>
      <c r="D428" s="5">
        <f>SUMIFS(KASA!$I:$I, KASA!$C:$C, $C428, KASA!$B:$B, "MAL ALIMI") + SUMIFS(KASA!$I:$I, KASA!$C:$C, $C428, KASA!$B:$B, "ÜRETİM GİRİŞ")</f>
        <v>3</v>
      </c>
      <c r="E428" s="5" cm="1">
        <f t="array" ref="E428">IFERROR(AVERAGE(IF((KASA!$C$2:$C$9980=$C428)*((KASA!$B$2:$B$9980="MAL ALIMI")+(KASA!$B$2:$B$9980="ÜRETİM GİRİŞ")),KASA!$J$2:$J$9980)),0)</f>
        <v>118.8</v>
      </c>
      <c r="F428" s="5">
        <f>SUMIFS(KASA!$I:$I, KASA!$C:$C, $C428, KASA!$B:$B, "MAL SATIŞI") + SUMIFS(KASA!$I:$I, KASA!$C:$C, $C428, KASA!$B:$B, "ÜRETİM ÇIKIŞ")</f>
        <v>1</v>
      </c>
      <c r="G428" s="5">
        <f>SUMIFS(KASA!$I:$I, KASA!$C:$C, $C428, KASA!$B:$B, "MAL İADE")</f>
        <v>0</v>
      </c>
      <c r="H428" s="5">
        <f>SUMIFS(KASA!$K:$K, KASA!$C:$C, $C428, KASA!$B:$B, "MAL İADE") + SUMIFS(KASA!$Q:$Q, KASA!$C:$C, $C428, KASA!$B:$B, "MAL İADE")</f>
        <v>0</v>
      </c>
      <c r="I428" s="5">
        <f t="shared" si="78"/>
        <v>1</v>
      </c>
      <c r="J428" s="5">
        <f t="shared" si="79"/>
        <v>118.8</v>
      </c>
      <c r="K428" s="5">
        <f>SUMIFS(KASA!$Q:$Q, KASA!$C:$C, $C428, KASA!$B:$B, "MAL SATIŞI") + SUMIFS(KASA!$Q:$Q, KASA!$C:$C, $C428, KASA!$B:$B, "ÜRETİM ÇIKIŞ")</f>
        <v>220</v>
      </c>
      <c r="L428" s="5">
        <f>SUMIFS(KASA!$K:$K, KASA!$C:$C, $C428, KASA!$B:$B, "MAL SATIŞI") + SUMIFS(KASA!$K:$K, KASA!$C:$C, $C428, KASA!$B:$B, "ÜRETİM ÇIKIŞ")</f>
        <v>0</v>
      </c>
      <c r="M428" s="5">
        <f t="shared" si="80"/>
        <v>220</v>
      </c>
      <c r="N428" s="5">
        <f t="shared" si="81"/>
        <v>101.2</v>
      </c>
      <c r="O428" s="65">
        <f t="shared" si="82"/>
        <v>0.85185185185185186</v>
      </c>
      <c r="P428" s="5">
        <f t="shared" si="83"/>
        <v>220</v>
      </c>
      <c r="Q428" s="5">
        <f t="shared" si="84"/>
        <v>2</v>
      </c>
      <c r="R428" s="5">
        <f t="shared" si="85"/>
        <v>237.6</v>
      </c>
      <c r="S428" s="5">
        <f t="shared" si="86"/>
        <v>356.4</v>
      </c>
      <c r="T428">
        <v>3</v>
      </c>
      <c r="U428" s="2">
        <f t="shared" si="87"/>
        <v>-1</v>
      </c>
      <c r="V428">
        <f>SUMIF(KASA!$C$2:$C$9980, C428, KASA!$T$2:$T$9980)</f>
        <v>2</v>
      </c>
      <c r="W428">
        <f>SUMIF(KASA!$C$2:$C$9980, C428, KASA!$U$2:$U$9980)</f>
        <v>237.6</v>
      </c>
      <c r="X428" s="2">
        <f t="shared" si="88"/>
        <v>2</v>
      </c>
      <c r="Y428" s="2">
        <f t="shared" si="89"/>
        <v>237.6</v>
      </c>
      <c r="Z428">
        <f>SUMIF(KASA!$C$2:$C$9980, C428, KASA!$V$2:$V$9980)</f>
        <v>356.4</v>
      </c>
      <c r="AA428">
        <f t="shared" si="90"/>
        <v>118.79999999999998</v>
      </c>
    </row>
    <row r="429" spans="3:27" x14ac:dyDescent="0.25">
      <c r="C429" s="4" t="s">
        <v>1380</v>
      </c>
      <c r="D429" s="5">
        <f>SUMIFS(KASA!$I:$I, KASA!$C:$C, $C429, KASA!$B:$B, "MAL ALIMI") + SUMIFS(KASA!$I:$I, KASA!$C:$C, $C429, KASA!$B:$B, "ÜRETİM GİRİŞ")</f>
        <v>5</v>
      </c>
      <c r="E429" s="5" cm="1">
        <f t="array" ref="E429">IFERROR(AVERAGE(IF((KASA!$C$2:$C$9980=$C429)*((KASA!$B$2:$B$9980="MAL ALIMI")+(KASA!$B$2:$B$9980="ÜRETİM GİRİŞ")),KASA!$J$2:$J$9980)),0)</f>
        <v>118.8</v>
      </c>
      <c r="F429" s="5">
        <f>SUMIFS(KASA!$I:$I, KASA!$C:$C, $C429, KASA!$B:$B, "MAL SATIŞI") + SUMIFS(KASA!$I:$I, KASA!$C:$C, $C429, KASA!$B:$B, "ÜRETİM ÇIKIŞ")</f>
        <v>0</v>
      </c>
      <c r="G429" s="5">
        <f>SUMIFS(KASA!$I:$I, KASA!$C:$C, $C429, KASA!$B:$B, "MAL İADE")</f>
        <v>0</v>
      </c>
      <c r="H429" s="5">
        <f>SUMIFS(KASA!$K:$K, KASA!$C:$C, $C429, KASA!$B:$B, "MAL İADE") + SUMIFS(KASA!$Q:$Q, KASA!$C:$C, $C429, KASA!$B:$B, "MAL İADE")</f>
        <v>0</v>
      </c>
      <c r="I429" s="5">
        <f t="shared" si="78"/>
        <v>0</v>
      </c>
      <c r="J429" s="5">
        <f t="shared" si="79"/>
        <v>0</v>
      </c>
      <c r="K429" s="5">
        <f>SUMIFS(KASA!$Q:$Q, KASA!$C:$C, $C429, KASA!$B:$B, "MAL SATIŞI") + SUMIFS(KASA!$Q:$Q, KASA!$C:$C, $C429, KASA!$B:$B, "ÜRETİM ÇIKIŞ")</f>
        <v>0</v>
      </c>
      <c r="L429" s="5">
        <f>SUMIFS(KASA!$K:$K, KASA!$C:$C, $C429, KASA!$B:$B, "MAL SATIŞI") + SUMIFS(KASA!$K:$K, KASA!$C:$C, $C429, KASA!$B:$B, "ÜRETİM ÇIKIŞ")</f>
        <v>0</v>
      </c>
      <c r="M429" s="5">
        <f t="shared" si="80"/>
        <v>0</v>
      </c>
      <c r="N429" s="5">
        <f t="shared" si="81"/>
        <v>0</v>
      </c>
      <c r="O429" s="65">
        <f t="shared" si="82"/>
        <v>0</v>
      </c>
      <c r="P429" s="5" t="e">
        <f t="shared" si="83"/>
        <v>#DIV/0!</v>
      </c>
      <c r="Q429" s="5">
        <f t="shared" si="84"/>
        <v>5</v>
      </c>
      <c r="R429" s="5">
        <f t="shared" si="85"/>
        <v>594</v>
      </c>
      <c r="S429" s="5">
        <f t="shared" si="86"/>
        <v>594</v>
      </c>
      <c r="T429">
        <v>5</v>
      </c>
      <c r="U429" s="2">
        <f t="shared" si="87"/>
        <v>0</v>
      </c>
      <c r="V429">
        <f>SUMIF(KASA!$C$2:$C$9980, C429, KASA!$T$2:$T$9980)</f>
        <v>5</v>
      </c>
      <c r="W429">
        <f>SUMIF(KASA!$C$2:$C$9980, C429, KASA!$U$2:$U$9980)</f>
        <v>594</v>
      </c>
      <c r="X429" s="2">
        <f t="shared" si="88"/>
        <v>5</v>
      </c>
      <c r="Y429" s="2">
        <f t="shared" si="89"/>
        <v>594</v>
      </c>
      <c r="Z429">
        <f>SUMIF(KASA!$C$2:$C$9980, C429, KASA!$V$2:$V$9980)</f>
        <v>594</v>
      </c>
      <c r="AA429">
        <f t="shared" si="90"/>
        <v>0</v>
      </c>
    </row>
    <row r="430" spans="3:27" x14ac:dyDescent="0.25">
      <c r="C430" s="4" t="s">
        <v>1381</v>
      </c>
      <c r="D430" s="5">
        <f>SUMIFS(KASA!$I:$I, KASA!$C:$C, $C430, KASA!$B:$B, "MAL ALIMI") + SUMIFS(KASA!$I:$I, KASA!$C:$C, $C430, KASA!$B:$B, "ÜRETİM GİRİŞ")</f>
        <v>3</v>
      </c>
      <c r="E430" s="5" cm="1">
        <f t="array" ref="E430">IFERROR(AVERAGE(IF((KASA!$C$2:$C$9980=$C430)*((KASA!$B$2:$B$9980="MAL ALIMI")+(KASA!$B$2:$B$9980="ÜRETİM GİRİŞ")),KASA!$J$2:$J$9980)),0)</f>
        <v>142.79999999999998</v>
      </c>
      <c r="F430" s="5">
        <f>SUMIFS(KASA!$I:$I, KASA!$C:$C, $C430, KASA!$B:$B, "MAL SATIŞI") + SUMIFS(KASA!$I:$I, KASA!$C:$C, $C430, KASA!$B:$B, "ÜRETİM ÇIKIŞ")</f>
        <v>0</v>
      </c>
      <c r="G430" s="5">
        <f>SUMIFS(KASA!$I:$I, KASA!$C:$C, $C430, KASA!$B:$B, "MAL İADE")</f>
        <v>0</v>
      </c>
      <c r="H430" s="5">
        <f>SUMIFS(KASA!$K:$K, KASA!$C:$C, $C430, KASA!$B:$B, "MAL İADE") + SUMIFS(KASA!$Q:$Q, KASA!$C:$C, $C430, KASA!$B:$B, "MAL İADE")</f>
        <v>0</v>
      </c>
      <c r="I430" s="5">
        <f t="shared" si="78"/>
        <v>0</v>
      </c>
      <c r="J430" s="5">
        <f t="shared" si="79"/>
        <v>0</v>
      </c>
      <c r="K430" s="5">
        <f>SUMIFS(KASA!$Q:$Q, KASA!$C:$C, $C430, KASA!$B:$B, "MAL SATIŞI") + SUMIFS(KASA!$Q:$Q, KASA!$C:$C, $C430, KASA!$B:$B, "ÜRETİM ÇIKIŞ")</f>
        <v>0</v>
      </c>
      <c r="L430" s="5">
        <f>SUMIFS(KASA!$K:$K, KASA!$C:$C, $C430, KASA!$B:$B, "MAL SATIŞI") + SUMIFS(KASA!$K:$K, KASA!$C:$C, $C430, KASA!$B:$B, "ÜRETİM ÇIKIŞ")</f>
        <v>0</v>
      </c>
      <c r="M430" s="5">
        <f t="shared" si="80"/>
        <v>0</v>
      </c>
      <c r="N430" s="5">
        <f t="shared" si="81"/>
        <v>0</v>
      </c>
      <c r="O430" s="65">
        <f t="shared" si="82"/>
        <v>0</v>
      </c>
      <c r="P430" s="5" t="e">
        <f t="shared" si="83"/>
        <v>#DIV/0!</v>
      </c>
      <c r="Q430" s="5">
        <f t="shared" si="84"/>
        <v>3</v>
      </c>
      <c r="R430" s="5">
        <f t="shared" si="85"/>
        <v>428.4</v>
      </c>
      <c r="S430" s="5">
        <f t="shared" si="86"/>
        <v>428.4</v>
      </c>
      <c r="T430">
        <v>3</v>
      </c>
      <c r="U430" s="2">
        <f t="shared" si="87"/>
        <v>0</v>
      </c>
      <c r="V430">
        <f>SUMIF(KASA!$C$2:$C$9980, C430, KASA!$T$2:$T$9980)</f>
        <v>3</v>
      </c>
      <c r="W430">
        <f>SUMIF(KASA!$C$2:$C$9980, C430, KASA!$U$2:$U$9980)</f>
        <v>428.4</v>
      </c>
      <c r="X430" s="2">
        <f t="shared" si="88"/>
        <v>3</v>
      </c>
      <c r="Y430" s="2">
        <f t="shared" si="89"/>
        <v>428.4</v>
      </c>
      <c r="Z430">
        <f>SUMIF(KASA!$C$2:$C$9980, C430, KASA!$V$2:$V$9980)</f>
        <v>428.4</v>
      </c>
      <c r="AA430">
        <f t="shared" si="90"/>
        <v>0</v>
      </c>
    </row>
    <row r="431" spans="3:27" x14ac:dyDescent="0.25">
      <c r="C431" s="4" t="s">
        <v>1382</v>
      </c>
      <c r="D431" s="5">
        <f>SUMIFS(KASA!$I:$I, KASA!$C:$C, $C431, KASA!$B:$B, "MAL ALIMI") + SUMIFS(KASA!$I:$I, KASA!$C:$C, $C431, KASA!$B:$B, "ÜRETİM GİRİŞ")</f>
        <v>3</v>
      </c>
      <c r="E431" s="5" cm="1">
        <f t="array" ref="E431">IFERROR(AVERAGE(IF((KASA!$C$2:$C$9980=$C431)*((KASA!$B$2:$B$9980="MAL ALIMI")+(KASA!$B$2:$B$9980="ÜRETİM GİRİŞ")),KASA!$J$2:$J$9980)),0)</f>
        <v>138</v>
      </c>
      <c r="F431" s="5">
        <f>SUMIFS(KASA!$I:$I, KASA!$C:$C, $C431, KASA!$B:$B, "MAL SATIŞI") + SUMIFS(KASA!$I:$I, KASA!$C:$C, $C431, KASA!$B:$B, "ÜRETİM ÇIKIŞ")</f>
        <v>3</v>
      </c>
      <c r="G431" s="5">
        <f>SUMIFS(KASA!$I:$I, KASA!$C:$C, $C431, KASA!$B:$B, "MAL İADE")</f>
        <v>0</v>
      </c>
      <c r="H431" s="5">
        <f>SUMIFS(KASA!$K:$K, KASA!$C:$C, $C431, KASA!$B:$B, "MAL İADE") + SUMIFS(KASA!$Q:$Q, KASA!$C:$C, $C431, KASA!$B:$B, "MAL İADE")</f>
        <v>0</v>
      </c>
      <c r="I431" s="5">
        <f t="shared" si="78"/>
        <v>3</v>
      </c>
      <c r="J431" s="5">
        <f t="shared" si="79"/>
        <v>414</v>
      </c>
      <c r="K431" s="5">
        <f>SUMIFS(KASA!$Q:$Q, KASA!$C:$C, $C431, KASA!$B:$B, "MAL SATIŞI") + SUMIFS(KASA!$Q:$Q, KASA!$C:$C, $C431, KASA!$B:$B, "ÜRETİM ÇIKIŞ")</f>
        <v>500</v>
      </c>
      <c r="L431" s="5">
        <f>SUMIFS(KASA!$K:$K, KASA!$C:$C, $C431, KASA!$B:$B, "MAL SATIŞI") + SUMIFS(KASA!$K:$K, KASA!$C:$C, $C431, KASA!$B:$B, "ÜRETİM ÇIKIŞ")</f>
        <v>250</v>
      </c>
      <c r="M431" s="5">
        <f t="shared" si="80"/>
        <v>750</v>
      </c>
      <c r="N431" s="5">
        <f t="shared" si="81"/>
        <v>336</v>
      </c>
      <c r="O431" s="65">
        <f t="shared" si="82"/>
        <v>0.81159420289855078</v>
      </c>
      <c r="P431" s="5">
        <f t="shared" si="83"/>
        <v>250</v>
      </c>
      <c r="Q431" s="5">
        <f t="shared" si="84"/>
        <v>0</v>
      </c>
      <c r="R431" s="5">
        <f t="shared" si="85"/>
        <v>0</v>
      </c>
      <c r="S431" s="5">
        <f t="shared" si="86"/>
        <v>414</v>
      </c>
      <c r="T431">
        <v>3</v>
      </c>
      <c r="U431" s="2">
        <f t="shared" si="87"/>
        <v>-3</v>
      </c>
      <c r="V431">
        <f>SUMIF(KASA!$C$2:$C$9980, C431, KASA!$T$2:$T$9980)</f>
        <v>0</v>
      </c>
      <c r="W431">
        <f>SUMIF(KASA!$C$2:$C$9980, C431, KASA!$U$2:$U$9980)</f>
        <v>0</v>
      </c>
      <c r="X431" s="2">
        <f t="shared" si="88"/>
        <v>0</v>
      </c>
      <c r="Y431" s="2">
        <f t="shared" si="89"/>
        <v>0</v>
      </c>
      <c r="Z431">
        <f>SUMIF(KASA!$C$2:$C$9980, C431, KASA!$V$2:$V$9980)</f>
        <v>414</v>
      </c>
      <c r="AA431">
        <f t="shared" si="90"/>
        <v>414</v>
      </c>
    </row>
    <row r="432" spans="3:27" x14ac:dyDescent="0.25">
      <c r="C432" s="4" t="s">
        <v>1383</v>
      </c>
      <c r="D432" s="5">
        <f>SUMIFS(KASA!$I:$I, KASA!$C:$C, $C432, KASA!$B:$B, "MAL ALIMI") + SUMIFS(KASA!$I:$I, KASA!$C:$C, $C432, KASA!$B:$B, "ÜRETİM GİRİŞ")</f>
        <v>3</v>
      </c>
      <c r="E432" s="5" cm="1">
        <f t="array" ref="E432">IFERROR(AVERAGE(IF((KASA!$C$2:$C$9980=$C432)*((KASA!$B$2:$B$9980="MAL ALIMI")+(KASA!$B$2:$B$9980="ÜRETİM GİRİŞ")),KASA!$J$2:$J$9980)),0)</f>
        <v>78</v>
      </c>
      <c r="F432" s="5">
        <f>SUMIFS(KASA!$I:$I, KASA!$C:$C, $C432, KASA!$B:$B, "MAL SATIŞI") + SUMIFS(KASA!$I:$I, KASA!$C:$C, $C432, KASA!$B:$B, "ÜRETİM ÇIKIŞ")</f>
        <v>1</v>
      </c>
      <c r="G432" s="5">
        <f>SUMIFS(KASA!$I:$I, KASA!$C:$C, $C432, KASA!$B:$B, "MAL İADE")</f>
        <v>0</v>
      </c>
      <c r="H432" s="5">
        <f>SUMIFS(KASA!$K:$K, KASA!$C:$C, $C432, KASA!$B:$B, "MAL İADE") + SUMIFS(KASA!$Q:$Q, KASA!$C:$C, $C432, KASA!$B:$B, "MAL İADE")</f>
        <v>0</v>
      </c>
      <c r="I432" s="5">
        <f t="shared" si="78"/>
        <v>1</v>
      </c>
      <c r="J432" s="5">
        <f t="shared" si="79"/>
        <v>78</v>
      </c>
      <c r="K432" s="5">
        <f>SUMIFS(KASA!$Q:$Q, KASA!$C:$C, $C432, KASA!$B:$B, "MAL SATIŞI") + SUMIFS(KASA!$Q:$Q, KASA!$C:$C, $C432, KASA!$B:$B, "ÜRETİM ÇIKIŞ")</f>
        <v>155</v>
      </c>
      <c r="L432" s="5">
        <f>SUMIFS(KASA!$K:$K, KASA!$C:$C, $C432, KASA!$B:$B, "MAL SATIŞI") + SUMIFS(KASA!$K:$K, KASA!$C:$C, $C432, KASA!$B:$B, "ÜRETİM ÇIKIŞ")</f>
        <v>0</v>
      </c>
      <c r="M432" s="5">
        <f t="shared" si="80"/>
        <v>155</v>
      </c>
      <c r="N432" s="5">
        <f t="shared" si="81"/>
        <v>77</v>
      </c>
      <c r="O432" s="65">
        <f t="shared" si="82"/>
        <v>0.98717948717948723</v>
      </c>
      <c r="P432" s="5">
        <f t="shared" si="83"/>
        <v>155</v>
      </c>
      <c r="Q432" s="5">
        <f t="shared" si="84"/>
        <v>2</v>
      </c>
      <c r="R432" s="5">
        <f t="shared" si="85"/>
        <v>156</v>
      </c>
      <c r="S432" s="5">
        <f t="shared" si="86"/>
        <v>234</v>
      </c>
      <c r="T432">
        <v>3</v>
      </c>
      <c r="U432" s="2">
        <f t="shared" si="87"/>
        <v>-1</v>
      </c>
      <c r="V432">
        <f>SUMIF(KASA!$C$2:$C$9980, C432, KASA!$T$2:$T$9980)</f>
        <v>2</v>
      </c>
      <c r="W432">
        <f>SUMIF(KASA!$C$2:$C$9980, C432, KASA!$U$2:$U$9980)</f>
        <v>156</v>
      </c>
      <c r="X432" s="2">
        <f t="shared" si="88"/>
        <v>2</v>
      </c>
      <c r="Y432" s="2">
        <f t="shared" si="89"/>
        <v>156</v>
      </c>
      <c r="Z432">
        <f>SUMIF(KASA!$C$2:$C$9980, C432, KASA!$V$2:$V$9980)</f>
        <v>234</v>
      </c>
      <c r="AA432">
        <f t="shared" si="90"/>
        <v>78</v>
      </c>
    </row>
    <row r="433" spans="3:27" x14ac:dyDescent="0.25">
      <c r="C433" s="4" t="s">
        <v>1384</v>
      </c>
      <c r="D433" s="5">
        <f>SUMIFS(KASA!$I:$I, KASA!$C:$C, $C433, KASA!$B:$B, "MAL ALIMI") + SUMIFS(KASA!$I:$I, KASA!$C:$C, $C433, KASA!$B:$B, "ÜRETİM GİRİŞ")</f>
        <v>3</v>
      </c>
      <c r="E433" s="5" cm="1">
        <f t="array" ref="E433">IFERROR(AVERAGE(IF((KASA!$C$2:$C$9980=$C433)*((KASA!$B$2:$B$9980="MAL ALIMI")+(KASA!$B$2:$B$9980="ÜRETİM GİRİŞ")),KASA!$J$2:$J$9980)),0)</f>
        <v>94.8</v>
      </c>
      <c r="F433" s="5">
        <f>SUMIFS(KASA!$I:$I, KASA!$C:$C, $C433, KASA!$B:$B, "MAL SATIŞI") + SUMIFS(KASA!$I:$I, KASA!$C:$C, $C433, KASA!$B:$B, "ÜRETİM ÇIKIŞ")</f>
        <v>3</v>
      </c>
      <c r="G433" s="5">
        <f>SUMIFS(KASA!$I:$I, KASA!$C:$C, $C433, KASA!$B:$B, "MAL İADE")</f>
        <v>0</v>
      </c>
      <c r="H433" s="5">
        <f>SUMIFS(KASA!$K:$K, KASA!$C:$C, $C433, KASA!$B:$B, "MAL İADE") + SUMIFS(KASA!$Q:$Q, KASA!$C:$C, $C433, KASA!$B:$B, "MAL İADE")</f>
        <v>0</v>
      </c>
      <c r="I433" s="5">
        <f t="shared" si="78"/>
        <v>3</v>
      </c>
      <c r="J433" s="5">
        <f t="shared" si="79"/>
        <v>284.39999999999998</v>
      </c>
      <c r="K433" s="5">
        <f>SUMIFS(KASA!$Q:$Q, KASA!$C:$C, $C433, KASA!$B:$B, "MAL SATIŞI") + SUMIFS(KASA!$Q:$Q, KASA!$C:$C, $C433, KASA!$B:$B, "ÜRETİM ÇIKIŞ")</f>
        <v>570</v>
      </c>
      <c r="L433" s="5">
        <f>SUMIFS(KASA!$K:$K, KASA!$C:$C, $C433, KASA!$B:$B, "MAL SATIŞI") + SUMIFS(KASA!$K:$K, KASA!$C:$C, $C433, KASA!$B:$B, "ÜRETİM ÇIKIŞ")</f>
        <v>0</v>
      </c>
      <c r="M433" s="5">
        <f t="shared" si="80"/>
        <v>570</v>
      </c>
      <c r="N433" s="5">
        <f t="shared" si="81"/>
        <v>285.60000000000002</v>
      </c>
      <c r="O433" s="65">
        <f t="shared" si="82"/>
        <v>1.0042194092827006</v>
      </c>
      <c r="P433" s="5">
        <f t="shared" si="83"/>
        <v>190</v>
      </c>
      <c r="Q433" s="5">
        <f t="shared" si="84"/>
        <v>0</v>
      </c>
      <c r="R433" s="5">
        <f t="shared" si="85"/>
        <v>0</v>
      </c>
      <c r="S433" s="5">
        <f t="shared" si="86"/>
        <v>284.39999999999998</v>
      </c>
      <c r="T433">
        <v>3</v>
      </c>
      <c r="U433" s="2">
        <f t="shared" si="87"/>
        <v>-3</v>
      </c>
      <c r="V433">
        <f>SUMIF(KASA!$C$2:$C$9980, C433, KASA!$T$2:$T$9980)</f>
        <v>0</v>
      </c>
      <c r="W433">
        <f>SUMIF(KASA!$C$2:$C$9980, C433, KASA!$U$2:$U$9980)</f>
        <v>0</v>
      </c>
      <c r="X433" s="2">
        <f t="shared" si="88"/>
        <v>0</v>
      </c>
      <c r="Y433" s="2">
        <f t="shared" si="89"/>
        <v>0</v>
      </c>
      <c r="Z433">
        <f>SUMIF(KASA!$C$2:$C$9980, C433, KASA!$V$2:$V$9980)</f>
        <v>284.39999999999998</v>
      </c>
      <c r="AA433">
        <f t="shared" si="90"/>
        <v>284.39999999999998</v>
      </c>
    </row>
    <row r="434" spans="3:27" x14ac:dyDescent="0.25">
      <c r="C434" s="4" t="s">
        <v>1385</v>
      </c>
      <c r="D434" s="5">
        <f>SUMIFS(KASA!$I:$I, KASA!$C:$C, $C434, KASA!$B:$B, "MAL ALIMI") + SUMIFS(KASA!$I:$I, KASA!$C:$C, $C434, KASA!$B:$B, "ÜRETİM GİRİŞ")</f>
        <v>3</v>
      </c>
      <c r="E434" s="5" cm="1">
        <f t="array" ref="E434">IFERROR(AVERAGE(IF((KASA!$C$2:$C$9980=$C434)*((KASA!$B$2:$B$9980="MAL ALIMI")+(KASA!$B$2:$B$9980="ÜRETİM GİRİŞ")),KASA!$J$2:$J$9980)),0)</f>
        <v>118.8</v>
      </c>
      <c r="F434" s="5">
        <f>SUMIFS(KASA!$I:$I, KASA!$C:$C, $C434, KASA!$B:$B, "MAL SATIŞI") + SUMIFS(KASA!$I:$I, KASA!$C:$C, $C434, KASA!$B:$B, "ÜRETİM ÇIKIŞ")</f>
        <v>0</v>
      </c>
      <c r="G434" s="5">
        <f>SUMIFS(KASA!$I:$I, KASA!$C:$C, $C434, KASA!$B:$B, "MAL İADE")</f>
        <v>0</v>
      </c>
      <c r="H434" s="5">
        <f>SUMIFS(KASA!$K:$K, KASA!$C:$C, $C434, KASA!$B:$B, "MAL İADE") + SUMIFS(KASA!$Q:$Q, KASA!$C:$C, $C434, KASA!$B:$B, "MAL İADE")</f>
        <v>0</v>
      </c>
      <c r="I434" s="5">
        <f t="shared" si="78"/>
        <v>0</v>
      </c>
      <c r="J434" s="5">
        <f t="shared" si="79"/>
        <v>0</v>
      </c>
      <c r="K434" s="5">
        <f>SUMIFS(KASA!$Q:$Q, KASA!$C:$C, $C434, KASA!$B:$B, "MAL SATIŞI") + SUMIFS(KASA!$Q:$Q, KASA!$C:$C, $C434, KASA!$B:$B, "ÜRETİM ÇIKIŞ")</f>
        <v>0</v>
      </c>
      <c r="L434" s="5">
        <f>SUMIFS(KASA!$K:$K, KASA!$C:$C, $C434, KASA!$B:$B, "MAL SATIŞI") + SUMIFS(KASA!$K:$K, KASA!$C:$C, $C434, KASA!$B:$B, "ÜRETİM ÇIKIŞ")</f>
        <v>0</v>
      </c>
      <c r="M434" s="5">
        <f t="shared" si="80"/>
        <v>0</v>
      </c>
      <c r="N434" s="5">
        <f t="shared" si="81"/>
        <v>0</v>
      </c>
      <c r="O434" s="65">
        <f t="shared" si="82"/>
        <v>0</v>
      </c>
      <c r="P434" s="5" t="e">
        <f t="shared" si="83"/>
        <v>#DIV/0!</v>
      </c>
      <c r="Q434" s="5">
        <f t="shared" si="84"/>
        <v>3</v>
      </c>
      <c r="R434" s="5">
        <f t="shared" si="85"/>
        <v>356.4</v>
      </c>
      <c r="S434" s="5">
        <f t="shared" si="86"/>
        <v>356.4</v>
      </c>
      <c r="T434">
        <v>3</v>
      </c>
      <c r="U434" s="2">
        <f t="shared" si="87"/>
        <v>0</v>
      </c>
      <c r="V434">
        <f>SUMIF(KASA!$C$2:$C$9980, C434, KASA!$T$2:$T$9980)</f>
        <v>3</v>
      </c>
      <c r="W434">
        <f>SUMIF(KASA!$C$2:$C$9980, C434, KASA!$U$2:$U$9980)</f>
        <v>356.4</v>
      </c>
      <c r="X434" s="2">
        <f t="shared" si="88"/>
        <v>3</v>
      </c>
      <c r="Y434" s="2">
        <f t="shared" si="89"/>
        <v>356.4</v>
      </c>
      <c r="Z434">
        <f>SUMIF(KASA!$C$2:$C$9980, C434, KASA!$V$2:$V$9980)</f>
        <v>356.4</v>
      </c>
      <c r="AA434">
        <f t="shared" si="90"/>
        <v>0</v>
      </c>
    </row>
    <row r="435" spans="3:27" x14ac:dyDescent="0.25">
      <c r="C435" s="4" t="s">
        <v>1386</v>
      </c>
      <c r="D435" s="5">
        <f>SUMIFS(KASA!$I:$I, KASA!$C:$C, $C435, KASA!$B:$B, "MAL ALIMI") + SUMIFS(KASA!$I:$I, KASA!$C:$C, $C435, KASA!$B:$B, "ÜRETİM GİRİŞ")</f>
        <v>3</v>
      </c>
      <c r="E435" s="5" cm="1">
        <f t="array" ref="E435">IFERROR(AVERAGE(IF((KASA!$C$2:$C$9980=$C435)*((KASA!$B$2:$B$9980="MAL ALIMI")+(KASA!$B$2:$B$9980="ÜRETİM GİRİŞ")),KASA!$J$2:$J$9980)),0)</f>
        <v>178.79999999999998</v>
      </c>
      <c r="F435" s="5">
        <f>SUMIFS(KASA!$I:$I, KASA!$C:$C, $C435, KASA!$B:$B, "MAL SATIŞI") + SUMIFS(KASA!$I:$I, KASA!$C:$C, $C435, KASA!$B:$B, "ÜRETİM ÇIKIŞ")</f>
        <v>2</v>
      </c>
      <c r="G435" s="5">
        <f>SUMIFS(KASA!$I:$I, KASA!$C:$C, $C435, KASA!$B:$B, "MAL İADE")</f>
        <v>0</v>
      </c>
      <c r="H435" s="5">
        <f>SUMIFS(KASA!$K:$K, KASA!$C:$C, $C435, KASA!$B:$B, "MAL İADE") + SUMIFS(KASA!$Q:$Q, KASA!$C:$C, $C435, KASA!$B:$B, "MAL İADE")</f>
        <v>0</v>
      </c>
      <c r="I435" s="5">
        <f t="shared" si="78"/>
        <v>2</v>
      </c>
      <c r="J435" s="5">
        <f t="shared" si="79"/>
        <v>357.59999999999997</v>
      </c>
      <c r="K435" s="5">
        <f>SUMIFS(KASA!$Q:$Q, KASA!$C:$C, $C435, KASA!$B:$B, "MAL SATIŞI") + SUMIFS(KASA!$Q:$Q, KASA!$C:$C, $C435, KASA!$B:$B, "ÜRETİM ÇIKIŞ")</f>
        <v>310</v>
      </c>
      <c r="L435" s="5">
        <f>SUMIFS(KASA!$K:$K, KASA!$C:$C, $C435, KASA!$B:$B, "MAL SATIŞI") + SUMIFS(KASA!$K:$K, KASA!$C:$C, $C435, KASA!$B:$B, "ÜRETİM ÇIKIŞ")</f>
        <v>310</v>
      </c>
      <c r="M435" s="5">
        <f t="shared" si="80"/>
        <v>620</v>
      </c>
      <c r="N435" s="5">
        <f t="shared" si="81"/>
        <v>262.40000000000003</v>
      </c>
      <c r="O435" s="65">
        <f t="shared" si="82"/>
        <v>0.73378076062639841</v>
      </c>
      <c r="P435" s="5">
        <f t="shared" si="83"/>
        <v>310</v>
      </c>
      <c r="Q435" s="5">
        <f t="shared" si="84"/>
        <v>1</v>
      </c>
      <c r="R435" s="5">
        <f t="shared" si="85"/>
        <v>178.79999999999998</v>
      </c>
      <c r="S435" s="5">
        <f t="shared" si="86"/>
        <v>536.4</v>
      </c>
      <c r="T435">
        <v>3</v>
      </c>
      <c r="U435" s="2">
        <f t="shared" si="87"/>
        <v>-2</v>
      </c>
      <c r="V435">
        <f>SUMIF(KASA!$C$2:$C$9980, C435, KASA!$T$2:$T$9980)</f>
        <v>1</v>
      </c>
      <c r="W435">
        <f>SUMIF(KASA!$C$2:$C$9980, C435, KASA!$U$2:$U$9980)</f>
        <v>178.79999999999998</v>
      </c>
      <c r="X435" s="2">
        <f t="shared" si="88"/>
        <v>1</v>
      </c>
      <c r="Y435" s="2">
        <f t="shared" si="89"/>
        <v>178.79999999999998</v>
      </c>
      <c r="Z435">
        <f>SUMIF(KASA!$C$2:$C$9980, C435, KASA!$V$2:$V$9980)</f>
        <v>536.4</v>
      </c>
      <c r="AA435">
        <f t="shared" si="90"/>
        <v>357.6</v>
      </c>
    </row>
    <row r="436" spans="3:27" x14ac:dyDescent="0.25">
      <c r="C436" s="4" t="s">
        <v>1387</v>
      </c>
      <c r="D436" s="5">
        <f>SUMIFS(KASA!$I:$I, KASA!$C:$C, $C436, KASA!$B:$B, "MAL ALIMI") + SUMIFS(KASA!$I:$I, KASA!$C:$C, $C436, KASA!$B:$B, "ÜRETİM GİRİŞ")</f>
        <v>5</v>
      </c>
      <c r="E436" s="5" cm="1">
        <f t="array" ref="E436">IFERROR(AVERAGE(IF((KASA!$C$2:$C$9980=$C436)*((KASA!$B$2:$B$9980="MAL ALIMI")+(KASA!$B$2:$B$9980="ÜRETİM GİRİŞ")),KASA!$J$2:$J$9980)),0)</f>
        <v>72</v>
      </c>
      <c r="F436" s="5">
        <f>SUMIFS(KASA!$I:$I, KASA!$C:$C, $C436, KASA!$B:$B, "MAL SATIŞI") + SUMIFS(KASA!$I:$I, KASA!$C:$C, $C436, KASA!$B:$B, "ÜRETİM ÇIKIŞ")</f>
        <v>1</v>
      </c>
      <c r="G436" s="5">
        <f>SUMIFS(KASA!$I:$I, KASA!$C:$C, $C436, KASA!$B:$B, "MAL İADE")</f>
        <v>0</v>
      </c>
      <c r="H436" s="5">
        <f>SUMIFS(KASA!$K:$K, KASA!$C:$C, $C436, KASA!$B:$B, "MAL İADE") + SUMIFS(KASA!$Q:$Q, KASA!$C:$C, $C436, KASA!$B:$B, "MAL İADE")</f>
        <v>0</v>
      </c>
      <c r="I436" s="5">
        <f t="shared" si="78"/>
        <v>1</v>
      </c>
      <c r="J436" s="5">
        <f t="shared" si="79"/>
        <v>72</v>
      </c>
      <c r="K436" s="5">
        <f>SUMIFS(KASA!$Q:$Q, KASA!$C:$C, $C436, KASA!$B:$B, "MAL SATIŞI") + SUMIFS(KASA!$Q:$Q, KASA!$C:$C, $C436, KASA!$B:$B, "ÜRETİM ÇIKIŞ")</f>
        <v>0</v>
      </c>
      <c r="L436" s="5">
        <f>SUMIFS(KASA!$K:$K, KASA!$C:$C, $C436, KASA!$B:$B, "MAL SATIŞI") + SUMIFS(KASA!$K:$K, KASA!$C:$C, $C436, KASA!$B:$B, "ÜRETİM ÇIKIŞ")</f>
        <v>150</v>
      </c>
      <c r="M436" s="5">
        <f t="shared" si="80"/>
        <v>150</v>
      </c>
      <c r="N436" s="5">
        <f t="shared" si="81"/>
        <v>78</v>
      </c>
      <c r="O436" s="65">
        <f t="shared" si="82"/>
        <v>1.0833333333333333</v>
      </c>
      <c r="P436" s="5">
        <f t="shared" si="83"/>
        <v>150</v>
      </c>
      <c r="Q436" s="5">
        <f t="shared" si="84"/>
        <v>4</v>
      </c>
      <c r="R436" s="5">
        <f t="shared" si="85"/>
        <v>288</v>
      </c>
      <c r="S436" s="5">
        <f t="shared" si="86"/>
        <v>360</v>
      </c>
      <c r="T436">
        <v>5</v>
      </c>
      <c r="U436" s="2">
        <f t="shared" si="87"/>
        <v>-1</v>
      </c>
      <c r="V436">
        <f>SUMIF(KASA!$C$2:$C$9980, C436, KASA!$T$2:$T$9980)</f>
        <v>4</v>
      </c>
      <c r="W436">
        <f>SUMIF(KASA!$C$2:$C$9980, C436, KASA!$U$2:$U$9980)</f>
        <v>288</v>
      </c>
      <c r="X436" s="2">
        <f t="shared" si="88"/>
        <v>4</v>
      </c>
      <c r="Y436" s="2">
        <f t="shared" si="89"/>
        <v>288</v>
      </c>
      <c r="Z436">
        <f>SUMIF(KASA!$C$2:$C$9980, C436, KASA!$V$2:$V$9980)</f>
        <v>360</v>
      </c>
      <c r="AA436">
        <f t="shared" si="90"/>
        <v>72</v>
      </c>
    </row>
    <row r="437" spans="3:27" x14ac:dyDescent="0.25">
      <c r="C437" s="4" t="s">
        <v>1388</v>
      </c>
      <c r="D437" s="5">
        <f>SUMIFS(KASA!$I:$I, KASA!$C:$C, $C437, KASA!$B:$B, "MAL ALIMI") + SUMIFS(KASA!$I:$I, KASA!$C:$C, $C437, KASA!$B:$B, "ÜRETİM GİRİŞ")</f>
        <v>5</v>
      </c>
      <c r="E437" s="5" cm="1">
        <f t="array" ref="E437">IFERROR(AVERAGE(IF((KASA!$C$2:$C$9980=$C437)*((KASA!$B$2:$B$9980="MAL ALIMI")+(KASA!$B$2:$B$9980="ÜRETİM GİRİŞ")),KASA!$J$2:$J$9980)),0)</f>
        <v>87</v>
      </c>
      <c r="F437" s="5">
        <f>SUMIFS(KASA!$I:$I, KASA!$C:$C, $C437, KASA!$B:$B, "MAL SATIŞI") + SUMIFS(KASA!$I:$I, KASA!$C:$C, $C437, KASA!$B:$B, "ÜRETİM ÇIKIŞ")</f>
        <v>0</v>
      </c>
      <c r="G437" s="5">
        <f>SUMIFS(KASA!$I:$I, KASA!$C:$C, $C437, KASA!$B:$B, "MAL İADE")</f>
        <v>0</v>
      </c>
      <c r="H437" s="5">
        <f>SUMIFS(KASA!$K:$K, KASA!$C:$C, $C437, KASA!$B:$B, "MAL İADE") + SUMIFS(KASA!$Q:$Q, KASA!$C:$C, $C437, KASA!$B:$B, "MAL İADE")</f>
        <v>0</v>
      </c>
      <c r="I437" s="5">
        <f t="shared" si="78"/>
        <v>0</v>
      </c>
      <c r="J437" s="5">
        <f t="shared" si="79"/>
        <v>0</v>
      </c>
      <c r="K437" s="5">
        <f>SUMIFS(KASA!$Q:$Q, KASA!$C:$C, $C437, KASA!$B:$B, "MAL SATIŞI") + SUMIFS(KASA!$Q:$Q, KASA!$C:$C, $C437, KASA!$B:$B, "ÜRETİM ÇIKIŞ")</f>
        <v>0</v>
      </c>
      <c r="L437" s="5">
        <f>SUMIFS(KASA!$K:$K, KASA!$C:$C, $C437, KASA!$B:$B, "MAL SATIŞI") + SUMIFS(KASA!$K:$K, KASA!$C:$C, $C437, KASA!$B:$B, "ÜRETİM ÇIKIŞ")</f>
        <v>0</v>
      </c>
      <c r="M437" s="5">
        <f t="shared" si="80"/>
        <v>0</v>
      </c>
      <c r="N437" s="5">
        <f t="shared" si="81"/>
        <v>0</v>
      </c>
      <c r="O437" s="65">
        <f t="shared" si="82"/>
        <v>0</v>
      </c>
      <c r="P437" s="5" t="e">
        <f t="shared" si="83"/>
        <v>#DIV/0!</v>
      </c>
      <c r="Q437" s="5">
        <f t="shared" si="84"/>
        <v>5</v>
      </c>
      <c r="R437" s="5">
        <f t="shared" si="85"/>
        <v>435</v>
      </c>
      <c r="S437" s="5">
        <f t="shared" si="86"/>
        <v>435</v>
      </c>
      <c r="T437">
        <v>5</v>
      </c>
      <c r="U437" s="2">
        <f t="shared" si="87"/>
        <v>0</v>
      </c>
      <c r="V437">
        <f>SUMIF(KASA!$C$2:$C$9980, C437, KASA!$T$2:$T$9980)</f>
        <v>5</v>
      </c>
      <c r="W437">
        <f>SUMIF(KASA!$C$2:$C$9980, C437, KASA!$U$2:$U$9980)</f>
        <v>435</v>
      </c>
      <c r="X437" s="2">
        <f t="shared" si="88"/>
        <v>5</v>
      </c>
      <c r="Y437" s="2">
        <f t="shared" si="89"/>
        <v>435</v>
      </c>
      <c r="Z437">
        <f>SUMIF(KASA!$C$2:$C$9980, C437, KASA!$V$2:$V$9980)</f>
        <v>435</v>
      </c>
      <c r="AA437">
        <f t="shared" si="90"/>
        <v>0</v>
      </c>
    </row>
    <row r="438" spans="3:27" x14ac:dyDescent="0.25">
      <c r="C438" s="4" t="s">
        <v>1389</v>
      </c>
      <c r="D438" s="5">
        <f>SUMIFS(KASA!$I:$I, KASA!$C:$C, $C438, KASA!$B:$B, "MAL ALIMI") + SUMIFS(KASA!$I:$I, KASA!$C:$C, $C438, KASA!$B:$B, "ÜRETİM GİRİŞ")</f>
        <v>5</v>
      </c>
      <c r="E438" s="5" cm="1">
        <f t="array" ref="E438">IFERROR(AVERAGE(IF((KASA!$C$2:$C$9980=$C438)*((KASA!$B$2:$B$9980="MAL ALIMI")+(KASA!$B$2:$B$9980="ÜRETİM GİRİŞ")),KASA!$J$2:$J$9980)),0)</f>
        <v>75</v>
      </c>
      <c r="F438" s="5">
        <f>SUMIFS(KASA!$I:$I, KASA!$C:$C, $C438, KASA!$B:$B, "MAL SATIŞI") + SUMIFS(KASA!$I:$I, KASA!$C:$C, $C438, KASA!$B:$B, "ÜRETİM ÇIKIŞ")</f>
        <v>0</v>
      </c>
      <c r="G438" s="5">
        <f>SUMIFS(KASA!$I:$I, KASA!$C:$C, $C438, KASA!$B:$B, "MAL İADE")</f>
        <v>0</v>
      </c>
      <c r="H438" s="5">
        <f>SUMIFS(KASA!$K:$K, KASA!$C:$C, $C438, KASA!$B:$B, "MAL İADE") + SUMIFS(KASA!$Q:$Q, KASA!$C:$C, $C438, KASA!$B:$B, "MAL İADE")</f>
        <v>0</v>
      </c>
      <c r="I438" s="5">
        <f t="shared" si="78"/>
        <v>0</v>
      </c>
      <c r="J438" s="5">
        <f t="shared" si="79"/>
        <v>0</v>
      </c>
      <c r="K438" s="5">
        <f>SUMIFS(KASA!$Q:$Q, KASA!$C:$C, $C438, KASA!$B:$B, "MAL SATIŞI") + SUMIFS(KASA!$Q:$Q, KASA!$C:$C, $C438, KASA!$B:$B, "ÜRETİM ÇIKIŞ")</f>
        <v>0</v>
      </c>
      <c r="L438" s="5">
        <f>SUMIFS(KASA!$K:$K, KASA!$C:$C, $C438, KASA!$B:$B, "MAL SATIŞI") + SUMIFS(KASA!$K:$K, KASA!$C:$C, $C438, KASA!$B:$B, "ÜRETİM ÇIKIŞ")</f>
        <v>0</v>
      </c>
      <c r="M438" s="5">
        <f t="shared" si="80"/>
        <v>0</v>
      </c>
      <c r="N438" s="5">
        <f t="shared" si="81"/>
        <v>0</v>
      </c>
      <c r="O438" s="65">
        <f t="shared" si="82"/>
        <v>0</v>
      </c>
      <c r="P438" s="5" t="e">
        <f t="shared" si="83"/>
        <v>#DIV/0!</v>
      </c>
      <c r="Q438" s="5">
        <f t="shared" si="84"/>
        <v>5</v>
      </c>
      <c r="R438" s="5">
        <f t="shared" si="85"/>
        <v>375</v>
      </c>
      <c r="S438" s="5">
        <f t="shared" si="86"/>
        <v>375</v>
      </c>
      <c r="T438">
        <v>5</v>
      </c>
      <c r="U438" s="2">
        <f t="shared" si="87"/>
        <v>0</v>
      </c>
      <c r="V438">
        <f>SUMIF(KASA!$C$2:$C$9980, C438, KASA!$T$2:$T$9980)</f>
        <v>5</v>
      </c>
      <c r="W438">
        <f>SUMIF(KASA!$C$2:$C$9980, C438, KASA!$U$2:$U$9980)</f>
        <v>375</v>
      </c>
      <c r="X438" s="2">
        <f t="shared" si="88"/>
        <v>5</v>
      </c>
      <c r="Y438" s="2">
        <f t="shared" si="89"/>
        <v>375</v>
      </c>
      <c r="Z438">
        <f>SUMIF(KASA!$C$2:$C$9980, C438, KASA!$V$2:$V$9980)</f>
        <v>375</v>
      </c>
      <c r="AA438">
        <f t="shared" si="90"/>
        <v>0</v>
      </c>
    </row>
    <row r="439" spans="3:27" x14ac:dyDescent="0.25">
      <c r="C439" s="4" t="s">
        <v>1390</v>
      </c>
      <c r="D439" s="5">
        <f>SUMIFS(KASA!$I:$I, KASA!$C:$C, $C439, KASA!$B:$B, "MAL ALIMI") + SUMIFS(KASA!$I:$I, KASA!$C:$C, $C439, KASA!$B:$B, "ÜRETİM GİRİŞ")</f>
        <v>5</v>
      </c>
      <c r="E439" s="5" cm="1">
        <f t="array" ref="E439">IFERROR(AVERAGE(IF((KASA!$C$2:$C$9980=$C439)*((KASA!$B$2:$B$9980="MAL ALIMI")+(KASA!$B$2:$B$9980="ÜRETİM GİRİŞ")),KASA!$J$2:$J$9980)),0)</f>
        <v>60</v>
      </c>
      <c r="F439" s="5">
        <f>SUMIFS(KASA!$I:$I, KASA!$C:$C, $C439, KASA!$B:$B, "MAL SATIŞI") + SUMIFS(KASA!$I:$I, KASA!$C:$C, $C439, KASA!$B:$B, "ÜRETİM ÇIKIŞ")</f>
        <v>0</v>
      </c>
      <c r="G439" s="5">
        <f>SUMIFS(KASA!$I:$I, KASA!$C:$C, $C439, KASA!$B:$B, "MAL İADE")</f>
        <v>0</v>
      </c>
      <c r="H439" s="5">
        <f>SUMIFS(KASA!$K:$K, KASA!$C:$C, $C439, KASA!$B:$B, "MAL İADE") + SUMIFS(KASA!$Q:$Q, KASA!$C:$C, $C439, KASA!$B:$B, "MAL İADE")</f>
        <v>0</v>
      </c>
      <c r="I439" s="5">
        <f t="shared" si="78"/>
        <v>0</v>
      </c>
      <c r="J439" s="5">
        <f t="shared" si="79"/>
        <v>0</v>
      </c>
      <c r="K439" s="5">
        <f>SUMIFS(KASA!$Q:$Q, KASA!$C:$C, $C439, KASA!$B:$B, "MAL SATIŞI") + SUMIFS(KASA!$Q:$Q, KASA!$C:$C, $C439, KASA!$B:$B, "ÜRETİM ÇIKIŞ")</f>
        <v>0</v>
      </c>
      <c r="L439" s="5">
        <f>SUMIFS(KASA!$K:$K, KASA!$C:$C, $C439, KASA!$B:$B, "MAL SATIŞI") + SUMIFS(KASA!$K:$K, KASA!$C:$C, $C439, KASA!$B:$B, "ÜRETİM ÇIKIŞ")</f>
        <v>0</v>
      </c>
      <c r="M439" s="5">
        <f t="shared" si="80"/>
        <v>0</v>
      </c>
      <c r="N439" s="5">
        <f t="shared" si="81"/>
        <v>0</v>
      </c>
      <c r="O439" s="65">
        <f t="shared" si="82"/>
        <v>0</v>
      </c>
      <c r="P439" s="5" t="e">
        <f t="shared" si="83"/>
        <v>#DIV/0!</v>
      </c>
      <c r="Q439" s="5">
        <f t="shared" si="84"/>
        <v>5</v>
      </c>
      <c r="R439" s="5">
        <f t="shared" si="85"/>
        <v>300</v>
      </c>
      <c r="S439" s="5">
        <f t="shared" si="86"/>
        <v>300</v>
      </c>
      <c r="T439">
        <v>5</v>
      </c>
      <c r="U439" s="2">
        <f t="shared" si="87"/>
        <v>0</v>
      </c>
      <c r="V439">
        <f>SUMIF(KASA!$C$2:$C$9980, C439, KASA!$T$2:$T$9980)</f>
        <v>5</v>
      </c>
      <c r="W439">
        <f>SUMIF(KASA!$C$2:$C$9980, C439, KASA!$U$2:$U$9980)</f>
        <v>300</v>
      </c>
      <c r="X439" s="2">
        <f t="shared" si="88"/>
        <v>5</v>
      </c>
      <c r="Y439" s="2">
        <f t="shared" si="89"/>
        <v>300</v>
      </c>
      <c r="Z439">
        <f>SUMIF(KASA!$C$2:$C$9980, C439, KASA!$V$2:$V$9980)</f>
        <v>300</v>
      </c>
      <c r="AA439">
        <f t="shared" si="90"/>
        <v>0</v>
      </c>
    </row>
    <row r="440" spans="3:27" x14ac:dyDescent="0.25">
      <c r="C440" s="4" t="s">
        <v>1391</v>
      </c>
      <c r="D440" s="5">
        <f>SUMIFS(KASA!$I:$I, KASA!$C:$C, $C440, KASA!$B:$B, "MAL ALIMI") + SUMIFS(KASA!$I:$I, KASA!$C:$C, $C440, KASA!$B:$B, "ÜRETİM GİRİŞ")</f>
        <v>8</v>
      </c>
      <c r="E440" s="5" cm="1">
        <f t="array" ref="E440">IFERROR(AVERAGE(IF((KASA!$C$2:$C$9980=$C440)*((KASA!$B$2:$B$9980="MAL ALIMI")+(KASA!$B$2:$B$9980="ÜRETİM GİRİŞ")),KASA!$J$2:$J$9980)),0)</f>
        <v>78.10329999999999</v>
      </c>
      <c r="F440" s="5">
        <f>SUMIFS(KASA!$I:$I, KASA!$C:$C, $C440, KASA!$B:$B, "MAL SATIŞI") + SUMIFS(KASA!$I:$I, KASA!$C:$C, $C440, KASA!$B:$B, "ÜRETİM ÇIKIŞ")</f>
        <v>5</v>
      </c>
      <c r="G440" s="5">
        <f>SUMIFS(KASA!$I:$I, KASA!$C:$C, $C440, KASA!$B:$B, "MAL İADE")</f>
        <v>0</v>
      </c>
      <c r="H440" s="5">
        <f>SUMIFS(KASA!$K:$K, KASA!$C:$C, $C440, KASA!$B:$B, "MAL İADE") + SUMIFS(KASA!$Q:$Q, KASA!$C:$C, $C440, KASA!$B:$B, "MAL İADE")</f>
        <v>0</v>
      </c>
      <c r="I440" s="5">
        <f t="shared" si="78"/>
        <v>5</v>
      </c>
      <c r="J440" s="5">
        <f t="shared" si="79"/>
        <v>390.51649999999995</v>
      </c>
      <c r="K440" s="5">
        <f>SUMIFS(KASA!$Q:$Q, KASA!$C:$C, $C440, KASA!$B:$B, "MAL SATIŞI") + SUMIFS(KASA!$Q:$Q, KASA!$C:$C, $C440, KASA!$B:$B, "ÜRETİM ÇIKIŞ")</f>
        <v>700</v>
      </c>
      <c r="L440" s="5">
        <f>SUMIFS(KASA!$K:$K, KASA!$C:$C, $C440, KASA!$B:$B, "MAL SATIŞI") + SUMIFS(KASA!$K:$K, KASA!$C:$C, $C440, KASA!$B:$B, "ÜRETİM ÇIKIŞ")</f>
        <v>190</v>
      </c>
      <c r="M440" s="5">
        <f t="shared" si="80"/>
        <v>890</v>
      </c>
      <c r="N440" s="5">
        <f t="shared" si="81"/>
        <v>499.48350000000005</v>
      </c>
      <c r="O440" s="65">
        <f t="shared" si="82"/>
        <v>1.2790330242128056</v>
      </c>
      <c r="P440" s="5">
        <f t="shared" si="83"/>
        <v>178</v>
      </c>
      <c r="Q440" s="5">
        <f t="shared" si="84"/>
        <v>3</v>
      </c>
      <c r="R440" s="5">
        <f t="shared" si="85"/>
        <v>234.30989999999997</v>
      </c>
      <c r="S440" s="5">
        <f t="shared" si="86"/>
        <v>624.82639999999992</v>
      </c>
      <c r="T440">
        <v>4</v>
      </c>
      <c r="U440" s="2">
        <f t="shared" si="87"/>
        <v>-1</v>
      </c>
      <c r="V440">
        <f>SUMIF(KASA!$C$2:$C$9980, C440, KASA!$T$2:$T$9980)</f>
        <v>3</v>
      </c>
      <c r="W440">
        <f>SUMIF(KASA!$C$2:$C$9980, C440, KASA!$U$2:$U$9980)</f>
        <v>273.63929999999999</v>
      </c>
      <c r="X440" s="2">
        <f t="shared" si="88"/>
        <v>3</v>
      </c>
      <c r="Y440" s="2">
        <f t="shared" si="89"/>
        <v>273.63929999999999</v>
      </c>
      <c r="Z440">
        <f>SUMIF(KASA!$C$2:$C$9980, C440, KASA!$V$2:$V$9980)</f>
        <v>651.04600000000005</v>
      </c>
      <c r="AA440">
        <f t="shared" si="90"/>
        <v>377.40670000000006</v>
      </c>
    </row>
    <row r="441" spans="3:27" x14ac:dyDescent="0.25">
      <c r="C441" s="4" t="s">
        <v>1392</v>
      </c>
      <c r="D441" s="5">
        <f>SUMIFS(KASA!$I:$I, KASA!$C:$C, $C441, KASA!$B:$B, "MAL ALIMI") + SUMIFS(KASA!$I:$I, KASA!$C:$C, $C441, KASA!$B:$B, "ÜRETİM GİRİŞ")</f>
        <v>3</v>
      </c>
      <c r="E441" s="5" cm="1">
        <f t="array" ref="E441">IFERROR(AVERAGE(IF((KASA!$C$2:$C$9980=$C441)*((KASA!$B$2:$B$9980="MAL ALIMI")+(KASA!$B$2:$B$9980="ÜRETİM GİRİŞ")),KASA!$J$2:$J$9980)),0)</f>
        <v>39.783900000000003</v>
      </c>
      <c r="F441" s="5">
        <f>SUMIFS(KASA!$I:$I, KASA!$C:$C, $C441, KASA!$B:$B, "MAL SATIŞI") + SUMIFS(KASA!$I:$I, KASA!$C:$C, $C441, KASA!$B:$B, "ÜRETİM ÇIKIŞ")</f>
        <v>1</v>
      </c>
      <c r="G441" s="5">
        <f>SUMIFS(KASA!$I:$I, KASA!$C:$C, $C441, KASA!$B:$B, "MAL İADE")</f>
        <v>0</v>
      </c>
      <c r="H441" s="5">
        <f>SUMIFS(KASA!$K:$K, KASA!$C:$C, $C441, KASA!$B:$B, "MAL İADE") + SUMIFS(KASA!$Q:$Q, KASA!$C:$C, $C441, KASA!$B:$B, "MAL İADE")</f>
        <v>0</v>
      </c>
      <c r="I441" s="5">
        <f t="shared" si="78"/>
        <v>1</v>
      </c>
      <c r="J441" s="5">
        <f t="shared" si="79"/>
        <v>39.783900000000003</v>
      </c>
      <c r="K441" s="5">
        <f>SUMIFS(KASA!$Q:$Q, KASA!$C:$C, $C441, KASA!$B:$B, "MAL SATIŞI") + SUMIFS(KASA!$Q:$Q, KASA!$C:$C, $C441, KASA!$B:$B, "ÜRETİM ÇIKIŞ")</f>
        <v>190</v>
      </c>
      <c r="L441" s="5">
        <f>SUMIFS(KASA!$K:$K, KASA!$C:$C, $C441, KASA!$B:$B, "MAL SATIŞI") + SUMIFS(KASA!$K:$K, KASA!$C:$C, $C441, KASA!$B:$B, "ÜRETİM ÇIKIŞ")</f>
        <v>0</v>
      </c>
      <c r="M441" s="5">
        <f t="shared" si="80"/>
        <v>190</v>
      </c>
      <c r="N441" s="5">
        <f t="shared" si="81"/>
        <v>150.21609999999998</v>
      </c>
      <c r="O441" s="65">
        <f t="shared" si="82"/>
        <v>3.7758012663414089</v>
      </c>
      <c r="P441" s="5">
        <f t="shared" si="83"/>
        <v>190</v>
      </c>
      <c r="Q441" s="5">
        <f t="shared" si="84"/>
        <v>2</v>
      </c>
      <c r="R441" s="5">
        <f t="shared" si="85"/>
        <v>79.567800000000005</v>
      </c>
      <c r="S441" s="5">
        <f t="shared" si="86"/>
        <v>119.35170000000001</v>
      </c>
      <c r="T441">
        <v>2</v>
      </c>
      <c r="U441" s="2">
        <f t="shared" si="87"/>
        <v>0</v>
      </c>
      <c r="V441">
        <f>SUMIF(KASA!$C$2:$C$9980, C441, KASA!$T$2:$T$9980)</f>
        <v>2</v>
      </c>
      <c r="W441">
        <f>SUMIF(KASA!$C$2:$C$9980, C441, KASA!$U$2:$U$9980)</f>
        <v>79.567800000000005</v>
      </c>
      <c r="X441" s="2">
        <f t="shared" si="88"/>
        <v>2</v>
      </c>
      <c r="Y441" s="2">
        <f t="shared" si="89"/>
        <v>79.567800000000005</v>
      </c>
      <c r="Z441">
        <f>SUMIF(KASA!$C$2:$C$9980, C441, KASA!$V$2:$V$9980)</f>
        <v>119.35170000000001</v>
      </c>
      <c r="AA441">
        <f t="shared" si="90"/>
        <v>39.783900000000003</v>
      </c>
    </row>
    <row r="442" spans="3:27" x14ac:dyDescent="0.25">
      <c r="C442" s="4" t="s">
        <v>1393</v>
      </c>
      <c r="D442" s="5">
        <f>SUMIFS(KASA!$I:$I, KASA!$C:$C, $C442, KASA!$B:$B, "MAL ALIMI") + SUMIFS(KASA!$I:$I, KASA!$C:$C, $C442, KASA!$B:$B, "ÜRETİM GİRİŞ")</f>
        <v>15</v>
      </c>
      <c r="E442" s="5" cm="1">
        <f t="array" ref="E442">IFERROR(AVERAGE(IF((KASA!$C$2:$C$9980=$C442)*((KASA!$B$2:$B$9980="MAL ALIMI")+(KASA!$B$2:$B$9980="ÜRETİM GİRİŞ")),KASA!$J$2:$J$9980)),0)</f>
        <v>70.201999999999998</v>
      </c>
      <c r="F442" s="5">
        <f>SUMIFS(KASA!$I:$I, KASA!$C:$C, $C442, KASA!$B:$B, "MAL SATIŞI") + SUMIFS(KASA!$I:$I, KASA!$C:$C, $C442, KASA!$B:$B, "ÜRETİM ÇIKIŞ")</f>
        <v>9</v>
      </c>
      <c r="G442" s="5">
        <f>SUMIFS(KASA!$I:$I, KASA!$C:$C, $C442, KASA!$B:$B, "MAL İADE")</f>
        <v>0</v>
      </c>
      <c r="H442" s="5">
        <f>SUMIFS(KASA!$K:$K, KASA!$C:$C, $C442, KASA!$B:$B, "MAL İADE") + SUMIFS(KASA!$Q:$Q, KASA!$C:$C, $C442, KASA!$B:$B, "MAL İADE")</f>
        <v>0</v>
      </c>
      <c r="I442" s="5">
        <f t="shared" si="78"/>
        <v>9</v>
      </c>
      <c r="J442" s="5">
        <f t="shared" si="79"/>
        <v>631.81799999999998</v>
      </c>
      <c r="K442" s="5">
        <f>SUMIFS(KASA!$Q:$Q, KASA!$C:$C, $C442, KASA!$B:$B, "MAL SATIŞI") + SUMIFS(KASA!$Q:$Q, KASA!$C:$C, $C442, KASA!$B:$B, "ÜRETİM ÇIKIŞ")</f>
        <v>991</v>
      </c>
      <c r="L442" s="5">
        <f>SUMIFS(KASA!$K:$K, KASA!$C:$C, $C442, KASA!$B:$B, "MAL SATIŞI") + SUMIFS(KASA!$K:$K, KASA!$C:$C, $C442, KASA!$B:$B, "ÜRETİM ÇIKIŞ")</f>
        <v>135</v>
      </c>
      <c r="M442" s="5">
        <f t="shared" si="80"/>
        <v>1126</v>
      </c>
      <c r="N442" s="5">
        <f t="shared" si="81"/>
        <v>494.18200000000002</v>
      </c>
      <c r="O442" s="65">
        <f t="shared" si="82"/>
        <v>0.78215878623274426</v>
      </c>
      <c r="P442" s="5">
        <f t="shared" si="83"/>
        <v>125.11111111111111</v>
      </c>
      <c r="Q442" s="5">
        <f t="shared" si="84"/>
        <v>6</v>
      </c>
      <c r="R442" s="5">
        <f t="shared" si="85"/>
        <v>421.21199999999999</v>
      </c>
      <c r="S442" s="5">
        <f t="shared" si="86"/>
        <v>1053.03</v>
      </c>
      <c r="T442">
        <v>10</v>
      </c>
      <c r="U442" s="2">
        <f t="shared" si="87"/>
        <v>-4</v>
      </c>
      <c r="V442">
        <f>SUMIF(KASA!$C$2:$C$9980, C442, KASA!$T$2:$T$9980)</f>
        <v>6</v>
      </c>
      <c r="W442">
        <f>SUMIF(KASA!$C$2:$C$9980, C442, KASA!$U$2:$U$9980)</f>
        <v>453.024</v>
      </c>
      <c r="X442" s="2">
        <f t="shared" si="88"/>
        <v>6</v>
      </c>
      <c r="Y442" s="2">
        <f t="shared" si="89"/>
        <v>453.024</v>
      </c>
      <c r="Z442">
        <f>SUMIF(KASA!$C$2:$C$9980, C442, KASA!$V$2:$V$9980)</f>
        <v>1079.54</v>
      </c>
      <c r="AA442">
        <f t="shared" si="90"/>
        <v>626.51599999999996</v>
      </c>
    </row>
    <row r="443" spans="3:27" x14ac:dyDescent="0.25">
      <c r="C443" s="4" t="s">
        <v>1394</v>
      </c>
      <c r="D443" s="5">
        <f>SUMIFS(KASA!$I:$I, KASA!$C:$C, $C443, KASA!$B:$B, "MAL ALIMI") + SUMIFS(KASA!$I:$I, KASA!$C:$C, $C443, KASA!$B:$B, "ÜRETİM GİRİŞ")</f>
        <v>10</v>
      </c>
      <c r="E443" s="5" cm="1">
        <f t="array" ref="E443">IFERROR(AVERAGE(IF((KASA!$C$2:$C$9980=$C443)*((KASA!$B$2:$B$9980="MAL ALIMI")+(KASA!$B$2:$B$9980="ÜRETİM GİRİŞ")),KASA!$J$2:$J$9980)),0)</f>
        <v>77.473000000000013</v>
      </c>
      <c r="F443" s="5">
        <f>SUMIFS(KASA!$I:$I, KASA!$C:$C, $C443, KASA!$B:$B, "MAL SATIŞI") + SUMIFS(KASA!$I:$I, KASA!$C:$C, $C443, KASA!$B:$B, "ÜRETİM ÇIKIŞ")</f>
        <v>6</v>
      </c>
      <c r="G443" s="5">
        <f>SUMIFS(KASA!$I:$I, KASA!$C:$C, $C443, KASA!$B:$B, "MAL İADE")</f>
        <v>0</v>
      </c>
      <c r="H443" s="5">
        <f>SUMIFS(KASA!$K:$K, KASA!$C:$C, $C443, KASA!$B:$B, "MAL İADE") + SUMIFS(KASA!$Q:$Q, KASA!$C:$C, $C443, KASA!$B:$B, "MAL İADE")</f>
        <v>0</v>
      </c>
      <c r="I443" s="5">
        <f t="shared" si="78"/>
        <v>6</v>
      </c>
      <c r="J443" s="5">
        <f t="shared" si="79"/>
        <v>464.83800000000008</v>
      </c>
      <c r="K443" s="5">
        <f>SUMIFS(KASA!$Q:$Q, KASA!$C:$C, $C443, KASA!$B:$B, "MAL SATIŞI") + SUMIFS(KASA!$Q:$Q, KASA!$C:$C, $C443, KASA!$B:$B, "ÜRETİM ÇIKIŞ")</f>
        <v>650</v>
      </c>
      <c r="L443" s="5">
        <f>SUMIFS(KASA!$K:$K, KASA!$C:$C, $C443, KASA!$B:$B, "MAL SATIŞI") + SUMIFS(KASA!$K:$K, KASA!$C:$C, $C443, KASA!$B:$B, "ÜRETİM ÇIKIŞ")</f>
        <v>135</v>
      </c>
      <c r="M443" s="5">
        <f t="shared" si="80"/>
        <v>785</v>
      </c>
      <c r="N443" s="5">
        <f t="shared" si="81"/>
        <v>320.16199999999992</v>
      </c>
      <c r="O443" s="65">
        <f t="shared" si="82"/>
        <v>0.68876038533854778</v>
      </c>
      <c r="P443" s="5">
        <f t="shared" si="83"/>
        <v>130.83333333333334</v>
      </c>
      <c r="Q443" s="5">
        <f t="shared" si="84"/>
        <v>4</v>
      </c>
      <c r="R443" s="5">
        <f t="shared" si="85"/>
        <v>309.89200000000005</v>
      </c>
      <c r="S443" s="5">
        <f t="shared" si="86"/>
        <v>774.73000000000013</v>
      </c>
      <c r="T443">
        <v>7</v>
      </c>
      <c r="U443" s="2">
        <f t="shared" si="87"/>
        <v>-3</v>
      </c>
      <c r="V443">
        <f>SUMIF(KASA!$C$2:$C$9980, C443, KASA!$T$2:$T$9980)</f>
        <v>4</v>
      </c>
      <c r="W443">
        <f>SUMIF(KASA!$C$2:$C$9980, C443, KASA!$U$2:$U$9980)</f>
        <v>333.78400000000005</v>
      </c>
      <c r="X443" s="2">
        <f t="shared" si="88"/>
        <v>4</v>
      </c>
      <c r="Y443" s="2">
        <f t="shared" si="89"/>
        <v>333.78400000000005</v>
      </c>
      <c r="Z443">
        <f>SUMIF(KASA!$C$2:$C$9980, C443, KASA!$V$2:$V$9980)</f>
        <v>774.73</v>
      </c>
      <c r="AA443">
        <f t="shared" si="90"/>
        <v>440.94599999999997</v>
      </c>
    </row>
    <row r="444" spans="3:27" x14ac:dyDescent="0.25">
      <c r="C444" s="4" t="s">
        <v>1395</v>
      </c>
      <c r="D444" s="5">
        <f>SUMIFS(KASA!$I:$I, KASA!$C:$C, $C444, KASA!$B:$B, "MAL ALIMI") + SUMIFS(KASA!$I:$I, KASA!$C:$C, $C444, KASA!$B:$B, "ÜRETİM GİRİŞ")</f>
        <v>3</v>
      </c>
      <c r="E444" s="5" cm="1">
        <f t="array" ref="E444">IFERROR(AVERAGE(IF((KASA!$C$2:$C$9980=$C444)*((KASA!$B$2:$B$9980="MAL ALIMI")+(KASA!$B$2:$B$9980="ÜRETİM GİRİŞ")),KASA!$J$2:$J$9980)),0)</f>
        <v>78</v>
      </c>
      <c r="F444" s="5">
        <f>SUMIFS(KASA!$I:$I, KASA!$C:$C, $C444, KASA!$B:$B, "MAL SATIŞI") + SUMIFS(KASA!$I:$I, KASA!$C:$C, $C444, KASA!$B:$B, "ÜRETİM ÇIKIŞ")</f>
        <v>1</v>
      </c>
      <c r="G444" s="5">
        <f>SUMIFS(KASA!$I:$I, KASA!$C:$C, $C444, KASA!$B:$B, "MAL İADE")</f>
        <v>0</v>
      </c>
      <c r="H444" s="5">
        <f>SUMIFS(KASA!$K:$K, KASA!$C:$C, $C444, KASA!$B:$B, "MAL İADE") + SUMIFS(KASA!$Q:$Q, KASA!$C:$C, $C444, KASA!$B:$B, "MAL İADE")</f>
        <v>0</v>
      </c>
      <c r="I444" s="5">
        <f t="shared" si="78"/>
        <v>1</v>
      </c>
      <c r="J444" s="5">
        <f t="shared" si="79"/>
        <v>78</v>
      </c>
      <c r="K444" s="5">
        <f>SUMIFS(KASA!$Q:$Q, KASA!$C:$C, $C444, KASA!$B:$B, "MAL SATIŞI") + SUMIFS(KASA!$Q:$Q, KASA!$C:$C, $C444, KASA!$B:$B, "ÜRETİM ÇIKIŞ")</f>
        <v>0</v>
      </c>
      <c r="L444" s="5">
        <f>SUMIFS(KASA!$K:$K, KASA!$C:$C, $C444, KASA!$B:$B, "MAL SATIŞI") + SUMIFS(KASA!$K:$K, KASA!$C:$C, $C444, KASA!$B:$B, "ÜRETİM ÇIKIŞ")</f>
        <v>140</v>
      </c>
      <c r="M444" s="5">
        <f t="shared" si="80"/>
        <v>140</v>
      </c>
      <c r="N444" s="5">
        <f t="shared" si="81"/>
        <v>62</v>
      </c>
      <c r="O444" s="65">
        <f t="shared" si="82"/>
        <v>0.79487179487179482</v>
      </c>
      <c r="P444" s="5">
        <f t="shared" si="83"/>
        <v>140</v>
      </c>
      <c r="Q444" s="5">
        <f t="shared" si="84"/>
        <v>2</v>
      </c>
      <c r="R444" s="5">
        <f t="shared" si="85"/>
        <v>156</v>
      </c>
      <c r="S444" s="5">
        <f t="shared" si="86"/>
        <v>234</v>
      </c>
      <c r="T444">
        <v>3</v>
      </c>
      <c r="U444" s="2">
        <f t="shared" si="87"/>
        <v>-1</v>
      </c>
      <c r="V444">
        <f>SUMIF(KASA!$C$2:$C$9980, C444, KASA!$T$2:$T$9980)</f>
        <v>2</v>
      </c>
      <c r="W444">
        <f>SUMIF(KASA!$C$2:$C$9980, C444, KASA!$U$2:$U$9980)</f>
        <v>156</v>
      </c>
      <c r="X444" s="2">
        <f t="shared" si="88"/>
        <v>2</v>
      </c>
      <c r="Y444" s="2">
        <f t="shared" si="89"/>
        <v>156</v>
      </c>
      <c r="Z444">
        <f>SUMIF(KASA!$C$2:$C$9980, C444, KASA!$V$2:$V$9980)</f>
        <v>234</v>
      </c>
      <c r="AA444">
        <f t="shared" si="90"/>
        <v>78</v>
      </c>
    </row>
    <row r="445" spans="3:27" x14ac:dyDescent="0.25">
      <c r="C445" s="4" t="s">
        <v>1396</v>
      </c>
      <c r="D445" s="5">
        <f>SUMIFS(KASA!$I:$I, KASA!$C:$C, $C445, KASA!$B:$B, "MAL ALIMI") + SUMIFS(KASA!$I:$I, KASA!$C:$C, $C445, KASA!$B:$B, "ÜRETİM GİRİŞ")</f>
        <v>3</v>
      </c>
      <c r="E445" s="5" cm="1">
        <f t="array" ref="E445">IFERROR(AVERAGE(IF((KASA!$C$2:$C$9980=$C445)*((KASA!$B$2:$B$9980="MAL ALIMI")+(KASA!$B$2:$B$9980="ÜRETİM GİRİŞ")),KASA!$J$2:$J$9980)),0)</f>
        <v>51</v>
      </c>
      <c r="F445" s="5">
        <f>SUMIFS(KASA!$I:$I, KASA!$C:$C, $C445, KASA!$B:$B, "MAL SATIŞI") + SUMIFS(KASA!$I:$I, KASA!$C:$C, $C445, KASA!$B:$B, "ÜRETİM ÇIKIŞ")</f>
        <v>3</v>
      </c>
      <c r="G445" s="5">
        <f>SUMIFS(KASA!$I:$I, KASA!$C:$C, $C445, KASA!$B:$B, "MAL İADE")</f>
        <v>0</v>
      </c>
      <c r="H445" s="5">
        <f>SUMIFS(KASA!$K:$K, KASA!$C:$C, $C445, KASA!$B:$B, "MAL İADE") + SUMIFS(KASA!$Q:$Q, KASA!$C:$C, $C445, KASA!$B:$B, "MAL İADE")</f>
        <v>0</v>
      </c>
      <c r="I445" s="5">
        <f t="shared" si="78"/>
        <v>3</v>
      </c>
      <c r="J445" s="5">
        <f t="shared" si="79"/>
        <v>153</v>
      </c>
      <c r="K445" s="5">
        <f>SUMIFS(KASA!$Q:$Q, KASA!$C:$C, $C445, KASA!$B:$B, "MAL SATIŞI") + SUMIFS(KASA!$Q:$Q, KASA!$C:$C, $C445, KASA!$B:$B, "ÜRETİM ÇIKIŞ")</f>
        <v>200</v>
      </c>
      <c r="L445" s="5">
        <f>SUMIFS(KASA!$K:$K, KASA!$C:$C, $C445, KASA!$B:$B, "MAL SATIŞI") + SUMIFS(KASA!$K:$K, KASA!$C:$C, $C445, KASA!$B:$B, "ÜRETİM ÇIKIŞ")</f>
        <v>100</v>
      </c>
      <c r="M445" s="5">
        <f t="shared" si="80"/>
        <v>300</v>
      </c>
      <c r="N445" s="5">
        <f t="shared" si="81"/>
        <v>147</v>
      </c>
      <c r="O445" s="65">
        <f t="shared" si="82"/>
        <v>0.96078431372549022</v>
      </c>
      <c r="P445" s="5">
        <f t="shared" si="83"/>
        <v>100</v>
      </c>
      <c r="Q445" s="5">
        <f t="shared" si="84"/>
        <v>0</v>
      </c>
      <c r="R445" s="5">
        <f t="shared" si="85"/>
        <v>0</v>
      </c>
      <c r="S445" s="5">
        <f t="shared" si="86"/>
        <v>153</v>
      </c>
      <c r="T445">
        <v>2</v>
      </c>
      <c r="U445" s="2">
        <f t="shared" si="87"/>
        <v>-2</v>
      </c>
      <c r="V445">
        <f>SUMIF(KASA!$C$2:$C$9980, C445, KASA!$T$2:$T$9980)</f>
        <v>0</v>
      </c>
      <c r="W445">
        <f>SUMIF(KASA!$C$2:$C$9980, C445, KASA!$U$2:$U$9980)</f>
        <v>0</v>
      </c>
      <c r="X445" s="2">
        <f t="shared" si="88"/>
        <v>0</v>
      </c>
      <c r="Y445" s="2">
        <f t="shared" si="89"/>
        <v>0</v>
      </c>
      <c r="Z445">
        <f>SUMIF(KASA!$C$2:$C$9980, C445, KASA!$V$2:$V$9980)</f>
        <v>153</v>
      </c>
      <c r="AA445">
        <f t="shared" si="90"/>
        <v>153</v>
      </c>
    </row>
    <row r="446" spans="3:27" x14ac:dyDescent="0.25">
      <c r="C446" s="4" t="s">
        <v>1397</v>
      </c>
      <c r="D446" s="5">
        <f>SUMIFS(KASA!$I:$I, KASA!$C:$C, $C446, KASA!$B:$B, "MAL ALIMI") + SUMIFS(KASA!$I:$I, KASA!$C:$C, $C446, KASA!$B:$B, "ÜRETİM GİRİŞ")</f>
        <v>5</v>
      </c>
      <c r="E446" s="5" cm="1">
        <f t="array" ref="E446">IFERROR(AVERAGE(IF((KASA!$C$2:$C$9980=$C446)*((KASA!$B$2:$B$9980="MAL ALIMI")+(KASA!$B$2:$B$9980="ÜRETİM GİRİŞ")),KASA!$J$2:$J$9980)),0)</f>
        <v>58.8</v>
      </c>
      <c r="F446" s="5">
        <f>SUMIFS(KASA!$I:$I, KASA!$C:$C, $C446, KASA!$B:$B, "MAL SATIŞI") + SUMIFS(KASA!$I:$I, KASA!$C:$C, $C446, KASA!$B:$B, "ÜRETİM ÇIKIŞ")</f>
        <v>1</v>
      </c>
      <c r="G446" s="5">
        <f>SUMIFS(KASA!$I:$I, KASA!$C:$C, $C446, KASA!$B:$B, "MAL İADE")</f>
        <v>0</v>
      </c>
      <c r="H446" s="5">
        <f>SUMIFS(KASA!$K:$K, KASA!$C:$C, $C446, KASA!$B:$B, "MAL İADE") + SUMIFS(KASA!$Q:$Q, KASA!$C:$C, $C446, KASA!$B:$B, "MAL İADE")</f>
        <v>0</v>
      </c>
      <c r="I446" s="5">
        <f t="shared" si="78"/>
        <v>1</v>
      </c>
      <c r="J446" s="5">
        <f t="shared" si="79"/>
        <v>58.8</v>
      </c>
      <c r="K446" s="5">
        <f>SUMIFS(KASA!$Q:$Q, KASA!$C:$C, $C446, KASA!$B:$B, "MAL SATIŞI") + SUMIFS(KASA!$Q:$Q, KASA!$C:$C, $C446, KASA!$B:$B, "ÜRETİM ÇIKIŞ")</f>
        <v>59</v>
      </c>
      <c r="L446" s="5">
        <f>SUMIFS(KASA!$K:$K, KASA!$C:$C, $C446, KASA!$B:$B, "MAL SATIŞI") + SUMIFS(KASA!$K:$K, KASA!$C:$C, $C446, KASA!$B:$B, "ÜRETİM ÇIKIŞ")</f>
        <v>0</v>
      </c>
      <c r="M446" s="5">
        <f t="shared" si="80"/>
        <v>59</v>
      </c>
      <c r="N446" s="5">
        <f t="shared" si="81"/>
        <v>0.20000000000000284</v>
      </c>
      <c r="O446" s="65">
        <f t="shared" si="82"/>
        <v>3.4013605442177355E-3</v>
      </c>
      <c r="P446" s="5">
        <f t="shared" si="83"/>
        <v>59</v>
      </c>
      <c r="Q446" s="5">
        <f t="shared" si="84"/>
        <v>4</v>
      </c>
      <c r="R446" s="5">
        <f t="shared" si="85"/>
        <v>235.2</v>
      </c>
      <c r="S446" s="5">
        <f t="shared" si="86"/>
        <v>294</v>
      </c>
      <c r="T446">
        <v>4</v>
      </c>
      <c r="U446" s="2">
        <f t="shared" si="87"/>
        <v>0</v>
      </c>
      <c r="V446">
        <f>SUMIF(KASA!$C$2:$C$9980, C446, KASA!$T$2:$T$9980)</f>
        <v>4</v>
      </c>
      <c r="W446">
        <f>SUMIF(KASA!$C$2:$C$9980, C446, KASA!$U$2:$U$9980)</f>
        <v>235.2</v>
      </c>
      <c r="X446" s="2">
        <f t="shared" si="88"/>
        <v>4</v>
      </c>
      <c r="Y446" s="2">
        <f t="shared" si="89"/>
        <v>235.2</v>
      </c>
      <c r="Z446">
        <f>SUMIF(KASA!$C$2:$C$9980, C446, KASA!$V$2:$V$9980)</f>
        <v>294</v>
      </c>
      <c r="AA446">
        <f t="shared" si="90"/>
        <v>58.800000000000011</v>
      </c>
    </row>
    <row r="447" spans="3:27" x14ac:dyDescent="0.25">
      <c r="C447" s="4" t="s">
        <v>1499</v>
      </c>
      <c r="D447" s="5">
        <f>SUMIFS(KASA!$I:$I, KASA!$C:$C, $C447, KASA!$B:$B, "MAL ALIMI") + SUMIFS(KASA!$I:$I, KASA!$C:$C, $C447, KASA!$B:$B, "ÜRETİM GİRİŞ")</f>
        <v>36</v>
      </c>
      <c r="E447" s="5" cm="1">
        <f t="array" ref="E447">IFERROR(AVERAGE(IF((KASA!$C$2:$C$9980=$C447)*((KASA!$B$2:$B$9980="MAL ALIMI")+(KASA!$B$2:$B$9980="ÜRETİM GİRİŞ")),KASA!$J$2:$J$9980)),0)</f>
        <v>356.83333333333331</v>
      </c>
      <c r="F447" s="5">
        <f>SUMIFS(KASA!$I:$I, KASA!$C:$C, $C447, KASA!$B:$B, "MAL SATIŞI") + SUMIFS(KASA!$I:$I, KASA!$C:$C, $C447, KASA!$B:$B, "ÜRETİM ÇIKIŞ")</f>
        <v>7</v>
      </c>
      <c r="G447" s="5">
        <f>SUMIFS(KASA!$I:$I, KASA!$C:$C, $C447, KASA!$B:$B, "MAL İADE")</f>
        <v>0</v>
      </c>
      <c r="H447" s="5">
        <f>SUMIFS(KASA!$K:$K, KASA!$C:$C, $C447, KASA!$B:$B, "MAL İADE") + SUMIFS(KASA!$Q:$Q, KASA!$C:$C, $C447, KASA!$B:$B, "MAL İADE")</f>
        <v>0</v>
      </c>
      <c r="I447" s="5">
        <f t="shared" si="78"/>
        <v>7</v>
      </c>
      <c r="J447" s="5">
        <f t="shared" si="79"/>
        <v>2497.833333333333</v>
      </c>
      <c r="K447" s="5">
        <f>SUMIFS(KASA!$Q:$Q, KASA!$C:$C, $C447, KASA!$B:$B, "MAL SATIŞI") + SUMIFS(KASA!$Q:$Q, KASA!$C:$C, $C447, KASA!$B:$B, "ÜRETİM ÇIKIŞ")</f>
        <v>3160</v>
      </c>
      <c r="L447" s="5">
        <f>SUMIFS(KASA!$K:$K, KASA!$C:$C, $C447, KASA!$B:$B, "MAL SATIŞI") + SUMIFS(KASA!$K:$K, KASA!$C:$C, $C447, KASA!$B:$B, "ÜRETİM ÇIKIŞ")</f>
        <v>550</v>
      </c>
      <c r="M447" s="5">
        <f t="shared" si="80"/>
        <v>3710</v>
      </c>
      <c r="N447" s="5">
        <f t="shared" si="81"/>
        <v>1212.166666666667</v>
      </c>
      <c r="O447" s="65">
        <f t="shared" si="82"/>
        <v>0.48528724894908937</v>
      </c>
      <c r="P447" s="5">
        <f t="shared" si="83"/>
        <v>530</v>
      </c>
      <c r="Q447" s="5">
        <f t="shared" si="84"/>
        <v>29</v>
      </c>
      <c r="R447" s="5">
        <f t="shared" si="85"/>
        <v>10348.166666666666</v>
      </c>
      <c r="S447" s="5">
        <f t="shared" si="86"/>
        <v>12846</v>
      </c>
      <c r="T447">
        <v>32</v>
      </c>
      <c r="U447" s="2">
        <f t="shared" si="87"/>
        <v>-3</v>
      </c>
      <c r="V447">
        <f>SUMIF(KASA!$C$2:$C$9980, C447, KASA!$T$2:$T$9980)</f>
        <v>29</v>
      </c>
      <c r="W447">
        <f>SUMIF(KASA!$C$2:$C$9980, C447, KASA!$U$2:$U$9980)</f>
        <v>10348.166666666666</v>
      </c>
      <c r="X447" s="2">
        <f t="shared" si="88"/>
        <v>29</v>
      </c>
      <c r="Y447" s="2">
        <f t="shared" si="89"/>
        <v>10348.166666666666</v>
      </c>
      <c r="Z447">
        <f>SUMIF(KASA!$C$2:$C$9980, C447, KASA!$V$2:$V$9980)</f>
        <v>12846</v>
      </c>
      <c r="AA447">
        <f t="shared" si="90"/>
        <v>2497.8333333333339</v>
      </c>
    </row>
    <row r="448" spans="3:27" x14ac:dyDescent="0.25">
      <c r="C448" s="4" t="s">
        <v>1500</v>
      </c>
      <c r="D448" s="5">
        <f>SUMIFS(KASA!$I:$I, KASA!$C:$C, $C448, KASA!$B:$B, "MAL ALIMI") + SUMIFS(KASA!$I:$I, KASA!$C:$C, $C448, KASA!$B:$B, "ÜRETİM GİRİŞ")</f>
        <v>48</v>
      </c>
      <c r="E448" s="5" cm="1">
        <f t="array" ref="E448">IFERROR(AVERAGE(IF((KASA!$C$2:$C$9980=$C448)*((KASA!$B$2:$B$9980="MAL ALIMI")+(KASA!$B$2:$B$9980="ÜRETİM GİRİŞ")),KASA!$J$2:$J$9980)),0)</f>
        <v>178.41666666666666</v>
      </c>
      <c r="F448" s="5">
        <f>SUMIFS(KASA!$I:$I, KASA!$C:$C, $C448, KASA!$B:$B, "MAL SATIŞI") + SUMIFS(KASA!$I:$I, KASA!$C:$C, $C448, KASA!$B:$B, "ÜRETİM ÇIKIŞ")</f>
        <v>5</v>
      </c>
      <c r="G448" s="5">
        <f>SUMIFS(KASA!$I:$I, KASA!$C:$C, $C448, KASA!$B:$B, "MAL İADE")</f>
        <v>0</v>
      </c>
      <c r="H448" s="5">
        <f>SUMIFS(KASA!$K:$K, KASA!$C:$C, $C448, KASA!$B:$B, "MAL İADE") + SUMIFS(KASA!$Q:$Q, KASA!$C:$C, $C448, KASA!$B:$B, "MAL İADE")</f>
        <v>0</v>
      </c>
      <c r="I448" s="5">
        <f t="shared" si="78"/>
        <v>5</v>
      </c>
      <c r="J448" s="5">
        <f t="shared" si="79"/>
        <v>892.08333333333326</v>
      </c>
      <c r="K448" s="5">
        <f>SUMIFS(KASA!$Q:$Q, KASA!$C:$C, $C448, KASA!$B:$B, "MAL SATIŞI") + SUMIFS(KASA!$Q:$Q, KASA!$C:$C, $C448, KASA!$B:$B, "ÜRETİM ÇIKIŞ")</f>
        <v>575</v>
      </c>
      <c r="L448" s="5">
        <f>SUMIFS(KASA!$K:$K, KASA!$C:$C, $C448, KASA!$B:$B, "MAL SATIŞI") + SUMIFS(KASA!$K:$K, KASA!$C:$C, $C448, KASA!$B:$B, "ÜRETİM ÇIKIŞ")</f>
        <v>825</v>
      </c>
      <c r="M448" s="5">
        <f t="shared" si="80"/>
        <v>1400</v>
      </c>
      <c r="N448" s="5">
        <f t="shared" si="81"/>
        <v>507.91666666666674</v>
      </c>
      <c r="O448" s="65">
        <f t="shared" si="82"/>
        <v>0.56936011209715098</v>
      </c>
      <c r="P448" s="5">
        <f t="shared" si="83"/>
        <v>280</v>
      </c>
      <c r="Q448" s="5">
        <f t="shared" si="84"/>
        <v>43</v>
      </c>
      <c r="R448" s="5">
        <f t="shared" si="85"/>
        <v>7671.9166666666661</v>
      </c>
      <c r="S448" s="5">
        <f t="shared" si="86"/>
        <v>8564</v>
      </c>
      <c r="T448">
        <v>46</v>
      </c>
      <c r="U448" s="2">
        <f t="shared" si="87"/>
        <v>-3</v>
      </c>
      <c r="V448">
        <f>SUMIF(KASA!$C$2:$C$9980, C448, KASA!$T$2:$T$9980)</f>
        <v>43</v>
      </c>
      <c r="W448">
        <f>SUMIF(KASA!$C$2:$C$9980, C448, KASA!$U$2:$U$9980)</f>
        <v>7671.9166666666661</v>
      </c>
      <c r="X448" s="2">
        <f t="shared" si="88"/>
        <v>43</v>
      </c>
      <c r="Y448" s="2">
        <f t="shared" si="89"/>
        <v>7671.9166666666661</v>
      </c>
      <c r="Z448">
        <f>SUMIF(KASA!$C$2:$C$9980, C448, KASA!$V$2:$V$9980)</f>
        <v>8564</v>
      </c>
      <c r="AA448">
        <f t="shared" si="90"/>
        <v>892.08333333333394</v>
      </c>
    </row>
    <row r="449" spans="3:27" x14ac:dyDescent="0.25">
      <c r="C449" s="4" t="s">
        <v>1501</v>
      </c>
      <c r="D449" s="5">
        <f>SUMIFS(KASA!$I:$I, KASA!$C:$C, $C449, KASA!$B:$B, "MAL ALIMI") + SUMIFS(KASA!$I:$I, KASA!$C:$C, $C449, KASA!$B:$B, "ÜRETİM GİRİŞ")</f>
        <v>99</v>
      </c>
      <c r="E449" s="5" cm="1">
        <f t="array" ref="E449">IFERROR(AVERAGE(IF((KASA!$C$2:$C$9980=$C449)*((KASA!$B$2:$B$9980="MAL ALIMI")+(KASA!$B$2:$B$9980="ÜRETİM GİRİŞ")),KASA!$J$2:$J$9980)),0)</f>
        <v>428.18181818181819</v>
      </c>
      <c r="F449" s="5">
        <f>SUMIFS(KASA!$I:$I, KASA!$C:$C, $C449, KASA!$B:$B, "MAL SATIŞI") + SUMIFS(KASA!$I:$I, KASA!$C:$C, $C449, KASA!$B:$B, "ÜRETİM ÇIKIŞ")</f>
        <v>67.269714285714286</v>
      </c>
      <c r="G449" s="5">
        <f>SUMIFS(KASA!$I:$I, KASA!$C:$C, $C449, KASA!$B:$B, "MAL İADE")</f>
        <v>0</v>
      </c>
      <c r="H449" s="5">
        <f>SUMIFS(KASA!$K:$K, KASA!$C:$C, $C449, KASA!$B:$B, "MAL İADE") + SUMIFS(KASA!$Q:$Q, KASA!$C:$C, $C449, KASA!$B:$B, "MAL İADE")</f>
        <v>0</v>
      </c>
      <c r="I449" s="5">
        <f t="shared" si="78"/>
        <v>67.269714285714286</v>
      </c>
      <c r="J449" s="5">
        <f t="shared" si="79"/>
        <v>28803.66857142857</v>
      </c>
      <c r="K449" s="5">
        <f>SUMIFS(KASA!$Q:$Q, KASA!$C:$C, $C449, KASA!$B:$B, "MAL SATIŞI") + SUMIFS(KASA!$Q:$Q, KASA!$C:$C, $C449, KASA!$B:$B, "ÜRETİM ÇIKIŞ")</f>
        <v>32194</v>
      </c>
      <c r="L449" s="5">
        <f>SUMIFS(KASA!$K:$K, KASA!$C:$C, $C449, KASA!$B:$B, "MAL SATIŞI") + SUMIFS(KASA!$K:$K, KASA!$C:$C, $C449, KASA!$B:$B, "ÜRETİM ÇIKIŞ")</f>
        <v>10236.80428</v>
      </c>
      <c r="M449" s="5">
        <f t="shared" si="80"/>
        <v>42430.804279999997</v>
      </c>
      <c r="N449" s="5">
        <f t="shared" si="81"/>
        <v>13627.135708571426</v>
      </c>
      <c r="O449" s="65">
        <f t="shared" si="82"/>
        <v>0.47310416986566389</v>
      </c>
      <c r="P449" s="5">
        <f t="shared" si="83"/>
        <v>630.75642182429783</v>
      </c>
      <c r="Q449" s="5">
        <f t="shared" si="84"/>
        <v>31.730285714285714</v>
      </c>
      <c r="R449" s="5">
        <f t="shared" si="85"/>
        <v>13586.331428571428</v>
      </c>
      <c r="S449" s="5">
        <f t="shared" si="86"/>
        <v>42390</v>
      </c>
      <c r="U449" s="2">
        <f t="shared" si="87"/>
        <v>31.730285714285714</v>
      </c>
      <c r="V449">
        <f>SUMIF(KASA!$C$2:$C$9980, C449, KASA!$T$2:$T$9980)</f>
        <v>31.730285714285714</v>
      </c>
      <c r="W449">
        <f>SUMIF(KASA!$C$2:$C$9980, C449, KASA!$U$2:$U$9980)</f>
        <v>13586.331428571428</v>
      </c>
      <c r="X449" s="2">
        <f t="shared" si="88"/>
        <v>31.730285714285714</v>
      </c>
      <c r="Y449" s="2">
        <f t="shared" si="89"/>
        <v>13586.331428571428</v>
      </c>
      <c r="Z449">
        <f>SUMIF(KASA!$C$2:$C$9980, C449, KASA!$V$2:$V$9980)</f>
        <v>42390</v>
      </c>
      <c r="AA449">
        <f t="shared" si="90"/>
        <v>28803.66857142857</v>
      </c>
    </row>
    <row r="450" spans="3:27" x14ac:dyDescent="0.25">
      <c r="C450" s="4" t="s">
        <v>2144</v>
      </c>
      <c r="D450" s="5">
        <f>SUMIFS(KASA!$I:$I, KASA!$C:$C, $C450, KASA!$B:$B, "MAL ALIMI") + SUMIFS(KASA!$I:$I, KASA!$C:$C, $C450, KASA!$B:$B, "ÜRETİM GİRİŞ")</f>
        <v>5</v>
      </c>
      <c r="E450" s="5" cm="1">
        <f t="array" ref="E450">IFERROR(AVERAGE(IF((KASA!$C$2:$C$9980=$C450)*((KASA!$B$2:$B$9980="MAL ALIMI")+(KASA!$B$2:$B$9980="ÜRETİM GİRİŞ")),KASA!$J$2:$J$9980)),0)</f>
        <v>200</v>
      </c>
      <c r="F450" s="5">
        <f>SUMIFS(KASA!$I:$I, KASA!$C:$C, $C450, KASA!$B:$B, "MAL SATIŞI") + SUMIFS(KASA!$I:$I, KASA!$C:$C, $C450, KASA!$B:$B, "ÜRETİM ÇIKIŞ")</f>
        <v>3</v>
      </c>
      <c r="G450" s="5">
        <f>SUMIFS(KASA!$I:$I, KASA!$C:$C, $C450, KASA!$B:$B, "MAL İADE")</f>
        <v>0</v>
      </c>
      <c r="H450" s="5">
        <f>SUMIFS(KASA!$K:$K, KASA!$C:$C, $C450, KASA!$B:$B, "MAL İADE") + SUMIFS(KASA!$Q:$Q, KASA!$C:$C, $C450, KASA!$B:$B, "MAL İADE")</f>
        <v>0</v>
      </c>
      <c r="I450" s="5">
        <f t="shared" ref="I450:I463" si="91">F450+G450</f>
        <v>3</v>
      </c>
      <c r="J450" s="5">
        <f t="shared" ref="J450:J463" si="92">E450*F450</f>
        <v>600</v>
      </c>
      <c r="K450" s="5">
        <f>SUMIFS(KASA!$Q:$Q, KASA!$C:$C, $C450, KASA!$B:$B, "MAL SATIŞI") + SUMIFS(KASA!$Q:$Q, KASA!$C:$C, $C450, KASA!$B:$B, "ÜRETİM ÇIKIŞ")</f>
        <v>350</v>
      </c>
      <c r="L450" s="5">
        <f>SUMIFS(KASA!$K:$K, KASA!$C:$C, $C450, KASA!$B:$B, "MAL SATIŞI") + SUMIFS(KASA!$K:$K, KASA!$C:$C, $C450, KASA!$B:$B, "ÜRETİM ÇIKIŞ")</f>
        <v>700</v>
      </c>
      <c r="M450" s="5">
        <f t="shared" ref="M450:M463" si="93">K450+L450</f>
        <v>1050</v>
      </c>
      <c r="N450" s="5">
        <f t="shared" ref="N450:N463" si="94">M450-J450</f>
        <v>450</v>
      </c>
      <c r="O450" s="65">
        <f t="shared" ref="O450:O464" si="95">IFERROR(((M450-J450)/J450),0)</f>
        <v>0.75</v>
      </c>
      <c r="P450" s="5">
        <f t="shared" ref="P450:P463" si="96">M450/F450</f>
        <v>350</v>
      </c>
      <c r="Q450" s="5">
        <f t="shared" ref="Q450:Q463" si="97">D450-F450-G450</f>
        <v>2</v>
      </c>
      <c r="R450" s="5">
        <f t="shared" ref="R450:R463" si="98">Q450*E450</f>
        <v>400</v>
      </c>
      <c r="S450" s="5">
        <f t="shared" ref="S450:S463" si="99">D450*E450</f>
        <v>1000</v>
      </c>
      <c r="T450">
        <v>4</v>
      </c>
      <c r="U450" s="2">
        <f t="shared" ref="U450:U463" si="100">Q450-T450</f>
        <v>-2</v>
      </c>
      <c r="V450">
        <f>SUMIF(KASA!$C$2:$C$9980, C450, KASA!$T$2:$T$9980)</f>
        <v>2</v>
      </c>
      <c r="W450">
        <f>SUMIF(KASA!$C$2:$C$9980, C450, KASA!$U$2:$U$9980)</f>
        <v>400</v>
      </c>
      <c r="X450" s="2">
        <f t="shared" si="88"/>
        <v>2</v>
      </c>
      <c r="Y450" s="2">
        <f t="shared" si="89"/>
        <v>400</v>
      </c>
      <c r="Z450">
        <f>SUMIF(KASA!$C$2:$C$9980, C450, KASA!$V$2:$V$9980)</f>
        <v>1000</v>
      </c>
      <c r="AA450">
        <f t="shared" si="90"/>
        <v>600</v>
      </c>
    </row>
    <row r="451" spans="3:27" x14ac:dyDescent="0.25">
      <c r="C451" s="4" t="s">
        <v>2273</v>
      </c>
      <c r="D451" s="5">
        <f>SUMIFS(KASA!$I:$I, KASA!$C:$C, $C451, KASA!$B:$B, "MAL ALIMI") + SUMIFS(KASA!$I:$I, KASA!$C:$C, $C451, KASA!$B:$B, "ÜRETİM GİRİŞ")</f>
        <v>16</v>
      </c>
      <c r="E451" s="5" cm="1">
        <f t="array" ref="E451">IFERROR(AVERAGE(IF((KASA!$C$2:$C$9980=$C451)*((KASA!$B$2:$B$9980="MAL ALIMI")+(KASA!$B$2:$B$9980="ÜRETİM GİRİŞ")),KASA!$J$2:$J$9980)),0)</f>
        <v>20</v>
      </c>
      <c r="F451" s="5">
        <f>SUMIFS(KASA!$I:$I, KASA!$C:$C, $C451, KASA!$B:$B, "MAL SATIŞI") + SUMIFS(KASA!$I:$I, KASA!$C:$C, $C451, KASA!$B:$B, "ÜRETİM ÇIKIŞ")</f>
        <v>14</v>
      </c>
      <c r="G451" s="5">
        <f>SUMIFS(KASA!$I:$I, KASA!$C:$C, $C451, KASA!$B:$B, "MAL İADE")</f>
        <v>0</v>
      </c>
      <c r="H451" s="5">
        <f>SUMIFS(KASA!$K:$K, KASA!$C:$C, $C451, KASA!$B:$B, "MAL İADE") + SUMIFS(KASA!$Q:$Q, KASA!$C:$C, $C451, KASA!$B:$B, "MAL İADE")</f>
        <v>0</v>
      </c>
      <c r="I451" s="5">
        <f t="shared" si="91"/>
        <v>14</v>
      </c>
      <c r="J451" s="5">
        <f t="shared" si="92"/>
        <v>280</v>
      </c>
      <c r="K451" s="5">
        <f>SUMIFS(KASA!$Q:$Q, KASA!$C:$C, $C451, KASA!$B:$B, "MAL SATIŞI") + SUMIFS(KASA!$Q:$Q, KASA!$C:$C, $C451, KASA!$B:$B, "ÜRETİM ÇIKIŞ")</f>
        <v>330</v>
      </c>
      <c r="L451" s="5">
        <f>SUMIFS(KASA!$K:$K, KASA!$C:$C, $C451, KASA!$B:$B, "MAL SATIŞI") + SUMIFS(KASA!$K:$K, KASA!$C:$C, $C451, KASA!$B:$B, "ÜRETİM ÇIKIŞ")</f>
        <v>60</v>
      </c>
      <c r="M451" s="5">
        <f t="shared" si="93"/>
        <v>390</v>
      </c>
      <c r="N451" s="5">
        <f t="shared" si="94"/>
        <v>110</v>
      </c>
      <c r="O451" s="65">
        <f t="shared" si="95"/>
        <v>0.39285714285714285</v>
      </c>
      <c r="P451" s="5">
        <f t="shared" si="96"/>
        <v>27.857142857142858</v>
      </c>
      <c r="Q451" s="5">
        <f t="shared" si="97"/>
        <v>2</v>
      </c>
      <c r="R451" s="5">
        <f t="shared" si="98"/>
        <v>40</v>
      </c>
      <c r="S451" s="5">
        <f t="shared" si="99"/>
        <v>320</v>
      </c>
      <c r="T451">
        <v>6</v>
      </c>
      <c r="U451" s="2">
        <f t="shared" si="100"/>
        <v>-4</v>
      </c>
      <c r="V451">
        <f>SUMIF(KASA!$C$2:$C$9980, C451, KASA!$T$2:$T$9980)</f>
        <v>2</v>
      </c>
      <c r="W451">
        <f>SUMIF(KASA!$C$2:$C$9980, C451, KASA!$U$2:$U$9980)</f>
        <v>40</v>
      </c>
      <c r="X451" s="2">
        <f t="shared" ref="X451:X463" si="101">V451-G451</f>
        <v>2</v>
      </c>
      <c r="Y451" s="2">
        <f t="shared" ref="Y451:Y463" si="102">W451-H451</f>
        <v>40</v>
      </c>
      <c r="Z451">
        <f>SUMIF(KASA!$C$2:$C$9980, C451, KASA!$V$2:$V$9980)</f>
        <v>320</v>
      </c>
      <c r="AA451">
        <f t="shared" ref="AA451:AA463" si="103">Z451-W451</f>
        <v>280</v>
      </c>
    </row>
    <row r="452" spans="3:27" x14ac:dyDescent="0.25">
      <c r="C452" s="4" t="s">
        <v>2274</v>
      </c>
      <c r="D452" s="5">
        <f>SUMIFS(KASA!$I:$I, KASA!$C:$C, $C452, KASA!$B:$B, "MAL ALIMI") + SUMIFS(KASA!$I:$I, KASA!$C:$C, $C452, KASA!$B:$B, "ÜRETİM GİRİŞ")</f>
        <v>4</v>
      </c>
      <c r="E452" s="5" cm="1">
        <f t="array" ref="E452">IFERROR(AVERAGE(IF((KASA!$C$2:$C$9980=$C452)*((KASA!$B$2:$B$9980="MAL ALIMI")+(KASA!$B$2:$B$9980="ÜRETİM GİRİŞ")),KASA!$J$2:$J$9980)),0)</f>
        <v>25</v>
      </c>
      <c r="F452" s="5">
        <f>SUMIFS(KASA!$I:$I, KASA!$C:$C, $C452, KASA!$B:$B, "MAL SATIŞI") + SUMIFS(KASA!$I:$I, KASA!$C:$C, $C452, KASA!$B:$B, "ÜRETİM ÇIKIŞ")</f>
        <v>3</v>
      </c>
      <c r="G452" s="5">
        <f>SUMIFS(KASA!$I:$I, KASA!$C:$C, $C452, KASA!$B:$B, "MAL İADE")</f>
        <v>0</v>
      </c>
      <c r="H452" s="5">
        <f>SUMIFS(KASA!$K:$K, KASA!$C:$C, $C452, KASA!$B:$B, "MAL İADE") + SUMIFS(KASA!$Q:$Q, KASA!$C:$C, $C452, KASA!$B:$B, "MAL İADE")</f>
        <v>0</v>
      </c>
      <c r="I452" s="5">
        <f t="shared" si="91"/>
        <v>3</v>
      </c>
      <c r="J452" s="5">
        <f t="shared" si="92"/>
        <v>75</v>
      </c>
      <c r="K452" s="5">
        <f>SUMIFS(KASA!$Q:$Q, KASA!$C:$C, $C452, KASA!$B:$B, "MAL SATIŞI") + SUMIFS(KASA!$Q:$Q, KASA!$C:$C, $C452, KASA!$B:$B, "ÜRETİM ÇIKIŞ")</f>
        <v>100.02000000000001</v>
      </c>
      <c r="L452" s="5">
        <f>SUMIFS(KASA!$K:$K, KASA!$C:$C, $C452, KASA!$B:$B, "MAL SATIŞI") + SUMIFS(KASA!$K:$K, KASA!$C:$C, $C452, KASA!$B:$B, "ÜRETİM ÇIKIŞ")</f>
        <v>0</v>
      </c>
      <c r="M452" s="5">
        <f t="shared" si="93"/>
        <v>100.02000000000001</v>
      </c>
      <c r="N452" s="5">
        <f t="shared" si="94"/>
        <v>25.02000000000001</v>
      </c>
      <c r="O452" s="65">
        <f t="shared" si="95"/>
        <v>0.33360000000000012</v>
      </c>
      <c r="P452" s="5">
        <f t="shared" si="96"/>
        <v>33.340000000000003</v>
      </c>
      <c r="Q452" s="5">
        <f t="shared" si="97"/>
        <v>1</v>
      </c>
      <c r="R452" s="5">
        <f t="shared" si="98"/>
        <v>25</v>
      </c>
      <c r="S452" s="5">
        <f t="shared" si="99"/>
        <v>100</v>
      </c>
      <c r="T452">
        <v>4</v>
      </c>
      <c r="U452" s="2">
        <f t="shared" si="100"/>
        <v>-3</v>
      </c>
      <c r="V452">
        <f>SUMIF(KASA!$C$2:$C$9980, C452, KASA!$T$2:$T$9980)</f>
        <v>1</v>
      </c>
      <c r="W452">
        <f>SUMIF(KASA!$C$2:$C$9980, C452, KASA!$U$2:$U$9980)</f>
        <v>25</v>
      </c>
      <c r="X452" s="2">
        <f t="shared" si="101"/>
        <v>1</v>
      </c>
      <c r="Y452" s="2">
        <f t="shared" si="102"/>
        <v>25</v>
      </c>
      <c r="Z452">
        <f>SUMIF(KASA!$C$2:$C$9980, C452, KASA!$V$2:$V$9980)</f>
        <v>100</v>
      </c>
      <c r="AA452">
        <f t="shared" si="103"/>
        <v>75</v>
      </c>
    </row>
    <row r="453" spans="3:27" x14ac:dyDescent="0.25">
      <c r="C453" s="4" t="s">
        <v>2275</v>
      </c>
      <c r="D453" s="5">
        <f>SUMIFS(KASA!$I:$I, KASA!$C:$C, $C453, KASA!$B:$B, "MAL ALIMI") + SUMIFS(KASA!$I:$I, KASA!$C:$C, $C453, KASA!$B:$B, "ÜRETİM GİRİŞ")</f>
        <v>12</v>
      </c>
      <c r="E453" s="5" cm="1">
        <f t="array" ref="E453">IFERROR(AVERAGE(IF((KASA!$C$2:$C$9980=$C453)*((KASA!$B$2:$B$9980="MAL ALIMI")+(KASA!$B$2:$B$9980="ÜRETİM GİRİŞ")),KASA!$J$2:$J$9980)),0)</f>
        <v>7.5</v>
      </c>
      <c r="F453" s="5">
        <f>SUMIFS(KASA!$I:$I, KASA!$C:$C, $C453, KASA!$B:$B, "MAL SATIŞI") + SUMIFS(KASA!$I:$I, KASA!$C:$C, $C453, KASA!$B:$B, "ÜRETİM ÇIKIŞ")</f>
        <v>0</v>
      </c>
      <c r="G453" s="5">
        <f>SUMIFS(KASA!$I:$I, KASA!$C:$C, $C453, KASA!$B:$B, "MAL İADE")</f>
        <v>0</v>
      </c>
      <c r="H453" s="5">
        <f>SUMIFS(KASA!$K:$K, KASA!$C:$C, $C453, KASA!$B:$B, "MAL İADE") + SUMIFS(KASA!$Q:$Q, KASA!$C:$C, $C453, KASA!$B:$B, "MAL İADE")</f>
        <v>0</v>
      </c>
      <c r="I453" s="5">
        <f t="shared" si="91"/>
        <v>0</v>
      </c>
      <c r="J453" s="5">
        <f t="shared" si="92"/>
        <v>0</v>
      </c>
      <c r="K453" s="5">
        <f>SUMIFS(KASA!$Q:$Q, KASA!$C:$C, $C453, KASA!$B:$B, "MAL SATIŞI") + SUMIFS(KASA!$Q:$Q, KASA!$C:$C, $C453, KASA!$B:$B, "ÜRETİM ÇIKIŞ")</f>
        <v>0</v>
      </c>
      <c r="L453" s="5">
        <f>SUMIFS(KASA!$K:$K, KASA!$C:$C, $C453, KASA!$B:$B, "MAL SATIŞI") + SUMIFS(KASA!$K:$K, KASA!$C:$C, $C453, KASA!$B:$B, "ÜRETİM ÇIKIŞ")</f>
        <v>0</v>
      </c>
      <c r="M453" s="5">
        <f t="shared" si="93"/>
        <v>0</v>
      </c>
      <c r="N453" s="5">
        <f t="shared" si="94"/>
        <v>0</v>
      </c>
      <c r="O453" s="65">
        <f t="shared" si="95"/>
        <v>0</v>
      </c>
      <c r="P453" s="5" t="e">
        <f t="shared" si="96"/>
        <v>#DIV/0!</v>
      </c>
      <c r="Q453" s="5">
        <f t="shared" si="97"/>
        <v>12</v>
      </c>
      <c r="R453" s="5">
        <f t="shared" si="98"/>
        <v>90</v>
      </c>
      <c r="S453" s="5">
        <f t="shared" si="99"/>
        <v>90</v>
      </c>
      <c r="T453">
        <v>12</v>
      </c>
      <c r="U453" s="2">
        <f t="shared" si="100"/>
        <v>0</v>
      </c>
      <c r="V453">
        <f>SUMIF(KASA!$C$2:$C$9980, C453, KASA!$T$2:$T$9980)</f>
        <v>12</v>
      </c>
      <c r="W453">
        <f>SUMIF(KASA!$C$2:$C$9980, C453, KASA!$U$2:$U$9980)</f>
        <v>90</v>
      </c>
      <c r="X453" s="2">
        <f t="shared" si="101"/>
        <v>12</v>
      </c>
      <c r="Y453" s="2">
        <f t="shared" si="102"/>
        <v>90</v>
      </c>
      <c r="Z453">
        <f>SUMIF(KASA!$C$2:$C$9980, C453, KASA!$V$2:$V$9980)</f>
        <v>90</v>
      </c>
      <c r="AA453">
        <f t="shared" si="103"/>
        <v>0</v>
      </c>
    </row>
    <row r="454" spans="3:27" x14ac:dyDescent="0.25">
      <c r="C454" s="4" t="s">
        <v>2276</v>
      </c>
      <c r="D454" s="5">
        <f>SUMIFS(KASA!$I:$I, KASA!$C:$C, $C454, KASA!$B:$B, "MAL ALIMI") + SUMIFS(KASA!$I:$I, KASA!$C:$C, $C454, KASA!$B:$B, "ÜRETİM GİRİŞ")</f>
        <v>24</v>
      </c>
      <c r="E454" s="5" cm="1">
        <f t="array" ref="E454">IFERROR(AVERAGE(IF((KASA!$C$2:$C$9980=$C454)*((KASA!$B$2:$B$9980="MAL ALIMI")+(KASA!$B$2:$B$9980="ÜRETİM GİRİŞ")),KASA!$J$2:$J$9980)),0)</f>
        <v>3.75</v>
      </c>
      <c r="F454" s="5">
        <f>SUMIFS(KASA!$I:$I, KASA!$C:$C, $C454, KASA!$B:$B, "MAL SATIŞI") + SUMIFS(KASA!$I:$I, KASA!$C:$C, $C454, KASA!$B:$B, "ÜRETİM ÇIKIŞ")</f>
        <v>0</v>
      </c>
      <c r="G454" s="5">
        <f>SUMIFS(KASA!$I:$I, KASA!$C:$C, $C454, KASA!$B:$B, "MAL İADE")</f>
        <v>0</v>
      </c>
      <c r="H454" s="5">
        <f>SUMIFS(KASA!$K:$K, KASA!$C:$C, $C454, KASA!$B:$B, "MAL İADE") + SUMIFS(KASA!$Q:$Q, KASA!$C:$C, $C454, KASA!$B:$B, "MAL İADE")</f>
        <v>0</v>
      </c>
      <c r="I454" s="5">
        <f t="shared" si="91"/>
        <v>0</v>
      </c>
      <c r="J454" s="5">
        <f t="shared" si="92"/>
        <v>0</v>
      </c>
      <c r="K454" s="5">
        <f>SUMIFS(KASA!$Q:$Q, KASA!$C:$C, $C454, KASA!$B:$B, "MAL SATIŞI") + SUMIFS(KASA!$Q:$Q, KASA!$C:$C, $C454, KASA!$B:$B, "ÜRETİM ÇIKIŞ")</f>
        <v>0</v>
      </c>
      <c r="L454" s="5">
        <f>SUMIFS(KASA!$K:$K, KASA!$C:$C, $C454, KASA!$B:$B, "MAL SATIŞI") + SUMIFS(KASA!$K:$K, KASA!$C:$C, $C454, KASA!$B:$B, "ÜRETİM ÇIKIŞ")</f>
        <v>0</v>
      </c>
      <c r="M454" s="5">
        <f t="shared" si="93"/>
        <v>0</v>
      </c>
      <c r="N454" s="5">
        <f t="shared" si="94"/>
        <v>0</v>
      </c>
      <c r="O454" s="65">
        <f t="shared" si="95"/>
        <v>0</v>
      </c>
      <c r="P454" s="5" t="e">
        <f t="shared" si="96"/>
        <v>#DIV/0!</v>
      </c>
      <c r="Q454" s="5">
        <f t="shared" si="97"/>
        <v>24</v>
      </c>
      <c r="R454" s="5">
        <f t="shared" si="98"/>
        <v>90</v>
      </c>
      <c r="S454" s="5">
        <f t="shared" si="99"/>
        <v>90</v>
      </c>
      <c r="T454">
        <v>24</v>
      </c>
      <c r="U454" s="2">
        <f t="shared" si="100"/>
        <v>0</v>
      </c>
      <c r="V454">
        <f>SUMIF(KASA!$C$2:$C$9980, C454, KASA!$T$2:$T$9980)</f>
        <v>24</v>
      </c>
      <c r="W454">
        <f>SUMIF(KASA!$C$2:$C$9980, C454, KASA!$U$2:$U$9980)</f>
        <v>90</v>
      </c>
      <c r="X454" s="2">
        <f t="shared" si="101"/>
        <v>24</v>
      </c>
      <c r="Y454" s="2">
        <f t="shared" si="102"/>
        <v>90</v>
      </c>
      <c r="Z454">
        <f>SUMIF(KASA!$C$2:$C$9980, C454, KASA!$V$2:$V$9980)</f>
        <v>90</v>
      </c>
      <c r="AA454">
        <f t="shared" si="103"/>
        <v>0</v>
      </c>
    </row>
    <row r="455" spans="3:27" x14ac:dyDescent="0.25">
      <c r="C455" s="4"/>
      <c r="D455" s="5">
        <f>SUMIFS(KASA!$I:$I, KASA!$C:$C, $C455, KASA!$B:$B, "MAL ALIMI") + SUMIFS(KASA!$I:$I, KASA!$C:$C, $C455, KASA!$B:$B, "ÜRETİM GİRİŞ")</f>
        <v>0</v>
      </c>
      <c r="E455" s="5" cm="1">
        <f t="array" ref="E455">IFERROR(AVERAGE(IF((KASA!$C$2:$C$9980=$C455)*((KASA!$B$2:$B$9980="MAL ALIMI")+(KASA!$B$2:$B$9980="ÜRETİM GİRİŞ")),KASA!$J$2:$J$9980)),0)</f>
        <v>0</v>
      </c>
      <c r="F455" s="5">
        <f>SUMIFS(KASA!$I:$I, KASA!$C:$C, $C455, KASA!$B:$B, "MAL SATIŞI") + SUMIFS(KASA!$I:$I, KASA!$C:$C, $C455, KASA!$B:$B, "ÜRETİM ÇIKIŞ")</f>
        <v>0</v>
      </c>
      <c r="G455" s="5">
        <f>SUMIFS(KASA!$I:$I, KASA!$C:$C, $C455, KASA!$B:$B, "MAL İADE")</f>
        <v>0</v>
      </c>
      <c r="H455" s="5">
        <f>SUMIFS(KASA!$K:$K, KASA!$C:$C, $C455, KASA!$B:$B, "MAL İADE") + SUMIFS(KASA!$Q:$Q, KASA!$C:$C, $C455, KASA!$B:$B, "MAL İADE")</f>
        <v>0</v>
      </c>
      <c r="I455" s="5">
        <f t="shared" si="91"/>
        <v>0</v>
      </c>
      <c r="J455" s="5">
        <f t="shared" si="92"/>
        <v>0</v>
      </c>
      <c r="K455" s="5">
        <f>SUMIFS(KASA!$Q:$Q, KASA!$C:$C, $C455, KASA!$B:$B, "MAL SATIŞI") + SUMIFS(KASA!$Q:$Q, KASA!$C:$C, $C455, KASA!$B:$B, "ÜRETİM ÇIKIŞ")</f>
        <v>0</v>
      </c>
      <c r="L455" s="5">
        <f>SUMIFS(KASA!$K:$K, KASA!$C:$C, $C455, KASA!$B:$B, "MAL SATIŞI") + SUMIFS(KASA!$K:$K, KASA!$C:$C, $C455, KASA!$B:$B, "ÜRETİM ÇIKIŞ")</f>
        <v>0</v>
      </c>
      <c r="M455" s="5">
        <f t="shared" si="93"/>
        <v>0</v>
      </c>
      <c r="N455" s="5">
        <f t="shared" si="94"/>
        <v>0</v>
      </c>
      <c r="O455" s="65">
        <f t="shared" si="95"/>
        <v>0</v>
      </c>
      <c r="P455" s="5" t="e">
        <f t="shared" si="96"/>
        <v>#DIV/0!</v>
      </c>
      <c r="Q455" s="5">
        <f t="shared" si="97"/>
        <v>0</v>
      </c>
      <c r="R455" s="5">
        <f t="shared" si="98"/>
        <v>0</v>
      </c>
      <c r="S455" s="5">
        <f t="shared" si="99"/>
        <v>0</v>
      </c>
      <c r="U455" s="2">
        <f t="shared" si="100"/>
        <v>0</v>
      </c>
      <c r="V455">
        <f>SUMIF(KASA!$C$2:$C$9980, C455, KASA!$T$2:$T$9980)</f>
        <v>0</v>
      </c>
      <c r="W455">
        <f>SUMIF(KASA!$C$2:$C$9980, C455, KASA!$U$2:$U$9980)</f>
        <v>0</v>
      </c>
      <c r="X455" s="2">
        <f t="shared" si="101"/>
        <v>0</v>
      </c>
      <c r="Y455" s="2">
        <f t="shared" si="102"/>
        <v>0</v>
      </c>
      <c r="Z455">
        <f>SUMIF(KASA!$C$2:$C$9980, C455, KASA!$V$2:$V$9980)</f>
        <v>0</v>
      </c>
      <c r="AA455">
        <f t="shared" si="103"/>
        <v>0</v>
      </c>
    </row>
    <row r="456" spans="3:27" x14ac:dyDescent="0.25">
      <c r="C456" s="4"/>
      <c r="D456" s="5">
        <f>SUMIFS(KASA!$I:$I, KASA!$C:$C, $C456, KASA!$B:$B, "MAL ALIMI") + SUMIFS(KASA!$I:$I, KASA!$C:$C, $C456, KASA!$B:$B, "ÜRETİM GİRİŞ")</f>
        <v>0</v>
      </c>
      <c r="E456" s="5" cm="1">
        <f t="array" ref="E456">IFERROR(AVERAGE(IF((KASA!$C$2:$C$9980=$C456)*((KASA!$B$2:$B$9980="MAL ALIMI")+(KASA!$B$2:$B$9980="ÜRETİM GİRİŞ")),KASA!$J$2:$J$9980)),0)</f>
        <v>0</v>
      </c>
      <c r="F456" s="5">
        <f>SUMIFS(KASA!$I:$I, KASA!$C:$C, $C456, KASA!$B:$B, "MAL SATIŞI") + SUMIFS(KASA!$I:$I, KASA!$C:$C, $C456, KASA!$B:$B, "ÜRETİM ÇIKIŞ")</f>
        <v>0</v>
      </c>
      <c r="G456" s="5">
        <f>SUMIFS(KASA!$I:$I, KASA!$C:$C, $C456, KASA!$B:$B, "MAL İADE")</f>
        <v>0</v>
      </c>
      <c r="H456" s="5">
        <f>SUMIFS(KASA!$K:$K, KASA!$C:$C, $C456, KASA!$B:$B, "MAL İADE") + SUMIFS(KASA!$Q:$Q, KASA!$C:$C, $C456, KASA!$B:$B, "MAL İADE")</f>
        <v>0</v>
      </c>
      <c r="I456" s="5">
        <f t="shared" si="91"/>
        <v>0</v>
      </c>
      <c r="J456" s="5">
        <f t="shared" si="92"/>
        <v>0</v>
      </c>
      <c r="K456" s="5">
        <f>SUMIFS(KASA!$Q:$Q, KASA!$C:$C, $C456, KASA!$B:$B, "MAL SATIŞI") + SUMIFS(KASA!$Q:$Q, KASA!$C:$C, $C456, KASA!$B:$B, "ÜRETİM ÇIKIŞ")</f>
        <v>0</v>
      </c>
      <c r="L456" s="5">
        <f>SUMIFS(KASA!$K:$K, KASA!$C:$C, $C456, KASA!$B:$B, "MAL SATIŞI") + SUMIFS(KASA!$K:$K, KASA!$C:$C, $C456, KASA!$B:$B, "ÜRETİM ÇIKIŞ")</f>
        <v>0</v>
      </c>
      <c r="M456" s="5">
        <f t="shared" si="93"/>
        <v>0</v>
      </c>
      <c r="N456" s="5">
        <f t="shared" si="94"/>
        <v>0</v>
      </c>
      <c r="O456" s="65">
        <f t="shared" si="95"/>
        <v>0</v>
      </c>
      <c r="P456" s="5" t="e">
        <f t="shared" si="96"/>
        <v>#DIV/0!</v>
      </c>
      <c r="Q456" s="5">
        <f t="shared" si="97"/>
        <v>0</v>
      </c>
      <c r="R456" s="5">
        <f t="shared" si="98"/>
        <v>0</v>
      </c>
      <c r="S456" s="5">
        <f t="shared" si="99"/>
        <v>0</v>
      </c>
      <c r="U456" s="2">
        <f t="shared" si="100"/>
        <v>0</v>
      </c>
      <c r="V456">
        <f>SUMIF(KASA!$C$2:$C$9980, C456, KASA!$T$2:$T$9980)</f>
        <v>0</v>
      </c>
      <c r="W456">
        <f>SUMIF(KASA!$C$2:$C$9980, C456, KASA!$U$2:$U$9980)</f>
        <v>0</v>
      </c>
      <c r="X456" s="2">
        <f t="shared" si="101"/>
        <v>0</v>
      </c>
      <c r="Y456" s="2">
        <f t="shared" si="102"/>
        <v>0</v>
      </c>
      <c r="Z456">
        <f>SUMIF(KASA!$C$2:$C$9980, C456, KASA!$V$2:$V$9980)</f>
        <v>0</v>
      </c>
      <c r="AA456">
        <f t="shared" si="103"/>
        <v>0</v>
      </c>
    </row>
    <row r="457" spans="3:27" x14ac:dyDescent="0.25">
      <c r="C457" s="4"/>
      <c r="D457" s="5">
        <f>SUMIFS(KASA!$I:$I, KASA!$C:$C, $C457, KASA!$B:$B, "MAL ALIMI") + SUMIFS(KASA!$I:$I, KASA!$C:$C, $C457, KASA!$B:$B, "ÜRETİM GİRİŞ")</f>
        <v>0</v>
      </c>
      <c r="E457" s="5" cm="1">
        <f t="array" ref="E457">IFERROR(AVERAGE(IF((KASA!$C$2:$C$9980=$C457)*((KASA!$B$2:$B$9980="MAL ALIMI")+(KASA!$B$2:$B$9980="ÜRETİM GİRİŞ")),KASA!$J$2:$J$9980)),0)</f>
        <v>0</v>
      </c>
      <c r="F457" s="5">
        <f>SUMIFS(KASA!$I:$I, KASA!$C:$C, $C457, KASA!$B:$B, "MAL SATIŞI") + SUMIFS(KASA!$I:$I, KASA!$C:$C, $C457, KASA!$B:$B, "ÜRETİM ÇIKIŞ")</f>
        <v>0</v>
      </c>
      <c r="G457" s="5">
        <f>SUMIFS(KASA!$I:$I, KASA!$C:$C, $C457, KASA!$B:$B, "MAL İADE")</f>
        <v>0</v>
      </c>
      <c r="H457" s="5">
        <f>SUMIFS(KASA!$K:$K, KASA!$C:$C, $C457, KASA!$B:$B, "MAL İADE") + SUMIFS(KASA!$Q:$Q, KASA!$C:$C, $C457, KASA!$B:$B, "MAL İADE")</f>
        <v>0</v>
      </c>
      <c r="I457" s="5">
        <f t="shared" si="91"/>
        <v>0</v>
      </c>
      <c r="J457" s="5">
        <f t="shared" si="92"/>
        <v>0</v>
      </c>
      <c r="K457" s="5">
        <f>SUMIFS(KASA!$Q:$Q, KASA!$C:$C, $C457, KASA!$B:$B, "MAL SATIŞI") + SUMIFS(KASA!$Q:$Q, KASA!$C:$C, $C457, KASA!$B:$B, "ÜRETİM ÇIKIŞ")</f>
        <v>0</v>
      </c>
      <c r="L457" s="5">
        <f>SUMIFS(KASA!$K:$K, KASA!$C:$C, $C457, KASA!$B:$B, "MAL SATIŞI") + SUMIFS(KASA!$K:$K, KASA!$C:$C, $C457, KASA!$B:$B, "ÜRETİM ÇIKIŞ")</f>
        <v>0</v>
      </c>
      <c r="M457" s="5">
        <f t="shared" si="93"/>
        <v>0</v>
      </c>
      <c r="N457" s="5">
        <f t="shared" si="94"/>
        <v>0</v>
      </c>
      <c r="O457" s="65">
        <f t="shared" si="95"/>
        <v>0</v>
      </c>
      <c r="P457" s="5" t="e">
        <f t="shared" si="96"/>
        <v>#DIV/0!</v>
      </c>
      <c r="Q457" s="5">
        <f t="shared" si="97"/>
        <v>0</v>
      </c>
      <c r="R457" s="5">
        <f t="shared" si="98"/>
        <v>0</v>
      </c>
      <c r="S457" s="5">
        <f t="shared" si="99"/>
        <v>0</v>
      </c>
      <c r="U457" s="2">
        <f t="shared" si="100"/>
        <v>0</v>
      </c>
      <c r="V457">
        <f>SUMIF(KASA!$C$2:$C$9980, C457, KASA!$T$2:$T$9980)</f>
        <v>0</v>
      </c>
      <c r="W457">
        <f>SUMIF(KASA!$C$2:$C$9980, C457, KASA!$U$2:$U$9980)</f>
        <v>0</v>
      </c>
      <c r="X457" s="2">
        <f t="shared" si="101"/>
        <v>0</v>
      </c>
      <c r="Y457" s="2">
        <f t="shared" si="102"/>
        <v>0</v>
      </c>
      <c r="Z457">
        <f>SUMIF(KASA!$C$2:$C$9980, C457, KASA!$V$2:$V$9980)</f>
        <v>0</v>
      </c>
      <c r="AA457">
        <f t="shared" si="103"/>
        <v>0</v>
      </c>
    </row>
    <row r="458" spans="3:27" x14ac:dyDescent="0.25">
      <c r="C458" s="4"/>
      <c r="D458" s="5">
        <f>SUMIFS(KASA!$I:$I, KASA!$C:$C, $C458, KASA!$B:$B, "MAL ALIMI") + SUMIFS(KASA!$I:$I, KASA!$C:$C, $C458, KASA!$B:$B, "ÜRETİM GİRİŞ")</f>
        <v>0</v>
      </c>
      <c r="E458" s="5" cm="1">
        <f t="array" ref="E458">IFERROR(AVERAGE(IF((KASA!$C$2:$C$9980=$C458)*((KASA!$B$2:$B$9980="MAL ALIMI")+(KASA!$B$2:$B$9980="ÜRETİM GİRİŞ")),KASA!$J$2:$J$9980)),0)</f>
        <v>0</v>
      </c>
      <c r="F458" s="5">
        <f>SUMIFS(KASA!$I:$I, KASA!$C:$C, $C458, KASA!$B:$B, "MAL SATIŞI") + SUMIFS(KASA!$I:$I, KASA!$C:$C, $C458, KASA!$B:$B, "ÜRETİM ÇIKIŞ")</f>
        <v>0</v>
      </c>
      <c r="G458" s="5">
        <f>SUMIFS(KASA!$I:$I, KASA!$C:$C, $C458, KASA!$B:$B, "MAL İADE")</f>
        <v>0</v>
      </c>
      <c r="H458" s="5">
        <f>SUMIFS(KASA!$K:$K, KASA!$C:$C, $C458, KASA!$B:$B, "MAL İADE") + SUMIFS(KASA!$Q:$Q, KASA!$C:$C, $C458, KASA!$B:$B, "MAL İADE")</f>
        <v>0</v>
      </c>
      <c r="I458" s="5">
        <f t="shared" si="91"/>
        <v>0</v>
      </c>
      <c r="J458" s="5">
        <f t="shared" si="92"/>
        <v>0</v>
      </c>
      <c r="K458" s="5">
        <f>SUMIFS(KASA!$Q:$Q, KASA!$C:$C, $C458, KASA!$B:$B, "MAL SATIŞI") + SUMIFS(KASA!$Q:$Q, KASA!$C:$C, $C458, KASA!$B:$B, "ÜRETİM ÇIKIŞ")</f>
        <v>0</v>
      </c>
      <c r="L458" s="5">
        <f>SUMIFS(KASA!$K:$K, KASA!$C:$C, $C458, KASA!$B:$B, "MAL SATIŞI") + SUMIFS(KASA!$K:$K, KASA!$C:$C, $C458, KASA!$B:$B, "ÜRETİM ÇIKIŞ")</f>
        <v>0</v>
      </c>
      <c r="M458" s="5">
        <f t="shared" si="93"/>
        <v>0</v>
      </c>
      <c r="N458" s="5">
        <f t="shared" si="94"/>
        <v>0</v>
      </c>
      <c r="O458" s="65">
        <f t="shared" si="95"/>
        <v>0</v>
      </c>
      <c r="P458" s="5" t="e">
        <f t="shared" si="96"/>
        <v>#DIV/0!</v>
      </c>
      <c r="Q458" s="5">
        <f t="shared" si="97"/>
        <v>0</v>
      </c>
      <c r="R458" s="5">
        <f t="shared" si="98"/>
        <v>0</v>
      </c>
      <c r="S458" s="5">
        <f t="shared" si="99"/>
        <v>0</v>
      </c>
      <c r="U458" s="2">
        <f t="shared" si="100"/>
        <v>0</v>
      </c>
      <c r="V458">
        <f>SUMIF(KASA!$C$2:$C$9980, C458, KASA!$T$2:$T$9980)</f>
        <v>0</v>
      </c>
      <c r="W458">
        <f>SUMIF(KASA!$C$2:$C$9980, C458, KASA!$U$2:$U$9980)</f>
        <v>0</v>
      </c>
      <c r="X458" s="2">
        <f t="shared" si="101"/>
        <v>0</v>
      </c>
      <c r="Y458" s="2">
        <f t="shared" si="102"/>
        <v>0</v>
      </c>
      <c r="Z458">
        <f>SUMIF(KASA!$C$2:$C$9980, C458, KASA!$V$2:$V$9980)</f>
        <v>0</v>
      </c>
      <c r="AA458">
        <f t="shared" si="103"/>
        <v>0</v>
      </c>
    </row>
    <row r="459" spans="3:27" x14ac:dyDescent="0.25">
      <c r="C459" s="4"/>
      <c r="D459" s="5">
        <f>SUMIFS(KASA!$I:$I, KASA!$C:$C, $C459, KASA!$B:$B, "MAL ALIMI") + SUMIFS(KASA!$I:$I, KASA!$C:$C, $C459, KASA!$B:$B, "ÜRETİM GİRİŞ")</f>
        <v>0</v>
      </c>
      <c r="E459" s="5" cm="1">
        <f t="array" ref="E459">IFERROR(AVERAGE(IF((KASA!$C$2:$C$9980=$C459)*((KASA!$B$2:$B$9980="MAL ALIMI")+(KASA!$B$2:$B$9980="ÜRETİM GİRİŞ")),KASA!$J$2:$J$9980)),0)</f>
        <v>0</v>
      </c>
      <c r="F459" s="5">
        <f>SUMIFS(KASA!$I:$I, KASA!$C:$C, $C459, KASA!$B:$B, "MAL SATIŞI") + SUMIFS(KASA!$I:$I, KASA!$C:$C, $C459, KASA!$B:$B, "ÜRETİM ÇIKIŞ")</f>
        <v>0</v>
      </c>
      <c r="G459" s="5">
        <f>SUMIFS(KASA!$I:$I, KASA!$C:$C, $C459, KASA!$B:$B, "MAL İADE")</f>
        <v>0</v>
      </c>
      <c r="H459" s="5">
        <f>SUMIFS(KASA!$K:$K, KASA!$C:$C, $C459, KASA!$B:$B, "MAL İADE") + SUMIFS(KASA!$Q:$Q, KASA!$C:$C, $C459, KASA!$B:$B, "MAL İADE")</f>
        <v>0</v>
      </c>
      <c r="I459" s="5">
        <f t="shared" si="91"/>
        <v>0</v>
      </c>
      <c r="J459" s="5">
        <f t="shared" si="92"/>
        <v>0</v>
      </c>
      <c r="K459" s="5">
        <f>SUMIFS(KASA!$Q:$Q, KASA!$C:$C, $C459, KASA!$B:$B, "MAL SATIŞI") + SUMIFS(KASA!$Q:$Q, KASA!$C:$C, $C459, KASA!$B:$B, "ÜRETİM ÇIKIŞ")</f>
        <v>0</v>
      </c>
      <c r="L459" s="5">
        <f>SUMIFS(KASA!$K:$K, KASA!$C:$C, $C459, KASA!$B:$B, "MAL SATIŞI") + SUMIFS(KASA!$K:$K, KASA!$C:$C, $C459, KASA!$B:$B, "ÜRETİM ÇIKIŞ")</f>
        <v>0</v>
      </c>
      <c r="M459" s="5">
        <f t="shared" si="93"/>
        <v>0</v>
      </c>
      <c r="N459" s="5">
        <f t="shared" si="94"/>
        <v>0</v>
      </c>
      <c r="O459" s="65">
        <f t="shared" si="95"/>
        <v>0</v>
      </c>
      <c r="P459" s="5" t="e">
        <f t="shared" si="96"/>
        <v>#DIV/0!</v>
      </c>
      <c r="Q459" s="5">
        <f t="shared" si="97"/>
        <v>0</v>
      </c>
      <c r="R459" s="5">
        <f t="shared" si="98"/>
        <v>0</v>
      </c>
      <c r="S459" s="5">
        <f t="shared" si="99"/>
        <v>0</v>
      </c>
      <c r="U459" s="2">
        <f t="shared" si="100"/>
        <v>0</v>
      </c>
      <c r="V459">
        <f>SUMIF(KASA!$C$2:$C$9980, C459, KASA!$T$2:$T$9980)</f>
        <v>0</v>
      </c>
      <c r="W459">
        <f>SUMIF(KASA!$C$2:$C$9980, C459, KASA!$U$2:$U$9980)</f>
        <v>0</v>
      </c>
      <c r="X459" s="2">
        <f t="shared" si="101"/>
        <v>0</v>
      </c>
      <c r="Y459" s="2">
        <f t="shared" si="102"/>
        <v>0</v>
      </c>
      <c r="Z459">
        <f>SUMIF(KASA!$C$2:$C$9980, C459, KASA!$V$2:$V$9980)</f>
        <v>0</v>
      </c>
      <c r="AA459">
        <f t="shared" si="103"/>
        <v>0</v>
      </c>
    </row>
    <row r="460" spans="3:27" x14ac:dyDescent="0.25">
      <c r="C460" s="4"/>
      <c r="D460" s="5">
        <f>SUMIFS(KASA!$I:$I, KASA!$C:$C, $C460, KASA!$B:$B, "MAL ALIMI") + SUMIFS(KASA!$I:$I, KASA!$C:$C, $C460, KASA!$B:$B, "ÜRETİM GİRİŞ")</f>
        <v>0</v>
      </c>
      <c r="E460" s="5" cm="1">
        <f t="array" ref="E460">IFERROR(AVERAGE(IF((KASA!$C$2:$C$9980=$C460)*((KASA!$B$2:$B$9980="MAL ALIMI")+(KASA!$B$2:$B$9980="ÜRETİM GİRİŞ")),KASA!$J$2:$J$9980)),0)</f>
        <v>0</v>
      </c>
      <c r="F460" s="5">
        <f>SUMIFS(KASA!$I:$I, KASA!$C:$C, $C460, KASA!$B:$B, "MAL SATIŞI") + SUMIFS(KASA!$I:$I, KASA!$C:$C, $C460, KASA!$B:$B, "ÜRETİM ÇIKIŞ")</f>
        <v>0</v>
      </c>
      <c r="G460" s="5">
        <f>SUMIFS(KASA!$I:$I, KASA!$C:$C, $C460, KASA!$B:$B, "MAL İADE")</f>
        <v>0</v>
      </c>
      <c r="H460" s="5">
        <f>SUMIFS(KASA!$K:$K, KASA!$C:$C, $C460, KASA!$B:$B, "MAL İADE") + SUMIFS(KASA!$Q:$Q, KASA!$C:$C, $C460, KASA!$B:$B, "MAL İADE")</f>
        <v>0</v>
      </c>
      <c r="I460" s="5">
        <f t="shared" si="91"/>
        <v>0</v>
      </c>
      <c r="J460" s="5">
        <f t="shared" si="92"/>
        <v>0</v>
      </c>
      <c r="K460" s="5">
        <f>SUMIFS(KASA!$Q:$Q, KASA!$C:$C, $C460, KASA!$B:$B, "MAL SATIŞI") + SUMIFS(KASA!$Q:$Q, KASA!$C:$C, $C460, KASA!$B:$B, "ÜRETİM ÇIKIŞ")</f>
        <v>0</v>
      </c>
      <c r="L460" s="5">
        <f>SUMIFS(KASA!$K:$K, KASA!$C:$C, $C460, KASA!$B:$B, "MAL SATIŞI") + SUMIFS(KASA!$K:$K, KASA!$C:$C, $C460, KASA!$B:$B, "ÜRETİM ÇIKIŞ")</f>
        <v>0</v>
      </c>
      <c r="M460" s="5">
        <f t="shared" si="93"/>
        <v>0</v>
      </c>
      <c r="N460" s="5">
        <f t="shared" si="94"/>
        <v>0</v>
      </c>
      <c r="O460" s="65">
        <f t="shared" si="95"/>
        <v>0</v>
      </c>
      <c r="P460" s="5" t="e">
        <f t="shared" si="96"/>
        <v>#DIV/0!</v>
      </c>
      <c r="Q460" s="5">
        <f t="shared" si="97"/>
        <v>0</v>
      </c>
      <c r="R460" s="5">
        <f t="shared" si="98"/>
        <v>0</v>
      </c>
      <c r="S460" s="5">
        <f t="shared" si="99"/>
        <v>0</v>
      </c>
      <c r="U460" s="2">
        <f t="shared" si="100"/>
        <v>0</v>
      </c>
      <c r="V460">
        <f>SUMIF(KASA!$C$2:$C$9980, C460, KASA!$T$2:$T$9980)</f>
        <v>0</v>
      </c>
      <c r="W460">
        <f>SUMIF(KASA!$C$2:$C$9980, C460, KASA!$U$2:$U$9980)</f>
        <v>0</v>
      </c>
      <c r="X460" s="2">
        <f t="shared" si="101"/>
        <v>0</v>
      </c>
      <c r="Y460" s="2">
        <f t="shared" si="102"/>
        <v>0</v>
      </c>
      <c r="Z460">
        <f>SUMIF(KASA!$C$2:$C$9980, C460, KASA!$V$2:$V$9980)</f>
        <v>0</v>
      </c>
      <c r="AA460">
        <f t="shared" si="103"/>
        <v>0</v>
      </c>
    </row>
    <row r="461" spans="3:27" x14ac:dyDescent="0.25">
      <c r="C461" s="4"/>
      <c r="D461" s="5">
        <f>SUMIFS(KASA!$I:$I, KASA!$C:$C, $C461, KASA!$B:$B, "MAL ALIMI") + SUMIFS(KASA!$I:$I, KASA!$C:$C, $C461, KASA!$B:$B, "ÜRETİM GİRİŞ")</f>
        <v>0</v>
      </c>
      <c r="E461" s="5" cm="1">
        <f t="array" ref="E461">IFERROR(AVERAGE(IF((KASA!$C$2:$C$9980=$C461)*((KASA!$B$2:$B$9980="MAL ALIMI")+(KASA!$B$2:$B$9980="ÜRETİM GİRİŞ")),KASA!$J$2:$J$9980)),0)</f>
        <v>0</v>
      </c>
      <c r="F461" s="5">
        <f>SUMIFS(KASA!$I:$I, KASA!$C:$C, $C461, KASA!$B:$B, "MAL SATIŞI") + SUMIFS(KASA!$I:$I, KASA!$C:$C, $C461, KASA!$B:$B, "ÜRETİM ÇIKIŞ")</f>
        <v>0</v>
      </c>
      <c r="G461" s="5">
        <f>SUMIFS(KASA!$I:$I, KASA!$C:$C, $C461, KASA!$B:$B, "MAL İADE")</f>
        <v>0</v>
      </c>
      <c r="H461" s="5">
        <f>SUMIFS(KASA!$K:$K, KASA!$C:$C, $C461, KASA!$B:$B, "MAL İADE") + SUMIFS(KASA!$Q:$Q, KASA!$C:$C, $C461, KASA!$B:$B, "MAL İADE")</f>
        <v>0</v>
      </c>
      <c r="I461" s="5">
        <f t="shared" si="91"/>
        <v>0</v>
      </c>
      <c r="J461" s="5">
        <f t="shared" si="92"/>
        <v>0</v>
      </c>
      <c r="K461" s="5">
        <f>SUMIFS(KASA!$Q:$Q, KASA!$C:$C, $C461, KASA!$B:$B, "MAL SATIŞI") + SUMIFS(KASA!$Q:$Q, KASA!$C:$C, $C461, KASA!$B:$B, "ÜRETİM ÇIKIŞ")</f>
        <v>0</v>
      </c>
      <c r="L461" s="5">
        <f>SUMIFS(KASA!$K:$K, KASA!$C:$C, $C461, KASA!$B:$B, "MAL SATIŞI") + SUMIFS(KASA!$K:$K, KASA!$C:$C, $C461, KASA!$B:$B, "ÜRETİM ÇIKIŞ")</f>
        <v>0</v>
      </c>
      <c r="M461" s="5">
        <f t="shared" si="93"/>
        <v>0</v>
      </c>
      <c r="N461" s="5">
        <f t="shared" si="94"/>
        <v>0</v>
      </c>
      <c r="O461" s="65">
        <f t="shared" si="95"/>
        <v>0</v>
      </c>
      <c r="P461" s="5" t="e">
        <f t="shared" si="96"/>
        <v>#DIV/0!</v>
      </c>
      <c r="Q461" s="5">
        <f t="shared" si="97"/>
        <v>0</v>
      </c>
      <c r="R461" s="5">
        <f t="shared" si="98"/>
        <v>0</v>
      </c>
      <c r="S461" s="5">
        <f t="shared" si="99"/>
        <v>0</v>
      </c>
      <c r="U461" s="2">
        <f t="shared" si="100"/>
        <v>0</v>
      </c>
      <c r="V461">
        <f>SUMIF(KASA!$C$2:$C$9980, C461, KASA!$T$2:$T$9980)</f>
        <v>0</v>
      </c>
      <c r="W461">
        <f>SUMIF(KASA!$C$2:$C$9980, C461, KASA!$U$2:$U$9980)</f>
        <v>0</v>
      </c>
      <c r="X461" s="2">
        <f t="shared" si="101"/>
        <v>0</v>
      </c>
      <c r="Y461" s="2">
        <f t="shared" si="102"/>
        <v>0</v>
      </c>
      <c r="Z461">
        <f>SUMIF(KASA!$C$2:$C$9980, C461, KASA!$V$2:$V$9980)</f>
        <v>0</v>
      </c>
      <c r="AA461">
        <f t="shared" si="103"/>
        <v>0</v>
      </c>
    </row>
    <row r="462" spans="3:27" x14ac:dyDescent="0.25">
      <c r="C462" s="4"/>
      <c r="D462" s="5">
        <f>SUMIFS(KASA!$I:$I, KASA!$C:$C, $C462, KASA!$B:$B, "MAL ALIMI") + SUMIFS(KASA!$I:$I, KASA!$C:$C, $C462, KASA!$B:$B, "ÜRETİM GİRİŞ")</f>
        <v>0</v>
      </c>
      <c r="E462" s="5" cm="1">
        <f t="array" ref="E462">IFERROR(AVERAGE(IF((KASA!$C$2:$C$9980=$C462)*((KASA!$B$2:$B$9980="MAL ALIMI")+(KASA!$B$2:$B$9980="ÜRETİM GİRİŞ")),KASA!$J$2:$J$9980)),0)</f>
        <v>0</v>
      </c>
      <c r="F462" s="5">
        <f>SUMIFS(KASA!$I:$I, KASA!$C:$C, $C462, KASA!$B:$B, "MAL SATIŞI") + SUMIFS(KASA!$I:$I, KASA!$C:$C, $C462, KASA!$B:$B, "ÜRETİM ÇIKIŞ")</f>
        <v>0</v>
      </c>
      <c r="G462" s="5">
        <f>SUMIFS(KASA!$I:$I, KASA!$C:$C, $C462, KASA!$B:$B, "MAL İADE")</f>
        <v>0</v>
      </c>
      <c r="H462" s="5">
        <f>SUMIFS(KASA!$K:$K, KASA!$C:$C, $C462, KASA!$B:$B, "MAL İADE") + SUMIFS(KASA!$Q:$Q, KASA!$C:$C, $C462, KASA!$B:$B, "MAL İADE")</f>
        <v>0</v>
      </c>
      <c r="I462" s="5">
        <f t="shared" si="91"/>
        <v>0</v>
      </c>
      <c r="J462" s="5">
        <f t="shared" si="92"/>
        <v>0</v>
      </c>
      <c r="K462" s="5">
        <f>SUMIFS(KASA!$Q:$Q, KASA!$C:$C, $C462, KASA!$B:$B, "MAL SATIŞI") + SUMIFS(KASA!$Q:$Q, KASA!$C:$C, $C462, KASA!$B:$B, "ÜRETİM ÇIKIŞ")</f>
        <v>0</v>
      </c>
      <c r="L462" s="5">
        <f>SUMIFS(KASA!$K:$K, KASA!$C:$C, $C462, KASA!$B:$B, "MAL SATIŞI") + SUMIFS(KASA!$K:$K, KASA!$C:$C, $C462, KASA!$B:$B, "ÜRETİM ÇIKIŞ")</f>
        <v>0</v>
      </c>
      <c r="M462" s="5">
        <f t="shared" si="93"/>
        <v>0</v>
      </c>
      <c r="N462" s="5">
        <f t="shared" si="94"/>
        <v>0</v>
      </c>
      <c r="O462" s="65">
        <f t="shared" si="95"/>
        <v>0</v>
      </c>
      <c r="P462" s="5" t="e">
        <f t="shared" si="96"/>
        <v>#DIV/0!</v>
      </c>
      <c r="Q462" s="5">
        <f t="shared" si="97"/>
        <v>0</v>
      </c>
      <c r="R462" s="5">
        <f t="shared" si="98"/>
        <v>0</v>
      </c>
      <c r="S462" s="5">
        <f t="shared" si="99"/>
        <v>0</v>
      </c>
      <c r="U462" s="2">
        <f t="shared" si="100"/>
        <v>0</v>
      </c>
      <c r="V462">
        <f>SUMIF(KASA!$C$2:$C$9980, C462, KASA!$T$2:$T$9980)</f>
        <v>0</v>
      </c>
      <c r="W462">
        <f>SUMIF(KASA!$C$2:$C$9980, C462, KASA!$U$2:$U$9980)</f>
        <v>0</v>
      </c>
      <c r="X462" s="2">
        <f t="shared" si="101"/>
        <v>0</v>
      </c>
      <c r="Y462" s="2">
        <f t="shared" si="102"/>
        <v>0</v>
      </c>
      <c r="Z462">
        <f>SUMIF(KASA!$C$2:$C$9980, C462, KASA!$V$2:$V$9980)</f>
        <v>0</v>
      </c>
      <c r="AA462">
        <f t="shared" si="103"/>
        <v>0</v>
      </c>
    </row>
    <row r="463" spans="3:27" x14ac:dyDescent="0.25">
      <c r="C463" s="4"/>
      <c r="D463" s="5">
        <f>SUMIFS(KASA!$I:$I, KASA!$C:$C, $C463, KASA!$B:$B, "MAL ALIMI") + SUMIFS(KASA!$I:$I, KASA!$C:$C, $C463, KASA!$B:$B, "ÜRETİM GİRİŞ")</f>
        <v>0</v>
      </c>
      <c r="E463" s="5" cm="1">
        <f t="array" ref="E463">IFERROR(AVERAGE(IF((KASA!$C$2:$C$9980=$C463)*((KASA!$B$2:$B$9980="MAL ALIMI")+(KASA!$B$2:$B$9980="ÜRETİM GİRİŞ")),KASA!$J$2:$J$9980)),0)</f>
        <v>0</v>
      </c>
      <c r="F463" s="5">
        <f>SUMIFS(KASA!$I:$I, KASA!$C:$C, $C463, KASA!$B:$B, "MAL SATIŞI") + SUMIFS(KASA!$I:$I, KASA!$C:$C, $C463, KASA!$B:$B, "ÜRETİM ÇIKIŞ")</f>
        <v>0</v>
      </c>
      <c r="G463" s="5">
        <f>SUMIFS(KASA!$I:$I, KASA!$C:$C, $C463, KASA!$B:$B, "MAL İADE")</f>
        <v>0</v>
      </c>
      <c r="H463" s="5">
        <f>SUMIFS(KASA!$K:$K, KASA!$C:$C, $C463, KASA!$B:$B, "MAL İADE") + SUMIFS(KASA!$Q:$Q, KASA!$C:$C, $C463, KASA!$B:$B, "MAL İADE")</f>
        <v>0</v>
      </c>
      <c r="I463" s="5">
        <f t="shared" si="91"/>
        <v>0</v>
      </c>
      <c r="J463" s="5">
        <f t="shared" si="92"/>
        <v>0</v>
      </c>
      <c r="K463" s="5">
        <f>SUMIFS(KASA!$Q:$Q, KASA!$C:$C, $C463, KASA!$B:$B, "MAL SATIŞI") + SUMIFS(KASA!$Q:$Q, KASA!$C:$C, $C463, KASA!$B:$B, "ÜRETİM ÇIKIŞ")</f>
        <v>0</v>
      </c>
      <c r="L463" s="5">
        <f>SUMIFS(KASA!$K:$K, KASA!$C:$C, $C463, KASA!$B:$B, "MAL SATIŞI") + SUMIFS(KASA!$K:$K, KASA!$C:$C, $C463, KASA!$B:$B, "ÜRETİM ÇIKIŞ")</f>
        <v>0</v>
      </c>
      <c r="M463" s="5">
        <f t="shared" si="93"/>
        <v>0</v>
      </c>
      <c r="N463" s="5">
        <f t="shared" si="94"/>
        <v>0</v>
      </c>
      <c r="O463" s="65">
        <f t="shared" si="95"/>
        <v>0</v>
      </c>
      <c r="P463" s="5" t="e">
        <f t="shared" si="96"/>
        <v>#DIV/0!</v>
      </c>
      <c r="Q463" s="5">
        <f t="shared" si="97"/>
        <v>0</v>
      </c>
      <c r="R463" s="5">
        <f t="shared" si="98"/>
        <v>0</v>
      </c>
      <c r="S463" s="5">
        <f t="shared" si="99"/>
        <v>0</v>
      </c>
      <c r="U463" s="2">
        <f t="shared" si="100"/>
        <v>0</v>
      </c>
      <c r="V463">
        <f>SUMIF(KASA!$C$2:$C$9980, C463, KASA!$T$2:$T$9980)</f>
        <v>0</v>
      </c>
      <c r="W463">
        <f>SUMIF(KASA!$C$2:$C$9980, C463, KASA!$U$2:$U$9980)</f>
        <v>0</v>
      </c>
      <c r="X463" s="2">
        <f t="shared" si="101"/>
        <v>0</v>
      </c>
      <c r="Y463" s="2">
        <f t="shared" si="102"/>
        <v>0</v>
      </c>
      <c r="Z463">
        <f>SUMIF(KASA!$C$2:$C$9980, C463, KASA!$V$2:$V$9980)</f>
        <v>0</v>
      </c>
      <c r="AA463">
        <f t="shared" si="103"/>
        <v>0</v>
      </c>
    </row>
    <row r="464" spans="3:27" x14ac:dyDescent="0.25">
      <c r="D464" s="66">
        <f>SUM(D2:D463)</f>
        <v>7557.3190000000004</v>
      </c>
      <c r="E464" s="66">
        <f>SUM(E2:E463)</f>
        <v>84757.355160481398</v>
      </c>
      <c r="F464" s="66">
        <f>SUM(F2:F463)</f>
        <v>4941.1848513711311</v>
      </c>
      <c r="G464" s="66"/>
      <c r="H464" s="66"/>
      <c r="I464" s="66"/>
      <c r="J464" s="66">
        <f>SUM(J2:J463)</f>
        <v>752635.20009492175</v>
      </c>
      <c r="K464" s="66">
        <f>SUM(K2:K463)</f>
        <v>707505.56997817324</v>
      </c>
      <c r="L464" s="66">
        <f>SUM(L2:L463)</f>
        <v>485212.50428941665</v>
      </c>
      <c r="M464" s="66">
        <f>SUM(M2:M463)</f>
        <v>1192718.0742675895</v>
      </c>
      <c r="N464" s="66">
        <f>SUM(N2:N463)</f>
        <v>440082.87417266838</v>
      </c>
      <c r="O464" s="67">
        <f t="shared" si="95"/>
        <v>0.58472268386751625</v>
      </c>
      <c r="P464" s="66" t="e">
        <f>SUM(P2:P463)</f>
        <v>#DIV/0!</v>
      </c>
      <c r="Q464" s="66">
        <f>SUM(Q2:Q463)</f>
        <v>2292.6641486288677</v>
      </c>
      <c r="R464" s="66">
        <f>SUM(R2:R463)</f>
        <v>331894.18618539826</v>
      </c>
      <c r="S464" s="66">
        <f>SUM(S2:S463)</f>
        <v>1125715.7352028184</v>
      </c>
      <c r="T464" s="66"/>
      <c r="Y464" s="2">
        <f>SUM(Y2:Y463)</f>
        <v>334980.43111706112</v>
      </c>
      <c r="Z464">
        <f>SUM(Z2:Z463)</f>
        <v>1117396.2995027532</v>
      </c>
      <c r="AA464">
        <f>SUM(AA2:AA463)</f>
        <v>741232.76838569227</v>
      </c>
    </row>
    <row r="467" spans="21:21" x14ac:dyDescent="0.25">
      <c r="U467">
        <f>876070-547299</f>
        <v>328771</v>
      </c>
    </row>
  </sheetData>
  <autoFilter ref="C1:V464" xr:uid="{5A36EE6F-1BC6-4F05-AEBF-1188F83B646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018B-5AF1-4200-9F0B-6D8A80DE3471}">
  <dimension ref="B2:V44"/>
  <sheetViews>
    <sheetView workbookViewId="0">
      <selection activeCell="N3" sqref="N3:N15"/>
    </sheetView>
  </sheetViews>
  <sheetFormatPr defaultRowHeight="15" x14ac:dyDescent="0.25"/>
  <cols>
    <col min="1" max="1" width="14.85546875" customWidth="1"/>
    <col min="2" max="2" width="10.140625" bestFit="1" customWidth="1"/>
    <col min="3" max="3" width="18.140625" bestFit="1" customWidth="1"/>
    <col min="4" max="6" width="11.5703125" bestFit="1" customWidth="1"/>
    <col min="7" max="7" width="37.140625" customWidth="1"/>
    <col min="8" max="8" width="22" customWidth="1"/>
    <col min="9" max="9" width="14.42578125" customWidth="1"/>
    <col min="11" max="11" width="13" customWidth="1"/>
    <col min="12" max="12" width="16.28515625" customWidth="1"/>
    <col min="13" max="13" width="2.28515625" customWidth="1"/>
    <col min="14" max="14" width="55.140625" bestFit="1" customWidth="1"/>
    <col min="18" max="18" width="10.7109375" customWidth="1"/>
  </cols>
  <sheetData>
    <row r="2" spans="2:22" x14ac:dyDescent="0.25">
      <c r="B2" s="23" t="s">
        <v>271</v>
      </c>
      <c r="C2" s="23" t="s">
        <v>272</v>
      </c>
      <c r="D2" s="23" t="s">
        <v>273</v>
      </c>
      <c r="E2" s="23" t="s">
        <v>274</v>
      </c>
      <c r="F2" s="23" t="s">
        <v>275</v>
      </c>
      <c r="H2" s="1" t="s">
        <v>276</v>
      </c>
      <c r="I2" s="1" t="s">
        <v>271</v>
      </c>
      <c r="J2" s="1" t="s">
        <v>277</v>
      </c>
      <c r="K2" s="1" t="s">
        <v>278</v>
      </c>
      <c r="L2" s="1" t="s">
        <v>275</v>
      </c>
      <c r="R2" t="s">
        <v>2277</v>
      </c>
      <c r="T2">
        <v>200</v>
      </c>
      <c r="U2">
        <v>60</v>
      </c>
      <c r="V2">
        <v>140</v>
      </c>
    </row>
    <row r="3" spans="2:22" x14ac:dyDescent="0.25">
      <c r="B3" s="3">
        <v>45931</v>
      </c>
      <c r="C3" s="4" t="s">
        <v>67</v>
      </c>
      <c r="D3" s="21">
        <f>137658+56300+33200+76450+64805</f>
        <v>368413</v>
      </c>
      <c r="E3" s="21">
        <f>20000+20000+15000+10000+10000+15000+20000+12000+20000+4500+25000+10000+25000+20000</f>
        <v>226500</v>
      </c>
      <c r="F3" s="24">
        <f>D3-E3</f>
        <v>141913</v>
      </c>
      <c r="H3" s="4"/>
      <c r="I3" s="3"/>
      <c r="J3" s="4"/>
      <c r="K3" s="42"/>
      <c r="L3" s="4">
        <f>J3-K3</f>
        <v>0</v>
      </c>
      <c r="R3" t="s">
        <v>3102</v>
      </c>
      <c r="T3">
        <v>250</v>
      </c>
      <c r="U3">
        <v>150</v>
      </c>
      <c r="V3">
        <v>100</v>
      </c>
    </row>
    <row r="4" spans="2:22" x14ac:dyDescent="0.25">
      <c r="B4" s="3">
        <v>45950</v>
      </c>
      <c r="C4" s="4" t="s">
        <v>279</v>
      </c>
      <c r="D4" s="21">
        <f>87124+7304.25+15565+11430+14295+7780+7944.97+6480+5170+740+7910+3453.84+19510+4530+4420+9553.8+7778.35+3525+3720+10393+6815+18615+5596+14130+4+5217.5</f>
        <v>289004.70999999996</v>
      </c>
      <c r="E4" s="21">
        <f>8000+10000+5350+40000+8000+1878.4+7926.45+5000+10000+800+15000+10000+20000+10914.89+10000+50000</f>
        <v>212869.74</v>
      </c>
      <c r="F4" s="24">
        <f>D4-E4</f>
        <v>76134.969999999972</v>
      </c>
      <c r="H4" s="4"/>
      <c r="I4" s="3"/>
      <c r="J4" s="4"/>
      <c r="K4" s="42"/>
      <c r="L4" s="4">
        <f t="shared" ref="L4:L27" si="0">J4-K4</f>
        <v>0</v>
      </c>
      <c r="N4" t="s">
        <v>3686</v>
      </c>
    </row>
    <row r="5" spans="2:22" x14ac:dyDescent="0.25">
      <c r="B5" s="3">
        <v>45961</v>
      </c>
      <c r="C5" s="4" t="s">
        <v>521</v>
      </c>
      <c r="D5" s="21">
        <v>3500</v>
      </c>
      <c r="E5" s="21"/>
      <c r="F5" s="24">
        <f t="shared" ref="F5:F17" si="1">D5-E5</f>
        <v>3500</v>
      </c>
      <c r="H5" s="4"/>
      <c r="I5" s="3"/>
      <c r="J5" s="4"/>
      <c r="K5" s="42"/>
      <c r="L5" s="4">
        <f t="shared" si="0"/>
        <v>0</v>
      </c>
    </row>
    <row r="6" spans="2:22" x14ac:dyDescent="0.25">
      <c r="B6" s="3">
        <v>45965</v>
      </c>
      <c r="C6" s="4" t="s">
        <v>555</v>
      </c>
      <c r="D6" s="21">
        <v>22500</v>
      </c>
      <c r="E6" s="21"/>
      <c r="F6" s="24">
        <f t="shared" si="1"/>
        <v>22500</v>
      </c>
      <c r="H6" s="4"/>
      <c r="I6" s="3"/>
      <c r="J6" s="4"/>
      <c r="K6" s="42"/>
      <c r="L6" s="4">
        <f t="shared" si="0"/>
        <v>0</v>
      </c>
    </row>
    <row r="7" spans="2:22" x14ac:dyDescent="0.25">
      <c r="B7" s="3">
        <v>46020</v>
      </c>
      <c r="C7" s="4" t="s">
        <v>1505</v>
      </c>
      <c r="D7" s="21">
        <v>63800</v>
      </c>
      <c r="E7" s="21">
        <v>63800</v>
      </c>
      <c r="F7" s="24">
        <f t="shared" si="1"/>
        <v>0</v>
      </c>
      <c r="H7" s="4" t="s">
        <v>3630</v>
      </c>
      <c r="I7" s="3"/>
      <c r="J7" s="4">
        <f>300+495</f>
        <v>795</v>
      </c>
      <c r="K7" s="42">
        <v>300</v>
      </c>
      <c r="L7" s="4">
        <f t="shared" si="0"/>
        <v>495</v>
      </c>
    </row>
    <row r="8" spans="2:22" x14ac:dyDescent="0.25">
      <c r="B8" s="4"/>
      <c r="C8" s="4" t="s">
        <v>2568</v>
      </c>
      <c r="D8" s="21">
        <v>5350</v>
      </c>
      <c r="E8" s="21">
        <f>3000+2350</f>
        <v>5350</v>
      </c>
      <c r="F8" s="24">
        <f t="shared" si="1"/>
        <v>0</v>
      </c>
      <c r="H8" s="4"/>
      <c r="I8" s="3"/>
      <c r="J8" s="4"/>
      <c r="K8" s="42"/>
      <c r="L8" s="4">
        <f t="shared" si="0"/>
        <v>0</v>
      </c>
      <c r="N8" t="s">
        <v>92</v>
      </c>
    </row>
    <row r="9" spans="2:22" x14ac:dyDescent="0.25">
      <c r="B9" s="4"/>
      <c r="C9" s="4"/>
      <c r="D9" s="21"/>
      <c r="E9" s="21"/>
      <c r="F9" s="24">
        <f t="shared" si="1"/>
        <v>0</v>
      </c>
      <c r="H9" s="4" t="s">
        <v>3755</v>
      </c>
      <c r="I9" s="3"/>
      <c r="J9" s="4">
        <v>825</v>
      </c>
      <c r="K9" s="42"/>
      <c r="L9" s="4">
        <f t="shared" si="0"/>
        <v>825</v>
      </c>
    </row>
    <row r="10" spans="2:22" x14ac:dyDescent="0.25">
      <c r="B10" s="4"/>
      <c r="C10" s="4"/>
      <c r="D10" s="21"/>
      <c r="E10" s="21"/>
      <c r="F10" s="24">
        <f t="shared" si="1"/>
        <v>0</v>
      </c>
      <c r="H10" s="4" t="s">
        <v>3776</v>
      </c>
      <c r="I10" s="3"/>
      <c r="J10" s="4">
        <v>1400</v>
      </c>
      <c r="K10" s="42"/>
      <c r="L10" s="4">
        <f t="shared" si="0"/>
        <v>1400</v>
      </c>
      <c r="N10" t="s">
        <v>3777</v>
      </c>
    </row>
    <row r="11" spans="2:22" x14ac:dyDescent="0.25">
      <c r="B11" s="4"/>
      <c r="C11" s="4"/>
      <c r="D11" s="21"/>
      <c r="E11" s="21"/>
      <c r="F11" s="24">
        <f t="shared" si="1"/>
        <v>0</v>
      </c>
      <c r="H11" s="4"/>
      <c r="I11" s="3"/>
      <c r="J11" s="4"/>
      <c r="K11" s="4"/>
      <c r="L11" s="4">
        <f t="shared" si="0"/>
        <v>0</v>
      </c>
    </row>
    <row r="12" spans="2:22" x14ac:dyDescent="0.25">
      <c r="B12" s="4"/>
      <c r="C12" s="4"/>
      <c r="D12" s="21"/>
      <c r="E12" s="21"/>
      <c r="F12" s="24">
        <f t="shared" si="1"/>
        <v>0</v>
      </c>
      <c r="H12" s="4" t="s">
        <v>3837</v>
      </c>
      <c r="I12" s="3"/>
      <c r="J12" s="4">
        <v>350</v>
      </c>
      <c r="K12" s="4"/>
      <c r="L12" s="4">
        <f t="shared" si="0"/>
        <v>350</v>
      </c>
    </row>
    <row r="13" spans="2:22" x14ac:dyDescent="0.25">
      <c r="B13" s="4"/>
      <c r="C13" s="4"/>
      <c r="D13" s="21"/>
      <c r="E13" s="21"/>
      <c r="F13" s="24">
        <f t="shared" si="1"/>
        <v>0</v>
      </c>
      <c r="H13" s="4"/>
      <c r="I13" s="3"/>
      <c r="J13" s="4"/>
      <c r="K13" s="4"/>
      <c r="L13" s="4">
        <f t="shared" si="0"/>
        <v>0</v>
      </c>
    </row>
    <row r="14" spans="2:22" x14ac:dyDescent="0.25">
      <c r="B14" s="4"/>
      <c r="C14" s="4"/>
      <c r="D14" s="21"/>
      <c r="E14" s="21"/>
      <c r="F14" s="24">
        <f t="shared" si="1"/>
        <v>0</v>
      </c>
      <c r="H14" s="4"/>
      <c r="I14" s="3"/>
      <c r="J14" s="4"/>
      <c r="K14" s="4"/>
      <c r="L14" s="4">
        <f t="shared" si="0"/>
        <v>0</v>
      </c>
    </row>
    <row r="15" spans="2:22" x14ac:dyDescent="0.25">
      <c r="B15" s="4"/>
      <c r="C15" s="4"/>
      <c r="D15" s="21"/>
      <c r="E15" s="21"/>
      <c r="F15" s="24">
        <f t="shared" si="1"/>
        <v>0</v>
      </c>
      <c r="H15" s="46"/>
      <c r="I15" s="45"/>
      <c r="J15" s="46"/>
      <c r="K15" s="4"/>
      <c r="L15" s="4">
        <f t="shared" si="0"/>
        <v>0</v>
      </c>
    </row>
    <row r="16" spans="2:22" x14ac:dyDescent="0.25">
      <c r="B16" s="4"/>
      <c r="C16" s="4"/>
      <c r="D16" s="21"/>
      <c r="E16" s="21"/>
      <c r="F16" s="24">
        <f t="shared" si="1"/>
        <v>0</v>
      </c>
      <c r="H16" s="4"/>
      <c r="I16" s="3"/>
      <c r="J16" s="4"/>
      <c r="K16" s="4"/>
      <c r="L16" s="4">
        <f t="shared" si="0"/>
        <v>0</v>
      </c>
    </row>
    <row r="17" spans="2:14" x14ac:dyDescent="0.25">
      <c r="B17" s="4"/>
      <c r="C17" s="4"/>
      <c r="D17" s="21"/>
      <c r="E17" s="21"/>
      <c r="F17" s="24">
        <f t="shared" si="1"/>
        <v>0</v>
      </c>
      <c r="H17" s="4"/>
      <c r="I17" s="3"/>
      <c r="J17" s="4"/>
      <c r="K17" s="4"/>
      <c r="L17" s="4">
        <f t="shared" si="0"/>
        <v>0</v>
      </c>
    </row>
    <row r="18" spans="2:14" x14ac:dyDescent="0.25">
      <c r="D18" s="34">
        <f>SUM(D3:D17)</f>
        <v>752567.71</v>
      </c>
      <c r="E18" s="34">
        <f>SUM(E3:E17)</f>
        <v>508519.74</v>
      </c>
      <c r="F18" s="34">
        <f>SUM(F3:F17)</f>
        <v>244047.96999999997</v>
      </c>
      <c r="H18" s="4" t="s">
        <v>3611</v>
      </c>
      <c r="I18" s="3">
        <v>46179</v>
      </c>
      <c r="J18" s="4">
        <v>320</v>
      </c>
      <c r="K18" s="4">
        <v>90</v>
      </c>
      <c r="L18" s="4">
        <f t="shared" si="0"/>
        <v>230</v>
      </c>
    </row>
    <row r="19" spans="2:14" x14ac:dyDescent="0.25">
      <c r="H19" s="4" t="s">
        <v>3284</v>
      </c>
      <c r="I19" s="3"/>
      <c r="J19" s="4">
        <v>48</v>
      </c>
      <c r="K19" s="4"/>
      <c r="L19" s="4">
        <f t="shared" si="0"/>
        <v>48</v>
      </c>
    </row>
    <row r="20" spans="2:14" x14ac:dyDescent="0.25">
      <c r="H20" s="4"/>
      <c r="I20" s="3"/>
      <c r="J20" s="4"/>
      <c r="K20" s="4"/>
      <c r="L20" s="4">
        <f t="shared" si="0"/>
        <v>0</v>
      </c>
    </row>
    <row r="21" spans="2:14" x14ac:dyDescent="0.25">
      <c r="H21" s="4" t="s">
        <v>3672</v>
      </c>
      <c r="I21" s="3"/>
      <c r="J21" s="4">
        <v>1000</v>
      </c>
      <c r="K21" s="42"/>
      <c r="L21" s="4">
        <f t="shared" si="0"/>
        <v>1000</v>
      </c>
    </row>
    <row r="22" spans="2:14" x14ac:dyDescent="0.25">
      <c r="C22" s="33"/>
      <c r="H22" s="4"/>
      <c r="I22" s="3"/>
      <c r="J22" s="4"/>
      <c r="K22" s="4"/>
      <c r="L22" s="4">
        <f t="shared" si="0"/>
        <v>0</v>
      </c>
    </row>
    <row r="23" spans="2:14" x14ac:dyDescent="0.25">
      <c r="H23" s="4"/>
      <c r="I23" s="3"/>
      <c r="J23" s="4"/>
      <c r="K23" s="4"/>
      <c r="L23" s="4">
        <f t="shared" si="0"/>
        <v>0</v>
      </c>
    </row>
    <row r="24" spans="2:14" x14ac:dyDescent="0.25">
      <c r="H24" s="4"/>
      <c r="I24" s="3"/>
      <c r="J24" s="4"/>
      <c r="K24" s="4"/>
      <c r="L24" s="4">
        <f t="shared" si="0"/>
        <v>0</v>
      </c>
      <c r="M24" s="22"/>
      <c r="N24" s="22"/>
    </row>
    <row r="25" spans="2:14" x14ac:dyDescent="0.25">
      <c r="H25" s="4"/>
      <c r="I25" s="3"/>
      <c r="J25" s="4"/>
      <c r="K25" s="4"/>
      <c r="L25" s="4">
        <f t="shared" si="0"/>
        <v>0</v>
      </c>
    </row>
    <row r="26" spans="2:14" x14ac:dyDescent="0.25">
      <c r="H26" s="4"/>
      <c r="I26" s="3"/>
      <c r="J26" s="4"/>
      <c r="K26" s="4"/>
      <c r="L26" s="4">
        <f t="shared" si="0"/>
        <v>0</v>
      </c>
    </row>
    <row r="27" spans="2:14" x14ac:dyDescent="0.25">
      <c r="H27" s="4"/>
      <c r="I27" s="4"/>
      <c r="J27" s="4"/>
      <c r="K27" s="4"/>
      <c r="L27" s="4">
        <f t="shared" si="0"/>
        <v>0</v>
      </c>
    </row>
    <row r="28" spans="2:14" x14ac:dyDescent="0.25">
      <c r="J28">
        <f>SUM(J3:J27)</f>
        <v>4738</v>
      </c>
      <c r="L28">
        <f>SUM(L3:L27)</f>
        <v>4348</v>
      </c>
    </row>
    <row r="43" spans="12:12" x14ac:dyDescent="0.25">
      <c r="L43" s="19"/>
    </row>
    <row r="44" spans="12:12" x14ac:dyDescent="0.25">
      <c r="L44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4A00-E917-4635-8DC2-DD08E950429D}">
  <sheetPr filterMode="1"/>
  <dimension ref="A1:W10183"/>
  <sheetViews>
    <sheetView zoomScaleNormal="100" workbookViewId="0">
      <pane ySplit="1" topLeftCell="A267" activePane="bottomLeft" state="frozen"/>
      <selection pane="bottomLeft" activeCell="J267" sqref="J267:J10171"/>
    </sheetView>
  </sheetViews>
  <sheetFormatPr defaultRowHeight="15" x14ac:dyDescent="0.25"/>
  <cols>
    <col min="1" max="1" width="10.140625" bestFit="1" customWidth="1"/>
    <col min="2" max="2" width="15" bestFit="1" customWidth="1"/>
    <col min="3" max="3" width="36.42578125" customWidth="1"/>
    <col min="4" max="4" width="19.140625" customWidth="1"/>
    <col min="5" max="5" width="16.42578125" customWidth="1"/>
    <col min="6" max="6" width="18.42578125" customWidth="1"/>
    <col min="7" max="7" width="45.140625" customWidth="1"/>
    <col min="8" max="8" width="7.42578125" customWidth="1"/>
    <col min="9" max="9" width="7.7109375" customWidth="1"/>
    <col min="10" max="10" width="13.140625" style="19" customWidth="1"/>
    <col min="11" max="11" width="14" style="19" customWidth="1"/>
    <col min="12" max="12" width="14" style="2" customWidth="1"/>
    <col min="13" max="13" width="12.7109375" hidden="1" customWidth="1"/>
    <col min="14" max="14" width="10.85546875" hidden="1" customWidth="1"/>
    <col min="15" max="15" width="13.5703125" style="2" hidden="1" customWidth="1"/>
    <col min="16" max="16" width="15.28515625" style="2" hidden="1" customWidth="1"/>
    <col min="17" max="17" width="12" style="2" customWidth="1"/>
    <col min="18" max="18" width="12.85546875" style="19" bestFit="1" customWidth="1"/>
    <col min="19" max="19" width="14" customWidth="1"/>
    <col min="20" max="20" width="17.28515625" customWidth="1"/>
    <col min="21" max="21" width="17.85546875" customWidth="1"/>
    <col min="22" max="22" width="15.28515625" customWidth="1"/>
    <col min="23" max="23" width="13.85546875" customWidth="1"/>
  </cols>
  <sheetData>
    <row r="1" spans="1:23" ht="30.75" customHeight="1" x14ac:dyDescent="0.25">
      <c r="A1" s="1" t="s">
        <v>271</v>
      </c>
      <c r="B1" s="1" t="s">
        <v>280</v>
      </c>
      <c r="C1" s="1" t="s">
        <v>2</v>
      </c>
      <c r="D1" s="1" t="s">
        <v>281</v>
      </c>
      <c r="E1" s="1" t="s">
        <v>304</v>
      </c>
      <c r="F1" s="1" t="s">
        <v>282</v>
      </c>
      <c r="G1" s="1" t="s">
        <v>283</v>
      </c>
      <c r="H1" s="1" t="s">
        <v>284</v>
      </c>
      <c r="I1" s="17" t="s">
        <v>913</v>
      </c>
      <c r="J1" s="20" t="s">
        <v>914</v>
      </c>
      <c r="K1" s="20" t="s">
        <v>916</v>
      </c>
      <c r="L1" s="18" t="s">
        <v>915</v>
      </c>
      <c r="M1" s="17" t="s">
        <v>512</v>
      </c>
      <c r="N1" s="17" t="s">
        <v>513</v>
      </c>
      <c r="O1" s="18" t="s">
        <v>510</v>
      </c>
      <c r="P1" s="18" t="s">
        <v>511</v>
      </c>
      <c r="Q1" s="18" t="s">
        <v>924</v>
      </c>
      <c r="R1" s="20" t="s">
        <v>925</v>
      </c>
      <c r="S1" s="6" t="s">
        <v>286</v>
      </c>
      <c r="T1" s="75" t="s">
        <v>2933</v>
      </c>
      <c r="U1" s="75" t="s">
        <v>2934</v>
      </c>
      <c r="V1" s="75" t="s">
        <v>2936</v>
      </c>
      <c r="W1" s="75" t="s">
        <v>2938</v>
      </c>
    </row>
    <row r="2" spans="1:23" hidden="1" x14ac:dyDescent="0.25">
      <c r="A2" s="3">
        <v>45925</v>
      </c>
      <c r="B2" s="3" t="s">
        <v>3945</v>
      </c>
      <c r="C2" s="4"/>
      <c r="D2" s="4"/>
      <c r="E2" s="4" t="s">
        <v>115</v>
      </c>
      <c r="F2" s="4" t="s">
        <v>287</v>
      </c>
      <c r="G2" s="4" t="s">
        <v>288</v>
      </c>
      <c r="H2" s="4" t="s">
        <v>289</v>
      </c>
      <c r="I2" s="4">
        <v>1</v>
      </c>
      <c r="J2" s="21">
        <v>264000</v>
      </c>
      <c r="K2" s="21"/>
      <c r="L2" s="5">
        <v>264000</v>
      </c>
      <c r="M2" s="4">
        <v>0</v>
      </c>
      <c r="N2" s="4">
        <v>0</v>
      </c>
      <c r="O2" s="5">
        <v>1</v>
      </c>
      <c r="P2" s="5"/>
      <c r="Q2" s="21">
        <v>264000</v>
      </c>
      <c r="R2" s="21">
        <v>0</v>
      </c>
      <c r="S2" s="5">
        <f>Q2-R2</f>
        <v>264000</v>
      </c>
      <c r="T2" cm="1">
        <f t="array" ref="T2">IF(OR(B2="MAL ALIMI", B2="ÜRETİM GİRİŞ"), MIN(I2, MAX(0, I2 + SUM(SUMIFS($I$1:I1, $C$1:C1, C2, $B$1:B1, {"MAL ALIMI","ÜRETİM GİRİŞ"})) - VLOOKUP(C2, 'STOK RAPORU'!$C$2:$I$1000, 4, 0))), 0)</f>
        <v>0</v>
      </c>
      <c r="U2" s="22">
        <f>T2*J2</f>
        <v>0</v>
      </c>
      <c r="V2">
        <f>IF(OR(B2="MAL ALIMI", B2="ÜRETİM GİRİŞ"), I2 * J2, 0)</f>
        <v>0</v>
      </c>
      <c r="W2" s="22">
        <f>V2-U2</f>
        <v>0</v>
      </c>
    </row>
    <row r="3" spans="1:23" hidden="1" x14ac:dyDescent="0.25">
      <c r="A3" s="3">
        <v>45926</v>
      </c>
      <c r="B3" s="3" t="s">
        <v>285</v>
      </c>
      <c r="C3" s="4"/>
      <c r="D3" s="4" t="s">
        <v>110</v>
      </c>
      <c r="E3" s="4"/>
      <c r="F3" s="4" t="s">
        <v>290</v>
      </c>
      <c r="G3" s="4" t="s">
        <v>291</v>
      </c>
      <c r="H3" s="4" t="s">
        <v>289</v>
      </c>
      <c r="I3" s="4">
        <v>1</v>
      </c>
      <c r="J3" s="21">
        <v>24000</v>
      </c>
      <c r="K3" s="21">
        <v>0</v>
      </c>
      <c r="L3" s="5">
        <v>0</v>
      </c>
      <c r="M3" s="4">
        <v>0</v>
      </c>
      <c r="N3" s="4">
        <v>1</v>
      </c>
      <c r="O3" s="5"/>
      <c r="P3" s="5">
        <v>24000</v>
      </c>
      <c r="Q3" s="21">
        <v>0</v>
      </c>
      <c r="R3" s="21">
        <v>24000</v>
      </c>
      <c r="S3" s="5">
        <f>S2+Q3-R3</f>
        <v>240000</v>
      </c>
      <c r="T3" cm="1">
        <f t="array" ref="T3">IF(OR(B3="MAL ALIMI", B3="ÜRETİM GİRİŞ"), MIN(I3, MAX(0, I3 + SUM(SUMIFS($I$1:I2, $C$1:C2, C3, $B$1:B2, {"MAL ALIMI","ÜRETİM GİRİŞ"})) - VLOOKUP(C3, 'STOK RAPORU'!$C$2:$I$1000, 4, 0))), 0)</f>
        <v>0</v>
      </c>
      <c r="U3" s="22">
        <f t="shared" ref="U3:U66" si="0">T3*J3</f>
        <v>0</v>
      </c>
      <c r="V3">
        <f t="shared" ref="V3:V66" si="1">IF(OR(B3="MAL ALIMI", B3="ÜRETİM GİRİŞ"), I3 * J3, 0)</f>
        <v>0</v>
      </c>
      <c r="W3" s="22">
        <f t="shared" ref="W3:W66" si="2">V3-U3</f>
        <v>0</v>
      </c>
    </row>
    <row r="4" spans="1:23" hidden="1" x14ac:dyDescent="0.25">
      <c r="A4" s="3">
        <v>45926</v>
      </c>
      <c r="B4" s="3" t="s">
        <v>285</v>
      </c>
      <c r="C4" s="4"/>
      <c r="D4" s="4" t="s">
        <v>108</v>
      </c>
      <c r="E4" s="4"/>
      <c r="F4" s="4"/>
      <c r="G4" s="4" t="s">
        <v>292</v>
      </c>
      <c r="H4" s="4" t="s">
        <v>289</v>
      </c>
      <c r="I4" s="4">
        <v>1</v>
      </c>
      <c r="J4" s="21">
        <v>44000</v>
      </c>
      <c r="K4" s="21">
        <v>0</v>
      </c>
      <c r="L4" s="5">
        <v>0</v>
      </c>
      <c r="M4" s="4">
        <v>0</v>
      </c>
      <c r="N4" s="4">
        <v>1</v>
      </c>
      <c r="O4" s="5"/>
      <c r="P4" s="5">
        <v>44000</v>
      </c>
      <c r="Q4" s="21">
        <v>0</v>
      </c>
      <c r="R4" s="21">
        <v>44000</v>
      </c>
      <c r="S4" s="5">
        <f t="shared" ref="S4:S67" si="3">S3+Q4-R4</f>
        <v>196000</v>
      </c>
      <c r="T4" cm="1">
        <f t="array" ref="T4">IF(OR(B4="MAL ALIMI", B4="ÜRETİM GİRİŞ"), MIN(I4, MAX(0, I4 + SUM(SUMIFS($I$1:I3, $C$1:C3, C4, $B$1:B3, {"MAL ALIMI","ÜRETİM GİRİŞ"})) - VLOOKUP(C4, 'STOK RAPORU'!$C$2:$I$1000, 4, 0))), 0)</f>
        <v>0</v>
      </c>
      <c r="U4" s="22">
        <f t="shared" si="0"/>
        <v>0</v>
      </c>
      <c r="V4">
        <f t="shared" si="1"/>
        <v>0</v>
      </c>
      <c r="W4" s="22">
        <f t="shared" si="2"/>
        <v>0</v>
      </c>
    </row>
    <row r="5" spans="1:23" hidden="1" x14ac:dyDescent="0.25">
      <c r="A5" s="3">
        <v>45927</v>
      </c>
      <c r="B5" s="3" t="s">
        <v>285</v>
      </c>
      <c r="C5" s="4"/>
      <c r="D5" s="4" t="s">
        <v>105</v>
      </c>
      <c r="E5" s="4" t="s">
        <v>856</v>
      </c>
      <c r="F5" s="4" t="s">
        <v>293</v>
      </c>
      <c r="G5" s="4" t="s">
        <v>294</v>
      </c>
      <c r="H5" s="4" t="s">
        <v>1329</v>
      </c>
      <c r="I5" s="4">
        <v>1</v>
      </c>
      <c r="J5" s="21">
        <v>3900</v>
      </c>
      <c r="K5" s="21">
        <v>0</v>
      </c>
      <c r="L5" s="5">
        <v>3900</v>
      </c>
      <c r="M5" s="4">
        <v>0</v>
      </c>
      <c r="N5" s="4">
        <v>1</v>
      </c>
      <c r="O5" s="5"/>
      <c r="P5" s="5">
        <v>3900</v>
      </c>
      <c r="Q5" s="21">
        <v>0</v>
      </c>
      <c r="R5" s="21">
        <v>0</v>
      </c>
      <c r="S5" s="5">
        <f t="shared" si="3"/>
        <v>196000</v>
      </c>
      <c r="T5" cm="1">
        <f t="array" ref="T5">IF(OR(B5="MAL ALIMI", B5="ÜRETİM GİRİŞ"), MIN(I5, MAX(0, I5 + SUM(SUMIFS($I$1:I4, $C$1:C4, C5, $B$1:B4, {"MAL ALIMI","ÜRETİM GİRİŞ"})) - VLOOKUP(C5, 'STOK RAPORU'!$C$2:$I$1000, 4, 0))), 0)</f>
        <v>0</v>
      </c>
      <c r="U5" s="22">
        <f t="shared" si="0"/>
        <v>0</v>
      </c>
      <c r="V5">
        <f t="shared" si="1"/>
        <v>0</v>
      </c>
      <c r="W5" s="22">
        <f t="shared" si="2"/>
        <v>0</v>
      </c>
    </row>
    <row r="6" spans="1:23" hidden="1" x14ac:dyDescent="0.25">
      <c r="A6" s="3">
        <v>45927</v>
      </c>
      <c r="B6" s="3" t="s">
        <v>285</v>
      </c>
      <c r="C6" s="4"/>
      <c r="D6" s="4" t="s">
        <v>106</v>
      </c>
      <c r="E6" s="4"/>
      <c r="F6" s="4"/>
      <c r="G6" s="4" t="s">
        <v>295</v>
      </c>
      <c r="H6" s="4" t="s">
        <v>289</v>
      </c>
      <c r="I6" s="4">
        <v>1</v>
      </c>
      <c r="J6" s="21">
        <v>50000</v>
      </c>
      <c r="K6" s="21">
        <v>0</v>
      </c>
      <c r="L6" s="5">
        <v>0</v>
      </c>
      <c r="M6" s="4">
        <v>0</v>
      </c>
      <c r="N6" s="4">
        <v>1</v>
      </c>
      <c r="O6" s="5"/>
      <c r="P6" s="5">
        <v>50000</v>
      </c>
      <c r="Q6" s="21">
        <v>0</v>
      </c>
      <c r="R6" s="21">
        <v>50000</v>
      </c>
      <c r="S6" s="5">
        <f t="shared" si="3"/>
        <v>146000</v>
      </c>
      <c r="T6" cm="1">
        <f t="array" ref="T6">IF(OR(B6="MAL ALIMI", B6="ÜRETİM GİRİŞ"), MIN(I6, MAX(0, I6 + SUM(SUMIFS($I$1:I5, $C$1:C5, C6, $B$1:B5, {"MAL ALIMI","ÜRETİM GİRİŞ"})) - VLOOKUP(C6, 'STOK RAPORU'!$C$2:$I$1000, 4, 0))), 0)</f>
        <v>0</v>
      </c>
      <c r="U6" s="22">
        <f t="shared" si="0"/>
        <v>0</v>
      </c>
      <c r="V6">
        <f t="shared" si="1"/>
        <v>0</v>
      </c>
      <c r="W6" s="22">
        <f t="shared" si="2"/>
        <v>0</v>
      </c>
    </row>
    <row r="7" spans="1:23" hidden="1" x14ac:dyDescent="0.25">
      <c r="A7" s="3">
        <v>45927</v>
      </c>
      <c r="B7" s="3" t="s">
        <v>285</v>
      </c>
      <c r="C7" s="4"/>
      <c r="D7" s="4" t="s">
        <v>107</v>
      </c>
      <c r="E7" s="4"/>
      <c r="F7" s="4"/>
      <c r="G7" s="4" t="s">
        <v>296</v>
      </c>
      <c r="H7" s="4" t="s">
        <v>289</v>
      </c>
      <c r="I7" s="4">
        <v>1</v>
      </c>
      <c r="J7" s="21">
        <v>7500</v>
      </c>
      <c r="K7" s="21">
        <v>0</v>
      </c>
      <c r="L7" s="5">
        <v>0</v>
      </c>
      <c r="M7" s="4">
        <v>0</v>
      </c>
      <c r="N7" s="4">
        <v>1</v>
      </c>
      <c r="O7" s="5"/>
      <c r="P7" s="5">
        <v>7500</v>
      </c>
      <c r="Q7" s="21">
        <v>0</v>
      </c>
      <c r="R7" s="21">
        <v>7500</v>
      </c>
      <c r="S7" s="5">
        <f t="shared" si="3"/>
        <v>138500</v>
      </c>
      <c r="T7" cm="1">
        <f t="array" ref="T7">IF(OR(B7="MAL ALIMI", B7="ÜRETİM GİRİŞ"), MIN(I7, MAX(0, I7 + SUM(SUMIFS($I$1:I6, $C$1:C6, C7, $B$1:B6, {"MAL ALIMI","ÜRETİM GİRİŞ"})) - VLOOKUP(C7, 'STOK RAPORU'!$C$2:$I$1000, 4, 0))), 0)</f>
        <v>0</v>
      </c>
      <c r="U7" s="22">
        <f t="shared" si="0"/>
        <v>0</v>
      </c>
      <c r="V7">
        <f t="shared" si="1"/>
        <v>0</v>
      </c>
      <c r="W7" s="22">
        <f t="shared" si="2"/>
        <v>0</v>
      </c>
    </row>
    <row r="8" spans="1:23" hidden="1" x14ac:dyDescent="0.25">
      <c r="A8" s="3">
        <v>45929</v>
      </c>
      <c r="B8" s="3" t="s">
        <v>285</v>
      </c>
      <c r="C8" s="4"/>
      <c r="D8" s="4" t="s">
        <v>111</v>
      </c>
      <c r="E8" s="4" t="s">
        <v>856</v>
      </c>
      <c r="F8" s="4">
        <v>8</v>
      </c>
      <c r="G8" s="4" t="s">
        <v>297</v>
      </c>
      <c r="H8" s="4" t="s">
        <v>1329</v>
      </c>
      <c r="I8" s="4">
        <v>1</v>
      </c>
      <c r="J8" s="21">
        <v>220</v>
      </c>
      <c r="K8" s="21">
        <v>0</v>
      </c>
      <c r="L8" s="5">
        <v>220</v>
      </c>
      <c r="M8" s="4">
        <v>0</v>
      </c>
      <c r="N8" s="4">
        <v>1</v>
      </c>
      <c r="O8" s="5"/>
      <c r="P8" s="5">
        <v>220</v>
      </c>
      <c r="Q8" s="21">
        <v>0</v>
      </c>
      <c r="R8" s="21">
        <v>0</v>
      </c>
      <c r="S8" s="5">
        <f t="shared" si="3"/>
        <v>138500</v>
      </c>
      <c r="T8" cm="1">
        <f t="array" ref="T8">IF(OR(B8="MAL ALIMI", B8="ÜRETİM GİRİŞ"), MIN(I8, MAX(0, I8 + SUM(SUMIFS($I$1:I7, $C$1:C7, C8, $B$1:B7, {"MAL ALIMI","ÜRETİM GİRİŞ"})) - VLOOKUP(C8, 'STOK RAPORU'!$C$2:$I$1000, 4, 0))), 0)</f>
        <v>0</v>
      </c>
      <c r="U8" s="22">
        <f t="shared" si="0"/>
        <v>0</v>
      </c>
      <c r="V8">
        <f t="shared" si="1"/>
        <v>0</v>
      </c>
      <c r="W8" s="22">
        <f t="shared" si="2"/>
        <v>0</v>
      </c>
    </row>
    <row r="9" spans="1:23" hidden="1" x14ac:dyDescent="0.25">
      <c r="A9" s="3">
        <v>45929</v>
      </c>
      <c r="B9" s="3" t="s">
        <v>298</v>
      </c>
      <c r="C9" s="4" t="s">
        <v>169</v>
      </c>
      <c r="D9" s="4"/>
      <c r="E9" s="4" t="s">
        <v>856</v>
      </c>
      <c r="F9" s="4">
        <v>102</v>
      </c>
      <c r="G9" s="4" t="s">
        <v>299</v>
      </c>
      <c r="H9" s="4" t="s">
        <v>1329</v>
      </c>
      <c r="I9" s="4">
        <v>3</v>
      </c>
      <c r="J9" s="21">
        <v>99.899999999999991</v>
      </c>
      <c r="K9" s="21">
        <v>0</v>
      </c>
      <c r="L9" s="5">
        <v>299.7</v>
      </c>
      <c r="M9" s="4">
        <v>0</v>
      </c>
      <c r="N9" s="4">
        <v>3</v>
      </c>
      <c r="O9" s="5"/>
      <c r="P9" s="5">
        <v>99.899999999999991</v>
      </c>
      <c r="Q9" s="21">
        <v>0</v>
      </c>
      <c r="R9" s="21">
        <v>0</v>
      </c>
      <c r="S9" s="5">
        <f t="shared" si="3"/>
        <v>138500</v>
      </c>
      <c r="T9" cm="1">
        <f t="array" ref="T9">IF(OR(B9="MAL ALIMI", B9="ÜRETİM GİRİŞ"), MIN(I9, MAX(0, I9 + SUM(SUMIFS($I$1:I8, $C$1:C8, C9, $B$1:B8, {"MAL ALIMI","ÜRETİM GİRİŞ"})) - VLOOKUP(C9, 'STOK RAPORU'!$C$2:$I$1000, 4, 0))), 0)</f>
        <v>0</v>
      </c>
      <c r="U9" s="22">
        <f t="shared" si="0"/>
        <v>0</v>
      </c>
      <c r="V9">
        <f t="shared" si="1"/>
        <v>299.7</v>
      </c>
      <c r="W9" s="22">
        <f t="shared" si="2"/>
        <v>299.7</v>
      </c>
    </row>
    <row r="10" spans="1:23" hidden="1" x14ac:dyDescent="0.25">
      <c r="A10" s="3">
        <v>45929</v>
      </c>
      <c r="B10" s="3" t="s">
        <v>298</v>
      </c>
      <c r="C10" s="4" t="s">
        <v>171</v>
      </c>
      <c r="D10" s="4"/>
      <c r="E10" s="4" t="s">
        <v>856</v>
      </c>
      <c r="F10" s="4">
        <v>102</v>
      </c>
      <c r="G10" s="4" t="s">
        <v>299</v>
      </c>
      <c r="H10" s="4" t="s">
        <v>1329</v>
      </c>
      <c r="I10" s="4">
        <v>3</v>
      </c>
      <c r="J10" s="21">
        <v>79.899999999999991</v>
      </c>
      <c r="K10" s="21">
        <v>0</v>
      </c>
      <c r="L10" s="5">
        <v>239.7</v>
      </c>
      <c r="M10" s="4"/>
      <c r="N10" s="4">
        <v>3</v>
      </c>
      <c r="O10" s="5"/>
      <c r="P10" s="5">
        <v>79.899999999999991</v>
      </c>
      <c r="Q10" s="21">
        <v>0</v>
      </c>
      <c r="R10" s="21">
        <v>0</v>
      </c>
      <c r="S10" s="5">
        <f t="shared" si="3"/>
        <v>138500</v>
      </c>
      <c r="T10" cm="1">
        <f t="array" ref="T10">IF(OR(B10="MAL ALIMI", B10="ÜRETİM GİRİŞ"), MIN(I10, MAX(0, I10 + SUM(SUMIFS($I$1:I9, $C$1:C9, C10, $B$1:B9, {"MAL ALIMI","ÜRETİM GİRİŞ"})) - VLOOKUP(C10, 'STOK RAPORU'!$C$2:$I$1000, 4, 0))), 0)</f>
        <v>0</v>
      </c>
      <c r="U10" s="22">
        <f t="shared" si="0"/>
        <v>0</v>
      </c>
      <c r="V10">
        <f t="shared" si="1"/>
        <v>239.7</v>
      </c>
      <c r="W10" s="22">
        <f t="shared" si="2"/>
        <v>239.7</v>
      </c>
    </row>
    <row r="11" spans="1:23" hidden="1" x14ac:dyDescent="0.25">
      <c r="A11" s="3">
        <v>45929</v>
      </c>
      <c r="B11" s="3" t="s">
        <v>298</v>
      </c>
      <c r="C11" s="4" t="s">
        <v>172</v>
      </c>
      <c r="D11" s="4"/>
      <c r="E11" s="4" t="s">
        <v>856</v>
      </c>
      <c r="F11" s="4">
        <v>102</v>
      </c>
      <c r="G11" s="4" t="s">
        <v>299</v>
      </c>
      <c r="H11" s="4" t="s">
        <v>1329</v>
      </c>
      <c r="I11" s="4">
        <v>3</v>
      </c>
      <c r="J11" s="21">
        <v>75</v>
      </c>
      <c r="K11" s="21">
        <v>0</v>
      </c>
      <c r="L11" s="5">
        <v>225</v>
      </c>
      <c r="M11" s="4"/>
      <c r="N11" s="4">
        <v>3</v>
      </c>
      <c r="O11" s="5"/>
      <c r="P11" s="5">
        <v>75</v>
      </c>
      <c r="Q11" s="21">
        <v>0</v>
      </c>
      <c r="R11" s="21">
        <v>0</v>
      </c>
      <c r="S11" s="5">
        <f t="shared" si="3"/>
        <v>138500</v>
      </c>
      <c r="T11" cm="1">
        <f t="array" ref="T11">IF(OR(B11="MAL ALIMI", B11="ÜRETİM GİRİŞ"), MIN(I11, MAX(0, I11 + SUM(SUMIFS($I$1:I10, $C$1:C10, C11, $B$1:B10, {"MAL ALIMI","ÜRETİM GİRİŞ"})) - VLOOKUP(C11, 'STOK RAPORU'!$C$2:$I$1000, 4, 0))), 0)</f>
        <v>0</v>
      </c>
      <c r="U11" s="22">
        <f t="shared" si="0"/>
        <v>0</v>
      </c>
      <c r="V11">
        <f t="shared" si="1"/>
        <v>225</v>
      </c>
      <c r="W11" s="22">
        <f t="shared" si="2"/>
        <v>225</v>
      </c>
    </row>
    <row r="12" spans="1:23" hidden="1" x14ac:dyDescent="0.25">
      <c r="A12" s="3">
        <v>45929</v>
      </c>
      <c r="B12" s="3" t="s">
        <v>298</v>
      </c>
      <c r="C12" s="4" t="s">
        <v>173</v>
      </c>
      <c r="D12" s="4"/>
      <c r="E12" s="4" t="s">
        <v>856</v>
      </c>
      <c r="F12" s="4">
        <v>102</v>
      </c>
      <c r="G12" s="4" t="s">
        <v>299</v>
      </c>
      <c r="H12" s="4" t="s">
        <v>1329</v>
      </c>
      <c r="I12" s="4">
        <v>4</v>
      </c>
      <c r="J12" s="21">
        <v>79.900000000000006</v>
      </c>
      <c r="K12" s="21">
        <v>0</v>
      </c>
      <c r="L12" s="5">
        <v>319.60000000000002</v>
      </c>
      <c r="M12" s="4"/>
      <c r="N12" s="4">
        <v>4</v>
      </c>
      <c r="O12" s="5"/>
      <c r="P12" s="5">
        <v>79.900000000000006</v>
      </c>
      <c r="Q12" s="21">
        <v>0</v>
      </c>
      <c r="R12" s="21">
        <v>0</v>
      </c>
      <c r="S12" s="5">
        <f t="shared" si="3"/>
        <v>138500</v>
      </c>
      <c r="T12" cm="1">
        <f t="array" ref="T12">IF(OR(B12="MAL ALIMI", B12="ÜRETİM GİRİŞ"), MIN(I12, MAX(0, I12 + SUM(SUMIFS($I$1:I11, $C$1:C11, C12, $B$1:B11, {"MAL ALIMI","ÜRETİM GİRİŞ"})) - VLOOKUP(C12, 'STOK RAPORU'!$C$2:$I$1000, 4, 0))), 0)</f>
        <v>2</v>
      </c>
      <c r="U12" s="22">
        <f t="shared" si="0"/>
        <v>159.80000000000001</v>
      </c>
      <c r="V12">
        <f t="shared" si="1"/>
        <v>319.60000000000002</v>
      </c>
      <c r="W12" s="22">
        <f t="shared" si="2"/>
        <v>159.80000000000001</v>
      </c>
    </row>
    <row r="13" spans="1:23" hidden="1" x14ac:dyDescent="0.25">
      <c r="A13" s="3">
        <v>45929</v>
      </c>
      <c r="B13" s="3" t="s">
        <v>285</v>
      </c>
      <c r="C13" s="4"/>
      <c r="D13" s="4" t="s">
        <v>103</v>
      </c>
      <c r="E13" s="4" t="s">
        <v>856</v>
      </c>
      <c r="F13" s="4" t="s">
        <v>300</v>
      </c>
      <c r="G13" s="4" t="s">
        <v>301</v>
      </c>
      <c r="H13" s="4" t="s">
        <v>1329</v>
      </c>
      <c r="I13" s="4">
        <v>1</v>
      </c>
      <c r="J13" s="21">
        <v>102</v>
      </c>
      <c r="K13" s="21">
        <v>0</v>
      </c>
      <c r="L13" s="5">
        <v>102</v>
      </c>
      <c r="M13" s="4"/>
      <c r="N13" s="4">
        <v>1</v>
      </c>
      <c r="O13" s="5"/>
      <c r="P13" s="5">
        <v>102</v>
      </c>
      <c r="Q13" s="21">
        <v>0</v>
      </c>
      <c r="R13" s="21">
        <v>0</v>
      </c>
      <c r="S13" s="5">
        <f t="shared" si="3"/>
        <v>138500</v>
      </c>
      <c r="T13" cm="1">
        <f t="array" ref="T13">IF(OR(B13="MAL ALIMI", B13="ÜRETİM GİRİŞ"), MIN(I13, MAX(0, I13 + SUM(SUMIFS($I$1:I12, $C$1:C12, C13, $B$1:B12, {"MAL ALIMI","ÜRETİM GİRİŞ"})) - VLOOKUP(C13, 'STOK RAPORU'!$C$2:$I$1000, 4, 0))), 0)</f>
        <v>0</v>
      </c>
      <c r="U13" s="22">
        <f t="shared" si="0"/>
        <v>0</v>
      </c>
      <c r="V13">
        <f t="shared" si="1"/>
        <v>0</v>
      </c>
      <c r="W13" s="22">
        <f t="shared" si="2"/>
        <v>0</v>
      </c>
    </row>
    <row r="14" spans="1:23" hidden="1" x14ac:dyDescent="0.25">
      <c r="A14" s="3">
        <v>45929</v>
      </c>
      <c r="B14" s="3" t="s">
        <v>285</v>
      </c>
      <c r="C14" s="4"/>
      <c r="D14" s="4" t="s">
        <v>103</v>
      </c>
      <c r="E14" s="4" t="s">
        <v>856</v>
      </c>
      <c r="F14" s="4" t="s">
        <v>302</v>
      </c>
      <c r="G14" s="4" t="s">
        <v>303</v>
      </c>
      <c r="H14" s="4" t="s">
        <v>1329</v>
      </c>
      <c r="I14" s="4">
        <v>1</v>
      </c>
      <c r="J14" s="21">
        <v>228</v>
      </c>
      <c r="K14" s="21">
        <v>0</v>
      </c>
      <c r="L14" s="5">
        <v>228</v>
      </c>
      <c r="M14" s="4"/>
      <c r="N14" s="4">
        <v>1</v>
      </c>
      <c r="O14" s="5"/>
      <c r="P14" s="5">
        <v>228</v>
      </c>
      <c r="Q14" s="21">
        <v>0</v>
      </c>
      <c r="R14" s="21">
        <v>0</v>
      </c>
      <c r="S14" s="5">
        <f t="shared" si="3"/>
        <v>138500</v>
      </c>
      <c r="T14" cm="1">
        <f t="array" ref="T14">IF(OR(B14="MAL ALIMI", B14="ÜRETİM GİRİŞ"), MIN(I14, MAX(0, I14 + SUM(SUMIFS($I$1:I13, $C$1:C13, C14, $B$1:B13, {"MAL ALIMI","ÜRETİM GİRİŞ"})) - VLOOKUP(C14, 'STOK RAPORU'!$C$2:$I$1000, 4, 0))), 0)</f>
        <v>0</v>
      </c>
      <c r="U14" s="22">
        <f t="shared" si="0"/>
        <v>0</v>
      </c>
      <c r="V14">
        <f t="shared" si="1"/>
        <v>0</v>
      </c>
      <c r="W14" s="22">
        <f t="shared" si="2"/>
        <v>0</v>
      </c>
    </row>
    <row r="15" spans="1:23" hidden="1" x14ac:dyDescent="0.25">
      <c r="A15" s="3">
        <v>45932</v>
      </c>
      <c r="B15" s="3" t="s">
        <v>298</v>
      </c>
      <c r="C15" s="4" t="s">
        <v>175</v>
      </c>
      <c r="D15" s="4"/>
      <c r="E15" s="4" t="s">
        <v>856</v>
      </c>
      <c r="F15" s="26" t="s">
        <v>305</v>
      </c>
      <c r="G15" s="4" t="s">
        <v>306</v>
      </c>
      <c r="H15" s="4" t="s">
        <v>1329</v>
      </c>
      <c r="I15" s="4">
        <v>5</v>
      </c>
      <c r="J15" s="21">
        <v>199</v>
      </c>
      <c r="K15" s="21">
        <v>0</v>
      </c>
      <c r="L15" s="5">
        <v>995</v>
      </c>
      <c r="M15" s="4"/>
      <c r="N15" s="4">
        <v>5</v>
      </c>
      <c r="O15" s="5"/>
      <c r="P15" s="5">
        <v>199</v>
      </c>
      <c r="Q15" s="21">
        <v>0</v>
      </c>
      <c r="R15" s="21">
        <v>0</v>
      </c>
      <c r="S15" s="5">
        <f t="shared" si="3"/>
        <v>138500</v>
      </c>
      <c r="T15" cm="1">
        <f t="array" ref="T15">IF(OR(B15="MAL ALIMI", B15="ÜRETİM GİRİŞ"), MIN(I15, MAX(0, I15 + SUM(SUMIFS($I$1:I14, $C$1:C14, C15, $B$1:B14, {"MAL ALIMI","ÜRETİM GİRİŞ"})) - VLOOKUP(C15, 'STOK RAPORU'!$C$2:$I$1000, 4, 0))), 0)</f>
        <v>0</v>
      </c>
      <c r="U15" s="22">
        <f t="shared" si="0"/>
        <v>0</v>
      </c>
      <c r="V15">
        <f t="shared" si="1"/>
        <v>995</v>
      </c>
      <c r="W15" s="22">
        <f t="shared" si="2"/>
        <v>995</v>
      </c>
    </row>
    <row r="16" spans="1:23" hidden="1" x14ac:dyDescent="0.25">
      <c r="A16" s="3">
        <v>45932</v>
      </c>
      <c r="B16" s="3" t="s">
        <v>298</v>
      </c>
      <c r="C16" s="4" t="s">
        <v>175</v>
      </c>
      <c r="D16" s="4"/>
      <c r="E16" s="4" t="s">
        <v>856</v>
      </c>
      <c r="F16" s="26" t="s">
        <v>307</v>
      </c>
      <c r="G16" s="4" t="s">
        <v>306</v>
      </c>
      <c r="H16" s="4" t="s">
        <v>1329</v>
      </c>
      <c r="I16" s="4">
        <v>5</v>
      </c>
      <c r="J16" s="21">
        <v>199</v>
      </c>
      <c r="K16" s="21">
        <v>0</v>
      </c>
      <c r="L16" s="5">
        <v>995</v>
      </c>
      <c r="M16" s="4"/>
      <c r="N16" s="4">
        <v>5</v>
      </c>
      <c r="O16" s="5"/>
      <c r="P16" s="5">
        <v>199</v>
      </c>
      <c r="Q16" s="21">
        <v>0</v>
      </c>
      <c r="R16" s="21">
        <v>0</v>
      </c>
      <c r="S16" s="5">
        <f t="shared" si="3"/>
        <v>138500</v>
      </c>
      <c r="T16" cm="1">
        <f t="array" ref="T16">IF(OR(B16="MAL ALIMI", B16="ÜRETİM GİRİŞ"), MIN(I16, MAX(0, I16 + SUM(SUMIFS($I$1:I15, $C$1:C15, C16, $B$1:B15, {"MAL ALIMI","ÜRETİM GİRİŞ"})) - VLOOKUP(C16, 'STOK RAPORU'!$C$2:$I$1000, 4, 0))), 0)</f>
        <v>0</v>
      </c>
      <c r="U16" s="22">
        <f t="shared" si="0"/>
        <v>0</v>
      </c>
      <c r="V16">
        <f t="shared" si="1"/>
        <v>995</v>
      </c>
      <c r="W16" s="22">
        <f t="shared" si="2"/>
        <v>995</v>
      </c>
    </row>
    <row r="17" spans="1:23" hidden="1" x14ac:dyDescent="0.25">
      <c r="A17" s="3">
        <v>45932</v>
      </c>
      <c r="B17" s="4" t="s">
        <v>285</v>
      </c>
      <c r="C17" s="4"/>
      <c r="D17" s="4" t="s">
        <v>111</v>
      </c>
      <c r="E17" s="4" t="s">
        <v>856</v>
      </c>
      <c r="F17" s="26" t="s">
        <v>308</v>
      </c>
      <c r="G17" s="4" t="s">
        <v>309</v>
      </c>
      <c r="H17" s="4" t="s">
        <v>1329</v>
      </c>
      <c r="I17" s="4">
        <v>1</v>
      </c>
      <c r="J17" s="21">
        <v>1175</v>
      </c>
      <c r="K17" s="21">
        <v>0</v>
      </c>
      <c r="L17" s="5">
        <v>1175</v>
      </c>
      <c r="M17" s="4"/>
      <c r="N17" s="4">
        <v>1</v>
      </c>
      <c r="O17" s="5"/>
      <c r="P17" s="5">
        <v>1175</v>
      </c>
      <c r="Q17" s="21">
        <v>0</v>
      </c>
      <c r="R17" s="21">
        <v>0</v>
      </c>
      <c r="S17" s="5">
        <f t="shared" si="3"/>
        <v>138500</v>
      </c>
      <c r="T17" cm="1">
        <f t="array" ref="T17">IF(OR(B17="MAL ALIMI", B17="ÜRETİM GİRİŞ"), MIN(I17, MAX(0, I17 + SUM(SUMIFS($I$1:I16, $C$1:C16, C17, $B$1:B16, {"MAL ALIMI","ÜRETİM GİRİŞ"})) - VLOOKUP(C17, 'STOK RAPORU'!$C$2:$I$1000, 4, 0))), 0)</f>
        <v>0</v>
      </c>
      <c r="U17" s="22">
        <f t="shared" si="0"/>
        <v>0</v>
      </c>
      <c r="V17">
        <f t="shared" si="1"/>
        <v>0</v>
      </c>
      <c r="W17" s="22">
        <f t="shared" si="2"/>
        <v>0</v>
      </c>
    </row>
    <row r="18" spans="1:23" hidden="1" x14ac:dyDescent="0.25">
      <c r="A18" s="3">
        <v>45933</v>
      </c>
      <c r="B18" s="3" t="s">
        <v>285</v>
      </c>
      <c r="C18" s="4"/>
      <c r="D18" s="4" t="s">
        <v>104</v>
      </c>
      <c r="E18" s="4" t="s">
        <v>856</v>
      </c>
      <c r="F18" s="26" t="s">
        <v>310</v>
      </c>
      <c r="G18" s="4" t="s">
        <v>311</v>
      </c>
      <c r="H18" s="4" t="s">
        <v>1329</v>
      </c>
      <c r="I18" s="4">
        <v>1</v>
      </c>
      <c r="J18" s="21">
        <v>52</v>
      </c>
      <c r="K18" s="21">
        <v>0</v>
      </c>
      <c r="L18" s="5">
        <v>52</v>
      </c>
      <c r="M18" s="4"/>
      <c r="N18" s="4">
        <v>1</v>
      </c>
      <c r="O18" s="5"/>
      <c r="P18" s="5">
        <v>52</v>
      </c>
      <c r="Q18" s="21">
        <v>0</v>
      </c>
      <c r="R18" s="21">
        <v>0</v>
      </c>
      <c r="S18" s="5">
        <f t="shared" si="3"/>
        <v>138500</v>
      </c>
      <c r="T18" cm="1">
        <f t="array" ref="T18">IF(OR(B18="MAL ALIMI", B18="ÜRETİM GİRİŞ"), MIN(I18, MAX(0, I18 + SUM(SUMIFS($I$1:I17, $C$1:C17, C18, $B$1:B17, {"MAL ALIMI","ÜRETİM GİRİŞ"})) - VLOOKUP(C18, 'STOK RAPORU'!$C$2:$I$1000, 4, 0))), 0)</f>
        <v>0</v>
      </c>
      <c r="U18" s="22">
        <f t="shared" si="0"/>
        <v>0</v>
      </c>
      <c r="V18">
        <f t="shared" si="1"/>
        <v>0</v>
      </c>
      <c r="W18" s="22">
        <f t="shared" si="2"/>
        <v>0</v>
      </c>
    </row>
    <row r="19" spans="1:23" hidden="1" x14ac:dyDescent="0.25">
      <c r="A19" s="3">
        <v>45934</v>
      </c>
      <c r="B19" s="3" t="s">
        <v>285</v>
      </c>
      <c r="C19" s="4"/>
      <c r="D19" s="4" t="s">
        <v>105</v>
      </c>
      <c r="E19" s="4" t="s">
        <v>856</v>
      </c>
      <c r="F19" s="26" t="s">
        <v>312</v>
      </c>
      <c r="G19" s="4" t="s">
        <v>294</v>
      </c>
      <c r="H19" s="4" t="s">
        <v>1329</v>
      </c>
      <c r="I19" s="4">
        <v>1</v>
      </c>
      <c r="J19" s="21">
        <v>1000</v>
      </c>
      <c r="K19" s="21">
        <v>0</v>
      </c>
      <c r="L19" s="5">
        <v>1000</v>
      </c>
      <c r="M19" s="4"/>
      <c r="N19" s="4">
        <v>1</v>
      </c>
      <c r="O19" s="5"/>
      <c r="P19" s="5">
        <v>1000</v>
      </c>
      <c r="Q19" s="21">
        <v>0</v>
      </c>
      <c r="R19" s="21">
        <v>0</v>
      </c>
      <c r="S19" s="5">
        <f t="shared" si="3"/>
        <v>138500</v>
      </c>
      <c r="T19" cm="1">
        <f t="array" ref="T19">IF(OR(B19="MAL ALIMI", B19="ÜRETİM GİRİŞ"), MIN(I19, MAX(0, I19 + SUM(SUMIFS($I$1:I18, $C$1:C18, C19, $B$1:B18, {"MAL ALIMI","ÜRETİM GİRİŞ"})) - VLOOKUP(C19, 'STOK RAPORU'!$C$2:$I$1000, 4, 0))), 0)</f>
        <v>0</v>
      </c>
      <c r="U19" s="22">
        <f t="shared" si="0"/>
        <v>0</v>
      </c>
      <c r="V19">
        <f t="shared" si="1"/>
        <v>0</v>
      </c>
      <c r="W19" s="22">
        <f t="shared" si="2"/>
        <v>0</v>
      </c>
    </row>
    <row r="20" spans="1:23" hidden="1" x14ac:dyDescent="0.25">
      <c r="A20" s="3">
        <v>45937</v>
      </c>
      <c r="B20" s="3" t="s">
        <v>285</v>
      </c>
      <c r="C20" s="4"/>
      <c r="D20" s="4" t="s">
        <v>103</v>
      </c>
      <c r="E20" s="4" t="s">
        <v>856</v>
      </c>
      <c r="F20" s="26" t="s">
        <v>313</v>
      </c>
      <c r="G20" s="4" t="s">
        <v>314</v>
      </c>
      <c r="H20" s="4" t="s">
        <v>1329</v>
      </c>
      <c r="I20" s="4">
        <v>1</v>
      </c>
      <c r="J20" s="21">
        <v>131.5</v>
      </c>
      <c r="K20" s="21">
        <v>0</v>
      </c>
      <c r="L20" s="5">
        <v>131.5</v>
      </c>
      <c r="M20" s="4"/>
      <c r="N20" s="4">
        <v>1</v>
      </c>
      <c r="O20" s="5"/>
      <c r="P20" s="5">
        <v>131.5</v>
      </c>
      <c r="Q20" s="21">
        <v>0</v>
      </c>
      <c r="R20" s="21">
        <v>0</v>
      </c>
      <c r="S20" s="5">
        <f t="shared" si="3"/>
        <v>138500</v>
      </c>
      <c r="T20" cm="1">
        <f t="array" ref="T20">IF(OR(B20="MAL ALIMI", B20="ÜRETİM GİRİŞ"), MIN(I20, MAX(0, I20 + SUM(SUMIFS($I$1:I19, $C$1:C19, C20, $B$1:B19, {"MAL ALIMI","ÜRETİM GİRİŞ"})) - VLOOKUP(C20, 'STOK RAPORU'!$C$2:$I$1000, 4, 0))), 0)</f>
        <v>0</v>
      </c>
      <c r="U20" s="22">
        <f t="shared" si="0"/>
        <v>0</v>
      </c>
      <c r="V20">
        <f t="shared" si="1"/>
        <v>0</v>
      </c>
      <c r="W20" s="22">
        <f t="shared" si="2"/>
        <v>0</v>
      </c>
    </row>
    <row r="21" spans="1:23" hidden="1" x14ac:dyDescent="0.25">
      <c r="A21" s="3">
        <v>45939</v>
      </c>
      <c r="B21" s="3" t="s">
        <v>298</v>
      </c>
      <c r="C21" s="4" t="s">
        <v>182</v>
      </c>
      <c r="D21" s="4"/>
      <c r="E21" s="4" t="s">
        <v>856</v>
      </c>
      <c r="F21" s="26" t="s">
        <v>315</v>
      </c>
      <c r="G21" s="4" t="s">
        <v>316</v>
      </c>
      <c r="H21" s="4" t="s">
        <v>1329</v>
      </c>
      <c r="I21" s="4">
        <v>1</v>
      </c>
      <c r="J21" s="21">
        <v>125</v>
      </c>
      <c r="K21" s="21">
        <v>0</v>
      </c>
      <c r="L21" s="5">
        <v>125</v>
      </c>
      <c r="M21" s="4"/>
      <c r="N21" s="4">
        <v>1</v>
      </c>
      <c r="O21" s="5"/>
      <c r="P21" s="5">
        <v>125</v>
      </c>
      <c r="Q21" s="21">
        <v>0</v>
      </c>
      <c r="R21" s="21">
        <v>0</v>
      </c>
      <c r="S21" s="5">
        <f t="shared" si="3"/>
        <v>138500</v>
      </c>
      <c r="T21" cm="1">
        <f t="array" ref="T21">IF(OR(B21="MAL ALIMI", B21="ÜRETİM GİRİŞ"), MIN(I21, MAX(0, I21 + SUM(SUMIFS($I$1:I20, $C$1:C20, C21, $B$1:B20, {"MAL ALIMI","ÜRETİM GİRİŞ"})) - VLOOKUP(C21, 'STOK RAPORU'!$C$2:$I$1000, 4, 0))), 0)</f>
        <v>0</v>
      </c>
      <c r="U21" s="22">
        <f t="shared" si="0"/>
        <v>0</v>
      </c>
      <c r="V21">
        <f t="shared" si="1"/>
        <v>125</v>
      </c>
      <c r="W21" s="22">
        <f t="shared" si="2"/>
        <v>125</v>
      </c>
    </row>
    <row r="22" spans="1:23" hidden="1" x14ac:dyDescent="0.25">
      <c r="A22" s="3">
        <v>45939</v>
      </c>
      <c r="B22" s="3" t="s">
        <v>298</v>
      </c>
      <c r="C22" s="4" t="s">
        <v>183</v>
      </c>
      <c r="D22" s="4"/>
      <c r="E22" s="4" t="s">
        <v>856</v>
      </c>
      <c r="F22" s="26" t="s">
        <v>315</v>
      </c>
      <c r="G22" s="4" t="s">
        <v>316</v>
      </c>
      <c r="H22" s="4" t="s">
        <v>1329</v>
      </c>
      <c r="I22" s="4">
        <v>3</v>
      </c>
      <c r="J22" s="21">
        <v>175</v>
      </c>
      <c r="K22" s="21">
        <v>0</v>
      </c>
      <c r="L22" s="5">
        <v>525</v>
      </c>
      <c r="M22" s="4"/>
      <c r="N22" s="4">
        <v>3</v>
      </c>
      <c r="O22" s="5"/>
      <c r="P22" s="5">
        <v>175</v>
      </c>
      <c r="Q22" s="21">
        <v>0</v>
      </c>
      <c r="R22" s="21">
        <v>0</v>
      </c>
      <c r="S22" s="5">
        <f t="shared" si="3"/>
        <v>138500</v>
      </c>
      <c r="T22" cm="1">
        <f t="array" ref="T22">IF(OR(B22="MAL ALIMI", B22="ÜRETİM GİRİŞ"), MIN(I22, MAX(0, I22 + SUM(SUMIFS($I$1:I21, $C$1:C21, C22, $B$1:B21, {"MAL ALIMI","ÜRETİM GİRİŞ"})) - VLOOKUP(C22, 'STOK RAPORU'!$C$2:$I$1000, 4, 0))), 0)</f>
        <v>2</v>
      </c>
      <c r="U22" s="22">
        <f t="shared" si="0"/>
        <v>350</v>
      </c>
      <c r="V22">
        <f t="shared" si="1"/>
        <v>525</v>
      </c>
      <c r="W22" s="22">
        <f t="shared" si="2"/>
        <v>175</v>
      </c>
    </row>
    <row r="23" spans="1:23" hidden="1" x14ac:dyDescent="0.25">
      <c r="A23" s="3">
        <v>45940</v>
      </c>
      <c r="B23" s="4" t="s">
        <v>285</v>
      </c>
      <c r="C23" s="4"/>
      <c r="D23" s="4" t="s">
        <v>111</v>
      </c>
      <c r="E23" s="4" t="s">
        <v>856</v>
      </c>
      <c r="F23" s="26" t="s">
        <v>317</v>
      </c>
      <c r="G23" s="4" t="s">
        <v>318</v>
      </c>
      <c r="H23" s="4" t="s">
        <v>1329</v>
      </c>
      <c r="I23" s="4">
        <v>1</v>
      </c>
      <c r="J23" s="21">
        <v>1061.5</v>
      </c>
      <c r="K23" s="21">
        <v>0</v>
      </c>
      <c r="L23" s="5">
        <v>1061.5</v>
      </c>
      <c r="M23" s="4"/>
      <c r="N23" s="4">
        <v>1</v>
      </c>
      <c r="O23" s="5"/>
      <c r="P23" s="5">
        <v>1061.5</v>
      </c>
      <c r="Q23" s="21">
        <v>0</v>
      </c>
      <c r="R23" s="21">
        <v>0</v>
      </c>
      <c r="S23" s="5">
        <f t="shared" si="3"/>
        <v>138500</v>
      </c>
      <c r="T23" cm="1">
        <f t="array" ref="T23">IF(OR(B23="MAL ALIMI", B23="ÜRETİM GİRİŞ"), MIN(I23, MAX(0, I23 + SUM(SUMIFS($I$1:I22, $C$1:C22, C23, $B$1:B22, {"MAL ALIMI","ÜRETİM GİRİŞ"})) - VLOOKUP(C23, 'STOK RAPORU'!$C$2:$I$1000, 4, 0))), 0)</f>
        <v>0</v>
      </c>
      <c r="U23" s="22">
        <f t="shared" si="0"/>
        <v>0</v>
      </c>
      <c r="V23">
        <f t="shared" si="1"/>
        <v>0</v>
      </c>
      <c r="W23" s="22">
        <f t="shared" si="2"/>
        <v>0</v>
      </c>
    </row>
    <row r="24" spans="1:23" hidden="1" x14ac:dyDescent="0.25">
      <c r="A24" s="3">
        <v>45940</v>
      </c>
      <c r="B24" s="3" t="s">
        <v>285</v>
      </c>
      <c r="C24" s="4"/>
      <c r="D24" s="4" t="s">
        <v>106</v>
      </c>
      <c r="E24" s="4"/>
      <c r="F24" s="4"/>
      <c r="G24" s="4" t="s">
        <v>319</v>
      </c>
      <c r="H24" s="4" t="s">
        <v>289</v>
      </c>
      <c r="I24" s="4">
        <v>1</v>
      </c>
      <c r="J24" s="21">
        <v>8000</v>
      </c>
      <c r="K24" s="21">
        <v>0</v>
      </c>
      <c r="L24" s="5">
        <v>0</v>
      </c>
      <c r="M24" s="4"/>
      <c r="N24" s="4">
        <v>1</v>
      </c>
      <c r="O24" s="5"/>
      <c r="P24" s="5">
        <v>8000</v>
      </c>
      <c r="Q24" s="21">
        <v>0</v>
      </c>
      <c r="R24" s="21">
        <v>8000</v>
      </c>
      <c r="S24" s="5">
        <f t="shared" si="3"/>
        <v>130500</v>
      </c>
      <c r="T24" cm="1">
        <f t="array" ref="T24">IF(OR(B24="MAL ALIMI", B24="ÜRETİM GİRİŞ"), MIN(I24, MAX(0, I24 + SUM(SUMIFS($I$1:I23, $C$1:C23, C24, $B$1:B23, {"MAL ALIMI","ÜRETİM GİRİŞ"})) - VLOOKUP(C24, 'STOK RAPORU'!$C$2:$I$1000, 4, 0))), 0)</f>
        <v>0</v>
      </c>
      <c r="U24" s="22">
        <f t="shared" si="0"/>
        <v>0</v>
      </c>
      <c r="V24">
        <f t="shared" si="1"/>
        <v>0</v>
      </c>
      <c r="W24" s="22">
        <f t="shared" si="2"/>
        <v>0</v>
      </c>
    </row>
    <row r="25" spans="1:23" hidden="1" x14ac:dyDescent="0.25">
      <c r="A25" s="3">
        <v>45941</v>
      </c>
      <c r="B25" s="3" t="s">
        <v>298</v>
      </c>
      <c r="C25" s="4" t="s">
        <v>178</v>
      </c>
      <c r="D25" s="4"/>
      <c r="E25" s="4" t="s">
        <v>856</v>
      </c>
      <c r="F25" s="26" t="s">
        <v>320</v>
      </c>
      <c r="G25" s="4" t="s">
        <v>316</v>
      </c>
      <c r="H25" s="4" t="s">
        <v>1329</v>
      </c>
      <c r="I25" s="4">
        <v>7</v>
      </c>
      <c r="J25" s="21">
        <v>53.5</v>
      </c>
      <c r="K25" s="21">
        <v>0</v>
      </c>
      <c r="L25" s="5">
        <v>374.5</v>
      </c>
      <c r="M25" s="4"/>
      <c r="N25" s="4">
        <v>7</v>
      </c>
      <c r="O25" s="5"/>
      <c r="P25" s="5">
        <v>53.5</v>
      </c>
      <c r="Q25" s="21">
        <v>0</v>
      </c>
      <c r="R25" s="21">
        <v>0</v>
      </c>
      <c r="S25" s="5">
        <f t="shared" si="3"/>
        <v>130500</v>
      </c>
      <c r="T25" cm="1">
        <f t="array" ref="T25">IF(OR(B25="MAL ALIMI", B25="ÜRETİM GİRİŞ"), MIN(I25, MAX(0, I25 + SUM(SUMIFS($I$1:I24, $C$1:C24, C25, $B$1:B24, {"MAL ALIMI","ÜRETİM GİRİŞ"})) - VLOOKUP(C25, 'STOK RAPORU'!$C$2:$I$1000, 4, 0))), 0)</f>
        <v>0</v>
      </c>
      <c r="U25" s="22">
        <f t="shared" si="0"/>
        <v>0</v>
      </c>
      <c r="V25">
        <f t="shared" si="1"/>
        <v>374.5</v>
      </c>
      <c r="W25" s="22">
        <f t="shared" si="2"/>
        <v>374.5</v>
      </c>
    </row>
    <row r="26" spans="1:23" hidden="1" x14ac:dyDescent="0.25">
      <c r="A26" s="3">
        <v>45941</v>
      </c>
      <c r="B26" s="3" t="s">
        <v>285</v>
      </c>
      <c r="C26" s="4"/>
      <c r="D26" s="4" t="s">
        <v>111</v>
      </c>
      <c r="E26" s="4" t="s">
        <v>856</v>
      </c>
      <c r="F26" s="26" t="s">
        <v>320</v>
      </c>
      <c r="G26" s="4" t="s">
        <v>321</v>
      </c>
      <c r="H26" s="4" t="s">
        <v>1329</v>
      </c>
      <c r="I26" s="4">
        <v>1</v>
      </c>
      <c r="J26" s="21">
        <v>64</v>
      </c>
      <c r="K26" s="21">
        <v>0</v>
      </c>
      <c r="L26" s="5">
        <v>64</v>
      </c>
      <c r="M26" s="4"/>
      <c r="N26" s="4">
        <v>1</v>
      </c>
      <c r="O26" s="5"/>
      <c r="P26" s="5">
        <v>64</v>
      </c>
      <c r="Q26" s="21">
        <v>0</v>
      </c>
      <c r="R26" s="21">
        <v>0</v>
      </c>
      <c r="S26" s="5">
        <f t="shared" si="3"/>
        <v>130500</v>
      </c>
      <c r="T26" cm="1">
        <f t="array" ref="T26">IF(OR(B26="MAL ALIMI", B26="ÜRETİM GİRİŞ"), MIN(I26, MAX(0, I26 + SUM(SUMIFS($I$1:I25, $C$1:C25, C26, $B$1:B25, {"MAL ALIMI","ÜRETİM GİRİŞ"})) - VLOOKUP(C26, 'STOK RAPORU'!$C$2:$I$1000, 4, 0))), 0)</f>
        <v>0</v>
      </c>
      <c r="U26" s="22">
        <f t="shared" si="0"/>
        <v>0</v>
      </c>
      <c r="V26">
        <f t="shared" si="1"/>
        <v>0</v>
      </c>
      <c r="W26" s="22">
        <f t="shared" si="2"/>
        <v>0</v>
      </c>
    </row>
    <row r="27" spans="1:23" hidden="1" x14ac:dyDescent="0.25">
      <c r="A27" s="3">
        <v>45943</v>
      </c>
      <c r="B27" s="3" t="s">
        <v>298</v>
      </c>
      <c r="C27" s="4" t="s">
        <v>179</v>
      </c>
      <c r="D27" s="4"/>
      <c r="E27" s="4" t="s">
        <v>856</v>
      </c>
      <c r="F27" s="26">
        <v>830073</v>
      </c>
      <c r="G27" s="4" t="s">
        <v>322</v>
      </c>
      <c r="H27" s="4" t="s">
        <v>1329</v>
      </c>
      <c r="I27" s="4">
        <v>12</v>
      </c>
      <c r="J27" s="21">
        <v>90</v>
      </c>
      <c r="K27" s="21">
        <v>0</v>
      </c>
      <c r="L27" s="5">
        <v>1080</v>
      </c>
      <c r="M27" s="4"/>
      <c r="N27" s="4">
        <v>12</v>
      </c>
      <c r="O27" s="5"/>
      <c r="P27" s="5">
        <v>90</v>
      </c>
      <c r="Q27" s="21">
        <v>0</v>
      </c>
      <c r="R27" s="21">
        <v>0</v>
      </c>
      <c r="S27" s="5">
        <f t="shared" si="3"/>
        <v>130500</v>
      </c>
      <c r="T27" cm="1">
        <f t="array" ref="T27">IF(OR(B27="MAL ALIMI", B27="ÜRETİM GİRİŞ"), MIN(I27, MAX(0, I27 + SUM(SUMIFS($I$1:I26, $C$1:C26, C27, $B$1:B26, {"MAL ALIMI","ÜRETİM GİRİŞ"})) - VLOOKUP(C27, 'STOK RAPORU'!$C$2:$I$1000, 4, 0))), 0)</f>
        <v>0</v>
      </c>
      <c r="U27" s="22">
        <f t="shared" si="0"/>
        <v>0</v>
      </c>
      <c r="V27">
        <f t="shared" si="1"/>
        <v>1080</v>
      </c>
      <c r="W27" s="22">
        <f t="shared" si="2"/>
        <v>1080</v>
      </c>
    </row>
    <row r="28" spans="1:23" hidden="1" x14ac:dyDescent="0.25">
      <c r="A28" s="3">
        <v>45943</v>
      </c>
      <c r="B28" s="3" t="s">
        <v>298</v>
      </c>
      <c r="C28" s="4" t="s">
        <v>180</v>
      </c>
      <c r="D28" s="4"/>
      <c r="E28" s="4" t="s">
        <v>856</v>
      </c>
      <c r="F28" s="26">
        <v>830073</v>
      </c>
      <c r="G28" s="4" t="s">
        <v>322</v>
      </c>
      <c r="H28" s="4" t="s">
        <v>1329</v>
      </c>
      <c r="I28" s="4">
        <v>12</v>
      </c>
      <c r="J28" s="21">
        <v>95</v>
      </c>
      <c r="K28" s="21">
        <v>0</v>
      </c>
      <c r="L28" s="5">
        <v>1140</v>
      </c>
      <c r="M28" s="4"/>
      <c r="N28" s="4">
        <v>12</v>
      </c>
      <c r="O28" s="5"/>
      <c r="P28" s="5">
        <v>95</v>
      </c>
      <c r="Q28" s="21">
        <v>0</v>
      </c>
      <c r="R28" s="21">
        <v>0</v>
      </c>
      <c r="S28" s="5">
        <f t="shared" si="3"/>
        <v>130500</v>
      </c>
      <c r="T28" cm="1">
        <f t="array" ref="T28">IF(OR(B28="MAL ALIMI", B28="ÜRETİM GİRİŞ"), MIN(I28, MAX(0, I28 + SUM(SUMIFS($I$1:I27, $C$1:C27, C28, $B$1:B27, {"MAL ALIMI","ÜRETİM GİRİŞ"})) - VLOOKUP(C28, 'STOK RAPORU'!$C$2:$I$1000, 4, 0))), 0)</f>
        <v>4</v>
      </c>
      <c r="U28" s="22">
        <f t="shared" si="0"/>
        <v>380</v>
      </c>
      <c r="V28">
        <f t="shared" si="1"/>
        <v>1140</v>
      </c>
      <c r="W28" s="22">
        <f t="shared" si="2"/>
        <v>760</v>
      </c>
    </row>
    <row r="29" spans="1:23" hidden="1" x14ac:dyDescent="0.25">
      <c r="A29" s="3">
        <v>45943</v>
      </c>
      <c r="B29" s="3" t="s">
        <v>298</v>
      </c>
      <c r="C29" s="4" t="s">
        <v>181</v>
      </c>
      <c r="D29" s="4"/>
      <c r="E29" s="4" t="s">
        <v>856</v>
      </c>
      <c r="F29" s="26">
        <v>830073</v>
      </c>
      <c r="G29" s="4" t="s">
        <v>322</v>
      </c>
      <c r="H29" s="4" t="s">
        <v>1329</v>
      </c>
      <c r="I29" s="4">
        <v>6</v>
      </c>
      <c r="J29" s="21">
        <v>75</v>
      </c>
      <c r="K29" s="21">
        <v>0</v>
      </c>
      <c r="L29" s="5">
        <v>450</v>
      </c>
      <c r="M29" s="4"/>
      <c r="N29" s="4">
        <v>6</v>
      </c>
      <c r="O29" s="5"/>
      <c r="P29" s="5">
        <v>75</v>
      </c>
      <c r="Q29" s="21">
        <v>0</v>
      </c>
      <c r="R29" s="21">
        <v>0</v>
      </c>
      <c r="S29" s="5">
        <f t="shared" si="3"/>
        <v>130500</v>
      </c>
      <c r="T29" cm="1">
        <f t="array" ref="T29">IF(OR(B29="MAL ALIMI", B29="ÜRETİM GİRİŞ"), MIN(I29, MAX(0, I29 + SUM(SUMIFS($I$1:I28, $C$1:C28, C29, $B$1:B28, {"MAL ALIMI","ÜRETİM GİRİŞ"})) - VLOOKUP(C29, 'STOK RAPORU'!$C$2:$I$1000, 4, 0))), 0)</f>
        <v>0</v>
      </c>
      <c r="U29" s="22">
        <f t="shared" si="0"/>
        <v>0</v>
      </c>
      <c r="V29">
        <f t="shared" si="1"/>
        <v>450</v>
      </c>
      <c r="W29" s="22">
        <f t="shared" si="2"/>
        <v>450</v>
      </c>
    </row>
    <row r="30" spans="1:23" hidden="1" x14ac:dyDescent="0.25">
      <c r="A30" s="3">
        <v>45943</v>
      </c>
      <c r="B30" s="3" t="s">
        <v>285</v>
      </c>
      <c r="C30" s="4"/>
      <c r="D30" s="4" t="s">
        <v>106</v>
      </c>
      <c r="E30" s="4" t="s">
        <v>856</v>
      </c>
      <c r="F30" s="26" t="s">
        <v>323</v>
      </c>
      <c r="G30" s="4" t="s">
        <v>324</v>
      </c>
      <c r="H30" s="4" t="s">
        <v>1329</v>
      </c>
      <c r="I30" s="4">
        <v>1</v>
      </c>
      <c r="J30" s="21">
        <v>815</v>
      </c>
      <c r="K30" s="21">
        <v>0</v>
      </c>
      <c r="L30" s="5">
        <v>815</v>
      </c>
      <c r="M30" s="4"/>
      <c r="N30" s="4">
        <v>1</v>
      </c>
      <c r="O30" s="5"/>
      <c r="P30" s="5">
        <v>815</v>
      </c>
      <c r="Q30" s="21">
        <v>0</v>
      </c>
      <c r="R30" s="21">
        <v>0</v>
      </c>
      <c r="S30" s="5">
        <f t="shared" si="3"/>
        <v>130500</v>
      </c>
      <c r="T30" cm="1">
        <f t="array" ref="T30">IF(OR(B30="MAL ALIMI", B30="ÜRETİM GİRİŞ"), MIN(I30, MAX(0, I30 + SUM(SUMIFS($I$1:I29, $C$1:C29, C30, $B$1:B29, {"MAL ALIMI","ÜRETİM GİRİŞ"})) - VLOOKUP(C30, 'STOK RAPORU'!$C$2:$I$1000, 4, 0))), 0)</f>
        <v>0</v>
      </c>
      <c r="U30" s="22">
        <f t="shared" si="0"/>
        <v>0</v>
      </c>
      <c r="V30">
        <f t="shared" si="1"/>
        <v>0</v>
      </c>
      <c r="W30" s="22">
        <f t="shared" si="2"/>
        <v>0</v>
      </c>
    </row>
    <row r="31" spans="1:23" hidden="1" x14ac:dyDescent="0.25">
      <c r="A31" s="3">
        <v>45944</v>
      </c>
      <c r="B31" s="3" t="s">
        <v>298</v>
      </c>
      <c r="C31" s="4" t="s">
        <v>184</v>
      </c>
      <c r="D31" s="4"/>
      <c r="E31" s="4" t="s">
        <v>856</v>
      </c>
      <c r="F31" s="26">
        <v>850234</v>
      </c>
      <c r="G31" s="4" t="s">
        <v>322</v>
      </c>
      <c r="H31" s="4" t="s">
        <v>1329</v>
      </c>
      <c r="I31" s="4">
        <v>5</v>
      </c>
      <c r="J31" s="21">
        <v>159</v>
      </c>
      <c r="K31" s="21">
        <v>0</v>
      </c>
      <c r="L31" s="5">
        <v>795</v>
      </c>
      <c r="M31" s="4"/>
      <c r="N31" s="4">
        <v>5</v>
      </c>
      <c r="O31" s="5"/>
      <c r="P31" s="5">
        <v>159</v>
      </c>
      <c r="Q31" s="21">
        <v>0</v>
      </c>
      <c r="R31" s="21">
        <v>0</v>
      </c>
      <c r="S31" s="5">
        <f t="shared" si="3"/>
        <v>130500</v>
      </c>
      <c r="T31" cm="1">
        <f t="array" ref="T31">IF(OR(B31="MAL ALIMI", B31="ÜRETİM GİRİŞ"), MIN(I31, MAX(0, I31 + SUM(SUMIFS($I$1:I30, $C$1:C30, C31, $B$1:B30, {"MAL ALIMI","ÜRETİM GİRİŞ"})) - VLOOKUP(C31, 'STOK RAPORU'!$C$2:$I$1000, 4, 0))), 0)</f>
        <v>0</v>
      </c>
      <c r="U31" s="22">
        <f t="shared" si="0"/>
        <v>0</v>
      </c>
      <c r="V31">
        <f t="shared" si="1"/>
        <v>795</v>
      </c>
      <c r="W31" s="22">
        <f t="shared" si="2"/>
        <v>795</v>
      </c>
    </row>
    <row r="32" spans="1:23" hidden="1" x14ac:dyDescent="0.25">
      <c r="A32" s="3">
        <v>45944</v>
      </c>
      <c r="B32" s="3" t="s">
        <v>298</v>
      </c>
      <c r="C32" s="4" t="s">
        <v>183</v>
      </c>
      <c r="D32" s="4"/>
      <c r="E32" s="4" t="s">
        <v>856</v>
      </c>
      <c r="F32" s="26">
        <v>850234</v>
      </c>
      <c r="G32" s="4" t="s">
        <v>322</v>
      </c>
      <c r="H32" s="4" t="s">
        <v>1329</v>
      </c>
      <c r="I32" s="4">
        <v>1</v>
      </c>
      <c r="J32" s="21">
        <v>155</v>
      </c>
      <c r="K32" s="21">
        <v>0</v>
      </c>
      <c r="L32" s="5">
        <v>155</v>
      </c>
      <c r="M32" s="4"/>
      <c r="N32" s="4">
        <v>1</v>
      </c>
      <c r="O32" s="5"/>
      <c r="P32" s="5">
        <v>155</v>
      </c>
      <c r="Q32" s="21">
        <v>0</v>
      </c>
      <c r="R32" s="21">
        <v>0</v>
      </c>
      <c r="S32" s="5">
        <f t="shared" si="3"/>
        <v>130500</v>
      </c>
      <c r="T32" cm="1">
        <f t="array" ref="T32">IF(OR(B32="MAL ALIMI", B32="ÜRETİM GİRİŞ"), MIN(I32, MAX(0, I32 + SUM(SUMIFS($I$1:I31, $C$1:C31, C32, $B$1:B31, {"MAL ALIMI","ÜRETİM GİRİŞ"})) - VLOOKUP(C32, 'STOK RAPORU'!$C$2:$I$1000, 4, 0))), 0)</f>
        <v>1</v>
      </c>
      <c r="U32" s="22">
        <f t="shared" si="0"/>
        <v>155</v>
      </c>
      <c r="V32">
        <f t="shared" si="1"/>
        <v>155</v>
      </c>
      <c r="W32" s="22">
        <f t="shared" si="2"/>
        <v>0</v>
      </c>
    </row>
    <row r="33" spans="1:23" hidden="1" x14ac:dyDescent="0.25">
      <c r="A33" s="3">
        <v>45944</v>
      </c>
      <c r="B33" s="3" t="s">
        <v>298</v>
      </c>
      <c r="C33" s="4" t="s">
        <v>185</v>
      </c>
      <c r="D33" s="4"/>
      <c r="E33" s="4" t="s">
        <v>856</v>
      </c>
      <c r="F33" s="26" t="s">
        <v>325</v>
      </c>
      <c r="G33" s="4" t="s">
        <v>326</v>
      </c>
      <c r="H33" s="4" t="s">
        <v>1329</v>
      </c>
      <c r="I33" s="4">
        <v>4</v>
      </c>
      <c r="J33" s="21">
        <v>146.25</v>
      </c>
      <c r="K33" s="21">
        <v>0</v>
      </c>
      <c r="L33" s="5">
        <v>585</v>
      </c>
      <c r="M33" s="4"/>
      <c r="N33" s="4">
        <v>4</v>
      </c>
      <c r="O33" s="5"/>
      <c r="P33" s="5">
        <v>146.25</v>
      </c>
      <c r="Q33" s="21">
        <v>0</v>
      </c>
      <c r="R33" s="21">
        <v>0</v>
      </c>
      <c r="S33" s="5">
        <f t="shared" si="3"/>
        <v>130500</v>
      </c>
      <c r="T33" cm="1">
        <f t="array" ref="T33">IF(OR(B33="MAL ALIMI", B33="ÜRETİM GİRİŞ"), MIN(I33, MAX(0, I33 + SUM(SUMIFS($I$1:I32, $C$1:C32, C33, $B$1:B32, {"MAL ALIMI","ÜRETİM GİRİŞ"})) - VLOOKUP(C33, 'STOK RAPORU'!$C$2:$I$1000, 4, 0))), 0)</f>
        <v>0</v>
      </c>
      <c r="U33" s="22">
        <f t="shared" si="0"/>
        <v>0</v>
      </c>
      <c r="V33">
        <f t="shared" si="1"/>
        <v>585</v>
      </c>
      <c r="W33" s="22">
        <f t="shared" si="2"/>
        <v>585</v>
      </c>
    </row>
    <row r="34" spans="1:23" hidden="1" x14ac:dyDescent="0.25">
      <c r="A34" s="3">
        <v>45944</v>
      </c>
      <c r="B34" s="3" t="s">
        <v>285</v>
      </c>
      <c r="C34" s="4"/>
      <c r="D34" s="4" t="s">
        <v>111</v>
      </c>
      <c r="E34" s="4" t="s">
        <v>856</v>
      </c>
      <c r="F34" s="26" t="s">
        <v>327</v>
      </c>
      <c r="G34" s="4" t="s">
        <v>328</v>
      </c>
      <c r="H34" s="4" t="s">
        <v>1329</v>
      </c>
      <c r="I34" s="4">
        <v>1</v>
      </c>
      <c r="J34" s="21">
        <v>429.98</v>
      </c>
      <c r="K34" s="21">
        <v>0</v>
      </c>
      <c r="L34" s="5">
        <v>429.98</v>
      </c>
      <c r="M34" s="4"/>
      <c r="N34" s="4">
        <v>1</v>
      </c>
      <c r="O34" s="5"/>
      <c r="P34" s="5">
        <v>429.98</v>
      </c>
      <c r="Q34" s="21">
        <v>0</v>
      </c>
      <c r="R34" s="21">
        <v>0</v>
      </c>
      <c r="S34" s="5">
        <f t="shared" si="3"/>
        <v>130500</v>
      </c>
      <c r="T34" cm="1">
        <f t="array" ref="T34">IF(OR(B34="MAL ALIMI", B34="ÜRETİM GİRİŞ"), MIN(I34, MAX(0, I34 + SUM(SUMIFS($I$1:I33, $C$1:C33, C34, $B$1:B33, {"MAL ALIMI","ÜRETİM GİRİŞ"})) - VLOOKUP(C34, 'STOK RAPORU'!$C$2:$I$1000, 4, 0))), 0)</f>
        <v>0</v>
      </c>
      <c r="U34" s="22">
        <f t="shared" si="0"/>
        <v>0</v>
      </c>
      <c r="V34">
        <f t="shared" si="1"/>
        <v>0</v>
      </c>
      <c r="W34" s="22">
        <f t="shared" si="2"/>
        <v>0</v>
      </c>
    </row>
    <row r="35" spans="1:23" hidden="1" x14ac:dyDescent="0.25">
      <c r="A35" s="3">
        <v>45944</v>
      </c>
      <c r="B35" s="3" t="s">
        <v>285</v>
      </c>
      <c r="C35" s="4"/>
      <c r="D35" s="4" t="s">
        <v>106</v>
      </c>
      <c r="E35" s="4" t="s">
        <v>856</v>
      </c>
      <c r="F35" s="26" t="s">
        <v>329</v>
      </c>
      <c r="G35" s="4" t="s">
        <v>330</v>
      </c>
      <c r="H35" s="4" t="s">
        <v>1329</v>
      </c>
      <c r="I35" s="4">
        <v>1</v>
      </c>
      <c r="J35" s="21">
        <v>6399</v>
      </c>
      <c r="K35" s="21">
        <v>0</v>
      </c>
      <c r="L35" s="5">
        <v>6399</v>
      </c>
      <c r="M35" s="4"/>
      <c r="N35" s="4">
        <v>1</v>
      </c>
      <c r="O35" s="5"/>
      <c r="P35" s="5">
        <v>6399</v>
      </c>
      <c r="Q35" s="21">
        <v>0</v>
      </c>
      <c r="R35" s="21">
        <v>0</v>
      </c>
      <c r="S35" s="5">
        <f t="shared" si="3"/>
        <v>130500</v>
      </c>
      <c r="T35" cm="1">
        <f t="array" ref="T35">IF(OR(B35="MAL ALIMI", B35="ÜRETİM GİRİŞ"), MIN(I35, MAX(0, I35 + SUM(SUMIFS($I$1:I34, $C$1:C34, C35, $B$1:B34, {"MAL ALIMI","ÜRETİM GİRİŞ"})) - VLOOKUP(C35, 'STOK RAPORU'!$C$2:$I$1000, 4, 0))), 0)</f>
        <v>0</v>
      </c>
      <c r="U35" s="22">
        <f t="shared" si="0"/>
        <v>0</v>
      </c>
      <c r="V35">
        <f t="shared" si="1"/>
        <v>0</v>
      </c>
      <c r="W35" s="22">
        <f t="shared" si="2"/>
        <v>0</v>
      </c>
    </row>
    <row r="36" spans="1:23" hidden="1" x14ac:dyDescent="0.25">
      <c r="A36" s="3">
        <v>45945</v>
      </c>
      <c r="B36" s="3" t="s">
        <v>285</v>
      </c>
      <c r="C36" s="4"/>
      <c r="D36" s="4" t="s">
        <v>106</v>
      </c>
      <c r="E36" s="4"/>
      <c r="F36" s="4"/>
      <c r="G36" s="4" t="s">
        <v>331</v>
      </c>
      <c r="H36" s="4" t="s">
        <v>289</v>
      </c>
      <c r="I36" s="4">
        <v>1</v>
      </c>
      <c r="J36" s="21">
        <v>8000</v>
      </c>
      <c r="K36" s="21">
        <v>0</v>
      </c>
      <c r="L36" s="5">
        <v>0</v>
      </c>
      <c r="M36" s="4"/>
      <c r="N36" s="4">
        <v>1</v>
      </c>
      <c r="O36" s="5"/>
      <c r="P36" s="5">
        <v>8000</v>
      </c>
      <c r="Q36" s="21">
        <v>0</v>
      </c>
      <c r="R36" s="21">
        <v>8000</v>
      </c>
      <c r="S36" s="5">
        <f t="shared" si="3"/>
        <v>122500</v>
      </c>
      <c r="T36" cm="1">
        <f t="array" ref="T36">IF(OR(B36="MAL ALIMI", B36="ÜRETİM GİRİŞ"), MIN(I36, MAX(0, I36 + SUM(SUMIFS($I$1:I35, $C$1:C35, C36, $B$1:B35, {"MAL ALIMI","ÜRETİM GİRİŞ"})) - VLOOKUP(C36, 'STOK RAPORU'!$C$2:$I$1000, 4, 0))), 0)</f>
        <v>0</v>
      </c>
      <c r="U36" s="22">
        <f t="shared" si="0"/>
        <v>0</v>
      </c>
      <c r="V36">
        <f t="shared" si="1"/>
        <v>0</v>
      </c>
      <c r="W36" s="22">
        <f t="shared" si="2"/>
        <v>0</v>
      </c>
    </row>
    <row r="37" spans="1:23" hidden="1" x14ac:dyDescent="0.25">
      <c r="A37" s="3">
        <v>45946</v>
      </c>
      <c r="B37" s="3" t="s">
        <v>298</v>
      </c>
      <c r="C37" s="4" t="s">
        <v>530</v>
      </c>
      <c r="D37" s="4"/>
      <c r="E37" s="4" t="s">
        <v>856</v>
      </c>
      <c r="F37" s="26" t="s">
        <v>332</v>
      </c>
      <c r="G37" s="4" t="s">
        <v>333</v>
      </c>
      <c r="H37" s="4" t="s">
        <v>1329</v>
      </c>
      <c r="I37" s="4">
        <v>10</v>
      </c>
      <c r="J37" s="21">
        <v>160</v>
      </c>
      <c r="K37" s="21">
        <v>0</v>
      </c>
      <c r="L37" s="5">
        <v>1600</v>
      </c>
      <c r="M37" s="4"/>
      <c r="N37" s="4">
        <v>10</v>
      </c>
      <c r="O37" s="5"/>
      <c r="P37" s="5">
        <v>160</v>
      </c>
      <c r="Q37" s="21">
        <v>0</v>
      </c>
      <c r="R37" s="21">
        <v>0</v>
      </c>
      <c r="S37" s="5">
        <f t="shared" si="3"/>
        <v>122500</v>
      </c>
      <c r="T37" cm="1">
        <f t="array" ref="T37">IF(OR(B37="MAL ALIMI", B37="ÜRETİM GİRİŞ"), MIN(I37, MAX(0, I37 + SUM(SUMIFS($I$1:I36, $C$1:C36, C37, $B$1:B36, {"MAL ALIMI","ÜRETİM GİRİŞ"})) - VLOOKUP(C37, 'STOK RAPORU'!$C$2:$I$1000, 4, 0))), 0)</f>
        <v>0</v>
      </c>
      <c r="U37" s="22">
        <f t="shared" si="0"/>
        <v>0</v>
      </c>
      <c r="V37">
        <f t="shared" si="1"/>
        <v>1600</v>
      </c>
      <c r="W37" s="22">
        <f t="shared" si="2"/>
        <v>1600</v>
      </c>
    </row>
    <row r="38" spans="1:23" hidden="1" x14ac:dyDescent="0.25">
      <c r="A38" s="3">
        <v>45946</v>
      </c>
      <c r="B38" s="3" t="s">
        <v>298</v>
      </c>
      <c r="C38" s="4" t="s">
        <v>269</v>
      </c>
      <c r="D38" s="4"/>
      <c r="E38" s="4" t="s">
        <v>856</v>
      </c>
      <c r="F38" s="26" t="s">
        <v>332</v>
      </c>
      <c r="G38" s="4" t="s">
        <v>333</v>
      </c>
      <c r="H38" s="4" t="s">
        <v>1329</v>
      </c>
      <c r="I38" s="4">
        <v>5</v>
      </c>
      <c r="J38" s="21">
        <v>133</v>
      </c>
      <c r="K38" s="21">
        <v>0</v>
      </c>
      <c r="L38" s="5">
        <v>665</v>
      </c>
      <c r="M38" s="4"/>
      <c r="N38" s="4">
        <v>5</v>
      </c>
      <c r="O38" s="5"/>
      <c r="P38" s="5">
        <v>133</v>
      </c>
      <c r="Q38" s="21">
        <v>0</v>
      </c>
      <c r="R38" s="21">
        <v>0</v>
      </c>
      <c r="S38" s="5">
        <f t="shared" si="3"/>
        <v>122500</v>
      </c>
      <c r="T38" cm="1">
        <f t="array" ref="T38">IF(OR(B38="MAL ALIMI", B38="ÜRETİM GİRİŞ"), MIN(I38, MAX(0, I38 + SUM(SUMIFS($I$1:I37, $C$1:C37, C38, $B$1:B37, {"MAL ALIMI","ÜRETİM GİRİŞ"})) - VLOOKUP(C38, 'STOK RAPORU'!$C$2:$I$1000, 4, 0))), 0)</f>
        <v>3.120166666666667</v>
      </c>
      <c r="U38" s="22">
        <f t="shared" si="0"/>
        <v>414.98216666666673</v>
      </c>
      <c r="V38">
        <f t="shared" si="1"/>
        <v>665</v>
      </c>
      <c r="W38" s="22">
        <f t="shared" si="2"/>
        <v>250.01783333333327</v>
      </c>
    </row>
    <row r="39" spans="1:23" hidden="1" x14ac:dyDescent="0.25">
      <c r="A39" s="3">
        <v>45946</v>
      </c>
      <c r="B39" s="3" t="s">
        <v>298</v>
      </c>
      <c r="C39" s="4" t="s">
        <v>270</v>
      </c>
      <c r="D39" s="4"/>
      <c r="E39" s="4" t="s">
        <v>856</v>
      </c>
      <c r="F39" s="26" t="s">
        <v>332</v>
      </c>
      <c r="G39" s="4" t="s">
        <v>333</v>
      </c>
      <c r="H39" s="4" t="s">
        <v>1329</v>
      </c>
      <c r="I39" s="4">
        <v>6</v>
      </c>
      <c r="J39" s="21">
        <v>80</v>
      </c>
      <c r="K39" s="21">
        <v>0</v>
      </c>
      <c r="L39" s="5">
        <v>480</v>
      </c>
      <c r="M39" s="4"/>
      <c r="N39" s="4">
        <v>6</v>
      </c>
      <c r="O39" s="5"/>
      <c r="P39" s="5">
        <v>80</v>
      </c>
      <c r="Q39" s="21">
        <v>0</v>
      </c>
      <c r="R39" s="21">
        <v>0</v>
      </c>
      <c r="S39" s="5">
        <f t="shared" si="3"/>
        <v>122500</v>
      </c>
      <c r="T39" cm="1">
        <f t="array" ref="T39">IF(OR(B39="MAL ALIMI", B39="ÜRETİM GİRİŞ"), MIN(I39, MAX(0, I39 + SUM(SUMIFS($I$1:I38, $C$1:C38, C39, $B$1:B38, {"MAL ALIMI","ÜRETİM GİRİŞ"})) - VLOOKUP(C39, 'STOK RAPORU'!$C$2:$I$1000, 4, 0))), 0)</f>
        <v>0</v>
      </c>
      <c r="U39" s="22">
        <f t="shared" si="0"/>
        <v>0</v>
      </c>
      <c r="V39">
        <f t="shared" si="1"/>
        <v>480</v>
      </c>
      <c r="W39" s="22">
        <f t="shared" si="2"/>
        <v>480</v>
      </c>
    </row>
    <row r="40" spans="1:23" hidden="1" x14ac:dyDescent="0.25">
      <c r="A40" s="3">
        <v>45946</v>
      </c>
      <c r="B40" s="3" t="s">
        <v>334</v>
      </c>
      <c r="C40" s="4" t="s">
        <v>175</v>
      </c>
      <c r="D40" s="4"/>
      <c r="E40" s="4"/>
      <c r="F40" s="4" t="s">
        <v>335</v>
      </c>
      <c r="G40" s="4" t="s">
        <v>336</v>
      </c>
      <c r="H40" s="4" t="s">
        <v>289</v>
      </c>
      <c r="I40" s="4">
        <v>1</v>
      </c>
      <c r="J40" s="21">
        <v>250</v>
      </c>
      <c r="K40" s="21">
        <v>0</v>
      </c>
      <c r="L40" s="5">
        <v>0</v>
      </c>
      <c r="M40" s="4">
        <v>1</v>
      </c>
      <c r="N40" s="4"/>
      <c r="O40" s="5">
        <v>250</v>
      </c>
      <c r="P40" s="5"/>
      <c r="Q40" s="21">
        <v>250</v>
      </c>
      <c r="R40" s="21">
        <v>0</v>
      </c>
      <c r="S40" s="5">
        <f t="shared" si="3"/>
        <v>122750</v>
      </c>
      <c r="T40" cm="1">
        <f t="array" ref="T40">IF(OR(B40="MAL ALIMI", B40="ÜRETİM GİRİŞ"), MIN(I40, MAX(0, I40 + SUM(SUMIFS($I$1:I39, $C$1:C39, C40, $B$1:B39, {"MAL ALIMI","ÜRETİM GİRİŞ"})) - VLOOKUP(C40, 'STOK RAPORU'!$C$2:$I$1000, 4, 0))), 0)</f>
        <v>0</v>
      </c>
      <c r="U40" s="22">
        <f t="shared" si="0"/>
        <v>0</v>
      </c>
      <c r="V40">
        <f t="shared" si="1"/>
        <v>0</v>
      </c>
      <c r="W40" s="22">
        <f t="shared" si="2"/>
        <v>0</v>
      </c>
    </row>
    <row r="41" spans="1:23" hidden="1" x14ac:dyDescent="0.25">
      <c r="A41" s="3">
        <v>45946</v>
      </c>
      <c r="B41" s="3" t="s">
        <v>334</v>
      </c>
      <c r="C41" s="4" t="s">
        <v>145</v>
      </c>
      <c r="D41" s="4"/>
      <c r="E41" s="4"/>
      <c r="F41" s="4" t="s">
        <v>335</v>
      </c>
      <c r="G41" s="4" t="s">
        <v>336</v>
      </c>
      <c r="H41" s="4" t="s">
        <v>289</v>
      </c>
      <c r="I41" s="4">
        <v>1</v>
      </c>
      <c r="J41" s="21">
        <v>50</v>
      </c>
      <c r="K41" s="21">
        <v>0</v>
      </c>
      <c r="L41" s="5">
        <v>0</v>
      </c>
      <c r="M41" s="4">
        <v>1</v>
      </c>
      <c r="N41" s="4"/>
      <c r="O41" s="5">
        <v>50</v>
      </c>
      <c r="P41" s="5"/>
      <c r="Q41" s="21">
        <v>50</v>
      </c>
      <c r="R41" s="21">
        <v>0</v>
      </c>
      <c r="S41" s="5">
        <f t="shared" si="3"/>
        <v>122800</v>
      </c>
      <c r="T41" cm="1">
        <f t="array" ref="T41">IF(OR(B41="MAL ALIMI", B41="ÜRETİM GİRİŞ"), MIN(I41, MAX(0, I41 + SUM(SUMIFS($I$1:I40, $C$1:C40, C41, $B$1:B40, {"MAL ALIMI","ÜRETİM GİRİŞ"})) - VLOOKUP(C41, 'STOK RAPORU'!$C$2:$I$1000, 4, 0))), 0)</f>
        <v>0</v>
      </c>
      <c r="U41" s="22">
        <f t="shared" si="0"/>
        <v>0</v>
      </c>
      <c r="V41">
        <f t="shared" si="1"/>
        <v>0</v>
      </c>
      <c r="W41" s="22">
        <f t="shared" si="2"/>
        <v>0</v>
      </c>
    </row>
    <row r="42" spans="1:23" hidden="1" x14ac:dyDescent="0.25">
      <c r="A42" s="3">
        <v>45946</v>
      </c>
      <c r="B42" s="3" t="s">
        <v>334</v>
      </c>
      <c r="C42" s="4" t="s">
        <v>179</v>
      </c>
      <c r="D42" s="4"/>
      <c r="E42" s="4"/>
      <c r="F42" s="4" t="s">
        <v>335</v>
      </c>
      <c r="G42" s="4" t="s">
        <v>336</v>
      </c>
      <c r="H42" s="4" t="s">
        <v>289</v>
      </c>
      <c r="I42" s="4">
        <v>1</v>
      </c>
      <c r="J42" s="21">
        <v>160</v>
      </c>
      <c r="K42" s="21">
        <v>0</v>
      </c>
      <c r="L42" s="5">
        <v>0</v>
      </c>
      <c r="M42" s="4">
        <v>1</v>
      </c>
      <c r="N42" s="4"/>
      <c r="O42" s="5">
        <v>160</v>
      </c>
      <c r="P42" s="5"/>
      <c r="Q42" s="21">
        <v>160</v>
      </c>
      <c r="R42" s="21">
        <v>0</v>
      </c>
      <c r="S42" s="5">
        <f t="shared" si="3"/>
        <v>122960</v>
      </c>
      <c r="T42" cm="1">
        <f t="array" ref="T42">IF(OR(B42="MAL ALIMI", B42="ÜRETİM GİRİŞ"), MIN(I42, MAX(0, I42 + SUM(SUMIFS($I$1:I41, $C$1:C41, C42, $B$1:B41, {"MAL ALIMI","ÜRETİM GİRİŞ"})) - VLOOKUP(C42, 'STOK RAPORU'!$C$2:$I$1000, 4, 0))), 0)</f>
        <v>0</v>
      </c>
      <c r="U42" s="22">
        <f t="shared" si="0"/>
        <v>0</v>
      </c>
      <c r="V42">
        <f t="shared" si="1"/>
        <v>0</v>
      </c>
      <c r="W42" s="22">
        <f t="shared" si="2"/>
        <v>0</v>
      </c>
    </row>
    <row r="43" spans="1:23" hidden="1" x14ac:dyDescent="0.25">
      <c r="A43" s="3">
        <v>45946</v>
      </c>
      <c r="B43" s="3" t="s">
        <v>334</v>
      </c>
      <c r="C43" s="4" t="s">
        <v>180</v>
      </c>
      <c r="D43" s="4"/>
      <c r="E43" s="4"/>
      <c r="F43" s="4" t="s">
        <v>335</v>
      </c>
      <c r="G43" s="4" t="s">
        <v>336</v>
      </c>
      <c r="H43" s="4" t="s">
        <v>289</v>
      </c>
      <c r="I43" s="4">
        <v>1</v>
      </c>
      <c r="J43" s="21">
        <v>170</v>
      </c>
      <c r="K43" s="21">
        <v>0</v>
      </c>
      <c r="L43" s="5">
        <v>0</v>
      </c>
      <c r="M43" s="4">
        <v>1</v>
      </c>
      <c r="N43" s="4"/>
      <c r="O43" s="5">
        <v>170</v>
      </c>
      <c r="P43" s="5"/>
      <c r="Q43" s="21">
        <v>170</v>
      </c>
      <c r="R43" s="21">
        <v>0</v>
      </c>
      <c r="S43" s="5">
        <f t="shared" si="3"/>
        <v>123130</v>
      </c>
      <c r="T43" cm="1">
        <f t="array" ref="T43">IF(OR(B43="MAL ALIMI", B43="ÜRETİM GİRİŞ"), MIN(I43, MAX(0, I43 + SUM(SUMIFS($I$1:I42, $C$1:C42, C43, $B$1:B42, {"MAL ALIMI","ÜRETİM GİRİŞ"})) - VLOOKUP(C43, 'STOK RAPORU'!$C$2:$I$1000, 4, 0))), 0)</f>
        <v>0</v>
      </c>
      <c r="U43" s="22">
        <f t="shared" si="0"/>
        <v>0</v>
      </c>
      <c r="V43">
        <f t="shared" si="1"/>
        <v>0</v>
      </c>
      <c r="W43" s="22">
        <f t="shared" si="2"/>
        <v>0</v>
      </c>
    </row>
    <row r="44" spans="1:23" hidden="1" x14ac:dyDescent="0.25">
      <c r="A44" s="3">
        <v>45946</v>
      </c>
      <c r="B44" s="3" t="s">
        <v>334</v>
      </c>
      <c r="C44" s="4" t="s">
        <v>184</v>
      </c>
      <c r="D44" s="4"/>
      <c r="E44" s="4"/>
      <c r="F44" s="4" t="s">
        <v>335</v>
      </c>
      <c r="G44" s="4" t="s">
        <v>336</v>
      </c>
      <c r="H44" s="4" t="s">
        <v>289</v>
      </c>
      <c r="I44" s="4">
        <v>1</v>
      </c>
      <c r="J44" s="21">
        <v>220</v>
      </c>
      <c r="K44" s="21">
        <v>0</v>
      </c>
      <c r="L44" s="5">
        <v>0</v>
      </c>
      <c r="M44" s="4">
        <v>1</v>
      </c>
      <c r="N44" s="4"/>
      <c r="O44" s="5">
        <v>220</v>
      </c>
      <c r="P44" s="5"/>
      <c r="Q44" s="21">
        <v>220</v>
      </c>
      <c r="R44" s="21">
        <v>0</v>
      </c>
      <c r="S44" s="5">
        <f t="shared" si="3"/>
        <v>123350</v>
      </c>
      <c r="T44" cm="1">
        <f t="array" ref="T44">IF(OR(B44="MAL ALIMI", B44="ÜRETİM GİRİŞ"), MIN(I44, MAX(0, I44 + SUM(SUMIFS($I$1:I43, $C$1:C43, C44, $B$1:B43, {"MAL ALIMI","ÜRETİM GİRİŞ"})) - VLOOKUP(C44, 'STOK RAPORU'!$C$2:$I$1000, 4, 0))), 0)</f>
        <v>0</v>
      </c>
      <c r="U44" s="22">
        <f t="shared" si="0"/>
        <v>0</v>
      </c>
      <c r="V44">
        <f t="shared" si="1"/>
        <v>0</v>
      </c>
      <c r="W44" s="22">
        <f t="shared" si="2"/>
        <v>0</v>
      </c>
    </row>
    <row r="45" spans="1:23" hidden="1" x14ac:dyDescent="0.25">
      <c r="A45" s="3">
        <v>45946</v>
      </c>
      <c r="B45" s="3" t="s">
        <v>334</v>
      </c>
      <c r="C45" s="4" t="s">
        <v>160</v>
      </c>
      <c r="D45" s="4"/>
      <c r="E45" s="4"/>
      <c r="F45" s="4" t="s">
        <v>335</v>
      </c>
      <c r="G45" s="4" t="s">
        <v>336</v>
      </c>
      <c r="H45" s="4" t="s">
        <v>289</v>
      </c>
      <c r="I45" s="4">
        <v>1</v>
      </c>
      <c r="J45" s="21">
        <v>230</v>
      </c>
      <c r="K45" s="21">
        <v>0</v>
      </c>
      <c r="L45" s="5">
        <v>0</v>
      </c>
      <c r="M45" s="4">
        <v>1</v>
      </c>
      <c r="N45" s="4"/>
      <c r="O45" s="5">
        <v>230</v>
      </c>
      <c r="P45" s="5"/>
      <c r="Q45" s="21">
        <v>230</v>
      </c>
      <c r="R45" s="21">
        <v>0</v>
      </c>
      <c r="S45" s="5">
        <f t="shared" si="3"/>
        <v>123580</v>
      </c>
      <c r="T45" cm="1">
        <f t="array" ref="T45">IF(OR(B45="MAL ALIMI", B45="ÜRETİM GİRİŞ"), MIN(I45, MAX(0, I45 + SUM(SUMIFS($I$1:I44, $C$1:C44, C45, $B$1:B44, {"MAL ALIMI","ÜRETİM GİRİŞ"})) - VLOOKUP(C45, 'STOK RAPORU'!$C$2:$I$1000, 4, 0))), 0)</f>
        <v>0</v>
      </c>
      <c r="U45" s="22">
        <f t="shared" si="0"/>
        <v>0</v>
      </c>
      <c r="V45">
        <f t="shared" si="1"/>
        <v>0</v>
      </c>
      <c r="W45" s="22">
        <f t="shared" si="2"/>
        <v>0</v>
      </c>
    </row>
    <row r="46" spans="1:23" hidden="1" x14ac:dyDescent="0.25">
      <c r="A46" s="3">
        <v>45946</v>
      </c>
      <c r="B46" s="3" t="s">
        <v>334</v>
      </c>
      <c r="C46" s="4" t="s">
        <v>167</v>
      </c>
      <c r="D46" s="4"/>
      <c r="E46" s="4"/>
      <c r="F46" s="4" t="s">
        <v>335</v>
      </c>
      <c r="G46" s="4" t="s">
        <v>336</v>
      </c>
      <c r="H46" s="4" t="s">
        <v>289</v>
      </c>
      <c r="I46" s="4">
        <v>1</v>
      </c>
      <c r="J46" s="21">
        <v>200</v>
      </c>
      <c r="K46" s="21">
        <v>0</v>
      </c>
      <c r="L46" s="5">
        <v>0</v>
      </c>
      <c r="M46" s="4">
        <v>1</v>
      </c>
      <c r="N46" s="4"/>
      <c r="O46" s="5">
        <v>200</v>
      </c>
      <c r="P46" s="5"/>
      <c r="Q46" s="21">
        <v>200</v>
      </c>
      <c r="R46" s="21">
        <v>0</v>
      </c>
      <c r="S46" s="5">
        <f t="shared" si="3"/>
        <v>123780</v>
      </c>
      <c r="T46" cm="1">
        <f t="array" ref="T46">IF(OR(B46="MAL ALIMI", B46="ÜRETİM GİRİŞ"), MIN(I46, MAX(0, I46 + SUM(SUMIFS($I$1:I45, $C$1:C45, C46, $B$1:B45, {"MAL ALIMI","ÜRETİM GİRİŞ"})) - VLOOKUP(C46, 'STOK RAPORU'!$C$2:$I$1000, 4, 0))), 0)</f>
        <v>0</v>
      </c>
      <c r="U46" s="22">
        <f t="shared" si="0"/>
        <v>0</v>
      </c>
      <c r="V46">
        <f t="shared" si="1"/>
        <v>0</v>
      </c>
      <c r="W46" s="22">
        <f t="shared" si="2"/>
        <v>0</v>
      </c>
    </row>
    <row r="47" spans="1:23" hidden="1" x14ac:dyDescent="0.25">
      <c r="A47" s="3">
        <v>45946</v>
      </c>
      <c r="B47" s="3" t="s">
        <v>334</v>
      </c>
      <c r="C47" s="4" t="s">
        <v>168</v>
      </c>
      <c r="D47" s="4"/>
      <c r="E47" s="4"/>
      <c r="F47" s="4" t="s">
        <v>335</v>
      </c>
      <c r="G47" s="4" t="s">
        <v>336</v>
      </c>
      <c r="H47" s="4" t="s">
        <v>289</v>
      </c>
      <c r="I47" s="4">
        <v>1</v>
      </c>
      <c r="J47" s="21">
        <v>200</v>
      </c>
      <c r="K47" s="21">
        <v>0</v>
      </c>
      <c r="L47" s="5">
        <v>0</v>
      </c>
      <c r="M47" s="4">
        <v>1</v>
      </c>
      <c r="N47" s="4"/>
      <c r="O47" s="5">
        <v>200</v>
      </c>
      <c r="P47" s="5"/>
      <c r="Q47" s="21">
        <v>200</v>
      </c>
      <c r="R47" s="21">
        <v>0</v>
      </c>
      <c r="S47" s="5">
        <f t="shared" si="3"/>
        <v>123980</v>
      </c>
      <c r="T47" cm="1">
        <f t="array" ref="T47">IF(OR(B47="MAL ALIMI", B47="ÜRETİM GİRİŞ"), MIN(I47, MAX(0, I47 + SUM(SUMIFS($I$1:I46, $C$1:C46, C47, $B$1:B46, {"MAL ALIMI","ÜRETİM GİRİŞ"})) - VLOOKUP(C47, 'STOK RAPORU'!$C$2:$I$1000, 4, 0))), 0)</f>
        <v>0</v>
      </c>
      <c r="U47" s="22">
        <f t="shared" si="0"/>
        <v>0</v>
      </c>
      <c r="V47">
        <f t="shared" si="1"/>
        <v>0</v>
      </c>
      <c r="W47" s="22">
        <f t="shared" si="2"/>
        <v>0</v>
      </c>
    </row>
    <row r="48" spans="1:23" hidden="1" x14ac:dyDescent="0.25">
      <c r="A48" s="3">
        <v>45946</v>
      </c>
      <c r="B48" s="3" t="s">
        <v>334</v>
      </c>
      <c r="C48" s="4" t="s">
        <v>162</v>
      </c>
      <c r="D48" s="4"/>
      <c r="E48" s="4"/>
      <c r="F48" s="4" t="s">
        <v>335</v>
      </c>
      <c r="G48" s="4" t="s">
        <v>336</v>
      </c>
      <c r="H48" s="4" t="s">
        <v>289</v>
      </c>
      <c r="I48" s="4">
        <v>1</v>
      </c>
      <c r="J48" s="21">
        <v>260</v>
      </c>
      <c r="K48" s="21">
        <v>0</v>
      </c>
      <c r="L48" s="5">
        <v>0</v>
      </c>
      <c r="M48" s="4">
        <v>1</v>
      </c>
      <c r="N48" s="4"/>
      <c r="O48" s="5">
        <v>260</v>
      </c>
      <c r="P48" s="5"/>
      <c r="Q48" s="21">
        <v>260</v>
      </c>
      <c r="R48" s="21">
        <v>0</v>
      </c>
      <c r="S48" s="5">
        <f t="shared" si="3"/>
        <v>124240</v>
      </c>
      <c r="T48" cm="1">
        <f t="array" ref="T48">IF(OR(B48="MAL ALIMI", B48="ÜRETİM GİRİŞ"), MIN(I48, MAX(0, I48 + SUM(SUMIFS($I$1:I47, $C$1:C47, C48, $B$1:B47, {"MAL ALIMI","ÜRETİM GİRİŞ"})) - VLOOKUP(C48, 'STOK RAPORU'!$C$2:$I$1000, 4, 0))), 0)</f>
        <v>0</v>
      </c>
      <c r="U48" s="22">
        <f t="shared" si="0"/>
        <v>0</v>
      </c>
      <c r="V48">
        <f t="shared" si="1"/>
        <v>0</v>
      </c>
      <c r="W48" s="22">
        <f t="shared" si="2"/>
        <v>0</v>
      </c>
    </row>
    <row r="49" spans="1:23" hidden="1" x14ac:dyDescent="0.25">
      <c r="A49" s="3">
        <v>45946</v>
      </c>
      <c r="B49" s="3" t="s">
        <v>285</v>
      </c>
      <c r="C49" s="4"/>
      <c r="D49" s="4" t="s">
        <v>114</v>
      </c>
      <c r="E49" s="4"/>
      <c r="F49" s="4" t="s">
        <v>335</v>
      </c>
      <c r="G49" s="4" t="s">
        <v>336</v>
      </c>
      <c r="H49" s="4" t="s">
        <v>289</v>
      </c>
      <c r="I49" s="4">
        <v>1</v>
      </c>
      <c r="J49" s="21">
        <v>34</v>
      </c>
      <c r="K49" s="21">
        <v>0</v>
      </c>
      <c r="L49" s="5">
        <v>0</v>
      </c>
      <c r="M49" s="4"/>
      <c r="N49" s="4">
        <v>1</v>
      </c>
      <c r="O49" s="5"/>
      <c r="P49" s="5">
        <v>34</v>
      </c>
      <c r="Q49" s="21">
        <v>0</v>
      </c>
      <c r="R49" s="21">
        <v>34</v>
      </c>
      <c r="S49" s="5">
        <f t="shared" si="3"/>
        <v>124206</v>
      </c>
      <c r="T49" cm="1">
        <f t="array" ref="T49">IF(OR(B49="MAL ALIMI", B49="ÜRETİM GİRİŞ"), MIN(I49, MAX(0, I49 + SUM(SUMIFS($I$1:I48, $C$1:C48, C49, $B$1:B48, {"MAL ALIMI","ÜRETİM GİRİŞ"})) - VLOOKUP(C49, 'STOK RAPORU'!$C$2:$I$1000, 4, 0))), 0)</f>
        <v>0</v>
      </c>
      <c r="U49" s="22">
        <f t="shared" si="0"/>
        <v>0</v>
      </c>
      <c r="V49">
        <f t="shared" si="1"/>
        <v>0</v>
      </c>
      <c r="W49" s="22">
        <f t="shared" si="2"/>
        <v>0</v>
      </c>
    </row>
    <row r="50" spans="1:23" hidden="1" x14ac:dyDescent="0.25">
      <c r="A50" s="3">
        <v>45946</v>
      </c>
      <c r="B50" s="3" t="s">
        <v>334</v>
      </c>
      <c r="C50" s="4" t="s">
        <v>98</v>
      </c>
      <c r="D50" s="4"/>
      <c r="E50" s="4"/>
      <c r="F50" s="4" t="s">
        <v>337</v>
      </c>
      <c r="G50" s="4" t="s">
        <v>338</v>
      </c>
      <c r="H50" s="4" t="s">
        <v>289</v>
      </c>
      <c r="I50" s="4">
        <v>0.35</v>
      </c>
      <c r="J50" s="21">
        <v>260</v>
      </c>
      <c r="K50" s="21">
        <v>0</v>
      </c>
      <c r="L50" s="5">
        <v>0</v>
      </c>
      <c r="M50" s="4">
        <v>0.35</v>
      </c>
      <c r="N50" s="4"/>
      <c r="O50" s="5">
        <v>260</v>
      </c>
      <c r="P50" s="5"/>
      <c r="Q50" s="21">
        <v>91</v>
      </c>
      <c r="R50" s="21">
        <v>0</v>
      </c>
      <c r="S50" s="5">
        <f t="shared" si="3"/>
        <v>124297</v>
      </c>
      <c r="T50" cm="1">
        <f t="array" ref="T50">IF(OR(B50="MAL ALIMI", B50="ÜRETİM GİRİŞ"), MIN(I50, MAX(0, I50 + SUM(SUMIFS($I$1:I49, $C$1:C49, C50, $B$1:B49, {"MAL ALIMI","ÜRETİM GİRİŞ"})) - VLOOKUP(C50, 'STOK RAPORU'!$C$2:$I$1000, 4, 0))), 0)</f>
        <v>0</v>
      </c>
      <c r="U50" s="22">
        <f t="shared" si="0"/>
        <v>0</v>
      </c>
      <c r="V50">
        <f t="shared" si="1"/>
        <v>0</v>
      </c>
      <c r="W50" s="22">
        <f t="shared" si="2"/>
        <v>0</v>
      </c>
    </row>
    <row r="51" spans="1:23" hidden="1" x14ac:dyDescent="0.25">
      <c r="A51" s="3">
        <v>45946</v>
      </c>
      <c r="B51" s="3" t="s">
        <v>334</v>
      </c>
      <c r="C51" s="4" t="s">
        <v>140</v>
      </c>
      <c r="D51" s="4"/>
      <c r="E51" s="4"/>
      <c r="F51" s="4" t="s">
        <v>337</v>
      </c>
      <c r="G51" s="4" t="s">
        <v>336</v>
      </c>
      <c r="H51" s="4" t="s">
        <v>289</v>
      </c>
      <c r="I51" s="4">
        <v>0.35</v>
      </c>
      <c r="J51" s="21">
        <v>230</v>
      </c>
      <c r="K51" s="21">
        <v>0</v>
      </c>
      <c r="L51" s="5">
        <v>0</v>
      </c>
      <c r="M51" s="4">
        <v>0.35</v>
      </c>
      <c r="N51" s="4"/>
      <c r="O51" s="5">
        <v>230</v>
      </c>
      <c r="P51" s="5"/>
      <c r="Q51" s="21">
        <v>80.5</v>
      </c>
      <c r="R51" s="21">
        <v>0</v>
      </c>
      <c r="S51" s="5">
        <f t="shared" si="3"/>
        <v>124377.5</v>
      </c>
      <c r="T51" cm="1">
        <f t="array" ref="T51">IF(OR(B51="MAL ALIMI", B51="ÜRETİM GİRİŞ"), MIN(I51, MAX(0, I51 + SUM(SUMIFS($I$1:I50, $C$1:C50, C51, $B$1:B50, {"MAL ALIMI","ÜRETİM GİRİŞ"})) - VLOOKUP(C51, 'STOK RAPORU'!$C$2:$I$1000, 4, 0))), 0)</f>
        <v>0</v>
      </c>
      <c r="U51" s="22">
        <f t="shared" si="0"/>
        <v>0</v>
      </c>
      <c r="V51">
        <f t="shared" si="1"/>
        <v>0</v>
      </c>
      <c r="W51" s="22">
        <f t="shared" si="2"/>
        <v>0</v>
      </c>
    </row>
    <row r="52" spans="1:23" hidden="1" x14ac:dyDescent="0.25">
      <c r="A52" s="3">
        <v>45946</v>
      </c>
      <c r="B52" s="3" t="s">
        <v>298</v>
      </c>
      <c r="C52" s="4" t="s">
        <v>126</v>
      </c>
      <c r="D52" s="4"/>
      <c r="E52" s="4" t="s">
        <v>855</v>
      </c>
      <c r="F52" s="4" t="s">
        <v>666</v>
      </c>
      <c r="G52" s="4" t="s">
        <v>667</v>
      </c>
      <c r="H52" s="4" t="s">
        <v>304</v>
      </c>
      <c r="I52" s="4">
        <v>25</v>
      </c>
      <c r="J52" s="21">
        <v>320</v>
      </c>
      <c r="K52" s="21">
        <v>0</v>
      </c>
      <c r="L52" s="5">
        <v>8000</v>
      </c>
      <c r="M52" s="4"/>
      <c r="N52" s="4">
        <v>25</v>
      </c>
      <c r="O52" s="5"/>
      <c r="P52" s="5">
        <v>320</v>
      </c>
      <c r="Q52" s="21">
        <v>0</v>
      </c>
      <c r="R52" s="21">
        <v>0</v>
      </c>
      <c r="S52" s="5">
        <f t="shared" si="3"/>
        <v>124377.5</v>
      </c>
      <c r="T52" cm="1">
        <f t="array" ref="T52">IF(OR(B52="MAL ALIMI", B52="ÜRETİM GİRİŞ"), MIN(I52, MAX(0, I52 + SUM(SUMIFS($I$1:I51, $C$1:C51, C52, $B$1:B51, {"MAL ALIMI","ÜRETİM GİRİŞ"})) - VLOOKUP(C52, 'STOK RAPORU'!$C$2:$I$1000, 4, 0))), 0)</f>
        <v>0</v>
      </c>
      <c r="U52" s="22">
        <f t="shared" si="0"/>
        <v>0</v>
      </c>
      <c r="V52">
        <f t="shared" si="1"/>
        <v>8000</v>
      </c>
      <c r="W52" s="22">
        <f t="shared" si="2"/>
        <v>8000</v>
      </c>
    </row>
    <row r="53" spans="1:23" hidden="1" x14ac:dyDescent="0.25">
      <c r="A53" s="3">
        <v>45946</v>
      </c>
      <c r="B53" s="3" t="s">
        <v>298</v>
      </c>
      <c r="C53" s="4" t="s">
        <v>129</v>
      </c>
      <c r="D53" s="4"/>
      <c r="E53" s="4" t="s">
        <v>855</v>
      </c>
      <c r="F53" s="4" t="s">
        <v>666</v>
      </c>
      <c r="G53" s="4" t="s">
        <v>667</v>
      </c>
      <c r="H53" s="4" t="s">
        <v>304</v>
      </c>
      <c r="I53" s="4">
        <v>25</v>
      </c>
      <c r="J53" s="21">
        <v>170</v>
      </c>
      <c r="K53" s="21">
        <v>0</v>
      </c>
      <c r="L53" s="5">
        <v>4250</v>
      </c>
      <c r="M53" s="4"/>
      <c r="N53" s="4">
        <v>25</v>
      </c>
      <c r="O53" s="5"/>
      <c r="P53" s="5">
        <v>170</v>
      </c>
      <c r="Q53" s="21">
        <v>0</v>
      </c>
      <c r="R53" s="21">
        <v>0</v>
      </c>
      <c r="S53" s="5">
        <f t="shared" si="3"/>
        <v>124377.5</v>
      </c>
      <c r="T53" cm="1">
        <f t="array" ref="T53">IF(OR(B53="MAL ALIMI", B53="ÜRETİM GİRİŞ"), MIN(I53, MAX(0, I53 + SUM(SUMIFS($I$1:I52, $C$1:C52, C53, $B$1:B52, {"MAL ALIMI","ÜRETİM GİRİŞ"})) - VLOOKUP(C53, 'STOK RAPORU'!$C$2:$I$1000, 4, 0))), 0)</f>
        <v>4.51328733031675</v>
      </c>
      <c r="U53" s="22">
        <f t="shared" si="0"/>
        <v>767.25884615384746</v>
      </c>
      <c r="V53">
        <f t="shared" si="1"/>
        <v>4250</v>
      </c>
      <c r="W53" s="22">
        <f t="shared" si="2"/>
        <v>3482.7411538461524</v>
      </c>
    </row>
    <row r="54" spans="1:23" hidden="1" x14ac:dyDescent="0.25">
      <c r="A54" s="3">
        <v>45946</v>
      </c>
      <c r="B54" s="3" t="s">
        <v>298</v>
      </c>
      <c r="C54" s="4" t="s">
        <v>130</v>
      </c>
      <c r="D54" s="4"/>
      <c r="E54" s="4" t="s">
        <v>855</v>
      </c>
      <c r="F54" s="4" t="s">
        <v>666</v>
      </c>
      <c r="G54" s="4" t="s">
        <v>667</v>
      </c>
      <c r="H54" s="4" t="s">
        <v>304</v>
      </c>
      <c r="I54" s="4">
        <v>10</v>
      </c>
      <c r="J54" s="21">
        <v>180</v>
      </c>
      <c r="K54" s="21">
        <v>0</v>
      </c>
      <c r="L54" s="5">
        <v>1800</v>
      </c>
      <c r="M54" s="4"/>
      <c r="N54" s="4">
        <v>10</v>
      </c>
      <c r="O54" s="5"/>
      <c r="P54" s="5">
        <v>180</v>
      </c>
      <c r="Q54" s="21">
        <v>0</v>
      </c>
      <c r="R54" s="21">
        <v>0</v>
      </c>
      <c r="S54" s="5">
        <f t="shared" si="3"/>
        <v>124377.5</v>
      </c>
      <c r="T54" cm="1">
        <f t="array" ref="T54">IF(OR(B54="MAL ALIMI", B54="ÜRETİM GİRİŞ"), MIN(I54, MAX(0, I54 + SUM(SUMIFS($I$1:I53, $C$1:C53, C54, $B$1:B53, {"MAL ALIMI","ÜRETİM GİRİŞ"})) - VLOOKUP(C54, 'STOK RAPORU'!$C$2:$I$1000, 4, 0))), 0)</f>
        <v>5.9476287262872614</v>
      </c>
      <c r="U54" s="22">
        <f t="shared" si="0"/>
        <v>1070.573170731707</v>
      </c>
      <c r="V54">
        <f t="shared" si="1"/>
        <v>1800</v>
      </c>
      <c r="W54" s="22">
        <f t="shared" si="2"/>
        <v>729.42682926829298</v>
      </c>
    </row>
    <row r="55" spans="1:23" hidden="1" x14ac:dyDescent="0.25">
      <c r="A55" s="3">
        <v>45946</v>
      </c>
      <c r="B55" s="3" t="s">
        <v>298</v>
      </c>
      <c r="C55" s="4" t="s">
        <v>131</v>
      </c>
      <c r="D55" s="4"/>
      <c r="E55" s="4" t="s">
        <v>855</v>
      </c>
      <c r="F55" s="4" t="s">
        <v>666</v>
      </c>
      <c r="G55" s="4" t="s">
        <v>667</v>
      </c>
      <c r="H55" s="4" t="s">
        <v>304</v>
      </c>
      <c r="I55" s="4">
        <v>25</v>
      </c>
      <c r="J55" s="21">
        <v>125</v>
      </c>
      <c r="K55" s="21">
        <v>0</v>
      </c>
      <c r="L55" s="5">
        <v>3125</v>
      </c>
      <c r="M55" s="4"/>
      <c r="N55" s="4">
        <v>25</v>
      </c>
      <c r="O55" s="5"/>
      <c r="P55" s="5">
        <v>125</v>
      </c>
      <c r="Q55" s="21">
        <v>0</v>
      </c>
      <c r="R55" s="21">
        <v>0</v>
      </c>
      <c r="S55" s="5">
        <f t="shared" si="3"/>
        <v>124377.5</v>
      </c>
      <c r="T55" cm="1">
        <f t="array" ref="T55">IF(OR(B55="MAL ALIMI", B55="ÜRETİM GİRİŞ"), MIN(I55, MAX(0, I55 + SUM(SUMIFS($I$1:I54, $C$1:C54, C55, $B$1:B54, {"MAL ALIMI","ÜRETİM GİRİŞ"})) - VLOOKUP(C55, 'STOK RAPORU'!$C$2:$I$1000, 4, 0))), 0)</f>
        <v>3.6180285714285638</v>
      </c>
      <c r="U55" s="22">
        <f t="shared" si="0"/>
        <v>452.25357142857047</v>
      </c>
      <c r="V55">
        <f t="shared" si="1"/>
        <v>3125</v>
      </c>
      <c r="W55" s="22">
        <f t="shared" si="2"/>
        <v>2672.7464285714295</v>
      </c>
    </row>
    <row r="56" spans="1:23" hidden="1" x14ac:dyDescent="0.25">
      <c r="A56" s="3">
        <v>45946</v>
      </c>
      <c r="B56" s="3" t="s">
        <v>298</v>
      </c>
      <c r="C56" s="4" t="s">
        <v>92</v>
      </c>
      <c r="D56" s="4"/>
      <c r="E56" s="4" t="s">
        <v>855</v>
      </c>
      <c r="F56" s="4" t="s">
        <v>666</v>
      </c>
      <c r="G56" s="4" t="s">
        <v>667</v>
      </c>
      <c r="H56" s="4" t="s">
        <v>304</v>
      </c>
      <c r="I56" s="4">
        <v>25</v>
      </c>
      <c r="J56" s="21">
        <v>200</v>
      </c>
      <c r="K56" s="21">
        <v>0</v>
      </c>
      <c r="L56" s="5">
        <v>5000</v>
      </c>
      <c r="M56" s="4"/>
      <c r="N56" s="4">
        <v>25</v>
      </c>
      <c r="O56" s="5"/>
      <c r="P56" s="5">
        <v>200</v>
      </c>
      <c r="Q56" s="21">
        <v>0</v>
      </c>
      <c r="R56" s="21">
        <v>0</v>
      </c>
      <c r="S56" s="5">
        <f t="shared" si="3"/>
        <v>124377.5</v>
      </c>
      <c r="T56" cm="1">
        <f t="array" ref="T56">IF(OR(B56="MAL ALIMI", B56="ÜRETİM GİRİŞ"), MIN(I56, MAX(0, I56 + SUM(SUMIFS($I$1:I55, $C$1:C55, C56, $B$1:B55, {"MAL ALIMI","ÜRETİM GİRİŞ"})) - VLOOKUP(C56, 'STOK RAPORU'!$C$2:$I$1000, 4, 0))), 0)</f>
        <v>0</v>
      </c>
      <c r="U56" s="22">
        <f t="shared" si="0"/>
        <v>0</v>
      </c>
      <c r="V56">
        <f t="shared" si="1"/>
        <v>5000</v>
      </c>
      <c r="W56" s="22">
        <f t="shared" si="2"/>
        <v>5000</v>
      </c>
    </row>
    <row r="57" spans="1:23" hidden="1" x14ac:dyDescent="0.25">
      <c r="A57" s="3">
        <v>45946</v>
      </c>
      <c r="B57" s="3" t="s">
        <v>298</v>
      </c>
      <c r="C57" s="4" t="s">
        <v>91</v>
      </c>
      <c r="D57" s="4"/>
      <c r="E57" s="4" t="s">
        <v>855</v>
      </c>
      <c r="F57" s="4" t="s">
        <v>666</v>
      </c>
      <c r="G57" s="4" t="s">
        <v>667</v>
      </c>
      <c r="H57" s="4" t="s">
        <v>304</v>
      </c>
      <c r="I57" s="4">
        <v>10</v>
      </c>
      <c r="J57" s="21">
        <v>420</v>
      </c>
      <c r="K57" s="21">
        <v>0</v>
      </c>
      <c r="L57" s="5">
        <v>4200</v>
      </c>
      <c r="M57" s="4"/>
      <c r="N57" s="4">
        <v>10</v>
      </c>
      <c r="O57" s="5"/>
      <c r="P57" s="5">
        <v>420</v>
      </c>
      <c r="Q57" s="21">
        <v>0</v>
      </c>
      <c r="R57" s="21">
        <v>0</v>
      </c>
      <c r="S57" s="5">
        <f t="shared" si="3"/>
        <v>124377.5</v>
      </c>
      <c r="T57" cm="1">
        <f t="array" ref="T57">IF(OR(B57="MAL ALIMI", B57="ÜRETİM GİRİŞ"), MIN(I57, MAX(0, I57 + SUM(SUMIFS($I$1:I56, $C$1:C56, C57, $B$1:B56, {"MAL ALIMI","ÜRETİM GİRİŞ"})) - VLOOKUP(C57, 'STOK RAPORU'!$C$2:$I$1000, 4, 0))), 0)</f>
        <v>0</v>
      </c>
      <c r="U57" s="22">
        <f t="shared" si="0"/>
        <v>0</v>
      </c>
      <c r="V57">
        <f t="shared" si="1"/>
        <v>4200</v>
      </c>
      <c r="W57" s="22">
        <f t="shared" si="2"/>
        <v>4200</v>
      </c>
    </row>
    <row r="58" spans="1:23" hidden="1" x14ac:dyDescent="0.25">
      <c r="A58" s="3">
        <v>45946</v>
      </c>
      <c r="B58" s="3" t="s">
        <v>298</v>
      </c>
      <c r="C58" s="4" t="s">
        <v>132</v>
      </c>
      <c r="D58" s="4"/>
      <c r="E58" s="4" t="s">
        <v>855</v>
      </c>
      <c r="F58" s="4" t="s">
        <v>666</v>
      </c>
      <c r="G58" s="4" t="s">
        <v>667</v>
      </c>
      <c r="H58" s="4" t="s">
        <v>304</v>
      </c>
      <c r="I58" s="4">
        <v>25</v>
      </c>
      <c r="J58" s="21">
        <v>250</v>
      </c>
      <c r="K58" s="21">
        <v>0</v>
      </c>
      <c r="L58" s="5">
        <v>6250</v>
      </c>
      <c r="M58" s="4"/>
      <c r="N58" s="4">
        <v>25</v>
      </c>
      <c r="O58" s="5"/>
      <c r="P58" s="5">
        <v>250</v>
      </c>
      <c r="Q58" s="21">
        <v>0</v>
      </c>
      <c r="R58" s="21">
        <v>0</v>
      </c>
      <c r="S58" s="5">
        <f t="shared" si="3"/>
        <v>124377.5</v>
      </c>
      <c r="T58" cm="1">
        <f t="array" ref="T58">IF(OR(B58="MAL ALIMI", B58="ÜRETİM GİRİŞ"), MIN(I58, MAX(0, I58 + SUM(SUMIFS($I$1:I57, $C$1:C57, C58, $B$1:B57, {"MAL ALIMI","ÜRETİM GİRİŞ"})) - VLOOKUP(C58, 'STOK RAPORU'!$C$2:$I$1000, 4, 0))), 0)</f>
        <v>0</v>
      </c>
      <c r="U58" s="22">
        <f t="shared" si="0"/>
        <v>0</v>
      </c>
      <c r="V58">
        <f t="shared" si="1"/>
        <v>6250</v>
      </c>
      <c r="W58" s="22">
        <f t="shared" si="2"/>
        <v>6250</v>
      </c>
    </row>
    <row r="59" spans="1:23" hidden="1" x14ac:dyDescent="0.25">
      <c r="A59" s="3">
        <v>45946</v>
      </c>
      <c r="B59" s="3" t="s">
        <v>298</v>
      </c>
      <c r="C59" s="4" t="s">
        <v>96</v>
      </c>
      <c r="D59" s="4"/>
      <c r="E59" s="4" t="s">
        <v>855</v>
      </c>
      <c r="F59" s="4" t="s">
        <v>666</v>
      </c>
      <c r="G59" s="4" t="s">
        <v>667</v>
      </c>
      <c r="H59" s="4" t="s">
        <v>304</v>
      </c>
      <c r="I59" s="4">
        <v>25</v>
      </c>
      <c r="J59" s="21">
        <v>180</v>
      </c>
      <c r="K59" s="21">
        <v>0</v>
      </c>
      <c r="L59" s="5">
        <v>4500</v>
      </c>
      <c r="M59" s="4"/>
      <c r="N59" s="4">
        <v>25</v>
      </c>
      <c r="O59" s="5"/>
      <c r="P59" s="5">
        <v>180</v>
      </c>
      <c r="Q59" s="21">
        <v>0</v>
      </c>
      <c r="R59" s="21">
        <v>0</v>
      </c>
      <c r="S59" s="5">
        <f t="shared" si="3"/>
        <v>124377.5</v>
      </c>
      <c r="T59" cm="1">
        <f t="array" ref="T59">IF(OR(B59="MAL ALIMI", B59="ÜRETİM GİRİŞ"), MIN(I59, MAX(0, I59 + SUM(SUMIFS($I$1:I58, $C$1:C58, C59, $B$1:B58, {"MAL ALIMI","ÜRETİM GİRİŞ"})) - VLOOKUP(C59, 'STOK RAPORU'!$C$2:$I$1000, 4, 0))), 0)</f>
        <v>0</v>
      </c>
      <c r="U59" s="22">
        <f t="shared" si="0"/>
        <v>0</v>
      </c>
      <c r="V59">
        <f t="shared" si="1"/>
        <v>4500</v>
      </c>
      <c r="W59" s="22">
        <f t="shared" si="2"/>
        <v>4500</v>
      </c>
    </row>
    <row r="60" spans="1:23" hidden="1" x14ac:dyDescent="0.25">
      <c r="A60" s="3">
        <v>45946</v>
      </c>
      <c r="B60" s="3" t="s">
        <v>298</v>
      </c>
      <c r="C60" s="4" t="s">
        <v>3167</v>
      </c>
      <c r="D60" s="4"/>
      <c r="E60" s="4" t="s">
        <v>855</v>
      </c>
      <c r="F60" s="4" t="s">
        <v>666</v>
      </c>
      <c r="G60" s="4" t="s">
        <v>667</v>
      </c>
      <c r="H60" s="4" t="s">
        <v>304</v>
      </c>
      <c r="I60" s="4">
        <v>25</v>
      </c>
      <c r="J60" s="21">
        <v>160</v>
      </c>
      <c r="K60" s="21">
        <v>0</v>
      </c>
      <c r="L60" s="5">
        <v>4000</v>
      </c>
      <c r="M60" s="4"/>
      <c r="N60" s="4">
        <v>25</v>
      </c>
      <c r="O60" s="5"/>
      <c r="P60" s="5">
        <v>160</v>
      </c>
      <c r="Q60" s="21">
        <v>0</v>
      </c>
      <c r="R60" s="21">
        <v>0</v>
      </c>
      <c r="S60" s="5">
        <f t="shared" si="3"/>
        <v>124377.5</v>
      </c>
      <c r="T60" cm="1">
        <f t="array" ref="T60">IF(OR(B60="MAL ALIMI", B60="ÜRETİM GİRİŞ"), MIN(I60, MAX(0, I60 + SUM(SUMIFS($I$1:I59, $C$1:C59, C60, $B$1:B59, {"MAL ALIMI","ÜRETİM GİRİŞ"})) - VLOOKUP(C60, 'STOK RAPORU'!$C$2:$I$1000, 4, 0))), 0)</f>
        <v>19.365094594594595</v>
      </c>
      <c r="U60" s="22">
        <f t="shared" si="0"/>
        <v>3098.4151351351352</v>
      </c>
      <c r="V60">
        <f t="shared" si="1"/>
        <v>4000</v>
      </c>
      <c r="W60" s="22">
        <f t="shared" si="2"/>
        <v>901.58486486486481</v>
      </c>
    </row>
    <row r="61" spans="1:23" hidden="1" x14ac:dyDescent="0.25">
      <c r="A61" s="3">
        <v>45946</v>
      </c>
      <c r="B61" s="3" t="s">
        <v>298</v>
      </c>
      <c r="C61" s="4" t="s">
        <v>133</v>
      </c>
      <c r="D61" s="4"/>
      <c r="E61" s="4" t="s">
        <v>855</v>
      </c>
      <c r="F61" s="4" t="s">
        <v>666</v>
      </c>
      <c r="G61" s="4" t="s">
        <v>667</v>
      </c>
      <c r="H61" s="4" t="s">
        <v>304</v>
      </c>
      <c r="I61" s="4">
        <v>25</v>
      </c>
      <c r="J61" s="21">
        <v>180</v>
      </c>
      <c r="K61" s="21">
        <v>0</v>
      </c>
      <c r="L61" s="5">
        <v>4500</v>
      </c>
      <c r="M61" s="4"/>
      <c r="N61" s="4">
        <v>25</v>
      </c>
      <c r="O61" s="5"/>
      <c r="P61" s="5">
        <v>180</v>
      </c>
      <c r="Q61" s="21">
        <v>0</v>
      </c>
      <c r="R61" s="21">
        <v>0</v>
      </c>
      <c r="S61" s="5">
        <f t="shared" si="3"/>
        <v>124377.5</v>
      </c>
      <c r="T61" cm="1">
        <f t="array" ref="T61">IF(OR(B61="MAL ALIMI", B61="ÜRETİM GİRİŞ"), MIN(I61, MAX(0, I61 + SUM(SUMIFS($I$1:I60, $C$1:C60, C61, $B$1:B60, {"MAL ALIMI","ÜRETİM GİRİŞ"})) - VLOOKUP(C61, 'STOK RAPORU'!$C$2:$I$1000, 4, 0))), 0)</f>
        <v>0</v>
      </c>
      <c r="U61" s="22">
        <f t="shared" si="0"/>
        <v>0</v>
      </c>
      <c r="V61">
        <f t="shared" si="1"/>
        <v>4500</v>
      </c>
      <c r="W61" s="22">
        <f t="shared" si="2"/>
        <v>4500</v>
      </c>
    </row>
    <row r="62" spans="1:23" hidden="1" x14ac:dyDescent="0.25">
      <c r="A62" s="3">
        <v>45946</v>
      </c>
      <c r="B62" s="3" t="s">
        <v>298</v>
      </c>
      <c r="C62" s="4" t="s">
        <v>134</v>
      </c>
      <c r="D62" s="4"/>
      <c r="E62" s="4" t="s">
        <v>855</v>
      </c>
      <c r="F62" s="4" t="s">
        <v>666</v>
      </c>
      <c r="G62" s="4" t="s">
        <v>667</v>
      </c>
      <c r="H62" s="4" t="s">
        <v>304</v>
      </c>
      <c r="I62" s="4">
        <v>25</v>
      </c>
      <c r="J62" s="21">
        <v>150</v>
      </c>
      <c r="K62" s="21">
        <v>0</v>
      </c>
      <c r="L62" s="5">
        <v>3750</v>
      </c>
      <c r="M62" s="4"/>
      <c r="N62" s="4">
        <v>25</v>
      </c>
      <c r="O62" s="5"/>
      <c r="P62" s="5">
        <v>150</v>
      </c>
      <c r="Q62" s="21">
        <v>0</v>
      </c>
      <c r="R62" s="21">
        <v>0</v>
      </c>
      <c r="S62" s="5">
        <f t="shared" si="3"/>
        <v>124377.5</v>
      </c>
      <c r="T62" cm="1">
        <f t="array" ref="T62">IF(OR(B62="MAL ALIMI", B62="ÜRETİM GİRİŞ"), MIN(I62, MAX(0, I62 + SUM(SUMIFS($I$1:I61, $C$1:C61, C62, $B$1:B61, {"MAL ALIMI","ÜRETİM GİRİŞ"})) - VLOOKUP(C62, 'STOK RAPORU'!$C$2:$I$1000, 4, 0))), 0)</f>
        <v>17.893000000000004</v>
      </c>
      <c r="U62" s="22">
        <f t="shared" si="0"/>
        <v>2683.9500000000007</v>
      </c>
      <c r="V62">
        <f t="shared" si="1"/>
        <v>3750</v>
      </c>
      <c r="W62" s="22">
        <f t="shared" si="2"/>
        <v>1066.0499999999993</v>
      </c>
    </row>
    <row r="63" spans="1:23" hidden="1" x14ac:dyDescent="0.25">
      <c r="A63" s="3">
        <v>45946</v>
      </c>
      <c r="B63" s="3" t="s">
        <v>298</v>
      </c>
      <c r="C63" s="4" t="s">
        <v>136</v>
      </c>
      <c r="D63" s="4"/>
      <c r="E63" s="4" t="s">
        <v>855</v>
      </c>
      <c r="F63" s="4" t="s">
        <v>666</v>
      </c>
      <c r="G63" s="4" t="s">
        <v>667</v>
      </c>
      <c r="H63" s="4" t="s">
        <v>304</v>
      </c>
      <c r="I63" s="4">
        <v>25</v>
      </c>
      <c r="J63" s="21">
        <v>70</v>
      </c>
      <c r="K63" s="21">
        <v>0</v>
      </c>
      <c r="L63" s="5">
        <v>1750</v>
      </c>
      <c r="M63" s="4"/>
      <c r="N63" s="4">
        <v>25</v>
      </c>
      <c r="O63" s="5"/>
      <c r="P63" s="5">
        <v>70</v>
      </c>
      <c r="Q63" s="21">
        <v>0</v>
      </c>
      <c r="R63" s="21">
        <v>0</v>
      </c>
      <c r="S63" s="5">
        <f t="shared" si="3"/>
        <v>124377.5</v>
      </c>
      <c r="T63" cm="1">
        <f t="array" ref="T63">IF(OR(B63="MAL ALIMI", B63="ÜRETİM GİRİŞ"), MIN(I63, MAX(0, I63 + SUM(SUMIFS($I$1:I62, $C$1:C62, C63, $B$1:B62, {"MAL ALIMI","ÜRETİM GİRİŞ"})) - VLOOKUP(C63, 'STOK RAPORU'!$C$2:$I$1000, 4, 0))), 0)</f>
        <v>22.25</v>
      </c>
      <c r="U63" s="22">
        <f t="shared" si="0"/>
        <v>1557.5</v>
      </c>
      <c r="V63">
        <f t="shared" si="1"/>
        <v>1750</v>
      </c>
      <c r="W63" s="22">
        <f t="shared" si="2"/>
        <v>192.5</v>
      </c>
    </row>
    <row r="64" spans="1:23" hidden="1" x14ac:dyDescent="0.25">
      <c r="A64" s="3">
        <v>45946</v>
      </c>
      <c r="B64" s="3" t="s">
        <v>298</v>
      </c>
      <c r="C64" s="4" t="s">
        <v>137</v>
      </c>
      <c r="D64" s="4"/>
      <c r="E64" s="4" t="s">
        <v>855</v>
      </c>
      <c r="F64" s="4" t="s">
        <v>666</v>
      </c>
      <c r="G64" s="4" t="s">
        <v>667</v>
      </c>
      <c r="H64" s="4" t="s">
        <v>304</v>
      </c>
      <c r="I64" s="4">
        <v>25</v>
      </c>
      <c r="J64" s="21">
        <v>80</v>
      </c>
      <c r="K64" s="21">
        <v>0</v>
      </c>
      <c r="L64" s="5">
        <v>2000</v>
      </c>
      <c r="M64" s="4"/>
      <c r="N64" s="4">
        <v>25</v>
      </c>
      <c r="O64" s="5"/>
      <c r="P64" s="5">
        <v>80</v>
      </c>
      <c r="Q64" s="21">
        <v>0</v>
      </c>
      <c r="R64" s="21">
        <v>0</v>
      </c>
      <c r="S64" s="5">
        <f t="shared" si="3"/>
        <v>124377.5</v>
      </c>
      <c r="T64" cm="1">
        <f t="array" ref="T64">IF(OR(B64="MAL ALIMI", B64="ÜRETİM GİRİŞ"), MIN(I64, MAX(0, I64 + SUM(SUMIFS($I$1:I63, $C$1:C63, C64, $B$1:B63, {"MAL ALIMI","ÜRETİM GİRİŞ"})) - VLOOKUP(C64, 'STOK RAPORU'!$C$2:$I$1000, 4, 0))), 0)</f>
        <v>12.332666666666658</v>
      </c>
      <c r="U64" s="22">
        <f t="shared" si="0"/>
        <v>986.61333333333255</v>
      </c>
      <c r="V64">
        <f t="shared" si="1"/>
        <v>2000</v>
      </c>
      <c r="W64" s="22">
        <f t="shared" si="2"/>
        <v>1013.3866666666675</v>
      </c>
    </row>
    <row r="65" spans="1:23" hidden="1" x14ac:dyDescent="0.25">
      <c r="A65" s="3">
        <v>45946</v>
      </c>
      <c r="B65" s="3" t="s">
        <v>298</v>
      </c>
      <c r="C65" s="4" t="s">
        <v>139</v>
      </c>
      <c r="D65" s="4"/>
      <c r="E65" s="4" t="s">
        <v>855</v>
      </c>
      <c r="F65" s="4" t="s">
        <v>666</v>
      </c>
      <c r="G65" s="4" t="s">
        <v>667</v>
      </c>
      <c r="H65" s="4" t="s">
        <v>304</v>
      </c>
      <c r="I65" s="4">
        <v>25</v>
      </c>
      <c r="J65" s="21">
        <v>115</v>
      </c>
      <c r="K65" s="21">
        <v>0</v>
      </c>
      <c r="L65" s="5">
        <v>2875</v>
      </c>
      <c r="M65" s="4"/>
      <c r="N65" s="4">
        <v>25</v>
      </c>
      <c r="O65" s="5"/>
      <c r="P65" s="5">
        <v>115</v>
      </c>
      <c r="Q65" s="21">
        <v>0</v>
      </c>
      <c r="R65" s="21">
        <v>0</v>
      </c>
      <c r="S65" s="5">
        <f t="shared" si="3"/>
        <v>124377.5</v>
      </c>
      <c r="T65" cm="1">
        <f t="array" ref="T65">IF(OR(B65="MAL ALIMI", B65="ÜRETİM GİRİŞ"), MIN(I65, MAX(0, I65 + SUM(SUMIFS($I$1:I64, $C$1:C64, C65, $B$1:B64, {"MAL ALIMI","ÜRETİM GİRİŞ"})) - VLOOKUP(C65, 'STOK RAPORU'!$C$2:$I$1000, 4, 0))), 0)</f>
        <v>25</v>
      </c>
      <c r="U65" s="22">
        <f t="shared" si="0"/>
        <v>2875</v>
      </c>
      <c r="V65">
        <f t="shared" si="1"/>
        <v>2875</v>
      </c>
      <c r="W65" s="22">
        <f t="shared" si="2"/>
        <v>0</v>
      </c>
    </row>
    <row r="66" spans="1:23" hidden="1" x14ac:dyDescent="0.25">
      <c r="A66" s="3">
        <v>45946</v>
      </c>
      <c r="B66" s="3" t="s">
        <v>298</v>
      </c>
      <c r="C66" s="4" t="s">
        <v>89</v>
      </c>
      <c r="D66" s="4"/>
      <c r="E66" s="4" t="s">
        <v>855</v>
      </c>
      <c r="F66" s="4" t="s">
        <v>666</v>
      </c>
      <c r="G66" s="4" t="s">
        <v>667</v>
      </c>
      <c r="H66" s="4" t="s">
        <v>304</v>
      </c>
      <c r="I66" s="4">
        <v>5</v>
      </c>
      <c r="J66" s="21">
        <v>440</v>
      </c>
      <c r="K66" s="21">
        <v>0</v>
      </c>
      <c r="L66" s="5">
        <v>2200</v>
      </c>
      <c r="M66" s="4"/>
      <c r="N66" s="4">
        <v>5</v>
      </c>
      <c r="O66" s="5"/>
      <c r="P66" s="5">
        <v>440</v>
      </c>
      <c r="Q66" s="21">
        <v>0</v>
      </c>
      <c r="R66" s="21">
        <v>0</v>
      </c>
      <c r="S66" s="5">
        <f t="shared" si="3"/>
        <v>124377.5</v>
      </c>
      <c r="T66" cm="1">
        <f t="array" ref="T66">IF(OR(B66="MAL ALIMI", B66="ÜRETİM GİRİŞ"), MIN(I66, MAX(0, I66 + SUM(SUMIFS($I$1:I65, $C$1:C65, C66, $B$1:B65, {"MAL ALIMI","ÜRETİM GİRİŞ"})) - VLOOKUP(C66, 'STOK RAPORU'!$C$2:$I$1000, 4, 0))), 0)</f>
        <v>0</v>
      </c>
      <c r="U66" s="22">
        <f t="shared" si="0"/>
        <v>0</v>
      </c>
      <c r="V66">
        <f t="shared" si="1"/>
        <v>2200</v>
      </c>
      <c r="W66" s="22">
        <f t="shared" si="2"/>
        <v>2200</v>
      </c>
    </row>
    <row r="67" spans="1:23" hidden="1" x14ac:dyDescent="0.25">
      <c r="A67" s="3">
        <v>45946</v>
      </c>
      <c r="B67" s="3" t="s">
        <v>298</v>
      </c>
      <c r="C67" s="4" t="s">
        <v>76</v>
      </c>
      <c r="D67" s="4"/>
      <c r="E67" s="4" t="s">
        <v>855</v>
      </c>
      <c r="F67" s="4" t="s">
        <v>666</v>
      </c>
      <c r="G67" s="4" t="s">
        <v>667</v>
      </c>
      <c r="H67" s="4" t="s">
        <v>304</v>
      </c>
      <c r="I67" s="4">
        <v>5</v>
      </c>
      <c r="J67" s="21">
        <v>190</v>
      </c>
      <c r="K67" s="21">
        <v>0</v>
      </c>
      <c r="L67" s="5">
        <v>950</v>
      </c>
      <c r="M67" s="4"/>
      <c r="N67" s="4">
        <v>5</v>
      </c>
      <c r="O67" s="5"/>
      <c r="P67" s="5">
        <v>190</v>
      </c>
      <c r="Q67" s="21">
        <v>0</v>
      </c>
      <c r="R67" s="21">
        <v>0</v>
      </c>
      <c r="S67" s="5">
        <f t="shared" si="3"/>
        <v>124377.5</v>
      </c>
      <c r="T67" cm="1">
        <f t="array" ref="T67">IF(OR(B67="MAL ALIMI", B67="ÜRETİM GİRİŞ"), MIN(I67, MAX(0, I67 + SUM(SUMIFS($I$1:I66, $C$1:C66, C67, $B$1:B66, {"MAL ALIMI","ÜRETİM GİRİŞ"})) - VLOOKUP(C67, 'STOK RAPORU'!$C$2:$I$1000, 4, 0))), 0)</f>
        <v>3.3939999999999997</v>
      </c>
      <c r="U67" s="22">
        <f t="shared" ref="U67:U130" si="4">T67*J67</f>
        <v>644.8599999999999</v>
      </c>
      <c r="V67">
        <f t="shared" ref="V67:V130" si="5">IF(OR(B67="MAL ALIMI", B67="ÜRETİM GİRİŞ"), I67 * J67, 0)</f>
        <v>950</v>
      </c>
      <c r="W67" s="22">
        <f t="shared" ref="W67:W130" si="6">V67-U67</f>
        <v>305.1400000000001</v>
      </c>
    </row>
    <row r="68" spans="1:23" hidden="1" x14ac:dyDescent="0.25">
      <c r="A68" s="3">
        <v>45946</v>
      </c>
      <c r="B68" s="3" t="s">
        <v>298</v>
      </c>
      <c r="C68" s="4" t="s">
        <v>98</v>
      </c>
      <c r="D68" s="4"/>
      <c r="E68" s="4" t="s">
        <v>855</v>
      </c>
      <c r="F68" s="4" t="s">
        <v>666</v>
      </c>
      <c r="G68" s="4" t="s">
        <v>667</v>
      </c>
      <c r="H68" s="4" t="s">
        <v>304</v>
      </c>
      <c r="I68" s="4">
        <v>5</v>
      </c>
      <c r="J68" s="21">
        <v>180</v>
      </c>
      <c r="K68" s="21">
        <v>0</v>
      </c>
      <c r="L68" s="5">
        <v>900</v>
      </c>
      <c r="M68" s="4"/>
      <c r="N68" s="4">
        <v>5</v>
      </c>
      <c r="O68" s="5"/>
      <c r="P68" s="5">
        <v>180</v>
      </c>
      <c r="Q68" s="21">
        <v>0</v>
      </c>
      <c r="R68" s="21">
        <v>0</v>
      </c>
      <c r="S68" s="5">
        <f t="shared" ref="S68:S131" si="7">S67+Q68-R68</f>
        <v>124377.5</v>
      </c>
      <c r="T68" cm="1">
        <f t="array" ref="T68">IF(OR(B68="MAL ALIMI", B68="ÜRETİM GİRİŞ"), MIN(I68, MAX(0, I68 + SUM(SUMIFS($I$1:I67, $C$1:C67, C68, $B$1:B67, {"MAL ALIMI","ÜRETİM GİRİŞ"})) - VLOOKUP(C68, 'STOK RAPORU'!$C$2:$I$1000, 4, 0))), 0)</f>
        <v>0</v>
      </c>
      <c r="U68" s="22">
        <f t="shared" si="4"/>
        <v>0</v>
      </c>
      <c r="V68">
        <f t="shared" si="5"/>
        <v>900</v>
      </c>
      <c r="W68" s="22">
        <f t="shared" si="6"/>
        <v>900</v>
      </c>
    </row>
    <row r="69" spans="1:23" hidden="1" x14ac:dyDescent="0.25">
      <c r="A69" s="3">
        <v>45946</v>
      </c>
      <c r="B69" s="3" t="s">
        <v>298</v>
      </c>
      <c r="C69" s="4" t="s">
        <v>140</v>
      </c>
      <c r="D69" s="4"/>
      <c r="E69" s="4" t="s">
        <v>855</v>
      </c>
      <c r="F69" s="4" t="s">
        <v>666</v>
      </c>
      <c r="G69" s="4" t="s">
        <v>667</v>
      </c>
      <c r="H69" s="4" t="s">
        <v>304</v>
      </c>
      <c r="I69" s="4">
        <v>10</v>
      </c>
      <c r="J69" s="21">
        <v>125</v>
      </c>
      <c r="K69" s="21">
        <v>0</v>
      </c>
      <c r="L69" s="5">
        <v>1250</v>
      </c>
      <c r="M69" s="4"/>
      <c r="N69" s="4">
        <v>10</v>
      </c>
      <c r="O69" s="5"/>
      <c r="P69" s="5">
        <v>125</v>
      </c>
      <c r="Q69" s="21">
        <v>0</v>
      </c>
      <c r="R69" s="21">
        <v>0</v>
      </c>
      <c r="S69" s="5">
        <f t="shared" si="7"/>
        <v>124377.5</v>
      </c>
      <c r="T69" cm="1">
        <f t="array" ref="T69">IF(OR(B69="MAL ALIMI", B69="ÜRETİM GİRİŞ"), MIN(I69, MAX(0, I69 + SUM(SUMIFS($I$1:I68, $C$1:C68, C69, $B$1:B68, {"MAL ALIMI","ÜRETİM GİRİŞ"})) - VLOOKUP(C69, 'STOK RAPORU'!$C$2:$I$1000, 4, 0))), 0)</f>
        <v>0</v>
      </c>
      <c r="U69" s="22">
        <f t="shared" si="4"/>
        <v>0</v>
      </c>
      <c r="V69">
        <f t="shared" si="5"/>
        <v>1250</v>
      </c>
      <c r="W69" s="22">
        <f t="shared" si="6"/>
        <v>1250</v>
      </c>
    </row>
    <row r="70" spans="1:23" hidden="1" x14ac:dyDescent="0.25">
      <c r="A70" s="3">
        <v>45946</v>
      </c>
      <c r="B70" s="3" t="s">
        <v>298</v>
      </c>
      <c r="C70" s="4" t="s">
        <v>141</v>
      </c>
      <c r="D70" s="4"/>
      <c r="E70" s="4" t="s">
        <v>855</v>
      </c>
      <c r="F70" s="4" t="s">
        <v>666</v>
      </c>
      <c r="G70" s="4" t="s">
        <v>667</v>
      </c>
      <c r="H70" s="4" t="s">
        <v>304</v>
      </c>
      <c r="I70" s="4">
        <v>10</v>
      </c>
      <c r="J70" s="21">
        <v>70</v>
      </c>
      <c r="K70" s="21">
        <v>0</v>
      </c>
      <c r="L70" s="5">
        <v>700</v>
      </c>
      <c r="M70" s="4"/>
      <c r="N70" s="4">
        <v>10</v>
      </c>
      <c r="O70" s="5"/>
      <c r="P70" s="5">
        <v>70</v>
      </c>
      <c r="Q70" s="21">
        <v>0</v>
      </c>
      <c r="R70" s="21">
        <v>0</v>
      </c>
      <c r="S70" s="5">
        <f t="shared" si="7"/>
        <v>124377.5</v>
      </c>
      <c r="T70" cm="1">
        <f t="array" ref="T70">IF(OR(B70="MAL ALIMI", B70="ÜRETİM GİRİŞ"), MIN(I70, MAX(0, I70 + SUM(SUMIFS($I$1:I69, $C$1:C69, C70, $B$1:B69, {"MAL ALIMI","ÜRETİM GİRİŞ"})) - VLOOKUP(C70, 'STOK RAPORU'!$C$2:$I$1000, 4, 0))), 0)</f>
        <v>7.5902857142857147</v>
      </c>
      <c r="U70" s="22">
        <f t="shared" si="4"/>
        <v>531.32000000000005</v>
      </c>
      <c r="V70">
        <f t="shared" si="5"/>
        <v>700</v>
      </c>
      <c r="W70" s="22">
        <f t="shared" si="6"/>
        <v>168.67999999999995</v>
      </c>
    </row>
    <row r="71" spans="1:23" hidden="1" x14ac:dyDescent="0.25">
      <c r="A71" s="3">
        <v>45946</v>
      </c>
      <c r="B71" s="3" t="s">
        <v>298</v>
      </c>
      <c r="C71" s="4" t="s">
        <v>143</v>
      </c>
      <c r="D71" s="4"/>
      <c r="E71" s="4" t="s">
        <v>855</v>
      </c>
      <c r="F71" s="4" t="s">
        <v>666</v>
      </c>
      <c r="G71" s="4" t="s">
        <v>667</v>
      </c>
      <c r="H71" s="4" t="s">
        <v>304</v>
      </c>
      <c r="I71" s="4">
        <v>12</v>
      </c>
      <c r="J71" s="21">
        <v>42</v>
      </c>
      <c r="K71" s="21">
        <v>0</v>
      </c>
      <c r="L71" s="5">
        <v>504</v>
      </c>
      <c r="M71" s="4"/>
      <c r="N71" s="4">
        <v>12</v>
      </c>
      <c r="O71" s="5"/>
      <c r="P71" s="5">
        <v>42</v>
      </c>
      <c r="Q71" s="21">
        <v>0</v>
      </c>
      <c r="R71" s="21">
        <v>0</v>
      </c>
      <c r="S71" s="5">
        <f t="shared" si="7"/>
        <v>124377.5</v>
      </c>
      <c r="T71" cm="1">
        <f t="array" ref="T71">IF(OR(B71="MAL ALIMI", B71="ÜRETİM GİRİŞ"), MIN(I71, MAX(0, I71 + SUM(SUMIFS($I$1:I70, $C$1:C70, C71, $B$1:B70, {"MAL ALIMI","ÜRETİM GİRİŞ"})) - VLOOKUP(C71, 'STOK RAPORU'!$C$2:$I$1000, 4, 0))), 0)</f>
        <v>5</v>
      </c>
      <c r="U71" s="22">
        <f t="shared" si="4"/>
        <v>210</v>
      </c>
      <c r="V71">
        <f t="shared" si="5"/>
        <v>504</v>
      </c>
      <c r="W71" s="22">
        <f t="shared" si="6"/>
        <v>294</v>
      </c>
    </row>
    <row r="72" spans="1:23" hidden="1" x14ac:dyDescent="0.25">
      <c r="A72" s="3">
        <v>45946</v>
      </c>
      <c r="B72" s="3" t="s">
        <v>298</v>
      </c>
      <c r="C72" s="4" t="s">
        <v>145</v>
      </c>
      <c r="D72" s="4"/>
      <c r="E72" s="4" t="s">
        <v>855</v>
      </c>
      <c r="F72" s="4" t="s">
        <v>666</v>
      </c>
      <c r="G72" s="4" t="s">
        <v>667</v>
      </c>
      <c r="H72" s="4" t="s">
        <v>304</v>
      </c>
      <c r="I72" s="4">
        <v>24</v>
      </c>
      <c r="J72" s="21">
        <v>21</v>
      </c>
      <c r="K72" s="21">
        <v>0</v>
      </c>
      <c r="L72" s="5">
        <v>504</v>
      </c>
      <c r="M72" s="4"/>
      <c r="N72" s="4">
        <v>24</v>
      </c>
      <c r="O72" s="5"/>
      <c r="P72" s="5">
        <v>21</v>
      </c>
      <c r="Q72" s="21">
        <v>0</v>
      </c>
      <c r="R72" s="21">
        <v>0</v>
      </c>
      <c r="S72" s="5">
        <f t="shared" si="7"/>
        <v>124377.5</v>
      </c>
      <c r="T72" cm="1">
        <f t="array" ref="T72">IF(OR(B72="MAL ALIMI", B72="ÜRETİM GİRİŞ"), MIN(I72, MAX(0, I72 + SUM(SUMIFS($I$1:I71, $C$1:C71, C72, $B$1:B71, {"MAL ALIMI","ÜRETİM GİRİŞ"})) - VLOOKUP(C72, 'STOK RAPORU'!$C$2:$I$1000, 4, 0))), 0)</f>
        <v>18</v>
      </c>
      <c r="U72" s="22">
        <f t="shared" si="4"/>
        <v>378</v>
      </c>
      <c r="V72">
        <f t="shared" si="5"/>
        <v>504</v>
      </c>
      <c r="W72" s="22">
        <f t="shared" si="6"/>
        <v>126</v>
      </c>
    </row>
    <row r="73" spans="1:23" hidden="1" x14ac:dyDescent="0.25">
      <c r="A73" s="3">
        <v>45946</v>
      </c>
      <c r="B73" s="3" t="s">
        <v>298</v>
      </c>
      <c r="C73" s="4" t="s">
        <v>146</v>
      </c>
      <c r="D73" s="4"/>
      <c r="E73" s="4" t="s">
        <v>855</v>
      </c>
      <c r="F73" s="4" t="s">
        <v>666</v>
      </c>
      <c r="G73" s="4" t="s">
        <v>667</v>
      </c>
      <c r="H73" s="4" t="s">
        <v>304</v>
      </c>
      <c r="I73" s="4">
        <v>12</v>
      </c>
      <c r="J73" s="21">
        <v>40</v>
      </c>
      <c r="K73" s="21">
        <v>0</v>
      </c>
      <c r="L73" s="5">
        <v>480</v>
      </c>
      <c r="M73" s="4"/>
      <c r="N73" s="4">
        <v>12</v>
      </c>
      <c r="O73" s="5"/>
      <c r="P73" s="5">
        <v>40</v>
      </c>
      <c r="Q73" s="21">
        <v>0</v>
      </c>
      <c r="R73" s="21">
        <v>0</v>
      </c>
      <c r="S73" s="5">
        <f t="shared" si="7"/>
        <v>124377.5</v>
      </c>
      <c r="T73" cm="1">
        <f t="array" ref="T73">IF(OR(B73="MAL ALIMI", B73="ÜRETİM GİRİŞ"), MIN(I73, MAX(0, I73 + SUM(SUMIFS($I$1:I72, $C$1:C72, C73, $B$1:B72, {"MAL ALIMI","ÜRETİM GİRİŞ"})) - VLOOKUP(C73, 'STOK RAPORU'!$C$2:$I$1000, 4, 0))), 0)</f>
        <v>7</v>
      </c>
      <c r="U73" s="22">
        <f t="shared" si="4"/>
        <v>280</v>
      </c>
      <c r="V73">
        <f t="shared" si="5"/>
        <v>480</v>
      </c>
      <c r="W73" s="22">
        <f t="shared" si="6"/>
        <v>200</v>
      </c>
    </row>
    <row r="74" spans="1:23" hidden="1" x14ac:dyDescent="0.25">
      <c r="A74" s="3">
        <v>45946</v>
      </c>
      <c r="B74" s="3" t="s">
        <v>298</v>
      </c>
      <c r="C74" s="4" t="s">
        <v>147</v>
      </c>
      <c r="D74" s="4"/>
      <c r="E74" s="4" t="s">
        <v>855</v>
      </c>
      <c r="F74" s="4" t="s">
        <v>666</v>
      </c>
      <c r="G74" s="4" t="s">
        <v>667</v>
      </c>
      <c r="H74" s="4" t="s">
        <v>304</v>
      </c>
      <c r="I74" s="4">
        <v>24</v>
      </c>
      <c r="J74" s="21">
        <v>35</v>
      </c>
      <c r="K74" s="21">
        <v>0</v>
      </c>
      <c r="L74" s="5">
        <v>840</v>
      </c>
      <c r="M74" s="4"/>
      <c r="N74" s="4">
        <v>24</v>
      </c>
      <c r="O74" s="5"/>
      <c r="P74" s="5">
        <v>35</v>
      </c>
      <c r="Q74" s="21">
        <v>0</v>
      </c>
      <c r="R74" s="21">
        <v>0</v>
      </c>
      <c r="S74" s="5">
        <f t="shared" si="7"/>
        <v>124377.5</v>
      </c>
      <c r="T74" cm="1">
        <f t="array" ref="T74">IF(OR(B74="MAL ALIMI", B74="ÜRETİM GİRİŞ"), MIN(I74, MAX(0, I74 + SUM(SUMIFS($I$1:I73, $C$1:C73, C74, $B$1:B73, {"MAL ALIMI","ÜRETİM GİRİŞ"})) - VLOOKUP(C74, 'STOK RAPORU'!$C$2:$I$1000, 4, 0))), 0)</f>
        <v>14</v>
      </c>
      <c r="U74" s="22">
        <f t="shared" si="4"/>
        <v>490</v>
      </c>
      <c r="V74">
        <f t="shared" si="5"/>
        <v>840</v>
      </c>
      <c r="W74" s="22">
        <f t="shared" si="6"/>
        <v>350</v>
      </c>
    </row>
    <row r="75" spans="1:23" hidden="1" x14ac:dyDescent="0.25">
      <c r="A75" s="3">
        <v>45946</v>
      </c>
      <c r="B75" s="3" t="s">
        <v>298</v>
      </c>
      <c r="C75" s="4" t="s">
        <v>148</v>
      </c>
      <c r="D75" s="4"/>
      <c r="E75" s="4" t="s">
        <v>855</v>
      </c>
      <c r="F75" s="4" t="s">
        <v>666</v>
      </c>
      <c r="G75" s="4" t="s">
        <v>667</v>
      </c>
      <c r="H75" s="4" t="s">
        <v>304</v>
      </c>
      <c r="I75" s="4">
        <v>24</v>
      </c>
      <c r="J75" s="21">
        <v>35</v>
      </c>
      <c r="K75" s="21">
        <v>0</v>
      </c>
      <c r="L75" s="5">
        <v>840</v>
      </c>
      <c r="M75" s="4"/>
      <c r="N75" s="4">
        <v>24</v>
      </c>
      <c r="O75" s="5"/>
      <c r="P75" s="5">
        <v>35</v>
      </c>
      <c r="Q75" s="21">
        <v>0</v>
      </c>
      <c r="R75" s="21">
        <v>0</v>
      </c>
      <c r="S75" s="5">
        <f t="shared" si="7"/>
        <v>124377.5</v>
      </c>
      <c r="T75" cm="1">
        <f t="array" ref="T75">IF(OR(B75="MAL ALIMI", B75="ÜRETİM GİRİŞ"), MIN(I75, MAX(0, I75 + SUM(SUMIFS($I$1:I74, $C$1:C74, C75, $B$1:B74, {"MAL ALIMI","ÜRETİM GİRİŞ"})) - VLOOKUP(C75, 'STOK RAPORU'!$C$2:$I$1000, 4, 0))), 0)</f>
        <v>9</v>
      </c>
      <c r="U75" s="22">
        <f t="shared" si="4"/>
        <v>315</v>
      </c>
      <c r="V75">
        <f t="shared" si="5"/>
        <v>840</v>
      </c>
      <c r="W75" s="22">
        <f t="shared" si="6"/>
        <v>525</v>
      </c>
    </row>
    <row r="76" spans="1:23" hidden="1" x14ac:dyDescent="0.25">
      <c r="A76" s="3">
        <v>45946</v>
      </c>
      <c r="B76" s="3" t="s">
        <v>298</v>
      </c>
      <c r="C76" s="4" t="s">
        <v>149</v>
      </c>
      <c r="D76" s="4"/>
      <c r="E76" s="4" t="s">
        <v>855</v>
      </c>
      <c r="F76" s="4" t="s">
        <v>666</v>
      </c>
      <c r="G76" s="4" t="s">
        <v>667</v>
      </c>
      <c r="H76" s="4" t="s">
        <v>304</v>
      </c>
      <c r="I76" s="4">
        <v>24</v>
      </c>
      <c r="J76" s="21">
        <v>35</v>
      </c>
      <c r="K76" s="21">
        <v>0</v>
      </c>
      <c r="L76" s="5">
        <v>840</v>
      </c>
      <c r="M76" s="4"/>
      <c r="N76" s="4">
        <v>24</v>
      </c>
      <c r="O76" s="5"/>
      <c r="P76" s="5">
        <v>35</v>
      </c>
      <c r="Q76" s="21">
        <v>0</v>
      </c>
      <c r="R76" s="21">
        <v>0</v>
      </c>
      <c r="S76" s="5">
        <f t="shared" si="7"/>
        <v>124377.5</v>
      </c>
      <c r="T76" cm="1">
        <f t="array" ref="T76">IF(OR(B76="MAL ALIMI", B76="ÜRETİM GİRİŞ"), MIN(I76, MAX(0, I76 + SUM(SUMIFS($I$1:I75, $C$1:C75, C76, $B$1:B75, {"MAL ALIMI","ÜRETİM GİRİŞ"})) - VLOOKUP(C76, 'STOK RAPORU'!$C$2:$I$1000, 4, 0))), 0)</f>
        <v>1</v>
      </c>
      <c r="U76" s="22">
        <f t="shared" si="4"/>
        <v>35</v>
      </c>
      <c r="V76">
        <f t="shared" si="5"/>
        <v>840</v>
      </c>
      <c r="W76" s="22">
        <f t="shared" si="6"/>
        <v>805</v>
      </c>
    </row>
    <row r="77" spans="1:23" hidden="1" x14ac:dyDescent="0.25">
      <c r="A77" s="3">
        <v>45946</v>
      </c>
      <c r="B77" s="3" t="s">
        <v>298</v>
      </c>
      <c r="C77" s="4" t="s">
        <v>150</v>
      </c>
      <c r="D77" s="4"/>
      <c r="E77" s="4" t="s">
        <v>855</v>
      </c>
      <c r="F77" s="4" t="s">
        <v>666</v>
      </c>
      <c r="G77" s="4" t="s">
        <v>667</v>
      </c>
      <c r="H77" s="4" t="s">
        <v>304</v>
      </c>
      <c r="I77" s="4">
        <v>2</v>
      </c>
      <c r="J77" s="21">
        <v>550</v>
      </c>
      <c r="K77" s="21">
        <v>0</v>
      </c>
      <c r="L77" s="5">
        <v>1100</v>
      </c>
      <c r="M77" s="4"/>
      <c r="N77" s="4">
        <v>2</v>
      </c>
      <c r="O77" s="5"/>
      <c r="P77" s="5">
        <v>550</v>
      </c>
      <c r="Q77" s="21">
        <v>0</v>
      </c>
      <c r="R77" s="21">
        <v>0</v>
      </c>
      <c r="S77" s="5">
        <f t="shared" si="7"/>
        <v>124377.5</v>
      </c>
      <c r="T77" cm="1">
        <f t="array" ref="T77">IF(OR(B77="MAL ALIMI", B77="ÜRETİM GİRİŞ"), MIN(I77, MAX(0, I77 + SUM(SUMIFS($I$1:I76, $C$1:C76, C77, $B$1:B76, {"MAL ALIMI","ÜRETİM GİRİŞ"})) - VLOOKUP(C77, 'STOK RAPORU'!$C$2:$I$1000, 4, 0))), 0)</f>
        <v>1.85</v>
      </c>
      <c r="U77" s="22">
        <f t="shared" si="4"/>
        <v>1017.5</v>
      </c>
      <c r="V77">
        <f t="shared" si="5"/>
        <v>1100</v>
      </c>
      <c r="W77" s="22">
        <f t="shared" si="6"/>
        <v>82.5</v>
      </c>
    </row>
    <row r="78" spans="1:23" hidden="1" x14ac:dyDescent="0.25">
      <c r="A78" s="3">
        <v>45946</v>
      </c>
      <c r="B78" s="3" t="s">
        <v>298</v>
      </c>
      <c r="C78" s="4" t="s">
        <v>151</v>
      </c>
      <c r="D78" s="4"/>
      <c r="E78" s="4" t="s">
        <v>855</v>
      </c>
      <c r="F78" s="4" t="s">
        <v>666</v>
      </c>
      <c r="G78" s="4" t="s">
        <v>667</v>
      </c>
      <c r="H78" s="4" t="s">
        <v>304</v>
      </c>
      <c r="I78" s="4">
        <v>5</v>
      </c>
      <c r="J78" s="21">
        <v>200</v>
      </c>
      <c r="K78" s="21">
        <v>0</v>
      </c>
      <c r="L78" s="5">
        <v>1000</v>
      </c>
      <c r="M78" s="4"/>
      <c r="N78" s="4">
        <v>5</v>
      </c>
      <c r="O78" s="5"/>
      <c r="P78" s="5">
        <v>200</v>
      </c>
      <c r="Q78" s="21">
        <v>0</v>
      </c>
      <c r="R78" s="21">
        <v>0</v>
      </c>
      <c r="S78" s="5">
        <f t="shared" si="7"/>
        <v>124377.5</v>
      </c>
      <c r="T78" cm="1">
        <f t="array" ref="T78">IF(OR(B78="MAL ALIMI", B78="ÜRETİM GİRİŞ"), MIN(I78, MAX(0, I78 + SUM(SUMIFS($I$1:I77, $C$1:C77, C78, $B$1:B77, {"MAL ALIMI","ÜRETİM GİRİŞ"})) - VLOOKUP(C78, 'STOK RAPORU'!$C$2:$I$1000, 4, 0))), 0)</f>
        <v>3.6480000000000001</v>
      </c>
      <c r="U78" s="22">
        <f t="shared" si="4"/>
        <v>729.6</v>
      </c>
      <c r="V78">
        <f t="shared" si="5"/>
        <v>1000</v>
      </c>
      <c r="W78" s="22">
        <f t="shared" si="6"/>
        <v>270.39999999999998</v>
      </c>
    </row>
    <row r="79" spans="1:23" hidden="1" x14ac:dyDescent="0.25">
      <c r="A79" s="3">
        <v>45946</v>
      </c>
      <c r="B79" s="3" t="s">
        <v>298</v>
      </c>
      <c r="C79" s="4" t="s">
        <v>74</v>
      </c>
      <c r="D79" s="4"/>
      <c r="E79" s="4" t="s">
        <v>855</v>
      </c>
      <c r="F79" s="4" t="s">
        <v>666</v>
      </c>
      <c r="G79" s="4" t="s">
        <v>667</v>
      </c>
      <c r="H79" s="4" t="s">
        <v>304</v>
      </c>
      <c r="I79" s="4">
        <v>2</v>
      </c>
      <c r="J79" s="21">
        <v>500</v>
      </c>
      <c r="K79" s="21">
        <v>0</v>
      </c>
      <c r="L79" s="5">
        <v>1000</v>
      </c>
      <c r="M79" s="4"/>
      <c r="N79" s="4">
        <v>2</v>
      </c>
      <c r="O79" s="5"/>
      <c r="P79" s="5">
        <v>500</v>
      </c>
      <c r="Q79" s="21">
        <v>0</v>
      </c>
      <c r="R79" s="21">
        <v>0</v>
      </c>
      <c r="S79" s="5">
        <f t="shared" si="7"/>
        <v>124377.5</v>
      </c>
      <c r="T79" cm="1">
        <f t="array" ref="T79">IF(OR(B79="MAL ALIMI", B79="ÜRETİM GİRİŞ"), MIN(I79, MAX(0, I79 + SUM(SUMIFS($I$1:I78, $C$1:C78, C79, $B$1:B78, {"MAL ALIMI","ÜRETİM GİRİŞ"})) - VLOOKUP(C79, 'STOK RAPORU'!$C$2:$I$1000, 4, 0))), 0)</f>
        <v>0.89999999999999991</v>
      </c>
      <c r="U79" s="22">
        <f t="shared" si="4"/>
        <v>449.99999999999994</v>
      </c>
      <c r="V79">
        <f t="shared" si="5"/>
        <v>1000</v>
      </c>
      <c r="W79" s="22">
        <f t="shared" si="6"/>
        <v>550</v>
      </c>
    </row>
    <row r="80" spans="1:23" hidden="1" x14ac:dyDescent="0.25">
      <c r="A80" s="3">
        <v>45946</v>
      </c>
      <c r="B80" s="3" t="s">
        <v>298</v>
      </c>
      <c r="C80" s="4" t="s">
        <v>529</v>
      </c>
      <c r="D80" s="4"/>
      <c r="E80" s="4" t="s">
        <v>855</v>
      </c>
      <c r="F80" s="4" t="s">
        <v>666</v>
      </c>
      <c r="G80" s="4" t="s">
        <v>667</v>
      </c>
      <c r="H80" s="4" t="s">
        <v>304</v>
      </c>
      <c r="I80" s="4">
        <v>5</v>
      </c>
      <c r="J80" s="21">
        <v>125</v>
      </c>
      <c r="K80" s="21">
        <v>0</v>
      </c>
      <c r="L80" s="5">
        <v>625</v>
      </c>
      <c r="M80" s="4"/>
      <c r="N80" s="4">
        <v>5</v>
      </c>
      <c r="O80" s="5"/>
      <c r="P80" s="5">
        <v>125</v>
      </c>
      <c r="Q80" s="21">
        <v>0</v>
      </c>
      <c r="R80" s="21">
        <v>0</v>
      </c>
      <c r="S80" s="5">
        <f t="shared" si="7"/>
        <v>124377.5</v>
      </c>
      <c r="T80" cm="1">
        <f t="array" ref="T80">IF(OR(B80="MAL ALIMI", B80="ÜRETİM GİRİŞ"), MIN(I80, MAX(0, I80 + SUM(SUMIFS($I$1:I79, $C$1:C79, C80, $B$1:B79, {"MAL ALIMI","ÜRETİM GİRİŞ"})) - VLOOKUP(C80, 'STOK RAPORU'!$C$2:$I$1000, 4, 0))), 0)</f>
        <v>0</v>
      </c>
      <c r="U80" s="22">
        <f t="shared" si="4"/>
        <v>0</v>
      </c>
      <c r="V80">
        <f t="shared" si="5"/>
        <v>625</v>
      </c>
      <c r="W80" s="22">
        <f t="shared" si="6"/>
        <v>625</v>
      </c>
    </row>
    <row r="81" spans="1:23" hidden="1" x14ac:dyDescent="0.25">
      <c r="A81" s="3">
        <v>45946</v>
      </c>
      <c r="B81" s="3" t="s">
        <v>298</v>
      </c>
      <c r="C81" s="4" t="s">
        <v>523</v>
      </c>
      <c r="D81" s="4"/>
      <c r="E81" s="4" t="s">
        <v>855</v>
      </c>
      <c r="F81" s="4" t="s">
        <v>666</v>
      </c>
      <c r="G81" s="4" t="s">
        <v>667</v>
      </c>
      <c r="H81" s="4" t="s">
        <v>304</v>
      </c>
      <c r="I81" s="4">
        <v>10</v>
      </c>
      <c r="J81" s="21">
        <v>220</v>
      </c>
      <c r="K81" s="21">
        <v>0</v>
      </c>
      <c r="L81" s="5">
        <v>2200</v>
      </c>
      <c r="M81" s="4"/>
      <c r="N81" s="4">
        <v>10</v>
      </c>
      <c r="O81" s="5"/>
      <c r="P81" s="5">
        <v>220</v>
      </c>
      <c r="Q81" s="21">
        <v>0</v>
      </c>
      <c r="R81" s="21">
        <v>0</v>
      </c>
      <c r="S81" s="5">
        <f t="shared" si="7"/>
        <v>124377.5</v>
      </c>
      <c r="T81" cm="1">
        <f t="array" ref="T81">IF(OR(B81="MAL ALIMI", B81="ÜRETİM GİRİŞ"), MIN(I81, MAX(0, I81 + SUM(SUMIFS($I$1:I80, $C$1:C80, C81, $B$1:B80, {"MAL ALIMI","ÜRETİM GİRİŞ"})) - VLOOKUP(C81, 'STOK RAPORU'!$C$2:$I$1000, 4, 0))), 0)</f>
        <v>0.3019999999999996</v>
      </c>
      <c r="U81" s="22">
        <f t="shared" si="4"/>
        <v>66.439999999999912</v>
      </c>
      <c r="V81">
        <f t="shared" si="5"/>
        <v>2200</v>
      </c>
      <c r="W81" s="22">
        <f t="shared" si="6"/>
        <v>2133.56</v>
      </c>
    </row>
    <row r="82" spans="1:23" hidden="1" x14ac:dyDescent="0.25">
      <c r="A82" s="3">
        <v>45946</v>
      </c>
      <c r="B82" s="3" t="s">
        <v>298</v>
      </c>
      <c r="C82" s="4" t="s">
        <v>524</v>
      </c>
      <c r="D82" s="4"/>
      <c r="E82" s="4" t="s">
        <v>855</v>
      </c>
      <c r="F82" s="4" t="s">
        <v>666</v>
      </c>
      <c r="G82" s="4" t="s">
        <v>667</v>
      </c>
      <c r="H82" s="4" t="s">
        <v>304</v>
      </c>
      <c r="I82" s="4">
        <v>10</v>
      </c>
      <c r="J82" s="21">
        <v>125</v>
      </c>
      <c r="K82" s="21">
        <v>0</v>
      </c>
      <c r="L82" s="5">
        <v>1250</v>
      </c>
      <c r="M82" s="4"/>
      <c r="N82" s="4">
        <v>10</v>
      </c>
      <c r="O82" s="5"/>
      <c r="P82" s="5">
        <v>125</v>
      </c>
      <c r="Q82" s="21">
        <v>0</v>
      </c>
      <c r="R82" s="21">
        <v>0</v>
      </c>
      <c r="S82" s="5">
        <f t="shared" si="7"/>
        <v>124377.5</v>
      </c>
      <c r="T82" cm="1">
        <f t="array" ref="T82">IF(OR(B82="MAL ALIMI", B82="ÜRETİM GİRİŞ"), MIN(I82, MAX(0, I82 + SUM(SUMIFS($I$1:I81, $C$1:C81, C82, $B$1:B81, {"MAL ALIMI","ÜRETİM GİRİŞ"})) - VLOOKUP(C82, 'STOK RAPORU'!$C$2:$I$1000, 4, 0))), 0)</f>
        <v>6.0899999999999981</v>
      </c>
      <c r="U82" s="22">
        <f t="shared" si="4"/>
        <v>761.24999999999977</v>
      </c>
      <c r="V82">
        <f t="shared" si="5"/>
        <v>1250</v>
      </c>
      <c r="W82" s="22">
        <f t="shared" si="6"/>
        <v>488.75000000000023</v>
      </c>
    </row>
    <row r="83" spans="1:23" hidden="1" x14ac:dyDescent="0.25">
      <c r="A83" s="3">
        <v>45946</v>
      </c>
      <c r="B83" s="3" t="s">
        <v>298</v>
      </c>
      <c r="C83" s="4" t="s">
        <v>152</v>
      </c>
      <c r="D83" s="4"/>
      <c r="E83" s="4" t="s">
        <v>855</v>
      </c>
      <c r="F83" s="4" t="s">
        <v>666</v>
      </c>
      <c r="G83" s="4" t="s">
        <v>667</v>
      </c>
      <c r="H83" s="4" t="s">
        <v>304</v>
      </c>
      <c r="I83" s="4">
        <v>25</v>
      </c>
      <c r="J83" s="21">
        <v>80</v>
      </c>
      <c r="K83" s="21">
        <v>0</v>
      </c>
      <c r="L83" s="5">
        <v>2000</v>
      </c>
      <c r="M83" s="4"/>
      <c r="N83" s="4">
        <v>25</v>
      </c>
      <c r="O83" s="5"/>
      <c r="P83" s="5">
        <v>80</v>
      </c>
      <c r="Q83" s="21">
        <v>0</v>
      </c>
      <c r="R83" s="21">
        <v>0</v>
      </c>
      <c r="S83" s="5">
        <f t="shared" si="7"/>
        <v>124377.5</v>
      </c>
      <c r="T83" cm="1">
        <f t="array" ref="T83">IF(OR(B83="MAL ALIMI", B83="ÜRETİM GİRİŞ"), MIN(I83, MAX(0, I83 + SUM(SUMIFS($I$1:I82, $C$1:C82, C83, $B$1:B82, {"MAL ALIMI","ÜRETİM GİRİŞ"})) - VLOOKUP(C83, 'STOK RAPORU'!$C$2:$I$1000, 4, 0))), 0)</f>
        <v>9.9000000000000092</v>
      </c>
      <c r="U83" s="22">
        <f t="shared" si="4"/>
        <v>792.00000000000068</v>
      </c>
      <c r="V83">
        <f t="shared" si="5"/>
        <v>2000</v>
      </c>
      <c r="W83" s="22">
        <f t="shared" si="6"/>
        <v>1207.9999999999993</v>
      </c>
    </row>
    <row r="84" spans="1:23" hidden="1" x14ac:dyDescent="0.25">
      <c r="A84" s="3">
        <v>45946</v>
      </c>
      <c r="B84" s="3" t="s">
        <v>298</v>
      </c>
      <c r="C84" s="4" t="s">
        <v>153</v>
      </c>
      <c r="D84" s="4"/>
      <c r="E84" s="4" t="s">
        <v>855</v>
      </c>
      <c r="F84" s="4" t="s">
        <v>666</v>
      </c>
      <c r="G84" s="4" t="s">
        <v>667</v>
      </c>
      <c r="H84" s="4" t="s">
        <v>304</v>
      </c>
      <c r="I84" s="4">
        <v>10</v>
      </c>
      <c r="J84" s="21">
        <v>70</v>
      </c>
      <c r="K84" s="21">
        <v>0</v>
      </c>
      <c r="L84" s="5">
        <v>700</v>
      </c>
      <c r="M84" s="4"/>
      <c r="N84" s="4">
        <v>10</v>
      </c>
      <c r="O84" s="5"/>
      <c r="P84" s="5">
        <v>70</v>
      </c>
      <c r="Q84" s="21">
        <v>0</v>
      </c>
      <c r="R84" s="21">
        <v>0</v>
      </c>
      <c r="S84" s="5">
        <f t="shared" si="7"/>
        <v>124377.5</v>
      </c>
      <c r="T84" cm="1">
        <f t="array" ref="T84">IF(OR(B84="MAL ALIMI", B84="ÜRETİM GİRİŞ"), MIN(I84, MAX(0, I84 + SUM(SUMIFS($I$1:I83, $C$1:C83, C84, $B$1:B83, {"MAL ALIMI","ÜRETİM GİRİŞ"})) - VLOOKUP(C84, 'STOK RAPORU'!$C$2:$I$1000, 4, 0))), 0)</f>
        <v>8.1999999999999993</v>
      </c>
      <c r="U84" s="22">
        <f t="shared" si="4"/>
        <v>574</v>
      </c>
      <c r="V84">
        <f t="shared" si="5"/>
        <v>700</v>
      </c>
      <c r="W84" s="22">
        <f t="shared" si="6"/>
        <v>126</v>
      </c>
    </row>
    <row r="85" spans="1:23" hidden="1" x14ac:dyDescent="0.25">
      <c r="A85" s="3">
        <v>45946</v>
      </c>
      <c r="B85" s="3" t="s">
        <v>298</v>
      </c>
      <c r="C85" s="4" t="s">
        <v>154</v>
      </c>
      <c r="D85" s="4"/>
      <c r="E85" s="4" t="s">
        <v>855</v>
      </c>
      <c r="F85" s="4" t="s">
        <v>666</v>
      </c>
      <c r="G85" s="4" t="s">
        <v>667</v>
      </c>
      <c r="H85" s="4" t="s">
        <v>304</v>
      </c>
      <c r="I85" s="4">
        <v>25</v>
      </c>
      <c r="J85" s="21">
        <v>150</v>
      </c>
      <c r="K85" s="21">
        <v>0</v>
      </c>
      <c r="L85" s="5">
        <v>3750</v>
      </c>
      <c r="M85" s="4"/>
      <c r="N85" s="4">
        <v>25</v>
      </c>
      <c r="O85" s="5"/>
      <c r="P85" s="5">
        <v>150</v>
      </c>
      <c r="Q85" s="21">
        <v>0</v>
      </c>
      <c r="R85" s="21">
        <v>0</v>
      </c>
      <c r="S85" s="5">
        <f t="shared" si="7"/>
        <v>124377.5</v>
      </c>
      <c r="T85" cm="1">
        <f t="array" ref="T85">IF(OR(B85="MAL ALIMI", B85="ÜRETİM GİRİŞ"), MIN(I85, MAX(0, I85 + SUM(SUMIFS($I$1:I84, $C$1:C84, C85, $B$1:B84, {"MAL ALIMI","ÜRETİM GİRİŞ"})) - VLOOKUP(C85, 'STOK RAPORU'!$C$2:$I$1000, 4, 0))), 0)</f>
        <v>17.783333333333335</v>
      </c>
      <c r="U85" s="22">
        <f t="shared" si="4"/>
        <v>2667.5000000000005</v>
      </c>
      <c r="V85">
        <f t="shared" si="5"/>
        <v>3750</v>
      </c>
      <c r="W85" s="22">
        <f t="shared" si="6"/>
        <v>1082.4999999999995</v>
      </c>
    </row>
    <row r="86" spans="1:23" hidden="1" x14ac:dyDescent="0.25">
      <c r="A86" s="3">
        <v>45946</v>
      </c>
      <c r="B86" s="3" t="s">
        <v>298</v>
      </c>
      <c r="C86" s="4" t="s">
        <v>156</v>
      </c>
      <c r="D86" s="4"/>
      <c r="E86" s="4" t="s">
        <v>855</v>
      </c>
      <c r="F86" s="4" t="s">
        <v>666</v>
      </c>
      <c r="G86" s="4" t="s">
        <v>667</v>
      </c>
      <c r="H86" s="4" t="s">
        <v>304</v>
      </c>
      <c r="I86" s="4">
        <v>38.700000000000003</v>
      </c>
      <c r="J86" s="21">
        <v>98.191199999999995</v>
      </c>
      <c r="K86" s="21">
        <v>0</v>
      </c>
      <c r="L86" s="5">
        <v>3799.99944</v>
      </c>
      <c r="M86" s="4"/>
      <c r="N86" s="4">
        <v>40</v>
      </c>
      <c r="O86" s="5"/>
      <c r="P86" s="5">
        <v>95</v>
      </c>
      <c r="Q86" s="21">
        <v>0</v>
      </c>
      <c r="R86" s="21">
        <v>0</v>
      </c>
      <c r="S86" s="5">
        <f t="shared" si="7"/>
        <v>124377.5</v>
      </c>
      <c r="T86" cm="1">
        <f t="array" ref="T86">IF(OR(B86="MAL ALIMI", B86="ÜRETİM GİRİŞ"), MIN(I86, MAX(0, I86 + SUM(SUMIFS($I$1:I85, $C$1:C85, C86, $B$1:B85, {"MAL ALIMI","ÜRETİM GİRİŞ"})) - VLOOKUP(C86, 'STOK RAPORU'!$C$2:$I$1000, 4, 0))), 0)</f>
        <v>0</v>
      </c>
      <c r="U86" s="22">
        <f t="shared" si="4"/>
        <v>0</v>
      </c>
      <c r="V86">
        <f t="shared" si="5"/>
        <v>3799.99944</v>
      </c>
      <c r="W86" s="22">
        <f t="shared" si="6"/>
        <v>3799.99944</v>
      </c>
    </row>
    <row r="87" spans="1:23" hidden="1" x14ac:dyDescent="0.25">
      <c r="A87" s="3">
        <v>45946</v>
      </c>
      <c r="B87" s="3" t="s">
        <v>298</v>
      </c>
      <c r="C87" s="4" t="s">
        <v>157</v>
      </c>
      <c r="D87" s="4"/>
      <c r="E87" s="4" t="s">
        <v>855</v>
      </c>
      <c r="F87" s="4" t="s">
        <v>666</v>
      </c>
      <c r="G87" s="4" t="s">
        <v>667</v>
      </c>
      <c r="H87" s="4" t="s">
        <v>304</v>
      </c>
      <c r="I87" s="4">
        <v>38.700000000000003</v>
      </c>
      <c r="J87" s="21">
        <v>98.191199999999995</v>
      </c>
      <c r="K87" s="21">
        <v>0</v>
      </c>
      <c r="L87" s="5">
        <v>3799.99944</v>
      </c>
      <c r="M87" s="4"/>
      <c r="N87" s="4">
        <v>40</v>
      </c>
      <c r="O87" s="5"/>
      <c r="P87" s="5">
        <v>95</v>
      </c>
      <c r="Q87" s="21">
        <v>0</v>
      </c>
      <c r="R87" s="21">
        <v>0</v>
      </c>
      <c r="S87" s="5">
        <f t="shared" si="7"/>
        <v>124377.5</v>
      </c>
      <c r="T87" cm="1">
        <f t="array" ref="T87">IF(OR(B87="MAL ALIMI", B87="ÜRETİM GİRİŞ"), MIN(I87, MAX(0, I87 + SUM(SUMIFS($I$1:I86, $C$1:C86, C87, $B$1:B86, {"MAL ALIMI","ÜRETİM GİRİŞ"})) - VLOOKUP(C87, 'STOK RAPORU'!$C$2:$I$1000, 4, 0))), 0)</f>
        <v>0</v>
      </c>
      <c r="U87" s="22">
        <f t="shared" si="4"/>
        <v>0</v>
      </c>
      <c r="V87">
        <f t="shared" si="5"/>
        <v>3799.99944</v>
      </c>
      <c r="W87" s="22">
        <f t="shared" si="6"/>
        <v>3799.99944</v>
      </c>
    </row>
    <row r="88" spans="1:23" hidden="1" x14ac:dyDescent="0.25">
      <c r="A88" s="3">
        <v>45946</v>
      </c>
      <c r="B88" s="3" t="s">
        <v>298</v>
      </c>
      <c r="C88" s="4" t="s">
        <v>158</v>
      </c>
      <c r="D88" s="4"/>
      <c r="E88" s="4" t="s">
        <v>855</v>
      </c>
      <c r="F88" s="4" t="s">
        <v>666</v>
      </c>
      <c r="G88" s="4" t="s">
        <v>667</v>
      </c>
      <c r="H88" s="4" t="s">
        <v>304</v>
      </c>
      <c r="I88" s="4">
        <v>38.700000000000003</v>
      </c>
      <c r="J88" s="21">
        <v>67.183400000000006</v>
      </c>
      <c r="K88" s="21">
        <v>0</v>
      </c>
      <c r="L88" s="5">
        <v>2599.9975800000002</v>
      </c>
      <c r="M88" s="4"/>
      <c r="N88" s="4">
        <v>40</v>
      </c>
      <c r="O88" s="5"/>
      <c r="P88" s="5">
        <v>65</v>
      </c>
      <c r="Q88" s="21">
        <v>0</v>
      </c>
      <c r="R88" s="21">
        <v>0</v>
      </c>
      <c r="S88" s="5">
        <f t="shared" si="7"/>
        <v>124377.5</v>
      </c>
      <c r="T88" cm="1">
        <f t="array" ref="T88">IF(OR(B88="MAL ALIMI", B88="ÜRETİM GİRİŞ"), MIN(I88, MAX(0, I88 + SUM(SUMIFS($I$1:I87, $C$1:C87, C88, $B$1:B87, {"MAL ALIMI","ÜRETİM GİRİŞ"})) - VLOOKUP(C88, 'STOK RAPORU'!$C$2:$I$1000, 4, 0))), 0)</f>
        <v>0</v>
      </c>
      <c r="U88" s="22">
        <f t="shared" si="4"/>
        <v>0</v>
      </c>
      <c r="V88">
        <f t="shared" si="5"/>
        <v>2599.9975800000002</v>
      </c>
      <c r="W88" s="22">
        <f t="shared" si="6"/>
        <v>2599.9975800000002</v>
      </c>
    </row>
    <row r="89" spans="1:23" hidden="1" x14ac:dyDescent="0.25">
      <c r="A89" s="3">
        <v>45946</v>
      </c>
      <c r="B89" s="3" t="s">
        <v>298</v>
      </c>
      <c r="C89" s="4" t="s">
        <v>160</v>
      </c>
      <c r="D89" s="4"/>
      <c r="E89" s="4" t="s">
        <v>855</v>
      </c>
      <c r="F89" s="4" t="s">
        <v>666</v>
      </c>
      <c r="G89" s="4" t="s">
        <v>667</v>
      </c>
      <c r="H89" s="4" t="s">
        <v>304</v>
      </c>
      <c r="I89" s="4">
        <v>100</v>
      </c>
      <c r="J89" s="21">
        <v>150</v>
      </c>
      <c r="K89" s="21">
        <v>0</v>
      </c>
      <c r="L89" s="5">
        <v>15000</v>
      </c>
      <c r="M89" s="4"/>
      <c r="N89" s="4">
        <v>100</v>
      </c>
      <c r="O89" s="5"/>
      <c r="P89" s="5">
        <v>150</v>
      </c>
      <c r="Q89" s="21">
        <v>0</v>
      </c>
      <c r="R89" s="21">
        <v>0</v>
      </c>
      <c r="S89" s="5">
        <f t="shared" si="7"/>
        <v>124377.5</v>
      </c>
      <c r="T89" cm="1">
        <f t="array" ref="T89">IF(OR(B89="MAL ALIMI", B89="ÜRETİM GİRİŞ"), MIN(I89, MAX(0, I89 + SUM(SUMIFS($I$1:I88, $C$1:C88, C89, $B$1:B88, {"MAL ALIMI","ÜRETİM GİRİŞ"})) - VLOOKUP(C89, 'STOK RAPORU'!$C$2:$I$1000, 4, 0))), 0)</f>
        <v>0</v>
      </c>
      <c r="U89" s="22">
        <f t="shared" si="4"/>
        <v>0</v>
      </c>
      <c r="V89">
        <f t="shared" si="5"/>
        <v>15000</v>
      </c>
      <c r="W89" s="22">
        <f t="shared" si="6"/>
        <v>15000</v>
      </c>
    </row>
    <row r="90" spans="1:23" hidden="1" x14ac:dyDescent="0.25">
      <c r="A90" s="3">
        <v>45946</v>
      </c>
      <c r="B90" s="3" t="s">
        <v>298</v>
      </c>
      <c r="C90" s="4" t="s">
        <v>161</v>
      </c>
      <c r="D90" s="4"/>
      <c r="E90" s="4" t="s">
        <v>855</v>
      </c>
      <c r="F90" s="4" t="s">
        <v>666</v>
      </c>
      <c r="G90" s="4" t="s">
        <v>667</v>
      </c>
      <c r="H90" s="4" t="s">
        <v>304</v>
      </c>
      <c r="I90" s="4">
        <v>60</v>
      </c>
      <c r="J90" s="21">
        <v>130</v>
      </c>
      <c r="K90" s="21">
        <v>0</v>
      </c>
      <c r="L90" s="5">
        <v>7800</v>
      </c>
      <c r="M90" s="4"/>
      <c r="N90" s="4">
        <v>60</v>
      </c>
      <c r="O90" s="5"/>
      <c r="P90" s="5">
        <v>130</v>
      </c>
      <c r="Q90" s="21">
        <v>0</v>
      </c>
      <c r="R90" s="21">
        <v>0</v>
      </c>
      <c r="S90" s="5">
        <f t="shared" si="7"/>
        <v>124377.5</v>
      </c>
      <c r="T90" cm="1">
        <f t="array" ref="T90">IF(OR(B90="MAL ALIMI", B90="ÜRETİM GİRİŞ"), MIN(I90, MAX(0, I90 + SUM(SUMIFS($I$1:I89, $C$1:C89, C90, $B$1:B89, {"MAL ALIMI","ÜRETİM GİRİŞ"})) - VLOOKUP(C90, 'STOK RAPORU'!$C$2:$I$1000, 4, 0))), 0)</f>
        <v>0</v>
      </c>
      <c r="U90" s="22">
        <f t="shared" si="4"/>
        <v>0</v>
      </c>
      <c r="V90">
        <f t="shared" si="5"/>
        <v>7800</v>
      </c>
      <c r="W90" s="22">
        <f t="shared" si="6"/>
        <v>7800</v>
      </c>
    </row>
    <row r="91" spans="1:23" hidden="1" x14ac:dyDescent="0.25">
      <c r="A91" s="3">
        <v>45946</v>
      </c>
      <c r="B91" s="3" t="s">
        <v>298</v>
      </c>
      <c r="C91" s="4" t="s">
        <v>162</v>
      </c>
      <c r="D91" s="4"/>
      <c r="E91" s="4" t="s">
        <v>855</v>
      </c>
      <c r="F91" s="4" t="s">
        <v>666</v>
      </c>
      <c r="G91" s="4" t="s">
        <v>667</v>
      </c>
      <c r="H91" s="4" t="s">
        <v>304</v>
      </c>
      <c r="I91" s="4">
        <v>40</v>
      </c>
      <c r="J91" s="21">
        <v>175</v>
      </c>
      <c r="K91" s="21">
        <v>0</v>
      </c>
      <c r="L91" s="5">
        <v>7000</v>
      </c>
      <c r="M91" s="4"/>
      <c r="N91" s="4">
        <v>40</v>
      </c>
      <c r="O91" s="5"/>
      <c r="P91" s="5">
        <v>175</v>
      </c>
      <c r="Q91" s="21">
        <v>0</v>
      </c>
      <c r="R91" s="21">
        <v>0</v>
      </c>
      <c r="S91" s="5">
        <f t="shared" si="7"/>
        <v>124377.5</v>
      </c>
      <c r="T91" cm="1">
        <f t="array" ref="T91">IF(OR(B91="MAL ALIMI", B91="ÜRETİM GİRİŞ"), MIN(I91, MAX(0, I91 + SUM(SUMIFS($I$1:I90, $C$1:C90, C91, $B$1:B90, {"MAL ALIMI","ÜRETİM GİRİŞ"})) - VLOOKUP(C91, 'STOK RAPORU'!$C$2:$I$1000, 4, 0))), 0)</f>
        <v>0</v>
      </c>
      <c r="U91" s="22">
        <f t="shared" si="4"/>
        <v>0</v>
      </c>
      <c r="V91">
        <f t="shared" si="5"/>
        <v>7000</v>
      </c>
      <c r="W91" s="22">
        <f t="shared" si="6"/>
        <v>7000</v>
      </c>
    </row>
    <row r="92" spans="1:23" hidden="1" x14ac:dyDescent="0.25">
      <c r="A92" s="3">
        <v>45946</v>
      </c>
      <c r="B92" s="3" t="s">
        <v>298</v>
      </c>
      <c r="C92" s="4" t="s">
        <v>163</v>
      </c>
      <c r="D92" s="4"/>
      <c r="E92" s="4" t="s">
        <v>855</v>
      </c>
      <c r="F92" s="4" t="s">
        <v>666</v>
      </c>
      <c r="G92" s="4" t="s">
        <v>667</v>
      </c>
      <c r="H92" s="4" t="s">
        <v>304</v>
      </c>
      <c r="I92" s="4">
        <v>25</v>
      </c>
      <c r="J92" s="21">
        <v>210</v>
      </c>
      <c r="K92" s="21">
        <v>0</v>
      </c>
      <c r="L92" s="5">
        <v>5250</v>
      </c>
      <c r="M92" s="4"/>
      <c r="N92" s="4">
        <v>25</v>
      </c>
      <c r="O92" s="5"/>
      <c r="P92" s="5">
        <v>210</v>
      </c>
      <c r="Q92" s="21">
        <v>0</v>
      </c>
      <c r="R92" s="21">
        <v>0</v>
      </c>
      <c r="S92" s="5">
        <f t="shared" si="7"/>
        <v>124377.5</v>
      </c>
      <c r="T92" cm="1">
        <f t="array" ref="T92">IF(OR(B92="MAL ALIMI", B92="ÜRETİM GİRİŞ"), MIN(I92, MAX(0, I92 + SUM(SUMIFS($I$1:I91, $C$1:C91, C92, $B$1:B91, {"MAL ALIMI","ÜRETİM GİRİŞ"})) - VLOOKUP(C92, 'STOK RAPORU'!$C$2:$I$1000, 4, 0))), 0)</f>
        <v>9.4231860974274806</v>
      </c>
      <c r="U92" s="22">
        <f t="shared" si="4"/>
        <v>1978.8690804597709</v>
      </c>
      <c r="V92">
        <f t="shared" si="5"/>
        <v>5250</v>
      </c>
      <c r="W92" s="22">
        <f t="shared" si="6"/>
        <v>3271.1309195402291</v>
      </c>
    </row>
    <row r="93" spans="1:23" hidden="1" x14ac:dyDescent="0.25">
      <c r="A93" s="3">
        <v>45946</v>
      </c>
      <c r="B93" s="3" t="s">
        <v>298</v>
      </c>
      <c r="C93" s="4" t="s">
        <v>165</v>
      </c>
      <c r="D93" s="4"/>
      <c r="E93" s="4" t="s">
        <v>855</v>
      </c>
      <c r="F93" s="4" t="s">
        <v>666</v>
      </c>
      <c r="G93" s="4" t="s">
        <v>667</v>
      </c>
      <c r="H93" s="4" t="s">
        <v>304</v>
      </c>
      <c r="I93" s="4">
        <v>10</v>
      </c>
      <c r="J93" s="21">
        <v>125</v>
      </c>
      <c r="K93" s="21">
        <v>0</v>
      </c>
      <c r="L93" s="5">
        <v>1250</v>
      </c>
      <c r="M93" s="4"/>
      <c r="N93" s="4">
        <v>10</v>
      </c>
      <c r="O93" s="5"/>
      <c r="P93" s="5">
        <v>125</v>
      </c>
      <c r="Q93" s="21">
        <v>0</v>
      </c>
      <c r="R93" s="21">
        <v>0</v>
      </c>
      <c r="S93" s="5">
        <f t="shared" si="7"/>
        <v>124377.5</v>
      </c>
      <c r="T93" cm="1">
        <f t="array" ref="T93">IF(OR(B93="MAL ALIMI", B93="ÜRETİM GİRİŞ"), MIN(I93, MAX(0, I93 + SUM(SUMIFS($I$1:I92, $C$1:C92, C93, $B$1:B92, {"MAL ALIMI","ÜRETİM GİRİŞ"})) - VLOOKUP(C93, 'STOK RAPORU'!$C$2:$I$1000, 4, 0))), 0)</f>
        <v>8.6999999999999993</v>
      </c>
      <c r="U93" s="22">
        <f t="shared" si="4"/>
        <v>1087.5</v>
      </c>
      <c r="V93">
        <f t="shared" si="5"/>
        <v>1250</v>
      </c>
      <c r="W93" s="22">
        <f t="shared" si="6"/>
        <v>162.5</v>
      </c>
    </row>
    <row r="94" spans="1:23" hidden="1" x14ac:dyDescent="0.25">
      <c r="A94" s="3">
        <v>45946</v>
      </c>
      <c r="B94" s="3" t="s">
        <v>298</v>
      </c>
      <c r="C94" s="4" t="s">
        <v>166</v>
      </c>
      <c r="D94" s="4"/>
      <c r="E94" s="4" t="s">
        <v>855</v>
      </c>
      <c r="F94" s="4" t="s">
        <v>666</v>
      </c>
      <c r="G94" s="4" t="s">
        <v>667</v>
      </c>
      <c r="H94" s="4" t="s">
        <v>304</v>
      </c>
      <c r="I94" s="4">
        <v>5</v>
      </c>
      <c r="J94" s="21">
        <v>425</v>
      </c>
      <c r="K94" s="21">
        <v>0</v>
      </c>
      <c r="L94" s="5">
        <v>2125</v>
      </c>
      <c r="M94" s="4"/>
      <c r="N94" s="4">
        <v>5</v>
      </c>
      <c r="O94" s="5"/>
      <c r="P94" s="5">
        <v>425</v>
      </c>
      <c r="Q94" s="21">
        <v>0</v>
      </c>
      <c r="R94" s="21">
        <v>0</v>
      </c>
      <c r="S94" s="5">
        <f t="shared" si="7"/>
        <v>124377.5</v>
      </c>
      <c r="T94" cm="1">
        <f t="array" ref="T94">IF(OR(B94="MAL ALIMI", B94="ÜRETİM GİRİŞ"), MIN(I94, MAX(0, I94 + SUM(SUMIFS($I$1:I93, $C$1:C93, C94, $B$1:B93, {"MAL ALIMI","ÜRETİM GİRİŞ"})) - VLOOKUP(C94, 'STOK RAPORU'!$C$2:$I$1000, 4, 0))), 0)</f>
        <v>1.5829350649350649</v>
      </c>
      <c r="U94" s="22">
        <f t="shared" si="4"/>
        <v>672.74740259740258</v>
      </c>
      <c r="V94">
        <f t="shared" si="5"/>
        <v>2125</v>
      </c>
      <c r="W94" s="22">
        <f t="shared" si="6"/>
        <v>1452.2525974025975</v>
      </c>
    </row>
    <row r="95" spans="1:23" hidden="1" x14ac:dyDescent="0.25">
      <c r="A95" s="3">
        <v>45946</v>
      </c>
      <c r="B95" s="3" t="s">
        <v>298</v>
      </c>
      <c r="C95" s="4" t="s">
        <v>167</v>
      </c>
      <c r="D95" s="4"/>
      <c r="E95" s="4" t="s">
        <v>855</v>
      </c>
      <c r="F95" s="4" t="s">
        <v>666</v>
      </c>
      <c r="G95" s="4" t="s">
        <v>667</v>
      </c>
      <c r="H95" s="4" t="s">
        <v>304</v>
      </c>
      <c r="I95" s="4">
        <v>40</v>
      </c>
      <c r="J95" s="21">
        <v>125</v>
      </c>
      <c r="K95" s="21">
        <v>0</v>
      </c>
      <c r="L95" s="5">
        <v>5000</v>
      </c>
      <c r="M95" s="4"/>
      <c r="N95" s="4">
        <v>40</v>
      </c>
      <c r="O95" s="5"/>
      <c r="P95" s="5">
        <v>125</v>
      </c>
      <c r="Q95" s="21">
        <v>0</v>
      </c>
      <c r="R95" s="21">
        <v>0</v>
      </c>
      <c r="S95" s="5">
        <f t="shared" si="7"/>
        <v>124377.5</v>
      </c>
      <c r="T95" cm="1">
        <f t="array" ref="T95">IF(OR(B95="MAL ALIMI", B95="ÜRETİM GİRİŞ"), MIN(I95, MAX(0, I95 + SUM(SUMIFS($I$1:I94, $C$1:C94, C95, $B$1:B94, {"MAL ALIMI","ÜRETİM GİRİŞ"})) - VLOOKUP(C95, 'STOK RAPORU'!$C$2:$I$1000, 4, 0))), 0)</f>
        <v>0</v>
      </c>
      <c r="U95" s="22">
        <f t="shared" si="4"/>
        <v>0</v>
      </c>
      <c r="V95">
        <f t="shared" si="5"/>
        <v>5000</v>
      </c>
      <c r="W95" s="22">
        <f t="shared" si="6"/>
        <v>5000</v>
      </c>
    </row>
    <row r="96" spans="1:23" hidden="1" x14ac:dyDescent="0.25">
      <c r="A96" s="3">
        <v>45946</v>
      </c>
      <c r="B96" s="3" t="s">
        <v>298</v>
      </c>
      <c r="C96" s="4" t="s">
        <v>168</v>
      </c>
      <c r="D96" s="4"/>
      <c r="E96" s="4" t="s">
        <v>855</v>
      </c>
      <c r="F96" s="4" t="s">
        <v>666</v>
      </c>
      <c r="G96" s="4" t="s">
        <v>667</v>
      </c>
      <c r="H96" s="4" t="s">
        <v>304</v>
      </c>
      <c r="I96" s="4">
        <v>40</v>
      </c>
      <c r="J96" s="21">
        <v>110</v>
      </c>
      <c r="K96" s="21">
        <v>0</v>
      </c>
      <c r="L96" s="5">
        <v>4400</v>
      </c>
      <c r="M96" s="4"/>
      <c r="N96" s="4">
        <v>40</v>
      </c>
      <c r="O96" s="5"/>
      <c r="P96" s="5">
        <v>110</v>
      </c>
      <c r="Q96" s="21">
        <v>0</v>
      </c>
      <c r="R96" s="21">
        <v>0</v>
      </c>
      <c r="S96" s="5">
        <f t="shared" si="7"/>
        <v>124377.5</v>
      </c>
      <c r="T96" cm="1">
        <f t="array" ref="T96">IF(OR(B96="MAL ALIMI", B96="ÜRETİM GİRİŞ"), MIN(I96, MAX(0, I96 + SUM(SUMIFS($I$1:I95, $C$1:C95, C96, $B$1:B95, {"MAL ALIMI","ÜRETİM GİRİŞ"})) - VLOOKUP(C96, 'STOK RAPORU'!$C$2:$I$1000, 4, 0))), 0)</f>
        <v>0</v>
      </c>
      <c r="U96" s="22">
        <f t="shared" si="4"/>
        <v>0</v>
      </c>
      <c r="V96">
        <f t="shared" si="5"/>
        <v>4400</v>
      </c>
      <c r="W96" s="22">
        <f t="shared" si="6"/>
        <v>4400</v>
      </c>
    </row>
    <row r="97" spans="1:23" hidden="1" x14ac:dyDescent="0.25">
      <c r="A97" s="3">
        <v>45947</v>
      </c>
      <c r="B97" s="3" t="s">
        <v>285</v>
      </c>
      <c r="C97" s="4"/>
      <c r="D97" s="4" t="s">
        <v>106</v>
      </c>
      <c r="E97" s="4"/>
      <c r="F97" s="26" t="s">
        <v>664</v>
      </c>
      <c r="G97" s="4" t="s">
        <v>339</v>
      </c>
      <c r="H97" s="4" t="s">
        <v>289</v>
      </c>
      <c r="I97" s="4">
        <v>1</v>
      </c>
      <c r="J97" s="21">
        <v>19200</v>
      </c>
      <c r="K97" s="21">
        <v>0</v>
      </c>
      <c r="L97" s="5">
        <v>0</v>
      </c>
      <c r="M97" s="4"/>
      <c r="N97" s="4">
        <v>1</v>
      </c>
      <c r="O97" s="5"/>
      <c r="P97" s="5">
        <v>19200</v>
      </c>
      <c r="Q97" s="21">
        <v>0</v>
      </c>
      <c r="R97" s="21">
        <v>19200</v>
      </c>
      <c r="S97" s="5">
        <f t="shared" si="7"/>
        <v>105177.5</v>
      </c>
      <c r="T97" cm="1">
        <f t="array" ref="T97">IF(OR(B97="MAL ALIMI", B97="ÜRETİM GİRİŞ"), MIN(I97, MAX(0, I97 + SUM(SUMIFS($I$1:I96, $C$1:C96, C97, $B$1:B96, {"MAL ALIMI","ÜRETİM GİRİŞ"})) - VLOOKUP(C97, 'STOK RAPORU'!$C$2:$I$1000, 4, 0))), 0)</f>
        <v>0</v>
      </c>
      <c r="U97" s="22">
        <f t="shared" si="4"/>
        <v>0</v>
      </c>
      <c r="V97">
        <f t="shared" si="5"/>
        <v>0</v>
      </c>
      <c r="W97" s="22">
        <f t="shared" si="6"/>
        <v>0</v>
      </c>
    </row>
    <row r="98" spans="1:23" hidden="1" x14ac:dyDescent="0.25">
      <c r="A98" s="3">
        <v>45947</v>
      </c>
      <c r="B98" s="3" t="s">
        <v>285</v>
      </c>
      <c r="C98" s="4"/>
      <c r="D98" s="4" t="s">
        <v>107</v>
      </c>
      <c r="E98" s="4"/>
      <c r="F98" s="4"/>
      <c r="G98" s="4" t="s">
        <v>340</v>
      </c>
      <c r="H98" s="4" t="s">
        <v>289</v>
      </c>
      <c r="I98" s="4">
        <v>1</v>
      </c>
      <c r="J98" s="21">
        <v>2500</v>
      </c>
      <c r="K98" s="21">
        <v>0</v>
      </c>
      <c r="L98" s="5">
        <v>0</v>
      </c>
      <c r="M98" s="4"/>
      <c r="N98" s="4">
        <v>1</v>
      </c>
      <c r="O98" s="5"/>
      <c r="P98" s="5">
        <v>2500</v>
      </c>
      <c r="Q98" s="21">
        <v>0</v>
      </c>
      <c r="R98" s="21">
        <v>2500</v>
      </c>
      <c r="S98" s="5">
        <f t="shared" si="7"/>
        <v>102677.5</v>
      </c>
      <c r="T98" cm="1">
        <f t="array" ref="T98">IF(OR(B98="MAL ALIMI", B98="ÜRETİM GİRİŞ"), MIN(I98, MAX(0, I98 + SUM(SUMIFS($I$1:I97, $C$1:C97, C98, $B$1:B97, {"MAL ALIMI","ÜRETİM GİRİŞ"})) - VLOOKUP(C98, 'STOK RAPORU'!$C$2:$I$1000, 4, 0))), 0)</f>
        <v>0</v>
      </c>
      <c r="U98" s="22">
        <f t="shared" si="4"/>
        <v>0</v>
      </c>
      <c r="V98">
        <f t="shared" si="5"/>
        <v>0</v>
      </c>
      <c r="W98" s="22">
        <f t="shared" si="6"/>
        <v>0</v>
      </c>
    </row>
    <row r="99" spans="1:23" hidden="1" x14ac:dyDescent="0.25">
      <c r="A99" s="3">
        <v>45948</v>
      </c>
      <c r="B99" s="3" t="s">
        <v>285</v>
      </c>
      <c r="C99" s="4"/>
      <c r="D99" s="4" t="s">
        <v>112</v>
      </c>
      <c r="E99" s="4" t="s">
        <v>856</v>
      </c>
      <c r="F99" s="26" t="s">
        <v>341</v>
      </c>
      <c r="G99" s="4" t="s">
        <v>342</v>
      </c>
      <c r="H99" s="4" t="s">
        <v>1329</v>
      </c>
      <c r="I99" s="4">
        <v>1</v>
      </c>
      <c r="J99" s="21">
        <v>2539.64</v>
      </c>
      <c r="K99" s="21">
        <v>0</v>
      </c>
      <c r="L99" s="5">
        <v>2539.64</v>
      </c>
      <c r="M99" s="4"/>
      <c r="N99" s="4">
        <v>1</v>
      </c>
      <c r="O99" s="5"/>
      <c r="P99" s="5">
        <v>2539.64</v>
      </c>
      <c r="Q99" s="21">
        <v>0</v>
      </c>
      <c r="R99" s="21">
        <v>0</v>
      </c>
      <c r="S99" s="5">
        <f t="shared" si="7"/>
        <v>102677.5</v>
      </c>
      <c r="T99" cm="1">
        <f t="array" ref="T99">IF(OR(B99="MAL ALIMI", B99="ÜRETİM GİRİŞ"), MIN(I99, MAX(0, I99 + SUM(SUMIFS($I$1:I98, $C$1:C98, C99, $B$1:B98, {"MAL ALIMI","ÜRETİM GİRİŞ"})) - VLOOKUP(C99, 'STOK RAPORU'!$C$2:$I$1000, 4, 0))), 0)</f>
        <v>0</v>
      </c>
      <c r="U99" s="22">
        <f t="shared" si="4"/>
        <v>0</v>
      </c>
      <c r="V99">
        <f t="shared" si="5"/>
        <v>0</v>
      </c>
      <c r="W99" s="22">
        <f t="shared" si="6"/>
        <v>0</v>
      </c>
    </row>
    <row r="100" spans="1:23" hidden="1" x14ac:dyDescent="0.25">
      <c r="A100" s="3">
        <v>45948</v>
      </c>
      <c r="B100" s="3" t="s">
        <v>285</v>
      </c>
      <c r="C100" s="4"/>
      <c r="D100" s="4" t="s">
        <v>112</v>
      </c>
      <c r="E100" s="4" t="s">
        <v>856</v>
      </c>
      <c r="F100" s="26" t="s">
        <v>343</v>
      </c>
      <c r="G100" s="4" t="s">
        <v>342</v>
      </c>
      <c r="H100" s="4" t="s">
        <v>1329</v>
      </c>
      <c r="I100" s="4">
        <v>1</v>
      </c>
      <c r="J100" s="21">
        <v>3260.36</v>
      </c>
      <c r="K100" s="21">
        <v>0</v>
      </c>
      <c r="L100" s="5">
        <v>3260.36</v>
      </c>
      <c r="M100" s="4"/>
      <c r="N100" s="4">
        <v>1</v>
      </c>
      <c r="O100" s="5"/>
      <c r="P100" s="5">
        <v>3260.36</v>
      </c>
      <c r="Q100" s="21">
        <v>0</v>
      </c>
      <c r="R100" s="21">
        <v>0</v>
      </c>
      <c r="S100" s="5">
        <f t="shared" si="7"/>
        <v>102677.5</v>
      </c>
      <c r="T100" cm="1">
        <f t="array" ref="T100">IF(OR(B100="MAL ALIMI", B100="ÜRETİM GİRİŞ"), MIN(I100, MAX(0, I100 + SUM(SUMIFS($I$1:I99, $C$1:C99, C100, $B$1:B99, {"MAL ALIMI","ÜRETİM GİRİŞ"})) - VLOOKUP(C100, 'STOK RAPORU'!$C$2:$I$1000, 4, 0))), 0)</f>
        <v>0</v>
      </c>
      <c r="U100" s="22">
        <f t="shared" si="4"/>
        <v>0</v>
      </c>
      <c r="V100">
        <f t="shared" si="5"/>
        <v>0</v>
      </c>
      <c r="W100" s="22">
        <f t="shared" si="6"/>
        <v>0</v>
      </c>
    </row>
    <row r="101" spans="1:23" hidden="1" x14ac:dyDescent="0.25">
      <c r="A101" s="3">
        <v>45948</v>
      </c>
      <c r="B101" s="3" t="s">
        <v>285</v>
      </c>
      <c r="C101" s="4"/>
      <c r="D101" s="4" t="s">
        <v>106</v>
      </c>
      <c r="E101" s="4" t="s">
        <v>856</v>
      </c>
      <c r="F101" s="26" t="s">
        <v>665</v>
      </c>
      <c r="G101" s="4" t="s">
        <v>348</v>
      </c>
      <c r="H101" s="4" t="s">
        <v>1329</v>
      </c>
      <c r="I101" s="4">
        <v>1</v>
      </c>
      <c r="J101" s="21">
        <v>3790</v>
      </c>
      <c r="K101" s="21">
        <v>0</v>
      </c>
      <c r="L101" s="5">
        <v>3790</v>
      </c>
      <c r="M101" s="4"/>
      <c r="N101" s="4">
        <v>1</v>
      </c>
      <c r="O101" s="5"/>
      <c r="P101" s="5">
        <v>3790</v>
      </c>
      <c r="Q101" s="21">
        <v>0</v>
      </c>
      <c r="R101" s="21">
        <v>0</v>
      </c>
      <c r="S101" s="5">
        <f t="shared" si="7"/>
        <v>102677.5</v>
      </c>
      <c r="T101" cm="1">
        <f t="array" ref="T101">IF(OR(B101="MAL ALIMI", B101="ÜRETİM GİRİŞ"), MIN(I101, MAX(0, I101 + SUM(SUMIFS($I$1:I100, $C$1:C100, C101, $B$1:B100, {"MAL ALIMI","ÜRETİM GİRİŞ"})) - VLOOKUP(C101, 'STOK RAPORU'!$C$2:$I$1000, 4, 0))), 0)</f>
        <v>0</v>
      </c>
      <c r="U101" s="22">
        <f t="shared" si="4"/>
        <v>0</v>
      </c>
      <c r="V101">
        <f t="shared" si="5"/>
        <v>0</v>
      </c>
      <c r="W101" s="22">
        <f t="shared" si="6"/>
        <v>0</v>
      </c>
    </row>
    <row r="102" spans="1:23" hidden="1" x14ac:dyDescent="0.25">
      <c r="A102" s="3">
        <v>45948</v>
      </c>
      <c r="B102" s="3" t="s">
        <v>334</v>
      </c>
      <c r="C102" s="4" t="s">
        <v>140</v>
      </c>
      <c r="D102" s="4"/>
      <c r="E102" s="4"/>
      <c r="F102" s="4" t="s">
        <v>344</v>
      </c>
      <c r="G102" s="4" t="s">
        <v>336</v>
      </c>
      <c r="H102" s="4" t="s">
        <v>289</v>
      </c>
      <c r="I102" s="4">
        <v>0.14000000000000001</v>
      </c>
      <c r="J102" s="21">
        <v>250</v>
      </c>
      <c r="K102" s="21">
        <v>0</v>
      </c>
      <c r="L102" s="5">
        <v>0</v>
      </c>
      <c r="M102" s="4">
        <v>0.14000000000000001</v>
      </c>
      <c r="N102" s="4"/>
      <c r="O102" s="5">
        <v>250</v>
      </c>
      <c r="P102" s="5"/>
      <c r="Q102" s="21">
        <v>35</v>
      </c>
      <c r="R102" s="21">
        <v>0</v>
      </c>
      <c r="S102" s="5">
        <f t="shared" si="7"/>
        <v>102712.5</v>
      </c>
      <c r="T102" cm="1">
        <f t="array" ref="T102">IF(OR(B102="MAL ALIMI", B102="ÜRETİM GİRİŞ"), MIN(I102, MAX(0, I102 + SUM(SUMIFS($I$1:I101, $C$1:C101, C102, $B$1:B101, {"MAL ALIMI","ÜRETİM GİRİŞ"})) - VLOOKUP(C102, 'STOK RAPORU'!$C$2:$I$1000, 4, 0))), 0)</f>
        <v>0</v>
      </c>
      <c r="U102" s="22">
        <f t="shared" si="4"/>
        <v>0</v>
      </c>
      <c r="V102">
        <f t="shared" si="5"/>
        <v>0</v>
      </c>
      <c r="W102" s="22">
        <f t="shared" si="6"/>
        <v>0</v>
      </c>
    </row>
    <row r="103" spans="1:23" hidden="1" x14ac:dyDescent="0.25">
      <c r="A103" s="3">
        <v>45948</v>
      </c>
      <c r="B103" s="3" t="s">
        <v>334</v>
      </c>
      <c r="C103" s="4" t="s">
        <v>98</v>
      </c>
      <c r="D103" s="4"/>
      <c r="E103" s="4"/>
      <c r="F103" s="4" t="s">
        <v>344</v>
      </c>
      <c r="G103" s="4" t="s">
        <v>336</v>
      </c>
      <c r="H103" s="4" t="s">
        <v>289</v>
      </c>
      <c r="I103" s="4">
        <v>0.14000000000000001</v>
      </c>
      <c r="J103" s="21">
        <v>290</v>
      </c>
      <c r="K103" s="21">
        <v>0</v>
      </c>
      <c r="L103" s="5">
        <v>0</v>
      </c>
      <c r="M103" s="4">
        <v>0.14000000000000001</v>
      </c>
      <c r="N103" s="4"/>
      <c r="O103" s="5">
        <v>290</v>
      </c>
      <c r="P103" s="5"/>
      <c r="Q103" s="21">
        <v>40.6</v>
      </c>
      <c r="R103" s="21">
        <v>0</v>
      </c>
      <c r="S103" s="5">
        <f t="shared" si="7"/>
        <v>102753.1</v>
      </c>
      <c r="T103" cm="1">
        <f t="array" ref="T103">IF(OR(B103="MAL ALIMI", B103="ÜRETİM GİRİŞ"), MIN(I103, MAX(0, I103 + SUM(SUMIFS($I$1:I102, $C$1:C102, C103, $B$1:B102, {"MAL ALIMI","ÜRETİM GİRİŞ"})) - VLOOKUP(C103, 'STOK RAPORU'!$C$2:$I$1000, 4, 0))), 0)</f>
        <v>0</v>
      </c>
      <c r="U103" s="22">
        <f t="shared" si="4"/>
        <v>0</v>
      </c>
      <c r="V103">
        <f t="shared" si="5"/>
        <v>0</v>
      </c>
      <c r="W103" s="22">
        <f t="shared" si="6"/>
        <v>0</v>
      </c>
    </row>
    <row r="104" spans="1:23" hidden="1" x14ac:dyDescent="0.25">
      <c r="A104" s="3">
        <v>45948</v>
      </c>
      <c r="B104" s="3" t="s">
        <v>334</v>
      </c>
      <c r="C104" s="4" t="s">
        <v>171</v>
      </c>
      <c r="D104" s="4"/>
      <c r="E104" s="4"/>
      <c r="F104" s="4" t="s">
        <v>344</v>
      </c>
      <c r="G104" s="4" t="s">
        <v>336</v>
      </c>
      <c r="H104" s="4" t="s">
        <v>289</v>
      </c>
      <c r="I104" s="4">
        <v>1</v>
      </c>
      <c r="J104" s="21">
        <v>110</v>
      </c>
      <c r="K104" s="21">
        <v>0</v>
      </c>
      <c r="L104" s="5">
        <v>0</v>
      </c>
      <c r="M104" s="4">
        <v>1</v>
      </c>
      <c r="N104" s="4"/>
      <c r="O104" s="5">
        <v>110</v>
      </c>
      <c r="P104" s="5"/>
      <c r="Q104" s="21">
        <v>110</v>
      </c>
      <c r="R104" s="21">
        <v>0</v>
      </c>
      <c r="S104" s="5">
        <f t="shared" si="7"/>
        <v>102863.1</v>
      </c>
      <c r="T104" cm="1">
        <f t="array" ref="T104">IF(OR(B104="MAL ALIMI", B104="ÜRETİM GİRİŞ"), MIN(I104, MAX(0, I104 + SUM(SUMIFS($I$1:I103, $C$1:C103, C104, $B$1:B103, {"MAL ALIMI","ÜRETİM GİRİŞ"})) - VLOOKUP(C104, 'STOK RAPORU'!$C$2:$I$1000, 4, 0))), 0)</f>
        <v>0</v>
      </c>
      <c r="U104" s="22">
        <f t="shared" si="4"/>
        <v>0</v>
      </c>
      <c r="V104">
        <f t="shared" si="5"/>
        <v>0</v>
      </c>
      <c r="W104" s="22">
        <f t="shared" si="6"/>
        <v>0</v>
      </c>
    </row>
    <row r="105" spans="1:23" hidden="1" x14ac:dyDescent="0.25">
      <c r="A105" s="3">
        <v>45948</v>
      </c>
      <c r="B105" s="3" t="s">
        <v>334</v>
      </c>
      <c r="C105" s="4" t="s">
        <v>184</v>
      </c>
      <c r="D105" s="4"/>
      <c r="E105" s="4"/>
      <c r="F105" s="4" t="s">
        <v>344</v>
      </c>
      <c r="G105" s="4" t="s">
        <v>336</v>
      </c>
      <c r="H105" s="4" t="s">
        <v>289</v>
      </c>
      <c r="I105" s="4">
        <v>1</v>
      </c>
      <c r="J105" s="21">
        <v>220</v>
      </c>
      <c r="K105" s="21">
        <v>0</v>
      </c>
      <c r="L105" s="5">
        <v>0</v>
      </c>
      <c r="M105" s="4">
        <v>1</v>
      </c>
      <c r="N105" s="4"/>
      <c r="O105" s="5">
        <v>220</v>
      </c>
      <c r="P105" s="5"/>
      <c r="Q105" s="21">
        <v>220</v>
      </c>
      <c r="R105" s="21">
        <v>0</v>
      </c>
      <c r="S105" s="5">
        <f t="shared" si="7"/>
        <v>103083.1</v>
      </c>
      <c r="T105" cm="1">
        <f t="array" ref="T105">IF(OR(B105="MAL ALIMI", B105="ÜRETİM GİRİŞ"), MIN(I105, MAX(0, I105 + SUM(SUMIFS($I$1:I104, $C$1:C104, C105, $B$1:B104, {"MAL ALIMI","ÜRETİM GİRİŞ"})) - VLOOKUP(C105, 'STOK RAPORU'!$C$2:$I$1000, 4, 0))), 0)</f>
        <v>0</v>
      </c>
      <c r="U105" s="22">
        <f t="shared" si="4"/>
        <v>0</v>
      </c>
      <c r="V105">
        <f t="shared" si="5"/>
        <v>0</v>
      </c>
      <c r="W105" s="22">
        <f t="shared" si="6"/>
        <v>0</v>
      </c>
    </row>
    <row r="106" spans="1:23" hidden="1" x14ac:dyDescent="0.25">
      <c r="A106" s="3">
        <v>45948</v>
      </c>
      <c r="B106" s="3" t="s">
        <v>1027</v>
      </c>
      <c r="C106" s="4"/>
      <c r="D106" s="4" t="s">
        <v>116</v>
      </c>
      <c r="E106" s="4"/>
      <c r="F106" s="4" t="s">
        <v>344</v>
      </c>
      <c r="G106" s="4" t="s">
        <v>336</v>
      </c>
      <c r="H106" s="4" t="s">
        <v>289</v>
      </c>
      <c r="I106" s="4">
        <v>1</v>
      </c>
      <c r="J106" s="21">
        <v>594.4</v>
      </c>
      <c r="K106" s="21">
        <v>0</v>
      </c>
      <c r="L106" s="5">
        <v>0</v>
      </c>
      <c r="M106" s="4">
        <v>1</v>
      </c>
      <c r="N106" s="4"/>
      <c r="O106" s="5">
        <v>594.4</v>
      </c>
      <c r="P106" s="5"/>
      <c r="Q106" s="21">
        <v>594.4</v>
      </c>
      <c r="R106" s="21">
        <v>0</v>
      </c>
      <c r="S106" s="5">
        <f t="shared" si="7"/>
        <v>103677.5</v>
      </c>
      <c r="T106" cm="1">
        <f t="array" ref="T106">IF(OR(B106="MAL ALIMI", B106="ÜRETİM GİRİŞ"), MIN(I106, MAX(0, I106 + SUM(SUMIFS($I$1:I105, $C$1:C105, C106, $B$1:B105, {"MAL ALIMI","ÜRETİM GİRİŞ"})) - VLOOKUP(C106, 'STOK RAPORU'!$C$2:$I$1000, 4, 0))), 0)</f>
        <v>0</v>
      </c>
      <c r="U106" s="22">
        <f t="shared" si="4"/>
        <v>0</v>
      </c>
      <c r="V106">
        <f t="shared" si="5"/>
        <v>0</v>
      </c>
      <c r="W106" s="22">
        <f t="shared" si="6"/>
        <v>0</v>
      </c>
    </row>
    <row r="107" spans="1:23" hidden="1" x14ac:dyDescent="0.25">
      <c r="A107" s="3">
        <v>45948</v>
      </c>
      <c r="B107" s="3" t="s">
        <v>334</v>
      </c>
      <c r="C107" s="4" t="s">
        <v>175</v>
      </c>
      <c r="D107" s="4"/>
      <c r="E107" s="4"/>
      <c r="F107" s="4" t="s">
        <v>345</v>
      </c>
      <c r="G107" s="4" t="s">
        <v>336</v>
      </c>
      <c r="H107" s="4" t="s">
        <v>289</v>
      </c>
      <c r="I107" s="4">
        <v>1</v>
      </c>
      <c r="J107" s="21">
        <v>250</v>
      </c>
      <c r="K107" s="21">
        <v>0</v>
      </c>
      <c r="L107" s="5">
        <v>0</v>
      </c>
      <c r="M107" s="4">
        <v>1</v>
      </c>
      <c r="N107" s="4"/>
      <c r="O107" s="5">
        <v>250</v>
      </c>
      <c r="P107" s="5"/>
      <c r="Q107" s="21">
        <v>250</v>
      </c>
      <c r="R107" s="21">
        <v>0</v>
      </c>
      <c r="S107" s="5">
        <f t="shared" si="7"/>
        <v>103927.5</v>
      </c>
      <c r="T107" cm="1">
        <f t="array" ref="T107">IF(OR(B107="MAL ALIMI", B107="ÜRETİM GİRİŞ"), MIN(I107, MAX(0, I107 + SUM(SUMIFS($I$1:I106, $C$1:C106, C107, $B$1:B106, {"MAL ALIMI","ÜRETİM GİRİŞ"})) - VLOOKUP(C107, 'STOK RAPORU'!$C$2:$I$1000, 4, 0))), 0)</f>
        <v>0</v>
      </c>
      <c r="U107" s="22">
        <f t="shared" si="4"/>
        <v>0</v>
      </c>
      <c r="V107">
        <f t="shared" si="5"/>
        <v>0</v>
      </c>
      <c r="W107" s="22">
        <f t="shared" si="6"/>
        <v>0</v>
      </c>
    </row>
    <row r="108" spans="1:23" hidden="1" x14ac:dyDescent="0.25">
      <c r="A108" s="3">
        <v>45948</v>
      </c>
      <c r="B108" s="3" t="s">
        <v>334</v>
      </c>
      <c r="C108" s="4" t="s">
        <v>179</v>
      </c>
      <c r="D108" s="4"/>
      <c r="E108" s="4"/>
      <c r="F108" s="4" t="s">
        <v>345</v>
      </c>
      <c r="G108" s="4" t="s">
        <v>336</v>
      </c>
      <c r="H108" s="4" t="s">
        <v>289</v>
      </c>
      <c r="I108" s="4">
        <v>1</v>
      </c>
      <c r="J108" s="21">
        <v>160</v>
      </c>
      <c r="K108" s="21">
        <v>0</v>
      </c>
      <c r="L108" s="5">
        <v>0</v>
      </c>
      <c r="M108" s="4">
        <v>1</v>
      </c>
      <c r="N108" s="4"/>
      <c r="O108" s="5">
        <v>160</v>
      </c>
      <c r="P108" s="5"/>
      <c r="Q108" s="21">
        <v>160</v>
      </c>
      <c r="R108" s="21">
        <v>0</v>
      </c>
      <c r="S108" s="5">
        <f t="shared" si="7"/>
        <v>104087.5</v>
      </c>
      <c r="T108" cm="1">
        <f t="array" ref="T108">IF(OR(B108="MAL ALIMI", B108="ÜRETİM GİRİŞ"), MIN(I108, MAX(0, I108 + SUM(SUMIFS($I$1:I107, $C$1:C107, C108, $B$1:B107, {"MAL ALIMI","ÜRETİM GİRİŞ"})) - VLOOKUP(C108, 'STOK RAPORU'!$C$2:$I$1000, 4, 0))), 0)</f>
        <v>0</v>
      </c>
      <c r="U108" s="22">
        <f t="shared" si="4"/>
        <v>0</v>
      </c>
      <c r="V108">
        <f t="shared" si="5"/>
        <v>0</v>
      </c>
      <c r="W108" s="22">
        <f t="shared" si="6"/>
        <v>0</v>
      </c>
    </row>
    <row r="109" spans="1:23" hidden="1" x14ac:dyDescent="0.25">
      <c r="A109" s="3">
        <v>45948</v>
      </c>
      <c r="B109" s="3" t="s">
        <v>334</v>
      </c>
      <c r="C109" s="4" t="s">
        <v>180</v>
      </c>
      <c r="D109" s="4"/>
      <c r="E109" s="4"/>
      <c r="F109" s="4" t="s">
        <v>345</v>
      </c>
      <c r="G109" s="4" t="s">
        <v>336</v>
      </c>
      <c r="H109" s="4" t="s">
        <v>289</v>
      </c>
      <c r="I109" s="4">
        <v>1</v>
      </c>
      <c r="J109" s="21">
        <v>170</v>
      </c>
      <c r="K109" s="21">
        <v>0</v>
      </c>
      <c r="L109" s="5">
        <v>0</v>
      </c>
      <c r="M109" s="4">
        <v>1</v>
      </c>
      <c r="N109" s="4"/>
      <c r="O109" s="5">
        <v>170</v>
      </c>
      <c r="P109" s="5"/>
      <c r="Q109" s="21">
        <v>170</v>
      </c>
      <c r="R109" s="21">
        <v>0</v>
      </c>
      <c r="S109" s="5">
        <f t="shared" si="7"/>
        <v>104257.5</v>
      </c>
      <c r="T109" cm="1">
        <f t="array" ref="T109">IF(OR(B109="MAL ALIMI", B109="ÜRETİM GİRİŞ"), MIN(I109, MAX(0, I109 + SUM(SUMIFS($I$1:I108, $C$1:C108, C109, $B$1:B108, {"MAL ALIMI","ÜRETİM GİRİŞ"})) - VLOOKUP(C109, 'STOK RAPORU'!$C$2:$I$1000, 4, 0))), 0)</f>
        <v>0</v>
      </c>
      <c r="U109" s="22">
        <f t="shared" si="4"/>
        <v>0</v>
      </c>
      <c r="V109">
        <f t="shared" si="5"/>
        <v>0</v>
      </c>
      <c r="W109" s="22">
        <f t="shared" si="6"/>
        <v>0</v>
      </c>
    </row>
    <row r="110" spans="1:23" hidden="1" x14ac:dyDescent="0.25">
      <c r="A110" s="3">
        <v>45948</v>
      </c>
      <c r="B110" s="3" t="s">
        <v>334</v>
      </c>
      <c r="C110" s="4" t="s">
        <v>178</v>
      </c>
      <c r="D110" s="4"/>
      <c r="E110" s="4"/>
      <c r="F110" s="4" t="s">
        <v>345</v>
      </c>
      <c r="G110" s="4" t="s">
        <v>336</v>
      </c>
      <c r="H110" s="4" t="s">
        <v>289</v>
      </c>
      <c r="I110" s="4">
        <v>1</v>
      </c>
      <c r="J110" s="21">
        <v>90</v>
      </c>
      <c r="K110" s="21">
        <v>0</v>
      </c>
      <c r="L110" s="5">
        <v>0</v>
      </c>
      <c r="M110" s="4">
        <v>1</v>
      </c>
      <c r="N110" s="4"/>
      <c r="O110" s="5">
        <v>90</v>
      </c>
      <c r="P110" s="5"/>
      <c r="Q110" s="21">
        <v>90</v>
      </c>
      <c r="R110" s="21">
        <v>0</v>
      </c>
      <c r="S110" s="5">
        <f t="shared" si="7"/>
        <v>104347.5</v>
      </c>
      <c r="T110" cm="1">
        <f t="array" ref="T110">IF(OR(B110="MAL ALIMI", B110="ÜRETİM GİRİŞ"), MIN(I110, MAX(0, I110 + SUM(SUMIFS($I$1:I109, $C$1:C109, C110, $B$1:B109, {"MAL ALIMI","ÜRETİM GİRİŞ"})) - VLOOKUP(C110, 'STOK RAPORU'!$C$2:$I$1000, 4, 0))), 0)</f>
        <v>0</v>
      </c>
      <c r="U110" s="22">
        <f t="shared" si="4"/>
        <v>0</v>
      </c>
      <c r="V110">
        <f t="shared" si="5"/>
        <v>0</v>
      </c>
      <c r="W110" s="22">
        <f t="shared" si="6"/>
        <v>0</v>
      </c>
    </row>
    <row r="111" spans="1:23" hidden="1" x14ac:dyDescent="0.25">
      <c r="A111" s="3">
        <v>45948</v>
      </c>
      <c r="B111" s="3" t="s">
        <v>334</v>
      </c>
      <c r="C111" s="4" t="s">
        <v>149</v>
      </c>
      <c r="D111" s="4"/>
      <c r="E111" s="4"/>
      <c r="F111" s="4" t="s">
        <v>345</v>
      </c>
      <c r="G111" s="4" t="s">
        <v>336</v>
      </c>
      <c r="H111" s="4" t="s">
        <v>289</v>
      </c>
      <c r="I111" s="4">
        <v>2</v>
      </c>
      <c r="J111" s="21">
        <v>50</v>
      </c>
      <c r="K111" s="21">
        <v>0</v>
      </c>
      <c r="L111" s="5">
        <v>0</v>
      </c>
      <c r="M111" s="4">
        <v>2</v>
      </c>
      <c r="N111" s="4"/>
      <c r="O111" s="5">
        <v>50</v>
      </c>
      <c r="P111" s="5"/>
      <c r="Q111" s="21">
        <v>100</v>
      </c>
      <c r="R111" s="21">
        <v>0</v>
      </c>
      <c r="S111" s="5">
        <f t="shared" si="7"/>
        <v>104447.5</v>
      </c>
      <c r="T111" cm="1">
        <f t="array" ref="T111">IF(OR(B111="MAL ALIMI", B111="ÜRETİM GİRİŞ"), MIN(I111, MAX(0, I111 + SUM(SUMIFS($I$1:I110, $C$1:C110, C111, $B$1:B110, {"MAL ALIMI","ÜRETİM GİRİŞ"})) - VLOOKUP(C111, 'STOK RAPORU'!$C$2:$I$1000, 4, 0))), 0)</f>
        <v>0</v>
      </c>
      <c r="U111" s="22">
        <f t="shared" si="4"/>
        <v>0</v>
      </c>
      <c r="V111">
        <f t="shared" si="5"/>
        <v>0</v>
      </c>
      <c r="W111" s="22">
        <f t="shared" si="6"/>
        <v>0</v>
      </c>
    </row>
    <row r="112" spans="1:23" hidden="1" x14ac:dyDescent="0.25">
      <c r="A112" s="3">
        <v>45948</v>
      </c>
      <c r="B112" s="3" t="s">
        <v>1027</v>
      </c>
      <c r="C112" s="4"/>
      <c r="D112" s="4" t="s">
        <v>116</v>
      </c>
      <c r="E112" s="4"/>
      <c r="F112" s="4" t="s">
        <v>345</v>
      </c>
      <c r="G112" s="4" t="s">
        <v>336</v>
      </c>
      <c r="H112" s="4" t="s">
        <v>289</v>
      </c>
      <c r="I112" s="4">
        <v>1</v>
      </c>
      <c r="J112" s="21">
        <v>230</v>
      </c>
      <c r="K112" s="21">
        <v>0</v>
      </c>
      <c r="L112" s="5">
        <v>0</v>
      </c>
      <c r="M112" s="4">
        <v>1</v>
      </c>
      <c r="N112" s="4"/>
      <c r="O112" s="5">
        <v>230</v>
      </c>
      <c r="P112" s="5"/>
      <c r="Q112" s="21">
        <v>230</v>
      </c>
      <c r="R112" s="21">
        <v>0</v>
      </c>
      <c r="S112" s="5">
        <f t="shared" si="7"/>
        <v>104677.5</v>
      </c>
      <c r="T112" cm="1">
        <f t="array" ref="T112">IF(OR(B112="MAL ALIMI", B112="ÜRETİM GİRİŞ"), MIN(I112, MAX(0, I112 + SUM(SUMIFS($I$1:I111, $C$1:C111, C112, $B$1:B111, {"MAL ALIMI","ÜRETİM GİRİŞ"})) - VLOOKUP(C112, 'STOK RAPORU'!$C$2:$I$1000, 4, 0))), 0)</f>
        <v>0</v>
      </c>
      <c r="U112" s="22">
        <f t="shared" si="4"/>
        <v>0</v>
      </c>
      <c r="V112">
        <f t="shared" si="5"/>
        <v>0</v>
      </c>
      <c r="W112" s="22">
        <f t="shared" si="6"/>
        <v>0</v>
      </c>
    </row>
    <row r="113" spans="1:23" hidden="1" x14ac:dyDescent="0.25">
      <c r="A113" s="3">
        <v>45948</v>
      </c>
      <c r="B113" s="3" t="s">
        <v>334</v>
      </c>
      <c r="C113" s="4" t="s">
        <v>160</v>
      </c>
      <c r="D113" s="4"/>
      <c r="E113" s="4"/>
      <c r="F113" s="4" t="s">
        <v>346</v>
      </c>
      <c r="G113" s="4" t="s">
        <v>336</v>
      </c>
      <c r="H113" s="4" t="s">
        <v>289</v>
      </c>
      <c r="I113" s="4">
        <v>1</v>
      </c>
      <c r="J113" s="21">
        <v>240</v>
      </c>
      <c r="K113" s="21">
        <v>0</v>
      </c>
      <c r="L113" s="5">
        <v>0</v>
      </c>
      <c r="M113" s="4">
        <v>1</v>
      </c>
      <c r="N113" s="4"/>
      <c r="O113" s="5">
        <v>240</v>
      </c>
      <c r="P113" s="5"/>
      <c r="Q113" s="21">
        <v>240</v>
      </c>
      <c r="R113" s="21">
        <v>0</v>
      </c>
      <c r="S113" s="5">
        <f t="shared" si="7"/>
        <v>104917.5</v>
      </c>
      <c r="T113" cm="1">
        <f t="array" ref="T113">IF(OR(B113="MAL ALIMI", B113="ÜRETİM GİRİŞ"), MIN(I113, MAX(0, I113 + SUM(SUMIFS($I$1:I112, $C$1:C112, C113, $B$1:B112, {"MAL ALIMI","ÜRETİM GİRİŞ"})) - VLOOKUP(C113, 'STOK RAPORU'!$C$2:$I$1000, 4, 0))), 0)</f>
        <v>0</v>
      </c>
      <c r="U113" s="22">
        <f t="shared" si="4"/>
        <v>0</v>
      </c>
      <c r="V113">
        <f t="shared" si="5"/>
        <v>0</v>
      </c>
      <c r="W113" s="22">
        <f t="shared" si="6"/>
        <v>0</v>
      </c>
    </row>
    <row r="114" spans="1:23" hidden="1" x14ac:dyDescent="0.25">
      <c r="A114" s="3">
        <v>45948</v>
      </c>
      <c r="B114" s="3" t="s">
        <v>334</v>
      </c>
      <c r="C114" s="4" t="s">
        <v>167</v>
      </c>
      <c r="D114" s="4"/>
      <c r="E114" s="4"/>
      <c r="F114" s="4" t="s">
        <v>346</v>
      </c>
      <c r="G114" s="4" t="s">
        <v>336</v>
      </c>
      <c r="H114" s="4" t="s">
        <v>289</v>
      </c>
      <c r="I114" s="4">
        <v>1</v>
      </c>
      <c r="J114" s="21">
        <v>200</v>
      </c>
      <c r="K114" s="21">
        <v>0</v>
      </c>
      <c r="L114" s="5">
        <v>0</v>
      </c>
      <c r="M114" s="4">
        <v>1</v>
      </c>
      <c r="N114" s="4"/>
      <c r="O114" s="5">
        <v>200</v>
      </c>
      <c r="P114" s="5"/>
      <c r="Q114" s="21">
        <v>200</v>
      </c>
      <c r="R114" s="21">
        <v>0</v>
      </c>
      <c r="S114" s="5">
        <f t="shared" si="7"/>
        <v>105117.5</v>
      </c>
      <c r="T114" cm="1">
        <f t="array" ref="T114">IF(OR(B114="MAL ALIMI", B114="ÜRETİM GİRİŞ"), MIN(I114, MAX(0, I114 + SUM(SUMIFS($I$1:I113, $C$1:C113, C114, $B$1:B113, {"MAL ALIMI","ÜRETİM GİRİŞ"})) - VLOOKUP(C114, 'STOK RAPORU'!$C$2:$I$1000, 4, 0))), 0)</f>
        <v>0</v>
      </c>
      <c r="U114" s="22">
        <f t="shared" si="4"/>
        <v>0</v>
      </c>
      <c r="V114">
        <f t="shared" si="5"/>
        <v>0</v>
      </c>
      <c r="W114" s="22">
        <f t="shared" si="6"/>
        <v>0</v>
      </c>
    </row>
    <row r="115" spans="1:23" hidden="1" x14ac:dyDescent="0.25">
      <c r="A115" s="3">
        <v>45948</v>
      </c>
      <c r="B115" s="3" t="s">
        <v>334</v>
      </c>
      <c r="C115" s="4" t="s">
        <v>148</v>
      </c>
      <c r="D115" s="4"/>
      <c r="E115" s="4"/>
      <c r="F115" s="4" t="s">
        <v>347</v>
      </c>
      <c r="G115" s="4" t="s">
        <v>336</v>
      </c>
      <c r="H115" s="4" t="s">
        <v>289</v>
      </c>
      <c r="I115" s="4">
        <v>1</v>
      </c>
      <c r="J115" s="21">
        <v>50</v>
      </c>
      <c r="K115" s="21">
        <v>0</v>
      </c>
      <c r="L115" s="5">
        <v>0</v>
      </c>
      <c r="M115" s="4">
        <v>1</v>
      </c>
      <c r="N115" s="4"/>
      <c r="O115" s="5">
        <v>50</v>
      </c>
      <c r="P115" s="5"/>
      <c r="Q115" s="21">
        <v>50</v>
      </c>
      <c r="R115" s="21">
        <v>0</v>
      </c>
      <c r="S115" s="5">
        <f t="shared" si="7"/>
        <v>105167.5</v>
      </c>
      <c r="T115" cm="1">
        <f t="array" ref="T115">IF(OR(B115="MAL ALIMI", B115="ÜRETİM GİRİŞ"), MIN(I115, MAX(0, I115 + SUM(SUMIFS($I$1:I114, $C$1:C114, C115, $B$1:B114, {"MAL ALIMI","ÜRETİM GİRİŞ"})) - VLOOKUP(C115, 'STOK RAPORU'!$C$2:$I$1000, 4, 0))), 0)</f>
        <v>0</v>
      </c>
      <c r="U115" s="22">
        <f t="shared" si="4"/>
        <v>0</v>
      </c>
      <c r="V115">
        <f t="shared" si="5"/>
        <v>0</v>
      </c>
      <c r="W115" s="22">
        <f t="shared" si="6"/>
        <v>0</v>
      </c>
    </row>
    <row r="116" spans="1:23" hidden="1" x14ac:dyDescent="0.25">
      <c r="A116" s="3">
        <v>45948</v>
      </c>
      <c r="B116" s="3" t="s">
        <v>334</v>
      </c>
      <c r="C116" s="4" t="s">
        <v>145</v>
      </c>
      <c r="D116" s="4"/>
      <c r="E116" s="4"/>
      <c r="F116" s="4" t="s">
        <v>347</v>
      </c>
      <c r="G116" s="4" t="s">
        <v>336</v>
      </c>
      <c r="H116" s="4" t="s">
        <v>289</v>
      </c>
      <c r="I116" s="4">
        <v>1</v>
      </c>
      <c r="J116" s="21">
        <v>50</v>
      </c>
      <c r="K116" s="21">
        <v>0</v>
      </c>
      <c r="L116" s="5">
        <v>0</v>
      </c>
      <c r="M116" s="4">
        <v>1</v>
      </c>
      <c r="N116" s="4"/>
      <c r="O116" s="5">
        <v>50</v>
      </c>
      <c r="P116" s="5"/>
      <c r="Q116" s="21">
        <v>50</v>
      </c>
      <c r="R116" s="21">
        <v>0</v>
      </c>
      <c r="S116" s="5">
        <f t="shared" si="7"/>
        <v>105217.5</v>
      </c>
      <c r="T116" cm="1">
        <f t="array" ref="T116">IF(OR(B116="MAL ALIMI", B116="ÜRETİM GİRİŞ"), MIN(I116, MAX(0, I116 + SUM(SUMIFS($I$1:I115, $C$1:C115, C116, $B$1:B115, {"MAL ALIMI","ÜRETİM GİRİŞ"})) - VLOOKUP(C116, 'STOK RAPORU'!$C$2:$I$1000, 4, 0))), 0)</f>
        <v>0</v>
      </c>
      <c r="U116" s="22">
        <f t="shared" si="4"/>
        <v>0</v>
      </c>
      <c r="V116">
        <f t="shared" si="5"/>
        <v>0</v>
      </c>
      <c r="W116" s="22">
        <f t="shared" si="6"/>
        <v>0</v>
      </c>
    </row>
    <row r="117" spans="1:23" hidden="1" x14ac:dyDescent="0.25">
      <c r="A117" s="3">
        <v>45950</v>
      </c>
      <c r="B117" s="3" t="s">
        <v>298</v>
      </c>
      <c r="C117" s="4" t="s">
        <v>187</v>
      </c>
      <c r="D117" s="4"/>
      <c r="E117" s="4" t="s">
        <v>350</v>
      </c>
      <c r="F117" s="4" t="s">
        <v>349</v>
      </c>
      <c r="G117" s="4" t="s">
        <v>350</v>
      </c>
      <c r="H117" s="4" t="s">
        <v>304</v>
      </c>
      <c r="I117" s="4">
        <v>10</v>
      </c>
      <c r="J117" s="21">
        <v>20</v>
      </c>
      <c r="K117" s="21">
        <v>0</v>
      </c>
      <c r="L117" s="5">
        <v>200</v>
      </c>
      <c r="M117" s="4"/>
      <c r="N117" s="4">
        <v>10</v>
      </c>
      <c r="O117" s="5"/>
      <c r="P117" s="5">
        <v>20</v>
      </c>
      <c r="Q117" s="21">
        <v>0</v>
      </c>
      <c r="R117" s="21">
        <v>0</v>
      </c>
      <c r="S117" s="5">
        <f t="shared" si="7"/>
        <v>105217.5</v>
      </c>
      <c r="T117" cm="1">
        <f t="array" ref="T117">IF(OR(B117="MAL ALIMI", B117="ÜRETİM GİRİŞ"), MIN(I117, MAX(0, I117 + SUM(SUMIFS($I$1:I116, $C$1:C116, C117, $B$1:B116, {"MAL ALIMI","ÜRETİM GİRİŞ"})) - VLOOKUP(C117, 'STOK RAPORU'!$C$2:$I$1000, 4, 0))), 0)</f>
        <v>1</v>
      </c>
      <c r="U117" s="22">
        <f t="shared" si="4"/>
        <v>20</v>
      </c>
      <c r="V117">
        <f t="shared" si="5"/>
        <v>200</v>
      </c>
      <c r="W117" s="22">
        <f t="shared" si="6"/>
        <v>180</v>
      </c>
    </row>
    <row r="118" spans="1:23" hidden="1" x14ac:dyDescent="0.25">
      <c r="A118" s="3">
        <v>45950</v>
      </c>
      <c r="B118" s="3" t="s">
        <v>298</v>
      </c>
      <c r="C118" s="4" t="s">
        <v>189</v>
      </c>
      <c r="D118" s="4"/>
      <c r="E118" s="4" t="s">
        <v>350</v>
      </c>
      <c r="F118" s="4" t="s">
        <v>349</v>
      </c>
      <c r="G118" s="4" t="s">
        <v>350</v>
      </c>
      <c r="H118" s="4" t="s">
        <v>304</v>
      </c>
      <c r="I118" s="4">
        <v>1</v>
      </c>
      <c r="J118" s="21">
        <v>245</v>
      </c>
      <c r="K118" s="21">
        <v>0</v>
      </c>
      <c r="L118" s="5">
        <v>245</v>
      </c>
      <c r="M118" s="4"/>
      <c r="N118" s="4">
        <v>1</v>
      </c>
      <c r="O118" s="5"/>
      <c r="P118" s="5">
        <v>245</v>
      </c>
      <c r="Q118" s="21">
        <v>0</v>
      </c>
      <c r="R118" s="21">
        <v>0</v>
      </c>
      <c r="S118" s="5">
        <f t="shared" si="7"/>
        <v>105217.5</v>
      </c>
      <c r="T118" cm="1">
        <f t="array" ref="T118">IF(OR(B118="MAL ALIMI", B118="ÜRETİM GİRİŞ"), MIN(I118, MAX(0, I118 + SUM(SUMIFS($I$1:I117, $C$1:C117, C118, $B$1:B117, {"MAL ALIMI","ÜRETİM GİRİŞ"})) - VLOOKUP(C118, 'STOK RAPORU'!$C$2:$I$1000, 4, 0))), 0)</f>
        <v>0.5742162162162161</v>
      </c>
      <c r="U118" s="22">
        <f t="shared" si="4"/>
        <v>140.68297297297295</v>
      </c>
      <c r="V118">
        <f t="shared" si="5"/>
        <v>245</v>
      </c>
      <c r="W118" s="22">
        <f t="shared" si="6"/>
        <v>104.31702702702705</v>
      </c>
    </row>
    <row r="119" spans="1:23" hidden="1" x14ac:dyDescent="0.25">
      <c r="A119" s="3">
        <v>45950</v>
      </c>
      <c r="B119" s="3" t="s">
        <v>298</v>
      </c>
      <c r="C119" s="4" t="s">
        <v>190</v>
      </c>
      <c r="D119" s="4"/>
      <c r="E119" s="4" t="s">
        <v>350</v>
      </c>
      <c r="F119" s="4" t="s">
        <v>349</v>
      </c>
      <c r="G119" s="4" t="s">
        <v>350</v>
      </c>
      <c r="H119" s="4" t="s">
        <v>304</v>
      </c>
      <c r="I119" s="4">
        <v>1</v>
      </c>
      <c r="J119" s="21">
        <v>590</v>
      </c>
      <c r="K119" s="21">
        <v>0</v>
      </c>
      <c r="L119" s="5">
        <v>590</v>
      </c>
      <c r="M119" s="4"/>
      <c r="N119" s="4">
        <v>1</v>
      </c>
      <c r="O119" s="5"/>
      <c r="P119" s="5">
        <v>590</v>
      </c>
      <c r="Q119" s="21">
        <v>0</v>
      </c>
      <c r="R119" s="21">
        <v>0</v>
      </c>
      <c r="S119" s="5">
        <f t="shared" si="7"/>
        <v>105217.5</v>
      </c>
      <c r="T119" cm="1">
        <f t="array" ref="T119">IF(OR(B119="MAL ALIMI", B119="ÜRETİM GİRİŞ"), MIN(I119, MAX(0, I119 + SUM(SUMIFS($I$1:I118, $C$1:C118, C119, $B$1:B118, {"MAL ALIMI","ÜRETİM GİRİŞ"})) - VLOOKUP(C119, 'STOK RAPORU'!$C$2:$I$1000, 4, 0))), 0)</f>
        <v>0.73899999999999999</v>
      </c>
      <c r="U119" s="22">
        <f t="shared" si="4"/>
        <v>436.01</v>
      </c>
      <c r="V119">
        <f t="shared" si="5"/>
        <v>590</v>
      </c>
      <c r="W119" s="22">
        <f t="shared" si="6"/>
        <v>153.99</v>
      </c>
    </row>
    <row r="120" spans="1:23" hidden="1" x14ac:dyDescent="0.25">
      <c r="A120" s="3">
        <v>45950</v>
      </c>
      <c r="B120" s="3" t="s">
        <v>298</v>
      </c>
      <c r="C120" s="4" t="s">
        <v>191</v>
      </c>
      <c r="D120" s="4"/>
      <c r="E120" s="4" t="s">
        <v>350</v>
      </c>
      <c r="F120" s="4" t="s">
        <v>349</v>
      </c>
      <c r="G120" s="4" t="s">
        <v>350</v>
      </c>
      <c r="H120" s="4" t="s">
        <v>304</v>
      </c>
      <c r="I120" s="4">
        <v>1</v>
      </c>
      <c r="J120" s="21">
        <v>95</v>
      </c>
      <c r="K120" s="21">
        <v>0</v>
      </c>
      <c r="L120" s="5">
        <v>95</v>
      </c>
      <c r="M120" s="4"/>
      <c r="N120" s="4">
        <v>1</v>
      </c>
      <c r="O120" s="5"/>
      <c r="P120" s="5">
        <v>95</v>
      </c>
      <c r="Q120" s="21">
        <v>0</v>
      </c>
      <c r="R120" s="21">
        <v>0</v>
      </c>
      <c r="S120" s="5">
        <f t="shared" si="7"/>
        <v>105217.5</v>
      </c>
      <c r="T120" cm="1">
        <f t="array" ref="T120">IF(OR(B120="MAL ALIMI", B120="ÜRETİM GİRİŞ"), MIN(I120, MAX(0, I120 + SUM(SUMIFS($I$1:I119, $C$1:C119, C120, $B$1:B119, {"MAL ALIMI","ÜRETİM GİRİŞ"})) - VLOOKUP(C120, 'STOK RAPORU'!$C$2:$I$1000, 4, 0))), 0)</f>
        <v>0.96399999999999997</v>
      </c>
      <c r="U120" s="22">
        <f t="shared" si="4"/>
        <v>91.58</v>
      </c>
      <c r="V120">
        <f t="shared" si="5"/>
        <v>95</v>
      </c>
      <c r="W120" s="22">
        <f t="shared" si="6"/>
        <v>3.4200000000000017</v>
      </c>
    </row>
    <row r="121" spans="1:23" hidden="1" x14ac:dyDescent="0.25">
      <c r="A121" s="3">
        <v>45950</v>
      </c>
      <c r="B121" s="3" t="s">
        <v>298</v>
      </c>
      <c r="C121" s="4" t="s">
        <v>192</v>
      </c>
      <c r="D121" s="4"/>
      <c r="E121" s="4" t="s">
        <v>350</v>
      </c>
      <c r="F121" s="4" t="s">
        <v>349</v>
      </c>
      <c r="G121" s="4" t="s">
        <v>350</v>
      </c>
      <c r="H121" s="4" t="s">
        <v>304</v>
      </c>
      <c r="I121" s="4">
        <v>1</v>
      </c>
      <c r="J121" s="21">
        <v>85</v>
      </c>
      <c r="K121" s="21">
        <v>0</v>
      </c>
      <c r="L121" s="5">
        <v>85</v>
      </c>
      <c r="M121" s="4"/>
      <c r="N121" s="4">
        <v>1</v>
      </c>
      <c r="O121" s="5"/>
      <c r="P121" s="5">
        <v>85</v>
      </c>
      <c r="Q121" s="21">
        <v>0</v>
      </c>
      <c r="R121" s="21">
        <v>0</v>
      </c>
      <c r="S121" s="5">
        <f t="shared" si="7"/>
        <v>105217.5</v>
      </c>
      <c r="T121" cm="1">
        <f t="array" ref="T121">IF(OR(B121="MAL ALIMI", B121="ÜRETİM GİRİŞ"), MIN(I121, MAX(0, I121 + SUM(SUMIFS($I$1:I120, $C$1:C120, C121, $B$1:B120, {"MAL ALIMI","ÜRETİM GİRİŞ"})) - VLOOKUP(C121, 'STOK RAPORU'!$C$2:$I$1000, 4, 0))), 0)</f>
        <v>0</v>
      </c>
      <c r="U121" s="22">
        <f t="shared" si="4"/>
        <v>0</v>
      </c>
      <c r="V121">
        <f t="shared" si="5"/>
        <v>85</v>
      </c>
      <c r="W121" s="22">
        <f t="shared" si="6"/>
        <v>85</v>
      </c>
    </row>
    <row r="122" spans="1:23" hidden="1" x14ac:dyDescent="0.25">
      <c r="A122" s="3">
        <v>45950</v>
      </c>
      <c r="B122" s="3" t="s">
        <v>298</v>
      </c>
      <c r="C122" s="4" t="s">
        <v>193</v>
      </c>
      <c r="D122" s="4"/>
      <c r="E122" s="4" t="s">
        <v>350</v>
      </c>
      <c r="F122" s="4" t="s">
        <v>349</v>
      </c>
      <c r="G122" s="4" t="s">
        <v>350</v>
      </c>
      <c r="H122" s="4" t="s">
        <v>304</v>
      </c>
      <c r="I122" s="4">
        <v>1</v>
      </c>
      <c r="J122" s="21">
        <v>200</v>
      </c>
      <c r="K122" s="21">
        <v>0</v>
      </c>
      <c r="L122" s="5">
        <v>200</v>
      </c>
      <c r="M122" s="4"/>
      <c r="N122" s="4">
        <v>1</v>
      </c>
      <c r="O122" s="5"/>
      <c r="P122" s="5">
        <v>200</v>
      </c>
      <c r="Q122" s="21">
        <v>0</v>
      </c>
      <c r="R122" s="21">
        <v>0</v>
      </c>
      <c r="S122" s="5">
        <f t="shared" si="7"/>
        <v>105217.5</v>
      </c>
      <c r="T122" cm="1">
        <f t="array" ref="T122">IF(OR(B122="MAL ALIMI", B122="ÜRETİM GİRİŞ"), MIN(I122, MAX(0, I122 + SUM(SUMIFS($I$1:I121, $C$1:C121, C122, $B$1:B121, {"MAL ALIMI","ÜRETİM GİRİŞ"})) - VLOOKUP(C122, 'STOK RAPORU'!$C$2:$I$1000, 4, 0))), 0)</f>
        <v>0</v>
      </c>
      <c r="U122" s="22">
        <f t="shared" si="4"/>
        <v>0</v>
      </c>
      <c r="V122">
        <f t="shared" si="5"/>
        <v>200</v>
      </c>
      <c r="W122" s="22">
        <f t="shared" si="6"/>
        <v>200</v>
      </c>
    </row>
    <row r="123" spans="1:23" hidden="1" x14ac:dyDescent="0.25">
      <c r="A123" s="3">
        <v>45950</v>
      </c>
      <c r="B123" s="3" t="s">
        <v>298</v>
      </c>
      <c r="C123" s="4" t="s">
        <v>194</v>
      </c>
      <c r="D123" s="4"/>
      <c r="E123" s="4" t="s">
        <v>350</v>
      </c>
      <c r="F123" s="4" t="s">
        <v>349</v>
      </c>
      <c r="G123" s="4" t="s">
        <v>350</v>
      </c>
      <c r="H123" s="4" t="s">
        <v>304</v>
      </c>
      <c r="I123" s="4">
        <v>5</v>
      </c>
      <c r="J123" s="21">
        <v>570</v>
      </c>
      <c r="K123" s="21">
        <v>0</v>
      </c>
      <c r="L123" s="5">
        <v>2850</v>
      </c>
      <c r="M123" s="4"/>
      <c r="N123" s="4">
        <v>5</v>
      </c>
      <c r="O123" s="5"/>
      <c r="P123" s="5">
        <v>570</v>
      </c>
      <c r="Q123" s="21">
        <v>0</v>
      </c>
      <c r="R123" s="21">
        <v>0</v>
      </c>
      <c r="S123" s="5">
        <f t="shared" si="7"/>
        <v>105217.5</v>
      </c>
      <c r="T123" cm="1">
        <f t="array" ref="T123">IF(OR(B123="MAL ALIMI", B123="ÜRETİM GİRİŞ"), MIN(I123, MAX(0, I123 + SUM(SUMIFS($I$1:I122, $C$1:C122, C123, $B$1:B122, {"MAL ALIMI","ÜRETİM GİRİŞ"})) - VLOOKUP(C123, 'STOK RAPORU'!$C$2:$I$1000, 4, 0))), 0)</f>
        <v>0</v>
      </c>
      <c r="U123" s="22">
        <f t="shared" si="4"/>
        <v>0</v>
      </c>
      <c r="V123">
        <f t="shared" si="5"/>
        <v>2850</v>
      </c>
      <c r="W123" s="22">
        <f t="shared" si="6"/>
        <v>2850</v>
      </c>
    </row>
    <row r="124" spans="1:23" hidden="1" x14ac:dyDescent="0.25">
      <c r="A124" s="3">
        <v>45950</v>
      </c>
      <c r="B124" s="3" t="s">
        <v>298</v>
      </c>
      <c r="C124" s="4" t="s">
        <v>195</v>
      </c>
      <c r="D124" s="4"/>
      <c r="E124" s="4" t="s">
        <v>350</v>
      </c>
      <c r="F124" s="4" t="s">
        <v>349</v>
      </c>
      <c r="G124" s="4" t="s">
        <v>350</v>
      </c>
      <c r="H124" s="4" t="s">
        <v>304</v>
      </c>
      <c r="I124" s="4">
        <v>1</v>
      </c>
      <c r="J124" s="21">
        <v>295</v>
      </c>
      <c r="K124" s="21">
        <v>0</v>
      </c>
      <c r="L124" s="5">
        <v>295</v>
      </c>
      <c r="M124" s="4"/>
      <c r="N124" s="4">
        <v>1</v>
      </c>
      <c r="O124" s="5"/>
      <c r="P124" s="5">
        <v>295</v>
      </c>
      <c r="Q124" s="21">
        <v>0</v>
      </c>
      <c r="R124" s="21">
        <v>0</v>
      </c>
      <c r="S124" s="5">
        <f t="shared" si="7"/>
        <v>105217.5</v>
      </c>
      <c r="T124" cm="1">
        <f t="array" ref="T124">IF(OR(B124="MAL ALIMI", B124="ÜRETİM GİRİŞ"), MIN(I124, MAX(0, I124 + SUM(SUMIFS($I$1:I123, $C$1:C123, C124, $B$1:B123, {"MAL ALIMI","ÜRETİM GİRİŞ"})) - VLOOKUP(C124, 'STOK RAPORU'!$C$2:$I$1000, 4, 0))), 0)</f>
        <v>9.1999999999999638E-2</v>
      </c>
      <c r="U124" s="22">
        <f t="shared" si="4"/>
        <v>27.139999999999894</v>
      </c>
      <c r="V124">
        <f t="shared" si="5"/>
        <v>295</v>
      </c>
      <c r="W124" s="22">
        <f t="shared" si="6"/>
        <v>267.86000000000013</v>
      </c>
    </row>
    <row r="125" spans="1:23" hidden="1" x14ac:dyDescent="0.25">
      <c r="A125" s="3">
        <v>45950</v>
      </c>
      <c r="B125" s="3" t="s">
        <v>298</v>
      </c>
      <c r="C125" s="4" t="s">
        <v>196</v>
      </c>
      <c r="D125" s="4"/>
      <c r="E125" s="4" t="s">
        <v>350</v>
      </c>
      <c r="F125" s="4" t="s">
        <v>349</v>
      </c>
      <c r="G125" s="4" t="s">
        <v>350</v>
      </c>
      <c r="H125" s="4" t="s">
        <v>304</v>
      </c>
      <c r="I125" s="4">
        <v>5</v>
      </c>
      <c r="J125" s="21">
        <v>130</v>
      </c>
      <c r="K125" s="21">
        <v>0</v>
      </c>
      <c r="L125" s="5">
        <v>650</v>
      </c>
      <c r="M125" s="4"/>
      <c r="N125" s="4">
        <v>5</v>
      </c>
      <c r="O125" s="5"/>
      <c r="P125" s="5">
        <v>130</v>
      </c>
      <c r="Q125" s="21">
        <v>0</v>
      </c>
      <c r="R125" s="21">
        <v>0</v>
      </c>
      <c r="S125" s="5">
        <f t="shared" si="7"/>
        <v>105217.5</v>
      </c>
      <c r="T125" cm="1">
        <f t="array" ref="T125">IF(OR(B125="MAL ALIMI", B125="ÜRETİM GİRİŞ"), MIN(I125, MAX(0, I125 + SUM(SUMIFS($I$1:I124, $C$1:C124, C125, $B$1:B124, {"MAL ALIMI","ÜRETİM GİRİŞ"})) - VLOOKUP(C125, 'STOK RAPORU'!$C$2:$I$1000, 4, 0))), 0)</f>
        <v>0</v>
      </c>
      <c r="U125" s="22">
        <f t="shared" si="4"/>
        <v>0</v>
      </c>
      <c r="V125">
        <f t="shared" si="5"/>
        <v>650</v>
      </c>
      <c r="W125" s="22">
        <f t="shared" si="6"/>
        <v>650</v>
      </c>
    </row>
    <row r="126" spans="1:23" hidden="1" x14ac:dyDescent="0.25">
      <c r="A126" s="3">
        <v>45950</v>
      </c>
      <c r="B126" s="3" t="s">
        <v>298</v>
      </c>
      <c r="C126" s="4" t="s">
        <v>197</v>
      </c>
      <c r="D126" s="4"/>
      <c r="E126" s="4" t="s">
        <v>350</v>
      </c>
      <c r="F126" s="4" t="s">
        <v>349</v>
      </c>
      <c r="G126" s="4" t="s">
        <v>350</v>
      </c>
      <c r="H126" s="4" t="s">
        <v>304</v>
      </c>
      <c r="I126" s="4">
        <v>5</v>
      </c>
      <c r="J126" s="21">
        <v>140</v>
      </c>
      <c r="K126" s="21">
        <v>0</v>
      </c>
      <c r="L126" s="5">
        <v>700</v>
      </c>
      <c r="M126" s="4"/>
      <c r="N126" s="4">
        <v>5</v>
      </c>
      <c r="O126" s="5"/>
      <c r="P126" s="5">
        <v>140</v>
      </c>
      <c r="Q126" s="21">
        <v>0</v>
      </c>
      <c r="R126" s="21">
        <v>0</v>
      </c>
      <c r="S126" s="5">
        <f t="shared" si="7"/>
        <v>105217.5</v>
      </c>
      <c r="T126" cm="1">
        <f t="array" ref="T126">IF(OR(B126="MAL ALIMI", B126="ÜRETİM GİRİŞ"), MIN(I126, MAX(0, I126 + SUM(SUMIFS($I$1:I125, $C$1:C125, C126, $B$1:B125, {"MAL ALIMI","ÜRETİM GİRİŞ"})) - VLOOKUP(C126, 'STOK RAPORU'!$C$2:$I$1000, 4, 0))), 0)</f>
        <v>0</v>
      </c>
      <c r="U126" s="22">
        <f t="shared" si="4"/>
        <v>0</v>
      </c>
      <c r="V126">
        <f t="shared" si="5"/>
        <v>700</v>
      </c>
      <c r="W126" s="22">
        <f t="shared" si="6"/>
        <v>700</v>
      </c>
    </row>
    <row r="127" spans="1:23" hidden="1" x14ac:dyDescent="0.25">
      <c r="A127" s="3">
        <v>45950</v>
      </c>
      <c r="B127" s="3" t="s">
        <v>298</v>
      </c>
      <c r="C127" s="4" t="s">
        <v>198</v>
      </c>
      <c r="D127" s="4"/>
      <c r="E127" s="4" t="s">
        <v>350</v>
      </c>
      <c r="F127" s="4" t="s">
        <v>349</v>
      </c>
      <c r="G127" s="4" t="s">
        <v>350</v>
      </c>
      <c r="H127" s="4" t="s">
        <v>304</v>
      </c>
      <c r="I127" s="4">
        <v>1</v>
      </c>
      <c r="J127" s="21">
        <v>200</v>
      </c>
      <c r="K127" s="21">
        <v>0</v>
      </c>
      <c r="L127" s="5">
        <v>200</v>
      </c>
      <c r="M127" s="4"/>
      <c r="N127" s="4">
        <v>1</v>
      </c>
      <c r="O127" s="5"/>
      <c r="P127" s="5">
        <v>200</v>
      </c>
      <c r="Q127" s="21">
        <v>0</v>
      </c>
      <c r="R127" s="21">
        <v>0</v>
      </c>
      <c r="S127" s="5">
        <f t="shared" si="7"/>
        <v>105217.5</v>
      </c>
      <c r="T127" cm="1">
        <f t="array" ref="T127">IF(OR(B127="MAL ALIMI", B127="ÜRETİM GİRİŞ"), MIN(I127, MAX(0, I127 + SUM(SUMIFS($I$1:I126, $C$1:C126, C127, $B$1:B126, {"MAL ALIMI","ÜRETİM GİRİŞ"})) - VLOOKUP(C127, 'STOK RAPORU'!$C$2:$I$1000, 4, 0))), 0)</f>
        <v>0</v>
      </c>
      <c r="U127" s="22">
        <f t="shared" si="4"/>
        <v>0</v>
      </c>
      <c r="V127">
        <f t="shared" si="5"/>
        <v>200</v>
      </c>
      <c r="W127" s="22">
        <f t="shared" si="6"/>
        <v>200</v>
      </c>
    </row>
    <row r="128" spans="1:23" hidden="1" x14ac:dyDescent="0.25">
      <c r="A128" s="3">
        <v>45950</v>
      </c>
      <c r="B128" s="3" t="s">
        <v>298</v>
      </c>
      <c r="C128" s="4" t="s">
        <v>199</v>
      </c>
      <c r="D128" s="4"/>
      <c r="E128" s="4" t="s">
        <v>350</v>
      </c>
      <c r="F128" s="4" t="s">
        <v>349</v>
      </c>
      <c r="G128" s="4" t="s">
        <v>350</v>
      </c>
      <c r="H128" s="4" t="s">
        <v>304</v>
      </c>
      <c r="I128" s="4">
        <v>5</v>
      </c>
      <c r="J128" s="21">
        <v>850</v>
      </c>
      <c r="K128" s="21">
        <v>0</v>
      </c>
      <c r="L128" s="5">
        <v>4250</v>
      </c>
      <c r="M128" s="4"/>
      <c r="N128" s="4">
        <v>5</v>
      </c>
      <c r="O128" s="5"/>
      <c r="P128" s="5">
        <v>850</v>
      </c>
      <c r="Q128" s="21">
        <v>0</v>
      </c>
      <c r="R128" s="21">
        <v>0</v>
      </c>
      <c r="S128" s="5">
        <f t="shared" si="7"/>
        <v>105217.5</v>
      </c>
      <c r="T128" cm="1">
        <f t="array" ref="T128">IF(OR(B128="MAL ALIMI", B128="ÜRETİM GİRİŞ"), MIN(I128, MAX(0, I128 + SUM(SUMIFS($I$1:I127, $C$1:C127, C128, $B$1:B127, {"MAL ALIMI","ÜRETİM GİRİŞ"})) - VLOOKUP(C128, 'STOK RAPORU'!$C$2:$I$1000, 4, 0))), 0)</f>
        <v>0</v>
      </c>
      <c r="U128" s="22">
        <f t="shared" si="4"/>
        <v>0</v>
      </c>
      <c r="V128">
        <f t="shared" si="5"/>
        <v>4250</v>
      </c>
      <c r="W128" s="22">
        <f t="shared" si="6"/>
        <v>4250</v>
      </c>
    </row>
    <row r="129" spans="1:23" hidden="1" x14ac:dyDescent="0.25">
      <c r="A129" s="3">
        <v>45950</v>
      </c>
      <c r="B129" s="3" t="s">
        <v>298</v>
      </c>
      <c r="C129" s="4" t="s">
        <v>200</v>
      </c>
      <c r="D129" s="4"/>
      <c r="E129" s="4" t="s">
        <v>350</v>
      </c>
      <c r="F129" s="4" t="s">
        <v>349</v>
      </c>
      <c r="G129" s="4" t="s">
        <v>350</v>
      </c>
      <c r="H129" s="4" t="s">
        <v>304</v>
      </c>
      <c r="I129" s="4">
        <v>5</v>
      </c>
      <c r="J129" s="21">
        <v>195</v>
      </c>
      <c r="K129" s="21">
        <v>0</v>
      </c>
      <c r="L129" s="5">
        <v>975</v>
      </c>
      <c r="M129" s="4"/>
      <c r="N129" s="4">
        <v>5</v>
      </c>
      <c r="O129" s="5"/>
      <c r="P129" s="5">
        <v>195</v>
      </c>
      <c r="Q129" s="21">
        <v>0</v>
      </c>
      <c r="R129" s="21">
        <v>0</v>
      </c>
      <c r="S129" s="5">
        <f t="shared" si="7"/>
        <v>105217.5</v>
      </c>
      <c r="T129" cm="1">
        <f t="array" ref="T129">IF(OR(B129="MAL ALIMI", B129="ÜRETİM GİRİŞ"), MIN(I129, MAX(0, I129 + SUM(SUMIFS($I$1:I128, $C$1:C128, C129, $B$1:B128, {"MAL ALIMI","ÜRETİM GİRİŞ"})) - VLOOKUP(C129, 'STOK RAPORU'!$C$2:$I$1000, 4, 0))), 0)</f>
        <v>0</v>
      </c>
      <c r="U129" s="22">
        <f t="shared" si="4"/>
        <v>0</v>
      </c>
      <c r="V129">
        <f t="shared" si="5"/>
        <v>975</v>
      </c>
      <c r="W129" s="22">
        <f t="shared" si="6"/>
        <v>975</v>
      </c>
    </row>
    <row r="130" spans="1:23" hidden="1" x14ac:dyDescent="0.25">
      <c r="A130" s="3">
        <v>45950</v>
      </c>
      <c r="B130" s="3" t="s">
        <v>298</v>
      </c>
      <c r="C130" s="4" t="s">
        <v>201</v>
      </c>
      <c r="D130" s="4"/>
      <c r="E130" s="4" t="s">
        <v>350</v>
      </c>
      <c r="F130" s="4" t="s">
        <v>349</v>
      </c>
      <c r="G130" s="4" t="s">
        <v>350</v>
      </c>
      <c r="H130" s="4" t="s">
        <v>304</v>
      </c>
      <c r="I130" s="4">
        <v>5</v>
      </c>
      <c r="J130" s="21">
        <v>620</v>
      </c>
      <c r="K130" s="21">
        <v>0</v>
      </c>
      <c r="L130" s="5">
        <v>3100</v>
      </c>
      <c r="M130" s="4"/>
      <c r="N130" s="4">
        <v>5</v>
      </c>
      <c r="O130" s="5"/>
      <c r="P130" s="5">
        <v>620</v>
      </c>
      <c r="Q130" s="21">
        <v>0</v>
      </c>
      <c r="R130" s="21">
        <v>0</v>
      </c>
      <c r="S130" s="5">
        <f t="shared" si="7"/>
        <v>105217.5</v>
      </c>
      <c r="T130" cm="1">
        <f t="array" ref="T130">IF(OR(B130="MAL ALIMI", B130="ÜRETİM GİRİŞ"), MIN(I130, MAX(0, I130 + SUM(SUMIFS($I$1:I129, $C$1:C129, C130, $B$1:B129, {"MAL ALIMI","ÜRETİM GİRİŞ"})) - VLOOKUP(C130, 'STOK RAPORU'!$C$2:$I$1000, 4, 0))), 0)</f>
        <v>2.4999999999941735E-4</v>
      </c>
      <c r="U130" s="22">
        <f t="shared" si="4"/>
        <v>0.15499999999963876</v>
      </c>
      <c r="V130">
        <f t="shared" si="5"/>
        <v>3100</v>
      </c>
      <c r="W130" s="22">
        <f t="shared" si="6"/>
        <v>3099.8450000000003</v>
      </c>
    </row>
    <row r="131" spans="1:23" hidden="1" x14ac:dyDescent="0.25">
      <c r="A131" s="3">
        <v>45950</v>
      </c>
      <c r="B131" s="3" t="s">
        <v>298</v>
      </c>
      <c r="C131" s="4" t="s">
        <v>202</v>
      </c>
      <c r="D131" s="4"/>
      <c r="E131" s="4" t="s">
        <v>350</v>
      </c>
      <c r="F131" s="4" t="s">
        <v>349</v>
      </c>
      <c r="G131" s="4" t="s">
        <v>350</v>
      </c>
      <c r="H131" s="4" t="s">
        <v>304</v>
      </c>
      <c r="I131" s="4">
        <v>10</v>
      </c>
      <c r="J131" s="21">
        <v>15</v>
      </c>
      <c r="K131" s="21">
        <v>0</v>
      </c>
      <c r="L131" s="5">
        <v>150</v>
      </c>
      <c r="M131" s="4"/>
      <c r="N131" s="4">
        <v>10</v>
      </c>
      <c r="O131" s="5"/>
      <c r="P131" s="5">
        <v>15</v>
      </c>
      <c r="Q131" s="21">
        <v>0</v>
      </c>
      <c r="R131" s="21">
        <v>0</v>
      </c>
      <c r="S131" s="5">
        <f t="shared" si="7"/>
        <v>105217.5</v>
      </c>
      <c r="T131" cm="1">
        <f t="array" ref="T131">IF(OR(B131="MAL ALIMI", B131="ÜRETİM GİRİŞ"), MIN(I131, MAX(0, I131 + SUM(SUMIFS($I$1:I130, $C$1:C130, C131, $B$1:B130, {"MAL ALIMI","ÜRETİM GİRİŞ"})) - VLOOKUP(C131, 'STOK RAPORU'!$C$2:$I$1000, 4, 0))), 0)</f>
        <v>0</v>
      </c>
      <c r="U131" s="22">
        <f t="shared" ref="U131:U194" si="8">T131*J131</f>
        <v>0</v>
      </c>
      <c r="V131">
        <f t="shared" ref="V131:V194" si="9">IF(OR(B131="MAL ALIMI", B131="ÜRETİM GİRİŞ"), I131 * J131, 0)</f>
        <v>150</v>
      </c>
      <c r="W131" s="22">
        <f t="shared" ref="W131:W194" si="10">V131-U131</f>
        <v>150</v>
      </c>
    </row>
    <row r="132" spans="1:23" hidden="1" x14ac:dyDescent="0.25">
      <c r="A132" s="3">
        <v>45950</v>
      </c>
      <c r="B132" s="3" t="s">
        <v>298</v>
      </c>
      <c r="C132" s="4" t="s">
        <v>203</v>
      </c>
      <c r="D132" s="4"/>
      <c r="E132" s="4" t="s">
        <v>350</v>
      </c>
      <c r="F132" s="4" t="s">
        <v>349</v>
      </c>
      <c r="G132" s="4" t="s">
        <v>350</v>
      </c>
      <c r="H132" s="4" t="s">
        <v>304</v>
      </c>
      <c r="I132" s="4">
        <v>10</v>
      </c>
      <c r="J132" s="21">
        <v>15</v>
      </c>
      <c r="K132" s="21">
        <v>0</v>
      </c>
      <c r="L132" s="5">
        <v>150</v>
      </c>
      <c r="M132" s="4"/>
      <c r="N132" s="4">
        <v>10</v>
      </c>
      <c r="O132" s="5"/>
      <c r="P132" s="5">
        <v>15</v>
      </c>
      <c r="Q132" s="21">
        <v>0</v>
      </c>
      <c r="R132" s="21">
        <v>0</v>
      </c>
      <c r="S132" s="5">
        <f t="shared" ref="S132:S195" si="11">S131+Q132-R132</f>
        <v>105217.5</v>
      </c>
      <c r="T132" cm="1">
        <f t="array" ref="T132">IF(OR(B132="MAL ALIMI", B132="ÜRETİM GİRİŞ"), MIN(I132, MAX(0, I132 + SUM(SUMIFS($I$1:I131, $C$1:C131, C132, $B$1:B131, {"MAL ALIMI","ÜRETİM GİRİŞ"})) - VLOOKUP(C132, 'STOK RAPORU'!$C$2:$I$1000, 4, 0))), 0)</f>
        <v>1.5</v>
      </c>
      <c r="U132" s="22">
        <f t="shared" si="8"/>
        <v>22.5</v>
      </c>
      <c r="V132">
        <f t="shared" si="9"/>
        <v>150</v>
      </c>
      <c r="W132" s="22">
        <f t="shared" si="10"/>
        <v>127.5</v>
      </c>
    </row>
    <row r="133" spans="1:23" hidden="1" x14ac:dyDescent="0.25">
      <c r="A133" s="3">
        <v>45950</v>
      </c>
      <c r="B133" s="3" t="s">
        <v>298</v>
      </c>
      <c r="C133" s="4" t="s">
        <v>204</v>
      </c>
      <c r="D133" s="4"/>
      <c r="E133" s="4" t="s">
        <v>350</v>
      </c>
      <c r="F133" s="4" t="s">
        <v>349</v>
      </c>
      <c r="G133" s="4" t="s">
        <v>350</v>
      </c>
      <c r="H133" s="4" t="s">
        <v>304</v>
      </c>
      <c r="I133" s="4">
        <v>1</v>
      </c>
      <c r="J133" s="21">
        <v>550</v>
      </c>
      <c r="K133" s="21">
        <v>0</v>
      </c>
      <c r="L133" s="5">
        <v>550</v>
      </c>
      <c r="M133" s="4"/>
      <c r="N133" s="4">
        <v>1</v>
      </c>
      <c r="O133" s="5"/>
      <c r="P133" s="5">
        <v>550</v>
      </c>
      <c r="Q133" s="21">
        <v>0</v>
      </c>
      <c r="R133" s="21">
        <v>0</v>
      </c>
      <c r="S133" s="5">
        <f t="shared" si="11"/>
        <v>105217.5</v>
      </c>
      <c r="T133" cm="1">
        <f t="array" ref="T133">IF(OR(B133="MAL ALIMI", B133="ÜRETİM GİRİŞ"), MIN(I133, MAX(0, I133 + SUM(SUMIFS($I$1:I132, $C$1:C132, C133, $B$1:B132, {"MAL ALIMI","ÜRETİM GİRİŞ"})) - VLOOKUP(C133, 'STOK RAPORU'!$C$2:$I$1000, 4, 0))), 0)</f>
        <v>0.47628571428571431</v>
      </c>
      <c r="U133" s="22">
        <f t="shared" si="8"/>
        <v>261.95714285714286</v>
      </c>
      <c r="V133">
        <f t="shared" si="9"/>
        <v>550</v>
      </c>
      <c r="W133" s="22">
        <f t="shared" si="10"/>
        <v>288.04285714285714</v>
      </c>
    </row>
    <row r="134" spans="1:23" hidden="1" x14ac:dyDescent="0.25">
      <c r="A134" s="3">
        <v>45950</v>
      </c>
      <c r="B134" s="3" t="s">
        <v>298</v>
      </c>
      <c r="C134" s="4" t="s">
        <v>205</v>
      </c>
      <c r="D134" s="4"/>
      <c r="E134" s="4" t="s">
        <v>350</v>
      </c>
      <c r="F134" s="4" t="s">
        <v>349</v>
      </c>
      <c r="G134" s="4" t="s">
        <v>350</v>
      </c>
      <c r="H134" s="4" t="s">
        <v>304</v>
      </c>
      <c r="I134" s="4">
        <v>5</v>
      </c>
      <c r="J134" s="21">
        <v>205</v>
      </c>
      <c r="K134" s="21">
        <v>0</v>
      </c>
      <c r="L134" s="5">
        <v>1025</v>
      </c>
      <c r="M134" s="4"/>
      <c r="N134" s="4">
        <v>5</v>
      </c>
      <c r="O134" s="5"/>
      <c r="P134" s="5">
        <v>205</v>
      </c>
      <c r="Q134" s="21">
        <v>0</v>
      </c>
      <c r="R134" s="21">
        <v>0</v>
      </c>
      <c r="S134" s="5">
        <f t="shared" si="11"/>
        <v>105217.5</v>
      </c>
      <c r="T134" cm="1">
        <f t="array" ref="T134">IF(OR(B134="MAL ALIMI", B134="ÜRETİM GİRİŞ"), MIN(I134, MAX(0, I134 + SUM(SUMIFS($I$1:I133, $C$1:C133, C134, $B$1:B133, {"MAL ALIMI","ÜRETİM GİRİŞ"})) - VLOOKUP(C134, 'STOK RAPORU'!$C$2:$I$1000, 4, 0))), 0)</f>
        <v>0</v>
      </c>
      <c r="U134" s="22">
        <f t="shared" si="8"/>
        <v>0</v>
      </c>
      <c r="V134">
        <f t="shared" si="9"/>
        <v>1025</v>
      </c>
      <c r="W134" s="22">
        <f t="shared" si="10"/>
        <v>1025</v>
      </c>
    </row>
    <row r="135" spans="1:23" hidden="1" x14ac:dyDescent="0.25">
      <c r="A135" s="3">
        <v>45950</v>
      </c>
      <c r="B135" s="3" t="s">
        <v>298</v>
      </c>
      <c r="C135" s="4" t="s">
        <v>206</v>
      </c>
      <c r="D135" s="4"/>
      <c r="E135" s="4" t="s">
        <v>350</v>
      </c>
      <c r="F135" s="4" t="s">
        <v>349</v>
      </c>
      <c r="G135" s="4" t="s">
        <v>350</v>
      </c>
      <c r="H135" s="4" t="s">
        <v>304</v>
      </c>
      <c r="I135" s="4">
        <v>5</v>
      </c>
      <c r="J135" s="21">
        <v>185</v>
      </c>
      <c r="K135" s="21">
        <v>0</v>
      </c>
      <c r="L135" s="5">
        <v>925</v>
      </c>
      <c r="M135" s="4"/>
      <c r="N135" s="4">
        <v>5</v>
      </c>
      <c r="O135" s="5"/>
      <c r="P135" s="5">
        <v>185</v>
      </c>
      <c r="Q135" s="21">
        <v>0</v>
      </c>
      <c r="R135" s="21">
        <v>0</v>
      </c>
      <c r="S135" s="5">
        <f t="shared" si="11"/>
        <v>105217.5</v>
      </c>
      <c r="T135" cm="1">
        <f t="array" ref="T135">IF(OR(B135="MAL ALIMI", B135="ÜRETİM GİRİŞ"), MIN(I135, MAX(0, I135 + SUM(SUMIFS($I$1:I134, $C$1:C134, C135, $B$1:B134, {"MAL ALIMI","ÜRETİM GİRİŞ"})) - VLOOKUP(C135, 'STOK RAPORU'!$C$2:$I$1000, 4, 0))), 0)</f>
        <v>0</v>
      </c>
      <c r="U135" s="22">
        <f t="shared" si="8"/>
        <v>0</v>
      </c>
      <c r="V135">
        <f t="shared" si="9"/>
        <v>925</v>
      </c>
      <c r="W135" s="22">
        <f t="shared" si="10"/>
        <v>925</v>
      </c>
    </row>
    <row r="136" spans="1:23" hidden="1" x14ac:dyDescent="0.25">
      <c r="A136" s="3">
        <v>45950</v>
      </c>
      <c r="B136" s="3" t="s">
        <v>298</v>
      </c>
      <c r="C136" s="4" t="s">
        <v>207</v>
      </c>
      <c r="D136" s="4"/>
      <c r="E136" s="4" t="s">
        <v>350</v>
      </c>
      <c r="F136" s="4" t="s">
        <v>349</v>
      </c>
      <c r="G136" s="4" t="s">
        <v>350</v>
      </c>
      <c r="H136" s="4" t="s">
        <v>304</v>
      </c>
      <c r="I136" s="4">
        <v>10</v>
      </c>
      <c r="J136" s="21">
        <v>26</v>
      </c>
      <c r="K136" s="21">
        <v>0</v>
      </c>
      <c r="L136" s="5">
        <v>260</v>
      </c>
      <c r="M136" s="4"/>
      <c r="N136" s="4">
        <v>10</v>
      </c>
      <c r="O136" s="5"/>
      <c r="P136" s="5">
        <v>26</v>
      </c>
      <c r="Q136" s="21">
        <v>0</v>
      </c>
      <c r="R136" s="21">
        <v>0</v>
      </c>
      <c r="S136" s="5">
        <f t="shared" si="11"/>
        <v>105217.5</v>
      </c>
      <c r="T136" cm="1">
        <f t="array" ref="T136">IF(OR(B136="MAL ALIMI", B136="ÜRETİM GİRİŞ"), MIN(I136, MAX(0, I136 + SUM(SUMIFS($I$1:I135, $C$1:C135, C136, $B$1:B135, {"MAL ALIMI","ÜRETİM GİRİŞ"})) - VLOOKUP(C136, 'STOK RAPORU'!$C$2:$I$1000, 4, 0))), 0)</f>
        <v>7.5</v>
      </c>
      <c r="U136" s="22">
        <f t="shared" si="8"/>
        <v>195</v>
      </c>
      <c r="V136">
        <f t="shared" si="9"/>
        <v>260</v>
      </c>
      <c r="W136" s="22">
        <f t="shared" si="10"/>
        <v>65</v>
      </c>
    </row>
    <row r="137" spans="1:23" hidden="1" x14ac:dyDescent="0.25">
      <c r="A137" s="3">
        <v>45950</v>
      </c>
      <c r="B137" s="3" t="s">
        <v>298</v>
      </c>
      <c r="C137" s="4" t="s">
        <v>208</v>
      </c>
      <c r="D137" s="4"/>
      <c r="E137" s="4" t="s">
        <v>350</v>
      </c>
      <c r="F137" s="4" t="s">
        <v>349</v>
      </c>
      <c r="G137" s="4" t="s">
        <v>350</v>
      </c>
      <c r="H137" s="4" t="s">
        <v>304</v>
      </c>
      <c r="I137" s="4">
        <v>10</v>
      </c>
      <c r="J137" s="21">
        <v>26</v>
      </c>
      <c r="K137" s="21">
        <v>0</v>
      </c>
      <c r="L137" s="5">
        <v>260</v>
      </c>
      <c r="M137" s="4"/>
      <c r="N137" s="4">
        <v>10</v>
      </c>
      <c r="O137" s="5"/>
      <c r="P137" s="5">
        <v>26</v>
      </c>
      <c r="Q137" s="21">
        <v>0</v>
      </c>
      <c r="R137" s="21">
        <v>0</v>
      </c>
      <c r="S137" s="5">
        <f t="shared" si="11"/>
        <v>105217.5</v>
      </c>
      <c r="T137" cm="1">
        <f t="array" ref="T137">IF(OR(B137="MAL ALIMI", B137="ÜRETİM GİRİŞ"), MIN(I137, MAX(0, I137 + SUM(SUMIFS($I$1:I136, $C$1:C136, C137, $B$1:B136, {"MAL ALIMI","ÜRETİM GİRİŞ"})) - VLOOKUP(C137, 'STOK RAPORU'!$C$2:$I$1000, 4, 0))), 0)</f>
        <v>3.05</v>
      </c>
      <c r="U137" s="22">
        <f t="shared" si="8"/>
        <v>79.3</v>
      </c>
      <c r="V137">
        <f t="shared" si="9"/>
        <v>260</v>
      </c>
      <c r="W137" s="22">
        <f t="shared" si="10"/>
        <v>180.7</v>
      </c>
    </row>
    <row r="138" spans="1:23" hidden="1" x14ac:dyDescent="0.25">
      <c r="A138" s="3">
        <v>45950</v>
      </c>
      <c r="B138" s="3" t="s">
        <v>298</v>
      </c>
      <c r="C138" s="4" t="s">
        <v>209</v>
      </c>
      <c r="D138" s="4"/>
      <c r="E138" s="4" t="s">
        <v>350</v>
      </c>
      <c r="F138" s="4" t="s">
        <v>349</v>
      </c>
      <c r="G138" s="4" t="s">
        <v>350</v>
      </c>
      <c r="H138" s="4" t="s">
        <v>304</v>
      </c>
      <c r="I138" s="4">
        <v>1</v>
      </c>
      <c r="J138" s="21">
        <v>1250</v>
      </c>
      <c r="K138" s="21">
        <v>0</v>
      </c>
      <c r="L138" s="5">
        <v>1250</v>
      </c>
      <c r="M138" s="4"/>
      <c r="N138" s="4">
        <v>1</v>
      </c>
      <c r="O138" s="5"/>
      <c r="P138" s="5">
        <v>1250</v>
      </c>
      <c r="Q138" s="21">
        <v>0</v>
      </c>
      <c r="R138" s="21">
        <v>0</v>
      </c>
      <c r="S138" s="5">
        <f t="shared" si="11"/>
        <v>105217.5</v>
      </c>
      <c r="T138" cm="1">
        <f t="array" ref="T138">IF(OR(B138="MAL ALIMI", B138="ÜRETİM GİRİŞ"), MIN(I138, MAX(0, I138 + SUM(SUMIFS($I$1:I137, $C$1:C137, C138, $B$1:B137, {"MAL ALIMI","ÜRETİM GİRİŞ"})) - VLOOKUP(C138, 'STOK RAPORU'!$C$2:$I$1000, 4, 0))), 0)</f>
        <v>0</v>
      </c>
      <c r="U138" s="22">
        <f t="shared" si="8"/>
        <v>0</v>
      </c>
      <c r="V138">
        <f t="shared" si="9"/>
        <v>1250</v>
      </c>
      <c r="W138" s="22">
        <f t="shared" si="10"/>
        <v>1250</v>
      </c>
    </row>
    <row r="139" spans="1:23" hidden="1" x14ac:dyDescent="0.25">
      <c r="A139" s="3">
        <v>45950</v>
      </c>
      <c r="B139" s="3" t="s">
        <v>298</v>
      </c>
      <c r="C139" s="4" t="s">
        <v>210</v>
      </c>
      <c r="D139" s="4"/>
      <c r="E139" s="4" t="s">
        <v>350</v>
      </c>
      <c r="F139" s="4" t="s">
        <v>349</v>
      </c>
      <c r="G139" s="4" t="s">
        <v>350</v>
      </c>
      <c r="H139" s="4" t="s">
        <v>304</v>
      </c>
      <c r="I139" s="4">
        <v>1</v>
      </c>
      <c r="J139" s="21">
        <v>2250</v>
      </c>
      <c r="K139" s="21">
        <v>0</v>
      </c>
      <c r="L139" s="5">
        <v>2250</v>
      </c>
      <c r="M139" s="4"/>
      <c r="N139" s="4">
        <v>1</v>
      </c>
      <c r="O139" s="5"/>
      <c r="P139" s="5">
        <v>2250</v>
      </c>
      <c r="Q139" s="21">
        <v>0</v>
      </c>
      <c r="R139" s="21">
        <v>0</v>
      </c>
      <c r="S139" s="5">
        <f t="shared" si="11"/>
        <v>105217.5</v>
      </c>
      <c r="T139" cm="1">
        <f t="array" ref="T139">IF(OR(B139="MAL ALIMI", B139="ÜRETİM GİRİŞ"), MIN(I139, MAX(0, I139 + SUM(SUMIFS($I$1:I138, $C$1:C138, C139, $B$1:B138, {"MAL ALIMI","ÜRETİM GİRİŞ"})) - VLOOKUP(C139, 'STOK RAPORU'!$C$2:$I$1000, 4, 0))), 0)</f>
        <v>0.76</v>
      </c>
      <c r="U139" s="22">
        <f t="shared" si="8"/>
        <v>1710</v>
      </c>
      <c r="V139">
        <f t="shared" si="9"/>
        <v>2250</v>
      </c>
      <c r="W139" s="22">
        <f t="shared" si="10"/>
        <v>540</v>
      </c>
    </row>
    <row r="140" spans="1:23" hidden="1" x14ac:dyDescent="0.25">
      <c r="A140" s="3">
        <v>45950</v>
      </c>
      <c r="B140" s="3" t="s">
        <v>298</v>
      </c>
      <c r="C140" s="4" t="s">
        <v>211</v>
      </c>
      <c r="D140" s="4"/>
      <c r="E140" s="4" t="s">
        <v>350</v>
      </c>
      <c r="F140" s="4" t="s">
        <v>349</v>
      </c>
      <c r="G140" s="4" t="s">
        <v>350</v>
      </c>
      <c r="H140" s="4" t="s">
        <v>304</v>
      </c>
      <c r="I140" s="4">
        <v>25</v>
      </c>
      <c r="J140" s="21">
        <v>240</v>
      </c>
      <c r="K140" s="21">
        <v>0</v>
      </c>
      <c r="L140" s="5">
        <v>6000</v>
      </c>
      <c r="M140" s="4"/>
      <c r="N140" s="4">
        <v>25</v>
      </c>
      <c r="O140" s="5"/>
      <c r="P140" s="5">
        <v>240</v>
      </c>
      <c r="Q140" s="21">
        <v>0</v>
      </c>
      <c r="R140" s="21">
        <v>0</v>
      </c>
      <c r="S140" s="5">
        <f t="shared" si="11"/>
        <v>105217.5</v>
      </c>
      <c r="T140" cm="1">
        <f t="array" ref="T140">IF(OR(B140="MAL ALIMI", B140="ÜRETİM GİRİŞ"), MIN(I140, MAX(0, I140 + SUM(SUMIFS($I$1:I139, $C$1:C139, C140, $B$1:B139, {"MAL ALIMI","ÜRETİM GİRİŞ"})) - VLOOKUP(C140, 'STOK RAPORU'!$C$2:$I$1000, 4, 0))), 0)</f>
        <v>0</v>
      </c>
      <c r="U140" s="22">
        <f t="shared" si="8"/>
        <v>0</v>
      </c>
      <c r="V140">
        <f t="shared" si="9"/>
        <v>6000</v>
      </c>
      <c r="W140" s="22">
        <f t="shared" si="10"/>
        <v>6000</v>
      </c>
    </row>
    <row r="141" spans="1:23" hidden="1" x14ac:dyDescent="0.25">
      <c r="A141" s="3">
        <v>45950</v>
      </c>
      <c r="B141" s="3" t="s">
        <v>298</v>
      </c>
      <c r="C141" s="4" t="s">
        <v>212</v>
      </c>
      <c r="D141" s="4"/>
      <c r="E141" s="4" t="s">
        <v>350</v>
      </c>
      <c r="F141" s="4" t="s">
        <v>349</v>
      </c>
      <c r="G141" s="4" t="s">
        <v>350</v>
      </c>
      <c r="H141" s="4" t="s">
        <v>304</v>
      </c>
      <c r="I141" s="4">
        <v>1</v>
      </c>
      <c r="J141" s="21">
        <v>275</v>
      </c>
      <c r="K141" s="21">
        <v>0</v>
      </c>
      <c r="L141" s="5">
        <v>275</v>
      </c>
      <c r="M141" s="4"/>
      <c r="N141" s="4">
        <v>1</v>
      </c>
      <c r="O141" s="5"/>
      <c r="P141" s="5">
        <v>275</v>
      </c>
      <c r="Q141" s="21">
        <v>0</v>
      </c>
      <c r="R141" s="21">
        <v>0</v>
      </c>
      <c r="S141" s="5">
        <f t="shared" si="11"/>
        <v>105217.5</v>
      </c>
      <c r="T141" cm="1">
        <f t="array" ref="T141">IF(OR(B141="MAL ALIMI", B141="ÜRETİM GİRİŞ"), MIN(I141, MAX(0, I141 + SUM(SUMIFS($I$1:I140, $C$1:C140, C141, $B$1:B140, {"MAL ALIMI","ÜRETİM GİRİŞ"})) - VLOOKUP(C141, 'STOK RAPORU'!$C$2:$I$1000, 4, 0))), 0)</f>
        <v>0</v>
      </c>
      <c r="U141" s="22">
        <f t="shared" si="8"/>
        <v>0</v>
      </c>
      <c r="V141">
        <f t="shared" si="9"/>
        <v>275</v>
      </c>
      <c r="W141" s="22">
        <f t="shared" si="10"/>
        <v>275</v>
      </c>
    </row>
    <row r="142" spans="1:23" hidden="1" x14ac:dyDescent="0.25">
      <c r="A142" s="3">
        <v>45950</v>
      </c>
      <c r="B142" s="3" t="s">
        <v>298</v>
      </c>
      <c r="C142" s="4" t="s">
        <v>213</v>
      </c>
      <c r="D142" s="4"/>
      <c r="E142" s="4" t="s">
        <v>350</v>
      </c>
      <c r="F142" s="4" t="s">
        <v>349</v>
      </c>
      <c r="G142" s="4" t="s">
        <v>350</v>
      </c>
      <c r="H142" s="4" t="s">
        <v>304</v>
      </c>
      <c r="I142" s="4">
        <v>1</v>
      </c>
      <c r="J142" s="21">
        <v>300</v>
      </c>
      <c r="K142" s="21">
        <v>0</v>
      </c>
      <c r="L142" s="5">
        <v>300</v>
      </c>
      <c r="M142" s="4"/>
      <c r="N142" s="4">
        <v>1</v>
      </c>
      <c r="O142" s="5"/>
      <c r="P142" s="5">
        <v>300</v>
      </c>
      <c r="Q142" s="21">
        <v>0</v>
      </c>
      <c r="R142" s="21">
        <v>0</v>
      </c>
      <c r="S142" s="5">
        <f t="shared" si="11"/>
        <v>105217.5</v>
      </c>
      <c r="T142" cm="1">
        <f t="array" ref="T142">IF(OR(B142="MAL ALIMI", B142="ÜRETİM GİRİŞ"), MIN(I142, MAX(0, I142 + SUM(SUMIFS($I$1:I141, $C$1:C141, C142, $B$1:B141, {"MAL ALIMI","ÜRETİM GİRİŞ"})) - VLOOKUP(C142, 'STOK RAPORU'!$C$2:$I$1000, 4, 0))), 0)</f>
        <v>0.66657142857142859</v>
      </c>
      <c r="U142" s="22">
        <f t="shared" si="8"/>
        <v>199.97142857142859</v>
      </c>
      <c r="V142">
        <f t="shared" si="9"/>
        <v>300</v>
      </c>
      <c r="W142" s="22">
        <f t="shared" si="10"/>
        <v>100.02857142857141</v>
      </c>
    </row>
    <row r="143" spans="1:23" hidden="1" x14ac:dyDescent="0.25">
      <c r="A143" s="3">
        <v>45950</v>
      </c>
      <c r="B143" s="3" t="s">
        <v>298</v>
      </c>
      <c r="C143" s="4" t="s">
        <v>60</v>
      </c>
      <c r="D143" s="4"/>
      <c r="E143" s="4" t="s">
        <v>350</v>
      </c>
      <c r="F143" s="4" t="s">
        <v>349</v>
      </c>
      <c r="G143" s="4" t="s">
        <v>350</v>
      </c>
      <c r="H143" s="4" t="s">
        <v>304</v>
      </c>
      <c r="I143" s="4">
        <v>1</v>
      </c>
      <c r="J143" s="21">
        <v>570</v>
      </c>
      <c r="K143" s="21">
        <v>0</v>
      </c>
      <c r="L143" s="5">
        <v>570</v>
      </c>
      <c r="M143" s="4"/>
      <c r="N143" s="4">
        <v>1</v>
      </c>
      <c r="O143" s="5"/>
      <c r="P143" s="5">
        <v>570</v>
      </c>
      <c r="Q143" s="21">
        <v>0</v>
      </c>
      <c r="R143" s="21">
        <v>0</v>
      </c>
      <c r="S143" s="5">
        <f t="shared" si="11"/>
        <v>105217.5</v>
      </c>
      <c r="T143" cm="1">
        <f t="array" ref="T143">IF(OR(B143="MAL ALIMI", B143="ÜRETİM GİRİŞ"), MIN(I143, MAX(0, I143 + SUM(SUMIFS($I$1:I142, $C$1:C142, C143, $B$1:B142, {"MAL ALIMI","ÜRETİM GİRİŞ"})) - VLOOKUP(C143, 'STOK RAPORU'!$C$2:$I$1000, 4, 0))), 0)</f>
        <v>0</v>
      </c>
      <c r="U143" s="22">
        <f t="shared" si="8"/>
        <v>0</v>
      </c>
      <c r="V143">
        <f t="shared" si="9"/>
        <v>570</v>
      </c>
      <c r="W143" s="22">
        <f t="shared" si="10"/>
        <v>570</v>
      </c>
    </row>
    <row r="144" spans="1:23" hidden="1" x14ac:dyDescent="0.25">
      <c r="A144" s="3">
        <v>45950</v>
      </c>
      <c r="B144" s="3" t="s">
        <v>298</v>
      </c>
      <c r="C144" s="4" t="s">
        <v>214</v>
      </c>
      <c r="D144" s="4"/>
      <c r="E144" s="4" t="s">
        <v>350</v>
      </c>
      <c r="F144" s="4" t="s">
        <v>349</v>
      </c>
      <c r="G144" s="4" t="s">
        <v>350</v>
      </c>
      <c r="H144" s="4" t="s">
        <v>304</v>
      </c>
      <c r="I144" s="4">
        <v>1</v>
      </c>
      <c r="J144" s="21">
        <v>230</v>
      </c>
      <c r="K144" s="21">
        <v>0</v>
      </c>
      <c r="L144" s="5">
        <v>230</v>
      </c>
      <c r="M144" s="4"/>
      <c r="N144" s="4">
        <v>1</v>
      </c>
      <c r="O144" s="5"/>
      <c r="P144" s="5">
        <v>230</v>
      </c>
      <c r="Q144" s="21">
        <v>0</v>
      </c>
      <c r="R144" s="21">
        <v>0</v>
      </c>
      <c r="S144" s="5">
        <f t="shared" si="11"/>
        <v>105217.5</v>
      </c>
      <c r="T144" cm="1">
        <f t="array" ref="T144">IF(OR(B144="MAL ALIMI", B144="ÜRETİM GİRİŞ"), MIN(I144, MAX(0, I144 + SUM(SUMIFS($I$1:I143, $C$1:C143, C144, $B$1:B143, {"MAL ALIMI","ÜRETİM GİRİŞ"})) - VLOOKUP(C144, 'STOK RAPORU'!$C$2:$I$1000, 4, 0))), 0)</f>
        <v>0</v>
      </c>
      <c r="U144" s="22">
        <f t="shared" si="8"/>
        <v>0</v>
      </c>
      <c r="V144">
        <f t="shared" si="9"/>
        <v>230</v>
      </c>
      <c r="W144" s="22">
        <f t="shared" si="10"/>
        <v>230</v>
      </c>
    </row>
    <row r="145" spans="1:23" hidden="1" x14ac:dyDescent="0.25">
      <c r="A145" s="3">
        <v>45950</v>
      </c>
      <c r="B145" s="3" t="s">
        <v>298</v>
      </c>
      <c r="C145" s="4" t="s">
        <v>215</v>
      </c>
      <c r="D145" s="4"/>
      <c r="E145" s="4" t="s">
        <v>350</v>
      </c>
      <c r="F145" s="4" t="s">
        <v>349</v>
      </c>
      <c r="G145" s="4" t="s">
        <v>350</v>
      </c>
      <c r="H145" s="4" t="s">
        <v>304</v>
      </c>
      <c r="I145" s="4">
        <v>5</v>
      </c>
      <c r="J145" s="21">
        <v>125</v>
      </c>
      <c r="K145" s="21">
        <v>0</v>
      </c>
      <c r="L145" s="5">
        <v>625</v>
      </c>
      <c r="M145" s="4"/>
      <c r="N145" s="4">
        <v>5</v>
      </c>
      <c r="O145" s="5"/>
      <c r="P145" s="5">
        <v>125</v>
      </c>
      <c r="Q145" s="21">
        <v>0</v>
      </c>
      <c r="R145" s="21">
        <v>0</v>
      </c>
      <c r="S145" s="5">
        <f t="shared" si="11"/>
        <v>105217.5</v>
      </c>
      <c r="T145" cm="1">
        <f t="array" ref="T145">IF(OR(B145="MAL ALIMI", B145="ÜRETİM GİRİŞ"), MIN(I145, MAX(0, I145 + SUM(SUMIFS($I$1:I144, $C$1:C144, C145, $B$1:B144, {"MAL ALIMI","ÜRETİM GİRİŞ"})) - VLOOKUP(C145, 'STOK RAPORU'!$C$2:$I$1000, 4, 0))), 0)</f>
        <v>0</v>
      </c>
      <c r="U145" s="22">
        <f t="shared" si="8"/>
        <v>0</v>
      </c>
      <c r="V145">
        <f t="shared" si="9"/>
        <v>625</v>
      </c>
      <c r="W145" s="22">
        <f t="shared" si="10"/>
        <v>625</v>
      </c>
    </row>
    <row r="146" spans="1:23" hidden="1" x14ac:dyDescent="0.25">
      <c r="A146" s="3">
        <v>45950</v>
      </c>
      <c r="B146" s="3" t="s">
        <v>298</v>
      </c>
      <c r="C146" s="4" t="s">
        <v>216</v>
      </c>
      <c r="D146" s="4"/>
      <c r="E146" s="4" t="s">
        <v>350</v>
      </c>
      <c r="F146" s="4" t="s">
        <v>349</v>
      </c>
      <c r="G146" s="4" t="s">
        <v>350</v>
      </c>
      <c r="H146" s="4" t="s">
        <v>304</v>
      </c>
      <c r="I146" s="4">
        <v>3</v>
      </c>
      <c r="J146" s="21">
        <v>65</v>
      </c>
      <c r="K146" s="21">
        <v>0</v>
      </c>
      <c r="L146" s="5">
        <v>195</v>
      </c>
      <c r="M146" s="4"/>
      <c r="N146" s="4">
        <v>3</v>
      </c>
      <c r="O146" s="5"/>
      <c r="P146" s="5">
        <v>65</v>
      </c>
      <c r="Q146" s="21">
        <v>0</v>
      </c>
      <c r="R146" s="21">
        <v>0</v>
      </c>
      <c r="S146" s="5">
        <f t="shared" si="11"/>
        <v>105217.5</v>
      </c>
      <c r="T146" cm="1">
        <f t="array" ref="T146">IF(OR(B146="MAL ALIMI", B146="ÜRETİM GİRİŞ"), MIN(I146, MAX(0, I146 + SUM(SUMIFS($I$1:I145, $C$1:C145, C146, $B$1:B145, {"MAL ALIMI","ÜRETİM GİRİŞ"})) - VLOOKUP(C146, 'STOK RAPORU'!$C$2:$I$1000, 4, 0))), 0)</f>
        <v>3</v>
      </c>
      <c r="U146" s="22">
        <f t="shared" si="8"/>
        <v>195</v>
      </c>
      <c r="V146">
        <f t="shared" si="9"/>
        <v>195</v>
      </c>
      <c r="W146" s="22">
        <f t="shared" si="10"/>
        <v>0</v>
      </c>
    </row>
    <row r="147" spans="1:23" hidden="1" x14ac:dyDescent="0.25">
      <c r="A147" s="3">
        <v>45950</v>
      </c>
      <c r="B147" s="3" t="s">
        <v>298</v>
      </c>
      <c r="C147" s="4" t="s">
        <v>217</v>
      </c>
      <c r="D147" s="4"/>
      <c r="E147" s="4" t="s">
        <v>350</v>
      </c>
      <c r="F147" s="4" t="s">
        <v>349</v>
      </c>
      <c r="G147" s="4" t="s">
        <v>350</v>
      </c>
      <c r="H147" s="4" t="s">
        <v>304</v>
      </c>
      <c r="I147" s="4">
        <v>1</v>
      </c>
      <c r="J147" s="21">
        <v>165</v>
      </c>
      <c r="K147" s="21">
        <v>0</v>
      </c>
      <c r="L147" s="5">
        <v>165</v>
      </c>
      <c r="M147" s="4"/>
      <c r="N147" s="4">
        <v>1</v>
      </c>
      <c r="O147" s="5"/>
      <c r="P147" s="5">
        <v>165</v>
      </c>
      <c r="Q147" s="21">
        <v>0</v>
      </c>
      <c r="R147" s="21">
        <v>0</v>
      </c>
      <c r="S147" s="5">
        <f t="shared" si="11"/>
        <v>105217.5</v>
      </c>
      <c r="T147" cm="1">
        <f t="array" ref="T147">IF(OR(B147="MAL ALIMI", B147="ÜRETİM GİRİŞ"), MIN(I147, MAX(0, I147 + SUM(SUMIFS($I$1:I146, $C$1:C146, C147, $B$1:B146, {"MAL ALIMI","ÜRETİM GİRİŞ"})) - VLOOKUP(C147, 'STOK RAPORU'!$C$2:$I$1000, 4, 0))), 0)</f>
        <v>0.90800000000000003</v>
      </c>
      <c r="U147" s="22">
        <f t="shared" si="8"/>
        <v>149.82</v>
      </c>
      <c r="V147">
        <f t="shared" si="9"/>
        <v>165</v>
      </c>
      <c r="W147" s="22">
        <f t="shared" si="10"/>
        <v>15.180000000000007</v>
      </c>
    </row>
    <row r="148" spans="1:23" hidden="1" x14ac:dyDescent="0.25">
      <c r="A148" s="3">
        <v>45950</v>
      </c>
      <c r="B148" s="3" t="s">
        <v>298</v>
      </c>
      <c r="C148" s="4" t="s">
        <v>218</v>
      </c>
      <c r="D148" s="4"/>
      <c r="E148" s="4" t="s">
        <v>350</v>
      </c>
      <c r="F148" s="4" t="s">
        <v>349</v>
      </c>
      <c r="G148" s="4" t="s">
        <v>350</v>
      </c>
      <c r="H148" s="4" t="s">
        <v>304</v>
      </c>
      <c r="I148" s="4">
        <v>5</v>
      </c>
      <c r="J148" s="21">
        <v>225</v>
      </c>
      <c r="K148" s="21">
        <v>0</v>
      </c>
      <c r="L148" s="5">
        <v>1125</v>
      </c>
      <c r="M148" s="4"/>
      <c r="N148" s="4">
        <v>5</v>
      </c>
      <c r="O148" s="5"/>
      <c r="P148" s="5">
        <v>225</v>
      </c>
      <c r="Q148" s="21">
        <v>0</v>
      </c>
      <c r="R148" s="21">
        <v>0</v>
      </c>
      <c r="S148" s="5">
        <f t="shared" si="11"/>
        <v>105217.5</v>
      </c>
      <c r="T148" cm="1">
        <f t="array" ref="T148">IF(OR(B148="MAL ALIMI", B148="ÜRETİM GİRİŞ"), MIN(I148, MAX(0, I148 + SUM(SUMIFS($I$1:I147, $C$1:C147, C148, $B$1:B147, {"MAL ALIMI","ÜRETİM GİRİŞ"})) - VLOOKUP(C148, 'STOK RAPORU'!$C$2:$I$1000, 4, 0))), 0)</f>
        <v>0</v>
      </c>
      <c r="U148" s="22">
        <f t="shared" si="8"/>
        <v>0</v>
      </c>
      <c r="V148">
        <f t="shared" si="9"/>
        <v>1125</v>
      </c>
      <c r="W148" s="22">
        <f t="shared" si="10"/>
        <v>1125</v>
      </c>
    </row>
    <row r="149" spans="1:23" hidden="1" x14ac:dyDescent="0.25">
      <c r="A149" s="3">
        <v>45950</v>
      </c>
      <c r="B149" s="3" t="s">
        <v>298</v>
      </c>
      <c r="C149" s="4" t="s">
        <v>219</v>
      </c>
      <c r="D149" s="4"/>
      <c r="E149" s="4" t="s">
        <v>350</v>
      </c>
      <c r="F149" s="4" t="s">
        <v>349</v>
      </c>
      <c r="G149" s="4" t="s">
        <v>350</v>
      </c>
      <c r="H149" s="4" t="s">
        <v>304</v>
      </c>
      <c r="I149" s="4">
        <v>1</v>
      </c>
      <c r="J149" s="21">
        <v>1000</v>
      </c>
      <c r="K149" s="21">
        <v>0</v>
      </c>
      <c r="L149" s="5">
        <v>1000</v>
      </c>
      <c r="M149" s="4"/>
      <c r="N149" s="4">
        <v>1</v>
      </c>
      <c r="O149" s="5"/>
      <c r="P149" s="5">
        <v>1000</v>
      </c>
      <c r="Q149" s="21">
        <v>0</v>
      </c>
      <c r="R149" s="21">
        <v>0</v>
      </c>
      <c r="S149" s="5">
        <f t="shared" si="11"/>
        <v>105217.5</v>
      </c>
      <c r="T149" cm="1">
        <f t="array" ref="T149">IF(OR(B149="MAL ALIMI", B149="ÜRETİM GİRİŞ"), MIN(I149, MAX(0, I149 + SUM(SUMIFS($I$1:I148, $C$1:C148, C149, $B$1:B148, {"MAL ALIMI","ÜRETİM GİRİŞ"})) - VLOOKUP(C149, 'STOK RAPORU'!$C$2:$I$1000, 4, 0))), 0)</f>
        <v>0.29349999999999976</v>
      </c>
      <c r="U149" s="22">
        <f t="shared" si="8"/>
        <v>293.49999999999977</v>
      </c>
      <c r="V149">
        <f t="shared" si="9"/>
        <v>1000</v>
      </c>
      <c r="W149" s="22">
        <f t="shared" si="10"/>
        <v>706.50000000000023</v>
      </c>
    </row>
    <row r="150" spans="1:23" hidden="1" x14ac:dyDescent="0.25">
      <c r="A150" s="3">
        <v>45950</v>
      </c>
      <c r="B150" s="3" t="s">
        <v>298</v>
      </c>
      <c r="C150" s="4" t="s">
        <v>220</v>
      </c>
      <c r="D150" s="4"/>
      <c r="E150" s="4" t="s">
        <v>350</v>
      </c>
      <c r="F150" s="4" t="s">
        <v>349</v>
      </c>
      <c r="G150" s="4" t="s">
        <v>350</v>
      </c>
      <c r="H150" s="4" t="s">
        <v>304</v>
      </c>
      <c r="I150" s="4">
        <v>1</v>
      </c>
      <c r="J150" s="21">
        <v>180</v>
      </c>
      <c r="K150" s="21">
        <v>0</v>
      </c>
      <c r="L150" s="5">
        <v>180</v>
      </c>
      <c r="M150" s="4"/>
      <c r="N150" s="4">
        <v>1</v>
      </c>
      <c r="O150" s="5"/>
      <c r="P150" s="5">
        <v>180</v>
      </c>
      <c r="Q150" s="21">
        <v>0</v>
      </c>
      <c r="R150" s="21">
        <v>0</v>
      </c>
      <c r="S150" s="5">
        <f t="shared" si="11"/>
        <v>105217.5</v>
      </c>
      <c r="T150" cm="1">
        <f t="array" ref="T150">IF(OR(B150="MAL ALIMI", B150="ÜRETİM GİRİŞ"), MIN(I150, MAX(0, I150 + SUM(SUMIFS($I$1:I149, $C$1:C149, C150, $B$1:B149, {"MAL ALIMI","ÜRETİM GİRİŞ"})) - VLOOKUP(C150, 'STOK RAPORU'!$C$2:$I$1000, 4, 0))), 0)</f>
        <v>1</v>
      </c>
      <c r="U150" s="22">
        <f t="shared" si="8"/>
        <v>180</v>
      </c>
      <c r="V150">
        <f t="shared" si="9"/>
        <v>180</v>
      </c>
      <c r="W150" s="22">
        <f t="shared" si="10"/>
        <v>0</v>
      </c>
    </row>
    <row r="151" spans="1:23" hidden="1" x14ac:dyDescent="0.25">
      <c r="A151" s="3">
        <v>45950</v>
      </c>
      <c r="B151" s="3" t="s">
        <v>298</v>
      </c>
      <c r="C151" s="4" t="s">
        <v>221</v>
      </c>
      <c r="D151" s="4"/>
      <c r="E151" s="4" t="s">
        <v>350</v>
      </c>
      <c r="F151" s="4" t="s">
        <v>349</v>
      </c>
      <c r="G151" s="4" t="s">
        <v>350</v>
      </c>
      <c r="H151" s="4" t="s">
        <v>304</v>
      </c>
      <c r="I151" s="4">
        <v>1</v>
      </c>
      <c r="J151" s="21">
        <v>265</v>
      </c>
      <c r="K151" s="21">
        <v>0</v>
      </c>
      <c r="L151" s="5">
        <v>265</v>
      </c>
      <c r="M151" s="4"/>
      <c r="N151" s="4">
        <v>1</v>
      </c>
      <c r="O151" s="5"/>
      <c r="P151" s="5">
        <v>265</v>
      </c>
      <c r="Q151" s="21">
        <v>0</v>
      </c>
      <c r="R151" s="21">
        <v>0</v>
      </c>
      <c r="S151" s="5">
        <f t="shared" si="11"/>
        <v>105217.5</v>
      </c>
      <c r="T151" cm="1">
        <f t="array" ref="T151">IF(OR(B151="MAL ALIMI", B151="ÜRETİM GİRİŞ"), MIN(I151, MAX(0, I151 + SUM(SUMIFS($I$1:I150, $C$1:C150, C151, $B$1:B150, {"MAL ALIMI","ÜRETİM GİRİŞ"})) - VLOOKUP(C151, 'STOK RAPORU'!$C$2:$I$1000, 4, 0))), 0)</f>
        <v>0.65243076923076926</v>
      </c>
      <c r="U151" s="22">
        <f t="shared" si="8"/>
        <v>172.89415384615384</v>
      </c>
      <c r="V151">
        <f t="shared" si="9"/>
        <v>265</v>
      </c>
      <c r="W151" s="22">
        <f t="shared" si="10"/>
        <v>92.105846153846159</v>
      </c>
    </row>
    <row r="152" spans="1:23" hidden="1" x14ac:dyDescent="0.25">
      <c r="A152" s="3">
        <v>45950</v>
      </c>
      <c r="B152" s="3" t="s">
        <v>298</v>
      </c>
      <c r="C152" s="4" t="s">
        <v>222</v>
      </c>
      <c r="D152" s="4"/>
      <c r="E152" s="4" t="s">
        <v>350</v>
      </c>
      <c r="F152" s="4" t="s">
        <v>349</v>
      </c>
      <c r="G152" s="4" t="s">
        <v>350</v>
      </c>
      <c r="H152" s="4" t="s">
        <v>304</v>
      </c>
      <c r="I152" s="4">
        <v>5</v>
      </c>
      <c r="J152" s="21">
        <v>450</v>
      </c>
      <c r="K152" s="21">
        <v>0</v>
      </c>
      <c r="L152" s="5">
        <v>2250</v>
      </c>
      <c r="M152" s="4"/>
      <c r="N152" s="4">
        <v>5</v>
      </c>
      <c r="O152" s="5"/>
      <c r="P152" s="5">
        <v>450</v>
      </c>
      <c r="Q152" s="21">
        <v>0</v>
      </c>
      <c r="R152" s="21">
        <v>0</v>
      </c>
      <c r="S152" s="5">
        <f t="shared" si="11"/>
        <v>105217.5</v>
      </c>
      <c r="T152" cm="1">
        <f t="array" ref="T152">IF(OR(B152="MAL ALIMI", B152="ÜRETİM GİRİŞ"), MIN(I152, MAX(0, I152 + SUM(SUMIFS($I$1:I151, $C$1:C151, C152, $B$1:B151, {"MAL ALIMI","ÜRETİM GİRİŞ"})) - VLOOKUP(C152, 'STOK RAPORU'!$C$2:$I$1000, 4, 0))), 0)</f>
        <v>2.0000000000006679E-3</v>
      </c>
      <c r="U152" s="22">
        <f t="shared" si="8"/>
        <v>0.90000000000030056</v>
      </c>
      <c r="V152">
        <f t="shared" si="9"/>
        <v>2250</v>
      </c>
      <c r="W152" s="22">
        <f t="shared" si="10"/>
        <v>2249.1</v>
      </c>
    </row>
    <row r="153" spans="1:23" hidden="1" x14ac:dyDescent="0.25">
      <c r="A153" s="3">
        <v>45950</v>
      </c>
      <c r="B153" s="3" t="s">
        <v>298</v>
      </c>
      <c r="C153" s="4" t="s">
        <v>223</v>
      </c>
      <c r="D153" s="4"/>
      <c r="E153" s="4" t="s">
        <v>350</v>
      </c>
      <c r="F153" s="4" t="s">
        <v>349</v>
      </c>
      <c r="G153" s="4" t="s">
        <v>350</v>
      </c>
      <c r="H153" s="4" t="s">
        <v>304</v>
      </c>
      <c r="I153" s="4">
        <v>5</v>
      </c>
      <c r="J153" s="21">
        <v>550</v>
      </c>
      <c r="K153" s="21">
        <v>0</v>
      </c>
      <c r="L153" s="5">
        <v>2750</v>
      </c>
      <c r="M153" s="4"/>
      <c r="N153" s="4">
        <v>5</v>
      </c>
      <c r="O153" s="5"/>
      <c r="P153" s="5">
        <v>550</v>
      </c>
      <c r="Q153" s="21">
        <v>0</v>
      </c>
      <c r="R153" s="21">
        <v>0</v>
      </c>
      <c r="S153" s="5">
        <f t="shared" si="11"/>
        <v>105217.5</v>
      </c>
      <c r="T153" cm="1">
        <f t="array" ref="T153">IF(OR(B153="MAL ALIMI", B153="ÜRETİM GİRİŞ"), MIN(I153, MAX(0, I153 + SUM(SUMIFS($I$1:I152, $C$1:C152, C153, $B$1:B152, {"MAL ALIMI","ÜRETİM GİRİŞ"})) - VLOOKUP(C153, 'STOK RAPORU'!$C$2:$I$1000, 4, 0))), 0)</f>
        <v>0</v>
      </c>
      <c r="U153" s="22">
        <f t="shared" si="8"/>
        <v>0</v>
      </c>
      <c r="V153">
        <f t="shared" si="9"/>
        <v>2750</v>
      </c>
      <c r="W153" s="22">
        <f t="shared" si="10"/>
        <v>2750</v>
      </c>
    </row>
    <row r="154" spans="1:23" hidden="1" x14ac:dyDescent="0.25">
      <c r="A154" s="3">
        <v>45950</v>
      </c>
      <c r="B154" s="3" t="s">
        <v>298</v>
      </c>
      <c r="C154" s="4" t="s">
        <v>224</v>
      </c>
      <c r="D154" s="4"/>
      <c r="E154" s="4" t="s">
        <v>350</v>
      </c>
      <c r="F154" s="4" t="s">
        <v>349</v>
      </c>
      <c r="G154" s="4" t="s">
        <v>350</v>
      </c>
      <c r="H154" s="4" t="s">
        <v>304</v>
      </c>
      <c r="I154" s="4">
        <v>2</v>
      </c>
      <c r="J154" s="21">
        <v>130</v>
      </c>
      <c r="K154" s="21">
        <v>0</v>
      </c>
      <c r="L154" s="5">
        <v>260</v>
      </c>
      <c r="M154" s="4"/>
      <c r="N154" s="4">
        <v>2</v>
      </c>
      <c r="O154" s="5"/>
      <c r="P154" s="5">
        <v>130</v>
      </c>
      <c r="Q154" s="21">
        <v>0</v>
      </c>
      <c r="R154" s="21">
        <v>0</v>
      </c>
      <c r="S154" s="5">
        <f t="shared" si="11"/>
        <v>105217.5</v>
      </c>
      <c r="T154" cm="1">
        <f t="array" ref="T154">IF(OR(B154="MAL ALIMI", B154="ÜRETİM GİRİŞ"), MIN(I154, MAX(0, I154 + SUM(SUMIFS($I$1:I153, $C$1:C153, C154, $B$1:B153, {"MAL ALIMI","ÜRETİM GİRİŞ"})) - VLOOKUP(C154, 'STOK RAPORU'!$C$2:$I$1000, 4, 0))), 0)</f>
        <v>0</v>
      </c>
      <c r="U154" s="22">
        <f t="shared" si="8"/>
        <v>0</v>
      </c>
      <c r="V154">
        <f t="shared" si="9"/>
        <v>260</v>
      </c>
      <c r="W154" s="22">
        <f t="shared" si="10"/>
        <v>260</v>
      </c>
    </row>
    <row r="155" spans="1:23" hidden="1" x14ac:dyDescent="0.25">
      <c r="A155" s="3">
        <v>45950</v>
      </c>
      <c r="B155" s="3" t="s">
        <v>298</v>
      </c>
      <c r="C155" s="4" t="s">
        <v>225</v>
      </c>
      <c r="D155" s="4"/>
      <c r="E155" s="4" t="s">
        <v>350</v>
      </c>
      <c r="F155" s="4" t="s">
        <v>349</v>
      </c>
      <c r="G155" s="4" t="s">
        <v>350</v>
      </c>
      <c r="H155" s="4" t="s">
        <v>304</v>
      </c>
      <c r="I155" s="4">
        <v>5</v>
      </c>
      <c r="J155" s="21">
        <v>500</v>
      </c>
      <c r="K155" s="21">
        <v>0</v>
      </c>
      <c r="L155" s="5">
        <v>2500</v>
      </c>
      <c r="M155" s="4"/>
      <c r="N155" s="4">
        <v>5</v>
      </c>
      <c r="O155" s="5"/>
      <c r="P155" s="5">
        <v>500</v>
      </c>
      <c r="Q155" s="21">
        <v>0</v>
      </c>
      <c r="R155" s="21">
        <v>0</v>
      </c>
      <c r="S155" s="5">
        <f t="shared" si="11"/>
        <v>105217.5</v>
      </c>
      <c r="T155" cm="1">
        <f t="array" ref="T155">IF(OR(B155="MAL ALIMI", B155="ÜRETİM GİRİŞ"), MIN(I155, MAX(0, I155 + SUM(SUMIFS($I$1:I154, $C$1:C154, C155, $B$1:B154, {"MAL ALIMI","ÜRETİM GİRİŞ"})) - VLOOKUP(C155, 'STOK RAPORU'!$C$2:$I$1000, 4, 0))), 0)</f>
        <v>0</v>
      </c>
      <c r="U155" s="22">
        <f t="shared" si="8"/>
        <v>0</v>
      </c>
      <c r="V155">
        <f t="shared" si="9"/>
        <v>2500</v>
      </c>
      <c r="W155" s="22">
        <f t="shared" si="10"/>
        <v>2500</v>
      </c>
    </row>
    <row r="156" spans="1:23" hidden="1" x14ac:dyDescent="0.25">
      <c r="A156" s="3">
        <v>45950</v>
      </c>
      <c r="B156" s="3" t="s">
        <v>298</v>
      </c>
      <c r="C156" s="4" t="s">
        <v>226</v>
      </c>
      <c r="D156" s="4"/>
      <c r="E156" s="4" t="s">
        <v>350</v>
      </c>
      <c r="F156" s="4" t="s">
        <v>349</v>
      </c>
      <c r="G156" s="4" t="s">
        <v>350</v>
      </c>
      <c r="H156" s="4" t="s">
        <v>304</v>
      </c>
      <c r="I156" s="4">
        <v>5</v>
      </c>
      <c r="J156" s="21">
        <v>110</v>
      </c>
      <c r="K156" s="21">
        <v>0</v>
      </c>
      <c r="L156" s="5">
        <v>550</v>
      </c>
      <c r="M156" s="4"/>
      <c r="N156" s="4">
        <v>5</v>
      </c>
      <c r="O156" s="5"/>
      <c r="P156" s="5">
        <v>110</v>
      </c>
      <c r="Q156" s="21">
        <v>0</v>
      </c>
      <c r="R156" s="21">
        <v>0</v>
      </c>
      <c r="S156" s="5">
        <f t="shared" si="11"/>
        <v>105217.5</v>
      </c>
      <c r="T156" cm="1">
        <f t="array" ref="T156">IF(OR(B156="MAL ALIMI", B156="ÜRETİM GİRİŞ"), MIN(I156, MAX(0, I156 + SUM(SUMIFS($I$1:I155, $C$1:C155, C156, $B$1:B155, {"MAL ALIMI","ÜRETİM GİRİŞ"})) - VLOOKUP(C156, 'STOK RAPORU'!$C$2:$I$1000, 4, 0))), 0)</f>
        <v>0</v>
      </c>
      <c r="U156" s="22">
        <f t="shared" si="8"/>
        <v>0</v>
      </c>
      <c r="V156">
        <f t="shared" si="9"/>
        <v>550</v>
      </c>
      <c r="W156" s="22">
        <f t="shared" si="10"/>
        <v>550</v>
      </c>
    </row>
    <row r="157" spans="1:23" hidden="1" x14ac:dyDescent="0.25">
      <c r="A157" s="3">
        <v>45950</v>
      </c>
      <c r="B157" s="3" t="s">
        <v>298</v>
      </c>
      <c r="C157" s="4" t="s">
        <v>227</v>
      </c>
      <c r="D157" s="4"/>
      <c r="E157" s="4" t="s">
        <v>350</v>
      </c>
      <c r="F157" s="4" t="s">
        <v>349</v>
      </c>
      <c r="G157" s="4" t="s">
        <v>350</v>
      </c>
      <c r="H157" s="4" t="s">
        <v>304</v>
      </c>
      <c r="I157" s="4">
        <v>1</v>
      </c>
      <c r="J157" s="21">
        <v>75</v>
      </c>
      <c r="K157" s="21">
        <v>0</v>
      </c>
      <c r="L157" s="5">
        <v>75</v>
      </c>
      <c r="M157" s="4"/>
      <c r="N157" s="4">
        <v>1</v>
      </c>
      <c r="O157" s="5"/>
      <c r="P157" s="5">
        <v>75</v>
      </c>
      <c r="Q157" s="21">
        <v>0</v>
      </c>
      <c r="R157" s="21">
        <v>0</v>
      </c>
      <c r="S157" s="5">
        <f t="shared" si="11"/>
        <v>105217.5</v>
      </c>
      <c r="T157" cm="1">
        <f t="array" ref="T157">IF(OR(B157="MAL ALIMI", B157="ÜRETİM GİRİŞ"), MIN(I157, MAX(0, I157 + SUM(SUMIFS($I$1:I156, $C$1:C156, C157, $B$1:B156, {"MAL ALIMI","ÜRETİM GİRİŞ"})) - VLOOKUP(C157, 'STOK RAPORU'!$C$2:$I$1000, 4, 0))), 0)</f>
        <v>0.52500000000000002</v>
      </c>
      <c r="U157" s="22">
        <f t="shared" si="8"/>
        <v>39.375</v>
      </c>
      <c r="V157">
        <f t="shared" si="9"/>
        <v>75</v>
      </c>
      <c r="W157" s="22">
        <f t="shared" si="10"/>
        <v>35.625</v>
      </c>
    </row>
    <row r="158" spans="1:23" hidden="1" x14ac:dyDescent="0.25">
      <c r="A158" s="3">
        <v>45950</v>
      </c>
      <c r="B158" s="3" t="s">
        <v>298</v>
      </c>
      <c r="C158" s="4" t="s">
        <v>228</v>
      </c>
      <c r="D158" s="4"/>
      <c r="E158" s="4" t="s">
        <v>350</v>
      </c>
      <c r="F158" s="4" t="s">
        <v>349</v>
      </c>
      <c r="G158" s="4" t="s">
        <v>350</v>
      </c>
      <c r="H158" s="4" t="s">
        <v>304</v>
      </c>
      <c r="I158" s="4">
        <v>5</v>
      </c>
      <c r="J158" s="21">
        <v>170</v>
      </c>
      <c r="K158" s="21">
        <v>0</v>
      </c>
      <c r="L158" s="5">
        <v>850</v>
      </c>
      <c r="M158" s="4"/>
      <c r="N158" s="4">
        <v>5</v>
      </c>
      <c r="O158" s="5"/>
      <c r="P158" s="5">
        <v>170</v>
      </c>
      <c r="Q158" s="21">
        <v>0</v>
      </c>
      <c r="R158" s="21">
        <v>0</v>
      </c>
      <c r="S158" s="5">
        <f t="shared" si="11"/>
        <v>105217.5</v>
      </c>
      <c r="T158" cm="1">
        <f t="array" ref="T158">IF(OR(B158="MAL ALIMI", B158="ÜRETİM GİRİŞ"), MIN(I158, MAX(0, I158 + SUM(SUMIFS($I$1:I157, $C$1:C157, C158, $B$1:B157, {"MAL ALIMI","ÜRETİM GİRİŞ"})) - VLOOKUP(C158, 'STOK RAPORU'!$C$2:$I$1000, 4, 0))), 0)</f>
        <v>1</v>
      </c>
      <c r="U158" s="22">
        <f t="shared" si="8"/>
        <v>170</v>
      </c>
      <c r="V158">
        <f t="shared" si="9"/>
        <v>850</v>
      </c>
      <c r="W158" s="22">
        <f t="shared" si="10"/>
        <v>680</v>
      </c>
    </row>
    <row r="159" spans="1:23" hidden="1" x14ac:dyDescent="0.25">
      <c r="A159" s="3">
        <v>45950</v>
      </c>
      <c r="B159" s="3" t="s">
        <v>298</v>
      </c>
      <c r="C159" s="4" t="s">
        <v>229</v>
      </c>
      <c r="D159" s="4"/>
      <c r="E159" s="4" t="s">
        <v>350</v>
      </c>
      <c r="F159" s="4" t="s">
        <v>349</v>
      </c>
      <c r="G159" s="4" t="s">
        <v>350</v>
      </c>
      <c r="H159" s="4" t="s">
        <v>304</v>
      </c>
      <c r="I159" s="4">
        <v>5</v>
      </c>
      <c r="J159" s="21">
        <v>135</v>
      </c>
      <c r="K159" s="21">
        <v>0</v>
      </c>
      <c r="L159" s="5">
        <v>675</v>
      </c>
      <c r="M159" s="4"/>
      <c r="N159" s="4">
        <v>5</v>
      </c>
      <c r="O159" s="5"/>
      <c r="P159" s="5">
        <v>135</v>
      </c>
      <c r="Q159" s="21">
        <v>0</v>
      </c>
      <c r="R159" s="21">
        <v>0</v>
      </c>
      <c r="S159" s="5">
        <f t="shared" si="11"/>
        <v>105217.5</v>
      </c>
      <c r="T159" cm="1">
        <f t="array" ref="T159">IF(OR(B159="MAL ALIMI", B159="ÜRETİM GİRİŞ"), MIN(I159, MAX(0, I159 + SUM(SUMIFS($I$1:I158, $C$1:C158, C159, $B$1:B158, {"MAL ALIMI","ÜRETİM GİRİŞ"})) - VLOOKUP(C159, 'STOK RAPORU'!$C$2:$I$1000, 4, 0))), 0)</f>
        <v>0</v>
      </c>
      <c r="U159" s="22">
        <f t="shared" si="8"/>
        <v>0</v>
      </c>
      <c r="V159">
        <f t="shared" si="9"/>
        <v>675</v>
      </c>
      <c r="W159" s="22">
        <f t="shared" si="10"/>
        <v>675</v>
      </c>
    </row>
    <row r="160" spans="1:23" hidden="1" x14ac:dyDescent="0.25">
      <c r="A160" s="3">
        <v>45950</v>
      </c>
      <c r="B160" s="3" t="s">
        <v>298</v>
      </c>
      <c r="C160" s="4" t="s">
        <v>230</v>
      </c>
      <c r="D160" s="4"/>
      <c r="E160" s="4" t="s">
        <v>350</v>
      </c>
      <c r="F160" s="4" t="s">
        <v>349</v>
      </c>
      <c r="G160" s="4" t="s">
        <v>350</v>
      </c>
      <c r="H160" s="4" t="s">
        <v>304</v>
      </c>
      <c r="I160" s="4">
        <v>5</v>
      </c>
      <c r="J160" s="21">
        <v>135</v>
      </c>
      <c r="K160" s="21">
        <v>0</v>
      </c>
      <c r="L160" s="5">
        <v>675</v>
      </c>
      <c r="M160" s="4"/>
      <c r="N160" s="4">
        <v>5</v>
      </c>
      <c r="O160" s="5"/>
      <c r="P160" s="5">
        <v>135</v>
      </c>
      <c r="Q160" s="21">
        <v>0</v>
      </c>
      <c r="R160" s="21">
        <v>0</v>
      </c>
      <c r="S160" s="5">
        <f t="shared" si="11"/>
        <v>105217.5</v>
      </c>
      <c r="T160" cm="1">
        <f t="array" ref="T160">IF(OR(B160="MAL ALIMI", B160="ÜRETİM GİRİŞ"), MIN(I160, MAX(0, I160 + SUM(SUMIFS($I$1:I159, $C$1:C159, C160, $B$1:B159, {"MAL ALIMI","ÜRETİM GİRİŞ"})) - VLOOKUP(C160, 'STOK RAPORU'!$C$2:$I$1000, 4, 0))), 0)</f>
        <v>0</v>
      </c>
      <c r="U160" s="22">
        <f t="shared" si="8"/>
        <v>0</v>
      </c>
      <c r="V160">
        <f t="shared" si="9"/>
        <v>675</v>
      </c>
      <c r="W160" s="22">
        <f t="shared" si="10"/>
        <v>675</v>
      </c>
    </row>
    <row r="161" spans="1:23" hidden="1" x14ac:dyDescent="0.25">
      <c r="A161" s="3">
        <v>45950</v>
      </c>
      <c r="B161" s="3" t="s">
        <v>298</v>
      </c>
      <c r="C161" s="4" t="s">
        <v>231</v>
      </c>
      <c r="D161" s="4"/>
      <c r="E161" s="4" t="s">
        <v>350</v>
      </c>
      <c r="F161" s="4" t="s">
        <v>349</v>
      </c>
      <c r="G161" s="4" t="s">
        <v>350</v>
      </c>
      <c r="H161" s="4" t="s">
        <v>304</v>
      </c>
      <c r="I161" s="4">
        <v>5</v>
      </c>
      <c r="J161" s="21">
        <v>135</v>
      </c>
      <c r="K161" s="21">
        <v>0</v>
      </c>
      <c r="L161" s="5">
        <v>675</v>
      </c>
      <c r="M161" s="4"/>
      <c r="N161" s="4">
        <v>5</v>
      </c>
      <c r="O161" s="5"/>
      <c r="P161" s="5">
        <v>135</v>
      </c>
      <c r="Q161" s="21">
        <v>0</v>
      </c>
      <c r="R161" s="21">
        <v>0</v>
      </c>
      <c r="S161" s="5">
        <f t="shared" si="11"/>
        <v>105217.5</v>
      </c>
      <c r="T161" cm="1">
        <f t="array" ref="T161">IF(OR(B161="MAL ALIMI", B161="ÜRETİM GİRİŞ"), MIN(I161, MAX(0, I161 + SUM(SUMIFS($I$1:I160, $C$1:C160, C161, $B$1:B160, {"MAL ALIMI","ÜRETİM GİRİŞ"})) - VLOOKUP(C161, 'STOK RAPORU'!$C$2:$I$1000, 4, 0))), 0)</f>
        <v>0</v>
      </c>
      <c r="U161" s="22">
        <f t="shared" si="8"/>
        <v>0</v>
      </c>
      <c r="V161">
        <f t="shared" si="9"/>
        <v>675</v>
      </c>
      <c r="W161" s="22">
        <f t="shared" si="10"/>
        <v>675</v>
      </c>
    </row>
    <row r="162" spans="1:23" hidden="1" x14ac:dyDescent="0.25">
      <c r="A162" s="3">
        <v>45950</v>
      </c>
      <c r="B162" s="3" t="s">
        <v>298</v>
      </c>
      <c r="C162" s="4" t="s">
        <v>232</v>
      </c>
      <c r="D162" s="4"/>
      <c r="E162" s="4" t="s">
        <v>350</v>
      </c>
      <c r="F162" s="4" t="s">
        <v>349</v>
      </c>
      <c r="G162" s="4" t="s">
        <v>350</v>
      </c>
      <c r="H162" s="4" t="s">
        <v>304</v>
      </c>
      <c r="I162" s="4">
        <v>5</v>
      </c>
      <c r="J162" s="21">
        <v>170</v>
      </c>
      <c r="K162" s="21">
        <v>0</v>
      </c>
      <c r="L162" s="5">
        <v>850</v>
      </c>
      <c r="M162" s="4"/>
      <c r="N162" s="4">
        <v>5</v>
      </c>
      <c r="O162" s="5"/>
      <c r="P162" s="5">
        <v>170</v>
      </c>
      <c r="Q162" s="21">
        <v>0</v>
      </c>
      <c r="R162" s="21">
        <v>0</v>
      </c>
      <c r="S162" s="5">
        <f t="shared" si="11"/>
        <v>105217.5</v>
      </c>
      <c r="T162" cm="1">
        <f t="array" ref="T162">IF(OR(B162="MAL ALIMI", B162="ÜRETİM GİRİŞ"), MIN(I162, MAX(0, I162 + SUM(SUMIFS($I$1:I161, $C$1:C161, C162, $B$1:B161, {"MAL ALIMI","ÜRETİM GİRİŞ"})) - VLOOKUP(C162, 'STOK RAPORU'!$C$2:$I$1000, 4, 0))), 0)</f>
        <v>5</v>
      </c>
      <c r="U162" s="22">
        <f t="shared" si="8"/>
        <v>850</v>
      </c>
      <c r="V162">
        <f t="shared" si="9"/>
        <v>850</v>
      </c>
      <c r="W162" s="22">
        <f t="shared" si="10"/>
        <v>0</v>
      </c>
    </row>
    <row r="163" spans="1:23" hidden="1" x14ac:dyDescent="0.25">
      <c r="A163" s="3">
        <v>45950</v>
      </c>
      <c r="B163" s="3" t="s">
        <v>298</v>
      </c>
      <c r="C163" s="4" t="s">
        <v>233</v>
      </c>
      <c r="D163" s="4"/>
      <c r="E163" s="4" t="s">
        <v>350</v>
      </c>
      <c r="F163" s="4" t="s">
        <v>349</v>
      </c>
      <c r="G163" s="4" t="s">
        <v>350</v>
      </c>
      <c r="H163" s="4" t="s">
        <v>304</v>
      </c>
      <c r="I163" s="4">
        <v>5</v>
      </c>
      <c r="J163" s="21">
        <v>95</v>
      </c>
      <c r="K163" s="21">
        <v>0</v>
      </c>
      <c r="L163" s="5">
        <v>475</v>
      </c>
      <c r="M163" s="4"/>
      <c r="N163" s="4">
        <v>5</v>
      </c>
      <c r="O163" s="5"/>
      <c r="P163" s="5">
        <v>95</v>
      </c>
      <c r="Q163" s="21">
        <v>0</v>
      </c>
      <c r="R163" s="21">
        <v>0</v>
      </c>
      <c r="S163" s="5">
        <f t="shared" si="11"/>
        <v>105217.5</v>
      </c>
      <c r="T163" cm="1">
        <f t="array" ref="T163">IF(OR(B163="MAL ALIMI", B163="ÜRETİM GİRİŞ"), MIN(I163, MAX(0, I163 + SUM(SUMIFS($I$1:I162, $C$1:C162, C163, $B$1:B162, {"MAL ALIMI","ÜRETİM GİRİŞ"})) - VLOOKUP(C163, 'STOK RAPORU'!$C$2:$I$1000, 4, 0))), 0)</f>
        <v>0</v>
      </c>
      <c r="U163" s="22">
        <f t="shared" si="8"/>
        <v>0</v>
      </c>
      <c r="V163">
        <f t="shared" si="9"/>
        <v>475</v>
      </c>
      <c r="W163" s="22">
        <f t="shared" si="10"/>
        <v>475</v>
      </c>
    </row>
    <row r="164" spans="1:23" hidden="1" x14ac:dyDescent="0.25">
      <c r="A164" s="3">
        <v>45950</v>
      </c>
      <c r="B164" s="3" t="s">
        <v>298</v>
      </c>
      <c r="C164" s="4" t="s">
        <v>234</v>
      </c>
      <c r="D164" s="4"/>
      <c r="E164" s="4" t="s">
        <v>350</v>
      </c>
      <c r="F164" s="4" t="s">
        <v>349</v>
      </c>
      <c r="G164" s="4" t="s">
        <v>350</v>
      </c>
      <c r="H164" s="4" t="s">
        <v>304</v>
      </c>
      <c r="I164" s="4">
        <v>5</v>
      </c>
      <c r="J164" s="21">
        <v>90</v>
      </c>
      <c r="K164" s="21">
        <v>0</v>
      </c>
      <c r="L164" s="5">
        <v>450</v>
      </c>
      <c r="M164" s="4"/>
      <c r="N164" s="4">
        <v>5</v>
      </c>
      <c r="O164" s="5"/>
      <c r="P164" s="5">
        <v>90</v>
      </c>
      <c r="Q164" s="21">
        <v>0</v>
      </c>
      <c r="R164" s="21">
        <v>0</v>
      </c>
      <c r="S164" s="5">
        <f t="shared" si="11"/>
        <v>105217.5</v>
      </c>
      <c r="T164" cm="1">
        <f t="array" ref="T164">IF(OR(B164="MAL ALIMI", B164="ÜRETİM GİRİŞ"), MIN(I164, MAX(0, I164 + SUM(SUMIFS($I$1:I163, $C$1:C163, C164, $B$1:B163, {"MAL ALIMI","ÜRETİM GİRİŞ"})) - VLOOKUP(C164, 'STOK RAPORU'!$C$2:$I$1000, 4, 0))), 0)</f>
        <v>0</v>
      </c>
      <c r="U164" s="22">
        <f t="shared" si="8"/>
        <v>0</v>
      </c>
      <c r="V164">
        <f t="shared" si="9"/>
        <v>450</v>
      </c>
      <c r="W164" s="22">
        <f t="shared" si="10"/>
        <v>450</v>
      </c>
    </row>
    <row r="165" spans="1:23" hidden="1" x14ac:dyDescent="0.25">
      <c r="A165" s="3">
        <v>45950</v>
      </c>
      <c r="B165" s="3" t="s">
        <v>298</v>
      </c>
      <c r="C165" s="4" t="s">
        <v>235</v>
      </c>
      <c r="D165" s="4"/>
      <c r="E165" s="4" t="s">
        <v>350</v>
      </c>
      <c r="F165" s="4" t="s">
        <v>349</v>
      </c>
      <c r="G165" s="4" t="s">
        <v>350</v>
      </c>
      <c r="H165" s="4" t="s">
        <v>304</v>
      </c>
      <c r="I165" s="4">
        <v>5</v>
      </c>
      <c r="J165" s="21">
        <v>100</v>
      </c>
      <c r="K165" s="21">
        <v>0</v>
      </c>
      <c r="L165" s="5">
        <v>500</v>
      </c>
      <c r="M165" s="4"/>
      <c r="N165" s="4">
        <v>5</v>
      </c>
      <c r="O165" s="5"/>
      <c r="P165" s="5">
        <v>100</v>
      </c>
      <c r="Q165" s="21">
        <v>0</v>
      </c>
      <c r="R165" s="21">
        <v>0</v>
      </c>
      <c r="S165" s="5">
        <f t="shared" si="11"/>
        <v>105217.5</v>
      </c>
      <c r="T165" cm="1">
        <f t="array" ref="T165">IF(OR(B165="MAL ALIMI", B165="ÜRETİM GİRİŞ"), MIN(I165, MAX(0, I165 + SUM(SUMIFS($I$1:I164, $C$1:C164, C165, $B$1:B164, {"MAL ALIMI","ÜRETİM GİRİŞ"})) - VLOOKUP(C165, 'STOK RAPORU'!$C$2:$I$1000, 4, 0))), 0)</f>
        <v>2</v>
      </c>
      <c r="U165" s="22">
        <f t="shared" si="8"/>
        <v>200</v>
      </c>
      <c r="V165">
        <f t="shared" si="9"/>
        <v>500</v>
      </c>
      <c r="W165" s="22">
        <f t="shared" si="10"/>
        <v>300</v>
      </c>
    </row>
    <row r="166" spans="1:23" hidden="1" x14ac:dyDescent="0.25">
      <c r="A166" s="3">
        <v>45950</v>
      </c>
      <c r="B166" s="3" t="s">
        <v>298</v>
      </c>
      <c r="C166" s="4" t="s">
        <v>236</v>
      </c>
      <c r="D166" s="4"/>
      <c r="E166" s="4" t="s">
        <v>350</v>
      </c>
      <c r="F166" s="4" t="s">
        <v>349</v>
      </c>
      <c r="G166" s="4" t="s">
        <v>350</v>
      </c>
      <c r="H166" s="4" t="s">
        <v>304</v>
      </c>
      <c r="I166" s="4">
        <v>5</v>
      </c>
      <c r="J166" s="21">
        <v>140</v>
      </c>
      <c r="K166" s="21">
        <v>0</v>
      </c>
      <c r="L166" s="5">
        <v>700</v>
      </c>
      <c r="M166" s="4"/>
      <c r="N166" s="4">
        <v>5</v>
      </c>
      <c r="O166" s="5"/>
      <c r="P166" s="5">
        <v>140</v>
      </c>
      <c r="Q166" s="21">
        <v>0</v>
      </c>
      <c r="R166" s="21">
        <v>0</v>
      </c>
      <c r="S166" s="5">
        <f t="shared" si="11"/>
        <v>105217.5</v>
      </c>
      <c r="T166" cm="1">
        <f t="array" ref="T166">IF(OR(B166="MAL ALIMI", B166="ÜRETİM GİRİŞ"), MIN(I166, MAX(0, I166 + SUM(SUMIFS($I$1:I165, $C$1:C165, C166, $B$1:B165, {"MAL ALIMI","ÜRETİM GİRİŞ"})) - VLOOKUP(C166, 'STOK RAPORU'!$C$2:$I$1000, 4, 0))), 0)</f>
        <v>0</v>
      </c>
      <c r="U166" s="22">
        <f t="shared" si="8"/>
        <v>0</v>
      </c>
      <c r="V166">
        <f t="shared" si="9"/>
        <v>700</v>
      </c>
      <c r="W166" s="22">
        <f t="shared" si="10"/>
        <v>700</v>
      </c>
    </row>
    <row r="167" spans="1:23" hidden="1" x14ac:dyDescent="0.25">
      <c r="A167" s="3">
        <v>45950</v>
      </c>
      <c r="B167" s="3" t="s">
        <v>298</v>
      </c>
      <c r="C167" s="4" t="s">
        <v>237</v>
      </c>
      <c r="D167" s="4"/>
      <c r="E167" s="4" t="s">
        <v>350</v>
      </c>
      <c r="F167" s="4" t="s">
        <v>349</v>
      </c>
      <c r="G167" s="4" t="s">
        <v>350</v>
      </c>
      <c r="H167" s="4" t="s">
        <v>304</v>
      </c>
      <c r="I167" s="4">
        <v>1</v>
      </c>
      <c r="J167" s="21">
        <v>750</v>
      </c>
      <c r="K167" s="21">
        <v>0</v>
      </c>
      <c r="L167" s="5">
        <v>750</v>
      </c>
      <c r="M167" s="4"/>
      <c r="N167" s="4">
        <v>1</v>
      </c>
      <c r="O167" s="5"/>
      <c r="P167" s="5">
        <v>750</v>
      </c>
      <c r="Q167" s="21">
        <v>0</v>
      </c>
      <c r="R167" s="21">
        <v>0</v>
      </c>
      <c r="S167" s="5">
        <f t="shared" si="11"/>
        <v>105217.5</v>
      </c>
      <c r="T167" cm="1">
        <f t="array" ref="T167">IF(OR(B167="MAL ALIMI", B167="ÜRETİM GİRİŞ"), MIN(I167, MAX(0, I167 + SUM(SUMIFS($I$1:I166, $C$1:C166, C167, $B$1:B166, {"MAL ALIMI","ÜRETİM GİRİŞ"})) - VLOOKUP(C167, 'STOK RAPORU'!$C$2:$I$1000, 4, 0))), 0)</f>
        <v>0</v>
      </c>
      <c r="U167" s="22">
        <f t="shared" si="8"/>
        <v>0</v>
      </c>
      <c r="V167">
        <f t="shared" si="9"/>
        <v>750</v>
      </c>
      <c r="W167" s="22">
        <f t="shared" si="10"/>
        <v>750</v>
      </c>
    </row>
    <row r="168" spans="1:23" hidden="1" x14ac:dyDescent="0.25">
      <c r="A168" s="3">
        <v>45950</v>
      </c>
      <c r="B168" s="3" t="s">
        <v>298</v>
      </c>
      <c r="C168" s="4" t="s">
        <v>238</v>
      </c>
      <c r="D168" s="4"/>
      <c r="E168" s="4" t="s">
        <v>350</v>
      </c>
      <c r="F168" s="4" t="s">
        <v>349</v>
      </c>
      <c r="G168" s="4" t="s">
        <v>350</v>
      </c>
      <c r="H168" s="4" t="s">
        <v>304</v>
      </c>
      <c r="I168" s="4">
        <v>1</v>
      </c>
      <c r="J168" s="21">
        <v>270</v>
      </c>
      <c r="K168" s="21">
        <v>0</v>
      </c>
      <c r="L168" s="5">
        <v>270</v>
      </c>
      <c r="M168" s="4"/>
      <c r="N168" s="4">
        <v>1</v>
      </c>
      <c r="O168" s="5"/>
      <c r="P168" s="5">
        <v>270</v>
      </c>
      <c r="Q168" s="21">
        <v>0</v>
      </c>
      <c r="R168" s="21">
        <v>0</v>
      </c>
      <c r="S168" s="5">
        <f t="shared" si="11"/>
        <v>105217.5</v>
      </c>
      <c r="T168" cm="1">
        <f t="array" ref="T168">IF(OR(B168="MAL ALIMI", B168="ÜRETİM GİRİŞ"), MIN(I168, MAX(0, I168 + SUM(SUMIFS($I$1:I167, $C$1:C167, C168, $B$1:B167, {"MAL ALIMI","ÜRETİM GİRİŞ"})) - VLOOKUP(C168, 'STOK RAPORU'!$C$2:$I$1000, 4, 0))), 0)</f>
        <v>0</v>
      </c>
      <c r="U168" s="22">
        <f t="shared" si="8"/>
        <v>0</v>
      </c>
      <c r="V168">
        <f t="shared" si="9"/>
        <v>270</v>
      </c>
      <c r="W168" s="22">
        <f t="shared" si="10"/>
        <v>270</v>
      </c>
    </row>
    <row r="169" spans="1:23" hidden="1" x14ac:dyDescent="0.25">
      <c r="A169" s="3">
        <v>45950</v>
      </c>
      <c r="B169" s="3" t="s">
        <v>298</v>
      </c>
      <c r="C169" s="4" t="s">
        <v>239</v>
      </c>
      <c r="D169" s="4"/>
      <c r="E169" s="4" t="s">
        <v>350</v>
      </c>
      <c r="F169" s="4" t="s">
        <v>349</v>
      </c>
      <c r="G169" s="4" t="s">
        <v>350</v>
      </c>
      <c r="H169" s="4" t="s">
        <v>304</v>
      </c>
      <c r="I169" s="4">
        <v>1</v>
      </c>
      <c r="J169" s="21">
        <v>160</v>
      </c>
      <c r="K169" s="21">
        <v>0</v>
      </c>
      <c r="L169" s="5">
        <v>160</v>
      </c>
      <c r="M169" s="4"/>
      <c r="N169" s="4">
        <v>1</v>
      </c>
      <c r="O169" s="5"/>
      <c r="P169" s="5">
        <v>160</v>
      </c>
      <c r="Q169" s="21">
        <v>0</v>
      </c>
      <c r="R169" s="21">
        <v>0</v>
      </c>
      <c r="S169" s="5">
        <f t="shared" si="11"/>
        <v>105217.5</v>
      </c>
      <c r="T169" cm="1">
        <f t="array" ref="T169">IF(OR(B169="MAL ALIMI", B169="ÜRETİM GİRİŞ"), MIN(I169, MAX(0, I169 + SUM(SUMIFS($I$1:I168, $C$1:C168, C169, $B$1:B168, {"MAL ALIMI","ÜRETİM GİRİŞ"})) - VLOOKUP(C169, 'STOK RAPORU'!$C$2:$I$1000, 4, 0))), 0)</f>
        <v>0.90200000000000002</v>
      </c>
      <c r="U169" s="22">
        <f t="shared" si="8"/>
        <v>144.32</v>
      </c>
      <c r="V169">
        <f t="shared" si="9"/>
        <v>160</v>
      </c>
      <c r="W169" s="22">
        <f t="shared" si="10"/>
        <v>15.680000000000007</v>
      </c>
    </row>
    <row r="170" spans="1:23" hidden="1" x14ac:dyDescent="0.25">
      <c r="A170" s="3">
        <v>45950</v>
      </c>
      <c r="B170" s="3" t="s">
        <v>298</v>
      </c>
      <c r="C170" s="4" t="s">
        <v>240</v>
      </c>
      <c r="D170" s="4"/>
      <c r="E170" s="4" t="s">
        <v>350</v>
      </c>
      <c r="F170" s="4" t="s">
        <v>349</v>
      </c>
      <c r="G170" s="4" t="s">
        <v>350</v>
      </c>
      <c r="H170" s="4" t="s">
        <v>304</v>
      </c>
      <c r="I170" s="4">
        <v>1</v>
      </c>
      <c r="J170" s="21">
        <v>40</v>
      </c>
      <c r="K170" s="21">
        <v>0</v>
      </c>
      <c r="L170" s="5">
        <v>40</v>
      </c>
      <c r="M170" s="4"/>
      <c r="N170" s="4">
        <v>1</v>
      </c>
      <c r="O170" s="5"/>
      <c r="P170" s="5">
        <v>40</v>
      </c>
      <c r="Q170" s="21">
        <v>0</v>
      </c>
      <c r="R170" s="21">
        <v>0</v>
      </c>
      <c r="S170" s="5">
        <f t="shared" si="11"/>
        <v>105217.5</v>
      </c>
      <c r="T170" cm="1">
        <f t="array" ref="T170">IF(OR(B170="MAL ALIMI", B170="ÜRETİM GİRİŞ"), MIN(I170, MAX(0, I170 + SUM(SUMIFS($I$1:I169, $C$1:C169, C170, $B$1:B169, {"MAL ALIMI","ÜRETİM GİRİŞ"})) - VLOOKUP(C170, 'STOK RAPORU'!$C$2:$I$1000, 4, 0))), 0)</f>
        <v>0.50833333333333341</v>
      </c>
      <c r="U170" s="22">
        <f t="shared" si="8"/>
        <v>20.333333333333336</v>
      </c>
      <c r="V170">
        <f t="shared" si="9"/>
        <v>40</v>
      </c>
      <c r="W170" s="22">
        <f t="shared" si="10"/>
        <v>19.666666666666664</v>
      </c>
    </row>
    <row r="171" spans="1:23" hidden="1" x14ac:dyDescent="0.25">
      <c r="A171" s="3">
        <v>45950</v>
      </c>
      <c r="B171" s="3" t="s">
        <v>298</v>
      </c>
      <c r="C171" s="4" t="s">
        <v>241</v>
      </c>
      <c r="D171" s="4"/>
      <c r="E171" s="4" t="s">
        <v>350</v>
      </c>
      <c r="F171" s="4" t="s">
        <v>349</v>
      </c>
      <c r="G171" s="4" t="s">
        <v>350</v>
      </c>
      <c r="H171" s="4" t="s">
        <v>304</v>
      </c>
      <c r="I171" s="4">
        <v>5</v>
      </c>
      <c r="J171" s="21">
        <v>265</v>
      </c>
      <c r="K171" s="21">
        <v>0</v>
      </c>
      <c r="L171" s="5">
        <v>1325</v>
      </c>
      <c r="M171" s="4"/>
      <c r="N171" s="4">
        <v>5</v>
      </c>
      <c r="O171" s="5"/>
      <c r="P171" s="5">
        <v>265</v>
      </c>
      <c r="Q171" s="21">
        <v>0</v>
      </c>
      <c r="R171" s="21">
        <v>0</v>
      </c>
      <c r="S171" s="5">
        <f t="shared" si="11"/>
        <v>105217.5</v>
      </c>
      <c r="T171" cm="1">
        <f t="array" ref="T171">IF(OR(B171="MAL ALIMI", B171="ÜRETİM GİRİŞ"), MIN(I171, MAX(0, I171 + SUM(SUMIFS($I$1:I170, $C$1:C170, C171, $B$1:B170, {"MAL ALIMI","ÜRETİM GİRİŞ"})) - VLOOKUP(C171, 'STOK RAPORU'!$C$2:$I$1000, 4, 0))), 0)</f>
        <v>0</v>
      </c>
      <c r="U171" s="22">
        <f t="shared" si="8"/>
        <v>0</v>
      </c>
      <c r="V171">
        <f t="shared" si="9"/>
        <v>1325</v>
      </c>
      <c r="W171" s="22">
        <f t="shared" si="10"/>
        <v>1325</v>
      </c>
    </row>
    <row r="172" spans="1:23" hidden="1" x14ac:dyDescent="0.25">
      <c r="A172" s="3">
        <v>45950</v>
      </c>
      <c r="B172" s="3" t="s">
        <v>298</v>
      </c>
      <c r="C172" s="4" t="s">
        <v>242</v>
      </c>
      <c r="D172" s="4"/>
      <c r="E172" s="4" t="s">
        <v>350</v>
      </c>
      <c r="F172" s="4" t="s">
        <v>349</v>
      </c>
      <c r="G172" s="4" t="s">
        <v>350</v>
      </c>
      <c r="H172" s="4" t="s">
        <v>304</v>
      </c>
      <c r="I172" s="4">
        <v>5</v>
      </c>
      <c r="J172" s="21">
        <v>275</v>
      </c>
      <c r="K172" s="21">
        <v>0</v>
      </c>
      <c r="L172" s="5">
        <v>1375</v>
      </c>
      <c r="M172" s="4"/>
      <c r="N172" s="4">
        <v>5</v>
      </c>
      <c r="O172" s="5"/>
      <c r="P172" s="5">
        <v>275</v>
      </c>
      <c r="Q172" s="21">
        <v>0</v>
      </c>
      <c r="R172" s="21">
        <v>0</v>
      </c>
      <c r="S172" s="5">
        <f t="shared" si="11"/>
        <v>105217.5</v>
      </c>
      <c r="T172" cm="1">
        <f t="array" ref="T172">IF(OR(B172="MAL ALIMI", B172="ÜRETİM GİRİŞ"), MIN(I172, MAX(0, I172 + SUM(SUMIFS($I$1:I171, $C$1:C171, C172, $B$1:B171, {"MAL ALIMI","ÜRETİM GİRİŞ"})) - VLOOKUP(C172, 'STOK RAPORU'!$C$2:$I$1000, 4, 0))), 0)</f>
        <v>0</v>
      </c>
      <c r="U172" s="22">
        <f t="shared" si="8"/>
        <v>0</v>
      </c>
      <c r="V172">
        <f t="shared" si="9"/>
        <v>1375</v>
      </c>
      <c r="W172" s="22">
        <f t="shared" si="10"/>
        <v>1375</v>
      </c>
    </row>
    <row r="173" spans="1:23" hidden="1" x14ac:dyDescent="0.25">
      <c r="A173" s="3">
        <v>45950</v>
      </c>
      <c r="B173" s="3" t="s">
        <v>298</v>
      </c>
      <c r="C173" s="4" t="s">
        <v>243</v>
      </c>
      <c r="D173" s="4"/>
      <c r="E173" s="4" t="s">
        <v>350</v>
      </c>
      <c r="F173" s="4" t="s">
        <v>349</v>
      </c>
      <c r="G173" s="4" t="s">
        <v>350</v>
      </c>
      <c r="H173" s="4" t="s">
        <v>304</v>
      </c>
      <c r="I173" s="4">
        <v>5</v>
      </c>
      <c r="J173" s="21">
        <v>95</v>
      </c>
      <c r="K173" s="21">
        <v>0</v>
      </c>
      <c r="L173" s="5">
        <v>475</v>
      </c>
      <c r="M173" s="4"/>
      <c r="N173" s="4">
        <v>5</v>
      </c>
      <c r="O173" s="5"/>
      <c r="P173" s="5">
        <v>95</v>
      </c>
      <c r="Q173" s="21">
        <v>0</v>
      </c>
      <c r="R173" s="21">
        <v>0</v>
      </c>
      <c r="S173" s="5">
        <f t="shared" si="11"/>
        <v>105217.5</v>
      </c>
      <c r="T173" cm="1">
        <f t="array" ref="T173">IF(OR(B173="MAL ALIMI", B173="ÜRETİM GİRİŞ"), MIN(I173, MAX(0, I173 + SUM(SUMIFS($I$1:I172, $C$1:C172, C173, $B$1:B172, {"MAL ALIMI","ÜRETİM GİRİŞ"})) - VLOOKUP(C173, 'STOK RAPORU'!$C$2:$I$1000, 4, 0))), 0)</f>
        <v>0</v>
      </c>
      <c r="U173" s="22">
        <f t="shared" si="8"/>
        <v>0</v>
      </c>
      <c r="V173">
        <f t="shared" si="9"/>
        <v>475</v>
      </c>
      <c r="W173" s="22">
        <f t="shared" si="10"/>
        <v>475</v>
      </c>
    </row>
    <row r="174" spans="1:23" hidden="1" x14ac:dyDescent="0.25">
      <c r="A174" s="3">
        <v>45950</v>
      </c>
      <c r="B174" s="3" t="s">
        <v>334</v>
      </c>
      <c r="C174" s="4" t="s">
        <v>166</v>
      </c>
      <c r="D174" s="4"/>
      <c r="E174" s="4"/>
      <c r="F174" s="4" t="s">
        <v>351</v>
      </c>
      <c r="G174" s="4" t="s">
        <v>336</v>
      </c>
      <c r="H174" s="4" t="s">
        <v>289</v>
      </c>
      <c r="I174" s="4">
        <v>0.05</v>
      </c>
      <c r="J174" s="21">
        <v>770</v>
      </c>
      <c r="K174" s="21">
        <v>0</v>
      </c>
      <c r="L174" s="5">
        <v>0</v>
      </c>
      <c r="M174" s="4">
        <v>0.05</v>
      </c>
      <c r="N174" s="4"/>
      <c r="O174" s="5">
        <v>770</v>
      </c>
      <c r="P174" s="5"/>
      <c r="Q174" s="21">
        <v>38.5</v>
      </c>
      <c r="R174" s="21">
        <v>0</v>
      </c>
      <c r="S174" s="5">
        <f t="shared" si="11"/>
        <v>105256</v>
      </c>
      <c r="T174" cm="1">
        <f t="array" ref="T174">IF(OR(B174="MAL ALIMI", B174="ÜRETİM GİRİŞ"), MIN(I174, MAX(0, I174 + SUM(SUMIFS($I$1:I173, $C$1:C173, C174, $B$1:B173, {"MAL ALIMI","ÜRETİM GİRİŞ"})) - VLOOKUP(C174, 'STOK RAPORU'!$C$2:$I$1000, 4, 0))), 0)</f>
        <v>0</v>
      </c>
      <c r="U174" s="22">
        <f t="shared" si="8"/>
        <v>0</v>
      </c>
      <c r="V174">
        <f t="shared" si="9"/>
        <v>0</v>
      </c>
      <c r="W174" s="22">
        <f t="shared" si="10"/>
        <v>0</v>
      </c>
    </row>
    <row r="175" spans="1:23" hidden="1" x14ac:dyDescent="0.25">
      <c r="A175" s="3">
        <v>45950</v>
      </c>
      <c r="B175" s="3" t="s">
        <v>334</v>
      </c>
      <c r="C175" s="4" t="s">
        <v>92</v>
      </c>
      <c r="D175" s="4"/>
      <c r="E175" s="4"/>
      <c r="F175" s="4" t="s">
        <v>351</v>
      </c>
      <c r="G175" s="4" t="s">
        <v>336</v>
      </c>
      <c r="H175" s="4" t="s">
        <v>289</v>
      </c>
      <c r="I175" s="4">
        <v>0.05</v>
      </c>
      <c r="J175" s="21">
        <v>360</v>
      </c>
      <c r="K175" s="21">
        <v>0</v>
      </c>
      <c r="L175" s="5">
        <v>0</v>
      </c>
      <c r="M175" s="4">
        <v>0.05</v>
      </c>
      <c r="N175" s="4"/>
      <c r="O175" s="5">
        <v>360</v>
      </c>
      <c r="P175" s="5"/>
      <c r="Q175" s="21">
        <v>18</v>
      </c>
      <c r="R175" s="21">
        <v>0</v>
      </c>
      <c r="S175" s="5">
        <f t="shared" si="11"/>
        <v>105274</v>
      </c>
      <c r="T175" cm="1">
        <f t="array" ref="T175">IF(OR(B175="MAL ALIMI", B175="ÜRETİM GİRİŞ"), MIN(I175, MAX(0, I175 + SUM(SUMIFS($I$1:I174, $C$1:C174, C175, $B$1:B174, {"MAL ALIMI","ÜRETİM GİRİŞ"})) - VLOOKUP(C175, 'STOK RAPORU'!$C$2:$I$1000, 4, 0))), 0)</f>
        <v>0</v>
      </c>
      <c r="U175" s="22">
        <f t="shared" si="8"/>
        <v>0</v>
      </c>
      <c r="V175">
        <f t="shared" si="9"/>
        <v>0</v>
      </c>
      <c r="W175" s="22">
        <f t="shared" si="10"/>
        <v>0</v>
      </c>
    </row>
    <row r="176" spans="1:23" hidden="1" x14ac:dyDescent="0.25">
      <c r="A176" s="3">
        <v>45950</v>
      </c>
      <c r="B176" s="3" t="s">
        <v>334</v>
      </c>
      <c r="C176" s="4" t="s">
        <v>130</v>
      </c>
      <c r="D176" s="4"/>
      <c r="E176" s="4"/>
      <c r="F176" s="4" t="s">
        <v>351</v>
      </c>
      <c r="G176" s="4" t="s">
        <v>336</v>
      </c>
      <c r="H176" s="4" t="s">
        <v>289</v>
      </c>
      <c r="I176" s="4">
        <v>0.05</v>
      </c>
      <c r="J176" s="21">
        <v>330</v>
      </c>
      <c r="K176" s="21">
        <v>0</v>
      </c>
      <c r="L176" s="5">
        <v>0</v>
      </c>
      <c r="M176" s="4">
        <v>0.05</v>
      </c>
      <c r="N176" s="4"/>
      <c r="O176" s="5">
        <v>330</v>
      </c>
      <c r="P176" s="5"/>
      <c r="Q176" s="21">
        <v>16.5</v>
      </c>
      <c r="R176" s="21">
        <v>0</v>
      </c>
      <c r="S176" s="5">
        <f t="shared" si="11"/>
        <v>105290.5</v>
      </c>
      <c r="T176" cm="1">
        <f t="array" ref="T176">IF(OR(B176="MAL ALIMI", B176="ÜRETİM GİRİŞ"), MIN(I176, MAX(0, I176 + SUM(SUMIFS($I$1:I175, $C$1:C175, C176, $B$1:B175, {"MAL ALIMI","ÜRETİM GİRİŞ"})) - VLOOKUP(C176, 'STOK RAPORU'!$C$2:$I$1000, 4, 0))), 0)</f>
        <v>0</v>
      </c>
      <c r="U176" s="22">
        <f t="shared" si="8"/>
        <v>0</v>
      </c>
      <c r="V176">
        <f t="shared" si="9"/>
        <v>0</v>
      </c>
      <c r="W176" s="22">
        <f t="shared" si="10"/>
        <v>0</v>
      </c>
    </row>
    <row r="177" spans="1:23" hidden="1" x14ac:dyDescent="0.25">
      <c r="A177" s="3">
        <v>45950</v>
      </c>
      <c r="B177" s="3" t="s">
        <v>334</v>
      </c>
      <c r="C177" s="4" t="s">
        <v>140</v>
      </c>
      <c r="D177" s="4"/>
      <c r="E177" s="4"/>
      <c r="F177" s="4" t="s">
        <v>351</v>
      </c>
      <c r="G177" s="4" t="s">
        <v>336</v>
      </c>
      <c r="H177" s="4" t="s">
        <v>289</v>
      </c>
      <c r="I177" s="4">
        <v>0.05</v>
      </c>
      <c r="J177" s="21">
        <v>250</v>
      </c>
      <c r="K177" s="21">
        <v>0</v>
      </c>
      <c r="L177" s="5">
        <v>0</v>
      </c>
      <c r="M177" s="4">
        <v>0.05</v>
      </c>
      <c r="N177" s="4"/>
      <c r="O177" s="5">
        <v>250</v>
      </c>
      <c r="P177" s="5"/>
      <c r="Q177" s="21">
        <v>12.5</v>
      </c>
      <c r="R177" s="21">
        <v>0</v>
      </c>
      <c r="S177" s="5">
        <f t="shared" si="11"/>
        <v>105303</v>
      </c>
      <c r="T177" cm="1">
        <f t="array" ref="T177">IF(OR(B177="MAL ALIMI", B177="ÜRETİM GİRİŞ"), MIN(I177, MAX(0, I177 + SUM(SUMIFS($I$1:I176, $C$1:C176, C177, $B$1:B176, {"MAL ALIMI","ÜRETİM GİRİŞ"})) - VLOOKUP(C177, 'STOK RAPORU'!$C$2:$I$1000, 4, 0))), 0)</f>
        <v>0</v>
      </c>
      <c r="U177" s="22">
        <f t="shared" si="8"/>
        <v>0</v>
      </c>
      <c r="V177">
        <f t="shared" si="9"/>
        <v>0</v>
      </c>
      <c r="W177" s="22">
        <f t="shared" si="10"/>
        <v>0</v>
      </c>
    </row>
    <row r="178" spans="1:23" hidden="1" x14ac:dyDescent="0.25">
      <c r="A178" s="3">
        <v>45950</v>
      </c>
      <c r="B178" s="3" t="s">
        <v>334</v>
      </c>
      <c r="C178" s="4" t="s">
        <v>129</v>
      </c>
      <c r="D178" s="4"/>
      <c r="E178" s="4"/>
      <c r="F178" s="4" t="s">
        <v>351</v>
      </c>
      <c r="G178" s="4" t="s">
        <v>336</v>
      </c>
      <c r="H178" s="4" t="s">
        <v>289</v>
      </c>
      <c r="I178" s="4">
        <v>0.05</v>
      </c>
      <c r="J178" s="21">
        <v>310</v>
      </c>
      <c r="K178" s="21">
        <v>0</v>
      </c>
      <c r="L178" s="5">
        <v>0</v>
      </c>
      <c r="M178" s="4">
        <v>0.05</v>
      </c>
      <c r="N178" s="4"/>
      <c r="O178" s="5">
        <v>310</v>
      </c>
      <c r="P178" s="5"/>
      <c r="Q178" s="21">
        <v>15.5</v>
      </c>
      <c r="R178" s="21">
        <v>0</v>
      </c>
      <c r="S178" s="5">
        <f t="shared" si="11"/>
        <v>105318.5</v>
      </c>
      <c r="T178" cm="1">
        <f t="array" ref="T178">IF(OR(B178="MAL ALIMI", B178="ÜRETİM GİRİŞ"), MIN(I178, MAX(0, I178 + SUM(SUMIFS($I$1:I177, $C$1:C177, C178, $B$1:B177, {"MAL ALIMI","ÜRETİM GİRİŞ"})) - VLOOKUP(C178, 'STOK RAPORU'!$C$2:$I$1000, 4, 0))), 0)</f>
        <v>0</v>
      </c>
      <c r="U178" s="22">
        <f t="shared" si="8"/>
        <v>0</v>
      </c>
      <c r="V178">
        <f t="shared" si="9"/>
        <v>0</v>
      </c>
      <c r="W178" s="22">
        <f t="shared" si="10"/>
        <v>0</v>
      </c>
    </row>
    <row r="179" spans="1:23" hidden="1" x14ac:dyDescent="0.25">
      <c r="A179" s="3">
        <v>45950</v>
      </c>
      <c r="B179" s="3" t="s">
        <v>334</v>
      </c>
      <c r="C179" s="4" t="s">
        <v>169</v>
      </c>
      <c r="D179" s="4"/>
      <c r="E179" s="4"/>
      <c r="F179" s="4" t="s">
        <v>351</v>
      </c>
      <c r="G179" s="4" t="s">
        <v>336</v>
      </c>
      <c r="H179" s="4" t="s">
        <v>289</v>
      </c>
      <c r="I179" s="4">
        <v>2</v>
      </c>
      <c r="J179" s="21">
        <v>130</v>
      </c>
      <c r="K179" s="21">
        <v>0</v>
      </c>
      <c r="L179" s="5">
        <v>0</v>
      </c>
      <c r="M179" s="4">
        <v>2</v>
      </c>
      <c r="N179" s="4"/>
      <c r="O179" s="5">
        <v>130</v>
      </c>
      <c r="P179" s="5"/>
      <c r="Q179" s="21">
        <v>260</v>
      </c>
      <c r="R179" s="21">
        <v>0</v>
      </c>
      <c r="S179" s="5">
        <f t="shared" si="11"/>
        <v>105578.5</v>
      </c>
      <c r="T179" cm="1">
        <f t="array" ref="T179">IF(OR(B179="MAL ALIMI", B179="ÜRETİM GİRİŞ"), MIN(I179, MAX(0, I179 + SUM(SUMIFS($I$1:I178, $C$1:C178, C179, $B$1:B178, {"MAL ALIMI","ÜRETİM GİRİŞ"})) - VLOOKUP(C179, 'STOK RAPORU'!$C$2:$I$1000, 4, 0))), 0)</f>
        <v>0</v>
      </c>
      <c r="U179" s="22">
        <f t="shared" si="8"/>
        <v>0</v>
      </c>
      <c r="V179">
        <f t="shared" si="9"/>
        <v>0</v>
      </c>
      <c r="W179" s="22">
        <f t="shared" si="10"/>
        <v>0</v>
      </c>
    </row>
    <row r="180" spans="1:23" hidden="1" x14ac:dyDescent="0.25">
      <c r="A180" s="3">
        <v>45950</v>
      </c>
      <c r="B180" s="3" t="s">
        <v>285</v>
      </c>
      <c r="C180" s="4"/>
      <c r="D180" s="4" t="s">
        <v>114</v>
      </c>
      <c r="E180" s="4"/>
      <c r="F180" s="4" t="s">
        <v>351</v>
      </c>
      <c r="G180" s="4" t="s">
        <v>336</v>
      </c>
      <c r="H180" s="4" t="s">
        <v>289</v>
      </c>
      <c r="I180" s="4">
        <v>1</v>
      </c>
      <c r="J180" s="21">
        <v>11</v>
      </c>
      <c r="K180" s="21">
        <v>0</v>
      </c>
      <c r="L180" s="5">
        <v>0</v>
      </c>
      <c r="M180" s="4"/>
      <c r="N180" s="4">
        <v>1</v>
      </c>
      <c r="O180" s="5"/>
      <c r="P180" s="5">
        <v>11</v>
      </c>
      <c r="Q180" s="21">
        <v>0</v>
      </c>
      <c r="R180" s="21">
        <v>11</v>
      </c>
      <c r="S180" s="5">
        <f t="shared" si="11"/>
        <v>105567.5</v>
      </c>
      <c r="T180" cm="1">
        <f t="array" ref="T180">IF(OR(B180="MAL ALIMI", B180="ÜRETİM GİRİŞ"), MIN(I180, MAX(0, I180 + SUM(SUMIFS($I$1:I179, $C$1:C179, C180, $B$1:B179, {"MAL ALIMI","ÜRETİM GİRİŞ"})) - VLOOKUP(C180, 'STOK RAPORU'!$C$2:$I$1000, 4, 0))), 0)</f>
        <v>0</v>
      </c>
      <c r="U180" s="22">
        <f t="shared" si="8"/>
        <v>0</v>
      </c>
      <c r="V180">
        <f t="shared" si="9"/>
        <v>0</v>
      </c>
      <c r="W180" s="22">
        <f t="shared" si="10"/>
        <v>0</v>
      </c>
    </row>
    <row r="181" spans="1:23" hidden="1" x14ac:dyDescent="0.25">
      <c r="A181" s="3">
        <v>45950</v>
      </c>
      <c r="B181" s="3" t="s">
        <v>334</v>
      </c>
      <c r="C181" s="4" t="s">
        <v>132</v>
      </c>
      <c r="D181" s="4"/>
      <c r="E181" s="4"/>
      <c r="F181" s="4" t="s">
        <v>352</v>
      </c>
      <c r="G181" s="4" t="s">
        <v>336</v>
      </c>
      <c r="H181" s="4" t="s">
        <v>289</v>
      </c>
      <c r="I181" s="4">
        <v>0.9</v>
      </c>
      <c r="J181" s="21">
        <v>450</v>
      </c>
      <c r="K181" s="21">
        <v>0</v>
      </c>
      <c r="L181" s="5">
        <v>0</v>
      </c>
      <c r="M181" s="4">
        <v>0.9</v>
      </c>
      <c r="N181" s="4"/>
      <c r="O181" s="5">
        <v>450</v>
      </c>
      <c r="P181" s="5"/>
      <c r="Q181" s="21">
        <v>405</v>
      </c>
      <c r="R181" s="21">
        <v>0</v>
      </c>
      <c r="S181" s="5">
        <f t="shared" si="11"/>
        <v>105972.5</v>
      </c>
      <c r="T181" cm="1">
        <f t="array" ref="T181">IF(OR(B181="MAL ALIMI", B181="ÜRETİM GİRİŞ"), MIN(I181, MAX(0, I181 + SUM(SUMIFS($I$1:I180, $C$1:C180, C181, $B$1:B180, {"MAL ALIMI","ÜRETİM GİRİŞ"})) - VLOOKUP(C181, 'STOK RAPORU'!$C$2:$I$1000, 4, 0))), 0)</f>
        <v>0</v>
      </c>
      <c r="U181" s="22">
        <f t="shared" si="8"/>
        <v>0</v>
      </c>
      <c r="V181">
        <f t="shared" si="9"/>
        <v>0</v>
      </c>
      <c r="W181" s="22">
        <f t="shared" si="10"/>
        <v>0</v>
      </c>
    </row>
    <row r="182" spans="1:23" hidden="1" x14ac:dyDescent="0.25">
      <c r="A182" s="3">
        <v>45950</v>
      </c>
      <c r="B182" s="3" t="s">
        <v>334</v>
      </c>
      <c r="C182" s="4" t="s">
        <v>158</v>
      </c>
      <c r="D182" s="4"/>
      <c r="E182" s="4"/>
      <c r="F182" s="4" t="s">
        <v>352</v>
      </c>
      <c r="G182" s="4" t="s">
        <v>336</v>
      </c>
      <c r="H182" s="4" t="s">
        <v>289</v>
      </c>
      <c r="I182" s="4">
        <v>1</v>
      </c>
      <c r="J182" s="21">
        <v>125</v>
      </c>
      <c r="K182" s="21">
        <v>0</v>
      </c>
      <c r="L182" s="5">
        <v>0</v>
      </c>
      <c r="M182" s="4">
        <v>1</v>
      </c>
      <c r="N182" s="4"/>
      <c r="O182" s="5">
        <v>125</v>
      </c>
      <c r="P182" s="5"/>
      <c r="Q182" s="21">
        <v>125</v>
      </c>
      <c r="R182" s="21">
        <v>0</v>
      </c>
      <c r="S182" s="5">
        <f t="shared" si="11"/>
        <v>106097.5</v>
      </c>
      <c r="T182" cm="1">
        <f t="array" ref="T182">IF(OR(B182="MAL ALIMI", B182="ÜRETİM GİRİŞ"), MIN(I182, MAX(0, I182 + SUM(SUMIFS($I$1:I181, $C$1:C181, C182, $B$1:B181, {"MAL ALIMI","ÜRETİM GİRİŞ"})) - VLOOKUP(C182, 'STOK RAPORU'!$C$2:$I$1000, 4, 0))), 0)</f>
        <v>0</v>
      </c>
      <c r="U182" s="22">
        <f t="shared" si="8"/>
        <v>0</v>
      </c>
      <c r="V182">
        <f t="shared" si="9"/>
        <v>0</v>
      </c>
      <c r="W182" s="22">
        <f t="shared" si="10"/>
        <v>0</v>
      </c>
    </row>
    <row r="183" spans="1:23" hidden="1" x14ac:dyDescent="0.25">
      <c r="A183" s="3">
        <v>45950</v>
      </c>
      <c r="B183" s="3" t="s">
        <v>334</v>
      </c>
      <c r="C183" s="4" t="s">
        <v>126</v>
      </c>
      <c r="D183" s="4"/>
      <c r="E183" s="4"/>
      <c r="F183" s="4" t="s">
        <v>352</v>
      </c>
      <c r="G183" s="4" t="s">
        <v>336</v>
      </c>
      <c r="H183" s="4" t="s">
        <v>289</v>
      </c>
      <c r="I183" s="4">
        <v>0.26600000000000001</v>
      </c>
      <c r="J183" s="21">
        <v>580</v>
      </c>
      <c r="K183" s="21">
        <v>0</v>
      </c>
      <c r="L183" s="5">
        <v>0</v>
      </c>
      <c r="M183" s="4">
        <v>0.26600000000000001</v>
      </c>
      <c r="N183" s="4"/>
      <c r="O183" s="5">
        <v>580</v>
      </c>
      <c r="P183" s="5"/>
      <c r="Q183" s="21">
        <v>154.28</v>
      </c>
      <c r="R183" s="21">
        <v>0</v>
      </c>
      <c r="S183" s="5">
        <f t="shared" si="11"/>
        <v>106251.78</v>
      </c>
      <c r="T183" cm="1">
        <f t="array" ref="T183">IF(OR(B183="MAL ALIMI", B183="ÜRETİM GİRİŞ"), MIN(I183, MAX(0, I183 + SUM(SUMIFS($I$1:I182, $C$1:C182, C183, $B$1:B182, {"MAL ALIMI","ÜRETİM GİRİŞ"})) - VLOOKUP(C183, 'STOK RAPORU'!$C$2:$I$1000, 4, 0))), 0)</f>
        <v>0</v>
      </c>
      <c r="U183" s="22">
        <f t="shared" si="8"/>
        <v>0</v>
      </c>
      <c r="V183">
        <f t="shared" si="9"/>
        <v>0</v>
      </c>
      <c r="W183" s="22">
        <f t="shared" si="10"/>
        <v>0</v>
      </c>
    </row>
    <row r="184" spans="1:23" hidden="1" x14ac:dyDescent="0.25">
      <c r="A184" s="3">
        <v>45950</v>
      </c>
      <c r="B184" s="3" t="s">
        <v>334</v>
      </c>
      <c r="C184" s="4" t="s">
        <v>172</v>
      </c>
      <c r="D184" s="4"/>
      <c r="E184" s="4"/>
      <c r="F184" s="4" t="s">
        <v>352</v>
      </c>
      <c r="G184" s="4" t="s">
        <v>336</v>
      </c>
      <c r="H184" s="4" t="s">
        <v>289</v>
      </c>
      <c r="I184" s="4">
        <v>1</v>
      </c>
      <c r="J184" s="21">
        <v>105</v>
      </c>
      <c r="K184" s="21">
        <v>0</v>
      </c>
      <c r="L184" s="5">
        <v>0</v>
      </c>
      <c r="M184" s="4">
        <v>1</v>
      </c>
      <c r="N184" s="4"/>
      <c r="O184" s="5">
        <v>105</v>
      </c>
      <c r="P184" s="5"/>
      <c r="Q184" s="21">
        <v>105</v>
      </c>
      <c r="R184" s="21">
        <v>0</v>
      </c>
      <c r="S184" s="5">
        <f t="shared" si="11"/>
        <v>106356.78</v>
      </c>
      <c r="T184" cm="1">
        <f t="array" ref="T184">IF(OR(B184="MAL ALIMI", B184="ÜRETİM GİRİŞ"), MIN(I184, MAX(0, I184 + SUM(SUMIFS($I$1:I183, $C$1:C183, C184, $B$1:B183, {"MAL ALIMI","ÜRETİM GİRİŞ"})) - VLOOKUP(C184, 'STOK RAPORU'!$C$2:$I$1000, 4, 0))), 0)</f>
        <v>0</v>
      </c>
      <c r="U184" s="22">
        <f t="shared" si="8"/>
        <v>0</v>
      </c>
      <c r="V184">
        <f t="shared" si="9"/>
        <v>0</v>
      </c>
      <c r="W184" s="22">
        <f t="shared" si="10"/>
        <v>0</v>
      </c>
    </row>
    <row r="185" spans="1:23" hidden="1" x14ac:dyDescent="0.25">
      <c r="A185" s="3">
        <v>45950</v>
      </c>
      <c r="B185" s="3" t="s">
        <v>334</v>
      </c>
      <c r="C185" s="4" t="s">
        <v>171</v>
      </c>
      <c r="D185" s="4"/>
      <c r="E185" s="4"/>
      <c r="F185" s="4" t="s">
        <v>352</v>
      </c>
      <c r="G185" s="4" t="s">
        <v>336</v>
      </c>
      <c r="H185" s="4" t="s">
        <v>289</v>
      </c>
      <c r="I185" s="4">
        <v>1</v>
      </c>
      <c r="J185" s="21">
        <v>110</v>
      </c>
      <c r="K185" s="21">
        <v>0</v>
      </c>
      <c r="L185" s="5">
        <v>0</v>
      </c>
      <c r="M185" s="4">
        <v>1</v>
      </c>
      <c r="N185" s="4"/>
      <c r="O185" s="5">
        <v>110</v>
      </c>
      <c r="P185" s="5"/>
      <c r="Q185" s="21">
        <v>110</v>
      </c>
      <c r="R185" s="21">
        <v>0</v>
      </c>
      <c r="S185" s="5">
        <f t="shared" si="11"/>
        <v>106466.78</v>
      </c>
      <c r="T185" cm="1">
        <f t="array" ref="T185">IF(OR(B185="MAL ALIMI", B185="ÜRETİM GİRİŞ"), MIN(I185, MAX(0, I185 + SUM(SUMIFS($I$1:I184, $C$1:C184, C185, $B$1:B184, {"MAL ALIMI","ÜRETİM GİRİŞ"})) - VLOOKUP(C185, 'STOK RAPORU'!$C$2:$I$1000, 4, 0))), 0)</f>
        <v>0</v>
      </c>
      <c r="U185" s="22">
        <f t="shared" si="8"/>
        <v>0</v>
      </c>
      <c r="V185">
        <f t="shared" si="9"/>
        <v>0</v>
      </c>
      <c r="W185" s="22">
        <f t="shared" si="10"/>
        <v>0</v>
      </c>
    </row>
    <row r="186" spans="1:23" hidden="1" x14ac:dyDescent="0.25">
      <c r="A186" s="3">
        <v>45950</v>
      </c>
      <c r="B186" s="3" t="s">
        <v>334</v>
      </c>
      <c r="C186" s="4" t="s">
        <v>173</v>
      </c>
      <c r="D186" s="4"/>
      <c r="E186" s="4"/>
      <c r="F186" s="4" t="s">
        <v>352</v>
      </c>
      <c r="G186" s="4" t="s">
        <v>336</v>
      </c>
      <c r="H186" s="4" t="s">
        <v>289</v>
      </c>
      <c r="I186" s="4">
        <v>1</v>
      </c>
      <c r="J186" s="21">
        <v>110</v>
      </c>
      <c r="K186" s="21">
        <v>0</v>
      </c>
      <c r="L186" s="5">
        <v>0</v>
      </c>
      <c r="M186" s="4">
        <v>1</v>
      </c>
      <c r="N186" s="4"/>
      <c r="O186" s="5">
        <v>110</v>
      </c>
      <c r="P186" s="5"/>
      <c r="Q186" s="21">
        <v>110</v>
      </c>
      <c r="R186" s="21">
        <v>0</v>
      </c>
      <c r="S186" s="5">
        <f t="shared" si="11"/>
        <v>106576.78</v>
      </c>
      <c r="T186" cm="1">
        <f t="array" ref="T186">IF(OR(B186="MAL ALIMI", B186="ÜRETİM GİRİŞ"), MIN(I186, MAX(0, I186 + SUM(SUMIFS($I$1:I185, $C$1:C185, C186, $B$1:B185, {"MAL ALIMI","ÜRETİM GİRİŞ"})) - VLOOKUP(C186, 'STOK RAPORU'!$C$2:$I$1000, 4, 0))), 0)</f>
        <v>0</v>
      </c>
      <c r="U186" s="22">
        <f t="shared" si="8"/>
        <v>0</v>
      </c>
      <c r="V186">
        <f t="shared" si="9"/>
        <v>0</v>
      </c>
      <c r="W186" s="22">
        <f t="shared" si="10"/>
        <v>0</v>
      </c>
    </row>
    <row r="187" spans="1:23" hidden="1" x14ac:dyDescent="0.25">
      <c r="A187" s="3">
        <v>45950</v>
      </c>
      <c r="B187" s="3" t="s">
        <v>1027</v>
      </c>
      <c r="C187" s="4"/>
      <c r="D187" s="4" t="s">
        <v>116</v>
      </c>
      <c r="E187" s="4"/>
      <c r="F187" s="4" t="s">
        <v>352</v>
      </c>
      <c r="G187" s="4" t="s">
        <v>336</v>
      </c>
      <c r="H187" s="4" t="s">
        <v>289</v>
      </c>
      <c r="I187" s="4">
        <v>1</v>
      </c>
      <c r="J187" s="21">
        <v>90.72</v>
      </c>
      <c r="K187" s="21">
        <v>0</v>
      </c>
      <c r="L187" s="5">
        <v>0</v>
      </c>
      <c r="M187" s="4">
        <v>1</v>
      </c>
      <c r="N187" s="4"/>
      <c r="O187" s="5">
        <v>90.72</v>
      </c>
      <c r="P187" s="5"/>
      <c r="Q187" s="21">
        <v>90.72</v>
      </c>
      <c r="R187" s="21">
        <v>0</v>
      </c>
      <c r="S187" s="5">
        <f t="shared" si="11"/>
        <v>106667.5</v>
      </c>
      <c r="T187" cm="1">
        <f t="array" ref="T187">IF(OR(B187="MAL ALIMI", B187="ÜRETİM GİRİŞ"), MIN(I187, MAX(0, I187 + SUM(SUMIFS($I$1:I186, $C$1:C186, C187, $B$1:B186, {"MAL ALIMI","ÜRETİM GİRİŞ"})) - VLOOKUP(C187, 'STOK RAPORU'!$C$2:$I$1000, 4, 0))), 0)</f>
        <v>0</v>
      </c>
      <c r="U187" s="22">
        <f t="shared" si="8"/>
        <v>0</v>
      </c>
      <c r="V187">
        <f t="shared" si="9"/>
        <v>0</v>
      </c>
      <c r="W187" s="22">
        <f t="shared" si="10"/>
        <v>0</v>
      </c>
    </row>
    <row r="188" spans="1:23" hidden="1" x14ac:dyDescent="0.25">
      <c r="A188" s="3">
        <v>45950</v>
      </c>
      <c r="B188" s="3" t="s">
        <v>334</v>
      </c>
      <c r="C188" s="4" t="s">
        <v>211</v>
      </c>
      <c r="D188" s="4"/>
      <c r="E188" s="4"/>
      <c r="F188" s="4" t="s">
        <v>353</v>
      </c>
      <c r="G188" s="4" t="s">
        <v>336</v>
      </c>
      <c r="H188" s="4" t="s">
        <v>289</v>
      </c>
      <c r="I188" s="4">
        <v>1.37</v>
      </c>
      <c r="J188" s="21">
        <v>300</v>
      </c>
      <c r="K188" s="21">
        <v>0</v>
      </c>
      <c r="L188" s="5">
        <v>0</v>
      </c>
      <c r="M188" s="4">
        <v>1.37</v>
      </c>
      <c r="N188" s="4"/>
      <c r="O188" s="5">
        <v>300</v>
      </c>
      <c r="P188" s="5"/>
      <c r="Q188" s="21">
        <v>411.00000000000006</v>
      </c>
      <c r="R188" s="21">
        <v>0</v>
      </c>
      <c r="S188" s="5">
        <f t="shared" si="11"/>
        <v>107078.5</v>
      </c>
      <c r="T188" cm="1">
        <f t="array" ref="T188">IF(OR(B188="MAL ALIMI", B188="ÜRETİM GİRİŞ"), MIN(I188, MAX(0, I188 + SUM(SUMIFS($I$1:I187, $C$1:C187, C188, $B$1:B187, {"MAL ALIMI","ÜRETİM GİRİŞ"})) - VLOOKUP(C188, 'STOK RAPORU'!$C$2:$I$1000, 4, 0))), 0)</f>
        <v>0</v>
      </c>
      <c r="U188" s="22">
        <f t="shared" si="8"/>
        <v>0</v>
      </c>
      <c r="V188">
        <f t="shared" si="9"/>
        <v>0</v>
      </c>
      <c r="W188" s="22">
        <f t="shared" si="10"/>
        <v>0</v>
      </c>
    </row>
    <row r="189" spans="1:23" hidden="1" x14ac:dyDescent="0.25">
      <c r="A189" s="3">
        <v>45950</v>
      </c>
      <c r="B189" s="3" t="s">
        <v>334</v>
      </c>
      <c r="C189" s="4" t="s">
        <v>172</v>
      </c>
      <c r="D189" s="4"/>
      <c r="E189" s="4"/>
      <c r="F189" s="4" t="s">
        <v>353</v>
      </c>
      <c r="G189" s="4" t="s">
        <v>336</v>
      </c>
      <c r="H189" s="4" t="s">
        <v>289</v>
      </c>
      <c r="I189" s="4">
        <v>1</v>
      </c>
      <c r="J189" s="21">
        <v>105</v>
      </c>
      <c r="K189" s="21">
        <v>0</v>
      </c>
      <c r="L189" s="5">
        <v>0</v>
      </c>
      <c r="M189" s="4">
        <v>1</v>
      </c>
      <c r="N189" s="4"/>
      <c r="O189" s="5">
        <v>105</v>
      </c>
      <c r="P189" s="5"/>
      <c r="Q189" s="21">
        <v>105</v>
      </c>
      <c r="R189" s="21">
        <v>0</v>
      </c>
      <c r="S189" s="5">
        <f t="shared" si="11"/>
        <v>107183.5</v>
      </c>
      <c r="T189" cm="1">
        <f t="array" ref="T189">IF(OR(B189="MAL ALIMI", B189="ÜRETİM GİRİŞ"), MIN(I189, MAX(0, I189 + SUM(SUMIFS($I$1:I188, $C$1:C188, C189, $B$1:B188, {"MAL ALIMI","ÜRETİM GİRİŞ"})) - VLOOKUP(C189, 'STOK RAPORU'!$C$2:$I$1000, 4, 0))), 0)</f>
        <v>0</v>
      </c>
      <c r="U189" s="22">
        <f t="shared" si="8"/>
        <v>0</v>
      </c>
      <c r="V189">
        <f t="shared" si="9"/>
        <v>0</v>
      </c>
      <c r="W189" s="22">
        <f t="shared" si="10"/>
        <v>0</v>
      </c>
    </row>
    <row r="190" spans="1:23" hidden="1" x14ac:dyDescent="0.25">
      <c r="A190" s="3">
        <v>45950</v>
      </c>
      <c r="B190" s="3" t="s">
        <v>334</v>
      </c>
      <c r="C190" s="4" t="s">
        <v>162</v>
      </c>
      <c r="D190" s="4"/>
      <c r="E190" s="4"/>
      <c r="F190" s="4" t="s">
        <v>354</v>
      </c>
      <c r="G190" s="4" t="s">
        <v>336</v>
      </c>
      <c r="H190" s="4" t="s">
        <v>289</v>
      </c>
      <c r="I190" s="4">
        <v>1</v>
      </c>
      <c r="J190" s="21">
        <v>260</v>
      </c>
      <c r="K190" s="21">
        <v>0</v>
      </c>
      <c r="L190" s="5">
        <v>0</v>
      </c>
      <c r="M190" s="4">
        <v>1</v>
      </c>
      <c r="N190" s="4"/>
      <c r="O190" s="5">
        <v>260</v>
      </c>
      <c r="P190" s="5"/>
      <c r="Q190" s="21">
        <v>260</v>
      </c>
      <c r="R190" s="21">
        <v>0</v>
      </c>
      <c r="S190" s="5">
        <f t="shared" si="11"/>
        <v>107443.5</v>
      </c>
      <c r="T190" cm="1">
        <f t="array" ref="T190">IF(OR(B190="MAL ALIMI", B190="ÜRETİM GİRİŞ"), MIN(I190, MAX(0, I190 + SUM(SUMIFS($I$1:I189, $C$1:C189, C190, $B$1:B189, {"MAL ALIMI","ÜRETİM GİRİŞ"})) - VLOOKUP(C190, 'STOK RAPORU'!$C$2:$I$1000, 4, 0))), 0)</f>
        <v>0</v>
      </c>
      <c r="U190" s="22">
        <f t="shared" si="8"/>
        <v>0</v>
      </c>
      <c r="V190">
        <f t="shared" si="9"/>
        <v>0</v>
      </c>
      <c r="W190" s="22">
        <f t="shared" si="10"/>
        <v>0</v>
      </c>
    </row>
    <row r="191" spans="1:23" hidden="1" x14ac:dyDescent="0.25">
      <c r="A191" s="3">
        <v>45950</v>
      </c>
      <c r="B191" s="3" t="s">
        <v>334</v>
      </c>
      <c r="C191" s="4" t="s">
        <v>160</v>
      </c>
      <c r="D191" s="4"/>
      <c r="E191" s="4"/>
      <c r="F191" s="4" t="s">
        <v>354</v>
      </c>
      <c r="G191" s="4" t="s">
        <v>336</v>
      </c>
      <c r="H191" s="4" t="s">
        <v>289</v>
      </c>
      <c r="I191" s="4">
        <v>1</v>
      </c>
      <c r="J191" s="21">
        <v>240</v>
      </c>
      <c r="K191" s="21">
        <v>0</v>
      </c>
      <c r="L191" s="5">
        <v>0</v>
      </c>
      <c r="M191" s="4">
        <v>1</v>
      </c>
      <c r="N191" s="4"/>
      <c r="O191" s="5">
        <v>240</v>
      </c>
      <c r="P191" s="5"/>
      <c r="Q191" s="21">
        <v>240</v>
      </c>
      <c r="R191" s="21">
        <v>0</v>
      </c>
      <c r="S191" s="5">
        <f t="shared" si="11"/>
        <v>107683.5</v>
      </c>
      <c r="T191" cm="1">
        <f t="array" ref="T191">IF(OR(B191="MAL ALIMI", B191="ÜRETİM GİRİŞ"), MIN(I191, MAX(0, I191 + SUM(SUMIFS($I$1:I190, $C$1:C190, C191, $B$1:B190, {"MAL ALIMI","ÜRETİM GİRİŞ"})) - VLOOKUP(C191, 'STOK RAPORU'!$C$2:$I$1000, 4, 0))), 0)</f>
        <v>0</v>
      </c>
      <c r="U191" s="22">
        <f t="shared" si="8"/>
        <v>0</v>
      </c>
      <c r="V191">
        <f t="shared" si="9"/>
        <v>0</v>
      </c>
      <c r="W191" s="22">
        <f t="shared" si="10"/>
        <v>0</v>
      </c>
    </row>
    <row r="192" spans="1:23" hidden="1" x14ac:dyDescent="0.25">
      <c r="A192" s="3">
        <v>45950</v>
      </c>
      <c r="B192" s="3" t="s">
        <v>334</v>
      </c>
      <c r="C192" s="4" t="s">
        <v>167</v>
      </c>
      <c r="D192" s="4"/>
      <c r="E192" s="4"/>
      <c r="F192" s="4" t="s">
        <v>354</v>
      </c>
      <c r="G192" s="4" t="s">
        <v>336</v>
      </c>
      <c r="H192" s="4" t="s">
        <v>289</v>
      </c>
      <c r="I192" s="4">
        <v>1</v>
      </c>
      <c r="J192" s="21">
        <v>200</v>
      </c>
      <c r="K192" s="21">
        <v>0</v>
      </c>
      <c r="L192" s="5">
        <v>0</v>
      </c>
      <c r="M192" s="4">
        <v>1</v>
      </c>
      <c r="N192" s="4"/>
      <c r="O192" s="5">
        <v>200</v>
      </c>
      <c r="P192" s="5"/>
      <c r="Q192" s="21">
        <v>200</v>
      </c>
      <c r="R192" s="21">
        <v>0</v>
      </c>
      <c r="S192" s="5">
        <f t="shared" si="11"/>
        <v>107883.5</v>
      </c>
      <c r="T192" cm="1">
        <f t="array" ref="T192">IF(OR(B192="MAL ALIMI", B192="ÜRETİM GİRİŞ"), MIN(I192, MAX(0, I192 + SUM(SUMIFS($I$1:I191, $C$1:C191, C192, $B$1:B191, {"MAL ALIMI","ÜRETİM GİRİŞ"})) - VLOOKUP(C192, 'STOK RAPORU'!$C$2:$I$1000, 4, 0))), 0)</f>
        <v>0</v>
      </c>
      <c r="U192" s="22">
        <f t="shared" si="8"/>
        <v>0</v>
      </c>
      <c r="V192">
        <f t="shared" si="9"/>
        <v>0</v>
      </c>
      <c r="W192" s="22">
        <f t="shared" si="10"/>
        <v>0</v>
      </c>
    </row>
    <row r="193" spans="1:23" hidden="1" x14ac:dyDescent="0.25">
      <c r="A193" s="3">
        <v>45950</v>
      </c>
      <c r="B193" s="3" t="s">
        <v>334</v>
      </c>
      <c r="C193" s="4" t="s">
        <v>126</v>
      </c>
      <c r="D193" s="4"/>
      <c r="E193" s="4"/>
      <c r="F193" s="4" t="s">
        <v>355</v>
      </c>
      <c r="G193" s="4" t="s">
        <v>336</v>
      </c>
      <c r="H193" s="4" t="s">
        <v>289</v>
      </c>
      <c r="I193" s="4">
        <v>0.156</v>
      </c>
      <c r="J193" s="21">
        <v>580</v>
      </c>
      <c r="K193" s="21">
        <v>0</v>
      </c>
      <c r="L193" s="5">
        <v>0</v>
      </c>
      <c r="M193" s="4">
        <v>0.156</v>
      </c>
      <c r="N193" s="4"/>
      <c r="O193" s="5">
        <v>580</v>
      </c>
      <c r="P193" s="5"/>
      <c r="Q193" s="21">
        <v>90.48</v>
      </c>
      <c r="R193" s="21">
        <v>0</v>
      </c>
      <c r="S193" s="5">
        <f t="shared" si="11"/>
        <v>107973.98</v>
      </c>
      <c r="T193" cm="1">
        <f t="array" ref="T193">IF(OR(B193="MAL ALIMI", B193="ÜRETİM GİRİŞ"), MIN(I193, MAX(0, I193 + SUM(SUMIFS($I$1:I192, $C$1:C192, C193, $B$1:B192, {"MAL ALIMI","ÜRETİM GİRİŞ"})) - VLOOKUP(C193, 'STOK RAPORU'!$C$2:$I$1000, 4, 0))), 0)</f>
        <v>0</v>
      </c>
      <c r="U193" s="22">
        <f t="shared" si="8"/>
        <v>0</v>
      </c>
      <c r="V193">
        <f t="shared" si="9"/>
        <v>0</v>
      </c>
      <c r="W193" s="22">
        <f t="shared" si="10"/>
        <v>0</v>
      </c>
    </row>
    <row r="194" spans="1:23" hidden="1" x14ac:dyDescent="0.25">
      <c r="A194" s="3">
        <v>45950</v>
      </c>
      <c r="B194" s="3" t="s">
        <v>334</v>
      </c>
      <c r="C194" s="4" t="s">
        <v>129</v>
      </c>
      <c r="D194" s="4"/>
      <c r="E194" s="4"/>
      <c r="F194" s="4" t="s">
        <v>355</v>
      </c>
      <c r="G194" s="4" t="s">
        <v>336</v>
      </c>
      <c r="H194" s="4" t="s">
        <v>289</v>
      </c>
      <c r="I194" s="4">
        <v>0.1</v>
      </c>
      <c r="J194" s="21">
        <v>310</v>
      </c>
      <c r="K194" s="21">
        <v>0</v>
      </c>
      <c r="L194" s="5">
        <v>0</v>
      </c>
      <c r="M194" s="4">
        <v>0.1</v>
      </c>
      <c r="N194" s="4"/>
      <c r="O194" s="5">
        <v>310</v>
      </c>
      <c r="P194" s="5"/>
      <c r="Q194" s="21">
        <v>31</v>
      </c>
      <c r="R194" s="21">
        <v>0</v>
      </c>
      <c r="S194" s="5">
        <f t="shared" si="11"/>
        <v>108004.98</v>
      </c>
      <c r="T194" cm="1">
        <f t="array" ref="T194">IF(OR(B194="MAL ALIMI", B194="ÜRETİM GİRİŞ"), MIN(I194, MAX(0, I194 + SUM(SUMIFS($I$1:I193, $C$1:C193, C194, $B$1:B193, {"MAL ALIMI","ÜRETİM GİRİŞ"})) - VLOOKUP(C194, 'STOK RAPORU'!$C$2:$I$1000, 4, 0))), 0)</f>
        <v>0</v>
      </c>
      <c r="U194" s="22">
        <f t="shared" si="8"/>
        <v>0</v>
      </c>
      <c r="V194">
        <f t="shared" si="9"/>
        <v>0</v>
      </c>
      <c r="W194" s="22">
        <f t="shared" si="10"/>
        <v>0</v>
      </c>
    </row>
    <row r="195" spans="1:23" hidden="1" x14ac:dyDescent="0.25">
      <c r="A195" s="3">
        <v>45950</v>
      </c>
      <c r="B195" s="3" t="s">
        <v>334</v>
      </c>
      <c r="C195" s="4" t="s">
        <v>91</v>
      </c>
      <c r="D195" s="4"/>
      <c r="E195" s="4"/>
      <c r="F195" s="4" t="s">
        <v>355</v>
      </c>
      <c r="G195" s="4" t="s">
        <v>336</v>
      </c>
      <c r="H195" s="4" t="s">
        <v>289</v>
      </c>
      <c r="I195" s="4">
        <v>5.2999999999999999E-2</v>
      </c>
      <c r="J195" s="21">
        <v>760</v>
      </c>
      <c r="K195" s="21">
        <v>0</v>
      </c>
      <c r="L195" s="5">
        <v>0</v>
      </c>
      <c r="M195" s="4">
        <v>5.2999999999999999E-2</v>
      </c>
      <c r="N195" s="4"/>
      <c r="O195" s="5">
        <v>760</v>
      </c>
      <c r="P195" s="5"/>
      <c r="Q195" s="21">
        <v>40.28</v>
      </c>
      <c r="R195" s="21">
        <v>0</v>
      </c>
      <c r="S195" s="5">
        <f t="shared" si="11"/>
        <v>108045.26</v>
      </c>
      <c r="T195" cm="1">
        <f t="array" ref="T195">IF(OR(B195="MAL ALIMI", B195="ÜRETİM GİRİŞ"), MIN(I195, MAX(0, I195 + SUM(SUMIFS($I$1:I194, $C$1:C194, C195, $B$1:B194, {"MAL ALIMI","ÜRETİM GİRİŞ"})) - VLOOKUP(C195, 'STOK RAPORU'!$C$2:$I$1000, 4, 0))), 0)</f>
        <v>0</v>
      </c>
      <c r="U195" s="22">
        <f t="shared" ref="U195:U258" si="12">T195*J195</f>
        <v>0</v>
      </c>
      <c r="V195">
        <f t="shared" ref="V195:V258" si="13">IF(OR(B195="MAL ALIMI", B195="ÜRETİM GİRİŞ"), I195 * J195, 0)</f>
        <v>0</v>
      </c>
      <c r="W195" s="22">
        <f t="shared" ref="W195:W258" si="14">V195-U195</f>
        <v>0</v>
      </c>
    </row>
    <row r="196" spans="1:23" hidden="1" x14ac:dyDescent="0.25">
      <c r="A196" s="3">
        <v>45950</v>
      </c>
      <c r="B196" s="3" t="s">
        <v>334</v>
      </c>
      <c r="C196" s="4" t="s">
        <v>529</v>
      </c>
      <c r="D196" s="4"/>
      <c r="E196" s="4"/>
      <c r="F196" s="4" t="s">
        <v>355</v>
      </c>
      <c r="G196" s="4" t="s">
        <v>336</v>
      </c>
      <c r="H196" s="4" t="s">
        <v>289</v>
      </c>
      <c r="I196" s="4">
        <v>0.124</v>
      </c>
      <c r="J196" s="21">
        <v>240</v>
      </c>
      <c r="K196" s="21">
        <v>0</v>
      </c>
      <c r="L196" s="5">
        <v>0</v>
      </c>
      <c r="M196" s="4">
        <v>0.124</v>
      </c>
      <c r="N196" s="4"/>
      <c r="O196" s="5">
        <v>240</v>
      </c>
      <c r="P196" s="5"/>
      <c r="Q196" s="21">
        <v>29.759999999999998</v>
      </c>
      <c r="R196" s="21">
        <v>0</v>
      </c>
      <c r="S196" s="5">
        <f t="shared" ref="S196:S259" si="15">S195+Q196-R196</f>
        <v>108075.01999999999</v>
      </c>
      <c r="T196" cm="1">
        <f t="array" ref="T196">IF(OR(B196="MAL ALIMI", B196="ÜRETİM GİRİŞ"), MIN(I196, MAX(0, I196 + SUM(SUMIFS($I$1:I195, $C$1:C195, C196, $B$1:B195, {"MAL ALIMI","ÜRETİM GİRİŞ"})) - VLOOKUP(C196, 'STOK RAPORU'!$C$2:$I$1000, 4, 0))), 0)</f>
        <v>0</v>
      </c>
      <c r="U196" s="22">
        <f t="shared" si="12"/>
        <v>0</v>
      </c>
      <c r="V196">
        <f t="shared" si="13"/>
        <v>0</v>
      </c>
      <c r="W196" s="22">
        <f t="shared" si="14"/>
        <v>0</v>
      </c>
    </row>
    <row r="197" spans="1:23" hidden="1" x14ac:dyDescent="0.25">
      <c r="A197" s="3">
        <v>45950</v>
      </c>
      <c r="B197" s="3" t="s">
        <v>334</v>
      </c>
      <c r="C197" s="4" t="s">
        <v>523</v>
      </c>
      <c r="D197" s="4"/>
      <c r="E197" s="4"/>
      <c r="F197" s="4" t="s">
        <v>355</v>
      </c>
      <c r="G197" s="4" t="s">
        <v>336</v>
      </c>
      <c r="H197" s="4" t="s">
        <v>289</v>
      </c>
      <c r="I197" s="4">
        <v>0.04</v>
      </c>
      <c r="J197" s="21">
        <v>420</v>
      </c>
      <c r="K197" s="21">
        <v>0</v>
      </c>
      <c r="L197" s="5">
        <v>0</v>
      </c>
      <c r="M197" s="4">
        <v>0.04</v>
      </c>
      <c r="N197" s="4"/>
      <c r="O197" s="5">
        <v>420</v>
      </c>
      <c r="P197" s="5"/>
      <c r="Q197" s="21">
        <v>16.8</v>
      </c>
      <c r="R197" s="21">
        <v>0</v>
      </c>
      <c r="S197" s="5">
        <f t="shared" si="15"/>
        <v>108091.81999999999</v>
      </c>
      <c r="T197" cm="1">
        <f t="array" ref="T197">IF(OR(B197="MAL ALIMI", B197="ÜRETİM GİRİŞ"), MIN(I197, MAX(0, I197 + SUM(SUMIFS($I$1:I196, $C$1:C196, C197, $B$1:B196, {"MAL ALIMI","ÜRETİM GİRİŞ"})) - VLOOKUP(C197, 'STOK RAPORU'!$C$2:$I$1000, 4, 0))), 0)</f>
        <v>0</v>
      </c>
      <c r="U197" s="22">
        <f t="shared" si="12"/>
        <v>0</v>
      </c>
      <c r="V197">
        <f t="shared" si="13"/>
        <v>0</v>
      </c>
      <c r="W197" s="22">
        <f t="shared" si="14"/>
        <v>0</v>
      </c>
    </row>
    <row r="198" spans="1:23" hidden="1" x14ac:dyDescent="0.25">
      <c r="A198" s="3">
        <v>45950</v>
      </c>
      <c r="B198" s="3" t="s">
        <v>334</v>
      </c>
      <c r="C198" s="4" t="s">
        <v>241</v>
      </c>
      <c r="D198" s="4"/>
      <c r="E198" s="4"/>
      <c r="F198" s="4" t="s">
        <v>355</v>
      </c>
      <c r="G198" s="4" t="s">
        <v>336</v>
      </c>
      <c r="H198" s="4" t="s">
        <v>289</v>
      </c>
      <c r="I198" s="4">
        <v>0.34399999999999997</v>
      </c>
      <c r="J198" s="21">
        <v>350</v>
      </c>
      <c r="K198" s="21">
        <v>0</v>
      </c>
      <c r="L198" s="5">
        <v>0</v>
      </c>
      <c r="M198" s="4">
        <v>0.34399999999999997</v>
      </c>
      <c r="N198" s="4"/>
      <c r="O198" s="5">
        <v>350</v>
      </c>
      <c r="P198" s="5"/>
      <c r="Q198" s="21">
        <v>120.39999999999999</v>
      </c>
      <c r="R198" s="21">
        <v>0</v>
      </c>
      <c r="S198" s="5">
        <f t="shared" si="15"/>
        <v>108212.21999999999</v>
      </c>
      <c r="T198" cm="1">
        <f t="array" ref="T198">IF(OR(B198="MAL ALIMI", B198="ÜRETİM GİRİŞ"), MIN(I198, MAX(0, I198 + SUM(SUMIFS($I$1:I197, $C$1:C197, C198, $B$1:B197, {"MAL ALIMI","ÜRETİM GİRİŞ"})) - VLOOKUP(C198, 'STOK RAPORU'!$C$2:$I$1000, 4, 0))), 0)</f>
        <v>0</v>
      </c>
      <c r="U198" s="22">
        <f t="shared" si="12"/>
        <v>0</v>
      </c>
      <c r="V198">
        <f t="shared" si="13"/>
        <v>0</v>
      </c>
      <c r="W198" s="22">
        <f t="shared" si="14"/>
        <v>0</v>
      </c>
    </row>
    <row r="199" spans="1:23" hidden="1" x14ac:dyDescent="0.25">
      <c r="A199" s="3">
        <v>45950</v>
      </c>
      <c r="B199" s="3" t="s">
        <v>334</v>
      </c>
      <c r="C199" s="4" t="s">
        <v>196</v>
      </c>
      <c r="D199" s="4"/>
      <c r="E199" s="4"/>
      <c r="F199" s="4" t="s">
        <v>355</v>
      </c>
      <c r="G199" s="4" t="s">
        <v>336</v>
      </c>
      <c r="H199" s="4" t="s">
        <v>289</v>
      </c>
      <c r="I199" s="4">
        <v>0.39800000000000002</v>
      </c>
      <c r="J199" s="21">
        <v>180</v>
      </c>
      <c r="K199" s="21">
        <v>0</v>
      </c>
      <c r="L199" s="5">
        <v>0</v>
      </c>
      <c r="M199" s="4">
        <v>0.39800000000000002</v>
      </c>
      <c r="N199" s="4"/>
      <c r="O199" s="5">
        <v>180</v>
      </c>
      <c r="P199" s="5"/>
      <c r="Q199" s="21">
        <v>71.64</v>
      </c>
      <c r="R199" s="21">
        <v>0</v>
      </c>
      <c r="S199" s="5">
        <f t="shared" si="15"/>
        <v>108283.85999999999</v>
      </c>
      <c r="T199" cm="1">
        <f t="array" ref="T199">IF(OR(B199="MAL ALIMI", B199="ÜRETİM GİRİŞ"), MIN(I199, MAX(0, I199 + SUM(SUMIFS($I$1:I198, $C$1:C198, C199, $B$1:B198, {"MAL ALIMI","ÜRETİM GİRİŞ"})) - VLOOKUP(C199, 'STOK RAPORU'!$C$2:$I$1000, 4, 0))), 0)</f>
        <v>0</v>
      </c>
      <c r="U199" s="22">
        <f t="shared" si="12"/>
        <v>0</v>
      </c>
      <c r="V199">
        <f t="shared" si="13"/>
        <v>0</v>
      </c>
      <c r="W199" s="22">
        <f t="shared" si="14"/>
        <v>0</v>
      </c>
    </row>
    <row r="200" spans="1:23" hidden="1" x14ac:dyDescent="0.25">
      <c r="A200" s="3">
        <v>45950</v>
      </c>
      <c r="B200" s="3" t="s">
        <v>334</v>
      </c>
      <c r="C200" s="4" t="s">
        <v>202</v>
      </c>
      <c r="D200" s="4"/>
      <c r="E200" s="4"/>
      <c r="F200" s="4" t="s">
        <v>355</v>
      </c>
      <c r="G200" s="4" t="s">
        <v>336</v>
      </c>
      <c r="H200" s="4" t="s">
        <v>289</v>
      </c>
      <c r="I200" s="4">
        <v>0.5</v>
      </c>
      <c r="J200" s="21">
        <v>80</v>
      </c>
      <c r="K200" s="21">
        <v>0</v>
      </c>
      <c r="L200" s="5">
        <v>0</v>
      </c>
      <c r="M200" s="4">
        <v>0.5</v>
      </c>
      <c r="N200" s="4"/>
      <c r="O200" s="5">
        <v>80</v>
      </c>
      <c r="P200" s="5"/>
      <c r="Q200" s="21">
        <v>40</v>
      </c>
      <c r="R200" s="21">
        <v>0</v>
      </c>
      <c r="S200" s="5">
        <f t="shared" si="15"/>
        <v>108323.85999999999</v>
      </c>
      <c r="T200" cm="1">
        <f t="array" ref="T200">IF(OR(B200="MAL ALIMI", B200="ÜRETİM GİRİŞ"), MIN(I200, MAX(0, I200 + SUM(SUMIFS($I$1:I199, $C$1:C199, C200, $B$1:B199, {"MAL ALIMI","ÜRETİM GİRİŞ"})) - VLOOKUP(C200, 'STOK RAPORU'!$C$2:$I$1000, 4, 0))), 0)</f>
        <v>0</v>
      </c>
      <c r="U200" s="22">
        <f t="shared" si="12"/>
        <v>0</v>
      </c>
      <c r="V200">
        <f t="shared" si="13"/>
        <v>0</v>
      </c>
      <c r="W200" s="22">
        <f t="shared" si="14"/>
        <v>0</v>
      </c>
    </row>
    <row r="201" spans="1:23" hidden="1" x14ac:dyDescent="0.25">
      <c r="A201" s="3">
        <v>45950</v>
      </c>
      <c r="B201" s="3" t="s">
        <v>334</v>
      </c>
      <c r="C201" s="4" t="s">
        <v>226</v>
      </c>
      <c r="D201" s="4"/>
      <c r="E201" s="4"/>
      <c r="F201" s="4" t="s">
        <v>355</v>
      </c>
      <c r="G201" s="4" t="s">
        <v>336</v>
      </c>
      <c r="H201" s="4" t="s">
        <v>289</v>
      </c>
      <c r="I201" s="4">
        <v>0.22</v>
      </c>
      <c r="J201" s="21">
        <v>150</v>
      </c>
      <c r="K201" s="21">
        <v>0</v>
      </c>
      <c r="L201" s="5">
        <v>0</v>
      </c>
      <c r="M201" s="4">
        <v>0.22</v>
      </c>
      <c r="N201" s="4"/>
      <c r="O201" s="5">
        <v>150</v>
      </c>
      <c r="P201" s="5"/>
      <c r="Q201" s="21">
        <v>33</v>
      </c>
      <c r="R201" s="21">
        <v>0</v>
      </c>
      <c r="S201" s="5">
        <f t="shared" si="15"/>
        <v>108356.85999999999</v>
      </c>
      <c r="T201" cm="1">
        <f t="array" ref="T201">IF(OR(B201="MAL ALIMI", B201="ÜRETİM GİRİŞ"), MIN(I201, MAX(0, I201 + SUM(SUMIFS($I$1:I200, $C$1:C200, C201, $B$1:B200, {"MAL ALIMI","ÜRETİM GİRİŞ"})) - VLOOKUP(C201, 'STOK RAPORU'!$C$2:$I$1000, 4, 0))), 0)</f>
        <v>0</v>
      </c>
      <c r="U201" s="22">
        <f t="shared" si="12"/>
        <v>0</v>
      </c>
      <c r="V201">
        <f t="shared" si="13"/>
        <v>0</v>
      </c>
      <c r="W201" s="22">
        <f t="shared" si="14"/>
        <v>0</v>
      </c>
    </row>
    <row r="202" spans="1:23" hidden="1" x14ac:dyDescent="0.25">
      <c r="A202" s="3">
        <v>45950</v>
      </c>
      <c r="B202" s="3" t="s">
        <v>334</v>
      </c>
      <c r="C202" s="4" t="s">
        <v>126</v>
      </c>
      <c r="D202" s="4"/>
      <c r="E202" s="4"/>
      <c r="F202" s="4" t="s">
        <v>356</v>
      </c>
      <c r="G202" s="4" t="s">
        <v>336</v>
      </c>
      <c r="H202" s="4" t="s">
        <v>289</v>
      </c>
      <c r="I202" s="4">
        <v>0.17299999999999999</v>
      </c>
      <c r="J202" s="21">
        <v>580</v>
      </c>
      <c r="K202" s="21">
        <v>0</v>
      </c>
      <c r="L202" s="5">
        <v>0</v>
      </c>
      <c r="M202" s="4">
        <v>0.17299999999999999</v>
      </c>
      <c r="N202" s="4"/>
      <c r="O202" s="5">
        <v>580</v>
      </c>
      <c r="P202" s="5"/>
      <c r="Q202" s="21">
        <v>100.33999999999999</v>
      </c>
      <c r="R202" s="21">
        <v>0</v>
      </c>
      <c r="S202" s="5">
        <f t="shared" si="15"/>
        <v>108457.19999999998</v>
      </c>
      <c r="T202" cm="1">
        <f t="array" ref="T202">IF(OR(B202="MAL ALIMI", B202="ÜRETİM GİRİŞ"), MIN(I202, MAX(0, I202 + SUM(SUMIFS($I$1:I201, $C$1:C201, C202, $B$1:B201, {"MAL ALIMI","ÜRETİM GİRİŞ"})) - VLOOKUP(C202, 'STOK RAPORU'!$C$2:$I$1000, 4, 0))), 0)</f>
        <v>0</v>
      </c>
      <c r="U202" s="22">
        <f t="shared" si="12"/>
        <v>0</v>
      </c>
      <c r="V202">
        <f t="shared" si="13"/>
        <v>0</v>
      </c>
      <c r="W202" s="22">
        <f t="shared" si="14"/>
        <v>0</v>
      </c>
    </row>
    <row r="203" spans="1:23" hidden="1" x14ac:dyDescent="0.25">
      <c r="A203" s="3">
        <v>45950</v>
      </c>
      <c r="B203" s="3" t="s">
        <v>334</v>
      </c>
      <c r="C203" s="4" t="s">
        <v>96</v>
      </c>
      <c r="D203" s="4"/>
      <c r="E203" s="4"/>
      <c r="F203" s="4" t="s">
        <v>356</v>
      </c>
      <c r="G203" s="4" t="s">
        <v>336</v>
      </c>
      <c r="H203" s="4" t="s">
        <v>289</v>
      </c>
      <c r="I203" s="4">
        <v>0.182</v>
      </c>
      <c r="J203" s="21">
        <v>330</v>
      </c>
      <c r="K203" s="21">
        <v>0</v>
      </c>
      <c r="L203" s="5">
        <v>0</v>
      </c>
      <c r="M203" s="4">
        <v>0.182</v>
      </c>
      <c r="N203" s="4"/>
      <c r="O203" s="5">
        <v>330</v>
      </c>
      <c r="P203" s="5"/>
      <c r="Q203" s="21">
        <v>60.059999999999995</v>
      </c>
      <c r="R203" s="21">
        <v>0</v>
      </c>
      <c r="S203" s="5">
        <f t="shared" si="15"/>
        <v>108517.25999999998</v>
      </c>
      <c r="T203" cm="1">
        <f t="array" ref="T203">IF(OR(B203="MAL ALIMI", B203="ÜRETİM GİRİŞ"), MIN(I203, MAX(0, I203 + SUM(SUMIFS($I$1:I202, $C$1:C202, C203, $B$1:B202, {"MAL ALIMI","ÜRETİM GİRİŞ"})) - VLOOKUP(C203, 'STOK RAPORU'!$C$2:$I$1000, 4, 0))), 0)</f>
        <v>0</v>
      </c>
      <c r="U203" s="22">
        <f t="shared" si="12"/>
        <v>0</v>
      </c>
      <c r="V203">
        <f t="shared" si="13"/>
        <v>0</v>
      </c>
      <c r="W203" s="22">
        <f t="shared" si="14"/>
        <v>0</v>
      </c>
    </row>
    <row r="204" spans="1:23" hidden="1" x14ac:dyDescent="0.25">
      <c r="A204" s="3">
        <v>45950</v>
      </c>
      <c r="B204" s="3" t="s">
        <v>334</v>
      </c>
      <c r="C204" s="4" t="s">
        <v>163</v>
      </c>
      <c r="D204" s="4"/>
      <c r="E204" s="4"/>
      <c r="F204" s="4" t="s">
        <v>356</v>
      </c>
      <c r="G204" s="4" t="s">
        <v>336</v>
      </c>
      <c r="H204" s="4" t="s">
        <v>289</v>
      </c>
      <c r="I204" s="4">
        <v>0.28299999999999997</v>
      </c>
      <c r="J204" s="21">
        <v>340</v>
      </c>
      <c r="K204" s="21">
        <v>0</v>
      </c>
      <c r="L204" s="5">
        <v>0</v>
      </c>
      <c r="M204" s="4">
        <v>0.28299999999999997</v>
      </c>
      <c r="N204" s="4"/>
      <c r="O204" s="5">
        <v>340</v>
      </c>
      <c r="P204" s="5"/>
      <c r="Q204" s="21">
        <v>96.219999999999985</v>
      </c>
      <c r="R204" s="21">
        <v>0</v>
      </c>
      <c r="S204" s="5">
        <f t="shared" si="15"/>
        <v>108613.47999999998</v>
      </c>
      <c r="T204" cm="1">
        <f t="array" ref="T204">IF(OR(B204="MAL ALIMI", B204="ÜRETİM GİRİŞ"), MIN(I204, MAX(0, I204 + SUM(SUMIFS($I$1:I203, $C$1:C203, C204, $B$1:B203, {"MAL ALIMI","ÜRETİM GİRİŞ"})) - VLOOKUP(C204, 'STOK RAPORU'!$C$2:$I$1000, 4, 0))), 0)</f>
        <v>0</v>
      </c>
      <c r="U204" s="22">
        <f t="shared" si="12"/>
        <v>0</v>
      </c>
      <c r="V204">
        <f t="shared" si="13"/>
        <v>0</v>
      </c>
      <c r="W204" s="22">
        <f t="shared" si="14"/>
        <v>0</v>
      </c>
    </row>
    <row r="205" spans="1:23" hidden="1" x14ac:dyDescent="0.25">
      <c r="A205" s="3">
        <v>45950</v>
      </c>
      <c r="B205" s="3" t="s">
        <v>334</v>
      </c>
      <c r="C205" s="4" t="s">
        <v>3167</v>
      </c>
      <c r="D205" s="4"/>
      <c r="E205" s="4"/>
      <c r="F205" s="4" t="s">
        <v>356</v>
      </c>
      <c r="G205" s="4" t="s">
        <v>336</v>
      </c>
      <c r="H205" s="4" t="s">
        <v>289</v>
      </c>
      <c r="I205" s="4">
        <v>0.2</v>
      </c>
      <c r="J205" s="21">
        <v>290</v>
      </c>
      <c r="K205" s="21">
        <v>0</v>
      </c>
      <c r="L205" s="5">
        <v>0</v>
      </c>
      <c r="M205" s="4">
        <v>0.2</v>
      </c>
      <c r="N205" s="4"/>
      <c r="O205" s="5">
        <v>290</v>
      </c>
      <c r="P205" s="5"/>
      <c r="Q205" s="21">
        <v>58</v>
      </c>
      <c r="R205" s="21">
        <v>0</v>
      </c>
      <c r="S205" s="5">
        <f t="shared" si="15"/>
        <v>108671.47999999998</v>
      </c>
      <c r="T205" cm="1">
        <f t="array" ref="T205">IF(OR(B205="MAL ALIMI", B205="ÜRETİM GİRİŞ"), MIN(I205, MAX(0, I205 + SUM(SUMIFS($I$1:I204, $C$1:C204, C205, $B$1:B204, {"MAL ALIMI","ÜRETİM GİRİŞ"})) - VLOOKUP(C205, 'STOK RAPORU'!$C$2:$I$1000, 4, 0))), 0)</f>
        <v>0</v>
      </c>
      <c r="U205" s="22">
        <f t="shared" si="12"/>
        <v>0</v>
      </c>
      <c r="V205">
        <f t="shared" si="13"/>
        <v>0</v>
      </c>
      <c r="W205" s="22">
        <f t="shared" si="14"/>
        <v>0</v>
      </c>
    </row>
    <row r="206" spans="1:23" hidden="1" x14ac:dyDescent="0.25">
      <c r="A206" s="3">
        <v>45950</v>
      </c>
      <c r="B206" s="3" t="s">
        <v>334</v>
      </c>
      <c r="C206" s="4" t="s">
        <v>237</v>
      </c>
      <c r="D206" s="4"/>
      <c r="E206" s="4"/>
      <c r="F206" s="4" t="s">
        <v>356</v>
      </c>
      <c r="G206" s="4" t="s">
        <v>336</v>
      </c>
      <c r="H206" s="4" t="s">
        <v>289</v>
      </c>
      <c r="I206" s="4">
        <v>2.7E-2</v>
      </c>
      <c r="J206" s="21">
        <v>1500</v>
      </c>
      <c r="K206" s="21">
        <v>0</v>
      </c>
      <c r="L206" s="5">
        <v>0</v>
      </c>
      <c r="M206" s="4">
        <v>2.7E-2</v>
      </c>
      <c r="N206" s="4"/>
      <c r="O206" s="5">
        <v>1500</v>
      </c>
      <c r="P206" s="5"/>
      <c r="Q206" s="21">
        <v>40.5</v>
      </c>
      <c r="R206" s="21">
        <v>0</v>
      </c>
      <c r="S206" s="5">
        <f t="shared" si="15"/>
        <v>108711.97999999998</v>
      </c>
      <c r="T206" cm="1">
        <f t="array" ref="T206">IF(OR(B206="MAL ALIMI", B206="ÜRETİM GİRİŞ"), MIN(I206, MAX(0, I206 + SUM(SUMIFS($I$1:I205, $C$1:C205, C206, $B$1:B205, {"MAL ALIMI","ÜRETİM GİRİŞ"})) - VLOOKUP(C206, 'STOK RAPORU'!$C$2:$I$1000, 4, 0))), 0)</f>
        <v>0</v>
      </c>
      <c r="U206" s="22">
        <f t="shared" si="12"/>
        <v>0</v>
      </c>
      <c r="V206">
        <f t="shared" si="13"/>
        <v>0</v>
      </c>
      <c r="W206" s="22">
        <f t="shared" si="14"/>
        <v>0</v>
      </c>
    </row>
    <row r="207" spans="1:23" hidden="1" x14ac:dyDescent="0.25">
      <c r="A207" s="3">
        <v>45950</v>
      </c>
      <c r="B207" s="3" t="s">
        <v>334</v>
      </c>
      <c r="C207" s="4" t="s">
        <v>529</v>
      </c>
      <c r="D207" s="4"/>
      <c r="E207" s="4"/>
      <c r="F207" s="4" t="s">
        <v>356</v>
      </c>
      <c r="G207" s="4" t="s">
        <v>336</v>
      </c>
      <c r="H207" s="4" t="s">
        <v>289</v>
      </c>
      <c r="I207" s="4">
        <v>0.14000000000000001</v>
      </c>
      <c r="J207" s="21">
        <v>375</v>
      </c>
      <c r="K207" s="21">
        <v>0</v>
      </c>
      <c r="L207" s="5">
        <v>0</v>
      </c>
      <c r="M207" s="4">
        <v>0.14000000000000001</v>
      </c>
      <c r="N207" s="4"/>
      <c r="O207" s="5">
        <v>375</v>
      </c>
      <c r="P207" s="5"/>
      <c r="Q207" s="21">
        <v>52.500000000000007</v>
      </c>
      <c r="R207" s="21">
        <v>0</v>
      </c>
      <c r="S207" s="5">
        <f t="shared" si="15"/>
        <v>108764.47999999998</v>
      </c>
      <c r="T207" cm="1">
        <f t="array" ref="T207">IF(OR(B207="MAL ALIMI", B207="ÜRETİM GİRİŞ"), MIN(I207, MAX(0, I207 + SUM(SUMIFS($I$1:I206, $C$1:C206, C207, $B$1:B206, {"MAL ALIMI","ÜRETİM GİRİŞ"})) - VLOOKUP(C207, 'STOK RAPORU'!$C$2:$I$1000, 4, 0))), 0)</f>
        <v>0</v>
      </c>
      <c r="U207" s="22">
        <f t="shared" si="12"/>
        <v>0</v>
      </c>
      <c r="V207">
        <f t="shared" si="13"/>
        <v>0</v>
      </c>
      <c r="W207" s="22">
        <f t="shared" si="14"/>
        <v>0</v>
      </c>
    </row>
    <row r="208" spans="1:23" hidden="1" x14ac:dyDescent="0.25">
      <c r="A208" s="3">
        <v>45950</v>
      </c>
      <c r="B208" s="3" t="s">
        <v>334</v>
      </c>
      <c r="C208" s="4" t="s">
        <v>160</v>
      </c>
      <c r="D208" s="4"/>
      <c r="E208" s="4"/>
      <c r="F208" s="4" t="s">
        <v>356</v>
      </c>
      <c r="G208" s="4" t="s">
        <v>336</v>
      </c>
      <c r="H208" s="4" t="s">
        <v>289</v>
      </c>
      <c r="I208" s="4">
        <v>1</v>
      </c>
      <c r="J208" s="21">
        <v>240</v>
      </c>
      <c r="K208" s="21">
        <v>0</v>
      </c>
      <c r="L208" s="5">
        <v>0</v>
      </c>
      <c r="M208" s="4">
        <v>1</v>
      </c>
      <c r="N208" s="4"/>
      <c r="O208" s="5">
        <v>240</v>
      </c>
      <c r="P208" s="5"/>
      <c r="Q208" s="21">
        <v>240</v>
      </c>
      <c r="R208" s="21">
        <v>0</v>
      </c>
      <c r="S208" s="5">
        <f t="shared" si="15"/>
        <v>109004.47999999998</v>
      </c>
      <c r="T208" cm="1">
        <f t="array" ref="T208">IF(OR(B208="MAL ALIMI", B208="ÜRETİM GİRİŞ"), MIN(I208, MAX(0, I208 + SUM(SUMIFS($I$1:I207, $C$1:C207, C208, $B$1:B207, {"MAL ALIMI","ÜRETİM GİRİŞ"})) - VLOOKUP(C208, 'STOK RAPORU'!$C$2:$I$1000, 4, 0))), 0)</f>
        <v>0</v>
      </c>
      <c r="U208" s="22">
        <f t="shared" si="12"/>
        <v>0</v>
      </c>
      <c r="V208">
        <f t="shared" si="13"/>
        <v>0</v>
      </c>
      <c r="W208" s="22">
        <f t="shared" si="14"/>
        <v>0</v>
      </c>
    </row>
    <row r="209" spans="1:23" hidden="1" x14ac:dyDescent="0.25">
      <c r="A209" s="3">
        <v>45950</v>
      </c>
      <c r="B209" s="3" t="s">
        <v>334</v>
      </c>
      <c r="C209" s="4" t="s">
        <v>172</v>
      </c>
      <c r="D209" s="4"/>
      <c r="E209" s="4"/>
      <c r="F209" s="4" t="s">
        <v>356</v>
      </c>
      <c r="G209" s="4" t="s">
        <v>336</v>
      </c>
      <c r="H209" s="4" t="s">
        <v>289</v>
      </c>
      <c r="I209" s="4">
        <v>1</v>
      </c>
      <c r="J209" s="21">
        <v>110</v>
      </c>
      <c r="K209" s="21">
        <v>0</v>
      </c>
      <c r="L209" s="5">
        <v>0</v>
      </c>
      <c r="M209" s="4">
        <v>1</v>
      </c>
      <c r="N209" s="4"/>
      <c r="O209" s="5">
        <v>110</v>
      </c>
      <c r="P209" s="5"/>
      <c r="Q209" s="21">
        <v>110</v>
      </c>
      <c r="R209" s="21">
        <v>0</v>
      </c>
      <c r="S209" s="5">
        <f t="shared" si="15"/>
        <v>109114.47999999998</v>
      </c>
      <c r="T209" cm="1">
        <f t="array" ref="T209">IF(OR(B209="MAL ALIMI", B209="ÜRETİM GİRİŞ"), MIN(I209, MAX(0, I209 + SUM(SUMIFS($I$1:I208, $C$1:C208, C209, $B$1:B208, {"MAL ALIMI","ÜRETİM GİRİŞ"})) - VLOOKUP(C209, 'STOK RAPORU'!$C$2:$I$1000, 4, 0))), 0)</f>
        <v>0</v>
      </c>
      <c r="U209" s="22">
        <f t="shared" si="12"/>
        <v>0</v>
      </c>
      <c r="V209">
        <f t="shared" si="13"/>
        <v>0</v>
      </c>
      <c r="W209" s="22">
        <f t="shared" si="14"/>
        <v>0</v>
      </c>
    </row>
    <row r="210" spans="1:23" hidden="1" x14ac:dyDescent="0.25">
      <c r="A210" s="3">
        <v>45950</v>
      </c>
      <c r="B210" s="3" t="s">
        <v>334</v>
      </c>
      <c r="C210" s="4" t="s">
        <v>171</v>
      </c>
      <c r="D210" s="4"/>
      <c r="E210" s="4"/>
      <c r="F210" s="4" t="s">
        <v>356</v>
      </c>
      <c r="G210" s="4" t="s">
        <v>336</v>
      </c>
      <c r="H210" s="4" t="s">
        <v>289</v>
      </c>
      <c r="I210" s="4">
        <v>1</v>
      </c>
      <c r="J210" s="21">
        <v>110</v>
      </c>
      <c r="K210" s="21">
        <v>0</v>
      </c>
      <c r="L210" s="5">
        <v>0</v>
      </c>
      <c r="M210" s="4">
        <v>1</v>
      </c>
      <c r="N210" s="4"/>
      <c r="O210" s="5">
        <v>110</v>
      </c>
      <c r="P210" s="5"/>
      <c r="Q210" s="21">
        <v>110</v>
      </c>
      <c r="R210" s="21">
        <v>0</v>
      </c>
      <c r="S210" s="5">
        <f t="shared" si="15"/>
        <v>109224.47999999998</v>
      </c>
      <c r="T210" cm="1">
        <f t="array" ref="T210">IF(OR(B210="MAL ALIMI", B210="ÜRETİM GİRİŞ"), MIN(I210, MAX(0, I210 + SUM(SUMIFS($I$1:I209, $C$1:C209, C210, $B$1:B209, {"MAL ALIMI","ÜRETİM GİRİŞ"})) - VLOOKUP(C210, 'STOK RAPORU'!$C$2:$I$1000, 4, 0))), 0)</f>
        <v>0</v>
      </c>
      <c r="U210" s="22">
        <f t="shared" si="12"/>
        <v>0</v>
      </c>
      <c r="V210">
        <f t="shared" si="13"/>
        <v>0</v>
      </c>
      <c r="W210" s="22">
        <f t="shared" si="14"/>
        <v>0</v>
      </c>
    </row>
    <row r="211" spans="1:23" hidden="1" x14ac:dyDescent="0.25">
      <c r="A211" s="3">
        <v>45951</v>
      </c>
      <c r="B211" s="3" t="s">
        <v>298</v>
      </c>
      <c r="C211" s="4" t="s">
        <v>244</v>
      </c>
      <c r="D211" s="4"/>
      <c r="E211" s="4" t="s">
        <v>350</v>
      </c>
      <c r="F211" s="4" t="s">
        <v>357</v>
      </c>
      <c r="G211" s="4" t="s">
        <v>350</v>
      </c>
      <c r="H211" s="4" t="s">
        <v>304</v>
      </c>
      <c r="I211" s="4">
        <v>5</v>
      </c>
      <c r="J211" s="21">
        <v>495</v>
      </c>
      <c r="K211" s="21">
        <v>0</v>
      </c>
      <c r="L211" s="5">
        <v>2475</v>
      </c>
      <c r="M211" s="4"/>
      <c r="N211" s="4">
        <v>5</v>
      </c>
      <c r="O211" s="5"/>
      <c r="P211" s="5">
        <v>495</v>
      </c>
      <c r="Q211" s="21">
        <v>0</v>
      </c>
      <c r="R211" s="21">
        <v>0</v>
      </c>
      <c r="S211" s="5">
        <f t="shared" si="15"/>
        <v>109224.47999999998</v>
      </c>
      <c r="T211" cm="1">
        <f t="array" ref="T211">IF(OR(B211="MAL ALIMI", B211="ÜRETİM GİRİŞ"), MIN(I211, MAX(0, I211 + SUM(SUMIFS($I$1:I210, $C$1:C210, C211, $B$1:B210, {"MAL ALIMI","ÜRETİM GİRİŞ"})) - VLOOKUP(C211, 'STOK RAPORU'!$C$2:$I$1000, 4, 0))), 0)</f>
        <v>0</v>
      </c>
      <c r="U211" s="22">
        <f t="shared" si="12"/>
        <v>0</v>
      </c>
      <c r="V211">
        <f t="shared" si="13"/>
        <v>2475</v>
      </c>
      <c r="W211" s="22">
        <f t="shared" si="14"/>
        <v>2475</v>
      </c>
    </row>
    <row r="212" spans="1:23" hidden="1" x14ac:dyDescent="0.25">
      <c r="A212" s="3">
        <v>45951</v>
      </c>
      <c r="B212" s="3" t="s">
        <v>298</v>
      </c>
      <c r="C212" s="4" t="s">
        <v>245</v>
      </c>
      <c r="D212" s="4"/>
      <c r="E212" s="4" t="s">
        <v>350</v>
      </c>
      <c r="F212" s="4" t="s">
        <v>357</v>
      </c>
      <c r="G212" s="4" t="s">
        <v>350</v>
      </c>
      <c r="H212" s="4" t="s">
        <v>304</v>
      </c>
      <c r="I212" s="4">
        <v>5</v>
      </c>
      <c r="J212" s="21">
        <v>475</v>
      </c>
      <c r="K212" s="21">
        <v>0</v>
      </c>
      <c r="L212" s="5">
        <v>2375</v>
      </c>
      <c r="M212" s="4"/>
      <c r="N212" s="4">
        <v>5</v>
      </c>
      <c r="O212" s="5"/>
      <c r="P212" s="5">
        <v>475</v>
      </c>
      <c r="Q212" s="21">
        <v>0</v>
      </c>
      <c r="R212" s="21">
        <v>0</v>
      </c>
      <c r="S212" s="5">
        <f t="shared" si="15"/>
        <v>109224.47999999998</v>
      </c>
      <c r="T212" cm="1">
        <f t="array" ref="T212">IF(OR(B212="MAL ALIMI", B212="ÜRETİM GİRİŞ"), MIN(I212, MAX(0, I212 + SUM(SUMIFS($I$1:I211, $C$1:C211, C212, $B$1:B211, {"MAL ALIMI","ÜRETİM GİRİŞ"})) - VLOOKUP(C212, 'STOK RAPORU'!$C$2:$I$1000, 4, 0))), 0)</f>
        <v>1.0461538461536968E-2</v>
      </c>
      <c r="U212" s="22">
        <f t="shared" si="12"/>
        <v>4.9692307692300597</v>
      </c>
      <c r="V212">
        <f t="shared" si="13"/>
        <v>2375</v>
      </c>
      <c r="W212" s="22">
        <f t="shared" si="14"/>
        <v>2370.0307692307701</v>
      </c>
    </row>
    <row r="213" spans="1:23" hidden="1" x14ac:dyDescent="0.25">
      <c r="A213" s="3">
        <v>45951</v>
      </c>
      <c r="B213" s="3" t="s">
        <v>298</v>
      </c>
      <c r="C213" s="4" t="s">
        <v>246</v>
      </c>
      <c r="D213" s="4"/>
      <c r="E213" s="4" t="s">
        <v>350</v>
      </c>
      <c r="F213" s="4" t="s">
        <v>357</v>
      </c>
      <c r="G213" s="4" t="s">
        <v>350</v>
      </c>
      <c r="H213" s="4" t="s">
        <v>304</v>
      </c>
      <c r="I213" s="4">
        <v>4</v>
      </c>
      <c r="J213" s="21">
        <v>1150</v>
      </c>
      <c r="K213" s="21">
        <v>0</v>
      </c>
      <c r="L213" s="5">
        <v>4600</v>
      </c>
      <c r="M213" s="4"/>
      <c r="N213" s="4">
        <v>4</v>
      </c>
      <c r="O213" s="5"/>
      <c r="P213" s="5">
        <v>1150</v>
      </c>
      <c r="Q213" s="21">
        <v>0</v>
      </c>
      <c r="R213" s="21">
        <v>0</v>
      </c>
      <c r="S213" s="5">
        <f t="shared" si="15"/>
        <v>109224.47999999998</v>
      </c>
      <c r="T213" cm="1">
        <f t="array" ref="T213">IF(OR(B213="MAL ALIMI", B213="ÜRETİM GİRİŞ"), MIN(I213, MAX(0, I213 + SUM(SUMIFS($I$1:I212, $C$1:C212, C213, $B$1:B212, {"MAL ALIMI","ÜRETİM GİRİŞ"})) - VLOOKUP(C213, 'STOK RAPORU'!$C$2:$I$1000, 4, 0))), 0)</f>
        <v>0</v>
      </c>
      <c r="U213" s="22">
        <f t="shared" si="12"/>
        <v>0</v>
      </c>
      <c r="V213">
        <f t="shared" si="13"/>
        <v>4600</v>
      </c>
      <c r="W213" s="22">
        <f t="shared" si="14"/>
        <v>4600</v>
      </c>
    </row>
    <row r="214" spans="1:23" hidden="1" x14ac:dyDescent="0.25">
      <c r="A214" s="3">
        <v>45951</v>
      </c>
      <c r="B214" s="3" t="s">
        <v>298</v>
      </c>
      <c r="C214" s="4" t="s">
        <v>247</v>
      </c>
      <c r="D214" s="4"/>
      <c r="E214" s="4" t="s">
        <v>350</v>
      </c>
      <c r="F214" s="4" t="s">
        <v>357</v>
      </c>
      <c r="G214" s="4" t="s">
        <v>350</v>
      </c>
      <c r="H214" s="4" t="s">
        <v>304</v>
      </c>
      <c r="I214" s="4">
        <v>5</v>
      </c>
      <c r="J214" s="21">
        <v>1050</v>
      </c>
      <c r="K214" s="21">
        <v>0</v>
      </c>
      <c r="L214" s="5">
        <v>5250</v>
      </c>
      <c r="M214" s="4"/>
      <c r="N214" s="4">
        <v>5</v>
      </c>
      <c r="O214" s="5"/>
      <c r="P214" s="5">
        <v>1050</v>
      </c>
      <c r="Q214" s="21">
        <v>0</v>
      </c>
      <c r="R214" s="21">
        <v>0</v>
      </c>
      <c r="S214" s="5">
        <f t="shared" si="15"/>
        <v>109224.47999999998</v>
      </c>
      <c r="T214" cm="1">
        <f t="array" ref="T214">IF(OR(B214="MAL ALIMI", B214="ÜRETİM GİRİŞ"), MIN(I214, MAX(0, I214 + SUM(SUMIFS($I$1:I213, $C$1:C213, C214, $B$1:B213, {"MAL ALIMI","ÜRETİM GİRİŞ"})) - VLOOKUP(C214, 'STOK RAPORU'!$C$2:$I$1000, 4, 0))), 0)</f>
        <v>0</v>
      </c>
      <c r="U214" s="22">
        <f t="shared" si="12"/>
        <v>0</v>
      </c>
      <c r="V214">
        <f t="shared" si="13"/>
        <v>5250</v>
      </c>
      <c r="W214" s="22">
        <f t="shared" si="14"/>
        <v>5250</v>
      </c>
    </row>
    <row r="215" spans="1:23" hidden="1" x14ac:dyDescent="0.25">
      <c r="A215" s="3">
        <v>45951</v>
      </c>
      <c r="B215" s="3" t="s">
        <v>298</v>
      </c>
      <c r="C215" s="4" t="s">
        <v>248</v>
      </c>
      <c r="D215" s="4"/>
      <c r="E215" s="4" t="s">
        <v>350</v>
      </c>
      <c r="F215" s="4" t="s">
        <v>357</v>
      </c>
      <c r="G215" s="4" t="s">
        <v>350</v>
      </c>
      <c r="H215" s="4" t="s">
        <v>304</v>
      </c>
      <c r="I215" s="4">
        <v>5</v>
      </c>
      <c r="J215" s="21">
        <v>900</v>
      </c>
      <c r="K215" s="21">
        <v>0</v>
      </c>
      <c r="L215" s="5">
        <v>4500</v>
      </c>
      <c r="M215" s="4"/>
      <c r="N215" s="4">
        <v>5</v>
      </c>
      <c r="O215" s="5"/>
      <c r="P215" s="5">
        <v>900</v>
      </c>
      <c r="Q215" s="21">
        <v>0</v>
      </c>
      <c r="R215" s="21">
        <v>0</v>
      </c>
      <c r="S215" s="5">
        <f t="shared" si="15"/>
        <v>109224.47999999998</v>
      </c>
      <c r="T215" cm="1">
        <f t="array" ref="T215">IF(OR(B215="MAL ALIMI", B215="ÜRETİM GİRİŞ"), MIN(I215, MAX(0, I215 + SUM(SUMIFS($I$1:I214, $C$1:C214, C215, $B$1:B214, {"MAL ALIMI","ÜRETİM GİRİŞ"})) - VLOOKUP(C215, 'STOK RAPORU'!$C$2:$I$1000, 4, 0))), 0)</f>
        <v>1.5119999999999991</v>
      </c>
      <c r="U215" s="22">
        <f t="shared" si="12"/>
        <v>1360.7999999999993</v>
      </c>
      <c r="V215">
        <f t="shared" si="13"/>
        <v>4500</v>
      </c>
      <c r="W215" s="22">
        <f t="shared" si="14"/>
        <v>3139.2000000000007</v>
      </c>
    </row>
    <row r="216" spans="1:23" hidden="1" x14ac:dyDescent="0.25">
      <c r="A216" s="3">
        <v>45951</v>
      </c>
      <c r="B216" s="3" t="s">
        <v>298</v>
      </c>
      <c r="C216" s="4" t="s">
        <v>249</v>
      </c>
      <c r="D216" s="4"/>
      <c r="E216" s="4" t="s">
        <v>350</v>
      </c>
      <c r="F216" s="4" t="s">
        <v>357</v>
      </c>
      <c r="G216" s="4" t="s">
        <v>350</v>
      </c>
      <c r="H216" s="4" t="s">
        <v>304</v>
      </c>
      <c r="I216" s="4">
        <v>1</v>
      </c>
      <c r="J216" s="21">
        <v>150</v>
      </c>
      <c r="K216" s="21">
        <v>0</v>
      </c>
      <c r="L216" s="5">
        <v>150</v>
      </c>
      <c r="M216" s="4"/>
      <c r="N216" s="4">
        <v>1</v>
      </c>
      <c r="O216" s="5"/>
      <c r="P216" s="5">
        <v>150</v>
      </c>
      <c r="Q216" s="21">
        <v>0</v>
      </c>
      <c r="R216" s="21">
        <v>0</v>
      </c>
      <c r="S216" s="5">
        <f t="shared" si="15"/>
        <v>109224.47999999998</v>
      </c>
      <c r="T216" cm="1">
        <f t="array" ref="T216">IF(OR(B216="MAL ALIMI", B216="ÜRETİM GİRİŞ"), MIN(I216, MAX(0, I216 + SUM(SUMIFS($I$1:I215, $C$1:C215, C216, $B$1:B215, {"MAL ALIMI","ÜRETİM GİRİŞ"})) - VLOOKUP(C216, 'STOK RAPORU'!$C$2:$I$1000, 4, 0))), 0)</f>
        <v>0</v>
      </c>
      <c r="U216" s="22">
        <f t="shared" si="12"/>
        <v>0</v>
      </c>
      <c r="V216">
        <f t="shared" si="13"/>
        <v>150</v>
      </c>
      <c r="W216" s="22">
        <f t="shared" si="14"/>
        <v>150</v>
      </c>
    </row>
    <row r="217" spans="1:23" hidden="1" x14ac:dyDescent="0.25">
      <c r="A217" s="3">
        <v>45951</v>
      </c>
      <c r="B217" s="3" t="s">
        <v>298</v>
      </c>
      <c r="C217" s="4" t="s">
        <v>250</v>
      </c>
      <c r="D217" s="4"/>
      <c r="E217" s="4" t="s">
        <v>350</v>
      </c>
      <c r="F217" s="4" t="s">
        <v>357</v>
      </c>
      <c r="G217" s="4" t="s">
        <v>350</v>
      </c>
      <c r="H217" s="4" t="s">
        <v>304</v>
      </c>
      <c r="I217" s="4">
        <v>5</v>
      </c>
      <c r="J217" s="21">
        <v>500</v>
      </c>
      <c r="K217" s="21">
        <v>0</v>
      </c>
      <c r="L217" s="5">
        <v>2500</v>
      </c>
      <c r="M217" s="4"/>
      <c r="N217" s="4">
        <v>5</v>
      </c>
      <c r="O217" s="5"/>
      <c r="P217" s="5">
        <v>500</v>
      </c>
      <c r="Q217" s="21">
        <v>0</v>
      </c>
      <c r="R217" s="21">
        <v>0</v>
      </c>
      <c r="S217" s="5">
        <f t="shared" si="15"/>
        <v>109224.47999999998</v>
      </c>
      <c r="T217" cm="1">
        <f t="array" ref="T217">IF(OR(B217="MAL ALIMI", B217="ÜRETİM GİRİŞ"), MIN(I217, MAX(0, I217 + SUM(SUMIFS($I$1:I216, $C$1:C216, C217, $B$1:B216, {"MAL ALIMI","ÜRETİM GİRİŞ"})) - VLOOKUP(C217, 'STOK RAPORU'!$C$2:$I$1000, 4, 0))), 0)</f>
        <v>5</v>
      </c>
      <c r="U217" s="22">
        <f t="shared" si="12"/>
        <v>2500</v>
      </c>
      <c r="V217">
        <f t="shared" si="13"/>
        <v>2500</v>
      </c>
      <c r="W217" s="22">
        <f t="shared" si="14"/>
        <v>0</v>
      </c>
    </row>
    <row r="218" spans="1:23" hidden="1" x14ac:dyDescent="0.25">
      <c r="A218" s="3">
        <v>45951</v>
      </c>
      <c r="B218" s="3" t="s">
        <v>298</v>
      </c>
      <c r="C218" s="4" t="s">
        <v>1502</v>
      </c>
      <c r="D218" s="4"/>
      <c r="E218" s="4" t="s">
        <v>350</v>
      </c>
      <c r="F218" s="4" t="s">
        <v>357</v>
      </c>
      <c r="G218" s="4" t="s">
        <v>350</v>
      </c>
      <c r="H218" s="4" t="s">
        <v>304</v>
      </c>
      <c r="I218" s="4">
        <v>1</v>
      </c>
      <c r="J218" s="21">
        <v>180</v>
      </c>
      <c r="K218" s="21">
        <v>0</v>
      </c>
      <c r="L218" s="5">
        <v>180</v>
      </c>
      <c r="M218" s="4"/>
      <c r="N218" s="4">
        <v>1</v>
      </c>
      <c r="O218" s="5"/>
      <c r="P218" s="5">
        <v>180</v>
      </c>
      <c r="Q218" s="21">
        <v>0</v>
      </c>
      <c r="R218" s="21">
        <v>0</v>
      </c>
      <c r="S218" s="5">
        <f t="shared" si="15"/>
        <v>109224.47999999998</v>
      </c>
      <c r="T218" cm="1">
        <f t="array" ref="T218">IF(OR(B218="MAL ALIMI", B218="ÜRETİM GİRİŞ"), MIN(I218, MAX(0, I218 + SUM(SUMIFS($I$1:I217, $C$1:C217, C218, $B$1:B217, {"MAL ALIMI","ÜRETİM GİRİŞ"})) - VLOOKUP(C218, 'STOK RAPORU'!$C$2:$I$1000, 4, 0))), 0)</f>
        <v>0.9</v>
      </c>
      <c r="U218" s="22">
        <f t="shared" si="12"/>
        <v>162</v>
      </c>
      <c r="V218">
        <f t="shared" si="13"/>
        <v>180</v>
      </c>
      <c r="W218" s="22">
        <f t="shared" si="14"/>
        <v>18</v>
      </c>
    </row>
    <row r="219" spans="1:23" hidden="1" x14ac:dyDescent="0.25">
      <c r="A219" s="3">
        <v>45951</v>
      </c>
      <c r="B219" s="3" t="s">
        <v>298</v>
      </c>
      <c r="C219" s="4" t="s">
        <v>251</v>
      </c>
      <c r="D219" s="4"/>
      <c r="E219" s="4" t="s">
        <v>350</v>
      </c>
      <c r="F219" s="4" t="s">
        <v>357</v>
      </c>
      <c r="G219" s="4" t="s">
        <v>350</v>
      </c>
      <c r="H219" s="4" t="s">
        <v>304</v>
      </c>
      <c r="I219" s="4">
        <v>5</v>
      </c>
      <c r="J219" s="21">
        <v>510</v>
      </c>
      <c r="K219" s="21">
        <v>0</v>
      </c>
      <c r="L219" s="5">
        <v>2550</v>
      </c>
      <c r="M219" s="4"/>
      <c r="N219" s="4">
        <v>5</v>
      </c>
      <c r="O219" s="5"/>
      <c r="P219" s="5">
        <v>510</v>
      </c>
      <c r="Q219" s="21">
        <v>0</v>
      </c>
      <c r="R219" s="21">
        <v>0</v>
      </c>
      <c r="S219" s="5">
        <f t="shared" si="15"/>
        <v>109224.47999999998</v>
      </c>
      <c r="T219" cm="1">
        <f t="array" ref="T219">IF(OR(B219="MAL ALIMI", B219="ÜRETİM GİRİŞ"), MIN(I219, MAX(0, I219 + SUM(SUMIFS($I$1:I218, $C$1:C218, C219, $B$1:B218, {"MAL ALIMI","ÜRETİM GİRİŞ"})) - VLOOKUP(C219, 'STOK RAPORU'!$C$2:$I$1000, 4, 0))), 0)</f>
        <v>0</v>
      </c>
      <c r="U219" s="22">
        <f t="shared" si="12"/>
        <v>0</v>
      </c>
      <c r="V219">
        <f t="shared" si="13"/>
        <v>2550</v>
      </c>
      <c r="W219" s="22">
        <f t="shared" si="14"/>
        <v>2550</v>
      </c>
    </row>
    <row r="220" spans="1:23" hidden="1" x14ac:dyDescent="0.25">
      <c r="A220" s="3">
        <v>45951</v>
      </c>
      <c r="B220" s="3" t="s">
        <v>298</v>
      </c>
      <c r="C220" s="4" t="s">
        <v>252</v>
      </c>
      <c r="D220" s="4"/>
      <c r="E220" s="4" t="s">
        <v>350</v>
      </c>
      <c r="F220" s="4" t="s">
        <v>357</v>
      </c>
      <c r="G220" s="4" t="s">
        <v>350</v>
      </c>
      <c r="H220" s="4" t="s">
        <v>304</v>
      </c>
      <c r="I220" s="4">
        <v>5</v>
      </c>
      <c r="J220" s="21">
        <v>120</v>
      </c>
      <c r="K220" s="21">
        <v>0</v>
      </c>
      <c r="L220" s="5">
        <v>600</v>
      </c>
      <c r="M220" s="4"/>
      <c r="N220" s="4">
        <v>5</v>
      </c>
      <c r="O220" s="5"/>
      <c r="P220" s="5">
        <v>120</v>
      </c>
      <c r="Q220" s="21">
        <v>0</v>
      </c>
      <c r="R220" s="21">
        <v>0</v>
      </c>
      <c r="S220" s="5">
        <f t="shared" si="15"/>
        <v>109224.47999999998</v>
      </c>
      <c r="T220" cm="1">
        <f t="array" ref="T220">IF(OR(B220="MAL ALIMI", B220="ÜRETİM GİRİŞ"), MIN(I220, MAX(0, I220 + SUM(SUMIFS($I$1:I219, $C$1:C219, C220, $B$1:B219, {"MAL ALIMI","ÜRETİM GİRİŞ"})) - VLOOKUP(C220, 'STOK RAPORU'!$C$2:$I$1000, 4, 0))), 0)</f>
        <v>0</v>
      </c>
      <c r="U220" s="22">
        <f t="shared" si="12"/>
        <v>0</v>
      </c>
      <c r="V220">
        <f t="shared" si="13"/>
        <v>600</v>
      </c>
      <c r="W220" s="22">
        <f t="shared" si="14"/>
        <v>600</v>
      </c>
    </row>
    <row r="221" spans="1:23" hidden="1" x14ac:dyDescent="0.25">
      <c r="A221" s="3">
        <v>45951</v>
      </c>
      <c r="B221" s="3" t="s">
        <v>298</v>
      </c>
      <c r="C221" s="4" t="s">
        <v>253</v>
      </c>
      <c r="D221" s="4"/>
      <c r="E221" s="4" t="s">
        <v>350</v>
      </c>
      <c r="F221" s="4" t="s">
        <v>357</v>
      </c>
      <c r="G221" s="4" t="s">
        <v>350</v>
      </c>
      <c r="H221" s="4" t="s">
        <v>304</v>
      </c>
      <c r="I221" s="4">
        <v>5</v>
      </c>
      <c r="J221" s="21">
        <v>155</v>
      </c>
      <c r="K221" s="21">
        <v>0</v>
      </c>
      <c r="L221" s="5">
        <v>775</v>
      </c>
      <c r="M221" s="4"/>
      <c r="N221" s="4">
        <v>5</v>
      </c>
      <c r="O221" s="5"/>
      <c r="P221" s="5">
        <v>155</v>
      </c>
      <c r="Q221" s="21">
        <v>0</v>
      </c>
      <c r="R221" s="21">
        <v>0</v>
      </c>
      <c r="S221" s="5">
        <f t="shared" si="15"/>
        <v>109224.47999999998</v>
      </c>
      <c r="T221" cm="1">
        <f t="array" ref="T221">IF(OR(B221="MAL ALIMI", B221="ÜRETİM GİRİŞ"), MIN(I221, MAX(0, I221 + SUM(SUMIFS($I$1:I220, $C$1:C220, C221, $B$1:B220, {"MAL ALIMI","ÜRETİM GİRİŞ"})) - VLOOKUP(C221, 'STOK RAPORU'!$C$2:$I$1000, 4, 0))), 0)</f>
        <v>0</v>
      </c>
      <c r="U221" s="22">
        <f t="shared" si="12"/>
        <v>0</v>
      </c>
      <c r="V221">
        <f t="shared" si="13"/>
        <v>775</v>
      </c>
      <c r="W221" s="22">
        <f t="shared" si="14"/>
        <v>775</v>
      </c>
    </row>
    <row r="222" spans="1:23" hidden="1" x14ac:dyDescent="0.25">
      <c r="A222" s="3">
        <v>45951</v>
      </c>
      <c r="B222" s="3" t="s">
        <v>298</v>
      </c>
      <c r="C222" s="4" t="s">
        <v>254</v>
      </c>
      <c r="D222" s="4"/>
      <c r="E222" s="4" t="s">
        <v>350</v>
      </c>
      <c r="F222" s="4" t="s">
        <v>357</v>
      </c>
      <c r="G222" s="4" t="s">
        <v>350</v>
      </c>
      <c r="H222" s="4" t="s">
        <v>304</v>
      </c>
      <c r="I222" s="4">
        <v>5</v>
      </c>
      <c r="J222" s="21">
        <v>115</v>
      </c>
      <c r="K222" s="21">
        <v>0</v>
      </c>
      <c r="L222" s="5">
        <v>575</v>
      </c>
      <c r="M222" s="4"/>
      <c r="N222" s="4">
        <v>5</v>
      </c>
      <c r="O222" s="5"/>
      <c r="P222" s="5">
        <v>115</v>
      </c>
      <c r="Q222" s="21">
        <v>0</v>
      </c>
      <c r="R222" s="21">
        <v>0</v>
      </c>
      <c r="S222" s="5">
        <f t="shared" si="15"/>
        <v>109224.47999999998</v>
      </c>
      <c r="T222" cm="1">
        <f t="array" ref="T222">IF(OR(B222="MAL ALIMI", B222="ÜRETİM GİRİŞ"), MIN(I222, MAX(0, I222 + SUM(SUMIFS($I$1:I221, $C$1:C221, C222, $B$1:B221, {"MAL ALIMI","ÜRETİM GİRİŞ"})) - VLOOKUP(C222, 'STOK RAPORU'!$C$2:$I$1000, 4, 0))), 0)</f>
        <v>0.66360869565217406</v>
      </c>
      <c r="U222" s="22">
        <f t="shared" si="12"/>
        <v>76.315000000000012</v>
      </c>
      <c r="V222">
        <f t="shared" si="13"/>
        <v>575</v>
      </c>
      <c r="W222" s="22">
        <f t="shared" si="14"/>
        <v>498.685</v>
      </c>
    </row>
    <row r="223" spans="1:23" hidden="1" x14ac:dyDescent="0.25">
      <c r="A223" s="3">
        <v>45951</v>
      </c>
      <c r="B223" s="3" t="s">
        <v>298</v>
      </c>
      <c r="C223" s="4" t="s">
        <v>255</v>
      </c>
      <c r="D223" s="4"/>
      <c r="E223" s="4" t="s">
        <v>350</v>
      </c>
      <c r="F223" s="4" t="s">
        <v>357</v>
      </c>
      <c r="G223" s="4" t="s">
        <v>350</v>
      </c>
      <c r="H223" s="4" t="s">
        <v>304</v>
      </c>
      <c r="I223" s="4">
        <v>5</v>
      </c>
      <c r="J223" s="21">
        <v>150</v>
      </c>
      <c r="K223" s="21">
        <v>0</v>
      </c>
      <c r="L223" s="5">
        <v>750</v>
      </c>
      <c r="M223" s="4"/>
      <c r="N223" s="4">
        <v>5</v>
      </c>
      <c r="O223" s="5"/>
      <c r="P223" s="5">
        <v>150</v>
      </c>
      <c r="Q223" s="21">
        <v>0</v>
      </c>
      <c r="R223" s="21">
        <v>0</v>
      </c>
      <c r="S223" s="5">
        <f t="shared" si="15"/>
        <v>109224.47999999998</v>
      </c>
      <c r="T223" cm="1">
        <f t="array" ref="T223">IF(OR(B223="MAL ALIMI", B223="ÜRETİM GİRİŞ"), MIN(I223, MAX(0, I223 + SUM(SUMIFS($I$1:I222, $C$1:C222, C223, $B$1:B222, {"MAL ALIMI","ÜRETİM GİRİŞ"})) - VLOOKUP(C223, 'STOK RAPORU'!$C$2:$I$1000, 4, 0))), 0)</f>
        <v>2</v>
      </c>
      <c r="U223" s="22">
        <f t="shared" si="12"/>
        <v>300</v>
      </c>
      <c r="V223">
        <f t="shared" si="13"/>
        <v>750</v>
      </c>
      <c r="W223" s="22">
        <f t="shared" si="14"/>
        <v>450</v>
      </c>
    </row>
    <row r="224" spans="1:23" hidden="1" x14ac:dyDescent="0.25">
      <c r="A224" s="3">
        <v>45951</v>
      </c>
      <c r="B224" s="3" t="s">
        <v>298</v>
      </c>
      <c r="C224" s="4" t="s">
        <v>256</v>
      </c>
      <c r="D224" s="4"/>
      <c r="E224" s="4" t="s">
        <v>350</v>
      </c>
      <c r="F224" s="4" t="s">
        <v>357</v>
      </c>
      <c r="G224" s="4" t="s">
        <v>350</v>
      </c>
      <c r="H224" s="4" t="s">
        <v>304</v>
      </c>
      <c r="I224" s="4">
        <v>5</v>
      </c>
      <c r="J224" s="21">
        <v>150</v>
      </c>
      <c r="K224" s="21">
        <v>0</v>
      </c>
      <c r="L224" s="5">
        <v>750</v>
      </c>
      <c r="M224" s="4"/>
      <c r="N224" s="4">
        <v>5</v>
      </c>
      <c r="O224" s="5"/>
      <c r="P224" s="5">
        <v>150</v>
      </c>
      <c r="Q224" s="21">
        <v>0</v>
      </c>
      <c r="R224" s="21">
        <v>0</v>
      </c>
      <c r="S224" s="5">
        <f t="shared" si="15"/>
        <v>109224.47999999998</v>
      </c>
      <c r="T224" cm="1">
        <f t="array" ref="T224">IF(OR(B224="MAL ALIMI", B224="ÜRETİM GİRİŞ"), MIN(I224, MAX(0, I224 + SUM(SUMIFS($I$1:I223, $C$1:C223, C224, $B$1:B223, {"MAL ALIMI","ÜRETİM GİRİŞ"})) - VLOOKUP(C224, 'STOK RAPORU'!$C$2:$I$1000, 4, 0))), 0)</f>
        <v>0</v>
      </c>
      <c r="U224" s="22">
        <f t="shared" si="12"/>
        <v>0</v>
      </c>
      <c r="V224">
        <f t="shared" si="13"/>
        <v>750</v>
      </c>
      <c r="W224" s="22">
        <f t="shared" si="14"/>
        <v>750</v>
      </c>
    </row>
    <row r="225" spans="1:23" hidden="1" x14ac:dyDescent="0.25">
      <c r="A225" s="3">
        <v>45951</v>
      </c>
      <c r="B225" s="3" t="s">
        <v>298</v>
      </c>
      <c r="C225" s="4" t="s">
        <v>257</v>
      </c>
      <c r="D225" s="4"/>
      <c r="E225" s="4" t="s">
        <v>350</v>
      </c>
      <c r="F225" s="4" t="s">
        <v>357</v>
      </c>
      <c r="G225" s="4" t="s">
        <v>350</v>
      </c>
      <c r="H225" s="4" t="s">
        <v>304</v>
      </c>
      <c r="I225" s="4">
        <v>5</v>
      </c>
      <c r="J225" s="21">
        <v>150</v>
      </c>
      <c r="K225" s="21">
        <v>0</v>
      </c>
      <c r="L225" s="5">
        <v>750</v>
      </c>
      <c r="M225" s="4"/>
      <c r="N225" s="4">
        <v>5</v>
      </c>
      <c r="O225" s="5"/>
      <c r="P225" s="5">
        <v>150</v>
      </c>
      <c r="Q225" s="21">
        <v>0</v>
      </c>
      <c r="R225" s="21">
        <v>0</v>
      </c>
      <c r="S225" s="5">
        <f t="shared" si="15"/>
        <v>109224.47999999998</v>
      </c>
      <c r="T225" cm="1">
        <f t="array" ref="T225">IF(OR(B225="MAL ALIMI", B225="ÜRETİM GİRİŞ"), MIN(I225, MAX(0, I225 + SUM(SUMIFS($I$1:I224, $C$1:C224, C225, $B$1:B224, {"MAL ALIMI","ÜRETİM GİRİŞ"})) - VLOOKUP(C225, 'STOK RAPORU'!$C$2:$I$1000, 4, 0))), 0)</f>
        <v>0</v>
      </c>
      <c r="U225" s="22">
        <f t="shared" si="12"/>
        <v>0</v>
      </c>
      <c r="V225">
        <f t="shared" si="13"/>
        <v>750</v>
      </c>
      <c r="W225" s="22">
        <f t="shared" si="14"/>
        <v>750</v>
      </c>
    </row>
    <row r="226" spans="1:23" hidden="1" x14ac:dyDescent="0.25">
      <c r="A226" s="3">
        <v>45951</v>
      </c>
      <c r="B226" s="3" t="s">
        <v>298</v>
      </c>
      <c r="C226" s="4" t="s">
        <v>258</v>
      </c>
      <c r="D226" s="4"/>
      <c r="E226" s="4" t="s">
        <v>350</v>
      </c>
      <c r="F226" s="4" t="s">
        <v>357</v>
      </c>
      <c r="G226" s="4" t="s">
        <v>350</v>
      </c>
      <c r="H226" s="4" t="s">
        <v>304</v>
      </c>
      <c r="I226" s="4">
        <v>5</v>
      </c>
      <c r="J226" s="21">
        <v>470</v>
      </c>
      <c r="K226" s="21">
        <v>0</v>
      </c>
      <c r="L226" s="5">
        <v>2350</v>
      </c>
      <c r="M226" s="4"/>
      <c r="N226" s="4">
        <v>5</v>
      </c>
      <c r="O226" s="5"/>
      <c r="P226" s="5">
        <v>470</v>
      </c>
      <c r="Q226" s="21">
        <v>0</v>
      </c>
      <c r="R226" s="21">
        <v>0</v>
      </c>
      <c r="S226" s="5">
        <f t="shared" si="15"/>
        <v>109224.47999999998</v>
      </c>
      <c r="T226" cm="1">
        <f t="array" ref="T226">IF(OR(B226="MAL ALIMI", B226="ÜRETİM GİRİŞ"), MIN(I226, MAX(0, I226 + SUM(SUMIFS($I$1:I225, $C$1:C225, C226, $B$1:B225, {"MAL ALIMI","ÜRETİM GİRİŞ"})) - VLOOKUP(C226, 'STOK RAPORU'!$C$2:$I$1000, 4, 0))), 0)</f>
        <v>3.3680000000000003</v>
      </c>
      <c r="U226" s="22">
        <f t="shared" si="12"/>
        <v>1582.9600000000003</v>
      </c>
      <c r="V226">
        <f t="shared" si="13"/>
        <v>2350</v>
      </c>
      <c r="W226" s="22">
        <f t="shared" si="14"/>
        <v>767.03999999999974</v>
      </c>
    </row>
    <row r="227" spans="1:23" hidden="1" x14ac:dyDescent="0.25">
      <c r="A227" s="3">
        <v>45951</v>
      </c>
      <c r="B227" s="3" t="s">
        <v>298</v>
      </c>
      <c r="C227" s="4" t="s">
        <v>259</v>
      </c>
      <c r="D227" s="4"/>
      <c r="E227" s="4" t="s">
        <v>350</v>
      </c>
      <c r="F227" s="4" t="s">
        <v>357</v>
      </c>
      <c r="G227" s="4" t="s">
        <v>350</v>
      </c>
      <c r="H227" s="4" t="s">
        <v>304</v>
      </c>
      <c r="I227" s="4">
        <v>12</v>
      </c>
      <c r="J227" s="21">
        <v>42</v>
      </c>
      <c r="K227" s="21">
        <v>0</v>
      </c>
      <c r="L227" s="5">
        <v>504</v>
      </c>
      <c r="M227" s="4"/>
      <c r="N227" s="4">
        <v>12</v>
      </c>
      <c r="O227" s="5"/>
      <c r="P227" s="5">
        <v>42</v>
      </c>
      <c r="Q227" s="21">
        <v>0</v>
      </c>
      <c r="R227" s="21">
        <v>0</v>
      </c>
      <c r="S227" s="5">
        <f t="shared" si="15"/>
        <v>109224.47999999998</v>
      </c>
      <c r="T227" cm="1">
        <f t="array" ref="T227">IF(OR(B227="MAL ALIMI", B227="ÜRETİM GİRİŞ"), MIN(I227, MAX(0, I227 + SUM(SUMIFS($I$1:I226, $C$1:C226, C227, $B$1:B226, {"MAL ALIMI","ÜRETİM GİRİŞ"})) - VLOOKUP(C227, 'STOK RAPORU'!$C$2:$I$1000, 4, 0))), 0)</f>
        <v>6</v>
      </c>
      <c r="U227" s="22">
        <f t="shared" si="12"/>
        <v>252</v>
      </c>
      <c r="V227">
        <f t="shared" si="13"/>
        <v>504</v>
      </c>
      <c r="W227" s="22">
        <f t="shared" si="14"/>
        <v>252</v>
      </c>
    </row>
    <row r="228" spans="1:23" hidden="1" x14ac:dyDescent="0.25">
      <c r="A228" s="3">
        <v>45951</v>
      </c>
      <c r="B228" s="3" t="s">
        <v>298</v>
      </c>
      <c r="C228" s="4" t="s">
        <v>260</v>
      </c>
      <c r="D228" s="4"/>
      <c r="E228" s="4" t="s">
        <v>350</v>
      </c>
      <c r="F228" s="4" t="s">
        <v>357</v>
      </c>
      <c r="G228" s="4" t="s">
        <v>350</v>
      </c>
      <c r="H228" s="4" t="s">
        <v>304</v>
      </c>
      <c r="I228" s="4">
        <v>5</v>
      </c>
      <c r="J228" s="21">
        <v>90</v>
      </c>
      <c r="K228" s="21">
        <v>0</v>
      </c>
      <c r="L228" s="5">
        <v>450</v>
      </c>
      <c r="M228" s="4"/>
      <c r="N228" s="4">
        <v>5</v>
      </c>
      <c r="O228" s="5"/>
      <c r="P228" s="5">
        <v>90</v>
      </c>
      <c r="Q228" s="21">
        <v>0</v>
      </c>
      <c r="R228" s="21">
        <v>0</v>
      </c>
      <c r="S228" s="5">
        <f t="shared" si="15"/>
        <v>109224.47999999998</v>
      </c>
      <c r="T228" cm="1">
        <f t="array" ref="T228">IF(OR(B228="MAL ALIMI", B228="ÜRETİM GİRİŞ"), MIN(I228, MAX(0, I228 + SUM(SUMIFS($I$1:I227, $C$1:C227, C228, $B$1:B227, {"MAL ALIMI","ÜRETİM GİRİŞ"})) - VLOOKUP(C228, 'STOK RAPORU'!$C$2:$I$1000, 4, 0))), 0)</f>
        <v>0</v>
      </c>
      <c r="U228" s="22">
        <f t="shared" si="12"/>
        <v>0</v>
      </c>
      <c r="V228">
        <f t="shared" si="13"/>
        <v>450</v>
      </c>
      <c r="W228" s="22">
        <f t="shared" si="14"/>
        <v>450</v>
      </c>
    </row>
    <row r="229" spans="1:23" hidden="1" x14ac:dyDescent="0.25">
      <c r="A229" s="3">
        <v>45951</v>
      </c>
      <c r="B229" s="3" t="s">
        <v>298</v>
      </c>
      <c r="C229" s="4" t="s">
        <v>261</v>
      </c>
      <c r="D229" s="4"/>
      <c r="E229" s="4" t="s">
        <v>350</v>
      </c>
      <c r="F229" s="4" t="s">
        <v>357</v>
      </c>
      <c r="G229" s="4" t="s">
        <v>350</v>
      </c>
      <c r="H229" s="4" t="s">
        <v>304</v>
      </c>
      <c r="I229" s="4">
        <v>5</v>
      </c>
      <c r="J229" s="21">
        <v>105</v>
      </c>
      <c r="K229" s="21">
        <v>0</v>
      </c>
      <c r="L229" s="5">
        <v>525</v>
      </c>
      <c r="M229" s="4"/>
      <c r="N229" s="4">
        <v>5</v>
      </c>
      <c r="O229" s="5"/>
      <c r="P229" s="5">
        <v>105</v>
      </c>
      <c r="Q229" s="21">
        <v>0</v>
      </c>
      <c r="R229" s="21">
        <v>0</v>
      </c>
      <c r="S229" s="5">
        <f t="shared" si="15"/>
        <v>109224.47999999998</v>
      </c>
      <c r="T229" cm="1">
        <f t="array" ref="T229">IF(OR(B229="MAL ALIMI", B229="ÜRETİM GİRİŞ"), MIN(I229, MAX(0, I229 + SUM(SUMIFS($I$1:I228, $C$1:C228, C229, $B$1:B228, {"MAL ALIMI","ÜRETİM GİRİŞ"})) - VLOOKUP(C229, 'STOK RAPORU'!$C$2:$I$1000, 4, 0))), 0)</f>
        <v>1</v>
      </c>
      <c r="U229" s="22">
        <f t="shared" si="12"/>
        <v>105</v>
      </c>
      <c r="V229">
        <f t="shared" si="13"/>
        <v>525</v>
      </c>
      <c r="W229" s="22">
        <f t="shared" si="14"/>
        <v>420</v>
      </c>
    </row>
    <row r="230" spans="1:23" hidden="1" x14ac:dyDescent="0.25">
      <c r="A230" s="3">
        <v>45951</v>
      </c>
      <c r="B230" s="3" t="s">
        <v>298</v>
      </c>
      <c r="C230" s="4" t="s">
        <v>262</v>
      </c>
      <c r="D230" s="4"/>
      <c r="E230" s="4" t="s">
        <v>350</v>
      </c>
      <c r="F230" s="4" t="s">
        <v>357</v>
      </c>
      <c r="G230" s="4" t="s">
        <v>350</v>
      </c>
      <c r="H230" s="4" t="s">
        <v>304</v>
      </c>
      <c r="I230" s="4">
        <v>5</v>
      </c>
      <c r="J230" s="21">
        <v>90</v>
      </c>
      <c r="K230" s="21">
        <v>0</v>
      </c>
      <c r="L230" s="5">
        <v>450</v>
      </c>
      <c r="M230" s="4"/>
      <c r="N230" s="4">
        <v>5</v>
      </c>
      <c r="O230" s="5"/>
      <c r="P230" s="5">
        <v>90</v>
      </c>
      <c r="Q230" s="21">
        <v>0</v>
      </c>
      <c r="R230" s="21">
        <v>0</v>
      </c>
      <c r="S230" s="5">
        <f t="shared" si="15"/>
        <v>109224.47999999998</v>
      </c>
      <c r="T230" cm="1">
        <f t="array" ref="T230">IF(OR(B230="MAL ALIMI", B230="ÜRETİM GİRİŞ"), MIN(I230, MAX(0, I230 + SUM(SUMIFS($I$1:I229, $C$1:C229, C230, $B$1:B229, {"MAL ALIMI","ÜRETİM GİRİŞ"})) - VLOOKUP(C230, 'STOK RAPORU'!$C$2:$I$1000, 4, 0))), 0)</f>
        <v>0</v>
      </c>
      <c r="U230" s="22">
        <f t="shared" si="12"/>
        <v>0</v>
      </c>
      <c r="V230">
        <f t="shared" si="13"/>
        <v>450</v>
      </c>
      <c r="W230" s="22">
        <f t="shared" si="14"/>
        <v>450</v>
      </c>
    </row>
    <row r="231" spans="1:23" hidden="1" x14ac:dyDescent="0.25">
      <c r="A231" s="3">
        <v>45951</v>
      </c>
      <c r="B231" s="3" t="s">
        <v>298</v>
      </c>
      <c r="C231" s="4" t="s">
        <v>263</v>
      </c>
      <c r="D231" s="4"/>
      <c r="E231" s="4" t="s">
        <v>350</v>
      </c>
      <c r="F231" s="4" t="s">
        <v>357</v>
      </c>
      <c r="G231" s="4" t="s">
        <v>350</v>
      </c>
      <c r="H231" s="4" t="s">
        <v>304</v>
      </c>
      <c r="I231" s="4">
        <v>5</v>
      </c>
      <c r="J231" s="21">
        <v>105</v>
      </c>
      <c r="K231" s="21">
        <v>0</v>
      </c>
      <c r="L231" s="5">
        <v>525</v>
      </c>
      <c r="M231" s="4"/>
      <c r="N231" s="4">
        <v>5</v>
      </c>
      <c r="O231" s="5"/>
      <c r="P231" s="5">
        <v>105</v>
      </c>
      <c r="Q231" s="21">
        <v>0</v>
      </c>
      <c r="R231" s="21">
        <v>0</v>
      </c>
      <c r="S231" s="5">
        <f t="shared" si="15"/>
        <v>109224.47999999998</v>
      </c>
      <c r="T231" cm="1">
        <f t="array" ref="T231">IF(OR(B231="MAL ALIMI", B231="ÜRETİM GİRİŞ"), MIN(I231, MAX(0, I231 + SUM(SUMIFS($I$1:I230, $C$1:C230, C231, $B$1:B230, {"MAL ALIMI","ÜRETİM GİRİŞ"})) - VLOOKUP(C231, 'STOK RAPORU'!$C$2:$I$1000, 4, 0))), 0)</f>
        <v>4</v>
      </c>
      <c r="U231" s="22">
        <f t="shared" si="12"/>
        <v>420</v>
      </c>
      <c r="V231">
        <f t="shared" si="13"/>
        <v>525</v>
      </c>
      <c r="W231" s="22">
        <f t="shared" si="14"/>
        <v>105</v>
      </c>
    </row>
    <row r="232" spans="1:23" hidden="1" x14ac:dyDescent="0.25">
      <c r="A232" s="3">
        <v>45951</v>
      </c>
      <c r="B232" s="3" t="s">
        <v>298</v>
      </c>
      <c r="C232" s="4" t="s">
        <v>264</v>
      </c>
      <c r="D232" s="4"/>
      <c r="E232" s="4" t="s">
        <v>350</v>
      </c>
      <c r="F232" s="4" t="s">
        <v>357</v>
      </c>
      <c r="G232" s="4" t="s">
        <v>350</v>
      </c>
      <c r="H232" s="4" t="s">
        <v>304</v>
      </c>
      <c r="I232" s="4">
        <v>5</v>
      </c>
      <c r="J232" s="21">
        <v>90</v>
      </c>
      <c r="K232" s="21">
        <v>0</v>
      </c>
      <c r="L232" s="5">
        <v>450</v>
      </c>
      <c r="M232" s="4"/>
      <c r="N232" s="4">
        <v>5</v>
      </c>
      <c r="O232" s="5"/>
      <c r="P232" s="5">
        <v>90</v>
      </c>
      <c r="Q232" s="21">
        <v>0</v>
      </c>
      <c r="R232" s="21">
        <v>0</v>
      </c>
      <c r="S232" s="5">
        <f t="shared" si="15"/>
        <v>109224.47999999998</v>
      </c>
      <c r="T232" cm="1">
        <f t="array" ref="T232">IF(OR(B232="MAL ALIMI", B232="ÜRETİM GİRİŞ"), MIN(I232, MAX(0, I232 + SUM(SUMIFS($I$1:I231, $C$1:C231, C232, $B$1:B231, {"MAL ALIMI","ÜRETİM GİRİŞ"})) - VLOOKUP(C232, 'STOK RAPORU'!$C$2:$I$1000, 4, 0))), 0)</f>
        <v>0</v>
      </c>
      <c r="U232" s="22">
        <f t="shared" si="12"/>
        <v>0</v>
      </c>
      <c r="V232">
        <f t="shared" si="13"/>
        <v>450</v>
      </c>
      <c r="W232" s="22">
        <f t="shared" si="14"/>
        <v>450</v>
      </c>
    </row>
    <row r="233" spans="1:23" hidden="1" x14ac:dyDescent="0.25">
      <c r="A233" s="3">
        <v>45951</v>
      </c>
      <c r="B233" s="3" t="s">
        <v>298</v>
      </c>
      <c r="C233" s="4" t="s">
        <v>265</v>
      </c>
      <c r="D233" s="4"/>
      <c r="E233" s="4" t="s">
        <v>350</v>
      </c>
      <c r="F233" s="4" t="s">
        <v>357</v>
      </c>
      <c r="G233" s="4" t="s">
        <v>350</v>
      </c>
      <c r="H233" s="4" t="s">
        <v>304</v>
      </c>
      <c r="I233" s="4">
        <v>15</v>
      </c>
      <c r="J233" s="21">
        <v>48</v>
      </c>
      <c r="K233" s="21">
        <v>0</v>
      </c>
      <c r="L233" s="5">
        <v>720</v>
      </c>
      <c r="M233" s="4"/>
      <c r="N233" s="4">
        <v>15</v>
      </c>
      <c r="O233" s="5"/>
      <c r="P233" s="5">
        <v>48</v>
      </c>
      <c r="Q233" s="21">
        <v>0</v>
      </c>
      <c r="R233" s="21">
        <v>0</v>
      </c>
      <c r="S233" s="5">
        <f t="shared" si="15"/>
        <v>109224.47999999998</v>
      </c>
      <c r="T233" cm="1">
        <f t="array" ref="T233">IF(OR(B233="MAL ALIMI", B233="ÜRETİM GİRİŞ"), MIN(I233, MAX(0, I233 + SUM(SUMIFS($I$1:I232, $C$1:C232, C233, $B$1:B232, {"MAL ALIMI","ÜRETİM GİRİŞ"})) - VLOOKUP(C233, 'STOK RAPORU'!$C$2:$I$1000, 4, 0))), 0)</f>
        <v>0</v>
      </c>
      <c r="U233" s="22">
        <f t="shared" si="12"/>
        <v>0</v>
      </c>
      <c r="V233">
        <f t="shared" si="13"/>
        <v>720</v>
      </c>
      <c r="W233" s="22">
        <f t="shared" si="14"/>
        <v>720</v>
      </c>
    </row>
    <row r="234" spans="1:23" hidden="1" x14ac:dyDescent="0.25">
      <c r="A234" s="3">
        <v>45951</v>
      </c>
      <c r="B234" s="3" t="s">
        <v>298</v>
      </c>
      <c r="C234" s="4" t="s">
        <v>266</v>
      </c>
      <c r="D234" s="4"/>
      <c r="E234" s="4" t="s">
        <v>350</v>
      </c>
      <c r="F234" s="4" t="s">
        <v>357</v>
      </c>
      <c r="G234" s="4" t="s">
        <v>350</v>
      </c>
      <c r="H234" s="4" t="s">
        <v>304</v>
      </c>
      <c r="I234" s="4">
        <v>5</v>
      </c>
      <c r="J234" s="21">
        <v>170</v>
      </c>
      <c r="K234" s="21">
        <v>0</v>
      </c>
      <c r="L234" s="5">
        <v>850</v>
      </c>
      <c r="M234" s="4"/>
      <c r="N234" s="4">
        <v>5</v>
      </c>
      <c r="O234" s="5"/>
      <c r="P234" s="5">
        <v>170</v>
      </c>
      <c r="Q234" s="21">
        <v>0</v>
      </c>
      <c r="R234" s="21">
        <v>0</v>
      </c>
      <c r="S234" s="5">
        <f t="shared" si="15"/>
        <v>109224.47999999998</v>
      </c>
      <c r="T234" cm="1">
        <f t="array" ref="T234">IF(OR(B234="MAL ALIMI", B234="ÜRETİM GİRİŞ"), MIN(I234, MAX(0, I234 + SUM(SUMIFS($I$1:I233, $C$1:C233, C234, $B$1:B233, {"MAL ALIMI","ÜRETİM GİRİŞ"})) - VLOOKUP(C234, 'STOK RAPORU'!$C$2:$I$1000, 4, 0))), 0)</f>
        <v>0</v>
      </c>
      <c r="U234" s="22">
        <f t="shared" si="12"/>
        <v>0</v>
      </c>
      <c r="V234">
        <f t="shared" si="13"/>
        <v>850</v>
      </c>
      <c r="W234" s="22">
        <f t="shared" si="14"/>
        <v>850</v>
      </c>
    </row>
    <row r="235" spans="1:23" hidden="1" x14ac:dyDescent="0.25">
      <c r="A235" s="3">
        <v>45951</v>
      </c>
      <c r="B235" s="3" t="s">
        <v>298</v>
      </c>
      <c r="C235" s="4" t="s">
        <v>267</v>
      </c>
      <c r="D235" s="4"/>
      <c r="E235" s="4" t="s">
        <v>350</v>
      </c>
      <c r="F235" s="4" t="s">
        <v>357</v>
      </c>
      <c r="G235" s="4" t="s">
        <v>350</v>
      </c>
      <c r="H235" s="4" t="s">
        <v>304</v>
      </c>
      <c r="I235" s="4">
        <v>3</v>
      </c>
      <c r="J235" s="21">
        <v>110</v>
      </c>
      <c r="K235" s="21">
        <v>0</v>
      </c>
      <c r="L235" s="5">
        <v>330</v>
      </c>
      <c r="M235" s="4"/>
      <c r="N235" s="4">
        <v>3</v>
      </c>
      <c r="O235" s="5"/>
      <c r="P235" s="5">
        <v>110</v>
      </c>
      <c r="Q235" s="21">
        <v>0</v>
      </c>
      <c r="R235" s="21">
        <v>0</v>
      </c>
      <c r="S235" s="5">
        <f t="shared" si="15"/>
        <v>109224.47999999998</v>
      </c>
      <c r="T235" cm="1">
        <f t="array" ref="T235">IF(OR(B235="MAL ALIMI", B235="ÜRETİM GİRİŞ"), MIN(I235, MAX(0, I235 + SUM(SUMIFS($I$1:I234, $C$1:C234, C235, $B$1:B234, {"MAL ALIMI","ÜRETİM GİRİŞ"})) - VLOOKUP(C235, 'STOK RAPORU'!$C$2:$I$1000, 4, 0))), 0)</f>
        <v>0</v>
      </c>
      <c r="U235" s="22">
        <f t="shared" si="12"/>
        <v>0</v>
      </c>
      <c r="V235">
        <f t="shared" si="13"/>
        <v>330</v>
      </c>
      <c r="W235" s="22">
        <f t="shared" si="14"/>
        <v>330</v>
      </c>
    </row>
    <row r="236" spans="1:23" hidden="1" x14ac:dyDescent="0.25">
      <c r="A236" s="3">
        <v>45951</v>
      </c>
      <c r="B236" s="3" t="s">
        <v>298</v>
      </c>
      <c r="C236" s="4" t="s">
        <v>268</v>
      </c>
      <c r="D236" s="4"/>
      <c r="E236" s="4" t="s">
        <v>350</v>
      </c>
      <c r="F236" s="4" t="s">
        <v>357</v>
      </c>
      <c r="G236" s="4" t="s">
        <v>350</v>
      </c>
      <c r="H236" s="4" t="s">
        <v>304</v>
      </c>
      <c r="I236" s="4">
        <v>5</v>
      </c>
      <c r="J236" s="21">
        <v>75</v>
      </c>
      <c r="K236" s="21">
        <v>0</v>
      </c>
      <c r="L236" s="5">
        <v>375</v>
      </c>
      <c r="M236" s="4"/>
      <c r="N236" s="4">
        <v>5</v>
      </c>
      <c r="O236" s="5"/>
      <c r="P236" s="5">
        <v>75</v>
      </c>
      <c r="Q236" s="21">
        <v>0</v>
      </c>
      <c r="R236" s="21">
        <v>0</v>
      </c>
      <c r="S236" s="5">
        <f t="shared" si="15"/>
        <v>109224.47999999998</v>
      </c>
      <c r="T236" cm="1">
        <f t="array" ref="T236">IF(OR(B236="MAL ALIMI", B236="ÜRETİM GİRİŞ"), MIN(I236, MAX(0, I236 + SUM(SUMIFS($I$1:I235, $C$1:C235, C236, $B$1:B235, {"MAL ALIMI","ÜRETİM GİRİŞ"})) - VLOOKUP(C236, 'STOK RAPORU'!$C$2:$I$1000, 4, 0))), 0)</f>
        <v>0</v>
      </c>
      <c r="U236" s="22">
        <f t="shared" si="12"/>
        <v>0</v>
      </c>
      <c r="V236">
        <f t="shared" si="13"/>
        <v>375</v>
      </c>
      <c r="W236" s="22">
        <f t="shared" si="14"/>
        <v>375</v>
      </c>
    </row>
    <row r="237" spans="1:23" hidden="1" x14ac:dyDescent="0.25">
      <c r="A237" s="3">
        <v>45951</v>
      </c>
      <c r="B237" s="3" t="s">
        <v>334</v>
      </c>
      <c r="C237" s="4" t="s">
        <v>211</v>
      </c>
      <c r="D237" s="4"/>
      <c r="E237" s="4"/>
      <c r="F237" s="4" t="s">
        <v>358</v>
      </c>
      <c r="G237" s="4" t="s">
        <v>336</v>
      </c>
      <c r="H237" s="4" t="s">
        <v>289</v>
      </c>
      <c r="I237" s="4">
        <v>1.3</v>
      </c>
      <c r="J237" s="21">
        <v>300</v>
      </c>
      <c r="K237" s="21">
        <v>0</v>
      </c>
      <c r="L237" s="5">
        <v>0</v>
      </c>
      <c r="M237" s="4">
        <v>1.3</v>
      </c>
      <c r="N237" s="4"/>
      <c r="O237" s="5">
        <v>300</v>
      </c>
      <c r="P237" s="5"/>
      <c r="Q237" s="21">
        <v>390</v>
      </c>
      <c r="R237" s="21">
        <v>0</v>
      </c>
      <c r="S237" s="5">
        <f t="shared" si="15"/>
        <v>109614.47999999998</v>
      </c>
      <c r="T237" cm="1">
        <f t="array" ref="T237">IF(OR(B237="MAL ALIMI", B237="ÜRETİM GİRİŞ"), MIN(I237, MAX(0, I237 + SUM(SUMIFS($I$1:I236, $C$1:C236, C237, $B$1:B236, {"MAL ALIMI","ÜRETİM GİRİŞ"})) - VLOOKUP(C237, 'STOK RAPORU'!$C$2:$I$1000, 4, 0))), 0)</f>
        <v>0</v>
      </c>
      <c r="U237" s="22">
        <f t="shared" si="12"/>
        <v>0</v>
      </c>
      <c r="V237">
        <f t="shared" si="13"/>
        <v>0</v>
      </c>
      <c r="W237" s="22">
        <f t="shared" si="14"/>
        <v>0</v>
      </c>
    </row>
    <row r="238" spans="1:23" hidden="1" x14ac:dyDescent="0.25">
      <c r="A238" s="3">
        <v>45951</v>
      </c>
      <c r="B238" s="3" t="s">
        <v>334</v>
      </c>
      <c r="C238" s="4" t="s">
        <v>197</v>
      </c>
      <c r="D238" s="4"/>
      <c r="E238" s="4"/>
      <c r="F238" s="4" t="s">
        <v>358</v>
      </c>
      <c r="G238" s="4" t="s">
        <v>336</v>
      </c>
      <c r="H238" s="4" t="s">
        <v>289</v>
      </c>
      <c r="I238" s="4">
        <v>0.28399999999999997</v>
      </c>
      <c r="J238" s="21">
        <v>180</v>
      </c>
      <c r="K238" s="21">
        <v>0</v>
      </c>
      <c r="L238" s="5">
        <v>0</v>
      </c>
      <c r="M238" s="4">
        <v>0.28399999999999997</v>
      </c>
      <c r="N238" s="4"/>
      <c r="O238" s="5">
        <v>180</v>
      </c>
      <c r="P238" s="5"/>
      <c r="Q238" s="21">
        <v>51.12</v>
      </c>
      <c r="R238" s="21">
        <v>0</v>
      </c>
      <c r="S238" s="5">
        <f t="shared" si="15"/>
        <v>109665.59999999998</v>
      </c>
      <c r="T238" cm="1">
        <f t="array" ref="T238">IF(OR(B238="MAL ALIMI", B238="ÜRETİM GİRİŞ"), MIN(I238, MAX(0, I238 + SUM(SUMIFS($I$1:I237, $C$1:C237, C238, $B$1:B237, {"MAL ALIMI","ÜRETİM GİRİŞ"})) - VLOOKUP(C238, 'STOK RAPORU'!$C$2:$I$1000, 4, 0))), 0)</f>
        <v>0</v>
      </c>
      <c r="U238" s="22">
        <f t="shared" si="12"/>
        <v>0</v>
      </c>
      <c r="V238">
        <f t="shared" si="13"/>
        <v>0</v>
      </c>
      <c r="W238" s="22">
        <f t="shared" si="14"/>
        <v>0</v>
      </c>
    </row>
    <row r="239" spans="1:23" hidden="1" x14ac:dyDescent="0.25">
      <c r="A239" s="3">
        <v>45951</v>
      </c>
      <c r="B239" s="3" t="s">
        <v>334</v>
      </c>
      <c r="C239" s="4" t="s">
        <v>184</v>
      </c>
      <c r="D239" s="4"/>
      <c r="E239" s="4"/>
      <c r="F239" s="4" t="s">
        <v>358</v>
      </c>
      <c r="G239" s="4" t="s">
        <v>336</v>
      </c>
      <c r="H239" s="4" t="s">
        <v>289</v>
      </c>
      <c r="I239" s="4">
        <v>1</v>
      </c>
      <c r="J239" s="21">
        <v>220</v>
      </c>
      <c r="K239" s="21">
        <v>0</v>
      </c>
      <c r="L239" s="5">
        <v>0</v>
      </c>
      <c r="M239" s="4">
        <v>1</v>
      </c>
      <c r="N239" s="4"/>
      <c r="O239" s="5">
        <v>220</v>
      </c>
      <c r="P239" s="5"/>
      <c r="Q239" s="21">
        <v>220</v>
      </c>
      <c r="R239" s="21">
        <v>0</v>
      </c>
      <c r="S239" s="5">
        <f t="shared" si="15"/>
        <v>109885.59999999998</v>
      </c>
      <c r="T239" cm="1">
        <f t="array" ref="T239">IF(OR(B239="MAL ALIMI", B239="ÜRETİM GİRİŞ"), MIN(I239, MAX(0, I239 + SUM(SUMIFS($I$1:I238, $C$1:C238, C239, $B$1:B238, {"MAL ALIMI","ÜRETİM GİRİŞ"})) - VLOOKUP(C239, 'STOK RAPORU'!$C$2:$I$1000, 4, 0))), 0)</f>
        <v>0</v>
      </c>
      <c r="U239" s="22">
        <f t="shared" si="12"/>
        <v>0</v>
      </c>
      <c r="V239">
        <f t="shared" si="13"/>
        <v>0</v>
      </c>
      <c r="W239" s="22">
        <f t="shared" si="14"/>
        <v>0</v>
      </c>
    </row>
    <row r="240" spans="1:23" hidden="1" x14ac:dyDescent="0.25">
      <c r="A240" s="3">
        <v>45951</v>
      </c>
      <c r="B240" s="3" t="s">
        <v>334</v>
      </c>
      <c r="C240" s="4" t="s">
        <v>196</v>
      </c>
      <c r="D240" s="4"/>
      <c r="E240" s="4"/>
      <c r="F240" s="4" t="s">
        <v>359</v>
      </c>
      <c r="G240" s="4" t="s">
        <v>336</v>
      </c>
      <c r="H240" s="4" t="s">
        <v>289</v>
      </c>
      <c r="I240" s="4">
        <v>0.5</v>
      </c>
      <c r="J240" s="21">
        <v>180</v>
      </c>
      <c r="K240" s="21">
        <v>0</v>
      </c>
      <c r="L240" s="5">
        <v>0</v>
      </c>
      <c r="M240" s="4">
        <v>0.5</v>
      </c>
      <c r="N240" s="4"/>
      <c r="O240" s="5">
        <v>180</v>
      </c>
      <c r="P240" s="5"/>
      <c r="Q240" s="21">
        <v>90</v>
      </c>
      <c r="R240" s="21">
        <v>0</v>
      </c>
      <c r="S240" s="5">
        <f t="shared" si="15"/>
        <v>109975.59999999998</v>
      </c>
      <c r="T240" cm="1">
        <f t="array" ref="T240">IF(OR(B240="MAL ALIMI", B240="ÜRETİM GİRİŞ"), MIN(I240, MAX(0, I240 + SUM(SUMIFS($I$1:I239, $C$1:C239, C240, $B$1:B239, {"MAL ALIMI","ÜRETİM GİRİŞ"})) - VLOOKUP(C240, 'STOK RAPORU'!$C$2:$I$1000, 4, 0))), 0)</f>
        <v>0</v>
      </c>
      <c r="U240" s="22">
        <f t="shared" si="12"/>
        <v>0</v>
      </c>
      <c r="V240">
        <f t="shared" si="13"/>
        <v>0</v>
      </c>
      <c r="W240" s="22">
        <f t="shared" si="14"/>
        <v>0</v>
      </c>
    </row>
    <row r="241" spans="1:23" hidden="1" x14ac:dyDescent="0.25">
      <c r="A241" s="3">
        <v>45952</v>
      </c>
      <c r="B241" s="3" t="s">
        <v>298</v>
      </c>
      <c r="C241" s="4" t="s">
        <v>184</v>
      </c>
      <c r="D241" s="4"/>
      <c r="E241" s="4" t="s">
        <v>856</v>
      </c>
      <c r="F241" s="26">
        <v>48</v>
      </c>
      <c r="G241" s="4" t="s">
        <v>322</v>
      </c>
      <c r="H241" s="4" t="s">
        <v>1329</v>
      </c>
      <c r="I241" s="4">
        <v>2</v>
      </c>
      <c r="J241" s="21">
        <v>159</v>
      </c>
      <c r="K241" s="21">
        <v>0</v>
      </c>
      <c r="L241" s="5">
        <v>318</v>
      </c>
      <c r="M241" s="4"/>
      <c r="N241" s="4">
        <v>2</v>
      </c>
      <c r="O241" s="5"/>
      <c r="P241" s="5">
        <v>159</v>
      </c>
      <c r="Q241" s="21">
        <v>0</v>
      </c>
      <c r="R241" s="21">
        <v>0</v>
      </c>
      <c r="S241" s="5">
        <f t="shared" si="15"/>
        <v>109975.59999999998</v>
      </c>
      <c r="T241" cm="1">
        <f t="array" ref="T241">IF(OR(B241="MAL ALIMI", B241="ÜRETİM GİRİŞ"), MIN(I241, MAX(0, I241 + SUM(SUMIFS($I$1:I240, $C$1:C240, C241, $B$1:B240, {"MAL ALIMI","ÜRETİM GİRİŞ"})) - VLOOKUP(C241, 'STOK RAPORU'!$C$2:$I$1000, 4, 0))), 0)</f>
        <v>2</v>
      </c>
      <c r="U241" s="22">
        <f t="shared" si="12"/>
        <v>318</v>
      </c>
      <c r="V241">
        <f t="shared" si="13"/>
        <v>318</v>
      </c>
      <c r="W241" s="22">
        <f t="shared" si="14"/>
        <v>0</v>
      </c>
    </row>
    <row r="242" spans="1:23" hidden="1" x14ac:dyDescent="0.25">
      <c r="A242" s="3">
        <v>45952</v>
      </c>
      <c r="B242" s="3" t="s">
        <v>298</v>
      </c>
      <c r="C242" s="4" t="s">
        <v>499</v>
      </c>
      <c r="D242" s="4"/>
      <c r="E242" s="4" t="s">
        <v>856</v>
      </c>
      <c r="F242" s="26" t="s">
        <v>360</v>
      </c>
      <c r="G242" s="4" t="s">
        <v>316</v>
      </c>
      <c r="H242" s="4" t="s">
        <v>1329</v>
      </c>
      <c r="I242" s="4">
        <v>2</v>
      </c>
      <c r="J242" s="21">
        <v>199</v>
      </c>
      <c r="K242" s="21">
        <v>0</v>
      </c>
      <c r="L242" s="5">
        <v>398</v>
      </c>
      <c r="M242" s="4"/>
      <c r="N242" s="4">
        <v>2</v>
      </c>
      <c r="O242" s="5"/>
      <c r="P242" s="5">
        <v>199</v>
      </c>
      <c r="Q242" s="21">
        <v>0</v>
      </c>
      <c r="R242" s="21">
        <v>0</v>
      </c>
      <c r="S242" s="5">
        <f t="shared" si="15"/>
        <v>109975.59999999998</v>
      </c>
      <c r="T242" cm="1">
        <f t="array" ref="T242">IF(OR(B242="MAL ALIMI", B242="ÜRETİM GİRİŞ"), MIN(I242, MAX(0, I242 + SUM(SUMIFS($I$1:I241, $C$1:C241, C242, $B$1:B241, {"MAL ALIMI","ÜRETİM GİRİŞ"})) - VLOOKUP(C242, 'STOK RAPORU'!$C$2:$I$1000, 4, 0))), 0)</f>
        <v>1</v>
      </c>
      <c r="U242" s="22">
        <f t="shared" si="12"/>
        <v>199</v>
      </c>
      <c r="V242">
        <f t="shared" si="13"/>
        <v>398</v>
      </c>
      <c r="W242" s="22">
        <f t="shared" si="14"/>
        <v>199</v>
      </c>
    </row>
    <row r="243" spans="1:23" hidden="1" x14ac:dyDescent="0.25">
      <c r="A243" s="3">
        <v>45952</v>
      </c>
      <c r="B243" s="3" t="s">
        <v>298</v>
      </c>
      <c r="C243" s="4" t="s">
        <v>500</v>
      </c>
      <c r="D243" s="4"/>
      <c r="E243" s="4" t="s">
        <v>856</v>
      </c>
      <c r="F243" s="26" t="s">
        <v>360</v>
      </c>
      <c r="G243" s="4" t="s">
        <v>316</v>
      </c>
      <c r="H243" s="4" t="s">
        <v>1329</v>
      </c>
      <c r="I243" s="4">
        <v>2</v>
      </c>
      <c r="J243" s="21">
        <v>119</v>
      </c>
      <c r="K243" s="21">
        <v>0</v>
      </c>
      <c r="L243" s="5">
        <v>238</v>
      </c>
      <c r="M243" s="4"/>
      <c r="N243" s="4">
        <v>2</v>
      </c>
      <c r="O243" s="5"/>
      <c r="P243" s="5">
        <v>119</v>
      </c>
      <c r="Q243" s="21">
        <v>0</v>
      </c>
      <c r="R243" s="21">
        <v>0</v>
      </c>
      <c r="S243" s="5">
        <f t="shared" si="15"/>
        <v>109975.59999999998</v>
      </c>
      <c r="T243" cm="1">
        <f t="array" ref="T243">IF(OR(B243="MAL ALIMI", B243="ÜRETİM GİRİŞ"), MIN(I243, MAX(0, I243 + SUM(SUMIFS($I$1:I242, $C$1:C242, C243, $B$1:B242, {"MAL ALIMI","ÜRETİM GİRİŞ"})) - VLOOKUP(C243, 'STOK RAPORU'!$C$2:$I$1000, 4, 0))), 0)</f>
        <v>2</v>
      </c>
      <c r="U243" s="22">
        <f t="shared" si="12"/>
        <v>238</v>
      </c>
      <c r="V243">
        <f t="shared" si="13"/>
        <v>238</v>
      </c>
      <c r="W243" s="22">
        <f t="shared" si="14"/>
        <v>0</v>
      </c>
    </row>
    <row r="244" spans="1:23" hidden="1" x14ac:dyDescent="0.25">
      <c r="A244" s="3">
        <v>45952</v>
      </c>
      <c r="B244" s="3" t="s">
        <v>298</v>
      </c>
      <c r="C244" s="4" t="s">
        <v>501</v>
      </c>
      <c r="D244" s="4"/>
      <c r="E244" s="4" t="s">
        <v>856</v>
      </c>
      <c r="F244" s="26" t="s">
        <v>360</v>
      </c>
      <c r="G244" s="4" t="s">
        <v>316</v>
      </c>
      <c r="H244" s="4" t="s">
        <v>1329</v>
      </c>
      <c r="I244" s="4">
        <v>2</v>
      </c>
      <c r="J244" s="21">
        <v>119</v>
      </c>
      <c r="K244" s="21">
        <v>0</v>
      </c>
      <c r="L244" s="5">
        <v>238</v>
      </c>
      <c r="M244" s="4"/>
      <c r="N244" s="4">
        <v>2</v>
      </c>
      <c r="O244" s="5"/>
      <c r="P244" s="5">
        <v>119</v>
      </c>
      <c r="Q244" s="21">
        <v>0</v>
      </c>
      <c r="R244" s="21">
        <v>0</v>
      </c>
      <c r="S244" s="5">
        <f t="shared" si="15"/>
        <v>109975.59999999998</v>
      </c>
      <c r="T244" cm="1">
        <f t="array" ref="T244">IF(OR(B244="MAL ALIMI", B244="ÜRETİM GİRİŞ"), MIN(I244, MAX(0, I244 + SUM(SUMIFS($I$1:I243, $C$1:C243, C244, $B$1:B243, {"MAL ALIMI","ÜRETİM GİRİŞ"})) - VLOOKUP(C244, 'STOK RAPORU'!$C$2:$I$1000, 4, 0))), 0)</f>
        <v>2</v>
      </c>
      <c r="U244" s="22">
        <f t="shared" si="12"/>
        <v>238</v>
      </c>
      <c r="V244">
        <f t="shared" si="13"/>
        <v>238</v>
      </c>
      <c r="W244" s="22">
        <f t="shared" si="14"/>
        <v>0</v>
      </c>
    </row>
    <row r="245" spans="1:23" hidden="1" x14ac:dyDescent="0.25">
      <c r="A245" s="3">
        <v>45952</v>
      </c>
      <c r="B245" s="3" t="s">
        <v>298</v>
      </c>
      <c r="C245" s="4" t="s">
        <v>186</v>
      </c>
      <c r="D245" s="4"/>
      <c r="E245" s="4" t="s">
        <v>856</v>
      </c>
      <c r="F245" s="26" t="s">
        <v>360</v>
      </c>
      <c r="G245" s="4" t="s">
        <v>316</v>
      </c>
      <c r="H245" s="4" t="s">
        <v>1329</v>
      </c>
      <c r="I245" s="4">
        <v>2</v>
      </c>
      <c r="J245" s="21">
        <v>109</v>
      </c>
      <c r="K245" s="21">
        <v>0</v>
      </c>
      <c r="L245" s="5">
        <v>218</v>
      </c>
      <c r="M245" s="4"/>
      <c r="N245" s="4">
        <v>2</v>
      </c>
      <c r="O245" s="5"/>
      <c r="P245" s="5">
        <v>109</v>
      </c>
      <c r="Q245" s="21">
        <v>0</v>
      </c>
      <c r="R245" s="21">
        <v>0</v>
      </c>
      <c r="S245" s="5">
        <f t="shared" si="15"/>
        <v>109975.59999999998</v>
      </c>
      <c r="T245" cm="1">
        <f t="array" ref="T245">IF(OR(B245="MAL ALIMI", B245="ÜRETİM GİRİŞ"), MIN(I245, MAX(0, I245 + SUM(SUMIFS($I$1:I244, $C$1:C244, C245, $B$1:B244, {"MAL ALIMI","ÜRETİM GİRİŞ"})) - VLOOKUP(C245, 'STOK RAPORU'!$C$2:$I$1000, 4, 0))), 0)</f>
        <v>1</v>
      </c>
      <c r="U245" s="22">
        <f t="shared" si="12"/>
        <v>109</v>
      </c>
      <c r="V245">
        <f t="shared" si="13"/>
        <v>218</v>
      </c>
      <c r="W245" s="22">
        <f t="shared" si="14"/>
        <v>109</v>
      </c>
    </row>
    <row r="246" spans="1:23" hidden="1" x14ac:dyDescent="0.25">
      <c r="A246" s="3">
        <v>45952</v>
      </c>
      <c r="B246" s="3" t="s">
        <v>334</v>
      </c>
      <c r="C246" s="4" t="s">
        <v>163</v>
      </c>
      <c r="D246" s="4"/>
      <c r="E246" s="4"/>
      <c r="F246" s="4" t="s">
        <v>361</v>
      </c>
      <c r="G246" s="4" t="s">
        <v>336</v>
      </c>
      <c r="H246" s="4" t="s">
        <v>289</v>
      </c>
      <c r="I246" s="4">
        <v>0.53</v>
      </c>
      <c r="J246" s="21">
        <v>340</v>
      </c>
      <c r="K246" s="21">
        <v>0</v>
      </c>
      <c r="L246" s="5">
        <v>0</v>
      </c>
      <c r="M246" s="4">
        <v>0.53</v>
      </c>
      <c r="N246" s="4"/>
      <c r="O246" s="5">
        <v>340</v>
      </c>
      <c r="P246" s="5"/>
      <c r="Q246" s="21">
        <v>180.20000000000002</v>
      </c>
      <c r="R246" s="21">
        <v>0</v>
      </c>
      <c r="S246" s="5">
        <f t="shared" si="15"/>
        <v>110155.79999999997</v>
      </c>
      <c r="T246" cm="1">
        <f t="array" ref="T246">IF(OR(B246="MAL ALIMI", B246="ÜRETİM GİRİŞ"), MIN(I246, MAX(0, I246 + SUM(SUMIFS($I$1:I245, $C$1:C245, C246, $B$1:B245, {"MAL ALIMI","ÜRETİM GİRİŞ"})) - VLOOKUP(C246, 'STOK RAPORU'!$C$2:$I$1000, 4, 0))), 0)</f>
        <v>0</v>
      </c>
      <c r="U246" s="22">
        <f t="shared" si="12"/>
        <v>0</v>
      </c>
      <c r="V246">
        <f t="shared" si="13"/>
        <v>0</v>
      </c>
      <c r="W246" s="22">
        <f t="shared" si="14"/>
        <v>0</v>
      </c>
    </row>
    <row r="247" spans="1:23" hidden="1" x14ac:dyDescent="0.25">
      <c r="A247" s="3">
        <v>45952</v>
      </c>
      <c r="B247" s="3" t="s">
        <v>334</v>
      </c>
      <c r="C247" s="4" t="s">
        <v>211</v>
      </c>
      <c r="D247" s="4"/>
      <c r="E247" s="4"/>
      <c r="F247" s="4" t="s">
        <v>362</v>
      </c>
      <c r="G247" s="4" t="s">
        <v>336</v>
      </c>
      <c r="H247" s="4" t="s">
        <v>289</v>
      </c>
      <c r="I247" s="4">
        <v>2</v>
      </c>
      <c r="J247" s="21">
        <v>300</v>
      </c>
      <c r="K247" s="21">
        <v>0</v>
      </c>
      <c r="L247" s="5">
        <v>0</v>
      </c>
      <c r="M247" s="4">
        <v>2</v>
      </c>
      <c r="N247" s="4"/>
      <c r="O247" s="5">
        <v>300</v>
      </c>
      <c r="P247" s="5"/>
      <c r="Q247" s="21">
        <v>600</v>
      </c>
      <c r="R247" s="21">
        <v>0</v>
      </c>
      <c r="S247" s="5">
        <f t="shared" si="15"/>
        <v>110755.79999999997</v>
      </c>
      <c r="T247" cm="1">
        <f t="array" ref="T247">IF(OR(B247="MAL ALIMI", B247="ÜRETİM GİRİŞ"), MIN(I247, MAX(0, I247 + SUM(SUMIFS($I$1:I246, $C$1:C246, C247, $B$1:B246, {"MAL ALIMI","ÜRETİM GİRİŞ"})) - VLOOKUP(C247, 'STOK RAPORU'!$C$2:$I$1000, 4, 0))), 0)</f>
        <v>0</v>
      </c>
      <c r="U247" s="22">
        <f t="shared" si="12"/>
        <v>0</v>
      </c>
      <c r="V247">
        <f t="shared" si="13"/>
        <v>0</v>
      </c>
      <c r="W247" s="22">
        <f t="shared" si="14"/>
        <v>0</v>
      </c>
    </row>
    <row r="248" spans="1:23" hidden="1" x14ac:dyDescent="0.25">
      <c r="A248" s="3">
        <v>45952</v>
      </c>
      <c r="B248" s="3" t="s">
        <v>334</v>
      </c>
      <c r="C248" s="4" t="s">
        <v>192</v>
      </c>
      <c r="D248" s="4"/>
      <c r="E248" s="4"/>
      <c r="F248" s="4" t="s">
        <v>363</v>
      </c>
      <c r="G248" s="4" t="s">
        <v>336</v>
      </c>
      <c r="H248" s="4" t="s">
        <v>289</v>
      </c>
      <c r="I248" s="4">
        <v>0.37</v>
      </c>
      <c r="J248" s="21">
        <v>270</v>
      </c>
      <c r="K248" s="21">
        <v>0</v>
      </c>
      <c r="L248" s="5">
        <v>0</v>
      </c>
      <c r="M248" s="4">
        <v>0.37</v>
      </c>
      <c r="N248" s="4"/>
      <c r="O248" s="5">
        <v>270</v>
      </c>
      <c r="P248" s="5"/>
      <c r="Q248" s="21">
        <v>99.9</v>
      </c>
      <c r="R248" s="21">
        <v>0</v>
      </c>
      <c r="S248" s="5">
        <f t="shared" si="15"/>
        <v>110855.69999999997</v>
      </c>
      <c r="T248" cm="1">
        <f t="array" ref="T248">IF(OR(B248="MAL ALIMI", B248="ÜRETİM GİRİŞ"), MIN(I248, MAX(0, I248 + SUM(SUMIFS($I$1:I247, $C$1:C247, C248, $B$1:B247, {"MAL ALIMI","ÜRETİM GİRİŞ"})) - VLOOKUP(C248, 'STOK RAPORU'!$C$2:$I$1000, 4, 0))), 0)</f>
        <v>0</v>
      </c>
      <c r="U248" s="22">
        <f t="shared" si="12"/>
        <v>0</v>
      </c>
      <c r="V248">
        <f t="shared" si="13"/>
        <v>0</v>
      </c>
      <c r="W248" s="22">
        <f t="shared" si="14"/>
        <v>0</v>
      </c>
    </row>
    <row r="249" spans="1:23" hidden="1" x14ac:dyDescent="0.25">
      <c r="A249" s="3">
        <v>45952</v>
      </c>
      <c r="B249" s="3" t="s">
        <v>334</v>
      </c>
      <c r="C249" s="4" t="s">
        <v>648</v>
      </c>
      <c r="D249" s="4"/>
      <c r="E249" s="4"/>
      <c r="F249" s="4" t="s">
        <v>364</v>
      </c>
      <c r="G249" s="4" t="s">
        <v>336</v>
      </c>
      <c r="H249" s="4" t="s">
        <v>289</v>
      </c>
      <c r="I249" s="4">
        <v>0.125</v>
      </c>
      <c r="J249" s="21">
        <v>650</v>
      </c>
      <c r="K249" s="21">
        <v>0</v>
      </c>
      <c r="L249" s="5">
        <v>0</v>
      </c>
      <c r="M249" s="4">
        <v>0.125</v>
      </c>
      <c r="N249" s="4"/>
      <c r="O249" s="5">
        <v>650</v>
      </c>
      <c r="P249" s="5"/>
      <c r="Q249" s="21">
        <v>81.25</v>
      </c>
      <c r="R249" s="21">
        <v>0</v>
      </c>
      <c r="S249" s="5">
        <f t="shared" si="15"/>
        <v>110936.94999999997</v>
      </c>
      <c r="T249" cm="1">
        <f t="array" ref="T249">IF(OR(B249="MAL ALIMI", B249="ÜRETİM GİRİŞ"), MIN(I249, MAX(0, I249 + SUM(SUMIFS($I$1:I248, $C$1:C248, C249, $B$1:B248, {"MAL ALIMI","ÜRETİM GİRİŞ"})) - VLOOKUP(C249, 'STOK RAPORU'!$C$2:$I$1000, 4, 0))), 0)</f>
        <v>0</v>
      </c>
      <c r="U249" s="22">
        <f t="shared" si="12"/>
        <v>0</v>
      </c>
      <c r="V249">
        <f t="shared" si="13"/>
        <v>0</v>
      </c>
      <c r="W249" s="22">
        <f t="shared" si="14"/>
        <v>0</v>
      </c>
    </row>
    <row r="250" spans="1:23" hidden="1" x14ac:dyDescent="0.25">
      <c r="A250" s="3">
        <v>45952</v>
      </c>
      <c r="B250" s="3" t="s">
        <v>334</v>
      </c>
      <c r="C250" s="4" t="s">
        <v>245</v>
      </c>
      <c r="D250" s="4"/>
      <c r="E250" s="4"/>
      <c r="F250" s="4" t="s">
        <v>365</v>
      </c>
      <c r="G250" s="4" t="s">
        <v>336</v>
      </c>
      <c r="H250" s="4" t="s">
        <v>289</v>
      </c>
      <c r="I250" s="4">
        <v>0.125</v>
      </c>
      <c r="J250" s="21">
        <v>650</v>
      </c>
      <c r="K250" s="21">
        <v>0</v>
      </c>
      <c r="L250" s="5">
        <v>0</v>
      </c>
      <c r="M250" s="4">
        <v>0.125</v>
      </c>
      <c r="N250" s="4"/>
      <c r="O250" s="5">
        <v>650</v>
      </c>
      <c r="P250" s="5"/>
      <c r="Q250" s="21">
        <v>81.25</v>
      </c>
      <c r="R250" s="21">
        <v>0</v>
      </c>
      <c r="S250" s="5">
        <f t="shared" si="15"/>
        <v>111018.19999999997</v>
      </c>
      <c r="T250" cm="1">
        <f t="array" ref="T250">IF(OR(B250="MAL ALIMI", B250="ÜRETİM GİRİŞ"), MIN(I250, MAX(0, I250 + SUM(SUMIFS($I$1:I249, $C$1:C249, C250, $B$1:B249, {"MAL ALIMI","ÜRETİM GİRİŞ"})) - VLOOKUP(C250, 'STOK RAPORU'!$C$2:$I$1000, 4, 0))), 0)</f>
        <v>0</v>
      </c>
      <c r="U250" s="22">
        <f t="shared" si="12"/>
        <v>0</v>
      </c>
      <c r="V250">
        <f t="shared" si="13"/>
        <v>0</v>
      </c>
      <c r="W250" s="22">
        <f t="shared" si="14"/>
        <v>0</v>
      </c>
    </row>
    <row r="251" spans="1:23" hidden="1" x14ac:dyDescent="0.25">
      <c r="A251" s="3">
        <v>45952</v>
      </c>
      <c r="B251" s="3" t="s">
        <v>285</v>
      </c>
      <c r="C251" s="4"/>
      <c r="D251" s="4" t="s">
        <v>105</v>
      </c>
      <c r="E251" s="4"/>
      <c r="F251" s="4"/>
      <c r="G251" s="4" t="s">
        <v>366</v>
      </c>
      <c r="H251" s="4" t="s">
        <v>289</v>
      </c>
      <c r="I251" s="4">
        <v>1</v>
      </c>
      <c r="J251" s="21">
        <v>550</v>
      </c>
      <c r="K251" s="21">
        <v>0</v>
      </c>
      <c r="L251" s="5">
        <v>0</v>
      </c>
      <c r="M251" s="4"/>
      <c r="N251" s="4">
        <v>1</v>
      </c>
      <c r="O251" s="5"/>
      <c r="P251" s="5">
        <v>550</v>
      </c>
      <c r="Q251" s="21">
        <v>0</v>
      </c>
      <c r="R251" s="21">
        <v>550</v>
      </c>
      <c r="S251" s="5">
        <f t="shared" si="15"/>
        <v>110468.19999999997</v>
      </c>
      <c r="T251" cm="1">
        <f t="array" ref="T251">IF(OR(B251="MAL ALIMI", B251="ÜRETİM GİRİŞ"), MIN(I251, MAX(0, I251 + SUM(SUMIFS($I$1:I250, $C$1:C250, C251, $B$1:B250, {"MAL ALIMI","ÜRETİM GİRİŞ"})) - VLOOKUP(C251, 'STOK RAPORU'!$C$2:$I$1000, 4, 0))), 0)</f>
        <v>0</v>
      </c>
      <c r="U251" s="22">
        <f t="shared" si="12"/>
        <v>0</v>
      </c>
      <c r="V251">
        <f t="shared" si="13"/>
        <v>0</v>
      </c>
      <c r="W251" s="22">
        <f t="shared" si="14"/>
        <v>0</v>
      </c>
    </row>
    <row r="252" spans="1:23" hidden="1" x14ac:dyDescent="0.25">
      <c r="A252" s="3">
        <v>45952</v>
      </c>
      <c r="B252" s="3" t="s">
        <v>285</v>
      </c>
      <c r="C252" s="4"/>
      <c r="D252" s="4" t="s">
        <v>113</v>
      </c>
      <c r="E252" s="4"/>
      <c r="F252" s="4"/>
      <c r="G252" s="4" t="s">
        <v>367</v>
      </c>
      <c r="H252" s="4" t="s">
        <v>289</v>
      </c>
      <c r="I252" s="4">
        <v>1</v>
      </c>
      <c r="J252" s="21">
        <v>1500</v>
      </c>
      <c r="K252" s="21">
        <v>0</v>
      </c>
      <c r="L252" s="5">
        <v>0</v>
      </c>
      <c r="M252" s="4"/>
      <c r="N252" s="4">
        <v>1</v>
      </c>
      <c r="O252" s="5"/>
      <c r="P252" s="5">
        <v>1500</v>
      </c>
      <c r="Q252" s="21">
        <v>0</v>
      </c>
      <c r="R252" s="21">
        <v>1500</v>
      </c>
      <c r="S252" s="5">
        <f t="shared" si="15"/>
        <v>108968.19999999997</v>
      </c>
      <c r="T252" cm="1">
        <f t="array" ref="T252">IF(OR(B252="MAL ALIMI", B252="ÜRETİM GİRİŞ"), MIN(I252, MAX(0, I252 + SUM(SUMIFS($I$1:I251, $C$1:C251, C252, $B$1:B251, {"MAL ALIMI","ÜRETİM GİRİŞ"})) - VLOOKUP(C252, 'STOK RAPORU'!$C$2:$I$1000, 4, 0))), 0)</f>
        <v>0</v>
      </c>
      <c r="U252" s="22">
        <f t="shared" si="12"/>
        <v>0</v>
      </c>
      <c r="V252">
        <f t="shared" si="13"/>
        <v>0</v>
      </c>
      <c r="W252" s="22">
        <f t="shared" si="14"/>
        <v>0</v>
      </c>
    </row>
    <row r="253" spans="1:23" hidden="1" x14ac:dyDescent="0.25">
      <c r="A253" s="3">
        <v>45953</v>
      </c>
      <c r="B253" s="3" t="s">
        <v>334</v>
      </c>
      <c r="C253" s="4" t="s">
        <v>163</v>
      </c>
      <c r="D253" s="4"/>
      <c r="E253" s="4"/>
      <c r="F253" s="4" t="s">
        <v>368</v>
      </c>
      <c r="G253" s="4" t="s">
        <v>336</v>
      </c>
      <c r="H253" s="4" t="s">
        <v>289</v>
      </c>
      <c r="I253" s="4">
        <v>0.59</v>
      </c>
      <c r="J253" s="21">
        <v>340</v>
      </c>
      <c r="K253" s="21">
        <v>0</v>
      </c>
      <c r="L253" s="5">
        <v>0</v>
      </c>
      <c r="M253" s="4">
        <v>0.59</v>
      </c>
      <c r="N253" s="4"/>
      <c r="O253" s="5">
        <v>340</v>
      </c>
      <c r="P253" s="5"/>
      <c r="Q253" s="21">
        <v>200.6</v>
      </c>
      <c r="R253" s="21">
        <v>0</v>
      </c>
      <c r="S253" s="5">
        <f t="shared" si="15"/>
        <v>109168.79999999997</v>
      </c>
      <c r="T253" cm="1">
        <f t="array" ref="T253">IF(OR(B253="MAL ALIMI", B253="ÜRETİM GİRİŞ"), MIN(I253, MAX(0, I253 + SUM(SUMIFS($I$1:I252, $C$1:C252, C253, $B$1:B252, {"MAL ALIMI","ÜRETİM GİRİŞ"})) - VLOOKUP(C253, 'STOK RAPORU'!$C$2:$I$1000, 4, 0))), 0)</f>
        <v>0</v>
      </c>
      <c r="U253" s="22">
        <f t="shared" si="12"/>
        <v>0</v>
      </c>
      <c r="V253">
        <f t="shared" si="13"/>
        <v>0</v>
      </c>
      <c r="W253" s="22">
        <f t="shared" si="14"/>
        <v>0</v>
      </c>
    </row>
    <row r="254" spans="1:23" hidden="1" x14ac:dyDescent="0.25">
      <c r="A254" s="3">
        <v>45953</v>
      </c>
      <c r="B254" s="3" t="s">
        <v>334</v>
      </c>
      <c r="C254" s="4" t="s">
        <v>223</v>
      </c>
      <c r="D254" s="4"/>
      <c r="E254" s="4"/>
      <c r="F254" s="4" t="s">
        <v>368</v>
      </c>
      <c r="G254" s="4" t="s">
        <v>336</v>
      </c>
      <c r="H254" s="4" t="s">
        <v>289</v>
      </c>
      <c r="I254" s="4">
        <v>1</v>
      </c>
      <c r="J254" s="21">
        <v>700</v>
      </c>
      <c r="K254" s="21">
        <v>0</v>
      </c>
      <c r="L254" s="5">
        <v>0</v>
      </c>
      <c r="M254" s="4">
        <v>1</v>
      </c>
      <c r="N254" s="4"/>
      <c r="O254" s="5">
        <v>700</v>
      </c>
      <c r="P254" s="5"/>
      <c r="Q254" s="21">
        <v>700</v>
      </c>
      <c r="R254" s="21">
        <v>0</v>
      </c>
      <c r="S254" s="5">
        <f t="shared" si="15"/>
        <v>109868.79999999997</v>
      </c>
      <c r="T254" cm="1">
        <f t="array" ref="T254">IF(OR(B254="MAL ALIMI", B254="ÜRETİM GİRİŞ"), MIN(I254, MAX(0, I254 + SUM(SUMIFS($I$1:I253, $C$1:C253, C254, $B$1:B253, {"MAL ALIMI","ÜRETİM GİRİŞ"})) - VLOOKUP(C254, 'STOK RAPORU'!$C$2:$I$1000, 4, 0))), 0)</f>
        <v>0</v>
      </c>
      <c r="U254" s="22">
        <f t="shared" si="12"/>
        <v>0</v>
      </c>
      <c r="V254">
        <f t="shared" si="13"/>
        <v>0</v>
      </c>
      <c r="W254" s="22">
        <f t="shared" si="14"/>
        <v>0</v>
      </c>
    </row>
    <row r="255" spans="1:23" hidden="1" x14ac:dyDescent="0.25">
      <c r="A255" s="3">
        <v>45953</v>
      </c>
      <c r="B255" s="3" t="s">
        <v>334</v>
      </c>
      <c r="C255" s="4" t="s">
        <v>201</v>
      </c>
      <c r="D255" s="4"/>
      <c r="E255" s="4"/>
      <c r="F255" s="4" t="s">
        <v>368</v>
      </c>
      <c r="G255" s="4" t="s">
        <v>336</v>
      </c>
      <c r="H255" s="4" t="s">
        <v>289</v>
      </c>
      <c r="I255" s="4">
        <v>1</v>
      </c>
      <c r="J255" s="21">
        <v>800</v>
      </c>
      <c r="K255" s="21">
        <v>0</v>
      </c>
      <c r="L255" s="5">
        <v>0</v>
      </c>
      <c r="M255" s="4">
        <v>1</v>
      </c>
      <c r="N255" s="4"/>
      <c r="O255" s="5">
        <v>800</v>
      </c>
      <c r="P255" s="5"/>
      <c r="Q255" s="21">
        <v>800</v>
      </c>
      <c r="R255" s="21">
        <v>0</v>
      </c>
      <c r="S255" s="5">
        <f t="shared" si="15"/>
        <v>110668.79999999997</v>
      </c>
      <c r="T255" cm="1">
        <f t="array" ref="T255">IF(OR(B255="MAL ALIMI", B255="ÜRETİM GİRİŞ"), MIN(I255, MAX(0, I255 + SUM(SUMIFS($I$1:I254, $C$1:C254, C255, $B$1:B254, {"MAL ALIMI","ÜRETİM GİRİŞ"})) - VLOOKUP(C255, 'STOK RAPORU'!$C$2:$I$1000, 4, 0))), 0)</f>
        <v>0</v>
      </c>
      <c r="U255" s="22">
        <f t="shared" si="12"/>
        <v>0</v>
      </c>
      <c r="V255">
        <f t="shared" si="13"/>
        <v>0</v>
      </c>
      <c r="W255" s="22">
        <f t="shared" si="14"/>
        <v>0</v>
      </c>
    </row>
    <row r="256" spans="1:23" hidden="1" x14ac:dyDescent="0.25">
      <c r="A256" s="3">
        <v>45953</v>
      </c>
      <c r="B256" s="3" t="s">
        <v>334</v>
      </c>
      <c r="C256" s="4" t="s">
        <v>241</v>
      </c>
      <c r="D256" s="4"/>
      <c r="E256" s="4"/>
      <c r="F256" s="4" t="s">
        <v>368</v>
      </c>
      <c r="G256" s="4" t="s">
        <v>336</v>
      </c>
      <c r="H256" s="4" t="s">
        <v>289</v>
      </c>
      <c r="I256" s="4">
        <v>1</v>
      </c>
      <c r="J256" s="21">
        <v>350</v>
      </c>
      <c r="K256" s="21">
        <v>0</v>
      </c>
      <c r="L256" s="5">
        <v>0</v>
      </c>
      <c r="M256" s="4">
        <v>1</v>
      </c>
      <c r="N256" s="4"/>
      <c r="O256" s="5">
        <v>350</v>
      </c>
      <c r="P256" s="5"/>
      <c r="Q256" s="21">
        <v>350</v>
      </c>
      <c r="R256" s="21">
        <v>0</v>
      </c>
      <c r="S256" s="5">
        <f t="shared" si="15"/>
        <v>111018.79999999997</v>
      </c>
      <c r="T256" cm="1">
        <f t="array" ref="T256">IF(OR(B256="MAL ALIMI", B256="ÜRETİM GİRİŞ"), MIN(I256, MAX(0, I256 + SUM(SUMIFS($I$1:I255, $C$1:C255, C256, $B$1:B255, {"MAL ALIMI","ÜRETİM GİRİŞ"})) - VLOOKUP(C256, 'STOK RAPORU'!$C$2:$I$1000, 4, 0))), 0)</f>
        <v>0</v>
      </c>
      <c r="U256" s="22">
        <f t="shared" si="12"/>
        <v>0</v>
      </c>
      <c r="V256">
        <f t="shared" si="13"/>
        <v>0</v>
      </c>
      <c r="W256" s="22">
        <f t="shared" si="14"/>
        <v>0</v>
      </c>
    </row>
    <row r="257" spans="1:23" hidden="1" x14ac:dyDescent="0.25">
      <c r="A257" s="3">
        <v>45953</v>
      </c>
      <c r="B257" s="3" t="s">
        <v>334</v>
      </c>
      <c r="C257" s="4" t="s">
        <v>225</v>
      </c>
      <c r="D257" s="4"/>
      <c r="E257" s="4"/>
      <c r="F257" s="4" t="s">
        <v>368</v>
      </c>
      <c r="G257" s="4" t="s">
        <v>336</v>
      </c>
      <c r="H257" s="4" t="s">
        <v>289</v>
      </c>
      <c r="I257" s="4">
        <v>1</v>
      </c>
      <c r="J257" s="21">
        <v>650</v>
      </c>
      <c r="K257" s="21">
        <v>0</v>
      </c>
      <c r="L257" s="5">
        <v>0</v>
      </c>
      <c r="M257" s="4">
        <v>1</v>
      </c>
      <c r="N257" s="4"/>
      <c r="O257" s="5">
        <v>650</v>
      </c>
      <c r="P257" s="5"/>
      <c r="Q257" s="21">
        <v>650</v>
      </c>
      <c r="R257" s="21">
        <v>0</v>
      </c>
      <c r="S257" s="5">
        <f t="shared" si="15"/>
        <v>111668.79999999997</v>
      </c>
      <c r="T257" cm="1">
        <f t="array" ref="T257">IF(OR(B257="MAL ALIMI", B257="ÜRETİM GİRİŞ"), MIN(I257, MAX(0, I257 + SUM(SUMIFS($I$1:I256, $C$1:C256, C257, $B$1:B256, {"MAL ALIMI","ÜRETİM GİRİŞ"})) - VLOOKUP(C257, 'STOK RAPORU'!$C$2:$I$1000, 4, 0))), 0)</f>
        <v>0</v>
      </c>
      <c r="U257" s="22">
        <f t="shared" si="12"/>
        <v>0</v>
      </c>
      <c r="V257">
        <f t="shared" si="13"/>
        <v>0</v>
      </c>
      <c r="W257" s="22">
        <f t="shared" si="14"/>
        <v>0</v>
      </c>
    </row>
    <row r="258" spans="1:23" hidden="1" x14ac:dyDescent="0.25">
      <c r="A258" s="3">
        <v>45953</v>
      </c>
      <c r="B258" s="3" t="s">
        <v>334</v>
      </c>
      <c r="C258" s="4" t="s">
        <v>158</v>
      </c>
      <c r="D258" s="4"/>
      <c r="E258" s="4"/>
      <c r="F258" s="4" t="s">
        <v>368</v>
      </c>
      <c r="G258" s="4" t="s">
        <v>336</v>
      </c>
      <c r="H258" s="4" t="s">
        <v>289</v>
      </c>
      <c r="I258" s="4">
        <v>2</v>
      </c>
      <c r="J258" s="21">
        <v>125</v>
      </c>
      <c r="K258" s="21">
        <v>0</v>
      </c>
      <c r="L258" s="5">
        <v>0</v>
      </c>
      <c r="M258" s="4">
        <v>2</v>
      </c>
      <c r="N258" s="4"/>
      <c r="O258" s="5">
        <v>125</v>
      </c>
      <c r="P258" s="5"/>
      <c r="Q258" s="21">
        <v>250</v>
      </c>
      <c r="R258" s="21">
        <v>0</v>
      </c>
      <c r="S258" s="5">
        <f t="shared" si="15"/>
        <v>111918.79999999997</v>
      </c>
      <c r="T258" cm="1">
        <f t="array" ref="T258">IF(OR(B258="MAL ALIMI", B258="ÜRETİM GİRİŞ"), MIN(I258, MAX(0, I258 + SUM(SUMIFS($I$1:I257, $C$1:C257, C258, $B$1:B257, {"MAL ALIMI","ÜRETİM GİRİŞ"})) - VLOOKUP(C258, 'STOK RAPORU'!$C$2:$I$1000, 4, 0))), 0)</f>
        <v>0</v>
      </c>
      <c r="U258" s="22">
        <f t="shared" si="12"/>
        <v>0</v>
      </c>
      <c r="V258">
        <f t="shared" si="13"/>
        <v>0</v>
      </c>
      <c r="W258" s="22">
        <f t="shared" si="14"/>
        <v>0</v>
      </c>
    </row>
    <row r="259" spans="1:23" hidden="1" x14ac:dyDescent="0.25">
      <c r="A259" s="3">
        <v>45953</v>
      </c>
      <c r="B259" s="3" t="s">
        <v>334</v>
      </c>
      <c r="C259" s="4" t="s">
        <v>262</v>
      </c>
      <c r="D259" s="4"/>
      <c r="E259" s="4"/>
      <c r="F259" s="4" t="s">
        <v>368</v>
      </c>
      <c r="G259" s="4" t="s">
        <v>336</v>
      </c>
      <c r="H259" s="4" t="s">
        <v>289</v>
      </c>
      <c r="I259" s="4">
        <v>1</v>
      </c>
      <c r="J259" s="21">
        <v>160</v>
      </c>
      <c r="K259" s="21">
        <v>0</v>
      </c>
      <c r="L259" s="5">
        <v>0</v>
      </c>
      <c r="M259" s="4">
        <v>1</v>
      </c>
      <c r="N259" s="4"/>
      <c r="O259" s="5">
        <v>160</v>
      </c>
      <c r="P259" s="5"/>
      <c r="Q259" s="21">
        <v>160</v>
      </c>
      <c r="R259" s="21">
        <v>0</v>
      </c>
      <c r="S259" s="5">
        <f t="shared" si="15"/>
        <v>112078.79999999997</v>
      </c>
      <c r="T259" cm="1">
        <f t="array" ref="T259">IF(OR(B259="MAL ALIMI", B259="ÜRETİM GİRİŞ"), MIN(I259, MAX(0, I259 + SUM(SUMIFS($I$1:I258, $C$1:C258, C259, $B$1:B258, {"MAL ALIMI","ÜRETİM GİRİŞ"})) - VLOOKUP(C259, 'STOK RAPORU'!$C$2:$I$1000, 4, 0))), 0)</f>
        <v>0</v>
      </c>
      <c r="U259" s="22">
        <f t="shared" ref="U259:U322" si="16">T259*J259</f>
        <v>0</v>
      </c>
      <c r="V259">
        <f t="shared" ref="V259:V322" si="17">IF(OR(B259="MAL ALIMI", B259="ÜRETİM GİRİŞ"), I259 * J259, 0)</f>
        <v>0</v>
      </c>
      <c r="W259" s="22">
        <f t="shared" ref="W259:W322" si="18">V259-U259</f>
        <v>0</v>
      </c>
    </row>
    <row r="260" spans="1:23" hidden="1" x14ac:dyDescent="0.25">
      <c r="A260" s="3">
        <v>45953</v>
      </c>
      <c r="B260" s="3" t="s">
        <v>334</v>
      </c>
      <c r="C260" s="4" t="s">
        <v>211</v>
      </c>
      <c r="D260" s="4"/>
      <c r="E260" s="4"/>
      <c r="F260" s="4" t="s">
        <v>368</v>
      </c>
      <c r="G260" s="4" t="s">
        <v>336</v>
      </c>
      <c r="H260" s="4" t="s">
        <v>289</v>
      </c>
      <c r="I260" s="4">
        <v>1</v>
      </c>
      <c r="J260" s="21">
        <v>300</v>
      </c>
      <c r="K260" s="21">
        <v>0</v>
      </c>
      <c r="L260" s="5">
        <v>0</v>
      </c>
      <c r="M260" s="4">
        <v>1</v>
      </c>
      <c r="N260" s="4"/>
      <c r="O260" s="5">
        <v>300</v>
      </c>
      <c r="P260" s="5"/>
      <c r="Q260" s="21">
        <v>300</v>
      </c>
      <c r="R260" s="21">
        <v>0</v>
      </c>
      <c r="S260" s="5">
        <f t="shared" ref="S260:S323" si="19">S259+Q260-R260</f>
        <v>112378.79999999997</v>
      </c>
      <c r="T260" cm="1">
        <f t="array" ref="T260">IF(OR(B260="MAL ALIMI", B260="ÜRETİM GİRİŞ"), MIN(I260, MAX(0, I260 + SUM(SUMIFS($I$1:I259, $C$1:C259, C260, $B$1:B259, {"MAL ALIMI","ÜRETİM GİRİŞ"})) - VLOOKUP(C260, 'STOK RAPORU'!$C$2:$I$1000, 4, 0))), 0)</f>
        <v>0</v>
      </c>
      <c r="U260" s="22">
        <f t="shared" si="16"/>
        <v>0</v>
      </c>
      <c r="V260">
        <f t="shared" si="17"/>
        <v>0</v>
      </c>
      <c r="W260" s="22">
        <f t="shared" si="18"/>
        <v>0</v>
      </c>
    </row>
    <row r="261" spans="1:23" hidden="1" x14ac:dyDescent="0.25">
      <c r="A261" s="3">
        <v>45953</v>
      </c>
      <c r="B261" s="3" t="s">
        <v>334</v>
      </c>
      <c r="C261" s="4" t="s">
        <v>226</v>
      </c>
      <c r="D261" s="4"/>
      <c r="E261" s="4"/>
      <c r="F261" s="4" t="s">
        <v>368</v>
      </c>
      <c r="G261" s="4" t="s">
        <v>336</v>
      </c>
      <c r="H261" s="4" t="s">
        <v>289</v>
      </c>
      <c r="I261" s="4">
        <v>0.23499999999999999</v>
      </c>
      <c r="J261" s="21">
        <v>150</v>
      </c>
      <c r="K261" s="21">
        <v>0</v>
      </c>
      <c r="L261" s="5">
        <v>0</v>
      </c>
      <c r="M261" s="4">
        <v>0.23499999999999999</v>
      </c>
      <c r="N261" s="4"/>
      <c r="O261" s="5">
        <v>150</v>
      </c>
      <c r="P261" s="5"/>
      <c r="Q261" s="21">
        <v>35.25</v>
      </c>
      <c r="R261" s="21">
        <v>0</v>
      </c>
      <c r="S261" s="5">
        <f t="shared" si="19"/>
        <v>112414.04999999997</v>
      </c>
      <c r="T261" cm="1">
        <f t="array" ref="T261">IF(OR(B261="MAL ALIMI", B261="ÜRETİM GİRİŞ"), MIN(I261, MAX(0, I261 + SUM(SUMIFS($I$1:I260, $C$1:C260, C261, $B$1:B260, {"MAL ALIMI","ÜRETİM GİRİŞ"})) - VLOOKUP(C261, 'STOK RAPORU'!$C$2:$I$1000, 4, 0))), 0)</f>
        <v>0</v>
      </c>
      <c r="U261" s="22">
        <f t="shared" si="16"/>
        <v>0</v>
      </c>
      <c r="V261">
        <f t="shared" si="17"/>
        <v>0</v>
      </c>
      <c r="W261" s="22">
        <f t="shared" si="18"/>
        <v>0</v>
      </c>
    </row>
    <row r="262" spans="1:23" hidden="1" x14ac:dyDescent="0.25">
      <c r="A262" s="3">
        <v>45953</v>
      </c>
      <c r="B262" s="3" t="s">
        <v>285</v>
      </c>
      <c r="C262" s="4"/>
      <c r="D262" s="4" t="s">
        <v>114</v>
      </c>
      <c r="E262" s="4"/>
      <c r="F262" s="4" t="s">
        <v>368</v>
      </c>
      <c r="G262" s="4" t="s">
        <v>336</v>
      </c>
      <c r="H262" s="4" t="s">
        <v>289</v>
      </c>
      <c r="I262" s="4">
        <v>1</v>
      </c>
      <c r="J262" s="21">
        <v>45.25</v>
      </c>
      <c r="K262" s="21">
        <v>0</v>
      </c>
      <c r="L262" s="5">
        <v>0</v>
      </c>
      <c r="M262" s="4"/>
      <c r="N262" s="4">
        <v>1</v>
      </c>
      <c r="O262" s="5"/>
      <c r="P262" s="5">
        <v>45.25</v>
      </c>
      <c r="Q262" s="21">
        <v>0</v>
      </c>
      <c r="R262" s="21">
        <v>45.25</v>
      </c>
      <c r="S262" s="5">
        <f t="shared" si="19"/>
        <v>112368.79999999997</v>
      </c>
      <c r="T262" cm="1">
        <f t="array" ref="T262">IF(OR(B262="MAL ALIMI", B262="ÜRETİM GİRİŞ"), MIN(I262, MAX(0, I262 + SUM(SUMIFS($I$1:I261, $C$1:C261, C262, $B$1:B261, {"MAL ALIMI","ÜRETİM GİRİŞ"})) - VLOOKUP(C262, 'STOK RAPORU'!$C$2:$I$1000, 4, 0))), 0)</f>
        <v>0</v>
      </c>
      <c r="U262" s="22">
        <f t="shared" si="16"/>
        <v>0</v>
      </c>
      <c r="V262">
        <f t="shared" si="17"/>
        <v>0</v>
      </c>
      <c r="W262" s="22">
        <f t="shared" si="18"/>
        <v>0</v>
      </c>
    </row>
    <row r="263" spans="1:23" hidden="1" x14ac:dyDescent="0.25">
      <c r="A263" s="3">
        <v>45953</v>
      </c>
      <c r="B263" s="3" t="s">
        <v>334</v>
      </c>
      <c r="C263" s="4" t="s">
        <v>167</v>
      </c>
      <c r="D263" s="4"/>
      <c r="E263" s="4"/>
      <c r="F263" s="4" t="s">
        <v>369</v>
      </c>
      <c r="G263" s="4" t="s">
        <v>336</v>
      </c>
      <c r="H263" s="4" t="s">
        <v>289</v>
      </c>
      <c r="I263" s="4">
        <v>1</v>
      </c>
      <c r="J263" s="21">
        <v>200</v>
      </c>
      <c r="K263" s="21">
        <v>0</v>
      </c>
      <c r="L263" s="5">
        <v>0</v>
      </c>
      <c r="M263" s="4">
        <v>1</v>
      </c>
      <c r="N263" s="4"/>
      <c r="O263" s="5">
        <v>200</v>
      </c>
      <c r="P263" s="5"/>
      <c r="Q263" s="21">
        <v>200</v>
      </c>
      <c r="R263" s="21">
        <v>0</v>
      </c>
      <c r="S263" s="5">
        <f t="shared" si="19"/>
        <v>112568.79999999997</v>
      </c>
      <c r="T263" cm="1">
        <f t="array" ref="T263">IF(OR(B263="MAL ALIMI", B263="ÜRETİM GİRİŞ"), MIN(I263, MAX(0, I263 + SUM(SUMIFS($I$1:I262, $C$1:C262, C263, $B$1:B262, {"MAL ALIMI","ÜRETİM GİRİŞ"})) - VLOOKUP(C263, 'STOK RAPORU'!$C$2:$I$1000, 4, 0))), 0)</f>
        <v>0</v>
      </c>
      <c r="U263" s="22">
        <f t="shared" si="16"/>
        <v>0</v>
      </c>
      <c r="V263">
        <f t="shared" si="17"/>
        <v>0</v>
      </c>
      <c r="W263" s="22">
        <f t="shared" si="18"/>
        <v>0</v>
      </c>
    </row>
    <row r="264" spans="1:23" hidden="1" x14ac:dyDescent="0.25">
      <c r="A264" s="3">
        <v>45953</v>
      </c>
      <c r="B264" s="3" t="s">
        <v>334</v>
      </c>
      <c r="C264" s="4" t="s">
        <v>160</v>
      </c>
      <c r="D264" s="4"/>
      <c r="E264" s="4"/>
      <c r="F264" s="4" t="s">
        <v>369</v>
      </c>
      <c r="G264" s="4" t="s">
        <v>336</v>
      </c>
      <c r="H264" s="4" t="s">
        <v>289</v>
      </c>
      <c r="I264" s="4">
        <v>1</v>
      </c>
      <c r="J264" s="21">
        <v>240</v>
      </c>
      <c r="K264" s="21">
        <v>0</v>
      </c>
      <c r="L264" s="5">
        <v>0</v>
      </c>
      <c r="M264" s="4">
        <v>1</v>
      </c>
      <c r="N264" s="4"/>
      <c r="O264" s="5">
        <v>240</v>
      </c>
      <c r="P264" s="5"/>
      <c r="Q264" s="21">
        <v>240</v>
      </c>
      <c r="R264" s="21">
        <v>0</v>
      </c>
      <c r="S264" s="5">
        <f t="shared" si="19"/>
        <v>112808.79999999997</v>
      </c>
      <c r="T264" cm="1">
        <f t="array" ref="T264">IF(OR(B264="MAL ALIMI", B264="ÜRETİM GİRİŞ"), MIN(I264, MAX(0, I264 + SUM(SUMIFS($I$1:I263, $C$1:C263, C264, $B$1:B263, {"MAL ALIMI","ÜRETİM GİRİŞ"})) - VLOOKUP(C264, 'STOK RAPORU'!$C$2:$I$1000, 4, 0))), 0)</f>
        <v>0</v>
      </c>
      <c r="U264" s="22">
        <f t="shared" si="16"/>
        <v>0</v>
      </c>
      <c r="V264">
        <f t="shared" si="17"/>
        <v>0</v>
      </c>
      <c r="W264" s="22">
        <f t="shared" si="18"/>
        <v>0</v>
      </c>
    </row>
    <row r="265" spans="1:23" hidden="1" x14ac:dyDescent="0.25">
      <c r="A265" s="3">
        <v>45953</v>
      </c>
      <c r="B265" s="3" t="s">
        <v>334</v>
      </c>
      <c r="C265" s="4" t="s">
        <v>197</v>
      </c>
      <c r="D265" s="4"/>
      <c r="E265" s="4"/>
      <c r="F265" s="4" t="s">
        <v>370</v>
      </c>
      <c r="G265" s="4" t="s">
        <v>336</v>
      </c>
      <c r="H265" s="4" t="s">
        <v>289</v>
      </c>
      <c r="I265" s="4">
        <v>0.17</v>
      </c>
      <c r="J265" s="21">
        <v>180</v>
      </c>
      <c r="K265" s="21">
        <v>0</v>
      </c>
      <c r="L265" s="5">
        <v>0</v>
      </c>
      <c r="M265" s="4">
        <v>0.17</v>
      </c>
      <c r="N265" s="4"/>
      <c r="O265" s="5">
        <v>180</v>
      </c>
      <c r="P265" s="5"/>
      <c r="Q265" s="21">
        <v>30.6</v>
      </c>
      <c r="R265" s="21">
        <v>0</v>
      </c>
      <c r="S265" s="5">
        <f t="shared" si="19"/>
        <v>112839.39999999998</v>
      </c>
      <c r="T265" cm="1">
        <f t="array" ref="T265">IF(OR(B265="MAL ALIMI", B265="ÜRETİM GİRİŞ"), MIN(I265, MAX(0, I265 + SUM(SUMIFS($I$1:I264, $C$1:C264, C265, $B$1:B264, {"MAL ALIMI","ÜRETİM GİRİŞ"})) - VLOOKUP(C265, 'STOK RAPORU'!$C$2:$I$1000, 4, 0))), 0)</f>
        <v>0</v>
      </c>
      <c r="U265" s="22">
        <f t="shared" si="16"/>
        <v>0</v>
      </c>
      <c r="V265">
        <f t="shared" si="17"/>
        <v>0</v>
      </c>
      <c r="W265" s="22">
        <f t="shared" si="18"/>
        <v>0</v>
      </c>
    </row>
    <row r="266" spans="1:23" hidden="1" x14ac:dyDescent="0.25">
      <c r="A266" s="3">
        <v>45953</v>
      </c>
      <c r="B266" s="3" t="s">
        <v>334</v>
      </c>
      <c r="C266" s="4" t="s">
        <v>242</v>
      </c>
      <c r="D266" s="4"/>
      <c r="E266" s="4"/>
      <c r="F266" s="4" t="s">
        <v>370</v>
      </c>
      <c r="G266" s="4" t="s">
        <v>336</v>
      </c>
      <c r="H266" s="4" t="s">
        <v>289</v>
      </c>
      <c r="I266" s="4">
        <v>0.17</v>
      </c>
      <c r="J266" s="21">
        <v>350</v>
      </c>
      <c r="K266" s="21">
        <v>0</v>
      </c>
      <c r="L266" s="5">
        <v>0</v>
      </c>
      <c r="M266" s="4">
        <v>0.17</v>
      </c>
      <c r="N266" s="4"/>
      <c r="O266" s="5">
        <v>350</v>
      </c>
      <c r="P266" s="5"/>
      <c r="Q266" s="21">
        <v>59.500000000000007</v>
      </c>
      <c r="R266" s="21">
        <v>0</v>
      </c>
      <c r="S266" s="5">
        <f t="shared" si="19"/>
        <v>112898.89999999998</v>
      </c>
      <c r="T266" cm="1">
        <f t="array" ref="T266">IF(OR(B266="MAL ALIMI", B266="ÜRETİM GİRİŞ"), MIN(I266, MAX(0, I266 + SUM(SUMIFS($I$1:I265, $C$1:C265, C266, $B$1:B265, {"MAL ALIMI","ÜRETİM GİRİŞ"})) - VLOOKUP(C266, 'STOK RAPORU'!$C$2:$I$1000, 4, 0))), 0)</f>
        <v>0</v>
      </c>
      <c r="U266" s="22">
        <f t="shared" si="16"/>
        <v>0</v>
      </c>
      <c r="V266">
        <f t="shared" si="17"/>
        <v>0</v>
      </c>
      <c r="W266" s="22">
        <f t="shared" si="18"/>
        <v>0</v>
      </c>
    </row>
    <row r="267" spans="1:23" x14ac:dyDescent="0.25">
      <c r="A267" s="3">
        <v>45954</v>
      </c>
      <c r="B267" s="4" t="s">
        <v>659</v>
      </c>
      <c r="C267" s="4" t="s">
        <v>194</v>
      </c>
      <c r="D267" s="4"/>
      <c r="E267" s="4" t="s">
        <v>350</v>
      </c>
      <c r="F267" s="4" t="s">
        <v>660</v>
      </c>
      <c r="G267" s="4" t="s">
        <v>350</v>
      </c>
      <c r="H267" s="4" t="s">
        <v>304</v>
      </c>
      <c r="I267" s="4">
        <v>5</v>
      </c>
      <c r="J267" s="21">
        <v>570</v>
      </c>
      <c r="K267" s="21">
        <v>2850</v>
      </c>
      <c r="L267" s="5">
        <v>0</v>
      </c>
      <c r="M267" s="4">
        <v>5</v>
      </c>
      <c r="N267" s="4"/>
      <c r="O267" s="5">
        <v>570</v>
      </c>
      <c r="P267" s="5"/>
      <c r="Q267" s="21">
        <v>0</v>
      </c>
      <c r="R267" s="21">
        <v>0</v>
      </c>
      <c r="S267" s="5">
        <f t="shared" si="19"/>
        <v>112898.89999999998</v>
      </c>
      <c r="T267" cm="1">
        <f t="array" ref="T267">IF(OR(B267="MAL ALIMI", B267="ÜRETİM GİRİŞ"), MIN(I267, MAX(0, I267 + SUM(SUMIFS($I$1:I266, $C$1:C266, C267, $B$1:B266, {"MAL ALIMI","ÜRETİM GİRİŞ"})) - VLOOKUP(C267, 'STOK RAPORU'!$C$2:$I$1000, 4, 0))), 0)</f>
        <v>0</v>
      </c>
      <c r="U267" s="22">
        <f t="shared" si="16"/>
        <v>0</v>
      </c>
      <c r="V267">
        <f t="shared" si="17"/>
        <v>0</v>
      </c>
      <c r="W267" s="22">
        <f t="shared" si="18"/>
        <v>0</v>
      </c>
    </row>
    <row r="268" spans="1:23" x14ac:dyDescent="0.25">
      <c r="A268" s="3">
        <v>45954</v>
      </c>
      <c r="B268" s="4" t="s">
        <v>659</v>
      </c>
      <c r="C268" s="4" t="s">
        <v>250</v>
      </c>
      <c r="D268" s="4"/>
      <c r="E268" s="4" t="s">
        <v>350</v>
      </c>
      <c r="F268" s="4" t="s">
        <v>661</v>
      </c>
      <c r="G268" s="4" t="s">
        <v>350</v>
      </c>
      <c r="H268" s="4" t="s">
        <v>304</v>
      </c>
      <c r="I268" s="4">
        <v>5</v>
      </c>
      <c r="J268" s="21">
        <v>500</v>
      </c>
      <c r="K268" s="21">
        <v>2500</v>
      </c>
      <c r="L268" s="5">
        <v>0</v>
      </c>
      <c r="M268" s="4">
        <v>5</v>
      </c>
      <c r="N268" s="4"/>
      <c r="O268" s="5">
        <v>500</v>
      </c>
      <c r="P268" s="5"/>
      <c r="Q268" s="21">
        <v>0</v>
      </c>
      <c r="R268" s="21">
        <v>0</v>
      </c>
      <c r="S268" s="5">
        <f t="shared" si="19"/>
        <v>112898.89999999998</v>
      </c>
      <c r="T268" cm="1">
        <f t="array" ref="T268">IF(OR(B268="MAL ALIMI", B268="ÜRETİM GİRİŞ"), MIN(I268, MAX(0, I268 + SUM(SUMIFS($I$1:I267, $C$1:C267, C268, $B$1:B267, {"MAL ALIMI","ÜRETİM GİRİŞ"})) - VLOOKUP(C268, 'STOK RAPORU'!$C$2:$I$1000, 4, 0))), 0)</f>
        <v>0</v>
      </c>
      <c r="U268" s="22">
        <f t="shared" si="16"/>
        <v>0</v>
      </c>
      <c r="V268">
        <f t="shared" si="17"/>
        <v>0</v>
      </c>
      <c r="W268" s="22">
        <f t="shared" si="18"/>
        <v>0</v>
      </c>
    </row>
    <row r="269" spans="1:23" hidden="1" x14ac:dyDescent="0.25">
      <c r="A269" s="3">
        <v>45954</v>
      </c>
      <c r="B269" s="3" t="s">
        <v>334</v>
      </c>
      <c r="C269" s="4" t="s">
        <v>131</v>
      </c>
      <c r="D269" s="4"/>
      <c r="E269" s="4"/>
      <c r="F269" s="4" t="s">
        <v>371</v>
      </c>
      <c r="G269" s="4" t="s">
        <v>336</v>
      </c>
      <c r="H269" s="4" t="s">
        <v>289</v>
      </c>
      <c r="I269" s="4">
        <v>0.44</v>
      </c>
      <c r="J269" s="21">
        <v>230</v>
      </c>
      <c r="K269" s="21">
        <v>0</v>
      </c>
      <c r="L269" s="5">
        <v>0</v>
      </c>
      <c r="M269" s="4">
        <v>0.44</v>
      </c>
      <c r="N269" s="4"/>
      <c r="O269" s="5">
        <v>230</v>
      </c>
      <c r="P269" s="5"/>
      <c r="Q269" s="21">
        <v>101.2</v>
      </c>
      <c r="R269" s="21">
        <v>0</v>
      </c>
      <c r="S269" s="5">
        <f t="shared" si="19"/>
        <v>113000.09999999998</v>
      </c>
      <c r="T269" cm="1">
        <f t="array" ref="T269">IF(OR(B269="MAL ALIMI", B269="ÜRETİM GİRİŞ"), MIN(I269, MAX(0, I269 + SUM(SUMIFS($I$1:I268, $C$1:C268, C269, $B$1:B268, {"MAL ALIMI","ÜRETİM GİRİŞ"})) - VLOOKUP(C269, 'STOK RAPORU'!$C$2:$I$1000, 4, 0))), 0)</f>
        <v>0</v>
      </c>
      <c r="U269" s="22">
        <f t="shared" si="16"/>
        <v>0</v>
      </c>
      <c r="V269">
        <f t="shared" si="17"/>
        <v>0</v>
      </c>
      <c r="W269" s="22">
        <f t="shared" si="18"/>
        <v>0</v>
      </c>
    </row>
    <row r="270" spans="1:23" hidden="1" x14ac:dyDescent="0.25">
      <c r="A270" s="3">
        <v>45954</v>
      </c>
      <c r="B270" s="3" t="s">
        <v>334</v>
      </c>
      <c r="C270" s="4" t="s">
        <v>91</v>
      </c>
      <c r="D270" s="4"/>
      <c r="E270" s="4"/>
      <c r="F270" s="4" t="s">
        <v>371</v>
      </c>
      <c r="G270" s="4" t="s">
        <v>336</v>
      </c>
      <c r="H270" s="4" t="s">
        <v>289</v>
      </c>
      <c r="I270" s="4">
        <v>0.13200000000000001</v>
      </c>
      <c r="J270" s="21">
        <v>760</v>
      </c>
      <c r="K270" s="21">
        <v>0</v>
      </c>
      <c r="L270" s="5">
        <v>0</v>
      </c>
      <c r="M270" s="4">
        <v>0.13200000000000001</v>
      </c>
      <c r="N270" s="4"/>
      <c r="O270" s="5">
        <v>760</v>
      </c>
      <c r="P270" s="5"/>
      <c r="Q270" s="21">
        <v>100.32000000000001</v>
      </c>
      <c r="R270" s="21">
        <v>0</v>
      </c>
      <c r="S270" s="5">
        <f t="shared" si="19"/>
        <v>113100.41999999998</v>
      </c>
      <c r="T270" cm="1">
        <f t="array" ref="T270">IF(OR(B270="MAL ALIMI", B270="ÜRETİM GİRİŞ"), MIN(I270, MAX(0, I270 + SUM(SUMIFS($I$1:I269, $C$1:C269, C270, $B$1:B269, {"MAL ALIMI","ÜRETİM GİRİŞ"})) - VLOOKUP(C270, 'STOK RAPORU'!$C$2:$I$1000, 4, 0))), 0)</f>
        <v>0</v>
      </c>
      <c r="U270" s="22">
        <f t="shared" si="16"/>
        <v>0</v>
      </c>
      <c r="V270">
        <f t="shared" si="17"/>
        <v>0</v>
      </c>
      <c r="W270" s="22">
        <f t="shared" si="18"/>
        <v>0</v>
      </c>
    </row>
    <row r="271" spans="1:23" hidden="1" x14ac:dyDescent="0.25">
      <c r="A271" s="3">
        <v>45954</v>
      </c>
      <c r="B271" s="3" t="s">
        <v>334</v>
      </c>
      <c r="C271" s="4" t="s">
        <v>524</v>
      </c>
      <c r="D271" s="4"/>
      <c r="E271" s="4"/>
      <c r="F271" s="4" t="s">
        <v>372</v>
      </c>
      <c r="G271" s="4" t="s">
        <v>336</v>
      </c>
      <c r="H271" s="4" t="s">
        <v>289</v>
      </c>
      <c r="I271" s="4">
        <v>0.21</v>
      </c>
      <c r="J271" s="21">
        <v>240</v>
      </c>
      <c r="K271" s="21">
        <v>0</v>
      </c>
      <c r="L271" s="5">
        <v>0</v>
      </c>
      <c r="M271" s="4">
        <v>0.21</v>
      </c>
      <c r="N271" s="4"/>
      <c r="O271" s="5">
        <v>240</v>
      </c>
      <c r="P271" s="5"/>
      <c r="Q271" s="21">
        <v>50.4</v>
      </c>
      <c r="R271" s="21">
        <v>0</v>
      </c>
      <c r="S271" s="5">
        <f t="shared" si="19"/>
        <v>113150.81999999998</v>
      </c>
      <c r="T271" cm="1">
        <f t="array" ref="T271">IF(OR(B271="MAL ALIMI", B271="ÜRETİM GİRİŞ"), MIN(I271, MAX(0, I271 + SUM(SUMIFS($I$1:I270, $C$1:C270, C271, $B$1:B270, {"MAL ALIMI","ÜRETİM GİRİŞ"})) - VLOOKUP(C271, 'STOK RAPORU'!$C$2:$I$1000, 4, 0))), 0)</f>
        <v>0</v>
      </c>
      <c r="U271" s="22">
        <f t="shared" si="16"/>
        <v>0</v>
      </c>
      <c r="V271">
        <f t="shared" si="17"/>
        <v>0</v>
      </c>
      <c r="W271" s="22">
        <f t="shared" si="18"/>
        <v>0</v>
      </c>
    </row>
    <row r="272" spans="1:23" hidden="1" x14ac:dyDescent="0.25">
      <c r="A272" s="3">
        <v>45954</v>
      </c>
      <c r="B272" s="3" t="s">
        <v>334</v>
      </c>
      <c r="C272" s="4" t="s">
        <v>211</v>
      </c>
      <c r="D272" s="4"/>
      <c r="E272" s="4"/>
      <c r="F272" s="4" t="s">
        <v>373</v>
      </c>
      <c r="G272" s="4" t="s">
        <v>336</v>
      </c>
      <c r="H272" s="4" t="s">
        <v>289</v>
      </c>
      <c r="I272" s="4">
        <v>0.66700000000000004</v>
      </c>
      <c r="J272" s="21">
        <v>300</v>
      </c>
      <c r="K272" s="21">
        <v>0</v>
      </c>
      <c r="L272" s="5">
        <v>0</v>
      </c>
      <c r="M272" s="4">
        <v>0.66700000000000004</v>
      </c>
      <c r="N272" s="4"/>
      <c r="O272" s="5">
        <v>300</v>
      </c>
      <c r="P272" s="5"/>
      <c r="Q272" s="21">
        <v>200.10000000000002</v>
      </c>
      <c r="R272" s="21">
        <v>0</v>
      </c>
      <c r="S272" s="5">
        <f t="shared" si="19"/>
        <v>113350.91999999998</v>
      </c>
      <c r="T272" cm="1">
        <f t="array" ref="T272">IF(OR(B272="MAL ALIMI", B272="ÜRETİM GİRİŞ"), MIN(I272, MAX(0, I272 + SUM(SUMIFS($I$1:I271, $C$1:C271, C272, $B$1:B271, {"MAL ALIMI","ÜRETİM GİRİŞ"})) - VLOOKUP(C272, 'STOK RAPORU'!$C$2:$I$1000, 4, 0))), 0)</f>
        <v>0</v>
      </c>
      <c r="U272" s="22">
        <f t="shared" si="16"/>
        <v>0</v>
      </c>
      <c r="V272">
        <f t="shared" si="17"/>
        <v>0</v>
      </c>
      <c r="W272" s="22">
        <f t="shared" si="18"/>
        <v>0</v>
      </c>
    </row>
    <row r="273" spans="1:23" hidden="1" x14ac:dyDescent="0.25">
      <c r="A273" s="3">
        <v>45954</v>
      </c>
      <c r="B273" s="3" t="s">
        <v>334</v>
      </c>
      <c r="C273" s="4" t="s">
        <v>160</v>
      </c>
      <c r="D273" s="4"/>
      <c r="E273" s="4"/>
      <c r="F273" s="4" t="s">
        <v>374</v>
      </c>
      <c r="G273" s="4" t="s">
        <v>336</v>
      </c>
      <c r="H273" s="4" t="s">
        <v>289</v>
      </c>
      <c r="I273" s="4">
        <v>1</v>
      </c>
      <c r="J273" s="21">
        <v>240</v>
      </c>
      <c r="K273" s="21">
        <v>0</v>
      </c>
      <c r="L273" s="5">
        <v>0</v>
      </c>
      <c r="M273" s="4">
        <v>1</v>
      </c>
      <c r="N273" s="4"/>
      <c r="O273" s="5">
        <v>240</v>
      </c>
      <c r="P273" s="5"/>
      <c r="Q273" s="21">
        <v>240</v>
      </c>
      <c r="R273" s="21">
        <v>0</v>
      </c>
      <c r="S273" s="5">
        <f t="shared" si="19"/>
        <v>113590.91999999998</v>
      </c>
      <c r="T273" cm="1">
        <f t="array" ref="T273">IF(OR(B273="MAL ALIMI", B273="ÜRETİM GİRİŞ"), MIN(I273, MAX(0, I273 + SUM(SUMIFS($I$1:I272, $C$1:C272, C273, $B$1:B272, {"MAL ALIMI","ÜRETİM GİRİŞ"})) - VLOOKUP(C273, 'STOK RAPORU'!$C$2:$I$1000, 4, 0))), 0)</f>
        <v>0</v>
      </c>
      <c r="U273" s="22">
        <f t="shared" si="16"/>
        <v>0</v>
      </c>
      <c r="V273">
        <f t="shared" si="17"/>
        <v>0</v>
      </c>
      <c r="W273" s="22">
        <f t="shared" si="18"/>
        <v>0</v>
      </c>
    </row>
    <row r="274" spans="1:23" hidden="1" x14ac:dyDescent="0.25">
      <c r="A274" s="3">
        <v>45954</v>
      </c>
      <c r="B274" s="3" t="s">
        <v>334</v>
      </c>
      <c r="C274" s="4" t="s">
        <v>167</v>
      </c>
      <c r="D274" s="4"/>
      <c r="E274" s="4"/>
      <c r="F274" s="4" t="s">
        <v>374</v>
      </c>
      <c r="G274" s="4" t="s">
        <v>336</v>
      </c>
      <c r="H274" s="4" t="s">
        <v>289</v>
      </c>
      <c r="I274" s="4">
        <v>1</v>
      </c>
      <c r="J274" s="21">
        <v>200</v>
      </c>
      <c r="K274" s="21">
        <v>0</v>
      </c>
      <c r="L274" s="5">
        <v>0</v>
      </c>
      <c r="M274" s="4">
        <v>1</v>
      </c>
      <c r="N274" s="4"/>
      <c r="O274" s="5">
        <v>200</v>
      </c>
      <c r="P274" s="5"/>
      <c r="Q274" s="21">
        <v>200</v>
      </c>
      <c r="R274" s="21">
        <v>0</v>
      </c>
      <c r="S274" s="5">
        <f t="shared" si="19"/>
        <v>113790.91999999998</v>
      </c>
      <c r="T274" cm="1">
        <f t="array" ref="T274">IF(OR(B274="MAL ALIMI", B274="ÜRETİM GİRİŞ"), MIN(I274, MAX(0, I274 + SUM(SUMIFS($I$1:I273, $C$1:C273, C274, $B$1:B273, {"MAL ALIMI","ÜRETİM GİRİŞ"})) - VLOOKUP(C274, 'STOK RAPORU'!$C$2:$I$1000, 4, 0))), 0)</f>
        <v>0</v>
      </c>
      <c r="U274" s="22">
        <f t="shared" si="16"/>
        <v>0</v>
      </c>
      <c r="V274">
        <f t="shared" si="17"/>
        <v>0</v>
      </c>
      <c r="W274" s="22">
        <f t="shared" si="18"/>
        <v>0</v>
      </c>
    </row>
    <row r="275" spans="1:23" hidden="1" x14ac:dyDescent="0.25">
      <c r="A275" s="3">
        <v>45954</v>
      </c>
      <c r="B275" s="3" t="s">
        <v>334</v>
      </c>
      <c r="C275" s="4" t="s">
        <v>60</v>
      </c>
      <c r="D275" s="4"/>
      <c r="E275" s="4"/>
      <c r="F275" s="4" t="s">
        <v>374</v>
      </c>
      <c r="G275" s="4" t="s">
        <v>336</v>
      </c>
      <c r="H275" s="4" t="s">
        <v>289</v>
      </c>
      <c r="I275" s="4">
        <v>0.04</v>
      </c>
      <c r="J275" s="21">
        <v>1140</v>
      </c>
      <c r="K275" s="21">
        <v>0</v>
      </c>
      <c r="L275" s="5">
        <v>0</v>
      </c>
      <c r="M275" s="4">
        <v>0.04</v>
      </c>
      <c r="N275" s="4"/>
      <c r="O275" s="5">
        <v>1140</v>
      </c>
      <c r="P275" s="5"/>
      <c r="Q275" s="21">
        <v>45.6</v>
      </c>
      <c r="R275" s="21">
        <v>0</v>
      </c>
      <c r="S275" s="5">
        <f t="shared" si="19"/>
        <v>113836.51999999999</v>
      </c>
      <c r="T275" cm="1">
        <f t="array" ref="T275">IF(OR(B275="MAL ALIMI", B275="ÜRETİM GİRİŞ"), MIN(I275, MAX(0, I275 + SUM(SUMIFS($I$1:I274, $C$1:C274, C275, $B$1:B274, {"MAL ALIMI","ÜRETİM GİRİŞ"})) - VLOOKUP(C275, 'STOK RAPORU'!$C$2:$I$1000, 4, 0))), 0)</f>
        <v>0</v>
      </c>
      <c r="U275" s="22">
        <f t="shared" si="16"/>
        <v>0</v>
      </c>
      <c r="V275">
        <f t="shared" si="17"/>
        <v>0</v>
      </c>
      <c r="W275" s="22">
        <f t="shared" si="18"/>
        <v>0</v>
      </c>
    </row>
    <row r="276" spans="1:23" hidden="1" x14ac:dyDescent="0.25">
      <c r="A276" s="3">
        <v>45954</v>
      </c>
      <c r="B276" s="3" t="s">
        <v>334</v>
      </c>
      <c r="C276" s="4" t="s">
        <v>225</v>
      </c>
      <c r="D276" s="4"/>
      <c r="E276" s="4"/>
      <c r="F276" s="4" t="s">
        <v>374</v>
      </c>
      <c r="G276" s="4" t="s">
        <v>336</v>
      </c>
      <c r="H276" s="4" t="s">
        <v>289</v>
      </c>
      <c r="I276" s="4">
        <v>0.188</v>
      </c>
      <c r="J276" s="21">
        <v>650</v>
      </c>
      <c r="K276" s="21">
        <v>0</v>
      </c>
      <c r="L276" s="5">
        <v>0</v>
      </c>
      <c r="M276" s="4">
        <v>0.188</v>
      </c>
      <c r="N276" s="4"/>
      <c r="O276" s="5">
        <v>650</v>
      </c>
      <c r="P276" s="5"/>
      <c r="Q276" s="21">
        <v>122.2</v>
      </c>
      <c r="R276" s="21">
        <v>0</v>
      </c>
      <c r="S276" s="5">
        <f t="shared" si="19"/>
        <v>113958.71999999999</v>
      </c>
      <c r="T276" cm="1">
        <f t="array" ref="T276">IF(OR(B276="MAL ALIMI", B276="ÜRETİM GİRİŞ"), MIN(I276, MAX(0, I276 + SUM(SUMIFS($I$1:I275, $C$1:C275, C276, $B$1:B275, {"MAL ALIMI","ÜRETİM GİRİŞ"})) - VLOOKUP(C276, 'STOK RAPORU'!$C$2:$I$1000, 4, 0))), 0)</f>
        <v>0</v>
      </c>
      <c r="U276" s="22">
        <f t="shared" si="16"/>
        <v>0</v>
      </c>
      <c r="V276">
        <f t="shared" si="17"/>
        <v>0</v>
      </c>
      <c r="W276" s="22">
        <f t="shared" si="18"/>
        <v>0</v>
      </c>
    </row>
    <row r="277" spans="1:23" hidden="1" x14ac:dyDescent="0.25">
      <c r="A277" s="3">
        <v>45954</v>
      </c>
      <c r="B277" s="3" t="s">
        <v>334</v>
      </c>
      <c r="C277" s="4" t="s">
        <v>201</v>
      </c>
      <c r="D277" s="4"/>
      <c r="E277" s="4"/>
      <c r="F277" s="4" t="s">
        <v>374</v>
      </c>
      <c r="G277" s="4" t="s">
        <v>336</v>
      </c>
      <c r="H277" s="4" t="s">
        <v>289</v>
      </c>
      <c r="I277" s="4">
        <v>0.2</v>
      </c>
      <c r="J277" s="21">
        <v>800</v>
      </c>
      <c r="K277" s="21">
        <v>0</v>
      </c>
      <c r="L277" s="5">
        <v>0</v>
      </c>
      <c r="M277" s="4">
        <v>0.2</v>
      </c>
      <c r="N277" s="4"/>
      <c r="O277" s="5">
        <v>800</v>
      </c>
      <c r="P277" s="5"/>
      <c r="Q277" s="21">
        <v>160</v>
      </c>
      <c r="R277" s="21">
        <v>0</v>
      </c>
      <c r="S277" s="5">
        <f t="shared" si="19"/>
        <v>114118.71999999999</v>
      </c>
      <c r="T277" cm="1">
        <f t="array" ref="T277">IF(OR(B277="MAL ALIMI", B277="ÜRETİM GİRİŞ"), MIN(I277, MAX(0, I277 + SUM(SUMIFS($I$1:I276, $C$1:C276, C277, $B$1:B276, {"MAL ALIMI","ÜRETİM GİRİŞ"})) - VLOOKUP(C277, 'STOK RAPORU'!$C$2:$I$1000, 4, 0))), 0)</f>
        <v>0</v>
      </c>
      <c r="U277" s="22">
        <f t="shared" si="16"/>
        <v>0</v>
      </c>
      <c r="V277">
        <f t="shared" si="17"/>
        <v>0</v>
      </c>
      <c r="W277" s="22">
        <f t="shared" si="18"/>
        <v>0</v>
      </c>
    </row>
    <row r="278" spans="1:23" hidden="1" x14ac:dyDescent="0.25">
      <c r="A278" s="3">
        <v>45954</v>
      </c>
      <c r="B278" s="3" t="s">
        <v>334</v>
      </c>
      <c r="C278" s="4" t="s">
        <v>241</v>
      </c>
      <c r="D278" s="4"/>
      <c r="E278" s="4"/>
      <c r="F278" s="4" t="s">
        <v>374</v>
      </c>
      <c r="G278" s="4" t="s">
        <v>336</v>
      </c>
      <c r="H278" s="4" t="s">
        <v>289</v>
      </c>
      <c r="I278" s="4">
        <v>0.17599999999999999</v>
      </c>
      <c r="J278" s="21">
        <v>350</v>
      </c>
      <c r="K278" s="21">
        <v>0</v>
      </c>
      <c r="L278" s="5">
        <v>0</v>
      </c>
      <c r="M278" s="4">
        <v>0.17599999999999999</v>
      </c>
      <c r="N278" s="4"/>
      <c r="O278" s="5">
        <v>350</v>
      </c>
      <c r="P278" s="5"/>
      <c r="Q278" s="21">
        <v>61.599999999999994</v>
      </c>
      <c r="R278" s="21">
        <v>0</v>
      </c>
      <c r="S278" s="5">
        <f t="shared" si="19"/>
        <v>114180.31999999999</v>
      </c>
      <c r="T278" cm="1">
        <f t="array" ref="T278">IF(OR(B278="MAL ALIMI", B278="ÜRETİM GİRİŞ"), MIN(I278, MAX(0, I278 + SUM(SUMIFS($I$1:I277, $C$1:C277, C278, $B$1:B277, {"MAL ALIMI","ÜRETİM GİRİŞ"})) - VLOOKUP(C278, 'STOK RAPORU'!$C$2:$I$1000, 4, 0))), 0)</f>
        <v>0</v>
      </c>
      <c r="U278" s="22">
        <f t="shared" si="16"/>
        <v>0</v>
      </c>
      <c r="V278">
        <f t="shared" si="17"/>
        <v>0</v>
      </c>
      <c r="W278" s="22">
        <f t="shared" si="18"/>
        <v>0</v>
      </c>
    </row>
    <row r="279" spans="1:23" hidden="1" x14ac:dyDescent="0.25">
      <c r="A279" s="3">
        <v>45954</v>
      </c>
      <c r="B279" s="3" t="s">
        <v>285</v>
      </c>
      <c r="C279" s="4"/>
      <c r="D279" s="4" t="s">
        <v>114</v>
      </c>
      <c r="E279" s="4"/>
      <c r="F279" s="4" t="s">
        <v>374</v>
      </c>
      <c r="G279" s="4" t="s">
        <v>336</v>
      </c>
      <c r="H279" s="4" t="s">
        <v>289</v>
      </c>
      <c r="I279" s="4">
        <v>1</v>
      </c>
      <c r="J279" s="21">
        <v>29.4</v>
      </c>
      <c r="K279" s="21">
        <v>0</v>
      </c>
      <c r="L279" s="5">
        <v>0</v>
      </c>
      <c r="M279" s="4"/>
      <c r="N279" s="4">
        <v>1</v>
      </c>
      <c r="O279" s="5"/>
      <c r="P279" s="5">
        <v>29.4</v>
      </c>
      <c r="Q279" s="21">
        <v>0</v>
      </c>
      <c r="R279" s="21">
        <v>29.4</v>
      </c>
      <c r="S279" s="5">
        <f t="shared" si="19"/>
        <v>114150.92</v>
      </c>
      <c r="T279" cm="1">
        <f t="array" ref="T279">IF(OR(B279="MAL ALIMI", B279="ÜRETİM GİRİŞ"), MIN(I279, MAX(0, I279 + SUM(SUMIFS($I$1:I278, $C$1:C278, C279, $B$1:B278, {"MAL ALIMI","ÜRETİM GİRİŞ"})) - VLOOKUP(C279, 'STOK RAPORU'!$C$2:$I$1000, 4, 0))), 0)</f>
        <v>0</v>
      </c>
      <c r="U279" s="22">
        <f t="shared" si="16"/>
        <v>0</v>
      </c>
      <c r="V279">
        <f t="shared" si="17"/>
        <v>0</v>
      </c>
      <c r="W279" s="22">
        <f t="shared" si="18"/>
        <v>0</v>
      </c>
    </row>
    <row r="280" spans="1:23" hidden="1" x14ac:dyDescent="0.25">
      <c r="A280" s="3">
        <v>45954</v>
      </c>
      <c r="B280" s="3" t="s">
        <v>334</v>
      </c>
      <c r="C280" s="4" t="s">
        <v>210</v>
      </c>
      <c r="D280" s="4"/>
      <c r="E280" s="4"/>
      <c r="F280" s="4" t="s">
        <v>375</v>
      </c>
      <c r="G280" s="4" t="s">
        <v>336</v>
      </c>
      <c r="H280" s="4" t="s">
        <v>289</v>
      </c>
      <c r="I280" s="4">
        <v>0.04</v>
      </c>
      <c r="J280" s="21">
        <v>3000</v>
      </c>
      <c r="K280" s="21">
        <v>0</v>
      </c>
      <c r="L280" s="5">
        <v>0</v>
      </c>
      <c r="M280" s="4">
        <v>0.04</v>
      </c>
      <c r="N280" s="4"/>
      <c r="O280" s="5">
        <v>3000</v>
      </c>
      <c r="P280" s="5"/>
      <c r="Q280" s="21">
        <v>120</v>
      </c>
      <c r="R280" s="21">
        <v>0</v>
      </c>
      <c r="S280" s="5">
        <f t="shared" si="19"/>
        <v>114270.92</v>
      </c>
      <c r="T280" cm="1">
        <f t="array" ref="T280">IF(OR(B280="MAL ALIMI", B280="ÜRETİM GİRİŞ"), MIN(I280, MAX(0, I280 + SUM(SUMIFS($I$1:I279, $C$1:C279, C280, $B$1:B279, {"MAL ALIMI","ÜRETİM GİRİŞ"})) - VLOOKUP(C280, 'STOK RAPORU'!$C$2:$I$1000, 4, 0))), 0)</f>
        <v>0</v>
      </c>
      <c r="U280" s="22">
        <f t="shared" si="16"/>
        <v>0</v>
      </c>
      <c r="V280">
        <f t="shared" si="17"/>
        <v>0</v>
      </c>
      <c r="W280" s="22">
        <f t="shared" si="18"/>
        <v>0</v>
      </c>
    </row>
    <row r="281" spans="1:23" hidden="1" x14ac:dyDescent="0.25">
      <c r="A281" s="3">
        <v>45954</v>
      </c>
      <c r="B281" s="3" t="s">
        <v>334</v>
      </c>
      <c r="C281" s="4" t="s">
        <v>209</v>
      </c>
      <c r="D281" s="4"/>
      <c r="E281" s="4"/>
      <c r="F281" s="4" t="s">
        <v>375</v>
      </c>
      <c r="G281" s="4" t="s">
        <v>336</v>
      </c>
      <c r="H281" s="4" t="s">
        <v>289</v>
      </c>
      <c r="I281" s="4">
        <v>5.6000000000000001E-2</v>
      </c>
      <c r="J281" s="21">
        <v>2000</v>
      </c>
      <c r="K281" s="21">
        <v>0</v>
      </c>
      <c r="L281" s="5">
        <v>0</v>
      </c>
      <c r="M281" s="4">
        <v>5.6000000000000001E-2</v>
      </c>
      <c r="N281" s="4"/>
      <c r="O281" s="5">
        <v>2000</v>
      </c>
      <c r="P281" s="5"/>
      <c r="Q281" s="21">
        <v>112</v>
      </c>
      <c r="R281" s="21">
        <v>0</v>
      </c>
      <c r="S281" s="5">
        <f t="shared" si="19"/>
        <v>114382.92</v>
      </c>
      <c r="T281" cm="1">
        <f t="array" ref="T281">IF(OR(B281="MAL ALIMI", B281="ÜRETİM GİRİŞ"), MIN(I281, MAX(0, I281 + SUM(SUMIFS($I$1:I280, $C$1:C280, C281, $B$1:B280, {"MAL ALIMI","ÜRETİM GİRİŞ"})) - VLOOKUP(C281, 'STOK RAPORU'!$C$2:$I$1000, 4, 0))), 0)</f>
        <v>0</v>
      </c>
      <c r="U281" s="22">
        <f t="shared" si="16"/>
        <v>0</v>
      </c>
      <c r="V281">
        <f t="shared" si="17"/>
        <v>0</v>
      </c>
      <c r="W281" s="22">
        <f t="shared" si="18"/>
        <v>0</v>
      </c>
    </row>
    <row r="282" spans="1:23" hidden="1" x14ac:dyDescent="0.25">
      <c r="A282" s="3">
        <v>45954</v>
      </c>
      <c r="B282" s="3" t="s">
        <v>334</v>
      </c>
      <c r="C282" s="4" t="s">
        <v>149</v>
      </c>
      <c r="D282" s="4"/>
      <c r="E282" s="4"/>
      <c r="F282" s="4" t="s">
        <v>375</v>
      </c>
      <c r="G282" s="4" t="s">
        <v>336</v>
      </c>
      <c r="H282" s="4" t="s">
        <v>289</v>
      </c>
      <c r="I282" s="4">
        <v>1</v>
      </c>
      <c r="J282" s="21">
        <v>65</v>
      </c>
      <c r="K282" s="21">
        <v>0</v>
      </c>
      <c r="L282" s="5">
        <v>0</v>
      </c>
      <c r="M282" s="4">
        <v>1</v>
      </c>
      <c r="N282" s="4"/>
      <c r="O282" s="5">
        <v>65</v>
      </c>
      <c r="P282" s="5"/>
      <c r="Q282" s="21">
        <v>65</v>
      </c>
      <c r="R282" s="21">
        <v>0</v>
      </c>
      <c r="S282" s="5">
        <f t="shared" si="19"/>
        <v>114447.92</v>
      </c>
      <c r="T282" cm="1">
        <f t="array" ref="T282">IF(OR(B282="MAL ALIMI", B282="ÜRETİM GİRİŞ"), MIN(I282, MAX(0, I282 + SUM(SUMIFS($I$1:I281, $C$1:C281, C282, $B$1:B281, {"MAL ALIMI","ÜRETİM GİRİŞ"})) - VLOOKUP(C282, 'STOK RAPORU'!$C$2:$I$1000, 4, 0))), 0)</f>
        <v>0</v>
      </c>
      <c r="U282" s="22">
        <f t="shared" si="16"/>
        <v>0</v>
      </c>
      <c r="V282">
        <f t="shared" si="17"/>
        <v>0</v>
      </c>
      <c r="W282" s="22">
        <f t="shared" si="18"/>
        <v>0</v>
      </c>
    </row>
    <row r="283" spans="1:23" hidden="1" x14ac:dyDescent="0.25">
      <c r="A283" s="3">
        <v>45954</v>
      </c>
      <c r="B283" s="3" t="s">
        <v>334</v>
      </c>
      <c r="C283" s="4" t="s">
        <v>211</v>
      </c>
      <c r="D283" s="4"/>
      <c r="E283" s="4"/>
      <c r="F283" s="4" t="s">
        <v>376</v>
      </c>
      <c r="G283" s="4" t="s">
        <v>336</v>
      </c>
      <c r="H283" s="4" t="s">
        <v>289</v>
      </c>
      <c r="I283" s="4">
        <v>1</v>
      </c>
      <c r="J283" s="21">
        <v>300</v>
      </c>
      <c r="K283" s="21">
        <v>0</v>
      </c>
      <c r="L283" s="5">
        <v>0</v>
      </c>
      <c r="M283" s="4">
        <v>1</v>
      </c>
      <c r="N283" s="4"/>
      <c r="O283" s="5">
        <v>300</v>
      </c>
      <c r="P283" s="5"/>
      <c r="Q283" s="21">
        <v>300</v>
      </c>
      <c r="R283" s="21">
        <v>0</v>
      </c>
      <c r="S283" s="5">
        <f t="shared" si="19"/>
        <v>114747.92</v>
      </c>
      <c r="T283" cm="1">
        <f t="array" ref="T283">IF(OR(B283="MAL ALIMI", B283="ÜRETİM GİRİŞ"), MIN(I283, MAX(0, I283 + SUM(SUMIFS($I$1:I282, $C$1:C282, C283, $B$1:B282, {"MAL ALIMI","ÜRETİM GİRİŞ"})) - VLOOKUP(C283, 'STOK RAPORU'!$C$2:$I$1000, 4, 0))), 0)</f>
        <v>0</v>
      </c>
      <c r="U283" s="22">
        <f t="shared" si="16"/>
        <v>0</v>
      </c>
      <c r="V283">
        <f t="shared" si="17"/>
        <v>0</v>
      </c>
      <c r="W283" s="22">
        <f t="shared" si="18"/>
        <v>0</v>
      </c>
    </row>
    <row r="284" spans="1:23" hidden="1" x14ac:dyDescent="0.25">
      <c r="A284" s="3">
        <v>45954</v>
      </c>
      <c r="B284" s="3" t="s">
        <v>334</v>
      </c>
      <c r="C284" s="4" t="s">
        <v>225</v>
      </c>
      <c r="D284" s="4"/>
      <c r="E284" s="4"/>
      <c r="F284" s="4" t="s">
        <v>376</v>
      </c>
      <c r="G284" s="4" t="s">
        <v>336</v>
      </c>
      <c r="H284" s="4" t="s">
        <v>289</v>
      </c>
      <c r="I284" s="4">
        <v>0.156</v>
      </c>
      <c r="J284" s="21">
        <v>650</v>
      </c>
      <c r="K284" s="21">
        <v>0</v>
      </c>
      <c r="L284" s="5">
        <v>0</v>
      </c>
      <c r="M284" s="4">
        <v>0.156</v>
      </c>
      <c r="N284" s="4"/>
      <c r="O284" s="5">
        <v>650</v>
      </c>
      <c r="P284" s="5"/>
      <c r="Q284" s="21">
        <v>101.4</v>
      </c>
      <c r="R284" s="21">
        <v>0</v>
      </c>
      <c r="S284" s="5">
        <f t="shared" si="19"/>
        <v>114849.31999999999</v>
      </c>
      <c r="T284" cm="1">
        <f t="array" ref="T284">IF(OR(B284="MAL ALIMI", B284="ÜRETİM GİRİŞ"), MIN(I284, MAX(0, I284 + SUM(SUMIFS($I$1:I283, $C$1:C283, C284, $B$1:B283, {"MAL ALIMI","ÜRETİM GİRİŞ"})) - VLOOKUP(C284, 'STOK RAPORU'!$C$2:$I$1000, 4, 0))), 0)</f>
        <v>0</v>
      </c>
      <c r="U284" s="22">
        <f t="shared" si="16"/>
        <v>0</v>
      </c>
      <c r="V284">
        <f t="shared" si="17"/>
        <v>0</v>
      </c>
      <c r="W284" s="22">
        <f t="shared" si="18"/>
        <v>0</v>
      </c>
    </row>
    <row r="285" spans="1:23" hidden="1" x14ac:dyDescent="0.25">
      <c r="A285" s="3">
        <v>45954</v>
      </c>
      <c r="B285" s="3" t="s">
        <v>334</v>
      </c>
      <c r="C285" s="4" t="s">
        <v>154</v>
      </c>
      <c r="D285" s="4"/>
      <c r="E285" s="4"/>
      <c r="F285" s="4" t="s">
        <v>377</v>
      </c>
      <c r="G285" s="4" t="s">
        <v>336</v>
      </c>
      <c r="H285" s="4" t="s">
        <v>289</v>
      </c>
      <c r="I285" s="4">
        <v>0.17499999999999999</v>
      </c>
      <c r="J285" s="21">
        <v>290</v>
      </c>
      <c r="K285" s="21">
        <v>0</v>
      </c>
      <c r="L285" s="5">
        <v>0</v>
      </c>
      <c r="M285" s="4">
        <v>0.17499999999999999</v>
      </c>
      <c r="N285" s="4"/>
      <c r="O285" s="5">
        <v>290</v>
      </c>
      <c r="P285" s="5"/>
      <c r="Q285" s="21">
        <v>50.75</v>
      </c>
      <c r="R285" s="21">
        <v>0</v>
      </c>
      <c r="S285" s="5">
        <f t="shared" si="19"/>
        <v>114900.06999999999</v>
      </c>
      <c r="T285" cm="1">
        <f t="array" ref="T285">IF(OR(B285="MAL ALIMI", B285="ÜRETİM GİRİŞ"), MIN(I285, MAX(0, I285 + SUM(SUMIFS($I$1:I284, $C$1:C284, C285, $B$1:B284, {"MAL ALIMI","ÜRETİM GİRİŞ"})) - VLOOKUP(C285, 'STOK RAPORU'!$C$2:$I$1000, 4, 0))), 0)</f>
        <v>0</v>
      </c>
      <c r="U285" s="22">
        <f t="shared" si="16"/>
        <v>0</v>
      </c>
      <c r="V285">
        <f t="shared" si="17"/>
        <v>0</v>
      </c>
      <c r="W285" s="22">
        <f t="shared" si="18"/>
        <v>0</v>
      </c>
    </row>
    <row r="286" spans="1:23" hidden="1" x14ac:dyDescent="0.25">
      <c r="A286" s="3">
        <v>45955</v>
      </c>
      <c r="B286" s="3" t="s">
        <v>334</v>
      </c>
      <c r="C286" s="4" t="s">
        <v>157</v>
      </c>
      <c r="D286" s="4"/>
      <c r="E286" s="4"/>
      <c r="F286" s="4" t="s">
        <v>378</v>
      </c>
      <c r="G286" s="4" t="s">
        <v>336</v>
      </c>
      <c r="H286" s="4" t="s">
        <v>289</v>
      </c>
      <c r="I286" s="4">
        <v>1.2</v>
      </c>
      <c r="J286" s="21">
        <v>180</v>
      </c>
      <c r="K286" s="21">
        <v>0</v>
      </c>
      <c r="L286" s="5">
        <v>0</v>
      </c>
      <c r="M286" s="4">
        <v>1.2</v>
      </c>
      <c r="N286" s="4"/>
      <c r="O286" s="5">
        <v>180</v>
      </c>
      <c r="P286" s="5"/>
      <c r="Q286" s="21">
        <v>216</v>
      </c>
      <c r="R286" s="21">
        <v>0</v>
      </c>
      <c r="S286" s="5">
        <f t="shared" si="19"/>
        <v>115116.06999999999</v>
      </c>
      <c r="T286" cm="1">
        <f t="array" ref="T286">IF(OR(B286="MAL ALIMI", B286="ÜRETİM GİRİŞ"), MIN(I286, MAX(0, I286 + SUM(SUMIFS($I$1:I285, $C$1:C285, C286, $B$1:B285, {"MAL ALIMI","ÜRETİM GİRİŞ"})) - VLOOKUP(C286, 'STOK RAPORU'!$C$2:$I$1000, 4, 0))), 0)</f>
        <v>0</v>
      </c>
      <c r="U286" s="22">
        <f t="shared" si="16"/>
        <v>0</v>
      </c>
      <c r="V286">
        <f t="shared" si="17"/>
        <v>0</v>
      </c>
      <c r="W286" s="22">
        <f t="shared" si="18"/>
        <v>0</v>
      </c>
    </row>
    <row r="287" spans="1:23" hidden="1" x14ac:dyDescent="0.25">
      <c r="A287" s="3">
        <v>45955</v>
      </c>
      <c r="B287" s="3" t="s">
        <v>334</v>
      </c>
      <c r="C287" s="4" t="s">
        <v>133</v>
      </c>
      <c r="D287" s="4"/>
      <c r="E287" s="4" t="s">
        <v>921</v>
      </c>
      <c r="F287" s="4" t="s">
        <v>379</v>
      </c>
      <c r="G287" s="4" t="s">
        <v>336</v>
      </c>
      <c r="H287" s="4" t="s">
        <v>380</v>
      </c>
      <c r="I287" s="4">
        <v>0.222</v>
      </c>
      <c r="J287" s="21">
        <v>340</v>
      </c>
      <c r="K287" s="35">
        <v>75.48</v>
      </c>
      <c r="L287" s="5">
        <v>0</v>
      </c>
      <c r="M287" s="4">
        <v>0.222</v>
      </c>
      <c r="N287" s="4"/>
      <c r="O287" s="5">
        <v>340</v>
      </c>
      <c r="P287" s="5"/>
      <c r="Q287" s="21">
        <v>0</v>
      </c>
      <c r="R287" s="21">
        <v>0</v>
      </c>
      <c r="S287" s="5">
        <f t="shared" si="19"/>
        <v>115116.06999999999</v>
      </c>
      <c r="T287" cm="1">
        <f t="array" ref="T287">IF(OR(B287="MAL ALIMI", B287="ÜRETİM GİRİŞ"), MIN(I287, MAX(0, I287 + SUM(SUMIFS($I$1:I286, $C$1:C286, C287, $B$1:B286, {"MAL ALIMI","ÜRETİM GİRİŞ"})) - VLOOKUP(C287, 'STOK RAPORU'!$C$2:$I$1000, 4, 0))), 0)</f>
        <v>0</v>
      </c>
      <c r="U287" s="22">
        <f t="shared" si="16"/>
        <v>0</v>
      </c>
      <c r="V287">
        <f t="shared" si="17"/>
        <v>0</v>
      </c>
      <c r="W287" s="22">
        <f t="shared" si="18"/>
        <v>0</v>
      </c>
    </row>
    <row r="288" spans="1:23" hidden="1" x14ac:dyDescent="0.25">
      <c r="A288" s="3">
        <v>45955</v>
      </c>
      <c r="B288" s="3" t="s">
        <v>334</v>
      </c>
      <c r="C288" s="4" t="s">
        <v>199</v>
      </c>
      <c r="D288" s="4"/>
      <c r="E288" s="4" t="s">
        <v>921</v>
      </c>
      <c r="F288" s="4" t="s">
        <v>381</v>
      </c>
      <c r="G288" s="4" t="s">
        <v>336</v>
      </c>
      <c r="H288" s="4" t="s">
        <v>380</v>
      </c>
      <c r="I288" s="4">
        <v>0.11</v>
      </c>
      <c r="J288" s="21">
        <v>930</v>
      </c>
      <c r="K288" s="35">
        <v>102.3</v>
      </c>
      <c r="L288" s="5">
        <v>0</v>
      </c>
      <c r="M288" s="4">
        <v>0.11</v>
      </c>
      <c r="N288" s="4"/>
      <c r="O288" s="5">
        <v>930</v>
      </c>
      <c r="P288" s="5"/>
      <c r="Q288" s="21">
        <v>0</v>
      </c>
      <c r="R288" s="21">
        <v>0</v>
      </c>
      <c r="S288" s="5">
        <f t="shared" si="19"/>
        <v>115116.06999999999</v>
      </c>
      <c r="T288" cm="1">
        <f t="array" ref="T288">IF(OR(B288="MAL ALIMI", B288="ÜRETİM GİRİŞ"), MIN(I288, MAX(0, I288 + SUM(SUMIFS($I$1:I287, $C$1:C287, C288, $B$1:B287, {"MAL ALIMI","ÜRETİM GİRİŞ"})) - VLOOKUP(C288, 'STOK RAPORU'!$C$2:$I$1000, 4, 0))), 0)</f>
        <v>0</v>
      </c>
      <c r="U288" s="22">
        <f t="shared" si="16"/>
        <v>0</v>
      </c>
      <c r="V288">
        <f t="shared" si="17"/>
        <v>0</v>
      </c>
      <c r="W288" s="22">
        <f t="shared" si="18"/>
        <v>0</v>
      </c>
    </row>
    <row r="289" spans="1:23" hidden="1" x14ac:dyDescent="0.25">
      <c r="A289" s="3">
        <v>45955</v>
      </c>
      <c r="B289" s="3" t="s">
        <v>334</v>
      </c>
      <c r="C289" s="4" t="s">
        <v>226</v>
      </c>
      <c r="D289" s="4"/>
      <c r="E289" s="4"/>
      <c r="F289" s="4" t="s">
        <v>382</v>
      </c>
      <c r="G289" s="4" t="s">
        <v>336</v>
      </c>
      <c r="H289" s="4" t="s">
        <v>289</v>
      </c>
      <c r="I289" s="4">
        <v>0.2</v>
      </c>
      <c r="J289" s="21">
        <v>150</v>
      </c>
      <c r="K289" s="21">
        <v>0</v>
      </c>
      <c r="L289" s="5">
        <v>0</v>
      </c>
      <c r="M289" s="4">
        <v>0.2</v>
      </c>
      <c r="N289" s="4"/>
      <c r="O289" s="5">
        <v>150</v>
      </c>
      <c r="P289" s="5"/>
      <c r="Q289" s="21">
        <v>30</v>
      </c>
      <c r="R289" s="21">
        <v>0</v>
      </c>
      <c r="S289" s="5">
        <f t="shared" si="19"/>
        <v>115146.06999999999</v>
      </c>
      <c r="T289" cm="1">
        <f t="array" ref="T289">IF(OR(B289="MAL ALIMI", B289="ÜRETİM GİRİŞ"), MIN(I289, MAX(0, I289 + SUM(SUMIFS($I$1:I288, $C$1:C288, C289, $B$1:B288, {"MAL ALIMI","ÜRETİM GİRİŞ"})) - VLOOKUP(C289, 'STOK RAPORU'!$C$2:$I$1000, 4, 0))), 0)</f>
        <v>0</v>
      </c>
      <c r="U289" s="22">
        <f t="shared" si="16"/>
        <v>0</v>
      </c>
      <c r="V289">
        <f t="shared" si="17"/>
        <v>0</v>
      </c>
      <c r="W289" s="22">
        <f t="shared" si="18"/>
        <v>0</v>
      </c>
    </row>
    <row r="290" spans="1:23" hidden="1" x14ac:dyDescent="0.25">
      <c r="A290" s="3">
        <v>45955</v>
      </c>
      <c r="B290" s="3" t="s">
        <v>334</v>
      </c>
      <c r="C290" s="4" t="s">
        <v>205</v>
      </c>
      <c r="D290" s="4"/>
      <c r="E290" s="4"/>
      <c r="F290" s="4" t="s">
        <v>382</v>
      </c>
      <c r="G290" s="4" t="s">
        <v>336</v>
      </c>
      <c r="H290" s="4" t="s">
        <v>289</v>
      </c>
      <c r="I290" s="4">
        <v>1</v>
      </c>
      <c r="J290" s="21">
        <v>290</v>
      </c>
      <c r="K290" s="21">
        <v>0</v>
      </c>
      <c r="L290" s="5">
        <v>0</v>
      </c>
      <c r="M290" s="4">
        <v>1</v>
      </c>
      <c r="N290" s="4"/>
      <c r="O290" s="5">
        <v>290</v>
      </c>
      <c r="P290" s="5"/>
      <c r="Q290" s="21">
        <v>290</v>
      </c>
      <c r="R290" s="21">
        <v>0</v>
      </c>
      <c r="S290" s="5">
        <f t="shared" si="19"/>
        <v>115436.06999999999</v>
      </c>
      <c r="T290" cm="1">
        <f t="array" ref="T290">IF(OR(B290="MAL ALIMI", B290="ÜRETİM GİRİŞ"), MIN(I290, MAX(0, I290 + SUM(SUMIFS($I$1:I289, $C$1:C289, C290, $B$1:B289, {"MAL ALIMI","ÜRETİM GİRİŞ"})) - VLOOKUP(C290, 'STOK RAPORU'!$C$2:$I$1000, 4, 0))), 0)</f>
        <v>0</v>
      </c>
      <c r="U290" s="22">
        <f t="shared" si="16"/>
        <v>0</v>
      </c>
      <c r="V290">
        <f t="shared" si="17"/>
        <v>0</v>
      </c>
      <c r="W290" s="22">
        <f t="shared" si="18"/>
        <v>0</v>
      </c>
    </row>
    <row r="291" spans="1:23" hidden="1" x14ac:dyDescent="0.25">
      <c r="A291" s="3">
        <v>45955</v>
      </c>
      <c r="B291" s="3" t="s">
        <v>334</v>
      </c>
      <c r="C291" s="4" t="s">
        <v>149</v>
      </c>
      <c r="D291" s="4"/>
      <c r="E291" s="4"/>
      <c r="F291" s="4" t="s">
        <v>382</v>
      </c>
      <c r="G291" s="4" t="s">
        <v>336</v>
      </c>
      <c r="H291" s="4" t="s">
        <v>289</v>
      </c>
      <c r="I291" s="4">
        <v>1</v>
      </c>
      <c r="J291" s="21">
        <v>65</v>
      </c>
      <c r="K291" s="21">
        <v>0</v>
      </c>
      <c r="L291" s="5">
        <v>0</v>
      </c>
      <c r="M291" s="4">
        <v>1</v>
      </c>
      <c r="N291" s="4"/>
      <c r="O291" s="5">
        <v>65</v>
      </c>
      <c r="P291" s="5"/>
      <c r="Q291" s="21">
        <v>65</v>
      </c>
      <c r="R291" s="21">
        <v>0</v>
      </c>
      <c r="S291" s="5">
        <f t="shared" si="19"/>
        <v>115501.06999999999</v>
      </c>
      <c r="T291" cm="1">
        <f t="array" ref="T291">IF(OR(B291="MAL ALIMI", B291="ÜRETİM GİRİŞ"), MIN(I291, MAX(0, I291 + SUM(SUMIFS($I$1:I290, $C$1:C290, C291, $B$1:B290, {"MAL ALIMI","ÜRETİM GİRİŞ"})) - VLOOKUP(C291, 'STOK RAPORU'!$C$2:$I$1000, 4, 0))), 0)</f>
        <v>0</v>
      </c>
      <c r="U291" s="22">
        <f t="shared" si="16"/>
        <v>0</v>
      </c>
      <c r="V291">
        <f t="shared" si="17"/>
        <v>0</v>
      </c>
      <c r="W291" s="22">
        <f t="shared" si="18"/>
        <v>0</v>
      </c>
    </row>
    <row r="292" spans="1:23" hidden="1" x14ac:dyDescent="0.25">
      <c r="A292" s="3">
        <v>45955</v>
      </c>
      <c r="B292" s="3" t="s">
        <v>334</v>
      </c>
      <c r="C292" s="4" t="s">
        <v>267</v>
      </c>
      <c r="D292" s="4"/>
      <c r="E292" s="4"/>
      <c r="F292" s="4" t="s">
        <v>382</v>
      </c>
      <c r="G292" s="4" t="s">
        <v>336</v>
      </c>
      <c r="H292" s="4" t="s">
        <v>289</v>
      </c>
      <c r="I292" s="4">
        <v>1</v>
      </c>
      <c r="J292" s="21">
        <v>140</v>
      </c>
      <c r="K292" s="21">
        <v>0</v>
      </c>
      <c r="L292" s="5">
        <v>0</v>
      </c>
      <c r="M292" s="4">
        <v>1</v>
      </c>
      <c r="N292" s="4"/>
      <c r="O292" s="5">
        <v>140</v>
      </c>
      <c r="P292" s="5"/>
      <c r="Q292" s="21">
        <v>140</v>
      </c>
      <c r="R292" s="21">
        <v>0</v>
      </c>
      <c r="S292" s="5">
        <f t="shared" si="19"/>
        <v>115641.06999999999</v>
      </c>
      <c r="T292" cm="1">
        <f t="array" ref="T292">IF(OR(B292="MAL ALIMI", B292="ÜRETİM GİRİŞ"), MIN(I292, MAX(0, I292 + SUM(SUMIFS($I$1:I291, $C$1:C291, C292, $B$1:B291, {"MAL ALIMI","ÜRETİM GİRİŞ"})) - VLOOKUP(C292, 'STOK RAPORU'!$C$2:$I$1000, 4, 0))), 0)</f>
        <v>0</v>
      </c>
      <c r="U292" s="22">
        <f t="shared" si="16"/>
        <v>0</v>
      </c>
      <c r="V292">
        <f t="shared" si="17"/>
        <v>0</v>
      </c>
      <c r="W292" s="22">
        <f t="shared" si="18"/>
        <v>0</v>
      </c>
    </row>
    <row r="293" spans="1:23" hidden="1" x14ac:dyDescent="0.25">
      <c r="A293" s="3">
        <v>45955</v>
      </c>
      <c r="B293" s="3" t="s">
        <v>334</v>
      </c>
      <c r="C293" s="4" t="s">
        <v>166</v>
      </c>
      <c r="D293" s="4"/>
      <c r="E293" s="4"/>
      <c r="F293" s="4" t="s">
        <v>382</v>
      </c>
      <c r="G293" s="4" t="s">
        <v>336</v>
      </c>
      <c r="H293" s="4" t="s">
        <v>289</v>
      </c>
      <c r="I293" s="4">
        <v>0.17199999999999999</v>
      </c>
      <c r="J293" s="21">
        <v>770</v>
      </c>
      <c r="K293" s="21">
        <v>0</v>
      </c>
      <c r="L293" s="5">
        <v>0</v>
      </c>
      <c r="M293" s="4">
        <v>0.17199999999999999</v>
      </c>
      <c r="N293" s="4"/>
      <c r="O293" s="5">
        <v>770</v>
      </c>
      <c r="P293" s="5"/>
      <c r="Q293" s="21">
        <v>132.44</v>
      </c>
      <c r="R293" s="21">
        <v>0</v>
      </c>
      <c r="S293" s="5">
        <f t="shared" si="19"/>
        <v>115773.51</v>
      </c>
      <c r="T293" cm="1">
        <f t="array" ref="T293">IF(OR(B293="MAL ALIMI", B293="ÜRETİM GİRİŞ"), MIN(I293, MAX(0, I293 + SUM(SUMIFS($I$1:I292, $C$1:C292, C293, $B$1:B292, {"MAL ALIMI","ÜRETİM GİRİŞ"})) - VLOOKUP(C293, 'STOK RAPORU'!$C$2:$I$1000, 4, 0))), 0)</f>
        <v>0</v>
      </c>
      <c r="U293" s="22">
        <f t="shared" si="16"/>
        <v>0</v>
      </c>
      <c r="V293">
        <f t="shared" si="17"/>
        <v>0</v>
      </c>
      <c r="W293" s="22">
        <f t="shared" si="18"/>
        <v>0</v>
      </c>
    </row>
    <row r="294" spans="1:23" hidden="1" x14ac:dyDescent="0.25">
      <c r="A294" s="3">
        <v>45955</v>
      </c>
      <c r="B294" s="3" t="s">
        <v>334</v>
      </c>
      <c r="C294" s="4" t="s">
        <v>130</v>
      </c>
      <c r="D294" s="4"/>
      <c r="E294" s="4"/>
      <c r="F294" s="4" t="s">
        <v>382</v>
      </c>
      <c r="G294" s="4" t="s">
        <v>336</v>
      </c>
      <c r="H294" s="4" t="s">
        <v>289</v>
      </c>
      <c r="I294" s="4">
        <v>0.12</v>
      </c>
      <c r="J294" s="21">
        <v>330</v>
      </c>
      <c r="K294" s="21">
        <v>0</v>
      </c>
      <c r="L294" s="5">
        <v>0</v>
      </c>
      <c r="M294" s="4">
        <v>0.12</v>
      </c>
      <c r="N294" s="4"/>
      <c r="O294" s="5">
        <v>330</v>
      </c>
      <c r="P294" s="5"/>
      <c r="Q294" s="21">
        <v>39.6</v>
      </c>
      <c r="R294" s="21">
        <v>0</v>
      </c>
      <c r="S294" s="5">
        <f t="shared" si="19"/>
        <v>115813.11</v>
      </c>
      <c r="T294" cm="1">
        <f t="array" ref="T294">IF(OR(B294="MAL ALIMI", B294="ÜRETİM GİRİŞ"), MIN(I294, MAX(0, I294 + SUM(SUMIFS($I$1:I293, $C$1:C293, C294, $B$1:B293, {"MAL ALIMI","ÜRETİM GİRİŞ"})) - VLOOKUP(C294, 'STOK RAPORU'!$C$2:$I$1000, 4, 0))), 0)</f>
        <v>0</v>
      </c>
      <c r="U294" s="22">
        <f t="shared" si="16"/>
        <v>0</v>
      </c>
      <c r="V294">
        <f t="shared" si="17"/>
        <v>0</v>
      </c>
      <c r="W294" s="22">
        <f t="shared" si="18"/>
        <v>0</v>
      </c>
    </row>
    <row r="295" spans="1:23" hidden="1" x14ac:dyDescent="0.25">
      <c r="A295" s="3">
        <v>45955</v>
      </c>
      <c r="B295" s="3" t="s">
        <v>334</v>
      </c>
      <c r="C295" s="4" t="s">
        <v>98</v>
      </c>
      <c r="D295" s="4"/>
      <c r="E295" s="4"/>
      <c r="F295" s="4" t="s">
        <v>382</v>
      </c>
      <c r="G295" s="4" t="s">
        <v>336</v>
      </c>
      <c r="H295" s="4" t="s">
        <v>289</v>
      </c>
      <c r="I295" s="4">
        <v>6.4000000000000001E-2</v>
      </c>
      <c r="J295" s="21">
        <v>290</v>
      </c>
      <c r="K295" s="21">
        <v>0</v>
      </c>
      <c r="L295" s="5">
        <v>0</v>
      </c>
      <c r="M295" s="4">
        <v>6.4000000000000001E-2</v>
      </c>
      <c r="N295" s="4"/>
      <c r="O295" s="5">
        <v>290</v>
      </c>
      <c r="P295" s="5"/>
      <c r="Q295" s="21">
        <v>18.559999999999999</v>
      </c>
      <c r="R295" s="21">
        <v>0</v>
      </c>
      <c r="S295" s="5">
        <f t="shared" si="19"/>
        <v>115831.67</v>
      </c>
      <c r="T295" cm="1">
        <f t="array" ref="T295">IF(OR(B295="MAL ALIMI", B295="ÜRETİM GİRİŞ"), MIN(I295, MAX(0, I295 + SUM(SUMIFS($I$1:I294, $C$1:C294, C295, $B$1:B294, {"MAL ALIMI","ÜRETİM GİRİŞ"})) - VLOOKUP(C295, 'STOK RAPORU'!$C$2:$I$1000, 4, 0))), 0)</f>
        <v>0</v>
      </c>
      <c r="U295" s="22">
        <f t="shared" si="16"/>
        <v>0</v>
      </c>
      <c r="V295">
        <f t="shared" si="17"/>
        <v>0</v>
      </c>
      <c r="W295" s="22">
        <f t="shared" si="18"/>
        <v>0</v>
      </c>
    </row>
    <row r="296" spans="1:23" hidden="1" x14ac:dyDescent="0.25">
      <c r="A296" s="3">
        <v>45955</v>
      </c>
      <c r="B296" s="3" t="s">
        <v>334</v>
      </c>
      <c r="C296" s="4" t="s">
        <v>529</v>
      </c>
      <c r="D296" s="4"/>
      <c r="E296" s="4"/>
      <c r="F296" s="4" t="s">
        <v>382</v>
      </c>
      <c r="G296" s="4" t="s">
        <v>336</v>
      </c>
      <c r="H296" s="4" t="s">
        <v>289</v>
      </c>
      <c r="I296" s="4">
        <v>0.50800000000000001</v>
      </c>
      <c r="J296" s="21">
        <v>375</v>
      </c>
      <c r="K296" s="21">
        <v>0</v>
      </c>
      <c r="L296" s="5">
        <v>0</v>
      </c>
      <c r="M296" s="4">
        <v>0.50800000000000001</v>
      </c>
      <c r="N296" s="4"/>
      <c r="O296" s="5">
        <v>375</v>
      </c>
      <c r="P296" s="5"/>
      <c r="Q296" s="21">
        <v>190.5</v>
      </c>
      <c r="R296" s="21">
        <v>0</v>
      </c>
      <c r="S296" s="5">
        <f t="shared" si="19"/>
        <v>116022.17</v>
      </c>
      <c r="T296" cm="1">
        <f t="array" ref="T296">IF(OR(B296="MAL ALIMI", B296="ÜRETİM GİRİŞ"), MIN(I296, MAX(0, I296 + SUM(SUMIFS($I$1:I295, $C$1:C295, C296, $B$1:B295, {"MAL ALIMI","ÜRETİM GİRİŞ"})) - VLOOKUP(C296, 'STOK RAPORU'!$C$2:$I$1000, 4, 0))), 0)</f>
        <v>0</v>
      </c>
      <c r="U296" s="22">
        <f t="shared" si="16"/>
        <v>0</v>
      </c>
      <c r="V296">
        <f t="shared" si="17"/>
        <v>0</v>
      </c>
      <c r="W296" s="22">
        <f t="shared" si="18"/>
        <v>0</v>
      </c>
    </row>
    <row r="297" spans="1:23" hidden="1" x14ac:dyDescent="0.25">
      <c r="A297" s="3">
        <v>45955</v>
      </c>
      <c r="B297" s="3" t="s">
        <v>334</v>
      </c>
      <c r="C297" s="4" t="s">
        <v>156</v>
      </c>
      <c r="D297" s="4"/>
      <c r="E297" s="4"/>
      <c r="F297" s="4" t="s">
        <v>382</v>
      </c>
      <c r="G297" s="4" t="s">
        <v>336</v>
      </c>
      <c r="H297" s="4" t="s">
        <v>289</v>
      </c>
      <c r="I297" s="4">
        <v>0.85199999999999998</v>
      </c>
      <c r="J297" s="21">
        <v>180</v>
      </c>
      <c r="K297" s="21">
        <v>0</v>
      </c>
      <c r="L297" s="5">
        <v>0</v>
      </c>
      <c r="M297" s="4">
        <v>0.85199999999999998</v>
      </c>
      <c r="N297" s="4"/>
      <c r="O297" s="5">
        <v>180</v>
      </c>
      <c r="P297" s="5"/>
      <c r="Q297" s="21">
        <v>153.35999999999999</v>
      </c>
      <c r="R297" s="21">
        <v>0</v>
      </c>
      <c r="S297" s="5">
        <f t="shared" si="19"/>
        <v>116175.53</v>
      </c>
      <c r="T297" cm="1">
        <f t="array" ref="T297">IF(OR(B297="MAL ALIMI", B297="ÜRETİM GİRİŞ"), MIN(I297, MAX(0, I297 + SUM(SUMIFS($I$1:I296, $C$1:C296, C297, $B$1:B296, {"MAL ALIMI","ÜRETİM GİRİŞ"})) - VLOOKUP(C297, 'STOK RAPORU'!$C$2:$I$1000, 4, 0))), 0)</f>
        <v>0</v>
      </c>
      <c r="U297" s="22">
        <f t="shared" si="16"/>
        <v>0</v>
      </c>
      <c r="V297">
        <f t="shared" si="17"/>
        <v>0</v>
      </c>
      <c r="W297" s="22">
        <f t="shared" si="18"/>
        <v>0</v>
      </c>
    </row>
    <row r="298" spans="1:23" hidden="1" x14ac:dyDescent="0.25">
      <c r="A298" s="3">
        <v>45955</v>
      </c>
      <c r="B298" s="3" t="s">
        <v>334</v>
      </c>
      <c r="C298" s="4" t="s">
        <v>158</v>
      </c>
      <c r="D298" s="4"/>
      <c r="E298" s="4"/>
      <c r="F298" s="4" t="s">
        <v>382</v>
      </c>
      <c r="G298" s="4" t="s">
        <v>336</v>
      </c>
      <c r="H298" s="4" t="s">
        <v>289</v>
      </c>
      <c r="I298" s="4">
        <v>0.98399999999999999</v>
      </c>
      <c r="J298" s="21">
        <v>125</v>
      </c>
      <c r="K298" s="21">
        <v>0</v>
      </c>
      <c r="L298" s="5">
        <v>0</v>
      </c>
      <c r="M298" s="4">
        <v>0.98399999999999999</v>
      </c>
      <c r="N298" s="4"/>
      <c r="O298" s="5">
        <v>125</v>
      </c>
      <c r="P298" s="5"/>
      <c r="Q298" s="21">
        <v>123</v>
      </c>
      <c r="R298" s="21">
        <v>0</v>
      </c>
      <c r="S298" s="5">
        <f t="shared" si="19"/>
        <v>116298.53</v>
      </c>
      <c r="T298" cm="1">
        <f t="array" ref="T298">IF(OR(B298="MAL ALIMI", B298="ÜRETİM GİRİŞ"), MIN(I298, MAX(0, I298 + SUM(SUMIFS($I$1:I297, $C$1:C297, C298, $B$1:B297, {"MAL ALIMI","ÜRETİM GİRİŞ"})) - VLOOKUP(C298, 'STOK RAPORU'!$C$2:$I$1000, 4, 0))), 0)</f>
        <v>0</v>
      </c>
      <c r="U298" s="22">
        <f t="shared" si="16"/>
        <v>0</v>
      </c>
      <c r="V298">
        <f t="shared" si="17"/>
        <v>0</v>
      </c>
      <c r="W298" s="22">
        <f t="shared" si="18"/>
        <v>0</v>
      </c>
    </row>
    <row r="299" spans="1:23" hidden="1" x14ac:dyDescent="0.25">
      <c r="A299" s="3">
        <v>45955</v>
      </c>
      <c r="B299" s="3" t="s">
        <v>334</v>
      </c>
      <c r="C299" s="4" t="s">
        <v>160</v>
      </c>
      <c r="D299" s="4"/>
      <c r="E299" s="4"/>
      <c r="F299" s="4" t="s">
        <v>382</v>
      </c>
      <c r="G299" s="4" t="s">
        <v>336</v>
      </c>
      <c r="H299" s="4" t="s">
        <v>289</v>
      </c>
      <c r="I299" s="4">
        <v>1</v>
      </c>
      <c r="J299" s="21">
        <v>240</v>
      </c>
      <c r="K299" s="21">
        <v>0</v>
      </c>
      <c r="L299" s="5">
        <v>0</v>
      </c>
      <c r="M299" s="4">
        <v>1</v>
      </c>
      <c r="N299" s="4"/>
      <c r="O299" s="5">
        <v>240</v>
      </c>
      <c r="P299" s="5"/>
      <c r="Q299" s="21">
        <v>240</v>
      </c>
      <c r="R299" s="21">
        <v>0</v>
      </c>
      <c r="S299" s="5">
        <f t="shared" si="19"/>
        <v>116538.53</v>
      </c>
      <c r="T299" cm="1">
        <f t="array" ref="T299">IF(OR(B299="MAL ALIMI", B299="ÜRETİM GİRİŞ"), MIN(I299, MAX(0, I299 + SUM(SUMIFS($I$1:I298, $C$1:C298, C299, $B$1:B298, {"MAL ALIMI","ÜRETİM GİRİŞ"})) - VLOOKUP(C299, 'STOK RAPORU'!$C$2:$I$1000, 4, 0))), 0)</f>
        <v>0</v>
      </c>
      <c r="U299" s="22">
        <f t="shared" si="16"/>
        <v>0</v>
      </c>
      <c r="V299">
        <f t="shared" si="17"/>
        <v>0</v>
      </c>
      <c r="W299" s="22">
        <f t="shared" si="18"/>
        <v>0</v>
      </c>
    </row>
    <row r="300" spans="1:23" hidden="1" x14ac:dyDescent="0.25">
      <c r="A300" s="3">
        <v>45955</v>
      </c>
      <c r="B300" s="3" t="s">
        <v>334</v>
      </c>
      <c r="C300" s="4" t="s">
        <v>167</v>
      </c>
      <c r="D300" s="4"/>
      <c r="E300" s="4"/>
      <c r="F300" s="4" t="s">
        <v>382</v>
      </c>
      <c r="G300" s="4" t="s">
        <v>336</v>
      </c>
      <c r="H300" s="4" t="s">
        <v>289</v>
      </c>
      <c r="I300" s="4">
        <v>1</v>
      </c>
      <c r="J300" s="21">
        <v>200</v>
      </c>
      <c r="K300" s="21">
        <v>0</v>
      </c>
      <c r="L300" s="5">
        <v>0</v>
      </c>
      <c r="M300" s="4">
        <v>1</v>
      </c>
      <c r="N300" s="4"/>
      <c r="O300" s="5">
        <v>200</v>
      </c>
      <c r="P300" s="5"/>
      <c r="Q300" s="21">
        <v>200</v>
      </c>
      <c r="R300" s="21">
        <v>0</v>
      </c>
      <c r="S300" s="5">
        <f t="shared" si="19"/>
        <v>116738.53</v>
      </c>
      <c r="T300" cm="1">
        <f t="array" ref="T300">IF(OR(B300="MAL ALIMI", B300="ÜRETİM GİRİŞ"), MIN(I300, MAX(0, I300 + SUM(SUMIFS($I$1:I299, $C$1:C299, C300, $B$1:B299, {"MAL ALIMI","ÜRETİM GİRİŞ"})) - VLOOKUP(C300, 'STOK RAPORU'!$C$2:$I$1000, 4, 0))), 0)</f>
        <v>0</v>
      </c>
      <c r="U300" s="22">
        <f t="shared" si="16"/>
        <v>0</v>
      </c>
      <c r="V300">
        <f t="shared" si="17"/>
        <v>0</v>
      </c>
      <c r="W300" s="22">
        <f t="shared" si="18"/>
        <v>0</v>
      </c>
    </row>
    <row r="301" spans="1:23" hidden="1" x14ac:dyDescent="0.25">
      <c r="A301" s="3">
        <v>45955</v>
      </c>
      <c r="B301" s="3" t="s">
        <v>334</v>
      </c>
      <c r="C301" s="4" t="s">
        <v>162</v>
      </c>
      <c r="D301" s="4"/>
      <c r="E301" s="4"/>
      <c r="F301" s="4" t="s">
        <v>382</v>
      </c>
      <c r="G301" s="4" t="s">
        <v>336</v>
      </c>
      <c r="H301" s="4" t="s">
        <v>289</v>
      </c>
      <c r="I301" s="4">
        <v>1</v>
      </c>
      <c r="J301" s="21">
        <v>260</v>
      </c>
      <c r="K301" s="21">
        <v>0</v>
      </c>
      <c r="L301" s="5">
        <v>0</v>
      </c>
      <c r="M301" s="4">
        <v>1</v>
      </c>
      <c r="N301" s="4"/>
      <c r="O301" s="5">
        <v>260</v>
      </c>
      <c r="P301" s="5"/>
      <c r="Q301" s="21">
        <v>260</v>
      </c>
      <c r="R301" s="21">
        <v>0</v>
      </c>
      <c r="S301" s="5">
        <f t="shared" si="19"/>
        <v>116998.53</v>
      </c>
      <c r="T301" cm="1">
        <f t="array" ref="T301">IF(OR(B301="MAL ALIMI", B301="ÜRETİM GİRİŞ"), MIN(I301, MAX(0, I301 + SUM(SUMIFS($I$1:I300, $C$1:C300, C301, $B$1:B300, {"MAL ALIMI","ÜRETİM GİRİŞ"})) - VLOOKUP(C301, 'STOK RAPORU'!$C$2:$I$1000, 4, 0))), 0)</f>
        <v>0</v>
      </c>
      <c r="U301" s="22">
        <f t="shared" si="16"/>
        <v>0</v>
      </c>
      <c r="V301">
        <f t="shared" si="17"/>
        <v>0</v>
      </c>
      <c r="W301" s="22">
        <f t="shared" si="18"/>
        <v>0</v>
      </c>
    </row>
    <row r="302" spans="1:23" hidden="1" x14ac:dyDescent="0.25">
      <c r="A302" s="3">
        <v>45955</v>
      </c>
      <c r="B302" s="3" t="s">
        <v>1027</v>
      </c>
      <c r="C302" s="4"/>
      <c r="D302" s="4" t="s">
        <v>116</v>
      </c>
      <c r="E302" s="4"/>
      <c r="F302" s="4" t="s">
        <v>382</v>
      </c>
      <c r="G302" s="4" t="s">
        <v>336</v>
      </c>
      <c r="H302" s="4" t="s">
        <v>289</v>
      </c>
      <c r="I302" s="4">
        <v>1</v>
      </c>
      <c r="J302" s="21">
        <v>320</v>
      </c>
      <c r="K302" s="21">
        <v>0</v>
      </c>
      <c r="L302" s="5">
        <v>0</v>
      </c>
      <c r="M302" s="4">
        <v>1</v>
      </c>
      <c r="N302" s="4"/>
      <c r="O302" s="5">
        <v>320</v>
      </c>
      <c r="P302" s="5"/>
      <c r="Q302" s="21">
        <v>320</v>
      </c>
      <c r="R302" s="21">
        <v>0</v>
      </c>
      <c r="S302" s="5">
        <f t="shared" si="19"/>
        <v>117318.53</v>
      </c>
      <c r="T302" cm="1">
        <f t="array" ref="T302">IF(OR(B302="MAL ALIMI", B302="ÜRETİM GİRİŞ"), MIN(I302, MAX(0, I302 + SUM(SUMIFS($I$1:I301, $C$1:C301, C302, $B$1:B301, {"MAL ALIMI","ÜRETİM GİRİŞ"})) - VLOOKUP(C302, 'STOK RAPORU'!$C$2:$I$1000, 4, 0))), 0)</f>
        <v>0</v>
      </c>
      <c r="U302" s="22">
        <f t="shared" si="16"/>
        <v>0</v>
      </c>
      <c r="V302">
        <f t="shared" si="17"/>
        <v>0</v>
      </c>
      <c r="W302" s="22">
        <f t="shared" si="18"/>
        <v>0</v>
      </c>
    </row>
    <row r="303" spans="1:23" hidden="1" x14ac:dyDescent="0.25">
      <c r="A303" s="3">
        <v>45955</v>
      </c>
      <c r="B303" s="3" t="s">
        <v>334</v>
      </c>
      <c r="C303" s="4" t="s">
        <v>158</v>
      </c>
      <c r="D303" s="4"/>
      <c r="E303" s="4"/>
      <c r="F303" s="4" t="s">
        <v>383</v>
      </c>
      <c r="G303" s="4" t="s">
        <v>336</v>
      </c>
      <c r="H303" s="4" t="s">
        <v>289</v>
      </c>
      <c r="I303" s="4">
        <v>0.71599999999999997</v>
      </c>
      <c r="J303" s="21">
        <v>125</v>
      </c>
      <c r="K303" s="21">
        <v>0</v>
      </c>
      <c r="L303" s="5">
        <v>0</v>
      </c>
      <c r="M303" s="4">
        <v>0.71599999999999997</v>
      </c>
      <c r="N303" s="4"/>
      <c r="O303" s="5">
        <v>125</v>
      </c>
      <c r="P303" s="5"/>
      <c r="Q303" s="21">
        <v>89.5</v>
      </c>
      <c r="R303" s="21">
        <v>0</v>
      </c>
      <c r="S303" s="5">
        <f t="shared" si="19"/>
        <v>117408.03</v>
      </c>
      <c r="T303" cm="1">
        <f t="array" ref="T303">IF(OR(B303="MAL ALIMI", B303="ÜRETİM GİRİŞ"), MIN(I303, MAX(0, I303 + SUM(SUMIFS($I$1:I302, $C$1:C302, C303, $B$1:B302, {"MAL ALIMI","ÜRETİM GİRİŞ"})) - VLOOKUP(C303, 'STOK RAPORU'!$C$2:$I$1000, 4, 0))), 0)</f>
        <v>0</v>
      </c>
      <c r="U303" s="22">
        <f t="shared" si="16"/>
        <v>0</v>
      </c>
      <c r="V303">
        <f t="shared" si="17"/>
        <v>0</v>
      </c>
      <c r="W303" s="22">
        <f t="shared" si="18"/>
        <v>0</v>
      </c>
    </row>
    <row r="304" spans="1:23" hidden="1" x14ac:dyDescent="0.25">
      <c r="A304" s="3">
        <v>45955</v>
      </c>
      <c r="B304" s="3" t="s">
        <v>334</v>
      </c>
      <c r="C304" s="4" t="s">
        <v>156</v>
      </c>
      <c r="D304" s="4"/>
      <c r="E304" s="4"/>
      <c r="F304" s="4" t="s">
        <v>383</v>
      </c>
      <c r="G304" s="4" t="s">
        <v>336</v>
      </c>
      <c r="H304" s="4" t="s">
        <v>289</v>
      </c>
      <c r="I304" s="4">
        <v>0.68400000000000005</v>
      </c>
      <c r="J304" s="21">
        <v>180</v>
      </c>
      <c r="K304" s="21">
        <v>0</v>
      </c>
      <c r="L304" s="5">
        <v>0</v>
      </c>
      <c r="M304" s="4">
        <v>0.68400000000000005</v>
      </c>
      <c r="N304" s="4"/>
      <c r="O304" s="5">
        <v>180</v>
      </c>
      <c r="P304" s="5"/>
      <c r="Q304" s="21">
        <v>123.12</v>
      </c>
      <c r="R304" s="21">
        <v>0</v>
      </c>
      <c r="S304" s="5">
        <f t="shared" si="19"/>
        <v>117531.15</v>
      </c>
      <c r="T304" cm="1">
        <f t="array" ref="T304">IF(OR(B304="MAL ALIMI", B304="ÜRETİM GİRİŞ"), MIN(I304, MAX(0, I304 + SUM(SUMIFS($I$1:I303, $C$1:C303, C304, $B$1:B303, {"MAL ALIMI","ÜRETİM GİRİŞ"})) - VLOOKUP(C304, 'STOK RAPORU'!$C$2:$I$1000, 4, 0))), 0)</f>
        <v>0</v>
      </c>
      <c r="U304" s="22">
        <f t="shared" si="16"/>
        <v>0</v>
      </c>
      <c r="V304">
        <f t="shared" si="17"/>
        <v>0</v>
      </c>
      <c r="W304" s="22">
        <f t="shared" si="18"/>
        <v>0</v>
      </c>
    </row>
    <row r="305" spans="1:23" hidden="1" x14ac:dyDescent="0.25">
      <c r="A305" s="3">
        <v>45955</v>
      </c>
      <c r="B305" s="3" t="s">
        <v>334</v>
      </c>
      <c r="C305" s="4" t="s">
        <v>158</v>
      </c>
      <c r="D305" s="4"/>
      <c r="E305" s="4"/>
      <c r="F305" s="4" t="s">
        <v>384</v>
      </c>
      <c r="G305" s="4" t="s">
        <v>336</v>
      </c>
      <c r="H305" s="4" t="s">
        <v>289</v>
      </c>
      <c r="I305" s="4">
        <v>0.65</v>
      </c>
      <c r="J305" s="21">
        <v>125</v>
      </c>
      <c r="K305" s="21">
        <v>0</v>
      </c>
      <c r="L305" s="5">
        <v>0</v>
      </c>
      <c r="M305" s="4">
        <v>0.65</v>
      </c>
      <c r="N305" s="4"/>
      <c r="O305" s="5">
        <v>125</v>
      </c>
      <c r="P305" s="5"/>
      <c r="Q305" s="21">
        <v>81.25</v>
      </c>
      <c r="R305" s="21">
        <v>0</v>
      </c>
      <c r="S305" s="5">
        <f t="shared" si="19"/>
        <v>117612.4</v>
      </c>
      <c r="T305" cm="1">
        <f t="array" ref="T305">IF(OR(B305="MAL ALIMI", B305="ÜRETİM GİRİŞ"), MIN(I305, MAX(0, I305 + SUM(SUMIFS($I$1:I304, $C$1:C304, C305, $B$1:B304, {"MAL ALIMI","ÜRETİM GİRİŞ"})) - VLOOKUP(C305, 'STOK RAPORU'!$C$2:$I$1000, 4, 0))), 0)</f>
        <v>0</v>
      </c>
      <c r="U305" s="22">
        <f t="shared" si="16"/>
        <v>0</v>
      </c>
      <c r="V305">
        <f t="shared" si="17"/>
        <v>0</v>
      </c>
      <c r="W305" s="22">
        <f t="shared" si="18"/>
        <v>0</v>
      </c>
    </row>
    <row r="306" spans="1:23" hidden="1" x14ac:dyDescent="0.25">
      <c r="A306" s="3">
        <v>45955</v>
      </c>
      <c r="B306" s="3" t="s">
        <v>334</v>
      </c>
      <c r="C306" s="4" t="s">
        <v>167</v>
      </c>
      <c r="D306" s="4"/>
      <c r="E306" s="4"/>
      <c r="F306" s="4" t="s">
        <v>384</v>
      </c>
      <c r="G306" s="4" t="s">
        <v>336</v>
      </c>
      <c r="H306" s="4" t="s">
        <v>289</v>
      </c>
      <c r="I306" s="4">
        <v>1</v>
      </c>
      <c r="J306" s="21">
        <v>200</v>
      </c>
      <c r="K306" s="21">
        <v>0</v>
      </c>
      <c r="L306" s="5">
        <v>0</v>
      </c>
      <c r="M306" s="4">
        <v>1</v>
      </c>
      <c r="N306" s="4"/>
      <c r="O306" s="5">
        <v>200</v>
      </c>
      <c r="P306" s="5"/>
      <c r="Q306" s="21">
        <v>200</v>
      </c>
      <c r="R306" s="21">
        <v>0</v>
      </c>
      <c r="S306" s="5">
        <f t="shared" si="19"/>
        <v>117812.4</v>
      </c>
      <c r="T306" cm="1">
        <f t="array" ref="T306">IF(OR(B306="MAL ALIMI", B306="ÜRETİM GİRİŞ"), MIN(I306, MAX(0, I306 + SUM(SUMIFS($I$1:I305, $C$1:C305, C306, $B$1:B305, {"MAL ALIMI","ÜRETİM GİRİŞ"})) - VLOOKUP(C306, 'STOK RAPORU'!$C$2:$I$1000, 4, 0))), 0)</f>
        <v>0</v>
      </c>
      <c r="U306" s="22">
        <f t="shared" si="16"/>
        <v>0</v>
      </c>
      <c r="V306">
        <f t="shared" si="17"/>
        <v>0</v>
      </c>
      <c r="W306" s="22">
        <f t="shared" si="18"/>
        <v>0</v>
      </c>
    </row>
    <row r="307" spans="1:23" hidden="1" x14ac:dyDescent="0.25">
      <c r="A307" s="3">
        <v>45955</v>
      </c>
      <c r="B307" s="3" t="s">
        <v>334</v>
      </c>
      <c r="C307" s="4" t="s">
        <v>259</v>
      </c>
      <c r="D307" s="4"/>
      <c r="E307" s="4" t="s">
        <v>921</v>
      </c>
      <c r="F307" s="4" t="s">
        <v>385</v>
      </c>
      <c r="G307" s="4" t="s">
        <v>336</v>
      </c>
      <c r="H307" s="4" t="s">
        <v>380</v>
      </c>
      <c r="I307" s="4">
        <v>2</v>
      </c>
      <c r="J307" s="21">
        <v>100</v>
      </c>
      <c r="K307" s="35">
        <v>200</v>
      </c>
      <c r="L307" s="5">
        <v>0</v>
      </c>
      <c r="M307" s="4">
        <v>2</v>
      </c>
      <c r="N307" s="4"/>
      <c r="O307" s="5">
        <v>100</v>
      </c>
      <c r="P307" s="5"/>
      <c r="Q307" s="21">
        <v>0</v>
      </c>
      <c r="R307" s="21">
        <v>0</v>
      </c>
      <c r="S307" s="5">
        <f t="shared" si="19"/>
        <v>117812.4</v>
      </c>
      <c r="T307" cm="1">
        <f t="array" ref="T307">IF(OR(B307="MAL ALIMI", B307="ÜRETİM GİRİŞ"), MIN(I307, MAX(0, I307 + SUM(SUMIFS($I$1:I306, $C$1:C306, C307, $B$1:B306, {"MAL ALIMI","ÜRETİM GİRİŞ"})) - VLOOKUP(C307, 'STOK RAPORU'!$C$2:$I$1000, 4, 0))), 0)</f>
        <v>0</v>
      </c>
      <c r="U307" s="22">
        <f t="shared" si="16"/>
        <v>0</v>
      </c>
      <c r="V307">
        <f t="shared" si="17"/>
        <v>0</v>
      </c>
      <c r="W307" s="22">
        <f t="shared" si="18"/>
        <v>0</v>
      </c>
    </row>
    <row r="308" spans="1:23" hidden="1" x14ac:dyDescent="0.25">
      <c r="A308" s="3">
        <v>45956</v>
      </c>
      <c r="B308" s="3" t="s">
        <v>334</v>
      </c>
      <c r="C308" s="4" t="s">
        <v>133</v>
      </c>
      <c r="D308" s="4"/>
      <c r="E308" s="4"/>
      <c r="F308" s="4" t="s">
        <v>386</v>
      </c>
      <c r="G308" s="4" t="s">
        <v>336</v>
      </c>
      <c r="H308" s="4" t="s">
        <v>289</v>
      </c>
      <c r="I308" s="4">
        <v>0.186</v>
      </c>
      <c r="J308" s="21">
        <v>360</v>
      </c>
      <c r="K308" s="21">
        <v>0</v>
      </c>
      <c r="L308" s="5">
        <v>0</v>
      </c>
      <c r="M308" s="4">
        <v>0.186</v>
      </c>
      <c r="N308" s="4"/>
      <c r="O308" s="5">
        <v>360</v>
      </c>
      <c r="P308" s="5"/>
      <c r="Q308" s="21">
        <v>66.959999999999994</v>
      </c>
      <c r="R308" s="21">
        <v>0</v>
      </c>
      <c r="S308" s="5">
        <f t="shared" si="19"/>
        <v>117879.36</v>
      </c>
      <c r="T308" cm="1">
        <f t="array" ref="T308">IF(OR(B308="MAL ALIMI", B308="ÜRETİM GİRİŞ"), MIN(I308, MAX(0, I308 + SUM(SUMIFS($I$1:I307, $C$1:C307, C308, $B$1:B307, {"MAL ALIMI","ÜRETİM GİRİŞ"})) - VLOOKUP(C308, 'STOK RAPORU'!$C$2:$I$1000, 4, 0))), 0)</f>
        <v>0</v>
      </c>
      <c r="U308" s="22">
        <f t="shared" si="16"/>
        <v>0</v>
      </c>
      <c r="V308">
        <f t="shared" si="17"/>
        <v>0</v>
      </c>
      <c r="W308" s="22">
        <f t="shared" si="18"/>
        <v>0</v>
      </c>
    </row>
    <row r="309" spans="1:23" hidden="1" x14ac:dyDescent="0.25">
      <c r="A309" s="3">
        <v>45956</v>
      </c>
      <c r="B309" s="3" t="s">
        <v>334</v>
      </c>
      <c r="C309" s="4" t="s">
        <v>60</v>
      </c>
      <c r="D309" s="4"/>
      <c r="E309" s="4" t="s">
        <v>921</v>
      </c>
      <c r="F309" s="4" t="s">
        <v>387</v>
      </c>
      <c r="G309" s="4" t="s">
        <v>336</v>
      </c>
      <c r="H309" s="4" t="s">
        <v>380</v>
      </c>
      <c r="I309" s="4">
        <v>0.05</v>
      </c>
      <c r="J309" s="21">
        <v>1100</v>
      </c>
      <c r="K309" s="35">
        <v>55</v>
      </c>
      <c r="L309" s="5">
        <v>0</v>
      </c>
      <c r="M309" s="4">
        <v>0.05</v>
      </c>
      <c r="N309" s="4"/>
      <c r="O309" s="5">
        <v>1100</v>
      </c>
      <c r="P309" s="5"/>
      <c r="Q309" s="21">
        <v>0</v>
      </c>
      <c r="R309" s="21">
        <v>0</v>
      </c>
      <c r="S309" s="5">
        <f t="shared" si="19"/>
        <v>117879.36</v>
      </c>
      <c r="T309" cm="1">
        <f t="array" ref="T309">IF(OR(B309="MAL ALIMI", B309="ÜRETİM GİRİŞ"), MIN(I309, MAX(0, I309 + SUM(SUMIFS($I$1:I308, $C$1:C308, C309, $B$1:B308, {"MAL ALIMI","ÜRETİM GİRİŞ"})) - VLOOKUP(C309, 'STOK RAPORU'!$C$2:$I$1000, 4, 0))), 0)</f>
        <v>0</v>
      </c>
      <c r="U309" s="22">
        <f t="shared" si="16"/>
        <v>0</v>
      </c>
      <c r="V309">
        <f t="shared" si="17"/>
        <v>0</v>
      </c>
      <c r="W309" s="22">
        <f t="shared" si="18"/>
        <v>0</v>
      </c>
    </row>
    <row r="310" spans="1:23" hidden="1" x14ac:dyDescent="0.25">
      <c r="A310" s="3">
        <v>45956</v>
      </c>
      <c r="B310" s="3" t="s">
        <v>334</v>
      </c>
      <c r="C310" s="4" t="s">
        <v>529</v>
      </c>
      <c r="D310" s="4"/>
      <c r="E310" s="4" t="s">
        <v>921</v>
      </c>
      <c r="F310" s="4" t="s">
        <v>387</v>
      </c>
      <c r="G310" s="4" t="s">
        <v>336</v>
      </c>
      <c r="H310" s="4" t="s">
        <v>380</v>
      </c>
      <c r="I310" s="4">
        <v>0.1</v>
      </c>
      <c r="J310" s="21">
        <v>625</v>
      </c>
      <c r="K310" s="35">
        <v>62.5</v>
      </c>
      <c r="L310" s="5">
        <v>0</v>
      </c>
      <c r="M310" s="4">
        <v>0.1</v>
      </c>
      <c r="N310" s="4"/>
      <c r="O310" s="5">
        <v>625</v>
      </c>
      <c r="P310" s="5"/>
      <c r="Q310" s="21">
        <v>0</v>
      </c>
      <c r="R310" s="21">
        <v>0</v>
      </c>
      <c r="S310" s="5">
        <f t="shared" si="19"/>
        <v>117879.36</v>
      </c>
      <c r="T310" cm="1">
        <f t="array" ref="T310">IF(OR(B310="MAL ALIMI", B310="ÜRETİM GİRİŞ"), MIN(I310, MAX(0, I310 + SUM(SUMIFS($I$1:I309, $C$1:C309, C310, $B$1:B309, {"MAL ALIMI","ÜRETİM GİRİŞ"})) - VLOOKUP(C310, 'STOK RAPORU'!$C$2:$I$1000, 4, 0))), 0)</f>
        <v>0</v>
      </c>
      <c r="U310" s="22">
        <f t="shared" si="16"/>
        <v>0</v>
      </c>
      <c r="V310">
        <f t="shared" si="17"/>
        <v>0</v>
      </c>
      <c r="W310" s="22">
        <f t="shared" si="18"/>
        <v>0</v>
      </c>
    </row>
    <row r="311" spans="1:23" hidden="1" x14ac:dyDescent="0.25">
      <c r="A311" s="3">
        <v>45956</v>
      </c>
      <c r="B311" s="3" t="s">
        <v>334</v>
      </c>
      <c r="C311" s="4" t="s">
        <v>238</v>
      </c>
      <c r="D311" s="4"/>
      <c r="E311" s="4"/>
      <c r="F311" s="4" t="s">
        <v>388</v>
      </c>
      <c r="G311" s="4" t="s">
        <v>336</v>
      </c>
      <c r="H311" s="4" t="s">
        <v>289</v>
      </c>
      <c r="I311" s="4">
        <v>0.254</v>
      </c>
      <c r="J311" s="21">
        <v>810</v>
      </c>
      <c r="K311" s="21">
        <v>0</v>
      </c>
      <c r="L311" s="5">
        <v>0</v>
      </c>
      <c r="M311" s="4">
        <v>0.254</v>
      </c>
      <c r="N311" s="4"/>
      <c r="O311" s="5">
        <v>810</v>
      </c>
      <c r="P311" s="5"/>
      <c r="Q311" s="21">
        <v>205.74</v>
      </c>
      <c r="R311" s="21">
        <v>0</v>
      </c>
      <c r="S311" s="5">
        <f t="shared" si="19"/>
        <v>118085.1</v>
      </c>
      <c r="T311" cm="1">
        <f t="array" ref="T311">IF(OR(B311="MAL ALIMI", B311="ÜRETİM GİRİŞ"), MIN(I311, MAX(0, I311 + SUM(SUMIFS($I$1:I310, $C$1:C310, C311, $B$1:B310, {"MAL ALIMI","ÜRETİM GİRİŞ"})) - VLOOKUP(C311, 'STOK RAPORU'!$C$2:$I$1000, 4, 0))), 0)</f>
        <v>0</v>
      </c>
      <c r="U311" s="22">
        <f t="shared" si="16"/>
        <v>0</v>
      </c>
      <c r="V311">
        <f t="shared" si="17"/>
        <v>0</v>
      </c>
      <c r="W311" s="22">
        <f t="shared" si="18"/>
        <v>0</v>
      </c>
    </row>
    <row r="312" spans="1:23" hidden="1" x14ac:dyDescent="0.25">
      <c r="A312" s="3">
        <v>45956</v>
      </c>
      <c r="B312" s="3" t="s">
        <v>334</v>
      </c>
      <c r="C312" s="4" t="s">
        <v>523</v>
      </c>
      <c r="D312" s="4"/>
      <c r="E312" s="4"/>
      <c r="F312" s="4" t="s">
        <v>388</v>
      </c>
      <c r="G312" s="4" t="s">
        <v>336</v>
      </c>
      <c r="H312" s="4" t="s">
        <v>289</v>
      </c>
      <c r="I312" s="4">
        <v>0.26200000000000001</v>
      </c>
      <c r="J312" s="21">
        <v>660</v>
      </c>
      <c r="K312" s="21">
        <v>0</v>
      </c>
      <c r="L312" s="5">
        <v>0</v>
      </c>
      <c r="M312" s="4">
        <v>0.26200000000000001</v>
      </c>
      <c r="N312" s="4"/>
      <c r="O312" s="5">
        <v>660</v>
      </c>
      <c r="P312" s="5"/>
      <c r="Q312" s="21">
        <v>172.92000000000002</v>
      </c>
      <c r="R312" s="21">
        <v>0</v>
      </c>
      <c r="S312" s="5">
        <f t="shared" si="19"/>
        <v>118258.02</v>
      </c>
      <c r="T312" cm="1">
        <f t="array" ref="T312">IF(OR(B312="MAL ALIMI", B312="ÜRETİM GİRİŞ"), MIN(I312, MAX(0, I312 + SUM(SUMIFS($I$1:I311, $C$1:C311, C312, $B$1:B311, {"MAL ALIMI","ÜRETİM GİRİŞ"})) - VLOOKUP(C312, 'STOK RAPORU'!$C$2:$I$1000, 4, 0))), 0)</f>
        <v>0</v>
      </c>
      <c r="U312" s="22">
        <f t="shared" si="16"/>
        <v>0</v>
      </c>
      <c r="V312">
        <f t="shared" si="17"/>
        <v>0</v>
      </c>
      <c r="W312" s="22">
        <f t="shared" si="18"/>
        <v>0</v>
      </c>
    </row>
    <row r="313" spans="1:23" hidden="1" x14ac:dyDescent="0.25">
      <c r="A313" s="3">
        <v>45956</v>
      </c>
      <c r="B313" s="3" t="s">
        <v>334</v>
      </c>
      <c r="C313" s="4" t="s">
        <v>224</v>
      </c>
      <c r="D313" s="4"/>
      <c r="E313" s="4"/>
      <c r="F313" s="4" t="s">
        <v>388</v>
      </c>
      <c r="G313" s="4" t="s">
        <v>336</v>
      </c>
      <c r="H313" s="4" t="s">
        <v>289</v>
      </c>
      <c r="I313" s="4">
        <v>0.27800000000000002</v>
      </c>
      <c r="J313" s="21">
        <v>450</v>
      </c>
      <c r="K313" s="21">
        <v>0</v>
      </c>
      <c r="L313" s="5">
        <v>0</v>
      </c>
      <c r="M313" s="4">
        <v>0.27800000000000002</v>
      </c>
      <c r="N313" s="4"/>
      <c r="O313" s="5">
        <v>450</v>
      </c>
      <c r="P313" s="5"/>
      <c r="Q313" s="21">
        <v>125.10000000000001</v>
      </c>
      <c r="R313" s="21">
        <v>0</v>
      </c>
      <c r="S313" s="5">
        <f t="shared" si="19"/>
        <v>118383.12000000001</v>
      </c>
      <c r="T313" cm="1">
        <f t="array" ref="T313">IF(OR(B313="MAL ALIMI", B313="ÜRETİM GİRİŞ"), MIN(I313, MAX(0, I313 + SUM(SUMIFS($I$1:I312, $C$1:C312, C313, $B$1:B312, {"MAL ALIMI","ÜRETİM GİRİŞ"})) - VLOOKUP(C313, 'STOK RAPORU'!$C$2:$I$1000, 4, 0))), 0)</f>
        <v>0</v>
      </c>
      <c r="U313" s="22">
        <f t="shared" si="16"/>
        <v>0</v>
      </c>
      <c r="V313">
        <f t="shared" si="17"/>
        <v>0</v>
      </c>
      <c r="W313" s="22">
        <f t="shared" si="18"/>
        <v>0</v>
      </c>
    </row>
    <row r="314" spans="1:23" hidden="1" x14ac:dyDescent="0.25">
      <c r="A314" s="3">
        <v>45956</v>
      </c>
      <c r="B314" s="3" t="s">
        <v>334</v>
      </c>
      <c r="C314" s="4" t="s">
        <v>529</v>
      </c>
      <c r="D314" s="4"/>
      <c r="E314" s="4"/>
      <c r="F314" s="4" t="s">
        <v>388</v>
      </c>
      <c r="G314" s="4" t="s">
        <v>336</v>
      </c>
      <c r="H314" s="4" t="s">
        <v>289</v>
      </c>
      <c r="I314" s="4">
        <v>0.5</v>
      </c>
      <c r="J314" s="21">
        <v>625</v>
      </c>
      <c r="K314" s="21">
        <v>0</v>
      </c>
      <c r="L314" s="5">
        <v>0</v>
      </c>
      <c r="M314" s="4">
        <v>0.5</v>
      </c>
      <c r="N314" s="4"/>
      <c r="O314" s="5">
        <v>625</v>
      </c>
      <c r="P314" s="5"/>
      <c r="Q314" s="21">
        <v>312.5</v>
      </c>
      <c r="R314" s="21">
        <v>0</v>
      </c>
      <c r="S314" s="5">
        <f t="shared" si="19"/>
        <v>118695.62000000001</v>
      </c>
      <c r="T314" cm="1">
        <f t="array" ref="T314">IF(OR(B314="MAL ALIMI", B314="ÜRETİM GİRİŞ"), MIN(I314, MAX(0, I314 + SUM(SUMIFS($I$1:I313, $C$1:C313, C314, $B$1:B313, {"MAL ALIMI","ÜRETİM GİRİŞ"})) - VLOOKUP(C314, 'STOK RAPORU'!$C$2:$I$1000, 4, 0))), 0)</f>
        <v>0</v>
      </c>
      <c r="U314" s="22">
        <f t="shared" si="16"/>
        <v>0</v>
      </c>
      <c r="V314">
        <f t="shared" si="17"/>
        <v>0</v>
      </c>
      <c r="W314" s="22">
        <f t="shared" si="18"/>
        <v>0</v>
      </c>
    </row>
    <row r="315" spans="1:23" hidden="1" x14ac:dyDescent="0.25">
      <c r="A315" s="3">
        <v>45956</v>
      </c>
      <c r="B315" s="3" t="s">
        <v>285</v>
      </c>
      <c r="C315" s="4"/>
      <c r="D315" s="4" t="s">
        <v>114</v>
      </c>
      <c r="E315" s="4"/>
      <c r="F315" s="4" t="s">
        <v>388</v>
      </c>
      <c r="G315" s="4" t="s">
        <v>336</v>
      </c>
      <c r="H315" s="4" t="s">
        <v>289</v>
      </c>
      <c r="I315" s="4">
        <v>1</v>
      </c>
      <c r="J315" s="21">
        <v>16.260000000000002</v>
      </c>
      <c r="K315" s="21">
        <v>0</v>
      </c>
      <c r="L315" s="5">
        <v>0</v>
      </c>
      <c r="M315" s="4"/>
      <c r="N315" s="4">
        <v>1</v>
      </c>
      <c r="O315" s="5"/>
      <c r="P315" s="5">
        <v>16.260000000000002</v>
      </c>
      <c r="Q315" s="21">
        <v>0</v>
      </c>
      <c r="R315" s="21">
        <v>16.260000000000002</v>
      </c>
      <c r="S315" s="5">
        <f t="shared" si="19"/>
        <v>118679.36000000002</v>
      </c>
      <c r="T315" cm="1">
        <f t="array" ref="T315">IF(OR(B315="MAL ALIMI", B315="ÜRETİM GİRİŞ"), MIN(I315, MAX(0, I315 + SUM(SUMIFS($I$1:I314, $C$1:C314, C315, $B$1:B314, {"MAL ALIMI","ÜRETİM GİRİŞ"})) - VLOOKUP(C315, 'STOK RAPORU'!$C$2:$I$1000, 4, 0))), 0)</f>
        <v>0</v>
      </c>
      <c r="U315" s="22">
        <f t="shared" si="16"/>
        <v>0</v>
      </c>
      <c r="V315">
        <f t="shared" si="17"/>
        <v>0</v>
      </c>
      <c r="W315" s="22">
        <f t="shared" si="18"/>
        <v>0</v>
      </c>
    </row>
    <row r="316" spans="1:23" hidden="1" x14ac:dyDescent="0.25">
      <c r="A316" s="3">
        <v>45956</v>
      </c>
      <c r="B316" s="3" t="s">
        <v>334</v>
      </c>
      <c r="C316" s="4" t="s">
        <v>209</v>
      </c>
      <c r="D316" s="4"/>
      <c r="E316" s="4"/>
      <c r="F316" s="4" t="s">
        <v>389</v>
      </c>
      <c r="G316" s="4" t="s">
        <v>336</v>
      </c>
      <c r="H316" s="4" t="s">
        <v>289</v>
      </c>
      <c r="I316" s="4">
        <v>0.05</v>
      </c>
      <c r="J316" s="21">
        <v>2500</v>
      </c>
      <c r="K316" s="21">
        <v>0</v>
      </c>
      <c r="L316" s="5">
        <v>0</v>
      </c>
      <c r="M316" s="4">
        <v>0.05</v>
      </c>
      <c r="N316" s="4"/>
      <c r="O316" s="5">
        <v>2500</v>
      </c>
      <c r="P316" s="5"/>
      <c r="Q316" s="21">
        <v>125</v>
      </c>
      <c r="R316" s="21">
        <v>0</v>
      </c>
      <c r="S316" s="5">
        <f t="shared" si="19"/>
        <v>118804.36000000002</v>
      </c>
      <c r="T316" cm="1">
        <f t="array" ref="T316">IF(OR(B316="MAL ALIMI", B316="ÜRETİM GİRİŞ"), MIN(I316, MAX(0, I316 + SUM(SUMIFS($I$1:I315, $C$1:C315, C316, $B$1:B315, {"MAL ALIMI","ÜRETİM GİRİŞ"})) - VLOOKUP(C316, 'STOK RAPORU'!$C$2:$I$1000, 4, 0))), 0)</f>
        <v>0</v>
      </c>
      <c r="U316" s="22">
        <f t="shared" si="16"/>
        <v>0</v>
      </c>
      <c r="V316">
        <f t="shared" si="17"/>
        <v>0</v>
      </c>
      <c r="W316" s="22">
        <f t="shared" si="18"/>
        <v>0</v>
      </c>
    </row>
    <row r="317" spans="1:23" hidden="1" x14ac:dyDescent="0.25">
      <c r="A317" s="3">
        <v>45956</v>
      </c>
      <c r="B317" s="3" t="s">
        <v>334</v>
      </c>
      <c r="C317" s="4" t="s">
        <v>265</v>
      </c>
      <c r="D317" s="4"/>
      <c r="E317" s="4"/>
      <c r="F317" s="4" t="s">
        <v>389</v>
      </c>
      <c r="G317" s="4" t="s">
        <v>336</v>
      </c>
      <c r="H317" s="4" t="s">
        <v>289</v>
      </c>
      <c r="I317" s="4">
        <v>1</v>
      </c>
      <c r="J317" s="21">
        <v>140</v>
      </c>
      <c r="K317" s="21">
        <v>0</v>
      </c>
      <c r="L317" s="5">
        <v>0</v>
      </c>
      <c r="M317" s="4">
        <v>1</v>
      </c>
      <c r="N317" s="4"/>
      <c r="O317" s="5">
        <v>140</v>
      </c>
      <c r="P317" s="5"/>
      <c r="Q317" s="21">
        <v>140</v>
      </c>
      <c r="R317" s="21">
        <v>0</v>
      </c>
      <c r="S317" s="5">
        <f t="shared" si="19"/>
        <v>118944.36000000002</v>
      </c>
      <c r="T317" cm="1">
        <f t="array" ref="T317">IF(OR(B317="MAL ALIMI", B317="ÜRETİM GİRİŞ"), MIN(I317, MAX(0, I317 + SUM(SUMIFS($I$1:I316, $C$1:C316, C317, $B$1:B316, {"MAL ALIMI","ÜRETİM GİRİŞ"})) - VLOOKUP(C317, 'STOK RAPORU'!$C$2:$I$1000, 4, 0))), 0)</f>
        <v>0</v>
      </c>
      <c r="U317" s="22">
        <f t="shared" si="16"/>
        <v>0</v>
      </c>
      <c r="V317">
        <f t="shared" si="17"/>
        <v>0</v>
      </c>
      <c r="W317" s="22">
        <f t="shared" si="18"/>
        <v>0</v>
      </c>
    </row>
    <row r="318" spans="1:23" hidden="1" x14ac:dyDescent="0.25">
      <c r="A318" s="3">
        <v>45956</v>
      </c>
      <c r="B318" s="3" t="s">
        <v>334</v>
      </c>
      <c r="C318" s="4" t="s">
        <v>256</v>
      </c>
      <c r="D318" s="4"/>
      <c r="E318" s="4"/>
      <c r="F318" s="4" t="s">
        <v>389</v>
      </c>
      <c r="G318" s="4" t="s">
        <v>336</v>
      </c>
      <c r="H318" s="4" t="s">
        <v>289</v>
      </c>
      <c r="I318" s="4">
        <v>1</v>
      </c>
      <c r="J318" s="21">
        <v>270</v>
      </c>
      <c r="K318" s="21">
        <v>0</v>
      </c>
      <c r="L318" s="5">
        <v>0</v>
      </c>
      <c r="M318" s="4">
        <v>1</v>
      </c>
      <c r="N318" s="4"/>
      <c r="O318" s="5">
        <v>270</v>
      </c>
      <c r="P318" s="5"/>
      <c r="Q318" s="21">
        <v>270</v>
      </c>
      <c r="R318" s="21">
        <v>0</v>
      </c>
      <c r="S318" s="5">
        <f t="shared" si="19"/>
        <v>119214.36000000002</v>
      </c>
      <c r="T318" cm="1">
        <f t="array" ref="T318">IF(OR(B318="MAL ALIMI", B318="ÜRETİM GİRİŞ"), MIN(I318, MAX(0, I318 + SUM(SUMIFS($I$1:I317, $C$1:C317, C318, $B$1:B317, {"MAL ALIMI","ÜRETİM GİRİŞ"})) - VLOOKUP(C318, 'STOK RAPORU'!$C$2:$I$1000, 4, 0))), 0)</f>
        <v>0</v>
      </c>
      <c r="U318" s="22">
        <f t="shared" si="16"/>
        <v>0</v>
      </c>
      <c r="V318">
        <f t="shared" si="17"/>
        <v>0</v>
      </c>
      <c r="W318" s="22">
        <f t="shared" si="18"/>
        <v>0</v>
      </c>
    </row>
    <row r="319" spans="1:23" hidden="1" x14ac:dyDescent="0.25">
      <c r="A319" s="3">
        <v>45956</v>
      </c>
      <c r="B319" s="3" t="s">
        <v>334</v>
      </c>
      <c r="C319" s="4" t="s">
        <v>251</v>
      </c>
      <c r="D319" s="4"/>
      <c r="E319" s="4"/>
      <c r="F319" s="4" t="s">
        <v>389</v>
      </c>
      <c r="G319" s="4" t="s">
        <v>336</v>
      </c>
      <c r="H319" s="4" t="s">
        <v>289</v>
      </c>
      <c r="I319" s="4">
        <v>0.376</v>
      </c>
      <c r="J319" s="21">
        <v>670</v>
      </c>
      <c r="K319" s="21">
        <v>0</v>
      </c>
      <c r="L319" s="5">
        <v>0</v>
      </c>
      <c r="M319" s="4">
        <v>0.376</v>
      </c>
      <c r="N319" s="4"/>
      <c r="O319" s="5">
        <v>670</v>
      </c>
      <c r="P319" s="5"/>
      <c r="Q319" s="21">
        <v>251.92</v>
      </c>
      <c r="R319" s="21">
        <v>0</v>
      </c>
      <c r="S319" s="5">
        <f t="shared" si="19"/>
        <v>119466.28000000001</v>
      </c>
      <c r="T319" cm="1">
        <f t="array" ref="T319">IF(OR(B319="MAL ALIMI", B319="ÜRETİM GİRİŞ"), MIN(I319, MAX(0, I319 + SUM(SUMIFS($I$1:I318, $C$1:C318, C319, $B$1:B318, {"MAL ALIMI","ÜRETİM GİRİŞ"})) - VLOOKUP(C319, 'STOK RAPORU'!$C$2:$I$1000, 4, 0))), 0)</f>
        <v>0</v>
      </c>
      <c r="U319" s="22">
        <f t="shared" si="16"/>
        <v>0</v>
      </c>
      <c r="V319">
        <f t="shared" si="17"/>
        <v>0</v>
      </c>
      <c r="W319" s="22">
        <f t="shared" si="18"/>
        <v>0</v>
      </c>
    </row>
    <row r="320" spans="1:23" hidden="1" x14ac:dyDescent="0.25">
      <c r="A320" s="3">
        <v>45956</v>
      </c>
      <c r="B320" s="3" t="s">
        <v>334</v>
      </c>
      <c r="C320" s="4" t="s">
        <v>225</v>
      </c>
      <c r="D320" s="4"/>
      <c r="E320" s="4"/>
      <c r="F320" s="4" t="s">
        <v>389</v>
      </c>
      <c r="G320" s="4" t="s">
        <v>336</v>
      </c>
      <c r="H320" s="4" t="s">
        <v>289</v>
      </c>
      <c r="I320" s="4">
        <v>0.41199999999999998</v>
      </c>
      <c r="J320" s="21">
        <v>650</v>
      </c>
      <c r="K320" s="21">
        <v>0</v>
      </c>
      <c r="L320" s="5">
        <v>0</v>
      </c>
      <c r="M320" s="4">
        <v>0.41199999999999998</v>
      </c>
      <c r="N320" s="4"/>
      <c r="O320" s="5">
        <v>650</v>
      </c>
      <c r="P320" s="5"/>
      <c r="Q320" s="21">
        <v>267.8</v>
      </c>
      <c r="R320" s="21">
        <v>0</v>
      </c>
      <c r="S320" s="5">
        <f t="shared" si="19"/>
        <v>119734.08000000002</v>
      </c>
      <c r="T320" cm="1">
        <f t="array" ref="T320">IF(OR(B320="MAL ALIMI", B320="ÜRETİM GİRİŞ"), MIN(I320, MAX(0, I320 + SUM(SUMIFS($I$1:I319, $C$1:C319, C320, $B$1:B319, {"MAL ALIMI","ÜRETİM GİRİŞ"})) - VLOOKUP(C320, 'STOK RAPORU'!$C$2:$I$1000, 4, 0))), 0)</f>
        <v>0</v>
      </c>
      <c r="U320" s="22">
        <f t="shared" si="16"/>
        <v>0</v>
      </c>
      <c r="V320">
        <f t="shared" si="17"/>
        <v>0</v>
      </c>
      <c r="W320" s="22">
        <f t="shared" si="18"/>
        <v>0</v>
      </c>
    </row>
    <row r="321" spans="1:23" hidden="1" x14ac:dyDescent="0.25">
      <c r="A321" s="3">
        <v>45956</v>
      </c>
      <c r="B321" s="3" t="s">
        <v>334</v>
      </c>
      <c r="C321" s="4" t="s">
        <v>246</v>
      </c>
      <c r="D321" s="4"/>
      <c r="E321" s="4"/>
      <c r="F321" s="4" t="s">
        <v>389</v>
      </c>
      <c r="G321" s="4" t="s">
        <v>336</v>
      </c>
      <c r="H321" s="4" t="s">
        <v>289</v>
      </c>
      <c r="I321" s="4">
        <v>0.43</v>
      </c>
      <c r="J321" s="21">
        <v>1250</v>
      </c>
      <c r="K321" s="21">
        <v>0</v>
      </c>
      <c r="L321" s="5">
        <v>0</v>
      </c>
      <c r="M321" s="4">
        <v>0.43</v>
      </c>
      <c r="N321" s="4"/>
      <c r="O321" s="5">
        <v>1250</v>
      </c>
      <c r="P321" s="5"/>
      <c r="Q321" s="21">
        <v>537.5</v>
      </c>
      <c r="R321" s="21">
        <v>0</v>
      </c>
      <c r="S321" s="5">
        <f t="shared" si="19"/>
        <v>120271.58000000002</v>
      </c>
      <c r="T321" cm="1">
        <f t="array" ref="T321">IF(OR(B321="MAL ALIMI", B321="ÜRETİM GİRİŞ"), MIN(I321, MAX(0, I321 + SUM(SUMIFS($I$1:I320, $C$1:C320, C321, $B$1:B320, {"MAL ALIMI","ÜRETİM GİRİŞ"})) - VLOOKUP(C321, 'STOK RAPORU'!$C$2:$I$1000, 4, 0))), 0)</f>
        <v>0</v>
      </c>
      <c r="U321" s="22">
        <f t="shared" si="16"/>
        <v>0</v>
      </c>
      <c r="V321">
        <f t="shared" si="17"/>
        <v>0</v>
      </c>
      <c r="W321" s="22">
        <f t="shared" si="18"/>
        <v>0</v>
      </c>
    </row>
    <row r="322" spans="1:23" hidden="1" x14ac:dyDescent="0.25">
      <c r="A322" s="3">
        <v>45956</v>
      </c>
      <c r="B322" s="3" t="s">
        <v>334</v>
      </c>
      <c r="C322" s="4" t="s">
        <v>247</v>
      </c>
      <c r="D322" s="4"/>
      <c r="E322" s="4"/>
      <c r="F322" s="4" t="s">
        <v>389</v>
      </c>
      <c r="G322" s="4" t="s">
        <v>336</v>
      </c>
      <c r="H322" s="4" t="s">
        <v>289</v>
      </c>
      <c r="I322" s="4">
        <v>0.312</v>
      </c>
      <c r="J322" s="21">
        <v>1150</v>
      </c>
      <c r="K322" s="21">
        <v>0</v>
      </c>
      <c r="L322" s="5">
        <v>0</v>
      </c>
      <c r="M322" s="4">
        <v>0.312</v>
      </c>
      <c r="N322" s="4"/>
      <c r="O322" s="5">
        <v>1150</v>
      </c>
      <c r="P322" s="5"/>
      <c r="Q322" s="21">
        <v>358.8</v>
      </c>
      <c r="R322" s="21">
        <v>0</v>
      </c>
      <c r="S322" s="5">
        <f t="shared" si="19"/>
        <v>120630.38000000002</v>
      </c>
      <c r="T322" cm="1">
        <f t="array" ref="T322">IF(OR(B322="MAL ALIMI", B322="ÜRETİM GİRİŞ"), MIN(I322, MAX(0, I322 + SUM(SUMIFS($I$1:I321, $C$1:C321, C322, $B$1:B321, {"MAL ALIMI","ÜRETİM GİRİŞ"})) - VLOOKUP(C322, 'STOK RAPORU'!$C$2:$I$1000, 4, 0))), 0)</f>
        <v>0</v>
      </c>
      <c r="U322" s="22">
        <f t="shared" si="16"/>
        <v>0</v>
      </c>
      <c r="V322">
        <f t="shared" si="17"/>
        <v>0</v>
      </c>
      <c r="W322" s="22">
        <f t="shared" si="18"/>
        <v>0</v>
      </c>
    </row>
    <row r="323" spans="1:23" hidden="1" x14ac:dyDescent="0.25">
      <c r="A323" s="3">
        <v>45956</v>
      </c>
      <c r="B323" s="3" t="s">
        <v>334</v>
      </c>
      <c r="C323" s="4" t="s">
        <v>199</v>
      </c>
      <c r="D323" s="4"/>
      <c r="E323" s="4"/>
      <c r="F323" s="4" t="s">
        <v>389</v>
      </c>
      <c r="G323" s="4" t="s">
        <v>336</v>
      </c>
      <c r="H323" s="4" t="s">
        <v>289</v>
      </c>
      <c r="I323" s="4">
        <v>0.47</v>
      </c>
      <c r="J323" s="21">
        <v>930</v>
      </c>
      <c r="K323" s="21">
        <v>0</v>
      </c>
      <c r="L323" s="5">
        <v>0</v>
      </c>
      <c r="M323" s="4">
        <v>0.47</v>
      </c>
      <c r="N323" s="4"/>
      <c r="O323" s="5">
        <v>930</v>
      </c>
      <c r="P323" s="5"/>
      <c r="Q323" s="21">
        <v>437.09999999999997</v>
      </c>
      <c r="R323" s="21">
        <v>0</v>
      </c>
      <c r="S323" s="5">
        <f t="shared" si="19"/>
        <v>121067.48000000003</v>
      </c>
      <c r="T323" cm="1">
        <f t="array" ref="T323">IF(OR(B323="MAL ALIMI", B323="ÜRETİM GİRİŞ"), MIN(I323, MAX(0, I323 + SUM(SUMIFS($I$1:I322, $C$1:C322, C323, $B$1:B322, {"MAL ALIMI","ÜRETİM GİRİŞ"})) - VLOOKUP(C323, 'STOK RAPORU'!$C$2:$I$1000, 4, 0))), 0)</f>
        <v>0</v>
      </c>
      <c r="U323" s="22">
        <f t="shared" ref="U323:U386" si="20">T323*J323</f>
        <v>0</v>
      </c>
      <c r="V323">
        <f t="shared" ref="V323:V386" si="21">IF(OR(B323="MAL ALIMI", B323="ÜRETİM GİRİŞ"), I323 * J323, 0)</f>
        <v>0</v>
      </c>
      <c r="W323" s="22">
        <f t="shared" ref="W323:W386" si="22">V323-U323</f>
        <v>0</v>
      </c>
    </row>
    <row r="324" spans="1:23" hidden="1" x14ac:dyDescent="0.25">
      <c r="A324" s="3">
        <v>45956</v>
      </c>
      <c r="B324" s="3" t="s">
        <v>334</v>
      </c>
      <c r="C324" s="4" t="s">
        <v>223</v>
      </c>
      <c r="D324" s="4"/>
      <c r="E324" s="4"/>
      <c r="F324" s="4" t="s">
        <v>389</v>
      </c>
      <c r="G324" s="4" t="s">
        <v>336</v>
      </c>
      <c r="H324" s="4" t="s">
        <v>289</v>
      </c>
      <c r="I324" s="4">
        <v>0.56999999999999995</v>
      </c>
      <c r="J324" s="21">
        <v>700</v>
      </c>
      <c r="K324" s="21">
        <v>0</v>
      </c>
      <c r="L324" s="5">
        <v>0</v>
      </c>
      <c r="M324" s="4">
        <v>0.56999999999999995</v>
      </c>
      <c r="N324" s="4"/>
      <c r="O324" s="5">
        <v>700</v>
      </c>
      <c r="P324" s="5"/>
      <c r="Q324" s="21">
        <v>398.99999999999994</v>
      </c>
      <c r="R324" s="21">
        <v>0</v>
      </c>
      <c r="S324" s="5">
        <f t="shared" ref="S324:S387" si="23">S323+Q324-R324</f>
        <v>121466.48000000003</v>
      </c>
      <c r="T324" cm="1">
        <f t="array" ref="T324">IF(OR(B324="MAL ALIMI", B324="ÜRETİM GİRİŞ"), MIN(I324, MAX(0, I324 + SUM(SUMIFS($I$1:I323, $C$1:C323, C324, $B$1:B323, {"MAL ALIMI","ÜRETİM GİRİŞ"})) - VLOOKUP(C324, 'STOK RAPORU'!$C$2:$I$1000, 4, 0))), 0)</f>
        <v>0</v>
      </c>
      <c r="U324" s="22">
        <f t="shared" si="20"/>
        <v>0</v>
      </c>
      <c r="V324">
        <f t="shared" si="21"/>
        <v>0</v>
      </c>
      <c r="W324" s="22">
        <f t="shared" si="22"/>
        <v>0</v>
      </c>
    </row>
    <row r="325" spans="1:23" hidden="1" x14ac:dyDescent="0.25">
      <c r="A325" s="3">
        <v>45956</v>
      </c>
      <c r="B325" s="3" t="s">
        <v>334</v>
      </c>
      <c r="C325" s="4" t="s">
        <v>244</v>
      </c>
      <c r="D325" s="4"/>
      <c r="E325" s="4"/>
      <c r="F325" s="4" t="s">
        <v>389</v>
      </c>
      <c r="G325" s="4" t="s">
        <v>336</v>
      </c>
      <c r="H325" s="4" t="s">
        <v>289</v>
      </c>
      <c r="I325" s="4">
        <v>0.374</v>
      </c>
      <c r="J325" s="21">
        <v>650</v>
      </c>
      <c r="K325" s="21">
        <v>0</v>
      </c>
      <c r="L325" s="5">
        <v>0</v>
      </c>
      <c r="M325" s="4">
        <v>0.374</v>
      </c>
      <c r="N325" s="4"/>
      <c r="O325" s="5">
        <v>650</v>
      </c>
      <c r="P325" s="5"/>
      <c r="Q325" s="21">
        <v>243.1</v>
      </c>
      <c r="R325" s="21">
        <v>0</v>
      </c>
      <c r="S325" s="5">
        <f t="shared" si="23"/>
        <v>121709.58000000003</v>
      </c>
      <c r="T325" cm="1">
        <f t="array" ref="T325">IF(OR(B325="MAL ALIMI", B325="ÜRETİM GİRİŞ"), MIN(I325, MAX(0, I325 + SUM(SUMIFS($I$1:I324, $C$1:C324, C325, $B$1:B324, {"MAL ALIMI","ÜRETİM GİRİŞ"})) - VLOOKUP(C325, 'STOK RAPORU'!$C$2:$I$1000, 4, 0))), 0)</f>
        <v>0</v>
      </c>
      <c r="U325" s="22">
        <f t="shared" si="20"/>
        <v>0</v>
      </c>
      <c r="V325">
        <f t="shared" si="21"/>
        <v>0</v>
      </c>
      <c r="W325" s="22">
        <f t="shared" si="22"/>
        <v>0</v>
      </c>
    </row>
    <row r="326" spans="1:23" hidden="1" x14ac:dyDescent="0.25">
      <c r="A326" s="3">
        <v>45956</v>
      </c>
      <c r="B326" s="3" t="s">
        <v>285</v>
      </c>
      <c r="C326" s="4"/>
      <c r="D326" s="4" t="s">
        <v>114</v>
      </c>
      <c r="E326" s="4"/>
      <c r="F326" s="4" t="s">
        <v>389</v>
      </c>
      <c r="G326" s="4" t="s">
        <v>336</v>
      </c>
      <c r="H326" s="4" t="s">
        <v>289</v>
      </c>
      <c r="I326" s="4">
        <v>1</v>
      </c>
      <c r="J326" s="21">
        <v>30.22</v>
      </c>
      <c r="K326" s="21">
        <v>0</v>
      </c>
      <c r="L326" s="5">
        <v>0</v>
      </c>
      <c r="M326" s="4"/>
      <c r="N326" s="4">
        <v>1</v>
      </c>
      <c r="O326" s="5"/>
      <c r="P326" s="5">
        <v>30.22</v>
      </c>
      <c r="Q326" s="21">
        <v>0</v>
      </c>
      <c r="R326" s="21">
        <v>30.22</v>
      </c>
      <c r="S326" s="5">
        <f t="shared" si="23"/>
        <v>121679.36000000003</v>
      </c>
      <c r="T326" cm="1">
        <f t="array" ref="T326">IF(OR(B326="MAL ALIMI", B326="ÜRETİM GİRİŞ"), MIN(I326, MAX(0, I326 + SUM(SUMIFS($I$1:I325, $C$1:C325, C326, $B$1:B325, {"MAL ALIMI","ÜRETİM GİRİŞ"})) - VLOOKUP(C326, 'STOK RAPORU'!$C$2:$I$1000, 4, 0))), 0)</f>
        <v>0</v>
      </c>
      <c r="U326" s="22">
        <f t="shared" si="20"/>
        <v>0</v>
      </c>
      <c r="V326">
        <f t="shared" si="21"/>
        <v>0</v>
      </c>
      <c r="W326" s="22">
        <f t="shared" si="22"/>
        <v>0</v>
      </c>
    </row>
    <row r="327" spans="1:23" hidden="1" x14ac:dyDescent="0.25">
      <c r="A327" s="3">
        <v>45956</v>
      </c>
      <c r="B327" s="3" t="s">
        <v>334</v>
      </c>
      <c r="C327" s="4" t="s">
        <v>157</v>
      </c>
      <c r="D327" s="4"/>
      <c r="E327" s="4"/>
      <c r="F327" s="4" t="s">
        <v>390</v>
      </c>
      <c r="G327" s="4" t="s">
        <v>336</v>
      </c>
      <c r="H327" s="4" t="s">
        <v>289</v>
      </c>
      <c r="I327" s="4">
        <v>1.0640000000000001</v>
      </c>
      <c r="J327" s="21">
        <v>180</v>
      </c>
      <c r="K327" s="21">
        <v>0</v>
      </c>
      <c r="L327" s="5">
        <v>0</v>
      </c>
      <c r="M327" s="4">
        <v>1.0640000000000001</v>
      </c>
      <c r="N327" s="4"/>
      <c r="O327" s="5">
        <v>180</v>
      </c>
      <c r="P327" s="5"/>
      <c r="Q327" s="21">
        <v>191.52</v>
      </c>
      <c r="R327" s="21">
        <v>0</v>
      </c>
      <c r="S327" s="5">
        <f t="shared" si="23"/>
        <v>121870.88000000003</v>
      </c>
      <c r="T327" cm="1">
        <f t="array" ref="T327">IF(OR(B327="MAL ALIMI", B327="ÜRETİM GİRİŞ"), MIN(I327, MAX(0, I327 + SUM(SUMIFS($I$1:I326, $C$1:C326, C327, $B$1:B326, {"MAL ALIMI","ÜRETİM GİRİŞ"})) - VLOOKUP(C327, 'STOK RAPORU'!$C$2:$I$1000, 4, 0))), 0)</f>
        <v>0</v>
      </c>
      <c r="U327" s="22">
        <f t="shared" si="20"/>
        <v>0</v>
      </c>
      <c r="V327">
        <f t="shared" si="21"/>
        <v>0</v>
      </c>
      <c r="W327" s="22">
        <f t="shared" si="22"/>
        <v>0</v>
      </c>
    </row>
    <row r="328" spans="1:23" hidden="1" x14ac:dyDescent="0.25">
      <c r="A328" s="3">
        <v>45956</v>
      </c>
      <c r="B328" s="3" t="s">
        <v>334</v>
      </c>
      <c r="C328" s="4" t="s">
        <v>158</v>
      </c>
      <c r="D328" s="4"/>
      <c r="E328" s="4"/>
      <c r="F328" s="4" t="s">
        <v>390</v>
      </c>
      <c r="G328" s="4" t="s">
        <v>336</v>
      </c>
      <c r="H328" s="4" t="s">
        <v>289</v>
      </c>
      <c r="I328" s="4">
        <v>4.7240000000000002</v>
      </c>
      <c r="J328" s="21">
        <v>130</v>
      </c>
      <c r="K328" s="21">
        <v>0</v>
      </c>
      <c r="L328" s="5">
        <v>0</v>
      </c>
      <c r="M328" s="4">
        <v>4.7240000000000002</v>
      </c>
      <c r="N328" s="4"/>
      <c r="O328" s="5">
        <v>130</v>
      </c>
      <c r="P328" s="5"/>
      <c r="Q328" s="21">
        <v>614.12</v>
      </c>
      <c r="R328" s="21">
        <v>0</v>
      </c>
      <c r="S328" s="5">
        <f t="shared" si="23"/>
        <v>122485.00000000003</v>
      </c>
      <c r="T328" cm="1">
        <f t="array" ref="T328">IF(OR(B328="MAL ALIMI", B328="ÜRETİM GİRİŞ"), MIN(I328, MAX(0, I328 + SUM(SUMIFS($I$1:I327, $C$1:C327, C328, $B$1:B327, {"MAL ALIMI","ÜRETİM GİRİŞ"})) - VLOOKUP(C328, 'STOK RAPORU'!$C$2:$I$1000, 4, 0))), 0)</f>
        <v>0</v>
      </c>
      <c r="U328" s="22">
        <f t="shared" si="20"/>
        <v>0</v>
      </c>
      <c r="V328">
        <f t="shared" si="21"/>
        <v>0</v>
      </c>
      <c r="W328" s="22">
        <f t="shared" si="22"/>
        <v>0</v>
      </c>
    </row>
    <row r="329" spans="1:23" hidden="1" x14ac:dyDescent="0.25">
      <c r="A329" s="3">
        <v>45956</v>
      </c>
      <c r="B329" s="3" t="s">
        <v>334</v>
      </c>
      <c r="C329" s="4" t="s">
        <v>523</v>
      </c>
      <c r="D329" s="4"/>
      <c r="E329" s="4"/>
      <c r="F329" s="4" t="s">
        <v>390</v>
      </c>
      <c r="G329" s="4" t="s">
        <v>336</v>
      </c>
      <c r="H329" s="4" t="s">
        <v>289</v>
      </c>
      <c r="I329" s="4">
        <v>0.2</v>
      </c>
      <c r="J329" s="21">
        <v>660</v>
      </c>
      <c r="K329" s="21">
        <v>0</v>
      </c>
      <c r="L329" s="5">
        <v>0</v>
      </c>
      <c r="M329" s="4">
        <v>0.2</v>
      </c>
      <c r="N329" s="4"/>
      <c r="O329" s="5">
        <v>660</v>
      </c>
      <c r="P329" s="5"/>
      <c r="Q329" s="21">
        <v>132</v>
      </c>
      <c r="R329" s="21">
        <v>0</v>
      </c>
      <c r="S329" s="5">
        <f t="shared" si="23"/>
        <v>122617.00000000003</v>
      </c>
      <c r="T329" cm="1">
        <f t="array" ref="T329">IF(OR(B329="MAL ALIMI", B329="ÜRETİM GİRİŞ"), MIN(I329, MAX(0, I329 + SUM(SUMIFS($I$1:I328, $C$1:C328, C329, $B$1:B328, {"MAL ALIMI","ÜRETİM GİRİŞ"})) - VLOOKUP(C329, 'STOK RAPORU'!$C$2:$I$1000, 4, 0))), 0)</f>
        <v>0</v>
      </c>
      <c r="U329" s="22">
        <f t="shared" si="20"/>
        <v>0</v>
      </c>
      <c r="V329">
        <f t="shared" si="21"/>
        <v>0</v>
      </c>
      <c r="W329" s="22">
        <f t="shared" si="22"/>
        <v>0</v>
      </c>
    </row>
    <row r="330" spans="1:23" hidden="1" x14ac:dyDescent="0.25">
      <c r="A330" s="3">
        <v>45956</v>
      </c>
      <c r="B330" s="3" t="s">
        <v>334</v>
      </c>
      <c r="C330" s="4" t="s">
        <v>226</v>
      </c>
      <c r="D330" s="4"/>
      <c r="E330" s="4"/>
      <c r="F330" s="4" t="s">
        <v>390</v>
      </c>
      <c r="G330" s="4" t="s">
        <v>336</v>
      </c>
      <c r="H330" s="4" t="s">
        <v>289</v>
      </c>
      <c r="I330" s="4">
        <v>0.32400000000000001</v>
      </c>
      <c r="J330" s="21">
        <v>150</v>
      </c>
      <c r="K330" s="21">
        <v>0</v>
      </c>
      <c r="L330" s="5">
        <v>0</v>
      </c>
      <c r="M330" s="4">
        <v>0.32400000000000001</v>
      </c>
      <c r="N330" s="4"/>
      <c r="O330" s="5">
        <v>150</v>
      </c>
      <c r="P330" s="5"/>
      <c r="Q330" s="21">
        <v>48.6</v>
      </c>
      <c r="R330" s="21">
        <v>0</v>
      </c>
      <c r="S330" s="5">
        <f t="shared" si="23"/>
        <v>122665.60000000003</v>
      </c>
      <c r="T330" cm="1">
        <f t="array" ref="T330">IF(OR(B330="MAL ALIMI", B330="ÜRETİM GİRİŞ"), MIN(I330, MAX(0, I330 + SUM(SUMIFS($I$1:I329, $C$1:C329, C330, $B$1:B329, {"MAL ALIMI","ÜRETİM GİRİŞ"})) - VLOOKUP(C330, 'STOK RAPORU'!$C$2:$I$1000, 4, 0))), 0)</f>
        <v>0</v>
      </c>
      <c r="U330" s="22">
        <f t="shared" si="20"/>
        <v>0</v>
      </c>
      <c r="V330">
        <f t="shared" si="21"/>
        <v>0</v>
      </c>
      <c r="W330" s="22">
        <f t="shared" si="22"/>
        <v>0</v>
      </c>
    </row>
    <row r="331" spans="1:23" hidden="1" x14ac:dyDescent="0.25">
      <c r="A331" s="3">
        <v>45956</v>
      </c>
      <c r="B331" s="3" t="s">
        <v>334</v>
      </c>
      <c r="C331" s="4" t="s">
        <v>225</v>
      </c>
      <c r="D331" s="4"/>
      <c r="E331" s="4"/>
      <c r="F331" s="4" t="s">
        <v>390</v>
      </c>
      <c r="G331" s="4" t="s">
        <v>336</v>
      </c>
      <c r="H331" s="4" t="s">
        <v>289</v>
      </c>
      <c r="I331" s="4">
        <v>0.66200000000000003</v>
      </c>
      <c r="J331" s="21">
        <v>650</v>
      </c>
      <c r="K331" s="21">
        <v>0</v>
      </c>
      <c r="L331" s="5">
        <v>0</v>
      </c>
      <c r="M331" s="4">
        <v>0.66200000000000003</v>
      </c>
      <c r="N331" s="4"/>
      <c r="O331" s="5">
        <v>650</v>
      </c>
      <c r="P331" s="5"/>
      <c r="Q331" s="21">
        <v>430.3</v>
      </c>
      <c r="R331" s="21">
        <v>0</v>
      </c>
      <c r="S331" s="5">
        <f t="shared" si="23"/>
        <v>123095.90000000004</v>
      </c>
      <c r="T331" cm="1">
        <f t="array" ref="T331">IF(OR(B331="MAL ALIMI", B331="ÜRETİM GİRİŞ"), MIN(I331, MAX(0, I331 + SUM(SUMIFS($I$1:I330, $C$1:C330, C331, $B$1:B330, {"MAL ALIMI","ÜRETİM GİRİŞ"})) - VLOOKUP(C331, 'STOK RAPORU'!$C$2:$I$1000, 4, 0))), 0)</f>
        <v>0</v>
      </c>
      <c r="U331" s="22">
        <f t="shared" si="20"/>
        <v>0</v>
      </c>
      <c r="V331">
        <f t="shared" si="21"/>
        <v>0</v>
      </c>
      <c r="W331" s="22">
        <f t="shared" si="22"/>
        <v>0</v>
      </c>
    </row>
    <row r="332" spans="1:23" hidden="1" x14ac:dyDescent="0.25">
      <c r="A332" s="3">
        <v>45956</v>
      </c>
      <c r="B332" s="3" t="s">
        <v>334</v>
      </c>
      <c r="C332" s="4" t="s">
        <v>201</v>
      </c>
      <c r="D332" s="4"/>
      <c r="E332" s="4"/>
      <c r="F332" s="4" t="s">
        <v>390</v>
      </c>
      <c r="G332" s="4" t="s">
        <v>336</v>
      </c>
      <c r="H332" s="4" t="s">
        <v>289</v>
      </c>
      <c r="I332" s="4">
        <v>0.33200000000000002</v>
      </c>
      <c r="J332" s="21">
        <v>800</v>
      </c>
      <c r="K332" s="21">
        <v>0</v>
      </c>
      <c r="L332" s="5">
        <v>0</v>
      </c>
      <c r="M332" s="4">
        <v>0.33200000000000002</v>
      </c>
      <c r="N332" s="4"/>
      <c r="O332" s="5">
        <v>800</v>
      </c>
      <c r="P332" s="5"/>
      <c r="Q332" s="21">
        <v>265.60000000000002</v>
      </c>
      <c r="R332" s="21">
        <v>0</v>
      </c>
      <c r="S332" s="5">
        <f t="shared" si="23"/>
        <v>123361.50000000004</v>
      </c>
      <c r="T332" cm="1">
        <f t="array" ref="T332">IF(OR(B332="MAL ALIMI", B332="ÜRETİM GİRİŞ"), MIN(I332, MAX(0, I332 + SUM(SUMIFS($I$1:I331, $C$1:C331, C332, $B$1:B331, {"MAL ALIMI","ÜRETİM GİRİŞ"})) - VLOOKUP(C332, 'STOK RAPORU'!$C$2:$I$1000, 4, 0))), 0)</f>
        <v>0</v>
      </c>
      <c r="U332" s="22">
        <f t="shared" si="20"/>
        <v>0</v>
      </c>
      <c r="V332">
        <f t="shared" si="21"/>
        <v>0</v>
      </c>
      <c r="W332" s="22">
        <f t="shared" si="22"/>
        <v>0</v>
      </c>
    </row>
    <row r="333" spans="1:23" hidden="1" x14ac:dyDescent="0.25">
      <c r="A333" s="3">
        <v>45956</v>
      </c>
      <c r="B333" s="3" t="s">
        <v>334</v>
      </c>
      <c r="C333" s="4" t="s">
        <v>237</v>
      </c>
      <c r="D333" s="4"/>
      <c r="E333" s="4"/>
      <c r="F333" s="4" t="s">
        <v>390</v>
      </c>
      <c r="G333" s="4" t="s">
        <v>336</v>
      </c>
      <c r="H333" s="4" t="s">
        <v>289</v>
      </c>
      <c r="I333" s="4">
        <v>0.08</v>
      </c>
      <c r="J333" s="21">
        <v>2250</v>
      </c>
      <c r="K333" s="21">
        <v>0</v>
      </c>
      <c r="L333" s="5">
        <v>0</v>
      </c>
      <c r="M333" s="4">
        <v>0.08</v>
      </c>
      <c r="N333" s="4"/>
      <c r="O333" s="5">
        <v>2250</v>
      </c>
      <c r="P333" s="5"/>
      <c r="Q333" s="21">
        <v>180</v>
      </c>
      <c r="R333" s="21">
        <v>0</v>
      </c>
      <c r="S333" s="5">
        <f t="shared" si="23"/>
        <v>123541.50000000004</v>
      </c>
      <c r="T333" cm="1">
        <f t="array" ref="T333">IF(OR(B333="MAL ALIMI", B333="ÜRETİM GİRİŞ"), MIN(I333, MAX(0, I333 + SUM(SUMIFS($I$1:I332, $C$1:C332, C333, $B$1:B332, {"MAL ALIMI","ÜRETİM GİRİŞ"})) - VLOOKUP(C333, 'STOK RAPORU'!$C$2:$I$1000, 4, 0))), 0)</f>
        <v>0</v>
      </c>
      <c r="U333" s="22">
        <f t="shared" si="20"/>
        <v>0</v>
      </c>
      <c r="V333">
        <f t="shared" si="21"/>
        <v>0</v>
      </c>
      <c r="W333" s="22">
        <f t="shared" si="22"/>
        <v>0</v>
      </c>
    </row>
    <row r="334" spans="1:23" hidden="1" x14ac:dyDescent="0.25">
      <c r="A334" s="3">
        <v>45956</v>
      </c>
      <c r="B334" s="3" t="s">
        <v>334</v>
      </c>
      <c r="C334" s="4" t="s">
        <v>60</v>
      </c>
      <c r="D334" s="4"/>
      <c r="E334" s="4"/>
      <c r="F334" s="4" t="s">
        <v>390</v>
      </c>
      <c r="G334" s="4" t="s">
        <v>336</v>
      </c>
      <c r="H334" s="4" t="s">
        <v>289</v>
      </c>
      <c r="I334" s="4">
        <v>0.05</v>
      </c>
      <c r="J334" s="21">
        <v>1100</v>
      </c>
      <c r="K334" s="21">
        <v>0</v>
      </c>
      <c r="L334" s="5">
        <v>0</v>
      </c>
      <c r="M334" s="4">
        <v>0.05</v>
      </c>
      <c r="N334" s="4"/>
      <c r="O334" s="5">
        <v>1100</v>
      </c>
      <c r="P334" s="5"/>
      <c r="Q334" s="21">
        <v>55</v>
      </c>
      <c r="R334" s="21">
        <v>0</v>
      </c>
      <c r="S334" s="5">
        <f t="shared" si="23"/>
        <v>123596.50000000004</v>
      </c>
      <c r="T334" cm="1">
        <f t="array" ref="T334">IF(OR(B334="MAL ALIMI", B334="ÜRETİM GİRİŞ"), MIN(I334, MAX(0, I334 + SUM(SUMIFS($I$1:I333, $C$1:C333, C334, $B$1:B333, {"MAL ALIMI","ÜRETİM GİRİŞ"})) - VLOOKUP(C334, 'STOK RAPORU'!$C$2:$I$1000, 4, 0))), 0)</f>
        <v>0</v>
      </c>
      <c r="U334" s="22">
        <f t="shared" si="20"/>
        <v>0</v>
      </c>
      <c r="V334">
        <f t="shared" si="21"/>
        <v>0</v>
      </c>
      <c r="W334" s="22">
        <f t="shared" si="22"/>
        <v>0</v>
      </c>
    </row>
    <row r="335" spans="1:23" hidden="1" x14ac:dyDescent="0.25">
      <c r="A335" s="3">
        <v>45956</v>
      </c>
      <c r="B335" s="3" t="s">
        <v>334</v>
      </c>
      <c r="C335" s="4" t="s">
        <v>267</v>
      </c>
      <c r="D335" s="4"/>
      <c r="E335" s="4"/>
      <c r="F335" s="4" t="s">
        <v>390</v>
      </c>
      <c r="G335" s="4" t="s">
        <v>336</v>
      </c>
      <c r="H335" s="4" t="s">
        <v>289</v>
      </c>
      <c r="I335" s="4">
        <v>1</v>
      </c>
      <c r="J335" s="21">
        <v>190</v>
      </c>
      <c r="K335" s="21">
        <v>0</v>
      </c>
      <c r="L335" s="5">
        <v>0</v>
      </c>
      <c r="M335" s="4">
        <v>1</v>
      </c>
      <c r="N335" s="4"/>
      <c r="O335" s="5">
        <v>190</v>
      </c>
      <c r="P335" s="5"/>
      <c r="Q335" s="21">
        <v>190</v>
      </c>
      <c r="R335" s="21">
        <v>0</v>
      </c>
      <c r="S335" s="5">
        <f t="shared" si="23"/>
        <v>123786.50000000004</v>
      </c>
      <c r="T335" cm="1">
        <f t="array" ref="T335">IF(OR(B335="MAL ALIMI", B335="ÜRETİM GİRİŞ"), MIN(I335, MAX(0, I335 + SUM(SUMIFS($I$1:I334, $C$1:C334, C335, $B$1:B334, {"MAL ALIMI","ÜRETİM GİRİŞ"})) - VLOOKUP(C335, 'STOK RAPORU'!$C$2:$I$1000, 4, 0))), 0)</f>
        <v>0</v>
      </c>
      <c r="U335" s="22">
        <f t="shared" si="20"/>
        <v>0</v>
      </c>
      <c r="V335">
        <f t="shared" si="21"/>
        <v>0</v>
      </c>
      <c r="W335" s="22">
        <f t="shared" si="22"/>
        <v>0</v>
      </c>
    </row>
    <row r="336" spans="1:23" hidden="1" x14ac:dyDescent="0.25">
      <c r="A336" s="3">
        <v>45956</v>
      </c>
      <c r="B336" s="3" t="s">
        <v>334</v>
      </c>
      <c r="C336" s="4" t="s">
        <v>259</v>
      </c>
      <c r="D336" s="4"/>
      <c r="E336" s="4"/>
      <c r="F336" s="4" t="s">
        <v>390</v>
      </c>
      <c r="G336" s="4" t="s">
        <v>336</v>
      </c>
      <c r="H336" s="4" t="s">
        <v>289</v>
      </c>
      <c r="I336" s="4">
        <v>1</v>
      </c>
      <c r="J336" s="21">
        <v>100</v>
      </c>
      <c r="K336" s="21">
        <v>0</v>
      </c>
      <c r="L336" s="5">
        <v>0</v>
      </c>
      <c r="M336" s="4">
        <v>1</v>
      </c>
      <c r="N336" s="4"/>
      <c r="O336" s="5">
        <v>100</v>
      </c>
      <c r="P336" s="5"/>
      <c r="Q336" s="21">
        <v>100</v>
      </c>
      <c r="R336" s="21">
        <v>0</v>
      </c>
      <c r="S336" s="5">
        <f t="shared" si="23"/>
        <v>123886.50000000004</v>
      </c>
      <c r="T336" cm="1">
        <f t="array" ref="T336">IF(OR(B336="MAL ALIMI", B336="ÜRETİM GİRİŞ"), MIN(I336, MAX(0, I336 + SUM(SUMIFS($I$1:I335, $C$1:C335, C336, $B$1:B335, {"MAL ALIMI","ÜRETİM GİRİŞ"})) - VLOOKUP(C336, 'STOK RAPORU'!$C$2:$I$1000, 4, 0))), 0)</f>
        <v>0</v>
      </c>
      <c r="U336" s="22">
        <f t="shared" si="20"/>
        <v>0</v>
      </c>
      <c r="V336">
        <f t="shared" si="21"/>
        <v>0</v>
      </c>
      <c r="W336" s="22">
        <f t="shared" si="22"/>
        <v>0</v>
      </c>
    </row>
    <row r="337" spans="1:23" hidden="1" x14ac:dyDescent="0.25">
      <c r="A337" s="3">
        <v>45956</v>
      </c>
      <c r="B337" s="3" t="s">
        <v>334</v>
      </c>
      <c r="C337" s="4" t="s">
        <v>175</v>
      </c>
      <c r="D337" s="4"/>
      <c r="E337" s="4"/>
      <c r="F337" s="4" t="s">
        <v>390</v>
      </c>
      <c r="G337" s="4" t="s">
        <v>336</v>
      </c>
      <c r="H337" s="4" t="s">
        <v>289</v>
      </c>
      <c r="I337" s="4">
        <v>1</v>
      </c>
      <c r="J337" s="21">
        <v>270</v>
      </c>
      <c r="K337" s="21">
        <v>0</v>
      </c>
      <c r="L337" s="5">
        <v>0</v>
      </c>
      <c r="M337" s="4">
        <v>1</v>
      </c>
      <c r="N337" s="4"/>
      <c r="O337" s="5">
        <v>270</v>
      </c>
      <c r="P337" s="5"/>
      <c r="Q337" s="21">
        <v>270</v>
      </c>
      <c r="R337" s="21">
        <v>0</v>
      </c>
      <c r="S337" s="5">
        <f t="shared" si="23"/>
        <v>124156.50000000004</v>
      </c>
      <c r="T337" cm="1">
        <f t="array" ref="T337">IF(OR(B337="MAL ALIMI", B337="ÜRETİM GİRİŞ"), MIN(I337, MAX(0, I337 + SUM(SUMIFS($I$1:I336, $C$1:C336, C337, $B$1:B336, {"MAL ALIMI","ÜRETİM GİRİŞ"})) - VLOOKUP(C337, 'STOK RAPORU'!$C$2:$I$1000, 4, 0))), 0)</f>
        <v>0</v>
      </c>
      <c r="U337" s="22">
        <f t="shared" si="20"/>
        <v>0</v>
      </c>
      <c r="V337">
        <f t="shared" si="21"/>
        <v>0</v>
      </c>
      <c r="W337" s="22">
        <f t="shared" si="22"/>
        <v>0</v>
      </c>
    </row>
    <row r="338" spans="1:23" hidden="1" x14ac:dyDescent="0.25">
      <c r="A338" s="3">
        <v>45956</v>
      </c>
      <c r="B338" s="3" t="s">
        <v>334</v>
      </c>
      <c r="C338" s="4" t="s">
        <v>178</v>
      </c>
      <c r="D338" s="4"/>
      <c r="E338" s="4"/>
      <c r="F338" s="4" t="s">
        <v>390</v>
      </c>
      <c r="G338" s="4" t="s">
        <v>336</v>
      </c>
      <c r="H338" s="4" t="s">
        <v>289</v>
      </c>
      <c r="I338" s="4">
        <v>1</v>
      </c>
      <c r="J338" s="21">
        <v>95</v>
      </c>
      <c r="K338" s="21">
        <v>0</v>
      </c>
      <c r="L338" s="5">
        <v>0</v>
      </c>
      <c r="M338" s="4">
        <v>1</v>
      </c>
      <c r="N338" s="4"/>
      <c r="O338" s="5">
        <v>95</v>
      </c>
      <c r="P338" s="5"/>
      <c r="Q338" s="21">
        <v>95</v>
      </c>
      <c r="R338" s="21">
        <v>0</v>
      </c>
      <c r="S338" s="5">
        <f t="shared" si="23"/>
        <v>124251.50000000004</v>
      </c>
      <c r="T338" cm="1">
        <f t="array" ref="T338">IF(OR(B338="MAL ALIMI", B338="ÜRETİM GİRİŞ"), MIN(I338, MAX(0, I338 + SUM(SUMIFS($I$1:I337, $C$1:C337, C338, $B$1:B337, {"MAL ALIMI","ÜRETİM GİRİŞ"})) - VLOOKUP(C338, 'STOK RAPORU'!$C$2:$I$1000, 4, 0))), 0)</f>
        <v>0</v>
      </c>
      <c r="U338" s="22">
        <f t="shared" si="20"/>
        <v>0</v>
      </c>
      <c r="V338">
        <f t="shared" si="21"/>
        <v>0</v>
      </c>
      <c r="W338" s="22">
        <f t="shared" si="22"/>
        <v>0</v>
      </c>
    </row>
    <row r="339" spans="1:23" hidden="1" x14ac:dyDescent="0.25">
      <c r="A339" s="3">
        <v>45956</v>
      </c>
      <c r="B339" s="3" t="s">
        <v>1027</v>
      </c>
      <c r="C339" s="4"/>
      <c r="D339" s="4" t="s">
        <v>116</v>
      </c>
      <c r="E339" s="4"/>
      <c r="F339" s="4" t="s">
        <v>390</v>
      </c>
      <c r="G339" s="4" t="s">
        <v>336</v>
      </c>
      <c r="H339" s="4" t="s">
        <v>289</v>
      </c>
      <c r="I339" s="4">
        <v>1</v>
      </c>
      <c r="J339" s="21">
        <v>28</v>
      </c>
      <c r="K339" s="21">
        <v>0</v>
      </c>
      <c r="L339" s="5">
        <v>0</v>
      </c>
      <c r="M339" s="4">
        <v>1</v>
      </c>
      <c r="N339" s="4"/>
      <c r="O339" s="5">
        <v>28</v>
      </c>
      <c r="P339" s="5"/>
      <c r="Q339" s="21">
        <v>28</v>
      </c>
      <c r="R339" s="21">
        <v>0</v>
      </c>
      <c r="S339" s="5">
        <f t="shared" si="23"/>
        <v>124279.50000000004</v>
      </c>
      <c r="T339" cm="1">
        <f t="array" ref="T339">IF(OR(B339="MAL ALIMI", B339="ÜRETİM GİRİŞ"), MIN(I339, MAX(0, I339 + SUM(SUMIFS($I$1:I338, $C$1:C338, C339, $B$1:B338, {"MAL ALIMI","ÜRETİM GİRİŞ"})) - VLOOKUP(C339, 'STOK RAPORU'!$C$2:$I$1000, 4, 0))), 0)</f>
        <v>0</v>
      </c>
      <c r="U339" s="22">
        <f t="shared" si="20"/>
        <v>0</v>
      </c>
      <c r="V339">
        <f t="shared" si="21"/>
        <v>0</v>
      </c>
      <c r="W339" s="22">
        <f t="shared" si="22"/>
        <v>0</v>
      </c>
    </row>
    <row r="340" spans="1:23" hidden="1" x14ac:dyDescent="0.25">
      <c r="A340" s="3">
        <v>45956</v>
      </c>
      <c r="B340" s="3" t="s">
        <v>334</v>
      </c>
      <c r="C340" s="4" t="s">
        <v>160</v>
      </c>
      <c r="D340" s="4"/>
      <c r="E340" s="4"/>
      <c r="F340" s="4" t="s">
        <v>390</v>
      </c>
      <c r="G340" s="4" t="s">
        <v>336</v>
      </c>
      <c r="H340" s="4" t="s">
        <v>289</v>
      </c>
      <c r="I340" s="4">
        <v>3</v>
      </c>
      <c r="J340" s="21">
        <v>240</v>
      </c>
      <c r="K340" s="21">
        <v>0</v>
      </c>
      <c r="L340" s="5">
        <v>0</v>
      </c>
      <c r="M340" s="4">
        <v>3</v>
      </c>
      <c r="N340" s="4"/>
      <c r="O340" s="5">
        <v>240</v>
      </c>
      <c r="P340" s="5"/>
      <c r="Q340" s="21">
        <v>720</v>
      </c>
      <c r="R340" s="21">
        <v>0</v>
      </c>
      <c r="S340" s="5">
        <f t="shared" si="23"/>
        <v>124999.50000000004</v>
      </c>
      <c r="T340" cm="1">
        <f t="array" ref="T340">IF(OR(B340="MAL ALIMI", B340="ÜRETİM GİRİŞ"), MIN(I340, MAX(0, I340 + SUM(SUMIFS($I$1:I339, $C$1:C339, C340, $B$1:B339, {"MAL ALIMI","ÜRETİM GİRİŞ"})) - VLOOKUP(C340, 'STOK RAPORU'!$C$2:$I$1000, 4, 0))), 0)</f>
        <v>0</v>
      </c>
      <c r="U340" s="22">
        <f t="shared" si="20"/>
        <v>0</v>
      </c>
      <c r="V340">
        <f t="shared" si="21"/>
        <v>0</v>
      </c>
      <c r="W340" s="22">
        <f t="shared" si="22"/>
        <v>0</v>
      </c>
    </row>
    <row r="341" spans="1:23" hidden="1" x14ac:dyDescent="0.25">
      <c r="A341" s="3">
        <v>45956</v>
      </c>
      <c r="B341" s="3" t="s">
        <v>334</v>
      </c>
      <c r="C341" s="4" t="s">
        <v>160</v>
      </c>
      <c r="D341" s="4"/>
      <c r="E341" s="4" t="s">
        <v>921</v>
      </c>
      <c r="F341" s="4" t="s">
        <v>391</v>
      </c>
      <c r="G341" s="4" t="s">
        <v>336</v>
      </c>
      <c r="H341" s="4" t="s">
        <v>380</v>
      </c>
      <c r="I341" s="4">
        <v>2</v>
      </c>
      <c r="J341" s="21">
        <v>240</v>
      </c>
      <c r="K341" s="35">
        <v>480</v>
      </c>
      <c r="L341" s="5">
        <v>0</v>
      </c>
      <c r="M341" s="4">
        <v>2</v>
      </c>
      <c r="N341" s="4"/>
      <c r="O341" s="5">
        <v>240</v>
      </c>
      <c r="P341" s="5"/>
      <c r="Q341" s="21">
        <v>0</v>
      </c>
      <c r="R341" s="21">
        <v>0</v>
      </c>
      <c r="S341" s="5">
        <f t="shared" si="23"/>
        <v>124999.50000000004</v>
      </c>
      <c r="T341" cm="1">
        <f t="array" ref="T341">IF(OR(B341="MAL ALIMI", B341="ÜRETİM GİRİŞ"), MIN(I341, MAX(0, I341 + SUM(SUMIFS($I$1:I340, $C$1:C340, C341, $B$1:B340, {"MAL ALIMI","ÜRETİM GİRİŞ"})) - VLOOKUP(C341, 'STOK RAPORU'!$C$2:$I$1000, 4, 0))), 0)</f>
        <v>0</v>
      </c>
      <c r="U341" s="22">
        <f t="shared" si="20"/>
        <v>0</v>
      </c>
      <c r="V341">
        <f t="shared" si="21"/>
        <v>0</v>
      </c>
      <c r="W341" s="22">
        <f t="shared" si="22"/>
        <v>0</v>
      </c>
    </row>
    <row r="342" spans="1:23" hidden="1" x14ac:dyDescent="0.25">
      <c r="A342" s="3">
        <v>45956</v>
      </c>
      <c r="B342" s="3" t="s">
        <v>334</v>
      </c>
      <c r="C342" s="4" t="s">
        <v>168</v>
      </c>
      <c r="D342" s="4"/>
      <c r="E342" s="4" t="s">
        <v>921</v>
      </c>
      <c r="F342" s="4" t="s">
        <v>391</v>
      </c>
      <c r="G342" s="4" t="s">
        <v>336</v>
      </c>
      <c r="H342" s="4" t="s">
        <v>380</v>
      </c>
      <c r="I342" s="4">
        <v>1</v>
      </c>
      <c r="J342" s="21">
        <v>200</v>
      </c>
      <c r="K342" s="35">
        <v>200</v>
      </c>
      <c r="L342" s="5">
        <v>0</v>
      </c>
      <c r="M342" s="4">
        <v>1</v>
      </c>
      <c r="N342" s="4"/>
      <c r="O342" s="5">
        <v>200</v>
      </c>
      <c r="P342" s="5"/>
      <c r="Q342" s="21">
        <v>0</v>
      </c>
      <c r="R342" s="21">
        <v>0</v>
      </c>
      <c r="S342" s="5">
        <f t="shared" si="23"/>
        <v>124999.50000000004</v>
      </c>
      <c r="T342" cm="1">
        <f t="array" ref="T342">IF(OR(B342="MAL ALIMI", B342="ÜRETİM GİRİŞ"), MIN(I342, MAX(0, I342 + SUM(SUMIFS($I$1:I341, $C$1:C341, C342, $B$1:B341, {"MAL ALIMI","ÜRETİM GİRİŞ"})) - VLOOKUP(C342, 'STOK RAPORU'!$C$2:$I$1000, 4, 0))), 0)</f>
        <v>0</v>
      </c>
      <c r="U342" s="22">
        <f t="shared" si="20"/>
        <v>0</v>
      </c>
      <c r="V342">
        <f t="shared" si="21"/>
        <v>0</v>
      </c>
      <c r="W342" s="22">
        <f t="shared" si="22"/>
        <v>0</v>
      </c>
    </row>
    <row r="343" spans="1:23" hidden="1" x14ac:dyDescent="0.25">
      <c r="A343" s="3">
        <v>45956</v>
      </c>
      <c r="B343" s="3" t="s">
        <v>334</v>
      </c>
      <c r="C343" s="4" t="s">
        <v>149</v>
      </c>
      <c r="D343" s="4"/>
      <c r="E343" s="4" t="s">
        <v>921</v>
      </c>
      <c r="F343" s="4" t="s">
        <v>391</v>
      </c>
      <c r="G343" s="4" t="s">
        <v>336</v>
      </c>
      <c r="H343" s="4" t="s">
        <v>380</v>
      </c>
      <c r="I343" s="4">
        <v>1</v>
      </c>
      <c r="J343" s="21">
        <v>65</v>
      </c>
      <c r="K343" s="35">
        <v>65</v>
      </c>
      <c r="L343" s="5">
        <v>0</v>
      </c>
      <c r="M343" s="4">
        <v>1</v>
      </c>
      <c r="N343" s="4"/>
      <c r="O343" s="5">
        <v>65</v>
      </c>
      <c r="P343" s="5"/>
      <c r="Q343" s="21">
        <v>0</v>
      </c>
      <c r="R343" s="21">
        <v>0</v>
      </c>
      <c r="S343" s="5">
        <f t="shared" si="23"/>
        <v>124999.50000000004</v>
      </c>
      <c r="T343" cm="1">
        <f t="array" ref="T343">IF(OR(B343="MAL ALIMI", B343="ÜRETİM GİRİŞ"), MIN(I343, MAX(0, I343 + SUM(SUMIFS($I$1:I342, $C$1:C342, C343, $B$1:B342, {"MAL ALIMI","ÜRETİM GİRİŞ"})) - VLOOKUP(C343, 'STOK RAPORU'!$C$2:$I$1000, 4, 0))), 0)</f>
        <v>0</v>
      </c>
      <c r="U343" s="22">
        <f t="shared" si="20"/>
        <v>0</v>
      </c>
      <c r="V343">
        <f t="shared" si="21"/>
        <v>0</v>
      </c>
      <c r="W343" s="22">
        <f t="shared" si="22"/>
        <v>0</v>
      </c>
    </row>
    <row r="344" spans="1:23" hidden="1" x14ac:dyDescent="0.25">
      <c r="A344" s="3">
        <v>45956</v>
      </c>
      <c r="B344" s="4" t="s">
        <v>334</v>
      </c>
      <c r="C344" s="4" t="s">
        <v>252</v>
      </c>
      <c r="D344" s="4"/>
      <c r="E344" s="4" t="s">
        <v>921</v>
      </c>
      <c r="F344" s="4" t="s">
        <v>392</v>
      </c>
      <c r="G344" s="4" t="s">
        <v>336</v>
      </c>
      <c r="H344" s="4" t="s">
        <v>380</v>
      </c>
      <c r="I344" s="4">
        <v>0.48899999999999999</v>
      </c>
      <c r="J344" s="21">
        <v>180</v>
      </c>
      <c r="K344" s="35">
        <v>88.02</v>
      </c>
      <c r="L344" s="5">
        <v>0</v>
      </c>
      <c r="M344" s="4">
        <v>0.48899999999999999</v>
      </c>
      <c r="N344" s="4"/>
      <c r="O344" s="5">
        <v>180</v>
      </c>
      <c r="P344" s="5"/>
      <c r="Q344" s="21">
        <v>0</v>
      </c>
      <c r="R344" s="21">
        <v>0</v>
      </c>
      <c r="S344" s="5">
        <f t="shared" si="23"/>
        <v>124999.50000000004</v>
      </c>
      <c r="T344" cm="1">
        <f t="array" ref="T344">IF(OR(B344="MAL ALIMI", B344="ÜRETİM GİRİŞ"), MIN(I344, MAX(0, I344 + SUM(SUMIFS($I$1:I343, $C$1:C343, C344, $B$1:B343, {"MAL ALIMI","ÜRETİM GİRİŞ"})) - VLOOKUP(C344, 'STOK RAPORU'!$C$2:$I$1000, 4, 0))), 0)</f>
        <v>0</v>
      </c>
      <c r="U344" s="22">
        <f t="shared" si="20"/>
        <v>0</v>
      </c>
      <c r="V344">
        <f t="shared" si="21"/>
        <v>0</v>
      </c>
      <c r="W344" s="22">
        <f t="shared" si="22"/>
        <v>0</v>
      </c>
    </row>
    <row r="345" spans="1:23" hidden="1" x14ac:dyDescent="0.25">
      <c r="A345" s="3">
        <v>45956</v>
      </c>
      <c r="B345" s="4" t="s">
        <v>334</v>
      </c>
      <c r="C345" s="4" t="s">
        <v>203</v>
      </c>
      <c r="D345" s="4"/>
      <c r="E345" s="4" t="s">
        <v>921</v>
      </c>
      <c r="F345" s="4" t="s">
        <v>392</v>
      </c>
      <c r="G345" s="4" t="s">
        <v>336</v>
      </c>
      <c r="H345" s="4" t="s">
        <v>380</v>
      </c>
      <c r="I345" s="4">
        <v>0.5</v>
      </c>
      <c r="J345" s="21">
        <v>80</v>
      </c>
      <c r="K345" s="35">
        <v>40</v>
      </c>
      <c r="L345" s="5">
        <v>0</v>
      </c>
      <c r="M345" s="4">
        <v>0.5</v>
      </c>
      <c r="N345" s="4"/>
      <c r="O345" s="5">
        <v>80</v>
      </c>
      <c r="P345" s="5"/>
      <c r="Q345" s="21">
        <v>0</v>
      </c>
      <c r="R345" s="21">
        <v>0</v>
      </c>
      <c r="S345" s="5">
        <f t="shared" si="23"/>
        <v>124999.50000000004</v>
      </c>
      <c r="T345" cm="1">
        <f t="array" ref="T345">IF(OR(B345="MAL ALIMI", B345="ÜRETİM GİRİŞ"), MIN(I345, MAX(0, I345 + SUM(SUMIFS($I$1:I344, $C$1:C344, C345, $B$1:B344, {"MAL ALIMI","ÜRETİM GİRİŞ"})) - VLOOKUP(C345, 'STOK RAPORU'!$C$2:$I$1000, 4, 0))), 0)</f>
        <v>0</v>
      </c>
      <c r="U345" s="22">
        <f t="shared" si="20"/>
        <v>0</v>
      </c>
      <c r="V345">
        <f t="shared" si="21"/>
        <v>0</v>
      </c>
      <c r="W345" s="22">
        <f t="shared" si="22"/>
        <v>0</v>
      </c>
    </row>
    <row r="346" spans="1:23" hidden="1" x14ac:dyDescent="0.25">
      <c r="A346" s="3">
        <v>45957</v>
      </c>
      <c r="B346" s="3" t="s">
        <v>334</v>
      </c>
      <c r="C346" s="4" t="s">
        <v>187</v>
      </c>
      <c r="D346" s="4"/>
      <c r="E346" s="4"/>
      <c r="F346" s="4" t="s">
        <v>393</v>
      </c>
      <c r="G346" s="4" t="s">
        <v>336</v>
      </c>
      <c r="H346" s="4" t="s">
        <v>289</v>
      </c>
      <c r="I346" s="4">
        <v>1</v>
      </c>
      <c r="J346" s="21">
        <v>60</v>
      </c>
      <c r="K346" s="21">
        <v>0</v>
      </c>
      <c r="L346" s="5">
        <v>0</v>
      </c>
      <c r="M346" s="4">
        <v>1</v>
      </c>
      <c r="N346" s="4"/>
      <c r="O346" s="5">
        <v>60</v>
      </c>
      <c r="P346" s="5"/>
      <c r="Q346" s="21">
        <v>60</v>
      </c>
      <c r="R346" s="21">
        <v>0</v>
      </c>
      <c r="S346" s="5">
        <f t="shared" si="23"/>
        <v>125059.50000000004</v>
      </c>
      <c r="T346" cm="1">
        <f t="array" ref="T346">IF(OR(B346="MAL ALIMI", B346="ÜRETİM GİRİŞ"), MIN(I346, MAX(0, I346 + SUM(SUMIFS($I$1:I345, $C$1:C345, C346, $B$1:B345, {"MAL ALIMI","ÜRETİM GİRİŞ"})) - VLOOKUP(C346, 'STOK RAPORU'!$C$2:$I$1000, 4, 0))), 0)</f>
        <v>0</v>
      </c>
      <c r="U346" s="22">
        <f t="shared" si="20"/>
        <v>0</v>
      </c>
      <c r="V346">
        <f t="shared" si="21"/>
        <v>0</v>
      </c>
      <c r="W346" s="22">
        <f t="shared" si="22"/>
        <v>0</v>
      </c>
    </row>
    <row r="347" spans="1:23" hidden="1" x14ac:dyDescent="0.25">
      <c r="A347" s="3">
        <v>45957</v>
      </c>
      <c r="B347" s="3" t="s">
        <v>334</v>
      </c>
      <c r="C347" s="4" t="s">
        <v>225</v>
      </c>
      <c r="D347" s="4"/>
      <c r="E347" s="4"/>
      <c r="F347" s="4" t="s">
        <v>394</v>
      </c>
      <c r="G347" s="4" t="s">
        <v>336</v>
      </c>
      <c r="H347" s="4" t="s">
        <v>289</v>
      </c>
      <c r="I347" s="4">
        <v>0.2</v>
      </c>
      <c r="J347" s="21">
        <v>650</v>
      </c>
      <c r="K347" s="21">
        <v>0</v>
      </c>
      <c r="L347" s="5">
        <v>0</v>
      </c>
      <c r="M347" s="4">
        <v>0.2</v>
      </c>
      <c r="N347" s="4"/>
      <c r="O347" s="5">
        <v>650</v>
      </c>
      <c r="P347" s="5"/>
      <c r="Q347" s="21">
        <v>130</v>
      </c>
      <c r="R347" s="21">
        <v>0</v>
      </c>
      <c r="S347" s="5">
        <f t="shared" si="23"/>
        <v>125189.50000000004</v>
      </c>
      <c r="T347" cm="1">
        <f t="array" ref="T347">IF(OR(B347="MAL ALIMI", B347="ÜRETİM GİRİŞ"), MIN(I347, MAX(0, I347 + SUM(SUMIFS($I$1:I346, $C$1:C346, C347, $B$1:B346, {"MAL ALIMI","ÜRETİM GİRİŞ"})) - VLOOKUP(C347, 'STOK RAPORU'!$C$2:$I$1000, 4, 0))), 0)</f>
        <v>0</v>
      </c>
      <c r="U347" s="22">
        <f t="shared" si="20"/>
        <v>0</v>
      </c>
      <c r="V347">
        <f t="shared" si="21"/>
        <v>0</v>
      </c>
      <c r="W347" s="22">
        <f t="shared" si="22"/>
        <v>0</v>
      </c>
    </row>
    <row r="348" spans="1:23" hidden="1" x14ac:dyDescent="0.25">
      <c r="A348" s="3">
        <v>45957</v>
      </c>
      <c r="B348" s="4" t="s">
        <v>334</v>
      </c>
      <c r="C348" s="4" t="s">
        <v>158</v>
      </c>
      <c r="D348" s="4"/>
      <c r="E348" s="4"/>
      <c r="F348" s="4" t="s">
        <v>395</v>
      </c>
      <c r="G348" s="4" t="s">
        <v>336</v>
      </c>
      <c r="H348" s="4" t="s">
        <v>289</v>
      </c>
      <c r="I348" s="4">
        <v>3.798</v>
      </c>
      <c r="J348" s="21">
        <v>130</v>
      </c>
      <c r="K348" s="21">
        <v>0</v>
      </c>
      <c r="L348" s="5">
        <v>0</v>
      </c>
      <c r="M348" s="4">
        <v>3.798</v>
      </c>
      <c r="N348" s="4"/>
      <c r="O348" s="5">
        <v>130</v>
      </c>
      <c r="P348" s="5"/>
      <c r="Q348" s="21">
        <v>493.74</v>
      </c>
      <c r="R348" s="21">
        <v>0</v>
      </c>
      <c r="S348" s="5">
        <f t="shared" si="23"/>
        <v>125683.24000000005</v>
      </c>
      <c r="T348" cm="1">
        <f t="array" ref="T348">IF(OR(B348="MAL ALIMI", B348="ÜRETİM GİRİŞ"), MIN(I348, MAX(0, I348 + SUM(SUMIFS($I$1:I347, $C$1:C347, C348, $B$1:B347, {"MAL ALIMI","ÜRETİM GİRİŞ"})) - VLOOKUP(C348, 'STOK RAPORU'!$C$2:$I$1000, 4, 0))), 0)</f>
        <v>0</v>
      </c>
      <c r="U348" s="22">
        <f t="shared" si="20"/>
        <v>0</v>
      </c>
      <c r="V348">
        <f t="shared" si="21"/>
        <v>0</v>
      </c>
      <c r="W348" s="22">
        <f t="shared" si="22"/>
        <v>0</v>
      </c>
    </row>
    <row r="349" spans="1:23" hidden="1" x14ac:dyDescent="0.25">
      <c r="A349" s="3">
        <v>45957</v>
      </c>
      <c r="B349" s="4" t="s">
        <v>334</v>
      </c>
      <c r="C349" s="4" t="s">
        <v>160</v>
      </c>
      <c r="D349" s="4"/>
      <c r="E349" s="4"/>
      <c r="F349" s="4" t="s">
        <v>395</v>
      </c>
      <c r="G349" s="4" t="s">
        <v>336</v>
      </c>
      <c r="H349" s="4" t="s">
        <v>289</v>
      </c>
      <c r="I349" s="4">
        <v>1</v>
      </c>
      <c r="J349" s="21">
        <v>240</v>
      </c>
      <c r="K349" s="21">
        <v>0</v>
      </c>
      <c r="L349" s="5">
        <v>0</v>
      </c>
      <c r="M349" s="4">
        <v>1</v>
      </c>
      <c r="N349" s="4"/>
      <c r="O349" s="5">
        <v>240</v>
      </c>
      <c r="P349" s="5"/>
      <c r="Q349" s="21">
        <v>240</v>
      </c>
      <c r="R349" s="21">
        <v>0</v>
      </c>
      <c r="S349" s="5">
        <f t="shared" si="23"/>
        <v>125923.24000000005</v>
      </c>
      <c r="T349" cm="1">
        <f t="array" ref="T349">IF(OR(B349="MAL ALIMI", B349="ÜRETİM GİRİŞ"), MIN(I349, MAX(0, I349 + SUM(SUMIFS($I$1:I348, $C$1:C348, C349, $B$1:B348, {"MAL ALIMI","ÜRETİM GİRİŞ"})) - VLOOKUP(C349, 'STOK RAPORU'!$C$2:$I$1000, 4, 0))), 0)</f>
        <v>0</v>
      </c>
      <c r="U349" s="22">
        <f t="shared" si="20"/>
        <v>0</v>
      </c>
      <c r="V349">
        <f t="shared" si="21"/>
        <v>0</v>
      </c>
      <c r="W349" s="22">
        <f t="shared" si="22"/>
        <v>0</v>
      </c>
    </row>
    <row r="350" spans="1:23" hidden="1" x14ac:dyDescent="0.25">
      <c r="A350" s="3">
        <v>45957</v>
      </c>
      <c r="B350" s="4" t="s">
        <v>334</v>
      </c>
      <c r="C350" s="4" t="s">
        <v>167</v>
      </c>
      <c r="D350" s="4"/>
      <c r="E350" s="4"/>
      <c r="F350" s="4" t="s">
        <v>395</v>
      </c>
      <c r="G350" s="4" t="s">
        <v>336</v>
      </c>
      <c r="H350" s="4" t="s">
        <v>289</v>
      </c>
      <c r="I350" s="4">
        <v>1</v>
      </c>
      <c r="J350" s="21">
        <v>200</v>
      </c>
      <c r="K350" s="21">
        <v>0</v>
      </c>
      <c r="L350" s="5">
        <v>0</v>
      </c>
      <c r="M350" s="4">
        <v>1</v>
      </c>
      <c r="N350" s="4"/>
      <c r="O350" s="5">
        <v>200</v>
      </c>
      <c r="P350" s="5"/>
      <c r="Q350" s="21">
        <v>200</v>
      </c>
      <c r="R350" s="21">
        <v>0</v>
      </c>
      <c r="S350" s="5">
        <f t="shared" si="23"/>
        <v>126123.24000000005</v>
      </c>
      <c r="T350" cm="1">
        <f t="array" ref="T350">IF(OR(B350="MAL ALIMI", B350="ÜRETİM GİRİŞ"), MIN(I350, MAX(0, I350 + SUM(SUMIFS($I$1:I349, $C$1:C349, C350, $B$1:B349, {"MAL ALIMI","ÜRETİM GİRİŞ"})) - VLOOKUP(C350, 'STOK RAPORU'!$C$2:$I$1000, 4, 0))), 0)</f>
        <v>0</v>
      </c>
      <c r="U350" s="22">
        <f t="shared" si="20"/>
        <v>0</v>
      </c>
      <c r="V350">
        <f t="shared" si="21"/>
        <v>0</v>
      </c>
      <c r="W350" s="22">
        <f t="shared" si="22"/>
        <v>0</v>
      </c>
    </row>
    <row r="351" spans="1:23" hidden="1" x14ac:dyDescent="0.25">
      <c r="A351" s="3">
        <v>45957</v>
      </c>
      <c r="B351" s="4" t="s">
        <v>334</v>
      </c>
      <c r="C351" s="4" t="s">
        <v>157</v>
      </c>
      <c r="D351" s="4"/>
      <c r="E351" s="4"/>
      <c r="F351" s="4" t="s">
        <v>395</v>
      </c>
      <c r="G351" s="4" t="s">
        <v>336</v>
      </c>
      <c r="H351" s="4" t="s">
        <v>289</v>
      </c>
      <c r="I351" s="4">
        <v>1.24</v>
      </c>
      <c r="J351" s="21">
        <v>180</v>
      </c>
      <c r="K351" s="21">
        <v>0</v>
      </c>
      <c r="L351" s="5">
        <v>0</v>
      </c>
      <c r="M351" s="4">
        <v>1.24</v>
      </c>
      <c r="N351" s="4"/>
      <c r="O351" s="5">
        <v>180</v>
      </c>
      <c r="P351" s="5"/>
      <c r="Q351" s="21">
        <v>223.2</v>
      </c>
      <c r="R351" s="21">
        <v>0</v>
      </c>
      <c r="S351" s="5">
        <f t="shared" si="23"/>
        <v>126346.44000000005</v>
      </c>
      <c r="T351" cm="1">
        <f t="array" ref="T351">IF(OR(B351="MAL ALIMI", B351="ÜRETİM GİRİŞ"), MIN(I351, MAX(0, I351 + SUM(SUMIFS($I$1:I350, $C$1:C350, C351, $B$1:B350, {"MAL ALIMI","ÜRETİM GİRİŞ"})) - VLOOKUP(C351, 'STOK RAPORU'!$C$2:$I$1000, 4, 0))), 0)</f>
        <v>0</v>
      </c>
      <c r="U351" s="22">
        <f t="shared" si="20"/>
        <v>0</v>
      </c>
      <c r="V351">
        <f t="shared" si="21"/>
        <v>0</v>
      </c>
      <c r="W351" s="22">
        <f t="shared" si="22"/>
        <v>0</v>
      </c>
    </row>
    <row r="352" spans="1:23" hidden="1" x14ac:dyDescent="0.25">
      <c r="A352" s="3">
        <v>45957</v>
      </c>
      <c r="B352" s="4" t="s">
        <v>334</v>
      </c>
      <c r="C352" s="4" t="s">
        <v>266</v>
      </c>
      <c r="D352" s="4"/>
      <c r="E352" s="4"/>
      <c r="F352" s="4" t="s">
        <v>395</v>
      </c>
      <c r="G352" s="4" t="s">
        <v>336</v>
      </c>
      <c r="H352" s="4" t="s">
        <v>289</v>
      </c>
      <c r="I352" s="4">
        <v>0.86799999999999999</v>
      </c>
      <c r="J352" s="21">
        <v>250</v>
      </c>
      <c r="K352" s="21">
        <v>0</v>
      </c>
      <c r="L352" s="5">
        <v>0</v>
      </c>
      <c r="M352" s="4">
        <v>0.86799999999999999</v>
      </c>
      <c r="N352" s="4"/>
      <c r="O352" s="5">
        <v>250</v>
      </c>
      <c r="P352" s="5"/>
      <c r="Q352" s="21">
        <v>217</v>
      </c>
      <c r="R352" s="21">
        <v>0</v>
      </c>
      <c r="S352" s="5">
        <f t="shared" si="23"/>
        <v>126563.44000000005</v>
      </c>
      <c r="T352" cm="1">
        <f t="array" ref="T352">IF(OR(B352="MAL ALIMI", B352="ÜRETİM GİRİŞ"), MIN(I352, MAX(0, I352 + SUM(SUMIFS($I$1:I351, $C$1:C351, C352, $B$1:B351, {"MAL ALIMI","ÜRETİM GİRİŞ"})) - VLOOKUP(C352, 'STOK RAPORU'!$C$2:$I$1000, 4, 0))), 0)</f>
        <v>0</v>
      </c>
      <c r="U352" s="22">
        <f t="shared" si="20"/>
        <v>0</v>
      </c>
      <c r="V352">
        <f t="shared" si="21"/>
        <v>0</v>
      </c>
      <c r="W352" s="22">
        <f t="shared" si="22"/>
        <v>0</v>
      </c>
    </row>
    <row r="353" spans="1:23" hidden="1" x14ac:dyDescent="0.25">
      <c r="A353" s="3">
        <v>45957</v>
      </c>
      <c r="B353" s="4" t="s">
        <v>334</v>
      </c>
      <c r="C353" s="4" t="s">
        <v>246</v>
      </c>
      <c r="D353" s="4"/>
      <c r="E353" s="4"/>
      <c r="F353" s="4" t="s">
        <v>395</v>
      </c>
      <c r="G353" s="4" t="s">
        <v>336</v>
      </c>
      <c r="H353" s="4" t="s">
        <v>289</v>
      </c>
      <c r="I353" s="4">
        <v>0.25600000000000001</v>
      </c>
      <c r="J353" s="21">
        <v>1250</v>
      </c>
      <c r="K353" s="21">
        <v>0</v>
      </c>
      <c r="L353" s="5">
        <v>0</v>
      </c>
      <c r="M353" s="4">
        <v>0.25600000000000001</v>
      </c>
      <c r="N353" s="4"/>
      <c r="O353" s="5">
        <v>1250</v>
      </c>
      <c r="P353" s="5"/>
      <c r="Q353" s="21">
        <v>320</v>
      </c>
      <c r="R353" s="21">
        <v>0</v>
      </c>
      <c r="S353" s="5">
        <f t="shared" si="23"/>
        <v>126883.44000000005</v>
      </c>
      <c r="T353" cm="1">
        <f t="array" ref="T353">IF(OR(B353="MAL ALIMI", B353="ÜRETİM GİRİŞ"), MIN(I353, MAX(0, I353 + SUM(SUMIFS($I$1:I352, $C$1:C352, C353, $B$1:B352, {"MAL ALIMI","ÜRETİM GİRİŞ"})) - VLOOKUP(C353, 'STOK RAPORU'!$C$2:$I$1000, 4, 0))), 0)</f>
        <v>0</v>
      </c>
      <c r="U353" s="22">
        <f t="shared" si="20"/>
        <v>0</v>
      </c>
      <c r="V353">
        <f t="shared" si="21"/>
        <v>0</v>
      </c>
      <c r="W353" s="22">
        <f t="shared" si="22"/>
        <v>0</v>
      </c>
    </row>
    <row r="354" spans="1:23" hidden="1" x14ac:dyDescent="0.25">
      <c r="A354" s="3">
        <v>45957</v>
      </c>
      <c r="B354" s="4" t="s">
        <v>334</v>
      </c>
      <c r="C354" s="4" t="s">
        <v>244</v>
      </c>
      <c r="D354" s="4"/>
      <c r="E354" s="4"/>
      <c r="F354" s="4" t="s">
        <v>395</v>
      </c>
      <c r="G354" s="4" t="s">
        <v>336</v>
      </c>
      <c r="H354" s="4" t="s">
        <v>289</v>
      </c>
      <c r="I354" s="4">
        <v>0.45600000000000002</v>
      </c>
      <c r="J354" s="21">
        <v>650</v>
      </c>
      <c r="K354" s="21">
        <v>0</v>
      </c>
      <c r="L354" s="5">
        <v>0</v>
      </c>
      <c r="M354" s="4">
        <v>0.45600000000000002</v>
      </c>
      <c r="N354" s="4"/>
      <c r="O354" s="5">
        <v>650</v>
      </c>
      <c r="P354" s="5"/>
      <c r="Q354" s="21">
        <v>296.40000000000003</v>
      </c>
      <c r="R354" s="21">
        <v>0</v>
      </c>
      <c r="S354" s="5">
        <f t="shared" si="23"/>
        <v>127179.84000000004</v>
      </c>
      <c r="T354" cm="1">
        <f t="array" ref="T354">IF(OR(B354="MAL ALIMI", B354="ÜRETİM GİRİŞ"), MIN(I354, MAX(0, I354 + SUM(SUMIFS($I$1:I353, $C$1:C353, C354, $B$1:B353, {"MAL ALIMI","ÜRETİM GİRİŞ"})) - VLOOKUP(C354, 'STOK RAPORU'!$C$2:$I$1000, 4, 0))), 0)</f>
        <v>0</v>
      </c>
      <c r="U354" s="22">
        <f t="shared" si="20"/>
        <v>0</v>
      </c>
      <c r="V354">
        <f t="shared" si="21"/>
        <v>0</v>
      </c>
      <c r="W354" s="22">
        <f t="shared" si="22"/>
        <v>0</v>
      </c>
    </row>
    <row r="355" spans="1:23" hidden="1" x14ac:dyDescent="0.25">
      <c r="A355" s="3">
        <v>45957</v>
      </c>
      <c r="B355" s="4" t="s">
        <v>334</v>
      </c>
      <c r="C355" s="4" t="s">
        <v>222</v>
      </c>
      <c r="D355" s="4"/>
      <c r="E355" s="4"/>
      <c r="F355" s="4" t="s">
        <v>395</v>
      </c>
      <c r="G355" s="4" t="s">
        <v>336</v>
      </c>
      <c r="H355" s="4" t="s">
        <v>289</v>
      </c>
      <c r="I355" s="4">
        <v>0.50600000000000001</v>
      </c>
      <c r="J355" s="21">
        <v>600</v>
      </c>
      <c r="K355" s="21">
        <v>0</v>
      </c>
      <c r="L355" s="5">
        <v>0</v>
      </c>
      <c r="M355" s="4">
        <v>0.50600000000000001</v>
      </c>
      <c r="N355" s="4"/>
      <c r="O355" s="5">
        <v>600</v>
      </c>
      <c r="P355" s="5"/>
      <c r="Q355" s="21">
        <v>303.60000000000002</v>
      </c>
      <c r="R355" s="21">
        <v>0</v>
      </c>
      <c r="S355" s="5">
        <f t="shared" si="23"/>
        <v>127483.44000000005</v>
      </c>
      <c r="T355" cm="1">
        <f t="array" ref="T355">IF(OR(B355="MAL ALIMI", B355="ÜRETİM GİRİŞ"), MIN(I355, MAX(0, I355 + SUM(SUMIFS($I$1:I354, $C$1:C354, C355, $B$1:B354, {"MAL ALIMI","ÜRETİM GİRİŞ"})) - VLOOKUP(C355, 'STOK RAPORU'!$C$2:$I$1000, 4, 0))), 0)</f>
        <v>0</v>
      </c>
      <c r="U355" s="22">
        <f t="shared" si="20"/>
        <v>0</v>
      </c>
      <c r="V355">
        <f t="shared" si="21"/>
        <v>0</v>
      </c>
      <c r="W355" s="22">
        <f t="shared" si="22"/>
        <v>0</v>
      </c>
    </row>
    <row r="356" spans="1:23" hidden="1" x14ac:dyDescent="0.25">
      <c r="A356" s="3">
        <v>45957</v>
      </c>
      <c r="B356" s="4" t="s">
        <v>334</v>
      </c>
      <c r="C356" s="4" t="s">
        <v>247</v>
      </c>
      <c r="D356" s="4"/>
      <c r="E356" s="4"/>
      <c r="F356" s="4" t="s">
        <v>395</v>
      </c>
      <c r="G356" s="4" t="s">
        <v>336</v>
      </c>
      <c r="H356" s="4" t="s">
        <v>289</v>
      </c>
      <c r="I356" s="4">
        <v>0.23400000000000001</v>
      </c>
      <c r="J356" s="21">
        <v>1150</v>
      </c>
      <c r="K356" s="21">
        <v>0</v>
      </c>
      <c r="L356" s="5">
        <v>0</v>
      </c>
      <c r="M356" s="4">
        <v>0.23400000000000001</v>
      </c>
      <c r="N356" s="4"/>
      <c r="O356" s="5">
        <v>1150</v>
      </c>
      <c r="P356" s="5"/>
      <c r="Q356" s="21">
        <v>269.10000000000002</v>
      </c>
      <c r="R356" s="21">
        <v>0</v>
      </c>
      <c r="S356" s="5">
        <f t="shared" si="23"/>
        <v>127752.54000000005</v>
      </c>
      <c r="T356" cm="1">
        <f t="array" ref="T356">IF(OR(B356="MAL ALIMI", B356="ÜRETİM GİRİŞ"), MIN(I356, MAX(0, I356 + SUM(SUMIFS($I$1:I355, $C$1:C355, C356, $B$1:B355, {"MAL ALIMI","ÜRETİM GİRİŞ"})) - VLOOKUP(C356, 'STOK RAPORU'!$C$2:$I$1000, 4, 0))), 0)</f>
        <v>0</v>
      </c>
      <c r="U356" s="22">
        <f t="shared" si="20"/>
        <v>0</v>
      </c>
      <c r="V356">
        <f t="shared" si="21"/>
        <v>0</v>
      </c>
      <c r="W356" s="22">
        <f t="shared" si="22"/>
        <v>0</v>
      </c>
    </row>
    <row r="357" spans="1:23" hidden="1" x14ac:dyDescent="0.25">
      <c r="A357" s="3">
        <v>45957</v>
      </c>
      <c r="B357" s="4" t="s">
        <v>334</v>
      </c>
      <c r="C357" s="4" t="s">
        <v>201</v>
      </c>
      <c r="D357" s="4"/>
      <c r="E357" s="4"/>
      <c r="F357" s="4" t="s">
        <v>395</v>
      </c>
      <c r="G357" s="4" t="s">
        <v>336</v>
      </c>
      <c r="H357" s="4" t="s">
        <v>289</v>
      </c>
      <c r="I357" s="4">
        <v>0.152</v>
      </c>
      <c r="J357" s="21">
        <v>800</v>
      </c>
      <c r="K357" s="21">
        <v>0</v>
      </c>
      <c r="L357" s="5">
        <v>0</v>
      </c>
      <c r="M357" s="4">
        <v>0.152</v>
      </c>
      <c r="N357" s="4"/>
      <c r="O357" s="5">
        <v>800</v>
      </c>
      <c r="P357" s="5"/>
      <c r="Q357" s="21">
        <v>121.6</v>
      </c>
      <c r="R357" s="21">
        <v>0</v>
      </c>
      <c r="S357" s="5">
        <f t="shared" si="23"/>
        <v>127874.14000000006</v>
      </c>
      <c r="T357" cm="1">
        <f t="array" ref="T357">IF(OR(B357="MAL ALIMI", B357="ÜRETİM GİRİŞ"), MIN(I357, MAX(0, I357 + SUM(SUMIFS($I$1:I356, $C$1:C356, C357, $B$1:B356, {"MAL ALIMI","ÜRETİM GİRİŞ"})) - VLOOKUP(C357, 'STOK RAPORU'!$C$2:$I$1000, 4, 0))), 0)</f>
        <v>0</v>
      </c>
      <c r="U357" s="22">
        <f t="shared" si="20"/>
        <v>0</v>
      </c>
      <c r="V357">
        <f t="shared" si="21"/>
        <v>0</v>
      </c>
      <c r="W357" s="22">
        <f t="shared" si="22"/>
        <v>0</v>
      </c>
    </row>
    <row r="358" spans="1:23" hidden="1" x14ac:dyDescent="0.25">
      <c r="A358" s="3">
        <v>45957</v>
      </c>
      <c r="B358" s="4" t="s">
        <v>334</v>
      </c>
      <c r="C358" s="4" t="s">
        <v>199</v>
      </c>
      <c r="D358" s="4"/>
      <c r="E358" s="4"/>
      <c r="F358" s="4" t="s">
        <v>395</v>
      </c>
      <c r="G358" s="4" t="s">
        <v>336</v>
      </c>
      <c r="H358" s="4" t="s">
        <v>289</v>
      </c>
      <c r="I358" s="4">
        <v>0.35599999999999998</v>
      </c>
      <c r="J358" s="21">
        <v>930</v>
      </c>
      <c r="K358" s="21">
        <v>0</v>
      </c>
      <c r="L358" s="5">
        <v>0</v>
      </c>
      <c r="M358" s="4">
        <v>0.35599999999999998</v>
      </c>
      <c r="N358" s="4"/>
      <c r="O358" s="5">
        <v>930</v>
      </c>
      <c r="P358" s="5"/>
      <c r="Q358" s="21">
        <v>331.08</v>
      </c>
      <c r="R358" s="21">
        <v>0</v>
      </c>
      <c r="S358" s="5">
        <f t="shared" si="23"/>
        <v>128205.22000000006</v>
      </c>
      <c r="T358" cm="1">
        <f t="array" ref="T358">IF(OR(B358="MAL ALIMI", B358="ÜRETİM GİRİŞ"), MIN(I358, MAX(0, I358 + SUM(SUMIFS($I$1:I357, $C$1:C357, C358, $B$1:B357, {"MAL ALIMI","ÜRETİM GİRİŞ"})) - VLOOKUP(C358, 'STOK RAPORU'!$C$2:$I$1000, 4, 0))), 0)</f>
        <v>0</v>
      </c>
      <c r="U358" s="22">
        <f t="shared" si="20"/>
        <v>0</v>
      </c>
      <c r="V358">
        <f t="shared" si="21"/>
        <v>0</v>
      </c>
      <c r="W358" s="22">
        <f t="shared" si="22"/>
        <v>0</v>
      </c>
    </row>
    <row r="359" spans="1:23" hidden="1" x14ac:dyDescent="0.25">
      <c r="A359" s="3">
        <v>45957</v>
      </c>
      <c r="B359" s="4" t="s">
        <v>334</v>
      </c>
      <c r="C359" s="4" t="s">
        <v>251</v>
      </c>
      <c r="D359" s="4"/>
      <c r="E359" s="4"/>
      <c r="F359" s="4" t="s">
        <v>395</v>
      </c>
      <c r="G359" s="4" t="s">
        <v>336</v>
      </c>
      <c r="H359" s="4" t="s">
        <v>289</v>
      </c>
      <c r="I359" s="4">
        <v>0.29399999999999998</v>
      </c>
      <c r="J359" s="21">
        <v>670</v>
      </c>
      <c r="K359" s="21">
        <v>0</v>
      </c>
      <c r="L359" s="5">
        <v>0</v>
      </c>
      <c r="M359" s="4">
        <v>0.29399999999999998</v>
      </c>
      <c r="N359" s="4"/>
      <c r="O359" s="5">
        <v>670</v>
      </c>
      <c r="P359" s="5"/>
      <c r="Q359" s="21">
        <v>196.98</v>
      </c>
      <c r="R359" s="21">
        <v>0</v>
      </c>
      <c r="S359" s="5">
        <f t="shared" si="23"/>
        <v>128402.20000000006</v>
      </c>
      <c r="T359" cm="1">
        <f t="array" ref="T359">IF(OR(B359="MAL ALIMI", B359="ÜRETİM GİRİŞ"), MIN(I359, MAX(0, I359 + SUM(SUMIFS($I$1:I358, $C$1:C358, C359, $B$1:B358, {"MAL ALIMI","ÜRETİM GİRİŞ"})) - VLOOKUP(C359, 'STOK RAPORU'!$C$2:$I$1000, 4, 0))), 0)</f>
        <v>0</v>
      </c>
      <c r="U359" s="22">
        <f t="shared" si="20"/>
        <v>0</v>
      </c>
      <c r="V359">
        <f t="shared" si="21"/>
        <v>0</v>
      </c>
      <c r="W359" s="22">
        <f t="shared" si="22"/>
        <v>0</v>
      </c>
    </row>
    <row r="360" spans="1:23" hidden="1" x14ac:dyDescent="0.25">
      <c r="A360" s="3">
        <v>45957</v>
      </c>
      <c r="B360" s="4" t="s">
        <v>334</v>
      </c>
      <c r="C360" s="4" t="s">
        <v>179</v>
      </c>
      <c r="D360" s="4"/>
      <c r="E360" s="4"/>
      <c r="F360" s="4" t="s">
        <v>395</v>
      </c>
      <c r="G360" s="4" t="s">
        <v>336</v>
      </c>
      <c r="H360" s="4" t="s">
        <v>289</v>
      </c>
      <c r="I360" s="4">
        <v>1</v>
      </c>
      <c r="J360" s="21">
        <v>160</v>
      </c>
      <c r="K360" s="21">
        <v>0</v>
      </c>
      <c r="L360" s="5">
        <v>0</v>
      </c>
      <c r="M360" s="4">
        <v>1</v>
      </c>
      <c r="N360" s="4"/>
      <c r="O360" s="5">
        <v>160</v>
      </c>
      <c r="P360" s="5"/>
      <c r="Q360" s="21">
        <v>160</v>
      </c>
      <c r="R360" s="21">
        <v>0</v>
      </c>
      <c r="S360" s="5">
        <f t="shared" si="23"/>
        <v>128562.20000000006</v>
      </c>
      <c r="T360" cm="1">
        <f t="array" ref="T360">IF(OR(B360="MAL ALIMI", B360="ÜRETİM GİRİŞ"), MIN(I360, MAX(0, I360 + SUM(SUMIFS($I$1:I359, $C$1:C359, C360, $B$1:B359, {"MAL ALIMI","ÜRETİM GİRİŞ"})) - VLOOKUP(C360, 'STOK RAPORU'!$C$2:$I$1000, 4, 0))), 0)</f>
        <v>0</v>
      </c>
      <c r="U360" s="22">
        <f t="shared" si="20"/>
        <v>0</v>
      </c>
      <c r="V360">
        <f t="shared" si="21"/>
        <v>0</v>
      </c>
      <c r="W360" s="22">
        <f t="shared" si="22"/>
        <v>0</v>
      </c>
    </row>
    <row r="361" spans="1:23" hidden="1" x14ac:dyDescent="0.25">
      <c r="A361" s="3">
        <v>45957</v>
      </c>
      <c r="B361" s="4" t="s">
        <v>334</v>
      </c>
      <c r="C361" s="4" t="s">
        <v>3167</v>
      </c>
      <c r="D361" s="4"/>
      <c r="E361" s="4"/>
      <c r="F361" s="4" t="s">
        <v>395</v>
      </c>
      <c r="G361" s="4" t="s">
        <v>336</v>
      </c>
      <c r="H361" s="4" t="s">
        <v>289</v>
      </c>
      <c r="I361" s="4">
        <v>0.18</v>
      </c>
      <c r="J361" s="21">
        <v>320</v>
      </c>
      <c r="K361" s="21">
        <v>0</v>
      </c>
      <c r="L361" s="5">
        <v>0</v>
      </c>
      <c r="M361" s="4">
        <v>0.18</v>
      </c>
      <c r="N361" s="4"/>
      <c r="O361" s="5">
        <v>320</v>
      </c>
      <c r="P361" s="5"/>
      <c r="Q361" s="21">
        <v>57.599999999999994</v>
      </c>
      <c r="R361" s="21">
        <v>0</v>
      </c>
      <c r="S361" s="5">
        <f t="shared" si="23"/>
        <v>128619.80000000006</v>
      </c>
      <c r="T361" cm="1">
        <f t="array" ref="T361">IF(OR(B361="MAL ALIMI", B361="ÜRETİM GİRİŞ"), MIN(I361, MAX(0, I361 + SUM(SUMIFS($I$1:I360, $C$1:C360, C361, $B$1:B360, {"MAL ALIMI","ÜRETİM GİRİŞ"})) - VLOOKUP(C361, 'STOK RAPORU'!$C$2:$I$1000, 4, 0))), 0)</f>
        <v>0</v>
      </c>
      <c r="U361" s="22">
        <f t="shared" si="20"/>
        <v>0</v>
      </c>
      <c r="V361">
        <f t="shared" si="21"/>
        <v>0</v>
      </c>
      <c r="W361" s="22">
        <f t="shared" si="22"/>
        <v>0</v>
      </c>
    </row>
    <row r="362" spans="1:23" hidden="1" x14ac:dyDescent="0.25">
      <c r="A362" s="3">
        <v>45957</v>
      </c>
      <c r="B362" s="4" t="s">
        <v>334</v>
      </c>
      <c r="C362" s="4" t="s">
        <v>523</v>
      </c>
      <c r="D362" s="4"/>
      <c r="E362" s="4"/>
      <c r="F362" s="4" t="s">
        <v>395</v>
      </c>
      <c r="G362" s="4" t="s">
        <v>336</v>
      </c>
      <c r="H362" s="4" t="s">
        <v>289</v>
      </c>
      <c r="I362" s="4">
        <v>5.6000000000000001E-2</v>
      </c>
      <c r="J362" s="21">
        <v>660</v>
      </c>
      <c r="K362" s="21">
        <v>0</v>
      </c>
      <c r="L362" s="5">
        <v>0</v>
      </c>
      <c r="M362" s="4">
        <v>5.6000000000000001E-2</v>
      </c>
      <c r="N362" s="4"/>
      <c r="O362" s="5">
        <v>660</v>
      </c>
      <c r="P362" s="5"/>
      <c r="Q362" s="21">
        <v>36.96</v>
      </c>
      <c r="R362" s="21">
        <v>0</v>
      </c>
      <c r="S362" s="5">
        <f t="shared" si="23"/>
        <v>128656.76000000007</v>
      </c>
      <c r="T362" cm="1">
        <f t="array" ref="T362">IF(OR(B362="MAL ALIMI", B362="ÜRETİM GİRİŞ"), MIN(I362, MAX(0, I362 + SUM(SUMIFS($I$1:I361, $C$1:C361, C362, $B$1:B361, {"MAL ALIMI","ÜRETİM GİRİŞ"})) - VLOOKUP(C362, 'STOK RAPORU'!$C$2:$I$1000, 4, 0))), 0)</f>
        <v>0</v>
      </c>
      <c r="U362" s="22">
        <f t="shared" si="20"/>
        <v>0</v>
      </c>
      <c r="V362">
        <f t="shared" si="21"/>
        <v>0</v>
      </c>
      <c r="W362" s="22">
        <f t="shared" si="22"/>
        <v>0</v>
      </c>
    </row>
    <row r="363" spans="1:23" hidden="1" x14ac:dyDescent="0.25">
      <c r="A363" s="3">
        <v>45957</v>
      </c>
      <c r="B363" s="4" t="s">
        <v>334</v>
      </c>
      <c r="C363" s="4" t="s">
        <v>126</v>
      </c>
      <c r="D363" s="4"/>
      <c r="E363" s="4"/>
      <c r="F363" s="4" t="s">
        <v>395</v>
      </c>
      <c r="G363" s="4" t="s">
        <v>336</v>
      </c>
      <c r="H363" s="4" t="s">
        <v>289</v>
      </c>
      <c r="I363" s="4">
        <v>0.16600000000000001</v>
      </c>
      <c r="J363" s="21">
        <v>640</v>
      </c>
      <c r="K363" s="21">
        <v>0</v>
      </c>
      <c r="L363" s="5">
        <v>0</v>
      </c>
      <c r="M363" s="4">
        <v>0.16600000000000001</v>
      </c>
      <c r="N363" s="4"/>
      <c r="O363" s="5">
        <v>640</v>
      </c>
      <c r="P363" s="5"/>
      <c r="Q363" s="21">
        <v>106.24000000000001</v>
      </c>
      <c r="R363" s="21">
        <v>0</v>
      </c>
      <c r="S363" s="5">
        <f t="shared" si="23"/>
        <v>128763.00000000007</v>
      </c>
      <c r="T363" cm="1">
        <f t="array" ref="T363">IF(OR(B363="MAL ALIMI", B363="ÜRETİM GİRİŞ"), MIN(I363, MAX(0, I363 + SUM(SUMIFS($I$1:I362, $C$1:C362, C363, $B$1:B362, {"MAL ALIMI","ÜRETİM GİRİŞ"})) - VLOOKUP(C363, 'STOK RAPORU'!$C$2:$I$1000, 4, 0))), 0)</f>
        <v>0</v>
      </c>
      <c r="U363" s="22">
        <f t="shared" si="20"/>
        <v>0</v>
      </c>
      <c r="V363">
        <f t="shared" si="21"/>
        <v>0</v>
      </c>
      <c r="W363" s="22">
        <f t="shared" si="22"/>
        <v>0</v>
      </c>
    </row>
    <row r="364" spans="1:23" hidden="1" x14ac:dyDescent="0.25">
      <c r="A364" s="3">
        <v>45957</v>
      </c>
      <c r="B364" s="4" t="s">
        <v>334</v>
      </c>
      <c r="C364" s="4" t="s">
        <v>140</v>
      </c>
      <c r="D364" s="4"/>
      <c r="E364" s="4"/>
      <c r="F364" s="4" t="s">
        <v>395</v>
      </c>
      <c r="G364" s="4" t="s">
        <v>336</v>
      </c>
      <c r="H364" s="4" t="s">
        <v>289</v>
      </c>
      <c r="I364" s="4">
        <v>7.1999999999999995E-2</v>
      </c>
      <c r="J364" s="21">
        <v>250</v>
      </c>
      <c r="K364" s="21">
        <v>0</v>
      </c>
      <c r="L364" s="5">
        <v>0</v>
      </c>
      <c r="M364" s="4">
        <v>7.1999999999999995E-2</v>
      </c>
      <c r="N364" s="4"/>
      <c r="O364" s="5">
        <v>250</v>
      </c>
      <c r="P364" s="5"/>
      <c r="Q364" s="21">
        <v>18</v>
      </c>
      <c r="R364" s="21">
        <v>0</v>
      </c>
      <c r="S364" s="5">
        <f t="shared" si="23"/>
        <v>128781.00000000007</v>
      </c>
      <c r="T364" cm="1">
        <f t="array" ref="T364">IF(OR(B364="MAL ALIMI", B364="ÜRETİM GİRİŞ"), MIN(I364, MAX(0, I364 + SUM(SUMIFS($I$1:I363, $C$1:C363, C364, $B$1:B363, {"MAL ALIMI","ÜRETİM GİRİŞ"})) - VLOOKUP(C364, 'STOK RAPORU'!$C$2:$I$1000, 4, 0))), 0)</f>
        <v>0</v>
      </c>
      <c r="U364" s="22">
        <f t="shared" si="20"/>
        <v>0</v>
      </c>
      <c r="V364">
        <f t="shared" si="21"/>
        <v>0</v>
      </c>
      <c r="W364" s="22">
        <f t="shared" si="22"/>
        <v>0</v>
      </c>
    </row>
    <row r="365" spans="1:23" hidden="1" x14ac:dyDescent="0.25">
      <c r="A365" s="3">
        <v>45957</v>
      </c>
      <c r="B365" s="4" t="s">
        <v>334</v>
      </c>
      <c r="C365" s="4" t="s">
        <v>187</v>
      </c>
      <c r="D365" s="4"/>
      <c r="E365" s="4"/>
      <c r="F365" s="4" t="s">
        <v>395</v>
      </c>
      <c r="G365" s="4" t="s">
        <v>336</v>
      </c>
      <c r="H365" s="4" t="s">
        <v>289</v>
      </c>
      <c r="I365" s="4">
        <v>1</v>
      </c>
      <c r="J365" s="21">
        <v>60</v>
      </c>
      <c r="K365" s="21">
        <v>0</v>
      </c>
      <c r="L365" s="5">
        <v>0</v>
      </c>
      <c r="M365" s="4">
        <v>1</v>
      </c>
      <c r="N365" s="4"/>
      <c r="O365" s="5">
        <v>60</v>
      </c>
      <c r="P365" s="5"/>
      <c r="Q365" s="21">
        <v>60</v>
      </c>
      <c r="R365" s="21">
        <v>0</v>
      </c>
      <c r="S365" s="5">
        <f t="shared" si="23"/>
        <v>128841.00000000007</v>
      </c>
      <c r="T365" cm="1">
        <f t="array" ref="T365">IF(OR(B365="MAL ALIMI", B365="ÜRETİM GİRİŞ"), MIN(I365, MAX(0, I365 + SUM(SUMIFS($I$1:I364, $C$1:C364, C365, $B$1:B364, {"MAL ALIMI","ÜRETİM GİRİŞ"})) - VLOOKUP(C365, 'STOK RAPORU'!$C$2:$I$1000, 4, 0))), 0)</f>
        <v>0</v>
      </c>
      <c r="U365" s="22">
        <f t="shared" si="20"/>
        <v>0</v>
      </c>
      <c r="V365">
        <f t="shared" si="21"/>
        <v>0</v>
      </c>
      <c r="W365" s="22">
        <f t="shared" si="22"/>
        <v>0</v>
      </c>
    </row>
    <row r="366" spans="1:23" hidden="1" x14ac:dyDescent="0.25">
      <c r="A366" s="3">
        <v>45957</v>
      </c>
      <c r="B366" s="4" t="s">
        <v>334</v>
      </c>
      <c r="C366" s="4" t="s">
        <v>209</v>
      </c>
      <c r="D366" s="4"/>
      <c r="E366" s="4"/>
      <c r="F366" s="4" t="s">
        <v>395</v>
      </c>
      <c r="G366" s="4" t="s">
        <v>336</v>
      </c>
      <c r="H366" s="4" t="s">
        <v>289</v>
      </c>
      <c r="I366" s="4">
        <v>0.05</v>
      </c>
      <c r="J366" s="21">
        <v>2500</v>
      </c>
      <c r="K366" s="21">
        <v>0</v>
      </c>
      <c r="L366" s="5">
        <v>0</v>
      </c>
      <c r="M366" s="4">
        <v>0.05</v>
      </c>
      <c r="N366" s="4"/>
      <c r="O366" s="5">
        <v>2500</v>
      </c>
      <c r="P366" s="5"/>
      <c r="Q366" s="21">
        <v>125</v>
      </c>
      <c r="R366" s="21">
        <v>0</v>
      </c>
      <c r="S366" s="5">
        <f t="shared" si="23"/>
        <v>128966.00000000007</v>
      </c>
      <c r="T366" cm="1">
        <f t="array" ref="T366">IF(OR(B366="MAL ALIMI", B366="ÜRETİM GİRİŞ"), MIN(I366, MAX(0, I366 + SUM(SUMIFS($I$1:I365, $C$1:C365, C366, $B$1:B365, {"MAL ALIMI","ÜRETİM GİRİŞ"})) - VLOOKUP(C366, 'STOK RAPORU'!$C$2:$I$1000, 4, 0))), 0)</f>
        <v>0</v>
      </c>
      <c r="U366" s="22">
        <f t="shared" si="20"/>
        <v>0</v>
      </c>
      <c r="V366">
        <f t="shared" si="21"/>
        <v>0</v>
      </c>
      <c r="W366" s="22">
        <f t="shared" si="22"/>
        <v>0</v>
      </c>
    </row>
    <row r="367" spans="1:23" hidden="1" x14ac:dyDescent="0.25">
      <c r="A367" s="3">
        <v>45957</v>
      </c>
      <c r="B367" s="4" t="s">
        <v>334</v>
      </c>
      <c r="C367" s="4" t="s">
        <v>153</v>
      </c>
      <c r="D367" s="4"/>
      <c r="E367" s="4"/>
      <c r="F367" s="4" t="s">
        <v>395</v>
      </c>
      <c r="G367" s="4" t="s">
        <v>336</v>
      </c>
      <c r="H367" s="4" t="s">
        <v>289</v>
      </c>
      <c r="I367" s="4">
        <v>0.1</v>
      </c>
      <c r="J367" s="21">
        <v>350</v>
      </c>
      <c r="K367" s="21">
        <v>0</v>
      </c>
      <c r="L367" s="5">
        <v>0</v>
      </c>
      <c r="M367" s="4">
        <v>0.1</v>
      </c>
      <c r="N367" s="4"/>
      <c r="O367" s="5">
        <v>350</v>
      </c>
      <c r="P367" s="5"/>
      <c r="Q367" s="21">
        <v>35</v>
      </c>
      <c r="R367" s="21">
        <v>0</v>
      </c>
      <c r="S367" s="5">
        <f t="shared" si="23"/>
        <v>129001.00000000007</v>
      </c>
      <c r="T367" cm="1">
        <f t="array" ref="T367">IF(OR(B367="MAL ALIMI", B367="ÜRETİM GİRİŞ"), MIN(I367, MAX(0, I367 + SUM(SUMIFS($I$1:I366, $C$1:C366, C367, $B$1:B366, {"MAL ALIMI","ÜRETİM GİRİŞ"})) - VLOOKUP(C367, 'STOK RAPORU'!$C$2:$I$1000, 4, 0))), 0)</f>
        <v>0</v>
      </c>
      <c r="U367" s="22">
        <f t="shared" si="20"/>
        <v>0</v>
      </c>
      <c r="V367">
        <f t="shared" si="21"/>
        <v>0</v>
      </c>
      <c r="W367" s="22">
        <f t="shared" si="22"/>
        <v>0</v>
      </c>
    </row>
    <row r="368" spans="1:23" hidden="1" x14ac:dyDescent="0.25">
      <c r="A368" s="3">
        <v>45957</v>
      </c>
      <c r="B368" s="4" t="s">
        <v>334</v>
      </c>
      <c r="C368" s="4" t="s">
        <v>129</v>
      </c>
      <c r="D368" s="4"/>
      <c r="E368" s="4"/>
      <c r="F368" s="4" t="s">
        <v>395</v>
      </c>
      <c r="G368" s="4" t="s">
        <v>336</v>
      </c>
      <c r="H368" s="4" t="s">
        <v>289</v>
      </c>
      <c r="I368" s="4">
        <v>7.3999999999999996E-2</v>
      </c>
      <c r="J368" s="21">
        <v>390</v>
      </c>
      <c r="K368" s="21">
        <v>0</v>
      </c>
      <c r="L368" s="5">
        <v>0</v>
      </c>
      <c r="M368" s="4">
        <v>7.3999999999999996E-2</v>
      </c>
      <c r="N368" s="4"/>
      <c r="O368" s="5">
        <v>390</v>
      </c>
      <c r="P368" s="5"/>
      <c r="Q368" s="21">
        <v>28.86</v>
      </c>
      <c r="R368" s="21">
        <v>0</v>
      </c>
      <c r="S368" s="5">
        <f t="shared" si="23"/>
        <v>129029.86000000007</v>
      </c>
      <c r="T368" cm="1">
        <f t="array" ref="T368">IF(OR(B368="MAL ALIMI", B368="ÜRETİM GİRİŞ"), MIN(I368, MAX(0, I368 + SUM(SUMIFS($I$1:I367, $C$1:C367, C368, $B$1:B367, {"MAL ALIMI","ÜRETİM GİRİŞ"})) - VLOOKUP(C368, 'STOK RAPORU'!$C$2:$I$1000, 4, 0))), 0)</f>
        <v>0</v>
      </c>
      <c r="U368" s="22">
        <f t="shared" si="20"/>
        <v>0</v>
      </c>
      <c r="V368">
        <f t="shared" si="21"/>
        <v>0</v>
      </c>
      <c r="W368" s="22">
        <f t="shared" si="22"/>
        <v>0</v>
      </c>
    </row>
    <row r="369" spans="1:23" hidden="1" x14ac:dyDescent="0.25">
      <c r="A369" s="3">
        <v>45957</v>
      </c>
      <c r="B369" s="4" t="s">
        <v>334</v>
      </c>
      <c r="C369" s="4" t="s">
        <v>260</v>
      </c>
      <c r="D369" s="4"/>
      <c r="E369" s="4"/>
      <c r="F369" s="4" t="s">
        <v>395</v>
      </c>
      <c r="G369" s="4" t="s">
        <v>336</v>
      </c>
      <c r="H369" s="4" t="s">
        <v>289</v>
      </c>
      <c r="I369" s="4">
        <v>1</v>
      </c>
      <c r="J369" s="21">
        <v>160</v>
      </c>
      <c r="K369" s="21">
        <v>0</v>
      </c>
      <c r="L369" s="5">
        <v>0</v>
      </c>
      <c r="M369" s="4">
        <v>1</v>
      </c>
      <c r="N369" s="4"/>
      <c r="O369" s="5">
        <v>160</v>
      </c>
      <c r="P369" s="5"/>
      <c r="Q369" s="21">
        <v>160</v>
      </c>
      <c r="R369" s="21">
        <v>0</v>
      </c>
      <c r="S369" s="5">
        <f t="shared" si="23"/>
        <v>129189.86000000007</v>
      </c>
      <c r="T369" cm="1">
        <f t="array" ref="T369">IF(OR(B369="MAL ALIMI", B369="ÜRETİM GİRİŞ"), MIN(I369, MAX(0, I369 + SUM(SUMIFS($I$1:I368, $C$1:C368, C369, $B$1:B368, {"MAL ALIMI","ÜRETİM GİRİŞ"})) - VLOOKUP(C369, 'STOK RAPORU'!$C$2:$I$1000, 4, 0))), 0)</f>
        <v>0</v>
      </c>
      <c r="U369" s="22">
        <f t="shared" si="20"/>
        <v>0</v>
      </c>
      <c r="V369">
        <f t="shared" si="21"/>
        <v>0</v>
      </c>
      <c r="W369" s="22">
        <f t="shared" si="22"/>
        <v>0</v>
      </c>
    </row>
    <row r="370" spans="1:23" hidden="1" x14ac:dyDescent="0.25">
      <c r="A370" s="3">
        <v>45957</v>
      </c>
      <c r="B370" s="4" t="s">
        <v>334</v>
      </c>
      <c r="C370" s="4" t="s">
        <v>225</v>
      </c>
      <c r="D370" s="4"/>
      <c r="E370" s="4"/>
      <c r="F370" s="4" t="s">
        <v>395</v>
      </c>
      <c r="G370" s="4" t="s">
        <v>336</v>
      </c>
      <c r="H370" s="4" t="s">
        <v>289</v>
      </c>
      <c r="I370" s="4">
        <v>0.30599999999999999</v>
      </c>
      <c r="J370" s="21">
        <v>650</v>
      </c>
      <c r="K370" s="21">
        <v>0</v>
      </c>
      <c r="L370" s="5">
        <v>0</v>
      </c>
      <c r="M370" s="4">
        <v>0.30599999999999999</v>
      </c>
      <c r="N370" s="4"/>
      <c r="O370" s="5">
        <v>650</v>
      </c>
      <c r="P370" s="5"/>
      <c r="Q370" s="21">
        <v>198.9</v>
      </c>
      <c r="R370" s="21">
        <v>0</v>
      </c>
      <c r="S370" s="5">
        <f t="shared" si="23"/>
        <v>129388.76000000007</v>
      </c>
      <c r="T370" cm="1">
        <f t="array" ref="T370">IF(OR(B370="MAL ALIMI", B370="ÜRETİM GİRİŞ"), MIN(I370, MAX(0, I370 + SUM(SUMIFS($I$1:I369, $C$1:C369, C370, $B$1:B369, {"MAL ALIMI","ÜRETİM GİRİŞ"})) - VLOOKUP(C370, 'STOK RAPORU'!$C$2:$I$1000, 4, 0))), 0)</f>
        <v>0</v>
      </c>
      <c r="U370" s="22">
        <f t="shared" si="20"/>
        <v>0</v>
      </c>
      <c r="V370">
        <f t="shared" si="21"/>
        <v>0</v>
      </c>
      <c r="W370" s="22">
        <f t="shared" si="22"/>
        <v>0</v>
      </c>
    </row>
    <row r="371" spans="1:23" hidden="1" x14ac:dyDescent="0.25">
      <c r="A371" s="3">
        <v>45957</v>
      </c>
      <c r="B371" s="4" t="s">
        <v>334</v>
      </c>
      <c r="C371" s="4" t="s">
        <v>3167</v>
      </c>
      <c r="D371" s="4"/>
      <c r="E371" s="4"/>
      <c r="F371" s="4" t="s">
        <v>395</v>
      </c>
      <c r="G371" s="4" t="s">
        <v>336</v>
      </c>
      <c r="H371" s="4" t="s">
        <v>289</v>
      </c>
      <c r="I371" s="4">
        <v>0.14399999999999999</v>
      </c>
      <c r="J371" s="21">
        <v>320</v>
      </c>
      <c r="K371" s="21">
        <v>0</v>
      </c>
      <c r="L371" s="5">
        <v>0</v>
      </c>
      <c r="M371" s="4">
        <v>0.14399999999999999</v>
      </c>
      <c r="N371" s="4"/>
      <c r="O371" s="5">
        <v>320</v>
      </c>
      <c r="P371" s="5"/>
      <c r="Q371" s="21">
        <v>46.08</v>
      </c>
      <c r="R371" s="21">
        <v>0</v>
      </c>
      <c r="S371" s="5">
        <f t="shared" si="23"/>
        <v>129434.84000000007</v>
      </c>
      <c r="T371" cm="1">
        <f t="array" ref="T371">IF(OR(B371="MAL ALIMI", B371="ÜRETİM GİRİŞ"), MIN(I371, MAX(0, I371 + SUM(SUMIFS($I$1:I370, $C$1:C370, C371, $B$1:B370, {"MAL ALIMI","ÜRETİM GİRİŞ"})) - VLOOKUP(C371, 'STOK RAPORU'!$C$2:$I$1000, 4, 0))), 0)</f>
        <v>0</v>
      </c>
      <c r="U371" s="22">
        <f t="shared" si="20"/>
        <v>0</v>
      </c>
      <c r="V371">
        <f t="shared" si="21"/>
        <v>0</v>
      </c>
      <c r="W371" s="22">
        <f t="shared" si="22"/>
        <v>0</v>
      </c>
    </row>
    <row r="372" spans="1:23" hidden="1" x14ac:dyDescent="0.25">
      <c r="A372" s="3">
        <v>45957</v>
      </c>
      <c r="B372" s="4" t="s">
        <v>334</v>
      </c>
      <c r="C372" s="4" t="s">
        <v>154</v>
      </c>
      <c r="D372" s="4"/>
      <c r="E372" s="4"/>
      <c r="F372" s="4" t="s">
        <v>395</v>
      </c>
      <c r="G372" s="4" t="s">
        <v>336</v>
      </c>
      <c r="H372" s="4" t="s">
        <v>289</v>
      </c>
      <c r="I372" s="4">
        <v>0.1</v>
      </c>
      <c r="J372" s="21">
        <v>400</v>
      </c>
      <c r="K372" s="21">
        <v>0</v>
      </c>
      <c r="L372" s="5">
        <v>0</v>
      </c>
      <c r="M372" s="4">
        <v>0.1</v>
      </c>
      <c r="N372" s="4"/>
      <c r="O372" s="5">
        <v>400</v>
      </c>
      <c r="P372" s="5"/>
      <c r="Q372" s="21">
        <v>40</v>
      </c>
      <c r="R372" s="21">
        <v>0</v>
      </c>
      <c r="S372" s="5">
        <f t="shared" si="23"/>
        <v>129474.84000000007</v>
      </c>
      <c r="T372" cm="1">
        <f t="array" ref="T372">IF(OR(B372="MAL ALIMI", B372="ÜRETİM GİRİŞ"), MIN(I372, MAX(0, I372 + SUM(SUMIFS($I$1:I371, $C$1:C371, C372, $B$1:B371, {"MAL ALIMI","ÜRETİM GİRİŞ"})) - VLOOKUP(C372, 'STOK RAPORU'!$C$2:$I$1000, 4, 0))), 0)</f>
        <v>0</v>
      </c>
      <c r="U372" s="22">
        <f t="shared" si="20"/>
        <v>0</v>
      </c>
      <c r="V372">
        <f t="shared" si="21"/>
        <v>0</v>
      </c>
      <c r="W372" s="22">
        <f t="shared" si="22"/>
        <v>0</v>
      </c>
    </row>
    <row r="373" spans="1:23" hidden="1" x14ac:dyDescent="0.25">
      <c r="A373" s="3">
        <v>45957</v>
      </c>
      <c r="B373" s="4" t="s">
        <v>334</v>
      </c>
      <c r="C373" s="4" t="s">
        <v>76</v>
      </c>
      <c r="D373" s="4"/>
      <c r="E373" s="4"/>
      <c r="F373" s="4" t="s">
        <v>395</v>
      </c>
      <c r="G373" s="4" t="s">
        <v>336</v>
      </c>
      <c r="H373" s="4" t="s">
        <v>289</v>
      </c>
      <c r="I373" s="4">
        <v>0.08</v>
      </c>
      <c r="J373" s="21">
        <v>380</v>
      </c>
      <c r="K373" s="21">
        <v>0</v>
      </c>
      <c r="L373" s="5">
        <v>0</v>
      </c>
      <c r="M373" s="4">
        <v>0.08</v>
      </c>
      <c r="N373" s="4"/>
      <c r="O373" s="5">
        <v>380</v>
      </c>
      <c r="P373" s="5"/>
      <c r="Q373" s="21">
        <v>30.400000000000002</v>
      </c>
      <c r="R373" s="21">
        <v>0</v>
      </c>
      <c r="S373" s="5">
        <f t="shared" si="23"/>
        <v>129505.24000000006</v>
      </c>
      <c r="T373" cm="1">
        <f t="array" ref="T373">IF(OR(B373="MAL ALIMI", B373="ÜRETİM GİRİŞ"), MIN(I373, MAX(0, I373 + SUM(SUMIFS($I$1:I372, $C$1:C372, C373, $B$1:B372, {"MAL ALIMI","ÜRETİM GİRİŞ"})) - VLOOKUP(C373, 'STOK RAPORU'!$C$2:$I$1000, 4, 0))), 0)</f>
        <v>0</v>
      </c>
      <c r="U373" s="22">
        <f t="shared" si="20"/>
        <v>0</v>
      </c>
      <c r="V373">
        <f t="shared" si="21"/>
        <v>0</v>
      </c>
      <c r="W373" s="22">
        <f t="shared" si="22"/>
        <v>0</v>
      </c>
    </row>
    <row r="374" spans="1:23" hidden="1" x14ac:dyDescent="0.25">
      <c r="A374" s="3">
        <v>45957</v>
      </c>
      <c r="B374" s="4" t="s">
        <v>285</v>
      </c>
      <c r="C374" s="4"/>
      <c r="D374" s="4" t="s">
        <v>114</v>
      </c>
      <c r="E374" s="4"/>
      <c r="F374" s="4" t="s">
        <v>395</v>
      </c>
      <c r="G374" s="4" t="s">
        <v>336</v>
      </c>
      <c r="H374" s="4" t="s">
        <v>289</v>
      </c>
      <c r="I374" s="4">
        <v>1</v>
      </c>
      <c r="J374" s="21">
        <v>15.74</v>
      </c>
      <c r="K374" s="21">
        <v>0</v>
      </c>
      <c r="L374" s="5">
        <v>0</v>
      </c>
      <c r="M374" s="4"/>
      <c r="N374" s="4">
        <v>1</v>
      </c>
      <c r="O374" s="5"/>
      <c r="P374" s="5">
        <v>15.74</v>
      </c>
      <c r="Q374" s="21">
        <v>0</v>
      </c>
      <c r="R374" s="21">
        <v>15.74</v>
      </c>
      <c r="S374" s="5">
        <f t="shared" si="23"/>
        <v>129489.50000000006</v>
      </c>
      <c r="T374" cm="1">
        <f t="array" ref="T374">IF(OR(B374="MAL ALIMI", B374="ÜRETİM GİRİŞ"), MIN(I374, MAX(0, I374 + SUM(SUMIFS($I$1:I373, $C$1:C373, C374, $B$1:B373, {"MAL ALIMI","ÜRETİM GİRİŞ"})) - VLOOKUP(C374, 'STOK RAPORU'!$C$2:$I$1000, 4, 0))), 0)</f>
        <v>0</v>
      </c>
      <c r="U374" s="22">
        <f t="shared" si="20"/>
        <v>0</v>
      </c>
      <c r="V374">
        <f t="shared" si="21"/>
        <v>0</v>
      </c>
      <c r="W374" s="22">
        <f t="shared" si="22"/>
        <v>0</v>
      </c>
    </row>
    <row r="375" spans="1:23" hidden="1" x14ac:dyDescent="0.25">
      <c r="A375" s="3">
        <v>45957</v>
      </c>
      <c r="B375" s="4" t="s">
        <v>334</v>
      </c>
      <c r="C375" s="4" t="s">
        <v>197</v>
      </c>
      <c r="D375" s="4"/>
      <c r="E375" s="4" t="s">
        <v>921</v>
      </c>
      <c r="F375" s="4" t="s">
        <v>396</v>
      </c>
      <c r="G375" s="4" t="s">
        <v>336</v>
      </c>
      <c r="H375" s="4" t="s">
        <v>380</v>
      </c>
      <c r="I375" s="4">
        <v>0.25</v>
      </c>
      <c r="J375" s="21">
        <v>180</v>
      </c>
      <c r="K375" s="35">
        <v>45</v>
      </c>
      <c r="L375" s="5">
        <v>0</v>
      </c>
      <c r="M375" s="4">
        <v>0.25</v>
      </c>
      <c r="N375" s="4"/>
      <c r="O375" s="5">
        <v>180</v>
      </c>
      <c r="P375" s="5"/>
      <c r="Q375" s="21">
        <v>0</v>
      </c>
      <c r="R375" s="21">
        <v>0</v>
      </c>
      <c r="S375" s="5">
        <f t="shared" si="23"/>
        <v>129489.50000000006</v>
      </c>
      <c r="T375" cm="1">
        <f t="array" ref="T375">IF(OR(B375="MAL ALIMI", B375="ÜRETİM GİRİŞ"), MIN(I375, MAX(0, I375 + SUM(SUMIFS($I$1:I374, $C$1:C374, C375, $B$1:B374, {"MAL ALIMI","ÜRETİM GİRİŞ"})) - VLOOKUP(C375, 'STOK RAPORU'!$C$2:$I$1000, 4, 0))), 0)</f>
        <v>0</v>
      </c>
      <c r="U375" s="22">
        <f t="shared" si="20"/>
        <v>0</v>
      </c>
      <c r="V375">
        <f t="shared" si="21"/>
        <v>0</v>
      </c>
      <c r="W375" s="22">
        <f t="shared" si="22"/>
        <v>0</v>
      </c>
    </row>
    <row r="376" spans="1:23" hidden="1" x14ac:dyDescent="0.25">
      <c r="A376" s="3">
        <v>45957</v>
      </c>
      <c r="B376" s="4" t="s">
        <v>334</v>
      </c>
      <c r="C376" s="4" t="s">
        <v>226</v>
      </c>
      <c r="D376" s="4"/>
      <c r="E376" s="4" t="s">
        <v>921</v>
      </c>
      <c r="F376" s="4" t="s">
        <v>397</v>
      </c>
      <c r="G376" s="4" t="s">
        <v>336</v>
      </c>
      <c r="H376" s="4" t="s">
        <v>380</v>
      </c>
      <c r="I376" s="4">
        <v>0.434</v>
      </c>
      <c r="J376" s="21">
        <v>150</v>
      </c>
      <c r="K376" s="35">
        <v>65.099999999999994</v>
      </c>
      <c r="L376" s="5">
        <v>0</v>
      </c>
      <c r="M376" s="4">
        <v>0.434</v>
      </c>
      <c r="N376" s="4"/>
      <c r="O376" s="5">
        <v>150</v>
      </c>
      <c r="P376" s="5"/>
      <c r="Q376" s="21">
        <v>0</v>
      </c>
      <c r="R376" s="21">
        <v>0</v>
      </c>
      <c r="S376" s="5">
        <f t="shared" si="23"/>
        <v>129489.50000000006</v>
      </c>
      <c r="T376" cm="1">
        <f t="array" ref="T376">IF(OR(B376="MAL ALIMI", B376="ÜRETİM GİRİŞ"), MIN(I376, MAX(0, I376 + SUM(SUMIFS($I$1:I375, $C$1:C375, C376, $B$1:B375, {"MAL ALIMI","ÜRETİM GİRİŞ"})) - VLOOKUP(C376, 'STOK RAPORU'!$C$2:$I$1000, 4, 0))), 0)</f>
        <v>0</v>
      </c>
      <c r="U376" s="22">
        <f t="shared" si="20"/>
        <v>0</v>
      </c>
      <c r="V376">
        <f t="shared" si="21"/>
        <v>0</v>
      </c>
      <c r="W376" s="22">
        <f t="shared" si="22"/>
        <v>0</v>
      </c>
    </row>
    <row r="377" spans="1:23" hidden="1" x14ac:dyDescent="0.25">
      <c r="A377" s="3">
        <v>45957</v>
      </c>
      <c r="B377" s="4" t="s">
        <v>334</v>
      </c>
      <c r="C377" s="4" t="s">
        <v>212</v>
      </c>
      <c r="D377" s="4"/>
      <c r="E377" s="4"/>
      <c r="F377" s="4" t="s">
        <v>398</v>
      </c>
      <c r="G377" s="4" t="s">
        <v>439</v>
      </c>
      <c r="H377" s="4" t="s">
        <v>289</v>
      </c>
      <c r="I377" s="4">
        <v>1</v>
      </c>
      <c r="J377" s="21">
        <v>400</v>
      </c>
      <c r="K377" s="21">
        <v>0</v>
      </c>
      <c r="L377" s="5">
        <v>0</v>
      </c>
      <c r="M377" s="4">
        <v>1</v>
      </c>
      <c r="N377" s="4"/>
      <c r="O377" s="5">
        <v>400</v>
      </c>
      <c r="P377" s="5"/>
      <c r="Q377" s="21">
        <v>400</v>
      </c>
      <c r="R377" s="21">
        <v>0</v>
      </c>
      <c r="S377" s="5">
        <f t="shared" si="23"/>
        <v>129889.50000000006</v>
      </c>
      <c r="T377" cm="1">
        <f t="array" ref="T377">IF(OR(B377="MAL ALIMI", B377="ÜRETİM GİRİŞ"), MIN(I377, MAX(0, I377 + SUM(SUMIFS($I$1:I376, $C$1:C376, C377, $B$1:B376, {"MAL ALIMI","ÜRETİM GİRİŞ"})) - VLOOKUP(C377, 'STOK RAPORU'!$C$2:$I$1000, 4, 0))), 0)</f>
        <v>0</v>
      </c>
      <c r="U377" s="22">
        <f t="shared" si="20"/>
        <v>0</v>
      </c>
      <c r="V377">
        <f t="shared" si="21"/>
        <v>0</v>
      </c>
      <c r="W377" s="22">
        <f t="shared" si="22"/>
        <v>0</v>
      </c>
    </row>
    <row r="378" spans="1:23" hidden="1" x14ac:dyDescent="0.25">
      <c r="A378" s="3">
        <v>45957</v>
      </c>
      <c r="B378" s="4" t="s">
        <v>334</v>
      </c>
      <c r="C378" s="4" t="s">
        <v>211</v>
      </c>
      <c r="D378" s="4"/>
      <c r="E378" s="4"/>
      <c r="F378" s="4" t="s">
        <v>398</v>
      </c>
      <c r="G378" s="4" t="s">
        <v>336</v>
      </c>
      <c r="H378" s="4" t="s">
        <v>289</v>
      </c>
      <c r="I378" s="4">
        <v>0.76700000000000002</v>
      </c>
      <c r="J378" s="21">
        <v>300</v>
      </c>
      <c r="K378" s="21">
        <v>0</v>
      </c>
      <c r="L378" s="5">
        <v>0</v>
      </c>
      <c r="M378" s="4">
        <v>0.76700000000000002</v>
      </c>
      <c r="N378" s="4"/>
      <c r="O378" s="5">
        <v>300</v>
      </c>
      <c r="P378" s="5"/>
      <c r="Q378" s="21">
        <v>230.1</v>
      </c>
      <c r="R378" s="21">
        <v>0</v>
      </c>
      <c r="S378" s="5">
        <f t="shared" si="23"/>
        <v>130119.60000000006</v>
      </c>
      <c r="T378" cm="1">
        <f t="array" ref="T378">IF(OR(B378="MAL ALIMI", B378="ÜRETİM GİRİŞ"), MIN(I378, MAX(0, I378 + SUM(SUMIFS($I$1:I377, $C$1:C377, C378, $B$1:B377, {"MAL ALIMI","ÜRETİM GİRİŞ"})) - VLOOKUP(C378, 'STOK RAPORU'!$C$2:$I$1000, 4, 0))), 0)</f>
        <v>0</v>
      </c>
      <c r="U378" s="22">
        <f t="shared" si="20"/>
        <v>0</v>
      </c>
      <c r="V378">
        <f t="shared" si="21"/>
        <v>0</v>
      </c>
      <c r="W378" s="22">
        <f t="shared" si="22"/>
        <v>0</v>
      </c>
    </row>
    <row r="379" spans="1:23" hidden="1" x14ac:dyDescent="0.25">
      <c r="A379" s="3">
        <v>45957</v>
      </c>
      <c r="B379" s="4" t="s">
        <v>334</v>
      </c>
      <c r="C379" s="4" t="s">
        <v>160</v>
      </c>
      <c r="D379" s="4"/>
      <c r="E379" s="4" t="s">
        <v>921</v>
      </c>
      <c r="F379" s="4" t="s">
        <v>399</v>
      </c>
      <c r="G379" s="4" t="s">
        <v>336</v>
      </c>
      <c r="H379" s="4" t="s">
        <v>380</v>
      </c>
      <c r="I379" s="4">
        <v>1</v>
      </c>
      <c r="J379" s="21">
        <v>240</v>
      </c>
      <c r="K379" s="35">
        <v>240</v>
      </c>
      <c r="L379" s="5">
        <v>0</v>
      </c>
      <c r="M379" s="4">
        <v>1</v>
      </c>
      <c r="N379" s="4"/>
      <c r="O379" s="5">
        <v>240</v>
      </c>
      <c r="P379" s="5"/>
      <c r="Q379" s="21">
        <v>0</v>
      </c>
      <c r="R379" s="21">
        <v>0</v>
      </c>
      <c r="S379" s="5">
        <f t="shared" si="23"/>
        <v>130119.60000000006</v>
      </c>
      <c r="T379" cm="1">
        <f t="array" ref="T379">IF(OR(B379="MAL ALIMI", B379="ÜRETİM GİRİŞ"), MIN(I379, MAX(0, I379 + SUM(SUMIFS($I$1:I378, $C$1:C378, C379, $B$1:B378, {"MAL ALIMI","ÜRETİM GİRİŞ"})) - VLOOKUP(C379, 'STOK RAPORU'!$C$2:$I$1000, 4, 0))), 0)</f>
        <v>0</v>
      </c>
      <c r="U379" s="22">
        <f t="shared" si="20"/>
        <v>0</v>
      </c>
      <c r="V379">
        <f t="shared" si="21"/>
        <v>0</v>
      </c>
      <c r="W379" s="22">
        <f t="shared" si="22"/>
        <v>0</v>
      </c>
    </row>
    <row r="380" spans="1:23" hidden="1" x14ac:dyDescent="0.25">
      <c r="A380" s="3">
        <v>45957</v>
      </c>
      <c r="B380" s="4" t="s">
        <v>334</v>
      </c>
      <c r="C380" s="4" t="s">
        <v>167</v>
      </c>
      <c r="D380" s="4"/>
      <c r="E380" s="4" t="s">
        <v>921</v>
      </c>
      <c r="F380" s="4" t="s">
        <v>399</v>
      </c>
      <c r="G380" s="4" t="s">
        <v>336</v>
      </c>
      <c r="H380" s="4" t="s">
        <v>380</v>
      </c>
      <c r="I380" s="4">
        <v>1</v>
      </c>
      <c r="J380" s="21">
        <v>200</v>
      </c>
      <c r="K380" s="35">
        <v>200</v>
      </c>
      <c r="L380" s="5">
        <v>0</v>
      </c>
      <c r="M380" s="4">
        <v>1</v>
      </c>
      <c r="N380" s="4"/>
      <c r="O380" s="5">
        <v>200</v>
      </c>
      <c r="P380" s="5"/>
      <c r="Q380" s="21">
        <v>0</v>
      </c>
      <c r="R380" s="21">
        <v>0</v>
      </c>
      <c r="S380" s="5">
        <f t="shared" si="23"/>
        <v>130119.60000000006</v>
      </c>
      <c r="T380" cm="1">
        <f t="array" ref="T380">IF(OR(B380="MAL ALIMI", B380="ÜRETİM GİRİŞ"), MIN(I380, MAX(0, I380 + SUM(SUMIFS($I$1:I379, $C$1:C379, C380, $B$1:B379, {"MAL ALIMI","ÜRETİM GİRİŞ"})) - VLOOKUP(C380, 'STOK RAPORU'!$C$2:$I$1000, 4, 0))), 0)</f>
        <v>0</v>
      </c>
      <c r="U380" s="22">
        <f t="shared" si="20"/>
        <v>0</v>
      </c>
      <c r="V380">
        <f t="shared" si="21"/>
        <v>0</v>
      </c>
      <c r="W380" s="22">
        <f t="shared" si="22"/>
        <v>0</v>
      </c>
    </row>
    <row r="381" spans="1:23" hidden="1" x14ac:dyDescent="0.25">
      <c r="A381" s="3">
        <v>45957</v>
      </c>
      <c r="B381" s="4" t="s">
        <v>334</v>
      </c>
      <c r="C381" s="4" t="s">
        <v>200</v>
      </c>
      <c r="D381" s="4"/>
      <c r="E381" s="4"/>
      <c r="F381" s="4" t="s">
        <v>400</v>
      </c>
      <c r="G381" s="4" t="s">
        <v>336</v>
      </c>
      <c r="H381" s="4" t="s">
        <v>289</v>
      </c>
      <c r="I381" s="4">
        <v>0.25</v>
      </c>
      <c r="J381" s="21">
        <v>360</v>
      </c>
      <c r="K381" s="21">
        <v>0</v>
      </c>
      <c r="L381" s="5">
        <v>0</v>
      </c>
      <c r="M381" s="4">
        <v>1</v>
      </c>
      <c r="N381" s="4"/>
      <c r="O381" s="5">
        <v>90</v>
      </c>
      <c r="P381" s="5"/>
      <c r="Q381" s="21">
        <v>90</v>
      </c>
      <c r="R381" s="21">
        <v>0</v>
      </c>
      <c r="S381" s="5">
        <f t="shared" si="23"/>
        <v>130209.60000000006</v>
      </c>
      <c r="T381" cm="1">
        <f t="array" ref="T381">IF(OR(B381="MAL ALIMI", B381="ÜRETİM GİRİŞ"), MIN(I381, MAX(0, I381 + SUM(SUMIFS($I$1:I380, $C$1:C380, C381, $B$1:B380, {"MAL ALIMI","ÜRETİM GİRİŞ"})) - VLOOKUP(C381, 'STOK RAPORU'!$C$2:$I$1000, 4, 0))), 0)</f>
        <v>0</v>
      </c>
      <c r="U381" s="22">
        <f t="shared" si="20"/>
        <v>0</v>
      </c>
      <c r="V381">
        <f t="shared" si="21"/>
        <v>0</v>
      </c>
      <c r="W381" s="22">
        <f t="shared" si="22"/>
        <v>0</v>
      </c>
    </row>
    <row r="382" spans="1:23" hidden="1" x14ac:dyDescent="0.25">
      <c r="A382" s="3">
        <v>45957</v>
      </c>
      <c r="B382" s="3" t="s">
        <v>285</v>
      </c>
      <c r="C382" s="4"/>
      <c r="D382" s="4" t="s">
        <v>106</v>
      </c>
      <c r="E382" s="4"/>
      <c r="F382" s="4"/>
      <c r="G382" s="4" t="s">
        <v>401</v>
      </c>
      <c r="H382" s="4" t="s">
        <v>289</v>
      </c>
      <c r="I382" s="4">
        <v>1</v>
      </c>
      <c r="J382" s="21">
        <v>10500</v>
      </c>
      <c r="K382" s="21">
        <v>0</v>
      </c>
      <c r="L382" s="5">
        <v>0</v>
      </c>
      <c r="M382" s="4"/>
      <c r="N382" s="4">
        <v>1</v>
      </c>
      <c r="O382" s="5"/>
      <c r="P382" s="5">
        <v>10500</v>
      </c>
      <c r="Q382" s="21">
        <v>0</v>
      </c>
      <c r="R382" s="21">
        <v>10500</v>
      </c>
      <c r="S382" s="5">
        <f t="shared" si="23"/>
        <v>119709.60000000006</v>
      </c>
      <c r="T382" cm="1">
        <f t="array" ref="T382">IF(OR(B382="MAL ALIMI", B382="ÜRETİM GİRİŞ"), MIN(I382, MAX(0, I382 + SUM(SUMIFS($I$1:I381, $C$1:C381, C382, $B$1:B381, {"MAL ALIMI","ÜRETİM GİRİŞ"})) - VLOOKUP(C382, 'STOK RAPORU'!$C$2:$I$1000, 4, 0))), 0)</f>
        <v>0</v>
      </c>
      <c r="U382" s="22">
        <f t="shared" si="20"/>
        <v>0</v>
      </c>
      <c r="V382">
        <f t="shared" si="21"/>
        <v>0</v>
      </c>
      <c r="W382" s="22">
        <f t="shared" si="22"/>
        <v>0</v>
      </c>
    </row>
    <row r="383" spans="1:23" hidden="1" x14ac:dyDescent="0.25">
      <c r="A383" s="3">
        <v>45957</v>
      </c>
      <c r="B383" s="4" t="s">
        <v>285</v>
      </c>
      <c r="C383" s="4"/>
      <c r="D383" s="4" t="s">
        <v>673</v>
      </c>
      <c r="E383" s="4" t="s">
        <v>856</v>
      </c>
      <c r="F383" s="4"/>
      <c r="G383" s="4" t="s">
        <v>1205</v>
      </c>
      <c r="H383" s="4" t="s">
        <v>1329</v>
      </c>
      <c r="I383" s="4">
        <v>1</v>
      </c>
      <c r="J383" s="21">
        <v>665</v>
      </c>
      <c r="K383" s="21">
        <v>0</v>
      </c>
      <c r="L383" s="5">
        <v>665</v>
      </c>
      <c r="M383" s="4"/>
      <c r="N383" s="4"/>
      <c r="O383" s="5"/>
      <c r="P383" s="5"/>
      <c r="Q383" s="21">
        <v>0</v>
      </c>
      <c r="R383" s="21">
        <v>0</v>
      </c>
      <c r="S383" s="5">
        <f t="shared" si="23"/>
        <v>119709.60000000006</v>
      </c>
      <c r="T383" cm="1">
        <f t="array" ref="T383">IF(OR(B383="MAL ALIMI", B383="ÜRETİM GİRİŞ"), MIN(I383, MAX(0, I383 + SUM(SUMIFS($I$1:I382, $C$1:C382, C383, $B$1:B382, {"MAL ALIMI","ÜRETİM GİRİŞ"})) - VLOOKUP(C383, 'STOK RAPORU'!$C$2:$I$1000, 4, 0))), 0)</f>
        <v>0</v>
      </c>
      <c r="U383" s="22">
        <f t="shared" si="20"/>
        <v>0</v>
      </c>
      <c r="V383">
        <f t="shared" si="21"/>
        <v>0</v>
      </c>
      <c r="W383" s="22">
        <f t="shared" si="22"/>
        <v>0</v>
      </c>
    </row>
    <row r="384" spans="1:23" hidden="1" x14ac:dyDescent="0.25">
      <c r="A384" s="3">
        <v>45958</v>
      </c>
      <c r="B384" s="4" t="s">
        <v>334</v>
      </c>
      <c r="C384" s="4" t="s">
        <v>160</v>
      </c>
      <c r="D384" s="4"/>
      <c r="E384" s="4"/>
      <c r="F384" s="4" t="s">
        <v>402</v>
      </c>
      <c r="G384" s="4" t="s">
        <v>336</v>
      </c>
      <c r="H384" s="4" t="s">
        <v>289</v>
      </c>
      <c r="I384" s="4">
        <v>1</v>
      </c>
      <c r="J384" s="21">
        <v>240</v>
      </c>
      <c r="K384" s="21">
        <v>0</v>
      </c>
      <c r="L384" s="5">
        <v>0</v>
      </c>
      <c r="M384" s="4">
        <v>1</v>
      </c>
      <c r="N384" s="4"/>
      <c r="O384" s="5">
        <v>240</v>
      </c>
      <c r="P384" s="5"/>
      <c r="Q384" s="21">
        <v>240</v>
      </c>
      <c r="R384" s="21">
        <v>0</v>
      </c>
      <c r="S384" s="5">
        <f t="shared" si="23"/>
        <v>119949.60000000006</v>
      </c>
      <c r="T384" cm="1">
        <f t="array" ref="T384">IF(OR(B384="MAL ALIMI", B384="ÜRETİM GİRİŞ"), MIN(I384, MAX(0, I384 + SUM(SUMIFS($I$1:I383, $C$1:C383, C384, $B$1:B383, {"MAL ALIMI","ÜRETİM GİRİŞ"})) - VLOOKUP(C384, 'STOK RAPORU'!$C$2:$I$1000, 4, 0))), 0)</f>
        <v>0</v>
      </c>
      <c r="U384" s="22">
        <f t="shared" si="20"/>
        <v>0</v>
      </c>
      <c r="V384">
        <f t="shared" si="21"/>
        <v>0</v>
      </c>
      <c r="W384" s="22">
        <f t="shared" si="22"/>
        <v>0</v>
      </c>
    </row>
    <row r="385" spans="1:23" hidden="1" x14ac:dyDescent="0.25">
      <c r="A385" s="3">
        <v>45958</v>
      </c>
      <c r="B385" s="4" t="s">
        <v>334</v>
      </c>
      <c r="C385" s="4" t="s">
        <v>160</v>
      </c>
      <c r="D385" s="4"/>
      <c r="E385" s="4" t="s">
        <v>921</v>
      </c>
      <c r="F385" s="4" t="s">
        <v>403</v>
      </c>
      <c r="G385" s="4" t="s">
        <v>336</v>
      </c>
      <c r="H385" s="4" t="s">
        <v>380</v>
      </c>
      <c r="I385" s="4">
        <v>1</v>
      </c>
      <c r="J385" s="21">
        <v>240</v>
      </c>
      <c r="K385" s="35">
        <v>240</v>
      </c>
      <c r="L385" s="5">
        <v>0</v>
      </c>
      <c r="M385" s="4">
        <v>1</v>
      </c>
      <c r="N385" s="4"/>
      <c r="O385" s="5">
        <v>240</v>
      </c>
      <c r="P385" s="5"/>
      <c r="Q385" s="21">
        <v>0</v>
      </c>
      <c r="R385" s="21">
        <v>0</v>
      </c>
      <c r="S385" s="5">
        <f t="shared" si="23"/>
        <v>119949.60000000006</v>
      </c>
      <c r="T385" cm="1">
        <f t="array" ref="T385">IF(OR(B385="MAL ALIMI", B385="ÜRETİM GİRİŞ"), MIN(I385, MAX(0, I385 + SUM(SUMIFS($I$1:I384, $C$1:C384, C385, $B$1:B384, {"MAL ALIMI","ÜRETİM GİRİŞ"})) - VLOOKUP(C385, 'STOK RAPORU'!$C$2:$I$1000, 4, 0))), 0)</f>
        <v>0</v>
      </c>
      <c r="U385" s="22">
        <f t="shared" si="20"/>
        <v>0</v>
      </c>
      <c r="V385">
        <f t="shared" si="21"/>
        <v>0</v>
      </c>
      <c r="W385" s="22">
        <f t="shared" si="22"/>
        <v>0</v>
      </c>
    </row>
    <row r="386" spans="1:23" hidden="1" x14ac:dyDescent="0.25">
      <c r="A386" s="3">
        <v>45958</v>
      </c>
      <c r="B386" s="4" t="s">
        <v>334</v>
      </c>
      <c r="C386" s="4" t="s">
        <v>162</v>
      </c>
      <c r="D386" s="4"/>
      <c r="E386" s="4" t="s">
        <v>921</v>
      </c>
      <c r="F386" s="4" t="s">
        <v>403</v>
      </c>
      <c r="G386" s="4" t="s">
        <v>336</v>
      </c>
      <c r="H386" s="4" t="s">
        <v>380</v>
      </c>
      <c r="I386" s="4">
        <v>1</v>
      </c>
      <c r="J386" s="21">
        <v>260</v>
      </c>
      <c r="K386" s="35">
        <v>260</v>
      </c>
      <c r="L386" s="5">
        <v>0</v>
      </c>
      <c r="M386" s="4">
        <v>1</v>
      </c>
      <c r="N386" s="4"/>
      <c r="O386" s="5">
        <v>260</v>
      </c>
      <c r="P386" s="5"/>
      <c r="Q386" s="21">
        <v>0</v>
      </c>
      <c r="R386" s="21">
        <v>0</v>
      </c>
      <c r="S386" s="5">
        <f t="shared" si="23"/>
        <v>119949.60000000006</v>
      </c>
      <c r="T386" cm="1">
        <f t="array" ref="T386">IF(OR(B386="MAL ALIMI", B386="ÜRETİM GİRİŞ"), MIN(I386, MAX(0, I386 + SUM(SUMIFS($I$1:I385, $C$1:C385, C386, $B$1:B385, {"MAL ALIMI","ÜRETİM GİRİŞ"})) - VLOOKUP(C386, 'STOK RAPORU'!$C$2:$I$1000, 4, 0))), 0)</f>
        <v>0</v>
      </c>
      <c r="U386" s="22">
        <f t="shared" si="20"/>
        <v>0</v>
      </c>
      <c r="V386">
        <f t="shared" si="21"/>
        <v>0</v>
      </c>
      <c r="W386" s="22">
        <f t="shared" si="22"/>
        <v>0</v>
      </c>
    </row>
    <row r="387" spans="1:23" hidden="1" x14ac:dyDescent="0.25">
      <c r="A387" s="3">
        <v>45958</v>
      </c>
      <c r="B387" s="4" t="s">
        <v>334</v>
      </c>
      <c r="C387" s="4" t="s">
        <v>98</v>
      </c>
      <c r="D387" s="4"/>
      <c r="E387" s="4"/>
      <c r="F387" s="4" t="s">
        <v>404</v>
      </c>
      <c r="G387" s="4" t="s">
        <v>336</v>
      </c>
      <c r="H387" s="4" t="s">
        <v>289</v>
      </c>
      <c r="I387" s="4">
        <v>0.158</v>
      </c>
      <c r="J387" s="21">
        <v>360</v>
      </c>
      <c r="K387" s="21">
        <v>0</v>
      </c>
      <c r="L387" s="5">
        <v>0</v>
      </c>
      <c r="M387" s="4">
        <v>0.158</v>
      </c>
      <c r="N387" s="4"/>
      <c r="O387" s="5">
        <v>360</v>
      </c>
      <c r="P387" s="5"/>
      <c r="Q387" s="21">
        <v>56.88</v>
      </c>
      <c r="R387" s="21">
        <v>0</v>
      </c>
      <c r="S387" s="5">
        <f t="shared" si="23"/>
        <v>120006.48000000007</v>
      </c>
      <c r="T387" cm="1">
        <f t="array" ref="T387">IF(OR(B387="MAL ALIMI", B387="ÜRETİM GİRİŞ"), MIN(I387, MAX(0, I387 + SUM(SUMIFS($I$1:I386, $C$1:C386, C387, $B$1:B386, {"MAL ALIMI","ÜRETİM GİRİŞ"})) - VLOOKUP(C387, 'STOK RAPORU'!$C$2:$I$1000, 4, 0))), 0)</f>
        <v>0</v>
      </c>
      <c r="U387" s="22">
        <f t="shared" ref="U387:U450" si="24">T387*J387</f>
        <v>0</v>
      </c>
      <c r="V387">
        <f t="shared" ref="V387:V450" si="25">IF(OR(B387="MAL ALIMI", B387="ÜRETİM GİRİŞ"), I387 * J387, 0)</f>
        <v>0</v>
      </c>
      <c r="W387" s="22">
        <f t="shared" ref="W387:W450" si="26">V387-U387</f>
        <v>0</v>
      </c>
    </row>
    <row r="388" spans="1:23" hidden="1" x14ac:dyDescent="0.25">
      <c r="A388" s="3">
        <v>45958</v>
      </c>
      <c r="B388" s="4" t="s">
        <v>334</v>
      </c>
      <c r="C388" s="4" t="s">
        <v>140</v>
      </c>
      <c r="D388" s="4"/>
      <c r="E388" s="4"/>
      <c r="F388" s="4" t="s">
        <v>404</v>
      </c>
      <c r="G388" s="4" t="s">
        <v>336</v>
      </c>
      <c r="H388" s="4" t="s">
        <v>289</v>
      </c>
      <c r="I388" s="4">
        <v>0.19400000000000001</v>
      </c>
      <c r="J388" s="21">
        <v>250</v>
      </c>
      <c r="K388" s="21">
        <v>0</v>
      </c>
      <c r="L388" s="5">
        <v>0</v>
      </c>
      <c r="M388" s="4">
        <v>0.19400000000000001</v>
      </c>
      <c r="N388" s="4"/>
      <c r="O388" s="5">
        <v>250</v>
      </c>
      <c r="P388" s="5"/>
      <c r="Q388" s="21">
        <v>48.5</v>
      </c>
      <c r="R388" s="21">
        <v>0</v>
      </c>
      <c r="S388" s="5">
        <f t="shared" ref="S388:S451" si="27">S387+Q388-R388</f>
        <v>120054.98000000007</v>
      </c>
      <c r="T388" cm="1">
        <f t="array" ref="T388">IF(OR(B388="MAL ALIMI", B388="ÜRETİM GİRİŞ"), MIN(I388, MAX(0, I388 + SUM(SUMIFS($I$1:I387, $C$1:C387, C388, $B$1:B387, {"MAL ALIMI","ÜRETİM GİRİŞ"})) - VLOOKUP(C388, 'STOK RAPORU'!$C$2:$I$1000, 4, 0))), 0)</f>
        <v>0</v>
      </c>
      <c r="U388" s="22">
        <f t="shared" si="24"/>
        <v>0</v>
      </c>
      <c r="V388">
        <f t="shared" si="25"/>
        <v>0</v>
      </c>
      <c r="W388" s="22">
        <f t="shared" si="26"/>
        <v>0</v>
      </c>
    </row>
    <row r="389" spans="1:23" hidden="1" x14ac:dyDescent="0.25">
      <c r="A389" s="3">
        <v>45958</v>
      </c>
      <c r="B389" s="4" t="s">
        <v>334</v>
      </c>
      <c r="C389" s="4" t="s">
        <v>237</v>
      </c>
      <c r="D389" s="4"/>
      <c r="E389" s="4"/>
      <c r="F389" s="4" t="s">
        <v>405</v>
      </c>
      <c r="G389" s="4" t="s">
        <v>336</v>
      </c>
      <c r="H389" s="4" t="s">
        <v>289</v>
      </c>
      <c r="I389" s="4">
        <v>0.04</v>
      </c>
      <c r="J389" s="21">
        <v>2250</v>
      </c>
      <c r="K389" s="21">
        <v>0</v>
      </c>
      <c r="L389" s="5">
        <v>0</v>
      </c>
      <c r="M389" s="4">
        <v>0.04</v>
      </c>
      <c r="N389" s="4"/>
      <c r="O389" s="5">
        <v>2250</v>
      </c>
      <c r="P389" s="5"/>
      <c r="Q389" s="21">
        <v>90</v>
      </c>
      <c r="R389" s="21">
        <v>0</v>
      </c>
      <c r="S389" s="5">
        <f t="shared" si="27"/>
        <v>120144.98000000007</v>
      </c>
      <c r="T389" cm="1">
        <f t="array" ref="T389">IF(OR(B389="MAL ALIMI", B389="ÜRETİM GİRİŞ"), MIN(I389, MAX(0, I389 + SUM(SUMIFS($I$1:I388, $C$1:C388, C389, $B$1:B388, {"MAL ALIMI","ÜRETİM GİRİŞ"})) - VLOOKUP(C389, 'STOK RAPORU'!$C$2:$I$1000, 4, 0))), 0)</f>
        <v>0</v>
      </c>
      <c r="U389" s="22">
        <f t="shared" si="24"/>
        <v>0</v>
      </c>
      <c r="V389">
        <f t="shared" si="25"/>
        <v>0</v>
      </c>
      <c r="W389" s="22">
        <f t="shared" si="26"/>
        <v>0</v>
      </c>
    </row>
    <row r="390" spans="1:23" hidden="1" x14ac:dyDescent="0.25">
      <c r="A390" s="3">
        <v>45958</v>
      </c>
      <c r="B390" s="4" t="s">
        <v>334</v>
      </c>
      <c r="C390" s="4" t="s">
        <v>98</v>
      </c>
      <c r="D390" s="4"/>
      <c r="E390" s="4"/>
      <c r="F390" s="4" t="s">
        <v>405</v>
      </c>
      <c r="G390" s="4" t="s">
        <v>336</v>
      </c>
      <c r="H390" s="4" t="s">
        <v>289</v>
      </c>
      <c r="I390" s="4">
        <v>0.13</v>
      </c>
      <c r="J390" s="21">
        <v>360</v>
      </c>
      <c r="K390" s="21">
        <v>0</v>
      </c>
      <c r="L390" s="5">
        <v>0</v>
      </c>
      <c r="M390" s="4">
        <v>0.13</v>
      </c>
      <c r="N390" s="4"/>
      <c r="O390" s="5">
        <v>360</v>
      </c>
      <c r="P390" s="5"/>
      <c r="Q390" s="21">
        <v>46.800000000000004</v>
      </c>
      <c r="R390" s="21">
        <v>0</v>
      </c>
      <c r="S390" s="5">
        <f t="shared" si="27"/>
        <v>120191.78000000007</v>
      </c>
      <c r="T390" cm="1">
        <f t="array" ref="T390">IF(OR(B390="MAL ALIMI", B390="ÜRETİM GİRİŞ"), MIN(I390, MAX(0, I390 + SUM(SUMIFS($I$1:I389, $C$1:C389, C390, $B$1:B389, {"MAL ALIMI","ÜRETİM GİRİŞ"})) - VLOOKUP(C390, 'STOK RAPORU'!$C$2:$I$1000, 4, 0))), 0)</f>
        <v>0</v>
      </c>
      <c r="U390" s="22">
        <f t="shared" si="24"/>
        <v>0</v>
      </c>
      <c r="V390">
        <f t="shared" si="25"/>
        <v>0</v>
      </c>
      <c r="W390" s="22">
        <f t="shared" si="26"/>
        <v>0</v>
      </c>
    </row>
    <row r="391" spans="1:23" hidden="1" x14ac:dyDescent="0.25">
      <c r="A391" s="3">
        <v>45958</v>
      </c>
      <c r="B391" s="4" t="s">
        <v>334</v>
      </c>
      <c r="C391" s="4" t="s">
        <v>140</v>
      </c>
      <c r="D391" s="4"/>
      <c r="E391" s="4"/>
      <c r="F391" s="4" t="s">
        <v>405</v>
      </c>
      <c r="G391" s="4" t="s">
        <v>336</v>
      </c>
      <c r="H391" s="4" t="s">
        <v>289</v>
      </c>
      <c r="I391" s="4">
        <v>0.13600000000000001</v>
      </c>
      <c r="J391" s="21">
        <v>250</v>
      </c>
      <c r="K391" s="21">
        <v>0</v>
      </c>
      <c r="L391" s="5">
        <v>0</v>
      </c>
      <c r="M391" s="4">
        <v>0.13600000000000001</v>
      </c>
      <c r="N391" s="4"/>
      <c r="O391" s="5">
        <v>250</v>
      </c>
      <c r="P391" s="5"/>
      <c r="Q391" s="21">
        <v>34</v>
      </c>
      <c r="R391" s="21">
        <v>0</v>
      </c>
      <c r="S391" s="5">
        <f t="shared" si="27"/>
        <v>120225.78000000007</v>
      </c>
      <c r="T391" cm="1">
        <f t="array" ref="T391">IF(OR(B391="MAL ALIMI", B391="ÜRETİM GİRİŞ"), MIN(I391, MAX(0, I391 + SUM(SUMIFS($I$1:I390, $C$1:C390, C391, $B$1:B390, {"MAL ALIMI","ÜRETİM GİRİŞ"})) - VLOOKUP(C391, 'STOK RAPORU'!$C$2:$I$1000, 4, 0))), 0)</f>
        <v>0</v>
      </c>
      <c r="U391" s="22">
        <f t="shared" si="24"/>
        <v>0</v>
      </c>
      <c r="V391">
        <f t="shared" si="25"/>
        <v>0</v>
      </c>
      <c r="W391" s="22">
        <f t="shared" si="26"/>
        <v>0</v>
      </c>
    </row>
    <row r="392" spans="1:23" hidden="1" x14ac:dyDescent="0.25">
      <c r="A392" s="3">
        <v>45958</v>
      </c>
      <c r="B392" s="4" t="s">
        <v>334</v>
      </c>
      <c r="C392" s="4" t="s">
        <v>245</v>
      </c>
      <c r="D392" s="4"/>
      <c r="E392" s="4"/>
      <c r="F392" s="4" t="s">
        <v>405</v>
      </c>
      <c r="G392" s="4" t="s">
        <v>336</v>
      </c>
      <c r="H392" s="4" t="s">
        <v>289</v>
      </c>
      <c r="I392" s="4">
        <v>0.19400000000000001</v>
      </c>
      <c r="J392" s="21">
        <v>650</v>
      </c>
      <c r="K392" s="21">
        <v>0</v>
      </c>
      <c r="L392" s="5">
        <v>0</v>
      </c>
      <c r="M392" s="4">
        <v>0.19400000000000001</v>
      </c>
      <c r="N392" s="4"/>
      <c r="O392" s="5">
        <v>650</v>
      </c>
      <c r="P392" s="5"/>
      <c r="Q392" s="21">
        <v>126.10000000000001</v>
      </c>
      <c r="R392" s="21">
        <v>0</v>
      </c>
      <c r="S392" s="5">
        <f t="shared" si="27"/>
        <v>120351.88000000008</v>
      </c>
      <c r="T392" cm="1">
        <f t="array" ref="T392">IF(OR(B392="MAL ALIMI", B392="ÜRETİM GİRİŞ"), MIN(I392, MAX(0, I392 + SUM(SUMIFS($I$1:I391, $C$1:C391, C392, $B$1:B391, {"MAL ALIMI","ÜRETİM GİRİŞ"})) - VLOOKUP(C392, 'STOK RAPORU'!$C$2:$I$1000, 4, 0))), 0)</f>
        <v>0</v>
      </c>
      <c r="U392" s="22">
        <f t="shared" si="24"/>
        <v>0</v>
      </c>
      <c r="V392">
        <f t="shared" si="25"/>
        <v>0</v>
      </c>
      <c r="W392" s="22">
        <f t="shared" si="26"/>
        <v>0</v>
      </c>
    </row>
    <row r="393" spans="1:23" hidden="1" x14ac:dyDescent="0.25">
      <c r="A393" s="3">
        <v>45958</v>
      </c>
      <c r="B393" s="4" t="s">
        <v>334</v>
      </c>
      <c r="C393" s="4" t="s">
        <v>241</v>
      </c>
      <c r="D393" s="4"/>
      <c r="E393" s="4"/>
      <c r="F393" s="4" t="s">
        <v>406</v>
      </c>
      <c r="G393" s="4" t="s">
        <v>336</v>
      </c>
      <c r="H393" s="4" t="s">
        <v>289</v>
      </c>
      <c r="I393" s="4">
        <v>0.748</v>
      </c>
      <c r="J393" s="21">
        <v>350</v>
      </c>
      <c r="K393" s="21">
        <v>0</v>
      </c>
      <c r="L393" s="5">
        <v>0</v>
      </c>
      <c r="M393" s="4">
        <v>0.748</v>
      </c>
      <c r="N393" s="4"/>
      <c r="O393" s="5">
        <v>350</v>
      </c>
      <c r="P393" s="5"/>
      <c r="Q393" s="21">
        <v>261.8</v>
      </c>
      <c r="R393" s="21">
        <v>0</v>
      </c>
      <c r="S393" s="5">
        <f t="shared" si="27"/>
        <v>120613.68000000008</v>
      </c>
      <c r="T393" cm="1">
        <f t="array" ref="T393">IF(OR(B393="MAL ALIMI", B393="ÜRETİM GİRİŞ"), MIN(I393, MAX(0, I393 + SUM(SUMIFS($I$1:I392, $C$1:C392, C393, $B$1:B392, {"MAL ALIMI","ÜRETİM GİRİŞ"})) - VLOOKUP(C393, 'STOK RAPORU'!$C$2:$I$1000, 4, 0))), 0)</f>
        <v>0</v>
      </c>
      <c r="U393" s="22">
        <f t="shared" si="24"/>
        <v>0</v>
      </c>
      <c r="V393">
        <f t="shared" si="25"/>
        <v>0</v>
      </c>
      <c r="W393" s="22">
        <f t="shared" si="26"/>
        <v>0</v>
      </c>
    </row>
    <row r="394" spans="1:23" hidden="1" x14ac:dyDescent="0.25">
      <c r="A394" s="3">
        <v>45958</v>
      </c>
      <c r="B394" s="4" t="s">
        <v>334</v>
      </c>
      <c r="C394" s="4" t="s">
        <v>211</v>
      </c>
      <c r="D394" s="4"/>
      <c r="E394" s="4"/>
      <c r="F394" s="4" t="s">
        <v>406</v>
      </c>
      <c r="G394" s="4" t="s">
        <v>336</v>
      </c>
      <c r="H394" s="4" t="s">
        <v>289</v>
      </c>
      <c r="I394" s="4">
        <v>1</v>
      </c>
      <c r="J394" s="21">
        <v>300</v>
      </c>
      <c r="K394" s="21">
        <v>0</v>
      </c>
      <c r="L394" s="5">
        <v>0</v>
      </c>
      <c r="M394" s="4">
        <v>1</v>
      </c>
      <c r="N394" s="4"/>
      <c r="O394" s="5">
        <v>300</v>
      </c>
      <c r="P394" s="5"/>
      <c r="Q394" s="21">
        <v>300</v>
      </c>
      <c r="R394" s="21">
        <v>0</v>
      </c>
      <c r="S394" s="5">
        <f t="shared" si="27"/>
        <v>120913.68000000008</v>
      </c>
      <c r="T394" cm="1">
        <f t="array" ref="T394">IF(OR(B394="MAL ALIMI", B394="ÜRETİM GİRİŞ"), MIN(I394, MAX(0, I394 + SUM(SUMIFS($I$1:I393, $C$1:C393, C394, $B$1:B393, {"MAL ALIMI","ÜRETİM GİRİŞ"})) - VLOOKUP(C394, 'STOK RAPORU'!$C$2:$I$1000, 4, 0))), 0)</f>
        <v>0</v>
      </c>
      <c r="U394" s="22">
        <f t="shared" si="24"/>
        <v>0</v>
      </c>
      <c r="V394">
        <f t="shared" si="25"/>
        <v>0</v>
      </c>
      <c r="W394" s="22">
        <f t="shared" si="26"/>
        <v>0</v>
      </c>
    </row>
    <row r="395" spans="1:23" hidden="1" x14ac:dyDescent="0.25">
      <c r="A395" s="3">
        <v>45958</v>
      </c>
      <c r="B395" s="4" t="s">
        <v>334</v>
      </c>
      <c r="C395" s="4" t="s">
        <v>226</v>
      </c>
      <c r="D395" s="4"/>
      <c r="E395" s="4" t="s">
        <v>921</v>
      </c>
      <c r="F395" s="4" t="s">
        <v>407</v>
      </c>
      <c r="G395" s="4" t="s">
        <v>336</v>
      </c>
      <c r="H395" s="4" t="s">
        <v>380</v>
      </c>
      <c r="I395" s="4">
        <v>0.14000000000000001</v>
      </c>
      <c r="J395" s="21">
        <v>150</v>
      </c>
      <c r="K395" s="35">
        <v>21.000000000000004</v>
      </c>
      <c r="L395" s="5">
        <v>0</v>
      </c>
      <c r="M395" s="4">
        <v>0.14000000000000001</v>
      </c>
      <c r="N395" s="4"/>
      <c r="O395" s="5">
        <v>150</v>
      </c>
      <c r="P395" s="5"/>
      <c r="Q395" s="21">
        <v>0</v>
      </c>
      <c r="R395" s="21">
        <v>0</v>
      </c>
      <c r="S395" s="5">
        <f t="shared" si="27"/>
        <v>120913.68000000008</v>
      </c>
      <c r="T395" cm="1">
        <f t="array" ref="T395">IF(OR(B395="MAL ALIMI", B395="ÜRETİM GİRİŞ"), MIN(I395, MAX(0, I395 + SUM(SUMIFS($I$1:I394, $C$1:C394, C395, $B$1:B394, {"MAL ALIMI","ÜRETİM GİRİŞ"})) - VLOOKUP(C395, 'STOK RAPORU'!$C$2:$I$1000, 4, 0))), 0)</f>
        <v>0</v>
      </c>
      <c r="U395" s="22">
        <f t="shared" si="24"/>
        <v>0</v>
      </c>
      <c r="V395">
        <f t="shared" si="25"/>
        <v>0</v>
      </c>
      <c r="W395" s="22">
        <f t="shared" si="26"/>
        <v>0</v>
      </c>
    </row>
    <row r="396" spans="1:23" hidden="1" x14ac:dyDescent="0.25">
      <c r="A396" s="3">
        <v>45958</v>
      </c>
      <c r="B396" s="4" t="s">
        <v>334</v>
      </c>
      <c r="C396" s="4" t="s">
        <v>60</v>
      </c>
      <c r="D396" s="4"/>
      <c r="E396" s="4" t="s">
        <v>921</v>
      </c>
      <c r="F396" s="4" t="s">
        <v>407</v>
      </c>
      <c r="G396" s="4" t="s">
        <v>336</v>
      </c>
      <c r="H396" s="4" t="s">
        <v>380</v>
      </c>
      <c r="I396" s="4">
        <v>0.05</v>
      </c>
      <c r="J396" s="21">
        <v>1100</v>
      </c>
      <c r="K396" s="35">
        <v>55</v>
      </c>
      <c r="L396" s="5">
        <v>0</v>
      </c>
      <c r="M396" s="4">
        <v>0.05</v>
      </c>
      <c r="N396" s="4"/>
      <c r="O396" s="5">
        <v>1100</v>
      </c>
      <c r="P396" s="5"/>
      <c r="Q396" s="21">
        <v>0</v>
      </c>
      <c r="R396" s="21">
        <v>0</v>
      </c>
      <c r="S396" s="5">
        <f t="shared" si="27"/>
        <v>120913.68000000008</v>
      </c>
      <c r="T396" cm="1">
        <f t="array" ref="T396">IF(OR(B396="MAL ALIMI", B396="ÜRETİM GİRİŞ"), MIN(I396, MAX(0, I396 + SUM(SUMIFS($I$1:I395, $C$1:C395, C396, $B$1:B395, {"MAL ALIMI","ÜRETİM GİRİŞ"})) - VLOOKUP(C396, 'STOK RAPORU'!$C$2:$I$1000, 4, 0))), 0)</f>
        <v>0</v>
      </c>
      <c r="U396" s="22">
        <f t="shared" si="24"/>
        <v>0</v>
      </c>
      <c r="V396">
        <f t="shared" si="25"/>
        <v>0</v>
      </c>
      <c r="W396" s="22">
        <f t="shared" si="26"/>
        <v>0</v>
      </c>
    </row>
    <row r="397" spans="1:23" hidden="1" x14ac:dyDescent="0.25">
      <c r="A397" s="3">
        <v>45958</v>
      </c>
      <c r="B397" s="4" t="s">
        <v>334</v>
      </c>
      <c r="C397" s="4" t="s">
        <v>265</v>
      </c>
      <c r="D397" s="4"/>
      <c r="E397" s="4" t="s">
        <v>921</v>
      </c>
      <c r="F397" s="4" t="s">
        <v>407</v>
      </c>
      <c r="G397" s="4" t="s">
        <v>336</v>
      </c>
      <c r="H397" s="4" t="s">
        <v>380</v>
      </c>
      <c r="I397" s="4">
        <v>1</v>
      </c>
      <c r="J397" s="21">
        <v>140</v>
      </c>
      <c r="K397" s="35">
        <v>140</v>
      </c>
      <c r="L397" s="5">
        <v>0</v>
      </c>
      <c r="M397" s="4">
        <v>1</v>
      </c>
      <c r="N397" s="4"/>
      <c r="O397" s="5">
        <v>140</v>
      </c>
      <c r="P397" s="5"/>
      <c r="Q397" s="21">
        <v>0</v>
      </c>
      <c r="R397" s="21">
        <v>0</v>
      </c>
      <c r="S397" s="5">
        <f t="shared" si="27"/>
        <v>120913.68000000008</v>
      </c>
      <c r="T397" cm="1">
        <f t="array" ref="T397">IF(OR(B397="MAL ALIMI", B397="ÜRETİM GİRİŞ"), MIN(I397, MAX(0, I397 + SUM(SUMIFS($I$1:I396, $C$1:C396, C397, $B$1:B396, {"MAL ALIMI","ÜRETİM GİRİŞ"})) - VLOOKUP(C397, 'STOK RAPORU'!$C$2:$I$1000, 4, 0))), 0)</f>
        <v>0</v>
      </c>
      <c r="U397" s="22">
        <f t="shared" si="24"/>
        <v>0</v>
      </c>
      <c r="V397">
        <f t="shared" si="25"/>
        <v>0</v>
      </c>
      <c r="W397" s="22">
        <f t="shared" si="26"/>
        <v>0</v>
      </c>
    </row>
    <row r="398" spans="1:23" hidden="1" x14ac:dyDescent="0.25">
      <c r="A398" s="3">
        <v>45958</v>
      </c>
      <c r="B398" s="4" t="s">
        <v>334</v>
      </c>
      <c r="C398" s="4" t="s">
        <v>209</v>
      </c>
      <c r="D398" s="4"/>
      <c r="E398" s="4" t="s">
        <v>921</v>
      </c>
      <c r="F398" s="4" t="s">
        <v>407</v>
      </c>
      <c r="G398" s="4" t="s">
        <v>336</v>
      </c>
      <c r="H398" s="4" t="s">
        <v>380</v>
      </c>
      <c r="I398" s="4">
        <v>0.05</v>
      </c>
      <c r="J398" s="21">
        <v>2500</v>
      </c>
      <c r="K398" s="35">
        <v>125</v>
      </c>
      <c r="L398" s="5">
        <v>0</v>
      </c>
      <c r="M398" s="4">
        <v>0.05</v>
      </c>
      <c r="N398" s="4"/>
      <c r="O398" s="5">
        <v>2500</v>
      </c>
      <c r="P398" s="5"/>
      <c r="Q398" s="21">
        <v>0</v>
      </c>
      <c r="R398" s="21">
        <v>0</v>
      </c>
      <c r="S398" s="5">
        <f t="shared" si="27"/>
        <v>120913.68000000008</v>
      </c>
      <c r="T398" cm="1">
        <f t="array" ref="T398">IF(OR(B398="MAL ALIMI", B398="ÜRETİM GİRİŞ"), MIN(I398, MAX(0, I398 + SUM(SUMIFS($I$1:I397, $C$1:C397, C398, $B$1:B397, {"MAL ALIMI","ÜRETİM GİRİŞ"})) - VLOOKUP(C398, 'STOK RAPORU'!$C$2:$I$1000, 4, 0))), 0)</f>
        <v>0</v>
      </c>
      <c r="U398" s="22">
        <f t="shared" si="24"/>
        <v>0</v>
      </c>
      <c r="V398">
        <f t="shared" si="25"/>
        <v>0</v>
      </c>
      <c r="W398" s="22">
        <f t="shared" si="26"/>
        <v>0</v>
      </c>
    </row>
    <row r="399" spans="1:23" hidden="1" x14ac:dyDescent="0.25">
      <c r="A399" s="3">
        <v>45958</v>
      </c>
      <c r="B399" s="4" t="s">
        <v>334</v>
      </c>
      <c r="C399" s="4" t="s">
        <v>237</v>
      </c>
      <c r="D399" s="4"/>
      <c r="E399" s="4" t="s">
        <v>921</v>
      </c>
      <c r="F399" s="4" t="s">
        <v>407</v>
      </c>
      <c r="G399" s="4" t="s">
        <v>336</v>
      </c>
      <c r="H399" s="4" t="s">
        <v>380</v>
      </c>
      <c r="I399" s="4">
        <v>0.04</v>
      </c>
      <c r="J399" s="21">
        <v>2250</v>
      </c>
      <c r="K399" s="35">
        <v>90</v>
      </c>
      <c r="L399" s="5">
        <v>0</v>
      </c>
      <c r="M399" s="4">
        <v>0.04</v>
      </c>
      <c r="N399" s="4"/>
      <c r="O399" s="5">
        <v>2250</v>
      </c>
      <c r="P399" s="5"/>
      <c r="Q399" s="21">
        <v>0</v>
      </c>
      <c r="R399" s="21">
        <v>0</v>
      </c>
      <c r="S399" s="5">
        <f t="shared" si="27"/>
        <v>120913.68000000008</v>
      </c>
      <c r="T399" cm="1">
        <f t="array" ref="T399">IF(OR(B399="MAL ALIMI", B399="ÜRETİM GİRİŞ"), MIN(I399, MAX(0, I399 + SUM(SUMIFS($I$1:I398, $C$1:C398, C399, $B$1:B398, {"MAL ALIMI","ÜRETİM GİRİŞ"})) - VLOOKUP(C399, 'STOK RAPORU'!$C$2:$I$1000, 4, 0))), 0)</f>
        <v>0</v>
      </c>
      <c r="U399" s="22">
        <f t="shared" si="24"/>
        <v>0</v>
      </c>
      <c r="V399">
        <f t="shared" si="25"/>
        <v>0</v>
      </c>
      <c r="W399" s="22">
        <f t="shared" si="26"/>
        <v>0</v>
      </c>
    </row>
    <row r="400" spans="1:23" hidden="1" x14ac:dyDescent="0.25">
      <c r="A400" s="3">
        <v>45958</v>
      </c>
      <c r="B400" s="4" t="s">
        <v>285</v>
      </c>
      <c r="C400" s="4"/>
      <c r="D400" s="4" t="s">
        <v>114</v>
      </c>
      <c r="E400" s="4"/>
      <c r="F400" s="4" t="s">
        <v>407</v>
      </c>
      <c r="G400" s="4" t="s">
        <v>336</v>
      </c>
      <c r="H400" s="4" t="s">
        <v>289</v>
      </c>
      <c r="I400" s="4">
        <v>1</v>
      </c>
      <c r="J400" s="21">
        <v>30</v>
      </c>
      <c r="K400" s="21">
        <v>0</v>
      </c>
      <c r="L400" s="5">
        <v>0</v>
      </c>
      <c r="M400" s="4"/>
      <c r="N400" s="4">
        <v>1</v>
      </c>
      <c r="O400" s="5"/>
      <c r="P400" s="5">
        <v>30</v>
      </c>
      <c r="Q400" s="21">
        <v>0</v>
      </c>
      <c r="R400" s="21">
        <v>30</v>
      </c>
      <c r="S400" s="5">
        <f t="shared" si="27"/>
        <v>120883.68000000008</v>
      </c>
      <c r="T400" cm="1">
        <f t="array" ref="T400">IF(OR(B400="MAL ALIMI", B400="ÜRETİM GİRİŞ"), MIN(I400, MAX(0, I400 + SUM(SUMIFS($I$1:I399, $C$1:C399, C400, $B$1:B399, {"MAL ALIMI","ÜRETİM GİRİŞ"})) - VLOOKUP(C400, 'STOK RAPORU'!$C$2:$I$1000, 4, 0))), 0)</f>
        <v>0</v>
      </c>
      <c r="U400" s="22">
        <f t="shared" si="24"/>
        <v>0</v>
      </c>
      <c r="V400">
        <f t="shared" si="25"/>
        <v>0</v>
      </c>
      <c r="W400" s="22">
        <f t="shared" si="26"/>
        <v>0</v>
      </c>
    </row>
    <row r="401" spans="1:23" hidden="1" x14ac:dyDescent="0.25">
      <c r="A401" s="3">
        <v>45958</v>
      </c>
      <c r="B401" s="4" t="s">
        <v>334</v>
      </c>
      <c r="C401" s="4" t="s">
        <v>163</v>
      </c>
      <c r="D401" s="4"/>
      <c r="E401" s="4" t="s">
        <v>921</v>
      </c>
      <c r="F401" s="4" t="s">
        <v>408</v>
      </c>
      <c r="G401" s="4" t="s">
        <v>336</v>
      </c>
      <c r="H401" s="4" t="s">
        <v>380</v>
      </c>
      <c r="I401" s="4">
        <v>0.53600000000000003</v>
      </c>
      <c r="J401" s="21">
        <v>420</v>
      </c>
      <c r="K401" s="35">
        <v>225.12</v>
      </c>
      <c r="L401" s="5">
        <v>0</v>
      </c>
      <c r="M401" s="4">
        <v>0.53600000000000003</v>
      </c>
      <c r="N401" s="4"/>
      <c r="O401" s="5">
        <v>420</v>
      </c>
      <c r="P401" s="5"/>
      <c r="Q401" s="21">
        <v>0</v>
      </c>
      <c r="R401" s="21">
        <v>0</v>
      </c>
      <c r="S401" s="5">
        <f t="shared" si="27"/>
        <v>120883.68000000008</v>
      </c>
      <c r="T401" cm="1">
        <f t="array" ref="T401">IF(OR(B401="MAL ALIMI", B401="ÜRETİM GİRİŞ"), MIN(I401, MAX(0, I401 + SUM(SUMIFS($I$1:I400, $C$1:C400, C401, $B$1:B400, {"MAL ALIMI","ÜRETİM GİRİŞ"})) - VLOOKUP(C401, 'STOK RAPORU'!$C$2:$I$1000, 4, 0))), 0)</f>
        <v>0</v>
      </c>
      <c r="U401" s="22">
        <f t="shared" si="24"/>
        <v>0</v>
      </c>
      <c r="V401">
        <f t="shared" si="25"/>
        <v>0</v>
      </c>
      <c r="W401" s="22">
        <f t="shared" si="26"/>
        <v>0</v>
      </c>
    </row>
    <row r="402" spans="1:23" hidden="1" x14ac:dyDescent="0.25">
      <c r="A402" s="3">
        <v>45958</v>
      </c>
      <c r="B402" s="4" t="s">
        <v>334</v>
      </c>
      <c r="C402" s="4" t="s">
        <v>158</v>
      </c>
      <c r="D402" s="4"/>
      <c r="E402" s="4" t="s">
        <v>921</v>
      </c>
      <c r="F402" s="4" t="s">
        <v>409</v>
      </c>
      <c r="G402" s="4" t="s">
        <v>336</v>
      </c>
      <c r="H402" s="4" t="s">
        <v>380</v>
      </c>
      <c r="I402" s="4">
        <v>1</v>
      </c>
      <c r="J402" s="21">
        <v>130</v>
      </c>
      <c r="K402" s="35">
        <v>130</v>
      </c>
      <c r="L402" s="5">
        <v>0</v>
      </c>
      <c r="M402" s="4">
        <v>1</v>
      </c>
      <c r="N402" s="4"/>
      <c r="O402" s="5">
        <v>130</v>
      </c>
      <c r="P402" s="5"/>
      <c r="Q402" s="21">
        <v>0</v>
      </c>
      <c r="R402" s="21">
        <v>0</v>
      </c>
      <c r="S402" s="5">
        <f t="shared" si="27"/>
        <v>120883.68000000008</v>
      </c>
      <c r="T402" cm="1">
        <f t="array" ref="T402">IF(OR(B402="MAL ALIMI", B402="ÜRETİM GİRİŞ"), MIN(I402, MAX(0, I402 + SUM(SUMIFS($I$1:I401, $C$1:C401, C402, $B$1:B401, {"MAL ALIMI","ÜRETİM GİRİŞ"})) - VLOOKUP(C402, 'STOK RAPORU'!$C$2:$I$1000, 4, 0))), 0)</f>
        <v>0</v>
      </c>
      <c r="U402" s="22">
        <f t="shared" si="24"/>
        <v>0</v>
      </c>
      <c r="V402">
        <f t="shared" si="25"/>
        <v>0</v>
      </c>
      <c r="W402" s="22">
        <f t="shared" si="26"/>
        <v>0</v>
      </c>
    </row>
    <row r="403" spans="1:23" hidden="1" x14ac:dyDescent="0.25">
      <c r="A403" s="3">
        <v>45958</v>
      </c>
      <c r="B403" s="4" t="s">
        <v>334</v>
      </c>
      <c r="C403" s="4" t="s">
        <v>160</v>
      </c>
      <c r="D403" s="4"/>
      <c r="E403" s="4"/>
      <c r="F403" s="4" t="s">
        <v>410</v>
      </c>
      <c r="G403" s="4" t="s">
        <v>336</v>
      </c>
      <c r="H403" s="4" t="s">
        <v>289</v>
      </c>
      <c r="I403" s="4">
        <v>2</v>
      </c>
      <c r="J403" s="21">
        <v>240</v>
      </c>
      <c r="K403" s="21">
        <v>0</v>
      </c>
      <c r="L403" s="5">
        <v>0</v>
      </c>
      <c r="M403" s="4">
        <v>2</v>
      </c>
      <c r="N403" s="4"/>
      <c r="O403" s="5">
        <v>240</v>
      </c>
      <c r="P403" s="5"/>
      <c r="Q403" s="21">
        <v>480</v>
      </c>
      <c r="R403" s="21">
        <v>0</v>
      </c>
      <c r="S403" s="5">
        <f t="shared" si="27"/>
        <v>121363.68000000008</v>
      </c>
      <c r="T403" cm="1">
        <f t="array" ref="T403">IF(OR(B403="MAL ALIMI", B403="ÜRETİM GİRİŞ"), MIN(I403, MAX(0, I403 + SUM(SUMIFS($I$1:I402, $C$1:C402, C403, $B$1:B402, {"MAL ALIMI","ÜRETİM GİRİŞ"})) - VLOOKUP(C403, 'STOK RAPORU'!$C$2:$I$1000, 4, 0))), 0)</f>
        <v>0</v>
      </c>
      <c r="U403" s="22">
        <f t="shared" si="24"/>
        <v>0</v>
      </c>
      <c r="V403">
        <f t="shared" si="25"/>
        <v>0</v>
      </c>
      <c r="W403" s="22">
        <f t="shared" si="26"/>
        <v>0</v>
      </c>
    </row>
    <row r="404" spans="1:23" hidden="1" x14ac:dyDescent="0.25">
      <c r="A404" s="3">
        <v>45958</v>
      </c>
      <c r="B404" s="4" t="s">
        <v>334</v>
      </c>
      <c r="C404" s="4" t="s">
        <v>162</v>
      </c>
      <c r="D404" s="4"/>
      <c r="E404" s="4"/>
      <c r="F404" s="4" t="s">
        <v>410</v>
      </c>
      <c r="G404" s="4" t="s">
        <v>336</v>
      </c>
      <c r="H404" s="4" t="s">
        <v>289</v>
      </c>
      <c r="I404" s="4">
        <v>1</v>
      </c>
      <c r="J404" s="21">
        <v>260</v>
      </c>
      <c r="K404" s="21">
        <v>0</v>
      </c>
      <c r="L404" s="5">
        <v>0</v>
      </c>
      <c r="M404" s="4">
        <v>1</v>
      </c>
      <c r="N404" s="4"/>
      <c r="O404" s="5">
        <v>260</v>
      </c>
      <c r="P404" s="5"/>
      <c r="Q404" s="21">
        <v>260</v>
      </c>
      <c r="R404" s="21">
        <v>0</v>
      </c>
      <c r="S404" s="5">
        <f t="shared" si="27"/>
        <v>121623.68000000008</v>
      </c>
      <c r="T404" cm="1">
        <f t="array" ref="T404">IF(OR(B404="MAL ALIMI", B404="ÜRETİM GİRİŞ"), MIN(I404, MAX(0, I404 + SUM(SUMIFS($I$1:I403, $C$1:C403, C404, $B$1:B403, {"MAL ALIMI","ÜRETİM GİRİŞ"})) - VLOOKUP(C404, 'STOK RAPORU'!$C$2:$I$1000, 4, 0))), 0)</f>
        <v>0</v>
      </c>
      <c r="U404" s="22">
        <f t="shared" si="24"/>
        <v>0</v>
      </c>
      <c r="V404">
        <f t="shared" si="25"/>
        <v>0</v>
      </c>
      <c r="W404" s="22">
        <f t="shared" si="26"/>
        <v>0</v>
      </c>
    </row>
    <row r="405" spans="1:23" hidden="1" x14ac:dyDescent="0.25">
      <c r="A405" s="3">
        <v>45958</v>
      </c>
      <c r="B405" s="4" t="s">
        <v>334</v>
      </c>
      <c r="C405" s="4" t="s">
        <v>167</v>
      </c>
      <c r="D405" s="4"/>
      <c r="E405" s="4"/>
      <c r="F405" s="4" t="s">
        <v>410</v>
      </c>
      <c r="G405" s="4" t="s">
        <v>336</v>
      </c>
      <c r="H405" s="4" t="s">
        <v>289</v>
      </c>
      <c r="I405" s="4">
        <v>1</v>
      </c>
      <c r="J405" s="21">
        <v>200</v>
      </c>
      <c r="K405" s="21">
        <v>0</v>
      </c>
      <c r="L405" s="5">
        <v>0</v>
      </c>
      <c r="M405" s="4">
        <v>1</v>
      </c>
      <c r="N405" s="4"/>
      <c r="O405" s="5">
        <v>200</v>
      </c>
      <c r="P405" s="5"/>
      <c r="Q405" s="21">
        <v>200</v>
      </c>
      <c r="R405" s="21">
        <v>0</v>
      </c>
      <c r="S405" s="5">
        <f t="shared" si="27"/>
        <v>121823.68000000008</v>
      </c>
      <c r="T405" cm="1">
        <f t="array" ref="T405">IF(OR(B405="MAL ALIMI", B405="ÜRETİM GİRİŞ"), MIN(I405, MAX(0, I405 + SUM(SUMIFS($I$1:I404, $C$1:C404, C405, $B$1:B404, {"MAL ALIMI","ÜRETİM GİRİŞ"})) - VLOOKUP(C405, 'STOK RAPORU'!$C$2:$I$1000, 4, 0))), 0)</f>
        <v>0</v>
      </c>
      <c r="U405" s="22">
        <f t="shared" si="24"/>
        <v>0</v>
      </c>
      <c r="V405">
        <f t="shared" si="25"/>
        <v>0</v>
      </c>
      <c r="W405" s="22">
        <f t="shared" si="26"/>
        <v>0</v>
      </c>
    </row>
    <row r="406" spans="1:23" hidden="1" x14ac:dyDescent="0.25">
      <c r="A406" s="3">
        <v>45958</v>
      </c>
      <c r="B406" s="4" t="s">
        <v>334</v>
      </c>
      <c r="C406" s="4" t="s">
        <v>168</v>
      </c>
      <c r="D406" s="4"/>
      <c r="E406" s="4"/>
      <c r="F406" s="4" t="s">
        <v>410</v>
      </c>
      <c r="G406" s="4" t="s">
        <v>336</v>
      </c>
      <c r="H406" s="4" t="s">
        <v>289</v>
      </c>
      <c r="I406" s="4">
        <v>1</v>
      </c>
      <c r="J406" s="21">
        <v>200</v>
      </c>
      <c r="K406" s="21">
        <v>0</v>
      </c>
      <c r="L406" s="5">
        <v>0</v>
      </c>
      <c r="M406" s="4">
        <v>1</v>
      </c>
      <c r="N406" s="4"/>
      <c r="O406" s="5">
        <v>200</v>
      </c>
      <c r="P406" s="5"/>
      <c r="Q406" s="21">
        <v>200</v>
      </c>
      <c r="R406" s="21">
        <v>0</v>
      </c>
      <c r="S406" s="5">
        <f t="shared" si="27"/>
        <v>122023.68000000008</v>
      </c>
      <c r="T406" cm="1">
        <f t="array" ref="T406">IF(OR(B406="MAL ALIMI", B406="ÜRETİM GİRİŞ"), MIN(I406, MAX(0, I406 + SUM(SUMIFS($I$1:I405, $C$1:C405, C406, $B$1:B405, {"MAL ALIMI","ÜRETİM GİRİŞ"})) - VLOOKUP(C406, 'STOK RAPORU'!$C$2:$I$1000, 4, 0))), 0)</f>
        <v>0</v>
      </c>
      <c r="U406" s="22">
        <f t="shared" si="24"/>
        <v>0</v>
      </c>
      <c r="V406">
        <f t="shared" si="25"/>
        <v>0</v>
      </c>
      <c r="W406" s="22">
        <f t="shared" si="26"/>
        <v>0</v>
      </c>
    </row>
    <row r="407" spans="1:23" hidden="1" x14ac:dyDescent="0.25">
      <c r="A407" s="3">
        <v>45958</v>
      </c>
      <c r="B407" s="4" t="s">
        <v>334</v>
      </c>
      <c r="C407" s="4" t="s">
        <v>89</v>
      </c>
      <c r="D407" s="4"/>
      <c r="E407" s="4"/>
      <c r="F407" s="4" t="s">
        <v>410</v>
      </c>
      <c r="G407" s="4" t="s">
        <v>336</v>
      </c>
      <c r="H407" s="4" t="s">
        <v>289</v>
      </c>
      <c r="I407" s="4">
        <v>0.1</v>
      </c>
      <c r="J407" s="21">
        <v>650</v>
      </c>
      <c r="K407" s="21">
        <v>0</v>
      </c>
      <c r="L407" s="5">
        <v>0</v>
      </c>
      <c r="M407" s="4">
        <v>1</v>
      </c>
      <c r="N407" s="4"/>
      <c r="O407" s="5">
        <v>65</v>
      </c>
      <c r="P407" s="5"/>
      <c r="Q407" s="21">
        <v>65</v>
      </c>
      <c r="R407" s="21">
        <v>0</v>
      </c>
      <c r="S407" s="5">
        <f t="shared" si="27"/>
        <v>122088.68000000008</v>
      </c>
      <c r="T407" cm="1">
        <f t="array" ref="T407">IF(OR(B407="MAL ALIMI", B407="ÜRETİM GİRİŞ"), MIN(I407, MAX(0, I407 + SUM(SUMIFS($I$1:I406, $C$1:C406, C407, $B$1:B406, {"MAL ALIMI","ÜRETİM GİRİŞ"})) - VLOOKUP(C407, 'STOK RAPORU'!$C$2:$I$1000, 4, 0))), 0)</f>
        <v>0</v>
      </c>
      <c r="U407" s="22">
        <f t="shared" si="24"/>
        <v>0</v>
      </c>
      <c r="V407">
        <f t="shared" si="25"/>
        <v>0</v>
      </c>
      <c r="W407" s="22">
        <f t="shared" si="26"/>
        <v>0</v>
      </c>
    </row>
    <row r="408" spans="1:23" hidden="1" x14ac:dyDescent="0.25">
      <c r="A408" s="3">
        <v>45958</v>
      </c>
      <c r="B408" s="4" t="s">
        <v>334</v>
      </c>
      <c r="C408" s="4" t="s">
        <v>267</v>
      </c>
      <c r="D408" s="4"/>
      <c r="E408" s="4"/>
      <c r="F408" s="4" t="s">
        <v>410</v>
      </c>
      <c r="G408" s="4" t="s">
        <v>336</v>
      </c>
      <c r="H408" s="4" t="s">
        <v>289</v>
      </c>
      <c r="I408" s="4">
        <v>1</v>
      </c>
      <c r="J408" s="21">
        <v>190</v>
      </c>
      <c r="K408" s="21">
        <v>0</v>
      </c>
      <c r="L408" s="5">
        <v>0</v>
      </c>
      <c r="M408" s="4">
        <v>1</v>
      </c>
      <c r="N408" s="4"/>
      <c r="O408" s="5">
        <v>190</v>
      </c>
      <c r="P408" s="5"/>
      <c r="Q408" s="21">
        <v>190</v>
      </c>
      <c r="R408" s="21">
        <v>0</v>
      </c>
      <c r="S408" s="5">
        <f t="shared" si="27"/>
        <v>122278.68000000008</v>
      </c>
      <c r="T408" cm="1">
        <f t="array" ref="T408">IF(OR(B408="MAL ALIMI", B408="ÜRETİM GİRİŞ"), MIN(I408, MAX(0, I408 + SUM(SUMIFS($I$1:I407, $C$1:C407, C408, $B$1:B407, {"MAL ALIMI","ÜRETİM GİRİŞ"})) - VLOOKUP(C408, 'STOK RAPORU'!$C$2:$I$1000, 4, 0))), 0)</f>
        <v>0</v>
      </c>
      <c r="U408" s="22">
        <f t="shared" si="24"/>
        <v>0</v>
      </c>
      <c r="V408">
        <f t="shared" si="25"/>
        <v>0</v>
      </c>
      <c r="W408" s="22">
        <f t="shared" si="26"/>
        <v>0</v>
      </c>
    </row>
    <row r="409" spans="1:23" hidden="1" x14ac:dyDescent="0.25">
      <c r="A409" s="3">
        <v>45959</v>
      </c>
      <c r="B409" s="4" t="s">
        <v>334</v>
      </c>
      <c r="C409" s="4" t="s">
        <v>163</v>
      </c>
      <c r="D409" s="4"/>
      <c r="E409" s="4" t="s">
        <v>921</v>
      </c>
      <c r="F409" s="4" t="s">
        <v>411</v>
      </c>
      <c r="G409" s="4" t="s">
        <v>336</v>
      </c>
      <c r="H409" s="4" t="s">
        <v>380</v>
      </c>
      <c r="I409" s="4">
        <v>0.441</v>
      </c>
      <c r="J409" s="21">
        <v>420</v>
      </c>
      <c r="K409" s="21">
        <v>185.22</v>
      </c>
      <c r="L409" s="5">
        <v>0</v>
      </c>
      <c r="M409" s="4">
        <v>0.441</v>
      </c>
      <c r="N409" s="4"/>
      <c r="O409" s="5">
        <v>420</v>
      </c>
      <c r="P409" s="5"/>
      <c r="Q409" s="21">
        <v>0</v>
      </c>
      <c r="R409" s="21">
        <v>0</v>
      </c>
      <c r="S409" s="5">
        <f t="shared" si="27"/>
        <v>122278.68000000008</v>
      </c>
      <c r="T409" cm="1">
        <f t="array" ref="T409">IF(OR(B409="MAL ALIMI", B409="ÜRETİM GİRİŞ"), MIN(I409, MAX(0, I409 + SUM(SUMIFS($I$1:I408, $C$1:C408, C409, $B$1:B408, {"MAL ALIMI","ÜRETİM GİRİŞ"})) - VLOOKUP(C409, 'STOK RAPORU'!$C$2:$I$1000, 4, 0))), 0)</f>
        <v>0</v>
      </c>
      <c r="U409" s="22">
        <f t="shared" si="24"/>
        <v>0</v>
      </c>
      <c r="V409">
        <f t="shared" si="25"/>
        <v>0</v>
      </c>
      <c r="W409" s="22">
        <f t="shared" si="26"/>
        <v>0</v>
      </c>
    </row>
    <row r="410" spans="1:23" hidden="1" x14ac:dyDescent="0.25">
      <c r="A410" s="3">
        <v>45959</v>
      </c>
      <c r="B410" s="4" t="s">
        <v>334</v>
      </c>
      <c r="C410" s="4" t="s">
        <v>160</v>
      </c>
      <c r="D410" s="4"/>
      <c r="E410" s="4" t="s">
        <v>921</v>
      </c>
      <c r="F410" s="4" t="s">
        <v>412</v>
      </c>
      <c r="G410" s="4" t="s">
        <v>336</v>
      </c>
      <c r="H410" s="4" t="s">
        <v>380</v>
      </c>
      <c r="I410" s="4">
        <v>1</v>
      </c>
      <c r="J410" s="21">
        <v>240</v>
      </c>
      <c r="K410" s="21">
        <v>240</v>
      </c>
      <c r="L410" s="5">
        <v>0</v>
      </c>
      <c r="M410" s="4">
        <v>1</v>
      </c>
      <c r="N410" s="4"/>
      <c r="O410" s="5">
        <v>240</v>
      </c>
      <c r="P410" s="5"/>
      <c r="Q410" s="21">
        <v>0</v>
      </c>
      <c r="R410" s="21">
        <v>0</v>
      </c>
      <c r="S410" s="5">
        <f t="shared" si="27"/>
        <v>122278.68000000008</v>
      </c>
      <c r="T410" cm="1">
        <f t="array" ref="T410">IF(OR(B410="MAL ALIMI", B410="ÜRETİM GİRİŞ"), MIN(I410, MAX(0, I410 + SUM(SUMIFS($I$1:I409, $C$1:C409, C410, $B$1:B409, {"MAL ALIMI","ÜRETİM GİRİŞ"})) - VLOOKUP(C410, 'STOK RAPORU'!$C$2:$I$1000, 4, 0))), 0)</f>
        <v>0</v>
      </c>
      <c r="U410" s="22">
        <f t="shared" si="24"/>
        <v>0</v>
      </c>
      <c r="V410">
        <f t="shared" si="25"/>
        <v>0</v>
      </c>
      <c r="W410" s="22">
        <f t="shared" si="26"/>
        <v>0</v>
      </c>
    </row>
    <row r="411" spans="1:23" hidden="1" x14ac:dyDescent="0.25">
      <c r="A411" s="3">
        <v>45959</v>
      </c>
      <c r="B411" s="4" t="s">
        <v>334</v>
      </c>
      <c r="C411" s="4" t="s">
        <v>3167</v>
      </c>
      <c r="D411" s="4"/>
      <c r="E411" s="4"/>
      <c r="F411" s="4" t="s">
        <v>413</v>
      </c>
      <c r="G411" s="4" t="s">
        <v>336</v>
      </c>
      <c r="H411" s="4" t="s">
        <v>289</v>
      </c>
      <c r="I411" s="4">
        <v>0.27100000000000002</v>
      </c>
      <c r="J411" s="21">
        <v>370</v>
      </c>
      <c r="K411" s="21">
        <v>0</v>
      </c>
      <c r="L411" s="5">
        <v>0</v>
      </c>
      <c r="M411" s="4">
        <v>0.27100000000000002</v>
      </c>
      <c r="N411" s="4"/>
      <c r="O411" s="5">
        <v>370</v>
      </c>
      <c r="P411" s="5"/>
      <c r="Q411" s="21">
        <v>100.27000000000001</v>
      </c>
      <c r="R411" s="21">
        <v>0</v>
      </c>
      <c r="S411" s="5">
        <f t="shared" si="27"/>
        <v>122378.95000000008</v>
      </c>
      <c r="T411" cm="1">
        <f t="array" ref="T411">IF(OR(B411="MAL ALIMI", B411="ÜRETİM GİRİŞ"), MIN(I411, MAX(0, I411 + SUM(SUMIFS($I$1:I410, $C$1:C410, C411, $B$1:B410, {"MAL ALIMI","ÜRETİM GİRİŞ"})) - VLOOKUP(C411, 'STOK RAPORU'!$C$2:$I$1000, 4, 0))), 0)</f>
        <v>0</v>
      </c>
      <c r="U411" s="22">
        <f t="shared" si="24"/>
        <v>0</v>
      </c>
      <c r="V411">
        <f t="shared" si="25"/>
        <v>0</v>
      </c>
      <c r="W411" s="22">
        <f t="shared" si="26"/>
        <v>0</v>
      </c>
    </row>
    <row r="412" spans="1:23" hidden="1" x14ac:dyDescent="0.25">
      <c r="A412" s="3">
        <v>45959</v>
      </c>
      <c r="B412" s="4" t="s">
        <v>334</v>
      </c>
      <c r="C412" s="4" t="s">
        <v>268</v>
      </c>
      <c r="D412" s="4"/>
      <c r="E412" s="4" t="s">
        <v>921</v>
      </c>
      <c r="F412" s="4" t="s">
        <v>414</v>
      </c>
      <c r="G412" s="4" t="s">
        <v>336</v>
      </c>
      <c r="H412" s="4" t="s">
        <v>380</v>
      </c>
      <c r="I412" s="4">
        <v>1</v>
      </c>
      <c r="J412" s="21">
        <v>140</v>
      </c>
      <c r="K412" s="21">
        <v>140</v>
      </c>
      <c r="L412" s="5">
        <v>0</v>
      </c>
      <c r="M412" s="4">
        <v>1</v>
      </c>
      <c r="N412" s="4"/>
      <c r="O412" s="5">
        <v>140</v>
      </c>
      <c r="P412" s="5"/>
      <c r="Q412" s="21">
        <v>0</v>
      </c>
      <c r="R412" s="21">
        <v>0</v>
      </c>
      <c r="S412" s="5">
        <f t="shared" si="27"/>
        <v>122378.95000000008</v>
      </c>
      <c r="T412" cm="1">
        <f t="array" ref="T412">IF(OR(B412="MAL ALIMI", B412="ÜRETİM GİRİŞ"), MIN(I412, MAX(0, I412 + SUM(SUMIFS($I$1:I411, $C$1:C411, C412, $B$1:B411, {"MAL ALIMI","ÜRETİM GİRİŞ"})) - VLOOKUP(C412, 'STOK RAPORU'!$C$2:$I$1000, 4, 0))), 0)</f>
        <v>0</v>
      </c>
      <c r="U412" s="22">
        <f t="shared" si="24"/>
        <v>0</v>
      </c>
      <c r="V412">
        <f t="shared" si="25"/>
        <v>0</v>
      </c>
      <c r="W412" s="22">
        <f t="shared" si="26"/>
        <v>0</v>
      </c>
    </row>
    <row r="413" spans="1:23" hidden="1" x14ac:dyDescent="0.25">
      <c r="A413" s="3">
        <v>45959</v>
      </c>
      <c r="B413" s="4" t="s">
        <v>334</v>
      </c>
      <c r="C413" s="4" t="s">
        <v>89</v>
      </c>
      <c r="D413" s="4"/>
      <c r="E413" s="4" t="s">
        <v>921</v>
      </c>
      <c r="F413" s="4" t="s">
        <v>414</v>
      </c>
      <c r="G413" s="4" t="s">
        <v>336</v>
      </c>
      <c r="H413" s="4" t="s">
        <v>380</v>
      </c>
      <c r="I413" s="4">
        <v>0.1</v>
      </c>
      <c r="J413" s="21">
        <v>600</v>
      </c>
      <c r="K413" s="21">
        <v>60</v>
      </c>
      <c r="L413" s="5">
        <v>0</v>
      </c>
      <c r="M413" s="4">
        <v>1</v>
      </c>
      <c r="N413" s="4"/>
      <c r="O413" s="5">
        <v>60</v>
      </c>
      <c r="P413" s="5"/>
      <c r="Q413" s="21">
        <v>0</v>
      </c>
      <c r="R413" s="21">
        <v>0</v>
      </c>
      <c r="S413" s="5">
        <f t="shared" si="27"/>
        <v>122378.95000000008</v>
      </c>
      <c r="T413" cm="1">
        <f t="array" ref="T413">IF(OR(B413="MAL ALIMI", B413="ÜRETİM GİRİŞ"), MIN(I413, MAX(0, I413 + SUM(SUMIFS($I$1:I412, $C$1:C412, C413, $B$1:B412, {"MAL ALIMI","ÜRETİM GİRİŞ"})) - VLOOKUP(C413, 'STOK RAPORU'!$C$2:$I$1000, 4, 0))), 0)</f>
        <v>0</v>
      </c>
      <c r="U413" s="22">
        <f t="shared" si="24"/>
        <v>0</v>
      </c>
      <c r="V413">
        <f t="shared" si="25"/>
        <v>0</v>
      </c>
      <c r="W413" s="22">
        <f t="shared" si="26"/>
        <v>0</v>
      </c>
    </row>
    <row r="414" spans="1:23" hidden="1" x14ac:dyDescent="0.25">
      <c r="A414" s="3">
        <v>45959</v>
      </c>
      <c r="B414" s="4" t="s">
        <v>334</v>
      </c>
      <c r="C414" s="4" t="s">
        <v>160</v>
      </c>
      <c r="D414" s="4"/>
      <c r="E414" s="4" t="s">
        <v>921</v>
      </c>
      <c r="F414" s="4" t="s">
        <v>415</v>
      </c>
      <c r="G414" s="4" t="s">
        <v>336</v>
      </c>
      <c r="H414" s="4" t="s">
        <v>380</v>
      </c>
      <c r="I414" s="4">
        <v>1</v>
      </c>
      <c r="J414" s="21">
        <v>240</v>
      </c>
      <c r="K414" s="21">
        <v>240</v>
      </c>
      <c r="L414" s="5">
        <v>0</v>
      </c>
      <c r="M414" s="4">
        <v>1</v>
      </c>
      <c r="N414" s="4"/>
      <c r="O414" s="5">
        <v>240</v>
      </c>
      <c r="P414" s="5"/>
      <c r="Q414" s="21">
        <v>0</v>
      </c>
      <c r="R414" s="21">
        <v>0</v>
      </c>
      <c r="S414" s="5">
        <f t="shared" si="27"/>
        <v>122378.95000000008</v>
      </c>
      <c r="T414" cm="1">
        <f t="array" ref="T414">IF(OR(B414="MAL ALIMI", B414="ÜRETİM GİRİŞ"), MIN(I414, MAX(0, I414 + SUM(SUMIFS($I$1:I413, $C$1:C413, C414, $B$1:B413, {"MAL ALIMI","ÜRETİM GİRİŞ"})) - VLOOKUP(C414, 'STOK RAPORU'!$C$2:$I$1000, 4, 0))), 0)</f>
        <v>0</v>
      </c>
      <c r="U414" s="22">
        <f t="shared" si="24"/>
        <v>0</v>
      </c>
      <c r="V414">
        <f t="shared" si="25"/>
        <v>0</v>
      </c>
      <c r="W414" s="22">
        <f t="shared" si="26"/>
        <v>0</v>
      </c>
    </row>
    <row r="415" spans="1:23" hidden="1" x14ac:dyDescent="0.25">
      <c r="A415" s="3">
        <v>45959</v>
      </c>
      <c r="B415" s="4" t="s">
        <v>334</v>
      </c>
      <c r="C415" s="4" t="s">
        <v>197</v>
      </c>
      <c r="D415" s="4"/>
      <c r="E415" s="4" t="s">
        <v>921</v>
      </c>
      <c r="F415" s="4" t="s">
        <v>416</v>
      </c>
      <c r="G415" s="4" t="s">
        <v>336</v>
      </c>
      <c r="H415" s="4" t="s">
        <v>380</v>
      </c>
      <c r="I415" s="4">
        <v>0.27800000000000002</v>
      </c>
      <c r="J415" s="21">
        <v>180</v>
      </c>
      <c r="K415" s="21">
        <v>50.040000000000006</v>
      </c>
      <c r="L415" s="5">
        <v>0</v>
      </c>
      <c r="M415" s="4">
        <v>0.27800000000000002</v>
      </c>
      <c r="N415" s="4"/>
      <c r="O415" s="5">
        <v>180</v>
      </c>
      <c r="P415" s="5"/>
      <c r="Q415" s="21">
        <v>0</v>
      </c>
      <c r="R415" s="21">
        <v>0</v>
      </c>
      <c r="S415" s="5">
        <f t="shared" si="27"/>
        <v>122378.95000000008</v>
      </c>
      <c r="T415" cm="1">
        <f t="array" ref="T415">IF(OR(B415="MAL ALIMI", B415="ÜRETİM GİRİŞ"), MIN(I415, MAX(0, I415 + SUM(SUMIFS($I$1:I414, $C$1:C414, C415, $B$1:B414, {"MAL ALIMI","ÜRETİM GİRİŞ"})) - VLOOKUP(C415, 'STOK RAPORU'!$C$2:$I$1000, 4, 0))), 0)</f>
        <v>0</v>
      </c>
      <c r="U415" s="22">
        <f t="shared" si="24"/>
        <v>0</v>
      </c>
      <c r="V415">
        <f t="shared" si="25"/>
        <v>0</v>
      </c>
      <c r="W415" s="22">
        <f t="shared" si="26"/>
        <v>0</v>
      </c>
    </row>
    <row r="416" spans="1:23" hidden="1" x14ac:dyDescent="0.25">
      <c r="A416" s="3">
        <v>45959</v>
      </c>
      <c r="B416" s="4" t="s">
        <v>334</v>
      </c>
      <c r="C416" s="4" t="s">
        <v>196</v>
      </c>
      <c r="D416" s="4"/>
      <c r="E416" s="4" t="s">
        <v>921</v>
      </c>
      <c r="F416" s="4" t="s">
        <v>417</v>
      </c>
      <c r="G416" s="4" t="s">
        <v>336</v>
      </c>
      <c r="H416" s="4" t="s">
        <v>380</v>
      </c>
      <c r="I416" s="4">
        <v>0.25800000000000001</v>
      </c>
      <c r="J416" s="21">
        <v>180</v>
      </c>
      <c r="K416" s="21">
        <v>46.44</v>
      </c>
      <c r="L416" s="5">
        <v>0</v>
      </c>
      <c r="M416" s="4">
        <v>0.25800000000000001</v>
      </c>
      <c r="N416" s="4"/>
      <c r="O416" s="5">
        <v>180</v>
      </c>
      <c r="P416" s="5"/>
      <c r="Q416" s="21">
        <v>0</v>
      </c>
      <c r="R416" s="21">
        <v>0</v>
      </c>
      <c r="S416" s="5">
        <f t="shared" si="27"/>
        <v>122378.95000000008</v>
      </c>
      <c r="T416" cm="1">
        <f t="array" ref="T416">IF(OR(B416="MAL ALIMI", B416="ÜRETİM GİRİŞ"), MIN(I416, MAX(0, I416 + SUM(SUMIFS($I$1:I415, $C$1:C415, C416, $B$1:B415, {"MAL ALIMI","ÜRETİM GİRİŞ"})) - VLOOKUP(C416, 'STOK RAPORU'!$C$2:$I$1000, 4, 0))), 0)</f>
        <v>0</v>
      </c>
      <c r="U416" s="22">
        <f t="shared" si="24"/>
        <v>0</v>
      </c>
      <c r="V416">
        <f t="shared" si="25"/>
        <v>0</v>
      </c>
      <c r="W416" s="22">
        <f t="shared" si="26"/>
        <v>0</v>
      </c>
    </row>
    <row r="417" spans="1:23" hidden="1" x14ac:dyDescent="0.25">
      <c r="A417" s="3">
        <v>45959</v>
      </c>
      <c r="B417" s="4" t="s">
        <v>334</v>
      </c>
      <c r="C417" s="4" t="s">
        <v>226</v>
      </c>
      <c r="D417" s="4"/>
      <c r="E417" s="4" t="s">
        <v>921</v>
      </c>
      <c r="F417" s="4" t="s">
        <v>417</v>
      </c>
      <c r="G417" s="4" t="s">
        <v>336</v>
      </c>
      <c r="H417" s="4" t="s">
        <v>380</v>
      </c>
      <c r="I417" s="4">
        <v>0.14599999999999999</v>
      </c>
      <c r="J417" s="21">
        <v>150</v>
      </c>
      <c r="K417" s="21">
        <v>21.9</v>
      </c>
      <c r="L417" s="5">
        <v>0</v>
      </c>
      <c r="M417" s="4">
        <v>0.14599999999999999</v>
      </c>
      <c r="N417" s="4"/>
      <c r="O417" s="5">
        <v>150</v>
      </c>
      <c r="P417" s="5"/>
      <c r="Q417" s="21">
        <v>0</v>
      </c>
      <c r="R417" s="21">
        <v>0</v>
      </c>
      <c r="S417" s="5">
        <f t="shared" si="27"/>
        <v>122378.95000000008</v>
      </c>
      <c r="T417" cm="1">
        <f t="array" ref="T417">IF(OR(B417="MAL ALIMI", B417="ÜRETİM GİRİŞ"), MIN(I417, MAX(0, I417 + SUM(SUMIFS($I$1:I416, $C$1:C416, C417, $B$1:B416, {"MAL ALIMI","ÜRETİM GİRİŞ"})) - VLOOKUP(C417, 'STOK RAPORU'!$C$2:$I$1000, 4, 0))), 0)</f>
        <v>0</v>
      </c>
      <c r="U417" s="22">
        <f t="shared" si="24"/>
        <v>0</v>
      </c>
      <c r="V417">
        <f t="shared" si="25"/>
        <v>0</v>
      </c>
      <c r="W417" s="22">
        <f t="shared" si="26"/>
        <v>0</v>
      </c>
    </row>
    <row r="418" spans="1:23" hidden="1" x14ac:dyDescent="0.25">
      <c r="A418" s="3">
        <v>45960</v>
      </c>
      <c r="B418" s="4" t="s">
        <v>298</v>
      </c>
      <c r="C418" s="4" t="s">
        <v>1041</v>
      </c>
      <c r="D418" s="4"/>
      <c r="E418" s="4"/>
      <c r="F418" s="4" t="s">
        <v>1045</v>
      </c>
      <c r="G418" s="4" t="s">
        <v>1044</v>
      </c>
      <c r="H418" s="4" t="s">
        <v>289</v>
      </c>
      <c r="I418" s="4">
        <v>10</v>
      </c>
      <c r="J418" s="21">
        <v>200</v>
      </c>
      <c r="K418" s="21">
        <v>0</v>
      </c>
      <c r="L418" s="5">
        <v>0</v>
      </c>
      <c r="M418" s="4"/>
      <c r="N418" s="4"/>
      <c r="O418" s="5"/>
      <c r="P418" s="5"/>
      <c r="Q418" s="21">
        <v>0</v>
      </c>
      <c r="R418" s="21">
        <v>2000</v>
      </c>
      <c r="S418" s="5">
        <f t="shared" si="27"/>
        <v>120378.95000000008</v>
      </c>
      <c r="T418" cm="1">
        <f t="array" ref="T418">IF(OR(B418="MAL ALIMI", B418="ÜRETİM GİRİŞ"), MIN(I418, MAX(0, I418 + SUM(SUMIFS($I$1:I417, $C$1:C417, C418, $B$1:B417, {"MAL ALIMI","ÜRETİM GİRİŞ"})) - VLOOKUP(C418, 'STOK RAPORU'!$C$2:$I$1000, 4, 0))), 0)</f>
        <v>0</v>
      </c>
      <c r="U418" s="22">
        <f t="shared" si="24"/>
        <v>0</v>
      </c>
      <c r="V418">
        <f t="shared" si="25"/>
        <v>2000</v>
      </c>
      <c r="W418" s="22">
        <f t="shared" si="26"/>
        <v>2000</v>
      </c>
    </row>
    <row r="419" spans="1:23" hidden="1" x14ac:dyDescent="0.25">
      <c r="A419" s="3">
        <v>45960</v>
      </c>
      <c r="B419" s="4" t="s">
        <v>334</v>
      </c>
      <c r="C419" s="4" t="s">
        <v>148</v>
      </c>
      <c r="D419" s="4"/>
      <c r="E419" s="4"/>
      <c r="F419" s="4" t="s">
        <v>436</v>
      </c>
      <c r="G419" s="4" t="s">
        <v>336</v>
      </c>
      <c r="H419" s="4" t="s">
        <v>289</v>
      </c>
      <c r="I419" s="4">
        <v>1</v>
      </c>
      <c r="J419" s="21">
        <v>65</v>
      </c>
      <c r="K419" s="21">
        <v>0</v>
      </c>
      <c r="L419" s="5">
        <v>0</v>
      </c>
      <c r="M419" s="4">
        <v>1</v>
      </c>
      <c r="N419" s="4"/>
      <c r="O419" s="5">
        <v>65</v>
      </c>
      <c r="P419" s="5"/>
      <c r="Q419" s="21">
        <v>65</v>
      </c>
      <c r="R419" s="21">
        <v>0</v>
      </c>
      <c r="S419" s="5">
        <f t="shared" si="27"/>
        <v>120443.95000000008</v>
      </c>
      <c r="T419" cm="1">
        <f t="array" ref="T419">IF(OR(B419="MAL ALIMI", B419="ÜRETİM GİRİŞ"), MIN(I419, MAX(0, I419 + SUM(SUMIFS($I$1:I418, $C$1:C418, C419, $B$1:B418, {"MAL ALIMI","ÜRETİM GİRİŞ"})) - VLOOKUP(C419, 'STOK RAPORU'!$C$2:$I$1000, 4, 0))), 0)</f>
        <v>0</v>
      </c>
      <c r="U419" s="22">
        <f t="shared" si="24"/>
        <v>0</v>
      </c>
      <c r="V419">
        <f t="shared" si="25"/>
        <v>0</v>
      </c>
      <c r="W419" s="22">
        <f t="shared" si="26"/>
        <v>0</v>
      </c>
    </row>
    <row r="420" spans="1:23" hidden="1" x14ac:dyDescent="0.25">
      <c r="A420" s="3">
        <v>45960</v>
      </c>
      <c r="B420" s="4" t="s">
        <v>334</v>
      </c>
      <c r="C420" s="4" t="s">
        <v>137</v>
      </c>
      <c r="D420" s="4"/>
      <c r="E420" s="4"/>
      <c r="F420" s="4" t="s">
        <v>436</v>
      </c>
      <c r="G420" s="4" t="s">
        <v>336</v>
      </c>
      <c r="H420" s="4" t="s">
        <v>289</v>
      </c>
      <c r="I420" s="4">
        <v>0.36</v>
      </c>
      <c r="J420" s="21">
        <v>250</v>
      </c>
      <c r="K420" s="21">
        <v>0</v>
      </c>
      <c r="L420" s="5">
        <v>0</v>
      </c>
      <c r="M420" s="4">
        <v>0.36</v>
      </c>
      <c r="N420" s="4"/>
      <c r="O420" s="5">
        <v>250</v>
      </c>
      <c r="P420" s="5"/>
      <c r="Q420" s="21">
        <v>90</v>
      </c>
      <c r="R420" s="21">
        <v>0</v>
      </c>
      <c r="S420" s="5">
        <f t="shared" si="27"/>
        <v>120533.95000000008</v>
      </c>
      <c r="T420" cm="1">
        <f t="array" ref="T420">IF(OR(B420="MAL ALIMI", B420="ÜRETİM GİRİŞ"), MIN(I420, MAX(0, I420 + SUM(SUMIFS($I$1:I419, $C$1:C419, C420, $B$1:B419, {"MAL ALIMI","ÜRETİM GİRİŞ"})) - VLOOKUP(C420, 'STOK RAPORU'!$C$2:$I$1000, 4, 0))), 0)</f>
        <v>0</v>
      </c>
      <c r="U420" s="22">
        <f t="shared" si="24"/>
        <v>0</v>
      </c>
      <c r="V420">
        <f t="shared" si="25"/>
        <v>0</v>
      </c>
      <c r="W420" s="22">
        <f t="shared" si="26"/>
        <v>0</v>
      </c>
    </row>
    <row r="421" spans="1:23" hidden="1" x14ac:dyDescent="0.25">
      <c r="A421" s="3">
        <v>45960</v>
      </c>
      <c r="B421" s="4" t="s">
        <v>334</v>
      </c>
      <c r="C421" s="4" t="s">
        <v>192</v>
      </c>
      <c r="D421" s="4"/>
      <c r="E421" s="4"/>
      <c r="F421" s="4" t="s">
        <v>437</v>
      </c>
      <c r="G421" s="4" t="s">
        <v>336</v>
      </c>
      <c r="H421" s="4" t="s">
        <v>289</v>
      </c>
      <c r="I421" s="4">
        <v>5.5599999999999997E-2</v>
      </c>
      <c r="J421" s="21">
        <v>270</v>
      </c>
      <c r="K421" s="21">
        <v>0</v>
      </c>
      <c r="L421" s="5">
        <v>0</v>
      </c>
      <c r="M421" s="4">
        <v>5.5599999999999997E-2</v>
      </c>
      <c r="N421" s="4"/>
      <c r="O421" s="5">
        <v>270</v>
      </c>
      <c r="P421" s="5"/>
      <c r="Q421" s="21">
        <v>15.011999999999999</v>
      </c>
      <c r="R421" s="21">
        <v>0</v>
      </c>
      <c r="S421" s="5">
        <f t="shared" si="27"/>
        <v>120548.96200000009</v>
      </c>
      <c r="T421" cm="1">
        <f t="array" ref="T421">IF(OR(B421="MAL ALIMI", B421="ÜRETİM GİRİŞ"), MIN(I421, MAX(0, I421 + SUM(SUMIFS($I$1:I420, $C$1:C420, C421, $B$1:B420, {"MAL ALIMI","ÜRETİM GİRİŞ"})) - VLOOKUP(C421, 'STOK RAPORU'!$C$2:$I$1000, 4, 0))), 0)</f>
        <v>0</v>
      </c>
      <c r="U421" s="22">
        <f t="shared" si="24"/>
        <v>0</v>
      </c>
      <c r="V421">
        <f t="shared" si="25"/>
        <v>0</v>
      </c>
      <c r="W421" s="22">
        <f t="shared" si="26"/>
        <v>0</v>
      </c>
    </row>
    <row r="422" spans="1:23" hidden="1" x14ac:dyDescent="0.25">
      <c r="A422" s="3">
        <v>45960</v>
      </c>
      <c r="B422" s="4" t="s">
        <v>334</v>
      </c>
      <c r="C422" s="4" t="s">
        <v>129</v>
      </c>
      <c r="D422" s="4"/>
      <c r="E422" s="4"/>
      <c r="F422" s="4" t="s">
        <v>438</v>
      </c>
      <c r="G422" s="4" t="s">
        <v>439</v>
      </c>
      <c r="H422" s="4" t="s">
        <v>289</v>
      </c>
      <c r="I422" s="4">
        <v>1</v>
      </c>
      <c r="J422" s="21">
        <v>220</v>
      </c>
      <c r="K422" s="21">
        <v>0</v>
      </c>
      <c r="L422" s="5">
        <v>0</v>
      </c>
      <c r="M422" s="4">
        <v>1</v>
      </c>
      <c r="N422" s="4"/>
      <c r="O422" s="5">
        <v>220</v>
      </c>
      <c r="P422" s="5"/>
      <c r="Q422" s="21">
        <v>220</v>
      </c>
      <c r="R422" s="21">
        <v>0</v>
      </c>
      <c r="S422" s="5">
        <f t="shared" si="27"/>
        <v>120768.96200000009</v>
      </c>
      <c r="T422" cm="1">
        <f t="array" ref="T422">IF(OR(B422="MAL ALIMI", B422="ÜRETİM GİRİŞ"), MIN(I422, MAX(0, I422 + SUM(SUMIFS($I$1:I421, $C$1:C421, C422, $B$1:B421, {"MAL ALIMI","ÜRETİM GİRİŞ"})) - VLOOKUP(C422, 'STOK RAPORU'!$C$2:$I$1000, 4, 0))), 0)</f>
        <v>0</v>
      </c>
      <c r="U422" s="22">
        <f t="shared" si="24"/>
        <v>0</v>
      </c>
      <c r="V422">
        <f t="shared" si="25"/>
        <v>0</v>
      </c>
      <c r="W422" s="22">
        <f t="shared" si="26"/>
        <v>0</v>
      </c>
    </row>
    <row r="423" spans="1:23" hidden="1" x14ac:dyDescent="0.25">
      <c r="A423" s="3">
        <v>45960</v>
      </c>
      <c r="B423" s="4" t="s">
        <v>334</v>
      </c>
      <c r="C423" s="4" t="s">
        <v>530</v>
      </c>
      <c r="D423" s="4"/>
      <c r="E423" s="4" t="s">
        <v>921</v>
      </c>
      <c r="F423" s="4" t="s">
        <v>440</v>
      </c>
      <c r="G423" s="4" t="s">
        <v>336</v>
      </c>
      <c r="H423" s="4" t="s">
        <v>380</v>
      </c>
      <c r="I423" s="4">
        <v>0.5</v>
      </c>
      <c r="J423" s="21">
        <v>240</v>
      </c>
      <c r="K423" s="21">
        <v>120</v>
      </c>
      <c r="L423" s="5">
        <v>0</v>
      </c>
      <c r="M423" s="4">
        <v>1</v>
      </c>
      <c r="N423" s="4"/>
      <c r="O423" s="5">
        <v>120</v>
      </c>
      <c r="P423" s="5"/>
      <c r="Q423" s="21">
        <v>0</v>
      </c>
      <c r="R423" s="21">
        <v>0</v>
      </c>
      <c r="S423" s="5">
        <f t="shared" si="27"/>
        <v>120768.96200000009</v>
      </c>
      <c r="T423" cm="1">
        <f t="array" ref="T423">IF(OR(B423="MAL ALIMI", B423="ÜRETİM GİRİŞ"), MIN(I423, MAX(0, I423 + SUM(SUMIFS($I$1:I422, $C$1:C422, C423, $B$1:B422, {"MAL ALIMI","ÜRETİM GİRİŞ"})) - VLOOKUP(C423, 'STOK RAPORU'!$C$2:$I$1000, 4, 0))), 0)</f>
        <v>0</v>
      </c>
      <c r="U423" s="22">
        <f t="shared" si="24"/>
        <v>0</v>
      </c>
      <c r="V423">
        <f t="shared" si="25"/>
        <v>0</v>
      </c>
      <c r="W423" s="22">
        <f t="shared" si="26"/>
        <v>0</v>
      </c>
    </row>
    <row r="424" spans="1:23" hidden="1" x14ac:dyDescent="0.25">
      <c r="A424" s="3">
        <v>45960</v>
      </c>
      <c r="B424" s="4" t="s">
        <v>334</v>
      </c>
      <c r="C424" s="4" t="s">
        <v>60</v>
      </c>
      <c r="D424" s="4"/>
      <c r="E424" s="4" t="s">
        <v>921</v>
      </c>
      <c r="F424" s="4" t="s">
        <v>440</v>
      </c>
      <c r="G424" s="4" t="s">
        <v>336</v>
      </c>
      <c r="H424" s="4" t="s">
        <v>380</v>
      </c>
      <c r="I424" s="4">
        <v>0.05</v>
      </c>
      <c r="J424" s="21">
        <v>1100</v>
      </c>
      <c r="K424" s="21">
        <v>55</v>
      </c>
      <c r="L424" s="5">
        <v>0</v>
      </c>
      <c r="M424" s="4">
        <v>0.05</v>
      </c>
      <c r="N424" s="4"/>
      <c r="O424" s="5">
        <v>1100</v>
      </c>
      <c r="P424" s="5"/>
      <c r="Q424" s="21">
        <v>0</v>
      </c>
      <c r="R424" s="21">
        <v>0</v>
      </c>
      <c r="S424" s="5">
        <f t="shared" si="27"/>
        <v>120768.96200000009</v>
      </c>
      <c r="T424" cm="1">
        <f t="array" ref="T424">IF(OR(B424="MAL ALIMI", B424="ÜRETİM GİRİŞ"), MIN(I424, MAX(0, I424 + SUM(SUMIFS($I$1:I423, $C$1:C423, C424, $B$1:B423, {"MAL ALIMI","ÜRETİM GİRİŞ"})) - VLOOKUP(C424, 'STOK RAPORU'!$C$2:$I$1000, 4, 0))), 0)</f>
        <v>0</v>
      </c>
      <c r="U424" s="22">
        <f t="shared" si="24"/>
        <v>0</v>
      </c>
      <c r="V424">
        <f t="shared" si="25"/>
        <v>0</v>
      </c>
      <c r="W424" s="22">
        <f t="shared" si="26"/>
        <v>0</v>
      </c>
    </row>
    <row r="425" spans="1:23" hidden="1" x14ac:dyDescent="0.25">
      <c r="A425" s="3">
        <v>45960</v>
      </c>
      <c r="B425" s="4" t="s">
        <v>334</v>
      </c>
      <c r="C425" s="4" t="s">
        <v>140</v>
      </c>
      <c r="D425" s="4"/>
      <c r="E425" s="4" t="s">
        <v>921</v>
      </c>
      <c r="F425" s="4" t="s">
        <v>440</v>
      </c>
      <c r="G425" s="4" t="s">
        <v>336</v>
      </c>
      <c r="H425" s="4" t="s">
        <v>380</v>
      </c>
      <c r="I425" s="4">
        <v>0.106</v>
      </c>
      <c r="J425" s="21">
        <v>236</v>
      </c>
      <c r="K425" s="21">
        <v>25.015999999999998</v>
      </c>
      <c r="L425" s="5">
        <v>0</v>
      </c>
      <c r="M425" s="4">
        <v>0.106</v>
      </c>
      <c r="N425" s="4"/>
      <c r="O425" s="5">
        <v>236</v>
      </c>
      <c r="P425" s="5"/>
      <c r="Q425" s="21">
        <v>0</v>
      </c>
      <c r="R425" s="21">
        <v>0</v>
      </c>
      <c r="S425" s="5">
        <f t="shared" si="27"/>
        <v>120768.96200000009</v>
      </c>
      <c r="T425" cm="1">
        <f t="array" ref="T425">IF(OR(B425="MAL ALIMI", B425="ÜRETİM GİRİŞ"), MIN(I425, MAX(0, I425 + SUM(SUMIFS($I$1:I424, $C$1:C424, C425, $B$1:B424, {"MAL ALIMI","ÜRETİM GİRİŞ"})) - VLOOKUP(C425, 'STOK RAPORU'!$C$2:$I$1000, 4, 0))), 0)</f>
        <v>0</v>
      </c>
      <c r="U425" s="22">
        <f t="shared" si="24"/>
        <v>0</v>
      </c>
      <c r="V425">
        <f t="shared" si="25"/>
        <v>0</v>
      </c>
      <c r="W425" s="22">
        <f t="shared" si="26"/>
        <v>0</v>
      </c>
    </row>
    <row r="426" spans="1:23" hidden="1" x14ac:dyDescent="0.25">
      <c r="A426" s="3">
        <v>45960</v>
      </c>
      <c r="B426" s="4" t="s">
        <v>334</v>
      </c>
      <c r="C426" s="4" t="s">
        <v>133</v>
      </c>
      <c r="D426" s="4"/>
      <c r="E426" s="4"/>
      <c r="F426" s="4" t="s">
        <v>441</v>
      </c>
      <c r="G426" s="4" t="s">
        <v>336</v>
      </c>
      <c r="H426" s="4" t="s">
        <v>289</v>
      </c>
      <c r="I426" s="4">
        <v>0.12</v>
      </c>
      <c r="J426" s="21">
        <v>420</v>
      </c>
      <c r="K426" s="21">
        <v>0</v>
      </c>
      <c r="L426" s="5">
        <v>0</v>
      </c>
      <c r="M426" s="4">
        <v>0.12</v>
      </c>
      <c r="N426" s="4"/>
      <c r="O426" s="5">
        <v>420</v>
      </c>
      <c r="P426" s="5"/>
      <c r="Q426" s="21">
        <v>50.4</v>
      </c>
      <c r="R426" s="21">
        <v>0</v>
      </c>
      <c r="S426" s="5">
        <f t="shared" si="27"/>
        <v>120819.36200000008</v>
      </c>
      <c r="T426" cm="1">
        <f t="array" ref="T426">IF(OR(B426="MAL ALIMI", B426="ÜRETİM GİRİŞ"), MIN(I426, MAX(0, I426 + SUM(SUMIFS($I$1:I425, $C$1:C425, C426, $B$1:B425, {"MAL ALIMI","ÜRETİM GİRİŞ"})) - VLOOKUP(C426, 'STOK RAPORU'!$C$2:$I$1000, 4, 0))), 0)</f>
        <v>0</v>
      </c>
      <c r="U426" s="22">
        <f t="shared" si="24"/>
        <v>0</v>
      </c>
      <c r="V426">
        <f t="shared" si="25"/>
        <v>0</v>
      </c>
      <c r="W426" s="22">
        <f t="shared" si="26"/>
        <v>0</v>
      </c>
    </row>
    <row r="427" spans="1:23" hidden="1" x14ac:dyDescent="0.25">
      <c r="A427" s="3">
        <v>45960</v>
      </c>
      <c r="B427" s="4" t="s">
        <v>334</v>
      </c>
      <c r="C427" s="4" t="s">
        <v>157</v>
      </c>
      <c r="D427" s="4"/>
      <c r="E427" s="4"/>
      <c r="F427" s="4" t="s">
        <v>442</v>
      </c>
      <c r="G427" s="4" t="s">
        <v>336</v>
      </c>
      <c r="H427" s="4" t="s">
        <v>289</v>
      </c>
      <c r="I427" s="4">
        <v>1</v>
      </c>
      <c r="J427" s="21">
        <v>120</v>
      </c>
      <c r="K427" s="21">
        <v>0</v>
      </c>
      <c r="L427" s="5">
        <v>0</v>
      </c>
      <c r="M427" s="4">
        <v>1</v>
      </c>
      <c r="N427" s="4"/>
      <c r="O427" s="5">
        <v>120</v>
      </c>
      <c r="P427" s="5"/>
      <c r="Q427" s="21">
        <v>120</v>
      </c>
      <c r="R427" s="21">
        <v>0</v>
      </c>
      <c r="S427" s="5">
        <f t="shared" si="27"/>
        <v>120939.36200000008</v>
      </c>
      <c r="T427" cm="1">
        <f t="array" ref="T427">IF(OR(B427="MAL ALIMI", B427="ÜRETİM GİRİŞ"), MIN(I427, MAX(0, I427 + SUM(SUMIFS($I$1:I426, $C$1:C426, C427, $B$1:B426, {"MAL ALIMI","ÜRETİM GİRİŞ"})) - VLOOKUP(C427, 'STOK RAPORU'!$C$2:$I$1000, 4, 0))), 0)</f>
        <v>0</v>
      </c>
      <c r="U427" s="22">
        <f t="shared" si="24"/>
        <v>0</v>
      </c>
      <c r="V427">
        <f t="shared" si="25"/>
        <v>0</v>
      </c>
      <c r="W427" s="22">
        <f t="shared" si="26"/>
        <v>0</v>
      </c>
    </row>
    <row r="428" spans="1:23" hidden="1" x14ac:dyDescent="0.25">
      <c r="A428" s="3">
        <v>45960</v>
      </c>
      <c r="B428" s="4" t="s">
        <v>334</v>
      </c>
      <c r="C428" s="4" t="s">
        <v>158</v>
      </c>
      <c r="D428" s="4"/>
      <c r="E428" s="4"/>
      <c r="F428" s="4" t="s">
        <v>442</v>
      </c>
      <c r="G428" s="4" t="s">
        <v>336</v>
      </c>
      <c r="H428" s="4" t="s">
        <v>289</v>
      </c>
      <c r="I428" s="4">
        <v>1</v>
      </c>
      <c r="J428" s="21">
        <v>180</v>
      </c>
      <c r="K428" s="21">
        <v>0</v>
      </c>
      <c r="L428" s="5">
        <v>0</v>
      </c>
      <c r="M428" s="4">
        <v>1</v>
      </c>
      <c r="N428" s="4"/>
      <c r="O428" s="5">
        <v>180</v>
      </c>
      <c r="P428" s="5"/>
      <c r="Q428" s="21">
        <v>180</v>
      </c>
      <c r="R428" s="21">
        <v>0</v>
      </c>
      <c r="S428" s="5">
        <f t="shared" si="27"/>
        <v>121119.36200000008</v>
      </c>
      <c r="T428" cm="1">
        <f t="array" ref="T428">IF(OR(B428="MAL ALIMI", B428="ÜRETİM GİRİŞ"), MIN(I428, MAX(0, I428 + SUM(SUMIFS($I$1:I427, $C$1:C427, C428, $B$1:B427, {"MAL ALIMI","ÜRETİM GİRİŞ"})) - VLOOKUP(C428, 'STOK RAPORU'!$C$2:$I$1000, 4, 0))), 0)</f>
        <v>0</v>
      </c>
      <c r="U428" s="22">
        <f t="shared" si="24"/>
        <v>0</v>
      </c>
      <c r="V428">
        <f t="shared" si="25"/>
        <v>0</v>
      </c>
      <c r="W428" s="22">
        <f t="shared" si="26"/>
        <v>0</v>
      </c>
    </row>
    <row r="429" spans="1:23" hidden="1" x14ac:dyDescent="0.25">
      <c r="A429" s="3">
        <v>45960</v>
      </c>
      <c r="B429" s="4" t="s">
        <v>917</v>
      </c>
      <c r="C429" s="4"/>
      <c r="D429" s="4"/>
      <c r="E429" s="4" t="s">
        <v>350</v>
      </c>
      <c r="F429" s="4"/>
      <c r="G429" s="4" t="s">
        <v>918</v>
      </c>
      <c r="H429" s="4" t="s">
        <v>289</v>
      </c>
      <c r="I429" s="4">
        <v>1</v>
      </c>
      <c r="J429" s="21">
        <v>0</v>
      </c>
      <c r="K429" s="21">
        <v>8000</v>
      </c>
      <c r="L429" s="5">
        <v>0</v>
      </c>
      <c r="M429" s="4"/>
      <c r="N429" s="4"/>
      <c r="O429" s="5"/>
      <c r="P429" s="5"/>
      <c r="Q429" s="21">
        <v>0</v>
      </c>
      <c r="R429" s="21">
        <v>8000</v>
      </c>
      <c r="S429" s="5">
        <f t="shared" si="27"/>
        <v>113119.36200000008</v>
      </c>
      <c r="T429" cm="1">
        <f t="array" ref="T429">IF(OR(B429="MAL ALIMI", B429="ÜRETİM GİRİŞ"), MIN(I429, MAX(0, I429 + SUM(SUMIFS($I$1:I428, $C$1:C428, C429, $B$1:B428, {"MAL ALIMI","ÜRETİM GİRİŞ"})) - VLOOKUP(C429, 'STOK RAPORU'!$C$2:$I$1000, 4, 0))), 0)</f>
        <v>0</v>
      </c>
      <c r="U429" s="22">
        <f t="shared" si="24"/>
        <v>0</v>
      </c>
      <c r="V429">
        <f t="shared" si="25"/>
        <v>0</v>
      </c>
      <c r="W429" s="22">
        <f t="shared" si="26"/>
        <v>0</v>
      </c>
    </row>
    <row r="430" spans="1:23" hidden="1" x14ac:dyDescent="0.25">
      <c r="A430" s="3">
        <v>45961</v>
      </c>
      <c r="B430" s="3" t="s">
        <v>298</v>
      </c>
      <c r="C430" s="4" t="s">
        <v>697</v>
      </c>
      <c r="D430" s="4"/>
      <c r="E430" s="4" t="s">
        <v>350</v>
      </c>
      <c r="F430" s="4" t="s">
        <v>487</v>
      </c>
      <c r="G430" s="4" t="s">
        <v>350</v>
      </c>
      <c r="H430" s="4" t="s">
        <v>304</v>
      </c>
      <c r="I430" s="4">
        <v>1</v>
      </c>
      <c r="J430" s="21">
        <v>255</v>
      </c>
      <c r="K430" s="21">
        <v>0</v>
      </c>
      <c r="L430" s="5">
        <v>255</v>
      </c>
      <c r="M430" s="4"/>
      <c r="N430" s="4">
        <v>1</v>
      </c>
      <c r="O430" s="5"/>
      <c r="P430" s="5">
        <v>255</v>
      </c>
      <c r="Q430" s="21">
        <v>0</v>
      </c>
      <c r="R430" s="21">
        <v>0</v>
      </c>
      <c r="S430" s="5">
        <f t="shared" si="27"/>
        <v>113119.36200000008</v>
      </c>
      <c r="T430" cm="1">
        <f t="array" ref="T430">IF(OR(B430="MAL ALIMI", B430="ÜRETİM GİRİŞ"), MIN(I430, MAX(0, I430 + SUM(SUMIFS($I$1:I429, $C$1:C429, C430, $B$1:B429, {"MAL ALIMI","ÜRETİM GİRİŞ"})) - VLOOKUP(C430, 'STOK RAPORU'!$C$2:$I$1000, 4, 0))), 0)</f>
        <v>0</v>
      </c>
      <c r="U430" s="22">
        <f t="shared" si="24"/>
        <v>0</v>
      </c>
      <c r="V430">
        <f t="shared" si="25"/>
        <v>255</v>
      </c>
      <c r="W430" s="22">
        <f t="shared" si="26"/>
        <v>255</v>
      </c>
    </row>
    <row r="431" spans="1:23" hidden="1" x14ac:dyDescent="0.25">
      <c r="A431" s="3">
        <v>45961</v>
      </c>
      <c r="B431" s="3" t="s">
        <v>298</v>
      </c>
      <c r="C431" s="4" t="s">
        <v>455</v>
      </c>
      <c r="D431" s="4"/>
      <c r="E431" s="4" t="s">
        <v>350</v>
      </c>
      <c r="F431" s="4" t="s">
        <v>487</v>
      </c>
      <c r="G431" s="4" t="s">
        <v>350</v>
      </c>
      <c r="H431" s="4" t="s">
        <v>304</v>
      </c>
      <c r="I431" s="4">
        <v>5</v>
      </c>
      <c r="J431" s="21">
        <v>25</v>
      </c>
      <c r="K431" s="21">
        <v>0</v>
      </c>
      <c r="L431" s="5">
        <v>125</v>
      </c>
      <c r="M431" s="4"/>
      <c r="N431" s="4">
        <v>5</v>
      </c>
      <c r="O431" s="5"/>
      <c r="P431" s="5">
        <v>25</v>
      </c>
      <c r="Q431" s="21">
        <v>0</v>
      </c>
      <c r="R431" s="21">
        <v>0</v>
      </c>
      <c r="S431" s="5">
        <f t="shared" si="27"/>
        <v>113119.36200000008</v>
      </c>
      <c r="T431" cm="1">
        <f t="array" ref="T431">IF(OR(B431="MAL ALIMI", B431="ÜRETİM GİRİŞ"), MIN(I431, MAX(0, I431 + SUM(SUMIFS($I$1:I430, $C$1:C430, C431, $B$1:B430, {"MAL ALIMI","ÜRETİM GİRİŞ"})) - VLOOKUP(C431, 'STOK RAPORU'!$C$2:$I$1000, 4, 0))), 0)</f>
        <v>0</v>
      </c>
      <c r="U431" s="22">
        <f t="shared" si="24"/>
        <v>0</v>
      </c>
      <c r="V431">
        <f t="shared" si="25"/>
        <v>125</v>
      </c>
      <c r="W431" s="22">
        <f t="shared" si="26"/>
        <v>125</v>
      </c>
    </row>
    <row r="432" spans="1:23" hidden="1" x14ac:dyDescent="0.25">
      <c r="A432" s="3">
        <v>45961</v>
      </c>
      <c r="B432" s="3" t="s">
        <v>298</v>
      </c>
      <c r="C432" s="4" t="s">
        <v>456</v>
      </c>
      <c r="D432" s="4"/>
      <c r="E432" s="4" t="s">
        <v>350</v>
      </c>
      <c r="F432" s="4" t="s">
        <v>487</v>
      </c>
      <c r="G432" s="4" t="s">
        <v>350</v>
      </c>
      <c r="H432" s="4" t="s">
        <v>304</v>
      </c>
      <c r="I432" s="4">
        <v>5</v>
      </c>
      <c r="J432" s="21">
        <v>25</v>
      </c>
      <c r="K432" s="21">
        <v>0</v>
      </c>
      <c r="L432" s="5">
        <v>125</v>
      </c>
      <c r="M432" s="4"/>
      <c r="N432" s="4">
        <v>5</v>
      </c>
      <c r="O432" s="5"/>
      <c r="P432" s="5">
        <v>25</v>
      </c>
      <c r="Q432" s="21">
        <v>0</v>
      </c>
      <c r="R432" s="21">
        <v>0</v>
      </c>
      <c r="S432" s="5">
        <f t="shared" si="27"/>
        <v>113119.36200000008</v>
      </c>
      <c r="T432" cm="1">
        <f t="array" ref="T432">IF(OR(B432="MAL ALIMI", B432="ÜRETİM GİRİŞ"), MIN(I432, MAX(0, I432 + SUM(SUMIFS($I$1:I431, $C$1:C431, C432, $B$1:B431, {"MAL ALIMI","ÜRETİM GİRİŞ"})) - VLOOKUP(C432, 'STOK RAPORU'!$C$2:$I$1000, 4, 0))), 0)</f>
        <v>0</v>
      </c>
      <c r="U432" s="22">
        <f t="shared" si="24"/>
        <v>0</v>
      </c>
      <c r="V432">
        <f t="shared" si="25"/>
        <v>125</v>
      </c>
      <c r="W432" s="22">
        <f t="shared" si="26"/>
        <v>125</v>
      </c>
    </row>
    <row r="433" spans="1:23" hidden="1" x14ac:dyDescent="0.25">
      <c r="A433" s="3">
        <v>45961</v>
      </c>
      <c r="B433" s="3" t="s">
        <v>298</v>
      </c>
      <c r="C433" s="4" t="s">
        <v>486</v>
      </c>
      <c r="D433" s="4"/>
      <c r="E433" s="4" t="s">
        <v>350</v>
      </c>
      <c r="F433" s="4" t="s">
        <v>487</v>
      </c>
      <c r="G433" s="4" t="s">
        <v>350</v>
      </c>
      <c r="H433" s="4" t="s">
        <v>304</v>
      </c>
      <c r="I433" s="4">
        <v>10</v>
      </c>
      <c r="J433" s="21">
        <v>90</v>
      </c>
      <c r="K433" s="21">
        <v>0</v>
      </c>
      <c r="L433" s="5">
        <v>900</v>
      </c>
      <c r="M433" s="4"/>
      <c r="N433" s="4">
        <v>10</v>
      </c>
      <c r="O433" s="5"/>
      <c r="P433" s="5">
        <v>90</v>
      </c>
      <c r="Q433" s="21">
        <v>0</v>
      </c>
      <c r="R433" s="21">
        <v>0</v>
      </c>
      <c r="S433" s="5">
        <f t="shared" si="27"/>
        <v>113119.36200000008</v>
      </c>
      <c r="T433" cm="1">
        <f t="array" ref="T433">IF(OR(B433="MAL ALIMI", B433="ÜRETİM GİRİŞ"), MIN(I433, MAX(0, I433 + SUM(SUMIFS($I$1:I432, $C$1:C432, C433, $B$1:B432, {"MAL ALIMI","ÜRETİM GİRİŞ"})) - VLOOKUP(C433, 'STOK RAPORU'!$C$2:$I$1000, 4, 0))), 0)</f>
        <v>0</v>
      </c>
      <c r="U433" s="22">
        <f t="shared" si="24"/>
        <v>0</v>
      </c>
      <c r="V433">
        <f t="shared" si="25"/>
        <v>900</v>
      </c>
      <c r="W433" s="22">
        <f t="shared" si="26"/>
        <v>900</v>
      </c>
    </row>
    <row r="434" spans="1:23" hidden="1" x14ac:dyDescent="0.25">
      <c r="A434" s="3">
        <v>45961</v>
      </c>
      <c r="B434" s="3" t="s">
        <v>298</v>
      </c>
      <c r="C434" s="4" t="s">
        <v>212</v>
      </c>
      <c r="D434" s="4"/>
      <c r="E434" s="4" t="s">
        <v>350</v>
      </c>
      <c r="F434" s="4" t="s">
        <v>487</v>
      </c>
      <c r="G434" s="4" t="s">
        <v>350</v>
      </c>
      <c r="H434" s="4" t="s">
        <v>304</v>
      </c>
      <c r="I434" s="4">
        <v>1</v>
      </c>
      <c r="J434" s="21">
        <v>275</v>
      </c>
      <c r="K434" s="21">
        <v>0</v>
      </c>
      <c r="L434" s="5">
        <v>275</v>
      </c>
      <c r="M434" s="4"/>
      <c r="N434" s="4">
        <v>1</v>
      </c>
      <c r="O434" s="5"/>
      <c r="P434" s="5">
        <v>275</v>
      </c>
      <c r="Q434" s="21">
        <v>0</v>
      </c>
      <c r="R434" s="21">
        <v>0</v>
      </c>
      <c r="S434" s="5">
        <f t="shared" si="27"/>
        <v>113119.36200000008</v>
      </c>
      <c r="T434" cm="1">
        <f t="array" ref="T434">IF(OR(B434="MAL ALIMI", B434="ÜRETİM GİRİŞ"), MIN(I434, MAX(0, I434 + SUM(SUMIFS($I$1:I433, $C$1:C433, C434, $B$1:B433, {"MAL ALIMI","ÜRETİM GİRİŞ"})) - VLOOKUP(C434, 'STOK RAPORU'!$C$2:$I$1000, 4, 0))), 0)</f>
        <v>0</v>
      </c>
      <c r="U434" s="22">
        <f t="shared" si="24"/>
        <v>0</v>
      </c>
      <c r="V434">
        <f t="shared" si="25"/>
        <v>275</v>
      </c>
      <c r="W434" s="22">
        <f t="shared" si="26"/>
        <v>275</v>
      </c>
    </row>
    <row r="435" spans="1:23" hidden="1" x14ac:dyDescent="0.25">
      <c r="A435" s="3">
        <v>45961</v>
      </c>
      <c r="B435" s="3" t="s">
        <v>298</v>
      </c>
      <c r="C435" s="4" t="s">
        <v>457</v>
      </c>
      <c r="D435" s="4"/>
      <c r="E435" s="4" t="s">
        <v>350</v>
      </c>
      <c r="F435" s="4" t="s">
        <v>487</v>
      </c>
      <c r="G435" s="4" t="s">
        <v>350</v>
      </c>
      <c r="H435" s="4" t="s">
        <v>304</v>
      </c>
      <c r="I435" s="4">
        <v>1</v>
      </c>
      <c r="J435" s="21">
        <v>400</v>
      </c>
      <c r="K435" s="21">
        <v>0</v>
      </c>
      <c r="L435" s="5">
        <v>400</v>
      </c>
      <c r="M435" s="4"/>
      <c r="N435" s="4">
        <v>1</v>
      </c>
      <c r="O435" s="5"/>
      <c r="P435" s="5">
        <v>400</v>
      </c>
      <c r="Q435" s="21">
        <v>0</v>
      </c>
      <c r="R435" s="21">
        <v>0</v>
      </c>
      <c r="S435" s="5">
        <f t="shared" si="27"/>
        <v>113119.36200000008</v>
      </c>
      <c r="T435" cm="1">
        <f t="array" ref="T435">IF(OR(B435="MAL ALIMI", B435="ÜRETİM GİRİŞ"), MIN(I435, MAX(0, I435 + SUM(SUMIFS($I$1:I434, $C$1:C434, C435, $B$1:B434, {"MAL ALIMI","ÜRETİM GİRİŞ"})) - VLOOKUP(C435, 'STOK RAPORU'!$C$2:$I$1000, 4, 0))), 0)</f>
        <v>0</v>
      </c>
      <c r="U435" s="22">
        <f t="shared" si="24"/>
        <v>0</v>
      </c>
      <c r="V435">
        <f t="shared" si="25"/>
        <v>400</v>
      </c>
      <c r="W435" s="22">
        <f t="shared" si="26"/>
        <v>400</v>
      </c>
    </row>
    <row r="436" spans="1:23" hidden="1" x14ac:dyDescent="0.25">
      <c r="A436" s="3">
        <v>45961</v>
      </c>
      <c r="B436" s="3" t="s">
        <v>298</v>
      </c>
      <c r="C436" s="4" t="s">
        <v>458</v>
      </c>
      <c r="D436" s="4"/>
      <c r="E436" s="4" t="s">
        <v>350</v>
      </c>
      <c r="F436" s="4" t="s">
        <v>487</v>
      </c>
      <c r="G436" s="4" t="s">
        <v>350</v>
      </c>
      <c r="H436" s="4" t="s">
        <v>304</v>
      </c>
      <c r="I436" s="4">
        <v>1</v>
      </c>
      <c r="J436" s="21">
        <v>28.5</v>
      </c>
      <c r="K436" s="21">
        <v>0</v>
      </c>
      <c r="L436" s="5">
        <v>28.5</v>
      </c>
      <c r="M436" s="4"/>
      <c r="N436" s="4">
        <v>1</v>
      </c>
      <c r="O436" s="5"/>
      <c r="P436" s="5">
        <v>28.5</v>
      </c>
      <c r="Q436" s="21">
        <v>0</v>
      </c>
      <c r="R436" s="21">
        <v>0</v>
      </c>
      <c r="S436" s="5">
        <f t="shared" si="27"/>
        <v>113119.36200000008</v>
      </c>
      <c r="T436" cm="1">
        <f t="array" ref="T436">IF(OR(B436="MAL ALIMI", B436="ÜRETİM GİRİŞ"), MIN(I436, MAX(0, I436 + SUM(SUMIFS($I$1:I435, $C$1:C435, C436, $B$1:B435, {"MAL ALIMI","ÜRETİM GİRİŞ"})) - VLOOKUP(C436, 'STOK RAPORU'!$C$2:$I$1000, 4, 0))), 0)</f>
        <v>0</v>
      </c>
      <c r="U436" s="22">
        <f t="shared" si="24"/>
        <v>0</v>
      </c>
      <c r="V436">
        <f t="shared" si="25"/>
        <v>28.5</v>
      </c>
      <c r="W436" s="22">
        <f t="shared" si="26"/>
        <v>28.5</v>
      </c>
    </row>
    <row r="437" spans="1:23" hidden="1" x14ac:dyDescent="0.25">
      <c r="A437" s="3">
        <v>45961</v>
      </c>
      <c r="B437" s="3" t="s">
        <v>298</v>
      </c>
      <c r="C437" s="4" t="s">
        <v>459</v>
      </c>
      <c r="D437" s="4"/>
      <c r="E437" s="4" t="s">
        <v>350</v>
      </c>
      <c r="F437" s="4" t="s">
        <v>487</v>
      </c>
      <c r="G437" s="4" t="s">
        <v>350</v>
      </c>
      <c r="H437" s="4" t="s">
        <v>304</v>
      </c>
      <c r="I437" s="4">
        <v>2</v>
      </c>
      <c r="J437" s="21">
        <v>70</v>
      </c>
      <c r="K437" s="21">
        <v>0</v>
      </c>
      <c r="L437" s="5">
        <v>140</v>
      </c>
      <c r="M437" s="4"/>
      <c r="N437" s="4">
        <v>2</v>
      </c>
      <c r="O437" s="5"/>
      <c r="P437" s="5">
        <v>70</v>
      </c>
      <c r="Q437" s="21">
        <v>0</v>
      </c>
      <c r="R437" s="21">
        <v>0</v>
      </c>
      <c r="S437" s="5">
        <f t="shared" si="27"/>
        <v>113119.36200000008</v>
      </c>
      <c r="T437" cm="1">
        <f t="array" ref="T437">IF(OR(B437="MAL ALIMI", B437="ÜRETİM GİRİŞ"), MIN(I437, MAX(0, I437 + SUM(SUMIFS($I$1:I436, $C$1:C436, C437, $B$1:B436, {"MAL ALIMI","ÜRETİM GİRİŞ"})) - VLOOKUP(C437, 'STOK RAPORU'!$C$2:$I$1000, 4, 0))), 0)</f>
        <v>0</v>
      </c>
      <c r="U437" s="22">
        <f t="shared" si="24"/>
        <v>0</v>
      </c>
      <c r="V437">
        <f t="shared" si="25"/>
        <v>140</v>
      </c>
      <c r="W437" s="22">
        <f t="shared" si="26"/>
        <v>140</v>
      </c>
    </row>
    <row r="438" spans="1:23" hidden="1" x14ac:dyDescent="0.25">
      <c r="A438" s="3">
        <v>45961</v>
      </c>
      <c r="B438" s="3" t="s">
        <v>298</v>
      </c>
      <c r="C438" s="4" t="s">
        <v>460</v>
      </c>
      <c r="D438" s="4"/>
      <c r="E438" s="4" t="s">
        <v>350</v>
      </c>
      <c r="F438" s="4" t="s">
        <v>487</v>
      </c>
      <c r="G438" s="4" t="s">
        <v>350</v>
      </c>
      <c r="H438" s="4" t="s">
        <v>304</v>
      </c>
      <c r="I438" s="4">
        <v>20</v>
      </c>
      <c r="J438" s="21">
        <v>6.5</v>
      </c>
      <c r="K438" s="21">
        <v>0</v>
      </c>
      <c r="L438" s="5">
        <v>130</v>
      </c>
      <c r="M438" s="4"/>
      <c r="N438" s="4">
        <v>20</v>
      </c>
      <c r="O438" s="5"/>
      <c r="P438" s="5">
        <v>6.5</v>
      </c>
      <c r="Q438" s="21">
        <v>0</v>
      </c>
      <c r="R438" s="21">
        <v>0</v>
      </c>
      <c r="S438" s="5">
        <f t="shared" si="27"/>
        <v>113119.36200000008</v>
      </c>
      <c r="T438" cm="1">
        <f t="array" ref="T438">IF(OR(B438="MAL ALIMI", B438="ÜRETİM GİRİŞ"), MIN(I438, MAX(0, I438 + SUM(SUMIFS($I$1:I437, $C$1:C437, C438, $B$1:B437, {"MAL ALIMI","ÜRETİM GİRİŞ"})) - VLOOKUP(C438, 'STOK RAPORU'!$C$2:$I$1000, 4, 0))), 0)</f>
        <v>0</v>
      </c>
      <c r="U438" s="22">
        <f t="shared" si="24"/>
        <v>0</v>
      </c>
      <c r="V438">
        <f t="shared" si="25"/>
        <v>130</v>
      </c>
      <c r="W438" s="22">
        <f t="shared" si="26"/>
        <v>130</v>
      </c>
    </row>
    <row r="439" spans="1:23" hidden="1" x14ac:dyDescent="0.25">
      <c r="A439" s="3">
        <v>45961</v>
      </c>
      <c r="B439" s="3" t="s">
        <v>298</v>
      </c>
      <c r="C439" s="4" t="s">
        <v>461</v>
      </c>
      <c r="D439" s="4"/>
      <c r="E439" s="4" t="s">
        <v>350</v>
      </c>
      <c r="F439" s="4" t="s">
        <v>487</v>
      </c>
      <c r="G439" s="4" t="s">
        <v>350</v>
      </c>
      <c r="H439" s="4" t="s">
        <v>304</v>
      </c>
      <c r="I439" s="4">
        <v>6</v>
      </c>
      <c r="J439" s="21">
        <v>50</v>
      </c>
      <c r="K439" s="21">
        <v>0</v>
      </c>
      <c r="L439" s="5">
        <v>300</v>
      </c>
      <c r="M439" s="4"/>
      <c r="N439" s="4">
        <v>6</v>
      </c>
      <c r="O439" s="5"/>
      <c r="P439" s="5">
        <v>50</v>
      </c>
      <c r="Q439" s="21">
        <v>0</v>
      </c>
      <c r="R439" s="21">
        <v>0</v>
      </c>
      <c r="S439" s="5">
        <f t="shared" si="27"/>
        <v>113119.36200000008</v>
      </c>
      <c r="T439" cm="1">
        <f t="array" ref="T439">IF(OR(B439="MAL ALIMI", B439="ÜRETİM GİRİŞ"), MIN(I439, MAX(0, I439 + SUM(SUMIFS($I$1:I438, $C$1:C438, C439, $B$1:B438, {"MAL ALIMI","ÜRETİM GİRİŞ"})) - VLOOKUP(C439, 'STOK RAPORU'!$C$2:$I$1000, 4, 0))), 0)</f>
        <v>0</v>
      </c>
      <c r="U439" s="22">
        <f t="shared" si="24"/>
        <v>0</v>
      </c>
      <c r="V439">
        <f t="shared" si="25"/>
        <v>300</v>
      </c>
      <c r="W439" s="22">
        <f t="shared" si="26"/>
        <v>300</v>
      </c>
    </row>
    <row r="440" spans="1:23" hidden="1" x14ac:dyDescent="0.25">
      <c r="A440" s="3">
        <v>45961</v>
      </c>
      <c r="B440" s="3" t="s">
        <v>298</v>
      </c>
      <c r="C440" s="4" t="s">
        <v>462</v>
      </c>
      <c r="D440" s="4"/>
      <c r="E440" s="4" t="s">
        <v>350</v>
      </c>
      <c r="F440" s="4" t="s">
        <v>487</v>
      </c>
      <c r="G440" s="4" t="s">
        <v>350</v>
      </c>
      <c r="H440" s="4" t="s">
        <v>304</v>
      </c>
      <c r="I440" s="4">
        <v>6</v>
      </c>
      <c r="J440" s="21">
        <v>60</v>
      </c>
      <c r="K440" s="21">
        <v>0</v>
      </c>
      <c r="L440" s="5">
        <v>360</v>
      </c>
      <c r="M440" s="4"/>
      <c r="N440" s="4">
        <v>6</v>
      </c>
      <c r="O440" s="5"/>
      <c r="P440" s="5">
        <v>60</v>
      </c>
      <c r="Q440" s="21">
        <v>0</v>
      </c>
      <c r="R440" s="21">
        <v>0</v>
      </c>
      <c r="S440" s="5">
        <f t="shared" si="27"/>
        <v>113119.36200000008</v>
      </c>
      <c r="T440" cm="1">
        <f t="array" ref="T440">IF(OR(B440="MAL ALIMI", B440="ÜRETİM GİRİŞ"), MIN(I440, MAX(0, I440 + SUM(SUMIFS($I$1:I439, $C$1:C439, C440, $B$1:B439, {"MAL ALIMI","ÜRETİM GİRİŞ"})) - VLOOKUP(C440, 'STOK RAPORU'!$C$2:$I$1000, 4, 0))), 0)</f>
        <v>0</v>
      </c>
      <c r="U440" s="22">
        <f t="shared" si="24"/>
        <v>0</v>
      </c>
      <c r="V440">
        <f t="shared" si="25"/>
        <v>360</v>
      </c>
      <c r="W440" s="22">
        <f t="shared" si="26"/>
        <v>360</v>
      </c>
    </row>
    <row r="441" spans="1:23" hidden="1" x14ac:dyDescent="0.25">
      <c r="A441" s="3">
        <v>45961</v>
      </c>
      <c r="B441" s="3" t="s">
        <v>298</v>
      </c>
      <c r="C441" s="4" t="s">
        <v>463</v>
      </c>
      <c r="D441" s="4"/>
      <c r="E441" s="4" t="s">
        <v>350</v>
      </c>
      <c r="F441" s="4" t="s">
        <v>487</v>
      </c>
      <c r="G441" s="4" t="s">
        <v>350</v>
      </c>
      <c r="H441" s="4" t="s">
        <v>304</v>
      </c>
      <c r="I441" s="4">
        <v>5</v>
      </c>
      <c r="J441" s="21">
        <v>210</v>
      </c>
      <c r="K441" s="21">
        <v>0</v>
      </c>
      <c r="L441" s="5">
        <v>1050</v>
      </c>
      <c r="M441" s="4"/>
      <c r="N441" s="4">
        <v>5</v>
      </c>
      <c r="O441" s="5"/>
      <c r="P441" s="5">
        <v>210</v>
      </c>
      <c r="Q441" s="21">
        <v>0</v>
      </c>
      <c r="R441" s="21">
        <v>0</v>
      </c>
      <c r="S441" s="5">
        <f t="shared" si="27"/>
        <v>113119.36200000008</v>
      </c>
      <c r="T441" cm="1">
        <f t="array" ref="T441">IF(OR(B441="MAL ALIMI", B441="ÜRETİM GİRİŞ"), MIN(I441, MAX(0, I441 + SUM(SUMIFS($I$1:I440, $C$1:C440, C441, $B$1:B440, {"MAL ALIMI","ÜRETİM GİRİŞ"})) - VLOOKUP(C441, 'STOK RAPORU'!$C$2:$I$1000, 4, 0))), 0)</f>
        <v>0</v>
      </c>
      <c r="U441" s="22">
        <f t="shared" si="24"/>
        <v>0</v>
      </c>
      <c r="V441">
        <f t="shared" si="25"/>
        <v>1050</v>
      </c>
      <c r="W441" s="22">
        <f t="shared" si="26"/>
        <v>1050</v>
      </c>
    </row>
    <row r="442" spans="1:23" hidden="1" x14ac:dyDescent="0.25">
      <c r="A442" s="3">
        <v>45961</v>
      </c>
      <c r="B442" s="3" t="s">
        <v>298</v>
      </c>
      <c r="C442" s="4" t="s">
        <v>267</v>
      </c>
      <c r="D442" s="4"/>
      <c r="E442" s="4" t="s">
        <v>350</v>
      </c>
      <c r="F442" s="4" t="s">
        <v>487</v>
      </c>
      <c r="G442" s="4" t="s">
        <v>350</v>
      </c>
      <c r="H442" s="4" t="s">
        <v>304</v>
      </c>
      <c r="I442" s="4">
        <v>10</v>
      </c>
      <c r="J442" s="21">
        <v>110</v>
      </c>
      <c r="K442" s="21">
        <v>0</v>
      </c>
      <c r="L442" s="5">
        <v>1100</v>
      </c>
      <c r="M442" s="4"/>
      <c r="N442" s="4">
        <v>10</v>
      </c>
      <c r="O442" s="5"/>
      <c r="P442" s="5">
        <v>110</v>
      </c>
      <c r="Q442" s="21">
        <v>0</v>
      </c>
      <c r="R442" s="21">
        <v>0</v>
      </c>
      <c r="S442" s="5">
        <f t="shared" si="27"/>
        <v>113119.36200000008</v>
      </c>
      <c r="T442" cm="1">
        <f t="array" ref="T442">IF(OR(B442="MAL ALIMI", B442="ÜRETİM GİRİŞ"), MIN(I442, MAX(0, I442 + SUM(SUMIFS($I$1:I441, $C$1:C441, C442, $B$1:B441, {"MAL ALIMI","ÜRETİM GİRİŞ"})) - VLOOKUP(C442, 'STOK RAPORU'!$C$2:$I$1000, 4, 0))), 0)</f>
        <v>2</v>
      </c>
      <c r="U442" s="22">
        <f t="shared" si="24"/>
        <v>220</v>
      </c>
      <c r="V442">
        <f t="shared" si="25"/>
        <v>1100</v>
      </c>
      <c r="W442" s="22">
        <f t="shared" si="26"/>
        <v>880</v>
      </c>
    </row>
    <row r="443" spans="1:23" hidden="1" x14ac:dyDescent="0.25">
      <c r="A443" s="3">
        <v>45961</v>
      </c>
      <c r="B443" s="3" t="s">
        <v>298</v>
      </c>
      <c r="C443" s="4" t="s">
        <v>464</v>
      </c>
      <c r="D443" s="4"/>
      <c r="E443" s="4" t="s">
        <v>350</v>
      </c>
      <c r="F443" s="4" t="s">
        <v>487</v>
      </c>
      <c r="G443" s="4" t="s">
        <v>350</v>
      </c>
      <c r="H443" s="4" t="s">
        <v>304</v>
      </c>
      <c r="I443" s="4">
        <v>14</v>
      </c>
      <c r="J443" s="21">
        <v>21.375</v>
      </c>
      <c r="K443" s="21">
        <v>0</v>
      </c>
      <c r="L443" s="5">
        <v>299.25</v>
      </c>
      <c r="M443" s="4"/>
      <c r="N443" s="4">
        <v>1.71</v>
      </c>
      <c r="O443" s="5"/>
      <c r="P443" s="5">
        <v>175</v>
      </c>
      <c r="Q443" s="21">
        <v>0</v>
      </c>
      <c r="R443" s="21">
        <v>0</v>
      </c>
      <c r="S443" s="5">
        <f t="shared" si="27"/>
        <v>113119.36200000008</v>
      </c>
      <c r="T443" cm="1">
        <f t="array" ref="T443">IF(OR(B443="MAL ALIMI", B443="ÜRETİM GİRİŞ"), MIN(I443, MAX(0, I443 + SUM(SUMIFS($I$1:I442, $C$1:C442, C443, $B$1:B442, {"MAL ALIMI","ÜRETİM GİRİŞ"})) - VLOOKUP(C443, 'STOK RAPORU'!$C$2:$I$1000, 4, 0))), 0)</f>
        <v>3</v>
      </c>
      <c r="U443" s="22">
        <f t="shared" si="24"/>
        <v>64.125</v>
      </c>
      <c r="V443">
        <f t="shared" si="25"/>
        <v>299.25</v>
      </c>
      <c r="W443" s="22">
        <f t="shared" si="26"/>
        <v>235.125</v>
      </c>
    </row>
    <row r="444" spans="1:23" hidden="1" x14ac:dyDescent="0.25">
      <c r="A444" s="3">
        <v>45961</v>
      </c>
      <c r="B444" s="3" t="s">
        <v>298</v>
      </c>
      <c r="C444" s="4" t="s">
        <v>465</v>
      </c>
      <c r="D444" s="4"/>
      <c r="E444" s="4" t="s">
        <v>350</v>
      </c>
      <c r="F444" s="4" t="s">
        <v>487</v>
      </c>
      <c r="G444" s="4" t="s">
        <v>350</v>
      </c>
      <c r="H444" s="4" t="s">
        <v>304</v>
      </c>
      <c r="I444" s="4">
        <v>14</v>
      </c>
      <c r="J444" s="21">
        <v>21.625</v>
      </c>
      <c r="K444" s="21">
        <v>0</v>
      </c>
      <c r="L444" s="5">
        <v>302.75</v>
      </c>
      <c r="M444" s="4"/>
      <c r="N444" s="4">
        <v>1.73</v>
      </c>
      <c r="O444" s="5"/>
      <c r="P444" s="5">
        <v>175</v>
      </c>
      <c r="Q444" s="21">
        <v>0</v>
      </c>
      <c r="R444" s="21">
        <v>0</v>
      </c>
      <c r="S444" s="5">
        <f t="shared" si="27"/>
        <v>113119.36200000008</v>
      </c>
      <c r="T444" cm="1">
        <f t="array" ref="T444">IF(OR(B444="MAL ALIMI", B444="ÜRETİM GİRİŞ"), MIN(I444, MAX(0, I444 + SUM(SUMIFS($I$1:I443, $C$1:C443, C444, $B$1:B443, {"MAL ALIMI","ÜRETİM GİRİŞ"})) - VLOOKUP(C444, 'STOK RAPORU'!$C$2:$I$1000, 4, 0))), 0)</f>
        <v>0</v>
      </c>
      <c r="U444" s="22">
        <f t="shared" si="24"/>
        <v>0</v>
      </c>
      <c r="V444">
        <f t="shared" si="25"/>
        <v>302.75</v>
      </c>
      <c r="W444" s="22">
        <f t="shared" si="26"/>
        <v>302.75</v>
      </c>
    </row>
    <row r="445" spans="1:23" hidden="1" x14ac:dyDescent="0.25">
      <c r="A445" s="3">
        <v>45961</v>
      </c>
      <c r="B445" s="3" t="s">
        <v>298</v>
      </c>
      <c r="C445" s="4" t="s">
        <v>466</v>
      </c>
      <c r="D445" s="4"/>
      <c r="E445" s="4" t="s">
        <v>350</v>
      </c>
      <c r="F445" s="4" t="s">
        <v>487</v>
      </c>
      <c r="G445" s="4" t="s">
        <v>350</v>
      </c>
      <c r="H445" s="4" t="s">
        <v>304</v>
      </c>
      <c r="I445" s="4">
        <v>15</v>
      </c>
      <c r="J445" s="21">
        <v>21.35</v>
      </c>
      <c r="K445" s="21">
        <v>0</v>
      </c>
      <c r="L445" s="5">
        <v>320.25</v>
      </c>
      <c r="M445" s="4"/>
      <c r="N445" s="4">
        <v>1.83</v>
      </c>
      <c r="O445" s="5"/>
      <c r="P445" s="5">
        <v>175</v>
      </c>
      <c r="Q445" s="21">
        <v>0</v>
      </c>
      <c r="R445" s="21">
        <v>0</v>
      </c>
      <c r="S445" s="5">
        <f t="shared" si="27"/>
        <v>113119.36200000008</v>
      </c>
      <c r="T445" cm="1">
        <f t="array" ref="T445">IF(OR(B445="MAL ALIMI", B445="ÜRETİM GİRİŞ"), MIN(I445, MAX(0, I445 + SUM(SUMIFS($I$1:I444, $C$1:C444, C445, $B$1:B444, {"MAL ALIMI","ÜRETİM GİRİŞ"})) - VLOOKUP(C445, 'STOK RAPORU'!$C$2:$I$1000, 4, 0))), 0)</f>
        <v>6</v>
      </c>
      <c r="U445" s="22">
        <f t="shared" si="24"/>
        <v>128.10000000000002</v>
      </c>
      <c r="V445">
        <f t="shared" si="25"/>
        <v>320.25</v>
      </c>
      <c r="W445" s="22">
        <f t="shared" si="26"/>
        <v>192.14999999999998</v>
      </c>
    </row>
    <row r="446" spans="1:23" hidden="1" x14ac:dyDescent="0.25">
      <c r="A446" s="3">
        <v>45961</v>
      </c>
      <c r="B446" s="3" t="s">
        <v>298</v>
      </c>
      <c r="C446" s="4" t="s">
        <v>467</v>
      </c>
      <c r="D446" s="4"/>
      <c r="E446" s="4" t="s">
        <v>350</v>
      </c>
      <c r="F446" s="4" t="s">
        <v>487</v>
      </c>
      <c r="G446" s="4" t="s">
        <v>350</v>
      </c>
      <c r="H446" s="4" t="s">
        <v>304</v>
      </c>
      <c r="I446" s="4">
        <v>14</v>
      </c>
      <c r="J446" s="21">
        <v>21.375</v>
      </c>
      <c r="K446" s="21">
        <v>0</v>
      </c>
      <c r="L446" s="5">
        <v>299.25</v>
      </c>
      <c r="M446" s="4"/>
      <c r="N446" s="4">
        <v>1.71</v>
      </c>
      <c r="O446" s="5"/>
      <c r="P446" s="5">
        <v>175</v>
      </c>
      <c r="Q446" s="21">
        <v>0</v>
      </c>
      <c r="R446" s="21">
        <v>0</v>
      </c>
      <c r="S446" s="5">
        <f t="shared" si="27"/>
        <v>113119.36200000008</v>
      </c>
      <c r="T446" cm="1">
        <f t="array" ref="T446">IF(OR(B446="MAL ALIMI", B446="ÜRETİM GİRİŞ"), MIN(I446, MAX(0, I446 + SUM(SUMIFS($I$1:I445, $C$1:C445, C446, $B$1:B445, {"MAL ALIMI","ÜRETİM GİRİŞ"})) - VLOOKUP(C446, 'STOK RAPORU'!$C$2:$I$1000, 4, 0))), 0)</f>
        <v>0</v>
      </c>
      <c r="U446" s="22">
        <f t="shared" si="24"/>
        <v>0</v>
      </c>
      <c r="V446">
        <f t="shared" si="25"/>
        <v>299.25</v>
      </c>
      <c r="W446" s="22">
        <f t="shared" si="26"/>
        <v>299.25</v>
      </c>
    </row>
    <row r="447" spans="1:23" hidden="1" x14ac:dyDescent="0.25">
      <c r="A447" s="3">
        <v>45961</v>
      </c>
      <c r="B447" s="3" t="s">
        <v>298</v>
      </c>
      <c r="C447" s="4" t="s">
        <v>468</v>
      </c>
      <c r="D447" s="4"/>
      <c r="E447" s="4" t="s">
        <v>350</v>
      </c>
      <c r="F447" s="4" t="s">
        <v>487</v>
      </c>
      <c r="G447" s="4" t="s">
        <v>350</v>
      </c>
      <c r="H447" s="4" t="s">
        <v>304</v>
      </c>
      <c r="I447" s="4">
        <v>15</v>
      </c>
      <c r="J447" s="21">
        <v>21.35</v>
      </c>
      <c r="K447" s="21">
        <v>0</v>
      </c>
      <c r="L447" s="5">
        <v>320.25</v>
      </c>
      <c r="M447" s="4"/>
      <c r="N447" s="4">
        <v>1.83</v>
      </c>
      <c r="O447" s="5"/>
      <c r="P447" s="5">
        <v>175</v>
      </c>
      <c r="Q447" s="21">
        <v>0</v>
      </c>
      <c r="R447" s="21">
        <v>0</v>
      </c>
      <c r="S447" s="5">
        <f t="shared" si="27"/>
        <v>113119.36200000008</v>
      </c>
      <c r="T447" cm="1">
        <f t="array" ref="T447">IF(OR(B447="MAL ALIMI", B447="ÜRETİM GİRİŞ"), MIN(I447, MAX(0, I447 + SUM(SUMIFS($I$1:I446, $C$1:C446, C447, $B$1:B446, {"MAL ALIMI","ÜRETİM GİRİŞ"})) - VLOOKUP(C447, 'STOK RAPORU'!$C$2:$I$1000, 4, 0))), 0)</f>
        <v>0</v>
      </c>
      <c r="U447" s="22">
        <f t="shared" si="24"/>
        <v>0</v>
      </c>
      <c r="V447">
        <f t="shared" si="25"/>
        <v>320.25</v>
      </c>
      <c r="W447" s="22">
        <f t="shared" si="26"/>
        <v>320.25</v>
      </c>
    </row>
    <row r="448" spans="1:23" hidden="1" x14ac:dyDescent="0.25">
      <c r="A448" s="3">
        <v>45961</v>
      </c>
      <c r="B448" s="3" t="s">
        <v>298</v>
      </c>
      <c r="C448" s="4" t="s">
        <v>469</v>
      </c>
      <c r="D448" s="4"/>
      <c r="E448" s="4" t="s">
        <v>350</v>
      </c>
      <c r="F448" s="4" t="s">
        <v>487</v>
      </c>
      <c r="G448" s="4" t="s">
        <v>350</v>
      </c>
      <c r="H448" s="4" t="s">
        <v>304</v>
      </c>
      <c r="I448" s="4">
        <v>13</v>
      </c>
      <c r="J448" s="21">
        <v>21.134615384615383</v>
      </c>
      <c r="K448" s="21">
        <v>0</v>
      </c>
      <c r="L448" s="5">
        <v>274.75</v>
      </c>
      <c r="M448" s="4"/>
      <c r="N448" s="4">
        <v>1.57</v>
      </c>
      <c r="O448" s="5"/>
      <c r="P448" s="5">
        <v>175</v>
      </c>
      <c r="Q448" s="21">
        <v>0</v>
      </c>
      <c r="R448" s="21">
        <v>0</v>
      </c>
      <c r="S448" s="5">
        <f t="shared" si="27"/>
        <v>113119.36200000008</v>
      </c>
      <c r="T448" cm="1">
        <f t="array" ref="T448">IF(OR(B448="MAL ALIMI", B448="ÜRETİM GİRİŞ"), MIN(I448, MAX(0, I448 + SUM(SUMIFS($I$1:I447, $C$1:C447, C448, $B$1:B447, {"MAL ALIMI","ÜRETİM GİRİŞ"})) - VLOOKUP(C448, 'STOK RAPORU'!$C$2:$I$1000, 4, 0))), 0)</f>
        <v>9</v>
      </c>
      <c r="U448" s="22">
        <f t="shared" si="24"/>
        <v>190.21153846153845</v>
      </c>
      <c r="V448">
        <f t="shared" si="25"/>
        <v>274.75</v>
      </c>
      <c r="W448" s="22">
        <f t="shared" si="26"/>
        <v>84.538461538461547</v>
      </c>
    </row>
    <row r="449" spans="1:23" hidden="1" x14ac:dyDescent="0.25">
      <c r="A449" s="3">
        <v>45961</v>
      </c>
      <c r="B449" s="3" t="s">
        <v>298</v>
      </c>
      <c r="C449" s="4" t="s">
        <v>470</v>
      </c>
      <c r="D449" s="4"/>
      <c r="E449" s="4" t="s">
        <v>350</v>
      </c>
      <c r="F449" s="4" t="s">
        <v>487</v>
      </c>
      <c r="G449" s="4" t="s">
        <v>350</v>
      </c>
      <c r="H449" s="4" t="s">
        <v>304</v>
      </c>
      <c r="I449" s="4">
        <v>14</v>
      </c>
      <c r="J449" s="21">
        <v>21.375</v>
      </c>
      <c r="K449" s="21">
        <v>0</v>
      </c>
      <c r="L449" s="5">
        <v>299.25</v>
      </c>
      <c r="M449" s="4"/>
      <c r="N449" s="4">
        <v>1.71</v>
      </c>
      <c r="O449" s="5"/>
      <c r="P449" s="5">
        <v>175</v>
      </c>
      <c r="Q449" s="21">
        <v>0</v>
      </c>
      <c r="R449" s="21">
        <v>0</v>
      </c>
      <c r="S449" s="5">
        <f t="shared" si="27"/>
        <v>113119.36200000008</v>
      </c>
      <c r="T449" cm="1">
        <f t="array" ref="T449">IF(OR(B449="MAL ALIMI", B449="ÜRETİM GİRİŞ"), MIN(I449, MAX(0, I449 + SUM(SUMIFS($I$1:I448, $C$1:C448, C449, $B$1:B448, {"MAL ALIMI","ÜRETİM GİRİŞ"})) - VLOOKUP(C449, 'STOK RAPORU'!$C$2:$I$1000, 4, 0))), 0)</f>
        <v>0</v>
      </c>
      <c r="U449" s="22">
        <f t="shared" si="24"/>
        <v>0</v>
      </c>
      <c r="V449">
        <f t="shared" si="25"/>
        <v>299.25</v>
      </c>
      <c r="W449" s="22">
        <f t="shared" si="26"/>
        <v>299.25</v>
      </c>
    </row>
    <row r="450" spans="1:23" hidden="1" x14ac:dyDescent="0.25">
      <c r="A450" s="3">
        <v>45961</v>
      </c>
      <c r="B450" s="4" t="s">
        <v>334</v>
      </c>
      <c r="C450" s="4" t="s">
        <v>132</v>
      </c>
      <c r="D450" s="4"/>
      <c r="E450" s="4"/>
      <c r="F450" s="4" t="s">
        <v>451</v>
      </c>
      <c r="G450" s="4" t="s">
        <v>336</v>
      </c>
      <c r="H450" s="4" t="s">
        <v>289</v>
      </c>
      <c r="I450" s="4">
        <v>0.04</v>
      </c>
      <c r="J450" s="21">
        <v>500</v>
      </c>
      <c r="K450" s="21">
        <v>0</v>
      </c>
      <c r="L450" s="5">
        <v>0</v>
      </c>
      <c r="M450" s="4">
        <v>0.04</v>
      </c>
      <c r="N450" s="4"/>
      <c r="O450" s="5">
        <v>500</v>
      </c>
      <c r="P450" s="5"/>
      <c r="Q450" s="21">
        <v>20</v>
      </c>
      <c r="R450" s="21">
        <v>0</v>
      </c>
      <c r="S450" s="5">
        <f t="shared" si="27"/>
        <v>113139.36200000008</v>
      </c>
      <c r="T450" cm="1">
        <f t="array" ref="T450">IF(OR(B450="MAL ALIMI", B450="ÜRETİM GİRİŞ"), MIN(I450, MAX(0, I450 + SUM(SUMIFS($I$1:I449, $C$1:C449, C450, $B$1:B449, {"MAL ALIMI","ÜRETİM GİRİŞ"})) - VLOOKUP(C450, 'STOK RAPORU'!$C$2:$I$1000, 4, 0))), 0)</f>
        <v>0</v>
      </c>
      <c r="U450" s="22">
        <f t="shared" si="24"/>
        <v>0</v>
      </c>
      <c r="V450">
        <f t="shared" si="25"/>
        <v>0</v>
      </c>
      <c r="W450" s="22">
        <f t="shared" si="26"/>
        <v>0</v>
      </c>
    </row>
    <row r="451" spans="1:23" hidden="1" x14ac:dyDescent="0.25">
      <c r="A451" s="3">
        <v>45961</v>
      </c>
      <c r="B451" s="4" t="s">
        <v>334</v>
      </c>
      <c r="C451" s="4" t="s">
        <v>96</v>
      </c>
      <c r="D451" s="4"/>
      <c r="E451" s="4"/>
      <c r="F451" s="4" t="s">
        <v>452</v>
      </c>
      <c r="G451" s="4" t="s">
        <v>336</v>
      </c>
      <c r="H451" s="4" t="s">
        <v>289</v>
      </c>
      <c r="I451" s="4">
        <v>8.5999999999999993E-2</v>
      </c>
      <c r="J451" s="21">
        <v>380</v>
      </c>
      <c r="K451" s="21">
        <v>0</v>
      </c>
      <c r="L451" s="5">
        <v>0</v>
      </c>
      <c r="M451" s="4">
        <v>8.5999999999999993E-2</v>
      </c>
      <c r="N451" s="4"/>
      <c r="O451" s="5">
        <v>380</v>
      </c>
      <c r="P451" s="5"/>
      <c r="Q451" s="21">
        <v>32.68</v>
      </c>
      <c r="R451" s="21">
        <v>0</v>
      </c>
      <c r="S451" s="5">
        <f t="shared" si="27"/>
        <v>113172.04200000007</v>
      </c>
      <c r="T451" cm="1">
        <f t="array" ref="T451">IF(OR(B451="MAL ALIMI", B451="ÜRETİM GİRİŞ"), MIN(I451, MAX(0, I451 + SUM(SUMIFS($I$1:I450, $C$1:C450, C451, $B$1:B450, {"MAL ALIMI","ÜRETİM GİRİŞ"})) - VLOOKUP(C451, 'STOK RAPORU'!$C$2:$I$1000, 4, 0))), 0)</f>
        <v>0</v>
      </c>
      <c r="U451" s="22">
        <f t="shared" ref="U451:U514" si="28">T451*J451</f>
        <v>0</v>
      </c>
      <c r="V451">
        <f t="shared" ref="V451:V514" si="29">IF(OR(B451="MAL ALIMI", B451="ÜRETİM GİRİŞ"), I451 * J451, 0)</f>
        <v>0</v>
      </c>
      <c r="W451" s="22">
        <f t="shared" ref="W451:W514" si="30">V451-U451</f>
        <v>0</v>
      </c>
    </row>
    <row r="452" spans="1:23" hidden="1" x14ac:dyDescent="0.25">
      <c r="A452" s="3">
        <v>45961</v>
      </c>
      <c r="B452" s="4" t="s">
        <v>334</v>
      </c>
      <c r="C452" s="4" t="s">
        <v>92</v>
      </c>
      <c r="D452" s="4"/>
      <c r="E452" s="4"/>
      <c r="F452" s="4" t="s">
        <v>452</v>
      </c>
      <c r="G452" s="4" t="s">
        <v>336</v>
      </c>
      <c r="H452" s="4" t="s">
        <v>289</v>
      </c>
      <c r="I452" s="4">
        <v>0.11600000000000001</v>
      </c>
      <c r="J452" s="21">
        <v>500</v>
      </c>
      <c r="K452" s="21">
        <v>0</v>
      </c>
      <c r="L452" s="5">
        <v>0</v>
      </c>
      <c r="M452" s="4">
        <v>0.11600000000000001</v>
      </c>
      <c r="N452" s="4"/>
      <c r="O452" s="5">
        <v>500</v>
      </c>
      <c r="P452" s="5"/>
      <c r="Q452" s="21">
        <v>58</v>
      </c>
      <c r="R452" s="21">
        <v>0</v>
      </c>
      <c r="S452" s="5">
        <f t="shared" ref="S452:S515" si="31">S451+Q452-R452</f>
        <v>113230.04200000007</v>
      </c>
      <c r="T452" cm="1">
        <f t="array" ref="T452">IF(OR(B452="MAL ALIMI", B452="ÜRETİM GİRİŞ"), MIN(I452, MAX(0, I452 + SUM(SUMIFS($I$1:I451, $C$1:C451, C452, $B$1:B451, {"MAL ALIMI","ÜRETİM GİRİŞ"})) - VLOOKUP(C452, 'STOK RAPORU'!$C$2:$I$1000, 4, 0))), 0)</f>
        <v>0</v>
      </c>
      <c r="U452" s="22">
        <f t="shared" si="28"/>
        <v>0</v>
      </c>
      <c r="V452">
        <f t="shared" si="29"/>
        <v>0</v>
      </c>
      <c r="W452" s="22">
        <f t="shared" si="30"/>
        <v>0</v>
      </c>
    </row>
    <row r="453" spans="1:23" hidden="1" x14ac:dyDescent="0.25">
      <c r="A453" s="3">
        <v>45961</v>
      </c>
      <c r="B453" s="4" t="s">
        <v>334</v>
      </c>
      <c r="C453" s="4" t="s">
        <v>145</v>
      </c>
      <c r="D453" s="4"/>
      <c r="E453" s="4"/>
      <c r="F453" s="4" t="s">
        <v>452</v>
      </c>
      <c r="G453" s="4" t="s">
        <v>336</v>
      </c>
      <c r="H453" s="4" t="s">
        <v>289</v>
      </c>
      <c r="I453" s="4">
        <v>1</v>
      </c>
      <c r="J453" s="21">
        <v>50</v>
      </c>
      <c r="K453" s="21">
        <v>0</v>
      </c>
      <c r="L453" s="5">
        <v>0</v>
      </c>
      <c r="M453" s="4">
        <v>1</v>
      </c>
      <c r="N453" s="4"/>
      <c r="O453" s="5">
        <v>50</v>
      </c>
      <c r="P453" s="5"/>
      <c r="Q453" s="21">
        <v>50</v>
      </c>
      <c r="R453" s="21">
        <v>0</v>
      </c>
      <c r="S453" s="5">
        <f t="shared" si="31"/>
        <v>113280.04200000007</v>
      </c>
      <c r="T453" cm="1">
        <f t="array" ref="T453">IF(OR(B453="MAL ALIMI", B453="ÜRETİM GİRİŞ"), MIN(I453, MAX(0, I453 + SUM(SUMIFS($I$1:I452, $C$1:C452, C453, $B$1:B452, {"MAL ALIMI","ÜRETİM GİRİŞ"})) - VLOOKUP(C453, 'STOK RAPORU'!$C$2:$I$1000, 4, 0))), 0)</f>
        <v>0</v>
      </c>
      <c r="U453" s="22">
        <f t="shared" si="28"/>
        <v>0</v>
      </c>
      <c r="V453">
        <f t="shared" si="29"/>
        <v>0</v>
      </c>
      <c r="W453" s="22">
        <f t="shared" si="30"/>
        <v>0</v>
      </c>
    </row>
    <row r="454" spans="1:23" hidden="1" x14ac:dyDescent="0.25">
      <c r="A454" s="3">
        <v>45961</v>
      </c>
      <c r="B454" s="4" t="s">
        <v>334</v>
      </c>
      <c r="C454" s="4" t="s">
        <v>129</v>
      </c>
      <c r="D454" s="4"/>
      <c r="E454" s="4" t="s">
        <v>921</v>
      </c>
      <c r="F454" s="4" t="s">
        <v>453</v>
      </c>
      <c r="G454" s="4" t="s">
        <v>336</v>
      </c>
      <c r="H454" s="4" t="s">
        <v>380</v>
      </c>
      <c r="I454" s="4">
        <v>0.18</v>
      </c>
      <c r="J454" s="21">
        <v>390</v>
      </c>
      <c r="K454" s="21">
        <v>70.2</v>
      </c>
      <c r="L454" s="5">
        <v>0</v>
      </c>
      <c r="M454" s="4">
        <v>0.18</v>
      </c>
      <c r="N454" s="4"/>
      <c r="O454" s="5">
        <v>390</v>
      </c>
      <c r="P454" s="5"/>
      <c r="Q454" s="21">
        <v>0</v>
      </c>
      <c r="R454" s="21">
        <v>0</v>
      </c>
      <c r="S454" s="5">
        <f t="shared" si="31"/>
        <v>113280.04200000007</v>
      </c>
      <c r="T454" cm="1">
        <f t="array" ref="T454">IF(OR(B454="MAL ALIMI", B454="ÜRETİM GİRİŞ"), MIN(I454, MAX(0, I454 + SUM(SUMIFS($I$1:I453, $C$1:C453, C454, $B$1:B453, {"MAL ALIMI","ÜRETİM GİRİŞ"})) - VLOOKUP(C454, 'STOK RAPORU'!$C$2:$I$1000, 4, 0))), 0)</f>
        <v>0</v>
      </c>
      <c r="U454" s="22">
        <f t="shared" si="28"/>
        <v>0</v>
      </c>
      <c r="V454">
        <f t="shared" si="29"/>
        <v>0</v>
      </c>
      <c r="W454" s="22">
        <f t="shared" si="30"/>
        <v>0</v>
      </c>
    </row>
    <row r="455" spans="1:23" hidden="1" x14ac:dyDescent="0.25">
      <c r="A455" s="3">
        <v>45961</v>
      </c>
      <c r="B455" s="4" t="s">
        <v>334</v>
      </c>
      <c r="C455" s="4" t="s">
        <v>3167</v>
      </c>
      <c r="D455" s="4"/>
      <c r="E455" s="4" t="s">
        <v>921</v>
      </c>
      <c r="F455" s="4" t="s">
        <v>453</v>
      </c>
      <c r="G455" s="4" t="s">
        <v>336</v>
      </c>
      <c r="H455" s="4" t="s">
        <v>380</v>
      </c>
      <c r="I455" s="4">
        <v>8.5999999999999993E-2</v>
      </c>
      <c r="J455" s="21">
        <v>370</v>
      </c>
      <c r="K455" s="21">
        <v>31.819999999999997</v>
      </c>
      <c r="L455" s="5">
        <v>0</v>
      </c>
      <c r="M455" s="4">
        <v>8.5999999999999993E-2</v>
      </c>
      <c r="N455" s="4"/>
      <c r="O455" s="5">
        <v>370</v>
      </c>
      <c r="P455" s="5"/>
      <c r="Q455" s="21">
        <v>0</v>
      </c>
      <c r="R455" s="21">
        <v>0</v>
      </c>
      <c r="S455" s="5">
        <f t="shared" si="31"/>
        <v>113280.04200000007</v>
      </c>
      <c r="T455" cm="1">
        <f t="array" ref="T455">IF(OR(B455="MAL ALIMI", B455="ÜRETİM GİRİŞ"), MIN(I455, MAX(0, I455 + SUM(SUMIFS($I$1:I454, $C$1:C454, C455, $B$1:B454, {"MAL ALIMI","ÜRETİM GİRİŞ"})) - VLOOKUP(C455, 'STOK RAPORU'!$C$2:$I$1000, 4, 0))), 0)</f>
        <v>0</v>
      </c>
      <c r="U455" s="22">
        <f t="shared" si="28"/>
        <v>0</v>
      </c>
      <c r="V455">
        <f t="shared" si="29"/>
        <v>0</v>
      </c>
      <c r="W455" s="22">
        <f t="shared" si="30"/>
        <v>0</v>
      </c>
    </row>
    <row r="456" spans="1:23" hidden="1" x14ac:dyDescent="0.25">
      <c r="A456" s="3">
        <v>45961</v>
      </c>
      <c r="B456" s="4" t="s">
        <v>334</v>
      </c>
      <c r="C456" s="4" t="s">
        <v>255</v>
      </c>
      <c r="D456" s="4"/>
      <c r="E456" s="4"/>
      <c r="F456" s="4" t="s">
        <v>454</v>
      </c>
      <c r="G456" s="4" t="s">
        <v>336</v>
      </c>
      <c r="H456" s="4" t="s">
        <v>289</v>
      </c>
      <c r="I456" s="4">
        <v>1</v>
      </c>
      <c r="J456" s="21">
        <v>203</v>
      </c>
      <c r="K456" s="21">
        <v>0</v>
      </c>
      <c r="L456" s="5">
        <v>0</v>
      </c>
      <c r="M456" s="4">
        <v>1</v>
      </c>
      <c r="N456" s="4"/>
      <c r="O456" s="5">
        <v>203</v>
      </c>
      <c r="P456" s="5"/>
      <c r="Q456" s="21">
        <v>203</v>
      </c>
      <c r="R456" s="21">
        <v>0</v>
      </c>
      <c r="S456" s="5">
        <f t="shared" si="31"/>
        <v>113483.04200000007</v>
      </c>
      <c r="T456" cm="1">
        <f t="array" ref="T456">IF(OR(B456="MAL ALIMI", B456="ÜRETİM GİRİŞ"), MIN(I456, MAX(0, I456 + SUM(SUMIFS($I$1:I455, $C$1:C455, C456, $B$1:B455, {"MAL ALIMI","ÜRETİM GİRİŞ"})) - VLOOKUP(C456, 'STOK RAPORU'!$C$2:$I$1000, 4, 0))), 0)</f>
        <v>0</v>
      </c>
      <c r="U456" s="22">
        <f t="shared" si="28"/>
        <v>0</v>
      </c>
      <c r="V456">
        <f t="shared" si="29"/>
        <v>0</v>
      </c>
      <c r="W456" s="22">
        <f t="shared" si="30"/>
        <v>0</v>
      </c>
    </row>
    <row r="457" spans="1:23" hidden="1" x14ac:dyDescent="0.25">
      <c r="A457" s="3">
        <v>45961</v>
      </c>
      <c r="B457" s="4" t="s">
        <v>334</v>
      </c>
      <c r="C457" s="4" t="s">
        <v>257</v>
      </c>
      <c r="D457" s="4"/>
      <c r="E457" s="4"/>
      <c r="F457" s="4" t="s">
        <v>454</v>
      </c>
      <c r="G457" s="4" t="s">
        <v>336</v>
      </c>
      <c r="H457" s="4" t="s">
        <v>289</v>
      </c>
      <c r="I457" s="4">
        <v>1</v>
      </c>
      <c r="J457" s="21">
        <v>203</v>
      </c>
      <c r="K457" s="21">
        <v>0</v>
      </c>
      <c r="L457" s="5">
        <v>0</v>
      </c>
      <c r="M457" s="4">
        <v>1</v>
      </c>
      <c r="N457" s="4"/>
      <c r="O457" s="5">
        <v>203</v>
      </c>
      <c r="P457" s="5"/>
      <c r="Q457" s="21">
        <v>203</v>
      </c>
      <c r="R457" s="21">
        <v>0</v>
      </c>
      <c r="S457" s="5">
        <f t="shared" si="31"/>
        <v>113686.04200000007</v>
      </c>
      <c r="T457" cm="1">
        <f t="array" ref="T457">IF(OR(B457="MAL ALIMI", B457="ÜRETİM GİRİŞ"), MIN(I457, MAX(0, I457 + SUM(SUMIFS($I$1:I456, $C$1:C456, C457, $B$1:B456, {"MAL ALIMI","ÜRETİM GİRİŞ"})) - VLOOKUP(C457, 'STOK RAPORU'!$C$2:$I$1000, 4, 0))), 0)</f>
        <v>0</v>
      </c>
      <c r="U457" s="22">
        <f t="shared" si="28"/>
        <v>0</v>
      </c>
      <c r="V457">
        <f t="shared" si="29"/>
        <v>0</v>
      </c>
      <c r="W457" s="22">
        <f t="shared" si="30"/>
        <v>0</v>
      </c>
    </row>
    <row r="458" spans="1:23" hidden="1" x14ac:dyDescent="0.25">
      <c r="A458" s="3">
        <v>45961</v>
      </c>
      <c r="B458" s="4" t="s">
        <v>334</v>
      </c>
      <c r="C458" s="4" t="s">
        <v>200</v>
      </c>
      <c r="D458" s="4"/>
      <c r="E458" s="4"/>
      <c r="F458" s="4" t="s">
        <v>471</v>
      </c>
      <c r="G458" s="4" t="s">
        <v>336</v>
      </c>
      <c r="H458" s="4" t="s">
        <v>289</v>
      </c>
      <c r="I458" s="4">
        <v>0.26400000000000001</v>
      </c>
      <c r="J458" s="21">
        <v>360</v>
      </c>
      <c r="K458" s="21">
        <v>0</v>
      </c>
      <c r="L458" s="5">
        <v>0</v>
      </c>
      <c r="M458" s="4">
        <v>0.26400000000000001</v>
      </c>
      <c r="N458" s="4"/>
      <c r="O458" s="5">
        <v>360</v>
      </c>
      <c r="P458" s="5"/>
      <c r="Q458" s="21">
        <v>95.04</v>
      </c>
      <c r="R458" s="21">
        <v>0</v>
      </c>
      <c r="S458" s="5">
        <f t="shared" si="31"/>
        <v>113781.08200000007</v>
      </c>
      <c r="T458" cm="1">
        <f t="array" ref="T458">IF(OR(B458="MAL ALIMI", B458="ÜRETİM GİRİŞ"), MIN(I458, MAX(0, I458 + SUM(SUMIFS($I$1:I457, $C$1:C457, C458, $B$1:B457, {"MAL ALIMI","ÜRETİM GİRİŞ"})) - VLOOKUP(C458, 'STOK RAPORU'!$C$2:$I$1000, 4, 0))), 0)</f>
        <v>0</v>
      </c>
      <c r="U458" s="22">
        <f t="shared" si="28"/>
        <v>0</v>
      </c>
      <c r="V458">
        <f t="shared" si="29"/>
        <v>0</v>
      </c>
      <c r="W458" s="22">
        <f t="shared" si="30"/>
        <v>0</v>
      </c>
    </row>
    <row r="459" spans="1:23" hidden="1" x14ac:dyDescent="0.25">
      <c r="A459" s="3">
        <v>45961</v>
      </c>
      <c r="B459" s="4" t="s">
        <v>334</v>
      </c>
      <c r="C459" s="4" t="s">
        <v>76</v>
      </c>
      <c r="D459" s="4"/>
      <c r="E459" s="4"/>
      <c r="F459" s="4" t="s">
        <v>471</v>
      </c>
      <c r="G459" s="4" t="s">
        <v>336</v>
      </c>
      <c r="H459" s="4" t="s">
        <v>289</v>
      </c>
      <c r="I459" s="4">
        <v>0.182</v>
      </c>
      <c r="J459" s="21">
        <v>380</v>
      </c>
      <c r="K459" s="21">
        <v>0</v>
      </c>
      <c r="L459" s="5">
        <v>0</v>
      </c>
      <c r="M459" s="4">
        <v>0.182</v>
      </c>
      <c r="N459" s="4"/>
      <c r="O459" s="5">
        <v>380</v>
      </c>
      <c r="P459" s="5"/>
      <c r="Q459" s="21">
        <v>69.16</v>
      </c>
      <c r="R459" s="21">
        <v>0</v>
      </c>
      <c r="S459" s="5">
        <f t="shared" si="31"/>
        <v>113850.24200000007</v>
      </c>
      <c r="T459" cm="1">
        <f t="array" ref="T459">IF(OR(B459="MAL ALIMI", B459="ÜRETİM GİRİŞ"), MIN(I459, MAX(0, I459 + SUM(SUMIFS($I$1:I458, $C$1:C458, C459, $B$1:B458, {"MAL ALIMI","ÜRETİM GİRİŞ"})) - VLOOKUP(C459, 'STOK RAPORU'!$C$2:$I$1000, 4, 0))), 0)</f>
        <v>0</v>
      </c>
      <c r="U459" s="22">
        <f t="shared" si="28"/>
        <v>0</v>
      </c>
      <c r="V459">
        <f t="shared" si="29"/>
        <v>0</v>
      </c>
      <c r="W459" s="22">
        <f t="shared" si="30"/>
        <v>0</v>
      </c>
    </row>
    <row r="460" spans="1:23" hidden="1" x14ac:dyDescent="0.25">
      <c r="A460" s="3">
        <v>45961</v>
      </c>
      <c r="B460" s="4" t="s">
        <v>334</v>
      </c>
      <c r="C460" s="4" t="s">
        <v>129</v>
      </c>
      <c r="D460" s="4"/>
      <c r="E460" s="4"/>
      <c r="F460" s="4" t="s">
        <v>471</v>
      </c>
      <c r="G460" s="4" t="s">
        <v>336</v>
      </c>
      <c r="H460" s="4" t="s">
        <v>289</v>
      </c>
      <c r="I460" s="4">
        <v>0.13800000000000001</v>
      </c>
      <c r="J460" s="21">
        <v>390</v>
      </c>
      <c r="K460" s="21">
        <v>0</v>
      </c>
      <c r="L460" s="5">
        <v>0</v>
      </c>
      <c r="M460" s="4">
        <v>0.13800000000000001</v>
      </c>
      <c r="N460" s="4"/>
      <c r="O460" s="5">
        <v>390</v>
      </c>
      <c r="P460" s="5"/>
      <c r="Q460" s="21">
        <v>53.820000000000007</v>
      </c>
      <c r="R460" s="21">
        <v>0</v>
      </c>
      <c r="S460" s="5">
        <f t="shared" si="31"/>
        <v>113904.06200000008</v>
      </c>
      <c r="T460" cm="1">
        <f t="array" ref="T460">IF(OR(B460="MAL ALIMI", B460="ÜRETİM GİRİŞ"), MIN(I460, MAX(0, I460 + SUM(SUMIFS($I$1:I459, $C$1:C459, C460, $B$1:B459, {"MAL ALIMI","ÜRETİM GİRİŞ"})) - VLOOKUP(C460, 'STOK RAPORU'!$C$2:$I$1000, 4, 0))), 0)</f>
        <v>0</v>
      </c>
      <c r="U460" s="22">
        <f t="shared" si="28"/>
        <v>0</v>
      </c>
      <c r="V460">
        <f t="shared" si="29"/>
        <v>0</v>
      </c>
      <c r="W460" s="22">
        <f t="shared" si="30"/>
        <v>0</v>
      </c>
    </row>
    <row r="461" spans="1:23" hidden="1" x14ac:dyDescent="0.25">
      <c r="A461" s="3">
        <v>45961</v>
      </c>
      <c r="B461" s="4" t="s">
        <v>334</v>
      </c>
      <c r="C461" s="4" t="s">
        <v>162</v>
      </c>
      <c r="D461" s="4"/>
      <c r="E461" s="4"/>
      <c r="F461" s="4" t="s">
        <v>471</v>
      </c>
      <c r="G461" s="4" t="s">
        <v>336</v>
      </c>
      <c r="H461" s="4" t="s">
        <v>289</v>
      </c>
      <c r="I461" s="4">
        <v>1</v>
      </c>
      <c r="J461" s="21">
        <v>260</v>
      </c>
      <c r="K461" s="21">
        <v>0</v>
      </c>
      <c r="L461" s="5">
        <v>0</v>
      </c>
      <c r="M461" s="4">
        <v>1</v>
      </c>
      <c r="N461" s="4"/>
      <c r="O461" s="5">
        <v>260</v>
      </c>
      <c r="P461" s="5"/>
      <c r="Q461" s="21">
        <v>260</v>
      </c>
      <c r="R461" s="21">
        <v>0</v>
      </c>
      <c r="S461" s="5">
        <f t="shared" si="31"/>
        <v>114164.06200000008</v>
      </c>
      <c r="T461" cm="1">
        <f t="array" ref="T461">IF(OR(B461="MAL ALIMI", B461="ÜRETİM GİRİŞ"), MIN(I461, MAX(0, I461 + SUM(SUMIFS($I$1:I460, $C$1:C460, C461, $B$1:B460, {"MAL ALIMI","ÜRETİM GİRİŞ"})) - VLOOKUP(C461, 'STOK RAPORU'!$C$2:$I$1000, 4, 0))), 0)</f>
        <v>0</v>
      </c>
      <c r="U461" s="22">
        <f t="shared" si="28"/>
        <v>0</v>
      </c>
      <c r="V461">
        <f t="shared" si="29"/>
        <v>0</v>
      </c>
      <c r="W461" s="22">
        <f t="shared" si="30"/>
        <v>0</v>
      </c>
    </row>
    <row r="462" spans="1:23" hidden="1" x14ac:dyDescent="0.25">
      <c r="A462" s="3">
        <v>45961</v>
      </c>
      <c r="B462" s="4" t="s">
        <v>334</v>
      </c>
      <c r="C462" s="4" t="s">
        <v>160</v>
      </c>
      <c r="D462" s="4"/>
      <c r="E462" s="4"/>
      <c r="F462" s="4" t="s">
        <v>471</v>
      </c>
      <c r="G462" s="4" t="s">
        <v>336</v>
      </c>
      <c r="H462" s="4" t="s">
        <v>289</v>
      </c>
      <c r="I462" s="4">
        <v>1</v>
      </c>
      <c r="J462" s="21">
        <v>240</v>
      </c>
      <c r="K462" s="21">
        <v>0</v>
      </c>
      <c r="L462" s="5">
        <v>0</v>
      </c>
      <c r="M462" s="4">
        <v>1</v>
      </c>
      <c r="N462" s="4"/>
      <c r="O462" s="5">
        <v>240</v>
      </c>
      <c r="P462" s="5"/>
      <c r="Q462" s="21">
        <v>240</v>
      </c>
      <c r="R462" s="21">
        <v>0</v>
      </c>
      <c r="S462" s="5">
        <f t="shared" si="31"/>
        <v>114404.06200000008</v>
      </c>
      <c r="T462" cm="1">
        <f t="array" ref="T462">IF(OR(B462="MAL ALIMI", B462="ÜRETİM GİRİŞ"), MIN(I462, MAX(0, I462 + SUM(SUMIFS($I$1:I461, $C$1:C461, C462, $B$1:B461, {"MAL ALIMI","ÜRETİM GİRİŞ"})) - VLOOKUP(C462, 'STOK RAPORU'!$C$2:$I$1000, 4, 0))), 0)</f>
        <v>0</v>
      </c>
      <c r="U462" s="22">
        <f t="shared" si="28"/>
        <v>0</v>
      </c>
      <c r="V462">
        <f t="shared" si="29"/>
        <v>0</v>
      </c>
      <c r="W462" s="22">
        <f t="shared" si="30"/>
        <v>0</v>
      </c>
    </row>
    <row r="463" spans="1:23" hidden="1" x14ac:dyDescent="0.25">
      <c r="A463" s="3">
        <v>45961</v>
      </c>
      <c r="B463" s="4" t="s">
        <v>334</v>
      </c>
      <c r="C463" s="4" t="s">
        <v>463</v>
      </c>
      <c r="D463" s="4"/>
      <c r="E463" s="4"/>
      <c r="F463" s="4" t="s">
        <v>471</v>
      </c>
      <c r="G463" s="4" t="s">
        <v>336</v>
      </c>
      <c r="H463" s="4" t="s">
        <v>289</v>
      </c>
      <c r="I463" s="4">
        <v>0.17</v>
      </c>
      <c r="J463" s="21">
        <v>370</v>
      </c>
      <c r="K463" s="21">
        <v>0</v>
      </c>
      <c r="L463" s="5">
        <v>0</v>
      </c>
      <c r="M463" s="4">
        <v>0.17</v>
      </c>
      <c r="N463" s="4"/>
      <c r="O463" s="5">
        <v>370</v>
      </c>
      <c r="P463" s="5"/>
      <c r="Q463" s="21">
        <v>62.900000000000006</v>
      </c>
      <c r="R463" s="21">
        <v>0</v>
      </c>
      <c r="S463" s="5">
        <f t="shared" si="31"/>
        <v>114466.96200000007</v>
      </c>
      <c r="T463" cm="1">
        <f t="array" ref="T463">IF(OR(B463="MAL ALIMI", B463="ÜRETİM GİRİŞ"), MIN(I463, MAX(0, I463 + SUM(SUMIFS($I$1:I462, $C$1:C462, C463, $B$1:B462, {"MAL ALIMI","ÜRETİM GİRİŞ"})) - VLOOKUP(C463, 'STOK RAPORU'!$C$2:$I$1000, 4, 0))), 0)</f>
        <v>0</v>
      </c>
      <c r="U463" s="22">
        <f t="shared" si="28"/>
        <v>0</v>
      </c>
      <c r="V463">
        <f t="shared" si="29"/>
        <v>0</v>
      </c>
      <c r="W463" s="22">
        <f t="shared" si="30"/>
        <v>0</v>
      </c>
    </row>
    <row r="464" spans="1:23" hidden="1" x14ac:dyDescent="0.25">
      <c r="A464" s="3">
        <v>45961</v>
      </c>
      <c r="B464" s="4" t="s">
        <v>334</v>
      </c>
      <c r="C464" s="4" t="s">
        <v>126</v>
      </c>
      <c r="D464" s="4"/>
      <c r="E464" s="4"/>
      <c r="F464" s="4" t="s">
        <v>471</v>
      </c>
      <c r="G464" s="4" t="s">
        <v>336</v>
      </c>
      <c r="H464" s="4" t="s">
        <v>289</v>
      </c>
      <c r="I464" s="4">
        <v>0.126</v>
      </c>
      <c r="J464" s="21">
        <v>640</v>
      </c>
      <c r="K464" s="21">
        <v>0</v>
      </c>
      <c r="L464" s="5">
        <v>0</v>
      </c>
      <c r="M464" s="4">
        <v>0.126</v>
      </c>
      <c r="N464" s="4"/>
      <c r="O464" s="5">
        <v>640</v>
      </c>
      <c r="P464" s="5"/>
      <c r="Q464" s="21">
        <v>80.64</v>
      </c>
      <c r="R464" s="21">
        <v>0</v>
      </c>
      <c r="S464" s="5">
        <f t="shared" si="31"/>
        <v>114547.60200000007</v>
      </c>
      <c r="T464" cm="1">
        <f t="array" ref="T464">IF(OR(B464="MAL ALIMI", B464="ÜRETİM GİRİŞ"), MIN(I464, MAX(0, I464 + SUM(SUMIFS($I$1:I463, $C$1:C463, C464, $B$1:B463, {"MAL ALIMI","ÜRETİM GİRİŞ"})) - VLOOKUP(C464, 'STOK RAPORU'!$C$2:$I$1000, 4, 0))), 0)</f>
        <v>0</v>
      </c>
      <c r="U464" s="22">
        <f t="shared" si="28"/>
        <v>0</v>
      </c>
      <c r="V464">
        <f t="shared" si="29"/>
        <v>0</v>
      </c>
      <c r="W464" s="22">
        <f t="shared" si="30"/>
        <v>0</v>
      </c>
    </row>
    <row r="465" spans="1:23" hidden="1" x14ac:dyDescent="0.25">
      <c r="A465" s="3">
        <v>45961</v>
      </c>
      <c r="B465" s="4" t="s">
        <v>334</v>
      </c>
      <c r="C465" s="4" t="s">
        <v>130</v>
      </c>
      <c r="D465" s="4"/>
      <c r="E465" s="4"/>
      <c r="F465" s="4" t="s">
        <v>471</v>
      </c>
      <c r="G465" s="4" t="s">
        <v>336</v>
      </c>
      <c r="H465" s="4" t="s">
        <v>289</v>
      </c>
      <c r="I465" s="4">
        <v>0.185</v>
      </c>
      <c r="J465" s="21">
        <v>410</v>
      </c>
      <c r="K465" s="21">
        <v>0</v>
      </c>
      <c r="L465" s="5">
        <v>0</v>
      </c>
      <c r="M465" s="4">
        <v>0.185</v>
      </c>
      <c r="N465" s="4"/>
      <c r="O465" s="5">
        <v>410</v>
      </c>
      <c r="P465" s="5"/>
      <c r="Q465" s="21">
        <v>75.849999999999994</v>
      </c>
      <c r="R465" s="21">
        <v>0</v>
      </c>
      <c r="S465" s="5">
        <f t="shared" si="31"/>
        <v>114623.45200000008</v>
      </c>
      <c r="T465" cm="1">
        <f t="array" ref="T465">IF(OR(B465="MAL ALIMI", B465="ÜRETİM GİRİŞ"), MIN(I465, MAX(0, I465 + SUM(SUMIFS($I$1:I464, $C$1:C464, C465, $B$1:B464, {"MAL ALIMI","ÜRETİM GİRİŞ"})) - VLOOKUP(C465, 'STOK RAPORU'!$C$2:$I$1000, 4, 0))), 0)</f>
        <v>0</v>
      </c>
      <c r="U465" s="22">
        <f t="shared" si="28"/>
        <v>0</v>
      </c>
      <c r="V465">
        <f t="shared" si="29"/>
        <v>0</v>
      </c>
      <c r="W465" s="22">
        <f t="shared" si="30"/>
        <v>0</v>
      </c>
    </row>
    <row r="466" spans="1:23" hidden="1" x14ac:dyDescent="0.25">
      <c r="A466" s="3">
        <v>45961</v>
      </c>
      <c r="B466" s="4" t="s">
        <v>334</v>
      </c>
      <c r="C466" s="4" t="s">
        <v>209</v>
      </c>
      <c r="D466" s="4"/>
      <c r="E466" s="4"/>
      <c r="F466" s="4" t="s">
        <v>471</v>
      </c>
      <c r="G466" s="4" t="s">
        <v>336</v>
      </c>
      <c r="H466" s="4" t="s">
        <v>289</v>
      </c>
      <c r="I466" s="4">
        <v>0.05</v>
      </c>
      <c r="J466" s="21">
        <v>2500</v>
      </c>
      <c r="K466" s="21">
        <v>0</v>
      </c>
      <c r="L466" s="5">
        <v>0</v>
      </c>
      <c r="M466" s="4">
        <v>0.05</v>
      </c>
      <c r="N466" s="4"/>
      <c r="O466" s="5">
        <v>2500</v>
      </c>
      <c r="P466" s="5"/>
      <c r="Q466" s="21">
        <v>125</v>
      </c>
      <c r="R466" s="21">
        <v>0</v>
      </c>
      <c r="S466" s="5">
        <f t="shared" si="31"/>
        <v>114748.45200000008</v>
      </c>
      <c r="T466" cm="1">
        <f t="array" ref="T466">IF(OR(B466="MAL ALIMI", B466="ÜRETİM GİRİŞ"), MIN(I466, MAX(0, I466 + SUM(SUMIFS($I$1:I465, $C$1:C465, C466, $B$1:B465, {"MAL ALIMI","ÜRETİM GİRİŞ"})) - VLOOKUP(C466, 'STOK RAPORU'!$C$2:$I$1000, 4, 0))), 0)</f>
        <v>0</v>
      </c>
      <c r="U466" s="22">
        <f t="shared" si="28"/>
        <v>0</v>
      </c>
      <c r="V466">
        <f t="shared" si="29"/>
        <v>0</v>
      </c>
      <c r="W466" s="22">
        <f t="shared" si="30"/>
        <v>0</v>
      </c>
    </row>
    <row r="467" spans="1:23" hidden="1" x14ac:dyDescent="0.25">
      <c r="A467" s="3">
        <v>45961</v>
      </c>
      <c r="B467" s="4" t="s">
        <v>334</v>
      </c>
      <c r="C467" s="4" t="s">
        <v>462</v>
      </c>
      <c r="D467" s="4"/>
      <c r="E467" s="4"/>
      <c r="F467" s="4" t="s">
        <v>471</v>
      </c>
      <c r="G467" s="4" t="s">
        <v>336</v>
      </c>
      <c r="H467" s="4" t="s">
        <v>289</v>
      </c>
      <c r="I467" s="4">
        <v>1</v>
      </c>
      <c r="J467" s="21">
        <v>90</v>
      </c>
      <c r="K467" s="21">
        <v>0</v>
      </c>
      <c r="L467" s="5">
        <v>0</v>
      </c>
      <c r="M467" s="4">
        <v>1</v>
      </c>
      <c r="N467" s="4"/>
      <c r="O467" s="5">
        <v>90</v>
      </c>
      <c r="P467" s="5"/>
      <c r="Q467" s="21">
        <v>90</v>
      </c>
      <c r="R467" s="21">
        <v>0</v>
      </c>
      <c r="S467" s="5">
        <f t="shared" si="31"/>
        <v>114838.45200000008</v>
      </c>
      <c r="T467" cm="1">
        <f t="array" ref="T467">IF(OR(B467="MAL ALIMI", B467="ÜRETİM GİRİŞ"), MIN(I467, MAX(0, I467 + SUM(SUMIFS($I$1:I466, $C$1:C466, C467, $B$1:B466, {"MAL ALIMI","ÜRETİM GİRİŞ"})) - VLOOKUP(C467, 'STOK RAPORU'!$C$2:$I$1000, 4, 0))), 0)</f>
        <v>0</v>
      </c>
      <c r="U467" s="22">
        <f t="shared" si="28"/>
        <v>0</v>
      </c>
      <c r="V467">
        <f t="shared" si="29"/>
        <v>0</v>
      </c>
      <c r="W467" s="22">
        <f t="shared" si="30"/>
        <v>0</v>
      </c>
    </row>
    <row r="468" spans="1:23" hidden="1" x14ac:dyDescent="0.25">
      <c r="A468" s="3">
        <v>45961</v>
      </c>
      <c r="B468" s="4" t="s">
        <v>334</v>
      </c>
      <c r="C468" s="4" t="s">
        <v>233</v>
      </c>
      <c r="D468" s="4"/>
      <c r="E468" s="4"/>
      <c r="F468" s="4" t="s">
        <v>471</v>
      </c>
      <c r="G468" s="4" t="s">
        <v>336</v>
      </c>
      <c r="H468" s="4" t="s">
        <v>289</v>
      </c>
      <c r="I468" s="4">
        <v>1</v>
      </c>
      <c r="J468" s="21">
        <v>190</v>
      </c>
      <c r="K468" s="21">
        <v>0</v>
      </c>
      <c r="L468" s="5">
        <v>0</v>
      </c>
      <c r="M468" s="4">
        <v>1</v>
      </c>
      <c r="N468" s="4"/>
      <c r="O468" s="5">
        <v>190</v>
      </c>
      <c r="P468" s="5"/>
      <c r="Q468" s="21">
        <v>190</v>
      </c>
      <c r="R468" s="21">
        <v>0</v>
      </c>
      <c r="S468" s="5">
        <f t="shared" si="31"/>
        <v>115028.45200000008</v>
      </c>
      <c r="T468" cm="1">
        <f t="array" ref="T468">IF(OR(B468="MAL ALIMI", B468="ÜRETİM GİRİŞ"), MIN(I468, MAX(0, I468 + SUM(SUMIFS($I$1:I467, $C$1:C467, C468, $B$1:B467, {"MAL ALIMI","ÜRETİM GİRİŞ"})) - VLOOKUP(C468, 'STOK RAPORU'!$C$2:$I$1000, 4, 0))), 0)</f>
        <v>0</v>
      </c>
      <c r="U468" s="22">
        <f t="shared" si="28"/>
        <v>0</v>
      </c>
      <c r="V468">
        <f t="shared" si="29"/>
        <v>0</v>
      </c>
      <c r="W468" s="22">
        <f t="shared" si="30"/>
        <v>0</v>
      </c>
    </row>
    <row r="469" spans="1:23" hidden="1" x14ac:dyDescent="0.25">
      <c r="A469" s="3">
        <v>45961</v>
      </c>
      <c r="B469" s="4" t="s">
        <v>334</v>
      </c>
      <c r="C469" s="4" t="s">
        <v>168</v>
      </c>
      <c r="D469" s="4"/>
      <c r="E469" s="4"/>
      <c r="F469" s="4" t="s">
        <v>471</v>
      </c>
      <c r="G469" s="4" t="s">
        <v>336</v>
      </c>
      <c r="H469" s="4" t="s">
        <v>289</v>
      </c>
      <c r="I469" s="4">
        <v>1</v>
      </c>
      <c r="J469" s="21">
        <v>200</v>
      </c>
      <c r="K469" s="21">
        <v>0</v>
      </c>
      <c r="L469" s="5">
        <v>0</v>
      </c>
      <c r="M469" s="4">
        <v>1</v>
      </c>
      <c r="N469" s="4"/>
      <c r="O469" s="5">
        <v>200</v>
      </c>
      <c r="P469" s="5"/>
      <c r="Q469" s="21">
        <v>200</v>
      </c>
      <c r="R469" s="21">
        <v>0</v>
      </c>
      <c r="S469" s="5">
        <f t="shared" si="31"/>
        <v>115228.45200000008</v>
      </c>
      <c r="T469" cm="1">
        <f t="array" ref="T469">IF(OR(B469="MAL ALIMI", B469="ÜRETİM GİRİŞ"), MIN(I469, MAX(0, I469 + SUM(SUMIFS($I$1:I468, $C$1:C468, C469, $B$1:B468, {"MAL ALIMI","ÜRETİM GİRİŞ"})) - VLOOKUP(C469, 'STOK RAPORU'!$C$2:$I$1000, 4, 0))), 0)</f>
        <v>0</v>
      </c>
      <c r="U469" s="22">
        <f t="shared" si="28"/>
        <v>0</v>
      </c>
      <c r="V469">
        <f t="shared" si="29"/>
        <v>0</v>
      </c>
      <c r="W469" s="22">
        <f t="shared" si="30"/>
        <v>0</v>
      </c>
    </row>
    <row r="470" spans="1:23" hidden="1" x14ac:dyDescent="0.25">
      <c r="A470" s="3">
        <v>45961</v>
      </c>
      <c r="B470" s="4" t="s">
        <v>334</v>
      </c>
      <c r="C470" s="4" t="s">
        <v>126</v>
      </c>
      <c r="D470" s="4"/>
      <c r="E470" s="4"/>
      <c r="F470" s="4" t="s">
        <v>472</v>
      </c>
      <c r="G470" s="4" t="s">
        <v>336</v>
      </c>
      <c r="H470" s="4" t="s">
        <v>289</v>
      </c>
      <c r="I470" s="4">
        <v>0.16800000000000001</v>
      </c>
      <c r="J470" s="21">
        <v>640</v>
      </c>
      <c r="K470" s="21">
        <v>0</v>
      </c>
      <c r="L470" s="5">
        <v>0</v>
      </c>
      <c r="M470" s="4">
        <v>0.16800000000000001</v>
      </c>
      <c r="N470" s="4"/>
      <c r="O470" s="5">
        <v>640</v>
      </c>
      <c r="P470" s="5"/>
      <c r="Q470" s="21">
        <v>107.52000000000001</v>
      </c>
      <c r="R470" s="21">
        <v>0</v>
      </c>
      <c r="S470" s="5">
        <f t="shared" si="31"/>
        <v>115335.97200000008</v>
      </c>
      <c r="T470" cm="1">
        <f t="array" ref="T470">IF(OR(B470="MAL ALIMI", B470="ÜRETİM GİRİŞ"), MIN(I470, MAX(0, I470 + SUM(SUMIFS($I$1:I469, $C$1:C469, C470, $B$1:B469, {"MAL ALIMI","ÜRETİM GİRİŞ"})) - VLOOKUP(C470, 'STOK RAPORU'!$C$2:$I$1000, 4, 0))), 0)</f>
        <v>0</v>
      </c>
      <c r="U470" s="22">
        <f t="shared" si="28"/>
        <v>0</v>
      </c>
      <c r="V470">
        <f t="shared" si="29"/>
        <v>0</v>
      </c>
      <c r="W470" s="22">
        <f t="shared" si="30"/>
        <v>0</v>
      </c>
    </row>
    <row r="471" spans="1:23" hidden="1" x14ac:dyDescent="0.25">
      <c r="A471" s="3">
        <v>45961</v>
      </c>
      <c r="B471" s="4" t="s">
        <v>334</v>
      </c>
      <c r="C471" s="4" t="s">
        <v>89</v>
      </c>
      <c r="D471" s="4"/>
      <c r="E471" s="4"/>
      <c r="F471" s="4" t="s">
        <v>472</v>
      </c>
      <c r="G471" s="4" t="s">
        <v>336</v>
      </c>
      <c r="H471" s="4" t="s">
        <v>289</v>
      </c>
      <c r="I471" s="4">
        <v>0.1</v>
      </c>
      <c r="J471" s="21">
        <v>650</v>
      </c>
      <c r="K471" s="21">
        <v>0</v>
      </c>
      <c r="L471" s="5">
        <v>0</v>
      </c>
      <c r="M471" s="4">
        <v>0.1</v>
      </c>
      <c r="N471" s="4"/>
      <c r="O471" s="5">
        <v>650</v>
      </c>
      <c r="P471" s="5"/>
      <c r="Q471" s="21">
        <v>65</v>
      </c>
      <c r="R471" s="21">
        <v>0</v>
      </c>
      <c r="S471" s="5">
        <f t="shared" si="31"/>
        <v>115400.97200000008</v>
      </c>
      <c r="T471" cm="1">
        <f t="array" ref="T471">IF(OR(B471="MAL ALIMI", B471="ÜRETİM GİRİŞ"), MIN(I471, MAX(0, I471 + SUM(SUMIFS($I$1:I470, $C$1:C470, C471, $B$1:B470, {"MAL ALIMI","ÜRETİM GİRİŞ"})) - VLOOKUP(C471, 'STOK RAPORU'!$C$2:$I$1000, 4, 0))), 0)</f>
        <v>0</v>
      </c>
      <c r="U471" s="22">
        <f t="shared" si="28"/>
        <v>0</v>
      </c>
      <c r="V471">
        <f t="shared" si="29"/>
        <v>0</v>
      </c>
      <c r="W471" s="22">
        <f t="shared" si="30"/>
        <v>0</v>
      </c>
    </row>
    <row r="472" spans="1:23" hidden="1" x14ac:dyDescent="0.25">
      <c r="A472" s="3">
        <v>45961</v>
      </c>
      <c r="B472" s="4" t="s">
        <v>334</v>
      </c>
      <c r="C472" s="4" t="s">
        <v>233</v>
      </c>
      <c r="D472" s="4"/>
      <c r="E472" s="4"/>
      <c r="F472" s="4" t="s">
        <v>472</v>
      </c>
      <c r="G472" s="4" t="s">
        <v>336</v>
      </c>
      <c r="H472" s="4" t="s">
        <v>289</v>
      </c>
      <c r="I472" s="4">
        <v>1</v>
      </c>
      <c r="J472" s="21">
        <v>190</v>
      </c>
      <c r="K472" s="21">
        <v>0</v>
      </c>
      <c r="L472" s="5">
        <v>0</v>
      </c>
      <c r="M472" s="4">
        <v>1</v>
      </c>
      <c r="N472" s="4"/>
      <c r="O472" s="5">
        <v>190</v>
      </c>
      <c r="P472" s="5"/>
      <c r="Q472" s="21">
        <v>190</v>
      </c>
      <c r="R472" s="21">
        <v>0</v>
      </c>
      <c r="S472" s="5">
        <f t="shared" si="31"/>
        <v>115590.97200000008</v>
      </c>
      <c r="T472" cm="1">
        <f t="array" ref="T472">IF(OR(B472="MAL ALIMI", B472="ÜRETİM GİRİŞ"), MIN(I472, MAX(0, I472 + SUM(SUMIFS($I$1:I471, $C$1:C471, C472, $B$1:B471, {"MAL ALIMI","ÜRETİM GİRİŞ"})) - VLOOKUP(C472, 'STOK RAPORU'!$C$2:$I$1000, 4, 0))), 0)</f>
        <v>0</v>
      </c>
      <c r="U472" s="22">
        <f t="shared" si="28"/>
        <v>0</v>
      </c>
      <c r="V472">
        <f t="shared" si="29"/>
        <v>0</v>
      </c>
      <c r="W472" s="22">
        <f t="shared" si="30"/>
        <v>0</v>
      </c>
    </row>
    <row r="473" spans="1:23" hidden="1" x14ac:dyDescent="0.25">
      <c r="A473" s="3">
        <v>45961</v>
      </c>
      <c r="B473" s="4" t="s">
        <v>334</v>
      </c>
      <c r="C473" s="4" t="s">
        <v>202</v>
      </c>
      <c r="D473" s="4"/>
      <c r="E473" s="4"/>
      <c r="F473" s="4" t="s">
        <v>472</v>
      </c>
      <c r="G473" s="4" t="s">
        <v>336</v>
      </c>
      <c r="H473" s="4" t="s">
        <v>289</v>
      </c>
      <c r="I473" s="4">
        <v>0.5</v>
      </c>
      <c r="J473" s="21">
        <v>80</v>
      </c>
      <c r="K473" s="21">
        <v>0</v>
      </c>
      <c r="L473" s="5">
        <v>0</v>
      </c>
      <c r="M473" s="4">
        <v>0.5</v>
      </c>
      <c r="N473" s="4"/>
      <c r="O473" s="5">
        <v>80</v>
      </c>
      <c r="P473" s="5"/>
      <c r="Q473" s="21">
        <v>40</v>
      </c>
      <c r="R473" s="21">
        <v>0</v>
      </c>
      <c r="S473" s="5">
        <f t="shared" si="31"/>
        <v>115630.97200000008</v>
      </c>
      <c r="T473" cm="1">
        <f t="array" ref="T473">IF(OR(B473="MAL ALIMI", B473="ÜRETİM GİRİŞ"), MIN(I473, MAX(0, I473 + SUM(SUMIFS($I$1:I472, $C$1:C472, C473, $B$1:B472, {"MAL ALIMI","ÜRETİM GİRİŞ"})) - VLOOKUP(C473, 'STOK RAPORU'!$C$2:$I$1000, 4, 0))), 0)</f>
        <v>0</v>
      </c>
      <c r="U473" s="22">
        <f t="shared" si="28"/>
        <v>0</v>
      </c>
      <c r="V473">
        <f t="shared" si="29"/>
        <v>0</v>
      </c>
      <c r="W473" s="22">
        <f t="shared" si="30"/>
        <v>0</v>
      </c>
    </row>
    <row r="474" spans="1:23" hidden="1" x14ac:dyDescent="0.25">
      <c r="A474" s="3">
        <v>45961</v>
      </c>
      <c r="B474" s="4" t="s">
        <v>334</v>
      </c>
      <c r="C474" s="4" t="s">
        <v>223</v>
      </c>
      <c r="D474" s="4"/>
      <c r="E474" s="4"/>
      <c r="F474" s="4" t="s">
        <v>472</v>
      </c>
      <c r="G474" s="4" t="s">
        <v>336</v>
      </c>
      <c r="H474" s="4" t="s">
        <v>289</v>
      </c>
      <c r="I474" s="4">
        <v>0.47199999999999998</v>
      </c>
      <c r="J474" s="21">
        <v>700</v>
      </c>
      <c r="K474" s="21">
        <v>0</v>
      </c>
      <c r="L474" s="5">
        <v>0</v>
      </c>
      <c r="M474" s="4">
        <v>0.47199999999999998</v>
      </c>
      <c r="N474" s="4"/>
      <c r="O474" s="5">
        <v>700</v>
      </c>
      <c r="P474" s="5"/>
      <c r="Q474" s="21">
        <v>330.4</v>
      </c>
      <c r="R474" s="21">
        <v>0</v>
      </c>
      <c r="S474" s="5">
        <f t="shared" si="31"/>
        <v>115961.37200000008</v>
      </c>
      <c r="T474" cm="1">
        <f t="array" ref="T474">IF(OR(B474="MAL ALIMI", B474="ÜRETİM GİRİŞ"), MIN(I474, MAX(0, I474 + SUM(SUMIFS($I$1:I473, $C$1:C473, C474, $B$1:B473, {"MAL ALIMI","ÜRETİM GİRİŞ"})) - VLOOKUP(C474, 'STOK RAPORU'!$C$2:$I$1000, 4, 0))), 0)</f>
        <v>0</v>
      </c>
      <c r="U474" s="22">
        <f t="shared" si="28"/>
        <v>0</v>
      </c>
      <c r="V474">
        <f t="shared" si="29"/>
        <v>0</v>
      </c>
      <c r="W474" s="22">
        <f t="shared" si="30"/>
        <v>0</v>
      </c>
    </row>
    <row r="475" spans="1:23" hidden="1" x14ac:dyDescent="0.25">
      <c r="A475" s="3">
        <v>45961</v>
      </c>
      <c r="B475" s="4" t="s">
        <v>334</v>
      </c>
      <c r="C475" s="4" t="s">
        <v>160</v>
      </c>
      <c r="D475" s="4"/>
      <c r="E475" s="4"/>
      <c r="F475" s="4" t="s">
        <v>473</v>
      </c>
      <c r="G475" s="4" t="s">
        <v>336</v>
      </c>
      <c r="H475" s="4" t="s">
        <v>289</v>
      </c>
      <c r="I475" s="4">
        <v>1</v>
      </c>
      <c r="J475" s="21">
        <v>240</v>
      </c>
      <c r="K475" s="21">
        <v>0</v>
      </c>
      <c r="L475" s="5">
        <v>0</v>
      </c>
      <c r="M475" s="4">
        <v>1</v>
      </c>
      <c r="N475" s="4"/>
      <c r="O475" s="5">
        <v>240</v>
      </c>
      <c r="P475" s="5"/>
      <c r="Q475" s="21">
        <v>240</v>
      </c>
      <c r="R475" s="21">
        <v>0</v>
      </c>
      <c r="S475" s="5">
        <f t="shared" si="31"/>
        <v>116201.37200000008</v>
      </c>
      <c r="T475" cm="1">
        <f t="array" ref="T475">IF(OR(B475="MAL ALIMI", B475="ÜRETİM GİRİŞ"), MIN(I475, MAX(0, I475 + SUM(SUMIFS($I$1:I474, $C$1:C474, C475, $B$1:B474, {"MAL ALIMI","ÜRETİM GİRİŞ"})) - VLOOKUP(C475, 'STOK RAPORU'!$C$2:$I$1000, 4, 0))), 0)</f>
        <v>0</v>
      </c>
      <c r="U475" s="22">
        <f t="shared" si="28"/>
        <v>0</v>
      </c>
      <c r="V475">
        <f t="shared" si="29"/>
        <v>0</v>
      </c>
      <c r="W475" s="22">
        <f t="shared" si="30"/>
        <v>0</v>
      </c>
    </row>
    <row r="476" spans="1:23" hidden="1" x14ac:dyDescent="0.25">
      <c r="A476" s="3">
        <v>45961</v>
      </c>
      <c r="B476" s="4" t="s">
        <v>334</v>
      </c>
      <c r="C476" s="4" t="s">
        <v>167</v>
      </c>
      <c r="D476" s="4"/>
      <c r="E476" s="4"/>
      <c r="F476" s="4" t="s">
        <v>473</v>
      </c>
      <c r="G476" s="4" t="s">
        <v>336</v>
      </c>
      <c r="H476" s="4" t="s">
        <v>289</v>
      </c>
      <c r="I476" s="4">
        <v>1</v>
      </c>
      <c r="J476" s="21">
        <v>200</v>
      </c>
      <c r="K476" s="21">
        <v>0</v>
      </c>
      <c r="L476" s="5">
        <v>0</v>
      </c>
      <c r="M476" s="4">
        <v>1</v>
      </c>
      <c r="N476" s="4"/>
      <c r="O476" s="5">
        <v>200</v>
      </c>
      <c r="P476" s="5"/>
      <c r="Q476" s="21">
        <v>200</v>
      </c>
      <c r="R476" s="21">
        <v>0</v>
      </c>
      <c r="S476" s="5">
        <f t="shared" si="31"/>
        <v>116401.37200000008</v>
      </c>
      <c r="T476" cm="1">
        <f t="array" ref="T476">IF(OR(B476="MAL ALIMI", B476="ÜRETİM GİRİŞ"), MIN(I476, MAX(0, I476 + SUM(SUMIFS($I$1:I475, $C$1:C475, C476, $B$1:B475, {"MAL ALIMI","ÜRETİM GİRİŞ"})) - VLOOKUP(C476, 'STOK RAPORU'!$C$2:$I$1000, 4, 0))), 0)</f>
        <v>0</v>
      </c>
      <c r="U476" s="22">
        <f t="shared" si="28"/>
        <v>0</v>
      </c>
      <c r="V476">
        <f t="shared" si="29"/>
        <v>0</v>
      </c>
      <c r="W476" s="22">
        <f t="shared" si="30"/>
        <v>0</v>
      </c>
    </row>
    <row r="477" spans="1:23" hidden="1" x14ac:dyDescent="0.25">
      <c r="A477" s="3">
        <v>45961</v>
      </c>
      <c r="B477" s="4" t="s">
        <v>334</v>
      </c>
      <c r="C477" s="4" t="s">
        <v>202</v>
      </c>
      <c r="D477" s="4"/>
      <c r="E477" s="4"/>
      <c r="F477" s="4" t="s">
        <v>473</v>
      </c>
      <c r="G477" s="4" t="s">
        <v>336</v>
      </c>
      <c r="H477" s="4" t="s">
        <v>289</v>
      </c>
      <c r="I477" s="4">
        <v>0.5</v>
      </c>
      <c r="J477" s="21">
        <v>80</v>
      </c>
      <c r="K477" s="21">
        <v>0</v>
      </c>
      <c r="L477" s="5">
        <v>0</v>
      </c>
      <c r="M477" s="4">
        <v>0.5</v>
      </c>
      <c r="N477" s="4"/>
      <c r="O477" s="5">
        <v>80</v>
      </c>
      <c r="P477" s="5"/>
      <c r="Q477" s="21">
        <v>40</v>
      </c>
      <c r="R477" s="21">
        <v>0</v>
      </c>
      <c r="S477" s="5">
        <f t="shared" si="31"/>
        <v>116441.37200000008</v>
      </c>
      <c r="T477" cm="1">
        <f t="array" ref="T477">IF(OR(B477="MAL ALIMI", B477="ÜRETİM GİRİŞ"), MIN(I477, MAX(0, I477 + SUM(SUMIFS($I$1:I476, $C$1:C476, C477, $B$1:B476, {"MAL ALIMI","ÜRETİM GİRİŞ"})) - VLOOKUP(C477, 'STOK RAPORU'!$C$2:$I$1000, 4, 0))), 0)</f>
        <v>0</v>
      </c>
      <c r="U477" s="22">
        <f t="shared" si="28"/>
        <v>0</v>
      </c>
      <c r="V477">
        <f t="shared" si="29"/>
        <v>0</v>
      </c>
      <c r="W477" s="22">
        <f t="shared" si="30"/>
        <v>0</v>
      </c>
    </row>
    <row r="478" spans="1:23" hidden="1" x14ac:dyDescent="0.25">
      <c r="A478" s="3">
        <v>45961</v>
      </c>
      <c r="B478" s="4" t="s">
        <v>334</v>
      </c>
      <c r="C478" s="4" t="s">
        <v>89</v>
      </c>
      <c r="D478" s="4"/>
      <c r="E478" s="4"/>
      <c r="F478" s="4" t="s">
        <v>473</v>
      </c>
      <c r="G478" s="4" t="s">
        <v>336</v>
      </c>
      <c r="H478" s="4" t="s">
        <v>289</v>
      </c>
      <c r="I478" s="4">
        <v>0.1</v>
      </c>
      <c r="J478" s="21">
        <v>650</v>
      </c>
      <c r="K478" s="21">
        <v>0</v>
      </c>
      <c r="L478" s="5">
        <v>0</v>
      </c>
      <c r="M478" s="4">
        <v>0.1</v>
      </c>
      <c r="N478" s="4"/>
      <c r="O478" s="5">
        <v>650</v>
      </c>
      <c r="P478" s="5"/>
      <c r="Q478" s="21">
        <v>65</v>
      </c>
      <c r="R478" s="21">
        <v>0</v>
      </c>
      <c r="S478" s="5">
        <f t="shared" si="31"/>
        <v>116506.37200000008</v>
      </c>
      <c r="T478" cm="1">
        <f t="array" ref="T478">IF(OR(B478="MAL ALIMI", B478="ÜRETİM GİRİŞ"), MIN(I478, MAX(0, I478 + SUM(SUMIFS($I$1:I477, $C$1:C477, C478, $B$1:B477, {"MAL ALIMI","ÜRETİM GİRİŞ"})) - VLOOKUP(C478, 'STOK RAPORU'!$C$2:$I$1000, 4, 0))), 0)</f>
        <v>0</v>
      </c>
      <c r="U478" s="22">
        <f t="shared" si="28"/>
        <v>0</v>
      </c>
      <c r="V478">
        <f t="shared" si="29"/>
        <v>0</v>
      </c>
      <c r="W478" s="22">
        <f t="shared" si="30"/>
        <v>0</v>
      </c>
    </row>
    <row r="479" spans="1:23" hidden="1" x14ac:dyDescent="0.25">
      <c r="A479" s="3">
        <v>45961</v>
      </c>
      <c r="B479" s="4" t="s">
        <v>334</v>
      </c>
      <c r="C479" s="4" t="s">
        <v>126</v>
      </c>
      <c r="D479" s="4"/>
      <c r="E479" s="4"/>
      <c r="F479" s="4" t="s">
        <v>473</v>
      </c>
      <c r="G479" s="4" t="s">
        <v>336</v>
      </c>
      <c r="H479" s="4" t="s">
        <v>289</v>
      </c>
      <c r="I479" s="4">
        <v>0.13200000000000001</v>
      </c>
      <c r="J479" s="21">
        <v>640</v>
      </c>
      <c r="K479" s="21">
        <v>0</v>
      </c>
      <c r="L479" s="5">
        <v>0</v>
      </c>
      <c r="M479" s="4">
        <v>0.13200000000000001</v>
      </c>
      <c r="N479" s="4"/>
      <c r="O479" s="5">
        <v>640</v>
      </c>
      <c r="P479" s="5"/>
      <c r="Q479" s="21">
        <v>84.48</v>
      </c>
      <c r="R479" s="21">
        <v>0</v>
      </c>
      <c r="S479" s="5">
        <f t="shared" si="31"/>
        <v>116590.85200000007</v>
      </c>
      <c r="T479" cm="1">
        <f t="array" ref="T479">IF(OR(B479="MAL ALIMI", B479="ÜRETİM GİRİŞ"), MIN(I479, MAX(0, I479 + SUM(SUMIFS($I$1:I478, $C$1:C478, C479, $B$1:B478, {"MAL ALIMI","ÜRETİM GİRİŞ"})) - VLOOKUP(C479, 'STOK RAPORU'!$C$2:$I$1000, 4, 0))), 0)</f>
        <v>0</v>
      </c>
      <c r="U479" s="22">
        <f t="shared" si="28"/>
        <v>0</v>
      </c>
      <c r="V479">
        <f t="shared" si="29"/>
        <v>0</v>
      </c>
      <c r="W479" s="22">
        <f t="shared" si="30"/>
        <v>0</v>
      </c>
    </row>
    <row r="480" spans="1:23" hidden="1" x14ac:dyDescent="0.25">
      <c r="A480" s="3">
        <v>45961</v>
      </c>
      <c r="B480" s="4" t="s">
        <v>334</v>
      </c>
      <c r="C480" s="4" t="s">
        <v>132</v>
      </c>
      <c r="D480" s="4"/>
      <c r="E480" s="4"/>
      <c r="F480" s="4" t="s">
        <v>473</v>
      </c>
      <c r="G480" s="4" t="s">
        <v>336</v>
      </c>
      <c r="H480" s="4" t="s">
        <v>289</v>
      </c>
      <c r="I480" s="4">
        <v>0.18</v>
      </c>
      <c r="J480" s="21">
        <v>500</v>
      </c>
      <c r="K480" s="21">
        <v>0</v>
      </c>
      <c r="L480" s="5">
        <v>0</v>
      </c>
      <c r="M480" s="4">
        <v>0.18</v>
      </c>
      <c r="N480" s="4"/>
      <c r="O480" s="5">
        <v>500</v>
      </c>
      <c r="P480" s="5"/>
      <c r="Q480" s="21">
        <v>90</v>
      </c>
      <c r="R480" s="21">
        <v>0</v>
      </c>
      <c r="S480" s="5">
        <f t="shared" si="31"/>
        <v>116680.85200000007</v>
      </c>
      <c r="T480" cm="1">
        <f t="array" ref="T480">IF(OR(B480="MAL ALIMI", B480="ÜRETİM GİRİŞ"), MIN(I480, MAX(0, I480 + SUM(SUMIFS($I$1:I479, $C$1:C479, C480, $B$1:B479, {"MAL ALIMI","ÜRETİM GİRİŞ"})) - VLOOKUP(C480, 'STOK RAPORU'!$C$2:$I$1000, 4, 0))), 0)</f>
        <v>0</v>
      </c>
      <c r="U480" s="22">
        <f t="shared" si="28"/>
        <v>0</v>
      </c>
      <c r="V480">
        <f t="shared" si="29"/>
        <v>0</v>
      </c>
      <c r="W480" s="22">
        <f t="shared" si="30"/>
        <v>0</v>
      </c>
    </row>
    <row r="481" spans="1:23" hidden="1" x14ac:dyDescent="0.25">
      <c r="A481" s="3">
        <v>45961</v>
      </c>
      <c r="B481" s="4" t="s">
        <v>334</v>
      </c>
      <c r="C481" s="4" t="s">
        <v>98</v>
      </c>
      <c r="D481" s="4"/>
      <c r="E481" s="4"/>
      <c r="F481" s="4" t="s">
        <v>473</v>
      </c>
      <c r="G481" s="4" t="s">
        <v>336</v>
      </c>
      <c r="H481" s="4" t="s">
        <v>289</v>
      </c>
      <c r="I481" s="4">
        <v>0.11600000000000001</v>
      </c>
      <c r="J481" s="21">
        <v>360</v>
      </c>
      <c r="K481" s="21">
        <v>0</v>
      </c>
      <c r="L481" s="5">
        <v>0</v>
      </c>
      <c r="M481" s="4">
        <v>0.11600000000000001</v>
      </c>
      <c r="N481" s="4"/>
      <c r="O481" s="5">
        <v>360</v>
      </c>
      <c r="P481" s="5"/>
      <c r="Q481" s="21">
        <v>41.760000000000005</v>
      </c>
      <c r="R481" s="21">
        <v>0</v>
      </c>
      <c r="S481" s="5">
        <f t="shared" si="31"/>
        <v>116722.61200000007</v>
      </c>
      <c r="T481" cm="1">
        <f t="array" ref="T481">IF(OR(B481="MAL ALIMI", B481="ÜRETİM GİRİŞ"), MIN(I481, MAX(0, I481 + SUM(SUMIFS($I$1:I480, $C$1:C480, C481, $B$1:B480, {"MAL ALIMI","ÜRETİM GİRİŞ"})) - VLOOKUP(C481, 'STOK RAPORU'!$C$2:$I$1000, 4, 0))), 0)</f>
        <v>0</v>
      </c>
      <c r="U481" s="22">
        <f t="shared" si="28"/>
        <v>0</v>
      </c>
      <c r="V481">
        <f t="shared" si="29"/>
        <v>0</v>
      </c>
      <c r="W481" s="22">
        <f t="shared" si="30"/>
        <v>0</v>
      </c>
    </row>
    <row r="482" spans="1:23" hidden="1" x14ac:dyDescent="0.25">
      <c r="A482" s="3">
        <v>45961</v>
      </c>
      <c r="B482" s="4" t="s">
        <v>334</v>
      </c>
      <c r="C482" s="4" t="s">
        <v>140</v>
      </c>
      <c r="D482" s="4"/>
      <c r="E482" s="4"/>
      <c r="F482" s="4" t="s">
        <v>473</v>
      </c>
      <c r="G482" s="4" t="s">
        <v>336</v>
      </c>
      <c r="H482" s="4" t="s">
        <v>289</v>
      </c>
      <c r="I482" s="4">
        <v>0.128</v>
      </c>
      <c r="J482" s="21">
        <v>250</v>
      </c>
      <c r="K482" s="21">
        <v>0</v>
      </c>
      <c r="L482" s="5">
        <v>0</v>
      </c>
      <c r="M482" s="4">
        <v>0.128</v>
      </c>
      <c r="N482" s="4"/>
      <c r="O482" s="5">
        <v>250</v>
      </c>
      <c r="P482" s="5"/>
      <c r="Q482" s="21">
        <v>32</v>
      </c>
      <c r="R482" s="21">
        <v>0</v>
      </c>
      <c r="S482" s="5">
        <f t="shared" si="31"/>
        <v>116754.61200000007</v>
      </c>
      <c r="T482" cm="1">
        <f t="array" ref="T482">IF(OR(B482="MAL ALIMI", B482="ÜRETİM GİRİŞ"), MIN(I482, MAX(0, I482 + SUM(SUMIFS($I$1:I481, $C$1:C481, C482, $B$1:B481, {"MAL ALIMI","ÜRETİM GİRİŞ"})) - VLOOKUP(C482, 'STOK RAPORU'!$C$2:$I$1000, 4, 0))), 0)</f>
        <v>0</v>
      </c>
      <c r="U482" s="22">
        <f t="shared" si="28"/>
        <v>0</v>
      </c>
      <c r="V482">
        <f t="shared" si="29"/>
        <v>0</v>
      </c>
      <c r="W482" s="22">
        <f t="shared" si="30"/>
        <v>0</v>
      </c>
    </row>
    <row r="483" spans="1:23" hidden="1" x14ac:dyDescent="0.25">
      <c r="A483" s="3">
        <v>45961</v>
      </c>
      <c r="B483" s="4" t="s">
        <v>334</v>
      </c>
      <c r="C483" s="4" t="s">
        <v>131</v>
      </c>
      <c r="D483" s="4"/>
      <c r="E483" s="4"/>
      <c r="F483" s="4" t="s">
        <v>473</v>
      </c>
      <c r="G483" s="4" t="s">
        <v>336</v>
      </c>
      <c r="H483" s="4" t="s">
        <v>289</v>
      </c>
      <c r="I483" s="4">
        <v>0.106</v>
      </c>
      <c r="J483" s="21">
        <v>300</v>
      </c>
      <c r="K483" s="21">
        <v>0</v>
      </c>
      <c r="L483" s="5">
        <v>0</v>
      </c>
      <c r="M483" s="4">
        <v>0.106</v>
      </c>
      <c r="N483" s="4"/>
      <c r="O483" s="5">
        <v>300</v>
      </c>
      <c r="P483" s="5"/>
      <c r="Q483" s="21">
        <v>31.8</v>
      </c>
      <c r="R483" s="21">
        <v>0</v>
      </c>
      <c r="S483" s="5">
        <f t="shared" si="31"/>
        <v>116786.41200000007</v>
      </c>
      <c r="T483" cm="1">
        <f t="array" ref="T483">IF(OR(B483="MAL ALIMI", B483="ÜRETİM GİRİŞ"), MIN(I483, MAX(0, I483 + SUM(SUMIFS($I$1:I482, $C$1:C482, C483, $B$1:B482, {"MAL ALIMI","ÜRETİM GİRİŞ"})) - VLOOKUP(C483, 'STOK RAPORU'!$C$2:$I$1000, 4, 0))), 0)</f>
        <v>0</v>
      </c>
      <c r="U483" s="22">
        <f t="shared" si="28"/>
        <v>0</v>
      </c>
      <c r="V483">
        <f t="shared" si="29"/>
        <v>0</v>
      </c>
      <c r="W483" s="22">
        <f t="shared" si="30"/>
        <v>0</v>
      </c>
    </row>
    <row r="484" spans="1:23" hidden="1" x14ac:dyDescent="0.25">
      <c r="A484" s="3">
        <v>45961</v>
      </c>
      <c r="B484" s="4" t="s">
        <v>334</v>
      </c>
      <c r="C484" s="4" t="s">
        <v>223</v>
      </c>
      <c r="D484" s="4"/>
      <c r="E484" s="4"/>
      <c r="F484" s="4" t="s">
        <v>474</v>
      </c>
      <c r="G484" s="4" t="s">
        <v>336</v>
      </c>
      <c r="H484" s="4" t="s">
        <v>289</v>
      </c>
      <c r="I484" s="4">
        <v>0.60399999999999998</v>
      </c>
      <c r="J484" s="21">
        <v>700</v>
      </c>
      <c r="K484" s="21">
        <v>0</v>
      </c>
      <c r="L484" s="5">
        <v>0</v>
      </c>
      <c r="M484" s="4">
        <v>0.60399999999999998</v>
      </c>
      <c r="N484" s="4"/>
      <c r="O484" s="5">
        <v>700</v>
      </c>
      <c r="P484" s="5"/>
      <c r="Q484" s="21">
        <v>422.8</v>
      </c>
      <c r="R484" s="21">
        <v>0</v>
      </c>
      <c r="S484" s="5">
        <f t="shared" si="31"/>
        <v>117209.21200000007</v>
      </c>
      <c r="T484" cm="1">
        <f t="array" ref="T484">IF(OR(B484="MAL ALIMI", B484="ÜRETİM GİRİŞ"), MIN(I484, MAX(0, I484 + SUM(SUMIFS($I$1:I483, $C$1:C483, C484, $B$1:B483, {"MAL ALIMI","ÜRETİM GİRİŞ"})) - VLOOKUP(C484, 'STOK RAPORU'!$C$2:$I$1000, 4, 0))), 0)</f>
        <v>0</v>
      </c>
      <c r="U484" s="22">
        <f t="shared" si="28"/>
        <v>0</v>
      </c>
      <c r="V484">
        <f t="shared" si="29"/>
        <v>0</v>
      </c>
      <c r="W484" s="22">
        <f t="shared" si="30"/>
        <v>0</v>
      </c>
    </row>
    <row r="485" spans="1:23" hidden="1" x14ac:dyDescent="0.25">
      <c r="A485" s="3">
        <v>45961</v>
      </c>
      <c r="B485" s="4" t="s">
        <v>334</v>
      </c>
      <c r="C485" s="4" t="s">
        <v>89</v>
      </c>
      <c r="D485" s="4"/>
      <c r="E485" s="4"/>
      <c r="F485" s="4" t="s">
        <v>474</v>
      </c>
      <c r="G485" s="4" t="s">
        <v>336</v>
      </c>
      <c r="H485" s="4" t="s">
        <v>289</v>
      </c>
      <c r="I485" s="4">
        <v>0.2</v>
      </c>
      <c r="J485" s="21">
        <v>650</v>
      </c>
      <c r="K485" s="21">
        <v>0</v>
      </c>
      <c r="L485" s="5">
        <v>0</v>
      </c>
      <c r="M485" s="4">
        <v>0.2</v>
      </c>
      <c r="N485" s="4"/>
      <c r="O485" s="5">
        <v>650</v>
      </c>
      <c r="P485" s="5"/>
      <c r="Q485" s="21">
        <v>130</v>
      </c>
      <c r="R485" s="21">
        <v>0</v>
      </c>
      <c r="S485" s="5">
        <f t="shared" si="31"/>
        <v>117339.21200000007</v>
      </c>
      <c r="T485" cm="1">
        <f t="array" ref="T485">IF(OR(B485="MAL ALIMI", B485="ÜRETİM GİRİŞ"), MIN(I485, MAX(0, I485 + SUM(SUMIFS($I$1:I484, $C$1:C484, C485, $B$1:B484, {"MAL ALIMI","ÜRETİM GİRİŞ"})) - VLOOKUP(C485, 'STOK RAPORU'!$C$2:$I$1000, 4, 0))), 0)</f>
        <v>0</v>
      </c>
      <c r="U485" s="22">
        <f t="shared" si="28"/>
        <v>0</v>
      </c>
      <c r="V485">
        <f t="shared" si="29"/>
        <v>0</v>
      </c>
      <c r="W485" s="22">
        <f t="shared" si="30"/>
        <v>0</v>
      </c>
    </row>
    <row r="486" spans="1:23" hidden="1" x14ac:dyDescent="0.25">
      <c r="A486" s="3">
        <v>45961</v>
      </c>
      <c r="B486" s="4" t="s">
        <v>334</v>
      </c>
      <c r="C486" s="4" t="s">
        <v>196</v>
      </c>
      <c r="D486" s="4"/>
      <c r="E486" s="4"/>
      <c r="F486" s="4" t="s">
        <v>474</v>
      </c>
      <c r="G486" s="4" t="s">
        <v>336</v>
      </c>
      <c r="H486" s="4" t="s">
        <v>289</v>
      </c>
      <c r="I486" s="4">
        <v>0.94</v>
      </c>
      <c r="J486" s="21">
        <v>180</v>
      </c>
      <c r="K486" s="21">
        <v>0</v>
      </c>
      <c r="L486" s="5">
        <v>0</v>
      </c>
      <c r="M486" s="4">
        <v>0.94</v>
      </c>
      <c r="N486" s="4"/>
      <c r="O486" s="5">
        <v>180</v>
      </c>
      <c r="P486" s="5"/>
      <c r="Q486" s="21">
        <v>169.2</v>
      </c>
      <c r="R486" s="21">
        <v>0</v>
      </c>
      <c r="S486" s="5">
        <f t="shared" si="31"/>
        <v>117508.41200000007</v>
      </c>
      <c r="T486" cm="1">
        <f t="array" ref="T486">IF(OR(B486="MAL ALIMI", B486="ÜRETİM GİRİŞ"), MIN(I486, MAX(0, I486 + SUM(SUMIFS($I$1:I485, $C$1:C485, C486, $B$1:B485, {"MAL ALIMI","ÜRETİM GİRİŞ"})) - VLOOKUP(C486, 'STOK RAPORU'!$C$2:$I$1000, 4, 0))), 0)</f>
        <v>0</v>
      </c>
      <c r="U486" s="22">
        <f t="shared" si="28"/>
        <v>0</v>
      </c>
      <c r="V486">
        <f t="shared" si="29"/>
        <v>0</v>
      </c>
      <c r="W486" s="22">
        <f t="shared" si="30"/>
        <v>0</v>
      </c>
    </row>
    <row r="487" spans="1:23" hidden="1" x14ac:dyDescent="0.25">
      <c r="A487" s="3">
        <v>45961</v>
      </c>
      <c r="B487" s="4" t="s">
        <v>334</v>
      </c>
      <c r="C487" s="4" t="s">
        <v>241</v>
      </c>
      <c r="D487" s="4"/>
      <c r="E487" s="4"/>
      <c r="F487" s="4" t="s">
        <v>474</v>
      </c>
      <c r="G487" s="4" t="s">
        <v>336</v>
      </c>
      <c r="H487" s="4" t="s">
        <v>289</v>
      </c>
      <c r="I487" s="4">
        <v>0.434</v>
      </c>
      <c r="J487" s="21">
        <v>350</v>
      </c>
      <c r="K487" s="21">
        <v>0</v>
      </c>
      <c r="L487" s="5">
        <v>0</v>
      </c>
      <c r="M487" s="4">
        <v>0.434</v>
      </c>
      <c r="N487" s="4"/>
      <c r="O487" s="5">
        <v>350</v>
      </c>
      <c r="P487" s="5"/>
      <c r="Q487" s="21">
        <v>151.9</v>
      </c>
      <c r="R487" s="21">
        <v>0</v>
      </c>
      <c r="S487" s="5">
        <f t="shared" si="31"/>
        <v>117660.31200000006</v>
      </c>
      <c r="T487" cm="1">
        <f t="array" ref="T487">IF(OR(B487="MAL ALIMI", B487="ÜRETİM GİRİŞ"), MIN(I487, MAX(0, I487 + SUM(SUMIFS($I$1:I486, $C$1:C486, C487, $B$1:B486, {"MAL ALIMI","ÜRETİM GİRİŞ"})) - VLOOKUP(C487, 'STOK RAPORU'!$C$2:$I$1000, 4, 0))), 0)</f>
        <v>0</v>
      </c>
      <c r="U487" s="22">
        <f t="shared" si="28"/>
        <v>0</v>
      </c>
      <c r="V487">
        <f t="shared" si="29"/>
        <v>0</v>
      </c>
      <c r="W487" s="22">
        <f t="shared" si="30"/>
        <v>0</v>
      </c>
    </row>
    <row r="488" spans="1:23" hidden="1" x14ac:dyDescent="0.25">
      <c r="A488" s="3">
        <v>45961</v>
      </c>
      <c r="B488" s="4" t="s">
        <v>334</v>
      </c>
      <c r="C488" s="4" t="s">
        <v>462</v>
      </c>
      <c r="D488" s="4"/>
      <c r="E488" s="4"/>
      <c r="F488" s="4" t="s">
        <v>474</v>
      </c>
      <c r="G488" s="4" t="s">
        <v>336</v>
      </c>
      <c r="H488" s="4" t="s">
        <v>289</v>
      </c>
      <c r="I488" s="4">
        <v>2</v>
      </c>
      <c r="J488" s="21">
        <v>120</v>
      </c>
      <c r="K488" s="21">
        <v>0</v>
      </c>
      <c r="L488" s="5">
        <v>0</v>
      </c>
      <c r="M488" s="4">
        <v>2</v>
      </c>
      <c r="N488" s="4"/>
      <c r="O488" s="5">
        <v>120</v>
      </c>
      <c r="P488" s="5"/>
      <c r="Q488" s="21">
        <v>240</v>
      </c>
      <c r="R488" s="21">
        <v>0</v>
      </c>
      <c r="S488" s="5">
        <f t="shared" si="31"/>
        <v>117900.31200000006</v>
      </c>
      <c r="T488" cm="1">
        <f t="array" ref="T488">IF(OR(B488="MAL ALIMI", B488="ÜRETİM GİRİŞ"), MIN(I488, MAX(0, I488 + SUM(SUMIFS($I$1:I487, $C$1:C487, C488, $B$1:B487, {"MAL ALIMI","ÜRETİM GİRİŞ"})) - VLOOKUP(C488, 'STOK RAPORU'!$C$2:$I$1000, 4, 0))), 0)</f>
        <v>0</v>
      </c>
      <c r="U488" s="22">
        <f t="shared" si="28"/>
        <v>0</v>
      </c>
      <c r="V488">
        <f t="shared" si="29"/>
        <v>0</v>
      </c>
      <c r="W488" s="22">
        <f t="shared" si="30"/>
        <v>0</v>
      </c>
    </row>
    <row r="489" spans="1:23" hidden="1" x14ac:dyDescent="0.25">
      <c r="A489" s="3">
        <v>45961</v>
      </c>
      <c r="B489" s="4" t="s">
        <v>334</v>
      </c>
      <c r="C489" s="4" t="s">
        <v>483</v>
      </c>
      <c r="D489" s="4"/>
      <c r="E489" s="4"/>
      <c r="F489" s="4" t="s">
        <v>475</v>
      </c>
      <c r="G489" s="4" t="s">
        <v>336</v>
      </c>
      <c r="H489" s="4" t="s">
        <v>289</v>
      </c>
      <c r="I489" s="4">
        <v>0.3</v>
      </c>
      <c r="J489" s="21">
        <v>650</v>
      </c>
      <c r="K489" s="21">
        <v>0</v>
      </c>
      <c r="L489" s="5">
        <v>0</v>
      </c>
      <c r="M489" s="4">
        <v>0.3</v>
      </c>
      <c r="N489" s="4"/>
      <c r="O489" s="5">
        <v>650</v>
      </c>
      <c r="P489" s="5"/>
      <c r="Q489" s="21">
        <v>195</v>
      </c>
      <c r="R489" s="21">
        <v>0</v>
      </c>
      <c r="S489" s="5">
        <f t="shared" si="31"/>
        <v>118095.31200000006</v>
      </c>
      <c r="T489" cm="1">
        <f t="array" ref="T489">IF(OR(B489="MAL ALIMI", B489="ÜRETİM GİRİŞ"), MIN(I489, MAX(0, I489 + SUM(SUMIFS($I$1:I488, $C$1:C488, C489, $B$1:B488, {"MAL ALIMI","ÜRETİM GİRİŞ"})) - VLOOKUP(C489, 'STOK RAPORU'!$C$2:$I$1000, 4, 0))), 0)</f>
        <v>0</v>
      </c>
      <c r="U489" s="22">
        <f t="shared" si="28"/>
        <v>0</v>
      </c>
      <c r="V489">
        <f t="shared" si="29"/>
        <v>0</v>
      </c>
      <c r="W489" s="22">
        <f t="shared" si="30"/>
        <v>0</v>
      </c>
    </row>
    <row r="490" spans="1:23" hidden="1" x14ac:dyDescent="0.25">
      <c r="A490" s="3">
        <v>45961</v>
      </c>
      <c r="B490" s="4" t="s">
        <v>334</v>
      </c>
      <c r="C490" s="4" t="s">
        <v>247</v>
      </c>
      <c r="D490" s="4"/>
      <c r="E490" s="4"/>
      <c r="F490" s="4" t="s">
        <v>475</v>
      </c>
      <c r="G490" s="4" t="s">
        <v>336</v>
      </c>
      <c r="H490" s="4" t="s">
        <v>289</v>
      </c>
      <c r="I490" s="4">
        <v>0.2</v>
      </c>
      <c r="J490" s="21">
        <v>1150</v>
      </c>
      <c r="K490" s="21">
        <v>0</v>
      </c>
      <c r="L490" s="5">
        <v>0</v>
      </c>
      <c r="M490" s="4">
        <v>0.2</v>
      </c>
      <c r="N490" s="4"/>
      <c r="O490" s="5">
        <v>1150</v>
      </c>
      <c r="P490" s="5"/>
      <c r="Q490" s="21">
        <v>230</v>
      </c>
      <c r="R490" s="21">
        <v>0</v>
      </c>
      <c r="S490" s="5">
        <f t="shared" si="31"/>
        <v>118325.31200000006</v>
      </c>
      <c r="T490" cm="1">
        <f t="array" ref="T490">IF(OR(B490="MAL ALIMI", B490="ÜRETİM GİRİŞ"), MIN(I490, MAX(0, I490 + SUM(SUMIFS($I$1:I489, $C$1:C489, C490, $B$1:B489, {"MAL ALIMI","ÜRETİM GİRİŞ"})) - VLOOKUP(C490, 'STOK RAPORU'!$C$2:$I$1000, 4, 0))), 0)</f>
        <v>0</v>
      </c>
      <c r="U490" s="22">
        <f t="shared" si="28"/>
        <v>0</v>
      </c>
      <c r="V490">
        <f t="shared" si="29"/>
        <v>0</v>
      </c>
      <c r="W490" s="22">
        <f t="shared" si="30"/>
        <v>0</v>
      </c>
    </row>
    <row r="491" spans="1:23" hidden="1" x14ac:dyDescent="0.25">
      <c r="A491" s="3">
        <v>45961</v>
      </c>
      <c r="B491" s="4" t="s">
        <v>334</v>
      </c>
      <c r="C491" s="4" t="s">
        <v>246</v>
      </c>
      <c r="D491" s="4"/>
      <c r="E491" s="4"/>
      <c r="F491" s="4" t="s">
        <v>475</v>
      </c>
      <c r="G491" s="4" t="s">
        <v>336</v>
      </c>
      <c r="H491" s="4" t="s">
        <v>289</v>
      </c>
      <c r="I491" s="4">
        <v>0.2</v>
      </c>
      <c r="J491" s="21">
        <v>1250</v>
      </c>
      <c r="K491" s="21">
        <v>0</v>
      </c>
      <c r="L491" s="5">
        <v>0</v>
      </c>
      <c r="M491" s="4">
        <v>0.2</v>
      </c>
      <c r="N491" s="4"/>
      <c r="O491" s="5">
        <v>1250</v>
      </c>
      <c r="P491" s="5"/>
      <c r="Q491" s="21">
        <v>250</v>
      </c>
      <c r="R491" s="21">
        <v>0</v>
      </c>
      <c r="S491" s="5">
        <f t="shared" si="31"/>
        <v>118575.31200000006</v>
      </c>
      <c r="T491" cm="1">
        <f t="array" ref="T491">IF(OR(B491="MAL ALIMI", B491="ÜRETİM GİRİŞ"), MIN(I491, MAX(0, I491 + SUM(SUMIFS($I$1:I490, $C$1:C490, C491, $B$1:B490, {"MAL ALIMI","ÜRETİM GİRİŞ"})) - VLOOKUP(C491, 'STOK RAPORU'!$C$2:$I$1000, 4, 0))), 0)</f>
        <v>0</v>
      </c>
      <c r="U491" s="22">
        <f t="shared" si="28"/>
        <v>0</v>
      </c>
      <c r="V491">
        <f t="shared" si="29"/>
        <v>0</v>
      </c>
      <c r="W491" s="22">
        <f t="shared" si="30"/>
        <v>0</v>
      </c>
    </row>
    <row r="492" spans="1:23" hidden="1" x14ac:dyDescent="0.25">
      <c r="A492" s="3">
        <v>45961</v>
      </c>
      <c r="B492" s="4" t="s">
        <v>334</v>
      </c>
      <c r="C492" s="4" t="s">
        <v>244</v>
      </c>
      <c r="D492" s="4"/>
      <c r="E492" s="4"/>
      <c r="F492" s="4" t="s">
        <v>475</v>
      </c>
      <c r="G492" s="4" t="s">
        <v>336</v>
      </c>
      <c r="H492" s="4" t="s">
        <v>289</v>
      </c>
      <c r="I492" s="4">
        <v>0.4</v>
      </c>
      <c r="J492" s="21">
        <v>650</v>
      </c>
      <c r="K492" s="21">
        <v>0</v>
      </c>
      <c r="L492" s="5">
        <v>0</v>
      </c>
      <c r="M492" s="25">
        <v>0.4</v>
      </c>
      <c r="N492" s="25"/>
      <c r="O492" s="2">
        <v>650</v>
      </c>
      <c r="Q492" s="21">
        <v>260</v>
      </c>
      <c r="R492" s="21">
        <v>0</v>
      </c>
      <c r="S492" s="5">
        <f t="shared" si="31"/>
        <v>118835.31200000006</v>
      </c>
      <c r="T492" cm="1">
        <f t="array" ref="T492">IF(OR(B492="MAL ALIMI", B492="ÜRETİM GİRİŞ"), MIN(I492, MAX(0, I492 + SUM(SUMIFS($I$1:I491, $C$1:C491, C492, $B$1:B491, {"MAL ALIMI","ÜRETİM GİRİŞ"})) - VLOOKUP(C492, 'STOK RAPORU'!$C$2:$I$1000, 4, 0))), 0)</f>
        <v>0</v>
      </c>
      <c r="U492" s="22">
        <f t="shared" si="28"/>
        <v>0</v>
      </c>
      <c r="V492">
        <f t="shared" si="29"/>
        <v>0</v>
      </c>
      <c r="W492" s="22">
        <f t="shared" si="30"/>
        <v>0</v>
      </c>
    </row>
    <row r="493" spans="1:23" hidden="1" x14ac:dyDescent="0.25">
      <c r="A493" s="3">
        <v>45961</v>
      </c>
      <c r="B493" s="4" t="s">
        <v>334</v>
      </c>
      <c r="C493" s="4" t="s">
        <v>196</v>
      </c>
      <c r="D493" s="4"/>
      <c r="E493" s="4"/>
      <c r="F493" s="4" t="s">
        <v>475</v>
      </c>
      <c r="G493" s="4" t="s">
        <v>336</v>
      </c>
      <c r="H493" s="4" t="s">
        <v>289</v>
      </c>
      <c r="I493" s="4">
        <v>0.25</v>
      </c>
      <c r="J493" s="21">
        <v>180</v>
      </c>
      <c r="K493" s="21">
        <v>0</v>
      </c>
      <c r="L493" s="5">
        <v>0</v>
      </c>
      <c r="M493" s="4">
        <v>0.25</v>
      </c>
      <c r="N493" s="4"/>
      <c r="O493" s="5">
        <v>180</v>
      </c>
      <c r="P493" s="5"/>
      <c r="Q493" s="21">
        <v>45</v>
      </c>
      <c r="R493" s="21">
        <v>0</v>
      </c>
      <c r="S493" s="5">
        <f t="shared" si="31"/>
        <v>118880.31200000006</v>
      </c>
      <c r="T493" cm="1">
        <f t="array" ref="T493">IF(OR(B493="MAL ALIMI", B493="ÜRETİM GİRİŞ"), MIN(I493, MAX(0, I493 + SUM(SUMIFS($I$1:I492, $C$1:C492, C493, $B$1:B492, {"MAL ALIMI","ÜRETİM GİRİŞ"})) - VLOOKUP(C493, 'STOK RAPORU'!$C$2:$I$1000, 4, 0))), 0)</f>
        <v>0</v>
      </c>
      <c r="U493" s="22">
        <f t="shared" si="28"/>
        <v>0</v>
      </c>
      <c r="V493">
        <f t="shared" si="29"/>
        <v>0</v>
      </c>
      <c r="W493" s="22">
        <f t="shared" si="30"/>
        <v>0</v>
      </c>
    </row>
    <row r="494" spans="1:23" hidden="1" x14ac:dyDescent="0.25">
      <c r="A494" s="3">
        <v>45961</v>
      </c>
      <c r="B494" s="4" t="s">
        <v>334</v>
      </c>
      <c r="C494" s="4" t="s">
        <v>197</v>
      </c>
      <c r="D494" s="4"/>
      <c r="E494" s="4"/>
      <c r="F494" s="4" t="s">
        <v>475</v>
      </c>
      <c r="G494" s="4" t="s">
        <v>336</v>
      </c>
      <c r="H494" s="4" t="s">
        <v>289</v>
      </c>
      <c r="I494" s="4">
        <v>0.25</v>
      </c>
      <c r="J494" s="21">
        <v>180</v>
      </c>
      <c r="K494" s="21">
        <v>0</v>
      </c>
      <c r="L494" s="5">
        <v>0</v>
      </c>
      <c r="M494" s="4">
        <v>0.25</v>
      </c>
      <c r="N494" s="4"/>
      <c r="O494" s="5">
        <v>180</v>
      </c>
      <c r="P494" s="5"/>
      <c r="Q494" s="21">
        <v>45</v>
      </c>
      <c r="R494" s="21">
        <v>0</v>
      </c>
      <c r="S494" s="5">
        <f t="shared" si="31"/>
        <v>118925.31200000006</v>
      </c>
      <c r="T494" cm="1">
        <f t="array" ref="T494">IF(OR(B494="MAL ALIMI", B494="ÜRETİM GİRİŞ"), MIN(I494, MAX(0, I494 + SUM(SUMIFS($I$1:I493, $C$1:C493, C494, $B$1:B493, {"MAL ALIMI","ÜRETİM GİRİŞ"})) - VLOOKUP(C494, 'STOK RAPORU'!$C$2:$I$1000, 4, 0))), 0)</f>
        <v>0</v>
      </c>
      <c r="U494" s="22">
        <f t="shared" si="28"/>
        <v>0</v>
      </c>
      <c r="V494">
        <f t="shared" si="29"/>
        <v>0</v>
      </c>
      <c r="W494" s="22">
        <f t="shared" si="30"/>
        <v>0</v>
      </c>
    </row>
    <row r="495" spans="1:23" hidden="1" x14ac:dyDescent="0.25">
      <c r="A495" s="3">
        <v>45961</v>
      </c>
      <c r="B495" s="4" t="s">
        <v>334</v>
      </c>
      <c r="C495" s="4" t="s">
        <v>241</v>
      </c>
      <c r="D495" s="4"/>
      <c r="E495" s="4"/>
      <c r="F495" s="4" t="s">
        <v>475</v>
      </c>
      <c r="G495" s="4" t="s">
        <v>336</v>
      </c>
      <c r="H495" s="4" t="s">
        <v>289</v>
      </c>
      <c r="I495" s="4">
        <v>0.25</v>
      </c>
      <c r="J495" s="21">
        <v>350</v>
      </c>
      <c r="K495" s="21">
        <v>0</v>
      </c>
      <c r="L495" s="5">
        <v>0</v>
      </c>
      <c r="M495" s="4">
        <v>0.25</v>
      </c>
      <c r="N495" s="4"/>
      <c r="O495" s="5">
        <v>350</v>
      </c>
      <c r="P495" s="5"/>
      <c r="Q495" s="21">
        <v>87.5</v>
      </c>
      <c r="R495" s="21">
        <v>0</v>
      </c>
      <c r="S495" s="5">
        <f t="shared" si="31"/>
        <v>119012.81200000006</v>
      </c>
      <c r="T495" cm="1">
        <f t="array" ref="T495">IF(OR(B495="MAL ALIMI", B495="ÜRETİM GİRİŞ"), MIN(I495, MAX(0, I495 + SUM(SUMIFS($I$1:I494, $C$1:C494, C495, $B$1:B494, {"MAL ALIMI","ÜRETİM GİRİŞ"})) - VLOOKUP(C495, 'STOK RAPORU'!$C$2:$I$1000, 4, 0))), 0)</f>
        <v>0</v>
      </c>
      <c r="U495" s="22">
        <f t="shared" si="28"/>
        <v>0</v>
      </c>
      <c r="V495">
        <f t="shared" si="29"/>
        <v>0</v>
      </c>
      <c r="W495" s="22">
        <f t="shared" si="30"/>
        <v>0</v>
      </c>
    </row>
    <row r="496" spans="1:23" hidden="1" x14ac:dyDescent="0.25">
      <c r="A496" s="3">
        <v>45961</v>
      </c>
      <c r="B496" s="4" t="s">
        <v>334</v>
      </c>
      <c r="C496" s="4" t="s">
        <v>242</v>
      </c>
      <c r="D496" s="4"/>
      <c r="E496" s="4"/>
      <c r="F496" s="4" t="s">
        <v>475</v>
      </c>
      <c r="G496" s="4" t="s">
        <v>336</v>
      </c>
      <c r="H496" s="4" t="s">
        <v>289</v>
      </c>
      <c r="I496" s="4">
        <v>0.25</v>
      </c>
      <c r="J496" s="21">
        <v>350</v>
      </c>
      <c r="K496" s="21">
        <v>0</v>
      </c>
      <c r="L496" s="5">
        <v>0</v>
      </c>
      <c r="M496" s="4">
        <v>0.25</v>
      </c>
      <c r="N496" s="4"/>
      <c r="O496" s="5">
        <v>350</v>
      </c>
      <c r="P496" s="5"/>
      <c r="Q496" s="21">
        <v>87.5</v>
      </c>
      <c r="R496" s="21">
        <v>0</v>
      </c>
      <c r="S496" s="5">
        <f t="shared" si="31"/>
        <v>119100.31200000006</v>
      </c>
      <c r="T496" cm="1">
        <f t="array" ref="T496">IF(OR(B496="MAL ALIMI", B496="ÜRETİM GİRİŞ"), MIN(I496, MAX(0, I496 + SUM(SUMIFS($I$1:I495, $C$1:C495, C496, $B$1:B495, {"MAL ALIMI","ÜRETİM GİRİŞ"})) - VLOOKUP(C496, 'STOK RAPORU'!$C$2:$I$1000, 4, 0))), 0)</f>
        <v>0</v>
      </c>
      <c r="U496" s="22">
        <f t="shared" si="28"/>
        <v>0</v>
      </c>
      <c r="V496">
        <f t="shared" si="29"/>
        <v>0</v>
      </c>
      <c r="W496" s="22">
        <f t="shared" si="30"/>
        <v>0</v>
      </c>
    </row>
    <row r="497" spans="1:23" hidden="1" x14ac:dyDescent="0.25">
      <c r="A497" s="3">
        <v>45961</v>
      </c>
      <c r="B497" s="4" t="s">
        <v>334</v>
      </c>
      <c r="C497" s="4" t="s">
        <v>529</v>
      </c>
      <c r="D497" s="4"/>
      <c r="E497" s="4"/>
      <c r="F497" s="4" t="s">
        <v>476</v>
      </c>
      <c r="G497" s="4" t="s">
        <v>336</v>
      </c>
      <c r="H497" s="4" t="s">
        <v>289</v>
      </c>
      <c r="I497" s="4">
        <v>4.2000000000000003E-2</v>
      </c>
      <c r="J497" s="21">
        <v>600</v>
      </c>
      <c r="K497" s="21">
        <v>0</v>
      </c>
      <c r="L497" s="5">
        <v>0</v>
      </c>
      <c r="M497" s="4">
        <v>4.2000000000000003E-2</v>
      </c>
      <c r="N497" s="4"/>
      <c r="O497" s="5">
        <v>600</v>
      </c>
      <c r="P497" s="5"/>
      <c r="Q497" s="21">
        <v>25.200000000000003</v>
      </c>
      <c r="R497" s="21">
        <v>0</v>
      </c>
      <c r="S497" s="5">
        <f t="shared" si="31"/>
        <v>119125.51200000006</v>
      </c>
      <c r="T497" cm="1">
        <f t="array" ref="T497">IF(OR(B497="MAL ALIMI", B497="ÜRETİM GİRİŞ"), MIN(I497, MAX(0, I497 + SUM(SUMIFS($I$1:I496, $C$1:C496, C497, $B$1:B496, {"MAL ALIMI","ÜRETİM GİRİŞ"})) - VLOOKUP(C497, 'STOK RAPORU'!$C$2:$I$1000, 4, 0))), 0)</f>
        <v>0</v>
      </c>
      <c r="U497" s="22">
        <f t="shared" si="28"/>
        <v>0</v>
      </c>
      <c r="V497">
        <f t="shared" si="29"/>
        <v>0</v>
      </c>
      <c r="W497" s="22">
        <f t="shared" si="30"/>
        <v>0</v>
      </c>
    </row>
    <row r="498" spans="1:23" hidden="1" x14ac:dyDescent="0.25">
      <c r="A498" s="3">
        <v>45961</v>
      </c>
      <c r="B498" s="4" t="s">
        <v>298</v>
      </c>
      <c r="C498" s="4" t="s">
        <v>522</v>
      </c>
      <c r="D498" s="4"/>
      <c r="E498" s="4" t="s">
        <v>1470</v>
      </c>
      <c r="F498" s="4"/>
      <c r="G498" s="4" t="s">
        <v>1470</v>
      </c>
      <c r="H498" s="4" t="s">
        <v>304</v>
      </c>
      <c r="I498" s="4">
        <v>10</v>
      </c>
      <c r="J498" s="21">
        <v>150</v>
      </c>
      <c r="K498" s="21">
        <v>0</v>
      </c>
      <c r="L498" s="5">
        <v>1500</v>
      </c>
      <c r="M498" s="25"/>
      <c r="N498" s="25"/>
      <c r="O498" s="5"/>
      <c r="P498" s="5"/>
      <c r="Q498" s="21">
        <v>0</v>
      </c>
      <c r="R498" s="21">
        <v>0</v>
      </c>
      <c r="S498" s="5">
        <f t="shared" si="31"/>
        <v>119125.51200000006</v>
      </c>
      <c r="T498" cm="1">
        <f t="array" ref="T498">IF(OR(B498="MAL ALIMI", B498="ÜRETİM GİRİŞ"), MIN(I498, MAX(0, I498 + SUM(SUMIFS($I$1:I497, $C$1:C497, C498, $B$1:B497, {"MAL ALIMI","ÜRETİM GİRİŞ"})) - VLOOKUP(C498, 'STOK RAPORU'!$C$2:$I$1000, 4, 0))), 0)</f>
        <v>6</v>
      </c>
      <c r="U498" s="22">
        <f t="shared" si="28"/>
        <v>900</v>
      </c>
      <c r="V498">
        <f t="shared" si="29"/>
        <v>1500</v>
      </c>
      <c r="W498" s="22">
        <f t="shared" si="30"/>
        <v>600</v>
      </c>
    </row>
    <row r="499" spans="1:23" hidden="1" x14ac:dyDescent="0.25">
      <c r="A499" s="3">
        <v>45961</v>
      </c>
      <c r="B499" s="4" t="s">
        <v>298</v>
      </c>
      <c r="C499" s="4" t="s">
        <v>520</v>
      </c>
      <c r="D499" s="4"/>
      <c r="E499" s="4" t="s">
        <v>1470</v>
      </c>
      <c r="F499" s="4"/>
      <c r="G499" s="4" t="s">
        <v>1470</v>
      </c>
      <c r="H499" s="4" t="s">
        <v>304</v>
      </c>
      <c r="I499" s="4">
        <v>10</v>
      </c>
      <c r="J499" s="21">
        <v>150</v>
      </c>
      <c r="K499" s="21">
        <v>0</v>
      </c>
      <c r="L499" s="5">
        <v>1500</v>
      </c>
      <c r="M499" s="4"/>
      <c r="N499" s="4"/>
      <c r="O499" s="5"/>
      <c r="P499" s="5"/>
      <c r="Q499" s="21">
        <v>0</v>
      </c>
      <c r="R499" s="21">
        <v>0</v>
      </c>
      <c r="S499" s="5">
        <f t="shared" si="31"/>
        <v>119125.51200000006</v>
      </c>
      <c r="T499" cm="1">
        <f t="array" ref="T499">IF(OR(B499="MAL ALIMI", B499="ÜRETİM GİRİŞ"), MIN(I499, MAX(0, I499 + SUM(SUMIFS($I$1:I498, $C$1:C498, C499, $B$1:B498, {"MAL ALIMI","ÜRETİM GİRİŞ"})) - VLOOKUP(C499, 'STOK RAPORU'!$C$2:$I$1000, 4, 0))), 0)</f>
        <v>8</v>
      </c>
      <c r="U499" s="22">
        <f t="shared" si="28"/>
        <v>1200</v>
      </c>
      <c r="V499">
        <f t="shared" si="29"/>
        <v>1500</v>
      </c>
      <c r="W499" s="22">
        <f t="shared" si="30"/>
        <v>300</v>
      </c>
    </row>
    <row r="500" spans="1:23" hidden="1" x14ac:dyDescent="0.25">
      <c r="A500" s="3">
        <v>45961</v>
      </c>
      <c r="B500" s="4" t="s">
        <v>298</v>
      </c>
      <c r="C500" s="4" t="s">
        <v>516</v>
      </c>
      <c r="D500" s="4"/>
      <c r="E500" s="4" t="s">
        <v>1470</v>
      </c>
      <c r="F500" s="4"/>
      <c r="G500" s="4" t="s">
        <v>1470</v>
      </c>
      <c r="H500" s="4" t="s">
        <v>304</v>
      </c>
      <c r="I500" s="4">
        <v>10</v>
      </c>
      <c r="J500" s="21">
        <v>50</v>
      </c>
      <c r="K500" s="21">
        <v>0</v>
      </c>
      <c r="L500" s="5">
        <v>500</v>
      </c>
      <c r="M500" s="4"/>
      <c r="N500" s="4"/>
      <c r="Q500" s="21">
        <v>0</v>
      </c>
      <c r="R500" s="21">
        <v>0</v>
      </c>
      <c r="S500" s="5">
        <f t="shared" si="31"/>
        <v>119125.51200000006</v>
      </c>
      <c r="T500" cm="1">
        <f t="array" ref="T500">IF(OR(B500="MAL ALIMI", B500="ÜRETİM GİRİŞ"), MIN(I500, MAX(0, I500 + SUM(SUMIFS($I$1:I499, $C$1:C499, C500, $B$1:B499, {"MAL ALIMI","ÜRETİM GİRİŞ"})) - VLOOKUP(C500, 'STOK RAPORU'!$C$2:$I$1000, 4, 0))), 0)</f>
        <v>7</v>
      </c>
      <c r="U500" s="22">
        <f t="shared" si="28"/>
        <v>350</v>
      </c>
      <c r="V500">
        <f t="shared" si="29"/>
        <v>500</v>
      </c>
      <c r="W500" s="22">
        <f t="shared" si="30"/>
        <v>150</v>
      </c>
    </row>
    <row r="501" spans="1:23" hidden="1" x14ac:dyDescent="0.25">
      <c r="A501" s="3">
        <v>45962</v>
      </c>
      <c r="B501" s="4" t="s">
        <v>298</v>
      </c>
      <c r="C501" s="4" t="s">
        <v>491</v>
      </c>
      <c r="D501" s="4"/>
      <c r="E501" s="4" t="s">
        <v>856</v>
      </c>
      <c r="F501" s="4">
        <v>14</v>
      </c>
      <c r="G501" s="4" t="s">
        <v>498</v>
      </c>
      <c r="H501" s="4" t="s">
        <v>1329</v>
      </c>
      <c r="I501" s="4">
        <v>1</v>
      </c>
      <c r="J501" s="35">
        <v>109</v>
      </c>
      <c r="K501" s="35">
        <v>0</v>
      </c>
      <c r="L501" s="5">
        <v>109</v>
      </c>
      <c r="M501" s="31"/>
      <c r="N501" s="31">
        <v>1</v>
      </c>
      <c r="O501" s="32"/>
      <c r="P501" s="32">
        <v>109</v>
      </c>
      <c r="Q501" s="35">
        <v>0</v>
      </c>
      <c r="R501" s="35">
        <v>0</v>
      </c>
      <c r="S501" s="5">
        <f t="shared" si="31"/>
        <v>119125.51200000006</v>
      </c>
      <c r="T501" cm="1">
        <f t="array" ref="T501">IF(OR(B501="MAL ALIMI", B501="ÜRETİM GİRİŞ"), MIN(I501, MAX(0, I501 + SUM(SUMIFS($I$1:I500, $C$1:C500, C501, $B$1:B500, {"MAL ALIMI","ÜRETİM GİRİŞ"})) - VLOOKUP(C501, 'STOK RAPORU'!$C$2:$I$1000, 4, 0))), 0)</f>
        <v>1</v>
      </c>
      <c r="U501" s="22">
        <f t="shared" si="28"/>
        <v>109</v>
      </c>
      <c r="V501">
        <f t="shared" si="29"/>
        <v>109</v>
      </c>
      <c r="W501" s="22">
        <f t="shared" si="30"/>
        <v>0</v>
      </c>
    </row>
    <row r="502" spans="1:23" hidden="1" x14ac:dyDescent="0.25">
      <c r="A502" s="3">
        <v>45962</v>
      </c>
      <c r="B502" s="4" t="s">
        <v>298</v>
      </c>
      <c r="C502" s="4" t="s">
        <v>493</v>
      </c>
      <c r="D502" s="4"/>
      <c r="E502" s="4" t="s">
        <v>856</v>
      </c>
      <c r="F502" s="4">
        <v>14</v>
      </c>
      <c r="G502" s="4" t="s">
        <v>498</v>
      </c>
      <c r="H502" s="4" t="s">
        <v>1329</v>
      </c>
      <c r="I502" s="4">
        <v>2</v>
      </c>
      <c r="J502" s="35">
        <v>119</v>
      </c>
      <c r="K502" s="35">
        <v>0</v>
      </c>
      <c r="L502" s="5">
        <v>238</v>
      </c>
      <c r="M502" s="31"/>
      <c r="N502" s="31">
        <v>2</v>
      </c>
      <c r="O502" s="32"/>
      <c r="P502" s="32">
        <v>119</v>
      </c>
      <c r="Q502" s="35">
        <v>0</v>
      </c>
      <c r="R502" s="35">
        <v>0</v>
      </c>
      <c r="S502" s="5">
        <f t="shared" si="31"/>
        <v>119125.51200000006</v>
      </c>
      <c r="T502" cm="1">
        <f t="array" ref="T502">IF(OR(B502="MAL ALIMI", B502="ÜRETİM GİRİŞ"), MIN(I502, MAX(0, I502 + SUM(SUMIFS($I$1:I501, $C$1:C501, C502, $B$1:B501, {"MAL ALIMI","ÜRETİM GİRİŞ"})) - VLOOKUP(C502, 'STOK RAPORU'!$C$2:$I$1000, 4, 0))), 0)</f>
        <v>0</v>
      </c>
      <c r="U502" s="22">
        <f t="shared" si="28"/>
        <v>0</v>
      </c>
      <c r="V502">
        <f t="shared" si="29"/>
        <v>238</v>
      </c>
      <c r="W502" s="22">
        <f t="shared" si="30"/>
        <v>238</v>
      </c>
    </row>
    <row r="503" spans="1:23" hidden="1" x14ac:dyDescent="0.25">
      <c r="A503" s="3">
        <v>45962</v>
      </c>
      <c r="B503" s="4" t="s">
        <v>298</v>
      </c>
      <c r="C503" s="4" t="s">
        <v>496</v>
      </c>
      <c r="D503" s="4"/>
      <c r="E503" s="4" t="s">
        <v>856</v>
      </c>
      <c r="F503" s="4">
        <v>14</v>
      </c>
      <c r="G503" s="4" t="s">
        <v>498</v>
      </c>
      <c r="H503" s="4" t="s">
        <v>1329</v>
      </c>
      <c r="I503" s="4">
        <v>5</v>
      </c>
      <c r="J503" s="35">
        <v>99.9</v>
      </c>
      <c r="K503" s="35">
        <v>0</v>
      </c>
      <c r="L503" s="5">
        <v>499.5</v>
      </c>
      <c r="M503" s="31"/>
      <c r="N503" s="31">
        <v>5</v>
      </c>
      <c r="O503" s="32"/>
      <c r="P503" s="32">
        <v>99.9</v>
      </c>
      <c r="Q503" s="35">
        <v>0</v>
      </c>
      <c r="R503" s="35">
        <v>0</v>
      </c>
      <c r="S503" s="5">
        <f t="shared" si="31"/>
        <v>119125.51200000006</v>
      </c>
      <c r="T503" cm="1">
        <f t="array" ref="T503">IF(OR(B503="MAL ALIMI", B503="ÜRETİM GİRİŞ"), MIN(I503, MAX(0, I503 + SUM(SUMIFS($I$1:I502, $C$1:C502, C503, $B$1:B502, {"MAL ALIMI","ÜRETİM GİRİŞ"})) - VLOOKUP(C503, 'STOK RAPORU'!$C$2:$I$1000, 4, 0))), 0)</f>
        <v>2</v>
      </c>
      <c r="U503" s="22">
        <f t="shared" si="28"/>
        <v>199.8</v>
      </c>
      <c r="V503">
        <f t="shared" si="29"/>
        <v>499.5</v>
      </c>
      <c r="W503" s="22">
        <f t="shared" si="30"/>
        <v>299.7</v>
      </c>
    </row>
    <row r="504" spans="1:23" hidden="1" x14ac:dyDescent="0.25">
      <c r="A504" s="3">
        <v>45962</v>
      </c>
      <c r="B504" s="4" t="s">
        <v>298</v>
      </c>
      <c r="C504" s="4" t="s">
        <v>492</v>
      </c>
      <c r="D504" s="4"/>
      <c r="E504" s="4" t="s">
        <v>856</v>
      </c>
      <c r="F504" s="4">
        <v>14</v>
      </c>
      <c r="G504" s="4" t="s">
        <v>498</v>
      </c>
      <c r="H504" s="4" t="s">
        <v>1329</v>
      </c>
      <c r="I504" s="4">
        <v>1</v>
      </c>
      <c r="J504" s="35">
        <v>109</v>
      </c>
      <c r="K504" s="35">
        <v>0</v>
      </c>
      <c r="L504" s="5">
        <v>109</v>
      </c>
      <c r="M504" s="31"/>
      <c r="N504" s="31">
        <v>1</v>
      </c>
      <c r="O504" s="32"/>
      <c r="P504" s="32">
        <v>109</v>
      </c>
      <c r="Q504" s="35">
        <v>0</v>
      </c>
      <c r="R504" s="35">
        <v>0</v>
      </c>
      <c r="S504" s="5">
        <f t="shared" si="31"/>
        <v>119125.51200000006</v>
      </c>
      <c r="T504" cm="1">
        <f t="array" ref="T504">IF(OR(B504="MAL ALIMI", B504="ÜRETİM GİRİŞ"), MIN(I504, MAX(0, I504 + SUM(SUMIFS($I$1:I503, $C$1:C503, C504, $B$1:B503, {"MAL ALIMI","ÜRETİM GİRİŞ"})) - VLOOKUP(C504, 'STOK RAPORU'!$C$2:$I$1000, 4, 0))), 0)</f>
        <v>0</v>
      </c>
      <c r="U504" s="22">
        <f t="shared" si="28"/>
        <v>0</v>
      </c>
      <c r="V504">
        <f t="shared" si="29"/>
        <v>109</v>
      </c>
      <c r="W504" s="22">
        <f t="shared" si="30"/>
        <v>109</v>
      </c>
    </row>
    <row r="505" spans="1:23" hidden="1" x14ac:dyDescent="0.25">
      <c r="A505" s="3">
        <v>45962</v>
      </c>
      <c r="B505" s="4" t="s">
        <v>298</v>
      </c>
      <c r="C505" s="4" t="s">
        <v>489</v>
      </c>
      <c r="D505" s="4"/>
      <c r="E505" s="4" t="s">
        <v>856</v>
      </c>
      <c r="F505" s="4">
        <v>14</v>
      </c>
      <c r="G505" s="4" t="s">
        <v>498</v>
      </c>
      <c r="H505" s="4" t="s">
        <v>1329</v>
      </c>
      <c r="I505" s="4">
        <v>3</v>
      </c>
      <c r="J505" s="35">
        <v>119</v>
      </c>
      <c r="K505" s="35">
        <v>0</v>
      </c>
      <c r="L505" s="5">
        <v>357</v>
      </c>
      <c r="M505" s="31"/>
      <c r="N505" s="31">
        <v>3</v>
      </c>
      <c r="O505" s="32"/>
      <c r="P505" s="32">
        <v>119</v>
      </c>
      <c r="Q505" s="35">
        <v>0</v>
      </c>
      <c r="R505" s="35">
        <v>0</v>
      </c>
      <c r="S505" s="5">
        <f t="shared" si="31"/>
        <v>119125.51200000006</v>
      </c>
      <c r="T505" cm="1">
        <f t="array" ref="T505">IF(OR(B505="MAL ALIMI", B505="ÜRETİM GİRİŞ"), MIN(I505, MAX(0, I505 + SUM(SUMIFS($I$1:I504, $C$1:C504, C505, $B$1:B504, {"MAL ALIMI","ÜRETİM GİRİŞ"})) - VLOOKUP(C505, 'STOK RAPORU'!$C$2:$I$1000, 4, 0))), 0)</f>
        <v>2</v>
      </c>
      <c r="U505" s="22">
        <f t="shared" si="28"/>
        <v>238</v>
      </c>
      <c r="V505">
        <f t="shared" si="29"/>
        <v>357</v>
      </c>
      <c r="W505" s="22">
        <f t="shared" si="30"/>
        <v>119</v>
      </c>
    </row>
    <row r="506" spans="1:23" hidden="1" x14ac:dyDescent="0.25">
      <c r="A506" s="3">
        <v>45962</v>
      </c>
      <c r="B506" s="4" t="s">
        <v>298</v>
      </c>
      <c r="C506" s="4" t="s">
        <v>490</v>
      </c>
      <c r="D506" s="4"/>
      <c r="E506" s="4" t="s">
        <v>856</v>
      </c>
      <c r="F506" s="4">
        <v>14</v>
      </c>
      <c r="G506" s="4" t="s">
        <v>498</v>
      </c>
      <c r="H506" s="4" t="s">
        <v>1329</v>
      </c>
      <c r="I506" s="4">
        <v>3</v>
      </c>
      <c r="J506" s="35">
        <v>119</v>
      </c>
      <c r="K506" s="35">
        <v>0</v>
      </c>
      <c r="L506" s="5">
        <v>357</v>
      </c>
      <c r="M506" s="31"/>
      <c r="N506" s="31">
        <v>3</v>
      </c>
      <c r="O506" s="32"/>
      <c r="P506" s="32">
        <v>119</v>
      </c>
      <c r="Q506" s="35">
        <v>0</v>
      </c>
      <c r="R506" s="35">
        <v>0</v>
      </c>
      <c r="S506" s="5">
        <f t="shared" si="31"/>
        <v>119125.51200000006</v>
      </c>
      <c r="T506" cm="1">
        <f t="array" ref="T506">IF(OR(B506="MAL ALIMI", B506="ÜRETİM GİRİŞ"), MIN(I506, MAX(0, I506 + SUM(SUMIFS($I$1:I505, $C$1:C505, C506, $B$1:B505, {"MAL ALIMI","ÜRETİM GİRİŞ"})) - VLOOKUP(C506, 'STOK RAPORU'!$C$2:$I$1000, 4, 0))), 0)</f>
        <v>0</v>
      </c>
      <c r="U506" s="22">
        <f t="shared" si="28"/>
        <v>0</v>
      </c>
      <c r="V506">
        <f t="shared" si="29"/>
        <v>357</v>
      </c>
      <c r="W506" s="22">
        <f t="shared" si="30"/>
        <v>357</v>
      </c>
    </row>
    <row r="507" spans="1:23" hidden="1" x14ac:dyDescent="0.25">
      <c r="A507" s="3">
        <v>45962</v>
      </c>
      <c r="B507" s="4" t="s">
        <v>334</v>
      </c>
      <c r="C507" s="4" t="s">
        <v>157</v>
      </c>
      <c r="D507" s="4"/>
      <c r="E507" s="4"/>
      <c r="F507" s="4" t="s">
        <v>477</v>
      </c>
      <c r="G507" s="4" t="s">
        <v>336</v>
      </c>
      <c r="H507" s="4" t="s">
        <v>289</v>
      </c>
      <c r="I507" s="4">
        <v>1</v>
      </c>
      <c r="J507" s="21">
        <v>180</v>
      </c>
      <c r="K507" s="21">
        <v>0</v>
      </c>
      <c r="L507" s="5">
        <v>0</v>
      </c>
      <c r="M507" s="4">
        <v>1</v>
      </c>
      <c r="N507" s="4"/>
      <c r="O507" s="5">
        <v>180</v>
      </c>
      <c r="P507" s="5"/>
      <c r="Q507" s="21">
        <v>180</v>
      </c>
      <c r="R507" s="21">
        <v>0</v>
      </c>
      <c r="S507" s="5">
        <f t="shared" si="31"/>
        <v>119305.51200000006</v>
      </c>
      <c r="T507" cm="1">
        <f t="array" ref="T507">IF(OR(B507="MAL ALIMI", B507="ÜRETİM GİRİŞ"), MIN(I507, MAX(0, I507 + SUM(SUMIFS($I$1:I506, $C$1:C506, C507, $B$1:B506, {"MAL ALIMI","ÜRETİM GİRİŞ"})) - VLOOKUP(C507, 'STOK RAPORU'!$C$2:$I$1000, 4, 0))), 0)</f>
        <v>0</v>
      </c>
      <c r="U507" s="22">
        <f t="shared" si="28"/>
        <v>0</v>
      </c>
      <c r="V507">
        <f t="shared" si="29"/>
        <v>0</v>
      </c>
      <c r="W507" s="22">
        <f t="shared" si="30"/>
        <v>0</v>
      </c>
    </row>
    <row r="508" spans="1:23" hidden="1" x14ac:dyDescent="0.25">
      <c r="A508" s="3">
        <v>45962</v>
      </c>
      <c r="B508" s="4" t="s">
        <v>334</v>
      </c>
      <c r="C508" s="4" t="s">
        <v>158</v>
      </c>
      <c r="D508" s="4"/>
      <c r="E508" s="4"/>
      <c r="F508" s="4" t="s">
        <v>477</v>
      </c>
      <c r="G508" s="4" t="s">
        <v>336</v>
      </c>
      <c r="H508" s="4" t="s">
        <v>289</v>
      </c>
      <c r="I508" s="4">
        <v>1</v>
      </c>
      <c r="J508" s="21">
        <v>130</v>
      </c>
      <c r="K508" s="21">
        <v>0</v>
      </c>
      <c r="L508" s="5">
        <v>0</v>
      </c>
      <c r="M508" s="4">
        <v>1</v>
      </c>
      <c r="N508" s="4"/>
      <c r="O508" s="5">
        <v>130</v>
      </c>
      <c r="P508" s="5"/>
      <c r="Q508" s="21">
        <v>130</v>
      </c>
      <c r="R508" s="21">
        <v>0</v>
      </c>
      <c r="S508" s="5">
        <f t="shared" si="31"/>
        <v>119435.51200000006</v>
      </c>
      <c r="T508" cm="1">
        <f t="array" ref="T508">IF(OR(B508="MAL ALIMI", B508="ÜRETİM GİRİŞ"), MIN(I508, MAX(0, I508 + SUM(SUMIFS($I$1:I507, $C$1:C507, C508, $B$1:B507, {"MAL ALIMI","ÜRETİM GİRİŞ"})) - VLOOKUP(C508, 'STOK RAPORU'!$C$2:$I$1000, 4, 0))), 0)</f>
        <v>0</v>
      </c>
      <c r="U508" s="22">
        <f t="shared" si="28"/>
        <v>0</v>
      </c>
      <c r="V508">
        <f t="shared" si="29"/>
        <v>0</v>
      </c>
      <c r="W508" s="22">
        <f t="shared" si="30"/>
        <v>0</v>
      </c>
    </row>
    <row r="509" spans="1:23" hidden="1" x14ac:dyDescent="0.25">
      <c r="A509" s="3">
        <v>45962</v>
      </c>
      <c r="B509" s="4" t="s">
        <v>334</v>
      </c>
      <c r="C509" s="4" t="s">
        <v>198</v>
      </c>
      <c r="D509" s="4"/>
      <c r="E509" s="4"/>
      <c r="F509" s="4" t="s">
        <v>477</v>
      </c>
      <c r="G509" s="4" t="s">
        <v>336</v>
      </c>
      <c r="H509" s="4" t="s">
        <v>289</v>
      </c>
      <c r="I509" s="4">
        <v>0.1</v>
      </c>
      <c r="J509" s="21">
        <v>1400</v>
      </c>
      <c r="K509" s="21">
        <v>0</v>
      </c>
      <c r="L509" s="5">
        <v>0</v>
      </c>
      <c r="M509" s="4">
        <v>0.1</v>
      </c>
      <c r="N509" s="4"/>
      <c r="O509" s="5">
        <v>1400</v>
      </c>
      <c r="P509" s="5"/>
      <c r="Q509" s="21">
        <v>140</v>
      </c>
      <c r="R509" s="21">
        <v>0</v>
      </c>
      <c r="S509" s="5">
        <f t="shared" si="31"/>
        <v>119575.51200000006</v>
      </c>
      <c r="T509" cm="1">
        <f t="array" ref="T509">IF(OR(B509="MAL ALIMI", B509="ÜRETİM GİRİŞ"), MIN(I509, MAX(0, I509 + SUM(SUMIFS($I$1:I508, $C$1:C508, C509, $B$1:B508, {"MAL ALIMI","ÜRETİM GİRİŞ"})) - VLOOKUP(C509, 'STOK RAPORU'!$C$2:$I$1000, 4, 0))), 0)</f>
        <v>0</v>
      </c>
      <c r="U509" s="22">
        <f t="shared" si="28"/>
        <v>0</v>
      </c>
      <c r="V509">
        <f t="shared" si="29"/>
        <v>0</v>
      </c>
      <c r="W509" s="22">
        <f t="shared" si="30"/>
        <v>0</v>
      </c>
    </row>
    <row r="510" spans="1:23" hidden="1" x14ac:dyDescent="0.25">
      <c r="A510" s="3">
        <v>45962</v>
      </c>
      <c r="B510" s="4" t="s">
        <v>334</v>
      </c>
      <c r="C510" s="4" t="s">
        <v>89</v>
      </c>
      <c r="D510" s="4"/>
      <c r="E510" s="4"/>
      <c r="F510" s="4" t="s">
        <v>477</v>
      </c>
      <c r="G510" s="4" t="s">
        <v>336</v>
      </c>
      <c r="H510" s="4" t="s">
        <v>289</v>
      </c>
      <c r="I510" s="4">
        <v>0.1</v>
      </c>
      <c r="J510" s="21">
        <v>650</v>
      </c>
      <c r="K510" s="21">
        <v>0</v>
      </c>
      <c r="L510" s="5">
        <v>0</v>
      </c>
      <c r="M510" s="4">
        <v>0.1</v>
      </c>
      <c r="N510" s="4"/>
      <c r="O510" s="5">
        <v>650</v>
      </c>
      <c r="P510" s="5"/>
      <c r="Q510" s="21">
        <v>65</v>
      </c>
      <c r="R510" s="21">
        <v>0</v>
      </c>
      <c r="S510" s="5">
        <f t="shared" si="31"/>
        <v>119640.51200000006</v>
      </c>
      <c r="T510" cm="1">
        <f t="array" ref="T510">IF(OR(B510="MAL ALIMI", B510="ÜRETİM GİRİŞ"), MIN(I510, MAX(0, I510 + SUM(SUMIFS($I$1:I509, $C$1:C509, C510, $B$1:B509, {"MAL ALIMI","ÜRETİM GİRİŞ"})) - VLOOKUP(C510, 'STOK RAPORU'!$C$2:$I$1000, 4, 0))), 0)</f>
        <v>0</v>
      </c>
      <c r="U510" s="22">
        <f t="shared" si="28"/>
        <v>0</v>
      </c>
      <c r="V510">
        <f t="shared" si="29"/>
        <v>0</v>
      </c>
      <c r="W510" s="22">
        <f t="shared" si="30"/>
        <v>0</v>
      </c>
    </row>
    <row r="511" spans="1:23" hidden="1" x14ac:dyDescent="0.25">
      <c r="A511" s="3">
        <v>45962</v>
      </c>
      <c r="B511" s="4" t="s">
        <v>334</v>
      </c>
      <c r="C511" s="4" t="s">
        <v>134</v>
      </c>
      <c r="D511" s="4"/>
      <c r="E511" s="4"/>
      <c r="F511" s="4" t="s">
        <v>477</v>
      </c>
      <c r="G511" s="4" t="s">
        <v>336</v>
      </c>
      <c r="H511" s="4" t="s">
        <v>289</v>
      </c>
      <c r="I511" s="4">
        <v>0.1</v>
      </c>
      <c r="J511" s="21">
        <v>300</v>
      </c>
      <c r="K511" s="21">
        <v>0</v>
      </c>
      <c r="L511" s="5">
        <v>0</v>
      </c>
      <c r="M511" s="4">
        <v>0.1</v>
      </c>
      <c r="N511" s="4"/>
      <c r="O511" s="5">
        <v>300</v>
      </c>
      <c r="P511" s="5"/>
      <c r="Q511" s="21">
        <v>30</v>
      </c>
      <c r="R511" s="21">
        <v>0</v>
      </c>
      <c r="S511" s="5">
        <f t="shared" si="31"/>
        <v>119670.51200000006</v>
      </c>
      <c r="T511" cm="1">
        <f t="array" ref="T511">IF(OR(B511="MAL ALIMI", B511="ÜRETİM GİRİŞ"), MIN(I511, MAX(0, I511 + SUM(SUMIFS($I$1:I510, $C$1:C510, C511, $B$1:B510, {"MAL ALIMI","ÜRETİM GİRİŞ"})) - VLOOKUP(C511, 'STOK RAPORU'!$C$2:$I$1000, 4, 0))), 0)</f>
        <v>0</v>
      </c>
      <c r="U511" s="22">
        <f t="shared" si="28"/>
        <v>0</v>
      </c>
      <c r="V511">
        <f t="shared" si="29"/>
        <v>0</v>
      </c>
      <c r="W511" s="22">
        <f t="shared" si="30"/>
        <v>0</v>
      </c>
    </row>
    <row r="512" spans="1:23" hidden="1" x14ac:dyDescent="0.25">
      <c r="A512" s="3">
        <v>45962</v>
      </c>
      <c r="B512" s="4" t="s">
        <v>334</v>
      </c>
      <c r="C512" s="4" t="s">
        <v>152</v>
      </c>
      <c r="D512" s="4"/>
      <c r="E512" s="4"/>
      <c r="F512" s="4" t="s">
        <v>477</v>
      </c>
      <c r="G512" s="4" t="s">
        <v>336</v>
      </c>
      <c r="H512" s="4" t="s">
        <v>289</v>
      </c>
      <c r="I512" s="4">
        <v>0.1</v>
      </c>
      <c r="J512" s="21">
        <v>400</v>
      </c>
      <c r="K512" s="21">
        <v>0</v>
      </c>
      <c r="L512" s="5">
        <v>0</v>
      </c>
      <c r="M512" s="4">
        <v>0.1</v>
      </c>
      <c r="N512" s="4"/>
      <c r="O512" s="5">
        <v>400</v>
      </c>
      <c r="P512" s="5"/>
      <c r="Q512" s="21">
        <v>40</v>
      </c>
      <c r="R512" s="21">
        <v>0</v>
      </c>
      <c r="S512" s="5">
        <f t="shared" si="31"/>
        <v>119710.51200000006</v>
      </c>
      <c r="T512" cm="1">
        <f t="array" ref="T512">IF(OR(B512="MAL ALIMI", B512="ÜRETİM GİRİŞ"), MIN(I512, MAX(0, I512 + SUM(SUMIFS($I$1:I511, $C$1:C511, C512, $B$1:B511, {"MAL ALIMI","ÜRETİM GİRİŞ"})) - VLOOKUP(C512, 'STOK RAPORU'!$C$2:$I$1000, 4, 0))), 0)</f>
        <v>0</v>
      </c>
      <c r="U512" s="22">
        <f t="shared" si="28"/>
        <v>0</v>
      </c>
      <c r="V512">
        <f t="shared" si="29"/>
        <v>0</v>
      </c>
      <c r="W512" s="22">
        <f t="shared" si="30"/>
        <v>0</v>
      </c>
    </row>
    <row r="513" spans="1:23" hidden="1" x14ac:dyDescent="0.25">
      <c r="A513" s="3">
        <v>45962</v>
      </c>
      <c r="B513" s="4" t="s">
        <v>334</v>
      </c>
      <c r="C513" s="4" t="s">
        <v>154</v>
      </c>
      <c r="D513" s="4"/>
      <c r="E513" s="4"/>
      <c r="F513" s="4" t="s">
        <v>477</v>
      </c>
      <c r="G513" s="4" t="s">
        <v>336</v>
      </c>
      <c r="H513" s="4" t="s">
        <v>289</v>
      </c>
      <c r="I513" s="4">
        <v>0.1</v>
      </c>
      <c r="J513" s="21">
        <v>400</v>
      </c>
      <c r="K513" s="21">
        <v>0</v>
      </c>
      <c r="L513" s="5">
        <v>0</v>
      </c>
      <c r="M513" s="4">
        <v>0.1</v>
      </c>
      <c r="N513" s="4"/>
      <c r="O513" s="5">
        <v>400</v>
      </c>
      <c r="P513" s="5"/>
      <c r="Q513" s="21">
        <v>40</v>
      </c>
      <c r="R513" s="21">
        <v>0</v>
      </c>
      <c r="S513" s="5">
        <f t="shared" si="31"/>
        <v>119750.51200000006</v>
      </c>
      <c r="T513" cm="1">
        <f t="array" ref="T513">IF(OR(B513="MAL ALIMI", B513="ÜRETİM GİRİŞ"), MIN(I513, MAX(0, I513 + SUM(SUMIFS($I$1:I512, $C$1:C512, C513, $B$1:B512, {"MAL ALIMI","ÜRETİM GİRİŞ"})) - VLOOKUP(C513, 'STOK RAPORU'!$C$2:$I$1000, 4, 0))), 0)</f>
        <v>0</v>
      </c>
      <c r="U513" s="22">
        <f t="shared" si="28"/>
        <v>0</v>
      </c>
      <c r="V513">
        <f t="shared" si="29"/>
        <v>0</v>
      </c>
      <c r="W513" s="22">
        <f t="shared" si="30"/>
        <v>0</v>
      </c>
    </row>
    <row r="514" spans="1:23" hidden="1" x14ac:dyDescent="0.25">
      <c r="A514" s="3">
        <v>45962</v>
      </c>
      <c r="B514" s="4" t="s">
        <v>334</v>
      </c>
      <c r="C514" s="4" t="s">
        <v>98</v>
      </c>
      <c r="D514" s="4"/>
      <c r="E514" s="4"/>
      <c r="F514" s="4" t="s">
        <v>477</v>
      </c>
      <c r="G514" s="4" t="s">
        <v>336</v>
      </c>
      <c r="H514" s="4" t="s">
        <v>289</v>
      </c>
      <c r="I514" s="4">
        <v>0.12</v>
      </c>
      <c r="J514" s="21">
        <v>360</v>
      </c>
      <c r="K514" s="21">
        <v>0</v>
      </c>
      <c r="L514" s="5">
        <v>0</v>
      </c>
      <c r="M514" s="4">
        <v>0.12</v>
      </c>
      <c r="N514" s="4"/>
      <c r="O514" s="5">
        <v>360</v>
      </c>
      <c r="P514" s="5"/>
      <c r="Q514" s="21">
        <v>43.199999999999996</v>
      </c>
      <c r="R514" s="21">
        <v>0</v>
      </c>
      <c r="S514" s="5">
        <f t="shared" si="31"/>
        <v>119793.71200000006</v>
      </c>
      <c r="T514" cm="1">
        <f t="array" ref="T514">IF(OR(B514="MAL ALIMI", B514="ÜRETİM GİRİŞ"), MIN(I514, MAX(0, I514 + SUM(SUMIFS($I$1:I513, $C$1:C513, C514, $B$1:B513, {"MAL ALIMI","ÜRETİM GİRİŞ"})) - VLOOKUP(C514, 'STOK RAPORU'!$C$2:$I$1000, 4, 0))), 0)</f>
        <v>0</v>
      </c>
      <c r="U514" s="22">
        <f t="shared" si="28"/>
        <v>0</v>
      </c>
      <c r="V514">
        <f t="shared" si="29"/>
        <v>0</v>
      </c>
      <c r="W514" s="22">
        <f t="shared" si="30"/>
        <v>0</v>
      </c>
    </row>
    <row r="515" spans="1:23" hidden="1" x14ac:dyDescent="0.25">
      <c r="A515" s="3">
        <v>45962</v>
      </c>
      <c r="B515" s="4" t="s">
        <v>334</v>
      </c>
      <c r="C515" s="4" t="s">
        <v>140</v>
      </c>
      <c r="D515" s="4"/>
      <c r="E515" s="4"/>
      <c r="F515" s="4" t="s">
        <v>477</v>
      </c>
      <c r="G515" s="4" t="s">
        <v>336</v>
      </c>
      <c r="H515" s="4" t="s">
        <v>289</v>
      </c>
      <c r="I515" s="4">
        <v>0.114</v>
      </c>
      <c r="J515" s="21">
        <v>250</v>
      </c>
      <c r="K515" s="21">
        <v>0</v>
      </c>
      <c r="L515" s="5">
        <v>0</v>
      </c>
      <c r="M515" s="4">
        <v>0.114</v>
      </c>
      <c r="N515" s="4"/>
      <c r="O515" s="5">
        <v>250</v>
      </c>
      <c r="P515" s="5"/>
      <c r="Q515" s="21">
        <v>28.5</v>
      </c>
      <c r="R515" s="21">
        <v>0</v>
      </c>
      <c r="S515" s="5">
        <f t="shared" si="31"/>
        <v>119822.21200000006</v>
      </c>
      <c r="T515" cm="1">
        <f t="array" ref="T515">IF(OR(B515="MAL ALIMI", B515="ÜRETİM GİRİŞ"), MIN(I515, MAX(0, I515 + SUM(SUMIFS($I$1:I514, $C$1:C514, C515, $B$1:B514, {"MAL ALIMI","ÜRETİM GİRİŞ"})) - VLOOKUP(C515, 'STOK RAPORU'!$C$2:$I$1000, 4, 0))), 0)</f>
        <v>0</v>
      </c>
      <c r="U515" s="22">
        <f t="shared" ref="U515:U578" si="32">T515*J515</f>
        <v>0</v>
      </c>
      <c r="V515">
        <f t="shared" ref="V515:V578" si="33">IF(OR(B515="MAL ALIMI", B515="ÜRETİM GİRİŞ"), I515 * J515, 0)</f>
        <v>0</v>
      </c>
      <c r="W515" s="22">
        <f t="shared" ref="W515:W578" si="34">V515-U515</f>
        <v>0</v>
      </c>
    </row>
    <row r="516" spans="1:23" hidden="1" x14ac:dyDescent="0.25">
      <c r="A516" s="3">
        <v>45962</v>
      </c>
      <c r="B516" s="4" t="s">
        <v>334</v>
      </c>
      <c r="C516" s="4" t="s">
        <v>470</v>
      </c>
      <c r="D516" s="4"/>
      <c r="E516" s="4"/>
      <c r="F516" s="4" t="s">
        <v>477</v>
      </c>
      <c r="G516" s="4" t="s">
        <v>336</v>
      </c>
      <c r="H516" s="4" t="s">
        <v>289</v>
      </c>
      <c r="I516" s="4">
        <v>1</v>
      </c>
      <c r="J516" s="21">
        <v>40</v>
      </c>
      <c r="K516" s="21">
        <v>0</v>
      </c>
      <c r="L516" s="5">
        <v>0</v>
      </c>
      <c r="M516" s="4">
        <v>1</v>
      </c>
      <c r="N516" s="4"/>
      <c r="O516" s="5">
        <v>40</v>
      </c>
      <c r="P516" s="5"/>
      <c r="Q516" s="21">
        <v>40</v>
      </c>
      <c r="R516" s="21">
        <v>0</v>
      </c>
      <c r="S516" s="5">
        <f t="shared" ref="S516:S579" si="35">S515+Q516-R516</f>
        <v>119862.21200000006</v>
      </c>
      <c r="T516" cm="1">
        <f t="array" ref="T516">IF(OR(B516="MAL ALIMI", B516="ÜRETİM GİRİŞ"), MIN(I516, MAX(0, I516 + SUM(SUMIFS($I$1:I515, $C$1:C515, C516, $B$1:B515, {"MAL ALIMI","ÜRETİM GİRİŞ"})) - VLOOKUP(C516, 'STOK RAPORU'!$C$2:$I$1000, 4, 0))), 0)</f>
        <v>0</v>
      </c>
      <c r="U516" s="22">
        <f t="shared" si="32"/>
        <v>0</v>
      </c>
      <c r="V516">
        <f t="shared" si="33"/>
        <v>0</v>
      </c>
      <c r="W516" s="22">
        <f t="shared" si="34"/>
        <v>0</v>
      </c>
    </row>
    <row r="517" spans="1:23" hidden="1" x14ac:dyDescent="0.25">
      <c r="A517" s="3">
        <v>45962</v>
      </c>
      <c r="B517" s="4" t="s">
        <v>334</v>
      </c>
      <c r="C517" s="4" t="s">
        <v>465</v>
      </c>
      <c r="D517" s="4"/>
      <c r="E517" s="4"/>
      <c r="F517" s="4" t="s">
        <v>477</v>
      </c>
      <c r="G517" s="4" t="s">
        <v>336</v>
      </c>
      <c r="H517" s="4" t="s">
        <v>289</v>
      </c>
      <c r="I517" s="4">
        <v>1</v>
      </c>
      <c r="J517" s="21">
        <v>40</v>
      </c>
      <c r="K517" s="21">
        <v>0</v>
      </c>
      <c r="L517" s="5">
        <v>0</v>
      </c>
      <c r="M517" s="4">
        <v>1</v>
      </c>
      <c r="N517" s="4"/>
      <c r="O517" s="5">
        <v>40</v>
      </c>
      <c r="P517" s="5"/>
      <c r="Q517" s="21">
        <v>40</v>
      </c>
      <c r="R517" s="21">
        <v>0</v>
      </c>
      <c r="S517" s="5">
        <f t="shared" si="35"/>
        <v>119902.21200000006</v>
      </c>
      <c r="T517" cm="1">
        <f t="array" ref="T517">IF(OR(B517="MAL ALIMI", B517="ÜRETİM GİRİŞ"), MIN(I517, MAX(0, I517 + SUM(SUMIFS($I$1:I516, $C$1:C516, C517, $B$1:B516, {"MAL ALIMI","ÜRETİM GİRİŞ"})) - VLOOKUP(C517, 'STOK RAPORU'!$C$2:$I$1000, 4, 0))), 0)</f>
        <v>0</v>
      </c>
      <c r="U517" s="22">
        <f t="shared" si="32"/>
        <v>0</v>
      </c>
      <c r="V517">
        <f t="shared" si="33"/>
        <v>0</v>
      </c>
      <c r="W517" s="22">
        <f t="shared" si="34"/>
        <v>0</v>
      </c>
    </row>
    <row r="518" spans="1:23" hidden="1" x14ac:dyDescent="0.25">
      <c r="A518" s="3">
        <v>45962</v>
      </c>
      <c r="B518" s="4" t="s">
        <v>334</v>
      </c>
      <c r="C518" s="4" t="s">
        <v>129</v>
      </c>
      <c r="D518" s="4"/>
      <c r="E518" s="4"/>
      <c r="F518" s="4" t="s">
        <v>478</v>
      </c>
      <c r="G518" s="4" t="s">
        <v>336</v>
      </c>
      <c r="H518" s="4" t="s">
        <v>289</v>
      </c>
      <c r="I518" s="4">
        <v>0.28000000000000003</v>
      </c>
      <c r="J518" s="21">
        <v>390</v>
      </c>
      <c r="K518" s="21">
        <v>0</v>
      </c>
      <c r="L518" s="5">
        <v>0</v>
      </c>
      <c r="M518" s="4">
        <v>0.28000000000000003</v>
      </c>
      <c r="N518" s="4"/>
      <c r="O518" s="5">
        <v>390</v>
      </c>
      <c r="P518" s="5"/>
      <c r="Q518" s="21">
        <v>109.20000000000002</v>
      </c>
      <c r="R518" s="21">
        <v>0</v>
      </c>
      <c r="S518" s="5">
        <f t="shared" si="35"/>
        <v>120011.41200000005</v>
      </c>
      <c r="T518" cm="1">
        <f t="array" ref="T518">IF(OR(B518="MAL ALIMI", B518="ÜRETİM GİRİŞ"), MIN(I518, MAX(0, I518 + SUM(SUMIFS($I$1:I517, $C$1:C517, C518, $B$1:B517, {"MAL ALIMI","ÜRETİM GİRİŞ"})) - VLOOKUP(C518, 'STOK RAPORU'!$C$2:$I$1000, 4, 0))), 0)</f>
        <v>0</v>
      </c>
      <c r="U518" s="22">
        <f t="shared" si="32"/>
        <v>0</v>
      </c>
      <c r="V518">
        <f t="shared" si="33"/>
        <v>0</v>
      </c>
      <c r="W518" s="22">
        <f t="shared" si="34"/>
        <v>0</v>
      </c>
    </row>
    <row r="519" spans="1:23" hidden="1" x14ac:dyDescent="0.25">
      <c r="A519" s="3">
        <v>45962</v>
      </c>
      <c r="B519" s="4" t="s">
        <v>334</v>
      </c>
      <c r="C519" s="4" t="s">
        <v>133</v>
      </c>
      <c r="D519" s="4"/>
      <c r="E519" s="4"/>
      <c r="F519" s="4" t="s">
        <v>478</v>
      </c>
      <c r="G519" s="4" t="s">
        <v>336</v>
      </c>
      <c r="H519" s="4" t="s">
        <v>289</v>
      </c>
      <c r="I519" s="4">
        <v>0.4</v>
      </c>
      <c r="J519" s="21">
        <v>380</v>
      </c>
      <c r="K519" s="21">
        <v>0</v>
      </c>
      <c r="L519" s="5">
        <v>0</v>
      </c>
      <c r="M519" s="4">
        <v>0.4</v>
      </c>
      <c r="N519" s="4"/>
      <c r="O519" s="5">
        <v>380</v>
      </c>
      <c r="P519" s="5"/>
      <c r="Q519" s="21">
        <v>152</v>
      </c>
      <c r="R519" s="21">
        <v>0</v>
      </c>
      <c r="S519" s="5">
        <f t="shared" si="35"/>
        <v>120163.41200000005</v>
      </c>
      <c r="T519" cm="1">
        <f t="array" ref="T519">IF(OR(B519="MAL ALIMI", B519="ÜRETİM GİRİŞ"), MIN(I519, MAX(0, I519 + SUM(SUMIFS($I$1:I518, $C$1:C518, C519, $B$1:B518, {"MAL ALIMI","ÜRETİM GİRİŞ"})) - VLOOKUP(C519, 'STOK RAPORU'!$C$2:$I$1000, 4, 0))), 0)</f>
        <v>0</v>
      </c>
      <c r="U519" s="22">
        <f t="shared" si="32"/>
        <v>0</v>
      </c>
      <c r="V519">
        <f t="shared" si="33"/>
        <v>0</v>
      </c>
      <c r="W519" s="22">
        <f t="shared" si="34"/>
        <v>0</v>
      </c>
    </row>
    <row r="520" spans="1:23" hidden="1" x14ac:dyDescent="0.25">
      <c r="A520" s="3">
        <v>45962</v>
      </c>
      <c r="B520" s="4" t="s">
        <v>334</v>
      </c>
      <c r="C520" s="4" t="s">
        <v>154</v>
      </c>
      <c r="D520" s="4"/>
      <c r="E520" s="4"/>
      <c r="F520" s="4" t="s">
        <v>478</v>
      </c>
      <c r="G520" s="4" t="s">
        <v>336</v>
      </c>
      <c r="H520" s="4" t="s">
        <v>289</v>
      </c>
      <c r="I520" s="4">
        <v>0.1</v>
      </c>
      <c r="J520" s="21">
        <v>400</v>
      </c>
      <c r="K520" s="21">
        <v>0</v>
      </c>
      <c r="L520" s="5">
        <v>0</v>
      </c>
      <c r="M520" s="4">
        <v>0.1</v>
      </c>
      <c r="N520" s="4"/>
      <c r="O520" s="5">
        <v>400</v>
      </c>
      <c r="P520" s="5"/>
      <c r="Q520" s="21">
        <v>40</v>
      </c>
      <c r="R520" s="21">
        <v>0</v>
      </c>
      <c r="S520" s="5">
        <f t="shared" si="35"/>
        <v>120203.41200000005</v>
      </c>
      <c r="T520" cm="1">
        <f t="array" ref="T520">IF(OR(B520="MAL ALIMI", B520="ÜRETİM GİRİŞ"), MIN(I520, MAX(0, I520 + SUM(SUMIFS($I$1:I519, $C$1:C519, C520, $B$1:B519, {"MAL ALIMI","ÜRETİM GİRİŞ"})) - VLOOKUP(C520, 'STOK RAPORU'!$C$2:$I$1000, 4, 0))), 0)</f>
        <v>0</v>
      </c>
      <c r="U520" s="22">
        <f t="shared" si="32"/>
        <v>0</v>
      </c>
      <c r="V520">
        <f t="shared" si="33"/>
        <v>0</v>
      </c>
      <c r="W520" s="22">
        <f t="shared" si="34"/>
        <v>0</v>
      </c>
    </row>
    <row r="521" spans="1:23" hidden="1" x14ac:dyDescent="0.25">
      <c r="A521" s="3">
        <v>45962</v>
      </c>
      <c r="B521" s="4" t="s">
        <v>334</v>
      </c>
      <c r="C521" s="4" t="s">
        <v>160</v>
      </c>
      <c r="D521" s="4"/>
      <c r="E521" s="4"/>
      <c r="F521" s="4" t="s">
        <v>479</v>
      </c>
      <c r="G521" s="4" t="s">
        <v>336</v>
      </c>
      <c r="H521" s="4" t="s">
        <v>289</v>
      </c>
      <c r="I521" s="4">
        <v>1</v>
      </c>
      <c r="J521" s="21">
        <v>240</v>
      </c>
      <c r="K521" s="21">
        <v>0</v>
      </c>
      <c r="L521" s="5">
        <v>0</v>
      </c>
      <c r="M521" s="4">
        <v>1</v>
      </c>
      <c r="N521" s="4"/>
      <c r="O521" s="5">
        <v>240</v>
      </c>
      <c r="P521" s="5"/>
      <c r="Q521" s="21">
        <v>240</v>
      </c>
      <c r="R521" s="21">
        <v>0</v>
      </c>
      <c r="S521" s="5">
        <f t="shared" si="35"/>
        <v>120443.41200000005</v>
      </c>
      <c r="T521" cm="1">
        <f t="array" ref="T521">IF(OR(B521="MAL ALIMI", B521="ÜRETİM GİRİŞ"), MIN(I521, MAX(0, I521 + SUM(SUMIFS($I$1:I520, $C$1:C520, C521, $B$1:B520, {"MAL ALIMI","ÜRETİM GİRİŞ"})) - VLOOKUP(C521, 'STOK RAPORU'!$C$2:$I$1000, 4, 0))), 0)</f>
        <v>0</v>
      </c>
      <c r="U521" s="22">
        <f t="shared" si="32"/>
        <v>0</v>
      </c>
      <c r="V521">
        <f t="shared" si="33"/>
        <v>0</v>
      </c>
      <c r="W521" s="22">
        <f t="shared" si="34"/>
        <v>0</v>
      </c>
    </row>
    <row r="522" spans="1:23" hidden="1" x14ac:dyDescent="0.25">
      <c r="A522" s="3">
        <v>45962</v>
      </c>
      <c r="B522" s="4" t="s">
        <v>334</v>
      </c>
      <c r="C522" s="4" t="s">
        <v>200</v>
      </c>
      <c r="D522" s="4"/>
      <c r="E522" s="4"/>
      <c r="F522" s="4" t="s">
        <v>479</v>
      </c>
      <c r="G522" s="4" t="s">
        <v>336</v>
      </c>
      <c r="H522" s="4" t="s">
        <v>289</v>
      </c>
      <c r="I522" s="4">
        <v>0.25</v>
      </c>
      <c r="J522" s="21">
        <v>360</v>
      </c>
      <c r="K522" s="21">
        <v>0</v>
      </c>
      <c r="L522" s="5">
        <v>0</v>
      </c>
      <c r="M522" s="4">
        <v>1</v>
      </c>
      <c r="N522" s="4"/>
      <c r="O522" s="5">
        <v>90</v>
      </c>
      <c r="P522" s="5"/>
      <c r="Q522" s="21">
        <v>90</v>
      </c>
      <c r="R522" s="21">
        <v>0</v>
      </c>
      <c r="S522" s="5">
        <f t="shared" si="35"/>
        <v>120533.41200000005</v>
      </c>
      <c r="T522" cm="1">
        <f t="array" ref="T522">IF(OR(B522="MAL ALIMI", B522="ÜRETİM GİRİŞ"), MIN(I522, MAX(0, I522 + SUM(SUMIFS($I$1:I521, $C$1:C521, C522, $B$1:B521, {"MAL ALIMI","ÜRETİM GİRİŞ"})) - VLOOKUP(C522, 'STOK RAPORU'!$C$2:$I$1000, 4, 0))), 0)</f>
        <v>0</v>
      </c>
      <c r="U522" s="22">
        <f t="shared" si="32"/>
        <v>0</v>
      </c>
      <c r="V522">
        <f t="shared" si="33"/>
        <v>0</v>
      </c>
      <c r="W522" s="22">
        <f t="shared" si="34"/>
        <v>0</v>
      </c>
    </row>
    <row r="523" spans="1:23" hidden="1" x14ac:dyDescent="0.25">
      <c r="A523" s="3">
        <v>45962</v>
      </c>
      <c r="B523" s="4" t="s">
        <v>334</v>
      </c>
      <c r="C523" s="4" t="s">
        <v>530</v>
      </c>
      <c r="D523" s="4"/>
      <c r="E523" s="4" t="s">
        <v>921</v>
      </c>
      <c r="F523" s="4" t="s">
        <v>480</v>
      </c>
      <c r="G523" s="4" t="s">
        <v>336</v>
      </c>
      <c r="H523" s="4" t="s">
        <v>380</v>
      </c>
      <c r="I523" s="4">
        <v>1</v>
      </c>
      <c r="J523" s="21">
        <v>280</v>
      </c>
      <c r="K523" s="21">
        <v>280</v>
      </c>
      <c r="L523" s="5">
        <v>0</v>
      </c>
      <c r="M523" s="4">
        <v>2</v>
      </c>
      <c r="N523" s="4"/>
      <c r="O523" s="5">
        <v>140</v>
      </c>
      <c r="P523" s="5"/>
      <c r="Q523" s="21">
        <v>0</v>
      </c>
      <c r="R523" s="21">
        <v>0</v>
      </c>
      <c r="S523" s="5">
        <f t="shared" si="35"/>
        <v>120533.41200000005</v>
      </c>
      <c r="T523" cm="1">
        <f t="array" ref="T523">IF(OR(B523="MAL ALIMI", B523="ÜRETİM GİRİŞ"), MIN(I523, MAX(0, I523 + SUM(SUMIFS($I$1:I522, $C$1:C522, C523, $B$1:B522, {"MAL ALIMI","ÜRETİM GİRİŞ"})) - VLOOKUP(C523, 'STOK RAPORU'!$C$2:$I$1000, 4, 0))), 0)</f>
        <v>0</v>
      </c>
      <c r="U523" s="22">
        <f t="shared" si="32"/>
        <v>0</v>
      </c>
      <c r="V523">
        <f t="shared" si="33"/>
        <v>0</v>
      </c>
      <c r="W523" s="22">
        <f t="shared" si="34"/>
        <v>0</v>
      </c>
    </row>
    <row r="524" spans="1:23" hidden="1" x14ac:dyDescent="0.25">
      <c r="A524" s="3">
        <v>45962</v>
      </c>
      <c r="B524" s="4" t="s">
        <v>334</v>
      </c>
      <c r="C524" s="4" t="s">
        <v>98</v>
      </c>
      <c r="D524" s="4"/>
      <c r="E524" s="4" t="s">
        <v>921</v>
      </c>
      <c r="F524" s="4" t="s">
        <v>480</v>
      </c>
      <c r="G524" s="4" t="s">
        <v>336</v>
      </c>
      <c r="H524" s="4" t="s">
        <v>380</v>
      </c>
      <c r="I524" s="4">
        <v>0.14000000000000001</v>
      </c>
      <c r="J524" s="21">
        <v>360</v>
      </c>
      <c r="K524" s="21">
        <v>50.400000000000006</v>
      </c>
      <c r="L524" s="5">
        <v>0</v>
      </c>
      <c r="M524" s="4">
        <v>0.14000000000000001</v>
      </c>
      <c r="N524" s="4"/>
      <c r="O524" s="5">
        <v>360</v>
      </c>
      <c r="P524" s="5"/>
      <c r="Q524" s="21">
        <v>0</v>
      </c>
      <c r="R524" s="21">
        <v>0</v>
      </c>
      <c r="S524" s="5">
        <f t="shared" si="35"/>
        <v>120533.41200000005</v>
      </c>
      <c r="T524" cm="1">
        <f t="array" ref="T524">IF(OR(B524="MAL ALIMI", B524="ÜRETİM GİRİŞ"), MIN(I524, MAX(0, I524 + SUM(SUMIFS($I$1:I523, $C$1:C523, C524, $B$1:B523, {"MAL ALIMI","ÜRETİM GİRİŞ"})) - VLOOKUP(C524, 'STOK RAPORU'!$C$2:$I$1000, 4, 0))), 0)</f>
        <v>0</v>
      </c>
      <c r="U524" s="22">
        <f t="shared" si="32"/>
        <v>0</v>
      </c>
      <c r="V524">
        <f t="shared" si="33"/>
        <v>0</v>
      </c>
      <c r="W524" s="22">
        <f t="shared" si="34"/>
        <v>0</v>
      </c>
    </row>
    <row r="525" spans="1:23" hidden="1" x14ac:dyDescent="0.25">
      <c r="A525" s="3">
        <v>45962</v>
      </c>
      <c r="B525" s="4" t="s">
        <v>334</v>
      </c>
      <c r="C525" s="4" t="s">
        <v>242</v>
      </c>
      <c r="D525" s="4"/>
      <c r="E525" s="4"/>
      <c r="F525" s="4" t="s">
        <v>481</v>
      </c>
      <c r="G525" s="4" t="s">
        <v>336</v>
      </c>
      <c r="H525" s="4" t="s">
        <v>289</v>
      </c>
      <c r="I525" s="4">
        <v>0.30399999999999999</v>
      </c>
      <c r="J525" s="21">
        <v>350</v>
      </c>
      <c r="K525" s="21">
        <v>0</v>
      </c>
      <c r="L525" s="5">
        <v>0</v>
      </c>
      <c r="M525" s="4">
        <v>0.30399999999999999</v>
      </c>
      <c r="N525" s="4"/>
      <c r="O525" s="5">
        <v>350</v>
      </c>
      <c r="P525" s="5"/>
      <c r="Q525" s="21">
        <v>106.39999999999999</v>
      </c>
      <c r="R525" s="21">
        <v>0</v>
      </c>
      <c r="S525" s="5">
        <f t="shared" si="35"/>
        <v>120639.81200000005</v>
      </c>
      <c r="T525" cm="1">
        <f t="array" ref="T525">IF(OR(B525="MAL ALIMI", B525="ÜRETİM GİRİŞ"), MIN(I525, MAX(0, I525 + SUM(SUMIFS($I$1:I524, $C$1:C524, C525, $B$1:B524, {"MAL ALIMI","ÜRETİM GİRİŞ"})) - VLOOKUP(C525, 'STOK RAPORU'!$C$2:$I$1000, 4, 0))), 0)</f>
        <v>0</v>
      </c>
      <c r="U525" s="22">
        <f t="shared" si="32"/>
        <v>0</v>
      </c>
      <c r="V525">
        <f t="shared" si="33"/>
        <v>0</v>
      </c>
      <c r="W525" s="22">
        <f t="shared" si="34"/>
        <v>0</v>
      </c>
    </row>
    <row r="526" spans="1:23" hidden="1" x14ac:dyDescent="0.25">
      <c r="A526" s="3">
        <v>45962</v>
      </c>
      <c r="B526" s="4" t="s">
        <v>334</v>
      </c>
      <c r="C526" s="4" t="s">
        <v>252</v>
      </c>
      <c r="D526" s="4"/>
      <c r="E526" s="4"/>
      <c r="F526" s="4" t="s">
        <v>481</v>
      </c>
      <c r="G526" s="4" t="s">
        <v>336</v>
      </c>
      <c r="H526" s="4" t="s">
        <v>289</v>
      </c>
      <c r="I526" s="4">
        <v>0.14399999999999999</v>
      </c>
      <c r="J526" s="21">
        <v>190</v>
      </c>
      <c r="K526" s="21">
        <v>0</v>
      </c>
      <c r="L526" s="5">
        <v>0</v>
      </c>
      <c r="M526" s="4">
        <v>0.14399999999999999</v>
      </c>
      <c r="N526" s="4"/>
      <c r="O526" s="5">
        <v>190</v>
      </c>
      <c r="P526" s="5"/>
      <c r="Q526" s="21">
        <v>27.36</v>
      </c>
      <c r="R526" s="21">
        <v>0</v>
      </c>
      <c r="S526" s="5">
        <f t="shared" si="35"/>
        <v>120667.17200000005</v>
      </c>
      <c r="T526" cm="1">
        <f t="array" ref="T526">IF(OR(B526="MAL ALIMI", B526="ÜRETİM GİRİŞ"), MIN(I526, MAX(0, I526 + SUM(SUMIFS($I$1:I525, $C$1:C525, C526, $B$1:B525, {"MAL ALIMI","ÜRETİM GİRİŞ"})) - VLOOKUP(C526, 'STOK RAPORU'!$C$2:$I$1000, 4, 0))), 0)</f>
        <v>0</v>
      </c>
      <c r="U526" s="22">
        <f t="shared" si="32"/>
        <v>0</v>
      </c>
      <c r="V526">
        <f t="shared" si="33"/>
        <v>0</v>
      </c>
      <c r="W526" s="22">
        <f t="shared" si="34"/>
        <v>0</v>
      </c>
    </row>
    <row r="527" spans="1:23" hidden="1" x14ac:dyDescent="0.25">
      <c r="A527" s="3">
        <v>45962</v>
      </c>
      <c r="B527" s="4" t="s">
        <v>334</v>
      </c>
      <c r="C527" s="4" t="s">
        <v>254</v>
      </c>
      <c r="D527" s="4"/>
      <c r="E527" s="4"/>
      <c r="F527" s="4" t="s">
        <v>481</v>
      </c>
      <c r="G527" s="4" t="s">
        <v>336</v>
      </c>
      <c r="H527" s="4" t="s">
        <v>289</v>
      </c>
      <c r="I527" s="4">
        <v>0.16400000000000001</v>
      </c>
      <c r="J527" s="21">
        <v>190</v>
      </c>
      <c r="K527" s="21">
        <v>0</v>
      </c>
      <c r="L527" s="5">
        <v>0</v>
      </c>
      <c r="M527" s="4">
        <v>0.16400000000000001</v>
      </c>
      <c r="N527" s="4"/>
      <c r="O527" s="5">
        <v>190</v>
      </c>
      <c r="P527" s="5"/>
      <c r="Q527" s="21">
        <v>31.16</v>
      </c>
      <c r="R527" s="21">
        <v>0</v>
      </c>
      <c r="S527" s="5">
        <f t="shared" si="35"/>
        <v>120698.33200000005</v>
      </c>
      <c r="T527" cm="1">
        <f t="array" ref="T527">IF(OR(B527="MAL ALIMI", B527="ÜRETİM GİRİŞ"), MIN(I527, MAX(0, I527 + SUM(SUMIFS($I$1:I526, $C$1:C526, C527, $B$1:B526, {"MAL ALIMI","ÜRETİM GİRİŞ"})) - VLOOKUP(C527, 'STOK RAPORU'!$C$2:$I$1000, 4, 0))), 0)</f>
        <v>0</v>
      </c>
      <c r="U527" s="22">
        <f t="shared" si="32"/>
        <v>0</v>
      </c>
      <c r="V527">
        <f t="shared" si="33"/>
        <v>0</v>
      </c>
      <c r="W527" s="22">
        <f t="shared" si="34"/>
        <v>0</v>
      </c>
    </row>
    <row r="528" spans="1:23" hidden="1" x14ac:dyDescent="0.25">
      <c r="A528" s="3">
        <v>45962</v>
      </c>
      <c r="B528" s="4" t="s">
        <v>334</v>
      </c>
      <c r="C528" s="4" t="s">
        <v>244</v>
      </c>
      <c r="D528" s="4"/>
      <c r="E528" s="4"/>
      <c r="F528" s="4" t="s">
        <v>481</v>
      </c>
      <c r="G528" s="4" t="s">
        <v>336</v>
      </c>
      <c r="H528" s="4" t="s">
        <v>289</v>
      </c>
      <c r="I528" s="4">
        <v>0.216</v>
      </c>
      <c r="J528" s="21">
        <v>650</v>
      </c>
      <c r="K528" s="21">
        <v>0</v>
      </c>
      <c r="L528" s="5">
        <v>0</v>
      </c>
      <c r="M528" s="4">
        <v>0.216</v>
      </c>
      <c r="N528" s="4"/>
      <c r="O528" s="5">
        <v>650</v>
      </c>
      <c r="P528" s="5"/>
      <c r="Q528" s="21">
        <v>140.4</v>
      </c>
      <c r="R528" s="21">
        <v>0</v>
      </c>
      <c r="S528" s="5">
        <f t="shared" si="35"/>
        <v>120838.73200000005</v>
      </c>
      <c r="T528" cm="1">
        <f t="array" ref="T528">IF(OR(B528="MAL ALIMI", B528="ÜRETİM GİRİŞ"), MIN(I528, MAX(0, I528 + SUM(SUMIFS($I$1:I527, $C$1:C527, C528, $B$1:B527, {"MAL ALIMI","ÜRETİM GİRİŞ"})) - VLOOKUP(C528, 'STOK RAPORU'!$C$2:$I$1000, 4, 0))), 0)</f>
        <v>0</v>
      </c>
      <c r="U528" s="22">
        <f t="shared" si="32"/>
        <v>0</v>
      </c>
      <c r="V528">
        <f t="shared" si="33"/>
        <v>0</v>
      </c>
      <c r="W528" s="22">
        <f t="shared" si="34"/>
        <v>0</v>
      </c>
    </row>
    <row r="529" spans="1:23" hidden="1" x14ac:dyDescent="0.25">
      <c r="A529" s="3">
        <v>45962</v>
      </c>
      <c r="B529" s="4" t="s">
        <v>334</v>
      </c>
      <c r="C529" s="4" t="s">
        <v>251</v>
      </c>
      <c r="D529" s="4"/>
      <c r="E529" s="4"/>
      <c r="F529" s="4" t="s">
        <v>481</v>
      </c>
      <c r="G529" s="4" t="s">
        <v>336</v>
      </c>
      <c r="H529" s="4" t="s">
        <v>289</v>
      </c>
      <c r="I529" s="4">
        <v>0.432</v>
      </c>
      <c r="J529" s="21">
        <v>670</v>
      </c>
      <c r="K529" s="21">
        <v>0</v>
      </c>
      <c r="L529" s="5">
        <v>0</v>
      </c>
      <c r="M529" s="4">
        <v>0.432</v>
      </c>
      <c r="N529" s="4"/>
      <c r="O529" s="5">
        <v>670</v>
      </c>
      <c r="P529" s="5"/>
      <c r="Q529" s="21">
        <v>289.44</v>
      </c>
      <c r="R529" s="21">
        <v>0</v>
      </c>
      <c r="S529" s="5">
        <f t="shared" si="35"/>
        <v>121128.17200000005</v>
      </c>
      <c r="T529" cm="1">
        <f t="array" ref="T529">IF(OR(B529="MAL ALIMI", B529="ÜRETİM GİRİŞ"), MIN(I529, MAX(0, I529 + SUM(SUMIFS($I$1:I528, $C$1:C528, C529, $B$1:B528, {"MAL ALIMI","ÜRETİM GİRİŞ"})) - VLOOKUP(C529, 'STOK RAPORU'!$C$2:$I$1000, 4, 0))), 0)</f>
        <v>0</v>
      </c>
      <c r="U529" s="22">
        <f t="shared" si="32"/>
        <v>0</v>
      </c>
      <c r="V529">
        <f t="shared" si="33"/>
        <v>0</v>
      </c>
      <c r="W529" s="22">
        <f t="shared" si="34"/>
        <v>0</v>
      </c>
    </row>
    <row r="530" spans="1:23" hidden="1" x14ac:dyDescent="0.25">
      <c r="A530" s="3">
        <v>45962</v>
      </c>
      <c r="B530" s="4" t="s">
        <v>334</v>
      </c>
      <c r="C530" s="4" t="s">
        <v>223</v>
      </c>
      <c r="D530" s="4"/>
      <c r="E530" s="4"/>
      <c r="F530" s="4" t="s">
        <v>481</v>
      </c>
      <c r="G530" s="4" t="s">
        <v>336</v>
      </c>
      <c r="H530" s="4" t="s">
        <v>289</v>
      </c>
      <c r="I530" s="4">
        <v>0.38600000000000001</v>
      </c>
      <c r="J530" s="21">
        <v>700</v>
      </c>
      <c r="K530" s="21">
        <v>0</v>
      </c>
      <c r="L530" s="5">
        <v>0</v>
      </c>
      <c r="M530" s="4">
        <v>0.38600000000000001</v>
      </c>
      <c r="N530" s="4"/>
      <c r="O530" s="5">
        <v>700</v>
      </c>
      <c r="P530" s="5"/>
      <c r="Q530" s="21">
        <v>270.2</v>
      </c>
      <c r="R530" s="21">
        <v>0</v>
      </c>
      <c r="S530" s="5">
        <f t="shared" si="35"/>
        <v>121398.37200000005</v>
      </c>
      <c r="T530" cm="1">
        <f t="array" ref="T530">IF(OR(B530="MAL ALIMI", B530="ÜRETİM GİRİŞ"), MIN(I530, MAX(0, I530 + SUM(SUMIFS($I$1:I529, $C$1:C529, C530, $B$1:B529, {"MAL ALIMI","ÜRETİM GİRİŞ"})) - VLOOKUP(C530, 'STOK RAPORU'!$C$2:$I$1000, 4, 0))), 0)</f>
        <v>0</v>
      </c>
      <c r="U530" s="22">
        <f t="shared" si="32"/>
        <v>0</v>
      </c>
      <c r="V530">
        <f t="shared" si="33"/>
        <v>0</v>
      </c>
      <c r="W530" s="22">
        <f t="shared" si="34"/>
        <v>0</v>
      </c>
    </row>
    <row r="531" spans="1:23" hidden="1" x14ac:dyDescent="0.25">
      <c r="A531" s="3">
        <v>45962</v>
      </c>
      <c r="B531" s="4" t="s">
        <v>334</v>
      </c>
      <c r="C531" s="4" t="s">
        <v>96</v>
      </c>
      <c r="D531" s="4"/>
      <c r="E531" s="4" t="s">
        <v>921</v>
      </c>
      <c r="F531" s="4" t="s">
        <v>482</v>
      </c>
      <c r="G531" s="4" t="s">
        <v>336</v>
      </c>
      <c r="H531" s="4" t="s">
        <v>380</v>
      </c>
      <c r="I531" s="4">
        <v>0.182</v>
      </c>
      <c r="J531" s="21">
        <v>380</v>
      </c>
      <c r="K531" s="21">
        <v>69.16</v>
      </c>
      <c r="L531" s="5">
        <v>0</v>
      </c>
      <c r="M531" s="4">
        <v>0.182</v>
      </c>
      <c r="N531" s="4"/>
      <c r="O531" s="5">
        <v>380</v>
      </c>
      <c r="P531" s="5"/>
      <c r="Q531" s="21">
        <v>0</v>
      </c>
      <c r="R531" s="21">
        <v>0</v>
      </c>
      <c r="S531" s="5">
        <f t="shared" si="35"/>
        <v>121398.37200000005</v>
      </c>
      <c r="T531" cm="1">
        <f t="array" ref="T531">IF(OR(B531="MAL ALIMI", B531="ÜRETİM GİRİŞ"), MIN(I531, MAX(0, I531 + SUM(SUMIFS($I$1:I530, $C$1:C530, C531, $B$1:B530, {"MAL ALIMI","ÜRETİM GİRİŞ"})) - VLOOKUP(C531, 'STOK RAPORU'!$C$2:$I$1000, 4, 0))), 0)</f>
        <v>0</v>
      </c>
      <c r="U531" s="22">
        <f t="shared" si="32"/>
        <v>0</v>
      </c>
      <c r="V531">
        <f t="shared" si="33"/>
        <v>0</v>
      </c>
      <c r="W531" s="22">
        <f t="shared" si="34"/>
        <v>0</v>
      </c>
    </row>
    <row r="532" spans="1:23" hidden="1" x14ac:dyDescent="0.25">
      <c r="A532" s="3">
        <v>45962</v>
      </c>
      <c r="B532" s="4" t="s">
        <v>334</v>
      </c>
      <c r="C532" s="4" t="s">
        <v>89</v>
      </c>
      <c r="D532" s="4"/>
      <c r="E532" s="4" t="s">
        <v>921</v>
      </c>
      <c r="F532" s="4" t="s">
        <v>488</v>
      </c>
      <c r="G532" s="4" t="s">
        <v>336</v>
      </c>
      <c r="H532" s="4" t="s">
        <v>380</v>
      </c>
      <c r="I532" s="4">
        <v>0.2</v>
      </c>
      <c r="J532" s="21">
        <v>650</v>
      </c>
      <c r="K532" s="21">
        <v>130</v>
      </c>
      <c r="L532" s="5">
        <v>0</v>
      </c>
      <c r="M532" s="4">
        <v>0.2</v>
      </c>
      <c r="N532" s="4"/>
      <c r="O532" s="5">
        <v>650</v>
      </c>
      <c r="P532" s="5"/>
      <c r="Q532" s="21">
        <v>0</v>
      </c>
      <c r="R532" s="21">
        <v>0</v>
      </c>
      <c r="S532" s="5">
        <f t="shared" si="35"/>
        <v>121398.37200000005</v>
      </c>
      <c r="T532" cm="1">
        <f t="array" ref="T532">IF(OR(B532="MAL ALIMI", B532="ÜRETİM GİRİŞ"), MIN(I532, MAX(0, I532 + SUM(SUMIFS($I$1:I531, $C$1:C531, C532, $B$1:B531, {"MAL ALIMI","ÜRETİM GİRİŞ"})) - VLOOKUP(C532, 'STOK RAPORU'!$C$2:$I$1000, 4, 0))), 0)</f>
        <v>0</v>
      </c>
      <c r="U532" s="22">
        <f t="shared" si="32"/>
        <v>0</v>
      </c>
      <c r="V532">
        <f t="shared" si="33"/>
        <v>0</v>
      </c>
      <c r="W532" s="22">
        <f t="shared" si="34"/>
        <v>0</v>
      </c>
    </row>
    <row r="533" spans="1:23" hidden="1" x14ac:dyDescent="0.25">
      <c r="A533" s="3">
        <v>45962</v>
      </c>
      <c r="B533" s="4" t="s">
        <v>334</v>
      </c>
      <c r="C533" s="4" t="s">
        <v>92</v>
      </c>
      <c r="D533" s="4"/>
      <c r="E533" s="4"/>
      <c r="F533" s="4" t="s">
        <v>494</v>
      </c>
      <c r="G533" s="4" t="s">
        <v>336</v>
      </c>
      <c r="H533" s="4" t="s">
        <v>289</v>
      </c>
      <c r="I533" s="4">
        <v>0.5</v>
      </c>
      <c r="J533" s="21">
        <v>500</v>
      </c>
      <c r="K533" s="21">
        <v>0</v>
      </c>
      <c r="L533" s="5">
        <v>0</v>
      </c>
      <c r="M533" s="4">
        <v>0.5</v>
      </c>
      <c r="N533" s="4"/>
      <c r="O533" s="5">
        <v>500</v>
      </c>
      <c r="P533" s="5"/>
      <c r="Q533" s="21">
        <v>250</v>
      </c>
      <c r="R533" s="21">
        <v>0</v>
      </c>
      <c r="S533" s="5">
        <f t="shared" si="35"/>
        <v>121648.37200000005</v>
      </c>
      <c r="T533" cm="1">
        <f t="array" ref="T533">IF(OR(B533="MAL ALIMI", B533="ÜRETİM GİRİŞ"), MIN(I533, MAX(0, I533 + SUM(SUMIFS($I$1:I532, $C$1:C532, C533, $B$1:B532, {"MAL ALIMI","ÜRETİM GİRİŞ"})) - VLOOKUP(C533, 'STOK RAPORU'!$C$2:$I$1000, 4, 0))), 0)</f>
        <v>0</v>
      </c>
      <c r="U533" s="22">
        <f t="shared" si="32"/>
        <v>0</v>
      </c>
      <c r="V533">
        <f t="shared" si="33"/>
        <v>0</v>
      </c>
      <c r="W533" s="22">
        <f t="shared" si="34"/>
        <v>0</v>
      </c>
    </row>
    <row r="534" spans="1:23" hidden="1" x14ac:dyDescent="0.25">
      <c r="A534" s="3">
        <v>45962</v>
      </c>
      <c r="B534" s="4" t="s">
        <v>334</v>
      </c>
      <c r="C534" s="4" t="s">
        <v>226</v>
      </c>
      <c r="D534" s="4"/>
      <c r="E534" s="4"/>
      <c r="F534" s="4" t="s">
        <v>494</v>
      </c>
      <c r="G534" s="4" t="s">
        <v>336</v>
      </c>
      <c r="H534" s="4" t="s">
        <v>289</v>
      </c>
      <c r="I534" s="4">
        <v>0.32</v>
      </c>
      <c r="J534" s="21">
        <v>320</v>
      </c>
      <c r="K534" s="21">
        <v>0</v>
      </c>
      <c r="L534" s="5">
        <v>0</v>
      </c>
      <c r="M534" s="4">
        <v>0.32</v>
      </c>
      <c r="N534" s="4"/>
      <c r="O534" s="5">
        <v>320</v>
      </c>
      <c r="P534" s="5"/>
      <c r="Q534" s="21">
        <v>102.4</v>
      </c>
      <c r="R534" s="21">
        <v>0</v>
      </c>
      <c r="S534" s="5">
        <f t="shared" si="35"/>
        <v>121750.77200000004</v>
      </c>
      <c r="T534" cm="1">
        <f t="array" ref="T534">IF(OR(B534="MAL ALIMI", B534="ÜRETİM GİRİŞ"), MIN(I534, MAX(0, I534 + SUM(SUMIFS($I$1:I533, $C$1:C533, C534, $B$1:B533, {"MAL ALIMI","ÜRETİM GİRİŞ"})) - VLOOKUP(C534, 'STOK RAPORU'!$C$2:$I$1000, 4, 0))), 0)</f>
        <v>0</v>
      </c>
      <c r="U534" s="22">
        <f t="shared" si="32"/>
        <v>0</v>
      </c>
      <c r="V534">
        <f t="shared" si="33"/>
        <v>0</v>
      </c>
      <c r="W534" s="22">
        <f t="shared" si="34"/>
        <v>0</v>
      </c>
    </row>
    <row r="535" spans="1:23" hidden="1" x14ac:dyDescent="0.25">
      <c r="A535" s="3">
        <v>45962</v>
      </c>
      <c r="B535" s="4" t="s">
        <v>334</v>
      </c>
      <c r="C535" s="4" t="s">
        <v>131</v>
      </c>
      <c r="D535" s="4"/>
      <c r="E535" s="4"/>
      <c r="F535" s="4" t="s">
        <v>495</v>
      </c>
      <c r="G535" s="4" t="s">
        <v>336</v>
      </c>
      <c r="H535" s="4" t="s">
        <v>289</v>
      </c>
      <c r="I535" s="4">
        <v>6.4000000000000001E-2</v>
      </c>
      <c r="J535" s="21">
        <v>300</v>
      </c>
      <c r="K535" s="21">
        <v>0</v>
      </c>
      <c r="L535" s="5">
        <v>0</v>
      </c>
      <c r="M535" s="4">
        <v>6.4000000000000001E-2</v>
      </c>
      <c r="N535" s="4"/>
      <c r="O535" s="5">
        <v>300</v>
      </c>
      <c r="P535" s="5"/>
      <c r="Q535" s="21">
        <v>19.2</v>
      </c>
      <c r="R535" s="21">
        <v>0</v>
      </c>
      <c r="S535" s="5">
        <f t="shared" si="35"/>
        <v>121769.97200000004</v>
      </c>
      <c r="T535" cm="1">
        <f t="array" ref="T535">IF(OR(B535="MAL ALIMI", B535="ÜRETİM GİRİŞ"), MIN(I535, MAX(0, I535 + SUM(SUMIFS($I$1:I534, $C$1:C534, C535, $B$1:B534, {"MAL ALIMI","ÜRETİM GİRİŞ"})) - VLOOKUP(C535, 'STOK RAPORU'!$C$2:$I$1000, 4, 0))), 0)</f>
        <v>0</v>
      </c>
      <c r="U535" s="22">
        <f t="shared" si="32"/>
        <v>0</v>
      </c>
      <c r="V535">
        <f t="shared" si="33"/>
        <v>0</v>
      </c>
      <c r="W535" s="22">
        <f t="shared" si="34"/>
        <v>0</v>
      </c>
    </row>
    <row r="536" spans="1:23" hidden="1" x14ac:dyDescent="0.25">
      <c r="A536" s="3">
        <v>45962</v>
      </c>
      <c r="B536" s="4" t="s">
        <v>334</v>
      </c>
      <c r="C536" s="4" t="s">
        <v>237</v>
      </c>
      <c r="D536" s="4"/>
      <c r="E536" s="4"/>
      <c r="F536" s="4" t="s">
        <v>495</v>
      </c>
      <c r="G536" s="4" t="s">
        <v>336</v>
      </c>
      <c r="H536" s="4" t="s">
        <v>289</v>
      </c>
      <c r="I536" s="4">
        <v>0.04</v>
      </c>
      <c r="J536" s="21">
        <v>2250</v>
      </c>
      <c r="K536" s="21">
        <v>0</v>
      </c>
      <c r="L536" s="5">
        <v>0</v>
      </c>
      <c r="M536" s="4">
        <v>0.04</v>
      </c>
      <c r="N536" s="4"/>
      <c r="O536" s="5">
        <v>2250</v>
      </c>
      <c r="P536" s="5"/>
      <c r="Q536" s="21">
        <v>90</v>
      </c>
      <c r="R536" s="21">
        <v>0</v>
      </c>
      <c r="S536" s="5">
        <f t="shared" si="35"/>
        <v>121859.97200000004</v>
      </c>
      <c r="T536" cm="1">
        <f t="array" ref="T536">IF(OR(B536="MAL ALIMI", B536="ÜRETİM GİRİŞ"), MIN(I536, MAX(0, I536 + SUM(SUMIFS($I$1:I535, $C$1:C535, C536, $B$1:B535, {"MAL ALIMI","ÜRETİM GİRİŞ"})) - VLOOKUP(C536, 'STOK RAPORU'!$C$2:$I$1000, 4, 0))), 0)</f>
        <v>0</v>
      </c>
      <c r="U536" s="22">
        <f t="shared" si="32"/>
        <v>0</v>
      </c>
      <c r="V536">
        <f t="shared" si="33"/>
        <v>0</v>
      </c>
      <c r="W536" s="22">
        <f t="shared" si="34"/>
        <v>0</v>
      </c>
    </row>
    <row r="537" spans="1:23" hidden="1" x14ac:dyDescent="0.25">
      <c r="A537" s="3">
        <v>45962</v>
      </c>
      <c r="B537" s="4" t="s">
        <v>334</v>
      </c>
      <c r="C537" s="4" t="s">
        <v>134</v>
      </c>
      <c r="D537" s="4"/>
      <c r="E537" s="4"/>
      <c r="F537" s="4" t="s">
        <v>495</v>
      </c>
      <c r="G537" s="4" t="s">
        <v>336</v>
      </c>
      <c r="H537" s="4" t="s">
        <v>289</v>
      </c>
      <c r="I537" s="4">
        <v>0.10199999999999999</v>
      </c>
      <c r="J537" s="21">
        <v>300</v>
      </c>
      <c r="K537" s="21">
        <v>0</v>
      </c>
      <c r="L537" s="5">
        <v>0</v>
      </c>
      <c r="M537" s="4">
        <v>0.10199999999999999</v>
      </c>
      <c r="N537" s="4"/>
      <c r="O537" s="5">
        <v>300</v>
      </c>
      <c r="P537" s="5"/>
      <c r="Q537" s="21">
        <v>30.599999999999998</v>
      </c>
      <c r="R537" s="21">
        <v>0</v>
      </c>
      <c r="S537" s="5">
        <f t="shared" si="35"/>
        <v>121890.57200000004</v>
      </c>
      <c r="T537" cm="1">
        <f t="array" ref="T537">IF(OR(B537="MAL ALIMI", B537="ÜRETİM GİRİŞ"), MIN(I537, MAX(0, I537 + SUM(SUMIFS($I$1:I536, $C$1:C536, C537, $B$1:B536, {"MAL ALIMI","ÜRETİM GİRİŞ"})) - VLOOKUP(C537, 'STOK RAPORU'!$C$2:$I$1000, 4, 0))), 0)</f>
        <v>0</v>
      </c>
      <c r="U537" s="22">
        <f t="shared" si="32"/>
        <v>0</v>
      </c>
      <c r="V537">
        <f t="shared" si="33"/>
        <v>0</v>
      </c>
      <c r="W537" s="22">
        <f t="shared" si="34"/>
        <v>0</v>
      </c>
    </row>
    <row r="538" spans="1:23" hidden="1" x14ac:dyDescent="0.25">
      <c r="A538" s="3">
        <v>45962</v>
      </c>
      <c r="B538" s="4" t="s">
        <v>334</v>
      </c>
      <c r="C538" s="4" t="s">
        <v>253</v>
      </c>
      <c r="D538" s="4"/>
      <c r="E538" s="4"/>
      <c r="F538" s="4" t="s">
        <v>495</v>
      </c>
      <c r="G538" s="4" t="s">
        <v>336</v>
      </c>
      <c r="H538" s="4" t="s">
        <v>289</v>
      </c>
      <c r="I538" s="4">
        <v>0.26100000000000001</v>
      </c>
      <c r="J538" s="21">
        <v>230</v>
      </c>
      <c r="K538" s="21">
        <v>0</v>
      </c>
      <c r="L538" s="5">
        <v>0</v>
      </c>
      <c r="M538" s="4">
        <v>0.26100000000000001</v>
      </c>
      <c r="N538" s="4"/>
      <c r="O538" s="5">
        <v>230</v>
      </c>
      <c r="P538" s="5"/>
      <c r="Q538" s="21">
        <v>60.03</v>
      </c>
      <c r="R538" s="21">
        <v>0</v>
      </c>
      <c r="S538" s="5">
        <f t="shared" si="35"/>
        <v>121950.60200000004</v>
      </c>
      <c r="T538" cm="1">
        <f t="array" ref="T538">IF(OR(B538="MAL ALIMI", B538="ÜRETİM GİRİŞ"), MIN(I538, MAX(0, I538 + SUM(SUMIFS($I$1:I537, $C$1:C537, C538, $B$1:B537, {"MAL ALIMI","ÜRETİM GİRİŞ"})) - VLOOKUP(C538, 'STOK RAPORU'!$C$2:$I$1000, 4, 0))), 0)</f>
        <v>0</v>
      </c>
      <c r="U538" s="22">
        <f t="shared" si="32"/>
        <v>0</v>
      </c>
      <c r="V538">
        <f t="shared" si="33"/>
        <v>0</v>
      </c>
      <c r="W538" s="22">
        <f t="shared" si="34"/>
        <v>0</v>
      </c>
    </row>
    <row r="539" spans="1:23" hidden="1" x14ac:dyDescent="0.25">
      <c r="A539" s="3">
        <v>45962</v>
      </c>
      <c r="B539" s="4" t="s">
        <v>334</v>
      </c>
      <c r="C539" s="4" t="s">
        <v>160</v>
      </c>
      <c r="D539" s="4"/>
      <c r="E539" s="4" t="s">
        <v>921</v>
      </c>
      <c r="F539" s="4" t="s">
        <v>497</v>
      </c>
      <c r="G539" s="4" t="s">
        <v>336</v>
      </c>
      <c r="H539" s="4" t="s">
        <v>380</v>
      </c>
      <c r="I539" s="4">
        <v>1</v>
      </c>
      <c r="J539" s="21">
        <v>240</v>
      </c>
      <c r="K539" s="21">
        <v>240</v>
      </c>
      <c r="L539" s="5">
        <v>0</v>
      </c>
      <c r="M539" s="4">
        <v>1</v>
      </c>
      <c r="N539" s="4"/>
      <c r="O539" s="5">
        <v>240</v>
      </c>
      <c r="P539" s="5"/>
      <c r="Q539" s="21">
        <v>0</v>
      </c>
      <c r="R539" s="21">
        <v>0</v>
      </c>
      <c r="S539" s="5">
        <f t="shared" si="35"/>
        <v>121950.60200000004</v>
      </c>
      <c r="T539" cm="1">
        <f t="array" ref="T539">IF(OR(B539="MAL ALIMI", B539="ÜRETİM GİRİŞ"), MIN(I539, MAX(0, I539 + SUM(SUMIFS($I$1:I538, $C$1:C538, C539, $B$1:B538, {"MAL ALIMI","ÜRETİM GİRİŞ"})) - VLOOKUP(C539, 'STOK RAPORU'!$C$2:$I$1000, 4, 0))), 0)</f>
        <v>0</v>
      </c>
      <c r="U539" s="22">
        <f t="shared" si="32"/>
        <v>0</v>
      </c>
      <c r="V539">
        <f t="shared" si="33"/>
        <v>0</v>
      </c>
      <c r="W539" s="22">
        <f t="shared" si="34"/>
        <v>0</v>
      </c>
    </row>
    <row r="540" spans="1:23" hidden="1" x14ac:dyDescent="0.25">
      <c r="A540" s="3">
        <v>45962</v>
      </c>
      <c r="B540" s="4" t="s">
        <v>334</v>
      </c>
      <c r="C540" s="4" t="s">
        <v>167</v>
      </c>
      <c r="D540" s="4"/>
      <c r="E540" s="4" t="s">
        <v>921</v>
      </c>
      <c r="F540" s="4" t="s">
        <v>497</v>
      </c>
      <c r="G540" s="4" t="s">
        <v>336</v>
      </c>
      <c r="H540" s="4" t="s">
        <v>380</v>
      </c>
      <c r="I540" s="4">
        <v>1</v>
      </c>
      <c r="J540" s="21">
        <v>200</v>
      </c>
      <c r="K540" s="21">
        <v>200</v>
      </c>
      <c r="L540" s="5">
        <v>0</v>
      </c>
      <c r="M540" s="4">
        <v>1</v>
      </c>
      <c r="N540" s="4"/>
      <c r="O540" s="5">
        <v>200</v>
      </c>
      <c r="P540" s="5"/>
      <c r="Q540" s="21">
        <v>0</v>
      </c>
      <c r="R540" s="21">
        <v>0</v>
      </c>
      <c r="S540" s="5">
        <f t="shared" si="35"/>
        <v>121950.60200000004</v>
      </c>
      <c r="T540" cm="1">
        <f t="array" ref="T540">IF(OR(B540="MAL ALIMI", B540="ÜRETİM GİRİŞ"), MIN(I540, MAX(0, I540 + SUM(SUMIFS($I$1:I539, $C$1:C539, C540, $B$1:B539, {"MAL ALIMI","ÜRETİM GİRİŞ"})) - VLOOKUP(C540, 'STOK RAPORU'!$C$2:$I$1000, 4, 0))), 0)</f>
        <v>0</v>
      </c>
      <c r="U540" s="22">
        <f t="shared" si="32"/>
        <v>0</v>
      </c>
      <c r="V540">
        <f t="shared" si="33"/>
        <v>0</v>
      </c>
      <c r="W540" s="22">
        <f t="shared" si="34"/>
        <v>0</v>
      </c>
    </row>
    <row r="541" spans="1:23" hidden="1" x14ac:dyDescent="0.25">
      <c r="A541" s="3">
        <v>45962</v>
      </c>
      <c r="B541" s="4" t="s">
        <v>334</v>
      </c>
      <c r="C541" s="4" t="s">
        <v>217</v>
      </c>
      <c r="D541" s="4"/>
      <c r="E541" s="4" t="s">
        <v>921</v>
      </c>
      <c r="F541" s="4" t="s">
        <v>497</v>
      </c>
      <c r="G541" s="4" t="s">
        <v>336</v>
      </c>
      <c r="H541" s="4" t="s">
        <v>380</v>
      </c>
      <c r="I541" s="4">
        <v>9.1999999999999998E-2</v>
      </c>
      <c r="J541" s="21">
        <v>330</v>
      </c>
      <c r="K541" s="21">
        <v>30.36</v>
      </c>
      <c r="L541" s="5">
        <v>0</v>
      </c>
      <c r="M541" s="4">
        <v>9.1999999999999998E-2</v>
      </c>
      <c r="N541" s="4"/>
      <c r="O541" s="5">
        <v>330</v>
      </c>
      <c r="P541" s="5"/>
      <c r="Q541" s="21">
        <v>0</v>
      </c>
      <c r="R541" s="21">
        <v>0</v>
      </c>
      <c r="S541" s="5">
        <f t="shared" si="35"/>
        <v>121950.60200000004</v>
      </c>
      <c r="T541" cm="1">
        <f t="array" ref="T541">IF(OR(B541="MAL ALIMI", B541="ÜRETİM GİRİŞ"), MIN(I541, MAX(0, I541 + SUM(SUMIFS($I$1:I540, $C$1:C540, C541, $B$1:B540, {"MAL ALIMI","ÜRETİM GİRİŞ"})) - VLOOKUP(C541, 'STOK RAPORU'!$C$2:$I$1000, 4, 0))), 0)</f>
        <v>0</v>
      </c>
      <c r="U541" s="22">
        <f t="shared" si="32"/>
        <v>0</v>
      </c>
      <c r="V541">
        <f t="shared" si="33"/>
        <v>0</v>
      </c>
      <c r="W541" s="22">
        <f t="shared" si="34"/>
        <v>0</v>
      </c>
    </row>
    <row r="542" spans="1:23" hidden="1" x14ac:dyDescent="0.25">
      <c r="A542" s="3">
        <v>45962</v>
      </c>
      <c r="B542" s="4" t="s">
        <v>334</v>
      </c>
      <c r="C542" s="4" t="s">
        <v>266</v>
      </c>
      <c r="D542" s="4"/>
      <c r="E542" s="4" t="s">
        <v>921</v>
      </c>
      <c r="F542" s="4" t="s">
        <v>497</v>
      </c>
      <c r="G542" s="4" t="s">
        <v>336</v>
      </c>
      <c r="H542" s="4" t="s">
        <v>380</v>
      </c>
      <c r="I542" s="4">
        <v>0.3</v>
      </c>
      <c r="J542" s="21">
        <v>250</v>
      </c>
      <c r="K542" s="21">
        <v>75</v>
      </c>
      <c r="L542" s="5">
        <v>0</v>
      </c>
      <c r="M542" s="4">
        <v>0.3</v>
      </c>
      <c r="N542" s="4"/>
      <c r="O542" s="5">
        <v>250</v>
      </c>
      <c r="P542" s="5"/>
      <c r="Q542" s="21">
        <v>0</v>
      </c>
      <c r="R542" s="21">
        <v>0</v>
      </c>
      <c r="S542" s="5">
        <f t="shared" si="35"/>
        <v>121950.60200000004</v>
      </c>
      <c r="T542" cm="1">
        <f t="array" ref="T542">IF(OR(B542="MAL ALIMI", B542="ÜRETİM GİRİŞ"), MIN(I542, MAX(0, I542 + SUM(SUMIFS($I$1:I541, $C$1:C541, C542, $B$1:B541, {"MAL ALIMI","ÜRETİM GİRİŞ"})) - VLOOKUP(C542, 'STOK RAPORU'!$C$2:$I$1000, 4, 0))), 0)</f>
        <v>0</v>
      </c>
      <c r="U542" s="22">
        <f t="shared" si="32"/>
        <v>0</v>
      </c>
      <c r="V542">
        <f t="shared" si="33"/>
        <v>0</v>
      </c>
      <c r="W542" s="22">
        <f t="shared" si="34"/>
        <v>0</v>
      </c>
    </row>
    <row r="543" spans="1:23" hidden="1" x14ac:dyDescent="0.25">
      <c r="A543" s="3">
        <v>45962</v>
      </c>
      <c r="B543" s="4" t="s">
        <v>334</v>
      </c>
      <c r="C543" s="4" t="s">
        <v>516</v>
      </c>
      <c r="D543" s="4"/>
      <c r="E543" s="4"/>
      <c r="F543" s="4" t="s">
        <v>1471</v>
      </c>
      <c r="G543" s="4" t="s">
        <v>336</v>
      </c>
      <c r="H543" s="4" t="s">
        <v>289</v>
      </c>
      <c r="I543" s="4">
        <v>1</v>
      </c>
      <c r="J543" s="21">
        <v>100</v>
      </c>
      <c r="K543" s="21">
        <v>0</v>
      </c>
      <c r="L543" s="5">
        <v>0</v>
      </c>
      <c r="M543" s="4"/>
      <c r="N543" s="4"/>
      <c r="O543" s="5"/>
      <c r="P543" s="5"/>
      <c r="Q543" s="21">
        <v>100</v>
      </c>
      <c r="R543" s="21">
        <v>0</v>
      </c>
      <c r="S543" s="5">
        <f t="shared" si="35"/>
        <v>122050.60200000004</v>
      </c>
      <c r="T543" cm="1">
        <f t="array" ref="T543">IF(OR(B543="MAL ALIMI", B543="ÜRETİM GİRİŞ"), MIN(I543, MAX(0, I543 + SUM(SUMIFS($I$1:I542, $C$1:C542, C543, $B$1:B542, {"MAL ALIMI","ÜRETİM GİRİŞ"})) - VLOOKUP(C543, 'STOK RAPORU'!$C$2:$I$1000, 4, 0))), 0)</f>
        <v>0</v>
      </c>
      <c r="U543" s="22">
        <f t="shared" si="32"/>
        <v>0</v>
      </c>
      <c r="V543">
        <f t="shared" si="33"/>
        <v>0</v>
      </c>
      <c r="W543" s="22">
        <f t="shared" si="34"/>
        <v>0</v>
      </c>
    </row>
    <row r="544" spans="1:23" hidden="1" x14ac:dyDescent="0.25">
      <c r="A544" s="3">
        <v>45962</v>
      </c>
      <c r="B544" s="4" t="s">
        <v>334</v>
      </c>
      <c r="C544" s="4" t="s">
        <v>522</v>
      </c>
      <c r="D544" s="4"/>
      <c r="E544" s="4"/>
      <c r="F544" s="4" t="s">
        <v>1472</v>
      </c>
      <c r="G544" s="4" t="s">
        <v>336</v>
      </c>
      <c r="H544" s="4" t="s">
        <v>289</v>
      </c>
      <c r="I544" s="4">
        <v>1</v>
      </c>
      <c r="J544" s="21">
        <v>250</v>
      </c>
      <c r="K544" s="21">
        <v>0</v>
      </c>
      <c r="L544" s="5">
        <v>0</v>
      </c>
      <c r="M544" s="4"/>
      <c r="N544" s="4"/>
      <c r="O544" s="5"/>
      <c r="P544" s="5"/>
      <c r="Q544" s="21">
        <v>250</v>
      </c>
      <c r="R544" s="21">
        <v>0</v>
      </c>
      <c r="S544" s="5">
        <f t="shared" si="35"/>
        <v>122300.60200000004</v>
      </c>
      <c r="T544" cm="1">
        <f t="array" ref="T544">IF(OR(B544="MAL ALIMI", B544="ÜRETİM GİRİŞ"), MIN(I544, MAX(0, I544 + SUM(SUMIFS($I$1:I543, $C$1:C543, C544, $B$1:B543, {"MAL ALIMI","ÜRETİM GİRİŞ"})) - VLOOKUP(C544, 'STOK RAPORU'!$C$2:$I$1000, 4, 0))), 0)</f>
        <v>0</v>
      </c>
      <c r="U544" s="22">
        <f t="shared" si="32"/>
        <v>0</v>
      </c>
      <c r="V544">
        <f t="shared" si="33"/>
        <v>0</v>
      </c>
      <c r="W544" s="22">
        <f t="shared" si="34"/>
        <v>0</v>
      </c>
    </row>
    <row r="545" spans="1:23" hidden="1" x14ac:dyDescent="0.25">
      <c r="A545" s="3">
        <v>45962</v>
      </c>
      <c r="B545" s="4" t="s">
        <v>334</v>
      </c>
      <c r="C545" s="4" t="s">
        <v>634</v>
      </c>
      <c r="D545" s="4"/>
      <c r="E545" s="4"/>
      <c r="F545" s="4" t="s">
        <v>1473</v>
      </c>
      <c r="G545" s="4" t="s">
        <v>336</v>
      </c>
      <c r="H545" s="4" t="s">
        <v>289</v>
      </c>
      <c r="I545" s="4">
        <v>0.25</v>
      </c>
      <c r="J545" s="21">
        <v>850</v>
      </c>
      <c r="K545" s="21">
        <v>0</v>
      </c>
      <c r="L545" s="5">
        <v>0</v>
      </c>
      <c r="M545" s="4"/>
      <c r="N545" s="4"/>
      <c r="O545" s="5"/>
      <c r="P545" s="5"/>
      <c r="Q545" s="21">
        <v>212.5</v>
      </c>
      <c r="R545" s="21">
        <v>0</v>
      </c>
      <c r="S545" s="5">
        <f t="shared" si="35"/>
        <v>122513.10200000004</v>
      </c>
      <c r="T545" cm="1">
        <f t="array" ref="T545">IF(OR(B545="MAL ALIMI", B545="ÜRETİM GİRİŞ"), MIN(I545, MAX(0, I545 + SUM(SUMIFS($I$1:I544, $C$1:C544, C545, $B$1:B544, {"MAL ALIMI","ÜRETİM GİRİŞ"})) - VLOOKUP(C545, 'STOK RAPORU'!$C$2:$I$1000, 4, 0))), 0)</f>
        <v>0</v>
      </c>
      <c r="U545" s="22">
        <f t="shared" si="32"/>
        <v>0</v>
      </c>
      <c r="V545">
        <f t="shared" si="33"/>
        <v>0</v>
      </c>
      <c r="W545" s="22">
        <f t="shared" si="34"/>
        <v>0</v>
      </c>
    </row>
    <row r="546" spans="1:23" hidden="1" x14ac:dyDescent="0.25">
      <c r="A546" s="3">
        <v>45962</v>
      </c>
      <c r="B546" s="4" t="s">
        <v>334</v>
      </c>
      <c r="C546" s="4" t="s">
        <v>483</v>
      </c>
      <c r="D546" s="4"/>
      <c r="E546" s="4"/>
      <c r="F546" s="4" t="s">
        <v>1473</v>
      </c>
      <c r="G546" s="4" t="s">
        <v>336</v>
      </c>
      <c r="H546" s="4" t="s">
        <v>289</v>
      </c>
      <c r="I546" s="4">
        <v>0.19</v>
      </c>
      <c r="J546" s="21">
        <v>650</v>
      </c>
      <c r="K546" s="21">
        <v>0</v>
      </c>
      <c r="L546" s="5">
        <v>0</v>
      </c>
      <c r="M546" s="4"/>
      <c r="N546" s="4"/>
      <c r="O546" s="5"/>
      <c r="P546" s="5"/>
      <c r="Q546" s="21">
        <v>123.5</v>
      </c>
      <c r="R546" s="21">
        <v>0</v>
      </c>
      <c r="S546" s="5">
        <f t="shared" si="35"/>
        <v>122636.60200000004</v>
      </c>
      <c r="T546" cm="1">
        <f t="array" ref="T546">IF(OR(B546="MAL ALIMI", B546="ÜRETİM GİRİŞ"), MIN(I546, MAX(0, I546 + SUM(SUMIFS($I$1:I545, $C$1:C545, C546, $B$1:B545, {"MAL ALIMI","ÜRETİM GİRİŞ"})) - VLOOKUP(C546, 'STOK RAPORU'!$C$2:$I$1000, 4, 0))), 0)</f>
        <v>0</v>
      </c>
      <c r="U546" s="22">
        <f t="shared" si="32"/>
        <v>0</v>
      </c>
      <c r="V546">
        <f t="shared" si="33"/>
        <v>0</v>
      </c>
      <c r="W546" s="22">
        <f t="shared" si="34"/>
        <v>0</v>
      </c>
    </row>
    <row r="547" spans="1:23" hidden="1" x14ac:dyDescent="0.25">
      <c r="A547" s="3">
        <v>45962</v>
      </c>
      <c r="B547" s="4" t="s">
        <v>298</v>
      </c>
      <c r="C547" s="4" t="s">
        <v>209</v>
      </c>
      <c r="D547" s="4"/>
      <c r="E547" s="4"/>
      <c r="F547" s="4"/>
      <c r="G547" s="4" t="s">
        <v>804</v>
      </c>
      <c r="H547" s="4" t="s">
        <v>289</v>
      </c>
      <c r="I547" s="4">
        <v>3.5</v>
      </c>
      <c r="J547" s="21">
        <v>1000</v>
      </c>
      <c r="K547" s="21">
        <v>0</v>
      </c>
      <c r="L547" s="5">
        <v>0</v>
      </c>
      <c r="M547" s="4"/>
      <c r="N547" s="4">
        <v>3.5</v>
      </c>
      <c r="O547" s="5"/>
      <c r="P547" s="5">
        <v>1000</v>
      </c>
      <c r="Q547" s="21">
        <v>0</v>
      </c>
      <c r="R547" s="21">
        <v>3500</v>
      </c>
      <c r="S547" s="5">
        <f t="shared" si="35"/>
        <v>119136.60200000004</v>
      </c>
      <c r="T547" cm="1">
        <f t="array" ref="T547">IF(OR(B547="MAL ALIMI", B547="ÜRETİM GİRİŞ"), MIN(I547, MAX(0, I547 + SUM(SUMIFS($I$1:I546, $C$1:C546, C547, $B$1:B546, {"MAL ALIMI","ÜRETİM GİRİŞ"})) - VLOOKUP(C547, 'STOK RAPORU'!$C$2:$I$1000, 4, 0))), 0)</f>
        <v>0.70400000000000329</v>
      </c>
      <c r="U547" s="22">
        <f t="shared" si="32"/>
        <v>704.0000000000033</v>
      </c>
      <c r="V547">
        <f t="shared" si="33"/>
        <v>3500</v>
      </c>
      <c r="W547" s="22">
        <f t="shared" si="34"/>
        <v>2795.9999999999968</v>
      </c>
    </row>
    <row r="548" spans="1:23" hidden="1" x14ac:dyDescent="0.25">
      <c r="A548" s="3">
        <v>45962</v>
      </c>
      <c r="B548" s="4" t="s">
        <v>285</v>
      </c>
      <c r="C548" s="4"/>
      <c r="D548" s="4" t="s">
        <v>108</v>
      </c>
      <c r="E548" s="4"/>
      <c r="F548" s="4"/>
      <c r="G548" s="4" t="s">
        <v>3275</v>
      </c>
      <c r="H548" s="4" t="s">
        <v>289</v>
      </c>
      <c r="I548" s="4">
        <v>1</v>
      </c>
      <c r="J548" s="21">
        <v>22000</v>
      </c>
      <c r="K548" s="21">
        <v>0</v>
      </c>
      <c r="L548" s="5">
        <v>0</v>
      </c>
      <c r="M548" s="4"/>
      <c r="N548" s="4">
        <v>1</v>
      </c>
      <c r="O548" s="5"/>
      <c r="P548" s="5">
        <v>22000</v>
      </c>
      <c r="Q548" s="21">
        <v>0</v>
      </c>
      <c r="R548" s="21">
        <v>22000</v>
      </c>
      <c r="S548" s="5">
        <f t="shared" si="35"/>
        <v>97136.602000000043</v>
      </c>
      <c r="T548" cm="1">
        <f t="array" ref="T548">IF(OR(B548="MAL ALIMI", B548="ÜRETİM GİRİŞ"), MIN(I548, MAX(0, I548 + SUM(SUMIFS($I$1:I547, $C$1:C547, C548, $B$1:B547, {"MAL ALIMI","ÜRETİM GİRİŞ"})) - VLOOKUP(C548, 'STOK RAPORU'!$C$2:$I$1000, 4, 0))), 0)</f>
        <v>0</v>
      </c>
      <c r="U548" s="22">
        <f t="shared" si="32"/>
        <v>0</v>
      </c>
      <c r="V548">
        <f t="shared" si="33"/>
        <v>0</v>
      </c>
      <c r="W548" s="22">
        <f t="shared" si="34"/>
        <v>0</v>
      </c>
    </row>
    <row r="549" spans="1:23" hidden="1" x14ac:dyDescent="0.25">
      <c r="A549" s="3">
        <v>45962</v>
      </c>
      <c r="B549" s="4" t="s">
        <v>285</v>
      </c>
      <c r="C549" s="4"/>
      <c r="D549" s="4" t="s">
        <v>673</v>
      </c>
      <c r="E549" s="4" t="s">
        <v>856</v>
      </c>
      <c r="F549" s="4"/>
      <c r="G549" s="4" t="s">
        <v>794</v>
      </c>
      <c r="H549" s="4" t="s">
        <v>1329</v>
      </c>
      <c r="I549" s="4">
        <v>1</v>
      </c>
      <c r="J549" s="21">
        <v>6337</v>
      </c>
      <c r="K549" s="21">
        <v>0</v>
      </c>
      <c r="L549" s="5">
        <v>6337</v>
      </c>
      <c r="M549" s="4"/>
      <c r="N549" s="4">
        <v>1</v>
      </c>
      <c r="O549" s="5"/>
      <c r="P549" s="5">
        <v>6337</v>
      </c>
      <c r="Q549" s="21">
        <v>0</v>
      </c>
      <c r="R549" s="21">
        <v>0</v>
      </c>
      <c r="S549" s="5">
        <f t="shared" si="35"/>
        <v>97136.602000000043</v>
      </c>
      <c r="T549" cm="1">
        <f t="array" ref="T549">IF(OR(B549="MAL ALIMI", B549="ÜRETİM GİRİŞ"), MIN(I549, MAX(0, I549 + SUM(SUMIFS($I$1:I548, $C$1:C548, C549, $B$1:B548, {"MAL ALIMI","ÜRETİM GİRİŞ"})) - VLOOKUP(C549, 'STOK RAPORU'!$C$2:$I$1000, 4, 0))), 0)</f>
        <v>0</v>
      </c>
      <c r="U549" s="22">
        <f t="shared" si="32"/>
        <v>0</v>
      </c>
      <c r="V549">
        <f t="shared" si="33"/>
        <v>0</v>
      </c>
      <c r="W549" s="22">
        <f t="shared" si="34"/>
        <v>0</v>
      </c>
    </row>
    <row r="550" spans="1:23" hidden="1" x14ac:dyDescent="0.25">
      <c r="A550" s="3">
        <v>45962</v>
      </c>
      <c r="B550" s="4" t="s">
        <v>1467</v>
      </c>
      <c r="C550" s="4" t="s">
        <v>247</v>
      </c>
      <c r="D550" s="4"/>
      <c r="E550" s="4"/>
      <c r="F550" s="4"/>
      <c r="G550" s="4" t="s">
        <v>1468</v>
      </c>
      <c r="H550" s="4" t="s">
        <v>1466</v>
      </c>
      <c r="I550" s="4">
        <v>0.48</v>
      </c>
      <c r="J550" s="21">
        <v>1050</v>
      </c>
      <c r="K550" s="21">
        <v>0</v>
      </c>
      <c r="L550" s="5">
        <v>0</v>
      </c>
      <c r="M550" s="4"/>
      <c r="N550" s="4"/>
      <c r="O550" s="5"/>
      <c r="P550" s="5"/>
      <c r="Q550" s="21">
        <v>504</v>
      </c>
      <c r="R550" s="21">
        <v>0</v>
      </c>
      <c r="S550" s="5">
        <f t="shared" si="35"/>
        <v>97640.602000000043</v>
      </c>
      <c r="T550" cm="1">
        <f t="array" ref="T550">IF(OR(B550="MAL ALIMI", B550="ÜRETİM GİRİŞ"), MIN(I550, MAX(0, I550 + SUM(SUMIFS($I$1:I549, $C$1:C549, C550, $B$1:B549, {"MAL ALIMI","ÜRETİM GİRİŞ"})) - VLOOKUP(C550, 'STOK RAPORU'!$C$2:$I$1000, 4, 0))), 0)</f>
        <v>0</v>
      </c>
      <c r="U550" s="22">
        <f t="shared" si="32"/>
        <v>0</v>
      </c>
      <c r="V550">
        <f t="shared" si="33"/>
        <v>0</v>
      </c>
      <c r="W550" s="22">
        <f t="shared" si="34"/>
        <v>0</v>
      </c>
    </row>
    <row r="551" spans="1:23" hidden="1" x14ac:dyDescent="0.25">
      <c r="A551" s="3">
        <v>45962</v>
      </c>
      <c r="B551" s="4" t="s">
        <v>1467</v>
      </c>
      <c r="C551" s="4" t="s">
        <v>244</v>
      </c>
      <c r="D551" s="4"/>
      <c r="E551" s="4"/>
      <c r="F551" s="4"/>
      <c r="G551" s="4" t="s">
        <v>1468</v>
      </c>
      <c r="H551" s="4" t="s">
        <v>1466</v>
      </c>
      <c r="I551" s="4">
        <v>0.94599999999999995</v>
      </c>
      <c r="J551" s="21">
        <v>495</v>
      </c>
      <c r="K551" s="21">
        <v>0</v>
      </c>
      <c r="L551" s="5">
        <v>0</v>
      </c>
      <c r="M551" s="4"/>
      <c r="N551" s="4"/>
      <c r="O551" s="5"/>
      <c r="P551" s="5"/>
      <c r="Q551" s="21">
        <v>468.27</v>
      </c>
      <c r="R551" s="21">
        <v>0</v>
      </c>
      <c r="S551" s="5">
        <f t="shared" si="35"/>
        <v>98108.872000000047</v>
      </c>
      <c r="T551" cm="1">
        <f t="array" ref="T551">IF(OR(B551="MAL ALIMI", B551="ÜRETİM GİRİŞ"), MIN(I551, MAX(0, I551 + SUM(SUMIFS($I$1:I550, $C$1:C550, C551, $B$1:B550, {"MAL ALIMI","ÜRETİM GİRİŞ"})) - VLOOKUP(C551, 'STOK RAPORU'!$C$2:$I$1000, 4, 0))), 0)</f>
        <v>0</v>
      </c>
      <c r="U551" s="22">
        <f t="shared" si="32"/>
        <v>0</v>
      </c>
      <c r="V551">
        <f t="shared" si="33"/>
        <v>0</v>
      </c>
      <c r="W551" s="22">
        <f t="shared" si="34"/>
        <v>0</v>
      </c>
    </row>
    <row r="552" spans="1:23" hidden="1" x14ac:dyDescent="0.25">
      <c r="A552" s="3">
        <v>45962</v>
      </c>
      <c r="B552" s="4" t="s">
        <v>1467</v>
      </c>
      <c r="C552" s="4" t="s">
        <v>648</v>
      </c>
      <c r="D552" s="4"/>
      <c r="E552" s="4"/>
      <c r="F552" s="4"/>
      <c r="G552" s="4" t="s">
        <v>1468</v>
      </c>
      <c r="H552" s="4" t="s">
        <v>1466</v>
      </c>
      <c r="I552" s="4">
        <v>0.94599999999999995</v>
      </c>
      <c r="J552" s="21">
        <v>435</v>
      </c>
      <c r="K552" s="21">
        <v>0</v>
      </c>
      <c r="L552" s="5">
        <v>0</v>
      </c>
      <c r="M552" s="4"/>
      <c r="N552" s="4"/>
      <c r="O552" s="5"/>
      <c r="P552" s="5"/>
      <c r="Q552" s="21">
        <v>411.51</v>
      </c>
      <c r="R552" s="21">
        <v>0</v>
      </c>
      <c r="S552" s="5">
        <f t="shared" si="35"/>
        <v>98520.382000000041</v>
      </c>
      <c r="T552" cm="1">
        <f t="array" ref="T552">IF(OR(B552="MAL ALIMI", B552="ÜRETİM GİRİŞ"), MIN(I552, MAX(0, I552 + SUM(SUMIFS($I$1:I551, $C$1:C551, C552, $B$1:B551, {"MAL ALIMI","ÜRETİM GİRİŞ"})) - VLOOKUP(C552, 'STOK RAPORU'!$C$2:$I$1000, 4, 0))), 0)</f>
        <v>0</v>
      </c>
      <c r="U552" s="22">
        <f t="shared" si="32"/>
        <v>0</v>
      </c>
      <c r="V552">
        <f t="shared" si="33"/>
        <v>0</v>
      </c>
      <c r="W552" s="22">
        <f t="shared" si="34"/>
        <v>0</v>
      </c>
    </row>
    <row r="553" spans="1:23" hidden="1" x14ac:dyDescent="0.25">
      <c r="A553" s="3">
        <v>45962</v>
      </c>
      <c r="B553" s="4" t="s">
        <v>1467</v>
      </c>
      <c r="C553" s="4" t="s">
        <v>246</v>
      </c>
      <c r="D553" s="4"/>
      <c r="E553" s="4"/>
      <c r="F553" s="4"/>
      <c r="G553" s="4" t="s">
        <v>1468</v>
      </c>
      <c r="H553" s="4" t="s">
        <v>1466</v>
      </c>
      <c r="I553" s="4">
        <v>0.48</v>
      </c>
      <c r="J553" s="21">
        <v>1150</v>
      </c>
      <c r="K553" s="21">
        <v>0</v>
      </c>
      <c r="L553" s="5">
        <v>0</v>
      </c>
      <c r="M553" s="4"/>
      <c r="N553" s="4"/>
      <c r="O553" s="5"/>
      <c r="P553" s="5"/>
      <c r="Q553" s="21">
        <v>552</v>
      </c>
      <c r="R553" s="21">
        <v>0</v>
      </c>
      <c r="S553" s="5">
        <f t="shared" si="35"/>
        <v>99072.382000000041</v>
      </c>
      <c r="T553" cm="1">
        <f t="array" ref="T553">IF(OR(B553="MAL ALIMI", B553="ÜRETİM GİRİŞ"), MIN(I553, MAX(0, I553 + SUM(SUMIFS($I$1:I552, $C$1:C552, C553, $B$1:B552, {"MAL ALIMI","ÜRETİM GİRİŞ"})) - VLOOKUP(C553, 'STOK RAPORU'!$C$2:$I$1000, 4, 0))), 0)</f>
        <v>0</v>
      </c>
      <c r="U553" s="22">
        <f t="shared" si="32"/>
        <v>0</v>
      </c>
      <c r="V553">
        <f t="shared" si="33"/>
        <v>0</v>
      </c>
      <c r="W553" s="22">
        <f t="shared" si="34"/>
        <v>0</v>
      </c>
    </row>
    <row r="554" spans="1:23" hidden="1" x14ac:dyDescent="0.25">
      <c r="A554" s="3">
        <v>45962</v>
      </c>
      <c r="B554" s="4" t="s">
        <v>1469</v>
      </c>
      <c r="C554" s="4" t="s">
        <v>634</v>
      </c>
      <c r="D554" s="4"/>
      <c r="E554" s="4"/>
      <c r="F554" s="4"/>
      <c r="G554" s="4" t="s">
        <v>1468</v>
      </c>
      <c r="H554" s="4" t="s">
        <v>1466</v>
      </c>
      <c r="I554" s="4">
        <v>2.8519999999999999</v>
      </c>
      <c r="J554" s="21">
        <v>678.74447399999997</v>
      </c>
      <c r="K554" s="21">
        <v>0</v>
      </c>
      <c r="L554" s="5">
        <v>0</v>
      </c>
      <c r="M554" s="4"/>
      <c r="N554" s="4"/>
      <c r="O554" s="5"/>
      <c r="P554" s="5"/>
      <c r="Q554" s="21">
        <v>0</v>
      </c>
      <c r="R554" s="21">
        <v>1935.7792398479999</v>
      </c>
      <c r="S554" s="5">
        <f t="shared" si="35"/>
        <v>97136.602760152047</v>
      </c>
      <c r="T554" cm="1">
        <f t="array" ref="T554">IF(OR(B554="MAL ALIMI", B554="ÜRETİM GİRİŞ"), MIN(I554, MAX(0, I554 + SUM(SUMIFS($I$1:I553, $C$1:C553, C554, $B$1:B553, {"MAL ALIMI","ÜRETİM GİRİŞ"})) - VLOOKUP(C554, 'STOK RAPORU'!$C$2:$I$1000, 4, 0))), 0)</f>
        <v>0</v>
      </c>
      <c r="U554" s="22">
        <f t="shared" si="32"/>
        <v>0</v>
      </c>
      <c r="V554">
        <f t="shared" si="33"/>
        <v>1935.7792398479999</v>
      </c>
      <c r="W554" s="22">
        <f t="shared" si="34"/>
        <v>1935.7792398479999</v>
      </c>
    </row>
    <row r="555" spans="1:23" hidden="1" x14ac:dyDescent="0.25">
      <c r="A555" s="3">
        <v>45963</v>
      </c>
      <c r="B555" s="4" t="s">
        <v>298</v>
      </c>
      <c r="C555" s="4" t="s">
        <v>503</v>
      </c>
      <c r="D555" s="4"/>
      <c r="E555" s="4" t="s">
        <v>856</v>
      </c>
      <c r="F555" s="4">
        <v>259</v>
      </c>
      <c r="G555" s="4" t="s">
        <v>498</v>
      </c>
      <c r="H555" s="4" t="s">
        <v>1329</v>
      </c>
      <c r="I555" s="4">
        <v>1</v>
      </c>
      <c r="J555" s="35">
        <v>89.9</v>
      </c>
      <c r="K555" s="35">
        <v>0</v>
      </c>
      <c r="L555" s="5">
        <v>89.9</v>
      </c>
      <c r="M555" s="31"/>
      <c r="N555" s="31">
        <v>1</v>
      </c>
      <c r="O555" s="32"/>
      <c r="P555" s="32">
        <v>89.9</v>
      </c>
      <c r="Q555" s="35">
        <v>0</v>
      </c>
      <c r="R555" s="35">
        <v>0</v>
      </c>
      <c r="S555" s="5">
        <f t="shared" si="35"/>
        <v>97136.602760152047</v>
      </c>
      <c r="T555" cm="1">
        <f t="array" ref="T555">IF(OR(B555="MAL ALIMI", B555="ÜRETİM GİRİŞ"), MIN(I555, MAX(0, I555 + SUM(SUMIFS($I$1:I554, $C$1:C554, C555, $B$1:B554, {"MAL ALIMI","ÜRETİM GİRİŞ"})) - VLOOKUP(C555, 'STOK RAPORU'!$C$2:$I$1000, 4, 0))), 0)</f>
        <v>0</v>
      </c>
      <c r="U555" s="22">
        <f t="shared" si="32"/>
        <v>0</v>
      </c>
      <c r="V555">
        <f t="shared" si="33"/>
        <v>89.9</v>
      </c>
      <c r="W555" s="22">
        <f t="shared" si="34"/>
        <v>89.9</v>
      </c>
    </row>
    <row r="556" spans="1:23" hidden="1" x14ac:dyDescent="0.25">
      <c r="A556" s="3">
        <v>45963</v>
      </c>
      <c r="B556" s="4" t="s">
        <v>298</v>
      </c>
      <c r="C556" s="4" t="s">
        <v>504</v>
      </c>
      <c r="D556" s="4"/>
      <c r="E556" s="4" t="s">
        <v>856</v>
      </c>
      <c r="F556" s="4">
        <v>259</v>
      </c>
      <c r="G556" s="4" t="s">
        <v>498</v>
      </c>
      <c r="H556" s="4" t="s">
        <v>1329</v>
      </c>
      <c r="I556" s="4">
        <v>1</v>
      </c>
      <c r="J556" s="35">
        <v>89.9</v>
      </c>
      <c r="K556" s="35">
        <v>0</v>
      </c>
      <c r="L556" s="5">
        <v>89.9</v>
      </c>
      <c r="M556" s="31"/>
      <c r="N556" s="31">
        <v>1</v>
      </c>
      <c r="O556" s="32"/>
      <c r="P556" s="32">
        <v>89.9</v>
      </c>
      <c r="Q556" s="35">
        <v>0</v>
      </c>
      <c r="R556" s="35">
        <v>0</v>
      </c>
      <c r="S556" s="5">
        <f t="shared" si="35"/>
        <v>97136.602760152047</v>
      </c>
      <c r="T556" cm="1">
        <f t="array" ref="T556">IF(OR(B556="MAL ALIMI", B556="ÜRETİM GİRİŞ"), MIN(I556, MAX(0, I556 + SUM(SUMIFS($I$1:I555, $C$1:C555, C556, $B$1:B555, {"MAL ALIMI","ÜRETİM GİRİŞ"})) - VLOOKUP(C556, 'STOK RAPORU'!$C$2:$I$1000, 4, 0))), 0)</f>
        <v>1</v>
      </c>
      <c r="U556" s="22">
        <f t="shared" si="32"/>
        <v>89.9</v>
      </c>
      <c r="V556">
        <f t="shared" si="33"/>
        <v>89.9</v>
      </c>
      <c r="W556" s="22">
        <f t="shared" si="34"/>
        <v>0</v>
      </c>
    </row>
    <row r="557" spans="1:23" hidden="1" x14ac:dyDescent="0.25">
      <c r="A557" s="3">
        <v>45963</v>
      </c>
      <c r="B557" s="4" t="s">
        <v>298</v>
      </c>
      <c r="C557" s="4" t="s">
        <v>493</v>
      </c>
      <c r="D557" s="4"/>
      <c r="E557" s="4" t="s">
        <v>856</v>
      </c>
      <c r="F557" s="4">
        <v>259</v>
      </c>
      <c r="G557" s="4" t="s">
        <v>498</v>
      </c>
      <c r="H557" s="4" t="s">
        <v>1329</v>
      </c>
      <c r="I557" s="4">
        <v>1</v>
      </c>
      <c r="J557" s="35">
        <v>119</v>
      </c>
      <c r="K557" s="35">
        <v>0</v>
      </c>
      <c r="L557" s="5">
        <v>119</v>
      </c>
      <c r="M557" s="31"/>
      <c r="N557" s="31">
        <v>1</v>
      </c>
      <c r="O557" s="32"/>
      <c r="P557" s="32">
        <v>119</v>
      </c>
      <c r="Q557" s="35">
        <v>0</v>
      </c>
      <c r="R557" s="35">
        <v>0</v>
      </c>
      <c r="S557" s="5">
        <f t="shared" si="35"/>
        <v>97136.602760152047</v>
      </c>
      <c r="T557" cm="1">
        <f t="array" ref="T557">IF(OR(B557="MAL ALIMI", B557="ÜRETİM GİRİŞ"), MIN(I557, MAX(0, I557 + SUM(SUMIFS($I$1:I556, $C$1:C556, C557, $B$1:B556, {"MAL ALIMI","ÜRETİM GİRİŞ"})) - VLOOKUP(C557, 'STOK RAPORU'!$C$2:$I$1000, 4, 0))), 0)</f>
        <v>0</v>
      </c>
      <c r="U557" s="22">
        <f t="shared" si="32"/>
        <v>0</v>
      </c>
      <c r="V557">
        <f t="shared" si="33"/>
        <v>119</v>
      </c>
      <c r="W557" s="22">
        <f t="shared" si="34"/>
        <v>119</v>
      </c>
    </row>
    <row r="558" spans="1:23" hidden="1" x14ac:dyDescent="0.25">
      <c r="A558" s="3">
        <v>45963</v>
      </c>
      <c r="B558" s="4" t="s">
        <v>298</v>
      </c>
      <c r="C558" s="4" t="s">
        <v>505</v>
      </c>
      <c r="D558" s="4"/>
      <c r="E558" s="4" t="s">
        <v>856</v>
      </c>
      <c r="F558" s="4">
        <v>259</v>
      </c>
      <c r="G558" s="4" t="s">
        <v>498</v>
      </c>
      <c r="H558" s="4" t="s">
        <v>1329</v>
      </c>
      <c r="I558" s="4">
        <v>1</v>
      </c>
      <c r="J558" s="35">
        <v>119</v>
      </c>
      <c r="K558" s="35">
        <v>0</v>
      </c>
      <c r="L558" s="5">
        <v>119</v>
      </c>
      <c r="M558" s="31"/>
      <c r="N558" s="31">
        <v>1</v>
      </c>
      <c r="O558" s="32"/>
      <c r="P558" s="32">
        <v>119</v>
      </c>
      <c r="Q558" s="35">
        <v>0</v>
      </c>
      <c r="R558" s="35">
        <v>0</v>
      </c>
      <c r="S558" s="5">
        <f t="shared" si="35"/>
        <v>97136.602760152047</v>
      </c>
      <c r="T558" cm="1">
        <f t="array" ref="T558">IF(OR(B558="MAL ALIMI", B558="ÜRETİM GİRİŞ"), MIN(I558, MAX(0, I558 + SUM(SUMIFS($I$1:I557, $C$1:C557, C558, $B$1:B557, {"MAL ALIMI","ÜRETİM GİRİŞ"})) - VLOOKUP(C558, 'STOK RAPORU'!$C$2:$I$1000, 4, 0))), 0)</f>
        <v>0</v>
      </c>
      <c r="U558" s="22">
        <f t="shared" si="32"/>
        <v>0</v>
      </c>
      <c r="V558">
        <f t="shared" si="33"/>
        <v>119</v>
      </c>
      <c r="W558" s="22">
        <f t="shared" si="34"/>
        <v>119</v>
      </c>
    </row>
    <row r="559" spans="1:23" hidden="1" x14ac:dyDescent="0.25">
      <c r="A559" s="3">
        <v>45963</v>
      </c>
      <c r="B559" s="4" t="s">
        <v>298</v>
      </c>
      <c r="C559" s="4" t="s">
        <v>491</v>
      </c>
      <c r="D559" s="4"/>
      <c r="E559" s="4" t="s">
        <v>856</v>
      </c>
      <c r="F559" s="4">
        <v>259</v>
      </c>
      <c r="G559" s="4" t="s">
        <v>498</v>
      </c>
      <c r="H559" s="4" t="s">
        <v>1329</v>
      </c>
      <c r="I559" s="4">
        <v>3</v>
      </c>
      <c r="J559" s="35">
        <v>109</v>
      </c>
      <c r="K559" s="35">
        <v>0</v>
      </c>
      <c r="L559" s="5">
        <v>327</v>
      </c>
      <c r="M559" s="31"/>
      <c r="N559" s="31">
        <v>3</v>
      </c>
      <c r="O559" s="32"/>
      <c r="P559" s="32">
        <v>109</v>
      </c>
      <c r="Q559" s="35">
        <v>0</v>
      </c>
      <c r="R559" s="35">
        <v>0</v>
      </c>
      <c r="S559" s="5">
        <f t="shared" si="35"/>
        <v>97136.602760152047</v>
      </c>
      <c r="T559" cm="1">
        <f t="array" ref="T559">IF(OR(B559="MAL ALIMI", B559="ÜRETİM GİRİŞ"), MIN(I559, MAX(0, I559 + SUM(SUMIFS($I$1:I558, $C$1:C558, C559, $B$1:B558, {"MAL ALIMI","ÜRETİM GİRİŞ"})) - VLOOKUP(C559, 'STOK RAPORU'!$C$2:$I$1000, 4, 0))), 0)</f>
        <v>3</v>
      </c>
      <c r="U559" s="22">
        <f t="shared" si="32"/>
        <v>327</v>
      </c>
      <c r="V559">
        <f t="shared" si="33"/>
        <v>327</v>
      </c>
      <c r="W559" s="22">
        <f t="shared" si="34"/>
        <v>0</v>
      </c>
    </row>
    <row r="560" spans="1:23" hidden="1" x14ac:dyDescent="0.25">
      <c r="A560" s="3">
        <v>45963</v>
      </c>
      <c r="B560" s="4" t="s">
        <v>298</v>
      </c>
      <c r="C560" s="4" t="s">
        <v>492</v>
      </c>
      <c r="D560" s="4"/>
      <c r="E560" s="4" t="s">
        <v>856</v>
      </c>
      <c r="F560" s="4">
        <v>259</v>
      </c>
      <c r="G560" s="4" t="s">
        <v>498</v>
      </c>
      <c r="H560" s="4" t="s">
        <v>1329</v>
      </c>
      <c r="I560" s="4">
        <v>3</v>
      </c>
      <c r="J560" s="35">
        <v>109</v>
      </c>
      <c r="K560" s="35">
        <v>0</v>
      </c>
      <c r="L560" s="5">
        <v>327</v>
      </c>
      <c r="M560" s="31"/>
      <c r="N560" s="31">
        <v>3</v>
      </c>
      <c r="O560" s="32"/>
      <c r="P560" s="32">
        <v>109</v>
      </c>
      <c r="Q560" s="35">
        <v>0</v>
      </c>
      <c r="R560" s="35">
        <v>0</v>
      </c>
      <c r="S560" s="5">
        <f t="shared" si="35"/>
        <v>97136.602760152047</v>
      </c>
      <c r="T560" cm="1">
        <f t="array" ref="T560">IF(OR(B560="MAL ALIMI", B560="ÜRETİM GİRİŞ"), MIN(I560, MAX(0, I560 + SUM(SUMIFS($I$1:I559, $C$1:C559, C560, $B$1:B559, {"MAL ALIMI","ÜRETİM GİRİŞ"})) - VLOOKUP(C560, 'STOK RAPORU'!$C$2:$I$1000, 4, 0))), 0)</f>
        <v>3</v>
      </c>
      <c r="U560" s="22">
        <f t="shared" si="32"/>
        <v>327</v>
      </c>
      <c r="V560">
        <f t="shared" si="33"/>
        <v>327</v>
      </c>
      <c r="W560" s="22">
        <f t="shared" si="34"/>
        <v>0</v>
      </c>
    </row>
    <row r="561" spans="1:23" hidden="1" x14ac:dyDescent="0.25">
      <c r="A561" s="3">
        <v>45963</v>
      </c>
      <c r="B561" s="4" t="s">
        <v>298</v>
      </c>
      <c r="C561" s="4" t="s">
        <v>506</v>
      </c>
      <c r="D561" s="4"/>
      <c r="E561" s="4" t="s">
        <v>856</v>
      </c>
      <c r="F561" s="4">
        <v>259</v>
      </c>
      <c r="G561" s="4" t="s">
        <v>498</v>
      </c>
      <c r="H561" s="4" t="s">
        <v>1329</v>
      </c>
      <c r="I561" s="4">
        <v>3</v>
      </c>
      <c r="J561" s="35">
        <v>129</v>
      </c>
      <c r="K561" s="35">
        <v>0</v>
      </c>
      <c r="L561" s="5">
        <v>387</v>
      </c>
      <c r="M561" s="31"/>
      <c r="N561" s="31">
        <v>3</v>
      </c>
      <c r="O561" s="32"/>
      <c r="P561" s="32">
        <v>129</v>
      </c>
      <c r="Q561" s="35">
        <v>0</v>
      </c>
      <c r="R561" s="35">
        <v>0</v>
      </c>
      <c r="S561" s="5">
        <f t="shared" si="35"/>
        <v>97136.602760152047</v>
      </c>
      <c r="T561" t="e" cm="1">
        <f t="array" ref="T561">IF(OR(B561="MAL ALIMI", B561="ÜRETİM GİRİŞ"), MIN(I561, MAX(0, I561 + SUM(SUMIFS($I$1:I560, $C$1:C560, C561, $B$1:B560, {"MAL ALIMI","ÜRETİM GİRİŞ"})) - VLOOKUP(C561, 'STOK RAPORU'!$C$2:$I$1000, 4, 0))), 0)</f>
        <v>#N/A</v>
      </c>
      <c r="U561" s="22" t="e">
        <f t="shared" si="32"/>
        <v>#N/A</v>
      </c>
      <c r="V561">
        <f t="shared" si="33"/>
        <v>387</v>
      </c>
      <c r="W561" s="22" t="e">
        <f t="shared" si="34"/>
        <v>#N/A</v>
      </c>
    </row>
    <row r="562" spans="1:23" hidden="1" x14ac:dyDescent="0.25">
      <c r="A562" s="3">
        <v>45963</v>
      </c>
      <c r="B562" s="4" t="s">
        <v>298</v>
      </c>
      <c r="C562" s="4" t="s">
        <v>519</v>
      </c>
      <c r="D562" s="4"/>
      <c r="E562" s="4" t="s">
        <v>856</v>
      </c>
      <c r="F562" s="4">
        <v>259</v>
      </c>
      <c r="G562" s="4" t="s">
        <v>498</v>
      </c>
      <c r="H562" s="4" t="s">
        <v>1329</v>
      </c>
      <c r="I562" s="4">
        <v>1</v>
      </c>
      <c r="J562" s="35">
        <v>129</v>
      </c>
      <c r="K562" s="35">
        <v>0</v>
      </c>
      <c r="L562" s="5">
        <v>129</v>
      </c>
      <c r="M562" s="31"/>
      <c r="N562" s="31">
        <v>1</v>
      </c>
      <c r="O562" s="32"/>
      <c r="P562" s="32">
        <v>129</v>
      </c>
      <c r="Q562" s="35">
        <v>0</v>
      </c>
      <c r="R562" s="35">
        <v>0</v>
      </c>
      <c r="S562" s="5">
        <f t="shared" si="35"/>
        <v>97136.602760152047</v>
      </c>
      <c r="T562" cm="1">
        <f t="array" ref="T562">IF(OR(B562="MAL ALIMI", B562="ÜRETİM GİRİŞ"), MIN(I562, MAX(0, I562 + SUM(SUMIFS($I$1:I561, $C$1:C561, C562, $B$1:B561, {"MAL ALIMI","ÜRETİM GİRİŞ"})) - VLOOKUP(C562, 'STOK RAPORU'!$C$2:$I$1000, 4, 0))), 0)</f>
        <v>0</v>
      </c>
      <c r="U562" s="22">
        <f t="shared" si="32"/>
        <v>0</v>
      </c>
      <c r="V562">
        <f t="shared" si="33"/>
        <v>129</v>
      </c>
      <c r="W562" s="22">
        <f t="shared" si="34"/>
        <v>129</v>
      </c>
    </row>
    <row r="563" spans="1:23" hidden="1" x14ac:dyDescent="0.25">
      <c r="A563" s="3">
        <v>45963</v>
      </c>
      <c r="B563" s="4" t="s">
        <v>298</v>
      </c>
      <c r="C563" s="4" t="s">
        <v>517</v>
      </c>
      <c r="D563" s="4"/>
      <c r="E563" s="4" t="s">
        <v>856</v>
      </c>
      <c r="F563" s="4">
        <v>259</v>
      </c>
      <c r="G563" s="4" t="s">
        <v>498</v>
      </c>
      <c r="H563" s="4" t="s">
        <v>1329</v>
      </c>
      <c r="I563" s="4">
        <v>5</v>
      </c>
      <c r="J563" s="35">
        <v>69.900000000000006</v>
      </c>
      <c r="K563" s="35">
        <v>0</v>
      </c>
      <c r="L563" s="5">
        <v>349.5</v>
      </c>
      <c r="M563" s="31"/>
      <c r="N563" s="31">
        <v>5</v>
      </c>
      <c r="O563" s="32"/>
      <c r="P563" s="32">
        <v>69.900000000000006</v>
      </c>
      <c r="Q563" s="35">
        <v>0</v>
      </c>
      <c r="R563" s="35">
        <v>0</v>
      </c>
      <c r="S563" s="5">
        <f t="shared" si="35"/>
        <v>97136.602760152047</v>
      </c>
      <c r="T563" cm="1">
        <f t="array" ref="T563">IF(OR(B563="MAL ALIMI", B563="ÜRETİM GİRİŞ"), MIN(I563, MAX(0, I563 + SUM(SUMIFS($I$1:I562, $C$1:C562, C563, $B$1:B562, {"MAL ALIMI","ÜRETİM GİRİŞ"})) - VLOOKUP(C563, 'STOK RAPORU'!$C$2:$I$1000, 4, 0))), 0)</f>
        <v>0</v>
      </c>
      <c r="U563" s="22">
        <f t="shared" si="32"/>
        <v>0</v>
      </c>
      <c r="V563">
        <f t="shared" si="33"/>
        <v>349.5</v>
      </c>
      <c r="W563" s="22">
        <f t="shared" si="34"/>
        <v>349.5</v>
      </c>
    </row>
    <row r="564" spans="1:23" hidden="1" x14ac:dyDescent="0.25">
      <c r="A564" s="3">
        <v>45963</v>
      </c>
      <c r="B564" s="4" t="s">
        <v>298</v>
      </c>
      <c r="C564" s="4" t="s">
        <v>507</v>
      </c>
      <c r="D564" s="4"/>
      <c r="E564" s="4" t="s">
        <v>856</v>
      </c>
      <c r="F564" s="4">
        <v>259</v>
      </c>
      <c r="G564" s="4" t="s">
        <v>498</v>
      </c>
      <c r="H564" s="4" t="s">
        <v>1329</v>
      </c>
      <c r="I564" s="4">
        <v>2</v>
      </c>
      <c r="J564" s="35">
        <v>69.900000000000006</v>
      </c>
      <c r="K564" s="35">
        <v>0</v>
      </c>
      <c r="L564" s="5">
        <v>139.80000000000001</v>
      </c>
      <c r="M564" s="31"/>
      <c r="N564" s="31">
        <v>2</v>
      </c>
      <c r="O564" s="32"/>
      <c r="P564" s="32">
        <v>69.900000000000006</v>
      </c>
      <c r="Q564" s="35">
        <v>0</v>
      </c>
      <c r="R564" s="35">
        <v>0</v>
      </c>
      <c r="S564" s="5">
        <f t="shared" si="35"/>
        <v>97136.602760152047</v>
      </c>
      <c r="T564" cm="1">
        <f t="array" ref="T564">IF(OR(B564="MAL ALIMI", B564="ÜRETİM GİRİŞ"), MIN(I564, MAX(0, I564 + SUM(SUMIFS($I$1:I563, $C$1:C563, C564, $B$1:B563, {"MAL ALIMI","ÜRETİM GİRİŞ"})) - VLOOKUP(C564, 'STOK RAPORU'!$C$2:$I$1000, 4, 0))), 0)</f>
        <v>0</v>
      </c>
      <c r="U564" s="22">
        <f t="shared" si="32"/>
        <v>0</v>
      </c>
      <c r="V564">
        <f t="shared" si="33"/>
        <v>139.80000000000001</v>
      </c>
      <c r="W564" s="22">
        <f t="shared" si="34"/>
        <v>139.80000000000001</v>
      </c>
    </row>
    <row r="565" spans="1:23" hidden="1" x14ac:dyDescent="0.25">
      <c r="A565" s="3">
        <v>45963</v>
      </c>
      <c r="B565" s="3" t="s">
        <v>285</v>
      </c>
      <c r="C565" s="4"/>
      <c r="D565" s="4" t="s">
        <v>106</v>
      </c>
      <c r="E565" s="4" t="s">
        <v>856</v>
      </c>
      <c r="F565" s="4" t="s">
        <v>746</v>
      </c>
      <c r="G565" s="4" t="s">
        <v>747</v>
      </c>
      <c r="H565" s="4" t="s">
        <v>1329</v>
      </c>
      <c r="I565" s="4">
        <v>1</v>
      </c>
      <c r="J565" s="35">
        <v>1099</v>
      </c>
      <c r="K565" s="35">
        <v>0</v>
      </c>
      <c r="L565" s="5">
        <v>1099</v>
      </c>
      <c r="M565" s="31"/>
      <c r="N565" s="31">
        <v>1</v>
      </c>
      <c r="O565" s="32"/>
      <c r="P565" s="32">
        <v>1099</v>
      </c>
      <c r="Q565" s="35">
        <v>0</v>
      </c>
      <c r="R565" s="35">
        <v>0</v>
      </c>
      <c r="S565" s="5">
        <f t="shared" si="35"/>
        <v>97136.602760152047</v>
      </c>
      <c r="T565" cm="1">
        <f t="array" ref="T565">IF(OR(B565="MAL ALIMI", B565="ÜRETİM GİRİŞ"), MIN(I565, MAX(0, I565 + SUM(SUMIFS($I$1:I564, $C$1:C564, C565, $B$1:B564, {"MAL ALIMI","ÜRETİM GİRİŞ"})) - VLOOKUP(C565, 'STOK RAPORU'!$C$2:$I$1000, 4, 0))), 0)</f>
        <v>0</v>
      </c>
      <c r="U565" s="22">
        <f t="shared" si="32"/>
        <v>0</v>
      </c>
      <c r="V565">
        <f t="shared" si="33"/>
        <v>0</v>
      </c>
      <c r="W565" s="22">
        <f t="shared" si="34"/>
        <v>0</v>
      </c>
    </row>
    <row r="566" spans="1:23" hidden="1" x14ac:dyDescent="0.25">
      <c r="A566" s="3">
        <v>45963</v>
      </c>
      <c r="B566" s="4" t="s">
        <v>298</v>
      </c>
      <c r="C566" s="4" t="s">
        <v>796</v>
      </c>
      <c r="D566" s="4"/>
      <c r="E566" s="4" t="s">
        <v>856</v>
      </c>
      <c r="F566" s="4" t="s">
        <v>801</v>
      </c>
      <c r="G566" s="4" t="s">
        <v>742</v>
      </c>
      <c r="H566" s="4" t="s">
        <v>1329</v>
      </c>
      <c r="I566" s="4">
        <v>6</v>
      </c>
      <c r="J566" s="21">
        <v>145.33000000000001</v>
      </c>
      <c r="K566" s="21">
        <v>0</v>
      </c>
      <c r="L566" s="5">
        <v>871.98</v>
      </c>
      <c r="M566" s="4"/>
      <c r="N566" s="4">
        <v>6</v>
      </c>
      <c r="O566" s="5"/>
      <c r="P566" s="5">
        <v>145.33000000000001</v>
      </c>
      <c r="Q566" s="21">
        <v>0</v>
      </c>
      <c r="R566" s="21">
        <v>0</v>
      </c>
      <c r="S566" s="5">
        <f t="shared" si="35"/>
        <v>97136.602760152047</v>
      </c>
      <c r="T566" cm="1">
        <f t="array" ref="T566">IF(OR(B566="MAL ALIMI", B566="ÜRETİM GİRİŞ"), MIN(I566, MAX(0, I566 + SUM(SUMIFS($I$1:I565, $C$1:C565, C566, $B$1:B565, {"MAL ALIMI","ÜRETİM GİRİŞ"})) - VLOOKUP(C566, 'STOK RAPORU'!$C$2:$I$1000, 4, 0))), 0)</f>
        <v>0</v>
      </c>
      <c r="U566" s="22">
        <f t="shared" si="32"/>
        <v>0</v>
      </c>
      <c r="V566">
        <f t="shared" si="33"/>
        <v>871.98</v>
      </c>
      <c r="W566" s="22">
        <f t="shared" si="34"/>
        <v>871.98</v>
      </c>
    </row>
    <row r="567" spans="1:23" hidden="1" x14ac:dyDescent="0.25">
      <c r="A567" s="3">
        <v>45963</v>
      </c>
      <c r="B567" s="4" t="s">
        <v>298</v>
      </c>
      <c r="C567" s="4" t="s">
        <v>750</v>
      </c>
      <c r="D567" s="4"/>
      <c r="E567" s="4" t="s">
        <v>856</v>
      </c>
      <c r="F567" s="4" t="s">
        <v>802</v>
      </c>
      <c r="G567" s="4" t="s">
        <v>742</v>
      </c>
      <c r="H567" s="4" t="s">
        <v>1329</v>
      </c>
      <c r="I567" s="4">
        <v>6</v>
      </c>
      <c r="J567" s="21">
        <v>140</v>
      </c>
      <c r="K567" s="21">
        <v>0</v>
      </c>
      <c r="L567" s="5">
        <v>840</v>
      </c>
      <c r="M567" s="4"/>
      <c r="N567" s="4">
        <v>6</v>
      </c>
      <c r="O567" s="5"/>
      <c r="P567" s="5">
        <v>140</v>
      </c>
      <c r="Q567" s="21">
        <v>0</v>
      </c>
      <c r="R567" s="21">
        <v>0</v>
      </c>
      <c r="S567" s="5">
        <f t="shared" si="35"/>
        <v>97136.602760152047</v>
      </c>
      <c r="T567" cm="1">
        <f t="array" ref="T567">IF(OR(B567="MAL ALIMI", B567="ÜRETİM GİRİŞ"), MIN(I567, MAX(0, I567 + SUM(SUMIFS($I$1:I566, $C$1:C566, C567, $B$1:B566, {"MAL ALIMI","ÜRETİM GİRİŞ"})) - VLOOKUP(C567, 'STOK RAPORU'!$C$2:$I$1000, 4, 0))), 0)</f>
        <v>0</v>
      </c>
      <c r="U567" s="22">
        <f t="shared" si="32"/>
        <v>0</v>
      </c>
      <c r="V567">
        <f t="shared" si="33"/>
        <v>840</v>
      </c>
      <c r="W567" s="22">
        <f t="shared" si="34"/>
        <v>840</v>
      </c>
    </row>
    <row r="568" spans="1:23" hidden="1" x14ac:dyDescent="0.25">
      <c r="A568" s="3">
        <v>45964</v>
      </c>
      <c r="B568" s="4" t="s">
        <v>298</v>
      </c>
      <c r="C568" s="4" t="s">
        <v>505</v>
      </c>
      <c r="D568" s="4"/>
      <c r="E568" s="4" t="s">
        <v>856</v>
      </c>
      <c r="F568" s="4">
        <v>46</v>
      </c>
      <c r="G568" s="4" t="s">
        <v>498</v>
      </c>
      <c r="H568" s="4" t="s">
        <v>1329</v>
      </c>
      <c r="I568" s="4">
        <v>3</v>
      </c>
      <c r="J568" s="35">
        <v>119</v>
      </c>
      <c r="K568" s="35">
        <v>0</v>
      </c>
      <c r="L568" s="5">
        <v>357</v>
      </c>
      <c r="M568" s="31"/>
      <c r="N568" s="31">
        <v>3</v>
      </c>
      <c r="O568" s="32"/>
      <c r="P568" s="32">
        <v>119</v>
      </c>
      <c r="Q568" s="35">
        <v>0</v>
      </c>
      <c r="R568" s="35">
        <v>0</v>
      </c>
      <c r="S568" s="5">
        <f t="shared" si="35"/>
        <v>97136.602760152047</v>
      </c>
      <c r="T568" cm="1">
        <f t="array" ref="T568">IF(OR(B568="MAL ALIMI", B568="ÜRETİM GİRİŞ"), MIN(I568, MAX(0, I568 + SUM(SUMIFS($I$1:I567, $C$1:C567, C568, $B$1:B567, {"MAL ALIMI","ÜRETİM GİRİŞ"})) - VLOOKUP(C568, 'STOK RAPORU'!$C$2:$I$1000, 4, 0))), 0)</f>
        <v>0</v>
      </c>
      <c r="U568" s="22">
        <f t="shared" si="32"/>
        <v>0</v>
      </c>
      <c r="V568">
        <f t="shared" si="33"/>
        <v>357</v>
      </c>
      <c r="W568" s="22">
        <f t="shared" si="34"/>
        <v>357</v>
      </c>
    </row>
    <row r="569" spans="1:23" hidden="1" x14ac:dyDescent="0.25">
      <c r="A569" s="3">
        <v>45964</v>
      </c>
      <c r="B569" s="4" t="s">
        <v>298</v>
      </c>
      <c r="C569" s="4" t="s">
        <v>721</v>
      </c>
      <c r="D569" s="4"/>
      <c r="E569" s="4" t="s">
        <v>856</v>
      </c>
      <c r="F569" s="4" t="s">
        <v>738</v>
      </c>
      <c r="G569" s="4" t="s">
        <v>742</v>
      </c>
      <c r="H569" s="4" t="s">
        <v>1329</v>
      </c>
      <c r="I569" s="4">
        <v>6</v>
      </c>
      <c r="J569" s="35">
        <v>132.11666666666667</v>
      </c>
      <c r="K569" s="35">
        <v>0</v>
      </c>
      <c r="L569" s="5">
        <v>792.7</v>
      </c>
      <c r="M569" s="31"/>
      <c r="N569" s="31">
        <v>6</v>
      </c>
      <c r="O569" s="32"/>
      <c r="P569" s="32">
        <v>132.11666666666667</v>
      </c>
      <c r="Q569" s="35">
        <v>0</v>
      </c>
      <c r="R569" s="35">
        <v>0</v>
      </c>
      <c r="S569" s="5">
        <f t="shared" si="35"/>
        <v>97136.602760152047</v>
      </c>
      <c r="T569" cm="1">
        <f t="array" ref="T569">IF(OR(B569="MAL ALIMI", B569="ÜRETİM GİRİŞ"), MIN(I569, MAX(0, I569 + SUM(SUMIFS($I$1:I568, $C$1:C568, C569, $B$1:B568, {"MAL ALIMI","ÜRETİM GİRİŞ"})) - VLOOKUP(C569, 'STOK RAPORU'!$C$2:$I$1000, 4, 0))), 0)</f>
        <v>4</v>
      </c>
      <c r="U569" s="22">
        <f t="shared" si="32"/>
        <v>528.4666666666667</v>
      </c>
      <c r="V569">
        <f t="shared" si="33"/>
        <v>792.7</v>
      </c>
      <c r="W569" s="22">
        <f t="shared" si="34"/>
        <v>264.23333333333335</v>
      </c>
    </row>
    <row r="570" spans="1:23" hidden="1" x14ac:dyDescent="0.25">
      <c r="A570" s="3">
        <v>45964</v>
      </c>
      <c r="B570" s="4" t="s">
        <v>334</v>
      </c>
      <c r="C570" s="4" t="s">
        <v>126</v>
      </c>
      <c r="D570" s="4"/>
      <c r="E570" s="4"/>
      <c r="F570" s="4" t="s">
        <v>508</v>
      </c>
      <c r="G570" s="4" t="s">
        <v>336</v>
      </c>
      <c r="H570" s="4" t="s">
        <v>289</v>
      </c>
      <c r="I570" s="4">
        <v>7.9000000000000001E-2</v>
      </c>
      <c r="J570" s="21">
        <v>640</v>
      </c>
      <c r="K570" s="21">
        <v>0</v>
      </c>
      <c r="L570" s="5">
        <v>0</v>
      </c>
      <c r="M570" s="4">
        <v>7.9000000000000001E-2</v>
      </c>
      <c r="N570" s="4"/>
      <c r="O570" s="5">
        <v>640</v>
      </c>
      <c r="P570" s="5"/>
      <c r="Q570" s="21">
        <v>50.56</v>
      </c>
      <c r="R570" s="21">
        <v>0</v>
      </c>
      <c r="S570" s="5">
        <f t="shared" si="35"/>
        <v>97187.162760152045</v>
      </c>
      <c r="T570" cm="1">
        <f t="array" ref="T570">IF(OR(B570="MAL ALIMI", B570="ÜRETİM GİRİŞ"), MIN(I570, MAX(0, I570 + SUM(SUMIFS($I$1:I569, $C$1:C569, C570, $B$1:B569, {"MAL ALIMI","ÜRETİM GİRİŞ"})) - VLOOKUP(C570, 'STOK RAPORU'!$C$2:$I$1000, 4, 0))), 0)</f>
        <v>0</v>
      </c>
      <c r="U570" s="22">
        <f t="shared" si="32"/>
        <v>0</v>
      </c>
      <c r="V570">
        <f t="shared" si="33"/>
        <v>0</v>
      </c>
      <c r="W570" s="22">
        <f t="shared" si="34"/>
        <v>0</v>
      </c>
    </row>
    <row r="571" spans="1:23" hidden="1" x14ac:dyDescent="0.25">
      <c r="A571" s="3">
        <v>45964</v>
      </c>
      <c r="B571" s="4" t="s">
        <v>334</v>
      </c>
      <c r="C571" s="4" t="s">
        <v>131</v>
      </c>
      <c r="D571" s="4"/>
      <c r="E571" s="4"/>
      <c r="F571" s="4" t="s">
        <v>508</v>
      </c>
      <c r="G571" s="4" t="s">
        <v>336</v>
      </c>
      <c r="H571" s="4" t="s">
        <v>289</v>
      </c>
      <c r="I571" s="4">
        <v>0.17</v>
      </c>
      <c r="J571" s="21">
        <v>300</v>
      </c>
      <c r="K571" s="21">
        <v>0</v>
      </c>
      <c r="L571" s="5">
        <v>0</v>
      </c>
      <c r="M571" s="4">
        <v>0.17</v>
      </c>
      <c r="N571" s="4"/>
      <c r="O571" s="5">
        <v>300</v>
      </c>
      <c r="P571" s="5"/>
      <c r="Q571" s="21">
        <v>51.000000000000007</v>
      </c>
      <c r="R571" s="21">
        <v>0</v>
      </c>
      <c r="S571" s="5">
        <f t="shared" si="35"/>
        <v>97238.162760152045</v>
      </c>
      <c r="T571" cm="1">
        <f t="array" ref="T571">IF(OR(B571="MAL ALIMI", B571="ÜRETİM GİRİŞ"), MIN(I571, MAX(0, I571 + SUM(SUMIFS($I$1:I570, $C$1:C570, C571, $B$1:B570, {"MAL ALIMI","ÜRETİM GİRİŞ"})) - VLOOKUP(C571, 'STOK RAPORU'!$C$2:$I$1000, 4, 0))), 0)</f>
        <v>0</v>
      </c>
      <c r="U571" s="22">
        <f t="shared" si="32"/>
        <v>0</v>
      </c>
      <c r="V571">
        <f t="shared" si="33"/>
        <v>0</v>
      </c>
      <c r="W571" s="22">
        <f t="shared" si="34"/>
        <v>0</v>
      </c>
    </row>
    <row r="572" spans="1:23" hidden="1" x14ac:dyDescent="0.25">
      <c r="A572" s="3">
        <v>45964</v>
      </c>
      <c r="B572" s="4" t="s">
        <v>334</v>
      </c>
      <c r="C572" s="4" t="s">
        <v>91</v>
      </c>
      <c r="D572" s="4"/>
      <c r="E572" s="4"/>
      <c r="F572" s="4" t="s">
        <v>509</v>
      </c>
      <c r="G572" s="4" t="s">
        <v>336</v>
      </c>
      <c r="H572" s="4" t="s">
        <v>289</v>
      </c>
      <c r="I572" s="4">
        <v>0.1</v>
      </c>
      <c r="J572" s="21">
        <v>750</v>
      </c>
      <c r="K572" s="21">
        <v>0</v>
      </c>
      <c r="L572" s="5">
        <v>0</v>
      </c>
      <c r="M572" s="4">
        <v>0.1</v>
      </c>
      <c r="N572" s="4"/>
      <c r="O572" s="5">
        <v>750</v>
      </c>
      <c r="P572" s="5"/>
      <c r="Q572" s="21">
        <v>75</v>
      </c>
      <c r="R572" s="21">
        <v>0</v>
      </c>
      <c r="S572" s="5">
        <f t="shared" si="35"/>
        <v>97313.162760152045</v>
      </c>
      <c r="T572" cm="1">
        <f t="array" ref="T572">IF(OR(B572="MAL ALIMI", B572="ÜRETİM GİRİŞ"), MIN(I572, MAX(0, I572 + SUM(SUMIFS($I$1:I571, $C$1:C571, C572, $B$1:B571, {"MAL ALIMI","ÜRETİM GİRİŞ"})) - VLOOKUP(C572, 'STOK RAPORU'!$C$2:$I$1000, 4, 0))), 0)</f>
        <v>0</v>
      </c>
      <c r="U572" s="22">
        <f t="shared" si="32"/>
        <v>0</v>
      </c>
      <c r="V572">
        <f t="shared" si="33"/>
        <v>0</v>
      </c>
      <c r="W572" s="22">
        <f t="shared" si="34"/>
        <v>0</v>
      </c>
    </row>
    <row r="573" spans="1:23" hidden="1" x14ac:dyDescent="0.25">
      <c r="A573" s="3">
        <v>45964</v>
      </c>
      <c r="B573" s="4" t="s">
        <v>334</v>
      </c>
      <c r="C573" s="4" t="s">
        <v>156</v>
      </c>
      <c r="D573" s="4"/>
      <c r="E573" s="4"/>
      <c r="F573" s="4" t="s">
        <v>509</v>
      </c>
      <c r="G573" s="4" t="s">
        <v>336</v>
      </c>
      <c r="H573" s="4" t="s">
        <v>289</v>
      </c>
      <c r="I573" s="4">
        <v>0.56000000000000005</v>
      </c>
      <c r="J573" s="21">
        <v>180</v>
      </c>
      <c r="K573" s="21">
        <v>0</v>
      </c>
      <c r="L573" s="5">
        <v>0</v>
      </c>
      <c r="M573" s="4">
        <v>0.56000000000000005</v>
      </c>
      <c r="N573" s="4"/>
      <c r="O573" s="5">
        <v>180</v>
      </c>
      <c r="P573" s="5"/>
      <c r="Q573" s="21">
        <v>100.80000000000001</v>
      </c>
      <c r="R573" s="21">
        <v>0</v>
      </c>
      <c r="S573" s="5">
        <f t="shared" si="35"/>
        <v>97413.962760152048</v>
      </c>
      <c r="T573" cm="1">
        <f t="array" ref="T573">IF(OR(B573="MAL ALIMI", B573="ÜRETİM GİRİŞ"), MIN(I573, MAX(0, I573 + SUM(SUMIFS($I$1:I572, $C$1:C572, C573, $B$1:B572, {"MAL ALIMI","ÜRETİM GİRİŞ"})) - VLOOKUP(C573, 'STOK RAPORU'!$C$2:$I$1000, 4, 0))), 0)</f>
        <v>0</v>
      </c>
      <c r="U573" s="22">
        <f t="shared" si="32"/>
        <v>0</v>
      </c>
      <c r="V573">
        <f t="shared" si="33"/>
        <v>0</v>
      </c>
      <c r="W573" s="22">
        <f t="shared" si="34"/>
        <v>0</v>
      </c>
    </row>
    <row r="574" spans="1:23" hidden="1" x14ac:dyDescent="0.25">
      <c r="A574" s="3">
        <v>45964</v>
      </c>
      <c r="B574" s="4" t="s">
        <v>334</v>
      </c>
      <c r="C574" s="4" t="s">
        <v>126</v>
      </c>
      <c r="D574" s="4"/>
      <c r="E574" s="4"/>
      <c r="F574" s="4" t="s">
        <v>509</v>
      </c>
      <c r="G574" s="4" t="s">
        <v>336</v>
      </c>
      <c r="H574" s="4" t="s">
        <v>289</v>
      </c>
      <c r="I574" s="4">
        <v>7.9000000000000001E-2</v>
      </c>
      <c r="J574" s="21">
        <v>640</v>
      </c>
      <c r="K574" s="21">
        <v>0</v>
      </c>
      <c r="L574" s="5">
        <v>0</v>
      </c>
      <c r="M574" s="4">
        <v>7.9000000000000001E-2</v>
      </c>
      <c r="N574" s="4"/>
      <c r="O574" s="5">
        <v>640</v>
      </c>
      <c r="P574" s="5"/>
      <c r="Q574" s="21">
        <v>50.56</v>
      </c>
      <c r="R574" s="21">
        <v>0</v>
      </c>
      <c r="S574" s="5">
        <f t="shared" si="35"/>
        <v>97464.522760152046</v>
      </c>
      <c r="T574" cm="1">
        <f t="array" ref="T574">IF(OR(B574="MAL ALIMI", B574="ÜRETİM GİRİŞ"), MIN(I574, MAX(0, I574 + SUM(SUMIFS($I$1:I573, $C$1:C573, C574, $B$1:B573, {"MAL ALIMI","ÜRETİM GİRİŞ"})) - VLOOKUP(C574, 'STOK RAPORU'!$C$2:$I$1000, 4, 0))), 0)</f>
        <v>0</v>
      </c>
      <c r="U574" s="22">
        <f t="shared" si="32"/>
        <v>0</v>
      </c>
      <c r="V574">
        <f t="shared" si="33"/>
        <v>0</v>
      </c>
      <c r="W574" s="22">
        <f t="shared" si="34"/>
        <v>0</v>
      </c>
    </row>
    <row r="575" spans="1:23" hidden="1" x14ac:dyDescent="0.25">
      <c r="A575" s="3">
        <v>45964</v>
      </c>
      <c r="B575" s="4" t="s">
        <v>334</v>
      </c>
      <c r="C575" s="4" t="s">
        <v>131</v>
      </c>
      <c r="D575" s="4"/>
      <c r="E575" s="4"/>
      <c r="F575" s="4" t="s">
        <v>525</v>
      </c>
      <c r="G575" s="4" t="s">
        <v>336</v>
      </c>
      <c r="H575" s="4" t="s">
        <v>289</v>
      </c>
      <c r="I575" s="4">
        <v>0.1</v>
      </c>
      <c r="J575" s="21">
        <v>300</v>
      </c>
      <c r="K575" s="21">
        <v>0</v>
      </c>
      <c r="L575" s="5">
        <v>0</v>
      </c>
      <c r="M575" s="4">
        <v>0.1</v>
      </c>
      <c r="N575" s="4"/>
      <c r="O575" s="5">
        <v>300</v>
      </c>
      <c r="P575" s="5"/>
      <c r="Q575" s="21">
        <v>30</v>
      </c>
      <c r="R575" s="21">
        <v>0</v>
      </c>
      <c r="S575" s="5">
        <f t="shared" si="35"/>
        <v>97494.522760152046</v>
      </c>
      <c r="T575" cm="1">
        <f t="array" ref="T575">IF(OR(B575="MAL ALIMI", B575="ÜRETİM GİRİŞ"), MIN(I575, MAX(0, I575 + SUM(SUMIFS($I$1:I574, $C$1:C574, C575, $B$1:B574, {"MAL ALIMI","ÜRETİM GİRİŞ"})) - VLOOKUP(C575, 'STOK RAPORU'!$C$2:$I$1000, 4, 0))), 0)</f>
        <v>0</v>
      </c>
      <c r="U575" s="22">
        <f t="shared" si="32"/>
        <v>0</v>
      </c>
      <c r="V575">
        <f t="shared" si="33"/>
        <v>0</v>
      </c>
      <c r="W575" s="22">
        <f t="shared" si="34"/>
        <v>0</v>
      </c>
    </row>
    <row r="576" spans="1:23" hidden="1" x14ac:dyDescent="0.25">
      <c r="A576" s="3">
        <v>45964</v>
      </c>
      <c r="B576" s="4" t="s">
        <v>334</v>
      </c>
      <c r="C576" s="4" t="s">
        <v>160</v>
      </c>
      <c r="D576" s="4"/>
      <c r="E576" s="4"/>
      <c r="F576" s="4" t="s">
        <v>526</v>
      </c>
      <c r="G576" s="4" t="s">
        <v>336</v>
      </c>
      <c r="H576" s="4" t="s">
        <v>289</v>
      </c>
      <c r="I576" s="4">
        <v>1</v>
      </c>
      <c r="J576" s="21">
        <v>240</v>
      </c>
      <c r="K576" s="21">
        <v>0</v>
      </c>
      <c r="L576" s="5">
        <v>0</v>
      </c>
      <c r="M576" s="4">
        <v>1</v>
      </c>
      <c r="N576" s="4"/>
      <c r="O576" s="5">
        <v>240</v>
      </c>
      <c r="P576" s="5"/>
      <c r="Q576" s="21">
        <v>240</v>
      </c>
      <c r="R576" s="21">
        <v>0</v>
      </c>
      <c r="S576" s="5">
        <f t="shared" si="35"/>
        <v>97734.522760152046</v>
      </c>
      <c r="T576" cm="1">
        <f t="array" ref="T576">IF(OR(B576="MAL ALIMI", B576="ÜRETİM GİRİŞ"), MIN(I576, MAX(0, I576 + SUM(SUMIFS($I$1:I575, $C$1:C575, C576, $B$1:B575, {"MAL ALIMI","ÜRETİM GİRİŞ"})) - VLOOKUP(C576, 'STOK RAPORU'!$C$2:$I$1000, 4, 0))), 0)</f>
        <v>0</v>
      </c>
      <c r="U576" s="22">
        <f t="shared" si="32"/>
        <v>0</v>
      </c>
      <c r="V576">
        <f t="shared" si="33"/>
        <v>0</v>
      </c>
      <c r="W576" s="22">
        <f t="shared" si="34"/>
        <v>0</v>
      </c>
    </row>
    <row r="577" spans="1:23" hidden="1" x14ac:dyDescent="0.25">
      <c r="A577" s="3">
        <v>45965</v>
      </c>
      <c r="B577" s="4" t="s">
        <v>298</v>
      </c>
      <c r="C577" s="4" t="s">
        <v>549</v>
      </c>
      <c r="D577" s="4"/>
      <c r="E577" s="4" t="s">
        <v>555</v>
      </c>
      <c r="F577" s="4" t="s">
        <v>554</v>
      </c>
      <c r="G577" s="4" t="s">
        <v>555</v>
      </c>
      <c r="H577" s="4" t="s">
        <v>304</v>
      </c>
      <c r="I577" s="4">
        <v>50</v>
      </c>
      <c r="J577" s="21">
        <v>150</v>
      </c>
      <c r="K577" s="21">
        <v>0</v>
      </c>
      <c r="L577" s="5">
        <v>7500</v>
      </c>
      <c r="M577" s="4"/>
      <c r="N577" s="4">
        <v>50</v>
      </c>
      <c r="O577" s="5"/>
      <c r="P577" s="5">
        <v>150</v>
      </c>
      <c r="Q577" s="21">
        <v>0</v>
      </c>
      <c r="R577" s="21">
        <v>0</v>
      </c>
      <c r="S577" s="5">
        <f t="shared" si="35"/>
        <v>97734.522760152046</v>
      </c>
      <c r="T577" cm="1">
        <f t="array" ref="T577">IF(OR(B577="MAL ALIMI", B577="ÜRETİM GİRİŞ"), MIN(I577, MAX(0, I577 + SUM(SUMIFS($I$1:I576, $C$1:C576, C577, $B$1:B576, {"MAL ALIMI","ÜRETİM GİRİŞ"})) - VLOOKUP(C577, 'STOK RAPORU'!$C$2:$I$1000, 4, 0))), 0)</f>
        <v>48</v>
      </c>
      <c r="U577" s="22">
        <f t="shared" si="32"/>
        <v>7200</v>
      </c>
      <c r="V577">
        <f t="shared" si="33"/>
        <v>7500</v>
      </c>
      <c r="W577" s="22">
        <f t="shared" si="34"/>
        <v>300</v>
      </c>
    </row>
    <row r="578" spans="1:23" hidden="1" x14ac:dyDescent="0.25">
      <c r="A578" s="3">
        <v>45965</v>
      </c>
      <c r="B578" s="4" t="s">
        <v>298</v>
      </c>
      <c r="C578" s="4" t="s">
        <v>550</v>
      </c>
      <c r="D578" s="4"/>
      <c r="E578" s="4" t="s">
        <v>555</v>
      </c>
      <c r="F578" s="4" t="s">
        <v>554</v>
      </c>
      <c r="G578" s="4" t="s">
        <v>555</v>
      </c>
      <c r="H578" s="4" t="s">
        <v>304</v>
      </c>
      <c r="I578" s="4">
        <v>50</v>
      </c>
      <c r="J578" s="21">
        <v>300</v>
      </c>
      <c r="K578" s="21">
        <v>0</v>
      </c>
      <c r="L578" s="5">
        <v>15000</v>
      </c>
      <c r="M578" s="4"/>
      <c r="N578" s="4">
        <v>50</v>
      </c>
      <c r="O578" s="5"/>
      <c r="P578" s="5">
        <v>300</v>
      </c>
      <c r="Q578" s="21">
        <v>0</v>
      </c>
      <c r="R578" s="21">
        <v>0</v>
      </c>
      <c r="S578" s="5">
        <f t="shared" si="35"/>
        <v>97734.522760152046</v>
      </c>
      <c r="T578" cm="1">
        <f t="array" ref="T578">IF(OR(B578="MAL ALIMI", B578="ÜRETİM GİRİŞ"), MIN(I578, MAX(0, I578 + SUM(SUMIFS($I$1:I577, $C$1:C577, C578, $B$1:B577, {"MAL ALIMI","ÜRETİM GİRİŞ"})) - VLOOKUP(C578, 'STOK RAPORU'!$C$2:$I$1000, 4, 0))), 0)</f>
        <v>46</v>
      </c>
      <c r="U578" s="22">
        <f t="shared" si="32"/>
        <v>13800</v>
      </c>
      <c r="V578">
        <f t="shared" si="33"/>
        <v>15000</v>
      </c>
      <c r="W578" s="22">
        <f t="shared" si="34"/>
        <v>1200</v>
      </c>
    </row>
    <row r="579" spans="1:23" hidden="1" x14ac:dyDescent="0.25">
      <c r="A579" s="3">
        <v>45965</v>
      </c>
      <c r="B579" s="4" t="s">
        <v>298</v>
      </c>
      <c r="C579" s="4" t="s">
        <v>722</v>
      </c>
      <c r="D579" s="4"/>
      <c r="E579" s="4" t="s">
        <v>856</v>
      </c>
      <c r="F579" s="4" t="s">
        <v>739</v>
      </c>
      <c r="G579" s="4" t="s">
        <v>742</v>
      </c>
      <c r="H579" s="4" t="s">
        <v>1329</v>
      </c>
      <c r="I579" s="4">
        <v>2</v>
      </c>
      <c r="J579" s="35">
        <v>225</v>
      </c>
      <c r="K579" s="35">
        <v>0</v>
      </c>
      <c r="L579" s="5">
        <v>450</v>
      </c>
      <c r="M579" s="31"/>
      <c r="N579" s="31">
        <v>2</v>
      </c>
      <c r="O579" s="32"/>
      <c r="P579" s="32">
        <v>225</v>
      </c>
      <c r="Q579" s="35">
        <v>0</v>
      </c>
      <c r="R579" s="35">
        <v>0</v>
      </c>
      <c r="S579" s="5">
        <f t="shared" si="35"/>
        <v>97734.522760152046</v>
      </c>
      <c r="T579" cm="1">
        <f t="array" ref="T579">IF(OR(B579="MAL ALIMI", B579="ÜRETİM GİRİŞ"), MIN(I579, MAX(0, I579 + SUM(SUMIFS($I$1:I578, $C$1:C578, C579, $B$1:B578, {"MAL ALIMI","ÜRETİM GİRİŞ"})) - VLOOKUP(C579, 'STOK RAPORU'!$C$2:$I$1000, 4, 0))), 0)</f>
        <v>0</v>
      </c>
      <c r="U579" s="22">
        <f t="shared" ref="U579:U642" si="36">T579*J579</f>
        <v>0</v>
      </c>
      <c r="V579">
        <f t="shared" ref="V579:V642" si="37">IF(OR(B579="MAL ALIMI", B579="ÜRETİM GİRİŞ"), I579 * J579, 0)</f>
        <v>450</v>
      </c>
      <c r="W579" s="22">
        <f t="shared" ref="W579:W642" si="38">V579-U579</f>
        <v>450</v>
      </c>
    </row>
    <row r="580" spans="1:23" hidden="1" x14ac:dyDescent="0.25">
      <c r="A580" s="3">
        <v>45965</v>
      </c>
      <c r="B580" s="4" t="s">
        <v>298</v>
      </c>
      <c r="C580" s="4" t="s">
        <v>723</v>
      </c>
      <c r="D580" s="4"/>
      <c r="E580" s="4" t="s">
        <v>856</v>
      </c>
      <c r="F580" s="4" t="s">
        <v>740</v>
      </c>
      <c r="G580" s="4" t="s">
        <v>742</v>
      </c>
      <c r="H580" s="4" t="s">
        <v>1329</v>
      </c>
      <c r="I580" s="4">
        <v>2</v>
      </c>
      <c r="J580" s="35">
        <v>145.32499999999999</v>
      </c>
      <c r="K580" s="35">
        <v>0</v>
      </c>
      <c r="L580" s="5">
        <v>290.64999999999998</v>
      </c>
      <c r="M580" s="31"/>
      <c r="N580" s="31">
        <v>2</v>
      </c>
      <c r="O580" s="32"/>
      <c r="P580" s="32">
        <v>145.32499999999999</v>
      </c>
      <c r="Q580" s="35">
        <v>0</v>
      </c>
      <c r="R580" s="35">
        <v>0</v>
      </c>
      <c r="S580" s="5">
        <f t="shared" ref="S580:S643" si="39">S579+Q580-R580</f>
        <v>97734.522760152046</v>
      </c>
      <c r="T580" cm="1">
        <f t="array" ref="T580">IF(OR(B580="MAL ALIMI", B580="ÜRETİM GİRİŞ"), MIN(I580, MAX(0, I580 + SUM(SUMIFS($I$1:I579, $C$1:C579, C580, $B$1:B579, {"MAL ALIMI","ÜRETİM GİRİŞ"})) - VLOOKUP(C580, 'STOK RAPORU'!$C$2:$I$1000, 4, 0))), 0)</f>
        <v>0</v>
      </c>
      <c r="U580" s="22">
        <f t="shared" si="36"/>
        <v>0</v>
      </c>
      <c r="V580">
        <f t="shared" si="37"/>
        <v>290.64999999999998</v>
      </c>
      <c r="W580" s="22">
        <f t="shared" si="38"/>
        <v>290.64999999999998</v>
      </c>
    </row>
    <row r="581" spans="1:23" hidden="1" x14ac:dyDescent="0.25">
      <c r="A581" s="3">
        <v>45965</v>
      </c>
      <c r="B581" s="4" t="s">
        <v>298</v>
      </c>
      <c r="C581" s="4" t="s">
        <v>724</v>
      </c>
      <c r="D581" s="4"/>
      <c r="E581" s="4" t="s">
        <v>856</v>
      </c>
      <c r="F581" s="4" t="s">
        <v>740</v>
      </c>
      <c r="G581" s="4" t="s">
        <v>742</v>
      </c>
      <c r="H581" s="4" t="s">
        <v>1329</v>
      </c>
      <c r="I581" s="4">
        <v>2</v>
      </c>
      <c r="J581" s="35">
        <v>179.35</v>
      </c>
      <c r="K581" s="35">
        <v>0</v>
      </c>
      <c r="L581" s="5">
        <v>358.7</v>
      </c>
      <c r="M581" s="31"/>
      <c r="N581" s="31">
        <v>2</v>
      </c>
      <c r="O581" s="32"/>
      <c r="P581" s="32">
        <v>179.35</v>
      </c>
      <c r="Q581" s="35">
        <v>0</v>
      </c>
      <c r="R581" s="35">
        <v>0</v>
      </c>
      <c r="S581" s="5">
        <f t="shared" si="39"/>
        <v>97734.522760152046</v>
      </c>
      <c r="T581" cm="1">
        <f t="array" ref="T581">IF(OR(B581="MAL ALIMI", B581="ÜRETİM GİRİŞ"), MIN(I581, MAX(0, I581 + SUM(SUMIFS($I$1:I580, $C$1:C580, C581, $B$1:B580, {"MAL ALIMI","ÜRETİM GİRİŞ"})) - VLOOKUP(C581, 'STOK RAPORU'!$C$2:$I$1000, 4, 0))), 0)</f>
        <v>0</v>
      </c>
      <c r="U581" s="22">
        <f t="shared" si="36"/>
        <v>0</v>
      </c>
      <c r="V581">
        <f t="shared" si="37"/>
        <v>358.7</v>
      </c>
      <c r="W581" s="22">
        <f t="shared" si="38"/>
        <v>358.7</v>
      </c>
    </row>
    <row r="582" spans="1:23" hidden="1" x14ac:dyDescent="0.25">
      <c r="A582" s="3">
        <v>45965</v>
      </c>
      <c r="B582" s="4" t="s">
        <v>298</v>
      </c>
      <c r="C582" s="4" t="s">
        <v>725</v>
      </c>
      <c r="D582" s="4"/>
      <c r="E582" s="4" t="s">
        <v>856</v>
      </c>
      <c r="F582" s="4" t="s">
        <v>740</v>
      </c>
      <c r="G582" s="4" t="s">
        <v>742</v>
      </c>
      <c r="H582" s="4" t="s">
        <v>1329</v>
      </c>
      <c r="I582" s="4">
        <v>2</v>
      </c>
      <c r="J582" s="35">
        <v>145.32499999999999</v>
      </c>
      <c r="K582" s="35">
        <v>0</v>
      </c>
      <c r="L582" s="5">
        <v>290.64999999999998</v>
      </c>
      <c r="M582" s="31"/>
      <c r="N582" s="31">
        <v>2</v>
      </c>
      <c r="O582" s="32"/>
      <c r="P582" s="32">
        <v>145.32499999999999</v>
      </c>
      <c r="Q582" s="35">
        <v>0</v>
      </c>
      <c r="R582" s="35">
        <v>0</v>
      </c>
      <c r="S582" s="5">
        <f t="shared" si="39"/>
        <v>97734.522760152046</v>
      </c>
      <c r="T582" cm="1">
        <f t="array" ref="T582">IF(OR(B582="MAL ALIMI", B582="ÜRETİM GİRİŞ"), MIN(I582, MAX(0, I582 + SUM(SUMIFS($I$1:I581, $C$1:C581, C582, $B$1:B581, {"MAL ALIMI","ÜRETİM GİRİŞ"})) - VLOOKUP(C582, 'STOK RAPORU'!$C$2:$I$1000, 4, 0))), 0)</f>
        <v>0</v>
      </c>
      <c r="U582" s="22">
        <f t="shared" si="36"/>
        <v>0</v>
      </c>
      <c r="V582">
        <f t="shared" si="37"/>
        <v>290.64999999999998</v>
      </c>
      <c r="W582" s="22">
        <f t="shared" si="38"/>
        <v>290.64999999999998</v>
      </c>
    </row>
    <row r="583" spans="1:23" hidden="1" x14ac:dyDescent="0.25">
      <c r="A583" s="3">
        <v>45965</v>
      </c>
      <c r="B583" s="4" t="s">
        <v>334</v>
      </c>
      <c r="C583" s="4" t="s">
        <v>168</v>
      </c>
      <c r="D583" s="4"/>
      <c r="E583" s="4"/>
      <c r="F583" s="4" t="s">
        <v>531</v>
      </c>
      <c r="G583" s="4" t="s">
        <v>336</v>
      </c>
      <c r="H583" s="4" t="s">
        <v>289</v>
      </c>
      <c r="I583" s="4">
        <v>1</v>
      </c>
      <c r="J583" s="21">
        <v>200</v>
      </c>
      <c r="K583" s="21">
        <v>0</v>
      </c>
      <c r="L583" s="5">
        <v>0</v>
      </c>
      <c r="M583" s="4">
        <v>1</v>
      </c>
      <c r="N583" s="4"/>
      <c r="O583" s="5">
        <v>200</v>
      </c>
      <c r="P583" s="5"/>
      <c r="Q583" s="21">
        <v>200</v>
      </c>
      <c r="R583" s="21">
        <v>0</v>
      </c>
      <c r="S583" s="5">
        <f t="shared" si="39"/>
        <v>97934.522760152046</v>
      </c>
      <c r="T583" cm="1">
        <f t="array" ref="T583">IF(OR(B583="MAL ALIMI", B583="ÜRETİM GİRİŞ"), MIN(I583, MAX(0, I583 + SUM(SUMIFS($I$1:I582, $C$1:C582, C583, $B$1:B582, {"MAL ALIMI","ÜRETİM GİRİŞ"})) - VLOOKUP(C583, 'STOK RAPORU'!$C$2:$I$1000, 4, 0))), 0)</f>
        <v>0</v>
      </c>
      <c r="U583" s="22">
        <f t="shared" si="36"/>
        <v>0</v>
      </c>
      <c r="V583">
        <f t="shared" si="37"/>
        <v>0</v>
      </c>
      <c r="W583" s="22">
        <f t="shared" si="38"/>
        <v>0</v>
      </c>
    </row>
    <row r="584" spans="1:23" hidden="1" x14ac:dyDescent="0.25">
      <c r="A584" s="3">
        <v>45965</v>
      </c>
      <c r="B584" s="4" t="s">
        <v>334</v>
      </c>
      <c r="C584" s="4" t="s">
        <v>158</v>
      </c>
      <c r="D584" s="4"/>
      <c r="E584" s="4"/>
      <c r="F584" s="4" t="s">
        <v>531</v>
      </c>
      <c r="G584" s="4" t="s">
        <v>336</v>
      </c>
      <c r="H584" s="4" t="s">
        <v>289</v>
      </c>
      <c r="I584" s="4">
        <v>1</v>
      </c>
      <c r="J584" s="21">
        <v>130</v>
      </c>
      <c r="K584" s="21">
        <v>0</v>
      </c>
      <c r="L584" s="5">
        <v>0</v>
      </c>
      <c r="M584" s="4">
        <v>1</v>
      </c>
      <c r="N584" s="4"/>
      <c r="O584" s="5">
        <v>130</v>
      </c>
      <c r="P584" s="5"/>
      <c r="Q584" s="21">
        <v>130</v>
      </c>
      <c r="R584" s="21">
        <v>0</v>
      </c>
      <c r="S584" s="5">
        <f t="shared" si="39"/>
        <v>98064.522760152046</v>
      </c>
      <c r="T584" cm="1">
        <f t="array" ref="T584">IF(OR(B584="MAL ALIMI", B584="ÜRETİM GİRİŞ"), MIN(I584, MAX(0, I584 + SUM(SUMIFS($I$1:I583, $C$1:C583, C584, $B$1:B583, {"MAL ALIMI","ÜRETİM GİRİŞ"})) - VLOOKUP(C584, 'STOK RAPORU'!$C$2:$I$1000, 4, 0))), 0)</f>
        <v>0</v>
      </c>
      <c r="U584" s="22">
        <f t="shared" si="36"/>
        <v>0</v>
      </c>
      <c r="V584">
        <f t="shared" si="37"/>
        <v>0</v>
      </c>
      <c r="W584" s="22">
        <f t="shared" si="38"/>
        <v>0</v>
      </c>
    </row>
    <row r="585" spans="1:23" hidden="1" x14ac:dyDescent="0.25">
      <c r="A585" s="3">
        <v>45965</v>
      </c>
      <c r="B585" s="4" t="s">
        <v>334</v>
      </c>
      <c r="C585" s="4" t="s">
        <v>162</v>
      </c>
      <c r="D585" s="4"/>
      <c r="E585" s="4" t="s">
        <v>921</v>
      </c>
      <c r="F585" s="4" t="s">
        <v>532</v>
      </c>
      <c r="G585" s="4" t="s">
        <v>336</v>
      </c>
      <c r="H585" s="4" t="s">
        <v>380</v>
      </c>
      <c r="I585" s="4">
        <v>1</v>
      </c>
      <c r="J585" s="21">
        <v>260</v>
      </c>
      <c r="K585" s="21">
        <v>260</v>
      </c>
      <c r="L585" s="5">
        <v>0</v>
      </c>
      <c r="M585" s="4">
        <v>1</v>
      </c>
      <c r="N585" s="4"/>
      <c r="O585" s="5">
        <v>260</v>
      </c>
      <c r="P585" s="5"/>
      <c r="Q585" s="21">
        <v>0</v>
      </c>
      <c r="R585" s="21">
        <v>0</v>
      </c>
      <c r="S585" s="5">
        <f t="shared" si="39"/>
        <v>98064.522760152046</v>
      </c>
      <c r="T585" cm="1">
        <f t="array" ref="T585">IF(OR(B585="MAL ALIMI", B585="ÜRETİM GİRİŞ"), MIN(I585, MAX(0, I585 + SUM(SUMIFS($I$1:I584, $C$1:C584, C585, $B$1:B584, {"MAL ALIMI","ÜRETİM GİRİŞ"})) - VLOOKUP(C585, 'STOK RAPORU'!$C$2:$I$1000, 4, 0))), 0)</f>
        <v>0</v>
      </c>
      <c r="U585" s="22">
        <f t="shared" si="36"/>
        <v>0</v>
      </c>
      <c r="V585">
        <f t="shared" si="37"/>
        <v>0</v>
      </c>
      <c r="W585" s="22">
        <f t="shared" si="38"/>
        <v>0</v>
      </c>
    </row>
    <row r="586" spans="1:23" hidden="1" x14ac:dyDescent="0.25">
      <c r="A586" s="3">
        <v>45965</v>
      </c>
      <c r="B586" s="4" t="s">
        <v>334</v>
      </c>
      <c r="C586" s="4" t="s">
        <v>230</v>
      </c>
      <c r="D586" s="4"/>
      <c r="E586" s="4"/>
      <c r="F586" s="4" t="s">
        <v>544</v>
      </c>
      <c r="G586" s="4" t="s">
        <v>336</v>
      </c>
      <c r="H586" s="4" t="s">
        <v>289</v>
      </c>
      <c r="I586" s="4">
        <v>1</v>
      </c>
      <c r="J586" s="21">
        <v>260</v>
      </c>
      <c r="K586" s="21">
        <v>0</v>
      </c>
      <c r="L586" s="5">
        <v>0</v>
      </c>
      <c r="M586" s="4">
        <v>1</v>
      </c>
      <c r="N586" s="4"/>
      <c r="O586" s="5">
        <v>260</v>
      </c>
      <c r="P586" s="5"/>
      <c r="Q586" s="21">
        <v>260</v>
      </c>
      <c r="R586" s="21">
        <v>0</v>
      </c>
      <c r="S586" s="5">
        <f t="shared" si="39"/>
        <v>98324.522760152046</v>
      </c>
      <c r="T586" cm="1">
        <f t="array" ref="T586">IF(OR(B586="MAL ALIMI", B586="ÜRETİM GİRİŞ"), MIN(I586, MAX(0, I586 + SUM(SUMIFS($I$1:I585, $C$1:C585, C586, $B$1:B585, {"MAL ALIMI","ÜRETİM GİRİŞ"})) - VLOOKUP(C586, 'STOK RAPORU'!$C$2:$I$1000, 4, 0))), 0)</f>
        <v>0</v>
      </c>
      <c r="U586" s="22">
        <f t="shared" si="36"/>
        <v>0</v>
      </c>
      <c r="V586">
        <f t="shared" si="37"/>
        <v>0</v>
      </c>
      <c r="W586" s="22">
        <f t="shared" si="38"/>
        <v>0</v>
      </c>
    </row>
    <row r="587" spans="1:23" hidden="1" x14ac:dyDescent="0.25">
      <c r="A587" s="3">
        <v>45965</v>
      </c>
      <c r="B587" s="4" t="s">
        <v>334</v>
      </c>
      <c r="C587" s="4" t="s">
        <v>98</v>
      </c>
      <c r="D587" s="4"/>
      <c r="E587" s="4"/>
      <c r="F587" s="4" t="s">
        <v>544</v>
      </c>
      <c r="G587" s="4" t="s">
        <v>336</v>
      </c>
      <c r="H587" s="4" t="s">
        <v>289</v>
      </c>
      <c r="I587" s="4">
        <v>0.14000000000000001</v>
      </c>
      <c r="J587" s="21">
        <v>360</v>
      </c>
      <c r="K587" s="21">
        <v>0</v>
      </c>
      <c r="L587" s="5">
        <v>0</v>
      </c>
      <c r="M587" s="4">
        <v>0.14000000000000001</v>
      </c>
      <c r="N587" s="4"/>
      <c r="O587" s="5">
        <v>360</v>
      </c>
      <c r="P587" s="5"/>
      <c r="Q587" s="21">
        <v>50.400000000000006</v>
      </c>
      <c r="R587" s="21">
        <v>0</v>
      </c>
      <c r="S587" s="5">
        <f t="shared" si="39"/>
        <v>98374.92276015204</v>
      </c>
      <c r="T587" cm="1">
        <f t="array" ref="T587">IF(OR(B587="MAL ALIMI", B587="ÜRETİM GİRİŞ"), MIN(I587, MAX(0, I587 + SUM(SUMIFS($I$1:I586, $C$1:C586, C587, $B$1:B586, {"MAL ALIMI","ÜRETİM GİRİŞ"})) - VLOOKUP(C587, 'STOK RAPORU'!$C$2:$I$1000, 4, 0))), 0)</f>
        <v>0</v>
      </c>
      <c r="U587" s="22">
        <f t="shared" si="36"/>
        <v>0</v>
      </c>
      <c r="V587">
        <f t="shared" si="37"/>
        <v>0</v>
      </c>
      <c r="W587" s="22">
        <f t="shared" si="38"/>
        <v>0</v>
      </c>
    </row>
    <row r="588" spans="1:23" hidden="1" x14ac:dyDescent="0.25">
      <c r="A588" s="3">
        <v>45965</v>
      </c>
      <c r="B588" s="4" t="s">
        <v>334</v>
      </c>
      <c r="C588" s="4" t="s">
        <v>225</v>
      </c>
      <c r="D588" s="4"/>
      <c r="E588" s="4"/>
      <c r="F588" s="4" t="s">
        <v>545</v>
      </c>
      <c r="G588" s="4" t="s">
        <v>336</v>
      </c>
      <c r="H588" s="4" t="s">
        <v>289</v>
      </c>
      <c r="I588" s="4">
        <v>0.34</v>
      </c>
      <c r="J588" s="21">
        <v>650</v>
      </c>
      <c r="K588" s="21">
        <v>0</v>
      </c>
      <c r="L588" s="5">
        <v>0</v>
      </c>
      <c r="M588" s="4">
        <v>0.34</v>
      </c>
      <c r="N588" s="4"/>
      <c r="O588" s="5">
        <v>650</v>
      </c>
      <c r="P588" s="5"/>
      <c r="Q588" s="21">
        <v>221.00000000000003</v>
      </c>
      <c r="R588" s="21">
        <v>0</v>
      </c>
      <c r="S588" s="5">
        <f t="shared" si="39"/>
        <v>98595.92276015204</v>
      </c>
      <c r="T588" cm="1">
        <f t="array" ref="T588">IF(OR(B588="MAL ALIMI", B588="ÜRETİM GİRİŞ"), MIN(I588, MAX(0, I588 + SUM(SUMIFS($I$1:I587, $C$1:C587, C588, $B$1:B587, {"MAL ALIMI","ÜRETİM GİRİŞ"})) - VLOOKUP(C588, 'STOK RAPORU'!$C$2:$I$1000, 4, 0))), 0)</f>
        <v>0</v>
      </c>
      <c r="U588" s="22">
        <f t="shared" si="36"/>
        <v>0</v>
      </c>
      <c r="V588">
        <f t="shared" si="37"/>
        <v>0</v>
      </c>
      <c r="W588" s="22">
        <f t="shared" si="38"/>
        <v>0</v>
      </c>
    </row>
    <row r="589" spans="1:23" hidden="1" x14ac:dyDescent="0.25">
      <c r="A589" s="3">
        <v>45965</v>
      </c>
      <c r="B589" s="4" t="s">
        <v>334</v>
      </c>
      <c r="C589" s="4" t="s">
        <v>160</v>
      </c>
      <c r="D589" s="4"/>
      <c r="E589" s="4" t="s">
        <v>921</v>
      </c>
      <c r="F589" s="4" t="s">
        <v>546</v>
      </c>
      <c r="G589" s="4" t="s">
        <v>336</v>
      </c>
      <c r="H589" s="4" t="s">
        <v>380</v>
      </c>
      <c r="I589" s="4">
        <v>2</v>
      </c>
      <c r="J589" s="21">
        <v>240</v>
      </c>
      <c r="K589" s="21">
        <v>480</v>
      </c>
      <c r="L589" s="5">
        <v>0</v>
      </c>
      <c r="M589" s="4">
        <v>2</v>
      </c>
      <c r="N589" s="4"/>
      <c r="O589" s="5">
        <v>240</v>
      </c>
      <c r="P589" s="5"/>
      <c r="Q589" s="21">
        <v>0</v>
      </c>
      <c r="R589" s="21">
        <v>0</v>
      </c>
      <c r="S589" s="5">
        <f t="shared" si="39"/>
        <v>98595.92276015204</v>
      </c>
      <c r="T589" cm="1">
        <f t="array" ref="T589">IF(OR(B589="MAL ALIMI", B589="ÜRETİM GİRİŞ"), MIN(I589, MAX(0, I589 + SUM(SUMIFS($I$1:I588, $C$1:C588, C589, $B$1:B588, {"MAL ALIMI","ÜRETİM GİRİŞ"})) - VLOOKUP(C589, 'STOK RAPORU'!$C$2:$I$1000, 4, 0))), 0)</f>
        <v>0</v>
      </c>
      <c r="U589" s="22">
        <f t="shared" si="36"/>
        <v>0</v>
      </c>
      <c r="V589">
        <f t="shared" si="37"/>
        <v>0</v>
      </c>
      <c r="W589" s="22">
        <f t="shared" si="38"/>
        <v>0</v>
      </c>
    </row>
    <row r="590" spans="1:23" hidden="1" x14ac:dyDescent="0.25">
      <c r="A590" s="3">
        <v>45965</v>
      </c>
      <c r="B590" s="4" t="s">
        <v>334</v>
      </c>
      <c r="C590" s="4" t="s">
        <v>241</v>
      </c>
      <c r="D590" s="4"/>
      <c r="E590" s="4" t="s">
        <v>921</v>
      </c>
      <c r="F590" s="4" t="s">
        <v>546</v>
      </c>
      <c r="G590" s="4" t="s">
        <v>336</v>
      </c>
      <c r="H590" s="4" t="s">
        <v>380</v>
      </c>
      <c r="I590" s="4">
        <v>0.41</v>
      </c>
      <c r="J590" s="21">
        <v>350</v>
      </c>
      <c r="K590" s="21">
        <v>143.5</v>
      </c>
      <c r="L590" s="5">
        <v>0</v>
      </c>
      <c r="M590" s="4">
        <v>0.41</v>
      </c>
      <c r="N590" s="4"/>
      <c r="O590" s="5">
        <v>350</v>
      </c>
      <c r="P590" s="5"/>
      <c r="Q590" s="21">
        <v>0</v>
      </c>
      <c r="R590" s="21">
        <v>0</v>
      </c>
      <c r="S590" s="5">
        <f t="shared" si="39"/>
        <v>98595.92276015204</v>
      </c>
      <c r="T590" cm="1">
        <f t="array" ref="T590">IF(OR(B590="MAL ALIMI", B590="ÜRETİM GİRİŞ"), MIN(I590, MAX(0, I590 + SUM(SUMIFS($I$1:I589, $C$1:C589, C590, $B$1:B589, {"MAL ALIMI","ÜRETİM GİRİŞ"})) - VLOOKUP(C590, 'STOK RAPORU'!$C$2:$I$1000, 4, 0))), 0)</f>
        <v>0</v>
      </c>
      <c r="U590" s="22">
        <f t="shared" si="36"/>
        <v>0</v>
      </c>
      <c r="V590">
        <f t="shared" si="37"/>
        <v>0</v>
      </c>
      <c r="W590" s="22">
        <f t="shared" si="38"/>
        <v>0</v>
      </c>
    </row>
    <row r="591" spans="1:23" hidden="1" x14ac:dyDescent="0.25">
      <c r="A591" s="3">
        <v>45965</v>
      </c>
      <c r="B591" s="4" t="s">
        <v>334</v>
      </c>
      <c r="C591" s="4" t="s">
        <v>198</v>
      </c>
      <c r="D591" s="4"/>
      <c r="E591" s="4" t="s">
        <v>921</v>
      </c>
      <c r="F591" s="4" t="s">
        <v>546</v>
      </c>
      <c r="G591" s="4" t="s">
        <v>336</v>
      </c>
      <c r="H591" s="4" t="s">
        <v>380</v>
      </c>
      <c r="I591" s="4">
        <v>4.3999999999999997E-2</v>
      </c>
      <c r="J591" s="21">
        <v>1400</v>
      </c>
      <c r="K591" s="21">
        <v>61.599999999999994</v>
      </c>
      <c r="L591" s="5">
        <v>0</v>
      </c>
      <c r="M591" s="4">
        <v>4.3999999999999997E-2</v>
      </c>
      <c r="N591" s="4"/>
      <c r="O591" s="5">
        <v>1400</v>
      </c>
      <c r="P591" s="5"/>
      <c r="Q591" s="21">
        <v>0</v>
      </c>
      <c r="R591" s="21">
        <v>0</v>
      </c>
      <c r="S591" s="5">
        <f t="shared" si="39"/>
        <v>98595.92276015204</v>
      </c>
      <c r="T591" cm="1">
        <f t="array" ref="T591">IF(OR(B591="MAL ALIMI", B591="ÜRETİM GİRİŞ"), MIN(I591, MAX(0, I591 + SUM(SUMIFS($I$1:I590, $C$1:C590, C591, $B$1:B590, {"MAL ALIMI","ÜRETİM GİRİŞ"})) - VLOOKUP(C591, 'STOK RAPORU'!$C$2:$I$1000, 4, 0))), 0)</f>
        <v>0</v>
      </c>
      <c r="U591" s="22">
        <f t="shared" si="36"/>
        <v>0</v>
      </c>
      <c r="V591">
        <f t="shared" si="37"/>
        <v>0</v>
      </c>
      <c r="W591" s="22">
        <f t="shared" si="38"/>
        <v>0</v>
      </c>
    </row>
    <row r="592" spans="1:23" hidden="1" x14ac:dyDescent="0.25">
      <c r="A592" s="3">
        <v>45965</v>
      </c>
      <c r="B592" s="4" t="s">
        <v>334</v>
      </c>
      <c r="C592" s="4" t="s">
        <v>266</v>
      </c>
      <c r="D592" s="4"/>
      <c r="E592" s="4" t="s">
        <v>921</v>
      </c>
      <c r="F592" s="4" t="s">
        <v>546</v>
      </c>
      <c r="G592" s="4" t="s">
        <v>336</v>
      </c>
      <c r="H592" s="4" t="s">
        <v>380</v>
      </c>
      <c r="I592" s="4">
        <v>0.51800000000000002</v>
      </c>
      <c r="J592" s="21">
        <v>250</v>
      </c>
      <c r="K592" s="21">
        <v>129.5</v>
      </c>
      <c r="L592" s="5">
        <v>0</v>
      </c>
      <c r="M592" s="4">
        <v>0.51800000000000002</v>
      </c>
      <c r="N592" s="4"/>
      <c r="O592" s="5">
        <v>250</v>
      </c>
      <c r="P592" s="5"/>
      <c r="Q592" s="21">
        <v>0</v>
      </c>
      <c r="R592" s="21">
        <v>0</v>
      </c>
      <c r="S592" s="5">
        <f t="shared" si="39"/>
        <v>98595.92276015204</v>
      </c>
      <c r="T592" cm="1">
        <f t="array" ref="T592">IF(OR(B592="MAL ALIMI", B592="ÜRETİM GİRİŞ"), MIN(I592, MAX(0, I592 + SUM(SUMIFS($I$1:I591, $C$1:C591, C592, $B$1:B591, {"MAL ALIMI","ÜRETİM GİRİŞ"})) - VLOOKUP(C592, 'STOK RAPORU'!$C$2:$I$1000, 4, 0))), 0)</f>
        <v>0</v>
      </c>
      <c r="U592" s="22">
        <f t="shared" si="36"/>
        <v>0</v>
      </c>
      <c r="V592">
        <f t="shared" si="37"/>
        <v>0</v>
      </c>
      <c r="W592" s="22">
        <f t="shared" si="38"/>
        <v>0</v>
      </c>
    </row>
    <row r="593" spans="1:23" hidden="1" x14ac:dyDescent="0.25">
      <c r="A593" s="3">
        <v>45965</v>
      </c>
      <c r="B593" s="4" t="s">
        <v>334</v>
      </c>
      <c r="C593" s="4" t="s">
        <v>209</v>
      </c>
      <c r="D593" s="4"/>
      <c r="E593" s="4" t="s">
        <v>921</v>
      </c>
      <c r="F593" s="4" t="s">
        <v>546</v>
      </c>
      <c r="G593" s="4" t="s">
        <v>336</v>
      </c>
      <c r="H593" s="4" t="s">
        <v>380</v>
      </c>
      <c r="I593" s="4">
        <v>0.05</v>
      </c>
      <c r="J593" s="21">
        <v>2600</v>
      </c>
      <c r="K593" s="21">
        <v>130</v>
      </c>
      <c r="L593" s="5">
        <v>0</v>
      </c>
      <c r="M593" s="4">
        <v>1</v>
      </c>
      <c r="N593" s="4"/>
      <c r="O593" s="5">
        <v>130</v>
      </c>
      <c r="P593" s="5"/>
      <c r="Q593" s="21">
        <v>0</v>
      </c>
      <c r="R593" s="21">
        <v>0</v>
      </c>
      <c r="S593" s="5">
        <f t="shared" si="39"/>
        <v>98595.92276015204</v>
      </c>
      <c r="T593" cm="1">
        <f t="array" ref="T593">IF(OR(B593="MAL ALIMI", B593="ÜRETİM GİRİŞ"), MIN(I593, MAX(0, I593 + SUM(SUMIFS($I$1:I592, $C$1:C592, C593, $B$1:B592, {"MAL ALIMI","ÜRETİM GİRİŞ"})) - VLOOKUP(C593, 'STOK RAPORU'!$C$2:$I$1000, 4, 0))), 0)</f>
        <v>0</v>
      </c>
      <c r="U593" s="22">
        <f t="shared" si="36"/>
        <v>0</v>
      </c>
      <c r="V593">
        <f t="shared" si="37"/>
        <v>0</v>
      </c>
      <c r="W593" s="22">
        <f t="shared" si="38"/>
        <v>0</v>
      </c>
    </row>
    <row r="594" spans="1:23" hidden="1" x14ac:dyDescent="0.25">
      <c r="A594" s="3">
        <v>45965</v>
      </c>
      <c r="B594" s="4" t="s">
        <v>334</v>
      </c>
      <c r="C594" s="4" t="s">
        <v>157</v>
      </c>
      <c r="D594" s="4"/>
      <c r="E594" s="4"/>
      <c r="F594" s="4" t="s">
        <v>547</v>
      </c>
      <c r="G594" s="4" t="s">
        <v>336</v>
      </c>
      <c r="H594" s="4" t="s">
        <v>289</v>
      </c>
      <c r="I594" s="4">
        <v>0.27800000000000002</v>
      </c>
      <c r="J594" s="21">
        <v>180</v>
      </c>
      <c r="K594" s="21">
        <v>0</v>
      </c>
      <c r="L594" s="5">
        <v>0</v>
      </c>
      <c r="M594" s="4">
        <v>0.27800000000000002</v>
      </c>
      <c r="N594" s="4"/>
      <c r="O594" s="5">
        <v>180</v>
      </c>
      <c r="P594" s="5"/>
      <c r="Q594" s="21">
        <v>50.040000000000006</v>
      </c>
      <c r="R594" s="21">
        <v>0</v>
      </c>
      <c r="S594" s="5">
        <f t="shared" si="39"/>
        <v>98645.962760152033</v>
      </c>
      <c r="T594" cm="1">
        <f t="array" ref="T594">IF(OR(B594="MAL ALIMI", B594="ÜRETİM GİRİŞ"), MIN(I594, MAX(0, I594 + SUM(SUMIFS($I$1:I593, $C$1:C593, C594, $B$1:B593, {"MAL ALIMI","ÜRETİM GİRİŞ"})) - VLOOKUP(C594, 'STOK RAPORU'!$C$2:$I$1000, 4, 0))), 0)</f>
        <v>0</v>
      </c>
      <c r="U594" s="22">
        <f t="shared" si="36"/>
        <v>0</v>
      </c>
      <c r="V594">
        <f t="shared" si="37"/>
        <v>0</v>
      </c>
      <c r="W594" s="22">
        <f t="shared" si="38"/>
        <v>0</v>
      </c>
    </row>
    <row r="595" spans="1:23" hidden="1" x14ac:dyDescent="0.25">
      <c r="A595" s="3">
        <v>45965</v>
      </c>
      <c r="B595" s="4" t="s">
        <v>334</v>
      </c>
      <c r="C595" s="4" t="s">
        <v>205</v>
      </c>
      <c r="D595" s="4"/>
      <c r="E595" s="4" t="s">
        <v>921</v>
      </c>
      <c r="F595" s="4" t="s">
        <v>547</v>
      </c>
      <c r="G595" s="4" t="s">
        <v>336</v>
      </c>
      <c r="H595" s="4" t="s">
        <v>380</v>
      </c>
      <c r="I595" s="4">
        <v>1</v>
      </c>
      <c r="J595" s="21">
        <v>250</v>
      </c>
      <c r="K595" s="21">
        <v>250</v>
      </c>
      <c r="L595" s="5">
        <v>0</v>
      </c>
      <c r="M595" s="4">
        <v>1</v>
      </c>
      <c r="N595" s="4"/>
      <c r="O595" s="5">
        <v>250</v>
      </c>
      <c r="P595" s="5"/>
      <c r="Q595" s="21">
        <v>0</v>
      </c>
      <c r="R595" s="21">
        <v>0</v>
      </c>
      <c r="S595" s="5">
        <f t="shared" si="39"/>
        <v>98645.962760152033</v>
      </c>
      <c r="T595" cm="1">
        <f t="array" ref="T595">IF(OR(B595="MAL ALIMI", B595="ÜRETİM GİRİŞ"), MIN(I595, MAX(0, I595 + SUM(SUMIFS($I$1:I594, $C$1:C594, C595, $B$1:B594, {"MAL ALIMI","ÜRETİM GİRİŞ"})) - VLOOKUP(C595, 'STOK RAPORU'!$C$2:$I$1000, 4, 0))), 0)</f>
        <v>0</v>
      </c>
      <c r="U595" s="22">
        <f t="shared" si="36"/>
        <v>0</v>
      </c>
      <c r="V595">
        <f t="shared" si="37"/>
        <v>0</v>
      </c>
      <c r="W595" s="22">
        <f t="shared" si="38"/>
        <v>0</v>
      </c>
    </row>
    <row r="596" spans="1:23" hidden="1" x14ac:dyDescent="0.25">
      <c r="A596" s="3">
        <v>45965</v>
      </c>
      <c r="B596" s="4" t="s">
        <v>334</v>
      </c>
      <c r="C596" s="4" t="s">
        <v>246</v>
      </c>
      <c r="D596" s="4"/>
      <c r="E596" s="4" t="s">
        <v>921</v>
      </c>
      <c r="F596" s="4" t="s">
        <v>548</v>
      </c>
      <c r="G596" s="4" t="s">
        <v>336</v>
      </c>
      <c r="H596" s="4" t="s">
        <v>380</v>
      </c>
      <c r="I596" s="4">
        <v>0.13400000000000001</v>
      </c>
      <c r="J596" s="21">
        <v>1250</v>
      </c>
      <c r="K596" s="21">
        <v>167.5</v>
      </c>
      <c r="L596" s="5">
        <v>0</v>
      </c>
      <c r="M596" s="4">
        <v>0.13400000000000001</v>
      </c>
      <c r="N596" s="4"/>
      <c r="O596" s="5">
        <v>1250</v>
      </c>
      <c r="P596" s="5"/>
      <c r="Q596" s="21">
        <v>0</v>
      </c>
      <c r="R596" s="21">
        <v>0</v>
      </c>
      <c r="S596" s="5">
        <f t="shared" si="39"/>
        <v>98645.962760152033</v>
      </c>
      <c r="T596" cm="1">
        <f t="array" ref="T596">IF(OR(B596="MAL ALIMI", B596="ÜRETİM GİRİŞ"), MIN(I596, MAX(0, I596 + SUM(SUMIFS($I$1:I595, $C$1:C595, C596, $B$1:B595, {"MAL ALIMI","ÜRETİM GİRİŞ"})) - VLOOKUP(C596, 'STOK RAPORU'!$C$2:$I$1000, 4, 0))), 0)</f>
        <v>0</v>
      </c>
      <c r="U596" s="22">
        <f t="shared" si="36"/>
        <v>0</v>
      </c>
      <c r="V596">
        <f t="shared" si="37"/>
        <v>0</v>
      </c>
      <c r="W596" s="22">
        <f t="shared" si="38"/>
        <v>0</v>
      </c>
    </row>
    <row r="597" spans="1:23" hidden="1" x14ac:dyDescent="0.25">
      <c r="A597" s="3">
        <v>45965</v>
      </c>
      <c r="B597" s="4" t="s">
        <v>334</v>
      </c>
      <c r="C597" s="4" t="s">
        <v>247</v>
      </c>
      <c r="D597" s="4"/>
      <c r="E597" s="4" t="s">
        <v>921</v>
      </c>
      <c r="F597" s="4" t="s">
        <v>548</v>
      </c>
      <c r="G597" s="4" t="s">
        <v>336</v>
      </c>
      <c r="H597" s="4" t="s">
        <v>380</v>
      </c>
      <c r="I597" s="4">
        <v>0.08</v>
      </c>
      <c r="J597" s="21">
        <v>1150</v>
      </c>
      <c r="K597" s="21">
        <v>92</v>
      </c>
      <c r="L597" s="5">
        <v>0</v>
      </c>
      <c r="M597" s="4">
        <v>0.08</v>
      </c>
      <c r="N597" s="4"/>
      <c r="O597" s="5">
        <v>1150</v>
      </c>
      <c r="P597" s="5"/>
      <c r="Q597" s="21">
        <v>0</v>
      </c>
      <c r="R597" s="21">
        <v>0</v>
      </c>
      <c r="S597" s="5">
        <f t="shared" si="39"/>
        <v>98645.962760152033</v>
      </c>
      <c r="T597" cm="1">
        <f t="array" ref="T597">IF(OR(B597="MAL ALIMI", B597="ÜRETİM GİRİŞ"), MIN(I597, MAX(0, I597 + SUM(SUMIFS($I$1:I596, $C$1:C596, C597, $B$1:B596, {"MAL ALIMI","ÜRETİM GİRİŞ"})) - VLOOKUP(C597, 'STOK RAPORU'!$C$2:$I$1000, 4, 0))), 0)</f>
        <v>0</v>
      </c>
      <c r="U597" s="22">
        <f t="shared" si="36"/>
        <v>0</v>
      </c>
      <c r="V597">
        <f t="shared" si="37"/>
        <v>0</v>
      </c>
      <c r="W597" s="22">
        <f t="shared" si="38"/>
        <v>0</v>
      </c>
    </row>
    <row r="598" spans="1:23" hidden="1" x14ac:dyDescent="0.25">
      <c r="A598" s="3">
        <v>45965</v>
      </c>
      <c r="B598" s="4" t="s">
        <v>334</v>
      </c>
      <c r="C598" s="4" t="s">
        <v>244</v>
      </c>
      <c r="D598" s="4"/>
      <c r="E598" s="4" t="s">
        <v>921</v>
      </c>
      <c r="F598" s="4" t="s">
        <v>548</v>
      </c>
      <c r="G598" s="4" t="s">
        <v>336</v>
      </c>
      <c r="H598" s="4" t="s">
        <v>380</v>
      </c>
      <c r="I598" s="4">
        <v>8.2000000000000003E-2</v>
      </c>
      <c r="J598" s="21">
        <v>650</v>
      </c>
      <c r="K598" s="21">
        <v>53.300000000000004</v>
      </c>
      <c r="L598" s="5">
        <v>0</v>
      </c>
      <c r="M598" s="4">
        <v>8.2000000000000003E-2</v>
      </c>
      <c r="N598" s="4"/>
      <c r="O598" s="5">
        <v>650</v>
      </c>
      <c r="P598" s="5"/>
      <c r="Q598" s="21">
        <v>0</v>
      </c>
      <c r="R598" s="21">
        <v>0</v>
      </c>
      <c r="S598" s="5">
        <f t="shared" si="39"/>
        <v>98645.962760152033</v>
      </c>
      <c r="T598" cm="1">
        <f t="array" ref="T598">IF(OR(B598="MAL ALIMI", B598="ÜRETİM GİRİŞ"), MIN(I598, MAX(0, I598 + SUM(SUMIFS($I$1:I597, $C$1:C597, C598, $B$1:B597, {"MAL ALIMI","ÜRETİM GİRİŞ"})) - VLOOKUP(C598, 'STOK RAPORU'!$C$2:$I$1000, 4, 0))), 0)</f>
        <v>0</v>
      </c>
      <c r="U598" s="22">
        <f t="shared" si="36"/>
        <v>0</v>
      </c>
      <c r="V598">
        <f t="shared" si="37"/>
        <v>0</v>
      </c>
      <c r="W598" s="22">
        <f t="shared" si="38"/>
        <v>0</v>
      </c>
    </row>
    <row r="599" spans="1:23" hidden="1" x14ac:dyDescent="0.25">
      <c r="A599" s="3">
        <v>45965</v>
      </c>
      <c r="B599" s="4" t="s">
        <v>334</v>
      </c>
      <c r="C599" s="4" t="s">
        <v>550</v>
      </c>
      <c r="D599" s="4"/>
      <c r="E599" s="4"/>
      <c r="F599" s="4" t="s">
        <v>552</v>
      </c>
      <c r="G599" s="4" t="s">
        <v>336</v>
      </c>
      <c r="H599" s="4" t="s">
        <v>289</v>
      </c>
      <c r="I599" s="4">
        <v>2</v>
      </c>
      <c r="J599" s="21">
        <v>600</v>
      </c>
      <c r="K599" s="21">
        <v>0</v>
      </c>
      <c r="L599" s="5">
        <v>0</v>
      </c>
      <c r="M599" s="4">
        <v>2</v>
      </c>
      <c r="N599" s="4"/>
      <c r="O599" s="5">
        <v>600</v>
      </c>
      <c r="P599" s="5"/>
      <c r="Q599" s="21">
        <v>1200</v>
      </c>
      <c r="R599" s="21">
        <v>0</v>
      </c>
      <c r="S599" s="5">
        <f t="shared" si="39"/>
        <v>99845.962760152033</v>
      </c>
      <c r="T599" cm="1">
        <f t="array" ref="T599">IF(OR(B599="MAL ALIMI", B599="ÜRETİM GİRİŞ"), MIN(I599, MAX(0, I599 + SUM(SUMIFS($I$1:I598, $C$1:C598, C599, $B$1:B598, {"MAL ALIMI","ÜRETİM GİRİŞ"})) - VLOOKUP(C599, 'STOK RAPORU'!$C$2:$I$1000, 4, 0))), 0)</f>
        <v>0</v>
      </c>
      <c r="U599" s="22">
        <f t="shared" si="36"/>
        <v>0</v>
      </c>
      <c r="V599">
        <f t="shared" si="37"/>
        <v>0</v>
      </c>
      <c r="W599" s="22">
        <f t="shared" si="38"/>
        <v>0</v>
      </c>
    </row>
    <row r="600" spans="1:23" hidden="1" x14ac:dyDescent="0.25">
      <c r="A600" s="3">
        <v>45965</v>
      </c>
      <c r="B600" s="4" t="s">
        <v>334</v>
      </c>
      <c r="C600" s="4" t="s">
        <v>133</v>
      </c>
      <c r="D600" s="4"/>
      <c r="E600" s="4"/>
      <c r="F600" s="4" t="s">
        <v>553</v>
      </c>
      <c r="G600" s="4" t="s">
        <v>336</v>
      </c>
      <c r="H600" s="4" t="s">
        <v>289</v>
      </c>
      <c r="I600" s="4">
        <v>1</v>
      </c>
      <c r="J600" s="21">
        <v>380</v>
      </c>
      <c r="K600" s="21">
        <v>0</v>
      </c>
      <c r="L600" s="5">
        <v>0</v>
      </c>
      <c r="M600" s="4">
        <v>1</v>
      </c>
      <c r="N600" s="4"/>
      <c r="O600" s="5">
        <v>380</v>
      </c>
      <c r="P600" s="5"/>
      <c r="Q600" s="21">
        <v>380</v>
      </c>
      <c r="R600" s="21">
        <v>0</v>
      </c>
      <c r="S600" s="5">
        <f t="shared" si="39"/>
        <v>100225.96276015203</v>
      </c>
      <c r="T600" cm="1">
        <f t="array" ref="T600">IF(OR(B600="MAL ALIMI", B600="ÜRETİM GİRİŞ"), MIN(I600, MAX(0, I600 + SUM(SUMIFS($I$1:I599, $C$1:C599, C600, $B$1:B599, {"MAL ALIMI","ÜRETİM GİRİŞ"})) - VLOOKUP(C600, 'STOK RAPORU'!$C$2:$I$1000, 4, 0))), 0)</f>
        <v>0</v>
      </c>
      <c r="U600" s="22">
        <f t="shared" si="36"/>
        <v>0</v>
      </c>
      <c r="V600">
        <f t="shared" si="37"/>
        <v>0</v>
      </c>
      <c r="W600" s="22">
        <f t="shared" si="38"/>
        <v>0</v>
      </c>
    </row>
    <row r="601" spans="1:23" hidden="1" x14ac:dyDescent="0.25">
      <c r="A601" s="3">
        <v>45965</v>
      </c>
      <c r="B601" s="4" t="s">
        <v>334</v>
      </c>
      <c r="C601" s="4" t="s">
        <v>222</v>
      </c>
      <c r="D601" s="4"/>
      <c r="E601" s="4"/>
      <c r="F601" s="4" t="s">
        <v>553</v>
      </c>
      <c r="G601" s="4" t="s">
        <v>336</v>
      </c>
      <c r="H601" s="4" t="s">
        <v>289</v>
      </c>
      <c r="I601" s="4">
        <v>0.2</v>
      </c>
      <c r="J601" s="21">
        <v>600</v>
      </c>
      <c r="K601" s="21">
        <v>0</v>
      </c>
      <c r="L601" s="5">
        <v>0</v>
      </c>
      <c r="M601" s="4">
        <v>0.2</v>
      </c>
      <c r="N601" s="4"/>
      <c r="O601" s="5">
        <v>600</v>
      </c>
      <c r="P601" s="5"/>
      <c r="Q601" s="21">
        <v>120</v>
      </c>
      <c r="R601" s="21">
        <v>0</v>
      </c>
      <c r="S601" s="5">
        <f t="shared" si="39"/>
        <v>100345.96276015203</v>
      </c>
      <c r="T601" cm="1">
        <f t="array" ref="T601">IF(OR(B601="MAL ALIMI", B601="ÜRETİM GİRİŞ"), MIN(I601, MAX(0, I601 + SUM(SUMIFS($I$1:I600, $C$1:C600, C601, $B$1:B600, {"MAL ALIMI","ÜRETİM GİRİŞ"})) - VLOOKUP(C601, 'STOK RAPORU'!$C$2:$I$1000, 4, 0))), 0)</f>
        <v>0</v>
      </c>
      <c r="U601" s="22">
        <f t="shared" si="36"/>
        <v>0</v>
      </c>
      <c r="V601">
        <f t="shared" si="37"/>
        <v>0</v>
      </c>
      <c r="W601" s="22">
        <f t="shared" si="38"/>
        <v>0</v>
      </c>
    </row>
    <row r="602" spans="1:23" hidden="1" x14ac:dyDescent="0.25">
      <c r="A602" s="3">
        <v>45965</v>
      </c>
      <c r="B602" s="4" t="s">
        <v>334</v>
      </c>
      <c r="C602" s="4" t="s">
        <v>211</v>
      </c>
      <c r="D602" s="4"/>
      <c r="E602" s="4"/>
      <c r="F602" s="4" t="s">
        <v>556</v>
      </c>
      <c r="G602" s="4" t="s">
        <v>336</v>
      </c>
      <c r="H602" s="4" t="s">
        <v>289</v>
      </c>
      <c r="I602" s="4">
        <v>1</v>
      </c>
      <c r="J602" s="21">
        <v>300</v>
      </c>
      <c r="K602" s="21">
        <v>0</v>
      </c>
      <c r="L602" s="5">
        <v>0</v>
      </c>
      <c r="M602" s="4">
        <v>1</v>
      </c>
      <c r="N602" s="4"/>
      <c r="O602" s="5">
        <v>300</v>
      </c>
      <c r="P602" s="5"/>
      <c r="Q602" s="21">
        <v>300</v>
      </c>
      <c r="R602" s="21">
        <v>0</v>
      </c>
      <c r="S602" s="5">
        <f t="shared" si="39"/>
        <v>100645.96276015203</v>
      </c>
      <c r="T602" cm="1">
        <f t="array" ref="T602">IF(OR(B602="MAL ALIMI", B602="ÜRETİM GİRİŞ"), MIN(I602, MAX(0, I602 + SUM(SUMIFS($I$1:I601, $C$1:C601, C602, $B$1:B601, {"MAL ALIMI","ÜRETİM GİRİŞ"})) - VLOOKUP(C602, 'STOK RAPORU'!$C$2:$I$1000, 4, 0))), 0)</f>
        <v>0</v>
      </c>
      <c r="U602" s="22">
        <f t="shared" si="36"/>
        <v>0</v>
      </c>
      <c r="V602">
        <f t="shared" si="37"/>
        <v>0</v>
      </c>
      <c r="W602" s="22">
        <f t="shared" si="38"/>
        <v>0</v>
      </c>
    </row>
    <row r="603" spans="1:23" hidden="1" x14ac:dyDescent="0.25">
      <c r="A603" s="3">
        <v>45965</v>
      </c>
      <c r="B603" s="4" t="s">
        <v>917</v>
      </c>
      <c r="C603" s="4"/>
      <c r="D603" s="4"/>
      <c r="E603" s="4" t="s">
        <v>350</v>
      </c>
      <c r="F603" s="4"/>
      <c r="G603" s="4" t="s">
        <v>918</v>
      </c>
      <c r="H603" s="4" t="s">
        <v>289</v>
      </c>
      <c r="I603" s="4">
        <v>1</v>
      </c>
      <c r="J603" s="21">
        <v>0</v>
      </c>
      <c r="K603" s="21">
        <v>10000</v>
      </c>
      <c r="L603" s="5">
        <v>0</v>
      </c>
      <c r="M603" s="4"/>
      <c r="N603" s="4"/>
      <c r="O603" s="5"/>
      <c r="P603" s="5"/>
      <c r="Q603" s="21">
        <v>0</v>
      </c>
      <c r="R603" s="21">
        <v>10000</v>
      </c>
      <c r="S603" s="5">
        <f t="shared" si="39"/>
        <v>90645.962760152033</v>
      </c>
      <c r="T603" cm="1">
        <f t="array" ref="T603">IF(OR(B603="MAL ALIMI", B603="ÜRETİM GİRİŞ"), MIN(I603, MAX(0, I603 + SUM(SUMIFS($I$1:I602, $C$1:C602, C603, $B$1:B602, {"MAL ALIMI","ÜRETİM GİRİŞ"})) - VLOOKUP(C603, 'STOK RAPORU'!$C$2:$I$1000, 4, 0))), 0)</f>
        <v>0</v>
      </c>
      <c r="U603" s="22">
        <f t="shared" si="36"/>
        <v>0</v>
      </c>
      <c r="V603">
        <f t="shared" si="37"/>
        <v>0</v>
      </c>
      <c r="W603" s="22">
        <f t="shared" si="38"/>
        <v>0</v>
      </c>
    </row>
    <row r="604" spans="1:23" hidden="1" x14ac:dyDescent="0.25">
      <c r="A604" s="3">
        <v>45966</v>
      </c>
      <c r="B604" s="4" t="s">
        <v>298</v>
      </c>
      <c r="C604" s="4" t="s">
        <v>588</v>
      </c>
      <c r="D604" s="4"/>
      <c r="E604" s="4" t="s">
        <v>350</v>
      </c>
      <c r="F604" s="4" t="s">
        <v>602</v>
      </c>
      <c r="G604" s="4" t="s">
        <v>350</v>
      </c>
      <c r="H604" s="4" t="s">
        <v>304</v>
      </c>
      <c r="I604" s="4">
        <v>20</v>
      </c>
      <c r="J604" s="21">
        <v>235</v>
      </c>
      <c r="K604" s="21">
        <v>0</v>
      </c>
      <c r="L604" s="5">
        <v>4700</v>
      </c>
      <c r="M604" s="4"/>
      <c r="N604" s="4">
        <v>20</v>
      </c>
      <c r="O604" s="5"/>
      <c r="P604" s="5">
        <v>235</v>
      </c>
      <c r="Q604" s="21">
        <v>0</v>
      </c>
      <c r="R604" s="21">
        <v>0</v>
      </c>
      <c r="S604" s="5">
        <f t="shared" si="39"/>
        <v>90645.962760152033</v>
      </c>
      <c r="T604" cm="1">
        <f t="array" ref="T604">IF(OR(B604="MAL ALIMI", B604="ÜRETİM GİRİŞ"), MIN(I604, MAX(0, I604 + SUM(SUMIFS($I$1:I603, $C$1:C603, C604, $B$1:B603, {"MAL ALIMI","ÜRETİM GİRİŞ"})) - VLOOKUP(C604, 'STOK RAPORU'!$C$2:$I$1000, 4, 0))), 0)</f>
        <v>2</v>
      </c>
      <c r="U604" s="22">
        <f t="shared" si="36"/>
        <v>470</v>
      </c>
      <c r="V604">
        <f t="shared" si="37"/>
        <v>4700</v>
      </c>
      <c r="W604" s="22">
        <f t="shared" si="38"/>
        <v>4230</v>
      </c>
    </row>
    <row r="605" spans="1:23" hidden="1" x14ac:dyDescent="0.25">
      <c r="A605" s="3">
        <v>45966</v>
      </c>
      <c r="B605" s="4" t="s">
        <v>298</v>
      </c>
      <c r="C605" s="4" t="s">
        <v>585</v>
      </c>
      <c r="D605" s="4"/>
      <c r="E605" s="4" t="s">
        <v>350</v>
      </c>
      <c r="F605" s="4" t="s">
        <v>602</v>
      </c>
      <c r="G605" s="4" t="s">
        <v>350</v>
      </c>
      <c r="H605" s="4" t="s">
        <v>304</v>
      </c>
      <c r="I605" s="4">
        <v>19.350000000000001</v>
      </c>
      <c r="J605" s="21">
        <v>93.023255813953483</v>
      </c>
      <c r="K605" s="21">
        <v>0</v>
      </c>
      <c r="L605" s="5">
        <v>1800</v>
      </c>
      <c r="M605" s="4"/>
      <c r="N605" s="4">
        <v>19.350000000000001</v>
      </c>
      <c r="O605" s="5"/>
      <c r="P605" s="5">
        <v>93.023255813953483</v>
      </c>
      <c r="Q605" s="21">
        <v>0</v>
      </c>
      <c r="R605" s="21">
        <v>0</v>
      </c>
      <c r="S605" s="5">
        <f t="shared" si="39"/>
        <v>90645.962760152033</v>
      </c>
      <c r="T605" cm="1">
        <f t="array" ref="T605">IF(OR(B605="MAL ALIMI", B605="ÜRETİM GİRİŞ"), MIN(I605, MAX(0, I605 + SUM(SUMIFS($I$1:I604, $C$1:C604, C605, $B$1:B604, {"MAL ALIMI","ÜRETİM GİRİŞ"})) - VLOOKUP(C605, 'STOK RAPORU'!$C$2:$I$1000, 4, 0))), 0)</f>
        <v>0</v>
      </c>
      <c r="U605" s="22">
        <f t="shared" si="36"/>
        <v>0</v>
      </c>
      <c r="V605">
        <f t="shared" si="37"/>
        <v>1800</v>
      </c>
      <c r="W605" s="22">
        <f t="shared" si="38"/>
        <v>1800</v>
      </c>
    </row>
    <row r="606" spans="1:23" hidden="1" x14ac:dyDescent="0.25">
      <c r="A606" s="3">
        <v>45966</v>
      </c>
      <c r="B606" s="4" t="s">
        <v>298</v>
      </c>
      <c r="C606" s="4" t="s">
        <v>586</v>
      </c>
      <c r="D606" s="4"/>
      <c r="E606" s="4" t="s">
        <v>350</v>
      </c>
      <c r="F606" s="4" t="s">
        <v>602</v>
      </c>
      <c r="G606" s="4" t="s">
        <v>350</v>
      </c>
      <c r="H606" s="4" t="s">
        <v>304</v>
      </c>
      <c r="I606" s="4">
        <v>19.350000000000001</v>
      </c>
      <c r="J606" s="21">
        <v>93.02</v>
      </c>
      <c r="K606" s="21">
        <v>0</v>
      </c>
      <c r="L606" s="5">
        <v>1799.9370000000001</v>
      </c>
      <c r="M606" s="4"/>
      <c r="N606" s="4">
        <v>19.350000000000001</v>
      </c>
      <c r="O606" s="5"/>
      <c r="P606" s="5">
        <v>93.02</v>
      </c>
      <c r="Q606" s="21">
        <v>0</v>
      </c>
      <c r="R606" s="21">
        <v>0</v>
      </c>
      <c r="S606" s="5">
        <f t="shared" si="39"/>
        <v>90645.962760152033</v>
      </c>
      <c r="T606" cm="1">
        <f t="array" ref="T606">IF(OR(B606="MAL ALIMI", B606="ÜRETİM GİRİŞ"), MIN(I606, MAX(0, I606 + SUM(SUMIFS($I$1:I605, $C$1:C605, C606, $B$1:B605, {"MAL ALIMI","ÜRETİM GİRİŞ"})) - VLOOKUP(C606, 'STOK RAPORU'!$C$2:$I$1000, 4, 0))), 0)</f>
        <v>0</v>
      </c>
      <c r="U606" s="22">
        <f t="shared" si="36"/>
        <v>0</v>
      </c>
      <c r="V606">
        <f t="shared" si="37"/>
        <v>1799.9370000000001</v>
      </c>
      <c r="W606" s="22">
        <f t="shared" si="38"/>
        <v>1799.9370000000001</v>
      </c>
    </row>
    <row r="607" spans="1:23" hidden="1" x14ac:dyDescent="0.25">
      <c r="A607" s="3">
        <v>45966</v>
      </c>
      <c r="B607" s="4" t="s">
        <v>298</v>
      </c>
      <c r="C607" s="4" t="s">
        <v>587</v>
      </c>
      <c r="D607" s="4"/>
      <c r="E607" s="4" t="s">
        <v>350</v>
      </c>
      <c r="F607" s="4" t="s">
        <v>602</v>
      </c>
      <c r="G607" s="4" t="s">
        <v>350</v>
      </c>
      <c r="H607" s="4" t="s">
        <v>304</v>
      </c>
      <c r="I607" s="4">
        <v>19.350000000000001</v>
      </c>
      <c r="J607" s="21">
        <v>64.599999999999994</v>
      </c>
      <c r="K607" s="21">
        <v>0</v>
      </c>
      <c r="L607" s="5">
        <v>1250.01</v>
      </c>
      <c r="M607" s="4"/>
      <c r="N607" s="4">
        <v>19.350000000000001</v>
      </c>
      <c r="O607" s="5"/>
      <c r="P607" s="5">
        <v>64.599999999999994</v>
      </c>
      <c r="Q607" s="21">
        <v>0</v>
      </c>
      <c r="R607" s="21">
        <v>0</v>
      </c>
      <c r="S607" s="5">
        <f t="shared" si="39"/>
        <v>90645.962760152033</v>
      </c>
      <c r="T607" cm="1">
        <f t="array" ref="T607">IF(OR(B607="MAL ALIMI", B607="ÜRETİM GİRİŞ"), MIN(I607, MAX(0, I607 + SUM(SUMIFS($I$1:I606, $C$1:C606, C607, $B$1:B606, {"MAL ALIMI","ÜRETİM GİRİŞ"})) - VLOOKUP(C607, 'STOK RAPORU'!$C$2:$I$1000, 4, 0))), 0)</f>
        <v>0</v>
      </c>
      <c r="U607" s="22">
        <f t="shared" si="36"/>
        <v>0</v>
      </c>
      <c r="V607">
        <f t="shared" si="37"/>
        <v>1250.01</v>
      </c>
      <c r="W607" s="22">
        <f t="shared" si="38"/>
        <v>1250.01</v>
      </c>
    </row>
    <row r="608" spans="1:23" hidden="1" x14ac:dyDescent="0.25">
      <c r="A608" s="3">
        <v>45966</v>
      </c>
      <c r="B608" s="4" t="s">
        <v>298</v>
      </c>
      <c r="C608" s="4" t="s">
        <v>592</v>
      </c>
      <c r="D608" s="4"/>
      <c r="E608" s="4" t="s">
        <v>350</v>
      </c>
      <c r="F608" s="4" t="s">
        <v>602</v>
      </c>
      <c r="G608" s="4" t="s">
        <v>350</v>
      </c>
      <c r="H608" s="4" t="s">
        <v>304</v>
      </c>
      <c r="I608" s="4">
        <v>12</v>
      </c>
      <c r="J608" s="21">
        <v>18.332999999999998</v>
      </c>
      <c r="K608" s="21">
        <v>0</v>
      </c>
      <c r="L608" s="5">
        <v>219.99599999999998</v>
      </c>
      <c r="M608" s="4"/>
      <c r="N608" s="4">
        <v>2</v>
      </c>
      <c r="O608" s="5"/>
      <c r="P608" s="5">
        <v>110</v>
      </c>
      <c r="Q608" s="21">
        <v>0</v>
      </c>
      <c r="R608" s="21">
        <v>0</v>
      </c>
      <c r="S608" s="5">
        <f t="shared" si="39"/>
        <v>90645.962760152033</v>
      </c>
      <c r="T608" cm="1">
        <f t="array" ref="T608">IF(OR(B608="MAL ALIMI", B608="ÜRETİM GİRİŞ"), MIN(I608, MAX(0, I608 + SUM(SUMIFS($I$1:I607, $C$1:C607, C608, $B$1:B607, {"MAL ALIMI","ÜRETİM GİRİŞ"})) - VLOOKUP(C608, 'STOK RAPORU'!$C$2:$I$1000, 4, 0))), 0)</f>
        <v>0</v>
      </c>
      <c r="U608" s="22">
        <f t="shared" si="36"/>
        <v>0</v>
      </c>
      <c r="V608">
        <f t="shared" si="37"/>
        <v>219.99599999999998</v>
      </c>
      <c r="W608" s="22">
        <f t="shared" si="38"/>
        <v>219.99599999999998</v>
      </c>
    </row>
    <row r="609" spans="1:23" hidden="1" x14ac:dyDescent="0.25">
      <c r="A609" s="3">
        <v>45966</v>
      </c>
      <c r="B609" s="4" t="s">
        <v>298</v>
      </c>
      <c r="C609" s="4" t="s">
        <v>593</v>
      </c>
      <c r="D609" s="4"/>
      <c r="E609" s="4" t="s">
        <v>350</v>
      </c>
      <c r="F609" s="4" t="s">
        <v>602</v>
      </c>
      <c r="G609" s="4" t="s">
        <v>350</v>
      </c>
      <c r="H609" s="4" t="s">
        <v>304</v>
      </c>
      <c r="I609" s="4">
        <v>6</v>
      </c>
      <c r="J609" s="21">
        <v>18.332999999999998</v>
      </c>
      <c r="K609" s="21">
        <v>0</v>
      </c>
      <c r="L609" s="5">
        <v>109.99799999999999</v>
      </c>
      <c r="M609" s="4"/>
      <c r="N609" s="4">
        <v>1</v>
      </c>
      <c r="O609" s="5"/>
      <c r="P609" s="5">
        <v>110</v>
      </c>
      <c r="Q609" s="21">
        <v>0</v>
      </c>
      <c r="R609" s="21">
        <v>0</v>
      </c>
      <c r="S609" s="5">
        <f t="shared" si="39"/>
        <v>90645.962760152033</v>
      </c>
      <c r="T609" cm="1">
        <f t="array" ref="T609">IF(OR(B609="MAL ALIMI", B609="ÜRETİM GİRİŞ"), MIN(I609, MAX(0, I609 + SUM(SUMIFS($I$1:I608, $C$1:C608, C609, $B$1:B608, {"MAL ALIMI","ÜRETİM GİRİŞ"})) - VLOOKUP(C609, 'STOK RAPORU'!$C$2:$I$1000, 4, 0))), 0)</f>
        <v>0</v>
      </c>
      <c r="U609" s="22">
        <f t="shared" si="36"/>
        <v>0</v>
      </c>
      <c r="V609">
        <f t="shared" si="37"/>
        <v>109.99799999999999</v>
      </c>
      <c r="W609" s="22">
        <f t="shared" si="38"/>
        <v>109.99799999999999</v>
      </c>
    </row>
    <row r="610" spans="1:23" hidden="1" x14ac:dyDescent="0.25">
      <c r="A610" s="3">
        <v>45966</v>
      </c>
      <c r="B610" s="4" t="s">
        <v>298</v>
      </c>
      <c r="C610" s="4" t="s">
        <v>594</v>
      </c>
      <c r="D610" s="4"/>
      <c r="E610" s="4" t="s">
        <v>350</v>
      </c>
      <c r="F610" s="4" t="s">
        <v>602</v>
      </c>
      <c r="G610" s="4" t="s">
        <v>350</v>
      </c>
      <c r="H610" s="4" t="s">
        <v>304</v>
      </c>
      <c r="I610" s="4">
        <v>12</v>
      </c>
      <c r="J610" s="21">
        <v>18.332999999999998</v>
      </c>
      <c r="K610" s="21">
        <v>0</v>
      </c>
      <c r="L610" s="5">
        <v>219.99599999999998</v>
      </c>
      <c r="M610" s="4"/>
      <c r="N610" s="4">
        <v>2</v>
      </c>
      <c r="O610" s="5"/>
      <c r="P610" s="5">
        <v>110</v>
      </c>
      <c r="Q610" s="21">
        <v>0</v>
      </c>
      <c r="R610" s="21">
        <v>0</v>
      </c>
      <c r="S610" s="5">
        <f t="shared" si="39"/>
        <v>90645.962760152033</v>
      </c>
      <c r="T610" cm="1">
        <f t="array" ref="T610">IF(OR(B610="MAL ALIMI", B610="ÜRETİM GİRİŞ"), MIN(I610, MAX(0, I610 + SUM(SUMIFS($I$1:I609, $C$1:C609, C610, $B$1:B609, {"MAL ALIMI","ÜRETİM GİRİŞ"})) - VLOOKUP(C610, 'STOK RAPORU'!$C$2:$I$1000, 4, 0))), 0)</f>
        <v>12</v>
      </c>
      <c r="U610" s="22">
        <f t="shared" si="36"/>
        <v>219.99599999999998</v>
      </c>
      <c r="V610">
        <f t="shared" si="37"/>
        <v>219.99599999999998</v>
      </c>
      <c r="W610" s="22">
        <f t="shared" si="38"/>
        <v>0</v>
      </c>
    </row>
    <row r="611" spans="1:23" hidden="1" x14ac:dyDescent="0.25">
      <c r="A611" s="3">
        <v>45966</v>
      </c>
      <c r="B611" s="4" t="s">
        <v>298</v>
      </c>
      <c r="C611" s="4" t="s">
        <v>595</v>
      </c>
      <c r="D611" s="4"/>
      <c r="E611" s="4" t="s">
        <v>350</v>
      </c>
      <c r="F611" s="4" t="s">
        <v>602</v>
      </c>
      <c r="G611" s="4" t="s">
        <v>350</v>
      </c>
      <c r="H611" s="4" t="s">
        <v>304</v>
      </c>
      <c r="I611" s="4">
        <v>6</v>
      </c>
      <c r="J611" s="21">
        <v>18.332999999999998</v>
      </c>
      <c r="K611" s="21">
        <v>0</v>
      </c>
      <c r="L611" s="5">
        <v>109.99799999999999</v>
      </c>
      <c r="M611" s="4"/>
      <c r="N611" s="4">
        <v>1</v>
      </c>
      <c r="O611" s="5"/>
      <c r="P611" s="5">
        <v>110</v>
      </c>
      <c r="Q611" s="21">
        <v>0</v>
      </c>
      <c r="R611" s="21">
        <v>0</v>
      </c>
      <c r="S611" s="5">
        <f t="shared" si="39"/>
        <v>90645.962760152033</v>
      </c>
      <c r="T611" cm="1">
        <f t="array" ref="T611">IF(OR(B611="MAL ALIMI", B611="ÜRETİM GİRİŞ"), MIN(I611, MAX(0, I611 + SUM(SUMIFS($I$1:I610, $C$1:C610, C611, $B$1:B610, {"MAL ALIMI","ÜRETİM GİRİŞ"})) - VLOOKUP(C611, 'STOK RAPORU'!$C$2:$I$1000, 4, 0))), 0)</f>
        <v>6</v>
      </c>
      <c r="U611" s="22">
        <f t="shared" si="36"/>
        <v>109.99799999999999</v>
      </c>
      <c r="V611">
        <f t="shared" si="37"/>
        <v>109.99799999999999</v>
      </c>
      <c r="W611" s="22">
        <f t="shared" si="38"/>
        <v>0</v>
      </c>
    </row>
    <row r="612" spans="1:23" hidden="1" x14ac:dyDescent="0.25">
      <c r="A612" s="3">
        <v>45966</v>
      </c>
      <c r="B612" s="4" t="s">
        <v>298</v>
      </c>
      <c r="C612" s="4" t="s">
        <v>589</v>
      </c>
      <c r="D612" s="4"/>
      <c r="E612" s="4" t="s">
        <v>350</v>
      </c>
      <c r="F612" s="4" t="s">
        <v>602</v>
      </c>
      <c r="G612" s="4" t="s">
        <v>350</v>
      </c>
      <c r="H612" s="4" t="s">
        <v>304</v>
      </c>
      <c r="I612" s="4">
        <v>1</v>
      </c>
      <c r="J612" s="21">
        <v>395</v>
      </c>
      <c r="K612" s="21">
        <v>0</v>
      </c>
      <c r="L612" s="5">
        <v>395</v>
      </c>
      <c r="M612" s="4"/>
      <c r="N612" s="4">
        <v>1</v>
      </c>
      <c r="O612" s="5"/>
      <c r="P612" s="5">
        <v>395</v>
      </c>
      <c r="Q612" s="21">
        <v>0</v>
      </c>
      <c r="R612" s="21">
        <v>0</v>
      </c>
      <c r="S612" s="5">
        <f t="shared" si="39"/>
        <v>90645.962760152033</v>
      </c>
      <c r="T612" cm="1">
        <f t="array" ref="T612">IF(OR(B612="MAL ALIMI", B612="ÜRETİM GİRİŞ"), MIN(I612, MAX(0, I612 + SUM(SUMIFS($I$1:I611, $C$1:C611, C612, $B$1:B611, {"MAL ALIMI","ÜRETİM GİRİŞ"})) - VLOOKUP(C612, 'STOK RAPORU'!$C$2:$I$1000, 4, 0))), 0)</f>
        <v>0</v>
      </c>
      <c r="U612" s="22">
        <f t="shared" si="36"/>
        <v>0</v>
      </c>
      <c r="V612">
        <f t="shared" si="37"/>
        <v>395</v>
      </c>
      <c r="W612" s="22">
        <f t="shared" si="38"/>
        <v>395</v>
      </c>
    </row>
    <row r="613" spans="1:23" hidden="1" x14ac:dyDescent="0.25">
      <c r="A613" s="3">
        <v>45966</v>
      </c>
      <c r="B613" s="4" t="s">
        <v>298</v>
      </c>
      <c r="C613" s="4" t="s">
        <v>590</v>
      </c>
      <c r="D613" s="4"/>
      <c r="E613" s="4" t="s">
        <v>350</v>
      </c>
      <c r="F613" s="4" t="s">
        <v>602</v>
      </c>
      <c r="G613" s="4" t="s">
        <v>350</v>
      </c>
      <c r="H613" s="4" t="s">
        <v>304</v>
      </c>
      <c r="I613" s="4">
        <v>5</v>
      </c>
      <c r="J613" s="21">
        <v>52</v>
      </c>
      <c r="K613" s="21">
        <v>0</v>
      </c>
      <c r="L613" s="5">
        <v>260</v>
      </c>
      <c r="M613" s="4"/>
      <c r="N613" s="4">
        <v>5</v>
      </c>
      <c r="O613" s="5"/>
      <c r="P613" s="5">
        <v>52</v>
      </c>
      <c r="Q613" s="21">
        <v>0</v>
      </c>
      <c r="R613" s="21">
        <v>0</v>
      </c>
      <c r="S613" s="5">
        <f t="shared" si="39"/>
        <v>90645.962760152033</v>
      </c>
      <c r="T613" cm="1">
        <f t="array" ref="T613">IF(OR(B613="MAL ALIMI", B613="ÜRETİM GİRİŞ"), MIN(I613, MAX(0, I613 + SUM(SUMIFS($I$1:I612, $C$1:C612, C613, $B$1:B612, {"MAL ALIMI","ÜRETİM GİRİŞ"})) - VLOOKUP(C613, 'STOK RAPORU'!$C$2:$I$1000, 4, 0))), 0)</f>
        <v>0</v>
      </c>
      <c r="U613" s="22">
        <f t="shared" si="36"/>
        <v>0</v>
      </c>
      <c r="V613">
        <f t="shared" si="37"/>
        <v>260</v>
      </c>
      <c r="W613" s="22">
        <f t="shared" si="38"/>
        <v>260</v>
      </c>
    </row>
    <row r="614" spans="1:23" hidden="1" x14ac:dyDescent="0.25">
      <c r="A614" s="3">
        <v>45966</v>
      </c>
      <c r="B614" s="4" t="s">
        <v>298</v>
      </c>
      <c r="C614" s="4" t="s">
        <v>591</v>
      </c>
      <c r="D614" s="4"/>
      <c r="E614" s="4" t="s">
        <v>350</v>
      </c>
      <c r="F614" s="4" t="s">
        <v>602</v>
      </c>
      <c r="G614" s="4" t="s">
        <v>350</v>
      </c>
      <c r="H614" s="4" t="s">
        <v>304</v>
      </c>
      <c r="I614" s="4">
        <v>20</v>
      </c>
      <c r="J614" s="21">
        <v>235</v>
      </c>
      <c r="K614" s="21">
        <v>0</v>
      </c>
      <c r="L614" s="5">
        <v>4700</v>
      </c>
      <c r="M614" s="4"/>
      <c r="N614" s="4">
        <v>20</v>
      </c>
      <c r="O614" s="5"/>
      <c r="P614" s="5">
        <v>235</v>
      </c>
      <c r="Q614" s="21">
        <v>0</v>
      </c>
      <c r="R614" s="21">
        <v>0</v>
      </c>
      <c r="S614" s="5">
        <f t="shared" si="39"/>
        <v>90645.962760152033</v>
      </c>
      <c r="T614" cm="1">
        <f t="array" ref="T614">IF(OR(B614="MAL ALIMI", B614="ÜRETİM GİRİŞ"), MIN(I614, MAX(0, I614 + SUM(SUMIFS($I$1:I613, $C$1:C613, C614, $B$1:B613, {"MAL ALIMI","ÜRETİM GİRİŞ"})) - VLOOKUP(C614, 'STOK RAPORU'!$C$2:$I$1000, 4, 0))), 0)</f>
        <v>0</v>
      </c>
      <c r="U614" s="22">
        <f t="shared" si="36"/>
        <v>0</v>
      </c>
      <c r="V614">
        <f t="shared" si="37"/>
        <v>4700</v>
      </c>
      <c r="W614" s="22">
        <f t="shared" si="38"/>
        <v>4700</v>
      </c>
    </row>
    <row r="615" spans="1:23" hidden="1" x14ac:dyDescent="0.25">
      <c r="A615" s="3">
        <v>45966</v>
      </c>
      <c r="B615" s="4" t="s">
        <v>298</v>
      </c>
      <c r="C615" s="4" t="s">
        <v>757</v>
      </c>
      <c r="D615" s="4"/>
      <c r="E615" s="4" t="s">
        <v>856</v>
      </c>
      <c r="F615" s="4" t="s">
        <v>798</v>
      </c>
      <c r="G615" s="4" t="s">
        <v>795</v>
      </c>
      <c r="H615" s="4" t="s">
        <v>1329</v>
      </c>
      <c r="I615" s="4">
        <v>2</v>
      </c>
      <c r="J615" s="21">
        <v>346.16500000000002</v>
      </c>
      <c r="K615" s="21">
        <v>0</v>
      </c>
      <c r="L615" s="5">
        <v>692.33</v>
      </c>
      <c r="M615" s="4"/>
      <c r="N615" s="4">
        <v>2</v>
      </c>
      <c r="O615" s="5"/>
      <c r="P615" s="5">
        <v>346.16500000000002</v>
      </c>
      <c r="Q615" s="21">
        <v>0</v>
      </c>
      <c r="R615" s="21">
        <v>0</v>
      </c>
      <c r="S615" s="5">
        <f t="shared" si="39"/>
        <v>90645.962760152033</v>
      </c>
      <c r="T615" cm="1">
        <f t="array" ref="T615">IF(OR(B615="MAL ALIMI", B615="ÜRETİM GİRİŞ"), MIN(I615, MAX(0, I615 + SUM(SUMIFS($I$1:I614, $C$1:C614, C615, $B$1:B614, {"MAL ALIMI","ÜRETİM GİRİŞ"})) - VLOOKUP(C615, 'STOK RAPORU'!$C$2:$I$1000, 4, 0))), 0)</f>
        <v>0</v>
      </c>
      <c r="U615" s="22">
        <f t="shared" si="36"/>
        <v>0</v>
      </c>
      <c r="V615">
        <f t="shared" si="37"/>
        <v>692.33</v>
      </c>
      <c r="W615" s="22">
        <f t="shared" si="38"/>
        <v>692.33</v>
      </c>
    </row>
    <row r="616" spans="1:23" hidden="1" x14ac:dyDescent="0.25">
      <c r="A616" s="3">
        <v>45966</v>
      </c>
      <c r="B616" s="4" t="s">
        <v>298</v>
      </c>
      <c r="C616" s="4" t="s">
        <v>757</v>
      </c>
      <c r="D616" s="4"/>
      <c r="E616" s="4" t="s">
        <v>856</v>
      </c>
      <c r="F616" s="4" t="s">
        <v>799</v>
      </c>
      <c r="G616" s="4" t="s">
        <v>795</v>
      </c>
      <c r="H616" s="4" t="s">
        <v>1329</v>
      </c>
      <c r="I616" s="4">
        <v>2</v>
      </c>
      <c r="J616" s="21">
        <v>346.16500000000002</v>
      </c>
      <c r="K616" s="21">
        <v>0</v>
      </c>
      <c r="L616" s="5">
        <v>692.33</v>
      </c>
      <c r="M616" s="4"/>
      <c r="N616" s="4">
        <v>2</v>
      </c>
      <c r="O616" s="5"/>
      <c r="P616" s="5">
        <v>346.16500000000002</v>
      </c>
      <c r="Q616" s="21">
        <v>0</v>
      </c>
      <c r="R616" s="21">
        <v>0</v>
      </c>
      <c r="S616" s="5">
        <f t="shared" si="39"/>
        <v>90645.962760152033</v>
      </c>
      <c r="T616" cm="1">
        <f t="array" ref="T616">IF(OR(B616="MAL ALIMI", B616="ÜRETİM GİRİŞ"), MIN(I616, MAX(0, I616 + SUM(SUMIFS($I$1:I615, $C$1:C615, C616, $B$1:B615, {"MAL ALIMI","ÜRETİM GİRİŞ"})) - VLOOKUP(C616, 'STOK RAPORU'!$C$2:$I$1000, 4, 0))), 0)</f>
        <v>0</v>
      </c>
      <c r="U616" s="22">
        <f t="shared" si="36"/>
        <v>0</v>
      </c>
      <c r="V616">
        <f t="shared" si="37"/>
        <v>692.33</v>
      </c>
      <c r="W616" s="22">
        <f t="shared" si="38"/>
        <v>692.33</v>
      </c>
    </row>
    <row r="617" spans="1:23" hidden="1" x14ac:dyDescent="0.25">
      <c r="A617" s="3">
        <v>45966</v>
      </c>
      <c r="B617" s="4" t="s">
        <v>298</v>
      </c>
      <c r="C617" s="4" t="s">
        <v>757</v>
      </c>
      <c r="D617" s="4"/>
      <c r="E617" s="4" t="s">
        <v>856</v>
      </c>
      <c r="F617" s="4" t="s">
        <v>800</v>
      </c>
      <c r="G617" s="4" t="s">
        <v>795</v>
      </c>
      <c r="H617" s="4" t="s">
        <v>1329</v>
      </c>
      <c r="I617" s="4">
        <v>2</v>
      </c>
      <c r="J617" s="21">
        <v>346.16500000000002</v>
      </c>
      <c r="K617" s="21">
        <v>0</v>
      </c>
      <c r="L617" s="5">
        <v>692.33</v>
      </c>
      <c r="M617" s="4"/>
      <c r="N617" s="4">
        <v>2</v>
      </c>
      <c r="O617" s="5"/>
      <c r="P617" s="5">
        <v>346.16500000000002</v>
      </c>
      <c r="Q617" s="21">
        <v>0</v>
      </c>
      <c r="R617" s="21">
        <v>0</v>
      </c>
      <c r="S617" s="5">
        <f t="shared" si="39"/>
        <v>90645.962760152033</v>
      </c>
      <c r="T617" cm="1">
        <f t="array" ref="T617">IF(OR(B617="MAL ALIMI", B617="ÜRETİM GİRİŞ"), MIN(I617, MAX(0, I617 + SUM(SUMIFS($I$1:I616, $C$1:C616, C617, $B$1:B616, {"MAL ALIMI","ÜRETİM GİRİŞ"})) - VLOOKUP(C617, 'STOK RAPORU'!$C$2:$I$1000, 4, 0))), 0)</f>
        <v>0</v>
      </c>
      <c r="U617" s="22">
        <f t="shared" si="36"/>
        <v>0</v>
      </c>
      <c r="V617">
        <f t="shared" si="37"/>
        <v>692.33</v>
      </c>
      <c r="W617" s="22">
        <f t="shared" si="38"/>
        <v>692.33</v>
      </c>
    </row>
    <row r="618" spans="1:23" hidden="1" x14ac:dyDescent="0.25">
      <c r="A618" s="3">
        <v>45966</v>
      </c>
      <c r="B618" s="4" t="s">
        <v>334</v>
      </c>
      <c r="C618" s="4" t="s">
        <v>211</v>
      </c>
      <c r="D618" s="4"/>
      <c r="E618" s="4"/>
      <c r="F618" s="4" t="s">
        <v>557</v>
      </c>
      <c r="G618" s="4" t="s">
        <v>336</v>
      </c>
      <c r="H618" s="4" t="s">
        <v>289</v>
      </c>
      <c r="I618" s="4">
        <v>0.67</v>
      </c>
      <c r="J618" s="21">
        <v>300</v>
      </c>
      <c r="K618" s="21">
        <v>0</v>
      </c>
      <c r="L618" s="5">
        <v>0</v>
      </c>
      <c r="M618" s="4">
        <v>0.67</v>
      </c>
      <c r="N618" s="4"/>
      <c r="O618" s="5">
        <v>300</v>
      </c>
      <c r="P618" s="5"/>
      <c r="Q618" s="21">
        <v>201</v>
      </c>
      <c r="R618" s="21">
        <v>0</v>
      </c>
      <c r="S618" s="5">
        <f t="shared" si="39"/>
        <v>90846.962760152033</v>
      </c>
      <c r="T618" cm="1">
        <f t="array" ref="T618">IF(OR(B618="MAL ALIMI", B618="ÜRETİM GİRİŞ"), MIN(I618, MAX(0, I618 + SUM(SUMIFS($I$1:I617, $C$1:C617, C618, $B$1:B617, {"MAL ALIMI","ÜRETİM GİRİŞ"})) - VLOOKUP(C618, 'STOK RAPORU'!$C$2:$I$1000, 4, 0))), 0)</f>
        <v>0</v>
      </c>
      <c r="U618" s="22">
        <f t="shared" si="36"/>
        <v>0</v>
      </c>
      <c r="V618">
        <f t="shared" si="37"/>
        <v>0</v>
      </c>
      <c r="W618" s="22">
        <f t="shared" si="38"/>
        <v>0</v>
      </c>
    </row>
    <row r="619" spans="1:23" hidden="1" x14ac:dyDescent="0.25">
      <c r="A619" s="3">
        <v>45966</v>
      </c>
      <c r="B619" s="4" t="s">
        <v>334</v>
      </c>
      <c r="C619" s="4" t="s">
        <v>60</v>
      </c>
      <c r="D619" s="4"/>
      <c r="E619" s="4"/>
      <c r="F619" s="4" t="s">
        <v>557</v>
      </c>
      <c r="G619" s="4" t="s">
        <v>336</v>
      </c>
      <c r="H619" s="4" t="s">
        <v>289</v>
      </c>
      <c r="I619" s="4">
        <v>4.5449999999999997E-2</v>
      </c>
      <c r="J619" s="21">
        <v>1100</v>
      </c>
      <c r="K619" s="21">
        <v>0</v>
      </c>
      <c r="L619" s="5">
        <v>0</v>
      </c>
      <c r="M619" s="4">
        <v>1</v>
      </c>
      <c r="N619" s="4"/>
      <c r="O619" s="5">
        <v>50</v>
      </c>
      <c r="P619" s="5"/>
      <c r="Q619" s="21">
        <v>49.994999999999997</v>
      </c>
      <c r="R619" s="21">
        <v>0</v>
      </c>
      <c r="S619" s="5">
        <f t="shared" si="39"/>
        <v>90896.957760152029</v>
      </c>
      <c r="T619" cm="1">
        <f t="array" ref="T619">IF(OR(B619="MAL ALIMI", B619="ÜRETİM GİRİŞ"), MIN(I619, MAX(0, I619 + SUM(SUMIFS($I$1:I618, $C$1:C618, C619, $B$1:B618, {"MAL ALIMI","ÜRETİM GİRİŞ"})) - VLOOKUP(C619, 'STOK RAPORU'!$C$2:$I$1000, 4, 0))), 0)</f>
        <v>0</v>
      </c>
      <c r="U619" s="22">
        <f t="shared" si="36"/>
        <v>0</v>
      </c>
      <c r="V619">
        <f t="shared" si="37"/>
        <v>0</v>
      </c>
      <c r="W619" s="22">
        <f t="shared" si="38"/>
        <v>0</v>
      </c>
    </row>
    <row r="620" spans="1:23" hidden="1" x14ac:dyDescent="0.25">
      <c r="A620" s="3">
        <v>45966</v>
      </c>
      <c r="B620" s="4" t="s">
        <v>334</v>
      </c>
      <c r="C620" s="4" t="s">
        <v>126</v>
      </c>
      <c r="D620" s="4"/>
      <c r="E620" s="4"/>
      <c r="F620" s="4" t="s">
        <v>558</v>
      </c>
      <c r="G620" s="4" t="s">
        <v>336</v>
      </c>
      <c r="H620" s="4" t="s">
        <v>289</v>
      </c>
      <c r="I620" s="4">
        <v>0.2</v>
      </c>
      <c r="J620" s="21">
        <v>640</v>
      </c>
      <c r="K620" s="21">
        <v>0</v>
      </c>
      <c r="L620" s="5">
        <v>0</v>
      </c>
      <c r="M620" s="4">
        <v>0.2</v>
      </c>
      <c r="N620" s="4"/>
      <c r="O620" s="5">
        <v>640</v>
      </c>
      <c r="P620" s="5"/>
      <c r="Q620" s="21">
        <v>128</v>
      </c>
      <c r="R620" s="21">
        <v>0</v>
      </c>
      <c r="S620" s="5">
        <f t="shared" si="39"/>
        <v>91024.957760152029</v>
      </c>
      <c r="T620" cm="1">
        <f t="array" ref="T620">IF(OR(B620="MAL ALIMI", B620="ÜRETİM GİRİŞ"), MIN(I620, MAX(0, I620 + SUM(SUMIFS($I$1:I619, $C$1:C619, C620, $B$1:B619, {"MAL ALIMI","ÜRETİM GİRİŞ"})) - VLOOKUP(C620, 'STOK RAPORU'!$C$2:$I$1000, 4, 0))), 0)</f>
        <v>0</v>
      </c>
      <c r="U620" s="22">
        <f t="shared" si="36"/>
        <v>0</v>
      </c>
      <c r="V620">
        <f t="shared" si="37"/>
        <v>0</v>
      </c>
      <c r="W620" s="22">
        <f t="shared" si="38"/>
        <v>0</v>
      </c>
    </row>
    <row r="621" spans="1:23" hidden="1" x14ac:dyDescent="0.25">
      <c r="A621" s="3">
        <v>45966</v>
      </c>
      <c r="B621" s="4" t="s">
        <v>334</v>
      </c>
      <c r="C621" s="4" t="s">
        <v>163</v>
      </c>
      <c r="D621" s="4"/>
      <c r="E621" s="4"/>
      <c r="F621" s="4" t="s">
        <v>558</v>
      </c>
      <c r="G621" s="4" t="s">
        <v>336</v>
      </c>
      <c r="H621" s="4" t="s">
        <v>289</v>
      </c>
      <c r="I621" s="4">
        <v>0.2</v>
      </c>
      <c r="J621" s="21">
        <v>420</v>
      </c>
      <c r="K621" s="21">
        <v>0</v>
      </c>
      <c r="L621" s="5">
        <v>0</v>
      </c>
      <c r="M621" s="4">
        <v>0.2</v>
      </c>
      <c r="N621" s="4"/>
      <c r="O621" s="5">
        <v>420</v>
      </c>
      <c r="P621" s="5"/>
      <c r="Q621" s="21">
        <v>84</v>
      </c>
      <c r="R621" s="21">
        <v>0</v>
      </c>
      <c r="S621" s="5">
        <f t="shared" si="39"/>
        <v>91108.957760152029</v>
      </c>
      <c r="T621" cm="1">
        <f t="array" ref="T621">IF(OR(B621="MAL ALIMI", B621="ÜRETİM GİRİŞ"), MIN(I621, MAX(0, I621 + SUM(SUMIFS($I$1:I620, $C$1:C620, C621, $B$1:B620, {"MAL ALIMI","ÜRETİM GİRİŞ"})) - VLOOKUP(C621, 'STOK RAPORU'!$C$2:$I$1000, 4, 0))), 0)</f>
        <v>0</v>
      </c>
      <c r="U621" s="22">
        <f t="shared" si="36"/>
        <v>0</v>
      </c>
      <c r="V621">
        <f t="shared" si="37"/>
        <v>0</v>
      </c>
      <c r="W621" s="22">
        <f t="shared" si="38"/>
        <v>0</v>
      </c>
    </row>
    <row r="622" spans="1:23" hidden="1" x14ac:dyDescent="0.25">
      <c r="A622" s="3">
        <v>45966</v>
      </c>
      <c r="B622" s="4" t="s">
        <v>334</v>
      </c>
      <c r="C622" s="4" t="s">
        <v>140</v>
      </c>
      <c r="D622" s="4"/>
      <c r="E622" s="4"/>
      <c r="F622" s="4" t="s">
        <v>559</v>
      </c>
      <c r="G622" s="4" t="s">
        <v>336</v>
      </c>
      <c r="H622" s="4" t="s">
        <v>289</v>
      </c>
      <c r="I622" s="4">
        <v>8.7999999999999995E-2</v>
      </c>
      <c r="J622" s="21">
        <v>250</v>
      </c>
      <c r="K622" s="21">
        <v>0</v>
      </c>
      <c r="L622" s="5">
        <v>0</v>
      </c>
      <c r="M622" s="4">
        <v>8.7999999999999995E-2</v>
      </c>
      <c r="N622" s="4"/>
      <c r="O622" s="5">
        <v>250</v>
      </c>
      <c r="P622" s="5"/>
      <c r="Q622" s="21">
        <v>22</v>
      </c>
      <c r="R622" s="21">
        <v>0</v>
      </c>
      <c r="S622" s="5">
        <f t="shared" si="39"/>
        <v>91130.957760152029</v>
      </c>
      <c r="T622" cm="1">
        <f t="array" ref="T622">IF(OR(B622="MAL ALIMI", B622="ÜRETİM GİRİŞ"), MIN(I622, MAX(0, I622 + SUM(SUMIFS($I$1:I621, $C$1:C621, C622, $B$1:B621, {"MAL ALIMI","ÜRETİM GİRİŞ"})) - VLOOKUP(C622, 'STOK RAPORU'!$C$2:$I$1000, 4, 0))), 0)</f>
        <v>0</v>
      </c>
      <c r="U622" s="22">
        <f t="shared" si="36"/>
        <v>0</v>
      </c>
      <c r="V622">
        <f t="shared" si="37"/>
        <v>0</v>
      </c>
      <c r="W622" s="22">
        <f t="shared" si="38"/>
        <v>0</v>
      </c>
    </row>
    <row r="623" spans="1:23" hidden="1" x14ac:dyDescent="0.25">
      <c r="A623" s="3">
        <v>45966</v>
      </c>
      <c r="B623" s="4" t="s">
        <v>334</v>
      </c>
      <c r="C623" s="4" t="s">
        <v>131</v>
      </c>
      <c r="D623" s="4"/>
      <c r="E623" s="4"/>
      <c r="F623" s="4" t="s">
        <v>559</v>
      </c>
      <c r="G623" s="4" t="s">
        <v>336</v>
      </c>
      <c r="H623" s="4" t="s">
        <v>289</v>
      </c>
      <c r="I623" s="4">
        <v>4.3400000000000001E-2</v>
      </c>
      <c r="J623" s="21">
        <v>300</v>
      </c>
      <c r="K623" s="21">
        <v>0</v>
      </c>
      <c r="L623" s="5">
        <v>0</v>
      </c>
      <c r="M623" s="4">
        <v>4.3400000000000001E-2</v>
      </c>
      <c r="N623" s="4"/>
      <c r="O623" s="5">
        <v>300</v>
      </c>
      <c r="P623" s="5"/>
      <c r="Q623" s="21">
        <v>13.02</v>
      </c>
      <c r="R623" s="21">
        <v>0</v>
      </c>
      <c r="S623" s="5">
        <f t="shared" si="39"/>
        <v>91143.977760152033</v>
      </c>
      <c r="T623" cm="1">
        <f t="array" ref="T623">IF(OR(B623="MAL ALIMI", B623="ÜRETİM GİRİŞ"), MIN(I623, MAX(0, I623 + SUM(SUMIFS($I$1:I622, $C$1:C622, C623, $B$1:B622, {"MAL ALIMI","ÜRETİM GİRİŞ"})) - VLOOKUP(C623, 'STOK RAPORU'!$C$2:$I$1000, 4, 0))), 0)</f>
        <v>0</v>
      </c>
      <c r="U623" s="22">
        <f t="shared" si="36"/>
        <v>0</v>
      </c>
      <c r="V623">
        <f t="shared" si="37"/>
        <v>0</v>
      </c>
      <c r="W623" s="22">
        <f t="shared" si="38"/>
        <v>0</v>
      </c>
    </row>
    <row r="624" spans="1:23" hidden="1" x14ac:dyDescent="0.25">
      <c r="A624" s="3">
        <v>45966</v>
      </c>
      <c r="B624" s="4" t="s">
        <v>334</v>
      </c>
      <c r="C624" s="4" t="s">
        <v>91</v>
      </c>
      <c r="D624" s="4"/>
      <c r="E624" s="4"/>
      <c r="F624" s="4" t="s">
        <v>559</v>
      </c>
      <c r="G624" s="4" t="s">
        <v>336</v>
      </c>
      <c r="H624" s="4" t="s">
        <v>289</v>
      </c>
      <c r="I624" s="4">
        <v>0.04</v>
      </c>
      <c r="J624" s="21">
        <v>760</v>
      </c>
      <c r="K624" s="21">
        <v>0</v>
      </c>
      <c r="L624" s="5">
        <v>0</v>
      </c>
      <c r="M624" s="4">
        <v>0.04</v>
      </c>
      <c r="N624" s="4"/>
      <c r="O624" s="5">
        <v>760</v>
      </c>
      <c r="P624" s="5"/>
      <c r="Q624" s="21">
        <v>30.400000000000002</v>
      </c>
      <c r="R624" s="21">
        <v>0</v>
      </c>
      <c r="S624" s="5">
        <f t="shared" si="39"/>
        <v>91174.377760152027</v>
      </c>
      <c r="T624" cm="1">
        <f t="array" ref="T624">IF(OR(B624="MAL ALIMI", B624="ÜRETİM GİRİŞ"), MIN(I624, MAX(0, I624 + SUM(SUMIFS($I$1:I623, $C$1:C623, C624, $B$1:B623, {"MAL ALIMI","ÜRETİM GİRİŞ"})) - VLOOKUP(C624, 'STOK RAPORU'!$C$2:$I$1000, 4, 0))), 0)</f>
        <v>0</v>
      </c>
      <c r="U624" s="22">
        <f t="shared" si="36"/>
        <v>0</v>
      </c>
      <c r="V624">
        <f t="shared" si="37"/>
        <v>0</v>
      </c>
      <c r="W624" s="22">
        <f t="shared" si="38"/>
        <v>0</v>
      </c>
    </row>
    <row r="625" spans="1:23" hidden="1" x14ac:dyDescent="0.25">
      <c r="A625" s="3">
        <v>45966</v>
      </c>
      <c r="B625" s="4" t="s">
        <v>334</v>
      </c>
      <c r="C625" s="4" t="s">
        <v>149</v>
      </c>
      <c r="D625" s="4"/>
      <c r="E625" s="4"/>
      <c r="F625" s="4" t="s">
        <v>559</v>
      </c>
      <c r="G625" s="4" t="s">
        <v>336</v>
      </c>
      <c r="H625" s="4" t="s">
        <v>289</v>
      </c>
      <c r="I625" s="4">
        <v>1</v>
      </c>
      <c r="J625" s="21">
        <v>65</v>
      </c>
      <c r="K625" s="21">
        <v>0</v>
      </c>
      <c r="L625" s="5">
        <v>0</v>
      </c>
      <c r="M625" s="4">
        <v>1</v>
      </c>
      <c r="N625" s="4"/>
      <c r="O625" s="5">
        <v>65</v>
      </c>
      <c r="P625" s="5"/>
      <c r="Q625" s="21">
        <v>65</v>
      </c>
      <c r="R625" s="21">
        <v>0</v>
      </c>
      <c r="S625" s="5">
        <f t="shared" si="39"/>
        <v>91239.377760152027</v>
      </c>
      <c r="T625" cm="1">
        <f t="array" ref="T625">IF(OR(B625="MAL ALIMI", B625="ÜRETİM GİRİŞ"), MIN(I625, MAX(0, I625 + SUM(SUMIFS($I$1:I624, $C$1:C624, C625, $B$1:B624, {"MAL ALIMI","ÜRETİM GİRİŞ"})) - VLOOKUP(C625, 'STOK RAPORU'!$C$2:$I$1000, 4, 0))), 0)</f>
        <v>0</v>
      </c>
      <c r="U625" s="22">
        <f t="shared" si="36"/>
        <v>0</v>
      </c>
      <c r="V625">
        <f t="shared" si="37"/>
        <v>0</v>
      </c>
      <c r="W625" s="22">
        <f t="shared" si="38"/>
        <v>0</v>
      </c>
    </row>
    <row r="626" spans="1:23" hidden="1" x14ac:dyDescent="0.25">
      <c r="A626" s="3">
        <v>45966</v>
      </c>
      <c r="B626" s="4" t="s">
        <v>334</v>
      </c>
      <c r="C626" s="4" t="s">
        <v>523</v>
      </c>
      <c r="D626" s="4"/>
      <c r="E626" s="4"/>
      <c r="F626" s="4" t="s">
        <v>560</v>
      </c>
      <c r="G626" s="4" t="s">
        <v>336</v>
      </c>
      <c r="H626" s="4" t="s">
        <v>289</v>
      </c>
      <c r="I626" s="4">
        <v>0.1</v>
      </c>
      <c r="J626" s="21">
        <v>650</v>
      </c>
      <c r="K626" s="21">
        <v>0</v>
      </c>
      <c r="L626" s="5">
        <v>0</v>
      </c>
      <c r="M626" s="4">
        <v>1</v>
      </c>
      <c r="N626" s="4"/>
      <c r="O626" s="5">
        <v>65</v>
      </c>
      <c r="P626" s="5"/>
      <c r="Q626" s="21">
        <v>65</v>
      </c>
      <c r="R626" s="21">
        <v>0</v>
      </c>
      <c r="S626" s="5">
        <f t="shared" si="39"/>
        <v>91304.377760152027</v>
      </c>
      <c r="T626" cm="1">
        <f t="array" ref="T626">IF(OR(B626="MAL ALIMI", B626="ÜRETİM GİRİŞ"), MIN(I626, MAX(0, I626 + SUM(SUMIFS($I$1:I625, $C$1:C625, C626, $B$1:B625, {"MAL ALIMI","ÜRETİM GİRİŞ"})) - VLOOKUP(C626, 'STOK RAPORU'!$C$2:$I$1000, 4, 0))), 0)</f>
        <v>0</v>
      </c>
      <c r="U626" s="22">
        <f t="shared" si="36"/>
        <v>0</v>
      </c>
      <c r="V626">
        <f t="shared" si="37"/>
        <v>0</v>
      </c>
      <c r="W626" s="22">
        <f t="shared" si="38"/>
        <v>0</v>
      </c>
    </row>
    <row r="627" spans="1:23" hidden="1" x14ac:dyDescent="0.25">
      <c r="A627" s="3">
        <v>45966</v>
      </c>
      <c r="B627" s="4" t="s">
        <v>334</v>
      </c>
      <c r="C627" s="4" t="s">
        <v>156</v>
      </c>
      <c r="D627" s="4"/>
      <c r="E627" s="4" t="s">
        <v>921</v>
      </c>
      <c r="F627" s="4" t="s">
        <v>561</v>
      </c>
      <c r="G627" s="4" t="s">
        <v>336</v>
      </c>
      <c r="H627" s="4" t="s">
        <v>380</v>
      </c>
      <c r="I627" s="4">
        <v>1.1120000000000001</v>
      </c>
      <c r="J627" s="21">
        <v>180</v>
      </c>
      <c r="K627" s="21">
        <v>200.16000000000003</v>
      </c>
      <c r="L627" s="5">
        <v>0</v>
      </c>
      <c r="M627" s="4">
        <v>1.1120000000000001</v>
      </c>
      <c r="N627" s="4"/>
      <c r="O627" s="5">
        <v>180</v>
      </c>
      <c r="P627" s="5"/>
      <c r="Q627" s="21">
        <v>0</v>
      </c>
      <c r="R627" s="21">
        <v>0</v>
      </c>
      <c r="S627" s="5">
        <f t="shared" si="39"/>
        <v>91304.377760152027</v>
      </c>
      <c r="T627" cm="1">
        <f t="array" ref="T627">IF(OR(B627="MAL ALIMI", B627="ÜRETİM GİRİŞ"), MIN(I627, MAX(0, I627 + SUM(SUMIFS($I$1:I626, $C$1:C626, C627, $B$1:B626, {"MAL ALIMI","ÜRETİM GİRİŞ"})) - VLOOKUP(C627, 'STOK RAPORU'!$C$2:$I$1000, 4, 0))), 0)</f>
        <v>0</v>
      </c>
      <c r="U627" s="22">
        <f t="shared" si="36"/>
        <v>0</v>
      </c>
      <c r="V627">
        <f t="shared" si="37"/>
        <v>0</v>
      </c>
      <c r="W627" s="22">
        <f t="shared" si="38"/>
        <v>0</v>
      </c>
    </row>
    <row r="628" spans="1:23" hidden="1" x14ac:dyDescent="0.25">
      <c r="A628" s="3">
        <v>45966</v>
      </c>
      <c r="B628" s="4" t="s">
        <v>334</v>
      </c>
      <c r="C628" s="4" t="s">
        <v>225</v>
      </c>
      <c r="D628" s="4"/>
      <c r="E628" s="4" t="s">
        <v>921</v>
      </c>
      <c r="F628" s="4" t="s">
        <v>561</v>
      </c>
      <c r="G628" s="4" t="s">
        <v>336</v>
      </c>
      <c r="H628" s="4" t="s">
        <v>380</v>
      </c>
      <c r="I628" s="4">
        <v>0.309</v>
      </c>
      <c r="J628" s="21">
        <v>650</v>
      </c>
      <c r="K628" s="21">
        <v>200.85</v>
      </c>
      <c r="L628" s="5">
        <v>0</v>
      </c>
      <c r="M628" s="4">
        <v>0.309</v>
      </c>
      <c r="N628" s="4"/>
      <c r="O628" s="5">
        <v>650</v>
      </c>
      <c r="P628" s="5"/>
      <c r="Q628" s="21">
        <v>0</v>
      </c>
      <c r="R628" s="21">
        <v>0</v>
      </c>
      <c r="S628" s="5">
        <f t="shared" si="39"/>
        <v>91304.377760152027</v>
      </c>
      <c r="T628" cm="1">
        <f t="array" ref="T628">IF(OR(B628="MAL ALIMI", B628="ÜRETİM GİRİŞ"), MIN(I628, MAX(0, I628 + SUM(SUMIFS($I$1:I627, $C$1:C627, C628, $B$1:B627, {"MAL ALIMI","ÜRETİM GİRİŞ"})) - VLOOKUP(C628, 'STOK RAPORU'!$C$2:$I$1000, 4, 0))), 0)</f>
        <v>0</v>
      </c>
      <c r="U628" s="22">
        <f t="shared" si="36"/>
        <v>0</v>
      </c>
      <c r="V628">
        <f t="shared" si="37"/>
        <v>0</v>
      </c>
      <c r="W628" s="22">
        <f t="shared" si="38"/>
        <v>0</v>
      </c>
    </row>
    <row r="629" spans="1:23" hidden="1" x14ac:dyDescent="0.25">
      <c r="A629" s="3">
        <v>45966</v>
      </c>
      <c r="B629" s="4" t="s">
        <v>334</v>
      </c>
      <c r="C629" s="4" t="s">
        <v>156</v>
      </c>
      <c r="D629" s="4"/>
      <c r="E629" s="4"/>
      <c r="F629" s="4" t="s">
        <v>562</v>
      </c>
      <c r="G629" s="4" t="s">
        <v>336</v>
      </c>
      <c r="H629" s="4" t="s">
        <v>289</v>
      </c>
      <c r="I629" s="4">
        <v>1.1120000000000001</v>
      </c>
      <c r="J629" s="21">
        <v>180</v>
      </c>
      <c r="K629" s="21">
        <v>0</v>
      </c>
      <c r="L629" s="5">
        <v>0</v>
      </c>
      <c r="M629" s="4">
        <v>1.1120000000000001</v>
      </c>
      <c r="N629" s="4"/>
      <c r="O629" s="5">
        <v>180</v>
      </c>
      <c r="P629" s="5"/>
      <c r="Q629" s="21">
        <v>200.16000000000003</v>
      </c>
      <c r="R629" s="21">
        <v>0</v>
      </c>
      <c r="S629" s="5">
        <f t="shared" si="39"/>
        <v>91504.53776015203</v>
      </c>
      <c r="T629" cm="1">
        <f t="array" ref="T629">IF(OR(B629="MAL ALIMI", B629="ÜRETİM GİRİŞ"), MIN(I629, MAX(0, I629 + SUM(SUMIFS($I$1:I628, $C$1:C628, C629, $B$1:B628, {"MAL ALIMI","ÜRETİM GİRİŞ"})) - VLOOKUP(C629, 'STOK RAPORU'!$C$2:$I$1000, 4, 0))), 0)</f>
        <v>0</v>
      </c>
      <c r="U629" s="22">
        <f t="shared" si="36"/>
        <v>0</v>
      </c>
      <c r="V629">
        <f t="shared" si="37"/>
        <v>0</v>
      </c>
      <c r="W629" s="22">
        <f t="shared" si="38"/>
        <v>0</v>
      </c>
    </row>
    <row r="630" spans="1:23" hidden="1" x14ac:dyDescent="0.25">
      <c r="A630" s="3">
        <v>45966</v>
      </c>
      <c r="B630" s="4" t="s">
        <v>334</v>
      </c>
      <c r="C630" s="4" t="s">
        <v>150</v>
      </c>
      <c r="D630" s="4"/>
      <c r="E630" s="4"/>
      <c r="F630" s="4" t="s">
        <v>563</v>
      </c>
      <c r="G630" s="4" t="s">
        <v>336</v>
      </c>
      <c r="H630" s="4" t="s">
        <v>289</v>
      </c>
      <c r="I630" s="4">
        <v>2.5000000000000001E-2</v>
      </c>
      <c r="J630" s="21">
        <v>2000</v>
      </c>
      <c r="K630" s="21">
        <v>0</v>
      </c>
      <c r="L630" s="5">
        <v>0</v>
      </c>
      <c r="M630" s="4">
        <v>1</v>
      </c>
      <c r="N630" s="4"/>
      <c r="O630" s="5">
        <v>50</v>
      </c>
      <c r="P630" s="5"/>
      <c r="Q630" s="21">
        <v>50</v>
      </c>
      <c r="R630" s="21">
        <v>0</v>
      </c>
      <c r="S630" s="5">
        <f t="shared" si="39"/>
        <v>91554.53776015203</v>
      </c>
      <c r="T630" cm="1">
        <f t="array" ref="T630">IF(OR(B630="MAL ALIMI", B630="ÜRETİM GİRİŞ"), MIN(I630, MAX(0, I630 + SUM(SUMIFS($I$1:I629, $C$1:C629, C630, $B$1:B629, {"MAL ALIMI","ÜRETİM GİRİŞ"})) - VLOOKUP(C630, 'STOK RAPORU'!$C$2:$I$1000, 4, 0))), 0)</f>
        <v>0</v>
      </c>
      <c r="U630" s="22">
        <f t="shared" si="36"/>
        <v>0</v>
      </c>
      <c r="V630">
        <f t="shared" si="37"/>
        <v>0</v>
      </c>
      <c r="W630" s="22">
        <f t="shared" si="38"/>
        <v>0</v>
      </c>
    </row>
    <row r="631" spans="1:23" hidden="1" x14ac:dyDescent="0.25">
      <c r="A631" s="3">
        <v>45966</v>
      </c>
      <c r="B631" s="4" t="s">
        <v>334</v>
      </c>
      <c r="C631" s="4" t="s">
        <v>160</v>
      </c>
      <c r="D631" s="4"/>
      <c r="E631" s="4"/>
      <c r="F631" s="4" t="s">
        <v>564</v>
      </c>
      <c r="G631" s="4" t="s">
        <v>336</v>
      </c>
      <c r="H631" s="4" t="s">
        <v>289</v>
      </c>
      <c r="I631" s="4">
        <v>1</v>
      </c>
      <c r="J631" s="21">
        <v>240</v>
      </c>
      <c r="K631" s="21">
        <v>0</v>
      </c>
      <c r="L631" s="5">
        <v>0</v>
      </c>
      <c r="M631" s="4">
        <v>1</v>
      </c>
      <c r="N631" s="4"/>
      <c r="O631" s="5">
        <v>240</v>
      </c>
      <c r="P631" s="5"/>
      <c r="Q631" s="21">
        <v>240</v>
      </c>
      <c r="R631" s="21">
        <v>0</v>
      </c>
      <c r="S631" s="5">
        <f t="shared" si="39"/>
        <v>91794.53776015203</v>
      </c>
      <c r="T631" cm="1">
        <f t="array" ref="T631">IF(OR(B631="MAL ALIMI", B631="ÜRETİM GİRİŞ"), MIN(I631, MAX(0, I631 + SUM(SUMIFS($I$1:I630, $C$1:C630, C631, $B$1:B630, {"MAL ALIMI","ÜRETİM GİRİŞ"})) - VLOOKUP(C631, 'STOK RAPORU'!$C$2:$I$1000, 4, 0))), 0)</f>
        <v>0</v>
      </c>
      <c r="U631" s="22">
        <f t="shared" si="36"/>
        <v>0</v>
      </c>
      <c r="V631">
        <f t="shared" si="37"/>
        <v>0</v>
      </c>
      <c r="W631" s="22">
        <f t="shared" si="38"/>
        <v>0</v>
      </c>
    </row>
    <row r="632" spans="1:23" hidden="1" x14ac:dyDescent="0.25">
      <c r="A632" s="3">
        <v>45966</v>
      </c>
      <c r="B632" s="4" t="s">
        <v>334</v>
      </c>
      <c r="C632" s="4" t="s">
        <v>465</v>
      </c>
      <c r="D632" s="4"/>
      <c r="E632" s="4"/>
      <c r="F632" s="4" t="s">
        <v>565</v>
      </c>
      <c r="G632" s="4" t="s">
        <v>336</v>
      </c>
      <c r="H632" s="4" t="s">
        <v>289</v>
      </c>
      <c r="I632" s="4">
        <v>1</v>
      </c>
      <c r="J632" s="21">
        <v>40</v>
      </c>
      <c r="K632" s="21">
        <v>0</v>
      </c>
      <c r="L632" s="5">
        <v>0</v>
      </c>
      <c r="M632" s="4">
        <v>1</v>
      </c>
      <c r="N632" s="4"/>
      <c r="O632" s="5">
        <v>40</v>
      </c>
      <c r="P632" s="5"/>
      <c r="Q632" s="21">
        <v>40</v>
      </c>
      <c r="R632" s="21">
        <v>0</v>
      </c>
      <c r="S632" s="5">
        <f t="shared" si="39"/>
        <v>91834.53776015203</v>
      </c>
      <c r="T632" cm="1">
        <f t="array" ref="T632">IF(OR(B632="MAL ALIMI", B632="ÜRETİM GİRİŞ"), MIN(I632, MAX(0, I632 + SUM(SUMIFS($I$1:I631, $C$1:C631, C632, $B$1:B631, {"MAL ALIMI","ÜRETİM GİRİŞ"})) - VLOOKUP(C632, 'STOK RAPORU'!$C$2:$I$1000, 4, 0))), 0)</f>
        <v>0</v>
      </c>
      <c r="U632" s="22">
        <f t="shared" si="36"/>
        <v>0</v>
      </c>
      <c r="V632">
        <f t="shared" si="37"/>
        <v>0</v>
      </c>
      <c r="W632" s="22">
        <f t="shared" si="38"/>
        <v>0</v>
      </c>
    </row>
    <row r="633" spans="1:23" hidden="1" x14ac:dyDescent="0.25">
      <c r="A633" s="3">
        <v>45966</v>
      </c>
      <c r="B633" s="4" t="s">
        <v>334</v>
      </c>
      <c r="C633" s="4" t="s">
        <v>211</v>
      </c>
      <c r="D633" s="4"/>
      <c r="E633" s="4"/>
      <c r="F633" s="4" t="s">
        <v>566</v>
      </c>
      <c r="G633" s="4" t="s">
        <v>336</v>
      </c>
      <c r="H633" s="4" t="s">
        <v>289</v>
      </c>
      <c r="I633" s="4">
        <v>1</v>
      </c>
      <c r="J633" s="21">
        <v>300</v>
      </c>
      <c r="K633" s="21">
        <v>0</v>
      </c>
      <c r="L633" s="5">
        <v>0</v>
      </c>
      <c r="M633" s="4">
        <v>1</v>
      </c>
      <c r="N633" s="4"/>
      <c r="O633" s="5">
        <v>300</v>
      </c>
      <c r="P633" s="5"/>
      <c r="Q633" s="21">
        <v>300</v>
      </c>
      <c r="R633" s="21">
        <v>0</v>
      </c>
      <c r="S633" s="5">
        <f t="shared" si="39"/>
        <v>92134.53776015203</v>
      </c>
      <c r="T633" cm="1">
        <f t="array" ref="T633">IF(OR(B633="MAL ALIMI", B633="ÜRETİM GİRİŞ"), MIN(I633, MAX(0, I633 + SUM(SUMIFS($I$1:I632, $C$1:C632, C633, $B$1:B632, {"MAL ALIMI","ÜRETİM GİRİŞ"})) - VLOOKUP(C633, 'STOK RAPORU'!$C$2:$I$1000, 4, 0))), 0)</f>
        <v>0</v>
      </c>
      <c r="U633" s="22">
        <f t="shared" si="36"/>
        <v>0</v>
      </c>
      <c r="V633">
        <f t="shared" si="37"/>
        <v>0</v>
      </c>
      <c r="W633" s="22">
        <f t="shared" si="38"/>
        <v>0</v>
      </c>
    </row>
    <row r="634" spans="1:23" hidden="1" x14ac:dyDescent="0.25">
      <c r="A634" s="3">
        <v>45966</v>
      </c>
      <c r="B634" s="4" t="s">
        <v>334</v>
      </c>
      <c r="C634" s="4" t="s">
        <v>156</v>
      </c>
      <c r="D634" s="4"/>
      <c r="E634" s="4"/>
      <c r="F634" s="4" t="s">
        <v>566</v>
      </c>
      <c r="G634" s="4" t="s">
        <v>336</v>
      </c>
      <c r="H634" s="4" t="s">
        <v>289</v>
      </c>
      <c r="I634" s="4">
        <v>1</v>
      </c>
      <c r="J634" s="21">
        <v>180</v>
      </c>
      <c r="K634" s="21">
        <v>0</v>
      </c>
      <c r="L634" s="5">
        <v>0</v>
      </c>
      <c r="M634" s="4">
        <v>1</v>
      </c>
      <c r="N634" s="4"/>
      <c r="O634" s="5">
        <v>180</v>
      </c>
      <c r="P634" s="5"/>
      <c r="Q634" s="21">
        <v>180</v>
      </c>
      <c r="R634" s="21">
        <v>0</v>
      </c>
      <c r="S634" s="5">
        <f t="shared" si="39"/>
        <v>92314.53776015203</v>
      </c>
      <c r="T634" cm="1">
        <f t="array" ref="T634">IF(OR(B634="MAL ALIMI", B634="ÜRETİM GİRİŞ"), MIN(I634, MAX(0, I634 + SUM(SUMIFS($I$1:I633, $C$1:C633, C634, $B$1:B633, {"MAL ALIMI","ÜRETİM GİRİŞ"})) - VLOOKUP(C634, 'STOK RAPORU'!$C$2:$I$1000, 4, 0))), 0)</f>
        <v>0</v>
      </c>
      <c r="U634" s="22">
        <f t="shared" si="36"/>
        <v>0</v>
      </c>
      <c r="V634">
        <f t="shared" si="37"/>
        <v>0</v>
      </c>
      <c r="W634" s="22">
        <f t="shared" si="38"/>
        <v>0</v>
      </c>
    </row>
    <row r="635" spans="1:23" hidden="1" x14ac:dyDescent="0.25">
      <c r="A635" s="3">
        <v>45966</v>
      </c>
      <c r="B635" s="4" t="s">
        <v>334</v>
      </c>
      <c r="C635" s="4" t="s">
        <v>157</v>
      </c>
      <c r="D635" s="4"/>
      <c r="E635" s="4"/>
      <c r="F635" s="4" t="s">
        <v>566</v>
      </c>
      <c r="G635" s="4" t="s">
        <v>336</v>
      </c>
      <c r="H635" s="4" t="s">
        <v>289</v>
      </c>
      <c r="I635" s="4">
        <v>1</v>
      </c>
      <c r="J635" s="21">
        <v>180</v>
      </c>
      <c r="K635" s="21">
        <v>0</v>
      </c>
      <c r="L635" s="5">
        <v>0</v>
      </c>
      <c r="M635" s="4">
        <v>1</v>
      </c>
      <c r="N635" s="4"/>
      <c r="O635" s="5">
        <v>180</v>
      </c>
      <c r="P635" s="5"/>
      <c r="Q635" s="21">
        <v>180</v>
      </c>
      <c r="R635" s="21">
        <v>0</v>
      </c>
      <c r="S635" s="5">
        <f t="shared" si="39"/>
        <v>92494.53776015203</v>
      </c>
      <c r="T635" cm="1">
        <f t="array" ref="T635">IF(OR(B635="MAL ALIMI", B635="ÜRETİM GİRİŞ"), MIN(I635, MAX(0, I635 + SUM(SUMIFS($I$1:I634, $C$1:C634, C635, $B$1:B634, {"MAL ALIMI","ÜRETİM GİRİŞ"})) - VLOOKUP(C635, 'STOK RAPORU'!$C$2:$I$1000, 4, 0))), 0)</f>
        <v>0</v>
      </c>
      <c r="U635" s="22">
        <f t="shared" si="36"/>
        <v>0</v>
      </c>
      <c r="V635">
        <f t="shared" si="37"/>
        <v>0</v>
      </c>
      <c r="W635" s="22">
        <f t="shared" si="38"/>
        <v>0</v>
      </c>
    </row>
    <row r="636" spans="1:23" hidden="1" x14ac:dyDescent="0.25">
      <c r="A636" s="3">
        <v>45966</v>
      </c>
      <c r="B636" s="4" t="s">
        <v>334</v>
      </c>
      <c r="C636" s="4" t="s">
        <v>158</v>
      </c>
      <c r="D636" s="4"/>
      <c r="E636" s="4"/>
      <c r="F636" s="4" t="s">
        <v>566</v>
      </c>
      <c r="G636" s="4" t="s">
        <v>336</v>
      </c>
      <c r="H636" s="4" t="s">
        <v>289</v>
      </c>
      <c r="I636" s="4">
        <v>1.032</v>
      </c>
      <c r="J636" s="21">
        <v>130</v>
      </c>
      <c r="K636" s="21">
        <v>0</v>
      </c>
      <c r="L636" s="5">
        <v>0</v>
      </c>
      <c r="M636" s="4">
        <v>1.032</v>
      </c>
      <c r="N636" s="4"/>
      <c r="O636" s="5">
        <v>130</v>
      </c>
      <c r="P636" s="5"/>
      <c r="Q636" s="21">
        <v>134.16</v>
      </c>
      <c r="R636" s="21">
        <v>0</v>
      </c>
      <c r="S636" s="5">
        <f t="shared" si="39"/>
        <v>92628.697760152034</v>
      </c>
      <c r="T636" cm="1">
        <f t="array" ref="T636">IF(OR(B636="MAL ALIMI", B636="ÜRETİM GİRİŞ"), MIN(I636, MAX(0, I636 + SUM(SUMIFS($I$1:I635, $C$1:C635, C636, $B$1:B635, {"MAL ALIMI","ÜRETİM GİRİŞ"})) - VLOOKUP(C636, 'STOK RAPORU'!$C$2:$I$1000, 4, 0))), 0)</f>
        <v>0</v>
      </c>
      <c r="U636" s="22">
        <f t="shared" si="36"/>
        <v>0</v>
      </c>
      <c r="V636">
        <f t="shared" si="37"/>
        <v>0</v>
      </c>
      <c r="W636" s="22">
        <f t="shared" si="38"/>
        <v>0</v>
      </c>
    </row>
    <row r="637" spans="1:23" hidden="1" x14ac:dyDescent="0.25">
      <c r="A637" s="3">
        <v>45966</v>
      </c>
      <c r="B637" s="4" t="s">
        <v>334</v>
      </c>
      <c r="C637" s="4" t="s">
        <v>218</v>
      </c>
      <c r="D637" s="4"/>
      <c r="E637" s="4"/>
      <c r="F637" s="4" t="s">
        <v>566</v>
      </c>
      <c r="G637" s="4" t="s">
        <v>336</v>
      </c>
      <c r="H637" s="4" t="s">
        <v>289</v>
      </c>
      <c r="I637" s="4">
        <v>1</v>
      </c>
      <c r="J637" s="21">
        <v>295</v>
      </c>
      <c r="K637" s="21">
        <v>0</v>
      </c>
      <c r="L637" s="5">
        <v>0</v>
      </c>
      <c r="M637" s="4">
        <v>1</v>
      </c>
      <c r="N637" s="4"/>
      <c r="O637" s="5">
        <v>295</v>
      </c>
      <c r="P637" s="5"/>
      <c r="Q637" s="21">
        <v>295</v>
      </c>
      <c r="R637" s="21">
        <v>0</v>
      </c>
      <c r="S637" s="5">
        <f t="shared" si="39"/>
        <v>92923.697760152034</v>
      </c>
      <c r="T637" cm="1">
        <f t="array" ref="T637">IF(OR(B637="MAL ALIMI", B637="ÜRETİM GİRİŞ"), MIN(I637, MAX(0, I637 + SUM(SUMIFS($I$1:I636, $C$1:C636, C637, $B$1:B636, {"MAL ALIMI","ÜRETİM GİRİŞ"})) - VLOOKUP(C637, 'STOK RAPORU'!$C$2:$I$1000, 4, 0))), 0)</f>
        <v>0</v>
      </c>
      <c r="U637" s="22">
        <f t="shared" si="36"/>
        <v>0</v>
      </c>
      <c r="V637">
        <f t="shared" si="37"/>
        <v>0</v>
      </c>
      <c r="W637" s="22">
        <f t="shared" si="38"/>
        <v>0</v>
      </c>
    </row>
    <row r="638" spans="1:23" hidden="1" x14ac:dyDescent="0.25">
      <c r="A638" s="3">
        <v>45966</v>
      </c>
      <c r="B638" s="4" t="s">
        <v>334</v>
      </c>
      <c r="C638" s="4" t="s">
        <v>179</v>
      </c>
      <c r="D638" s="4"/>
      <c r="E638" s="4"/>
      <c r="F638" s="4" t="s">
        <v>566</v>
      </c>
      <c r="G638" s="4" t="s">
        <v>336</v>
      </c>
      <c r="H638" s="4" t="s">
        <v>289</v>
      </c>
      <c r="I638" s="4">
        <v>1</v>
      </c>
      <c r="J638" s="21">
        <v>160</v>
      </c>
      <c r="K638" s="21">
        <v>0</v>
      </c>
      <c r="L638" s="5">
        <v>0</v>
      </c>
      <c r="M638" s="4">
        <v>1</v>
      </c>
      <c r="N638" s="4"/>
      <c r="O638" s="5">
        <v>160</v>
      </c>
      <c r="P638" s="5"/>
      <c r="Q638" s="21">
        <v>160</v>
      </c>
      <c r="R638" s="21">
        <v>0</v>
      </c>
      <c r="S638" s="5">
        <f t="shared" si="39"/>
        <v>93083.697760152034</v>
      </c>
      <c r="T638" cm="1">
        <f t="array" ref="T638">IF(OR(B638="MAL ALIMI", B638="ÜRETİM GİRİŞ"), MIN(I638, MAX(0, I638 + SUM(SUMIFS($I$1:I637, $C$1:C637, C638, $B$1:B637, {"MAL ALIMI","ÜRETİM GİRİŞ"})) - VLOOKUP(C638, 'STOK RAPORU'!$C$2:$I$1000, 4, 0))), 0)</f>
        <v>0</v>
      </c>
      <c r="U638" s="22">
        <f t="shared" si="36"/>
        <v>0</v>
      </c>
      <c r="V638">
        <f t="shared" si="37"/>
        <v>0</v>
      </c>
      <c r="W638" s="22">
        <f t="shared" si="38"/>
        <v>0</v>
      </c>
    </row>
    <row r="639" spans="1:23" hidden="1" x14ac:dyDescent="0.25">
      <c r="A639" s="3">
        <v>45966</v>
      </c>
      <c r="B639" s="4" t="s">
        <v>334</v>
      </c>
      <c r="C639" s="4" t="s">
        <v>251</v>
      </c>
      <c r="D639" s="4"/>
      <c r="E639" s="4"/>
      <c r="F639" s="4" t="s">
        <v>566</v>
      </c>
      <c r="G639" s="4" t="s">
        <v>336</v>
      </c>
      <c r="H639" s="4" t="s">
        <v>289</v>
      </c>
      <c r="I639" s="4">
        <v>0.76800000000000002</v>
      </c>
      <c r="J639" s="21">
        <v>670</v>
      </c>
      <c r="K639" s="21">
        <v>0</v>
      </c>
      <c r="L639" s="5">
        <v>0</v>
      </c>
      <c r="M639" s="4">
        <v>0.76800000000000002</v>
      </c>
      <c r="N639" s="4"/>
      <c r="O639" s="5">
        <v>670</v>
      </c>
      <c r="P639" s="5"/>
      <c r="Q639" s="21">
        <v>514.56000000000006</v>
      </c>
      <c r="R639" s="21">
        <v>0</v>
      </c>
      <c r="S639" s="5">
        <f t="shared" si="39"/>
        <v>93598.257760152032</v>
      </c>
      <c r="T639" cm="1">
        <f t="array" ref="T639">IF(OR(B639="MAL ALIMI", B639="ÜRETİM GİRİŞ"), MIN(I639, MAX(0, I639 + SUM(SUMIFS($I$1:I638, $C$1:C638, C639, $B$1:B638, {"MAL ALIMI","ÜRETİM GİRİŞ"})) - VLOOKUP(C639, 'STOK RAPORU'!$C$2:$I$1000, 4, 0))), 0)</f>
        <v>0</v>
      </c>
      <c r="U639" s="22">
        <f t="shared" si="36"/>
        <v>0</v>
      </c>
      <c r="V639">
        <f t="shared" si="37"/>
        <v>0</v>
      </c>
      <c r="W639" s="22">
        <f t="shared" si="38"/>
        <v>0</v>
      </c>
    </row>
    <row r="640" spans="1:23" hidden="1" x14ac:dyDescent="0.25">
      <c r="A640" s="3">
        <v>45966</v>
      </c>
      <c r="B640" s="4" t="s">
        <v>334</v>
      </c>
      <c r="C640" s="4" t="s">
        <v>197</v>
      </c>
      <c r="D640" s="4"/>
      <c r="E640" s="4"/>
      <c r="F640" s="4" t="s">
        <v>566</v>
      </c>
      <c r="G640" s="4" t="s">
        <v>336</v>
      </c>
      <c r="H640" s="4" t="s">
        <v>289</v>
      </c>
      <c r="I640" s="4">
        <v>0.51</v>
      </c>
      <c r="J640" s="21">
        <v>180</v>
      </c>
      <c r="K640" s="21">
        <v>0</v>
      </c>
      <c r="L640" s="5">
        <v>0</v>
      </c>
      <c r="M640" s="4">
        <v>0.51</v>
      </c>
      <c r="N640" s="4"/>
      <c r="O640" s="5">
        <v>180</v>
      </c>
      <c r="P640" s="5"/>
      <c r="Q640" s="21">
        <v>91.8</v>
      </c>
      <c r="R640" s="21">
        <v>0</v>
      </c>
      <c r="S640" s="5">
        <f t="shared" si="39"/>
        <v>93690.057760152034</v>
      </c>
      <c r="T640" cm="1">
        <f t="array" ref="T640">IF(OR(B640="MAL ALIMI", B640="ÜRETİM GİRİŞ"), MIN(I640, MAX(0, I640 + SUM(SUMIFS($I$1:I639, $C$1:C639, C640, $B$1:B639, {"MAL ALIMI","ÜRETİM GİRİŞ"})) - VLOOKUP(C640, 'STOK RAPORU'!$C$2:$I$1000, 4, 0))), 0)</f>
        <v>0</v>
      </c>
      <c r="U640" s="22">
        <f t="shared" si="36"/>
        <v>0</v>
      </c>
      <c r="V640">
        <f t="shared" si="37"/>
        <v>0</v>
      </c>
      <c r="W640" s="22">
        <f t="shared" si="38"/>
        <v>0</v>
      </c>
    </row>
    <row r="641" spans="1:23" hidden="1" x14ac:dyDescent="0.25">
      <c r="A641" s="3">
        <v>45966</v>
      </c>
      <c r="B641" s="4" t="s">
        <v>334</v>
      </c>
      <c r="C641" s="4" t="s">
        <v>225</v>
      </c>
      <c r="D641" s="4"/>
      <c r="E641" s="4"/>
      <c r="F641" s="4" t="s">
        <v>566</v>
      </c>
      <c r="G641" s="4" t="s">
        <v>336</v>
      </c>
      <c r="H641" s="4" t="s">
        <v>289</v>
      </c>
      <c r="I641" s="4">
        <v>0.57799999999999996</v>
      </c>
      <c r="J641" s="21">
        <v>650</v>
      </c>
      <c r="K641" s="21">
        <v>0</v>
      </c>
      <c r="L641" s="5">
        <v>0</v>
      </c>
      <c r="M641" s="4">
        <v>0.57799999999999996</v>
      </c>
      <c r="N641" s="4"/>
      <c r="O641" s="5">
        <v>650</v>
      </c>
      <c r="P641" s="5"/>
      <c r="Q641" s="21">
        <v>375.7</v>
      </c>
      <c r="R641" s="21">
        <v>0</v>
      </c>
      <c r="S641" s="5">
        <f t="shared" si="39"/>
        <v>94065.757760152032</v>
      </c>
      <c r="T641" cm="1">
        <f t="array" ref="T641">IF(OR(B641="MAL ALIMI", B641="ÜRETİM GİRİŞ"), MIN(I641, MAX(0, I641 + SUM(SUMIFS($I$1:I640, $C$1:C640, C641, $B$1:B640, {"MAL ALIMI","ÜRETİM GİRİŞ"})) - VLOOKUP(C641, 'STOK RAPORU'!$C$2:$I$1000, 4, 0))), 0)</f>
        <v>0</v>
      </c>
      <c r="U641" s="22">
        <f t="shared" si="36"/>
        <v>0</v>
      </c>
      <c r="V641">
        <f t="shared" si="37"/>
        <v>0</v>
      </c>
      <c r="W641" s="22">
        <f t="shared" si="38"/>
        <v>0</v>
      </c>
    </row>
    <row r="642" spans="1:23" hidden="1" x14ac:dyDescent="0.25">
      <c r="A642" s="3">
        <v>45966</v>
      </c>
      <c r="B642" s="4" t="s">
        <v>334</v>
      </c>
      <c r="C642" s="4" t="s">
        <v>523</v>
      </c>
      <c r="D642" s="4"/>
      <c r="E642" s="4"/>
      <c r="F642" s="4" t="s">
        <v>566</v>
      </c>
      <c r="G642" s="4" t="s">
        <v>336</v>
      </c>
      <c r="H642" s="4" t="s">
        <v>289</v>
      </c>
      <c r="I642" s="4">
        <v>0.1</v>
      </c>
      <c r="J642" s="21">
        <v>650</v>
      </c>
      <c r="K642" s="21">
        <v>0</v>
      </c>
      <c r="L642" s="5">
        <v>0</v>
      </c>
      <c r="M642" s="4">
        <v>1</v>
      </c>
      <c r="N642" s="4"/>
      <c r="O642" s="5">
        <v>65</v>
      </c>
      <c r="P642" s="5"/>
      <c r="Q642" s="21">
        <v>65</v>
      </c>
      <c r="R642" s="21">
        <v>0</v>
      </c>
      <c r="S642" s="5">
        <f t="shared" si="39"/>
        <v>94130.757760152032</v>
      </c>
      <c r="T642" cm="1">
        <f t="array" ref="T642">IF(OR(B642="MAL ALIMI", B642="ÜRETİM GİRİŞ"), MIN(I642, MAX(0, I642 + SUM(SUMIFS($I$1:I641, $C$1:C641, C642, $B$1:B641, {"MAL ALIMI","ÜRETİM GİRİŞ"})) - VLOOKUP(C642, 'STOK RAPORU'!$C$2:$I$1000, 4, 0))), 0)</f>
        <v>0</v>
      </c>
      <c r="U642" s="22">
        <f t="shared" si="36"/>
        <v>0</v>
      </c>
      <c r="V642">
        <f t="shared" si="37"/>
        <v>0</v>
      </c>
      <c r="W642" s="22">
        <f t="shared" si="38"/>
        <v>0</v>
      </c>
    </row>
    <row r="643" spans="1:23" hidden="1" x14ac:dyDescent="0.25">
      <c r="A643" s="3">
        <v>45966</v>
      </c>
      <c r="B643" s="4" t="s">
        <v>334</v>
      </c>
      <c r="C643" s="4" t="s">
        <v>184</v>
      </c>
      <c r="D643" s="4"/>
      <c r="E643" s="4"/>
      <c r="F643" s="4" t="s">
        <v>566</v>
      </c>
      <c r="G643" s="4" t="s">
        <v>336</v>
      </c>
      <c r="H643" s="4" t="s">
        <v>289</v>
      </c>
      <c r="I643" s="4">
        <v>1</v>
      </c>
      <c r="J643" s="21">
        <v>220</v>
      </c>
      <c r="K643" s="21">
        <v>0</v>
      </c>
      <c r="L643" s="5">
        <v>0</v>
      </c>
      <c r="M643" s="4">
        <v>1</v>
      </c>
      <c r="N643" s="4"/>
      <c r="O643" s="5">
        <v>220</v>
      </c>
      <c r="P643" s="5"/>
      <c r="Q643" s="21">
        <v>220</v>
      </c>
      <c r="R643" s="21">
        <v>0</v>
      </c>
      <c r="S643" s="5">
        <f t="shared" si="39"/>
        <v>94350.757760152032</v>
      </c>
      <c r="T643" cm="1">
        <f t="array" ref="T643">IF(OR(B643="MAL ALIMI", B643="ÜRETİM GİRİŞ"), MIN(I643, MAX(0, I643 + SUM(SUMIFS($I$1:I642, $C$1:C642, C643, $B$1:B642, {"MAL ALIMI","ÜRETİM GİRİŞ"})) - VLOOKUP(C643, 'STOK RAPORU'!$C$2:$I$1000, 4, 0))), 0)</f>
        <v>0</v>
      </c>
      <c r="U643" s="22">
        <f t="shared" ref="U643:U706" si="40">T643*J643</f>
        <v>0</v>
      </c>
      <c r="V643">
        <f t="shared" ref="V643:V706" si="41">IF(OR(B643="MAL ALIMI", B643="ÜRETİM GİRİŞ"), I643 * J643, 0)</f>
        <v>0</v>
      </c>
      <c r="W643" s="22">
        <f t="shared" ref="W643:W706" si="42">V643-U643</f>
        <v>0</v>
      </c>
    </row>
    <row r="644" spans="1:23" hidden="1" x14ac:dyDescent="0.25">
      <c r="A644" s="3">
        <v>45966</v>
      </c>
      <c r="B644" s="4" t="s">
        <v>334</v>
      </c>
      <c r="C644" s="4" t="s">
        <v>242</v>
      </c>
      <c r="D644" s="4"/>
      <c r="E644" s="4"/>
      <c r="F644" s="4" t="s">
        <v>566</v>
      </c>
      <c r="G644" s="4" t="s">
        <v>336</v>
      </c>
      <c r="H644" s="4" t="s">
        <v>289</v>
      </c>
      <c r="I644" s="4">
        <v>0.51800000000000002</v>
      </c>
      <c r="J644" s="21">
        <v>350</v>
      </c>
      <c r="K644" s="21">
        <v>0</v>
      </c>
      <c r="L644" s="5">
        <v>0</v>
      </c>
      <c r="M644" s="4">
        <v>0.51800000000000002</v>
      </c>
      <c r="N644" s="4"/>
      <c r="O644" s="5">
        <v>350</v>
      </c>
      <c r="P644" s="5"/>
      <c r="Q644" s="21">
        <v>181.3</v>
      </c>
      <c r="R644" s="21">
        <v>0</v>
      </c>
      <c r="S644" s="5">
        <f t="shared" ref="S644:S707" si="43">S643+Q644-R644</f>
        <v>94532.057760152034</v>
      </c>
      <c r="T644" cm="1">
        <f t="array" ref="T644">IF(OR(B644="MAL ALIMI", B644="ÜRETİM GİRİŞ"), MIN(I644, MAX(0, I644 + SUM(SUMIFS($I$1:I643, $C$1:C643, C644, $B$1:B643, {"MAL ALIMI","ÜRETİM GİRİŞ"})) - VLOOKUP(C644, 'STOK RAPORU'!$C$2:$I$1000, 4, 0))), 0)</f>
        <v>0</v>
      </c>
      <c r="U644" s="22">
        <f t="shared" si="40"/>
        <v>0</v>
      </c>
      <c r="V644">
        <f t="shared" si="41"/>
        <v>0</v>
      </c>
      <c r="W644" s="22">
        <f t="shared" si="42"/>
        <v>0</v>
      </c>
    </row>
    <row r="645" spans="1:23" hidden="1" x14ac:dyDescent="0.25">
      <c r="A645" s="3">
        <v>45966</v>
      </c>
      <c r="B645" s="4" t="s">
        <v>334</v>
      </c>
      <c r="C645" s="4" t="s">
        <v>266</v>
      </c>
      <c r="D645" s="4"/>
      <c r="E645" s="4"/>
      <c r="F645" s="4" t="s">
        <v>566</v>
      </c>
      <c r="G645" s="4" t="s">
        <v>336</v>
      </c>
      <c r="H645" s="4" t="s">
        <v>289</v>
      </c>
      <c r="I645" s="4">
        <v>0.55800000000000005</v>
      </c>
      <c r="J645" s="21">
        <v>250</v>
      </c>
      <c r="K645" s="21">
        <v>0</v>
      </c>
      <c r="L645" s="5">
        <v>0</v>
      </c>
      <c r="M645" s="4">
        <v>0.55800000000000005</v>
      </c>
      <c r="N645" s="4"/>
      <c r="O645" s="5">
        <v>250</v>
      </c>
      <c r="P645" s="5"/>
      <c r="Q645" s="21">
        <v>139.5</v>
      </c>
      <c r="R645" s="21">
        <v>0</v>
      </c>
      <c r="S645" s="5">
        <f t="shared" si="43"/>
        <v>94671.557760152034</v>
      </c>
      <c r="T645" cm="1">
        <f t="array" ref="T645">IF(OR(B645="MAL ALIMI", B645="ÜRETİM GİRİŞ"), MIN(I645, MAX(0, I645 + SUM(SUMIFS($I$1:I644, $C$1:C644, C645, $B$1:B644, {"MAL ALIMI","ÜRETİM GİRİŞ"})) - VLOOKUP(C645, 'STOK RAPORU'!$C$2:$I$1000, 4, 0))), 0)</f>
        <v>0</v>
      </c>
      <c r="U645" s="22">
        <f t="shared" si="40"/>
        <v>0</v>
      </c>
      <c r="V645">
        <f t="shared" si="41"/>
        <v>0</v>
      </c>
      <c r="W645" s="22">
        <f t="shared" si="42"/>
        <v>0</v>
      </c>
    </row>
    <row r="646" spans="1:23" hidden="1" x14ac:dyDescent="0.25">
      <c r="A646" s="3">
        <v>45966</v>
      </c>
      <c r="B646" s="4" t="s">
        <v>334</v>
      </c>
      <c r="C646" s="4" t="s">
        <v>253</v>
      </c>
      <c r="D646" s="4"/>
      <c r="E646" s="4"/>
      <c r="F646" s="4" t="s">
        <v>566</v>
      </c>
      <c r="G646" s="4" t="s">
        <v>336</v>
      </c>
      <c r="H646" s="4" t="s">
        <v>289</v>
      </c>
      <c r="I646" s="4">
        <v>0.51200000000000001</v>
      </c>
      <c r="J646" s="21">
        <v>230</v>
      </c>
      <c r="K646" s="21">
        <v>0</v>
      </c>
      <c r="L646" s="5">
        <v>0</v>
      </c>
      <c r="M646" s="4">
        <v>0.51200000000000001</v>
      </c>
      <c r="N646" s="4"/>
      <c r="O646" s="5">
        <v>230</v>
      </c>
      <c r="P646" s="5"/>
      <c r="Q646" s="21">
        <v>117.76</v>
      </c>
      <c r="R646" s="21">
        <v>0</v>
      </c>
      <c r="S646" s="5">
        <f t="shared" si="43"/>
        <v>94789.317760152029</v>
      </c>
      <c r="T646" cm="1">
        <f t="array" ref="T646">IF(OR(B646="MAL ALIMI", B646="ÜRETİM GİRİŞ"), MIN(I646, MAX(0, I646 + SUM(SUMIFS($I$1:I645, $C$1:C645, C646, $B$1:B645, {"MAL ALIMI","ÜRETİM GİRİŞ"})) - VLOOKUP(C646, 'STOK RAPORU'!$C$2:$I$1000, 4, 0))), 0)</f>
        <v>0</v>
      </c>
      <c r="U646" s="22">
        <f t="shared" si="40"/>
        <v>0</v>
      </c>
      <c r="V646">
        <f t="shared" si="41"/>
        <v>0</v>
      </c>
      <c r="W646" s="22">
        <f t="shared" si="42"/>
        <v>0</v>
      </c>
    </row>
    <row r="647" spans="1:23" hidden="1" x14ac:dyDescent="0.25">
      <c r="A647" s="3">
        <v>45966</v>
      </c>
      <c r="B647" s="4" t="s">
        <v>334</v>
      </c>
      <c r="C647" s="4" t="s">
        <v>160</v>
      </c>
      <c r="D647" s="4"/>
      <c r="E647" s="4" t="s">
        <v>921</v>
      </c>
      <c r="F647" s="4" t="s">
        <v>567</v>
      </c>
      <c r="G647" s="4" t="s">
        <v>336</v>
      </c>
      <c r="H647" s="4" t="s">
        <v>380</v>
      </c>
      <c r="I647" s="4">
        <v>1</v>
      </c>
      <c r="J647" s="21">
        <v>240</v>
      </c>
      <c r="K647" s="21">
        <v>240</v>
      </c>
      <c r="L647" s="5">
        <v>0</v>
      </c>
      <c r="M647" s="4">
        <v>1</v>
      </c>
      <c r="N647" s="4"/>
      <c r="O647" s="5">
        <v>240</v>
      </c>
      <c r="P647" s="5"/>
      <c r="Q647" s="21">
        <v>0</v>
      </c>
      <c r="R647" s="21">
        <v>0</v>
      </c>
      <c r="S647" s="5">
        <f t="shared" si="43"/>
        <v>94789.317760152029</v>
      </c>
      <c r="T647" cm="1">
        <f t="array" ref="T647">IF(OR(B647="MAL ALIMI", B647="ÜRETİM GİRİŞ"), MIN(I647, MAX(0, I647 + SUM(SUMIFS($I$1:I646, $C$1:C646, C647, $B$1:B646, {"MAL ALIMI","ÜRETİM GİRİŞ"})) - VLOOKUP(C647, 'STOK RAPORU'!$C$2:$I$1000, 4, 0))), 0)</f>
        <v>0</v>
      </c>
      <c r="U647" s="22">
        <f t="shared" si="40"/>
        <v>0</v>
      </c>
      <c r="V647">
        <f t="shared" si="41"/>
        <v>0</v>
      </c>
      <c r="W647" s="22">
        <f t="shared" si="42"/>
        <v>0</v>
      </c>
    </row>
    <row r="648" spans="1:23" hidden="1" x14ac:dyDescent="0.25">
      <c r="A648" s="3">
        <v>45966</v>
      </c>
      <c r="B648" s="4" t="s">
        <v>334</v>
      </c>
      <c r="C648" s="4" t="s">
        <v>168</v>
      </c>
      <c r="D648" s="4"/>
      <c r="E648" s="4" t="s">
        <v>921</v>
      </c>
      <c r="F648" s="4" t="s">
        <v>567</v>
      </c>
      <c r="G648" s="4" t="s">
        <v>336</v>
      </c>
      <c r="H648" s="4" t="s">
        <v>380</v>
      </c>
      <c r="I648" s="4">
        <v>1</v>
      </c>
      <c r="J648" s="21">
        <v>200</v>
      </c>
      <c r="K648" s="21">
        <v>200</v>
      </c>
      <c r="L648" s="5">
        <v>0</v>
      </c>
      <c r="M648" s="4">
        <v>1</v>
      </c>
      <c r="N648" s="4"/>
      <c r="O648" s="5">
        <v>200</v>
      </c>
      <c r="P648" s="5"/>
      <c r="Q648" s="21">
        <v>0</v>
      </c>
      <c r="R648" s="21">
        <v>0</v>
      </c>
      <c r="S648" s="5">
        <f t="shared" si="43"/>
        <v>94789.317760152029</v>
      </c>
      <c r="T648" cm="1">
        <f t="array" ref="T648">IF(OR(B648="MAL ALIMI", B648="ÜRETİM GİRİŞ"), MIN(I648, MAX(0, I648 + SUM(SUMIFS($I$1:I647, $C$1:C647, C648, $B$1:B647, {"MAL ALIMI","ÜRETİM GİRİŞ"})) - VLOOKUP(C648, 'STOK RAPORU'!$C$2:$I$1000, 4, 0))), 0)</f>
        <v>0</v>
      </c>
      <c r="U648" s="22">
        <f t="shared" si="40"/>
        <v>0</v>
      </c>
      <c r="V648">
        <f t="shared" si="41"/>
        <v>0</v>
      </c>
      <c r="W648" s="22">
        <f t="shared" si="42"/>
        <v>0</v>
      </c>
    </row>
    <row r="649" spans="1:23" hidden="1" x14ac:dyDescent="0.25">
      <c r="A649" s="3">
        <v>45966</v>
      </c>
      <c r="B649" s="4" t="s">
        <v>334</v>
      </c>
      <c r="C649" s="4" t="s">
        <v>160</v>
      </c>
      <c r="D649" s="4"/>
      <c r="E649" s="4" t="s">
        <v>921</v>
      </c>
      <c r="F649" s="4" t="s">
        <v>568</v>
      </c>
      <c r="G649" s="4" t="s">
        <v>336</v>
      </c>
      <c r="H649" s="4" t="s">
        <v>380</v>
      </c>
      <c r="I649" s="4">
        <v>2</v>
      </c>
      <c r="J649" s="21">
        <v>240</v>
      </c>
      <c r="K649" s="21">
        <v>480</v>
      </c>
      <c r="L649" s="5">
        <v>0</v>
      </c>
      <c r="M649" s="4">
        <v>2</v>
      </c>
      <c r="N649" s="4"/>
      <c r="O649" s="5">
        <v>240</v>
      </c>
      <c r="P649" s="5"/>
      <c r="Q649" s="21">
        <v>0</v>
      </c>
      <c r="R649" s="21">
        <v>0</v>
      </c>
      <c r="S649" s="5">
        <f t="shared" si="43"/>
        <v>94789.317760152029</v>
      </c>
      <c r="T649" cm="1">
        <f t="array" ref="T649">IF(OR(B649="MAL ALIMI", B649="ÜRETİM GİRİŞ"), MIN(I649, MAX(0, I649 + SUM(SUMIFS($I$1:I648, $C$1:C648, C649, $B$1:B648, {"MAL ALIMI","ÜRETİM GİRİŞ"})) - VLOOKUP(C649, 'STOK RAPORU'!$C$2:$I$1000, 4, 0))), 0)</f>
        <v>0</v>
      </c>
      <c r="U649" s="22">
        <f t="shared" si="40"/>
        <v>0</v>
      </c>
      <c r="V649">
        <f t="shared" si="41"/>
        <v>0</v>
      </c>
      <c r="W649" s="22">
        <f t="shared" si="42"/>
        <v>0</v>
      </c>
    </row>
    <row r="650" spans="1:23" hidden="1" x14ac:dyDescent="0.25">
      <c r="A650" s="3">
        <v>45966</v>
      </c>
      <c r="B650" s="4" t="s">
        <v>334</v>
      </c>
      <c r="C650" s="4" t="s">
        <v>168</v>
      </c>
      <c r="D650" s="4"/>
      <c r="E650" s="4" t="s">
        <v>921</v>
      </c>
      <c r="F650" s="4" t="s">
        <v>568</v>
      </c>
      <c r="G650" s="4" t="s">
        <v>336</v>
      </c>
      <c r="H650" s="4" t="s">
        <v>380</v>
      </c>
      <c r="I650" s="4">
        <v>2</v>
      </c>
      <c r="J650" s="21">
        <v>200</v>
      </c>
      <c r="K650" s="21">
        <v>400</v>
      </c>
      <c r="L650" s="5">
        <v>0</v>
      </c>
      <c r="M650" s="4">
        <v>2</v>
      </c>
      <c r="N650" s="4"/>
      <c r="O650" s="5">
        <v>200</v>
      </c>
      <c r="P650" s="5"/>
      <c r="Q650" s="21">
        <v>0</v>
      </c>
      <c r="R650" s="21">
        <v>0</v>
      </c>
      <c r="S650" s="5">
        <f t="shared" si="43"/>
        <v>94789.317760152029</v>
      </c>
      <c r="T650" cm="1">
        <f t="array" ref="T650">IF(OR(B650="MAL ALIMI", B650="ÜRETİM GİRİŞ"), MIN(I650, MAX(0, I650 + SUM(SUMIFS($I$1:I649, $C$1:C649, C650, $B$1:B649, {"MAL ALIMI","ÜRETİM GİRİŞ"})) - VLOOKUP(C650, 'STOK RAPORU'!$C$2:$I$1000, 4, 0))), 0)</f>
        <v>0</v>
      </c>
      <c r="U650" s="22">
        <f t="shared" si="40"/>
        <v>0</v>
      </c>
      <c r="V650">
        <f t="shared" si="41"/>
        <v>0</v>
      </c>
      <c r="W650" s="22">
        <f t="shared" si="42"/>
        <v>0</v>
      </c>
    </row>
    <row r="651" spans="1:23" hidden="1" x14ac:dyDescent="0.25">
      <c r="A651" s="3">
        <v>45966</v>
      </c>
      <c r="B651" s="4" t="s">
        <v>334</v>
      </c>
      <c r="C651" s="4" t="s">
        <v>175</v>
      </c>
      <c r="D651" s="4"/>
      <c r="E651" s="4"/>
      <c r="F651" s="4" t="s">
        <v>569</v>
      </c>
      <c r="G651" s="4" t="s">
        <v>336</v>
      </c>
      <c r="H651" s="4" t="s">
        <v>289</v>
      </c>
      <c r="I651" s="4">
        <v>2</v>
      </c>
      <c r="J651" s="21">
        <v>270</v>
      </c>
      <c r="K651" s="21">
        <v>0</v>
      </c>
      <c r="L651" s="5">
        <v>0</v>
      </c>
      <c r="M651" s="4">
        <v>2</v>
      </c>
      <c r="N651" s="4"/>
      <c r="O651" s="5">
        <v>270</v>
      </c>
      <c r="P651" s="5"/>
      <c r="Q651" s="21">
        <v>540</v>
      </c>
      <c r="R651" s="21">
        <v>0</v>
      </c>
      <c r="S651" s="5">
        <f t="shared" si="43"/>
        <v>95329.317760152029</v>
      </c>
      <c r="T651" cm="1">
        <f t="array" ref="T651">IF(OR(B651="MAL ALIMI", B651="ÜRETİM GİRİŞ"), MIN(I651, MAX(0, I651 + SUM(SUMIFS($I$1:I650, $C$1:C650, C651, $B$1:B650, {"MAL ALIMI","ÜRETİM GİRİŞ"})) - VLOOKUP(C651, 'STOK RAPORU'!$C$2:$I$1000, 4, 0))), 0)</f>
        <v>0</v>
      </c>
      <c r="U651" s="22">
        <f t="shared" si="40"/>
        <v>0</v>
      </c>
      <c r="V651">
        <f t="shared" si="41"/>
        <v>0</v>
      </c>
      <c r="W651" s="22">
        <f t="shared" si="42"/>
        <v>0</v>
      </c>
    </row>
    <row r="652" spans="1:23" hidden="1" x14ac:dyDescent="0.25">
      <c r="A652" s="3">
        <v>45966</v>
      </c>
      <c r="B652" s="4" t="s">
        <v>334</v>
      </c>
      <c r="C652" s="4" t="s">
        <v>241</v>
      </c>
      <c r="D652" s="4"/>
      <c r="E652" s="4"/>
      <c r="F652" s="4" t="s">
        <v>569</v>
      </c>
      <c r="G652" s="4" t="s">
        <v>336</v>
      </c>
      <c r="H652" s="4" t="s">
        <v>289</v>
      </c>
      <c r="I652" s="4">
        <v>0.36599999999999999</v>
      </c>
      <c r="J652" s="21">
        <v>350</v>
      </c>
      <c r="K652" s="21">
        <v>0</v>
      </c>
      <c r="L652" s="5">
        <v>0</v>
      </c>
      <c r="M652" s="4">
        <v>0.36599999999999999</v>
      </c>
      <c r="N652" s="4"/>
      <c r="O652" s="5">
        <v>350</v>
      </c>
      <c r="P652" s="5"/>
      <c r="Q652" s="21">
        <v>128.1</v>
      </c>
      <c r="R652" s="21">
        <v>0</v>
      </c>
      <c r="S652" s="5">
        <f t="shared" si="43"/>
        <v>95457.417760152035</v>
      </c>
      <c r="T652" cm="1">
        <f t="array" ref="T652">IF(OR(B652="MAL ALIMI", B652="ÜRETİM GİRİŞ"), MIN(I652, MAX(0, I652 + SUM(SUMIFS($I$1:I651, $C$1:C651, C652, $B$1:B651, {"MAL ALIMI","ÜRETİM GİRİŞ"})) - VLOOKUP(C652, 'STOK RAPORU'!$C$2:$I$1000, 4, 0))), 0)</f>
        <v>0</v>
      </c>
      <c r="U652" s="22">
        <f t="shared" si="40"/>
        <v>0</v>
      </c>
      <c r="V652">
        <f t="shared" si="41"/>
        <v>0</v>
      </c>
      <c r="W652" s="22">
        <f t="shared" si="42"/>
        <v>0</v>
      </c>
    </row>
    <row r="653" spans="1:23" hidden="1" x14ac:dyDescent="0.25">
      <c r="A653" s="3">
        <v>45966</v>
      </c>
      <c r="B653" s="4" t="s">
        <v>334</v>
      </c>
      <c r="C653" s="4" t="s">
        <v>222</v>
      </c>
      <c r="D653" s="4"/>
      <c r="E653" s="4"/>
      <c r="F653" s="4" t="s">
        <v>569</v>
      </c>
      <c r="G653" s="4" t="s">
        <v>336</v>
      </c>
      <c r="H653" s="4" t="s">
        <v>289</v>
      </c>
      <c r="I653" s="4">
        <v>0.34399999999999997</v>
      </c>
      <c r="J653" s="21">
        <v>600</v>
      </c>
      <c r="K653" s="21">
        <v>0</v>
      </c>
      <c r="L653" s="5">
        <v>0</v>
      </c>
      <c r="M653" s="4">
        <v>0.34399999999999997</v>
      </c>
      <c r="N653" s="4"/>
      <c r="O653" s="5">
        <v>600</v>
      </c>
      <c r="P653" s="5"/>
      <c r="Q653" s="21">
        <v>206.39999999999998</v>
      </c>
      <c r="R653" s="21">
        <v>0</v>
      </c>
      <c r="S653" s="5">
        <f t="shared" si="43"/>
        <v>95663.817760152029</v>
      </c>
      <c r="T653" cm="1">
        <f t="array" ref="T653">IF(OR(B653="MAL ALIMI", B653="ÜRETİM GİRİŞ"), MIN(I653, MAX(0, I653 + SUM(SUMIFS($I$1:I652, $C$1:C652, C653, $B$1:B652, {"MAL ALIMI","ÜRETİM GİRİŞ"})) - VLOOKUP(C653, 'STOK RAPORU'!$C$2:$I$1000, 4, 0))), 0)</f>
        <v>0</v>
      </c>
      <c r="U653" s="22">
        <f t="shared" si="40"/>
        <v>0</v>
      </c>
      <c r="V653">
        <f t="shared" si="41"/>
        <v>0</v>
      </c>
      <c r="W653" s="22">
        <f t="shared" si="42"/>
        <v>0</v>
      </c>
    </row>
    <row r="654" spans="1:23" hidden="1" x14ac:dyDescent="0.25">
      <c r="A654" s="3">
        <v>45966</v>
      </c>
      <c r="B654" s="4" t="s">
        <v>334</v>
      </c>
      <c r="C654" s="4" t="s">
        <v>60</v>
      </c>
      <c r="D654" s="4"/>
      <c r="E654" s="4"/>
      <c r="F654" s="4" t="s">
        <v>569</v>
      </c>
      <c r="G654" s="4" t="s">
        <v>336</v>
      </c>
      <c r="H654" s="4" t="s">
        <v>289</v>
      </c>
      <c r="I654" s="4">
        <v>5.4550000000000001E-2</v>
      </c>
      <c r="J654" s="21">
        <v>1100</v>
      </c>
      <c r="K654" s="21">
        <v>0</v>
      </c>
      <c r="L654" s="5">
        <v>0</v>
      </c>
      <c r="M654" s="4">
        <v>1</v>
      </c>
      <c r="N654" s="4"/>
      <c r="O654" s="5">
        <v>60</v>
      </c>
      <c r="P654" s="5"/>
      <c r="Q654" s="21">
        <v>60.005000000000003</v>
      </c>
      <c r="R654" s="21">
        <v>0</v>
      </c>
      <c r="S654" s="5">
        <f t="shared" si="43"/>
        <v>95723.822760152034</v>
      </c>
      <c r="T654" cm="1">
        <f t="array" ref="T654">IF(OR(B654="MAL ALIMI", B654="ÜRETİM GİRİŞ"), MIN(I654, MAX(0, I654 + SUM(SUMIFS($I$1:I653, $C$1:C653, C654, $B$1:B653, {"MAL ALIMI","ÜRETİM GİRİŞ"})) - VLOOKUP(C654, 'STOK RAPORU'!$C$2:$I$1000, 4, 0))), 0)</f>
        <v>0</v>
      </c>
      <c r="U654" s="22">
        <f t="shared" si="40"/>
        <v>0</v>
      </c>
      <c r="V654">
        <f t="shared" si="41"/>
        <v>0</v>
      </c>
      <c r="W654" s="22">
        <f t="shared" si="42"/>
        <v>0</v>
      </c>
    </row>
    <row r="655" spans="1:23" hidden="1" x14ac:dyDescent="0.25">
      <c r="A655" s="3">
        <v>45966</v>
      </c>
      <c r="B655" s="4" t="s">
        <v>334</v>
      </c>
      <c r="C655" s="4" t="s">
        <v>89</v>
      </c>
      <c r="D655" s="4"/>
      <c r="E655" s="4"/>
      <c r="F655" s="4" t="s">
        <v>569</v>
      </c>
      <c r="G655" s="4" t="s">
        <v>336</v>
      </c>
      <c r="H655" s="4" t="s">
        <v>289</v>
      </c>
      <c r="I655" s="4">
        <v>0.1</v>
      </c>
      <c r="J655" s="21">
        <v>650</v>
      </c>
      <c r="K655" s="21">
        <v>0</v>
      </c>
      <c r="L655" s="5">
        <v>0</v>
      </c>
      <c r="M655" s="4">
        <v>1</v>
      </c>
      <c r="N655" s="4"/>
      <c r="O655" s="5">
        <v>65</v>
      </c>
      <c r="P655" s="5"/>
      <c r="Q655" s="21">
        <v>65</v>
      </c>
      <c r="R655" s="21">
        <v>0</v>
      </c>
      <c r="S655" s="5">
        <f t="shared" si="43"/>
        <v>95788.822760152034</v>
      </c>
      <c r="T655" cm="1">
        <f t="array" ref="T655">IF(OR(B655="MAL ALIMI", B655="ÜRETİM GİRİŞ"), MIN(I655, MAX(0, I655 + SUM(SUMIFS($I$1:I654, $C$1:C654, C655, $B$1:B654, {"MAL ALIMI","ÜRETİM GİRİŞ"})) - VLOOKUP(C655, 'STOK RAPORU'!$C$2:$I$1000, 4, 0))), 0)</f>
        <v>0</v>
      </c>
      <c r="U655" s="22">
        <f t="shared" si="40"/>
        <v>0</v>
      </c>
      <c r="V655">
        <f t="shared" si="41"/>
        <v>0</v>
      </c>
      <c r="W655" s="22">
        <f t="shared" si="42"/>
        <v>0</v>
      </c>
    </row>
    <row r="656" spans="1:23" hidden="1" x14ac:dyDescent="0.25">
      <c r="A656" s="3">
        <v>45966</v>
      </c>
      <c r="B656" s="4" t="s">
        <v>334</v>
      </c>
      <c r="C656" s="4" t="s">
        <v>147</v>
      </c>
      <c r="D656" s="4"/>
      <c r="E656" s="4"/>
      <c r="F656" s="4" t="s">
        <v>569</v>
      </c>
      <c r="G656" s="4" t="s">
        <v>336</v>
      </c>
      <c r="H656" s="4" t="s">
        <v>289</v>
      </c>
      <c r="I656" s="4">
        <v>1</v>
      </c>
      <c r="J656" s="21">
        <v>65</v>
      </c>
      <c r="K656" s="21">
        <v>0</v>
      </c>
      <c r="L656" s="5">
        <v>0</v>
      </c>
      <c r="M656" s="4">
        <v>1</v>
      </c>
      <c r="N656" s="4"/>
      <c r="O656" s="5">
        <v>65</v>
      </c>
      <c r="P656" s="5"/>
      <c r="Q656" s="21">
        <v>65</v>
      </c>
      <c r="R656" s="21">
        <v>0</v>
      </c>
      <c r="S656" s="5">
        <f t="shared" si="43"/>
        <v>95853.822760152034</v>
      </c>
      <c r="T656" cm="1">
        <f t="array" ref="T656">IF(OR(B656="MAL ALIMI", B656="ÜRETİM GİRİŞ"), MIN(I656, MAX(0, I656 + SUM(SUMIFS($I$1:I655, $C$1:C655, C656, $B$1:B655, {"MAL ALIMI","ÜRETİM GİRİŞ"})) - VLOOKUP(C656, 'STOK RAPORU'!$C$2:$I$1000, 4, 0))), 0)</f>
        <v>0</v>
      </c>
      <c r="U656" s="22">
        <f t="shared" si="40"/>
        <v>0</v>
      </c>
      <c r="V656">
        <f t="shared" si="41"/>
        <v>0</v>
      </c>
      <c r="W656" s="22">
        <f t="shared" si="42"/>
        <v>0</v>
      </c>
    </row>
    <row r="657" spans="1:23" hidden="1" x14ac:dyDescent="0.25">
      <c r="A657" s="3">
        <v>45966</v>
      </c>
      <c r="B657" s="4" t="s">
        <v>334</v>
      </c>
      <c r="C657" s="4" t="s">
        <v>225</v>
      </c>
      <c r="D657" s="4"/>
      <c r="E657" s="4"/>
      <c r="F657" s="4" t="s">
        <v>569</v>
      </c>
      <c r="G657" s="4" t="s">
        <v>336</v>
      </c>
      <c r="H657" s="4" t="s">
        <v>289</v>
      </c>
      <c r="I657" s="4">
        <v>0.32600000000000001</v>
      </c>
      <c r="J657" s="21">
        <v>650</v>
      </c>
      <c r="K657" s="21">
        <v>0</v>
      </c>
      <c r="L657" s="5">
        <v>0</v>
      </c>
      <c r="M657" s="4">
        <v>0.32600000000000001</v>
      </c>
      <c r="N657" s="4"/>
      <c r="O657" s="5">
        <v>650</v>
      </c>
      <c r="P657" s="5"/>
      <c r="Q657" s="21">
        <v>211.9</v>
      </c>
      <c r="R657" s="21">
        <v>0</v>
      </c>
      <c r="S657" s="5">
        <f t="shared" si="43"/>
        <v>96065.722760152028</v>
      </c>
      <c r="T657" cm="1">
        <f t="array" ref="T657">IF(OR(B657="MAL ALIMI", B657="ÜRETİM GİRİŞ"), MIN(I657, MAX(0, I657 + SUM(SUMIFS($I$1:I656, $C$1:C656, C657, $B$1:B656, {"MAL ALIMI","ÜRETİM GİRİŞ"})) - VLOOKUP(C657, 'STOK RAPORU'!$C$2:$I$1000, 4, 0))), 0)</f>
        <v>0</v>
      </c>
      <c r="U657" s="22">
        <f t="shared" si="40"/>
        <v>0</v>
      </c>
      <c r="V657">
        <f t="shared" si="41"/>
        <v>0</v>
      </c>
      <c r="W657" s="22">
        <f t="shared" si="42"/>
        <v>0</v>
      </c>
    </row>
    <row r="658" spans="1:23" hidden="1" x14ac:dyDescent="0.25">
      <c r="A658" s="3">
        <v>45966</v>
      </c>
      <c r="B658" s="4" t="s">
        <v>334</v>
      </c>
      <c r="C658" s="4" t="s">
        <v>265</v>
      </c>
      <c r="D658" s="4"/>
      <c r="E658" s="4"/>
      <c r="F658" s="4" t="s">
        <v>569</v>
      </c>
      <c r="G658" s="4" t="s">
        <v>336</v>
      </c>
      <c r="H658" s="4" t="s">
        <v>289</v>
      </c>
      <c r="I658" s="4">
        <v>1</v>
      </c>
      <c r="J658" s="21">
        <v>140</v>
      </c>
      <c r="K658" s="21">
        <v>0</v>
      </c>
      <c r="L658" s="5">
        <v>0</v>
      </c>
      <c r="M658" s="4">
        <v>1</v>
      </c>
      <c r="N658" s="4"/>
      <c r="O658" s="5">
        <v>140</v>
      </c>
      <c r="P658" s="5"/>
      <c r="Q658" s="21">
        <v>140</v>
      </c>
      <c r="R658" s="21">
        <v>0</v>
      </c>
      <c r="S658" s="5">
        <f t="shared" si="43"/>
        <v>96205.722760152028</v>
      </c>
      <c r="T658" cm="1">
        <f t="array" ref="T658">IF(OR(B658="MAL ALIMI", B658="ÜRETİM GİRİŞ"), MIN(I658, MAX(0, I658 + SUM(SUMIFS($I$1:I657, $C$1:C657, C658, $B$1:B657, {"MAL ALIMI","ÜRETİM GİRİŞ"})) - VLOOKUP(C658, 'STOK RAPORU'!$C$2:$I$1000, 4, 0))), 0)</f>
        <v>0</v>
      </c>
      <c r="U658" s="22">
        <f t="shared" si="40"/>
        <v>0</v>
      </c>
      <c r="V658">
        <f t="shared" si="41"/>
        <v>0</v>
      </c>
      <c r="W658" s="22">
        <f t="shared" si="42"/>
        <v>0</v>
      </c>
    </row>
    <row r="659" spans="1:23" hidden="1" x14ac:dyDescent="0.25">
      <c r="A659" s="3">
        <v>45966</v>
      </c>
      <c r="B659" s="4" t="s">
        <v>334</v>
      </c>
      <c r="C659" s="4" t="s">
        <v>246</v>
      </c>
      <c r="D659" s="4"/>
      <c r="E659" s="4"/>
      <c r="F659" s="4" t="s">
        <v>569</v>
      </c>
      <c r="G659" s="4" t="s">
        <v>336</v>
      </c>
      <c r="H659" s="4" t="s">
        <v>289</v>
      </c>
      <c r="I659" s="4">
        <v>0.16400000000000001</v>
      </c>
      <c r="J659" s="21">
        <v>1250</v>
      </c>
      <c r="K659" s="21">
        <v>0</v>
      </c>
      <c r="L659" s="5">
        <v>0</v>
      </c>
      <c r="M659" s="4">
        <v>0.16400000000000001</v>
      </c>
      <c r="N659" s="4"/>
      <c r="O659" s="5">
        <v>1250</v>
      </c>
      <c r="P659" s="5"/>
      <c r="Q659" s="21">
        <v>205</v>
      </c>
      <c r="R659" s="21">
        <v>0</v>
      </c>
      <c r="S659" s="5">
        <f t="shared" si="43"/>
        <v>96410.722760152028</v>
      </c>
      <c r="T659" cm="1">
        <f t="array" ref="T659">IF(OR(B659="MAL ALIMI", B659="ÜRETİM GİRİŞ"), MIN(I659, MAX(0, I659 + SUM(SUMIFS($I$1:I658, $C$1:C658, C659, $B$1:B658, {"MAL ALIMI","ÜRETİM GİRİŞ"})) - VLOOKUP(C659, 'STOK RAPORU'!$C$2:$I$1000, 4, 0))), 0)</f>
        <v>0</v>
      </c>
      <c r="U659" s="22">
        <f t="shared" si="40"/>
        <v>0</v>
      </c>
      <c r="V659">
        <f t="shared" si="41"/>
        <v>0</v>
      </c>
      <c r="W659" s="22">
        <f t="shared" si="42"/>
        <v>0</v>
      </c>
    </row>
    <row r="660" spans="1:23" hidden="1" x14ac:dyDescent="0.25">
      <c r="A660" s="3">
        <v>45966</v>
      </c>
      <c r="B660" s="4" t="s">
        <v>334</v>
      </c>
      <c r="C660" s="4" t="s">
        <v>160</v>
      </c>
      <c r="D660" s="4"/>
      <c r="E660" s="4"/>
      <c r="F660" s="4" t="s">
        <v>570</v>
      </c>
      <c r="G660" s="4" t="s">
        <v>336</v>
      </c>
      <c r="H660" s="4" t="s">
        <v>289</v>
      </c>
      <c r="I660" s="4">
        <v>1</v>
      </c>
      <c r="J660" s="21">
        <v>240</v>
      </c>
      <c r="K660" s="21">
        <v>0</v>
      </c>
      <c r="L660" s="5">
        <v>0</v>
      </c>
      <c r="M660" s="4">
        <v>1</v>
      </c>
      <c r="N660" s="4"/>
      <c r="O660" s="5">
        <v>240</v>
      </c>
      <c r="P660" s="5"/>
      <c r="Q660" s="21">
        <v>240</v>
      </c>
      <c r="R660" s="21">
        <v>0</v>
      </c>
      <c r="S660" s="5">
        <f t="shared" si="43"/>
        <v>96650.722760152028</v>
      </c>
      <c r="T660" cm="1">
        <f t="array" ref="T660">IF(OR(B660="MAL ALIMI", B660="ÜRETİM GİRİŞ"), MIN(I660, MAX(0, I660 + SUM(SUMIFS($I$1:I659, $C$1:C659, C660, $B$1:B659, {"MAL ALIMI","ÜRETİM GİRİŞ"})) - VLOOKUP(C660, 'STOK RAPORU'!$C$2:$I$1000, 4, 0))), 0)</f>
        <v>0</v>
      </c>
      <c r="U660" s="22">
        <f t="shared" si="40"/>
        <v>0</v>
      </c>
      <c r="V660">
        <f t="shared" si="41"/>
        <v>0</v>
      </c>
      <c r="W660" s="22">
        <f t="shared" si="42"/>
        <v>0</v>
      </c>
    </row>
    <row r="661" spans="1:23" hidden="1" x14ac:dyDescent="0.25">
      <c r="A661" s="3">
        <v>45966</v>
      </c>
      <c r="B661" s="4" t="s">
        <v>334</v>
      </c>
      <c r="C661" s="4" t="s">
        <v>586</v>
      </c>
      <c r="D661" s="4"/>
      <c r="E661" s="4"/>
      <c r="F661" s="4" t="s">
        <v>663</v>
      </c>
      <c r="G661" s="4" t="s">
        <v>439</v>
      </c>
      <c r="H661" s="4" t="s">
        <v>289</v>
      </c>
      <c r="I661" s="4">
        <v>19.350000000000001</v>
      </c>
      <c r="J661" s="21">
        <v>125</v>
      </c>
      <c r="K661" s="21">
        <v>0</v>
      </c>
      <c r="L661" s="5">
        <v>0</v>
      </c>
      <c r="M661" s="4">
        <v>20</v>
      </c>
      <c r="N661" s="4"/>
      <c r="O661" s="5">
        <v>125</v>
      </c>
      <c r="P661" s="5"/>
      <c r="Q661" s="21">
        <v>2418.75</v>
      </c>
      <c r="R661" s="21">
        <v>0</v>
      </c>
      <c r="S661" s="5">
        <f t="shared" si="43"/>
        <v>99069.472760152028</v>
      </c>
      <c r="T661" cm="1">
        <f t="array" ref="T661">IF(OR(B661="MAL ALIMI", B661="ÜRETİM GİRİŞ"), MIN(I661, MAX(0, I661 + SUM(SUMIFS($I$1:I660, $C$1:C660, C661, $B$1:B660, {"MAL ALIMI","ÜRETİM GİRİŞ"})) - VLOOKUP(C661, 'STOK RAPORU'!$C$2:$I$1000, 4, 0))), 0)</f>
        <v>0</v>
      </c>
      <c r="U661" s="22">
        <f t="shared" si="40"/>
        <v>0</v>
      </c>
      <c r="V661">
        <f t="shared" si="41"/>
        <v>0</v>
      </c>
      <c r="W661" s="22">
        <f t="shared" si="42"/>
        <v>0</v>
      </c>
    </row>
    <row r="662" spans="1:23" hidden="1" x14ac:dyDescent="0.25">
      <c r="A662" s="3">
        <v>45966</v>
      </c>
      <c r="B662" s="4" t="s">
        <v>334</v>
      </c>
      <c r="C662" s="4" t="s">
        <v>587</v>
      </c>
      <c r="D662" s="4"/>
      <c r="E662" s="4"/>
      <c r="F662" s="4" t="s">
        <v>663</v>
      </c>
      <c r="G662" s="4" t="s">
        <v>439</v>
      </c>
      <c r="H662" s="4" t="s">
        <v>289</v>
      </c>
      <c r="I662" s="4">
        <v>19.350000000000001</v>
      </c>
      <c r="J662" s="21">
        <v>85</v>
      </c>
      <c r="K662" s="21">
        <v>0</v>
      </c>
      <c r="L662" s="5">
        <v>0</v>
      </c>
      <c r="M662" s="4">
        <v>20</v>
      </c>
      <c r="N662" s="4"/>
      <c r="O662" s="5">
        <v>85</v>
      </c>
      <c r="P662" s="5"/>
      <c r="Q662" s="21">
        <v>1644.7500000000002</v>
      </c>
      <c r="R662" s="21">
        <v>0</v>
      </c>
      <c r="S662" s="5">
        <f t="shared" si="43"/>
        <v>100714.22276015203</v>
      </c>
      <c r="T662" cm="1">
        <f t="array" ref="T662">IF(OR(B662="MAL ALIMI", B662="ÜRETİM GİRİŞ"), MIN(I662, MAX(0, I662 + SUM(SUMIFS($I$1:I661, $C$1:C661, C662, $B$1:B661, {"MAL ALIMI","ÜRETİM GİRİŞ"})) - VLOOKUP(C662, 'STOK RAPORU'!$C$2:$I$1000, 4, 0))), 0)</f>
        <v>0</v>
      </c>
      <c r="U662" s="22">
        <f t="shared" si="40"/>
        <v>0</v>
      </c>
      <c r="V662">
        <f t="shared" si="41"/>
        <v>0</v>
      </c>
      <c r="W662" s="22">
        <f t="shared" si="42"/>
        <v>0</v>
      </c>
    </row>
    <row r="663" spans="1:23" hidden="1" x14ac:dyDescent="0.25">
      <c r="A663" s="3">
        <v>45966</v>
      </c>
      <c r="B663" s="4" t="s">
        <v>334</v>
      </c>
      <c r="C663" s="4" t="s">
        <v>152</v>
      </c>
      <c r="D663" s="4"/>
      <c r="E663" s="4"/>
      <c r="F663" s="4" t="s">
        <v>663</v>
      </c>
      <c r="G663" s="4" t="s">
        <v>439</v>
      </c>
      <c r="H663" s="4" t="s">
        <v>289</v>
      </c>
      <c r="I663" s="4">
        <v>5</v>
      </c>
      <c r="J663" s="21">
        <v>100</v>
      </c>
      <c r="K663" s="21">
        <v>0</v>
      </c>
      <c r="L663" s="5">
        <v>0</v>
      </c>
      <c r="M663" s="4">
        <v>5</v>
      </c>
      <c r="N663" s="4"/>
      <c r="O663" s="5">
        <v>100</v>
      </c>
      <c r="P663" s="5"/>
      <c r="Q663" s="21">
        <v>500</v>
      </c>
      <c r="R663" s="21">
        <v>0</v>
      </c>
      <c r="S663" s="5">
        <f t="shared" si="43"/>
        <v>101214.22276015203</v>
      </c>
      <c r="T663" cm="1">
        <f t="array" ref="T663">IF(OR(B663="MAL ALIMI", B663="ÜRETİM GİRİŞ"), MIN(I663, MAX(0, I663 + SUM(SUMIFS($I$1:I662, $C$1:C662, C663, $B$1:B662, {"MAL ALIMI","ÜRETİM GİRİŞ"})) - VLOOKUP(C663, 'STOK RAPORU'!$C$2:$I$1000, 4, 0))), 0)</f>
        <v>0</v>
      </c>
      <c r="U663" s="22">
        <f t="shared" si="40"/>
        <v>0</v>
      </c>
      <c r="V663">
        <f t="shared" si="41"/>
        <v>0</v>
      </c>
      <c r="W663" s="22">
        <f t="shared" si="42"/>
        <v>0</v>
      </c>
    </row>
    <row r="664" spans="1:23" hidden="1" x14ac:dyDescent="0.25">
      <c r="A664" s="3">
        <v>45966</v>
      </c>
      <c r="B664" s="4" t="s">
        <v>334</v>
      </c>
      <c r="C664" s="4" t="s">
        <v>590</v>
      </c>
      <c r="D664" s="4"/>
      <c r="E664" s="4"/>
      <c r="F664" s="4" t="s">
        <v>663</v>
      </c>
      <c r="G664" s="4" t="s">
        <v>439</v>
      </c>
      <c r="H664" s="4" t="s">
        <v>289</v>
      </c>
      <c r="I664" s="4">
        <v>5</v>
      </c>
      <c r="J664" s="21">
        <v>65</v>
      </c>
      <c r="K664" s="21">
        <v>0</v>
      </c>
      <c r="L664" s="5">
        <v>0</v>
      </c>
      <c r="M664" s="4">
        <v>5</v>
      </c>
      <c r="N664" s="4"/>
      <c r="O664" s="5">
        <v>65</v>
      </c>
      <c r="P664" s="5"/>
      <c r="Q664" s="21">
        <v>325</v>
      </c>
      <c r="R664" s="21">
        <v>0</v>
      </c>
      <c r="S664" s="5">
        <f t="shared" si="43"/>
        <v>101539.22276015203</v>
      </c>
      <c r="T664" cm="1">
        <f t="array" ref="T664">IF(OR(B664="MAL ALIMI", B664="ÜRETİM GİRİŞ"), MIN(I664, MAX(0, I664 + SUM(SUMIFS($I$1:I663, $C$1:C663, C664, $B$1:B663, {"MAL ALIMI","ÜRETİM GİRİŞ"})) - VLOOKUP(C664, 'STOK RAPORU'!$C$2:$I$1000, 4, 0))), 0)</f>
        <v>0</v>
      </c>
      <c r="U664" s="22">
        <f t="shared" si="40"/>
        <v>0</v>
      </c>
      <c r="V664">
        <f t="shared" si="41"/>
        <v>0</v>
      </c>
      <c r="W664" s="22">
        <f t="shared" si="42"/>
        <v>0</v>
      </c>
    </row>
    <row r="665" spans="1:23" hidden="1" x14ac:dyDescent="0.25">
      <c r="A665" s="3">
        <v>45966</v>
      </c>
      <c r="B665" s="4" t="s">
        <v>334</v>
      </c>
      <c r="C665" s="4" t="s">
        <v>229</v>
      </c>
      <c r="D665" s="4"/>
      <c r="E665" s="4"/>
      <c r="F665" s="4" t="s">
        <v>663</v>
      </c>
      <c r="G665" s="4" t="s">
        <v>439</v>
      </c>
      <c r="H665" s="4" t="s">
        <v>289</v>
      </c>
      <c r="I665" s="4">
        <v>3</v>
      </c>
      <c r="J665" s="21">
        <v>165</v>
      </c>
      <c r="K665" s="21">
        <v>0</v>
      </c>
      <c r="L665" s="5">
        <v>0</v>
      </c>
      <c r="M665" s="4">
        <v>3</v>
      </c>
      <c r="N665" s="4"/>
      <c r="O665" s="5">
        <v>165</v>
      </c>
      <c r="P665" s="5"/>
      <c r="Q665" s="21">
        <v>495</v>
      </c>
      <c r="R665" s="21">
        <v>0</v>
      </c>
      <c r="S665" s="5">
        <f t="shared" si="43"/>
        <v>102034.22276015203</v>
      </c>
      <c r="T665" cm="1">
        <f t="array" ref="T665">IF(OR(B665="MAL ALIMI", B665="ÜRETİM GİRİŞ"), MIN(I665, MAX(0, I665 + SUM(SUMIFS($I$1:I664, $C$1:C664, C665, $B$1:B664, {"MAL ALIMI","ÜRETİM GİRİŞ"})) - VLOOKUP(C665, 'STOK RAPORU'!$C$2:$I$1000, 4, 0))), 0)</f>
        <v>0</v>
      </c>
      <c r="U665" s="22">
        <f t="shared" si="40"/>
        <v>0</v>
      </c>
      <c r="V665">
        <f t="shared" si="41"/>
        <v>0</v>
      </c>
      <c r="W665" s="22">
        <f t="shared" si="42"/>
        <v>0</v>
      </c>
    </row>
    <row r="666" spans="1:23" hidden="1" x14ac:dyDescent="0.25">
      <c r="A666" s="3">
        <v>45966</v>
      </c>
      <c r="B666" s="4" t="s">
        <v>334</v>
      </c>
      <c r="C666" s="4" t="s">
        <v>230</v>
      </c>
      <c r="D666" s="4"/>
      <c r="E666" s="4"/>
      <c r="F666" s="4" t="s">
        <v>663</v>
      </c>
      <c r="G666" s="4" t="s">
        <v>439</v>
      </c>
      <c r="H666" s="4" t="s">
        <v>289</v>
      </c>
      <c r="I666" s="4">
        <v>4</v>
      </c>
      <c r="J666" s="21">
        <v>165</v>
      </c>
      <c r="K666" s="21">
        <v>0</v>
      </c>
      <c r="L666" s="5">
        <v>0</v>
      </c>
      <c r="M666" s="4">
        <v>4</v>
      </c>
      <c r="N666" s="4"/>
      <c r="O666" s="5">
        <v>165</v>
      </c>
      <c r="P666" s="5"/>
      <c r="Q666" s="21">
        <v>660</v>
      </c>
      <c r="R666" s="21">
        <v>0</v>
      </c>
      <c r="S666" s="5">
        <f t="shared" si="43"/>
        <v>102694.22276015203</v>
      </c>
      <c r="T666" cm="1">
        <f t="array" ref="T666">IF(OR(B666="MAL ALIMI", B666="ÜRETİM GİRİŞ"), MIN(I666, MAX(0, I666 + SUM(SUMIFS($I$1:I665, $C$1:C665, C666, $B$1:B665, {"MAL ALIMI","ÜRETİM GİRİŞ"})) - VLOOKUP(C666, 'STOK RAPORU'!$C$2:$I$1000, 4, 0))), 0)</f>
        <v>0</v>
      </c>
      <c r="U666" s="22">
        <f t="shared" si="40"/>
        <v>0</v>
      </c>
      <c r="V666">
        <f t="shared" si="41"/>
        <v>0</v>
      </c>
      <c r="W666" s="22">
        <f t="shared" si="42"/>
        <v>0</v>
      </c>
    </row>
    <row r="667" spans="1:23" hidden="1" x14ac:dyDescent="0.25">
      <c r="A667" s="3">
        <v>45966</v>
      </c>
      <c r="B667" s="4" t="s">
        <v>334</v>
      </c>
      <c r="C667" s="4" t="s">
        <v>231</v>
      </c>
      <c r="D667" s="4"/>
      <c r="E667" s="4"/>
      <c r="F667" s="4" t="s">
        <v>663</v>
      </c>
      <c r="G667" s="4" t="s">
        <v>439</v>
      </c>
      <c r="H667" s="4" t="s">
        <v>289</v>
      </c>
      <c r="I667" s="4">
        <v>3</v>
      </c>
      <c r="J667" s="21">
        <v>165</v>
      </c>
      <c r="K667" s="21">
        <v>0</v>
      </c>
      <c r="L667" s="5">
        <v>0</v>
      </c>
      <c r="M667" s="4">
        <v>3</v>
      </c>
      <c r="N667" s="4"/>
      <c r="O667" s="5">
        <v>165</v>
      </c>
      <c r="P667" s="5"/>
      <c r="Q667" s="21">
        <v>495</v>
      </c>
      <c r="R667" s="21">
        <v>0</v>
      </c>
      <c r="S667" s="5">
        <f t="shared" si="43"/>
        <v>103189.22276015203</v>
      </c>
      <c r="T667" cm="1">
        <f t="array" ref="T667">IF(OR(B667="MAL ALIMI", B667="ÜRETİM GİRİŞ"), MIN(I667, MAX(0, I667 + SUM(SUMIFS($I$1:I666, $C$1:C666, C667, $B$1:B666, {"MAL ALIMI","ÜRETİM GİRİŞ"})) - VLOOKUP(C667, 'STOK RAPORU'!$C$2:$I$1000, 4, 0))), 0)</f>
        <v>0</v>
      </c>
      <c r="U667" s="22">
        <f t="shared" si="40"/>
        <v>0</v>
      </c>
      <c r="V667">
        <f t="shared" si="41"/>
        <v>0</v>
      </c>
      <c r="W667" s="22">
        <f t="shared" si="42"/>
        <v>0</v>
      </c>
    </row>
    <row r="668" spans="1:23" hidden="1" x14ac:dyDescent="0.25">
      <c r="A668" s="3">
        <v>45967</v>
      </c>
      <c r="B668" s="4" t="s">
        <v>298</v>
      </c>
      <c r="C668" s="4" t="s">
        <v>597</v>
      </c>
      <c r="D668" s="4"/>
      <c r="E668" s="4" t="s">
        <v>350</v>
      </c>
      <c r="F668" s="4" t="s">
        <v>603</v>
      </c>
      <c r="G668" s="4" t="s">
        <v>350</v>
      </c>
      <c r="H668" s="4" t="s">
        <v>304</v>
      </c>
      <c r="I668" s="4">
        <v>18</v>
      </c>
      <c r="J668" s="21">
        <v>235</v>
      </c>
      <c r="K668" s="21">
        <v>0</v>
      </c>
      <c r="L668" s="5">
        <v>4230</v>
      </c>
      <c r="M668" s="4"/>
      <c r="N668" s="4">
        <v>18</v>
      </c>
      <c r="O668" s="5"/>
      <c r="P668" s="5">
        <v>235</v>
      </c>
      <c r="Q668" s="21">
        <v>0</v>
      </c>
      <c r="R668" s="21">
        <v>0</v>
      </c>
      <c r="S668" s="5">
        <f t="shared" si="43"/>
        <v>103189.22276015203</v>
      </c>
      <c r="T668" cm="1">
        <f t="array" ref="T668">IF(OR(B668="MAL ALIMI", B668="ÜRETİM GİRİŞ"), MIN(I668, MAX(0, I668 + SUM(SUMIFS($I$1:I667, $C$1:C667, C668, $B$1:B667, {"MAL ALIMI","ÜRETİM GİRİŞ"})) - VLOOKUP(C668, 'STOK RAPORU'!$C$2:$I$1000, 4, 0))), 0)</f>
        <v>0</v>
      </c>
      <c r="U668" s="22">
        <f t="shared" si="40"/>
        <v>0</v>
      </c>
      <c r="V668">
        <f t="shared" si="41"/>
        <v>4230</v>
      </c>
      <c r="W668" s="22">
        <f t="shared" si="42"/>
        <v>4230</v>
      </c>
    </row>
    <row r="669" spans="1:23" hidden="1" x14ac:dyDescent="0.25">
      <c r="A669" s="3">
        <v>45967</v>
      </c>
      <c r="B669" s="4" t="s">
        <v>298</v>
      </c>
      <c r="C669" s="4" t="s">
        <v>598</v>
      </c>
      <c r="D669" s="4"/>
      <c r="E669" s="4" t="s">
        <v>350</v>
      </c>
      <c r="F669" s="4" t="s">
        <v>603</v>
      </c>
      <c r="G669" s="4" t="s">
        <v>350</v>
      </c>
      <c r="H669" s="4" t="s">
        <v>304</v>
      </c>
      <c r="I669" s="4">
        <v>10</v>
      </c>
      <c r="J669" s="21">
        <v>225</v>
      </c>
      <c r="K669" s="21">
        <v>0</v>
      </c>
      <c r="L669" s="5">
        <v>2250</v>
      </c>
      <c r="M669" s="4"/>
      <c r="N669" s="4">
        <v>10</v>
      </c>
      <c r="O669" s="5"/>
      <c r="P669" s="5">
        <v>225</v>
      </c>
      <c r="Q669" s="21">
        <v>0</v>
      </c>
      <c r="R669" s="21">
        <v>0</v>
      </c>
      <c r="S669" s="5">
        <f t="shared" si="43"/>
        <v>103189.22276015203</v>
      </c>
      <c r="T669" cm="1">
        <f t="array" ref="T669">IF(OR(B669="MAL ALIMI", B669="ÜRETİM GİRİŞ"), MIN(I669, MAX(0, I669 + SUM(SUMIFS($I$1:I668, $C$1:C668, C669, $B$1:B668, {"MAL ALIMI","ÜRETİM GİRİŞ"})) - VLOOKUP(C669, 'STOK RAPORU'!$C$2:$I$1000, 4, 0))), 0)</f>
        <v>0</v>
      </c>
      <c r="U669" s="22">
        <f t="shared" si="40"/>
        <v>0</v>
      </c>
      <c r="V669">
        <f t="shared" si="41"/>
        <v>2250</v>
      </c>
      <c r="W669" s="22">
        <f t="shared" si="42"/>
        <v>2250</v>
      </c>
    </row>
    <row r="670" spans="1:23" hidden="1" x14ac:dyDescent="0.25">
      <c r="A670" s="3">
        <v>45967</v>
      </c>
      <c r="B670" s="4" t="s">
        <v>298</v>
      </c>
      <c r="C670" s="4" t="s">
        <v>599</v>
      </c>
      <c r="D670" s="4"/>
      <c r="E670" s="4" t="s">
        <v>350</v>
      </c>
      <c r="F670" s="4" t="s">
        <v>603</v>
      </c>
      <c r="G670" s="4" t="s">
        <v>350</v>
      </c>
      <c r="H670" s="4" t="s">
        <v>304</v>
      </c>
      <c r="I670" s="4">
        <v>12</v>
      </c>
      <c r="J670" s="21">
        <v>25</v>
      </c>
      <c r="K670" s="21">
        <v>0</v>
      </c>
      <c r="L670" s="5">
        <v>300</v>
      </c>
      <c r="M670" s="4"/>
      <c r="N670" s="4">
        <v>12</v>
      </c>
      <c r="O670" s="5"/>
      <c r="P670" s="5">
        <v>25</v>
      </c>
      <c r="Q670" s="21">
        <v>0</v>
      </c>
      <c r="R670" s="21">
        <v>0</v>
      </c>
      <c r="S670" s="5">
        <f t="shared" si="43"/>
        <v>103189.22276015203</v>
      </c>
      <c r="T670" cm="1">
        <f t="array" ref="T670">IF(OR(B670="MAL ALIMI", B670="ÜRETİM GİRİŞ"), MIN(I670, MAX(0, I670 + SUM(SUMIFS($I$1:I669, $C$1:C669, C670, $B$1:B669, {"MAL ALIMI","ÜRETİM GİRİŞ"})) - VLOOKUP(C670, 'STOK RAPORU'!$C$2:$I$1000, 4, 0))), 0)</f>
        <v>7</v>
      </c>
      <c r="U670" s="22">
        <f t="shared" si="40"/>
        <v>175</v>
      </c>
      <c r="V670">
        <f t="shared" si="41"/>
        <v>300</v>
      </c>
      <c r="W670" s="22">
        <f t="shared" si="42"/>
        <v>125</v>
      </c>
    </row>
    <row r="671" spans="1:23" hidden="1" x14ac:dyDescent="0.25">
      <c r="A671" s="3">
        <v>45967</v>
      </c>
      <c r="B671" s="4" t="s">
        <v>298</v>
      </c>
      <c r="C671" s="4" t="s">
        <v>600</v>
      </c>
      <c r="D671" s="4"/>
      <c r="E671" s="4" t="s">
        <v>350</v>
      </c>
      <c r="F671" s="4" t="s">
        <v>603</v>
      </c>
      <c r="G671" s="4" t="s">
        <v>350</v>
      </c>
      <c r="H671" s="4" t="s">
        <v>304</v>
      </c>
      <c r="I671" s="4">
        <v>12</v>
      </c>
      <c r="J671" s="21">
        <v>25</v>
      </c>
      <c r="K671" s="21">
        <v>0</v>
      </c>
      <c r="L671" s="5">
        <v>300</v>
      </c>
      <c r="M671" s="4"/>
      <c r="N671" s="4">
        <v>12</v>
      </c>
      <c r="O671" s="5"/>
      <c r="P671" s="5">
        <v>25</v>
      </c>
      <c r="Q671" s="21">
        <v>0</v>
      </c>
      <c r="R671" s="21">
        <v>0</v>
      </c>
      <c r="S671" s="5">
        <f t="shared" si="43"/>
        <v>103189.22276015203</v>
      </c>
      <c r="T671" cm="1">
        <f t="array" ref="T671">IF(OR(B671="MAL ALIMI", B671="ÜRETİM GİRİŞ"), MIN(I671, MAX(0, I671 + SUM(SUMIFS($I$1:I670, $C$1:C670, C671, $B$1:B670, {"MAL ALIMI","ÜRETİM GİRİŞ"})) - VLOOKUP(C671, 'STOK RAPORU'!$C$2:$I$1000, 4, 0))), 0)</f>
        <v>11</v>
      </c>
      <c r="U671" s="22">
        <f t="shared" si="40"/>
        <v>275</v>
      </c>
      <c r="V671">
        <f t="shared" si="41"/>
        <v>300</v>
      </c>
      <c r="W671" s="22">
        <f t="shared" si="42"/>
        <v>25</v>
      </c>
    </row>
    <row r="672" spans="1:23" hidden="1" x14ac:dyDescent="0.25">
      <c r="A672" s="3">
        <v>45967</v>
      </c>
      <c r="B672" s="4" t="s">
        <v>298</v>
      </c>
      <c r="C672" s="4" t="s">
        <v>225</v>
      </c>
      <c r="D672" s="4"/>
      <c r="E672" s="4" t="s">
        <v>350</v>
      </c>
      <c r="F672" s="4" t="s">
        <v>603</v>
      </c>
      <c r="G672" s="4" t="s">
        <v>350</v>
      </c>
      <c r="H672" s="4" t="s">
        <v>304</v>
      </c>
      <c r="I672" s="4">
        <v>5</v>
      </c>
      <c r="J672" s="21">
        <v>500</v>
      </c>
      <c r="K672" s="21">
        <v>0</v>
      </c>
      <c r="L672" s="5">
        <v>2500</v>
      </c>
      <c r="M672" s="4"/>
      <c r="N672" s="4">
        <v>5</v>
      </c>
      <c r="O672" s="5"/>
      <c r="P672" s="5">
        <v>500</v>
      </c>
      <c r="Q672" s="21">
        <v>0</v>
      </c>
      <c r="R672" s="21">
        <v>0</v>
      </c>
      <c r="S672" s="5">
        <f t="shared" si="43"/>
        <v>103189.22276015203</v>
      </c>
      <c r="T672" cm="1">
        <f t="array" ref="T672">IF(OR(B672="MAL ALIMI", B672="ÜRETİM GİRİŞ"), MIN(I672, MAX(0, I672 + SUM(SUMIFS($I$1:I671, $C$1:C671, C672, $B$1:B671, {"MAL ALIMI","ÜRETİM GİRİŞ"})) - VLOOKUP(C672, 'STOK RAPORU'!$C$2:$I$1000, 4, 0))), 0)</f>
        <v>0</v>
      </c>
      <c r="U672" s="22">
        <f t="shared" si="40"/>
        <v>0</v>
      </c>
      <c r="V672">
        <f t="shared" si="41"/>
        <v>2500</v>
      </c>
      <c r="W672" s="22">
        <f t="shared" si="42"/>
        <v>2500</v>
      </c>
    </row>
    <row r="673" spans="1:23" hidden="1" x14ac:dyDescent="0.25">
      <c r="A673" s="3">
        <v>45967</v>
      </c>
      <c r="B673" s="4" t="s">
        <v>298</v>
      </c>
      <c r="C673" s="4" t="s">
        <v>601</v>
      </c>
      <c r="D673" s="4"/>
      <c r="E673" s="4" t="s">
        <v>350</v>
      </c>
      <c r="F673" s="4" t="s">
        <v>603</v>
      </c>
      <c r="G673" s="4" t="s">
        <v>350</v>
      </c>
      <c r="H673" s="4" t="s">
        <v>304</v>
      </c>
      <c r="I673" s="4">
        <v>5</v>
      </c>
      <c r="J673" s="21">
        <v>370</v>
      </c>
      <c r="K673" s="21">
        <v>0</v>
      </c>
      <c r="L673" s="5">
        <v>1850</v>
      </c>
      <c r="M673" s="4"/>
      <c r="N673" s="4">
        <v>5</v>
      </c>
      <c r="O673" s="5"/>
      <c r="P673" s="5">
        <v>370</v>
      </c>
      <c r="Q673" s="21">
        <v>0</v>
      </c>
      <c r="R673" s="21">
        <v>0</v>
      </c>
      <c r="S673" s="5">
        <f t="shared" si="43"/>
        <v>103189.22276015203</v>
      </c>
      <c r="T673" cm="1">
        <f t="array" ref="T673">IF(OR(B673="MAL ALIMI", B673="ÜRETİM GİRİŞ"), MIN(I673, MAX(0, I673 + SUM(SUMIFS($I$1:I672, $C$1:C672, C673, $B$1:B672, {"MAL ALIMI","ÜRETİM GİRİŞ"})) - VLOOKUP(C673, 'STOK RAPORU'!$C$2:$I$1000, 4, 0))), 0)</f>
        <v>0</v>
      </c>
      <c r="U673" s="22">
        <f t="shared" si="40"/>
        <v>0</v>
      </c>
      <c r="V673">
        <f t="shared" si="41"/>
        <v>1850</v>
      </c>
      <c r="W673" s="22">
        <f t="shared" si="42"/>
        <v>1850</v>
      </c>
    </row>
    <row r="674" spans="1:23" hidden="1" x14ac:dyDescent="0.25">
      <c r="A674" s="3">
        <v>45967</v>
      </c>
      <c r="B674" s="4" t="s">
        <v>298</v>
      </c>
      <c r="C674" s="4" t="s">
        <v>722</v>
      </c>
      <c r="D674" s="4"/>
      <c r="E674" s="4" t="s">
        <v>856</v>
      </c>
      <c r="F674" s="4" t="s">
        <v>741</v>
      </c>
      <c r="G674" s="4" t="s">
        <v>742</v>
      </c>
      <c r="H674" s="4" t="s">
        <v>1329</v>
      </c>
      <c r="I674" s="4">
        <v>2</v>
      </c>
      <c r="J674" s="35">
        <v>224.16</v>
      </c>
      <c r="K674" s="35">
        <v>0</v>
      </c>
      <c r="L674" s="5">
        <v>448.32</v>
      </c>
      <c r="M674" s="31"/>
      <c r="N674" s="31">
        <v>2</v>
      </c>
      <c r="O674" s="32"/>
      <c r="P674" s="32">
        <v>224.16</v>
      </c>
      <c r="Q674" s="35">
        <v>0</v>
      </c>
      <c r="R674" s="35">
        <v>0</v>
      </c>
      <c r="S674" s="5">
        <f t="shared" si="43"/>
        <v>103189.22276015203</v>
      </c>
      <c r="T674" cm="1">
        <f t="array" ref="T674">IF(OR(B674="MAL ALIMI", B674="ÜRETİM GİRİŞ"), MIN(I674, MAX(0, I674 + SUM(SUMIFS($I$1:I673, $C$1:C673, C674, $B$1:B673, {"MAL ALIMI","ÜRETİM GİRİŞ"})) - VLOOKUP(C674, 'STOK RAPORU'!$C$2:$I$1000, 4, 0))), 0)</f>
        <v>0</v>
      </c>
      <c r="U674" s="22">
        <f t="shared" si="40"/>
        <v>0</v>
      </c>
      <c r="V674">
        <f t="shared" si="41"/>
        <v>448.32</v>
      </c>
      <c r="W674" s="22">
        <f t="shared" si="42"/>
        <v>448.32</v>
      </c>
    </row>
    <row r="675" spans="1:23" hidden="1" x14ac:dyDescent="0.25">
      <c r="A675" s="3">
        <v>45967</v>
      </c>
      <c r="B675" s="4" t="s">
        <v>298</v>
      </c>
      <c r="C675" s="4" t="s">
        <v>726</v>
      </c>
      <c r="D675" s="4"/>
      <c r="E675" s="4" t="s">
        <v>856</v>
      </c>
      <c r="F675" s="4" t="s">
        <v>741</v>
      </c>
      <c r="G675" s="4" t="s">
        <v>742</v>
      </c>
      <c r="H675" s="4" t="s">
        <v>1329</v>
      </c>
      <c r="I675" s="4">
        <v>2</v>
      </c>
      <c r="J675" s="35">
        <v>143.30000000000001</v>
      </c>
      <c r="K675" s="35">
        <v>0</v>
      </c>
      <c r="L675" s="5">
        <v>286.60000000000002</v>
      </c>
      <c r="M675" s="31"/>
      <c r="N675" s="31">
        <v>2</v>
      </c>
      <c r="O675" s="32"/>
      <c r="P675" s="32">
        <v>143.30000000000001</v>
      </c>
      <c r="Q675" s="35">
        <v>0</v>
      </c>
      <c r="R675" s="35">
        <v>0</v>
      </c>
      <c r="S675" s="5">
        <f t="shared" si="43"/>
        <v>103189.22276015203</v>
      </c>
      <c r="T675" cm="1">
        <f t="array" ref="T675">IF(OR(B675="MAL ALIMI", B675="ÜRETİM GİRİŞ"), MIN(I675, MAX(0, I675 + SUM(SUMIFS($I$1:I674, $C$1:C674, C675, $B$1:B674, {"MAL ALIMI","ÜRETİM GİRİŞ"})) - VLOOKUP(C675, 'STOK RAPORU'!$C$2:$I$1000, 4, 0))), 0)</f>
        <v>0</v>
      </c>
      <c r="U675" s="22">
        <f t="shared" si="40"/>
        <v>0</v>
      </c>
      <c r="V675">
        <f t="shared" si="41"/>
        <v>286.60000000000002</v>
      </c>
      <c r="W675" s="22">
        <f t="shared" si="42"/>
        <v>286.60000000000002</v>
      </c>
    </row>
    <row r="676" spans="1:23" hidden="1" x14ac:dyDescent="0.25">
      <c r="A676" s="3">
        <v>45967</v>
      </c>
      <c r="B676" s="4" t="s">
        <v>298</v>
      </c>
      <c r="C676" s="4" t="s">
        <v>727</v>
      </c>
      <c r="D676" s="4"/>
      <c r="E676" s="4" t="s">
        <v>856</v>
      </c>
      <c r="F676" s="4" t="s">
        <v>741</v>
      </c>
      <c r="G676" s="4" t="s">
        <v>742</v>
      </c>
      <c r="H676" s="4" t="s">
        <v>1329</v>
      </c>
      <c r="I676" s="4">
        <v>2</v>
      </c>
      <c r="J676" s="35">
        <v>147.99</v>
      </c>
      <c r="K676" s="35">
        <v>0</v>
      </c>
      <c r="L676" s="5">
        <v>295.98</v>
      </c>
      <c r="M676" s="31"/>
      <c r="N676" s="31">
        <v>2</v>
      </c>
      <c r="O676" s="32"/>
      <c r="P676" s="32">
        <v>147.99</v>
      </c>
      <c r="Q676" s="35">
        <v>0</v>
      </c>
      <c r="R676" s="35">
        <v>0</v>
      </c>
      <c r="S676" s="5">
        <f t="shared" si="43"/>
        <v>103189.22276015203</v>
      </c>
      <c r="T676" cm="1">
        <f t="array" ref="T676">IF(OR(B676="MAL ALIMI", B676="ÜRETİM GİRİŞ"), MIN(I676, MAX(0, I676 + SUM(SUMIFS($I$1:I675, $C$1:C675, C676, $B$1:B675, {"MAL ALIMI","ÜRETİM GİRİŞ"})) - VLOOKUP(C676, 'STOK RAPORU'!$C$2:$I$1000, 4, 0))), 0)</f>
        <v>0</v>
      </c>
      <c r="U676" s="22">
        <f t="shared" si="40"/>
        <v>0</v>
      </c>
      <c r="V676">
        <f t="shared" si="41"/>
        <v>295.98</v>
      </c>
      <c r="W676" s="22">
        <f t="shared" si="42"/>
        <v>295.98</v>
      </c>
    </row>
    <row r="677" spans="1:23" hidden="1" x14ac:dyDescent="0.25">
      <c r="A677" s="3">
        <v>45967</v>
      </c>
      <c r="B677" s="4" t="s">
        <v>298</v>
      </c>
      <c r="C677" s="4" t="s">
        <v>748</v>
      </c>
      <c r="D677" s="4"/>
      <c r="E677" s="4" t="s">
        <v>856</v>
      </c>
      <c r="F677" s="4" t="s">
        <v>752</v>
      </c>
      <c r="G677" s="4" t="s">
        <v>753</v>
      </c>
      <c r="H677" s="4" t="s">
        <v>1329</v>
      </c>
      <c r="I677" s="4">
        <v>5</v>
      </c>
      <c r="J677" s="35">
        <v>154.9</v>
      </c>
      <c r="K677" s="35">
        <v>0</v>
      </c>
      <c r="L677" s="5">
        <v>774.5</v>
      </c>
      <c r="M677" s="31"/>
      <c r="N677" s="31">
        <v>5</v>
      </c>
      <c r="O677" s="32"/>
      <c r="P677" s="32">
        <v>154.9</v>
      </c>
      <c r="Q677" s="35">
        <v>0</v>
      </c>
      <c r="R677" s="35">
        <v>0</v>
      </c>
      <c r="S677" s="5">
        <f t="shared" si="43"/>
        <v>103189.22276015203</v>
      </c>
      <c r="T677" cm="1">
        <f t="array" ref="T677">IF(OR(B677="MAL ALIMI", B677="ÜRETİM GİRİŞ"), MIN(I677, MAX(0, I677 + SUM(SUMIFS($I$1:I676, $C$1:C676, C677, $B$1:B676, {"MAL ALIMI","ÜRETİM GİRİŞ"})) - VLOOKUP(C677, 'STOK RAPORU'!$C$2:$I$1000, 4, 0))), 0)</f>
        <v>0</v>
      </c>
      <c r="U677" s="22">
        <f t="shared" si="40"/>
        <v>0</v>
      </c>
      <c r="V677">
        <f t="shared" si="41"/>
        <v>774.5</v>
      </c>
      <c r="W677" s="22">
        <f t="shared" si="42"/>
        <v>774.5</v>
      </c>
    </row>
    <row r="678" spans="1:23" hidden="1" x14ac:dyDescent="0.25">
      <c r="A678" s="3">
        <v>45967</v>
      </c>
      <c r="B678" s="4" t="s">
        <v>298</v>
      </c>
      <c r="C678" s="4" t="s">
        <v>749</v>
      </c>
      <c r="D678" s="4"/>
      <c r="E678" s="4" t="s">
        <v>856</v>
      </c>
      <c r="F678" s="4" t="s">
        <v>754</v>
      </c>
      <c r="G678" s="4" t="s">
        <v>753</v>
      </c>
      <c r="H678" s="4" t="s">
        <v>1329</v>
      </c>
      <c r="I678" s="4">
        <v>5</v>
      </c>
      <c r="J678" s="35">
        <v>159.9</v>
      </c>
      <c r="K678" s="35">
        <v>0</v>
      </c>
      <c r="L678" s="5">
        <v>799.5</v>
      </c>
      <c r="M678" s="31"/>
      <c r="N678" s="31">
        <v>5</v>
      </c>
      <c r="O678" s="32"/>
      <c r="P678" s="32">
        <v>159.9</v>
      </c>
      <c r="Q678" s="35">
        <v>0</v>
      </c>
      <c r="R678" s="35">
        <v>0</v>
      </c>
      <c r="S678" s="5">
        <f t="shared" si="43"/>
        <v>103189.22276015203</v>
      </c>
      <c r="T678" cm="1">
        <f t="array" ref="T678">IF(OR(B678="MAL ALIMI", B678="ÜRETİM GİRİŞ"), MIN(I678, MAX(0, I678 + SUM(SUMIFS($I$1:I677, $C$1:C677, C678, $B$1:B677, {"MAL ALIMI","ÜRETİM GİRİŞ"})) - VLOOKUP(C678, 'STOK RAPORU'!$C$2:$I$1000, 4, 0))), 0)</f>
        <v>1</v>
      </c>
      <c r="U678" s="22">
        <f t="shared" si="40"/>
        <v>159.9</v>
      </c>
      <c r="V678">
        <f t="shared" si="41"/>
        <v>799.5</v>
      </c>
      <c r="W678" s="22">
        <f t="shared" si="42"/>
        <v>639.6</v>
      </c>
    </row>
    <row r="679" spans="1:23" hidden="1" x14ac:dyDescent="0.25">
      <c r="A679" s="3">
        <v>45967</v>
      </c>
      <c r="B679" s="4" t="s">
        <v>298</v>
      </c>
      <c r="C679" s="4" t="s">
        <v>750</v>
      </c>
      <c r="D679" s="4"/>
      <c r="E679" s="4" t="s">
        <v>856</v>
      </c>
      <c r="F679" s="4" t="s">
        <v>758</v>
      </c>
      <c r="G679" s="4" t="s">
        <v>753</v>
      </c>
      <c r="H679" s="4" t="s">
        <v>1329</v>
      </c>
      <c r="I679" s="4">
        <v>5</v>
      </c>
      <c r="J679" s="35">
        <v>148.82</v>
      </c>
      <c r="K679" s="35">
        <v>0</v>
      </c>
      <c r="L679" s="5">
        <v>744.09999999999991</v>
      </c>
      <c r="M679" s="31"/>
      <c r="N679" s="31">
        <v>5</v>
      </c>
      <c r="O679" s="32"/>
      <c r="P679" s="32">
        <v>148.82</v>
      </c>
      <c r="Q679" s="35">
        <v>0</v>
      </c>
      <c r="R679" s="35">
        <v>0</v>
      </c>
      <c r="S679" s="5">
        <f t="shared" si="43"/>
        <v>103189.22276015203</v>
      </c>
      <c r="T679" cm="1">
        <f t="array" ref="T679">IF(OR(B679="MAL ALIMI", B679="ÜRETİM GİRİŞ"), MIN(I679, MAX(0, I679 + SUM(SUMIFS($I$1:I678, $C$1:C678, C679, $B$1:B678, {"MAL ALIMI","ÜRETİM GİRİŞ"})) - VLOOKUP(C679, 'STOK RAPORU'!$C$2:$I$1000, 4, 0))), 0)</f>
        <v>0</v>
      </c>
      <c r="U679" s="22">
        <f t="shared" si="40"/>
        <v>0</v>
      </c>
      <c r="V679">
        <f t="shared" si="41"/>
        <v>744.09999999999991</v>
      </c>
      <c r="W679" s="22">
        <f t="shared" si="42"/>
        <v>744.09999999999991</v>
      </c>
    </row>
    <row r="680" spans="1:23" hidden="1" x14ac:dyDescent="0.25">
      <c r="A680" s="3">
        <v>45967</v>
      </c>
      <c r="B680" s="4" t="s">
        <v>298</v>
      </c>
      <c r="C680" s="4" t="s">
        <v>751</v>
      </c>
      <c r="D680" s="4"/>
      <c r="E680" s="4" t="s">
        <v>856</v>
      </c>
      <c r="F680" s="4" t="s">
        <v>758</v>
      </c>
      <c r="G680" s="4" t="s">
        <v>753</v>
      </c>
      <c r="H680" s="4" t="s">
        <v>1329</v>
      </c>
      <c r="I680" s="4">
        <v>4</v>
      </c>
      <c r="J680" s="35">
        <v>140.97999999999999</v>
      </c>
      <c r="K680" s="35">
        <v>0</v>
      </c>
      <c r="L680" s="5">
        <v>563.91999999999996</v>
      </c>
      <c r="M680" s="31"/>
      <c r="N680" s="31">
        <v>4</v>
      </c>
      <c r="O680" s="32"/>
      <c r="P680" s="32">
        <v>140.97999999999999</v>
      </c>
      <c r="Q680" s="35">
        <v>0</v>
      </c>
      <c r="R680" s="35">
        <v>0</v>
      </c>
      <c r="S680" s="5">
        <f t="shared" si="43"/>
        <v>103189.22276015203</v>
      </c>
      <c r="T680" cm="1">
        <f t="array" ref="T680">IF(OR(B680="MAL ALIMI", B680="ÜRETİM GİRİŞ"), MIN(I680, MAX(0, I680 + SUM(SUMIFS($I$1:I679, $C$1:C679, C680, $B$1:B679, {"MAL ALIMI","ÜRETİM GİRİŞ"})) - VLOOKUP(C680, 'STOK RAPORU'!$C$2:$I$1000, 4, 0))), 0)</f>
        <v>0</v>
      </c>
      <c r="U680" s="22">
        <f t="shared" si="40"/>
        <v>0</v>
      </c>
      <c r="V680">
        <f t="shared" si="41"/>
        <v>563.91999999999996</v>
      </c>
      <c r="W680" s="22">
        <f t="shared" si="42"/>
        <v>563.91999999999996</v>
      </c>
    </row>
    <row r="681" spans="1:23" hidden="1" x14ac:dyDescent="0.25">
      <c r="A681" s="3">
        <v>45967</v>
      </c>
      <c r="B681" s="4" t="s">
        <v>298</v>
      </c>
      <c r="C681" s="4" t="s">
        <v>715</v>
      </c>
      <c r="D681" s="4"/>
      <c r="E681" s="4" t="s">
        <v>856</v>
      </c>
      <c r="F681" s="4" t="s">
        <v>759</v>
      </c>
      <c r="G681" s="4" t="s">
        <v>753</v>
      </c>
      <c r="H681" s="4" t="s">
        <v>1329</v>
      </c>
      <c r="I681" s="4">
        <v>3</v>
      </c>
      <c r="J681" s="35">
        <v>248.91</v>
      </c>
      <c r="K681" s="35">
        <v>0</v>
      </c>
      <c r="L681" s="5">
        <v>746.73</v>
      </c>
      <c r="M681" s="31"/>
      <c r="N681" s="31">
        <v>3</v>
      </c>
      <c r="O681" s="32"/>
      <c r="P681" s="32">
        <v>248.91</v>
      </c>
      <c r="Q681" s="35">
        <v>0</v>
      </c>
      <c r="R681" s="35">
        <v>0</v>
      </c>
      <c r="S681" s="5">
        <f t="shared" si="43"/>
        <v>103189.22276015203</v>
      </c>
      <c r="T681" cm="1">
        <f t="array" ref="T681">IF(OR(B681="MAL ALIMI", B681="ÜRETİM GİRİŞ"), MIN(I681, MAX(0, I681 + SUM(SUMIFS($I$1:I680, $C$1:C680, C681, $B$1:B680, {"MAL ALIMI","ÜRETİM GİRİŞ"})) - VLOOKUP(C681, 'STOK RAPORU'!$C$2:$I$1000, 4, 0))), 0)</f>
        <v>0</v>
      </c>
      <c r="U681" s="22">
        <f t="shared" si="40"/>
        <v>0</v>
      </c>
      <c r="V681">
        <f t="shared" si="41"/>
        <v>746.73</v>
      </c>
      <c r="W681" s="22">
        <f t="shared" si="42"/>
        <v>746.73</v>
      </c>
    </row>
    <row r="682" spans="1:23" hidden="1" x14ac:dyDescent="0.25">
      <c r="A682" s="3">
        <v>45967</v>
      </c>
      <c r="B682" s="4" t="s">
        <v>298</v>
      </c>
      <c r="C682" s="4" t="s">
        <v>714</v>
      </c>
      <c r="D682" s="4"/>
      <c r="E682" s="4" t="s">
        <v>856</v>
      </c>
      <c r="F682" s="4" t="s">
        <v>759</v>
      </c>
      <c r="G682" s="4" t="s">
        <v>753</v>
      </c>
      <c r="H682" s="4" t="s">
        <v>1329</v>
      </c>
      <c r="I682" s="4">
        <v>4</v>
      </c>
      <c r="J682" s="35">
        <v>158.38</v>
      </c>
      <c r="K682" s="35">
        <v>0</v>
      </c>
      <c r="L682" s="5">
        <v>633.52</v>
      </c>
      <c r="M682" s="31"/>
      <c r="N682" s="31">
        <v>4</v>
      </c>
      <c r="O682" s="32"/>
      <c r="P682" s="32">
        <v>158.38</v>
      </c>
      <c r="Q682" s="35">
        <v>0</v>
      </c>
      <c r="R682" s="35">
        <v>0</v>
      </c>
      <c r="S682" s="5">
        <f t="shared" si="43"/>
        <v>103189.22276015203</v>
      </c>
      <c r="T682" cm="1">
        <f t="array" ref="T682">IF(OR(B682="MAL ALIMI", B682="ÜRETİM GİRİŞ"), MIN(I682, MAX(0, I682 + SUM(SUMIFS($I$1:I681, $C$1:C681, C682, $B$1:B681, {"MAL ALIMI","ÜRETİM GİRİŞ"})) - VLOOKUP(C682, 'STOK RAPORU'!$C$2:$I$1000, 4, 0))), 0)</f>
        <v>2</v>
      </c>
      <c r="U682" s="22">
        <f t="shared" si="40"/>
        <v>316.76</v>
      </c>
      <c r="V682">
        <f t="shared" si="41"/>
        <v>633.52</v>
      </c>
      <c r="W682" s="22">
        <f t="shared" si="42"/>
        <v>316.76</v>
      </c>
    </row>
    <row r="683" spans="1:23" hidden="1" x14ac:dyDescent="0.25">
      <c r="A683" s="3">
        <v>45967</v>
      </c>
      <c r="B683" s="4" t="s">
        <v>298</v>
      </c>
      <c r="C683" s="4" t="s">
        <v>713</v>
      </c>
      <c r="D683" s="4"/>
      <c r="E683" s="4" t="s">
        <v>856</v>
      </c>
      <c r="F683" s="4" t="s">
        <v>759</v>
      </c>
      <c r="G683" s="4" t="s">
        <v>753</v>
      </c>
      <c r="H683" s="4" t="s">
        <v>1329</v>
      </c>
      <c r="I683" s="4">
        <v>3</v>
      </c>
      <c r="J683" s="35">
        <v>226.36</v>
      </c>
      <c r="K683" s="35">
        <v>0</v>
      </c>
      <c r="L683" s="5">
        <v>679.08</v>
      </c>
      <c r="M683" s="31"/>
      <c r="N683" s="31">
        <v>3</v>
      </c>
      <c r="O683" s="32"/>
      <c r="P683" s="32">
        <v>226.36</v>
      </c>
      <c r="Q683" s="35">
        <v>0</v>
      </c>
      <c r="R683" s="35">
        <v>0</v>
      </c>
      <c r="S683" s="5">
        <f t="shared" si="43"/>
        <v>103189.22276015203</v>
      </c>
      <c r="T683" cm="1">
        <f t="array" ref="T683">IF(OR(B683="MAL ALIMI", B683="ÜRETİM GİRİŞ"), MIN(I683, MAX(0, I683 + SUM(SUMIFS($I$1:I682, $C$1:C682, C683, $B$1:B682, {"MAL ALIMI","ÜRETİM GİRİŞ"})) - VLOOKUP(C683, 'STOK RAPORU'!$C$2:$I$1000, 4, 0))), 0)</f>
        <v>1</v>
      </c>
      <c r="U683" s="22">
        <f t="shared" si="40"/>
        <v>226.36</v>
      </c>
      <c r="V683">
        <f t="shared" si="41"/>
        <v>679.08</v>
      </c>
      <c r="W683" s="22">
        <f t="shared" si="42"/>
        <v>452.72</v>
      </c>
    </row>
    <row r="684" spans="1:23" hidden="1" x14ac:dyDescent="0.25">
      <c r="A684" s="3">
        <v>45967</v>
      </c>
      <c r="B684" s="4" t="s">
        <v>298</v>
      </c>
      <c r="C684" s="4" t="s">
        <v>716</v>
      </c>
      <c r="D684" s="4"/>
      <c r="E684" s="4" t="s">
        <v>856</v>
      </c>
      <c r="F684" s="4" t="s">
        <v>760</v>
      </c>
      <c r="G684" s="4" t="s">
        <v>753</v>
      </c>
      <c r="H684" s="4" t="s">
        <v>1329</v>
      </c>
      <c r="I684" s="4">
        <v>6</v>
      </c>
      <c r="J684" s="35">
        <v>144.16999999999999</v>
      </c>
      <c r="K684" s="35">
        <v>0</v>
      </c>
      <c r="L684" s="5">
        <v>865.02</v>
      </c>
      <c r="M684" s="31"/>
      <c r="N684" s="31">
        <v>6</v>
      </c>
      <c r="O684" s="32"/>
      <c r="P684" s="32">
        <v>144.16999999999999</v>
      </c>
      <c r="Q684" s="35">
        <v>0</v>
      </c>
      <c r="R684" s="35">
        <v>0</v>
      </c>
      <c r="S684" s="5">
        <f t="shared" si="43"/>
        <v>103189.22276015203</v>
      </c>
      <c r="T684" cm="1">
        <f t="array" ref="T684">IF(OR(B684="MAL ALIMI", B684="ÜRETİM GİRİŞ"), MIN(I684, MAX(0, I684 + SUM(SUMIFS($I$1:I683, $C$1:C683, C684, $B$1:B683, {"MAL ALIMI","ÜRETİM GİRİŞ"})) - VLOOKUP(C684, 'STOK RAPORU'!$C$2:$I$1000, 4, 0))), 0)</f>
        <v>3</v>
      </c>
      <c r="U684" s="22">
        <f t="shared" si="40"/>
        <v>432.51</v>
      </c>
      <c r="V684">
        <f t="shared" si="41"/>
        <v>865.02</v>
      </c>
      <c r="W684" s="22">
        <f t="shared" si="42"/>
        <v>432.51</v>
      </c>
    </row>
    <row r="685" spans="1:23" hidden="1" x14ac:dyDescent="0.25">
      <c r="A685" s="3">
        <v>45967</v>
      </c>
      <c r="B685" s="4" t="s">
        <v>298</v>
      </c>
      <c r="C685" s="4" t="s">
        <v>712</v>
      </c>
      <c r="D685" s="4"/>
      <c r="E685" s="4" t="s">
        <v>856</v>
      </c>
      <c r="F685" s="4" t="s">
        <v>761</v>
      </c>
      <c r="G685" s="4" t="s">
        <v>753</v>
      </c>
      <c r="H685" s="4" t="s">
        <v>1329</v>
      </c>
      <c r="I685" s="4">
        <v>5</v>
      </c>
      <c r="J685" s="35">
        <v>180.11</v>
      </c>
      <c r="K685" s="35">
        <v>0</v>
      </c>
      <c r="L685" s="5">
        <v>900.55000000000007</v>
      </c>
      <c r="M685" s="31"/>
      <c r="N685" s="31">
        <v>5</v>
      </c>
      <c r="O685" s="32"/>
      <c r="P685" s="32">
        <v>180.11</v>
      </c>
      <c r="Q685" s="35">
        <v>0</v>
      </c>
      <c r="R685" s="35">
        <v>0</v>
      </c>
      <c r="S685" s="5">
        <f t="shared" si="43"/>
        <v>103189.22276015203</v>
      </c>
      <c r="T685" cm="1">
        <f t="array" ref="T685">IF(OR(B685="MAL ALIMI", B685="ÜRETİM GİRİŞ"), MIN(I685, MAX(0, I685 + SUM(SUMIFS($I$1:I684, $C$1:C684, C685, $B$1:B684, {"MAL ALIMI","ÜRETİM GİRİŞ"})) - VLOOKUP(C685, 'STOK RAPORU'!$C$2:$I$1000, 4, 0))), 0)</f>
        <v>4</v>
      </c>
      <c r="U685" s="22">
        <f t="shared" si="40"/>
        <v>720.44</v>
      </c>
      <c r="V685">
        <f t="shared" si="41"/>
        <v>900.55000000000007</v>
      </c>
      <c r="W685" s="22">
        <f t="shared" si="42"/>
        <v>180.11</v>
      </c>
    </row>
    <row r="686" spans="1:23" hidden="1" x14ac:dyDescent="0.25">
      <c r="A686" s="3">
        <v>45967</v>
      </c>
      <c r="B686" s="4" t="s">
        <v>298</v>
      </c>
      <c r="C686" s="4" t="s">
        <v>750</v>
      </c>
      <c r="D686" s="4"/>
      <c r="E686" s="4" t="s">
        <v>856</v>
      </c>
      <c r="F686" s="4" t="s">
        <v>761</v>
      </c>
      <c r="G686" s="4" t="s">
        <v>753</v>
      </c>
      <c r="H686" s="4" t="s">
        <v>1329</v>
      </c>
      <c r="I686" s="4">
        <v>5</v>
      </c>
      <c r="J686" s="35">
        <v>148.78</v>
      </c>
      <c r="K686" s="35">
        <v>0</v>
      </c>
      <c r="L686" s="5">
        <v>743.9</v>
      </c>
      <c r="M686" s="31"/>
      <c r="N686" s="31">
        <v>5</v>
      </c>
      <c r="O686" s="32"/>
      <c r="P686" s="32">
        <v>148.78</v>
      </c>
      <c r="Q686" s="35">
        <v>0</v>
      </c>
      <c r="R686" s="35">
        <v>0</v>
      </c>
      <c r="S686" s="5">
        <f t="shared" si="43"/>
        <v>103189.22276015203</v>
      </c>
      <c r="T686" cm="1">
        <f t="array" ref="T686">IF(OR(B686="MAL ALIMI", B686="ÜRETİM GİRİŞ"), MIN(I686, MAX(0, I686 + SUM(SUMIFS($I$1:I685, $C$1:C685, C686, $B$1:B685, {"MAL ALIMI","ÜRETİM GİRİŞ"})) - VLOOKUP(C686, 'STOK RAPORU'!$C$2:$I$1000, 4, 0))), 0)</f>
        <v>2</v>
      </c>
      <c r="U686" s="22">
        <f t="shared" si="40"/>
        <v>297.56</v>
      </c>
      <c r="V686">
        <f t="shared" si="41"/>
        <v>743.9</v>
      </c>
      <c r="W686" s="22">
        <f t="shared" si="42"/>
        <v>446.34</v>
      </c>
    </row>
    <row r="687" spans="1:23" hidden="1" x14ac:dyDescent="0.25">
      <c r="A687" s="3">
        <v>45967</v>
      </c>
      <c r="B687" s="4" t="s">
        <v>298</v>
      </c>
      <c r="C687" s="4" t="s">
        <v>755</v>
      </c>
      <c r="D687" s="4"/>
      <c r="E687" s="4" t="s">
        <v>856</v>
      </c>
      <c r="F687" s="4" t="s">
        <v>761</v>
      </c>
      <c r="G687" s="4" t="s">
        <v>753</v>
      </c>
      <c r="H687" s="4" t="s">
        <v>1329</v>
      </c>
      <c r="I687" s="4">
        <v>4</v>
      </c>
      <c r="J687" s="35">
        <v>156.61000000000001</v>
      </c>
      <c r="K687" s="35">
        <v>0</v>
      </c>
      <c r="L687" s="5">
        <v>626.44000000000005</v>
      </c>
      <c r="M687" s="31"/>
      <c r="N687" s="31">
        <v>4</v>
      </c>
      <c r="O687" s="32"/>
      <c r="P687" s="32">
        <v>156.61000000000001</v>
      </c>
      <c r="Q687" s="35">
        <v>0</v>
      </c>
      <c r="R687" s="35">
        <v>0</v>
      </c>
      <c r="S687" s="5">
        <f t="shared" si="43"/>
        <v>103189.22276015203</v>
      </c>
      <c r="T687" cm="1">
        <f t="array" ref="T687">IF(OR(B687="MAL ALIMI", B687="ÜRETİM GİRİŞ"), MIN(I687, MAX(0, I687 + SUM(SUMIFS($I$1:I686, $C$1:C686, C687, $B$1:B686, {"MAL ALIMI","ÜRETİM GİRİŞ"})) - VLOOKUP(C687, 'STOK RAPORU'!$C$2:$I$1000, 4, 0))), 0)</f>
        <v>1</v>
      </c>
      <c r="U687" s="22">
        <f t="shared" si="40"/>
        <v>156.61000000000001</v>
      </c>
      <c r="V687">
        <f t="shared" si="41"/>
        <v>626.44000000000005</v>
      </c>
      <c r="W687" s="22">
        <f t="shared" si="42"/>
        <v>469.83000000000004</v>
      </c>
    </row>
    <row r="688" spans="1:23" hidden="1" x14ac:dyDescent="0.25">
      <c r="A688" s="3">
        <v>45967</v>
      </c>
      <c r="B688" s="4" t="s">
        <v>298</v>
      </c>
      <c r="C688" s="4" t="s">
        <v>756</v>
      </c>
      <c r="D688" s="4"/>
      <c r="E688" s="4" t="s">
        <v>856</v>
      </c>
      <c r="F688" s="4" t="s">
        <v>761</v>
      </c>
      <c r="G688" s="4" t="s">
        <v>753</v>
      </c>
      <c r="H688" s="4" t="s">
        <v>1329</v>
      </c>
      <c r="I688" s="4">
        <v>5</v>
      </c>
      <c r="J688" s="35">
        <v>156.61000000000001</v>
      </c>
      <c r="K688" s="35">
        <v>0</v>
      </c>
      <c r="L688" s="5">
        <v>783.05000000000007</v>
      </c>
      <c r="M688" s="31"/>
      <c r="N688" s="31">
        <v>5</v>
      </c>
      <c r="O688" s="32"/>
      <c r="P688" s="32">
        <v>156.61000000000001</v>
      </c>
      <c r="Q688" s="35">
        <v>0</v>
      </c>
      <c r="R688" s="35">
        <v>0</v>
      </c>
      <c r="S688" s="5">
        <f t="shared" si="43"/>
        <v>103189.22276015203</v>
      </c>
      <c r="T688" cm="1">
        <f t="array" ref="T688">IF(OR(B688="MAL ALIMI", B688="ÜRETİM GİRİŞ"), MIN(I688, MAX(0, I688 + SUM(SUMIFS($I$1:I687, $C$1:C687, C688, $B$1:B687, {"MAL ALIMI","ÜRETİM GİRİŞ"})) - VLOOKUP(C688, 'STOK RAPORU'!$C$2:$I$1000, 4, 0))), 0)</f>
        <v>5</v>
      </c>
      <c r="U688" s="22">
        <f t="shared" si="40"/>
        <v>783.05000000000007</v>
      </c>
      <c r="V688">
        <f t="shared" si="41"/>
        <v>783.05000000000007</v>
      </c>
      <c r="W688" s="22">
        <f t="shared" si="42"/>
        <v>0</v>
      </c>
    </row>
    <row r="689" spans="1:23" hidden="1" x14ac:dyDescent="0.25">
      <c r="A689" s="3">
        <v>45967</v>
      </c>
      <c r="B689" s="4" t="s">
        <v>298</v>
      </c>
      <c r="C689" s="4" t="s">
        <v>757</v>
      </c>
      <c r="D689" s="4"/>
      <c r="E689" s="4" t="s">
        <v>856</v>
      </c>
      <c r="F689" s="4" t="s">
        <v>761</v>
      </c>
      <c r="G689" s="4" t="s">
        <v>753</v>
      </c>
      <c r="H689" s="4" t="s">
        <v>1329</v>
      </c>
      <c r="I689" s="4">
        <v>3</v>
      </c>
      <c r="J689" s="35">
        <v>376.24</v>
      </c>
      <c r="K689" s="35">
        <v>0</v>
      </c>
      <c r="L689" s="5">
        <v>1128.72</v>
      </c>
      <c r="M689" s="31"/>
      <c r="N689" s="31">
        <v>3</v>
      </c>
      <c r="O689" s="32"/>
      <c r="P689" s="32">
        <v>376.24</v>
      </c>
      <c r="Q689" s="35">
        <v>0</v>
      </c>
      <c r="R689" s="35">
        <v>0</v>
      </c>
      <c r="S689" s="5">
        <f t="shared" si="43"/>
        <v>103189.22276015203</v>
      </c>
      <c r="T689" cm="1">
        <f t="array" ref="T689">IF(OR(B689="MAL ALIMI", B689="ÜRETİM GİRİŞ"), MIN(I689, MAX(0, I689 + SUM(SUMIFS($I$1:I688, $C$1:C688, C689, $B$1:B688, {"MAL ALIMI","ÜRETİM GİRİŞ"})) - VLOOKUP(C689, 'STOK RAPORU'!$C$2:$I$1000, 4, 0))), 0)</f>
        <v>3</v>
      </c>
      <c r="U689" s="22">
        <f t="shared" si="40"/>
        <v>1128.72</v>
      </c>
      <c r="V689">
        <f t="shared" si="41"/>
        <v>1128.72</v>
      </c>
      <c r="W689" s="22">
        <f t="shared" si="42"/>
        <v>0</v>
      </c>
    </row>
    <row r="690" spans="1:23" hidden="1" x14ac:dyDescent="0.25">
      <c r="A690" s="3">
        <v>45967</v>
      </c>
      <c r="B690" s="4" t="s">
        <v>298</v>
      </c>
      <c r="C690" s="4" t="s">
        <v>717</v>
      </c>
      <c r="D690" s="4"/>
      <c r="E690" s="4" t="s">
        <v>856</v>
      </c>
      <c r="F690" s="4" t="s">
        <v>761</v>
      </c>
      <c r="G690" s="4" t="s">
        <v>753</v>
      </c>
      <c r="H690" s="4" t="s">
        <v>1329</v>
      </c>
      <c r="I690" s="4">
        <v>3</v>
      </c>
      <c r="J690" s="35">
        <v>232.67</v>
      </c>
      <c r="K690" s="35">
        <v>0</v>
      </c>
      <c r="L690" s="5">
        <v>698.01</v>
      </c>
      <c r="M690" s="31"/>
      <c r="N690" s="31">
        <v>3</v>
      </c>
      <c r="O690" s="32"/>
      <c r="P690" s="32">
        <v>232.67</v>
      </c>
      <c r="Q690" s="35">
        <v>0</v>
      </c>
      <c r="R690" s="35">
        <v>0</v>
      </c>
      <c r="S690" s="5">
        <f t="shared" si="43"/>
        <v>103189.22276015203</v>
      </c>
      <c r="T690" cm="1">
        <f t="array" ref="T690">IF(OR(B690="MAL ALIMI", B690="ÜRETİM GİRİŞ"), MIN(I690, MAX(0, I690 + SUM(SUMIFS($I$1:I689, $C$1:C689, C690, $B$1:B689, {"MAL ALIMI","ÜRETİM GİRİŞ"})) - VLOOKUP(C690, 'STOK RAPORU'!$C$2:$I$1000, 4, 0))), 0)</f>
        <v>0</v>
      </c>
      <c r="U690" s="22">
        <f t="shared" si="40"/>
        <v>0</v>
      </c>
      <c r="V690">
        <f t="shared" si="41"/>
        <v>698.01</v>
      </c>
      <c r="W690" s="22">
        <f t="shared" si="42"/>
        <v>698.01</v>
      </c>
    </row>
    <row r="691" spans="1:23" hidden="1" x14ac:dyDescent="0.25">
      <c r="A691" s="3">
        <v>45967</v>
      </c>
      <c r="B691" s="4" t="s">
        <v>334</v>
      </c>
      <c r="C691" s="4" t="s">
        <v>219</v>
      </c>
      <c r="D691" s="4"/>
      <c r="E691" s="4"/>
      <c r="F691" s="4" t="s">
        <v>571</v>
      </c>
      <c r="G691" s="4" t="s">
        <v>336</v>
      </c>
      <c r="H691" s="4" t="s">
        <v>289</v>
      </c>
      <c r="I691" s="4">
        <v>0.05</v>
      </c>
      <c r="J691" s="21">
        <v>2000</v>
      </c>
      <c r="K691" s="21">
        <v>0</v>
      </c>
      <c r="L691" s="5">
        <v>0</v>
      </c>
      <c r="M691" s="4">
        <v>0.05</v>
      </c>
      <c r="N691" s="4"/>
      <c r="O691" s="5">
        <v>2000</v>
      </c>
      <c r="P691" s="5"/>
      <c r="Q691" s="21">
        <v>100</v>
      </c>
      <c r="R691" s="21">
        <v>0</v>
      </c>
      <c r="S691" s="5">
        <f t="shared" si="43"/>
        <v>103289.22276015203</v>
      </c>
      <c r="T691" cm="1">
        <f t="array" ref="T691">IF(OR(B691="MAL ALIMI", B691="ÜRETİM GİRİŞ"), MIN(I691, MAX(0, I691 + SUM(SUMIFS($I$1:I690, $C$1:C690, C691, $B$1:B690, {"MAL ALIMI","ÜRETİM GİRİŞ"})) - VLOOKUP(C691, 'STOK RAPORU'!$C$2:$I$1000, 4, 0))), 0)</f>
        <v>0</v>
      </c>
      <c r="U691" s="22">
        <f t="shared" si="40"/>
        <v>0</v>
      </c>
      <c r="V691">
        <f t="shared" si="41"/>
        <v>0</v>
      </c>
      <c r="W691" s="22">
        <f t="shared" si="42"/>
        <v>0</v>
      </c>
    </row>
    <row r="692" spans="1:23" hidden="1" x14ac:dyDescent="0.25">
      <c r="A692" s="3">
        <v>45967</v>
      </c>
      <c r="B692" s="4" t="s">
        <v>334</v>
      </c>
      <c r="C692" s="4" t="s">
        <v>162</v>
      </c>
      <c r="D692" s="4"/>
      <c r="E692" s="4" t="s">
        <v>921</v>
      </c>
      <c r="F692" s="4" t="s">
        <v>572</v>
      </c>
      <c r="G692" s="4" t="s">
        <v>336</v>
      </c>
      <c r="H692" s="4" t="s">
        <v>380</v>
      </c>
      <c r="I692" s="4">
        <v>1</v>
      </c>
      <c r="J692" s="21">
        <v>260</v>
      </c>
      <c r="K692" s="21">
        <v>260</v>
      </c>
      <c r="L692" s="5">
        <v>0</v>
      </c>
      <c r="M692" s="4">
        <v>1</v>
      </c>
      <c r="N692" s="4"/>
      <c r="O692" s="5">
        <v>260</v>
      </c>
      <c r="P692" s="5"/>
      <c r="Q692" s="21">
        <v>0</v>
      </c>
      <c r="R692" s="21">
        <v>0</v>
      </c>
      <c r="S692" s="5">
        <f t="shared" si="43"/>
        <v>103289.22276015203</v>
      </c>
      <c r="T692" cm="1">
        <f t="array" ref="T692">IF(OR(B692="MAL ALIMI", B692="ÜRETİM GİRİŞ"), MIN(I692, MAX(0, I692 + SUM(SUMIFS($I$1:I691, $C$1:C691, C692, $B$1:B691, {"MAL ALIMI","ÜRETİM GİRİŞ"})) - VLOOKUP(C692, 'STOK RAPORU'!$C$2:$I$1000, 4, 0))), 0)</f>
        <v>0</v>
      </c>
      <c r="U692" s="22">
        <f t="shared" si="40"/>
        <v>0</v>
      </c>
      <c r="V692">
        <f t="shared" si="41"/>
        <v>0</v>
      </c>
      <c r="W692" s="22">
        <f t="shared" si="42"/>
        <v>0</v>
      </c>
    </row>
    <row r="693" spans="1:23" hidden="1" x14ac:dyDescent="0.25">
      <c r="A693" s="3">
        <v>45967</v>
      </c>
      <c r="B693" s="4" t="s">
        <v>334</v>
      </c>
      <c r="C693" s="4" t="s">
        <v>201</v>
      </c>
      <c r="D693" s="4"/>
      <c r="E693" s="4" t="s">
        <v>921</v>
      </c>
      <c r="F693" s="4" t="s">
        <v>572</v>
      </c>
      <c r="G693" s="4" t="s">
        <v>336</v>
      </c>
      <c r="H693" s="4" t="s">
        <v>380</v>
      </c>
      <c r="I693" s="4">
        <v>0.125</v>
      </c>
      <c r="J693" s="21">
        <v>800</v>
      </c>
      <c r="K693" s="21">
        <v>100</v>
      </c>
      <c r="L693" s="5">
        <v>0</v>
      </c>
      <c r="M693" s="4">
        <v>0.125</v>
      </c>
      <c r="N693" s="4"/>
      <c r="O693" s="5">
        <v>800</v>
      </c>
      <c r="P693" s="5"/>
      <c r="Q693" s="21">
        <v>0</v>
      </c>
      <c r="R693" s="21">
        <v>0</v>
      </c>
      <c r="S693" s="5">
        <f t="shared" si="43"/>
        <v>103289.22276015203</v>
      </c>
      <c r="T693" cm="1">
        <f t="array" ref="T693">IF(OR(B693="MAL ALIMI", B693="ÜRETİM GİRİŞ"), MIN(I693, MAX(0, I693 + SUM(SUMIFS($I$1:I692, $C$1:C692, C693, $B$1:B692, {"MAL ALIMI","ÜRETİM GİRİŞ"})) - VLOOKUP(C693, 'STOK RAPORU'!$C$2:$I$1000, 4, 0))), 0)</f>
        <v>0</v>
      </c>
      <c r="U693" s="22">
        <f t="shared" si="40"/>
        <v>0</v>
      </c>
      <c r="V693">
        <f t="shared" si="41"/>
        <v>0</v>
      </c>
      <c r="W693" s="22">
        <f t="shared" si="42"/>
        <v>0</v>
      </c>
    </row>
    <row r="694" spans="1:23" hidden="1" x14ac:dyDescent="0.25">
      <c r="A694" s="3">
        <v>45967</v>
      </c>
      <c r="B694" s="4" t="s">
        <v>334</v>
      </c>
      <c r="C694" s="4" t="s">
        <v>258</v>
      </c>
      <c r="D694" s="4"/>
      <c r="E694" s="4"/>
      <c r="F694" s="4" t="s">
        <v>573</v>
      </c>
      <c r="G694" s="4" t="s">
        <v>336</v>
      </c>
      <c r="H694" s="4" t="s">
        <v>289</v>
      </c>
      <c r="I694" s="4">
        <v>0.16200000000000001</v>
      </c>
      <c r="J694" s="21">
        <v>620</v>
      </c>
      <c r="K694" s="21">
        <v>0</v>
      </c>
      <c r="L694" s="5">
        <v>0</v>
      </c>
      <c r="M694" s="4">
        <v>0.16200000000000001</v>
      </c>
      <c r="N694" s="4"/>
      <c r="O694" s="5">
        <v>620</v>
      </c>
      <c r="P694" s="5"/>
      <c r="Q694" s="21">
        <v>100.44</v>
      </c>
      <c r="R694" s="21">
        <v>0</v>
      </c>
      <c r="S694" s="5">
        <f t="shared" si="43"/>
        <v>103389.66276015203</v>
      </c>
      <c r="T694" cm="1">
        <f t="array" ref="T694">IF(OR(B694="MAL ALIMI", B694="ÜRETİM GİRİŞ"), MIN(I694, MAX(0, I694 + SUM(SUMIFS($I$1:I693, $C$1:C693, C694, $B$1:B693, {"MAL ALIMI","ÜRETİM GİRİŞ"})) - VLOOKUP(C694, 'STOK RAPORU'!$C$2:$I$1000, 4, 0))), 0)</f>
        <v>0</v>
      </c>
      <c r="U694" s="22">
        <f t="shared" si="40"/>
        <v>0</v>
      </c>
      <c r="V694">
        <f t="shared" si="41"/>
        <v>0</v>
      </c>
      <c r="W694" s="22">
        <f t="shared" si="42"/>
        <v>0</v>
      </c>
    </row>
    <row r="695" spans="1:23" hidden="1" x14ac:dyDescent="0.25">
      <c r="A695" s="3">
        <v>45967</v>
      </c>
      <c r="B695" s="4" t="s">
        <v>334</v>
      </c>
      <c r="C695" s="4" t="s">
        <v>529</v>
      </c>
      <c r="D695" s="4"/>
      <c r="E695" s="4" t="s">
        <v>921</v>
      </c>
      <c r="F695" s="4" t="s">
        <v>574</v>
      </c>
      <c r="G695" s="4" t="s">
        <v>336</v>
      </c>
      <c r="H695" s="4" t="s">
        <v>380</v>
      </c>
      <c r="I695" s="4">
        <v>0.1</v>
      </c>
      <c r="J695" s="21">
        <v>600</v>
      </c>
      <c r="K695" s="21">
        <v>60</v>
      </c>
      <c r="L695" s="5">
        <v>0</v>
      </c>
      <c r="M695" s="4">
        <v>1</v>
      </c>
      <c r="N695" s="4"/>
      <c r="O695" s="5">
        <v>60</v>
      </c>
      <c r="P695" s="5"/>
      <c r="Q695" s="21">
        <v>0</v>
      </c>
      <c r="R695" s="21">
        <v>0</v>
      </c>
      <c r="S695" s="5">
        <f t="shared" si="43"/>
        <v>103389.66276015203</v>
      </c>
      <c r="T695" cm="1">
        <f t="array" ref="T695">IF(OR(B695="MAL ALIMI", B695="ÜRETİM GİRİŞ"), MIN(I695, MAX(0, I695 + SUM(SUMIFS($I$1:I694, $C$1:C694, C695, $B$1:B694, {"MAL ALIMI","ÜRETİM GİRİŞ"})) - VLOOKUP(C695, 'STOK RAPORU'!$C$2:$I$1000, 4, 0))), 0)</f>
        <v>0</v>
      </c>
      <c r="U695" s="22">
        <f t="shared" si="40"/>
        <v>0</v>
      </c>
      <c r="V695">
        <f t="shared" si="41"/>
        <v>0</v>
      </c>
      <c r="W695" s="22">
        <f t="shared" si="42"/>
        <v>0</v>
      </c>
    </row>
    <row r="696" spans="1:23" hidden="1" x14ac:dyDescent="0.25">
      <c r="A696" s="3">
        <v>45967</v>
      </c>
      <c r="B696" s="4" t="s">
        <v>334</v>
      </c>
      <c r="C696" s="4" t="s">
        <v>148</v>
      </c>
      <c r="D696" s="4"/>
      <c r="E696" s="4" t="s">
        <v>921</v>
      </c>
      <c r="F696" s="4" t="s">
        <v>574</v>
      </c>
      <c r="G696" s="4" t="s">
        <v>336</v>
      </c>
      <c r="H696" s="4" t="s">
        <v>380</v>
      </c>
      <c r="I696" s="4">
        <v>1</v>
      </c>
      <c r="J696" s="21">
        <v>65</v>
      </c>
      <c r="K696" s="21">
        <v>65</v>
      </c>
      <c r="L696" s="5">
        <v>0</v>
      </c>
      <c r="M696" s="4">
        <v>1</v>
      </c>
      <c r="N696" s="4"/>
      <c r="O696" s="5">
        <v>65</v>
      </c>
      <c r="P696" s="5"/>
      <c r="Q696" s="21">
        <v>0</v>
      </c>
      <c r="R696" s="21">
        <v>0</v>
      </c>
      <c r="S696" s="5">
        <f t="shared" si="43"/>
        <v>103389.66276015203</v>
      </c>
      <c r="T696" cm="1">
        <f t="array" ref="T696">IF(OR(B696="MAL ALIMI", B696="ÜRETİM GİRİŞ"), MIN(I696, MAX(0, I696 + SUM(SUMIFS($I$1:I695, $C$1:C695, C696, $B$1:B695, {"MAL ALIMI","ÜRETİM GİRİŞ"})) - VLOOKUP(C696, 'STOK RAPORU'!$C$2:$I$1000, 4, 0))), 0)</f>
        <v>0</v>
      </c>
      <c r="U696" s="22">
        <f t="shared" si="40"/>
        <v>0</v>
      </c>
      <c r="V696">
        <f t="shared" si="41"/>
        <v>0</v>
      </c>
      <c r="W696" s="22">
        <f t="shared" si="42"/>
        <v>0</v>
      </c>
    </row>
    <row r="697" spans="1:23" hidden="1" x14ac:dyDescent="0.25">
      <c r="A697" s="3">
        <v>45967</v>
      </c>
      <c r="B697" s="4" t="s">
        <v>334</v>
      </c>
      <c r="C697" s="4" t="s">
        <v>211</v>
      </c>
      <c r="D697" s="4"/>
      <c r="E697" s="4" t="s">
        <v>921</v>
      </c>
      <c r="F697" s="4" t="s">
        <v>575</v>
      </c>
      <c r="G697" s="4" t="s">
        <v>336</v>
      </c>
      <c r="H697" s="4" t="s">
        <v>380</v>
      </c>
      <c r="I697" s="4">
        <v>1</v>
      </c>
      <c r="J697" s="21">
        <v>300</v>
      </c>
      <c r="K697" s="21">
        <v>300</v>
      </c>
      <c r="L697" s="5">
        <v>0</v>
      </c>
      <c r="M697" s="4">
        <v>1</v>
      </c>
      <c r="N697" s="4"/>
      <c r="O697" s="5">
        <v>300</v>
      </c>
      <c r="P697" s="5"/>
      <c r="Q697" s="21">
        <v>0</v>
      </c>
      <c r="R697" s="21">
        <v>0</v>
      </c>
      <c r="S697" s="5">
        <f t="shared" si="43"/>
        <v>103389.66276015203</v>
      </c>
      <c r="T697" cm="1">
        <f t="array" ref="T697">IF(OR(B697="MAL ALIMI", B697="ÜRETİM GİRİŞ"), MIN(I697, MAX(0, I697 + SUM(SUMIFS($I$1:I696, $C$1:C696, C697, $B$1:B696, {"MAL ALIMI","ÜRETİM GİRİŞ"})) - VLOOKUP(C697, 'STOK RAPORU'!$C$2:$I$1000, 4, 0))), 0)</f>
        <v>0</v>
      </c>
      <c r="U697" s="22">
        <f t="shared" si="40"/>
        <v>0</v>
      </c>
      <c r="V697">
        <f t="shared" si="41"/>
        <v>0</v>
      </c>
      <c r="W697" s="22">
        <f t="shared" si="42"/>
        <v>0</v>
      </c>
    </row>
    <row r="698" spans="1:23" hidden="1" x14ac:dyDescent="0.25">
      <c r="A698" s="3">
        <v>45967</v>
      </c>
      <c r="B698" s="4" t="s">
        <v>334</v>
      </c>
      <c r="C698" s="4" t="s">
        <v>463</v>
      </c>
      <c r="D698" s="4"/>
      <c r="E698" s="4"/>
      <c r="F698" s="4" t="s">
        <v>576</v>
      </c>
      <c r="G698" s="4" t="s">
        <v>336</v>
      </c>
      <c r="H698" s="4" t="s">
        <v>289</v>
      </c>
      <c r="I698" s="4">
        <v>0.19400000000000001</v>
      </c>
      <c r="J698" s="21">
        <v>370</v>
      </c>
      <c r="K698" s="21">
        <v>0</v>
      </c>
      <c r="L698" s="5">
        <v>0</v>
      </c>
      <c r="M698" s="4">
        <v>0.19400000000000001</v>
      </c>
      <c r="N698" s="4"/>
      <c r="O698" s="5">
        <v>370</v>
      </c>
      <c r="P698" s="5"/>
      <c r="Q698" s="21">
        <v>71.78</v>
      </c>
      <c r="R698" s="21">
        <v>0</v>
      </c>
      <c r="S698" s="5">
        <f t="shared" si="43"/>
        <v>103461.44276015203</v>
      </c>
      <c r="T698" cm="1">
        <f t="array" ref="T698">IF(OR(B698="MAL ALIMI", B698="ÜRETİM GİRİŞ"), MIN(I698, MAX(0, I698 + SUM(SUMIFS($I$1:I697, $C$1:C697, C698, $B$1:B697, {"MAL ALIMI","ÜRETİM GİRİŞ"})) - VLOOKUP(C698, 'STOK RAPORU'!$C$2:$I$1000, 4, 0))), 0)</f>
        <v>0</v>
      </c>
      <c r="U698" s="22">
        <f t="shared" si="40"/>
        <v>0</v>
      </c>
      <c r="V698">
        <f t="shared" si="41"/>
        <v>0</v>
      </c>
      <c r="W698" s="22">
        <f t="shared" si="42"/>
        <v>0</v>
      </c>
    </row>
    <row r="699" spans="1:23" hidden="1" x14ac:dyDescent="0.25">
      <c r="A699" s="3">
        <v>45967</v>
      </c>
      <c r="B699" s="4" t="s">
        <v>334</v>
      </c>
      <c r="C699" s="4" t="s">
        <v>126</v>
      </c>
      <c r="D699" s="4"/>
      <c r="E699" s="4"/>
      <c r="F699" s="4" t="s">
        <v>576</v>
      </c>
      <c r="G699" s="4" t="s">
        <v>336</v>
      </c>
      <c r="H699" s="4" t="s">
        <v>289</v>
      </c>
      <c r="I699" s="4">
        <v>0.14799999999999999</v>
      </c>
      <c r="J699" s="21">
        <v>640</v>
      </c>
      <c r="K699" s="21">
        <v>0</v>
      </c>
      <c r="L699" s="5">
        <v>0</v>
      </c>
      <c r="M699" s="4">
        <v>0.14799999999999999</v>
      </c>
      <c r="N699" s="4"/>
      <c r="O699" s="5">
        <v>640</v>
      </c>
      <c r="P699" s="5"/>
      <c r="Q699" s="21">
        <v>94.72</v>
      </c>
      <c r="R699" s="21">
        <v>0</v>
      </c>
      <c r="S699" s="5">
        <f t="shared" si="43"/>
        <v>103556.16276015203</v>
      </c>
      <c r="T699" cm="1">
        <f t="array" ref="T699">IF(OR(B699="MAL ALIMI", B699="ÜRETİM GİRİŞ"), MIN(I699, MAX(0, I699 + SUM(SUMIFS($I$1:I698, $C$1:C698, C699, $B$1:B698, {"MAL ALIMI","ÜRETİM GİRİŞ"})) - VLOOKUP(C699, 'STOK RAPORU'!$C$2:$I$1000, 4, 0))), 0)</f>
        <v>0</v>
      </c>
      <c r="U699" s="22">
        <f t="shared" si="40"/>
        <v>0</v>
      </c>
      <c r="V699">
        <f t="shared" si="41"/>
        <v>0</v>
      </c>
      <c r="W699" s="22">
        <f t="shared" si="42"/>
        <v>0</v>
      </c>
    </row>
    <row r="700" spans="1:23" hidden="1" x14ac:dyDescent="0.25">
      <c r="A700" s="3">
        <v>45967</v>
      </c>
      <c r="B700" s="4" t="s">
        <v>334</v>
      </c>
      <c r="C700" s="4" t="s">
        <v>160</v>
      </c>
      <c r="D700" s="4"/>
      <c r="E700" s="4"/>
      <c r="F700" s="4" t="s">
        <v>577</v>
      </c>
      <c r="G700" s="4" t="s">
        <v>336</v>
      </c>
      <c r="H700" s="4" t="s">
        <v>289</v>
      </c>
      <c r="I700" s="4">
        <v>1</v>
      </c>
      <c r="J700" s="21">
        <v>200</v>
      </c>
      <c r="K700" s="21">
        <v>0</v>
      </c>
      <c r="L700" s="5">
        <v>0</v>
      </c>
      <c r="M700" s="4">
        <v>1</v>
      </c>
      <c r="N700" s="4"/>
      <c r="O700" s="5">
        <v>200</v>
      </c>
      <c r="P700" s="5"/>
      <c r="Q700" s="21">
        <v>200</v>
      </c>
      <c r="R700" s="21">
        <v>0</v>
      </c>
      <c r="S700" s="5">
        <f t="shared" si="43"/>
        <v>103756.16276015203</v>
      </c>
      <c r="T700" cm="1">
        <f t="array" ref="T700">IF(OR(B700="MAL ALIMI", B700="ÜRETİM GİRİŞ"), MIN(I700, MAX(0, I700 + SUM(SUMIFS($I$1:I699, $C$1:C699, C700, $B$1:B699, {"MAL ALIMI","ÜRETİM GİRİŞ"})) - VLOOKUP(C700, 'STOK RAPORU'!$C$2:$I$1000, 4, 0))), 0)</f>
        <v>0</v>
      </c>
      <c r="U700" s="22">
        <f t="shared" si="40"/>
        <v>0</v>
      </c>
      <c r="V700">
        <f t="shared" si="41"/>
        <v>0</v>
      </c>
      <c r="W700" s="22">
        <f t="shared" si="42"/>
        <v>0</v>
      </c>
    </row>
    <row r="701" spans="1:23" hidden="1" x14ac:dyDescent="0.25">
      <c r="A701" s="3">
        <v>45967</v>
      </c>
      <c r="B701" s="4" t="s">
        <v>334</v>
      </c>
      <c r="C701" s="4" t="s">
        <v>266</v>
      </c>
      <c r="D701" s="4"/>
      <c r="E701" s="4"/>
      <c r="F701" s="4" t="s">
        <v>578</v>
      </c>
      <c r="G701" s="4" t="s">
        <v>336</v>
      </c>
      <c r="H701" s="4" t="s">
        <v>289</v>
      </c>
      <c r="I701" s="4">
        <v>1</v>
      </c>
      <c r="J701" s="21">
        <v>200</v>
      </c>
      <c r="K701" s="21">
        <v>0</v>
      </c>
      <c r="L701" s="5">
        <v>0</v>
      </c>
      <c r="M701" s="4">
        <v>1</v>
      </c>
      <c r="N701" s="4"/>
      <c r="O701" s="5">
        <v>200</v>
      </c>
      <c r="P701" s="5"/>
      <c r="Q701" s="21">
        <v>200</v>
      </c>
      <c r="R701" s="21">
        <v>0</v>
      </c>
      <c r="S701" s="5">
        <f t="shared" si="43"/>
        <v>103956.16276015203</v>
      </c>
      <c r="T701" cm="1">
        <f t="array" ref="T701">IF(OR(B701="MAL ALIMI", B701="ÜRETİM GİRİŞ"), MIN(I701, MAX(0, I701 + SUM(SUMIFS($I$1:I700, $C$1:C700, C701, $B$1:B700, {"MAL ALIMI","ÜRETİM GİRİŞ"})) - VLOOKUP(C701, 'STOK RAPORU'!$C$2:$I$1000, 4, 0))), 0)</f>
        <v>0</v>
      </c>
      <c r="U701" s="22">
        <f t="shared" si="40"/>
        <v>0</v>
      </c>
      <c r="V701">
        <f t="shared" si="41"/>
        <v>0</v>
      </c>
      <c r="W701" s="22">
        <f t="shared" si="42"/>
        <v>0</v>
      </c>
    </row>
    <row r="702" spans="1:23" hidden="1" x14ac:dyDescent="0.25">
      <c r="A702" s="3">
        <v>45967</v>
      </c>
      <c r="B702" s="4" t="s">
        <v>334</v>
      </c>
      <c r="C702" s="4" t="s">
        <v>133</v>
      </c>
      <c r="D702" s="4"/>
      <c r="E702" s="4" t="s">
        <v>921</v>
      </c>
      <c r="F702" s="4" t="s">
        <v>579</v>
      </c>
      <c r="G702" s="4" t="s">
        <v>336</v>
      </c>
      <c r="H702" s="4" t="s">
        <v>380</v>
      </c>
      <c r="I702" s="4">
        <v>0.372</v>
      </c>
      <c r="J702" s="21">
        <v>420</v>
      </c>
      <c r="K702" s="21">
        <v>156.24</v>
      </c>
      <c r="L702" s="5">
        <v>0</v>
      </c>
      <c r="M702" s="4">
        <v>0.372</v>
      </c>
      <c r="N702" s="4"/>
      <c r="O702" s="5">
        <v>420</v>
      </c>
      <c r="P702" s="5"/>
      <c r="Q702" s="21">
        <v>0</v>
      </c>
      <c r="R702" s="21">
        <v>0</v>
      </c>
      <c r="S702" s="5">
        <f t="shared" si="43"/>
        <v>103956.16276015203</v>
      </c>
      <c r="T702" cm="1">
        <f t="array" ref="T702">IF(OR(B702="MAL ALIMI", B702="ÜRETİM GİRİŞ"), MIN(I702, MAX(0, I702 + SUM(SUMIFS($I$1:I701, $C$1:C701, C702, $B$1:B701, {"MAL ALIMI","ÜRETİM GİRİŞ"})) - VLOOKUP(C702, 'STOK RAPORU'!$C$2:$I$1000, 4, 0))), 0)</f>
        <v>0</v>
      </c>
      <c r="U702" s="22">
        <f t="shared" si="40"/>
        <v>0</v>
      </c>
      <c r="V702">
        <f t="shared" si="41"/>
        <v>0</v>
      </c>
      <c r="W702" s="22">
        <f t="shared" si="42"/>
        <v>0</v>
      </c>
    </row>
    <row r="703" spans="1:23" hidden="1" x14ac:dyDescent="0.25">
      <c r="A703" s="3">
        <v>45967</v>
      </c>
      <c r="B703" s="4" t="s">
        <v>334</v>
      </c>
      <c r="C703" s="4" t="s">
        <v>241</v>
      </c>
      <c r="D703" s="4"/>
      <c r="E703" s="4" t="s">
        <v>921</v>
      </c>
      <c r="F703" s="4" t="s">
        <v>579</v>
      </c>
      <c r="G703" s="4" t="s">
        <v>336</v>
      </c>
      <c r="H703" s="4" t="s">
        <v>380</v>
      </c>
      <c r="I703" s="4">
        <v>0.25</v>
      </c>
      <c r="J703" s="21">
        <v>350</v>
      </c>
      <c r="K703" s="21">
        <v>87.5</v>
      </c>
      <c r="L703" s="5">
        <v>0</v>
      </c>
      <c r="M703" s="4">
        <v>0.25</v>
      </c>
      <c r="N703" s="4"/>
      <c r="O703" s="5">
        <v>350</v>
      </c>
      <c r="P703" s="5"/>
      <c r="Q703" s="21">
        <v>0</v>
      </c>
      <c r="R703" s="21">
        <v>0</v>
      </c>
      <c r="S703" s="5">
        <f t="shared" si="43"/>
        <v>103956.16276015203</v>
      </c>
      <c r="T703" cm="1">
        <f t="array" ref="T703">IF(OR(B703="MAL ALIMI", B703="ÜRETİM GİRİŞ"), MIN(I703, MAX(0, I703 + SUM(SUMIFS($I$1:I702, $C$1:C702, C703, $B$1:B702, {"MAL ALIMI","ÜRETİM GİRİŞ"})) - VLOOKUP(C703, 'STOK RAPORU'!$C$2:$I$1000, 4, 0))), 0)</f>
        <v>0</v>
      </c>
      <c r="U703" s="22">
        <f t="shared" si="40"/>
        <v>0</v>
      </c>
      <c r="V703">
        <f t="shared" si="41"/>
        <v>0</v>
      </c>
      <c r="W703" s="22">
        <f t="shared" si="42"/>
        <v>0</v>
      </c>
    </row>
    <row r="704" spans="1:23" hidden="1" x14ac:dyDescent="0.25">
      <c r="A704" s="3">
        <v>45967</v>
      </c>
      <c r="B704" s="4" t="s">
        <v>334</v>
      </c>
      <c r="C704" s="4" t="s">
        <v>132</v>
      </c>
      <c r="D704" s="4"/>
      <c r="E704" s="4" t="s">
        <v>921</v>
      </c>
      <c r="F704" s="4" t="s">
        <v>579</v>
      </c>
      <c r="G704" s="4" t="s">
        <v>336</v>
      </c>
      <c r="H704" s="4" t="s">
        <v>380</v>
      </c>
      <c r="I704" s="4">
        <v>0.5</v>
      </c>
      <c r="J704" s="21">
        <v>500</v>
      </c>
      <c r="K704" s="21">
        <v>250</v>
      </c>
      <c r="L704" s="5">
        <v>0</v>
      </c>
      <c r="M704" s="4">
        <v>0.5</v>
      </c>
      <c r="N704" s="4"/>
      <c r="O704" s="5">
        <v>500</v>
      </c>
      <c r="P704" s="5"/>
      <c r="Q704" s="21">
        <v>0</v>
      </c>
      <c r="R704" s="21">
        <v>0</v>
      </c>
      <c r="S704" s="5">
        <f t="shared" si="43"/>
        <v>103956.16276015203</v>
      </c>
      <c r="T704" cm="1">
        <f t="array" ref="T704">IF(OR(B704="MAL ALIMI", B704="ÜRETİM GİRİŞ"), MIN(I704, MAX(0, I704 + SUM(SUMIFS($I$1:I703, $C$1:C703, C704, $B$1:B703, {"MAL ALIMI","ÜRETİM GİRİŞ"})) - VLOOKUP(C704, 'STOK RAPORU'!$C$2:$I$1000, 4, 0))), 0)</f>
        <v>0</v>
      </c>
      <c r="U704" s="22">
        <f t="shared" si="40"/>
        <v>0</v>
      </c>
      <c r="V704">
        <f t="shared" si="41"/>
        <v>0</v>
      </c>
      <c r="W704" s="22">
        <f t="shared" si="42"/>
        <v>0</v>
      </c>
    </row>
    <row r="705" spans="1:23" hidden="1" x14ac:dyDescent="0.25">
      <c r="A705" s="3">
        <v>45967</v>
      </c>
      <c r="B705" s="4" t="s">
        <v>334</v>
      </c>
      <c r="C705" s="4" t="s">
        <v>160</v>
      </c>
      <c r="D705" s="4"/>
      <c r="E705" s="4" t="s">
        <v>921</v>
      </c>
      <c r="F705" s="4" t="s">
        <v>579</v>
      </c>
      <c r="G705" s="4" t="s">
        <v>336</v>
      </c>
      <c r="H705" s="4" t="s">
        <v>380</v>
      </c>
      <c r="I705" s="4">
        <v>1</v>
      </c>
      <c r="J705" s="21">
        <v>240</v>
      </c>
      <c r="K705" s="21">
        <v>240</v>
      </c>
      <c r="L705" s="5">
        <v>0</v>
      </c>
      <c r="M705" s="4">
        <v>1</v>
      </c>
      <c r="N705" s="4"/>
      <c r="O705" s="5">
        <v>240</v>
      </c>
      <c r="P705" s="5"/>
      <c r="Q705" s="21">
        <v>0</v>
      </c>
      <c r="R705" s="21">
        <v>0</v>
      </c>
      <c r="S705" s="5">
        <f t="shared" si="43"/>
        <v>103956.16276015203</v>
      </c>
      <c r="T705" cm="1">
        <f t="array" ref="T705">IF(OR(B705="MAL ALIMI", B705="ÜRETİM GİRİŞ"), MIN(I705, MAX(0, I705 + SUM(SUMIFS($I$1:I704, $C$1:C704, C705, $B$1:B704, {"MAL ALIMI","ÜRETİM GİRİŞ"})) - VLOOKUP(C705, 'STOK RAPORU'!$C$2:$I$1000, 4, 0))), 0)</f>
        <v>0</v>
      </c>
      <c r="U705" s="22">
        <f t="shared" si="40"/>
        <v>0</v>
      </c>
      <c r="V705">
        <f t="shared" si="41"/>
        <v>0</v>
      </c>
      <c r="W705" s="22">
        <f t="shared" si="42"/>
        <v>0</v>
      </c>
    </row>
    <row r="706" spans="1:23" hidden="1" x14ac:dyDescent="0.25">
      <c r="A706" s="3">
        <v>45967</v>
      </c>
      <c r="B706" s="4" t="s">
        <v>334</v>
      </c>
      <c r="C706" s="4" t="s">
        <v>529</v>
      </c>
      <c r="D706" s="4"/>
      <c r="E706" s="4" t="s">
        <v>921</v>
      </c>
      <c r="F706" s="4" t="s">
        <v>580</v>
      </c>
      <c r="G706" s="4" t="s">
        <v>336</v>
      </c>
      <c r="H706" s="4" t="s">
        <v>380</v>
      </c>
      <c r="I706" s="4">
        <v>0.1</v>
      </c>
      <c r="J706" s="21">
        <v>600</v>
      </c>
      <c r="K706" s="21">
        <v>60</v>
      </c>
      <c r="L706" s="5">
        <v>0</v>
      </c>
      <c r="M706" s="4">
        <v>1</v>
      </c>
      <c r="N706" s="4"/>
      <c r="O706" s="5">
        <v>60</v>
      </c>
      <c r="P706" s="5"/>
      <c r="Q706" s="21">
        <v>0</v>
      </c>
      <c r="R706" s="21">
        <v>0</v>
      </c>
      <c r="S706" s="5">
        <f t="shared" si="43"/>
        <v>103956.16276015203</v>
      </c>
      <c r="T706" cm="1">
        <f t="array" ref="T706">IF(OR(B706="MAL ALIMI", B706="ÜRETİM GİRİŞ"), MIN(I706, MAX(0, I706 + SUM(SUMIFS($I$1:I705, $C$1:C705, C706, $B$1:B705, {"MAL ALIMI","ÜRETİM GİRİŞ"})) - VLOOKUP(C706, 'STOK RAPORU'!$C$2:$I$1000, 4, 0))), 0)</f>
        <v>0</v>
      </c>
      <c r="U706" s="22">
        <f t="shared" si="40"/>
        <v>0</v>
      </c>
      <c r="V706">
        <f t="shared" si="41"/>
        <v>0</v>
      </c>
      <c r="W706" s="22">
        <f t="shared" si="42"/>
        <v>0</v>
      </c>
    </row>
    <row r="707" spans="1:23" hidden="1" x14ac:dyDescent="0.25">
      <c r="A707" s="3">
        <v>45967</v>
      </c>
      <c r="B707" s="4" t="s">
        <v>334</v>
      </c>
      <c r="C707" s="4" t="s">
        <v>247</v>
      </c>
      <c r="D707" s="4"/>
      <c r="E707" s="4" t="s">
        <v>921</v>
      </c>
      <c r="F707" s="4" t="s">
        <v>580</v>
      </c>
      <c r="G707" s="4" t="s">
        <v>336</v>
      </c>
      <c r="H707" s="4" t="s">
        <v>380</v>
      </c>
      <c r="I707" s="4">
        <v>8.5000000000000006E-2</v>
      </c>
      <c r="J707" s="21">
        <v>1150</v>
      </c>
      <c r="K707" s="21">
        <v>97.75</v>
      </c>
      <c r="L707" s="5">
        <v>0</v>
      </c>
      <c r="M707" s="4">
        <v>8.5000000000000006E-2</v>
      </c>
      <c r="N707" s="4"/>
      <c r="O707" s="5">
        <v>1150</v>
      </c>
      <c r="P707" s="5"/>
      <c r="Q707" s="21">
        <v>0</v>
      </c>
      <c r="R707" s="21">
        <v>0</v>
      </c>
      <c r="S707" s="5">
        <f t="shared" si="43"/>
        <v>103956.16276015203</v>
      </c>
      <c r="T707" cm="1">
        <f t="array" ref="T707">IF(OR(B707="MAL ALIMI", B707="ÜRETİM GİRİŞ"), MIN(I707, MAX(0, I707 + SUM(SUMIFS($I$1:I706, $C$1:C706, C707, $B$1:B706, {"MAL ALIMI","ÜRETİM GİRİŞ"})) - VLOOKUP(C707, 'STOK RAPORU'!$C$2:$I$1000, 4, 0))), 0)</f>
        <v>0</v>
      </c>
      <c r="U707" s="22">
        <f t="shared" ref="U707:U770" si="44">T707*J707</f>
        <v>0</v>
      </c>
      <c r="V707">
        <f t="shared" ref="V707:V770" si="45">IF(OR(B707="MAL ALIMI", B707="ÜRETİM GİRİŞ"), I707 * J707, 0)</f>
        <v>0</v>
      </c>
      <c r="W707" s="22">
        <f t="shared" ref="W707:W770" si="46">V707-U707</f>
        <v>0</v>
      </c>
    </row>
    <row r="708" spans="1:23" hidden="1" x14ac:dyDescent="0.25">
      <c r="A708" s="3">
        <v>45967</v>
      </c>
      <c r="B708" s="4" t="s">
        <v>334</v>
      </c>
      <c r="C708" s="4" t="s">
        <v>98</v>
      </c>
      <c r="D708" s="4"/>
      <c r="E708" s="4" t="s">
        <v>921</v>
      </c>
      <c r="F708" s="4" t="s">
        <v>581</v>
      </c>
      <c r="G708" s="4" t="s">
        <v>336</v>
      </c>
      <c r="H708" s="4" t="s">
        <v>380</v>
      </c>
      <c r="I708" s="4">
        <v>0.11600000000000001</v>
      </c>
      <c r="J708" s="21">
        <v>360</v>
      </c>
      <c r="K708" s="21">
        <v>41.760000000000005</v>
      </c>
      <c r="L708" s="5">
        <v>0</v>
      </c>
      <c r="M708" s="4">
        <v>0.11600000000000001</v>
      </c>
      <c r="N708" s="4"/>
      <c r="O708" s="5">
        <v>360</v>
      </c>
      <c r="P708" s="5"/>
      <c r="Q708" s="21">
        <v>0</v>
      </c>
      <c r="R708" s="21">
        <v>0</v>
      </c>
      <c r="S708" s="5">
        <f t="shared" ref="S708:S771" si="47">S707+Q708-R708</f>
        <v>103956.16276015203</v>
      </c>
      <c r="T708" cm="1">
        <f t="array" ref="T708">IF(OR(B708="MAL ALIMI", B708="ÜRETİM GİRİŞ"), MIN(I708, MAX(0, I708 + SUM(SUMIFS($I$1:I707, $C$1:C707, C708, $B$1:B707, {"MAL ALIMI","ÜRETİM GİRİŞ"})) - VLOOKUP(C708, 'STOK RAPORU'!$C$2:$I$1000, 4, 0))), 0)</f>
        <v>0</v>
      </c>
      <c r="U708" s="22">
        <f t="shared" si="44"/>
        <v>0</v>
      </c>
      <c r="V708">
        <f t="shared" si="45"/>
        <v>0</v>
      </c>
      <c r="W708" s="22">
        <f t="shared" si="46"/>
        <v>0</v>
      </c>
    </row>
    <row r="709" spans="1:23" hidden="1" x14ac:dyDescent="0.25">
      <c r="A709" s="3">
        <v>45967</v>
      </c>
      <c r="B709" s="4" t="s">
        <v>334</v>
      </c>
      <c r="C709" s="4" t="s">
        <v>140</v>
      </c>
      <c r="D709" s="4"/>
      <c r="E709" s="4" t="s">
        <v>921</v>
      </c>
      <c r="F709" s="4" t="s">
        <v>581</v>
      </c>
      <c r="G709" s="4" t="s">
        <v>336</v>
      </c>
      <c r="H709" s="4" t="s">
        <v>380</v>
      </c>
      <c r="I709" s="4">
        <v>0.126</v>
      </c>
      <c r="J709" s="21">
        <v>250</v>
      </c>
      <c r="K709" s="21">
        <v>31.5</v>
      </c>
      <c r="L709" s="5">
        <v>0</v>
      </c>
      <c r="M709" s="4">
        <v>0.126</v>
      </c>
      <c r="N709" s="4"/>
      <c r="O709" s="5">
        <v>250</v>
      </c>
      <c r="P709" s="5"/>
      <c r="Q709" s="21">
        <v>0</v>
      </c>
      <c r="R709" s="21">
        <v>0</v>
      </c>
      <c r="S709" s="5">
        <f t="shared" si="47"/>
        <v>103956.16276015203</v>
      </c>
      <c r="T709" cm="1">
        <f t="array" ref="T709">IF(OR(B709="MAL ALIMI", B709="ÜRETİM GİRİŞ"), MIN(I709, MAX(0, I709 + SUM(SUMIFS($I$1:I708, $C$1:C708, C709, $B$1:B708, {"MAL ALIMI","ÜRETİM GİRİŞ"})) - VLOOKUP(C709, 'STOK RAPORU'!$C$2:$I$1000, 4, 0))), 0)</f>
        <v>0</v>
      </c>
      <c r="U709" s="22">
        <f t="shared" si="44"/>
        <v>0</v>
      </c>
      <c r="V709">
        <f t="shared" si="45"/>
        <v>0</v>
      </c>
      <c r="W709" s="22">
        <f t="shared" si="46"/>
        <v>0</v>
      </c>
    </row>
    <row r="710" spans="1:23" hidden="1" x14ac:dyDescent="0.25">
      <c r="A710" s="3">
        <v>45967</v>
      </c>
      <c r="B710" s="4" t="s">
        <v>334</v>
      </c>
      <c r="C710" s="4" t="s">
        <v>209</v>
      </c>
      <c r="D710" s="4"/>
      <c r="E710" s="4" t="s">
        <v>921</v>
      </c>
      <c r="F710" s="4" t="s">
        <v>581</v>
      </c>
      <c r="G710" s="4" t="s">
        <v>336</v>
      </c>
      <c r="H710" s="4" t="s">
        <v>380</v>
      </c>
      <c r="I710" s="4">
        <v>0.05</v>
      </c>
      <c r="J710" s="21">
        <v>2600</v>
      </c>
      <c r="K710" s="21">
        <v>130</v>
      </c>
      <c r="L710" s="5">
        <v>0</v>
      </c>
      <c r="M710" s="4">
        <v>1</v>
      </c>
      <c r="N710" s="4"/>
      <c r="O710" s="5">
        <v>130</v>
      </c>
      <c r="P710" s="5"/>
      <c r="Q710" s="21">
        <v>0</v>
      </c>
      <c r="R710" s="21">
        <v>0</v>
      </c>
      <c r="S710" s="5">
        <f t="shared" si="47"/>
        <v>103956.16276015203</v>
      </c>
      <c r="T710" cm="1">
        <f t="array" ref="T710">IF(OR(B710="MAL ALIMI", B710="ÜRETİM GİRİŞ"), MIN(I710, MAX(0, I710 + SUM(SUMIFS($I$1:I709, $C$1:C709, C710, $B$1:B709, {"MAL ALIMI","ÜRETİM GİRİŞ"})) - VLOOKUP(C710, 'STOK RAPORU'!$C$2:$I$1000, 4, 0))), 0)</f>
        <v>0</v>
      </c>
      <c r="U710" s="22">
        <f t="shared" si="44"/>
        <v>0</v>
      </c>
      <c r="V710">
        <f t="shared" si="45"/>
        <v>0</v>
      </c>
      <c r="W710" s="22">
        <f t="shared" si="46"/>
        <v>0</v>
      </c>
    </row>
    <row r="711" spans="1:23" hidden="1" x14ac:dyDescent="0.25">
      <c r="A711" s="3">
        <v>45967</v>
      </c>
      <c r="B711" s="4" t="s">
        <v>334</v>
      </c>
      <c r="C711" s="4" t="s">
        <v>160</v>
      </c>
      <c r="D711" s="4"/>
      <c r="E711" s="4" t="s">
        <v>921</v>
      </c>
      <c r="F711" s="4" t="s">
        <v>581</v>
      </c>
      <c r="G711" s="4" t="s">
        <v>336</v>
      </c>
      <c r="H711" s="4" t="s">
        <v>380</v>
      </c>
      <c r="I711" s="4">
        <v>1</v>
      </c>
      <c r="J711" s="21">
        <v>240</v>
      </c>
      <c r="K711" s="21">
        <v>240</v>
      </c>
      <c r="L711" s="5">
        <v>0</v>
      </c>
      <c r="M711" s="4">
        <v>1</v>
      </c>
      <c r="N711" s="4"/>
      <c r="O711" s="5">
        <v>240</v>
      </c>
      <c r="P711" s="5"/>
      <c r="Q711" s="21">
        <v>0</v>
      </c>
      <c r="R711" s="21">
        <v>0</v>
      </c>
      <c r="S711" s="5">
        <f t="shared" si="47"/>
        <v>103956.16276015203</v>
      </c>
      <c r="T711" cm="1">
        <f t="array" ref="T711">IF(OR(B711="MAL ALIMI", B711="ÜRETİM GİRİŞ"), MIN(I711, MAX(0, I711 + SUM(SUMIFS($I$1:I710, $C$1:C710, C711, $B$1:B710, {"MAL ALIMI","ÜRETİM GİRİŞ"})) - VLOOKUP(C711, 'STOK RAPORU'!$C$2:$I$1000, 4, 0))), 0)</f>
        <v>0</v>
      </c>
      <c r="U711" s="22">
        <f t="shared" si="44"/>
        <v>0</v>
      </c>
      <c r="V711">
        <f t="shared" si="45"/>
        <v>0</v>
      </c>
      <c r="W711" s="22">
        <f t="shared" si="46"/>
        <v>0</v>
      </c>
    </row>
    <row r="712" spans="1:23" hidden="1" x14ac:dyDescent="0.25">
      <c r="A712" s="3">
        <v>45967</v>
      </c>
      <c r="B712" s="4" t="s">
        <v>334</v>
      </c>
      <c r="C712" s="4" t="s">
        <v>91</v>
      </c>
      <c r="D712" s="4"/>
      <c r="E712" s="4" t="s">
        <v>921</v>
      </c>
      <c r="F712" s="4" t="s">
        <v>581</v>
      </c>
      <c r="G712" s="4" t="s">
        <v>336</v>
      </c>
      <c r="H712" s="4" t="s">
        <v>380</v>
      </c>
      <c r="I712" s="4">
        <v>4.3999999999999997E-2</v>
      </c>
      <c r="J712" s="21">
        <v>760</v>
      </c>
      <c r="K712" s="21">
        <v>33.44</v>
      </c>
      <c r="L712" s="5">
        <v>0</v>
      </c>
      <c r="M712" s="4">
        <v>4.3999999999999997E-2</v>
      </c>
      <c r="N712" s="4"/>
      <c r="O712" s="5">
        <v>760</v>
      </c>
      <c r="P712" s="5"/>
      <c r="Q712" s="21">
        <v>0</v>
      </c>
      <c r="R712" s="21">
        <v>0</v>
      </c>
      <c r="S712" s="5">
        <f t="shared" si="47"/>
        <v>103956.16276015203</v>
      </c>
      <c r="T712" cm="1">
        <f t="array" ref="T712">IF(OR(B712="MAL ALIMI", B712="ÜRETİM GİRİŞ"), MIN(I712, MAX(0, I712 + SUM(SUMIFS($I$1:I711, $C$1:C711, C712, $B$1:B711, {"MAL ALIMI","ÜRETİM GİRİŞ"})) - VLOOKUP(C712, 'STOK RAPORU'!$C$2:$I$1000, 4, 0))), 0)</f>
        <v>0</v>
      </c>
      <c r="U712" s="22">
        <f t="shared" si="44"/>
        <v>0</v>
      </c>
      <c r="V712">
        <f t="shared" si="45"/>
        <v>0</v>
      </c>
      <c r="W712" s="22">
        <f t="shared" si="46"/>
        <v>0</v>
      </c>
    </row>
    <row r="713" spans="1:23" hidden="1" x14ac:dyDescent="0.25">
      <c r="A713" s="3">
        <v>45967</v>
      </c>
      <c r="B713" s="4" t="s">
        <v>334</v>
      </c>
      <c r="C713" s="4" t="s">
        <v>228</v>
      </c>
      <c r="D713" s="4"/>
      <c r="E713" s="4" t="s">
        <v>921</v>
      </c>
      <c r="F713" s="4" t="s">
        <v>581</v>
      </c>
      <c r="G713" s="4" t="s">
        <v>336</v>
      </c>
      <c r="H713" s="4" t="s">
        <v>380</v>
      </c>
      <c r="I713" s="4">
        <v>1</v>
      </c>
      <c r="J713" s="21">
        <v>260</v>
      </c>
      <c r="K713" s="21">
        <v>260</v>
      </c>
      <c r="L713" s="5">
        <v>0</v>
      </c>
      <c r="M713" s="4">
        <v>1</v>
      </c>
      <c r="N713" s="4"/>
      <c r="O713" s="5">
        <v>260</v>
      </c>
      <c r="P713" s="5"/>
      <c r="Q713" s="21">
        <v>0</v>
      </c>
      <c r="R713" s="21">
        <v>0</v>
      </c>
      <c r="S713" s="5">
        <f t="shared" si="47"/>
        <v>103956.16276015203</v>
      </c>
      <c r="T713" cm="1">
        <f t="array" ref="T713">IF(OR(B713="MAL ALIMI", B713="ÜRETİM GİRİŞ"), MIN(I713, MAX(0, I713 + SUM(SUMIFS($I$1:I712, $C$1:C712, C713, $B$1:B712, {"MAL ALIMI","ÜRETİM GİRİŞ"})) - VLOOKUP(C713, 'STOK RAPORU'!$C$2:$I$1000, 4, 0))), 0)</f>
        <v>0</v>
      </c>
      <c r="U713" s="22">
        <f t="shared" si="44"/>
        <v>0</v>
      </c>
      <c r="V713">
        <f t="shared" si="45"/>
        <v>0</v>
      </c>
      <c r="W713" s="22">
        <f t="shared" si="46"/>
        <v>0</v>
      </c>
    </row>
    <row r="714" spans="1:23" hidden="1" x14ac:dyDescent="0.25">
      <c r="A714" s="3">
        <v>45967</v>
      </c>
      <c r="B714" s="4" t="s">
        <v>334</v>
      </c>
      <c r="C714" s="4" t="s">
        <v>200</v>
      </c>
      <c r="D714" s="4"/>
      <c r="E714" s="4" t="s">
        <v>921</v>
      </c>
      <c r="F714" s="4" t="s">
        <v>581</v>
      </c>
      <c r="G714" s="4" t="s">
        <v>336</v>
      </c>
      <c r="H714" s="4" t="s">
        <v>380</v>
      </c>
      <c r="I714" s="4">
        <v>0.25</v>
      </c>
      <c r="J714" s="21">
        <v>380</v>
      </c>
      <c r="K714" s="21">
        <v>95</v>
      </c>
      <c r="L714" s="5">
        <v>0</v>
      </c>
      <c r="M714" s="4">
        <v>1</v>
      </c>
      <c r="N714" s="4"/>
      <c r="O714" s="5">
        <v>95</v>
      </c>
      <c r="P714" s="5"/>
      <c r="Q714" s="21">
        <v>0</v>
      </c>
      <c r="R714" s="21">
        <v>0</v>
      </c>
      <c r="S714" s="5">
        <f t="shared" si="47"/>
        <v>103956.16276015203</v>
      </c>
      <c r="T714" cm="1">
        <f t="array" ref="T714">IF(OR(B714="MAL ALIMI", B714="ÜRETİM GİRİŞ"), MIN(I714, MAX(0, I714 + SUM(SUMIFS($I$1:I713, $C$1:C713, C714, $B$1:B713, {"MAL ALIMI","ÜRETİM GİRİŞ"})) - VLOOKUP(C714, 'STOK RAPORU'!$C$2:$I$1000, 4, 0))), 0)</f>
        <v>0</v>
      </c>
      <c r="U714" s="22">
        <f t="shared" si="44"/>
        <v>0</v>
      </c>
      <c r="V714">
        <f t="shared" si="45"/>
        <v>0</v>
      </c>
      <c r="W714" s="22">
        <f t="shared" si="46"/>
        <v>0</v>
      </c>
    </row>
    <row r="715" spans="1:23" hidden="1" x14ac:dyDescent="0.25">
      <c r="A715" s="3">
        <v>45967</v>
      </c>
      <c r="B715" s="4" t="s">
        <v>334</v>
      </c>
      <c r="C715" s="4" t="s">
        <v>132</v>
      </c>
      <c r="D715" s="4"/>
      <c r="E715" s="4"/>
      <c r="F715" s="4" t="s">
        <v>582</v>
      </c>
      <c r="G715" s="4" t="s">
        <v>336</v>
      </c>
      <c r="H715" s="4" t="s">
        <v>289</v>
      </c>
      <c r="I715" s="4">
        <v>0.2</v>
      </c>
      <c r="J715" s="21">
        <v>500</v>
      </c>
      <c r="K715" s="21">
        <v>0</v>
      </c>
      <c r="L715" s="5">
        <v>0</v>
      </c>
      <c r="M715" s="4">
        <v>0.2</v>
      </c>
      <c r="N715" s="4"/>
      <c r="O715" s="5">
        <v>500</v>
      </c>
      <c r="P715" s="5"/>
      <c r="Q715" s="21">
        <v>100</v>
      </c>
      <c r="R715" s="21">
        <v>0</v>
      </c>
      <c r="S715" s="5">
        <f t="shared" si="47"/>
        <v>104056.16276015203</v>
      </c>
      <c r="T715" cm="1">
        <f t="array" ref="T715">IF(OR(B715="MAL ALIMI", B715="ÜRETİM GİRİŞ"), MIN(I715, MAX(0, I715 + SUM(SUMIFS($I$1:I714, $C$1:C714, C715, $B$1:B714, {"MAL ALIMI","ÜRETİM GİRİŞ"})) - VLOOKUP(C715, 'STOK RAPORU'!$C$2:$I$1000, 4, 0))), 0)</f>
        <v>0</v>
      </c>
      <c r="U715" s="22">
        <f t="shared" si="44"/>
        <v>0</v>
      </c>
      <c r="V715">
        <f t="shared" si="45"/>
        <v>0</v>
      </c>
      <c r="W715" s="22">
        <f t="shared" si="46"/>
        <v>0</v>
      </c>
    </row>
    <row r="716" spans="1:23" hidden="1" x14ac:dyDescent="0.25">
      <c r="A716" s="3">
        <v>45967</v>
      </c>
      <c r="B716" s="4" t="s">
        <v>334</v>
      </c>
      <c r="C716" s="4" t="s">
        <v>168</v>
      </c>
      <c r="D716" s="4"/>
      <c r="E716" s="4" t="s">
        <v>921</v>
      </c>
      <c r="F716" s="4" t="s">
        <v>583</v>
      </c>
      <c r="G716" s="4" t="s">
        <v>336</v>
      </c>
      <c r="H716" s="4" t="s">
        <v>380</v>
      </c>
      <c r="I716" s="4">
        <v>1</v>
      </c>
      <c r="J716" s="21">
        <v>200</v>
      </c>
      <c r="K716" s="21">
        <v>200</v>
      </c>
      <c r="L716" s="5">
        <v>0</v>
      </c>
      <c r="M716" s="4">
        <v>1</v>
      </c>
      <c r="N716" s="4"/>
      <c r="O716" s="5">
        <v>200</v>
      </c>
      <c r="P716" s="5"/>
      <c r="Q716" s="21">
        <v>0</v>
      </c>
      <c r="R716" s="21">
        <v>0</v>
      </c>
      <c r="S716" s="5">
        <f t="shared" si="47"/>
        <v>104056.16276015203</v>
      </c>
      <c r="T716" cm="1">
        <f t="array" ref="T716">IF(OR(B716="MAL ALIMI", B716="ÜRETİM GİRİŞ"), MIN(I716, MAX(0, I716 + SUM(SUMIFS($I$1:I715, $C$1:C715, C716, $B$1:B715, {"MAL ALIMI","ÜRETİM GİRİŞ"})) - VLOOKUP(C716, 'STOK RAPORU'!$C$2:$I$1000, 4, 0))), 0)</f>
        <v>0</v>
      </c>
      <c r="U716" s="22">
        <f t="shared" si="44"/>
        <v>0</v>
      </c>
      <c r="V716">
        <f t="shared" si="45"/>
        <v>0</v>
      </c>
      <c r="W716" s="22">
        <f t="shared" si="46"/>
        <v>0</v>
      </c>
    </row>
    <row r="717" spans="1:23" hidden="1" x14ac:dyDescent="0.25">
      <c r="A717" s="3">
        <v>45967</v>
      </c>
      <c r="B717" s="4" t="s">
        <v>334</v>
      </c>
      <c r="C717" s="4" t="s">
        <v>167</v>
      </c>
      <c r="D717" s="4"/>
      <c r="E717" s="4" t="s">
        <v>921</v>
      </c>
      <c r="F717" s="4" t="s">
        <v>583</v>
      </c>
      <c r="G717" s="4" t="s">
        <v>336</v>
      </c>
      <c r="H717" s="4" t="s">
        <v>380</v>
      </c>
      <c r="I717" s="4">
        <v>1</v>
      </c>
      <c r="J717" s="21">
        <v>200</v>
      </c>
      <c r="K717" s="21">
        <v>200</v>
      </c>
      <c r="L717" s="5">
        <v>0</v>
      </c>
      <c r="M717" s="4">
        <v>1</v>
      </c>
      <c r="N717" s="4"/>
      <c r="O717" s="5">
        <v>200</v>
      </c>
      <c r="P717" s="5"/>
      <c r="Q717" s="21">
        <v>0</v>
      </c>
      <c r="R717" s="21">
        <v>0</v>
      </c>
      <c r="S717" s="5">
        <f t="shared" si="47"/>
        <v>104056.16276015203</v>
      </c>
      <c r="T717" cm="1">
        <f t="array" ref="T717">IF(OR(B717="MAL ALIMI", B717="ÜRETİM GİRİŞ"), MIN(I717, MAX(0, I717 + SUM(SUMIFS($I$1:I716, $C$1:C716, C717, $B$1:B716, {"MAL ALIMI","ÜRETİM GİRİŞ"})) - VLOOKUP(C717, 'STOK RAPORU'!$C$2:$I$1000, 4, 0))), 0)</f>
        <v>0</v>
      </c>
      <c r="U717" s="22">
        <f t="shared" si="44"/>
        <v>0</v>
      </c>
      <c r="V717">
        <f t="shared" si="45"/>
        <v>0</v>
      </c>
      <c r="W717" s="22">
        <f t="shared" si="46"/>
        <v>0</v>
      </c>
    </row>
    <row r="718" spans="1:23" hidden="1" x14ac:dyDescent="0.25">
      <c r="A718" s="3">
        <v>45968</v>
      </c>
      <c r="B718" s="4" t="s">
        <v>334</v>
      </c>
      <c r="C718" s="4" t="s">
        <v>156</v>
      </c>
      <c r="D718" s="4"/>
      <c r="E718" s="4" t="s">
        <v>921</v>
      </c>
      <c r="F718" s="4" t="s">
        <v>584</v>
      </c>
      <c r="G718" s="4" t="s">
        <v>336</v>
      </c>
      <c r="H718" s="4" t="s">
        <v>380</v>
      </c>
      <c r="I718" s="4">
        <v>3.2250000000000001</v>
      </c>
      <c r="J718" s="21">
        <v>180</v>
      </c>
      <c r="K718" s="21">
        <v>580.5</v>
      </c>
      <c r="L718" s="5">
        <v>0</v>
      </c>
      <c r="M718" s="4">
        <v>3.2250000000000001</v>
      </c>
      <c r="N718" s="4"/>
      <c r="O718" s="5">
        <v>180</v>
      </c>
      <c r="P718" s="5"/>
      <c r="Q718" s="21">
        <v>0</v>
      </c>
      <c r="R718" s="21">
        <v>0</v>
      </c>
      <c r="S718" s="5">
        <f t="shared" si="47"/>
        <v>104056.16276015203</v>
      </c>
      <c r="T718" cm="1">
        <f t="array" ref="T718">IF(OR(B718="MAL ALIMI", B718="ÜRETİM GİRİŞ"), MIN(I718, MAX(0, I718 + SUM(SUMIFS($I$1:I717, $C$1:C717, C718, $B$1:B717, {"MAL ALIMI","ÜRETİM GİRİŞ"})) - VLOOKUP(C718, 'STOK RAPORU'!$C$2:$I$1000, 4, 0))), 0)</f>
        <v>0</v>
      </c>
      <c r="U718" s="22">
        <f t="shared" si="44"/>
        <v>0</v>
      </c>
      <c r="V718">
        <f t="shared" si="45"/>
        <v>0</v>
      </c>
      <c r="W718" s="22">
        <f t="shared" si="46"/>
        <v>0</v>
      </c>
    </row>
    <row r="719" spans="1:23" hidden="1" x14ac:dyDescent="0.25">
      <c r="A719" s="3">
        <v>45968</v>
      </c>
      <c r="B719" s="4" t="s">
        <v>334</v>
      </c>
      <c r="C719" s="4" t="s">
        <v>529</v>
      </c>
      <c r="D719" s="4"/>
      <c r="E719" s="4"/>
      <c r="F719" s="4" t="s">
        <v>604</v>
      </c>
      <c r="G719" s="4" t="s">
        <v>336</v>
      </c>
      <c r="H719" s="4" t="s">
        <v>289</v>
      </c>
      <c r="I719" s="4">
        <v>0.1</v>
      </c>
      <c r="J719" s="21">
        <v>600</v>
      </c>
      <c r="K719" s="21">
        <v>0</v>
      </c>
      <c r="L719" s="5">
        <v>0</v>
      </c>
      <c r="M719" s="4">
        <v>1</v>
      </c>
      <c r="N719" s="4"/>
      <c r="O719" s="5">
        <v>60</v>
      </c>
      <c r="P719" s="5"/>
      <c r="Q719" s="21">
        <v>60</v>
      </c>
      <c r="R719" s="21">
        <v>0</v>
      </c>
      <c r="S719" s="5">
        <f t="shared" si="47"/>
        <v>104116.16276015203</v>
      </c>
      <c r="T719" cm="1">
        <f t="array" ref="T719">IF(OR(B719="MAL ALIMI", B719="ÜRETİM GİRİŞ"), MIN(I719, MAX(0, I719 + SUM(SUMIFS($I$1:I718, $C$1:C718, C719, $B$1:B718, {"MAL ALIMI","ÜRETİM GİRİŞ"})) - VLOOKUP(C719, 'STOK RAPORU'!$C$2:$I$1000, 4, 0))), 0)</f>
        <v>0</v>
      </c>
      <c r="U719" s="22">
        <f t="shared" si="44"/>
        <v>0</v>
      </c>
      <c r="V719">
        <f t="shared" si="45"/>
        <v>0</v>
      </c>
      <c r="W719" s="22">
        <f t="shared" si="46"/>
        <v>0</v>
      </c>
    </row>
    <row r="720" spans="1:23" hidden="1" x14ac:dyDescent="0.25">
      <c r="A720" s="3">
        <v>45968</v>
      </c>
      <c r="B720" s="4" t="s">
        <v>334</v>
      </c>
      <c r="C720" s="4" t="s">
        <v>523</v>
      </c>
      <c r="D720" s="4"/>
      <c r="E720" s="4"/>
      <c r="F720" s="4" t="s">
        <v>604</v>
      </c>
      <c r="G720" s="4" t="s">
        <v>336</v>
      </c>
      <c r="H720" s="4" t="s">
        <v>289</v>
      </c>
      <c r="I720" s="4">
        <v>0.1</v>
      </c>
      <c r="J720" s="21">
        <v>650</v>
      </c>
      <c r="K720" s="21">
        <v>0</v>
      </c>
      <c r="L720" s="5">
        <v>0</v>
      </c>
      <c r="M720" s="4">
        <v>1</v>
      </c>
      <c r="N720" s="4"/>
      <c r="O720" s="5">
        <v>65</v>
      </c>
      <c r="P720" s="5"/>
      <c r="Q720" s="21">
        <v>65</v>
      </c>
      <c r="R720" s="21">
        <v>0</v>
      </c>
      <c r="S720" s="5">
        <f t="shared" si="47"/>
        <v>104181.16276015203</v>
      </c>
      <c r="T720" cm="1">
        <f t="array" ref="T720">IF(OR(B720="MAL ALIMI", B720="ÜRETİM GİRİŞ"), MIN(I720, MAX(0, I720 + SUM(SUMIFS($I$1:I719, $C$1:C719, C720, $B$1:B719, {"MAL ALIMI","ÜRETİM GİRİŞ"})) - VLOOKUP(C720, 'STOK RAPORU'!$C$2:$I$1000, 4, 0))), 0)</f>
        <v>0</v>
      </c>
      <c r="U720" s="22">
        <f t="shared" si="44"/>
        <v>0</v>
      </c>
      <c r="V720">
        <f t="shared" si="45"/>
        <v>0</v>
      </c>
      <c r="W720" s="22">
        <f t="shared" si="46"/>
        <v>0</v>
      </c>
    </row>
    <row r="721" spans="1:23" hidden="1" x14ac:dyDescent="0.25">
      <c r="A721" s="3">
        <v>45968</v>
      </c>
      <c r="B721" s="4" t="s">
        <v>334</v>
      </c>
      <c r="C721" s="4" t="s">
        <v>140</v>
      </c>
      <c r="D721" s="4"/>
      <c r="E721" s="4"/>
      <c r="F721" s="4" t="s">
        <v>604</v>
      </c>
      <c r="G721" s="4" t="s">
        <v>336</v>
      </c>
      <c r="H721" s="4" t="s">
        <v>289</v>
      </c>
      <c r="I721" s="4">
        <v>0.1</v>
      </c>
      <c r="J721" s="21">
        <v>250</v>
      </c>
      <c r="K721" s="21">
        <v>0</v>
      </c>
      <c r="L721" s="5">
        <v>0</v>
      </c>
      <c r="M721" s="4">
        <v>0.1</v>
      </c>
      <c r="N721" s="4"/>
      <c r="O721" s="5">
        <v>250</v>
      </c>
      <c r="P721" s="5"/>
      <c r="Q721" s="21">
        <v>25</v>
      </c>
      <c r="R721" s="21">
        <v>0</v>
      </c>
      <c r="S721" s="5">
        <f t="shared" si="47"/>
        <v>104206.16276015203</v>
      </c>
      <c r="T721" cm="1">
        <f t="array" ref="T721">IF(OR(B721="MAL ALIMI", B721="ÜRETİM GİRİŞ"), MIN(I721, MAX(0, I721 + SUM(SUMIFS($I$1:I720, $C$1:C720, C721, $B$1:B720, {"MAL ALIMI","ÜRETİM GİRİŞ"})) - VLOOKUP(C721, 'STOK RAPORU'!$C$2:$I$1000, 4, 0))), 0)</f>
        <v>0</v>
      </c>
      <c r="U721" s="22">
        <f t="shared" si="44"/>
        <v>0</v>
      </c>
      <c r="V721">
        <f t="shared" si="45"/>
        <v>0</v>
      </c>
      <c r="W721" s="22">
        <f t="shared" si="46"/>
        <v>0</v>
      </c>
    </row>
    <row r="722" spans="1:23" hidden="1" x14ac:dyDescent="0.25">
      <c r="A722" s="3">
        <v>45968</v>
      </c>
      <c r="B722" s="4" t="s">
        <v>334</v>
      </c>
      <c r="C722" s="4" t="s">
        <v>226</v>
      </c>
      <c r="D722" s="4"/>
      <c r="E722" s="4"/>
      <c r="F722" s="4" t="s">
        <v>604</v>
      </c>
      <c r="G722" s="4" t="s">
        <v>336</v>
      </c>
      <c r="H722" s="4" t="s">
        <v>289</v>
      </c>
      <c r="I722" s="4">
        <v>7.0000000000000007E-2</v>
      </c>
      <c r="J722" s="21">
        <v>150</v>
      </c>
      <c r="K722" s="21">
        <v>0</v>
      </c>
      <c r="L722" s="5">
        <v>0</v>
      </c>
      <c r="M722" s="4">
        <v>7.0000000000000007E-2</v>
      </c>
      <c r="N722" s="4"/>
      <c r="O722" s="5">
        <v>150</v>
      </c>
      <c r="P722" s="5"/>
      <c r="Q722" s="21">
        <v>10.500000000000002</v>
      </c>
      <c r="R722" s="21">
        <v>0</v>
      </c>
      <c r="S722" s="5">
        <f t="shared" si="47"/>
        <v>104216.66276015203</v>
      </c>
      <c r="T722" cm="1">
        <f t="array" ref="T722">IF(OR(B722="MAL ALIMI", B722="ÜRETİM GİRİŞ"), MIN(I722, MAX(0, I722 + SUM(SUMIFS($I$1:I721, $C$1:C721, C722, $B$1:B721, {"MAL ALIMI","ÜRETİM GİRİŞ"})) - VLOOKUP(C722, 'STOK RAPORU'!$C$2:$I$1000, 4, 0))), 0)</f>
        <v>0</v>
      </c>
      <c r="U722" s="22">
        <f t="shared" si="44"/>
        <v>0</v>
      </c>
      <c r="V722">
        <f t="shared" si="45"/>
        <v>0</v>
      </c>
      <c r="W722" s="22">
        <f t="shared" si="46"/>
        <v>0</v>
      </c>
    </row>
    <row r="723" spans="1:23" hidden="1" x14ac:dyDescent="0.25">
      <c r="A723" s="3">
        <v>45968</v>
      </c>
      <c r="B723" s="4" t="s">
        <v>334</v>
      </c>
      <c r="C723" s="4" t="s">
        <v>166</v>
      </c>
      <c r="D723" s="4"/>
      <c r="E723" s="4"/>
      <c r="F723" s="4" t="s">
        <v>605</v>
      </c>
      <c r="G723" s="4" t="s">
        <v>336</v>
      </c>
      <c r="H723" s="4" t="s">
        <v>289</v>
      </c>
      <c r="I723" s="4">
        <v>8.5999999999999993E-2</v>
      </c>
      <c r="J723" s="21">
        <v>770</v>
      </c>
      <c r="K723" s="21">
        <v>0</v>
      </c>
      <c r="L723" s="5">
        <v>0</v>
      </c>
      <c r="M723" s="4">
        <v>8.5999999999999993E-2</v>
      </c>
      <c r="N723" s="4"/>
      <c r="O723" s="5">
        <v>770</v>
      </c>
      <c r="P723" s="5"/>
      <c r="Q723" s="21">
        <v>66.22</v>
      </c>
      <c r="R723" s="21">
        <v>0</v>
      </c>
      <c r="S723" s="5">
        <f t="shared" si="47"/>
        <v>104282.88276015203</v>
      </c>
      <c r="T723" cm="1">
        <f t="array" ref="T723">IF(OR(B723="MAL ALIMI", B723="ÜRETİM GİRİŞ"), MIN(I723, MAX(0, I723 + SUM(SUMIFS($I$1:I722, $C$1:C722, C723, $B$1:B722, {"MAL ALIMI","ÜRETİM GİRİŞ"})) - VLOOKUP(C723, 'STOK RAPORU'!$C$2:$I$1000, 4, 0))), 0)</f>
        <v>0</v>
      </c>
      <c r="U723" s="22">
        <f t="shared" si="44"/>
        <v>0</v>
      </c>
      <c r="V723">
        <f t="shared" si="45"/>
        <v>0</v>
      </c>
      <c r="W723" s="22">
        <f t="shared" si="46"/>
        <v>0</v>
      </c>
    </row>
    <row r="724" spans="1:23" hidden="1" x14ac:dyDescent="0.25">
      <c r="A724" s="3">
        <v>45968</v>
      </c>
      <c r="B724" s="4" t="s">
        <v>334</v>
      </c>
      <c r="C724" s="4" t="s">
        <v>200</v>
      </c>
      <c r="D724" s="4"/>
      <c r="E724" s="4"/>
      <c r="F724" s="4" t="s">
        <v>606</v>
      </c>
      <c r="G724" s="4" t="s">
        <v>336</v>
      </c>
      <c r="H724" s="4" t="s">
        <v>289</v>
      </c>
      <c r="I724" s="4">
        <v>0.25</v>
      </c>
      <c r="J724" s="21">
        <v>380</v>
      </c>
      <c r="K724" s="21">
        <v>0</v>
      </c>
      <c r="L724" s="5">
        <v>0</v>
      </c>
      <c r="M724" s="4">
        <v>1</v>
      </c>
      <c r="N724" s="4"/>
      <c r="O724" s="5">
        <v>95</v>
      </c>
      <c r="P724" s="5"/>
      <c r="Q724" s="21">
        <v>95</v>
      </c>
      <c r="R724" s="21">
        <v>0</v>
      </c>
      <c r="S724" s="5">
        <f t="shared" si="47"/>
        <v>104377.88276015203</v>
      </c>
      <c r="T724" cm="1">
        <f t="array" ref="T724">IF(OR(B724="MAL ALIMI", B724="ÜRETİM GİRİŞ"), MIN(I724, MAX(0, I724 + SUM(SUMIFS($I$1:I723, $C$1:C723, C724, $B$1:B723, {"MAL ALIMI","ÜRETİM GİRİŞ"})) - VLOOKUP(C724, 'STOK RAPORU'!$C$2:$I$1000, 4, 0))), 0)</f>
        <v>0</v>
      </c>
      <c r="U724" s="22">
        <f t="shared" si="44"/>
        <v>0</v>
      </c>
      <c r="V724">
        <f t="shared" si="45"/>
        <v>0</v>
      </c>
      <c r="W724" s="22">
        <f t="shared" si="46"/>
        <v>0</v>
      </c>
    </row>
    <row r="725" spans="1:23" hidden="1" x14ac:dyDescent="0.25">
      <c r="A725" s="3">
        <v>45968</v>
      </c>
      <c r="B725" s="4" t="s">
        <v>334</v>
      </c>
      <c r="C725" s="4" t="s">
        <v>126</v>
      </c>
      <c r="D725" s="4"/>
      <c r="E725" s="4"/>
      <c r="F725" s="4" t="s">
        <v>607</v>
      </c>
      <c r="G725" s="4" t="s">
        <v>336</v>
      </c>
      <c r="H725" s="4" t="s">
        <v>289</v>
      </c>
      <c r="I725" s="4">
        <v>0.156</v>
      </c>
      <c r="J725" s="21">
        <v>640</v>
      </c>
      <c r="K725" s="21">
        <v>0</v>
      </c>
      <c r="L725" s="5">
        <v>0</v>
      </c>
      <c r="M725" s="4">
        <v>0.156</v>
      </c>
      <c r="N725" s="4"/>
      <c r="O725" s="5">
        <v>640</v>
      </c>
      <c r="P725" s="5"/>
      <c r="Q725" s="21">
        <v>99.84</v>
      </c>
      <c r="R725" s="21">
        <v>0</v>
      </c>
      <c r="S725" s="5">
        <f t="shared" si="47"/>
        <v>104477.72276015203</v>
      </c>
      <c r="T725" cm="1">
        <f t="array" ref="T725">IF(OR(B725="MAL ALIMI", B725="ÜRETİM GİRİŞ"), MIN(I725, MAX(0, I725 + SUM(SUMIFS($I$1:I724, $C$1:C724, C725, $B$1:B724, {"MAL ALIMI","ÜRETİM GİRİŞ"})) - VLOOKUP(C725, 'STOK RAPORU'!$C$2:$I$1000, 4, 0))), 0)</f>
        <v>0</v>
      </c>
      <c r="U725" s="22">
        <f t="shared" si="44"/>
        <v>0</v>
      </c>
      <c r="V725">
        <f t="shared" si="45"/>
        <v>0</v>
      </c>
      <c r="W725" s="22">
        <f t="shared" si="46"/>
        <v>0</v>
      </c>
    </row>
    <row r="726" spans="1:23" hidden="1" x14ac:dyDescent="0.25">
      <c r="A726" s="3">
        <v>45968</v>
      </c>
      <c r="B726" s="4" t="s">
        <v>334</v>
      </c>
      <c r="C726" s="4" t="s">
        <v>242</v>
      </c>
      <c r="D726" s="4"/>
      <c r="E726" s="4"/>
      <c r="F726" s="4" t="s">
        <v>608</v>
      </c>
      <c r="G726" s="4" t="s">
        <v>336</v>
      </c>
      <c r="H726" s="4" t="s">
        <v>289</v>
      </c>
      <c r="I726" s="4">
        <v>0.25900000000000001</v>
      </c>
      <c r="J726" s="21">
        <v>350</v>
      </c>
      <c r="K726" s="21">
        <v>0</v>
      </c>
      <c r="L726" s="5">
        <v>0</v>
      </c>
      <c r="M726" s="4">
        <v>0.25900000000000001</v>
      </c>
      <c r="N726" s="4"/>
      <c r="O726" s="5">
        <v>350</v>
      </c>
      <c r="P726" s="5"/>
      <c r="Q726" s="21">
        <v>90.65</v>
      </c>
      <c r="R726" s="21">
        <v>0</v>
      </c>
      <c r="S726" s="5">
        <f t="shared" si="47"/>
        <v>104568.37276015202</v>
      </c>
      <c r="T726" cm="1">
        <f t="array" ref="T726">IF(OR(B726="MAL ALIMI", B726="ÜRETİM GİRİŞ"), MIN(I726, MAX(0, I726 + SUM(SUMIFS($I$1:I725, $C$1:C725, C726, $B$1:B725, {"MAL ALIMI","ÜRETİM GİRİŞ"})) - VLOOKUP(C726, 'STOK RAPORU'!$C$2:$I$1000, 4, 0))), 0)</f>
        <v>0</v>
      </c>
      <c r="U726" s="22">
        <f t="shared" si="44"/>
        <v>0</v>
      </c>
      <c r="V726">
        <f t="shared" si="45"/>
        <v>0</v>
      </c>
      <c r="W726" s="22">
        <f t="shared" si="46"/>
        <v>0</v>
      </c>
    </row>
    <row r="727" spans="1:23" hidden="1" x14ac:dyDescent="0.25">
      <c r="A727" s="3">
        <v>45968</v>
      </c>
      <c r="B727" s="4" t="s">
        <v>334</v>
      </c>
      <c r="C727" s="4" t="s">
        <v>60</v>
      </c>
      <c r="D727" s="4"/>
      <c r="E727" s="4"/>
      <c r="F727" s="4" t="s">
        <v>608</v>
      </c>
      <c r="G727" s="4" t="s">
        <v>336</v>
      </c>
      <c r="H727" s="4" t="s">
        <v>289</v>
      </c>
      <c r="I727" s="4">
        <v>0.05</v>
      </c>
      <c r="J727" s="21">
        <v>1100</v>
      </c>
      <c r="K727" s="21">
        <v>0</v>
      </c>
      <c r="L727" s="5">
        <v>0</v>
      </c>
      <c r="M727" s="4">
        <v>1</v>
      </c>
      <c r="N727" s="4"/>
      <c r="O727" s="5">
        <v>55</v>
      </c>
      <c r="P727" s="5"/>
      <c r="Q727" s="21">
        <v>55</v>
      </c>
      <c r="R727" s="21">
        <v>0</v>
      </c>
      <c r="S727" s="5">
        <f t="shared" si="47"/>
        <v>104623.37276015202</v>
      </c>
      <c r="T727" cm="1">
        <f t="array" ref="T727">IF(OR(B727="MAL ALIMI", B727="ÜRETİM GİRİŞ"), MIN(I727, MAX(0, I727 + SUM(SUMIFS($I$1:I726, $C$1:C726, C727, $B$1:B726, {"MAL ALIMI","ÜRETİM GİRİŞ"})) - VLOOKUP(C727, 'STOK RAPORU'!$C$2:$I$1000, 4, 0))), 0)</f>
        <v>0</v>
      </c>
      <c r="U727" s="22">
        <f t="shared" si="44"/>
        <v>0</v>
      </c>
      <c r="V727">
        <f t="shared" si="45"/>
        <v>0</v>
      </c>
      <c r="W727" s="22">
        <f t="shared" si="46"/>
        <v>0</v>
      </c>
    </row>
    <row r="728" spans="1:23" hidden="1" x14ac:dyDescent="0.25">
      <c r="A728" s="3">
        <v>45968</v>
      </c>
      <c r="B728" s="4" t="s">
        <v>334</v>
      </c>
      <c r="C728" s="4" t="s">
        <v>601</v>
      </c>
      <c r="D728" s="4"/>
      <c r="E728" s="4"/>
      <c r="F728" s="4" t="s">
        <v>609</v>
      </c>
      <c r="G728" s="4" t="s">
        <v>336</v>
      </c>
      <c r="H728" s="4" t="s">
        <v>289</v>
      </c>
      <c r="I728" s="4">
        <v>0.502</v>
      </c>
      <c r="J728" s="21">
        <v>520</v>
      </c>
      <c r="K728" s="21">
        <v>0</v>
      </c>
      <c r="L728" s="5">
        <v>0</v>
      </c>
      <c r="M728" s="4">
        <v>0.502</v>
      </c>
      <c r="N728" s="4"/>
      <c r="O728" s="5">
        <v>520</v>
      </c>
      <c r="P728" s="5"/>
      <c r="Q728" s="21">
        <v>261.04000000000002</v>
      </c>
      <c r="R728" s="21">
        <v>0</v>
      </c>
      <c r="S728" s="5">
        <f t="shared" si="47"/>
        <v>104884.41276015202</v>
      </c>
      <c r="T728" cm="1">
        <f t="array" ref="T728">IF(OR(B728="MAL ALIMI", B728="ÜRETİM GİRİŞ"), MIN(I728, MAX(0, I728 + SUM(SUMIFS($I$1:I727, $C$1:C727, C728, $B$1:B727, {"MAL ALIMI","ÜRETİM GİRİŞ"})) - VLOOKUP(C728, 'STOK RAPORU'!$C$2:$I$1000, 4, 0))), 0)</f>
        <v>0</v>
      </c>
      <c r="U728" s="22">
        <f t="shared" si="44"/>
        <v>0</v>
      </c>
      <c r="V728">
        <f t="shared" si="45"/>
        <v>0</v>
      </c>
      <c r="W728" s="22">
        <f t="shared" si="46"/>
        <v>0</v>
      </c>
    </row>
    <row r="729" spans="1:23" hidden="1" x14ac:dyDescent="0.25">
      <c r="A729" s="3">
        <v>45968</v>
      </c>
      <c r="B729" s="4" t="s">
        <v>334</v>
      </c>
      <c r="C729" s="4" t="s">
        <v>251</v>
      </c>
      <c r="D729" s="4"/>
      <c r="E729" s="4"/>
      <c r="F729" s="4" t="s">
        <v>609</v>
      </c>
      <c r="G729" s="4" t="s">
        <v>336</v>
      </c>
      <c r="H729" s="4" t="s">
        <v>289</v>
      </c>
      <c r="I729" s="4">
        <v>0.58799999999999997</v>
      </c>
      <c r="J729" s="21">
        <v>670</v>
      </c>
      <c r="K729" s="21">
        <v>0</v>
      </c>
      <c r="L729" s="5">
        <v>0</v>
      </c>
      <c r="M729" s="4">
        <v>0.58799999999999997</v>
      </c>
      <c r="N729" s="4"/>
      <c r="O729" s="5">
        <v>670</v>
      </c>
      <c r="P729" s="5"/>
      <c r="Q729" s="21">
        <v>393.96</v>
      </c>
      <c r="R729" s="21">
        <v>0</v>
      </c>
      <c r="S729" s="5">
        <f t="shared" si="47"/>
        <v>105278.37276015202</v>
      </c>
      <c r="T729" cm="1">
        <f t="array" ref="T729">IF(OR(B729="MAL ALIMI", B729="ÜRETİM GİRİŞ"), MIN(I729, MAX(0, I729 + SUM(SUMIFS($I$1:I728, $C$1:C728, C729, $B$1:B728, {"MAL ALIMI","ÜRETİM GİRİŞ"})) - VLOOKUP(C729, 'STOK RAPORU'!$C$2:$I$1000, 4, 0))), 0)</f>
        <v>0</v>
      </c>
      <c r="U729" s="22">
        <f t="shared" si="44"/>
        <v>0</v>
      </c>
      <c r="V729">
        <f t="shared" si="45"/>
        <v>0</v>
      </c>
      <c r="W729" s="22">
        <f t="shared" si="46"/>
        <v>0</v>
      </c>
    </row>
    <row r="730" spans="1:23" hidden="1" x14ac:dyDescent="0.25">
      <c r="A730" s="3">
        <v>45968</v>
      </c>
      <c r="B730" s="4" t="s">
        <v>334</v>
      </c>
      <c r="C730" s="4" t="s">
        <v>222</v>
      </c>
      <c r="D730" s="4"/>
      <c r="E730" s="4"/>
      <c r="F730" s="4" t="s">
        <v>609</v>
      </c>
      <c r="G730" s="4" t="s">
        <v>336</v>
      </c>
      <c r="H730" s="4" t="s">
        <v>289</v>
      </c>
      <c r="I730" s="4">
        <v>0.36599999999999999</v>
      </c>
      <c r="J730" s="21">
        <v>600</v>
      </c>
      <c r="K730" s="21">
        <v>0</v>
      </c>
      <c r="L730" s="5">
        <v>0</v>
      </c>
      <c r="M730" s="4">
        <v>0.36599999999999999</v>
      </c>
      <c r="N730" s="4"/>
      <c r="O730" s="5">
        <v>600</v>
      </c>
      <c r="P730" s="5"/>
      <c r="Q730" s="21">
        <v>219.6</v>
      </c>
      <c r="R730" s="21">
        <v>0</v>
      </c>
      <c r="S730" s="5">
        <f t="shared" si="47"/>
        <v>105497.97276015203</v>
      </c>
      <c r="T730" cm="1">
        <f t="array" ref="T730">IF(OR(B730="MAL ALIMI", B730="ÜRETİM GİRİŞ"), MIN(I730, MAX(0, I730 + SUM(SUMIFS($I$1:I729, $C$1:C729, C730, $B$1:B729, {"MAL ALIMI","ÜRETİM GİRİŞ"})) - VLOOKUP(C730, 'STOK RAPORU'!$C$2:$I$1000, 4, 0))), 0)</f>
        <v>0</v>
      </c>
      <c r="U730" s="22">
        <f t="shared" si="44"/>
        <v>0</v>
      </c>
      <c r="V730">
        <f t="shared" si="45"/>
        <v>0</v>
      </c>
      <c r="W730" s="22">
        <f t="shared" si="46"/>
        <v>0</v>
      </c>
    </row>
    <row r="731" spans="1:23" hidden="1" x14ac:dyDescent="0.25">
      <c r="A731" s="3">
        <v>45968</v>
      </c>
      <c r="B731" s="4" t="s">
        <v>334</v>
      </c>
      <c r="C731" s="4" t="s">
        <v>236</v>
      </c>
      <c r="D731" s="4"/>
      <c r="E731" s="4"/>
      <c r="F731" s="4" t="s">
        <v>609</v>
      </c>
      <c r="G731" s="4" t="s">
        <v>336</v>
      </c>
      <c r="H731" s="4" t="s">
        <v>289</v>
      </c>
      <c r="I731" s="4">
        <v>0.19800000000000001</v>
      </c>
      <c r="J731" s="21">
        <v>350</v>
      </c>
      <c r="K731" s="21">
        <v>0</v>
      </c>
      <c r="L731" s="5">
        <v>0</v>
      </c>
      <c r="M731" s="4">
        <v>0.19800000000000001</v>
      </c>
      <c r="N731" s="4"/>
      <c r="O731" s="5">
        <v>350</v>
      </c>
      <c r="P731" s="5"/>
      <c r="Q731" s="21">
        <v>69.3</v>
      </c>
      <c r="R731" s="21">
        <v>0</v>
      </c>
      <c r="S731" s="5">
        <f t="shared" si="47"/>
        <v>105567.27276015203</v>
      </c>
      <c r="T731" cm="1">
        <f t="array" ref="T731">IF(OR(B731="MAL ALIMI", B731="ÜRETİM GİRİŞ"), MIN(I731, MAX(0, I731 + SUM(SUMIFS($I$1:I730, $C$1:C730, C731, $B$1:B730, {"MAL ALIMI","ÜRETİM GİRİŞ"})) - VLOOKUP(C731, 'STOK RAPORU'!$C$2:$I$1000, 4, 0))), 0)</f>
        <v>0</v>
      </c>
      <c r="U731" s="22">
        <f t="shared" si="44"/>
        <v>0</v>
      </c>
      <c r="V731">
        <f t="shared" si="45"/>
        <v>0</v>
      </c>
      <c r="W731" s="22">
        <f t="shared" si="46"/>
        <v>0</v>
      </c>
    </row>
    <row r="732" spans="1:23" hidden="1" x14ac:dyDescent="0.25">
      <c r="A732" s="3">
        <v>45968</v>
      </c>
      <c r="B732" s="4" t="s">
        <v>334</v>
      </c>
      <c r="C732" s="4" t="s">
        <v>199</v>
      </c>
      <c r="D732" s="4"/>
      <c r="E732" s="4"/>
      <c r="F732" s="4" t="s">
        <v>609</v>
      </c>
      <c r="G732" s="4" t="s">
        <v>336</v>
      </c>
      <c r="H732" s="4" t="s">
        <v>289</v>
      </c>
      <c r="I732" s="4">
        <v>0.39600000000000002</v>
      </c>
      <c r="J732" s="21">
        <v>930</v>
      </c>
      <c r="K732" s="21">
        <v>0</v>
      </c>
      <c r="L732" s="5">
        <v>0</v>
      </c>
      <c r="M732" s="4">
        <v>0.39600000000000002</v>
      </c>
      <c r="N732" s="4"/>
      <c r="O732" s="5">
        <v>930</v>
      </c>
      <c r="P732" s="5"/>
      <c r="Q732" s="21">
        <v>368.28000000000003</v>
      </c>
      <c r="R732" s="21">
        <v>0</v>
      </c>
      <c r="S732" s="5">
        <f t="shared" si="47"/>
        <v>105935.55276015203</v>
      </c>
      <c r="T732" cm="1">
        <f t="array" ref="T732">IF(OR(B732="MAL ALIMI", B732="ÜRETİM GİRİŞ"), MIN(I732, MAX(0, I732 + SUM(SUMIFS($I$1:I731, $C$1:C731, C732, $B$1:B731, {"MAL ALIMI","ÜRETİM GİRİŞ"})) - VLOOKUP(C732, 'STOK RAPORU'!$C$2:$I$1000, 4, 0))), 0)</f>
        <v>0</v>
      </c>
      <c r="U732" s="22">
        <f t="shared" si="44"/>
        <v>0</v>
      </c>
      <c r="V732">
        <f t="shared" si="45"/>
        <v>0</v>
      </c>
      <c r="W732" s="22">
        <f t="shared" si="46"/>
        <v>0</v>
      </c>
    </row>
    <row r="733" spans="1:23" hidden="1" x14ac:dyDescent="0.25">
      <c r="A733" s="3">
        <v>45968</v>
      </c>
      <c r="B733" s="4" t="s">
        <v>334</v>
      </c>
      <c r="C733" s="4" t="s">
        <v>598</v>
      </c>
      <c r="D733" s="4"/>
      <c r="E733" s="4"/>
      <c r="F733" s="4" t="s">
        <v>609</v>
      </c>
      <c r="G733" s="4" t="s">
        <v>336</v>
      </c>
      <c r="H733" s="4" t="s">
        <v>289</v>
      </c>
      <c r="I733" s="4">
        <v>0.47799999999999998</v>
      </c>
      <c r="J733" s="21">
        <v>290</v>
      </c>
      <c r="K733" s="21">
        <v>0</v>
      </c>
      <c r="L733" s="5">
        <v>0</v>
      </c>
      <c r="M733" s="4">
        <v>0.47799999999999998</v>
      </c>
      <c r="N733" s="4"/>
      <c r="O733" s="5">
        <v>290</v>
      </c>
      <c r="P733" s="5"/>
      <c r="Q733" s="21">
        <v>138.62</v>
      </c>
      <c r="R733" s="21">
        <v>0</v>
      </c>
      <c r="S733" s="5">
        <f t="shared" si="47"/>
        <v>106074.17276015203</v>
      </c>
      <c r="T733" cm="1">
        <f t="array" ref="T733">IF(OR(B733="MAL ALIMI", B733="ÜRETİM GİRİŞ"), MIN(I733, MAX(0, I733 + SUM(SUMIFS($I$1:I732, $C$1:C732, C733, $B$1:B732, {"MAL ALIMI","ÜRETİM GİRİŞ"})) - VLOOKUP(C733, 'STOK RAPORU'!$C$2:$I$1000, 4, 0))), 0)</f>
        <v>0</v>
      </c>
      <c r="U733" s="22">
        <f t="shared" si="44"/>
        <v>0</v>
      </c>
      <c r="V733">
        <f t="shared" si="45"/>
        <v>0</v>
      </c>
      <c r="W733" s="22">
        <f t="shared" si="46"/>
        <v>0</v>
      </c>
    </row>
    <row r="734" spans="1:23" hidden="1" x14ac:dyDescent="0.25">
      <c r="A734" s="3">
        <v>45968</v>
      </c>
      <c r="B734" s="4" t="s">
        <v>334</v>
      </c>
      <c r="C734" s="4" t="s">
        <v>464</v>
      </c>
      <c r="D734" s="4"/>
      <c r="E734" s="4"/>
      <c r="F734" s="4" t="s">
        <v>609</v>
      </c>
      <c r="G734" s="4" t="s">
        <v>336</v>
      </c>
      <c r="H734" s="4" t="s">
        <v>289</v>
      </c>
      <c r="I734" s="4">
        <v>1</v>
      </c>
      <c r="J734" s="21">
        <v>40</v>
      </c>
      <c r="K734" s="21">
        <v>0</v>
      </c>
      <c r="L734" s="5">
        <v>0</v>
      </c>
      <c r="M734" s="4">
        <v>1</v>
      </c>
      <c r="N734" s="4"/>
      <c r="O734" s="5">
        <v>40</v>
      </c>
      <c r="P734" s="5"/>
      <c r="Q734" s="21">
        <v>40</v>
      </c>
      <c r="R734" s="21">
        <v>0</v>
      </c>
      <c r="S734" s="5">
        <f t="shared" si="47"/>
        <v>106114.17276015203</v>
      </c>
      <c r="T734" cm="1">
        <f t="array" ref="T734">IF(OR(B734="MAL ALIMI", B734="ÜRETİM GİRİŞ"), MIN(I734, MAX(0, I734 + SUM(SUMIFS($I$1:I733, $C$1:C733, C734, $B$1:B733, {"MAL ALIMI","ÜRETİM GİRİŞ"})) - VLOOKUP(C734, 'STOK RAPORU'!$C$2:$I$1000, 4, 0))), 0)</f>
        <v>0</v>
      </c>
      <c r="U734" s="22">
        <f t="shared" si="44"/>
        <v>0</v>
      </c>
      <c r="V734">
        <f t="shared" si="45"/>
        <v>0</v>
      </c>
      <c r="W734" s="22">
        <f t="shared" si="46"/>
        <v>0</v>
      </c>
    </row>
    <row r="735" spans="1:23" hidden="1" x14ac:dyDescent="0.25">
      <c r="A735" s="3">
        <v>45968</v>
      </c>
      <c r="B735" s="4" t="s">
        <v>334</v>
      </c>
      <c r="C735" s="4" t="s">
        <v>205</v>
      </c>
      <c r="D735" s="4"/>
      <c r="E735" s="4"/>
      <c r="F735" s="4" t="s">
        <v>609</v>
      </c>
      <c r="G735" s="4" t="s">
        <v>336</v>
      </c>
      <c r="H735" s="4" t="s">
        <v>289</v>
      </c>
      <c r="I735" s="4">
        <v>2</v>
      </c>
      <c r="J735" s="21">
        <v>250</v>
      </c>
      <c r="K735" s="21">
        <v>0</v>
      </c>
      <c r="L735" s="5">
        <v>0</v>
      </c>
      <c r="M735" s="4">
        <v>2</v>
      </c>
      <c r="N735" s="4"/>
      <c r="O735" s="5">
        <v>250</v>
      </c>
      <c r="P735" s="5"/>
      <c r="Q735" s="21">
        <v>500</v>
      </c>
      <c r="R735" s="21">
        <v>0</v>
      </c>
      <c r="S735" s="5">
        <f t="shared" si="47"/>
        <v>106614.17276015203</v>
      </c>
      <c r="T735" cm="1">
        <f t="array" ref="T735">IF(OR(B735="MAL ALIMI", B735="ÜRETİM GİRİŞ"), MIN(I735, MAX(0, I735 + SUM(SUMIFS($I$1:I734, $C$1:C734, C735, $B$1:B734, {"MAL ALIMI","ÜRETİM GİRİŞ"})) - VLOOKUP(C735, 'STOK RAPORU'!$C$2:$I$1000, 4, 0))), 0)</f>
        <v>0</v>
      </c>
      <c r="U735" s="22">
        <f t="shared" si="44"/>
        <v>0</v>
      </c>
      <c r="V735">
        <f t="shared" si="45"/>
        <v>0</v>
      </c>
      <c r="W735" s="22">
        <f t="shared" si="46"/>
        <v>0</v>
      </c>
    </row>
    <row r="736" spans="1:23" hidden="1" x14ac:dyDescent="0.25">
      <c r="A736" s="3">
        <v>45968</v>
      </c>
      <c r="B736" s="4" t="s">
        <v>334</v>
      </c>
      <c r="C736" s="4" t="s">
        <v>140</v>
      </c>
      <c r="D736" s="4"/>
      <c r="E736" s="4" t="s">
        <v>921</v>
      </c>
      <c r="F736" s="4" t="s">
        <v>610</v>
      </c>
      <c r="G736" s="4" t="s">
        <v>336</v>
      </c>
      <c r="H736" s="4" t="s">
        <v>380</v>
      </c>
      <c r="I736" s="4">
        <v>0.09</v>
      </c>
      <c r="J736" s="21">
        <v>250</v>
      </c>
      <c r="K736" s="21">
        <v>22.5</v>
      </c>
      <c r="L736" s="5">
        <v>0</v>
      </c>
      <c r="M736" s="4">
        <v>0.09</v>
      </c>
      <c r="N736" s="4"/>
      <c r="O736" s="5">
        <v>250</v>
      </c>
      <c r="P736" s="5"/>
      <c r="Q736" s="21">
        <v>0</v>
      </c>
      <c r="R736" s="21">
        <v>0</v>
      </c>
      <c r="S736" s="5">
        <f t="shared" si="47"/>
        <v>106614.17276015203</v>
      </c>
      <c r="T736" cm="1">
        <f t="array" ref="T736">IF(OR(B736="MAL ALIMI", B736="ÜRETİM GİRİŞ"), MIN(I736, MAX(0, I736 + SUM(SUMIFS($I$1:I735, $C$1:C735, C736, $B$1:B735, {"MAL ALIMI","ÜRETİM GİRİŞ"})) - VLOOKUP(C736, 'STOK RAPORU'!$C$2:$I$1000, 4, 0))), 0)</f>
        <v>0</v>
      </c>
      <c r="U736" s="22">
        <f t="shared" si="44"/>
        <v>0</v>
      </c>
      <c r="V736">
        <f t="shared" si="45"/>
        <v>0</v>
      </c>
      <c r="W736" s="22">
        <f t="shared" si="46"/>
        <v>0</v>
      </c>
    </row>
    <row r="737" spans="1:23" hidden="1" x14ac:dyDescent="0.25">
      <c r="A737" s="3">
        <v>45968</v>
      </c>
      <c r="B737" s="4" t="s">
        <v>334</v>
      </c>
      <c r="C737" s="4" t="s">
        <v>133</v>
      </c>
      <c r="D737" s="4"/>
      <c r="E737" s="4" t="s">
        <v>921</v>
      </c>
      <c r="F737" s="4" t="s">
        <v>610</v>
      </c>
      <c r="G737" s="4" t="s">
        <v>336</v>
      </c>
      <c r="H737" s="4" t="s">
        <v>380</v>
      </c>
      <c r="I737" s="4">
        <v>8.5999999999999993E-2</v>
      </c>
      <c r="J737" s="21">
        <v>380</v>
      </c>
      <c r="K737" s="21">
        <v>32.68</v>
      </c>
      <c r="L737" s="5">
        <v>0</v>
      </c>
      <c r="M737" s="4">
        <v>8.5999999999999993E-2</v>
      </c>
      <c r="N737" s="4"/>
      <c r="O737" s="5">
        <v>380</v>
      </c>
      <c r="P737" s="5"/>
      <c r="Q737" s="21">
        <v>0</v>
      </c>
      <c r="R737" s="21">
        <v>0</v>
      </c>
      <c r="S737" s="5">
        <f t="shared" si="47"/>
        <v>106614.17276015203</v>
      </c>
      <c r="T737" cm="1">
        <f t="array" ref="T737">IF(OR(B737="MAL ALIMI", B737="ÜRETİM GİRİŞ"), MIN(I737, MAX(0, I737 + SUM(SUMIFS($I$1:I736, $C$1:C736, C737, $B$1:B736, {"MAL ALIMI","ÜRETİM GİRİŞ"})) - VLOOKUP(C737, 'STOK RAPORU'!$C$2:$I$1000, 4, 0))), 0)</f>
        <v>0</v>
      </c>
      <c r="U737" s="22">
        <f t="shared" si="44"/>
        <v>0</v>
      </c>
      <c r="V737">
        <f t="shared" si="45"/>
        <v>0</v>
      </c>
      <c r="W737" s="22">
        <f t="shared" si="46"/>
        <v>0</v>
      </c>
    </row>
    <row r="738" spans="1:23" hidden="1" x14ac:dyDescent="0.25">
      <c r="A738" s="3">
        <v>45968</v>
      </c>
      <c r="B738" s="4" t="s">
        <v>334</v>
      </c>
      <c r="C738" s="4" t="s">
        <v>129</v>
      </c>
      <c r="D738" s="4"/>
      <c r="E738" s="4" t="s">
        <v>921</v>
      </c>
      <c r="F738" s="4" t="s">
        <v>610</v>
      </c>
      <c r="G738" s="4" t="s">
        <v>336</v>
      </c>
      <c r="H738" s="4" t="s">
        <v>380</v>
      </c>
      <c r="I738" s="4">
        <v>0.122</v>
      </c>
      <c r="J738" s="21">
        <v>390</v>
      </c>
      <c r="K738" s="21">
        <v>47.58</v>
      </c>
      <c r="L738" s="5">
        <v>0</v>
      </c>
      <c r="M738" s="4">
        <v>0.122</v>
      </c>
      <c r="N738" s="4"/>
      <c r="O738" s="5">
        <v>390</v>
      </c>
      <c r="P738" s="5"/>
      <c r="Q738" s="21">
        <v>0</v>
      </c>
      <c r="R738" s="21">
        <v>0</v>
      </c>
      <c r="S738" s="5">
        <f t="shared" si="47"/>
        <v>106614.17276015203</v>
      </c>
      <c r="T738" cm="1">
        <f t="array" ref="T738">IF(OR(B738="MAL ALIMI", B738="ÜRETİM GİRİŞ"), MIN(I738, MAX(0, I738 + SUM(SUMIFS($I$1:I737, $C$1:C737, C738, $B$1:B737, {"MAL ALIMI","ÜRETİM GİRİŞ"})) - VLOOKUP(C738, 'STOK RAPORU'!$C$2:$I$1000, 4, 0))), 0)</f>
        <v>0</v>
      </c>
      <c r="U738" s="22">
        <f t="shared" si="44"/>
        <v>0</v>
      </c>
      <c r="V738">
        <f t="shared" si="45"/>
        <v>0</v>
      </c>
      <c r="W738" s="22">
        <f t="shared" si="46"/>
        <v>0</v>
      </c>
    </row>
    <row r="739" spans="1:23" hidden="1" x14ac:dyDescent="0.25">
      <c r="A739" s="3">
        <v>45968</v>
      </c>
      <c r="B739" s="4" t="s">
        <v>334</v>
      </c>
      <c r="C739" s="4" t="s">
        <v>91</v>
      </c>
      <c r="D739" s="4"/>
      <c r="E739" s="4" t="s">
        <v>921</v>
      </c>
      <c r="F739" s="4" t="s">
        <v>610</v>
      </c>
      <c r="G739" s="4" t="s">
        <v>336</v>
      </c>
      <c r="H739" s="4" t="s">
        <v>380</v>
      </c>
      <c r="I739" s="4">
        <v>6.4000000000000001E-2</v>
      </c>
      <c r="J739" s="21">
        <v>760</v>
      </c>
      <c r="K739" s="21">
        <v>48.64</v>
      </c>
      <c r="L739" s="5">
        <v>0</v>
      </c>
      <c r="M739" s="4">
        <v>6.4000000000000001E-2</v>
      </c>
      <c r="N739" s="4"/>
      <c r="O739" s="5">
        <v>760</v>
      </c>
      <c r="P739" s="5"/>
      <c r="Q739" s="21">
        <v>0</v>
      </c>
      <c r="R739" s="21">
        <v>0</v>
      </c>
      <c r="S739" s="5">
        <f t="shared" si="47"/>
        <v>106614.17276015203</v>
      </c>
      <c r="T739" cm="1">
        <f t="array" ref="T739">IF(OR(B739="MAL ALIMI", B739="ÜRETİM GİRİŞ"), MIN(I739, MAX(0, I739 + SUM(SUMIFS($I$1:I738, $C$1:C738, C739, $B$1:B738, {"MAL ALIMI","ÜRETİM GİRİŞ"})) - VLOOKUP(C739, 'STOK RAPORU'!$C$2:$I$1000, 4, 0))), 0)</f>
        <v>0</v>
      </c>
      <c r="U739" s="22">
        <f t="shared" si="44"/>
        <v>0</v>
      </c>
      <c r="V739">
        <f t="shared" si="45"/>
        <v>0</v>
      </c>
      <c r="W739" s="22">
        <f t="shared" si="46"/>
        <v>0</v>
      </c>
    </row>
    <row r="740" spans="1:23" hidden="1" x14ac:dyDescent="0.25">
      <c r="A740" s="3">
        <v>45969</v>
      </c>
      <c r="B740" s="4" t="s">
        <v>285</v>
      </c>
      <c r="C740" s="4"/>
      <c r="D740" s="4" t="s">
        <v>743</v>
      </c>
      <c r="E740" s="4" t="s">
        <v>856</v>
      </c>
      <c r="F740" s="4" t="s">
        <v>762</v>
      </c>
      <c r="G740" s="4" t="s">
        <v>763</v>
      </c>
      <c r="H740" s="4" t="s">
        <v>1329</v>
      </c>
      <c r="I740" s="4">
        <v>1</v>
      </c>
      <c r="J740" s="35">
        <v>373.72</v>
      </c>
      <c r="K740" s="35">
        <v>0</v>
      </c>
      <c r="L740" s="5">
        <v>373.72</v>
      </c>
      <c r="M740" s="31"/>
      <c r="N740" s="31">
        <v>1</v>
      </c>
      <c r="O740" s="32"/>
      <c r="P740" s="32">
        <v>373.72</v>
      </c>
      <c r="Q740" s="35">
        <v>0</v>
      </c>
      <c r="R740" s="35">
        <v>0</v>
      </c>
      <c r="S740" s="5">
        <f t="shared" si="47"/>
        <v>106614.17276015203</v>
      </c>
      <c r="T740" cm="1">
        <f t="array" ref="T740">IF(OR(B740="MAL ALIMI", B740="ÜRETİM GİRİŞ"), MIN(I740, MAX(0, I740 + SUM(SUMIFS($I$1:I739, $C$1:C739, C740, $B$1:B739, {"MAL ALIMI","ÜRETİM GİRİŞ"})) - VLOOKUP(C740, 'STOK RAPORU'!$C$2:$I$1000, 4, 0))), 0)</f>
        <v>0</v>
      </c>
      <c r="U740" s="22">
        <f t="shared" si="44"/>
        <v>0</v>
      </c>
      <c r="V740">
        <f t="shared" si="45"/>
        <v>0</v>
      </c>
      <c r="W740" s="22">
        <f t="shared" si="46"/>
        <v>0</v>
      </c>
    </row>
    <row r="741" spans="1:23" hidden="1" x14ac:dyDescent="0.25">
      <c r="A741" s="3">
        <v>45969</v>
      </c>
      <c r="B741" s="4" t="s">
        <v>298</v>
      </c>
      <c r="C741" s="4" t="s">
        <v>720</v>
      </c>
      <c r="D741" s="4"/>
      <c r="E741" s="4" t="s">
        <v>856</v>
      </c>
      <c r="F741" s="4" t="s">
        <v>769</v>
      </c>
      <c r="G741" s="4" t="s">
        <v>753</v>
      </c>
      <c r="H741" s="4" t="s">
        <v>1329</v>
      </c>
      <c r="I741" s="4">
        <v>3</v>
      </c>
      <c r="J741" s="35">
        <v>141.02000000000001</v>
      </c>
      <c r="K741" s="35">
        <v>0</v>
      </c>
      <c r="L741" s="5">
        <v>423.06000000000006</v>
      </c>
      <c r="M741" s="31"/>
      <c r="N741" s="31">
        <v>3</v>
      </c>
      <c r="O741" s="32"/>
      <c r="P741" s="32">
        <v>141.02000000000001</v>
      </c>
      <c r="Q741" s="35">
        <v>0</v>
      </c>
      <c r="R741" s="35">
        <v>0</v>
      </c>
      <c r="S741" s="5">
        <f t="shared" si="47"/>
        <v>106614.17276015203</v>
      </c>
      <c r="T741" cm="1">
        <f t="array" ref="T741">IF(OR(B741="MAL ALIMI", B741="ÜRETİM GİRİŞ"), MIN(I741, MAX(0, I741 + SUM(SUMIFS($I$1:I740, $C$1:C740, C741, $B$1:B740, {"MAL ALIMI","ÜRETİM GİRİŞ"})) - VLOOKUP(C741, 'STOK RAPORU'!$C$2:$I$1000, 4, 0))), 0)</f>
        <v>2</v>
      </c>
      <c r="U741" s="22">
        <f t="shared" si="44"/>
        <v>282.04000000000002</v>
      </c>
      <c r="V741">
        <f t="shared" si="45"/>
        <v>423.06000000000006</v>
      </c>
      <c r="W741" s="22">
        <f t="shared" si="46"/>
        <v>141.02000000000004</v>
      </c>
    </row>
    <row r="742" spans="1:23" hidden="1" x14ac:dyDescent="0.25">
      <c r="A742" s="3">
        <v>45969</v>
      </c>
      <c r="B742" s="4" t="s">
        <v>298</v>
      </c>
      <c r="C742" s="4" t="s">
        <v>718</v>
      </c>
      <c r="D742" s="4"/>
      <c r="E742" s="4" t="s">
        <v>856</v>
      </c>
      <c r="F742" s="4" t="s">
        <v>769</v>
      </c>
      <c r="G742" s="4" t="s">
        <v>753</v>
      </c>
      <c r="H742" s="4" t="s">
        <v>1329</v>
      </c>
      <c r="I742" s="4">
        <v>3</v>
      </c>
      <c r="J742" s="35">
        <v>56.696666666666665</v>
      </c>
      <c r="K742" s="35">
        <v>0</v>
      </c>
      <c r="L742" s="5">
        <v>170.09</v>
      </c>
      <c r="M742" s="31"/>
      <c r="N742" s="31">
        <v>3</v>
      </c>
      <c r="O742" s="32"/>
      <c r="P742" s="32">
        <v>56.696666666666665</v>
      </c>
      <c r="Q742" s="35">
        <v>0</v>
      </c>
      <c r="R742" s="35">
        <v>0</v>
      </c>
      <c r="S742" s="5">
        <f t="shared" si="47"/>
        <v>106614.17276015203</v>
      </c>
      <c r="T742" cm="1">
        <f t="array" ref="T742">IF(OR(B742="MAL ALIMI", B742="ÜRETİM GİRİŞ"), MIN(I742, MAX(0, I742 + SUM(SUMIFS($I$1:I741, $C$1:C741, C742, $B$1:B741, {"MAL ALIMI","ÜRETİM GİRİŞ"})) - VLOOKUP(C742, 'STOK RAPORU'!$C$2:$I$1000, 4, 0))), 0)</f>
        <v>2</v>
      </c>
      <c r="U742" s="22">
        <f t="shared" si="44"/>
        <v>113.39333333333333</v>
      </c>
      <c r="V742">
        <f t="shared" si="45"/>
        <v>170.09</v>
      </c>
      <c r="W742" s="22">
        <f t="shared" si="46"/>
        <v>56.696666666666673</v>
      </c>
    </row>
    <row r="743" spans="1:23" hidden="1" x14ac:dyDescent="0.25">
      <c r="A743" s="3">
        <v>45969</v>
      </c>
      <c r="B743" s="4" t="s">
        <v>285</v>
      </c>
      <c r="C743" s="4"/>
      <c r="D743" s="4" t="s">
        <v>107</v>
      </c>
      <c r="E743" s="4" t="s">
        <v>856</v>
      </c>
      <c r="F743" s="4" t="s">
        <v>769</v>
      </c>
      <c r="G743" s="4" t="s">
        <v>772</v>
      </c>
      <c r="H743" s="4" t="s">
        <v>1329</v>
      </c>
      <c r="I743" s="4">
        <v>1</v>
      </c>
      <c r="J743" s="35">
        <v>44.9</v>
      </c>
      <c r="K743" s="35">
        <v>0</v>
      </c>
      <c r="L743" s="5">
        <v>44.9</v>
      </c>
      <c r="M743" s="31"/>
      <c r="N743" s="31">
        <v>1</v>
      </c>
      <c r="O743" s="32"/>
      <c r="P743" s="32">
        <v>44.9</v>
      </c>
      <c r="Q743" s="35">
        <v>0</v>
      </c>
      <c r="R743" s="35">
        <v>0</v>
      </c>
      <c r="S743" s="5">
        <f t="shared" si="47"/>
        <v>106614.17276015203</v>
      </c>
      <c r="T743" cm="1">
        <f t="array" ref="T743">IF(OR(B743="MAL ALIMI", B743="ÜRETİM GİRİŞ"), MIN(I743, MAX(0, I743 + SUM(SUMIFS($I$1:I742, $C$1:C742, C743, $B$1:B742, {"MAL ALIMI","ÜRETİM GİRİŞ"})) - VLOOKUP(C743, 'STOK RAPORU'!$C$2:$I$1000, 4, 0))), 0)</f>
        <v>0</v>
      </c>
      <c r="U743" s="22">
        <f t="shared" si="44"/>
        <v>0</v>
      </c>
      <c r="V743">
        <f t="shared" si="45"/>
        <v>0</v>
      </c>
      <c r="W743" s="22">
        <f t="shared" si="46"/>
        <v>0</v>
      </c>
    </row>
    <row r="744" spans="1:23" hidden="1" x14ac:dyDescent="0.25">
      <c r="A744" s="3">
        <v>45969</v>
      </c>
      <c r="B744" s="4" t="s">
        <v>298</v>
      </c>
      <c r="C744" s="4" t="s">
        <v>256</v>
      </c>
      <c r="D744" s="4"/>
      <c r="E744" s="4" t="s">
        <v>856</v>
      </c>
      <c r="F744" s="4" t="s">
        <v>770</v>
      </c>
      <c r="G744" s="4" t="s">
        <v>753</v>
      </c>
      <c r="H744" s="4" t="s">
        <v>1329</v>
      </c>
      <c r="I744" s="4">
        <v>3</v>
      </c>
      <c r="J744" s="35">
        <v>135.59</v>
      </c>
      <c r="K744" s="35">
        <v>0</v>
      </c>
      <c r="L744" s="5">
        <v>406.77</v>
      </c>
      <c r="M744" s="31"/>
      <c r="N744" s="31">
        <v>3</v>
      </c>
      <c r="O744" s="32"/>
      <c r="P744" s="32">
        <v>135.59</v>
      </c>
      <c r="Q744" s="35">
        <v>0</v>
      </c>
      <c r="R744" s="35">
        <v>0</v>
      </c>
      <c r="S744" s="5">
        <f t="shared" si="47"/>
        <v>106614.17276015203</v>
      </c>
      <c r="T744" cm="1">
        <f t="array" ref="T744">IF(OR(B744="MAL ALIMI", B744="ÜRETİM GİRİŞ"), MIN(I744, MAX(0, I744 + SUM(SUMIFS($I$1:I743, $C$1:C743, C744, $B$1:B743, {"MAL ALIMI","ÜRETİM GİRİŞ"})) - VLOOKUP(C744, 'STOK RAPORU'!$C$2:$I$1000, 4, 0))), 0)</f>
        <v>0</v>
      </c>
      <c r="U744" s="22">
        <f t="shared" si="44"/>
        <v>0</v>
      </c>
      <c r="V744">
        <f t="shared" si="45"/>
        <v>406.77</v>
      </c>
      <c r="W744" s="22">
        <f t="shared" si="46"/>
        <v>406.77</v>
      </c>
    </row>
    <row r="745" spans="1:23" hidden="1" x14ac:dyDescent="0.25">
      <c r="A745" s="3">
        <v>45969</v>
      </c>
      <c r="B745" s="4" t="s">
        <v>298</v>
      </c>
      <c r="C745" s="4" t="s">
        <v>257</v>
      </c>
      <c r="D745" s="4"/>
      <c r="E745" s="4" t="s">
        <v>856</v>
      </c>
      <c r="F745" s="4" t="s">
        <v>770</v>
      </c>
      <c r="G745" s="4" t="s">
        <v>753</v>
      </c>
      <c r="H745" s="4" t="s">
        <v>1329</v>
      </c>
      <c r="I745" s="4">
        <v>3</v>
      </c>
      <c r="J745" s="35">
        <v>124.17</v>
      </c>
      <c r="K745" s="35">
        <v>0</v>
      </c>
      <c r="L745" s="5">
        <v>372.51</v>
      </c>
      <c r="M745" s="31"/>
      <c r="N745" s="31">
        <v>3</v>
      </c>
      <c r="O745" s="32"/>
      <c r="P745" s="32">
        <v>124.17</v>
      </c>
      <c r="Q745" s="35">
        <v>0</v>
      </c>
      <c r="R745" s="35">
        <v>0</v>
      </c>
      <c r="S745" s="5">
        <f t="shared" si="47"/>
        <v>106614.17276015203</v>
      </c>
      <c r="T745" cm="1">
        <f t="array" ref="T745">IF(OR(B745="MAL ALIMI", B745="ÜRETİM GİRİŞ"), MIN(I745, MAX(0, I745 + SUM(SUMIFS($I$1:I744, $C$1:C744, C745, $B$1:B744, {"MAL ALIMI","ÜRETİM GİRİŞ"})) - VLOOKUP(C745, 'STOK RAPORU'!$C$2:$I$1000, 4, 0))), 0)</f>
        <v>1</v>
      </c>
      <c r="U745" s="22">
        <f t="shared" si="44"/>
        <v>124.17</v>
      </c>
      <c r="V745">
        <f t="shared" si="45"/>
        <v>372.51</v>
      </c>
      <c r="W745" s="22">
        <f t="shared" si="46"/>
        <v>248.33999999999997</v>
      </c>
    </row>
    <row r="746" spans="1:23" hidden="1" x14ac:dyDescent="0.25">
      <c r="A746" s="3">
        <v>45969</v>
      </c>
      <c r="B746" s="4" t="s">
        <v>298</v>
      </c>
      <c r="C746" s="4" t="s">
        <v>719</v>
      </c>
      <c r="D746" s="4"/>
      <c r="E746" s="4" t="s">
        <v>856</v>
      </c>
      <c r="F746" s="4" t="s">
        <v>770</v>
      </c>
      <c r="G746" s="4" t="s">
        <v>753</v>
      </c>
      <c r="H746" s="4" t="s">
        <v>1329</v>
      </c>
      <c r="I746" s="4">
        <v>2</v>
      </c>
      <c r="J746" s="35">
        <v>170.97</v>
      </c>
      <c r="K746" s="35">
        <v>0</v>
      </c>
      <c r="L746" s="5">
        <v>341.94</v>
      </c>
      <c r="M746" s="31"/>
      <c r="N746" s="31">
        <v>2</v>
      </c>
      <c r="O746" s="32"/>
      <c r="P746" s="32">
        <v>170.97</v>
      </c>
      <c r="Q746" s="35">
        <v>0</v>
      </c>
      <c r="R746" s="35">
        <v>0</v>
      </c>
      <c r="S746" s="5">
        <f t="shared" si="47"/>
        <v>106614.17276015203</v>
      </c>
      <c r="T746" cm="1">
        <f t="array" ref="T746">IF(OR(B746="MAL ALIMI", B746="ÜRETİM GİRİŞ"), MIN(I746, MAX(0, I746 + SUM(SUMIFS($I$1:I745, $C$1:C745, C746, $B$1:B745, {"MAL ALIMI","ÜRETİM GİRİŞ"})) - VLOOKUP(C746, 'STOK RAPORU'!$C$2:$I$1000, 4, 0))), 0)</f>
        <v>0</v>
      </c>
      <c r="U746" s="22">
        <f t="shared" si="44"/>
        <v>0</v>
      </c>
      <c r="V746">
        <f t="shared" si="45"/>
        <v>341.94</v>
      </c>
      <c r="W746" s="22">
        <f t="shared" si="46"/>
        <v>341.94</v>
      </c>
    </row>
    <row r="747" spans="1:23" hidden="1" x14ac:dyDescent="0.25">
      <c r="A747" s="3">
        <v>45969</v>
      </c>
      <c r="B747" s="4" t="s">
        <v>334</v>
      </c>
      <c r="C747" s="4" t="s">
        <v>226</v>
      </c>
      <c r="D747" s="4"/>
      <c r="E747" s="4"/>
      <c r="F747" s="4" t="s">
        <v>611</v>
      </c>
      <c r="G747" s="4" t="s">
        <v>336</v>
      </c>
      <c r="H747" s="4" t="s">
        <v>289</v>
      </c>
      <c r="I747" s="4">
        <v>0.13400000000000001</v>
      </c>
      <c r="J747" s="21">
        <v>150</v>
      </c>
      <c r="K747" s="21">
        <v>0</v>
      </c>
      <c r="L747" s="5">
        <v>0</v>
      </c>
      <c r="M747" s="4">
        <v>0.13400000000000001</v>
      </c>
      <c r="N747" s="4"/>
      <c r="O747" s="5">
        <v>150</v>
      </c>
      <c r="P747" s="5"/>
      <c r="Q747" s="21">
        <v>20.100000000000001</v>
      </c>
      <c r="R747" s="21">
        <v>0</v>
      </c>
      <c r="S747" s="5">
        <f t="shared" si="47"/>
        <v>106634.27276015203</v>
      </c>
      <c r="T747" cm="1">
        <f t="array" ref="T747">IF(OR(B747="MAL ALIMI", B747="ÜRETİM GİRİŞ"), MIN(I747, MAX(0, I747 + SUM(SUMIFS($I$1:I746, $C$1:C746, C747, $B$1:B746, {"MAL ALIMI","ÜRETİM GİRİŞ"})) - VLOOKUP(C747, 'STOK RAPORU'!$C$2:$I$1000, 4, 0))), 0)</f>
        <v>0</v>
      </c>
      <c r="U747" s="22">
        <f t="shared" si="44"/>
        <v>0</v>
      </c>
      <c r="V747">
        <f t="shared" si="45"/>
        <v>0</v>
      </c>
      <c r="W747" s="22">
        <f t="shared" si="46"/>
        <v>0</v>
      </c>
    </row>
    <row r="748" spans="1:23" hidden="1" x14ac:dyDescent="0.25">
      <c r="A748" s="3">
        <v>45969</v>
      </c>
      <c r="B748" s="4" t="s">
        <v>334</v>
      </c>
      <c r="C748" s="4" t="s">
        <v>254</v>
      </c>
      <c r="D748" s="4"/>
      <c r="E748" s="4"/>
      <c r="F748" s="4" t="s">
        <v>611</v>
      </c>
      <c r="G748" s="4" t="s">
        <v>336</v>
      </c>
      <c r="H748" s="4" t="s">
        <v>289</v>
      </c>
      <c r="I748" s="4">
        <v>0.182</v>
      </c>
      <c r="J748" s="21">
        <v>190</v>
      </c>
      <c r="K748" s="21">
        <v>0</v>
      </c>
      <c r="L748" s="5">
        <v>0</v>
      </c>
      <c r="M748" s="4">
        <v>0.182</v>
      </c>
      <c r="N748" s="4"/>
      <c r="O748" s="5">
        <v>190</v>
      </c>
      <c r="P748" s="5"/>
      <c r="Q748" s="21">
        <v>34.58</v>
      </c>
      <c r="R748" s="21">
        <v>0</v>
      </c>
      <c r="S748" s="5">
        <f t="shared" si="47"/>
        <v>106668.85276015203</v>
      </c>
      <c r="T748" cm="1">
        <f t="array" ref="T748">IF(OR(B748="MAL ALIMI", B748="ÜRETİM GİRİŞ"), MIN(I748, MAX(0, I748 + SUM(SUMIFS($I$1:I747, $C$1:C747, C748, $B$1:B747, {"MAL ALIMI","ÜRETİM GİRİŞ"})) - VLOOKUP(C748, 'STOK RAPORU'!$C$2:$I$1000, 4, 0))), 0)</f>
        <v>0</v>
      </c>
      <c r="U748" s="22">
        <f t="shared" si="44"/>
        <v>0</v>
      </c>
      <c r="V748">
        <f t="shared" si="45"/>
        <v>0</v>
      </c>
      <c r="W748" s="22">
        <f t="shared" si="46"/>
        <v>0</v>
      </c>
    </row>
    <row r="749" spans="1:23" hidden="1" x14ac:dyDescent="0.25">
      <c r="A749" s="3">
        <v>45969</v>
      </c>
      <c r="B749" s="4" t="s">
        <v>334</v>
      </c>
      <c r="C749" s="4" t="s">
        <v>179</v>
      </c>
      <c r="D749" s="4"/>
      <c r="E749" s="4"/>
      <c r="F749" s="4" t="s">
        <v>611</v>
      </c>
      <c r="G749" s="4" t="s">
        <v>336</v>
      </c>
      <c r="H749" s="4" t="s">
        <v>289</v>
      </c>
      <c r="I749" s="4">
        <v>1</v>
      </c>
      <c r="J749" s="21">
        <v>160</v>
      </c>
      <c r="K749" s="21">
        <v>0</v>
      </c>
      <c r="L749" s="5">
        <v>0</v>
      </c>
      <c r="M749" s="4">
        <v>1</v>
      </c>
      <c r="N749" s="4"/>
      <c r="O749" s="5">
        <v>160</v>
      </c>
      <c r="P749" s="5"/>
      <c r="Q749" s="21">
        <v>160</v>
      </c>
      <c r="R749" s="21">
        <v>0</v>
      </c>
      <c r="S749" s="5">
        <f t="shared" si="47"/>
        <v>106828.85276015203</v>
      </c>
      <c r="T749" cm="1">
        <f t="array" ref="T749">IF(OR(B749="MAL ALIMI", B749="ÜRETİM GİRİŞ"), MIN(I749, MAX(0, I749 + SUM(SUMIFS($I$1:I748, $C$1:C748, C749, $B$1:B748, {"MAL ALIMI","ÜRETİM GİRİŞ"})) - VLOOKUP(C749, 'STOK RAPORU'!$C$2:$I$1000, 4, 0))), 0)</f>
        <v>0</v>
      </c>
      <c r="U749" s="22">
        <f t="shared" si="44"/>
        <v>0</v>
      </c>
      <c r="V749">
        <f t="shared" si="45"/>
        <v>0</v>
      </c>
      <c r="W749" s="22">
        <f t="shared" si="46"/>
        <v>0</v>
      </c>
    </row>
    <row r="750" spans="1:23" hidden="1" x14ac:dyDescent="0.25">
      <c r="A750" s="3">
        <v>45969</v>
      </c>
      <c r="B750" s="4" t="s">
        <v>334</v>
      </c>
      <c r="C750" s="4" t="s">
        <v>158</v>
      </c>
      <c r="D750" s="4"/>
      <c r="E750" s="4"/>
      <c r="F750" s="4" t="s">
        <v>611</v>
      </c>
      <c r="G750" s="4" t="s">
        <v>336</v>
      </c>
      <c r="H750" s="4" t="s">
        <v>289</v>
      </c>
      <c r="I750" s="4">
        <v>1.042</v>
      </c>
      <c r="J750" s="21">
        <v>130</v>
      </c>
      <c r="K750" s="21">
        <v>0</v>
      </c>
      <c r="L750" s="5">
        <v>0</v>
      </c>
      <c r="M750" s="4">
        <v>1.042</v>
      </c>
      <c r="N750" s="4"/>
      <c r="O750" s="5">
        <v>130</v>
      </c>
      <c r="P750" s="5"/>
      <c r="Q750" s="21">
        <v>135.46</v>
      </c>
      <c r="R750" s="21">
        <v>0</v>
      </c>
      <c r="S750" s="5">
        <f t="shared" si="47"/>
        <v>106964.31276015204</v>
      </c>
      <c r="T750" cm="1">
        <f t="array" ref="T750">IF(OR(B750="MAL ALIMI", B750="ÜRETİM GİRİŞ"), MIN(I750, MAX(0, I750 + SUM(SUMIFS($I$1:I749, $C$1:C749, C750, $B$1:B749, {"MAL ALIMI","ÜRETİM GİRİŞ"})) - VLOOKUP(C750, 'STOK RAPORU'!$C$2:$I$1000, 4, 0))), 0)</f>
        <v>0</v>
      </c>
      <c r="U750" s="22">
        <f t="shared" si="44"/>
        <v>0</v>
      </c>
      <c r="V750">
        <f t="shared" si="45"/>
        <v>0</v>
      </c>
      <c r="W750" s="22">
        <f t="shared" si="46"/>
        <v>0</v>
      </c>
    </row>
    <row r="751" spans="1:23" hidden="1" x14ac:dyDescent="0.25">
      <c r="A751" s="3">
        <v>45969</v>
      </c>
      <c r="B751" s="4" t="s">
        <v>334</v>
      </c>
      <c r="C751" s="4" t="s">
        <v>134</v>
      </c>
      <c r="D751" s="4"/>
      <c r="E751" s="4"/>
      <c r="F751" s="4" t="s">
        <v>611</v>
      </c>
      <c r="G751" s="4" t="s">
        <v>336</v>
      </c>
      <c r="H751" s="4" t="s">
        <v>289</v>
      </c>
      <c r="I751" s="4">
        <v>0.1</v>
      </c>
      <c r="J751" s="21">
        <v>600</v>
      </c>
      <c r="K751" s="21">
        <v>0</v>
      </c>
      <c r="L751" s="5">
        <v>0</v>
      </c>
      <c r="M751" s="4">
        <v>1</v>
      </c>
      <c r="N751" s="4"/>
      <c r="O751" s="5">
        <v>60</v>
      </c>
      <c r="P751" s="5"/>
      <c r="Q751" s="21">
        <v>60</v>
      </c>
      <c r="R751" s="21">
        <v>0</v>
      </c>
      <c r="S751" s="5">
        <f t="shared" si="47"/>
        <v>107024.31276015204</v>
      </c>
      <c r="T751" cm="1">
        <f t="array" ref="T751">IF(OR(B751="MAL ALIMI", B751="ÜRETİM GİRİŞ"), MIN(I751, MAX(0, I751 + SUM(SUMIFS($I$1:I750, $C$1:C750, C751, $B$1:B750, {"MAL ALIMI","ÜRETİM GİRİŞ"})) - VLOOKUP(C751, 'STOK RAPORU'!$C$2:$I$1000, 4, 0))), 0)</f>
        <v>0</v>
      </c>
      <c r="U751" s="22">
        <f t="shared" si="44"/>
        <v>0</v>
      </c>
      <c r="V751">
        <f t="shared" si="45"/>
        <v>0</v>
      </c>
      <c r="W751" s="22">
        <f t="shared" si="46"/>
        <v>0</v>
      </c>
    </row>
    <row r="752" spans="1:23" hidden="1" x14ac:dyDescent="0.25">
      <c r="A752" s="3">
        <v>45969</v>
      </c>
      <c r="B752" s="4" t="s">
        <v>334</v>
      </c>
      <c r="C752" s="4" t="s">
        <v>129</v>
      </c>
      <c r="D752" s="4"/>
      <c r="E752" s="4"/>
      <c r="F752" s="4" t="s">
        <v>612</v>
      </c>
      <c r="G752" s="4" t="s">
        <v>336</v>
      </c>
      <c r="H752" s="4" t="s">
        <v>289</v>
      </c>
      <c r="I752" s="4">
        <v>0.51300000000000001</v>
      </c>
      <c r="J752" s="21">
        <v>390</v>
      </c>
      <c r="K752" s="21">
        <v>0</v>
      </c>
      <c r="L752" s="5">
        <v>0</v>
      </c>
      <c r="M752" s="4">
        <v>0.51300000000000001</v>
      </c>
      <c r="N752" s="4"/>
      <c r="O752" s="5">
        <v>390</v>
      </c>
      <c r="P752" s="5"/>
      <c r="Q752" s="21">
        <v>200.07</v>
      </c>
      <c r="R752" s="21">
        <v>0</v>
      </c>
      <c r="S752" s="5">
        <f t="shared" si="47"/>
        <v>107224.38276015205</v>
      </c>
      <c r="T752" cm="1">
        <f t="array" ref="T752">IF(OR(B752="MAL ALIMI", B752="ÜRETİM GİRİŞ"), MIN(I752, MAX(0, I752 + SUM(SUMIFS($I$1:I751, $C$1:C751, C752, $B$1:B751, {"MAL ALIMI","ÜRETİM GİRİŞ"})) - VLOOKUP(C752, 'STOK RAPORU'!$C$2:$I$1000, 4, 0))), 0)</f>
        <v>0</v>
      </c>
      <c r="U752" s="22">
        <f t="shared" si="44"/>
        <v>0</v>
      </c>
      <c r="V752">
        <f t="shared" si="45"/>
        <v>0</v>
      </c>
      <c r="W752" s="22">
        <f t="shared" si="46"/>
        <v>0</v>
      </c>
    </row>
    <row r="753" spans="1:23" hidden="1" x14ac:dyDescent="0.25">
      <c r="A753" s="3">
        <v>45969</v>
      </c>
      <c r="B753" s="4" t="s">
        <v>334</v>
      </c>
      <c r="C753" s="4" t="s">
        <v>126</v>
      </c>
      <c r="D753" s="4"/>
      <c r="E753" s="4"/>
      <c r="F753" s="4" t="s">
        <v>612</v>
      </c>
      <c r="G753" s="4" t="s">
        <v>336</v>
      </c>
      <c r="H753" s="4" t="s">
        <v>289</v>
      </c>
      <c r="I753" s="4">
        <v>0.313</v>
      </c>
      <c r="J753" s="21">
        <v>640</v>
      </c>
      <c r="K753" s="21">
        <v>0</v>
      </c>
      <c r="L753" s="5">
        <v>0</v>
      </c>
      <c r="M753" s="4">
        <v>0.313</v>
      </c>
      <c r="N753" s="4"/>
      <c r="O753" s="5">
        <v>640</v>
      </c>
      <c r="P753" s="5"/>
      <c r="Q753" s="21">
        <v>200.32</v>
      </c>
      <c r="R753" s="21">
        <v>0</v>
      </c>
      <c r="S753" s="5">
        <f t="shared" si="47"/>
        <v>107424.70276015205</v>
      </c>
      <c r="T753" cm="1">
        <f t="array" ref="T753">IF(OR(B753="MAL ALIMI", B753="ÜRETİM GİRİŞ"), MIN(I753, MAX(0, I753 + SUM(SUMIFS($I$1:I752, $C$1:C752, C753, $B$1:B752, {"MAL ALIMI","ÜRETİM GİRİŞ"})) - VLOOKUP(C753, 'STOK RAPORU'!$C$2:$I$1000, 4, 0))), 0)</f>
        <v>0</v>
      </c>
      <c r="U753" s="22">
        <f t="shared" si="44"/>
        <v>0</v>
      </c>
      <c r="V753">
        <f t="shared" si="45"/>
        <v>0</v>
      </c>
      <c r="W753" s="22">
        <f t="shared" si="46"/>
        <v>0</v>
      </c>
    </row>
    <row r="754" spans="1:23" hidden="1" x14ac:dyDescent="0.25">
      <c r="A754" s="3">
        <v>45969</v>
      </c>
      <c r="B754" s="4" t="s">
        <v>334</v>
      </c>
      <c r="C754" s="59" t="s">
        <v>161</v>
      </c>
      <c r="D754" s="4"/>
      <c r="E754" s="4"/>
      <c r="F754" s="4" t="s">
        <v>612</v>
      </c>
      <c r="G754" s="4" t="s">
        <v>336</v>
      </c>
      <c r="H754" s="4" t="s">
        <v>289</v>
      </c>
      <c r="I754" s="4">
        <v>1</v>
      </c>
      <c r="J754" s="21">
        <v>200</v>
      </c>
      <c r="K754" s="21">
        <v>0</v>
      </c>
      <c r="L754" s="5">
        <v>0</v>
      </c>
      <c r="M754" s="4">
        <v>1</v>
      </c>
      <c r="N754" s="4"/>
      <c r="O754" s="5">
        <v>200</v>
      </c>
      <c r="P754" s="5"/>
      <c r="Q754" s="21">
        <v>200</v>
      </c>
      <c r="R754" s="21">
        <v>0</v>
      </c>
      <c r="S754" s="5">
        <f t="shared" si="47"/>
        <v>107624.70276015205</v>
      </c>
      <c r="T754" cm="1">
        <f t="array" ref="T754">IF(OR(B754="MAL ALIMI", B754="ÜRETİM GİRİŞ"), MIN(I754, MAX(0, I754 + SUM(SUMIFS($I$1:I753, $C$1:C753, C754, $B$1:B753, {"MAL ALIMI","ÜRETİM GİRİŞ"})) - VLOOKUP(C754, 'STOK RAPORU'!$C$2:$I$1000, 4, 0))), 0)</f>
        <v>0</v>
      </c>
      <c r="U754" s="22">
        <f t="shared" si="44"/>
        <v>0</v>
      </c>
      <c r="V754">
        <f t="shared" si="45"/>
        <v>0</v>
      </c>
      <c r="W754" s="22">
        <f t="shared" si="46"/>
        <v>0</v>
      </c>
    </row>
    <row r="755" spans="1:23" hidden="1" x14ac:dyDescent="0.25">
      <c r="A755" s="3">
        <v>45969</v>
      </c>
      <c r="B755" s="4" t="s">
        <v>334</v>
      </c>
      <c r="C755" s="4" t="s">
        <v>158</v>
      </c>
      <c r="D755" s="4"/>
      <c r="E755" s="4"/>
      <c r="F755" s="4" t="s">
        <v>612</v>
      </c>
      <c r="G755" s="4" t="s">
        <v>336</v>
      </c>
      <c r="H755" s="4" t="s">
        <v>289</v>
      </c>
      <c r="I755" s="4">
        <v>5</v>
      </c>
      <c r="J755" s="21">
        <v>180</v>
      </c>
      <c r="K755" s="21">
        <v>0</v>
      </c>
      <c r="L755" s="5">
        <v>0</v>
      </c>
      <c r="M755" s="4">
        <v>5</v>
      </c>
      <c r="N755" s="4"/>
      <c r="O755" s="5">
        <v>180</v>
      </c>
      <c r="P755" s="5"/>
      <c r="Q755" s="21">
        <v>900</v>
      </c>
      <c r="R755" s="21">
        <v>0</v>
      </c>
      <c r="S755" s="5">
        <f t="shared" si="47"/>
        <v>108524.70276015205</v>
      </c>
      <c r="T755" cm="1">
        <f t="array" ref="T755">IF(OR(B755="MAL ALIMI", B755="ÜRETİM GİRİŞ"), MIN(I755, MAX(0, I755 + SUM(SUMIFS($I$1:I754, $C$1:C754, C755, $B$1:B754, {"MAL ALIMI","ÜRETİM GİRİŞ"})) - VLOOKUP(C755, 'STOK RAPORU'!$C$2:$I$1000, 4, 0))), 0)</f>
        <v>0</v>
      </c>
      <c r="U755" s="22">
        <f t="shared" si="44"/>
        <v>0</v>
      </c>
      <c r="V755">
        <f t="shared" si="45"/>
        <v>0</v>
      </c>
      <c r="W755" s="22">
        <f t="shared" si="46"/>
        <v>0</v>
      </c>
    </row>
    <row r="756" spans="1:23" hidden="1" x14ac:dyDescent="0.25">
      <c r="A756" s="3">
        <v>45969</v>
      </c>
      <c r="B756" s="4" t="s">
        <v>334</v>
      </c>
      <c r="C756" s="59" t="s">
        <v>161</v>
      </c>
      <c r="D756" s="4"/>
      <c r="E756" s="4"/>
      <c r="F756" s="4" t="s">
        <v>612</v>
      </c>
      <c r="G756" s="4" t="s">
        <v>336</v>
      </c>
      <c r="H756" s="4" t="s">
        <v>289</v>
      </c>
      <c r="I756" s="4">
        <v>1</v>
      </c>
      <c r="J756" s="21">
        <v>200</v>
      </c>
      <c r="K756" s="21">
        <v>0</v>
      </c>
      <c r="L756" s="5">
        <v>0</v>
      </c>
      <c r="M756" s="4">
        <v>1</v>
      </c>
      <c r="N756" s="4"/>
      <c r="O756" s="5">
        <v>200</v>
      </c>
      <c r="P756" s="5"/>
      <c r="Q756" s="21">
        <v>200</v>
      </c>
      <c r="R756" s="21">
        <v>0</v>
      </c>
      <c r="S756" s="5">
        <f t="shared" si="47"/>
        <v>108724.70276015205</v>
      </c>
      <c r="T756" cm="1">
        <f t="array" ref="T756">IF(OR(B756="MAL ALIMI", B756="ÜRETİM GİRİŞ"), MIN(I756, MAX(0, I756 + SUM(SUMIFS($I$1:I755, $C$1:C755, C756, $B$1:B755, {"MAL ALIMI","ÜRETİM GİRİŞ"})) - VLOOKUP(C756, 'STOK RAPORU'!$C$2:$I$1000, 4, 0))), 0)</f>
        <v>0</v>
      </c>
      <c r="U756" s="22">
        <f t="shared" si="44"/>
        <v>0</v>
      </c>
      <c r="V756">
        <f t="shared" si="45"/>
        <v>0</v>
      </c>
      <c r="W756" s="22">
        <f t="shared" si="46"/>
        <v>0</v>
      </c>
    </row>
    <row r="757" spans="1:23" hidden="1" x14ac:dyDescent="0.25">
      <c r="A757" s="3">
        <v>45969</v>
      </c>
      <c r="B757" s="4" t="s">
        <v>334</v>
      </c>
      <c r="C757" s="4" t="s">
        <v>243</v>
      </c>
      <c r="D757" s="4"/>
      <c r="E757" s="4"/>
      <c r="F757" s="4" t="s">
        <v>612</v>
      </c>
      <c r="G757" s="4" t="s">
        <v>336</v>
      </c>
      <c r="H757" s="4" t="s">
        <v>289</v>
      </c>
      <c r="I757" s="4">
        <v>1</v>
      </c>
      <c r="J757" s="21">
        <v>180</v>
      </c>
      <c r="K757" s="21">
        <v>0</v>
      </c>
      <c r="L757" s="5">
        <v>0</v>
      </c>
      <c r="M757" s="4">
        <v>1</v>
      </c>
      <c r="N757" s="4"/>
      <c r="O757" s="5">
        <v>180</v>
      </c>
      <c r="P757" s="5"/>
      <c r="Q757" s="21">
        <v>180</v>
      </c>
      <c r="R757" s="21">
        <v>0</v>
      </c>
      <c r="S757" s="5">
        <f t="shared" si="47"/>
        <v>108904.70276015205</v>
      </c>
      <c r="T757" cm="1">
        <f t="array" ref="T757">IF(OR(B757="MAL ALIMI", B757="ÜRETİM GİRİŞ"), MIN(I757, MAX(0, I757 + SUM(SUMIFS($I$1:I756, $C$1:C756, C757, $B$1:B756, {"MAL ALIMI","ÜRETİM GİRİŞ"})) - VLOOKUP(C757, 'STOK RAPORU'!$C$2:$I$1000, 4, 0))), 0)</f>
        <v>0</v>
      </c>
      <c r="U757" s="22">
        <f t="shared" si="44"/>
        <v>0</v>
      </c>
      <c r="V757">
        <f t="shared" si="45"/>
        <v>0</v>
      </c>
      <c r="W757" s="22">
        <f t="shared" si="46"/>
        <v>0</v>
      </c>
    </row>
    <row r="758" spans="1:23" hidden="1" x14ac:dyDescent="0.25">
      <c r="A758" s="3">
        <v>45969</v>
      </c>
      <c r="B758" s="4" t="s">
        <v>334</v>
      </c>
      <c r="C758" s="4" t="s">
        <v>218</v>
      </c>
      <c r="D758" s="4"/>
      <c r="E758" s="4"/>
      <c r="F758" s="4" t="s">
        <v>612</v>
      </c>
      <c r="G758" s="4" t="s">
        <v>336</v>
      </c>
      <c r="H758" s="4" t="s">
        <v>289</v>
      </c>
      <c r="I758" s="4">
        <v>1</v>
      </c>
      <c r="J758" s="21">
        <v>295</v>
      </c>
      <c r="K758" s="21">
        <v>0</v>
      </c>
      <c r="L758" s="5">
        <v>0</v>
      </c>
      <c r="M758" s="4">
        <v>1</v>
      </c>
      <c r="N758" s="4"/>
      <c r="O758" s="5">
        <v>295</v>
      </c>
      <c r="P758" s="5"/>
      <c r="Q758" s="21">
        <v>295</v>
      </c>
      <c r="R758" s="21">
        <v>0</v>
      </c>
      <c r="S758" s="5">
        <f t="shared" si="47"/>
        <v>109199.70276015205</v>
      </c>
      <c r="T758" cm="1">
        <f t="array" ref="T758">IF(OR(B758="MAL ALIMI", B758="ÜRETİM GİRİŞ"), MIN(I758, MAX(0, I758 + SUM(SUMIFS($I$1:I757, $C$1:C757, C758, $B$1:B757, {"MAL ALIMI","ÜRETİM GİRİŞ"})) - VLOOKUP(C758, 'STOK RAPORU'!$C$2:$I$1000, 4, 0))), 0)</f>
        <v>0</v>
      </c>
      <c r="U758" s="22">
        <f t="shared" si="44"/>
        <v>0</v>
      </c>
      <c r="V758">
        <f t="shared" si="45"/>
        <v>0</v>
      </c>
      <c r="W758" s="22">
        <f t="shared" si="46"/>
        <v>0</v>
      </c>
    </row>
    <row r="759" spans="1:23" hidden="1" x14ac:dyDescent="0.25">
      <c r="A759" s="3">
        <v>45969</v>
      </c>
      <c r="B759" s="4" t="s">
        <v>334</v>
      </c>
      <c r="C759" s="4" t="s">
        <v>226</v>
      </c>
      <c r="D759" s="4"/>
      <c r="E759" s="4"/>
      <c r="F759" s="4" t="s">
        <v>612</v>
      </c>
      <c r="G759" s="4" t="s">
        <v>336</v>
      </c>
      <c r="H759" s="4" t="s">
        <v>289</v>
      </c>
      <c r="I759" s="4">
        <v>0.25800000000000001</v>
      </c>
      <c r="J759" s="21">
        <v>150</v>
      </c>
      <c r="K759" s="21">
        <v>0</v>
      </c>
      <c r="L759" s="5">
        <v>0</v>
      </c>
      <c r="M759" s="4">
        <v>0.25800000000000001</v>
      </c>
      <c r="N759" s="4"/>
      <c r="O759" s="5">
        <v>150</v>
      </c>
      <c r="P759" s="5"/>
      <c r="Q759" s="21">
        <v>38.700000000000003</v>
      </c>
      <c r="R759" s="21">
        <v>0</v>
      </c>
      <c r="S759" s="5">
        <f t="shared" si="47"/>
        <v>109238.40276015205</v>
      </c>
      <c r="T759" cm="1">
        <f t="array" ref="T759">IF(OR(B759="MAL ALIMI", B759="ÜRETİM GİRİŞ"), MIN(I759, MAX(0, I759 + SUM(SUMIFS($I$1:I758, $C$1:C758, C759, $B$1:B758, {"MAL ALIMI","ÜRETİM GİRİŞ"})) - VLOOKUP(C759, 'STOK RAPORU'!$C$2:$I$1000, 4, 0))), 0)</f>
        <v>0</v>
      </c>
      <c r="U759" s="22">
        <f t="shared" si="44"/>
        <v>0</v>
      </c>
      <c r="V759">
        <f t="shared" si="45"/>
        <v>0</v>
      </c>
      <c r="W759" s="22">
        <f t="shared" si="46"/>
        <v>0</v>
      </c>
    </row>
    <row r="760" spans="1:23" hidden="1" x14ac:dyDescent="0.25">
      <c r="A760" s="3">
        <v>45969</v>
      </c>
      <c r="B760" s="4" t="s">
        <v>334</v>
      </c>
      <c r="C760" s="4" t="s">
        <v>598</v>
      </c>
      <c r="D760" s="4"/>
      <c r="E760" s="4"/>
      <c r="F760" s="4" t="s">
        <v>612</v>
      </c>
      <c r="G760" s="4" t="s">
        <v>336</v>
      </c>
      <c r="H760" s="4" t="s">
        <v>289</v>
      </c>
      <c r="I760" s="4">
        <v>0.58399999999999996</v>
      </c>
      <c r="J760" s="21">
        <v>290</v>
      </c>
      <c r="K760" s="21">
        <v>0</v>
      </c>
      <c r="L760" s="5">
        <v>0</v>
      </c>
      <c r="M760" s="4">
        <v>0.58399999999999996</v>
      </c>
      <c r="N760" s="4"/>
      <c r="O760" s="5">
        <v>290</v>
      </c>
      <c r="P760" s="5"/>
      <c r="Q760" s="21">
        <v>169.35999999999999</v>
      </c>
      <c r="R760" s="21">
        <v>0</v>
      </c>
      <c r="S760" s="5">
        <f t="shared" si="47"/>
        <v>109407.76276015205</v>
      </c>
      <c r="T760" cm="1">
        <f t="array" ref="T760">IF(OR(B760="MAL ALIMI", B760="ÜRETİM GİRİŞ"), MIN(I760, MAX(0, I760 + SUM(SUMIFS($I$1:I759, $C$1:C759, C760, $B$1:B759, {"MAL ALIMI","ÜRETİM GİRİŞ"})) - VLOOKUP(C760, 'STOK RAPORU'!$C$2:$I$1000, 4, 0))), 0)</f>
        <v>0</v>
      </c>
      <c r="U760" s="22">
        <f t="shared" si="44"/>
        <v>0</v>
      </c>
      <c r="V760">
        <f t="shared" si="45"/>
        <v>0</v>
      </c>
      <c r="W760" s="22">
        <f t="shared" si="46"/>
        <v>0</v>
      </c>
    </row>
    <row r="761" spans="1:23" hidden="1" x14ac:dyDescent="0.25">
      <c r="A761" s="3">
        <v>45969</v>
      </c>
      <c r="B761" s="4" t="s">
        <v>334</v>
      </c>
      <c r="C761" s="4" t="s">
        <v>245</v>
      </c>
      <c r="D761" s="4"/>
      <c r="E761" s="4"/>
      <c r="F761" s="4" t="s">
        <v>612</v>
      </c>
      <c r="G761" s="4" t="s">
        <v>336</v>
      </c>
      <c r="H761" s="4" t="s">
        <v>289</v>
      </c>
      <c r="I761" s="4">
        <v>0.50800000000000001</v>
      </c>
      <c r="J761" s="21">
        <v>650</v>
      </c>
      <c r="K761" s="21">
        <v>0</v>
      </c>
      <c r="L761" s="5">
        <v>0</v>
      </c>
      <c r="M761" s="4">
        <v>0.50800000000000001</v>
      </c>
      <c r="N761" s="4"/>
      <c r="O761" s="5">
        <v>650</v>
      </c>
      <c r="P761" s="5"/>
      <c r="Q761" s="21">
        <v>330.2</v>
      </c>
      <c r="R761" s="21">
        <v>0</v>
      </c>
      <c r="S761" s="5">
        <f t="shared" si="47"/>
        <v>109737.96276015205</v>
      </c>
      <c r="T761" cm="1">
        <f t="array" ref="T761">IF(OR(B761="MAL ALIMI", B761="ÜRETİM GİRİŞ"), MIN(I761, MAX(0, I761 + SUM(SUMIFS($I$1:I760, $C$1:C760, C761, $B$1:B760, {"MAL ALIMI","ÜRETİM GİRİŞ"})) - VLOOKUP(C761, 'STOK RAPORU'!$C$2:$I$1000, 4, 0))), 0)</f>
        <v>0</v>
      </c>
      <c r="U761" s="22">
        <f t="shared" si="44"/>
        <v>0</v>
      </c>
      <c r="V761">
        <f t="shared" si="45"/>
        <v>0</v>
      </c>
      <c r="W761" s="22">
        <f t="shared" si="46"/>
        <v>0</v>
      </c>
    </row>
    <row r="762" spans="1:23" hidden="1" x14ac:dyDescent="0.25">
      <c r="A762" s="3">
        <v>45969</v>
      </c>
      <c r="B762" s="4" t="s">
        <v>334</v>
      </c>
      <c r="C762" s="4" t="s">
        <v>248</v>
      </c>
      <c r="D762" s="4"/>
      <c r="E762" s="4"/>
      <c r="F762" s="4" t="s">
        <v>612</v>
      </c>
      <c r="G762" s="4" t="s">
        <v>336</v>
      </c>
      <c r="H762" s="4" t="s">
        <v>289</v>
      </c>
      <c r="I762" s="4">
        <v>0.30599999999999999</v>
      </c>
      <c r="J762" s="21">
        <v>990</v>
      </c>
      <c r="K762" s="21">
        <v>0</v>
      </c>
      <c r="L762" s="5">
        <v>0</v>
      </c>
      <c r="M762" s="4">
        <v>0.30599999999999999</v>
      </c>
      <c r="N762" s="4"/>
      <c r="O762" s="5">
        <v>990</v>
      </c>
      <c r="P762" s="5"/>
      <c r="Q762" s="21">
        <v>302.94</v>
      </c>
      <c r="R762" s="21">
        <v>0</v>
      </c>
      <c r="S762" s="5">
        <f t="shared" si="47"/>
        <v>110040.90276015205</v>
      </c>
      <c r="T762" cm="1">
        <f t="array" ref="T762">IF(OR(B762="MAL ALIMI", B762="ÜRETİM GİRİŞ"), MIN(I762, MAX(0, I762 + SUM(SUMIFS($I$1:I761, $C$1:C761, C762, $B$1:B761, {"MAL ALIMI","ÜRETİM GİRİŞ"})) - VLOOKUP(C762, 'STOK RAPORU'!$C$2:$I$1000, 4, 0))), 0)</f>
        <v>0</v>
      </c>
      <c r="U762" s="22">
        <f t="shared" si="44"/>
        <v>0</v>
      </c>
      <c r="V762">
        <f t="shared" si="45"/>
        <v>0</v>
      </c>
      <c r="W762" s="22">
        <f t="shared" si="46"/>
        <v>0</v>
      </c>
    </row>
    <row r="763" spans="1:23" hidden="1" x14ac:dyDescent="0.25">
      <c r="A763" s="3">
        <v>45969</v>
      </c>
      <c r="B763" s="4" t="s">
        <v>334</v>
      </c>
      <c r="C763" s="4" t="s">
        <v>252</v>
      </c>
      <c r="D763" s="4"/>
      <c r="E763" s="4"/>
      <c r="F763" s="4" t="s">
        <v>612</v>
      </c>
      <c r="G763" s="4" t="s">
        <v>336</v>
      </c>
      <c r="H763" s="4" t="s">
        <v>289</v>
      </c>
      <c r="I763" s="4">
        <v>0.3</v>
      </c>
      <c r="J763" s="21">
        <v>190</v>
      </c>
      <c r="K763" s="21">
        <v>0</v>
      </c>
      <c r="L763" s="5">
        <v>0</v>
      </c>
      <c r="M763" s="4">
        <v>0.3</v>
      </c>
      <c r="N763" s="4"/>
      <c r="O763" s="5">
        <v>190</v>
      </c>
      <c r="P763" s="5"/>
      <c r="Q763" s="21">
        <v>57</v>
      </c>
      <c r="R763" s="21">
        <v>0</v>
      </c>
      <c r="S763" s="5">
        <f t="shared" si="47"/>
        <v>110097.90276015205</v>
      </c>
      <c r="T763" cm="1">
        <f t="array" ref="T763">IF(OR(B763="MAL ALIMI", B763="ÜRETİM GİRİŞ"), MIN(I763, MAX(0, I763 + SUM(SUMIFS($I$1:I762, $C$1:C762, C763, $B$1:B762, {"MAL ALIMI","ÜRETİM GİRİŞ"})) - VLOOKUP(C763, 'STOK RAPORU'!$C$2:$I$1000, 4, 0))), 0)</f>
        <v>0</v>
      </c>
      <c r="U763" s="22">
        <f t="shared" si="44"/>
        <v>0</v>
      </c>
      <c r="V763">
        <f t="shared" si="45"/>
        <v>0</v>
      </c>
      <c r="W763" s="22">
        <f t="shared" si="46"/>
        <v>0</v>
      </c>
    </row>
    <row r="764" spans="1:23" hidden="1" x14ac:dyDescent="0.25">
      <c r="A764" s="3">
        <v>45969</v>
      </c>
      <c r="B764" s="4" t="s">
        <v>334</v>
      </c>
      <c r="C764" s="4" t="s">
        <v>184</v>
      </c>
      <c r="D764" s="4"/>
      <c r="E764" s="4"/>
      <c r="F764" s="4" t="s">
        <v>612</v>
      </c>
      <c r="G764" s="4" t="s">
        <v>336</v>
      </c>
      <c r="H764" s="4" t="s">
        <v>289</v>
      </c>
      <c r="I764" s="4">
        <v>1</v>
      </c>
      <c r="J764" s="21">
        <v>220</v>
      </c>
      <c r="K764" s="21">
        <v>0</v>
      </c>
      <c r="L764" s="5">
        <v>0</v>
      </c>
      <c r="M764" s="4">
        <v>1</v>
      </c>
      <c r="N764" s="4"/>
      <c r="O764" s="5">
        <v>220</v>
      </c>
      <c r="P764" s="5"/>
      <c r="Q764" s="21">
        <v>220</v>
      </c>
      <c r="R764" s="21">
        <v>0</v>
      </c>
      <c r="S764" s="5">
        <f t="shared" si="47"/>
        <v>110317.90276015205</v>
      </c>
      <c r="T764" cm="1">
        <f t="array" ref="T764">IF(OR(B764="MAL ALIMI", B764="ÜRETİM GİRİŞ"), MIN(I764, MAX(0, I764 + SUM(SUMIFS($I$1:I763, $C$1:C763, C764, $B$1:B763, {"MAL ALIMI","ÜRETİM GİRİŞ"})) - VLOOKUP(C764, 'STOK RAPORU'!$C$2:$I$1000, 4, 0))), 0)</f>
        <v>0</v>
      </c>
      <c r="U764" s="22">
        <f t="shared" si="44"/>
        <v>0</v>
      </c>
      <c r="V764">
        <f t="shared" si="45"/>
        <v>0</v>
      </c>
      <c r="W764" s="22">
        <f t="shared" si="46"/>
        <v>0</v>
      </c>
    </row>
    <row r="765" spans="1:23" hidden="1" x14ac:dyDescent="0.25">
      <c r="A765" s="3">
        <v>45969</v>
      </c>
      <c r="B765" s="4" t="s">
        <v>334</v>
      </c>
      <c r="C765" s="4" t="s">
        <v>233</v>
      </c>
      <c r="D765" s="4"/>
      <c r="E765" s="4"/>
      <c r="F765" s="4" t="s">
        <v>612</v>
      </c>
      <c r="G765" s="4" t="s">
        <v>336</v>
      </c>
      <c r="H765" s="4" t="s">
        <v>289</v>
      </c>
      <c r="I765" s="4">
        <v>1</v>
      </c>
      <c r="J765" s="21">
        <v>190</v>
      </c>
      <c r="K765" s="21">
        <v>0</v>
      </c>
      <c r="L765" s="5">
        <v>0</v>
      </c>
      <c r="M765" s="4">
        <v>1</v>
      </c>
      <c r="N765" s="4"/>
      <c r="O765" s="5">
        <v>190</v>
      </c>
      <c r="P765" s="5"/>
      <c r="Q765" s="21">
        <v>190</v>
      </c>
      <c r="R765" s="21">
        <v>0</v>
      </c>
      <c r="S765" s="5">
        <f t="shared" si="47"/>
        <v>110507.90276015205</v>
      </c>
      <c r="T765" cm="1">
        <f t="array" ref="T765">IF(OR(B765="MAL ALIMI", B765="ÜRETİM GİRİŞ"), MIN(I765, MAX(0, I765 + SUM(SUMIFS($I$1:I764, $C$1:C764, C765, $B$1:B764, {"MAL ALIMI","ÜRETİM GİRİŞ"})) - VLOOKUP(C765, 'STOK RAPORU'!$C$2:$I$1000, 4, 0))), 0)</f>
        <v>0</v>
      </c>
      <c r="U765" s="22">
        <f t="shared" si="44"/>
        <v>0</v>
      </c>
      <c r="V765">
        <f t="shared" si="45"/>
        <v>0</v>
      </c>
      <c r="W765" s="22">
        <f t="shared" si="46"/>
        <v>0</v>
      </c>
    </row>
    <row r="766" spans="1:23" hidden="1" x14ac:dyDescent="0.25">
      <c r="A766" s="3">
        <v>45969</v>
      </c>
      <c r="B766" s="4" t="s">
        <v>334</v>
      </c>
      <c r="C766" s="4" t="s">
        <v>211</v>
      </c>
      <c r="D766" s="4"/>
      <c r="E766" s="4"/>
      <c r="F766" s="4" t="s">
        <v>612</v>
      </c>
      <c r="G766" s="4" t="s">
        <v>336</v>
      </c>
      <c r="H766" s="4" t="s">
        <v>289</v>
      </c>
      <c r="I766" s="4">
        <v>1</v>
      </c>
      <c r="J766" s="21">
        <v>300</v>
      </c>
      <c r="K766" s="21">
        <v>0</v>
      </c>
      <c r="L766" s="5">
        <v>0</v>
      </c>
      <c r="M766" s="4">
        <v>1</v>
      </c>
      <c r="N766" s="4"/>
      <c r="O766" s="5">
        <v>300</v>
      </c>
      <c r="P766" s="5"/>
      <c r="Q766" s="21">
        <v>300</v>
      </c>
      <c r="R766" s="21">
        <v>0</v>
      </c>
      <c r="S766" s="5">
        <f t="shared" si="47"/>
        <v>110807.90276015205</v>
      </c>
      <c r="T766" cm="1">
        <f t="array" ref="T766">IF(OR(B766="MAL ALIMI", B766="ÜRETİM GİRİŞ"), MIN(I766, MAX(0, I766 + SUM(SUMIFS($I$1:I765, $C$1:C765, C766, $B$1:B765, {"MAL ALIMI","ÜRETİM GİRİŞ"})) - VLOOKUP(C766, 'STOK RAPORU'!$C$2:$I$1000, 4, 0))), 0)</f>
        <v>0</v>
      </c>
      <c r="U766" s="22">
        <f t="shared" si="44"/>
        <v>0</v>
      </c>
      <c r="V766">
        <f t="shared" si="45"/>
        <v>0</v>
      </c>
      <c r="W766" s="22">
        <f t="shared" si="46"/>
        <v>0</v>
      </c>
    </row>
    <row r="767" spans="1:23" hidden="1" x14ac:dyDescent="0.25">
      <c r="A767" s="3">
        <v>45969</v>
      </c>
      <c r="B767" s="4" t="s">
        <v>334</v>
      </c>
      <c r="C767" s="4" t="s">
        <v>588</v>
      </c>
      <c r="D767" s="4"/>
      <c r="E767" s="4"/>
      <c r="F767" s="4" t="s">
        <v>612</v>
      </c>
      <c r="G767" s="4" t="s">
        <v>336</v>
      </c>
      <c r="H767" s="4" t="s">
        <v>289</v>
      </c>
      <c r="I767" s="4">
        <v>1</v>
      </c>
      <c r="J767" s="21">
        <v>350</v>
      </c>
      <c r="K767" s="21">
        <v>0</v>
      </c>
      <c r="L767" s="5">
        <v>0</v>
      </c>
      <c r="M767" s="4">
        <v>1</v>
      </c>
      <c r="N767" s="4"/>
      <c r="O767" s="5">
        <v>350</v>
      </c>
      <c r="P767" s="5"/>
      <c r="Q767" s="21">
        <v>350</v>
      </c>
      <c r="R767" s="21">
        <v>0</v>
      </c>
      <c r="S767" s="5">
        <f t="shared" si="47"/>
        <v>111157.90276015205</v>
      </c>
      <c r="T767" cm="1">
        <f t="array" ref="T767">IF(OR(B767="MAL ALIMI", B767="ÜRETİM GİRİŞ"), MIN(I767, MAX(0, I767 + SUM(SUMIFS($I$1:I766, $C$1:C766, C767, $B$1:B766, {"MAL ALIMI","ÜRETİM GİRİŞ"})) - VLOOKUP(C767, 'STOK RAPORU'!$C$2:$I$1000, 4, 0))), 0)</f>
        <v>0</v>
      </c>
      <c r="U767" s="22">
        <f t="shared" si="44"/>
        <v>0</v>
      </c>
      <c r="V767">
        <f t="shared" si="45"/>
        <v>0</v>
      </c>
      <c r="W767" s="22">
        <f t="shared" si="46"/>
        <v>0</v>
      </c>
    </row>
    <row r="768" spans="1:23" hidden="1" x14ac:dyDescent="0.25">
      <c r="A768" s="3">
        <v>45969</v>
      </c>
      <c r="B768" s="4" t="s">
        <v>334</v>
      </c>
      <c r="C768" s="4" t="s">
        <v>160</v>
      </c>
      <c r="D768" s="4"/>
      <c r="E768" s="4"/>
      <c r="F768" s="4" t="s">
        <v>612</v>
      </c>
      <c r="G768" s="4" t="s">
        <v>336</v>
      </c>
      <c r="H768" s="4" t="s">
        <v>289</v>
      </c>
      <c r="I768" s="4">
        <v>1</v>
      </c>
      <c r="J768" s="21">
        <v>240</v>
      </c>
      <c r="K768" s="21">
        <v>0</v>
      </c>
      <c r="L768" s="5">
        <v>0</v>
      </c>
      <c r="M768" s="4">
        <v>1</v>
      </c>
      <c r="N768" s="4"/>
      <c r="O768" s="5">
        <v>240</v>
      </c>
      <c r="P768" s="5"/>
      <c r="Q768" s="21">
        <v>240</v>
      </c>
      <c r="R768" s="21">
        <v>0</v>
      </c>
      <c r="S768" s="5">
        <f t="shared" si="47"/>
        <v>111397.90276015205</v>
      </c>
      <c r="T768" cm="1">
        <f t="array" ref="T768">IF(OR(B768="MAL ALIMI", B768="ÜRETİM GİRİŞ"), MIN(I768, MAX(0, I768 + SUM(SUMIFS($I$1:I767, $C$1:C767, C768, $B$1:B767, {"MAL ALIMI","ÜRETİM GİRİŞ"})) - VLOOKUP(C768, 'STOK RAPORU'!$C$2:$I$1000, 4, 0))), 0)</f>
        <v>0</v>
      </c>
      <c r="U768" s="22">
        <f t="shared" si="44"/>
        <v>0</v>
      </c>
      <c r="V768">
        <f t="shared" si="45"/>
        <v>0</v>
      </c>
      <c r="W768" s="22">
        <f t="shared" si="46"/>
        <v>0</v>
      </c>
    </row>
    <row r="769" spans="1:23" hidden="1" x14ac:dyDescent="0.25">
      <c r="A769" s="3">
        <v>45969</v>
      </c>
      <c r="B769" s="4" t="s">
        <v>334</v>
      </c>
      <c r="C769" s="59" t="s">
        <v>161</v>
      </c>
      <c r="D769" s="4"/>
      <c r="E769" s="4"/>
      <c r="F769" s="4" t="s">
        <v>612</v>
      </c>
      <c r="G769" s="4" t="s">
        <v>336</v>
      </c>
      <c r="H769" s="4" t="s">
        <v>289</v>
      </c>
      <c r="I769" s="4">
        <v>1</v>
      </c>
      <c r="J769" s="21">
        <v>200</v>
      </c>
      <c r="K769" s="21">
        <v>0</v>
      </c>
      <c r="L769" s="5">
        <v>0</v>
      </c>
      <c r="M769" s="4">
        <v>1</v>
      </c>
      <c r="N769" s="4"/>
      <c r="O769" s="5">
        <v>200</v>
      </c>
      <c r="P769" s="5"/>
      <c r="Q769" s="21">
        <v>200</v>
      </c>
      <c r="R769" s="21">
        <v>0</v>
      </c>
      <c r="S769" s="5">
        <f t="shared" si="47"/>
        <v>111597.90276015205</v>
      </c>
      <c r="T769" cm="1">
        <f t="array" ref="T769">IF(OR(B769="MAL ALIMI", B769="ÜRETİM GİRİŞ"), MIN(I769, MAX(0, I769 + SUM(SUMIFS($I$1:I768, $C$1:C768, C769, $B$1:B768, {"MAL ALIMI","ÜRETİM GİRİŞ"})) - VLOOKUP(C769, 'STOK RAPORU'!$C$2:$I$1000, 4, 0))), 0)</f>
        <v>0</v>
      </c>
      <c r="U769" s="22">
        <f t="shared" si="44"/>
        <v>0</v>
      </c>
      <c r="V769">
        <f t="shared" si="45"/>
        <v>0</v>
      </c>
      <c r="W769" s="22">
        <f t="shared" si="46"/>
        <v>0</v>
      </c>
    </row>
    <row r="770" spans="1:23" hidden="1" x14ac:dyDescent="0.25">
      <c r="A770" s="3">
        <v>45969</v>
      </c>
      <c r="B770" s="4" t="s">
        <v>334</v>
      </c>
      <c r="C770" s="4" t="s">
        <v>132</v>
      </c>
      <c r="D770" s="4"/>
      <c r="E770" s="4"/>
      <c r="F770" s="4" t="s">
        <v>612</v>
      </c>
      <c r="G770" s="4" t="s">
        <v>336</v>
      </c>
      <c r="H770" s="4" t="s">
        <v>289</v>
      </c>
      <c r="I770" s="4">
        <v>0.5</v>
      </c>
      <c r="J770" s="21">
        <v>500</v>
      </c>
      <c r="K770" s="21">
        <v>0</v>
      </c>
      <c r="L770" s="5">
        <v>0</v>
      </c>
      <c r="M770" s="4">
        <v>0.5</v>
      </c>
      <c r="N770" s="4"/>
      <c r="O770" s="5">
        <v>500</v>
      </c>
      <c r="P770" s="5"/>
      <c r="Q770" s="21">
        <v>250</v>
      </c>
      <c r="R770" s="21">
        <v>0</v>
      </c>
      <c r="S770" s="5">
        <f t="shared" si="47"/>
        <v>111847.90276015205</v>
      </c>
      <c r="T770" cm="1">
        <f t="array" ref="T770">IF(OR(B770="MAL ALIMI", B770="ÜRETİM GİRİŞ"), MIN(I770, MAX(0, I770 + SUM(SUMIFS($I$1:I769, $C$1:C769, C770, $B$1:B769, {"MAL ALIMI","ÜRETİM GİRİŞ"})) - VLOOKUP(C770, 'STOK RAPORU'!$C$2:$I$1000, 4, 0))), 0)</f>
        <v>0</v>
      </c>
      <c r="U770" s="22">
        <f t="shared" si="44"/>
        <v>0</v>
      </c>
      <c r="V770">
        <f t="shared" si="45"/>
        <v>0</v>
      </c>
      <c r="W770" s="22">
        <f t="shared" si="46"/>
        <v>0</v>
      </c>
    </row>
    <row r="771" spans="1:23" hidden="1" x14ac:dyDescent="0.25">
      <c r="A771" s="3">
        <v>45969</v>
      </c>
      <c r="B771" s="4" t="s">
        <v>334</v>
      </c>
      <c r="C771" s="4" t="s">
        <v>202</v>
      </c>
      <c r="D771" s="4"/>
      <c r="E771" s="4"/>
      <c r="F771" s="4" t="s">
        <v>612</v>
      </c>
      <c r="G771" s="4" t="s">
        <v>336</v>
      </c>
      <c r="H771" s="4" t="s">
        <v>289</v>
      </c>
      <c r="I771" s="4">
        <v>0.5</v>
      </c>
      <c r="J771" s="21">
        <v>80</v>
      </c>
      <c r="K771" s="21">
        <v>0</v>
      </c>
      <c r="L771" s="5">
        <v>0</v>
      </c>
      <c r="M771" s="4">
        <v>1</v>
      </c>
      <c r="N771" s="4"/>
      <c r="O771" s="5">
        <v>40</v>
      </c>
      <c r="P771" s="5"/>
      <c r="Q771" s="21">
        <v>40</v>
      </c>
      <c r="R771" s="21">
        <v>0</v>
      </c>
      <c r="S771" s="5">
        <f t="shared" si="47"/>
        <v>111887.90276015205</v>
      </c>
      <c r="T771" cm="1">
        <f t="array" ref="T771">IF(OR(B771="MAL ALIMI", B771="ÜRETİM GİRİŞ"), MIN(I771, MAX(0, I771 + SUM(SUMIFS($I$1:I770, $C$1:C770, C771, $B$1:B770, {"MAL ALIMI","ÜRETİM GİRİŞ"})) - VLOOKUP(C771, 'STOK RAPORU'!$C$2:$I$1000, 4, 0))), 0)</f>
        <v>0</v>
      </c>
      <c r="U771" s="22">
        <f t="shared" ref="U771:U834" si="48">T771*J771</f>
        <v>0</v>
      </c>
      <c r="V771">
        <f t="shared" ref="V771:V834" si="49">IF(OR(B771="MAL ALIMI", B771="ÜRETİM GİRİŞ"), I771 * J771, 0)</f>
        <v>0</v>
      </c>
      <c r="W771" s="22">
        <f t="shared" ref="W771:W834" si="50">V771-U771</f>
        <v>0</v>
      </c>
    </row>
    <row r="772" spans="1:23" hidden="1" x14ac:dyDescent="0.25">
      <c r="A772" s="3">
        <v>45969</v>
      </c>
      <c r="B772" s="4" t="s">
        <v>334</v>
      </c>
      <c r="C772" s="4" t="s">
        <v>208</v>
      </c>
      <c r="D772" s="4"/>
      <c r="E772" s="4"/>
      <c r="F772" s="4" t="s">
        <v>612</v>
      </c>
      <c r="G772" s="4" t="s">
        <v>336</v>
      </c>
      <c r="H772" s="4" t="s">
        <v>289</v>
      </c>
      <c r="I772" s="4">
        <v>0.5</v>
      </c>
      <c r="J772" s="21">
        <v>140</v>
      </c>
      <c r="K772" s="21">
        <v>0</v>
      </c>
      <c r="L772" s="5">
        <v>0</v>
      </c>
      <c r="M772" s="4">
        <v>1</v>
      </c>
      <c r="N772" s="4"/>
      <c r="O772" s="5">
        <v>70</v>
      </c>
      <c r="P772" s="5"/>
      <c r="Q772" s="21">
        <v>70</v>
      </c>
      <c r="R772" s="21">
        <v>0</v>
      </c>
      <c r="S772" s="5">
        <f t="shared" ref="S772:S835" si="51">S771+Q772-R772</f>
        <v>111957.90276015205</v>
      </c>
      <c r="T772" cm="1">
        <f t="array" ref="T772">IF(OR(B772="MAL ALIMI", B772="ÜRETİM GİRİŞ"), MIN(I772, MAX(0, I772 + SUM(SUMIFS($I$1:I771, $C$1:C771, C772, $B$1:B771, {"MAL ALIMI","ÜRETİM GİRİŞ"})) - VLOOKUP(C772, 'STOK RAPORU'!$C$2:$I$1000, 4, 0))), 0)</f>
        <v>0</v>
      </c>
      <c r="U772" s="22">
        <f t="shared" si="48"/>
        <v>0</v>
      </c>
      <c r="V772">
        <f t="shared" si="49"/>
        <v>0</v>
      </c>
      <c r="W772" s="22">
        <f t="shared" si="50"/>
        <v>0</v>
      </c>
    </row>
    <row r="773" spans="1:23" hidden="1" x14ac:dyDescent="0.25">
      <c r="A773" s="3">
        <v>45969</v>
      </c>
      <c r="B773" s="4" t="s">
        <v>334</v>
      </c>
      <c r="C773" s="4" t="s">
        <v>91</v>
      </c>
      <c r="D773" s="4"/>
      <c r="E773" s="4"/>
      <c r="F773" s="4" t="s">
        <v>612</v>
      </c>
      <c r="G773" s="4" t="s">
        <v>336</v>
      </c>
      <c r="H773" s="4" t="s">
        <v>289</v>
      </c>
      <c r="I773" s="4">
        <v>0.14000000000000001</v>
      </c>
      <c r="J773" s="21">
        <v>760</v>
      </c>
      <c r="K773" s="21">
        <v>0</v>
      </c>
      <c r="L773" s="5">
        <v>0</v>
      </c>
      <c r="M773" s="4">
        <v>0.14000000000000001</v>
      </c>
      <c r="N773" s="4"/>
      <c r="O773" s="5">
        <v>760</v>
      </c>
      <c r="P773" s="5"/>
      <c r="Q773" s="21">
        <v>106.4</v>
      </c>
      <c r="R773" s="21">
        <v>0</v>
      </c>
      <c r="S773" s="5">
        <f t="shared" si="51"/>
        <v>112064.30276015204</v>
      </c>
      <c r="T773" cm="1">
        <f t="array" ref="T773">IF(OR(B773="MAL ALIMI", B773="ÜRETİM GİRİŞ"), MIN(I773, MAX(0, I773 + SUM(SUMIFS($I$1:I772, $C$1:C772, C773, $B$1:B772, {"MAL ALIMI","ÜRETİM GİRİŞ"})) - VLOOKUP(C773, 'STOK RAPORU'!$C$2:$I$1000, 4, 0))), 0)</f>
        <v>0</v>
      </c>
      <c r="U773" s="22">
        <f t="shared" si="48"/>
        <v>0</v>
      </c>
      <c r="V773">
        <f t="shared" si="49"/>
        <v>0</v>
      </c>
      <c r="W773" s="22">
        <f t="shared" si="50"/>
        <v>0</v>
      </c>
    </row>
    <row r="774" spans="1:23" hidden="1" x14ac:dyDescent="0.25">
      <c r="A774" s="3">
        <v>45969</v>
      </c>
      <c r="B774" s="4" t="s">
        <v>334</v>
      </c>
      <c r="C774" s="4" t="s">
        <v>464</v>
      </c>
      <c r="D774" s="4"/>
      <c r="E774" s="4"/>
      <c r="F774" s="4" t="s">
        <v>612</v>
      </c>
      <c r="G774" s="4" t="s">
        <v>336</v>
      </c>
      <c r="H774" s="4" t="s">
        <v>289</v>
      </c>
      <c r="I774" s="4">
        <v>3</v>
      </c>
      <c r="J774" s="21">
        <v>40</v>
      </c>
      <c r="K774" s="21">
        <v>0</v>
      </c>
      <c r="L774" s="5">
        <v>0</v>
      </c>
      <c r="M774" s="4">
        <v>3</v>
      </c>
      <c r="N774" s="4"/>
      <c r="O774" s="5">
        <v>40</v>
      </c>
      <c r="P774" s="5"/>
      <c r="Q774" s="21">
        <v>120</v>
      </c>
      <c r="R774" s="21">
        <v>0</v>
      </c>
      <c r="S774" s="5">
        <f t="shared" si="51"/>
        <v>112184.30276015204</v>
      </c>
      <c r="T774" cm="1">
        <f t="array" ref="T774">IF(OR(B774="MAL ALIMI", B774="ÜRETİM GİRİŞ"), MIN(I774, MAX(0, I774 + SUM(SUMIFS($I$1:I773, $C$1:C773, C774, $B$1:B773, {"MAL ALIMI","ÜRETİM GİRİŞ"})) - VLOOKUP(C774, 'STOK RAPORU'!$C$2:$I$1000, 4, 0))), 0)</f>
        <v>0</v>
      </c>
      <c r="U774" s="22">
        <f t="shared" si="48"/>
        <v>0</v>
      </c>
      <c r="V774">
        <f t="shared" si="49"/>
        <v>0</v>
      </c>
      <c r="W774" s="22">
        <f t="shared" si="50"/>
        <v>0</v>
      </c>
    </row>
    <row r="775" spans="1:23" hidden="1" x14ac:dyDescent="0.25">
      <c r="A775" s="3">
        <v>45969</v>
      </c>
      <c r="B775" s="4" t="s">
        <v>334</v>
      </c>
      <c r="C775" s="4" t="s">
        <v>98</v>
      </c>
      <c r="D775" s="4"/>
      <c r="E775" s="4"/>
      <c r="F775" s="4" t="s">
        <v>612</v>
      </c>
      <c r="G775" s="4" t="s">
        <v>336</v>
      </c>
      <c r="H775" s="4" t="s">
        <v>289</v>
      </c>
      <c r="I775" s="4">
        <v>0.19600000000000001</v>
      </c>
      <c r="J775" s="21">
        <v>360</v>
      </c>
      <c r="K775" s="21">
        <v>0</v>
      </c>
      <c r="L775" s="5">
        <v>0</v>
      </c>
      <c r="M775" s="4">
        <v>0.19600000000000001</v>
      </c>
      <c r="N775" s="4"/>
      <c r="O775" s="5">
        <v>360</v>
      </c>
      <c r="P775" s="5"/>
      <c r="Q775" s="21">
        <v>70.56</v>
      </c>
      <c r="R775" s="21">
        <v>0</v>
      </c>
      <c r="S775" s="5">
        <f t="shared" si="51"/>
        <v>112254.86276015204</v>
      </c>
      <c r="T775" cm="1">
        <f t="array" ref="T775">IF(OR(B775="MAL ALIMI", B775="ÜRETİM GİRİŞ"), MIN(I775, MAX(0, I775 + SUM(SUMIFS($I$1:I774, $C$1:C774, C775, $B$1:B774, {"MAL ALIMI","ÜRETİM GİRİŞ"})) - VLOOKUP(C775, 'STOK RAPORU'!$C$2:$I$1000, 4, 0))), 0)</f>
        <v>0</v>
      </c>
      <c r="U775" s="22">
        <f t="shared" si="48"/>
        <v>0</v>
      </c>
      <c r="V775">
        <f t="shared" si="49"/>
        <v>0</v>
      </c>
      <c r="W775" s="22">
        <f t="shared" si="50"/>
        <v>0</v>
      </c>
    </row>
    <row r="776" spans="1:23" hidden="1" x14ac:dyDescent="0.25">
      <c r="A776" s="3">
        <v>45969</v>
      </c>
      <c r="B776" s="4" t="s">
        <v>334</v>
      </c>
      <c r="C776" s="4" t="s">
        <v>148</v>
      </c>
      <c r="D776" s="4"/>
      <c r="E776" s="4"/>
      <c r="F776" s="4" t="s">
        <v>612</v>
      </c>
      <c r="G776" s="4" t="s">
        <v>336</v>
      </c>
      <c r="H776" s="4" t="s">
        <v>289</v>
      </c>
      <c r="I776" s="4">
        <v>1</v>
      </c>
      <c r="J776" s="21">
        <v>65</v>
      </c>
      <c r="K776" s="21">
        <v>0</v>
      </c>
      <c r="L776" s="5">
        <v>0</v>
      </c>
      <c r="M776" s="4">
        <v>1</v>
      </c>
      <c r="N776" s="4"/>
      <c r="O776" s="5">
        <v>65</v>
      </c>
      <c r="P776" s="5"/>
      <c r="Q776" s="21">
        <v>65</v>
      </c>
      <c r="R776" s="21">
        <v>0</v>
      </c>
      <c r="S776" s="5">
        <f t="shared" si="51"/>
        <v>112319.86276015204</v>
      </c>
      <c r="T776" cm="1">
        <f t="array" ref="T776">IF(OR(B776="MAL ALIMI", B776="ÜRETİM GİRİŞ"), MIN(I776, MAX(0, I776 + SUM(SUMIFS($I$1:I775, $C$1:C775, C776, $B$1:B775, {"MAL ALIMI","ÜRETİM GİRİŞ"})) - VLOOKUP(C776, 'STOK RAPORU'!$C$2:$I$1000, 4, 0))), 0)</f>
        <v>0</v>
      </c>
      <c r="U776" s="22">
        <f t="shared" si="48"/>
        <v>0</v>
      </c>
      <c r="V776">
        <f t="shared" si="49"/>
        <v>0</v>
      </c>
      <c r="W776" s="22">
        <f t="shared" si="50"/>
        <v>0</v>
      </c>
    </row>
    <row r="777" spans="1:23" hidden="1" x14ac:dyDescent="0.25">
      <c r="A777" s="3">
        <v>45969</v>
      </c>
      <c r="B777" s="4" t="s">
        <v>334</v>
      </c>
      <c r="C777" s="4" t="s">
        <v>529</v>
      </c>
      <c r="D777" s="4"/>
      <c r="E777" s="4"/>
      <c r="F777" s="4" t="s">
        <v>612</v>
      </c>
      <c r="G777" s="4" t="s">
        <v>336</v>
      </c>
      <c r="H777" s="4" t="s">
        <v>289</v>
      </c>
      <c r="I777" s="4">
        <v>0.1</v>
      </c>
      <c r="J777" s="21">
        <v>600</v>
      </c>
      <c r="K777" s="21">
        <v>0</v>
      </c>
      <c r="L777" s="5">
        <v>0</v>
      </c>
      <c r="M777" s="4">
        <v>1</v>
      </c>
      <c r="N777" s="4"/>
      <c r="O777" s="5">
        <v>60</v>
      </c>
      <c r="P777" s="5"/>
      <c r="Q777" s="21">
        <v>60</v>
      </c>
      <c r="R777" s="21">
        <v>0</v>
      </c>
      <c r="S777" s="5">
        <f t="shared" si="51"/>
        <v>112379.86276015204</v>
      </c>
      <c r="T777" cm="1">
        <f t="array" ref="T777">IF(OR(B777="MAL ALIMI", B777="ÜRETİM GİRİŞ"), MIN(I777, MAX(0, I777 + SUM(SUMIFS($I$1:I776, $C$1:C776, C777, $B$1:B776, {"MAL ALIMI","ÜRETİM GİRİŞ"})) - VLOOKUP(C777, 'STOK RAPORU'!$C$2:$I$1000, 4, 0))), 0)</f>
        <v>0</v>
      </c>
      <c r="U777" s="22">
        <f t="shared" si="48"/>
        <v>0</v>
      </c>
      <c r="V777">
        <f t="shared" si="49"/>
        <v>0</v>
      </c>
      <c r="W777" s="22">
        <f t="shared" si="50"/>
        <v>0</v>
      </c>
    </row>
    <row r="778" spans="1:23" hidden="1" x14ac:dyDescent="0.25">
      <c r="A778" s="3">
        <v>45969</v>
      </c>
      <c r="B778" s="4" t="s">
        <v>334</v>
      </c>
      <c r="C778" s="4" t="s">
        <v>493</v>
      </c>
      <c r="D778" s="4"/>
      <c r="E778" s="4"/>
      <c r="F778" s="4" t="s">
        <v>612</v>
      </c>
      <c r="G778" s="4" t="s">
        <v>336</v>
      </c>
      <c r="H778" s="4" t="s">
        <v>289</v>
      </c>
      <c r="I778" s="4">
        <v>1</v>
      </c>
      <c r="J778" s="21">
        <v>230</v>
      </c>
      <c r="K778" s="21">
        <v>0</v>
      </c>
      <c r="L778" s="5">
        <v>0</v>
      </c>
      <c r="M778" s="4">
        <v>1</v>
      </c>
      <c r="N778" s="4"/>
      <c r="O778" s="5">
        <v>230</v>
      </c>
      <c r="P778" s="5"/>
      <c r="Q778" s="21">
        <v>230</v>
      </c>
      <c r="R778" s="21">
        <v>0</v>
      </c>
      <c r="S778" s="5">
        <f t="shared" si="51"/>
        <v>112609.86276015204</v>
      </c>
      <c r="T778" cm="1">
        <f t="array" ref="T778">IF(OR(B778="MAL ALIMI", B778="ÜRETİM GİRİŞ"), MIN(I778, MAX(0, I778 + SUM(SUMIFS($I$1:I777, $C$1:C777, C778, $B$1:B777, {"MAL ALIMI","ÜRETİM GİRİŞ"})) - VLOOKUP(C778, 'STOK RAPORU'!$C$2:$I$1000, 4, 0))), 0)</f>
        <v>0</v>
      </c>
      <c r="U778" s="22">
        <f t="shared" si="48"/>
        <v>0</v>
      </c>
      <c r="V778">
        <f t="shared" si="49"/>
        <v>0</v>
      </c>
      <c r="W778" s="22">
        <f t="shared" si="50"/>
        <v>0</v>
      </c>
    </row>
    <row r="779" spans="1:23" hidden="1" x14ac:dyDescent="0.25">
      <c r="A779" s="3">
        <v>45969</v>
      </c>
      <c r="B779" s="4" t="s">
        <v>334</v>
      </c>
      <c r="C779" s="4" t="s">
        <v>265</v>
      </c>
      <c r="D779" s="4"/>
      <c r="E779" s="4"/>
      <c r="F779" s="4" t="s">
        <v>612</v>
      </c>
      <c r="G779" s="4" t="s">
        <v>336</v>
      </c>
      <c r="H779" s="4" t="s">
        <v>289</v>
      </c>
      <c r="I779" s="4">
        <v>1</v>
      </c>
      <c r="J779" s="21">
        <v>140</v>
      </c>
      <c r="K779" s="21">
        <v>0</v>
      </c>
      <c r="L779" s="5">
        <v>0</v>
      </c>
      <c r="M779" s="4">
        <v>1</v>
      </c>
      <c r="N779" s="4"/>
      <c r="O779" s="5">
        <v>140</v>
      </c>
      <c r="P779" s="5"/>
      <c r="Q779" s="21">
        <v>140</v>
      </c>
      <c r="R779" s="21">
        <v>0</v>
      </c>
      <c r="S779" s="5">
        <f t="shared" si="51"/>
        <v>112749.86276015204</v>
      </c>
      <c r="T779" cm="1">
        <f t="array" ref="T779">IF(OR(B779="MAL ALIMI", B779="ÜRETİM GİRİŞ"), MIN(I779, MAX(0, I779 + SUM(SUMIFS($I$1:I778, $C$1:C778, C779, $B$1:B778, {"MAL ALIMI","ÜRETİM GİRİŞ"})) - VLOOKUP(C779, 'STOK RAPORU'!$C$2:$I$1000, 4, 0))), 0)</f>
        <v>0</v>
      </c>
      <c r="U779" s="22">
        <f t="shared" si="48"/>
        <v>0</v>
      </c>
      <c r="V779">
        <f t="shared" si="49"/>
        <v>0</v>
      </c>
      <c r="W779" s="22">
        <f t="shared" si="50"/>
        <v>0</v>
      </c>
    </row>
    <row r="780" spans="1:23" hidden="1" x14ac:dyDescent="0.25">
      <c r="A780" s="3">
        <v>45969</v>
      </c>
      <c r="B780" s="4" t="s">
        <v>334</v>
      </c>
      <c r="C780" s="4" t="s">
        <v>241</v>
      </c>
      <c r="D780" s="4"/>
      <c r="E780" s="4"/>
      <c r="F780" s="4" t="s">
        <v>612</v>
      </c>
      <c r="G780" s="4" t="s">
        <v>336</v>
      </c>
      <c r="H780" s="4" t="s">
        <v>289</v>
      </c>
      <c r="I780" s="4">
        <v>0.57199999999999995</v>
      </c>
      <c r="J780" s="21">
        <v>350</v>
      </c>
      <c r="K780" s="21">
        <v>0</v>
      </c>
      <c r="L780" s="5">
        <v>0</v>
      </c>
      <c r="M780" s="4">
        <v>0.57199999999999995</v>
      </c>
      <c r="N780" s="4"/>
      <c r="O780" s="5">
        <v>350</v>
      </c>
      <c r="P780" s="5"/>
      <c r="Q780" s="21">
        <v>200.2</v>
      </c>
      <c r="R780" s="21">
        <v>0</v>
      </c>
      <c r="S780" s="5">
        <f t="shared" si="51"/>
        <v>112950.06276015204</v>
      </c>
      <c r="T780" cm="1">
        <f t="array" ref="T780">IF(OR(B780="MAL ALIMI", B780="ÜRETİM GİRİŞ"), MIN(I780, MAX(0, I780 + SUM(SUMIFS($I$1:I779, $C$1:C779, C780, $B$1:B779, {"MAL ALIMI","ÜRETİM GİRİŞ"})) - VLOOKUP(C780, 'STOK RAPORU'!$C$2:$I$1000, 4, 0))), 0)</f>
        <v>0</v>
      </c>
      <c r="U780" s="22">
        <f t="shared" si="48"/>
        <v>0</v>
      </c>
      <c r="V780">
        <f t="shared" si="49"/>
        <v>0</v>
      </c>
      <c r="W780" s="22">
        <f t="shared" si="50"/>
        <v>0</v>
      </c>
    </row>
    <row r="781" spans="1:23" hidden="1" x14ac:dyDescent="0.25">
      <c r="A781" s="3">
        <v>45969</v>
      </c>
      <c r="B781" s="4" t="s">
        <v>334</v>
      </c>
      <c r="C781" s="4" t="s">
        <v>156</v>
      </c>
      <c r="D781" s="4"/>
      <c r="E781" s="4"/>
      <c r="F781" s="4" t="s">
        <v>612</v>
      </c>
      <c r="G781" s="4" t="s">
        <v>336</v>
      </c>
      <c r="H781" s="4" t="s">
        <v>289</v>
      </c>
      <c r="I781" s="4">
        <v>1.1080000000000001</v>
      </c>
      <c r="J781" s="21">
        <v>180</v>
      </c>
      <c r="K781" s="21">
        <v>0</v>
      </c>
      <c r="L781" s="5">
        <v>0</v>
      </c>
      <c r="M781" s="4">
        <v>1.1080000000000001</v>
      </c>
      <c r="N781" s="4"/>
      <c r="O781" s="5">
        <v>180</v>
      </c>
      <c r="P781" s="5"/>
      <c r="Q781" s="21">
        <v>199.44000000000003</v>
      </c>
      <c r="R781" s="21">
        <v>0</v>
      </c>
      <c r="S781" s="5">
        <f t="shared" si="51"/>
        <v>113149.50276015204</v>
      </c>
      <c r="T781" cm="1">
        <f t="array" ref="T781">IF(OR(B781="MAL ALIMI", B781="ÜRETİM GİRİŞ"), MIN(I781, MAX(0, I781 + SUM(SUMIFS($I$1:I780, $C$1:C780, C781, $B$1:B780, {"MAL ALIMI","ÜRETİM GİRİŞ"})) - VLOOKUP(C781, 'STOK RAPORU'!$C$2:$I$1000, 4, 0))), 0)</f>
        <v>0</v>
      </c>
      <c r="U781" s="22">
        <f t="shared" si="48"/>
        <v>0</v>
      </c>
      <c r="V781">
        <f t="shared" si="49"/>
        <v>0</v>
      </c>
      <c r="W781" s="22">
        <f t="shared" si="50"/>
        <v>0</v>
      </c>
    </row>
    <row r="782" spans="1:23" hidden="1" x14ac:dyDescent="0.25">
      <c r="A782" s="3">
        <v>45969</v>
      </c>
      <c r="B782" s="4" t="s">
        <v>334</v>
      </c>
      <c r="C782" s="4" t="s">
        <v>151</v>
      </c>
      <c r="D782" s="4"/>
      <c r="E782" s="4"/>
      <c r="F782" s="4" t="s">
        <v>612</v>
      </c>
      <c r="G782" s="4" t="s">
        <v>336</v>
      </c>
      <c r="H782" s="4" t="s">
        <v>289</v>
      </c>
      <c r="I782" s="4">
        <v>8.2000000000000003E-2</v>
      </c>
      <c r="J782" s="21">
        <v>400</v>
      </c>
      <c r="K782" s="21">
        <v>0</v>
      </c>
      <c r="L782" s="5">
        <v>0</v>
      </c>
      <c r="M782" s="4">
        <v>8.2000000000000003E-2</v>
      </c>
      <c r="N782" s="4"/>
      <c r="O782" s="5">
        <v>400</v>
      </c>
      <c r="P782" s="5"/>
      <c r="Q782" s="21">
        <v>32.800000000000004</v>
      </c>
      <c r="R782" s="21">
        <v>0</v>
      </c>
      <c r="S782" s="5">
        <f t="shared" si="51"/>
        <v>113182.30276015204</v>
      </c>
      <c r="T782" cm="1">
        <f t="array" ref="T782">IF(OR(B782="MAL ALIMI", B782="ÜRETİM GİRİŞ"), MIN(I782, MAX(0, I782 + SUM(SUMIFS($I$1:I781, $C$1:C781, C782, $B$1:B781, {"MAL ALIMI","ÜRETİM GİRİŞ"})) - VLOOKUP(C782, 'STOK RAPORU'!$C$2:$I$1000, 4, 0))), 0)</f>
        <v>0</v>
      </c>
      <c r="U782" s="22">
        <f t="shared" si="48"/>
        <v>0</v>
      </c>
      <c r="V782">
        <f t="shared" si="49"/>
        <v>0</v>
      </c>
      <c r="W782" s="22">
        <f t="shared" si="50"/>
        <v>0</v>
      </c>
    </row>
    <row r="783" spans="1:23" hidden="1" x14ac:dyDescent="0.25">
      <c r="A783" s="3">
        <v>45969</v>
      </c>
      <c r="B783" s="4" t="s">
        <v>334</v>
      </c>
      <c r="C783" s="4" t="s">
        <v>260</v>
      </c>
      <c r="D783" s="4"/>
      <c r="E783" s="4"/>
      <c r="F783" s="4" t="s">
        <v>613</v>
      </c>
      <c r="G783" s="4" t="s">
        <v>336</v>
      </c>
      <c r="H783" s="4" t="s">
        <v>289</v>
      </c>
      <c r="I783" s="4">
        <v>1</v>
      </c>
      <c r="J783" s="21">
        <v>140</v>
      </c>
      <c r="K783" s="21">
        <v>0</v>
      </c>
      <c r="L783" s="5">
        <v>0</v>
      </c>
      <c r="M783" s="4">
        <v>1</v>
      </c>
      <c r="N783" s="4"/>
      <c r="O783" s="5">
        <v>140</v>
      </c>
      <c r="P783" s="5"/>
      <c r="Q783" s="21">
        <v>140</v>
      </c>
      <c r="R783" s="21">
        <v>0</v>
      </c>
      <c r="S783" s="5">
        <f t="shared" si="51"/>
        <v>113322.30276015204</v>
      </c>
      <c r="T783" cm="1">
        <f t="array" ref="T783">IF(OR(B783="MAL ALIMI", B783="ÜRETİM GİRİŞ"), MIN(I783, MAX(0, I783 + SUM(SUMIFS($I$1:I782, $C$1:C782, C783, $B$1:B782, {"MAL ALIMI","ÜRETİM GİRİŞ"})) - VLOOKUP(C783, 'STOK RAPORU'!$C$2:$I$1000, 4, 0))), 0)</f>
        <v>0</v>
      </c>
      <c r="U783" s="22">
        <f t="shared" si="48"/>
        <v>0</v>
      </c>
      <c r="V783">
        <f t="shared" si="49"/>
        <v>0</v>
      </c>
      <c r="W783" s="22">
        <f t="shared" si="50"/>
        <v>0</v>
      </c>
    </row>
    <row r="784" spans="1:23" hidden="1" x14ac:dyDescent="0.25">
      <c r="A784" s="3">
        <v>45969</v>
      </c>
      <c r="B784" s="4" t="s">
        <v>334</v>
      </c>
      <c r="C784" s="4" t="s">
        <v>237</v>
      </c>
      <c r="D784" s="4"/>
      <c r="E784" s="4"/>
      <c r="F784" s="4" t="s">
        <v>613</v>
      </c>
      <c r="G784" s="4" t="s">
        <v>336</v>
      </c>
      <c r="H784" s="4" t="s">
        <v>289</v>
      </c>
      <c r="I784" s="4">
        <v>0.04</v>
      </c>
      <c r="J784" s="21">
        <v>2250</v>
      </c>
      <c r="K784" s="21">
        <v>0</v>
      </c>
      <c r="L784" s="5">
        <v>0</v>
      </c>
      <c r="M784" s="4">
        <v>1</v>
      </c>
      <c r="N784" s="4"/>
      <c r="O784" s="5">
        <v>90</v>
      </c>
      <c r="P784" s="5"/>
      <c r="Q784" s="21">
        <v>90</v>
      </c>
      <c r="R784" s="21">
        <v>0</v>
      </c>
      <c r="S784" s="5">
        <f t="shared" si="51"/>
        <v>113412.30276015204</v>
      </c>
      <c r="T784" cm="1">
        <f t="array" ref="T784">IF(OR(B784="MAL ALIMI", B784="ÜRETİM GİRİŞ"), MIN(I784, MAX(0, I784 + SUM(SUMIFS($I$1:I783, $C$1:C783, C784, $B$1:B783, {"MAL ALIMI","ÜRETİM GİRİŞ"})) - VLOOKUP(C784, 'STOK RAPORU'!$C$2:$I$1000, 4, 0))), 0)</f>
        <v>0</v>
      </c>
      <c r="U784" s="22">
        <f t="shared" si="48"/>
        <v>0</v>
      </c>
      <c r="V784">
        <f t="shared" si="49"/>
        <v>0</v>
      </c>
      <c r="W784" s="22">
        <f t="shared" si="50"/>
        <v>0</v>
      </c>
    </row>
    <row r="785" spans="1:23" hidden="1" x14ac:dyDescent="0.25">
      <c r="A785" s="3">
        <v>45969</v>
      </c>
      <c r="B785" s="4" t="s">
        <v>334</v>
      </c>
      <c r="C785" s="4" t="s">
        <v>140</v>
      </c>
      <c r="D785" s="4"/>
      <c r="E785" s="4"/>
      <c r="F785" s="4" t="s">
        <v>615</v>
      </c>
      <c r="G785" s="4" t="s">
        <v>336</v>
      </c>
      <c r="H785" s="4" t="s">
        <v>289</v>
      </c>
      <c r="I785" s="4">
        <v>0.2</v>
      </c>
      <c r="J785" s="21">
        <v>250</v>
      </c>
      <c r="K785" s="21">
        <v>0</v>
      </c>
      <c r="L785" s="5">
        <v>0</v>
      </c>
      <c r="M785" s="4">
        <v>0.2</v>
      </c>
      <c r="N785" s="4"/>
      <c r="O785" s="5">
        <v>250</v>
      </c>
      <c r="P785" s="5"/>
      <c r="Q785" s="21">
        <v>50</v>
      </c>
      <c r="R785" s="21">
        <v>0</v>
      </c>
      <c r="S785" s="5">
        <f t="shared" si="51"/>
        <v>113462.30276015204</v>
      </c>
      <c r="T785" cm="1">
        <f t="array" ref="T785">IF(OR(B785="MAL ALIMI", B785="ÜRETİM GİRİŞ"), MIN(I785, MAX(0, I785 + SUM(SUMIFS($I$1:I784, $C$1:C784, C785, $B$1:B784, {"MAL ALIMI","ÜRETİM GİRİŞ"})) - VLOOKUP(C785, 'STOK RAPORU'!$C$2:$I$1000, 4, 0))), 0)</f>
        <v>0</v>
      </c>
      <c r="U785" s="22">
        <f t="shared" si="48"/>
        <v>0</v>
      </c>
      <c r="V785">
        <f t="shared" si="49"/>
        <v>0</v>
      </c>
      <c r="W785" s="22">
        <f t="shared" si="50"/>
        <v>0</v>
      </c>
    </row>
    <row r="786" spans="1:23" hidden="1" x14ac:dyDescent="0.25">
      <c r="A786" s="3">
        <v>45969</v>
      </c>
      <c r="B786" s="4" t="s">
        <v>334</v>
      </c>
      <c r="C786" s="4" t="s">
        <v>98</v>
      </c>
      <c r="D786" s="4"/>
      <c r="E786" s="4"/>
      <c r="F786" s="4" t="s">
        <v>615</v>
      </c>
      <c r="G786" s="4" t="s">
        <v>336</v>
      </c>
      <c r="H786" s="4" t="s">
        <v>289</v>
      </c>
      <c r="I786" s="4">
        <v>0.14000000000000001</v>
      </c>
      <c r="J786" s="21">
        <v>360</v>
      </c>
      <c r="K786" s="21">
        <v>0</v>
      </c>
      <c r="L786" s="5">
        <v>0</v>
      </c>
      <c r="M786" s="4">
        <v>0.14000000000000001</v>
      </c>
      <c r="N786" s="4"/>
      <c r="O786" s="5">
        <v>360</v>
      </c>
      <c r="P786" s="5"/>
      <c r="Q786" s="21">
        <v>50.400000000000006</v>
      </c>
      <c r="R786" s="21">
        <v>0</v>
      </c>
      <c r="S786" s="5">
        <f t="shared" si="51"/>
        <v>113512.70276015204</v>
      </c>
      <c r="T786" cm="1">
        <f t="array" ref="T786">IF(OR(B786="MAL ALIMI", B786="ÜRETİM GİRİŞ"), MIN(I786, MAX(0, I786 + SUM(SUMIFS($I$1:I785, $C$1:C785, C786, $B$1:B785, {"MAL ALIMI","ÜRETİM GİRİŞ"})) - VLOOKUP(C786, 'STOK RAPORU'!$C$2:$I$1000, 4, 0))), 0)</f>
        <v>0</v>
      </c>
      <c r="U786" s="22">
        <f t="shared" si="48"/>
        <v>0</v>
      </c>
      <c r="V786">
        <f t="shared" si="49"/>
        <v>0</v>
      </c>
      <c r="W786" s="22">
        <f t="shared" si="50"/>
        <v>0</v>
      </c>
    </row>
    <row r="787" spans="1:23" hidden="1" x14ac:dyDescent="0.25">
      <c r="A787" s="3">
        <v>45969</v>
      </c>
      <c r="B787" s="4" t="s">
        <v>334</v>
      </c>
      <c r="C787" s="4" t="s">
        <v>266</v>
      </c>
      <c r="D787" s="4"/>
      <c r="E787" s="4"/>
      <c r="F787" s="4" t="s">
        <v>615</v>
      </c>
      <c r="G787" s="4" t="s">
        <v>336</v>
      </c>
      <c r="H787" s="4" t="s">
        <v>289</v>
      </c>
      <c r="I787" s="4">
        <v>0.4</v>
      </c>
      <c r="J787" s="21">
        <v>250</v>
      </c>
      <c r="K787" s="21">
        <v>0</v>
      </c>
      <c r="L787" s="5">
        <v>0</v>
      </c>
      <c r="M787" s="4">
        <v>0.4</v>
      </c>
      <c r="N787" s="4"/>
      <c r="O787" s="5">
        <v>250</v>
      </c>
      <c r="P787" s="5"/>
      <c r="Q787" s="21">
        <v>100</v>
      </c>
      <c r="R787" s="21">
        <v>0</v>
      </c>
      <c r="S787" s="5">
        <f t="shared" si="51"/>
        <v>113612.70276015204</v>
      </c>
      <c r="T787" cm="1">
        <f t="array" ref="T787">IF(OR(B787="MAL ALIMI", B787="ÜRETİM GİRİŞ"), MIN(I787, MAX(0, I787 + SUM(SUMIFS($I$1:I786, $C$1:C786, C787, $B$1:B786, {"MAL ALIMI","ÜRETİM GİRİŞ"})) - VLOOKUP(C787, 'STOK RAPORU'!$C$2:$I$1000, 4, 0))), 0)</f>
        <v>0</v>
      </c>
      <c r="U787" s="22">
        <f t="shared" si="48"/>
        <v>0</v>
      </c>
      <c r="V787">
        <f t="shared" si="49"/>
        <v>0</v>
      </c>
      <c r="W787" s="22">
        <f t="shared" si="50"/>
        <v>0</v>
      </c>
    </row>
    <row r="788" spans="1:23" hidden="1" x14ac:dyDescent="0.25">
      <c r="A788" s="3">
        <v>45969</v>
      </c>
      <c r="B788" s="4" t="s">
        <v>334</v>
      </c>
      <c r="C788" s="4" t="s">
        <v>187</v>
      </c>
      <c r="D788" s="4"/>
      <c r="E788" s="4" t="s">
        <v>921</v>
      </c>
      <c r="F788" s="4" t="s">
        <v>616</v>
      </c>
      <c r="G788" s="4" t="s">
        <v>336</v>
      </c>
      <c r="H788" s="4" t="s">
        <v>380</v>
      </c>
      <c r="I788" s="4">
        <v>1</v>
      </c>
      <c r="J788" s="21">
        <v>60</v>
      </c>
      <c r="K788" s="21">
        <v>60</v>
      </c>
      <c r="L788" s="5">
        <v>0</v>
      </c>
      <c r="M788" s="4">
        <v>1</v>
      </c>
      <c r="N788" s="4"/>
      <c r="O788" s="5">
        <v>60</v>
      </c>
      <c r="P788" s="5"/>
      <c r="Q788" s="21">
        <v>0</v>
      </c>
      <c r="R788" s="21">
        <v>0</v>
      </c>
      <c r="S788" s="5">
        <f t="shared" si="51"/>
        <v>113612.70276015204</v>
      </c>
      <c r="T788" cm="1">
        <f t="array" ref="T788">IF(OR(B788="MAL ALIMI", B788="ÜRETİM GİRİŞ"), MIN(I788, MAX(0, I788 + SUM(SUMIFS($I$1:I787, $C$1:C787, C788, $B$1:B787, {"MAL ALIMI","ÜRETİM GİRİŞ"})) - VLOOKUP(C788, 'STOK RAPORU'!$C$2:$I$1000, 4, 0))), 0)</f>
        <v>0</v>
      </c>
      <c r="U788" s="22">
        <f t="shared" si="48"/>
        <v>0</v>
      </c>
      <c r="V788">
        <f t="shared" si="49"/>
        <v>0</v>
      </c>
      <c r="W788" s="22">
        <f t="shared" si="50"/>
        <v>0</v>
      </c>
    </row>
    <row r="789" spans="1:23" hidden="1" x14ac:dyDescent="0.25">
      <c r="A789" s="3">
        <v>45969</v>
      </c>
      <c r="B789" s="4" t="s">
        <v>334</v>
      </c>
      <c r="C789" s="4" t="s">
        <v>529</v>
      </c>
      <c r="D789" s="4"/>
      <c r="E789" s="4" t="s">
        <v>921</v>
      </c>
      <c r="F789" s="4" t="s">
        <v>616</v>
      </c>
      <c r="G789" s="4" t="s">
        <v>336</v>
      </c>
      <c r="H789" s="4" t="s">
        <v>380</v>
      </c>
      <c r="I789" s="4">
        <v>0.1</v>
      </c>
      <c r="J789" s="21">
        <v>600</v>
      </c>
      <c r="K789" s="21">
        <v>60</v>
      </c>
      <c r="L789" s="5">
        <v>0</v>
      </c>
      <c r="M789" s="4">
        <v>1</v>
      </c>
      <c r="N789" s="4"/>
      <c r="O789" s="5">
        <v>60</v>
      </c>
      <c r="P789" s="5"/>
      <c r="Q789" s="21">
        <v>0</v>
      </c>
      <c r="R789" s="21">
        <v>0</v>
      </c>
      <c r="S789" s="5">
        <f t="shared" si="51"/>
        <v>113612.70276015204</v>
      </c>
      <c r="T789" cm="1">
        <f t="array" ref="T789">IF(OR(B789="MAL ALIMI", B789="ÜRETİM GİRİŞ"), MIN(I789, MAX(0, I789 + SUM(SUMIFS($I$1:I788, $C$1:C788, C789, $B$1:B788, {"MAL ALIMI","ÜRETİM GİRİŞ"})) - VLOOKUP(C789, 'STOK RAPORU'!$C$2:$I$1000, 4, 0))), 0)</f>
        <v>0</v>
      </c>
      <c r="U789" s="22">
        <f t="shared" si="48"/>
        <v>0</v>
      </c>
      <c r="V789">
        <f t="shared" si="49"/>
        <v>0</v>
      </c>
      <c r="W789" s="22">
        <f t="shared" si="50"/>
        <v>0</v>
      </c>
    </row>
    <row r="790" spans="1:23" hidden="1" x14ac:dyDescent="0.25">
      <c r="A790" s="3">
        <v>45969</v>
      </c>
      <c r="B790" s="4" t="s">
        <v>334</v>
      </c>
      <c r="C790" s="4" t="s">
        <v>160</v>
      </c>
      <c r="D790" s="4"/>
      <c r="E790" s="4" t="s">
        <v>921</v>
      </c>
      <c r="F790" s="4" t="s">
        <v>617</v>
      </c>
      <c r="G790" s="4" t="s">
        <v>336</v>
      </c>
      <c r="H790" s="4" t="s">
        <v>380</v>
      </c>
      <c r="I790" s="4">
        <v>1</v>
      </c>
      <c r="J790" s="21">
        <v>240</v>
      </c>
      <c r="K790" s="21">
        <v>240</v>
      </c>
      <c r="L790" s="5">
        <v>0</v>
      </c>
      <c r="M790" s="4">
        <v>1</v>
      </c>
      <c r="N790" s="4"/>
      <c r="O790" s="5">
        <v>240</v>
      </c>
      <c r="P790" s="5"/>
      <c r="Q790" s="21">
        <v>0</v>
      </c>
      <c r="R790" s="21">
        <v>0</v>
      </c>
      <c r="S790" s="5">
        <f t="shared" si="51"/>
        <v>113612.70276015204</v>
      </c>
      <c r="T790" cm="1">
        <f t="array" ref="T790">IF(OR(B790="MAL ALIMI", B790="ÜRETİM GİRİŞ"), MIN(I790, MAX(0, I790 + SUM(SUMIFS($I$1:I789, $C$1:C789, C790, $B$1:B789, {"MAL ALIMI","ÜRETİM GİRİŞ"})) - VLOOKUP(C790, 'STOK RAPORU'!$C$2:$I$1000, 4, 0))), 0)</f>
        <v>0</v>
      </c>
      <c r="U790" s="22">
        <f t="shared" si="48"/>
        <v>0</v>
      </c>
      <c r="V790">
        <f t="shared" si="49"/>
        <v>0</v>
      </c>
      <c r="W790" s="22">
        <f t="shared" si="50"/>
        <v>0</v>
      </c>
    </row>
    <row r="791" spans="1:23" hidden="1" x14ac:dyDescent="0.25">
      <c r="A791" s="3">
        <v>45969</v>
      </c>
      <c r="B791" s="4" t="s">
        <v>334</v>
      </c>
      <c r="C791" s="59" t="s">
        <v>161</v>
      </c>
      <c r="D791" s="4"/>
      <c r="E791" s="4" t="s">
        <v>921</v>
      </c>
      <c r="F791" s="4" t="s">
        <v>617</v>
      </c>
      <c r="G791" s="4" t="s">
        <v>336</v>
      </c>
      <c r="H791" s="4" t="s">
        <v>380</v>
      </c>
      <c r="I791" s="4">
        <v>1</v>
      </c>
      <c r="J791" s="21">
        <v>200</v>
      </c>
      <c r="K791" s="21">
        <v>200</v>
      </c>
      <c r="L791" s="5">
        <v>0</v>
      </c>
      <c r="M791" s="4">
        <v>1</v>
      </c>
      <c r="N791" s="4"/>
      <c r="O791" s="5">
        <v>200</v>
      </c>
      <c r="P791" s="5"/>
      <c r="Q791" s="21">
        <v>0</v>
      </c>
      <c r="R791" s="21">
        <v>0</v>
      </c>
      <c r="S791" s="5">
        <f t="shared" si="51"/>
        <v>113612.70276015204</v>
      </c>
      <c r="T791" cm="1">
        <f t="array" ref="T791">IF(OR(B791="MAL ALIMI", B791="ÜRETİM GİRİŞ"), MIN(I791, MAX(0, I791 + SUM(SUMIFS($I$1:I790, $C$1:C790, C791, $B$1:B790, {"MAL ALIMI","ÜRETİM GİRİŞ"})) - VLOOKUP(C791, 'STOK RAPORU'!$C$2:$I$1000, 4, 0))), 0)</f>
        <v>0</v>
      </c>
      <c r="U791" s="22">
        <f t="shared" si="48"/>
        <v>0</v>
      </c>
      <c r="V791">
        <f t="shared" si="49"/>
        <v>0</v>
      </c>
      <c r="W791" s="22">
        <f t="shared" si="50"/>
        <v>0</v>
      </c>
    </row>
    <row r="792" spans="1:23" hidden="1" x14ac:dyDescent="0.25">
      <c r="A792" s="3">
        <v>45969</v>
      </c>
      <c r="B792" s="4" t="s">
        <v>334</v>
      </c>
      <c r="C792" s="4" t="s">
        <v>589</v>
      </c>
      <c r="D792" s="4"/>
      <c r="E792" s="4" t="s">
        <v>921</v>
      </c>
      <c r="F792" s="4" t="s">
        <v>617</v>
      </c>
      <c r="G792" s="4" t="s">
        <v>336</v>
      </c>
      <c r="H792" s="4" t="s">
        <v>380</v>
      </c>
      <c r="I792" s="4">
        <v>0.05</v>
      </c>
      <c r="J792" s="21">
        <v>800</v>
      </c>
      <c r="K792" s="21">
        <v>40</v>
      </c>
      <c r="L792" s="5">
        <v>0</v>
      </c>
      <c r="M792" s="4">
        <v>1</v>
      </c>
      <c r="N792" s="4"/>
      <c r="O792" s="5">
        <v>40</v>
      </c>
      <c r="P792" s="5"/>
      <c r="Q792" s="21">
        <v>0</v>
      </c>
      <c r="R792" s="21">
        <v>0</v>
      </c>
      <c r="S792" s="5">
        <f t="shared" si="51"/>
        <v>113612.70276015204</v>
      </c>
      <c r="T792" cm="1">
        <f t="array" ref="T792">IF(OR(B792="MAL ALIMI", B792="ÜRETİM GİRİŞ"), MIN(I792, MAX(0, I792 + SUM(SUMIFS($I$1:I791, $C$1:C791, C792, $B$1:B791, {"MAL ALIMI","ÜRETİM GİRİŞ"})) - VLOOKUP(C792, 'STOK RAPORU'!$C$2:$I$1000, 4, 0))), 0)</f>
        <v>0</v>
      </c>
      <c r="U792" s="22">
        <f t="shared" si="48"/>
        <v>0</v>
      </c>
      <c r="V792">
        <f t="shared" si="49"/>
        <v>0</v>
      </c>
      <c r="W792" s="22">
        <f t="shared" si="50"/>
        <v>0</v>
      </c>
    </row>
    <row r="793" spans="1:23" hidden="1" x14ac:dyDescent="0.25">
      <c r="A793" s="3">
        <v>45969</v>
      </c>
      <c r="B793" s="4" t="s">
        <v>334</v>
      </c>
      <c r="C793" s="4" t="s">
        <v>461</v>
      </c>
      <c r="D793" s="4"/>
      <c r="E793" s="4"/>
      <c r="F793" s="4" t="s">
        <v>618</v>
      </c>
      <c r="G793" s="4" t="s">
        <v>336</v>
      </c>
      <c r="H793" s="4" t="s">
        <v>289</v>
      </c>
      <c r="I793" s="4">
        <v>1</v>
      </c>
      <c r="J793" s="21">
        <v>100</v>
      </c>
      <c r="K793" s="21">
        <v>0</v>
      </c>
      <c r="L793" s="5">
        <v>0</v>
      </c>
      <c r="M793" s="4">
        <v>1</v>
      </c>
      <c r="N793" s="4"/>
      <c r="O793" s="5">
        <v>100</v>
      </c>
      <c r="P793" s="5"/>
      <c r="Q793" s="21">
        <v>100</v>
      </c>
      <c r="R793" s="21">
        <v>0</v>
      </c>
      <c r="S793" s="5">
        <f t="shared" si="51"/>
        <v>113712.70276015204</v>
      </c>
      <c r="T793" cm="1">
        <f t="array" ref="T793">IF(OR(B793="MAL ALIMI", B793="ÜRETİM GİRİŞ"), MIN(I793, MAX(0, I793 + SUM(SUMIFS($I$1:I792, $C$1:C792, C793, $B$1:B792, {"MAL ALIMI","ÜRETİM GİRİŞ"})) - VLOOKUP(C793, 'STOK RAPORU'!$C$2:$I$1000, 4, 0))), 0)</f>
        <v>0</v>
      </c>
      <c r="U793" s="22">
        <f t="shared" si="48"/>
        <v>0</v>
      </c>
      <c r="V793">
        <f t="shared" si="49"/>
        <v>0</v>
      </c>
      <c r="W793" s="22">
        <f t="shared" si="50"/>
        <v>0</v>
      </c>
    </row>
    <row r="794" spans="1:23" hidden="1" x14ac:dyDescent="0.25">
      <c r="A794" s="3">
        <v>45970</v>
      </c>
      <c r="B794" s="4" t="s">
        <v>298</v>
      </c>
      <c r="C794" s="4" t="s">
        <v>483</v>
      </c>
      <c r="D794" s="4"/>
      <c r="E794" s="4" t="s">
        <v>856</v>
      </c>
      <c r="F794" s="4">
        <v>1</v>
      </c>
      <c r="G794" s="4" t="s">
        <v>676</v>
      </c>
      <c r="H794" s="4" t="s">
        <v>1329</v>
      </c>
      <c r="I794" s="4">
        <v>1.26</v>
      </c>
      <c r="J794" s="35">
        <v>595</v>
      </c>
      <c r="K794" s="35">
        <v>0</v>
      </c>
      <c r="L794" s="5">
        <v>749.7</v>
      </c>
      <c r="M794" s="31"/>
      <c r="N794" s="31">
        <v>1.26</v>
      </c>
      <c r="O794" s="32"/>
      <c r="P794" s="32">
        <v>595</v>
      </c>
      <c r="Q794" s="35">
        <v>0</v>
      </c>
      <c r="R794" s="35">
        <v>0</v>
      </c>
      <c r="S794" s="5">
        <f t="shared" si="51"/>
        <v>113712.70276015204</v>
      </c>
      <c r="T794" cm="1">
        <f t="array" ref="T794">IF(OR(B794="MAL ALIMI", B794="ÜRETİM GİRİŞ"), MIN(I794, MAX(0, I794 + SUM(SUMIFS($I$1:I793, $C$1:C793, C794, $B$1:B793, {"MAL ALIMI","ÜRETİM GİRİŞ"})) - VLOOKUP(C794, 'STOK RAPORU'!$C$2:$I$1000, 4, 0))), 0)</f>
        <v>2.2204460492503131E-16</v>
      </c>
      <c r="U794" s="22">
        <f t="shared" si="48"/>
        <v>1.3211653993039363E-13</v>
      </c>
      <c r="V794">
        <f t="shared" si="49"/>
        <v>749.7</v>
      </c>
      <c r="W794" s="22">
        <f t="shared" si="50"/>
        <v>749.69999999999993</v>
      </c>
    </row>
    <row r="795" spans="1:23" hidden="1" x14ac:dyDescent="0.25">
      <c r="A795" s="3">
        <v>45970</v>
      </c>
      <c r="B795" s="4" t="s">
        <v>298</v>
      </c>
      <c r="C795" s="4" t="s">
        <v>620</v>
      </c>
      <c r="D795" s="4"/>
      <c r="E795" s="4" t="s">
        <v>856</v>
      </c>
      <c r="F795" s="4">
        <v>1</v>
      </c>
      <c r="G795" s="4" t="s">
        <v>676</v>
      </c>
      <c r="H795" s="4" t="s">
        <v>1329</v>
      </c>
      <c r="I795" s="4">
        <v>1</v>
      </c>
      <c r="J795" s="35">
        <v>139.5</v>
      </c>
      <c r="K795" s="35">
        <v>0</v>
      </c>
      <c r="L795" s="5">
        <v>139.5</v>
      </c>
      <c r="M795" s="31"/>
      <c r="N795" s="31">
        <v>1</v>
      </c>
      <c r="O795" s="32"/>
      <c r="P795" s="32">
        <v>139.5</v>
      </c>
      <c r="Q795" s="35">
        <v>0</v>
      </c>
      <c r="R795" s="35">
        <v>0</v>
      </c>
      <c r="S795" s="5">
        <f t="shared" si="51"/>
        <v>113712.70276015204</v>
      </c>
      <c r="T795" cm="1">
        <f t="array" ref="T795">IF(OR(B795="MAL ALIMI", B795="ÜRETİM GİRİŞ"), MIN(I795, MAX(0, I795 + SUM(SUMIFS($I$1:I794, $C$1:C794, C795, $B$1:B794, {"MAL ALIMI","ÜRETİM GİRİŞ"})) - VLOOKUP(C795, 'STOK RAPORU'!$C$2:$I$1000, 4, 0))), 0)</f>
        <v>0</v>
      </c>
      <c r="U795" s="22">
        <f t="shared" si="48"/>
        <v>0</v>
      </c>
      <c r="V795">
        <f t="shared" si="49"/>
        <v>139.5</v>
      </c>
      <c r="W795" s="22">
        <f t="shared" si="50"/>
        <v>139.5</v>
      </c>
    </row>
    <row r="796" spans="1:23" hidden="1" x14ac:dyDescent="0.25">
      <c r="A796" s="3">
        <v>45970</v>
      </c>
      <c r="B796" s="4" t="s">
        <v>298</v>
      </c>
      <c r="C796" s="4" t="s">
        <v>619</v>
      </c>
      <c r="D796" s="4"/>
      <c r="E796" s="4" t="s">
        <v>856</v>
      </c>
      <c r="F796" s="4">
        <v>1</v>
      </c>
      <c r="G796" s="4" t="s">
        <v>676</v>
      </c>
      <c r="H796" s="4" t="s">
        <v>1329</v>
      </c>
      <c r="I796" s="4">
        <v>1.06</v>
      </c>
      <c r="J796" s="35">
        <v>109.5</v>
      </c>
      <c r="K796" s="35">
        <v>0</v>
      </c>
      <c r="L796" s="5">
        <v>116.07000000000001</v>
      </c>
      <c r="M796" s="31"/>
      <c r="N796" s="31">
        <v>1.06</v>
      </c>
      <c r="O796" s="32"/>
      <c r="P796" s="32">
        <v>109.5</v>
      </c>
      <c r="Q796" s="35">
        <v>0</v>
      </c>
      <c r="R796" s="35">
        <v>0</v>
      </c>
      <c r="S796" s="5">
        <f t="shared" si="51"/>
        <v>113712.70276015204</v>
      </c>
      <c r="T796" cm="1">
        <f t="array" ref="T796">IF(OR(B796="MAL ALIMI", B796="ÜRETİM GİRİŞ"), MIN(I796, MAX(0, I796 + SUM(SUMIFS($I$1:I795, $C$1:C795, C796, $B$1:B795, {"MAL ALIMI","ÜRETİM GİRİŞ"})) - VLOOKUP(C796, 'STOK RAPORU'!$C$2:$I$1000, 4, 0))), 0)</f>
        <v>0</v>
      </c>
      <c r="U796" s="22">
        <f t="shared" si="48"/>
        <v>0</v>
      </c>
      <c r="V796">
        <f t="shared" si="49"/>
        <v>116.07000000000001</v>
      </c>
      <c r="W796" s="22">
        <f t="shared" si="50"/>
        <v>116.07000000000001</v>
      </c>
    </row>
    <row r="797" spans="1:23" hidden="1" x14ac:dyDescent="0.25">
      <c r="A797" s="3">
        <v>45970</v>
      </c>
      <c r="B797" s="4" t="s">
        <v>298</v>
      </c>
      <c r="C797" s="4" t="s">
        <v>620</v>
      </c>
      <c r="D797" s="4"/>
      <c r="E797" s="4" t="s">
        <v>856</v>
      </c>
      <c r="F797" s="4">
        <v>1</v>
      </c>
      <c r="G797" s="4" t="s">
        <v>676</v>
      </c>
      <c r="H797" s="4" t="s">
        <v>1329</v>
      </c>
      <c r="I797" s="4">
        <v>1.1000000000000001</v>
      </c>
      <c r="J797" s="35">
        <v>139.5</v>
      </c>
      <c r="K797" s="35">
        <v>0</v>
      </c>
      <c r="L797" s="5">
        <v>153.45000000000002</v>
      </c>
      <c r="M797" s="31"/>
      <c r="N797" s="31">
        <v>1.1000000000000001</v>
      </c>
      <c r="O797" s="32"/>
      <c r="P797" s="32">
        <v>139.5</v>
      </c>
      <c r="Q797" s="35">
        <v>0</v>
      </c>
      <c r="R797" s="35">
        <v>0</v>
      </c>
      <c r="S797" s="5">
        <f t="shared" si="51"/>
        <v>113712.70276015204</v>
      </c>
      <c r="T797" cm="1">
        <f t="array" ref="T797">IF(OR(B797="MAL ALIMI", B797="ÜRETİM GİRİŞ"), MIN(I797, MAX(0, I797 + SUM(SUMIFS($I$1:I796, $C$1:C796, C797, $B$1:B796, {"MAL ALIMI","ÜRETİM GİRİŞ"})) - VLOOKUP(C797, 'STOK RAPORU'!$C$2:$I$1000, 4, 0))), 0)</f>
        <v>0</v>
      </c>
      <c r="U797" s="22">
        <f t="shared" si="48"/>
        <v>0</v>
      </c>
      <c r="V797">
        <f t="shared" si="49"/>
        <v>153.45000000000002</v>
      </c>
      <c r="W797" s="22">
        <f t="shared" si="50"/>
        <v>153.45000000000002</v>
      </c>
    </row>
    <row r="798" spans="1:23" hidden="1" x14ac:dyDescent="0.25">
      <c r="A798" s="3">
        <v>45970</v>
      </c>
      <c r="B798" s="4" t="s">
        <v>334</v>
      </c>
      <c r="C798" s="4" t="s">
        <v>89</v>
      </c>
      <c r="D798" s="4"/>
      <c r="E798" s="4" t="s">
        <v>921</v>
      </c>
      <c r="F798" s="4" t="s">
        <v>614</v>
      </c>
      <c r="G798" s="4" t="s">
        <v>336</v>
      </c>
      <c r="H798" s="4" t="s">
        <v>380</v>
      </c>
      <c r="I798" s="4">
        <v>0.1</v>
      </c>
      <c r="J798" s="21">
        <v>650</v>
      </c>
      <c r="K798" s="21">
        <v>65</v>
      </c>
      <c r="L798" s="5">
        <v>0</v>
      </c>
      <c r="M798" s="4">
        <v>1</v>
      </c>
      <c r="N798" s="4"/>
      <c r="O798" s="5">
        <v>65</v>
      </c>
      <c r="P798" s="5"/>
      <c r="Q798" s="21">
        <v>0</v>
      </c>
      <c r="R798" s="21">
        <v>0</v>
      </c>
      <c r="S798" s="5">
        <f t="shared" si="51"/>
        <v>113712.70276015204</v>
      </c>
      <c r="T798" cm="1">
        <f t="array" ref="T798">IF(OR(B798="MAL ALIMI", B798="ÜRETİM GİRİŞ"), MIN(I798, MAX(0, I798 + SUM(SUMIFS($I$1:I797, $C$1:C797, C798, $B$1:B797, {"MAL ALIMI","ÜRETİM GİRİŞ"})) - VLOOKUP(C798, 'STOK RAPORU'!$C$2:$I$1000, 4, 0))), 0)</f>
        <v>0</v>
      </c>
      <c r="U798" s="22">
        <f t="shared" si="48"/>
        <v>0</v>
      </c>
      <c r="V798">
        <f t="shared" si="49"/>
        <v>0</v>
      </c>
      <c r="W798" s="22">
        <f t="shared" si="50"/>
        <v>0</v>
      </c>
    </row>
    <row r="799" spans="1:23" hidden="1" x14ac:dyDescent="0.25">
      <c r="A799" s="3">
        <v>45970</v>
      </c>
      <c r="B799" s="4" t="s">
        <v>334</v>
      </c>
      <c r="C799" s="4" t="s">
        <v>149</v>
      </c>
      <c r="D799" s="4"/>
      <c r="E799" s="4" t="s">
        <v>921</v>
      </c>
      <c r="F799" s="4" t="s">
        <v>614</v>
      </c>
      <c r="G799" s="4" t="s">
        <v>336</v>
      </c>
      <c r="H799" s="4" t="s">
        <v>380</v>
      </c>
      <c r="I799" s="4">
        <v>1</v>
      </c>
      <c r="J799" s="21">
        <v>65</v>
      </c>
      <c r="K799" s="21">
        <v>65</v>
      </c>
      <c r="L799" s="5">
        <v>0</v>
      </c>
      <c r="M799" s="4">
        <v>1</v>
      </c>
      <c r="N799" s="4"/>
      <c r="O799" s="5">
        <v>65</v>
      </c>
      <c r="P799" s="5"/>
      <c r="Q799" s="21">
        <v>0</v>
      </c>
      <c r="R799" s="21">
        <v>0</v>
      </c>
      <c r="S799" s="5">
        <f t="shared" si="51"/>
        <v>113712.70276015204</v>
      </c>
      <c r="T799" cm="1">
        <f t="array" ref="T799">IF(OR(B799="MAL ALIMI", B799="ÜRETİM GİRİŞ"), MIN(I799, MAX(0, I799 + SUM(SUMIFS($I$1:I798, $C$1:C798, C799, $B$1:B798, {"MAL ALIMI","ÜRETİM GİRİŞ"})) - VLOOKUP(C799, 'STOK RAPORU'!$C$2:$I$1000, 4, 0))), 0)</f>
        <v>0</v>
      </c>
      <c r="U799" s="22">
        <f t="shared" si="48"/>
        <v>0</v>
      </c>
      <c r="V799">
        <f t="shared" si="49"/>
        <v>0</v>
      </c>
      <c r="W799" s="22">
        <f t="shared" si="50"/>
        <v>0</v>
      </c>
    </row>
    <row r="800" spans="1:23" hidden="1" x14ac:dyDescent="0.25">
      <c r="A800" s="3">
        <v>45970</v>
      </c>
      <c r="B800" s="4" t="s">
        <v>334</v>
      </c>
      <c r="C800" s="4" t="s">
        <v>197</v>
      </c>
      <c r="D800" s="4"/>
      <c r="E800" s="4" t="s">
        <v>921</v>
      </c>
      <c r="F800" s="4" t="s">
        <v>614</v>
      </c>
      <c r="G800" s="4" t="s">
        <v>336</v>
      </c>
      <c r="H800" s="4" t="s">
        <v>380</v>
      </c>
      <c r="I800" s="4">
        <v>0.58340000000000003</v>
      </c>
      <c r="J800" s="21">
        <v>180</v>
      </c>
      <c r="K800" s="21">
        <v>105.012</v>
      </c>
      <c r="L800" s="5">
        <v>0</v>
      </c>
      <c r="M800" s="4">
        <v>0.58340000000000003</v>
      </c>
      <c r="N800" s="4"/>
      <c r="O800" s="5">
        <v>180</v>
      </c>
      <c r="P800" s="5"/>
      <c r="Q800" s="21">
        <v>0</v>
      </c>
      <c r="R800" s="21">
        <v>0</v>
      </c>
      <c r="S800" s="5">
        <f t="shared" si="51"/>
        <v>113712.70276015204</v>
      </c>
      <c r="T800" cm="1">
        <f t="array" ref="T800">IF(OR(B800="MAL ALIMI", B800="ÜRETİM GİRİŞ"), MIN(I800, MAX(0, I800 + SUM(SUMIFS($I$1:I799, $C$1:C799, C800, $B$1:B799, {"MAL ALIMI","ÜRETİM GİRİŞ"})) - VLOOKUP(C800, 'STOK RAPORU'!$C$2:$I$1000, 4, 0))), 0)</f>
        <v>0</v>
      </c>
      <c r="U800" s="22">
        <f t="shared" si="48"/>
        <v>0</v>
      </c>
      <c r="V800">
        <f t="shared" si="49"/>
        <v>0</v>
      </c>
      <c r="W800" s="22">
        <f t="shared" si="50"/>
        <v>0</v>
      </c>
    </row>
    <row r="801" spans="1:23" hidden="1" x14ac:dyDescent="0.25">
      <c r="A801" s="3">
        <v>45970</v>
      </c>
      <c r="B801" s="4" t="s">
        <v>334</v>
      </c>
      <c r="C801" s="4" t="s">
        <v>126</v>
      </c>
      <c r="D801" s="4"/>
      <c r="E801" s="4"/>
      <c r="F801" s="4" t="s">
        <v>621</v>
      </c>
      <c r="G801" s="4" t="s">
        <v>336</v>
      </c>
      <c r="H801" s="4" t="s">
        <v>289</v>
      </c>
      <c r="I801" s="4">
        <v>0.122</v>
      </c>
      <c r="J801" s="21">
        <v>640</v>
      </c>
      <c r="K801" s="21">
        <v>0</v>
      </c>
      <c r="L801" s="5">
        <v>0</v>
      </c>
      <c r="M801" s="4">
        <v>0.122</v>
      </c>
      <c r="N801" s="4"/>
      <c r="O801" s="5">
        <v>640</v>
      </c>
      <c r="P801" s="5"/>
      <c r="Q801" s="21">
        <v>78.08</v>
      </c>
      <c r="R801" s="21">
        <v>0</v>
      </c>
      <c r="S801" s="5">
        <f t="shared" si="51"/>
        <v>113790.78276015204</v>
      </c>
      <c r="T801" cm="1">
        <f t="array" ref="T801">IF(OR(B801="MAL ALIMI", B801="ÜRETİM GİRİŞ"), MIN(I801, MAX(0, I801 + SUM(SUMIFS($I$1:I800, $C$1:C800, C801, $B$1:B800, {"MAL ALIMI","ÜRETİM GİRİŞ"})) - VLOOKUP(C801, 'STOK RAPORU'!$C$2:$I$1000, 4, 0))), 0)</f>
        <v>0</v>
      </c>
      <c r="U801" s="22">
        <f t="shared" si="48"/>
        <v>0</v>
      </c>
      <c r="V801">
        <f t="shared" si="49"/>
        <v>0</v>
      </c>
      <c r="W801" s="22">
        <f t="shared" si="50"/>
        <v>0</v>
      </c>
    </row>
    <row r="802" spans="1:23" hidden="1" x14ac:dyDescent="0.25">
      <c r="A802" s="3">
        <v>45970</v>
      </c>
      <c r="B802" s="4" t="s">
        <v>334</v>
      </c>
      <c r="C802" s="4" t="s">
        <v>96</v>
      </c>
      <c r="D802" s="4"/>
      <c r="E802" s="4"/>
      <c r="F802" s="4" t="s">
        <v>621</v>
      </c>
      <c r="G802" s="4" t="s">
        <v>336</v>
      </c>
      <c r="H802" s="4" t="s">
        <v>289</v>
      </c>
      <c r="I802" s="4">
        <v>8.7999999999999995E-2</v>
      </c>
      <c r="J802" s="21">
        <v>380</v>
      </c>
      <c r="K802" s="21">
        <v>0</v>
      </c>
      <c r="L802" s="5">
        <v>0</v>
      </c>
      <c r="M802" s="4">
        <v>8.7999999999999995E-2</v>
      </c>
      <c r="N802" s="4"/>
      <c r="O802" s="5">
        <v>380</v>
      </c>
      <c r="P802" s="5"/>
      <c r="Q802" s="21">
        <v>33.44</v>
      </c>
      <c r="R802" s="21">
        <v>0</v>
      </c>
      <c r="S802" s="5">
        <f t="shared" si="51"/>
        <v>113824.22276015204</v>
      </c>
      <c r="T802" cm="1">
        <f t="array" ref="T802">IF(OR(B802="MAL ALIMI", B802="ÜRETİM GİRİŞ"), MIN(I802, MAX(0, I802 + SUM(SUMIFS($I$1:I801, $C$1:C801, C802, $B$1:B801, {"MAL ALIMI","ÜRETİM GİRİŞ"})) - VLOOKUP(C802, 'STOK RAPORU'!$C$2:$I$1000, 4, 0))), 0)</f>
        <v>0</v>
      </c>
      <c r="U802" s="22">
        <f t="shared" si="48"/>
        <v>0</v>
      </c>
      <c r="V802">
        <f t="shared" si="49"/>
        <v>0</v>
      </c>
      <c r="W802" s="22">
        <f t="shared" si="50"/>
        <v>0</v>
      </c>
    </row>
    <row r="803" spans="1:23" hidden="1" x14ac:dyDescent="0.25">
      <c r="A803" s="3">
        <v>45970</v>
      </c>
      <c r="B803" s="4" t="s">
        <v>334</v>
      </c>
      <c r="C803" s="4" t="s">
        <v>158</v>
      </c>
      <c r="D803" s="4"/>
      <c r="E803" s="4"/>
      <c r="F803" s="4" t="s">
        <v>622</v>
      </c>
      <c r="G803" s="4" t="s">
        <v>336</v>
      </c>
      <c r="H803" s="4" t="s">
        <v>289</v>
      </c>
      <c r="I803" s="4">
        <v>0.99399999999999999</v>
      </c>
      <c r="J803" s="21">
        <v>130</v>
      </c>
      <c r="K803" s="21">
        <v>0</v>
      </c>
      <c r="L803" s="5">
        <v>0</v>
      </c>
      <c r="M803" s="4">
        <v>0.99399999999999999</v>
      </c>
      <c r="N803" s="4"/>
      <c r="O803" s="5">
        <v>130</v>
      </c>
      <c r="P803" s="5"/>
      <c r="Q803" s="21">
        <v>129.22</v>
      </c>
      <c r="R803" s="21">
        <v>0</v>
      </c>
      <c r="S803" s="5">
        <f t="shared" si="51"/>
        <v>113953.44276015204</v>
      </c>
      <c r="T803" cm="1">
        <f t="array" ref="T803">IF(OR(B803="MAL ALIMI", B803="ÜRETİM GİRİŞ"), MIN(I803, MAX(0, I803 + SUM(SUMIFS($I$1:I802, $C$1:C802, C803, $B$1:B802, {"MAL ALIMI","ÜRETİM GİRİŞ"})) - VLOOKUP(C803, 'STOK RAPORU'!$C$2:$I$1000, 4, 0))), 0)</f>
        <v>0</v>
      </c>
      <c r="U803" s="22">
        <f t="shared" si="48"/>
        <v>0</v>
      </c>
      <c r="V803">
        <f t="shared" si="49"/>
        <v>0</v>
      </c>
      <c r="W803" s="22">
        <f t="shared" si="50"/>
        <v>0</v>
      </c>
    </row>
    <row r="804" spans="1:23" hidden="1" x14ac:dyDescent="0.25">
      <c r="A804" s="3">
        <v>45970</v>
      </c>
      <c r="B804" s="4" t="s">
        <v>334</v>
      </c>
      <c r="C804" s="4" t="s">
        <v>156</v>
      </c>
      <c r="D804" s="4"/>
      <c r="E804" s="4"/>
      <c r="F804" s="4" t="s">
        <v>622</v>
      </c>
      <c r="G804" s="4" t="s">
        <v>336</v>
      </c>
      <c r="H804" s="4" t="s">
        <v>289</v>
      </c>
      <c r="I804" s="4">
        <v>1.0760000000000001</v>
      </c>
      <c r="J804" s="21">
        <v>180</v>
      </c>
      <c r="K804" s="21">
        <v>0</v>
      </c>
      <c r="L804" s="5">
        <v>0</v>
      </c>
      <c r="M804" s="4">
        <v>1.0760000000000001</v>
      </c>
      <c r="N804" s="4"/>
      <c r="O804" s="5">
        <v>180</v>
      </c>
      <c r="P804" s="5"/>
      <c r="Q804" s="21">
        <v>193.68</v>
      </c>
      <c r="R804" s="21">
        <v>0</v>
      </c>
      <c r="S804" s="5">
        <f t="shared" si="51"/>
        <v>114147.12276015204</v>
      </c>
      <c r="T804" cm="1">
        <f t="array" ref="T804">IF(OR(B804="MAL ALIMI", B804="ÜRETİM GİRİŞ"), MIN(I804, MAX(0, I804 + SUM(SUMIFS($I$1:I803, $C$1:C803, C804, $B$1:B803, {"MAL ALIMI","ÜRETİM GİRİŞ"})) - VLOOKUP(C804, 'STOK RAPORU'!$C$2:$I$1000, 4, 0))), 0)</f>
        <v>0</v>
      </c>
      <c r="U804" s="22">
        <f t="shared" si="48"/>
        <v>0</v>
      </c>
      <c r="V804">
        <f t="shared" si="49"/>
        <v>0</v>
      </c>
      <c r="W804" s="22">
        <f t="shared" si="50"/>
        <v>0</v>
      </c>
    </row>
    <row r="805" spans="1:23" hidden="1" x14ac:dyDescent="0.25">
      <c r="A805" s="3">
        <v>45970</v>
      </c>
      <c r="B805" s="4" t="s">
        <v>334</v>
      </c>
      <c r="C805" s="4" t="s">
        <v>196</v>
      </c>
      <c r="D805" s="4"/>
      <c r="E805" s="4"/>
      <c r="F805" s="4" t="s">
        <v>622</v>
      </c>
      <c r="G805" s="4" t="s">
        <v>336</v>
      </c>
      <c r="H805" s="4" t="s">
        <v>289</v>
      </c>
      <c r="I805" s="4">
        <v>0.29199999999999998</v>
      </c>
      <c r="J805" s="21">
        <v>180</v>
      </c>
      <c r="K805" s="21">
        <v>0</v>
      </c>
      <c r="L805" s="5">
        <v>0</v>
      </c>
      <c r="M805" s="4">
        <v>0.29199999999999998</v>
      </c>
      <c r="N805" s="4"/>
      <c r="O805" s="5">
        <v>180</v>
      </c>
      <c r="P805" s="5"/>
      <c r="Q805" s="21">
        <v>52.559999999999995</v>
      </c>
      <c r="R805" s="21">
        <v>0</v>
      </c>
      <c r="S805" s="5">
        <f t="shared" si="51"/>
        <v>114199.68276015203</v>
      </c>
      <c r="T805" cm="1">
        <f t="array" ref="T805">IF(OR(B805="MAL ALIMI", B805="ÜRETİM GİRİŞ"), MIN(I805, MAX(0, I805 + SUM(SUMIFS($I$1:I804, $C$1:C804, C805, $B$1:B804, {"MAL ALIMI","ÜRETİM GİRİŞ"})) - VLOOKUP(C805, 'STOK RAPORU'!$C$2:$I$1000, 4, 0))), 0)</f>
        <v>0</v>
      </c>
      <c r="U805" s="22">
        <f t="shared" si="48"/>
        <v>0</v>
      </c>
      <c r="V805">
        <f t="shared" si="49"/>
        <v>0</v>
      </c>
      <c r="W805" s="22">
        <f t="shared" si="50"/>
        <v>0</v>
      </c>
    </row>
    <row r="806" spans="1:23" hidden="1" x14ac:dyDescent="0.25">
      <c r="A806" s="3">
        <v>45970</v>
      </c>
      <c r="B806" s="4" t="s">
        <v>334</v>
      </c>
      <c r="C806" s="4" t="s">
        <v>459</v>
      </c>
      <c r="D806" s="4"/>
      <c r="E806" s="4"/>
      <c r="F806" s="4" t="s">
        <v>622</v>
      </c>
      <c r="G806" s="4" t="s">
        <v>336</v>
      </c>
      <c r="H806" s="4" t="s">
        <v>289</v>
      </c>
      <c r="I806" s="4">
        <v>0.1</v>
      </c>
      <c r="J806" s="21">
        <v>200</v>
      </c>
      <c r="K806" s="21">
        <v>0</v>
      </c>
      <c r="L806" s="5">
        <v>0</v>
      </c>
      <c r="M806" s="4">
        <v>1</v>
      </c>
      <c r="N806" s="4"/>
      <c r="O806" s="5">
        <v>20</v>
      </c>
      <c r="P806" s="5"/>
      <c r="Q806" s="21">
        <v>20</v>
      </c>
      <c r="R806" s="21">
        <v>0</v>
      </c>
      <c r="S806" s="5">
        <f t="shared" si="51"/>
        <v>114219.68276015203</v>
      </c>
      <c r="T806" cm="1">
        <f t="array" ref="T806">IF(OR(B806="MAL ALIMI", B806="ÜRETİM GİRİŞ"), MIN(I806, MAX(0, I806 + SUM(SUMIFS($I$1:I805, $C$1:C805, C806, $B$1:B805, {"MAL ALIMI","ÜRETİM GİRİŞ"})) - VLOOKUP(C806, 'STOK RAPORU'!$C$2:$I$1000, 4, 0))), 0)</f>
        <v>0</v>
      </c>
      <c r="U806" s="22">
        <f t="shared" si="48"/>
        <v>0</v>
      </c>
      <c r="V806">
        <f t="shared" si="49"/>
        <v>0</v>
      </c>
      <c r="W806" s="22">
        <f t="shared" si="50"/>
        <v>0</v>
      </c>
    </row>
    <row r="807" spans="1:23" hidden="1" x14ac:dyDescent="0.25">
      <c r="A807" s="3">
        <v>45970</v>
      </c>
      <c r="B807" s="4" t="s">
        <v>334</v>
      </c>
      <c r="C807" s="4" t="s">
        <v>224</v>
      </c>
      <c r="D807" s="4"/>
      <c r="E807" s="4"/>
      <c r="F807" s="4" t="s">
        <v>622</v>
      </c>
      <c r="G807" s="4" t="s">
        <v>336</v>
      </c>
      <c r="H807" s="4" t="s">
        <v>289</v>
      </c>
      <c r="I807" s="4">
        <v>0.1</v>
      </c>
      <c r="J807" s="21">
        <v>900</v>
      </c>
      <c r="K807" s="21">
        <v>0</v>
      </c>
      <c r="L807" s="5">
        <v>0</v>
      </c>
      <c r="M807" s="4">
        <v>1</v>
      </c>
      <c r="N807" s="4"/>
      <c r="O807" s="5">
        <v>90</v>
      </c>
      <c r="P807" s="5"/>
      <c r="Q807" s="21">
        <v>90</v>
      </c>
      <c r="R807" s="21">
        <v>0</v>
      </c>
      <c r="S807" s="5">
        <f t="shared" si="51"/>
        <v>114309.68276015203</v>
      </c>
      <c r="T807" cm="1">
        <f t="array" ref="T807">IF(OR(B807="MAL ALIMI", B807="ÜRETİM GİRİŞ"), MIN(I807, MAX(0, I807 + SUM(SUMIFS($I$1:I806, $C$1:C806, C807, $B$1:B806, {"MAL ALIMI","ÜRETİM GİRİŞ"})) - VLOOKUP(C807, 'STOK RAPORU'!$C$2:$I$1000, 4, 0))), 0)</f>
        <v>0</v>
      </c>
      <c r="U807" s="22">
        <f t="shared" si="48"/>
        <v>0</v>
      </c>
      <c r="V807">
        <f t="shared" si="49"/>
        <v>0</v>
      </c>
      <c r="W807" s="22">
        <f t="shared" si="50"/>
        <v>0</v>
      </c>
    </row>
    <row r="808" spans="1:23" hidden="1" x14ac:dyDescent="0.25">
      <c r="A808" s="3">
        <v>45970</v>
      </c>
      <c r="B808" s="4" t="s">
        <v>334</v>
      </c>
      <c r="C808" s="4" t="s">
        <v>200</v>
      </c>
      <c r="D808" s="4"/>
      <c r="E808" s="4"/>
      <c r="F808" s="4" t="s">
        <v>622</v>
      </c>
      <c r="G808" s="4" t="s">
        <v>336</v>
      </c>
      <c r="H808" s="4" t="s">
        <v>289</v>
      </c>
      <c r="I808" s="4">
        <v>0.25</v>
      </c>
      <c r="J808" s="21">
        <v>380</v>
      </c>
      <c r="K808" s="21">
        <v>0</v>
      </c>
      <c r="L808" s="5">
        <v>0</v>
      </c>
      <c r="M808" s="4">
        <v>1</v>
      </c>
      <c r="N808" s="4"/>
      <c r="O808" s="5">
        <v>95</v>
      </c>
      <c r="P808" s="5"/>
      <c r="Q808" s="21">
        <v>95</v>
      </c>
      <c r="R808" s="21">
        <v>0</v>
      </c>
      <c r="S808" s="5">
        <f t="shared" si="51"/>
        <v>114404.68276015203</v>
      </c>
      <c r="T808" cm="1">
        <f t="array" ref="T808">IF(OR(B808="MAL ALIMI", B808="ÜRETİM GİRİŞ"), MIN(I808, MAX(0, I808 + SUM(SUMIFS($I$1:I807, $C$1:C807, C808, $B$1:B807, {"MAL ALIMI","ÜRETİM GİRİŞ"})) - VLOOKUP(C808, 'STOK RAPORU'!$C$2:$I$1000, 4, 0))), 0)</f>
        <v>0</v>
      </c>
      <c r="U808" s="22">
        <f t="shared" si="48"/>
        <v>0</v>
      </c>
      <c r="V808">
        <f t="shared" si="49"/>
        <v>0</v>
      </c>
      <c r="W808" s="22">
        <f t="shared" si="50"/>
        <v>0</v>
      </c>
    </row>
    <row r="809" spans="1:23" hidden="1" x14ac:dyDescent="0.25">
      <c r="A809" s="3">
        <v>45970</v>
      </c>
      <c r="B809" s="4" t="s">
        <v>334</v>
      </c>
      <c r="C809" s="4" t="s">
        <v>203</v>
      </c>
      <c r="D809" s="4"/>
      <c r="E809" s="4"/>
      <c r="F809" s="4" t="s">
        <v>622</v>
      </c>
      <c r="G809" s="4" t="s">
        <v>336</v>
      </c>
      <c r="H809" s="4" t="s">
        <v>289</v>
      </c>
      <c r="I809" s="4">
        <v>0.5</v>
      </c>
      <c r="J809" s="21">
        <v>80</v>
      </c>
      <c r="K809" s="21">
        <v>0</v>
      </c>
      <c r="L809" s="5">
        <v>0</v>
      </c>
      <c r="M809" s="4">
        <v>1</v>
      </c>
      <c r="N809" s="4"/>
      <c r="O809" s="5">
        <v>40</v>
      </c>
      <c r="P809" s="5"/>
      <c r="Q809" s="21">
        <v>40</v>
      </c>
      <c r="R809" s="21">
        <v>0</v>
      </c>
      <c r="S809" s="5">
        <f t="shared" si="51"/>
        <v>114444.68276015203</v>
      </c>
      <c r="T809" cm="1">
        <f t="array" ref="T809">IF(OR(B809="MAL ALIMI", B809="ÜRETİM GİRİŞ"), MIN(I809, MAX(0, I809 + SUM(SUMIFS($I$1:I808, $C$1:C808, C809, $B$1:B808, {"MAL ALIMI","ÜRETİM GİRİŞ"})) - VLOOKUP(C809, 'STOK RAPORU'!$C$2:$I$1000, 4, 0))), 0)</f>
        <v>0</v>
      </c>
      <c r="U809" s="22">
        <f t="shared" si="48"/>
        <v>0</v>
      </c>
      <c r="V809">
        <f t="shared" si="49"/>
        <v>0</v>
      </c>
      <c r="W809" s="22">
        <f t="shared" si="50"/>
        <v>0</v>
      </c>
    </row>
    <row r="810" spans="1:23" hidden="1" x14ac:dyDescent="0.25">
      <c r="A810" s="3">
        <v>45970</v>
      </c>
      <c r="B810" s="4" t="s">
        <v>334</v>
      </c>
      <c r="C810" s="4" t="s">
        <v>137</v>
      </c>
      <c r="D810" s="4"/>
      <c r="E810" s="4"/>
      <c r="F810" s="4" t="s">
        <v>622</v>
      </c>
      <c r="G810" s="4" t="s">
        <v>336</v>
      </c>
      <c r="H810" s="4" t="s">
        <v>289</v>
      </c>
      <c r="I810" s="4">
        <v>0.25</v>
      </c>
      <c r="J810" s="21">
        <v>180</v>
      </c>
      <c r="K810" s="21">
        <v>0</v>
      </c>
      <c r="L810" s="5">
        <v>0</v>
      </c>
      <c r="M810" s="4">
        <v>1</v>
      </c>
      <c r="N810" s="4"/>
      <c r="O810" s="5">
        <v>45</v>
      </c>
      <c r="P810" s="5"/>
      <c r="Q810" s="21">
        <v>45</v>
      </c>
      <c r="R810" s="21">
        <v>0</v>
      </c>
      <c r="S810" s="5">
        <f t="shared" si="51"/>
        <v>114489.68276015203</v>
      </c>
      <c r="T810" cm="1">
        <f t="array" ref="T810">IF(OR(B810="MAL ALIMI", B810="ÜRETİM GİRİŞ"), MIN(I810, MAX(0, I810 + SUM(SUMIFS($I$1:I809, $C$1:C809, C810, $B$1:B809, {"MAL ALIMI","ÜRETİM GİRİŞ"})) - VLOOKUP(C810, 'STOK RAPORU'!$C$2:$I$1000, 4, 0))), 0)</f>
        <v>0</v>
      </c>
      <c r="U810" s="22">
        <f t="shared" si="48"/>
        <v>0</v>
      </c>
      <c r="V810">
        <f t="shared" si="49"/>
        <v>0</v>
      </c>
      <c r="W810" s="22">
        <f t="shared" si="50"/>
        <v>0</v>
      </c>
    </row>
    <row r="811" spans="1:23" hidden="1" x14ac:dyDescent="0.25">
      <c r="A811" s="3">
        <v>45970</v>
      </c>
      <c r="B811" s="4" t="s">
        <v>334</v>
      </c>
      <c r="C811" s="4" t="s">
        <v>244</v>
      </c>
      <c r="D811" s="4"/>
      <c r="E811" s="4"/>
      <c r="F811" s="4" t="s">
        <v>622</v>
      </c>
      <c r="G811" s="4" t="s">
        <v>336</v>
      </c>
      <c r="H811" s="4" t="s">
        <v>289</v>
      </c>
      <c r="I811" s="4">
        <v>0.23</v>
      </c>
      <c r="J811" s="21">
        <v>650</v>
      </c>
      <c r="K811" s="21">
        <v>0</v>
      </c>
      <c r="L811" s="5">
        <v>0</v>
      </c>
      <c r="M811" s="4">
        <v>0.23</v>
      </c>
      <c r="N811" s="4"/>
      <c r="O811" s="5">
        <v>650</v>
      </c>
      <c r="P811" s="5"/>
      <c r="Q811" s="21">
        <v>149.5</v>
      </c>
      <c r="R811" s="21">
        <v>0</v>
      </c>
      <c r="S811" s="5">
        <f t="shared" si="51"/>
        <v>114639.18276015203</v>
      </c>
      <c r="T811" cm="1">
        <f t="array" ref="T811">IF(OR(B811="MAL ALIMI", B811="ÜRETİM GİRİŞ"), MIN(I811, MAX(0, I811 + SUM(SUMIFS($I$1:I810, $C$1:C810, C811, $B$1:B810, {"MAL ALIMI","ÜRETİM GİRİŞ"})) - VLOOKUP(C811, 'STOK RAPORU'!$C$2:$I$1000, 4, 0))), 0)</f>
        <v>0</v>
      </c>
      <c r="U811" s="22">
        <f t="shared" si="48"/>
        <v>0</v>
      </c>
      <c r="V811">
        <f t="shared" si="49"/>
        <v>0</v>
      </c>
      <c r="W811" s="22">
        <f t="shared" si="50"/>
        <v>0</v>
      </c>
    </row>
    <row r="812" spans="1:23" hidden="1" x14ac:dyDescent="0.25">
      <c r="A812" s="3">
        <v>45970</v>
      </c>
      <c r="B812" s="4" t="s">
        <v>334</v>
      </c>
      <c r="C812" s="4" t="s">
        <v>152</v>
      </c>
      <c r="D812" s="4"/>
      <c r="E812" s="4"/>
      <c r="F812" s="4" t="s">
        <v>622</v>
      </c>
      <c r="G812" s="4" t="s">
        <v>336</v>
      </c>
      <c r="H812" s="4" t="s">
        <v>289</v>
      </c>
      <c r="I812" s="4">
        <v>0.1</v>
      </c>
      <c r="J812" s="21">
        <v>400</v>
      </c>
      <c r="K812" s="21">
        <v>0</v>
      </c>
      <c r="L812" s="5">
        <v>0</v>
      </c>
      <c r="M812" s="4">
        <v>1</v>
      </c>
      <c r="N812" s="4"/>
      <c r="O812" s="5">
        <v>40</v>
      </c>
      <c r="P812" s="5"/>
      <c r="Q812" s="21">
        <v>40</v>
      </c>
      <c r="R812" s="21">
        <v>0</v>
      </c>
      <c r="S812" s="5">
        <f t="shared" si="51"/>
        <v>114679.18276015203</v>
      </c>
      <c r="T812" cm="1">
        <f t="array" ref="T812">IF(OR(B812="MAL ALIMI", B812="ÜRETİM GİRİŞ"), MIN(I812, MAX(0, I812 + SUM(SUMIFS($I$1:I811, $C$1:C811, C812, $B$1:B811, {"MAL ALIMI","ÜRETİM GİRİŞ"})) - VLOOKUP(C812, 'STOK RAPORU'!$C$2:$I$1000, 4, 0))), 0)</f>
        <v>0</v>
      </c>
      <c r="U812" s="22">
        <f t="shared" si="48"/>
        <v>0</v>
      </c>
      <c r="V812">
        <f t="shared" si="49"/>
        <v>0</v>
      </c>
      <c r="W812" s="22">
        <f t="shared" si="50"/>
        <v>0</v>
      </c>
    </row>
    <row r="813" spans="1:23" hidden="1" x14ac:dyDescent="0.25">
      <c r="A813" s="3">
        <v>45970</v>
      </c>
      <c r="B813" s="4" t="s">
        <v>334</v>
      </c>
      <c r="C813" s="4" t="s">
        <v>254</v>
      </c>
      <c r="D813" s="4"/>
      <c r="E813" s="4"/>
      <c r="F813" s="4" t="s">
        <v>622</v>
      </c>
      <c r="G813" s="4" t="s">
        <v>336</v>
      </c>
      <c r="H813" s="4" t="s">
        <v>289</v>
      </c>
      <c r="I813" s="4">
        <v>0.22500000000000001</v>
      </c>
      <c r="J813" s="21">
        <v>190</v>
      </c>
      <c r="K813" s="21">
        <v>0</v>
      </c>
      <c r="L813" s="5">
        <v>0</v>
      </c>
      <c r="M813" s="4">
        <v>0.22500000000000001</v>
      </c>
      <c r="N813" s="4"/>
      <c r="O813" s="5">
        <v>190</v>
      </c>
      <c r="P813" s="5"/>
      <c r="Q813" s="21">
        <v>42.75</v>
      </c>
      <c r="R813" s="21">
        <v>0</v>
      </c>
      <c r="S813" s="5">
        <f t="shared" si="51"/>
        <v>114721.93276015203</v>
      </c>
      <c r="T813" cm="1">
        <f t="array" ref="T813">IF(OR(B813="MAL ALIMI", B813="ÜRETİM GİRİŞ"), MIN(I813, MAX(0, I813 + SUM(SUMIFS($I$1:I812, $C$1:C812, C813, $B$1:B812, {"MAL ALIMI","ÜRETİM GİRİŞ"})) - VLOOKUP(C813, 'STOK RAPORU'!$C$2:$I$1000, 4, 0))), 0)</f>
        <v>0</v>
      </c>
      <c r="U813" s="22">
        <f t="shared" si="48"/>
        <v>0</v>
      </c>
      <c r="V813">
        <f t="shared" si="49"/>
        <v>0</v>
      </c>
      <c r="W813" s="22">
        <f t="shared" si="50"/>
        <v>0</v>
      </c>
    </row>
    <row r="814" spans="1:23" hidden="1" x14ac:dyDescent="0.25">
      <c r="A814" s="3">
        <v>45970</v>
      </c>
      <c r="B814" s="4" t="s">
        <v>334</v>
      </c>
      <c r="C814" s="4" t="s">
        <v>126</v>
      </c>
      <c r="D814" s="4"/>
      <c r="E814" s="4"/>
      <c r="F814" s="4" t="s">
        <v>622</v>
      </c>
      <c r="G814" s="4" t="s">
        <v>336</v>
      </c>
      <c r="H814" s="4" t="s">
        <v>289</v>
      </c>
      <c r="I814" s="4">
        <v>0.12</v>
      </c>
      <c r="J814" s="21">
        <v>640</v>
      </c>
      <c r="K814" s="21">
        <v>0</v>
      </c>
      <c r="L814" s="5">
        <v>0</v>
      </c>
      <c r="M814" s="4">
        <v>0.12</v>
      </c>
      <c r="N814" s="4"/>
      <c r="O814" s="5">
        <v>640</v>
      </c>
      <c r="P814" s="5"/>
      <c r="Q814" s="21">
        <v>76.8</v>
      </c>
      <c r="R814" s="21">
        <v>0</v>
      </c>
      <c r="S814" s="5">
        <f t="shared" si="51"/>
        <v>114798.73276015204</v>
      </c>
      <c r="T814" cm="1">
        <f t="array" ref="T814">IF(OR(B814="MAL ALIMI", B814="ÜRETİM GİRİŞ"), MIN(I814, MAX(0, I814 + SUM(SUMIFS($I$1:I813, $C$1:C813, C814, $B$1:B813, {"MAL ALIMI","ÜRETİM GİRİŞ"})) - VLOOKUP(C814, 'STOK RAPORU'!$C$2:$I$1000, 4, 0))), 0)</f>
        <v>0</v>
      </c>
      <c r="U814" s="22">
        <f t="shared" si="48"/>
        <v>0</v>
      </c>
      <c r="V814">
        <f t="shared" si="49"/>
        <v>0</v>
      </c>
      <c r="W814" s="22">
        <f t="shared" si="50"/>
        <v>0</v>
      </c>
    </row>
    <row r="815" spans="1:23" hidden="1" x14ac:dyDescent="0.25">
      <c r="A815" s="3">
        <v>45970</v>
      </c>
      <c r="B815" s="4" t="s">
        <v>334</v>
      </c>
      <c r="C815" s="4" t="s">
        <v>236</v>
      </c>
      <c r="D815" s="4"/>
      <c r="E815" s="4"/>
      <c r="F815" s="4" t="s">
        <v>622</v>
      </c>
      <c r="G815" s="4" t="s">
        <v>336</v>
      </c>
      <c r="H815" s="4" t="s">
        <v>289</v>
      </c>
      <c r="I815" s="4">
        <v>8.7999999999999995E-2</v>
      </c>
      <c r="J815" s="21">
        <v>350</v>
      </c>
      <c r="K815" s="21">
        <v>0</v>
      </c>
      <c r="L815" s="5">
        <v>0</v>
      </c>
      <c r="M815" s="4">
        <v>8.7999999999999995E-2</v>
      </c>
      <c r="N815" s="4"/>
      <c r="O815" s="5">
        <v>350</v>
      </c>
      <c r="P815" s="5"/>
      <c r="Q815" s="21">
        <v>30.799999999999997</v>
      </c>
      <c r="R815" s="21">
        <v>0</v>
      </c>
      <c r="S815" s="5">
        <f t="shared" si="51"/>
        <v>114829.53276015204</v>
      </c>
      <c r="T815" cm="1">
        <f t="array" ref="T815">IF(OR(B815="MAL ALIMI", B815="ÜRETİM GİRİŞ"), MIN(I815, MAX(0, I815 + SUM(SUMIFS($I$1:I814, $C$1:C814, C815, $B$1:B814, {"MAL ALIMI","ÜRETİM GİRİŞ"})) - VLOOKUP(C815, 'STOK RAPORU'!$C$2:$I$1000, 4, 0))), 0)</f>
        <v>0</v>
      </c>
      <c r="U815" s="22">
        <f t="shared" si="48"/>
        <v>0</v>
      </c>
      <c r="V815">
        <f t="shared" si="49"/>
        <v>0</v>
      </c>
      <c r="W815" s="22">
        <f t="shared" si="50"/>
        <v>0</v>
      </c>
    </row>
    <row r="816" spans="1:23" hidden="1" x14ac:dyDescent="0.25">
      <c r="A816" s="3">
        <v>45970</v>
      </c>
      <c r="B816" s="4" t="s">
        <v>334</v>
      </c>
      <c r="C816" s="4" t="s">
        <v>201</v>
      </c>
      <c r="D816" s="4"/>
      <c r="E816" s="4"/>
      <c r="F816" s="4" t="s">
        <v>622</v>
      </c>
      <c r="G816" s="4" t="s">
        <v>336</v>
      </c>
      <c r="H816" s="4" t="s">
        <v>289</v>
      </c>
      <c r="I816" s="4">
        <v>0.05</v>
      </c>
      <c r="J816" s="21">
        <v>800</v>
      </c>
      <c r="K816" s="21">
        <v>0</v>
      </c>
      <c r="L816" s="5">
        <v>0</v>
      </c>
      <c r="M816" s="4">
        <v>0.05</v>
      </c>
      <c r="N816" s="4"/>
      <c r="O816" s="5">
        <v>800</v>
      </c>
      <c r="P816" s="5"/>
      <c r="Q816" s="21">
        <v>40</v>
      </c>
      <c r="R816" s="21">
        <v>0</v>
      </c>
      <c r="S816" s="5">
        <f t="shared" si="51"/>
        <v>114869.53276015204</v>
      </c>
      <c r="T816" cm="1">
        <f t="array" ref="T816">IF(OR(B816="MAL ALIMI", B816="ÜRETİM GİRİŞ"), MIN(I816, MAX(0, I816 + SUM(SUMIFS($I$1:I815, $C$1:C815, C816, $B$1:B815, {"MAL ALIMI","ÜRETİM GİRİŞ"})) - VLOOKUP(C816, 'STOK RAPORU'!$C$2:$I$1000, 4, 0))), 0)</f>
        <v>0</v>
      </c>
      <c r="U816" s="22">
        <f t="shared" si="48"/>
        <v>0</v>
      </c>
      <c r="V816">
        <f t="shared" si="49"/>
        <v>0</v>
      </c>
      <c r="W816" s="22">
        <f t="shared" si="50"/>
        <v>0</v>
      </c>
    </row>
    <row r="817" spans="1:23" hidden="1" x14ac:dyDescent="0.25">
      <c r="A817" s="3">
        <v>45970</v>
      </c>
      <c r="B817" s="4" t="s">
        <v>334</v>
      </c>
      <c r="C817" s="4" t="s">
        <v>141</v>
      </c>
      <c r="D817" s="4"/>
      <c r="E817" s="4"/>
      <c r="F817" s="4" t="s">
        <v>622</v>
      </c>
      <c r="G817" s="4" t="s">
        <v>336</v>
      </c>
      <c r="H817" s="4" t="s">
        <v>289</v>
      </c>
      <c r="I817" s="4">
        <v>3.5999999999999997E-2</v>
      </c>
      <c r="J817" s="21">
        <v>140</v>
      </c>
      <c r="K817" s="21">
        <v>0</v>
      </c>
      <c r="L817" s="5">
        <v>0</v>
      </c>
      <c r="M817" s="4">
        <v>3.5999999999999997E-2</v>
      </c>
      <c r="N817" s="4"/>
      <c r="O817" s="5">
        <v>140</v>
      </c>
      <c r="P817" s="5"/>
      <c r="Q817" s="21">
        <v>5.04</v>
      </c>
      <c r="R817" s="21">
        <v>0</v>
      </c>
      <c r="S817" s="5">
        <f t="shared" si="51"/>
        <v>114874.57276015203</v>
      </c>
      <c r="T817" cm="1">
        <f t="array" ref="T817">IF(OR(B817="MAL ALIMI", B817="ÜRETİM GİRİŞ"), MIN(I817, MAX(0, I817 + SUM(SUMIFS($I$1:I816, $C$1:C816, C817, $B$1:B816, {"MAL ALIMI","ÜRETİM GİRİŞ"})) - VLOOKUP(C817, 'STOK RAPORU'!$C$2:$I$1000, 4, 0))), 0)</f>
        <v>0</v>
      </c>
      <c r="U817" s="22">
        <f t="shared" si="48"/>
        <v>0</v>
      </c>
      <c r="V817">
        <f t="shared" si="49"/>
        <v>0</v>
      </c>
      <c r="W817" s="22">
        <f t="shared" si="50"/>
        <v>0</v>
      </c>
    </row>
    <row r="818" spans="1:23" hidden="1" x14ac:dyDescent="0.25">
      <c r="A818" s="3">
        <v>45970</v>
      </c>
      <c r="B818" s="4" t="s">
        <v>334</v>
      </c>
      <c r="C818" s="4" t="s">
        <v>503</v>
      </c>
      <c r="D818" s="4"/>
      <c r="E818" s="4"/>
      <c r="F818" s="4" t="s">
        <v>622</v>
      </c>
      <c r="G818" s="4" t="s">
        <v>336</v>
      </c>
      <c r="H818" s="4" t="s">
        <v>289</v>
      </c>
      <c r="I818" s="4">
        <v>1</v>
      </c>
      <c r="J818" s="21">
        <v>135</v>
      </c>
      <c r="K818" s="21">
        <v>0</v>
      </c>
      <c r="L818" s="5">
        <v>0</v>
      </c>
      <c r="M818" s="4">
        <v>1</v>
      </c>
      <c r="N818" s="4"/>
      <c r="O818" s="5">
        <v>135</v>
      </c>
      <c r="P818" s="5"/>
      <c r="Q818" s="21">
        <v>135</v>
      </c>
      <c r="R818" s="21">
        <v>0</v>
      </c>
      <c r="S818" s="5">
        <f t="shared" si="51"/>
        <v>115009.57276015203</v>
      </c>
      <c r="T818" cm="1">
        <f t="array" ref="T818">IF(OR(B818="MAL ALIMI", B818="ÜRETİM GİRİŞ"), MIN(I818, MAX(0, I818 + SUM(SUMIFS($I$1:I817, $C$1:C817, C818, $B$1:B817, {"MAL ALIMI","ÜRETİM GİRİŞ"})) - VLOOKUP(C818, 'STOK RAPORU'!$C$2:$I$1000, 4, 0))), 0)</f>
        <v>0</v>
      </c>
      <c r="U818" s="22">
        <f t="shared" si="48"/>
        <v>0</v>
      </c>
      <c r="V818">
        <f t="shared" si="49"/>
        <v>0</v>
      </c>
      <c r="W818" s="22">
        <f t="shared" si="50"/>
        <v>0</v>
      </c>
    </row>
    <row r="819" spans="1:23" hidden="1" x14ac:dyDescent="0.25">
      <c r="A819" s="3">
        <v>45970</v>
      </c>
      <c r="B819" s="4" t="s">
        <v>334</v>
      </c>
      <c r="C819" s="4" t="s">
        <v>599</v>
      </c>
      <c r="D819" s="4"/>
      <c r="E819" s="4"/>
      <c r="F819" s="4" t="s">
        <v>622</v>
      </c>
      <c r="G819" s="4" t="s">
        <v>336</v>
      </c>
      <c r="H819" s="4" t="s">
        <v>289</v>
      </c>
      <c r="I819" s="4">
        <v>1</v>
      </c>
      <c r="J819" s="21">
        <v>50</v>
      </c>
      <c r="K819" s="21">
        <v>0</v>
      </c>
      <c r="L819" s="5">
        <v>0</v>
      </c>
      <c r="M819" s="4">
        <v>1</v>
      </c>
      <c r="N819" s="4"/>
      <c r="O819" s="5">
        <v>50</v>
      </c>
      <c r="P819" s="5"/>
      <c r="Q819" s="21">
        <v>50</v>
      </c>
      <c r="R819" s="21">
        <v>0</v>
      </c>
      <c r="S819" s="5">
        <f t="shared" si="51"/>
        <v>115059.57276015203</v>
      </c>
      <c r="T819" cm="1">
        <f t="array" ref="T819">IF(OR(B819="MAL ALIMI", B819="ÜRETİM GİRİŞ"), MIN(I819, MAX(0, I819 + SUM(SUMIFS($I$1:I818, $C$1:C818, C819, $B$1:B818, {"MAL ALIMI","ÜRETİM GİRİŞ"})) - VLOOKUP(C819, 'STOK RAPORU'!$C$2:$I$1000, 4, 0))), 0)</f>
        <v>0</v>
      </c>
      <c r="U819" s="22">
        <f t="shared" si="48"/>
        <v>0</v>
      </c>
      <c r="V819">
        <f t="shared" si="49"/>
        <v>0</v>
      </c>
      <c r="W819" s="22">
        <f t="shared" si="50"/>
        <v>0</v>
      </c>
    </row>
    <row r="820" spans="1:23" hidden="1" x14ac:dyDescent="0.25">
      <c r="A820" s="3">
        <v>45970</v>
      </c>
      <c r="B820" s="4" t="s">
        <v>334</v>
      </c>
      <c r="C820" s="4" t="s">
        <v>463</v>
      </c>
      <c r="D820" s="4"/>
      <c r="E820" s="4"/>
      <c r="F820" s="4" t="s">
        <v>622</v>
      </c>
      <c r="G820" s="4" t="s">
        <v>336</v>
      </c>
      <c r="H820" s="4" t="s">
        <v>289</v>
      </c>
      <c r="I820" s="4">
        <v>0.05</v>
      </c>
      <c r="J820" s="21">
        <v>370</v>
      </c>
      <c r="K820" s="21">
        <v>0</v>
      </c>
      <c r="L820" s="5">
        <v>0</v>
      </c>
      <c r="M820" s="4">
        <v>0.05</v>
      </c>
      <c r="N820" s="4"/>
      <c r="O820" s="5">
        <v>370</v>
      </c>
      <c r="P820" s="5"/>
      <c r="Q820" s="21">
        <v>18.5</v>
      </c>
      <c r="R820" s="21">
        <v>0</v>
      </c>
      <c r="S820" s="5">
        <f t="shared" si="51"/>
        <v>115078.07276015203</v>
      </c>
      <c r="T820" cm="1">
        <f t="array" ref="T820">IF(OR(B820="MAL ALIMI", B820="ÜRETİM GİRİŞ"), MIN(I820, MAX(0, I820 + SUM(SUMIFS($I$1:I819, $C$1:C819, C820, $B$1:B819, {"MAL ALIMI","ÜRETİM GİRİŞ"})) - VLOOKUP(C820, 'STOK RAPORU'!$C$2:$I$1000, 4, 0))), 0)</f>
        <v>0</v>
      </c>
      <c r="U820" s="22">
        <f t="shared" si="48"/>
        <v>0</v>
      </c>
      <c r="V820">
        <f t="shared" si="49"/>
        <v>0</v>
      </c>
      <c r="W820" s="22">
        <f t="shared" si="50"/>
        <v>0</v>
      </c>
    </row>
    <row r="821" spans="1:23" hidden="1" x14ac:dyDescent="0.25">
      <c r="A821" s="3">
        <v>45970</v>
      </c>
      <c r="B821" s="4" t="s">
        <v>334</v>
      </c>
      <c r="C821" s="4" t="s">
        <v>505</v>
      </c>
      <c r="D821" s="4"/>
      <c r="E821" s="4"/>
      <c r="F821" s="4" t="s">
        <v>623</v>
      </c>
      <c r="G821" s="4" t="s">
        <v>336</v>
      </c>
      <c r="H821" s="4" t="s">
        <v>289</v>
      </c>
      <c r="I821" s="4">
        <v>1</v>
      </c>
      <c r="J821" s="21">
        <v>230</v>
      </c>
      <c r="K821" s="21">
        <v>0</v>
      </c>
      <c r="L821" s="5">
        <v>0</v>
      </c>
      <c r="M821" s="4">
        <v>1</v>
      </c>
      <c r="N821" s="4"/>
      <c r="O821" s="5">
        <v>230</v>
      </c>
      <c r="P821" s="5"/>
      <c r="Q821" s="21">
        <v>230</v>
      </c>
      <c r="R821" s="21">
        <v>0</v>
      </c>
      <c r="S821" s="5">
        <f t="shared" si="51"/>
        <v>115308.07276015203</v>
      </c>
      <c r="T821" cm="1">
        <f t="array" ref="T821">IF(OR(B821="MAL ALIMI", B821="ÜRETİM GİRİŞ"), MIN(I821, MAX(0, I821 + SUM(SUMIFS($I$1:I820, $C$1:C820, C821, $B$1:B820, {"MAL ALIMI","ÜRETİM GİRİŞ"})) - VLOOKUP(C821, 'STOK RAPORU'!$C$2:$I$1000, 4, 0))), 0)</f>
        <v>0</v>
      </c>
      <c r="U821" s="22">
        <f t="shared" si="48"/>
        <v>0</v>
      </c>
      <c r="V821">
        <f t="shared" si="49"/>
        <v>0</v>
      </c>
      <c r="W821" s="22">
        <f t="shared" si="50"/>
        <v>0</v>
      </c>
    </row>
    <row r="822" spans="1:23" hidden="1" x14ac:dyDescent="0.25">
      <c r="A822" s="3">
        <v>45970</v>
      </c>
      <c r="B822" s="4" t="s">
        <v>334</v>
      </c>
      <c r="C822" s="4" t="s">
        <v>236</v>
      </c>
      <c r="D822" s="4"/>
      <c r="E822" s="4"/>
      <c r="F822" s="4" t="s">
        <v>623</v>
      </c>
      <c r="G822" s="4" t="s">
        <v>336</v>
      </c>
      <c r="H822" s="4" t="s">
        <v>289</v>
      </c>
      <c r="I822" s="4">
        <v>0.14799999999999999</v>
      </c>
      <c r="J822" s="21">
        <v>350</v>
      </c>
      <c r="K822" s="21">
        <v>0</v>
      </c>
      <c r="L822" s="5">
        <v>0</v>
      </c>
      <c r="M822" s="4">
        <v>0.14799999999999999</v>
      </c>
      <c r="N822" s="4"/>
      <c r="O822" s="5">
        <v>350</v>
      </c>
      <c r="P822" s="5"/>
      <c r="Q822" s="21">
        <v>51.8</v>
      </c>
      <c r="R822" s="21">
        <v>0</v>
      </c>
      <c r="S822" s="5">
        <f t="shared" si="51"/>
        <v>115359.87276015204</v>
      </c>
      <c r="T822" cm="1">
        <f t="array" ref="T822">IF(OR(B822="MAL ALIMI", B822="ÜRETİM GİRİŞ"), MIN(I822, MAX(0, I822 + SUM(SUMIFS($I$1:I821, $C$1:C821, C822, $B$1:B821, {"MAL ALIMI","ÜRETİM GİRİŞ"})) - VLOOKUP(C822, 'STOK RAPORU'!$C$2:$I$1000, 4, 0))), 0)</f>
        <v>0</v>
      </c>
      <c r="U822" s="22">
        <f t="shared" si="48"/>
        <v>0</v>
      </c>
      <c r="V822">
        <f t="shared" si="49"/>
        <v>0</v>
      </c>
      <c r="W822" s="22">
        <f t="shared" si="50"/>
        <v>0</v>
      </c>
    </row>
    <row r="823" spans="1:23" hidden="1" x14ac:dyDescent="0.25">
      <c r="A823" s="3">
        <v>45970</v>
      </c>
      <c r="B823" s="4" t="s">
        <v>334</v>
      </c>
      <c r="C823" s="4" t="s">
        <v>465</v>
      </c>
      <c r="D823" s="4"/>
      <c r="E823" s="4"/>
      <c r="F823" s="4" t="s">
        <v>623</v>
      </c>
      <c r="G823" s="4" t="s">
        <v>336</v>
      </c>
      <c r="H823" s="4" t="s">
        <v>289</v>
      </c>
      <c r="I823" s="4">
        <v>4</v>
      </c>
      <c r="J823" s="21">
        <v>40</v>
      </c>
      <c r="K823" s="21">
        <v>0</v>
      </c>
      <c r="L823" s="5">
        <v>0</v>
      </c>
      <c r="M823" s="4">
        <v>4</v>
      </c>
      <c r="N823" s="4"/>
      <c r="O823" s="5">
        <v>40</v>
      </c>
      <c r="P823" s="5"/>
      <c r="Q823" s="21">
        <v>160</v>
      </c>
      <c r="R823" s="21">
        <v>0</v>
      </c>
      <c r="S823" s="5">
        <f t="shared" si="51"/>
        <v>115519.87276015204</v>
      </c>
      <c r="T823" cm="1">
        <f t="array" ref="T823">IF(OR(B823="MAL ALIMI", B823="ÜRETİM GİRİŞ"), MIN(I823, MAX(0, I823 + SUM(SUMIFS($I$1:I822, $C$1:C822, C823, $B$1:B822, {"MAL ALIMI","ÜRETİM GİRİŞ"})) - VLOOKUP(C823, 'STOK RAPORU'!$C$2:$I$1000, 4, 0))), 0)</f>
        <v>0</v>
      </c>
      <c r="U823" s="22">
        <f t="shared" si="48"/>
        <v>0</v>
      </c>
      <c r="V823">
        <f t="shared" si="49"/>
        <v>0</v>
      </c>
      <c r="W823" s="22">
        <f t="shared" si="50"/>
        <v>0</v>
      </c>
    </row>
    <row r="824" spans="1:23" hidden="1" x14ac:dyDescent="0.25">
      <c r="A824" s="3">
        <v>45970</v>
      </c>
      <c r="B824" s="4" t="s">
        <v>334</v>
      </c>
      <c r="C824" s="4" t="s">
        <v>486</v>
      </c>
      <c r="D824" s="4"/>
      <c r="E824" s="4"/>
      <c r="F824" s="4" t="s">
        <v>623</v>
      </c>
      <c r="G824" s="4" t="s">
        <v>336</v>
      </c>
      <c r="H824" s="4" t="s">
        <v>289</v>
      </c>
      <c r="I824" s="4">
        <v>1</v>
      </c>
      <c r="J824" s="21">
        <v>90</v>
      </c>
      <c r="K824" s="21">
        <v>0</v>
      </c>
      <c r="L824" s="5">
        <v>0</v>
      </c>
      <c r="M824" s="4">
        <v>1</v>
      </c>
      <c r="N824" s="4"/>
      <c r="O824" s="5">
        <v>90</v>
      </c>
      <c r="P824" s="5"/>
      <c r="Q824" s="21">
        <v>90</v>
      </c>
      <c r="R824" s="21">
        <v>0</v>
      </c>
      <c r="S824" s="5">
        <f t="shared" si="51"/>
        <v>115609.87276015204</v>
      </c>
      <c r="T824" cm="1">
        <f t="array" ref="T824">IF(OR(B824="MAL ALIMI", B824="ÜRETİM GİRİŞ"), MIN(I824, MAX(0, I824 + SUM(SUMIFS($I$1:I823, $C$1:C823, C824, $B$1:B823, {"MAL ALIMI","ÜRETİM GİRİŞ"})) - VLOOKUP(C824, 'STOK RAPORU'!$C$2:$I$1000, 4, 0))), 0)</f>
        <v>0</v>
      </c>
      <c r="U824" s="22">
        <f t="shared" si="48"/>
        <v>0</v>
      </c>
      <c r="V824">
        <f t="shared" si="49"/>
        <v>0</v>
      </c>
      <c r="W824" s="22">
        <f t="shared" si="50"/>
        <v>0</v>
      </c>
    </row>
    <row r="825" spans="1:23" hidden="1" x14ac:dyDescent="0.25">
      <c r="A825" s="3">
        <v>45970</v>
      </c>
      <c r="B825" s="4" t="s">
        <v>334</v>
      </c>
      <c r="C825" s="4" t="s">
        <v>156</v>
      </c>
      <c r="D825" s="4"/>
      <c r="E825" s="4"/>
      <c r="F825" s="4" t="s">
        <v>623</v>
      </c>
      <c r="G825" s="4" t="s">
        <v>336</v>
      </c>
      <c r="H825" s="4" t="s">
        <v>289</v>
      </c>
      <c r="I825" s="4">
        <v>2.0179999999999998</v>
      </c>
      <c r="J825" s="21">
        <v>180</v>
      </c>
      <c r="K825" s="21">
        <v>0</v>
      </c>
      <c r="L825" s="5">
        <v>0</v>
      </c>
      <c r="M825" s="4">
        <v>2.0179999999999998</v>
      </c>
      <c r="N825" s="4"/>
      <c r="O825" s="5">
        <v>180</v>
      </c>
      <c r="P825" s="5"/>
      <c r="Q825" s="21">
        <v>363.23999999999995</v>
      </c>
      <c r="R825" s="21">
        <v>0</v>
      </c>
      <c r="S825" s="5">
        <f t="shared" si="51"/>
        <v>115973.11276015204</v>
      </c>
      <c r="T825" cm="1">
        <f t="array" ref="T825">IF(OR(B825="MAL ALIMI", B825="ÜRETİM GİRİŞ"), MIN(I825, MAX(0, I825 + SUM(SUMIFS($I$1:I824, $C$1:C824, C825, $B$1:B824, {"MAL ALIMI","ÜRETİM GİRİŞ"})) - VLOOKUP(C825, 'STOK RAPORU'!$C$2:$I$1000, 4, 0))), 0)</f>
        <v>0</v>
      </c>
      <c r="U825" s="22">
        <f t="shared" si="48"/>
        <v>0</v>
      </c>
      <c r="V825">
        <f t="shared" si="49"/>
        <v>0</v>
      </c>
      <c r="W825" s="22">
        <f t="shared" si="50"/>
        <v>0</v>
      </c>
    </row>
    <row r="826" spans="1:23" hidden="1" x14ac:dyDescent="0.25">
      <c r="A826" s="3">
        <v>45970</v>
      </c>
      <c r="B826" s="4" t="s">
        <v>334</v>
      </c>
      <c r="C826" s="4" t="s">
        <v>158</v>
      </c>
      <c r="D826" s="4"/>
      <c r="E826" s="4"/>
      <c r="F826" s="4" t="s">
        <v>623</v>
      </c>
      <c r="G826" s="4" t="s">
        <v>336</v>
      </c>
      <c r="H826" s="4" t="s">
        <v>289</v>
      </c>
      <c r="I826" s="4">
        <v>0.97799999999999998</v>
      </c>
      <c r="J826" s="21">
        <v>130</v>
      </c>
      <c r="K826" s="21">
        <v>0</v>
      </c>
      <c r="L826" s="5">
        <v>0</v>
      </c>
      <c r="M826" s="4">
        <v>0.97799999999999998</v>
      </c>
      <c r="N826" s="4"/>
      <c r="O826" s="5">
        <v>130</v>
      </c>
      <c r="P826" s="5"/>
      <c r="Q826" s="21">
        <v>127.14</v>
      </c>
      <c r="R826" s="21">
        <v>0</v>
      </c>
      <c r="S826" s="5">
        <f t="shared" si="51"/>
        <v>116100.25276015204</v>
      </c>
      <c r="T826" cm="1">
        <f t="array" ref="T826">IF(OR(B826="MAL ALIMI", B826="ÜRETİM GİRİŞ"), MIN(I826, MAX(0, I826 + SUM(SUMIFS($I$1:I825, $C$1:C825, C826, $B$1:B825, {"MAL ALIMI","ÜRETİM GİRİŞ"})) - VLOOKUP(C826, 'STOK RAPORU'!$C$2:$I$1000, 4, 0))), 0)</f>
        <v>0</v>
      </c>
      <c r="U826" s="22">
        <f t="shared" si="48"/>
        <v>0</v>
      </c>
      <c r="V826">
        <f t="shared" si="49"/>
        <v>0</v>
      </c>
      <c r="W826" s="22">
        <f t="shared" si="50"/>
        <v>0</v>
      </c>
    </row>
    <row r="827" spans="1:23" hidden="1" x14ac:dyDescent="0.25">
      <c r="A827" s="3">
        <v>45970</v>
      </c>
      <c r="B827" s="4" t="s">
        <v>334</v>
      </c>
      <c r="C827" s="4" t="s">
        <v>129</v>
      </c>
      <c r="D827" s="4"/>
      <c r="E827" s="4"/>
      <c r="F827" s="4" t="s">
        <v>623</v>
      </c>
      <c r="G827" s="4" t="s">
        <v>336</v>
      </c>
      <c r="H827" s="4" t="s">
        <v>289</v>
      </c>
      <c r="I827" s="4">
        <v>0.19600000000000001</v>
      </c>
      <c r="J827" s="21">
        <v>390</v>
      </c>
      <c r="K827" s="21">
        <v>0</v>
      </c>
      <c r="L827" s="5">
        <v>0</v>
      </c>
      <c r="M827" s="4">
        <v>0.19600000000000001</v>
      </c>
      <c r="N827" s="4"/>
      <c r="O827" s="5">
        <v>390</v>
      </c>
      <c r="P827" s="5"/>
      <c r="Q827" s="21">
        <v>76.44</v>
      </c>
      <c r="R827" s="21">
        <v>0</v>
      </c>
      <c r="S827" s="5">
        <f t="shared" si="51"/>
        <v>116176.69276015204</v>
      </c>
      <c r="T827" cm="1">
        <f t="array" ref="T827">IF(OR(B827="MAL ALIMI", B827="ÜRETİM GİRİŞ"), MIN(I827, MAX(0, I827 + SUM(SUMIFS($I$1:I826, $C$1:C826, C827, $B$1:B826, {"MAL ALIMI","ÜRETİM GİRİŞ"})) - VLOOKUP(C827, 'STOK RAPORU'!$C$2:$I$1000, 4, 0))), 0)</f>
        <v>0</v>
      </c>
      <c r="U827" s="22">
        <f t="shared" si="48"/>
        <v>0</v>
      </c>
      <c r="V827">
        <f t="shared" si="49"/>
        <v>0</v>
      </c>
      <c r="W827" s="22">
        <f t="shared" si="50"/>
        <v>0</v>
      </c>
    </row>
    <row r="828" spans="1:23" hidden="1" x14ac:dyDescent="0.25">
      <c r="A828" s="3">
        <v>45970</v>
      </c>
      <c r="B828" s="4" t="s">
        <v>334</v>
      </c>
      <c r="C828" s="4" t="s">
        <v>166</v>
      </c>
      <c r="D828" s="4"/>
      <c r="E828" s="4"/>
      <c r="F828" s="4" t="s">
        <v>623</v>
      </c>
      <c r="G828" s="4" t="s">
        <v>336</v>
      </c>
      <c r="H828" s="4" t="s">
        <v>289</v>
      </c>
      <c r="I828" s="4">
        <v>9.1999999999999998E-2</v>
      </c>
      <c r="J828" s="21">
        <v>770</v>
      </c>
      <c r="K828" s="21">
        <v>0</v>
      </c>
      <c r="L828" s="5">
        <v>0</v>
      </c>
      <c r="M828" s="4">
        <v>9.1999999999999998E-2</v>
      </c>
      <c r="N828" s="4"/>
      <c r="O828" s="5">
        <v>770</v>
      </c>
      <c r="P828" s="5"/>
      <c r="Q828" s="21">
        <v>70.84</v>
      </c>
      <c r="R828" s="21">
        <v>0</v>
      </c>
      <c r="S828" s="5">
        <f t="shared" si="51"/>
        <v>116247.53276015204</v>
      </c>
      <c r="T828" cm="1">
        <f t="array" ref="T828">IF(OR(B828="MAL ALIMI", B828="ÜRETİM GİRİŞ"), MIN(I828, MAX(0, I828 + SUM(SUMIFS($I$1:I827, $C$1:C827, C828, $B$1:B827, {"MAL ALIMI","ÜRETİM GİRİŞ"})) - VLOOKUP(C828, 'STOK RAPORU'!$C$2:$I$1000, 4, 0))), 0)</f>
        <v>0</v>
      </c>
      <c r="U828" s="22">
        <f t="shared" si="48"/>
        <v>0</v>
      </c>
      <c r="V828">
        <f t="shared" si="49"/>
        <v>0</v>
      </c>
      <c r="W828" s="22">
        <f t="shared" si="50"/>
        <v>0</v>
      </c>
    </row>
    <row r="829" spans="1:23" hidden="1" x14ac:dyDescent="0.25">
      <c r="A829" s="3">
        <v>45970</v>
      </c>
      <c r="B829" s="4" t="s">
        <v>334</v>
      </c>
      <c r="C829" s="4" t="s">
        <v>98</v>
      </c>
      <c r="D829" s="4"/>
      <c r="E829" s="4"/>
      <c r="F829" s="4" t="s">
        <v>623</v>
      </c>
      <c r="G829" s="4" t="s">
        <v>336</v>
      </c>
      <c r="H829" s="4" t="s">
        <v>289</v>
      </c>
      <c r="I829" s="4">
        <v>9.6000000000000002E-2</v>
      </c>
      <c r="J829" s="21">
        <v>360</v>
      </c>
      <c r="K829" s="21">
        <v>0</v>
      </c>
      <c r="L829" s="5">
        <v>0</v>
      </c>
      <c r="M829" s="4">
        <v>9.6000000000000002E-2</v>
      </c>
      <c r="N829" s="4"/>
      <c r="O829" s="5">
        <v>360</v>
      </c>
      <c r="P829" s="5"/>
      <c r="Q829" s="21">
        <v>34.56</v>
      </c>
      <c r="R829" s="21">
        <v>0</v>
      </c>
      <c r="S829" s="5">
        <f t="shared" si="51"/>
        <v>116282.09276015204</v>
      </c>
      <c r="T829" cm="1">
        <f t="array" ref="T829">IF(OR(B829="MAL ALIMI", B829="ÜRETİM GİRİŞ"), MIN(I829, MAX(0, I829 + SUM(SUMIFS($I$1:I828, $C$1:C828, C829, $B$1:B828, {"MAL ALIMI","ÜRETİM GİRİŞ"})) - VLOOKUP(C829, 'STOK RAPORU'!$C$2:$I$1000, 4, 0))), 0)</f>
        <v>0</v>
      </c>
      <c r="U829" s="22">
        <f t="shared" si="48"/>
        <v>0</v>
      </c>
      <c r="V829">
        <f t="shared" si="49"/>
        <v>0</v>
      </c>
      <c r="W829" s="22">
        <f t="shared" si="50"/>
        <v>0</v>
      </c>
    </row>
    <row r="830" spans="1:23" hidden="1" x14ac:dyDescent="0.25">
      <c r="A830" s="3">
        <v>45970</v>
      </c>
      <c r="B830" s="4" t="s">
        <v>334</v>
      </c>
      <c r="C830" s="4" t="s">
        <v>60</v>
      </c>
      <c r="D830" s="4"/>
      <c r="E830" s="4"/>
      <c r="F830" s="4" t="s">
        <v>623</v>
      </c>
      <c r="G830" s="4" t="s">
        <v>336</v>
      </c>
      <c r="H830" s="4" t="s">
        <v>289</v>
      </c>
      <c r="I830" s="4">
        <v>5.4550000000000001E-2</v>
      </c>
      <c r="J830" s="21">
        <v>1100</v>
      </c>
      <c r="K830" s="21">
        <v>0</v>
      </c>
      <c r="L830" s="5">
        <v>0</v>
      </c>
      <c r="M830" s="4">
        <v>1</v>
      </c>
      <c r="N830" s="4"/>
      <c r="O830" s="5">
        <v>60</v>
      </c>
      <c r="P830" s="5"/>
      <c r="Q830" s="21">
        <v>60.005000000000003</v>
      </c>
      <c r="R830" s="21">
        <v>0</v>
      </c>
      <c r="S830" s="5">
        <f t="shared" si="51"/>
        <v>116342.09776015204</v>
      </c>
      <c r="T830" cm="1">
        <f t="array" ref="T830">IF(OR(B830="MAL ALIMI", B830="ÜRETİM GİRİŞ"), MIN(I830, MAX(0, I830 + SUM(SUMIFS($I$1:I829, $C$1:C829, C830, $B$1:B829, {"MAL ALIMI","ÜRETİM GİRİŞ"})) - VLOOKUP(C830, 'STOK RAPORU'!$C$2:$I$1000, 4, 0))), 0)</f>
        <v>0</v>
      </c>
      <c r="U830" s="22">
        <f t="shared" si="48"/>
        <v>0</v>
      </c>
      <c r="V830">
        <f t="shared" si="49"/>
        <v>0</v>
      </c>
      <c r="W830" s="22">
        <f t="shared" si="50"/>
        <v>0</v>
      </c>
    </row>
    <row r="831" spans="1:23" hidden="1" x14ac:dyDescent="0.25">
      <c r="A831" s="3">
        <v>45970</v>
      </c>
      <c r="B831" s="4" t="s">
        <v>334</v>
      </c>
      <c r="C831" s="4" t="s">
        <v>154</v>
      </c>
      <c r="D831" s="4"/>
      <c r="E831" s="4"/>
      <c r="F831" s="4" t="s">
        <v>623</v>
      </c>
      <c r="G831" s="4" t="s">
        <v>336</v>
      </c>
      <c r="H831" s="4" t="s">
        <v>289</v>
      </c>
      <c r="I831" s="4">
        <v>0.1</v>
      </c>
      <c r="J831" s="21">
        <v>400</v>
      </c>
      <c r="K831" s="21">
        <v>0</v>
      </c>
      <c r="L831" s="5">
        <v>0</v>
      </c>
      <c r="M831" s="4">
        <v>1</v>
      </c>
      <c r="N831" s="4"/>
      <c r="O831" s="5">
        <v>40</v>
      </c>
      <c r="P831" s="5"/>
      <c r="Q831" s="21">
        <v>40</v>
      </c>
      <c r="R831" s="21">
        <v>0</v>
      </c>
      <c r="S831" s="5">
        <f t="shared" si="51"/>
        <v>116382.09776015204</v>
      </c>
      <c r="T831" cm="1">
        <f t="array" ref="T831">IF(OR(B831="MAL ALIMI", B831="ÜRETİM GİRİŞ"), MIN(I831, MAX(0, I831 + SUM(SUMIFS($I$1:I830, $C$1:C830, C831, $B$1:B830, {"MAL ALIMI","ÜRETİM GİRİŞ"})) - VLOOKUP(C831, 'STOK RAPORU'!$C$2:$I$1000, 4, 0))), 0)</f>
        <v>0</v>
      </c>
      <c r="U831" s="22">
        <f t="shared" si="48"/>
        <v>0</v>
      </c>
      <c r="V831">
        <f t="shared" si="49"/>
        <v>0</v>
      </c>
      <c r="W831" s="22">
        <f t="shared" si="50"/>
        <v>0</v>
      </c>
    </row>
    <row r="832" spans="1:23" hidden="1" x14ac:dyDescent="0.25">
      <c r="A832" s="3">
        <v>45970</v>
      </c>
      <c r="B832" s="4" t="s">
        <v>334</v>
      </c>
      <c r="C832" s="4" t="s">
        <v>459</v>
      </c>
      <c r="D832" s="4"/>
      <c r="E832" s="4"/>
      <c r="F832" s="4" t="s">
        <v>623</v>
      </c>
      <c r="G832" s="4" t="s">
        <v>336</v>
      </c>
      <c r="H832" s="4" t="s">
        <v>289</v>
      </c>
      <c r="I832" s="4">
        <v>0.2</v>
      </c>
      <c r="J832" s="21">
        <v>200</v>
      </c>
      <c r="K832" s="21">
        <v>0</v>
      </c>
      <c r="L832" s="5">
        <v>0</v>
      </c>
      <c r="M832" s="4">
        <v>1</v>
      </c>
      <c r="N832" s="4"/>
      <c r="O832" s="5">
        <v>40</v>
      </c>
      <c r="P832" s="5"/>
      <c r="Q832" s="21">
        <v>40</v>
      </c>
      <c r="R832" s="21">
        <v>0</v>
      </c>
      <c r="S832" s="5">
        <f t="shared" si="51"/>
        <v>116422.09776015204</v>
      </c>
      <c r="T832" cm="1">
        <f t="array" ref="T832">IF(OR(B832="MAL ALIMI", B832="ÜRETİM GİRİŞ"), MIN(I832, MAX(0, I832 + SUM(SUMIFS($I$1:I831, $C$1:C831, C832, $B$1:B831, {"MAL ALIMI","ÜRETİM GİRİŞ"})) - VLOOKUP(C832, 'STOK RAPORU'!$C$2:$I$1000, 4, 0))), 0)</f>
        <v>0</v>
      </c>
      <c r="U832" s="22">
        <f t="shared" si="48"/>
        <v>0</v>
      </c>
      <c r="V832">
        <f t="shared" si="49"/>
        <v>0</v>
      </c>
      <c r="W832" s="22">
        <f t="shared" si="50"/>
        <v>0</v>
      </c>
    </row>
    <row r="833" spans="1:23" hidden="1" x14ac:dyDescent="0.25">
      <c r="A833" s="3">
        <v>45970</v>
      </c>
      <c r="B833" s="4" t="s">
        <v>334</v>
      </c>
      <c r="C833" s="4" t="s">
        <v>208</v>
      </c>
      <c r="D833" s="4"/>
      <c r="E833" s="4"/>
      <c r="F833" s="4" t="s">
        <v>623</v>
      </c>
      <c r="G833" s="4" t="s">
        <v>336</v>
      </c>
      <c r="H833" s="4" t="s">
        <v>289</v>
      </c>
      <c r="I833" s="4">
        <v>2</v>
      </c>
      <c r="J833" s="21">
        <v>140</v>
      </c>
      <c r="K833" s="21">
        <v>0</v>
      </c>
      <c r="L833" s="5">
        <v>0</v>
      </c>
      <c r="M833" s="4">
        <v>4</v>
      </c>
      <c r="N833" s="4"/>
      <c r="O833" s="5">
        <v>70</v>
      </c>
      <c r="P833" s="5"/>
      <c r="Q833" s="21">
        <v>280</v>
      </c>
      <c r="R833" s="21">
        <v>0</v>
      </c>
      <c r="S833" s="5">
        <f t="shared" si="51"/>
        <v>116702.09776015204</v>
      </c>
      <c r="T833" cm="1">
        <f t="array" ref="T833">IF(OR(B833="MAL ALIMI", B833="ÜRETİM GİRİŞ"), MIN(I833, MAX(0, I833 + SUM(SUMIFS($I$1:I832, $C$1:C832, C833, $B$1:B832, {"MAL ALIMI","ÜRETİM GİRİŞ"})) - VLOOKUP(C833, 'STOK RAPORU'!$C$2:$I$1000, 4, 0))), 0)</f>
        <v>0</v>
      </c>
      <c r="U833" s="22">
        <f t="shared" si="48"/>
        <v>0</v>
      </c>
      <c r="V833">
        <f t="shared" si="49"/>
        <v>0</v>
      </c>
      <c r="W833" s="22">
        <f t="shared" si="50"/>
        <v>0</v>
      </c>
    </row>
    <row r="834" spans="1:23" hidden="1" x14ac:dyDescent="0.25">
      <c r="A834" s="3">
        <v>45970</v>
      </c>
      <c r="B834" s="4" t="s">
        <v>334</v>
      </c>
      <c r="C834" s="4" t="s">
        <v>530</v>
      </c>
      <c r="D834" s="4"/>
      <c r="E834" s="4"/>
      <c r="F834" s="4" t="s">
        <v>623</v>
      </c>
      <c r="G834" s="4" t="s">
        <v>336</v>
      </c>
      <c r="H834" s="4" t="s">
        <v>289</v>
      </c>
      <c r="I834" s="4">
        <v>0.5</v>
      </c>
      <c r="J834" s="21">
        <v>280</v>
      </c>
      <c r="K834" s="21">
        <v>0</v>
      </c>
      <c r="L834" s="5">
        <v>0</v>
      </c>
      <c r="M834" s="4">
        <v>1</v>
      </c>
      <c r="N834" s="4"/>
      <c r="O834" s="5">
        <v>140</v>
      </c>
      <c r="P834" s="5"/>
      <c r="Q834" s="21">
        <v>140</v>
      </c>
      <c r="R834" s="21">
        <v>0</v>
      </c>
      <c r="S834" s="5">
        <f t="shared" si="51"/>
        <v>116842.09776015204</v>
      </c>
      <c r="T834" cm="1">
        <f t="array" ref="T834">IF(OR(B834="MAL ALIMI", B834="ÜRETİM GİRİŞ"), MIN(I834, MAX(0, I834 + SUM(SUMIFS($I$1:I833, $C$1:C833, C834, $B$1:B833, {"MAL ALIMI","ÜRETİM GİRİŞ"})) - VLOOKUP(C834, 'STOK RAPORU'!$C$2:$I$1000, 4, 0))), 0)</f>
        <v>0</v>
      </c>
      <c r="U834" s="22">
        <f t="shared" si="48"/>
        <v>0</v>
      </c>
      <c r="V834">
        <f t="shared" si="49"/>
        <v>0</v>
      </c>
      <c r="W834" s="22">
        <f t="shared" si="50"/>
        <v>0</v>
      </c>
    </row>
    <row r="835" spans="1:23" hidden="1" x14ac:dyDescent="0.25">
      <c r="A835" s="3">
        <v>45970</v>
      </c>
      <c r="B835" s="4" t="s">
        <v>334</v>
      </c>
      <c r="C835" s="4" t="s">
        <v>96</v>
      </c>
      <c r="D835" s="4"/>
      <c r="E835" s="4"/>
      <c r="F835" s="4" t="s">
        <v>623</v>
      </c>
      <c r="G835" s="4" t="s">
        <v>336</v>
      </c>
      <c r="H835" s="4" t="s">
        <v>289</v>
      </c>
      <c r="I835" s="4">
        <v>0.754</v>
      </c>
      <c r="J835" s="21">
        <v>380</v>
      </c>
      <c r="K835" s="21">
        <v>0</v>
      </c>
      <c r="L835" s="5">
        <v>0</v>
      </c>
      <c r="M835" s="4">
        <v>0.754</v>
      </c>
      <c r="N835" s="4"/>
      <c r="O835" s="5">
        <v>380</v>
      </c>
      <c r="P835" s="5"/>
      <c r="Q835" s="21">
        <v>286.52</v>
      </c>
      <c r="R835" s="21">
        <v>0</v>
      </c>
      <c r="S835" s="5">
        <f t="shared" si="51"/>
        <v>117128.61776015205</v>
      </c>
      <c r="T835" cm="1">
        <f t="array" ref="T835">IF(OR(B835="MAL ALIMI", B835="ÜRETİM GİRİŞ"), MIN(I835, MAX(0, I835 + SUM(SUMIFS($I$1:I834, $C$1:C834, C835, $B$1:B834, {"MAL ALIMI","ÜRETİM GİRİŞ"})) - VLOOKUP(C835, 'STOK RAPORU'!$C$2:$I$1000, 4, 0))), 0)</f>
        <v>0</v>
      </c>
      <c r="U835" s="22">
        <f t="shared" ref="U835:U898" si="52">T835*J835</f>
        <v>0</v>
      </c>
      <c r="V835">
        <f t="shared" ref="V835:V898" si="53">IF(OR(B835="MAL ALIMI", B835="ÜRETİM GİRİŞ"), I835 * J835, 0)</f>
        <v>0</v>
      </c>
      <c r="W835" s="22">
        <f t="shared" ref="W835:W898" si="54">V835-U835</f>
        <v>0</v>
      </c>
    </row>
    <row r="836" spans="1:23" hidden="1" x14ac:dyDescent="0.25">
      <c r="A836" s="3">
        <v>45970</v>
      </c>
      <c r="B836" s="4" t="s">
        <v>334</v>
      </c>
      <c r="C836" s="4" t="s">
        <v>238</v>
      </c>
      <c r="D836" s="4"/>
      <c r="E836" s="4"/>
      <c r="F836" s="4" t="s">
        <v>623</v>
      </c>
      <c r="G836" s="4" t="s">
        <v>336</v>
      </c>
      <c r="H836" s="4" t="s">
        <v>289</v>
      </c>
      <c r="I836" s="4">
        <v>0.1</v>
      </c>
      <c r="J836" s="21">
        <v>1350</v>
      </c>
      <c r="K836" s="21">
        <v>0</v>
      </c>
      <c r="L836" s="5">
        <v>0</v>
      </c>
      <c r="M836" s="4">
        <v>1</v>
      </c>
      <c r="N836" s="4"/>
      <c r="O836" s="5">
        <v>135</v>
      </c>
      <c r="P836" s="5"/>
      <c r="Q836" s="21">
        <v>135</v>
      </c>
      <c r="R836" s="21">
        <v>0</v>
      </c>
      <c r="S836" s="5">
        <f t="shared" ref="S836:S899" si="55">S835+Q836-R836</f>
        <v>117263.61776015205</v>
      </c>
      <c r="T836" cm="1">
        <f t="array" ref="T836">IF(OR(B836="MAL ALIMI", B836="ÜRETİM GİRİŞ"), MIN(I836, MAX(0, I836 + SUM(SUMIFS($I$1:I835, $C$1:C835, C836, $B$1:B835, {"MAL ALIMI","ÜRETİM GİRİŞ"})) - VLOOKUP(C836, 'STOK RAPORU'!$C$2:$I$1000, 4, 0))), 0)</f>
        <v>0</v>
      </c>
      <c r="U836" s="22">
        <f t="shared" si="52"/>
        <v>0</v>
      </c>
      <c r="V836">
        <f t="shared" si="53"/>
        <v>0</v>
      </c>
      <c r="W836" s="22">
        <f t="shared" si="54"/>
        <v>0</v>
      </c>
    </row>
    <row r="837" spans="1:23" hidden="1" x14ac:dyDescent="0.25">
      <c r="A837" s="3">
        <v>45970</v>
      </c>
      <c r="B837" s="4" t="s">
        <v>334</v>
      </c>
      <c r="C837" s="4" t="s">
        <v>132</v>
      </c>
      <c r="D837" s="4"/>
      <c r="E837" s="4"/>
      <c r="F837" s="4" t="s">
        <v>623</v>
      </c>
      <c r="G837" s="4" t="s">
        <v>336</v>
      </c>
      <c r="H837" s="4" t="s">
        <v>289</v>
      </c>
      <c r="I837" s="4">
        <v>0.79600000000000004</v>
      </c>
      <c r="J837" s="21">
        <v>500</v>
      </c>
      <c r="K837" s="21">
        <v>0</v>
      </c>
      <c r="L837" s="5">
        <v>0</v>
      </c>
      <c r="M837" s="4">
        <v>0.79600000000000004</v>
      </c>
      <c r="N837" s="4"/>
      <c r="O837" s="5">
        <v>500</v>
      </c>
      <c r="P837" s="5"/>
      <c r="Q837" s="21">
        <v>398</v>
      </c>
      <c r="R837" s="21">
        <v>0</v>
      </c>
      <c r="S837" s="5">
        <f t="shared" si="55"/>
        <v>117661.61776015205</v>
      </c>
      <c r="T837" cm="1">
        <f t="array" ref="T837">IF(OR(B837="MAL ALIMI", B837="ÜRETİM GİRİŞ"), MIN(I837, MAX(0, I837 + SUM(SUMIFS($I$1:I836, $C$1:C836, C837, $B$1:B836, {"MAL ALIMI","ÜRETİM GİRİŞ"})) - VLOOKUP(C837, 'STOK RAPORU'!$C$2:$I$1000, 4, 0))), 0)</f>
        <v>0</v>
      </c>
      <c r="U837" s="22">
        <f t="shared" si="52"/>
        <v>0</v>
      </c>
      <c r="V837">
        <f t="shared" si="53"/>
        <v>0</v>
      </c>
      <c r="W837" s="22">
        <f t="shared" si="54"/>
        <v>0</v>
      </c>
    </row>
    <row r="838" spans="1:23" hidden="1" x14ac:dyDescent="0.25">
      <c r="A838" s="3">
        <v>45970</v>
      </c>
      <c r="B838" s="4" t="s">
        <v>334</v>
      </c>
      <c r="C838" s="4" t="s">
        <v>218</v>
      </c>
      <c r="D838" s="4"/>
      <c r="E838" s="4"/>
      <c r="F838" s="4" t="s">
        <v>623</v>
      </c>
      <c r="G838" s="4" t="s">
        <v>336</v>
      </c>
      <c r="H838" s="4" t="s">
        <v>289</v>
      </c>
      <c r="I838" s="4">
        <v>1</v>
      </c>
      <c r="J838" s="21">
        <v>295</v>
      </c>
      <c r="K838" s="21">
        <v>0</v>
      </c>
      <c r="L838" s="5">
        <v>0</v>
      </c>
      <c r="M838" s="4">
        <v>1</v>
      </c>
      <c r="N838" s="4"/>
      <c r="O838" s="5">
        <v>295</v>
      </c>
      <c r="P838" s="5"/>
      <c r="Q838" s="21">
        <v>295</v>
      </c>
      <c r="R838" s="21">
        <v>0</v>
      </c>
      <c r="S838" s="5">
        <f t="shared" si="55"/>
        <v>117956.61776015205</v>
      </c>
      <c r="T838" cm="1">
        <f t="array" ref="T838">IF(OR(B838="MAL ALIMI", B838="ÜRETİM GİRİŞ"), MIN(I838, MAX(0, I838 + SUM(SUMIFS($I$1:I837, $C$1:C837, C838, $B$1:B837, {"MAL ALIMI","ÜRETİM GİRİŞ"})) - VLOOKUP(C838, 'STOK RAPORU'!$C$2:$I$1000, 4, 0))), 0)</f>
        <v>0</v>
      </c>
      <c r="U838" s="22">
        <f t="shared" si="52"/>
        <v>0</v>
      </c>
      <c r="V838">
        <f t="shared" si="53"/>
        <v>0</v>
      </c>
      <c r="W838" s="22">
        <f t="shared" si="54"/>
        <v>0</v>
      </c>
    </row>
    <row r="839" spans="1:23" hidden="1" x14ac:dyDescent="0.25">
      <c r="A839" s="3">
        <v>45970</v>
      </c>
      <c r="B839" s="4" t="s">
        <v>334</v>
      </c>
      <c r="C839" s="4" t="s">
        <v>241</v>
      </c>
      <c r="D839" s="4"/>
      <c r="E839" s="4"/>
      <c r="F839" s="4" t="s">
        <v>623</v>
      </c>
      <c r="G839" s="4" t="s">
        <v>336</v>
      </c>
      <c r="H839" s="4" t="s">
        <v>289</v>
      </c>
      <c r="I839" s="4">
        <v>0.28999999999999998</v>
      </c>
      <c r="J839" s="21">
        <v>350</v>
      </c>
      <c r="K839" s="21">
        <v>0</v>
      </c>
      <c r="L839" s="5">
        <v>0</v>
      </c>
      <c r="M839" s="4">
        <v>0.28999999999999998</v>
      </c>
      <c r="N839" s="4"/>
      <c r="O839" s="5">
        <v>350</v>
      </c>
      <c r="P839" s="5"/>
      <c r="Q839" s="21">
        <v>101.5</v>
      </c>
      <c r="R839" s="21">
        <v>0</v>
      </c>
      <c r="S839" s="5">
        <f t="shared" si="55"/>
        <v>118058.11776015205</v>
      </c>
      <c r="T839" cm="1">
        <f t="array" ref="T839">IF(OR(B839="MAL ALIMI", B839="ÜRETİM GİRİŞ"), MIN(I839, MAX(0, I839 + SUM(SUMIFS($I$1:I838, $C$1:C838, C839, $B$1:B838, {"MAL ALIMI","ÜRETİM GİRİŞ"})) - VLOOKUP(C839, 'STOK RAPORU'!$C$2:$I$1000, 4, 0))), 0)</f>
        <v>0</v>
      </c>
      <c r="U839" s="22">
        <f t="shared" si="52"/>
        <v>0</v>
      </c>
      <c r="V839">
        <f t="shared" si="53"/>
        <v>0</v>
      </c>
      <c r="W839" s="22">
        <f t="shared" si="54"/>
        <v>0</v>
      </c>
    </row>
    <row r="840" spans="1:23" hidden="1" x14ac:dyDescent="0.25">
      <c r="A840" s="3">
        <v>45970</v>
      </c>
      <c r="B840" s="4" t="s">
        <v>334</v>
      </c>
      <c r="C840" s="4" t="s">
        <v>131</v>
      </c>
      <c r="D840" s="4"/>
      <c r="E840" s="4"/>
      <c r="F840" s="4" t="s">
        <v>623</v>
      </c>
      <c r="G840" s="4" t="s">
        <v>336</v>
      </c>
      <c r="H840" s="4" t="s">
        <v>289</v>
      </c>
      <c r="I840" s="4">
        <v>0.14799999999999999</v>
      </c>
      <c r="J840" s="21">
        <v>400</v>
      </c>
      <c r="K840" s="21">
        <v>0</v>
      </c>
      <c r="L840" s="5">
        <v>0</v>
      </c>
      <c r="M840" s="4">
        <v>0.14799999999999999</v>
      </c>
      <c r="N840" s="4"/>
      <c r="O840" s="5">
        <v>400</v>
      </c>
      <c r="P840" s="5"/>
      <c r="Q840" s="21">
        <v>59.199999999999996</v>
      </c>
      <c r="R840" s="21">
        <v>0</v>
      </c>
      <c r="S840" s="5">
        <f t="shared" si="55"/>
        <v>118117.31776015204</v>
      </c>
      <c r="T840" cm="1">
        <f t="array" ref="T840">IF(OR(B840="MAL ALIMI", B840="ÜRETİM GİRİŞ"), MIN(I840, MAX(0, I840 + SUM(SUMIFS($I$1:I839, $C$1:C839, C840, $B$1:B839, {"MAL ALIMI","ÜRETİM GİRİŞ"})) - VLOOKUP(C840, 'STOK RAPORU'!$C$2:$I$1000, 4, 0))), 0)</f>
        <v>0</v>
      </c>
      <c r="U840" s="22">
        <f t="shared" si="52"/>
        <v>0</v>
      </c>
      <c r="V840">
        <f t="shared" si="53"/>
        <v>0</v>
      </c>
      <c r="W840" s="22">
        <f t="shared" si="54"/>
        <v>0</v>
      </c>
    </row>
    <row r="841" spans="1:23" hidden="1" x14ac:dyDescent="0.25">
      <c r="A841" s="3">
        <v>45970</v>
      </c>
      <c r="B841" s="4" t="s">
        <v>334</v>
      </c>
      <c r="C841" s="4" t="s">
        <v>619</v>
      </c>
      <c r="D841" s="4"/>
      <c r="E841" s="4"/>
      <c r="F841" s="4" t="s">
        <v>623</v>
      </c>
      <c r="G841" s="4" t="s">
        <v>336</v>
      </c>
      <c r="H841" s="4" t="s">
        <v>289</v>
      </c>
      <c r="I841" s="4">
        <v>0.35399999999999998</v>
      </c>
      <c r="J841" s="21">
        <v>155</v>
      </c>
      <c r="K841" s="21">
        <v>0</v>
      </c>
      <c r="L841" s="5">
        <v>0</v>
      </c>
      <c r="M841" s="4">
        <v>0.35399999999999998</v>
      </c>
      <c r="N841" s="4"/>
      <c r="O841" s="5">
        <v>155</v>
      </c>
      <c r="P841" s="5"/>
      <c r="Q841" s="21">
        <v>54.87</v>
      </c>
      <c r="R841" s="21">
        <v>0</v>
      </c>
      <c r="S841" s="5">
        <f t="shared" si="55"/>
        <v>118172.18776015204</v>
      </c>
      <c r="T841" cm="1">
        <f t="array" ref="T841">IF(OR(B841="MAL ALIMI", B841="ÜRETİM GİRİŞ"), MIN(I841, MAX(0, I841 + SUM(SUMIFS($I$1:I840, $C$1:C840, C841, $B$1:B840, {"MAL ALIMI","ÜRETİM GİRİŞ"})) - VLOOKUP(C841, 'STOK RAPORU'!$C$2:$I$1000, 4, 0))), 0)</f>
        <v>0</v>
      </c>
      <c r="U841" s="22">
        <f t="shared" si="52"/>
        <v>0</v>
      </c>
      <c r="V841">
        <f t="shared" si="53"/>
        <v>0</v>
      </c>
      <c r="W841" s="22">
        <f t="shared" si="54"/>
        <v>0</v>
      </c>
    </row>
    <row r="842" spans="1:23" hidden="1" x14ac:dyDescent="0.25">
      <c r="A842" s="3">
        <v>45970</v>
      </c>
      <c r="B842" s="4" t="s">
        <v>334</v>
      </c>
      <c r="C842" s="4" t="s">
        <v>211</v>
      </c>
      <c r="D842" s="4"/>
      <c r="E842" s="4"/>
      <c r="F842" s="4" t="s">
        <v>623</v>
      </c>
      <c r="G842" s="4" t="s">
        <v>336</v>
      </c>
      <c r="H842" s="4" t="s">
        <v>289</v>
      </c>
      <c r="I842" s="4">
        <v>1.4059999999999999</v>
      </c>
      <c r="J842" s="21">
        <v>290</v>
      </c>
      <c r="K842" s="21">
        <v>0</v>
      </c>
      <c r="L842" s="5">
        <v>0</v>
      </c>
      <c r="M842" s="4">
        <v>1.4059999999999999</v>
      </c>
      <c r="N842" s="4"/>
      <c r="O842" s="5">
        <v>290</v>
      </c>
      <c r="P842" s="5"/>
      <c r="Q842" s="21">
        <v>407.73999999999995</v>
      </c>
      <c r="R842" s="21">
        <v>0</v>
      </c>
      <c r="S842" s="5">
        <f t="shared" si="55"/>
        <v>118579.92776015204</v>
      </c>
      <c r="T842" cm="1">
        <f t="array" ref="T842">IF(OR(B842="MAL ALIMI", B842="ÜRETİM GİRİŞ"), MIN(I842, MAX(0, I842 + SUM(SUMIFS($I$1:I841, $C$1:C841, C842, $B$1:B841, {"MAL ALIMI","ÜRETİM GİRİŞ"})) - VLOOKUP(C842, 'STOK RAPORU'!$C$2:$I$1000, 4, 0))), 0)</f>
        <v>0</v>
      </c>
      <c r="U842" s="22">
        <f t="shared" si="52"/>
        <v>0</v>
      </c>
      <c r="V842">
        <f t="shared" si="53"/>
        <v>0</v>
      </c>
      <c r="W842" s="22">
        <f t="shared" si="54"/>
        <v>0</v>
      </c>
    </row>
    <row r="843" spans="1:23" hidden="1" x14ac:dyDescent="0.25">
      <c r="A843" s="3">
        <v>45970</v>
      </c>
      <c r="B843" s="4" t="s">
        <v>334</v>
      </c>
      <c r="C843" s="4" t="s">
        <v>713</v>
      </c>
      <c r="D843" s="4"/>
      <c r="E843" s="4"/>
      <c r="F843" s="4" t="s">
        <v>623</v>
      </c>
      <c r="G843" s="4" t="s">
        <v>336</v>
      </c>
      <c r="H843" s="4" t="s">
        <v>289</v>
      </c>
      <c r="I843" s="4">
        <v>1</v>
      </c>
      <c r="J843" s="21">
        <v>300</v>
      </c>
      <c r="K843" s="21">
        <v>0</v>
      </c>
      <c r="L843" s="5">
        <v>0</v>
      </c>
      <c r="M843" s="4">
        <v>1</v>
      </c>
      <c r="N843" s="4"/>
      <c r="O843" s="5">
        <v>300</v>
      </c>
      <c r="P843" s="5"/>
      <c r="Q843" s="21">
        <v>300</v>
      </c>
      <c r="R843" s="21">
        <v>0</v>
      </c>
      <c r="S843" s="5">
        <f t="shared" si="55"/>
        <v>118879.92776015204</v>
      </c>
      <c r="T843" cm="1">
        <f t="array" ref="T843">IF(OR(B843="MAL ALIMI", B843="ÜRETİM GİRİŞ"), MIN(I843, MAX(0, I843 + SUM(SUMIFS($I$1:I842, $C$1:C842, C843, $B$1:B842, {"MAL ALIMI","ÜRETİM GİRİŞ"})) - VLOOKUP(C843, 'STOK RAPORU'!$C$2:$I$1000, 4, 0))), 0)</f>
        <v>0</v>
      </c>
      <c r="U843" s="22">
        <f t="shared" si="52"/>
        <v>0</v>
      </c>
      <c r="V843">
        <f t="shared" si="53"/>
        <v>0</v>
      </c>
      <c r="W843" s="22">
        <f t="shared" si="54"/>
        <v>0</v>
      </c>
    </row>
    <row r="844" spans="1:23" hidden="1" x14ac:dyDescent="0.25">
      <c r="A844" s="3">
        <v>45970</v>
      </c>
      <c r="B844" s="4" t="s">
        <v>334</v>
      </c>
      <c r="C844" s="4" t="s">
        <v>160</v>
      </c>
      <c r="D844" s="4"/>
      <c r="E844" s="4"/>
      <c r="F844" s="4" t="s">
        <v>623</v>
      </c>
      <c r="G844" s="4" t="s">
        <v>336</v>
      </c>
      <c r="H844" s="4" t="s">
        <v>289</v>
      </c>
      <c r="I844" s="4">
        <v>1</v>
      </c>
      <c r="J844" s="21">
        <v>240</v>
      </c>
      <c r="K844" s="21">
        <v>0</v>
      </c>
      <c r="L844" s="5">
        <v>0</v>
      </c>
      <c r="M844" s="4">
        <v>1</v>
      </c>
      <c r="N844" s="4"/>
      <c r="O844" s="5">
        <v>240</v>
      </c>
      <c r="P844" s="5"/>
      <c r="Q844" s="21">
        <v>240</v>
      </c>
      <c r="R844" s="21">
        <v>0</v>
      </c>
      <c r="S844" s="5">
        <f t="shared" si="55"/>
        <v>119119.92776015204</v>
      </c>
      <c r="T844" cm="1">
        <f t="array" ref="T844">IF(OR(B844="MAL ALIMI", B844="ÜRETİM GİRİŞ"), MIN(I844, MAX(0, I844 + SUM(SUMIFS($I$1:I843, $C$1:C843, C844, $B$1:B843, {"MAL ALIMI","ÜRETİM GİRİŞ"})) - VLOOKUP(C844, 'STOK RAPORU'!$C$2:$I$1000, 4, 0))), 0)</f>
        <v>0</v>
      </c>
      <c r="U844" s="22">
        <f t="shared" si="52"/>
        <v>0</v>
      </c>
      <c r="V844">
        <f t="shared" si="53"/>
        <v>0</v>
      </c>
      <c r="W844" s="22">
        <f t="shared" si="54"/>
        <v>0</v>
      </c>
    </row>
    <row r="845" spans="1:23" hidden="1" x14ac:dyDescent="0.25">
      <c r="A845" s="3">
        <v>45970</v>
      </c>
      <c r="B845" s="4" t="s">
        <v>334</v>
      </c>
      <c r="C845" s="4" t="s">
        <v>167</v>
      </c>
      <c r="D845" s="4"/>
      <c r="E845" s="4"/>
      <c r="F845" s="4" t="s">
        <v>623</v>
      </c>
      <c r="G845" s="4" t="s">
        <v>336</v>
      </c>
      <c r="H845" s="4" t="s">
        <v>289</v>
      </c>
      <c r="I845" s="4">
        <v>2</v>
      </c>
      <c r="J845" s="21">
        <v>200</v>
      </c>
      <c r="K845" s="21">
        <v>0</v>
      </c>
      <c r="L845" s="5">
        <v>0</v>
      </c>
      <c r="M845" s="4">
        <v>2</v>
      </c>
      <c r="N845" s="4"/>
      <c r="O845" s="5">
        <v>200</v>
      </c>
      <c r="P845" s="5"/>
      <c r="Q845" s="21">
        <v>400</v>
      </c>
      <c r="R845" s="21">
        <v>0</v>
      </c>
      <c r="S845" s="5">
        <f t="shared" si="55"/>
        <v>119519.92776015204</v>
      </c>
      <c r="T845" cm="1">
        <f t="array" ref="T845">IF(OR(B845="MAL ALIMI", B845="ÜRETİM GİRİŞ"), MIN(I845, MAX(0, I845 + SUM(SUMIFS($I$1:I844, $C$1:C844, C845, $B$1:B844, {"MAL ALIMI","ÜRETİM GİRİŞ"})) - VLOOKUP(C845, 'STOK RAPORU'!$C$2:$I$1000, 4, 0))), 0)</f>
        <v>0</v>
      </c>
      <c r="U845" s="22">
        <f t="shared" si="52"/>
        <v>0</v>
      </c>
      <c r="V845">
        <f t="shared" si="53"/>
        <v>0</v>
      </c>
      <c r="W845" s="22">
        <f t="shared" si="54"/>
        <v>0</v>
      </c>
    </row>
    <row r="846" spans="1:23" hidden="1" x14ac:dyDescent="0.25">
      <c r="A846" s="3">
        <v>45970</v>
      </c>
      <c r="B846" s="4" t="s">
        <v>334</v>
      </c>
      <c r="C846" s="4" t="s">
        <v>211</v>
      </c>
      <c r="D846" s="4"/>
      <c r="E846" s="4"/>
      <c r="F846" s="4" t="s">
        <v>624</v>
      </c>
      <c r="G846" s="4" t="s">
        <v>336</v>
      </c>
      <c r="H846" s="4" t="s">
        <v>289</v>
      </c>
      <c r="I846" s="4">
        <v>1.292</v>
      </c>
      <c r="J846" s="21">
        <v>290</v>
      </c>
      <c r="K846" s="21">
        <v>0</v>
      </c>
      <c r="L846" s="5">
        <v>0</v>
      </c>
      <c r="M846" s="4">
        <v>1.292</v>
      </c>
      <c r="N846" s="4"/>
      <c r="O846" s="5">
        <v>290</v>
      </c>
      <c r="P846" s="5"/>
      <c r="Q846" s="21">
        <v>374.68</v>
      </c>
      <c r="R846" s="21">
        <v>0</v>
      </c>
      <c r="S846" s="5">
        <f t="shared" si="55"/>
        <v>119894.60776015204</v>
      </c>
      <c r="T846" cm="1">
        <f t="array" ref="T846">IF(OR(B846="MAL ALIMI", B846="ÜRETİM GİRİŞ"), MIN(I846, MAX(0, I846 + SUM(SUMIFS($I$1:I845, $C$1:C845, C846, $B$1:B845, {"MAL ALIMI","ÜRETİM GİRİŞ"})) - VLOOKUP(C846, 'STOK RAPORU'!$C$2:$I$1000, 4, 0))), 0)</f>
        <v>0</v>
      </c>
      <c r="U846" s="22">
        <f t="shared" si="52"/>
        <v>0</v>
      </c>
      <c r="V846">
        <f t="shared" si="53"/>
        <v>0</v>
      </c>
      <c r="W846" s="22">
        <f t="shared" si="54"/>
        <v>0</v>
      </c>
    </row>
    <row r="847" spans="1:23" hidden="1" x14ac:dyDescent="0.25">
      <c r="A847" s="3">
        <v>45970</v>
      </c>
      <c r="B847" s="4" t="s">
        <v>334</v>
      </c>
      <c r="C847" s="4" t="s">
        <v>266</v>
      </c>
      <c r="D847" s="4"/>
      <c r="E847" s="4"/>
      <c r="F847" s="4" t="s">
        <v>624</v>
      </c>
      <c r="G847" s="4" t="s">
        <v>336</v>
      </c>
      <c r="H847" s="4" t="s">
        <v>289</v>
      </c>
      <c r="I847" s="4">
        <v>0.29199999999999998</v>
      </c>
      <c r="J847" s="21">
        <v>250</v>
      </c>
      <c r="K847" s="21">
        <v>0</v>
      </c>
      <c r="L847" s="5">
        <v>0</v>
      </c>
      <c r="M847" s="4">
        <v>0.29199999999999998</v>
      </c>
      <c r="N847" s="4"/>
      <c r="O847" s="5">
        <v>250</v>
      </c>
      <c r="P847" s="5"/>
      <c r="Q847" s="21">
        <v>73</v>
      </c>
      <c r="R847" s="21">
        <v>0</v>
      </c>
      <c r="S847" s="5">
        <f t="shared" si="55"/>
        <v>119967.60776015204</v>
      </c>
      <c r="T847" cm="1">
        <f t="array" ref="T847">IF(OR(B847="MAL ALIMI", B847="ÜRETİM GİRİŞ"), MIN(I847, MAX(0, I847 + SUM(SUMIFS($I$1:I846, $C$1:C846, C847, $B$1:B846, {"MAL ALIMI","ÜRETİM GİRİŞ"})) - VLOOKUP(C847, 'STOK RAPORU'!$C$2:$I$1000, 4, 0))), 0)</f>
        <v>0</v>
      </c>
      <c r="U847" s="22">
        <f t="shared" si="52"/>
        <v>0</v>
      </c>
      <c r="V847">
        <f t="shared" si="53"/>
        <v>0</v>
      </c>
      <c r="W847" s="22">
        <f t="shared" si="54"/>
        <v>0</v>
      </c>
    </row>
    <row r="848" spans="1:23" hidden="1" x14ac:dyDescent="0.25">
      <c r="A848" s="3">
        <v>45970</v>
      </c>
      <c r="B848" s="4" t="s">
        <v>334</v>
      </c>
      <c r="C848" s="4" t="s">
        <v>148</v>
      </c>
      <c r="D848" s="4"/>
      <c r="E848" s="4"/>
      <c r="F848" s="4" t="s">
        <v>624</v>
      </c>
      <c r="G848" s="4" t="s">
        <v>336</v>
      </c>
      <c r="H848" s="4" t="s">
        <v>289</v>
      </c>
      <c r="I848" s="4">
        <v>1</v>
      </c>
      <c r="J848" s="21">
        <v>65</v>
      </c>
      <c r="K848" s="21">
        <v>0</v>
      </c>
      <c r="L848" s="5">
        <v>0</v>
      </c>
      <c r="M848" s="4">
        <v>1</v>
      </c>
      <c r="N848" s="4"/>
      <c r="O848" s="5">
        <v>65</v>
      </c>
      <c r="P848" s="5"/>
      <c r="Q848" s="21">
        <v>65</v>
      </c>
      <c r="R848" s="21">
        <v>0</v>
      </c>
      <c r="S848" s="5">
        <f t="shared" si="55"/>
        <v>120032.60776015204</v>
      </c>
      <c r="T848" cm="1">
        <f t="array" ref="T848">IF(OR(B848="MAL ALIMI", B848="ÜRETİM GİRİŞ"), MIN(I848, MAX(0, I848 + SUM(SUMIFS($I$1:I847, $C$1:C847, C848, $B$1:B847, {"MAL ALIMI","ÜRETİM GİRİŞ"})) - VLOOKUP(C848, 'STOK RAPORU'!$C$2:$I$1000, 4, 0))), 0)</f>
        <v>0</v>
      </c>
      <c r="U848" s="22">
        <f t="shared" si="52"/>
        <v>0</v>
      </c>
      <c r="V848">
        <f t="shared" si="53"/>
        <v>0</v>
      </c>
      <c r="W848" s="22">
        <f t="shared" si="54"/>
        <v>0</v>
      </c>
    </row>
    <row r="849" spans="1:23" hidden="1" x14ac:dyDescent="0.25">
      <c r="A849" s="3">
        <v>45970</v>
      </c>
      <c r="B849" s="4" t="s">
        <v>334</v>
      </c>
      <c r="C849" s="4" t="s">
        <v>156</v>
      </c>
      <c r="D849" s="4"/>
      <c r="E849" s="4"/>
      <c r="F849" s="4" t="s">
        <v>624</v>
      </c>
      <c r="G849" s="4" t="s">
        <v>336</v>
      </c>
      <c r="H849" s="4" t="s">
        <v>289</v>
      </c>
      <c r="I849" s="4">
        <v>1.6539999999999999</v>
      </c>
      <c r="J849" s="21">
        <v>180</v>
      </c>
      <c r="K849" s="21">
        <v>0</v>
      </c>
      <c r="L849" s="5">
        <v>0</v>
      </c>
      <c r="M849" s="4">
        <v>1.6539999999999999</v>
      </c>
      <c r="N849" s="4"/>
      <c r="O849" s="5">
        <v>180</v>
      </c>
      <c r="P849" s="5"/>
      <c r="Q849" s="21">
        <v>297.71999999999997</v>
      </c>
      <c r="R849" s="21">
        <v>0</v>
      </c>
      <c r="S849" s="5">
        <f t="shared" si="55"/>
        <v>120330.32776015204</v>
      </c>
      <c r="T849" cm="1">
        <f t="array" ref="T849">IF(OR(B849="MAL ALIMI", B849="ÜRETİM GİRİŞ"), MIN(I849, MAX(0, I849 + SUM(SUMIFS($I$1:I848, $C$1:C848, C849, $B$1:B848, {"MAL ALIMI","ÜRETİM GİRİŞ"})) - VLOOKUP(C849, 'STOK RAPORU'!$C$2:$I$1000, 4, 0))), 0)</f>
        <v>0</v>
      </c>
      <c r="U849" s="22">
        <f t="shared" si="52"/>
        <v>0</v>
      </c>
      <c r="V849">
        <f t="shared" si="53"/>
        <v>0</v>
      </c>
      <c r="W849" s="22">
        <f t="shared" si="54"/>
        <v>0</v>
      </c>
    </row>
    <row r="850" spans="1:23" hidden="1" x14ac:dyDescent="0.25">
      <c r="A850" s="3">
        <v>45970</v>
      </c>
      <c r="B850" s="4" t="s">
        <v>334</v>
      </c>
      <c r="C850" s="4" t="s">
        <v>243</v>
      </c>
      <c r="D850" s="4"/>
      <c r="E850" s="4"/>
      <c r="F850" s="4" t="s">
        <v>624</v>
      </c>
      <c r="G850" s="4" t="s">
        <v>336</v>
      </c>
      <c r="H850" s="4" t="s">
        <v>289</v>
      </c>
      <c r="I850" s="4">
        <v>1</v>
      </c>
      <c r="J850" s="21">
        <v>180</v>
      </c>
      <c r="K850" s="21">
        <v>0</v>
      </c>
      <c r="L850" s="5">
        <v>0</v>
      </c>
      <c r="M850" s="4">
        <v>1</v>
      </c>
      <c r="N850" s="4"/>
      <c r="O850" s="5">
        <v>180</v>
      </c>
      <c r="P850" s="5"/>
      <c r="Q850" s="21">
        <v>180</v>
      </c>
      <c r="R850" s="21">
        <v>0</v>
      </c>
      <c r="S850" s="5">
        <f t="shared" si="55"/>
        <v>120510.32776015204</v>
      </c>
      <c r="T850" cm="1">
        <f t="array" ref="T850">IF(OR(B850="MAL ALIMI", B850="ÜRETİM GİRİŞ"), MIN(I850, MAX(0, I850 + SUM(SUMIFS($I$1:I849, $C$1:C849, C850, $B$1:B849, {"MAL ALIMI","ÜRETİM GİRİŞ"})) - VLOOKUP(C850, 'STOK RAPORU'!$C$2:$I$1000, 4, 0))), 0)</f>
        <v>0</v>
      </c>
      <c r="U850" s="22">
        <f t="shared" si="52"/>
        <v>0</v>
      </c>
      <c r="V850">
        <f t="shared" si="53"/>
        <v>0</v>
      </c>
      <c r="W850" s="22">
        <f t="shared" si="54"/>
        <v>0</v>
      </c>
    </row>
    <row r="851" spans="1:23" hidden="1" x14ac:dyDescent="0.25">
      <c r="A851" s="3">
        <v>45970</v>
      </c>
      <c r="B851" s="4" t="s">
        <v>334</v>
      </c>
      <c r="C851" s="4" t="s">
        <v>154</v>
      </c>
      <c r="D851" s="4"/>
      <c r="E851" s="4"/>
      <c r="F851" s="4" t="s">
        <v>624</v>
      </c>
      <c r="G851" s="4" t="s">
        <v>336</v>
      </c>
      <c r="H851" s="4" t="s">
        <v>289</v>
      </c>
      <c r="I851" s="4">
        <v>0.1</v>
      </c>
      <c r="J851" s="21">
        <v>400</v>
      </c>
      <c r="K851" s="21">
        <v>0</v>
      </c>
      <c r="L851" s="5">
        <v>0</v>
      </c>
      <c r="M851" s="4">
        <v>1</v>
      </c>
      <c r="N851" s="4"/>
      <c r="O851" s="5">
        <v>40</v>
      </c>
      <c r="P851" s="5"/>
      <c r="Q851" s="21">
        <v>40</v>
      </c>
      <c r="R851" s="21">
        <v>0</v>
      </c>
      <c r="S851" s="5">
        <f t="shared" si="55"/>
        <v>120550.32776015204</v>
      </c>
      <c r="T851" cm="1">
        <f t="array" ref="T851">IF(OR(B851="MAL ALIMI", B851="ÜRETİM GİRİŞ"), MIN(I851, MAX(0, I851 + SUM(SUMIFS($I$1:I850, $C$1:C850, C851, $B$1:B850, {"MAL ALIMI","ÜRETİM GİRİŞ"})) - VLOOKUP(C851, 'STOK RAPORU'!$C$2:$I$1000, 4, 0))), 0)</f>
        <v>0</v>
      </c>
      <c r="U851" s="22">
        <f t="shared" si="52"/>
        <v>0</v>
      </c>
      <c r="V851">
        <f t="shared" si="53"/>
        <v>0</v>
      </c>
      <c r="W851" s="22">
        <f t="shared" si="54"/>
        <v>0</v>
      </c>
    </row>
    <row r="852" spans="1:23" hidden="1" x14ac:dyDescent="0.25">
      <c r="A852" s="3">
        <v>45970</v>
      </c>
      <c r="B852" s="4" t="s">
        <v>334</v>
      </c>
      <c r="C852" s="4" t="s">
        <v>523</v>
      </c>
      <c r="D852" s="4"/>
      <c r="E852" s="4"/>
      <c r="F852" s="4" t="s">
        <v>624</v>
      </c>
      <c r="G852" s="4" t="s">
        <v>336</v>
      </c>
      <c r="H852" s="4" t="s">
        <v>289</v>
      </c>
      <c r="I852" s="4">
        <v>0.1</v>
      </c>
      <c r="J852" s="21">
        <v>650</v>
      </c>
      <c r="K852" s="21">
        <v>0</v>
      </c>
      <c r="L852" s="5">
        <v>0</v>
      </c>
      <c r="M852" s="4">
        <v>1</v>
      </c>
      <c r="N852" s="4"/>
      <c r="O852" s="5">
        <v>65</v>
      </c>
      <c r="P852" s="5"/>
      <c r="Q852" s="21">
        <v>65</v>
      </c>
      <c r="R852" s="21">
        <v>0</v>
      </c>
      <c r="S852" s="5">
        <f t="shared" si="55"/>
        <v>120615.32776015204</v>
      </c>
      <c r="T852" cm="1">
        <f t="array" ref="T852">IF(OR(B852="MAL ALIMI", B852="ÜRETİM GİRİŞ"), MIN(I852, MAX(0, I852 + SUM(SUMIFS($I$1:I851, $C$1:C851, C852, $B$1:B851, {"MAL ALIMI","ÜRETİM GİRİŞ"})) - VLOOKUP(C852, 'STOK RAPORU'!$C$2:$I$1000, 4, 0))), 0)</f>
        <v>0</v>
      </c>
      <c r="U852" s="22">
        <f t="shared" si="52"/>
        <v>0</v>
      </c>
      <c r="V852">
        <f t="shared" si="53"/>
        <v>0</v>
      </c>
      <c r="W852" s="22">
        <f t="shared" si="54"/>
        <v>0</v>
      </c>
    </row>
    <row r="853" spans="1:23" hidden="1" x14ac:dyDescent="0.25">
      <c r="A853" s="3">
        <v>45970</v>
      </c>
      <c r="B853" s="4" t="s">
        <v>334</v>
      </c>
      <c r="C853" s="4" t="s">
        <v>459</v>
      </c>
      <c r="D853" s="4"/>
      <c r="E853" s="4"/>
      <c r="F853" s="4" t="s">
        <v>624</v>
      </c>
      <c r="G853" s="4" t="s">
        <v>336</v>
      </c>
      <c r="H853" s="4" t="s">
        <v>289</v>
      </c>
      <c r="I853" s="4">
        <v>0.1</v>
      </c>
      <c r="J853" s="21">
        <v>200</v>
      </c>
      <c r="K853" s="21">
        <v>0</v>
      </c>
      <c r="L853" s="5">
        <v>0</v>
      </c>
      <c r="M853" s="4">
        <v>1</v>
      </c>
      <c r="N853" s="4"/>
      <c r="O853" s="5">
        <v>20</v>
      </c>
      <c r="P853" s="5"/>
      <c r="Q853" s="21">
        <v>20</v>
      </c>
      <c r="R853" s="21">
        <v>0</v>
      </c>
      <c r="S853" s="5">
        <f t="shared" si="55"/>
        <v>120635.32776015204</v>
      </c>
      <c r="T853" cm="1">
        <f t="array" ref="T853">IF(OR(B853="MAL ALIMI", B853="ÜRETİM GİRİŞ"), MIN(I853, MAX(0, I853 + SUM(SUMIFS($I$1:I852, $C$1:C852, C853, $B$1:B852, {"MAL ALIMI","ÜRETİM GİRİŞ"})) - VLOOKUP(C853, 'STOK RAPORU'!$C$2:$I$1000, 4, 0))), 0)</f>
        <v>0</v>
      </c>
      <c r="U853" s="22">
        <f t="shared" si="52"/>
        <v>0</v>
      </c>
      <c r="V853">
        <f t="shared" si="53"/>
        <v>0</v>
      </c>
      <c r="W853" s="22">
        <f t="shared" si="54"/>
        <v>0</v>
      </c>
    </row>
    <row r="854" spans="1:23" hidden="1" x14ac:dyDescent="0.25">
      <c r="A854" s="3">
        <v>45970</v>
      </c>
      <c r="B854" s="4" t="s">
        <v>334</v>
      </c>
      <c r="C854" s="4" t="s">
        <v>140</v>
      </c>
      <c r="D854" s="4"/>
      <c r="E854" s="4"/>
      <c r="F854" s="4" t="s">
        <v>624</v>
      </c>
      <c r="G854" s="4" t="s">
        <v>336</v>
      </c>
      <c r="H854" s="4" t="s">
        <v>289</v>
      </c>
      <c r="I854" s="4">
        <v>0.192</v>
      </c>
      <c r="J854" s="21">
        <v>250</v>
      </c>
      <c r="K854" s="21">
        <v>0</v>
      </c>
      <c r="L854" s="5">
        <v>0</v>
      </c>
      <c r="M854" s="4">
        <v>0.192</v>
      </c>
      <c r="N854" s="4"/>
      <c r="O854" s="5">
        <v>250</v>
      </c>
      <c r="P854" s="5"/>
      <c r="Q854" s="21">
        <v>48</v>
      </c>
      <c r="R854" s="21">
        <v>0</v>
      </c>
      <c r="S854" s="5">
        <f t="shared" si="55"/>
        <v>120683.32776015204</v>
      </c>
      <c r="T854" cm="1">
        <f t="array" ref="T854">IF(OR(B854="MAL ALIMI", B854="ÜRETİM GİRİŞ"), MIN(I854, MAX(0, I854 + SUM(SUMIFS($I$1:I853, $C$1:C853, C854, $B$1:B853, {"MAL ALIMI","ÜRETİM GİRİŞ"})) - VLOOKUP(C854, 'STOK RAPORU'!$C$2:$I$1000, 4, 0))), 0)</f>
        <v>0</v>
      </c>
      <c r="U854" s="22">
        <f t="shared" si="52"/>
        <v>0</v>
      </c>
      <c r="V854">
        <f t="shared" si="53"/>
        <v>0</v>
      </c>
      <c r="W854" s="22">
        <f t="shared" si="54"/>
        <v>0</v>
      </c>
    </row>
    <row r="855" spans="1:23" hidden="1" x14ac:dyDescent="0.25">
      <c r="A855" s="3">
        <v>45970</v>
      </c>
      <c r="B855" s="4" t="s">
        <v>334</v>
      </c>
      <c r="C855" s="4" t="s">
        <v>222</v>
      </c>
      <c r="D855" s="4"/>
      <c r="E855" s="4"/>
      <c r="F855" s="4" t="s">
        <v>624</v>
      </c>
      <c r="G855" s="4" t="s">
        <v>336</v>
      </c>
      <c r="H855" s="4" t="s">
        <v>289</v>
      </c>
      <c r="I855" s="4">
        <v>0.18</v>
      </c>
      <c r="J855" s="21">
        <v>600</v>
      </c>
      <c r="K855" s="21">
        <v>0</v>
      </c>
      <c r="L855" s="5">
        <v>0</v>
      </c>
      <c r="M855" s="4">
        <v>0.18</v>
      </c>
      <c r="N855" s="4"/>
      <c r="O855" s="5">
        <v>600</v>
      </c>
      <c r="P855" s="5"/>
      <c r="Q855" s="21">
        <v>108</v>
      </c>
      <c r="R855" s="21">
        <v>0</v>
      </c>
      <c r="S855" s="5">
        <f t="shared" si="55"/>
        <v>120791.32776015204</v>
      </c>
      <c r="T855" cm="1">
        <f t="array" ref="T855">IF(OR(B855="MAL ALIMI", B855="ÜRETİM GİRİŞ"), MIN(I855, MAX(0, I855 + SUM(SUMIFS($I$1:I854, $C$1:C854, C855, $B$1:B854, {"MAL ALIMI","ÜRETİM GİRİŞ"})) - VLOOKUP(C855, 'STOK RAPORU'!$C$2:$I$1000, 4, 0))), 0)</f>
        <v>0</v>
      </c>
      <c r="U855" s="22">
        <f t="shared" si="52"/>
        <v>0</v>
      </c>
      <c r="V855">
        <f t="shared" si="53"/>
        <v>0</v>
      </c>
      <c r="W855" s="22">
        <f t="shared" si="54"/>
        <v>0</v>
      </c>
    </row>
    <row r="856" spans="1:23" hidden="1" x14ac:dyDescent="0.25">
      <c r="A856" s="3">
        <v>45970</v>
      </c>
      <c r="B856" s="4" t="s">
        <v>334</v>
      </c>
      <c r="C856" s="4" t="s">
        <v>241</v>
      </c>
      <c r="D856" s="4"/>
      <c r="E856" s="4"/>
      <c r="F856" s="4" t="s">
        <v>624</v>
      </c>
      <c r="G856" s="4" t="s">
        <v>336</v>
      </c>
      <c r="H856" s="4" t="s">
        <v>289</v>
      </c>
      <c r="I856" s="4">
        <v>0.24</v>
      </c>
      <c r="J856" s="21">
        <v>350</v>
      </c>
      <c r="K856" s="21">
        <v>0</v>
      </c>
      <c r="L856" s="5">
        <v>0</v>
      </c>
      <c r="M856" s="4">
        <v>0.24</v>
      </c>
      <c r="N856" s="4"/>
      <c r="O856" s="5">
        <v>350</v>
      </c>
      <c r="P856" s="5"/>
      <c r="Q856" s="21">
        <v>84</v>
      </c>
      <c r="R856" s="21">
        <v>0</v>
      </c>
      <c r="S856" s="5">
        <f t="shared" si="55"/>
        <v>120875.32776015204</v>
      </c>
      <c r="T856" cm="1">
        <f t="array" ref="T856">IF(OR(B856="MAL ALIMI", B856="ÜRETİM GİRİŞ"), MIN(I856, MAX(0, I856 + SUM(SUMIFS($I$1:I855, $C$1:C855, C856, $B$1:B855, {"MAL ALIMI","ÜRETİM GİRİŞ"})) - VLOOKUP(C856, 'STOK RAPORU'!$C$2:$I$1000, 4, 0))), 0)</f>
        <v>0</v>
      </c>
      <c r="U856" s="22">
        <f t="shared" si="52"/>
        <v>0</v>
      </c>
      <c r="V856">
        <f t="shared" si="53"/>
        <v>0</v>
      </c>
      <c r="W856" s="22">
        <f t="shared" si="54"/>
        <v>0</v>
      </c>
    </row>
    <row r="857" spans="1:23" hidden="1" x14ac:dyDescent="0.25">
      <c r="A857" s="3">
        <v>45970</v>
      </c>
      <c r="B857" s="4" t="s">
        <v>334</v>
      </c>
      <c r="C857" s="4" t="s">
        <v>131</v>
      </c>
      <c r="D857" s="4"/>
      <c r="E857" s="4"/>
      <c r="F857" s="4" t="s">
        <v>624</v>
      </c>
      <c r="G857" s="4" t="s">
        <v>336</v>
      </c>
      <c r="H857" s="4" t="s">
        <v>289</v>
      </c>
      <c r="I857" s="4">
        <v>5.8000000000000003E-2</v>
      </c>
      <c r="J857" s="21">
        <v>400</v>
      </c>
      <c r="K857" s="21">
        <v>0</v>
      </c>
      <c r="L857" s="5">
        <v>0</v>
      </c>
      <c r="M857" s="4">
        <v>5.8000000000000003E-2</v>
      </c>
      <c r="N857" s="4"/>
      <c r="O857" s="5">
        <v>400</v>
      </c>
      <c r="P857" s="5"/>
      <c r="Q857" s="21">
        <v>23.200000000000003</v>
      </c>
      <c r="R857" s="21">
        <v>0</v>
      </c>
      <c r="S857" s="5">
        <f t="shared" si="55"/>
        <v>120898.52776015204</v>
      </c>
      <c r="T857" cm="1">
        <f t="array" ref="T857">IF(OR(B857="MAL ALIMI", B857="ÜRETİM GİRİŞ"), MIN(I857, MAX(0, I857 + SUM(SUMIFS($I$1:I856, $C$1:C856, C857, $B$1:B856, {"MAL ALIMI","ÜRETİM GİRİŞ"})) - VLOOKUP(C857, 'STOK RAPORU'!$C$2:$I$1000, 4, 0))), 0)</f>
        <v>0</v>
      </c>
      <c r="U857" s="22">
        <f t="shared" si="52"/>
        <v>0</v>
      </c>
      <c r="V857">
        <f t="shared" si="53"/>
        <v>0</v>
      </c>
      <c r="W857" s="22">
        <f t="shared" si="54"/>
        <v>0</v>
      </c>
    </row>
    <row r="858" spans="1:23" hidden="1" x14ac:dyDescent="0.25">
      <c r="A858" s="3">
        <v>45970</v>
      </c>
      <c r="B858" s="4" t="s">
        <v>334</v>
      </c>
      <c r="C858" s="4" t="s">
        <v>126</v>
      </c>
      <c r="D858" s="4"/>
      <c r="E858" s="4"/>
      <c r="F858" s="4" t="s">
        <v>624</v>
      </c>
      <c r="G858" s="4" t="s">
        <v>336</v>
      </c>
      <c r="H858" s="4" t="s">
        <v>289</v>
      </c>
      <c r="I858" s="4">
        <v>0.11799999999999999</v>
      </c>
      <c r="J858" s="21">
        <v>640</v>
      </c>
      <c r="K858" s="21">
        <v>0</v>
      </c>
      <c r="L858" s="5">
        <v>0</v>
      </c>
      <c r="M858" s="4">
        <v>0.11799999999999999</v>
      </c>
      <c r="N858" s="4"/>
      <c r="O858" s="5">
        <v>640</v>
      </c>
      <c r="P858" s="5"/>
      <c r="Q858" s="21">
        <v>75.52</v>
      </c>
      <c r="R858" s="21">
        <v>0</v>
      </c>
      <c r="S858" s="5">
        <f t="shared" si="55"/>
        <v>120974.04776015204</v>
      </c>
      <c r="T858" cm="1">
        <f t="array" ref="T858">IF(OR(B858="MAL ALIMI", B858="ÜRETİM GİRİŞ"), MIN(I858, MAX(0, I858 + SUM(SUMIFS($I$1:I857, $C$1:C857, C858, $B$1:B857, {"MAL ALIMI","ÜRETİM GİRİŞ"})) - VLOOKUP(C858, 'STOK RAPORU'!$C$2:$I$1000, 4, 0))), 0)</f>
        <v>0</v>
      </c>
      <c r="U858" s="22">
        <f t="shared" si="52"/>
        <v>0</v>
      </c>
      <c r="V858">
        <f t="shared" si="53"/>
        <v>0</v>
      </c>
      <c r="W858" s="22">
        <f t="shared" si="54"/>
        <v>0</v>
      </c>
    </row>
    <row r="859" spans="1:23" hidden="1" x14ac:dyDescent="0.25">
      <c r="A859" s="3">
        <v>45970</v>
      </c>
      <c r="B859" s="4" t="s">
        <v>334</v>
      </c>
      <c r="C859" s="4" t="s">
        <v>89</v>
      </c>
      <c r="D859" s="4"/>
      <c r="E859" s="4"/>
      <c r="F859" s="4" t="s">
        <v>624</v>
      </c>
      <c r="G859" s="4" t="s">
        <v>336</v>
      </c>
      <c r="H859" s="4" t="s">
        <v>289</v>
      </c>
      <c r="I859" s="4">
        <v>0.1</v>
      </c>
      <c r="J859" s="21">
        <v>650</v>
      </c>
      <c r="K859" s="21">
        <v>0</v>
      </c>
      <c r="L859" s="5">
        <v>0</v>
      </c>
      <c r="M859" s="4">
        <v>1</v>
      </c>
      <c r="N859" s="4"/>
      <c r="O859" s="5">
        <v>65</v>
      </c>
      <c r="P859" s="5"/>
      <c r="Q859" s="21">
        <v>65</v>
      </c>
      <c r="R859" s="21">
        <v>0</v>
      </c>
      <c r="S859" s="5">
        <f t="shared" si="55"/>
        <v>121039.04776015204</v>
      </c>
      <c r="T859" cm="1">
        <f t="array" ref="T859">IF(OR(B859="MAL ALIMI", B859="ÜRETİM GİRİŞ"), MIN(I859, MAX(0, I859 + SUM(SUMIFS($I$1:I858, $C$1:C858, C859, $B$1:B858, {"MAL ALIMI","ÜRETİM GİRİŞ"})) - VLOOKUP(C859, 'STOK RAPORU'!$C$2:$I$1000, 4, 0))), 0)</f>
        <v>0</v>
      </c>
      <c r="U859" s="22">
        <f t="shared" si="52"/>
        <v>0</v>
      </c>
      <c r="V859">
        <f t="shared" si="53"/>
        <v>0</v>
      </c>
      <c r="W859" s="22">
        <f t="shared" si="54"/>
        <v>0</v>
      </c>
    </row>
    <row r="860" spans="1:23" hidden="1" x14ac:dyDescent="0.25">
      <c r="A860" s="3">
        <v>45970</v>
      </c>
      <c r="B860" s="4" t="s">
        <v>334</v>
      </c>
      <c r="C860" s="4" t="s">
        <v>236</v>
      </c>
      <c r="D860" s="4"/>
      <c r="E860" s="4"/>
      <c r="F860" s="4" t="s">
        <v>624</v>
      </c>
      <c r="G860" s="4" t="s">
        <v>336</v>
      </c>
      <c r="H860" s="4" t="s">
        <v>289</v>
      </c>
      <c r="I860" s="4">
        <v>0.154</v>
      </c>
      <c r="J860" s="21">
        <v>350</v>
      </c>
      <c r="K860" s="21">
        <v>0</v>
      </c>
      <c r="L860" s="5">
        <v>0</v>
      </c>
      <c r="M860" s="4">
        <v>0.154</v>
      </c>
      <c r="N860" s="4"/>
      <c r="O860" s="5">
        <v>350</v>
      </c>
      <c r="P860" s="5"/>
      <c r="Q860" s="21">
        <v>53.9</v>
      </c>
      <c r="R860" s="21">
        <v>0</v>
      </c>
      <c r="S860" s="5">
        <f t="shared" si="55"/>
        <v>121092.94776015203</v>
      </c>
      <c r="T860" cm="1">
        <f t="array" ref="T860">IF(OR(B860="MAL ALIMI", B860="ÜRETİM GİRİŞ"), MIN(I860, MAX(0, I860 + SUM(SUMIFS($I$1:I859, $C$1:C859, C860, $B$1:B859, {"MAL ALIMI","ÜRETİM GİRİŞ"})) - VLOOKUP(C860, 'STOK RAPORU'!$C$2:$I$1000, 4, 0))), 0)</f>
        <v>0</v>
      </c>
      <c r="U860" s="22">
        <f t="shared" si="52"/>
        <v>0</v>
      </c>
      <c r="V860">
        <f t="shared" si="53"/>
        <v>0</v>
      </c>
      <c r="W860" s="22">
        <f t="shared" si="54"/>
        <v>0</v>
      </c>
    </row>
    <row r="861" spans="1:23" hidden="1" x14ac:dyDescent="0.25">
      <c r="A861" s="3">
        <v>45970</v>
      </c>
      <c r="B861" s="4" t="s">
        <v>334</v>
      </c>
      <c r="C861" s="4" t="s">
        <v>466</v>
      </c>
      <c r="D861" s="4"/>
      <c r="E861" s="4"/>
      <c r="F861" s="4" t="s">
        <v>624</v>
      </c>
      <c r="G861" s="4" t="s">
        <v>336</v>
      </c>
      <c r="H861" s="4" t="s">
        <v>289</v>
      </c>
      <c r="I861" s="4">
        <v>2</v>
      </c>
      <c r="J861" s="21">
        <v>40</v>
      </c>
      <c r="K861" s="21">
        <v>0</v>
      </c>
      <c r="L861" s="5">
        <v>0</v>
      </c>
      <c r="M861" s="4">
        <v>2</v>
      </c>
      <c r="N861" s="4"/>
      <c r="O861" s="5">
        <v>40</v>
      </c>
      <c r="P861" s="5"/>
      <c r="Q861" s="21">
        <v>80</v>
      </c>
      <c r="R861" s="21">
        <v>0</v>
      </c>
      <c r="S861" s="5">
        <f t="shared" si="55"/>
        <v>121172.94776015203</v>
      </c>
      <c r="T861" cm="1">
        <f t="array" ref="T861">IF(OR(B861="MAL ALIMI", B861="ÜRETİM GİRİŞ"), MIN(I861, MAX(0, I861 + SUM(SUMIFS($I$1:I860, $C$1:C860, C861, $B$1:B860, {"MAL ALIMI","ÜRETİM GİRİŞ"})) - VLOOKUP(C861, 'STOK RAPORU'!$C$2:$I$1000, 4, 0))), 0)</f>
        <v>0</v>
      </c>
      <c r="U861" s="22">
        <f t="shared" si="52"/>
        <v>0</v>
      </c>
      <c r="V861">
        <f t="shared" si="53"/>
        <v>0</v>
      </c>
      <c r="W861" s="22">
        <f t="shared" si="54"/>
        <v>0</v>
      </c>
    </row>
    <row r="862" spans="1:23" hidden="1" x14ac:dyDescent="0.25">
      <c r="A862" s="3">
        <v>45970</v>
      </c>
      <c r="B862" s="4" t="s">
        <v>334</v>
      </c>
      <c r="C862" s="4" t="s">
        <v>224</v>
      </c>
      <c r="D862" s="4"/>
      <c r="E862" s="4"/>
      <c r="F862" s="4" t="s">
        <v>624</v>
      </c>
      <c r="G862" s="4" t="s">
        <v>336</v>
      </c>
      <c r="H862" s="4" t="s">
        <v>289</v>
      </c>
      <c r="I862" s="4">
        <v>0.1</v>
      </c>
      <c r="J862" s="21">
        <v>900</v>
      </c>
      <c r="K862" s="21">
        <v>0</v>
      </c>
      <c r="L862" s="5">
        <v>0</v>
      </c>
      <c r="M862" s="4">
        <v>1</v>
      </c>
      <c r="N862" s="4"/>
      <c r="O862" s="5">
        <v>90</v>
      </c>
      <c r="P862" s="5"/>
      <c r="Q862" s="21">
        <v>90</v>
      </c>
      <c r="R862" s="21">
        <v>0</v>
      </c>
      <c r="S862" s="5">
        <f t="shared" si="55"/>
        <v>121262.94776015203</v>
      </c>
      <c r="T862" cm="1">
        <f t="array" ref="T862">IF(OR(B862="MAL ALIMI", B862="ÜRETİM GİRİŞ"), MIN(I862, MAX(0, I862 + SUM(SUMIFS($I$1:I861, $C$1:C861, C862, $B$1:B861, {"MAL ALIMI","ÜRETİM GİRİŞ"})) - VLOOKUP(C862, 'STOK RAPORU'!$C$2:$I$1000, 4, 0))), 0)</f>
        <v>0</v>
      </c>
      <c r="U862" s="22">
        <f t="shared" si="52"/>
        <v>0</v>
      </c>
      <c r="V862">
        <f t="shared" si="53"/>
        <v>0</v>
      </c>
      <c r="W862" s="22">
        <f t="shared" si="54"/>
        <v>0</v>
      </c>
    </row>
    <row r="863" spans="1:23" hidden="1" x14ac:dyDescent="0.25">
      <c r="A863" s="3">
        <v>45970</v>
      </c>
      <c r="B863" s="4" t="s">
        <v>334</v>
      </c>
      <c r="C863" s="4" t="s">
        <v>160</v>
      </c>
      <c r="D863" s="4"/>
      <c r="E863" s="4"/>
      <c r="F863" s="4" t="s">
        <v>625</v>
      </c>
      <c r="G863" s="4" t="s">
        <v>336</v>
      </c>
      <c r="H863" s="4" t="s">
        <v>289</v>
      </c>
      <c r="I863" s="4">
        <v>1</v>
      </c>
      <c r="J863" s="21">
        <v>240</v>
      </c>
      <c r="K863" s="21">
        <v>0</v>
      </c>
      <c r="L863" s="5">
        <v>0</v>
      </c>
      <c r="M863" s="4">
        <v>1</v>
      </c>
      <c r="N863" s="4"/>
      <c r="O863" s="5">
        <v>240</v>
      </c>
      <c r="P863" s="5"/>
      <c r="Q863" s="21">
        <v>240</v>
      </c>
      <c r="R863" s="21">
        <v>0</v>
      </c>
      <c r="S863" s="5">
        <f t="shared" si="55"/>
        <v>121502.94776015203</v>
      </c>
      <c r="T863" cm="1">
        <f t="array" ref="T863">IF(OR(B863="MAL ALIMI", B863="ÜRETİM GİRİŞ"), MIN(I863, MAX(0, I863 + SUM(SUMIFS($I$1:I862, $C$1:C862, C863, $B$1:B862, {"MAL ALIMI","ÜRETİM GİRİŞ"})) - VLOOKUP(C863, 'STOK RAPORU'!$C$2:$I$1000, 4, 0))), 0)</f>
        <v>0</v>
      </c>
      <c r="U863" s="22">
        <f t="shared" si="52"/>
        <v>0</v>
      </c>
      <c r="V863">
        <f t="shared" si="53"/>
        <v>0</v>
      </c>
      <c r="W863" s="22">
        <f t="shared" si="54"/>
        <v>0</v>
      </c>
    </row>
    <row r="864" spans="1:23" hidden="1" x14ac:dyDescent="0.25">
      <c r="A864" s="3">
        <v>45970</v>
      </c>
      <c r="B864" s="4" t="s">
        <v>334</v>
      </c>
      <c r="C864" s="4" t="s">
        <v>147</v>
      </c>
      <c r="D864" s="4"/>
      <c r="E864" s="4"/>
      <c r="F864" s="4" t="s">
        <v>625</v>
      </c>
      <c r="G864" s="4" t="s">
        <v>336</v>
      </c>
      <c r="H864" s="4" t="s">
        <v>289</v>
      </c>
      <c r="I864" s="4">
        <v>1</v>
      </c>
      <c r="J864" s="21">
        <v>65</v>
      </c>
      <c r="K864" s="21">
        <v>0</v>
      </c>
      <c r="L864" s="5">
        <v>0</v>
      </c>
      <c r="M864" s="4">
        <v>1</v>
      </c>
      <c r="N864" s="4"/>
      <c r="O864" s="5">
        <v>65</v>
      </c>
      <c r="P864" s="5"/>
      <c r="Q864" s="21">
        <v>65</v>
      </c>
      <c r="R864" s="21">
        <v>0</v>
      </c>
      <c r="S864" s="5">
        <f t="shared" si="55"/>
        <v>121567.94776015203</v>
      </c>
      <c r="T864" cm="1">
        <f t="array" ref="T864">IF(OR(B864="MAL ALIMI", B864="ÜRETİM GİRİŞ"), MIN(I864, MAX(0, I864 + SUM(SUMIFS($I$1:I863, $C$1:C863, C864, $B$1:B863, {"MAL ALIMI","ÜRETİM GİRİŞ"})) - VLOOKUP(C864, 'STOK RAPORU'!$C$2:$I$1000, 4, 0))), 0)</f>
        <v>0</v>
      </c>
      <c r="U864" s="22">
        <f t="shared" si="52"/>
        <v>0</v>
      </c>
      <c r="V864">
        <f t="shared" si="53"/>
        <v>0</v>
      </c>
      <c r="W864" s="22">
        <f t="shared" si="54"/>
        <v>0</v>
      </c>
    </row>
    <row r="865" spans="1:23" hidden="1" x14ac:dyDescent="0.25">
      <c r="A865" s="3">
        <v>45970</v>
      </c>
      <c r="B865" s="4" t="s">
        <v>334</v>
      </c>
      <c r="C865" s="4" t="s">
        <v>149</v>
      </c>
      <c r="D865" s="4"/>
      <c r="E865" s="4"/>
      <c r="F865" s="4" t="s">
        <v>625</v>
      </c>
      <c r="G865" s="4" t="s">
        <v>336</v>
      </c>
      <c r="H865" s="4" t="s">
        <v>289</v>
      </c>
      <c r="I865" s="4">
        <v>1</v>
      </c>
      <c r="J865" s="21">
        <v>65</v>
      </c>
      <c r="K865" s="21">
        <v>0</v>
      </c>
      <c r="L865" s="5">
        <v>0</v>
      </c>
      <c r="M865" s="4">
        <v>1</v>
      </c>
      <c r="N865" s="4"/>
      <c r="O865" s="5">
        <v>65</v>
      </c>
      <c r="P865" s="5"/>
      <c r="Q865" s="21">
        <v>65</v>
      </c>
      <c r="R865" s="21">
        <v>0</v>
      </c>
      <c r="S865" s="5">
        <f t="shared" si="55"/>
        <v>121632.94776015203</v>
      </c>
      <c r="T865" cm="1">
        <f t="array" ref="T865">IF(OR(B865="MAL ALIMI", B865="ÜRETİM GİRİŞ"), MIN(I865, MAX(0, I865 + SUM(SUMIFS($I$1:I864, $C$1:C864, C865, $B$1:B864, {"MAL ALIMI","ÜRETİM GİRİŞ"})) - VLOOKUP(C865, 'STOK RAPORU'!$C$2:$I$1000, 4, 0))), 0)</f>
        <v>0</v>
      </c>
      <c r="U865" s="22">
        <f t="shared" si="52"/>
        <v>0</v>
      </c>
      <c r="V865">
        <f t="shared" si="53"/>
        <v>0</v>
      </c>
      <c r="W865" s="22">
        <f t="shared" si="54"/>
        <v>0</v>
      </c>
    </row>
    <row r="866" spans="1:23" hidden="1" x14ac:dyDescent="0.25">
      <c r="A866" s="3">
        <v>45970</v>
      </c>
      <c r="B866" s="4" t="s">
        <v>334</v>
      </c>
      <c r="C866" s="4" t="s">
        <v>598</v>
      </c>
      <c r="D866" s="4"/>
      <c r="E866" s="4"/>
      <c r="F866" s="4" t="s">
        <v>625</v>
      </c>
      <c r="G866" s="4" t="s">
        <v>336</v>
      </c>
      <c r="H866" s="4" t="s">
        <v>289</v>
      </c>
      <c r="I866" s="4">
        <v>0.92200000000000004</v>
      </c>
      <c r="J866" s="21">
        <v>290</v>
      </c>
      <c r="K866" s="21">
        <v>0</v>
      </c>
      <c r="L866" s="5">
        <v>0</v>
      </c>
      <c r="M866" s="4">
        <v>0.92200000000000004</v>
      </c>
      <c r="N866" s="4"/>
      <c r="O866" s="5">
        <v>290</v>
      </c>
      <c r="P866" s="5"/>
      <c r="Q866" s="21">
        <v>267.38</v>
      </c>
      <c r="R866" s="21">
        <v>0</v>
      </c>
      <c r="S866" s="5">
        <f t="shared" si="55"/>
        <v>121900.32776015204</v>
      </c>
      <c r="T866" cm="1">
        <f t="array" ref="T866">IF(OR(B866="MAL ALIMI", B866="ÜRETİM GİRİŞ"), MIN(I866, MAX(0, I866 + SUM(SUMIFS($I$1:I865, $C$1:C865, C866, $B$1:B865, {"MAL ALIMI","ÜRETİM GİRİŞ"})) - VLOOKUP(C866, 'STOK RAPORU'!$C$2:$I$1000, 4, 0))), 0)</f>
        <v>0</v>
      </c>
      <c r="U866" s="22">
        <f t="shared" si="52"/>
        <v>0</v>
      </c>
      <c r="V866">
        <f t="shared" si="53"/>
        <v>0</v>
      </c>
      <c r="W866" s="22">
        <f t="shared" si="54"/>
        <v>0</v>
      </c>
    </row>
    <row r="867" spans="1:23" hidden="1" x14ac:dyDescent="0.25">
      <c r="A867" s="3">
        <v>45970</v>
      </c>
      <c r="B867" s="4" t="s">
        <v>334</v>
      </c>
      <c r="C867" s="4" t="s">
        <v>486</v>
      </c>
      <c r="D867" s="4"/>
      <c r="E867" s="4"/>
      <c r="F867" s="4" t="s">
        <v>625</v>
      </c>
      <c r="G867" s="4" t="s">
        <v>336</v>
      </c>
      <c r="H867" s="4" t="s">
        <v>289</v>
      </c>
      <c r="I867" s="4">
        <v>1</v>
      </c>
      <c r="J867" s="21">
        <v>90</v>
      </c>
      <c r="K867" s="21">
        <v>0</v>
      </c>
      <c r="L867" s="5">
        <v>0</v>
      </c>
      <c r="M867" s="4">
        <v>1</v>
      </c>
      <c r="N867" s="4"/>
      <c r="O867" s="5">
        <v>90</v>
      </c>
      <c r="P867" s="5"/>
      <c r="Q867" s="21">
        <v>90</v>
      </c>
      <c r="R867" s="21">
        <v>0</v>
      </c>
      <c r="S867" s="5">
        <f t="shared" si="55"/>
        <v>121990.32776015204</v>
      </c>
      <c r="T867" cm="1">
        <f t="array" ref="T867">IF(OR(B867="MAL ALIMI", B867="ÜRETİM GİRİŞ"), MIN(I867, MAX(0, I867 + SUM(SUMIFS($I$1:I866, $C$1:C866, C867, $B$1:B866, {"MAL ALIMI","ÜRETİM GİRİŞ"})) - VLOOKUP(C867, 'STOK RAPORU'!$C$2:$I$1000, 4, 0))), 0)</f>
        <v>0</v>
      </c>
      <c r="U867" s="22">
        <f t="shared" si="52"/>
        <v>0</v>
      </c>
      <c r="V867">
        <f t="shared" si="53"/>
        <v>0</v>
      </c>
      <c r="W867" s="22">
        <f t="shared" si="54"/>
        <v>0</v>
      </c>
    </row>
    <row r="868" spans="1:23" hidden="1" x14ac:dyDescent="0.25">
      <c r="A868" s="3">
        <v>45970</v>
      </c>
      <c r="B868" s="4" t="s">
        <v>334</v>
      </c>
      <c r="C868" s="4" t="s">
        <v>211</v>
      </c>
      <c r="D868" s="4"/>
      <c r="E868" s="4"/>
      <c r="F868" s="4" t="s">
        <v>625</v>
      </c>
      <c r="G868" s="4" t="s">
        <v>336</v>
      </c>
      <c r="H868" s="4" t="s">
        <v>289</v>
      </c>
      <c r="I868" s="4">
        <v>0.88800000000000001</v>
      </c>
      <c r="J868" s="21">
        <v>290</v>
      </c>
      <c r="K868" s="21">
        <v>0</v>
      </c>
      <c r="L868" s="5">
        <v>0</v>
      </c>
      <c r="M868" s="4">
        <v>0.88800000000000001</v>
      </c>
      <c r="N868" s="4"/>
      <c r="O868" s="5">
        <v>290</v>
      </c>
      <c r="P868" s="5"/>
      <c r="Q868" s="21">
        <v>257.52</v>
      </c>
      <c r="R868" s="21">
        <v>0</v>
      </c>
      <c r="S868" s="5">
        <f t="shared" si="55"/>
        <v>122247.84776015204</v>
      </c>
      <c r="T868" cm="1">
        <f t="array" ref="T868">IF(OR(B868="MAL ALIMI", B868="ÜRETİM GİRİŞ"), MIN(I868, MAX(0, I868 + SUM(SUMIFS($I$1:I867, $C$1:C867, C868, $B$1:B867, {"MAL ALIMI","ÜRETİM GİRİŞ"})) - VLOOKUP(C868, 'STOK RAPORU'!$C$2:$I$1000, 4, 0))), 0)</f>
        <v>0</v>
      </c>
      <c r="U868" s="22">
        <f t="shared" si="52"/>
        <v>0</v>
      </c>
      <c r="V868">
        <f t="shared" si="53"/>
        <v>0</v>
      </c>
      <c r="W868" s="22">
        <f t="shared" si="54"/>
        <v>0</v>
      </c>
    </row>
    <row r="869" spans="1:23" hidden="1" x14ac:dyDescent="0.25">
      <c r="A869" s="3">
        <v>45970</v>
      </c>
      <c r="B869" s="4" t="s">
        <v>334</v>
      </c>
      <c r="C869" s="4" t="s">
        <v>243</v>
      </c>
      <c r="D869" s="4"/>
      <c r="E869" s="4"/>
      <c r="F869" s="4" t="s">
        <v>625</v>
      </c>
      <c r="G869" s="4" t="s">
        <v>336</v>
      </c>
      <c r="H869" s="4" t="s">
        <v>289</v>
      </c>
      <c r="I869" s="4">
        <v>1</v>
      </c>
      <c r="J869" s="21">
        <v>180</v>
      </c>
      <c r="K869" s="21">
        <v>0</v>
      </c>
      <c r="L869" s="5">
        <v>0</v>
      </c>
      <c r="M869" s="4">
        <v>1</v>
      </c>
      <c r="N869" s="4"/>
      <c r="O869" s="5">
        <v>180</v>
      </c>
      <c r="P869" s="5"/>
      <c r="Q869" s="21">
        <v>180</v>
      </c>
      <c r="R869" s="21">
        <v>0</v>
      </c>
      <c r="S869" s="5">
        <f t="shared" si="55"/>
        <v>122427.84776015204</v>
      </c>
      <c r="T869" cm="1">
        <f t="array" ref="T869">IF(OR(B869="MAL ALIMI", B869="ÜRETİM GİRİŞ"), MIN(I869, MAX(0, I869 + SUM(SUMIFS($I$1:I868, $C$1:C868, C869, $B$1:B868, {"MAL ALIMI","ÜRETİM GİRİŞ"})) - VLOOKUP(C869, 'STOK RAPORU'!$C$2:$I$1000, 4, 0))), 0)</f>
        <v>0</v>
      </c>
      <c r="U869" s="22">
        <f t="shared" si="52"/>
        <v>0</v>
      </c>
      <c r="V869">
        <f t="shared" si="53"/>
        <v>0</v>
      </c>
      <c r="W869" s="22">
        <f t="shared" si="54"/>
        <v>0</v>
      </c>
    </row>
    <row r="870" spans="1:23" hidden="1" x14ac:dyDescent="0.25">
      <c r="A870" s="3">
        <v>45970</v>
      </c>
      <c r="B870" s="4" t="s">
        <v>334</v>
      </c>
      <c r="C870" s="4" t="s">
        <v>158</v>
      </c>
      <c r="D870" s="4"/>
      <c r="E870" s="4"/>
      <c r="F870" s="4" t="s">
        <v>625</v>
      </c>
      <c r="G870" s="4" t="s">
        <v>336</v>
      </c>
      <c r="H870" s="4" t="s">
        <v>289</v>
      </c>
      <c r="I870" s="4">
        <v>1.038</v>
      </c>
      <c r="J870" s="21">
        <v>130</v>
      </c>
      <c r="K870" s="21">
        <v>0</v>
      </c>
      <c r="L870" s="5">
        <v>0</v>
      </c>
      <c r="M870" s="4">
        <v>1.038</v>
      </c>
      <c r="N870" s="4"/>
      <c r="O870" s="5">
        <v>130</v>
      </c>
      <c r="P870" s="5"/>
      <c r="Q870" s="21">
        <v>134.94</v>
      </c>
      <c r="R870" s="21">
        <v>0</v>
      </c>
      <c r="S870" s="5">
        <f t="shared" si="55"/>
        <v>122562.78776015204</v>
      </c>
      <c r="T870" cm="1">
        <f t="array" ref="T870">IF(OR(B870="MAL ALIMI", B870="ÜRETİM GİRİŞ"), MIN(I870, MAX(0, I870 + SUM(SUMIFS($I$1:I869, $C$1:C869, C870, $B$1:B869, {"MAL ALIMI","ÜRETİM GİRİŞ"})) - VLOOKUP(C870, 'STOK RAPORU'!$C$2:$I$1000, 4, 0))), 0)</f>
        <v>0</v>
      </c>
      <c r="U870" s="22">
        <f t="shared" si="52"/>
        <v>0</v>
      </c>
      <c r="V870">
        <f t="shared" si="53"/>
        <v>0</v>
      </c>
      <c r="W870" s="22">
        <f t="shared" si="54"/>
        <v>0</v>
      </c>
    </row>
    <row r="871" spans="1:23" hidden="1" x14ac:dyDescent="0.25">
      <c r="A871" s="3">
        <v>45970</v>
      </c>
      <c r="B871" s="4" t="s">
        <v>334</v>
      </c>
      <c r="C871" s="4" t="s">
        <v>222</v>
      </c>
      <c r="D871" s="4"/>
      <c r="E871" s="4"/>
      <c r="F871" s="4" t="s">
        <v>625</v>
      </c>
      <c r="G871" s="4" t="s">
        <v>336</v>
      </c>
      <c r="H871" s="4" t="s">
        <v>289</v>
      </c>
      <c r="I871" s="4">
        <v>0.48799999999999999</v>
      </c>
      <c r="J871" s="21">
        <v>600</v>
      </c>
      <c r="K871" s="21">
        <v>0</v>
      </c>
      <c r="L871" s="5">
        <v>0</v>
      </c>
      <c r="M871" s="4">
        <v>0.48799999999999999</v>
      </c>
      <c r="N871" s="4"/>
      <c r="O871" s="5">
        <v>600</v>
      </c>
      <c r="P871" s="5"/>
      <c r="Q871" s="21">
        <v>292.8</v>
      </c>
      <c r="R871" s="21">
        <v>0</v>
      </c>
      <c r="S871" s="5">
        <f t="shared" si="55"/>
        <v>122855.58776015205</v>
      </c>
      <c r="T871" cm="1">
        <f t="array" ref="T871">IF(OR(B871="MAL ALIMI", B871="ÜRETİM GİRİŞ"), MIN(I871, MAX(0, I871 + SUM(SUMIFS($I$1:I870, $C$1:C870, C871, $B$1:B870, {"MAL ALIMI","ÜRETİM GİRİŞ"})) - VLOOKUP(C871, 'STOK RAPORU'!$C$2:$I$1000, 4, 0))), 0)</f>
        <v>0</v>
      </c>
      <c r="U871" s="22">
        <f t="shared" si="52"/>
        <v>0</v>
      </c>
      <c r="V871">
        <f t="shared" si="53"/>
        <v>0</v>
      </c>
      <c r="W871" s="22">
        <f t="shared" si="54"/>
        <v>0</v>
      </c>
    </row>
    <row r="872" spans="1:23" hidden="1" x14ac:dyDescent="0.25">
      <c r="A872" s="3">
        <v>45970</v>
      </c>
      <c r="B872" s="4" t="s">
        <v>334</v>
      </c>
      <c r="C872" s="4" t="s">
        <v>241</v>
      </c>
      <c r="D872" s="4"/>
      <c r="E872" s="4"/>
      <c r="F872" s="4" t="s">
        <v>625</v>
      </c>
      <c r="G872" s="4" t="s">
        <v>336</v>
      </c>
      <c r="H872" s="4" t="s">
        <v>289</v>
      </c>
      <c r="I872" s="4">
        <v>0.24399999999999999</v>
      </c>
      <c r="J872" s="21">
        <v>350</v>
      </c>
      <c r="K872" s="21">
        <v>0</v>
      </c>
      <c r="L872" s="5">
        <v>0</v>
      </c>
      <c r="M872" s="4">
        <v>0.24399999999999999</v>
      </c>
      <c r="N872" s="4"/>
      <c r="O872" s="5">
        <v>350</v>
      </c>
      <c r="P872" s="5"/>
      <c r="Q872" s="21">
        <v>85.399999999999991</v>
      </c>
      <c r="R872" s="21">
        <v>0</v>
      </c>
      <c r="S872" s="5">
        <f t="shared" si="55"/>
        <v>122940.98776015204</v>
      </c>
      <c r="T872" cm="1">
        <f t="array" ref="T872">IF(OR(B872="MAL ALIMI", B872="ÜRETİM GİRİŞ"), MIN(I872, MAX(0, I872 + SUM(SUMIFS($I$1:I871, $C$1:C871, C872, $B$1:B871, {"MAL ALIMI","ÜRETİM GİRİŞ"})) - VLOOKUP(C872, 'STOK RAPORU'!$C$2:$I$1000, 4, 0))), 0)</f>
        <v>0</v>
      </c>
      <c r="U872" s="22">
        <f t="shared" si="52"/>
        <v>0</v>
      </c>
      <c r="V872">
        <f t="shared" si="53"/>
        <v>0</v>
      </c>
      <c r="W872" s="22">
        <f t="shared" si="54"/>
        <v>0</v>
      </c>
    </row>
    <row r="873" spans="1:23" hidden="1" x14ac:dyDescent="0.25">
      <c r="A873" s="3">
        <v>45970</v>
      </c>
      <c r="B873" s="4" t="s">
        <v>334</v>
      </c>
      <c r="C873" s="4" t="s">
        <v>195</v>
      </c>
      <c r="D873" s="4"/>
      <c r="E873" s="4"/>
      <c r="F873" s="4" t="s">
        <v>625</v>
      </c>
      <c r="G873" s="4" t="s">
        <v>336</v>
      </c>
      <c r="H873" s="4" t="s">
        <v>289</v>
      </c>
      <c r="I873" s="4">
        <v>3.4000000000000002E-2</v>
      </c>
      <c r="J873" s="21">
        <v>1000</v>
      </c>
      <c r="K873" s="21">
        <v>0</v>
      </c>
      <c r="L873" s="5">
        <v>0</v>
      </c>
      <c r="M873" s="4">
        <v>3.4000000000000002E-2</v>
      </c>
      <c r="N873" s="4"/>
      <c r="O873" s="5">
        <v>1000</v>
      </c>
      <c r="P873" s="5"/>
      <c r="Q873" s="21">
        <v>34</v>
      </c>
      <c r="R873" s="21">
        <v>0</v>
      </c>
      <c r="S873" s="5">
        <f t="shared" si="55"/>
        <v>122974.98776015204</v>
      </c>
      <c r="T873" cm="1">
        <f t="array" ref="T873">IF(OR(B873="MAL ALIMI", B873="ÜRETİM GİRİŞ"), MIN(I873, MAX(0, I873 + SUM(SUMIFS($I$1:I872, $C$1:C872, C873, $B$1:B872, {"MAL ALIMI","ÜRETİM GİRİŞ"})) - VLOOKUP(C873, 'STOK RAPORU'!$C$2:$I$1000, 4, 0))), 0)</f>
        <v>0</v>
      </c>
      <c r="U873" s="22">
        <f t="shared" si="52"/>
        <v>0</v>
      </c>
      <c r="V873">
        <f t="shared" si="53"/>
        <v>0</v>
      </c>
      <c r="W873" s="22">
        <f t="shared" si="54"/>
        <v>0</v>
      </c>
    </row>
    <row r="874" spans="1:23" hidden="1" x14ac:dyDescent="0.25">
      <c r="A874" s="3">
        <v>45970</v>
      </c>
      <c r="B874" s="4" t="s">
        <v>334</v>
      </c>
      <c r="C874" s="4" t="s">
        <v>96</v>
      </c>
      <c r="D874" s="4"/>
      <c r="E874" s="4"/>
      <c r="F874" s="4" t="s">
        <v>625</v>
      </c>
      <c r="G874" s="4" t="s">
        <v>336</v>
      </c>
      <c r="H874" s="4" t="s">
        <v>289</v>
      </c>
      <c r="I874" s="4">
        <v>0.40799999999999997</v>
      </c>
      <c r="J874" s="21">
        <v>380</v>
      </c>
      <c r="K874" s="21">
        <v>0</v>
      </c>
      <c r="L874" s="5">
        <v>0</v>
      </c>
      <c r="M874" s="4">
        <v>0.40799999999999997</v>
      </c>
      <c r="N874" s="4"/>
      <c r="O874" s="5">
        <v>380</v>
      </c>
      <c r="P874" s="5"/>
      <c r="Q874" s="21">
        <v>155.04</v>
      </c>
      <c r="R874" s="21">
        <v>0</v>
      </c>
      <c r="S874" s="5">
        <f t="shared" si="55"/>
        <v>123130.02776015204</v>
      </c>
      <c r="T874" cm="1">
        <f t="array" ref="T874">IF(OR(B874="MAL ALIMI", B874="ÜRETİM GİRİŞ"), MIN(I874, MAX(0, I874 + SUM(SUMIFS($I$1:I873, $C$1:C873, C874, $B$1:B873, {"MAL ALIMI","ÜRETİM GİRİŞ"})) - VLOOKUP(C874, 'STOK RAPORU'!$C$2:$I$1000, 4, 0))), 0)</f>
        <v>0</v>
      </c>
      <c r="U874" s="22">
        <f t="shared" si="52"/>
        <v>0</v>
      </c>
      <c r="V874">
        <f t="shared" si="53"/>
        <v>0</v>
      </c>
      <c r="W874" s="22">
        <f t="shared" si="54"/>
        <v>0</v>
      </c>
    </row>
    <row r="875" spans="1:23" hidden="1" x14ac:dyDescent="0.25">
      <c r="A875" s="3">
        <v>45970</v>
      </c>
      <c r="B875" s="4" t="s">
        <v>334</v>
      </c>
      <c r="C875" s="4" t="s">
        <v>253</v>
      </c>
      <c r="D875" s="4"/>
      <c r="E875" s="4"/>
      <c r="F875" s="4" t="s">
        <v>625</v>
      </c>
      <c r="G875" s="4" t="s">
        <v>336</v>
      </c>
      <c r="H875" s="4" t="s">
        <v>289</v>
      </c>
      <c r="I875" s="4">
        <v>0.224</v>
      </c>
      <c r="J875" s="21">
        <v>230</v>
      </c>
      <c r="K875" s="21">
        <v>0</v>
      </c>
      <c r="L875" s="5">
        <v>0</v>
      </c>
      <c r="M875" s="4">
        <v>0.224</v>
      </c>
      <c r="N875" s="4"/>
      <c r="O875" s="5">
        <v>230</v>
      </c>
      <c r="P875" s="5"/>
      <c r="Q875" s="21">
        <v>51.52</v>
      </c>
      <c r="R875" s="21">
        <v>0</v>
      </c>
      <c r="S875" s="5">
        <f t="shared" si="55"/>
        <v>123181.54776015204</v>
      </c>
      <c r="T875" cm="1">
        <f t="array" ref="T875">IF(OR(B875="MAL ALIMI", B875="ÜRETİM GİRİŞ"), MIN(I875, MAX(0, I875 + SUM(SUMIFS($I$1:I874, $C$1:C874, C875, $B$1:B874, {"MAL ALIMI","ÜRETİM GİRİŞ"})) - VLOOKUP(C875, 'STOK RAPORU'!$C$2:$I$1000, 4, 0))), 0)</f>
        <v>0</v>
      </c>
      <c r="U875" s="22">
        <f t="shared" si="52"/>
        <v>0</v>
      </c>
      <c r="V875">
        <f t="shared" si="53"/>
        <v>0</v>
      </c>
      <c r="W875" s="22">
        <f t="shared" si="54"/>
        <v>0</v>
      </c>
    </row>
    <row r="876" spans="1:23" hidden="1" x14ac:dyDescent="0.25">
      <c r="A876" s="3">
        <v>45970</v>
      </c>
      <c r="B876" s="4" t="s">
        <v>334</v>
      </c>
      <c r="C876" s="4" t="s">
        <v>131</v>
      </c>
      <c r="D876" s="4"/>
      <c r="E876" s="4"/>
      <c r="F876" s="4" t="s">
        <v>625</v>
      </c>
      <c r="G876" s="4" t="s">
        <v>336</v>
      </c>
      <c r="H876" s="4" t="s">
        <v>289</v>
      </c>
      <c r="I876" s="4">
        <v>0.114</v>
      </c>
      <c r="J876" s="21">
        <v>400</v>
      </c>
      <c r="K876" s="21">
        <v>0</v>
      </c>
      <c r="L876" s="5">
        <v>0</v>
      </c>
      <c r="M876" s="4">
        <v>0.114</v>
      </c>
      <c r="N876" s="4"/>
      <c r="O876" s="5">
        <v>400</v>
      </c>
      <c r="P876" s="5"/>
      <c r="Q876" s="21">
        <v>45.6</v>
      </c>
      <c r="R876" s="21">
        <v>0</v>
      </c>
      <c r="S876" s="5">
        <f t="shared" si="55"/>
        <v>123227.14776015205</v>
      </c>
      <c r="T876" cm="1">
        <f t="array" ref="T876">IF(OR(B876="MAL ALIMI", B876="ÜRETİM GİRİŞ"), MIN(I876, MAX(0, I876 + SUM(SUMIFS($I$1:I875, $C$1:C875, C876, $B$1:B875, {"MAL ALIMI","ÜRETİM GİRİŞ"})) - VLOOKUP(C876, 'STOK RAPORU'!$C$2:$I$1000, 4, 0))), 0)</f>
        <v>0</v>
      </c>
      <c r="U876" s="22">
        <f t="shared" si="52"/>
        <v>0</v>
      </c>
      <c r="V876">
        <f t="shared" si="53"/>
        <v>0</v>
      </c>
      <c r="W876" s="22">
        <f t="shared" si="54"/>
        <v>0</v>
      </c>
    </row>
    <row r="877" spans="1:23" hidden="1" x14ac:dyDescent="0.25">
      <c r="A877" s="3">
        <v>45970</v>
      </c>
      <c r="B877" s="4" t="s">
        <v>334</v>
      </c>
      <c r="C877" s="4" t="s">
        <v>91</v>
      </c>
      <c r="D877" s="4"/>
      <c r="E877" s="4"/>
      <c r="F877" s="4" t="s">
        <v>625</v>
      </c>
      <c r="G877" s="4" t="s">
        <v>336</v>
      </c>
      <c r="H877" s="4" t="s">
        <v>289</v>
      </c>
      <c r="I877" s="4">
        <v>6.8000000000000005E-2</v>
      </c>
      <c r="J877" s="21">
        <v>760</v>
      </c>
      <c r="K877" s="21">
        <v>0</v>
      </c>
      <c r="L877" s="5">
        <v>0</v>
      </c>
      <c r="M877" s="4">
        <v>6.8000000000000005E-2</v>
      </c>
      <c r="N877" s="4"/>
      <c r="O877" s="5">
        <v>760</v>
      </c>
      <c r="P877" s="5"/>
      <c r="Q877" s="21">
        <v>51.680000000000007</v>
      </c>
      <c r="R877" s="21">
        <v>0</v>
      </c>
      <c r="S877" s="5">
        <f t="shared" si="55"/>
        <v>123278.82776015204</v>
      </c>
      <c r="T877" cm="1">
        <f t="array" ref="T877">IF(OR(B877="MAL ALIMI", B877="ÜRETİM GİRİŞ"), MIN(I877, MAX(0, I877 + SUM(SUMIFS($I$1:I876, $C$1:C876, C877, $B$1:B876, {"MAL ALIMI","ÜRETİM GİRİŞ"})) - VLOOKUP(C877, 'STOK RAPORU'!$C$2:$I$1000, 4, 0))), 0)</f>
        <v>0</v>
      </c>
      <c r="U877" s="22">
        <f t="shared" si="52"/>
        <v>0</v>
      </c>
      <c r="V877">
        <f t="shared" si="53"/>
        <v>0</v>
      </c>
      <c r="W877" s="22">
        <f t="shared" si="54"/>
        <v>0</v>
      </c>
    </row>
    <row r="878" spans="1:23" hidden="1" x14ac:dyDescent="0.25">
      <c r="A878" s="3">
        <v>45970</v>
      </c>
      <c r="B878" s="4" t="s">
        <v>334</v>
      </c>
      <c r="C878" s="4" t="s">
        <v>98</v>
      </c>
      <c r="D878" s="4"/>
      <c r="E878" s="4"/>
      <c r="F878" s="4" t="s">
        <v>625</v>
      </c>
      <c r="G878" s="4" t="s">
        <v>336</v>
      </c>
      <c r="H878" s="4" t="s">
        <v>289</v>
      </c>
      <c r="I878" s="4">
        <v>7.3999999999999996E-2</v>
      </c>
      <c r="J878" s="21">
        <v>360</v>
      </c>
      <c r="K878" s="21">
        <v>0</v>
      </c>
      <c r="L878" s="5">
        <v>0</v>
      </c>
      <c r="M878" s="4">
        <v>7.3999999999999996E-2</v>
      </c>
      <c r="N878" s="4"/>
      <c r="O878" s="5">
        <v>360</v>
      </c>
      <c r="P878" s="5"/>
      <c r="Q878" s="21">
        <v>26.639999999999997</v>
      </c>
      <c r="R878" s="21">
        <v>0</v>
      </c>
      <c r="S878" s="5">
        <f t="shared" si="55"/>
        <v>123305.46776015204</v>
      </c>
      <c r="T878" cm="1">
        <f t="array" ref="T878">IF(OR(B878="MAL ALIMI", B878="ÜRETİM GİRİŞ"), MIN(I878, MAX(0, I878 + SUM(SUMIFS($I$1:I877, $C$1:C877, C878, $B$1:B877, {"MAL ALIMI","ÜRETİM GİRİŞ"})) - VLOOKUP(C878, 'STOK RAPORU'!$C$2:$I$1000, 4, 0))), 0)</f>
        <v>0</v>
      </c>
      <c r="U878" s="22">
        <f t="shared" si="52"/>
        <v>0</v>
      </c>
      <c r="V878">
        <f t="shared" si="53"/>
        <v>0</v>
      </c>
      <c r="W878" s="22">
        <f t="shared" si="54"/>
        <v>0</v>
      </c>
    </row>
    <row r="879" spans="1:23" hidden="1" x14ac:dyDescent="0.25">
      <c r="A879" s="3">
        <v>45970</v>
      </c>
      <c r="B879" s="4" t="s">
        <v>334</v>
      </c>
      <c r="C879" s="4" t="s">
        <v>137</v>
      </c>
      <c r="D879" s="4"/>
      <c r="E879" s="4"/>
      <c r="F879" s="4" t="s">
        <v>625</v>
      </c>
      <c r="G879" s="4" t="s">
        <v>336</v>
      </c>
      <c r="H879" s="4" t="s">
        <v>289</v>
      </c>
      <c r="I879" s="4">
        <v>0.25</v>
      </c>
      <c r="J879" s="21">
        <v>190</v>
      </c>
      <c r="K879" s="21">
        <v>0</v>
      </c>
      <c r="L879" s="5">
        <v>0</v>
      </c>
      <c r="M879" s="4">
        <v>0.25</v>
      </c>
      <c r="N879" s="4"/>
      <c r="O879" s="5">
        <v>190</v>
      </c>
      <c r="P879" s="5"/>
      <c r="Q879" s="21">
        <v>47.5</v>
      </c>
      <c r="R879" s="21">
        <v>0</v>
      </c>
      <c r="S879" s="5">
        <f t="shared" si="55"/>
        <v>123352.96776015204</v>
      </c>
      <c r="T879" cm="1">
        <f t="array" ref="T879">IF(OR(B879="MAL ALIMI", B879="ÜRETİM GİRİŞ"), MIN(I879, MAX(0, I879 + SUM(SUMIFS($I$1:I878, $C$1:C878, C879, $B$1:B878, {"MAL ALIMI","ÜRETİM GİRİŞ"})) - VLOOKUP(C879, 'STOK RAPORU'!$C$2:$I$1000, 4, 0))), 0)</f>
        <v>0</v>
      </c>
      <c r="U879" s="22">
        <f t="shared" si="52"/>
        <v>0</v>
      </c>
      <c r="V879">
        <f t="shared" si="53"/>
        <v>0</v>
      </c>
      <c r="W879" s="22">
        <f t="shared" si="54"/>
        <v>0</v>
      </c>
    </row>
    <row r="880" spans="1:23" hidden="1" x14ac:dyDescent="0.25">
      <c r="A880" s="3">
        <v>45970</v>
      </c>
      <c r="B880" s="4" t="s">
        <v>334</v>
      </c>
      <c r="C880" s="4" t="s">
        <v>714</v>
      </c>
      <c r="D880" s="4"/>
      <c r="E880" s="4"/>
      <c r="F880" s="4" t="s">
        <v>625</v>
      </c>
      <c r="G880" s="4" t="s">
        <v>336</v>
      </c>
      <c r="H880" s="4" t="s">
        <v>289</v>
      </c>
      <c r="I880" s="4">
        <v>1</v>
      </c>
      <c r="J880" s="21">
        <v>210</v>
      </c>
      <c r="K880" s="21">
        <v>0</v>
      </c>
      <c r="L880" s="5">
        <v>0</v>
      </c>
      <c r="M880" s="4">
        <v>1</v>
      </c>
      <c r="N880" s="4"/>
      <c r="O880" s="5">
        <v>210</v>
      </c>
      <c r="P880" s="5"/>
      <c r="Q880" s="21">
        <v>210</v>
      </c>
      <c r="R880" s="21">
        <v>0</v>
      </c>
      <c r="S880" s="5">
        <f t="shared" si="55"/>
        <v>123562.96776015204</v>
      </c>
      <c r="T880" cm="1">
        <f t="array" ref="T880">IF(OR(B880="MAL ALIMI", B880="ÜRETİM GİRİŞ"), MIN(I880, MAX(0, I880 + SUM(SUMIFS($I$1:I879, $C$1:C879, C880, $B$1:B879, {"MAL ALIMI","ÜRETİM GİRİŞ"})) - VLOOKUP(C880, 'STOK RAPORU'!$C$2:$I$1000, 4, 0))), 0)</f>
        <v>0</v>
      </c>
      <c r="U880" s="22">
        <f t="shared" si="52"/>
        <v>0</v>
      </c>
      <c r="V880">
        <f t="shared" si="53"/>
        <v>0</v>
      </c>
      <c r="W880" s="22">
        <f t="shared" si="54"/>
        <v>0</v>
      </c>
    </row>
    <row r="881" spans="1:23" hidden="1" x14ac:dyDescent="0.25">
      <c r="A881" s="3">
        <v>45970</v>
      </c>
      <c r="B881" s="4" t="s">
        <v>334</v>
      </c>
      <c r="C881" s="4" t="s">
        <v>270</v>
      </c>
      <c r="D881" s="4"/>
      <c r="E881" s="4"/>
      <c r="F881" s="4" t="s">
        <v>625</v>
      </c>
      <c r="G881" s="4" t="s">
        <v>336</v>
      </c>
      <c r="H881" s="4" t="s">
        <v>289</v>
      </c>
      <c r="I881" s="4">
        <v>1</v>
      </c>
      <c r="J881" s="21">
        <v>140</v>
      </c>
      <c r="K881" s="21">
        <v>0</v>
      </c>
      <c r="L881" s="5">
        <v>0</v>
      </c>
      <c r="M881" s="4">
        <v>1</v>
      </c>
      <c r="N881" s="4"/>
      <c r="O881" s="5">
        <v>140</v>
      </c>
      <c r="P881" s="5"/>
      <c r="Q881" s="21">
        <v>140</v>
      </c>
      <c r="R881" s="21">
        <v>0</v>
      </c>
      <c r="S881" s="5">
        <f t="shared" si="55"/>
        <v>123702.96776015204</v>
      </c>
      <c r="T881" cm="1">
        <f t="array" ref="T881">IF(OR(B881="MAL ALIMI", B881="ÜRETİM GİRİŞ"), MIN(I881, MAX(0, I881 + SUM(SUMIFS($I$1:I880, $C$1:C880, C881, $B$1:B880, {"MAL ALIMI","ÜRETİM GİRİŞ"})) - VLOOKUP(C881, 'STOK RAPORU'!$C$2:$I$1000, 4, 0))), 0)</f>
        <v>0</v>
      </c>
      <c r="U881" s="22">
        <f t="shared" si="52"/>
        <v>0</v>
      </c>
      <c r="V881">
        <f t="shared" si="53"/>
        <v>0</v>
      </c>
      <c r="W881" s="22">
        <f t="shared" si="54"/>
        <v>0</v>
      </c>
    </row>
    <row r="882" spans="1:23" hidden="1" x14ac:dyDescent="0.25">
      <c r="A882" s="3">
        <v>45970</v>
      </c>
      <c r="B882" s="4" t="s">
        <v>334</v>
      </c>
      <c r="C882" s="4" t="s">
        <v>523</v>
      </c>
      <c r="D882" s="4"/>
      <c r="E882" s="4"/>
      <c r="F882" s="4" t="s">
        <v>625</v>
      </c>
      <c r="G882" s="4" t="s">
        <v>336</v>
      </c>
      <c r="H882" s="4" t="s">
        <v>289</v>
      </c>
      <c r="I882" s="4">
        <v>0.1</v>
      </c>
      <c r="J882" s="21">
        <v>650</v>
      </c>
      <c r="K882" s="21">
        <v>0</v>
      </c>
      <c r="L882" s="5">
        <v>0</v>
      </c>
      <c r="M882" s="4">
        <v>1</v>
      </c>
      <c r="N882" s="4"/>
      <c r="O882" s="5">
        <v>65</v>
      </c>
      <c r="P882" s="5"/>
      <c r="Q882" s="21">
        <v>65</v>
      </c>
      <c r="R882" s="21">
        <v>0</v>
      </c>
      <c r="S882" s="5">
        <f t="shared" si="55"/>
        <v>123767.96776015204</v>
      </c>
      <c r="T882" cm="1">
        <f t="array" ref="T882">IF(OR(B882="MAL ALIMI", B882="ÜRETİM GİRİŞ"), MIN(I882, MAX(0, I882 + SUM(SUMIFS($I$1:I881, $C$1:C881, C882, $B$1:B881, {"MAL ALIMI","ÜRETİM GİRİŞ"})) - VLOOKUP(C882, 'STOK RAPORU'!$C$2:$I$1000, 4, 0))), 0)</f>
        <v>0</v>
      </c>
      <c r="U882" s="22">
        <f t="shared" si="52"/>
        <v>0</v>
      </c>
      <c r="V882">
        <f t="shared" si="53"/>
        <v>0</v>
      </c>
      <c r="W882" s="22">
        <f t="shared" si="54"/>
        <v>0</v>
      </c>
    </row>
    <row r="883" spans="1:23" hidden="1" x14ac:dyDescent="0.25">
      <c r="A883" s="3">
        <v>45970</v>
      </c>
      <c r="B883" s="4" t="s">
        <v>334</v>
      </c>
      <c r="C883" s="4" t="s">
        <v>200</v>
      </c>
      <c r="D883" s="4"/>
      <c r="E883" s="4"/>
      <c r="F883" s="4" t="s">
        <v>625</v>
      </c>
      <c r="G883" s="4" t="s">
        <v>336</v>
      </c>
      <c r="H883" s="4" t="s">
        <v>289</v>
      </c>
      <c r="I883" s="4">
        <v>0.25</v>
      </c>
      <c r="J883" s="21">
        <v>380</v>
      </c>
      <c r="K883" s="21">
        <v>0</v>
      </c>
      <c r="L883" s="5">
        <v>0</v>
      </c>
      <c r="M883" s="4">
        <v>1</v>
      </c>
      <c r="N883" s="4"/>
      <c r="O883" s="5">
        <v>95</v>
      </c>
      <c r="P883" s="5"/>
      <c r="Q883" s="21">
        <v>95</v>
      </c>
      <c r="R883" s="21">
        <v>0</v>
      </c>
      <c r="S883" s="5">
        <f t="shared" si="55"/>
        <v>123862.96776015204</v>
      </c>
      <c r="T883" cm="1">
        <f t="array" ref="T883">IF(OR(B883="MAL ALIMI", B883="ÜRETİM GİRİŞ"), MIN(I883, MAX(0, I883 + SUM(SUMIFS($I$1:I882, $C$1:C882, C883, $B$1:B882, {"MAL ALIMI","ÜRETİM GİRİŞ"})) - VLOOKUP(C883, 'STOK RAPORU'!$C$2:$I$1000, 4, 0))), 0)</f>
        <v>0</v>
      </c>
      <c r="U883" s="22">
        <f t="shared" si="52"/>
        <v>0</v>
      </c>
      <c r="V883">
        <f t="shared" si="53"/>
        <v>0</v>
      </c>
      <c r="W883" s="22">
        <f t="shared" si="54"/>
        <v>0</v>
      </c>
    </row>
    <row r="884" spans="1:23" hidden="1" x14ac:dyDescent="0.25">
      <c r="A884" s="3">
        <v>45970</v>
      </c>
      <c r="B884" s="4" t="s">
        <v>334</v>
      </c>
      <c r="C884" s="4" t="s">
        <v>160</v>
      </c>
      <c r="D884" s="4"/>
      <c r="E884" s="4"/>
      <c r="F884" s="4" t="s">
        <v>625</v>
      </c>
      <c r="G884" s="4" t="s">
        <v>336</v>
      </c>
      <c r="H884" s="4" t="s">
        <v>289</v>
      </c>
      <c r="I884" s="4">
        <v>1</v>
      </c>
      <c r="J884" s="21">
        <v>240</v>
      </c>
      <c r="K884" s="21">
        <v>0</v>
      </c>
      <c r="L884" s="5">
        <v>0</v>
      </c>
      <c r="M884" s="4">
        <v>1</v>
      </c>
      <c r="N884" s="4"/>
      <c r="O884" s="5">
        <v>240</v>
      </c>
      <c r="P884" s="5"/>
      <c r="Q884" s="21">
        <v>240</v>
      </c>
      <c r="R884" s="21">
        <v>0</v>
      </c>
      <c r="S884" s="5">
        <f t="shared" si="55"/>
        <v>124102.96776015204</v>
      </c>
      <c r="T884" cm="1">
        <f t="array" ref="T884">IF(OR(B884="MAL ALIMI", B884="ÜRETİM GİRİŞ"), MIN(I884, MAX(0, I884 + SUM(SUMIFS($I$1:I883, $C$1:C883, C884, $B$1:B883, {"MAL ALIMI","ÜRETİM GİRİŞ"})) - VLOOKUP(C884, 'STOK RAPORU'!$C$2:$I$1000, 4, 0))), 0)</f>
        <v>0</v>
      </c>
      <c r="U884" s="22">
        <f t="shared" si="52"/>
        <v>0</v>
      </c>
      <c r="V884">
        <f t="shared" si="53"/>
        <v>0</v>
      </c>
      <c r="W884" s="22">
        <f t="shared" si="54"/>
        <v>0</v>
      </c>
    </row>
    <row r="885" spans="1:23" hidden="1" x14ac:dyDescent="0.25">
      <c r="A885" s="3">
        <v>45970</v>
      </c>
      <c r="B885" s="4" t="s">
        <v>334</v>
      </c>
      <c r="C885" s="4" t="s">
        <v>167</v>
      </c>
      <c r="D885" s="4"/>
      <c r="E885" s="4"/>
      <c r="F885" s="4" t="s">
        <v>625</v>
      </c>
      <c r="G885" s="4" t="s">
        <v>336</v>
      </c>
      <c r="H885" s="4" t="s">
        <v>289</v>
      </c>
      <c r="I885" s="4">
        <v>1</v>
      </c>
      <c r="J885" s="21">
        <v>200</v>
      </c>
      <c r="K885" s="21">
        <v>0</v>
      </c>
      <c r="L885" s="5">
        <v>0</v>
      </c>
      <c r="M885" s="4">
        <v>1</v>
      </c>
      <c r="N885" s="4"/>
      <c r="O885" s="5">
        <v>200</v>
      </c>
      <c r="P885" s="5"/>
      <c r="Q885" s="21">
        <v>200</v>
      </c>
      <c r="R885" s="21">
        <v>0</v>
      </c>
      <c r="S885" s="5">
        <f t="shared" si="55"/>
        <v>124302.96776015204</v>
      </c>
      <c r="T885" cm="1">
        <f t="array" ref="T885">IF(OR(B885="MAL ALIMI", B885="ÜRETİM GİRİŞ"), MIN(I885, MAX(0, I885 + SUM(SUMIFS($I$1:I884, $C$1:C884, C885, $B$1:B884, {"MAL ALIMI","ÜRETİM GİRİŞ"})) - VLOOKUP(C885, 'STOK RAPORU'!$C$2:$I$1000, 4, 0))), 0)</f>
        <v>0</v>
      </c>
      <c r="U885" s="22">
        <f t="shared" si="52"/>
        <v>0</v>
      </c>
      <c r="V885">
        <f t="shared" si="53"/>
        <v>0</v>
      </c>
      <c r="W885" s="22">
        <f t="shared" si="54"/>
        <v>0</v>
      </c>
    </row>
    <row r="886" spans="1:23" hidden="1" x14ac:dyDescent="0.25">
      <c r="A886" s="3">
        <v>45970</v>
      </c>
      <c r="B886" s="4" t="s">
        <v>334</v>
      </c>
      <c r="C886" s="59" t="s">
        <v>161</v>
      </c>
      <c r="D886" s="4"/>
      <c r="E886" s="4"/>
      <c r="F886" s="4" t="s">
        <v>625</v>
      </c>
      <c r="G886" s="4" t="s">
        <v>336</v>
      </c>
      <c r="H886" s="4" t="s">
        <v>289</v>
      </c>
      <c r="I886" s="4">
        <v>1</v>
      </c>
      <c r="J886" s="21">
        <v>200</v>
      </c>
      <c r="K886" s="21">
        <v>0</v>
      </c>
      <c r="L886" s="5">
        <v>0</v>
      </c>
      <c r="M886" s="4">
        <v>1</v>
      </c>
      <c r="N886" s="4"/>
      <c r="O886" s="5">
        <v>200</v>
      </c>
      <c r="P886" s="5"/>
      <c r="Q886" s="21">
        <v>200</v>
      </c>
      <c r="R886" s="21">
        <v>0</v>
      </c>
      <c r="S886" s="5">
        <f t="shared" si="55"/>
        <v>124502.96776015204</v>
      </c>
      <c r="T886" cm="1">
        <f t="array" ref="T886">IF(OR(B886="MAL ALIMI", B886="ÜRETİM GİRİŞ"), MIN(I886, MAX(0, I886 + SUM(SUMIFS($I$1:I885, $C$1:C885, C886, $B$1:B885, {"MAL ALIMI","ÜRETİM GİRİŞ"})) - VLOOKUP(C886, 'STOK RAPORU'!$C$2:$I$1000, 4, 0))), 0)</f>
        <v>0</v>
      </c>
      <c r="U886" s="22">
        <f t="shared" si="52"/>
        <v>0</v>
      </c>
      <c r="V886">
        <f t="shared" si="53"/>
        <v>0</v>
      </c>
      <c r="W886" s="22">
        <f t="shared" si="54"/>
        <v>0</v>
      </c>
    </row>
    <row r="887" spans="1:23" hidden="1" x14ac:dyDescent="0.25">
      <c r="A887" s="3">
        <v>45970</v>
      </c>
      <c r="B887" s="4" t="s">
        <v>334</v>
      </c>
      <c r="C887" s="4" t="s">
        <v>96</v>
      </c>
      <c r="D887" s="4"/>
      <c r="E887" s="4"/>
      <c r="F887" s="4" t="s">
        <v>626</v>
      </c>
      <c r="G887" s="4" t="s">
        <v>336</v>
      </c>
      <c r="H887" s="4" t="s">
        <v>289</v>
      </c>
      <c r="I887" s="4">
        <v>0.57399999999999995</v>
      </c>
      <c r="J887" s="21">
        <v>380</v>
      </c>
      <c r="K887" s="21">
        <v>0</v>
      </c>
      <c r="L887" s="5">
        <v>0</v>
      </c>
      <c r="M887" s="4">
        <v>0.57399999999999995</v>
      </c>
      <c r="N887" s="4"/>
      <c r="O887" s="5">
        <v>380</v>
      </c>
      <c r="P887" s="5"/>
      <c r="Q887" s="21">
        <v>218.11999999999998</v>
      </c>
      <c r="R887" s="21">
        <v>0</v>
      </c>
      <c r="S887" s="5">
        <f t="shared" si="55"/>
        <v>124721.08776015203</v>
      </c>
      <c r="T887" cm="1">
        <f t="array" ref="T887">IF(OR(B887="MAL ALIMI", B887="ÜRETİM GİRİŞ"), MIN(I887, MAX(0, I887 + SUM(SUMIFS($I$1:I886, $C$1:C886, C887, $B$1:B886, {"MAL ALIMI","ÜRETİM GİRİŞ"})) - VLOOKUP(C887, 'STOK RAPORU'!$C$2:$I$1000, 4, 0))), 0)</f>
        <v>0</v>
      </c>
      <c r="U887" s="22">
        <f t="shared" si="52"/>
        <v>0</v>
      </c>
      <c r="V887">
        <f t="shared" si="53"/>
        <v>0</v>
      </c>
      <c r="W887" s="22">
        <f t="shared" si="54"/>
        <v>0</v>
      </c>
    </row>
    <row r="888" spans="1:23" hidden="1" x14ac:dyDescent="0.25">
      <c r="A888" s="3">
        <v>45970</v>
      </c>
      <c r="B888" s="4" t="s">
        <v>334</v>
      </c>
      <c r="C888" s="4" t="s">
        <v>131</v>
      </c>
      <c r="D888" s="4"/>
      <c r="E888" s="4"/>
      <c r="F888" s="4" t="s">
        <v>626</v>
      </c>
      <c r="G888" s="4" t="s">
        <v>336</v>
      </c>
      <c r="H888" s="4" t="s">
        <v>289</v>
      </c>
      <c r="I888" s="4">
        <v>0.16</v>
      </c>
      <c r="J888" s="21">
        <v>400</v>
      </c>
      <c r="K888" s="21">
        <v>0</v>
      </c>
      <c r="L888" s="5">
        <v>0</v>
      </c>
      <c r="M888" s="4">
        <v>0.16</v>
      </c>
      <c r="N888" s="4"/>
      <c r="O888" s="5">
        <v>400</v>
      </c>
      <c r="P888" s="5"/>
      <c r="Q888" s="21">
        <v>64</v>
      </c>
      <c r="R888" s="21">
        <v>0</v>
      </c>
      <c r="S888" s="5">
        <f t="shared" si="55"/>
        <v>124785.08776015203</v>
      </c>
      <c r="T888" cm="1">
        <f t="array" ref="T888">IF(OR(B888="MAL ALIMI", B888="ÜRETİM GİRİŞ"), MIN(I888, MAX(0, I888 + SUM(SUMIFS($I$1:I887, $C$1:C887, C888, $B$1:B887, {"MAL ALIMI","ÜRETİM GİRİŞ"})) - VLOOKUP(C888, 'STOK RAPORU'!$C$2:$I$1000, 4, 0))), 0)</f>
        <v>0</v>
      </c>
      <c r="U888" s="22">
        <f t="shared" si="52"/>
        <v>0</v>
      </c>
      <c r="V888">
        <f t="shared" si="53"/>
        <v>0</v>
      </c>
      <c r="W888" s="22">
        <f t="shared" si="54"/>
        <v>0</v>
      </c>
    </row>
    <row r="889" spans="1:23" hidden="1" x14ac:dyDescent="0.25">
      <c r="A889" s="3">
        <v>45970</v>
      </c>
      <c r="B889" s="4" t="s">
        <v>334</v>
      </c>
      <c r="C889" s="4" t="s">
        <v>131</v>
      </c>
      <c r="D889" s="4"/>
      <c r="E889" s="4"/>
      <c r="F889" s="4" t="s">
        <v>626</v>
      </c>
      <c r="G889" s="4" t="s">
        <v>336</v>
      </c>
      <c r="H889" s="4" t="s">
        <v>289</v>
      </c>
      <c r="I889" s="4">
        <v>0.156</v>
      </c>
      <c r="J889" s="21">
        <v>400</v>
      </c>
      <c r="K889" s="21">
        <v>0</v>
      </c>
      <c r="L889" s="5">
        <v>0</v>
      </c>
      <c r="M889" s="4">
        <v>0.156</v>
      </c>
      <c r="N889" s="4"/>
      <c r="O889" s="5">
        <v>400</v>
      </c>
      <c r="P889" s="5"/>
      <c r="Q889" s="21">
        <v>62.4</v>
      </c>
      <c r="R889" s="21">
        <v>0</v>
      </c>
      <c r="S889" s="5">
        <f t="shared" si="55"/>
        <v>124847.48776015203</v>
      </c>
      <c r="T889" cm="1">
        <f t="array" ref="T889">IF(OR(B889="MAL ALIMI", B889="ÜRETİM GİRİŞ"), MIN(I889, MAX(0, I889 + SUM(SUMIFS($I$1:I888, $C$1:C888, C889, $B$1:B888, {"MAL ALIMI","ÜRETİM GİRİŞ"})) - VLOOKUP(C889, 'STOK RAPORU'!$C$2:$I$1000, 4, 0))), 0)</f>
        <v>0</v>
      </c>
      <c r="U889" s="22">
        <f t="shared" si="52"/>
        <v>0</v>
      </c>
      <c r="V889">
        <f t="shared" si="53"/>
        <v>0</v>
      </c>
      <c r="W889" s="22">
        <f t="shared" si="54"/>
        <v>0</v>
      </c>
    </row>
    <row r="890" spans="1:23" hidden="1" x14ac:dyDescent="0.25">
      <c r="A890" s="3">
        <v>45970</v>
      </c>
      <c r="B890" s="4" t="s">
        <v>334</v>
      </c>
      <c r="C890" s="4" t="s">
        <v>91</v>
      </c>
      <c r="D890" s="4"/>
      <c r="E890" s="4"/>
      <c r="F890" s="4" t="s">
        <v>626</v>
      </c>
      <c r="G890" s="4" t="s">
        <v>336</v>
      </c>
      <c r="H890" s="4" t="s">
        <v>289</v>
      </c>
      <c r="I890" s="4">
        <v>5.8000000000000003E-2</v>
      </c>
      <c r="J890" s="21">
        <v>760</v>
      </c>
      <c r="K890" s="21">
        <v>0</v>
      </c>
      <c r="L890" s="5">
        <v>0</v>
      </c>
      <c r="M890" s="4">
        <v>5.8000000000000003E-2</v>
      </c>
      <c r="N890" s="4"/>
      <c r="O890" s="5">
        <v>760</v>
      </c>
      <c r="P890" s="5"/>
      <c r="Q890" s="21">
        <v>44.080000000000005</v>
      </c>
      <c r="R890" s="21">
        <v>0</v>
      </c>
      <c r="S890" s="5">
        <f t="shared" si="55"/>
        <v>124891.56776015203</v>
      </c>
      <c r="T890" cm="1">
        <f t="array" ref="T890">IF(OR(B890="MAL ALIMI", B890="ÜRETİM GİRİŞ"), MIN(I890, MAX(0, I890 + SUM(SUMIFS($I$1:I889, $C$1:C889, C890, $B$1:B889, {"MAL ALIMI","ÜRETİM GİRİŞ"})) - VLOOKUP(C890, 'STOK RAPORU'!$C$2:$I$1000, 4, 0))), 0)</f>
        <v>0</v>
      </c>
      <c r="U890" s="22">
        <f t="shared" si="52"/>
        <v>0</v>
      </c>
      <c r="V890">
        <f t="shared" si="53"/>
        <v>0</v>
      </c>
      <c r="W890" s="22">
        <f t="shared" si="54"/>
        <v>0</v>
      </c>
    </row>
    <row r="891" spans="1:23" hidden="1" x14ac:dyDescent="0.25">
      <c r="A891" s="3">
        <v>45970</v>
      </c>
      <c r="B891" s="4" t="s">
        <v>334</v>
      </c>
      <c r="C891" s="4" t="s">
        <v>200</v>
      </c>
      <c r="D891" s="4"/>
      <c r="E891" s="4"/>
      <c r="F891" s="4" t="s">
        <v>626</v>
      </c>
      <c r="G891" s="4" t="s">
        <v>336</v>
      </c>
      <c r="H891" s="4" t="s">
        <v>289</v>
      </c>
      <c r="I891" s="4">
        <v>0.25</v>
      </c>
      <c r="J891" s="21">
        <v>380</v>
      </c>
      <c r="K891" s="21">
        <v>0</v>
      </c>
      <c r="L891" s="5">
        <v>0</v>
      </c>
      <c r="M891" s="4">
        <v>1</v>
      </c>
      <c r="N891" s="4"/>
      <c r="O891" s="5">
        <v>95</v>
      </c>
      <c r="P891" s="5"/>
      <c r="Q891" s="21">
        <v>95</v>
      </c>
      <c r="R891" s="21">
        <v>0</v>
      </c>
      <c r="S891" s="5">
        <f t="shared" si="55"/>
        <v>124986.56776015203</v>
      </c>
      <c r="T891" cm="1">
        <f t="array" ref="T891">IF(OR(B891="MAL ALIMI", B891="ÜRETİM GİRİŞ"), MIN(I891, MAX(0, I891 + SUM(SUMIFS($I$1:I890, $C$1:C890, C891, $B$1:B890, {"MAL ALIMI","ÜRETİM GİRİŞ"})) - VLOOKUP(C891, 'STOK RAPORU'!$C$2:$I$1000, 4, 0))), 0)</f>
        <v>0</v>
      </c>
      <c r="U891" s="22">
        <f t="shared" si="52"/>
        <v>0</v>
      </c>
      <c r="V891">
        <f t="shared" si="53"/>
        <v>0</v>
      </c>
      <c r="W891" s="22">
        <f t="shared" si="54"/>
        <v>0</v>
      </c>
    </row>
    <row r="892" spans="1:23" hidden="1" x14ac:dyDescent="0.25">
      <c r="A892" s="3">
        <v>45970</v>
      </c>
      <c r="B892" s="4" t="s">
        <v>334</v>
      </c>
      <c r="C892" s="4" t="s">
        <v>461</v>
      </c>
      <c r="D892" s="4"/>
      <c r="E892" s="4"/>
      <c r="F892" s="4" t="s">
        <v>626</v>
      </c>
      <c r="G892" s="4" t="s">
        <v>336</v>
      </c>
      <c r="H892" s="4" t="s">
        <v>289</v>
      </c>
      <c r="I892" s="4">
        <v>1</v>
      </c>
      <c r="J892" s="21">
        <v>100</v>
      </c>
      <c r="K892" s="21">
        <v>0</v>
      </c>
      <c r="L892" s="5">
        <v>0</v>
      </c>
      <c r="M892" s="4">
        <v>1</v>
      </c>
      <c r="N892" s="4"/>
      <c r="O892" s="5">
        <v>100</v>
      </c>
      <c r="P892" s="5"/>
      <c r="Q892" s="21">
        <v>100</v>
      </c>
      <c r="R892" s="21">
        <v>0</v>
      </c>
      <c r="S892" s="5">
        <f t="shared" si="55"/>
        <v>125086.56776015203</v>
      </c>
      <c r="T892" cm="1">
        <f t="array" ref="T892">IF(OR(B892="MAL ALIMI", B892="ÜRETİM GİRİŞ"), MIN(I892, MAX(0, I892 + SUM(SUMIFS($I$1:I891, $C$1:C891, C892, $B$1:B891, {"MAL ALIMI","ÜRETİM GİRİŞ"})) - VLOOKUP(C892, 'STOK RAPORU'!$C$2:$I$1000, 4, 0))), 0)</f>
        <v>0</v>
      </c>
      <c r="U892" s="22">
        <f t="shared" si="52"/>
        <v>0</v>
      </c>
      <c r="V892">
        <f t="shared" si="53"/>
        <v>0</v>
      </c>
      <c r="W892" s="22">
        <f t="shared" si="54"/>
        <v>0</v>
      </c>
    </row>
    <row r="893" spans="1:23" hidden="1" x14ac:dyDescent="0.25">
      <c r="A893" s="3">
        <v>45970</v>
      </c>
      <c r="B893" s="4" t="s">
        <v>334</v>
      </c>
      <c r="C893" s="4" t="s">
        <v>598</v>
      </c>
      <c r="D893" s="4"/>
      <c r="E893" s="4"/>
      <c r="F893" s="4" t="s">
        <v>626</v>
      </c>
      <c r="G893" s="4" t="s">
        <v>336</v>
      </c>
      <c r="H893" s="4" t="s">
        <v>289</v>
      </c>
      <c r="I893" s="4">
        <v>0.46600000000000003</v>
      </c>
      <c r="J893" s="21">
        <v>290</v>
      </c>
      <c r="K893" s="21">
        <v>0</v>
      </c>
      <c r="L893" s="5">
        <v>0</v>
      </c>
      <c r="M893" s="4">
        <v>0.46600000000000003</v>
      </c>
      <c r="N893" s="4"/>
      <c r="O893" s="5">
        <v>290</v>
      </c>
      <c r="P893" s="5"/>
      <c r="Q893" s="21">
        <v>135.14000000000001</v>
      </c>
      <c r="R893" s="21">
        <v>0</v>
      </c>
      <c r="S893" s="5">
        <f t="shared" si="55"/>
        <v>125221.70776015203</v>
      </c>
      <c r="T893" cm="1">
        <f t="array" ref="T893">IF(OR(B893="MAL ALIMI", B893="ÜRETİM GİRİŞ"), MIN(I893, MAX(0, I893 + SUM(SUMIFS($I$1:I892, $C$1:C892, C893, $B$1:B892, {"MAL ALIMI","ÜRETİM GİRİŞ"})) - VLOOKUP(C893, 'STOK RAPORU'!$C$2:$I$1000, 4, 0))), 0)</f>
        <v>0</v>
      </c>
      <c r="U893" s="22">
        <f t="shared" si="52"/>
        <v>0</v>
      </c>
      <c r="V893">
        <f t="shared" si="53"/>
        <v>0</v>
      </c>
      <c r="W893" s="22">
        <f t="shared" si="54"/>
        <v>0</v>
      </c>
    </row>
    <row r="894" spans="1:23" hidden="1" x14ac:dyDescent="0.25">
      <c r="A894" s="3">
        <v>45970</v>
      </c>
      <c r="B894" s="4" t="s">
        <v>334</v>
      </c>
      <c r="C894" s="4" t="s">
        <v>620</v>
      </c>
      <c r="D894" s="4"/>
      <c r="E894" s="4"/>
      <c r="F894" s="4" t="s">
        <v>626</v>
      </c>
      <c r="G894" s="4" t="s">
        <v>336</v>
      </c>
      <c r="H894" s="4" t="s">
        <v>289</v>
      </c>
      <c r="I894" s="4">
        <v>0.34200000000000003</v>
      </c>
      <c r="J894" s="21">
        <v>195</v>
      </c>
      <c r="K894" s="21">
        <v>0</v>
      </c>
      <c r="L894" s="5">
        <v>0</v>
      </c>
      <c r="M894" s="4">
        <v>0.34200000000000003</v>
      </c>
      <c r="N894" s="4"/>
      <c r="O894" s="5">
        <v>195</v>
      </c>
      <c r="P894" s="5"/>
      <c r="Q894" s="21">
        <v>66.690000000000012</v>
      </c>
      <c r="R894" s="21">
        <v>0</v>
      </c>
      <c r="S894" s="5">
        <f t="shared" si="55"/>
        <v>125288.39776015203</v>
      </c>
      <c r="T894" cm="1">
        <f t="array" ref="T894">IF(OR(B894="MAL ALIMI", B894="ÜRETİM GİRİŞ"), MIN(I894, MAX(0, I894 + SUM(SUMIFS($I$1:I893, $C$1:C893, C894, $B$1:B893, {"MAL ALIMI","ÜRETİM GİRİŞ"})) - VLOOKUP(C894, 'STOK RAPORU'!$C$2:$I$1000, 4, 0))), 0)</f>
        <v>0</v>
      </c>
      <c r="U894" s="22">
        <f t="shared" si="52"/>
        <v>0</v>
      </c>
      <c r="V894">
        <f t="shared" si="53"/>
        <v>0</v>
      </c>
      <c r="W894" s="22">
        <f t="shared" si="54"/>
        <v>0</v>
      </c>
    </row>
    <row r="895" spans="1:23" hidden="1" x14ac:dyDescent="0.25">
      <c r="A895" s="3">
        <v>45970</v>
      </c>
      <c r="B895" s="4" t="s">
        <v>334</v>
      </c>
      <c r="C895" s="4" t="s">
        <v>156</v>
      </c>
      <c r="D895" s="4"/>
      <c r="E895" s="4"/>
      <c r="F895" s="4" t="s">
        <v>626</v>
      </c>
      <c r="G895" s="4" t="s">
        <v>336</v>
      </c>
      <c r="H895" s="4" t="s">
        <v>289</v>
      </c>
      <c r="I895" s="4">
        <v>0.872</v>
      </c>
      <c r="J895" s="21">
        <v>180</v>
      </c>
      <c r="K895" s="21">
        <v>0</v>
      </c>
      <c r="L895" s="5">
        <v>0</v>
      </c>
      <c r="M895" s="4">
        <v>0.872</v>
      </c>
      <c r="N895" s="4"/>
      <c r="O895" s="5">
        <v>180</v>
      </c>
      <c r="P895" s="5"/>
      <c r="Q895" s="21">
        <v>156.96</v>
      </c>
      <c r="R895" s="21">
        <v>0</v>
      </c>
      <c r="S895" s="5">
        <f t="shared" si="55"/>
        <v>125445.35776015204</v>
      </c>
      <c r="T895" cm="1">
        <f t="array" ref="T895">IF(OR(B895="MAL ALIMI", B895="ÜRETİM GİRİŞ"), MIN(I895, MAX(0, I895 + SUM(SUMIFS($I$1:I894, $C$1:C894, C895, $B$1:B894, {"MAL ALIMI","ÜRETİM GİRİŞ"})) - VLOOKUP(C895, 'STOK RAPORU'!$C$2:$I$1000, 4, 0))), 0)</f>
        <v>0</v>
      </c>
      <c r="U895" s="22">
        <f t="shared" si="52"/>
        <v>0</v>
      </c>
      <c r="V895">
        <f t="shared" si="53"/>
        <v>0</v>
      </c>
      <c r="W895" s="22">
        <f t="shared" si="54"/>
        <v>0</v>
      </c>
    </row>
    <row r="896" spans="1:23" hidden="1" x14ac:dyDescent="0.25">
      <c r="A896" s="3">
        <v>45970</v>
      </c>
      <c r="B896" s="4" t="s">
        <v>334</v>
      </c>
      <c r="C896" s="4" t="s">
        <v>463</v>
      </c>
      <c r="D896" s="4"/>
      <c r="E896" s="4"/>
      <c r="F896" s="4" t="s">
        <v>626</v>
      </c>
      <c r="G896" s="4" t="s">
        <v>336</v>
      </c>
      <c r="H896" s="4" t="s">
        <v>289</v>
      </c>
      <c r="I896" s="4">
        <v>0.29799999999999999</v>
      </c>
      <c r="J896" s="21">
        <v>370</v>
      </c>
      <c r="K896" s="21">
        <v>0</v>
      </c>
      <c r="L896" s="5">
        <v>0</v>
      </c>
      <c r="M896" s="4">
        <v>0.29799999999999999</v>
      </c>
      <c r="N896" s="4"/>
      <c r="O896" s="5">
        <v>370</v>
      </c>
      <c r="P896" s="5"/>
      <c r="Q896" s="21">
        <v>110.25999999999999</v>
      </c>
      <c r="R896" s="21">
        <v>0</v>
      </c>
      <c r="S896" s="5">
        <f t="shared" si="55"/>
        <v>125555.61776015203</v>
      </c>
      <c r="T896" cm="1">
        <f t="array" ref="T896">IF(OR(B896="MAL ALIMI", B896="ÜRETİM GİRİŞ"), MIN(I896, MAX(0, I896 + SUM(SUMIFS($I$1:I895, $C$1:C895, C896, $B$1:B895, {"MAL ALIMI","ÜRETİM GİRİŞ"})) - VLOOKUP(C896, 'STOK RAPORU'!$C$2:$I$1000, 4, 0))), 0)</f>
        <v>0</v>
      </c>
      <c r="U896" s="22">
        <f t="shared" si="52"/>
        <v>0</v>
      </c>
      <c r="V896">
        <f t="shared" si="53"/>
        <v>0</v>
      </c>
      <c r="W896" s="22">
        <f t="shared" si="54"/>
        <v>0</v>
      </c>
    </row>
    <row r="897" spans="1:23" hidden="1" x14ac:dyDescent="0.25">
      <c r="A897" s="3">
        <v>45970</v>
      </c>
      <c r="B897" s="4" t="s">
        <v>334</v>
      </c>
      <c r="C897" s="4" t="s">
        <v>130</v>
      </c>
      <c r="D897" s="4"/>
      <c r="E897" s="4"/>
      <c r="F897" s="4" t="s">
        <v>626</v>
      </c>
      <c r="G897" s="4" t="s">
        <v>336</v>
      </c>
      <c r="H897" s="4" t="s">
        <v>289</v>
      </c>
      <c r="I897" s="4">
        <v>0.126</v>
      </c>
      <c r="J897" s="21">
        <v>410</v>
      </c>
      <c r="K897" s="21">
        <v>0</v>
      </c>
      <c r="L897" s="5">
        <v>0</v>
      </c>
      <c r="M897" s="4">
        <v>0.126</v>
      </c>
      <c r="N897" s="4"/>
      <c r="O897" s="5">
        <v>410</v>
      </c>
      <c r="P897" s="5"/>
      <c r="Q897" s="21">
        <v>51.660000000000004</v>
      </c>
      <c r="R897" s="21">
        <v>0</v>
      </c>
      <c r="S897" s="5">
        <f t="shared" si="55"/>
        <v>125607.27776015204</v>
      </c>
      <c r="T897" cm="1">
        <f t="array" ref="T897">IF(OR(B897="MAL ALIMI", B897="ÜRETİM GİRİŞ"), MIN(I897, MAX(0, I897 + SUM(SUMIFS($I$1:I896, $C$1:C896, C897, $B$1:B896, {"MAL ALIMI","ÜRETİM GİRİŞ"})) - VLOOKUP(C897, 'STOK RAPORU'!$C$2:$I$1000, 4, 0))), 0)</f>
        <v>0</v>
      </c>
      <c r="U897" s="22">
        <f t="shared" si="52"/>
        <v>0</v>
      </c>
      <c r="V897">
        <f t="shared" si="53"/>
        <v>0</v>
      </c>
      <c r="W897" s="22">
        <f t="shared" si="54"/>
        <v>0</v>
      </c>
    </row>
    <row r="898" spans="1:23" hidden="1" x14ac:dyDescent="0.25">
      <c r="A898" s="3">
        <v>45970</v>
      </c>
      <c r="B898" s="4" t="s">
        <v>334</v>
      </c>
      <c r="C898" s="4" t="s">
        <v>226</v>
      </c>
      <c r="D898" s="4"/>
      <c r="E898" s="4"/>
      <c r="F898" s="4" t="s">
        <v>626</v>
      </c>
      <c r="G898" s="4" t="s">
        <v>336</v>
      </c>
      <c r="H898" s="4" t="s">
        <v>289</v>
      </c>
      <c r="I898" s="4">
        <v>0.06</v>
      </c>
      <c r="J898" s="21">
        <v>150</v>
      </c>
      <c r="K898" s="21">
        <v>0</v>
      </c>
      <c r="L898" s="5">
        <v>0</v>
      </c>
      <c r="M898" s="4">
        <v>0.06</v>
      </c>
      <c r="N898" s="4"/>
      <c r="O898" s="5">
        <v>150</v>
      </c>
      <c r="P898" s="5"/>
      <c r="Q898" s="21">
        <v>9</v>
      </c>
      <c r="R898" s="21">
        <v>0</v>
      </c>
      <c r="S898" s="5">
        <f t="shared" si="55"/>
        <v>125616.27776015204</v>
      </c>
      <c r="T898" cm="1">
        <f t="array" ref="T898">IF(OR(B898="MAL ALIMI", B898="ÜRETİM GİRİŞ"), MIN(I898, MAX(0, I898 + SUM(SUMIFS($I$1:I897, $C$1:C897, C898, $B$1:B897, {"MAL ALIMI","ÜRETİM GİRİŞ"})) - VLOOKUP(C898, 'STOK RAPORU'!$C$2:$I$1000, 4, 0))), 0)</f>
        <v>0</v>
      </c>
      <c r="U898" s="22">
        <f t="shared" si="52"/>
        <v>0</v>
      </c>
      <c r="V898">
        <f t="shared" si="53"/>
        <v>0</v>
      </c>
      <c r="W898" s="22">
        <f t="shared" si="54"/>
        <v>0</v>
      </c>
    </row>
    <row r="899" spans="1:23" hidden="1" x14ac:dyDescent="0.25">
      <c r="A899" s="3">
        <v>45970</v>
      </c>
      <c r="B899" s="4" t="s">
        <v>334</v>
      </c>
      <c r="C899" s="4" t="s">
        <v>466</v>
      </c>
      <c r="D899" s="4"/>
      <c r="E899" s="4"/>
      <c r="F899" s="4" t="s">
        <v>626</v>
      </c>
      <c r="G899" s="4" t="s">
        <v>336</v>
      </c>
      <c r="H899" s="4" t="s">
        <v>289</v>
      </c>
      <c r="I899" s="4">
        <v>2</v>
      </c>
      <c r="J899" s="21">
        <v>40</v>
      </c>
      <c r="K899" s="21">
        <v>0</v>
      </c>
      <c r="L899" s="5">
        <v>0</v>
      </c>
      <c r="M899" s="4">
        <v>2</v>
      </c>
      <c r="N899" s="4"/>
      <c r="O899" s="5">
        <v>40</v>
      </c>
      <c r="P899" s="5"/>
      <c r="Q899" s="21">
        <v>80</v>
      </c>
      <c r="R899" s="21">
        <v>0</v>
      </c>
      <c r="S899" s="5">
        <f t="shared" si="55"/>
        <v>125696.27776015204</v>
      </c>
      <c r="T899" cm="1">
        <f t="array" ref="T899">IF(OR(B899="MAL ALIMI", B899="ÜRETİM GİRİŞ"), MIN(I899, MAX(0, I899 + SUM(SUMIFS($I$1:I898, $C$1:C898, C899, $B$1:B898, {"MAL ALIMI","ÜRETİM GİRİŞ"})) - VLOOKUP(C899, 'STOK RAPORU'!$C$2:$I$1000, 4, 0))), 0)</f>
        <v>0</v>
      </c>
      <c r="U899" s="22">
        <f t="shared" ref="U899:U962" si="56">T899*J899</f>
        <v>0</v>
      </c>
      <c r="V899">
        <f t="shared" ref="V899:V962" si="57">IF(OR(B899="MAL ALIMI", B899="ÜRETİM GİRİŞ"), I899 * J899, 0)</f>
        <v>0</v>
      </c>
      <c r="W899" s="22">
        <f t="shared" ref="W899:W962" si="58">V899-U899</f>
        <v>0</v>
      </c>
    </row>
    <row r="900" spans="1:23" hidden="1" x14ac:dyDescent="0.25">
      <c r="A900" s="3">
        <v>45970</v>
      </c>
      <c r="B900" s="4" t="s">
        <v>334</v>
      </c>
      <c r="C900" s="4" t="s">
        <v>750</v>
      </c>
      <c r="D900" s="4"/>
      <c r="E900" s="4"/>
      <c r="F900" s="4" t="s">
        <v>626</v>
      </c>
      <c r="G900" s="4" t="s">
        <v>336</v>
      </c>
      <c r="H900" s="4" t="s">
        <v>289</v>
      </c>
      <c r="I900" s="4">
        <v>1</v>
      </c>
      <c r="J900" s="21">
        <v>220</v>
      </c>
      <c r="K900" s="21">
        <v>0</v>
      </c>
      <c r="L900" s="5">
        <v>0</v>
      </c>
      <c r="M900" s="4">
        <v>1</v>
      </c>
      <c r="N900" s="4"/>
      <c r="O900" s="5">
        <v>220</v>
      </c>
      <c r="P900" s="5"/>
      <c r="Q900" s="21">
        <v>220</v>
      </c>
      <c r="R900" s="21">
        <v>0</v>
      </c>
      <c r="S900" s="5">
        <f t="shared" ref="S900:S963" si="59">S899+Q900-R900</f>
        <v>125916.27776015204</v>
      </c>
      <c r="T900" cm="1">
        <f t="array" ref="T900">IF(OR(B900="MAL ALIMI", B900="ÜRETİM GİRİŞ"), MIN(I900, MAX(0, I900 + SUM(SUMIFS($I$1:I899, $C$1:C899, C900, $B$1:B899, {"MAL ALIMI","ÜRETİM GİRİŞ"})) - VLOOKUP(C900, 'STOK RAPORU'!$C$2:$I$1000, 4, 0))), 0)</f>
        <v>0</v>
      </c>
      <c r="U900" s="22">
        <f t="shared" si="56"/>
        <v>0</v>
      </c>
      <c r="V900">
        <f t="shared" si="57"/>
        <v>0</v>
      </c>
      <c r="W900" s="22">
        <f t="shared" si="58"/>
        <v>0</v>
      </c>
    </row>
    <row r="901" spans="1:23" hidden="1" x14ac:dyDescent="0.25">
      <c r="A901" s="3">
        <v>45970</v>
      </c>
      <c r="B901" s="4" t="s">
        <v>334</v>
      </c>
      <c r="C901" s="4" t="s">
        <v>218</v>
      </c>
      <c r="D901" s="4"/>
      <c r="E901" s="4"/>
      <c r="F901" s="4" t="s">
        <v>626</v>
      </c>
      <c r="G901" s="4" t="s">
        <v>336</v>
      </c>
      <c r="H901" s="4" t="s">
        <v>289</v>
      </c>
      <c r="I901" s="4">
        <v>1</v>
      </c>
      <c r="J901" s="21">
        <v>295</v>
      </c>
      <c r="K901" s="21">
        <v>0</v>
      </c>
      <c r="L901" s="5">
        <v>0</v>
      </c>
      <c r="M901" s="4">
        <v>1</v>
      </c>
      <c r="N901" s="4"/>
      <c r="O901" s="5">
        <v>295</v>
      </c>
      <c r="P901" s="5"/>
      <c r="Q901" s="21">
        <v>295</v>
      </c>
      <c r="R901" s="21">
        <v>0</v>
      </c>
      <c r="S901" s="5">
        <f t="shared" si="59"/>
        <v>126211.27776015204</v>
      </c>
      <c r="T901" cm="1">
        <f t="array" ref="T901">IF(OR(B901="MAL ALIMI", B901="ÜRETİM GİRİŞ"), MIN(I901, MAX(0, I901 + SUM(SUMIFS($I$1:I900, $C$1:C900, C901, $B$1:B900, {"MAL ALIMI","ÜRETİM GİRİŞ"})) - VLOOKUP(C901, 'STOK RAPORU'!$C$2:$I$1000, 4, 0))), 0)</f>
        <v>0</v>
      </c>
      <c r="U901" s="22">
        <f t="shared" si="56"/>
        <v>0</v>
      </c>
      <c r="V901">
        <f t="shared" si="57"/>
        <v>0</v>
      </c>
      <c r="W901" s="22">
        <f t="shared" si="58"/>
        <v>0</v>
      </c>
    </row>
    <row r="902" spans="1:23" hidden="1" x14ac:dyDescent="0.25">
      <c r="A902" s="3">
        <v>45970</v>
      </c>
      <c r="B902" s="4" t="s">
        <v>334</v>
      </c>
      <c r="C902" s="4" t="s">
        <v>757</v>
      </c>
      <c r="D902" s="4"/>
      <c r="E902" s="4"/>
      <c r="F902" s="4" t="s">
        <v>626</v>
      </c>
      <c r="G902" s="4" t="s">
        <v>336</v>
      </c>
      <c r="H902" s="4" t="s">
        <v>289</v>
      </c>
      <c r="I902" s="4">
        <v>1</v>
      </c>
      <c r="J902" s="21">
        <v>440</v>
      </c>
      <c r="K902" s="21">
        <v>0</v>
      </c>
      <c r="L902" s="5">
        <v>0</v>
      </c>
      <c r="M902" s="4">
        <v>1</v>
      </c>
      <c r="N902" s="4"/>
      <c r="O902" s="5">
        <v>440</v>
      </c>
      <c r="P902" s="5"/>
      <c r="Q902" s="21">
        <v>440</v>
      </c>
      <c r="R902" s="21">
        <v>0</v>
      </c>
      <c r="S902" s="5">
        <f t="shared" si="59"/>
        <v>126651.27776015204</v>
      </c>
      <c r="T902" cm="1">
        <f t="array" ref="T902">IF(OR(B902="MAL ALIMI", B902="ÜRETİM GİRİŞ"), MIN(I902, MAX(0, I902 + SUM(SUMIFS($I$1:I901, $C$1:C901, C902, $B$1:B901, {"MAL ALIMI","ÜRETİM GİRİŞ"})) - VLOOKUP(C902, 'STOK RAPORU'!$C$2:$I$1000, 4, 0))), 0)</f>
        <v>0</v>
      </c>
      <c r="U902" s="22">
        <f t="shared" si="56"/>
        <v>0</v>
      </c>
      <c r="V902">
        <f t="shared" si="57"/>
        <v>0</v>
      </c>
      <c r="W902" s="22">
        <f t="shared" si="58"/>
        <v>0</v>
      </c>
    </row>
    <row r="903" spans="1:23" hidden="1" x14ac:dyDescent="0.25">
      <c r="A903" s="3">
        <v>45970</v>
      </c>
      <c r="B903" s="4" t="s">
        <v>334</v>
      </c>
      <c r="C903" s="4" t="s">
        <v>243</v>
      </c>
      <c r="D903" s="4"/>
      <c r="E903" s="4"/>
      <c r="F903" s="4" t="s">
        <v>626</v>
      </c>
      <c r="G903" s="4" t="s">
        <v>336</v>
      </c>
      <c r="H903" s="4" t="s">
        <v>289</v>
      </c>
      <c r="I903" s="4">
        <v>1</v>
      </c>
      <c r="J903" s="21">
        <v>180</v>
      </c>
      <c r="K903" s="21">
        <v>0</v>
      </c>
      <c r="L903" s="5">
        <v>0</v>
      </c>
      <c r="M903" s="4">
        <v>1</v>
      </c>
      <c r="N903" s="4"/>
      <c r="O903" s="5">
        <v>180</v>
      </c>
      <c r="P903" s="5"/>
      <c r="Q903" s="21">
        <v>180</v>
      </c>
      <c r="R903" s="21">
        <v>0</v>
      </c>
      <c r="S903" s="5">
        <f t="shared" si="59"/>
        <v>126831.27776015204</v>
      </c>
      <c r="T903" cm="1">
        <f t="array" ref="T903">IF(OR(B903="MAL ALIMI", B903="ÜRETİM GİRİŞ"), MIN(I903, MAX(0, I903 + SUM(SUMIFS($I$1:I902, $C$1:C902, C903, $B$1:B902, {"MAL ALIMI","ÜRETİM GİRİŞ"})) - VLOOKUP(C903, 'STOK RAPORU'!$C$2:$I$1000, 4, 0))), 0)</f>
        <v>0</v>
      </c>
      <c r="U903" s="22">
        <f t="shared" si="56"/>
        <v>0</v>
      </c>
      <c r="V903">
        <f t="shared" si="57"/>
        <v>0</v>
      </c>
      <c r="W903" s="22">
        <f t="shared" si="58"/>
        <v>0</v>
      </c>
    </row>
    <row r="904" spans="1:23" hidden="1" x14ac:dyDescent="0.25">
      <c r="A904" s="3">
        <v>45970</v>
      </c>
      <c r="B904" s="4" t="s">
        <v>334</v>
      </c>
      <c r="C904" s="4" t="s">
        <v>496</v>
      </c>
      <c r="D904" s="4"/>
      <c r="E904" s="4"/>
      <c r="F904" s="4" t="s">
        <v>626</v>
      </c>
      <c r="G904" s="4" t="s">
        <v>336</v>
      </c>
      <c r="H904" s="4" t="s">
        <v>289</v>
      </c>
      <c r="I904" s="4">
        <v>1</v>
      </c>
      <c r="J904" s="21">
        <v>149</v>
      </c>
      <c r="K904" s="21">
        <v>0</v>
      </c>
      <c r="L904" s="5">
        <v>0</v>
      </c>
      <c r="M904" s="4">
        <v>1</v>
      </c>
      <c r="N904" s="4"/>
      <c r="O904" s="5">
        <v>149</v>
      </c>
      <c r="P904" s="5"/>
      <c r="Q904" s="21">
        <v>149</v>
      </c>
      <c r="R904" s="21">
        <v>0</v>
      </c>
      <c r="S904" s="5">
        <f t="shared" si="59"/>
        <v>126980.27776015204</v>
      </c>
      <c r="T904" cm="1">
        <f t="array" ref="T904">IF(OR(B904="MAL ALIMI", B904="ÜRETİM GİRİŞ"), MIN(I904, MAX(0, I904 + SUM(SUMIFS($I$1:I903, $C$1:C903, C904, $B$1:B903, {"MAL ALIMI","ÜRETİM GİRİŞ"})) - VLOOKUP(C904, 'STOK RAPORU'!$C$2:$I$1000, 4, 0))), 0)</f>
        <v>0</v>
      </c>
      <c r="U904" s="22">
        <f t="shared" si="56"/>
        <v>0</v>
      </c>
      <c r="V904">
        <f t="shared" si="57"/>
        <v>0</v>
      </c>
      <c r="W904" s="22">
        <f t="shared" si="58"/>
        <v>0</v>
      </c>
    </row>
    <row r="905" spans="1:23" hidden="1" x14ac:dyDescent="0.25">
      <c r="A905" s="3">
        <v>45970</v>
      </c>
      <c r="B905" s="4" t="s">
        <v>334</v>
      </c>
      <c r="C905" s="4" t="s">
        <v>178</v>
      </c>
      <c r="D905" s="4"/>
      <c r="E905" s="4"/>
      <c r="F905" s="4" t="s">
        <v>626</v>
      </c>
      <c r="G905" s="4" t="s">
        <v>336</v>
      </c>
      <c r="H905" s="4" t="s">
        <v>289</v>
      </c>
      <c r="I905" s="4">
        <v>1</v>
      </c>
      <c r="J905" s="21">
        <v>95</v>
      </c>
      <c r="K905" s="21">
        <v>0</v>
      </c>
      <c r="L905" s="5">
        <v>0</v>
      </c>
      <c r="M905" s="4">
        <v>1</v>
      </c>
      <c r="N905" s="4"/>
      <c r="O905" s="5">
        <v>95</v>
      </c>
      <c r="P905" s="5"/>
      <c r="Q905" s="21">
        <v>95</v>
      </c>
      <c r="R905" s="21">
        <v>0</v>
      </c>
      <c r="S905" s="5">
        <f t="shared" si="59"/>
        <v>127075.27776015204</v>
      </c>
      <c r="T905" cm="1">
        <f t="array" ref="T905">IF(OR(B905="MAL ALIMI", B905="ÜRETİM GİRİŞ"), MIN(I905, MAX(0, I905 + SUM(SUMIFS($I$1:I904, $C$1:C904, C905, $B$1:B904, {"MAL ALIMI","ÜRETİM GİRİŞ"})) - VLOOKUP(C905, 'STOK RAPORU'!$C$2:$I$1000, 4, 0))), 0)</f>
        <v>0</v>
      </c>
      <c r="U905" s="22">
        <f t="shared" si="56"/>
        <v>0</v>
      </c>
      <c r="V905">
        <f t="shared" si="57"/>
        <v>0</v>
      </c>
      <c r="W905" s="22">
        <f t="shared" si="58"/>
        <v>0</v>
      </c>
    </row>
    <row r="906" spans="1:23" hidden="1" x14ac:dyDescent="0.25">
      <c r="A906" s="3">
        <v>45970</v>
      </c>
      <c r="B906" s="4" t="s">
        <v>334</v>
      </c>
      <c r="C906" s="4" t="s">
        <v>270</v>
      </c>
      <c r="D906" s="4"/>
      <c r="E906" s="4"/>
      <c r="F906" s="4" t="s">
        <v>626</v>
      </c>
      <c r="G906" s="4" t="s">
        <v>336</v>
      </c>
      <c r="H906" s="4" t="s">
        <v>289</v>
      </c>
      <c r="I906" s="4">
        <v>1</v>
      </c>
      <c r="J906" s="21">
        <v>140</v>
      </c>
      <c r="K906" s="21">
        <v>0</v>
      </c>
      <c r="L906" s="5">
        <v>0</v>
      </c>
      <c r="M906" s="4">
        <v>1</v>
      </c>
      <c r="N906" s="4"/>
      <c r="O906" s="5">
        <v>140</v>
      </c>
      <c r="P906" s="5"/>
      <c r="Q906" s="21">
        <v>140</v>
      </c>
      <c r="R906" s="21">
        <v>0</v>
      </c>
      <c r="S906" s="5">
        <f t="shared" si="59"/>
        <v>127215.27776015204</v>
      </c>
      <c r="T906" cm="1">
        <f t="array" ref="T906">IF(OR(B906="MAL ALIMI", B906="ÜRETİM GİRİŞ"), MIN(I906, MAX(0, I906 + SUM(SUMIFS($I$1:I905, $C$1:C905, C906, $B$1:B905, {"MAL ALIMI","ÜRETİM GİRİŞ"})) - VLOOKUP(C906, 'STOK RAPORU'!$C$2:$I$1000, 4, 0))), 0)</f>
        <v>0</v>
      </c>
      <c r="U906" s="22">
        <f t="shared" si="56"/>
        <v>0</v>
      </c>
      <c r="V906">
        <f t="shared" si="57"/>
        <v>0</v>
      </c>
      <c r="W906" s="22">
        <f t="shared" si="58"/>
        <v>0</v>
      </c>
    </row>
    <row r="907" spans="1:23" hidden="1" x14ac:dyDescent="0.25">
      <c r="A907" s="3">
        <v>45970</v>
      </c>
      <c r="B907" s="4" t="s">
        <v>334</v>
      </c>
      <c r="C907" s="4" t="s">
        <v>723</v>
      </c>
      <c r="D907" s="4"/>
      <c r="E907" s="4"/>
      <c r="F907" s="4" t="s">
        <v>626</v>
      </c>
      <c r="G907" s="4" t="s">
        <v>336</v>
      </c>
      <c r="H907" s="4" t="s">
        <v>289</v>
      </c>
      <c r="I907" s="4">
        <v>1</v>
      </c>
      <c r="J907" s="21">
        <v>190</v>
      </c>
      <c r="K907" s="21">
        <v>0</v>
      </c>
      <c r="L907" s="5">
        <v>0</v>
      </c>
      <c r="M907" s="4">
        <v>1</v>
      </c>
      <c r="N907" s="4"/>
      <c r="O907" s="5">
        <v>190</v>
      </c>
      <c r="P907" s="5"/>
      <c r="Q907" s="21">
        <v>190</v>
      </c>
      <c r="R907" s="21">
        <v>0</v>
      </c>
      <c r="S907" s="5">
        <f t="shared" si="59"/>
        <v>127405.27776015204</v>
      </c>
      <c r="T907" cm="1">
        <f t="array" ref="T907">IF(OR(B907="MAL ALIMI", B907="ÜRETİM GİRİŞ"), MIN(I907, MAX(0, I907 + SUM(SUMIFS($I$1:I906, $C$1:C906, C907, $B$1:B906, {"MAL ALIMI","ÜRETİM GİRİŞ"})) - VLOOKUP(C907, 'STOK RAPORU'!$C$2:$I$1000, 4, 0))), 0)</f>
        <v>0</v>
      </c>
      <c r="U907" s="22">
        <f t="shared" si="56"/>
        <v>0</v>
      </c>
      <c r="V907">
        <f t="shared" si="57"/>
        <v>0</v>
      </c>
      <c r="W907" s="22">
        <f t="shared" si="58"/>
        <v>0</v>
      </c>
    </row>
    <row r="908" spans="1:23" hidden="1" x14ac:dyDescent="0.25">
      <c r="A908" s="3">
        <v>45970</v>
      </c>
      <c r="B908" s="4" t="s">
        <v>334</v>
      </c>
      <c r="C908" s="4" t="s">
        <v>588</v>
      </c>
      <c r="D908" s="4"/>
      <c r="E908" s="4"/>
      <c r="F908" s="4" t="s">
        <v>626</v>
      </c>
      <c r="G908" s="4" t="s">
        <v>336</v>
      </c>
      <c r="H908" s="4" t="s">
        <v>289</v>
      </c>
      <c r="I908" s="4">
        <v>1</v>
      </c>
      <c r="J908" s="21">
        <v>350</v>
      </c>
      <c r="K908" s="21">
        <v>0</v>
      </c>
      <c r="L908" s="5">
        <v>0</v>
      </c>
      <c r="M908" s="4">
        <v>1</v>
      </c>
      <c r="N908" s="4"/>
      <c r="O908" s="5">
        <v>350</v>
      </c>
      <c r="P908" s="5"/>
      <c r="Q908" s="21">
        <v>350</v>
      </c>
      <c r="R908" s="21">
        <v>0</v>
      </c>
      <c r="S908" s="5">
        <f t="shared" si="59"/>
        <v>127755.27776015204</v>
      </c>
      <c r="T908" cm="1">
        <f t="array" ref="T908">IF(OR(B908="MAL ALIMI", B908="ÜRETİM GİRİŞ"), MIN(I908, MAX(0, I908 + SUM(SUMIFS($I$1:I907, $C$1:C907, C908, $B$1:B907, {"MAL ALIMI","ÜRETİM GİRİŞ"})) - VLOOKUP(C908, 'STOK RAPORU'!$C$2:$I$1000, 4, 0))), 0)</f>
        <v>0</v>
      </c>
      <c r="U908" s="22">
        <f t="shared" si="56"/>
        <v>0</v>
      </c>
      <c r="V908">
        <f t="shared" si="57"/>
        <v>0</v>
      </c>
      <c r="W908" s="22">
        <f t="shared" si="58"/>
        <v>0</v>
      </c>
    </row>
    <row r="909" spans="1:23" hidden="1" x14ac:dyDescent="0.25">
      <c r="A909" s="3">
        <v>45970</v>
      </c>
      <c r="B909" s="4" t="s">
        <v>334</v>
      </c>
      <c r="C909" s="4" t="s">
        <v>126</v>
      </c>
      <c r="D909" s="4"/>
      <c r="E909" s="4"/>
      <c r="F909" s="4" t="s">
        <v>627</v>
      </c>
      <c r="G909" s="4" t="s">
        <v>336</v>
      </c>
      <c r="H909" s="4" t="s">
        <v>289</v>
      </c>
      <c r="I909" s="4">
        <v>0.26</v>
      </c>
      <c r="J909" s="21">
        <v>640</v>
      </c>
      <c r="K909" s="21">
        <v>0</v>
      </c>
      <c r="L909" s="5">
        <v>0</v>
      </c>
      <c r="M909" s="4">
        <v>0.26</v>
      </c>
      <c r="N909" s="4"/>
      <c r="O909" s="5">
        <v>640</v>
      </c>
      <c r="P909" s="5"/>
      <c r="Q909" s="21">
        <v>166.4</v>
      </c>
      <c r="R909" s="21">
        <v>0</v>
      </c>
      <c r="S909" s="5">
        <f t="shared" si="59"/>
        <v>127921.67776015203</v>
      </c>
      <c r="T909" cm="1">
        <f t="array" ref="T909">IF(OR(B909="MAL ALIMI", B909="ÜRETİM GİRİŞ"), MIN(I909, MAX(0, I909 + SUM(SUMIFS($I$1:I908, $C$1:C908, C909, $B$1:B908, {"MAL ALIMI","ÜRETİM GİRİŞ"})) - VLOOKUP(C909, 'STOK RAPORU'!$C$2:$I$1000, 4, 0))), 0)</f>
        <v>0</v>
      </c>
      <c r="U909" s="22">
        <f t="shared" si="56"/>
        <v>0</v>
      </c>
      <c r="V909">
        <f t="shared" si="57"/>
        <v>0</v>
      </c>
      <c r="W909" s="22">
        <f t="shared" si="58"/>
        <v>0</v>
      </c>
    </row>
    <row r="910" spans="1:23" hidden="1" x14ac:dyDescent="0.25">
      <c r="A910" s="3">
        <v>45970</v>
      </c>
      <c r="B910" s="4" t="s">
        <v>334</v>
      </c>
      <c r="C910" s="4" t="s">
        <v>134</v>
      </c>
      <c r="D910" s="4"/>
      <c r="E910" s="4"/>
      <c r="F910" s="4" t="s">
        <v>627</v>
      </c>
      <c r="G910" s="4" t="s">
        <v>336</v>
      </c>
      <c r="H910" s="4" t="s">
        <v>289</v>
      </c>
      <c r="I910" s="4">
        <v>0.1</v>
      </c>
      <c r="J910" s="21">
        <v>600</v>
      </c>
      <c r="K910" s="21">
        <v>0</v>
      </c>
      <c r="L910" s="5">
        <v>0</v>
      </c>
      <c r="M910" s="4">
        <v>1</v>
      </c>
      <c r="N910" s="4"/>
      <c r="O910" s="5">
        <v>60</v>
      </c>
      <c r="P910" s="5"/>
      <c r="Q910" s="21">
        <v>60</v>
      </c>
      <c r="R910" s="21">
        <v>0</v>
      </c>
      <c r="S910" s="5">
        <f t="shared" si="59"/>
        <v>127981.67776015203</v>
      </c>
      <c r="T910" cm="1">
        <f t="array" ref="T910">IF(OR(B910="MAL ALIMI", B910="ÜRETİM GİRİŞ"), MIN(I910, MAX(0, I910 + SUM(SUMIFS($I$1:I909, $C$1:C909, C910, $B$1:B909, {"MAL ALIMI","ÜRETİM GİRİŞ"})) - VLOOKUP(C910, 'STOK RAPORU'!$C$2:$I$1000, 4, 0))), 0)</f>
        <v>0</v>
      </c>
      <c r="U910" s="22">
        <f t="shared" si="56"/>
        <v>0</v>
      </c>
      <c r="V910">
        <f t="shared" si="57"/>
        <v>0</v>
      </c>
      <c r="W910" s="22">
        <f t="shared" si="58"/>
        <v>0</v>
      </c>
    </row>
    <row r="911" spans="1:23" hidden="1" x14ac:dyDescent="0.25">
      <c r="A911" s="3">
        <v>45970</v>
      </c>
      <c r="B911" s="4" t="s">
        <v>334</v>
      </c>
      <c r="C911" s="4" t="s">
        <v>92</v>
      </c>
      <c r="D911" s="4"/>
      <c r="E911" s="4"/>
      <c r="F911" s="4" t="s">
        <v>627</v>
      </c>
      <c r="G911" s="4" t="s">
        <v>336</v>
      </c>
      <c r="H911" s="4" t="s">
        <v>289</v>
      </c>
      <c r="I911" s="4">
        <v>0.27</v>
      </c>
      <c r="J911" s="21">
        <v>500</v>
      </c>
      <c r="K911" s="21">
        <v>0</v>
      </c>
      <c r="L911" s="5">
        <v>0</v>
      </c>
      <c r="M911" s="4">
        <v>0.27</v>
      </c>
      <c r="N911" s="4"/>
      <c r="O911" s="5">
        <v>500</v>
      </c>
      <c r="P911" s="5"/>
      <c r="Q911" s="21">
        <v>135</v>
      </c>
      <c r="R911" s="21">
        <v>0</v>
      </c>
      <c r="S911" s="5">
        <f t="shared" si="59"/>
        <v>128116.67776015203</v>
      </c>
      <c r="T911" cm="1">
        <f t="array" ref="T911">IF(OR(B911="MAL ALIMI", B911="ÜRETİM GİRİŞ"), MIN(I911, MAX(0, I911 + SUM(SUMIFS($I$1:I910, $C$1:C910, C911, $B$1:B910, {"MAL ALIMI","ÜRETİM GİRİŞ"})) - VLOOKUP(C911, 'STOK RAPORU'!$C$2:$I$1000, 4, 0))), 0)</f>
        <v>0</v>
      </c>
      <c r="U911" s="22">
        <f t="shared" si="56"/>
        <v>0</v>
      </c>
      <c r="V911">
        <f t="shared" si="57"/>
        <v>0</v>
      </c>
      <c r="W911" s="22">
        <f t="shared" si="58"/>
        <v>0</v>
      </c>
    </row>
    <row r="912" spans="1:23" hidden="1" x14ac:dyDescent="0.25">
      <c r="A912" s="3">
        <v>45970</v>
      </c>
      <c r="B912" s="4" t="s">
        <v>334</v>
      </c>
      <c r="C912" s="4" t="s">
        <v>96</v>
      </c>
      <c r="D912" s="4"/>
      <c r="E912" s="4"/>
      <c r="F912" s="4" t="s">
        <v>627</v>
      </c>
      <c r="G912" s="4" t="s">
        <v>336</v>
      </c>
      <c r="H912" s="4" t="s">
        <v>289</v>
      </c>
      <c r="I912" s="4">
        <v>0.248</v>
      </c>
      <c r="J912" s="21">
        <v>380</v>
      </c>
      <c r="K912" s="21">
        <v>0</v>
      </c>
      <c r="L912" s="5">
        <v>0</v>
      </c>
      <c r="M912" s="4">
        <v>0.248</v>
      </c>
      <c r="N912" s="4"/>
      <c r="O912" s="5">
        <v>380</v>
      </c>
      <c r="P912" s="5"/>
      <c r="Q912" s="21">
        <v>94.24</v>
      </c>
      <c r="R912" s="21">
        <v>0</v>
      </c>
      <c r="S912" s="5">
        <f t="shared" si="59"/>
        <v>128210.91776015204</v>
      </c>
      <c r="T912" cm="1">
        <f t="array" ref="T912">IF(OR(B912="MAL ALIMI", B912="ÜRETİM GİRİŞ"), MIN(I912, MAX(0, I912 + SUM(SUMIFS($I$1:I911, $C$1:C911, C912, $B$1:B911, {"MAL ALIMI","ÜRETİM GİRİŞ"})) - VLOOKUP(C912, 'STOK RAPORU'!$C$2:$I$1000, 4, 0))), 0)</f>
        <v>0</v>
      </c>
      <c r="U912" s="22">
        <f t="shared" si="56"/>
        <v>0</v>
      </c>
      <c r="V912">
        <f t="shared" si="57"/>
        <v>0</v>
      </c>
      <c r="W912" s="22">
        <f t="shared" si="58"/>
        <v>0</v>
      </c>
    </row>
    <row r="913" spans="1:23" hidden="1" x14ac:dyDescent="0.25">
      <c r="A913" s="3">
        <v>45970</v>
      </c>
      <c r="B913" s="4" t="s">
        <v>334</v>
      </c>
      <c r="C913" s="4" t="s">
        <v>152</v>
      </c>
      <c r="D913" s="4"/>
      <c r="E913" s="4"/>
      <c r="F913" s="4" t="s">
        <v>627</v>
      </c>
      <c r="G913" s="4" t="s">
        <v>336</v>
      </c>
      <c r="H913" s="4" t="s">
        <v>289</v>
      </c>
      <c r="I913" s="4">
        <v>0.1</v>
      </c>
      <c r="J913" s="21">
        <v>400</v>
      </c>
      <c r="K913" s="21">
        <v>0</v>
      </c>
      <c r="L913" s="5">
        <v>0</v>
      </c>
      <c r="M913" s="4">
        <v>1</v>
      </c>
      <c r="N913" s="4"/>
      <c r="O913" s="5">
        <v>40</v>
      </c>
      <c r="P913" s="5"/>
      <c r="Q913" s="21">
        <v>40</v>
      </c>
      <c r="R913" s="21">
        <v>0</v>
      </c>
      <c r="S913" s="5">
        <f t="shared" si="59"/>
        <v>128250.91776015204</v>
      </c>
      <c r="T913" cm="1">
        <f t="array" ref="T913">IF(OR(B913="MAL ALIMI", B913="ÜRETİM GİRİŞ"), MIN(I913, MAX(0, I913 + SUM(SUMIFS($I$1:I912, $C$1:C912, C913, $B$1:B912, {"MAL ALIMI","ÜRETİM GİRİŞ"})) - VLOOKUP(C913, 'STOK RAPORU'!$C$2:$I$1000, 4, 0))), 0)</f>
        <v>0</v>
      </c>
      <c r="U913" s="22">
        <f t="shared" si="56"/>
        <v>0</v>
      </c>
      <c r="V913">
        <f t="shared" si="57"/>
        <v>0</v>
      </c>
      <c r="W913" s="22">
        <f t="shared" si="58"/>
        <v>0</v>
      </c>
    </row>
    <row r="914" spans="1:23" hidden="1" x14ac:dyDescent="0.25">
      <c r="A914" s="3">
        <v>45970</v>
      </c>
      <c r="B914" s="4" t="s">
        <v>334</v>
      </c>
      <c r="C914" s="4" t="s">
        <v>634</v>
      </c>
      <c r="D914" s="4"/>
      <c r="E914" s="4"/>
      <c r="F914" s="4" t="s">
        <v>627</v>
      </c>
      <c r="G914" s="4" t="s">
        <v>336</v>
      </c>
      <c r="H914" s="4" t="s">
        <v>289</v>
      </c>
      <c r="I914" s="4">
        <v>0.23599999999999999</v>
      </c>
      <c r="J914" s="21">
        <v>850</v>
      </c>
      <c r="K914" s="21">
        <v>0</v>
      </c>
      <c r="L914" s="5">
        <v>0</v>
      </c>
      <c r="M914" s="4">
        <v>1</v>
      </c>
      <c r="N914" s="4"/>
      <c r="O914" s="5">
        <v>200</v>
      </c>
      <c r="P914" s="5"/>
      <c r="Q914" s="21">
        <v>200.6</v>
      </c>
      <c r="R914" s="21">
        <v>0</v>
      </c>
      <c r="S914" s="5">
        <f t="shared" si="59"/>
        <v>128451.51776015204</v>
      </c>
      <c r="T914" cm="1">
        <f t="array" ref="T914">IF(OR(B914="MAL ALIMI", B914="ÜRETİM GİRİŞ"), MIN(I914, MAX(0, I914 + SUM(SUMIFS($I$1:I913, $C$1:C913, C914, $B$1:B913, {"MAL ALIMI","ÜRETİM GİRİŞ"})) - VLOOKUP(C914, 'STOK RAPORU'!$C$2:$I$1000, 4, 0))), 0)</f>
        <v>0</v>
      </c>
      <c r="U914" s="22">
        <f t="shared" si="56"/>
        <v>0</v>
      </c>
      <c r="V914">
        <f t="shared" si="57"/>
        <v>0</v>
      </c>
      <c r="W914" s="22">
        <f t="shared" si="58"/>
        <v>0</v>
      </c>
    </row>
    <row r="915" spans="1:23" hidden="1" x14ac:dyDescent="0.25">
      <c r="A915" s="3">
        <v>45970</v>
      </c>
      <c r="B915" s="4" t="s">
        <v>334</v>
      </c>
      <c r="C915" s="4" t="s">
        <v>260</v>
      </c>
      <c r="D915" s="4"/>
      <c r="E915" s="4"/>
      <c r="F915" s="4" t="s">
        <v>627</v>
      </c>
      <c r="G915" s="4" t="s">
        <v>336</v>
      </c>
      <c r="H915" s="4" t="s">
        <v>289</v>
      </c>
      <c r="I915" s="4">
        <v>1</v>
      </c>
      <c r="J915" s="21">
        <v>140</v>
      </c>
      <c r="K915" s="21">
        <v>0</v>
      </c>
      <c r="L915" s="5">
        <v>0</v>
      </c>
      <c r="M915" s="4">
        <v>1</v>
      </c>
      <c r="N915" s="4"/>
      <c r="O915" s="5">
        <v>140</v>
      </c>
      <c r="P915" s="5"/>
      <c r="Q915" s="21">
        <v>140</v>
      </c>
      <c r="R915" s="21">
        <v>0</v>
      </c>
      <c r="S915" s="5">
        <f t="shared" si="59"/>
        <v>128591.51776015204</v>
      </c>
      <c r="T915" cm="1">
        <f t="array" ref="T915">IF(OR(B915="MAL ALIMI", B915="ÜRETİM GİRİŞ"), MIN(I915, MAX(0, I915 + SUM(SUMIFS($I$1:I914, $C$1:C914, C915, $B$1:B914, {"MAL ALIMI","ÜRETİM GİRİŞ"})) - VLOOKUP(C915, 'STOK RAPORU'!$C$2:$I$1000, 4, 0))), 0)</f>
        <v>0</v>
      </c>
      <c r="U915" s="22">
        <f t="shared" si="56"/>
        <v>0</v>
      </c>
      <c r="V915">
        <f t="shared" si="57"/>
        <v>0</v>
      </c>
      <c r="W915" s="22">
        <f t="shared" si="58"/>
        <v>0</v>
      </c>
    </row>
    <row r="916" spans="1:23" hidden="1" x14ac:dyDescent="0.25">
      <c r="A916" s="3">
        <v>45970</v>
      </c>
      <c r="B916" s="4" t="s">
        <v>334</v>
      </c>
      <c r="C916" s="4" t="s">
        <v>697</v>
      </c>
      <c r="D916" s="4"/>
      <c r="E916" s="4"/>
      <c r="F916" s="4" t="s">
        <v>628</v>
      </c>
      <c r="G916" s="4" t="s">
        <v>336</v>
      </c>
      <c r="H916" s="4" t="s">
        <v>289</v>
      </c>
      <c r="I916" s="4">
        <v>0.1</v>
      </c>
      <c r="J916" s="21">
        <v>750</v>
      </c>
      <c r="K916" s="21">
        <v>0</v>
      </c>
      <c r="L916" s="5">
        <v>0</v>
      </c>
      <c r="M916" s="4">
        <v>1</v>
      </c>
      <c r="N916" s="4"/>
      <c r="O916" s="5">
        <v>75</v>
      </c>
      <c r="P916" s="5"/>
      <c r="Q916" s="21">
        <v>75</v>
      </c>
      <c r="R916" s="21">
        <v>0</v>
      </c>
      <c r="S916" s="5">
        <f t="shared" si="59"/>
        <v>128666.51776015204</v>
      </c>
      <c r="T916" cm="1">
        <f t="array" ref="T916">IF(OR(B916="MAL ALIMI", B916="ÜRETİM GİRİŞ"), MIN(I916, MAX(0, I916 + SUM(SUMIFS($I$1:I915, $C$1:C915, C916, $B$1:B915, {"MAL ALIMI","ÜRETİM GİRİŞ"})) - VLOOKUP(C916, 'STOK RAPORU'!$C$2:$I$1000, 4, 0))), 0)</f>
        <v>0</v>
      </c>
      <c r="U916" s="22">
        <f t="shared" si="56"/>
        <v>0</v>
      </c>
      <c r="V916">
        <f t="shared" si="57"/>
        <v>0</v>
      </c>
      <c r="W916" s="22">
        <f t="shared" si="58"/>
        <v>0</v>
      </c>
    </row>
    <row r="917" spans="1:23" hidden="1" x14ac:dyDescent="0.25">
      <c r="A917" s="3">
        <v>45970</v>
      </c>
      <c r="B917" s="4" t="s">
        <v>334</v>
      </c>
      <c r="C917" s="4" t="s">
        <v>233</v>
      </c>
      <c r="D917" s="4"/>
      <c r="E917" s="4"/>
      <c r="F917" s="4" t="s">
        <v>628</v>
      </c>
      <c r="G917" s="4" t="s">
        <v>336</v>
      </c>
      <c r="H917" s="4" t="s">
        <v>289</v>
      </c>
      <c r="I917" s="4">
        <v>1</v>
      </c>
      <c r="J917" s="21">
        <v>190</v>
      </c>
      <c r="K917" s="21">
        <v>0</v>
      </c>
      <c r="L917" s="5">
        <v>0</v>
      </c>
      <c r="M917" s="4">
        <v>1</v>
      </c>
      <c r="N917" s="4"/>
      <c r="O917" s="5">
        <v>190</v>
      </c>
      <c r="P917" s="5"/>
      <c r="Q917" s="21">
        <v>190</v>
      </c>
      <c r="R917" s="21">
        <v>0</v>
      </c>
      <c r="S917" s="5">
        <f t="shared" si="59"/>
        <v>128856.51776015204</v>
      </c>
      <c r="T917" cm="1">
        <f t="array" ref="T917">IF(OR(B917="MAL ALIMI", B917="ÜRETİM GİRİŞ"), MIN(I917, MAX(0, I917 + SUM(SUMIFS($I$1:I916, $C$1:C916, C917, $B$1:B916, {"MAL ALIMI","ÜRETİM GİRİŞ"})) - VLOOKUP(C917, 'STOK RAPORU'!$C$2:$I$1000, 4, 0))), 0)</f>
        <v>0</v>
      </c>
      <c r="U917" s="22">
        <f t="shared" si="56"/>
        <v>0</v>
      </c>
      <c r="V917">
        <f t="shared" si="57"/>
        <v>0</v>
      </c>
      <c r="W917" s="22">
        <f t="shared" si="58"/>
        <v>0</v>
      </c>
    </row>
    <row r="918" spans="1:23" hidden="1" x14ac:dyDescent="0.25">
      <c r="A918" s="3">
        <v>45970</v>
      </c>
      <c r="B918" s="4" t="s">
        <v>334</v>
      </c>
      <c r="C918" s="4" t="s">
        <v>523</v>
      </c>
      <c r="D918" s="4"/>
      <c r="E918" s="4"/>
      <c r="F918" s="4" t="s">
        <v>628</v>
      </c>
      <c r="G918" s="4" t="s">
        <v>336</v>
      </c>
      <c r="H918" s="4" t="s">
        <v>289</v>
      </c>
      <c r="I918" s="4">
        <v>0.1</v>
      </c>
      <c r="J918" s="21">
        <v>650</v>
      </c>
      <c r="K918" s="21">
        <v>0</v>
      </c>
      <c r="L918" s="5">
        <v>0</v>
      </c>
      <c r="M918" s="4">
        <v>1</v>
      </c>
      <c r="N918" s="4"/>
      <c r="O918" s="5">
        <v>65</v>
      </c>
      <c r="P918" s="5"/>
      <c r="Q918" s="21">
        <v>65</v>
      </c>
      <c r="R918" s="21">
        <v>0</v>
      </c>
      <c r="S918" s="5">
        <f t="shared" si="59"/>
        <v>128921.51776015204</v>
      </c>
      <c r="T918" cm="1">
        <f t="array" ref="T918">IF(OR(B918="MAL ALIMI", B918="ÜRETİM GİRİŞ"), MIN(I918, MAX(0, I918 + SUM(SUMIFS($I$1:I917, $C$1:C917, C918, $B$1:B917, {"MAL ALIMI","ÜRETİM GİRİŞ"})) - VLOOKUP(C918, 'STOK RAPORU'!$C$2:$I$1000, 4, 0))), 0)</f>
        <v>0</v>
      </c>
      <c r="U918" s="22">
        <f t="shared" si="56"/>
        <v>0</v>
      </c>
      <c r="V918">
        <f t="shared" si="57"/>
        <v>0</v>
      </c>
      <c r="W918" s="22">
        <f t="shared" si="58"/>
        <v>0</v>
      </c>
    </row>
    <row r="919" spans="1:23" hidden="1" x14ac:dyDescent="0.25">
      <c r="A919" s="3">
        <v>45970</v>
      </c>
      <c r="B919" s="4" t="s">
        <v>334</v>
      </c>
      <c r="C919" s="4" t="s">
        <v>550</v>
      </c>
      <c r="D919" s="4"/>
      <c r="E919" s="4"/>
      <c r="F919" s="4" t="s">
        <v>628</v>
      </c>
      <c r="G919" s="4" t="s">
        <v>336</v>
      </c>
      <c r="H919" s="4" t="s">
        <v>289</v>
      </c>
      <c r="I919" s="4">
        <v>1</v>
      </c>
      <c r="J919" s="21">
        <v>600</v>
      </c>
      <c r="K919" s="21">
        <v>0</v>
      </c>
      <c r="L919" s="5">
        <v>0</v>
      </c>
      <c r="M919" s="4">
        <v>1</v>
      </c>
      <c r="N919" s="4"/>
      <c r="O919" s="5">
        <v>600</v>
      </c>
      <c r="P919" s="5"/>
      <c r="Q919" s="21">
        <v>600</v>
      </c>
      <c r="R919" s="21">
        <v>0</v>
      </c>
      <c r="S919" s="5">
        <f t="shared" si="59"/>
        <v>129521.51776015204</v>
      </c>
      <c r="T919" cm="1">
        <f t="array" ref="T919">IF(OR(B919="MAL ALIMI", B919="ÜRETİM GİRİŞ"), MIN(I919, MAX(0, I919 + SUM(SUMIFS($I$1:I918, $C$1:C918, C919, $B$1:B918, {"MAL ALIMI","ÜRETİM GİRİŞ"})) - VLOOKUP(C919, 'STOK RAPORU'!$C$2:$I$1000, 4, 0))), 0)</f>
        <v>0</v>
      </c>
      <c r="U919" s="22">
        <f t="shared" si="56"/>
        <v>0</v>
      </c>
      <c r="V919">
        <f t="shared" si="57"/>
        <v>0</v>
      </c>
      <c r="W919" s="22">
        <f t="shared" si="58"/>
        <v>0</v>
      </c>
    </row>
    <row r="920" spans="1:23" hidden="1" x14ac:dyDescent="0.25">
      <c r="A920" s="3">
        <v>45970</v>
      </c>
      <c r="B920" s="4" t="s">
        <v>334</v>
      </c>
      <c r="C920" s="4" t="s">
        <v>133</v>
      </c>
      <c r="D920" s="4"/>
      <c r="E920" s="4" t="s">
        <v>921</v>
      </c>
      <c r="F920" s="4" t="s">
        <v>629</v>
      </c>
      <c r="G920" s="4" t="s">
        <v>336</v>
      </c>
      <c r="H920" s="4" t="s">
        <v>380</v>
      </c>
      <c r="I920" s="4">
        <v>0.26400000000000001</v>
      </c>
      <c r="J920" s="21">
        <v>420</v>
      </c>
      <c r="K920" s="21">
        <v>110.88000000000001</v>
      </c>
      <c r="L920" s="5">
        <v>0</v>
      </c>
      <c r="M920" s="4">
        <v>0.26400000000000001</v>
      </c>
      <c r="N920" s="4"/>
      <c r="O920" s="5">
        <v>420</v>
      </c>
      <c r="P920" s="5"/>
      <c r="Q920" s="21">
        <v>0</v>
      </c>
      <c r="R920" s="21">
        <v>0</v>
      </c>
      <c r="S920" s="5">
        <f t="shared" si="59"/>
        <v>129521.51776015204</v>
      </c>
      <c r="T920" cm="1">
        <f t="array" ref="T920">IF(OR(B920="MAL ALIMI", B920="ÜRETİM GİRİŞ"), MIN(I920, MAX(0, I920 + SUM(SUMIFS($I$1:I919, $C$1:C919, C920, $B$1:B919, {"MAL ALIMI","ÜRETİM GİRİŞ"})) - VLOOKUP(C920, 'STOK RAPORU'!$C$2:$I$1000, 4, 0))), 0)</f>
        <v>0</v>
      </c>
      <c r="U920" s="22">
        <f t="shared" si="56"/>
        <v>0</v>
      </c>
      <c r="V920">
        <f t="shared" si="57"/>
        <v>0</v>
      </c>
      <c r="W920" s="22">
        <f t="shared" si="58"/>
        <v>0</v>
      </c>
    </row>
    <row r="921" spans="1:23" hidden="1" x14ac:dyDescent="0.25">
      <c r="A921" s="3">
        <v>45970</v>
      </c>
      <c r="B921" s="4" t="s">
        <v>334</v>
      </c>
      <c r="C921" s="4" t="s">
        <v>523</v>
      </c>
      <c r="D921" s="4"/>
      <c r="E921" s="4" t="s">
        <v>921</v>
      </c>
      <c r="F921" s="4" t="s">
        <v>629</v>
      </c>
      <c r="G921" s="4" t="s">
        <v>336</v>
      </c>
      <c r="H921" s="4" t="s">
        <v>380</v>
      </c>
      <c r="I921" s="4">
        <v>0.1</v>
      </c>
      <c r="J921" s="21">
        <v>650</v>
      </c>
      <c r="K921" s="21">
        <v>65</v>
      </c>
      <c r="L921" s="5">
        <v>0</v>
      </c>
      <c r="M921" s="4">
        <v>1</v>
      </c>
      <c r="N921" s="4"/>
      <c r="O921" s="5">
        <v>65</v>
      </c>
      <c r="P921" s="5"/>
      <c r="Q921" s="21">
        <v>0</v>
      </c>
      <c r="R921" s="21">
        <v>0</v>
      </c>
      <c r="S921" s="5">
        <f t="shared" si="59"/>
        <v>129521.51776015204</v>
      </c>
      <c r="T921" cm="1">
        <f t="array" ref="T921">IF(OR(B921="MAL ALIMI", B921="ÜRETİM GİRİŞ"), MIN(I921, MAX(0, I921 + SUM(SUMIFS($I$1:I920, $C$1:C920, C921, $B$1:B920, {"MAL ALIMI","ÜRETİM GİRİŞ"})) - VLOOKUP(C921, 'STOK RAPORU'!$C$2:$I$1000, 4, 0))), 0)</f>
        <v>0</v>
      </c>
      <c r="U921" s="22">
        <f t="shared" si="56"/>
        <v>0</v>
      </c>
      <c r="V921">
        <f t="shared" si="57"/>
        <v>0</v>
      </c>
      <c r="W921" s="22">
        <f t="shared" si="58"/>
        <v>0</v>
      </c>
    </row>
    <row r="922" spans="1:23" hidden="1" x14ac:dyDescent="0.25">
      <c r="A922" s="3">
        <v>45970</v>
      </c>
      <c r="B922" s="4" t="s">
        <v>334</v>
      </c>
      <c r="C922" s="4" t="s">
        <v>203</v>
      </c>
      <c r="D922" s="4"/>
      <c r="E922" s="4" t="s">
        <v>921</v>
      </c>
      <c r="F922" s="4" t="s">
        <v>629</v>
      </c>
      <c r="G922" s="4" t="s">
        <v>336</v>
      </c>
      <c r="H922" s="4" t="s">
        <v>380</v>
      </c>
      <c r="I922" s="4">
        <v>0.5</v>
      </c>
      <c r="J922" s="21">
        <v>80</v>
      </c>
      <c r="K922" s="21">
        <v>40</v>
      </c>
      <c r="L922" s="5">
        <v>0</v>
      </c>
      <c r="M922" s="4">
        <v>1</v>
      </c>
      <c r="N922" s="4"/>
      <c r="O922" s="5">
        <v>40</v>
      </c>
      <c r="P922" s="5"/>
      <c r="Q922" s="21">
        <v>0</v>
      </c>
      <c r="R922" s="21">
        <v>0</v>
      </c>
      <c r="S922" s="5">
        <f t="shared" si="59"/>
        <v>129521.51776015204</v>
      </c>
      <c r="T922" cm="1">
        <f t="array" ref="T922">IF(OR(B922="MAL ALIMI", B922="ÜRETİM GİRİŞ"), MIN(I922, MAX(0, I922 + SUM(SUMIFS($I$1:I921, $C$1:C921, C922, $B$1:B921, {"MAL ALIMI","ÜRETİM GİRİŞ"})) - VLOOKUP(C922, 'STOK RAPORU'!$C$2:$I$1000, 4, 0))), 0)</f>
        <v>0</v>
      </c>
      <c r="U922" s="22">
        <f t="shared" si="56"/>
        <v>0</v>
      </c>
      <c r="V922">
        <f t="shared" si="57"/>
        <v>0</v>
      </c>
      <c r="W922" s="22">
        <f t="shared" si="58"/>
        <v>0</v>
      </c>
    </row>
    <row r="923" spans="1:23" hidden="1" x14ac:dyDescent="0.25">
      <c r="A923" s="3">
        <v>45970</v>
      </c>
      <c r="B923" s="4" t="s">
        <v>334</v>
      </c>
      <c r="C923" s="59" t="s">
        <v>161</v>
      </c>
      <c r="D923" s="4"/>
      <c r="E923" s="4"/>
      <c r="F923" s="4" t="s">
        <v>630</v>
      </c>
      <c r="G923" s="4" t="s">
        <v>336</v>
      </c>
      <c r="H923" s="4" t="s">
        <v>289</v>
      </c>
      <c r="I923" s="4">
        <v>1</v>
      </c>
      <c r="J923" s="21">
        <v>200</v>
      </c>
      <c r="K923" s="21">
        <v>0</v>
      </c>
      <c r="L923" s="5">
        <v>0</v>
      </c>
      <c r="M923" s="4">
        <v>1</v>
      </c>
      <c r="N923" s="4"/>
      <c r="O923" s="5">
        <v>200</v>
      </c>
      <c r="P923" s="5"/>
      <c r="Q923" s="21">
        <v>200</v>
      </c>
      <c r="R923" s="21">
        <v>0</v>
      </c>
      <c r="S923" s="5">
        <f t="shared" si="59"/>
        <v>129721.51776015204</v>
      </c>
      <c r="T923" cm="1">
        <f t="array" ref="T923">IF(OR(B923="MAL ALIMI", B923="ÜRETİM GİRİŞ"), MIN(I923, MAX(0, I923 + SUM(SUMIFS($I$1:I922, $C$1:C922, C923, $B$1:B922, {"MAL ALIMI","ÜRETİM GİRİŞ"})) - VLOOKUP(C923, 'STOK RAPORU'!$C$2:$I$1000, 4, 0))), 0)</f>
        <v>0</v>
      </c>
      <c r="U923" s="22">
        <f t="shared" si="56"/>
        <v>0</v>
      </c>
      <c r="V923">
        <f t="shared" si="57"/>
        <v>0</v>
      </c>
      <c r="W923" s="22">
        <f t="shared" si="58"/>
        <v>0</v>
      </c>
    </row>
    <row r="924" spans="1:23" hidden="1" x14ac:dyDescent="0.25">
      <c r="A924" s="3">
        <v>45970</v>
      </c>
      <c r="B924" s="4" t="s">
        <v>334</v>
      </c>
      <c r="C924" s="4" t="s">
        <v>133</v>
      </c>
      <c r="D924" s="4"/>
      <c r="E924" s="4"/>
      <c r="F924" s="4" t="s">
        <v>630</v>
      </c>
      <c r="G924" s="4" t="s">
        <v>336</v>
      </c>
      <c r="H924" s="4" t="s">
        <v>289</v>
      </c>
      <c r="I924" s="4">
        <v>0.316</v>
      </c>
      <c r="J924" s="21">
        <v>380</v>
      </c>
      <c r="K924" s="21">
        <v>0</v>
      </c>
      <c r="L924" s="5">
        <v>0</v>
      </c>
      <c r="M924" s="4">
        <v>0.316</v>
      </c>
      <c r="N924" s="4"/>
      <c r="O924" s="5">
        <v>380</v>
      </c>
      <c r="P924" s="5"/>
      <c r="Q924" s="21">
        <v>120.08</v>
      </c>
      <c r="R924" s="21">
        <v>0</v>
      </c>
      <c r="S924" s="5">
        <f t="shared" si="59"/>
        <v>129841.59776015204</v>
      </c>
      <c r="T924" cm="1">
        <f t="array" ref="T924">IF(OR(B924="MAL ALIMI", B924="ÜRETİM GİRİŞ"), MIN(I924, MAX(0, I924 + SUM(SUMIFS($I$1:I923, $C$1:C923, C924, $B$1:B923, {"MAL ALIMI","ÜRETİM GİRİŞ"})) - VLOOKUP(C924, 'STOK RAPORU'!$C$2:$I$1000, 4, 0))), 0)</f>
        <v>0</v>
      </c>
      <c r="U924" s="22">
        <f t="shared" si="56"/>
        <v>0</v>
      </c>
      <c r="V924">
        <f t="shared" si="57"/>
        <v>0</v>
      </c>
      <c r="W924" s="22">
        <f t="shared" si="58"/>
        <v>0</v>
      </c>
    </row>
    <row r="925" spans="1:23" hidden="1" x14ac:dyDescent="0.25">
      <c r="A925" s="3">
        <v>45970</v>
      </c>
      <c r="B925" s="4" t="s">
        <v>334</v>
      </c>
      <c r="C925" s="4" t="s">
        <v>126</v>
      </c>
      <c r="D925" s="4"/>
      <c r="E925" s="4"/>
      <c r="F925" s="4" t="s">
        <v>630</v>
      </c>
      <c r="G925" s="4" t="s">
        <v>336</v>
      </c>
      <c r="H925" s="4" t="s">
        <v>289</v>
      </c>
      <c r="I925" s="4">
        <v>8.4000000000000005E-2</v>
      </c>
      <c r="J925" s="21">
        <v>640</v>
      </c>
      <c r="K925" s="21">
        <v>0</v>
      </c>
      <c r="L925" s="5">
        <v>0</v>
      </c>
      <c r="M925" s="4">
        <v>8.4000000000000005E-2</v>
      </c>
      <c r="N925" s="4"/>
      <c r="O925" s="5">
        <v>640</v>
      </c>
      <c r="P925" s="5"/>
      <c r="Q925" s="21">
        <v>53.760000000000005</v>
      </c>
      <c r="R925" s="21">
        <v>0</v>
      </c>
      <c r="S925" s="5">
        <f t="shared" si="59"/>
        <v>129895.35776015204</v>
      </c>
      <c r="T925" cm="1">
        <f t="array" ref="T925">IF(OR(B925="MAL ALIMI", B925="ÜRETİM GİRİŞ"), MIN(I925, MAX(0, I925 + SUM(SUMIFS($I$1:I924, $C$1:C924, C925, $B$1:B924, {"MAL ALIMI","ÜRETİM GİRİŞ"})) - VLOOKUP(C925, 'STOK RAPORU'!$C$2:$I$1000, 4, 0))), 0)</f>
        <v>0</v>
      </c>
      <c r="U925" s="22">
        <f t="shared" si="56"/>
        <v>0</v>
      </c>
      <c r="V925">
        <f t="shared" si="57"/>
        <v>0</v>
      </c>
      <c r="W925" s="22">
        <f t="shared" si="58"/>
        <v>0</v>
      </c>
    </row>
    <row r="926" spans="1:23" hidden="1" x14ac:dyDescent="0.25">
      <c r="A926" s="3">
        <v>45970</v>
      </c>
      <c r="B926" s="4" t="s">
        <v>334</v>
      </c>
      <c r="C926" s="4" t="s">
        <v>203</v>
      </c>
      <c r="D926" s="4"/>
      <c r="E926" s="4"/>
      <c r="F926" s="4" t="s">
        <v>630</v>
      </c>
      <c r="G926" s="4" t="s">
        <v>336</v>
      </c>
      <c r="H926" s="4" t="s">
        <v>289</v>
      </c>
      <c r="I926" s="4">
        <v>0.5</v>
      </c>
      <c r="J926" s="21">
        <v>80</v>
      </c>
      <c r="K926" s="21">
        <v>0</v>
      </c>
      <c r="L926" s="5">
        <v>0</v>
      </c>
      <c r="M926" s="4">
        <v>1</v>
      </c>
      <c r="N926" s="4"/>
      <c r="O926" s="5">
        <v>40</v>
      </c>
      <c r="P926" s="5"/>
      <c r="Q926" s="21">
        <v>40</v>
      </c>
      <c r="R926" s="21">
        <v>0</v>
      </c>
      <c r="S926" s="5">
        <f t="shared" si="59"/>
        <v>129935.35776015204</v>
      </c>
      <c r="T926" cm="1">
        <f t="array" ref="T926">IF(OR(B926="MAL ALIMI", B926="ÜRETİM GİRİŞ"), MIN(I926, MAX(0, I926 + SUM(SUMIFS($I$1:I925, $C$1:C925, C926, $B$1:B925, {"MAL ALIMI","ÜRETİM GİRİŞ"})) - VLOOKUP(C926, 'STOK RAPORU'!$C$2:$I$1000, 4, 0))), 0)</f>
        <v>0</v>
      </c>
      <c r="U926" s="22">
        <f t="shared" si="56"/>
        <v>0</v>
      </c>
      <c r="V926">
        <f t="shared" si="57"/>
        <v>0</v>
      </c>
      <c r="W926" s="22">
        <f t="shared" si="58"/>
        <v>0</v>
      </c>
    </row>
    <row r="927" spans="1:23" hidden="1" x14ac:dyDescent="0.25">
      <c r="A927" s="3">
        <v>45970</v>
      </c>
      <c r="B927" s="4" t="s">
        <v>334</v>
      </c>
      <c r="C927" s="59" t="s">
        <v>161</v>
      </c>
      <c r="D927" s="4"/>
      <c r="E927" s="4"/>
      <c r="F927" s="4" t="s">
        <v>631</v>
      </c>
      <c r="G927" s="4" t="s">
        <v>336</v>
      </c>
      <c r="H927" s="4" t="s">
        <v>289</v>
      </c>
      <c r="I927" s="4">
        <v>1</v>
      </c>
      <c r="J927" s="21">
        <v>200</v>
      </c>
      <c r="K927" s="21">
        <v>0</v>
      </c>
      <c r="L927" s="5">
        <v>0</v>
      </c>
      <c r="M927" s="4">
        <v>1</v>
      </c>
      <c r="N927" s="4"/>
      <c r="O927" s="5">
        <v>200</v>
      </c>
      <c r="P927" s="5"/>
      <c r="Q927" s="21">
        <v>200</v>
      </c>
      <c r="R927" s="21">
        <v>0</v>
      </c>
      <c r="S927" s="5">
        <f t="shared" si="59"/>
        <v>130135.35776015204</v>
      </c>
      <c r="T927" cm="1">
        <f t="array" ref="T927">IF(OR(B927="MAL ALIMI", B927="ÜRETİM GİRİŞ"), MIN(I927, MAX(0, I927 + SUM(SUMIFS($I$1:I926, $C$1:C926, C927, $B$1:B926, {"MAL ALIMI","ÜRETİM GİRİŞ"})) - VLOOKUP(C927, 'STOK RAPORU'!$C$2:$I$1000, 4, 0))), 0)</f>
        <v>0</v>
      </c>
      <c r="U927" s="22">
        <f t="shared" si="56"/>
        <v>0</v>
      </c>
      <c r="V927">
        <f t="shared" si="57"/>
        <v>0</v>
      </c>
      <c r="W927" s="22">
        <f t="shared" si="58"/>
        <v>0</v>
      </c>
    </row>
    <row r="928" spans="1:23" hidden="1" x14ac:dyDescent="0.25">
      <c r="A928" s="3">
        <v>45970</v>
      </c>
      <c r="B928" s="4" t="s">
        <v>334</v>
      </c>
      <c r="C928" s="59" t="s">
        <v>161</v>
      </c>
      <c r="D928" s="4"/>
      <c r="E928" s="4"/>
      <c r="F928" s="4" t="s">
        <v>632</v>
      </c>
      <c r="G928" s="4" t="s">
        <v>336</v>
      </c>
      <c r="H928" s="4" t="s">
        <v>289</v>
      </c>
      <c r="I928" s="4">
        <v>2</v>
      </c>
      <c r="J928" s="21">
        <v>200</v>
      </c>
      <c r="K928" s="21">
        <v>0</v>
      </c>
      <c r="L928" s="5">
        <v>0</v>
      </c>
      <c r="M928" s="4">
        <v>2</v>
      </c>
      <c r="N928" s="4"/>
      <c r="O928" s="5">
        <v>200</v>
      </c>
      <c r="P928" s="5"/>
      <c r="Q928" s="21">
        <v>400</v>
      </c>
      <c r="R928" s="21">
        <v>0</v>
      </c>
      <c r="S928" s="5">
        <f t="shared" si="59"/>
        <v>130535.35776015204</v>
      </c>
      <c r="T928" cm="1">
        <f t="array" ref="T928">IF(OR(B928="MAL ALIMI", B928="ÜRETİM GİRİŞ"), MIN(I928, MAX(0, I928 + SUM(SUMIFS($I$1:I927, $C$1:C927, C928, $B$1:B927, {"MAL ALIMI","ÜRETİM GİRİŞ"})) - VLOOKUP(C928, 'STOK RAPORU'!$C$2:$I$1000, 4, 0))), 0)</f>
        <v>0</v>
      </c>
      <c r="U928" s="22">
        <f t="shared" si="56"/>
        <v>0</v>
      </c>
      <c r="V928">
        <f t="shared" si="57"/>
        <v>0</v>
      </c>
      <c r="W928" s="22">
        <f t="shared" si="58"/>
        <v>0</v>
      </c>
    </row>
    <row r="929" spans="1:23" hidden="1" x14ac:dyDescent="0.25">
      <c r="A929" s="3">
        <v>45970</v>
      </c>
      <c r="B929" s="4" t="s">
        <v>334</v>
      </c>
      <c r="C929" s="4" t="s">
        <v>620</v>
      </c>
      <c r="D929" s="4"/>
      <c r="E929" s="4"/>
      <c r="F929" s="4" t="s">
        <v>633</v>
      </c>
      <c r="G929" s="4" t="s">
        <v>336</v>
      </c>
      <c r="H929" s="4" t="s">
        <v>289</v>
      </c>
      <c r="I929" s="4">
        <v>0.39600000000000002</v>
      </c>
      <c r="J929" s="21">
        <v>195</v>
      </c>
      <c r="K929" s="21">
        <v>0</v>
      </c>
      <c r="L929" s="5">
        <v>0</v>
      </c>
      <c r="M929" s="4">
        <v>0.39600000000000002</v>
      </c>
      <c r="N929" s="4"/>
      <c r="O929" s="5">
        <v>195</v>
      </c>
      <c r="P929" s="5"/>
      <c r="Q929" s="21">
        <v>77.22</v>
      </c>
      <c r="R929" s="21">
        <v>0</v>
      </c>
      <c r="S929" s="5">
        <f t="shared" si="59"/>
        <v>130612.57776015204</v>
      </c>
      <c r="T929" cm="1">
        <f t="array" ref="T929">IF(OR(B929="MAL ALIMI", B929="ÜRETİM GİRİŞ"), MIN(I929, MAX(0, I929 + SUM(SUMIFS($I$1:I928, $C$1:C928, C929, $B$1:B928, {"MAL ALIMI","ÜRETİM GİRİŞ"})) - VLOOKUP(C929, 'STOK RAPORU'!$C$2:$I$1000, 4, 0))), 0)</f>
        <v>0</v>
      </c>
      <c r="U929" s="22">
        <f t="shared" si="56"/>
        <v>0</v>
      </c>
      <c r="V929">
        <f t="shared" si="57"/>
        <v>0</v>
      </c>
      <c r="W929" s="22">
        <f t="shared" si="58"/>
        <v>0</v>
      </c>
    </row>
    <row r="930" spans="1:23" hidden="1" x14ac:dyDescent="0.25">
      <c r="A930" s="3">
        <v>45970</v>
      </c>
      <c r="B930" s="4" t="s">
        <v>334</v>
      </c>
      <c r="C930" s="4" t="s">
        <v>226</v>
      </c>
      <c r="D930" s="4"/>
      <c r="E930" s="4"/>
      <c r="F930" s="4" t="s">
        <v>633</v>
      </c>
      <c r="G930" s="4" t="s">
        <v>336</v>
      </c>
      <c r="H930" s="4" t="s">
        <v>289</v>
      </c>
      <c r="I930" s="4">
        <v>0.25</v>
      </c>
      <c r="J930" s="21">
        <v>150</v>
      </c>
      <c r="K930" s="21">
        <v>0</v>
      </c>
      <c r="L930" s="5">
        <v>0</v>
      </c>
      <c r="M930" s="4">
        <v>0.25</v>
      </c>
      <c r="N930" s="4"/>
      <c r="O930" s="5">
        <v>150</v>
      </c>
      <c r="P930" s="5"/>
      <c r="Q930" s="21">
        <v>37.5</v>
      </c>
      <c r="R930" s="21">
        <v>0</v>
      </c>
      <c r="S930" s="5">
        <f t="shared" si="59"/>
        <v>130650.07776015204</v>
      </c>
      <c r="T930" cm="1">
        <f t="array" ref="T930">IF(OR(B930="MAL ALIMI", B930="ÜRETİM GİRİŞ"), MIN(I930, MAX(0, I930 + SUM(SUMIFS($I$1:I929, $C$1:C929, C930, $B$1:B929, {"MAL ALIMI","ÜRETİM GİRİŞ"})) - VLOOKUP(C930, 'STOK RAPORU'!$C$2:$I$1000, 4, 0))), 0)</f>
        <v>0</v>
      </c>
      <c r="U930" s="22">
        <f t="shared" si="56"/>
        <v>0</v>
      </c>
      <c r="V930">
        <f t="shared" si="57"/>
        <v>0</v>
      </c>
      <c r="W930" s="22">
        <f t="shared" si="58"/>
        <v>0</v>
      </c>
    </row>
    <row r="931" spans="1:23" hidden="1" x14ac:dyDescent="0.25">
      <c r="A931" s="3">
        <v>45970</v>
      </c>
      <c r="B931" s="4" t="s">
        <v>334</v>
      </c>
      <c r="C931" s="4" t="s">
        <v>211</v>
      </c>
      <c r="D931" s="4"/>
      <c r="E931" s="4"/>
      <c r="F931" s="4" t="s">
        <v>633</v>
      </c>
      <c r="G931" s="4" t="s">
        <v>336</v>
      </c>
      <c r="H931" s="4" t="s">
        <v>289</v>
      </c>
      <c r="I931" s="4">
        <v>0.52200000000000002</v>
      </c>
      <c r="J931" s="21">
        <v>290</v>
      </c>
      <c r="K931" s="21">
        <v>0</v>
      </c>
      <c r="L931" s="5">
        <v>0</v>
      </c>
      <c r="M931" s="4">
        <v>0.52200000000000002</v>
      </c>
      <c r="N931" s="4"/>
      <c r="O931" s="5">
        <v>290</v>
      </c>
      <c r="P931" s="5"/>
      <c r="Q931" s="21">
        <v>151.38</v>
      </c>
      <c r="R931" s="21">
        <v>0</v>
      </c>
      <c r="S931" s="5">
        <f t="shared" si="59"/>
        <v>130801.45776015204</v>
      </c>
      <c r="T931" cm="1">
        <f t="array" ref="T931">IF(OR(B931="MAL ALIMI", B931="ÜRETİM GİRİŞ"), MIN(I931, MAX(0, I931 + SUM(SUMIFS($I$1:I930, $C$1:C930, C931, $B$1:B930, {"MAL ALIMI","ÜRETİM GİRİŞ"})) - VLOOKUP(C931, 'STOK RAPORU'!$C$2:$I$1000, 4, 0))), 0)</f>
        <v>0</v>
      </c>
      <c r="U931" s="22">
        <f t="shared" si="56"/>
        <v>0</v>
      </c>
      <c r="V931">
        <f t="shared" si="57"/>
        <v>0</v>
      </c>
      <c r="W931" s="22">
        <f t="shared" si="58"/>
        <v>0</v>
      </c>
    </row>
    <row r="932" spans="1:23" hidden="1" x14ac:dyDescent="0.25">
      <c r="A932" s="3">
        <v>45971</v>
      </c>
      <c r="B932" s="4" t="s">
        <v>298</v>
      </c>
      <c r="C932" s="4" t="s">
        <v>647</v>
      </c>
      <c r="D932" s="4"/>
      <c r="E932" s="4" t="s">
        <v>350</v>
      </c>
      <c r="F932" s="4" t="s">
        <v>603</v>
      </c>
      <c r="G932" s="4" t="s">
        <v>350</v>
      </c>
      <c r="H932" s="4" t="s">
        <v>304</v>
      </c>
      <c r="I932" s="4">
        <v>5</v>
      </c>
      <c r="J932" s="21">
        <v>125</v>
      </c>
      <c r="K932" s="21">
        <v>0</v>
      </c>
      <c r="L932" s="5">
        <v>625</v>
      </c>
      <c r="M932" s="4"/>
      <c r="N932" s="4">
        <v>5</v>
      </c>
      <c r="O932" s="5"/>
      <c r="P932" s="5">
        <v>125</v>
      </c>
      <c r="Q932" s="21">
        <v>0</v>
      </c>
      <c r="R932" s="21">
        <v>0</v>
      </c>
      <c r="S932" s="5">
        <f t="shared" si="59"/>
        <v>130801.45776015204</v>
      </c>
      <c r="T932" cm="1">
        <f t="array" ref="T932">IF(OR(B932="MAL ALIMI", B932="ÜRETİM GİRİŞ"), MIN(I932, MAX(0, I932 + SUM(SUMIFS($I$1:I931, $C$1:C931, C932, $B$1:B931, {"MAL ALIMI","ÜRETİM GİRİŞ"})) - VLOOKUP(C932, 'STOK RAPORU'!$C$2:$I$1000, 4, 0))), 0)</f>
        <v>0</v>
      </c>
      <c r="U932" s="22">
        <f t="shared" si="56"/>
        <v>0</v>
      </c>
      <c r="V932">
        <f t="shared" si="57"/>
        <v>625</v>
      </c>
      <c r="W932" s="22">
        <f t="shared" si="58"/>
        <v>625</v>
      </c>
    </row>
    <row r="933" spans="1:23" hidden="1" x14ac:dyDescent="0.25">
      <c r="A933" s="3">
        <v>45971</v>
      </c>
      <c r="B933" s="4" t="s">
        <v>298</v>
      </c>
      <c r="C933" s="4" t="s">
        <v>648</v>
      </c>
      <c r="D933" s="4"/>
      <c r="E933" s="4" t="s">
        <v>350</v>
      </c>
      <c r="F933" s="4" t="s">
        <v>603</v>
      </c>
      <c r="G933" s="4" t="s">
        <v>350</v>
      </c>
      <c r="H933" s="4" t="s">
        <v>304</v>
      </c>
      <c r="I933" s="4">
        <v>5</v>
      </c>
      <c r="J933" s="21">
        <v>435</v>
      </c>
      <c r="K933" s="21">
        <v>0</v>
      </c>
      <c r="L933" s="5">
        <v>2175</v>
      </c>
      <c r="M933" s="4"/>
      <c r="N933" s="4">
        <v>5</v>
      </c>
      <c r="O933" s="5"/>
      <c r="P933" s="5">
        <v>435</v>
      </c>
      <c r="Q933" s="21">
        <v>0</v>
      </c>
      <c r="R933" s="21">
        <v>0</v>
      </c>
      <c r="S933" s="5">
        <f t="shared" si="59"/>
        <v>130801.45776015204</v>
      </c>
      <c r="T933" cm="1">
        <f t="array" ref="T933">IF(OR(B933="MAL ALIMI", B933="ÜRETİM GİRİŞ"), MIN(I933, MAX(0, I933 + SUM(SUMIFS($I$1:I932, $C$1:C932, C933, $B$1:B932, {"MAL ALIMI","ÜRETİM GİRİŞ"})) - VLOOKUP(C933, 'STOK RAPORU'!$C$2:$I$1000, 4, 0))), 0)</f>
        <v>0</v>
      </c>
      <c r="U933" s="22">
        <f t="shared" si="56"/>
        <v>0</v>
      </c>
      <c r="V933">
        <f t="shared" si="57"/>
        <v>2175</v>
      </c>
      <c r="W933" s="22">
        <f t="shared" si="58"/>
        <v>2175</v>
      </c>
    </row>
    <row r="934" spans="1:23" hidden="1" x14ac:dyDescent="0.25">
      <c r="A934" s="3">
        <v>45971</v>
      </c>
      <c r="B934" s="4" t="s">
        <v>298</v>
      </c>
      <c r="C934" s="4" t="s">
        <v>649</v>
      </c>
      <c r="D934" s="4"/>
      <c r="E934" s="4" t="s">
        <v>350</v>
      </c>
      <c r="F934" s="4" t="s">
        <v>603</v>
      </c>
      <c r="G934" s="4" t="s">
        <v>350</v>
      </c>
      <c r="H934" s="4" t="s">
        <v>304</v>
      </c>
      <c r="I934" s="4">
        <v>10</v>
      </c>
      <c r="J934" s="21">
        <v>205</v>
      </c>
      <c r="K934" s="21">
        <v>0</v>
      </c>
      <c r="L934" s="5">
        <v>2050</v>
      </c>
      <c r="M934" s="4"/>
      <c r="N934" s="4">
        <v>10</v>
      </c>
      <c r="O934" s="5"/>
      <c r="P934" s="5">
        <v>205</v>
      </c>
      <c r="Q934" s="21">
        <v>0</v>
      </c>
      <c r="R934" s="21">
        <v>0</v>
      </c>
      <c r="S934" s="5">
        <f t="shared" si="59"/>
        <v>130801.45776015204</v>
      </c>
      <c r="T934" cm="1">
        <f t="array" ref="T934">IF(OR(B934="MAL ALIMI", B934="ÜRETİM GİRİŞ"), MIN(I934, MAX(0, I934 + SUM(SUMIFS($I$1:I933, $C$1:C933, C934, $B$1:B933, {"MAL ALIMI","ÜRETİM GİRİŞ"})) - VLOOKUP(C934, 'STOK RAPORU'!$C$2:$I$1000, 4, 0))), 0)</f>
        <v>0</v>
      </c>
      <c r="U934" s="22">
        <f t="shared" si="56"/>
        <v>0</v>
      </c>
      <c r="V934">
        <f t="shared" si="57"/>
        <v>2050</v>
      </c>
      <c r="W934" s="22">
        <f t="shared" si="58"/>
        <v>2050</v>
      </c>
    </row>
    <row r="935" spans="1:23" hidden="1" x14ac:dyDescent="0.25">
      <c r="A935" s="3">
        <v>45971</v>
      </c>
      <c r="B935" s="4" t="s">
        <v>298</v>
      </c>
      <c r="C935" s="4" t="s">
        <v>218</v>
      </c>
      <c r="D935" s="4"/>
      <c r="E935" s="4" t="s">
        <v>350</v>
      </c>
      <c r="F935" s="4" t="s">
        <v>603</v>
      </c>
      <c r="G935" s="4" t="s">
        <v>350</v>
      </c>
      <c r="H935" s="4" t="s">
        <v>304</v>
      </c>
      <c r="I935" s="4">
        <v>6</v>
      </c>
      <c r="J935" s="21">
        <v>225</v>
      </c>
      <c r="K935" s="21">
        <v>0</v>
      </c>
      <c r="L935" s="5">
        <v>1350</v>
      </c>
      <c r="M935" s="4"/>
      <c r="N935" s="4">
        <v>6</v>
      </c>
      <c r="O935" s="5"/>
      <c r="P935" s="5">
        <v>225</v>
      </c>
      <c r="Q935" s="21">
        <v>0</v>
      </c>
      <c r="R935" s="21">
        <v>0</v>
      </c>
      <c r="S935" s="5">
        <f t="shared" si="59"/>
        <v>130801.45776015204</v>
      </c>
      <c r="T935" cm="1">
        <f t="array" ref="T935">IF(OR(B935="MAL ALIMI", B935="ÜRETİM GİRİŞ"), MIN(I935, MAX(0, I935 + SUM(SUMIFS($I$1:I934, $C$1:C934, C935, $B$1:B934, {"MAL ALIMI","ÜRETİM GİRİŞ"})) - VLOOKUP(C935, 'STOK RAPORU'!$C$2:$I$1000, 4, 0))), 0)</f>
        <v>0</v>
      </c>
      <c r="U935" s="22">
        <f t="shared" si="56"/>
        <v>0</v>
      </c>
      <c r="V935">
        <f t="shared" si="57"/>
        <v>1350</v>
      </c>
      <c r="W935" s="22">
        <f t="shared" si="58"/>
        <v>1350</v>
      </c>
    </row>
    <row r="936" spans="1:23" hidden="1" x14ac:dyDescent="0.25">
      <c r="A936" s="3">
        <v>45971</v>
      </c>
      <c r="B936" s="4" t="s">
        <v>298</v>
      </c>
      <c r="C936" s="4" t="s">
        <v>223</v>
      </c>
      <c r="D936" s="4"/>
      <c r="E936" s="4" t="s">
        <v>350</v>
      </c>
      <c r="F936" s="4" t="s">
        <v>603</v>
      </c>
      <c r="G936" s="4" t="s">
        <v>350</v>
      </c>
      <c r="H936" s="4" t="s">
        <v>304</v>
      </c>
      <c r="I936" s="4">
        <v>5</v>
      </c>
      <c r="J936" s="21">
        <v>550</v>
      </c>
      <c r="K936" s="21">
        <v>0</v>
      </c>
      <c r="L936" s="5">
        <v>2750</v>
      </c>
      <c r="M936" s="4"/>
      <c r="N936" s="4">
        <v>5</v>
      </c>
      <c r="O936" s="5"/>
      <c r="P936" s="5">
        <v>550</v>
      </c>
      <c r="Q936" s="21">
        <v>0</v>
      </c>
      <c r="R936" s="21">
        <v>0</v>
      </c>
      <c r="S936" s="5">
        <f t="shared" si="59"/>
        <v>130801.45776015204</v>
      </c>
      <c r="T936" cm="1">
        <f t="array" ref="T936">IF(OR(B936="MAL ALIMI", B936="ÜRETİM GİRİŞ"), MIN(I936, MAX(0, I936 + SUM(SUMIFS($I$1:I935, $C$1:C935, C936, $B$1:B935, {"MAL ALIMI","ÜRETİM GİRİŞ"})) - VLOOKUP(C936, 'STOK RAPORU'!$C$2:$I$1000, 4, 0))), 0)</f>
        <v>0</v>
      </c>
      <c r="U936" s="22">
        <f t="shared" si="56"/>
        <v>0</v>
      </c>
      <c r="V936">
        <f t="shared" si="57"/>
        <v>2750</v>
      </c>
      <c r="W936" s="22">
        <f t="shared" si="58"/>
        <v>2750</v>
      </c>
    </row>
    <row r="937" spans="1:23" hidden="1" x14ac:dyDescent="0.25">
      <c r="A937" s="3">
        <v>45971</v>
      </c>
      <c r="B937" s="4" t="s">
        <v>298</v>
      </c>
      <c r="C937" s="4" t="s">
        <v>233</v>
      </c>
      <c r="D937" s="4"/>
      <c r="E937" s="4" t="s">
        <v>350</v>
      </c>
      <c r="F937" s="4" t="s">
        <v>603</v>
      </c>
      <c r="G937" s="4" t="s">
        <v>350</v>
      </c>
      <c r="H937" s="4" t="s">
        <v>304</v>
      </c>
      <c r="I937" s="4">
        <v>11</v>
      </c>
      <c r="J937" s="21">
        <v>115</v>
      </c>
      <c r="K937" s="21">
        <v>0</v>
      </c>
      <c r="L937" s="5">
        <v>1265</v>
      </c>
      <c r="M937" s="4"/>
      <c r="N937" s="4">
        <v>11</v>
      </c>
      <c r="O937" s="5"/>
      <c r="P937" s="5">
        <v>115</v>
      </c>
      <c r="Q937" s="21">
        <v>0</v>
      </c>
      <c r="R937" s="21">
        <v>0</v>
      </c>
      <c r="S937" s="5">
        <f t="shared" si="59"/>
        <v>130801.45776015204</v>
      </c>
      <c r="T937" cm="1">
        <f t="array" ref="T937">IF(OR(B937="MAL ALIMI", B937="ÜRETİM GİRİŞ"), MIN(I937, MAX(0, I937 + SUM(SUMIFS($I$1:I936, $C$1:C936, C937, $B$1:B936, {"MAL ALIMI","ÜRETİM GİRİŞ"})) - VLOOKUP(C937, 'STOK RAPORU'!$C$2:$I$1000, 4, 0))), 0)</f>
        <v>8</v>
      </c>
      <c r="U937" s="22">
        <f t="shared" si="56"/>
        <v>920</v>
      </c>
      <c r="V937">
        <f t="shared" si="57"/>
        <v>1265</v>
      </c>
      <c r="W937" s="22">
        <f t="shared" si="58"/>
        <v>345</v>
      </c>
    </row>
    <row r="938" spans="1:23" hidden="1" x14ac:dyDescent="0.25">
      <c r="A938" s="3">
        <v>45971</v>
      </c>
      <c r="B938" s="4" t="s">
        <v>298</v>
      </c>
      <c r="C938" s="4" t="s">
        <v>651</v>
      </c>
      <c r="D938" s="4"/>
      <c r="E938" s="4" t="s">
        <v>350</v>
      </c>
      <c r="F938" s="4" t="s">
        <v>603</v>
      </c>
      <c r="G938" s="4" t="s">
        <v>350</v>
      </c>
      <c r="H938" s="4" t="s">
        <v>304</v>
      </c>
      <c r="I938" s="4">
        <v>10</v>
      </c>
      <c r="J938" s="21">
        <v>265</v>
      </c>
      <c r="K938" s="21">
        <v>0</v>
      </c>
      <c r="L938" s="5">
        <v>2650</v>
      </c>
      <c r="M938" s="4"/>
      <c r="N938" s="4">
        <v>10</v>
      </c>
      <c r="O938" s="5"/>
      <c r="P938" s="5">
        <v>265</v>
      </c>
      <c r="Q938" s="21">
        <v>0</v>
      </c>
      <c r="R938" s="21">
        <v>0</v>
      </c>
      <c r="S938" s="5">
        <f t="shared" si="59"/>
        <v>130801.45776015204</v>
      </c>
      <c r="T938" cm="1">
        <f t="array" ref="T938">IF(OR(B938="MAL ALIMI", B938="ÜRETİM GİRİŞ"), MIN(I938, MAX(0, I938 + SUM(SUMIFS($I$1:I937, $C$1:C937, C938, $B$1:B937, {"MAL ALIMI","ÜRETİM GİRİŞ"})) - VLOOKUP(C938, 'STOK RAPORU'!$C$2:$I$1000, 4, 0))), 0)</f>
        <v>0</v>
      </c>
      <c r="U938" s="22">
        <f t="shared" si="56"/>
        <v>0</v>
      </c>
      <c r="V938">
        <f t="shared" si="57"/>
        <v>2650</v>
      </c>
      <c r="W938" s="22">
        <f t="shared" si="58"/>
        <v>2650</v>
      </c>
    </row>
    <row r="939" spans="1:23" hidden="1" x14ac:dyDescent="0.25">
      <c r="A939" s="3">
        <v>45971</v>
      </c>
      <c r="B939" s="4" t="s">
        <v>298</v>
      </c>
      <c r="C939" s="4" t="s">
        <v>238</v>
      </c>
      <c r="D939" s="4"/>
      <c r="E939" s="4" t="s">
        <v>350</v>
      </c>
      <c r="F939" s="4" t="s">
        <v>603</v>
      </c>
      <c r="G939" s="4" t="s">
        <v>350</v>
      </c>
      <c r="H939" s="4" t="s">
        <v>304</v>
      </c>
      <c r="I939" s="4">
        <v>1</v>
      </c>
      <c r="J939" s="21">
        <v>290</v>
      </c>
      <c r="K939" s="21">
        <v>0</v>
      </c>
      <c r="L939" s="5">
        <v>290</v>
      </c>
      <c r="M939" s="4"/>
      <c r="N939" s="4">
        <v>1</v>
      </c>
      <c r="O939" s="5"/>
      <c r="P939" s="5">
        <v>290</v>
      </c>
      <c r="Q939" s="21">
        <v>0</v>
      </c>
      <c r="R939" s="21">
        <v>0</v>
      </c>
      <c r="S939" s="5">
        <f t="shared" si="59"/>
        <v>130801.45776015204</v>
      </c>
      <c r="T939" cm="1">
        <f t="array" ref="T939">IF(OR(B939="MAL ALIMI", B939="ÜRETİM GİRİŞ"), MIN(I939, MAX(0, I939 + SUM(SUMIFS($I$1:I938, $C$1:C938, C939, $B$1:B938, {"MAL ALIMI","ÜRETİM GİRİŞ"})) - VLOOKUP(C939, 'STOK RAPORU'!$C$2:$I$1000, 4, 0))), 0)</f>
        <v>0</v>
      </c>
      <c r="U939" s="22">
        <f t="shared" si="56"/>
        <v>0</v>
      </c>
      <c r="V939">
        <f t="shared" si="57"/>
        <v>290</v>
      </c>
      <c r="W939" s="22">
        <f t="shared" si="58"/>
        <v>290</v>
      </c>
    </row>
    <row r="940" spans="1:23" hidden="1" x14ac:dyDescent="0.25">
      <c r="A940" s="3">
        <v>45971</v>
      </c>
      <c r="B940" s="4" t="s">
        <v>298</v>
      </c>
      <c r="C940" s="4" t="s">
        <v>243</v>
      </c>
      <c r="D940" s="4"/>
      <c r="E940" s="4" t="s">
        <v>350</v>
      </c>
      <c r="F940" s="4" t="s">
        <v>603</v>
      </c>
      <c r="G940" s="4" t="s">
        <v>350</v>
      </c>
      <c r="H940" s="4" t="s">
        <v>304</v>
      </c>
      <c r="I940" s="4">
        <v>12</v>
      </c>
      <c r="J940" s="21">
        <v>95</v>
      </c>
      <c r="K940" s="21">
        <v>0</v>
      </c>
      <c r="L940" s="5">
        <v>1140</v>
      </c>
      <c r="M940" s="4"/>
      <c r="N940" s="4">
        <v>12</v>
      </c>
      <c r="O940" s="5"/>
      <c r="P940" s="5">
        <v>95</v>
      </c>
      <c r="Q940" s="21">
        <v>0</v>
      </c>
      <c r="R940" s="21">
        <v>0</v>
      </c>
      <c r="S940" s="5">
        <f t="shared" si="59"/>
        <v>130801.45776015204</v>
      </c>
      <c r="T940" cm="1">
        <f t="array" ref="T940">IF(OR(B940="MAL ALIMI", B940="ÜRETİM GİRİŞ"), MIN(I940, MAX(0, I940 + SUM(SUMIFS($I$1:I939, $C$1:C939, C940, $B$1:B939, {"MAL ALIMI","ÜRETİM GİRİŞ"})) - VLOOKUP(C940, 'STOK RAPORU'!$C$2:$I$1000, 4, 0))), 0)</f>
        <v>9</v>
      </c>
      <c r="U940" s="22">
        <f t="shared" si="56"/>
        <v>855</v>
      </c>
      <c r="V940">
        <f t="shared" si="57"/>
        <v>1140</v>
      </c>
      <c r="W940" s="22">
        <f t="shared" si="58"/>
        <v>285</v>
      </c>
    </row>
    <row r="941" spans="1:23" hidden="1" x14ac:dyDescent="0.25">
      <c r="A941" s="3">
        <v>45971</v>
      </c>
      <c r="B941" s="4" t="s">
        <v>285</v>
      </c>
      <c r="C941" s="4"/>
      <c r="D941" s="4" t="s">
        <v>111</v>
      </c>
      <c r="E941" s="4" t="s">
        <v>856</v>
      </c>
      <c r="F941" s="4" t="s">
        <v>744</v>
      </c>
      <c r="G941" s="4" t="s">
        <v>745</v>
      </c>
      <c r="H941" s="4" t="s">
        <v>1329</v>
      </c>
      <c r="I941" s="4">
        <v>1</v>
      </c>
      <c r="J941" s="35">
        <v>450.41</v>
      </c>
      <c r="K941" s="35">
        <v>0</v>
      </c>
      <c r="L941" s="5">
        <v>450.41</v>
      </c>
      <c r="M941" s="31"/>
      <c r="N941" s="31">
        <v>1</v>
      </c>
      <c r="O941" s="32"/>
      <c r="P941" s="32">
        <v>450.41</v>
      </c>
      <c r="Q941" s="35">
        <v>0</v>
      </c>
      <c r="R941" s="35">
        <v>0</v>
      </c>
      <c r="S941" s="5">
        <f t="shared" si="59"/>
        <v>130801.45776015204</v>
      </c>
      <c r="T941" cm="1">
        <f t="array" ref="T941">IF(OR(B941="MAL ALIMI", B941="ÜRETİM GİRİŞ"), MIN(I941, MAX(0, I941 + SUM(SUMIFS($I$1:I940, $C$1:C940, C941, $B$1:B940, {"MAL ALIMI","ÜRETİM GİRİŞ"})) - VLOOKUP(C941, 'STOK RAPORU'!$C$2:$I$1000, 4, 0))), 0)</f>
        <v>0</v>
      </c>
      <c r="U941" s="22">
        <f t="shared" si="56"/>
        <v>0</v>
      </c>
      <c r="V941">
        <f t="shared" si="57"/>
        <v>0</v>
      </c>
      <c r="W941" s="22">
        <f t="shared" si="58"/>
        <v>0</v>
      </c>
    </row>
    <row r="942" spans="1:23" hidden="1" x14ac:dyDescent="0.25">
      <c r="A942" s="3">
        <v>45971</v>
      </c>
      <c r="B942" s="4" t="s">
        <v>298</v>
      </c>
      <c r="C942" s="4" t="s">
        <v>751</v>
      </c>
      <c r="D942" s="4"/>
      <c r="E942" s="4" t="s">
        <v>856</v>
      </c>
      <c r="F942" s="4" t="s">
        <v>771</v>
      </c>
      <c r="G942" s="4" t="s">
        <v>753</v>
      </c>
      <c r="H942" s="4" t="s">
        <v>1329</v>
      </c>
      <c r="I942" s="4">
        <v>5</v>
      </c>
      <c r="J942" s="35">
        <v>141.9</v>
      </c>
      <c r="K942" s="35">
        <v>0</v>
      </c>
      <c r="L942" s="5">
        <v>709.5</v>
      </c>
      <c r="M942" s="31"/>
      <c r="N942" s="31">
        <v>5</v>
      </c>
      <c r="O942" s="32"/>
      <c r="P942" s="32">
        <v>141.9</v>
      </c>
      <c r="Q942" s="35">
        <v>0</v>
      </c>
      <c r="R942" s="35">
        <v>0</v>
      </c>
      <c r="S942" s="5">
        <f t="shared" si="59"/>
        <v>130801.45776015204</v>
      </c>
      <c r="T942" cm="1">
        <f t="array" ref="T942">IF(OR(B942="MAL ALIMI", B942="ÜRETİM GİRİŞ"), MIN(I942, MAX(0, I942 + SUM(SUMIFS($I$1:I941, $C$1:C941, C942, $B$1:B941, {"MAL ALIMI","ÜRETİM GİRİŞ"})) - VLOOKUP(C942, 'STOK RAPORU'!$C$2:$I$1000, 4, 0))), 0)</f>
        <v>0</v>
      </c>
      <c r="U942" s="22">
        <f t="shared" si="56"/>
        <v>0</v>
      </c>
      <c r="V942">
        <f t="shared" si="57"/>
        <v>709.5</v>
      </c>
      <c r="W942" s="22">
        <f t="shared" si="58"/>
        <v>709.5</v>
      </c>
    </row>
    <row r="943" spans="1:23" hidden="1" x14ac:dyDescent="0.25">
      <c r="A943" s="3">
        <v>45971</v>
      </c>
      <c r="B943" s="4" t="s">
        <v>298</v>
      </c>
      <c r="C943" s="4" t="s">
        <v>768</v>
      </c>
      <c r="D943" s="4"/>
      <c r="E943" s="4" t="s">
        <v>856</v>
      </c>
      <c r="F943" s="4" t="s">
        <v>773</v>
      </c>
      <c r="G943" s="4" t="s">
        <v>753</v>
      </c>
      <c r="H943" s="4" t="s">
        <v>1329</v>
      </c>
      <c r="I943" s="4">
        <v>1</v>
      </c>
      <c r="J943" s="35">
        <v>140.77000000000001</v>
      </c>
      <c r="K943" s="35">
        <v>0</v>
      </c>
      <c r="L943" s="5">
        <v>140.77000000000001</v>
      </c>
      <c r="M943" s="31"/>
      <c r="N943" s="31">
        <v>1</v>
      </c>
      <c r="O943" s="32"/>
      <c r="P943" s="32">
        <v>140.77000000000001</v>
      </c>
      <c r="Q943" s="35">
        <v>0</v>
      </c>
      <c r="R943" s="35">
        <v>0</v>
      </c>
      <c r="S943" s="5">
        <f t="shared" si="59"/>
        <v>130801.45776015204</v>
      </c>
      <c r="T943" cm="1">
        <f t="array" ref="T943">IF(OR(B943="MAL ALIMI", B943="ÜRETİM GİRİŞ"), MIN(I943, MAX(0, I943 + SUM(SUMIFS($I$1:I942, $C$1:C942, C943, $B$1:B942, {"MAL ALIMI","ÜRETİM GİRİŞ"})) - VLOOKUP(C943, 'STOK RAPORU'!$C$2:$I$1000, 4, 0))), 0)</f>
        <v>0</v>
      </c>
      <c r="U943" s="22">
        <f t="shared" si="56"/>
        <v>0</v>
      </c>
      <c r="V943">
        <f t="shared" si="57"/>
        <v>140.77000000000001</v>
      </c>
      <c r="W943" s="22">
        <f t="shared" si="58"/>
        <v>140.77000000000001</v>
      </c>
    </row>
    <row r="944" spans="1:23" hidden="1" x14ac:dyDescent="0.25">
      <c r="A944" s="3">
        <v>45971</v>
      </c>
      <c r="B944" s="4" t="s">
        <v>298</v>
      </c>
      <c r="C944" s="4" t="s">
        <v>766</v>
      </c>
      <c r="D944" s="4"/>
      <c r="E944" s="4" t="s">
        <v>856</v>
      </c>
      <c r="F944" s="4" t="s">
        <v>773</v>
      </c>
      <c r="G944" s="4" t="s">
        <v>753</v>
      </c>
      <c r="H944" s="4" t="s">
        <v>1329</v>
      </c>
      <c r="I944" s="4">
        <v>2</v>
      </c>
      <c r="J944" s="35">
        <v>140.77000000000001</v>
      </c>
      <c r="K944" s="35">
        <v>0</v>
      </c>
      <c r="L944" s="5">
        <v>281.54000000000002</v>
      </c>
      <c r="M944" s="31"/>
      <c r="N944" s="31">
        <v>2</v>
      </c>
      <c r="O944" s="32"/>
      <c r="P944" s="32">
        <v>140.77000000000001</v>
      </c>
      <c r="Q944" s="35">
        <v>0</v>
      </c>
      <c r="R944" s="35">
        <v>0</v>
      </c>
      <c r="S944" s="5">
        <f t="shared" si="59"/>
        <v>130801.45776015204</v>
      </c>
      <c r="T944" cm="1">
        <f t="array" ref="T944">IF(OR(B944="MAL ALIMI", B944="ÜRETİM GİRİŞ"), MIN(I944, MAX(0, I944 + SUM(SUMIFS($I$1:I943, $C$1:C943, C944, $B$1:B943, {"MAL ALIMI","ÜRETİM GİRİŞ"})) - VLOOKUP(C944, 'STOK RAPORU'!$C$2:$I$1000, 4, 0))), 0)</f>
        <v>0</v>
      </c>
      <c r="U944" s="22">
        <f t="shared" si="56"/>
        <v>0</v>
      </c>
      <c r="V944">
        <f t="shared" si="57"/>
        <v>281.54000000000002</v>
      </c>
      <c r="W944" s="22">
        <f t="shared" si="58"/>
        <v>281.54000000000002</v>
      </c>
    </row>
    <row r="945" spans="1:23" hidden="1" x14ac:dyDescent="0.25">
      <c r="A945" s="3">
        <v>45971</v>
      </c>
      <c r="B945" s="4" t="s">
        <v>298</v>
      </c>
      <c r="C945" s="4" t="s">
        <v>767</v>
      </c>
      <c r="D945" s="4"/>
      <c r="E945" s="4" t="s">
        <v>856</v>
      </c>
      <c r="F945" s="4" t="s">
        <v>773</v>
      </c>
      <c r="G945" s="4" t="s">
        <v>753</v>
      </c>
      <c r="H945" s="4" t="s">
        <v>1329</v>
      </c>
      <c r="I945" s="4">
        <v>2</v>
      </c>
      <c r="J945" s="35">
        <v>148.6</v>
      </c>
      <c r="K945" s="35">
        <v>0</v>
      </c>
      <c r="L945" s="5">
        <v>297.2</v>
      </c>
      <c r="M945" s="31"/>
      <c r="N945" s="31">
        <v>2</v>
      </c>
      <c r="O945" s="32"/>
      <c r="P945" s="32">
        <v>148.6</v>
      </c>
      <c r="Q945" s="35">
        <v>0</v>
      </c>
      <c r="R945" s="35">
        <v>0</v>
      </c>
      <c r="S945" s="5">
        <f t="shared" si="59"/>
        <v>130801.45776015204</v>
      </c>
      <c r="T945" cm="1">
        <f t="array" ref="T945">IF(OR(B945="MAL ALIMI", B945="ÜRETİM GİRİŞ"), MIN(I945, MAX(0, I945 + SUM(SUMIFS($I$1:I944, $C$1:C944, C945, $B$1:B944, {"MAL ALIMI","ÜRETİM GİRİŞ"})) - VLOOKUP(C945, 'STOK RAPORU'!$C$2:$I$1000, 4, 0))), 0)</f>
        <v>0</v>
      </c>
      <c r="U945" s="22">
        <f t="shared" si="56"/>
        <v>0</v>
      </c>
      <c r="V945">
        <f t="shared" si="57"/>
        <v>297.2</v>
      </c>
      <c r="W945" s="22">
        <f t="shared" si="58"/>
        <v>297.2</v>
      </c>
    </row>
    <row r="946" spans="1:23" hidden="1" x14ac:dyDescent="0.25">
      <c r="A946" s="3">
        <v>45971</v>
      </c>
      <c r="B946" s="4" t="s">
        <v>334</v>
      </c>
      <c r="C946" s="4" t="s">
        <v>126</v>
      </c>
      <c r="D946" s="4"/>
      <c r="E946" s="4"/>
      <c r="F946" s="4" t="s">
        <v>636</v>
      </c>
      <c r="G946" s="4" t="s">
        <v>336</v>
      </c>
      <c r="H946" s="4" t="s">
        <v>289</v>
      </c>
      <c r="I946" s="4">
        <v>0.06</v>
      </c>
      <c r="J946" s="21">
        <v>640</v>
      </c>
      <c r="K946" s="21">
        <v>0</v>
      </c>
      <c r="L946" s="5">
        <v>0</v>
      </c>
      <c r="M946" s="4">
        <v>0.06</v>
      </c>
      <c r="N946" s="4"/>
      <c r="O946" s="5">
        <v>640</v>
      </c>
      <c r="P946" s="5"/>
      <c r="Q946" s="21">
        <v>38.4</v>
      </c>
      <c r="R946" s="21">
        <v>0</v>
      </c>
      <c r="S946" s="5">
        <f t="shared" si="59"/>
        <v>130839.85776015204</v>
      </c>
      <c r="T946" cm="1">
        <f t="array" ref="T946">IF(OR(B946="MAL ALIMI", B946="ÜRETİM GİRİŞ"), MIN(I946, MAX(0, I946 + SUM(SUMIFS($I$1:I945, $C$1:C945, C946, $B$1:B945, {"MAL ALIMI","ÜRETİM GİRİŞ"})) - VLOOKUP(C946, 'STOK RAPORU'!$C$2:$I$1000, 4, 0))), 0)</f>
        <v>0</v>
      </c>
      <c r="U946" s="22">
        <f t="shared" si="56"/>
        <v>0</v>
      </c>
      <c r="V946">
        <f t="shared" si="57"/>
        <v>0</v>
      </c>
      <c r="W946" s="22">
        <f t="shared" si="58"/>
        <v>0</v>
      </c>
    </row>
    <row r="947" spans="1:23" hidden="1" x14ac:dyDescent="0.25">
      <c r="A947" s="3">
        <v>45971</v>
      </c>
      <c r="B947" s="4" t="s">
        <v>334</v>
      </c>
      <c r="C947" s="4" t="s">
        <v>133</v>
      </c>
      <c r="D947" s="4"/>
      <c r="E947" s="4"/>
      <c r="F947" s="4" t="s">
        <v>636</v>
      </c>
      <c r="G947" s="4" t="s">
        <v>336</v>
      </c>
      <c r="H947" s="4" t="s">
        <v>289</v>
      </c>
      <c r="I947" s="4">
        <v>5.1999999999999998E-2</v>
      </c>
      <c r="J947" s="21">
        <v>380</v>
      </c>
      <c r="K947" s="21">
        <v>0</v>
      </c>
      <c r="L947" s="5">
        <v>0</v>
      </c>
      <c r="M947" s="4">
        <v>5.1999999999999998E-2</v>
      </c>
      <c r="N947" s="4"/>
      <c r="O947" s="5">
        <v>380</v>
      </c>
      <c r="P947" s="5"/>
      <c r="Q947" s="21">
        <v>19.759999999999998</v>
      </c>
      <c r="R947" s="21">
        <v>0</v>
      </c>
      <c r="S947" s="5">
        <f t="shared" si="59"/>
        <v>130859.61776015203</v>
      </c>
      <c r="T947" cm="1">
        <f t="array" ref="T947">IF(OR(B947="MAL ALIMI", B947="ÜRETİM GİRİŞ"), MIN(I947, MAX(0, I947 + SUM(SUMIFS($I$1:I946, $C$1:C946, C947, $B$1:B946, {"MAL ALIMI","ÜRETİM GİRİŞ"})) - VLOOKUP(C947, 'STOK RAPORU'!$C$2:$I$1000, 4, 0))), 0)</f>
        <v>0</v>
      </c>
      <c r="U947" s="22">
        <f t="shared" si="56"/>
        <v>0</v>
      </c>
      <c r="V947">
        <f t="shared" si="57"/>
        <v>0</v>
      </c>
      <c r="W947" s="22">
        <f t="shared" si="58"/>
        <v>0</v>
      </c>
    </row>
    <row r="948" spans="1:23" hidden="1" x14ac:dyDescent="0.25">
      <c r="A948" s="3">
        <v>45971</v>
      </c>
      <c r="B948" s="4" t="s">
        <v>334</v>
      </c>
      <c r="C948" s="4" t="s">
        <v>131</v>
      </c>
      <c r="D948" s="4"/>
      <c r="E948" s="4"/>
      <c r="F948" s="4" t="s">
        <v>636</v>
      </c>
      <c r="G948" s="4" t="s">
        <v>336</v>
      </c>
      <c r="H948" s="4" t="s">
        <v>289</v>
      </c>
      <c r="I948" s="4">
        <v>2.8000000000000001E-2</v>
      </c>
      <c r="J948" s="21">
        <v>400</v>
      </c>
      <c r="K948" s="21">
        <v>0</v>
      </c>
      <c r="L948" s="5">
        <v>0</v>
      </c>
      <c r="M948" s="4">
        <v>2.8000000000000001E-2</v>
      </c>
      <c r="N948" s="4"/>
      <c r="O948" s="5">
        <v>400</v>
      </c>
      <c r="P948" s="5"/>
      <c r="Q948" s="21">
        <v>11.200000000000001</v>
      </c>
      <c r="R948" s="21">
        <v>0</v>
      </c>
      <c r="S948" s="5">
        <f t="shared" si="59"/>
        <v>130870.81776015203</v>
      </c>
      <c r="T948" cm="1">
        <f t="array" ref="T948">IF(OR(B948="MAL ALIMI", B948="ÜRETİM GİRİŞ"), MIN(I948, MAX(0, I948 + SUM(SUMIFS($I$1:I947, $C$1:C947, C948, $B$1:B947, {"MAL ALIMI","ÜRETİM GİRİŞ"})) - VLOOKUP(C948, 'STOK RAPORU'!$C$2:$I$1000, 4, 0))), 0)</f>
        <v>0</v>
      </c>
      <c r="U948" s="22">
        <f t="shared" si="56"/>
        <v>0</v>
      </c>
      <c r="V948">
        <f t="shared" si="57"/>
        <v>0</v>
      </c>
      <c r="W948" s="22">
        <f t="shared" si="58"/>
        <v>0</v>
      </c>
    </row>
    <row r="949" spans="1:23" hidden="1" x14ac:dyDescent="0.25">
      <c r="A949" s="3">
        <v>45971</v>
      </c>
      <c r="B949" s="4" t="s">
        <v>334</v>
      </c>
      <c r="C949" s="4" t="s">
        <v>91</v>
      </c>
      <c r="D949" s="4"/>
      <c r="E949" s="4"/>
      <c r="F949" s="4" t="s">
        <v>636</v>
      </c>
      <c r="G949" s="4" t="s">
        <v>336</v>
      </c>
      <c r="H949" s="4" t="s">
        <v>289</v>
      </c>
      <c r="I949" s="4">
        <v>2.4E-2</v>
      </c>
      <c r="J949" s="21">
        <v>760</v>
      </c>
      <c r="K949" s="21">
        <v>0</v>
      </c>
      <c r="L949" s="5">
        <v>0</v>
      </c>
      <c r="M949" s="4">
        <v>2.4E-2</v>
      </c>
      <c r="N949" s="4"/>
      <c r="O949" s="5">
        <v>760</v>
      </c>
      <c r="P949" s="5"/>
      <c r="Q949" s="21">
        <v>18.240000000000002</v>
      </c>
      <c r="R949" s="21">
        <v>0</v>
      </c>
      <c r="S949" s="5">
        <f t="shared" si="59"/>
        <v>130889.05776015203</v>
      </c>
      <c r="T949" cm="1">
        <f t="array" ref="T949">IF(OR(B949="MAL ALIMI", B949="ÜRETİM GİRİŞ"), MIN(I949, MAX(0, I949 + SUM(SUMIFS($I$1:I948, $C$1:C948, C949, $B$1:B948, {"MAL ALIMI","ÜRETİM GİRİŞ"})) - VLOOKUP(C949, 'STOK RAPORU'!$C$2:$I$1000, 4, 0))), 0)</f>
        <v>0</v>
      </c>
      <c r="U949" s="22">
        <f t="shared" si="56"/>
        <v>0</v>
      </c>
      <c r="V949">
        <f t="shared" si="57"/>
        <v>0</v>
      </c>
      <c r="W949" s="22">
        <f t="shared" si="58"/>
        <v>0</v>
      </c>
    </row>
    <row r="950" spans="1:23" hidden="1" x14ac:dyDescent="0.25">
      <c r="A950" s="3">
        <v>45971</v>
      </c>
      <c r="B950" s="4" t="s">
        <v>334</v>
      </c>
      <c r="C950" s="4" t="s">
        <v>258</v>
      </c>
      <c r="D950" s="4"/>
      <c r="E950" s="4"/>
      <c r="F950" s="4" t="s">
        <v>637</v>
      </c>
      <c r="G950" s="4" t="s">
        <v>336</v>
      </c>
      <c r="H950" s="4" t="s">
        <v>289</v>
      </c>
      <c r="I950" s="4">
        <v>1</v>
      </c>
      <c r="J950" s="21">
        <v>600</v>
      </c>
      <c r="K950" s="21">
        <v>0</v>
      </c>
      <c r="L950" s="5">
        <v>0</v>
      </c>
      <c r="M950" s="4">
        <v>1</v>
      </c>
      <c r="N950" s="4"/>
      <c r="O950" s="5">
        <v>600</v>
      </c>
      <c r="P950" s="5"/>
      <c r="Q950" s="21">
        <v>600</v>
      </c>
      <c r="R950" s="21">
        <v>0</v>
      </c>
      <c r="S950" s="5">
        <f t="shared" si="59"/>
        <v>131489.05776015203</v>
      </c>
      <c r="T950" cm="1">
        <f t="array" ref="T950">IF(OR(B950="MAL ALIMI", B950="ÜRETİM GİRİŞ"), MIN(I950, MAX(0, I950 + SUM(SUMIFS($I$1:I949, $C$1:C949, C950, $B$1:B949, {"MAL ALIMI","ÜRETİM GİRİŞ"})) - VLOOKUP(C950, 'STOK RAPORU'!$C$2:$I$1000, 4, 0))), 0)</f>
        <v>0</v>
      </c>
      <c r="U950" s="22">
        <f t="shared" si="56"/>
        <v>0</v>
      </c>
      <c r="V950">
        <f t="shared" si="57"/>
        <v>0</v>
      </c>
      <c r="W950" s="22">
        <f t="shared" si="58"/>
        <v>0</v>
      </c>
    </row>
    <row r="951" spans="1:23" hidden="1" x14ac:dyDescent="0.25">
      <c r="A951" s="3">
        <v>45971</v>
      </c>
      <c r="B951" s="4" t="s">
        <v>334</v>
      </c>
      <c r="C951" s="4" t="s">
        <v>223</v>
      </c>
      <c r="D951" s="4"/>
      <c r="E951" s="4"/>
      <c r="F951" s="4" t="s">
        <v>637</v>
      </c>
      <c r="G951" s="4" t="s">
        <v>336</v>
      </c>
      <c r="H951" s="4" t="s">
        <v>289</v>
      </c>
      <c r="I951" s="4">
        <v>1</v>
      </c>
      <c r="J951" s="21">
        <v>700</v>
      </c>
      <c r="K951" s="21">
        <v>0</v>
      </c>
      <c r="L951" s="5">
        <v>0</v>
      </c>
      <c r="M951" s="4">
        <v>1</v>
      </c>
      <c r="N951" s="4"/>
      <c r="O951" s="5">
        <v>700</v>
      </c>
      <c r="P951" s="5"/>
      <c r="Q951" s="21">
        <v>700</v>
      </c>
      <c r="R951" s="21">
        <v>0</v>
      </c>
      <c r="S951" s="5">
        <f t="shared" si="59"/>
        <v>132189.05776015203</v>
      </c>
      <c r="T951" cm="1">
        <f t="array" ref="T951">IF(OR(B951="MAL ALIMI", B951="ÜRETİM GİRİŞ"), MIN(I951, MAX(0, I951 + SUM(SUMIFS($I$1:I950, $C$1:C950, C951, $B$1:B950, {"MAL ALIMI","ÜRETİM GİRİŞ"})) - VLOOKUP(C951, 'STOK RAPORU'!$C$2:$I$1000, 4, 0))), 0)</f>
        <v>0</v>
      </c>
      <c r="U951" s="22">
        <f t="shared" si="56"/>
        <v>0</v>
      </c>
      <c r="V951">
        <f t="shared" si="57"/>
        <v>0</v>
      </c>
      <c r="W951" s="22">
        <f t="shared" si="58"/>
        <v>0</v>
      </c>
    </row>
    <row r="952" spans="1:23" hidden="1" x14ac:dyDescent="0.25">
      <c r="A952" s="3">
        <v>45971</v>
      </c>
      <c r="B952" s="4" t="s">
        <v>334</v>
      </c>
      <c r="C952" s="4" t="s">
        <v>126</v>
      </c>
      <c r="D952" s="4"/>
      <c r="E952" s="4"/>
      <c r="F952" s="4" t="s">
        <v>638</v>
      </c>
      <c r="G952" s="4" t="s">
        <v>336</v>
      </c>
      <c r="H952" s="4" t="s">
        <v>289</v>
      </c>
      <c r="I952" s="4">
        <v>0.157</v>
      </c>
      <c r="J952" s="21">
        <v>640</v>
      </c>
      <c r="K952" s="21">
        <v>0</v>
      </c>
      <c r="L952" s="5">
        <v>0</v>
      </c>
      <c r="M952" s="4">
        <v>0.157</v>
      </c>
      <c r="N952" s="4"/>
      <c r="O952" s="5">
        <v>640</v>
      </c>
      <c r="P952" s="5"/>
      <c r="Q952" s="21">
        <v>100.48</v>
      </c>
      <c r="R952" s="21">
        <v>0</v>
      </c>
      <c r="S952" s="5">
        <f t="shared" si="59"/>
        <v>132289.53776015204</v>
      </c>
      <c r="T952" cm="1">
        <f t="array" ref="T952">IF(OR(B952="MAL ALIMI", B952="ÜRETİM GİRİŞ"), MIN(I952, MAX(0, I952 + SUM(SUMIFS($I$1:I951, $C$1:C951, C952, $B$1:B951, {"MAL ALIMI","ÜRETİM GİRİŞ"})) - VLOOKUP(C952, 'STOK RAPORU'!$C$2:$I$1000, 4, 0))), 0)</f>
        <v>0</v>
      </c>
      <c r="U952" s="22">
        <f t="shared" si="56"/>
        <v>0</v>
      </c>
      <c r="V952">
        <f t="shared" si="57"/>
        <v>0</v>
      </c>
      <c r="W952" s="22">
        <f t="shared" si="58"/>
        <v>0</v>
      </c>
    </row>
    <row r="953" spans="1:23" hidden="1" x14ac:dyDescent="0.25">
      <c r="A953" s="3">
        <v>45971</v>
      </c>
      <c r="B953" s="4" t="s">
        <v>334</v>
      </c>
      <c r="C953" s="4" t="s">
        <v>91</v>
      </c>
      <c r="D953" s="4"/>
      <c r="E953" s="4"/>
      <c r="F953" s="4" t="s">
        <v>638</v>
      </c>
      <c r="G953" s="4" t="s">
        <v>336</v>
      </c>
      <c r="H953" s="4" t="s">
        <v>289</v>
      </c>
      <c r="I953" s="4">
        <v>0.13500000000000001</v>
      </c>
      <c r="J953" s="21">
        <v>760</v>
      </c>
      <c r="K953" s="21">
        <v>0</v>
      </c>
      <c r="L953" s="5">
        <v>0</v>
      </c>
      <c r="M953" s="4">
        <v>0.13500000000000001</v>
      </c>
      <c r="N953" s="4"/>
      <c r="O953" s="5">
        <v>760</v>
      </c>
      <c r="P953" s="5"/>
      <c r="Q953" s="21">
        <v>102.60000000000001</v>
      </c>
      <c r="R953" s="21">
        <v>0</v>
      </c>
      <c r="S953" s="5">
        <f t="shared" si="59"/>
        <v>132392.13776015205</v>
      </c>
      <c r="T953" cm="1">
        <f t="array" ref="T953">IF(OR(B953="MAL ALIMI", B953="ÜRETİM GİRİŞ"), MIN(I953, MAX(0, I953 + SUM(SUMIFS($I$1:I952, $C$1:C952, C953, $B$1:B952, {"MAL ALIMI","ÜRETİM GİRİŞ"})) - VLOOKUP(C953, 'STOK RAPORU'!$C$2:$I$1000, 4, 0))), 0)</f>
        <v>0</v>
      </c>
      <c r="U953" s="22">
        <f t="shared" si="56"/>
        <v>0</v>
      </c>
      <c r="V953">
        <f t="shared" si="57"/>
        <v>0</v>
      </c>
      <c r="W953" s="22">
        <f t="shared" si="58"/>
        <v>0</v>
      </c>
    </row>
    <row r="954" spans="1:23" hidden="1" x14ac:dyDescent="0.25">
      <c r="A954" s="3">
        <v>45971</v>
      </c>
      <c r="B954" s="4" t="s">
        <v>334</v>
      </c>
      <c r="C954" s="4" t="s">
        <v>267</v>
      </c>
      <c r="D954" s="4"/>
      <c r="E954" s="4"/>
      <c r="F954" s="4" t="s">
        <v>638</v>
      </c>
      <c r="G954" s="4" t="s">
        <v>336</v>
      </c>
      <c r="H954" s="4" t="s">
        <v>289</v>
      </c>
      <c r="I954" s="4">
        <v>1</v>
      </c>
      <c r="J954" s="21">
        <v>190</v>
      </c>
      <c r="K954" s="21">
        <v>0</v>
      </c>
      <c r="L954" s="5">
        <v>0</v>
      </c>
      <c r="M954" s="4">
        <v>1</v>
      </c>
      <c r="N954" s="4"/>
      <c r="O954" s="5">
        <v>190</v>
      </c>
      <c r="P954" s="5"/>
      <c r="Q954" s="21">
        <v>190</v>
      </c>
      <c r="R954" s="21">
        <v>0</v>
      </c>
      <c r="S954" s="5">
        <f t="shared" si="59"/>
        <v>132582.13776015205</v>
      </c>
      <c r="T954" cm="1">
        <f t="array" ref="T954">IF(OR(B954="MAL ALIMI", B954="ÜRETİM GİRİŞ"), MIN(I954, MAX(0, I954 + SUM(SUMIFS($I$1:I953, $C$1:C953, C954, $B$1:B953, {"MAL ALIMI","ÜRETİM GİRİŞ"})) - VLOOKUP(C954, 'STOK RAPORU'!$C$2:$I$1000, 4, 0))), 0)</f>
        <v>0</v>
      </c>
      <c r="U954" s="22">
        <f t="shared" si="56"/>
        <v>0</v>
      </c>
      <c r="V954">
        <f t="shared" si="57"/>
        <v>0</v>
      </c>
      <c r="W954" s="22">
        <f t="shared" si="58"/>
        <v>0</v>
      </c>
    </row>
    <row r="955" spans="1:23" hidden="1" x14ac:dyDescent="0.25">
      <c r="A955" s="3">
        <v>45971</v>
      </c>
      <c r="B955" s="4" t="s">
        <v>334</v>
      </c>
      <c r="C955" s="4" t="s">
        <v>162</v>
      </c>
      <c r="D955" s="4"/>
      <c r="E955" s="4"/>
      <c r="F955" s="4" t="s">
        <v>638</v>
      </c>
      <c r="G955" s="4" t="s">
        <v>336</v>
      </c>
      <c r="H955" s="4" t="s">
        <v>289</v>
      </c>
      <c r="I955" s="4">
        <v>1</v>
      </c>
      <c r="J955" s="21">
        <v>260</v>
      </c>
      <c r="K955" s="21">
        <v>0</v>
      </c>
      <c r="L955" s="5">
        <v>0</v>
      </c>
      <c r="M955" s="4">
        <v>1</v>
      </c>
      <c r="N955" s="4"/>
      <c r="O955" s="5">
        <v>260</v>
      </c>
      <c r="P955" s="5"/>
      <c r="Q955" s="21">
        <v>260</v>
      </c>
      <c r="R955" s="21">
        <v>0</v>
      </c>
      <c r="S955" s="5">
        <f t="shared" si="59"/>
        <v>132842.13776015205</v>
      </c>
      <c r="T955" cm="1">
        <f t="array" ref="T955">IF(OR(B955="MAL ALIMI", B955="ÜRETİM GİRİŞ"), MIN(I955, MAX(0, I955 + SUM(SUMIFS($I$1:I954, $C$1:C954, C955, $B$1:B954, {"MAL ALIMI","ÜRETİM GİRİŞ"})) - VLOOKUP(C955, 'STOK RAPORU'!$C$2:$I$1000, 4, 0))), 0)</f>
        <v>0</v>
      </c>
      <c r="U955" s="22">
        <f t="shared" si="56"/>
        <v>0</v>
      </c>
      <c r="V955">
        <f t="shared" si="57"/>
        <v>0</v>
      </c>
      <c r="W955" s="22">
        <f t="shared" si="58"/>
        <v>0</v>
      </c>
    </row>
    <row r="956" spans="1:23" hidden="1" x14ac:dyDescent="0.25">
      <c r="A956" s="3">
        <v>45971</v>
      </c>
      <c r="B956" s="4" t="s">
        <v>334</v>
      </c>
      <c r="C956" s="4" t="s">
        <v>126</v>
      </c>
      <c r="D956" s="4"/>
      <c r="E956" s="4"/>
      <c r="F956" s="4" t="s">
        <v>639</v>
      </c>
      <c r="G956" s="4" t="s">
        <v>336</v>
      </c>
      <c r="H956" s="4" t="s">
        <v>289</v>
      </c>
      <c r="I956" s="4">
        <v>1</v>
      </c>
      <c r="J956" s="21">
        <v>640</v>
      </c>
      <c r="K956" s="21">
        <v>0</v>
      </c>
      <c r="L956" s="5">
        <v>0</v>
      </c>
      <c r="M956" s="4">
        <v>1</v>
      </c>
      <c r="N956" s="4"/>
      <c r="O956" s="5">
        <v>640</v>
      </c>
      <c r="P956" s="5"/>
      <c r="Q956" s="21">
        <v>640</v>
      </c>
      <c r="R956" s="21">
        <v>0</v>
      </c>
      <c r="S956" s="5">
        <f t="shared" si="59"/>
        <v>133482.13776015205</v>
      </c>
      <c r="T956" cm="1">
        <f t="array" ref="T956">IF(OR(B956="MAL ALIMI", B956="ÜRETİM GİRİŞ"), MIN(I956, MAX(0, I956 + SUM(SUMIFS($I$1:I955, $C$1:C955, C956, $B$1:B955, {"MAL ALIMI","ÜRETİM GİRİŞ"})) - VLOOKUP(C956, 'STOK RAPORU'!$C$2:$I$1000, 4, 0))), 0)</f>
        <v>0</v>
      </c>
      <c r="U956" s="22">
        <f t="shared" si="56"/>
        <v>0</v>
      </c>
      <c r="V956">
        <f t="shared" si="57"/>
        <v>0</v>
      </c>
      <c r="W956" s="22">
        <f t="shared" si="58"/>
        <v>0</v>
      </c>
    </row>
    <row r="957" spans="1:23" hidden="1" x14ac:dyDescent="0.25">
      <c r="A957" s="3">
        <v>45971</v>
      </c>
      <c r="B957" s="4" t="s">
        <v>334</v>
      </c>
      <c r="C957" s="4" t="s">
        <v>463</v>
      </c>
      <c r="D957" s="4"/>
      <c r="E957" s="4"/>
      <c r="F957" s="4" t="s">
        <v>639</v>
      </c>
      <c r="G957" s="4" t="s">
        <v>336</v>
      </c>
      <c r="H957" s="4" t="s">
        <v>289</v>
      </c>
      <c r="I957" s="4">
        <v>1</v>
      </c>
      <c r="J957" s="21">
        <v>370</v>
      </c>
      <c r="K957" s="21">
        <v>0</v>
      </c>
      <c r="L957" s="5">
        <v>0</v>
      </c>
      <c r="M957" s="4">
        <v>1</v>
      </c>
      <c r="N957" s="4"/>
      <c r="O957" s="5">
        <v>370</v>
      </c>
      <c r="P957" s="5"/>
      <c r="Q957" s="21">
        <v>370</v>
      </c>
      <c r="R957" s="21">
        <v>0</v>
      </c>
      <c r="S957" s="5">
        <f t="shared" si="59"/>
        <v>133852.13776015205</v>
      </c>
      <c r="T957" cm="1">
        <f t="array" ref="T957">IF(OR(B957="MAL ALIMI", B957="ÜRETİM GİRİŞ"), MIN(I957, MAX(0, I957 + SUM(SUMIFS($I$1:I956, $C$1:C956, C957, $B$1:B956, {"MAL ALIMI","ÜRETİM GİRİŞ"})) - VLOOKUP(C957, 'STOK RAPORU'!$C$2:$I$1000, 4, 0))), 0)</f>
        <v>0</v>
      </c>
      <c r="U957" s="22">
        <f t="shared" si="56"/>
        <v>0</v>
      </c>
      <c r="V957">
        <f t="shared" si="57"/>
        <v>0</v>
      </c>
      <c r="W957" s="22">
        <f t="shared" si="58"/>
        <v>0</v>
      </c>
    </row>
    <row r="958" spans="1:23" hidden="1" x14ac:dyDescent="0.25">
      <c r="A958" s="3">
        <v>45971</v>
      </c>
      <c r="B958" s="4" t="s">
        <v>334</v>
      </c>
      <c r="C958" s="4" t="s">
        <v>131</v>
      </c>
      <c r="D958" s="4"/>
      <c r="E958" s="4"/>
      <c r="F958" s="4" t="s">
        <v>639</v>
      </c>
      <c r="G958" s="4" t="s">
        <v>336</v>
      </c>
      <c r="H958" s="4" t="s">
        <v>289</v>
      </c>
      <c r="I958" s="4">
        <v>0.29399999999999998</v>
      </c>
      <c r="J958" s="21">
        <v>400</v>
      </c>
      <c r="K958" s="21">
        <v>0</v>
      </c>
      <c r="L958" s="5">
        <v>0</v>
      </c>
      <c r="M958" s="4">
        <v>0.29399999999999998</v>
      </c>
      <c r="N958" s="4"/>
      <c r="O958" s="5">
        <v>400</v>
      </c>
      <c r="P958" s="5"/>
      <c r="Q958" s="21">
        <v>117.6</v>
      </c>
      <c r="R958" s="21">
        <v>0</v>
      </c>
      <c r="S958" s="5">
        <f t="shared" si="59"/>
        <v>133969.73776015206</v>
      </c>
      <c r="T958" cm="1">
        <f t="array" ref="T958">IF(OR(B958="MAL ALIMI", B958="ÜRETİM GİRİŞ"), MIN(I958, MAX(0, I958 + SUM(SUMIFS($I$1:I957, $C$1:C957, C958, $B$1:B957, {"MAL ALIMI","ÜRETİM GİRİŞ"})) - VLOOKUP(C958, 'STOK RAPORU'!$C$2:$I$1000, 4, 0))), 0)</f>
        <v>0</v>
      </c>
      <c r="U958" s="22">
        <f t="shared" si="56"/>
        <v>0</v>
      </c>
      <c r="V958">
        <f t="shared" si="57"/>
        <v>0</v>
      </c>
      <c r="W958" s="22">
        <f t="shared" si="58"/>
        <v>0</v>
      </c>
    </row>
    <row r="959" spans="1:23" hidden="1" x14ac:dyDescent="0.25">
      <c r="A959" s="3">
        <v>45971</v>
      </c>
      <c r="B959" s="4" t="s">
        <v>334</v>
      </c>
      <c r="C959" s="4" t="s">
        <v>267</v>
      </c>
      <c r="D959" s="4"/>
      <c r="E959" s="4"/>
      <c r="F959" s="4" t="s">
        <v>639</v>
      </c>
      <c r="G959" s="4" t="s">
        <v>336</v>
      </c>
      <c r="H959" s="4" t="s">
        <v>289</v>
      </c>
      <c r="I959" s="4">
        <v>1</v>
      </c>
      <c r="J959" s="21">
        <v>190</v>
      </c>
      <c r="K959" s="21">
        <v>0</v>
      </c>
      <c r="L959" s="5">
        <v>0</v>
      </c>
      <c r="M959" s="4">
        <v>1</v>
      </c>
      <c r="N959" s="4"/>
      <c r="O959" s="5">
        <v>190</v>
      </c>
      <c r="P959" s="5"/>
      <c r="Q959" s="21">
        <v>190</v>
      </c>
      <c r="R959" s="21">
        <v>0</v>
      </c>
      <c r="S959" s="5">
        <f t="shared" si="59"/>
        <v>134159.73776015206</v>
      </c>
      <c r="T959" cm="1">
        <f t="array" ref="T959">IF(OR(B959="MAL ALIMI", B959="ÜRETİM GİRİŞ"), MIN(I959, MAX(0, I959 + SUM(SUMIFS($I$1:I958, $C$1:C958, C959, $B$1:B958, {"MAL ALIMI","ÜRETİM GİRİŞ"})) - VLOOKUP(C959, 'STOK RAPORU'!$C$2:$I$1000, 4, 0))), 0)</f>
        <v>0</v>
      </c>
      <c r="U959" s="22">
        <f t="shared" si="56"/>
        <v>0</v>
      </c>
      <c r="V959">
        <f t="shared" si="57"/>
        <v>0</v>
      </c>
      <c r="W959" s="22">
        <f t="shared" si="58"/>
        <v>0</v>
      </c>
    </row>
    <row r="960" spans="1:23" hidden="1" x14ac:dyDescent="0.25">
      <c r="A960" s="3">
        <v>45971</v>
      </c>
      <c r="B960" s="4" t="s">
        <v>334</v>
      </c>
      <c r="C960" s="4" t="s">
        <v>750</v>
      </c>
      <c r="D960" s="4"/>
      <c r="E960" s="4"/>
      <c r="F960" s="4" t="s">
        <v>639</v>
      </c>
      <c r="G960" s="4" t="s">
        <v>336</v>
      </c>
      <c r="H960" s="4" t="s">
        <v>289</v>
      </c>
      <c r="I960" s="4">
        <v>1</v>
      </c>
      <c r="J960" s="21">
        <v>220</v>
      </c>
      <c r="K960" s="21">
        <v>0</v>
      </c>
      <c r="L960" s="5">
        <v>0</v>
      </c>
      <c r="M960" s="4">
        <v>1</v>
      </c>
      <c r="N960" s="4"/>
      <c r="O960" s="5">
        <v>220</v>
      </c>
      <c r="P960" s="5"/>
      <c r="Q960" s="21">
        <v>220</v>
      </c>
      <c r="R960" s="21">
        <v>0</v>
      </c>
      <c r="S960" s="5">
        <f t="shared" si="59"/>
        <v>134379.73776015206</v>
      </c>
      <c r="T960" cm="1">
        <f t="array" ref="T960">IF(OR(B960="MAL ALIMI", B960="ÜRETİM GİRİŞ"), MIN(I960, MAX(0, I960 + SUM(SUMIFS($I$1:I959, $C$1:C959, C960, $B$1:B959, {"MAL ALIMI","ÜRETİM GİRİŞ"})) - VLOOKUP(C960, 'STOK RAPORU'!$C$2:$I$1000, 4, 0))), 0)</f>
        <v>0</v>
      </c>
      <c r="U960" s="22">
        <f t="shared" si="56"/>
        <v>0</v>
      </c>
      <c r="V960">
        <f t="shared" si="57"/>
        <v>0</v>
      </c>
      <c r="W960" s="22">
        <f t="shared" si="58"/>
        <v>0</v>
      </c>
    </row>
    <row r="961" spans="1:23" hidden="1" x14ac:dyDescent="0.25">
      <c r="A961" s="3">
        <v>45971</v>
      </c>
      <c r="B961" s="4" t="s">
        <v>334</v>
      </c>
      <c r="C961" s="4" t="s">
        <v>463</v>
      </c>
      <c r="D961" s="4"/>
      <c r="E961" s="4"/>
      <c r="F961" s="4" t="s">
        <v>640</v>
      </c>
      <c r="G961" s="4" t="s">
        <v>336</v>
      </c>
      <c r="H961" s="4" t="s">
        <v>289</v>
      </c>
      <c r="I961" s="4">
        <v>1</v>
      </c>
      <c r="J961" s="21">
        <v>370</v>
      </c>
      <c r="K961" s="21">
        <v>0</v>
      </c>
      <c r="L961" s="5">
        <v>0</v>
      </c>
      <c r="M961" s="4">
        <v>1</v>
      </c>
      <c r="N961" s="4"/>
      <c r="O961" s="5">
        <v>370</v>
      </c>
      <c r="P961" s="5"/>
      <c r="Q961" s="21">
        <v>370</v>
      </c>
      <c r="R961" s="21">
        <v>0</v>
      </c>
      <c r="S961" s="5">
        <f t="shared" si="59"/>
        <v>134749.73776015206</v>
      </c>
      <c r="T961" cm="1">
        <f t="array" ref="T961">IF(OR(B961="MAL ALIMI", B961="ÜRETİM GİRİŞ"), MIN(I961, MAX(0, I961 + SUM(SUMIFS($I$1:I960, $C$1:C960, C961, $B$1:B960, {"MAL ALIMI","ÜRETİM GİRİŞ"})) - VLOOKUP(C961, 'STOK RAPORU'!$C$2:$I$1000, 4, 0))), 0)</f>
        <v>0</v>
      </c>
      <c r="U961" s="22">
        <f t="shared" si="56"/>
        <v>0</v>
      </c>
      <c r="V961">
        <f t="shared" si="57"/>
        <v>0</v>
      </c>
      <c r="W961" s="22">
        <f t="shared" si="58"/>
        <v>0</v>
      </c>
    </row>
    <row r="962" spans="1:23" hidden="1" x14ac:dyDescent="0.25">
      <c r="A962" s="3">
        <v>45971</v>
      </c>
      <c r="B962" s="4" t="s">
        <v>334</v>
      </c>
      <c r="C962" s="4" t="s">
        <v>267</v>
      </c>
      <c r="D962" s="4"/>
      <c r="E962" s="4"/>
      <c r="F962" s="4" t="s">
        <v>640</v>
      </c>
      <c r="G962" s="4" t="s">
        <v>336</v>
      </c>
      <c r="H962" s="4" t="s">
        <v>289</v>
      </c>
      <c r="I962" s="4">
        <v>1</v>
      </c>
      <c r="J962" s="21">
        <v>190</v>
      </c>
      <c r="K962" s="21">
        <v>0</v>
      </c>
      <c r="L962" s="5">
        <v>0</v>
      </c>
      <c r="M962" s="4">
        <v>1</v>
      </c>
      <c r="N962" s="4"/>
      <c r="O962" s="5">
        <v>190</v>
      </c>
      <c r="P962" s="5"/>
      <c r="Q962" s="21">
        <v>190</v>
      </c>
      <c r="R962" s="21">
        <v>0</v>
      </c>
      <c r="S962" s="5">
        <f t="shared" si="59"/>
        <v>134939.73776015206</v>
      </c>
      <c r="T962" cm="1">
        <f t="array" ref="T962">IF(OR(B962="MAL ALIMI", B962="ÜRETİM GİRİŞ"), MIN(I962, MAX(0, I962 + SUM(SUMIFS($I$1:I961, $C$1:C961, C962, $B$1:B961, {"MAL ALIMI","ÜRETİM GİRİŞ"})) - VLOOKUP(C962, 'STOK RAPORU'!$C$2:$I$1000, 4, 0))), 0)</f>
        <v>0</v>
      </c>
      <c r="U962" s="22">
        <f t="shared" si="56"/>
        <v>0</v>
      </c>
      <c r="V962">
        <f t="shared" si="57"/>
        <v>0</v>
      </c>
      <c r="W962" s="22">
        <f t="shared" si="58"/>
        <v>0</v>
      </c>
    </row>
    <row r="963" spans="1:23" hidden="1" x14ac:dyDescent="0.25">
      <c r="A963" s="3">
        <v>45971</v>
      </c>
      <c r="B963" s="4" t="s">
        <v>334</v>
      </c>
      <c r="C963" s="4" t="s">
        <v>91</v>
      </c>
      <c r="D963" s="4"/>
      <c r="E963" s="4"/>
      <c r="F963" s="4" t="s">
        <v>640</v>
      </c>
      <c r="G963" s="4" t="s">
        <v>336</v>
      </c>
      <c r="H963" s="4" t="s">
        <v>289</v>
      </c>
      <c r="I963" s="4">
        <v>0.21199999999999999</v>
      </c>
      <c r="J963" s="21">
        <v>760</v>
      </c>
      <c r="K963" s="21">
        <v>0</v>
      </c>
      <c r="L963" s="5">
        <v>0</v>
      </c>
      <c r="M963" s="4">
        <v>0.21199999999999999</v>
      </c>
      <c r="N963" s="4"/>
      <c r="O963" s="5">
        <v>760</v>
      </c>
      <c r="P963" s="5"/>
      <c r="Q963" s="21">
        <v>161.12</v>
      </c>
      <c r="R963" s="21">
        <v>0</v>
      </c>
      <c r="S963" s="5">
        <f t="shared" si="59"/>
        <v>135100.85776015205</v>
      </c>
      <c r="T963" cm="1">
        <f t="array" ref="T963">IF(OR(B963="MAL ALIMI", B963="ÜRETİM GİRİŞ"), MIN(I963, MAX(0, I963 + SUM(SUMIFS($I$1:I962, $C$1:C962, C963, $B$1:B962, {"MAL ALIMI","ÜRETİM GİRİŞ"})) - VLOOKUP(C963, 'STOK RAPORU'!$C$2:$I$1000, 4, 0))), 0)</f>
        <v>0</v>
      </c>
      <c r="U963" s="22">
        <f t="shared" ref="U963:U1026" si="60">T963*J963</f>
        <v>0</v>
      </c>
      <c r="V963">
        <f t="shared" ref="V963:V1026" si="61">IF(OR(B963="MAL ALIMI", B963="ÜRETİM GİRİŞ"), I963 * J963, 0)</f>
        <v>0</v>
      </c>
      <c r="W963" s="22">
        <f t="shared" ref="W963:W1026" si="62">V963-U963</f>
        <v>0</v>
      </c>
    </row>
    <row r="964" spans="1:23" hidden="1" x14ac:dyDescent="0.25">
      <c r="A964" s="3">
        <v>45971</v>
      </c>
      <c r="B964" s="4" t="s">
        <v>334</v>
      </c>
      <c r="C964" s="4" t="s">
        <v>215</v>
      </c>
      <c r="D964" s="4"/>
      <c r="E964" s="4"/>
      <c r="F964" s="4" t="s">
        <v>640</v>
      </c>
      <c r="G964" s="4" t="s">
        <v>336</v>
      </c>
      <c r="H964" s="4" t="s">
        <v>289</v>
      </c>
      <c r="I964" s="4">
        <v>1</v>
      </c>
      <c r="J964" s="21">
        <v>225</v>
      </c>
      <c r="K964" s="21">
        <v>0</v>
      </c>
      <c r="L964" s="5">
        <v>0</v>
      </c>
      <c r="M964" s="4">
        <v>1</v>
      </c>
      <c r="N964" s="4"/>
      <c r="O964" s="5">
        <v>225</v>
      </c>
      <c r="P964" s="5"/>
      <c r="Q964" s="21">
        <v>225</v>
      </c>
      <c r="R964" s="21">
        <v>0</v>
      </c>
      <c r="S964" s="5">
        <f t="shared" ref="S964:S1027" si="63">S963+Q964-R964</f>
        <v>135325.85776015205</v>
      </c>
      <c r="T964" cm="1">
        <f t="array" ref="T964">IF(OR(B964="MAL ALIMI", B964="ÜRETİM GİRİŞ"), MIN(I964, MAX(0, I964 + SUM(SUMIFS($I$1:I963, $C$1:C963, C964, $B$1:B963, {"MAL ALIMI","ÜRETİM GİRİŞ"})) - VLOOKUP(C964, 'STOK RAPORU'!$C$2:$I$1000, 4, 0))), 0)</f>
        <v>0</v>
      </c>
      <c r="U964" s="22">
        <f t="shared" si="60"/>
        <v>0</v>
      </c>
      <c r="V964">
        <f t="shared" si="61"/>
        <v>0</v>
      </c>
      <c r="W964" s="22">
        <f t="shared" si="62"/>
        <v>0</v>
      </c>
    </row>
    <row r="965" spans="1:23" hidden="1" x14ac:dyDescent="0.25">
      <c r="A965" s="3">
        <v>45971</v>
      </c>
      <c r="B965" s="4" t="s">
        <v>334</v>
      </c>
      <c r="C965" s="4" t="s">
        <v>253</v>
      </c>
      <c r="D965" s="4"/>
      <c r="E965" s="4"/>
      <c r="F965" s="4" t="s">
        <v>641</v>
      </c>
      <c r="G965" s="4" t="s">
        <v>336</v>
      </c>
      <c r="H965" s="4" t="s">
        <v>289</v>
      </c>
      <c r="I965" s="4">
        <v>0.22600000000000001</v>
      </c>
      <c r="J965" s="21">
        <v>230</v>
      </c>
      <c r="K965" s="21">
        <v>0</v>
      </c>
      <c r="L965" s="5">
        <v>0</v>
      </c>
      <c r="M965" s="4">
        <v>0.22600000000000001</v>
      </c>
      <c r="N965" s="4"/>
      <c r="O965" s="5">
        <v>230</v>
      </c>
      <c r="P965" s="5"/>
      <c r="Q965" s="21">
        <v>51.980000000000004</v>
      </c>
      <c r="R965" s="21">
        <v>0</v>
      </c>
      <c r="S965" s="5">
        <f t="shared" si="63"/>
        <v>135377.83776015206</v>
      </c>
      <c r="T965" cm="1">
        <f t="array" ref="T965">IF(OR(B965="MAL ALIMI", B965="ÜRETİM GİRİŞ"), MIN(I965, MAX(0, I965 + SUM(SUMIFS($I$1:I964, $C$1:C964, C965, $B$1:B964, {"MAL ALIMI","ÜRETİM GİRİŞ"})) - VLOOKUP(C965, 'STOK RAPORU'!$C$2:$I$1000, 4, 0))), 0)</f>
        <v>0</v>
      </c>
      <c r="U965" s="22">
        <f t="shared" si="60"/>
        <v>0</v>
      </c>
      <c r="V965">
        <f t="shared" si="61"/>
        <v>0</v>
      </c>
      <c r="W965" s="22">
        <f t="shared" si="62"/>
        <v>0</v>
      </c>
    </row>
    <row r="966" spans="1:23" hidden="1" x14ac:dyDescent="0.25">
      <c r="A966" s="3">
        <v>45971</v>
      </c>
      <c r="B966" s="4" t="s">
        <v>334</v>
      </c>
      <c r="C966" s="4" t="s">
        <v>254</v>
      </c>
      <c r="D966" s="4"/>
      <c r="E966" s="4"/>
      <c r="F966" s="4" t="s">
        <v>641</v>
      </c>
      <c r="G966" s="4" t="s">
        <v>336</v>
      </c>
      <c r="H966" s="4" t="s">
        <v>289</v>
      </c>
      <c r="I966" s="4">
        <v>0.24399999999999999</v>
      </c>
      <c r="J966" s="21">
        <v>190</v>
      </c>
      <c r="K966" s="21">
        <v>0</v>
      </c>
      <c r="L966" s="5">
        <v>0</v>
      </c>
      <c r="M966" s="4">
        <v>0.24399999999999999</v>
      </c>
      <c r="N966" s="4"/>
      <c r="O966" s="5">
        <v>190</v>
      </c>
      <c r="P966" s="5"/>
      <c r="Q966" s="21">
        <v>46.36</v>
      </c>
      <c r="R966" s="21">
        <v>0</v>
      </c>
      <c r="S966" s="5">
        <f t="shared" si="63"/>
        <v>135424.19776015205</v>
      </c>
      <c r="T966" cm="1">
        <f t="array" ref="T966">IF(OR(B966="MAL ALIMI", B966="ÜRETİM GİRİŞ"), MIN(I966, MAX(0, I966 + SUM(SUMIFS($I$1:I965, $C$1:C965, C966, $B$1:B965, {"MAL ALIMI","ÜRETİM GİRİŞ"})) - VLOOKUP(C966, 'STOK RAPORU'!$C$2:$I$1000, 4, 0))), 0)</f>
        <v>0</v>
      </c>
      <c r="U966" s="22">
        <f t="shared" si="60"/>
        <v>0</v>
      </c>
      <c r="V966">
        <f t="shared" si="61"/>
        <v>0</v>
      </c>
      <c r="W966" s="22">
        <f t="shared" si="62"/>
        <v>0</v>
      </c>
    </row>
    <row r="967" spans="1:23" hidden="1" x14ac:dyDescent="0.25">
      <c r="A967" s="3">
        <v>45971</v>
      </c>
      <c r="B967" s="4" t="s">
        <v>334</v>
      </c>
      <c r="C967" s="4" t="s">
        <v>634</v>
      </c>
      <c r="D967" s="4"/>
      <c r="E967" s="4"/>
      <c r="F967" s="4" t="s">
        <v>641</v>
      </c>
      <c r="G967" s="4" t="s">
        <v>336</v>
      </c>
      <c r="H967" s="4" t="s">
        <v>289</v>
      </c>
      <c r="I967" s="4">
        <v>0.23599999999999999</v>
      </c>
      <c r="J967" s="21">
        <v>850</v>
      </c>
      <c r="K967" s="21">
        <v>0</v>
      </c>
      <c r="L967" s="5">
        <v>0</v>
      </c>
      <c r="M967" s="4">
        <v>1</v>
      </c>
      <c r="N967" s="4"/>
      <c r="O967" s="5">
        <v>200</v>
      </c>
      <c r="P967" s="5"/>
      <c r="Q967" s="21">
        <v>200.6</v>
      </c>
      <c r="R967" s="21">
        <v>0</v>
      </c>
      <c r="S967" s="5">
        <f t="shared" si="63"/>
        <v>135624.79776015205</v>
      </c>
      <c r="T967" cm="1">
        <f t="array" ref="T967">IF(OR(B967="MAL ALIMI", B967="ÜRETİM GİRİŞ"), MIN(I967, MAX(0, I967 + SUM(SUMIFS($I$1:I966, $C$1:C966, C967, $B$1:B966, {"MAL ALIMI","ÜRETİM GİRİŞ"})) - VLOOKUP(C967, 'STOK RAPORU'!$C$2:$I$1000, 4, 0))), 0)</f>
        <v>0</v>
      </c>
      <c r="U967" s="22">
        <f t="shared" si="60"/>
        <v>0</v>
      </c>
      <c r="V967">
        <f t="shared" si="61"/>
        <v>0</v>
      </c>
      <c r="W967" s="22">
        <f t="shared" si="62"/>
        <v>0</v>
      </c>
    </row>
    <row r="968" spans="1:23" hidden="1" x14ac:dyDescent="0.25">
      <c r="A968" s="3">
        <v>45971</v>
      </c>
      <c r="B968" s="4" t="s">
        <v>334</v>
      </c>
      <c r="C968" s="4" t="s">
        <v>225</v>
      </c>
      <c r="D968" s="4"/>
      <c r="E968" s="4"/>
      <c r="F968" s="4" t="s">
        <v>642</v>
      </c>
      <c r="G968" s="4" t="s">
        <v>336</v>
      </c>
      <c r="H968" s="4" t="s">
        <v>289</v>
      </c>
      <c r="I968" s="4">
        <v>0.15</v>
      </c>
      <c r="J968" s="21">
        <v>670</v>
      </c>
      <c r="K968" s="21">
        <v>0</v>
      </c>
      <c r="L968" s="5">
        <v>0</v>
      </c>
      <c r="M968" s="4">
        <v>0.15</v>
      </c>
      <c r="N968" s="4"/>
      <c r="O968" s="5">
        <v>670</v>
      </c>
      <c r="P968" s="5"/>
      <c r="Q968" s="21">
        <v>100.5</v>
      </c>
      <c r="R968" s="21">
        <v>0</v>
      </c>
      <c r="S968" s="5">
        <f t="shared" si="63"/>
        <v>135725.29776015205</v>
      </c>
      <c r="T968" cm="1">
        <f t="array" ref="T968">IF(OR(B968="MAL ALIMI", B968="ÜRETİM GİRİŞ"), MIN(I968, MAX(0, I968 + SUM(SUMIFS($I$1:I967, $C$1:C967, C968, $B$1:B967, {"MAL ALIMI","ÜRETİM GİRİŞ"})) - VLOOKUP(C968, 'STOK RAPORU'!$C$2:$I$1000, 4, 0))), 0)</f>
        <v>0</v>
      </c>
      <c r="U968" s="22">
        <f t="shared" si="60"/>
        <v>0</v>
      </c>
      <c r="V968">
        <f t="shared" si="61"/>
        <v>0</v>
      </c>
      <c r="W968" s="22">
        <f t="shared" si="62"/>
        <v>0</v>
      </c>
    </row>
    <row r="969" spans="1:23" hidden="1" x14ac:dyDescent="0.25">
      <c r="A969" s="3">
        <v>45971</v>
      </c>
      <c r="B969" s="4" t="s">
        <v>334</v>
      </c>
      <c r="C969" s="4" t="s">
        <v>465</v>
      </c>
      <c r="D969" s="4"/>
      <c r="E969" s="4" t="s">
        <v>921</v>
      </c>
      <c r="F969" s="4" t="s">
        <v>643</v>
      </c>
      <c r="G969" s="4" t="s">
        <v>336</v>
      </c>
      <c r="H969" s="4" t="s">
        <v>380</v>
      </c>
      <c r="I969" s="4">
        <v>1</v>
      </c>
      <c r="J969" s="21">
        <v>40</v>
      </c>
      <c r="K969" s="21">
        <v>40</v>
      </c>
      <c r="L969" s="5">
        <v>0</v>
      </c>
      <c r="M969" s="4">
        <v>1</v>
      </c>
      <c r="N969" s="4"/>
      <c r="O969" s="5">
        <v>40</v>
      </c>
      <c r="P969" s="5"/>
      <c r="Q969" s="21">
        <v>0</v>
      </c>
      <c r="R969" s="21">
        <v>0</v>
      </c>
      <c r="S969" s="5">
        <f t="shared" si="63"/>
        <v>135725.29776015205</v>
      </c>
      <c r="T969" cm="1">
        <f t="array" ref="T969">IF(OR(B969="MAL ALIMI", B969="ÜRETİM GİRİŞ"), MIN(I969, MAX(0, I969 + SUM(SUMIFS($I$1:I968, $C$1:C968, C969, $B$1:B968, {"MAL ALIMI","ÜRETİM GİRİŞ"})) - VLOOKUP(C969, 'STOK RAPORU'!$C$2:$I$1000, 4, 0))), 0)</f>
        <v>0</v>
      </c>
      <c r="U969" s="22">
        <f t="shared" si="60"/>
        <v>0</v>
      </c>
      <c r="V969">
        <f t="shared" si="61"/>
        <v>0</v>
      </c>
      <c r="W969" s="22">
        <f t="shared" si="62"/>
        <v>0</v>
      </c>
    </row>
    <row r="970" spans="1:23" hidden="1" x14ac:dyDescent="0.25">
      <c r="A970" s="3">
        <v>45971</v>
      </c>
      <c r="B970" s="4" t="s">
        <v>334</v>
      </c>
      <c r="C970" s="4" t="s">
        <v>91</v>
      </c>
      <c r="D970" s="4"/>
      <c r="E970" s="4" t="s">
        <v>921</v>
      </c>
      <c r="F970" s="4" t="s">
        <v>643</v>
      </c>
      <c r="G970" s="4" t="s">
        <v>336</v>
      </c>
      <c r="H970" s="4" t="s">
        <v>380</v>
      </c>
      <c r="I970" s="4">
        <v>0.05</v>
      </c>
      <c r="J970" s="21">
        <v>760</v>
      </c>
      <c r="K970" s="21">
        <v>38</v>
      </c>
      <c r="L970" s="5">
        <v>0</v>
      </c>
      <c r="M970" s="4">
        <v>0.05</v>
      </c>
      <c r="N970" s="4"/>
      <c r="O970" s="5">
        <v>760</v>
      </c>
      <c r="P970" s="5"/>
      <c r="Q970" s="21">
        <v>0</v>
      </c>
      <c r="R970" s="21">
        <v>0</v>
      </c>
      <c r="S970" s="5">
        <f t="shared" si="63"/>
        <v>135725.29776015205</v>
      </c>
      <c r="T970" cm="1">
        <f t="array" ref="T970">IF(OR(B970="MAL ALIMI", B970="ÜRETİM GİRİŞ"), MIN(I970, MAX(0, I970 + SUM(SUMIFS($I$1:I969, $C$1:C969, C970, $B$1:B969, {"MAL ALIMI","ÜRETİM GİRİŞ"})) - VLOOKUP(C970, 'STOK RAPORU'!$C$2:$I$1000, 4, 0))), 0)</f>
        <v>0</v>
      </c>
      <c r="U970" s="22">
        <f t="shared" si="60"/>
        <v>0</v>
      </c>
      <c r="V970">
        <f t="shared" si="61"/>
        <v>0</v>
      </c>
      <c r="W970" s="22">
        <f t="shared" si="62"/>
        <v>0</v>
      </c>
    </row>
    <row r="971" spans="1:23" hidden="1" x14ac:dyDescent="0.25">
      <c r="A971" s="3">
        <v>45971</v>
      </c>
      <c r="B971" s="4" t="s">
        <v>334</v>
      </c>
      <c r="C971" s="4" t="s">
        <v>598</v>
      </c>
      <c r="D971" s="4"/>
      <c r="E971" s="4" t="s">
        <v>921</v>
      </c>
      <c r="F971" s="4" t="s">
        <v>644</v>
      </c>
      <c r="G971" s="4" t="s">
        <v>336</v>
      </c>
      <c r="H971" s="4" t="s">
        <v>380</v>
      </c>
      <c r="I971" s="4">
        <v>0.55600000000000005</v>
      </c>
      <c r="J971" s="21">
        <v>290</v>
      </c>
      <c r="K971" s="21">
        <v>161.24</v>
      </c>
      <c r="L971" s="5">
        <v>0</v>
      </c>
      <c r="M971" s="4">
        <v>0.55600000000000005</v>
      </c>
      <c r="N971" s="4"/>
      <c r="O971" s="5">
        <v>290</v>
      </c>
      <c r="P971" s="5"/>
      <c r="Q971" s="21">
        <v>0</v>
      </c>
      <c r="R971" s="21">
        <v>0</v>
      </c>
      <c r="S971" s="5">
        <f t="shared" si="63"/>
        <v>135725.29776015205</v>
      </c>
      <c r="T971" cm="1">
        <f t="array" ref="T971">IF(OR(B971="MAL ALIMI", B971="ÜRETİM GİRİŞ"), MIN(I971, MAX(0, I971 + SUM(SUMIFS($I$1:I970, $C$1:C970, C971, $B$1:B970, {"MAL ALIMI","ÜRETİM GİRİŞ"})) - VLOOKUP(C971, 'STOK RAPORU'!$C$2:$I$1000, 4, 0))), 0)</f>
        <v>0</v>
      </c>
      <c r="U971" s="22">
        <f t="shared" si="60"/>
        <v>0</v>
      </c>
      <c r="V971">
        <f t="shared" si="61"/>
        <v>0</v>
      </c>
      <c r="W971" s="22">
        <f t="shared" si="62"/>
        <v>0</v>
      </c>
    </row>
    <row r="972" spans="1:23" hidden="1" x14ac:dyDescent="0.25">
      <c r="A972" s="3">
        <v>45971</v>
      </c>
      <c r="B972" s="4" t="s">
        <v>334</v>
      </c>
      <c r="C972" s="4" t="s">
        <v>463</v>
      </c>
      <c r="D972" s="4"/>
      <c r="E972" s="4"/>
      <c r="F972" s="4" t="s">
        <v>644</v>
      </c>
      <c r="G972" s="4" t="s">
        <v>336</v>
      </c>
      <c r="H972" s="4" t="s">
        <v>289</v>
      </c>
      <c r="I972" s="4">
        <v>0.13200000000000001</v>
      </c>
      <c r="J972" s="21">
        <v>380</v>
      </c>
      <c r="K972" s="21">
        <v>0</v>
      </c>
      <c r="L972" s="5">
        <v>0</v>
      </c>
      <c r="M972" s="4">
        <v>0.13200000000000001</v>
      </c>
      <c r="N972" s="4"/>
      <c r="O972" s="5">
        <v>380</v>
      </c>
      <c r="P972" s="5"/>
      <c r="Q972" s="21">
        <v>50.160000000000004</v>
      </c>
      <c r="R972" s="21">
        <v>0</v>
      </c>
      <c r="S972" s="5">
        <f t="shared" si="63"/>
        <v>135775.45776015206</v>
      </c>
      <c r="T972" cm="1">
        <f t="array" ref="T972">IF(OR(B972="MAL ALIMI", B972="ÜRETİM GİRİŞ"), MIN(I972, MAX(0, I972 + SUM(SUMIFS($I$1:I971, $C$1:C971, C972, $B$1:B971, {"MAL ALIMI","ÜRETİM GİRİŞ"})) - VLOOKUP(C972, 'STOK RAPORU'!$C$2:$I$1000, 4, 0))), 0)</f>
        <v>0</v>
      </c>
      <c r="U972" s="22">
        <f t="shared" si="60"/>
        <v>0</v>
      </c>
      <c r="V972">
        <f t="shared" si="61"/>
        <v>0</v>
      </c>
      <c r="W972" s="22">
        <f t="shared" si="62"/>
        <v>0</v>
      </c>
    </row>
    <row r="973" spans="1:23" hidden="1" x14ac:dyDescent="0.25">
      <c r="A973" s="3">
        <v>45971</v>
      </c>
      <c r="B973" s="4" t="s">
        <v>334</v>
      </c>
      <c r="C973" s="4" t="s">
        <v>199</v>
      </c>
      <c r="D973" s="4"/>
      <c r="E973" s="4"/>
      <c r="F973" s="4" t="s">
        <v>645</v>
      </c>
      <c r="G973" s="4" t="s">
        <v>336</v>
      </c>
      <c r="H973" s="4" t="s">
        <v>289</v>
      </c>
      <c r="I973" s="4">
        <v>0.57599999999999996</v>
      </c>
      <c r="J973" s="21">
        <v>930</v>
      </c>
      <c r="K973" s="21">
        <v>0</v>
      </c>
      <c r="L973" s="5">
        <v>0</v>
      </c>
      <c r="M973" s="4">
        <v>0.57599999999999996</v>
      </c>
      <c r="N973" s="4"/>
      <c r="O973" s="5">
        <v>930</v>
      </c>
      <c r="P973" s="5"/>
      <c r="Q973" s="21">
        <v>535.67999999999995</v>
      </c>
      <c r="R973" s="21">
        <v>0</v>
      </c>
      <c r="S973" s="5">
        <f t="shared" si="63"/>
        <v>136311.13776015205</v>
      </c>
      <c r="T973" cm="1">
        <f t="array" ref="T973">IF(OR(B973="MAL ALIMI", B973="ÜRETİM GİRİŞ"), MIN(I973, MAX(0, I973 + SUM(SUMIFS($I$1:I972, $C$1:C972, C973, $B$1:B972, {"MAL ALIMI","ÜRETİM GİRİŞ"})) - VLOOKUP(C973, 'STOK RAPORU'!$C$2:$I$1000, 4, 0))), 0)</f>
        <v>0</v>
      </c>
      <c r="U973" s="22">
        <f t="shared" si="60"/>
        <v>0</v>
      </c>
      <c r="V973">
        <f t="shared" si="61"/>
        <v>0</v>
      </c>
      <c r="W973" s="22">
        <f t="shared" si="62"/>
        <v>0</v>
      </c>
    </row>
    <row r="974" spans="1:23" hidden="1" x14ac:dyDescent="0.25">
      <c r="A974" s="3">
        <v>45971</v>
      </c>
      <c r="B974" s="4" t="s">
        <v>334</v>
      </c>
      <c r="C974" s="4" t="s">
        <v>598</v>
      </c>
      <c r="D974" s="4"/>
      <c r="E974" s="4"/>
      <c r="F974" s="4" t="s">
        <v>645</v>
      </c>
      <c r="G974" s="4" t="s">
        <v>336</v>
      </c>
      <c r="H974" s="4" t="s">
        <v>289</v>
      </c>
      <c r="I974" s="4">
        <v>0.51800000000000002</v>
      </c>
      <c r="J974" s="21">
        <v>290</v>
      </c>
      <c r="K974" s="21">
        <v>0</v>
      </c>
      <c r="L974" s="5">
        <v>0</v>
      </c>
      <c r="M974" s="4">
        <v>0.51800000000000002</v>
      </c>
      <c r="N974" s="4"/>
      <c r="O974" s="5">
        <v>290</v>
      </c>
      <c r="P974" s="5"/>
      <c r="Q974" s="21">
        <v>150.22</v>
      </c>
      <c r="R974" s="21">
        <v>0</v>
      </c>
      <c r="S974" s="5">
        <f t="shared" si="63"/>
        <v>136461.35776015205</v>
      </c>
      <c r="T974" cm="1">
        <f t="array" ref="T974">IF(OR(B974="MAL ALIMI", B974="ÜRETİM GİRİŞ"), MIN(I974, MAX(0, I974 + SUM(SUMIFS($I$1:I973, $C$1:C973, C974, $B$1:B973, {"MAL ALIMI","ÜRETİM GİRİŞ"})) - VLOOKUP(C974, 'STOK RAPORU'!$C$2:$I$1000, 4, 0))), 0)</f>
        <v>0</v>
      </c>
      <c r="U974" s="22">
        <f t="shared" si="60"/>
        <v>0</v>
      </c>
      <c r="V974">
        <f t="shared" si="61"/>
        <v>0</v>
      </c>
      <c r="W974" s="22">
        <f t="shared" si="62"/>
        <v>0</v>
      </c>
    </row>
    <row r="975" spans="1:23" hidden="1" x14ac:dyDescent="0.25">
      <c r="A975" s="3">
        <v>45971</v>
      </c>
      <c r="B975" s="4" t="s">
        <v>334</v>
      </c>
      <c r="C975" s="4" t="s">
        <v>601</v>
      </c>
      <c r="D975" s="4"/>
      <c r="E975" s="4"/>
      <c r="F975" s="4" t="s">
        <v>645</v>
      </c>
      <c r="G975" s="4" t="s">
        <v>336</v>
      </c>
      <c r="H975" s="4" t="s">
        <v>289</v>
      </c>
      <c r="I975" s="4">
        <v>0.51200000000000001</v>
      </c>
      <c r="J975" s="21">
        <v>520</v>
      </c>
      <c r="K975" s="21">
        <v>0</v>
      </c>
      <c r="L975" s="5">
        <v>0</v>
      </c>
      <c r="M975" s="4">
        <v>0.51200000000000001</v>
      </c>
      <c r="N975" s="4"/>
      <c r="O975" s="5">
        <v>520</v>
      </c>
      <c r="P975" s="5"/>
      <c r="Q975" s="21">
        <v>266.24</v>
      </c>
      <c r="R975" s="21">
        <v>0</v>
      </c>
      <c r="S975" s="5">
        <f t="shared" si="63"/>
        <v>136727.59776015204</v>
      </c>
      <c r="T975" cm="1">
        <f t="array" ref="T975">IF(OR(B975="MAL ALIMI", B975="ÜRETİM GİRİŞ"), MIN(I975, MAX(0, I975 + SUM(SUMIFS($I$1:I974, $C$1:C974, C975, $B$1:B974, {"MAL ALIMI","ÜRETİM GİRİŞ"})) - VLOOKUP(C975, 'STOK RAPORU'!$C$2:$I$1000, 4, 0))), 0)</f>
        <v>0</v>
      </c>
      <c r="U975" s="22">
        <f t="shared" si="60"/>
        <v>0</v>
      </c>
      <c r="V975">
        <f t="shared" si="61"/>
        <v>0</v>
      </c>
      <c r="W975" s="22">
        <f t="shared" si="62"/>
        <v>0</v>
      </c>
    </row>
    <row r="976" spans="1:23" hidden="1" x14ac:dyDescent="0.25">
      <c r="A976" s="3">
        <v>45971</v>
      </c>
      <c r="B976" s="4" t="s">
        <v>334</v>
      </c>
      <c r="C976" s="4" t="s">
        <v>60</v>
      </c>
      <c r="D976" s="4"/>
      <c r="E976" s="4"/>
      <c r="F976" s="4" t="s">
        <v>645</v>
      </c>
      <c r="G976" s="4" t="s">
        <v>336</v>
      </c>
      <c r="H976" s="4" t="s">
        <v>289</v>
      </c>
      <c r="I976" s="4">
        <v>5.4550000000000001E-2</v>
      </c>
      <c r="J976" s="21">
        <v>1100</v>
      </c>
      <c r="K976" s="21">
        <v>0</v>
      </c>
      <c r="L976" s="5">
        <v>0</v>
      </c>
      <c r="M976" s="4">
        <v>1</v>
      </c>
      <c r="N976" s="4"/>
      <c r="O976" s="5">
        <v>60</v>
      </c>
      <c r="P976" s="5"/>
      <c r="Q976" s="21">
        <v>60.005000000000003</v>
      </c>
      <c r="R976" s="21">
        <v>0</v>
      </c>
      <c r="S976" s="5">
        <f t="shared" si="63"/>
        <v>136787.60276015205</v>
      </c>
      <c r="T976" cm="1">
        <f t="array" ref="T976">IF(OR(B976="MAL ALIMI", B976="ÜRETİM GİRİŞ"), MIN(I976, MAX(0, I976 + SUM(SUMIFS($I$1:I975, $C$1:C975, C976, $B$1:B975, {"MAL ALIMI","ÜRETİM GİRİŞ"})) - VLOOKUP(C976, 'STOK RAPORU'!$C$2:$I$1000, 4, 0))), 0)</f>
        <v>0</v>
      </c>
      <c r="U976" s="22">
        <f t="shared" si="60"/>
        <v>0</v>
      </c>
      <c r="V976">
        <f t="shared" si="61"/>
        <v>0</v>
      </c>
      <c r="W976" s="22">
        <f t="shared" si="62"/>
        <v>0</v>
      </c>
    </row>
    <row r="977" spans="1:23" hidden="1" x14ac:dyDescent="0.25">
      <c r="A977" s="3">
        <v>45971</v>
      </c>
      <c r="B977" s="4" t="s">
        <v>334</v>
      </c>
      <c r="C977" s="4" t="s">
        <v>242</v>
      </c>
      <c r="D977" s="4"/>
      <c r="E977" s="4"/>
      <c r="F977" s="4" t="s">
        <v>646</v>
      </c>
      <c r="G977" s="4" t="s">
        <v>336</v>
      </c>
      <c r="H977" s="4" t="s">
        <v>289</v>
      </c>
      <c r="I977" s="4">
        <v>0.20399999999999999</v>
      </c>
      <c r="J977" s="21">
        <v>350</v>
      </c>
      <c r="K977" s="21">
        <v>0</v>
      </c>
      <c r="L977" s="5">
        <v>0</v>
      </c>
      <c r="M977" s="4">
        <v>0.20399999999999999</v>
      </c>
      <c r="N977" s="4"/>
      <c r="O977" s="5">
        <v>350</v>
      </c>
      <c r="P977" s="5"/>
      <c r="Q977" s="21">
        <v>71.399999999999991</v>
      </c>
      <c r="R977" s="21">
        <v>0</v>
      </c>
      <c r="S977" s="5">
        <f t="shared" si="63"/>
        <v>136859.00276015204</v>
      </c>
      <c r="T977" cm="1">
        <f t="array" ref="T977">IF(OR(B977="MAL ALIMI", B977="ÜRETİM GİRİŞ"), MIN(I977, MAX(0, I977 + SUM(SUMIFS($I$1:I976, $C$1:C976, C977, $B$1:B976, {"MAL ALIMI","ÜRETİM GİRİŞ"})) - VLOOKUP(C977, 'STOK RAPORU'!$C$2:$I$1000, 4, 0))), 0)</f>
        <v>0</v>
      </c>
      <c r="U977" s="22">
        <f t="shared" si="60"/>
        <v>0</v>
      </c>
      <c r="V977">
        <f t="shared" si="61"/>
        <v>0</v>
      </c>
      <c r="W977" s="22">
        <f t="shared" si="62"/>
        <v>0</v>
      </c>
    </row>
    <row r="978" spans="1:23" hidden="1" x14ac:dyDescent="0.25">
      <c r="A978" s="3">
        <v>45971</v>
      </c>
      <c r="B978" s="4" t="s">
        <v>334</v>
      </c>
      <c r="C978" s="4" t="s">
        <v>253</v>
      </c>
      <c r="D978" s="4"/>
      <c r="E978" s="4"/>
      <c r="F978" s="4" t="s">
        <v>646</v>
      </c>
      <c r="G978" s="4" t="s">
        <v>336</v>
      </c>
      <c r="H978" s="4" t="s">
        <v>289</v>
      </c>
      <c r="I978" s="4">
        <v>0.152</v>
      </c>
      <c r="J978" s="21">
        <v>230</v>
      </c>
      <c r="K978" s="21">
        <v>0</v>
      </c>
      <c r="L978" s="5">
        <v>0</v>
      </c>
      <c r="M978" s="4">
        <v>0.152</v>
      </c>
      <c r="N978" s="4"/>
      <c r="O978" s="5">
        <v>230</v>
      </c>
      <c r="P978" s="5"/>
      <c r="Q978" s="21">
        <v>34.96</v>
      </c>
      <c r="R978" s="21">
        <v>0</v>
      </c>
      <c r="S978" s="5">
        <f t="shared" si="63"/>
        <v>136893.96276015203</v>
      </c>
      <c r="T978" cm="1">
        <f t="array" ref="T978">IF(OR(B978="MAL ALIMI", B978="ÜRETİM GİRİŞ"), MIN(I978, MAX(0, I978 + SUM(SUMIFS($I$1:I977, $C$1:C977, C978, $B$1:B977, {"MAL ALIMI","ÜRETİM GİRİŞ"})) - VLOOKUP(C978, 'STOK RAPORU'!$C$2:$I$1000, 4, 0))), 0)</f>
        <v>0</v>
      </c>
      <c r="U978" s="22">
        <f t="shared" si="60"/>
        <v>0</v>
      </c>
      <c r="V978">
        <f t="shared" si="61"/>
        <v>0</v>
      </c>
      <c r="W978" s="22">
        <f t="shared" si="62"/>
        <v>0</v>
      </c>
    </row>
    <row r="979" spans="1:23" hidden="1" x14ac:dyDescent="0.25">
      <c r="A979" s="3">
        <v>45971</v>
      </c>
      <c r="B979" s="4" t="s">
        <v>334</v>
      </c>
      <c r="C979" s="4" t="s">
        <v>266</v>
      </c>
      <c r="D979" s="4"/>
      <c r="E979" s="4"/>
      <c r="F979" s="4" t="s">
        <v>646</v>
      </c>
      <c r="G979" s="4" t="s">
        <v>336</v>
      </c>
      <c r="H979" s="4" t="s">
        <v>289</v>
      </c>
      <c r="I979" s="4">
        <v>0.25</v>
      </c>
      <c r="J979" s="21">
        <v>250</v>
      </c>
      <c r="K979" s="21">
        <v>0</v>
      </c>
      <c r="L979" s="5">
        <v>0</v>
      </c>
      <c r="M979" s="4">
        <v>0.25</v>
      </c>
      <c r="N979" s="4"/>
      <c r="O979" s="5">
        <v>250</v>
      </c>
      <c r="P979" s="5"/>
      <c r="Q979" s="21">
        <v>62.5</v>
      </c>
      <c r="R979" s="21">
        <v>0</v>
      </c>
      <c r="S979" s="5">
        <f t="shared" si="63"/>
        <v>136956.46276015203</v>
      </c>
      <c r="T979" cm="1">
        <f t="array" ref="T979">IF(OR(B979="MAL ALIMI", B979="ÜRETİM GİRİŞ"), MIN(I979, MAX(0, I979 + SUM(SUMIFS($I$1:I978, $C$1:C978, C979, $B$1:B978, {"MAL ALIMI","ÜRETİM GİRİŞ"})) - VLOOKUP(C979, 'STOK RAPORU'!$C$2:$I$1000, 4, 0))), 0)</f>
        <v>0</v>
      </c>
      <c r="U979" s="22">
        <f t="shared" si="60"/>
        <v>0</v>
      </c>
      <c r="V979">
        <f t="shared" si="61"/>
        <v>0</v>
      </c>
      <c r="W979" s="22">
        <f t="shared" si="62"/>
        <v>0</v>
      </c>
    </row>
    <row r="980" spans="1:23" hidden="1" x14ac:dyDescent="0.25">
      <c r="A980" s="3">
        <v>45971</v>
      </c>
      <c r="B980" s="4" t="s">
        <v>334</v>
      </c>
      <c r="C980" s="4" t="s">
        <v>211</v>
      </c>
      <c r="D980" s="4"/>
      <c r="E980" s="4"/>
      <c r="F980" s="4" t="s">
        <v>646</v>
      </c>
      <c r="G980" s="4" t="s">
        <v>336</v>
      </c>
      <c r="H980" s="4" t="s">
        <v>289</v>
      </c>
      <c r="I980" s="4">
        <v>0.5</v>
      </c>
      <c r="J980" s="21">
        <v>290</v>
      </c>
      <c r="K980" s="21">
        <v>0</v>
      </c>
      <c r="L980" s="5">
        <v>0</v>
      </c>
      <c r="M980" s="4">
        <v>0.5</v>
      </c>
      <c r="N980" s="4"/>
      <c r="O980" s="5">
        <v>290</v>
      </c>
      <c r="P980" s="5"/>
      <c r="Q980" s="21">
        <v>145</v>
      </c>
      <c r="R980" s="21">
        <v>0</v>
      </c>
      <c r="S980" s="5">
        <f t="shared" si="63"/>
        <v>137101.46276015203</v>
      </c>
      <c r="T980" cm="1">
        <f t="array" ref="T980">IF(OR(B980="MAL ALIMI", B980="ÜRETİM GİRİŞ"), MIN(I980, MAX(0, I980 + SUM(SUMIFS($I$1:I979, $C$1:C979, C980, $B$1:B979, {"MAL ALIMI","ÜRETİM GİRİŞ"})) - VLOOKUP(C980, 'STOK RAPORU'!$C$2:$I$1000, 4, 0))), 0)</f>
        <v>0</v>
      </c>
      <c r="U980" s="22">
        <f t="shared" si="60"/>
        <v>0</v>
      </c>
      <c r="V980">
        <f t="shared" si="61"/>
        <v>0</v>
      </c>
      <c r="W980" s="22">
        <f t="shared" si="62"/>
        <v>0</v>
      </c>
    </row>
    <row r="981" spans="1:23" hidden="1" x14ac:dyDescent="0.25">
      <c r="A981" s="3">
        <v>45971</v>
      </c>
      <c r="B981" s="4" t="s">
        <v>917</v>
      </c>
      <c r="C981" s="4"/>
      <c r="D981" s="4"/>
      <c r="E981" s="4" t="s">
        <v>856</v>
      </c>
      <c r="F981" s="4"/>
      <c r="G981" s="4" t="s">
        <v>920</v>
      </c>
      <c r="H981" s="4" t="s">
        <v>289</v>
      </c>
      <c r="I981" s="4">
        <v>1</v>
      </c>
      <c r="J981" s="21">
        <v>0</v>
      </c>
      <c r="K981" s="21">
        <v>38291.480000000003</v>
      </c>
      <c r="L981" s="5">
        <v>0</v>
      </c>
      <c r="M981" s="4"/>
      <c r="N981" s="4"/>
      <c r="O981" s="5"/>
      <c r="P981" s="5"/>
      <c r="Q981" s="21">
        <v>0</v>
      </c>
      <c r="R981" s="21">
        <v>38291.480000000003</v>
      </c>
      <c r="S981" s="5">
        <f t="shared" si="63"/>
        <v>98809.982760152023</v>
      </c>
      <c r="T981" cm="1">
        <f t="array" ref="T981">IF(OR(B981="MAL ALIMI", B981="ÜRETİM GİRİŞ"), MIN(I981, MAX(0, I981 + SUM(SUMIFS($I$1:I980, $C$1:C980, C981, $B$1:B980, {"MAL ALIMI","ÜRETİM GİRİŞ"})) - VLOOKUP(C981, 'STOK RAPORU'!$C$2:$I$1000, 4, 0))), 0)</f>
        <v>0</v>
      </c>
      <c r="U981" s="22">
        <f t="shared" si="60"/>
        <v>0</v>
      </c>
      <c r="V981">
        <f t="shared" si="61"/>
        <v>0</v>
      </c>
      <c r="W981" s="22">
        <f t="shared" si="62"/>
        <v>0</v>
      </c>
    </row>
    <row r="982" spans="1:23" hidden="1" x14ac:dyDescent="0.25">
      <c r="A982" s="3">
        <v>45972</v>
      </c>
      <c r="B982" s="3" t="s">
        <v>285</v>
      </c>
      <c r="C982" s="4"/>
      <c r="D982" s="4" t="s">
        <v>106</v>
      </c>
      <c r="E982" s="4"/>
      <c r="F982" s="4">
        <v>40</v>
      </c>
      <c r="G982" s="4" t="s">
        <v>1039</v>
      </c>
      <c r="H982" s="4" t="s">
        <v>289</v>
      </c>
      <c r="I982" s="4">
        <v>1</v>
      </c>
      <c r="J982" s="21">
        <v>1920</v>
      </c>
      <c r="K982" s="21">
        <v>0</v>
      </c>
      <c r="L982" s="5">
        <v>0</v>
      </c>
      <c r="M982" s="4"/>
      <c r="N982" s="4"/>
      <c r="O982" s="5"/>
      <c r="P982" s="5"/>
      <c r="Q982" s="21">
        <v>0</v>
      </c>
      <c r="R982" s="21">
        <v>1920</v>
      </c>
      <c r="S982" s="5">
        <f t="shared" si="63"/>
        <v>96889.982760152023</v>
      </c>
      <c r="T982" cm="1">
        <f t="array" ref="T982">IF(OR(B982="MAL ALIMI", B982="ÜRETİM GİRİŞ"), MIN(I982, MAX(0, I982 + SUM(SUMIFS($I$1:I981, $C$1:C981, C982, $B$1:B981, {"MAL ALIMI","ÜRETİM GİRİŞ"})) - VLOOKUP(C982, 'STOK RAPORU'!$C$2:$I$1000, 4, 0))), 0)</f>
        <v>0</v>
      </c>
      <c r="U982" s="22">
        <f t="shared" si="60"/>
        <v>0</v>
      </c>
      <c r="V982">
        <f t="shared" si="61"/>
        <v>0</v>
      </c>
      <c r="W982" s="22">
        <f t="shared" si="62"/>
        <v>0</v>
      </c>
    </row>
    <row r="983" spans="1:23" hidden="1" x14ac:dyDescent="0.25">
      <c r="A983" s="3">
        <v>45972</v>
      </c>
      <c r="B983" s="4" t="s">
        <v>298</v>
      </c>
      <c r="C983" s="4" t="s">
        <v>766</v>
      </c>
      <c r="D983" s="4"/>
      <c r="E983" s="4" t="s">
        <v>856</v>
      </c>
      <c r="F983" s="4" t="s">
        <v>774</v>
      </c>
      <c r="G983" s="4" t="s">
        <v>753</v>
      </c>
      <c r="H983" s="4" t="s">
        <v>1329</v>
      </c>
      <c r="I983" s="4">
        <v>5</v>
      </c>
      <c r="J983" s="35">
        <v>139.9</v>
      </c>
      <c r="K983" s="35">
        <v>0</v>
      </c>
      <c r="L983" s="5">
        <v>699.5</v>
      </c>
      <c r="M983" s="31"/>
      <c r="N983" s="31">
        <v>5</v>
      </c>
      <c r="O983" s="32"/>
      <c r="P983" s="32">
        <v>139.9</v>
      </c>
      <c r="Q983" s="35">
        <v>0</v>
      </c>
      <c r="R983" s="35">
        <v>0</v>
      </c>
      <c r="S983" s="5">
        <f t="shared" si="63"/>
        <v>96889.982760152023</v>
      </c>
      <c r="T983" cm="1">
        <f t="array" ref="T983">IF(OR(B983="MAL ALIMI", B983="ÜRETİM GİRİŞ"), MIN(I983, MAX(0, I983 + SUM(SUMIFS($I$1:I982, $C$1:C982, C983, $B$1:B982, {"MAL ALIMI","ÜRETİM GİRİŞ"})) - VLOOKUP(C983, 'STOK RAPORU'!$C$2:$I$1000, 4, 0))), 0)</f>
        <v>0</v>
      </c>
      <c r="U983" s="22">
        <f t="shared" si="60"/>
        <v>0</v>
      </c>
      <c r="V983">
        <f t="shared" si="61"/>
        <v>699.5</v>
      </c>
      <c r="W983" s="22">
        <f t="shared" si="62"/>
        <v>699.5</v>
      </c>
    </row>
    <row r="984" spans="1:23" hidden="1" x14ac:dyDescent="0.25">
      <c r="A984" s="3">
        <v>45972</v>
      </c>
      <c r="B984" s="4" t="s">
        <v>298</v>
      </c>
      <c r="C984" s="4" t="s">
        <v>711</v>
      </c>
      <c r="D984" s="4"/>
      <c r="E984" s="4" t="s">
        <v>856</v>
      </c>
      <c r="F984" s="4" t="s">
        <v>775</v>
      </c>
      <c r="G984" s="4" t="s">
        <v>753</v>
      </c>
      <c r="H984" s="4" t="s">
        <v>1329</v>
      </c>
      <c r="I984" s="4">
        <v>6</v>
      </c>
      <c r="J984" s="35">
        <v>112.87</v>
      </c>
      <c r="K984" s="35">
        <v>0</v>
      </c>
      <c r="L984" s="5">
        <v>677.22</v>
      </c>
      <c r="M984" s="31"/>
      <c r="N984" s="31">
        <v>6</v>
      </c>
      <c r="O984" s="32"/>
      <c r="P984" s="32">
        <v>112.87</v>
      </c>
      <c r="Q984" s="35">
        <v>0</v>
      </c>
      <c r="R984" s="35">
        <v>0</v>
      </c>
      <c r="S984" s="5">
        <f t="shared" si="63"/>
        <v>96889.982760152023</v>
      </c>
      <c r="T984" cm="1">
        <f t="array" ref="T984">IF(OR(B984="MAL ALIMI", B984="ÜRETİM GİRİŞ"), MIN(I984, MAX(0, I984 + SUM(SUMIFS($I$1:I983, $C$1:C983, C984, $B$1:B983, {"MAL ALIMI","ÜRETİM GİRİŞ"})) - VLOOKUP(C984, 'STOK RAPORU'!$C$2:$I$1000, 4, 0))), 0)</f>
        <v>0</v>
      </c>
      <c r="U984" s="22">
        <f t="shared" si="60"/>
        <v>0</v>
      </c>
      <c r="V984">
        <f t="shared" si="61"/>
        <v>677.22</v>
      </c>
      <c r="W984" s="22">
        <f t="shared" si="62"/>
        <v>677.22</v>
      </c>
    </row>
    <row r="985" spans="1:23" hidden="1" x14ac:dyDescent="0.25">
      <c r="A985" s="3">
        <v>45972</v>
      </c>
      <c r="B985" s="4" t="s">
        <v>298</v>
      </c>
      <c r="C985" s="4" t="s">
        <v>768</v>
      </c>
      <c r="D985" s="4"/>
      <c r="E985" s="4" t="s">
        <v>856</v>
      </c>
      <c r="F985" s="4" t="s">
        <v>776</v>
      </c>
      <c r="G985" s="4" t="s">
        <v>753</v>
      </c>
      <c r="H985" s="4" t="s">
        <v>1329</v>
      </c>
      <c r="I985" s="4">
        <v>3</v>
      </c>
      <c r="J985" s="35">
        <v>140.77000000000001</v>
      </c>
      <c r="K985" s="35">
        <v>0</v>
      </c>
      <c r="L985" s="5">
        <v>422.31000000000006</v>
      </c>
      <c r="M985" s="31"/>
      <c r="N985" s="31">
        <v>3</v>
      </c>
      <c r="O985" s="32"/>
      <c r="P985" s="32">
        <v>140.77000000000001</v>
      </c>
      <c r="Q985" s="35">
        <v>0</v>
      </c>
      <c r="R985" s="35">
        <v>0</v>
      </c>
      <c r="S985" s="5">
        <f t="shared" si="63"/>
        <v>96889.982760152023</v>
      </c>
      <c r="T985" cm="1">
        <f t="array" ref="T985">IF(OR(B985="MAL ALIMI", B985="ÜRETİM GİRİŞ"), MIN(I985, MAX(0, I985 + SUM(SUMIFS($I$1:I984, $C$1:C984, C985, $B$1:B984, {"MAL ALIMI","ÜRETİM GİRİŞ"})) - VLOOKUP(C985, 'STOK RAPORU'!$C$2:$I$1000, 4, 0))), 0)</f>
        <v>3</v>
      </c>
      <c r="U985" s="22">
        <f t="shared" si="60"/>
        <v>422.31000000000006</v>
      </c>
      <c r="V985">
        <f t="shared" si="61"/>
        <v>422.31000000000006</v>
      </c>
      <c r="W985" s="22">
        <f t="shared" si="62"/>
        <v>0</v>
      </c>
    </row>
    <row r="986" spans="1:23" hidden="1" x14ac:dyDescent="0.25">
      <c r="A986" s="3">
        <v>45972</v>
      </c>
      <c r="B986" s="4" t="s">
        <v>298</v>
      </c>
      <c r="C986" s="4" t="s">
        <v>751</v>
      </c>
      <c r="D986" s="4"/>
      <c r="E986" s="4" t="s">
        <v>856</v>
      </c>
      <c r="F986" s="4" t="s">
        <v>776</v>
      </c>
      <c r="G986" s="4" t="s">
        <v>753</v>
      </c>
      <c r="H986" s="4" t="s">
        <v>1329</v>
      </c>
      <c r="I986" s="4">
        <v>2</v>
      </c>
      <c r="J986" s="35">
        <v>148.6</v>
      </c>
      <c r="K986" s="35">
        <v>0</v>
      </c>
      <c r="L986" s="5">
        <v>297.2</v>
      </c>
      <c r="M986" s="31"/>
      <c r="N986" s="31">
        <v>2</v>
      </c>
      <c r="O986" s="32"/>
      <c r="P986" s="32">
        <v>148.6</v>
      </c>
      <c r="Q986" s="35">
        <v>0</v>
      </c>
      <c r="R986" s="35">
        <v>0</v>
      </c>
      <c r="S986" s="5">
        <f t="shared" si="63"/>
        <v>96889.982760152023</v>
      </c>
      <c r="T986" cm="1">
        <f t="array" ref="T986">IF(OR(B986="MAL ALIMI", B986="ÜRETİM GİRİŞ"), MIN(I986, MAX(0, I986 + SUM(SUMIFS($I$1:I985, $C$1:C985, C986, $B$1:B985, {"MAL ALIMI","ÜRETİM GİRİŞ"})) - VLOOKUP(C986, 'STOK RAPORU'!$C$2:$I$1000, 4, 0))), 0)</f>
        <v>0</v>
      </c>
      <c r="U986" s="22">
        <f t="shared" si="60"/>
        <v>0</v>
      </c>
      <c r="V986">
        <f t="shared" si="61"/>
        <v>297.2</v>
      </c>
      <c r="W986" s="22">
        <f t="shared" si="62"/>
        <v>297.2</v>
      </c>
    </row>
    <row r="987" spans="1:23" hidden="1" x14ac:dyDescent="0.25">
      <c r="A987" s="3">
        <v>45972</v>
      </c>
      <c r="B987" s="4" t="s">
        <v>298</v>
      </c>
      <c r="C987" s="4" t="s">
        <v>751</v>
      </c>
      <c r="D987" s="4"/>
      <c r="E987" s="4" t="s">
        <v>856</v>
      </c>
      <c r="F987" s="4" t="s">
        <v>777</v>
      </c>
      <c r="G987" s="4" t="s">
        <v>753</v>
      </c>
      <c r="H987" s="4" t="s">
        <v>1329</v>
      </c>
      <c r="I987" s="4">
        <v>3</v>
      </c>
      <c r="J987" s="35">
        <v>149.9</v>
      </c>
      <c r="K987" s="35">
        <v>0</v>
      </c>
      <c r="L987" s="5">
        <v>449.70000000000005</v>
      </c>
      <c r="M987" s="31"/>
      <c r="N987" s="31">
        <v>3</v>
      </c>
      <c r="O987" s="32"/>
      <c r="P987" s="32">
        <v>149.9</v>
      </c>
      <c r="Q987" s="35">
        <v>0</v>
      </c>
      <c r="R987" s="35">
        <v>0</v>
      </c>
      <c r="S987" s="5">
        <f t="shared" si="63"/>
        <v>96889.982760152023</v>
      </c>
      <c r="T987" cm="1">
        <f t="array" ref="T987">IF(OR(B987="MAL ALIMI", B987="ÜRETİM GİRİŞ"), MIN(I987, MAX(0, I987 + SUM(SUMIFS($I$1:I986, $C$1:C986, C987, $B$1:B986, {"MAL ALIMI","ÜRETİM GİRİŞ"})) - VLOOKUP(C987, 'STOK RAPORU'!$C$2:$I$1000, 4, 0))), 0)</f>
        <v>0</v>
      </c>
      <c r="U987" s="22">
        <f t="shared" si="60"/>
        <v>0</v>
      </c>
      <c r="V987">
        <f t="shared" si="61"/>
        <v>449.70000000000005</v>
      </c>
      <c r="W987" s="22">
        <f t="shared" si="62"/>
        <v>449.70000000000005</v>
      </c>
    </row>
    <row r="988" spans="1:23" hidden="1" x14ac:dyDescent="0.25">
      <c r="A988" s="3">
        <v>45972</v>
      </c>
      <c r="B988" s="4" t="s">
        <v>298</v>
      </c>
      <c r="C988" s="4" t="s">
        <v>507</v>
      </c>
      <c r="D988" s="4"/>
      <c r="E988" s="4" t="s">
        <v>856</v>
      </c>
      <c r="F988" s="4" t="s">
        <v>797</v>
      </c>
      <c r="G988" s="4" t="s">
        <v>795</v>
      </c>
      <c r="H988" s="4" t="s">
        <v>1329</v>
      </c>
      <c r="I988" s="4">
        <v>6</v>
      </c>
      <c r="J988" s="21">
        <v>127.36</v>
      </c>
      <c r="K988" s="21">
        <v>0</v>
      </c>
      <c r="L988" s="5">
        <v>764.16</v>
      </c>
      <c r="M988" s="4"/>
      <c r="N988" s="4">
        <v>6</v>
      </c>
      <c r="O988" s="5"/>
      <c r="P988" s="5">
        <v>127.36</v>
      </c>
      <c r="Q988" s="21">
        <v>0</v>
      </c>
      <c r="R988" s="21">
        <v>0</v>
      </c>
      <c r="S988" s="5">
        <f t="shared" si="63"/>
        <v>96889.982760152023</v>
      </c>
      <c r="T988" cm="1">
        <f t="array" ref="T988">IF(OR(B988="MAL ALIMI", B988="ÜRETİM GİRİŞ"), MIN(I988, MAX(0, I988 + SUM(SUMIFS($I$1:I987, $C$1:C987, C988, $B$1:B987, {"MAL ALIMI","ÜRETİM GİRİŞ"})) - VLOOKUP(C988, 'STOK RAPORU'!$C$2:$I$1000, 4, 0))), 0)</f>
        <v>3</v>
      </c>
      <c r="U988" s="22">
        <f t="shared" si="60"/>
        <v>382.08</v>
      </c>
      <c r="V988">
        <f t="shared" si="61"/>
        <v>764.16</v>
      </c>
      <c r="W988" s="22">
        <f t="shared" si="62"/>
        <v>382.08</v>
      </c>
    </row>
    <row r="989" spans="1:23" hidden="1" x14ac:dyDescent="0.25">
      <c r="A989" s="3">
        <v>45972</v>
      </c>
      <c r="B989" s="4" t="s">
        <v>334</v>
      </c>
      <c r="C989" s="4" t="s">
        <v>529</v>
      </c>
      <c r="D989" s="4"/>
      <c r="E989" s="4"/>
      <c r="F989" s="4" t="s">
        <v>650</v>
      </c>
      <c r="G989" s="4" t="s">
        <v>336</v>
      </c>
      <c r="H989" s="4" t="s">
        <v>289</v>
      </c>
      <c r="I989" s="4">
        <v>0.1</v>
      </c>
      <c r="J989" s="21">
        <v>600</v>
      </c>
      <c r="K989" s="21">
        <v>0</v>
      </c>
      <c r="L989" s="5">
        <v>0</v>
      </c>
      <c r="M989" s="4">
        <v>1</v>
      </c>
      <c r="N989" s="4"/>
      <c r="O989" s="5">
        <v>60</v>
      </c>
      <c r="P989" s="5"/>
      <c r="Q989" s="21">
        <v>60</v>
      </c>
      <c r="R989" s="21">
        <v>0</v>
      </c>
      <c r="S989" s="5">
        <f t="shared" si="63"/>
        <v>96949.982760152023</v>
      </c>
      <c r="T989" cm="1">
        <f t="array" ref="T989">IF(OR(B989="MAL ALIMI", B989="ÜRETİM GİRİŞ"), MIN(I989, MAX(0, I989 + SUM(SUMIFS($I$1:I988, $C$1:C988, C989, $B$1:B988, {"MAL ALIMI","ÜRETİM GİRİŞ"})) - VLOOKUP(C989, 'STOK RAPORU'!$C$2:$I$1000, 4, 0))), 0)</f>
        <v>0</v>
      </c>
      <c r="U989" s="22">
        <f t="shared" si="60"/>
        <v>0</v>
      </c>
      <c r="V989">
        <f t="shared" si="61"/>
        <v>0</v>
      </c>
      <c r="W989" s="22">
        <f t="shared" si="62"/>
        <v>0</v>
      </c>
    </row>
    <row r="990" spans="1:23" hidden="1" x14ac:dyDescent="0.25">
      <c r="A990" s="3">
        <v>45972</v>
      </c>
      <c r="B990" s="4" t="s">
        <v>334</v>
      </c>
      <c r="C990" s="4" t="s">
        <v>202</v>
      </c>
      <c r="D990" s="4"/>
      <c r="E990" s="4"/>
      <c r="F990" s="4" t="s">
        <v>650</v>
      </c>
      <c r="G990" s="4" t="s">
        <v>336</v>
      </c>
      <c r="H990" s="4" t="s">
        <v>289</v>
      </c>
      <c r="I990" s="4">
        <v>0.5</v>
      </c>
      <c r="J990" s="21">
        <v>80</v>
      </c>
      <c r="K990" s="21">
        <v>0</v>
      </c>
      <c r="L990" s="5">
        <v>0</v>
      </c>
      <c r="M990" s="4">
        <v>1</v>
      </c>
      <c r="N990" s="4"/>
      <c r="O990" s="5">
        <v>40</v>
      </c>
      <c r="P990" s="5"/>
      <c r="Q990" s="21">
        <v>40</v>
      </c>
      <c r="R990" s="21">
        <v>0</v>
      </c>
      <c r="S990" s="5">
        <f t="shared" si="63"/>
        <v>96989.982760152023</v>
      </c>
      <c r="T990" cm="1">
        <f t="array" ref="T990">IF(OR(B990="MAL ALIMI", B990="ÜRETİM GİRİŞ"), MIN(I990, MAX(0, I990 + SUM(SUMIFS($I$1:I989, $C$1:C989, C990, $B$1:B989, {"MAL ALIMI","ÜRETİM GİRİŞ"})) - VLOOKUP(C990, 'STOK RAPORU'!$C$2:$I$1000, 4, 0))), 0)</f>
        <v>0</v>
      </c>
      <c r="U990" s="22">
        <f t="shared" si="60"/>
        <v>0</v>
      </c>
      <c r="V990">
        <f t="shared" si="61"/>
        <v>0</v>
      </c>
      <c r="W990" s="22">
        <f t="shared" si="62"/>
        <v>0</v>
      </c>
    </row>
    <row r="991" spans="1:23" hidden="1" x14ac:dyDescent="0.25">
      <c r="A991" s="3">
        <v>45972</v>
      </c>
      <c r="B991" s="4" t="s">
        <v>334</v>
      </c>
      <c r="C991" s="4" t="s">
        <v>598</v>
      </c>
      <c r="D991" s="4"/>
      <c r="E991" s="4"/>
      <c r="F991" s="4" t="s">
        <v>650</v>
      </c>
      <c r="G991" s="4" t="s">
        <v>336</v>
      </c>
      <c r="H991" s="4" t="s">
        <v>289</v>
      </c>
      <c r="I991" s="4">
        <v>0.55500000000000005</v>
      </c>
      <c r="J991" s="21">
        <v>290</v>
      </c>
      <c r="K991" s="21">
        <v>0</v>
      </c>
      <c r="L991" s="5">
        <v>0</v>
      </c>
      <c r="M991" s="4">
        <v>0.55500000000000005</v>
      </c>
      <c r="N991" s="4"/>
      <c r="O991" s="5">
        <v>290</v>
      </c>
      <c r="P991" s="5"/>
      <c r="Q991" s="21">
        <v>160.95000000000002</v>
      </c>
      <c r="R991" s="21">
        <v>0</v>
      </c>
      <c r="S991" s="5">
        <f t="shared" si="63"/>
        <v>97150.93276015202</v>
      </c>
      <c r="T991" cm="1">
        <f t="array" ref="T991">IF(OR(B991="MAL ALIMI", B991="ÜRETİM GİRİŞ"), MIN(I991, MAX(0, I991 + SUM(SUMIFS($I$1:I990, $C$1:C990, C991, $B$1:B990, {"MAL ALIMI","ÜRETİM GİRİŞ"})) - VLOOKUP(C991, 'STOK RAPORU'!$C$2:$I$1000, 4, 0))), 0)</f>
        <v>0</v>
      </c>
      <c r="U991" s="22">
        <f t="shared" si="60"/>
        <v>0</v>
      </c>
      <c r="V991">
        <f t="shared" si="61"/>
        <v>0</v>
      </c>
      <c r="W991" s="22">
        <f t="shared" si="62"/>
        <v>0</v>
      </c>
    </row>
    <row r="992" spans="1:23" hidden="1" x14ac:dyDescent="0.25">
      <c r="A992" s="3">
        <v>45972</v>
      </c>
      <c r="B992" s="4" t="s">
        <v>334</v>
      </c>
      <c r="C992" s="4" t="s">
        <v>179</v>
      </c>
      <c r="D992" s="4"/>
      <c r="E992" s="4"/>
      <c r="F992" s="4" t="s">
        <v>652</v>
      </c>
      <c r="G992" s="4" t="s">
        <v>336</v>
      </c>
      <c r="H992" s="4" t="s">
        <v>289</v>
      </c>
      <c r="I992" s="4">
        <v>1</v>
      </c>
      <c r="J992" s="21">
        <v>160</v>
      </c>
      <c r="K992" s="21">
        <v>0</v>
      </c>
      <c r="L992" s="5">
        <v>0</v>
      </c>
      <c r="M992" s="4">
        <v>1</v>
      </c>
      <c r="N992" s="4"/>
      <c r="O992" s="5">
        <v>160</v>
      </c>
      <c r="P992" s="5"/>
      <c r="Q992" s="21">
        <v>160</v>
      </c>
      <c r="R992" s="21">
        <v>0</v>
      </c>
      <c r="S992" s="5">
        <f t="shared" si="63"/>
        <v>97310.93276015202</v>
      </c>
      <c r="T992" cm="1">
        <f t="array" ref="T992">IF(OR(B992="MAL ALIMI", B992="ÜRETİM GİRİŞ"), MIN(I992, MAX(0, I992 + SUM(SUMIFS($I$1:I991, $C$1:C991, C992, $B$1:B991, {"MAL ALIMI","ÜRETİM GİRİŞ"})) - VLOOKUP(C992, 'STOK RAPORU'!$C$2:$I$1000, 4, 0))), 0)</f>
        <v>0</v>
      </c>
      <c r="U992" s="22">
        <f t="shared" si="60"/>
        <v>0</v>
      </c>
      <c r="V992">
        <f t="shared" si="61"/>
        <v>0</v>
      </c>
      <c r="W992" s="22">
        <f t="shared" si="62"/>
        <v>0</v>
      </c>
    </row>
    <row r="993" spans="1:23" hidden="1" x14ac:dyDescent="0.25">
      <c r="A993" s="3">
        <v>45972</v>
      </c>
      <c r="B993" s="4" t="s">
        <v>334</v>
      </c>
      <c r="C993" s="4" t="s">
        <v>254</v>
      </c>
      <c r="D993" s="4"/>
      <c r="E993" s="4"/>
      <c r="F993" s="4" t="s">
        <v>653</v>
      </c>
      <c r="G993" s="4" t="s">
        <v>336</v>
      </c>
      <c r="H993" s="4" t="s">
        <v>289</v>
      </c>
      <c r="I993" s="4">
        <v>0.32</v>
      </c>
      <c r="J993" s="21">
        <v>190</v>
      </c>
      <c r="K993" s="21">
        <v>0</v>
      </c>
      <c r="L993" s="5">
        <v>0</v>
      </c>
      <c r="M993" s="4">
        <v>0.32</v>
      </c>
      <c r="N993" s="4"/>
      <c r="O993" s="5">
        <v>190</v>
      </c>
      <c r="P993" s="5"/>
      <c r="Q993" s="21">
        <v>60.800000000000004</v>
      </c>
      <c r="R993" s="21">
        <v>0</v>
      </c>
      <c r="S993" s="5">
        <f t="shared" si="63"/>
        <v>97371.732760152023</v>
      </c>
      <c r="T993" cm="1">
        <f t="array" ref="T993">IF(OR(B993="MAL ALIMI", B993="ÜRETİM GİRİŞ"), MIN(I993, MAX(0, I993 + SUM(SUMIFS($I$1:I992, $C$1:C992, C993, $B$1:B992, {"MAL ALIMI","ÜRETİM GİRİŞ"})) - VLOOKUP(C993, 'STOK RAPORU'!$C$2:$I$1000, 4, 0))), 0)</f>
        <v>0</v>
      </c>
      <c r="U993" s="22">
        <f t="shared" si="60"/>
        <v>0</v>
      </c>
      <c r="V993">
        <f t="shared" si="61"/>
        <v>0</v>
      </c>
      <c r="W993" s="22">
        <f t="shared" si="62"/>
        <v>0</v>
      </c>
    </row>
    <row r="994" spans="1:23" hidden="1" x14ac:dyDescent="0.25">
      <c r="A994" s="3">
        <v>45972</v>
      </c>
      <c r="B994" s="4" t="s">
        <v>334</v>
      </c>
      <c r="C994" s="4" t="s">
        <v>647</v>
      </c>
      <c r="D994" s="4"/>
      <c r="E994" s="4"/>
      <c r="F994" s="4" t="s">
        <v>653</v>
      </c>
      <c r="G994" s="4" t="s">
        <v>336</v>
      </c>
      <c r="H994" s="4" t="s">
        <v>289</v>
      </c>
      <c r="I994" s="4">
        <v>0.25</v>
      </c>
      <c r="J994" s="21">
        <v>400</v>
      </c>
      <c r="K994" s="21">
        <v>0</v>
      </c>
      <c r="L994" s="5">
        <v>0</v>
      </c>
      <c r="M994" s="4">
        <v>1</v>
      </c>
      <c r="N994" s="4"/>
      <c r="O994" s="5">
        <v>100</v>
      </c>
      <c r="P994" s="5"/>
      <c r="Q994" s="21">
        <v>100</v>
      </c>
      <c r="R994" s="21">
        <v>0</v>
      </c>
      <c r="S994" s="5">
        <f t="shared" si="63"/>
        <v>97471.732760152023</v>
      </c>
      <c r="T994" cm="1">
        <f t="array" ref="T994">IF(OR(B994="MAL ALIMI", B994="ÜRETİM GİRİŞ"), MIN(I994, MAX(0, I994 + SUM(SUMIFS($I$1:I993, $C$1:C993, C994, $B$1:B993, {"MAL ALIMI","ÜRETİM GİRİŞ"})) - VLOOKUP(C994, 'STOK RAPORU'!$C$2:$I$1000, 4, 0))), 0)</f>
        <v>0</v>
      </c>
      <c r="U994" s="22">
        <f t="shared" si="60"/>
        <v>0</v>
      </c>
      <c r="V994">
        <f t="shared" si="61"/>
        <v>0</v>
      </c>
      <c r="W994" s="22">
        <f t="shared" si="62"/>
        <v>0</v>
      </c>
    </row>
    <row r="995" spans="1:23" hidden="1" x14ac:dyDescent="0.25">
      <c r="A995" s="3">
        <v>45972</v>
      </c>
      <c r="B995" s="4" t="s">
        <v>334</v>
      </c>
      <c r="C995" s="4" t="s">
        <v>160</v>
      </c>
      <c r="D995" s="4"/>
      <c r="E995" s="4"/>
      <c r="F995" s="4" t="s">
        <v>654</v>
      </c>
      <c r="G995" s="4" t="s">
        <v>336</v>
      </c>
      <c r="H995" s="4" t="s">
        <v>289</v>
      </c>
      <c r="I995" s="4">
        <v>1</v>
      </c>
      <c r="J995" s="21">
        <v>240</v>
      </c>
      <c r="K995" s="21">
        <v>0</v>
      </c>
      <c r="L995" s="5">
        <v>0</v>
      </c>
      <c r="M995" s="4">
        <v>1</v>
      </c>
      <c r="N995" s="4"/>
      <c r="O995" s="5">
        <v>240</v>
      </c>
      <c r="P995" s="5"/>
      <c r="Q995" s="21">
        <v>240</v>
      </c>
      <c r="R995" s="21">
        <v>0</v>
      </c>
      <c r="S995" s="5">
        <f t="shared" si="63"/>
        <v>97711.732760152023</v>
      </c>
      <c r="T995" cm="1">
        <f t="array" ref="T995">IF(OR(B995="MAL ALIMI", B995="ÜRETİM GİRİŞ"), MIN(I995, MAX(0, I995 + SUM(SUMIFS($I$1:I994, $C$1:C994, C995, $B$1:B994, {"MAL ALIMI","ÜRETİM GİRİŞ"})) - VLOOKUP(C995, 'STOK RAPORU'!$C$2:$I$1000, 4, 0))), 0)</f>
        <v>0</v>
      </c>
      <c r="U995" s="22">
        <f t="shared" si="60"/>
        <v>0</v>
      </c>
      <c r="V995">
        <f t="shared" si="61"/>
        <v>0</v>
      </c>
      <c r="W995" s="22">
        <f t="shared" si="62"/>
        <v>0</v>
      </c>
    </row>
    <row r="996" spans="1:23" hidden="1" x14ac:dyDescent="0.25">
      <c r="A996" s="3">
        <v>45972</v>
      </c>
      <c r="B996" s="4" t="s">
        <v>334</v>
      </c>
      <c r="C996" s="59" t="s">
        <v>161</v>
      </c>
      <c r="D996" s="4"/>
      <c r="E996" s="4"/>
      <c r="F996" s="4" t="s">
        <v>654</v>
      </c>
      <c r="G996" s="4" t="s">
        <v>336</v>
      </c>
      <c r="H996" s="4" t="s">
        <v>289</v>
      </c>
      <c r="I996" s="4">
        <v>1</v>
      </c>
      <c r="J996" s="21">
        <v>200</v>
      </c>
      <c r="K996" s="21">
        <v>0</v>
      </c>
      <c r="L996" s="5">
        <v>0</v>
      </c>
      <c r="M996" s="4">
        <v>1</v>
      </c>
      <c r="N996" s="4"/>
      <c r="O996" s="5">
        <v>200</v>
      </c>
      <c r="P996" s="5"/>
      <c r="Q996" s="21">
        <v>200</v>
      </c>
      <c r="R996" s="21">
        <v>0</v>
      </c>
      <c r="S996" s="5">
        <f t="shared" si="63"/>
        <v>97911.732760152023</v>
      </c>
      <c r="T996" cm="1">
        <f t="array" ref="T996">IF(OR(B996="MAL ALIMI", B996="ÜRETİM GİRİŞ"), MIN(I996, MAX(0, I996 + SUM(SUMIFS($I$1:I995, $C$1:C995, C996, $B$1:B995, {"MAL ALIMI","ÜRETİM GİRİŞ"})) - VLOOKUP(C996, 'STOK RAPORU'!$C$2:$I$1000, 4, 0))), 0)</f>
        <v>0</v>
      </c>
      <c r="U996" s="22">
        <f t="shared" si="60"/>
        <v>0</v>
      </c>
      <c r="V996">
        <f t="shared" si="61"/>
        <v>0</v>
      </c>
      <c r="W996" s="22">
        <f t="shared" si="62"/>
        <v>0</v>
      </c>
    </row>
    <row r="997" spans="1:23" hidden="1" x14ac:dyDescent="0.25">
      <c r="A997" s="3">
        <v>45972</v>
      </c>
      <c r="B997" s="4" t="s">
        <v>334</v>
      </c>
      <c r="C997" s="4" t="s">
        <v>134</v>
      </c>
      <c r="D997" s="4"/>
      <c r="E997" s="4"/>
      <c r="F997" s="4" t="s">
        <v>655</v>
      </c>
      <c r="G997" s="4" t="s">
        <v>336</v>
      </c>
      <c r="H997" s="4" t="s">
        <v>289</v>
      </c>
      <c r="I997" s="4">
        <v>0.1</v>
      </c>
      <c r="J997" s="21">
        <v>600</v>
      </c>
      <c r="K997" s="21">
        <v>0</v>
      </c>
      <c r="L997" s="5">
        <v>0</v>
      </c>
      <c r="M997" s="4">
        <v>1</v>
      </c>
      <c r="N997" s="4"/>
      <c r="O997" s="5">
        <v>60</v>
      </c>
      <c r="P997" s="5"/>
      <c r="Q997" s="21">
        <v>60</v>
      </c>
      <c r="R997" s="21">
        <v>0</v>
      </c>
      <c r="S997" s="5">
        <f t="shared" si="63"/>
        <v>97971.732760152023</v>
      </c>
      <c r="T997" cm="1">
        <f t="array" ref="T997">IF(OR(B997="MAL ALIMI", B997="ÜRETİM GİRİŞ"), MIN(I997, MAX(0, I997 + SUM(SUMIFS($I$1:I996, $C$1:C996, C997, $B$1:B996, {"MAL ALIMI","ÜRETİM GİRİŞ"})) - VLOOKUP(C997, 'STOK RAPORU'!$C$2:$I$1000, 4, 0))), 0)</f>
        <v>0</v>
      </c>
      <c r="U997" s="22">
        <f t="shared" si="60"/>
        <v>0</v>
      </c>
      <c r="V997">
        <f t="shared" si="61"/>
        <v>0</v>
      </c>
      <c r="W997" s="22">
        <f t="shared" si="62"/>
        <v>0</v>
      </c>
    </row>
    <row r="998" spans="1:23" hidden="1" x14ac:dyDescent="0.25">
      <c r="A998" s="3">
        <v>45972</v>
      </c>
      <c r="B998" s="4" t="s">
        <v>334</v>
      </c>
      <c r="C998" s="4" t="s">
        <v>165</v>
      </c>
      <c r="D998" s="4"/>
      <c r="E998" s="4"/>
      <c r="F998" s="4" t="s">
        <v>656</v>
      </c>
      <c r="G998" s="4" t="s">
        <v>336</v>
      </c>
      <c r="H998" s="4" t="s">
        <v>289</v>
      </c>
      <c r="I998" s="4">
        <v>0.1</v>
      </c>
      <c r="J998" s="21">
        <v>250</v>
      </c>
      <c r="K998" s="21">
        <v>0</v>
      </c>
      <c r="L998" s="5">
        <v>0</v>
      </c>
      <c r="M998" s="4">
        <v>1</v>
      </c>
      <c r="N998" s="4"/>
      <c r="O998" s="5">
        <v>25</v>
      </c>
      <c r="P998" s="5"/>
      <c r="Q998" s="21">
        <v>25</v>
      </c>
      <c r="R998" s="21">
        <v>0</v>
      </c>
      <c r="S998" s="5">
        <f t="shared" si="63"/>
        <v>97996.732760152023</v>
      </c>
      <c r="T998" cm="1">
        <f t="array" ref="T998">IF(OR(B998="MAL ALIMI", B998="ÜRETİM GİRİŞ"), MIN(I998, MAX(0, I998 + SUM(SUMIFS($I$1:I997, $C$1:C997, C998, $B$1:B997, {"MAL ALIMI","ÜRETİM GİRİŞ"})) - VLOOKUP(C998, 'STOK RAPORU'!$C$2:$I$1000, 4, 0))), 0)</f>
        <v>0</v>
      </c>
      <c r="U998" s="22">
        <f t="shared" si="60"/>
        <v>0</v>
      </c>
      <c r="V998">
        <f t="shared" si="61"/>
        <v>0</v>
      </c>
      <c r="W998" s="22">
        <f t="shared" si="62"/>
        <v>0</v>
      </c>
    </row>
    <row r="999" spans="1:23" hidden="1" x14ac:dyDescent="0.25">
      <c r="A999" s="3">
        <v>45972</v>
      </c>
      <c r="B999" s="4" t="s">
        <v>334</v>
      </c>
      <c r="C999" s="4" t="s">
        <v>196</v>
      </c>
      <c r="D999" s="4"/>
      <c r="E999" s="4"/>
      <c r="F999" s="4" t="s">
        <v>657</v>
      </c>
      <c r="G999" s="4" t="s">
        <v>336</v>
      </c>
      <c r="H999" s="4" t="s">
        <v>289</v>
      </c>
      <c r="I999" s="4">
        <v>0.19445000000000001</v>
      </c>
      <c r="J999" s="21">
        <v>180</v>
      </c>
      <c r="K999" s="21">
        <v>0</v>
      </c>
      <c r="L999" s="5">
        <v>0</v>
      </c>
      <c r="M999" s="4">
        <v>1</v>
      </c>
      <c r="N999" s="4"/>
      <c r="O999" s="5">
        <v>35</v>
      </c>
      <c r="P999" s="5"/>
      <c r="Q999" s="21">
        <v>35.001000000000005</v>
      </c>
      <c r="R999" s="21">
        <v>0</v>
      </c>
      <c r="S999" s="5">
        <f t="shared" si="63"/>
        <v>98031.733760152027</v>
      </c>
      <c r="T999" cm="1">
        <f t="array" ref="T999">IF(OR(B999="MAL ALIMI", B999="ÜRETİM GİRİŞ"), MIN(I999, MAX(0, I999 + SUM(SUMIFS($I$1:I998, $C$1:C998, C999, $B$1:B998, {"MAL ALIMI","ÜRETİM GİRİŞ"})) - VLOOKUP(C999, 'STOK RAPORU'!$C$2:$I$1000, 4, 0))), 0)</f>
        <v>0</v>
      </c>
      <c r="U999" s="22">
        <f t="shared" si="60"/>
        <v>0</v>
      </c>
      <c r="V999">
        <f t="shared" si="61"/>
        <v>0</v>
      </c>
      <c r="W999" s="22">
        <f t="shared" si="62"/>
        <v>0</v>
      </c>
    </row>
    <row r="1000" spans="1:23" hidden="1" x14ac:dyDescent="0.25">
      <c r="A1000" s="3">
        <v>45972</v>
      </c>
      <c r="B1000" s="4" t="s">
        <v>334</v>
      </c>
      <c r="C1000" s="4" t="s">
        <v>507</v>
      </c>
      <c r="D1000" s="4"/>
      <c r="E1000" s="4"/>
      <c r="F1000" s="4" t="s">
        <v>658</v>
      </c>
      <c r="G1000" s="4" t="s">
        <v>336</v>
      </c>
      <c r="H1000" s="4" t="s">
        <v>289</v>
      </c>
      <c r="I1000" s="4">
        <v>1</v>
      </c>
      <c r="J1000" s="21">
        <v>190</v>
      </c>
      <c r="K1000" s="21">
        <v>0</v>
      </c>
      <c r="L1000" s="5">
        <v>0</v>
      </c>
      <c r="M1000" s="4">
        <v>1</v>
      </c>
      <c r="N1000" s="4"/>
      <c r="O1000" s="5">
        <v>190</v>
      </c>
      <c r="P1000" s="5"/>
      <c r="Q1000" s="21">
        <v>190</v>
      </c>
      <c r="R1000" s="21">
        <v>0</v>
      </c>
      <c r="S1000" s="5">
        <f t="shared" si="63"/>
        <v>98221.733760152027</v>
      </c>
      <c r="T1000" cm="1">
        <f t="array" ref="T1000">IF(OR(B1000="MAL ALIMI", B1000="ÜRETİM GİRİŞ"), MIN(I1000, MAX(0, I1000 + SUM(SUMIFS($I$1:I999, $C$1:C999, C1000, $B$1:B999, {"MAL ALIMI","ÜRETİM GİRİŞ"})) - VLOOKUP(C1000, 'STOK RAPORU'!$C$2:$I$1000, 4, 0))), 0)</f>
        <v>0</v>
      </c>
      <c r="U1000" s="22">
        <f t="shared" si="60"/>
        <v>0</v>
      </c>
      <c r="V1000">
        <f t="shared" si="61"/>
        <v>0</v>
      </c>
      <c r="W1000" s="22">
        <f t="shared" si="62"/>
        <v>0</v>
      </c>
    </row>
    <row r="1001" spans="1:23" hidden="1" x14ac:dyDescent="0.25">
      <c r="A1001" s="3">
        <v>45972</v>
      </c>
      <c r="B1001" s="4" t="s">
        <v>334</v>
      </c>
      <c r="C1001" s="4" t="s">
        <v>196</v>
      </c>
      <c r="D1001" s="4"/>
      <c r="E1001" s="4" t="s">
        <v>921</v>
      </c>
      <c r="F1001" s="4" t="s">
        <v>662</v>
      </c>
      <c r="G1001" s="4" t="s">
        <v>336</v>
      </c>
      <c r="H1001" s="4" t="s">
        <v>380</v>
      </c>
      <c r="I1001" s="4">
        <v>0.45</v>
      </c>
      <c r="J1001" s="21">
        <v>180</v>
      </c>
      <c r="K1001" s="21">
        <v>81</v>
      </c>
      <c r="L1001" s="5">
        <v>0</v>
      </c>
      <c r="M1001" s="4">
        <v>0.45</v>
      </c>
      <c r="N1001" s="4"/>
      <c r="O1001" s="5">
        <v>180</v>
      </c>
      <c r="P1001" s="5"/>
      <c r="Q1001" s="21">
        <v>0</v>
      </c>
      <c r="R1001" s="21">
        <v>0</v>
      </c>
      <c r="S1001" s="5">
        <f t="shared" si="63"/>
        <v>98221.733760152027</v>
      </c>
      <c r="T1001" cm="1">
        <f t="array" ref="T1001">IF(OR(B1001="MAL ALIMI", B1001="ÜRETİM GİRİŞ"), MIN(I1001, MAX(0, I1001 + SUM(SUMIFS($I$1:I1000, $C$1:C1000, C1001, $B$1:B1000, {"MAL ALIMI","ÜRETİM GİRİŞ"})) - VLOOKUP(C1001, 'STOK RAPORU'!$C$2:$I$1000, 4, 0))), 0)</f>
        <v>0</v>
      </c>
      <c r="U1001" s="22">
        <f t="shared" si="60"/>
        <v>0</v>
      </c>
      <c r="V1001">
        <f t="shared" si="61"/>
        <v>0</v>
      </c>
      <c r="W1001" s="22">
        <f t="shared" si="62"/>
        <v>0</v>
      </c>
    </row>
    <row r="1002" spans="1:23" hidden="1" x14ac:dyDescent="0.25">
      <c r="A1002" s="3">
        <v>45972</v>
      </c>
      <c r="B1002" s="4" t="s">
        <v>334</v>
      </c>
      <c r="C1002" s="4" t="s">
        <v>242</v>
      </c>
      <c r="D1002" s="4"/>
      <c r="E1002" s="4" t="s">
        <v>921</v>
      </c>
      <c r="F1002" s="4" t="s">
        <v>662</v>
      </c>
      <c r="G1002" s="4" t="s">
        <v>336</v>
      </c>
      <c r="H1002" s="4" t="s">
        <v>380</v>
      </c>
      <c r="I1002" s="4">
        <v>0.38</v>
      </c>
      <c r="J1002" s="21">
        <v>350</v>
      </c>
      <c r="K1002" s="21">
        <v>133</v>
      </c>
      <c r="L1002" s="5">
        <v>0</v>
      </c>
      <c r="M1002" s="4">
        <v>0.38</v>
      </c>
      <c r="N1002" s="4"/>
      <c r="O1002" s="5">
        <v>350</v>
      </c>
      <c r="P1002" s="5"/>
      <c r="Q1002" s="21">
        <v>0</v>
      </c>
      <c r="R1002" s="21">
        <v>0</v>
      </c>
      <c r="S1002" s="5">
        <f t="shared" si="63"/>
        <v>98221.733760152027</v>
      </c>
      <c r="T1002" cm="1">
        <f t="array" ref="T1002">IF(OR(B1002="MAL ALIMI", B1002="ÜRETİM GİRİŞ"), MIN(I1002, MAX(0, I1002 + SUM(SUMIFS($I$1:I1001, $C$1:C1001, C1002, $B$1:B1001, {"MAL ALIMI","ÜRETİM GİRİŞ"})) - VLOOKUP(C1002, 'STOK RAPORU'!$C$2:$I$1000, 4, 0))), 0)</f>
        <v>0</v>
      </c>
      <c r="U1002" s="22">
        <f t="shared" si="60"/>
        <v>0</v>
      </c>
      <c r="V1002">
        <f t="shared" si="61"/>
        <v>0</v>
      </c>
      <c r="W1002" s="22">
        <f t="shared" si="62"/>
        <v>0</v>
      </c>
    </row>
    <row r="1003" spans="1:23" hidden="1" x14ac:dyDescent="0.25">
      <c r="A1003" s="3">
        <v>45972</v>
      </c>
      <c r="B1003" s="4" t="s">
        <v>285</v>
      </c>
      <c r="C1003" s="4"/>
      <c r="D1003" s="4" t="s">
        <v>107</v>
      </c>
      <c r="E1003" s="4" t="s">
        <v>856</v>
      </c>
      <c r="F1003" s="4"/>
      <c r="G1003" s="4" t="s">
        <v>672</v>
      </c>
      <c r="H1003" s="4" t="s">
        <v>1329</v>
      </c>
      <c r="I1003" s="4">
        <v>1</v>
      </c>
      <c r="J1003" s="35">
        <v>300</v>
      </c>
      <c r="K1003" s="35">
        <v>0</v>
      </c>
      <c r="L1003" s="5">
        <v>300</v>
      </c>
      <c r="M1003" s="31"/>
      <c r="N1003" s="31">
        <v>1</v>
      </c>
      <c r="O1003" s="32"/>
      <c r="P1003" s="32">
        <v>300</v>
      </c>
      <c r="Q1003" s="35">
        <v>0</v>
      </c>
      <c r="R1003" s="35">
        <v>0</v>
      </c>
      <c r="S1003" s="5">
        <f t="shared" si="63"/>
        <v>98221.733760152027</v>
      </c>
      <c r="T1003" cm="1">
        <f t="array" ref="T1003">IF(OR(B1003="MAL ALIMI", B1003="ÜRETİM GİRİŞ"), MIN(I1003, MAX(0, I1003 + SUM(SUMIFS($I$1:I1002, $C$1:C1002, C1003, $B$1:B1002, {"MAL ALIMI","ÜRETİM GİRİŞ"})) - VLOOKUP(C1003, 'STOK RAPORU'!$C$2:$I$1000, 4, 0))), 0)</f>
        <v>0</v>
      </c>
      <c r="U1003" s="22">
        <f t="shared" si="60"/>
        <v>0</v>
      </c>
      <c r="V1003">
        <f t="shared" si="61"/>
        <v>0</v>
      </c>
      <c r="W1003" s="22">
        <f t="shared" si="62"/>
        <v>0</v>
      </c>
    </row>
    <row r="1004" spans="1:23" hidden="1" x14ac:dyDescent="0.25">
      <c r="A1004" s="3">
        <v>45972</v>
      </c>
      <c r="B1004" s="4" t="s">
        <v>285</v>
      </c>
      <c r="C1004" s="4"/>
      <c r="D1004" s="4" t="s">
        <v>673</v>
      </c>
      <c r="E1004" s="4" t="s">
        <v>856</v>
      </c>
      <c r="F1004" s="4"/>
      <c r="G1004" s="4" t="s">
        <v>674</v>
      </c>
      <c r="H1004" s="4" t="s">
        <v>1329</v>
      </c>
      <c r="I1004" s="4">
        <v>1</v>
      </c>
      <c r="J1004" s="35">
        <v>562.5</v>
      </c>
      <c r="K1004" s="35">
        <v>0</v>
      </c>
      <c r="L1004" s="5">
        <v>562.5</v>
      </c>
      <c r="M1004" s="31"/>
      <c r="N1004" s="31">
        <v>1</v>
      </c>
      <c r="O1004" s="32"/>
      <c r="P1004" s="32">
        <v>562.5</v>
      </c>
      <c r="Q1004" s="35">
        <v>0</v>
      </c>
      <c r="R1004" s="35">
        <v>0</v>
      </c>
      <c r="S1004" s="5">
        <f t="shared" si="63"/>
        <v>98221.733760152027</v>
      </c>
      <c r="T1004" cm="1">
        <f t="array" ref="T1004">IF(OR(B1004="MAL ALIMI", B1004="ÜRETİM GİRİŞ"), MIN(I1004, MAX(0, I1004 + SUM(SUMIFS($I$1:I1003, $C$1:C1003, C1004, $B$1:B1003, {"MAL ALIMI","ÜRETİM GİRİŞ"})) - VLOOKUP(C1004, 'STOK RAPORU'!$C$2:$I$1000, 4, 0))), 0)</f>
        <v>0</v>
      </c>
      <c r="U1004" s="22">
        <f t="shared" si="60"/>
        <v>0</v>
      </c>
      <c r="V1004">
        <f t="shared" si="61"/>
        <v>0</v>
      </c>
      <c r="W1004" s="22">
        <f t="shared" si="62"/>
        <v>0</v>
      </c>
    </row>
    <row r="1005" spans="1:23" hidden="1" x14ac:dyDescent="0.25">
      <c r="A1005" s="3">
        <v>45972</v>
      </c>
      <c r="B1005" s="4" t="s">
        <v>285</v>
      </c>
      <c r="C1005" s="4"/>
      <c r="D1005" s="4" t="s">
        <v>673</v>
      </c>
      <c r="E1005" s="4" t="s">
        <v>856</v>
      </c>
      <c r="F1005" s="4"/>
      <c r="G1005" s="4" t="s">
        <v>675</v>
      </c>
      <c r="H1005" s="4" t="s">
        <v>1329</v>
      </c>
      <c r="I1005" s="4">
        <v>1</v>
      </c>
      <c r="J1005" s="35">
        <v>146.22999999999999</v>
      </c>
      <c r="K1005" s="35">
        <v>0</v>
      </c>
      <c r="L1005" s="5">
        <v>146.22999999999999</v>
      </c>
      <c r="M1005" s="31"/>
      <c r="N1005" s="31">
        <v>1</v>
      </c>
      <c r="O1005" s="32"/>
      <c r="P1005" s="32">
        <v>146.22999999999999</v>
      </c>
      <c r="Q1005" s="35">
        <v>0</v>
      </c>
      <c r="R1005" s="35">
        <v>0</v>
      </c>
      <c r="S1005" s="5">
        <f t="shared" si="63"/>
        <v>98221.733760152027</v>
      </c>
      <c r="T1005" cm="1">
        <f t="array" ref="T1005">IF(OR(B1005="MAL ALIMI", B1005="ÜRETİM GİRİŞ"), MIN(I1005, MAX(0, I1005 + SUM(SUMIFS($I$1:I1004, $C$1:C1004, C1005, $B$1:B1004, {"MAL ALIMI","ÜRETİM GİRİŞ"})) - VLOOKUP(C1005, 'STOK RAPORU'!$C$2:$I$1000, 4, 0))), 0)</f>
        <v>0</v>
      </c>
      <c r="U1005" s="22">
        <f t="shared" si="60"/>
        <v>0</v>
      </c>
      <c r="V1005">
        <f t="shared" si="61"/>
        <v>0</v>
      </c>
      <c r="W1005" s="22">
        <f t="shared" si="62"/>
        <v>0</v>
      </c>
    </row>
    <row r="1006" spans="1:23" hidden="1" x14ac:dyDescent="0.25">
      <c r="A1006" s="3">
        <v>45973</v>
      </c>
      <c r="B1006" s="4" t="s">
        <v>298</v>
      </c>
      <c r="C1006" s="4" t="s">
        <v>690</v>
      </c>
      <c r="D1006" s="4"/>
      <c r="E1006" s="4" t="s">
        <v>350</v>
      </c>
      <c r="F1006" s="4" t="s">
        <v>696</v>
      </c>
      <c r="G1006" s="4" t="s">
        <v>350</v>
      </c>
      <c r="H1006" s="4" t="s">
        <v>304</v>
      </c>
      <c r="I1006" s="4">
        <v>10</v>
      </c>
      <c r="J1006" s="21">
        <v>225</v>
      </c>
      <c r="K1006" s="21">
        <v>0</v>
      </c>
      <c r="L1006" s="5">
        <v>2250</v>
      </c>
      <c r="M1006" s="4"/>
      <c r="N1006" s="4">
        <v>10</v>
      </c>
      <c r="O1006" s="5"/>
      <c r="P1006" s="5">
        <v>225</v>
      </c>
      <c r="Q1006" s="21">
        <v>0</v>
      </c>
      <c r="R1006" s="21">
        <v>0</v>
      </c>
      <c r="S1006" s="5">
        <f t="shared" si="63"/>
        <v>98221.733760152027</v>
      </c>
      <c r="T1006" cm="1">
        <f t="array" ref="T1006">IF(OR(B1006="MAL ALIMI", B1006="ÜRETİM GİRİŞ"), MIN(I1006, MAX(0, I1006 + SUM(SUMIFS($I$1:I1005, $C$1:C1005, C1006, $B$1:B1005, {"MAL ALIMI","ÜRETİM GİRİŞ"})) - VLOOKUP(C1006, 'STOK RAPORU'!$C$2:$I$1000, 4, 0))), 0)</f>
        <v>0</v>
      </c>
      <c r="U1006" s="22">
        <f t="shared" si="60"/>
        <v>0</v>
      </c>
      <c r="V1006">
        <f t="shared" si="61"/>
        <v>2250</v>
      </c>
      <c r="W1006" s="22">
        <f t="shared" si="62"/>
        <v>2250</v>
      </c>
    </row>
    <row r="1007" spans="1:23" hidden="1" x14ac:dyDescent="0.25">
      <c r="A1007" s="3">
        <v>45973</v>
      </c>
      <c r="B1007" s="4" t="s">
        <v>298</v>
      </c>
      <c r="C1007" s="4" t="s">
        <v>679</v>
      </c>
      <c r="D1007" s="4"/>
      <c r="E1007" s="4" t="s">
        <v>350</v>
      </c>
      <c r="F1007" s="4" t="s">
        <v>696</v>
      </c>
      <c r="G1007" s="4" t="s">
        <v>350</v>
      </c>
      <c r="H1007" s="4" t="s">
        <v>304</v>
      </c>
      <c r="I1007" s="4">
        <v>5</v>
      </c>
      <c r="J1007" s="21">
        <v>200</v>
      </c>
      <c r="K1007" s="21">
        <v>0</v>
      </c>
      <c r="L1007" s="5">
        <v>1000</v>
      </c>
      <c r="M1007" s="4"/>
      <c r="N1007" s="4">
        <v>5</v>
      </c>
      <c r="O1007" s="5"/>
      <c r="P1007" s="5">
        <v>200</v>
      </c>
      <c r="Q1007" s="21">
        <v>0</v>
      </c>
      <c r="R1007" s="21">
        <v>0</v>
      </c>
      <c r="S1007" s="5">
        <f t="shared" si="63"/>
        <v>98221.733760152027</v>
      </c>
      <c r="T1007" cm="1">
        <f t="array" ref="T1007">IF(OR(B1007="MAL ALIMI", B1007="ÜRETİM GİRİŞ"), MIN(I1007, MAX(0, I1007 + SUM(SUMIFS($I$1:I1006, $C$1:C1006, C1007, $B$1:B1006, {"MAL ALIMI","ÜRETİM GİRİŞ"})) - VLOOKUP(C1007, 'STOK RAPORU'!$C$2:$I$1000, 4, 0))), 0)</f>
        <v>0</v>
      </c>
      <c r="U1007" s="22">
        <f t="shared" si="60"/>
        <v>0</v>
      </c>
      <c r="V1007">
        <f t="shared" si="61"/>
        <v>1000</v>
      </c>
      <c r="W1007" s="22">
        <f t="shared" si="62"/>
        <v>1000</v>
      </c>
    </row>
    <row r="1008" spans="1:23" hidden="1" x14ac:dyDescent="0.25">
      <c r="A1008" s="3">
        <v>45973</v>
      </c>
      <c r="B1008" s="4" t="s">
        <v>298</v>
      </c>
      <c r="C1008" s="4" t="s">
        <v>691</v>
      </c>
      <c r="D1008" s="4"/>
      <c r="E1008" s="4" t="s">
        <v>350</v>
      </c>
      <c r="F1008" s="4" t="s">
        <v>696</v>
      </c>
      <c r="G1008" s="4" t="s">
        <v>350</v>
      </c>
      <c r="H1008" s="4" t="s">
        <v>304</v>
      </c>
      <c r="I1008" s="4">
        <v>5</v>
      </c>
      <c r="J1008" s="21">
        <v>115</v>
      </c>
      <c r="K1008" s="21">
        <v>0</v>
      </c>
      <c r="L1008" s="5">
        <v>575</v>
      </c>
      <c r="M1008" s="4"/>
      <c r="N1008" s="4">
        <v>5</v>
      </c>
      <c r="O1008" s="5"/>
      <c r="P1008" s="5">
        <v>115</v>
      </c>
      <c r="Q1008" s="21">
        <v>0</v>
      </c>
      <c r="R1008" s="21">
        <v>0</v>
      </c>
      <c r="S1008" s="5">
        <f t="shared" si="63"/>
        <v>98221.733760152027</v>
      </c>
      <c r="T1008" cm="1">
        <f t="array" ref="T1008">IF(OR(B1008="MAL ALIMI", B1008="ÜRETİM GİRİŞ"), MIN(I1008, MAX(0, I1008 + SUM(SUMIFS($I$1:I1007, $C$1:C1007, C1008, $B$1:B1007, {"MAL ALIMI","ÜRETİM GİRİŞ"})) - VLOOKUP(C1008, 'STOK RAPORU'!$C$2:$I$1000, 4, 0))), 0)</f>
        <v>0</v>
      </c>
      <c r="U1008" s="22">
        <f t="shared" si="60"/>
        <v>0</v>
      </c>
      <c r="V1008">
        <f t="shared" si="61"/>
        <v>575</v>
      </c>
      <c r="W1008" s="22">
        <f t="shared" si="62"/>
        <v>575</v>
      </c>
    </row>
    <row r="1009" spans="1:23" hidden="1" x14ac:dyDescent="0.25">
      <c r="A1009" s="3">
        <v>45973</v>
      </c>
      <c r="B1009" s="4" t="s">
        <v>298</v>
      </c>
      <c r="C1009" s="4" t="s">
        <v>692</v>
      </c>
      <c r="D1009" s="4"/>
      <c r="E1009" s="4" t="s">
        <v>350</v>
      </c>
      <c r="F1009" s="4" t="s">
        <v>696</v>
      </c>
      <c r="G1009" s="4" t="s">
        <v>350</v>
      </c>
      <c r="H1009" s="4" t="s">
        <v>304</v>
      </c>
      <c r="I1009" s="4">
        <v>5</v>
      </c>
      <c r="J1009" s="21">
        <v>33</v>
      </c>
      <c r="K1009" s="21">
        <v>0</v>
      </c>
      <c r="L1009" s="5">
        <v>165</v>
      </c>
      <c r="M1009" s="4"/>
      <c r="N1009" s="4">
        <v>5</v>
      </c>
      <c r="O1009" s="5"/>
      <c r="P1009" s="5">
        <v>33</v>
      </c>
      <c r="Q1009" s="21">
        <v>0</v>
      </c>
      <c r="R1009" s="21">
        <v>0</v>
      </c>
      <c r="S1009" s="5">
        <f t="shared" si="63"/>
        <v>98221.733760152027</v>
      </c>
      <c r="T1009" cm="1">
        <f t="array" ref="T1009">IF(OR(B1009="MAL ALIMI", B1009="ÜRETİM GİRİŞ"), MIN(I1009, MAX(0, I1009 + SUM(SUMIFS($I$1:I1008, $C$1:C1008, C1009, $B$1:B1008, {"MAL ALIMI","ÜRETİM GİRİŞ"})) - VLOOKUP(C1009, 'STOK RAPORU'!$C$2:$I$1000, 4, 0))), 0)</f>
        <v>0</v>
      </c>
      <c r="U1009" s="22">
        <f t="shared" si="60"/>
        <v>0</v>
      </c>
      <c r="V1009">
        <f t="shared" si="61"/>
        <v>165</v>
      </c>
      <c r="W1009" s="22">
        <f t="shared" si="62"/>
        <v>165</v>
      </c>
    </row>
    <row r="1010" spans="1:23" hidden="1" x14ac:dyDescent="0.25">
      <c r="A1010" s="3">
        <v>45973</v>
      </c>
      <c r="B1010" s="4" t="s">
        <v>298</v>
      </c>
      <c r="C1010" s="4" t="s">
        <v>226</v>
      </c>
      <c r="D1010" s="4"/>
      <c r="E1010" s="4" t="s">
        <v>350</v>
      </c>
      <c r="F1010" s="4" t="s">
        <v>696</v>
      </c>
      <c r="G1010" s="4" t="s">
        <v>350</v>
      </c>
      <c r="H1010" s="4" t="s">
        <v>304</v>
      </c>
      <c r="I1010" s="4">
        <v>5</v>
      </c>
      <c r="J1010" s="21">
        <v>110</v>
      </c>
      <c r="K1010" s="21">
        <v>0</v>
      </c>
      <c r="L1010" s="5">
        <v>550</v>
      </c>
      <c r="M1010" s="4"/>
      <c r="N1010" s="4">
        <v>5</v>
      </c>
      <c r="O1010" s="5"/>
      <c r="P1010" s="5">
        <v>110</v>
      </c>
      <c r="Q1010" s="21">
        <v>0</v>
      </c>
      <c r="R1010" s="21">
        <v>0</v>
      </c>
      <c r="S1010" s="5">
        <f t="shared" si="63"/>
        <v>98221.733760152027</v>
      </c>
      <c r="T1010" cm="1">
        <f t="array" ref="T1010">IF(OR(B1010="MAL ALIMI", B1010="ÜRETİM GİRİŞ"), MIN(I1010, MAX(0, I1010 + SUM(SUMIFS($I$1:I1009, $C$1:C1009, C1010, $B$1:B1009, {"MAL ALIMI","ÜRETİM GİRİŞ"})) - VLOOKUP(C1010, 'STOK RAPORU'!$C$2:$I$1000, 4, 0))), 0)</f>
        <v>0</v>
      </c>
      <c r="U1010" s="22">
        <f t="shared" si="60"/>
        <v>0</v>
      </c>
      <c r="V1010">
        <f t="shared" si="61"/>
        <v>550</v>
      </c>
      <c r="W1010" s="22">
        <f t="shared" si="62"/>
        <v>550</v>
      </c>
    </row>
    <row r="1011" spans="1:23" hidden="1" x14ac:dyDescent="0.25">
      <c r="A1011" s="3">
        <v>45973</v>
      </c>
      <c r="B1011" s="4" t="s">
        <v>298</v>
      </c>
      <c r="C1011" s="4" t="s">
        <v>693</v>
      </c>
      <c r="D1011" s="4"/>
      <c r="E1011" s="4" t="s">
        <v>350</v>
      </c>
      <c r="F1011" s="4" t="s">
        <v>696</v>
      </c>
      <c r="G1011" s="4" t="s">
        <v>350</v>
      </c>
      <c r="H1011" s="4" t="s">
        <v>304</v>
      </c>
      <c r="I1011" s="4">
        <v>5</v>
      </c>
      <c r="J1011" s="21">
        <v>145</v>
      </c>
      <c r="K1011" s="21">
        <v>0</v>
      </c>
      <c r="L1011" s="5">
        <v>725</v>
      </c>
      <c r="M1011" s="4"/>
      <c r="N1011" s="4">
        <v>5</v>
      </c>
      <c r="O1011" s="5"/>
      <c r="P1011" s="5">
        <v>145</v>
      </c>
      <c r="Q1011" s="21">
        <v>0</v>
      </c>
      <c r="R1011" s="21">
        <v>0</v>
      </c>
      <c r="S1011" s="5">
        <f t="shared" si="63"/>
        <v>98221.733760152027</v>
      </c>
      <c r="T1011" cm="1">
        <f t="array" ref="T1011">IF(OR(B1011="MAL ALIMI", B1011="ÜRETİM GİRİŞ"), MIN(I1011, MAX(0, I1011 + SUM(SUMIFS($I$1:I1010, $C$1:C1010, C1011, $B$1:B1010, {"MAL ALIMI","ÜRETİM GİRİŞ"})) - VLOOKUP(C1011, 'STOK RAPORU'!$C$2:$I$1000, 4, 0))), 0)</f>
        <v>2.2717948717948744E-2</v>
      </c>
      <c r="U1011" s="22">
        <f t="shared" si="60"/>
        <v>3.2941025641025679</v>
      </c>
      <c r="V1011">
        <f t="shared" si="61"/>
        <v>725</v>
      </c>
      <c r="W1011" s="22">
        <f t="shared" si="62"/>
        <v>721.70589743589744</v>
      </c>
    </row>
    <row r="1012" spans="1:23" hidden="1" x14ac:dyDescent="0.25">
      <c r="A1012" s="3">
        <v>45973</v>
      </c>
      <c r="B1012" s="4" t="s">
        <v>298</v>
      </c>
      <c r="C1012" s="4" t="s">
        <v>694</v>
      </c>
      <c r="D1012" s="4"/>
      <c r="E1012" s="4" t="s">
        <v>350</v>
      </c>
      <c r="F1012" s="4" t="s">
        <v>696</v>
      </c>
      <c r="G1012" s="4" t="s">
        <v>350</v>
      </c>
      <c r="H1012" s="4" t="s">
        <v>304</v>
      </c>
      <c r="I1012" s="4">
        <v>5</v>
      </c>
      <c r="J1012" s="21">
        <v>150</v>
      </c>
      <c r="K1012" s="21">
        <v>0</v>
      </c>
      <c r="L1012" s="5">
        <v>750</v>
      </c>
      <c r="M1012" s="4"/>
      <c r="N1012" s="4">
        <v>5</v>
      </c>
      <c r="O1012" s="5"/>
      <c r="P1012" s="5">
        <v>150</v>
      </c>
      <c r="Q1012" s="21">
        <v>0</v>
      </c>
      <c r="R1012" s="21">
        <v>0</v>
      </c>
      <c r="S1012" s="5">
        <f t="shared" si="63"/>
        <v>98221.733760152027</v>
      </c>
      <c r="T1012" cm="1">
        <f t="array" ref="T1012">IF(OR(B1012="MAL ALIMI", B1012="ÜRETİM GİRİŞ"), MIN(I1012, MAX(0, I1012 + SUM(SUMIFS($I$1:I1011, $C$1:C1011, C1012, $B$1:B1011, {"MAL ALIMI","ÜRETİM GİRİŞ"})) - VLOOKUP(C1012, 'STOK RAPORU'!$C$2:$I$1000, 4, 0))), 0)</f>
        <v>2.072948717948718</v>
      </c>
      <c r="U1012" s="22">
        <f t="shared" si="60"/>
        <v>310.94230769230768</v>
      </c>
      <c r="V1012">
        <f t="shared" si="61"/>
        <v>750</v>
      </c>
      <c r="W1012" s="22">
        <f t="shared" si="62"/>
        <v>439.05769230769232</v>
      </c>
    </row>
    <row r="1013" spans="1:23" hidden="1" x14ac:dyDescent="0.25">
      <c r="A1013" s="3">
        <v>45973</v>
      </c>
      <c r="B1013" s="4" t="s">
        <v>298</v>
      </c>
      <c r="C1013" s="4" t="s">
        <v>241</v>
      </c>
      <c r="D1013" s="4"/>
      <c r="E1013" s="4" t="s">
        <v>350</v>
      </c>
      <c r="F1013" s="4" t="s">
        <v>696</v>
      </c>
      <c r="G1013" s="4" t="s">
        <v>350</v>
      </c>
      <c r="H1013" s="4" t="s">
        <v>304</v>
      </c>
      <c r="I1013" s="4">
        <v>5</v>
      </c>
      <c r="J1013" s="21">
        <v>290</v>
      </c>
      <c r="K1013" s="21">
        <v>0</v>
      </c>
      <c r="L1013" s="5">
        <v>1450</v>
      </c>
      <c r="M1013" s="4"/>
      <c r="N1013" s="4">
        <v>5</v>
      </c>
      <c r="O1013" s="5"/>
      <c r="P1013" s="5">
        <v>290</v>
      </c>
      <c r="Q1013" s="21">
        <v>0</v>
      </c>
      <c r="R1013" s="21">
        <v>0</v>
      </c>
      <c r="S1013" s="5">
        <f t="shared" si="63"/>
        <v>98221.733760152027</v>
      </c>
      <c r="T1013" cm="1">
        <f t="array" ref="T1013">IF(OR(B1013="MAL ALIMI", B1013="ÜRETİM GİRİŞ"), MIN(I1013, MAX(0, I1013 + SUM(SUMIFS($I$1:I1012, $C$1:C1012, C1013, $B$1:B1012, {"MAL ALIMI","ÜRETİM GİRİŞ"})) - VLOOKUP(C1013, 'STOK RAPORU'!$C$2:$I$1000, 4, 0))), 0)</f>
        <v>0</v>
      </c>
      <c r="U1013" s="22">
        <f t="shared" si="60"/>
        <v>0</v>
      </c>
      <c r="V1013">
        <f t="shared" si="61"/>
        <v>1450</v>
      </c>
      <c r="W1013" s="22">
        <f t="shared" si="62"/>
        <v>1450</v>
      </c>
    </row>
    <row r="1014" spans="1:23" hidden="1" x14ac:dyDescent="0.25">
      <c r="A1014" s="3">
        <v>45973</v>
      </c>
      <c r="B1014" s="4" t="s">
        <v>298</v>
      </c>
      <c r="C1014" s="4" t="s">
        <v>695</v>
      </c>
      <c r="D1014" s="4"/>
      <c r="E1014" s="4" t="s">
        <v>350</v>
      </c>
      <c r="F1014" s="4" t="s">
        <v>696</v>
      </c>
      <c r="G1014" s="4" t="s">
        <v>350</v>
      </c>
      <c r="H1014" s="4" t="s">
        <v>304</v>
      </c>
      <c r="I1014" s="4">
        <v>5</v>
      </c>
      <c r="J1014" s="21">
        <v>63</v>
      </c>
      <c r="K1014" s="21">
        <v>0</v>
      </c>
      <c r="L1014" s="5">
        <v>315</v>
      </c>
      <c r="M1014" s="4"/>
      <c r="N1014" s="4">
        <v>5</v>
      </c>
      <c r="O1014" s="5"/>
      <c r="P1014" s="5">
        <v>63</v>
      </c>
      <c r="Q1014" s="21">
        <v>0</v>
      </c>
      <c r="R1014" s="21">
        <v>0</v>
      </c>
      <c r="S1014" s="5">
        <f t="shared" si="63"/>
        <v>98221.733760152027</v>
      </c>
      <c r="T1014" cm="1">
        <f t="array" ref="T1014">IF(OR(B1014="MAL ALIMI", B1014="ÜRETİM GİRİŞ"), MIN(I1014, MAX(0, I1014 + SUM(SUMIFS($I$1:I1013, $C$1:C1013, C1014, $B$1:B1013, {"MAL ALIMI","ÜRETİM GİRİŞ"})) - VLOOKUP(C1014, 'STOK RAPORU'!$C$2:$I$1000, 4, 0))), 0)</f>
        <v>0</v>
      </c>
      <c r="U1014" s="22">
        <f t="shared" si="60"/>
        <v>0</v>
      </c>
      <c r="V1014">
        <f t="shared" si="61"/>
        <v>315</v>
      </c>
      <c r="W1014" s="22">
        <f t="shared" si="62"/>
        <v>315</v>
      </c>
    </row>
    <row r="1015" spans="1:23" hidden="1" x14ac:dyDescent="0.25">
      <c r="A1015" s="3">
        <v>45973</v>
      </c>
      <c r="B1015" s="4" t="s">
        <v>334</v>
      </c>
      <c r="C1015" s="4" t="s">
        <v>163</v>
      </c>
      <c r="D1015" s="4"/>
      <c r="E1015" s="4"/>
      <c r="F1015" s="4" t="s">
        <v>663</v>
      </c>
      <c r="G1015" s="4" t="s">
        <v>336</v>
      </c>
      <c r="H1015" s="4" t="s">
        <v>289</v>
      </c>
      <c r="I1015" s="4">
        <v>0.5</v>
      </c>
      <c r="J1015" s="21">
        <v>420</v>
      </c>
      <c r="K1015" s="21">
        <v>0</v>
      </c>
      <c r="L1015" s="5">
        <v>0</v>
      </c>
      <c r="M1015" s="4">
        <v>0.5</v>
      </c>
      <c r="N1015" s="4"/>
      <c r="O1015" s="5">
        <v>420</v>
      </c>
      <c r="P1015" s="5"/>
      <c r="Q1015" s="21">
        <v>210</v>
      </c>
      <c r="R1015" s="21">
        <v>0</v>
      </c>
      <c r="S1015" s="5">
        <f t="shared" si="63"/>
        <v>98431.733760152027</v>
      </c>
      <c r="T1015" cm="1">
        <f t="array" ref="T1015">IF(OR(B1015="MAL ALIMI", B1015="ÜRETİM GİRİŞ"), MIN(I1015, MAX(0, I1015 + SUM(SUMIFS($I$1:I1014, $C$1:C1014, C1015, $B$1:B1014, {"MAL ALIMI","ÜRETİM GİRİŞ"})) - VLOOKUP(C1015, 'STOK RAPORU'!$C$2:$I$1000, 4, 0))), 0)</f>
        <v>0</v>
      </c>
      <c r="U1015" s="22">
        <f t="shared" si="60"/>
        <v>0</v>
      </c>
      <c r="V1015">
        <f t="shared" si="61"/>
        <v>0</v>
      </c>
      <c r="W1015" s="22">
        <f t="shared" si="62"/>
        <v>0</v>
      </c>
    </row>
    <row r="1016" spans="1:23" hidden="1" x14ac:dyDescent="0.25">
      <c r="A1016" s="3">
        <v>45973</v>
      </c>
      <c r="B1016" s="4" t="s">
        <v>334</v>
      </c>
      <c r="C1016" s="4" t="s">
        <v>160</v>
      </c>
      <c r="D1016" s="4"/>
      <c r="E1016" s="4"/>
      <c r="F1016" s="4" t="s">
        <v>669</v>
      </c>
      <c r="G1016" s="4" t="s">
        <v>336</v>
      </c>
      <c r="H1016" s="4" t="s">
        <v>289</v>
      </c>
      <c r="I1016" s="4">
        <v>1</v>
      </c>
      <c r="J1016" s="21">
        <v>240</v>
      </c>
      <c r="K1016" s="21">
        <v>0</v>
      </c>
      <c r="L1016" s="5">
        <v>0</v>
      </c>
      <c r="M1016" s="4">
        <v>1</v>
      </c>
      <c r="N1016" s="4"/>
      <c r="O1016" s="5">
        <v>240</v>
      </c>
      <c r="P1016" s="5"/>
      <c r="Q1016" s="21">
        <v>240</v>
      </c>
      <c r="R1016" s="21">
        <v>0</v>
      </c>
      <c r="S1016" s="5">
        <f t="shared" si="63"/>
        <v>98671.733760152027</v>
      </c>
      <c r="T1016" cm="1">
        <f t="array" ref="T1016">IF(OR(B1016="MAL ALIMI", B1016="ÜRETİM GİRİŞ"), MIN(I1016, MAX(0, I1016 + SUM(SUMIFS($I$1:I1015, $C$1:C1015, C1016, $B$1:B1015, {"MAL ALIMI","ÜRETİM GİRİŞ"})) - VLOOKUP(C1016, 'STOK RAPORU'!$C$2:$I$1000, 4, 0))), 0)</f>
        <v>0</v>
      </c>
      <c r="U1016" s="22">
        <f t="shared" si="60"/>
        <v>0</v>
      </c>
      <c r="V1016">
        <f t="shared" si="61"/>
        <v>0</v>
      </c>
      <c r="W1016" s="22">
        <f t="shared" si="62"/>
        <v>0</v>
      </c>
    </row>
    <row r="1017" spans="1:23" hidden="1" x14ac:dyDescent="0.25">
      <c r="A1017" s="3">
        <v>45973</v>
      </c>
      <c r="B1017" s="4" t="s">
        <v>334</v>
      </c>
      <c r="C1017" s="4" t="s">
        <v>89</v>
      </c>
      <c r="D1017" s="4"/>
      <c r="E1017" s="4"/>
      <c r="F1017" s="4" t="s">
        <v>670</v>
      </c>
      <c r="G1017" s="4" t="s">
        <v>336</v>
      </c>
      <c r="H1017" s="4" t="s">
        <v>289</v>
      </c>
      <c r="I1017" s="4">
        <v>0.2</v>
      </c>
      <c r="J1017" s="21">
        <v>650</v>
      </c>
      <c r="K1017" s="21">
        <v>0</v>
      </c>
      <c r="L1017" s="5">
        <v>0</v>
      </c>
      <c r="M1017" s="4">
        <v>2</v>
      </c>
      <c r="N1017" s="4"/>
      <c r="O1017" s="5">
        <v>65</v>
      </c>
      <c r="P1017" s="5"/>
      <c r="Q1017" s="21">
        <v>130</v>
      </c>
      <c r="R1017" s="21">
        <v>0</v>
      </c>
      <c r="S1017" s="5">
        <f t="shared" si="63"/>
        <v>98801.733760152027</v>
      </c>
      <c r="T1017" cm="1">
        <f t="array" ref="T1017">IF(OR(B1017="MAL ALIMI", B1017="ÜRETİM GİRİŞ"), MIN(I1017, MAX(0, I1017 + SUM(SUMIFS($I$1:I1016, $C$1:C1016, C1017, $B$1:B1016, {"MAL ALIMI","ÜRETİM GİRİŞ"})) - VLOOKUP(C1017, 'STOK RAPORU'!$C$2:$I$1000, 4, 0))), 0)</f>
        <v>0</v>
      </c>
      <c r="U1017" s="22">
        <f t="shared" si="60"/>
        <v>0</v>
      </c>
      <c r="V1017">
        <f t="shared" si="61"/>
        <v>0</v>
      </c>
      <c r="W1017" s="22">
        <f t="shared" si="62"/>
        <v>0</v>
      </c>
    </row>
    <row r="1018" spans="1:23" hidden="1" x14ac:dyDescent="0.25">
      <c r="A1018" s="3">
        <v>45973</v>
      </c>
      <c r="B1018" s="4" t="s">
        <v>334</v>
      </c>
      <c r="C1018" s="4" t="s">
        <v>223</v>
      </c>
      <c r="D1018" s="4"/>
      <c r="E1018" s="4" t="s">
        <v>921</v>
      </c>
      <c r="F1018" s="4" t="s">
        <v>671</v>
      </c>
      <c r="G1018" s="4" t="s">
        <v>336</v>
      </c>
      <c r="H1018" s="4" t="s">
        <v>380</v>
      </c>
      <c r="I1018" s="4">
        <v>0.57199999999999995</v>
      </c>
      <c r="J1018" s="21">
        <v>700</v>
      </c>
      <c r="K1018" s="21">
        <v>400.4</v>
      </c>
      <c r="L1018" s="5">
        <v>0</v>
      </c>
      <c r="M1018" s="4">
        <v>0.57199999999999995</v>
      </c>
      <c r="N1018" s="4"/>
      <c r="O1018" s="5">
        <v>700</v>
      </c>
      <c r="P1018" s="5"/>
      <c r="Q1018" s="21">
        <v>0</v>
      </c>
      <c r="R1018" s="21">
        <v>0</v>
      </c>
      <c r="S1018" s="5">
        <f t="shared" si="63"/>
        <v>98801.733760152027</v>
      </c>
      <c r="T1018" cm="1">
        <f t="array" ref="T1018">IF(OR(B1018="MAL ALIMI", B1018="ÜRETİM GİRİŞ"), MIN(I1018, MAX(0, I1018 + SUM(SUMIFS($I$1:I1017, $C$1:C1017, C1018, $B$1:B1017, {"MAL ALIMI","ÜRETİM GİRİŞ"})) - VLOOKUP(C1018, 'STOK RAPORU'!$C$2:$I$1000, 4, 0))), 0)</f>
        <v>0</v>
      </c>
      <c r="U1018" s="22">
        <f t="shared" si="60"/>
        <v>0</v>
      </c>
      <c r="V1018">
        <f t="shared" si="61"/>
        <v>0</v>
      </c>
      <c r="W1018" s="22">
        <f t="shared" si="62"/>
        <v>0</v>
      </c>
    </row>
    <row r="1019" spans="1:23" hidden="1" x14ac:dyDescent="0.25">
      <c r="A1019" s="3">
        <v>45973</v>
      </c>
      <c r="B1019" s="4" t="s">
        <v>334</v>
      </c>
      <c r="C1019" s="4" t="s">
        <v>126</v>
      </c>
      <c r="D1019" s="4"/>
      <c r="E1019" s="4" t="s">
        <v>921</v>
      </c>
      <c r="F1019" s="4" t="s">
        <v>677</v>
      </c>
      <c r="G1019" s="4" t="s">
        <v>336</v>
      </c>
      <c r="H1019" s="4" t="s">
        <v>380</v>
      </c>
      <c r="I1019" s="4">
        <v>0.23499999999999999</v>
      </c>
      <c r="J1019" s="21">
        <v>640</v>
      </c>
      <c r="K1019" s="21">
        <v>150.39999999999998</v>
      </c>
      <c r="L1019" s="5">
        <v>0</v>
      </c>
      <c r="M1019" s="4">
        <v>0.23499999999999999</v>
      </c>
      <c r="N1019" s="4"/>
      <c r="O1019" s="5">
        <v>640</v>
      </c>
      <c r="P1019" s="5"/>
      <c r="Q1019" s="21">
        <v>0</v>
      </c>
      <c r="R1019" s="21">
        <v>0</v>
      </c>
      <c r="S1019" s="5">
        <f t="shared" si="63"/>
        <v>98801.733760152027</v>
      </c>
      <c r="T1019" cm="1">
        <f t="array" ref="T1019">IF(OR(B1019="MAL ALIMI", B1019="ÜRETİM GİRİŞ"), MIN(I1019, MAX(0, I1019 + SUM(SUMIFS($I$1:I1018, $C$1:C1018, C1019, $B$1:B1018, {"MAL ALIMI","ÜRETİM GİRİŞ"})) - VLOOKUP(C1019, 'STOK RAPORU'!$C$2:$I$1000, 4, 0))), 0)</f>
        <v>0</v>
      </c>
      <c r="U1019" s="22">
        <f t="shared" si="60"/>
        <v>0</v>
      </c>
      <c r="V1019">
        <f t="shared" si="61"/>
        <v>0</v>
      </c>
      <c r="W1019" s="22">
        <f t="shared" si="62"/>
        <v>0</v>
      </c>
    </row>
    <row r="1020" spans="1:23" hidden="1" x14ac:dyDescent="0.25">
      <c r="A1020" s="3">
        <v>45973</v>
      </c>
      <c r="B1020" s="4" t="s">
        <v>334</v>
      </c>
      <c r="C1020" s="4" t="s">
        <v>647</v>
      </c>
      <c r="D1020" s="4"/>
      <c r="E1020" s="4" t="s">
        <v>921</v>
      </c>
      <c r="F1020" s="4" t="s">
        <v>677</v>
      </c>
      <c r="G1020" s="4" t="s">
        <v>336</v>
      </c>
      <c r="H1020" s="4" t="s">
        <v>380</v>
      </c>
      <c r="I1020" s="4">
        <v>0.25</v>
      </c>
      <c r="J1020" s="21">
        <v>400</v>
      </c>
      <c r="K1020" s="21">
        <v>100</v>
      </c>
      <c r="L1020" s="5">
        <v>0</v>
      </c>
      <c r="M1020" s="4">
        <v>1</v>
      </c>
      <c r="N1020" s="4"/>
      <c r="O1020" s="5">
        <v>100</v>
      </c>
      <c r="P1020" s="5"/>
      <c r="Q1020" s="21">
        <v>0</v>
      </c>
      <c r="R1020" s="21">
        <v>0</v>
      </c>
      <c r="S1020" s="5">
        <f t="shared" si="63"/>
        <v>98801.733760152027</v>
      </c>
      <c r="T1020" cm="1">
        <f t="array" ref="T1020">IF(OR(B1020="MAL ALIMI", B1020="ÜRETİM GİRİŞ"), MIN(I1020, MAX(0, I1020 + SUM(SUMIFS($I$1:I1019, $C$1:C1019, C1020, $B$1:B1019, {"MAL ALIMI","ÜRETİM GİRİŞ"})) - VLOOKUP(C1020, 'STOK RAPORU'!$C$2:$I$1000, 4, 0))), 0)</f>
        <v>0</v>
      </c>
      <c r="U1020" s="22">
        <f t="shared" si="60"/>
        <v>0</v>
      </c>
      <c r="V1020">
        <f t="shared" si="61"/>
        <v>0</v>
      </c>
      <c r="W1020" s="22">
        <f t="shared" si="62"/>
        <v>0</v>
      </c>
    </row>
    <row r="1021" spans="1:23" hidden="1" x14ac:dyDescent="0.25">
      <c r="A1021" s="3">
        <v>45973</v>
      </c>
      <c r="B1021" s="4" t="s">
        <v>334</v>
      </c>
      <c r="C1021" s="4" t="s">
        <v>126</v>
      </c>
      <c r="D1021" s="4"/>
      <c r="E1021" s="4"/>
      <c r="F1021" s="4" t="s">
        <v>678</v>
      </c>
      <c r="G1021" s="4" t="s">
        <v>336</v>
      </c>
      <c r="H1021" s="4" t="s">
        <v>289</v>
      </c>
      <c r="I1021" s="4">
        <v>0.04</v>
      </c>
      <c r="J1021" s="21">
        <v>640</v>
      </c>
      <c r="K1021" s="21">
        <v>0</v>
      </c>
      <c r="L1021" s="5">
        <v>0</v>
      </c>
      <c r="M1021" s="4">
        <v>0.04</v>
      </c>
      <c r="N1021" s="4"/>
      <c r="O1021" s="5">
        <v>640</v>
      </c>
      <c r="P1021" s="5"/>
      <c r="Q1021" s="21">
        <v>25.6</v>
      </c>
      <c r="R1021" s="21">
        <v>0</v>
      </c>
      <c r="S1021" s="5">
        <f t="shared" si="63"/>
        <v>98827.333760152032</v>
      </c>
      <c r="T1021" cm="1">
        <f t="array" ref="T1021">IF(OR(B1021="MAL ALIMI", B1021="ÜRETİM GİRİŞ"), MIN(I1021, MAX(0, I1021 + SUM(SUMIFS($I$1:I1020, $C$1:C1020, C1021, $B$1:B1020, {"MAL ALIMI","ÜRETİM GİRİŞ"})) - VLOOKUP(C1021, 'STOK RAPORU'!$C$2:$I$1000, 4, 0))), 0)</f>
        <v>0</v>
      </c>
      <c r="U1021" s="22">
        <f t="shared" si="60"/>
        <v>0</v>
      </c>
      <c r="V1021">
        <f t="shared" si="61"/>
        <v>0</v>
      </c>
      <c r="W1021" s="22">
        <f t="shared" si="62"/>
        <v>0</v>
      </c>
    </row>
    <row r="1022" spans="1:23" hidden="1" x14ac:dyDescent="0.25">
      <c r="A1022" s="3">
        <v>45973</v>
      </c>
      <c r="B1022" s="4" t="s">
        <v>334</v>
      </c>
      <c r="C1022" s="4" t="s">
        <v>158</v>
      </c>
      <c r="D1022" s="4"/>
      <c r="E1022" s="4"/>
      <c r="F1022" s="4" t="s">
        <v>678</v>
      </c>
      <c r="G1022" s="4" t="s">
        <v>336</v>
      </c>
      <c r="H1022" s="4" t="s">
        <v>289</v>
      </c>
      <c r="I1022" s="4">
        <v>0.53</v>
      </c>
      <c r="J1022" s="21">
        <v>130</v>
      </c>
      <c r="K1022" s="21">
        <v>0</v>
      </c>
      <c r="L1022" s="5">
        <v>0</v>
      </c>
      <c r="M1022" s="4">
        <v>0.53</v>
      </c>
      <c r="N1022" s="4"/>
      <c r="O1022" s="5">
        <v>130</v>
      </c>
      <c r="P1022" s="5"/>
      <c r="Q1022" s="21">
        <v>68.900000000000006</v>
      </c>
      <c r="R1022" s="21">
        <v>0</v>
      </c>
      <c r="S1022" s="5">
        <f t="shared" si="63"/>
        <v>98896.233760152027</v>
      </c>
      <c r="T1022" cm="1">
        <f t="array" ref="T1022">IF(OR(B1022="MAL ALIMI", B1022="ÜRETİM GİRİŞ"), MIN(I1022, MAX(0, I1022 + SUM(SUMIFS($I$1:I1021, $C$1:C1021, C1022, $B$1:B1021, {"MAL ALIMI","ÜRETİM GİRİŞ"})) - VLOOKUP(C1022, 'STOK RAPORU'!$C$2:$I$1000, 4, 0))), 0)</f>
        <v>0</v>
      </c>
      <c r="U1022" s="22">
        <f t="shared" si="60"/>
        <v>0</v>
      </c>
      <c r="V1022">
        <f t="shared" si="61"/>
        <v>0</v>
      </c>
      <c r="W1022" s="22">
        <f t="shared" si="62"/>
        <v>0</v>
      </c>
    </row>
    <row r="1023" spans="1:23" hidden="1" x14ac:dyDescent="0.25">
      <c r="A1023" s="3">
        <v>45973</v>
      </c>
      <c r="B1023" s="4" t="s">
        <v>334</v>
      </c>
      <c r="C1023" s="4" t="s">
        <v>196</v>
      </c>
      <c r="D1023" s="4"/>
      <c r="E1023" s="4"/>
      <c r="F1023" s="4" t="s">
        <v>678</v>
      </c>
      <c r="G1023" s="4" t="s">
        <v>336</v>
      </c>
      <c r="H1023" s="4" t="s">
        <v>289</v>
      </c>
      <c r="I1023" s="4">
        <v>0.32</v>
      </c>
      <c r="J1023" s="21">
        <v>180</v>
      </c>
      <c r="K1023" s="21">
        <v>0</v>
      </c>
      <c r="L1023" s="5">
        <v>0</v>
      </c>
      <c r="M1023" s="4">
        <v>0.32</v>
      </c>
      <c r="N1023" s="4"/>
      <c r="O1023" s="5">
        <v>180</v>
      </c>
      <c r="P1023" s="5"/>
      <c r="Q1023" s="21">
        <v>57.6</v>
      </c>
      <c r="R1023" s="21">
        <v>0</v>
      </c>
      <c r="S1023" s="5">
        <f t="shared" si="63"/>
        <v>98953.833760152032</v>
      </c>
      <c r="T1023" cm="1">
        <f t="array" ref="T1023">IF(OR(B1023="MAL ALIMI", B1023="ÜRETİM GİRİŞ"), MIN(I1023, MAX(0, I1023 + SUM(SUMIFS($I$1:I1022, $C$1:C1022, C1023, $B$1:B1022, {"MAL ALIMI","ÜRETİM GİRİŞ"})) - VLOOKUP(C1023, 'STOK RAPORU'!$C$2:$I$1000, 4, 0))), 0)</f>
        <v>0</v>
      </c>
      <c r="U1023" s="22">
        <f t="shared" si="60"/>
        <v>0</v>
      </c>
      <c r="V1023">
        <f t="shared" si="61"/>
        <v>0</v>
      </c>
      <c r="W1023" s="22">
        <f t="shared" si="62"/>
        <v>0</v>
      </c>
    </row>
    <row r="1024" spans="1:23" hidden="1" x14ac:dyDescent="0.25">
      <c r="A1024" s="3">
        <v>45973</v>
      </c>
      <c r="B1024" s="4" t="s">
        <v>334</v>
      </c>
      <c r="C1024" s="4" t="s">
        <v>89</v>
      </c>
      <c r="D1024" s="4"/>
      <c r="E1024" s="4"/>
      <c r="F1024" s="4" t="s">
        <v>678</v>
      </c>
      <c r="G1024" s="4" t="s">
        <v>336</v>
      </c>
      <c r="H1024" s="4" t="s">
        <v>289</v>
      </c>
      <c r="I1024" s="4">
        <v>0.1</v>
      </c>
      <c r="J1024" s="21">
        <v>650</v>
      </c>
      <c r="K1024" s="21">
        <v>0</v>
      </c>
      <c r="L1024" s="5">
        <v>0</v>
      </c>
      <c r="M1024" s="4">
        <v>1</v>
      </c>
      <c r="N1024" s="4"/>
      <c r="O1024" s="5">
        <v>65</v>
      </c>
      <c r="P1024" s="5"/>
      <c r="Q1024" s="21">
        <v>65</v>
      </c>
      <c r="R1024" s="21">
        <v>0</v>
      </c>
      <c r="S1024" s="5">
        <f t="shared" si="63"/>
        <v>99018.833760152032</v>
      </c>
      <c r="T1024" cm="1">
        <f t="array" ref="T1024">IF(OR(B1024="MAL ALIMI", B1024="ÜRETİM GİRİŞ"), MIN(I1024, MAX(0, I1024 + SUM(SUMIFS($I$1:I1023, $C$1:C1023, C1024, $B$1:B1023, {"MAL ALIMI","ÜRETİM GİRİŞ"})) - VLOOKUP(C1024, 'STOK RAPORU'!$C$2:$I$1000, 4, 0))), 0)</f>
        <v>0</v>
      </c>
      <c r="U1024" s="22">
        <f t="shared" si="60"/>
        <v>0</v>
      </c>
      <c r="V1024">
        <f t="shared" si="61"/>
        <v>0</v>
      </c>
      <c r="W1024" s="22">
        <f t="shared" si="62"/>
        <v>0</v>
      </c>
    </row>
    <row r="1025" spans="1:23" hidden="1" x14ac:dyDescent="0.25">
      <c r="A1025" s="3">
        <v>45973</v>
      </c>
      <c r="B1025" s="4" t="s">
        <v>334</v>
      </c>
      <c r="C1025" s="4" t="s">
        <v>147</v>
      </c>
      <c r="D1025" s="4"/>
      <c r="E1025" s="4"/>
      <c r="F1025" s="4" t="s">
        <v>678</v>
      </c>
      <c r="G1025" s="4" t="s">
        <v>336</v>
      </c>
      <c r="H1025" s="4" t="s">
        <v>289</v>
      </c>
      <c r="I1025" s="4">
        <v>1</v>
      </c>
      <c r="J1025" s="21">
        <v>65</v>
      </c>
      <c r="K1025" s="21">
        <v>0</v>
      </c>
      <c r="L1025" s="5">
        <v>0</v>
      </c>
      <c r="M1025" s="4">
        <v>1</v>
      </c>
      <c r="N1025" s="4"/>
      <c r="O1025" s="5">
        <v>65</v>
      </c>
      <c r="P1025" s="5"/>
      <c r="Q1025" s="21">
        <v>65</v>
      </c>
      <c r="R1025" s="21">
        <v>0</v>
      </c>
      <c r="S1025" s="5">
        <f t="shared" si="63"/>
        <v>99083.833760152032</v>
      </c>
      <c r="T1025" cm="1">
        <f t="array" ref="T1025">IF(OR(B1025="MAL ALIMI", B1025="ÜRETİM GİRİŞ"), MIN(I1025, MAX(0, I1025 + SUM(SUMIFS($I$1:I1024, $C$1:C1024, C1025, $B$1:B1024, {"MAL ALIMI","ÜRETİM GİRİŞ"})) - VLOOKUP(C1025, 'STOK RAPORU'!$C$2:$I$1000, 4, 0))), 0)</f>
        <v>0</v>
      </c>
      <c r="U1025" s="22">
        <f t="shared" si="60"/>
        <v>0</v>
      </c>
      <c r="V1025">
        <f t="shared" si="61"/>
        <v>0</v>
      </c>
      <c r="W1025" s="22">
        <f t="shared" si="62"/>
        <v>0</v>
      </c>
    </row>
    <row r="1026" spans="1:23" hidden="1" x14ac:dyDescent="0.25">
      <c r="A1026" s="3">
        <v>45973</v>
      </c>
      <c r="B1026" s="4" t="s">
        <v>334</v>
      </c>
      <c r="C1026" s="4" t="s">
        <v>679</v>
      </c>
      <c r="D1026" s="4"/>
      <c r="E1026" s="4"/>
      <c r="F1026" s="4" t="s">
        <v>680</v>
      </c>
      <c r="G1026" s="4" t="s">
        <v>336</v>
      </c>
      <c r="H1026" s="4" t="s">
        <v>289</v>
      </c>
      <c r="I1026" s="4">
        <v>0.25</v>
      </c>
      <c r="J1026" s="21">
        <v>400</v>
      </c>
      <c r="K1026" s="21">
        <v>0</v>
      </c>
      <c r="L1026" s="5">
        <v>0</v>
      </c>
      <c r="M1026" s="4">
        <v>1</v>
      </c>
      <c r="N1026" s="4"/>
      <c r="O1026" s="5">
        <v>100</v>
      </c>
      <c r="P1026" s="5"/>
      <c r="Q1026" s="21">
        <v>100</v>
      </c>
      <c r="R1026" s="21">
        <v>0</v>
      </c>
      <c r="S1026" s="5">
        <f t="shared" si="63"/>
        <v>99183.833760152032</v>
      </c>
      <c r="T1026" cm="1">
        <f t="array" ref="T1026">IF(OR(B1026="MAL ALIMI", B1026="ÜRETİM GİRİŞ"), MIN(I1026, MAX(0, I1026 + SUM(SUMIFS($I$1:I1025, $C$1:C1025, C1026, $B$1:B1025, {"MAL ALIMI","ÜRETİM GİRİŞ"})) - VLOOKUP(C1026, 'STOK RAPORU'!$C$2:$I$1000, 4, 0))), 0)</f>
        <v>0</v>
      </c>
      <c r="U1026" s="22">
        <f t="shared" si="60"/>
        <v>0</v>
      </c>
      <c r="V1026">
        <f t="shared" si="61"/>
        <v>0</v>
      </c>
      <c r="W1026" s="22">
        <f t="shared" si="62"/>
        <v>0</v>
      </c>
    </row>
    <row r="1027" spans="1:23" hidden="1" x14ac:dyDescent="0.25">
      <c r="A1027" s="3">
        <v>45973</v>
      </c>
      <c r="B1027" s="4" t="s">
        <v>334</v>
      </c>
      <c r="C1027" s="4" t="s">
        <v>198</v>
      </c>
      <c r="D1027" s="4"/>
      <c r="E1027" s="4"/>
      <c r="F1027" s="4" t="s">
        <v>681</v>
      </c>
      <c r="G1027" s="4" t="s">
        <v>336</v>
      </c>
      <c r="H1027" s="4" t="s">
        <v>289</v>
      </c>
      <c r="I1027" s="4">
        <v>3.5999999999999997E-2</v>
      </c>
      <c r="J1027" s="21">
        <v>1400</v>
      </c>
      <c r="K1027" s="21">
        <v>0</v>
      </c>
      <c r="L1027" s="5">
        <v>0</v>
      </c>
      <c r="M1027" s="4">
        <v>3.5999999999999997E-2</v>
      </c>
      <c r="N1027" s="4"/>
      <c r="O1027" s="5">
        <v>1400</v>
      </c>
      <c r="P1027" s="5"/>
      <c r="Q1027" s="21">
        <v>50.4</v>
      </c>
      <c r="R1027" s="21">
        <v>0</v>
      </c>
      <c r="S1027" s="5">
        <f t="shared" si="63"/>
        <v>99234.233760152027</v>
      </c>
      <c r="T1027" cm="1">
        <f t="array" ref="T1027">IF(OR(B1027="MAL ALIMI", B1027="ÜRETİM GİRİŞ"), MIN(I1027, MAX(0, I1027 + SUM(SUMIFS($I$1:I1026, $C$1:C1026, C1027, $B$1:B1026, {"MAL ALIMI","ÜRETİM GİRİŞ"})) - VLOOKUP(C1027, 'STOK RAPORU'!$C$2:$I$1000, 4, 0))), 0)</f>
        <v>0</v>
      </c>
      <c r="U1027" s="22">
        <f t="shared" ref="U1027:U1090" si="64">T1027*J1027</f>
        <v>0</v>
      </c>
      <c r="V1027">
        <f t="shared" ref="V1027:V1090" si="65">IF(OR(B1027="MAL ALIMI", B1027="ÜRETİM GİRİŞ"), I1027 * J1027, 0)</f>
        <v>0</v>
      </c>
      <c r="W1027" s="22">
        <f t="shared" ref="W1027:W1090" si="66">V1027-U1027</f>
        <v>0</v>
      </c>
    </row>
    <row r="1028" spans="1:23" hidden="1" x14ac:dyDescent="0.25">
      <c r="A1028" s="3">
        <v>45973</v>
      </c>
      <c r="B1028" s="4" t="s">
        <v>334</v>
      </c>
      <c r="C1028" s="4" t="s">
        <v>132</v>
      </c>
      <c r="D1028" s="4"/>
      <c r="E1028" s="4"/>
      <c r="F1028" s="4" t="s">
        <v>681</v>
      </c>
      <c r="G1028" s="4" t="s">
        <v>336</v>
      </c>
      <c r="H1028" s="4" t="s">
        <v>289</v>
      </c>
      <c r="I1028" s="4">
        <v>0.16600000000000001</v>
      </c>
      <c r="J1028" s="21">
        <v>500</v>
      </c>
      <c r="K1028" s="21">
        <v>0</v>
      </c>
      <c r="L1028" s="5">
        <v>0</v>
      </c>
      <c r="M1028" s="4">
        <v>0.16600000000000001</v>
      </c>
      <c r="N1028" s="4"/>
      <c r="O1028" s="5">
        <v>500</v>
      </c>
      <c r="P1028" s="5"/>
      <c r="Q1028" s="21">
        <v>83</v>
      </c>
      <c r="R1028" s="21">
        <v>0</v>
      </c>
      <c r="S1028" s="5">
        <f t="shared" ref="S1028:S1091" si="67">S1027+Q1028-R1028</f>
        <v>99317.233760152027</v>
      </c>
      <c r="T1028" cm="1">
        <f t="array" ref="T1028">IF(OR(B1028="MAL ALIMI", B1028="ÜRETİM GİRİŞ"), MIN(I1028, MAX(0, I1028 + SUM(SUMIFS($I$1:I1027, $C$1:C1027, C1028, $B$1:B1027, {"MAL ALIMI","ÜRETİM GİRİŞ"})) - VLOOKUP(C1028, 'STOK RAPORU'!$C$2:$I$1000, 4, 0))), 0)</f>
        <v>0</v>
      </c>
      <c r="U1028" s="22">
        <f t="shared" si="64"/>
        <v>0</v>
      </c>
      <c r="V1028">
        <f t="shared" si="65"/>
        <v>0</v>
      </c>
      <c r="W1028" s="22">
        <f t="shared" si="66"/>
        <v>0</v>
      </c>
    </row>
    <row r="1029" spans="1:23" hidden="1" x14ac:dyDescent="0.25">
      <c r="A1029" s="3">
        <v>45973</v>
      </c>
      <c r="B1029" s="4" t="s">
        <v>334</v>
      </c>
      <c r="C1029" s="4" t="s">
        <v>166</v>
      </c>
      <c r="D1029" s="4"/>
      <c r="E1029" s="4"/>
      <c r="F1029" s="4" t="s">
        <v>681</v>
      </c>
      <c r="G1029" s="4" t="s">
        <v>336</v>
      </c>
      <c r="H1029" s="4" t="s">
        <v>289</v>
      </c>
      <c r="I1029" s="4">
        <v>9.6000000000000002E-2</v>
      </c>
      <c r="J1029" s="21">
        <v>770</v>
      </c>
      <c r="K1029" s="21">
        <v>0</v>
      </c>
      <c r="L1029" s="5">
        <v>0</v>
      </c>
      <c r="M1029" s="4">
        <v>9.6000000000000002E-2</v>
      </c>
      <c r="N1029" s="4"/>
      <c r="O1029" s="5">
        <v>770</v>
      </c>
      <c r="P1029" s="5"/>
      <c r="Q1029" s="21">
        <v>73.92</v>
      </c>
      <c r="R1029" s="21">
        <v>0</v>
      </c>
      <c r="S1029" s="5">
        <f t="shared" si="67"/>
        <v>99391.153760152025</v>
      </c>
      <c r="T1029" cm="1">
        <f t="array" ref="T1029">IF(OR(B1029="MAL ALIMI", B1029="ÜRETİM GİRİŞ"), MIN(I1029, MAX(0, I1029 + SUM(SUMIFS($I$1:I1028, $C$1:C1028, C1029, $B$1:B1028, {"MAL ALIMI","ÜRETİM GİRİŞ"})) - VLOOKUP(C1029, 'STOK RAPORU'!$C$2:$I$1000, 4, 0))), 0)</f>
        <v>0</v>
      </c>
      <c r="U1029" s="22">
        <f t="shared" si="64"/>
        <v>0</v>
      </c>
      <c r="V1029">
        <f t="shared" si="65"/>
        <v>0</v>
      </c>
      <c r="W1029" s="22">
        <f t="shared" si="66"/>
        <v>0</v>
      </c>
    </row>
    <row r="1030" spans="1:23" hidden="1" x14ac:dyDescent="0.25">
      <c r="A1030" s="3">
        <v>45973</v>
      </c>
      <c r="B1030" s="4" t="s">
        <v>334</v>
      </c>
      <c r="C1030" s="4" t="s">
        <v>591</v>
      </c>
      <c r="D1030" s="4"/>
      <c r="E1030" s="4"/>
      <c r="F1030" s="4" t="s">
        <v>681</v>
      </c>
      <c r="G1030" s="4" t="s">
        <v>336</v>
      </c>
      <c r="H1030" s="4" t="s">
        <v>289</v>
      </c>
      <c r="I1030" s="4">
        <v>1</v>
      </c>
      <c r="J1030" s="21">
        <v>350</v>
      </c>
      <c r="K1030" s="21">
        <v>0</v>
      </c>
      <c r="L1030" s="5">
        <v>0</v>
      </c>
      <c r="M1030" s="4">
        <v>1</v>
      </c>
      <c r="N1030" s="4"/>
      <c r="O1030" s="5">
        <v>350</v>
      </c>
      <c r="P1030" s="5"/>
      <c r="Q1030" s="21">
        <v>350</v>
      </c>
      <c r="R1030" s="21">
        <v>0</v>
      </c>
      <c r="S1030" s="5">
        <f t="shared" si="67"/>
        <v>99741.153760152025</v>
      </c>
      <c r="T1030" cm="1">
        <f t="array" ref="T1030">IF(OR(B1030="MAL ALIMI", B1030="ÜRETİM GİRİŞ"), MIN(I1030, MAX(0, I1030 + SUM(SUMIFS($I$1:I1029, $C$1:C1029, C1030, $B$1:B1029, {"MAL ALIMI","ÜRETİM GİRİŞ"})) - VLOOKUP(C1030, 'STOK RAPORU'!$C$2:$I$1000, 4, 0))), 0)</f>
        <v>0</v>
      </c>
      <c r="U1030" s="22">
        <f t="shared" si="64"/>
        <v>0</v>
      </c>
      <c r="V1030">
        <f t="shared" si="65"/>
        <v>0</v>
      </c>
      <c r="W1030" s="22">
        <f t="shared" si="66"/>
        <v>0</v>
      </c>
    </row>
    <row r="1031" spans="1:23" hidden="1" x14ac:dyDescent="0.25">
      <c r="A1031" s="3">
        <v>45973</v>
      </c>
      <c r="B1031" s="4" t="s">
        <v>917</v>
      </c>
      <c r="C1031" s="4"/>
      <c r="D1031" s="4"/>
      <c r="E1031" s="4" t="s">
        <v>350</v>
      </c>
      <c r="F1031" s="4"/>
      <c r="G1031" s="4" t="s">
        <v>918</v>
      </c>
      <c r="H1031" s="4" t="s">
        <v>289</v>
      </c>
      <c r="I1031" s="4">
        <v>1</v>
      </c>
      <c r="J1031" s="21">
        <v>0</v>
      </c>
      <c r="K1031" s="21">
        <v>40000</v>
      </c>
      <c r="L1031" s="5">
        <v>0</v>
      </c>
      <c r="M1031" s="4"/>
      <c r="N1031" s="4"/>
      <c r="O1031" s="5"/>
      <c r="P1031" s="5"/>
      <c r="Q1031" s="21">
        <v>0</v>
      </c>
      <c r="R1031" s="21">
        <v>40000</v>
      </c>
      <c r="S1031" s="5">
        <f t="shared" si="67"/>
        <v>59741.153760152025</v>
      </c>
      <c r="T1031" cm="1">
        <f t="array" ref="T1031">IF(OR(B1031="MAL ALIMI", B1031="ÜRETİM GİRİŞ"), MIN(I1031, MAX(0, I1031 + SUM(SUMIFS($I$1:I1030, $C$1:C1030, C1031, $B$1:B1030, {"MAL ALIMI","ÜRETİM GİRİŞ"})) - VLOOKUP(C1031, 'STOK RAPORU'!$C$2:$I$1000, 4, 0))), 0)</f>
        <v>0</v>
      </c>
      <c r="U1031" s="22">
        <f t="shared" si="64"/>
        <v>0</v>
      </c>
      <c r="V1031">
        <f t="shared" si="65"/>
        <v>0</v>
      </c>
      <c r="W1031" s="22">
        <f t="shared" si="66"/>
        <v>0</v>
      </c>
    </row>
    <row r="1032" spans="1:23" hidden="1" x14ac:dyDescent="0.25">
      <c r="A1032" s="3">
        <v>45974</v>
      </c>
      <c r="B1032" s="4" t="s">
        <v>334</v>
      </c>
      <c r="C1032" s="4" t="s">
        <v>598</v>
      </c>
      <c r="D1032" s="4"/>
      <c r="E1032" s="4"/>
      <c r="F1032" s="4" t="s">
        <v>682</v>
      </c>
      <c r="G1032" s="4" t="s">
        <v>336</v>
      </c>
      <c r="H1032" s="4" t="s">
        <v>289</v>
      </c>
      <c r="I1032" s="4">
        <v>0.497</v>
      </c>
      <c r="J1032" s="21">
        <v>290</v>
      </c>
      <c r="K1032" s="21">
        <v>0</v>
      </c>
      <c r="L1032" s="5">
        <v>0</v>
      </c>
      <c r="M1032" s="4">
        <v>0.497</v>
      </c>
      <c r="N1032" s="4"/>
      <c r="O1032" s="5">
        <v>290</v>
      </c>
      <c r="P1032" s="5"/>
      <c r="Q1032" s="21">
        <v>144.13</v>
      </c>
      <c r="R1032" s="21">
        <v>0</v>
      </c>
      <c r="S1032" s="5">
        <f t="shared" si="67"/>
        <v>59885.283760152022</v>
      </c>
      <c r="T1032" cm="1">
        <f t="array" ref="T1032">IF(OR(B1032="MAL ALIMI", B1032="ÜRETİM GİRİŞ"), MIN(I1032, MAX(0, I1032 + SUM(SUMIFS($I$1:I1031, $C$1:C1031, C1032, $B$1:B1031, {"MAL ALIMI","ÜRETİM GİRİŞ"})) - VLOOKUP(C1032, 'STOK RAPORU'!$C$2:$I$1000, 4, 0))), 0)</f>
        <v>0</v>
      </c>
      <c r="U1032" s="22">
        <f t="shared" si="64"/>
        <v>0</v>
      </c>
      <c r="V1032">
        <f t="shared" si="65"/>
        <v>0</v>
      </c>
      <c r="W1032" s="22">
        <f t="shared" si="66"/>
        <v>0</v>
      </c>
    </row>
    <row r="1033" spans="1:23" hidden="1" x14ac:dyDescent="0.25">
      <c r="A1033" s="3">
        <v>45974</v>
      </c>
      <c r="B1033" s="4" t="s">
        <v>334</v>
      </c>
      <c r="C1033" s="4" t="s">
        <v>147</v>
      </c>
      <c r="D1033" s="4"/>
      <c r="E1033" s="4"/>
      <c r="F1033" s="4" t="s">
        <v>682</v>
      </c>
      <c r="G1033" s="4" t="s">
        <v>336</v>
      </c>
      <c r="H1033" s="4" t="s">
        <v>289</v>
      </c>
      <c r="I1033" s="4">
        <v>1</v>
      </c>
      <c r="J1033" s="21">
        <v>65</v>
      </c>
      <c r="K1033" s="21">
        <v>0</v>
      </c>
      <c r="L1033" s="5">
        <v>0</v>
      </c>
      <c r="M1033" s="4">
        <v>1</v>
      </c>
      <c r="N1033" s="4"/>
      <c r="O1033" s="5">
        <v>65</v>
      </c>
      <c r="P1033" s="5"/>
      <c r="Q1033" s="21">
        <v>65</v>
      </c>
      <c r="R1033" s="21">
        <v>0</v>
      </c>
      <c r="S1033" s="5">
        <f t="shared" si="67"/>
        <v>59950.283760152022</v>
      </c>
      <c r="T1033" cm="1">
        <f t="array" ref="T1033">IF(OR(B1033="MAL ALIMI", B1033="ÜRETİM GİRİŞ"), MIN(I1033, MAX(0, I1033 + SUM(SUMIFS($I$1:I1032, $C$1:C1032, C1033, $B$1:B1032, {"MAL ALIMI","ÜRETİM GİRİŞ"})) - VLOOKUP(C1033, 'STOK RAPORU'!$C$2:$I$1000, 4, 0))), 0)</f>
        <v>0</v>
      </c>
      <c r="U1033" s="22">
        <f t="shared" si="64"/>
        <v>0</v>
      </c>
      <c r="V1033">
        <f t="shared" si="65"/>
        <v>0</v>
      </c>
      <c r="W1033" s="22">
        <f t="shared" si="66"/>
        <v>0</v>
      </c>
    </row>
    <row r="1034" spans="1:23" hidden="1" x14ac:dyDescent="0.25">
      <c r="A1034" s="3">
        <v>45974</v>
      </c>
      <c r="B1034" s="4" t="s">
        <v>334</v>
      </c>
      <c r="C1034" s="4" t="s">
        <v>751</v>
      </c>
      <c r="D1034" s="4"/>
      <c r="E1034" s="4"/>
      <c r="F1034" s="4" t="s">
        <v>683</v>
      </c>
      <c r="G1034" s="4" t="s">
        <v>336</v>
      </c>
      <c r="H1034" s="4" t="s">
        <v>289</v>
      </c>
      <c r="I1034" s="4">
        <v>1</v>
      </c>
      <c r="J1034" s="21">
        <v>220</v>
      </c>
      <c r="K1034" s="21">
        <v>0</v>
      </c>
      <c r="L1034" s="5">
        <v>0</v>
      </c>
      <c r="M1034" s="4">
        <v>1</v>
      </c>
      <c r="N1034" s="4"/>
      <c r="O1034" s="5">
        <v>220</v>
      </c>
      <c r="P1034" s="5"/>
      <c r="Q1034" s="21">
        <v>220</v>
      </c>
      <c r="R1034" s="21">
        <v>0</v>
      </c>
      <c r="S1034" s="5">
        <f t="shared" si="67"/>
        <v>60170.283760152022</v>
      </c>
      <c r="T1034" cm="1">
        <f t="array" ref="T1034">IF(OR(B1034="MAL ALIMI", B1034="ÜRETİM GİRİŞ"), MIN(I1034, MAX(0, I1034 + SUM(SUMIFS($I$1:I1033, $C$1:C1033, C1034, $B$1:B1033, {"MAL ALIMI","ÜRETİM GİRİŞ"})) - VLOOKUP(C1034, 'STOK RAPORU'!$C$2:$I$1000, 4, 0))), 0)</f>
        <v>0</v>
      </c>
      <c r="U1034" s="22">
        <f t="shared" si="64"/>
        <v>0</v>
      </c>
      <c r="V1034">
        <f t="shared" si="65"/>
        <v>0</v>
      </c>
      <c r="W1034" s="22">
        <f t="shared" si="66"/>
        <v>0</v>
      </c>
    </row>
    <row r="1035" spans="1:23" hidden="1" x14ac:dyDescent="0.25">
      <c r="A1035" s="3">
        <v>45974</v>
      </c>
      <c r="B1035" s="4" t="s">
        <v>334</v>
      </c>
      <c r="C1035" s="4" t="s">
        <v>148</v>
      </c>
      <c r="D1035" s="4"/>
      <c r="E1035" s="4"/>
      <c r="F1035" s="4" t="s">
        <v>683</v>
      </c>
      <c r="G1035" s="4" t="s">
        <v>336</v>
      </c>
      <c r="H1035" s="4" t="s">
        <v>289</v>
      </c>
      <c r="I1035" s="4">
        <v>1</v>
      </c>
      <c r="J1035" s="21">
        <v>65</v>
      </c>
      <c r="K1035" s="21">
        <v>0</v>
      </c>
      <c r="L1035" s="5">
        <v>0</v>
      </c>
      <c r="M1035" s="4">
        <v>1</v>
      </c>
      <c r="N1035" s="4"/>
      <c r="O1035" s="5">
        <v>65</v>
      </c>
      <c r="P1035" s="5"/>
      <c r="Q1035" s="21">
        <v>65</v>
      </c>
      <c r="R1035" s="21">
        <v>0</v>
      </c>
      <c r="S1035" s="5">
        <f t="shared" si="67"/>
        <v>60235.283760152022</v>
      </c>
      <c r="T1035" cm="1">
        <f t="array" ref="T1035">IF(OR(B1035="MAL ALIMI", B1035="ÜRETİM GİRİŞ"), MIN(I1035, MAX(0, I1035 + SUM(SUMIFS($I$1:I1034, $C$1:C1034, C1035, $B$1:B1034, {"MAL ALIMI","ÜRETİM GİRİŞ"})) - VLOOKUP(C1035, 'STOK RAPORU'!$C$2:$I$1000, 4, 0))), 0)</f>
        <v>0</v>
      </c>
      <c r="U1035" s="22">
        <f t="shared" si="64"/>
        <v>0</v>
      </c>
      <c r="V1035">
        <f t="shared" si="65"/>
        <v>0</v>
      </c>
      <c r="W1035" s="22">
        <f t="shared" si="66"/>
        <v>0</v>
      </c>
    </row>
    <row r="1036" spans="1:23" hidden="1" x14ac:dyDescent="0.25">
      <c r="A1036" s="3">
        <v>45974</v>
      </c>
      <c r="B1036" s="4" t="s">
        <v>334</v>
      </c>
      <c r="C1036" s="4" t="s">
        <v>268</v>
      </c>
      <c r="D1036" s="4"/>
      <c r="E1036" s="4"/>
      <c r="F1036" s="4" t="s">
        <v>683</v>
      </c>
      <c r="G1036" s="4" t="s">
        <v>336</v>
      </c>
      <c r="H1036" s="4" t="s">
        <v>289</v>
      </c>
      <c r="I1036" s="4">
        <v>1</v>
      </c>
      <c r="J1036" s="21">
        <v>140</v>
      </c>
      <c r="K1036" s="21">
        <v>0</v>
      </c>
      <c r="L1036" s="5">
        <v>0</v>
      </c>
      <c r="M1036" s="4">
        <v>1</v>
      </c>
      <c r="N1036" s="4"/>
      <c r="O1036" s="5">
        <v>140</v>
      </c>
      <c r="P1036" s="5"/>
      <c r="Q1036" s="21">
        <v>140</v>
      </c>
      <c r="R1036" s="21">
        <v>0</v>
      </c>
      <c r="S1036" s="5">
        <f t="shared" si="67"/>
        <v>60375.283760152022</v>
      </c>
      <c r="T1036" cm="1">
        <f t="array" ref="T1036">IF(OR(B1036="MAL ALIMI", B1036="ÜRETİM GİRİŞ"), MIN(I1036, MAX(0, I1036 + SUM(SUMIFS($I$1:I1035, $C$1:C1035, C1036, $B$1:B1035, {"MAL ALIMI","ÜRETİM GİRİŞ"})) - VLOOKUP(C1036, 'STOK RAPORU'!$C$2:$I$1000, 4, 0))), 0)</f>
        <v>0</v>
      </c>
      <c r="U1036" s="22">
        <f t="shared" si="64"/>
        <v>0</v>
      </c>
      <c r="V1036">
        <f t="shared" si="65"/>
        <v>0</v>
      </c>
      <c r="W1036" s="22">
        <f t="shared" si="66"/>
        <v>0</v>
      </c>
    </row>
    <row r="1037" spans="1:23" hidden="1" x14ac:dyDescent="0.25">
      <c r="A1037" s="3">
        <v>45974</v>
      </c>
      <c r="B1037" s="4" t="s">
        <v>334</v>
      </c>
      <c r="C1037" s="4" t="s">
        <v>163</v>
      </c>
      <c r="D1037" s="4"/>
      <c r="E1037" s="4"/>
      <c r="F1037" s="4" t="s">
        <v>684</v>
      </c>
      <c r="G1037" s="4" t="s">
        <v>336</v>
      </c>
      <c r="H1037" s="4" t="s">
        <v>289</v>
      </c>
      <c r="I1037" s="4">
        <v>0.36</v>
      </c>
      <c r="J1037" s="21">
        <v>420</v>
      </c>
      <c r="K1037" s="21">
        <v>0</v>
      </c>
      <c r="L1037" s="5">
        <v>0</v>
      </c>
      <c r="M1037" s="4">
        <v>0.36</v>
      </c>
      <c r="N1037" s="4"/>
      <c r="O1037" s="5">
        <v>420</v>
      </c>
      <c r="P1037" s="5"/>
      <c r="Q1037" s="21">
        <v>151.19999999999999</v>
      </c>
      <c r="R1037" s="21">
        <v>0</v>
      </c>
      <c r="S1037" s="5">
        <f t="shared" si="67"/>
        <v>60526.483760152019</v>
      </c>
      <c r="T1037" cm="1">
        <f t="array" ref="T1037">IF(OR(B1037="MAL ALIMI", B1037="ÜRETİM GİRİŞ"), MIN(I1037, MAX(0, I1037 + SUM(SUMIFS($I$1:I1036, $C$1:C1036, C1037, $B$1:B1036, {"MAL ALIMI","ÜRETİM GİRİŞ"})) - VLOOKUP(C1037, 'STOK RAPORU'!$C$2:$I$1000, 4, 0))), 0)</f>
        <v>0</v>
      </c>
      <c r="U1037" s="22">
        <f t="shared" si="64"/>
        <v>0</v>
      </c>
      <c r="V1037">
        <f t="shared" si="65"/>
        <v>0</v>
      </c>
      <c r="W1037" s="22">
        <f t="shared" si="66"/>
        <v>0</v>
      </c>
    </row>
    <row r="1038" spans="1:23" hidden="1" x14ac:dyDescent="0.25">
      <c r="A1038" s="3">
        <v>45974</v>
      </c>
      <c r="B1038" s="4" t="s">
        <v>334</v>
      </c>
      <c r="C1038" s="4" t="s">
        <v>460</v>
      </c>
      <c r="D1038" s="4"/>
      <c r="E1038" s="4" t="s">
        <v>921</v>
      </c>
      <c r="F1038" s="4" t="s">
        <v>685</v>
      </c>
      <c r="G1038" s="4" t="s">
        <v>336</v>
      </c>
      <c r="H1038" s="4" t="s">
        <v>380</v>
      </c>
      <c r="I1038" s="4">
        <v>6</v>
      </c>
      <c r="J1038" s="21">
        <v>15</v>
      </c>
      <c r="K1038" s="21">
        <v>90</v>
      </c>
      <c r="L1038" s="5">
        <v>0</v>
      </c>
      <c r="M1038" s="4">
        <v>6</v>
      </c>
      <c r="N1038" s="4"/>
      <c r="O1038" s="5">
        <v>15</v>
      </c>
      <c r="P1038" s="5"/>
      <c r="Q1038" s="21">
        <v>0</v>
      </c>
      <c r="R1038" s="21">
        <v>0</v>
      </c>
      <c r="S1038" s="5">
        <f t="shared" si="67"/>
        <v>60526.483760152019</v>
      </c>
      <c r="T1038" cm="1">
        <f t="array" ref="T1038">IF(OR(B1038="MAL ALIMI", B1038="ÜRETİM GİRİŞ"), MIN(I1038, MAX(0, I1038 + SUM(SUMIFS($I$1:I1037, $C$1:C1037, C1038, $B$1:B1037, {"MAL ALIMI","ÜRETİM GİRİŞ"})) - VLOOKUP(C1038, 'STOK RAPORU'!$C$2:$I$1000, 4, 0))), 0)</f>
        <v>0</v>
      </c>
      <c r="U1038" s="22">
        <f t="shared" si="64"/>
        <v>0</v>
      </c>
      <c r="V1038">
        <f t="shared" si="65"/>
        <v>0</v>
      </c>
      <c r="W1038" s="22">
        <f t="shared" si="66"/>
        <v>0</v>
      </c>
    </row>
    <row r="1039" spans="1:23" hidden="1" x14ac:dyDescent="0.25">
      <c r="A1039" s="3">
        <v>45974</v>
      </c>
      <c r="B1039" s="4" t="s">
        <v>334</v>
      </c>
      <c r="C1039" s="4" t="s">
        <v>167</v>
      </c>
      <c r="D1039" s="4"/>
      <c r="E1039" s="4" t="s">
        <v>921</v>
      </c>
      <c r="F1039" s="4" t="s">
        <v>685</v>
      </c>
      <c r="G1039" s="4" t="s">
        <v>336</v>
      </c>
      <c r="H1039" s="4" t="s">
        <v>380</v>
      </c>
      <c r="I1039" s="4">
        <v>1</v>
      </c>
      <c r="J1039" s="21">
        <v>200</v>
      </c>
      <c r="K1039" s="21">
        <v>200</v>
      </c>
      <c r="L1039" s="5">
        <v>0</v>
      </c>
      <c r="M1039" s="4">
        <v>1</v>
      </c>
      <c r="N1039" s="4"/>
      <c r="O1039" s="5">
        <v>200</v>
      </c>
      <c r="P1039" s="5"/>
      <c r="Q1039" s="21">
        <v>0</v>
      </c>
      <c r="R1039" s="21">
        <v>0</v>
      </c>
      <c r="S1039" s="5">
        <f t="shared" si="67"/>
        <v>60526.483760152019</v>
      </c>
      <c r="T1039" cm="1">
        <f t="array" ref="T1039">IF(OR(B1039="MAL ALIMI", B1039="ÜRETİM GİRİŞ"), MIN(I1039, MAX(0, I1039 + SUM(SUMIFS($I$1:I1038, $C$1:C1038, C1039, $B$1:B1038, {"MAL ALIMI","ÜRETİM GİRİŞ"})) - VLOOKUP(C1039, 'STOK RAPORU'!$C$2:$I$1000, 4, 0))), 0)</f>
        <v>0</v>
      </c>
      <c r="U1039" s="22">
        <f t="shared" si="64"/>
        <v>0</v>
      </c>
      <c r="V1039">
        <f t="shared" si="65"/>
        <v>0</v>
      </c>
      <c r="W1039" s="22">
        <f t="shared" si="66"/>
        <v>0</v>
      </c>
    </row>
    <row r="1040" spans="1:23" hidden="1" x14ac:dyDescent="0.25">
      <c r="A1040" s="3">
        <v>45974</v>
      </c>
      <c r="B1040" s="4" t="s">
        <v>334</v>
      </c>
      <c r="C1040" s="4" t="s">
        <v>74</v>
      </c>
      <c r="D1040" s="4"/>
      <c r="E1040" s="4" t="s">
        <v>921</v>
      </c>
      <c r="F1040" s="4" t="s">
        <v>685</v>
      </c>
      <c r="G1040" s="4" t="s">
        <v>336</v>
      </c>
      <c r="H1040" s="4" t="s">
        <v>380</v>
      </c>
      <c r="I1040" s="4">
        <v>0.05</v>
      </c>
      <c r="J1040" s="21">
        <v>1500</v>
      </c>
      <c r="K1040" s="21">
        <v>75</v>
      </c>
      <c r="L1040" s="5">
        <v>0</v>
      </c>
      <c r="M1040" s="4">
        <v>1</v>
      </c>
      <c r="N1040" s="4"/>
      <c r="O1040" s="5">
        <v>75</v>
      </c>
      <c r="P1040" s="5"/>
      <c r="Q1040" s="21">
        <v>0</v>
      </c>
      <c r="R1040" s="21">
        <v>0</v>
      </c>
      <c r="S1040" s="5">
        <f t="shared" si="67"/>
        <v>60526.483760152019</v>
      </c>
      <c r="T1040" cm="1">
        <f t="array" ref="T1040">IF(OR(B1040="MAL ALIMI", B1040="ÜRETİM GİRİŞ"), MIN(I1040, MAX(0, I1040 + SUM(SUMIFS($I$1:I1039, $C$1:C1039, C1040, $B$1:B1039, {"MAL ALIMI","ÜRETİM GİRİŞ"})) - VLOOKUP(C1040, 'STOK RAPORU'!$C$2:$I$1000, 4, 0))), 0)</f>
        <v>0</v>
      </c>
      <c r="U1040" s="22">
        <f t="shared" si="64"/>
        <v>0</v>
      </c>
      <c r="V1040">
        <f t="shared" si="65"/>
        <v>0</v>
      </c>
      <c r="W1040" s="22">
        <f t="shared" si="66"/>
        <v>0</v>
      </c>
    </row>
    <row r="1041" spans="1:23" hidden="1" x14ac:dyDescent="0.25">
      <c r="A1041" s="3">
        <v>45974</v>
      </c>
      <c r="B1041" s="4" t="s">
        <v>334</v>
      </c>
      <c r="C1041" s="4" t="s">
        <v>460</v>
      </c>
      <c r="D1041" s="4"/>
      <c r="E1041" s="4"/>
      <c r="F1041" s="4" t="s">
        <v>686</v>
      </c>
      <c r="G1041" s="4" t="s">
        <v>336</v>
      </c>
      <c r="H1041" s="4" t="s">
        <v>289</v>
      </c>
      <c r="I1041" s="4">
        <v>2</v>
      </c>
      <c r="J1041" s="21">
        <v>15</v>
      </c>
      <c r="K1041" s="21">
        <v>0</v>
      </c>
      <c r="L1041" s="5">
        <v>0</v>
      </c>
      <c r="M1041" s="4">
        <v>2</v>
      </c>
      <c r="N1041" s="4"/>
      <c r="O1041" s="5">
        <v>15</v>
      </c>
      <c r="P1041" s="5"/>
      <c r="Q1041" s="21">
        <v>30</v>
      </c>
      <c r="R1041" s="21">
        <v>0</v>
      </c>
      <c r="S1041" s="5">
        <f t="shared" si="67"/>
        <v>60556.483760152019</v>
      </c>
      <c r="T1041" cm="1">
        <f t="array" ref="T1041">IF(OR(B1041="MAL ALIMI", B1041="ÜRETİM GİRİŞ"), MIN(I1041, MAX(0, I1041 + SUM(SUMIFS($I$1:I1040, $C$1:C1040, C1041, $B$1:B1040, {"MAL ALIMI","ÜRETİM GİRİŞ"})) - VLOOKUP(C1041, 'STOK RAPORU'!$C$2:$I$1000, 4, 0))), 0)</f>
        <v>0</v>
      </c>
      <c r="U1041" s="22">
        <f t="shared" si="64"/>
        <v>0</v>
      </c>
      <c r="V1041">
        <f t="shared" si="65"/>
        <v>0</v>
      </c>
      <c r="W1041" s="22">
        <f t="shared" si="66"/>
        <v>0</v>
      </c>
    </row>
    <row r="1042" spans="1:23" hidden="1" x14ac:dyDescent="0.25">
      <c r="A1042" s="3">
        <v>45974</v>
      </c>
      <c r="B1042" s="4" t="s">
        <v>334</v>
      </c>
      <c r="C1042" s="4" t="s">
        <v>465</v>
      </c>
      <c r="D1042" s="4"/>
      <c r="E1042" s="4"/>
      <c r="F1042" s="4" t="s">
        <v>686</v>
      </c>
      <c r="G1042" s="4" t="s">
        <v>336</v>
      </c>
      <c r="H1042" s="4" t="s">
        <v>289</v>
      </c>
      <c r="I1042" s="4">
        <v>2</v>
      </c>
      <c r="J1042" s="21">
        <v>40</v>
      </c>
      <c r="K1042" s="21">
        <v>0</v>
      </c>
      <c r="L1042" s="5">
        <v>0</v>
      </c>
      <c r="M1042" s="4">
        <v>2</v>
      </c>
      <c r="N1042" s="4"/>
      <c r="O1042" s="5">
        <v>40</v>
      </c>
      <c r="P1042" s="5"/>
      <c r="Q1042" s="21">
        <v>80</v>
      </c>
      <c r="R1042" s="21">
        <v>0</v>
      </c>
      <c r="S1042" s="5">
        <f t="shared" si="67"/>
        <v>60636.483760152019</v>
      </c>
      <c r="T1042" cm="1">
        <f t="array" ref="T1042">IF(OR(B1042="MAL ALIMI", B1042="ÜRETİM GİRİŞ"), MIN(I1042, MAX(0, I1042 + SUM(SUMIFS($I$1:I1041, $C$1:C1041, C1042, $B$1:B1041, {"MAL ALIMI","ÜRETİM GİRİŞ"})) - VLOOKUP(C1042, 'STOK RAPORU'!$C$2:$I$1000, 4, 0))), 0)</f>
        <v>0</v>
      </c>
      <c r="U1042" s="22">
        <f t="shared" si="64"/>
        <v>0</v>
      </c>
      <c r="V1042">
        <f t="shared" si="65"/>
        <v>0</v>
      </c>
      <c r="W1042" s="22">
        <f t="shared" si="66"/>
        <v>0</v>
      </c>
    </row>
    <row r="1043" spans="1:23" hidden="1" x14ac:dyDescent="0.25">
      <c r="A1043" s="3">
        <v>45974</v>
      </c>
      <c r="B1043" s="4" t="s">
        <v>334</v>
      </c>
      <c r="C1043" s="4" t="s">
        <v>517</v>
      </c>
      <c r="D1043" s="4"/>
      <c r="E1043" s="4"/>
      <c r="F1043" s="4" t="s">
        <v>686</v>
      </c>
      <c r="G1043" s="4" t="s">
        <v>336</v>
      </c>
      <c r="H1043" s="4" t="s">
        <v>289</v>
      </c>
      <c r="I1043" s="4">
        <v>1</v>
      </c>
      <c r="J1043" s="21">
        <v>190</v>
      </c>
      <c r="K1043" s="21">
        <v>0</v>
      </c>
      <c r="L1043" s="5">
        <v>0</v>
      </c>
      <c r="M1043" s="4">
        <v>1</v>
      </c>
      <c r="N1043" s="4"/>
      <c r="O1043" s="5">
        <v>190</v>
      </c>
      <c r="P1043" s="5"/>
      <c r="Q1043" s="21">
        <v>190</v>
      </c>
      <c r="R1043" s="21">
        <v>0</v>
      </c>
      <c r="S1043" s="5">
        <f t="shared" si="67"/>
        <v>60826.483760152019</v>
      </c>
      <c r="T1043" cm="1">
        <f t="array" ref="T1043">IF(OR(B1043="MAL ALIMI", B1043="ÜRETİM GİRİŞ"), MIN(I1043, MAX(0, I1043 + SUM(SUMIFS($I$1:I1042, $C$1:C1042, C1043, $B$1:B1042, {"MAL ALIMI","ÜRETİM GİRİŞ"})) - VLOOKUP(C1043, 'STOK RAPORU'!$C$2:$I$1000, 4, 0))), 0)</f>
        <v>0</v>
      </c>
      <c r="U1043" s="22">
        <f t="shared" si="64"/>
        <v>0</v>
      </c>
      <c r="V1043">
        <f t="shared" si="65"/>
        <v>0</v>
      </c>
      <c r="W1043" s="22">
        <f t="shared" si="66"/>
        <v>0</v>
      </c>
    </row>
    <row r="1044" spans="1:23" hidden="1" x14ac:dyDescent="0.25">
      <c r="A1044" s="3">
        <v>45974</v>
      </c>
      <c r="B1044" s="4" t="s">
        <v>334</v>
      </c>
      <c r="C1044" s="4" t="s">
        <v>167</v>
      </c>
      <c r="D1044" s="4"/>
      <c r="E1044" s="4"/>
      <c r="F1044" s="4" t="s">
        <v>686</v>
      </c>
      <c r="G1044" s="4" t="s">
        <v>336</v>
      </c>
      <c r="H1044" s="4" t="s">
        <v>289</v>
      </c>
      <c r="I1044" s="4">
        <v>1</v>
      </c>
      <c r="J1044" s="21">
        <v>200</v>
      </c>
      <c r="K1044" s="21">
        <v>0</v>
      </c>
      <c r="L1044" s="5">
        <v>0</v>
      </c>
      <c r="M1044" s="4">
        <v>1</v>
      </c>
      <c r="N1044" s="4"/>
      <c r="O1044" s="5">
        <v>200</v>
      </c>
      <c r="P1044" s="5"/>
      <c r="Q1044" s="21">
        <v>200</v>
      </c>
      <c r="R1044" s="21">
        <v>0</v>
      </c>
      <c r="S1044" s="5">
        <f t="shared" si="67"/>
        <v>61026.483760152019</v>
      </c>
      <c r="T1044" cm="1">
        <f t="array" ref="T1044">IF(OR(B1044="MAL ALIMI", B1044="ÜRETİM GİRİŞ"), MIN(I1044, MAX(0, I1044 + SUM(SUMIFS($I$1:I1043, $C$1:C1043, C1044, $B$1:B1043, {"MAL ALIMI","ÜRETİM GİRİŞ"})) - VLOOKUP(C1044, 'STOK RAPORU'!$C$2:$I$1000, 4, 0))), 0)</f>
        <v>0</v>
      </c>
      <c r="U1044" s="22">
        <f t="shared" si="64"/>
        <v>0</v>
      </c>
      <c r="V1044">
        <f t="shared" si="65"/>
        <v>0</v>
      </c>
      <c r="W1044" s="22">
        <f t="shared" si="66"/>
        <v>0</v>
      </c>
    </row>
    <row r="1045" spans="1:23" hidden="1" x14ac:dyDescent="0.25">
      <c r="A1045" s="3">
        <v>45974</v>
      </c>
      <c r="B1045" s="4" t="s">
        <v>334</v>
      </c>
      <c r="C1045" s="4" t="s">
        <v>223</v>
      </c>
      <c r="D1045" s="4"/>
      <c r="E1045" s="4"/>
      <c r="F1045" s="4" t="s">
        <v>687</v>
      </c>
      <c r="G1045" s="4" t="s">
        <v>336</v>
      </c>
      <c r="H1045" s="4" t="s">
        <v>289</v>
      </c>
      <c r="I1045" s="4">
        <v>0.67400000000000004</v>
      </c>
      <c r="J1045" s="21">
        <v>350</v>
      </c>
      <c r="K1045" s="21">
        <v>0</v>
      </c>
      <c r="L1045" s="5">
        <v>0</v>
      </c>
      <c r="M1045" s="4">
        <v>0.67400000000000004</v>
      </c>
      <c r="N1045" s="4"/>
      <c r="O1045" s="5">
        <v>350</v>
      </c>
      <c r="P1045" s="5"/>
      <c r="Q1045" s="21">
        <v>235.9</v>
      </c>
      <c r="R1045" s="21">
        <v>0</v>
      </c>
      <c r="S1045" s="5">
        <f t="shared" si="67"/>
        <v>61262.383760152021</v>
      </c>
      <c r="T1045" cm="1">
        <f t="array" ref="T1045">IF(OR(B1045="MAL ALIMI", B1045="ÜRETİM GİRİŞ"), MIN(I1045, MAX(0, I1045 + SUM(SUMIFS($I$1:I1044, $C$1:C1044, C1045, $B$1:B1044, {"MAL ALIMI","ÜRETİM GİRİŞ"})) - VLOOKUP(C1045, 'STOK RAPORU'!$C$2:$I$1000, 4, 0))), 0)</f>
        <v>0</v>
      </c>
      <c r="U1045" s="22">
        <f t="shared" si="64"/>
        <v>0</v>
      </c>
      <c r="V1045">
        <f t="shared" si="65"/>
        <v>0</v>
      </c>
      <c r="W1045" s="22">
        <f t="shared" si="66"/>
        <v>0</v>
      </c>
    </row>
    <row r="1046" spans="1:23" hidden="1" x14ac:dyDescent="0.25">
      <c r="A1046" s="3">
        <v>45974</v>
      </c>
      <c r="B1046" s="4" t="s">
        <v>334</v>
      </c>
      <c r="C1046" s="4" t="s">
        <v>241</v>
      </c>
      <c r="D1046" s="4"/>
      <c r="E1046" s="4"/>
      <c r="F1046" s="4" t="s">
        <v>687</v>
      </c>
      <c r="G1046" s="4" t="s">
        <v>336</v>
      </c>
      <c r="H1046" s="4" t="s">
        <v>289</v>
      </c>
      <c r="I1046" s="4">
        <v>0.51800000000000002</v>
      </c>
      <c r="J1046" s="21">
        <v>700</v>
      </c>
      <c r="K1046" s="21">
        <v>0</v>
      </c>
      <c r="L1046" s="5">
        <v>0</v>
      </c>
      <c r="M1046" s="4">
        <v>0.51800000000000002</v>
      </c>
      <c r="N1046" s="4"/>
      <c r="O1046" s="5">
        <v>700</v>
      </c>
      <c r="P1046" s="5"/>
      <c r="Q1046" s="21">
        <v>362.6</v>
      </c>
      <c r="R1046" s="21">
        <v>0</v>
      </c>
      <c r="S1046" s="5">
        <f t="shared" si="67"/>
        <v>61624.983760152019</v>
      </c>
      <c r="T1046" cm="1">
        <f t="array" ref="T1046">IF(OR(B1046="MAL ALIMI", B1046="ÜRETİM GİRİŞ"), MIN(I1046, MAX(0, I1046 + SUM(SUMIFS($I$1:I1045, $C$1:C1045, C1046, $B$1:B1045, {"MAL ALIMI","ÜRETİM GİRİŞ"})) - VLOOKUP(C1046, 'STOK RAPORU'!$C$2:$I$1000, 4, 0))), 0)</f>
        <v>0</v>
      </c>
      <c r="U1046" s="22">
        <f t="shared" si="64"/>
        <v>0</v>
      </c>
      <c r="V1046">
        <f t="shared" si="65"/>
        <v>0</v>
      </c>
      <c r="W1046" s="22">
        <f t="shared" si="66"/>
        <v>0</v>
      </c>
    </row>
    <row r="1047" spans="1:23" hidden="1" x14ac:dyDescent="0.25">
      <c r="A1047" s="3">
        <v>45974</v>
      </c>
      <c r="B1047" s="4" t="s">
        <v>334</v>
      </c>
      <c r="C1047" s="59" t="s">
        <v>161</v>
      </c>
      <c r="D1047" s="4"/>
      <c r="E1047" s="4"/>
      <c r="F1047" s="4" t="s">
        <v>688</v>
      </c>
      <c r="G1047" s="4" t="s">
        <v>336</v>
      </c>
      <c r="H1047" s="4" t="s">
        <v>289</v>
      </c>
      <c r="I1047" s="4">
        <v>1</v>
      </c>
      <c r="J1047" s="21">
        <v>200</v>
      </c>
      <c r="K1047" s="21">
        <v>0</v>
      </c>
      <c r="L1047" s="5">
        <v>0</v>
      </c>
      <c r="M1047" s="4">
        <v>1</v>
      </c>
      <c r="N1047" s="4"/>
      <c r="O1047" s="5">
        <v>200</v>
      </c>
      <c r="P1047" s="5"/>
      <c r="Q1047" s="21">
        <v>200</v>
      </c>
      <c r="R1047" s="21">
        <v>0</v>
      </c>
      <c r="S1047" s="5">
        <f t="shared" si="67"/>
        <v>61824.983760152019</v>
      </c>
      <c r="T1047" cm="1">
        <f t="array" ref="T1047">IF(OR(B1047="MAL ALIMI", B1047="ÜRETİM GİRİŞ"), MIN(I1047, MAX(0, I1047 + SUM(SUMIFS($I$1:I1046, $C$1:C1046, C1047, $B$1:B1046, {"MAL ALIMI","ÜRETİM GİRİŞ"})) - VLOOKUP(C1047, 'STOK RAPORU'!$C$2:$I$1000, 4, 0))), 0)</f>
        <v>0</v>
      </c>
      <c r="U1047" s="22">
        <f t="shared" si="64"/>
        <v>0</v>
      </c>
      <c r="V1047">
        <f t="shared" si="65"/>
        <v>0</v>
      </c>
      <c r="W1047" s="22">
        <f t="shared" si="66"/>
        <v>0</v>
      </c>
    </row>
    <row r="1048" spans="1:23" hidden="1" x14ac:dyDescent="0.25">
      <c r="A1048" s="3">
        <v>45974</v>
      </c>
      <c r="B1048" s="4" t="s">
        <v>334</v>
      </c>
      <c r="C1048" s="4" t="s">
        <v>647</v>
      </c>
      <c r="D1048" s="4"/>
      <c r="E1048" s="4"/>
      <c r="F1048" s="4" t="s">
        <v>689</v>
      </c>
      <c r="G1048" s="4" t="s">
        <v>336</v>
      </c>
      <c r="H1048" s="4" t="s">
        <v>289</v>
      </c>
      <c r="I1048" s="4">
        <v>0.25</v>
      </c>
      <c r="J1048" s="21">
        <v>400</v>
      </c>
      <c r="K1048" s="21">
        <v>0</v>
      </c>
      <c r="L1048" s="5">
        <v>0</v>
      </c>
      <c r="M1048" s="4">
        <v>1</v>
      </c>
      <c r="N1048" s="4"/>
      <c r="O1048" s="5">
        <v>100</v>
      </c>
      <c r="P1048" s="5"/>
      <c r="Q1048" s="21">
        <v>100</v>
      </c>
      <c r="R1048" s="21">
        <v>0</v>
      </c>
      <c r="S1048" s="5">
        <f t="shared" si="67"/>
        <v>61924.983760152019</v>
      </c>
      <c r="T1048" cm="1">
        <f t="array" ref="T1048">IF(OR(B1048="MAL ALIMI", B1048="ÜRETİM GİRİŞ"), MIN(I1048, MAX(0, I1048 + SUM(SUMIFS($I$1:I1047, $C$1:C1047, C1048, $B$1:B1047, {"MAL ALIMI","ÜRETİM GİRİŞ"})) - VLOOKUP(C1048, 'STOK RAPORU'!$C$2:$I$1000, 4, 0))), 0)</f>
        <v>0</v>
      </c>
      <c r="U1048" s="22">
        <f t="shared" si="64"/>
        <v>0</v>
      </c>
      <c r="V1048">
        <f t="shared" si="65"/>
        <v>0</v>
      </c>
      <c r="W1048" s="22">
        <f t="shared" si="66"/>
        <v>0</v>
      </c>
    </row>
    <row r="1049" spans="1:23" hidden="1" x14ac:dyDescent="0.25">
      <c r="A1049" s="3">
        <v>45974</v>
      </c>
      <c r="B1049" s="4" t="s">
        <v>334</v>
      </c>
      <c r="C1049" s="4" t="s">
        <v>212</v>
      </c>
      <c r="D1049" s="4"/>
      <c r="E1049" s="4" t="s">
        <v>921</v>
      </c>
      <c r="F1049" s="4" t="s">
        <v>710</v>
      </c>
      <c r="G1049" s="4" t="s">
        <v>336</v>
      </c>
      <c r="H1049" s="4" t="s">
        <v>380</v>
      </c>
      <c r="I1049" s="4">
        <v>0.24</v>
      </c>
      <c r="J1049" s="21">
        <v>834</v>
      </c>
      <c r="K1049" s="21">
        <v>200.16</v>
      </c>
      <c r="L1049" s="5">
        <v>0</v>
      </c>
      <c r="M1049" s="4">
        <v>0.24</v>
      </c>
      <c r="N1049" s="4"/>
      <c r="O1049" s="5">
        <v>834</v>
      </c>
      <c r="P1049" s="5"/>
      <c r="Q1049" s="21">
        <v>0</v>
      </c>
      <c r="R1049" s="21">
        <v>0</v>
      </c>
      <c r="S1049" s="5">
        <f t="shared" si="67"/>
        <v>61924.983760152019</v>
      </c>
      <c r="T1049" cm="1">
        <f t="array" ref="T1049">IF(OR(B1049="MAL ALIMI", B1049="ÜRETİM GİRİŞ"), MIN(I1049, MAX(0, I1049 + SUM(SUMIFS($I$1:I1048, $C$1:C1048, C1049, $B$1:B1048, {"MAL ALIMI","ÜRETİM GİRİŞ"})) - VLOOKUP(C1049, 'STOK RAPORU'!$C$2:$I$1000, 4, 0))), 0)</f>
        <v>0</v>
      </c>
      <c r="U1049" s="22">
        <f t="shared" si="64"/>
        <v>0</v>
      </c>
      <c r="V1049">
        <f t="shared" si="65"/>
        <v>0</v>
      </c>
      <c r="W1049" s="22">
        <f t="shared" si="66"/>
        <v>0</v>
      </c>
    </row>
    <row r="1050" spans="1:23" hidden="1" x14ac:dyDescent="0.25">
      <c r="A1050" s="3">
        <v>45975</v>
      </c>
      <c r="B1050" s="4" t="s">
        <v>298</v>
      </c>
      <c r="C1050" s="4" t="s">
        <v>729</v>
      </c>
      <c r="D1050" s="4"/>
      <c r="E1050" s="4" t="s">
        <v>856</v>
      </c>
      <c r="F1050" s="4" t="s">
        <v>797</v>
      </c>
      <c r="G1050" s="4" t="s">
        <v>803</v>
      </c>
      <c r="H1050" s="4" t="s">
        <v>1329</v>
      </c>
      <c r="I1050" s="4">
        <v>6</v>
      </c>
      <c r="J1050" s="21">
        <v>59.5</v>
      </c>
      <c r="K1050" s="21">
        <v>0</v>
      </c>
      <c r="L1050" s="5">
        <v>357</v>
      </c>
      <c r="M1050" s="4"/>
      <c r="N1050" s="4">
        <v>6</v>
      </c>
      <c r="O1050" s="5"/>
      <c r="P1050" s="5">
        <v>59.5</v>
      </c>
      <c r="Q1050" s="21">
        <v>0</v>
      </c>
      <c r="R1050" s="21">
        <v>0</v>
      </c>
      <c r="S1050" s="5">
        <f t="shared" si="67"/>
        <v>61924.983760152019</v>
      </c>
      <c r="T1050" cm="1">
        <f t="array" ref="T1050">IF(OR(B1050="MAL ALIMI", B1050="ÜRETİM GİRİŞ"), MIN(I1050, MAX(0, I1050 + SUM(SUMIFS($I$1:I1049, $C$1:C1049, C1050, $B$1:B1049, {"MAL ALIMI","ÜRETİM GİRİŞ"})) - VLOOKUP(C1050, 'STOK RAPORU'!$C$2:$I$1000, 4, 0))), 0)</f>
        <v>1</v>
      </c>
      <c r="U1050" s="22">
        <f t="shared" si="64"/>
        <v>59.5</v>
      </c>
      <c r="V1050">
        <f t="shared" si="65"/>
        <v>357</v>
      </c>
      <c r="W1050" s="22">
        <f t="shared" si="66"/>
        <v>297.5</v>
      </c>
    </row>
    <row r="1051" spans="1:23" hidden="1" x14ac:dyDescent="0.25">
      <c r="A1051" s="3">
        <v>45975</v>
      </c>
      <c r="B1051" s="4" t="s">
        <v>298</v>
      </c>
      <c r="C1051" s="4" t="s">
        <v>730</v>
      </c>
      <c r="D1051" s="4"/>
      <c r="E1051" s="4" t="s">
        <v>856</v>
      </c>
      <c r="F1051" s="4" t="s">
        <v>797</v>
      </c>
      <c r="G1051" s="4" t="s">
        <v>803</v>
      </c>
      <c r="H1051" s="4" t="s">
        <v>1329</v>
      </c>
      <c r="I1051" s="4">
        <v>7</v>
      </c>
      <c r="J1051" s="21">
        <v>59.5</v>
      </c>
      <c r="K1051" s="21">
        <v>0</v>
      </c>
      <c r="L1051" s="5">
        <v>416.5</v>
      </c>
      <c r="M1051" s="4"/>
      <c r="N1051" s="4">
        <v>7</v>
      </c>
      <c r="O1051" s="5"/>
      <c r="P1051" s="5">
        <v>59.5</v>
      </c>
      <c r="Q1051" s="21">
        <v>0</v>
      </c>
      <c r="R1051" s="21">
        <v>0</v>
      </c>
      <c r="S1051" s="5">
        <f t="shared" si="67"/>
        <v>61924.983760152019</v>
      </c>
      <c r="T1051" cm="1">
        <f t="array" ref="T1051">IF(OR(B1051="MAL ALIMI", B1051="ÜRETİM GİRİŞ"), MIN(I1051, MAX(0, I1051 + SUM(SUMIFS($I$1:I1050, $C$1:C1050, C1051, $B$1:B1050, {"MAL ALIMI","ÜRETİM GİRİŞ"})) - VLOOKUP(C1051, 'STOK RAPORU'!$C$2:$I$1000, 4, 0))), 0)</f>
        <v>0</v>
      </c>
      <c r="U1051" s="22">
        <f t="shared" si="64"/>
        <v>0</v>
      </c>
      <c r="V1051">
        <f t="shared" si="65"/>
        <v>416.5</v>
      </c>
      <c r="W1051" s="22">
        <f t="shared" si="66"/>
        <v>416.5</v>
      </c>
    </row>
    <row r="1052" spans="1:23" hidden="1" x14ac:dyDescent="0.25">
      <c r="A1052" s="3">
        <v>45975</v>
      </c>
      <c r="B1052" s="4" t="s">
        <v>298</v>
      </c>
      <c r="C1052" s="4" t="s">
        <v>731</v>
      </c>
      <c r="D1052" s="4"/>
      <c r="E1052" s="4" t="s">
        <v>856</v>
      </c>
      <c r="F1052" s="4" t="s">
        <v>797</v>
      </c>
      <c r="G1052" s="4" t="s">
        <v>803</v>
      </c>
      <c r="H1052" s="4" t="s">
        <v>1329</v>
      </c>
      <c r="I1052" s="4">
        <v>6</v>
      </c>
      <c r="J1052" s="21">
        <v>59.5</v>
      </c>
      <c r="K1052" s="21">
        <v>0</v>
      </c>
      <c r="L1052" s="5">
        <v>357</v>
      </c>
      <c r="M1052" s="4"/>
      <c r="N1052" s="4">
        <v>6</v>
      </c>
      <c r="O1052" s="5"/>
      <c r="P1052" s="5">
        <v>59.5</v>
      </c>
      <c r="Q1052" s="21">
        <v>0</v>
      </c>
      <c r="R1052" s="21">
        <v>0</v>
      </c>
      <c r="S1052" s="5">
        <f t="shared" si="67"/>
        <v>61924.983760152019</v>
      </c>
      <c r="T1052" cm="1">
        <f t="array" ref="T1052">IF(OR(B1052="MAL ALIMI", B1052="ÜRETİM GİRİŞ"), MIN(I1052, MAX(0, I1052 + SUM(SUMIFS($I$1:I1051, $C$1:C1051, C1052, $B$1:B1051, {"MAL ALIMI","ÜRETİM GİRİŞ"})) - VLOOKUP(C1052, 'STOK RAPORU'!$C$2:$I$1000, 4, 0))), 0)</f>
        <v>1</v>
      </c>
      <c r="U1052" s="22">
        <f t="shared" si="64"/>
        <v>59.5</v>
      </c>
      <c r="V1052">
        <f t="shared" si="65"/>
        <v>357</v>
      </c>
      <c r="W1052" s="22">
        <f t="shared" si="66"/>
        <v>297.5</v>
      </c>
    </row>
    <row r="1053" spans="1:23" hidden="1" x14ac:dyDescent="0.25">
      <c r="A1053" s="3">
        <v>45975</v>
      </c>
      <c r="B1053" s="4" t="s">
        <v>298</v>
      </c>
      <c r="C1053" s="4" t="s">
        <v>728</v>
      </c>
      <c r="D1053" s="4"/>
      <c r="E1053" s="4" t="s">
        <v>856</v>
      </c>
      <c r="F1053" s="4" t="s">
        <v>797</v>
      </c>
      <c r="G1053" s="4" t="s">
        <v>803</v>
      </c>
      <c r="H1053" s="4" t="s">
        <v>1329</v>
      </c>
      <c r="I1053" s="4">
        <v>2.5649999999999999</v>
      </c>
      <c r="J1053" s="21">
        <v>595</v>
      </c>
      <c r="K1053" s="21">
        <v>0</v>
      </c>
      <c r="L1053" s="5">
        <v>1526.175</v>
      </c>
      <c r="M1053" s="4"/>
      <c r="N1053" s="4">
        <v>2.5649999999999999</v>
      </c>
      <c r="O1053" s="5"/>
      <c r="P1053" s="5">
        <v>595</v>
      </c>
      <c r="Q1053" s="21">
        <v>0</v>
      </c>
      <c r="R1053" s="21">
        <v>0</v>
      </c>
      <c r="S1053" s="5">
        <f t="shared" si="67"/>
        <v>61924.983760152019</v>
      </c>
      <c r="T1053" cm="1">
        <f t="array" ref="T1053">IF(OR(B1053="MAL ALIMI", B1053="ÜRETİM GİRİŞ"), MIN(I1053, MAX(0, I1053 + SUM(SUMIFS($I$1:I1052, $C$1:C1052, C1053, $B$1:B1052, {"MAL ALIMI","ÜRETİM GİRİŞ"})) - VLOOKUP(C1053, 'STOK RAPORU'!$C$2:$I$1000, 4, 0))), 0)</f>
        <v>0</v>
      </c>
      <c r="U1053" s="22">
        <f t="shared" si="64"/>
        <v>0</v>
      </c>
      <c r="V1053">
        <f t="shared" si="65"/>
        <v>1526.175</v>
      </c>
      <c r="W1053" s="22">
        <f t="shared" si="66"/>
        <v>1526.175</v>
      </c>
    </row>
    <row r="1054" spans="1:23" hidden="1" x14ac:dyDescent="0.25">
      <c r="A1054" s="3">
        <v>45975</v>
      </c>
      <c r="B1054" s="4" t="s">
        <v>298</v>
      </c>
      <c r="C1054" s="4" t="s">
        <v>620</v>
      </c>
      <c r="D1054" s="4"/>
      <c r="E1054" s="4" t="s">
        <v>856</v>
      </c>
      <c r="F1054" s="4" t="s">
        <v>797</v>
      </c>
      <c r="G1054" s="4" t="s">
        <v>803</v>
      </c>
      <c r="H1054" s="4" t="s">
        <v>1329</v>
      </c>
      <c r="I1054" s="4">
        <v>1.2649999999999999</v>
      </c>
      <c r="J1054" s="21">
        <v>139.86857699999999</v>
      </c>
      <c r="K1054" s="21">
        <v>0</v>
      </c>
      <c r="L1054" s="5">
        <v>176.93374990499998</v>
      </c>
      <c r="M1054" s="4"/>
      <c r="N1054" s="4">
        <v>1.2649999999999999</v>
      </c>
      <c r="O1054" s="5"/>
      <c r="P1054" s="5">
        <v>139.86857699999999</v>
      </c>
      <c r="Q1054" s="21">
        <v>0</v>
      </c>
      <c r="R1054" s="21">
        <v>0</v>
      </c>
      <c r="S1054" s="5">
        <f t="shared" si="67"/>
        <v>61924.983760152019</v>
      </c>
      <c r="T1054" cm="1">
        <f t="array" ref="T1054">IF(OR(B1054="MAL ALIMI", B1054="ÜRETİM GİRİŞ"), MIN(I1054, MAX(0, I1054 + SUM(SUMIFS($I$1:I1053, $C$1:C1053, C1054, $B$1:B1053, {"MAL ALIMI","ÜRETİM GİRİŞ"})) - VLOOKUP(C1054, 'STOK RAPORU'!$C$2:$I$1000, 4, 0))), 0)</f>
        <v>0</v>
      </c>
      <c r="U1054" s="22">
        <f t="shared" si="64"/>
        <v>0</v>
      </c>
      <c r="V1054">
        <f t="shared" si="65"/>
        <v>176.93374990499998</v>
      </c>
      <c r="W1054" s="22">
        <f t="shared" si="66"/>
        <v>176.93374990499998</v>
      </c>
    </row>
    <row r="1055" spans="1:23" hidden="1" x14ac:dyDescent="0.25">
      <c r="A1055" s="3">
        <v>45975</v>
      </c>
      <c r="B1055" s="4" t="s">
        <v>298</v>
      </c>
      <c r="C1055" s="4" t="s">
        <v>619</v>
      </c>
      <c r="D1055" s="4"/>
      <c r="E1055" s="4" t="s">
        <v>856</v>
      </c>
      <c r="F1055" s="4" t="s">
        <v>797</v>
      </c>
      <c r="G1055" s="4" t="s">
        <v>803</v>
      </c>
      <c r="H1055" s="4" t="s">
        <v>1329</v>
      </c>
      <c r="I1055" s="4">
        <v>1.25</v>
      </c>
      <c r="J1055" s="21">
        <v>109.776</v>
      </c>
      <c r="K1055" s="21">
        <v>0</v>
      </c>
      <c r="L1055" s="5">
        <v>137.22</v>
      </c>
      <c r="M1055" s="4"/>
      <c r="N1055" s="4">
        <v>1.25</v>
      </c>
      <c r="O1055" s="5"/>
      <c r="P1055" s="5">
        <v>109.776</v>
      </c>
      <c r="Q1055" s="21">
        <v>0</v>
      </c>
      <c r="R1055" s="21">
        <v>0</v>
      </c>
      <c r="S1055" s="5">
        <f t="shared" si="67"/>
        <v>61924.983760152019</v>
      </c>
      <c r="T1055" cm="1">
        <f t="array" ref="T1055">IF(OR(B1055="MAL ALIMI", B1055="ÜRETİM GİRİŞ"), MIN(I1055, MAX(0, I1055 + SUM(SUMIFS($I$1:I1054, $C$1:C1054, C1055, $B$1:B1054, {"MAL ALIMI","ÜRETİM GİRİŞ"})) - VLOOKUP(C1055, 'STOK RAPORU'!$C$2:$I$1000, 4, 0))), 0)</f>
        <v>0</v>
      </c>
      <c r="U1055" s="22">
        <f t="shared" si="64"/>
        <v>0</v>
      </c>
      <c r="V1055">
        <f t="shared" si="65"/>
        <v>137.22</v>
      </c>
      <c r="W1055" s="22">
        <f t="shared" si="66"/>
        <v>137.22</v>
      </c>
    </row>
    <row r="1056" spans="1:23" hidden="1" x14ac:dyDescent="0.25">
      <c r="A1056" s="3">
        <v>45975</v>
      </c>
      <c r="B1056" s="4" t="s">
        <v>298</v>
      </c>
      <c r="C1056" s="4" t="s">
        <v>620</v>
      </c>
      <c r="D1056" s="4"/>
      <c r="E1056" s="4" t="s">
        <v>856</v>
      </c>
      <c r="F1056" s="4" t="s">
        <v>797</v>
      </c>
      <c r="G1056" s="4" t="s">
        <v>803</v>
      </c>
      <c r="H1056" s="4" t="s">
        <v>1329</v>
      </c>
      <c r="I1056" s="4">
        <v>0.97499999999999998</v>
      </c>
      <c r="J1056" s="21">
        <v>139.87</v>
      </c>
      <c r="K1056" s="21">
        <v>0</v>
      </c>
      <c r="L1056" s="5">
        <v>136.37325000000001</v>
      </c>
      <c r="M1056" s="4"/>
      <c r="N1056" s="4">
        <v>0.97499999999999998</v>
      </c>
      <c r="O1056" s="5"/>
      <c r="P1056" s="5">
        <v>139.87</v>
      </c>
      <c r="Q1056" s="21">
        <v>0</v>
      </c>
      <c r="R1056" s="21">
        <v>0</v>
      </c>
      <c r="S1056" s="5">
        <f t="shared" si="67"/>
        <v>61924.983760152019</v>
      </c>
      <c r="T1056" cm="1">
        <f t="array" ref="T1056">IF(OR(B1056="MAL ALIMI", B1056="ÜRETİM GİRİŞ"), MIN(I1056, MAX(0, I1056 + SUM(SUMIFS($I$1:I1055, $C$1:C1055, C1056, $B$1:B1055, {"MAL ALIMI","ÜRETİM GİRİŞ"})) - VLOOKUP(C1056, 'STOK RAPORU'!$C$2:$I$1000, 4, 0))), 0)</f>
        <v>1.4871794871789135E-3</v>
      </c>
      <c r="U1056" s="22">
        <f t="shared" si="64"/>
        <v>0.20801179487171464</v>
      </c>
      <c r="V1056">
        <f t="shared" si="65"/>
        <v>136.37325000000001</v>
      </c>
      <c r="W1056" s="22">
        <f t="shared" si="66"/>
        <v>136.1652382051283</v>
      </c>
    </row>
    <row r="1057" spans="1:23" hidden="1" x14ac:dyDescent="0.25">
      <c r="A1057" s="3">
        <v>45975</v>
      </c>
      <c r="B1057" s="4" t="s">
        <v>334</v>
      </c>
      <c r="C1057" s="4" t="s">
        <v>126</v>
      </c>
      <c r="D1057" s="4"/>
      <c r="E1057" s="4" t="s">
        <v>921</v>
      </c>
      <c r="F1057" s="4" t="s">
        <v>732</v>
      </c>
      <c r="G1057" s="4" t="s">
        <v>336</v>
      </c>
      <c r="H1057" s="4" t="s">
        <v>380</v>
      </c>
      <c r="I1057" s="4">
        <v>9.1999999999999998E-2</v>
      </c>
      <c r="J1057" s="21">
        <v>640</v>
      </c>
      <c r="K1057" s="21">
        <v>58.879999999999995</v>
      </c>
      <c r="L1057" s="5">
        <v>0</v>
      </c>
      <c r="M1057" s="4">
        <v>9.1999999999999998E-2</v>
      </c>
      <c r="N1057" s="4"/>
      <c r="O1057" s="5">
        <v>640</v>
      </c>
      <c r="P1057" s="5"/>
      <c r="Q1057" s="21">
        <v>0</v>
      </c>
      <c r="R1057" s="21">
        <v>0</v>
      </c>
      <c r="S1057" s="5">
        <f t="shared" si="67"/>
        <v>61924.983760152019</v>
      </c>
      <c r="T1057" cm="1">
        <f t="array" ref="T1057">IF(OR(B1057="MAL ALIMI", B1057="ÜRETİM GİRİŞ"), MIN(I1057, MAX(0, I1057 + SUM(SUMIFS($I$1:I1056, $C$1:C1056, C1057, $B$1:B1056, {"MAL ALIMI","ÜRETİM GİRİŞ"})) - VLOOKUP(C1057, 'STOK RAPORU'!$C$2:$I$1000, 4, 0))), 0)</f>
        <v>0</v>
      </c>
      <c r="U1057" s="22">
        <f t="shared" si="64"/>
        <v>0</v>
      </c>
      <c r="V1057">
        <f t="shared" si="65"/>
        <v>0</v>
      </c>
      <c r="W1057" s="22">
        <f t="shared" si="66"/>
        <v>0</v>
      </c>
    </row>
    <row r="1058" spans="1:23" hidden="1" x14ac:dyDescent="0.25">
      <c r="A1058" s="3">
        <v>45975</v>
      </c>
      <c r="B1058" s="4" t="s">
        <v>334</v>
      </c>
      <c r="C1058" s="4" t="s">
        <v>463</v>
      </c>
      <c r="D1058" s="4"/>
      <c r="E1058" s="4" t="s">
        <v>921</v>
      </c>
      <c r="F1058" s="4" t="s">
        <v>732</v>
      </c>
      <c r="G1058" s="4" t="s">
        <v>336</v>
      </c>
      <c r="H1058" s="4" t="s">
        <v>380</v>
      </c>
      <c r="I1058" s="4">
        <v>0.21199999999999999</v>
      </c>
      <c r="J1058" s="21">
        <v>370</v>
      </c>
      <c r="K1058" s="21">
        <v>78.44</v>
      </c>
      <c r="L1058" s="5">
        <v>0</v>
      </c>
      <c r="M1058" s="4">
        <v>0.21199999999999999</v>
      </c>
      <c r="N1058" s="4"/>
      <c r="O1058" s="5">
        <v>370</v>
      </c>
      <c r="P1058" s="5"/>
      <c r="Q1058" s="21">
        <v>0</v>
      </c>
      <c r="R1058" s="21">
        <v>0</v>
      </c>
      <c r="S1058" s="5">
        <f t="shared" si="67"/>
        <v>61924.983760152019</v>
      </c>
      <c r="T1058" cm="1">
        <f t="array" ref="T1058">IF(OR(B1058="MAL ALIMI", B1058="ÜRETİM GİRİŞ"), MIN(I1058, MAX(0, I1058 + SUM(SUMIFS($I$1:I1057, $C$1:C1057, C1058, $B$1:B1057, {"MAL ALIMI","ÜRETİM GİRİŞ"})) - VLOOKUP(C1058, 'STOK RAPORU'!$C$2:$I$1000, 4, 0))), 0)</f>
        <v>0</v>
      </c>
      <c r="U1058" s="22">
        <f t="shared" si="64"/>
        <v>0</v>
      </c>
      <c r="V1058">
        <f t="shared" si="65"/>
        <v>0</v>
      </c>
      <c r="W1058" s="22">
        <f t="shared" si="66"/>
        <v>0</v>
      </c>
    </row>
    <row r="1059" spans="1:23" hidden="1" x14ac:dyDescent="0.25">
      <c r="A1059" s="3">
        <v>45975</v>
      </c>
      <c r="B1059" s="4" t="s">
        <v>334</v>
      </c>
      <c r="C1059" s="4" t="s">
        <v>133</v>
      </c>
      <c r="D1059" s="4"/>
      <c r="E1059" s="4" t="s">
        <v>921</v>
      </c>
      <c r="F1059" s="4" t="s">
        <v>732</v>
      </c>
      <c r="G1059" s="4" t="s">
        <v>336</v>
      </c>
      <c r="H1059" s="4" t="s">
        <v>380</v>
      </c>
      <c r="I1059" s="4">
        <v>0.17799999999999999</v>
      </c>
      <c r="J1059" s="21">
        <v>380</v>
      </c>
      <c r="K1059" s="21">
        <v>67.64</v>
      </c>
      <c r="L1059" s="5">
        <v>0</v>
      </c>
      <c r="M1059" s="4">
        <v>0.17799999999999999</v>
      </c>
      <c r="N1059" s="4"/>
      <c r="O1059" s="5">
        <v>380</v>
      </c>
      <c r="P1059" s="5"/>
      <c r="Q1059" s="21">
        <v>0</v>
      </c>
      <c r="R1059" s="21">
        <v>0</v>
      </c>
      <c r="S1059" s="5">
        <f t="shared" si="67"/>
        <v>61924.983760152019</v>
      </c>
      <c r="T1059" cm="1">
        <f t="array" ref="T1059">IF(OR(B1059="MAL ALIMI", B1059="ÜRETİM GİRİŞ"), MIN(I1059, MAX(0, I1059 + SUM(SUMIFS($I$1:I1058, $C$1:C1058, C1059, $B$1:B1058, {"MAL ALIMI","ÜRETİM GİRİŞ"})) - VLOOKUP(C1059, 'STOK RAPORU'!$C$2:$I$1000, 4, 0))), 0)</f>
        <v>0</v>
      </c>
      <c r="U1059" s="22">
        <f t="shared" si="64"/>
        <v>0</v>
      </c>
      <c r="V1059">
        <f t="shared" si="65"/>
        <v>0</v>
      </c>
      <c r="W1059" s="22">
        <f t="shared" si="66"/>
        <v>0</v>
      </c>
    </row>
    <row r="1060" spans="1:23" hidden="1" x14ac:dyDescent="0.25">
      <c r="A1060" s="3">
        <v>45975</v>
      </c>
      <c r="B1060" s="4" t="s">
        <v>334</v>
      </c>
      <c r="C1060" s="4" t="s">
        <v>218</v>
      </c>
      <c r="D1060" s="4"/>
      <c r="E1060" s="4"/>
      <c r="F1060" s="4" t="s">
        <v>733</v>
      </c>
      <c r="G1060" s="4" t="s">
        <v>336</v>
      </c>
      <c r="H1060" s="4" t="s">
        <v>289</v>
      </c>
      <c r="I1060" s="4">
        <v>1</v>
      </c>
      <c r="J1060" s="21">
        <v>295</v>
      </c>
      <c r="K1060" s="21">
        <v>0</v>
      </c>
      <c r="L1060" s="5">
        <v>0</v>
      </c>
      <c r="M1060" s="4">
        <v>1</v>
      </c>
      <c r="N1060" s="4"/>
      <c r="O1060" s="5">
        <v>295</v>
      </c>
      <c r="P1060" s="5"/>
      <c r="Q1060" s="21">
        <v>295</v>
      </c>
      <c r="R1060" s="21">
        <v>0</v>
      </c>
      <c r="S1060" s="5">
        <f t="shared" si="67"/>
        <v>62219.983760152019</v>
      </c>
      <c r="T1060" cm="1">
        <f t="array" ref="T1060">IF(OR(B1060="MAL ALIMI", B1060="ÜRETİM GİRİŞ"), MIN(I1060, MAX(0, I1060 + SUM(SUMIFS($I$1:I1059, $C$1:C1059, C1060, $B$1:B1059, {"MAL ALIMI","ÜRETİM GİRİŞ"})) - VLOOKUP(C1060, 'STOK RAPORU'!$C$2:$I$1000, 4, 0))), 0)</f>
        <v>0</v>
      </c>
      <c r="U1060" s="22">
        <f t="shared" si="64"/>
        <v>0</v>
      </c>
      <c r="V1060">
        <f t="shared" si="65"/>
        <v>0</v>
      </c>
      <c r="W1060" s="22">
        <f t="shared" si="66"/>
        <v>0</v>
      </c>
    </row>
    <row r="1061" spans="1:23" hidden="1" x14ac:dyDescent="0.25">
      <c r="A1061" s="3">
        <v>45975</v>
      </c>
      <c r="B1061" s="4" t="s">
        <v>334</v>
      </c>
      <c r="C1061" s="4" t="s">
        <v>96</v>
      </c>
      <c r="D1061" s="4"/>
      <c r="E1061" s="4" t="s">
        <v>921</v>
      </c>
      <c r="F1061" s="4" t="s">
        <v>733</v>
      </c>
      <c r="G1061" s="4" t="s">
        <v>336</v>
      </c>
      <c r="H1061" s="4" t="s">
        <v>380</v>
      </c>
      <c r="I1061" s="4">
        <v>8.5000000000000006E-2</v>
      </c>
      <c r="J1061" s="21">
        <v>380</v>
      </c>
      <c r="K1061" s="21">
        <v>32.300000000000004</v>
      </c>
      <c r="L1061" s="5">
        <v>0</v>
      </c>
      <c r="M1061" s="4">
        <v>8.5000000000000006E-2</v>
      </c>
      <c r="N1061" s="4"/>
      <c r="O1061" s="5">
        <v>380</v>
      </c>
      <c r="P1061" s="5"/>
      <c r="Q1061" s="21">
        <v>0</v>
      </c>
      <c r="R1061" s="21">
        <v>0</v>
      </c>
      <c r="S1061" s="5">
        <f t="shared" si="67"/>
        <v>62219.983760152019</v>
      </c>
      <c r="T1061" cm="1">
        <f t="array" ref="T1061">IF(OR(B1061="MAL ALIMI", B1061="ÜRETİM GİRİŞ"), MIN(I1061, MAX(0, I1061 + SUM(SUMIFS($I$1:I1060, $C$1:C1060, C1061, $B$1:B1060, {"MAL ALIMI","ÜRETİM GİRİŞ"})) - VLOOKUP(C1061, 'STOK RAPORU'!$C$2:$I$1000, 4, 0))), 0)</f>
        <v>0</v>
      </c>
      <c r="U1061" s="22">
        <f t="shared" si="64"/>
        <v>0</v>
      </c>
      <c r="V1061">
        <f t="shared" si="65"/>
        <v>0</v>
      </c>
      <c r="W1061" s="22">
        <f t="shared" si="66"/>
        <v>0</v>
      </c>
    </row>
    <row r="1062" spans="1:23" hidden="1" x14ac:dyDescent="0.25">
      <c r="A1062" s="3">
        <v>45975</v>
      </c>
      <c r="B1062" s="4" t="s">
        <v>334</v>
      </c>
      <c r="C1062" s="4" t="s">
        <v>517</v>
      </c>
      <c r="D1062" s="4"/>
      <c r="E1062" s="4"/>
      <c r="F1062" s="4" t="s">
        <v>734</v>
      </c>
      <c r="G1062" s="4" t="s">
        <v>336</v>
      </c>
      <c r="H1062" s="4" t="s">
        <v>289</v>
      </c>
      <c r="I1062" s="4">
        <v>1</v>
      </c>
      <c r="J1062" s="21">
        <v>190</v>
      </c>
      <c r="K1062" s="21">
        <v>0</v>
      </c>
      <c r="L1062" s="5">
        <v>0</v>
      </c>
      <c r="M1062" s="4">
        <v>1</v>
      </c>
      <c r="N1062" s="4"/>
      <c r="O1062" s="5">
        <v>190</v>
      </c>
      <c r="P1062" s="5"/>
      <c r="Q1062" s="21">
        <v>190</v>
      </c>
      <c r="R1062" s="21">
        <v>0</v>
      </c>
      <c r="S1062" s="5">
        <f t="shared" si="67"/>
        <v>62409.983760152019</v>
      </c>
      <c r="T1062" cm="1">
        <f t="array" ref="T1062">IF(OR(B1062="MAL ALIMI", B1062="ÜRETİM GİRİŞ"), MIN(I1062, MAX(0, I1062 + SUM(SUMIFS($I$1:I1061, $C$1:C1061, C1062, $B$1:B1061, {"MAL ALIMI","ÜRETİM GİRİŞ"})) - VLOOKUP(C1062, 'STOK RAPORU'!$C$2:$I$1000, 4, 0))), 0)</f>
        <v>0</v>
      </c>
      <c r="U1062" s="22">
        <f t="shared" si="64"/>
        <v>0</v>
      </c>
      <c r="V1062">
        <f t="shared" si="65"/>
        <v>0</v>
      </c>
      <c r="W1062" s="22">
        <f t="shared" si="66"/>
        <v>0</v>
      </c>
    </row>
    <row r="1063" spans="1:23" hidden="1" x14ac:dyDescent="0.25">
      <c r="A1063" s="3">
        <v>45975</v>
      </c>
      <c r="B1063" s="4" t="s">
        <v>334</v>
      </c>
      <c r="C1063" s="4" t="s">
        <v>129</v>
      </c>
      <c r="D1063" s="4"/>
      <c r="E1063" s="4"/>
      <c r="F1063" s="4" t="s">
        <v>734</v>
      </c>
      <c r="G1063" s="4" t="s">
        <v>336</v>
      </c>
      <c r="H1063" s="4" t="s">
        <v>289</v>
      </c>
      <c r="I1063" s="4">
        <v>0.13</v>
      </c>
      <c r="J1063" s="21">
        <v>390</v>
      </c>
      <c r="K1063" s="21">
        <v>0</v>
      </c>
      <c r="L1063" s="5">
        <v>0</v>
      </c>
      <c r="M1063" s="4">
        <v>0.13</v>
      </c>
      <c r="N1063" s="4"/>
      <c r="O1063" s="5">
        <v>390</v>
      </c>
      <c r="P1063" s="5"/>
      <c r="Q1063" s="21">
        <v>50.7</v>
      </c>
      <c r="R1063" s="21">
        <v>0</v>
      </c>
      <c r="S1063" s="5">
        <f t="shared" si="67"/>
        <v>62460.683760152016</v>
      </c>
      <c r="T1063" cm="1">
        <f t="array" ref="T1063">IF(OR(B1063="MAL ALIMI", B1063="ÜRETİM GİRİŞ"), MIN(I1063, MAX(0, I1063 + SUM(SUMIFS($I$1:I1062, $C$1:C1062, C1063, $B$1:B1062, {"MAL ALIMI","ÜRETİM GİRİŞ"})) - VLOOKUP(C1063, 'STOK RAPORU'!$C$2:$I$1000, 4, 0))), 0)</f>
        <v>0</v>
      </c>
      <c r="U1063" s="22">
        <f t="shared" si="64"/>
        <v>0</v>
      </c>
      <c r="V1063">
        <f t="shared" si="65"/>
        <v>0</v>
      </c>
      <c r="W1063" s="22">
        <f t="shared" si="66"/>
        <v>0</v>
      </c>
    </row>
    <row r="1064" spans="1:23" hidden="1" x14ac:dyDescent="0.25">
      <c r="A1064" s="3">
        <v>45975</v>
      </c>
      <c r="B1064" s="4" t="s">
        <v>334</v>
      </c>
      <c r="C1064" s="4" t="s">
        <v>162</v>
      </c>
      <c r="D1064" s="4"/>
      <c r="E1064" s="4"/>
      <c r="F1064" s="4" t="s">
        <v>734</v>
      </c>
      <c r="G1064" s="4" t="s">
        <v>336</v>
      </c>
      <c r="H1064" s="4" t="s">
        <v>289</v>
      </c>
      <c r="I1064" s="4">
        <v>1</v>
      </c>
      <c r="J1064" s="21">
        <v>260</v>
      </c>
      <c r="K1064" s="21">
        <v>0</v>
      </c>
      <c r="L1064" s="5">
        <v>0</v>
      </c>
      <c r="M1064" s="4">
        <v>1</v>
      </c>
      <c r="N1064" s="4"/>
      <c r="O1064" s="5">
        <v>260</v>
      </c>
      <c r="P1064" s="5"/>
      <c r="Q1064" s="21">
        <v>260</v>
      </c>
      <c r="R1064" s="21">
        <v>0</v>
      </c>
      <c r="S1064" s="5">
        <f t="shared" si="67"/>
        <v>62720.683760152016</v>
      </c>
      <c r="T1064" cm="1">
        <f t="array" ref="T1064">IF(OR(B1064="MAL ALIMI", B1064="ÜRETİM GİRİŞ"), MIN(I1064, MAX(0, I1064 + SUM(SUMIFS($I$1:I1063, $C$1:C1063, C1064, $B$1:B1063, {"MAL ALIMI","ÜRETİM GİRİŞ"})) - VLOOKUP(C1064, 'STOK RAPORU'!$C$2:$I$1000, 4, 0))), 0)</f>
        <v>0</v>
      </c>
      <c r="U1064" s="22">
        <f t="shared" si="64"/>
        <v>0</v>
      </c>
      <c r="V1064">
        <f t="shared" si="65"/>
        <v>0</v>
      </c>
      <c r="W1064" s="22">
        <f t="shared" si="66"/>
        <v>0</v>
      </c>
    </row>
    <row r="1065" spans="1:23" hidden="1" x14ac:dyDescent="0.25">
      <c r="A1065" s="3">
        <v>45975</v>
      </c>
      <c r="B1065" s="4" t="s">
        <v>334</v>
      </c>
      <c r="C1065" s="4" t="s">
        <v>193</v>
      </c>
      <c r="D1065" s="4"/>
      <c r="E1065" s="4"/>
      <c r="F1065" s="4" t="s">
        <v>734</v>
      </c>
      <c r="G1065" s="4" t="s">
        <v>336</v>
      </c>
      <c r="H1065" s="4" t="s">
        <v>289</v>
      </c>
      <c r="I1065" s="4">
        <v>0.14299999999999999</v>
      </c>
      <c r="J1065" s="21">
        <v>1400</v>
      </c>
      <c r="K1065" s="21">
        <v>0</v>
      </c>
      <c r="L1065" s="5">
        <v>0</v>
      </c>
      <c r="M1065" s="4">
        <v>0.14299999999999999</v>
      </c>
      <c r="N1065" s="4"/>
      <c r="O1065" s="5">
        <v>1400</v>
      </c>
      <c r="P1065" s="5"/>
      <c r="Q1065" s="21">
        <v>200.2</v>
      </c>
      <c r="R1065" s="21">
        <v>0</v>
      </c>
      <c r="S1065" s="5">
        <f t="shared" si="67"/>
        <v>62920.883760152014</v>
      </c>
      <c r="T1065" cm="1">
        <f t="array" ref="T1065">IF(OR(B1065="MAL ALIMI", B1065="ÜRETİM GİRİŞ"), MIN(I1065, MAX(0, I1065 + SUM(SUMIFS($I$1:I1064, $C$1:C1064, C1065, $B$1:B1064, {"MAL ALIMI","ÜRETİM GİRİŞ"})) - VLOOKUP(C1065, 'STOK RAPORU'!$C$2:$I$1000, 4, 0))), 0)</f>
        <v>0</v>
      </c>
      <c r="U1065" s="22">
        <f t="shared" si="64"/>
        <v>0</v>
      </c>
      <c r="V1065">
        <f t="shared" si="65"/>
        <v>0</v>
      </c>
      <c r="W1065" s="22">
        <f t="shared" si="66"/>
        <v>0</v>
      </c>
    </row>
    <row r="1066" spans="1:23" hidden="1" x14ac:dyDescent="0.25">
      <c r="A1066" s="3">
        <v>45975</v>
      </c>
      <c r="B1066" s="4" t="s">
        <v>334</v>
      </c>
      <c r="C1066" s="4" t="s">
        <v>168</v>
      </c>
      <c r="D1066" s="4"/>
      <c r="E1066" s="4" t="s">
        <v>921</v>
      </c>
      <c r="F1066" s="4" t="s">
        <v>735</v>
      </c>
      <c r="G1066" s="4" t="s">
        <v>336</v>
      </c>
      <c r="H1066" s="4" t="s">
        <v>380</v>
      </c>
      <c r="I1066" s="4">
        <v>1</v>
      </c>
      <c r="J1066" s="21">
        <v>200</v>
      </c>
      <c r="K1066" s="21">
        <v>200</v>
      </c>
      <c r="L1066" s="5">
        <v>0</v>
      </c>
      <c r="M1066" s="4">
        <v>1</v>
      </c>
      <c r="N1066" s="4"/>
      <c r="O1066" s="5">
        <v>200</v>
      </c>
      <c r="P1066" s="5"/>
      <c r="Q1066" s="21">
        <v>0</v>
      </c>
      <c r="R1066" s="21">
        <v>0</v>
      </c>
      <c r="S1066" s="5">
        <f t="shared" si="67"/>
        <v>62920.883760152014</v>
      </c>
      <c r="T1066" cm="1">
        <f t="array" ref="T1066">IF(OR(B1066="MAL ALIMI", B1066="ÜRETİM GİRİŞ"), MIN(I1066, MAX(0, I1066 + SUM(SUMIFS($I$1:I1065, $C$1:C1065, C1066, $B$1:B1065, {"MAL ALIMI","ÜRETİM GİRİŞ"})) - VLOOKUP(C1066, 'STOK RAPORU'!$C$2:$I$1000, 4, 0))), 0)</f>
        <v>0</v>
      </c>
      <c r="U1066" s="22">
        <f t="shared" si="64"/>
        <v>0</v>
      </c>
      <c r="V1066">
        <f t="shared" si="65"/>
        <v>0</v>
      </c>
      <c r="W1066" s="22">
        <f t="shared" si="66"/>
        <v>0</v>
      </c>
    </row>
    <row r="1067" spans="1:23" hidden="1" x14ac:dyDescent="0.25">
      <c r="A1067" s="3">
        <v>45975</v>
      </c>
      <c r="B1067" s="4" t="s">
        <v>334</v>
      </c>
      <c r="C1067" s="4" t="s">
        <v>242</v>
      </c>
      <c r="D1067" s="4"/>
      <c r="E1067" s="4"/>
      <c r="F1067" s="4" t="s">
        <v>736</v>
      </c>
      <c r="G1067" s="4" t="s">
        <v>336</v>
      </c>
      <c r="H1067" s="4" t="s">
        <v>289</v>
      </c>
      <c r="I1067" s="4">
        <v>0.28999999999999998</v>
      </c>
      <c r="J1067" s="21">
        <v>350</v>
      </c>
      <c r="K1067" s="21">
        <v>0</v>
      </c>
      <c r="L1067" s="5">
        <v>0</v>
      </c>
      <c r="M1067" s="4">
        <v>0.28999999999999998</v>
      </c>
      <c r="N1067" s="4"/>
      <c r="O1067" s="5">
        <v>350</v>
      </c>
      <c r="P1067" s="5"/>
      <c r="Q1067" s="21">
        <v>101.5</v>
      </c>
      <c r="R1067" s="21">
        <v>0</v>
      </c>
      <c r="S1067" s="5">
        <f t="shared" si="67"/>
        <v>63022.383760152014</v>
      </c>
      <c r="T1067" cm="1">
        <f t="array" ref="T1067">IF(OR(B1067="MAL ALIMI", B1067="ÜRETİM GİRİŞ"), MIN(I1067, MAX(0, I1067 + SUM(SUMIFS($I$1:I1066, $C$1:C1066, C1067, $B$1:B1066, {"MAL ALIMI","ÜRETİM GİRİŞ"})) - VLOOKUP(C1067, 'STOK RAPORU'!$C$2:$I$1000, 4, 0))), 0)</f>
        <v>0</v>
      </c>
      <c r="U1067" s="22">
        <f t="shared" si="64"/>
        <v>0</v>
      </c>
      <c r="V1067">
        <f t="shared" si="65"/>
        <v>0</v>
      </c>
      <c r="W1067" s="22">
        <f t="shared" si="66"/>
        <v>0</v>
      </c>
    </row>
    <row r="1068" spans="1:23" hidden="1" x14ac:dyDescent="0.25">
      <c r="A1068" s="3">
        <v>45975</v>
      </c>
      <c r="B1068" s="4" t="s">
        <v>334</v>
      </c>
      <c r="C1068" s="4" t="s">
        <v>225</v>
      </c>
      <c r="D1068" s="4"/>
      <c r="E1068" s="4"/>
      <c r="F1068" s="4" t="s">
        <v>736</v>
      </c>
      <c r="G1068" s="4" t="s">
        <v>336</v>
      </c>
      <c r="H1068" s="4" t="s">
        <v>289</v>
      </c>
      <c r="I1068" s="4">
        <v>0.26</v>
      </c>
      <c r="J1068" s="21">
        <v>650</v>
      </c>
      <c r="K1068" s="21">
        <v>0</v>
      </c>
      <c r="L1068" s="5">
        <v>0</v>
      </c>
      <c r="M1068" s="4">
        <v>0.26</v>
      </c>
      <c r="N1068" s="4"/>
      <c r="O1068" s="5">
        <v>650</v>
      </c>
      <c r="P1068" s="5"/>
      <c r="Q1068" s="21">
        <v>169</v>
      </c>
      <c r="R1068" s="21">
        <v>0</v>
      </c>
      <c r="S1068" s="5">
        <f t="shared" si="67"/>
        <v>63191.383760152014</v>
      </c>
      <c r="T1068" cm="1">
        <f t="array" ref="T1068">IF(OR(B1068="MAL ALIMI", B1068="ÜRETİM GİRİŞ"), MIN(I1068, MAX(0, I1068 + SUM(SUMIFS($I$1:I1067, $C$1:C1067, C1068, $B$1:B1067, {"MAL ALIMI","ÜRETİM GİRİŞ"})) - VLOOKUP(C1068, 'STOK RAPORU'!$C$2:$I$1000, 4, 0))), 0)</f>
        <v>0</v>
      </c>
      <c r="U1068" s="22">
        <f t="shared" si="64"/>
        <v>0</v>
      </c>
      <c r="V1068">
        <f t="shared" si="65"/>
        <v>0</v>
      </c>
      <c r="W1068" s="22">
        <f t="shared" si="66"/>
        <v>0</v>
      </c>
    </row>
    <row r="1069" spans="1:23" hidden="1" x14ac:dyDescent="0.25">
      <c r="A1069" s="3">
        <v>45975</v>
      </c>
      <c r="B1069" s="4" t="s">
        <v>334</v>
      </c>
      <c r="C1069" s="4" t="s">
        <v>634</v>
      </c>
      <c r="D1069" s="4"/>
      <c r="E1069" s="4" t="s">
        <v>921</v>
      </c>
      <c r="F1069" s="4" t="s">
        <v>737</v>
      </c>
      <c r="G1069" s="4" t="s">
        <v>336</v>
      </c>
      <c r="H1069" s="4" t="s">
        <v>380</v>
      </c>
      <c r="I1069" s="4">
        <v>0.23599999999999999</v>
      </c>
      <c r="J1069" s="21">
        <v>850</v>
      </c>
      <c r="K1069" s="21">
        <v>200.6</v>
      </c>
      <c r="L1069" s="5">
        <v>0</v>
      </c>
      <c r="M1069" s="4">
        <v>1</v>
      </c>
      <c r="N1069" s="4"/>
      <c r="O1069" s="5">
        <v>200</v>
      </c>
      <c r="P1069" s="5"/>
      <c r="Q1069" s="21">
        <v>0</v>
      </c>
      <c r="R1069" s="21">
        <v>0</v>
      </c>
      <c r="S1069" s="5">
        <f t="shared" si="67"/>
        <v>63191.383760152014</v>
      </c>
      <c r="T1069" cm="1">
        <f t="array" ref="T1069">IF(OR(B1069="MAL ALIMI", B1069="ÜRETİM GİRİŞ"), MIN(I1069, MAX(0, I1069 + SUM(SUMIFS($I$1:I1068, $C$1:C1068, C1069, $B$1:B1068, {"MAL ALIMI","ÜRETİM GİRİŞ"})) - VLOOKUP(C1069, 'STOK RAPORU'!$C$2:$I$1000, 4, 0))), 0)</f>
        <v>0</v>
      </c>
      <c r="U1069" s="22">
        <f t="shared" si="64"/>
        <v>0</v>
      </c>
      <c r="V1069">
        <f t="shared" si="65"/>
        <v>0</v>
      </c>
      <c r="W1069" s="22">
        <f t="shared" si="66"/>
        <v>0</v>
      </c>
    </row>
    <row r="1070" spans="1:23" hidden="1" x14ac:dyDescent="0.25">
      <c r="A1070" s="3">
        <v>45976</v>
      </c>
      <c r="B1070" s="4" t="s">
        <v>298</v>
      </c>
      <c r="C1070" s="4" t="s">
        <v>178</v>
      </c>
      <c r="D1070" s="4"/>
      <c r="E1070" s="4" t="s">
        <v>856</v>
      </c>
      <c r="F1070" s="4" t="s">
        <v>778</v>
      </c>
      <c r="G1070" s="4" t="s">
        <v>792</v>
      </c>
      <c r="H1070" s="4" t="s">
        <v>1329</v>
      </c>
      <c r="I1070" s="4">
        <v>15</v>
      </c>
      <c r="J1070" s="21">
        <v>44.5</v>
      </c>
      <c r="K1070" s="21">
        <v>0</v>
      </c>
      <c r="L1070" s="5">
        <v>667.5</v>
      </c>
      <c r="M1070" s="4"/>
      <c r="N1070" s="4">
        <v>15</v>
      </c>
      <c r="O1070" s="5"/>
      <c r="P1070" s="5">
        <v>44.5</v>
      </c>
      <c r="Q1070" s="21">
        <v>0</v>
      </c>
      <c r="R1070" s="21">
        <v>0</v>
      </c>
      <c r="S1070" s="5">
        <f t="shared" si="67"/>
        <v>63191.383760152014</v>
      </c>
      <c r="T1070" cm="1">
        <f t="array" ref="T1070">IF(OR(B1070="MAL ALIMI", B1070="ÜRETİM GİRİŞ"), MIN(I1070, MAX(0, I1070 + SUM(SUMIFS($I$1:I1069, $C$1:C1069, C1070, $B$1:B1069, {"MAL ALIMI","ÜRETİM GİRİŞ"})) - VLOOKUP(C1070, 'STOK RAPORU'!$C$2:$I$1000, 4, 0))), 0)</f>
        <v>15</v>
      </c>
      <c r="U1070" s="22">
        <f t="shared" si="64"/>
        <v>667.5</v>
      </c>
      <c r="V1070">
        <f t="shared" si="65"/>
        <v>667.5</v>
      </c>
      <c r="W1070" s="22">
        <f t="shared" si="66"/>
        <v>0</v>
      </c>
    </row>
    <row r="1071" spans="1:23" hidden="1" x14ac:dyDescent="0.25">
      <c r="A1071" s="3">
        <v>45976</v>
      </c>
      <c r="B1071" s="4" t="s">
        <v>298</v>
      </c>
      <c r="C1071" s="4" t="s">
        <v>764</v>
      </c>
      <c r="D1071" s="4"/>
      <c r="E1071" s="4" t="s">
        <v>856</v>
      </c>
      <c r="F1071" s="4" t="s">
        <v>779</v>
      </c>
      <c r="G1071" s="4" t="s">
        <v>793</v>
      </c>
      <c r="H1071" s="4" t="s">
        <v>1329</v>
      </c>
      <c r="I1071" s="4">
        <v>5</v>
      </c>
      <c r="J1071" s="21">
        <v>79.5</v>
      </c>
      <c r="K1071" s="21">
        <v>0</v>
      </c>
      <c r="L1071" s="5">
        <v>397.5</v>
      </c>
      <c r="M1071" s="4"/>
      <c r="N1071" s="4">
        <v>5</v>
      </c>
      <c r="O1071" s="5"/>
      <c r="P1071" s="5">
        <v>79.5</v>
      </c>
      <c r="Q1071" s="21">
        <v>0</v>
      </c>
      <c r="R1071" s="21">
        <v>0</v>
      </c>
      <c r="S1071" s="5">
        <f t="shared" si="67"/>
        <v>63191.383760152014</v>
      </c>
      <c r="T1071" cm="1">
        <f t="array" ref="T1071">IF(OR(B1071="MAL ALIMI", B1071="ÜRETİM GİRİŞ"), MIN(I1071, MAX(0, I1071 + SUM(SUMIFS($I$1:I1070, $C$1:C1070, C1071, $B$1:B1070, {"MAL ALIMI","ÜRETİM GİRİŞ"})) - VLOOKUP(C1071, 'STOK RAPORU'!$C$2:$I$1000, 4, 0))), 0)</f>
        <v>0</v>
      </c>
      <c r="U1071" s="22">
        <f t="shared" si="64"/>
        <v>0</v>
      </c>
      <c r="V1071">
        <f t="shared" si="65"/>
        <v>397.5</v>
      </c>
      <c r="W1071" s="22">
        <f t="shared" si="66"/>
        <v>397.5</v>
      </c>
    </row>
    <row r="1072" spans="1:23" hidden="1" x14ac:dyDescent="0.25">
      <c r="A1072" s="3">
        <v>45976</v>
      </c>
      <c r="B1072" s="4" t="s">
        <v>334</v>
      </c>
      <c r="C1072" s="4" t="s">
        <v>131</v>
      </c>
      <c r="D1072" s="4"/>
      <c r="E1072" s="4"/>
      <c r="F1072" s="4" t="s">
        <v>780</v>
      </c>
      <c r="G1072" s="4" t="s">
        <v>336</v>
      </c>
      <c r="H1072" s="4" t="s">
        <v>289</v>
      </c>
      <c r="I1072" s="4">
        <v>0.05</v>
      </c>
      <c r="J1072" s="21">
        <v>400</v>
      </c>
      <c r="K1072" s="21">
        <v>0</v>
      </c>
      <c r="L1072" s="5">
        <v>0</v>
      </c>
      <c r="M1072" s="4">
        <v>0.05</v>
      </c>
      <c r="N1072" s="4"/>
      <c r="O1072" s="5">
        <v>400</v>
      </c>
      <c r="P1072" s="5"/>
      <c r="Q1072" s="21">
        <v>20</v>
      </c>
      <c r="R1072" s="21">
        <v>0</v>
      </c>
      <c r="S1072" s="5">
        <f t="shared" si="67"/>
        <v>63211.383760152014</v>
      </c>
      <c r="T1072" cm="1">
        <f t="array" ref="T1072">IF(OR(B1072="MAL ALIMI", B1072="ÜRETİM GİRİŞ"), MIN(I1072, MAX(0, I1072 + SUM(SUMIFS($I$1:I1071, $C$1:C1071, C1072, $B$1:B1071, {"MAL ALIMI","ÜRETİM GİRİŞ"})) - VLOOKUP(C1072, 'STOK RAPORU'!$C$2:$I$1000, 4, 0))), 0)</f>
        <v>0</v>
      </c>
      <c r="U1072" s="22">
        <f t="shared" si="64"/>
        <v>0</v>
      </c>
      <c r="V1072">
        <f t="shared" si="65"/>
        <v>0</v>
      </c>
      <c r="W1072" s="22">
        <f t="shared" si="66"/>
        <v>0</v>
      </c>
    </row>
    <row r="1073" spans="1:23" hidden="1" x14ac:dyDescent="0.25">
      <c r="A1073" s="3">
        <v>45976</v>
      </c>
      <c r="B1073" s="4" t="s">
        <v>334</v>
      </c>
      <c r="C1073" s="4" t="s">
        <v>91</v>
      </c>
      <c r="D1073" s="4"/>
      <c r="E1073" s="4"/>
      <c r="F1073" s="4" t="s">
        <v>780</v>
      </c>
      <c r="G1073" s="4" t="s">
        <v>336</v>
      </c>
      <c r="H1073" s="4" t="s">
        <v>289</v>
      </c>
      <c r="I1073" s="4">
        <v>2.7E-2</v>
      </c>
      <c r="J1073" s="21">
        <v>760</v>
      </c>
      <c r="K1073" s="21">
        <v>0</v>
      </c>
      <c r="L1073" s="5">
        <v>0</v>
      </c>
      <c r="M1073" s="4">
        <v>2.7E-2</v>
      </c>
      <c r="N1073" s="4"/>
      <c r="O1073" s="5">
        <v>760</v>
      </c>
      <c r="P1073" s="5"/>
      <c r="Q1073" s="21">
        <v>20.52</v>
      </c>
      <c r="R1073" s="21">
        <v>0</v>
      </c>
      <c r="S1073" s="5">
        <f t="shared" si="67"/>
        <v>63231.90376015201</v>
      </c>
      <c r="T1073" cm="1">
        <f t="array" ref="T1073">IF(OR(B1073="MAL ALIMI", B1073="ÜRETİM GİRİŞ"), MIN(I1073, MAX(0, I1073 + SUM(SUMIFS($I$1:I1072, $C$1:C1072, C1073, $B$1:B1072, {"MAL ALIMI","ÜRETİM GİRİŞ"})) - VLOOKUP(C1073, 'STOK RAPORU'!$C$2:$I$1000, 4, 0))), 0)</f>
        <v>0</v>
      </c>
      <c r="U1073" s="22">
        <f t="shared" si="64"/>
        <v>0</v>
      </c>
      <c r="V1073">
        <f t="shared" si="65"/>
        <v>0</v>
      </c>
      <c r="W1073" s="22">
        <f t="shared" si="66"/>
        <v>0</v>
      </c>
    </row>
    <row r="1074" spans="1:23" hidden="1" x14ac:dyDescent="0.25">
      <c r="A1074" s="3">
        <v>45976</v>
      </c>
      <c r="B1074" s="4" t="s">
        <v>334</v>
      </c>
      <c r="C1074" s="4" t="s">
        <v>3167</v>
      </c>
      <c r="D1074" s="4"/>
      <c r="E1074" s="4"/>
      <c r="F1074" s="4" t="s">
        <v>780</v>
      </c>
      <c r="G1074" s="4" t="s">
        <v>336</v>
      </c>
      <c r="H1074" s="4" t="s">
        <v>289</v>
      </c>
      <c r="I1074" s="4">
        <v>0.16300000000000001</v>
      </c>
      <c r="J1074" s="21">
        <v>370</v>
      </c>
      <c r="K1074" s="21">
        <v>0</v>
      </c>
      <c r="L1074" s="5">
        <v>0</v>
      </c>
      <c r="M1074" s="4">
        <v>0.16300000000000001</v>
      </c>
      <c r="N1074" s="4"/>
      <c r="O1074" s="5">
        <v>370</v>
      </c>
      <c r="P1074" s="5"/>
      <c r="Q1074" s="21">
        <v>60.31</v>
      </c>
      <c r="R1074" s="21">
        <v>0</v>
      </c>
      <c r="S1074" s="5">
        <f t="shared" si="67"/>
        <v>63292.213760152008</v>
      </c>
      <c r="T1074" cm="1">
        <f t="array" ref="T1074">IF(OR(B1074="MAL ALIMI", B1074="ÜRETİM GİRİŞ"), MIN(I1074, MAX(0, I1074 + SUM(SUMIFS($I$1:I1073, $C$1:C1073, C1074, $B$1:B1073, {"MAL ALIMI","ÜRETİM GİRİŞ"})) - VLOOKUP(C1074, 'STOK RAPORU'!$C$2:$I$1000, 4, 0))), 0)</f>
        <v>0</v>
      </c>
      <c r="U1074" s="22">
        <f t="shared" si="64"/>
        <v>0</v>
      </c>
      <c r="V1074">
        <f t="shared" si="65"/>
        <v>0</v>
      </c>
      <c r="W1074" s="22">
        <f t="shared" si="66"/>
        <v>0</v>
      </c>
    </row>
    <row r="1075" spans="1:23" hidden="1" x14ac:dyDescent="0.25">
      <c r="A1075" s="3">
        <v>45976</v>
      </c>
      <c r="B1075" s="4" t="s">
        <v>334</v>
      </c>
      <c r="C1075" s="4" t="s">
        <v>158</v>
      </c>
      <c r="D1075" s="4"/>
      <c r="E1075" s="4" t="s">
        <v>921</v>
      </c>
      <c r="F1075" s="4" t="s">
        <v>781</v>
      </c>
      <c r="G1075" s="4" t="s">
        <v>336</v>
      </c>
      <c r="H1075" s="4" t="s">
        <v>380</v>
      </c>
      <c r="I1075" s="4">
        <v>0.5</v>
      </c>
      <c r="J1075" s="21">
        <v>130</v>
      </c>
      <c r="K1075" s="21">
        <v>65</v>
      </c>
      <c r="L1075" s="5">
        <v>0</v>
      </c>
      <c r="M1075" s="4">
        <v>0.5</v>
      </c>
      <c r="N1075" s="4"/>
      <c r="O1075" s="5">
        <v>130</v>
      </c>
      <c r="P1075" s="5"/>
      <c r="Q1075" s="21">
        <v>0</v>
      </c>
      <c r="R1075" s="21">
        <v>0</v>
      </c>
      <c r="S1075" s="5">
        <f t="shared" si="67"/>
        <v>63292.213760152008</v>
      </c>
      <c r="T1075" cm="1">
        <f t="array" ref="T1075">IF(OR(B1075="MAL ALIMI", B1075="ÜRETİM GİRİŞ"), MIN(I1075, MAX(0, I1075 + SUM(SUMIFS($I$1:I1074, $C$1:C1074, C1075, $B$1:B1074, {"MAL ALIMI","ÜRETİM GİRİŞ"})) - VLOOKUP(C1075, 'STOK RAPORU'!$C$2:$I$1000, 4, 0))), 0)</f>
        <v>0</v>
      </c>
      <c r="U1075" s="22">
        <f t="shared" si="64"/>
        <v>0</v>
      </c>
      <c r="V1075">
        <f t="shared" si="65"/>
        <v>0</v>
      </c>
      <c r="W1075" s="22">
        <f t="shared" si="66"/>
        <v>0</v>
      </c>
    </row>
    <row r="1076" spans="1:23" hidden="1" x14ac:dyDescent="0.25">
      <c r="A1076" s="3">
        <v>45976</v>
      </c>
      <c r="B1076" s="4" t="s">
        <v>334</v>
      </c>
      <c r="C1076" s="4" t="s">
        <v>157</v>
      </c>
      <c r="D1076" s="4"/>
      <c r="E1076" s="4" t="s">
        <v>921</v>
      </c>
      <c r="F1076" s="4" t="s">
        <v>781</v>
      </c>
      <c r="G1076" s="4" t="s">
        <v>336</v>
      </c>
      <c r="H1076" s="4" t="s">
        <v>380</v>
      </c>
      <c r="I1076" s="4">
        <v>0.5</v>
      </c>
      <c r="J1076" s="21">
        <v>180</v>
      </c>
      <c r="K1076" s="21">
        <v>90</v>
      </c>
      <c r="L1076" s="5">
        <v>0</v>
      </c>
      <c r="M1076" s="4">
        <v>0.5</v>
      </c>
      <c r="N1076" s="4"/>
      <c r="O1076" s="5">
        <v>180</v>
      </c>
      <c r="P1076" s="5"/>
      <c r="Q1076" s="21">
        <v>0</v>
      </c>
      <c r="R1076" s="21">
        <v>0</v>
      </c>
      <c r="S1076" s="5">
        <f t="shared" si="67"/>
        <v>63292.213760152008</v>
      </c>
      <c r="T1076" cm="1">
        <f t="array" ref="T1076">IF(OR(B1076="MAL ALIMI", B1076="ÜRETİM GİRİŞ"), MIN(I1076, MAX(0, I1076 + SUM(SUMIFS($I$1:I1075, $C$1:C1075, C1076, $B$1:B1075, {"MAL ALIMI","ÜRETİM GİRİŞ"})) - VLOOKUP(C1076, 'STOK RAPORU'!$C$2:$I$1000, 4, 0))), 0)</f>
        <v>0</v>
      </c>
      <c r="U1076" s="22">
        <f t="shared" si="64"/>
        <v>0</v>
      </c>
      <c r="V1076">
        <f t="shared" si="65"/>
        <v>0</v>
      </c>
      <c r="W1076" s="22">
        <f t="shared" si="66"/>
        <v>0</v>
      </c>
    </row>
    <row r="1077" spans="1:23" hidden="1" x14ac:dyDescent="0.25">
      <c r="A1077" s="3">
        <v>45976</v>
      </c>
      <c r="B1077" s="4" t="s">
        <v>334</v>
      </c>
      <c r="C1077" s="4" t="s">
        <v>523</v>
      </c>
      <c r="D1077" s="4"/>
      <c r="E1077" s="4" t="s">
        <v>921</v>
      </c>
      <c r="F1077" s="4" t="s">
        <v>782</v>
      </c>
      <c r="G1077" s="4" t="s">
        <v>336</v>
      </c>
      <c r="H1077" s="4" t="s">
        <v>380</v>
      </c>
      <c r="I1077" s="4">
        <v>0.1</v>
      </c>
      <c r="J1077" s="21">
        <v>650</v>
      </c>
      <c r="K1077" s="21">
        <v>65</v>
      </c>
      <c r="L1077" s="5">
        <v>0</v>
      </c>
      <c r="M1077" s="4">
        <v>1</v>
      </c>
      <c r="N1077" s="4"/>
      <c r="O1077" s="5">
        <v>65</v>
      </c>
      <c r="P1077" s="5"/>
      <c r="Q1077" s="21">
        <v>0</v>
      </c>
      <c r="R1077" s="21">
        <v>0</v>
      </c>
      <c r="S1077" s="5">
        <f t="shared" si="67"/>
        <v>63292.213760152008</v>
      </c>
      <c r="T1077" cm="1">
        <f t="array" ref="T1077">IF(OR(B1077="MAL ALIMI", B1077="ÜRETİM GİRİŞ"), MIN(I1077, MAX(0, I1077 + SUM(SUMIFS($I$1:I1076, $C$1:C1076, C1077, $B$1:B1076, {"MAL ALIMI","ÜRETİM GİRİŞ"})) - VLOOKUP(C1077, 'STOK RAPORU'!$C$2:$I$1000, 4, 0))), 0)</f>
        <v>0</v>
      </c>
      <c r="U1077" s="22">
        <f t="shared" si="64"/>
        <v>0</v>
      </c>
      <c r="V1077">
        <f t="shared" si="65"/>
        <v>0</v>
      </c>
      <c r="W1077" s="22">
        <f t="shared" si="66"/>
        <v>0</v>
      </c>
    </row>
    <row r="1078" spans="1:23" hidden="1" x14ac:dyDescent="0.25">
      <c r="A1078" s="3">
        <v>45976</v>
      </c>
      <c r="B1078" s="4" t="s">
        <v>334</v>
      </c>
      <c r="C1078" s="4" t="s">
        <v>154</v>
      </c>
      <c r="D1078" s="4"/>
      <c r="E1078" s="4" t="s">
        <v>921</v>
      </c>
      <c r="F1078" s="4" t="s">
        <v>782</v>
      </c>
      <c r="G1078" s="4" t="s">
        <v>336</v>
      </c>
      <c r="H1078" s="4" t="s">
        <v>380</v>
      </c>
      <c r="I1078" s="4">
        <v>0.1</v>
      </c>
      <c r="J1078" s="21">
        <v>400</v>
      </c>
      <c r="K1078" s="21">
        <v>40</v>
      </c>
      <c r="L1078" s="5">
        <v>0</v>
      </c>
      <c r="M1078" s="4">
        <v>1</v>
      </c>
      <c r="N1078" s="4"/>
      <c r="O1078" s="5">
        <v>40</v>
      </c>
      <c r="P1078" s="5"/>
      <c r="Q1078" s="21">
        <v>0</v>
      </c>
      <c r="R1078" s="21">
        <v>0</v>
      </c>
      <c r="S1078" s="5">
        <f t="shared" si="67"/>
        <v>63292.213760152008</v>
      </c>
      <c r="T1078" cm="1">
        <f t="array" ref="T1078">IF(OR(B1078="MAL ALIMI", B1078="ÜRETİM GİRİŞ"), MIN(I1078, MAX(0, I1078 + SUM(SUMIFS($I$1:I1077, $C$1:C1077, C1078, $B$1:B1077, {"MAL ALIMI","ÜRETİM GİRİŞ"})) - VLOOKUP(C1078, 'STOK RAPORU'!$C$2:$I$1000, 4, 0))), 0)</f>
        <v>0</v>
      </c>
      <c r="U1078" s="22">
        <f t="shared" si="64"/>
        <v>0</v>
      </c>
      <c r="V1078">
        <f t="shared" si="65"/>
        <v>0</v>
      </c>
      <c r="W1078" s="22">
        <f t="shared" si="66"/>
        <v>0</v>
      </c>
    </row>
    <row r="1079" spans="1:23" hidden="1" x14ac:dyDescent="0.25">
      <c r="A1079" s="3">
        <v>45976</v>
      </c>
      <c r="B1079" s="4" t="s">
        <v>334</v>
      </c>
      <c r="C1079" s="4" t="s">
        <v>160</v>
      </c>
      <c r="D1079" s="4"/>
      <c r="E1079" s="4"/>
      <c r="F1079" s="4" t="s">
        <v>783</v>
      </c>
      <c r="G1079" s="4" t="s">
        <v>336</v>
      </c>
      <c r="H1079" s="4" t="s">
        <v>289</v>
      </c>
      <c r="I1079" s="4">
        <v>1</v>
      </c>
      <c r="J1079" s="21">
        <v>135</v>
      </c>
      <c r="K1079" s="21">
        <v>0</v>
      </c>
      <c r="L1079" s="5">
        <v>0</v>
      </c>
      <c r="M1079" s="4">
        <v>1</v>
      </c>
      <c r="N1079" s="4"/>
      <c r="O1079" s="5">
        <v>135</v>
      </c>
      <c r="P1079" s="5"/>
      <c r="Q1079" s="21">
        <v>135</v>
      </c>
      <c r="R1079" s="21">
        <v>0</v>
      </c>
      <c r="S1079" s="5">
        <f t="shared" si="67"/>
        <v>63427.213760152008</v>
      </c>
      <c r="T1079" cm="1">
        <f t="array" ref="T1079">IF(OR(B1079="MAL ALIMI", B1079="ÜRETİM GİRİŞ"), MIN(I1079, MAX(0, I1079 + SUM(SUMIFS($I$1:I1078, $C$1:C1078, C1079, $B$1:B1078, {"MAL ALIMI","ÜRETİM GİRİŞ"})) - VLOOKUP(C1079, 'STOK RAPORU'!$C$2:$I$1000, 4, 0))), 0)</f>
        <v>0</v>
      </c>
      <c r="U1079" s="22">
        <f t="shared" si="64"/>
        <v>0</v>
      </c>
      <c r="V1079">
        <f t="shared" si="65"/>
        <v>0</v>
      </c>
      <c r="W1079" s="22">
        <f t="shared" si="66"/>
        <v>0</v>
      </c>
    </row>
    <row r="1080" spans="1:23" hidden="1" x14ac:dyDescent="0.25">
      <c r="A1080" s="3">
        <v>45976</v>
      </c>
      <c r="B1080" s="4" t="s">
        <v>334</v>
      </c>
      <c r="C1080" s="4" t="s">
        <v>158</v>
      </c>
      <c r="D1080" s="4"/>
      <c r="E1080" s="4"/>
      <c r="F1080" s="4" t="s">
        <v>784</v>
      </c>
      <c r="G1080" s="4" t="s">
        <v>336</v>
      </c>
      <c r="H1080" s="4" t="s">
        <v>289</v>
      </c>
      <c r="I1080" s="4">
        <v>1</v>
      </c>
      <c r="J1080" s="21">
        <v>130</v>
      </c>
      <c r="K1080" s="21">
        <v>0</v>
      </c>
      <c r="L1080" s="5">
        <v>0</v>
      </c>
      <c r="M1080" s="4">
        <v>1</v>
      </c>
      <c r="N1080" s="4"/>
      <c r="O1080" s="5">
        <v>130</v>
      </c>
      <c r="P1080" s="5"/>
      <c r="Q1080" s="21">
        <v>130</v>
      </c>
      <c r="R1080" s="21">
        <v>0</v>
      </c>
      <c r="S1080" s="5">
        <f t="shared" si="67"/>
        <v>63557.213760152008</v>
      </c>
      <c r="T1080" cm="1">
        <f t="array" ref="T1080">IF(OR(B1080="MAL ALIMI", B1080="ÜRETİM GİRİŞ"), MIN(I1080, MAX(0, I1080 + SUM(SUMIFS($I$1:I1079, $C$1:C1079, C1080, $B$1:B1079, {"MAL ALIMI","ÜRETİM GİRİŞ"})) - VLOOKUP(C1080, 'STOK RAPORU'!$C$2:$I$1000, 4, 0))), 0)</f>
        <v>0</v>
      </c>
      <c r="U1080" s="22">
        <f t="shared" si="64"/>
        <v>0</v>
      </c>
      <c r="V1080">
        <f t="shared" si="65"/>
        <v>0</v>
      </c>
      <c r="W1080" s="22">
        <f t="shared" si="66"/>
        <v>0</v>
      </c>
    </row>
    <row r="1081" spans="1:23" hidden="1" x14ac:dyDescent="0.25">
      <c r="A1081" s="3">
        <v>45976</v>
      </c>
      <c r="B1081" s="4" t="s">
        <v>334</v>
      </c>
      <c r="C1081" s="4" t="s">
        <v>131</v>
      </c>
      <c r="D1081" s="4"/>
      <c r="E1081" s="4" t="s">
        <v>921</v>
      </c>
      <c r="F1081" s="4" t="s">
        <v>785</v>
      </c>
      <c r="G1081" s="4" t="s">
        <v>336</v>
      </c>
      <c r="H1081" s="4" t="s">
        <v>380</v>
      </c>
      <c r="I1081" s="4">
        <v>5.3999999999999999E-2</v>
      </c>
      <c r="J1081" s="21">
        <v>400</v>
      </c>
      <c r="K1081" s="21">
        <v>21.6</v>
      </c>
      <c r="L1081" s="5">
        <v>0</v>
      </c>
      <c r="M1081" s="4">
        <v>5.3999999999999999E-2</v>
      </c>
      <c r="N1081" s="4"/>
      <c r="O1081" s="5">
        <v>400</v>
      </c>
      <c r="P1081" s="5"/>
      <c r="Q1081" s="21">
        <v>0</v>
      </c>
      <c r="R1081" s="21">
        <v>0</v>
      </c>
      <c r="S1081" s="5">
        <f t="shared" si="67"/>
        <v>63557.213760152008</v>
      </c>
      <c r="T1081" cm="1">
        <f t="array" ref="T1081">IF(OR(B1081="MAL ALIMI", B1081="ÜRETİM GİRİŞ"), MIN(I1081, MAX(0, I1081 + SUM(SUMIFS($I$1:I1080, $C$1:C1080, C1081, $B$1:B1080, {"MAL ALIMI","ÜRETİM GİRİŞ"})) - VLOOKUP(C1081, 'STOK RAPORU'!$C$2:$I$1000, 4, 0))), 0)</f>
        <v>0</v>
      </c>
      <c r="U1081" s="22">
        <f t="shared" si="64"/>
        <v>0</v>
      </c>
      <c r="V1081">
        <f t="shared" si="65"/>
        <v>0</v>
      </c>
      <c r="W1081" s="22">
        <f t="shared" si="66"/>
        <v>0</v>
      </c>
    </row>
    <row r="1082" spans="1:23" hidden="1" x14ac:dyDescent="0.25">
      <c r="A1082" s="3">
        <v>45976</v>
      </c>
      <c r="B1082" s="4" t="s">
        <v>334</v>
      </c>
      <c r="C1082" s="4" t="s">
        <v>92</v>
      </c>
      <c r="D1082" s="4"/>
      <c r="E1082" s="4" t="s">
        <v>921</v>
      </c>
      <c r="F1082" s="4" t="s">
        <v>785</v>
      </c>
      <c r="G1082" s="4" t="s">
        <v>336</v>
      </c>
      <c r="H1082" s="4" t="s">
        <v>380</v>
      </c>
      <c r="I1082" s="4">
        <v>0.13400000000000001</v>
      </c>
      <c r="J1082" s="21">
        <v>500</v>
      </c>
      <c r="K1082" s="21">
        <v>67</v>
      </c>
      <c r="L1082" s="5">
        <v>0</v>
      </c>
      <c r="M1082" s="4">
        <v>0.13400000000000001</v>
      </c>
      <c r="N1082" s="4"/>
      <c r="O1082" s="5">
        <v>500</v>
      </c>
      <c r="P1082" s="5"/>
      <c r="Q1082" s="21">
        <v>0</v>
      </c>
      <c r="R1082" s="21">
        <v>0</v>
      </c>
      <c r="S1082" s="5">
        <f t="shared" si="67"/>
        <v>63557.213760152008</v>
      </c>
      <c r="T1082" cm="1">
        <f t="array" ref="T1082">IF(OR(B1082="MAL ALIMI", B1082="ÜRETİM GİRİŞ"), MIN(I1082, MAX(0, I1082 + SUM(SUMIFS($I$1:I1081, $C$1:C1081, C1082, $B$1:B1081, {"MAL ALIMI","ÜRETİM GİRİŞ"})) - VLOOKUP(C1082, 'STOK RAPORU'!$C$2:$I$1000, 4, 0))), 0)</f>
        <v>0</v>
      </c>
      <c r="U1082" s="22">
        <f t="shared" si="64"/>
        <v>0</v>
      </c>
      <c r="V1082">
        <f t="shared" si="65"/>
        <v>0</v>
      </c>
      <c r="W1082" s="22">
        <f t="shared" si="66"/>
        <v>0</v>
      </c>
    </row>
    <row r="1083" spans="1:23" hidden="1" x14ac:dyDescent="0.25">
      <c r="A1083" s="3">
        <v>45976</v>
      </c>
      <c r="B1083" s="4" t="s">
        <v>334</v>
      </c>
      <c r="C1083" s="4" t="s">
        <v>690</v>
      </c>
      <c r="D1083" s="4"/>
      <c r="E1083" s="4" t="s">
        <v>921</v>
      </c>
      <c r="F1083" s="4" t="s">
        <v>785</v>
      </c>
      <c r="G1083" s="4" t="s">
        <v>336</v>
      </c>
      <c r="H1083" s="4" t="s">
        <v>380</v>
      </c>
      <c r="I1083" s="4">
        <v>0.35599999999999998</v>
      </c>
      <c r="J1083" s="21">
        <v>340</v>
      </c>
      <c r="K1083" s="21">
        <v>121.03999999999999</v>
      </c>
      <c r="L1083" s="5">
        <v>0</v>
      </c>
      <c r="M1083" s="4">
        <v>0.35599999999999998</v>
      </c>
      <c r="N1083" s="4"/>
      <c r="O1083" s="5">
        <v>340</v>
      </c>
      <c r="P1083" s="5"/>
      <c r="Q1083" s="21">
        <v>0</v>
      </c>
      <c r="R1083" s="21">
        <v>0</v>
      </c>
      <c r="S1083" s="5">
        <f t="shared" si="67"/>
        <v>63557.213760152008</v>
      </c>
      <c r="T1083" cm="1">
        <f t="array" ref="T1083">IF(OR(B1083="MAL ALIMI", B1083="ÜRETİM GİRİŞ"), MIN(I1083, MAX(0, I1083 + SUM(SUMIFS($I$1:I1082, $C$1:C1082, C1083, $B$1:B1082, {"MAL ALIMI","ÜRETİM GİRİŞ"})) - VLOOKUP(C1083, 'STOK RAPORU'!$C$2:$I$1000, 4, 0))), 0)</f>
        <v>0</v>
      </c>
      <c r="U1083" s="22">
        <f t="shared" si="64"/>
        <v>0</v>
      </c>
      <c r="V1083">
        <f t="shared" si="65"/>
        <v>0</v>
      </c>
      <c r="W1083" s="22">
        <f t="shared" si="66"/>
        <v>0</v>
      </c>
    </row>
    <row r="1084" spans="1:23" hidden="1" x14ac:dyDescent="0.25">
      <c r="A1084" s="3">
        <v>45976</v>
      </c>
      <c r="B1084" s="4" t="s">
        <v>334</v>
      </c>
      <c r="C1084" s="4" t="s">
        <v>132</v>
      </c>
      <c r="D1084" s="4"/>
      <c r="E1084" s="4" t="s">
        <v>921</v>
      </c>
      <c r="F1084" s="4" t="s">
        <v>785</v>
      </c>
      <c r="G1084" s="4" t="s">
        <v>336</v>
      </c>
      <c r="H1084" s="4" t="s">
        <v>380</v>
      </c>
      <c r="I1084" s="4">
        <v>9.4E-2</v>
      </c>
      <c r="J1084" s="21">
        <v>500</v>
      </c>
      <c r="K1084" s="21">
        <v>47</v>
      </c>
      <c r="L1084" s="5">
        <v>0</v>
      </c>
      <c r="M1084" s="4">
        <v>9.4E-2</v>
      </c>
      <c r="N1084" s="4"/>
      <c r="O1084" s="5">
        <v>500</v>
      </c>
      <c r="P1084" s="5"/>
      <c r="Q1084" s="21">
        <v>0</v>
      </c>
      <c r="R1084" s="21">
        <v>0</v>
      </c>
      <c r="S1084" s="5">
        <f t="shared" si="67"/>
        <v>63557.213760152008</v>
      </c>
      <c r="T1084" cm="1">
        <f t="array" ref="T1084">IF(OR(B1084="MAL ALIMI", B1084="ÜRETİM GİRİŞ"), MIN(I1084, MAX(0, I1084 + SUM(SUMIFS($I$1:I1083, $C$1:C1083, C1084, $B$1:B1083, {"MAL ALIMI","ÜRETİM GİRİŞ"})) - VLOOKUP(C1084, 'STOK RAPORU'!$C$2:$I$1000, 4, 0))), 0)</f>
        <v>0</v>
      </c>
      <c r="U1084" s="22">
        <f t="shared" si="64"/>
        <v>0</v>
      </c>
      <c r="V1084">
        <f t="shared" si="65"/>
        <v>0</v>
      </c>
      <c r="W1084" s="22">
        <f t="shared" si="66"/>
        <v>0</v>
      </c>
    </row>
    <row r="1085" spans="1:23" hidden="1" x14ac:dyDescent="0.25">
      <c r="A1085" s="3">
        <v>45976</v>
      </c>
      <c r="B1085" s="4" t="s">
        <v>334</v>
      </c>
      <c r="C1085" s="4" t="s">
        <v>165</v>
      </c>
      <c r="D1085" s="4"/>
      <c r="E1085" s="4" t="s">
        <v>921</v>
      </c>
      <c r="F1085" s="4" t="s">
        <v>785</v>
      </c>
      <c r="G1085" s="4" t="s">
        <v>336</v>
      </c>
      <c r="H1085" s="4" t="s">
        <v>380</v>
      </c>
      <c r="I1085" s="4">
        <v>0.1</v>
      </c>
      <c r="J1085" s="21">
        <v>250</v>
      </c>
      <c r="K1085" s="21">
        <v>25</v>
      </c>
      <c r="L1085" s="5">
        <v>0</v>
      </c>
      <c r="M1085" s="4">
        <v>1</v>
      </c>
      <c r="N1085" s="4"/>
      <c r="O1085" s="5">
        <v>25</v>
      </c>
      <c r="P1085" s="5"/>
      <c r="Q1085" s="21">
        <v>0</v>
      </c>
      <c r="R1085" s="21">
        <v>0</v>
      </c>
      <c r="S1085" s="5">
        <f t="shared" si="67"/>
        <v>63557.213760152008</v>
      </c>
      <c r="T1085" cm="1">
        <f t="array" ref="T1085">IF(OR(B1085="MAL ALIMI", B1085="ÜRETİM GİRİŞ"), MIN(I1085, MAX(0, I1085 + SUM(SUMIFS($I$1:I1084, $C$1:C1084, C1085, $B$1:B1084, {"MAL ALIMI","ÜRETİM GİRİŞ"})) - VLOOKUP(C1085, 'STOK RAPORU'!$C$2:$I$1000, 4, 0))), 0)</f>
        <v>0</v>
      </c>
      <c r="U1085" s="22">
        <f t="shared" si="64"/>
        <v>0</v>
      </c>
      <c r="V1085">
        <f t="shared" si="65"/>
        <v>0</v>
      </c>
      <c r="W1085" s="22">
        <f t="shared" si="66"/>
        <v>0</v>
      </c>
    </row>
    <row r="1086" spans="1:23" hidden="1" x14ac:dyDescent="0.25">
      <c r="A1086" s="3">
        <v>45976</v>
      </c>
      <c r="B1086" s="4" t="s">
        <v>334</v>
      </c>
      <c r="C1086" s="4" t="s">
        <v>591</v>
      </c>
      <c r="D1086" s="4"/>
      <c r="E1086" s="4" t="s">
        <v>921</v>
      </c>
      <c r="F1086" s="4" t="s">
        <v>785</v>
      </c>
      <c r="G1086" s="4" t="s">
        <v>336</v>
      </c>
      <c r="H1086" s="4" t="s">
        <v>380</v>
      </c>
      <c r="I1086" s="4">
        <v>0.5</v>
      </c>
      <c r="J1086" s="21">
        <v>350</v>
      </c>
      <c r="K1086" s="21">
        <v>175</v>
      </c>
      <c r="L1086" s="5">
        <v>0</v>
      </c>
      <c r="M1086" s="4">
        <v>0.5</v>
      </c>
      <c r="N1086" s="4"/>
      <c r="O1086" s="5">
        <v>350</v>
      </c>
      <c r="P1086" s="5"/>
      <c r="Q1086" s="21">
        <v>0</v>
      </c>
      <c r="R1086" s="21">
        <v>0</v>
      </c>
      <c r="S1086" s="5">
        <f t="shared" si="67"/>
        <v>63557.213760152008</v>
      </c>
      <c r="T1086" cm="1">
        <f t="array" ref="T1086">IF(OR(B1086="MAL ALIMI", B1086="ÜRETİM GİRİŞ"), MIN(I1086, MAX(0, I1086 + SUM(SUMIFS($I$1:I1085, $C$1:C1085, C1086, $B$1:B1085, {"MAL ALIMI","ÜRETİM GİRİŞ"})) - VLOOKUP(C1086, 'STOK RAPORU'!$C$2:$I$1000, 4, 0))), 0)</f>
        <v>0</v>
      </c>
      <c r="U1086" s="22">
        <f t="shared" si="64"/>
        <v>0</v>
      </c>
      <c r="V1086">
        <f t="shared" si="65"/>
        <v>0</v>
      </c>
      <c r="W1086" s="22">
        <f t="shared" si="66"/>
        <v>0</v>
      </c>
    </row>
    <row r="1087" spans="1:23" hidden="1" x14ac:dyDescent="0.25">
      <c r="A1087" s="3">
        <v>45976</v>
      </c>
      <c r="B1087" s="4" t="s">
        <v>334</v>
      </c>
      <c r="C1087" s="4" t="s">
        <v>126</v>
      </c>
      <c r="D1087" s="4"/>
      <c r="E1087" s="4" t="s">
        <v>921</v>
      </c>
      <c r="F1087" s="4" t="s">
        <v>786</v>
      </c>
      <c r="G1087" s="4" t="s">
        <v>336</v>
      </c>
      <c r="H1087" s="4" t="s">
        <v>380</v>
      </c>
      <c r="I1087" s="4">
        <v>7.3999999999999996E-2</v>
      </c>
      <c r="J1087" s="21">
        <v>640</v>
      </c>
      <c r="K1087" s="21">
        <v>47.36</v>
      </c>
      <c r="L1087" s="5">
        <v>0</v>
      </c>
      <c r="M1087" s="4">
        <v>7.3999999999999996E-2</v>
      </c>
      <c r="N1087" s="4"/>
      <c r="O1087" s="5">
        <v>640</v>
      </c>
      <c r="P1087" s="5"/>
      <c r="Q1087" s="21">
        <v>0</v>
      </c>
      <c r="R1087" s="21">
        <v>0</v>
      </c>
      <c r="S1087" s="5">
        <f t="shared" si="67"/>
        <v>63557.213760152008</v>
      </c>
      <c r="T1087" cm="1">
        <f t="array" ref="T1087">IF(OR(B1087="MAL ALIMI", B1087="ÜRETİM GİRİŞ"), MIN(I1087, MAX(0, I1087 + SUM(SUMIFS($I$1:I1086, $C$1:C1086, C1087, $B$1:B1086, {"MAL ALIMI","ÜRETİM GİRİŞ"})) - VLOOKUP(C1087, 'STOK RAPORU'!$C$2:$I$1000, 4, 0))), 0)</f>
        <v>0</v>
      </c>
      <c r="U1087" s="22">
        <f t="shared" si="64"/>
        <v>0</v>
      </c>
      <c r="V1087">
        <f t="shared" si="65"/>
        <v>0</v>
      </c>
      <c r="W1087" s="22">
        <f t="shared" si="66"/>
        <v>0</v>
      </c>
    </row>
    <row r="1088" spans="1:23" hidden="1" x14ac:dyDescent="0.25">
      <c r="A1088" s="3">
        <v>45976</v>
      </c>
      <c r="B1088" s="4" t="s">
        <v>334</v>
      </c>
      <c r="C1088" s="4" t="s">
        <v>200</v>
      </c>
      <c r="D1088" s="4"/>
      <c r="E1088" s="4" t="s">
        <v>921</v>
      </c>
      <c r="F1088" s="4" t="s">
        <v>786</v>
      </c>
      <c r="G1088" s="4" t="s">
        <v>336</v>
      </c>
      <c r="H1088" s="4" t="s">
        <v>380</v>
      </c>
      <c r="I1088" s="4">
        <v>0.25</v>
      </c>
      <c r="J1088" s="21">
        <v>380</v>
      </c>
      <c r="K1088" s="21">
        <v>95</v>
      </c>
      <c r="L1088" s="5">
        <v>0</v>
      </c>
      <c r="M1088" s="4">
        <v>1</v>
      </c>
      <c r="N1088" s="4"/>
      <c r="O1088" s="5">
        <v>95</v>
      </c>
      <c r="P1088" s="5"/>
      <c r="Q1088" s="21">
        <v>0</v>
      </c>
      <c r="R1088" s="21">
        <v>0</v>
      </c>
      <c r="S1088" s="5">
        <f t="shared" si="67"/>
        <v>63557.213760152008</v>
      </c>
      <c r="T1088" cm="1">
        <f t="array" ref="T1088">IF(OR(B1088="MAL ALIMI", B1088="ÜRETİM GİRİŞ"), MIN(I1088, MAX(0, I1088 + SUM(SUMIFS($I$1:I1087, $C$1:C1087, C1088, $B$1:B1087, {"MAL ALIMI","ÜRETİM GİRİŞ"})) - VLOOKUP(C1088, 'STOK RAPORU'!$C$2:$I$1000, 4, 0))), 0)</f>
        <v>0</v>
      </c>
      <c r="U1088" s="22">
        <f t="shared" si="64"/>
        <v>0</v>
      </c>
      <c r="V1088">
        <f t="shared" si="65"/>
        <v>0</v>
      </c>
      <c r="W1088" s="22">
        <f t="shared" si="66"/>
        <v>0</v>
      </c>
    </row>
    <row r="1089" spans="1:23" hidden="1" x14ac:dyDescent="0.25">
      <c r="A1089" s="3">
        <v>45976</v>
      </c>
      <c r="B1089" s="4" t="s">
        <v>334</v>
      </c>
      <c r="C1089" s="4" t="s">
        <v>153</v>
      </c>
      <c r="D1089" s="4"/>
      <c r="E1089" s="4" t="s">
        <v>921</v>
      </c>
      <c r="F1089" s="4" t="s">
        <v>786</v>
      </c>
      <c r="G1089" s="4" t="s">
        <v>336</v>
      </c>
      <c r="H1089" s="4" t="s">
        <v>380</v>
      </c>
      <c r="I1089" s="4">
        <v>0.1</v>
      </c>
      <c r="J1089" s="21">
        <v>400</v>
      </c>
      <c r="K1089" s="21">
        <v>40</v>
      </c>
      <c r="L1089" s="5">
        <v>0</v>
      </c>
      <c r="M1089" s="4">
        <v>1</v>
      </c>
      <c r="N1089" s="4"/>
      <c r="O1089" s="5">
        <v>40</v>
      </c>
      <c r="P1089" s="5"/>
      <c r="Q1089" s="21">
        <v>0</v>
      </c>
      <c r="R1089" s="21">
        <v>0</v>
      </c>
      <c r="S1089" s="5">
        <f t="shared" si="67"/>
        <v>63557.213760152008</v>
      </c>
      <c r="T1089" cm="1">
        <f t="array" ref="T1089">IF(OR(B1089="MAL ALIMI", B1089="ÜRETİM GİRİŞ"), MIN(I1089, MAX(0, I1089 + SUM(SUMIFS($I$1:I1088, $C$1:C1088, C1089, $B$1:B1088, {"MAL ALIMI","ÜRETİM GİRİŞ"})) - VLOOKUP(C1089, 'STOK RAPORU'!$C$2:$I$1000, 4, 0))), 0)</f>
        <v>0</v>
      </c>
      <c r="U1089" s="22">
        <f t="shared" si="64"/>
        <v>0</v>
      </c>
      <c r="V1089">
        <f t="shared" si="65"/>
        <v>0</v>
      </c>
      <c r="W1089" s="22">
        <f t="shared" si="66"/>
        <v>0</v>
      </c>
    </row>
    <row r="1090" spans="1:23" hidden="1" x14ac:dyDescent="0.25">
      <c r="A1090" s="3">
        <v>45976</v>
      </c>
      <c r="B1090" s="4" t="s">
        <v>334</v>
      </c>
      <c r="C1090" s="4" t="s">
        <v>690</v>
      </c>
      <c r="D1090" s="4"/>
      <c r="E1090" s="4" t="s">
        <v>921</v>
      </c>
      <c r="F1090" s="4" t="s">
        <v>786</v>
      </c>
      <c r="G1090" s="4" t="s">
        <v>336</v>
      </c>
      <c r="H1090" s="4" t="s">
        <v>380</v>
      </c>
      <c r="I1090" s="4">
        <v>0.36599999999999999</v>
      </c>
      <c r="J1090" s="21">
        <v>340</v>
      </c>
      <c r="K1090" s="21">
        <v>124.44</v>
      </c>
      <c r="L1090" s="5">
        <v>0</v>
      </c>
      <c r="M1090" s="4">
        <v>0.36599999999999999</v>
      </c>
      <c r="N1090" s="4"/>
      <c r="O1090" s="5">
        <v>340</v>
      </c>
      <c r="P1090" s="5"/>
      <c r="Q1090" s="21">
        <v>0</v>
      </c>
      <c r="R1090" s="21">
        <v>0</v>
      </c>
      <c r="S1090" s="5">
        <f t="shared" si="67"/>
        <v>63557.213760152008</v>
      </c>
      <c r="T1090" cm="1">
        <f t="array" ref="T1090">IF(OR(B1090="MAL ALIMI", B1090="ÜRETİM GİRİŞ"), MIN(I1090, MAX(0, I1090 + SUM(SUMIFS($I$1:I1089, $C$1:C1089, C1090, $B$1:B1089, {"MAL ALIMI","ÜRETİM GİRİŞ"})) - VLOOKUP(C1090, 'STOK RAPORU'!$C$2:$I$1000, 4, 0))), 0)</f>
        <v>0</v>
      </c>
      <c r="U1090" s="22">
        <f t="shared" si="64"/>
        <v>0</v>
      </c>
      <c r="V1090">
        <f t="shared" si="65"/>
        <v>0</v>
      </c>
      <c r="W1090" s="22">
        <f t="shared" si="66"/>
        <v>0</v>
      </c>
    </row>
    <row r="1091" spans="1:23" hidden="1" x14ac:dyDescent="0.25">
      <c r="A1091" s="3">
        <v>45976</v>
      </c>
      <c r="B1091" s="4" t="s">
        <v>334</v>
      </c>
      <c r="C1091" s="4" t="s">
        <v>591</v>
      </c>
      <c r="D1091" s="4"/>
      <c r="E1091" s="4" t="s">
        <v>921</v>
      </c>
      <c r="F1091" s="4" t="s">
        <v>786</v>
      </c>
      <c r="G1091" s="4" t="s">
        <v>336</v>
      </c>
      <c r="H1091" s="4" t="s">
        <v>380</v>
      </c>
      <c r="I1091" s="4">
        <v>0.5</v>
      </c>
      <c r="J1091" s="21">
        <v>350</v>
      </c>
      <c r="K1091" s="21">
        <v>175</v>
      </c>
      <c r="L1091" s="5">
        <v>0</v>
      </c>
      <c r="M1091" s="4">
        <v>0.5</v>
      </c>
      <c r="N1091" s="4"/>
      <c r="O1091" s="5">
        <v>350</v>
      </c>
      <c r="P1091" s="5"/>
      <c r="Q1091" s="21">
        <v>0</v>
      </c>
      <c r="R1091" s="21">
        <v>0</v>
      </c>
      <c r="S1091" s="5">
        <f t="shared" si="67"/>
        <v>63557.213760152008</v>
      </c>
      <c r="T1091" cm="1">
        <f t="array" ref="T1091">IF(OR(B1091="MAL ALIMI", B1091="ÜRETİM GİRİŞ"), MIN(I1091, MAX(0, I1091 + SUM(SUMIFS($I$1:I1090, $C$1:C1090, C1091, $B$1:B1090, {"MAL ALIMI","ÜRETİM GİRİŞ"})) - VLOOKUP(C1091, 'STOK RAPORU'!$C$2:$I$1000, 4, 0))), 0)</f>
        <v>0</v>
      </c>
      <c r="U1091" s="22">
        <f t="shared" ref="U1091:U1154" si="68">T1091*J1091</f>
        <v>0</v>
      </c>
      <c r="V1091">
        <f t="shared" ref="V1091:V1154" si="69">IF(OR(B1091="MAL ALIMI", B1091="ÜRETİM GİRİŞ"), I1091 * J1091, 0)</f>
        <v>0</v>
      </c>
      <c r="W1091" s="22">
        <f t="shared" ref="W1091:W1154" si="70">V1091-U1091</f>
        <v>0</v>
      </c>
    </row>
    <row r="1092" spans="1:23" hidden="1" x14ac:dyDescent="0.25">
      <c r="A1092" s="3">
        <v>45976</v>
      </c>
      <c r="B1092" s="4" t="s">
        <v>334</v>
      </c>
      <c r="C1092" s="4" t="s">
        <v>201</v>
      </c>
      <c r="D1092" s="4"/>
      <c r="E1092" s="4"/>
      <c r="F1092" s="4" t="s">
        <v>787</v>
      </c>
      <c r="G1092" s="4" t="s">
        <v>336</v>
      </c>
      <c r="H1092" s="4" t="s">
        <v>289</v>
      </c>
      <c r="I1092" s="4">
        <v>0.21299999999999999</v>
      </c>
      <c r="J1092" s="21">
        <v>800</v>
      </c>
      <c r="K1092" s="21">
        <v>0</v>
      </c>
      <c r="L1092" s="5">
        <v>0</v>
      </c>
      <c r="M1092" s="4">
        <v>0.21299999999999999</v>
      </c>
      <c r="N1092" s="4"/>
      <c r="O1092" s="5">
        <v>800</v>
      </c>
      <c r="P1092" s="5"/>
      <c r="Q1092" s="21">
        <v>170.4</v>
      </c>
      <c r="R1092" s="21">
        <v>0</v>
      </c>
      <c r="S1092" s="5">
        <f t="shared" ref="S1092:S1155" si="71">S1091+Q1092-R1092</f>
        <v>63727.613760152009</v>
      </c>
      <c r="T1092" cm="1">
        <f t="array" ref="T1092">IF(OR(B1092="MAL ALIMI", B1092="ÜRETİM GİRİŞ"), MIN(I1092, MAX(0, I1092 + SUM(SUMIFS($I$1:I1091, $C$1:C1091, C1092, $B$1:B1091, {"MAL ALIMI","ÜRETİM GİRİŞ"})) - VLOOKUP(C1092, 'STOK RAPORU'!$C$2:$I$1000, 4, 0))), 0)</f>
        <v>0</v>
      </c>
      <c r="U1092" s="22">
        <f t="shared" si="68"/>
        <v>0</v>
      </c>
      <c r="V1092">
        <f t="shared" si="69"/>
        <v>0</v>
      </c>
      <c r="W1092" s="22">
        <f t="shared" si="70"/>
        <v>0</v>
      </c>
    </row>
    <row r="1093" spans="1:23" hidden="1" x14ac:dyDescent="0.25">
      <c r="A1093" s="3">
        <v>45976</v>
      </c>
      <c r="B1093" s="4" t="s">
        <v>334</v>
      </c>
      <c r="C1093" s="4" t="s">
        <v>168</v>
      </c>
      <c r="D1093" s="4"/>
      <c r="E1093" s="4" t="s">
        <v>921</v>
      </c>
      <c r="F1093" s="4" t="s">
        <v>788</v>
      </c>
      <c r="G1093" s="4" t="s">
        <v>336</v>
      </c>
      <c r="H1093" s="4" t="s">
        <v>380</v>
      </c>
      <c r="I1093" s="4">
        <v>1</v>
      </c>
      <c r="J1093" s="21">
        <v>200</v>
      </c>
      <c r="K1093" s="21">
        <v>200</v>
      </c>
      <c r="L1093" s="5">
        <v>0</v>
      </c>
      <c r="M1093" s="4">
        <v>1</v>
      </c>
      <c r="N1093" s="4"/>
      <c r="O1093" s="5">
        <v>200</v>
      </c>
      <c r="P1093" s="5"/>
      <c r="Q1093" s="21">
        <v>0</v>
      </c>
      <c r="R1093" s="21">
        <v>0</v>
      </c>
      <c r="S1093" s="5">
        <f t="shared" si="71"/>
        <v>63727.613760152009</v>
      </c>
      <c r="T1093" cm="1">
        <f t="array" ref="T1093">IF(OR(B1093="MAL ALIMI", B1093="ÜRETİM GİRİŞ"), MIN(I1093, MAX(0, I1093 + SUM(SUMIFS($I$1:I1092, $C$1:C1092, C1093, $B$1:B1092, {"MAL ALIMI","ÜRETİM GİRİŞ"})) - VLOOKUP(C1093, 'STOK RAPORU'!$C$2:$I$1000, 4, 0))), 0)</f>
        <v>0</v>
      </c>
      <c r="U1093" s="22">
        <f t="shared" si="68"/>
        <v>0</v>
      </c>
      <c r="V1093">
        <f t="shared" si="69"/>
        <v>0</v>
      </c>
      <c r="W1093" s="22">
        <f t="shared" si="70"/>
        <v>0</v>
      </c>
    </row>
    <row r="1094" spans="1:23" hidden="1" x14ac:dyDescent="0.25">
      <c r="A1094" s="3">
        <v>45976</v>
      </c>
      <c r="B1094" s="4" t="s">
        <v>334</v>
      </c>
      <c r="C1094" s="4" t="s">
        <v>160</v>
      </c>
      <c r="D1094" s="4"/>
      <c r="E1094" s="4" t="s">
        <v>921</v>
      </c>
      <c r="F1094" s="4" t="s">
        <v>788</v>
      </c>
      <c r="G1094" s="4" t="s">
        <v>336</v>
      </c>
      <c r="H1094" s="4" t="s">
        <v>380</v>
      </c>
      <c r="I1094" s="4">
        <v>1</v>
      </c>
      <c r="J1094" s="21">
        <v>240</v>
      </c>
      <c r="K1094" s="21">
        <v>240</v>
      </c>
      <c r="L1094" s="5">
        <v>0</v>
      </c>
      <c r="M1094" s="4">
        <v>1</v>
      </c>
      <c r="N1094" s="4"/>
      <c r="O1094" s="5">
        <v>240</v>
      </c>
      <c r="P1094" s="5"/>
      <c r="Q1094" s="21">
        <v>0</v>
      </c>
      <c r="R1094" s="21">
        <v>0</v>
      </c>
      <c r="S1094" s="5">
        <f t="shared" si="71"/>
        <v>63727.613760152009</v>
      </c>
      <c r="T1094" cm="1">
        <f t="array" ref="T1094">IF(OR(B1094="MAL ALIMI", B1094="ÜRETİM GİRİŞ"), MIN(I1094, MAX(0, I1094 + SUM(SUMIFS($I$1:I1093, $C$1:C1093, C1094, $B$1:B1093, {"MAL ALIMI","ÜRETİM GİRİŞ"})) - VLOOKUP(C1094, 'STOK RAPORU'!$C$2:$I$1000, 4, 0))), 0)</f>
        <v>0</v>
      </c>
      <c r="U1094" s="22">
        <f t="shared" si="68"/>
        <v>0</v>
      </c>
      <c r="V1094">
        <f t="shared" si="69"/>
        <v>0</v>
      </c>
      <c r="W1094" s="22">
        <f t="shared" si="70"/>
        <v>0</v>
      </c>
    </row>
    <row r="1095" spans="1:23" hidden="1" x14ac:dyDescent="0.25">
      <c r="A1095" s="3">
        <v>45976</v>
      </c>
      <c r="B1095" s="4" t="s">
        <v>334</v>
      </c>
      <c r="C1095" s="4" t="s">
        <v>126</v>
      </c>
      <c r="D1095" s="4"/>
      <c r="E1095" s="4" t="s">
        <v>921</v>
      </c>
      <c r="F1095" s="4" t="s">
        <v>789</v>
      </c>
      <c r="G1095" s="4" t="s">
        <v>336</v>
      </c>
      <c r="H1095" s="4" t="s">
        <v>380</v>
      </c>
      <c r="I1095" s="4">
        <v>0.157</v>
      </c>
      <c r="J1095" s="21">
        <v>640</v>
      </c>
      <c r="K1095" s="21">
        <v>100.48</v>
      </c>
      <c r="L1095" s="5">
        <v>0</v>
      </c>
      <c r="M1095" s="4">
        <v>0.157</v>
      </c>
      <c r="N1095" s="4"/>
      <c r="O1095" s="5">
        <v>640</v>
      </c>
      <c r="P1095" s="5"/>
      <c r="Q1095" s="21">
        <v>0</v>
      </c>
      <c r="R1095" s="21">
        <v>0</v>
      </c>
      <c r="S1095" s="5">
        <f t="shared" si="71"/>
        <v>63727.613760152009</v>
      </c>
      <c r="T1095" cm="1">
        <f t="array" ref="T1095">IF(OR(B1095="MAL ALIMI", B1095="ÜRETİM GİRİŞ"), MIN(I1095, MAX(0, I1095 + SUM(SUMIFS($I$1:I1094, $C$1:C1094, C1095, $B$1:B1094, {"MAL ALIMI","ÜRETİM GİRİŞ"})) - VLOOKUP(C1095, 'STOK RAPORU'!$C$2:$I$1000, 4, 0))), 0)</f>
        <v>0</v>
      </c>
      <c r="U1095" s="22">
        <f t="shared" si="68"/>
        <v>0</v>
      </c>
      <c r="V1095">
        <f t="shared" si="69"/>
        <v>0</v>
      </c>
      <c r="W1095" s="22">
        <f t="shared" si="70"/>
        <v>0</v>
      </c>
    </row>
    <row r="1096" spans="1:23" hidden="1" x14ac:dyDescent="0.25">
      <c r="A1096" s="3">
        <v>45976</v>
      </c>
      <c r="B1096" s="4" t="s">
        <v>334</v>
      </c>
      <c r="C1096" s="4" t="s">
        <v>160</v>
      </c>
      <c r="D1096" s="4"/>
      <c r="E1096" s="4" t="s">
        <v>921</v>
      </c>
      <c r="F1096" s="4" t="s">
        <v>789</v>
      </c>
      <c r="G1096" s="4" t="s">
        <v>336</v>
      </c>
      <c r="H1096" s="4" t="s">
        <v>380</v>
      </c>
      <c r="I1096" s="4">
        <v>1</v>
      </c>
      <c r="J1096" s="21">
        <v>240</v>
      </c>
      <c r="K1096" s="21">
        <v>240</v>
      </c>
      <c r="L1096" s="5">
        <v>0</v>
      </c>
      <c r="M1096" s="4">
        <v>1</v>
      </c>
      <c r="N1096" s="4"/>
      <c r="O1096" s="5">
        <v>240</v>
      </c>
      <c r="P1096" s="5"/>
      <c r="Q1096" s="21">
        <v>0</v>
      </c>
      <c r="R1096" s="21">
        <v>0</v>
      </c>
      <c r="S1096" s="5">
        <f t="shared" si="71"/>
        <v>63727.613760152009</v>
      </c>
      <c r="T1096" cm="1">
        <f t="array" ref="T1096">IF(OR(B1096="MAL ALIMI", B1096="ÜRETİM GİRİŞ"), MIN(I1096, MAX(0, I1096 + SUM(SUMIFS($I$1:I1095, $C$1:C1095, C1096, $B$1:B1095, {"MAL ALIMI","ÜRETİM GİRİŞ"})) - VLOOKUP(C1096, 'STOK RAPORU'!$C$2:$I$1000, 4, 0))), 0)</f>
        <v>0</v>
      </c>
      <c r="U1096" s="22">
        <f t="shared" si="68"/>
        <v>0</v>
      </c>
      <c r="V1096">
        <f t="shared" si="69"/>
        <v>0</v>
      </c>
      <c r="W1096" s="22">
        <f t="shared" si="70"/>
        <v>0</v>
      </c>
    </row>
    <row r="1097" spans="1:23" hidden="1" x14ac:dyDescent="0.25">
      <c r="A1097" s="3">
        <v>45976</v>
      </c>
      <c r="B1097" s="4" t="s">
        <v>334</v>
      </c>
      <c r="C1097" s="4" t="s">
        <v>161</v>
      </c>
      <c r="D1097" s="4"/>
      <c r="E1097" s="4" t="s">
        <v>921</v>
      </c>
      <c r="F1097" s="4" t="s">
        <v>789</v>
      </c>
      <c r="G1097" s="4" t="s">
        <v>336</v>
      </c>
      <c r="H1097" s="4" t="s">
        <v>380</v>
      </c>
      <c r="I1097" s="4">
        <v>1</v>
      </c>
      <c r="J1097" s="21">
        <v>200</v>
      </c>
      <c r="K1097" s="21">
        <v>200</v>
      </c>
      <c r="L1097" s="5">
        <v>0</v>
      </c>
      <c r="M1097" s="4">
        <v>1</v>
      </c>
      <c r="N1097" s="4"/>
      <c r="O1097" s="5">
        <v>200</v>
      </c>
      <c r="P1097" s="5"/>
      <c r="Q1097" s="21">
        <v>0</v>
      </c>
      <c r="R1097" s="21">
        <v>0</v>
      </c>
      <c r="S1097" s="5">
        <f t="shared" si="71"/>
        <v>63727.613760152009</v>
      </c>
      <c r="T1097" cm="1">
        <f t="array" ref="T1097">IF(OR(B1097="MAL ALIMI", B1097="ÜRETİM GİRİŞ"), MIN(I1097, MAX(0, I1097 + SUM(SUMIFS($I$1:I1096, $C$1:C1096, C1097, $B$1:B1096, {"MAL ALIMI","ÜRETİM GİRİŞ"})) - VLOOKUP(C1097, 'STOK RAPORU'!$C$2:$I$1000, 4, 0))), 0)</f>
        <v>0</v>
      </c>
      <c r="U1097" s="22">
        <f t="shared" si="68"/>
        <v>0</v>
      </c>
      <c r="V1097">
        <f t="shared" si="69"/>
        <v>0</v>
      </c>
      <c r="W1097" s="22">
        <f t="shared" si="70"/>
        <v>0</v>
      </c>
    </row>
    <row r="1098" spans="1:23" hidden="1" x14ac:dyDescent="0.25">
      <c r="A1098" s="3">
        <v>45976</v>
      </c>
      <c r="B1098" s="4" t="s">
        <v>334</v>
      </c>
      <c r="C1098" s="4" t="s">
        <v>162</v>
      </c>
      <c r="D1098" s="4"/>
      <c r="E1098" s="4" t="s">
        <v>921</v>
      </c>
      <c r="F1098" s="4" t="s">
        <v>789</v>
      </c>
      <c r="G1098" s="4" t="s">
        <v>336</v>
      </c>
      <c r="H1098" s="4" t="s">
        <v>380</v>
      </c>
      <c r="I1098" s="4">
        <v>1</v>
      </c>
      <c r="J1098" s="21">
        <v>260</v>
      </c>
      <c r="K1098" s="21">
        <v>260</v>
      </c>
      <c r="L1098" s="5">
        <v>0</v>
      </c>
      <c r="M1098" s="4">
        <v>1</v>
      </c>
      <c r="N1098" s="4"/>
      <c r="O1098" s="5">
        <v>260</v>
      </c>
      <c r="P1098" s="5"/>
      <c r="Q1098" s="21">
        <v>0</v>
      </c>
      <c r="R1098" s="21">
        <v>0</v>
      </c>
      <c r="S1098" s="5">
        <f t="shared" si="71"/>
        <v>63727.613760152009</v>
      </c>
      <c r="T1098" cm="1">
        <f t="array" ref="T1098">IF(OR(B1098="MAL ALIMI", B1098="ÜRETİM GİRİŞ"), MIN(I1098, MAX(0, I1098 + SUM(SUMIFS($I$1:I1097, $C$1:C1097, C1098, $B$1:B1097, {"MAL ALIMI","ÜRETİM GİRİŞ"})) - VLOOKUP(C1098, 'STOK RAPORU'!$C$2:$I$1000, 4, 0))), 0)</f>
        <v>0</v>
      </c>
      <c r="U1098" s="22">
        <f t="shared" si="68"/>
        <v>0</v>
      </c>
      <c r="V1098">
        <f t="shared" si="69"/>
        <v>0</v>
      </c>
      <c r="W1098" s="22">
        <f t="shared" si="70"/>
        <v>0</v>
      </c>
    </row>
    <row r="1099" spans="1:23" hidden="1" x14ac:dyDescent="0.25">
      <c r="A1099" s="3">
        <v>45976</v>
      </c>
      <c r="B1099" s="4" t="s">
        <v>334</v>
      </c>
      <c r="C1099" s="4" t="s">
        <v>651</v>
      </c>
      <c r="D1099" s="4"/>
      <c r="E1099" s="4"/>
      <c r="F1099" s="4" t="s">
        <v>790</v>
      </c>
      <c r="G1099" s="4" t="s">
        <v>336</v>
      </c>
      <c r="H1099" s="4" t="s">
        <v>289</v>
      </c>
      <c r="I1099" s="4">
        <v>1</v>
      </c>
      <c r="J1099" s="21">
        <v>400</v>
      </c>
      <c r="K1099" s="21">
        <v>0</v>
      </c>
      <c r="L1099" s="5">
        <v>0</v>
      </c>
      <c r="M1099" s="4">
        <v>1</v>
      </c>
      <c r="N1099" s="4"/>
      <c r="O1099" s="5">
        <v>400</v>
      </c>
      <c r="P1099" s="5"/>
      <c r="Q1099" s="21">
        <v>400</v>
      </c>
      <c r="R1099" s="21">
        <v>0</v>
      </c>
      <c r="S1099" s="5">
        <f t="shared" si="71"/>
        <v>64127.613760152009</v>
      </c>
      <c r="T1099" cm="1">
        <f t="array" ref="T1099">IF(OR(B1099="MAL ALIMI", B1099="ÜRETİM GİRİŞ"), MIN(I1099, MAX(0, I1099 + SUM(SUMIFS($I$1:I1098, $C$1:C1098, C1099, $B$1:B1098, {"MAL ALIMI","ÜRETİM GİRİŞ"})) - VLOOKUP(C1099, 'STOK RAPORU'!$C$2:$I$1000, 4, 0))), 0)</f>
        <v>0</v>
      </c>
      <c r="U1099" s="22">
        <f t="shared" si="68"/>
        <v>0</v>
      </c>
      <c r="V1099">
        <f t="shared" si="69"/>
        <v>0</v>
      </c>
      <c r="W1099" s="22">
        <f t="shared" si="70"/>
        <v>0</v>
      </c>
    </row>
    <row r="1100" spans="1:23" hidden="1" x14ac:dyDescent="0.25">
      <c r="A1100" s="3">
        <v>45976</v>
      </c>
      <c r="B1100" s="4" t="s">
        <v>334</v>
      </c>
      <c r="C1100" s="4" t="s">
        <v>588</v>
      </c>
      <c r="D1100" s="4"/>
      <c r="E1100" s="4"/>
      <c r="F1100" s="4" t="s">
        <v>790</v>
      </c>
      <c r="G1100" s="4" t="s">
        <v>336</v>
      </c>
      <c r="H1100" s="4" t="s">
        <v>289</v>
      </c>
      <c r="I1100" s="4">
        <v>1</v>
      </c>
      <c r="J1100" s="21">
        <v>350</v>
      </c>
      <c r="K1100" s="21">
        <v>0</v>
      </c>
      <c r="L1100" s="5">
        <v>0</v>
      </c>
      <c r="M1100" s="4">
        <v>1</v>
      </c>
      <c r="N1100" s="4"/>
      <c r="O1100" s="5">
        <v>350</v>
      </c>
      <c r="P1100" s="5"/>
      <c r="Q1100" s="21">
        <v>350</v>
      </c>
      <c r="R1100" s="21">
        <v>0</v>
      </c>
      <c r="S1100" s="5">
        <f t="shared" si="71"/>
        <v>64477.613760152009</v>
      </c>
      <c r="T1100" cm="1">
        <f t="array" ref="T1100">IF(OR(B1100="MAL ALIMI", B1100="ÜRETİM GİRİŞ"), MIN(I1100, MAX(0, I1100 + SUM(SUMIFS($I$1:I1099, $C$1:C1099, C1100, $B$1:B1099, {"MAL ALIMI","ÜRETİM GİRİŞ"})) - VLOOKUP(C1100, 'STOK RAPORU'!$C$2:$I$1000, 4, 0))), 0)</f>
        <v>0</v>
      </c>
      <c r="U1100" s="22">
        <f t="shared" si="68"/>
        <v>0</v>
      </c>
      <c r="V1100">
        <f t="shared" si="69"/>
        <v>0</v>
      </c>
      <c r="W1100" s="22">
        <f t="shared" si="70"/>
        <v>0</v>
      </c>
    </row>
    <row r="1101" spans="1:23" hidden="1" x14ac:dyDescent="0.25">
      <c r="A1101" s="3">
        <v>45976</v>
      </c>
      <c r="B1101" s="4" t="s">
        <v>334</v>
      </c>
      <c r="C1101" s="4" t="s">
        <v>92</v>
      </c>
      <c r="D1101" s="4"/>
      <c r="E1101" s="4" t="s">
        <v>921</v>
      </c>
      <c r="F1101" s="4" t="s">
        <v>791</v>
      </c>
      <c r="G1101" s="4" t="s">
        <v>439</v>
      </c>
      <c r="H1101" s="4" t="s">
        <v>380</v>
      </c>
      <c r="I1101" s="4">
        <v>1</v>
      </c>
      <c r="J1101" s="21">
        <v>300</v>
      </c>
      <c r="K1101" s="21">
        <v>300</v>
      </c>
      <c r="L1101" s="5">
        <v>0</v>
      </c>
      <c r="M1101" s="4">
        <v>1</v>
      </c>
      <c r="N1101" s="4"/>
      <c r="O1101" s="5">
        <v>300</v>
      </c>
      <c r="P1101" s="5"/>
      <c r="Q1101" s="21">
        <v>0</v>
      </c>
      <c r="R1101" s="21">
        <v>0</v>
      </c>
      <c r="S1101" s="5">
        <f t="shared" si="71"/>
        <v>64477.613760152009</v>
      </c>
      <c r="T1101" cm="1">
        <f t="array" ref="T1101">IF(OR(B1101="MAL ALIMI", B1101="ÜRETİM GİRİŞ"), MIN(I1101, MAX(0, I1101 + SUM(SUMIFS($I$1:I1100, $C$1:C1100, C1101, $B$1:B1100, {"MAL ALIMI","ÜRETİM GİRİŞ"})) - VLOOKUP(C1101, 'STOK RAPORU'!$C$2:$I$1000, 4, 0))), 0)</f>
        <v>0</v>
      </c>
      <c r="U1101" s="22">
        <f t="shared" si="68"/>
        <v>0</v>
      </c>
      <c r="V1101">
        <f t="shared" si="69"/>
        <v>0</v>
      </c>
      <c r="W1101" s="22">
        <f t="shared" si="70"/>
        <v>0</v>
      </c>
    </row>
    <row r="1102" spans="1:23" hidden="1" x14ac:dyDescent="0.25">
      <c r="A1102" s="3">
        <v>45977</v>
      </c>
      <c r="B1102" s="4" t="s">
        <v>334</v>
      </c>
      <c r="C1102" s="4" t="s">
        <v>234</v>
      </c>
      <c r="D1102" s="4"/>
      <c r="E1102" s="4" t="s">
        <v>921</v>
      </c>
      <c r="F1102" s="4" t="s">
        <v>735</v>
      </c>
      <c r="G1102" s="4" t="s">
        <v>336</v>
      </c>
      <c r="H1102" s="4" t="s">
        <v>380</v>
      </c>
      <c r="I1102" s="4">
        <v>1</v>
      </c>
      <c r="J1102" s="21">
        <v>180</v>
      </c>
      <c r="K1102" s="21">
        <v>180</v>
      </c>
      <c r="L1102" s="5">
        <v>0</v>
      </c>
      <c r="M1102" s="4">
        <v>1</v>
      </c>
      <c r="N1102" s="4"/>
      <c r="O1102" s="5">
        <v>180</v>
      </c>
      <c r="P1102" s="5"/>
      <c r="Q1102" s="21">
        <v>0</v>
      </c>
      <c r="R1102" s="21">
        <v>0</v>
      </c>
      <c r="S1102" s="5">
        <f t="shared" si="71"/>
        <v>64477.613760152009</v>
      </c>
      <c r="T1102" cm="1">
        <f t="array" ref="T1102">IF(OR(B1102="MAL ALIMI", B1102="ÜRETİM GİRİŞ"), MIN(I1102, MAX(0, I1102 + SUM(SUMIFS($I$1:I1101, $C$1:C1101, C1102, $B$1:B1101, {"MAL ALIMI","ÜRETİM GİRİŞ"})) - VLOOKUP(C1102, 'STOK RAPORU'!$C$2:$I$1000, 4, 0))), 0)</f>
        <v>0</v>
      </c>
      <c r="U1102" s="22">
        <f t="shared" si="68"/>
        <v>0</v>
      </c>
      <c r="V1102">
        <f t="shared" si="69"/>
        <v>0</v>
      </c>
      <c r="W1102" s="22">
        <f t="shared" si="70"/>
        <v>0</v>
      </c>
    </row>
    <row r="1103" spans="1:23" hidden="1" x14ac:dyDescent="0.25">
      <c r="A1103" s="3">
        <v>45977</v>
      </c>
      <c r="B1103" s="4" t="s">
        <v>334</v>
      </c>
      <c r="C1103" s="4" t="s">
        <v>180</v>
      </c>
      <c r="D1103" s="4"/>
      <c r="E1103" s="4" t="s">
        <v>921</v>
      </c>
      <c r="F1103" s="4" t="s">
        <v>735</v>
      </c>
      <c r="G1103" s="4" t="s">
        <v>336</v>
      </c>
      <c r="H1103" s="4" t="s">
        <v>380</v>
      </c>
      <c r="I1103" s="4">
        <v>1</v>
      </c>
      <c r="J1103" s="21">
        <v>170</v>
      </c>
      <c r="K1103" s="21">
        <v>170</v>
      </c>
      <c r="L1103" s="5">
        <v>0</v>
      </c>
      <c r="M1103" s="4">
        <v>1</v>
      </c>
      <c r="N1103" s="4"/>
      <c r="O1103" s="5">
        <v>170</v>
      </c>
      <c r="P1103" s="5"/>
      <c r="Q1103" s="21">
        <v>0</v>
      </c>
      <c r="R1103" s="21">
        <v>0</v>
      </c>
      <c r="S1103" s="5">
        <f t="shared" si="71"/>
        <v>64477.613760152009</v>
      </c>
      <c r="T1103" cm="1">
        <f t="array" ref="T1103">IF(OR(B1103="MAL ALIMI", B1103="ÜRETİM GİRİŞ"), MIN(I1103, MAX(0, I1103 + SUM(SUMIFS($I$1:I1102, $C$1:C1102, C1103, $B$1:B1102, {"MAL ALIMI","ÜRETİM GİRİŞ"})) - VLOOKUP(C1103, 'STOK RAPORU'!$C$2:$I$1000, 4, 0))), 0)</f>
        <v>0</v>
      </c>
      <c r="U1103" s="22">
        <f t="shared" si="68"/>
        <v>0</v>
      </c>
      <c r="V1103">
        <f t="shared" si="69"/>
        <v>0</v>
      </c>
      <c r="W1103" s="22">
        <f t="shared" si="70"/>
        <v>0</v>
      </c>
    </row>
    <row r="1104" spans="1:23" hidden="1" x14ac:dyDescent="0.25">
      <c r="A1104" s="3">
        <v>45977</v>
      </c>
      <c r="B1104" s="4" t="s">
        <v>334</v>
      </c>
      <c r="C1104" s="4" t="s">
        <v>209</v>
      </c>
      <c r="D1104" s="4"/>
      <c r="E1104" s="4" t="s">
        <v>921</v>
      </c>
      <c r="F1104" s="4" t="s">
        <v>736</v>
      </c>
      <c r="G1104" s="4" t="s">
        <v>336</v>
      </c>
      <c r="H1104" s="4" t="s">
        <v>380</v>
      </c>
      <c r="I1104" s="4">
        <v>0.05</v>
      </c>
      <c r="J1104" s="21">
        <v>2600</v>
      </c>
      <c r="K1104" s="21">
        <v>130</v>
      </c>
      <c r="L1104" s="5">
        <v>0</v>
      </c>
      <c r="M1104" s="4">
        <v>1</v>
      </c>
      <c r="N1104" s="4"/>
      <c r="O1104" s="5">
        <v>130</v>
      </c>
      <c r="P1104" s="5"/>
      <c r="Q1104" s="21">
        <v>0</v>
      </c>
      <c r="R1104" s="21">
        <v>0</v>
      </c>
      <c r="S1104" s="5">
        <f t="shared" si="71"/>
        <v>64477.613760152009</v>
      </c>
      <c r="T1104" cm="1">
        <f t="array" ref="T1104">IF(OR(B1104="MAL ALIMI", B1104="ÜRETİM GİRİŞ"), MIN(I1104, MAX(0, I1104 + SUM(SUMIFS($I$1:I1103, $C$1:C1103, C1104, $B$1:B1103, {"MAL ALIMI","ÜRETİM GİRİŞ"})) - VLOOKUP(C1104, 'STOK RAPORU'!$C$2:$I$1000, 4, 0))), 0)</f>
        <v>0</v>
      </c>
      <c r="U1104" s="22">
        <f t="shared" si="68"/>
        <v>0</v>
      </c>
      <c r="V1104">
        <f t="shared" si="69"/>
        <v>0</v>
      </c>
      <c r="W1104" s="22">
        <f t="shared" si="70"/>
        <v>0</v>
      </c>
    </row>
    <row r="1105" spans="1:23" hidden="1" x14ac:dyDescent="0.25">
      <c r="A1105" s="3">
        <v>45977</v>
      </c>
      <c r="B1105" s="4" t="s">
        <v>334</v>
      </c>
      <c r="C1105" s="4" t="s">
        <v>266</v>
      </c>
      <c r="D1105" s="4"/>
      <c r="E1105" s="4"/>
      <c r="F1105" s="4" t="s">
        <v>737</v>
      </c>
      <c r="G1105" s="4" t="s">
        <v>336</v>
      </c>
      <c r="H1105" s="4" t="s">
        <v>289</v>
      </c>
      <c r="I1105" s="4">
        <v>0.24</v>
      </c>
      <c r="J1105" s="21">
        <v>250</v>
      </c>
      <c r="K1105" s="21">
        <v>0</v>
      </c>
      <c r="L1105" s="5">
        <v>0</v>
      </c>
      <c r="M1105" s="4">
        <v>0.24</v>
      </c>
      <c r="N1105" s="4"/>
      <c r="O1105" s="5">
        <v>250</v>
      </c>
      <c r="P1105" s="5"/>
      <c r="Q1105" s="21">
        <v>60</v>
      </c>
      <c r="R1105" s="21">
        <v>0</v>
      </c>
      <c r="S1105" s="5">
        <f t="shared" si="71"/>
        <v>64537.613760152009</v>
      </c>
      <c r="T1105" cm="1">
        <f t="array" ref="T1105">IF(OR(B1105="MAL ALIMI", B1105="ÜRETİM GİRİŞ"), MIN(I1105, MAX(0, I1105 + SUM(SUMIFS($I$1:I1104, $C$1:C1104, C1105, $B$1:B1104, {"MAL ALIMI","ÜRETİM GİRİŞ"})) - VLOOKUP(C1105, 'STOK RAPORU'!$C$2:$I$1000, 4, 0))), 0)</f>
        <v>0</v>
      </c>
      <c r="U1105" s="22">
        <f t="shared" si="68"/>
        <v>0</v>
      </c>
      <c r="V1105">
        <f t="shared" si="69"/>
        <v>0</v>
      </c>
      <c r="W1105" s="22">
        <f t="shared" si="70"/>
        <v>0</v>
      </c>
    </row>
    <row r="1106" spans="1:23" hidden="1" x14ac:dyDescent="0.25">
      <c r="A1106" s="3">
        <v>45977</v>
      </c>
      <c r="B1106" s="4" t="s">
        <v>334</v>
      </c>
      <c r="C1106" s="4" t="s">
        <v>247</v>
      </c>
      <c r="D1106" s="4"/>
      <c r="E1106" s="4"/>
      <c r="F1106" s="4" t="s">
        <v>737</v>
      </c>
      <c r="G1106" s="4" t="s">
        <v>336</v>
      </c>
      <c r="H1106" s="4" t="s">
        <v>289</v>
      </c>
      <c r="I1106" s="4">
        <v>0.17199999999999999</v>
      </c>
      <c r="J1106" s="21">
        <v>1150</v>
      </c>
      <c r="K1106" s="21">
        <v>0</v>
      </c>
      <c r="L1106" s="5">
        <v>0</v>
      </c>
      <c r="M1106" s="4">
        <v>0.17199999999999999</v>
      </c>
      <c r="N1106" s="4"/>
      <c r="O1106" s="5">
        <v>1150</v>
      </c>
      <c r="P1106" s="5"/>
      <c r="Q1106" s="21">
        <v>197.79999999999998</v>
      </c>
      <c r="R1106" s="21">
        <v>0</v>
      </c>
      <c r="S1106" s="5">
        <f t="shared" si="71"/>
        <v>64735.413760152012</v>
      </c>
      <c r="T1106" cm="1">
        <f t="array" ref="T1106">IF(OR(B1106="MAL ALIMI", B1106="ÜRETİM GİRİŞ"), MIN(I1106, MAX(0, I1106 + SUM(SUMIFS($I$1:I1105, $C$1:C1105, C1106, $B$1:B1105, {"MAL ALIMI","ÜRETİM GİRİŞ"})) - VLOOKUP(C1106, 'STOK RAPORU'!$C$2:$I$1000, 4, 0))), 0)</f>
        <v>0</v>
      </c>
      <c r="U1106" s="22">
        <f t="shared" si="68"/>
        <v>0</v>
      </c>
      <c r="V1106">
        <f t="shared" si="69"/>
        <v>0</v>
      </c>
      <c r="W1106" s="22">
        <f t="shared" si="70"/>
        <v>0</v>
      </c>
    </row>
    <row r="1107" spans="1:23" hidden="1" x14ac:dyDescent="0.25">
      <c r="A1107" s="3">
        <v>45977</v>
      </c>
      <c r="B1107" s="4" t="s">
        <v>334</v>
      </c>
      <c r="C1107" s="4" t="s">
        <v>694</v>
      </c>
      <c r="D1107" s="4"/>
      <c r="E1107" s="4"/>
      <c r="F1107" s="4" t="s">
        <v>737</v>
      </c>
      <c r="G1107" s="4" t="s">
        <v>336</v>
      </c>
      <c r="H1107" s="4" t="s">
        <v>289</v>
      </c>
      <c r="I1107" s="4">
        <v>0.52200000000000002</v>
      </c>
      <c r="J1107" s="21">
        <v>195</v>
      </c>
      <c r="K1107" s="21">
        <v>0</v>
      </c>
      <c r="L1107" s="5">
        <v>0</v>
      </c>
      <c r="M1107" s="4">
        <v>0.52200000000000002</v>
      </c>
      <c r="N1107" s="4"/>
      <c r="O1107" s="5">
        <v>195</v>
      </c>
      <c r="P1107" s="5"/>
      <c r="Q1107" s="21">
        <v>101.79</v>
      </c>
      <c r="R1107" s="21">
        <v>0</v>
      </c>
      <c r="S1107" s="5">
        <f t="shared" si="71"/>
        <v>64837.203760152013</v>
      </c>
      <c r="T1107" cm="1">
        <f t="array" ref="T1107">IF(OR(B1107="MAL ALIMI", B1107="ÜRETİM GİRİŞ"), MIN(I1107, MAX(0, I1107 + SUM(SUMIFS($I$1:I1106, $C$1:C1106, C1107, $B$1:B1106, {"MAL ALIMI","ÜRETİM GİRİŞ"})) - VLOOKUP(C1107, 'STOK RAPORU'!$C$2:$I$1000, 4, 0))), 0)</f>
        <v>0</v>
      </c>
      <c r="U1107" s="22">
        <f t="shared" si="68"/>
        <v>0</v>
      </c>
      <c r="V1107">
        <f t="shared" si="69"/>
        <v>0</v>
      </c>
      <c r="W1107" s="22">
        <f t="shared" si="70"/>
        <v>0</v>
      </c>
    </row>
    <row r="1108" spans="1:23" hidden="1" x14ac:dyDescent="0.25">
      <c r="A1108" s="3">
        <v>45977</v>
      </c>
      <c r="B1108" s="4" t="s">
        <v>334</v>
      </c>
      <c r="C1108" s="4" t="s">
        <v>711</v>
      </c>
      <c r="D1108" s="4"/>
      <c r="E1108" s="4"/>
      <c r="F1108" s="4" t="s">
        <v>737</v>
      </c>
      <c r="G1108" s="4" t="s">
        <v>336</v>
      </c>
      <c r="H1108" s="4" t="s">
        <v>289</v>
      </c>
      <c r="I1108" s="4">
        <v>1</v>
      </c>
      <c r="J1108" s="21">
        <v>170</v>
      </c>
      <c r="K1108" s="21">
        <v>0</v>
      </c>
      <c r="L1108" s="5">
        <v>0</v>
      </c>
      <c r="M1108" s="4">
        <v>1</v>
      </c>
      <c r="N1108" s="4"/>
      <c r="O1108" s="5">
        <v>170</v>
      </c>
      <c r="P1108" s="5"/>
      <c r="Q1108" s="21">
        <v>170</v>
      </c>
      <c r="R1108" s="21">
        <v>0</v>
      </c>
      <c r="S1108" s="5">
        <f t="shared" si="71"/>
        <v>65007.203760152013</v>
      </c>
      <c r="T1108" cm="1">
        <f t="array" ref="T1108">IF(OR(B1108="MAL ALIMI", B1108="ÜRETİM GİRİŞ"), MIN(I1108, MAX(0, I1108 + SUM(SUMIFS($I$1:I1107, $C$1:C1107, C1108, $B$1:B1107, {"MAL ALIMI","ÜRETİM GİRİŞ"})) - VLOOKUP(C1108, 'STOK RAPORU'!$C$2:$I$1000, 4, 0))), 0)</f>
        <v>0</v>
      </c>
      <c r="U1108" s="22">
        <f t="shared" si="68"/>
        <v>0</v>
      </c>
      <c r="V1108">
        <f t="shared" si="69"/>
        <v>0</v>
      </c>
      <c r="W1108" s="22">
        <f t="shared" si="70"/>
        <v>0</v>
      </c>
    </row>
    <row r="1109" spans="1:23" hidden="1" x14ac:dyDescent="0.25">
      <c r="A1109" s="3">
        <v>45977</v>
      </c>
      <c r="B1109" s="4" t="s">
        <v>334</v>
      </c>
      <c r="C1109" s="4" t="s">
        <v>242</v>
      </c>
      <c r="D1109" s="4"/>
      <c r="E1109" s="4"/>
      <c r="F1109" s="4" t="s">
        <v>737</v>
      </c>
      <c r="G1109" s="4" t="s">
        <v>336</v>
      </c>
      <c r="H1109" s="4" t="s">
        <v>289</v>
      </c>
      <c r="I1109" s="4">
        <v>0.15</v>
      </c>
      <c r="J1109" s="21">
        <v>350</v>
      </c>
      <c r="K1109" s="21">
        <v>0</v>
      </c>
      <c r="L1109" s="5">
        <v>0</v>
      </c>
      <c r="M1109" s="4">
        <v>0.15</v>
      </c>
      <c r="N1109" s="4"/>
      <c r="O1109" s="5">
        <v>350</v>
      </c>
      <c r="P1109" s="5"/>
      <c r="Q1109" s="21">
        <v>52.5</v>
      </c>
      <c r="R1109" s="21">
        <v>0</v>
      </c>
      <c r="S1109" s="5">
        <f t="shared" si="71"/>
        <v>65059.703760152013</v>
      </c>
      <c r="T1109" cm="1">
        <f t="array" ref="T1109">IF(OR(B1109="MAL ALIMI", B1109="ÜRETİM GİRİŞ"), MIN(I1109, MAX(0, I1109 + SUM(SUMIFS($I$1:I1108, $C$1:C1108, C1109, $B$1:B1108, {"MAL ALIMI","ÜRETİM GİRİŞ"})) - VLOOKUP(C1109, 'STOK RAPORU'!$C$2:$I$1000, 4, 0))), 0)</f>
        <v>0</v>
      </c>
      <c r="U1109" s="22">
        <f t="shared" si="68"/>
        <v>0</v>
      </c>
      <c r="V1109">
        <f t="shared" si="69"/>
        <v>0</v>
      </c>
      <c r="W1109" s="22">
        <f t="shared" si="70"/>
        <v>0</v>
      </c>
    </row>
    <row r="1110" spans="1:23" hidden="1" x14ac:dyDescent="0.25">
      <c r="A1110" s="3">
        <v>45977</v>
      </c>
      <c r="B1110" s="4" t="s">
        <v>334</v>
      </c>
      <c r="C1110" s="4" t="s">
        <v>197</v>
      </c>
      <c r="D1110" s="4"/>
      <c r="E1110" s="4"/>
      <c r="F1110" s="4" t="s">
        <v>737</v>
      </c>
      <c r="G1110" s="4" t="s">
        <v>336</v>
      </c>
      <c r="H1110" s="4" t="s">
        <v>289</v>
      </c>
      <c r="I1110" s="4">
        <v>0.192</v>
      </c>
      <c r="J1110" s="21">
        <v>180</v>
      </c>
      <c r="K1110" s="21">
        <v>0</v>
      </c>
      <c r="L1110" s="5">
        <v>0</v>
      </c>
      <c r="M1110" s="4">
        <v>0.192</v>
      </c>
      <c r="N1110" s="4"/>
      <c r="O1110" s="5">
        <v>180</v>
      </c>
      <c r="P1110" s="5"/>
      <c r="Q1110" s="21">
        <v>34.56</v>
      </c>
      <c r="R1110" s="21">
        <v>0</v>
      </c>
      <c r="S1110" s="5">
        <f t="shared" si="71"/>
        <v>65094.263760152011</v>
      </c>
      <c r="T1110" cm="1">
        <f t="array" ref="T1110">IF(OR(B1110="MAL ALIMI", B1110="ÜRETİM GİRİŞ"), MIN(I1110, MAX(0, I1110 + SUM(SUMIFS($I$1:I1109, $C$1:C1109, C1110, $B$1:B1109, {"MAL ALIMI","ÜRETİM GİRİŞ"})) - VLOOKUP(C1110, 'STOK RAPORU'!$C$2:$I$1000, 4, 0))), 0)</f>
        <v>0</v>
      </c>
      <c r="U1110" s="22">
        <f t="shared" si="68"/>
        <v>0</v>
      </c>
      <c r="V1110">
        <f t="shared" si="69"/>
        <v>0</v>
      </c>
      <c r="W1110" s="22">
        <f t="shared" si="70"/>
        <v>0</v>
      </c>
    </row>
    <row r="1111" spans="1:23" hidden="1" x14ac:dyDescent="0.25">
      <c r="A1111" s="3">
        <v>45977</v>
      </c>
      <c r="B1111" s="4" t="s">
        <v>334</v>
      </c>
      <c r="C1111" s="4" t="s">
        <v>598</v>
      </c>
      <c r="D1111" s="4"/>
      <c r="E1111" s="4"/>
      <c r="F1111" s="4" t="s">
        <v>737</v>
      </c>
      <c r="G1111" s="4" t="s">
        <v>336</v>
      </c>
      <c r="H1111" s="4" t="s">
        <v>289</v>
      </c>
      <c r="I1111" s="4">
        <v>0.49</v>
      </c>
      <c r="J1111" s="21">
        <v>290</v>
      </c>
      <c r="K1111" s="21">
        <v>0</v>
      </c>
      <c r="L1111" s="5">
        <v>0</v>
      </c>
      <c r="M1111" s="4">
        <v>0.49</v>
      </c>
      <c r="N1111" s="4"/>
      <c r="O1111" s="5">
        <v>290</v>
      </c>
      <c r="P1111" s="5"/>
      <c r="Q1111" s="21">
        <v>142.1</v>
      </c>
      <c r="R1111" s="21">
        <v>0</v>
      </c>
      <c r="S1111" s="5">
        <f t="shared" si="71"/>
        <v>65236.363760152009</v>
      </c>
      <c r="T1111" cm="1">
        <f t="array" ref="T1111">IF(OR(B1111="MAL ALIMI", B1111="ÜRETİM GİRİŞ"), MIN(I1111, MAX(0, I1111 + SUM(SUMIFS($I$1:I1110, $C$1:C1110, C1111, $B$1:B1110, {"MAL ALIMI","ÜRETİM GİRİŞ"})) - VLOOKUP(C1111, 'STOK RAPORU'!$C$2:$I$1000, 4, 0))), 0)</f>
        <v>0</v>
      </c>
      <c r="U1111" s="22">
        <f t="shared" si="68"/>
        <v>0</v>
      </c>
      <c r="V1111">
        <f t="shared" si="69"/>
        <v>0</v>
      </c>
      <c r="W1111" s="22">
        <f t="shared" si="70"/>
        <v>0</v>
      </c>
    </row>
    <row r="1112" spans="1:23" hidden="1" x14ac:dyDescent="0.25">
      <c r="A1112" s="3">
        <v>45977</v>
      </c>
      <c r="B1112" s="4" t="s">
        <v>334</v>
      </c>
      <c r="C1112" s="4" t="s">
        <v>193</v>
      </c>
      <c r="D1112" s="4"/>
      <c r="E1112" s="4"/>
      <c r="F1112" s="4" t="s">
        <v>780</v>
      </c>
      <c r="G1112" s="4" t="s">
        <v>336</v>
      </c>
      <c r="H1112" s="4" t="s">
        <v>289</v>
      </c>
      <c r="I1112" s="4">
        <v>7.8E-2</v>
      </c>
      <c r="J1112" s="21">
        <v>1400</v>
      </c>
      <c r="K1112" s="21">
        <v>0</v>
      </c>
      <c r="L1112" s="5">
        <v>0</v>
      </c>
      <c r="M1112" s="4">
        <v>7.8E-2</v>
      </c>
      <c r="N1112" s="4"/>
      <c r="O1112" s="5">
        <v>1400</v>
      </c>
      <c r="P1112" s="5"/>
      <c r="Q1112" s="21">
        <v>109.2</v>
      </c>
      <c r="R1112" s="21">
        <v>0</v>
      </c>
      <c r="S1112" s="5">
        <f t="shared" si="71"/>
        <v>65345.563760152007</v>
      </c>
      <c r="T1112" cm="1">
        <f t="array" ref="T1112">IF(OR(B1112="MAL ALIMI", B1112="ÜRETİM GİRİŞ"), MIN(I1112, MAX(0, I1112 + SUM(SUMIFS($I$1:I1111, $C$1:C1111, C1112, $B$1:B1111, {"MAL ALIMI","ÜRETİM GİRİŞ"})) - VLOOKUP(C1112, 'STOK RAPORU'!$C$2:$I$1000, 4, 0))), 0)</f>
        <v>0</v>
      </c>
      <c r="U1112" s="22">
        <f t="shared" si="68"/>
        <v>0</v>
      </c>
      <c r="V1112">
        <f t="shared" si="69"/>
        <v>0</v>
      </c>
      <c r="W1112" s="22">
        <f t="shared" si="70"/>
        <v>0</v>
      </c>
    </row>
    <row r="1113" spans="1:23" hidden="1" x14ac:dyDescent="0.25">
      <c r="A1113" s="3">
        <v>45977</v>
      </c>
      <c r="B1113" s="4" t="s">
        <v>334</v>
      </c>
      <c r="C1113" s="4" t="s">
        <v>225</v>
      </c>
      <c r="D1113" s="4"/>
      <c r="E1113" s="4"/>
      <c r="F1113" s="4" t="s">
        <v>780</v>
      </c>
      <c r="G1113" s="4" t="s">
        <v>336</v>
      </c>
      <c r="H1113" s="4" t="s">
        <v>289</v>
      </c>
      <c r="I1113" s="4">
        <v>0.216</v>
      </c>
      <c r="J1113" s="21">
        <v>650</v>
      </c>
      <c r="K1113" s="21">
        <v>0</v>
      </c>
      <c r="L1113" s="5">
        <v>0</v>
      </c>
      <c r="M1113" s="4">
        <v>0.216</v>
      </c>
      <c r="N1113" s="4"/>
      <c r="O1113" s="5">
        <v>650</v>
      </c>
      <c r="P1113" s="5"/>
      <c r="Q1113" s="21">
        <v>140.4</v>
      </c>
      <c r="R1113" s="21">
        <v>0</v>
      </c>
      <c r="S1113" s="5">
        <f t="shared" si="71"/>
        <v>65485.963760152008</v>
      </c>
      <c r="T1113" cm="1">
        <f t="array" ref="T1113">IF(OR(B1113="MAL ALIMI", B1113="ÜRETİM GİRİŞ"), MIN(I1113, MAX(0, I1113 + SUM(SUMIFS($I$1:I1112, $C$1:C1112, C1113, $B$1:B1112, {"MAL ALIMI","ÜRETİM GİRİŞ"})) - VLOOKUP(C1113, 'STOK RAPORU'!$C$2:$I$1000, 4, 0))), 0)</f>
        <v>0</v>
      </c>
      <c r="U1113" s="22">
        <f t="shared" si="68"/>
        <v>0</v>
      </c>
      <c r="V1113">
        <f t="shared" si="69"/>
        <v>0</v>
      </c>
      <c r="W1113" s="22">
        <f t="shared" si="70"/>
        <v>0</v>
      </c>
    </row>
    <row r="1114" spans="1:23" hidden="1" x14ac:dyDescent="0.25">
      <c r="A1114" s="3">
        <v>45977</v>
      </c>
      <c r="B1114" s="4" t="s">
        <v>334</v>
      </c>
      <c r="C1114" s="4" t="s">
        <v>598</v>
      </c>
      <c r="D1114" s="4"/>
      <c r="E1114" s="4"/>
      <c r="F1114" s="4" t="s">
        <v>780</v>
      </c>
      <c r="G1114" s="4" t="s">
        <v>336</v>
      </c>
      <c r="H1114" s="4" t="s">
        <v>289</v>
      </c>
      <c r="I1114" s="4">
        <v>0.47</v>
      </c>
      <c r="J1114" s="21">
        <v>290</v>
      </c>
      <c r="K1114" s="21">
        <v>0</v>
      </c>
      <c r="L1114" s="5">
        <v>0</v>
      </c>
      <c r="M1114" s="4">
        <v>0.47</v>
      </c>
      <c r="N1114" s="4"/>
      <c r="O1114" s="5">
        <v>290</v>
      </c>
      <c r="P1114" s="5"/>
      <c r="Q1114" s="21">
        <v>136.29999999999998</v>
      </c>
      <c r="R1114" s="21">
        <v>0</v>
      </c>
      <c r="S1114" s="5">
        <f t="shared" si="71"/>
        <v>65622.263760152011</v>
      </c>
      <c r="T1114" cm="1">
        <f t="array" ref="T1114">IF(OR(B1114="MAL ALIMI", B1114="ÜRETİM GİRİŞ"), MIN(I1114, MAX(0, I1114 + SUM(SUMIFS($I$1:I1113, $C$1:C1113, C1114, $B$1:B1113, {"MAL ALIMI","ÜRETİM GİRİŞ"})) - VLOOKUP(C1114, 'STOK RAPORU'!$C$2:$I$1000, 4, 0))), 0)</f>
        <v>0</v>
      </c>
      <c r="U1114" s="22">
        <f t="shared" si="68"/>
        <v>0</v>
      </c>
      <c r="V1114">
        <f t="shared" si="69"/>
        <v>0</v>
      </c>
      <c r="W1114" s="22">
        <f t="shared" si="70"/>
        <v>0</v>
      </c>
    </row>
    <row r="1115" spans="1:23" hidden="1" x14ac:dyDescent="0.25">
      <c r="A1115" s="3">
        <v>45977</v>
      </c>
      <c r="B1115" s="4" t="s">
        <v>334</v>
      </c>
      <c r="C1115" s="4" t="s">
        <v>218</v>
      </c>
      <c r="D1115" s="4"/>
      <c r="E1115" s="4"/>
      <c r="F1115" s="4" t="s">
        <v>781</v>
      </c>
      <c r="G1115" s="4" t="s">
        <v>336</v>
      </c>
      <c r="H1115" s="4" t="s">
        <v>289</v>
      </c>
      <c r="I1115" s="4">
        <v>1</v>
      </c>
      <c r="J1115" s="21">
        <v>295</v>
      </c>
      <c r="K1115" s="21">
        <v>0</v>
      </c>
      <c r="L1115" s="5">
        <v>0</v>
      </c>
      <c r="M1115" s="4">
        <v>1</v>
      </c>
      <c r="N1115" s="4"/>
      <c r="O1115" s="5">
        <v>295</v>
      </c>
      <c r="P1115" s="5"/>
      <c r="Q1115" s="21">
        <v>295</v>
      </c>
      <c r="R1115" s="21">
        <v>0</v>
      </c>
      <c r="S1115" s="5">
        <f t="shared" si="71"/>
        <v>65917.263760152011</v>
      </c>
      <c r="T1115" cm="1">
        <f t="array" ref="T1115">IF(OR(B1115="MAL ALIMI", B1115="ÜRETİM GİRİŞ"), MIN(I1115, MAX(0, I1115 + SUM(SUMIFS($I$1:I1114, $C$1:C1114, C1115, $B$1:B1114, {"MAL ALIMI","ÜRETİM GİRİŞ"})) - VLOOKUP(C1115, 'STOK RAPORU'!$C$2:$I$1000, 4, 0))), 0)</f>
        <v>0</v>
      </c>
      <c r="U1115" s="22">
        <f t="shared" si="68"/>
        <v>0</v>
      </c>
      <c r="V1115">
        <f t="shared" si="69"/>
        <v>0</v>
      </c>
      <c r="W1115" s="22">
        <f t="shared" si="70"/>
        <v>0</v>
      </c>
    </row>
    <row r="1116" spans="1:23" hidden="1" x14ac:dyDescent="0.25">
      <c r="A1116" s="3">
        <v>45977</v>
      </c>
      <c r="B1116" s="4" t="s">
        <v>334</v>
      </c>
      <c r="C1116" s="4" t="s">
        <v>507</v>
      </c>
      <c r="D1116" s="4"/>
      <c r="E1116" s="4"/>
      <c r="F1116" s="4" t="s">
        <v>781</v>
      </c>
      <c r="G1116" s="4" t="s">
        <v>336</v>
      </c>
      <c r="H1116" s="4" t="s">
        <v>289</v>
      </c>
      <c r="I1116" s="4">
        <v>1</v>
      </c>
      <c r="J1116" s="21">
        <v>190</v>
      </c>
      <c r="K1116" s="21">
        <v>0</v>
      </c>
      <c r="L1116" s="5">
        <v>0</v>
      </c>
      <c r="M1116" s="4">
        <v>1</v>
      </c>
      <c r="N1116" s="4"/>
      <c r="O1116" s="5">
        <v>190</v>
      </c>
      <c r="P1116" s="5"/>
      <c r="Q1116" s="21">
        <v>190</v>
      </c>
      <c r="R1116" s="21">
        <v>0</v>
      </c>
      <c r="S1116" s="5">
        <f t="shared" si="71"/>
        <v>66107.263760152011</v>
      </c>
      <c r="T1116" cm="1">
        <f t="array" ref="T1116">IF(OR(B1116="MAL ALIMI", B1116="ÜRETİM GİRİŞ"), MIN(I1116, MAX(0, I1116 + SUM(SUMIFS($I$1:I1115, $C$1:C1115, C1116, $B$1:B1115, {"MAL ALIMI","ÜRETİM GİRİŞ"})) - VLOOKUP(C1116, 'STOK RAPORU'!$C$2:$I$1000, 4, 0))), 0)</f>
        <v>0</v>
      </c>
      <c r="U1116" s="22">
        <f t="shared" si="68"/>
        <v>0</v>
      </c>
      <c r="V1116">
        <f t="shared" si="69"/>
        <v>0</v>
      </c>
      <c r="W1116" s="22">
        <f t="shared" si="70"/>
        <v>0</v>
      </c>
    </row>
    <row r="1117" spans="1:23" hidden="1" x14ac:dyDescent="0.25">
      <c r="A1117" s="3">
        <v>45977</v>
      </c>
      <c r="B1117" s="4" t="s">
        <v>334</v>
      </c>
      <c r="C1117" s="4" t="s">
        <v>649</v>
      </c>
      <c r="D1117" s="4"/>
      <c r="E1117" s="4"/>
      <c r="F1117" s="4" t="s">
        <v>781</v>
      </c>
      <c r="G1117" s="4" t="s">
        <v>336</v>
      </c>
      <c r="H1117" s="4" t="s">
        <v>289</v>
      </c>
      <c r="I1117" s="4">
        <v>1</v>
      </c>
      <c r="J1117" s="21">
        <v>350</v>
      </c>
      <c r="K1117" s="21">
        <v>0</v>
      </c>
      <c r="L1117" s="5">
        <v>0</v>
      </c>
      <c r="M1117" s="4">
        <v>1</v>
      </c>
      <c r="N1117" s="4"/>
      <c r="O1117" s="5">
        <v>350</v>
      </c>
      <c r="P1117" s="5"/>
      <c r="Q1117" s="21">
        <v>350</v>
      </c>
      <c r="R1117" s="21">
        <v>0</v>
      </c>
      <c r="S1117" s="5">
        <f t="shared" si="71"/>
        <v>66457.263760152011</v>
      </c>
      <c r="T1117" cm="1">
        <f t="array" ref="T1117">IF(OR(B1117="MAL ALIMI", B1117="ÜRETİM GİRİŞ"), MIN(I1117, MAX(0, I1117 + SUM(SUMIFS($I$1:I1116, $C$1:C1116, C1117, $B$1:B1116, {"MAL ALIMI","ÜRETİM GİRİŞ"})) - VLOOKUP(C1117, 'STOK RAPORU'!$C$2:$I$1000, 4, 0))), 0)</f>
        <v>0</v>
      </c>
      <c r="U1117" s="22">
        <f t="shared" si="68"/>
        <v>0</v>
      </c>
      <c r="V1117">
        <f t="shared" si="69"/>
        <v>0</v>
      </c>
      <c r="W1117" s="22">
        <f t="shared" si="70"/>
        <v>0</v>
      </c>
    </row>
    <row r="1118" spans="1:23" hidden="1" x14ac:dyDescent="0.25">
      <c r="A1118" s="3">
        <v>45977</v>
      </c>
      <c r="B1118" s="4" t="s">
        <v>334</v>
      </c>
      <c r="C1118" s="4" t="s">
        <v>160</v>
      </c>
      <c r="D1118" s="4"/>
      <c r="E1118" s="4"/>
      <c r="F1118" s="4" t="s">
        <v>781</v>
      </c>
      <c r="G1118" s="4" t="s">
        <v>336</v>
      </c>
      <c r="H1118" s="4" t="s">
        <v>289</v>
      </c>
      <c r="I1118" s="4">
        <v>1</v>
      </c>
      <c r="J1118" s="21">
        <v>240</v>
      </c>
      <c r="K1118" s="21">
        <v>0</v>
      </c>
      <c r="L1118" s="5">
        <v>0</v>
      </c>
      <c r="M1118" s="4">
        <v>1</v>
      </c>
      <c r="N1118" s="4"/>
      <c r="O1118" s="5">
        <v>240</v>
      </c>
      <c r="P1118" s="5"/>
      <c r="Q1118" s="21">
        <v>240</v>
      </c>
      <c r="R1118" s="21">
        <v>0</v>
      </c>
      <c r="S1118" s="5">
        <f t="shared" si="71"/>
        <v>66697.263760152011</v>
      </c>
      <c r="T1118" cm="1">
        <f t="array" ref="T1118">IF(OR(B1118="MAL ALIMI", B1118="ÜRETİM GİRİŞ"), MIN(I1118, MAX(0, I1118 + SUM(SUMIFS($I$1:I1117, $C$1:C1117, C1118, $B$1:B1117, {"MAL ALIMI","ÜRETİM GİRİŞ"})) - VLOOKUP(C1118, 'STOK RAPORU'!$C$2:$I$1000, 4, 0))), 0)</f>
        <v>0</v>
      </c>
      <c r="U1118" s="22">
        <f t="shared" si="68"/>
        <v>0</v>
      </c>
      <c r="V1118">
        <f t="shared" si="69"/>
        <v>0</v>
      </c>
      <c r="W1118" s="22">
        <f t="shared" si="70"/>
        <v>0</v>
      </c>
    </row>
    <row r="1119" spans="1:23" hidden="1" x14ac:dyDescent="0.25">
      <c r="A1119" s="3">
        <v>45977</v>
      </c>
      <c r="B1119" s="4" t="s">
        <v>334</v>
      </c>
      <c r="C1119" s="4" t="s">
        <v>167</v>
      </c>
      <c r="D1119" s="4"/>
      <c r="E1119" s="4"/>
      <c r="F1119" s="4" t="s">
        <v>781</v>
      </c>
      <c r="G1119" s="4" t="s">
        <v>336</v>
      </c>
      <c r="H1119" s="4" t="s">
        <v>289</v>
      </c>
      <c r="I1119" s="4">
        <v>1</v>
      </c>
      <c r="J1119" s="21">
        <v>200</v>
      </c>
      <c r="K1119" s="21">
        <v>0</v>
      </c>
      <c r="L1119" s="5">
        <v>0</v>
      </c>
      <c r="M1119" s="4">
        <v>1</v>
      </c>
      <c r="N1119" s="4"/>
      <c r="O1119" s="5">
        <v>200</v>
      </c>
      <c r="P1119" s="5"/>
      <c r="Q1119" s="21">
        <v>200</v>
      </c>
      <c r="R1119" s="21">
        <v>0</v>
      </c>
      <c r="S1119" s="5">
        <f t="shared" si="71"/>
        <v>66897.263760152011</v>
      </c>
      <c r="T1119" cm="1">
        <f t="array" ref="T1119">IF(OR(B1119="MAL ALIMI", B1119="ÜRETİM GİRİŞ"), MIN(I1119, MAX(0, I1119 + SUM(SUMIFS($I$1:I1118, $C$1:C1118, C1119, $B$1:B1118, {"MAL ALIMI","ÜRETİM GİRİŞ"})) - VLOOKUP(C1119, 'STOK RAPORU'!$C$2:$I$1000, 4, 0))), 0)</f>
        <v>0</v>
      </c>
      <c r="U1119" s="22">
        <f t="shared" si="68"/>
        <v>0</v>
      </c>
      <c r="V1119">
        <f t="shared" si="69"/>
        <v>0</v>
      </c>
      <c r="W1119" s="22">
        <f t="shared" si="70"/>
        <v>0</v>
      </c>
    </row>
    <row r="1120" spans="1:23" hidden="1" x14ac:dyDescent="0.25">
      <c r="A1120" s="3">
        <v>45977</v>
      </c>
      <c r="B1120" s="4" t="s">
        <v>334</v>
      </c>
      <c r="C1120" s="4" t="s">
        <v>168</v>
      </c>
      <c r="D1120" s="4"/>
      <c r="E1120" s="4"/>
      <c r="F1120" s="4" t="s">
        <v>781</v>
      </c>
      <c r="G1120" s="4" t="s">
        <v>336</v>
      </c>
      <c r="H1120" s="4" t="s">
        <v>289</v>
      </c>
      <c r="I1120" s="4">
        <v>1</v>
      </c>
      <c r="J1120" s="21">
        <v>200</v>
      </c>
      <c r="K1120" s="21">
        <v>0</v>
      </c>
      <c r="L1120" s="5">
        <v>0</v>
      </c>
      <c r="M1120" s="4">
        <v>1</v>
      </c>
      <c r="N1120" s="4"/>
      <c r="O1120" s="5">
        <v>200</v>
      </c>
      <c r="P1120" s="5"/>
      <c r="Q1120" s="21">
        <v>200</v>
      </c>
      <c r="R1120" s="21">
        <v>0</v>
      </c>
      <c r="S1120" s="5">
        <f t="shared" si="71"/>
        <v>67097.263760152011</v>
      </c>
      <c r="T1120" cm="1">
        <f t="array" ref="T1120">IF(OR(B1120="MAL ALIMI", B1120="ÜRETİM GİRİŞ"), MIN(I1120, MAX(0, I1120 + SUM(SUMIFS($I$1:I1119, $C$1:C1119, C1120, $B$1:B1119, {"MAL ALIMI","ÜRETİM GİRİŞ"})) - VLOOKUP(C1120, 'STOK RAPORU'!$C$2:$I$1000, 4, 0))), 0)</f>
        <v>0</v>
      </c>
      <c r="U1120" s="22">
        <f t="shared" si="68"/>
        <v>0</v>
      </c>
      <c r="V1120">
        <f t="shared" si="69"/>
        <v>0</v>
      </c>
      <c r="W1120" s="22">
        <f t="shared" si="70"/>
        <v>0</v>
      </c>
    </row>
    <row r="1121" spans="1:23" hidden="1" x14ac:dyDescent="0.25">
      <c r="A1121" s="3">
        <v>45977</v>
      </c>
      <c r="B1121" s="4" t="s">
        <v>334</v>
      </c>
      <c r="C1121" s="4" t="s">
        <v>234</v>
      </c>
      <c r="D1121" s="4"/>
      <c r="E1121" s="4"/>
      <c r="F1121" s="4" t="s">
        <v>781</v>
      </c>
      <c r="G1121" s="4" t="s">
        <v>336</v>
      </c>
      <c r="H1121" s="4" t="s">
        <v>289</v>
      </c>
      <c r="I1121" s="4">
        <v>1</v>
      </c>
      <c r="J1121" s="21">
        <v>180</v>
      </c>
      <c r="K1121" s="21">
        <v>0</v>
      </c>
      <c r="L1121" s="5">
        <v>0</v>
      </c>
      <c r="M1121" s="4">
        <v>1</v>
      </c>
      <c r="N1121" s="4"/>
      <c r="O1121" s="5">
        <v>180</v>
      </c>
      <c r="P1121" s="5"/>
      <c r="Q1121" s="21">
        <v>180</v>
      </c>
      <c r="R1121" s="21">
        <v>0</v>
      </c>
      <c r="S1121" s="5">
        <f t="shared" si="71"/>
        <v>67277.263760152011</v>
      </c>
      <c r="T1121" cm="1">
        <f t="array" ref="T1121">IF(OR(B1121="MAL ALIMI", B1121="ÜRETİM GİRİŞ"), MIN(I1121, MAX(0, I1121 + SUM(SUMIFS($I$1:I1120, $C$1:C1120, C1121, $B$1:B1120, {"MAL ALIMI","ÜRETİM GİRİŞ"})) - VLOOKUP(C1121, 'STOK RAPORU'!$C$2:$I$1000, 4, 0))), 0)</f>
        <v>0</v>
      </c>
      <c r="U1121" s="22">
        <f t="shared" si="68"/>
        <v>0</v>
      </c>
      <c r="V1121">
        <f t="shared" si="69"/>
        <v>0</v>
      </c>
      <c r="W1121" s="22">
        <f t="shared" si="70"/>
        <v>0</v>
      </c>
    </row>
    <row r="1122" spans="1:23" hidden="1" x14ac:dyDescent="0.25">
      <c r="A1122" s="3">
        <v>45977</v>
      </c>
      <c r="B1122" s="4" t="s">
        <v>334</v>
      </c>
      <c r="C1122" s="4" t="s">
        <v>148</v>
      </c>
      <c r="D1122" s="4"/>
      <c r="E1122" s="4"/>
      <c r="F1122" s="4" t="s">
        <v>781</v>
      </c>
      <c r="G1122" s="4" t="s">
        <v>336</v>
      </c>
      <c r="H1122" s="4" t="s">
        <v>289</v>
      </c>
      <c r="I1122" s="4">
        <v>1</v>
      </c>
      <c r="J1122" s="21">
        <v>65</v>
      </c>
      <c r="K1122" s="21">
        <v>0</v>
      </c>
      <c r="L1122" s="5">
        <v>0</v>
      </c>
      <c r="M1122" s="4">
        <v>1</v>
      </c>
      <c r="N1122" s="4"/>
      <c r="O1122" s="5">
        <v>65</v>
      </c>
      <c r="P1122" s="5"/>
      <c r="Q1122" s="21">
        <v>65</v>
      </c>
      <c r="R1122" s="21">
        <v>0</v>
      </c>
      <c r="S1122" s="5">
        <f t="shared" si="71"/>
        <v>67342.263760152011</v>
      </c>
      <c r="T1122" cm="1">
        <f t="array" ref="T1122">IF(OR(B1122="MAL ALIMI", B1122="ÜRETİM GİRİŞ"), MIN(I1122, MAX(0, I1122 + SUM(SUMIFS($I$1:I1121, $C$1:C1121, C1122, $B$1:B1121, {"MAL ALIMI","ÜRETİM GİRİŞ"})) - VLOOKUP(C1122, 'STOK RAPORU'!$C$2:$I$1000, 4, 0))), 0)</f>
        <v>0</v>
      </c>
      <c r="U1122" s="22">
        <f t="shared" si="68"/>
        <v>0</v>
      </c>
      <c r="V1122">
        <f t="shared" si="69"/>
        <v>0</v>
      </c>
      <c r="W1122" s="22">
        <f t="shared" si="70"/>
        <v>0</v>
      </c>
    </row>
    <row r="1123" spans="1:23" hidden="1" x14ac:dyDescent="0.25">
      <c r="A1123" s="3">
        <v>45977</v>
      </c>
      <c r="B1123" s="4" t="s">
        <v>334</v>
      </c>
      <c r="C1123" s="4" t="s">
        <v>459</v>
      </c>
      <c r="D1123" s="4"/>
      <c r="E1123" s="4"/>
      <c r="F1123" s="4" t="s">
        <v>781</v>
      </c>
      <c r="G1123" s="4" t="s">
        <v>336</v>
      </c>
      <c r="H1123" s="4" t="s">
        <v>289</v>
      </c>
      <c r="I1123" s="4">
        <v>0.2</v>
      </c>
      <c r="J1123" s="21">
        <v>200</v>
      </c>
      <c r="K1123" s="21">
        <v>0</v>
      </c>
      <c r="L1123" s="5">
        <v>0</v>
      </c>
      <c r="M1123" s="4">
        <v>2</v>
      </c>
      <c r="N1123" s="4"/>
      <c r="O1123" s="5">
        <v>20</v>
      </c>
      <c r="P1123" s="5"/>
      <c r="Q1123" s="21">
        <v>40</v>
      </c>
      <c r="R1123" s="21">
        <v>0</v>
      </c>
      <c r="S1123" s="5">
        <f t="shared" si="71"/>
        <v>67382.263760152011</v>
      </c>
      <c r="T1123" cm="1">
        <f t="array" ref="T1123">IF(OR(B1123="MAL ALIMI", B1123="ÜRETİM GİRİŞ"), MIN(I1123, MAX(0, I1123 + SUM(SUMIFS($I$1:I1122, $C$1:C1122, C1123, $B$1:B1122, {"MAL ALIMI","ÜRETİM GİRİŞ"})) - VLOOKUP(C1123, 'STOK RAPORU'!$C$2:$I$1000, 4, 0))), 0)</f>
        <v>0</v>
      </c>
      <c r="U1123" s="22">
        <f t="shared" si="68"/>
        <v>0</v>
      </c>
      <c r="V1123">
        <f t="shared" si="69"/>
        <v>0</v>
      </c>
      <c r="W1123" s="22">
        <f t="shared" si="70"/>
        <v>0</v>
      </c>
    </row>
    <row r="1124" spans="1:23" hidden="1" x14ac:dyDescent="0.25">
      <c r="A1124" s="3">
        <v>45977</v>
      </c>
      <c r="B1124" s="4" t="s">
        <v>334</v>
      </c>
      <c r="C1124" s="4" t="s">
        <v>158</v>
      </c>
      <c r="D1124" s="4"/>
      <c r="E1124" s="4"/>
      <c r="F1124" s="4" t="s">
        <v>781</v>
      </c>
      <c r="G1124" s="4" t="s">
        <v>336</v>
      </c>
      <c r="H1124" s="4" t="s">
        <v>289</v>
      </c>
      <c r="I1124" s="4">
        <v>0.99399999999999999</v>
      </c>
      <c r="J1124" s="21">
        <v>130</v>
      </c>
      <c r="K1124" s="21">
        <v>0</v>
      </c>
      <c r="L1124" s="5">
        <v>0</v>
      </c>
      <c r="M1124" s="4">
        <v>0.99399999999999999</v>
      </c>
      <c r="N1124" s="4"/>
      <c r="O1124" s="5">
        <v>130</v>
      </c>
      <c r="P1124" s="5"/>
      <c r="Q1124" s="21">
        <v>129.22</v>
      </c>
      <c r="R1124" s="21">
        <v>0</v>
      </c>
      <c r="S1124" s="5">
        <f t="shared" si="71"/>
        <v>67511.483760152012</v>
      </c>
      <c r="T1124" cm="1">
        <f t="array" ref="T1124">IF(OR(B1124="MAL ALIMI", B1124="ÜRETİM GİRİŞ"), MIN(I1124, MAX(0, I1124 + SUM(SUMIFS($I$1:I1123, $C$1:C1123, C1124, $B$1:B1123, {"MAL ALIMI","ÜRETİM GİRİŞ"})) - VLOOKUP(C1124, 'STOK RAPORU'!$C$2:$I$1000, 4, 0))), 0)</f>
        <v>0</v>
      </c>
      <c r="U1124" s="22">
        <f t="shared" si="68"/>
        <v>0</v>
      </c>
      <c r="V1124">
        <f t="shared" si="69"/>
        <v>0</v>
      </c>
      <c r="W1124" s="22">
        <f t="shared" si="70"/>
        <v>0</v>
      </c>
    </row>
    <row r="1125" spans="1:23" hidden="1" x14ac:dyDescent="0.25">
      <c r="A1125" s="3">
        <v>45977</v>
      </c>
      <c r="B1125" s="4" t="s">
        <v>334</v>
      </c>
      <c r="C1125" s="4" t="s">
        <v>157</v>
      </c>
      <c r="D1125" s="4"/>
      <c r="E1125" s="4"/>
      <c r="F1125" s="4" t="s">
        <v>781</v>
      </c>
      <c r="G1125" s="4" t="s">
        <v>336</v>
      </c>
      <c r="H1125" s="4" t="s">
        <v>289</v>
      </c>
      <c r="I1125" s="4">
        <v>0.59799999999999998</v>
      </c>
      <c r="J1125" s="21">
        <v>180</v>
      </c>
      <c r="K1125" s="21">
        <v>0</v>
      </c>
      <c r="L1125" s="5">
        <v>0</v>
      </c>
      <c r="M1125" s="4">
        <v>0.59799999999999998</v>
      </c>
      <c r="N1125" s="4"/>
      <c r="O1125" s="5">
        <v>180</v>
      </c>
      <c r="P1125" s="5"/>
      <c r="Q1125" s="21">
        <v>107.64</v>
      </c>
      <c r="R1125" s="21">
        <v>0</v>
      </c>
      <c r="S1125" s="5">
        <f t="shared" si="71"/>
        <v>67619.123760152012</v>
      </c>
      <c r="T1125" cm="1">
        <f t="array" ref="T1125">IF(OR(B1125="MAL ALIMI", B1125="ÜRETİM GİRİŞ"), MIN(I1125, MAX(0, I1125 + SUM(SUMIFS($I$1:I1124, $C$1:C1124, C1125, $B$1:B1124, {"MAL ALIMI","ÜRETİM GİRİŞ"})) - VLOOKUP(C1125, 'STOK RAPORU'!$C$2:$I$1000, 4, 0))), 0)</f>
        <v>0</v>
      </c>
      <c r="U1125" s="22">
        <f t="shared" si="68"/>
        <v>0</v>
      </c>
      <c r="V1125">
        <f t="shared" si="69"/>
        <v>0</v>
      </c>
      <c r="W1125" s="22">
        <f t="shared" si="70"/>
        <v>0</v>
      </c>
    </row>
    <row r="1126" spans="1:23" hidden="1" x14ac:dyDescent="0.25">
      <c r="A1126" s="3">
        <v>45977</v>
      </c>
      <c r="B1126" s="4" t="s">
        <v>334</v>
      </c>
      <c r="C1126" s="4" t="s">
        <v>634</v>
      </c>
      <c r="D1126" s="4"/>
      <c r="E1126" s="4"/>
      <c r="F1126" s="4" t="s">
        <v>781</v>
      </c>
      <c r="G1126" s="4" t="s">
        <v>336</v>
      </c>
      <c r="H1126" s="4" t="s">
        <v>289</v>
      </c>
      <c r="I1126" s="4">
        <v>0.23599999999999999</v>
      </c>
      <c r="J1126" s="21">
        <v>850</v>
      </c>
      <c r="K1126" s="21">
        <v>0</v>
      </c>
      <c r="L1126" s="5">
        <v>0</v>
      </c>
      <c r="M1126" s="4">
        <v>0.23599999999999999</v>
      </c>
      <c r="N1126" s="4"/>
      <c r="O1126" s="5">
        <v>850</v>
      </c>
      <c r="P1126" s="5"/>
      <c r="Q1126" s="21">
        <v>200.6</v>
      </c>
      <c r="R1126" s="21">
        <v>0</v>
      </c>
      <c r="S1126" s="5">
        <f t="shared" si="71"/>
        <v>67819.723760152017</v>
      </c>
      <c r="T1126" cm="1">
        <f t="array" ref="T1126">IF(OR(B1126="MAL ALIMI", B1126="ÜRETİM GİRİŞ"), MIN(I1126, MAX(0, I1126 + SUM(SUMIFS($I$1:I1125, $C$1:C1125, C1126, $B$1:B1125, {"MAL ALIMI","ÜRETİM GİRİŞ"})) - VLOOKUP(C1126, 'STOK RAPORU'!$C$2:$I$1000, 4, 0))), 0)</f>
        <v>0</v>
      </c>
      <c r="U1126" s="22">
        <f t="shared" si="68"/>
        <v>0</v>
      </c>
      <c r="V1126">
        <f t="shared" si="69"/>
        <v>0</v>
      </c>
      <c r="W1126" s="22">
        <f t="shared" si="70"/>
        <v>0</v>
      </c>
    </row>
    <row r="1127" spans="1:23" hidden="1" x14ac:dyDescent="0.25">
      <c r="A1127" s="3">
        <v>45977</v>
      </c>
      <c r="B1127" s="4" t="s">
        <v>334</v>
      </c>
      <c r="C1127" s="4" t="s">
        <v>690</v>
      </c>
      <c r="D1127" s="4"/>
      <c r="E1127" s="4"/>
      <c r="F1127" s="4" t="s">
        <v>781</v>
      </c>
      <c r="G1127" s="4" t="s">
        <v>336</v>
      </c>
      <c r="H1127" s="4" t="s">
        <v>289</v>
      </c>
      <c r="I1127" s="4">
        <v>0.51400000000000001</v>
      </c>
      <c r="J1127" s="21">
        <v>340</v>
      </c>
      <c r="K1127" s="21">
        <v>0</v>
      </c>
      <c r="L1127" s="5">
        <v>0</v>
      </c>
      <c r="M1127" s="4">
        <v>0.51400000000000001</v>
      </c>
      <c r="N1127" s="4"/>
      <c r="O1127" s="5">
        <v>340</v>
      </c>
      <c r="P1127" s="5"/>
      <c r="Q1127" s="21">
        <v>174.76</v>
      </c>
      <c r="R1127" s="21">
        <v>0</v>
      </c>
      <c r="S1127" s="5">
        <f t="shared" si="71"/>
        <v>67994.483760152012</v>
      </c>
      <c r="T1127" cm="1">
        <f t="array" ref="T1127">IF(OR(B1127="MAL ALIMI", B1127="ÜRETİM GİRİŞ"), MIN(I1127, MAX(0, I1127 + SUM(SUMIFS($I$1:I1126, $C$1:C1126, C1127, $B$1:B1126, {"MAL ALIMI","ÜRETİM GİRİŞ"})) - VLOOKUP(C1127, 'STOK RAPORU'!$C$2:$I$1000, 4, 0))), 0)</f>
        <v>0</v>
      </c>
      <c r="U1127" s="22">
        <f t="shared" si="68"/>
        <v>0</v>
      </c>
      <c r="V1127">
        <f t="shared" si="69"/>
        <v>0</v>
      </c>
      <c r="W1127" s="22">
        <f t="shared" si="70"/>
        <v>0</v>
      </c>
    </row>
    <row r="1128" spans="1:23" hidden="1" x14ac:dyDescent="0.25">
      <c r="A1128" s="3">
        <v>45977</v>
      </c>
      <c r="B1128" s="4" t="s">
        <v>334</v>
      </c>
      <c r="C1128" s="4" t="s">
        <v>208</v>
      </c>
      <c r="D1128" s="4"/>
      <c r="E1128" s="4"/>
      <c r="F1128" s="4" t="s">
        <v>781</v>
      </c>
      <c r="G1128" s="4" t="s">
        <v>336</v>
      </c>
      <c r="H1128" s="4" t="s">
        <v>289</v>
      </c>
      <c r="I1128" s="4">
        <v>0.5</v>
      </c>
      <c r="J1128" s="21">
        <v>140</v>
      </c>
      <c r="K1128" s="21">
        <v>0</v>
      </c>
      <c r="L1128" s="5">
        <v>0</v>
      </c>
      <c r="M1128" s="4">
        <v>1</v>
      </c>
      <c r="N1128" s="4"/>
      <c r="O1128" s="5">
        <v>70</v>
      </c>
      <c r="P1128" s="5"/>
      <c r="Q1128" s="21">
        <v>70</v>
      </c>
      <c r="R1128" s="21">
        <v>0</v>
      </c>
      <c r="S1128" s="5">
        <f t="shared" si="71"/>
        <v>68064.483760152012</v>
      </c>
      <c r="T1128" cm="1">
        <f t="array" ref="T1128">IF(OR(B1128="MAL ALIMI", B1128="ÜRETİM GİRİŞ"), MIN(I1128, MAX(0, I1128 + SUM(SUMIFS($I$1:I1127, $C$1:C1127, C1128, $B$1:B1127, {"MAL ALIMI","ÜRETİM GİRİŞ"})) - VLOOKUP(C1128, 'STOK RAPORU'!$C$2:$I$1000, 4, 0))), 0)</f>
        <v>0</v>
      </c>
      <c r="U1128" s="22">
        <f t="shared" si="68"/>
        <v>0</v>
      </c>
      <c r="V1128">
        <f t="shared" si="69"/>
        <v>0</v>
      </c>
      <c r="W1128" s="22">
        <f t="shared" si="70"/>
        <v>0</v>
      </c>
    </row>
    <row r="1129" spans="1:23" hidden="1" x14ac:dyDescent="0.25">
      <c r="A1129" s="3">
        <v>45977</v>
      </c>
      <c r="B1129" s="4" t="s">
        <v>334</v>
      </c>
      <c r="C1129" s="4" t="s">
        <v>199</v>
      </c>
      <c r="D1129" s="4"/>
      <c r="E1129" s="4"/>
      <c r="F1129" s="4" t="s">
        <v>781</v>
      </c>
      <c r="G1129" s="4" t="s">
        <v>336</v>
      </c>
      <c r="H1129" s="4" t="s">
        <v>289</v>
      </c>
      <c r="I1129" s="4">
        <v>0.38400000000000001</v>
      </c>
      <c r="J1129" s="21">
        <v>930</v>
      </c>
      <c r="K1129" s="21">
        <v>0</v>
      </c>
      <c r="L1129" s="5">
        <v>0</v>
      </c>
      <c r="M1129" s="4">
        <v>0.38400000000000001</v>
      </c>
      <c r="N1129" s="4"/>
      <c r="O1129" s="5">
        <v>930</v>
      </c>
      <c r="P1129" s="5"/>
      <c r="Q1129" s="21">
        <v>357.12</v>
      </c>
      <c r="R1129" s="21">
        <v>0</v>
      </c>
      <c r="S1129" s="5">
        <f t="shared" si="71"/>
        <v>68421.603760152007</v>
      </c>
      <c r="T1129" cm="1">
        <f t="array" ref="T1129">IF(OR(B1129="MAL ALIMI", B1129="ÜRETİM GİRİŞ"), MIN(I1129, MAX(0, I1129 + SUM(SUMIFS($I$1:I1128, $C$1:C1128, C1129, $B$1:B1128, {"MAL ALIMI","ÜRETİM GİRİŞ"})) - VLOOKUP(C1129, 'STOK RAPORU'!$C$2:$I$1000, 4, 0))), 0)</f>
        <v>0</v>
      </c>
      <c r="U1129" s="22">
        <f t="shared" si="68"/>
        <v>0</v>
      </c>
      <c r="V1129">
        <f t="shared" si="69"/>
        <v>0</v>
      </c>
      <c r="W1129" s="22">
        <f t="shared" si="70"/>
        <v>0</v>
      </c>
    </row>
    <row r="1130" spans="1:23" hidden="1" x14ac:dyDescent="0.25">
      <c r="A1130" s="3">
        <v>45977</v>
      </c>
      <c r="B1130" s="4" t="s">
        <v>334</v>
      </c>
      <c r="C1130" s="4" t="s">
        <v>463</v>
      </c>
      <c r="D1130" s="4"/>
      <c r="E1130" s="4"/>
      <c r="F1130" s="4" t="s">
        <v>781</v>
      </c>
      <c r="G1130" s="4" t="s">
        <v>336</v>
      </c>
      <c r="H1130" s="4" t="s">
        <v>289</v>
      </c>
      <c r="I1130" s="4">
        <v>0.192</v>
      </c>
      <c r="J1130" s="21">
        <v>370</v>
      </c>
      <c r="K1130" s="21">
        <v>0</v>
      </c>
      <c r="L1130" s="5">
        <v>0</v>
      </c>
      <c r="M1130" s="4">
        <v>0.192</v>
      </c>
      <c r="N1130" s="4"/>
      <c r="O1130" s="5">
        <v>370</v>
      </c>
      <c r="P1130" s="5"/>
      <c r="Q1130" s="21">
        <v>71.040000000000006</v>
      </c>
      <c r="R1130" s="21">
        <v>0</v>
      </c>
      <c r="S1130" s="5">
        <f t="shared" si="71"/>
        <v>68492.643760152001</v>
      </c>
      <c r="T1130" cm="1">
        <f t="array" ref="T1130">IF(OR(B1130="MAL ALIMI", B1130="ÜRETİM GİRİŞ"), MIN(I1130, MAX(0, I1130 + SUM(SUMIFS($I$1:I1129, $C$1:C1129, C1130, $B$1:B1129, {"MAL ALIMI","ÜRETİM GİRİŞ"})) - VLOOKUP(C1130, 'STOK RAPORU'!$C$2:$I$1000, 4, 0))), 0)</f>
        <v>0</v>
      </c>
      <c r="U1130" s="22">
        <f t="shared" si="68"/>
        <v>0</v>
      </c>
      <c r="V1130">
        <f t="shared" si="69"/>
        <v>0</v>
      </c>
      <c r="W1130" s="22">
        <f t="shared" si="70"/>
        <v>0</v>
      </c>
    </row>
    <row r="1131" spans="1:23" hidden="1" x14ac:dyDescent="0.25">
      <c r="A1131" s="3">
        <v>45977</v>
      </c>
      <c r="B1131" s="4" t="s">
        <v>334</v>
      </c>
      <c r="C1131" s="4" t="s">
        <v>163</v>
      </c>
      <c r="D1131" s="4"/>
      <c r="E1131" s="4"/>
      <c r="F1131" s="4" t="s">
        <v>781</v>
      </c>
      <c r="G1131" s="4" t="s">
        <v>336</v>
      </c>
      <c r="H1131" s="4" t="s">
        <v>289</v>
      </c>
      <c r="I1131" s="4">
        <v>0.24199999999999999</v>
      </c>
      <c r="J1131" s="21">
        <v>420</v>
      </c>
      <c r="K1131" s="21">
        <v>0</v>
      </c>
      <c r="L1131" s="5">
        <v>0</v>
      </c>
      <c r="M1131" s="4">
        <v>0.24199999999999999</v>
      </c>
      <c r="N1131" s="4"/>
      <c r="O1131" s="5">
        <v>420</v>
      </c>
      <c r="P1131" s="5"/>
      <c r="Q1131" s="21">
        <v>101.64</v>
      </c>
      <c r="R1131" s="21">
        <v>0</v>
      </c>
      <c r="S1131" s="5">
        <f t="shared" si="71"/>
        <v>68594.283760152</v>
      </c>
      <c r="T1131" cm="1">
        <f t="array" ref="T1131">IF(OR(B1131="MAL ALIMI", B1131="ÜRETİM GİRİŞ"), MIN(I1131, MAX(0, I1131 + SUM(SUMIFS($I$1:I1130, $C$1:C1130, C1131, $B$1:B1130, {"MAL ALIMI","ÜRETİM GİRİŞ"})) - VLOOKUP(C1131, 'STOK RAPORU'!$C$2:$I$1000, 4, 0))), 0)</f>
        <v>0</v>
      </c>
      <c r="U1131" s="22">
        <f t="shared" si="68"/>
        <v>0</v>
      </c>
      <c r="V1131">
        <f t="shared" si="69"/>
        <v>0</v>
      </c>
      <c r="W1131" s="22">
        <f t="shared" si="70"/>
        <v>0</v>
      </c>
    </row>
    <row r="1132" spans="1:23" hidden="1" x14ac:dyDescent="0.25">
      <c r="A1132" s="3">
        <v>45977</v>
      </c>
      <c r="B1132" s="4" t="s">
        <v>334</v>
      </c>
      <c r="C1132" s="4" t="s">
        <v>129</v>
      </c>
      <c r="D1132" s="4"/>
      <c r="E1132" s="4"/>
      <c r="F1132" s="4" t="s">
        <v>781</v>
      </c>
      <c r="G1132" s="4" t="s">
        <v>336</v>
      </c>
      <c r="H1132" s="4" t="s">
        <v>289</v>
      </c>
      <c r="I1132" s="4">
        <v>0.13400000000000001</v>
      </c>
      <c r="J1132" s="21">
        <v>390</v>
      </c>
      <c r="K1132" s="21">
        <v>0</v>
      </c>
      <c r="L1132" s="5">
        <v>0</v>
      </c>
      <c r="M1132" s="4">
        <v>0.13400000000000001</v>
      </c>
      <c r="N1132" s="4"/>
      <c r="O1132" s="5">
        <v>390</v>
      </c>
      <c r="P1132" s="5"/>
      <c r="Q1132" s="21">
        <v>52.260000000000005</v>
      </c>
      <c r="R1132" s="21">
        <v>0</v>
      </c>
      <c r="S1132" s="5">
        <f t="shared" si="71"/>
        <v>68646.543760151995</v>
      </c>
      <c r="T1132" cm="1">
        <f t="array" ref="T1132">IF(OR(B1132="MAL ALIMI", B1132="ÜRETİM GİRİŞ"), MIN(I1132, MAX(0, I1132 + SUM(SUMIFS($I$1:I1131, $C$1:C1131, C1132, $B$1:B1131, {"MAL ALIMI","ÜRETİM GİRİŞ"})) - VLOOKUP(C1132, 'STOK RAPORU'!$C$2:$I$1000, 4, 0))), 0)</f>
        <v>0</v>
      </c>
      <c r="U1132" s="22">
        <f t="shared" si="68"/>
        <v>0</v>
      </c>
      <c r="V1132">
        <f t="shared" si="69"/>
        <v>0</v>
      </c>
      <c r="W1132" s="22">
        <f t="shared" si="70"/>
        <v>0</v>
      </c>
    </row>
    <row r="1133" spans="1:23" hidden="1" x14ac:dyDescent="0.25">
      <c r="A1133" s="3">
        <v>45977</v>
      </c>
      <c r="B1133" s="4" t="s">
        <v>334</v>
      </c>
      <c r="C1133" s="4" t="s">
        <v>140</v>
      </c>
      <c r="D1133" s="4"/>
      <c r="E1133" s="4"/>
      <c r="F1133" s="4" t="s">
        <v>781</v>
      </c>
      <c r="G1133" s="4" t="s">
        <v>336</v>
      </c>
      <c r="H1133" s="4" t="s">
        <v>289</v>
      </c>
      <c r="I1133" s="4">
        <v>7.5999999999999998E-2</v>
      </c>
      <c r="J1133" s="21">
        <v>250</v>
      </c>
      <c r="K1133" s="21">
        <v>0</v>
      </c>
      <c r="L1133" s="5">
        <v>0</v>
      </c>
      <c r="M1133" s="4">
        <v>7.5999999999999998E-2</v>
      </c>
      <c r="N1133" s="4"/>
      <c r="O1133" s="5">
        <v>250</v>
      </c>
      <c r="P1133" s="5"/>
      <c r="Q1133" s="21">
        <v>19</v>
      </c>
      <c r="R1133" s="21">
        <v>0</v>
      </c>
      <c r="S1133" s="5">
        <f t="shared" si="71"/>
        <v>68665.543760151995</v>
      </c>
      <c r="T1133" cm="1">
        <f t="array" ref="T1133">IF(OR(B1133="MAL ALIMI", B1133="ÜRETİM GİRİŞ"), MIN(I1133, MAX(0, I1133 + SUM(SUMIFS($I$1:I1132, $C$1:C1132, C1133, $B$1:B1132, {"MAL ALIMI","ÜRETİM GİRİŞ"})) - VLOOKUP(C1133, 'STOK RAPORU'!$C$2:$I$1000, 4, 0))), 0)</f>
        <v>0</v>
      </c>
      <c r="U1133" s="22">
        <f t="shared" si="68"/>
        <v>0</v>
      </c>
      <c r="V1133">
        <f t="shared" si="69"/>
        <v>0</v>
      </c>
      <c r="W1133" s="22">
        <f t="shared" si="70"/>
        <v>0</v>
      </c>
    </row>
    <row r="1134" spans="1:23" hidden="1" x14ac:dyDescent="0.25">
      <c r="A1134" s="3">
        <v>45977</v>
      </c>
      <c r="B1134" s="4" t="s">
        <v>334</v>
      </c>
      <c r="C1134" s="4" t="s">
        <v>92</v>
      </c>
      <c r="D1134" s="4"/>
      <c r="E1134" s="4"/>
      <c r="F1134" s="4" t="s">
        <v>781</v>
      </c>
      <c r="G1134" s="4" t="s">
        <v>336</v>
      </c>
      <c r="H1134" s="4" t="s">
        <v>289</v>
      </c>
      <c r="I1134" s="4">
        <v>0.32400000000000001</v>
      </c>
      <c r="J1134" s="21">
        <v>500</v>
      </c>
      <c r="K1134" s="21">
        <v>0</v>
      </c>
      <c r="L1134" s="5">
        <v>0</v>
      </c>
      <c r="M1134" s="4">
        <v>0.32400000000000001</v>
      </c>
      <c r="N1134" s="4"/>
      <c r="O1134" s="5">
        <v>500</v>
      </c>
      <c r="P1134" s="5"/>
      <c r="Q1134" s="21">
        <v>162</v>
      </c>
      <c r="R1134" s="21">
        <v>0</v>
      </c>
      <c r="S1134" s="5">
        <f t="shared" si="71"/>
        <v>68827.543760151995</v>
      </c>
      <c r="T1134" cm="1">
        <f t="array" ref="T1134">IF(OR(B1134="MAL ALIMI", B1134="ÜRETİM GİRİŞ"), MIN(I1134, MAX(0, I1134 + SUM(SUMIFS($I$1:I1133, $C$1:C1133, C1134, $B$1:B1133, {"MAL ALIMI","ÜRETİM GİRİŞ"})) - VLOOKUP(C1134, 'STOK RAPORU'!$C$2:$I$1000, 4, 0))), 0)</f>
        <v>0</v>
      </c>
      <c r="U1134" s="22">
        <f t="shared" si="68"/>
        <v>0</v>
      </c>
      <c r="V1134">
        <f t="shared" si="69"/>
        <v>0</v>
      </c>
      <c r="W1134" s="22">
        <f t="shared" si="70"/>
        <v>0</v>
      </c>
    </row>
    <row r="1135" spans="1:23" hidden="1" x14ac:dyDescent="0.25">
      <c r="A1135" s="3">
        <v>45977</v>
      </c>
      <c r="B1135" s="4" t="s">
        <v>334</v>
      </c>
      <c r="C1135" s="4" t="s">
        <v>223</v>
      </c>
      <c r="D1135" s="4"/>
      <c r="E1135" s="4"/>
      <c r="F1135" s="4" t="s">
        <v>781</v>
      </c>
      <c r="G1135" s="4" t="s">
        <v>336</v>
      </c>
      <c r="H1135" s="4" t="s">
        <v>289</v>
      </c>
      <c r="I1135" s="4">
        <v>0.53800000000000003</v>
      </c>
      <c r="J1135" s="21">
        <v>700</v>
      </c>
      <c r="K1135" s="21">
        <v>0</v>
      </c>
      <c r="L1135" s="5">
        <v>0</v>
      </c>
      <c r="M1135" s="4">
        <v>0.53800000000000003</v>
      </c>
      <c r="N1135" s="4"/>
      <c r="O1135" s="5">
        <v>700</v>
      </c>
      <c r="P1135" s="5"/>
      <c r="Q1135" s="21">
        <v>376.6</v>
      </c>
      <c r="R1135" s="21">
        <v>0</v>
      </c>
      <c r="S1135" s="5">
        <f t="shared" si="71"/>
        <v>69204.143760152001</v>
      </c>
      <c r="T1135" cm="1">
        <f t="array" ref="T1135">IF(OR(B1135="MAL ALIMI", B1135="ÜRETİM GİRİŞ"), MIN(I1135, MAX(0, I1135 + SUM(SUMIFS($I$1:I1134, $C$1:C1134, C1135, $B$1:B1134, {"MAL ALIMI","ÜRETİM GİRİŞ"})) - VLOOKUP(C1135, 'STOK RAPORU'!$C$2:$I$1000, 4, 0))), 0)</f>
        <v>0</v>
      </c>
      <c r="U1135" s="22">
        <f t="shared" si="68"/>
        <v>0</v>
      </c>
      <c r="V1135">
        <f t="shared" si="69"/>
        <v>0</v>
      </c>
      <c r="W1135" s="22">
        <f t="shared" si="70"/>
        <v>0</v>
      </c>
    </row>
    <row r="1136" spans="1:23" hidden="1" x14ac:dyDescent="0.25">
      <c r="A1136" s="3">
        <v>45977</v>
      </c>
      <c r="B1136" s="4" t="s">
        <v>334</v>
      </c>
      <c r="C1136" s="4" t="s">
        <v>98</v>
      </c>
      <c r="D1136" s="4"/>
      <c r="E1136" s="4"/>
      <c r="F1136" s="4" t="s">
        <v>781</v>
      </c>
      <c r="G1136" s="4" t="s">
        <v>336</v>
      </c>
      <c r="H1136" s="4" t="s">
        <v>289</v>
      </c>
      <c r="I1136" s="4">
        <v>8.5999999999999993E-2</v>
      </c>
      <c r="J1136" s="21">
        <v>360</v>
      </c>
      <c r="K1136" s="21">
        <v>0</v>
      </c>
      <c r="L1136" s="5">
        <v>0</v>
      </c>
      <c r="M1136" s="4">
        <v>8.5999999999999993E-2</v>
      </c>
      <c r="N1136" s="4"/>
      <c r="O1136" s="5">
        <v>360</v>
      </c>
      <c r="P1136" s="5"/>
      <c r="Q1136" s="21">
        <v>30.959999999999997</v>
      </c>
      <c r="R1136" s="21">
        <v>0</v>
      </c>
      <c r="S1136" s="5">
        <f t="shared" si="71"/>
        <v>69235.103760152007</v>
      </c>
      <c r="T1136" cm="1">
        <f t="array" ref="T1136">IF(OR(B1136="MAL ALIMI", B1136="ÜRETİM GİRİŞ"), MIN(I1136, MAX(0, I1136 + SUM(SUMIFS($I$1:I1135, $C$1:C1135, C1136, $B$1:B1135, {"MAL ALIMI","ÜRETİM GİRİŞ"})) - VLOOKUP(C1136, 'STOK RAPORU'!$C$2:$I$1000, 4, 0))), 0)</f>
        <v>0</v>
      </c>
      <c r="U1136" s="22">
        <f t="shared" si="68"/>
        <v>0</v>
      </c>
      <c r="V1136">
        <f t="shared" si="69"/>
        <v>0</v>
      </c>
      <c r="W1136" s="22">
        <f t="shared" si="70"/>
        <v>0</v>
      </c>
    </row>
    <row r="1137" spans="1:23" hidden="1" x14ac:dyDescent="0.25">
      <c r="A1137" s="3">
        <v>45977</v>
      </c>
      <c r="B1137" s="4" t="s">
        <v>334</v>
      </c>
      <c r="C1137" s="4" t="s">
        <v>241</v>
      </c>
      <c r="D1137" s="4"/>
      <c r="E1137" s="4"/>
      <c r="F1137" s="4" t="s">
        <v>781</v>
      </c>
      <c r="G1137" s="4" t="s">
        <v>336</v>
      </c>
      <c r="H1137" s="4" t="s">
        <v>289</v>
      </c>
      <c r="I1137" s="4">
        <v>0.19400000000000001</v>
      </c>
      <c r="J1137" s="21">
        <v>350</v>
      </c>
      <c r="K1137" s="21">
        <v>0</v>
      </c>
      <c r="L1137" s="5">
        <v>0</v>
      </c>
      <c r="M1137" s="4">
        <v>0.19400000000000001</v>
      </c>
      <c r="N1137" s="4"/>
      <c r="O1137" s="5">
        <v>350</v>
      </c>
      <c r="P1137" s="5"/>
      <c r="Q1137" s="21">
        <v>67.900000000000006</v>
      </c>
      <c r="R1137" s="21">
        <v>0</v>
      </c>
      <c r="S1137" s="5">
        <f t="shared" si="71"/>
        <v>69303.003760152002</v>
      </c>
      <c r="T1137" cm="1">
        <f t="array" ref="T1137">IF(OR(B1137="MAL ALIMI", B1137="ÜRETİM GİRİŞ"), MIN(I1137, MAX(0, I1137 + SUM(SUMIFS($I$1:I1136, $C$1:C1136, C1137, $B$1:B1136, {"MAL ALIMI","ÜRETİM GİRİŞ"})) - VLOOKUP(C1137, 'STOK RAPORU'!$C$2:$I$1000, 4, 0))), 0)</f>
        <v>0</v>
      </c>
      <c r="U1137" s="22">
        <f t="shared" si="68"/>
        <v>0</v>
      </c>
      <c r="V1137">
        <f t="shared" si="69"/>
        <v>0</v>
      </c>
      <c r="W1137" s="22">
        <f t="shared" si="70"/>
        <v>0</v>
      </c>
    </row>
    <row r="1138" spans="1:23" hidden="1" x14ac:dyDescent="0.25">
      <c r="A1138" s="3">
        <v>45977</v>
      </c>
      <c r="B1138" s="4" t="s">
        <v>334</v>
      </c>
      <c r="C1138" s="4" t="s">
        <v>225</v>
      </c>
      <c r="D1138" s="4"/>
      <c r="E1138" s="4"/>
      <c r="F1138" s="4" t="s">
        <v>781</v>
      </c>
      <c r="G1138" s="4" t="s">
        <v>336</v>
      </c>
      <c r="H1138" s="4" t="s">
        <v>289</v>
      </c>
      <c r="I1138" s="4">
        <v>0.38800000000000001</v>
      </c>
      <c r="J1138" s="21">
        <v>650</v>
      </c>
      <c r="K1138" s="21">
        <v>0</v>
      </c>
      <c r="L1138" s="5">
        <v>0</v>
      </c>
      <c r="M1138" s="4">
        <v>0.38800000000000001</v>
      </c>
      <c r="N1138" s="4"/>
      <c r="O1138" s="5">
        <v>650</v>
      </c>
      <c r="P1138" s="5"/>
      <c r="Q1138" s="21">
        <v>252.20000000000002</v>
      </c>
      <c r="R1138" s="21">
        <v>0</v>
      </c>
      <c r="S1138" s="5">
        <f t="shared" si="71"/>
        <v>69555.203760151999</v>
      </c>
      <c r="T1138" cm="1">
        <f t="array" ref="T1138">IF(OR(B1138="MAL ALIMI", B1138="ÜRETİM GİRİŞ"), MIN(I1138, MAX(0, I1138 + SUM(SUMIFS($I$1:I1137, $C$1:C1137, C1138, $B$1:B1137, {"MAL ALIMI","ÜRETİM GİRİŞ"})) - VLOOKUP(C1138, 'STOK RAPORU'!$C$2:$I$1000, 4, 0))), 0)</f>
        <v>0</v>
      </c>
      <c r="U1138" s="22">
        <f t="shared" si="68"/>
        <v>0</v>
      </c>
      <c r="V1138">
        <f t="shared" si="69"/>
        <v>0</v>
      </c>
      <c r="W1138" s="22">
        <f t="shared" si="70"/>
        <v>0</v>
      </c>
    </row>
    <row r="1139" spans="1:23" hidden="1" x14ac:dyDescent="0.25">
      <c r="A1139" s="3">
        <v>45977</v>
      </c>
      <c r="B1139" s="4" t="s">
        <v>334</v>
      </c>
      <c r="C1139" s="4" t="s">
        <v>131</v>
      </c>
      <c r="D1139" s="4"/>
      <c r="E1139" s="4"/>
      <c r="F1139" s="4" t="s">
        <v>781</v>
      </c>
      <c r="G1139" s="4" t="s">
        <v>336</v>
      </c>
      <c r="H1139" s="4" t="s">
        <v>289</v>
      </c>
      <c r="I1139" s="4">
        <v>5.3999999999999999E-2</v>
      </c>
      <c r="J1139" s="21">
        <v>400</v>
      </c>
      <c r="K1139" s="21">
        <v>0</v>
      </c>
      <c r="L1139" s="5">
        <v>0</v>
      </c>
      <c r="M1139" s="4">
        <v>5.3999999999999999E-2</v>
      </c>
      <c r="N1139" s="4"/>
      <c r="O1139" s="5">
        <v>400</v>
      </c>
      <c r="P1139" s="5"/>
      <c r="Q1139" s="21">
        <v>21.6</v>
      </c>
      <c r="R1139" s="21">
        <v>0</v>
      </c>
      <c r="S1139" s="5">
        <f t="shared" si="71"/>
        <v>69576.803760152005</v>
      </c>
      <c r="T1139" cm="1">
        <f t="array" ref="T1139">IF(OR(B1139="MAL ALIMI", B1139="ÜRETİM GİRİŞ"), MIN(I1139, MAX(0, I1139 + SUM(SUMIFS($I$1:I1138, $C$1:C1138, C1139, $B$1:B1138, {"MAL ALIMI","ÜRETİM GİRİŞ"})) - VLOOKUP(C1139, 'STOK RAPORU'!$C$2:$I$1000, 4, 0))), 0)</f>
        <v>0</v>
      </c>
      <c r="U1139" s="22">
        <f t="shared" si="68"/>
        <v>0</v>
      </c>
      <c r="V1139">
        <f t="shared" si="69"/>
        <v>0</v>
      </c>
      <c r="W1139" s="22">
        <f t="shared" si="70"/>
        <v>0</v>
      </c>
    </row>
    <row r="1140" spans="1:23" hidden="1" x14ac:dyDescent="0.25">
      <c r="A1140" s="3">
        <v>45977</v>
      </c>
      <c r="B1140" s="4" t="s">
        <v>334</v>
      </c>
      <c r="C1140" s="4" t="s">
        <v>91</v>
      </c>
      <c r="D1140" s="4"/>
      <c r="E1140" s="4"/>
      <c r="F1140" s="4" t="s">
        <v>781</v>
      </c>
      <c r="G1140" s="4" t="s">
        <v>336</v>
      </c>
      <c r="H1140" s="4" t="s">
        <v>289</v>
      </c>
      <c r="I1140" s="4">
        <v>4.3999999999999997E-2</v>
      </c>
      <c r="J1140" s="21">
        <v>760</v>
      </c>
      <c r="K1140" s="21">
        <v>0</v>
      </c>
      <c r="L1140" s="5">
        <v>0</v>
      </c>
      <c r="M1140" s="4">
        <v>4.3999999999999997E-2</v>
      </c>
      <c r="N1140" s="4"/>
      <c r="O1140" s="5">
        <v>760</v>
      </c>
      <c r="P1140" s="5"/>
      <c r="Q1140" s="21">
        <v>33.44</v>
      </c>
      <c r="R1140" s="21">
        <v>0</v>
      </c>
      <c r="S1140" s="5">
        <f t="shared" si="71"/>
        <v>69610.243760152007</v>
      </c>
      <c r="T1140" cm="1">
        <f t="array" ref="T1140">IF(OR(B1140="MAL ALIMI", B1140="ÜRETİM GİRİŞ"), MIN(I1140, MAX(0, I1140 + SUM(SUMIFS($I$1:I1139, $C$1:C1139, C1140, $B$1:B1139, {"MAL ALIMI","ÜRETİM GİRİŞ"})) - VLOOKUP(C1140, 'STOK RAPORU'!$C$2:$I$1000, 4, 0))), 0)</f>
        <v>0</v>
      </c>
      <c r="U1140" s="22">
        <f t="shared" si="68"/>
        <v>0</v>
      </c>
      <c r="V1140">
        <f t="shared" si="69"/>
        <v>0</v>
      </c>
      <c r="W1140" s="22">
        <f t="shared" si="70"/>
        <v>0</v>
      </c>
    </row>
    <row r="1141" spans="1:23" hidden="1" x14ac:dyDescent="0.25">
      <c r="A1141" s="3">
        <v>45977</v>
      </c>
      <c r="B1141" s="4" t="s">
        <v>334</v>
      </c>
      <c r="C1141" s="4" t="s">
        <v>154</v>
      </c>
      <c r="D1141" s="4"/>
      <c r="E1141" s="4"/>
      <c r="F1141" s="4" t="s">
        <v>781</v>
      </c>
      <c r="G1141" s="4" t="s">
        <v>336</v>
      </c>
      <c r="H1141" s="4" t="s">
        <v>289</v>
      </c>
      <c r="I1141" s="4">
        <v>0.1</v>
      </c>
      <c r="J1141" s="21">
        <v>400</v>
      </c>
      <c r="K1141" s="21">
        <v>0</v>
      </c>
      <c r="L1141" s="5">
        <v>0</v>
      </c>
      <c r="M1141" s="4">
        <v>1</v>
      </c>
      <c r="N1141" s="4"/>
      <c r="O1141" s="5">
        <v>40</v>
      </c>
      <c r="P1141" s="5"/>
      <c r="Q1141" s="21">
        <v>40</v>
      </c>
      <c r="R1141" s="21">
        <v>0</v>
      </c>
      <c r="S1141" s="5">
        <f t="shared" si="71"/>
        <v>69650.243760152007</v>
      </c>
      <c r="T1141" cm="1">
        <f t="array" ref="T1141">IF(OR(B1141="MAL ALIMI", B1141="ÜRETİM GİRİŞ"), MIN(I1141, MAX(0, I1141 + SUM(SUMIFS($I$1:I1140, $C$1:C1140, C1141, $B$1:B1140, {"MAL ALIMI","ÜRETİM GİRİŞ"})) - VLOOKUP(C1141, 'STOK RAPORU'!$C$2:$I$1000, 4, 0))), 0)</f>
        <v>0</v>
      </c>
      <c r="U1141" s="22">
        <f t="shared" si="68"/>
        <v>0</v>
      </c>
      <c r="V1141">
        <f t="shared" si="69"/>
        <v>0</v>
      </c>
      <c r="W1141" s="22">
        <f t="shared" si="70"/>
        <v>0</v>
      </c>
    </row>
    <row r="1142" spans="1:23" hidden="1" x14ac:dyDescent="0.25">
      <c r="A1142" s="3">
        <v>45977</v>
      </c>
      <c r="B1142" s="4" t="s">
        <v>334</v>
      </c>
      <c r="C1142" s="4" t="s">
        <v>260</v>
      </c>
      <c r="D1142" s="4"/>
      <c r="E1142" s="4"/>
      <c r="F1142" s="4" t="s">
        <v>782</v>
      </c>
      <c r="G1142" s="4" t="s">
        <v>336</v>
      </c>
      <c r="H1142" s="4" t="s">
        <v>289</v>
      </c>
      <c r="I1142" s="4">
        <v>1</v>
      </c>
      <c r="J1142" s="21">
        <v>140</v>
      </c>
      <c r="K1142" s="21">
        <v>0</v>
      </c>
      <c r="L1142" s="5">
        <v>0</v>
      </c>
      <c r="M1142" s="4">
        <v>1</v>
      </c>
      <c r="N1142" s="4"/>
      <c r="O1142" s="5">
        <v>140</v>
      </c>
      <c r="P1142" s="5"/>
      <c r="Q1142" s="21">
        <v>140</v>
      </c>
      <c r="R1142" s="21">
        <v>0</v>
      </c>
      <c r="S1142" s="5">
        <f t="shared" si="71"/>
        <v>69790.243760152007</v>
      </c>
      <c r="T1142" cm="1">
        <f t="array" ref="T1142">IF(OR(B1142="MAL ALIMI", B1142="ÜRETİM GİRİŞ"), MIN(I1142, MAX(0, I1142 + SUM(SUMIFS($I$1:I1141, $C$1:C1141, C1142, $B$1:B1141, {"MAL ALIMI","ÜRETİM GİRİŞ"})) - VLOOKUP(C1142, 'STOK RAPORU'!$C$2:$I$1000, 4, 0))), 0)</f>
        <v>0</v>
      </c>
      <c r="U1142" s="22">
        <f t="shared" si="68"/>
        <v>0</v>
      </c>
      <c r="V1142">
        <f t="shared" si="69"/>
        <v>0</v>
      </c>
      <c r="W1142" s="22">
        <f t="shared" si="70"/>
        <v>0</v>
      </c>
    </row>
    <row r="1143" spans="1:23" hidden="1" x14ac:dyDescent="0.25">
      <c r="A1143" s="3">
        <v>45977</v>
      </c>
      <c r="B1143" s="4" t="s">
        <v>334</v>
      </c>
      <c r="C1143" s="4" t="s">
        <v>461</v>
      </c>
      <c r="D1143" s="4"/>
      <c r="E1143" s="4"/>
      <c r="F1143" s="4" t="s">
        <v>783</v>
      </c>
      <c r="G1143" s="4" t="s">
        <v>336</v>
      </c>
      <c r="H1143" s="4" t="s">
        <v>289</v>
      </c>
      <c r="I1143" s="4">
        <v>1</v>
      </c>
      <c r="J1143" s="21">
        <v>100</v>
      </c>
      <c r="K1143" s="21">
        <v>0</v>
      </c>
      <c r="L1143" s="5">
        <v>0</v>
      </c>
      <c r="M1143" s="4">
        <v>1</v>
      </c>
      <c r="N1143" s="4"/>
      <c r="O1143" s="5">
        <v>100</v>
      </c>
      <c r="P1143" s="5"/>
      <c r="Q1143" s="21">
        <v>100</v>
      </c>
      <c r="R1143" s="21">
        <v>0</v>
      </c>
      <c r="S1143" s="5">
        <f t="shared" si="71"/>
        <v>69890.243760152007</v>
      </c>
      <c r="T1143" cm="1">
        <f t="array" ref="T1143">IF(OR(B1143="MAL ALIMI", B1143="ÜRETİM GİRİŞ"), MIN(I1143, MAX(0, I1143 + SUM(SUMIFS($I$1:I1142, $C$1:C1142, C1143, $B$1:B1142, {"MAL ALIMI","ÜRETİM GİRİŞ"})) - VLOOKUP(C1143, 'STOK RAPORU'!$C$2:$I$1000, 4, 0))), 0)</f>
        <v>0</v>
      </c>
      <c r="U1143" s="22">
        <f t="shared" si="68"/>
        <v>0</v>
      </c>
      <c r="V1143">
        <f t="shared" si="69"/>
        <v>0</v>
      </c>
      <c r="W1143" s="22">
        <f t="shared" si="70"/>
        <v>0</v>
      </c>
    </row>
    <row r="1144" spans="1:23" hidden="1" x14ac:dyDescent="0.25">
      <c r="A1144" s="3">
        <v>45977</v>
      </c>
      <c r="B1144" s="4" t="s">
        <v>334</v>
      </c>
      <c r="C1144" s="4" t="s">
        <v>252</v>
      </c>
      <c r="D1144" s="4"/>
      <c r="E1144" s="4"/>
      <c r="F1144" s="4" t="s">
        <v>784</v>
      </c>
      <c r="G1144" s="4" t="s">
        <v>336</v>
      </c>
      <c r="H1144" s="4" t="s">
        <v>289</v>
      </c>
      <c r="I1144" s="4">
        <v>0.32</v>
      </c>
      <c r="J1144" s="21">
        <v>190</v>
      </c>
      <c r="K1144" s="21">
        <v>0</v>
      </c>
      <c r="L1144" s="5">
        <v>0</v>
      </c>
      <c r="M1144" s="4">
        <v>0.32</v>
      </c>
      <c r="N1144" s="4"/>
      <c r="O1144" s="5">
        <v>190</v>
      </c>
      <c r="P1144" s="5"/>
      <c r="Q1144" s="21">
        <v>60.800000000000004</v>
      </c>
      <c r="R1144" s="21">
        <v>0</v>
      </c>
      <c r="S1144" s="5">
        <f t="shared" si="71"/>
        <v>69951.04376015201</v>
      </c>
      <c r="T1144" cm="1">
        <f t="array" ref="T1144">IF(OR(B1144="MAL ALIMI", B1144="ÜRETİM GİRİŞ"), MIN(I1144, MAX(0, I1144 + SUM(SUMIFS($I$1:I1143, $C$1:C1143, C1144, $B$1:B1143, {"MAL ALIMI","ÜRETİM GİRİŞ"})) - VLOOKUP(C1144, 'STOK RAPORU'!$C$2:$I$1000, 4, 0))), 0)</f>
        <v>0</v>
      </c>
      <c r="U1144" s="22">
        <f t="shared" si="68"/>
        <v>0</v>
      </c>
      <c r="V1144">
        <f t="shared" si="69"/>
        <v>0</v>
      </c>
      <c r="W1144" s="22">
        <f t="shared" si="70"/>
        <v>0</v>
      </c>
    </row>
    <row r="1145" spans="1:23" hidden="1" x14ac:dyDescent="0.25">
      <c r="A1145" s="3">
        <v>45977</v>
      </c>
      <c r="B1145" s="4" t="s">
        <v>334</v>
      </c>
      <c r="C1145" s="4" t="s">
        <v>1041</v>
      </c>
      <c r="D1145" s="4"/>
      <c r="E1145" s="4"/>
      <c r="F1145" s="4" t="s">
        <v>784</v>
      </c>
      <c r="G1145" s="4" t="s">
        <v>336</v>
      </c>
      <c r="H1145" s="4" t="s">
        <v>289</v>
      </c>
      <c r="I1145" s="4">
        <v>1</v>
      </c>
      <c r="J1145" s="21">
        <v>290</v>
      </c>
      <c r="K1145" s="21">
        <v>0</v>
      </c>
      <c r="L1145" s="5">
        <v>0</v>
      </c>
      <c r="M1145" s="4">
        <v>1</v>
      </c>
      <c r="N1145" s="4"/>
      <c r="O1145" s="5">
        <v>290</v>
      </c>
      <c r="P1145" s="5"/>
      <c r="Q1145" s="21">
        <v>290</v>
      </c>
      <c r="R1145" s="21">
        <v>0</v>
      </c>
      <c r="S1145" s="5">
        <f t="shared" si="71"/>
        <v>70241.04376015201</v>
      </c>
      <c r="T1145" cm="1">
        <f t="array" ref="T1145">IF(OR(B1145="MAL ALIMI", B1145="ÜRETİM GİRİŞ"), MIN(I1145, MAX(0, I1145 + SUM(SUMIFS($I$1:I1144, $C$1:C1144, C1145, $B$1:B1144, {"MAL ALIMI","ÜRETİM GİRİŞ"})) - VLOOKUP(C1145, 'STOK RAPORU'!$C$2:$I$1000, 4, 0))), 0)</f>
        <v>0</v>
      </c>
      <c r="U1145" s="22">
        <f t="shared" si="68"/>
        <v>0</v>
      </c>
      <c r="V1145">
        <f t="shared" si="69"/>
        <v>0</v>
      </c>
      <c r="W1145" s="22">
        <f t="shared" si="70"/>
        <v>0</v>
      </c>
    </row>
    <row r="1146" spans="1:23" hidden="1" x14ac:dyDescent="0.25">
      <c r="A1146" s="3">
        <v>45977</v>
      </c>
      <c r="B1146" s="4" t="s">
        <v>334</v>
      </c>
      <c r="C1146" s="4" t="s">
        <v>134</v>
      </c>
      <c r="D1146" s="4"/>
      <c r="E1146" s="4"/>
      <c r="F1146" s="4" t="s">
        <v>784</v>
      </c>
      <c r="G1146" s="4" t="s">
        <v>336</v>
      </c>
      <c r="H1146" s="4" t="s">
        <v>289</v>
      </c>
      <c r="I1146" s="4">
        <v>0.1</v>
      </c>
      <c r="J1146" s="21">
        <v>600</v>
      </c>
      <c r="K1146" s="21">
        <v>0</v>
      </c>
      <c r="L1146" s="5">
        <v>0</v>
      </c>
      <c r="M1146" s="4">
        <v>1</v>
      </c>
      <c r="N1146" s="4"/>
      <c r="O1146" s="5">
        <v>60</v>
      </c>
      <c r="P1146" s="5"/>
      <c r="Q1146" s="21">
        <v>60</v>
      </c>
      <c r="R1146" s="21">
        <v>0</v>
      </c>
      <c r="S1146" s="5">
        <f t="shared" si="71"/>
        <v>70301.04376015201</v>
      </c>
      <c r="T1146" cm="1">
        <f t="array" ref="T1146">IF(OR(B1146="MAL ALIMI", B1146="ÜRETİM GİRİŞ"), MIN(I1146, MAX(0, I1146 + SUM(SUMIFS($I$1:I1145, $C$1:C1145, C1146, $B$1:B1145, {"MAL ALIMI","ÜRETİM GİRİŞ"})) - VLOOKUP(C1146, 'STOK RAPORU'!$C$2:$I$1000, 4, 0))), 0)</f>
        <v>0</v>
      </c>
      <c r="U1146" s="22">
        <f t="shared" si="68"/>
        <v>0</v>
      </c>
      <c r="V1146">
        <f t="shared" si="69"/>
        <v>0</v>
      </c>
      <c r="W1146" s="22">
        <f t="shared" si="70"/>
        <v>0</v>
      </c>
    </row>
    <row r="1147" spans="1:23" hidden="1" x14ac:dyDescent="0.25">
      <c r="A1147" s="3">
        <v>45977</v>
      </c>
      <c r="B1147" s="4" t="s">
        <v>334</v>
      </c>
      <c r="C1147" s="4" t="s">
        <v>679</v>
      </c>
      <c r="D1147" s="4"/>
      <c r="E1147" s="4" t="s">
        <v>921</v>
      </c>
      <c r="F1147" s="4" t="s">
        <v>785</v>
      </c>
      <c r="G1147" s="4" t="s">
        <v>336</v>
      </c>
      <c r="H1147" s="4" t="s">
        <v>380</v>
      </c>
      <c r="I1147" s="4">
        <v>1</v>
      </c>
      <c r="J1147" s="21">
        <v>400</v>
      </c>
      <c r="K1147" s="21">
        <v>400</v>
      </c>
      <c r="L1147" s="5">
        <v>0</v>
      </c>
      <c r="M1147" s="4">
        <v>1</v>
      </c>
      <c r="N1147" s="4"/>
      <c r="O1147" s="5">
        <v>400</v>
      </c>
      <c r="P1147" s="5"/>
      <c r="Q1147" s="21">
        <v>0</v>
      </c>
      <c r="R1147" s="21">
        <v>0</v>
      </c>
      <c r="S1147" s="5">
        <f t="shared" si="71"/>
        <v>70301.04376015201</v>
      </c>
      <c r="T1147" cm="1">
        <f t="array" ref="T1147">IF(OR(B1147="MAL ALIMI", B1147="ÜRETİM GİRİŞ"), MIN(I1147, MAX(0, I1147 + SUM(SUMIFS($I$1:I1146, $C$1:C1146, C1147, $B$1:B1146, {"MAL ALIMI","ÜRETİM GİRİŞ"})) - VLOOKUP(C1147, 'STOK RAPORU'!$C$2:$I$1000, 4, 0))), 0)</f>
        <v>0</v>
      </c>
      <c r="U1147" s="22">
        <f t="shared" si="68"/>
        <v>0</v>
      </c>
      <c r="V1147">
        <f t="shared" si="69"/>
        <v>0</v>
      </c>
      <c r="W1147" s="22">
        <f t="shared" si="70"/>
        <v>0</v>
      </c>
    </row>
    <row r="1148" spans="1:23" hidden="1" x14ac:dyDescent="0.25">
      <c r="A1148" s="3">
        <v>45977</v>
      </c>
      <c r="B1148" s="4" t="s">
        <v>334</v>
      </c>
      <c r="C1148" s="4" t="s">
        <v>467</v>
      </c>
      <c r="D1148" s="4"/>
      <c r="E1148" s="4" t="s">
        <v>921</v>
      </c>
      <c r="F1148" s="4" t="s">
        <v>785</v>
      </c>
      <c r="G1148" s="4" t="s">
        <v>336</v>
      </c>
      <c r="H1148" s="4" t="s">
        <v>380</v>
      </c>
      <c r="I1148" s="4">
        <v>1</v>
      </c>
      <c r="J1148" s="21">
        <v>40</v>
      </c>
      <c r="K1148" s="21">
        <v>40</v>
      </c>
      <c r="L1148" s="5">
        <v>0</v>
      </c>
      <c r="M1148" s="4">
        <v>1</v>
      </c>
      <c r="N1148" s="4"/>
      <c r="O1148" s="5">
        <v>40</v>
      </c>
      <c r="P1148" s="5"/>
      <c r="Q1148" s="21">
        <v>0</v>
      </c>
      <c r="R1148" s="21">
        <v>0</v>
      </c>
      <c r="S1148" s="5">
        <f t="shared" si="71"/>
        <v>70301.04376015201</v>
      </c>
      <c r="T1148" cm="1">
        <f t="array" ref="T1148">IF(OR(B1148="MAL ALIMI", B1148="ÜRETİM GİRİŞ"), MIN(I1148, MAX(0, I1148 + SUM(SUMIFS($I$1:I1147, $C$1:C1147, C1148, $B$1:B1147, {"MAL ALIMI","ÜRETİM GİRİŞ"})) - VLOOKUP(C1148, 'STOK RAPORU'!$C$2:$I$1000, 4, 0))), 0)</f>
        <v>0</v>
      </c>
      <c r="U1148" s="22">
        <f t="shared" si="68"/>
        <v>0</v>
      </c>
      <c r="V1148">
        <f t="shared" si="69"/>
        <v>0</v>
      </c>
      <c r="W1148" s="22">
        <f t="shared" si="70"/>
        <v>0</v>
      </c>
    </row>
    <row r="1149" spans="1:23" hidden="1" x14ac:dyDescent="0.25">
      <c r="A1149" s="3">
        <v>45977</v>
      </c>
      <c r="B1149" s="4" t="s">
        <v>334</v>
      </c>
      <c r="C1149" s="4" t="s">
        <v>201</v>
      </c>
      <c r="D1149" s="4"/>
      <c r="E1149" s="4" t="s">
        <v>921</v>
      </c>
      <c r="F1149" s="4" t="s">
        <v>785</v>
      </c>
      <c r="G1149" s="4" t="s">
        <v>336</v>
      </c>
      <c r="H1149" s="4" t="s">
        <v>380</v>
      </c>
      <c r="I1149" s="4">
        <v>0.20399999999999999</v>
      </c>
      <c r="J1149" s="21">
        <v>800</v>
      </c>
      <c r="K1149" s="21">
        <v>163.19999999999999</v>
      </c>
      <c r="L1149" s="5">
        <v>0</v>
      </c>
      <c r="M1149" s="4">
        <v>0.20399999999999999</v>
      </c>
      <c r="N1149" s="4"/>
      <c r="O1149" s="5">
        <v>800</v>
      </c>
      <c r="P1149" s="5"/>
      <c r="Q1149" s="21">
        <v>0</v>
      </c>
      <c r="R1149" s="21">
        <v>0</v>
      </c>
      <c r="S1149" s="5">
        <f t="shared" si="71"/>
        <v>70301.04376015201</v>
      </c>
      <c r="T1149" cm="1">
        <f t="array" ref="T1149">IF(OR(B1149="MAL ALIMI", B1149="ÜRETİM GİRİŞ"), MIN(I1149, MAX(0, I1149 + SUM(SUMIFS($I$1:I1148, $C$1:C1148, C1149, $B$1:B1148, {"MAL ALIMI","ÜRETİM GİRİŞ"})) - VLOOKUP(C1149, 'STOK RAPORU'!$C$2:$I$1000, 4, 0))), 0)</f>
        <v>0</v>
      </c>
      <c r="U1149" s="22">
        <f t="shared" si="68"/>
        <v>0</v>
      </c>
      <c r="V1149">
        <f t="shared" si="69"/>
        <v>0</v>
      </c>
      <c r="W1149" s="22">
        <f t="shared" si="70"/>
        <v>0</v>
      </c>
    </row>
    <row r="1150" spans="1:23" hidden="1" x14ac:dyDescent="0.25">
      <c r="A1150" s="3">
        <v>45977</v>
      </c>
      <c r="B1150" s="4" t="s">
        <v>334</v>
      </c>
      <c r="C1150" s="4" t="s">
        <v>693</v>
      </c>
      <c r="D1150" s="4"/>
      <c r="E1150" s="4" t="s">
        <v>921</v>
      </c>
      <c r="F1150" s="4" t="s">
        <v>785</v>
      </c>
      <c r="G1150" s="4" t="s">
        <v>336</v>
      </c>
      <c r="H1150" s="4" t="s">
        <v>380</v>
      </c>
      <c r="I1150" s="4">
        <v>0.30399999999999999</v>
      </c>
      <c r="J1150" s="21">
        <v>195</v>
      </c>
      <c r="K1150" s="21">
        <v>59.28</v>
      </c>
      <c r="L1150" s="5">
        <v>0</v>
      </c>
      <c r="M1150" s="4">
        <v>0.30399999999999999</v>
      </c>
      <c r="N1150" s="4"/>
      <c r="O1150" s="5">
        <v>195</v>
      </c>
      <c r="P1150" s="5"/>
      <c r="Q1150" s="21">
        <v>0</v>
      </c>
      <c r="R1150" s="21">
        <v>0</v>
      </c>
      <c r="S1150" s="5">
        <f t="shared" si="71"/>
        <v>70301.04376015201</v>
      </c>
      <c r="T1150" cm="1">
        <f t="array" ref="T1150">IF(OR(B1150="MAL ALIMI", B1150="ÜRETİM GİRİŞ"), MIN(I1150, MAX(0, I1150 + SUM(SUMIFS($I$1:I1149, $C$1:C1149, C1150, $B$1:B1149, {"MAL ALIMI","ÜRETİM GİRİŞ"})) - VLOOKUP(C1150, 'STOK RAPORU'!$C$2:$I$1000, 4, 0))), 0)</f>
        <v>0</v>
      </c>
      <c r="U1150" s="22">
        <f t="shared" si="68"/>
        <v>0</v>
      </c>
      <c r="V1150">
        <f t="shared" si="69"/>
        <v>0</v>
      </c>
      <c r="W1150" s="22">
        <f t="shared" si="70"/>
        <v>0</v>
      </c>
    </row>
    <row r="1151" spans="1:23" hidden="1" x14ac:dyDescent="0.25">
      <c r="A1151" s="3">
        <v>45977</v>
      </c>
      <c r="B1151" s="4" t="s">
        <v>334</v>
      </c>
      <c r="C1151" s="4" t="s">
        <v>126</v>
      </c>
      <c r="D1151" s="4"/>
      <c r="E1151" s="4" t="s">
        <v>921</v>
      </c>
      <c r="F1151" s="4" t="s">
        <v>785</v>
      </c>
      <c r="G1151" s="4" t="s">
        <v>336</v>
      </c>
      <c r="H1151" s="4" t="s">
        <v>380</v>
      </c>
      <c r="I1151" s="4">
        <v>0.224</v>
      </c>
      <c r="J1151" s="21">
        <v>640</v>
      </c>
      <c r="K1151" s="21">
        <v>143.36000000000001</v>
      </c>
      <c r="L1151" s="5">
        <v>0</v>
      </c>
      <c r="M1151" s="4">
        <v>0.224</v>
      </c>
      <c r="N1151" s="4"/>
      <c r="O1151" s="5">
        <v>640</v>
      </c>
      <c r="P1151" s="5"/>
      <c r="Q1151" s="21">
        <v>0</v>
      </c>
      <c r="R1151" s="21">
        <v>0</v>
      </c>
      <c r="S1151" s="5">
        <f t="shared" si="71"/>
        <v>70301.04376015201</v>
      </c>
      <c r="T1151" cm="1">
        <f t="array" ref="T1151">IF(OR(B1151="MAL ALIMI", B1151="ÜRETİM GİRİŞ"), MIN(I1151, MAX(0, I1151 + SUM(SUMIFS($I$1:I1150, $C$1:C1150, C1151, $B$1:B1150, {"MAL ALIMI","ÜRETİM GİRİŞ"})) - VLOOKUP(C1151, 'STOK RAPORU'!$C$2:$I$1000, 4, 0))), 0)</f>
        <v>0</v>
      </c>
      <c r="U1151" s="22">
        <f t="shared" si="68"/>
        <v>0</v>
      </c>
      <c r="V1151">
        <f t="shared" si="69"/>
        <v>0</v>
      </c>
      <c r="W1151" s="22">
        <f t="shared" si="70"/>
        <v>0</v>
      </c>
    </row>
    <row r="1152" spans="1:23" hidden="1" x14ac:dyDescent="0.25">
      <c r="A1152" s="3">
        <v>45977</v>
      </c>
      <c r="B1152" s="4" t="s">
        <v>334</v>
      </c>
      <c r="C1152" s="4" t="s">
        <v>690</v>
      </c>
      <c r="D1152" s="4"/>
      <c r="E1152" s="4" t="s">
        <v>921</v>
      </c>
      <c r="F1152" s="4" t="s">
        <v>785</v>
      </c>
      <c r="G1152" s="4" t="s">
        <v>336</v>
      </c>
      <c r="H1152" s="4" t="s">
        <v>380</v>
      </c>
      <c r="I1152" s="4">
        <v>0.45600000000000002</v>
      </c>
      <c r="J1152" s="21">
        <v>340</v>
      </c>
      <c r="K1152" s="21">
        <v>155.04</v>
      </c>
      <c r="L1152" s="5">
        <v>0</v>
      </c>
      <c r="M1152" s="4">
        <v>0.45600000000000002</v>
      </c>
      <c r="N1152" s="4"/>
      <c r="O1152" s="5">
        <v>340</v>
      </c>
      <c r="P1152" s="5"/>
      <c r="Q1152" s="21">
        <v>0</v>
      </c>
      <c r="R1152" s="21">
        <v>0</v>
      </c>
      <c r="S1152" s="5">
        <f t="shared" si="71"/>
        <v>70301.04376015201</v>
      </c>
      <c r="T1152" cm="1">
        <f t="array" ref="T1152">IF(OR(B1152="MAL ALIMI", B1152="ÜRETİM GİRİŞ"), MIN(I1152, MAX(0, I1152 + SUM(SUMIFS($I$1:I1151, $C$1:C1151, C1152, $B$1:B1151, {"MAL ALIMI","ÜRETİM GİRİŞ"})) - VLOOKUP(C1152, 'STOK RAPORU'!$C$2:$I$1000, 4, 0))), 0)</f>
        <v>0</v>
      </c>
      <c r="U1152" s="22">
        <f t="shared" si="68"/>
        <v>0</v>
      </c>
      <c r="V1152">
        <f t="shared" si="69"/>
        <v>0</v>
      </c>
      <c r="W1152" s="22">
        <f t="shared" si="70"/>
        <v>0</v>
      </c>
    </row>
    <row r="1153" spans="1:23" hidden="1" x14ac:dyDescent="0.25">
      <c r="A1153" s="3">
        <v>45977</v>
      </c>
      <c r="B1153" s="4" t="s">
        <v>334</v>
      </c>
      <c r="C1153" s="4" t="s">
        <v>156</v>
      </c>
      <c r="D1153" s="4"/>
      <c r="E1153" s="4" t="s">
        <v>921</v>
      </c>
      <c r="F1153" s="4" t="s">
        <v>785</v>
      </c>
      <c r="G1153" s="4" t="s">
        <v>336</v>
      </c>
      <c r="H1153" s="4" t="s">
        <v>380</v>
      </c>
      <c r="I1153" s="4">
        <v>1.046</v>
      </c>
      <c r="J1153" s="21">
        <v>180</v>
      </c>
      <c r="K1153" s="21">
        <v>188.28</v>
      </c>
      <c r="L1153" s="5">
        <v>0</v>
      </c>
      <c r="M1153" s="4">
        <v>1.046</v>
      </c>
      <c r="N1153" s="4"/>
      <c r="O1153" s="5">
        <v>180</v>
      </c>
      <c r="P1153" s="5"/>
      <c r="Q1153" s="21">
        <v>0</v>
      </c>
      <c r="R1153" s="21">
        <v>0</v>
      </c>
      <c r="S1153" s="5">
        <f t="shared" si="71"/>
        <v>70301.04376015201</v>
      </c>
      <c r="T1153" cm="1">
        <f t="array" ref="T1153">IF(OR(B1153="MAL ALIMI", B1153="ÜRETİM GİRİŞ"), MIN(I1153, MAX(0, I1153 + SUM(SUMIFS($I$1:I1152, $C$1:C1152, C1153, $B$1:B1152, {"MAL ALIMI","ÜRETİM GİRİŞ"})) - VLOOKUP(C1153, 'STOK RAPORU'!$C$2:$I$1000, 4, 0))), 0)</f>
        <v>0</v>
      </c>
      <c r="U1153" s="22">
        <f t="shared" si="68"/>
        <v>0</v>
      </c>
      <c r="V1153">
        <f t="shared" si="69"/>
        <v>0</v>
      </c>
      <c r="W1153" s="22">
        <f t="shared" si="70"/>
        <v>0</v>
      </c>
    </row>
    <row r="1154" spans="1:23" hidden="1" x14ac:dyDescent="0.25">
      <c r="A1154" s="3">
        <v>45977</v>
      </c>
      <c r="B1154" s="4" t="s">
        <v>334</v>
      </c>
      <c r="C1154" s="4" t="s">
        <v>158</v>
      </c>
      <c r="D1154" s="4"/>
      <c r="E1154" s="4" t="s">
        <v>921</v>
      </c>
      <c r="F1154" s="4" t="s">
        <v>785</v>
      </c>
      <c r="G1154" s="4" t="s">
        <v>336</v>
      </c>
      <c r="H1154" s="4" t="s">
        <v>380</v>
      </c>
      <c r="I1154" s="4">
        <v>1.026</v>
      </c>
      <c r="J1154" s="21">
        <v>130</v>
      </c>
      <c r="K1154" s="21">
        <v>133.38</v>
      </c>
      <c r="L1154" s="5">
        <v>0</v>
      </c>
      <c r="M1154" s="4">
        <v>1.026</v>
      </c>
      <c r="N1154" s="4"/>
      <c r="O1154" s="5">
        <v>130</v>
      </c>
      <c r="P1154" s="5"/>
      <c r="Q1154" s="21">
        <v>0</v>
      </c>
      <c r="R1154" s="21">
        <v>0</v>
      </c>
      <c r="S1154" s="5">
        <f t="shared" si="71"/>
        <v>70301.04376015201</v>
      </c>
      <c r="T1154" cm="1">
        <f t="array" ref="T1154">IF(OR(B1154="MAL ALIMI", B1154="ÜRETİM GİRİŞ"), MIN(I1154, MAX(0, I1154 + SUM(SUMIFS($I$1:I1153, $C$1:C1153, C1154, $B$1:B1153, {"MAL ALIMI","ÜRETİM GİRİŞ"})) - VLOOKUP(C1154, 'STOK RAPORU'!$C$2:$I$1000, 4, 0))), 0)</f>
        <v>0</v>
      </c>
      <c r="U1154" s="22">
        <f t="shared" si="68"/>
        <v>0</v>
      </c>
      <c r="V1154">
        <f t="shared" si="69"/>
        <v>0</v>
      </c>
      <c r="W1154" s="22">
        <f t="shared" si="70"/>
        <v>0</v>
      </c>
    </row>
    <row r="1155" spans="1:23" hidden="1" x14ac:dyDescent="0.25">
      <c r="A1155" s="3">
        <v>45977</v>
      </c>
      <c r="B1155" s="4" t="s">
        <v>334</v>
      </c>
      <c r="C1155" s="4" t="s">
        <v>691</v>
      </c>
      <c r="D1155" s="4"/>
      <c r="E1155" s="4"/>
      <c r="F1155" s="4" t="s">
        <v>785</v>
      </c>
      <c r="G1155" s="4" t="s">
        <v>336</v>
      </c>
      <c r="H1155" s="4" t="s">
        <v>289</v>
      </c>
      <c r="I1155" s="4">
        <v>0.2</v>
      </c>
      <c r="J1155" s="21">
        <v>190</v>
      </c>
      <c r="K1155" s="21">
        <v>0</v>
      </c>
      <c r="L1155" s="5">
        <v>0</v>
      </c>
      <c r="M1155" s="4">
        <v>0.2</v>
      </c>
      <c r="N1155" s="4"/>
      <c r="O1155" s="5">
        <v>190</v>
      </c>
      <c r="P1155" s="5"/>
      <c r="Q1155" s="21">
        <v>38</v>
      </c>
      <c r="R1155" s="21">
        <v>0</v>
      </c>
      <c r="S1155" s="5">
        <f t="shared" si="71"/>
        <v>70339.04376015201</v>
      </c>
      <c r="T1155" cm="1">
        <f t="array" ref="T1155">IF(OR(B1155="MAL ALIMI", B1155="ÜRETİM GİRİŞ"), MIN(I1155, MAX(0, I1155 + SUM(SUMIFS($I$1:I1154, $C$1:C1154, C1155, $B$1:B1154, {"MAL ALIMI","ÜRETİM GİRİŞ"})) - VLOOKUP(C1155, 'STOK RAPORU'!$C$2:$I$1000, 4, 0))), 0)</f>
        <v>0</v>
      </c>
      <c r="U1155" s="22">
        <f t="shared" ref="U1155:U1218" si="72">T1155*J1155</f>
        <v>0</v>
      </c>
      <c r="V1155">
        <f t="shared" ref="V1155:V1218" si="73">IF(OR(B1155="MAL ALIMI", B1155="ÜRETİM GİRİŞ"), I1155 * J1155, 0)</f>
        <v>0</v>
      </c>
      <c r="W1155" s="22">
        <f t="shared" ref="W1155:W1218" si="74">V1155-U1155</f>
        <v>0</v>
      </c>
    </row>
    <row r="1156" spans="1:23" hidden="1" x14ac:dyDescent="0.25">
      <c r="A1156" s="3">
        <v>45977</v>
      </c>
      <c r="B1156" s="4" t="s">
        <v>334</v>
      </c>
      <c r="C1156" s="4" t="s">
        <v>226</v>
      </c>
      <c r="D1156" s="4"/>
      <c r="E1156" s="4"/>
      <c r="F1156" s="4" t="s">
        <v>785</v>
      </c>
      <c r="G1156" s="4" t="s">
        <v>336</v>
      </c>
      <c r="H1156" s="4" t="s">
        <v>289</v>
      </c>
      <c r="I1156" s="4">
        <v>0.2</v>
      </c>
      <c r="J1156" s="21">
        <v>150</v>
      </c>
      <c r="K1156" s="21">
        <v>0</v>
      </c>
      <c r="L1156" s="5">
        <v>0</v>
      </c>
      <c r="M1156" s="4">
        <v>0.2</v>
      </c>
      <c r="N1156" s="4"/>
      <c r="O1156" s="5">
        <v>150</v>
      </c>
      <c r="P1156" s="5"/>
      <c r="Q1156" s="21">
        <v>30</v>
      </c>
      <c r="R1156" s="21">
        <v>0</v>
      </c>
      <c r="S1156" s="5">
        <f t="shared" ref="S1156:S1219" si="75">S1155+Q1156-R1156</f>
        <v>70369.04376015201</v>
      </c>
      <c r="T1156" cm="1">
        <f t="array" ref="T1156">IF(OR(B1156="MAL ALIMI", B1156="ÜRETİM GİRİŞ"), MIN(I1156, MAX(0, I1156 + SUM(SUMIFS($I$1:I1155, $C$1:C1155, C1156, $B$1:B1155, {"MAL ALIMI","ÜRETİM GİRİŞ"})) - VLOOKUP(C1156, 'STOK RAPORU'!$C$2:$I$1000, 4, 0))), 0)</f>
        <v>0</v>
      </c>
      <c r="U1156" s="22">
        <f t="shared" si="72"/>
        <v>0</v>
      </c>
      <c r="V1156">
        <f t="shared" si="73"/>
        <v>0</v>
      </c>
      <c r="W1156" s="22">
        <f t="shared" si="74"/>
        <v>0</v>
      </c>
    </row>
    <row r="1157" spans="1:23" hidden="1" x14ac:dyDescent="0.25">
      <c r="A1157" s="3">
        <v>45977</v>
      </c>
      <c r="B1157" s="4" t="s">
        <v>946</v>
      </c>
      <c r="C1157" s="4"/>
      <c r="D1157" s="4"/>
      <c r="E1157" s="4" t="s">
        <v>921</v>
      </c>
      <c r="F1157" s="4"/>
      <c r="G1157" s="4" t="s">
        <v>946</v>
      </c>
      <c r="H1157" s="4" t="s">
        <v>380</v>
      </c>
      <c r="I1157" s="4">
        <v>1</v>
      </c>
      <c r="J1157" s="105">
        <v>100</v>
      </c>
      <c r="K1157" s="21">
        <v>0</v>
      </c>
      <c r="L1157" s="111">
        <v>100</v>
      </c>
      <c r="M1157" s="4"/>
      <c r="N1157" s="4"/>
      <c r="O1157" s="5"/>
      <c r="P1157" s="5"/>
      <c r="Q1157" s="21">
        <v>100</v>
      </c>
      <c r="R1157" s="21">
        <v>0</v>
      </c>
      <c r="S1157" s="5">
        <f t="shared" si="75"/>
        <v>70469.04376015201</v>
      </c>
      <c r="T1157" cm="1">
        <f t="array" ref="T1157">IF(OR(B1157="MAL ALIMI", B1157="ÜRETİM GİRİŞ"), MIN(I1157, MAX(0, I1157 + SUM(SUMIFS($I$1:I1156, $C$1:C1156, C1157, $B$1:B1156, {"MAL ALIMI","ÜRETİM GİRİŞ"})) - VLOOKUP(C1157, 'STOK RAPORU'!$C$2:$I$1000, 4, 0))), 0)</f>
        <v>0</v>
      </c>
      <c r="U1157" s="22">
        <f t="shared" si="72"/>
        <v>0</v>
      </c>
      <c r="V1157">
        <f t="shared" si="73"/>
        <v>0</v>
      </c>
      <c r="W1157" s="22">
        <f t="shared" si="74"/>
        <v>0</v>
      </c>
    </row>
    <row r="1158" spans="1:23" hidden="1" x14ac:dyDescent="0.25">
      <c r="A1158" s="3">
        <v>45977</v>
      </c>
      <c r="B1158" s="4" t="s">
        <v>285</v>
      </c>
      <c r="C1158" s="4"/>
      <c r="D1158" s="4" t="s">
        <v>673</v>
      </c>
      <c r="E1158" s="4"/>
      <c r="F1158" s="4"/>
      <c r="G1158" s="4" t="s">
        <v>948</v>
      </c>
      <c r="H1158" s="4" t="s">
        <v>289</v>
      </c>
      <c r="I1158" s="4">
        <v>1</v>
      </c>
      <c r="J1158" s="21">
        <v>912.4</v>
      </c>
      <c r="K1158" s="21">
        <v>0</v>
      </c>
      <c r="L1158" s="5">
        <v>0</v>
      </c>
      <c r="M1158" s="4"/>
      <c r="N1158" s="4"/>
      <c r="O1158" s="5"/>
      <c r="P1158" s="5"/>
      <c r="Q1158" s="21">
        <v>0</v>
      </c>
      <c r="R1158" s="21">
        <v>912.4</v>
      </c>
      <c r="S1158" s="5">
        <f t="shared" si="75"/>
        <v>69556.643760152016</v>
      </c>
      <c r="T1158" cm="1">
        <f t="array" ref="T1158">IF(OR(B1158="MAL ALIMI", B1158="ÜRETİM GİRİŞ"), MIN(I1158, MAX(0, I1158 + SUM(SUMIFS($I$1:I1157, $C$1:C1157, C1158, $B$1:B1157, {"MAL ALIMI","ÜRETİM GİRİŞ"})) - VLOOKUP(C1158, 'STOK RAPORU'!$C$2:$I$1000, 4, 0))), 0)</f>
        <v>0</v>
      </c>
      <c r="U1158" s="22">
        <f t="shared" si="72"/>
        <v>0</v>
      </c>
      <c r="V1158">
        <f t="shared" si="73"/>
        <v>0</v>
      </c>
      <c r="W1158" s="22">
        <f t="shared" si="74"/>
        <v>0</v>
      </c>
    </row>
    <row r="1159" spans="1:23" hidden="1" x14ac:dyDescent="0.25">
      <c r="A1159" s="45">
        <v>45977</v>
      </c>
      <c r="B1159" s="46" t="s">
        <v>946</v>
      </c>
      <c r="C1159" s="46"/>
      <c r="D1159" s="46"/>
      <c r="E1159" s="46" t="s">
        <v>921</v>
      </c>
      <c r="F1159" s="46"/>
      <c r="G1159" s="46" t="s">
        <v>948</v>
      </c>
      <c r="H1159" s="46" t="s">
        <v>380</v>
      </c>
      <c r="I1159" s="46">
        <v>1</v>
      </c>
      <c r="J1159" s="107">
        <v>912.4</v>
      </c>
      <c r="K1159" s="47">
        <v>0</v>
      </c>
      <c r="L1159" s="117">
        <v>912.4</v>
      </c>
      <c r="M1159" s="4">
        <v>912.4</v>
      </c>
      <c r="N1159" s="4"/>
      <c r="O1159" s="5"/>
      <c r="P1159" s="5"/>
      <c r="Q1159" s="103">
        <v>912.4</v>
      </c>
      <c r="R1159" s="21">
        <v>0</v>
      </c>
      <c r="S1159" s="5">
        <f t="shared" si="75"/>
        <v>70469.04376015201</v>
      </c>
      <c r="T1159" cm="1">
        <f t="array" ref="T1159">IF(OR(B1159="MAL ALIMI", B1159="ÜRETİM GİRİŞ"), MIN(I1159, MAX(0, I1159 + SUM(SUMIFS($I$1:I1158, $C$1:C1158, C1159, $B$1:B1158, {"MAL ALIMI","ÜRETİM GİRİŞ"})) - VLOOKUP(C1159, 'STOK RAPORU'!$C$2:$I$1000, 4, 0))), 0)</f>
        <v>0</v>
      </c>
      <c r="U1159" s="22">
        <f t="shared" si="72"/>
        <v>0</v>
      </c>
      <c r="V1159">
        <f t="shared" si="73"/>
        <v>0</v>
      </c>
      <c r="W1159" s="22">
        <f t="shared" si="74"/>
        <v>0</v>
      </c>
    </row>
    <row r="1160" spans="1:23" hidden="1" x14ac:dyDescent="0.25">
      <c r="A1160" s="3">
        <v>45977</v>
      </c>
      <c r="B1160" s="4" t="s">
        <v>946</v>
      </c>
      <c r="C1160" s="4"/>
      <c r="D1160" s="4"/>
      <c r="E1160" s="4" t="s">
        <v>921</v>
      </c>
      <c r="F1160" s="4"/>
      <c r="G1160" s="4" t="s">
        <v>946</v>
      </c>
      <c r="H1160" s="4" t="s">
        <v>380</v>
      </c>
      <c r="I1160" s="4">
        <v>1</v>
      </c>
      <c r="J1160" s="109">
        <v>350</v>
      </c>
      <c r="K1160" s="35">
        <v>0</v>
      </c>
      <c r="L1160" s="102">
        <v>350</v>
      </c>
      <c r="M1160" s="4"/>
      <c r="N1160" s="4"/>
      <c r="O1160" s="5"/>
      <c r="P1160" s="5"/>
      <c r="Q1160" s="35">
        <v>350</v>
      </c>
      <c r="R1160" s="35">
        <v>0</v>
      </c>
      <c r="S1160" s="5">
        <f t="shared" si="75"/>
        <v>70819.04376015201</v>
      </c>
      <c r="T1160" cm="1">
        <f t="array" ref="T1160">IF(OR(B1160="MAL ALIMI", B1160="ÜRETİM GİRİŞ"), MIN(I1160, MAX(0, I1160 + SUM(SUMIFS($I$1:I1159, $C$1:C1159, C1160, $B$1:B1159, {"MAL ALIMI","ÜRETİM GİRİŞ"})) - VLOOKUP(C1160, 'STOK RAPORU'!$C$2:$I$1000, 4, 0))), 0)</f>
        <v>0</v>
      </c>
      <c r="U1160" s="22">
        <f t="shared" si="72"/>
        <v>0</v>
      </c>
      <c r="V1160">
        <f t="shared" si="73"/>
        <v>0</v>
      </c>
      <c r="W1160" s="22">
        <f t="shared" si="74"/>
        <v>0</v>
      </c>
    </row>
    <row r="1161" spans="1:23" hidden="1" x14ac:dyDescent="0.25">
      <c r="A1161" s="3">
        <v>45978</v>
      </c>
      <c r="B1161" s="4" t="s">
        <v>298</v>
      </c>
      <c r="C1161" s="4" t="s">
        <v>815</v>
      </c>
      <c r="D1161" s="4"/>
      <c r="E1161" s="4" t="s">
        <v>836</v>
      </c>
      <c r="F1161" s="4" t="s">
        <v>797</v>
      </c>
      <c r="G1161" s="4" t="s">
        <v>836</v>
      </c>
      <c r="H1161" s="4" t="s">
        <v>304</v>
      </c>
      <c r="I1161" s="4">
        <v>12</v>
      </c>
      <c r="J1161" s="21">
        <v>64.8</v>
      </c>
      <c r="K1161" s="21">
        <v>0</v>
      </c>
      <c r="L1161" s="5">
        <v>777.59999999999991</v>
      </c>
      <c r="M1161" s="4"/>
      <c r="N1161" s="4">
        <v>12</v>
      </c>
      <c r="O1161" s="5"/>
      <c r="P1161" s="5">
        <v>64.8</v>
      </c>
      <c r="Q1161" s="21">
        <v>0</v>
      </c>
      <c r="R1161" s="21">
        <v>0</v>
      </c>
      <c r="S1161" s="5">
        <f t="shared" si="75"/>
        <v>70819.04376015201</v>
      </c>
      <c r="T1161" cm="1">
        <f t="array" ref="T1161">IF(OR(B1161="MAL ALIMI", B1161="ÜRETİM GİRİŞ"), MIN(I1161, MAX(0, I1161 + SUM(SUMIFS($I$1:I1160, $C$1:C1160, C1161, $B$1:B1160, {"MAL ALIMI","ÜRETİM GİRİŞ"})) - VLOOKUP(C1161, 'STOK RAPORU'!$C$2:$I$1000, 4, 0))), 0)</f>
        <v>8</v>
      </c>
      <c r="U1161" s="22">
        <f t="shared" si="72"/>
        <v>518.4</v>
      </c>
      <c r="V1161">
        <f t="shared" si="73"/>
        <v>777.59999999999991</v>
      </c>
      <c r="W1161" s="22">
        <f t="shared" si="74"/>
        <v>259.19999999999993</v>
      </c>
    </row>
    <row r="1162" spans="1:23" hidden="1" x14ac:dyDescent="0.25">
      <c r="A1162" s="3">
        <v>45978</v>
      </c>
      <c r="B1162" s="4" t="s">
        <v>298</v>
      </c>
      <c r="C1162" s="4" t="s">
        <v>816</v>
      </c>
      <c r="D1162" s="4"/>
      <c r="E1162" s="4" t="s">
        <v>836</v>
      </c>
      <c r="F1162" s="4" t="s">
        <v>797</v>
      </c>
      <c r="G1162" s="4" t="s">
        <v>836</v>
      </c>
      <c r="H1162" s="4" t="s">
        <v>304</v>
      </c>
      <c r="I1162" s="4">
        <v>6</v>
      </c>
      <c r="J1162" s="21">
        <v>272.7</v>
      </c>
      <c r="K1162" s="21">
        <v>0</v>
      </c>
      <c r="L1162" s="5">
        <v>1636.1999999999998</v>
      </c>
      <c r="M1162" s="4"/>
      <c r="N1162" s="4">
        <v>6</v>
      </c>
      <c r="O1162" s="5"/>
      <c r="P1162" s="5">
        <v>272.7</v>
      </c>
      <c r="Q1162" s="21">
        <v>0</v>
      </c>
      <c r="R1162" s="21">
        <v>0</v>
      </c>
      <c r="S1162" s="5">
        <f t="shared" si="75"/>
        <v>70819.04376015201</v>
      </c>
      <c r="T1162" cm="1">
        <f t="array" ref="T1162">IF(OR(B1162="MAL ALIMI", B1162="ÜRETİM GİRİŞ"), MIN(I1162, MAX(0, I1162 + SUM(SUMIFS($I$1:I1161, $C$1:C1161, C1162, $B$1:B1161, {"MAL ALIMI","ÜRETİM GİRİŞ"})) - VLOOKUP(C1162, 'STOK RAPORU'!$C$2:$I$1000, 4, 0))), 0)</f>
        <v>5</v>
      </c>
      <c r="U1162" s="22">
        <f t="shared" si="72"/>
        <v>1363.5</v>
      </c>
      <c r="V1162">
        <f t="shared" si="73"/>
        <v>1636.1999999999998</v>
      </c>
      <c r="W1162" s="22">
        <f t="shared" si="74"/>
        <v>272.69999999999982</v>
      </c>
    </row>
    <row r="1163" spans="1:23" hidden="1" x14ac:dyDescent="0.25">
      <c r="A1163" s="3">
        <v>45978</v>
      </c>
      <c r="B1163" s="4" t="s">
        <v>298</v>
      </c>
      <c r="C1163" s="4" t="s">
        <v>817</v>
      </c>
      <c r="D1163" s="4"/>
      <c r="E1163" s="4" t="s">
        <v>836</v>
      </c>
      <c r="F1163" s="4" t="s">
        <v>797</v>
      </c>
      <c r="G1163" s="4" t="s">
        <v>836</v>
      </c>
      <c r="H1163" s="4" t="s">
        <v>304</v>
      </c>
      <c r="I1163" s="4">
        <v>12</v>
      </c>
      <c r="J1163" s="21">
        <v>90.9</v>
      </c>
      <c r="K1163" s="21">
        <v>0</v>
      </c>
      <c r="L1163" s="5">
        <v>1090.8000000000002</v>
      </c>
      <c r="M1163" s="4"/>
      <c r="N1163" s="4">
        <v>12</v>
      </c>
      <c r="O1163" s="5"/>
      <c r="P1163" s="5">
        <v>90.9</v>
      </c>
      <c r="Q1163" s="21">
        <v>0</v>
      </c>
      <c r="R1163" s="21">
        <v>0</v>
      </c>
      <c r="S1163" s="5">
        <f t="shared" si="75"/>
        <v>70819.04376015201</v>
      </c>
      <c r="T1163" cm="1">
        <f t="array" ref="T1163">IF(OR(B1163="MAL ALIMI", B1163="ÜRETİM GİRİŞ"), MIN(I1163, MAX(0, I1163 + SUM(SUMIFS($I$1:I1162, $C$1:C1162, C1163, $B$1:B1162, {"MAL ALIMI","ÜRETİM GİRİŞ"})) - VLOOKUP(C1163, 'STOK RAPORU'!$C$2:$I$1000, 4, 0))), 0)</f>
        <v>11</v>
      </c>
      <c r="U1163" s="22">
        <f t="shared" si="72"/>
        <v>999.90000000000009</v>
      </c>
      <c r="V1163">
        <f t="shared" si="73"/>
        <v>1090.8000000000002</v>
      </c>
      <c r="W1163" s="22">
        <f t="shared" si="74"/>
        <v>90.900000000000091</v>
      </c>
    </row>
    <row r="1164" spans="1:23" hidden="1" x14ac:dyDescent="0.25">
      <c r="A1164" s="3">
        <v>45978</v>
      </c>
      <c r="B1164" s="4" t="s">
        <v>298</v>
      </c>
      <c r="C1164" s="4" t="s">
        <v>818</v>
      </c>
      <c r="D1164" s="4"/>
      <c r="E1164" s="4" t="s">
        <v>836</v>
      </c>
      <c r="F1164" s="4" t="s">
        <v>797</v>
      </c>
      <c r="G1164" s="4" t="s">
        <v>836</v>
      </c>
      <c r="H1164" s="4" t="s">
        <v>304</v>
      </c>
      <c r="I1164" s="4">
        <v>12</v>
      </c>
      <c r="J1164" s="21">
        <v>54.54</v>
      </c>
      <c r="K1164" s="21">
        <v>0</v>
      </c>
      <c r="L1164" s="5">
        <v>654.48</v>
      </c>
      <c r="M1164" s="4"/>
      <c r="N1164" s="4">
        <v>12</v>
      </c>
      <c r="O1164" s="5"/>
      <c r="P1164" s="5">
        <v>54.54</v>
      </c>
      <c r="Q1164" s="21">
        <v>0</v>
      </c>
      <c r="R1164" s="21">
        <v>0</v>
      </c>
      <c r="S1164" s="5">
        <f t="shared" si="75"/>
        <v>70819.04376015201</v>
      </c>
      <c r="T1164" cm="1">
        <f t="array" ref="T1164">IF(OR(B1164="MAL ALIMI", B1164="ÜRETİM GİRİŞ"), MIN(I1164, MAX(0, I1164 + SUM(SUMIFS($I$1:I1163, $C$1:C1163, C1164, $B$1:B1163, {"MAL ALIMI","ÜRETİM GİRİŞ"})) - VLOOKUP(C1164, 'STOK RAPORU'!$C$2:$I$1000, 4, 0))), 0)</f>
        <v>7</v>
      </c>
      <c r="U1164" s="22">
        <f t="shared" si="72"/>
        <v>381.78</v>
      </c>
      <c r="V1164">
        <f t="shared" si="73"/>
        <v>654.48</v>
      </c>
      <c r="W1164" s="22">
        <f t="shared" si="74"/>
        <v>272.70000000000005</v>
      </c>
    </row>
    <row r="1165" spans="1:23" hidden="1" x14ac:dyDescent="0.25">
      <c r="A1165" s="3">
        <v>45978</v>
      </c>
      <c r="B1165" s="4" t="s">
        <v>298</v>
      </c>
      <c r="C1165" s="4" t="s">
        <v>819</v>
      </c>
      <c r="D1165" s="4"/>
      <c r="E1165" s="4" t="s">
        <v>836</v>
      </c>
      <c r="F1165" s="4" t="s">
        <v>797</v>
      </c>
      <c r="G1165" s="4" t="s">
        <v>836</v>
      </c>
      <c r="H1165" s="4" t="s">
        <v>304</v>
      </c>
      <c r="I1165" s="4">
        <v>12</v>
      </c>
      <c r="J1165" s="21">
        <v>64.8</v>
      </c>
      <c r="K1165" s="21">
        <v>0</v>
      </c>
      <c r="L1165" s="5">
        <v>777.59999999999991</v>
      </c>
      <c r="M1165" s="4"/>
      <c r="N1165" s="4">
        <v>12</v>
      </c>
      <c r="O1165" s="5"/>
      <c r="P1165" s="5">
        <v>64.8</v>
      </c>
      <c r="Q1165" s="21">
        <v>0</v>
      </c>
      <c r="R1165" s="21">
        <v>0</v>
      </c>
      <c r="S1165" s="5">
        <f t="shared" si="75"/>
        <v>70819.04376015201</v>
      </c>
      <c r="T1165" cm="1">
        <f t="array" ref="T1165">IF(OR(B1165="MAL ALIMI", B1165="ÜRETİM GİRİŞ"), MIN(I1165, MAX(0, I1165 + SUM(SUMIFS($I$1:I1164, $C$1:C1164, C1165, $B$1:B1164, {"MAL ALIMI","ÜRETİM GİRİŞ"})) - VLOOKUP(C1165, 'STOK RAPORU'!$C$2:$I$1000, 4, 0))), 0)</f>
        <v>12</v>
      </c>
      <c r="U1165" s="22">
        <f t="shared" si="72"/>
        <v>777.59999999999991</v>
      </c>
      <c r="V1165">
        <f t="shared" si="73"/>
        <v>777.59999999999991</v>
      </c>
      <c r="W1165" s="22">
        <f t="shared" si="74"/>
        <v>0</v>
      </c>
    </row>
    <row r="1166" spans="1:23" hidden="1" x14ac:dyDescent="0.25">
      <c r="A1166" s="3">
        <v>45978</v>
      </c>
      <c r="B1166" s="4" t="s">
        <v>298</v>
      </c>
      <c r="C1166" s="4" t="s">
        <v>820</v>
      </c>
      <c r="D1166" s="4"/>
      <c r="E1166" s="4" t="s">
        <v>836</v>
      </c>
      <c r="F1166" s="4" t="s">
        <v>797</v>
      </c>
      <c r="G1166" s="4" t="s">
        <v>836</v>
      </c>
      <c r="H1166" s="4" t="s">
        <v>304</v>
      </c>
      <c r="I1166" s="4">
        <v>12</v>
      </c>
      <c r="J1166" s="21">
        <v>64.8</v>
      </c>
      <c r="K1166" s="21">
        <v>0</v>
      </c>
      <c r="L1166" s="5">
        <v>777.59999999999991</v>
      </c>
      <c r="M1166" s="4"/>
      <c r="N1166" s="4">
        <v>12</v>
      </c>
      <c r="O1166" s="5"/>
      <c r="P1166" s="5">
        <v>64.8</v>
      </c>
      <c r="Q1166" s="21">
        <v>0</v>
      </c>
      <c r="R1166" s="21">
        <v>0</v>
      </c>
      <c r="S1166" s="5">
        <f t="shared" si="75"/>
        <v>70819.04376015201</v>
      </c>
      <c r="T1166" cm="1">
        <f t="array" ref="T1166">IF(OR(B1166="MAL ALIMI", B1166="ÜRETİM GİRİŞ"), MIN(I1166, MAX(0, I1166 + SUM(SUMIFS($I$1:I1165, $C$1:C1165, C1166, $B$1:B1165, {"MAL ALIMI","ÜRETİM GİRİŞ"})) - VLOOKUP(C1166, 'STOK RAPORU'!$C$2:$I$1000, 4, 0))), 0)</f>
        <v>10</v>
      </c>
      <c r="U1166" s="22">
        <f t="shared" si="72"/>
        <v>648</v>
      </c>
      <c r="V1166">
        <f t="shared" si="73"/>
        <v>777.59999999999991</v>
      </c>
      <c r="W1166" s="22">
        <f t="shared" si="74"/>
        <v>129.59999999999991</v>
      </c>
    </row>
    <row r="1167" spans="1:23" hidden="1" x14ac:dyDescent="0.25">
      <c r="A1167" s="3">
        <v>45978</v>
      </c>
      <c r="B1167" s="4" t="s">
        <v>298</v>
      </c>
      <c r="C1167" s="4" t="s">
        <v>821</v>
      </c>
      <c r="D1167" s="4"/>
      <c r="E1167" s="4" t="s">
        <v>836</v>
      </c>
      <c r="F1167" s="4" t="s">
        <v>797</v>
      </c>
      <c r="G1167" s="4" t="s">
        <v>836</v>
      </c>
      <c r="H1167" s="4" t="s">
        <v>304</v>
      </c>
      <c r="I1167" s="4">
        <v>12</v>
      </c>
      <c r="J1167" s="21">
        <v>54.54</v>
      </c>
      <c r="K1167" s="21">
        <v>0</v>
      </c>
      <c r="L1167" s="5">
        <v>654.48</v>
      </c>
      <c r="M1167" s="4"/>
      <c r="N1167" s="4">
        <v>12</v>
      </c>
      <c r="O1167" s="5"/>
      <c r="P1167" s="5">
        <v>54.54</v>
      </c>
      <c r="Q1167" s="21">
        <v>0</v>
      </c>
      <c r="R1167" s="21">
        <v>0</v>
      </c>
      <c r="S1167" s="5">
        <f t="shared" si="75"/>
        <v>70819.04376015201</v>
      </c>
      <c r="T1167" cm="1">
        <f t="array" ref="T1167">IF(OR(B1167="MAL ALIMI", B1167="ÜRETİM GİRİŞ"), MIN(I1167, MAX(0, I1167 + SUM(SUMIFS($I$1:I1166, $C$1:C1166, C1167, $B$1:B1166, {"MAL ALIMI","ÜRETİM GİRİŞ"})) - VLOOKUP(C1167, 'STOK RAPORU'!$C$2:$I$1000, 4, 0))), 0)</f>
        <v>7</v>
      </c>
      <c r="U1167" s="22">
        <f t="shared" si="72"/>
        <v>381.78</v>
      </c>
      <c r="V1167">
        <f t="shared" si="73"/>
        <v>654.48</v>
      </c>
      <c r="W1167" s="22">
        <f t="shared" si="74"/>
        <v>272.70000000000005</v>
      </c>
    </row>
    <row r="1168" spans="1:23" hidden="1" x14ac:dyDescent="0.25">
      <c r="A1168" s="3">
        <v>45978</v>
      </c>
      <c r="B1168" s="4" t="s">
        <v>298</v>
      </c>
      <c r="C1168" s="4" t="s">
        <v>822</v>
      </c>
      <c r="D1168" s="4"/>
      <c r="E1168" s="4" t="s">
        <v>836</v>
      </c>
      <c r="F1168" s="4" t="s">
        <v>797</v>
      </c>
      <c r="G1168" s="4" t="s">
        <v>836</v>
      </c>
      <c r="H1168" s="4" t="s">
        <v>304</v>
      </c>
      <c r="I1168" s="4">
        <v>12</v>
      </c>
      <c r="J1168" s="21">
        <v>83.325000000000003</v>
      </c>
      <c r="K1168" s="21">
        <v>0</v>
      </c>
      <c r="L1168" s="5">
        <v>999.90000000000009</v>
      </c>
      <c r="M1168" s="4"/>
      <c r="N1168" s="4">
        <v>12</v>
      </c>
      <c r="O1168" s="5"/>
      <c r="P1168" s="5">
        <v>83.325000000000003</v>
      </c>
      <c r="Q1168" s="21">
        <v>0</v>
      </c>
      <c r="R1168" s="21">
        <v>0</v>
      </c>
      <c r="S1168" s="5">
        <f t="shared" si="75"/>
        <v>70819.04376015201</v>
      </c>
      <c r="T1168" cm="1">
        <f t="array" ref="T1168">IF(OR(B1168="MAL ALIMI", B1168="ÜRETİM GİRİŞ"), MIN(I1168, MAX(0, I1168 + SUM(SUMIFS($I$1:I1167, $C$1:C1167, C1168, $B$1:B1167, {"MAL ALIMI","ÜRETİM GİRİŞ"})) - VLOOKUP(C1168, 'STOK RAPORU'!$C$2:$I$1000, 4, 0))), 0)</f>
        <v>0</v>
      </c>
      <c r="U1168" s="22">
        <f t="shared" si="72"/>
        <v>0</v>
      </c>
      <c r="V1168">
        <f t="shared" si="73"/>
        <v>999.90000000000009</v>
      </c>
      <c r="W1168" s="22">
        <f t="shared" si="74"/>
        <v>999.90000000000009</v>
      </c>
    </row>
    <row r="1169" spans="1:23" hidden="1" x14ac:dyDescent="0.25">
      <c r="A1169" s="3">
        <v>45978</v>
      </c>
      <c r="B1169" s="4" t="s">
        <v>298</v>
      </c>
      <c r="C1169" s="4" t="s">
        <v>823</v>
      </c>
      <c r="D1169" s="4"/>
      <c r="E1169" s="4" t="s">
        <v>836</v>
      </c>
      <c r="F1169" s="4" t="s">
        <v>797</v>
      </c>
      <c r="G1169" s="4" t="s">
        <v>836</v>
      </c>
      <c r="H1169" s="4" t="s">
        <v>304</v>
      </c>
      <c r="I1169" s="4">
        <v>12</v>
      </c>
      <c r="J1169" s="21">
        <v>60.6</v>
      </c>
      <c r="K1169" s="21">
        <v>0</v>
      </c>
      <c r="L1169" s="5">
        <v>727.2</v>
      </c>
      <c r="M1169" s="4"/>
      <c r="N1169" s="4">
        <v>12</v>
      </c>
      <c r="O1169" s="5"/>
      <c r="P1169" s="5">
        <v>60.6</v>
      </c>
      <c r="Q1169" s="21">
        <v>0</v>
      </c>
      <c r="R1169" s="21">
        <v>0</v>
      </c>
      <c r="S1169" s="5">
        <f t="shared" si="75"/>
        <v>70819.04376015201</v>
      </c>
      <c r="T1169" cm="1">
        <f t="array" ref="T1169">IF(OR(B1169="MAL ALIMI", B1169="ÜRETİM GİRİŞ"), MIN(I1169, MAX(0, I1169 + SUM(SUMIFS($I$1:I1168, $C$1:C1168, C1169, $B$1:B1168, {"MAL ALIMI","ÜRETİM GİRİŞ"})) - VLOOKUP(C1169, 'STOK RAPORU'!$C$2:$I$1000, 4, 0))), 0)</f>
        <v>3</v>
      </c>
      <c r="U1169" s="22">
        <f t="shared" si="72"/>
        <v>181.8</v>
      </c>
      <c r="V1169">
        <f t="shared" si="73"/>
        <v>727.2</v>
      </c>
      <c r="W1169" s="22">
        <f t="shared" si="74"/>
        <v>545.40000000000009</v>
      </c>
    </row>
    <row r="1170" spans="1:23" hidden="1" x14ac:dyDescent="0.25">
      <c r="A1170" s="3">
        <v>45978</v>
      </c>
      <c r="B1170" s="4" t="s">
        <v>298</v>
      </c>
      <c r="C1170" s="4" t="s">
        <v>824</v>
      </c>
      <c r="D1170" s="4"/>
      <c r="E1170" s="4" t="s">
        <v>836</v>
      </c>
      <c r="F1170" s="4" t="s">
        <v>797</v>
      </c>
      <c r="G1170" s="4" t="s">
        <v>836</v>
      </c>
      <c r="H1170" s="4" t="s">
        <v>304</v>
      </c>
      <c r="I1170" s="4">
        <v>12</v>
      </c>
      <c r="J1170" s="21">
        <v>60.6</v>
      </c>
      <c r="K1170" s="21">
        <v>0</v>
      </c>
      <c r="L1170" s="5">
        <v>727.2</v>
      </c>
      <c r="M1170" s="4"/>
      <c r="N1170" s="4">
        <v>12</v>
      </c>
      <c r="O1170" s="5"/>
      <c r="P1170" s="5">
        <v>60.6</v>
      </c>
      <c r="Q1170" s="21">
        <v>0</v>
      </c>
      <c r="R1170" s="21">
        <v>0</v>
      </c>
      <c r="S1170" s="5">
        <f t="shared" si="75"/>
        <v>70819.04376015201</v>
      </c>
      <c r="T1170" cm="1">
        <f t="array" ref="T1170">IF(OR(B1170="MAL ALIMI", B1170="ÜRETİM GİRİŞ"), MIN(I1170, MAX(0, I1170 + SUM(SUMIFS($I$1:I1169, $C$1:C1169, C1170, $B$1:B1169, {"MAL ALIMI","ÜRETİM GİRİŞ"})) - VLOOKUP(C1170, 'STOK RAPORU'!$C$2:$I$1000, 4, 0))), 0)</f>
        <v>6</v>
      </c>
      <c r="U1170" s="22">
        <f t="shared" si="72"/>
        <v>363.6</v>
      </c>
      <c r="V1170">
        <f t="shared" si="73"/>
        <v>727.2</v>
      </c>
      <c r="W1170" s="22">
        <f t="shared" si="74"/>
        <v>363.6</v>
      </c>
    </row>
    <row r="1171" spans="1:23" hidden="1" x14ac:dyDescent="0.25">
      <c r="A1171" s="3">
        <v>45978</v>
      </c>
      <c r="B1171" s="4" t="s">
        <v>298</v>
      </c>
      <c r="C1171" s="4" t="s">
        <v>825</v>
      </c>
      <c r="D1171" s="4"/>
      <c r="E1171" s="4" t="s">
        <v>836</v>
      </c>
      <c r="F1171" s="4" t="s">
        <v>797</v>
      </c>
      <c r="G1171" s="4" t="s">
        <v>836</v>
      </c>
      <c r="H1171" s="4" t="s">
        <v>304</v>
      </c>
      <c r="I1171" s="4">
        <v>12</v>
      </c>
      <c r="J1171" s="21">
        <v>90</v>
      </c>
      <c r="K1171" s="21">
        <v>0</v>
      </c>
      <c r="L1171" s="5">
        <v>1080</v>
      </c>
      <c r="M1171" s="4"/>
      <c r="N1171" s="4">
        <v>12</v>
      </c>
      <c r="O1171" s="5"/>
      <c r="P1171" s="5">
        <v>90</v>
      </c>
      <c r="Q1171" s="21">
        <v>0</v>
      </c>
      <c r="R1171" s="21">
        <v>0</v>
      </c>
      <c r="S1171" s="5">
        <f t="shared" si="75"/>
        <v>70819.04376015201</v>
      </c>
      <c r="T1171" cm="1">
        <f t="array" ref="T1171">IF(OR(B1171="MAL ALIMI", B1171="ÜRETİM GİRİŞ"), MIN(I1171, MAX(0, I1171 + SUM(SUMIFS($I$1:I1170, $C$1:C1170, C1171, $B$1:B1170, {"MAL ALIMI","ÜRETİM GİRİŞ"})) - VLOOKUP(C1171, 'STOK RAPORU'!$C$2:$I$1000, 4, 0))), 0)</f>
        <v>4</v>
      </c>
      <c r="U1171" s="22">
        <f t="shared" si="72"/>
        <v>360</v>
      </c>
      <c r="V1171">
        <f t="shared" si="73"/>
        <v>1080</v>
      </c>
      <c r="W1171" s="22">
        <f t="shared" si="74"/>
        <v>720</v>
      </c>
    </row>
    <row r="1172" spans="1:23" hidden="1" x14ac:dyDescent="0.25">
      <c r="A1172" s="3">
        <v>45978</v>
      </c>
      <c r="B1172" s="4" t="s">
        <v>298</v>
      </c>
      <c r="C1172" s="4" t="s">
        <v>826</v>
      </c>
      <c r="D1172" s="4"/>
      <c r="E1172" s="4" t="s">
        <v>836</v>
      </c>
      <c r="F1172" s="4" t="s">
        <v>797</v>
      </c>
      <c r="G1172" s="4" t="s">
        <v>836</v>
      </c>
      <c r="H1172" s="4" t="s">
        <v>304</v>
      </c>
      <c r="I1172" s="4">
        <v>12</v>
      </c>
      <c r="J1172" s="21">
        <v>64.8</v>
      </c>
      <c r="K1172" s="21">
        <v>0</v>
      </c>
      <c r="L1172" s="5">
        <v>777.59999999999991</v>
      </c>
      <c r="M1172" s="4"/>
      <c r="N1172" s="4">
        <v>12</v>
      </c>
      <c r="O1172" s="5"/>
      <c r="P1172" s="5">
        <v>64.8</v>
      </c>
      <c r="Q1172" s="21">
        <v>0</v>
      </c>
      <c r="R1172" s="21">
        <v>0</v>
      </c>
      <c r="S1172" s="5">
        <f t="shared" si="75"/>
        <v>70819.04376015201</v>
      </c>
      <c r="T1172" cm="1">
        <f t="array" ref="T1172">IF(OR(B1172="MAL ALIMI", B1172="ÜRETİM GİRİŞ"), MIN(I1172, MAX(0, I1172 + SUM(SUMIFS($I$1:I1171, $C$1:C1171, C1172, $B$1:B1171, {"MAL ALIMI","ÜRETİM GİRİŞ"})) - VLOOKUP(C1172, 'STOK RAPORU'!$C$2:$I$1000, 4, 0))), 0)</f>
        <v>0</v>
      </c>
      <c r="U1172" s="22">
        <f t="shared" si="72"/>
        <v>0</v>
      </c>
      <c r="V1172">
        <f t="shared" si="73"/>
        <v>777.59999999999991</v>
      </c>
      <c r="W1172" s="22">
        <f t="shared" si="74"/>
        <v>777.59999999999991</v>
      </c>
    </row>
    <row r="1173" spans="1:23" hidden="1" x14ac:dyDescent="0.25">
      <c r="A1173" s="3">
        <v>45978</v>
      </c>
      <c r="B1173" s="4" t="s">
        <v>298</v>
      </c>
      <c r="C1173" s="4" t="s">
        <v>827</v>
      </c>
      <c r="D1173" s="4"/>
      <c r="E1173" s="4" t="s">
        <v>836</v>
      </c>
      <c r="F1173" s="4" t="s">
        <v>797</v>
      </c>
      <c r="G1173" s="4" t="s">
        <v>836</v>
      </c>
      <c r="H1173" s="4" t="s">
        <v>304</v>
      </c>
      <c r="I1173" s="4">
        <v>12</v>
      </c>
      <c r="J1173" s="21">
        <v>64.8</v>
      </c>
      <c r="K1173" s="21">
        <v>0</v>
      </c>
      <c r="L1173" s="5">
        <v>777.59999999999991</v>
      </c>
      <c r="M1173" s="4"/>
      <c r="N1173" s="4">
        <v>12</v>
      </c>
      <c r="O1173" s="5"/>
      <c r="P1173" s="5">
        <v>64.8</v>
      </c>
      <c r="Q1173" s="21">
        <v>0</v>
      </c>
      <c r="R1173" s="21">
        <v>0</v>
      </c>
      <c r="S1173" s="5">
        <f t="shared" si="75"/>
        <v>70819.04376015201</v>
      </c>
      <c r="T1173" cm="1">
        <f t="array" ref="T1173">IF(OR(B1173="MAL ALIMI", B1173="ÜRETİM GİRİŞ"), MIN(I1173, MAX(0, I1173 + SUM(SUMIFS($I$1:I1172, $C$1:C1172, C1173, $B$1:B1172, {"MAL ALIMI","ÜRETİM GİRİŞ"})) - VLOOKUP(C1173, 'STOK RAPORU'!$C$2:$I$1000, 4, 0))), 0)</f>
        <v>3</v>
      </c>
      <c r="U1173" s="22">
        <f t="shared" si="72"/>
        <v>194.39999999999998</v>
      </c>
      <c r="V1173">
        <f t="shared" si="73"/>
        <v>777.59999999999991</v>
      </c>
      <c r="W1173" s="22">
        <f t="shared" si="74"/>
        <v>583.19999999999993</v>
      </c>
    </row>
    <row r="1174" spans="1:23" hidden="1" x14ac:dyDescent="0.25">
      <c r="A1174" s="3">
        <v>45978</v>
      </c>
      <c r="B1174" s="4" t="s">
        <v>298</v>
      </c>
      <c r="C1174" s="4" t="s">
        <v>828</v>
      </c>
      <c r="D1174" s="4"/>
      <c r="E1174" s="4" t="s">
        <v>836</v>
      </c>
      <c r="F1174" s="4" t="s">
        <v>797</v>
      </c>
      <c r="G1174" s="4" t="s">
        <v>836</v>
      </c>
      <c r="H1174" s="4" t="s">
        <v>304</v>
      </c>
      <c r="I1174" s="4">
        <v>12</v>
      </c>
      <c r="J1174" s="21">
        <v>72</v>
      </c>
      <c r="K1174" s="21">
        <v>0</v>
      </c>
      <c r="L1174" s="5">
        <v>864</v>
      </c>
      <c r="M1174" s="4"/>
      <c r="N1174" s="4">
        <v>12</v>
      </c>
      <c r="O1174" s="5"/>
      <c r="P1174" s="5">
        <v>72</v>
      </c>
      <c r="Q1174" s="21">
        <v>0</v>
      </c>
      <c r="R1174" s="21">
        <v>0</v>
      </c>
      <c r="S1174" s="5">
        <f t="shared" si="75"/>
        <v>70819.04376015201</v>
      </c>
      <c r="T1174" cm="1">
        <f t="array" ref="T1174">IF(OR(B1174="MAL ALIMI", B1174="ÜRETİM GİRİŞ"), MIN(I1174, MAX(0, I1174 + SUM(SUMIFS($I$1:I1173, $C$1:C1173, C1174, $B$1:B1173, {"MAL ALIMI","ÜRETİM GİRİŞ"})) - VLOOKUP(C1174, 'STOK RAPORU'!$C$2:$I$1000, 4, 0))), 0)</f>
        <v>0</v>
      </c>
      <c r="U1174" s="22">
        <f t="shared" si="72"/>
        <v>0</v>
      </c>
      <c r="V1174">
        <f t="shared" si="73"/>
        <v>864</v>
      </c>
      <c r="W1174" s="22">
        <f t="shared" si="74"/>
        <v>864</v>
      </c>
    </row>
    <row r="1175" spans="1:23" hidden="1" x14ac:dyDescent="0.25">
      <c r="A1175" s="3">
        <v>45978</v>
      </c>
      <c r="B1175" s="4" t="s">
        <v>298</v>
      </c>
      <c r="C1175" s="4" t="s">
        <v>829</v>
      </c>
      <c r="D1175" s="4"/>
      <c r="E1175" s="4" t="s">
        <v>836</v>
      </c>
      <c r="F1175" s="4" t="s">
        <v>797</v>
      </c>
      <c r="G1175" s="4" t="s">
        <v>836</v>
      </c>
      <c r="H1175" s="4" t="s">
        <v>304</v>
      </c>
      <c r="I1175" s="4">
        <v>12</v>
      </c>
      <c r="J1175" s="21">
        <v>72</v>
      </c>
      <c r="K1175" s="21">
        <v>0</v>
      </c>
      <c r="L1175" s="5">
        <v>864</v>
      </c>
      <c r="M1175" s="4"/>
      <c r="N1175" s="4">
        <v>12</v>
      </c>
      <c r="O1175" s="5"/>
      <c r="P1175" s="5">
        <v>72</v>
      </c>
      <c r="Q1175" s="21">
        <v>0</v>
      </c>
      <c r="R1175" s="21">
        <v>0</v>
      </c>
      <c r="S1175" s="5">
        <f t="shared" si="75"/>
        <v>70819.04376015201</v>
      </c>
      <c r="T1175" cm="1">
        <f t="array" ref="T1175">IF(OR(B1175="MAL ALIMI", B1175="ÜRETİM GİRİŞ"), MIN(I1175, MAX(0, I1175 + SUM(SUMIFS($I$1:I1174, $C$1:C1174, C1175, $B$1:B1174, {"MAL ALIMI","ÜRETİM GİRİŞ"})) - VLOOKUP(C1175, 'STOK RAPORU'!$C$2:$I$1000, 4, 0))), 0)</f>
        <v>0</v>
      </c>
      <c r="U1175" s="22">
        <f t="shared" si="72"/>
        <v>0</v>
      </c>
      <c r="V1175">
        <f t="shared" si="73"/>
        <v>864</v>
      </c>
      <c r="W1175" s="22">
        <f t="shared" si="74"/>
        <v>864</v>
      </c>
    </row>
    <row r="1176" spans="1:23" hidden="1" x14ac:dyDescent="0.25">
      <c r="A1176" s="3">
        <v>45978</v>
      </c>
      <c r="B1176" s="4" t="s">
        <v>298</v>
      </c>
      <c r="C1176" s="4" t="s">
        <v>830</v>
      </c>
      <c r="D1176" s="4"/>
      <c r="E1176" s="4" t="s">
        <v>836</v>
      </c>
      <c r="F1176" s="4" t="s">
        <v>797</v>
      </c>
      <c r="G1176" s="4" t="s">
        <v>836</v>
      </c>
      <c r="H1176" s="4" t="s">
        <v>304</v>
      </c>
      <c r="I1176" s="4">
        <v>12</v>
      </c>
      <c r="J1176" s="21">
        <v>64.8</v>
      </c>
      <c r="K1176" s="21">
        <v>0</v>
      </c>
      <c r="L1176" s="5">
        <v>777.59999999999991</v>
      </c>
      <c r="M1176" s="4"/>
      <c r="N1176" s="4">
        <v>12</v>
      </c>
      <c r="O1176" s="5"/>
      <c r="P1176" s="5">
        <v>64.8</v>
      </c>
      <c r="Q1176" s="21">
        <v>0</v>
      </c>
      <c r="R1176" s="21">
        <v>0</v>
      </c>
      <c r="S1176" s="5">
        <f t="shared" si="75"/>
        <v>70819.04376015201</v>
      </c>
      <c r="T1176" cm="1">
        <f t="array" ref="T1176">IF(OR(B1176="MAL ALIMI", B1176="ÜRETİM GİRİŞ"), MIN(I1176, MAX(0, I1176 + SUM(SUMIFS($I$1:I1175, $C$1:C1175, C1176, $B$1:B1175, {"MAL ALIMI","ÜRETİM GİRİŞ"})) - VLOOKUP(C1176, 'STOK RAPORU'!$C$2:$I$1000, 4, 0))), 0)</f>
        <v>7</v>
      </c>
      <c r="U1176" s="22">
        <f t="shared" si="72"/>
        <v>453.59999999999997</v>
      </c>
      <c r="V1176">
        <f t="shared" si="73"/>
        <v>777.59999999999991</v>
      </c>
      <c r="W1176" s="22">
        <f t="shared" si="74"/>
        <v>323.99999999999994</v>
      </c>
    </row>
    <row r="1177" spans="1:23" hidden="1" x14ac:dyDescent="0.25">
      <c r="A1177" s="3">
        <v>45978</v>
      </c>
      <c r="B1177" s="4" t="s">
        <v>298</v>
      </c>
      <c r="C1177" s="4" t="s">
        <v>831</v>
      </c>
      <c r="D1177" s="4"/>
      <c r="E1177" s="4" t="s">
        <v>836</v>
      </c>
      <c r="F1177" s="4" t="s">
        <v>797</v>
      </c>
      <c r="G1177" s="4" t="s">
        <v>836</v>
      </c>
      <c r="H1177" s="4" t="s">
        <v>304</v>
      </c>
      <c r="I1177" s="4">
        <v>12</v>
      </c>
      <c r="J1177" s="21">
        <v>72</v>
      </c>
      <c r="K1177" s="21">
        <v>0</v>
      </c>
      <c r="L1177" s="5">
        <v>864</v>
      </c>
      <c r="M1177" s="4"/>
      <c r="N1177" s="4">
        <v>12</v>
      </c>
      <c r="O1177" s="5"/>
      <c r="P1177" s="5">
        <v>72</v>
      </c>
      <c r="Q1177" s="21">
        <v>0</v>
      </c>
      <c r="R1177" s="21">
        <v>0</v>
      </c>
      <c r="S1177" s="5">
        <f t="shared" si="75"/>
        <v>70819.04376015201</v>
      </c>
      <c r="T1177" cm="1">
        <f t="array" ref="T1177">IF(OR(B1177="MAL ALIMI", B1177="ÜRETİM GİRİŞ"), MIN(I1177, MAX(0, I1177 + SUM(SUMIFS($I$1:I1176, $C$1:C1176, C1177, $B$1:B1176, {"MAL ALIMI","ÜRETİM GİRİŞ"})) - VLOOKUP(C1177, 'STOK RAPORU'!$C$2:$I$1000, 4, 0))), 0)</f>
        <v>10</v>
      </c>
      <c r="U1177" s="22">
        <f t="shared" si="72"/>
        <v>720</v>
      </c>
      <c r="V1177">
        <f t="shared" si="73"/>
        <v>864</v>
      </c>
      <c r="W1177" s="22">
        <f t="shared" si="74"/>
        <v>144</v>
      </c>
    </row>
    <row r="1178" spans="1:23" hidden="1" x14ac:dyDescent="0.25">
      <c r="A1178" s="3">
        <v>45978</v>
      </c>
      <c r="B1178" s="4" t="s">
        <v>298</v>
      </c>
      <c r="C1178" s="4" t="s">
        <v>832</v>
      </c>
      <c r="D1178" s="4"/>
      <c r="E1178" s="4" t="s">
        <v>836</v>
      </c>
      <c r="F1178" s="4" t="s">
        <v>797</v>
      </c>
      <c r="G1178" s="4" t="s">
        <v>836</v>
      </c>
      <c r="H1178" s="4" t="s">
        <v>304</v>
      </c>
      <c r="I1178" s="4">
        <v>12</v>
      </c>
      <c r="J1178" s="21">
        <v>72</v>
      </c>
      <c r="K1178" s="21">
        <v>0</v>
      </c>
      <c r="L1178" s="5">
        <v>864</v>
      </c>
      <c r="M1178" s="4"/>
      <c r="N1178" s="4">
        <v>12</v>
      </c>
      <c r="O1178" s="5"/>
      <c r="P1178" s="5">
        <v>72</v>
      </c>
      <c r="Q1178" s="21">
        <v>0</v>
      </c>
      <c r="R1178" s="21">
        <v>0</v>
      </c>
      <c r="S1178" s="5">
        <f t="shared" si="75"/>
        <v>70819.04376015201</v>
      </c>
      <c r="T1178" cm="1">
        <f t="array" ref="T1178">IF(OR(B1178="MAL ALIMI", B1178="ÜRETİM GİRİŞ"), MIN(I1178, MAX(0, I1178 + SUM(SUMIFS($I$1:I1177, $C$1:C1177, C1178, $B$1:B1177, {"MAL ALIMI","ÜRETİM GİRİŞ"})) - VLOOKUP(C1178, 'STOK RAPORU'!$C$2:$I$1000, 4, 0))), 0)</f>
        <v>10</v>
      </c>
      <c r="U1178" s="22">
        <f t="shared" si="72"/>
        <v>720</v>
      </c>
      <c r="V1178">
        <f t="shared" si="73"/>
        <v>864</v>
      </c>
      <c r="W1178" s="22">
        <f t="shared" si="74"/>
        <v>144</v>
      </c>
    </row>
    <row r="1179" spans="1:23" hidden="1" x14ac:dyDescent="0.25">
      <c r="A1179" s="3">
        <v>45978</v>
      </c>
      <c r="B1179" s="4" t="s">
        <v>298</v>
      </c>
      <c r="C1179" s="4" t="s">
        <v>833</v>
      </c>
      <c r="D1179" s="4"/>
      <c r="E1179" s="4" t="s">
        <v>836</v>
      </c>
      <c r="F1179" s="4" t="s">
        <v>797</v>
      </c>
      <c r="G1179" s="4" t="s">
        <v>836</v>
      </c>
      <c r="H1179" s="4" t="s">
        <v>304</v>
      </c>
      <c r="I1179" s="4">
        <v>12</v>
      </c>
      <c r="J1179" s="21">
        <v>86.4</v>
      </c>
      <c r="K1179" s="21">
        <v>0</v>
      </c>
      <c r="L1179" s="5">
        <v>1036.8000000000002</v>
      </c>
      <c r="M1179" s="4"/>
      <c r="N1179" s="4">
        <v>12</v>
      </c>
      <c r="O1179" s="5"/>
      <c r="P1179" s="5">
        <v>86.4</v>
      </c>
      <c r="Q1179" s="21">
        <v>0</v>
      </c>
      <c r="R1179" s="21">
        <v>0</v>
      </c>
      <c r="S1179" s="5">
        <f t="shared" si="75"/>
        <v>70819.04376015201</v>
      </c>
      <c r="T1179" cm="1">
        <f t="array" ref="T1179">IF(OR(B1179="MAL ALIMI", B1179="ÜRETİM GİRİŞ"), MIN(I1179, MAX(0, I1179 + SUM(SUMIFS($I$1:I1178, $C$1:C1178, C1179, $B$1:B1178, {"MAL ALIMI","ÜRETİM GİRİŞ"})) - VLOOKUP(C1179, 'STOK RAPORU'!$C$2:$I$1000, 4, 0))), 0)</f>
        <v>10</v>
      </c>
      <c r="U1179" s="22">
        <f t="shared" si="72"/>
        <v>864</v>
      </c>
      <c r="V1179">
        <f t="shared" si="73"/>
        <v>1036.8000000000002</v>
      </c>
      <c r="W1179" s="22">
        <f t="shared" si="74"/>
        <v>172.80000000000018</v>
      </c>
    </row>
    <row r="1180" spans="1:23" hidden="1" x14ac:dyDescent="0.25">
      <c r="A1180" s="3">
        <v>45978</v>
      </c>
      <c r="B1180" s="4" t="s">
        <v>298</v>
      </c>
      <c r="C1180" s="4" t="s">
        <v>834</v>
      </c>
      <c r="D1180" s="4"/>
      <c r="E1180" s="4" t="s">
        <v>836</v>
      </c>
      <c r="F1180" s="4" t="s">
        <v>797</v>
      </c>
      <c r="G1180" s="4" t="s">
        <v>836</v>
      </c>
      <c r="H1180" s="4" t="s">
        <v>304</v>
      </c>
      <c r="I1180" s="4">
        <v>12</v>
      </c>
      <c r="J1180" s="21">
        <v>54.54</v>
      </c>
      <c r="K1180" s="21">
        <v>0</v>
      </c>
      <c r="L1180" s="5">
        <v>654.48</v>
      </c>
      <c r="M1180" s="4"/>
      <c r="N1180" s="4">
        <v>12</v>
      </c>
      <c r="O1180" s="5"/>
      <c r="P1180" s="5">
        <v>54.54</v>
      </c>
      <c r="Q1180" s="21">
        <v>0</v>
      </c>
      <c r="R1180" s="21">
        <v>0</v>
      </c>
      <c r="S1180" s="5">
        <f t="shared" si="75"/>
        <v>70819.04376015201</v>
      </c>
      <c r="T1180" cm="1">
        <f t="array" ref="T1180">IF(OR(B1180="MAL ALIMI", B1180="ÜRETİM GİRİŞ"), MIN(I1180, MAX(0, I1180 + SUM(SUMIFS($I$1:I1179, $C$1:C1179, C1180, $B$1:B1179, {"MAL ALIMI","ÜRETİM GİRİŞ"})) - VLOOKUP(C1180, 'STOK RAPORU'!$C$2:$I$1000, 4, 0))), 0)</f>
        <v>5</v>
      </c>
      <c r="U1180" s="22">
        <f t="shared" si="72"/>
        <v>272.7</v>
      </c>
      <c r="V1180">
        <f t="shared" si="73"/>
        <v>654.48</v>
      </c>
      <c r="W1180" s="22">
        <f t="shared" si="74"/>
        <v>381.78000000000003</v>
      </c>
    </row>
    <row r="1181" spans="1:23" hidden="1" x14ac:dyDescent="0.25">
      <c r="A1181" s="3">
        <v>45978</v>
      </c>
      <c r="B1181" s="4" t="s">
        <v>298</v>
      </c>
      <c r="C1181" s="4" t="s">
        <v>835</v>
      </c>
      <c r="D1181" s="4"/>
      <c r="E1181" s="4" t="s">
        <v>836</v>
      </c>
      <c r="F1181" s="4" t="s">
        <v>797</v>
      </c>
      <c r="G1181" s="4" t="s">
        <v>836</v>
      </c>
      <c r="H1181" s="4" t="s">
        <v>304</v>
      </c>
      <c r="I1181" s="4">
        <v>12</v>
      </c>
      <c r="J1181" s="21">
        <v>64.8</v>
      </c>
      <c r="K1181" s="21">
        <v>0</v>
      </c>
      <c r="L1181" s="5">
        <v>777.59999999999991</v>
      </c>
      <c r="M1181" s="4"/>
      <c r="N1181" s="4">
        <v>12</v>
      </c>
      <c r="O1181" s="5"/>
      <c r="P1181" s="5">
        <v>64.8</v>
      </c>
      <c r="Q1181" s="21">
        <v>0</v>
      </c>
      <c r="R1181" s="21">
        <v>0</v>
      </c>
      <c r="S1181" s="5">
        <f t="shared" si="75"/>
        <v>70819.04376015201</v>
      </c>
      <c r="T1181" cm="1">
        <f t="array" ref="T1181">IF(OR(B1181="MAL ALIMI", B1181="ÜRETİM GİRİŞ"), MIN(I1181, MAX(0, I1181 + SUM(SUMIFS($I$1:I1180, $C$1:C1180, C1181, $B$1:B1180, {"MAL ALIMI","ÜRETİM GİRİŞ"})) - VLOOKUP(C1181, 'STOK RAPORU'!$C$2:$I$1000, 4, 0))), 0)</f>
        <v>0</v>
      </c>
      <c r="U1181" s="22">
        <f t="shared" si="72"/>
        <v>0</v>
      </c>
      <c r="V1181">
        <f t="shared" si="73"/>
        <v>777.59999999999991</v>
      </c>
      <c r="W1181" s="22">
        <f t="shared" si="74"/>
        <v>777.59999999999991</v>
      </c>
    </row>
    <row r="1182" spans="1:23" hidden="1" x14ac:dyDescent="0.25">
      <c r="A1182" s="3">
        <v>45978</v>
      </c>
      <c r="B1182" s="4" t="s">
        <v>298</v>
      </c>
      <c r="C1182" s="4" t="s">
        <v>1269</v>
      </c>
      <c r="D1182" s="4"/>
      <c r="E1182" s="4" t="s">
        <v>836</v>
      </c>
      <c r="F1182" s="4" t="s">
        <v>797</v>
      </c>
      <c r="G1182" s="4" t="s">
        <v>836</v>
      </c>
      <c r="H1182" s="4" t="s">
        <v>304</v>
      </c>
      <c r="I1182" s="4">
        <v>12</v>
      </c>
      <c r="J1182" s="21">
        <v>60.6</v>
      </c>
      <c r="K1182" s="21">
        <v>0</v>
      </c>
      <c r="L1182" s="5">
        <v>727.2</v>
      </c>
      <c r="M1182" s="4"/>
      <c r="N1182" s="4"/>
      <c r="O1182" s="5"/>
      <c r="P1182" s="5"/>
      <c r="Q1182" s="21">
        <v>0</v>
      </c>
      <c r="R1182" s="21">
        <v>0</v>
      </c>
      <c r="S1182" s="5">
        <f t="shared" si="75"/>
        <v>70819.04376015201</v>
      </c>
      <c r="T1182" cm="1">
        <f t="array" ref="T1182">IF(OR(B1182="MAL ALIMI", B1182="ÜRETİM GİRİŞ"), MIN(I1182, MAX(0, I1182 + SUM(SUMIFS($I$1:I1181, $C$1:C1181, C1182, $B$1:B1181, {"MAL ALIMI","ÜRETİM GİRİŞ"})) - VLOOKUP(C1182, 'STOK RAPORU'!$C$2:$I$1000, 4, 0))), 0)</f>
        <v>6</v>
      </c>
      <c r="U1182" s="22">
        <f t="shared" si="72"/>
        <v>363.6</v>
      </c>
      <c r="V1182">
        <f t="shared" si="73"/>
        <v>727.2</v>
      </c>
      <c r="W1182" s="22">
        <f t="shared" si="74"/>
        <v>363.6</v>
      </c>
    </row>
    <row r="1183" spans="1:23" hidden="1" x14ac:dyDescent="0.25">
      <c r="A1183" s="3">
        <v>45978</v>
      </c>
      <c r="B1183" s="4" t="s">
        <v>298</v>
      </c>
      <c r="C1183" s="4" t="s">
        <v>1270</v>
      </c>
      <c r="D1183" s="4"/>
      <c r="E1183" s="4" t="s">
        <v>836</v>
      </c>
      <c r="F1183" s="4" t="s">
        <v>797</v>
      </c>
      <c r="G1183" s="4" t="s">
        <v>836</v>
      </c>
      <c r="H1183" s="4" t="s">
        <v>304</v>
      </c>
      <c r="I1183" s="4">
        <v>12</v>
      </c>
      <c r="J1183" s="21">
        <v>64.8</v>
      </c>
      <c r="K1183" s="21">
        <v>0</v>
      </c>
      <c r="L1183" s="5">
        <v>777.59999999999991</v>
      </c>
      <c r="M1183" s="4"/>
      <c r="N1183" s="4"/>
      <c r="O1183" s="5"/>
      <c r="P1183" s="5"/>
      <c r="Q1183" s="21">
        <v>0</v>
      </c>
      <c r="R1183" s="21">
        <v>0</v>
      </c>
      <c r="S1183" s="5">
        <f t="shared" si="75"/>
        <v>70819.04376015201</v>
      </c>
      <c r="T1183" cm="1">
        <f t="array" ref="T1183">IF(OR(B1183="MAL ALIMI", B1183="ÜRETİM GİRİŞ"), MIN(I1183, MAX(0, I1183 + SUM(SUMIFS($I$1:I1182, $C$1:C1182, C1183, $B$1:B1182, {"MAL ALIMI","ÜRETİM GİRİŞ"})) - VLOOKUP(C1183, 'STOK RAPORU'!$C$2:$I$1000, 4, 0))), 0)</f>
        <v>11</v>
      </c>
      <c r="U1183" s="22">
        <f t="shared" si="72"/>
        <v>712.8</v>
      </c>
      <c r="V1183">
        <f t="shared" si="73"/>
        <v>777.59999999999991</v>
      </c>
      <c r="W1183" s="22">
        <f t="shared" si="74"/>
        <v>64.799999999999955</v>
      </c>
    </row>
    <row r="1184" spans="1:23" hidden="1" x14ac:dyDescent="0.25">
      <c r="A1184" s="3">
        <v>45978</v>
      </c>
      <c r="B1184" s="4" t="s">
        <v>298</v>
      </c>
      <c r="C1184" s="4" t="s">
        <v>587</v>
      </c>
      <c r="D1184" s="4"/>
      <c r="E1184" s="4" t="s">
        <v>350</v>
      </c>
      <c r="F1184" s="4" t="s">
        <v>845</v>
      </c>
      <c r="G1184" s="4" t="s">
        <v>350</v>
      </c>
      <c r="H1184" s="4" t="s">
        <v>304</v>
      </c>
      <c r="I1184" s="4">
        <v>19.350000000000001</v>
      </c>
      <c r="J1184" s="21">
        <v>72.349999999999994</v>
      </c>
      <c r="K1184" s="21">
        <v>0</v>
      </c>
      <c r="L1184" s="5">
        <v>1399.9725000000001</v>
      </c>
      <c r="M1184" s="4"/>
      <c r="N1184" s="4">
        <v>19.350000000000001</v>
      </c>
      <c r="O1184" s="5"/>
      <c r="P1184" s="5">
        <v>72.349999999999994</v>
      </c>
      <c r="Q1184" s="21">
        <v>0</v>
      </c>
      <c r="R1184" s="21">
        <v>0</v>
      </c>
      <c r="S1184" s="5">
        <f t="shared" si="75"/>
        <v>70819.04376015201</v>
      </c>
      <c r="T1184" cm="1">
        <f t="array" ref="T1184">IF(OR(B1184="MAL ALIMI", B1184="ÜRETİM GİRİŞ"), MIN(I1184, MAX(0, I1184 + SUM(SUMIFS($I$1:I1183, $C$1:C1183, C1184, $B$1:B1183, {"MAL ALIMI","ÜRETİM GİRİŞ"})) - VLOOKUP(C1184, 'STOK RAPORU'!$C$2:$I$1000, 4, 0))), 0)</f>
        <v>0</v>
      </c>
      <c r="U1184" s="22">
        <f t="shared" si="72"/>
        <v>0</v>
      </c>
      <c r="V1184">
        <f t="shared" si="73"/>
        <v>1399.9725000000001</v>
      </c>
      <c r="W1184" s="22">
        <f t="shared" si="74"/>
        <v>1399.9725000000001</v>
      </c>
    </row>
    <row r="1185" spans="1:23" hidden="1" x14ac:dyDescent="0.25">
      <c r="A1185" s="3">
        <v>45978</v>
      </c>
      <c r="B1185" s="4" t="s">
        <v>298</v>
      </c>
      <c r="C1185" s="4" t="s">
        <v>460</v>
      </c>
      <c r="D1185" s="4"/>
      <c r="E1185" s="4" t="s">
        <v>350</v>
      </c>
      <c r="F1185" s="4" t="s">
        <v>845</v>
      </c>
      <c r="G1185" s="4" t="s">
        <v>350</v>
      </c>
      <c r="H1185" s="4" t="s">
        <v>304</v>
      </c>
      <c r="I1185" s="4">
        <v>20</v>
      </c>
      <c r="J1185" s="21">
        <v>6.5</v>
      </c>
      <c r="K1185" s="21">
        <v>0</v>
      </c>
      <c r="L1185" s="5">
        <v>130</v>
      </c>
      <c r="M1185" s="4"/>
      <c r="N1185" s="4">
        <v>20</v>
      </c>
      <c r="O1185" s="5"/>
      <c r="P1185" s="5">
        <v>6.5</v>
      </c>
      <c r="Q1185" s="21">
        <v>0</v>
      </c>
      <c r="R1185" s="21">
        <v>0</v>
      </c>
      <c r="S1185" s="5">
        <f t="shared" si="75"/>
        <v>70819.04376015201</v>
      </c>
      <c r="T1185" cm="1">
        <f t="array" ref="T1185">IF(OR(B1185="MAL ALIMI", B1185="ÜRETİM GİRİŞ"), MIN(I1185, MAX(0, I1185 + SUM(SUMIFS($I$1:I1184, $C$1:C1184, C1185, $B$1:B1184, {"MAL ALIMI","ÜRETİM GİRİŞ"})) - VLOOKUP(C1185, 'STOK RAPORU'!$C$2:$I$1000, 4, 0))), 0)</f>
        <v>0</v>
      </c>
      <c r="U1185" s="22">
        <f t="shared" si="72"/>
        <v>0</v>
      </c>
      <c r="V1185">
        <f t="shared" si="73"/>
        <v>130</v>
      </c>
      <c r="W1185" s="22">
        <f t="shared" si="74"/>
        <v>130</v>
      </c>
    </row>
    <row r="1186" spans="1:23" hidden="1" x14ac:dyDescent="0.25">
      <c r="A1186" s="3">
        <v>45978</v>
      </c>
      <c r="B1186" s="4" t="s">
        <v>298</v>
      </c>
      <c r="C1186" s="4" t="s">
        <v>840</v>
      </c>
      <c r="D1186" s="4"/>
      <c r="E1186" s="4" t="s">
        <v>350</v>
      </c>
      <c r="F1186" s="4" t="s">
        <v>845</v>
      </c>
      <c r="G1186" s="4" t="s">
        <v>350</v>
      </c>
      <c r="H1186" s="4" t="s">
        <v>304</v>
      </c>
      <c r="I1186" s="4">
        <v>2</v>
      </c>
      <c r="J1186" s="21">
        <v>180</v>
      </c>
      <c r="K1186" s="21">
        <v>0</v>
      </c>
      <c r="L1186" s="5">
        <v>360</v>
      </c>
      <c r="M1186" s="4"/>
      <c r="N1186" s="4">
        <v>2</v>
      </c>
      <c r="O1186" s="5"/>
      <c r="P1186" s="5">
        <v>180</v>
      </c>
      <c r="Q1186" s="21">
        <v>0</v>
      </c>
      <c r="R1186" s="21">
        <v>0</v>
      </c>
      <c r="S1186" s="5">
        <f t="shared" si="75"/>
        <v>70819.04376015201</v>
      </c>
      <c r="T1186" cm="1">
        <f t="array" ref="T1186">IF(OR(B1186="MAL ALIMI", B1186="ÜRETİM GİRİŞ"), MIN(I1186, MAX(0, I1186 + SUM(SUMIFS($I$1:I1185, $C$1:C1185, C1186, $B$1:B1185, {"MAL ALIMI","ÜRETİM GİRİŞ"})) - VLOOKUP(C1186, 'STOK RAPORU'!$C$2:$I$1000, 4, 0))), 0)</f>
        <v>0</v>
      </c>
      <c r="U1186" s="22">
        <f t="shared" si="72"/>
        <v>0</v>
      </c>
      <c r="V1186">
        <f t="shared" si="73"/>
        <v>360</v>
      </c>
      <c r="W1186" s="22">
        <f t="shared" si="74"/>
        <v>360</v>
      </c>
    </row>
    <row r="1187" spans="1:23" hidden="1" x14ac:dyDescent="0.25">
      <c r="A1187" s="3">
        <v>45978</v>
      </c>
      <c r="B1187" s="4" t="s">
        <v>298</v>
      </c>
      <c r="C1187" s="4" t="s">
        <v>842</v>
      </c>
      <c r="D1187" s="4"/>
      <c r="E1187" s="4" t="s">
        <v>350</v>
      </c>
      <c r="F1187" s="4" t="s">
        <v>845</v>
      </c>
      <c r="G1187" s="4" t="s">
        <v>350</v>
      </c>
      <c r="H1187" s="4" t="s">
        <v>304</v>
      </c>
      <c r="I1187" s="4">
        <v>5</v>
      </c>
      <c r="J1187" s="21">
        <v>70</v>
      </c>
      <c r="K1187" s="21">
        <v>0</v>
      </c>
      <c r="L1187" s="5">
        <v>350</v>
      </c>
      <c r="M1187" s="4"/>
      <c r="N1187" s="4">
        <v>5</v>
      </c>
      <c r="O1187" s="5"/>
      <c r="P1187" s="5">
        <v>70</v>
      </c>
      <c r="Q1187" s="21">
        <v>0</v>
      </c>
      <c r="R1187" s="21">
        <v>0</v>
      </c>
      <c r="S1187" s="5">
        <f t="shared" si="75"/>
        <v>70819.04376015201</v>
      </c>
      <c r="T1187" cm="1">
        <f t="array" ref="T1187">IF(OR(B1187="MAL ALIMI", B1187="ÜRETİM GİRİŞ"), MIN(I1187, MAX(0, I1187 + SUM(SUMIFS($I$1:I1186, $C$1:C1186, C1187, $B$1:B1186, {"MAL ALIMI","ÜRETİM GİRİŞ"})) - VLOOKUP(C1187, 'STOK RAPORU'!$C$2:$I$1000, 4, 0))), 0)</f>
        <v>0</v>
      </c>
      <c r="U1187" s="22">
        <f t="shared" si="72"/>
        <v>0</v>
      </c>
      <c r="V1187">
        <f t="shared" si="73"/>
        <v>350</v>
      </c>
      <c r="W1187" s="22">
        <f t="shared" si="74"/>
        <v>350</v>
      </c>
    </row>
    <row r="1188" spans="1:23" hidden="1" x14ac:dyDescent="0.25">
      <c r="A1188" s="3">
        <v>45978</v>
      </c>
      <c r="B1188" s="4" t="s">
        <v>298</v>
      </c>
      <c r="C1188" s="4" t="s">
        <v>1871</v>
      </c>
      <c r="D1188" s="4"/>
      <c r="E1188" s="4" t="s">
        <v>350</v>
      </c>
      <c r="F1188" s="4" t="s">
        <v>845</v>
      </c>
      <c r="G1188" s="4" t="s">
        <v>350</v>
      </c>
      <c r="H1188" s="4" t="s">
        <v>304</v>
      </c>
      <c r="I1188" s="4">
        <v>5</v>
      </c>
      <c r="J1188" s="21">
        <v>95</v>
      </c>
      <c r="K1188" s="21">
        <v>0</v>
      </c>
      <c r="L1188" s="5">
        <v>475</v>
      </c>
      <c r="M1188" s="4"/>
      <c r="N1188" s="4">
        <v>5</v>
      </c>
      <c r="O1188" s="5"/>
      <c r="P1188" s="5">
        <v>95</v>
      </c>
      <c r="Q1188" s="21">
        <v>0</v>
      </c>
      <c r="R1188" s="21">
        <v>0</v>
      </c>
      <c r="S1188" s="5">
        <f t="shared" si="75"/>
        <v>70819.04376015201</v>
      </c>
      <c r="T1188" cm="1">
        <f t="array" ref="T1188">IF(OR(B1188="MAL ALIMI", B1188="ÜRETİM GİRİŞ"), MIN(I1188, MAX(0, I1188 + SUM(SUMIFS($I$1:I1187, $C$1:C1187, C1188, $B$1:B1187, {"MAL ALIMI","ÜRETİM GİRİŞ"})) - VLOOKUP(C1188, 'STOK RAPORU'!$C$2:$I$1000, 4, 0))), 0)</f>
        <v>0</v>
      </c>
      <c r="U1188" s="22">
        <f t="shared" si="72"/>
        <v>0</v>
      </c>
      <c r="V1188">
        <f t="shared" si="73"/>
        <v>475</v>
      </c>
      <c r="W1188" s="22">
        <f t="shared" si="74"/>
        <v>475</v>
      </c>
    </row>
    <row r="1189" spans="1:23" hidden="1" x14ac:dyDescent="0.25">
      <c r="A1189" s="3">
        <v>45978</v>
      </c>
      <c r="B1189" s="4" t="s">
        <v>298</v>
      </c>
      <c r="C1189" s="4" t="s">
        <v>843</v>
      </c>
      <c r="D1189" s="4"/>
      <c r="E1189" s="4" t="s">
        <v>350</v>
      </c>
      <c r="F1189" s="4" t="s">
        <v>845</v>
      </c>
      <c r="G1189" s="4" t="s">
        <v>350</v>
      </c>
      <c r="H1189" s="4" t="s">
        <v>304</v>
      </c>
      <c r="I1189" s="4">
        <v>1</v>
      </c>
      <c r="J1189" s="21">
        <v>500</v>
      </c>
      <c r="K1189" s="21">
        <v>0</v>
      </c>
      <c r="L1189" s="5">
        <v>500</v>
      </c>
      <c r="M1189" s="4"/>
      <c r="N1189" s="4">
        <v>1</v>
      </c>
      <c r="O1189" s="5"/>
      <c r="P1189" s="5">
        <v>500</v>
      </c>
      <c r="Q1189" s="21">
        <v>0</v>
      </c>
      <c r="R1189" s="21">
        <v>0</v>
      </c>
      <c r="S1189" s="5">
        <f t="shared" si="75"/>
        <v>70819.04376015201</v>
      </c>
      <c r="T1189" cm="1">
        <f t="array" ref="T1189">IF(OR(B1189="MAL ALIMI", B1189="ÜRETİM GİRİŞ"), MIN(I1189, MAX(0, I1189 + SUM(SUMIFS($I$1:I1188, $C$1:C1188, C1189, $B$1:B1188, {"MAL ALIMI","ÜRETİM GİRİŞ"})) - VLOOKUP(C1189, 'STOK RAPORU'!$C$2:$I$1000, 4, 0))), 0)</f>
        <v>0.4</v>
      </c>
      <c r="U1189" s="22">
        <f t="shared" si="72"/>
        <v>200</v>
      </c>
      <c r="V1189">
        <f t="shared" si="73"/>
        <v>500</v>
      </c>
      <c r="W1189" s="22">
        <f t="shared" si="74"/>
        <v>300</v>
      </c>
    </row>
    <row r="1190" spans="1:23" hidden="1" x14ac:dyDescent="0.25">
      <c r="A1190" s="3">
        <v>45978</v>
      </c>
      <c r="B1190" s="4" t="s">
        <v>298</v>
      </c>
      <c r="C1190" s="4" t="s">
        <v>260</v>
      </c>
      <c r="D1190" s="4"/>
      <c r="E1190" s="4" t="s">
        <v>350</v>
      </c>
      <c r="F1190" s="4" t="s">
        <v>845</v>
      </c>
      <c r="G1190" s="4" t="s">
        <v>350</v>
      </c>
      <c r="H1190" s="4" t="s">
        <v>304</v>
      </c>
      <c r="I1190" s="4">
        <v>6</v>
      </c>
      <c r="J1190" s="21">
        <v>90</v>
      </c>
      <c r="K1190" s="21">
        <v>0</v>
      </c>
      <c r="L1190" s="5">
        <v>540</v>
      </c>
      <c r="M1190" s="4"/>
      <c r="N1190" s="4">
        <v>6</v>
      </c>
      <c r="O1190" s="5"/>
      <c r="P1190" s="5">
        <v>90</v>
      </c>
      <c r="Q1190" s="21">
        <v>0</v>
      </c>
      <c r="R1190" s="21">
        <v>0</v>
      </c>
      <c r="S1190" s="5">
        <f t="shared" si="75"/>
        <v>70819.04376015201</v>
      </c>
      <c r="T1190" cm="1">
        <f t="array" ref="T1190">IF(OR(B1190="MAL ALIMI", B1190="ÜRETİM GİRİŞ"), MIN(I1190, MAX(0, I1190 + SUM(SUMIFS($I$1:I1189, $C$1:C1189, C1190, $B$1:B1189, {"MAL ALIMI","ÜRETİM GİRİŞ"})) - VLOOKUP(C1190, 'STOK RAPORU'!$C$2:$I$1000, 4, 0))), 0)</f>
        <v>0</v>
      </c>
      <c r="U1190" s="22">
        <f t="shared" si="72"/>
        <v>0</v>
      </c>
      <c r="V1190">
        <f t="shared" si="73"/>
        <v>540</v>
      </c>
      <c r="W1190" s="22">
        <f t="shared" si="74"/>
        <v>540</v>
      </c>
    </row>
    <row r="1191" spans="1:23" hidden="1" x14ac:dyDescent="0.25">
      <c r="A1191" s="3">
        <v>45978</v>
      </c>
      <c r="B1191" s="4" t="s">
        <v>298</v>
      </c>
      <c r="C1191" s="4" t="s">
        <v>844</v>
      </c>
      <c r="D1191" s="4"/>
      <c r="E1191" s="4" t="s">
        <v>350</v>
      </c>
      <c r="F1191" s="4" t="s">
        <v>845</v>
      </c>
      <c r="G1191" s="4" t="s">
        <v>350</v>
      </c>
      <c r="H1191" s="4" t="s">
        <v>304</v>
      </c>
      <c r="I1191" s="4">
        <v>6</v>
      </c>
      <c r="J1191" s="21">
        <v>115</v>
      </c>
      <c r="K1191" s="21">
        <v>0</v>
      </c>
      <c r="L1191" s="5">
        <v>690</v>
      </c>
      <c r="M1191" s="4"/>
      <c r="N1191" s="4">
        <v>6</v>
      </c>
      <c r="O1191" s="5"/>
      <c r="P1191" s="5">
        <v>115</v>
      </c>
      <c r="Q1191" s="21">
        <v>0</v>
      </c>
      <c r="R1191" s="21">
        <v>0</v>
      </c>
      <c r="S1191" s="5">
        <f t="shared" si="75"/>
        <v>70819.04376015201</v>
      </c>
      <c r="T1191" cm="1">
        <f t="array" ref="T1191">IF(OR(B1191="MAL ALIMI", B1191="ÜRETİM GİRİŞ"), MIN(I1191, MAX(0, I1191 + SUM(SUMIFS($I$1:I1190, $C$1:C1190, C1191, $B$1:B1190, {"MAL ALIMI","ÜRETİM GİRİŞ"})) - VLOOKUP(C1191, 'STOK RAPORU'!$C$2:$I$1000, 4, 0))), 0)</f>
        <v>4</v>
      </c>
      <c r="U1191" s="22">
        <f t="shared" si="72"/>
        <v>460</v>
      </c>
      <c r="V1191">
        <f t="shared" si="73"/>
        <v>690</v>
      </c>
      <c r="W1191" s="22">
        <f t="shared" si="74"/>
        <v>230</v>
      </c>
    </row>
    <row r="1192" spans="1:23" hidden="1" x14ac:dyDescent="0.25">
      <c r="A1192" s="3">
        <v>45978</v>
      </c>
      <c r="B1192" s="4" t="s">
        <v>298</v>
      </c>
      <c r="C1192" s="4" t="s">
        <v>590</v>
      </c>
      <c r="D1192" s="4"/>
      <c r="E1192" s="4" t="s">
        <v>350</v>
      </c>
      <c r="F1192" s="4" t="s">
        <v>845</v>
      </c>
      <c r="G1192" s="4" t="s">
        <v>350</v>
      </c>
      <c r="H1192" s="4" t="s">
        <v>304</v>
      </c>
      <c r="I1192" s="4">
        <v>5</v>
      </c>
      <c r="J1192" s="21">
        <v>52</v>
      </c>
      <c r="K1192" s="21">
        <v>0</v>
      </c>
      <c r="L1192" s="5">
        <v>260</v>
      </c>
      <c r="M1192" s="4"/>
      <c r="N1192" s="4">
        <v>5</v>
      </c>
      <c r="O1192" s="5"/>
      <c r="P1192" s="5">
        <v>52</v>
      </c>
      <c r="Q1192" s="21">
        <v>0</v>
      </c>
      <c r="R1192" s="21">
        <v>0</v>
      </c>
      <c r="S1192" s="5">
        <f t="shared" si="75"/>
        <v>70819.04376015201</v>
      </c>
      <c r="T1192" cm="1">
        <f t="array" ref="T1192">IF(OR(B1192="MAL ALIMI", B1192="ÜRETİM GİRİŞ"), MIN(I1192, MAX(0, I1192 + SUM(SUMIFS($I$1:I1191, $C$1:C1191, C1192, $B$1:B1191, {"MAL ALIMI","ÜRETİM GİRİŞ"})) - VLOOKUP(C1192, 'STOK RAPORU'!$C$2:$I$1000, 4, 0))), 0)</f>
        <v>0</v>
      </c>
      <c r="U1192" s="22">
        <f t="shared" si="72"/>
        <v>0</v>
      </c>
      <c r="V1192">
        <f t="shared" si="73"/>
        <v>260</v>
      </c>
      <c r="W1192" s="22">
        <f t="shared" si="74"/>
        <v>260</v>
      </c>
    </row>
    <row r="1193" spans="1:23" hidden="1" x14ac:dyDescent="0.25">
      <c r="A1193" s="3">
        <v>45978</v>
      </c>
      <c r="B1193" s="4" t="s">
        <v>298</v>
      </c>
      <c r="C1193" s="4" t="s">
        <v>231</v>
      </c>
      <c r="D1193" s="4"/>
      <c r="E1193" s="4" t="s">
        <v>350</v>
      </c>
      <c r="F1193" s="4" t="s">
        <v>845</v>
      </c>
      <c r="G1193" s="4" t="s">
        <v>350</v>
      </c>
      <c r="H1193" s="4" t="s">
        <v>304</v>
      </c>
      <c r="I1193" s="4">
        <v>10</v>
      </c>
      <c r="J1193" s="21">
        <v>135</v>
      </c>
      <c r="K1193" s="21">
        <v>0</v>
      </c>
      <c r="L1193" s="5">
        <v>1350</v>
      </c>
      <c r="M1193" s="4"/>
      <c r="N1193" s="4">
        <v>10</v>
      </c>
      <c r="O1193" s="5"/>
      <c r="P1193" s="5">
        <v>135</v>
      </c>
      <c r="Q1193" s="21">
        <v>0</v>
      </c>
      <c r="R1193" s="21">
        <v>0</v>
      </c>
      <c r="S1193" s="5">
        <f t="shared" si="75"/>
        <v>70819.04376015201</v>
      </c>
      <c r="T1193" cm="1">
        <f t="array" ref="T1193">IF(OR(B1193="MAL ALIMI", B1193="ÜRETİM GİRİŞ"), MIN(I1193, MAX(0, I1193 + SUM(SUMIFS($I$1:I1192, $C$1:C1192, C1193, $B$1:B1192, {"MAL ALIMI","ÜRETİM GİRİŞ"})) - VLOOKUP(C1193, 'STOK RAPORU'!$C$2:$I$1000, 4, 0))), 0)</f>
        <v>0</v>
      </c>
      <c r="U1193" s="22">
        <f t="shared" si="72"/>
        <v>0</v>
      </c>
      <c r="V1193">
        <f t="shared" si="73"/>
        <v>1350</v>
      </c>
      <c r="W1193" s="22">
        <f t="shared" si="74"/>
        <v>1350</v>
      </c>
    </row>
    <row r="1194" spans="1:23" hidden="1" x14ac:dyDescent="0.25">
      <c r="A1194" s="3">
        <v>45978</v>
      </c>
      <c r="B1194" s="4" t="s">
        <v>298</v>
      </c>
      <c r="C1194" s="4" t="s">
        <v>234</v>
      </c>
      <c r="D1194" s="4"/>
      <c r="E1194" s="4" t="s">
        <v>350</v>
      </c>
      <c r="F1194" s="4" t="s">
        <v>845</v>
      </c>
      <c r="G1194" s="4" t="s">
        <v>350</v>
      </c>
      <c r="H1194" s="4" t="s">
        <v>304</v>
      </c>
      <c r="I1194" s="4">
        <v>6</v>
      </c>
      <c r="J1194" s="21">
        <v>90</v>
      </c>
      <c r="K1194" s="21">
        <v>0</v>
      </c>
      <c r="L1194" s="5">
        <v>540</v>
      </c>
      <c r="M1194" s="4"/>
      <c r="N1194" s="4">
        <v>6</v>
      </c>
      <c r="O1194" s="5"/>
      <c r="P1194" s="5">
        <v>90</v>
      </c>
      <c r="Q1194" s="21">
        <v>0</v>
      </c>
      <c r="R1194" s="21">
        <v>0</v>
      </c>
      <c r="S1194" s="5">
        <f t="shared" si="75"/>
        <v>70819.04376015201</v>
      </c>
      <c r="T1194" cm="1">
        <f t="array" ref="T1194">IF(OR(B1194="MAL ALIMI", B1194="ÜRETİM GİRİŞ"), MIN(I1194, MAX(0, I1194 + SUM(SUMIFS($I$1:I1193, $C$1:C1193, C1194, $B$1:B1193, {"MAL ALIMI","ÜRETİM GİRİŞ"})) - VLOOKUP(C1194, 'STOK RAPORU'!$C$2:$I$1000, 4, 0))), 0)</f>
        <v>3</v>
      </c>
      <c r="U1194" s="22">
        <f t="shared" si="72"/>
        <v>270</v>
      </c>
      <c r="V1194">
        <f t="shared" si="73"/>
        <v>540</v>
      </c>
      <c r="W1194" s="22">
        <f t="shared" si="74"/>
        <v>270</v>
      </c>
    </row>
    <row r="1195" spans="1:23" hidden="1" x14ac:dyDescent="0.25">
      <c r="A1195" s="3">
        <v>45978</v>
      </c>
      <c r="B1195" s="4" t="s">
        <v>298</v>
      </c>
      <c r="C1195" s="4" t="s">
        <v>462</v>
      </c>
      <c r="D1195" s="4"/>
      <c r="E1195" s="4" t="s">
        <v>350</v>
      </c>
      <c r="F1195" s="4" t="s">
        <v>845</v>
      </c>
      <c r="G1195" s="4" t="s">
        <v>350</v>
      </c>
      <c r="H1195" s="4" t="s">
        <v>304</v>
      </c>
      <c r="I1195" s="4">
        <v>12</v>
      </c>
      <c r="J1195" s="21">
        <v>60</v>
      </c>
      <c r="K1195" s="21">
        <v>0</v>
      </c>
      <c r="L1195" s="5">
        <v>720</v>
      </c>
      <c r="M1195" s="4"/>
      <c r="N1195" s="4">
        <v>12</v>
      </c>
      <c r="O1195" s="5"/>
      <c r="P1195" s="5">
        <v>60</v>
      </c>
      <c r="Q1195" s="21">
        <v>0</v>
      </c>
      <c r="R1195" s="21">
        <v>0</v>
      </c>
      <c r="S1195" s="5">
        <f t="shared" si="75"/>
        <v>70819.04376015201</v>
      </c>
      <c r="T1195" cm="1">
        <f t="array" ref="T1195">IF(OR(B1195="MAL ALIMI", B1195="ÜRETİM GİRİŞ"), MIN(I1195, MAX(0, I1195 + SUM(SUMIFS($I$1:I1194, $C$1:C1194, C1195, $B$1:B1194, {"MAL ALIMI","ÜRETİM GİRİŞ"})) - VLOOKUP(C1195, 'STOK RAPORU'!$C$2:$I$1000, 4, 0))), 0)</f>
        <v>7</v>
      </c>
      <c r="U1195" s="22">
        <f t="shared" si="72"/>
        <v>420</v>
      </c>
      <c r="V1195">
        <f t="shared" si="73"/>
        <v>720</v>
      </c>
      <c r="W1195" s="22">
        <f t="shared" si="74"/>
        <v>300</v>
      </c>
    </row>
    <row r="1196" spans="1:23" hidden="1" x14ac:dyDescent="0.25">
      <c r="A1196" s="3">
        <v>45978</v>
      </c>
      <c r="B1196" s="4" t="s">
        <v>298</v>
      </c>
      <c r="C1196" s="4" t="s">
        <v>1368</v>
      </c>
      <c r="D1196" s="4"/>
      <c r="E1196" s="4" t="s">
        <v>350</v>
      </c>
      <c r="F1196" s="4" t="s">
        <v>845</v>
      </c>
      <c r="G1196" s="4" t="s">
        <v>350</v>
      </c>
      <c r="H1196" s="4" t="s">
        <v>304</v>
      </c>
      <c r="I1196" s="4">
        <v>6</v>
      </c>
      <c r="J1196" s="21">
        <v>105</v>
      </c>
      <c r="K1196" s="21">
        <v>0</v>
      </c>
      <c r="L1196" s="5">
        <v>630</v>
      </c>
      <c r="M1196" s="4"/>
      <c r="N1196" s="4">
        <v>6</v>
      </c>
      <c r="O1196" s="5"/>
      <c r="P1196" s="5">
        <v>105</v>
      </c>
      <c r="Q1196" s="21">
        <v>0</v>
      </c>
      <c r="R1196" s="21">
        <v>0</v>
      </c>
      <c r="S1196" s="5">
        <f t="shared" si="75"/>
        <v>70819.04376015201</v>
      </c>
      <c r="T1196" cm="1">
        <f t="array" ref="T1196">IF(OR(B1196="MAL ALIMI", B1196="ÜRETİM GİRİŞ"), MIN(I1196, MAX(0, I1196 + SUM(SUMIFS($I$1:I1195, $C$1:C1195, C1196, $B$1:B1195, {"MAL ALIMI","ÜRETİM GİRİŞ"})) - VLOOKUP(C1196, 'STOK RAPORU'!$C$2:$I$1000, 4, 0))), 0)</f>
        <v>0</v>
      </c>
      <c r="U1196" s="22">
        <f t="shared" si="72"/>
        <v>0</v>
      </c>
      <c r="V1196">
        <f t="shared" si="73"/>
        <v>630</v>
      </c>
      <c r="W1196" s="22">
        <f t="shared" si="74"/>
        <v>630</v>
      </c>
    </row>
    <row r="1197" spans="1:23" hidden="1" x14ac:dyDescent="0.25">
      <c r="A1197" s="3">
        <v>45978</v>
      </c>
      <c r="B1197" s="4" t="s">
        <v>334</v>
      </c>
      <c r="C1197" s="4" t="s">
        <v>222</v>
      </c>
      <c r="D1197" s="4"/>
      <c r="E1197" s="4" t="s">
        <v>921</v>
      </c>
      <c r="F1197" s="4" t="s">
        <v>786</v>
      </c>
      <c r="G1197" s="4" t="s">
        <v>336</v>
      </c>
      <c r="H1197" s="4" t="s">
        <v>380</v>
      </c>
      <c r="I1197" s="4">
        <v>0.45600000000000002</v>
      </c>
      <c r="J1197" s="21">
        <v>600</v>
      </c>
      <c r="K1197" s="21">
        <v>273.60000000000002</v>
      </c>
      <c r="L1197" s="5">
        <v>0</v>
      </c>
      <c r="M1197" s="4">
        <v>0.45600000000000002</v>
      </c>
      <c r="N1197" s="4"/>
      <c r="O1197" s="5">
        <v>600</v>
      </c>
      <c r="P1197" s="5"/>
      <c r="Q1197" s="21">
        <v>0</v>
      </c>
      <c r="R1197" s="21">
        <v>0</v>
      </c>
      <c r="S1197" s="5">
        <f t="shared" si="75"/>
        <v>70819.04376015201</v>
      </c>
      <c r="T1197" cm="1">
        <f t="array" ref="T1197">IF(OR(B1197="MAL ALIMI", B1197="ÜRETİM GİRİŞ"), MIN(I1197, MAX(0, I1197 + SUM(SUMIFS($I$1:I1196, $C$1:C1196, C1197, $B$1:B1196, {"MAL ALIMI","ÜRETİM GİRİŞ"})) - VLOOKUP(C1197, 'STOK RAPORU'!$C$2:$I$1000, 4, 0))), 0)</f>
        <v>0</v>
      </c>
      <c r="U1197" s="22">
        <f t="shared" si="72"/>
        <v>0</v>
      </c>
      <c r="V1197">
        <f t="shared" si="73"/>
        <v>0</v>
      </c>
      <c r="W1197" s="22">
        <f t="shared" si="74"/>
        <v>0</v>
      </c>
    </row>
    <row r="1198" spans="1:23" hidden="1" x14ac:dyDescent="0.25">
      <c r="A1198" s="3">
        <v>45978</v>
      </c>
      <c r="B1198" s="4" t="s">
        <v>334</v>
      </c>
      <c r="C1198" s="4" t="s">
        <v>601</v>
      </c>
      <c r="D1198" s="4"/>
      <c r="E1198" s="4" t="s">
        <v>921</v>
      </c>
      <c r="F1198" s="4" t="s">
        <v>786</v>
      </c>
      <c r="G1198" s="4" t="s">
        <v>336</v>
      </c>
      <c r="H1198" s="4" t="s">
        <v>380</v>
      </c>
      <c r="I1198" s="4">
        <v>0.38800000000000001</v>
      </c>
      <c r="J1198" s="21">
        <v>520</v>
      </c>
      <c r="K1198" s="21">
        <v>201.76000000000002</v>
      </c>
      <c r="L1198" s="5">
        <v>0</v>
      </c>
      <c r="M1198" s="4">
        <v>0.38800000000000001</v>
      </c>
      <c r="N1198" s="4"/>
      <c r="O1198" s="5">
        <v>520</v>
      </c>
      <c r="P1198" s="5"/>
      <c r="Q1198" s="21">
        <v>0</v>
      </c>
      <c r="R1198" s="21">
        <v>0</v>
      </c>
      <c r="S1198" s="5">
        <f t="shared" si="75"/>
        <v>70819.04376015201</v>
      </c>
      <c r="T1198" cm="1">
        <f t="array" ref="T1198">IF(OR(B1198="MAL ALIMI", B1198="ÜRETİM GİRİŞ"), MIN(I1198, MAX(0, I1198 + SUM(SUMIFS($I$1:I1197, $C$1:C1197, C1198, $B$1:B1197, {"MAL ALIMI","ÜRETİM GİRİŞ"})) - VLOOKUP(C1198, 'STOK RAPORU'!$C$2:$I$1000, 4, 0))), 0)</f>
        <v>0</v>
      </c>
      <c r="U1198" s="22">
        <f t="shared" si="72"/>
        <v>0</v>
      </c>
      <c r="V1198">
        <f t="shared" si="73"/>
        <v>0</v>
      </c>
      <c r="W1198" s="22">
        <f t="shared" si="74"/>
        <v>0</v>
      </c>
    </row>
    <row r="1199" spans="1:23" hidden="1" x14ac:dyDescent="0.25">
      <c r="A1199" s="3">
        <v>45978</v>
      </c>
      <c r="B1199" s="4" t="s">
        <v>334</v>
      </c>
      <c r="C1199" s="4" t="s">
        <v>692</v>
      </c>
      <c r="D1199" s="4"/>
      <c r="E1199" s="4" t="s">
        <v>921</v>
      </c>
      <c r="F1199" s="4" t="s">
        <v>786</v>
      </c>
      <c r="G1199" s="4" t="s">
        <v>336</v>
      </c>
      <c r="H1199" s="4" t="s">
        <v>380</v>
      </c>
      <c r="I1199" s="4">
        <v>1</v>
      </c>
      <c r="J1199" s="21">
        <v>60</v>
      </c>
      <c r="K1199" s="21">
        <v>60</v>
      </c>
      <c r="L1199" s="5">
        <v>0</v>
      </c>
      <c r="M1199" s="4">
        <v>1</v>
      </c>
      <c r="N1199" s="4"/>
      <c r="O1199" s="5">
        <v>60</v>
      </c>
      <c r="P1199" s="5"/>
      <c r="Q1199" s="21">
        <v>0</v>
      </c>
      <c r="R1199" s="21">
        <v>0</v>
      </c>
      <c r="S1199" s="5">
        <f t="shared" si="75"/>
        <v>70819.04376015201</v>
      </c>
      <c r="T1199" cm="1">
        <f t="array" ref="T1199">IF(OR(B1199="MAL ALIMI", B1199="ÜRETİM GİRİŞ"), MIN(I1199, MAX(0, I1199 + SUM(SUMIFS($I$1:I1198, $C$1:C1198, C1199, $B$1:B1198, {"MAL ALIMI","ÜRETİM GİRİŞ"})) - VLOOKUP(C1199, 'STOK RAPORU'!$C$2:$I$1000, 4, 0))), 0)</f>
        <v>0</v>
      </c>
      <c r="U1199" s="22">
        <f t="shared" si="72"/>
        <v>0</v>
      </c>
      <c r="V1199">
        <f t="shared" si="73"/>
        <v>0</v>
      </c>
      <c r="W1199" s="22">
        <f t="shared" si="74"/>
        <v>0</v>
      </c>
    </row>
    <row r="1200" spans="1:23" hidden="1" x14ac:dyDescent="0.25">
      <c r="A1200" s="3">
        <v>45978</v>
      </c>
      <c r="B1200" s="4" t="s">
        <v>334</v>
      </c>
      <c r="C1200" s="4" t="s">
        <v>201</v>
      </c>
      <c r="D1200" s="4"/>
      <c r="E1200" s="4"/>
      <c r="F1200" s="4" t="s">
        <v>787</v>
      </c>
      <c r="G1200" s="4" t="s">
        <v>336</v>
      </c>
      <c r="H1200" s="4" t="s">
        <v>289</v>
      </c>
      <c r="I1200" s="4">
        <v>0.125</v>
      </c>
      <c r="J1200" s="21">
        <v>800</v>
      </c>
      <c r="K1200" s="21">
        <v>0</v>
      </c>
      <c r="L1200" s="5">
        <v>0</v>
      </c>
      <c r="M1200" s="4">
        <v>0.125</v>
      </c>
      <c r="N1200" s="4"/>
      <c r="O1200" s="5">
        <v>800</v>
      </c>
      <c r="P1200" s="5"/>
      <c r="Q1200" s="21">
        <v>100</v>
      </c>
      <c r="R1200" s="21">
        <v>0</v>
      </c>
      <c r="S1200" s="5">
        <f t="shared" si="75"/>
        <v>70919.04376015201</v>
      </c>
      <c r="T1200" cm="1">
        <f t="array" ref="T1200">IF(OR(B1200="MAL ALIMI", B1200="ÜRETİM GİRİŞ"), MIN(I1200, MAX(0, I1200 + SUM(SUMIFS($I$1:I1199, $C$1:C1199, C1200, $B$1:B1199, {"MAL ALIMI","ÜRETİM GİRİŞ"})) - VLOOKUP(C1200, 'STOK RAPORU'!$C$2:$I$1000, 4, 0))), 0)</f>
        <v>0</v>
      </c>
      <c r="U1200" s="22">
        <f t="shared" si="72"/>
        <v>0</v>
      </c>
      <c r="V1200">
        <f t="shared" si="73"/>
        <v>0</v>
      </c>
      <c r="W1200" s="22">
        <f t="shared" si="74"/>
        <v>0</v>
      </c>
    </row>
    <row r="1201" spans="1:23" hidden="1" x14ac:dyDescent="0.25">
      <c r="A1201" s="3">
        <v>45978</v>
      </c>
      <c r="B1201" s="4" t="s">
        <v>334</v>
      </c>
      <c r="C1201" s="4" t="s">
        <v>692</v>
      </c>
      <c r="D1201" s="4"/>
      <c r="E1201" s="4"/>
      <c r="F1201" s="4" t="s">
        <v>788</v>
      </c>
      <c r="G1201" s="4" t="s">
        <v>336</v>
      </c>
      <c r="H1201" s="4" t="s">
        <v>289</v>
      </c>
      <c r="I1201" s="4">
        <v>1</v>
      </c>
      <c r="J1201" s="21">
        <v>60</v>
      </c>
      <c r="K1201" s="21">
        <v>0</v>
      </c>
      <c r="L1201" s="5">
        <v>0</v>
      </c>
      <c r="M1201" s="4">
        <v>1</v>
      </c>
      <c r="N1201" s="4"/>
      <c r="O1201" s="5">
        <v>60</v>
      </c>
      <c r="P1201" s="5"/>
      <c r="Q1201" s="21">
        <v>60</v>
      </c>
      <c r="R1201" s="21">
        <v>0</v>
      </c>
      <c r="S1201" s="5">
        <f t="shared" si="75"/>
        <v>70979.04376015201</v>
      </c>
      <c r="T1201" cm="1">
        <f t="array" ref="T1201">IF(OR(B1201="MAL ALIMI", B1201="ÜRETİM GİRİŞ"), MIN(I1201, MAX(0, I1201 + SUM(SUMIFS($I$1:I1200, $C$1:C1200, C1201, $B$1:B1200, {"MAL ALIMI","ÜRETİM GİRİŞ"})) - VLOOKUP(C1201, 'STOK RAPORU'!$C$2:$I$1000, 4, 0))), 0)</f>
        <v>0</v>
      </c>
      <c r="U1201" s="22">
        <f t="shared" si="72"/>
        <v>0</v>
      </c>
      <c r="V1201">
        <f t="shared" si="73"/>
        <v>0</v>
      </c>
      <c r="W1201" s="22">
        <f t="shared" si="74"/>
        <v>0</v>
      </c>
    </row>
    <row r="1202" spans="1:23" hidden="1" x14ac:dyDescent="0.25">
      <c r="A1202" s="3">
        <v>45978</v>
      </c>
      <c r="B1202" s="4" t="s">
        <v>334</v>
      </c>
      <c r="C1202" s="4" t="s">
        <v>158</v>
      </c>
      <c r="D1202" s="4"/>
      <c r="E1202" s="4"/>
      <c r="F1202" s="4" t="s">
        <v>789</v>
      </c>
      <c r="G1202" s="4" t="s">
        <v>336</v>
      </c>
      <c r="H1202" s="4" t="s">
        <v>289</v>
      </c>
      <c r="I1202" s="4">
        <v>5</v>
      </c>
      <c r="J1202" s="21">
        <v>120</v>
      </c>
      <c r="K1202" s="21">
        <v>0</v>
      </c>
      <c r="L1202" s="5">
        <v>0</v>
      </c>
      <c r="M1202" s="4">
        <v>5</v>
      </c>
      <c r="N1202" s="4"/>
      <c r="O1202" s="5">
        <v>120</v>
      </c>
      <c r="P1202" s="5"/>
      <c r="Q1202" s="21">
        <v>600</v>
      </c>
      <c r="R1202" s="21">
        <v>0</v>
      </c>
      <c r="S1202" s="5">
        <f t="shared" si="75"/>
        <v>71579.04376015201</v>
      </c>
      <c r="T1202" cm="1">
        <f t="array" ref="T1202">IF(OR(B1202="MAL ALIMI", B1202="ÜRETİM GİRİŞ"), MIN(I1202, MAX(0, I1202 + SUM(SUMIFS($I$1:I1201, $C$1:C1201, C1202, $B$1:B1201, {"MAL ALIMI","ÜRETİM GİRİŞ"})) - VLOOKUP(C1202, 'STOK RAPORU'!$C$2:$I$1000, 4, 0))), 0)</f>
        <v>0</v>
      </c>
      <c r="U1202" s="22">
        <f t="shared" si="72"/>
        <v>0</v>
      </c>
      <c r="V1202">
        <f t="shared" si="73"/>
        <v>0</v>
      </c>
      <c r="W1202" s="22">
        <f t="shared" si="74"/>
        <v>0</v>
      </c>
    </row>
    <row r="1203" spans="1:23" hidden="1" x14ac:dyDescent="0.25">
      <c r="A1203" s="3">
        <v>45978</v>
      </c>
      <c r="B1203" s="4" t="s">
        <v>334</v>
      </c>
      <c r="C1203" s="4" t="s">
        <v>225</v>
      </c>
      <c r="D1203" s="4"/>
      <c r="E1203" s="4" t="s">
        <v>921</v>
      </c>
      <c r="F1203" s="4" t="s">
        <v>790</v>
      </c>
      <c r="G1203" s="4" t="s">
        <v>336</v>
      </c>
      <c r="H1203" s="4" t="s">
        <v>380</v>
      </c>
      <c r="I1203" s="4">
        <v>0.46200000000000002</v>
      </c>
      <c r="J1203" s="21">
        <v>650</v>
      </c>
      <c r="K1203" s="21">
        <v>300.3</v>
      </c>
      <c r="L1203" s="5">
        <v>0</v>
      </c>
      <c r="M1203" s="4">
        <v>0.46200000000000002</v>
      </c>
      <c r="N1203" s="4"/>
      <c r="O1203" s="5">
        <v>650</v>
      </c>
      <c r="P1203" s="5"/>
      <c r="Q1203" s="21">
        <v>0</v>
      </c>
      <c r="R1203" s="21">
        <v>0</v>
      </c>
      <c r="S1203" s="5">
        <f t="shared" si="75"/>
        <v>71579.04376015201</v>
      </c>
      <c r="T1203" cm="1">
        <f t="array" ref="T1203">IF(OR(B1203="MAL ALIMI", B1203="ÜRETİM GİRİŞ"), MIN(I1203, MAX(0, I1203 + SUM(SUMIFS($I$1:I1202, $C$1:C1202, C1203, $B$1:B1202, {"MAL ALIMI","ÜRETİM GİRİŞ"})) - VLOOKUP(C1203, 'STOK RAPORU'!$C$2:$I$1000, 4, 0))), 0)</f>
        <v>0</v>
      </c>
      <c r="U1203" s="22">
        <f t="shared" si="72"/>
        <v>0</v>
      </c>
      <c r="V1203">
        <f t="shared" si="73"/>
        <v>0</v>
      </c>
      <c r="W1203" s="22">
        <f t="shared" si="74"/>
        <v>0</v>
      </c>
    </row>
    <row r="1204" spans="1:23" hidden="1" x14ac:dyDescent="0.25">
      <c r="A1204" s="3">
        <v>45978</v>
      </c>
      <c r="B1204" s="4" t="s">
        <v>334</v>
      </c>
      <c r="C1204" s="4" t="s">
        <v>136</v>
      </c>
      <c r="D1204" s="4"/>
      <c r="E1204" s="4"/>
      <c r="F1204" s="4" t="s">
        <v>791</v>
      </c>
      <c r="G1204" s="4" t="s">
        <v>336</v>
      </c>
      <c r="H1204" s="4" t="s">
        <v>289</v>
      </c>
      <c r="I1204" s="4">
        <v>0.25</v>
      </c>
      <c r="J1204" s="21">
        <v>180</v>
      </c>
      <c r="K1204" s="21">
        <v>0</v>
      </c>
      <c r="L1204" s="5">
        <v>0</v>
      </c>
      <c r="M1204" s="4">
        <v>1</v>
      </c>
      <c r="N1204" s="4"/>
      <c r="O1204" s="5">
        <v>45</v>
      </c>
      <c r="P1204" s="5"/>
      <c r="Q1204" s="21">
        <v>45</v>
      </c>
      <c r="R1204" s="21">
        <v>0</v>
      </c>
      <c r="S1204" s="5">
        <f t="shared" si="75"/>
        <v>71624.04376015201</v>
      </c>
      <c r="T1204" cm="1">
        <f t="array" ref="T1204">IF(OR(B1204="MAL ALIMI", B1204="ÜRETİM GİRİŞ"), MIN(I1204, MAX(0, I1204 + SUM(SUMIFS($I$1:I1203, $C$1:C1203, C1204, $B$1:B1203, {"MAL ALIMI","ÜRETİM GİRİŞ"})) - VLOOKUP(C1204, 'STOK RAPORU'!$C$2:$I$1000, 4, 0))), 0)</f>
        <v>0</v>
      </c>
      <c r="U1204" s="22">
        <f t="shared" si="72"/>
        <v>0</v>
      </c>
      <c r="V1204">
        <f t="shared" si="73"/>
        <v>0</v>
      </c>
      <c r="W1204" s="22">
        <f t="shared" si="74"/>
        <v>0</v>
      </c>
    </row>
    <row r="1205" spans="1:23" hidden="1" x14ac:dyDescent="0.25">
      <c r="A1205" s="3">
        <v>45978</v>
      </c>
      <c r="B1205" s="4" t="s">
        <v>334</v>
      </c>
      <c r="C1205" s="4" t="s">
        <v>126</v>
      </c>
      <c r="D1205" s="4"/>
      <c r="E1205" s="4"/>
      <c r="F1205" s="4" t="s">
        <v>791</v>
      </c>
      <c r="G1205" s="4" t="s">
        <v>336</v>
      </c>
      <c r="H1205" s="4" t="s">
        <v>289</v>
      </c>
      <c r="I1205" s="4">
        <v>0.08</v>
      </c>
      <c r="J1205" s="21">
        <v>640</v>
      </c>
      <c r="K1205" s="21">
        <v>0</v>
      </c>
      <c r="L1205" s="5">
        <v>0</v>
      </c>
      <c r="M1205" s="4">
        <v>0.08</v>
      </c>
      <c r="N1205" s="4"/>
      <c r="O1205" s="5">
        <v>640</v>
      </c>
      <c r="P1205" s="5"/>
      <c r="Q1205" s="21">
        <v>51.2</v>
      </c>
      <c r="R1205" s="21">
        <v>0</v>
      </c>
      <c r="S1205" s="5">
        <f t="shared" si="75"/>
        <v>71675.243760152007</v>
      </c>
      <c r="T1205" cm="1">
        <f t="array" ref="T1205">IF(OR(B1205="MAL ALIMI", B1205="ÜRETİM GİRİŞ"), MIN(I1205, MAX(0, I1205 + SUM(SUMIFS($I$1:I1204, $C$1:C1204, C1205, $B$1:B1204, {"MAL ALIMI","ÜRETİM GİRİŞ"})) - VLOOKUP(C1205, 'STOK RAPORU'!$C$2:$I$1000, 4, 0))), 0)</f>
        <v>0</v>
      </c>
      <c r="U1205" s="22">
        <f t="shared" si="72"/>
        <v>0</v>
      </c>
      <c r="V1205">
        <f t="shared" si="73"/>
        <v>0</v>
      </c>
      <c r="W1205" s="22">
        <f t="shared" si="74"/>
        <v>0</v>
      </c>
    </row>
    <row r="1206" spans="1:23" hidden="1" x14ac:dyDescent="0.25">
      <c r="A1206" s="3">
        <v>45978</v>
      </c>
      <c r="B1206" s="4" t="s">
        <v>334</v>
      </c>
      <c r="C1206" s="4" t="s">
        <v>147</v>
      </c>
      <c r="D1206" s="4"/>
      <c r="E1206" s="4"/>
      <c r="F1206" s="4" t="s">
        <v>791</v>
      </c>
      <c r="G1206" s="4" t="s">
        <v>336</v>
      </c>
      <c r="H1206" s="4" t="s">
        <v>289</v>
      </c>
      <c r="I1206" s="4">
        <v>1</v>
      </c>
      <c r="J1206" s="21">
        <v>65</v>
      </c>
      <c r="K1206" s="21">
        <v>0</v>
      </c>
      <c r="L1206" s="5">
        <v>0</v>
      </c>
      <c r="M1206" s="4">
        <v>1</v>
      </c>
      <c r="N1206" s="4"/>
      <c r="O1206" s="5">
        <v>65</v>
      </c>
      <c r="P1206" s="5"/>
      <c r="Q1206" s="21">
        <v>65</v>
      </c>
      <c r="R1206" s="21">
        <v>0</v>
      </c>
      <c r="S1206" s="5">
        <f t="shared" si="75"/>
        <v>71740.243760152007</v>
      </c>
      <c r="T1206" cm="1">
        <f t="array" ref="T1206">IF(OR(B1206="MAL ALIMI", B1206="ÜRETİM GİRİŞ"), MIN(I1206, MAX(0, I1206 + SUM(SUMIFS($I$1:I1205, $C$1:C1205, C1206, $B$1:B1205, {"MAL ALIMI","ÜRETİM GİRİŞ"})) - VLOOKUP(C1206, 'STOK RAPORU'!$C$2:$I$1000, 4, 0))), 0)</f>
        <v>0</v>
      </c>
      <c r="U1206" s="22">
        <f t="shared" si="72"/>
        <v>0</v>
      </c>
      <c r="V1206">
        <f t="shared" si="73"/>
        <v>0</v>
      </c>
      <c r="W1206" s="22">
        <f t="shared" si="74"/>
        <v>0</v>
      </c>
    </row>
    <row r="1207" spans="1:23" hidden="1" x14ac:dyDescent="0.25">
      <c r="A1207" s="3">
        <v>45978</v>
      </c>
      <c r="B1207" s="4" t="s">
        <v>334</v>
      </c>
      <c r="C1207" s="4" t="s">
        <v>156</v>
      </c>
      <c r="D1207" s="4"/>
      <c r="E1207" s="4"/>
      <c r="F1207" s="4" t="s">
        <v>805</v>
      </c>
      <c r="G1207" s="4" t="s">
        <v>336</v>
      </c>
      <c r="H1207" s="4" t="s">
        <v>289</v>
      </c>
      <c r="I1207" s="4">
        <v>0.56000000000000005</v>
      </c>
      <c r="J1207" s="21">
        <v>180</v>
      </c>
      <c r="K1207" s="21">
        <v>0</v>
      </c>
      <c r="L1207" s="5">
        <v>0</v>
      </c>
      <c r="M1207" s="4">
        <v>0.56000000000000005</v>
      </c>
      <c r="N1207" s="4"/>
      <c r="O1207" s="5">
        <v>180</v>
      </c>
      <c r="P1207" s="5"/>
      <c r="Q1207" s="21">
        <v>100.80000000000001</v>
      </c>
      <c r="R1207" s="21">
        <v>0</v>
      </c>
      <c r="S1207" s="5">
        <f t="shared" si="75"/>
        <v>71841.04376015201</v>
      </c>
      <c r="T1207" cm="1">
        <f t="array" ref="T1207">IF(OR(B1207="MAL ALIMI", B1207="ÜRETİM GİRİŞ"), MIN(I1207, MAX(0, I1207 + SUM(SUMIFS($I$1:I1206, $C$1:C1206, C1207, $B$1:B1206, {"MAL ALIMI","ÜRETİM GİRİŞ"})) - VLOOKUP(C1207, 'STOK RAPORU'!$C$2:$I$1000, 4, 0))), 0)</f>
        <v>0</v>
      </c>
      <c r="U1207" s="22">
        <f t="shared" si="72"/>
        <v>0</v>
      </c>
      <c r="V1207">
        <f t="shared" si="73"/>
        <v>0</v>
      </c>
      <c r="W1207" s="22">
        <f t="shared" si="74"/>
        <v>0</v>
      </c>
    </row>
    <row r="1208" spans="1:23" hidden="1" x14ac:dyDescent="0.25">
      <c r="A1208" s="3">
        <v>45978</v>
      </c>
      <c r="B1208" s="4" t="s">
        <v>334</v>
      </c>
      <c r="C1208" s="4" t="s">
        <v>158</v>
      </c>
      <c r="D1208" s="4"/>
      <c r="E1208" s="4"/>
      <c r="F1208" s="4" t="s">
        <v>805</v>
      </c>
      <c r="G1208" s="4" t="s">
        <v>336</v>
      </c>
      <c r="H1208" s="4" t="s">
        <v>289</v>
      </c>
      <c r="I1208" s="4">
        <v>0.77</v>
      </c>
      <c r="J1208" s="21">
        <v>130</v>
      </c>
      <c r="K1208" s="21">
        <v>0</v>
      </c>
      <c r="L1208" s="5">
        <v>0</v>
      </c>
      <c r="M1208" s="4">
        <v>0.77</v>
      </c>
      <c r="N1208" s="4"/>
      <c r="O1208" s="5">
        <v>130</v>
      </c>
      <c r="P1208" s="5"/>
      <c r="Q1208" s="21">
        <v>100.10000000000001</v>
      </c>
      <c r="R1208" s="21">
        <v>0</v>
      </c>
      <c r="S1208" s="5">
        <f t="shared" si="75"/>
        <v>71941.143760152016</v>
      </c>
      <c r="T1208" cm="1">
        <f t="array" ref="T1208">IF(OR(B1208="MAL ALIMI", B1208="ÜRETİM GİRİŞ"), MIN(I1208, MAX(0, I1208 + SUM(SUMIFS($I$1:I1207, $C$1:C1207, C1208, $B$1:B1207, {"MAL ALIMI","ÜRETİM GİRİŞ"})) - VLOOKUP(C1208, 'STOK RAPORU'!$C$2:$I$1000, 4, 0))), 0)</f>
        <v>0</v>
      </c>
      <c r="U1208" s="22">
        <f t="shared" si="72"/>
        <v>0</v>
      </c>
      <c r="V1208">
        <f t="shared" si="73"/>
        <v>0</v>
      </c>
      <c r="W1208" s="22">
        <f t="shared" si="74"/>
        <v>0</v>
      </c>
    </row>
    <row r="1209" spans="1:23" hidden="1" x14ac:dyDescent="0.25">
      <c r="A1209" s="3">
        <v>45978</v>
      </c>
      <c r="B1209" s="4" t="s">
        <v>334</v>
      </c>
      <c r="C1209" s="4" t="s">
        <v>620</v>
      </c>
      <c r="D1209" s="4"/>
      <c r="E1209" s="4" t="s">
        <v>921</v>
      </c>
      <c r="F1209" s="4" t="s">
        <v>806</v>
      </c>
      <c r="G1209" s="4" t="s">
        <v>336</v>
      </c>
      <c r="H1209" s="4" t="s">
        <v>380</v>
      </c>
      <c r="I1209" s="4">
        <v>0.41399999999999998</v>
      </c>
      <c r="J1209" s="21">
        <v>195</v>
      </c>
      <c r="K1209" s="21">
        <v>80.72999999999999</v>
      </c>
      <c r="L1209" s="5">
        <v>0</v>
      </c>
      <c r="M1209" s="4">
        <v>0.41399999999999998</v>
      </c>
      <c r="N1209" s="4"/>
      <c r="O1209" s="5">
        <v>195</v>
      </c>
      <c r="P1209" s="5"/>
      <c r="Q1209" s="21">
        <v>0</v>
      </c>
      <c r="R1209" s="21">
        <v>0</v>
      </c>
      <c r="S1209" s="5">
        <f t="shared" si="75"/>
        <v>71941.143760152016</v>
      </c>
      <c r="T1209" cm="1">
        <f t="array" ref="T1209">IF(OR(B1209="MAL ALIMI", B1209="ÜRETİM GİRİŞ"), MIN(I1209, MAX(0, I1209 + SUM(SUMIFS($I$1:I1208, $C$1:C1208, C1209, $B$1:B1208, {"MAL ALIMI","ÜRETİM GİRİŞ"})) - VLOOKUP(C1209, 'STOK RAPORU'!$C$2:$I$1000, 4, 0))), 0)</f>
        <v>0</v>
      </c>
      <c r="U1209" s="22">
        <f t="shared" si="72"/>
        <v>0</v>
      </c>
      <c r="V1209">
        <f t="shared" si="73"/>
        <v>0</v>
      </c>
      <c r="W1209" s="22">
        <f t="shared" si="74"/>
        <v>0</v>
      </c>
    </row>
    <row r="1210" spans="1:23" hidden="1" x14ac:dyDescent="0.25">
      <c r="A1210" s="3">
        <v>45978</v>
      </c>
      <c r="B1210" s="4" t="s">
        <v>334</v>
      </c>
      <c r="C1210" s="4" t="s">
        <v>156</v>
      </c>
      <c r="D1210" s="4"/>
      <c r="E1210" s="4"/>
      <c r="F1210" s="4" t="s">
        <v>807</v>
      </c>
      <c r="G1210" s="4" t="s">
        <v>336</v>
      </c>
      <c r="H1210" s="4" t="s">
        <v>289</v>
      </c>
      <c r="I1210" s="4">
        <v>0.34</v>
      </c>
      <c r="J1210" s="21">
        <v>180</v>
      </c>
      <c r="K1210" s="21">
        <v>0</v>
      </c>
      <c r="L1210" s="5">
        <v>0</v>
      </c>
      <c r="M1210" s="4">
        <v>0.34</v>
      </c>
      <c r="N1210" s="4"/>
      <c r="O1210" s="5">
        <v>180</v>
      </c>
      <c r="P1210" s="5"/>
      <c r="Q1210" s="21">
        <v>61.2</v>
      </c>
      <c r="R1210" s="21">
        <v>0</v>
      </c>
      <c r="S1210" s="5">
        <f t="shared" si="75"/>
        <v>72002.343760152013</v>
      </c>
      <c r="T1210" cm="1">
        <f t="array" ref="T1210">IF(OR(B1210="MAL ALIMI", B1210="ÜRETİM GİRİŞ"), MIN(I1210, MAX(0, I1210 + SUM(SUMIFS($I$1:I1209, $C$1:C1209, C1210, $B$1:B1209, {"MAL ALIMI","ÜRETİM GİRİŞ"})) - VLOOKUP(C1210, 'STOK RAPORU'!$C$2:$I$1000, 4, 0))), 0)</f>
        <v>0</v>
      </c>
      <c r="U1210" s="22">
        <f t="shared" si="72"/>
        <v>0</v>
      </c>
      <c r="V1210">
        <f t="shared" si="73"/>
        <v>0</v>
      </c>
      <c r="W1210" s="22">
        <f t="shared" si="74"/>
        <v>0</v>
      </c>
    </row>
    <row r="1211" spans="1:23" hidden="1" x14ac:dyDescent="0.25">
      <c r="A1211" s="3">
        <v>45978</v>
      </c>
      <c r="B1211" s="4" t="s">
        <v>334</v>
      </c>
      <c r="C1211" s="4" t="s">
        <v>158</v>
      </c>
      <c r="D1211" s="4"/>
      <c r="E1211" s="4"/>
      <c r="F1211" s="4" t="s">
        <v>807</v>
      </c>
      <c r="G1211" s="4" t="s">
        <v>336</v>
      </c>
      <c r="H1211" s="4" t="s">
        <v>289</v>
      </c>
      <c r="I1211" s="4">
        <v>0.53200000000000003</v>
      </c>
      <c r="J1211" s="21">
        <v>130</v>
      </c>
      <c r="K1211" s="21">
        <v>0</v>
      </c>
      <c r="L1211" s="5">
        <v>0</v>
      </c>
      <c r="M1211" s="4">
        <v>0.53200000000000003</v>
      </c>
      <c r="N1211" s="4"/>
      <c r="O1211" s="5">
        <v>130</v>
      </c>
      <c r="P1211" s="5"/>
      <c r="Q1211" s="21">
        <v>69.16</v>
      </c>
      <c r="R1211" s="21">
        <v>0</v>
      </c>
      <c r="S1211" s="5">
        <f t="shared" si="75"/>
        <v>72071.503760152016</v>
      </c>
      <c r="T1211" cm="1">
        <f t="array" ref="T1211">IF(OR(B1211="MAL ALIMI", B1211="ÜRETİM GİRİŞ"), MIN(I1211, MAX(0, I1211 + SUM(SUMIFS($I$1:I1210, $C$1:C1210, C1211, $B$1:B1210, {"MAL ALIMI","ÜRETİM GİRİŞ"})) - VLOOKUP(C1211, 'STOK RAPORU'!$C$2:$I$1000, 4, 0))), 0)</f>
        <v>0</v>
      </c>
      <c r="U1211" s="22">
        <f t="shared" si="72"/>
        <v>0</v>
      </c>
      <c r="V1211">
        <f t="shared" si="73"/>
        <v>0</v>
      </c>
      <c r="W1211" s="22">
        <f t="shared" si="74"/>
        <v>0</v>
      </c>
    </row>
    <row r="1212" spans="1:23" hidden="1" x14ac:dyDescent="0.25">
      <c r="A1212" s="3">
        <v>45978</v>
      </c>
      <c r="B1212" s="4" t="s">
        <v>334</v>
      </c>
      <c r="C1212" s="4" t="s">
        <v>140</v>
      </c>
      <c r="D1212" s="4"/>
      <c r="E1212" s="4"/>
      <c r="F1212" s="4" t="s">
        <v>808</v>
      </c>
      <c r="G1212" s="4" t="s">
        <v>336</v>
      </c>
      <c r="H1212" s="4" t="s">
        <v>289</v>
      </c>
      <c r="I1212" s="4">
        <v>0.12</v>
      </c>
      <c r="J1212" s="21">
        <v>250</v>
      </c>
      <c r="K1212" s="21">
        <v>0</v>
      </c>
      <c r="L1212" s="5">
        <v>0</v>
      </c>
      <c r="M1212" s="4">
        <v>0.12</v>
      </c>
      <c r="N1212" s="4"/>
      <c r="O1212" s="5">
        <v>250</v>
      </c>
      <c r="P1212" s="5"/>
      <c r="Q1212" s="21">
        <v>30</v>
      </c>
      <c r="R1212" s="21">
        <v>0</v>
      </c>
      <c r="S1212" s="5">
        <f t="shared" si="75"/>
        <v>72101.503760152016</v>
      </c>
      <c r="T1212" cm="1">
        <f t="array" ref="T1212">IF(OR(B1212="MAL ALIMI", B1212="ÜRETİM GİRİŞ"), MIN(I1212, MAX(0, I1212 + SUM(SUMIFS($I$1:I1211, $C$1:C1211, C1212, $B$1:B1211, {"MAL ALIMI","ÜRETİM GİRİŞ"})) - VLOOKUP(C1212, 'STOK RAPORU'!$C$2:$I$1000, 4, 0))), 0)</f>
        <v>0</v>
      </c>
      <c r="U1212" s="22">
        <f t="shared" si="72"/>
        <v>0</v>
      </c>
      <c r="V1212">
        <f t="shared" si="73"/>
        <v>0</v>
      </c>
      <c r="W1212" s="22">
        <f t="shared" si="74"/>
        <v>0</v>
      </c>
    </row>
    <row r="1213" spans="1:23" hidden="1" x14ac:dyDescent="0.25">
      <c r="A1213" s="3">
        <v>45978</v>
      </c>
      <c r="B1213" s="4" t="s">
        <v>334</v>
      </c>
      <c r="C1213" s="4" t="s">
        <v>160</v>
      </c>
      <c r="D1213" s="4"/>
      <c r="E1213" s="4"/>
      <c r="F1213" s="4" t="s">
        <v>809</v>
      </c>
      <c r="G1213" s="4" t="s">
        <v>336</v>
      </c>
      <c r="H1213" s="4" t="s">
        <v>289</v>
      </c>
      <c r="I1213" s="4">
        <v>1</v>
      </c>
      <c r="J1213" s="21">
        <v>240</v>
      </c>
      <c r="K1213" s="21">
        <v>0</v>
      </c>
      <c r="L1213" s="5">
        <v>0</v>
      </c>
      <c r="M1213" s="4">
        <v>1</v>
      </c>
      <c r="N1213" s="4"/>
      <c r="O1213" s="5">
        <v>240</v>
      </c>
      <c r="P1213" s="5"/>
      <c r="Q1213" s="21">
        <v>240</v>
      </c>
      <c r="R1213" s="21">
        <v>0</v>
      </c>
      <c r="S1213" s="5">
        <f t="shared" si="75"/>
        <v>72341.503760152016</v>
      </c>
      <c r="T1213" cm="1">
        <f t="array" ref="T1213">IF(OR(B1213="MAL ALIMI", B1213="ÜRETİM GİRİŞ"), MIN(I1213, MAX(0, I1213 + SUM(SUMIFS($I$1:I1212, $C$1:C1212, C1213, $B$1:B1212, {"MAL ALIMI","ÜRETİM GİRİŞ"})) - VLOOKUP(C1213, 'STOK RAPORU'!$C$2:$I$1000, 4, 0))), 0)</f>
        <v>0</v>
      </c>
      <c r="U1213" s="22">
        <f t="shared" si="72"/>
        <v>0</v>
      </c>
      <c r="V1213">
        <f t="shared" si="73"/>
        <v>0</v>
      </c>
      <c r="W1213" s="22">
        <f t="shared" si="74"/>
        <v>0</v>
      </c>
    </row>
    <row r="1214" spans="1:23" hidden="1" x14ac:dyDescent="0.25">
      <c r="A1214" s="3">
        <v>45978</v>
      </c>
      <c r="B1214" s="4" t="s">
        <v>334</v>
      </c>
      <c r="C1214" s="4" t="s">
        <v>463</v>
      </c>
      <c r="D1214" s="4"/>
      <c r="E1214" s="4"/>
      <c r="F1214" s="4" t="s">
        <v>809</v>
      </c>
      <c r="G1214" s="4" t="s">
        <v>336</v>
      </c>
      <c r="H1214" s="4" t="s">
        <v>289</v>
      </c>
      <c r="I1214" s="4">
        <v>0.16400000000000001</v>
      </c>
      <c r="J1214" s="21">
        <v>370</v>
      </c>
      <c r="K1214" s="21">
        <v>0</v>
      </c>
      <c r="L1214" s="5">
        <v>0</v>
      </c>
      <c r="M1214" s="4">
        <v>0.16400000000000001</v>
      </c>
      <c r="N1214" s="4"/>
      <c r="O1214" s="5">
        <v>370</v>
      </c>
      <c r="P1214" s="5"/>
      <c r="Q1214" s="21">
        <v>60.68</v>
      </c>
      <c r="R1214" s="21">
        <v>0</v>
      </c>
      <c r="S1214" s="5">
        <f t="shared" si="75"/>
        <v>72402.183760152009</v>
      </c>
      <c r="T1214" cm="1">
        <f t="array" ref="T1214">IF(OR(B1214="MAL ALIMI", B1214="ÜRETİM GİRİŞ"), MIN(I1214, MAX(0, I1214 + SUM(SUMIFS($I$1:I1213, $C$1:C1213, C1214, $B$1:B1213, {"MAL ALIMI","ÜRETİM GİRİŞ"})) - VLOOKUP(C1214, 'STOK RAPORU'!$C$2:$I$1000, 4, 0))), 0)</f>
        <v>0</v>
      </c>
      <c r="U1214" s="22">
        <f t="shared" si="72"/>
        <v>0</v>
      </c>
      <c r="V1214">
        <f t="shared" si="73"/>
        <v>0</v>
      </c>
      <c r="W1214" s="22">
        <f t="shared" si="74"/>
        <v>0</v>
      </c>
    </row>
    <row r="1215" spans="1:23" hidden="1" x14ac:dyDescent="0.25">
      <c r="A1215" s="3">
        <v>45978</v>
      </c>
      <c r="B1215" s="4" t="s">
        <v>334</v>
      </c>
      <c r="C1215" s="4" t="s">
        <v>209</v>
      </c>
      <c r="D1215" s="4"/>
      <c r="E1215" s="4" t="s">
        <v>921</v>
      </c>
      <c r="F1215" s="4" t="s">
        <v>810</v>
      </c>
      <c r="G1215" s="4" t="s">
        <v>336</v>
      </c>
      <c r="H1215" s="4" t="s">
        <v>380</v>
      </c>
      <c r="I1215" s="4">
        <v>0.05</v>
      </c>
      <c r="J1215" s="21">
        <v>2600</v>
      </c>
      <c r="K1215" s="21">
        <v>130</v>
      </c>
      <c r="L1215" s="5">
        <v>0</v>
      </c>
      <c r="M1215" s="4">
        <v>1</v>
      </c>
      <c r="N1215" s="4"/>
      <c r="O1215" s="5">
        <v>130</v>
      </c>
      <c r="P1215" s="5"/>
      <c r="Q1215" s="21">
        <v>0</v>
      </c>
      <c r="R1215" s="21">
        <v>0</v>
      </c>
      <c r="S1215" s="5">
        <f t="shared" si="75"/>
        <v>72402.183760152009</v>
      </c>
      <c r="T1215" cm="1">
        <f t="array" ref="T1215">IF(OR(B1215="MAL ALIMI", B1215="ÜRETİM GİRİŞ"), MIN(I1215, MAX(0, I1215 + SUM(SUMIFS($I$1:I1214, $C$1:C1214, C1215, $B$1:B1214, {"MAL ALIMI","ÜRETİM GİRİŞ"})) - VLOOKUP(C1215, 'STOK RAPORU'!$C$2:$I$1000, 4, 0))), 0)</f>
        <v>0</v>
      </c>
      <c r="U1215" s="22">
        <f t="shared" si="72"/>
        <v>0</v>
      </c>
      <c r="V1215">
        <f t="shared" si="73"/>
        <v>0</v>
      </c>
      <c r="W1215" s="22">
        <f t="shared" si="74"/>
        <v>0</v>
      </c>
    </row>
    <row r="1216" spans="1:23" hidden="1" x14ac:dyDescent="0.25">
      <c r="A1216" s="3">
        <v>45978</v>
      </c>
      <c r="B1216" s="4" t="s">
        <v>334</v>
      </c>
      <c r="C1216" s="4" t="s">
        <v>193</v>
      </c>
      <c r="D1216" s="4"/>
      <c r="E1216" s="4" t="s">
        <v>921</v>
      </c>
      <c r="F1216" s="4" t="s">
        <v>810</v>
      </c>
      <c r="G1216" s="4" t="s">
        <v>336</v>
      </c>
      <c r="H1216" s="4" t="s">
        <v>380</v>
      </c>
      <c r="I1216" s="4">
        <v>4.2000000000000003E-2</v>
      </c>
      <c r="J1216" s="21">
        <v>1400</v>
      </c>
      <c r="K1216" s="21">
        <v>58.800000000000004</v>
      </c>
      <c r="L1216" s="5">
        <v>0</v>
      </c>
      <c r="M1216" s="4">
        <v>4.2000000000000003E-2</v>
      </c>
      <c r="N1216" s="4"/>
      <c r="O1216" s="5">
        <v>1400</v>
      </c>
      <c r="P1216" s="5"/>
      <c r="Q1216" s="21">
        <v>0</v>
      </c>
      <c r="R1216" s="21">
        <v>0</v>
      </c>
      <c r="S1216" s="5">
        <f t="shared" si="75"/>
        <v>72402.183760152009</v>
      </c>
      <c r="T1216" cm="1">
        <f t="array" ref="T1216">IF(OR(B1216="MAL ALIMI", B1216="ÜRETİM GİRİŞ"), MIN(I1216, MAX(0, I1216 + SUM(SUMIFS($I$1:I1215, $C$1:C1215, C1216, $B$1:B1215, {"MAL ALIMI","ÜRETİM GİRİŞ"})) - VLOOKUP(C1216, 'STOK RAPORU'!$C$2:$I$1000, 4, 0))), 0)</f>
        <v>0</v>
      </c>
      <c r="U1216" s="22">
        <f t="shared" si="72"/>
        <v>0</v>
      </c>
      <c r="V1216">
        <f t="shared" si="73"/>
        <v>0</v>
      </c>
      <c r="W1216" s="22">
        <f t="shared" si="74"/>
        <v>0</v>
      </c>
    </row>
    <row r="1217" spans="1:23" hidden="1" x14ac:dyDescent="0.25">
      <c r="A1217" s="3">
        <v>45978</v>
      </c>
      <c r="B1217" s="4" t="s">
        <v>334</v>
      </c>
      <c r="C1217" s="4" t="s">
        <v>192</v>
      </c>
      <c r="D1217" s="4"/>
      <c r="E1217" s="4"/>
      <c r="F1217" s="4" t="s">
        <v>811</v>
      </c>
      <c r="G1217" s="4" t="s">
        <v>336</v>
      </c>
      <c r="H1217" s="4" t="s">
        <v>289</v>
      </c>
      <c r="I1217" s="4">
        <v>0.19</v>
      </c>
      <c r="J1217" s="21">
        <v>270</v>
      </c>
      <c r="K1217" s="21">
        <v>0</v>
      </c>
      <c r="L1217" s="5">
        <v>0</v>
      </c>
      <c r="M1217" s="4">
        <v>0.19</v>
      </c>
      <c r="N1217" s="4"/>
      <c r="O1217" s="5">
        <v>270</v>
      </c>
      <c r="P1217" s="5"/>
      <c r="Q1217" s="21">
        <v>51.3</v>
      </c>
      <c r="R1217" s="21">
        <v>0</v>
      </c>
      <c r="S1217" s="5">
        <f t="shared" si="75"/>
        <v>72453.483760152012</v>
      </c>
      <c r="T1217" cm="1">
        <f t="array" ref="T1217">IF(OR(B1217="MAL ALIMI", B1217="ÜRETİM GİRİŞ"), MIN(I1217, MAX(0, I1217 + SUM(SUMIFS($I$1:I1216, $C$1:C1216, C1217, $B$1:B1216, {"MAL ALIMI","ÜRETİM GİRİŞ"})) - VLOOKUP(C1217, 'STOK RAPORU'!$C$2:$I$1000, 4, 0))), 0)</f>
        <v>0</v>
      </c>
      <c r="U1217" s="22">
        <f t="shared" si="72"/>
        <v>0</v>
      </c>
      <c r="V1217">
        <f t="shared" si="73"/>
        <v>0</v>
      </c>
      <c r="W1217" s="22">
        <f t="shared" si="74"/>
        <v>0</v>
      </c>
    </row>
    <row r="1218" spans="1:23" hidden="1" x14ac:dyDescent="0.25">
      <c r="A1218" s="3">
        <v>45978</v>
      </c>
      <c r="B1218" s="4" t="s">
        <v>334</v>
      </c>
      <c r="C1218" s="4" t="s">
        <v>201</v>
      </c>
      <c r="D1218" s="4"/>
      <c r="E1218" s="4" t="s">
        <v>921</v>
      </c>
      <c r="F1218" s="4" t="s">
        <v>812</v>
      </c>
      <c r="G1218" s="4" t="s">
        <v>336</v>
      </c>
      <c r="H1218" s="4" t="s">
        <v>380</v>
      </c>
      <c r="I1218" s="4">
        <v>0.5</v>
      </c>
      <c r="J1218" s="21">
        <v>800</v>
      </c>
      <c r="K1218" s="21">
        <v>400</v>
      </c>
      <c r="L1218" s="5">
        <v>0</v>
      </c>
      <c r="M1218" s="4">
        <v>0.5</v>
      </c>
      <c r="N1218" s="4"/>
      <c r="O1218" s="5">
        <v>800</v>
      </c>
      <c r="P1218" s="5"/>
      <c r="Q1218" s="21">
        <v>0</v>
      </c>
      <c r="R1218" s="21">
        <v>0</v>
      </c>
      <c r="S1218" s="5">
        <f t="shared" si="75"/>
        <v>72453.483760152012</v>
      </c>
      <c r="T1218" cm="1">
        <f t="array" ref="T1218">IF(OR(B1218="MAL ALIMI", B1218="ÜRETİM GİRİŞ"), MIN(I1218, MAX(0, I1218 + SUM(SUMIFS($I$1:I1217, $C$1:C1217, C1218, $B$1:B1217, {"MAL ALIMI","ÜRETİM GİRİŞ"})) - VLOOKUP(C1218, 'STOK RAPORU'!$C$2:$I$1000, 4, 0))), 0)</f>
        <v>0</v>
      </c>
      <c r="U1218" s="22">
        <f t="shared" si="72"/>
        <v>0</v>
      </c>
      <c r="V1218">
        <f t="shared" si="73"/>
        <v>0</v>
      </c>
      <c r="W1218" s="22">
        <f t="shared" si="74"/>
        <v>0</v>
      </c>
    </row>
    <row r="1219" spans="1:23" hidden="1" x14ac:dyDescent="0.25">
      <c r="A1219" s="3">
        <v>45978</v>
      </c>
      <c r="B1219" s="4" t="s">
        <v>334</v>
      </c>
      <c r="C1219" s="4" t="s">
        <v>241</v>
      </c>
      <c r="D1219" s="4"/>
      <c r="E1219" s="4" t="s">
        <v>921</v>
      </c>
      <c r="F1219" s="4" t="s">
        <v>813</v>
      </c>
      <c r="G1219" s="4" t="s">
        <v>336</v>
      </c>
      <c r="H1219" s="4" t="s">
        <v>380</v>
      </c>
      <c r="I1219" s="4">
        <v>0.372</v>
      </c>
      <c r="J1219" s="21">
        <v>350</v>
      </c>
      <c r="K1219" s="21">
        <v>130.19999999999999</v>
      </c>
      <c r="L1219" s="5">
        <v>0</v>
      </c>
      <c r="M1219" s="4">
        <v>0.372</v>
      </c>
      <c r="N1219" s="4"/>
      <c r="O1219" s="5">
        <v>350</v>
      </c>
      <c r="P1219" s="5"/>
      <c r="Q1219" s="21">
        <v>0</v>
      </c>
      <c r="R1219" s="21">
        <v>0</v>
      </c>
      <c r="S1219" s="5">
        <f t="shared" si="75"/>
        <v>72453.483760152012</v>
      </c>
      <c r="T1219" cm="1">
        <f t="array" ref="T1219">IF(OR(B1219="MAL ALIMI", B1219="ÜRETİM GİRİŞ"), MIN(I1219, MAX(0, I1219 + SUM(SUMIFS($I$1:I1218, $C$1:C1218, C1219, $B$1:B1218, {"MAL ALIMI","ÜRETİM GİRİŞ"})) - VLOOKUP(C1219, 'STOK RAPORU'!$C$2:$I$1000, 4, 0))), 0)</f>
        <v>0</v>
      </c>
      <c r="U1219" s="22">
        <f t="shared" ref="U1219:U1282" si="76">T1219*J1219</f>
        <v>0</v>
      </c>
      <c r="V1219">
        <f t="shared" ref="V1219:V1282" si="77">IF(OR(B1219="MAL ALIMI", B1219="ÜRETİM GİRİŞ"), I1219 * J1219, 0)</f>
        <v>0</v>
      </c>
      <c r="W1219" s="22">
        <f t="shared" ref="W1219:W1282" si="78">V1219-U1219</f>
        <v>0</v>
      </c>
    </row>
    <row r="1220" spans="1:23" hidden="1" x14ac:dyDescent="0.25">
      <c r="A1220" s="3">
        <v>45978</v>
      </c>
      <c r="B1220" s="4" t="s">
        <v>334</v>
      </c>
      <c r="C1220" s="4" t="s">
        <v>601</v>
      </c>
      <c r="D1220" s="4"/>
      <c r="E1220" s="4" t="s">
        <v>921</v>
      </c>
      <c r="F1220" s="4" t="s">
        <v>813</v>
      </c>
      <c r="G1220" s="4" t="s">
        <v>336</v>
      </c>
      <c r="H1220" s="4" t="s">
        <v>380</v>
      </c>
      <c r="I1220" s="4">
        <v>0.27600000000000002</v>
      </c>
      <c r="J1220" s="21">
        <v>520</v>
      </c>
      <c r="K1220" s="21">
        <v>143.52000000000001</v>
      </c>
      <c r="L1220" s="5">
        <v>0</v>
      </c>
      <c r="M1220" s="4">
        <v>0.27600000000000002</v>
      </c>
      <c r="N1220" s="4"/>
      <c r="O1220" s="5">
        <v>520</v>
      </c>
      <c r="P1220" s="5"/>
      <c r="Q1220" s="21">
        <v>0</v>
      </c>
      <c r="R1220" s="21">
        <v>0</v>
      </c>
      <c r="S1220" s="5">
        <f t="shared" ref="S1220:S1283" si="79">S1219+Q1220-R1220</f>
        <v>72453.483760152012</v>
      </c>
      <c r="T1220" cm="1">
        <f t="array" ref="T1220">IF(OR(B1220="MAL ALIMI", B1220="ÜRETİM GİRİŞ"), MIN(I1220, MAX(0, I1220 + SUM(SUMIFS($I$1:I1219, $C$1:C1219, C1220, $B$1:B1219, {"MAL ALIMI","ÜRETİM GİRİŞ"})) - VLOOKUP(C1220, 'STOK RAPORU'!$C$2:$I$1000, 4, 0))), 0)</f>
        <v>0</v>
      </c>
      <c r="U1220" s="22">
        <f t="shared" si="76"/>
        <v>0</v>
      </c>
      <c r="V1220">
        <f t="shared" si="77"/>
        <v>0</v>
      </c>
      <c r="W1220" s="22">
        <f t="shared" si="78"/>
        <v>0</v>
      </c>
    </row>
    <row r="1221" spans="1:23" hidden="1" x14ac:dyDescent="0.25">
      <c r="A1221" s="3">
        <v>45978</v>
      </c>
      <c r="B1221" s="4" t="s">
        <v>334</v>
      </c>
      <c r="C1221" s="4" t="s">
        <v>690</v>
      </c>
      <c r="D1221" s="4"/>
      <c r="E1221" s="4" t="s">
        <v>921</v>
      </c>
      <c r="F1221" s="4" t="s">
        <v>813</v>
      </c>
      <c r="G1221" s="4" t="s">
        <v>336</v>
      </c>
      <c r="H1221" s="4" t="s">
        <v>380</v>
      </c>
      <c r="I1221" s="4">
        <v>0.38500000000000001</v>
      </c>
      <c r="J1221" s="21">
        <v>340</v>
      </c>
      <c r="K1221" s="21">
        <v>130.9</v>
      </c>
      <c r="L1221" s="5">
        <v>0</v>
      </c>
      <c r="M1221" s="4">
        <v>0.38500000000000001</v>
      </c>
      <c r="N1221" s="4"/>
      <c r="O1221" s="5">
        <v>340</v>
      </c>
      <c r="P1221" s="5"/>
      <c r="Q1221" s="21">
        <v>0</v>
      </c>
      <c r="R1221" s="21">
        <v>0</v>
      </c>
      <c r="S1221" s="5">
        <f t="shared" si="79"/>
        <v>72453.483760152012</v>
      </c>
      <c r="T1221" cm="1">
        <f t="array" ref="T1221">IF(OR(B1221="MAL ALIMI", B1221="ÜRETİM GİRİŞ"), MIN(I1221, MAX(0, I1221 + SUM(SUMIFS($I$1:I1220, $C$1:C1220, C1221, $B$1:B1220, {"MAL ALIMI","ÜRETİM GİRİŞ"})) - VLOOKUP(C1221, 'STOK RAPORU'!$C$2:$I$1000, 4, 0))), 0)</f>
        <v>0</v>
      </c>
      <c r="U1221" s="22">
        <f t="shared" si="76"/>
        <v>0</v>
      </c>
      <c r="V1221">
        <f t="shared" si="77"/>
        <v>0</v>
      </c>
      <c r="W1221" s="22">
        <f t="shared" si="78"/>
        <v>0</v>
      </c>
    </row>
    <row r="1222" spans="1:23" hidden="1" x14ac:dyDescent="0.25">
      <c r="A1222" s="3">
        <v>45978</v>
      </c>
      <c r="B1222" s="4" t="s">
        <v>334</v>
      </c>
      <c r="C1222" s="4" t="s">
        <v>190</v>
      </c>
      <c r="D1222" s="4"/>
      <c r="E1222" s="4"/>
      <c r="F1222" s="4" t="s">
        <v>814</v>
      </c>
      <c r="G1222" s="4" t="s">
        <v>336</v>
      </c>
      <c r="H1222" s="4" t="s">
        <v>289</v>
      </c>
      <c r="I1222" s="4">
        <v>5.7000000000000002E-2</v>
      </c>
      <c r="J1222" s="21">
        <v>1770</v>
      </c>
      <c r="K1222" s="21">
        <v>0</v>
      </c>
      <c r="L1222" s="5">
        <v>0</v>
      </c>
      <c r="M1222" s="4">
        <v>5.7000000000000002E-2</v>
      </c>
      <c r="N1222" s="4"/>
      <c r="O1222" s="5">
        <v>1770</v>
      </c>
      <c r="P1222" s="5"/>
      <c r="Q1222" s="21">
        <v>100.89</v>
      </c>
      <c r="R1222" s="21">
        <v>0</v>
      </c>
      <c r="S1222" s="5">
        <f t="shared" si="79"/>
        <v>72554.373760152012</v>
      </c>
      <c r="T1222" cm="1">
        <f t="array" ref="T1222">IF(OR(B1222="MAL ALIMI", B1222="ÜRETİM GİRİŞ"), MIN(I1222, MAX(0, I1222 + SUM(SUMIFS($I$1:I1221, $C$1:C1221, C1222, $B$1:B1221, {"MAL ALIMI","ÜRETİM GİRİŞ"})) - VLOOKUP(C1222, 'STOK RAPORU'!$C$2:$I$1000, 4, 0))), 0)</f>
        <v>0</v>
      </c>
      <c r="U1222" s="22">
        <f t="shared" si="76"/>
        <v>0</v>
      </c>
      <c r="V1222">
        <f t="shared" si="77"/>
        <v>0</v>
      </c>
      <c r="W1222" s="22">
        <f t="shared" si="78"/>
        <v>0</v>
      </c>
    </row>
    <row r="1223" spans="1:23" hidden="1" x14ac:dyDescent="0.25">
      <c r="A1223" s="3">
        <v>45979</v>
      </c>
      <c r="B1223" s="4" t="s">
        <v>298</v>
      </c>
      <c r="C1223" s="4" t="s">
        <v>266</v>
      </c>
      <c r="D1223" s="4"/>
      <c r="E1223" s="4" t="s">
        <v>856</v>
      </c>
      <c r="F1223" s="4" t="s">
        <v>846</v>
      </c>
      <c r="G1223" s="4" t="s">
        <v>803</v>
      </c>
      <c r="H1223" s="4" t="s">
        <v>1329</v>
      </c>
      <c r="I1223" s="4">
        <v>0.44800000000000001</v>
      </c>
      <c r="J1223" s="21">
        <v>189.5</v>
      </c>
      <c r="K1223" s="21">
        <v>0</v>
      </c>
      <c r="L1223" s="5">
        <v>84.896000000000001</v>
      </c>
      <c r="M1223" s="4"/>
      <c r="N1223" s="4">
        <v>0.44800000000000001</v>
      </c>
      <c r="O1223" s="5"/>
      <c r="P1223" s="5">
        <v>189.5</v>
      </c>
      <c r="Q1223" s="21">
        <v>0</v>
      </c>
      <c r="R1223" s="21">
        <v>0</v>
      </c>
      <c r="S1223" s="5">
        <f t="shared" si="79"/>
        <v>72554.373760152012</v>
      </c>
      <c r="T1223" cm="1">
        <f t="array" ref="T1223">IF(OR(B1223="MAL ALIMI", B1223="ÜRETİM GİRİŞ"), MIN(I1223, MAX(0, I1223 + SUM(SUMIFS($I$1:I1222, $C$1:C1222, C1223, $B$1:B1222, {"MAL ALIMI","ÜRETİM GİRİŞ"})) - VLOOKUP(C1223, 'STOK RAPORU'!$C$2:$I$1000, 4, 0))), 0)</f>
        <v>0</v>
      </c>
      <c r="U1223" s="22">
        <f t="shared" si="76"/>
        <v>0</v>
      </c>
      <c r="V1223">
        <f t="shared" si="77"/>
        <v>84.896000000000001</v>
      </c>
      <c r="W1223" s="22">
        <f t="shared" si="78"/>
        <v>84.896000000000001</v>
      </c>
    </row>
    <row r="1224" spans="1:23" hidden="1" x14ac:dyDescent="0.25">
      <c r="A1224" s="3">
        <v>45979</v>
      </c>
      <c r="B1224" s="4" t="s">
        <v>334</v>
      </c>
      <c r="C1224" s="4" t="s">
        <v>213</v>
      </c>
      <c r="D1224" s="4"/>
      <c r="E1224" s="4"/>
      <c r="F1224" s="4" t="s">
        <v>838</v>
      </c>
      <c r="G1224" s="4" t="s">
        <v>336</v>
      </c>
      <c r="H1224" s="4" t="s">
        <v>289</v>
      </c>
      <c r="I1224" s="4">
        <v>0.1</v>
      </c>
      <c r="J1224" s="21">
        <v>1400</v>
      </c>
      <c r="K1224" s="21">
        <v>0</v>
      </c>
      <c r="L1224" s="5">
        <v>0</v>
      </c>
      <c r="M1224" s="4">
        <v>0.1</v>
      </c>
      <c r="N1224" s="4"/>
      <c r="O1224" s="5">
        <v>1400</v>
      </c>
      <c r="P1224" s="5"/>
      <c r="Q1224" s="21">
        <v>140</v>
      </c>
      <c r="R1224" s="21">
        <v>0</v>
      </c>
      <c r="S1224" s="5">
        <f t="shared" si="79"/>
        <v>72694.373760152012</v>
      </c>
      <c r="T1224" cm="1">
        <f t="array" ref="T1224">IF(OR(B1224="MAL ALIMI", B1224="ÜRETİM GİRİŞ"), MIN(I1224, MAX(0, I1224 + SUM(SUMIFS($I$1:I1223, $C$1:C1223, C1224, $B$1:B1223, {"MAL ALIMI","ÜRETİM GİRİŞ"})) - VLOOKUP(C1224, 'STOK RAPORU'!$C$2:$I$1000, 4, 0))), 0)</f>
        <v>0</v>
      </c>
      <c r="U1224" s="22">
        <f t="shared" si="76"/>
        <v>0</v>
      </c>
      <c r="V1224">
        <f t="shared" si="77"/>
        <v>0</v>
      </c>
      <c r="W1224" s="22">
        <f t="shared" si="78"/>
        <v>0</v>
      </c>
    </row>
    <row r="1225" spans="1:23" hidden="1" x14ac:dyDescent="0.25">
      <c r="A1225" s="3">
        <v>45979</v>
      </c>
      <c r="B1225" s="4" t="s">
        <v>334</v>
      </c>
      <c r="C1225" s="4" t="s">
        <v>818</v>
      </c>
      <c r="D1225" s="4"/>
      <c r="E1225" s="4"/>
      <c r="F1225" s="4" t="s">
        <v>839</v>
      </c>
      <c r="G1225" s="4" t="s">
        <v>336</v>
      </c>
      <c r="H1225" s="4" t="s">
        <v>289</v>
      </c>
      <c r="I1225" s="4">
        <v>1</v>
      </c>
      <c r="J1225" s="21">
        <v>110</v>
      </c>
      <c r="K1225" s="21">
        <v>0</v>
      </c>
      <c r="L1225" s="5">
        <v>0</v>
      </c>
      <c r="M1225" s="4">
        <v>1</v>
      </c>
      <c r="N1225" s="4"/>
      <c r="O1225" s="5">
        <v>110</v>
      </c>
      <c r="P1225" s="5"/>
      <c r="Q1225" s="21">
        <v>110</v>
      </c>
      <c r="R1225" s="21">
        <v>0</v>
      </c>
      <c r="S1225" s="5">
        <f t="shared" si="79"/>
        <v>72804.373760152012</v>
      </c>
      <c r="T1225" cm="1">
        <f t="array" ref="T1225">IF(OR(B1225="MAL ALIMI", B1225="ÜRETİM GİRİŞ"), MIN(I1225, MAX(0, I1225 + SUM(SUMIFS($I$1:I1224, $C$1:C1224, C1225, $B$1:B1224, {"MAL ALIMI","ÜRETİM GİRİŞ"})) - VLOOKUP(C1225, 'STOK RAPORU'!$C$2:$I$1000, 4, 0))), 0)</f>
        <v>0</v>
      </c>
      <c r="U1225" s="22">
        <f t="shared" si="76"/>
        <v>0</v>
      </c>
      <c r="V1225">
        <f t="shared" si="77"/>
        <v>0</v>
      </c>
      <c r="W1225" s="22">
        <f t="shared" si="78"/>
        <v>0</v>
      </c>
    </row>
    <row r="1226" spans="1:23" hidden="1" x14ac:dyDescent="0.25">
      <c r="A1226" s="3">
        <v>45979</v>
      </c>
      <c r="B1226" s="4" t="s">
        <v>334</v>
      </c>
      <c r="C1226" s="4" t="s">
        <v>648</v>
      </c>
      <c r="D1226" s="4"/>
      <c r="E1226" s="4"/>
      <c r="F1226" s="4" t="s">
        <v>841</v>
      </c>
      <c r="G1226" s="4" t="s">
        <v>336</v>
      </c>
      <c r="H1226" s="4" t="s">
        <v>289</v>
      </c>
      <c r="I1226" s="4">
        <v>0.155</v>
      </c>
      <c r="J1226" s="21">
        <v>650</v>
      </c>
      <c r="K1226" s="21">
        <v>0</v>
      </c>
      <c r="L1226" s="5">
        <v>0</v>
      </c>
      <c r="M1226" s="4">
        <v>0.155</v>
      </c>
      <c r="N1226" s="4"/>
      <c r="O1226" s="5">
        <v>650</v>
      </c>
      <c r="P1226" s="5"/>
      <c r="Q1226" s="21">
        <v>100.75</v>
      </c>
      <c r="R1226" s="21">
        <v>0</v>
      </c>
      <c r="S1226" s="5">
        <f t="shared" si="79"/>
        <v>72905.123760152012</v>
      </c>
      <c r="T1226" cm="1">
        <f t="array" ref="T1226">IF(OR(B1226="MAL ALIMI", B1226="ÜRETİM GİRİŞ"), MIN(I1226, MAX(0, I1226 + SUM(SUMIFS($I$1:I1225, $C$1:C1225, C1226, $B$1:B1225, {"MAL ALIMI","ÜRETİM GİRİŞ"})) - VLOOKUP(C1226, 'STOK RAPORU'!$C$2:$I$1000, 4, 0))), 0)</f>
        <v>0</v>
      </c>
      <c r="U1226" s="22">
        <f t="shared" si="76"/>
        <v>0</v>
      </c>
      <c r="V1226">
        <f t="shared" si="77"/>
        <v>0</v>
      </c>
      <c r="W1226" s="22">
        <f t="shared" si="78"/>
        <v>0</v>
      </c>
    </row>
    <row r="1227" spans="1:23" hidden="1" x14ac:dyDescent="0.25">
      <c r="A1227" s="3">
        <v>45979</v>
      </c>
      <c r="B1227" s="4" t="s">
        <v>334</v>
      </c>
      <c r="C1227" s="4" t="s">
        <v>131</v>
      </c>
      <c r="D1227" s="4"/>
      <c r="E1227" s="4"/>
      <c r="F1227" s="4" t="s">
        <v>847</v>
      </c>
      <c r="G1227" s="4" t="s">
        <v>336</v>
      </c>
      <c r="H1227" s="4" t="s">
        <v>289</v>
      </c>
      <c r="I1227" s="4">
        <v>0.1</v>
      </c>
      <c r="J1227" s="21">
        <v>400</v>
      </c>
      <c r="K1227" s="21">
        <v>0</v>
      </c>
      <c r="L1227" s="5">
        <v>0</v>
      </c>
      <c r="M1227" s="4">
        <v>0.1</v>
      </c>
      <c r="N1227" s="4"/>
      <c r="O1227" s="5">
        <v>400</v>
      </c>
      <c r="P1227" s="5"/>
      <c r="Q1227" s="21">
        <v>40</v>
      </c>
      <c r="R1227" s="21">
        <v>0</v>
      </c>
      <c r="S1227" s="5">
        <f t="shared" si="79"/>
        <v>72945.123760152012</v>
      </c>
      <c r="T1227" cm="1">
        <f t="array" ref="T1227">IF(OR(B1227="MAL ALIMI", B1227="ÜRETİM GİRİŞ"), MIN(I1227, MAX(0, I1227 + SUM(SUMIFS($I$1:I1226, $C$1:C1226, C1227, $B$1:B1226, {"MAL ALIMI","ÜRETİM GİRİŞ"})) - VLOOKUP(C1227, 'STOK RAPORU'!$C$2:$I$1000, 4, 0))), 0)</f>
        <v>0</v>
      </c>
      <c r="U1227" s="22">
        <f t="shared" si="76"/>
        <v>0</v>
      </c>
      <c r="V1227">
        <f t="shared" si="77"/>
        <v>0</v>
      </c>
      <c r="W1227" s="22">
        <f t="shared" si="78"/>
        <v>0</v>
      </c>
    </row>
    <row r="1228" spans="1:23" hidden="1" x14ac:dyDescent="0.25">
      <c r="A1228" s="3">
        <v>45979</v>
      </c>
      <c r="B1228" s="4" t="s">
        <v>334</v>
      </c>
      <c r="C1228" s="4" t="s">
        <v>157</v>
      </c>
      <c r="D1228" s="4"/>
      <c r="E1228" s="4"/>
      <c r="F1228" s="4" t="s">
        <v>847</v>
      </c>
      <c r="G1228" s="4" t="s">
        <v>336</v>
      </c>
      <c r="H1228" s="4" t="s">
        <v>289</v>
      </c>
      <c r="I1228" s="4">
        <v>0.35399999999999998</v>
      </c>
      <c r="J1228" s="21">
        <v>180</v>
      </c>
      <c r="K1228" s="21">
        <v>0</v>
      </c>
      <c r="L1228" s="5">
        <v>0</v>
      </c>
      <c r="M1228" s="4">
        <v>0.35399999999999998</v>
      </c>
      <c r="N1228" s="4"/>
      <c r="O1228" s="5">
        <v>180</v>
      </c>
      <c r="P1228" s="5"/>
      <c r="Q1228" s="21">
        <v>63.72</v>
      </c>
      <c r="R1228" s="21">
        <v>0</v>
      </c>
      <c r="S1228" s="5">
        <f t="shared" si="79"/>
        <v>73008.843760152013</v>
      </c>
      <c r="T1228" cm="1">
        <f t="array" ref="T1228">IF(OR(B1228="MAL ALIMI", B1228="ÜRETİM GİRİŞ"), MIN(I1228, MAX(0, I1228 + SUM(SUMIFS($I$1:I1227, $C$1:C1227, C1228, $B$1:B1227, {"MAL ALIMI","ÜRETİM GİRİŞ"})) - VLOOKUP(C1228, 'STOK RAPORU'!$C$2:$I$1000, 4, 0))), 0)</f>
        <v>0</v>
      </c>
      <c r="U1228" s="22">
        <f t="shared" si="76"/>
        <v>0</v>
      </c>
      <c r="V1228">
        <f t="shared" si="77"/>
        <v>0</v>
      </c>
      <c r="W1228" s="22">
        <f t="shared" si="78"/>
        <v>0</v>
      </c>
    </row>
    <row r="1229" spans="1:23" hidden="1" x14ac:dyDescent="0.25">
      <c r="A1229" s="3">
        <v>45979</v>
      </c>
      <c r="B1229" s="4" t="s">
        <v>334</v>
      </c>
      <c r="C1229" s="4" t="s">
        <v>158</v>
      </c>
      <c r="D1229" s="4"/>
      <c r="E1229" s="4"/>
      <c r="F1229" s="4" t="s">
        <v>847</v>
      </c>
      <c r="G1229" s="4" t="s">
        <v>336</v>
      </c>
      <c r="H1229" s="4" t="s">
        <v>289</v>
      </c>
      <c r="I1229" s="4">
        <v>0.5</v>
      </c>
      <c r="J1229" s="21">
        <v>130</v>
      </c>
      <c r="K1229" s="21">
        <v>0</v>
      </c>
      <c r="L1229" s="5">
        <v>0</v>
      </c>
      <c r="M1229" s="4">
        <v>0.5</v>
      </c>
      <c r="N1229" s="4"/>
      <c r="O1229" s="5">
        <v>130</v>
      </c>
      <c r="P1229" s="5"/>
      <c r="Q1229" s="21">
        <v>65</v>
      </c>
      <c r="R1229" s="21">
        <v>0</v>
      </c>
      <c r="S1229" s="5">
        <f t="shared" si="79"/>
        <v>73073.843760152013</v>
      </c>
      <c r="T1229" cm="1">
        <f t="array" ref="T1229">IF(OR(B1229="MAL ALIMI", B1229="ÜRETİM GİRİŞ"), MIN(I1229, MAX(0, I1229 + SUM(SUMIFS($I$1:I1228, $C$1:C1228, C1229, $B$1:B1228, {"MAL ALIMI","ÜRETİM GİRİŞ"})) - VLOOKUP(C1229, 'STOK RAPORU'!$C$2:$I$1000, 4, 0))), 0)</f>
        <v>0</v>
      </c>
      <c r="U1229" s="22">
        <f t="shared" si="76"/>
        <v>0</v>
      </c>
      <c r="V1229">
        <f t="shared" si="77"/>
        <v>0</v>
      </c>
      <c r="W1229" s="22">
        <f t="shared" si="78"/>
        <v>0</v>
      </c>
    </row>
    <row r="1230" spans="1:23" hidden="1" x14ac:dyDescent="0.25">
      <c r="A1230" s="3">
        <v>45979</v>
      </c>
      <c r="B1230" s="4" t="s">
        <v>334</v>
      </c>
      <c r="C1230" s="4" t="s">
        <v>126</v>
      </c>
      <c r="D1230" s="4"/>
      <c r="E1230" s="4"/>
      <c r="F1230" s="4" t="s">
        <v>847</v>
      </c>
      <c r="G1230" s="4" t="s">
        <v>336</v>
      </c>
      <c r="H1230" s="4" t="s">
        <v>289</v>
      </c>
      <c r="I1230" s="4">
        <v>7.1999999999999995E-2</v>
      </c>
      <c r="J1230" s="21">
        <v>640</v>
      </c>
      <c r="K1230" s="21">
        <v>0</v>
      </c>
      <c r="L1230" s="5">
        <v>0</v>
      </c>
      <c r="M1230" s="4">
        <v>7.1999999999999995E-2</v>
      </c>
      <c r="N1230" s="4"/>
      <c r="O1230" s="5">
        <v>640</v>
      </c>
      <c r="P1230" s="5"/>
      <c r="Q1230" s="21">
        <v>46.08</v>
      </c>
      <c r="R1230" s="21">
        <v>0</v>
      </c>
      <c r="S1230" s="5">
        <f t="shared" si="79"/>
        <v>73119.923760152014</v>
      </c>
      <c r="T1230" cm="1">
        <f t="array" ref="T1230">IF(OR(B1230="MAL ALIMI", B1230="ÜRETİM GİRİŞ"), MIN(I1230, MAX(0, I1230 + SUM(SUMIFS($I$1:I1229, $C$1:C1229, C1230, $B$1:B1229, {"MAL ALIMI","ÜRETİM GİRİŞ"})) - VLOOKUP(C1230, 'STOK RAPORU'!$C$2:$I$1000, 4, 0))), 0)</f>
        <v>0</v>
      </c>
      <c r="U1230" s="22">
        <f t="shared" si="76"/>
        <v>0</v>
      </c>
      <c r="V1230">
        <f t="shared" si="77"/>
        <v>0</v>
      </c>
      <c r="W1230" s="22">
        <f t="shared" si="78"/>
        <v>0</v>
      </c>
    </row>
    <row r="1231" spans="1:23" hidden="1" x14ac:dyDescent="0.25">
      <c r="A1231" s="3">
        <v>45979</v>
      </c>
      <c r="B1231" s="4" t="s">
        <v>334</v>
      </c>
      <c r="C1231" s="4" t="s">
        <v>129</v>
      </c>
      <c r="D1231" s="4"/>
      <c r="E1231" s="4"/>
      <c r="F1231" s="4" t="s">
        <v>847</v>
      </c>
      <c r="G1231" s="4" t="s">
        <v>336</v>
      </c>
      <c r="H1231" s="4" t="s">
        <v>289</v>
      </c>
      <c r="I1231" s="4">
        <v>7.0000000000000007E-2</v>
      </c>
      <c r="J1231" s="21">
        <v>390</v>
      </c>
      <c r="K1231" s="21">
        <v>0</v>
      </c>
      <c r="L1231" s="5">
        <v>0</v>
      </c>
      <c r="M1231" s="4">
        <v>7.0000000000000007E-2</v>
      </c>
      <c r="N1231" s="4"/>
      <c r="O1231" s="5">
        <v>390</v>
      </c>
      <c r="P1231" s="5"/>
      <c r="Q1231" s="21">
        <v>27.300000000000004</v>
      </c>
      <c r="R1231" s="21">
        <v>0</v>
      </c>
      <c r="S1231" s="5">
        <f t="shared" si="79"/>
        <v>73147.223760152017</v>
      </c>
      <c r="T1231" cm="1">
        <f t="array" ref="T1231">IF(OR(B1231="MAL ALIMI", B1231="ÜRETİM GİRİŞ"), MIN(I1231, MAX(0, I1231 + SUM(SUMIFS($I$1:I1230, $C$1:C1230, C1231, $B$1:B1230, {"MAL ALIMI","ÜRETİM GİRİŞ"})) - VLOOKUP(C1231, 'STOK RAPORU'!$C$2:$I$1000, 4, 0))), 0)</f>
        <v>0</v>
      </c>
      <c r="U1231" s="22">
        <f t="shared" si="76"/>
        <v>0</v>
      </c>
      <c r="V1231">
        <f t="shared" si="77"/>
        <v>0</v>
      </c>
      <c r="W1231" s="22">
        <f t="shared" si="78"/>
        <v>0</v>
      </c>
    </row>
    <row r="1232" spans="1:23" hidden="1" x14ac:dyDescent="0.25">
      <c r="A1232" s="3">
        <v>45979</v>
      </c>
      <c r="B1232" s="4" t="s">
        <v>334</v>
      </c>
      <c r="C1232" s="4" t="s">
        <v>241</v>
      </c>
      <c r="D1232" s="4"/>
      <c r="E1232" s="4"/>
      <c r="F1232" s="4" t="s">
        <v>847</v>
      </c>
      <c r="G1232" s="4" t="s">
        <v>336</v>
      </c>
      <c r="H1232" s="4" t="s">
        <v>289</v>
      </c>
      <c r="I1232" s="4">
        <v>0.57199999999999995</v>
      </c>
      <c r="J1232" s="21">
        <v>350</v>
      </c>
      <c r="K1232" s="21">
        <v>0</v>
      </c>
      <c r="L1232" s="5">
        <v>0</v>
      </c>
      <c r="M1232" s="4">
        <v>0.57199999999999995</v>
      </c>
      <c r="N1232" s="4"/>
      <c r="O1232" s="5">
        <v>350</v>
      </c>
      <c r="P1232" s="5"/>
      <c r="Q1232" s="21">
        <v>200.2</v>
      </c>
      <c r="R1232" s="21">
        <v>0</v>
      </c>
      <c r="S1232" s="5">
        <f t="shared" si="79"/>
        <v>73347.423760152014</v>
      </c>
      <c r="T1232" cm="1">
        <f t="array" ref="T1232">IF(OR(B1232="MAL ALIMI", B1232="ÜRETİM GİRİŞ"), MIN(I1232, MAX(0, I1232 + SUM(SUMIFS($I$1:I1231, $C$1:C1231, C1232, $B$1:B1231, {"MAL ALIMI","ÜRETİM GİRİŞ"})) - VLOOKUP(C1232, 'STOK RAPORU'!$C$2:$I$1000, 4, 0))), 0)</f>
        <v>0</v>
      </c>
      <c r="U1232" s="22">
        <f t="shared" si="76"/>
        <v>0</v>
      </c>
      <c r="V1232">
        <f t="shared" si="77"/>
        <v>0</v>
      </c>
      <c r="W1232" s="22">
        <f t="shared" si="78"/>
        <v>0</v>
      </c>
    </row>
    <row r="1233" spans="1:23" hidden="1" x14ac:dyDescent="0.25">
      <c r="A1233" s="3">
        <v>45979</v>
      </c>
      <c r="B1233" s="4" t="s">
        <v>334</v>
      </c>
      <c r="C1233" s="4" t="s">
        <v>750</v>
      </c>
      <c r="D1233" s="4"/>
      <c r="E1233" s="4"/>
      <c r="F1233" s="4" t="s">
        <v>847</v>
      </c>
      <c r="G1233" s="4" t="s">
        <v>336</v>
      </c>
      <c r="H1233" s="4" t="s">
        <v>289</v>
      </c>
      <c r="I1233" s="4">
        <v>1</v>
      </c>
      <c r="J1233" s="21">
        <v>220</v>
      </c>
      <c r="K1233" s="21">
        <v>0</v>
      </c>
      <c r="L1233" s="5">
        <v>0</v>
      </c>
      <c r="M1233" s="4">
        <v>1</v>
      </c>
      <c r="N1233" s="4"/>
      <c r="O1233" s="5">
        <v>220</v>
      </c>
      <c r="P1233" s="5"/>
      <c r="Q1233" s="21">
        <v>220</v>
      </c>
      <c r="R1233" s="21">
        <v>0</v>
      </c>
      <c r="S1233" s="5">
        <f t="shared" si="79"/>
        <v>73567.423760152014</v>
      </c>
      <c r="T1233" cm="1">
        <f t="array" ref="T1233">IF(OR(B1233="MAL ALIMI", B1233="ÜRETİM GİRİŞ"), MIN(I1233, MAX(0, I1233 + SUM(SUMIFS($I$1:I1232, $C$1:C1232, C1233, $B$1:B1232, {"MAL ALIMI","ÜRETİM GİRİŞ"})) - VLOOKUP(C1233, 'STOK RAPORU'!$C$2:$I$1000, 4, 0))), 0)</f>
        <v>0</v>
      </c>
      <c r="U1233" s="22">
        <f t="shared" si="76"/>
        <v>0</v>
      </c>
      <c r="V1233">
        <f t="shared" si="77"/>
        <v>0</v>
      </c>
      <c r="W1233" s="22">
        <f t="shared" si="78"/>
        <v>0</v>
      </c>
    </row>
    <row r="1234" spans="1:23" hidden="1" x14ac:dyDescent="0.25">
      <c r="A1234" s="3">
        <v>45979</v>
      </c>
      <c r="B1234" s="4" t="s">
        <v>334</v>
      </c>
      <c r="C1234" s="4" t="s">
        <v>241</v>
      </c>
      <c r="D1234" s="4"/>
      <c r="E1234" s="4" t="s">
        <v>921</v>
      </c>
      <c r="F1234" s="4" t="s">
        <v>848</v>
      </c>
      <c r="G1234" s="4" t="s">
        <v>336</v>
      </c>
      <c r="H1234" s="4" t="s">
        <v>380</v>
      </c>
      <c r="I1234" s="4">
        <v>0.61199999999999999</v>
      </c>
      <c r="J1234" s="21">
        <v>350</v>
      </c>
      <c r="K1234" s="21">
        <v>214.2</v>
      </c>
      <c r="L1234" s="5">
        <v>0</v>
      </c>
      <c r="M1234" s="4">
        <v>0.61199999999999999</v>
      </c>
      <c r="N1234" s="4"/>
      <c r="O1234" s="5">
        <v>350</v>
      </c>
      <c r="P1234" s="5"/>
      <c r="Q1234" s="21">
        <v>0</v>
      </c>
      <c r="R1234" s="21">
        <v>0</v>
      </c>
      <c r="S1234" s="5">
        <f t="shared" si="79"/>
        <v>73567.423760152014</v>
      </c>
      <c r="T1234" cm="1">
        <f t="array" ref="T1234">IF(OR(B1234="MAL ALIMI", B1234="ÜRETİM GİRİŞ"), MIN(I1234, MAX(0, I1234 + SUM(SUMIFS($I$1:I1233, $C$1:C1233, C1234, $B$1:B1233, {"MAL ALIMI","ÜRETİM GİRİŞ"})) - VLOOKUP(C1234, 'STOK RAPORU'!$C$2:$I$1000, 4, 0))), 0)</f>
        <v>0</v>
      </c>
      <c r="U1234" s="22">
        <f t="shared" si="76"/>
        <v>0</v>
      </c>
      <c r="V1234">
        <f t="shared" si="77"/>
        <v>0</v>
      </c>
      <c r="W1234" s="22">
        <f t="shared" si="78"/>
        <v>0</v>
      </c>
    </row>
    <row r="1235" spans="1:23" hidden="1" x14ac:dyDescent="0.25">
      <c r="A1235" s="3">
        <v>45979</v>
      </c>
      <c r="B1235" s="4" t="s">
        <v>334</v>
      </c>
      <c r="C1235" s="4" t="s">
        <v>129</v>
      </c>
      <c r="D1235" s="4"/>
      <c r="E1235" s="4" t="s">
        <v>921</v>
      </c>
      <c r="F1235" s="4" t="s">
        <v>848</v>
      </c>
      <c r="G1235" s="4" t="s">
        <v>336</v>
      </c>
      <c r="H1235" s="4" t="s">
        <v>380</v>
      </c>
      <c r="I1235" s="4">
        <v>0.11</v>
      </c>
      <c r="J1235" s="21">
        <v>390</v>
      </c>
      <c r="K1235" s="21">
        <v>42.9</v>
      </c>
      <c r="L1235" s="5">
        <v>0</v>
      </c>
      <c r="M1235" s="4">
        <v>0.11</v>
      </c>
      <c r="N1235" s="4"/>
      <c r="O1235" s="5">
        <v>390</v>
      </c>
      <c r="P1235" s="5"/>
      <c r="Q1235" s="21">
        <v>0</v>
      </c>
      <c r="R1235" s="21">
        <v>0</v>
      </c>
      <c r="S1235" s="5">
        <f t="shared" si="79"/>
        <v>73567.423760152014</v>
      </c>
      <c r="T1235" cm="1">
        <f t="array" ref="T1235">IF(OR(B1235="MAL ALIMI", B1235="ÜRETİM GİRİŞ"), MIN(I1235, MAX(0, I1235 + SUM(SUMIFS($I$1:I1234, $C$1:C1234, C1235, $B$1:B1234, {"MAL ALIMI","ÜRETİM GİRİŞ"})) - VLOOKUP(C1235, 'STOK RAPORU'!$C$2:$I$1000, 4, 0))), 0)</f>
        <v>0</v>
      </c>
      <c r="U1235" s="22">
        <f t="shared" si="76"/>
        <v>0</v>
      </c>
      <c r="V1235">
        <f t="shared" si="77"/>
        <v>0</v>
      </c>
      <c r="W1235" s="22">
        <f t="shared" si="78"/>
        <v>0</v>
      </c>
    </row>
    <row r="1236" spans="1:23" hidden="1" x14ac:dyDescent="0.25">
      <c r="A1236" s="3">
        <v>45979</v>
      </c>
      <c r="B1236" s="4" t="s">
        <v>334</v>
      </c>
      <c r="C1236" s="4" t="s">
        <v>92</v>
      </c>
      <c r="D1236" s="4"/>
      <c r="E1236" s="4" t="s">
        <v>921</v>
      </c>
      <c r="F1236" s="4" t="s">
        <v>848</v>
      </c>
      <c r="G1236" s="4" t="s">
        <v>336</v>
      </c>
      <c r="H1236" s="4" t="s">
        <v>380</v>
      </c>
      <c r="I1236" s="4">
        <v>0.21</v>
      </c>
      <c r="J1236" s="21">
        <v>500</v>
      </c>
      <c r="K1236" s="21">
        <v>105</v>
      </c>
      <c r="L1236" s="5">
        <v>0</v>
      </c>
      <c r="M1236" s="4">
        <v>0.21</v>
      </c>
      <c r="N1236" s="4"/>
      <c r="O1236" s="5">
        <v>500</v>
      </c>
      <c r="P1236" s="5"/>
      <c r="Q1236" s="21">
        <v>0</v>
      </c>
      <c r="R1236" s="21">
        <v>0</v>
      </c>
      <c r="S1236" s="5">
        <f t="shared" si="79"/>
        <v>73567.423760152014</v>
      </c>
      <c r="T1236" cm="1">
        <f t="array" ref="T1236">IF(OR(B1236="MAL ALIMI", B1236="ÜRETİM GİRİŞ"), MIN(I1236, MAX(0, I1236 + SUM(SUMIFS($I$1:I1235, $C$1:C1235, C1236, $B$1:B1235, {"MAL ALIMI","ÜRETİM GİRİŞ"})) - VLOOKUP(C1236, 'STOK RAPORU'!$C$2:$I$1000, 4, 0))), 0)</f>
        <v>0</v>
      </c>
      <c r="U1236" s="22">
        <f t="shared" si="76"/>
        <v>0</v>
      </c>
      <c r="V1236">
        <f t="shared" si="77"/>
        <v>0</v>
      </c>
      <c r="W1236" s="22">
        <f t="shared" si="78"/>
        <v>0</v>
      </c>
    </row>
    <row r="1237" spans="1:23" hidden="1" x14ac:dyDescent="0.25">
      <c r="A1237" s="3">
        <v>45979</v>
      </c>
      <c r="B1237" s="4" t="s">
        <v>334</v>
      </c>
      <c r="C1237" s="4" t="s">
        <v>126</v>
      </c>
      <c r="D1237" s="4"/>
      <c r="E1237" s="4" t="s">
        <v>921</v>
      </c>
      <c r="F1237" s="4" t="s">
        <v>848</v>
      </c>
      <c r="G1237" s="4" t="s">
        <v>336</v>
      </c>
      <c r="H1237" s="4" t="s">
        <v>380</v>
      </c>
      <c r="I1237" s="4">
        <v>0.09</v>
      </c>
      <c r="J1237" s="21">
        <v>640</v>
      </c>
      <c r="K1237" s="21">
        <v>57.599999999999994</v>
      </c>
      <c r="L1237" s="5">
        <v>0</v>
      </c>
      <c r="M1237" s="4">
        <v>0.09</v>
      </c>
      <c r="N1237" s="4"/>
      <c r="O1237" s="5">
        <v>640</v>
      </c>
      <c r="P1237" s="5"/>
      <c r="Q1237" s="21">
        <v>0</v>
      </c>
      <c r="R1237" s="21">
        <v>0</v>
      </c>
      <c r="S1237" s="5">
        <f t="shared" si="79"/>
        <v>73567.423760152014</v>
      </c>
      <c r="T1237" cm="1">
        <f t="array" ref="T1237">IF(OR(B1237="MAL ALIMI", B1237="ÜRETİM GİRİŞ"), MIN(I1237, MAX(0, I1237 + SUM(SUMIFS($I$1:I1236, $C$1:C1236, C1237, $B$1:B1236, {"MAL ALIMI","ÜRETİM GİRİŞ"})) - VLOOKUP(C1237, 'STOK RAPORU'!$C$2:$I$1000, 4, 0))), 0)</f>
        <v>0</v>
      </c>
      <c r="U1237" s="22">
        <f t="shared" si="76"/>
        <v>0</v>
      </c>
      <c r="V1237">
        <f t="shared" si="77"/>
        <v>0</v>
      </c>
      <c r="W1237" s="22">
        <f t="shared" si="78"/>
        <v>0</v>
      </c>
    </row>
    <row r="1238" spans="1:23" hidden="1" x14ac:dyDescent="0.25">
      <c r="A1238" s="3">
        <v>45979</v>
      </c>
      <c r="B1238" s="4" t="s">
        <v>334</v>
      </c>
      <c r="C1238" s="4" t="s">
        <v>690</v>
      </c>
      <c r="D1238" s="4"/>
      <c r="E1238" s="4" t="s">
        <v>921</v>
      </c>
      <c r="F1238" s="4" t="s">
        <v>848</v>
      </c>
      <c r="G1238" s="4" t="s">
        <v>336</v>
      </c>
      <c r="H1238" s="4" t="s">
        <v>380</v>
      </c>
      <c r="I1238" s="4">
        <v>0.42599999999999999</v>
      </c>
      <c r="J1238" s="21">
        <v>340</v>
      </c>
      <c r="K1238" s="21">
        <v>144.84</v>
      </c>
      <c r="L1238" s="5">
        <v>0</v>
      </c>
      <c r="M1238" s="4">
        <v>0.42599999999999999</v>
      </c>
      <c r="N1238" s="4"/>
      <c r="O1238" s="5">
        <v>340</v>
      </c>
      <c r="P1238" s="5"/>
      <c r="Q1238" s="21">
        <v>0</v>
      </c>
      <c r="R1238" s="21">
        <v>0</v>
      </c>
      <c r="S1238" s="5">
        <f t="shared" si="79"/>
        <v>73567.423760152014</v>
      </c>
      <c r="T1238" cm="1">
        <f t="array" ref="T1238">IF(OR(B1238="MAL ALIMI", B1238="ÜRETİM GİRİŞ"), MIN(I1238, MAX(0, I1238 + SUM(SUMIFS($I$1:I1237, $C$1:C1237, C1238, $B$1:B1237, {"MAL ALIMI","ÜRETİM GİRİŞ"})) - VLOOKUP(C1238, 'STOK RAPORU'!$C$2:$I$1000, 4, 0))), 0)</f>
        <v>0</v>
      </c>
      <c r="U1238" s="22">
        <f t="shared" si="76"/>
        <v>0</v>
      </c>
      <c r="V1238">
        <f t="shared" si="77"/>
        <v>0</v>
      </c>
      <c r="W1238" s="22">
        <f t="shared" si="78"/>
        <v>0</v>
      </c>
    </row>
    <row r="1239" spans="1:23" hidden="1" x14ac:dyDescent="0.25">
      <c r="A1239" s="3">
        <v>45979</v>
      </c>
      <c r="B1239" s="4" t="s">
        <v>334</v>
      </c>
      <c r="C1239" s="4" t="s">
        <v>243</v>
      </c>
      <c r="D1239" s="4"/>
      <c r="E1239" s="4" t="s">
        <v>921</v>
      </c>
      <c r="F1239" s="4" t="s">
        <v>848</v>
      </c>
      <c r="G1239" s="4" t="s">
        <v>336</v>
      </c>
      <c r="H1239" s="4" t="s">
        <v>380</v>
      </c>
      <c r="I1239" s="4">
        <v>1</v>
      </c>
      <c r="J1239" s="21">
        <v>180</v>
      </c>
      <c r="K1239" s="21">
        <v>180</v>
      </c>
      <c r="L1239" s="5">
        <v>0</v>
      </c>
      <c r="M1239" s="4">
        <v>1</v>
      </c>
      <c r="N1239" s="4"/>
      <c r="O1239" s="5">
        <v>180</v>
      </c>
      <c r="P1239" s="5"/>
      <c r="Q1239" s="21">
        <v>0</v>
      </c>
      <c r="R1239" s="21">
        <v>0</v>
      </c>
      <c r="S1239" s="5">
        <f t="shared" si="79"/>
        <v>73567.423760152014</v>
      </c>
      <c r="T1239" cm="1">
        <f t="array" ref="T1239">IF(OR(B1239="MAL ALIMI", B1239="ÜRETİM GİRİŞ"), MIN(I1239, MAX(0, I1239 + SUM(SUMIFS($I$1:I1238, $C$1:C1238, C1239, $B$1:B1238, {"MAL ALIMI","ÜRETİM GİRİŞ"})) - VLOOKUP(C1239, 'STOK RAPORU'!$C$2:$I$1000, 4, 0))), 0)</f>
        <v>0</v>
      </c>
      <c r="U1239" s="22">
        <f t="shared" si="76"/>
        <v>0</v>
      </c>
      <c r="V1239">
        <f t="shared" si="77"/>
        <v>0</v>
      </c>
      <c r="W1239" s="22">
        <f t="shared" si="78"/>
        <v>0</v>
      </c>
    </row>
    <row r="1240" spans="1:23" hidden="1" x14ac:dyDescent="0.25">
      <c r="A1240" s="3">
        <v>45979</v>
      </c>
      <c r="B1240" s="4" t="s">
        <v>334</v>
      </c>
      <c r="C1240" s="4" t="s">
        <v>234</v>
      </c>
      <c r="D1240" s="4"/>
      <c r="E1240" s="4" t="s">
        <v>921</v>
      </c>
      <c r="F1240" s="4" t="s">
        <v>848</v>
      </c>
      <c r="G1240" s="4" t="s">
        <v>336</v>
      </c>
      <c r="H1240" s="4" t="s">
        <v>380</v>
      </c>
      <c r="I1240" s="4">
        <v>1</v>
      </c>
      <c r="J1240" s="21">
        <v>180</v>
      </c>
      <c r="K1240" s="21">
        <v>180</v>
      </c>
      <c r="L1240" s="5">
        <v>0</v>
      </c>
      <c r="M1240" s="4">
        <v>1</v>
      </c>
      <c r="N1240" s="4"/>
      <c r="O1240" s="5">
        <v>180</v>
      </c>
      <c r="P1240" s="5"/>
      <c r="Q1240" s="21">
        <v>0</v>
      </c>
      <c r="R1240" s="21">
        <v>0</v>
      </c>
      <c r="S1240" s="5">
        <f t="shared" si="79"/>
        <v>73567.423760152014</v>
      </c>
      <c r="T1240" cm="1">
        <f t="array" ref="T1240">IF(OR(B1240="MAL ALIMI", B1240="ÜRETİM GİRİŞ"), MIN(I1240, MAX(0, I1240 + SUM(SUMIFS($I$1:I1239, $C$1:C1239, C1240, $B$1:B1239, {"MAL ALIMI","ÜRETİM GİRİŞ"})) - VLOOKUP(C1240, 'STOK RAPORU'!$C$2:$I$1000, 4, 0))), 0)</f>
        <v>0</v>
      </c>
      <c r="U1240" s="22">
        <f t="shared" si="76"/>
        <v>0</v>
      </c>
      <c r="V1240">
        <f t="shared" si="77"/>
        <v>0</v>
      </c>
      <c r="W1240" s="22">
        <f t="shared" si="78"/>
        <v>0</v>
      </c>
    </row>
    <row r="1241" spans="1:23" hidden="1" x14ac:dyDescent="0.25">
      <c r="A1241" s="3">
        <v>45979</v>
      </c>
      <c r="B1241" s="4" t="s">
        <v>334</v>
      </c>
      <c r="C1241" s="4" t="s">
        <v>233</v>
      </c>
      <c r="D1241" s="4"/>
      <c r="E1241" s="4" t="s">
        <v>921</v>
      </c>
      <c r="F1241" s="4" t="s">
        <v>848</v>
      </c>
      <c r="G1241" s="4" t="s">
        <v>336</v>
      </c>
      <c r="H1241" s="4" t="s">
        <v>380</v>
      </c>
      <c r="I1241" s="4">
        <v>1</v>
      </c>
      <c r="J1241" s="21">
        <v>190</v>
      </c>
      <c r="K1241" s="21">
        <v>190</v>
      </c>
      <c r="L1241" s="5">
        <v>0</v>
      </c>
      <c r="M1241" s="4">
        <v>1</v>
      </c>
      <c r="N1241" s="4"/>
      <c r="O1241" s="5">
        <v>190</v>
      </c>
      <c r="P1241" s="5"/>
      <c r="Q1241" s="21">
        <v>0</v>
      </c>
      <c r="R1241" s="21">
        <v>0</v>
      </c>
      <c r="S1241" s="5">
        <f t="shared" si="79"/>
        <v>73567.423760152014</v>
      </c>
      <c r="T1241" cm="1">
        <f t="array" ref="T1241">IF(OR(B1241="MAL ALIMI", B1241="ÜRETİM GİRİŞ"), MIN(I1241, MAX(0, I1241 + SUM(SUMIFS($I$1:I1240, $C$1:C1240, C1241, $B$1:B1240, {"MAL ALIMI","ÜRETİM GİRİŞ"})) - VLOOKUP(C1241, 'STOK RAPORU'!$C$2:$I$1000, 4, 0))), 0)</f>
        <v>0</v>
      </c>
      <c r="U1241" s="22">
        <f t="shared" si="76"/>
        <v>0</v>
      </c>
      <c r="V1241">
        <f t="shared" si="77"/>
        <v>0</v>
      </c>
      <c r="W1241" s="22">
        <f t="shared" si="78"/>
        <v>0</v>
      </c>
    </row>
    <row r="1242" spans="1:23" hidden="1" x14ac:dyDescent="0.25">
      <c r="A1242" s="3">
        <v>45979</v>
      </c>
      <c r="B1242" s="4" t="s">
        <v>334</v>
      </c>
      <c r="C1242" s="4" t="s">
        <v>718</v>
      </c>
      <c r="D1242" s="4"/>
      <c r="E1242" s="4" t="s">
        <v>921</v>
      </c>
      <c r="F1242" s="4" t="s">
        <v>848</v>
      </c>
      <c r="G1242" s="4" t="s">
        <v>336</v>
      </c>
      <c r="H1242" s="4" t="s">
        <v>380</v>
      </c>
      <c r="I1242" s="4">
        <v>1</v>
      </c>
      <c r="J1242" s="21">
        <v>95</v>
      </c>
      <c r="K1242" s="21">
        <v>95</v>
      </c>
      <c r="L1242" s="5">
        <v>0</v>
      </c>
      <c r="M1242" s="4">
        <v>1</v>
      </c>
      <c r="N1242" s="4"/>
      <c r="O1242" s="5">
        <v>95</v>
      </c>
      <c r="P1242" s="5"/>
      <c r="Q1242" s="21">
        <v>0</v>
      </c>
      <c r="R1242" s="21">
        <v>0</v>
      </c>
      <c r="S1242" s="5">
        <f t="shared" si="79"/>
        <v>73567.423760152014</v>
      </c>
      <c r="T1242" cm="1">
        <f t="array" ref="T1242">IF(OR(B1242="MAL ALIMI", B1242="ÜRETİM GİRİŞ"), MIN(I1242, MAX(0, I1242 + SUM(SUMIFS($I$1:I1241, $C$1:C1241, C1242, $B$1:B1241, {"MAL ALIMI","ÜRETİM GİRİŞ"})) - VLOOKUP(C1242, 'STOK RAPORU'!$C$2:$I$1000, 4, 0))), 0)</f>
        <v>0</v>
      </c>
      <c r="U1242" s="22">
        <f t="shared" si="76"/>
        <v>0</v>
      </c>
      <c r="V1242">
        <f t="shared" si="77"/>
        <v>0</v>
      </c>
      <c r="W1242" s="22">
        <f t="shared" si="78"/>
        <v>0</v>
      </c>
    </row>
    <row r="1243" spans="1:23" hidden="1" x14ac:dyDescent="0.25">
      <c r="A1243" s="3">
        <v>45979</v>
      </c>
      <c r="B1243" s="4" t="s">
        <v>334</v>
      </c>
      <c r="C1243" s="4" t="s">
        <v>502</v>
      </c>
      <c r="D1243" s="4"/>
      <c r="E1243" s="4" t="s">
        <v>921</v>
      </c>
      <c r="F1243" s="4" t="s">
        <v>848</v>
      </c>
      <c r="G1243" s="4" t="s">
        <v>336</v>
      </c>
      <c r="H1243" s="4" t="s">
        <v>380</v>
      </c>
      <c r="I1243" s="4">
        <v>1</v>
      </c>
      <c r="J1243" s="21">
        <v>195</v>
      </c>
      <c r="K1243" s="21">
        <v>195</v>
      </c>
      <c r="L1243" s="5">
        <v>0</v>
      </c>
      <c r="M1243" s="4">
        <v>1</v>
      </c>
      <c r="N1243" s="4"/>
      <c r="O1243" s="5">
        <v>195</v>
      </c>
      <c r="P1243" s="5"/>
      <c r="Q1243" s="21">
        <v>0</v>
      </c>
      <c r="R1243" s="21">
        <v>0</v>
      </c>
      <c r="S1243" s="5">
        <f t="shared" si="79"/>
        <v>73567.423760152014</v>
      </c>
      <c r="T1243" cm="1">
        <f t="array" ref="T1243">IF(OR(B1243="MAL ALIMI", B1243="ÜRETİM GİRİŞ"), MIN(I1243, MAX(0, I1243 + SUM(SUMIFS($I$1:I1242, $C$1:C1242, C1243, $B$1:B1242, {"MAL ALIMI","ÜRETİM GİRİŞ"})) - VLOOKUP(C1243, 'STOK RAPORU'!$C$2:$I$1000, 4, 0))), 0)</f>
        <v>0</v>
      </c>
      <c r="U1243" s="22">
        <f t="shared" si="76"/>
        <v>0</v>
      </c>
      <c r="V1243">
        <f t="shared" si="77"/>
        <v>0</v>
      </c>
      <c r="W1243" s="22">
        <f t="shared" si="78"/>
        <v>0</v>
      </c>
    </row>
    <row r="1244" spans="1:23" hidden="1" x14ac:dyDescent="0.25">
      <c r="A1244" s="3">
        <v>45979</v>
      </c>
      <c r="B1244" s="4" t="s">
        <v>334</v>
      </c>
      <c r="C1244" s="4" t="s">
        <v>768</v>
      </c>
      <c r="D1244" s="4"/>
      <c r="E1244" s="4" t="s">
        <v>921</v>
      </c>
      <c r="F1244" s="4" t="s">
        <v>848</v>
      </c>
      <c r="G1244" s="4" t="s">
        <v>336</v>
      </c>
      <c r="H1244" s="4" t="s">
        <v>380</v>
      </c>
      <c r="I1244" s="4">
        <v>1</v>
      </c>
      <c r="J1244" s="21">
        <v>220</v>
      </c>
      <c r="K1244" s="21">
        <v>220</v>
      </c>
      <c r="L1244" s="5">
        <v>0</v>
      </c>
      <c r="M1244" s="4">
        <v>1</v>
      </c>
      <c r="N1244" s="4"/>
      <c r="O1244" s="5">
        <v>220</v>
      </c>
      <c r="P1244" s="5"/>
      <c r="Q1244" s="21">
        <v>0</v>
      </c>
      <c r="R1244" s="21">
        <v>0</v>
      </c>
      <c r="S1244" s="5">
        <f t="shared" si="79"/>
        <v>73567.423760152014</v>
      </c>
      <c r="T1244" cm="1">
        <f t="array" ref="T1244">IF(OR(B1244="MAL ALIMI", B1244="ÜRETİM GİRİŞ"), MIN(I1244, MAX(0, I1244 + SUM(SUMIFS($I$1:I1243, $C$1:C1243, C1244, $B$1:B1243, {"MAL ALIMI","ÜRETİM GİRİŞ"})) - VLOOKUP(C1244, 'STOK RAPORU'!$C$2:$I$1000, 4, 0))), 0)</f>
        <v>0</v>
      </c>
      <c r="U1244" s="22">
        <f t="shared" si="76"/>
        <v>0</v>
      </c>
      <c r="V1244">
        <f t="shared" si="77"/>
        <v>0</v>
      </c>
      <c r="W1244" s="22">
        <f t="shared" si="78"/>
        <v>0</v>
      </c>
    </row>
    <row r="1245" spans="1:23" hidden="1" x14ac:dyDescent="0.25">
      <c r="A1245" s="3">
        <v>45979</v>
      </c>
      <c r="B1245" s="4" t="s">
        <v>334</v>
      </c>
      <c r="C1245" s="4" t="s">
        <v>766</v>
      </c>
      <c r="D1245" s="4"/>
      <c r="E1245" s="4" t="s">
        <v>921</v>
      </c>
      <c r="F1245" s="4" t="s">
        <v>848</v>
      </c>
      <c r="G1245" s="4" t="s">
        <v>336</v>
      </c>
      <c r="H1245" s="4" t="s">
        <v>380</v>
      </c>
      <c r="I1245" s="4">
        <v>1</v>
      </c>
      <c r="J1245" s="21">
        <v>220</v>
      </c>
      <c r="K1245" s="21">
        <v>220</v>
      </c>
      <c r="L1245" s="5">
        <v>0</v>
      </c>
      <c r="M1245" s="4">
        <v>1</v>
      </c>
      <c r="N1245" s="4"/>
      <c r="O1245" s="5">
        <v>220</v>
      </c>
      <c r="P1245" s="5"/>
      <c r="Q1245" s="21">
        <v>0</v>
      </c>
      <c r="R1245" s="21">
        <v>0</v>
      </c>
      <c r="S1245" s="5">
        <f t="shared" si="79"/>
        <v>73567.423760152014</v>
      </c>
      <c r="T1245" cm="1">
        <f t="array" ref="T1245">IF(OR(B1245="MAL ALIMI", B1245="ÜRETİM GİRİŞ"), MIN(I1245, MAX(0, I1245 + SUM(SUMIFS($I$1:I1244, $C$1:C1244, C1245, $B$1:B1244, {"MAL ALIMI","ÜRETİM GİRİŞ"})) - VLOOKUP(C1245, 'STOK RAPORU'!$C$2:$I$1000, 4, 0))), 0)</f>
        <v>0</v>
      </c>
      <c r="U1245" s="22">
        <f t="shared" si="76"/>
        <v>0</v>
      </c>
      <c r="V1245">
        <f t="shared" si="77"/>
        <v>0</v>
      </c>
      <c r="W1245" s="22">
        <f t="shared" si="78"/>
        <v>0</v>
      </c>
    </row>
    <row r="1246" spans="1:23" hidden="1" x14ac:dyDescent="0.25">
      <c r="A1246" s="3">
        <v>45979</v>
      </c>
      <c r="B1246" s="4" t="s">
        <v>334</v>
      </c>
      <c r="C1246" s="4" t="s">
        <v>133</v>
      </c>
      <c r="D1246" s="4"/>
      <c r="E1246" s="4"/>
      <c r="F1246" s="4" t="s">
        <v>849</v>
      </c>
      <c r="G1246" s="4" t="s">
        <v>336</v>
      </c>
      <c r="H1246" s="4" t="s">
        <v>289</v>
      </c>
      <c r="I1246" s="4">
        <v>0.26500000000000001</v>
      </c>
      <c r="J1246" s="21">
        <v>380</v>
      </c>
      <c r="K1246" s="21">
        <v>0</v>
      </c>
      <c r="L1246" s="5">
        <v>0</v>
      </c>
      <c r="M1246" s="4">
        <v>0.26500000000000001</v>
      </c>
      <c r="N1246" s="4"/>
      <c r="O1246" s="5">
        <v>380</v>
      </c>
      <c r="P1246" s="5"/>
      <c r="Q1246" s="21">
        <v>100.7</v>
      </c>
      <c r="R1246" s="21">
        <v>0</v>
      </c>
      <c r="S1246" s="5">
        <f t="shared" si="79"/>
        <v>73668.123760152012</v>
      </c>
      <c r="T1246" cm="1">
        <f t="array" ref="T1246">IF(OR(B1246="MAL ALIMI", B1246="ÜRETİM GİRİŞ"), MIN(I1246, MAX(0, I1246 + SUM(SUMIFS($I$1:I1245, $C$1:C1245, C1246, $B$1:B1245, {"MAL ALIMI","ÜRETİM GİRİŞ"})) - VLOOKUP(C1246, 'STOK RAPORU'!$C$2:$I$1000, 4, 0))), 0)</f>
        <v>0</v>
      </c>
      <c r="U1246" s="22">
        <f t="shared" si="76"/>
        <v>0</v>
      </c>
      <c r="V1246">
        <f t="shared" si="77"/>
        <v>0</v>
      </c>
      <c r="W1246" s="22">
        <f t="shared" si="78"/>
        <v>0</v>
      </c>
    </row>
    <row r="1247" spans="1:23" hidden="1" x14ac:dyDescent="0.25">
      <c r="A1247" s="3">
        <v>45979</v>
      </c>
      <c r="B1247" s="4" t="s">
        <v>334</v>
      </c>
      <c r="C1247" s="4" t="s">
        <v>459</v>
      </c>
      <c r="D1247" s="4"/>
      <c r="E1247" s="4"/>
      <c r="F1247" s="4" t="s">
        <v>852</v>
      </c>
      <c r="G1247" s="4" t="s">
        <v>336</v>
      </c>
      <c r="H1247" s="4" t="s">
        <v>289</v>
      </c>
      <c r="I1247" s="4">
        <v>0.1</v>
      </c>
      <c r="J1247" s="21">
        <v>200</v>
      </c>
      <c r="K1247" s="21">
        <v>0</v>
      </c>
      <c r="L1247" s="5">
        <v>0</v>
      </c>
      <c r="M1247" s="4">
        <v>1</v>
      </c>
      <c r="N1247" s="4"/>
      <c r="O1247" s="5">
        <v>20</v>
      </c>
      <c r="P1247" s="5"/>
      <c r="Q1247" s="21">
        <v>20</v>
      </c>
      <c r="R1247" s="21">
        <v>0</v>
      </c>
      <c r="S1247" s="5">
        <f t="shared" si="79"/>
        <v>73688.123760152012</v>
      </c>
      <c r="T1247" cm="1">
        <f t="array" ref="T1247">IF(OR(B1247="MAL ALIMI", B1247="ÜRETİM GİRİŞ"), MIN(I1247, MAX(0, I1247 + SUM(SUMIFS($I$1:I1246, $C$1:C1246, C1247, $B$1:B1246, {"MAL ALIMI","ÜRETİM GİRİŞ"})) - VLOOKUP(C1247, 'STOK RAPORU'!$C$2:$I$1000, 4, 0))), 0)</f>
        <v>0</v>
      </c>
      <c r="U1247" s="22">
        <f t="shared" si="76"/>
        <v>0</v>
      </c>
      <c r="V1247">
        <f t="shared" si="77"/>
        <v>0</v>
      </c>
      <c r="W1247" s="22">
        <f t="shared" si="78"/>
        <v>0</v>
      </c>
    </row>
    <row r="1248" spans="1:23" hidden="1" x14ac:dyDescent="0.25">
      <c r="A1248" s="3">
        <v>45979</v>
      </c>
      <c r="B1248" s="4" t="s">
        <v>334</v>
      </c>
      <c r="C1248" s="4" t="s">
        <v>530</v>
      </c>
      <c r="D1248" s="4"/>
      <c r="E1248" s="4"/>
      <c r="F1248" s="4" t="s">
        <v>852</v>
      </c>
      <c r="G1248" s="4" t="s">
        <v>336</v>
      </c>
      <c r="H1248" s="4" t="s">
        <v>289</v>
      </c>
      <c r="I1248" s="4">
        <v>0.5</v>
      </c>
      <c r="J1248" s="21">
        <v>260</v>
      </c>
      <c r="K1248" s="21">
        <v>0</v>
      </c>
      <c r="L1248" s="5">
        <v>0</v>
      </c>
      <c r="M1248" s="4">
        <v>1</v>
      </c>
      <c r="N1248" s="4"/>
      <c r="O1248" s="5">
        <v>130</v>
      </c>
      <c r="P1248" s="5"/>
      <c r="Q1248" s="21">
        <v>130</v>
      </c>
      <c r="R1248" s="21">
        <v>0</v>
      </c>
      <c r="S1248" s="5">
        <f t="shared" si="79"/>
        <v>73818.123760152012</v>
      </c>
      <c r="T1248" cm="1">
        <f t="array" ref="T1248">IF(OR(B1248="MAL ALIMI", B1248="ÜRETİM GİRİŞ"), MIN(I1248, MAX(0, I1248 + SUM(SUMIFS($I$1:I1247, $C$1:C1247, C1248, $B$1:B1247, {"MAL ALIMI","ÜRETİM GİRİŞ"})) - VLOOKUP(C1248, 'STOK RAPORU'!$C$2:$I$1000, 4, 0))), 0)</f>
        <v>0</v>
      </c>
      <c r="U1248" s="22">
        <f t="shared" si="76"/>
        <v>0</v>
      </c>
      <c r="V1248">
        <f t="shared" si="77"/>
        <v>0</v>
      </c>
      <c r="W1248" s="22">
        <f t="shared" si="78"/>
        <v>0</v>
      </c>
    </row>
    <row r="1249" spans="1:23" hidden="1" x14ac:dyDescent="0.25">
      <c r="A1249" s="3">
        <v>45979</v>
      </c>
      <c r="B1249" s="4" t="s">
        <v>334</v>
      </c>
      <c r="C1249" s="4" t="s">
        <v>190</v>
      </c>
      <c r="D1249" s="4"/>
      <c r="E1249" s="4"/>
      <c r="F1249" s="4" t="s">
        <v>853</v>
      </c>
      <c r="G1249" s="4" t="s">
        <v>336</v>
      </c>
      <c r="H1249" s="4" t="s">
        <v>289</v>
      </c>
      <c r="I1249" s="4">
        <v>0.104</v>
      </c>
      <c r="J1249" s="21">
        <v>1770</v>
      </c>
      <c r="K1249" s="21">
        <v>0</v>
      </c>
      <c r="L1249" s="5">
        <v>0</v>
      </c>
      <c r="M1249" s="4">
        <v>0.104</v>
      </c>
      <c r="N1249" s="4"/>
      <c r="O1249" s="5">
        <v>1770</v>
      </c>
      <c r="P1249" s="5"/>
      <c r="Q1249" s="21">
        <v>184.07999999999998</v>
      </c>
      <c r="R1249" s="21">
        <v>0</v>
      </c>
      <c r="S1249" s="5">
        <f t="shared" si="79"/>
        <v>74002.203760152013</v>
      </c>
      <c r="T1249" cm="1">
        <f t="array" ref="T1249">IF(OR(B1249="MAL ALIMI", B1249="ÜRETİM GİRİŞ"), MIN(I1249, MAX(0, I1249 + SUM(SUMIFS($I$1:I1248, $C$1:C1248, C1249, $B$1:B1248, {"MAL ALIMI","ÜRETİM GİRİŞ"})) - VLOOKUP(C1249, 'STOK RAPORU'!$C$2:$I$1000, 4, 0))), 0)</f>
        <v>0</v>
      </c>
      <c r="U1249" s="22">
        <f t="shared" si="76"/>
        <v>0</v>
      </c>
      <c r="V1249">
        <f t="shared" si="77"/>
        <v>0</v>
      </c>
      <c r="W1249" s="22">
        <f t="shared" si="78"/>
        <v>0</v>
      </c>
    </row>
    <row r="1250" spans="1:23" hidden="1" x14ac:dyDescent="0.25">
      <c r="A1250" s="3">
        <v>45979</v>
      </c>
      <c r="B1250" s="4" t="s">
        <v>334</v>
      </c>
      <c r="C1250" s="4" t="s">
        <v>195</v>
      </c>
      <c r="D1250" s="4"/>
      <c r="E1250" s="4"/>
      <c r="F1250" s="4" t="s">
        <v>853</v>
      </c>
      <c r="G1250" s="4" t="s">
        <v>336</v>
      </c>
      <c r="H1250" s="4" t="s">
        <v>289</v>
      </c>
      <c r="I1250" s="4">
        <v>0.06</v>
      </c>
      <c r="J1250" s="21">
        <v>1000</v>
      </c>
      <c r="K1250" s="21">
        <v>0</v>
      </c>
      <c r="L1250" s="5">
        <v>0</v>
      </c>
      <c r="M1250" s="4">
        <v>0.06</v>
      </c>
      <c r="N1250" s="4"/>
      <c r="O1250" s="5">
        <v>1000</v>
      </c>
      <c r="P1250" s="5"/>
      <c r="Q1250" s="21">
        <v>60</v>
      </c>
      <c r="R1250" s="21">
        <v>0</v>
      </c>
      <c r="S1250" s="5">
        <f t="shared" si="79"/>
        <v>74062.203760152013</v>
      </c>
      <c r="T1250" cm="1">
        <f t="array" ref="T1250">IF(OR(B1250="MAL ALIMI", B1250="ÜRETİM GİRİŞ"), MIN(I1250, MAX(0, I1250 + SUM(SUMIFS($I$1:I1249, $C$1:C1249, C1250, $B$1:B1249, {"MAL ALIMI","ÜRETİM GİRİŞ"})) - VLOOKUP(C1250, 'STOK RAPORU'!$C$2:$I$1000, 4, 0))), 0)</f>
        <v>0</v>
      </c>
      <c r="U1250" s="22">
        <f t="shared" si="76"/>
        <v>0</v>
      </c>
      <c r="V1250">
        <f t="shared" si="77"/>
        <v>0</v>
      </c>
      <c r="W1250" s="22">
        <f t="shared" si="78"/>
        <v>0</v>
      </c>
    </row>
    <row r="1251" spans="1:23" hidden="1" x14ac:dyDescent="0.25">
      <c r="A1251" s="3">
        <v>45979</v>
      </c>
      <c r="B1251" s="4" t="s">
        <v>334</v>
      </c>
      <c r="C1251" s="4" t="s">
        <v>189</v>
      </c>
      <c r="D1251" s="4"/>
      <c r="E1251" s="4"/>
      <c r="F1251" s="4" t="s">
        <v>853</v>
      </c>
      <c r="G1251" s="4" t="s">
        <v>336</v>
      </c>
      <c r="H1251" s="4" t="s">
        <v>289</v>
      </c>
      <c r="I1251" s="4">
        <v>7.1999999999999995E-2</v>
      </c>
      <c r="J1251" s="21">
        <v>735</v>
      </c>
      <c r="K1251" s="21">
        <v>0</v>
      </c>
      <c r="L1251" s="5">
        <v>0</v>
      </c>
      <c r="M1251" s="4">
        <v>7.1999999999999995E-2</v>
      </c>
      <c r="N1251" s="4"/>
      <c r="O1251" s="5">
        <v>735</v>
      </c>
      <c r="P1251" s="5"/>
      <c r="Q1251" s="21">
        <v>52.919999999999995</v>
      </c>
      <c r="R1251" s="21">
        <v>0</v>
      </c>
      <c r="S1251" s="5">
        <f t="shared" si="79"/>
        <v>74115.123760152012</v>
      </c>
      <c r="T1251" cm="1">
        <f t="array" ref="T1251">IF(OR(B1251="MAL ALIMI", B1251="ÜRETİM GİRİŞ"), MIN(I1251, MAX(0, I1251 + SUM(SUMIFS($I$1:I1250, $C$1:C1250, C1251, $B$1:B1250, {"MAL ALIMI","ÜRETİM GİRİŞ"})) - VLOOKUP(C1251, 'STOK RAPORU'!$C$2:$I$1000, 4, 0))), 0)</f>
        <v>0</v>
      </c>
      <c r="U1251" s="22">
        <f t="shared" si="76"/>
        <v>0</v>
      </c>
      <c r="V1251">
        <f t="shared" si="77"/>
        <v>0</v>
      </c>
      <c r="W1251" s="22">
        <f t="shared" si="78"/>
        <v>0</v>
      </c>
    </row>
    <row r="1252" spans="1:23" hidden="1" x14ac:dyDescent="0.25">
      <c r="A1252" s="3">
        <v>45979</v>
      </c>
      <c r="B1252" s="4" t="s">
        <v>334</v>
      </c>
      <c r="C1252" s="4" t="s">
        <v>251</v>
      </c>
      <c r="D1252" s="4"/>
      <c r="E1252" s="4"/>
      <c r="F1252" s="4" t="s">
        <v>853</v>
      </c>
      <c r="G1252" s="4" t="s">
        <v>336</v>
      </c>
      <c r="H1252" s="4" t="s">
        <v>289</v>
      </c>
      <c r="I1252" s="4">
        <v>0.36599999999999999</v>
      </c>
      <c r="J1252" s="21">
        <v>670</v>
      </c>
      <c r="K1252" s="21">
        <v>0</v>
      </c>
      <c r="L1252" s="5">
        <v>0</v>
      </c>
      <c r="M1252" s="4">
        <v>0.36599999999999999</v>
      </c>
      <c r="N1252" s="4"/>
      <c r="O1252" s="5">
        <v>670</v>
      </c>
      <c r="P1252" s="5"/>
      <c r="Q1252" s="21">
        <v>245.22</v>
      </c>
      <c r="R1252" s="21">
        <v>0</v>
      </c>
      <c r="S1252" s="5">
        <f t="shared" si="79"/>
        <v>74360.343760152013</v>
      </c>
      <c r="T1252" cm="1">
        <f t="array" ref="T1252">IF(OR(B1252="MAL ALIMI", B1252="ÜRETİM GİRİŞ"), MIN(I1252, MAX(0, I1252 + SUM(SUMIFS($I$1:I1251, $C$1:C1251, C1252, $B$1:B1251, {"MAL ALIMI","ÜRETİM GİRİŞ"})) - VLOOKUP(C1252, 'STOK RAPORU'!$C$2:$I$1000, 4, 0))), 0)</f>
        <v>0</v>
      </c>
      <c r="U1252" s="22">
        <f t="shared" si="76"/>
        <v>0</v>
      </c>
      <c r="V1252">
        <f t="shared" si="77"/>
        <v>0</v>
      </c>
      <c r="W1252" s="22">
        <f t="shared" si="78"/>
        <v>0</v>
      </c>
    </row>
    <row r="1253" spans="1:23" hidden="1" x14ac:dyDescent="0.25">
      <c r="A1253" s="3">
        <v>45979</v>
      </c>
      <c r="B1253" s="4" t="s">
        <v>334</v>
      </c>
      <c r="C1253" s="4" t="s">
        <v>60</v>
      </c>
      <c r="D1253" s="4"/>
      <c r="E1253" s="4"/>
      <c r="F1253" s="4" t="s">
        <v>853</v>
      </c>
      <c r="G1253" s="4" t="s">
        <v>336</v>
      </c>
      <c r="H1253" s="4" t="s">
        <v>289</v>
      </c>
      <c r="I1253" s="4">
        <v>5.4550000000000001E-2</v>
      </c>
      <c r="J1253" s="21">
        <v>1100</v>
      </c>
      <c r="K1253" s="21">
        <v>0</v>
      </c>
      <c r="L1253" s="5">
        <v>0</v>
      </c>
      <c r="M1253" s="4">
        <v>1</v>
      </c>
      <c r="N1253" s="4"/>
      <c r="O1253" s="5">
        <v>60</v>
      </c>
      <c r="P1253" s="5"/>
      <c r="Q1253" s="21">
        <v>60.005000000000003</v>
      </c>
      <c r="R1253" s="21">
        <v>0</v>
      </c>
      <c r="S1253" s="5">
        <f t="shared" si="79"/>
        <v>74420.348760152017</v>
      </c>
      <c r="T1253" cm="1">
        <f t="array" ref="T1253">IF(OR(B1253="MAL ALIMI", B1253="ÜRETİM GİRİŞ"), MIN(I1253, MAX(0, I1253 + SUM(SUMIFS($I$1:I1252, $C$1:C1252, C1253, $B$1:B1252, {"MAL ALIMI","ÜRETİM GİRİŞ"})) - VLOOKUP(C1253, 'STOK RAPORU'!$C$2:$I$1000, 4, 0))), 0)</f>
        <v>0</v>
      </c>
      <c r="U1253" s="22">
        <f t="shared" si="76"/>
        <v>0</v>
      </c>
      <c r="V1253">
        <f t="shared" si="77"/>
        <v>0</v>
      </c>
      <c r="W1253" s="22">
        <f t="shared" si="78"/>
        <v>0</v>
      </c>
    </row>
    <row r="1254" spans="1:23" hidden="1" x14ac:dyDescent="0.25">
      <c r="A1254" s="3">
        <v>45979</v>
      </c>
      <c r="B1254" s="4" t="s">
        <v>334</v>
      </c>
      <c r="C1254" s="4" t="s">
        <v>822</v>
      </c>
      <c r="D1254" s="4"/>
      <c r="E1254" s="4"/>
      <c r="F1254" s="4" t="s">
        <v>853</v>
      </c>
      <c r="G1254" s="4" t="s">
        <v>336</v>
      </c>
      <c r="H1254" s="4" t="s">
        <v>289</v>
      </c>
      <c r="I1254" s="4">
        <v>1</v>
      </c>
      <c r="J1254" s="21">
        <v>170</v>
      </c>
      <c r="K1254" s="21">
        <v>0</v>
      </c>
      <c r="L1254" s="5">
        <v>0</v>
      </c>
      <c r="M1254" s="4">
        <v>1</v>
      </c>
      <c r="N1254" s="4"/>
      <c r="O1254" s="5">
        <v>170</v>
      </c>
      <c r="P1254" s="5"/>
      <c r="Q1254" s="21">
        <v>170</v>
      </c>
      <c r="R1254" s="21">
        <v>0</v>
      </c>
      <c r="S1254" s="5">
        <f t="shared" si="79"/>
        <v>74590.348760152017</v>
      </c>
      <c r="T1254" cm="1">
        <f t="array" ref="T1254">IF(OR(B1254="MAL ALIMI", B1254="ÜRETİM GİRİŞ"), MIN(I1254, MAX(0, I1254 + SUM(SUMIFS($I$1:I1253, $C$1:C1253, C1254, $B$1:B1253, {"MAL ALIMI","ÜRETİM GİRİŞ"})) - VLOOKUP(C1254, 'STOK RAPORU'!$C$2:$I$1000, 4, 0))), 0)</f>
        <v>0</v>
      </c>
      <c r="U1254" s="22">
        <f t="shared" si="76"/>
        <v>0</v>
      </c>
      <c r="V1254">
        <f t="shared" si="77"/>
        <v>0</v>
      </c>
      <c r="W1254" s="22">
        <f t="shared" si="78"/>
        <v>0</v>
      </c>
    </row>
    <row r="1255" spans="1:23" hidden="1" x14ac:dyDescent="0.25">
      <c r="A1255" s="3">
        <v>45979</v>
      </c>
      <c r="B1255" s="4" t="s">
        <v>917</v>
      </c>
      <c r="C1255" s="4"/>
      <c r="D1255" s="4"/>
      <c r="E1255" s="4" t="s">
        <v>836</v>
      </c>
      <c r="F1255" s="4"/>
      <c r="G1255" s="4" t="s">
        <v>919</v>
      </c>
      <c r="H1255" s="4" t="s">
        <v>289</v>
      </c>
      <c r="I1255" s="4">
        <v>1</v>
      </c>
      <c r="J1255" s="21">
        <v>0</v>
      </c>
      <c r="K1255" s="21">
        <v>15000</v>
      </c>
      <c r="L1255" s="5">
        <v>0</v>
      </c>
      <c r="M1255" s="4"/>
      <c r="N1255" s="4"/>
      <c r="O1255" s="5"/>
      <c r="P1255" s="5"/>
      <c r="Q1255" s="21">
        <v>0</v>
      </c>
      <c r="R1255" s="21">
        <v>15000</v>
      </c>
      <c r="S1255" s="5">
        <f t="shared" si="79"/>
        <v>59590.348760152017</v>
      </c>
      <c r="T1255" cm="1">
        <f t="array" ref="T1255">IF(OR(B1255="MAL ALIMI", B1255="ÜRETİM GİRİŞ"), MIN(I1255, MAX(0, I1255 + SUM(SUMIFS($I$1:I1254, $C$1:C1254, C1255, $B$1:B1254, {"MAL ALIMI","ÜRETİM GİRİŞ"})) - VLOOKUP(C1255, 'STOK RAPORU'!$C$2:$I$1000, 4, 0))), 0)</f>
        <v>0</v>
      </c>
      <c r="U1255" s="22">
        <f t="shared" si="76"/>
        <v>0</v>
      </c>
      <c r="V1255">
        <f t="shared" si="77"/>
        <v>0</v>
      </c>
      <c r="W1255" s="22">
        <f t="shared" si="78"/>
        <v>0</v>
      </c>
    </row>
    <row r="1256" spans="1:23" hidden="1" x14ac:dyDescent="0.25">
      <c r="A1256" s="3">
        <v>45979</v>
      </c>
      <c r="B1256" s="4" t="s">
        <v>917</v>
      </c>
      <c r="C1256" s="4"/>
      <c r="D1256" s="4"/>
      <c r="E1256" s="4" t="s">
        <v>350</v>
      </c>
      <c r="F1256" s="4"/>
      <c r="G1256" s="4" t="s">
        <v>918</v>
      </c>
      <c r="H1256" s="4" t="s">
        <v>289</v>
      </c>
      <c r="I1256" s="4">
        <v>1</v>
      </c>
      <c r="J1256" s="21">
        <v>0</v>
      </c>
      <c r="K1256" s="21">
        <v>8000</v>
      </c>
      <c r="L1256" s="5">
        <v>0</v>
      </c>
      <c r="M1256" s="4"/>
      <c r="N1256" s="4"/>
      <c r="O1256" s="5"/>
      <c r="P1256" s="5"/>
      <c r="Q1256" s="21">
        <v>0</v>
      </c>
      <c r="R1256" s="21">
        <v>8000</v>
      </c>
      <c r="S1256" s="5">
        <f t="shared" si="79"/>
        <v>51590.348760152017</v>
      </c>
      <c r="T1256" cm="1">
        <f t="array" ref="T1256">IF(OR(B1256="MAL ALIMI", B1256="ÜRETİM GİRİŞ"), MIN(I1256, MAX(0, I1256 + SUM(SUMIFS($I$1:I1255, $C$1:C1255, C1256, $B$1:B1255, {"MAL ALIMI","ÜRETİM GİRİŞ"})) - VLOOKUP(C1256, 'STOK RAPORU'!$C$2:$I$1000, 4, 0))), 0)</f>
        <v>0</v>
      </c>
      <c r="U1256" s="22">
        <f t="shared" si="76"/>
        <v>0</v>
      </c>
      <c r="V1256">
        <f t="shared" si="77"/>
        <v>0</v>
      </c>
      <c r="W1256" s="22">
        <f t="shared" si="78"/>
        <v>0</v>
      </c>
    </row>
    <row r="1257" spans="1:23" hidden="1" x14ac:dyDescent="0.25">
      <c r="A1257" s="3">
        <v>45979</v>
      </c>
      <c r="B1257" s="4" t="s">
        <v>285</v>
      </c>
      <c r="C1257" s="4"/>
      <c r="D1257" s="4" t="s">
        <v>113</v>
      </c>
      <c r="E1257" s="4"/>
      <c r="F1257" s="4"/>
      <c r="G1257" s="4" t="s">
        <v>1741</v>
      </c>
      <c r="H1257" s="4" t="s">
        <v>289</v>
      </c>
      <c r="I1257" s="4">
        <v>1</v>
      </c>
      <c r="J1257" s="21">
        <v>1500</v>
      </c>
      <c r="K1257" s="21">
        <v>0</v>
      </c>
      <c r="L1257" s="5">
        <v>0</v>
      </c>
      <c r="M1257" s="4"/>
      <c r="N1257" s="4"/>
      <c r="O1257" s="5"/>
      <c r="P1257" s="5"/>
      <c r="Q1257" s="21">
        <v>0</v>
      </c>
      <c r="R1257" s="21">
        <v>1500</v>
      </c>
      <c r="S1257" s="5">
        <f t="shared" si="79"/>
        <v>50090.348760152017</v>
      </c>
      <c r="T1257" cm="1">
        <f t="array" ref="T1257">IF(OR(B1257="MAL ALIMI", B1257="ÜRETİM GİRİŞ"), MIN(I1257, MAX(0, I1257 + SUM(SUMIFS($I$1:I1256, $C$1:C1256, C1257, $B$1:B1256, {"MAL ALIMI","ÜRETİM GİRİŞ"})) - VLOOKUP(C1257, 'STOK RAPORU'!$C$2:$I$1000, 4, 0))), 0)</f>
        <v>0</v>
      </c>
      <c r="U1257" s="22">
        <f t="shared" si="76"/>
        <v>0</v>
      </c>
      <c r="V1257">
        <f t="shared" si="77"/>
        <v>0</v>
      </c>
      <c r="W1257" s="22">
        <f t="shared" si="78"/>
        <v>0</v>
      </c>
    </row>
    <row r="1258" spans="1:23" hidden="1" x14ac:dyDescent="0.25">
      <c r="A1258" s="3">
        <v>45980</v>
      </c>
      <c r="B1258" s="4" t="s">
        <v>298</v>
      </c>
      <c r="C1258" s="4" t="s">
        <v>911</v>
      </c>
      <c r="D1258" s="4"/>
      <c r="E1258" s="4" t="s">
        <v>856</v>
      </c>
      <c r="F1258" s="4" t="s">
        <v>912</v>
      </c>
      <c r="G1258" s="4" t="s">
        <v>753</v>
      </c>
      <c r="H1258" s="4" t="s">
        <v>1329</v>
      </c>
      <c r="I1258" s="4">
        <v>8</v>
      </c>
      <c r="J1258" s="21">
        <v>72.3</v>
      </c>
      <c r="K1258" s="21">
        <v>0</v>
      </c>
      <c r="L1258" s="5">
        <v>578.4</v>
      </c>
      <c r="M1258" s="4"/>
      <c r="N1258" s="4">
        <v>8</v>
      </c>
      <c r="O1258" s="5"/>
      <c r="P1258" s="5">
        <v>72.3</v>
      </c>
      <c r="Q1258" s="21">
        <v>0</v>
      </c>
      <c r="R1258" s="21">
        <v>0</v>
      </c>
      <c r="S1258" s="5">
        <f t="shared" si="79"/>
        <v>50090.348760152017</v>
      </c>
      <c r="T1258" cm="1">
        <f t="array" ref="T1258">IF(OR(B1258="MAL ALIMI", B1258="ÜRETİM GİRİŞ"), MIN(I1258, MAX(0, I1258 + SUM(SUMIFS($I$1:I1257, $C$1:C1257, C1258, $B$1:B1257, {"MAL ALIMI","ÜRETİM GİRİŞ"})) - VLOOKUP(C1258, 'STOK RAPORU'!$C$2:$I$1000, 4, 0))), 0)</f>
        <v>0</v>
      </c>
      <c r="U1258" s="22">
        <f t="shared" si="76"/>
        <v>0</v>
      </c>
      <c r="V1258">
        <f t="shared" si="77"/>
        <v>578.4</v>
      </c>
      <c r="W1258" s="22">
        <f t="shared" si="78"/>
        <v>578.4</v>
      </c>
    </row>
    <row r="1259" spans="1:23" hidden="1" x14ac:dyDescent="0.25">
      <c r="A1259" s="3">
        <v>45980</v>
      </c>
      <c r="B1259" s="4" t="s">
        <v>334</v>
      </c>
      <c r="C1259" s="4" t="s">
        <v>592</v>
      </c>
      <c r="D1259" s="4"/>
      <c r="E1259" s="4"/>
      <c r="F1259" s="4" t="s">
        <v>857</v>
      </c>
      <c r="G1259" s="4" t="s">
        <v>336</v>
      </c>
      <c r="H1259" s="4" t="s">
        <v>289</v>
      </c>
      <c r="I1259" s="4">
        <v>2</v>
      </c>
      <c r="J1259" s="21">
        <v>35</v>
      </c>
      <c r="K1259" s="21">
        <v>0</v>
      </c>
      <c r="L1259" s="5">
        <v>0</v>
      </c>
      <c r="M1259" s="4">
        <v>2</v>
      </c>
      <c r="N1259" s="4"/>
      <c r="O1259" s="5">
        <v>35</v>
      </c>
      <c r="P1259" s="5"/>
      <c r="Q1259" s="21">
        <v>70</v>
      </c>
      <c r="R1259" s="21">
        <v>0</v>
      </c>
      <c r="S1259" s="5">
        <f t="shared" si="79"/>
        <v>50160.348760152017</v>
      </c>
      <c r="T1259" cm="1">
        <f t="array" ref="T1259">IF(OR(B1259="MAL ALIMI", B1259="ÜRETİM GİRİŞ"), MIN(I1259, MAX(0, I1259 + SUM(SUMIFS($I$1:I1258, $C$1:C1258, C1259, $B$1:B1258, {"MAL ALIMI","ÜRETİM GİRİŞ"})) - VLOOKUP(C1259, 'STOK RAPORU'!$C$2:$I$1000, 4, 0))), 0)</f>
        <v>0</v>
      </c>
      <c r="U1259" s="22">
        <f t="shared" si="76"/>
        <v>0</v>
      </c>
      <c r="V1259">
        <f t="shared" si="77"/>
        <v>0</v>
      </c>
      <c r="W1259" s="22">
        <f t="shared" si="78"/>
        <v>0</v>
      </c>
    </row>
    <row r="1260" spans="1:23" hidden="1" x14ac:dyDescent="0.25">
      <c r="A1260" s="3">
        <v>45980</v>
      </c>
      <c r="B1260" s="4" t="s">
        <v>334</v>
      </c>
      <c r="C1260" s="4" t="s">
        <v>695</v>
      </c>
      <c r="D1260" s="4"/>
      <c r="E1260" s="4"/>
      <c r="F1260" s="4" t="s">
        <v>858</v>
      </c>
      <c r="G1260" s="4" t="s">
        <v>336</v>
      </c>
      <c r="H1260" s="4" t="s">
        <v>289</v>
      </c>
      <c r="I1260" s="4">
        <v>1</v>
      </c>
      <c r="J1260" s="21">
        <v>100</v>
      </c>
      <c r="K1260" s="21">
        <v>0</v>
      </c>
      <c r="L1260" s="5">
        <v>0</v>
      </c>
      <c r="M1260" s="4">
        <v>1</v>
      </c>
      <c r="N1260" s="4"/>
      <c r="O1260" s="5">
        <v>100</v>
      </c>
      <c r="P1260" s="5"/>
      <c r="Q1260" s="21">
        <v>100</v>
      </c>
      <c r="R1260" s="21">
        <v>0</v>
      </c>
      <c r="S1260" s="5">
        <f t="shared" si="79"/>
        <v>50260.348760152017</v>
      </c>
      <c r="T1260" cm="1">
        <f t="array" ref="T1260">IF(OR(B1260="MAL ALIMI", B1260="ÜRETİM GİRİŞ"), MIN(I1260, MAX(0, I1260 + SUM(SUMIFS($I$1:I1259, $C$1:C1259, C1260, $B$1:B1259, {"MAL ALIMI","ÜRETİM GİRİŞ"})) - VLOOKUP(C1260, 'STOK RAPORU'!$C$2:$I$1000, 4, 0))), 0)</f>
        <v>0</v>
      </c>
      <c r="U1260" s="22">
        <f t="shared" si="76"/>
        <v>0</v>
      </c>
      <c r="V1260">
        <f t="shared" si="77"/>
        <v>0</v>
      </c>
      <c r="W1260" s="22">
        <f t="shared" si="78"/>
        <v>0</v>
      </c>
    </row>
    <row r="1261" spans="1:23" hidden="1" x14ac:dyDescent="0.25">
      <c r="A1261" s="3">
        <v>45980</v>
      </c>
      <c r="B1261" s="4" t="s">
        <v>334</v>
      </c>
      <c r="C1261" s="4" t="s">
        <v>211</v>
      </c>
      <c r="D1261" s="4"/>
      <c r="E1261" s="4"/>
      <c r="F1261" s="4" t="s">
        <v>858</v>
      </c>
      <c r="G1261" s="4" t="s">
        <v>336</v>
      </c>
      <c r="H1261" s="4" t="s">
        <v>289</v>
      </c>
      <c r="I1261" s="4">
        <v>0.33500000000000002</v>
      </c>
      <c r="J1261" s="21">
        <v>300</v>
      </c>
      <c r="K1261" s="21">
        <v>0</v>
      </c>
      <c r="L1261" s="5">
        <v>0</v>
      </c>
      <c r="M1261" s="4">
        <v>0.33500000000000002</v>
      </c>
      <c r="N1261" s="4"/>
      <c r="O1261" s="5">
        <v>300</v>
      </c>
      <c r="P1261" s="5"/>
      <c r="Q1261" s="21">
        <v>100.5</v>
      </c>
      <c r="R1261" s="21">
        <v>0</v>
      </c>
      <c r="S1261" s="5">
        <f t="shared" si="79"/>
        <v>50360.848760152017</v>
      </c>
      <c r="T1261" cm="1">
        <f t="array" ref="T1261">IF(OR(B1261="MAL ALIMI", B1261="ÜRETİM GİRİŞ"), MIN(I1261, MAX(0, I1261 + SUM(SUMIFS($I$1:I1260, $C$1:C1260, C1261, $B$1:B1260, {"MAL ALIMI","ÜRETİM GİRİŞ"})) - VLOOKUP(C1261, 'STOK RAPORU'!$C$2:$I$1000, 4, 0))), 0)</f>
        <v>0</v>
      </c>
      <c r="U1261" s="22">
        <f t="shared" si="76"/>
        <v>0</v>
      </c>
      <c r="V1261">
        <f t="shared" si="77"/>
        <v>0</v>
      </c>
      <c r="W1261" s="22">
        <f t="shared" si="78"/>
        <v>0</v>
      </c>
    </row>
    <row r="1262" spans="1:23" hidden="1" x14ac:dyDescent="0.25">
      <c r="A1262" s="3">
        <v>45980</v>
      </c>
      <c r="B1262" s="4" t="s">
        <v>334</v>
      </c>
      <c r="C1262" s="4" t="s">
        <v>134</v>
      </c>
      <c r="D1262" s="4"/>
      <c r="E1262" s="4"/>
      <c r="F1262" s="4" t="s">
        <v>858</v>
      </c>
      <c r="G1262" s="4" t="s">
        <v>336</v>
      </c>
      <c r="H1262" s="4" t="s">
        <v>289</v>
      </c>
      <c r="I1262" s="4">
        <v>0.2</v>
      </c>
      <c r="J1262" s="21">
        <v>600</v>
      </c>
      <c r="K1262" s="21">
        <v>0</v>
      </c>
      <c r="L1262" s="5">
        <v>0</v>
      </c>
      <c r="M1262" s="4">
        <v>2</v>
      </c>
      <c r="N1262" s="4"/>
      <c r="O1262" s="5">
        <v>60</v>
      </c>
      <c r="P1262" s="5"/>
      <c r="Q1262" s="21">
        <v>120</v>
      </c>
      <c r="R1262" s="21">
        <v>0</v>
      </c>
      <c r="S1262" s="5">
        <f t="shared" si="79"/>
        <v>50480.848760152017</v>
      </c>
      <c r="T1262" cm="1">
        <f t="array" ref="T1262">IF(OR(B1262="MAL ALIMI", B1262="ÜRETİM GİRİŞ"), MIN(I1262, MAX(0, I1262 + SUM(SUMIFS($I$1:I1261, $C$1:C1261, C1262, $B$1:B1261, {"MAL ALIMI","ÜRETİM GİRİŞ"})) - VLOOKUP(C1262, 'STOK RAPORU'!$C$2:$I$1000, 4, 0))), 0)</f>
        <v>0</v>
      </c>
      <c r="U1262" s="22">
        <f t="shared" si="76"/>
        <v>0</v>
      </c>
      <c r="V1262">
        <f t="shared" si="77"/>
        <v>0</v>
      </c>
      <c r="W1262" s="22">
        <f t="shared" si="78"/>
        <v>0</v>
      </c>
    </row>
    <row r="1263" spans="1:23" hidden="1" x14ac:dyDescent="0.25">
      <c r="A1263" s="3">
        <v>45980</v>
      </c>
      <c r="B1263" s="4" t="s">
        <v>334</v>
      </c>
      <c r="C1263" s="4" t="s">
        <v>156</v>
      </c>
      <c r="D1263" s="4"/>
      <c r="E1263" s="4"/>
      <c r="F1263" s="4" t="s">
        <v>859</v>
      </c>
      <c r="G1263" s="4" t="s">
        <v>336</v>
      </c>
      <c r="H1263" s="4" t="s">
        <v>289</v>
      </c>
      <c r="I1263" s="4">
        <v>0.86199999999999999</v>
      </c>
      <c r="J1263" s="21">
        <v>180</v>
      </c>
      <c r="K1263" s="21">
        <v>0</v>
      </c>
      <c r="L1263" s="5">
        <v>0</v>
      </c>
      <c r="M1263" s="4">
        <v>0.86199999999999999</v>
      </c>
      <c r="N1263" s="4"/>
      <c r="O1263" s="5">
        <v>180</v>
      </c>
      <c r="P1263" s="5"/>
      <c r="Q1263" s="21">
        <v>155.16</v>
      </c>
      <c r="R1263" s="21">
        <v>0</v>
      </c>
      <c r="S1263" s="5">
        <f t="shared" si="79"/>
        <v>50636.008760152021</v>
      </c>
      <c r="T1263" cm="1">
        <f t="array" ref="T1263">IF(OR(B1263="MAL ALIMI", B1263="ÜRETİM GİRİŞ"), MIN(I1263, MAX(0, I1263 + SUM(SUMIFS($I$1:I1262, $C$1:C1262, C1263, $B$1:B1262, {"MAL ALIMI","ÜRETİM GİRİŞ"})) - VLOOKUP(C1263, 'STOK RAPORU'!$C$2:$I$1000, 4, 0))), 0)</f>
        <v>0</v>
      </c>
      <c r="U1263" s="22">
        <f t="shared" si="76"/>
        <v>0</v>
      </c>
      <c r="V1263">
        <f t="shared" si="77"/>
        <v>0</v>
      </c>
      <c r="W1263" s="22">
        <f t="shared" si="78"/>
        <v>0</v>
      </c>
    </row>
    <row r="1264" spans="1:23" hidden="1" x14ac:dyDescent="0.25">
      <c r="A1264" s="3">
        <v>45980</v>
      </c>
      <c r="B1264" s="4" t="s">
        <v>334</v>
      </c>
      <c r="C1264" s="4" t="s">
        <v>158</v>
      </c>
      <c r="D1264" s="4"/>
      <c r="E1264" s="4"/>
      <c r="F1264" s="4" t="s">
        <v>859</v>
      </c>
      <c r="G1264" s="4" t="s">
        <v>336</v>
      </c>
      <c r="H1264" s="4" t="s">
        <v>289</v>
      </c>
      <c r="I1264" s="4">
        <v>0.89</v>
      </c>
      <c r="J1264" s="21">
        <v>130</v>
      </c>
      <c r="K1264" s="21">
        <v>0</v>
      </c>
      <c r="L1264" s="5">
        <v>0</v>
      </c>
      <c r="M1264" s="4">
        <v>0.89</v>
      </c>
      <c r="N1264" s="4"/>
      <c r="O1264" s="5">
        <v>130</v>
      </c>
      <c r="P1264" s="5"/>
      <c r="Q1264" s="21">
        <v>115.7</v>
      </c>
      <c r="R1264" s="21">
        <v>0</v>
      </c>
      <c r="S1264" s="5">
        <f t="shared" si="79"/>
        <v>50751.708760152018</v>
      </c>
      <c r="T1264" cm="1">
        <f t="array" ref="T1264">IF(OR(B1264="MAL ALIMI", B1264="ÜRETİM GİRİŞ"), MIN(I1264, MAX(0, I1264 + SUM(SUMIFS($I$1:I1263, $C$1:C1263, C1264, $B$1:B1263, {"MAL ALIMI","ÜRETİM GİRİŞ"})) - VLOOKUP(C1264, 'STOK RAPORU'!$C$2:$I$1000, 4, 0))), 0)</f>
        <v>0</v>
      </c>
      <c r="U1264" s="22">
        <f t="shared" si="76"/>
        <v>0</v>
      </c>
      <c r="V1264">
        <f t="shared" si="77"/>
        <v>0</v>
      </c>
      <c r="W1264" s="22">
        <f t="shared" si="78"/>
        <v>0</v>
      </c>
    </row>
    <row r="1265" spans="1:23" hidden="1" x14ac:dyDescent="0.25">
      <c r="A1265" s="3">
        <v>45980</v>
      </c>
      <c r="B1265" s="4" t="s">
        <v>334</v>
      </c>
      <c r="C1265" s="4" t="s">
        <v>156</v>
      </c>
      <c r="D1265" s="4"/>
      <c r="E1265" s="4" t="s">
        <v>921</v>
      </c>
      <c r="F1265" s="4" t="s">
        <v>860</v>
      </c>
      <c r="G1265" s="4" t="s">
        <v>336</v>
      </c>
      <c r="H1265" s="4" t="s">
        <v>380</v>
      </c>
      <c r="I1265" s="4">
        <v>0.55600000000000005</v>
      </c>
      <c r="J1265" s="21">
        <v>180</v>
      </c>
      <c r="K1265" s="21">
        <v>100.08000000000001</v>
      </c>
      <c r="L1265" s="5">
        <v>0</v>
      </c>
      <c r="M1265" s="4">
        <v>0.55600000000000005</v>
      </c>
      <c r="N1265" s="4"/>
      <c r="O1265" s="5">
        <v>180</v>
      </c>
      <c r="P1265" s="5"/>
      <c r="Q1265" s="21">
        <v>0</v>
      </c>
      <c r="R1265" s="21">
        <v>0</v>
      </c>
      <c r="S1265" s="5">
        <f t="shared" si="79"/>
        <v>50751.708760152018</v>
      </c>
      <c r="T1265" cm="1">
        <f t="array" ref="T1265">IF(OR(B1265="MAL ALIMI", B1265="ÜRETİM GİRİŞ"), MIN(I1265, MAX(0, I1265 + SUM(SUMIFS($I$1:I1264, $C$1:C1264, C1265, $B$1:B1264, {"MAL ALIMI","ÜRETİM GİRİŞ"})) - VLOOKUP(C1265, 'STOK RAPORU'!$C$2:$I$1000, 4, 0))), 0)</f>
        <v>0</v>
      </c>
      <c r="U1265" s="22">
        <f t="shared" si="76"/>
        <v>0</v>
      </c>
      <c r="V1265">
        <f t="shared" si="77"/>
        <v>0</v>
      </c>
      <c r="W1265" s="22">
        <f t="shared" si="78"/>
        <v>0</v>
      </c>
    </row>
    <row r="1266" spans="1:23" hidden="1" x14ac:dyDescent="0.25">
      <c r="A1266" s="3">
        <v>45980</v>
      </c>
      <c r="B1266" s="4" t="s">
        <v>334</v>
      </c>
      <c r="C1266" s="4" t="s">
        <v>261</v>
      </c>
      <c r="D1266" s="4"/>
      <c r="E1266" s="4" t="s">
        <v>921</v>
      </c>
      <c r="F1266" s="4" t="s">
        <v>861</v>
      </c>
      <c r="G1266" s="4" t="s">
        <v>336</v>
      </c>
      <c r="H1266" s="4" t="s">
        <v>380</v>
      </c>
      <c r="I1266" s="4">
        <v>1</v>
      </c>
      <c r="J1266" s="21">
        <v>150</v>
      </c>
      <c r="K1266" s="21">
        <v>150</v>
      </c>
      <c r="L1266" s="5">
        <v>0</v>
      </c>
      <c r="M1266" s="4">
        <v>1</v>
      </c>
      <c r="N1266" s="4"/>
      <c r="O1266" s="5">
        <v>150</v>
      </c>
      <c r="P1266" s="5"/>
      <c r="Q1266" s="21">
        <v>0</v>
      </c>
      <c r="R1266" s="21">
        <v>0</v>
      </c>
      <c r="S1266" s="5">
        <f t="shared" si="79"/>
        <v>50751.708760152018</v>
      </c>
      <c r="T1266" cm="1">
        <f t="array" ref="T1266">IF(OR(B1266="MAL ALIMI", B1266="ÜRETİM GİRİŞ"), MIN(I1266, MAX(0, I1266 + SUM(SUMIFS($I$1:I1265, $C$1:C1265, C1266, $B$1:B1265, {"MAL ALIMI","ÜRETİM GİRİŞ"})) - VLOOKUP(C1266, 'STOK RAPORU'!$C$2:$I$1000, 4, 0))), 0)</f>
        <v>0</v>
      </c>
      <c r="U1266" s="22">
        <f t="shared" si="76"/>
        <v>0</v>
      </c>
      <c r="V1266">
        <f t="shared" si="77"/>
        <v>0</v>
      </c>
      <c r="W1266" s="22">
        <f t="shared" si="78"/>
        <v>0</v>
      </c>
    </row>
    <row r="1267" spans="1:23" hidden="1" x14ac:dyDescent="0.25">
      <c r="A1267" s="3">
        <v>45980</v>
      </c>
      <c r="B1267" s="4" t="s">
        <v>334</v>
      </c>
      <c r="C1267" s="4" t="s">
        <v>647</v>
      </c>
      <c r="D1267" s="4"/>
      <c r="E1267" s="4" t="s">
        <v>921</v>
      </c>
      <c r="F1267" s="4" t="s">
        <v>861</v>
      </c>
      <c r="G1267" s="4" t="s">
        <v>336</v>
      </c>
      <c r="H1267" s="4" t="s">
        <v>380</v>
      </c>
      <c r="I1267" s="4">
        <v>0.25</v>
      </c>
      <c r="J1267" s="21">
        <v>400</v>
      </c>
      <c r="K1267" s="21">
        <v>100</v>
      </c>
      <c r="L1267" s="5">
        <v>0</v>
      </c>
      <c r="M1267" s="4">
        <v>1</v>
      </c>
      <c r="N1267" s="4"/>
      <c r="O1267" s="5">
        <v>100</v>
      </c>
      <c r="P1267" s="5"/>
      <c r="Q1267" s="21">
        <v>0</v>
      </c>
      <c r="R1267" s="21">
        <v>0</v>
      </c>
      <c r="S1267" s="5">
        <f t="shared" si="79"/>
        <v>50751.708760152018</v>
      </c>
      <c r="T1267" cm="1">
        <f t="array" ref="T1267">IF(OR(B1267="MAL ALIMI", B1267="ÜRETİM GİRİŞ"), MIN(I1267, MAX(0, I1267 + SUM(SUMIFS($I$1:I1266, $C$1:C1266, C1267, $B$1:B1266, {"MAL ALIMI","ÜRETİM GİRİŞ"})) - VLOOKUP(C1267, 'STOK RAPORU'!$C$2:$I$1000, 4, 0))), 0)</f>
        <v>0</v>
      </c>
      <c r="U1267" s="22">
        <f t="shared" si="76"/>
        <v>0</v>
      </c>
      <c r="V1267">
        <f t="shared" si="77"/>
        <v>0</v>
      </c>
      <c r="W1267" s="22">
        <f t="shared" si="78"/>
        <v>0</v>
      </c>
    </row>
    <row r="1268" spans="1:23" hidden="1" x14ac:dyDescent="0.25">
      <c r="A1268" s="3">
        <v>45980</v>
      </c>
      <c r="B1268" s="4" t="s">
        <v>334</v>
      </c>
      <c r="C1268" s="4" t="s">
        <v>195</v>
      </c>
      <c r="D1268" s="4"/>
      <c r="E1268" s="4" t="s">
        <v>921</v>
      </c>
      <c r="F1268" s="4" t="s">
        <v>861</v>
      </c>
      <c r="G1268" s="4" t="s">
        <v>336</v>
      </c>
      <c r="H1268" s="4" t="s">
        <v>380</v>
      </c>
      <c r="I1268" s="4">
        <v>0.05</v>
      </c>
      <c r="J1268" s="21">
        <v>1000</v>
      </c>
      <c r="K1268" s="21">
        <v>50</v>
      </c>
      <c r="L1268" s="5">
        <v>0</v>
      </c>
      <c r="M1268" s="4">
        <v>0.05</v>
      </c>
      <c r="N1268" s="4"/>
      <c r="O1268" s="5">
        <v>1000</v>
      </c>
      <c r="P1268" s="5"/>
      <c r="Q1268" s="21">
        <v>0</v>
      </c>
      <c r="R1268" s="21">
        <v>0</v>
      </c>
      <c r="S1268" s="5">
        <f t="shared" si="79"/>
        <v>50751.708760152018</v>
      </c>
      <c r="T1268" cm="1">
        <f t="array" ref="T1268">IF(OR(B1268="MAL ALIMI", B1268="ÜRETİM GİRİŞ"), MIN(I1268, MAX(0, I1268 + SUM(SUMIFS($I$1:I1267, $C$1:C1267, C1268, $B$1:B1267, {"MAL ALIMI","ÜRETİM GİRİŞ"})) - VLOOKUP(C1268, 'STOK RAPORU'!$C$2:$I$1000, 4, 0))), 0)</f>
        <v>0</v>
      </c>
      <c r="U1268" s="22">
        <f t="shared" si="76"/>
        <v>0</v>
      </c>
      <c r="V1268">
        <f t="shared" si="77"/>
        <v>0</v>
      </c>
      <c r="W1268" s="22">
        <f t="shared" si="78"/>
        <v>0</v>
      </c>
    </row>
    <row r="1269" spans="1:23" hidden="1" x14ac:dyDescent="0.25">
      <c r="A1269" s="3">
        <v>45980</v>
      </c>
      <c r="B1269" s="4" t="s">
        <v>334</v>
      </c>
      <c r="C1269" s="4" t="s">
        <v>467</v>
      </c>
      <c r="D1269" s="4"/>
      <c r="E1269" s="4" t="s">
        <v>921</v>
      </c>
      <c r="F1269" s="4" t="s">
        <v>861</v>
      </c>
      <c r="G1269" s="4" t="s">
        <v>336</v>
      </c>
      <c r="H1269" s="4" t="s">
        <v>380</v>
      </c>
      <c r="I1269" s="4">
        <v>1</v>
      </c>
      <c r="J1269" s="21">
        <v>40</v>
      </c>
      <c r="K1269" s="21">
        <v>40</v>
      </c>
      <c r="L1269" s="5">
        <v>0</v>
      </c>
      <c r="M1269" s="4">
        <v>1</v>
      </c>
      <c r="N1269" s="4"/>
      <c r="O1269" s="5">
        <v>40</v>
      </c>
      <c r="P1269" s="5"/>
      <c r="Q1269" s="21">
        <v>0</v>
      </c>
      <c r="R1269" s="21">
        <v>0</v>
      </c>
      <c r="S1269" s="5">
        <f t="shared" si="79"/>
        <v>50751.708760152018</v>
      </c>
      <c r="T1269" cm="1">
        <f t="array" ref="T1269">IF(OR(B1269="MAL ALIMI", B1269="ÜRETİM GİRİŞ"), MIN(I1269, MAX(0, I1269 + SUM(SUMIFS($I$1:I1268, $C$1:C1268, C1269, $B$1:B1268, {"MAL ALIMI","ÜRETİM GİRİŞ"})) - VLOOKUP(C1269, 'STOK RAPORU'!$C$2:$I$1000, 4, 0))), 0)</f>
        <v>0</v>
      </c>
      <c r="U1269" s="22">
        <f t="shared" si="76"/>
        <v>0</v>
      </c>
      <c r="V1269">
        <f t="shared" si="77"/>
        <v>0</v>
      </c>
      <c r="W1269" s="22">
        <f t="shared" si="78"/>
        <v>0</v>
      </c>
    </row>
    <row r="1270" spans="1:23" hidden="1" x14ac:dyDescent="0.25">
      <c r="A1270" s="3">
        <v>45980</v>
      </c>
      <c r="B1270" s="4" t="s">
        <v>334</v>
      </c>
      <c r="C1270" s="4" t="s">
        <v>530</v>
      </c>
      <c r="D1270" s="4"/>
      <c r="E1270" s="4" t="s">
        <v>921</v>
      </c>
      <c r="F1270" s="4" t="s">
        <v>862</v>
      </c>
      <c r="G1270" s="4" t="s">
        <v>336</v>
      </c>
      <c r="H1270" s="4" t="s">
        <v>380</v>
      </c>
      <c r="I1270" s="4">
        <v>0.5</v>
      </c>
      <c r="J1270" s="21">
        <v>260</v>
      </c>
      <c r="K1270" s="21">
        <v>130</v>
      </c>
      <c r="L1270" s="5">
        <v>0</v>
      </c>
      <c r="M1270" s="4">
        <v>1</v>
      </c>
      <c r="N1270" s="4"/>
      <c r="O1270" s="5">
        <v>130</v>
      </c>
      <c r="P1270" s="5"/>
      <c r="Q1270" s="21">
        <v>0</v>
      </c>
      <c r="R1270" s="21">
        <v>0</v>
      </c>
      <c r="S1270" s="5">
        <f t="shared" si="79"/>
        <v>50751.708760152018</v>
      </c>
      <c r="T1270" cm="1">
        <f t="array" ref="T1270">IF(OR(B1270="MAL ALIMI", B1270="ÜRETİM GİRİŞ"), MIN(I1270, MAX(0, I1270 + SUM(SUMIFS($I$1:I1269, $C$1:C1269, C1270, $B$1:B1269, {"MAL ALIMI","ÜRETİM GİRİŞ"})) - VLOOKUP(C1270, 'STOK RAPORU'!$C$2:$I$1000, 4, 0))), 0)</f>
        <v>0</v>
      </c>
      <c r="U1270" s="22">
        <f t="shared" si="76"/>
        <v>0</v>
      </c>
      <c r="V1270">
        <f t="shared" si="77"/>
        <v>0</v>
      </c>
      <c r="W1270" s="22">
        <f t="shared" si="78"/>
        <v>0</v>
      </c>
    </row>
    <row r="1271" spans="1:23" hidden="1" x14ac:dyDescent="0.25">
      <c r="A1271" s="3">
        <v>45980</v>
      </c>
      <c r="B1271" s="4" t="s">
        <v>334</v>
      </c>
      <c r="C1271" s="4" t="s">
        <v>261</v>
      </c>
      <c r="D1271" s="4"/>
      <c r="E1271" s="4" t="s">
        <v>921</v>
      </c>
      <c r="F1271" s="4" t="s">
        <v>862</v>
      </c>
      <c r="G1271" s="4" t="s">
        <v>336</v>
      </c>
      <c r="H1271" s="4" t="s">
        <v>380</v>
      </c>
      <c r="I1271" s="4">
        <v>1</v>
      </c>
      <c r="J1271" s="21">
        <v>140</v>
      </c>
      <c r="K1271" s="21">
        <v>140</v>
      </c>
      <c r="L1271" s="5">
        <v>0</v>
      </c>
      <c r="M1271" s="4">
        <v>1</v>
      </c>
      <c r="N1271" s="4"/>
      <c r="O1271" s="5">
        <v>140</v>
      </c>
      <c r="P1271" s="5"/>
      <c r="Q1271" s="21">
        <v>0</v>
      </c>
      <c r="R1271" s="21">
        <v>0</v>
      </c>
      <c r="S1271" s="5">
        <f t="shared" si="79"/>
        <v>50751.708760152018</v>
      </c>
      <c r="T1271" cm="1">
        <f t="array" ref="T1271">IF(OR(B1271="MAL ALIMI", B1271="ÜRETİM GİRİŞ"), MIN(I1271, MAX(0, I1271 + SUM(SUMIFS($I$1:I1270, $C$1:C1270, C1271, $B$1:B1270, {"MAL ALIMI","ÜRETİM GİRİŞ"})) - VLOOKUP(C1271, 'STOK RAPORU'!$C$2:$I$1000, 4, 0))), 0)</f>
        <v>0</v>
      </c>
      <c r="U1271" s="22">
        <f t="shared" si="76"/>
        <v>0</v>
      </c>
      <c r="V1271">
        <f t="shared" si="77"/>
        <v>0</v>
      </c>
      <c r="W1271" s="22">
        <f t="shared" si="78"/>
        <v>0</v>
      </c>
    </row>
    <row r="1272" spans="1:23" hidden="1" x14ac:dyDescent="0.25">
      <c r="A1272" s="3">
        <v>45980</v>
      </c>
      <c r="B1272" s="4" t="s">
        <v>334</v>
      </c>
      <c r="C1272" s="4" t="s">
        <v>92</v>
      </c>
      <c r="D1272" s="4"/>
      <c r="E1272" s="4" t="s">
        <v>921</v>
      </c>
      <c r="F1272" s="4" t="s">
        <v>863</v>
      </c>
      <c r="G1272" s="4" t="s">
        <v>336</v>
      </c>
      <c r="H1272" s="4" t="s">
        <v>380</v>
      </c>
      <c r="I1272" s="4">
        <v>0.214</v>
      </c>
      <c r="J1272" s="21">
        <v>500</v>
      </c>
      <c r="K1272" s="21">
        <v>107</v>
      </c>
      <c r="L1272" s="5">
        <v>0</v>
      </c>
      <c r="M1272" s="4">
        <v>0.214</v>
      </c>
      <c r="N1272" s="4"/>
      <c r="O1272" s="5">
        <v>500</v>
      </c>
      <c r="P1272" s="5"/>
      <c r="Q1272" s="21">
        <v>0</v>
      </c>
      <c r="R1272" s="21">
        <v>0</v>
      </c>
      <c r="S1272" s="5">
        <f t="shared" si="79"/>
        <v>50751.708760152018</v>
      </c>
      <c r="T1272" cm="1">
        <f t="array" ref="T1272">IF(OR(B1272="MAL ALIMI", B1272="ÜRETİM GİRİŞ"), MIN(I1272, MAX(0, I1272 + SUM(SUMIFS($I$1:I1271, $C$1:C1271, C1272, $B$1:B1271, {"MAL ALIMI","ÜRETİM GİRİŞ"})) - VLOOKUP(C1272, 'STOK RAPORU'!$C$2:$I$1000, 4, 0))), 0)</f>
        <v>0</v>
      </c>
      <c r="U1272" s="22">
        <f t="shared" si="76"/>
        <v>0</v>
      </c>
      <c r="V1272">
        <f t="shared" si="77"/>
        <v>0</v>
      </c>
      <c r="W1272" s="22">
        <f t="shared" si="78"/>
        <v>0</v>
      </c>
    </row>
    <row r="1273" spans="1:23" hidden="1" x14ac:dyDescent="0.25">
      <c r="A1273" s="3">
        <v>45980</v>
      </c>
      <c r="B1273" s="4" t="s">
        <v>334</v>
      </c>
      <c r="C1273" s="4" t="s">
        <v>126</v>
      </c>
      <c r="D1273" s="4"/>
      <c r="E1273" s="4" t="s">
        <v>921</v>
      </c>
      <c r="F1273" s="4" t="s">
        <v>863</v>
      </c>
      <c r="G1273" s="4" t="s">
        <v>336</v>
      </c>
      <c r="H1273" s="4" t="s">
        <v>380</v>
      </c>
      <c r="I1273" s="4">
        <v>0.21</v>
      </c>
      <c r="J1273" s="21">
        <v>640</v>
      </c>
      <c r="K1273" s="21">
        <v>134.4</v>
      </c>
      <c r="L1273" s="5">
        <v>0</v>
      </c>
      <c r="M1273" s="4">
        <v>0.21</v>
      </c>
      <c r="N1273" s="4"/>
      <c r="O1273" s="5">
        <v>640</v>
      </c>
      <c r="P1273" s="5"/>
      <c r="Q1273" s="21">
        <v>0</v>
      </c>
      <c r="R1273" s="21">
        <v>0</v>
      </c>
      <c r="S1273" s="5">
        <f t="shared" si="79"/>
        <v>50751.708760152018</v>
      </c>
      <c r="T1273" cm="1">
        <f t="array" ref="T1273">IF(OR(B1273="MAL ALIMI", B1273="ÜRETİM GİRİŞ"), MIN(I1273, MAX(0, I1273 + SUM(SUMIFS($I$1:I1272, $C$1:C1272, C1273, $B$1:B1272, {"MAL ALIMI","ÜRETİM GİRİŞ"})) - VLOOKUP(C1273, 'STOK RAPORU'!$C$2:$I$1000, 4, 0))), 0)</f>
        <v>0</v>
      </c>
      <c r="U1273" s="22">
        <f t="shared" si="76"/>
        <v>0</v>
      </c>
      <c r="V1273">
        <f t="shared" si="77"/>
        <v>0</v>
      </c>
      <c r="W1273" s="22">
        <f t="shared" si="78"/>
        <v>0</v>
      </c>
    </row>
    <row r="1274" spans="1:23" hidden="1" x14ac:dyDescent="0.25">
      <c r="A1274" s="3">
        <v>45980</v>
      </c>
      <c r="B1274" s="4" t="s">
        <v>334</v>
      </c>
      <c r="C1274" s="4" t="s">
        <v>199</v>
      </c>
      <c r="D1274" s="4"/>
      <c r="E1274" s="4" t="s">
        <v>921</v>
      </c>
      <c r="F1274" s="4" t="s">
        <v>863</v>
      </c>
      <c r="G1274" s="4" t="s">
        <v>336</v>
      </c>
      <c r="H1274" s="4" t="s">
        <v>380</v>
      </c>
      <c r="I1274" s="4">
        <v>0.215</v>
      </c>
      <c r="J1274" s="21">
        <v>950</v>
      </c>
      <c r="K1274" s="21">
        <v>204.25</v>
      </c>
      <c r="L1274" s="5">
        <v>0</v>
      </c>
      <c r="M1274" s="4">
        <v>0.215</v>
      </c>
      <c r="N1274" s="4"/>
      <c r="O1274" s="5">
        <v>950</v>
      </c>
      <c r="P1274" s="5"/>
      <c r="Q1274" s="21">
        <v>0</v>
      </c>
      <c r="R1274" s="21">
        <v>0</v>
      </c>
      <c r="S1274" s="5">
        <f t="shared" si="79"/>
        <v>50751.708760152018</v>
      </c>
      <c r="T1274" cm="1">
        <f t="array" ref="T1274">IF(OR(B1274="MAL ALIMI", B1274="ÜRETİM GİRİŞ"), MIN(I1274, MAX(0, I1274 + SUM(SUMIFS($I$1:I1273, $C$1:C1273, C1274, $B$1:B1273, {"MAL ALIMI","ÜRETİM GİRİŞ"})) - VLOOKUP(C1274, 'STOK RAPORU'!$C$2:$I$1000, 4, 0))), 0)</f>
        <v>0</v>
      </c>
      <c r="U1274" s="22">
        <f t="shared" si="76"/>
        <v>0</v>
      </c>
      <c r="V1274">
        <f t="shared" si="77"/>
        <v>0</v>
      </c>
      <c r="W1274" s="22">
        <f t="shared" si="78"/>
        <v>0</v>
      </c>
    </row>
    <row r="1275" spans="1:23" hidden="1" x14ac:dyDescent="0.25">
      <c r="A1275" s="3">
        <v>45980</v>
      </c>
      <c r="B1275" s="4" t="s">
        <v>334</v>
      </c>
      <c r="C1275" s="4" t="s">
        <v>647</v>
      </c>
      <c r="D1275" s="4"/>
      <c r="E1275" s="4" t="s">
        <v>921</v>
      </c>
      <c r="F1275" s="4" t="s">
        <v>863</v>
      </c>
      <c r="G1275" s="4" t="s">
        <v>336</v>
      </c>
      <c r="H1275" s="4" t="s">
        <v>380</v>
      </c>
      <c r="I1275" s="4">
        <v>0.25</v>
      </c>
      <c r="J1275" s="21">
        <v>400</v>
      </c>
      <c r="K1275" s="21">
        <v>100</v>
      </c>
      <c r="L1275" s="5">
        <v>0</v>
      </c>
      <c r="M1275" s="4">
        <v>1</v>
      </c>
      <c r="N1275" s="4"/>
      <c r="O1275" s="5">
        <v>100</v>
      </c>
      <c r="P1275" s="5"/>
      <c r="Q1275" s="21">
        <v>0</v>
      </c>
      <c r="R1275" s="21">
        <v>0</v>
      </c>
      <c r="S1275" s="5">
        <f t="shared" si="79"/>
        <v>50751.708760152018</v>
      </c>
      <c r="T1275" cm="1">
        <f t="array" ref="T1275">IF(OR(B1275="MAL ALIMI", B1275="ÜRETİM GİRİŞ"), MIN(I1275, MAX(0, I1275 + SUM(SUMIFS($I$1:I1274, $C$1:C1274, C1275, $B$1:B1274, {"MAL ALIMI","ÜRETİM GİRİŞ"})) - VLOOKUP(C1275, 'STOK RAPORU'!$C$2:$I$1000, 4, 0))), 0)</f>
        <v>0</v>
      </c>
      <c r="U1275" s="22">
        <f t="shared" si="76"/>
        <v>0</v>
      </c>
      <c r="V1275">
        <f t="shared" si="77"/>
        <v>0</v>
      </c>
      <c r="W1275" s="22">
        <f t="shared" si="78"/>
        <v>0</v>
      </c>
    </row>
    <row r="1276" spans="1:23" hidden="1" x14ac:dyDescent="0.25">
      <c r="A1276" s="45">
        <v>45980</v>
      </c>
      <c r="B1276" s="46" t="s">
        <v>334</v>
      </c>
      <c r="C1276" s="46" t="s">
        <v>590</v>
      </c>
      <c r="D1276" s="46"/>
      <c r="E1276" s="46"/>
      <c r="F1276" s="46" t="s">
        <v>864</v>
      </c>
      <c r="G1276" s="46" t="s">
        <v>439</v>
      </c>
      <c r="H1276" s="46" t="s">
        <v>289</v>
      </c>
      <c r="I1276" s="46">
        <v>5</v>
      </c>
      <c r="J1276" s="47">
        <v>65</v>
      </c>
      <c r="K1276" s="47">
        <v>0</v>
      </c>
      <c r="L1276" s="48">
        <v>0</v>
      </c>
      <c r="M1276" s="4">
        <v>5</v>
      </c>
      <c r="N1276" s="4"/>
      <c r="O1276" s="5">
        <v>65</v>
      </c>
      <c r="P1276" s="5"/>
      <c r="Q1276" s="47">
        <v>325</v>
      </c>
      <c r="R1276" s="21">
        <v>0</v>
      </c>
      <c r="S1276" s="5">
        <f t="shared" si="79"/>
        <v>51076.708760152018</v>
      </c>
      <c r="T1276" cm="1">
        <f t="array" ref="T1276">IF(OR(B1276="MAL ALIMI", B1276="ÜRETİM GİRİŞ"), MIN(I1276, MAX(0, I1276 + SUM(SUMIFS($I$1:I1275, $C$1:C1275, C1276, $B$1:B1275, {"MAL ALIMI","ÜRETİM GİRİŞ"})) - VLOOKUP(C1276, 'STOK RAPORU'!$C$2:$I$1000, 4, 0))), 0)</f>
        <v>0</v>
      </c>
      <c r="U1276" s="22">
        <f t="shared" si="76"/>
        <v>0</v>
      </c>
      <c r="V1276">
        <f t="shared" si="77"/>
        <v>0</v>
      </c>
      <c r="W1276" s="22">
        <f t="shared" si="78"/>
        <v>0</v>
      </c>
    </row>
    <row r="1277" spans="1:23" hidden="1" x14ac:dyDescent="0.25">
      <c r="A1277" s="45">
        <v>45980</v>
      </c>
      <c r="B1277" s="46" t="s">
        <v>334</v>
      </c>
      <c r="C1277" s="46" t="s">
        <v>231</v>
      </c>
      <c r="D1277" s="46"/>
      <c r="E1277" s="46"/>
      <c r="F1277" s="46" t="s">
        <v>864</v>
      </c>
      <c r="G1277" s="46" t="s">
        <v>439</v>
      </c>
      <c r="H1277" s="46" t="s">
        <v>289</v>
      </c>
      <c r="I1277" s="46">
        <v>10</v>
      </c>
      <c r="J1277" s="47">
        <v>165</v>
      </c>
      <c r="K1277" s="47">
        <v>0</v>
      </c>
      <c r="L1277" s="48">
        <v>0</v>
      </c>
      <c r="M1277" s="4">
        <v>10</v>
      </c>
      <c r="N1277" s="4"/>
      <c r="O1277" s="5">
        <v>165</v>
      </c>
      <c r="P1277" s="5"/>
      <c r="Q1277" s="47">
        <v>1650</v>
      </c>
      <c r="R1277" s="21">
        <v>0</v>
      </c>
      <c r="S1277" s="5">
        <f t="shared" si="79"/>
        <v>52726.708760152018</v>
      </c>
      <c r="T1277" cm="1">
        <f t="array" ref="T1277">IF(OR(B1277="MAL ALIMI", B1277="ÜRETİM GİRİŞ"), MIN(I1277, MAX(0, I1277 + SUM(SUMIFS($I$1:I1276, $C$1:C1276, C1277, $B$1:B1276, {"MAL ALIMI","ÜRETİM GİRİŞ"})) - VLOOKUP(C1277, 'STOK RAPORU'!$C$2:$I$1000, 4, 0))), 0)</f>
        <v>0</v>
      </c>
      <c r="U1277" s="22">
        <f t="shared" si="76"/>
        <v>0</v>
      </c>
      <c r="V1277">
        <f t="shared" si="77"/>
        <v>0</v>
      </c>
      <c r="W1277" s="22">
        <f t="shared" si="78"/>
        <v>0</v>
      </c>
    </row>
    <row r="1278" spans="1:23" hidden="1" x14ac:dyDescent="0.25">
      <c r="A1278" s="3">
        <v>45980</v>
      </c>
      <c r="B1278" s="4" t="s">
        <v>334</v>
      </c>
      <c r="C1278" s="4" t="s">
        <v>180</v>
      </c>
      <c r="D1278" s="4"/>
      <c r="E1278" s="4"/>
      <c r="F1278" s="4" t="s">
        <v>865</v>
      </c>
      <c r="G1278" s="4" t="s">
        <v>336</v>
      </c>
      <c r="H1278" s="4" t="s">
        <v>289</v>
      </c>
      <c r="I1278" s="4">
        <v>1</v>
      </c>
      <c r="J1278" s="21">
        <v>170</v>
      </c>
      <c r="K1278" s="21">
        <v>0</v>
      </c>
      <c r="L1278" s="5">
        <v>0</v>
      </c>
      <c r="M1278" s="4">
        <v>1</v>
      </c>
      <c r="N1278" s="4"/>
      <c r="O1278" s="5">
        <v>170</v>
      </c>
      <c r="P1278" s="5"/>
      <c r="Q1278" s="21">
        <v>170</v>
      </c>
      <c r="R1278" s="21">
        <v>0</v>
      </c>
      <c r="S1278" s="5">
        <f t="shared" si="79"/>
        <v>52896.708760152018</v>
      </c>
      <c r="T1278" cm="1">
        <f t="array" ref="T1278">IF(OR(B1278="MAL ALIMI", B1278="ÜRETİM GİRİŞ"), MIN(I1278, MAX(0, I1278 + SUM(SUMIFS($I$1:I1277, $C$1:C1277, C1278, $B$1:B1277, {"MAL ALIMI","ÜRETİM GİRİŞ"})) - VLOOKUP(C1278, 'STOK RAPORU'!$C$2:$I$1000, 4, 0))), 0)</f>
        <v>0</v>
      </c>
      <c r="U1278" s="22">
        <f t="shared" si="76"/>
        <v>0</v>
      </c>
      <c r="V1278">
        <f t="shared" si="77"/>
        <v>0</v>
      </c>
      <c r="W1278" s="22">
        <f t="shared" si="78"/>
        <v>0</v>
      </c>
    </row>
    <row r="1279" spans="1:23" hidden="1" x14ac:dyDescent="0.25">
      <c r="A1279" s="3">
        <v>45980</v>
      </c>
      <c r="B1279" s="4" t="s">
        <v>334</v>
      </c>
      <c r="C1279" s="4" t="s">
        <v>132</v>
      </c>
      <c r="D1279" s="4"/>
      <c r="E1279" s="4"/>
      <c r="F1279" s="4" t="s">
        <v>865</v>
      </c>
      <c r="G1279" s="4" t="s">
        <v>336</v>
      </c>
      <c r="H1279" s="4" t="s">
        <v>289</v>
      </c>
      <c r="I1279" s="4">
        <v>0.09</v>
      </c>
      <c r="J1279" s="21">
        <v>500</v>
      </c>
      <c r="K1279" s="21">
        <v>0</v>
      </c>
      <c r="L1279" s="5">
        <v>0</v>
      </c>
      <c r="M1279" s="4">
        <v>0.09</v>
      </c>
      <c r="N1279" s="4"/>
      <c r="O1279" s="5">
        <v>500</v>
      </c>
      <c r="P1279" s="5"/>
      <c r="Q1279" s="21">
        <v>45</v>
      </c>
      <c r="R1279" s="21">
        <v>0</v>
      </c>
      <c r="S1279" s="5">
        <f t="shared" si="79"/>
        <v>52941.708760152018</v>
      </c>
      <c r="T1279" cm="1">
        <f t="array" ref="T1279">IF(OR(B1279="MAL ALIMI", B1279="ÜRETİM GİRİŞ"), MIN(I1279, MAX(0, I1279 + SUM(SUMIFS($I$1:I1278, $C$1:C1278, C1279, $B$1:B1278, {"MAL ALIMI","ÜRETİM GİRİŞ"})) - VLOOKUP(C1279, 'STOK RAPORU'!$C$2:$I$1000, 4, 0))), 0)</f>
        <v>0</v>
      </c>
      <c r="U1279" s="22">
        <f t="shared" si="76"/>
        <v>0</v>
      </c>
      <c r="V1279">
        <f t="shared" si="77"/>
        <v>0</v>
      </c>
      <c r="W1279" s="22">
        <f t="shared" si="78"/>
        <v>0</v>
      </c>
    </row>
    <row r="1280" spans="1:23" hidden="1" x14ac:dyDescent="0.25">
      <c r="A1280" s="3">
        <v>45980</v>
      </c>
      <c r="B1280" s="4" t="s">
        <v>334</v>
      </c>
      <c r="C1280" s="4" t="s">
        <v>132</v>
      </c>
      <c r="D1280" s="4"/>
      <c r="E1280" s="4" t="s">
        <v>921</v>
      </c>
      <c r="F1280" s="4" t="s">
        <v>866</v>
      </c>
      <c r="G1280" s="4" t="s">
        <v>336</v>
      </c>
      <c r="H1280" s="4" t="s">
        <v>380</v>
      </c>
      <c r="I1280" s="4">
        <v>0.5</v>
      </c>
      <c r="J1280" s="21">
        <v>500</v>
      </c>
      <c r="K1280" s="21">
        <v>250</v>
      </c>
      <c r="L1280" s="5">
        <v>0</v>
      </c>
      <c r="M1280" s="4">
        <v>0.5</v>
      </c>
      <c r="N1280" s="4"/>
      <c r="O1280" s="5">
        <v>500</v>
      </c>
      <c r="P1280" s="5"/>
      <c r="Q1280" s="21">
        <v>0</v>
      </c>
      <c r="R1280" s="21">
        <v>0</v>
      </c>
      <c r="S1280" s="5">
        <f t="shared" si="79"/>
        <v>52941.708760152018</v>
      </c>
      <c r="T1280" cm="1">
        <f t="array" ref="T1280">IF(OR(B1280="MAL ALIMI", B1280="ÜRETİM GİRİŞ"), MIN(I1280, MAX(0, I1280 + SUM(SUMIFS($I$1:I1279, $C$1:C1279, C1280, $B$1:B1279, {"MAL ALIMI","ÜRETİM GİRİŞ"})) - VLOOKUP(C1280, 'STOK RAPORU'!$C$2:$I$1000, 4, 0))), 0)</f>
        <v>0</v>
      </c>
      <c r="U1280" s="22">
        <f t="shared" si="76"/>
        <v>0</v>
      </c>
      <c r="V1280">
        <f t="shared" si="77"/>
        <v>0</v>
      </c>
      <c r="W1280" s="22">
        <f t="shared" si="78"/>
        <v>0</v>
      </c>
    </row>
    <row r="1281" spans="1:23" hidden="1" x14ac:dyDescent="0.25">
      <c r="A1281" s="3">
        <v>45980</v>
      </c>
      <c r="B1281" s="4" t="s">
        <v>334</v>
      </c>
      <c r="C1281" s="4" t="s">
        <v>550</v>
      </c>
      <c r="D1281" s="4"/>
      <c r="E1281" s="4" t="s">
        <v>921</v>
      </c>
      <c r="F1281" s="4" t="s">
        <v>866</v>
      </c>
      <c r="G1281" s="4" t="s">
        <v>336</v>
      </c>
      <c r="H1281" s="4" t="s">
        <v>380</v>
      </c>
      <c r="I1281" s="4">
        <v>1</v>
      </c>
      <c r="J1281" s="21">
        <v>600</v>
      </c>
      <c r="K1281" s="21">
        <v>600</v>
      </c>
      <c r="L1281" s="5">
        <v>0</v>
      </c>
      <c r="M1281" s="4">
        <v>1</v>
      </c>
      <c r="N1281" s="4"/>
      <c r="O1281" s="5">
        <v>600</v>
      </c>
      <c r="P1281" s="5"/>
      <c r="Q1281" s="21">
        <v>0</v>
      </c>
      <c r="R1281" s="21">
        <v>0</v>
      </c>
      <c r="S1281" s="5">
        <f t="shared" si="79"/>
        <v>52941.708760152018</v>
      </c>
      <c r="T1281" cm="1">
        <f t="array" ref="T1281">IF(OR(B1281="MAL ALIMI", B1281="ÜRETİM GİRİŞ"), MIN(I1281, MAX(0, I1281 + SUM(SUMIFS($I$1:I1280, $C$1:C1280, C1281, $B$1:B1280, {"MAL ALIMI","ÜRETİM GİRİŞ"})) - VLOOKUP(C1281, 'STOK RAPORU'!$C$2:$I$1000, 4, 0))), 0)</f>
        <v>0</v>
      </c>
      <c r="U1281" s="22">
        <f t="shared" si="76"/>
        <v>0</v>
      </c>
      <c r="V1281">
        <f t="shared" si="77"/>
        <v>0</v>
      </c>
      <c r="W1281" s="22">
        <f t="shared" si="78"/>
        <v>0</v>
      </c>
    </row>
    <row r="1282" spans="1:23" hidden="1" x14ac:dyDescent="0.25">
      <c r="A1282" s="3">
        <v>45981</v>
      </c>
      <c r="B1282" s="4" t="s">
        <v>334</v>
      </c>
      <c r="C1282" s="4" t="s">
        <v>157</v>
      </c>
      <c r="D1282" s="4"/>
      <c r="E1282" s="4" t="s">
        <v>921</v>
      </c>
      <c r="F1282" s="4" t="s">
        <v>867</v>
      </c>
      <c r="G1282" s="4" t="s">
        <v>336</v>
      </c>
      <c r="H1282" s="4" t="s">
        <v>380</v>
      </c>
      <c r="I1282" s="4">
        <v>1.046</v>
      </c>
      <c r="J1282" s="21">
        <v>180</v>
      </c>
      <c r="K1282" s="21">
        <v>188.28</v>
      </c>
      <c r="L1282" s="5">
        <v>0</v>
      </c>
      <c r="M1282" s="4">
        <v>1.046</v>
      </c>
      <c r="N1282" s="4"/>
      <c r="O1282" s="5">
        <v>180</v>
      </c>
      <c r="P1282" s="5"/>
      <c r="Q1282" s="21">
        <v>0</v>
      </c>
      <c r="R1282" s="21">
        <v>0</v>
      </c>
      <c r="S1282" s="5">
        <f t="shared" si="79"/>
        <v>52941.708760152018</v>
      </c>
      <c r="T1282" cm="1">
        <f t="array" ref="T1282">IF(OR(B1282="MAL ALIMI", B1282="ÜRETİM GİRİŞ"), MIN(I1282, MAX(0, I1282 + SUM(SUMIFS($I$1:I1281, $C$1:C1281, C1282, $B$1:B1281, {"MAL ALIMI","ÜRETİM GİRİŞ"})) - VLOOKUP(C1282, 'STOK RAPORU'!$C$2:$I$1000, 4, 0))), 0)</f>
        <v>0</v>
      </c>
      <c r="U1282" s="22">
        <f t="shared" si="76"/>
        <v>0</v>
      </c>
      <c r="V1282">
        <f t="shared" si="77"/>
        <v>0</v>
      </c>
      <c r="W1282" s="22">
        <f t="shared" si="78"/>
        <v>0</v>
      </c>
    </row>
    <row r="1283" spans="1:23" hidden="1" x14ac:dyDescent="0.25">
      <c r="A1283" s="3">
        <v>45981</v>
      </c>
      <c r="B1283" s="4" t="s">
        <v>334</v>
      </c>
      <c r="C1283" s="4" t="s">
        <v>129</v>
      </c>
      <c r="D1283" s="4"/>
      <c r="E1283" s="4" t="s">
        <v>921</v>
      </c>
      <c r="F1283" s="4" t="s">
        <v>867</v>
      </c>
      <c r="G1283" s="4" t="s">
        <v>336</v>
      </c>
      <c r="H1283" s="4" t="s">
        <v>380</v>
      </c>
      <c r="I1283" s="4">
        <v>0.214</v>
      </c>
      <c r="J1283" s="21">
        <v>390</v>
      </c>
      <c r="K1283" s="21">
        <v>83.46</v>
      </c>
      <c r="L1283" s="5">
        <v>0</v>
      </c>
      <c r="M1283" s="4">
        <v>0.214</v>
      </c>
      <c r="N1283" s="4"/>
      <c r="O1283" s="5">
        <v>390</v>
      </c>
      <c r="P1283" s="5"/>
      <c r="Q1283" s="21">
        <v>0</v>
      </c>
      <c r="R1283" s="21">
        <v>0</v>
      </c>
      <c r="S1283" s="5">
        <f t="shared" si="79"/>
        <v>52941.708760152018</v>
      </c>
      <c r="T1283" cm="1">
        <f t="array" ref="T1283">IF(OR(B1283="MAL ALIMI", B1283="ÜRETİM GİRİŞ"), MIN(I1283, MAX(0, I1283 + SUM(SUMIFS($I$1:I1282, $C$1:C1282, C1283, $B$1:B1282, {"MAL ALIMI","ÜRETİM GİRİŞ"})) - VLOOKUP(C1283, 'STOK RAPORU'!$C$2:$I$1000, 4, 0))), 0)</f>
        <v>0</v>
      </c>
      <c r="U1283" s="22">
        <f t="shared" ref="U1283:U1346" si="80">T1283*J1283</f>
        <v>0</v>
      </c>
      <c r="V1283">
        <f t="shared" ref="V1283:V1346" si="81">IF(OR(B1283="MAL ALIMI", B1283="ÜRETİM GİRİŞ"), I1283 * J1283, 0)</f>
        <v>0</v>
      </c>
      <c r="W1283" s="22">
        <f t="shared" ref="W1283:W1346" si="82">V1283-U1283</f>
        <v>0</v>
      </c>
    </row>
    <row r="1284" spans="1:23" hidden="1" x14ac:dyDescent="0.25">
      <c r="A1284" s="3">
        <v>45981</v>
      </c>
      <c r="B1284" s="4" t="s">
        <v>334</v>
      </c>
      <c r="C1284" s="4" t="s">
        <v>92</v>
      </c>
      <c r="D1284" s="4"/>
      <c r="E1284" s="4" t="s">
        <v>921</v>
      </c>
      <c r="F1284" s="4" t="s">
        <v>867</v>
      </c>
      <c r="G1284" s="4" t="s">
        <v>336</v>
      </c>
      <c r="H1284" s="4" t="s">
        <v>380</v>
      </c>
      <c r="I1284" s="4">
        <v>0.23200000000000001</v>
      </c>
      <c r="J1284" s="21">
        <v>500</v>
      </c>
      <c r="K1284" s="21">
        <v>116</v>
      </c>
      <c r="L1284" s="5">
        <v>0</v>
      </c>
      <c r="M1284" s="4">
        <v>0.23200000000000001</v>
      </c>
      <c r="N1284" s="4"/>
      <c r="O1284" s="5">
        <v>500</v>
      </c>
      <c r="P1284" s="5"/>
      <c r="Q1284" s="21">
        <v>0</v>
      </c>
      <c r="R1284" s="21">
        <v>0</v>
      </c>
      <c r="S1284" s="5">
        <f t="shared" ref="S1284:S1347" si="83">S1283+Q1284-R1284</f>
        <v>52941.708760152018</v>
      </c>
      <c r="T1284" cm="1">
        <f t="array" ref="T1284">IF(OR(B1284="MAL ALIMI", B1284="ÜRETİM GİRİŞ"), MIN(I1284, MAX(0, I1284 + SUM(SUMIFS($I$1:I1283, $C$1:C1283, C1284, $B$1:B1283, {"MAL ALIMI","ÜRETİM GİRİŞ"})) - VLOOKUP(C1284, 'STOK RAPORU'!$C$2:$I$1000, 4, 0))), 0)</f>
        <v>0</v>
      </c>
      <c r="U1284" s="22">
        <f t="shared" si="80"/>
        <v>0</v>
      </c>
      <c r="V1284">
        <f t="shared" si="81"/>
        <v>0</v>
      </c>
      <c r="W1284" s="22">
        <f t="shared" si="82"/>
        <v>0</v>
      </c>
    </row>
    <row r="1285" spans="1:23" hidden="1" x14ac:dyDescent="0.25">
      <c r="A1285" s="3">
        <v>45981</v>
      </c>
      <c r="B1285" s="4" t="s">
        <v>334</v>
      </c>
      <c r="C1285" s="4" t="s">
        <v>126</v>
      </c>
      <c r="D1285" s="4"/>
      <c r="E1285" s="4" t="s">
        <v>921</v>
      </c>
      <c r="F1285" s="4" t="s">
        <v>867</v>
      </c>
      <c r="G1285" s="4" t="s">
        <v>336</v>
      </c>
      <c r="H1285" s="4" t="s">
        <v>380</v>
      </c>
      <c r="I1285" s="4">
        <v>0.17599999999999999</v>
      </c>
      <c r="J1285" s="21">
        <v>640</v>
      </c>
      <c r="K1285" s="21">
        <v>112.63999999999999</v>
      </c>
      <c r="L1285" s="5">
        <v>0</v>
      </c>
      <c r="M1285" s="4">
        <v>0.17599999999999999</v>
      </c>
      <c r="N1285" s="4"/>
      <c r="O1285" s="5">
        <v>640</v>
      </c>
      <c r="P1285" s="5"/>
      <c r="Q1285" s="21">
        <v>0</v>
      </c>
      <c r="R1285" s="21">
        <v>0</v>
      </c>
      <c r="S1285" s="5">
        <f t="shared" si="83"/>
        <v>52941.708760152018</v>
      </c>
      <c r="T1285" cm="1">
        <f t="array" ref="T1285">IF(OR(B1285="MAL ALIMI", B1285="ÜRETİM GİRİŞ"), MIN(I1285, MAX(0, I1285 + SUM(SUMIFS($I$1:I1284, $C$1:C1284, C1285, $B$1:B1284, {"MAL ALIMI","ÜRETİM GİRİŞ"})) - VLOOKUP(C1285, 'STOK RAPORU'!$C$2:$I$1000, 4, 0))), 0)</f>
        <v>0</v>
      </c>
      <c r="U1285" s="22">
        <f t="shared" si="80"/>
        <v>0</v>
      </c>
      <c r="V1285">
        <f t="shared" si="81"/>
        <v>0</v>
      </c>
      <c r="W1285" s="22">
        <f t="shared" si="82"/>
        <v>0</v>
      </c>
    </row>
    <row r="1286" spans="1:23" hidden="1" x14ac:dyDescent="0.25">
      <c r="A1286" s="3">
        <v>45981</v>
      </c>
      <c r="B1286" s="4" t="s">
        <v>334</v>
      </c>
      <c r="C1286" s="4" t="s">
        <v>463</v>
      </c>
      <c r="D1286" s="4"/>
      <c r="E1286" s="4" t="s">
        <v>921</v>
      </c>
      <c r="F1286" s="4" t="s">
        <v>867</v>
      </c>
      <c r="G1286" s="4" t="s">
        <v>336</v>
      </c>
      <c r="H1286" s="4" t="s">
        <v>380</v>
      </c>
      <c r="I1286" s="4">
        <v>0.316</v>
      </c>
      <c r="J1286" s="21">
        <v>370</v>
      </c>
      <c r="K1286" s="21">
        <v>116.92</v>
      </c>
      <c r="L1286" s="5">
        <v>0</v>
      </c>
      <c r="M1286" s="4">
        <v>0.316</v>
      </c>
      <c r="N1286" s="4"/>
      <c r="O1286" s="5">
        <v>370</v>
      </c>
      <c r="P1286" s="5"/>
      <c r="Q1286" s="21">
        <v>0</v>
      </c>
      <c r="R1286" s="21">
        <v>0</v>
      </c>
      <c r="S1286" s="5">
        <f t="shared" si="83"/>
        <v>52941.708760152018</v>
      </c>
      <c r="T1286" cm="1">
        <f t="array" ref="T1286">IF(OR(B1286="MAL ALIMI", B1286="ÜRETİM GİRİŞ"), MIN(I1286, MAX(0, I1286 + SUM(SUMIFS($I$1:I1285, $C$1:C1285, C1286, $B$1:B1285, {"MAL ALIMI","ÜRETİM GİRİŞ"})) - VLOOKUP(C1286, 'STOK RAPORU'!$C$2:$I$1000, 4, 0))), 0)</f>
        <v>0</v>
      </c>
      <c r="U1286" s="22">
        <f t="shared" si="80"/>
        <v>0</v>
      </c>
      <c r="V1286">
        <f t="shared" si="81"/>
        <v>0</v>
      </c>
      <c r="W1286" s="22">
        <f t="shared" si="82"/>
        <v>0</v>
      </c>
    </row>
    <row r="1287" spans="1:23" hidden="1" x14ac:dyDescent="0.25">
      <c r="A1287" s="3">
        <v>45981</v>
      </c>
      <c r="B1287" s="4" t="s">
        <v>334</v>
      </c>
      <c r="C1287" s="4" t="s">
        <v>690</v>
      </c>
      <c r="D1287" s="4"/>
      <c r="E1287" s="4" t="s">
        <v>921</v>
      </c>
      <c r="F1287" s="4" t="s">
        <v>867</v>
      </c>
      <c r="G1287" s="4" t="s">
        <v>336</v>
      </c>
      <c r="H1287" s="4" t="s">
        <v>380</v>
      </c>
      <c r="I1287" s="4">
        <v>0.35199999999999998</v>
      </c>
      <c r="J1287" s="21">
        <v>340</v>
      </c>
      <c r="K1287" s="21">
        <v>119.67999999999999</v>
      </c>
      <c r="L1287" s="5">
        <v>0</v>
      </c>
      <c r="M1287" s="4">
        <v>0.35199999999999998</v>
      </c>
      <c r="N1287" s="4"/>
      <c r="O1287" s="5">
        <v>340</v>
      </c>
      <c r="P1287" s="5"/>
      <c r="Q1287" s="21">
        <v>0</v>
      </c>
      <c r="R1287" s="21">
        <v>0</v>
      </c>
      <c r="S1287" s="5">
        <f t="shared" si="83"/>
        <v>52941.708760152018</v>
      </c>
      <c r="T1287" cm="1">
        <f t="array" ref="T1287">IF(OR(B1287="MAL ALIMI", B1287="ÜRETİM GİRİŞ"), MIN(I1287, MAX(0, I1287 + SUM(SUMIFS($I$1:I1286, $C$1:C1286, C1287, $B$1:B1286, {"MAL ALIMI","ÜRETİM GİRİŞ"})) - VLOOKUP(C1287, 'STOK RAPORU'!$C$2:$I$1000, 4, 0))), 0)</f>
        <v>0</v>
      </c>
      <c r="U1287" s="22">
        <f t="shared" si="80"/>
        <v>0</v>
      </c>
      <c r="V1287">
        <f t="shared" si="81"/>
        <v>0</v>
      </c>
      <c r="W1287" s="22">
        <f t="shared" si="82"/>
        <v>0</v>
      </c>
    </row>
    <row r="1288" spans="1:23" hidden="1" x14ac:dyDescent="0.25">
      <c r="A1288" s="3">
        <v>45981</v>
      </c>
      <c r="B1288" s="4" t="s">
        <v>334</v>
      </c>
      <c r="C1288" s="4" t="s">
        <v>587</v>
      </c>
      <c r="D1288" s="4"/>
      <c r="E1288" s="4" t="s">
        <v>921</v>
      </c>
      <c r="F1288" s="4" t="s">
        <v>868</v>
      </c>
      <c r="G1288" s="4" t="s">
        <v>336</v>
      </c>
      <c r="H1288" s="4" t="s">
        <v>380</v>
      </c>
      <c r="I1288" s="4">
        <v>1.304</v>
      </c>
      <c r="J1288" s="21">
        <v>130</v>
      </c>
      <c r="K1288" s="21">
        <v>169.52</v>
      </c>
      <c r="L1288" s="5">
        <v>0</v>
      </c>
      <c r="M1288" s="4">
        <v>1.304</v>
      </c>
      <c r="N1288" s="4"/>
      <c r="O1288" s="5">
        <v>130</v>
      </c>
      <c r="P1288" s="5"/>
      <c r="Q1288" s="21">
        <v>0</v>
      </c>
      <c r="R1288" s="21">
        <v>0</v>
      </c>
      <c r="S1288" s="5">
        <f t="shared" si="83"/>
        <v>52941.708760152018</v>
      </c>
      <c r="T1288" cm="1">
        <f t="array" ref="T1288">IF(OR(B1288="MAL ALIMI", B1288="ÜRETİM GİRİŞ"), MIN(I1288, MAX(0, I1288 + SUM(SUMIFS($I$1:I1287, $C$1:C1287, C1288, $B$1:B1287, {"MAL ALIMI","ÜRETİM GİRİŞ"})) - VLOOKUP(C1288, 'STOK RAPORU'!$C$2:$I$1000, 4, 0))), 0)</f>
        <v>0</v>
      </c>
      <c r="U1288" s="22">
        <f t="shared" si="80"/>
        <v>0</v>
      </c>
      <c r="V1288">
        <f t="shared" si="81"/>
        <v>0</v>
      </c>
      <c r="W1288" s="22">
        <f t="shared" si="82"/>
        <v>0</v>
      </c>
    </row>
    <row r="1289" spans="1:23" hidden="1" x14ac:dyDescent="0.25">
      <c r="A1289" s="3">
        <v>45981</v>
      </c>
      <c r="B1289" s="4" t="s">
        <v>334</v>
      </c>
      <c r="C1289" s="4" t="s">
        <v>167</v>
      </c>
      <c r="D1289" s="4"/>
      <c r="E1289" s="4"/>
      <c r="F1289" s="4" t="s">
        <v>869</v>
      </c>
      <c r="G1289" s="4" t="s">
        <v>336</v>
      </c>
      <c r="H1289" s="4" t="s">
        <v>289</v>
      </c>
      <c r="I1289" s="4">
        <v>0.5</v>
      </c>
      <c r="J1289" s="21">
        <v>200</v>
      </c>
      <c r="K1289" s="21">
        <v>0</v>
      </c>
      <c r="L1289" s="5">
        <v>0</v>
      </c>
      <c r="M1289" s="4">
        <v>0.5</v>
      </c>
      <c r="N1289" s="4"/>
      <c r="O1289" s="5">
        <v>200</v>
      </c>
      <c r="P1289" s="5"/>
      <c r="Q1289" s="21">
        <v>100</v>
      </c>
      <c r="R1289" s="21">
        <v>0</v>
      </c>
      <c r="S1289" s="5">
        <f t="shared" si="83"/>
        <v>53041.708760152018</v>
      </c>
      <c r="T1289" cm="1">
        <f t="array" ref="T1289">IF(OR(B1289="MAL ALIMI", B1289="ÜRETİM GİRİŞ"), MIN(I1289, MAX(0, I1289 + SUM(SUMIFS($I$1:I1288, $C$1:C1288, C1289, $B$1:B1288, {"MAL ALIMI","ÜRETİM GİRİŞ"})) - VLOOKUP(C1289, 'STOK RAPORU'!$C$2:$I$1000, 4, 0))), 0)</f>
        <v>0</v>
      </c>
      <c r="U1289" s="22">
        <f t="shared" si="80"/>
        <v>0</v>
      </c>
      <c r="V1289">
        <f t="shared" si="81"/>
        <v>0</v>
      </c>
      <c r="W1289" s="22">
        <f t="shared" si="82"/>
        <v>0</v>
      </c>
    </row>
    <row r="1290" spans="1:23" hidden="1" x14ac:dyDescent="0.25">
      <c r="A1290" s="3">
        <v>45981</v>
      </c>
      <c r="B1290" s="4" t="s">
        <v>334</v>
      </c>
      <c r="C1290" s="4" t="s">
        <v>225</v>
      </c>
      <c r="D1290" s="4"/>
      <c r="E1290" s="4"/>
      <c r="F1290" s="4" t="s">
        <v>870</v>
      </c>
      <c r="G1290" s="4" t="s">
        <v>336</v>
      </c>
      <c r="H1290" s="4" t="s">
        <v>289</v>
      </c>
      <c r="I1290" s="4">
        <v>7.6999999999999999E-2</v>
      </c>
      <c r="J1290" s="21">
        <v>650</v>
      </c>
      <c r="K1290" s="21">
        <v>0</v>
      </c>
      <c r="L1290" s="5">
        <v>0</v>
      </c>
      <c r="M1290" s="4">
        <v>7.6999999999999999E-2</v>
      </c>
      <c r="N1290" s="4"/>
      <c r="O1290" s="5">
        <v>650</v>
      </c>
      <c r="P1290" s="5"/>
      <c r="Q1290" s="21">
        <v>50.05</v>
      </c>
      <c r="R1290" s="21">
        <v>0</v>
      </c>
      <c r="S1290" s="5">
        <f t="shared" si="83"/>
        <v>53091.758760152021</v>
      </c>
      <c r="T1290" cm="1">
        <f t="array" ref="T1290">IF(OR(B1290="MAL ALIMI", B1290="ÜRETİM GİRİŞ"), MIN(I1290, MAX(0, I1290 + SUM(SUMIFS($I$1:I1289, $C$1:C1289, C1290, $B$1:B1289, {"MAL ALIMI","ÜRETİM GİRİŞ"})) - VLOOKUP(C1290, 'STOK RAPORU'!$C$2:$I$1000, 4, 0))), 0)</f>
        <v>0</v>
      </c>
      <c r="U1290" s="22">
        <f t="shared" si="80"/>
        <v>0</v>
      </c>
      <c r="V1290">
        <f t="shared" si="81"/>
        <v>0</v>
      </c>
      <c r="W1290" s="22">
        <f t="shared" si="82"/>
        <v>0</v>
      </c>
    </row>
    <row r="1291" spans="1:23" hidden="1" x14ac:dyDescent="0.25">
      <c r="A1291" s="3">
        <v>45981</v>
      </c>
      <c r="B1291" s="4" t="s">
        <v>334</v>
      </c>
      <c r="C1291" s="4" t="s">
        <v>133</v>
      </c>
      <c r="D1291" s="4"/>
      <c r="E1291" s="4"/>
      <c r="F1291" s="4" t="s">
        <v>871</v>
      </c>
      <c r="G1291" s="4" t="s">
        <v>336</v>
      </c>
      <c r="H1291" s="4" t="s">
        <v>289</v>
      </c>
      <c r="I1291" s="4">
        <v>0.19800000000000001</v>
      </c>
      <c r="J1291" s="21">
        <v>380</v>
      </c>
      <c r="K1291" s="21">
        <v>0</v>
      </c>
      <c r="L1291" s="5">
        <v>0</v>
      </c>
      <c r="M1291" s="4">
        <v>0.19800000000000001</v>
      </c>
      <c r="N1291" s="4"/>
      <c r="O1291" s="5">
        <v>380</v>
      </c>
      <c r="P1291" s="5"/>
      <c r="Q1291" s="21">
        <v>75.240000000000009</v>
      </c>
      <c r="R1291" s="21">
        <v>0</v>
      </c>
      <c r="S1291" s="5">
        <f t="shared" si="83"/>
        <v>53166.998760152019</v>
      </c>
      <c r="T1291" cm="1">
        <f t="array" ref="T1291">IF(OR(B1291="MAL ALIMI", B1291="ÜRETİM GİRİŞ"), MIN(I1291, MAX(0, I1291 + SUM(SUMIFS($I$1:I1290, $C$1:C1290, C1291, $B$1:B1290, {"MAL ALIMI","ÜRETİM GİRİŞ"})) - VLOOKUP(C1291, 'STOK RAPORU'!$C$2:$I$1000, 4, 0))), 0)</f>
        <v>0</v>
      </c>
      <c r="U1291" s="22">
        <f t="shared" si="80"/>
        <v>0</v>
      </c>
      <c r="V1291">
        <f t="shared" si="81"/>
        <v>0</v>
      </c>
      <c r="W1291" s="22">
        <f t="shared" si="82"/>
        <v>0</v>
      </c>
    </row>
    <row r="1292" spans="1:23" hidden="1" x14ac:dyDescent="0.25">
      <c r="A1292" s="3">
        <v>45981</v>
      </c>
      <c r="B1292" s="4" t="s">
        <v>334</v>
      </c>
      <c r="C1292" s="4" t="s">
        <v>262</v>
      </c>
      <c r="D1292" s="4"/>
      <c r="E1292" s="4"/>
      <c r="F1292" s="4" t="s">
        <v>871</v>
      </c>
      <c r="G1292" s="4" t="s">
        <v>336</v>
      </c>
      <c r="H1292" s="4" t="s">
        <v>289</v>
      </c>
      <c r="I1292" s="4">
        <v>1</v>
      </c>
      <c r="J1292" s="21">
        <v>140</v>
      </c>
      <c r="K1292" s="21">
        <v>0</v>
      </c>
      <c r="L1292" s="5">
        <v>0</v>
      </c>
      <c r="M1292" s="4">
        <v>1</v>
      </c>
      <c r="N1292" s="4"/>
      <c r="O1292" s="5">
        <v>140</v>
      </c>
      <c r="P1292" s="5"/>
      <c r="Q1292" s="21">
        <v>140</v>
      </c>
      <c r="R1292" s="21">
        <v>0</v>
      </c>
      <c r="S1292" s="5">
        <f t="shared" si="83"/>
        <v>53306.998760152019</v>
      </c>
      <c r="T1292" cm="1">
        <f t="array" ref="T1292">IF(OR(B1292="MAL ALIMI", B1292="ÜRETİM GİRİŞ"), MIN(I1292, MAX(0, I1292 + SUM(SUMIFS($I$1:I1291, $C$1:C1291, C1292, $B$1:B1291, {"MAL ALIMI","ÜRETİM GİRİŞ"})) - VLOOKUP(C1292, 'STOK RAPORU'!$C$2:$I$1000, 4, 0))), 0)</f>
        <v>0</v>
      </c>
      <c r="U1292" s="22">
        <f t="shared" si="80"/>
        <v>0</v>
      </c>
      <c r="V1292">
        <f t="shared" si="81"/>
        <v>0</v>
      </c>
      <c r="W1292" s="22">
        <f t="shared" si="82"/>
        <v>0</v>
      </c>
    </row>
    <row r="1293" spans="1:23" hidden="1" x14ac:dyDescent="0.25">
      <c r="A1293" s="3">
        <v>45981</v>
      </c>
      <c r="B1293" s="4" t="s">
        <v>334</v>
      </c>
      <c r="C1293" s="4" t="s">
        <v>89</v>
      </c>
      <c r="D1293" s="4"/>
      <c r="E1293" s="4"/>
      <c r="F1293" s="4" t="s">
        <v>871</v>
      </c>
      <c r="G1293" s="4" t="s">
        <v>336</v>
      </c>
      <c r="H1293" s="4" t="s">
        <v>289</v>
      </c>
      <c r="I1293" s="4">
        <v>0.1</v>
      </c>
      <c r="J1293" s="21">
        <v>650</v>
      </c>
      <c r="K1293" s="21">
        <v>0</v>
      </c>
      <c r="L1293" s="5">
        <v>0</v>
      </c>
      <c r="M1293" s="4">
        <v>1</v>
      </c>
      <c r="N1293" s="4"/>
      <c r="O1293" s="5">
        <v>65</v>
      </c>
      <c r="P1293" s="5"/>
      <c r="Q1293" s="21">
        <v>65</v>
      </c>
      <c r="R1293" s="21">
        <v>0</v>
      </c>
      <c r="S1293" s="5">
        <f t="shared" si="83"/>
        <v>53371.998760152019</v>
      </c>
      <c r="T1293" cm="1">
        <f t="array" ref="T1293">IF(OR(B1293="MAL ALIMI", B1293="ÜRETİM GİRİŞ"), MIN(I1293, MAX(0, I1293 + SUM(SUMIFS($I$1:I1292, $C$1:C1292, C1293, $B$1:B1292, {"MAL ALIMI","ÜRETİM GİRİŞ"})) - VLOOKUP(C1293, 'STOK RAPORU'!$C$2:$I$1000, 4, 0))), 0)</f>
        <v>0</v>
      </c>
      <c r="U1293" s="22">
        <f t="shared" si="80"/>
        <v>0</v>
      </c>
      <c r="V1293">
        <f t="shared" si="81"/>
        <v>0</v>
      </c>
      <c r="W1293" s="22">
        <f t="shared" si="82"/>
        <v>0</v>
      </c>
    </row>
    <row r="1294" spans="1:23" hidden="1" x14ac:dyDescent="0.25">
      <c r="A1294" s="3">
        <v>45981</v>
      </c>
      <c r="B1294" s="4" t="s">
        <v>334</v>
      </c>
      <c r="C1294" s="4" t="s">
        <v>649</v>
      </c>
      <c r="D1294" s="4"/>
      <c r="E1294" s="4"/>
      <c r="F1294" s="4" t="s">
        <v>871</v>
      </c>
      <c r="G1294" s="4" t="s">
        <v>336</v>
      </c>
      <c r="H1294" s="4" t="s">
        <v>289</v>
      </c>
      <c r="I1294" s="4">
        <v>1</v>
      </c>
      <c r="J1294" s="21">
        <v>350</v>
      </c>
      <c r="K1294" s="21">
        <v>0</v>
      </c>
      <c r="L1294" s="5">
        <v>0</v>
      </c>
      <c r="M1294" s="4">
        <v>1</v>
      </c>
      <c r="N1294" s="4"/>
      <c r="O1294" s="5">
        <v>350</v>
      </c>
      <c r="P1294" s="5"/>
      <c r="Q1294" s="21">
        <v>350</v>
      </c>
      <c r="R1294" s="21">
        <v>0</v>
      </c>
      <c r="S1294" s="5">
        <f t="shared" si="83"/>
        <v>53721.998760152019</v>
      </c>
      <c r="T1294" cm="1">
        <f t="array" ref="T1294">IF(OR(B1294="MAL ALIMI", B1294="ÜRETİM GİRİŞ"), MIN(I1294, MAX(0, I1294 + SUM(SUMIFS($I$1:I1293, $C$1:C1293, C1294, $B$1:B1293, {"MAL ALIMI","ÜRETİM GİRİŞ"})) - VLOOKUP(C1294, 'STOK RAPORU'!$C$2:$I$1000, 4, 0))), 0)</f>
        <v>0</v>
      </c>
      <c r="U1294" s="22">
        <f t="shared" si="80"/>
        <v>0</v>
      </c>
      <c r="V1294">
        <f t="shared" si="81"/>
        <v>0</v>
      </c>
      <c r="W1294" s="22">
        <f t="shared" si="82"/>
        <v>0</v>
      </c>
    </row>
    <row r="1295" spans="1:23" hidden="1" x14ac:dyDescent="0.25">
      <c r="A1295" s="3">
        <v>45981</v>
      </c>
      <c r="B1295" s="4" t="s">
        <v>334</v>
      </c>
      <c r="C1295" s="4" t="s">
        <v>266</v>
      </c>
      <c r="D1295" s="4"/>
      <c r="E1295" s="4"/>
      <c r="F1295" s="4" t="s">
        <v>872</v>
      </c>
      <c r="G1295" s="4" t="s">
        <v>336</v>
      </c>
      <c r="H1295" s="4" t="s">
        <v>289</v>
      </c>
      <c r="I1295" s="4">
        <v>0.45500000000000002</v>
      </c>
      <c r="J1295" s="21">
        <v>300</v>
      </c>
      <c r="K1295" s="21">
        <v>0</v>
      </c>
      <c r="L1295" s="5">
        <v>0</v>
      </c>
      <c r="M1295" s="4">
        <v>0.45500000000000002</v>
      </c>
      <c r="N1295" s="4"/>
      <c r="O1295" s="5">
        <v>300</v>
      </c>
      <c r="P1295" s="5"/>
      <c r="Q1295" s="21">
        <v>136.5</v>
      </c>
      <c r="R1295" s="21">
        <v>0</v>
      </c>
      <c r="S1295" s="5">
        <f t="shared" si="83"/>
        <v>53858.498760152019</v>
      </c>
      <c r="T1295" cm="1">
        <f t="array" ref="T1295">IF(OR(B1295="MAL ALIMI", B1295="ÜRETİM GİRİŞ"), MIN(I1295, MAX(0, I1295 + SUM(SUMIFS($I$1:I1294, $C$1:C1294, C1295, $B$1:B1294, {"MAL ALIMI","ÜRETİM GİRİŞ"})) - VLOOKUP(C1295, 'STOK RAPORU'!$C$2:$I$1000, 4, 0))), 0)</f>
        <v>0</v>
      </c>
      <c r="U1295" s="22">
        <f t="shared" si="80"/>
        <v>0</v>
      </c>
      <c r="V1295">
        <f t="shared" si="81"/>
        <v>0</v>
      </c>
      <c r="W1295" s="22">
        <f t="shared" si="82"/>
        <v>0</v>
      </c>
    </row>
    <row r="1296" spans="1:23" hidden="1" x14ac:dyDescent="0.25">
      <c r="A1296" s="3">
        <v>45981</v>
      </c>
      <c r="B1296" s="4" t="s">
        <v>334</v>
      </c>
      <c r="C1296" s="4" t="s">
        <v>241</v>
      </c>
      <c r="D1296" s="4"/>
      <c r="E1296" s="4"/>
      <c r="F1296" s="4" t="s">
        <v>872</v>
      </c>
      <c r="G1296" s="4" t="s">
        <v>336</v>
      </c>
      <c r="H1296" s="4" t="s">
        <v>289</v>
      </c>
      <c r="I1296" s="4">
        <v>0.28000000000000003</v>
      </c>
      <c r="J1296" s="21">
        <v>360</v>
      </c>
      <c r="K1296" s="21">
        <v>0</v>
      </c>
      <c r="L1296" s="5">
        <v>0</v>
      </c>
      <c r="M1296" s="4">
        <v>0.28000000000000003</v>
      </c>
      <c r="N1296" s="4"/>
      <c r="O1296" s="5">
        <v>360</v>
      </c>
      <c r="P1296" s="5"/>
      <c r="Q1296" s="21">
        <v>100.80000000000001</v>
      </c>
      <c r="R1296" s="21">
        <v>0</v>
      </c>
      <c r="S1296" s="5">
        <f t="shared" si="83"/>
        <v>53959.298760152022</v>
      </c>
      <c r="T1296" cm="1">
        <f t="array" ref="T1296">IF(OR(B1296="MAL ALIMI", B1296="ÜRETİM GİRİŞ"), MIN(I1296, MAX(0, I1296 + SUM(SUMIFS($I$1:I1295, $C$1:C1295, C1296, $B$1:B1295, {"MAL ALIMI","ÜRETİM GİRİŞ"})) - VLOOKUP(C1296, 'STOK RAPORU'!$C$2:$I$1000, 4, 0))), 0)</f>
        <v>0</v>
      </c>
      <c r="U1296" s="22">
        <f t="shared" si="80"/>
        <v>0</v>
      </c>
      <c r="V1296">
        <f t="shared" si="81"/>
        <v>0</v>
      </c>
      <c r="W1296" s="22">
        <f t="shared" si="82"/>
        <v>0</v>
      </c>
    </row>
    <row r="1297" spans="1:23" hidden="1" x14ac:dyDescent="0.25">
      <c r="A1297" s="3">
        <v>45981</v>
      </c>
      <c r="B1297" s="4" t="s">
        <v>334</v>
      </c>
      <c r="C1297" s="4" t="s">
        <v>131</v>
      </c>
      <c r="D1297" s="4"/>
      <c r="E1297" s="4" t="s">
        <v>921</v>
      </c>
      <c r="F1297" s="4" t="s">
        <v>873</v>
      </c>
      <c r="G1297" s="4" t="s">
        <v>336</v>
      </c>
      <c r="H1297" s="4" t="s">
        <v>380</v>
      </c>
      <c r="I1297" s="4">
        <v>0.1</v>
      </c>
      <c r="J1297" s="21">
        <v>400</v>
      </c>
      <c r="K1297" s="21">
        <v>40</v>
      </c>
      <c r="L1297" s="5">
        <v>0</v>
      </c>
      <c r="M1297" s="4">
        <v>0.1</v>
      </c>
      <c r="N1297" s="4"/>
      <c r="O1297" s="5">
        <v>400</v>
      </c>
      <c r="P1297" s="5"/>
      <c r="Q1297" s="21">
        <v>0</v>
      </c>
      <c r="R1297" s="21">
        <v>0</v>
      </c>
      <c r="S1297" s="5">
        <f t="shared" si="83"/>
        <v>53959.298760152022</v>
      </c>
      <c r="T1297" cm="1">
        <f t="array" ref="T1297">IF(OR(B1297="MAL ALIMI", B1297="ÜRETİM GİRİŞ"), MIN(I1297, MAX(0, I1297 + SUM(SUMIFS($I$1:I1296, $C$1:C1296, C1297, $B$1:B1296, {"MAL ALIMI","ÜRETİM GİRİŞ"})) - VLOOKUP(C1297, 'STOK RAPORU'!$C$2:$I$1000, 4, 0))), 0)</f>
        <v>0</v>
      </c>
      <c r="U1297" s="22">
        <f t="shared" si="80"/>
        <v>0</v>
      </c>
      <c r="V1297">
        <f t="shared" si="81"/>
        <v>0</v>
      </c>
      <c r="W1297" s="22">
        <f t="shared" si="82"/>
        <v>0</v>
      </c>
    </row>
    <row r="1298" spans="1:23" hidden="1" x14ac:dyDescent="0.25">
      <c r="A1298" s="3">
        <v>45981</v>
      </c>
      <c r="B1298" s="4" t="s">
        <v>334</v>
      </c>
      <c r="C1298" s="4" t="s">
        <v>98</v>
      </c>
      <c r="D1298" s="4"/>
      <c r="E1298" s="4" t="s">
        <v>921</v>
      </c>
      <c r="F1298" s="4" t="s">
        <v>873</v>
      </c>
      <c r="G1298" s="4" t="s">
        <v>336</v>
      </c>
      <c r="H1298" s="4" t="s">
        <v>380</v>
      </c>
      <c r="I1298" s="4">
        <v>0.13200000000000001</v>
      </c>
      <c r="J1298" s="21">
        <v>360</v>
      </c>
      <c r="K1298" s="21">
        <v>47.52</v>
      </c>
      <c r="L1298" s="5">
        <v>0</v>
      </c>
      <c r="M1298" s="4">
        <v>0.13200000000000001</v>
      </c>
      <c r="N1298" s="4"/>
      <c r="O1298" s="5">
        <v>360</v>
      </c>
      <c r="P1298" s="5"/>
      <c r="Q1298" s="21">
        <v>0</v>
      </c>
      <c r="R1298" s="21">
        <v>0</v>
      </c>
      <c r="S1298" s="5">
        <f t="shared" si="83"/>
        <v>53959.298760152022</v>
      </c>
      <c r="T1298" cm="1">
        <f t="array" ref="T1298">IF(OR(B1298="MAL ALIMI", B1298="ÜRETİM GİRİŞ"), MIN(I1298, MAX(0, I1298 + SUM(SUMIFS($I$1:I1297, $C$1:C1297, C1298, $B$1:B1297, {"MAL ALIMI","ÜRETİM GİRİŞ"})) - VLOOKUP(C1298, 'STOK RAPORU'!$C$2:$I$1000, 4, 0))), 0)</f>
        <v>0</v>
      </c>
      <c r="U1298" s="22">
        <f t="shared" si="80"/>
        <v>0</v>
      </c>
      <c r="V1298">
        <f t="shared" si="81"/>
        <v>0</v>
      </c>
      <c r="W1298" s="22">
        <f t="shared" si="82"/>
        <v>0</v>
      </c>
    </row>
    <row r="1299" spans="1:23" hidden="1" x14ac:dyDescent="0.25">
      <c r="A1299" s="3">
        <v>45981</v>
      </c>
      <c r="B1299" s="4" t="s">
        <v>334</v>
      </c>
      <c r="C1299" s="4" t="s">
        <v>523</v>
      </c>
      <c r="D1299" s="4"/>
      <c r="E1299" s="4" t="s">
        <v>921</v>
      </c>
      <c r="F1299" s="4" t="s">
        <v>873</v>
      </c>
      <c r="G1299" s="4" t="s">
        <v>336</v>
      </c>
      <c r="H1299" s="4" t="s">
        <v>380</v>
      </c>
      <c r="I1299" s="4">
        <v>0.1</v>
      </c>
      <c r="J1299" s="21">
        <v>650</v>
      </c>
      <c r="K1299" s="21">
        <v>65</v>
      </c>
      <c r="L1299" s="5">
        <v>0</v>
      </c>
      <c r="M1299" s="4">
        <v>1</v>
      </c>
      <c r="N1299" s="4"/>
      <c r="O1299" s="5">
        <v>65</v>
      </c>
      <c r="P1299" s="5"/>
      <c r="Q1299" s="21">
        <v>0</v>
      </c>
      <c r="R1299" s="21">
        <v>0</v>
      </c>
      <c r="S1299" s="5">
        <f t="shared" si="83"/>
        <v>53959.298760152022</v>
      </c>
      <c r="T1299" cm="1">
        <f t="array" ref="T1299">IF(OR(B1299="MAL ALIMI", B1299="ÜRETİM GİRİŞ"), MIN(I1299, MAX(0, I1299 + SUM(SUMIFS($I$1:I1298, $C$1:C1298, C1299, $B$1:B1298, {"MAL ALIMI","ÜRETİM GİRİŞ"})) - VLOOKUP(C1299, 'STOK RAPORU'!$C$2:$I$1000, 4, 0))), 0)</f>
        <v>0</v>
      </c>
      <c r="U1299" s="22">
        <f t="shared" si="80"/>
        <v>0</v>
      </c>
      <c r="V1299">
        <f t="shared" si="81"/>
        <v>0</v>
      </c>
      <c r="W1299" s="22">
        <f t="shared" si="82"/>
        <v>0</v>
      </c>
    </row>
    <row r="1300" spans="1:23" hidden="1" x14ac:dyDescent="0.25">
      <c r="A1300" s="3">
        <v>45981</v>
      </c>
      <c r="B1300" s="4" t="s">
        <v>334</v>
      </c>
      <c r="C1300" s="4" t="s">
        <v>237</v>
      </c>
      <c r="D1300" s="4"/>
      <c r="E1300" s="4" t="s">
        <v>921</v>
      </c>
      <c r="F1300" s="4" t="s">
        <v>873</v>
      </c>
      <c r="G1300" s="4" t="s">
        <v>336</v>
      </c>
      <c r="H1300" s="4" t="s">
        <v>380</v>
      </c>
      <c r="I1300" s="4">
        <v>0.04</v>
      </c>
      <c r="J1300" s="21">
        <v>2250</v>
      </c>
      <c r="K1300" s="21">
        <v>90</v>
      </c>
      <c r="L1300" s="5">
        <v>0</v>
      </c>
      <c r="M1300" s="4">
        <v>1</v>
      </c>
      <c r="N1300" s="4"/>
      <c r="O1300" s="5">
        <v>90</v>
      </c>
      <c r="P1300" s="5"/>
      <c r="Q1300" s="21">
        <v>0</v>
      </c>
      <c r="R1300" s="21">
        <v>0</v>
      </c>
      <c r="S1300" s="5">
        <f t="shared" si="83"/>
        <v>53959.298760152022</v>
      </c>
      <c r="T1300" cm="1">
        <f t="array" ref="T1300">IF(OR(B1300="MAL ALIMI", B1300="ÜRETİM GİRİŞ"), MIN(I1300, MAX(0, I1300 + SUM(SUMIFS($I$1:I1299, $C$1:C1299, C1300, $B$1:B1299, {"MAL ALIMI","ÜRETİM GİRİŞ"})) - VLOOKUP(C1300, 'STOK RAPORU'!$C$2:$I$1000, 4, 0))), 0)</f>
        <v>0</v>
      </c>
      <c r="U1300" s="22">
        <f t="shared" si="80"/>
        <v>0</v>
      </c>
      <c r="V1300">
        <f t="shared" si="81"/>
        <v>0</v>
      </c>
      <c r="W1300" s="22">
        <f t="shared" si="82"/>
        <v>0</v>
      </c>
    </row>
    <row r="1301" spans="1:23" hidden="1" x14ac:dyDescent="0.25">
      <c r="A1301" s="3">
        <v>45981</v>
      </c>
      <c r="B1301" s="4" t="s">
        <v>334</v>
      </c>
      <c r="C1301" s="4" t="s">
        <v>597</v>
      </c>
      <c r="D1301" s="4"/>
      <c r="E1301" s="4" t="s">
        <v>921</v>
      </c>
      <c r="F1301" s="4" t="s">
        <v>874</v>
      </c>
      <c r="G1301" s="4" t="s">
        <v>336</v>
      </c>
      <c r="H1301" s="4" t="s">
        <v>380</v>
      </c>
      <c r="I1301" s="4">
        <v>2</v>
      </c>
      <c r="J1301" s="21">
        <v>290</v>
      </c>
      <c r="K1301" s="21">
        <v>580</v>
      </c>
      <c r="L1301" s="5">
        <v>0</v>
      </c>
      <c r="M1301" s="4">
        <v>2</v>
      </c>
      <c r="N1301" s="4"/>
      <c r="O1301" s="5">
        <v>290</v>
      </c>
      <c r="P1301" s="5"/>
      <c r="Q1301" s="21">
        <v>0</v>
      </c>
      <c r="R1301" s="21">
        <v>0</v>
      </c>
      <c r="S1301" s="5">
        <f t="shared" si="83"/>
        <v>53959.298760152022</v>
      </c>
      <c r="T1301" cm="1">
        <f t="array" ref="T1301">IF(OR(B1301="MAL ALIMI", B1301="ÜRETİM GİRİŞ"), MIN(I1301, MAX(0, I1301 + SUM(SUMIFS($I$1:I1300, $C$1:C1300, C1301, $B$1:B1300, {"MAL ALIMI","ÜRETİM GİRİŞ"})) - VLOOKUP(C1301, 'STOK RAPORU'!$C$2:$I$1000, 4, 0))), 0)</f>
        <v>0</v>
      </c>
      <c r="U1301" s="22">
        <f t="shared" si="80"/>
        <v>0</v>
      </c>
      <c r="V1301">
        <f t="shared" si="81"/>
        <v>0</v>
      </c>
      <c r="W1301" s="22">
        <f t="shared" si="82"/>
        <v>0</v>
      </c>
    </row>
    <row r="1302" spans="1:23" hidden="1" x14ac:dyDescent="0.25">
      <c r="A1302" s="3">
        <v>45981</v>
      </c>
      <c r="B1302" s="4" t="s">
        <v>334</v>
      </c>
      <c r="C1302" s="4" t="s">
        <v>591</v>
      </c>
      <c r="D1302" s="4"/>
      <c r="E1302" s="4"/>
      <c r="F1302" s="4" t="s">
        <v>890</v>
      </c>
      <c r="G1302" s="4" t="s">
        <v>336</v>
      </c>
      <c r="H1302" s="4" t="s">
        <v>289</v>
      </c>
      <c r="I1302" s="4">
        <v>1</v>
      </c>
      <c r="J1302" s="21">
        <v>350</v>
      </c>
      <c r="K1302" s="21">
        <v>0</v>
      </c>
      <c r="L1302" s="5">
        <v>0</v>
      </c>
      <c r="M1302" s="4">
        <v>1</v>
      </c>
      <c r="N1302" s="4"/>
      <c r="O1302" s="5">
        <v>350</v>
      </c>
      <c r="P1302" s="5"/>
      <c r="Q1302" s="21">
        <v>350</v>
      </c>
      <c r="R1302" s="21">
        <v>0</v>
      </c>
      <c r="S1302" s="5">
        <f t="shared" si="83"/>
        <v>54309.298760152022</v>
      </c>
      <c r="T1302" cm="1">
        <f t="array" ref="T1302">IF(OR(B1302="MAL ALIMI", B1302="ÜRETİM GİRİŞ"), MIN(I1302, MAX(0, I1302 + SUM(SUMIFS($I$1:I1301, $C$1:C1301, C1302, $B$1:B1301, {"MAL ALIMI","ÜRETİM GİRİŞ"})) - VLOOKUP(C1302, 'STOK RAPORU'!$C$2:$I$1000, 4, 0))), 0)</f>
        <v>0</v>
      </c>
      <c r="U1302" s="22">
        <f t="shared" si="80"/>
        <v>0</v>
      </c>
      <c r="V1302">
        <f t="shared" si="81"/>
        <v>0</v>
      </c>
      <c r="W1302" s="22">
        <f t="shared" si="82"/>
        <v>0</v>
      </c>
    </row>
    <row r="1303" spans="1:23" hidden="1" x14ac:dyDescent="0.25">
      <c r="A1303" s="3">
        <v>45982</v>
      </c>
      <c r="B1303" s="4" t="s">
        <v>298</v>
      </c>
      <c r="C1303" s="4" t="s">
        <v>192</v>
      </c>
      <c r="D1303" s="4"/>
      <c r="E1303" s="4" t="s">
        <v>350</v>
      </c>
      <c r="F1303" s="4" t="s">
        <v>909</v>
      </c>
      <c r="G1303" s="4" t="s">
        <v>350</v>
      </c>
      <c r="H1303" s="4" t="s">
        <v>304</v>
      </c>
      <c r="I1303" s="4">
        <v>1</v>
      </c>
      <c r="J1303" s="21">
        <v>85</v>
      </c>
      <c r="K1303" s="21">
        <v>0</v>
      </c>
      <c r="L1303" s="5">
        <v>85</v>
      </c>
      <c r="M1303" s="4"/>
      <c r="N1303" s="4">
        <v>1</v>
      </c>
      <c r="O1303" s="5"/>
      <c r="P1303" s="5">
        <v>85</v>
      </c>
      <c r="Q1303" s="21">
        <v>0</v>
      </c>
      <c r="R1303" s="21">
        <v>0</v>
      </c>
      <c r="S1303" s="5">
        <f t="shared" si="83"/>
        <v>54309.298760152022</v>
      </c>
      <c r="T1303" cm="1">
        <f t="array" ref="T1303">IF(OR(B1303="MAL ALIMI", B1303="ÜRETİM GİRİŞ"), MIN(I1303, MAX(0, I1303 + SUM(SUMIFS($I$1:I1302, $C$1:C1302, C1303, $B$1:B1302, {"MAL ALIMI","ÜRETİM GİRİŞ"})) - VLOOKUP(C1303, 'STOK RAPORU'!$C$2:$I$1000, 4, 0))), 0)</f>
        <v>0</v>
      </c>
      <c r="U1303" s="22">
        <f t="shared" si="80"/>
        <v>0</v>
      </c>
      <c r="V1303">
        <f t="shared" si="81"/>
        <v>85</v>
      </c>
      <c r="W1303" s="22">
        <f t="shared" si="82"/>
        <v>85</v>
      </c>
    </row>
    <row r="1304" spans="1:23" hidden="1" x14ac:dyDescent="0.25">
      <c r="A1304" s="3">
        <v>45982</v>
      </c>
      <c r="B1304" s="4" t="s">
        <v>298</v>
      </c>
      <c r="C1304" s="4" t="s">
        <v>251</v>
      </c>
      <c r="D1304" s="4"/>
      <c r="E1304" s="4" t="s">
        <v>350</v>
      </c>
      <c r="F1304" s="4" t="s">
        <v>909</v>
      </c>
      <c r="G1304" s="4" t="s">
        <v>350</v>
      </c>
      <c r="H1304" s="4" t="s">
        <v>304</v>
      </c>
      <c r="I1304" s="4">
        <v>5</v>
      </c>
      <c r="J1304" s="21">
        <v>400</v>
      </c>
      <c r="K1304" s="21">
        <v>0</v>
      </c>
      <c r="L1304" s="5">
        <v>2000</v>
      </c>
      <c r="M1304" s="4"/>
      <c r="N1304" s="4">
        <v>5</v>
      </c>
      <c r="O1304" s="5"/>
      <c r="P1304" s="5">
        <v>400</v>
      </c>
      <c r="Q1304" s="21">
        <v>0</v>
      </c>
      <c r="R1304" s="21">
        <v>0</v>
      </c>
      <c r="S1304" s="5">
        <f t="shared" si="83"/>
        <v>54309.298760152022</v>
      </c>
      <c r="T1304" cm="1">
        <f t="array" ref="T1304">IF(OR(B1304="MAL ALIMI", B1304="ÜRETİM GİRİŞ"), MIN(I1304, MAX(0, I1304 + SUM(SUMIFS($I$1:I1303, $C$1:C1303, C1304, $B$1:B1303, {"MAL ALIMI","ÜRETİM GİRİŞ"})) - VLOOKUP(C1304, 'STOK RAPORU'!$C$2:$I$1000, 4, 0))), 0)</f>
        <v>0</v>
      </c>
      <c r="U1304" s="22">
        <f t="shared" si="80"/>
        <v>0</v>
      </c>
      <c r="V1304">
        <f t="shared" si="81"/>
        <v>2000</v>
      </c>
      <c r="W1304" s="22">
        <f t="shared" si="82"/>
        <v>2000</v>
      </c>
    </row>
    <row r="1305" spans="1:23" hidden="1" x14ac:dyDescent="0.25">
      <c r="A1305" s="3">
        <v>45982</v>
      </c>
      <c r="B1305" s="4" t="s">
        <v>298</v>
      </c>
      <c r="C1305" s="4" t="s">
        <v>892</v>
      </c>
      <c r="D1305" s="4"/>
      <c r="E1305" s="4" t="s">
        <v>350</v>
      </c>
      <c r="F1305" s="4" t="s">
        <v>909</v>
      </c>
      <c r="G1305" s="4" t="s">
        <v>350</v>
      </c>
      <c r="H1305" s="4" t="s">
        <v>304</v>
      </c>
      <c r="I1305" s="4">
        <v>10</v>
      </c>
      <c r="J1305" s="21">
        <v>24.5</v>
      </c>
      <c r="K1305" s="21">
        <v>0</v>
      </c>
      <c r="L1305" s="5">
        <v>245</v>
      </c>
      <c r="M1305" s="4"/>
      <c r="N1305" s="4">
        <v>10</v>
      </c>
      <c r="O1305" s="5"/>
      <c r="P1305" s="5">
        <v>24.5</v>
      </c>
      <c r="Q1305" s="21">
        <v>0</v>
      </c>
      <c r="R1305" s="21">
        <v>0</v>
      </c>
      <c r="S1305" s="5">
        <f t="shared" si="83"/>
        <v>54309.298760152022</v>
      </c>
      <c r="T1305" cm="1">
        <f t="array" ref="T1305">IF(OR(B1305="MAL ALIMI", B1305="ÜRETİM GİRİŞ"), MIN(I1305, MAX(0, I1305 + SUM(SUMIFS($I$1:I1304, $C$1:C1304, C1305, $B$1:B1304, {"MAL ALIMI","ÜRETİM GİRİŞ"})) - VLOOKUP(C1305, 'STOK RAPORU'!$C$2:$I$1000, 4, 0))), 0)</f>
        <v>0</v>
      </c>
      <c r="U1305" s="22">
        <f t="shared" si="80"/>
        <v>0</v>
      </c>
      <c r="V1305">
        <f t="shared" si="81"/>
        <v>245</v>
      </c>
      <c r="W1305" s="22">
        <f t="shared" si="82"/>
        <v>245</v>
      </c>
    </row>
    <row r="1306" spans="1:23" hidden="1" x14ac:dyDescent="0.25">
      <c r="A1306" s="3">
        <v>45982</v>
      </c>
      <c r="B1306" s="4" t="s">
        <v>298</v>
      </c>
      <c r="C1306" s="4" t="s">
        <v>893</v>
      </c>
      <c r="D1306" s="4"/>
      <c r="E1306" s="4" t="s">
        <v>350</v>
      </c>
      <c r="F1306" s="4" t="s">
        <v>909</v>
      </c>
      <c r="G1306" s="4" t="s">
        <v>350</v>
      </c>
      <c r="H1306" s="4" t="s">
        <v>304</v>
      </c>
      <c r="I1306" s="4">
        <v>12</v>
      </c>
      <c r="J1306" s="21">
        <v>95</v>
      </c>
      <c r="K1306" s="21">
        <v>0</v>
      </c>
      <c r="L1306" s="5">
        <v>1140</v>
      </c>
      <c r="M1306" s="4"/>
      <c r="N1306" s="4">
        <v>12</v>
      </c>
      <c r="O1306" s="5"/>
      <c r="P1306" s="5">
        <v>95</v>
      </c>
      <c r="Q1306" s="21">
        <v>0</v>
      </c>
      <c r="R1306" s="21">
        <v>0</v>
      </c>
      <c r="S1306" s="5">
        <f t="shared" si="83"/>
        <v>54309.298760152022</v>
      </c>
      <c r="T1306" cm="1">
        <f t="array" ref="T1306">IF(OR(B1306="MAL ALIMI", B1306="ÜRETİM GİRİŞ"), MIN(I1306, MAX(0, I1306 + SUM(SUMIFS($I$1:I1305, $C$1:C1305, C1306, $B$1:B1305, {"MAL ALIMI","ÜRETİM GİRİŞ"})) - VLOOKUP(C1306, 'STOK RAPORU'!$C$2:$I$1000, 4, 0))), 0)</f>
        <v>9</v>
      </c>
      <c r="U1306" s="22">
        <f t="shared" si="80"/>
        <v>855</v>
      </c>
      <c r="V1306">
        <f t="shared" si="81"/>
        <v>1140</v>
      </c>
      <c r="W1306" s="22">
        <f t="shared" si="82"/>
        <v>285</v>
      </c>
    </row>
    <row r="1307" spans="1:23" hidden="1" x14ac:dyDescent="0.25">
      <c r="A1307" s="3">
        <v>45982</v>
      </c>
      <c r="B1307" s="4" t="s">
        <v>298</v>
      </c>
      <c r="C1307" s="4" t="s">
        <v>894</v>
      </c>
      <c r="D1307" s="4"/>
      <c r="E1307" s="4" t="s">
        <v>350</v>
      </c>
      <c r="F1307" s="4" t="s">
        <v>909</v>
      </c>
      <c r="G1307" s="4" t="s">
        <v>350</v>
      </c>
      <c r="H1307" s="4" t="s">
        <v>304</v>
      </c>
      <c r="I1307" s="4">
        <v>12</v>
      </c>
      <c r="J1307" s="21">
        <v>145</v>
      </c>
      <c r="K1307" s="21">
        <v>0</v>
      </c>
      <c r="L1307" s="5">
        <v>1740</v>
      </c>
      <c r="M1307" s="4"/>
      <c r="N1307" s="4">
        <v>12</v>
      </c>
      <c r="O1307" s="5"/>
      <c r="P1307" s="5">
        <v>145</v>
      </c>
      <c r="Q1307" s="21">
        <v>0</v>
      </c>
      <c r="R1307" s="21">
        <v>0</v>
      </c>
      <c r="S1307" s="5">
        <f t="shared" si="83"/>
        <v>54309.298760152022</v>
      </c>
      <c r="T1307" cm="1">
        <f t="array" ref="T1307">IF(OR(B1307="MAL ALIMI", B1307="ÜRETİM GİRİŞ"), MIN(I1307, MAX(0, I1307 + SUM(SUMIFS($I$1:I1306, $C$1:C1306, C1307, $B$1:B1306, {"MAL ALIMI","ÜRETİM GİRİŞ"})) - VLOOKUP(C1307, 'STOK RAPORU'!$C$2:$I$1000, 4, 0))), 0)</f>
        <v>12</v>
      </c>
      <c r="U1307" s="22">
        <f t="shared" si="80"/>
        <v>1740</v>
      </c>
      <c r="V1307">
        <f t="shared" si="81"/>
        <v>1740</v>
      </c>
      <c r="W1307" s="22">
        <f t="shared" si="82"/>
        <v>0</v>
      </c>
    </row>
    <row r="1308" spans="1:23" hidden="1" x14ac:dyDescent="0.25">
      <c r="A1308" s="3">
        <v>45982</v>
      </c>
      <c r="B1308" s="4" t="s">
        <v>298</v>
      </c>
      <c r="C1308" s="4" t="s">
        <v>463</v>
      </c>
      <c r="D1308" s="4"/>
      <c r="E1308" s="4" t="s">
        <v>350</v>
      </c>
      <c r="F1308" s="4" t="s">
        <v>909</v>
      </c>
      <c r="G1308" s="4" t="s">
        <v>350</v>
      </c>
      <c r="H1308" s="4" t="s">
        <v>304</v>
      </c>
      <c r="I1308" s="4">
        <v>2</v>
      </c>
      <c r="J1308" s="21">
        <v>210</v>
      </c>
      <c r="K1308" s="21">
        <v>0</v>
      </c>
      <c r="L1308" s="5">
        <v>420</v>
      </c>
      <c r="M1308" s="4"/>
      <c r="N1308" s="4">
        <v>2</v>
      </c>
      <c r="O1308" s="5"/>
      <c r="P1308" s="5">
        <v>210</v>
      </c>
      <c r="Q1308" s="21">
        <v>0</v>
      </c>
      <c r="R1308" s="21">
        <v>0</v>
      </c>
      <c r="S1308" s="5">
        <f t="shared" si="83"/>
        <v>54309.298760152022</v>
      </c>
      <c r="T1308" cm="1">
        <f t="array" ref="T1308">IF(OR(B1308="MAL ALIMI", B1308="ÜRETİM GİRİŞ"), MIN(I1308, MAX(0, I1308 + SUM(SUMIFS($I$1:I1307, $C$1:C1307, C1308, $B$1:B1307, {"MAL ALIMI","ÜRETİM GİRİŞ"})) - VLOOKUP(C1308, 'STOK RAPORU'!$C$2:$I$1000, 4, 0))), 0)</f>
        <v>0</v>
      </c>
      <c r="U1308" s="22">
        <f t="shared" si="80"/>
        <v>0</v>
      </c>
      <c r="V1308">
        <f t="shared" si="81"/>
        <v>420</v>
      </c>
      <c r="W1308" s="22">
        <f t="shared" si="82"/>
        <v>420</v>
      </c>
    </row>
    <row r="1309" spans="1:23" hidden="1" x14ac:dyDescent="0.25">
      <c r="A1309" s="3">
        <v>45982</v>
      </c>
      <c r="B1309" s="4" t="s">
        <v>298</v>
      </c>
      <c r="C1309" s="4" t="s">
        <v>266</v>
      </c>
      <c r="D1309" s="4"/>
      <c r="E1309" s="4" t="s">
        <v>350</v>
      </c>
      <c r="F1309" s="4" t="s">
        <v>909</v>
      </c>
      <c r="G1309" s="4" t="s">
        <v>350</v>
      </c>
      <c r="H1309" s="4" t="s">
        <v>304</v>
      </c>
      <c r="I1309" s="4">
        <v>5</v>
      </c>
      <c r="J1309" s="21">
        <v>170</v>
      </c>
      <c r="K1309" s="21">
        <v>0</v>
      </c>
      <c r="L1309" s="5">
        <v>850</v>
      </c>
      <c r="M1309" s="4"/>
      <c r="N1309" s="4">
        <v>5</v>
      </c>
      <c r="O1309" s="5"/>
      <c r="P1309" s="5">
        <v>170</v>
      </c>
      <c r="Q1309" s="21">
        <v>0</v>
      </c>
      <c r="R1309" s="21">
        <v>0</v>
      </c>
      <c r="S1309" s="5">
        <f t="shared" si="83"/>
        <v>54309.298760152022</v>
      </c>
      <c r="T1309" cm="1">
        <f t="array" ref="T1309">IF(OR(B1309="MAL ALIMI", B1309="ÜRETİM GİRİŞ"), MIN(I1309, MAX(0, I1309 + SUM(SUMIFS($I$1:I1308, $C$1:C1308, C1309, $B$1:B1308, {"MAL ALIMI","ÜRETİM GİRİŞ"})) - VLOOKUP(C1309, 'STOK RAPORU'!$C$2:$I$1000, 4, 0))), 0)</f>
        <v>0</v>
      </c>
      <c r="U1309" s="22">
        <f t="shared" si="80"/>
        <v>0</v>
      </c>
      <c r="V1309">
        <f t="shared" si="81"/>
        <v>850</v>
      </c>
      <c r="W1309" s="22">
        <f t="shared" si="82"/>
        <v>850</v>
      </c>
    </row>
    <row r="1310" spans="1:23" hidden="1" x14ac:dyDescent="0.25">
      <c r="A1310" s="3">
        <v>45982</v>
      </c>
      <c r="B1310" s="4" t="s">
        <v>334</v>
      </c>
      <c r="C1310" s="4" t="s">
        <v>131</v>
      </c>
      <c r="D1310" s="4"/>
      <c r="E1310" s="4"/>
      <c r="F1310" s="4" t="s">
        <v>875</v>
      </c>
      <c r="G1310" s="4" t="s">
        <v>336</v>
      </c>
      <c r="H1310" s="4" t="s">
        <v>289</v>
      </c>
      <c r="I1310" s="4">
        <v>0.1</v>
      </c>
      <c r="J1310" s="21">
        <v>400</v>
      </c>
      <c r="K1310" s="21">
        <v>0</v>
      </c>
      <c r="L1310" s="5">
        <v>0</v>
      </c>
      <c r="M1310" s="4">
        <v>0.1</v>
      </c>
      <c r="N1310" s="4"/>
      <c r="O1310" s="5">
        <v>400</v>
      </c>
      <c r="P1310" s="5"/>
      <c r="Q1310" s="21">
        <v>40</v>
      </c>
      <c r="R1310" s="21">
        <v>0</v>
      </c>
      <c r="S1310" s="5">
        <f t="shared" si="83"/>
        <v>54349.298760152022</v>
      </c>
      <c r="T1310" cm="1">
        <f t="array" ref="T1310">IF(OR(B1310="MAL ALIMI", B1310="ÜRETİM GİRİŞ"), MIN(I1310, MAX(0, I1310 + SUM(SUMIFS($I$1:I1309, $C$1:C1309, C1310, $B$1:B1309, {"MAL ALIMI","ÜRETİM GİRİŞ"})) - VLOOKUP(C1310, 'STOK RAPORU'!$C$2:$I$1000, 4, 0))), 0)</f>
        <v>0</v>
      </c>
      <c r="U1310" s="22">
        <f t="shared" si="80"/>
        <v>0</v>
      </c>
      <c r="V1310">
        <f t="shared" si="81"/>
        <v>0</v>
      </c>
      <c r="W1310" s="22">
        <f t="shared" si="82"/>
        <v>0</v>
      </c>
    </row>
    <row r="1311" spans="1:23" hidden="1" x14ac:dyDescent="0.25">
      <c r="A1311" s="3">
        <v>45982</v>
      </c>
      <c r="B1311" s="4" t="s">
        <v>334</v>
      </c>
      <c r="C1311" s="4" t="s">
        <v>245</v>
      </c>
      <c r="D1311" s="4"/>
      <c r="E1311" s="4" t="s">
        <v>921</v>
      </c>
      <c r="F1311" s="4" t="s">
        <v>876</v>
      </c>
      <c r="G1311" s="4" t="s">
        <v>336</v>
      </c>
      <c r="H1311" s="4" t="s">
        <v>380</v>
      </c>
      <c r="I1311" s="4">
        <v>0.23100000000000001</v>
      </c>
      <c r="J1311" s="21">
        <v>650</v>
      </c>
      <c r="K1311" s="21">
        <v>150.15</v>
      </c>
      <c r="L1311" s="5">
        <v>0</v>
      </c>
      <c r="M1311" s="4">
        <v>0.23100000000000001</v>
      </c>
      <c r="N1311" s="4"/>
      <c r="O1311" s="5">
        <v>650</v>
      </c>
      <c r="P1311" s="5"/>
      <c r="Q1311" s="21">
        <v>0</v>
      </c>
      <c r="R1311" s="21">
        <v>0</v>
      </c>
      <c r="S1311" s="5">
        <f t="shared" si="83"/>
        <v>54349.298760152022</v>
      </c>
      <c r="T1311" cm="1">
        <f t="array" ref="T1311">IF(OR(B1311="MAL ALIMI", B1311="ÜRETİM GİRİŞ"), MIN(I1311, MAX(0, I1311 + SUM(SUMIFS($I$1:I1310, $C$1:C1310, C1311, $B$1:B1310, {"MAL ALIMI","ÜRETİM GİRİŞ"})) - VLOOKUP(C1311, 'STOK RAPORU'!$C$2:$I$1000, 4, 0))), 0)</f>
        <v>0</v>
      </c>
      <c r="U1311" s="22">
        <f t="shared" si="80"/>
        <v>0</v>
      </c>
      <c r="V1311">
        <f t="shared" si="81"/>
        <v>0</v>
      </c>
      <c r="W1311" s="22">
        <f t="shared" si="82"/>
        <v>0</v>
      </c>
    </row>
    <row r="1312" spans="1:23" hidden="1" x14ac:dyDescent="0.25">
      <c r="A1312" s="3">
        <v>45982</v>
      </c>
      <c r="B1312" s="4" t="s">
        <v>334</v>
      </c>
      <c r="C1312" s="4" t="s">
        <v>168</v>
      </c>
      <c r="D1312" s="4"/>
      <c r="E1312" s="4" t="s">
        <v>921</v>
      </c>
      <c r="F1312" s="4" t="s">
        <v>877</v>
      </c>
      <c r="G1312" s="4" t="s">
        <v>336</v>
      </c>
      <c r="H1312" s="4" t="s">
        <v>380</v>
      </c>
      <c r="I1312" s="4">
        <v>0.5</v>
      </c>
      <c r="J1312" s="21">
        <v>200</v>
      </c>
      <c r="K1312" s="21">
        <v>100</v>
      </c>
      <c r="L1312" s="5">
        <v>0</v>
      </c>
      <c r="M1312" s="4">
        <v>0.5</v>
      </c>
      <c r="N1312" s="4"/>
      <c r="O1312" s="5">
        <v>200</v>
      </c>
      <c r="P1312" s="5"/>
      <c r="Q1312" s="21">
        <v>0</v>
      </c>
      <c r="R1312" s="21">
        <v>0</v>
      </c>
      <c r="S1312" s="5">
        <f t="shared" si="83"/>
        <v>54349.298760152022</v>
      </c>
      <c r="T1312" cm="1">
        <f t="array" ref="T1312">IF(OR(B1312="MAL ALIMI", B1312="ÜRETİM GİRİŞ"), MIN(I1312, MAX(0, I1312 + SUM(SUMIFS($I$1:I1311, $C$1:C1311, C1312, $B$1:B1311, {"MAL ALIMI","ÜRETİM GİRİŞ"})) - VLOOKUP(C1312, 'STOK RAPORU'!$C$2:$I$1000, 4, 0))), 0)</f>
        <v>0</v>
      </c>
      <c r="U1312" s="22">
        <f t="shared" si="80"/>
        <v>0</v>
      </c>
      <c r="V1312">
        <f t="shared" si="81"/>
        <v>0</v>
      </c>
      <c r="W1312" s="22">
        <f t="shared" si="82"/>
        <v>0</v>
      </c>
    </row>
    <row r="1313" spans="1:23" hidden="1" x14ac:dyDescent="0.25">
      <c r="A1313" s="3">
        <v>45982</v>
      </c>
      <c r="B1313" s="4" t="s">
        <v>334</v>
      </c>
      <c r="C1313" s="4" t="s">
        <v>160</v>
      </c>
      <c r="D1313" s="4"/>
      <c r="E1313" s="4" t="s">
        <v>921</v>
      </c>
      <c r="F1313" s="4" t="s">
        <v>877</v>
      </c>
      <c r="G1313" s="4" t="s">
        <v>336</v>
      </c>
      <c r="H1313" s="4" t="s">
        <v>380</v>
      </c>
      <c r="I1313" s="4">
        <v>1</v>
      </c>
      <c r="J1313" s="21">
        <v>240</v>
      </c>
      <c r="K1313" s="21">
        <v>240</v>
      </c>
      <c r="L1313" s="5">
        <v>0</v>
      </c>
      <c r="M1313" s="4">
        <v>1</v>
      </c>
      <c r="N1313" s="4"/>
      <c r="O1313" s="5">
        <v>240</v>
      </c>
      <c r="P1313" s="5"/>
      <c r="Q1313" s="21">
        <v>0</v>
      </c>
      <c r="R1313" s="21">
        <v>0</v>
      </c>
      <c r="S1313" s="5">
        <f t="shared" si="83"/>
        <v>54349.298760152022</v>
      </c>
      <c r="T1313" cm="1">
        <f t="array" ref="T1313">IF(OR(B1313="MAL ALIMI", B1313="ÜRETİM GİRİŞ"), MIN(I1313, MAX(0, I1313 + SUM(SUMIFS($I$1:I1312, $C$1:C1312, C1313, $B$1:B1312, {"MAL ALIMI","ÜRETİM GİRİŞ"})) - VLOOKUP(C1313, 'STOK RAPORU'!$C$2:$I$1000, 4, 0))), 0)</f>
        <v>0</v>
      </c>
      <c r="U1313" s="22">
        <f t="shared" si="80"/>
        <v>0</v>
      </c>
      <c r="V1313">
        <f t="shared" si="81"/>
        <v>0</v>
      </c>
      <c r="W1313" s="22">
        <f t="shared" si="82"/>
        <v>0</v>
      </c>
    </row>
    <row r="1314" spans="1:23" hidden="1" x14ac:dyDescent="0.25">
      <c r="A1314" s="3">
        <v>45982</v>
      </c>
      <c r="B1314" s="4" t="s">
        <v>334</v>
      </c>
      <c r="C1314" s="4" t="s">
        <v>168</v>
      </c>
      <c r="D1314" s="4"/>
      <c r="E1314" s="4" t="s">
        <v>921</v>
      </c>
      <c r="F1314" s="4" t="s">
        <v>878</v>
      </c>
      <c r="G1314" s="4" t="s">
        <v>336</v>
      </c>
      <c r="H1314" s="4" t="s">
        <v>380</v>
      </c>
      <c r="I1314" s="4">
        <v>1</v>
      </c>
      <c r="J1314" s="21">
        <v>150</v>
      </c>
      <c r="K1314" s="21">
        <v>150</v>
      </c>
      <c r="L1314" s="5">
        <v>0</v>
      </c>
      <c r="M1314" s="4">
        <v>1</v>
      </c>
      <c r="N1314" s="4"/>
      <c r="O1314" s="5">
        <v>150</v>
      </c>
      <c r="P1314" s="5"/>
      <c r="Q1314" s="21">
        <v>0</v>
      </c>
      <c r="R1314" s="21">
        <v>0</v>
      </c>
      <c r="S1314" s="5">
        <f t="shared" si="83"/>
        <v>54349.298760152022</v>
      </c>
      <c r="T1314" cm="1">
        <f t="array" ref="T1314">IF(OR(B1314="MAL ALIMI", B1314="ÜRETİM GİRİŞ"), MIN(I1314, MAX(0, I1314 + SUM(SUMIFS($I$1:I1313, $C$1:C1313, C1314, $B$1:B1313, {"MAL ALIMI","ÜRETİM GİRİŞ"})) - VLOOKUP(C1314, 'STOK RAPORU'!$C$2:$I$1000, 4, 0))), 0)</f>
        <v>0</v>
      </c>
      <c r="U1314" s="22">
        <f t="shared" si="80"/>
        <v>0</v>
      </c>
      <c r="V1314">
        <f t="shared" si="81"/>
        <v>0</v>
      </c>
      <c r="W1314" s="22">
        <f t="shared" si="82"/>
        <v>0</v>
      </c>
    </row>
    <row r="1315" spans="1:23" hidden="1" x14ac:dyDescent="0.25">
      <c r="A1315" s="3">
        <v>45982</v>
      </c>
      <c r="B1315" s="4" t="s">
        <v>334</v>
      </c>
      <c r="C1315" s="4" t="s">
        <v>60</v>
      </c>
      <c r="D1315" s="4"/>
      <c r="E1315" s="4" t="s">
        <v>921</v>
      </c>
      <c r="F1315" s="4" t="s">
        <v>878</v>
      </c>
      <c r="G1315" s="4" t="s">
        <v>336</v>
      </c>
      <c r="H1315" s="4" t="s">
        <v>380</v>
      </c>
      <c r="I1315" s="4">
        <v>4.5449999999999997E-2</v>
      </c>
      <c r="J1315" s="21">
        <v>1100</v>
      </c>
      <c r="K1315" s="21">
        <v>49.994999999999997</v>
      </c>
      <c r="L1315" s="5">
        <v>0</v>
      </c>
      <c r="M1315" s="4">
        <v>1</v>
      </c>
      <c r="N1315" s="4"/>
      <c r="O1315" s="5">
        <v>50</v>
      </c>
      <c r="P1315" s="5"/>
      <c r="Q1315" s="21">
        <v>0</v>
      </c>
      <c r="R1315" s="21">
        <v>0</v>
      </c>
      <c r="S1315" s="5">
        <f t="shared" si="83"/>
        <v>54349.298760152022</v>
      </c>
      <c r="T1315" cm="1">
        <f t="array" ref="T1315">IF(OR(B1315="MAL ALIMI", B1315="ÜRETİM GİRİŞ"), MIN(I1315, MAX(0, I1315 + SUM(SUMIFS($I$1:I1314, $C$1:C1314, C1315, $B$1:B1314, {"MAL ALIMI","ÜRETİM GİRİŞ"})) - VLOOKUP(C1315, 'STOK RAPORU'!$C$2:$I$1000, 4, 0))), 0)</f>
        <v>0</v>
      </c>
      <c r="U1315" s="22">
        <f t="shared" si="80"/>
        <v>0</v>
      </c>
      <c r="V1315">
        <f t="shared" si="81"/>
        <v>0</v>
      </c>
      <c r="W1315" s="22">
        <f t="shared" si="82"/>
        <v>0</v>
      </c>
    </row>
    <row r="1316" spans="1:23" hidden="1" x14ac:dyDescent="0.25">
      <c r="A1316" s="3">
        <v>45982</v>
      </c>
      <c r="B1316" s="4" t="s">
        <v>334</v>
      </c>
      <c r="C1316" s="4" t="s">
        <v>96</v>
      </c>
      <c r="D1316" s="4"/>
      <c r="E1316" s="4" t="s">
        <v>921</v>
      </c>
      <c r="F1316" s="4" t="s">
        <v>878</v>
      </c>
      <c r="G1316" s="4" t="s">
        <v>336</v>
      </c>
      <c r="H1316" s="4" t="s">
        <v>380</v>
      </c>
      <c r="I1316" s="4">
        <v>0.13200000000000001</v>
      </c>
      <c r="J1316" s="21">
        <v>380</v>
      </c>
      <c r="K1316" s="21">
        <v>50.160000000000004</v>
      </c>
      <c r="L1316" s="5">
        <v>0</v>
      </c>
      <c r="M1316" s="4">
        <v>0.13200000000000001</v>
      </c>
      <c r="N1316" s="4"/>
      <c r="O1316" s="5">
        <v>380</v>
      </c>
      <c r="P1316" s="5"/>
      <c r="Q1316" s="21">
        <v>0</v>
      </c>
      <c r="R1316" s="21">
        <v>0</v>
      </c>
      <c r="S1316" s="5">
        <f t="shared" si="83"/>
        <v>54349.298760152022</v>
      </c>
      <c r="T1316" cm="1">
        <f t="array" ref="T1316">IF(OR(B1316="MAL ALIMI", B1316="ÜRETİM GİRİŞ"), MIN(I1316, MAX(0, I1316 + SUM(SUMIFS($I$1:I1315, $C$1:C1315, C1316, $B$1:B1315, {"MAL ALIMI","ÜRETİM GİRİŞ"})) - VLOOKUP(C1316, 'STOK RAPORU'!$C$2:$I$1000, 4, 0))), 0)</f>
        <v>0</v>
      </c>
      <c r="U1316" s="22">
        <f t="shared" si="80"/>
        <v>0</v>
      </c>
      <c r="V1316">
        <f t="shared" si="81"/>
        <v>0</v>
      </c>
      <c r="W1316" s="22">
        <f t="shared" si="82"/>
        <v>0</v>
      </c>
    </row>
    <row r="1317" spans="1:23" hidden="1" x14ac:dyDescent="0.25">
      <c r="A1317" s="3">
        <v>45982</v>
      </c>
      <c r="B1317" s="4" t="s">
        <v>334</v>
      </c>
      <c r="C1317" s="4" t="s">
        <v>157</v>
      </c>
      <c r="D1317" s="4"/>
      <c r="E1317" s="4" t="s">
        <v>921</v>
      </c>
      <c r="F1317" s="4" t="s">
        <v>879</v>
      </c>
      <c r="G1317" s="4" t="s">
        <v>336</v>
      </c>
      <c r="H1317" s="4" t="s">
        <v>380</v>
      </c>
      <c r="I1317" s="4">
        <v>0.28000000000000003</v>
      </c>
      <c r="J1317" s="21">
        <v>180</v>
      </c>
      <c r="K1317" s="21">
        <v>50.400000000000006</v>
      </c>
      <c r="L1317" s="5">
        <v>0</v>
      </c>
      <c r="M1317" s="4">
        <v>0.28000000000000003</v>
      </c>
      <c r="N1317" s="4"/>
      <c r="O1317" s="5">
        <v>180</v>
      </c>
      <c r="P1317" s="5"/>
      <c r="Q1317" s="21">
        <v>0</v>
      </c>
      <c r="R1317" s="21">
        <v>0</v>
      </c>
      <c r="S1317" s="5">
        <f t="shared" si="83"/>
        <v>54349.298760152022</v>
      </c>
      <c r="T1317" cm="1">
        <f t="array" ref="T1317">IF(OR(B1317="MAL ALIMI", B1317="ÜRETİM GİRİŞ"), MIN(I1317, MAX(0, I1317 + SUM(SUMIFS($I$1:I1316, $C$1:C1316, C1317, $B$1:B1316, {"MAL ALIMI","ÜRETİM GİRİŞ"})) - VLOOKUP(C1317, 'STOK RAPORU'!$C$2:$I$1000, 4, 0))), 0)</f>
        <v>0</v>
      </c>
      <c r="U1317" s="22">
        <f t="shared" si="80"/>
        <v>0</v>
      </c>
      <c r="V1317">
        <f t="shared" si="81"/>
        <v>0</v>
      </c>
      <c r="W1317" s="22">
        <f t="shared" si="82"/>
        <v>0</v>
      </c>
    </row>
    <row r="1318" spans="1:23" hidden="1" x14ac:dyDescent="0.25">
      <c r="A1318" s="3">
        <v>45982</v>
      </c>
      <c r="B1318" s="4" t="s">
        <v>334</v>
      </c>
      <c r="C1318" s="4" t="s">
        <v>91</v>
      </c>
      <c r="D1318" s="4"/>
      <c r="E1318" s="4"/>
      <c r="F1318" s="4" t="s">
        <v>879</v>
      </c>
      <c r="G1318" s="4" t="s">
        <v>336</v>
      </c>
      <c r="H1318" s="4" t="s">
        <v>289</v>
      </c>
      <c r="I1318" s="4">
        <v>2.5999999999999999E-2</v>
      </c>
      <c r="J1318" s="21">
        <v>780</v>
      </c>
      <c r="K1318" s="21">
        <v>0</v>
      </c>
      <c r="L1318" s="5">
        <v>0</v>
      </c>
      <c r="M1318" s="4">
        <v>2.5999999999999999E-2</v>
      </c>
      <c r="N1318" s="4"/>
      <c r="O1318" s="5">
        <v>780</v>
      </c>
      <c r="P1318" s="5"/>
      <c r="Q1318" s="21">
        <v>20.279999999999998</v>
      </c>
      <c r="R1318" s="21">
        <v>0</v>
      </c>
      <c r="S1318" s="5">
        <f t="shared" si="83"/>
        <v>54369.578760152021</v>
      </c>
      <c r="T1318" cm="1">
        <f t="array" ref="T1318">IF(OR(B1318="MAL ALIMI", B1318="ÜRETİM GİRİŞ"), MIN(I1318, MAX(0, I1318 + SUM(SUMIFS($I$1:I1317, $C$1:C1317, C1318, $B$1:B1317, {"MAL ALIMI","ÜRETİM GİRİŞ"})) - VLOOKUP(C1318, 'STOK RAPORU'!$C$2:$I$1000, 4, 0))), 0)</f>
        <v>0</v>
      </c>
      <c r="U1318" s="22">
        <f t="shared" si="80"/>
        <v>0</v>
      </c>
      <c r="V1318">
        <f t="shared" si="81"/>
        <v>0</v>
      </c>
      <c r="W1318" s="22">
        <f t="shared" si="82"/>
        <v>0</v>
      </c>
    </row>
    <row r="1319" spans="1:23" hidden="1" x14ac:dyDescent="0.25">
      <c r="A1319" s="3">
        <v>45982</v>
      </c>
      <c r="B1319" s="4" t="s">
        <v>334</v>
      </c>
      <c r="C1319" s="4" t="s">
        <v>619</v>
      </c>
      <c r="D1319" s="4"/>
      <c r="E1319" s="4"/>
      <c r="F1319" s="4" t="s">
        <v>880</v>
      </c>
      <c r="G1319" s="4" t="s">
        <v>336</v>
      </c>
      <c r="H1319" s="4" t="s">
        <v>289</v>
      </c>
      <c r="I1319" s="4">
        <v>0.318</v>
      </c>
      <c r="J1319" s="21">
        <v>340</v>
      </c>
      <c r="K1319" s="21">
        <v>0</v>
      </c>
      <c r="L1319" s="5">
        <v>0</v>
      </c>
      <c r="M1319" s="4">
        <v>0.318</v>
      </c>
      <c r="N1319" s="4"/>
      <c r="O1319" s="5">
        <v>340</v>
      </c>
      <c r="P1319" s="5"/>
      <c r="Q1319" s="21">
        <v>108.12</v>
      </c>
      <c r="R1319" s="21">
        <v>0</v>
      </c>
      <c r="S1319" s="5">
        <f t="shared" si="83"/>
        <v>54477.698760152023</v>
      </c>
      <c r="T1319" cm="1">
        <f t="array" ref="T1319">IF(OR(B1319="MAL ALIMI", B1319="ÜRETİM GİRİŞ"), MIN(I1319, MAX(0, I1319 + SUM(SUMIFS($I$1:I1318, $C$1:C1318, C1319, $B$1:B1318, {"MAL ALIMI","ÜRETİM GİRİŞ"})) - VLOOKUP(C1319, 'STOK RAPORU'!$C$2:$I$1000, 4, 0))), 0)</f>
        <v>0</v>
      </c>
      <c r="U1319" s="22">
        <f t="shared" si="80"/>
        <v>0</v>
      </c>
      <c r="V1319">
        <f t="shared" si="81"/>
        <v>0</v>
      </c>
      <c r="W1319" s="22">
        <f t="shared" si="82"/>
        <v>0</v>
      </c>
    </row>
    <row r="1320" spans="1:23" hidden="1" x14ac:dyDescent="0.25">
      <c r="A1320" s="3">
        <v>45982</v>
      </c>
      <c r="B1320" s="4" t="s">
        <v>334</v>
      </c>
      <c r="C1320" s="4" t="s">
        <v>690</v>
      </c>
      <c r="D1320" s="4"/>
      <c r="E1320" s="4"/>
      <c r="F1320" s="4" t="s">
        <v>880</v>
      </c>
      <c r="G1320" s="4" t="s">
        <v>336</v>
      </c>
      <c r="H1320" s="4" t="s">
        <v>289</v>
      </c>
      <c r="I1320" s="4">
        <v>0.42</v>
      </c>
      <c r="J1320" s="21">
        <v>155</v>
      </c>
      <c r="K1320" s="21">
        <v>0</v>
      </c>
      <c r="L1320" s="5">
        <v>0</v>
      </c>
      <c r="M1320" s="4">
        <v>0.42</v>
      </c>
      <c r="N1320" s="4"/>
      <c r="O1320" s="5">
        <v>155</v>
      </c>
      <c r="P1320" s="5"/>
      <c r="Q1320" s="21">
        <v>65.099999999999994</v>
      </c>
      <c r="R1320" s="21">
        <v>0</v>
      </c>
      <c r="S1320" s="5">
        <f t="shared" si="83"/>
        <v>54542.798760152022</v>
      </c>
      <c r="T1320" cm="1">
        <f t="array" ref="T1320">IF(OR(B1320="MAL ALIMI", B1320="ÜRETİM GİRİŞ"), MIN(I1320, MAX(0, I1320 + SUM(SUMIFS($I$1:I1319, $C$1:C1319, C1320, $B$1:B1319, {"MAL ALIMI","ÜRETİM GİRİŞ"})) - VLOOKUP(C1320, 'STOK RAPORU'!$C$2:$I$1000, 4, 0))), 0)</f>
        <v>0</v>
      </c>
      <c r="U1320" s="22">
        <f t="shared" si="80"/>
        <v>0</v>
      </c>
      <c r="V1320">
        <f t="shared" si="81"/>
        <v>0</v>
      </c>
      <c r="W1320" s="22">
        <f t="shared" si="82"/>
        <v>0</v>
      </c>
    </row>
    <row r="1321" spans="1:23" hidden="1" x14ac:dyDescent="0.25">
      <c r="A1321" s="3">
        <v>45982</v>
      </c>
      <c r="B1321" s="4" t="s">
        <v>334</v>
      </c>
      <c r="C1321" s="4" t="s">
        <v>131</v>
      </c>
      <c r="D1321" s="4"/>
      <c r="E1321" s="4"/>
      <c r="F1321" s="4" t="s">
        <v>881</v>
      </c>
      <c r="G1321" s="4" t="s">
        <v>336</v>
      </c>
      <c r="H1321" s="4" t="s">
        <v>289</v>
      </c>
      <c r="I1321" s="4">
        <v>0.11</v>
      </c>
      <c r="J1321" s="21">
        <v>400</v>
      </c>
      <c r="K1321" s="21">
        <v>0</v>
      </c>
      <c r="L1321" s="5">
        <v>0</v>
      </c>
      <c r="M1321" s="4">
        <v>0.11</v>
      </c>
      <c r="N1321" s="4"/>
      <c r="O1321" s="5">
        <v>400</v>
      </c>
      <c r="P1321" s="5"/>
      <c r="Q1321" s="21">
        <v>44</v>
      </c>
      <c r="R1321" s="21">
        <v>0</v>
      </c>
      <c r="S1321" s="5">
        <f t="shared" si="83"/>
        <v>54586.798760152022</v>
      </c>
      <c r="T1321" cm="1">
        <f t="array" ref="T1321">IF(OR(B1321="MAL ALIMI", B1321="ÜRETİM GİRİŞ"), MIN(I1321, MAX(0, I1321 + SUM(SUMIFS($I$1:I1320, $C$1:C1320, C1321, $B$1:B1320, {"MAL ALIMI","ÜRETİM GİRİŞ"})) - VLOOKUP(C1321, 'STOK RAPORU'!$C$2:$I$1000, 4, 0))), 0)</f>
        <v>0</v>
      </c>
      <c r="U1321" s="22">
        <f t="shared" si="80"/>
        <v>0</v>
      </c>
      <c r="V1321">
        <f t="shared" si="81"/>
        <v>0</v>
      </c>
      <c r="W1321" s="22">
        <f t="shared" si="82"/>
        <v>0</v>
      </c>
    </row>
    <row r="1322" spans="1:23" hidden="1" x14ac:dyDescent="0.25">
      <c r="A1322" s="3">
        <v>45982</v>
      </c>
      <c r="B1322" s="4" t="s">
        <v>334</v>
      </c>
      <c r="C1322" s="4" t="s">
        <v>137</v>
      </c>
      <c r="D1322" s="4"/>
      <c r="E1322" s="4"/>
      <c r="F1322" s="4" t="s">
        <v>882</v>
      </c>
      <c r="G1322" s="4" t="s">
        <v>336</v>
      </c>
      <c r="H1322" s="4" t="s">
        <v>289</v>
      </c>
      <c r="I1322" s="4">
        <v>0.25</v>
      </c>
      <c r="J1322" s="21">
        <v>180</v>
      </c>
      <c r="K1322" s="21">
        <v>0</v>
      </c>
      <c r="L1322" s="5">
        <v>0</v>
      </c>
      <c r="M1322" s="4">
        <v>1</v>
      </c>
      <c r="N1322" s="4"/>
      <c r="O1322" s="5">
        <v>45</v>
      </c>
      <c r="P1322" s="5"/>
      <c r="Q1322" s="21">
        <v>45</v>
      </c>
      <c r="R1322" s="21">
        <v>0</v>
      </c>
      <c r="S1322" s="5">
        <f t="shared" si="83"/>
        <v>54631.798760152022</v>
      </c>
      <c r="T1322" cm="1">
        <f t="array" ref="T1322">IF(OR(B1322="MAL ALIMI", B1322="ÜRETİM GİRİŞ"), MIN(I1322, MAX(0, I1322 + SUM(SUMIFS($I$1:I1321, $C$1:C1321, C1322, $B$1:B1321, {"MAL ALIMI","ÜRETİM GİRİŞ"})) - VLOOKUP(C1322, 'STOK RAPORU'!$C$2:$I$1000, 4, 0))), 0)</f>
        <v>0</v>
      </c>
      <c r="U1322" s="22">
        <f t="shared" si="80"/>
        <v>0</v>
      </c>
      <c r="V1322">
        <f t="shared" si="81"/>
        <v>0</v>
      </c>
      <c r="W1322" s="22">
        <f t="shared" si="82"/>
        <v>0</v>
      </c>
    </row>
    <row r="1323" spans="1:23" hidden="1" x14ac:dyDescent="0.25">
      <c r="A1323" s="3">
        <v>45982</v>
      </c>
      <c r="B1323" s="4" t="s">
        <v>334</v>
      </c>
      <c r="C1323" s="4" t="s">
        <v>156</v>
      </c>
      <c r="D1323" s="4"/>
      <c r="E1323" s="4"/>
      <c r="F1323" s="4" t="s">
        <v>883</v>
      </c>
      <c r="G1323" s="4" t="s">
        <v>336</v>
      </c>
      <c r="H1323" s="4" t="s">
        <v>289</v>
      </c>
      <c r="I1323" s="4">
        <v>0.5</v>
      </c>
      <c r="J1323" s="21">
        <v>180</v>
      </c>
      <c r="K1323" s="21">
        <v>0</v>
      </c>
      <c r="L1323" s="5">
        <v>0</v>
      </c>
      <c r="M1323" s="4">
        <v>0.5</v>
      </c>
      <c r="N1323" s="4"/>
      <c r="O1323" s="5">
        <v>180</v>
      </c>
      <c r="P1323" s="5"/>
      <c r="Q1323" s="21">
        <v>90</v>
      </c>
      <c r="R1323" s="21">
        <v>0</v>
      </c>
      <c r="S1323" s="5">
        <f t="shared" si="83"/>
        <v>54721.798760152022</v>
      </c>
      <c r="T1323" cm="1">
        <f t="array" ref="T1323">IF(OR(B1323="MAL ALIMI", B1323="ÜRETİM GİRİŞ"), MIN(I1323, MAX(0, I1323 + SUM(SUMIFS($I$1:I1322, $C$1:C1322, C1323, $B$1:B1322, {"MAL ALIMI","ÜRETİM GİRİŞ"})) - VLOOKUP(C1323, 'STOK RAPORU'!$C$2:$I$1000, 4, 0))), 0)</f>
        <v>0</v>
      </c>
      <c r="U1323" s="22">
        <f t="shared" si="80"/>
        <v>0</v>
      </c>
      <c r="V1323">
        <f t="shared" si="81"/>
        <v>0</v>
      </c>
      <c r="W1323" s="22">
        <f t="shared" si="82"/>
        <v>0</v>
      </c>
    </row>
    <row r="1324" spans="1:23" hidden="1" x14ac:dyDescent="0.25">
      <c r="A1324" s="3">
        <v>45982</v>
      </c>
      <c r="B1324" s="4" t="s">
        <v>334</v>
      </c>
      <c r="C1324" s="4" t="s">
        <v>157</v>
      </c>
      <c r="D1324" s="4"/>
      <c r="E1324" s="4"/>
      <c r="F1324" s="4" t="s">
        <v>883</v>
      </c>
      <c r="G1324" s="4" t="s">
        <v>336</v>
      </c>
      <c r="H1324" s="4" t="s">
        <v>289</v>
      </c>
      <c r="I1324" s="4">
        <v>1.7250000000000001</v>
      </c>
      <c r="J1324" s="21">
        <v>180</v>
      </c>
      <c r="K1324" s="21">
        <v>0</v>
      </c>
      <c r="L1324" s="5">
        <v>0</v>
      </c>
      <c r="M1324" s="4">
        <v>2.2799999999999998</v>
      </c>
      <c r="N1324" s="4"/>
      <c r="O1324" s="5">
        <v>180</v>
      </c>
      <c r="P1324" s="5"/>
      <c r="Q1324" s="21">
        <v>310.5</v>
      </c>
      <c r="R1324" s="21">
        <v>0</v>
      </c>
      <c r="S1324" s="5">
        <f t="shared" si="83"/>
        <v>55032.298760152022</v>
      </c>
      <c r="T1324" cm="1">
        <f t="array" ref="T1324">IF(OR(B1324="MAL ALIMI", B1324="ÜRETİM GİRİŞ"), MIN(I1324, MAX(0, I1324 + SUM(SUMIFS($I$1:I1323, $C$1:C1323, C1324, $B$1:B1323, {"MAL ALIMI","ÜRETİM GİRİŞ"})) - VLOOKUP(C1324, 'STOK RAPORU'!$C$2:$I$1000, 4, 0))), 0)</f>
        <v>0</v>
      </c>
      <c r="U1324" s="22">
        <f t="shared" si="80"/>
        <v>0</v>
      </c>
      <c r="V1324">
        <f t="shared" si="81"/>
        <v>0</v>
      </c>
      <c r="W1324" s="22">
        <f t="shared" si="82"/>
        <v>0</v>
      </c>
    </row>
    <row r="1325" spans="1:23" hidden="1" x14ac:dyDescent="0.25">
      <c r="A1325" s="3">
        <v>45982</v>
      </c>
      <c r="B1325" s="4" t="s">
        <v>334</v>
      </c>
      <c r="C1325" s="4" t="s">
        <v>463</v>
      </c>
      <c r="D1325" s="4"/>
      <c r="E1325" s="4"/>
      <c r="F1325" s="4" t="s">
        <v>883</v>
      </c>
      <c r="G1325" s="4" t="s">
        <v>336</v>
      </c>
      <c r="H1325" s="4" t="s">
        <v>289</v>
      </c>
      <c r="I1325" s="4">
        <v>0.27100000000000002</v>
      </c>
      <c r="J1325" s="21">
        <v>370</v>
      </c>
      <c r="K1325" s="21">
        <v>0</v>
      </c>
      <c r="L1325" s="5">
        <v>0</v>
      </c>
      <c r="M1325" s="4">
        <v>0.27100000000000002</v>
      </c>
      <c r="N1325" s="4"/>
      <c r="O1325" s="5">
        <v>370</v>
      </c>
      <c r="P1325" s="5"/>
      <c r="Q1325" s="21">
        <v>100.27</v>
      </c>
      <c r="R1325" s="21">
        <v>0</v>
      </c>
      <c r="S1325" s="5">
        <f t="shared" si="83"/>
        <v>55132.568760152019</v>
      </c>
      <c r="T1325" cm="1">
        <f t="array" ref="T1325">IF(OR(B1325="MAL ALIMI", B1325="ÜRETİM GİRİŞ"), MIN(I1325, MAX(0, I1325 + SUM(SUMIFS($I$1:I1324, $C$1:C1324, C1325, $B$1:B1324, {"MAL ALIMI","ÜRETİM GİRİŞ"})) - VLOOKUP(C1325, 'STOK RAPORU'!$C$2:$I$1000, 4, 0))), 0)</f>
        <v>0</v>
      </c>
      <c r="U1325" s="22">
        <f t="shared" si="80"/>
        <v>0</v>
      </c>
      <c r="V1325">
        <f t="shared" si="81"/>
        <v>0</v>
      </c>
      <c r="W1325" s="22">
        <f t="shared" si="82"/>
        <v>0</v>
      </c>
    </row>
    <row r="1326" spans="1:23" hidden="1" x14ac:dyDescent="0.25">
      <c r="A1326" s="3">
        <v>45982</v>
      </c>
      <c r="B1326" s="4" t="s">
        <v>334</v>
      </c>
      <c r="C1326" s="4" t="s">
        <v>161</v>
      </c>
      <c r="D1326" s="4"/>
      <c r="E1326" s="4"/>
      <c r="F1326" s="4" t="s">
        <v>884</v>
      </c>
      <c r="G1326" s="4" t="s">
        <v>336</v>
      </c>
      <c r="H1326" s="4" t="s">
        <v>289</v>
      </c>
      <c r="I1326" s="4">
        <v>1</v>
      </c>
      <c r="J1326" s="21">
        <v>200</v>
      </c>
      <c r="K1326" s="21">
        <v>0</v>
      </c>
      <c r="L1326" s="5">
        <v>0</v>
      </c>
      <c r="M1326" s="4">
        <v>1</v>
      </c>
      <c r="N1326" s="4"/>
      <c r="O1326" s="5">
        <v>200</v>
      </c>
      <c r="P1326" s="5"/>
      <c r="Q1326" s="21">
        <v>200</v>
      </c>
      <c r="R1326" s="21">
        <v>0</v>
      </c>
      <c r="S1326" s="5">
        <f t="shared" si="83"/>
        <v>55332.568760152019</v>
      </c>
      <c r="T1326" cm="1">
        <f t="array" ref="T1326">IF(OR(B1326="MAL ALIMI", B1326="ÜRETİM GİRİŞ"), MIN(I1326, MAX(0, I1326 + SUM(SUMIFS($I$1:I1325, $C$1:C1325, C1326, $B$1:B1325, {"MAL ALIMI","ÜRETİM GİRİŞ"})) - VLOOKUP(C1326, 'STOK RAPORU'!$C$2:$I$1000, 4, 0))), 0)</f>
        <v>0</v>
      </c>
      <c r="U1326" s="22">
        <f t="shared" si="80"/>
        <v>0</v>
      </c>
      <c r="V1326">
        <f t="shared" si="81"/>
        <v>0</v>
      </c>
      <c r="W1326" s="22">
        <f t="shared" si="82"/>
        <v>0</v>
      </c>
    </row>
    <row r="1327" spans="1:23" hidden="1" x14ac:dyDescent="0.25">
      <c r="A1327" s="3">
        <v>45982</v>
      </c>
      <c r="B1327" s="4" t="s">
        <v>334</v>
      </c>
      <c r="C1327" s="4" t="s">
        <v>160</v>
      </c>
      <c r="D1327" s="4"/>
      <c r="E1327" s="4"/>
      <c r="F1327" s="4" t="s">
        <v>884</v>
      </c>
      <c r="G1327" s="4" t="s">
        <v>336</v>
      </c>
      <c r="H1327" s="4" t="s">
        <v>289</v>
      </c>
      <c r="I1327" s="4">
        <v>1</v>
      </c>
      <c r="J1327" s="21">
        <v>200</v>
      </c>
      <c r="K1327" s="21">
        <v>0</v>
      </c>
      <c r="L1327" s="5">
        <v>0</v>
      </c>
      <c r="M1327" s="4">
        <v>1</v>
      </c>
      <c r="N1327" s="4"/>
      <c r="O1327" s="5">
        <v>200</v>
      </c>
      <c r="P1327" s="5"/>
      <c r="Q1327" s="21">
        <v>200</v>
      </c>
      <c r="R1327" s="21">
        <v>0</v>
      </c>
      <c r="S1327" s="5">
        <f t="shared" si="83"/>
        <v>55532.568760152019</v>
      </c>
      <c r="T1327" cm="1">
        <f t="array" ref="T1327">IF(OR(B1327="MAL ALIMI", B1327="ÜRETİM GİRİŞ"), MIN(I1327, MAX(0, I1327 + SUM(SUMIFS($I$1:I1326, $C$1:C1326, C1327, $B$1:B1326, {"MAL ALIMI","ÜRETİM GİRİŞ"})) - VLOOKUP(C1327, 'STOK RAPORU'!$C$2:$I$1000, 4, 0))), 0)</f>
        <v>0</v>
      </c>
      <c r="U1327" s="22">
        <f t="shared" si="80"/>
        <v>0</v>
      </c>
      <c r="V1327">
        <f t="shared" si="81"/>
        <v>0</v>
      </c>
      <c r="W1327" s="22">
        <f t="shared" si="82"/>
        <v>0</v>
      </c>
    </row>
    <row r="1328" spans="1:23" hidden="1" x14ac:dyDescent="0.25">
      <c r="A1328" s="3">
        <v>45982</v>
      </c>
      <c r="B1328" s="4" t="s">
        <v>334</v>
      </c>
      <c r="C1328" s="4" t="s">
        <v>237</v>
      </c>
      <c r="D1328" s="4"/>
      <c r="E1328" s="4" t="s">
        <v>921</v>
      </c>
      <c r="F1328" s="4" t="s">
        <v>885</v>
      </c>
      <c r="G1328" s="4" t="s">
        <v>336</v>
      </c>
      <c r="H1328" s="4" t="s">
        <v>380</v>
      </c>
      <c r="I1328" s="4">
        <v>0.04</v>
      </c>
      <c r="J1328" s="21">
        <v>2250</v>
      </c>
      <c r="K1328" s="21">
        <v>90</v>
      </c>
      <c r="L1328" s="5">
        <v>0</v>
      </c>
      <c r="M1328" s="4">
        <v>1</v>
      </c>
      <c r="N1328" s="4"/>
      <c r="O1328" s="5">
        <v>90</v>
      </c>
      <c r="P1328" s="5"/>
      <c r="Q1328" s="21">
        <v>0</v>
      </c>
      <c r="R1328" s="21">
        <v>0</v>
      </c>
      <c r="S1328" s="5">
        <f t="shared" si="83"/>
        <v>55532.568760152019</v>
      </c>
      <c r="T1328" cm="1">
        <f t="array" ref="T1328">IF(OR(B1328="MAL ALIMI", B1328="ÜRETİM GİRİŞ"), MIN(I1328, MAX(0, I1328 + SUM(SUMIFS($I$1:I1327, $C$1:C1327, C1328, $B$1:B1327, {"MAL ALIMI","ÜRETİM GİRİŞ"})) - VLOOKUP(C1328, 'STOK RAPORU'!$C$2:$I$1000, 4, 0))), 0)</f>
        <v>0</v>
      </c>
      <c r="U1328" s="22">
        <f t="shared" si="80"/>
        <v>0</v>
      </c>
      <c r="V1328">
        <f t="shared" si="81"/>
        <v>0</v>
      </c>
      <c r="W1328" s="22">
        <f t="shared" si="82"/>
        <v>0</v>
      </c>
    </row>
    <row r="1329" spans="1:23" hidden="1" x14ac:dyDescent="0.25">
      <c r="A1329" s="3">
        <v>45982</v>
      </c>
      <c r="B1329" s="4" t="s">
        <v>334</v>
      </c>
      <c r="C1329" s="4" t="s">
        <v>520</v>
      </c>
      <c r="D1329" s="4"/>
      <c r="E1329" s="4"/>
      <c r="F1329" s="4" t="s">
        <v>886</v>
      </c>
      <c r="G1329" s="4" t="s">
        <v>336</v>
      </c>
      <c r="H1329" s="4" t="s">
        <v>289</v>
      </c>
      <c r="I1329" s="4">
        <v>1</v>
      </c>
      <c r="J1329" s="21">
        <v>250</v>
      </c>
      <c r="K1329" s="21">
        <v>0</v>
      </c>
      <c r="L1329" s="5">
        <v>0</v>
      </c>
      <c r="M1329" s="4">
        <v>1</v>
      </c>
      <c r="N1329" s="4"/>
      <c r="O1329" s="5">
        <v>250</v>
      </c>
      <c r="P1329" s="5"/>
      <c r="Q1329" s="21">
        <v>250</v>
      </c>
      <c r="R1329" s="21">
        <v>0</v>
      </c>
      <c r="S1329" s="5">
        <f t="shared" si="83"/>
        <v>55782.568760152019</v>
      </c>
      <c r="T1329" cm="1">
        <f t="array" ref="T1329">IF(OR(B1329="MAL ALIMI", B1329="ÜRETİM GİRİŞ"), MIN(I1329, MAX(0, I1329 + SUM(SUMIFS($I$1:I1328, $C$1:C1328, C1329, $B$1:B1328, {"MAL ALIMI","ÜRETİM GİRİŞ"})) - VLOOKUP(C1329, 'STOK RAPORU'!$C$2:$I$1000, 4, 0))), 0)</f>
        <v>0</v>
      </c>
      <c r="U1329" s="22">
        <f t="shared" si="80"/>
        <v>0</v>
      </c>
      <c r="V1329">
        <f t="shared" si="81"/>
        <v>0</v>
      </c>
      <c r="W1329" s="22">
        <f t="shared" si="82"/>
        <v>0</v>
      </c>
    </row>
    <row r="1330" spans="1:23" hidden="1" x14ac:dyDescent="0.25">
      <c r="A1330" s="3">
        <v>45982</v>
      </c>
      <c r="B1330" s="4" t="s">
        <v>334</v>
      </c>
      <c r="C1330" s="4" t="s">
        <v>161</v>
      </c>
      <c r="D1330" s="4"/>
      <c r="E1330" s="4" t="s">
        <v>921</v>
      </c>
      <c r="F1330" s="4" t="s">
        <v>887</v>
      </c>
      <c r="G1330" s="4" t="s">
        <v>336</v>
      </c>
      <c r="H1330" s="4" t="s">
        <v>380</v>
      </c>
      <c r="I1330" s="4">
        <v>1</v>
      </c>
      <c r="J1330" s="21">
        <v>200</v>
      </c>
      <c r="K1330" s="21">
        <v>200</v>
      </c>
      <c r="L1330" s="5">
        <v>0</v>
      </c>
      <c r="M1330" s="4">
        <v>1</v>
      </c>
      <c r="N1330" s="4"/>
      <c r="O1330" s="5">
        <v>200</v>
      </c>
      <c r="P1330" s="5"/>
      <c r="Q1330" s="21">
        <v>0</v>
      </c>
      <c r="R1330" s="21">
        <v>0</v>
      </c>
      <c r="S1330" s="5">
        <f t="shared" si="83"/>
        <v>55782.568760152019</v>
      </c>
      <c r="T1330" cm="1">
        <f t="array" ref="T1330">IF(OR(B1330="MAL ALIMI", B1330="ÜRETİM GİRİŞ"), MIN(I1330, MAX(0, I1330 + SUM(SUMIFS($I$1:I1329, $C$1:C1329, C1330, $B$1:B1329, {"MAL ALIMI","ÜRETİM GİRİŞ"})) - VLOOKUP(C1330, 'STOK RAPORU'!$C$2:$I$1000, 4, 0))), 0)</f>
        <v>0</v>
      </c>
      <c r="U1330" s="22">
        <f t="shared" si="80"/>
        <v>0</v>
      </c>
      <c r="V1330">
        <f t="shared" si="81"/>
        <v>0</v>
      </c>
      <c r="W1330" s="22">
        <f t="shared" si="82"/>
        <v>0</v>
      </c>
    </row>
    <row r="1331" spans="1:23" hidden="1" x14ac:dyDescent="0.25">
      <c r="A1331" s="3">
        <v>45982</v>
      </c>
      <c r="B1331" s="4" t="s">
        <v>334</v>
      </c>
      <c r="C1331" s="4" t="s">
        <v>192</v>
      </c>
      <c r="D1331" s="4"/>
      <c r="E1331" s="4"/>
      <c r="F1331" s="4" t="s">
        <v>888</v>
      </c>
      <c r="G1331" s="4" t="s">
        <v>336</v>
      </c>
      <c r="H1331" s="4" t="s">
        <v>289</v>
      </c>
      <c r="I1331" s="4">
        <v>0.05</v>
      </c>
      <c r="J1331" s="21">
        <v>500</v>
      </c>
      <c r="K1331" s="21">
        <v>0</v>
      </c>
      <c r="L1331" s="5">
        <v>0</v>
      </c>
      <c r="M1331" s="4">
        <v>0.05</v>
      </c>
      <c r="N1331" s="4"/>
      <c r="O1331" s="5">
        <v>500</v>
      </c>
      <c r="P1331" s="5"/>
      <c r="Q1331" s="21">
        <v>25</v>
      </c>
      <c r="R1331" s="21">
        <v>0</v>
      </c>
      <c r="S1331" s="5">
        <f t="shared" si="83"/>
        <v>55807.568760152019</v>
      </c>
      <c r="T1331" cm="1">
        <f t="array" ref="T1331">IF(OR(B1331="MAL ALIMI", B1331="ÜRETİM GİRİŞ"), MIN(I1331, MAX(0, I1331 + SUM(SUMIFS($I$1:I1330, $C$1:C1330, C1331, $B$1:B1330, {"MAL ALIMI","ÜRETİM GİRİŞ"})) - VLOOKUP(C1331, 'STOK RAPORU'!$C$2:$I$1000, 4, 0))), 0)</f>
        <v>0</v>
      </c>
      <c r="U1331" s="22">
        <f t="shared" si="80"/>
        <v>0</v>
      </c>
      <c r="V1331">
        <f t="shared" si="81"/>
        <v>0</v>
      </c>
      <c r="W1331" s="22">
        <f t="shared" si="82"/>
        <v>0</v>
      </c>
    </row>
    <row r="1332" spans="1:23" hidden="1" x14ac:dyDescent="0.25">
      <c r="A1332" s="3">
        <v>45982</v>
      </c>
      <c r="B1332" s="4" t="s">
        <v>334</v>
      </c>
      <c r="C1332" s="4" t="s">
        <v>588</v>
      </c>
      <c r="D1332" s="4"/>
      <c r="E1332" s="4"/>
      <c r="F1332" s="4" t="s">
        <v>889</v>
      </c>
      <c r="G1332" s="4" t="s">
        <v>336</v>
      </c>
      <c r="H1332" s="4" t="s">
        <v>289</v>
      </c>
      <c r="I1332" s="4">
        <v>1</v>
      </c>
      <c r="J1332" s="21">
        <v>350</v>
      </c>
      <c r="K1332" s="21">
        <v>0</v>
      </c>
      <c r="L1332" s="5">
        <v>0</v>
      </c>
      <c r="M1332" s="4">
        <v>1</v>
      </c>
      <c r="N1332" s="4"/>
      <c r="O1332" s="5">
        <v>350</v>
      </c>
      <c r="P1332" s="5"/>
      <c r="Q1332" s="21">
        <v>350</v>
      </c>
      <c r="R1332" s="21">
        <v>0</v>
      </c>
      <c r="S1332" s="5">
        <f t="shared" si="83"/>
        <v>56157.568760152019</v>
      </c>
      <c r="T1332" cm="1">
        <f t="array" ref="T1332">IF(OR(B1332="MAL ALIMI", B1332="ÜRETİM GİRİŞ"), MIN(I1332, MAX(0, I1332 + SUM(SUMIFS($I$1:I1331, $C$1:C1331, C1332, $B$1:B1331, {"MAL ALIMI","ÜRETİM GİRİŞ"})) - VLOOKUP(C1332, 'STOK RAPORU'!$C$2:$I$1000, 4, 0))), 0)</f>
        <v>0</v>
      </c>
      <c r="U1332" s="22">
        <f t="shared" si="80"/>
        <v>0</v>
      </c>
      <c r="V1332">
        <f t="shared" si="81"/>
        <v>0</v>
      </c>
      <c r="W1332" s="22">
        <f t="shared" si="82"/>
        <v>0</v>
      </c>
    </row>
    <row r="1333" spans="1:23" hidden="1" x14ac:dyDescent="0.25">
      <c r="A1333" s="3">
        <v>45982</v>
      </c>
      <c r="B1333" s="4" t="s">
        <v>334</v>
      </c>
      <c r="C1333" s="4" t="s">
        <v>209</v>
      </c>
      <c r="D1333" s="4"/>
      <c r="E1333" s="4"/>
      <c r="F1333" s="4" t="s">
        <v>889</v>
      </c>
      <c r="G1333" s="4" t="s">
        <v>336</v>
      </c>
      <c r="H1333" s="4" t="s">
        <v>289</v>
      </c>
      <c r="I1333" s="4">
        <v>0.05</v>
      </c>
      <c r="J1333" s="21">
        <v>2600</v>
      </c>
      <c r="K1333" s="21">
        <v>0</v>
      </c>
      <c r="L1333" s="5">
        <v>0</v>
      </c>
      <c r="M1333" s="4">
        <v>1</v>
      </c>
      <c r="N1333" s="4"/>
      <c r="O1333" s="5">
        <v>130</v>
      </c>
      <c r="P1333" s="5"/>
      <c r="Q1333" s="21">
        <v>130</v>
      </c>
      <c r="R1333" s="21">
        <v>0</v>
      </c>
      <c r="S1333" s="5">
        <f t="shared" si="83"/>
        <v>56287.568760152019</v>
      </c>
      <c r="T1333" cm="1">
        <f t="array" ref="T1333">IF(OR(B1333="MAL ALIMI", B1333="ÜRETİM GİRİŞ"), MIN(I1333, MAX(0, I1333 + SUM(SUMIFS($I$1:I1332, $C$1:C1332, C1333, $B$1:B1332, {"MAL ALIMI","ÜRETİM GİRİŞ"})) - VLOOKUP(C1333, 'STOK RAPORU'!$C$2:$I$1000, 4, 0))), 0)</f>
        <v>0</v>
      </c>
      <c r="U1333" s="22">
        <f t="shared" si="80"/>
        <v>0</v>
      </c>
      <c r="V1333">
        <f t="shared" si="81"/>
        <v>0</v>
      </c>
      <c r="W1333" s="22">
        <f t="shared" si="82"/>
        <v>0</v>
      </c>
    </row>
    <row r="1334" spans="1:23" hidden="1" x14ac:dyDescent="0.25">
      <c r="A1334" s="3">
        <v>45982</v>
      </c>
      <c r="B1334" s="4" t="s">
        <v>334</v>
      </c>
      <c r="C1334" s="4" t="s">
        <v>261</v>
      </c>
      <c r="D1334" s="4"/>
      <c r="E1334" s="4"/>
      <c r="F1334" s="4" t="s">
        <v>891</v>
      </c>
      <c r="G1334" s="4" t="s">
        <v>336</v>
      </c>
      <c r="H1334" s="4" t="s">
        <v>289</v>
      </c>
      <c r="I1334" s="4">
        <v>1</v>
      </c>
      <c r="J1334" s="21">
        <v>150</v>
      </c>
      <c r="K1334" s="21">
        <v>0</v>
      </c>
      <c r="L1334" s="5">
        <v>0</v>
      </c>
      <c r="M1334" s="4">
        <v>1</v>
      </c>
      <c r="N1334" s="4"/>
      <c r="O1334" s="5">
        <v>150</v>
      </c>
      <c r="P1334" s="5"/>
      <c r="Q1334" s="21">
        <v>150</v>
      </c>
      <c r="R1334" s="21">
        <v>0</v>
      </c>
      <c r="S1334" s="5">
        <f t="shared" si="83"/>
        <v>56437.568760152019</v>
      </c>
      <c r="T1334" cm="1">
        <f t="array" ref="T1334">IF(OR(B1334="MAL ALIMI", B1334="ÜRETİM GİRİŞ"), MIN(I1334, MAX(0, I1334 + SUM(SUMIFS($I$1:I1333, $C$1:C1333, C1334, $B$1:B1333, {"MAL ALIMI","ÜRETİM GİRİŞ"})) - VLOOKUP(C1334, 'STOK RAPORU'!$C$2:$I$1000, 4, 0))), 0)</f>
        <v>0</v>
      </c>
      <c r="U1334" s="22">
        <f t="shared" si="80"/>
        <v>0</v>
      </c>
      <c r="V1334">
        <f t="shared" si="81"/>
        <v>0</v>
      </c>
      <c r="W1334" s="22">
        <f t="shared" si="82"/>
        <v>0</v>
      </c>
    </row>
    <row r="1335" spans="1:23" hidden="1" x14ac:dyDescent="0.25">
      <c r="A1335" s="3">
        <v>45982</v>
      </c>
      <c r="B1335" s="4" t="s">
        <v>334</v>
      </c>
      <c r="C1335" s="4" t="s">
        <v>459</v>
      </c>
      <c r="D1335" s="4"/>
      <c r="E1335" s="4"/>
      <c r="F1335" s="4" t="s">
        <v>891</v>
      </c>
      <c r="G1335" s="4" t="s">
        <v>336</v>
      </c>
      <c r="H1335" s="4" t="s">
        <v>289</v>
      </c>
      <c r="I1335" s="4">
        <v>0.1</v>
      </c>
      <c r="J1335" s="21">
        <v>200</v>
      </c>
      <c r="K1335" s="21">
        <v>0</v>
      </c>
      <c r="L1335" s="5">
        <v>0</v>
      </c>
      <c r="M1335" s="4">
        <v>1</v>
      </c>
      <c r="N1335" s="4"/>
      <c r="O1335" s="5">
        <v>20</v>
      </c>
      <c r="P1335" s="5"/>
      <c r="Q1335" s="21">
        <v>20</v>
      </c>
      <c r="R1335" s="21">
        <v>0</v>
      </c>
      <c r="S1335" s="5">
        <f t="shared" si="83"/>
        <v>56457.568760152019</v>
      </c>
      <c r="T1335" cm="1">
        <f t="array" ref="T1335">IF(OR(B1335="MAL ALIMI", B1335="ÜRETİM GİRİŞ"), MIN(I1335, MAX(0, I1335 + SUM(SUMIFS($I$1:I1334, $C$1:C1334, C1335, $B$1:B1334, {"MAL ALIMI","ÜRETİM GİRİŞ"})) - VLOOKUP(C1335, 'STOK RAPORU'!$C$2:$I$1000, 4, 0))), 0)</f>
        <v>0</v>
      </c>
      <c r="U1335" s="22">
        <f t="shared" si="80"/>
        <v>0</v>
      </c>
      <c r="V1335">
        <f t="shared" si="81"/>
        <v>0</v>
      </c>
      <c r="W1335" s="22">
        <f t="shared" si="82"/>
        <v>0</v>
      </c>
    </row>
    <row r="1336" spans="1:23" hidden="1" x14ac:dyDescent="0.25">
      <c r="A1336" s="3">
        <v>45982</v>
      </c>
      <c r="B1336" s="4" t="s">
        <v>946</v>
      </c>
      <c r="C1336" s="4"/>
      <c r="D1336" s="4"/>
      <c r="E1336" s="4" t="s">
        <v>921</v>
      </c>
      <c r="F1336" s="4"/>
      <c r="G1336" s="4" t="s">
        <v>946</v>
      </c>
      <c r="H1336" s="4" t="s">
        <v>380</v>
      </c>
      <c r="I1336" s="4">
        <v>1</v>
      </c>
      <c r="J1336" s="105">
        <v>347.6</v>
      </c>
      <c r="K1336" s="21">
        <v>0</v>
      </c>
      <c r="L1336" s="111">
        <v>347.6</v>
      </c>
      <c r="M1336" s="4"/>
      <c r="N1336" s="4"/>
      <c r="O1336" s="5"/>
      <c r="P1336" s="5"/>
      <c r="Q1336" s="21">
        <v>347.6</v>
      </c>
      <c r="R1336" s="21">
        <v>0</v>
      </c>
      <c r="S1336" s="5">
        <f t="shared" si="83"/>
        <v>56805.168760152017</v>
      </c>
      <c r="T1336" cm="1">
        <f t="array" ref="T1336">IF(OR(B1336="MAL ALIMI", B1336="ÜRETİM GİRİŞ"), MIN(I1336, MAX(0, I1336 + SUM(SUMIFS($I$1:I1335, $C$1:C1335, C1336, $B$1:B1335, {"MAL ALIMI","ÜRETİM GİRİŞ"})) - VLOOKUP(C1336, 'STOK RAPORU'!$C$2:$I$1000, 4, 0))), 0)</f>
        <v>0</v>
      </c>
      <c r="U1336" s="22">
        <f t="shared" si="80"/>
        <v>0</v>
      </c>
      <c r="V1336">
        <f t="shared" si="81"/>
        <v>0</v>
      </c>
      <c r="W1336" s="22">
        <f t="shared" si="82"/>
        <v>0</v>
      </c>
    </row>
    <row r="1337" spans="1:23" hidden="1" x14ac:dyDescent="0.25">
      <c r="A1337" s="3">
        <v>45983</v>
      </c>
      <c r="B1337" s="4" t="s">
        <v>334</v>
      </c>
      <c r="C1337" s="4" t="s">
        <v>728</v>
      </c>
      <c r="D1337" s="4"/>
      <c r="E1337" s="4" t="s">
        <v>921</v>
      </c>
      <c r="F1337" s="4" t="s">
        <v>895</v>
      </c>
      <c r="G1337" s="4" t="s">
        <v>336</v>
      </c>
      <c r="H1337" s="4" t="s">
        <v>380</v>
      </c>
      <c r="I1337" s="4">
        <v>0.28599999999999998</v>
      </c>
      <c r="J1337" s="21">
        <v>750</v>
      </c>
      <c r="K1337" s="21">
        <v>214.49999999999997</v>
      </c>
      <c r="L1337" s="5">
        <v>0</v>
      </c>
      <c r="M1337" s="4">
        <v>0.28599999999999998</v>
      </c>
      <c r="N1337" s="4"/>
      <c r="O1337" s="5">
        <v>750</v>
      </c>
      <c r="P1337" s="5"/>
      <c r="Q1337" s="21">
        <v>0</v>
      </c>
      <c r="R1337" s="21">
        <v>0</v>
      </c>
      <c r="S1337" s="5">
        <f t="shared" si="83"/>
        <v>56805.168760152017</v>
      </c>
      <c r="T1337" cm="1">
        <f t="array" ref="T1337">IF(OR(B1337="MAL ALIMI", B1337="ÜRETİM GİRİŞ"), MIN(I1337, MAX(0, I1337 + SUM(SUMIFS($I$1:I1336, $C$1:C1336, C1337, $B$1:B1336, {"MAL ALIMI","ÜRETİM GİRİŞ"})) - VLOOKUP(C1337, 'STOK RAPORU'!$C$2:$I$1000, 4, 0))), 0)</f>
        <v>0</v>
      </c>
      <c r="U1337" s="22">
        <f t="shared" si="80"/>
        <v>0</v>
      </c>
      <c r="V1337">
        <f t="shared" si="81"/>
        <v>0</v>
      </c>
      <c r="W1337" s="22">
        <f t="shared" si="82"/>
        <v>0</v>
      </c>
    </row>
    <row r="1338" spans="1:23" hidden="1" x14ac:dyDescent="0.25">
      <c r="A1338" s="3">
        <v>45983</v>
      </c>
      <c r="B1338" s="4" t="s">
        <v>334</v>
      </c>
      <c r="C1338" s="4" t="s">
        <v>237</v>
      </c>
      <c r="D1338" s="4"/>
      <c r="E1338" s="4" t="s">
        <v>921</v>
      </c>
      <c r="F1338" s="4" t="s">
        <v>895</v>
      </c>
      <c r="G1338" s="4" t="s">
        <v>336</v>
      </c>
      <c r="H1338" s="4" t="s">
        <v>380</v>
      </c>
      <c r="I1338" s="4">
        <v>0.04</v>
      </c>
      <c r="J1338" s="21">
        <v>2250</v>
      </c>
      <c r="K1338" s="21">
        <v>90</v>
      </c>
      <c r="L1338" s="5">
        <v>0</v>
      </c>
      <c r="M1338" s="4">
        <v>1</v>
      </c>
      <c r="N1338" s="4"/>
      <c r="O1338" s="5">
        <v>90</v>
      </c>
      <c r="P1338" s="5"/>
      <c r="Q1338" s="21">
        <v>0</v>
      </c>
      <c r="R1338" s="21">
        <v>0</v>
      </c>
      <c r="S1338" s="5">
        <f t="shared" si="83"/>
        <v>56805.168760152017</v>
      </c>
      <c r="T1338" cm="1">
        <f t="array" ref="T1338">IF(OR(B1338="MAL ALIMI", B1338="ÜRETİM GİRİŞ"), MIN(I1338, MAX(0, I1338 + SUM(SUMIFS($I$1:I1337, $C$1:C1337, C1338, $B$1:B1337, {"MAL ALIMI","ÜRETİM GİRİŞ"})) - VLOOKUP(C1338, 'STOK RAPORU'!$C$2:$I$1000, 4, 0))), 0)</f>
        <v>0</v>
      </c>
      <c r="U1338" s="22">
        <f t="shared" si="80"/>
        <v>0</v>
      </c>
      <c r="V1338">
        <f t="shared" si="81"/>
        <v>0</v>
      </c>
      <c r="W1338" s="22">
        <f t="shared" si="82"/>
        <v>0</v>
      </c>
    </row>
    <row r="1339" spans="1:23" hidden="1" x14ac:dyDescent="0.25">
      <c r="A1339" s="3">
        <v>45983</v>
      </c>
      <c r="B1339" s="4" t="s">
        <v>334</v>
      </c>
      <c r="C1339" s="4" t="s">
        <v>163</v>
      </c>
      <c r="D1339" s="4"/>
      <c r="E1339" s="4" t="s">
        <v>921</v>
      </c>
      <c r="F1339" s="4" t="s">
        <v>895</v>
      </c>
      <c r="G1339" s="4" t="s">
        <v>336</v>
      </c>
      <c r="H1339" s="4" t="s">
        <v>380</v>
      </c>
      <c r="I1339" s="4">
        <v>8.5999999999999993E-2</v>
      </c>
      <c r="J1339" s="21">
        <v>420</v>
      </c>
      <c r="K1339" s="21">
        <v>36.119999999999997</v>
      </c>
      <c r="L1339" s="5">
        <v>0</v>
      </c>
      <c r="M1339" s="4">
        <v>8.5999999999999993E-2</v>
      </c>
      <c r="N1339" s="4"/>
      <c r="O1339" s="5">
        <v>420</v>
      </c>
      <c r="P1339" s="5"/>
      <c r="Q1339" s="21">
        <v>0</v>
      </c>
      <c r="R1339" s="21">
        <v>0</v>
      </c>
      <c r="S1339" s="5">
        <f t="shared" si="83"/>
        <v>56805.168760152017</v>
      </c>
      <c r="T1339" cm="1">
        <f t="array" ref="T1339">IF(OR(B1339="MAL ALIMI", B1339="ÜRETİM GİRİŞ"), MIN(I1339, MAX(0, I1339 + SUM(SUMIFS($I$1:I1338, $C$1:C1338, C1339, $B$1:B1338, {"MAL ALIMI","ÜRETİM GİRİŞ"})) - VLOOKUP(C1339, 'STOK RAPORU'!$C$2:$I$1000, 4, 0))), 0)</f>
        <v>0</v>
      </c>
      <c r="U1339" s="22">
        <f t="shared" si="80"/>
        <v>0</v>
      </c>
      <c r="V1339">
        <f t="shared" si="81"/>
        <v>0</v>
      </c>
      <c r="W1339" s="22">
        <f t="shared" si="82"/>
        <v>0</v>
      </c>
    </row>
    <row r="1340" spans="1:23" hidden="1" x14ac:dyDescent="0.25">
      <c r="A1340" s="3">
        <v>45983</v>
      </c>
      <c r="B1340" s="4" t="s">
        <v>334</v>
      </c>
      <c r="C1340" s="4" t="s">
        <v>222</v>
      </c>
      <c r="D1340" s="4"/>
      <c r="E1340" s="4" t="s">
        <v>921</v>
      </c>
      <c r="F1340" s="4" t="s">
        <v>895</v>
      </c>
      <c r="G1340" s="4" t="s">
        <v>336</v>
      </c>
      <c r="H1340" s="4" t="s">
        <v>380</v>
      </c>
      <c r="I1340" s="4">
        <v>0.27</v>
      </c>
      <c r="J1340" s="21">
        <v>600</v>
      </c>
      <c r="K1340" s="21">
        <v>162</v>
      </c>
      <c r="L1340" s="5">
        <v>0</v>
      </c>
      <c r="M1340" s="4">
        <v>0.27</v>
      </c>
      <c r="N1340" s="4"/>
      <c r="O1340" s="5">
        <v>600</v>
      </c>
      <c r="P1340" s="5"/>
      <c r="Q1340" s="21">
        <v>0</v>
      </c>
      <c r="R1340" s="21">
        <v>0</v>
      </c>
      <c r="S1340" s="5">
        <f t="shared" si="83"/>
        <v>56805.168760152017</v>
      </c>
      <c r="T1340" cm="1">
        <f t="array" ref="T1340">IF(OR(B1340="MAL ALIMI", B1340="ÜRETİM GİRİŞ"), MIN(I1340, MAX(0, I1340 + SUM(SUMIFS($I$1:I1339, $C$1:C1339, C1340, $B$1:B1339, {"MAL ALIMI","ÜRETİM GİRİŞ"})) - VLOOKUP(C1340, 'STOK RAPORU'!$C$2:$I$1000, 4, 0))), 0)</f>
        <v>0</v>
      </c>
      <c r="U1340" s="22">
        <f t="shared" si="80"/>
        <v>0</v>
      </c>
      <c r="V1340">
        <f t="shared" si="81"/>
        <v>0</v>
      </c>
      <c r="W1340" s="22">
        <f t="shared" si="82"/>
        <v>0</v>
      </c>
    </row>
    <row r="1341" spans="1:23" hidden="1" x14ac:dyDescent="0.25">
      <c r="A1341" s="3">
        <v>45983</v>
      </c>
      <c r="B1341" s="4" t="s">
        <v>334</v>
      </c>
      <c r="C1341" s="4" t="s">
        <v>634</v>
      </c>
      <c r="D1341" s="4"/>
      <c r="E1341" s="4" t="s">
        <v>921</v>
      </c>
      <c r="F1341" s="4" t="s">
        <v>895</v>
      </c>
      <c r="G1341" s="4" t="s">
        <v>336</v>
      </c>
      <c r="H1341" s="4" t="s">
        <v>380</v>
      </c>
      <c r="I1341" s="4">
        <v>0.23599999999999999</v>
      </c>
      <c r="J1341" s="21">
        <v>850</v>
      </c>
      <c r="K1341" s="21">
        <v>200.6</v>
      </c>
      <c r="L1341" s="5">
        <v>0</v>
      </c>
      <c r="M1341" s="4">
        <v>1</v>
      </c>
      <c r="N1341" s="4"/>
      <c r="O1341" s="5">
        <v>200</v>
      </c>
      <c r="P1341" s="5"/>
      <c r="Q1341" s="21">
        <v>0</v>
      </c>
      <c r="R1341" s="21">
        <v>0</v>
      </c>
      <c r="S1341" s="5">
        <f t="shared" si="83"/>
        <v>56805.168760152017</v>
      </c>
      <c r="T1341" cm="1">
        <f t="array" ref="T1341">IF(OR(B1341="MAL ALIMI", B1341="ÜRETİM GİRİŞ"), MIN(I1341, MAX(0, I1341 + SUM(SUMIFS($I$1:I1340, $C$1:C1340, C1341, $B$1:B1340, {"MAL ALIMI","ÜRETİM GİRİŞ"})) - VLOOKUP(C1341, 'STOK RAPORU'!$C$2:$I$1000, 4, 0))), 0)</f>
        <v>0</v>
      </c>
      <c r="U1341" s="22">
        <f t="shared" si="80"/>
        <v>0</v>
      </c>
      <c r="V1341">
        <f t="shared" si="81"/>
        <v>0</v>
      </c>
      <c r="W1341" s="22">
        <f t="shared" si="82"/>
        <v>0</v>
      </c>
    </row>
    <row r="1342" spans="1:23" hidden="1" x14ac:dyDescent="0.25">
      <c r="A1342" s="3">
        <v>45983</v>
      </c>
      <c r="B1342" s="4" t="s">
        <v>334</v>
      </c>
      <c r="C1342" s="4" t="s">
        <v>160</v>
      </c>
      <c r="D1342" s="4"/>
      <c r="E1342" s="4"/>
      <c r="F1342" s="4" t="s">
        <v>896</v>
      </c>
      <c r="G1342" s="4" t="s">
        <v>336</v>
      </c>
      <c r="H1342" s="4" t="s">
        <v>289</v>
      </c>
      <c r="I1342" s="4">
        <v>0.5</v>
      </c>
      <c r="J1342" s="21">
        <v>220</v>
      </c>
      <c r="K1342" s="21">
        <v>0</v>
      </c>
      <c r="L1342" s="5">
        <v>0</v>
      </c>
      <c r="M1342" s="4">
        <v>0.5</v>
      </c>
      <c r="N1342" s="4"/>
      <c r="O1342" s="5">
        <v>220</v>
      </c>
      <c r="P1342" s="5"/>
      <c r="Q1342" s="21">
        <v>110</v>
      </c>
      <c r="R1342" s="21">
        <v>0</v>
      </c>
      <c r="S1342" s="5">
        <f t="shared" si="83"/>
        <v>56915.168760152017</v>
      </c>
      <c r="T1342" cm="1">
        <f t="array" ref="T1342">IF(OR(B1342="MAL ALIMI", B1342="ÜRETİM GİRİŞ"), MIN(I1342, MAX(0, I1342 + SUM(SUMIFS($I$1:I1341, $C$1:C1341, C1342, $B$1:B1341, {"MAL ALIMI","ÜRETİM GİRİŞ"})) - VLOOKUP(C1342, 'STOK RAPORU'!$C$2:$I$1000, 4, 0))), 0)</f>
        <v>0</v>
      </c>
      <c r="U1342" s="22">
        <f t="shared" si="80"/>
        <v>0</v>
      </c>
      <c r="V1342">
        <f t="shared" si="81"/>
        <v>0</v>
      </c>
      <c r="W1342" s="22">
        <f t="shared" si="82"/>
        <v>0</v>
      </c>
    </row>
    <row r="1343" spans="1:23" hidden="1" x14ac:dyDescent="0.25">
      <c r="A1343" s="3">
        <v>45983</v>
      </c>
      <c r="B1343" s="4" t="s">
        <v>334</v>
      </c>
      <c r="C1343" s="4" t="s">
        <v>167</v>
      </c>
      <c r="D1343" s="4"/>
      <c r="E1343" s="4"/>
      <c r="F1343" s="4" t="s">
        <v>896</v>
      </c>
      <c r="G1343" s="4" t="s">
        <v>336</v>
      </c>
      <c r="H1343" s="4" t="s">
        <v>289</v>
      </c>
      <c r="I1343" s="4">
        <v>0.5</v>
      </c>
      <c r="J1343" s="21">
        <v>200</v>
      </c>
      <c r="K1343" s="21">
        <v>0</v>
      </c>
      <c r="L1343" s="5">
        <v>0</v>
      </c>
      <c r="M1343" s="4">
        <v>0.5</v>
      </c>
      <c r="N1343" s="4"/>
      <c r="O1343" s="5">
        <v>200</v>
      </c>
      <c r="P1343" s="5"/>
      <c r="Q1343" s="21">
        <v>100</v>
      </c>
      <c r="R1343" s="21">
        <v>0</v>
      </c>
      <c r="S1343" s="5">
        <f t="shared" si="83"/>
        <v>57015.168760152017</v>
      </c>
      <c r="T1343" cm="1">
        <f t="array" ref="T1343">IF(OR(B1343="MAL ALIMI", B1343="ÜRETİM GİRİŞ"), MIN(I1343, MAX(0, I1343 + SUM(SUMIFS($I$1:I1342, $C$1:C1342, C1343, $B$1:B1342, {"MAL ALIMI","ÜRETİM GİRİŞ"})) - VLOOKUP(C1343, 'STOK RAPORU'!$C$2:$I$1000, 4, 0))), 0)</f>
        <v>0</v>
      </c>
      <c r="U1343" s="22">
        <f t="shared" si="80"/>
        <v>0</v>
      </c>
      <c r="V1343">
        <f t="shared" si="81"/>
        <v>0</v>
      </c>
      <c r="W1343" s="22">
        <f t="shared" si="82"/>
        <v>0</v>
      </c>
    </row>
    <row r="1344" spans="1:23" hidden="1" x14ac:dyDescent="0.25">
      <c r="A1344" s="3">
        <v>45983</v>
      </c>
      <c r="B1344" s="4" t="s">
        <v>334</v>
      </c>
      <c r="C1344" s="4" t="s">
        <v>162</v>
      </c>
      <c r="D1344" s="4"/>
      <c r="E1344" s="4"/>
      <c r="F1344" s="4" t="s">
        <v>896</v>
      </c>
      <c r="G1344" s="4" t="s">
        <v>336</v>
      </c>
      <c r="H1344" s="4" t="s">
        <v>289</v>
      </c>
      <c r="I1344" s="4">
        <v>0.5</v>
      </c>
      <c r="J1344" s="21">
        <v>240</v>
      </c>
      <c r="K1344" s="21">
        <v>0</v>
      </c>
      <c r="L1344" s="5">
        <v>0</v>
      </c>
      <c r="M1344" s="4">
        <v>0.5</v>
      </c>
      <c r="N1344" s="4"/>
      <c r="O1344" s="5">
        <v>240</v>
      </c>
      <c r="P1344" s="5"/>
      <c r="Q1344" s="21">
        <v>120</v>
      </c>
      <c r="R1344" s="21">
        <v>0</v>
      </c>
      <c r="S1344" s="5">
        <f t="shared" si="83"/>
        <v>57135.168760152017</v>
      </c>
      <c r="T1344" cm="1">
        <f t="array" ref="T1344">IF(OR(B1344="MAL ALIMI", B1344="ÜRETİM GİRİŞ"), MIN(I1344, MAX(0, I1344 + SUM(SUMIFS($I$1:I1343, $C$1:C1343, C1344, $B$1:B1343, {"MAL ALIMI","ÜRETİM GİRİŞ"})) - VLOOKUP(C1344, 'STOK RAPORU'!$C$2:$I$1000, 4, 0))), 0)</f>
        <v>0</v>
      </c>
      <c r="U1344" s="22">
        <f t="shared" si="80"/>
        <v>0</v>
      </c>
      <c r="V1344">
        <f t="shared" si="81"/>
        <v>0</v>
      </c>
      <c r="W1344" s="22">
        <f t="shared" si="82"/>
        <v>0</v>
      </c>
    </row>
    <row r="1345" spans="1:23" hidden="1" x14ac:dyDescent="0.25">
      <c r="A1345" s="3">
        <v>45983</v>
      </c>
      <c r="B1345" s="4" t="s">
        <v>334</v>
      </c>
      <c r="C1345" s="4" t="s">
        <v>499</v>
      </c>
      <c r="D1345" s="4"/>
      <c r="E1345" s="4"/>
      <c r="F1345" s="4" t="s">
        <v>897</v>
      </c>
      <c r="G1345" s="4" t="s">
        <v>336</v>
      </c>
      <c r="H1345" s="4" t="s">
        <v>289</v>
      </c>
      <c r="I1345" s="4">
        <v>1</v>
      </c>
      <c r="J1345" s="21">
        <v>295</v>
      </c>
      <c r="K1345" s="21">
        <v>0</v>
      </c>
      <c r="L1345" s="5">
        <v>0</v>
      </c>
      <c r="M1345" s="4">
        <v>1</v>
      </c>
      <c r="N1345" s="4"/>
      <c r="O1345" s="5">
        <v>295</v>
      </c>
      <c r="P1345" s="5"/>
      <c r="Q1345" s="21">
        <v>295</v>
      </c>
      <c r="R1345" s="21">
        <v>0</v>
      </c>
      <c r="S1345" s="5">
        <f t="shared" si="83"/>
        <v>57430.168760152017</v>
      </c>
      <c r="T1345" cm="1">
        <f t="array" ref="T1345">IF(OR(B1345="MAL ALIMI", B1345="ÜRETİM GİRİŞ"), MIN(I1345, MAX(0, I1345 + SUM(SUMIFS($I$1:I1344, $C$1:C1344, C1345, $B$1:B1344, {"MAL ALIMI","ÜRETİM GİRİŞ"})) - VLOOKUP(C1345, 'STOK RAPORU'!$C$2:$I$1000, 4, 0))), 0)</f>
        <v>0</v>
      </c>
      <c r="U1345" s="22">
        <f t="shared" si="80"/>
        <v>0</v>
      </c>
      <c r="V1345">
        <f t="shared" si="81"/>
        <v>0</v>
      </c>
      <c r="W1345" s="22">
        <f t="shared" si="82"/>
        <v>0</v>
      </c>
    </row>
    <row r="1346" spans="1:23" hidden="1" x14ac:dyDescent="0.25">
      <c r="A1346" s="3">
        <v>45983</v>
      </c>
      <c r="B1346" s="4" t="s">
        <v>334</v>
      </c>
      <c r="C1346" s="4" t="s">
        <v>493</v>
      </c>
      <c r="D1346" s="4"/>
      <c r="E1346" s="4"/>
      <c r="F1346" s="4" t="s">
        <v>897</v>
      </c>
      <c r="G1346" s="4" t="s">
        <v>336</v>
      </c>
      <c r="H1346" s="4" t="s">
        <v>289</v>
      </c>
      <c r="I1346" s="4">
        <v>1</v>
      </c>
      <c r="J1346" s="21">
        <v>230</v>
      </c>
      <c r="K1346" s="21">
        <v>0</v>
      </c>
      <c r="L1346" s="5">
        <v>0</v>
      </c>
      <c r="M1346" s="4">
        <v>1</v>
      </c>
      <c r="N1346" s="4"/>
      <c r="O1346" s="5">
        <v>230</v>
      </c>
      <c r="P1346" s="5"/>
      <c r="Q1346" s="21">
        <v>230</v>
      </c>
      <c r="R1346" s="21">
        <v>0</v>
      </c>
      <c r="S1346" s="5">
        <f t="shared" si="83"/>
        <v>57660.168760152017</v>
      </c>
      <c r="T1346" cm="1">
        <f t="array" ref="T1346">IF(OR(B1346="MAL ALIMI", B1346="ÜRETİM GİRİŞ"), MIN(I1346, MAX(0, I1346 + SUM(SUMIFS($I$1:I1345, $C$1:C1345, C1346, $B$1:B1345, {"MAL ALIMI","ÜRETİM GİRİŞ"})) - VLOOKUP(C1346, 'STOK RAPORU'!$C$2:$I$1000, 4, 0))), 0)</f>
        <v>0</v>
      </c>
      <c r="U1346" s="22">
        <f t="shared" si="80"/>
        <v>0</v>
      </c>
      <c r="V1346">
        <f t="shared" si="81"/>
        <v>0</v>
      </c>
      <c r="W1346" s="22">
        <f t="shared" si="82"/>
        <v>0</v>
      </c>
    </row>
    <row r="1347" spans="1:23" hidden="1" x14ac:dyDescent="0.25">
      <c r="A1347" s="3">
        <v>45983</v>
      </c>
      <c r="B1347" s="4" t="s">
        <v>334</v>
      </c>
      <c r="C1347" s="4" t="s">
        <v>179</v>
      </c>
      <c r="D1347" s="4"/>
      <c r="E1347" s="4"/>
      <c r="F1347" s="4" t="s">
        <v>897</v>
      </c>
      <c r="G1347" s="4" t="s">
        <v>336</v>
      </c>
      <c r="H1347" s="4" t="s">
        <v>289</v>
      </c>
      <c r="I1347" s="4">
        <v>1</v>
      </c>
      <c r="J1347" s="21">
        <v>160</v>
      </c>
      <c r="K1347" s="21">
        <v>0</v>
      </c>
      <c r="L1347" s="5">
        <v>0</v>
      </c>
      <c r="M1347" s="4">
        <v>1</v>
      </c>
      <c r="N1347" s="4"/>
      <c r="O1347" s="5">
        <v>160</v>
      </c>
      <c r="P1347" s="5"/>
      <c r="Q1347" s="21">
        <v>160</v>
      </c>
      <c r="R1347" s="21">
        <v>0</v>
      </c>
      <c r="S1347" s="5">
        <f t="shared" si="83"/>
        <v>57820.168760152017</v>
      </c>
      <c r="T1347" cm="1">
        <f t="array" ref="T1347">IF(OR(B1347="MAL ALIMI", B1347="ÜRETİM GİRİŞ"), MIN(I1347, MAX(0, I1347 + SUM(SUMIFS($I$1:I1346, $C$1:C1346, C1347, $B$1:B1346, {"MAL ALIMI","ÜRETİM GİRİŞ"})) - VLOOKUP(C1347, 'STOK RAPORU'!$C$2:$I$1000, 4, 0))), 0)</f>
        <v>0</v>
      </c>
      <c r="U1347" s="22">
        <f t="shared" ref="U1347:U1410" si="84">T1347*J1347</f>
        <v>0</v>
      </c>
      <c r="V1347">
        <f t="shared" ref="V1347:V1410" si="85">IF(OR(B1347="MAL ALIMI", B1347="ÜRETİM GİRİŞ"), I1347 * J1347, 0)</f>
        <v>0</v>
      </c>
      <c r="W1347" s="22">
        <f t="shared" ref="W1347:W1410" si="86">V1347-U1347</f>
        <v>0</v>
      </c>
    </row>
    <row r="1348" spans="1:23" hidden="1" x14ac:dyDescent="0.25">
      <c r="A1348" s="3">
        <v>45983</v>
      </c>
      <c r="B1348" s="4" t="s">
        <v>334</v>
      </c>
      <c r="C1348" s="4" t="s">
        <v>587</v>
      </c>
      <c r="D1348" s="4"/>
      <c r="E1348" s="4"/>
      <c r="F1348" s="4" t="s">
        <v>897</v>
      </c>
      <c r="G1348" s="4" t="s">
        <v>336</v>
      </c>
      <c r="H1348" s="4" t="s">
        <v>289</v>
      </c>
      <c r="I1348" s="4">
        <v>1.242</v>
      </c>
      <c r="J1348" s="21">
        <v>130</v>
      </c>
      <c r="K1348" s="21">
        <v>0</v>
      </c>
      <c r="L1348" s="5">
        <v>0</v>
      </c>
      <c r="M1348" s="4">
        <v>1.242</v>
      </c>
      <c r="N1348" s="4"/>
      <c r="O1348" s="5">
        <v>130</v>
      </c>
      <c r="P1348" s="5"/>
      <c r="Q1348" s="21">
        <v>161.46</v>
      </c>
      <c r="R1348" s="21">
        <v>0</v>
      </c>
      <c r="S1348" s="5">
        <f t="shared" ref="S1348:S1411" si="87">S1347+Q1348-R1348</f>
        <v>57981.628760152016</v>
      </c>
      <c r="T1348" cm="1">
        <f t="array" ref="T1348">IF(OR(B1348="MAL ALIMI", B1348="ÜRETİM GİRİŞ"), MIN(I1348, MAX(0, I1348 + SUM(SUMIFS($I$1:I1347, $C$1:C1347, C1348, $B$1:B1347, {"MAL ALIMI","ÜRETİM GİRİŞ"})) - VLOOKUP(C1348, 'STOK RAPORU'!$C$2:$I$1000, 4, 0))), 0)</f>
        <v>0</v>
      </c>
      <c r="U1348" s="22">
        <f t="shared" si="84"/>
        <v>0</v>
      </c>
      <c r="V1348">
        <f t="shared" si="85"/>
        <v>0</v>
      </c>
      <c r="W1348" s="22">
        <f t="shared" si="86"/>
        <v>0</v>
      </c>
    </row>
    <row r="1349" spans="1:23" hidden="1" x14ac:dyDescent="0.25">
      <c r="A1349" s="3">
        <v>45983</v>
      </c>
      <c r="B1349" s="4" t="s">
        <v>334</v>
      </c>
      <c r="C1349" s="4" t="s">
        <v>197</v>
      </c>
      <c r="D1349" s="4"/>
      <c r="E1349" s="4"/>
      <c r="F1349" s="4" t="s">
        <v>897</v>
      </c>
      <c r="G1349" s="4" t="s">
        <v>336</v>
      </c>
      <c r="H1349" s="4" t="s">
        <v>289</v>
      </c>
      <c r="I1349" s="4">
        <v>0.26500000000000001</v>
      </c>
      <c r="J1349" s="21">
        <v>190</v>
      </c>
      <c r="K1349" s="21">
        <v>0</v>
      </c>
      <c r="L1349" s="5">
        <v>0</v>
      </c>
      <c r="M1349" s="4">
        <v>0.26500000000000001</v>
      </c>
      <c r="N1349" s="4"/>
      <c r="O1349" s="5">
        <v>190</v>
      </c>
      <c r="P1349" s="5"/>
      <c r="Q1349" s="21">
        <v>50.35</v>
      </c>
      <c r="R1349" s="21">
        <v>0</v>
      </c>
      <c r="S1349" s="5">
        <f t="shared" si="87"/>
        <v>58031.978760152015</v>
      </c>
      <c r="T1349" cm="1">
        <f t="array" ref="T1349">IF(OR(B1349="MAL ALIMI", B1349="ÜRETİM GİRİŞ"), MIN(I1349, MAX(0, I1349 + SUM(SUMIFS($I$1:I1348, $C$1:C1348, C1349, $B$1:B1348, {"MAL ALIMI","ÜRETİM GİRİŞ"})) - VLOOKUP(C1349, 'STOK RAPORU'!$C$2:$I$1000, 4, 0))), 0)</f>
        <v>0</v>
      </c>
      <c r="U1349" s="22">
        <f t="shared" si="84"/>
        <v>0</v>
      </c>
      <c r="V1349">
        <f t="shared" si="85"/>
        <v>0</v>
      </c>
      <c r="W1349" s="22">
        <f t="shared" si="86"/>
        <v>0</v>
      </c>
    </row>
    <row r="1350" spans="1:23" hidden="1" x14ac:dyDescent="0.25">
      <c r="A1350" s="3">
        <v>45983</v>
      </c>
      <c r="B1350" s="4" t="s">
        <v>334</v>
      </c>
      <c r="C1350" s="4" t="s">
        <v>731</v>
      </c>
      <c r="D1350" s="4"/>
      <c r="E1350" s="4"/>
      <c r="F1350" s="4" t="s">
        <v>897</v>
      </c>
      <c r="G1350" s="4" t="s">
        <v>336</v>
      </c>
      <c r="H1350" s="4" t="s">
        <v>289</v>
      </c>
      <c r="I1350" s="4">
        <v>1</v>
      </c>
      <c r="J1350" s="21">
        <v>90</v>
      </c>
      <c r="K1350" s="21">
        <v>0</v>
      </c>
      <c r="L1350" s="5">
        <v>0</v>
      </c>
      <c r="M1350" s="4">
        <v>1</v>
      </c>
      <c r="N1350" s="4"/>
      <c r="O1350" s="5">
        <v>90</v>
      </c>
      <c r="P1350" s="5"/>
      <c r="Q1350" s="21">
        <v>90</v>
      </c>
      <c r="R1350" s="21">
        <v>0</v>
      </c>
      <c r="S1350" s="5">
        <f t="shared" si="87"/>
        <v>58121.978760152015</v>
      </c>
      <c r="T1350" cm="1">
        <f t="array" ref="T1350">IF(OR(B1350="MAL ALIMI", B1350="ÜRETİM GİRİŞ"), MIN(I1350, MAX(0, I1350 + SUM(SUMIFS($I$1:I1349, $C$1:C1349, C1350, $B$1:B1349, {"MAL ALIMI","ÜRETİM GİRİŞ"})) - VLOOKUP(C1350, 'STOK RAPORU'!$C$2:$I$1000, 4, 0))), 0)</f>
        <v>0</v>
      </c>
      <c r="U1350" s="22">
        <f t="shared" si="84"/>
        <v>0</v>
      </c>
      <c r="V1350">
        <f t="shared" si="85"/>
        <v>0</v>
      </c>
      <c r="W1350" s="22">
        <f t="shared" si="86"/>
        <v>0</v>
      </c>
    </row>
    <row r="1351" spans="1:23" hidden="1" x14ac:dyDescent="0.25">
      <c r="A1351" s="3">
        <v>45983</v>
      </c>
      <c r="B1351" s="4" t="s">
        <v>334</v>
      </c>
      <c r="C1351" s="4" t="s">
        <v>211</v>
      </c>
      <c r="D1351" s="4"/>
      <c r="E1351" s="4" t="s">
        <v>921</v>
      </c>
      <c r="F1351" s="4" t="s">
        <v>898</v>
      </c>
      <c r="G1351" s="4" t="s">
        <v>336</v>
      </c>
      <c r="H1351" s="4" t="s">
        <v>380</v>
      </c>
      <c r="I1351" s="4">
        <v>0.69</v>
      </c>
      <c r="J1351" s="21">
        <v>290</v>
      </c>
      <c r="K1351" s="21">
        <v>200.1</v>
      </c>
      <c r="L1351" s="5">
        <v>0</v>
      </c>
      <c r="M1351" s="4">
        <v>0.69</v>
      </c>
      <c r="N1351" s="4"/>
      <c r="O1351" s="5">
        <v>290</v>
      </c>
      <c r="P1351" s="5"/>
      <c r="Q1351" s="21">
        <v>0</v>
      </c>
      <c r="R1351" s="21">
        <v>0</v>
      </c>
      <c r="S1351" s="5">
        <f t="shared" si="87"/>
        <v>58121.978760152015</v>
      </c>
      <c r="T1351" cm="1">
        <f t="array" ref="T1351">IF(OR(B1351="MAL ALIMI", B1351="ÜRETİM GİRİŞ"), MIN(I1351, MAX(0, I1351 + SUM(SUMIFS($I$1:I1350, $C$1:C1350, C1351, $B$1:B1350, {"MAL ALIMI","ÜRETİM GİRİŞ"})) - VLOOKUP(C1351, 'STOK RAPORU'!$C$2:$I$1000, 4, 0))), 0)</f>
        <v>0</v>
      </c>
      <c r="U1351" s="22">
        <f t="shared" si="84"/>
        <v>0</v>
      </c>
      <c r="V1351">
        <f t="shared" si="85"/>
        <v>0</v>
      </c>
      <c r="W1351" s="22">
        <f t="shared" si="86"/>
        <v>0</v>
      </c>
    </row>
    <row r="1352" spans="1:23" hidden="1" x14ac:dyDescent="0.25">
      <c r="A1352" s="3">
        <v>45983</v>
      </c>
      <c r="B1352" s="4" t="s">
        <v>334</v>
      </c>
      <c r="C1352" s="4" t="s">
        <v>226</v>
      </c>
      <c r="D1352" s="4"/>
      <c r="E1352" s="4" t="s">
        <v>921</v>
      </c>
      <c r="F1352" s="4" t="s">
        <v>898</v>
      </c>
      <c r="G1352" s="4" t="s">
        <v>336</v>
      </c>
      <c r="H1352" s="4" t="s">
        <v>380</v>
      </c>
      <c r="I1352" s="4">
        <v>0.2</v>
      </c>
      <c r="J1352" s="21">
        <v>150</v>
      </c>
      <c r="K1352" s="21">
        <v>30</v>
      </c>
      <c r="L1352" s="5">
        <v>0</v>
      </c>
      <c r="M1352" s="4">
        <v>0.2</v>
      </c>
      <c r="N1352" s="4"/>
      <c r="O1352" s="5">
        <v>150</v>
      </c>
      <c r="P1352" s="5"/>
      <c r="Q1352" s="21">
        <v>0</v>
      </c>
      <c r="R1352" s="21">
        <v>0</v>
      </c>
      <c r="S1352" s="5">
        <f t="shared" si="87"/>
        <v>58121.978760152015</v>
      </c>
      <c r="T1352" cm="1">
        <f t="array" ref="T1352">IF(OR(B1352="MAL ALIMI", B1352="ÜRETİM GİRİŞ"), MIN(I1352, MAX(0, I1352 + SUM(SUMIFS($I$1:I1351, $C$1:C1351, C1352, $B$1:B1351, {"MAL ALIMI","ÜRETİM GİRİŞ"})) - VLOOKUP(C1352, 'STOK RAPORU'!$C$2:$I$1000, 4, 0))), 0)</f>
        <v>0</v>
      </c>
      <c r="U1352" s="22">
        <f t="shared" si="84"/>
        <v>0</v>
      </c>
      <c r="V1352">
        <f t="shared" si="85"/>
        <v>0</v>
      </c>
      <c r="W1352" s="22">
        <f t="shared" si="86"/>
        <v>0</v>
      </c>
    </row>
    <row r="1353" spans="1:23" hidden="1" x14ac:dyDescent="0.25">
      <c r="A1353" s="3">
        <v>45983</v>
      </c>
      <c r="B1353" s="4" t="s">
        <v>334</v>
      </c>
      <c r="C1353" s="4" t="s">
        <v>133</v>
      </c>
      <c r="D1353" s="4"/>
      <c r="E1353" s="4"/>
      <c r="F1353" s="4" t="s">
        <v>899</v>
      </c>
      <c r="G1353" s="4" t="s">
        <v>336</v>
      </c>
      <c r="H1353" s="4" t="s">
        <v>289</v>
      </c>
      <c r="I1353" s="4">
        <v>0.3</v>
      </c>
      <c r="J1353" s="21">
        <v>380</v>
      </c>
      <c r="K1353" s="21">
        <v>0</v>
      </c>
      <c r="L1353" s="5">
        <v>0</v>
      </c>
      <c r="M1353" s="4">
        <v>0.3</v>
      </c>
      <c r="N1353" s="4"/>
      <c r="O1353" s="5">
        <v>380</v>
      </c>
      <c r="P1353" s="5"/>
      <c r="Q1353" s="21">
        <v>114</v>
      </c>
      <c r="R1353" s="21">
        <v>0</v>
      </c>
      <c r="S1353" s="5">
        <f t="shared" si="87"/>
        <v>58235.978760152015</v>
      </c>
      <c r="T1353" cm="1">
        <f t="array" ref="T1353">IF(OR(B1353="MAL ALIMI", B1353="ÜRETİM GİRİŞ"), MIN(I1353, MAX(0, I1353 + SUM(SUMIFS($I$1:I1352, $C$1:C1352, C1353, $B$1:B1352, {"MAL ALIMI","ÜRETİM GİRİŞ"})) - VLOOKUP(C1353, 'STOK RAPORU'!$C$2:$I$1000, 4, 0))), 0)</f>
        <v>0</v>
      </c>
      <c r="U1353" s="22">
        <f t="shared" si="84"/>
        <v>0</v>
      </c>
      <c r="V1353">
        <f t="shared" si="85"/>
        <v>0</v>
      </c>
      <c r="W1353" s="22">
        <f t="shared" si="86"/>
        <v>0</v>
      </c>
    </row>
    <row r="1354" spans="1:23" hidden="1" x14ac:dyDescent="0.25">
      <c r="A1354" s="3">
        <v>45983</v>
      </c>
      <c r="B1354" s="4" t="s">
        <v>334</v>
      </c>
      <c r="C1354" s="4" t="s">
        <v>157</v>
      </c>
      <c r="D1354" s="4"/>
      <c r="E1354" s="4"/>
      <c r="F1354" s="4" t="s">
        <v>900</v>
      </c>
      <c r="G1354" s="4" t="s">
        <v>958</v>
      </c>
      <c r="H1354" s="4" t="s">
        <v>289</v>
      </c>
      <c r="I1354" s="4">
        <v>1.1499999999999999</v>
      </c>
      <c r="J1354" s="21">
        <v>180</v>
      </c>
      <c r="K1354" s="21">
        <v>0</v>
      </c>
      <c r="L1354" s="5">
        <v>0</v>
      </c>
      <c r="M1354" s="4">
        <v>1.1499999999999999</v>
      </c>
      <c r="N1354" s="4"/>
      <c r="O1354" s="5">
        <v>180</v>
      </c>
      <c r="P1354" s="5"/>
      <c r="Q1354" s="21">
        <v>206.99999999999997</v>
      </c>
      <c r="R1354" s="21">
        <v>0</v>
      </c>
      <c r="S1354" s="5">
        <f t="shared" si="87"/>
        <v>58442.978760152015</v>
      </c>
      <c r="T1354" cm="1">
        <f t="array" ref="T1354">IF(OR(B1354="MAL ALIMI", B1354="ÜRETİM GİRİŞ"), MIN(I1354, MAX(0, I1354 + SUM(SUMIFS($I$1:I1353, $C$1:C1353, C1354, $B$1:B1353, {"MAL ALIMI","ÜRETİM GİRİŞ"})) - VLOOKUP(C1354, 'STOK RAPORU'!$C$2:$I$1000, 4, 0))), 0)</f>
        <v>0</v>
      </c>
      <c r="U1354" s="22">
        <f t="shared" si="84"/>
        <v>0</v>
      </c>
      <c r="V1354">
        <f t="shared" si="85"/>
        <v>0</v>
      </c>
      <c r="W1354" s="22">
        <f t="shared" si="86"/>
        <v>0</v>
      </c>
    </row>
    <row r="1355" spans="1:23" hidden="1" x14ac:dyDescent="0.25">
      <c r="A1355" s="3">
        <v>45983</v>
      </c>
      <c r="B1355" s="4" t="s">
        <v>334</v>
      </c>
      <c r="C1355" s="4" t="s">
        <v>163</v>
      </c>
      <c r="D1355" s="4"/>
      <c r="E1355" s="4"/>
      <c r="F1355" s="4" t="s">
        <v>900</v>
      </c>
      <c r="G1355" s="4" t="s">
        <v>958</v>
      </c>
      <c r="H1355" s="4" t="s">
        <v>289</v>
      </c>
      <c r="I1355" s="4">
        <v>0.20499999999999999</v>
      </c>
      <c r="J1355" s="21">
        <v>420</v>
      </c>
      <c r="K1355" s="21">
        <v>0</v>
      </c>
      <c r="L1355" s="5">
        <v>0</v>
      </c>
      <c r="M1355" s="4">
        <v>0.20499999999999999</v>
      </c>
      <c r="N1355" s="4"/>
      <c r="O1355" s="5">
        <v>420</v>
      </c>
      <c r="P1355" s="5"/>
      <c r="Q1355" s="21">
        <v>86.1</v>
      </c>
      <c r="R1355" s="21">
        <v>0</v>
      </c>
      <c r="S1355" s="5">
        <f t="shared" si="87"/>
        <v>58529.078760152013</v>
      </c>
      <c r="T1355" cm="1">
        <f t="array" ref="T1355">IF(OR(B1355="MAL ALIMI", B1355="ÜRETİM GİRİŞ"), MIN(I1355, MAX(0, I1355 + SUM(SUMIFS($I$1:I1354, $C$1:C1354, C1355, $B$1:B1354, {"MAL ALIMI","ÜRETİM GİRİŞ"})) - VLOOKUP(C1355, 'STOK RAPORU'!$C$2:$I$1000, 4, 0))), 0)</f>
        <v>0</v>
      </c>
      <c r="U1355" s="22">
        <f t="shared" si="84"/>
        <v>0</v>
      </c>
      <c r="V1355">
        <f t="shared" si="85"/>
        <v>0</v>
      </c>
      <c r="W1355" s="22">
        <f t="shared" si="86"/>
        <v>0</v>
      </c>
    </row>
    <row r="1356" spans="1:23" hidden="1" x14ac:dyDescent="0.25">
      <c r="A1356" s="3">
        <v>45983</v>
      </c>
      <c r="B1356" s="4" t="s">
        <v>334</v>
      </c>
      <c r="C1356" s="4" t="s">
        <v>146</v>
      </c>
      <c r="D1356" s="4"/>
      <c r="E1356" s="4"/>
      <c r="F1356" s="4" t="s">
        <v>900</v>
      </c>
      <c r="G1356" s="4" t="s">
        <v>958</v>
      </c>
      <c r="H1356" s="4" t="s">
        <v>289</v>
      </c>
      <c r="I1356" s="4">
        <v>1</v>
      </c>
      <c r="J1356" s="21">
        <v>80</v>
      </c>
      <c r="K1356" s="21">
        <v>0</v>
      </c>
      <c r="L1356" s="5">
        <v>0</v>
      </c>
      <c r="M1356" s="4">
        <v>1</v>
      </c>
      <c r="N1356" s="4"/>
      <c r="O1356" s="5">
        <v>80</v>
      </c>
      <c r="P1356" s="5"/>
      <c r="Q1356" s="21">
        <v>80</v>
      </c>
      <c r="R1356" s="21">
        <v>0</v>
      </c>
      <c r="S1356" s="5">
        <f t="shared" si="87"/>
        <v>58609.078760152013</v>
      </c>
      <c r="T1356" cm="1">
        <f t="array" ref="T1356">IF(OR(B1356="MAL ALIMI", B1356="ÜRETİM GİRİŞ"), MIN(I1356, MAX(0, I1356 + SUM(SUMIFS($I$1:I1355, $C$1:C1355, C1356, $B$1:B1355, {"MAL ALIMI","ÜRETİM GİRİŞ"})) - VLOOKUP(C1356, 'STOK RAPORU'!$C$2:$I$1000, 4, 0))), 0)</f>
        <v>0</v>
      </c>
      <c r="U1356" s="22">
        <f t="shared" si="84"/>
        <v>0</v>
      </c>
      <c r="V1356">
        <f t="shared" si="85"/>
        <v>0</v>
      </c>
      <c r="W1356" s="22">
        <f t="shared" si="86"/>
        <v>0</v>
      </c>
    </row>
    <row r="1357" spans="1:23" hidden="1" x14ac:dyDescent="0.25">
      <c r="A1357" s="3">
        <v>45983</v>
      </c>
      <c r="B1357" s="4" t="s">
        <v>334</v>
      </c>
      <c r="C1357" s="4" t="s">
        <v>692</v>
      </c>
      <c r="D1357" s="4"/>
      <c r="E1357" s="4"/>
      <c r="F1357" s="4" t="s">
        <v>900</v>
      </c>
      <c r="G1357" s="4" t="s">
        <v>958</v>
      </c>
      <c r="H1357" s="4" t="s">
        <v>289</v>
      </c>
      <c r="I1357" s="4">
        <v>1.17</v>
      </c>
      <c r="J1357" s="21">
        <v>60</v>
      </c>
      <c r="K1357" s="21">
        <v>0</v>
      </c>
      <c r="L1357" s="5">
        <v>0</v>
      </c>
      <c r="M1357" s="4">
        <v>1.17</v>
      </c>
      <c r="N1357" s="4"/>
      <c r="O1357" s="5">
        <v>60</v>
      </c>
      <c r="P1357" s="5"/>
      <c r="Q1357" s="21">
        <v>70.199999999999989</v>
      </c>
      <c r="R1357" s="21">
        <v>0</v>
      </c>
      <c r="S1357" s="5">
        <f t="shared" si="87"/>
        <v>58679.27876015201</v>
      </c>
      <c r="T1357" cm="1">
        <f t="array" ref="T1357">IF(OR(B1357="MAL ALIMI", B1357="ÜRETİM GİRİŞ"), MIN(I1357, MAX(0, I1357 + SUM(SUMIFS($I$1:I1356, $C$1:C1356, C1357, $B$1:B1356, {"MAL ALIMI","ÜRETİM GİRİŞ"})) - VLOOKUP(C1357, 'STOK RAPORU'!$C$2:$I$1000, 4, 0))), 0)</f>
        <v>0</v>
      </c>
      <c r="U1357" s="22">
        <f t="shared" si="84"/>
        <v>0</v>
      </c>
      <c r="V1357">
        <f t="shared" si="85"/>
        <v>0</v>
      </c>
      <c r="W1357" s="22">
        <f t="shared" si="86"/>
        <v>0</v>
      </c>
    </row>
    <row r="1358" spans="1:23" hidden="1" x14ac:dyDescent="0.25">
      <c r="A1358" s="3">
        <v>45983</v>
      </c>
      <c r="B1358" s="4" t="s">
        <v>334</v>
      </c>
      <c r="C1358" s="4" t="s">
        <v>466</v>
      </c>
      <c r="D1358" s="4"/>
      <c r="E1358" s="4"/>
      <c r="F1358" s="4" t="s">
        <v>900</v>
      </c>
      <c r="G1358" s="4" t="s">
        <v>958</v>
      </c>
      <c r="H1358" s="4" t="s">
        <v>289</v>
      </c>
      <c r="I1358" s="4">
        <v>1</v>
      </c>
      <c r="J1358" s="21">
        <v>40</v>
      </c>
      <c r="K1358" s="21">
        <v>0</v>
      </c>
      <c r="L1358" s="5">
        <v>0</v>
      </c>
      <c r="M1358" s="4">
        <v>1</v>
      </c>
      <c r="N1358" s="4"/>
      <c r="O1358" s="5">
        <v>40</v>
      </c>
      <c r="P1358" s="5"/>
      <c r="Q1358" s="21">
        <v>40</v>
      </c>
      <c r="R1358" s="21">
        <v>0</v>
      </c>
      <c r="S1358" s="5">
        <f t="shared" si="87"/>
        <v>58719.27876015201</v>
      </c>
      <c r="T1358" cm="1">
        <f t="array" ref="T1358">IF(OR(B1358="MAL ALIMI", B1358="ÜRETİM GİRİŞ"), MIN(I1358, MAX(0, I1358 + SUM(SUMIFS($I$1:I1357, $C$1:C1357, C1358, $B$1:B1357, {"MAL ALIMI","ÜRETİM GİRİŞ"})) - VLOOKUP(C1358, 'STOK RAPORU'!$C$2:$I$1000, 4, 0))), 0)</f>
        <v>0</v>
      </c>
      <c r="U1358" s="22">
        <f t="shared" si="84"/>
        <v>0</v>
      </c>
      <c r="V1358">
        <f t="shared" si="85"/>
        <v>0</v>
      </c>
      <c r="W1358" s="22">
        <f t="shared" si="86"/>
        <v>0</v>
      </c>
    </row>
    <row r="1359" spans="1:23" hidden="1" x14ac:dyDescent="0.25">
      <c r="A1359" s="3">
        <v>45983</v>
      </c>
      <c r="B1359" s="4" t="s">
        <v>334</v>
      </c>
      <c r="C1359" s="4" t="s">
        <v>460</v>
      </c>
      <c r="D1359" s="4"/>
      <c r="E1359" s="4"/>
      <c r="F1359" s="4" t="s">
        <v>901</v>
      </c>
      <c r="G1359" s="4" t="s">
        <v>336</v>
      </c>
      <c r="H1359" s="4" t="s">
        <v>289</v>
      </c>
      <c r="I1359" s="4">
        <v>1</v>
      </c>
      <c r="J1359" s="21">
        <v>15</v>
      </c>
      <c r="K1359" s="21">
        <v>0</v>
      </c>
      <c r="L1359" s="5">
        <v>0</v>
      </c>
      <c r="M1359" s="4">
        <v>1</v>
      </c>
      <c r="N1359" s="4"/>
      <c r="O1359" s="5">
        <v>15</v>
      </c>
      <c r="P1359" s="5"/>
      <c r="Q1359" s="21">
        <v>15</v>
      </c>
      <c r="R1359" s="21">
        <v>0</v>
      </c>
      <c r="S1359" s="5">
        <f t="shared" si="87"/>
        <v>58734.27876015201</v>
      </c>
      <c r="T1359" cm="1">
        <f t="array" ref="T1359">IF(OR(B1359="MAL ALIMI", B1359="ÜRETİM GİRİŞ"), MIN(I1359, MAX(0, I1359 + SUM(SUMIFS($I$1:I1358, $C$1:C1358, C1359, $B$1:B1358, {"MAL ALIMI","ÜRETİM GİRİŞ"})) - VLOOKUP(C1359, 'STOK RAPORU'!$C$2:$I$1000, 4, 0))), 0)</f>
        <v>0</v>
      </c>
      <c r="U1359" s="22">
        <f t="shared" si="84"/>
        <v>0</v>
      </c>
      <c r="V1359">
        <f t="shared" si="85"/>
        <v>0</v>
      </c>
      <c r="W1359" s="22">
        <f t="shared" si="86"/>
        <v>0</v>
      </c>
    </row>
    <row r="1360" spans="1:23" hidden="1" x14ac:dyDescent="0.25">
      <c r="A1360" s="3">
        <v>45983</v>
      </c>
      <c r="B1360" s="4" t="s">
        <v>334</v>
      </c>
      <c r="C1360" s="4" t="s">
        <v>265</v>
      </c>
      <c r="D1360" s="4"/>
      <c r="E1360" s="4" t="s">
        <v>921</v>
      </c>
      <c r="F1360" s="4" t="s">
        <v>902</v>
      </c>
      <c r="G1360" s="4" t="s">
        <v>336</v>
      </c>
      <c r="H1360" s="4" t="s">
        <v>380</v>
      </c>
      <c r="I1360" s="4">
        <v>1</v>
      </c>
      <c r="J1360" s="21">
        <v>140</v>
      </c>
      <c r="K1360" s="21">
        <v>140</v>
      </c>
      <c r="L1360" s="5">
        <v>0</v>
      </c>
      <c r="M1360" s="4">
        <v>1</v>
      </c>
      <c r="N1360" s="4"/>
      <c r="O1360" s="5">
        <v>140</v>
      </c>
      <c r="P1360" s="5"/>
      <c r="Q1360" s="21">
        <v>0</v>
      </c>
      <c r="R1360" s="21">
        <v>0</v>
      </c>
      <c r="S1360" s="5">
        <f t="shared" si="87"/>
        <v>58734.27876015201</v>
      </c>
      <c r="T1360" cm="1">
        <f t="array" ref="T1360">IF(OR(B1360="MAL ALIMI", B1360="ÜRETİM GİRİŞ"), MIN(I1360, MAX(0, I1360 + SUM(SUMIFS($I$1:I1359, $C$1:C1359, C1360, $B$1:B1359, {"MAL ALIMI","ÜRETİM GİRİŞ"})) - VLOOKUP(C1360, 'STOK RAPORU'!$C$2:$I$1000, 4, 0))), 0)</f>
        <v>0</v>
      </c>
      <c r="U1360" s="22">
        <f t="shared" si="84"/>
        <v>0</v>
      </c>
      <c r="V1360">
        <f t="shared" si="85"/>
        <v>0</v>
      </c>
      <c r="W1360" s="22">
        <f t="shared" si="86"/>
        <v>0</v>
      </c>
    </row>
    <row r="1361" spans="1:23" hidden="1" x14ac:dyDescent="0.25">
      <c r="A1361" s="3">
        <v>45983</v>
      </c>
      <c r="B1361" s="4" t="s">
        <v>334</v>
      </c>
      <c r="C1361" s="4" t="s">
        <v>215</v>
      </c>
      <c r="D1361" s="4"/>
      <c r="E1361" s="4"/>
      <c r="F1361" s="4" t="s">
        <v>903</v>
      </c>
      <c r="G1361" s="4" t="s">
        <v>336</v>
      </c>
      <c r="H1361" s="4" t="s">
        <v>289</v>
      </c>
      <c r="I1361" s="4">
        <v>2</v>
      </c>
      <c r="J1361" s="21">
        <v>225</v>
      </c>
      <c r="K1361" s="21">
        <v>0</v>
      </c>
      <c r="L1361" s="5">
        <v>0</v>
      </c>
      <c r="M1361" s="4">
        <v>2</v>
      </c>
      <c r="N1361" s="4"/>
      <c r="O1361" s="5">
        <v>225</v>
      </c>
      <c r="P1361" s="5"/>
      <c r="Q1361" s="21">
        <v>450</v>
      </c>
      <c r="R1361" s="21">
        <v>0</v>
      </c>
      <c r="S1361" s="5">
        <f t="shared" si="87"/>
        <v>59184.27876015201</v>
      </c>
      <c r="T1361" cm="1">
        <f t="array" ref="T1361">IF(OR(B1361="MAL ALIMI", B1361="ÜRETİM GİRİŞ"), MIN(I1361, MAX(0, I1361 + SUM(SUMIFS($I$1:I1360, $C$1:C1360, C1361, $B$1:B1360, {"MAL ALIMI","ÜRETİM GİRİŞ"})) - VLOOKUP(C1361, 'STOK RAPORU'!$C$2:$I$1000, 4, 0))), 0)</f>
        <v>0</v>
      </c>
      <c r="U1361" s="22">
        <f t="shared" si="84"/>
        <v>0</v>
      </c>
      <c r="V1361">
        <f t="shared" si="85"/>
        <v>0</v>
      </c>
      <c r="W1361" s="22">
        <f t="shared" si="86"/>
        <v>0</v>
      </c>
    </row>
    <row r="1362" spans="1:23" hidden="1" x14ac:dyDescent="0.25">
      <c r="A1362" s="3">
        <v>45983</v>
      </c>
      <c r="B1362" s="4" t="s">
        <v>334</v>
      </c>
      <c r="C1362" s="4" t="s">
        <v>815</v>
      </c>
      <c r="D1362" s="4"/>
      <c r="E1362" s="4"/>
      <c r="F1362" s="4" t="s">
        <v>904</v>
      </c>
      <c r="G1362" s="4" t="s">
        <v>336</v>
      </c>
      <c r="H1362" s="4" t="s">
        <v>289</v>
      </c>
      <c r="I1362" s="4">
        <v>1</v>
      </c>
      <c r="J1362" s="21">
        <v>110</v>
      </c>
      <c r="K1362" s="21">
        <v>0</v>
      </c>
      <c r="L1362" s="5">
        <v>0</v>
      </c>
      <c r="M1362" s="4">
        <v>1</v>
      </c>
      <c r="N1362" s="4"/>
      <c r="O1362" s="5">
        <v>110</v>
      </c>
      <c r="P1362" s="5"/>
      <c r="Q1362" s="21">
        <v>110</v>
      </c>
      <c r="R1362" s="21">
        <v>0</v>
      </c>
      <c r="S1362" s="5">
        <f t="shared" si="87"/>
        <v>59294.27876015201</v>
      </c>
      <c r="T1362" cm="1">
        <f t="array" ref="T1362">IF(OR(B1362="MAL ALIMI", B1362="ÜRETİM GİRİŞ"), MIN(I1362, MAX(0, I1362 + SUM(SUMIFS($I$1:I1361, $C$1:C1361, C1362, $B$1:B1361, {"MAL ALIMI","ÜRETİM GİRİŞ"})) - VLOOKUP(C1362, 'STOK RAPORU'!$C$2:$I$1000, 4, 0))), 0)</f>
        <v>0</v>
      </c>
      <c r="U1362" s="22">
        <f t="shared" si="84"/>
        <v>0</v>
      </c>
      <c r="V1362">
        <f t="shared" si="85"/>
        <v>0</v>
      </c>
      <c r="W1362" s="22">
        <f t="shared" si="86"/>
        <v>0</v>
      </c>
    </row>
    <row r="1363" spans="1:23" hidden="1" x14ac:dyDescent="0.25">
      <c r="A1363" s="3">
        <v>45983</v>
      </c>
      <c r="B1363" s="4" t="s">
        <v>334</v>
      </c>
      <c r="C1363" s="4" t="s">
        <v>237</v>
      </c>
      <c r="D1363" s="4"/>
      <c r="E1363" s="4"/>
      <c r="F1363" s="4" t="s">
        <v>904</v>
      </c>
      <c r="G1363" s="4" t="s">
        <v>336</v>
      </c>
      <c r="H1363" s="4" t="s">
        <v>289</v>
      </c>
      <c r="I1363" s="4">
        <v>0.04</v>
      </c>
      <c r="J1363" s="21">
        <v>2250</v>
      </c>
      <c r="K1363" s="21">
        <v>0</v>
      </c>
      <c r="L1363" s="5">
        <v>0</v>
      </c>
      <c r="M1363" s="4">
        <v>1</v>
      </c>
      <c r="N1363" s="4"/>
      <c r="O1363" s="5">
        <v>90</v>
      </c>
      <c r="P1363" s="5"/>
      <c r="Q1363" s="21">
        <v>90</v>
      </c>
      <c r="R1363" s="21">
        <v>0</v>
      </c>
      <c r="S1363" s="5">
        <f t="shared" si="87"/>
        <v>59384.27876015201</v>
      </c>
      <c r="T1363" cm="1">
        <f t="array" ref="T1363">IF(OR(B1363="MAL ALIMI", B1363="ÜRETİM GİRİŞ"), MIN(I1363, MAX(0, I1363 + SUM(SUMIFS($I$1:I1362, $C$1:C1362, C1363, $B$1:B1362, {"MAL ALIMI","ÜRETİM GİRİŞ"})) - VLOOKUP(C1363, 'STOK RAPORU'!$C$2:$I$1000, 4, 0))), 0)</f>
        <v>0</v>
      </c>
      <c r="U1363" s="22">
        <f t="shared" si="84"/>
        <v>0</v>
      </c>
      <c r="V1363">
        <f t="shared" si="85"/>
        <v>0</v>
      </c>
      <c r="W1363" s="22">
        <f t="shared" si="86"/>
        <v>0</v>
      </c>
    </row>
    <row r="1364" spans="1:23" hidden="1" x14ac:dyDescent="0.25">
      <c r="A1364" s="3">
        <v>45983</v>
      </c>
      <c r="B1364" s="4" t="s">
        <v>334</v>
      </c>
      <c r="C1364" s="4" t="s">
        <v>237</v>
      </c>
      <c r="D1364" s="4"/>
      <c r="E1364" s="4"/>
      <c r="F1364" s="4" t="s">
        <v>904</v>
      </c>
      <c r="G1364" s="4" t="s">
        <v>336</v>
      </c>
      <c r="H1364" s="4" t="s">
        <v>289</v>
      </c>
      <c r="I1364" s="4">
        <v>0.04</v>
      </c>
      <c r="J1364" s="21">
        <v>1250</v>
      </c>
      <c r="K1364" s="21">
        <v>0</v>
      </c>
      <c r="L1364" s="5">
        <v>0</v>
      </c>
      <c r="M1364" s="4">
        <v>1</v>
      </c>
      <c r="N1364" s="4"/>
      <c r="O1364" s="5">
        <v>50</v>
      </c>
      <c r="P1364" s="5"/>
      <c r="Q1364" s="21">
        <v>50</v>
      </c>
      <c r="R1364" s="21">
        <v>0</v>
      </c>
      <c r="S1364" s="5">
        <f t="shared" si="87"/>
        <v>59434.27876015201</v>
      </c>
      <c r="T1364" cm="1">
        <f t="array" ref="T1364">IF(OR(B1364="MAL ALIMI", B1364="ÜRETİM GİRİŞ"), MIN(I1364, MAX(0, I1364 + SUM(SUMIFS($I$1:I1363, $C$1:C1363, C1364, $B$1:B1363, {"MAL ALIMI","ÜRETİM GİRİŞ"})) - VLOOKUP(C1364, 'STOK RAPORU'!$C$2:$I$1000, 4, 0))), 0)</f>
        <v>0</v>
      </c>
      <c r="U1364" s="22">
        <f t="shared" si="84"/>
        <v>0</v>
      </c>
      <c r="V1364">
        <f t="shared" si="85"/>
        <v>0</v>
      </c>
      <c r="W1364" s="22">
        <f t="shared" si="86"/>
        <v>0</v>
      </c>
    </row>
    <row r="1365" spans="1:23" hidden="1" x14ac:dyDescent="0.25">
      <c r="A1365" s="3">
        <v>45983</v>
      </c>
      <c r="B1365" s="4" t="s">
        <v>334</v>
      </c>
      <c r="C1365" s="4" t="s">
        <v>129</v>
      </c>
      <c r="D1365" s="4"/>
      <c r="E1365" s="4"/>
      <c r="F1365" s="4" t="s">
        <v>905</v>
      </c>
      <c r="G1365" s="4" t="s">
        <v>336</v>
      </c>
      <c r="H1365" s="4" t="s">
        <v>289</v>
      </c>
      <c r="I1365" s="4">
        <v>0.51500000000000001</v>
      </c>
      <c r="J1365" s="21">
        <v>390</v>
      </c>
      <c r="K1365" s="21">
        <v>0</v>
      </c>
      <c r="L1365" s="5">
        <v>0</v>
      </c>
      <c r="M1365" s="4">
        <v>0.51500000000000001</v>
      </c>
      <c r="N1365" s="4"/>
      <c r="O1365" s="5">
        <v>390</v>
      </c>
      <c r="P1365" s="5"/>
      <c r="Q1365" s="21">
        <v>200.85</v>
      </c>
      <c r="R1365" s="21">
        <v>0</v>
      </c>
      <c r="S1365" s="5">
        <f t="shared" si="87"/>
        <v>59635.128760152009</v>
      </c>
      <c r="T1365" cm="1">
        <f t="array" ref="T1365">IF(OR(B1365="MAL ALIMI", B1365="ÜRETİM GİRİŞ"), MIN(I1365, MAX(0, I1365 + SUM(SUMIFS($I$1:I1364, $C$1:C1364, C1365, $B$1:B1364, {"MAL ALIMI","ÜRETİM GİRİŞ"})) - VLOOKUP(C1365, 'STOK RAPORU'!$C$2:$I$1000, 4, 0))), 0)</f>
        <v>0</v>
      </c>
      <c r="U1365" s="22">
        <f t="shared" si="84"/>
        <v>0</v>
      </c>
      <c r="V1365">
        <f t="shared" si="85"/>
        <v>0</v>
      </c>
      <c r="W1365" s="22">
        <f t="shared" si="86"/>
        <v>0</v>
      </c>
    </row>
    <row r="1366" spans="1:23" hidden="1" x14ac:dyDescent="0.25">
      <c r="A1366" s="3">
        <v>45983</v>
      </c>
      <c r="B1366" s="4" t="s">
        <v>334</v>
      </c>
      <c r="C1366" s="4" t="s">
        <v>679</v>
      </c>
      <c r="D1366" s="4"/>
      <c r="E1366" s="4"/>
      <c r="F1366" s="4" t="s">
        <v>906</v>
      </c>
      <c r="G1366" s="4" t="s">
        <v>336</v>
      </c>
      <c r="H1366" s="4" t="s">
        <v>289</v>
      </c>
      <c r="I1366" s="4">
        <v>0.5</v>
      </c>
      <c r="J1366" s="21">
        <v>400</v>
      </c>
      <c r="K1366" s="21">
        <v>0</v>
      </c>
      <c r="L1366" s="5">
        <v>0</v>
      </c>
      <c r="M1366" s="4">
        <v>0.5</v>
      </c>
      <c r="N1366" s="4"/>
      <c r="O1366" s="5">
        <v>400</v>
      </c>
      <c r="P1366" s="5"/>
      <c r="Q1366" s="21">
        <v>200</v>
      </c>
      <c r="R1366" s="21">
        <v>0</v>
      </c>
      <c r="S1366" s="5">
        <f t="shared" si="87"/>
        <v>59835.128760152009</v>
      </c>
      <c r="T1366" cm="1">
        <f t="array" ref="T1366">IF(OR(B1366="MAL ALIMI", B1366="ÜRETİM GİRİŞ"), MIN(I1366, MAX(0, I1366 + SUM(SUMIFS($I$1:I1365, $C$1:C1365, C1366, $B$1:B1365, {"MAL ALIMI","ÜRETİM GİRİŞ"})) - VLOOKUP(C1366, 'STOK RAPORU'!$C$2:$I$1000, 4, 0))), 0)</f>
        <v>0</v>
      </c>
      <c r="U1366" s="22">
        <f t="shared" si="84"/>
        <v>0</v>
      </c>
      <c r="V1366">
        <f t="shared" si="85"/>
        <v>0</v>
      </c>
      <c r="W1366" s="22">
        <f t="shared" si="86"/>
        <v>0</v>
      </c>
    </row>
    <row r="1367" spans="1:23" hidden="1" x14ac:dyDescent="0.25">
      <c r="A1367" s="3">
        <v>45983</v>
      </c>
      <c r="B1367" s="4" t="s">
        <v>334</v>
      </c>
      <c r="C1367" s="4" t="s">
        <v>1041</v>
      </c>
      <c r="D1367" s="4"/>
      <c r="E1367" s="4"/>
      <c r="F1367" s="4" t="s">
        <v>907</v>
      </c>
      <c r="G1367" s="4" t="s">
        <v>336</v>
      </c>
      <c r="H1367" s="4" t="s">
        <v>289</v>
      </c>
      <c r="I1367" s="4">
        <v>2</v>
      </c>
      <c r="J1367" s="21">
        <v>290</v>
      </c>
      <c r="K1367" s="21">
        <v>0</v>
      </c>
      <c r="L1367" s="5">
        <v>0</v>
      </c>
      <c r="M1367" s="4">
        <v>2</v>
      </c>
      <c r="N1367" s="4"/>
      <c r="O1367" s="5">
        <v>290</v>
      </c>
      <c r="P1367" s="5"/>
      <c r="Q1367" s="21">
        <v>580</v>
      </c>
      <c r="R1367" s="21">
        <v>0</v>
      </c>
      <c r="S1367" s="5">
        <f t="shared" si="87"/>
        <v>60415.128760152009</v>
      </c>
      <c r="T1367" cm="1">
        <f t="array" ref="T1367">IF(OR(B1367="MAL ALIMI", B1367="ÜRETİM GİRİŞ"), MIN(I1367, MAX(0, I1367 + SUM(SUMIFS($I$1:I1366, $C$1:C1366, C1367, $B$1:B1366, {"MAL ALIMI","ÜRETİM GİRİŞ"})) - VLOOKUP(C1367, 'STOK RAPORU'!$C$2:$I$1000, 4, 0))), 0)</f>
        <v>0</v>
      </c>
      <c r="U1367" s="22">
        <f t="shared" si="84"/>
        <v>0</v>
      </c>
      <c r="V1367">
        <f t="shared" si="85"/>
        <v>0</v>
      </c>
      <c r="W1367" s="22">
        <f t="shared" si="86"/>
        <v>0</v>
      </c>
    </row>
    <row r="1368" spans="1:23" hidden="1" x14ac:dyDescent="0.25">
      <c r="A1368" s="3">
        <v>45983</v>
      </c>
      <c r="B1368" s="4" t="s">
        <v>334</v>
      </c>
      <c r="C1368" s="4" t="s">
        <v>236</v>
      </c>
      <c r="D1368" s="4"/>
      <c r="E1368" s="4"/>
      <c r="F1368" s="4" t="s">
        <v>907</v>
      </c>
      <c r="G1368" s="4" t="s">
        <v>336</v>
      </c>
      <c r="H1368" s="4" t="s">
        <v>289</v>
      </c>
      <c r="I1368" s="4">
        <v>0.43</v>
      </c>
      <c r="J1368" s="21">
        <v>350</v>
      </c>
      <c r="K1368" s="21">
        <v>0</v>
      </c>
      <c r="L1368" s="5">
        <v>0</v>
      </c>
      <c r="M1368" s="4">
        <v>0.43</v>
      </c>
      <c r="N1368" s="4"/>
      <c r="O1368" s="5">
        <v>350</v>
      </c>
      <c r="P1368" s="5"/>
      <c r="Q1368" s="21">
        <v>150.5</v>
      </c>
      <c r="R1368" s="21">
        <v>0</v>
      </c>
      <c r="S1368" s="5">
        <f t="shared" si="87"/>
        <v>60565.628760152009</v>
      </c>
      <c r="T1368" cm="1">
        <f t="array" ref="T1368">IF(OR(B1368="MAL ALIMI", B1368="ÜRETİM GİRİŞ"), MIN(I1368, MAX(0, I1368 + SUM(SUMIFS($I$1:I1367, $C$1:C1367, C1368, $B$1:B1367, {"MAL ALIMI","ÜRETİM GİRİŞ"})) - VLOOKUP(C1368, 'STOK RAPORU'!$C$2:$I$1000, 4, 0))), 0)</f>
        <v>0</v>
      </c>
      <c r="U1368" s="22">
        <f t="shared" si="84"/>
        <v>0</v>
      </c>
      <c r="V1368">
        <f t="shared" si="85"/>
        <v>0</v>
      </c>
      <c r="W1368" s="22">
        <f t="shared" si="86"/>
        <v>0</v>
      </c>
    </row>
    <row r="1369" spans="1:23" hidden="1" x14ac:dyDescent="0.25">
      <c r="A1369" s="3">
        <v>45983</v>
      </c>
      <c r="B1369" s="4" t="s">
        <v>334</v>
      </c>
      <c r="C1369" s="4" t="s">
        <v>92</v>
      </c>
      <c r="D1369" s="4"/>
      <c r="E1369" s="4"/>
      <c r="F1369" s="4" t="s">
        <v>908</v>
      </c>
      <c r="G1369" s="4" t="s">
        <v>336</v>
      </c>
      <c r="H1369" s="4" t="s">
        <v>289</v>
      </c>
      <c r="I1369" s="4">
        <v>0.154</v>
      </c>
      <c r="J1369" s="21">
        <v>500</v>
      </c>
      <c r="K1369" s="21">
        <v>0</v>
      </c>
      <c r="L1369" s="5">
        <v>0</v>
      </c>
      <c r="M1369" s="4">
        <v>0.154</v>
      </c>
      <c r="N1369" s="4"/>
      <c r="O1369" s="5">
        <v>500</v>
      </c>
      <c r="P1369" s="5"/>
      <c r="Q1369" s="21">
        <v>77</v>
      </c>
      <c r="R1369" s="21">
        <v>0</v>
      </c>
      <c r="S1369" s="5">
        <f t="shared" si="87"/>
        <v>60642.628760152009</v>
      </c>
      <c r="T1369" cm="1">
        <f t="array" ref="T1369">IF(OR(B1369="MAL ALIMI", B1369="ÜRETİM GİRİŞ"), MIN(I1369, MAX(0, I1369 + SUM(SUMIFS($I$1:I1368, $C$1:C1368, C1369, $B$1:B1368, {"MAL ALIMI","ÜRETİM GİRİŞ"})) - VLOOKUP(C1369, 'STOK RAPORU'!$C$2:$I$1000, 4, 0))), 0)</f>
        <v>0</v>
      </c>
      <c r="U1369" s="22">
        <f t="shared" si="84"/>
        <v>0</v>
      </c>
      <c r="V1369">
        <f t="shared" si="85"/>
        <v>0</v>
      </c>
      <c r="W1369" s="22">
        <f t="shared" si="86"/>
        <v>0</v>
      </c>
    </row>
    <row r="1370" spans="1:23" hidden="1" x14ac:dyDescent="0.25">
      <c r="A1370" s="3">
        <v>45983</v>
      </c>
      <c r="B1370" s="4" t="s">
        <v>334</v>
      </c>
      <c r="C1370" s="4" t="s">
        <v>126</v>
      </c>
      <c r="D1370" s="4"/>
      <c r="E1370" s="4"/>
      <c r="F1370" s="4" t="s">
        <v>908</v>
      </c>
      <c r="G1370" s="4" t="s">
        <v>336</v>
      </c>
      <c r="H1370" s="4" t="s">
        <v>289</v>
      </c>
      <c r="I1370" s="4">
        <v>0.128</v>
      </c>
      <c r="J1370" s="21">
        <v>640</v>
      </c>
      <c r="K1370" s="21">
        <v>0</v>
      </c>
      <c r="L1370" s="5">
        <v>0</v>
      </c>
      <c r="M1370" s="4">
        <v>0.128</v>
      </c>
      <c r="N1370" s="4"/>
      <c r="O1370" s="5">
        <v>640</v>
      </c>
      <c r="P1370" s="5"/>
      <c r="Q1370" s="21">
        <v>81.92</v>
      </c>
      <c r="R1370" s="21">
        <v>0</v>
      </c>
      <c r="S1370" s="5">
        <f t="shared" si="87"/>
        <v>60724.548760152007</v>
      </c>
      <c r="T1370" cm="1">
        <f t="array" ref="T1370">IF(OR(B1370="MAL ALIMI", B1370="ÜRETİM GİRİŞ"), MIN(I1370, MAX(0, I1370 + SUM(SUMIFS($I$1:I1369, $C$1:C1369, C1370, $B$1:B1369, {"MAL ALIMI","ÜRETİM GİRİŞ"})) - VLOOKUP(C1370, 'STOK RAPORU'!$C$2:$I$1000, 4, 0))), 0)</f>
        <v>0</v>
      </c>
      <c r="U1370" s="22">
        <f t="shared" si="84"/>
        <v>0</v>
      </c>
      <c r="V1370">
        <f t="shared" si="85"/>
        <v>0</v>
      </c>
      <c r="W1370" s="22">
        <f t="shared" si="86"/>
        <v>0</v>
      </c>
    </row>
    <row r="1371" spans="1:23" hidden="1" x14ac:dyDescent="0.25">
      <c r="A1371" s="3">
        <v>45983</v>
      </c>
      <c r="B1371" s="4" t="s">
        <v>334</v>
      </c>
      <c r="C1371" s="4" t="s">
        <v>129</v>
      </c>
      <c r="D1371" s="4"/>
      <c r="E1371" s="4"/>
      <c r="F1371" s="4" t="s">
        <v>908</v>
      </c>
      <c r="G1371" s="4" t="s">
        <v>336</v>
      </c>
      <c r="H1371" s="4" t="s">
        <v>289</v>
      </c>
      <c r="I1371" s="4">
        <v>0.11600000000000001</v>
      </c>
      <c r="J1371" s="21">
        <v>390</v>
      </c>
      <c r="K1371" s="21">
        <v>0</v>
      </c>
      <c r="L1371" s="5">
        <v>0</v>
      </c>
      <c r="M1371" s="4">
        <v>0.11600000000000001</v>
      </c>
      <c r="N1371" s="4"/>
      <c r="O1371" s="5">
        <v>390</v>
      </c>
      <c r="P1371" s="5"/>
      <c r="Q1371" s="21">
        <v>45.24</v>
      </c>
      <c r="R1371" s="21">
        <v>0</v>
      </c>
      <c r="S1371" s="5">
        <f t="shared" si="87"/>
        <v>60769.788760152005</v>
      </c>
      <c r="T1371" cm="1">
        <f t="array" ref="T1371">IF(OR(B1371="MAL ALIMI", B1371="ÜRETİM GİRİŞ"), MIN(I1371, MAX(0, I1371 + SUM(SUMIFS($I$1:I1370, $C$1:C1370, C1371, $B$1:B1370, {"MAL ALIMI","ÜRETİM GİRİŞ"})) - VLOOKUP(C1371, 'STOK RAPORU'!$C$2:$I$1000, 4, 0))), 0)</f>
        <v>0</v>
      </c>
      <c r="U1371" s="22">
        <f t="shared" si="84"/>
        <v>0</v>
      </c>
      <c r="V1371">
        <f t="shared" si="85"/>
        <v>0</v>
      </c>
      <c r="W1371" s="22">
        <f t="shared" si="86"/>
        <v>0</v>
      </c>
    </row>
    <row r="1372" spans="1:23" hidden="1" x14ac:dyDescent="0.25">
      <c r="A1372" s="3">
        <v>45983</v>
      </c>
      <c r="B1372" s="4" t="s">
        <v>334</v>
      </c>
      <c r="C1372" s="4" t="s">
        <v>202</v>
      </c>
      <c r="D1372" s="4"/>
      <c r="E1372" s="4"/>
      <c r="F1372" s="4" t="s">
        <v>908</v>
      </c>
      <c r="G1372" s="4" t="s">
        <v>336</v>
      </c>
      <c r="H1372" s="4" t="s">
        <v>289</v>
      </c>
      <c r="I1372" s="4">
        <v>0.5</v>
      </c>
      <c r="J1372" s="21">
        <v>80</v>
      </c>
      <c r="K1372" s="21">
        <v>0</v>
      </c>
      <c r="L1372" s="5">
        <v>0</v>
      </c>
      <c r="M1372" s="4">
        <v>1</v>
      </c>
      <c r="N1372" s="4"/>
      <c r="O1372" s="5">
        <v>40</v>
      </c>
      <c r="P1372" s="5"/>
      <c r="Q1372" s="21">
        <v>40</v>
      </c>
      <c r="R1372" s="21">
        <v>0</v>
      </c>
      <c r="S1372" s="5">
        <f t="shared" si="87"/>
        <v>60809.788760152005</v>
      </c>
      <c r="T1372" cm="1">
        <f t="array" ref="T1372">IF(OR(B1372="MAL ALIMI", B1372="ÜRETİM GİRİŞ"), MIN(I1372, MAX(0, I1372 + SUM(SUMIFS($I$1:I1371, $C$1:C1371, C1372, $B$1:B1371, {"MAL ALIMI","ÜRETİM GİRİŞ"})) - VLOOKUP(C1372, 'STOK RAPORU'!$C$2:$I$1000, 4, 0))), 0)</f>
        <v>0</v>
      </c>
      <c r="U1372" s="22">
        <f t="shared" si="84"/>
        <v>0</v>
      </c>
      <c r="V1372">
        <f t="shared" si="85"/>
        <v>0</v>
      </c>
      <c r="W1372" s="22">
        <f t="shared" si="86"/>
        <v>0</v>
      </c>
    </row>
    <row r="1373" spans="1:23" hidden="1" x14ac:dyDescent="0.25">
      <c r="A1373" s="3">
        <v>45983</v>
      </c>
      <c r="B1373" s="4" t="s">
        <v>334</v>
      </c>
      <c r="C1373" s="4" t="s">
        <v>137</v>
      </c>
      <c r="D1373" s="4"/>
      <c r="E1373" s="4"/>
      <c r="F1373" s="4" t="s">
        <v>908</v>
      </c>
      <c r="G1373" s="4" t="s">
        <v>336</v>
      </c>
      <c r="H1373" s="4" t="s">
        <v>289</v>
      </c>
      <c r="I1373" s="4">
        <v>0.25</v>
      </c>
      <c r="J1373" s="21">
        <v>180</v>
      </c>
      <c r="K1373" s="21">
        <v>0</v>
      </c>
      <c r="L1373" s="5">
        <v>0</v>
      </c>
      <c r="M1373" s="4">
        <v>1</v>
      </c>
      <c r="N1373" s="4"/>
      <c r="O1373" s="5">
        <v>45</v>
      </c>
      <c r="P1373" s="5"/>
      <c r="Q1373" s="21">
        <v>45</v>
      </c>
      <c r="R1373" s="21">
        <v>0</v>
      </c>
      <c r="S1373" s="5">
        <f t="shared" si="87"/>
        <v>60854.788760152005</v>
      </c>
      <c r="T1373" cm="1">
        <f t="array" ref="T1373">IF(OR(B1373="MAL ALIMI", B1373="ÜRETİM GİRİŞ"), MIN(I1373, MAX(0, I1373 + SUM(SUMIFS($I$1:I1372, $C$1:C1372, C1373, $B$1:B1372, {"MAL ALIMI","ÜRETİM GİRİŞ"})) - VLOOKUP(C1373, 'STOK RAPORU'!$C$2:$I$1000, 4, 0))), 0)</f>
        <v>0</v>
      </c>
      <c r="U1373" s="22">
        <f t="shared" si="84"/>
        <v>0</v>
      </c>
      <c r="V1373">
        <f t="shared" si="85"/>
        <v>0</v>
      </c>
      <c r="W1373" s="22">
        <f t="shared" si="86"/>
        <v>0</v>
      </c>
    </row>
    <row r="1374" spans="1:23" hidden="1" x14ac:dyDescent="0.25">
      <c r="A1374" s="3">
        <v>45983</v>
      </c>
      <c r="B1374" s="4" t="s">
        <v>334</v>
      </c>
      <c r="C1374" s="4" t="s">
        <v>161</v>
      </c>
      <c r="D1374" s="4"/>
      <c r="E1374" s="4"/>
      <c r="F1374" s="4" t="s">
        <v>908</v>
      </c>
      <c r="G1374" s="4" t="s">
        <v>336</v>
      </c>
      <c r="H1374" s="4" t="s">
        <v>289</v>
      </c>
      <c r="I1374" s="4">
        <v>1</v>
      </c>
      <c r="J1374" s="21">
        <v>200</v>
      </c>
      <c r="K1374" s="21">
        <v>0</v>
      </c>
      <c r="L1374" s="5">
        <v>0</v>
      </c>
      <c r="M1374" s="4">
        <v>1</v>
      </c>
      <c r="N1374" s="4"/>
      <c r="O1374" s="5">
        <v>200</v>
      </c>
      <c r="P1374" s="5"/>
      <c r="Q1374" s="21">
        <v>200</v>
      </c>
      <c r="R1374" s="21">
        <v>0</v>
      </c>
      <c r="S1374" s="5">
        <f t="shared" si="87"/>
        <v>61054.788760152005</v>
      </c>
      <c r="T1374" cm="1">
        <f t="array" ref="T1374">IF(OR(B1374="MAL ALIMI", B1374="ÜRETİM GİRİŞ"), MIN(I1374, MAX(0, I1374 + SUM(SUMIFS($I$1:I1373, $C$1:C1373, C1374, $B$1:B1373, {"MAL ALIMI","ÜRETİM GİRİŞ"})) - VLOOKUP(C1374, 'STOK RAPORU'!$C$2:$I$1000, 4, 0))), 0)</f>
        <v>0</v>
      </c>
      <c r="U1374" s="22">
        <f t="shared" si="84"/>
        <v>0</v>
      </c>
      <c r="V1374">
        <f t="shared" si="85"/>
        <v>0</v>
      </c>
      <c r="W1374" s="22">
        <f t="shared" si="86"/>
        <v>0</v>
      </c>
    </row>
    <row r="1375" spans="1:23" hidden="1" x14ac:dyDescent="0.25">
      <c r="A1375" s="3">
        <v>45983</v>
      </c>
      <c r="B1375" s="4" t="s">
        <v>334</v>
      </c>
      <c r="C1375" s="4" t="s">
        <v>162</v>
      </c>
      <c r="D1375" s="4"/>
      <c r="E1375" s="4"/>
      <c r="F1375" s="4" t="s">
        <v>908</v>
      </c>
      <c r="G1375" s="4" t="s">
        <v>336</v>
      </c>
      <c r="H1375" s="4" t="s">
        <v>289</v>
      </c>
      <c r="I1375" s="4">
        <v>0.5</v>
      </c>
      <c r="J1375" s="21">
        <v>260</v>
      </c>
      <c r="K1375" s="21">
        <v>0</v>
      </c>
      <c r="L1375" s="5">
        <v>0</v>
      </c>
      <c r="M1375" s="4">
        <v>0.5</v>
      </c>
      <c r="N1375" s="4"/>
      <c r="O1375" s="5">
        <v>260</v>
      </c>
      <c r="P1375" s="5"/>
      <c r="Q1375" s="21">
        <v>130</v>
      </c>
      <c r="R1375" s="21">
        <v>0</v>
      </c>
      <c r="S1375" s="5">
        <f t="shared" si="87"/>
        <v>61184.788760152005</v>
      </c>
      <c r="T1375" cm="1">
        <f t="array" ref="T1375">IF(OR(B1375="MAL ALIMI", B1375="ÜRETİM GİRİŞ"), MIN(I1375, MAX(0, I1375 + SUM(SUMIFS($I$1:I1374, $C$1:C1374, C1375, $B$1:B1374, {"MAL ALIMI","ÜRETİM GİRİŞ"})) - VLOOKUP(C1375, 'STOK RAPORU'!$C$2:$I$1000, 4, 0))), 0)</f>
        <v>0</v>
      </c>
      <c r="U1375" s="22">
        <f t="shared" si="84"/>
        <v>0</v>
      </c>
      <c r="V1375">
        <f t="shared" si="85"/>
        <v>0</v>
      </c>
      <c r="W1375" s="22">
        <f t="shared" si="86"/>
        <v>0</v>
      </c>
    </row>
    <row r="1376" spans="1:23" hidden="1" x14ac:dyDescent="0.25">
      <c r="A1376" s="3">
        <v>45983</v>
      </c>
      <c r="B1376" s="4" t="s">
        <v>334</v>
      </c>
      <c r="C1376" s="4" t="s">
        <v>211</v>
      </c>
      <c r="D1376" s="4"/>
      <c r="E1376" s="4"/>
      <c r="F1376" s="4" t="s">
        <v>908</v>
      </c>
      <c r="G1376" s="4" t="s">
        <v>336</v>
      </c>
      <c r="H1376" s="4" t="s">
        <v>289</v>
      </c>
      <c r="I1376" s="4">
        <v>0.5</v>
      </c>
      <c r="J1376" s="21">
        <v>290</v>
      </c>
      <c r="K1376" s="21">
        <v>0</v>
      </c>
      <c r="L1376" s="5">
        <v>0</v>
      </c>
      <c r="M1376" s="4">
        <v>0.5</v>
      </c>
      <c r="N1376" s="4"/>
      <c r="O1376" s="5">
        <v>290</v>
      </c>
      <c r="P1376" s="5"/>
      <c r="Q1376" s="21">
        <v>145</v>
      </c>
      <c r="R1376" s="21">
        <v>0</v>
      </c>
      <c r="S1376" s="5">
        <f t="shared" si="87"/>
        <v>61329.788760152005</v>
      </c>
      <c r="T1376" cm="1">
        <f t="array" ref="T1376">IF(OR(B1376="MAL ALIMI", B1376="ÜRETİM GİRİŞ"), MIN(I1376, MAX(0, I1376 + SUM(SUMIFS($I$1:I1375, $C$1:C1375, C1376, $B$1:B1375, {"MAL ALIMI","ÜRETİM GİRİŞ"})) - VLOOKUP(C1376, 'STOK RAPORU'!$C$2:$I$1000, 4, 0))), 0)</f>
        <v>0</v>
      </c>
      <c r="U1376" s="22">
        <f t="shared" si="84"/>
        <v>0</v>
      </c>
      <c r="V1376">
        <f t="shared" si="85"/>
        <v>0</v>
      </c>
      <c r="W1376" s="22">
        <f t="shared" si="86"/>
        <v>0</v>
      </c>
    </row>
    <row r="1377" spans="1:23" hidden="1" x14ac:dyDescent="0.25">
      <c r="A1377" s="3">
        <v>45983</v>
      </c>
      <c r="B1377" s="4" t="s">
        <v>334</v>
      </c>
      <c r="C1377" s="4" t="s">
        <v>764</v>
      </c>
      <c r="D1377" s="4"/>
      <c r="E1377" s="4"/>
      <c r="F1377" s="4" t="s">
        <v>908</v>
      </c>
      <c r="G1377" s="4" t="s">
        <v>336</v>
      </c>
      <c r="H1377" s="4" t="s">
        <v>289</v>
      </c>
      <c r="I1377" s="4">
        <v>1</v>
      </c>
      <c r="J1377" s="21">
        <v>125</v>
      </c>
      <c r="K1377" s="21">
        <v>0</v>
      </c>
      <c r="L1377" s="5">
        <v>0</v>
      </c>
      <c r="M1377" s="4">
        <v>1</v>
      </c>
      <c r="N1377" s="4"/>
      <c r="O1377" s="5">
        <v>125</v>
      </c>
      <c r="P1377" s="5"/>
      <c r="Q1377" s="21">
        <v>125</v>
      </c>
      <c r="R1377" s="21">
        <v>0</v>
      </c>
      <c r="S1377" s="5">
        <f t="shared" si="87"/>
        <v>61454.788760152005</v>
      </c>
      <c r="T1377" cm="1">
        <f t="array" ref="T1377">IF(OR(B1377="MAL ALIMI", B1377="ÜRETİM GİRİŞ"), MIN(I1377, MAX(0, I1377 + SUM(SUMIFS($I$1:I1376, $C$1:C1376, C1377, $B$1:B1376, {"MAL ALIMI","ÜRETİM GİRİŞ"})) - VLOOKUP(C1377, 'STOK RAPORU'!$C$2:$I$1000, 4, 0))), 0)</f>
        <v>0</v>
      </c>
      <c r="U1377" s="22">
        <f t="shared" si="84"/>
        <v>0</v>
      </c>
      <c r="V1377">
        <f t="shared" si="85"/>
        <v>0</v>
      </c>
      <c r="W1377" s="22">
        <f t="shared" si="86"/>
        <v>0</v>
      </c>
    </row>
    <row r="1378" spans="1:23" hidden="1" x14ac:dyDescent="0.25">
      <c r="A1378" s="3">
        <v>45983</v>
      </c>
      <c r="B1378" s="4" t="s">
        <v>334</v>
      </c>
      <c r="C1378" s="4" t="s">
        <v>587</v>
      </c>
      <c r="D1378" s="4"/>
      <c r="E1378" s="4"/>
      <c r="F1378" s="4" t="s">
        <v>908</v>
      </c>
      <c r="G1378" s="4" t="s">
        <v>336</v>
      </c>
      <c r="H1378" s="4" t="s">
        <v>289</v>
      </c>
      <c r="I1378" s="4">
        <v>1</v>
      </c>
      <c r="J1378" s="21">
        <v>130</v>
      </c>
      <c r="K1378" s="21">
        <v>0</v>
      </c>
      <c r="L1378" s="5">
        <v>0</v>
      </c>
      <c r="M1378" s="4">
        <v>1</v>
      </c>
      <c r="N1378" s="4"/>
      <c r="O1378" s="5">
        <v>130</v>
      </c>
      <c r="P1378" s="5"/>
      <c r="Q1378" s="21">
        <v>130</v>
      </c>
      <c r="R1378" s="21">
        <v>0</v>
      </c>
      <c r="S1378" s="5">
        <f t="shared" si="87"/>
        <v>61584.788760152005</v>
      </c>
      <c r="T1378" cm="1">
        <f t="array" ref="T1378">IF(OR(B1378="MAL ALIMI", B1378="ÜRETİM GİRİŞ"), MIN(I1378, MAX(0, I1378 + SUM(SUMIFS($I$1:I1377, $C$1:C1377, C1378, $B$1:B1377, {"MAL ALIMI","ÜRETİM GİRİŞ"})) - VLOOKUP(C1378, 'STOK RAPORU'!$C$2:$I$1000, 4, 0))), 0)</f>
        <v>0</v>
      </c>
      <c r="U1378" s="22">
        <f t="shared" si="84"/>
        <v>0</v>
      </c>
      <c r="V1378">
        <f t="shared" si="85"/>
        <v>0</v>
      </c>
      <c r="W1378" s="22">
        <f t="shared" si="86"/>
        <v>0</v>
      </c>
    </row>
    <row r="1379" spans="1:23" hidden="1" x14ac:dyDescent="0.25">
      <c r="A1379" s="3">
        <v>45983</v>
      </c>
      <c r="B1379" s="4" t="s">
        <v>334</v>
      </c>
      <c r="C1379" s="4" t="s">
        <v>225</v>
      </c>
      <c r="D1379" s="4"/>
      <c r="E1379" s="4"/>
      <c r="F1379" s="4" t="s">
        <v>908</v>
      </c>
      <c r="G1379" s="4" t="s">
        <v>336</v>
      </c>
      <c r="H1379" s="4" t="s">
        <v>289</v>
      </c>
      <c r="I1379" s="4">
        <v>0.34799999999999998</v>
      </c>
      <c r="J1379" s="21">
        <v>650</v>
      </c>
      <c r="K1379" s="21">
        <v>0</v>
      </c>
      <c r="L1379" s="5">
        <v>0</v>
      </c>
      <c r="M1379" s="4">
        <v>0.34799999999999998</v>
      </c>
      <c r="N1379" s="4"/>
      <c r="O1379" s="5">
        <v>650</v>
      </c>
      <c r="P1379" s="5"/>
      <c r="Q1379" s="21">
        <v>226.2</v>
      </c>
      <c r="R1379" s="21">
        <v>0</v>
      </c>
      <c r="S1379" s="5">
        <f t="shared" si="87"/>
        <v>61810.988760152002</v>
      </c>
      <c r="T1379" cm="1">
        <f t="array" ref="T1379">IF(OR(B1379="MAL ALIMI", B1379="ÜRETİM GİRİŞ"), MIN(I1379, MAX(0, I1379 + SUM(SUMIFS($I$1:I1378, $C$1:C1378, C1379, $B$1:B1378, {"MAL ALIMI","ÜRETİM GİRİŞ"})) - VLOOKUP(C1379, 'STOK RAPORU'!$C$2:$I$1000, 4, 0))), 0)</f>
        <v>0</v>
      </c>
      <c r="U1379" s="22">
        <f t="shared" si="84"/>
        <v>0</v>
      </c>
      <c r="V1379">
        <f t="shared" si="85"/>
        <v>0</v>
      </c>
      <c r="W1379" s="22">
        <f t="shared" si="86"/>
        <v>0</v>
      </c>
    </row>
    <row r="1380" spans="1:23" hidden="1" x14ac:dyDescent="0.25">
      <c r="A1380" s="3">
        <v>45983</v>
      </c>
      <c r="B1380" s="4" t="s">
        <v>334</v>
      </c>
      <c r="C1380" s="4" t="s">
        <v>690</v>
      </c>
      <c r="D1380" s="4"/>
      <c r="E1380" s="4"/>
      <c r="F1380" s="4" t="s">
        <v>908</v>
      </c>
      <c r="G1380" s="4" t="s">
        <v>336</v>
      </c>
      <c r="H1380" s="4" t="s">
        <v>289</v>
      </c>
      <c r="I1380" s="4">
        <v>0.44</v>
      </c>
      <c r="J1380" s="21">
        <v>340</v>
      </c>
      <c r="K1380" s="21">
        <v>0</v>
      </c>
      <c r="L1380" s="5">
        <v>0</v>
      </c>
      <c r="M1380" s="4">
        <v>0.44</v>
      </c>
      <c r="N1380" s="4"/>
      <c r="O1380" s="5">
        <v>340</v>
      </c>
      <c r="P1380" s="5"/>
      <c r="Q1380" s="21">
        <v>149.6</v>
      </c>
      <c r="R1380" s="21">
        <v>0</v>
      </c>
      <c r="S1380" s="5">
        <f t="shared" si="87"/>
        <v>61960.588760152001</v>
      </c>
      <c r="T1380" cm="1">
        <f t="array" ref="T1380">IF(OR(B1380="MAL ALIMI", B1380="ÜRETİM GİRİŞ"), MIN(I1380, MAX(0, I1380 + SUM(SUMIFS($I$1:I1379, $C$1:C1379, C1380, $B$1:B1379, {"MAL ALIMI","ÜRETİM GİRİŞ"})) - VLOOKUP(C1380, 'STOK RAPORU'!$C$2:$I$1000, 4, 0))), 0)</f>
        <v>0</v>
      </c>
      <c r="U1380" s="22">
        <f t="shared" si="84"/>
        <v>0</v>
      </c>
      <c r="V1380">
        <f t="shared" si="85"/>
        <v>0</v>
      </c>
      <c r="W1380" s="22">
        <f t="shared" si="86"/>
        <v>0</v>
      </c>
    </row>
    <row r="1381" spans="1:23" hidden="1" x14ac:dyDescent="0.25">
      <c r="A1381" s="3">
        <v>45983</v>
      </c>
      <c r="B1381" s="4" t="s">
        <v>334</v>
      </c>
      <c r="C1381" s="4" t="s">
        <v>89</v>
      </c>
      <c r="D1381" s="4"/>
      <c r="E1381" s="4"/>
      <c r="F1381" s="4" t="s">
        <v>908</v>
      </c>
      <c r="G1381" s="4" t="s">
        <v>336</v>
      </c>
      <c r="H1381" s="4" t="s">
        <v>289</v>
      </c>
      <c r="I1381" s="4">
        <v>0.1</v>
      </c>
      <c r="J1381" s="21">
        <v>650</v>
      </c>
      <c r="K1381" s="21">
        <v>0</v>
      </c>
      <c r="L1381" s="5">
        <v>0</v>
      </c>
      <c r="M1381" s="4">
        <v>1</v>
      </c>
      <c r="N1381" s="4"/>
      <c r="O1381" s="5">
        <v>65</v>
      </c>
      <c r="P1381" s="5"/>
      <c r="Q1381" s="21">
        <v>65</v>
      </c>
      <c r="R1381" s="21">
        <v>0</v>
      </c>
      <c r="S1381" s="5">
        <f t="shared" si="87"/>
        <v>62025.588760152001</v>
      </c>
      <c r="T1381" cm="1">
        <f t="array" ref="T1381">IF(OR(B1381="MAL ALIMI", B1381="ÜRETİM GİRİŞ"), MIN(I1381, MAX(0, I1381 + SUM(SUMIFS($I$1:I1380, $C$1:C1380, C1381, $B$1:B1380, {"MAL ALIMI","ÜRETİM GİRİŞ"})) - VLOOKUP(C1381, 'STOK RAPORU'!$C$2:$I$1000, 4, 0))), 0)</f>
        <v>0</v>
      </c>
      <c r="U1381" s="22">
        <f t="shared" si="84"/>
        <v>0</v>
      </c>
      <c r="V1381">
        <f t="shared" si="85"/>
        <v>0</v>
      </c>
      <c r="W1381" s="22">
        <f t="shared" si="86"/>
        <v>0</v>
      </c>
    </row>
    <row r="1382" spans="1:23" hidden="1" x14ac:dyDescent="0.25">
      <c r="A1382" s="3">
        <v>45983</v>
      </c>
      <c r="B1382" s="4" t="s">
        <v>334</v>
      </c>
      <c r="C1382" s="4" t="s">
        <v>201</v>
      </c>
      <c r="D1382" s="4"/>
      <c r="E1382" s="4"/>
      <c r="F1382" s="4" t="s">
        <v>908</v>
      </c>
      <c r="G1382" s="4" t="s">
        <v>336</v>
      </c>
      <c r="H1382" s="4" t="s">
        <v>289</v>
      </c>
      <c r="I1382" s="4">
        <v>0.12</v>
      </c>
      <c r="J1382" s="21">
        <v>800</v>
      </c>
      <c r="K1382" s="21">
        <v>0</v>
      </c>
      <c r="L1382" s="5">
        <v>0</v>
      </c>
      <c r="M1382" s="4">
        <v>0.12</v>
      </c>
      <c r="N1382" s="4"/>
      <c r="O1382" s="5">
        <v>800</v>
      </c>
      <c r="P1382" s="5"/>
      <c r="Q1382" s="21">
        <v>96</v>
      </c>
      <c r="R1382" s="21">
        <v>0</v>
      </c>
      <c r="S1382" s="5">
        <f t="shared" si="87"/>
        <v>62121.588760152001</v>
      </c>
      <c r="T1382" cm="1">
        <f t="array" ref="T1382">IF(OR(B1382="MAL ALIMI", B1382="ÜRETİM GİRİŞ"), MIN(I1382, MAX(0, I1382 + SUM(SUMIFS($I$1:I1381, $C$1:C1381, C1382, $B$1:B1381, {"MAL ALIMI","ÜRETİM GİRİŞ"})) - VLOOKUP(C1382, 'STOK RAPORU'!$C$2:$I$1000, 4, 0))), 0)</f>
        <v>0</v>
      </c>
      <c r="U1382" s="22">
        <f t="shared" si="84"/>
        <v>0</v>
      </c>
      <c r="V1382">
        <f t="shared" si="85"/>
        <v>0</v>
      </c>
      <c r="W1382" s="22">
        <f t="shared" si="86"/>
        <v>0</v>
      </c>
    </row>
    <row r="1383" spans="1:23" hidden="1" x14ac:dyDescent="0.25">
      <c r="A1383" s="3">
        <v>45983</v>
      </c>
      <c r="B1383" s="4" t="s">
        <v>946</v>
      </c>
      <c r="C1383" s="4"/>
      <c r="D1383" s="4"/>
      <c r="E1383" s="4" t="s">
        <v>921</v>
      </c>
      <c r="F1383" s="4"/>
      <c r="G1383" s="4" t="s">
        <v>946</v>
      </c>
      <c r="H1383" s="4" t="s">
        <v>380</v>
      </c>
      <c r="I1383" s="4">
        <v>1</v>
      </c>
      <c r="J1383" s="105">
        <v>1915</v>
      </c>
      <c r="K1383" s="21">
        <v>0</v>
      </c>
      <c r="L1383" s="111">
        <v>1915</v>
      </c>
      <c r="M1383" s="4"/>
      <c r="N1383" s="4"/>
      <c r="O1383" s="5"/>
      <c r="P1383" s="5"/>
      <c r="Q1383" s="21">
        <v>1915</v>
      </c>
      <c r="R1383" s="21">
        <v>0</v>
      </c>
      <c r="S1383" s="5">
        <f t="shared" si="87"/>
        <v>64036.588760152001</v>
      </c>
      <c r="T1383" cm="1">
        <f t="array" ref="T1383">IF(OR(B1383="MAL ALIMI", B1383="ÜRETİM GİRİŞ"), MIN(I1383, MAX(0, I1383 + SUM(SUMIFS($I$1:I1382, $C$1:C1382, C1383, $B$1:B1382, {"MAL ALIMI","ÜRETİM GİRİŞ"})) - VLOOKUP(C1383, 'STOK RAPORU'!$C$2:$I$1000, 4, 0))), 0)</f>
        <v>0</v>
      </c>
      <c r="U1383" s="22">
        <f t="shared" si="84"/>
        <v>0</v>
      </c>
      <c r="V1383">
        <f t="shared" si="85"/>
        <v>0</v>
      </c>
      <c r="W1383" s="22">
        <f t="shared" si="86"/>
        <v>0</v>
      </c>
    </row>
    <row r="1384" spans="1:23" hidden="1" x14ac:dyDescent="0.25">
      <c r="A1384" s="3">
        <v>45984</v>
      </c>
      <c r="B1384" s="4" t="s">
        <v>334</v>
      </c>
      <c r="C1384" s="4" t="s">
        <v>651</v>
      </c>
      <c r="D1384" s="4"/>
      <c r="E1384" s="4" t="s">
        <v>921</v>
      </c>
      <c r="F1384" s="4" t="s">
        <v>910</v>
      </c>
      <c r="G1384" s="4" t="s">
        <v>336</v>
      </c>
      <c r="H1384" s="4" t="s">
        <v>380</v>
      </c>
      <c r="I1384" s="4">
        <v>1</v>
      </c>
      <c r="J1384" s="21">
        <v>400</v>
      </c>
      <c r="K1384" s="21">
        <v>400</v>
      </c>
      <c r="L1384" s="5">
        <v>0</v>
      </c>
      <c r="M1384" s="4">
        <v>1</v>
      </c>
      <c r="N1384" s="4"/>
      <c r="O1384" s="5">
        <v>400</v>
      </c>
      <c r="P1384" s="5"/>
      <c r="Q1384" s="21">
        <v>0</v>
      </c>
      <c r="R1384" s="21">
        <v>0</v>
      </c>
      <c r="S1384" s="5">
        <f t="shared" si="87"/>
        <v>64036.588760152001</v>
      </c>
      <c r="T1384" cm="1">
        <f t="array" ref="T1384">IF(OR(B1384="MAL ALIMI", B1384="ÜRETİM GİRİŞ"), MIN(I1384, MAX(0, I1384 + SUM(SUMIFS($I$1:I1383, $C$1:C1383, C1384, $B$1:B1383, {"MAL ALIMI","ÜRETİM GİRİŞ"})) - VLOOKUP(C1384, 'STOK RAPORU'!$C$2:$I$1000, 4, 0))), 0)</f>
        <v>0</v>
      </c>
      <c r="U1384" s="22">
        <f t="shared" si="84"/>
        <v>0</v>
      </c>
      <c r="V1384">
        <f t="shared" si="85"/>
        <v>0</v>
      </c>
      <c r="W1384" s="22">
        <f t="shared" si="86"/>
        <v>0</v>
      </c>
    </row>
    <row r="1385" spans="1:23" hidden="1" x14ac:dyDescent="0.25">
      <c r="A1385" s="3">
        <v>45984</v>
      </c>
      <c r="B1385" s="4" t="s">
        <v>334</v>
      </c>
      <c r="C1385" s="4" t="s">
        <v>214</v>
      </c>
      <c r="D1385" s="4"/>
      <c r="E1385" s="4"/>
      <c r="F1385" s="4" t="s">
        <v>929</v>
      </c>
      <c r="G1385" s="4" t="s">
        <v>336</v>
      </c>
      <c r="H1385" s="4" t="s">
        <v>289</v>
      </c>
      <c r="I1385" s="4">
        <v>0.112</v>
      </c>
      <c r="J1385" s="21">
        <v>900</v>
      </c>
      <c r="K1385" s="21">
        <v>0</v>
      </c>
      <c r="L1385" s="5">
        <v>0</v>
      </c>
      <c r="M1385" s="4"/>
      <c r="N1385" s="4"/>
      <c r="O1385" s="5"/>
      <c r="P1385" s="5"/>
      <c r="Q1385" s="21">
        <v>100.8</v>
      </c>
      <c r="R1385" s="21">
        <v>0</v>
      </c>
      <c r="S1385" s="5">
        <f t="shared" si="87"/>
        <v>64137.388760152004</v>
      </c>
      <c r="T1385" cm="1">
        <f t="array" ref="T1385">IF(OR(B1385="MAL ALIMI", B1385="ÜRETİM GİRİŞ"), MIN(I1385, MAX(0, I1385 + SUM(SUMIFS($I$1:I1384, $C$1:C1384, C1385, $B$1:B1384, {"MAL ALIMI","ÜRETİM GİRİŞ"})) - VLOOKUP(C1385, 'STOK RAPORU'!$C$2:$I$1000, 4, 0))), 0)</f>
        <v>0</v>
      </c>
      <c r="U1385" s="22">
        <f t="shared" si="84"/>
        <v>0</v>
      </c>
      <c r="V1385">
        <f t="shared" si="85"/>
        <v>0</v>
      </c>
      <c r="W1385" s="22">
        <f t="shared" si="86"/>
        <v>0</v>
      </c>
    </row>
    <row r="1386" spans="1:23" hidden="1" x14ac:dyDescent="0.25">
      <c r="A1386" s="3">
        <v>45984</v>
      </c>
      <c r="B1386" s="4" t="s">
        <v>334</v>
      </c>
      <c r="C1386" s="4" t="s">
        <v>140</v>
      </c>
      <c r="D1386" s="4"/>
      <c r="E1386" s="4"/>
      <c r="F1386" s="4" t="s">
        <v>929</v>
      </c>
      <c r="G1386" s="4" t="s">
        <v>336</v>
      </c>
      <c r="H1386" s="4" t="s">
        <v>289</v>
      </c>
      <c r="I1386" s="4">
        <v>0.12</v>
      </c>
      <c r="J1386" s="21">
        <v>250</v>
      </c>
      <c r="K1386" s="21">
        <v>0</v>
      </c>
      <c r="L1386" s="5">
        <v>0</v>
      </c>
      <c r="M1386" s="4"/>
      <c r="N1386" s="4"/>
      <c r="O1386" s="5"/>
      <c r="P1386" s="5"/>
      <c r="Q1386" s="21">
        <v>30</v>
      </c>
      <c r="R1386" s="21">
        <v>0</v>
      </c>
      <c r="S1386" s="5">
        <f t="shared" si="87"/>
        <v>64167.388760152004</v>
      </c>
      <c r="T1386" cm="1">
        <f t="array" ref="T1386">IF(OR(B1386="MAL ALIMI", B1386="ÜRETİM GİRİŞ"), MIN(I1386, MAX(0, I1386 + SUM(SUMIFS($I$1:I1385, $C$1:C1385, C1386, $B$1:B1385, {"MAL ALIMI","ÜRETİM GİRİŞ"})) - VLOOKUP(C1386, 'STOK RAPORU'!$C$2:$I$1000, 4, 0))), 0)</f>
        <v>0</v>
      </c>
      <c r="U1386" s="22">
        <f t="shared" si="84"/>
        <v>0</v>
      </c>
      <c r="V1386">
        <f t="shared" si="85"/>
        <v>0</v>
      </c>
      <c r="W1386" s="22">
        <f t="shared" si="86"/>
        <v>0</v>
      </c>
    </row>
    <row r="1387" spans="1:23" hidden="1" x14ac:dyDescent="0.25">
      <c r="A1387" s="3">
        <v>45984</v>
      </c>
      <c r="B1387" s="4" t="s">
        <v>334</v>
      </c>
      <c r="C1387" s="4" t="s">
        <v>161</v>
      </c>
      <c r="D1387" s="4"/>
      <c r="E1387" s="4" t="s">
        <v>921</v>
      </c>
      <c r="F1387" s="4" t="s">
        <v>930</v>
      </c>
      <c r="G1387" s="4" t="s">
        <v>336</v>
      </c>
      <c r="H1387" s="4" t="s">
        <v>380</v>
      </c>
      <c r="I1387" s="4">
        <v>1</v>
      </c>
      <c r="J1387" s="21">
        <v>200</v>
      </c>
      <c r="K1387" s="21">
        <v>200</v>
      </c>
      <c r="L1387" s="5">
        <v>0</v>
      </c>
      <c r="M1387" s="4"/>
      <c r="N1387" s="4"/>
      <c r="O1387" s="5"/>
      <c r="P1387" s="5"/>
      <c r="Q1387" s="21">
        <v>0</v>
      </c>
      <c r="R1387" s="21">
        <v>0</v>
      </c>
      <c r="S1387" s="5">
        <f t="shared" si="87"/>
        <v>64167.388760152004</v>
      </c>
      <c r="T1387" cm="1">
        <f t="array" ref="T1387">IF(OR(B1387="MAL ALIMI", B1387="ÜRETİM GİRİŞ"), MIN(I1387, MAX(0, I1387 + SUM(SUMIFS($I$1:I1386, $C$1:C1386, C1387, $B$1:B1386, {"MAL ALIMI","ÜRETİM GİRİŞ"})) - VLOOKUP(C1387, 'STOK RAPORU'!$C$2:$I$1000, 4, 0))), 0)</f>
        <v>0</v>
      </c>
      <c r="U1387" s="22">
        <f t="shared" si="84"/>
        <v>0</v>
      </c>
      <c r="V1387">
        <f t="shared" si="85"/>
        <v>0</v>
      </c>
      <c r="W1387" s="22">
        <f t="shared" si="86"/>
        <v>0</v>
      </c>
    </row>
    <row r="1388" spans="1:23" hidden="1" x14ac:dyDescent="0.25">
      <c r="A1388" s="3">
        <v>45984</v>
      </c>
      <c r="B1388" s="4" t="s">
        <v>334</v>
      </c>
      <c r="C1388" s="4" t="s">
        <v>160</v>
      </c>
      <c r="D1388" s="4"/>
      <c r="E1388" s="4" t="s">
        <v>921</v>
      </c>
      <c r="F1388" s="4" t="s">
        <v>930</v>
      </c>
      <c r="G1388" s="4" t="s">
        <v>336</v>
      </c>
      <c r="H1388" s="4" t="s">
        <v>380</v>
      </c>
      <c r="I1388" s="4">
        <v>1</v>
      </c>
      <c r="J1388" s="21">
        <v>240</v>
      </c>
      <c r="K1388" s="21">
        <v>240</v>
      </c>
      <c r="L1388" s="5">
        <v>0</v>
      </c>
      <c r="M1388" s="4"/>
      <c r="N1388" s="4"/>
      <c r="O1388" s="5"/>
      <c r="P1388" s="5"/>
      <c r="Q1388" s="21">
        <v>0</v>
      </c>
      <c r="R1388" s="21">
        <v>0</v>
      </c>
      <c r="S1388" s="5">
        <f t="shared" si="87"/>
        <v>64167.388760152004</v>
      </c>
      <c r="T1388" cm="1">
        <f t="array" ref="T1388">IF(OR(B1388="MAL ALIMI", B1388="ÜRETİM GİRİŞ"), MIN(I1388, MAX(0, I1388 + SUM(SUMIFS($I$1:I1387, $C$1:C1387, C1388, $B$1:B1387, {"MAL ALIMI","ÜRETİM GİRİŞ"})) - VLOOKUP(C1388, 'STOK RAPORU'!$C$2:$I$1000, 4, 0))), 0)</f>
        <v>0</v>
      </c>
      <c r="U1388" s="22">
        <f t="shared" si="84"/>
        <v>0</v>
      </c>
      <c r="V1388">
        <f t="shared" si="85"/>
        <v>0</v>
      </c>
      <c r="W1388" s="22">
        <f t="shared" si="86"/>
        <v>0</v>
      </c>
    </row>
    <row r="1389" spans="1:23" hidden="1" x14ac:dyDescent="0.25">
      <c r="A1389" s="3">
        <v>45984</v>
      </c>
      <c r="B1389" s="4" t="s">
        <v>334</v>
      </c>
      <c r="C1389" s="4" t="s">
        <v>523</v>
      </c>
      <c r="D1389" s="4"/>
      <c r="E1389" s="4" t="s">
        <v>921</v>
      </c>
      <c r="F1389" s="4" t="s">
        <v>930</v>
      </c>
      <c r="G1389" s="4" t="s">
        <v>336</v>
      </c>
      <c r="H1389" s="4" t="s">
        <v>380</v>
      </c>
      <c r="I1389" s="4">
        <v>0.1</v>
      </c>
      <c r="J1389" s="21">
        <v>650</v>
      </c>
      <c r="K1389" s="21">
        <v>65</v>
      </c>
      <c r="L1389" s="5">
        <v>0</v>
      </c>
      <c r="M1389" s="4"/>
      <c r="N1389" s="4"/>
      <c r="O1389" s="5"/>
      <c r="P1389" s="5"/>
      <c r="Q1389" s="21">
        <v>0</v>
      </c>
      <c r="R1389" s="21">
        <v>0</v>
      </c>
      <c r="S1389" s="5">
        <f t="shared" si="87"/>
        <v>64167.388760152004</v>
      </c>
      <c r="T1389" cm="1">
        <f t="array" ref="T1389">IF(OR(B1389="MAL ALIMI", B1389="ÜRETİM GİRİŞ"), MIN(I1389, MAX(0, I1389 + SUM(SUMIFS($I$1:I1388, $C$1:C1388, C1389, $B$1:B1388, {"MAL ALIMI","ÜRETİM GİRİŞ"})) - VLOOKUP(C1389, 'STOK RAPORU'!$C$2:$I$1000, 4, 0))), 0)</f>
        <v>0</v>
      </c>
      <c r="U1389" s="22">
        <f t="shared" si="84"/>
        <v>0</v>
      </c>
      <c r="V1389">
        <f t="shared" si="85"/>
        <v>0</v>
      </c>
      <c r="W1389" s="22">
        <f t="shared" si="86"/>
        <v>0</v>
      </c>
    </row>
    <row r="1390" spans="1:23" hidden="1" x14ac:dyDescent="0.25">
      <c r="A1390" s="3">
        <v>45984</v>
      </c>
      <c r="B1390" s="4" t="s">
        <v>334</v>
      </c>
      <c r="C1390" s="4" t="s">
        <v>460</v>
      </c>
      <c r="D1390" s="4"/>
      <c r="E1390" s="4"/>
      <c r="F1390" s="4" t="s">
        <v>931</v>
      </c>
      <c r="G1390" s="4" t="s">
        <v>336</v>
      </c>
      <c r="H1390" s="4" t="s">
        <v>289</v>
      </c>
      <c r="I1390" s="4">
        <v>2</v>
      </c>
      <c r="J1390" s="21">
        <v>15</v>
      </c>
      <c r="K1390" s="21">
        <v>0</v>
      </c>
      <c r="L1390" s="5">
        <v>0</v>
      </c>
      <c r="M1390" s="4"/>
      <c r="N1390" s="4"/>
      <c r="O1390" s="5"/>
      <c r="P1390" s="5"/>
      <c r="Q1390" s="21">
        <v>30</v>
      </c>
      <c r="R1390" s="21">
        <v>0</v>
      </c>
      <c r="S1390" s="5">
        <f t="shared" si="87"/>
        <v>64197.388760152004</v>
      </c>
      <c r="T1390" cm="1">
        <f t="array" ref="T1390">IF(OR(B1390="MAL ALIMI", B1390="ÜRETİM GİRİŞ"), MIN(I1390, MAX(0, I1390 + SUM(SUMIFS($I$1:I1389, $C$1:C1389, C1390, $B$1:B1389, {"MAL ALIMI","ÜRETİM GİRİŞ"})) - VLOOKUP(C1390, 'STOK RAPORU'!$C$2:$I$1000, 4, 0))), 0)</f>
        <v>0</v>
      </c>
      <c r="U1390" s="22">
        <f t="shared" si="84"/>
        <v>0</v>
      </c>
      <c r="V1390">
        <f t="shared" si="85"/>
        <v>0</v>
      </c>
      <c r="W1390" s="22">
        <f t="shared" si="86"/>
        <v>0</v>
      </c>
    </row>
    <row r="1391" spans="1:23" hidden="1" x14ac:dyDescent="0.25">
      <c r="A1391" s="3">
        <v>45984</v>
      </c>
      <c r="B1391" s="4" t="s">
        <v>334</v>
      </c>
      <c r="C1391" s="4" t="s">
        <v>728</v>
      </c>
      <c r="D1391" s="4"/>
      <c r="E1391" s="4"/>
      <c r="F1391" s="4" t="s">
        <v>931</v>
      </c>
      <c r="G1391" s="4" t="s">
        <v>336</v>
      </c>
      <c r="H1391" s="4" t="s">
        <v>289</v>
      </c>
      <c r="I1391" s="4">
        <v>7.0000000000000007E-2</v>
      </c>
      <c r="J1391" s="21">
        <v>750</v>
      </c>
      <c r="K1391" s="21">
        <v>0</v>
      </c>
      <c r="L1391" s="5">
        <v>0</v>
      </c>
      <c r="M1391" s="4"/>
      <c r="N1391" s="4"/>
      <c r="O1391" s="5"/>
      <c r="P1391" s="5"/>
      <c r="Q1391" s="21">
        <v>52.500000000000007</v>
      </c>
      <c r="R1391" s="21">
        <v>0</v>
      </c>
      <c r="S1391" s="5">
        <f t="shared" si="87"/>
        <v>64249.888760152004</v>
      </c>
      <c r="T1391" cm="1">
        <f t="array" ref="T1391">IF(OR(B1391="MAL ALIMI", B1391="ÜRETİM GİRİŞ"), MIN(I1391, MAX(0, I1391 + SUM(SUMIFS($I$1:I1390, $C$1:C1390, C1391, $B$1:B1390, {"MAL ALIMI","ÜRETİM GİRİŞ"})) - VLOOKUP(C1391, 'STOK RAPORU'!$C$2:$I$1000, 4, 0))), 0)</f>
        <v>0</v>
      </c>
      <c r="U1391" s="22">
        <f t="shared" si="84"/>
        <v>0</v>
      </c>
      <c r="V1391">
        <f t="shared" si="85"/>
        <v>0</v>
      </c>
      <c r="W1391" s="22">
        <f t="shared" si="86"/>
        <v>0</v>
      </c>
    </row>
    <row r="1392" spans="1:23" hidden="1" x14ac:dyDescent="0.25">
      <c r="A1392" s="3">
        <v>45984</v>
      </c>
      <c r="B1392" s="4" t="s">
        <v>334</v>
      </c>
      <c r="C1392" s="4" t="s">
        <v>651</v>
      </c>
      <c r="D1392" s="4"/>
      <c r="E1392" s="4" t="s">
        <v>921</v>
      </c>
      <c r="F1392" s="4" t="s">
        <v>932</v>
      </c>
      <c r="G1392" s="4" t="s">
        <v>336</v>
      </c>
      <c r="H1392" s="4" t="s">
        <v>380</v>
      </c>
      <c r="I1392" s="4">
        <v>1</v>
      </c>
      <c r="J1392" s="21">
        <v>400</v>
      </c>
      <c r="K1392" s="21">
        <v>400</v>
      </c>
      <c r="L1392" s="5">
        <v>0</v>
      </c>
      <c r="M1392" s="4"/>
      <c r="N1392" s="4"/>
      <c r="O1392" s="5"/>
      <c r="P1392" s="5"/>
      <c r="Q1392" s="21">
        <v>0</v>
      </c>
      <c r="R1392" s="21">
        <v>0</v>
      </c>
      <c r="S1392" s="5">
        <f t="shared" si="87"/>
        <v>64249.888760152004</v>
      </c>
      <c r="T1392" cm="1">
        <f t="array" ref="T1392">IF(OR(B1392="MAL ALIMI", B1392="ÜRETİM GİRİŞ"), MIN(I1392, MAX(0, I1392 + SUM(SUMIFS($I$1:I1391, $C$1:C1391, C1392, $B$1:B1391, {"MAL ALIMI","ÜRETİM GİRİŞ"})) - VLOOKUP(C1392, 'STOK RAPORU'!$C$2:$I$1000, 4, 0))), 0)</f>
        <v>0</v>
      </c>
      <c r="U1392" s="22">
        <f t="shared" si="84"/>
        <v>0</v>
      </c>
      <c r="V1392">
        <f t="shared" si="85"/>
        <v>0</v>
      </c>
      <c r="W1392" s="22">
        <f t="shared" si="86"/>
        <v>0</v>
      </c>
    </row>
    <row r="1393" spans="1:23" hidden="1" x14ac:dyDescent="0.25">
      <c r="A1393" s="3">
        <v>45984</v>
      </c>
      <c r="B1393" s="4" t="s">
        <v>334</v>
      </c>
      <c r="C1393" s="4" t="s">
        <v>459</v>
      </c>
      <c r="D1393" s="4"/>
      <c r="E1393" s="4" t="s">
        <v>921</v>
      </c>
      <c r="F1393" s="4" t="s">
        <v>932</v>
      </c>
      <c r="G1393" s="4" t="s">
        <v>336</v>
      </c>
      <c r="H1393" s="4" t="s">
        <v>380</v>
      </c>
      <c r="I1393" s="4">
        <v>0.1</v>
      </c>
      <c r="J1393" s="21">
        <v>200</v>
      </c>
      <c r="K1393" s="21">
        <v>20</v>
      </c>
      <c r="L1393" s="5">
        <v>0</v>
      </c>
      <c r="M1393" s="4"/>
      <c r="N1393" s="4"/>
      <c r="O1393" s="5"/>
      <c r="P1393" s="5"/>
      <c r="Q1393" s="21">
        <v>0</v>
      </c>
      <c r="R1393" s="21">
        <v>0</v>
      </c>
      <c r="S1393" s="5">
        <f t="shared" si="87"/>
        <v>64249.888760152004</v>
      </c>
      <c r="T1393" cm="1">
        <f t="array" ref="T1393">IF(OR(B1393="MAL ALIMI", B1393="ÜRETİM GİRİŞ"), MIN(I1393, MAX(0, I1393 + SUM(SUMIFS($I$1:I1392, $C$1:C1392, C1393, $B$1:B1392, {"MAL ALIMI","ÜRETİM GİRİŞ"})) - VLOOKUP(C1393, 'STOK RAPORU'!$C$2:$I$1000, 4, 0))), 0)</f>
        <v>0</v>
      </c>
      <c r="U1393" s="22">
        <f t="shared" si="84"/>
        <v>0</v>
      </c>
      <c r="V1393">
        <f t="shared" si="85"/>
        <v>0</v>
      </c>
      <c r="W1393" s="22">
        <f t="shared" si="86"/>
        <v>0</v>
      </c>
    </row>
    <row r="1394" spans="1:23" hidden="1" x14ac:dyDescent="0.25">
      <c r="A1394" s="3">
        <v>45984</v>
      </c>
      <c r="B1394" s="4" t="s">
        <v>334</v>
      </c>
      <c r="C1394" s="4" t="s">
        <v>234</v>
      </c>
      <c r="D1394" s="4"/>
      <c r="E1394" s="4" t="s">
        <v>921</v>
      </c>
      <c r="F1394" s="4" t="s">
        <v>932</v>
      </c>
      <c r="G1394" s="4" t="s">
        <v>336</v>
      </c>
      <c r="H1394" s="4" t="s">
        <v>380</v>
      </c>
      <c r="I1394" s="4">
        <v>1</v>
      </c>
      <c r="J1394" s="21">
        <v>180</v>
      </c>
      <c r="K1394" s="21">
        <v>180</v>
      </c>
      <c r="L1394" s="5">
        <v>0</v>
      </c>
      <c r="M1394" s="4"/>
      <c r="N1394" s="4"/>
      <c r="O1394" s="5"/>
      <c r="P1394" s="5"/>
      <c r="Q1394" s="21">
        <v>0</v>
      </c>
      <c r="R1394" s="21">
        <v>0</v>
      </c>
      <c r="S1394" s="5">
        <f t="shared" si="87"/>
        <v>64249.888760152004</v>
      </c>
      <c r="T1394" cm="1">
        <f t="array" ref="T1394">IF(OR(B1394="MAL ALIMI", B1394="ÜRETİM GİRİŞ"), MIN(I1394, MAX(0, I1394 + SUM(SUMIFS($I$1:I1393, $C$1:C1393, C1394, $B$1:B1393, {"MAL ALIMI","ÜRETİM GİRİŞ"})) - VLOOKUP(C1394, 'STOK RAPORU'!$C$2:$I$1000, 4, 0))), 0)</f>
        <v>0</v>
      </c>
      <c r="U1394" s="22">
        <f t="shared" si="84"/>
        <v>0</v>
      </c>
      <c r="V1394">
        <f t="shared" si="85"/>
        <v>0</v>
      </c>
      <c r="W1394" s="22">
        <f t="shared" si="86"/>
        <v>0</v>
      </c>
    </row>
    <row r="1395" spans="1:23" hidden="1" x14ac:dyDescent="0.25">
      <c r="A1395" s="3">
        <v>45984</v>
      </c>
      <c r="B1395" s="4" t="s">
        <v>334</v>
      </c>
      <c r="C1395" s="4" t="s">
        <v>262</v>
      </c>
      <c r="D1395" s="4"/>
      <c r="E1395" s="4" t="s">
        <v>921</v>
      </c>
      <c r="F1395" s="4" t="s">
        <v>932</v>
      </c>
      <c r="G1395" s="4" t="s">
        <v>336</v>
      </c>
      <c r="H1395" s="4" t="s">
        <v>380</v>
      </c>
      <c r="I1395" s="4">
        <v>1</v>
      </c>
      <c r="J1395" s="21">
        <v>140</v>
      </c>
      <c r="K1395" s="21">
        <v>140</v>
      </c>
      <c r="L1395" s="5">
        <v>0</v>
      </c>
      <c r="M1395" s="4"/>
      <c r="N1395" s="4"/>
      <c r="O1395" s="5"/>
      <c r="P1395" s="5"/>
      <c r="Q1395" s="21">
        <v>0</v>
      </c>
      <c r="R1395" s="21">
        <v>0</v>
      </c>
      <c r="S1395" s="5">
        <f t="shared" si="87"/>
        <v>64249.888760152004</v>
      </c>
      <c r="T1395" cm="1">
        <f t="array" ref="T1395">IF(OR(B1395="MAL ALIMI", B1395="ÜRETİM GİRİŞ"), MIN(I1395, MAX(0, I1395 + SUM(SUMIFS($I$1:I1394, $C$1:C1394, C1395, $B$1:B1394, {"MAL ALIMI","ÜRETİM GİRİŞ"})) - VLOOKUP(C1395, 'STOK RAPORU'!$C$2:$I$1000, 4, 0))), 0)</f>
        <v>0</v>
      </c>
      <c r="U1395" s="22">
        <f t="shared" si="84"/>
        <v>0</v>
      </c>
      <c r="V1395">
        <f t="shared" si="85"/>
        <v>0</v>
      </c>
      <c r="W1395" s="22">
        <f t="shared" si="86"/>
        <v>0</v>
      </c>
    </row>
    <row r="1396" spans="1:23" hidden="1" x14ac:dyDescent="0.25">
      <c r="A1396" s="3">
        <v>45984</v>
      </c>
      <c r="B1396" s="4" t="s">
        <v>334</v>
      </c>
      <c r="C1396" s="4" t="s">
        <v>223</v>
      </c>
      <c r="D1396" s="4"/>
      <c r="E1396" s="4"/>
      <c r="F1396" s="4" t="s">
        <v>933</v>
      </c>
      <c r="G1396" s="4" t="s">
        <v>336</v>
      </c>
      <c r="H1396" s="4" t="s">
        <v>289</v>
      </c>
      <c r="I1396" s="4">
        <v>0.215</v>
      </c>
      <c r="J1396" s="21">
        <v>700</v>
      </c>
      <c r="K1396" s="21">
        <v>0</v>
      </c>
      <c r="L1396" s="5">
        <v>0</v>
      </c>
      <c r="M1396" s="4"/>
      <c r="N1396" s="4"/>
      <c r="O1396" s="5"/>
      <c r="P1396" s="5"/>
      <c r="Q1396" s="21">
        <v>150.5</v>
      </c>
      <c r="R1396" s="21">
        <v>0</v>
      </c>
      <c r="S1396" s="5">
        <f t="shared" si="87"/>
        <v>64400.388760152004</v>
      </c>
      <c r="T1396" cm="1">
        <f t="array" ref="T1396">IF(OR(B1396="MAL ALIMI", B1396="ÜRETİM GİRİŞ"), MIN(I1396, MAX(0, I1396 + SUM(SUMIFS($I$1:I1395, $C$1:C1395, C1396, $B$1:B1395, {"MAL ALIMI","ÜRETİM GİRİŞ"})) - VLOOKUP(C1396, 'STOK RAPORU'!$C$2:$I$1000, 4, 0))), 0)</f>
        <v>0</v>
      </c>
      <c r="U1396" s="22">
        <f t="shared" si="84"/>
        <v>0</v>
      </c>
      <c r="V1396">
        <f t="shared" si="85"/>
        <v>0</v>
      </c>
      <c r="W1396" s="22">
        <f t="shared" si="86"/>
        <v>0</v>
      </c>
    </row>
    <row r="1397" spans="1:23" hidden="1" x14ac:dyDescent="0.25">
      <c r="A1397" s="3">
        <v>45984</v>
      </c>
      <c r="B1397" s="4" t="s">
        <v>334</v>
      </c>
      <c r="C1397" s="4" t="s">
        <v>126</v>
      </c>
      <c r="D1397" s="4"/>
      <c r="E1397" s="4"/>
      <c r="F1397" s="4" t="s">
        <v>934</v>
      </c>
      <c r="G1397" s="4" t="s">
        <v>336</v>
      </c>
      <c r="H1397" s="4" t="s">
        <v>289</v>
      </c>
      <c r="I1397" s="4">
        <v>0.157</v>
      </c>
      <c r="J1397" s="21">
        <v>640</v>
      </c>
      <c r="K1397" s="21">
        <v>0</v>
      </c>
      <c r="L1397" s="5">
        <v>0</v>
      </c>
      <c r="M1397" s="4"/>
      <c r="N1397" s="4"/>
      <c r="O1397" s="5"/>
      <c r="P1397" s="5"/>
      <c r="Q1397" s="21">
        <v>100.48</v>
      </c>
      <c r="R1397" s="21">
        <v>0</v>
      </c>
      <c r="S1397" s="5">
        <f t="shared" si="87"/>
        <v>64500.868760152007</v>
      </c>
      <c r="T1397" cm="1">
        <f t="array" ref="T1397">IF(OR(B1397="MAL ALIMI", B1397="ÜRETİM GİRİŞ"), MIN(I1397, MAX(0, I1397 + SUM(SUMIFS($I$1:I1396, $C$1:C1396, C1397, $B$1:B1396, {"MAL ALIMI","ÜRETİM GİRİŞ"})) - VLOOKUP(C1397, 'STOK RAPORU'!$C$2:$I$1000, 4, 0))), 0)</f>
        <v>0</v>
      </c>
      <c r="U1397" s="22">
        <f t="shared" si="84"/>
        <v>0</v>
      </c>
      <c r="V1397">
        <f t="shared" si="85"/>
        <v>0</v>
      </c>
      <c r="W1397" s="22">
        <f t="shared" si="86"/>
        <v>0</v>
      </c>
    </row>
    <row r="1398" spans="1:23" hidden="1" x14ac:dyDescent="0.25">
      <c r="A1398" s="3">
        <v>45984</v>
      </c>
      <c r="B1398" s="4" t="s">
        <v>334</v>
      </c>
      <c r="C1398" s="4" t="s">
        <v>242</v>
      </c>
      <c r="D1398" s="4"/>
      <c r="E1398" s="4"/>
      <c r="F1398" s="4" t="s">
        <v>934</v>
      </c>
      <c r="G1398" s="4" t="s">
        <v>336</v>
      </c>
      <c r="H1398" s="4" t="s">
        <v>289</v>
      </c>
      <c r="I1398" s="4">
        <v>0.28000000000000003</v>
      </c>
      <c r="J1398" s="21">
        <v>360</v>
      </c>
      <c r="K1398" s="21">
        <v>0</v>
      </c>
      <c r="L1398" s="5">
        <v>0</v>
      </c>
      <c r="M1398" s="4"/>
      <c r="N1398" s="4"/>
      <c r="O1398" s="5"/>
      <c r="P1398" s="5"/>
      <c r="Q1398" s="21">
        <v>100.80000000000001</v>
      </c>
      <c r="R1398" s="21">
        <v>0</v>
      </c>
      <c r="S1398" s="5">
        <f t="shared" si="87"/>
        <v>64601.66876015201</v>
      </c>
      <c r="T1398" cm="1">
        <f t="array" ref="T1398">IF(OR(B1398="MAL ALIMI", B1398="ÜRETİM GİRİŞ"), MIN(I1398, MAX(0, I1398 + SUM(SUMIFS($I$1:I1397, $C$1:C1397, C1398, $B$1:B1397, {"MAL ALIMI","ÜRETİM GİRİŞ"})) - VLOOKUP(C1398, 'STOK RAPORU'!$C$2:$I$1000, 4, 0))), 0)</f>
        <v>0</v>
      </c>
      <c r="U1398" s="22">
        <f t="shared" si="84"/>
        <v>0</v>
      </c>
      <c r="V1398">
        <f t="shared" si="85"/>
        <v>0</v>
      </c>
      <c r="W1398" s="22">
        <f t="shared" si="86"/>
        <v>0</v>
      </c>
    </row>
    <row r="1399" spans="1:23" hidden="1" x14ac:dyDescent="0.25">
      <c r="A1399" s="3">
        <v>45984</v>
      </c>
      <c r="B1399" s="4" t="s">
        <v>334</v>
      </c>
      <c r="C1399" s="4" t="s">
        <v>690</v>
      </c>
      <c r="D1399" s="4"/>
      <c r="E1399" s="4"/>
      <c r="F1399" s="4" t="s">
        <v>934</v>
      </c>
      <c r="G1399" s="4" t="s">
        <v>336</v>
      </c>
      <c r="H1399" s="4" t="s">
        <v>289</v>
      </c>
      <c r="I1399" s="4">
        <v>0.45800000000000002</v>
      </c>
      <c r="J1399" s="21">
        <v>340</v>
      </c>
      <c r="K1399" s="21">
        <v>0</v>
      </c>
      <c r="L1399" s="5">
        <v>0</v>
      </c>
      <c r="M1399" s="4"/>
      <c r="N1399" s="4"/>
      <c r="O1399" s="5"/>
      <c r="P1399" s="5"/>
      <c r="Q1399" s="21">
        <v>155.72</v>
      </c>
      <c r="R1399" s="21">
        <v>0</v>
      </c>
      <c r="S1399" s="5">
        <f t="shared" si="87"/>
        <v>64757.388760152011</v>
      </c>
      <c r="T1399" cm="1">
        <f t="array" ref="T1399">IF(OR(B1399="MAL ALIMI", B1399="ÜRETİM GİRİŞ"), MIN(I1399, MAX(0, I1399 + SUM(SUMIFS($I$1:I1398, $C$1:C1398, C1399, $B$1:B1398, {"MAL ALIMI","ÜRETİM GİRİŞ"})) - VLOOKUP(C1399, 'STOK RAPORU'!$C$2:$I$1000, 4, 0))), 0)</f>
        <v>0</v>
      </c>
      <c r="U1399" s="22">
        <f t="shared" si="84"/>
        <v>0</v>
      </c>
      <c r="V1399">
        <f t="shared" si="85"/>
        <v>0</v>
      </c>
      <c r="W1399" s="22">
        <f t="shared" si="86"/>
        <v>0</v>
      </c>
    </row>
    <row r="1400" spans="1:23" hidden="1" x14ac:dyDescent="0.25">
      <c r="A1400" s="3">
        <v>45984</v>
      </c>
      <c r="B1400" s="4" t="s">
        <v>334</v>
      </c>
      <c r="C1400" s="4" t="s">
        <v>198</v>
      </c>
      <c r="D1400" s="4"/>
      <c r="E1400" s="4"/>
      <c r="F1400" s="4" t="s">
        <v>935</v>
      </c>
      <c r="G1400" s="4" t="s">
        <v>336</v>
      </c>
      <c r="H1400" s="4" t="s">
        <v>289</v>
      </c>
      <c r="I1400" s="4">
        <v>0.05</v>
      </c>
      <c r="J1400" s="21">
        <v>1400</v>
      </c>
      <c r="K1400" s="21">
        <v>0</v>
      </c>
      <c r="L1400" s="5">
        <v>0</v>
      </c>
      <c r="M1400" s="4"/>
      <c r="N1400" s="4"/>
      <c r="O1400" s="5"/>
      <c r="P1400" s="5"/>
      <c r="Q1400" s="21">
        <v>70</v>
      </c>
      <c r="R1400" s="21">
        <v>0</v>
      </c>
      <c r="S1400" s="5">
        <f t="shared" si="87"/>
        <v>64827.388760152011</v>
      </c>
      <c r="T1400" cm="1">
        <f t="array" ref="T1400">IF(OR(B1400="MAL ALIMI", B1400="ÜRETİM GİRİŞ"), MIN(I1400, MAX(0, I1400 + SUM(SUMIFS($I$1:I1399, $C$1:C1399, C1400, $B$1:B1399, {"MAL ALIMI","ÜRETİM GİRİŞ"})) - VLOOKUP(C1400, 'STOK RAPORU'!$C$2:$I$1000, 4, 0))), 0)</f>
        <v>0</v>
      </c>
      <c r="U1400" s="22">
        <f t="shared" si="84"/>
        <v>0</v>
      </c>
      <c r="V1400">
        <f t="shared" si="85"/>
        <v>0</v>
      </c>
      <c r="W1400" s="22">
        <f t="shared" si="86"/>
        <v>0</v>
      </c>
    </row>
    <row r="1401" spans="1:23" hidden="1" x14ac:dyDescent="0.25">
      <c r="A1401" s="3">
        <v>45984</v>
      </c>
      <c r="B1401" s="4" t="s">
        <v>334</v>
      </c>
      <c r="C1401" s="4" t="s">
        <v>634</v>
      </c>
      <c r="D1401" s="4"/>
      <c r="E1401" s="4"/>
      <c r="F1401" s="4" t="s">
        <v>936</v>
      </c>
      <c r="G1401" s="4" t="s">
        <v>336</v>
      </c>
      <c r="H1401" s="4" t="s">
        <v>289</v>
      </c>
      <c r="I1401" s="4">
        <v>0.23599999999999999</v>
      </c>
      <c r="J1401" s="21">
        <v>850</v>
      </c>
      <c r="K1401" s="21">
        <v>0</v>
      </c>
      <c r="L1401" s="5">
        <v>0</v>
      </c>
      <c r="M1401" s="4"/>
      <c r="N1401" s="4"/>
      <c r="O1401" s="5"/>
      <c r="P1401" s="5"/>
      <c r="Q1401" s="21">
        <v>200.6</v>
      </c>
      <c r="R1401" s="21">
        <v>0</v>
      </c>
      <c r="S1401" s="5">
        <f t="shared" si="87"/>
        <v>65027.988760152009</v>
      </c>
      <c r="T1401" cm="1">
        <f t="array" ref="T1401">IF(OR(B1401="MAL ALIMI", B1401="ÜRETİM GİRİŞ"), MIN(I1401, MAX(0, I1401 + SUM(SUMIFS($I$1:I1400, $C$1:C1400, C1401, $B$1:B1400, {"MAL ALIMI","ÜRETİM GİRİŞ"})) - VLOOKUP(C1401, 'STOK RAPORU'!$C$2:$I$1000, 4, 0))), 0)</f>
        <v>0</v>
      </c>
      <c r="U1401" s="22">
        <f t="shared" si="84"/>
        <v>0</v>
      </c>
      <c r="V1401">
        <f t="shared" si="85"/>
        <v>0</v>
      </c>
      <c r="W1401" s="22">
        <f t="shared" si="86"/>
        <v>0</v>
      </c>
    </row>
    <row r="1402" spans="1:23" hidden="1" x14ac:dyDescent="0.25">
      <c r="A1402" s="3">
        <v>45984</v>
      </c>
      <c r="B1402" s="4" t="s">
        <v>334</v>
      </c>
      <c r="C1402" s="4" t="s">
        <v>693</v>
      </c>
      <c r="D1402" s="4"/>
      <c r="E1402" s="4"/>
      <c r="F1402" s="4" t="s">
        <v>936</v>
      </c>
      <c r="G1402" s="4" t="s">
        <v>336</v>
      </c>
      <c r="H1402" s="4" t="s">
        <v>289</v>
      </c>
      <c r="I1402" s="4">
        <v>0.26</v>
      </c>
      <c r="J1402" s="21">
        <v>195</v>
      </c>
      <c r="K1402" s="21">
        <v>0</v>
      </c>
      <c r="L1402" s="5">
        <v>0</v>
      </c>
      <c r="M1402" s="4"/>
      <c r="N1402" s="4"/>
      <c r="O1402" s="5"/>
      <c r="P1402" s="5"/>
      <c r="Q1402" s="21">
        <v>50.7</v>
      </c>
      <c r="R1402" s="21">
        <v>0</v>
      </c>
      <c r="S1402" s="5">
        <f t="shared" si="87"/>
        <v>65078.688760152007</v>
      </c>
      <c r="T1402" cm="1">
        <f t="array" ref="T1402">IF(OR(B1402="MAL ALIMI", B1402="ÜRETİM GİRİŞ"), MIN(I1402, MAX(0, I1402 + SUM(SUMIFS($I$1:I1401, $C$1:C1401, C1402, $B$1:B1401, {"MAL ALIMI","ÜRETİM GİRİŞ"})) - VLOOKUP(C1402, 'STOK RAPORU'!$C$2:$I$1000, 4, 0))), 0)</f>
        <v>0</v>
      </c>
      <c r="U1402" s="22">
        <f t="shared" si="84"/>
        <v>0</v>
      </c>
      <c r="V1402">
        <f t="shared" si="85"/>
        <v>0</v>
      </c>
      <c r="W1402" s="22">
        <f t="shared" si="86"/>
        <v>0</v>
      </c>
    </row>
    <row r="1403" spans="1:23" hidden="1" x14ac:dyDescent="0.25">
      <c r="A1403" s="3">
        <v>45984</v>
      </c>
      <c r="B1403" s="4" t="s">
        <v>334</v>
      </c>
      <c r="C1403" s="4" t="s">
        <v>690</v>
      </c>
      <c r="D1403" s="4"/>
      <c r="E1403" s="4"/>
      <c r="F1403" s="4" t="s">
        <v>936</v>
      </c>
      <c r="G1403" s="4" t="s">
        <v>336</v>
      </c>
      <c r="H1403" s="4" t="s">
        <v>289</v>
      </c>
      <c r="I1403" s="4">
        <v>0.439</v>
      </c>
      <c r="J1403" s="21">
        <v>340</v>
      </c>
      <c r="K1403" s="21">
        <v>0</v>
      </c>
      <c r="L1403" s="5">
        <v>0</v>
      </c>
      <c r="M1403" s="4"/>
      <c r="N1403" s="4"/>
      <c r="O1403" s="5"/>
      <c r="P1403" s="5"/>
      <c r="Q1403" s="21">
        <v>149.26</v>
      </c>
      <c r="R1403" s="21">
        <v>0</v>
      </c>
      <c r="S1403" s="5">
        <f t="shared" si="87"/>
        <v>65227.948760152009</v>
      </c>
      <c r="T1403" cm="1">
        <f t="array" ref="T1403">IF(OR(B1403="MAL ALIMI", B1403="ÜRETİM GİRİŞ"), MIN(I1403, MAX(0, I1403 + SUM(SUMIFS($I$1:I1402, $C$1:C1402, C1403, $B$1:B1402, {"MAL ALIMI","ÜRETİM GİRİŞ"})) - VLOOKUP(C1403, 'STOK RAPORU'!$C$2:$I$1000, 4, 0))), 0)</f>
        <v>0</v>
      </c>
      <c r="U1403" s="22">
        <f t="shared" si="84"/>
        <v>0</v>
      </c>
      <c r="V1403">
        <f t="shared" si="85"/>
        <v>0</v>
      </c>
      <c r="W1403" s="22">
        <f t="shared" si="86"/>
        <v>0</v>
      </c>
    </row>
    <row r="1404" spans="1:23" hidden="1" x14ac:dyDescent="0.25">
      <c r="A1404" s="3">
        <v>45984</v>
      </c>
      <c r="B1404" s="4" t="s">
        <v>334</v>
      </c>
      <c r="C1404" s="4" t="s">
        <v>226</v>
      </c>
      <c r="D1404" s="4"/>
      <c r="E1404" s="4"/>
      <c r="F1404" s="4" t="s">
        <v>936</v>
      </c>
      <c r="G1404" s="4" t="s">
        <v>336</v>
      </c>
      <c r="H1404" s="4" t="s">
        <v>289</v>
      </c>
      <c r="I1404" s="4">
        <v>0.27500000000000002</v>
      </c>
      <c r="J1404" s="21">
        <v>150</v>
      </c>
      <c r="K1404" s="21">
        <v>0</v>
      </c>
      <c r="L1404" s="5">
        <v>0</v>
      </c>
      <c r="M1404" s="4"/>
      <c r="N1404" s="4"/>
      <c r="O1404" s="5"/>
      <c r="P1404" s="5"/>
      <c r="Q1404" s="21">
        <v>41.25</v>
      </c>
      <c r="R1404" s="21">
        <v>0</v>
      </c>
      <c r="S1404" s="5">
        <f t="shared" si="87"/>
        <v>65269.198760152009</v>
      </c>
      <c r="T1404" cm="1">
        <f t="array" ref="T1404">IF(OR(B1404="MAL ALIMI", B1404="ÜRETİM GİRİŞ"), MIN(I1404, MAX(0, I1404 + SUM(SUMIFS($I$1:I1403, $C$1:C1403, C1404, $B$1:B1403, {"MAL ALIMI","ÜRETİM GİRİŞ"})) - VLOOKUP(C1404, 'STOK RAPORU'!$C$2:$I$1000, 4, 0))), 0)</f>
        <v>0</v>
      </c>
      <c r="U1404" s="22">
        <f t="shared" si="84"/>
        <v>0</v>
      </c>
      <c r="V1404">
        <f t="shared" si="85"/>
        <v>0</v>
      </c>
      <c r="W1404" s="22">
        <f t="shared" si="86"/>
        <v>0</v>
      </c>
    </row>
    <row r="1405" spans="1:23" hidden="1" x14ac:dyDescent="0.25">
      <c r="A1405" s="3">
        <v>45984</v>
      </c>
      <c r="B1405" s="4" t="s">
        <v>334</v>
      </c>
      <c r="C1405" s="4" t="s">
        <v>163</v>
      </c>
      <c r="D1405" s="4"/>
      <c r="E1405" s="4"/>
      <c r="F1405" s="4" t="s">
        <v>937</v>
      </c>
      <c r="G1405" s="4" t="s">
        <v>336</v>
      </c>
      <c r="H1405" s="4" t="s">
        <v>289</v>
      </c>
      <c r="I1405" s="4">
        <v>0.24</v>
      </c>
      <c r="J1405" s="21">
        <v>420</v>
      </c>
      <c r="K1405" s="21">
        <v>0</v>
      </c>
      <c r="L1405" s="5">
        <v>0</v>
      </c>
      <c r="M1405" s="4"/>
      <c r="N1405" s="4"/>
      <c r="O1405" s="5"/>
      <c r="P1405" s="5"/>
      <c r="Q1405" s="21">
        <v>100.8</v>
      </c>
      <c r="R1405" s="21">
        <v>0</v>
      </c>
      <c r="S1405" s="5">
        <f t="shared" si="87"/>
        <v>65369.998760152012</v>
      </c>
      <c r="T1405" cm="1">
        <f t="array" ref="T1405">IF(OR(B1405="MAL ALIMI", B1405="ÜRETİM GİRİŞ"), MIN(I1405, MAX(0, I1405 + SUM(SUMIFS($I$1:I1404, $C$1:C1404, C1405, $B$1:B1404, {"MAL ALIMI","ÜRETİM GİRİŞ"})) - VLOOKUP(C1405, 'STOK RAPORU'!$C$2:$I$1000, 4, 0))), 0)</f>
        <v>0</v>
      </c>
      <c r="U1405" s="22">
        <f t="shared" si="84"/>
        <v>0</v>
      </c>
      <c r="V1405">
        <f t="shared" si="85"/>
        <v>0</v>
      </c>
      <c r="W1405" s="22">
        <f t="shared" si="86"/>
        <v>0</v>
      </c>
    </row>
    <row r="1406" spans="1:23" hidden="1" x14ac:dyDescent="0.25">
      <c r="A1406" s="3">
        <v>45984</v>
      </c>
      <c r="B1406" s="4" t="s">
        <v>334</v>
      </c>
      <c r="C1406" s="4" t="s">
        <v>96</v>
      </c>
      <c r="D1406" s="4"/>
      <c r="E1406" s="4"/>
      <c r="F1406" s="4" t="s">
        <v>937</v>
      </c>
      <c r="G1406" s="4" t="s">
        <v>336</v>
      </c>
      <c r="H1406" s="4" t="s">
        <v>289</v>
      </c>
      <c r="I1406" s="4">
        <v>0.26500000000000001</v>
      </c>
      <c r="J1406" s="21">
        <v>380</v>
      </c>
      <c r="K1406" s="21">
        <v>0</v>
      </c>
      <c r="L1406" s="5">
        <v>0</v>
      </c>
      <c r="M1406" s="4"/>
      <c r="N1406" s="4"/>
      <c r="O1406" s="5"/>
      <c r="P1406" s="5"/>
      <c r="Q1406" s="21">
        <v>100.7</v>
      </c>
      <c r="R1406" s="21">
        <v>0</v>
      </c>
      <c r="S1406" s="5">
        <f t="shared" si="87"/>
        <v>65470.698760152009</v>
      </c>
      <c r="T1406" cm="1">
        <f t="array" ref="T1406">IF(OR(B1406="MAL ALIMI", B1406="ÜRETİM GİRİŞ"), MIN(I1406, MAX(0, I1406 + SUM(SUMIFS($I$1:I1405, $C$1:C1405, C1406, $B$1:B1405, {"MAL ALIMI","ÜRETİM GİRİŞ"})) - VLOOKUP(C1406, 'STOK RAPORU'!$C$2:$I$1000, 4, 0))), 0)</f>
        <v>0</v>
      </c>
      <c r="U1406" s="22">
        <f t="shared" si="84"/>
        <v>0</v>
      </c>
      <c r="V1406">
        <f t="shared" si="85"/>
        <v>0</v>
      </c>
      <c r="W1406" s="22">
        <f t="shared" si="86"/>
        <v>0</v>
      </c>
    </row>
    <row r="1407" spans="1:23" hidden="1" x14ac:dyDescent="0.25">
      <c r="A1407" s="3">
        <v>45984</v>
      </c>
      <c r="B1407" s="4" t="s">
        <v>334</v>
      </c>
      <c r="C1407" s="4" t="s">
        <v>209</v>
      </c>
      <c r="D1407" s="4"/>
      <c r="E1407" s="4"/>
      <c r="F1407" s="4" t="s">
        <v>937</v>
      </c>
      <c r="G1407" s="4" t="s">
        <v>336</v>
      </c>
      <c r="H1407" s="4" t="s">
        <v>289</v>
      </c>
      <c r="I1407" s="4">
        <v>0.05</v>
      </c>
      <c r="J1407" s="21">
        <v>2600</v>
      </c>
      <c r="K1407" s="21">
        <v>0</v>
      </c>
      <c r="L1407" s="5">
        <v>0</v>
      </c>
      <c r="M1407" s="4"/>
      <c r="N1407" s="4"/>
      <c r="O1407" s="5"/>
      <c r="P1407" s="5"/>
      <c r="Q1407" s="21">
        <v>130</v>
      </c>
      <c r="R1407" s="21">
        <v>0</v>
      </c>
      <c r="S1407" s="5">
        <f t="shared" si="87"/>
        <v>65600.698760152009</v>
      </c>
      <c r="T1407" cm="1">
        <f t="array" ref="T1407">IF(OR(B1407="MAL ALIMI", B1407="ÜRETİM GİRİŞ"), MIN(I1407, MAX(0, I1407 + SUM(SUMIFS($I$1:I1406, $C$1:C1406, C1407, $B$1:B1406, {"MAL ALIMI","ÜRETİM GİRİŞ"})) - VLOOKUP(C1407, 'STOK RAPORU'!$C$2:$I$1000, 4, 0))), 0)</f>
        <v>0</v>
      </c>
      <c r="U1407" s="22">
        <f t="shared" si="84"/>
        <v>0</v>
      </c>
      <c r="V1407">
        <f t="shared" si="85"/>
        <v>0</v>
      </c>
      <c r="W1407" s="22">
        <f t="shared" si="86"/>
        <v>0</v>
      </c>
    </row>
    <row r="1408" spans="1:23" hidden="1" x14ac:dyDescent="0.25">
      <c r="A1408" s="3">
        <v>45984</v>
      </c>
      <c r="B1408" s="4" t="s">
        <v>334</v>
      </c>
      <c r="C1408" s="4" t="s">
        <v>167</v>
      </c>
      <c r="D1408" s="4"/>
      <c r="E1408" s="4"/>
      <c r="F1408" s="4" t="s">
        <v>937</v>
      </c>
      <c r="G1408" s="4" t="s">
        <v>336</v>
      </c>
      <c r="H1408" s="4" t="s">
        <v>289</v>
      </c>
      <c r="I1408" s="4">
        <v>1</v>
      </c>
      <c r="J1408" s="21">
        <v>200</v>
      </c>
      <c r="K1408" s="21">
        <v>0</v>
      </c>
      <c r="L1408" s="5">
        <v>0</v>
      </c>
      <c r="M1408" s="4"/>
      <c r="N1408" s="4"/>
      <c r="O1408" s="5"/>
      <c r="P1408" s="5"/>
      <c r="Q1408" s="21">
        <v>200</v>
      </c>
      <c r="R1408" s="21">
        <v>0</v>
      </c>
      <c r="S1408" s="5">
        <f t="shared" si="87"/>
        <v>65800.698760152009</v>
      </c>
      <c r="T1408" cm="1">
        <f t="array" ref="T1408">IF(OR(B1408="MAL ALIMI", B1408="ÜRETİM GİRİŞ"), MIN(I1408, MAX(0, I1408 + SUM(SUMIFS($I$1:I1407, $C$1:C1407, C1408, $B$1:B1407, {"MAL ALIMI","ÜRETİM GİRİŞ"})) - VLOOKUP(C1408, 'STOK RAPORU'!$C$2:$I$1000, 4, 0))), 0)</f>
        <v>0</v>
      </c>
      <c r="U1408" s="22">
        <f t="shared" si="84"/>
        <v>0</v>
      </c>
      <c r="V1408">
        <f t="shared" si="85"/>
        <v>0</v>
      </c>
      <c r="W1408" s="22">
        <f t="shared" si="86"/>
        <v>0</v>
      </c>
    </row>
    <row r="1409" spans="1:23" hidden="1" x14ac:dyDescent="0.25">
      <c r="A1409" s="3">
        <v>45984</v>
      </c>
      <c r="B1409" s="4" t="s">
        <v>334</v>
      </c>
      <c r="C1409" s="4" t="s">
        <v>241</v>
      </c>
      <c r="D1409" s="4"/>
      <c r="E1409" s="4"/>
      <c r="F1409" s="4" t="s">
        <v>938</v>
      </c>
      <c r="G1409" s="4" t="s">
        <v>336</v>
      </c>
      <c r="H1409" s="4" t="s">
        <v>289</v>
      </c>
      <c r="I1409" s="4">
        <v>0.28000000000000003</v>
      </c>
      <c r="J1409" s="21">
        <v>360</v>
      </c>
      <c r="K1409" s="21">
        <v>0</v>
      </c>
      <c r="L1409" s="5">
        <v>0</v>
      </c>
      <c r="M1409" s="4"/>
      <c r="N1409" s="4"/>
      <c r="O1409" s="5"/>
      <c r="P1409" s="5"/>
      <c r="Q1409" s="21">
        <v>100.80000000000001</v>
      </c>
      <c r="R1409" s="21">
        <v>0</v>
      </c>
      <c r="S1409" s="5">
        <f t="shared" si="87"/>
        <v>65901.498760152012</v>
      </c>
      <c r="T1409" cm="1">
        <f t="array" ref="T1409">IF(OR(B1409="MAL ALIMI", B1409="ÜRETİM GİRİŞ"), MIN(I1409, MAX(0, I1409 + SUM(SUMIFS($I$1:I1408, $C$1:C1408, C1409, $B$1:B1408, {"MAL ALIMI","ÜRETİM GİRİŞ"})) - VLOOKUP(C1409, 'STOK RAPORU'!$C$2:$I$1000, 4, 0))), 0)</f>
        <v>0</v>
      </c>
      <c r="U1409" s="22">
        <f t="shared" si="84"/>
        <v>0</v>
      </c>
      <c r="V1409">
        <f t="shared" si="85"/>
        <v>0</v>
      </c>
      <c r="W1409" s="22">
        <f t="shared" si="86"/>
        <v>0</v>
      </c>
    </row>
    <row r="1410" spans="1:23" hidden="1" x14ac:dyDescent="0.25">
      <c r="A1410" s="3">
        <v>45984</v>
      </c>
      <c r="B1410" s="4" t="s">
        <v>946</v>
      </c>
      <c r="C1410" s="4"/>
      <c r="D1410" s="4"/>
      <c r="E1410" s="4" t="s">
        <v>921</v>
      </c>
      <c r="F1410" s="4"/>
      <c r="G1410" s="4" t="s">
        <v>946</v>
      </c>
      <c r="H1410" s="4" t="s">
        <v>380</v>
      </c>
      <c r="I1410" s="4">
        <v>1</v>
      </c>
      <c r="J1410" s="105">
        <v>580</v>
      </c>
      <c r="K1410" s="21">
        <v>0</v>
      </c>
      <c r="L1410" s="111">
        <v>580</v>
      </c>
      <c r="M1410" s="4"/>
      <c r="N1410" s="4"/>
      <c r="O1410" s="5"/>
      <c r="P1410" s="5"/>
      <c r="Q1410" s="21">
        <v>580</v>
      </c>
      <c r="R1410" s="21">
        <v>0</v>
      </c>
      <c r="S1410" s="5">
        <f t="shared" si="87"/>
        <v>66481.498760152012</v>
      </c>
      <c r="T1410" cm="1">
        <f t="array" ref="T1410">IF(OR(B1410="MAL ALIMI", B1410="ÜRETİM GİRİŞ"), MIN(I1410, MAX(0, I1410 + SUM(SUMIFS($I$1:I1409, $C$1:C1409, C1410, $B$1:B1409, {"MAL ALIMI","ÜRETİM GİRİŞ"})) - VLOOKUP(C1410, 'STOK RAPORU'!$C$2:$I$1000, 4, 0))), 0)</f>
        <v>0</v>
      </c>
      <c r="U1410" s="22">
        <f t="shared" si="84"/>
        <v>0</v>
      </c>
      <c r="V1410">
        <f t="shared" si="85"/>
        <v>0</v>
      </c>
      <c r="W1410" s="22">
        <f t="shared" si="86"/>
        <v>0</v>
      </c>
    </row>
    <row r="1411" spans="1:23" hidden="1" x14ac:dyDescent="0.25">
      <c r="A1411" s="3">
        <v>45984</v>
      </c>
      <c r="B1411" s="4" t="s">
        <v>946</v>
      </c>
      <c r="C1411" s="4"/>
      <c r="D1411" s="4"/>
      <c r="E1411" s="4" t="s">
        <v>921</v>
      </c>
      <c r="F1411" s="4"/>
      <c r="G1411" s="4" t="s">
        <v>946</v>
      </c>
      <c r="H1411" s="4" t="s">
        <v>380</v>
      </c>
      <c r="I1411" s="4">
        <v>1</v>
      </c>
      <c r="J1411" s="109">
        <v>400</v>
      </c>
      <c r="K1411" s="35">
        <v>0</v>
      </c>
      <c r="L1411" s="102">
        <v>400</v>
      </c>
      <c r="M1411" s="4"/>
      <c r="N1411" s="4"/>
      <c r="O1411" s="5"/>
      <c r="P1411" s="5"/>
      <c r="Q1411" s="35">
        <v>400</v>
      </c>
      <c r="R1411" s="35">
        <v>0</v>
      </c>
      <c r="S1411" s="5">
        <f t="shared" si="87"/>
        <v>66881.498760152012</v>
      </c>
      <c r="T1411" cm="1">
        <f t="array" ref="T1411">IF(OR(B1411="MAL ALIMI", B1411="ÜRETİM GİRİŞ"), MIN(I1411, MAX(0, I1411 + SUM(SUMIFS($I$1:I1410, $C$1:C1410, C1411, $B$1:B1410, {"MAL ALIMI","ÜRETİM GİRİŞ"})) - VLOOKUP(C1411, 'STOK RAPORU'!$C$2:$I$1000, 4, 0))), 0)</f>
        <v>0</v>
      </c>
      <c r="U1411" s="22">
        <f t="shared" ref="U1411:U1474" si="88">T1411*J1411</f>
        <v>0</v>
      </c>
      <c r="V1411">
        <f t="shared" ref="V1411:V1474" si="89">IF(OR(B1411="MAL ALIMI", B1411="ÜRETİM GİRİŞ"), I1411 * J1411, 0)</f>
        <v>0</v>
      </c>
      <c r="W1411" s="22">
        <f t="shared" ref="W1411:W1474" si="90">V1411-U1411</f>
        <v>0</v>
      </c>
    </row>
    <row r="1412" spans="1:23" hidden="1" x14ac:dyDescent="0.25">
      <c r="A1412" s="3">
        <v>45985</v>
      </c>
      <c r="B1412" s="4" t="s">
        <v>285</v>
      </c>
      <c r="C1412" s="4"/>
      <c r="D1412" s="4" t="s">
        <v>112</v>
      </c>
      <c r="E1412" s="4" t="s">
        <v>856</v>
      </c>
      <c r="F1412" s="4" t="s">
        <v>1340</v>
      </c>
      <c r="G1412" s="4" t="s">
        <v>1337</v>
      </c>
      <c r="H1412" s="4" t="s">
        <v>1329</v>
      </c>
      <c r="I1412" s="4">
        <v>1</v>
      </c>
      <c r="J1412" s="35">
        <v>3138</v>
      </c>
      <c r="K1412" s="35">
        <v>0</v>
      </c>
      <c r="L1412" s="5">
        <v>3138</v>
      </c>
      <c r="M1412" s="4"/>
      <c r="N1412" s="4"/>
      <c r="O1412" s="5"/>
      <c r="P1412" s="5"/>
      <c r="Q1412" s="35">
        <v>0</v>
      </c>
      <c r="R1412" s="35">
        <v>0</v>
      </c>
      <c r="S1412" s="5">
        <f t="shared" ref="S1412:S1475" si="91">S1411+Q1412-R1412</f>
        <v>66881.498760152012</v>
      </c>
      <c r="T1412" cm="1">
        <f t="array" ref="T1412">IF(OR(B1412="MAL ALIMI", B1412="ÜRETİM GİRİŞ"), MIN(I1412, MAX(0, I1412 + SUM(SUMIFS($I$1:I1411, $C$1:C1411, C1412, $B$1:B1411, {"MAL ALIMI","ÜRETİM GİRİŞ"})) - VLOOKUP(C1412, 'STOK RAPORU'!$C$2:$I$1000, 4, 0))), 0)</f>
        <v>0</v>
      </c>
      <c r="U1412" s="22">
        <f t="shared" si="88"/>
        <v>0</v>
      </c>
      <c r="V1412">
        <f t="shared" si="89"/>
        <v>0</v>
      </c>
      <c r="W1412" s="22">
        <f t="shared" si="90"/>
        <v>0</v>
      </c>
    </row>
    <row r="1413" spans="1:23" x14ac:dyDescent="0.25">
      <c r="A1413" s="3">
        <v>45985</v>
      </c>
      <c r="B1413" s="4" t="s">
        <v>659</v>
      </c>
      <c r="C1413" s="4" t="s">
        <v>195</v>
      </c>
      <c r="D1413" s="4"/>
      <c r="E1413" s="4" t="s">
        <v>350</v>
      </c>
      <c r="F1413" s="4" t="s">
        <v>978</v>
      </c>
      <c r="G1413" s="4" t="s">
        <v>350</v>
      </c>
      <c r="H1413" s="4" t="s">
        <v>304</v>
      </c>
      <c r="I1413" s="4">
        <v>1</v>
      </c>
      <c r="J1413" s="21">
        <v>295</v>
      </c>
      <c r="K1413" s="21">
        <v>295</v>
      </c>
      <c r="L1413" s="5">
        <v>0</v>
      </c>
      <c r="M1413" s="4"/>
      <c r="N1413" s="4"/>
      <c r="O1413" s="5"/>
      <c r="P1413" s="5"/>
      <c r="Q1413" s="21">
        <v>0</v>
      </c>
      <c r="R1413" s="21">
        <v>0</v>
      </c>
      <c r="S1413" s="5">
        <f t="shared" si="91"/>
        <v>66881.498760152012</v>
      </c>
      <c r="T1413" cm="1">
        <f t="array" ref="T1413">IF(OR(B1413="MAL ALIMI", B1413="ÜRETİM GİRİŞ"), MIN(I1413, MAX(0, I1413 + SUM(SUMIFS($I$1:I1412, $C$1:C1412, C1413, $B$1:B1412, {"MAL ALIMI","ÜRETİM GİRİŞ"})) - VLOOKUP(C1413, 'STOK RAPORU'!$C$2:$I$1000, 4, 0))), 0)</f>
        <v>0</v>
      </c>
      <c r="U1413" s="22">
        <f t="shared" si="88"/>
        <v>0</v>
      </c>
      <c r="V1413">
        <f t="shared" si="89"/>
        <v>0</v>
      </c>
      <c r="W1413" s="22">
        <f t="shared" si="90"/>
        <v>0</v>
      </c>
    </row>
    <row r="1414" spans="1:23" x14ac:dyDescent="0.25">
      <c r="A1414" s="3">
        <v>45985</v>
      </c>
      <c r="B1414" s="4" t="s">
        <v>659</v>
      </c>
      <c r="C1414" s="4" t="s">
        <v>258</v>
      </c>
      <c r="D1414" s="4"/>
      <c r="E1414" s="4" t="s">
        <v>350</v>
      </c>
      <c r="F1414" s="4" t="s">
        <v>978</v>
      </c>
      <c r="G1414" s="4" t="s">
        <v>350</v>
      </c>
      <c r="H1414" s="4" t="s">
        <v>304</v>
      </c>
      <c r="I1414" s="4">
        <v>3.37</v>
      </c>
      <c r="J1414" s="21">
        <v>470</v>
      </c>
      <c r="K1414" s="21">
        <v>1583.4</v>
      </c>
      <c r="L1414" s="5">
        <v>0</v>
      </c>
      <c r="M1414" s="4"/>
      <c r="N1414" s="4"/>
      <c r="O1414" s="5"/>
      <c r="P1414" s="5"/>
      <c r="Q1414" s="21">
        <v>0</v>
      </c>
      <c r="R1414" s="21">
        <v>0</v>
      </c>
      <c r="S1414" s="5">
        <f t="shared" si="91"/>
        <v>66881.498760152012</v>
      </c>
      <c r="T1414" cm="1">
        <f t="array" ref="T1414">IF(OR(B1414="MAL ALIMI", B1414="ÜRETİM GİRİŞ"), MIN(I1414, MAX(0, I1414 + SUM(SUMIFS($I$1:I1413, $C$1:C1413, C1414, $B$1:B1413, {"MAL ALIMI","ÜRETİM GİRİŞ"})) - VLOOKUP(C1414, 'STOK RAPORU'!$C$2:$I$1000, 4, 0))), 0)</f>
        <v>0</v>
      </c>
      <c r="U1414" s="22">
        <f t="shared" si="88"/>
        <v>0</v>
      </c>
      <c r="V1414">
        <f t="shared" si="89"/>
        <v>0</v>
      </c>
      <c r="W1414" s="22">
        <f t="shared" si="90"/>
        <v>0</v>
      </c>
    </row>
    <row r="1415" spans="1:23" hidden="1" x14ac:dyDescent="0.25">
      <c r="A1415" s="3">
        <v>45985</v>
      </c>
      <c r="B1415" s="4" t="s">
        <v>298</v>
      </c>
      <c r="C1415" s="4" t="s">
        <v>975</v>
      </c>
      <c r="D1415" s="4"/>
      <c r="E1415" s="4" t="s">
        <v>350</v>
      </c>
      <c r="F1415" s="4" t="s">
        <v>978</v>
      </c>
      <c r="G1415" s="4" t="s">
        <v>350</v>
      </c>
      <c r="H1415" s="4" t="s">
        <v>304</v>
      </c>
      <c r="I1415" s="4">
        <v>2</v>
      </c>
      <c r="J1415" s="21">
        <v>95</v>
      </c>
      <c r="K1415" s="21">
        <v>0</v>
      </c>
      <c r="L1415" s="5">
        <v>190</v>
      </c>
      <c r="M1415" s="4"/>
      <c r="N1415" s="4"/>
      <c r="O1415" s="5"/>
      <c r="P1415" s="5"/>
      <c r="Q1415" s="21">
        <v>0</v>
      </c>
      <c r="R1415" s="21">
        <v>0</v>
      </c>
      <c r="S1415" s="5">
        <f t="shared" si="91"/>
        <v>66881.498760152012</v>
      </c>
      <c r="T1415" cm="1">
        <f t="array" ref="T1415">IF(OR(B1415="MAL ALIMI", B1415="ÜRETİM GİRİŞ"), MIN(I1415, MAX(0, I1415 + SUM(SUMIFS($I$1:I1414, $C$1:C1414, C1415, $B$1:B1414, {"MAL ALIMI","ÜRETİM GİRİŞ"})) - VLOOKUP(C1415, 'STOK RAPORU'!$C$2:$I$1000, 4, 0))), 0)</f>
        <v>0</v>
      </c>
      <c r="U1415" s="22">
        <f t="shared" si="88"/>
        <v>0</v>
      </c>
      <c r="V1415">
        <f t="shared" si="89"/>
        <v>190</v>
      </c>
      <c r="W1415" s="22">
        <f t="shared" si="90"/>
        <v>190</v>
      </c>
    </row>
    <row r="1416" spans="1:23" hidden="1" x14ac:dyDescent="0.25">
      <c r="A1416" s="3">
        <v>45985</v>
      </c>
      <c r="B1416" s="4" t="s">
        <v>298</v>
      </c>
      <c r="C1416" s="4" t="s">
        <v>215</v>
      </c>
      <c r="D1416" s="4"/>
      <c r="E1416" s="4" t="s">
        <v>350</v>
      </c>
      <c r="F1416" s="4" t="s">
        <v>978</v>
      </c>
      <c r="G1416" s="4" t="s">
        <v>350</v>
      </c>
      <c r="H1416" s="4" t="s">
        <v>304</v>
      </c>
      <c r="I1416" s="4">
        <v>10</v>
      </c>
      <c r="J1416" s="21">
        <v>125</v>
      </c>
      <c r="K1416" s="21">
        <v>0</v>
      </c>
      <c r="L1416" s="5">
        <v>1250</v>
      </c>
      <c r="M1416" s="4"/>
      <c r="N1416" s="4"/>
      <c r="O1416" s="5"/>
      <c r="P1416" s="5"/>
      <c r="Q1416" s="21">
        <v>0</v>
      </c>
      <c r="R1416" s="21">
        <v>0</v>
      </c>
      <c r="S1416" s="5">
        <f t="shared" si="91"/>
        <v>66881.498760152012</v>
      </c>
      <c r="T1416" cm="1">
        <f t="array" ref="T1416">IF(OR(B1416="MAL ALIMI", B1416="ÜRETİM GİRİŞ"), MIN(I1416, MAX(0, I1416 + SUM(SUMIFS($I$1:I1415, $C$1:C1415, C1416, $B$1:B1415, {"MAL ALIMI","ÜRETİM GİRİŞ"})) - VLOOKUP(C1416, 'STOK RAPORU'!$C$2:$I$1000, 4, 0))), 0)</f>
        <v>8</v>
      </c>
      <c r="U1416" s="22">
        <f t="shared" si="88"/>
        <v>1000</v>
      </c>
      <c r="V1416">
        <f t="shared" si="89"/>
        <v>1250</v>
      </c>
      <c r="W1416" s="22">
        <f t="shared" si="90"/>
        <v>250</v>
      </c>
    </row>
    <row r="1417" spans="1:23" hidden="1" x14ac:dyDescent="0.25">
      <c r="A1417" s="3">
        <v>45985</v>
      </c>
      <c r="B1417" s="4" t="s">
        <v>298</v>
      </c>
      <c r="C1417" s="4" t="s">
        <v>692</v>
      </c>
      <c r="D1417" s="4"/>
      <c r="E1417" s="4" t="s">
        <v>350</v>
      </c>
      <c r="F1417" s="4" t="s">
        <v>978</v>
      </c>
      <c r="G1417" s="4" t="s">
        <v>350</v>
      </c>
      <c r="H1417" s="4" t="s">
        <v>304</v>
      </c>
      <c r="I1417" s="4">
        <v>10</v>
      </c>
      <c r="J1417" s="21">
        <v>33</v>
      </c>
      <c r="K1417" s="21">
        <v>0</v>
      </c>
      <c r="L1417" s="5">
        <v>330</v>
      </c>
      <c r="M1417" s="4"/>
      <c r="N1417" s="4"/>
      <c r="O1417" s="5"/>
      <c r="P1417" s="5"/>
      <c r="Q1417" s="21">
        <v>0</v>
      </c>
      <c r="R1417" s="21">
        <v>0</v>
      </c>
      <c r="S1417" s="5">
        <f t="shared" si="91"/>
        <v>66881.498760152012</v>
      </c>
      <c r="T1417" cm="1">
        <f t="array" ref="T1417">IF(OR(B1417="MAL ALIMI", B1417="ÜRETİM GİRİŞ"), MIN(I1417, MAX(0, I1417 + SUM(SUMIFS($I$1:I1416, $C$1:C1416, C1417, $B$1:B1416, {"MAL ALIMI","ÜRETİM GİRİŞ"})) - VLOOKUP(C1417, 'STOK RAPORU'!$C$2:$I$1000, 4, 0))), 0)</f>
        <v>0</v>
      </c>
      <c r="U1417" s="22">
        <f t="shared" si="88"/>
        <v>0</v>
      </c>
      <c r="V1417">
        <f t="shared" si="89"/>
        <v>330</v>
      </c>
      <c r="W1417" s="22">
        <f t="shared" si="90"/>
        <v>330</v>
      </c>
    </row>
    <row r="1418" spans="1:23" hidden="1" x14ac:dyDescent="0.25">
      <c r="A1418" s="3">
        <v>45985</v>
      </c>
      <c r="B1418" s="4" t="s">
        <v>298</v>
      </c>
      <c r="C1418" s="4" t="s">
        <v>265</v>
      </c>
      <c r="D1418" s="4"/>
      <c r="E1418" s="4" t="s">
        <v>350</v>
      </c>
      <c r="F1418" s="4" t="s">
        <v>978</v>
      </c>
      <c r="G1418" s="4" t="s">
        <v>350</v>
      </c>
      <c r="H1418" s="4" t="s">
        <v>304</v>
      </c>
      <c r="I1418" s="4">
        <v>20</v>
      </c>
      <c r="J1418" s="21">
        <v>48</v>
      </c>
      <c r="K1418" s="21">
        <v>0</v>
      </c>
      <c r="L1418" s="5">
        <v>960</v>
      </c>
      <c r="M1418" s="4"/>
      <c r="N1418" s="4"/>
      <c r="O1418" s="5"/>
      <c r="P1418" s="5"/>
      <c r="Q1418" s="21">
        <v>0</v>
      </c>
      <c r="R1418" s="21">
        <v>0</v>
      </c>
      <c r="S1418" s="5">
        <f t="shared" si="91"/>
        <v>66881.498760152012</v>
      </c>
      <c r="T1418" cm="1">
        <f t="array" ref="T1418">IF(OR(B1418="MAL ALIMI", B1418="ÜRETİM GİRİŞ"), MIN(I1418, MAX(0, I1418 + SUM(SUMIFS($I$1:I1417, $C$1:C1417, C1418, $B$1:B1417, {"MAL ALIMI","ÜRETİM GİRİŞ"})) - VLOOKUP(C1418, 'STOK RAPORU'!$C$2:$I$1000, 4, 0))), 0)</f>
        <v>8</v>
      </c>
      <c r="U1418" s="22">
        <f t="shared" si="88"/>
        <v>384</v>
      </c>
      <c r="V1418">
        <f t="shared" si="89"/>
        <v>960</v>
      </c>
      <c r="W1418" s="22">
        <f t="shared" si="90"/>
        <v>576</v>
      </c>
    </row>
    <row r="1419" spans="1:23" hidden="1" x14ac:dyDescent="0.25">
      <c r="A1419" s="3">
        <v>45985</v>
      </c>
      <c r="B1419" s="4" t="s">
        <v>298</v>
      </c>
      <c r="C1419" s="4" t="s">
        <v>976</v>
      </c>
      <c r="D1419" s="4"/>
      <c r="E1419" s="4" t="s">
        <v>350</v>
      </c>
      <c r="F1419" s="4" t="s">
        <v>978</v>
      </c>
      <c r="G1419" s="4" t="s">
        <v>350</v>
      </c>
      <c r="H1419" s="4" t="s">
        <v>304</v>
      </c>
      <c r="I1419" s="4">
        <v>6</v>
      </c>
      <c r="J1419" s="21">
        <v>275</v>
      </c>
      <c r="K1419" s="21">
        <v>0</v>
      </c>
      <c r="L1419" s="5">
        <v>1650</v>
      </c>
      <c r="M1419" s="4"/>
      <c r="N1419" s="4"/>
      <c r="O1419" s="5"/>
      <c r="P1419" s="5"/>
      <c r="Q1419" s="21">
        <v>0</v>
      </c>
      <c r="R1419" s="21">
        <v>0</v>
      </c>
      <c r="S1419" s="5">
        <f t="shared" si="91"/>
        <v>66881.498760152012</v>
      </c>
      <c r="T1419" cm="1">
        <f t="array" ref="T1419">IF(OR(B1419="MAL ALIMI", B1419="ÜRETİM GİRİŞ"), MIN(I1419, MAX(0, I1419 + SUM(SUMIFS($I$1:I1418, $C$1:C1418, C1419, $B$1:B1418, {"MAL ALIMI","ÜRETİM GİRİŞ"})) - VLOOKUP(C1419, 'STOK RAPORU'!$C$2:$I$1000, 4, 0))), 0)</f>
        <v>1</v>
      </c>
      <c r="U1419" s="22">
        <f t="shared" si="88"/>
        <v>275</v>
      </c>
      <c r="V1419">
        <f t="shared" si="89"/>
        <v>1650</v>
      </c>
      <c r="W1419" s="22">
        <f t="shared" si="90"/>
        <v>1375</v>
      </c>
    </row>
    <row r="1420" spans="1:23" hidden="1" x14ac:dyDescent="0.25">
      <c r="A1420" s="3">
        <v>45985</v>
      </c>
      <c r="B1420" s="4" t="s">
        <v>298</v>
      </c>
      <c r="C1420" s="4" t="s">
        <v>977</v>
      </c>
      <c r="D1420" s="4"/>
      <c r="E1420" s="4" t="s">
        <v>350</v>
      </c>
      <c r="F1420" s="4" t="s">
        <v>978</v>
      </c>
      <c r="G1420" s="4" t="s">
        <v>350</v>
      </c>
      <c r="H1420" s="4" t="s">
        <v>304</v>
      </c>
      <c r="I1420" s="4">
        <v>1</v>
      </c>
      <c r="J1420" s="21">
        <v>160</v>
      </c>
      <c r="K1420" s="21">
        <v>0</v>
      </c>
      <c r="L1420" s="5">
        <v>160</v>
      </c>
      <c r="M1420" s="4"/>
      <c r="N1420" s="4"/>
      <c r="O1420" s="5"/>
      <c r="P1420" s="5"/>
      <c r="Q1420" s="21">
        <v>0</v>
      </c>
      <c r="R1420" s="21">
        <v>0</v>
      </c>
      <c r="S1420" s="5">
        <f t="shared" si="91"/>
        <v>66881.498760152012</v>
      </c>
      <c r="T1420" cm="1">
        <f t="array" ref="T1420">IF(OR(B1420="MAL ALIMI", B1420="ÜRETİM GİRİŞ"), MIN(I1420, MAX(0, I1420 + SUM(SUMIFS($I$1:I1419, $C$1:C1419, C1420, $B$1:B1419, {"MAL ALIMI","ÜRETİM GİRİŞ"})) - VLOOKUP(C1420, 'STOK RAPORU'!$C$2:$I$1000, 4, 0))), 0)</f>
        <v>0</v>
      </c>
      <c r="U1420" s="22">
        <f t="shared" si="88"/>
        <v>0</v>
      </c>
      <c r="V1420">
        <f t="shared" si="89"/>
        <v>160</v>
      </c>
      <c r="W1420" s="22">
        <f t="shared" si="90"/>
        <v>160</v>
      </c>
    </row>
    <row r="1421" spans="1:23" hidden="1" x14ac:dyDescent="0.25">
      <c r="A1421" s="3">
        <v>45985</v>
      </c>
      <c r="B1421" s="4" t="s">
        <v>298</v>
      </c>
      <c r="C1421" s="4" t="s">
        <v>695</v>
      </c>
      <c r="D1421" s="4"/>
      <c r="E1421" s="4" t="s">
        <v>350</v>
      </c>
      <c r="F1421" s="4" t="s">
        <v>978</v>
      </c>
      <c r="G1421" s="4" t="s">
        <v>350</v>
      </c>
      <c r="H1421" s="4" t="s">
        <v>304</v>
      </c>
      <c r="I1421" s="4">
        <v>10</v>
      </c>
      <c r="J1421" s="21">
        <v>63</v>
      </c>
      <c r="K1421" s="21">
        <v>0</v>
      </c>
      <c r="L1421" s="5">
        <v>630</v>
      </c>
      <c r="M1421" s="4"/>
      <c r="N1421" s="4"/>
      <c r="O1421" s="5"/>
      <c r="P1421" s="5"/>
      <c r="Q1421" s="21">
        <v>0</v>
      </c>
      <c r="R1421" s="21">
        <v>0</v>
      </c>
      <c r="S1421" s="5">
        <f t="shared" si="91"/>
        <v>66881.498760152012</v>
      </c>
      <c r="T1421" cm="1">
        <f t="array" ref="T1421">IF(OR(B1421="MAL ALIMI", B1421="ÜRETİM GİRİŞ"), MIN(I1421, MAX(0, I1421 + SUM(SUMIFS($I$1:I1420, $C$1:C1420, C1421, $B$1:B1420, {"MAL ALIMI","ÜRETİM GİRİŞ"})) - VLOOKUP(C1421, 'STOK RAPORU'!$C$2:$I$1000, 4, 0))), 0)</f>
        <v>0</v>
      </c>
      <c r="U1421" s="22">
        <f t="shared" si="88"/>
        <v>0</v>
      </c>
      <c r="V1421">
        <f t="shared" si="89"/>
        <v>630</v>
      </c>
      <c r="W1421" s="22">
        <f t="shared" si="90"/>
        <v>630</v>
      </c>
    </row>
    <row r="1422" spans="1:23" hidden="1" x14ac:dyDescent="0.25">
      <c r="A1422" s="3">
        <v>45985</v>
      </c>
      <c r="B1422" s="4" t="s">
        <v>334</v>
      </c>
      <c r="C1422" s="4" t="s">
        <v>161</v>
      </c>
      <c r="D1422" s="4"/>
      <c r="E1422" s="4" t="s">
        <v>921</v>
      </c>
      <c r="F1422" s="4" t="s">
        <v>939</v>
      </c>
      <c r="G1422" s="4" t="s">
        <v>336</v>
      </c>
      <c r="H1422" s="4" t="s">
        <v>380</v>
      </c>
      <c r="I1422" s="4">
        <v>1</v>
      </c>
      <c r="J1422" s="21">
        <v>200</v>
      </c>
      <c r="K1422" s="21">
        <v>200</v>
      </c>
      <c r="L1422" s="5">
        <v>0</v>
      </c>
      <c r="M1422" s="4"/>
      <c r="N1422" s="4"/>
      <c r="O1422" s="5"/>
      <c r="P1422" s="5"/>
      <c r="Q1422" s="21">
        <v>0</v>
      </c>
      <c r="R1422" s="21">
        <v>0</v>
      </c>
      <c r="S1422" s="5">
        <f t="shared" si="91"/>
        <v>66881.498760152012</v>
      </c>
      <c r="T1422" cm="1">
        <f t="array" ref="T1422">IF(OR(B1422="MAL ALIMI", B1422="ÜRETİM GİRİŞ"), MIN(I1422, MAX(0, I1422 + SUM(SUMIFS($I$1:I1421, $C$1:C1421, C1422, $B$1:B1421, {"MAL ALIMI","ÜRETİM GİRİŞ"})) - VLOOKUP(C1422, 'STOK RAPORU'!$C$2:$I$1000, 4, 0))), 0)</f>
        <v>0</v>
      </c>
      <c r="U1422" s="22">
        <f t="shared" si="88"/>
        <v>0</v>
      </c>
      <c r="V1422">
        <f t="shared" si="89"/>
        <v>0</v>
      </c>
      <c r="W1422" s="22">
        <f t="shared" si="90"/>
        <v>0</v>
      </c>
    </row>
    <row r="1423" spans="1:23" hidden="1" x14ac:dyDescent="0.25">
      <c r="A1423" s="3">
        <v>45985</v>
      </c>
      <c r="B1423" s="4" t="s">
        <v>334</v>
      </c>
      <c r="C1423" s="4" t="s">
        <v>160</v>
      </c>
      <c r="D1423" s="4"/>
      <c r="E1423" s="4" t="s">
        <v>921</v>
      </c>
      <c r="F1423" s="4" t="s">
        <v>939</v>
      </c>
      <c r="G1423" s="4" t="s">
        <v>336</v>
      </c>
      <c r="H1423" s="4" t="s">
        <v>380</v>
      </c>
      <c r="I1423" s="4">
        <v>1</v>
      </c>
      <c r="J1423" s="21">
        <v>240</v>
      </c>
      <c r="K1423" s="21">
        <v>240</v>
      </c>
      <c r="L1423" s="5">
        <v>0</v>
      </c>
      <c r="M1423" s="4"/>
      <c r="N1423" s="4"/>
      <c r="O1423" s="5"/>
      <c r="P1423" s="5"/>
      <c r="Q1423" s="21">
        <v>0</v>
      </c>
      <c r="R1423" s="21">
        <v>0</v>
      </c>
      <c r="S1423" s="5">
        <f t="shared" si="91"/>
        <v>66881.498760152012</v>
      </c>
      <c r="T1423" cm="1">
        <f t="array" ref="T1423">IF(OR(B1423="MAL ALIMI", B1423="ÜRETİM GİRİŞ"), MIN(I1423, MAX(0, I1423 + SUM(SUMIFS($I$1:I1422, $C$1:C1422, C1423, $B$1:B1422, {"MAL ALIMI","ÜRETİM GİRİŞ"})) - VLOOKUP(C1423, 'STOK RAPORU'!$C$2:$I$1000, 4, 0))), 0)</f>
        <v>0</v>
      </c>
      <c r="U1423" s="22">
        <f t="shared" si="88"/>
        <v>0</v>
      </c>
      <c r="V1423">
        <f t="shared" si="89"/>
        <v>0</v>
      </c>
      <c r="W1423" s="22">
        <f t="shared" si="90"/>
        <v>0</v>
      </c>
    </row>
    <row r="1424" spans="1:23" hidden="1" x14ac:dyDescent="0.25">
      <c r="A1424" s="3">
        <v>45985</v>
      </c>
      <c r="B1424" s="4" t="s">
        <v>334</v>
      </c>
      <c r="C1424" s="4" t="s">
        <v>238</v>
      </c>
      <c r="D1424" s="4"/>
      <c r="E1424" s="4"/>
      <c r="F1424" s="4" t="s">
        <v>940</v>
      </c>
      <c r="G1424" s="4" t="s">
        <v>336</v>
      </c>
      <c r="H1424" s="4" t="s">
        <v>289</v>
      </c>
      <c r="I1424" s="4">
        <v>0.1</v>
      </c>
      <c r="J1424" s="21">
        <v>1350</v>
      </c>
      <c r="K1424" s="21">
        <v>0</v>
      </c>
      <c r="L1424" s="5">
        <v>0</v>
      </c>
      <c r="M1424" s="4"/>
      <c r="N1424" s="4"/>
      <c r="O1424" s="5"/>
      <c r="P1424" s="5"/>
      <c r="Q1424" s="21">
        <v>135</v>
      </c>
      <c r="R1424" s="21">
        <v>0</v>
      </c>
      <c r="S1424" s="5">
        <f t="shared" si="91"/>
        <v>67016.498760152012</v>
      </c>
      <c r="T1424" cm="1">
        <f t="array" ref="T1424">IF(OR(B1424="MAL ALIMI", B1424="ÜRETİM GİRİŞ"), MIN(I1424, MAX(0, I1424 + SUM(SUMIFS($I$1:I1423, $C$1:C1423, C1424, $B$1:B1423, {"MAL ALIMI","ÜRETİM GİRİŞ"})) - VLOOKUP(C1424, 'STOK RAPORU'!$C$2:$I$1000, 4, 0))), 0)</f>
        <v>0</v>
      </c>
      <c r="U1424" s="22">
        <f t="shared" si="88"/>
        <v>0</v>
      </c>
      <c r="V1424">
        <f t="shared" si="89"/>
        <v>0</v>
      </c>
      <c r="W1424" s="22">
        <f t="shared" si="90"/>
        <v>0</v>
      </c>
    </row>
    <row r="1425" spans="1:23" hidden="1" x14ac:dyDescent="0.25">
      <c r="A1425" s="3">
        <v>45985</v>
      </c>
      <c r="B1425" s="4" t="s">
        <v>334</v>
      </c>
      <c r="C1425" s="4" t="s">
        <v>690</v>
      </c>
      <c r="D1425" s="4"/>
      <c r="E1425" s="4"/>
      <c r="F1425" s="4" t="s">
        <v>940</v>
      </c>
      <c r="G1425" s="4" t="s">
        <v>336</v>
      </c>
      <c r="H1425" s="4" t="s">
        <v>289</v>
      </c>
      <c r="I1425" s="4">
        <v>0.40600000000000003</v>
      </c>
      <c r="J1425" s="21">
        <v>340</v>
      </c>
      <c r="K1425" s="21">
        <v>0</v>
      </c>
      <c r="L1425" s="5">
        <v>0</v>
      </c>
      <c r="M1425" s="4"/>
      <c r="N1425" s="4"/>
      <c r="O1425" s="5"/>
      <c r="P1425" s="5"/>
      <c r="Q1425" s="21">
        <v>138.04000000000002</v>
      </c>
      <c r="R1425" s="21">
        <v>0</v>
      </c>
      <c r="S1425" s="5">
        <f t="shared" si="91"/>
        <v>67154.538760152005</v>
      </c>
      <c r="T1425" cm="1">
        <f t="array" ref="T1425">IF(OR(B1425="MAL ALIMI", B1425="ÜRETİM GİRİŞ"), MIN(I1425, MAX(0, I1425 + SUM(SUMIFS($I$1:I1424, $C$1:C1424, C1425, $B$1:B1424, {"MAL ALIMI","ÜRETİM GİRİŞ"})) - VLOOKUP(C1425, 'STOK RAPORU'!$C$2:$I$1000, 4, 0))), 0)</f>
        <v>0</v>
      </c>
      <c r="U1425" s="22">
        <f t="shared" si="88"/>
        <v>0</v>
      </c>
      <c r="V1425">
        <f t="shared" si="89"/>
        <v>0</v>
      </c>
      <c r="W1425" s="22">
        <f t="shared" si="90"/>
        <v>0</v>
      </c>
    </row>
    <row r="1426" spans="1:23" hidden="1" x14ac:dyDescent="0.25">
      <c r="A1426" s="3">
        <v>45985</v>
      </c>
      <c r="B1426" s="4" t="s">
        <v>334</v>
      </c>
      <c r="C1426" s="4" t="s">
        <v>721</v>
      </c>
      <c r="D1426" s="4"/>
      <c r="E1426" s="4"/>
      <c r="F1426" s="4" t="s">
        <v>940</v>
      </c>
      <c r="G1426" s="4" t="s">
        <v>336</v>
      </c>
      <c r="H1426" s="4" t="s">
        <v>289</v>
      </c>
      <c r="I1426" s="4">
        <v>1</v>
      </c>
      <c r="J1426" s="21">
        <v>220</v>
      </c>
      <c r="K1426" s="21">
        <v>0</v>
      </c>
      <c r="L1426" s="5">
        <v>0</v>
      </c>
      <c r="M1426" s="4"/>
      <c r="N1426" s="4"/>
      <c r="O1426" s="5"/>
      <c r="P1426" s="5"/>
      <c r="Q1426" s="21">
        <v>220</v>
      </c>
      <c r="R1426" s="21">
        <v>0</v>
      </c>
      <c r="S1426" s="5">
        <f t="shared" si="91"/>
        <v>67374.538760152005</v>
      </c>
      <c r="T1426" cm="1">
        <f t="array" ref="T1426">IF(OR(B1426="MAL ALIMI", B1426="ÜRETİM GİRİŞ"), MIN(I1426, MAX(0, I1426 + SUM(SUMIFS($I$1:I1425, $C$1:C1425, C1426, $B$1:B1425, {"MAL ALIMI","ÜRETİM GİRİŞ"})) - VLOOKUP(C1426, 'STOK RAPORU'!$C$2:$I$1000, 4, 0))), 0)</f>
        <v>0</v>
      </c>
      <c r="U1426" s="22">
        <f t="shared" si="88"/>
        <v>0</v>
      </c>
      <c r="V1426">
        <f t="shared" si="89"/>
        <v>0</v>
      </c>
      <c r="W1426" s="22">
        <f t="shared" si="90"/>
        <v>0</v>
      </c>
    </row>
    <row r="1427" spans="1:23" hidden="1" x14ac:dyDescent="0.25">
      <c r="A1427" s="3">
        <v>45985</v>
      </c>
      <c r="B1427" s="4" t="s">
        <v>334</v>
      </c>
      <c r="C1427" s="4" t="s">
        <v>160</v>
      </c>
      <c r="D1427" s="4"/>
      <c r="E1427" s="4" t="s">
        <v>921</v>
      </c>
      <c r="F1427" s="4" t="s">
        <v>941</v>
      </c>
      <c r="G1427" s="4" t="s">
        <v>336</v>
      </c>
      <c r="H1427" s="4" t="s">
        <v>380</v>
      </c>
      <c r="I1427" s="4">
        <v>1</v>
      </c>
      <c r="J1427" s="21">
        <v>240</v>
      </c>
      <c r="K1427" s="21">
        <v>240</v>
      </c>
      <c r="L1427" s="5">
        <v>0</v>
      </c>
      <c r="M1427" s="4"/>
      <c r="N1427" s="4"/>
      <c r="O1427" s="5"/>
      <c r="P1427" s="5"/>
      <c r="Q1427" s="21">
        <v>0</v>
      </c>
      <c r="R1427" s="21">
        <v>0</v>
      </c>
      <c r="S1427" s="5">
        <f t="shared" si="91"/>
        <v>67374.538760152005</v>
      </c>
      <c r="T1427" cm="1">
        <f t="array" ref="T1427">IF(OR(B1427="MAL ALIMI", B1427="ÜRETİM GİRİŞ"), MIN(I1427, MAX(0, I1427 + SUM(SUMIFS($I$1:I1426, $C$1:C1426, C1427, $B$1:B1426, {"MAL ALIMI","ÜRETİM GİRİŞ"})) - VLOOKUP(C1427, 'STOK RAPORU'!$C$2:$I$1000, 4, 0))), 0)</f>
        <v>0</v>
      </c>
      <c r="U1427" s="22">
        <f t="shared" si="88"/>
        <v>0</v>
      </c>
      <c r="V1427">
        <f t="shared" si="89"/>
        <v>0</v>
      </c>
      <c r="W1427" s="22">
        <f t="shared" si="90"/>
        <v>0</v>
      </c>
    </row>
    <row r="1428" spans="1:23" hidden="1" x14ac:dyDescent="0.25">
      <c r="A1428" s="3">
        <v>45985</v>
      </c>
      <c r="B1428" s="4" t="s">
        <v>334</v>
      </c>
      <c r="C1428" s="4" t="s">
        <v>223</v>
      </c>
      <c r="D1428" s="4"/>
      <c r="E1428" s="4" t="s">
        <v>921</v>
      </c>
      <c r="F1428" s="4" t="s">
        <v>942</v>
      </c>
      <c r="G1428" s="4" t="s">
        <v>336</v>
      </c>
      <c r="H1428" s="4" t="s">
        <v>380</v>
      </c>
      <c r="I1428" s="4">
        <v>0.26200000000000001</v>
      </c>
      <c r="J1428" s="21">
        <v>700</v>
      </c>
      <c r="K1428" s="21">
        <v>183.4</v>
      </c>
      <c r="L1428" s="5">
        <v>0</v>
      </c>
      <c r="M1428" s="4"/>
      <c r="N1428" s="4"/>
      <c r="O1428" s="5"/>
      <c r="P1428" s="5"/>
      <c r="Q1428" s="21">
        <v>0</v>
      </c>
      <c r="R1428" s="21">
        <v>0</v>
      </c>
      <c r="S1428" s="5">
        <f t="shared" si="91"/>
        <v>67374.538760152005</v>
      </c>
      <c r="T1428" cm="1">
        <f t="array" ref="T1428">IF(OR(B1428="MAL ALIMI", B1428="ÜRETİM GİRİŞ"), MIN(I1428, MAX(0, I1428 + SUM(SUMIFS($I$1:I1427, $C$1:C1427, C1428, $B$1:B1427, {"MAL ALIMI","ÜRETİM GİRİŞ"})) - VLOOKUP(C1428, 'STOK RAPORU'!$C$2:$I$1000, 4, 0))), 0)</f>
        <v>0</v>
      </c>
      <c r="U1428" s="22">
        <f t="shared" si="88"/>
        <v>0</v>
      </c>
      <c r="V1428">
        <f t="shared" si="89"/>
        <v>0</v>
      </c>
      <c r="W1428" s="22">
        <f t="shared" si="90"/>
        <v>0</v>
      </c>
    </row>
    <row r="1429" spans="1:23" hidden="1" x14ac:dyDescent="0.25">
      <c r="A1429" s="3">
        <v>45985</v>
      </c>
      <c r="B1429" s="4" t="s">
        <v>334</v>
      </c>
      <c r="C1429" s="4" t="s">
        <v>728</v>
      </c>
      <c r="D1429" s="4"/>
      <c r="E1429" s="4" t="s">
        <v>921</v>
      </c>
      <c r="F1429" s="4" t="s">
        <v>942</v>
      </c>
      <c r="G1429" s="4" t="s">
        <v>336</v>
      </c>
      <c r="H1429" s="4" t="s">
        <v>380</v>
      </c>
      <c r="I1429" s="4">
        <v>0.25800000000000001</v>
      </c>
      <c r="J1429" s="21">
        <v>750</v>
      </c>
      <c r="K1429" s="21">
        <v>193.5</v>
      </c>
      <c r="L1429" s="5">
        <v>0</v>
      </c>
      <c r="M1429" s="4"/>
      <c r="N1429" s="4"/>
      <c r="O1429" s="5"/>
      <c r="P1429" s="5"/>
      <c r="Q1429" s="21">
        <v>0</v>
      </c>
      <c r="R1429" s="21">
        <v>0</v>
      </c>
      <c r="S1429" s="5">
        <f t="shared" si="91"/>
        <v>67374.538760152005</v>
      </c>
      <c r="T1429" cm="1">
        <f t="array" ref="T1429">IF(OR(B1429="MAL ALIMI", B1429="ÜRETİM GİRİŞ"), MIN(I1429, MAX(0, I1429 + SUM(SUMIFS($I$1:I1428, $C$1:C1428, C1429, $B$1:B1428, {"MAL ALIMI","ÜRETİM GİRİŞ"})) - VLOOKUP(C1429, 'STOK RAPORU'!$C$2:$I$1000, 4, 0))), 0)</f>
        <v>0</v>
      </c>
      <c r="U1429" s="22">
        <f t="shared" si="88"/>
        <v>0</v>
      </c>
      <c r="V1429">
        <f t="shared" si="89"/>
        <v>0</v>
      </c>
      <c r="W1429" s="22">
        <f t="shared" si="90"/>
        <v>0</v>
      </c>
    </row>
    <row r="1430" spans="1:23" hidden="1" x14ac:dyDescent="0.25">
      <c r="A1430" s="3">
        <v>45985</v>
      </c>
      <c r="B1430" s="4" t="s">
        <v>334</v>
      </c>
      <c r="C1430" s="4" t="s">
        <v>822</v>
      </c>
      <c r="D1430" s="4"/>
      <c r="E1430" s="4" t="s">
        <v>921</v>
      </c>
      <c r="F1430" s="4" t="s">
        <v>942</v>
      </c>
      <c r="G1430" s="4" t="s">
        <v>336</v>
      </c>
      <c r="H1430" s="4" t="s">
        <v>380</v>
      </c>
      <c r="I1430" s="4">
        <v>1</v>
      </c>
      <c r="J1430" s="21">
        <v>130</v>
      </c>
      <c r="K1430" s="21">
        <v>130</v>
      </c>
      <c r="L1430" s="5">
        <v>0</v>
      </c>
      <c r="M1430" s="4"/>
      <c r="N1430" s="4"/>
      <c r="O1430" s="5"/>
      <c r="P1430" s="5"/>
      <c r="Q1430" s="21">
        <v>0</v>
      </c>
      <c r="R1430" s="21">
        <v>0</v>
      </c>
      <c r="S1430" s="5">
        <f t="shared" si="91"/>
        <v>67374.538760152005</v>
      </c>
      <c r="T1430" cm="1">
        <f t="array" ref="T1430">IF(OR(B1430="MAL ALIMI", B1430="ÜRETİM GİRİŞ"), MIN(I1430, MAX(0, I1430 + SUM(SUMIFS($I$1:I1429, $C$1:C1429, C1430, $B$1:B1429, {"MAL ALIMI","ÜRETİM GİRİŞ"})) - VLOOKUP(C1430, 'STOK RAPORU'!$C$2:$I$1000, 4, 0))), 0)</f>
        <v>0</v>
      </c>
      <c r="U1430" s="22">
        <f t="shared" si="88"/>
        <v>0</v>
      </c>
      <c r="V1430">
        <f t="shared" si="89"/>
        <v>0</v>
      </c>
      <c r="W1430" s="22">
        <f t="shared" si="90"/>
        <v>0</v>
      </c>
    </row>
    <row r="1431" spans="1:23" hidden="1" x14ac:dyDescent="0.25">
      <c r="A1431" s="3">
        <v>45985</v>
      </c>
      <c r="B1431" s="4" t="s">
        <v>334</v>
      </c>
      <c r="C1431" s="4" t="s">
        <v>828</v>
      </c>
      <c r="D1431" s="4"/>
      <c r="E1431" s="4" t="s">
        <v>921</v>
      </c>
      <c r="F1431" s="4" t="s">
        <v>942</v>
      </c>
      <c r="G1431" s="4" t="s">
        <v>336</v>
      </c>
      <c r="H1431" s="4" t="s">
        <v>380</v>
      </c>
      <c r="I1431" s="4">
        <v>1</v>
      </c>
      <c r="J1431" s="21">
        <v>145</v>
      </c>
      <c r="K1431" s="21">
        <v>145</v>
      </c>
      <c r="L1431" s="5">
        <v>0</v>
      </c>
      <c r="M1431" s="4"/>
      <c r="N1431" s="4"/>
      <c r="O1431" s="5"/>
      <c r="P1431" s="5"/>
      <c r="Q1431" s="21">
        <v>0</v>
      </c>
      <c r="R1431" s="21">
        <v>0</v>
      </c>
      <c r="S1431" s="5">
        <f t="shared" si="91"/>
        <v>67374.538760152005</v>
      </c>
      <c r="T1431" cm="1">
        <f t="array" ref="T1431">IF(OR(B1431="MAL ALIMI", B1431="ÜRETİM GİRİŞ"), MIN(I1431, MAX(0, I1431 + SUM(SUMIFS($I$1:I1430, $C$1:C1430, C1431, $B$1:B1430, {"MAL ALIMI","ÜRETİM GİRİŞ"})) - VLOOKUP(C1431, 'STOK RAPORU'!$C$2:$I$1000, 4, 0))), 0)</f>
        <v>0</v>
      </c>
      <c r="U1431" s="22">
        <f t="shared" si="88"/>
        <v>0</v>
      </c>
      <c r="V1431">
        <f t="shared" si="89"/>
        <v>0</v>
      </c>
      <c r="W1431" s="22">
        <f t="shared" si="90"/>
        <v>0</v>
      </c>
    </row>
    <row r="1432" spans="1:23" hidden="1" x14ac:dyDescent="0.25">
      <c r="A1432" s="3">
        <v>45985</v>
      </c>
      <c r="B1432" s="4" t="s">
        <v>334</v>
      </c>
      <c r="C1432" s="4" t="s">
        <v>247</v>
      </c>
      <c r="D1432" s="4"/>
      <c r="E1432" s="4" t="s">
        <v>921</v>
      </c>
      <c r="F1432" s="4" t="s">
        <v>942</v>
      </c>
      <c r="G1432" s="4" t="s">
        <v>336</v>
      </c>
      <c r="H1432" s="4" t="s">
        <v>380</v>
      </c>
      <c r="I1432" s="4">
        <v>0.5</v>
      </c>
      <c r="J1432" s="21">
        <v>1200</v>
      </c>
      <c r="K1432" s="21">
        <v>600</v>
      </c>
      <c r="L1432" s="5">
        <v>0</v>
      </c>
      <c r="M1432" s="4"/>
      <c r="N1432" s="4"/>
      <c r="O1432" s="5"/>
      <c r="P1432" s="5"/>
      <c r="Q1432" s="21">
        <v>0</v>
      </c>
      <c r="R1432" s="21">
        <v>0</v>
      </c>
      <c r="S1432" s="5">
        <f t="shared" si="91"/>
        <v>67374.538760152005</v>
      </c>
      <c r="T1432" cm="1">
        <f t="array" ref="T1432">IF(OR(B1432="MAL ALIMI", B1432="ÜRETİM GİRİŞ"), MIN(I1432, MAX(0, I1432 + SUM(SUMIFS($I$1:I1431, $C$1:C1431, C1432, $B$1:B1431, {"MAL ALIMI","ÜRETİM GİRİŞ"})) - VLOOKUP(C1432, 'STOK RAPORU'!$C$2:$I$1000, 4, 0))), 0)</f>
        <v>0</v>
      </c>
      <c r="U1432" s="22">
        <f t="shared" si="88"/>
        <v>0</v>
      </c>
      <c r="V1432">
        <f t="shared" si="89"/>
        <v>0</v>
      </c>
      <c r="W1432" s="22">
        <f t="shared" si="90"/>
        <v>0</v>
      </c>
    </row>
    <row r="1433" spans="1:23" hidden="1" x14ac:dyDescent="0.25">
      <c r="A1433" s="3">
        <v>45985</v>
      </c>
      <c r="B1433" s="4" t="s">
        <v>334</v>
      </c>
      <c r="C1433" s="4" t="s">
        <v>634</v>
      </c>
      <c r="D1433" s="4"/>
      <c r="E1433" s="4" t="s">
        <v>921</v>
      </c>
      <c r="F1433" s="4" t="s">
        <v>942</v>
      </c>
      <c r="G1433" s="4" t="s">
        <v>336</v>
      </c>
      <c r="H1433" s="4" t="s">
        <v>380</v>
      </c>
      <c r="I1433" s="4">
        <v>0.47199999999999998</v>
      </c>
      <c r="J1433" s="21">
        <v>850</v>
      </c>
      <c r="K1433" s="21">
        <v>400</v>
      </c>
      <c r="L1433" s="5">
        <v>0</v>
      </c>
      <c r="M1433" s="4"/>
      <c r="N1433" s="4"/>
      <c r="O1433" s="5"/>
      <c r="P1433" s="5"/>
      <c r="Q1433" s="21">
        <v>0</v>
      </c>
      <c r="R1433" s="21">
        <v>0</v>
      </c>
      <c r="S1433" s="5">
        <f t="shared" si="91"/>
        <v>67374.538760152005</v>
      </c>
      <c r="T1433" cm="1">
        <f t="array" ref="T1433">IF(OR(B1433="MAL ALIMI", B1433="ÜRETİM GİRİŞ"), MIN(I1433, MAX(0, I1433 + SUM(SUMIFS($I$1:I1432, $C$1:C1432, C1433, $B$1:B1432, {"MAL ALIMI","ÜRETİM GİRİŞ"})) - VLOOKUP(C1433, 'STOK RAPORU'!$C$2:$I$1000, 4, 0))), 0)</f>
        <v>0</v>
      </c>
      <c r="U1433" s="22">
        <f t="shared" si="88"/>
        <v>0</v>
      </c>
      <c r="V1433">
        <f t="shared" si="89"/>
        <v>0</v>
      </c>
      <c r="W1433" s="22">
        <f t="shared" si="90"/>
        <v>0</v>
      </c>
    </row>
    <row r="1434" spans="1:23" hidden="1" x14ac:dyDescent="0.25">
      <c r="A1434" s="3">
        <v>45985</v>
      </c>
      <c r="B1434" s="4" t="s">
        <v>334</v>
      </c>
      <c r="C1434" s="4" t="s">
        <v>483</v>
      </c>
      <c r="D1434" s="4"/>
      <c r="E1434" s="4" t="s">
        <v>921</v>
      </c>
      <c r="F1434" s="4" t="s">
        <v>942</v>
      </c>
      <c r="G1434" s="4" t="s">
        <v>336</v>
      </c>
      <c r="H1434" s="4" t="s">
        <v>380</v>
      </c>
      <c r="I1434" s="4">
        <v>0.30769999999999997</v>
      </c>
      <c r="J1434" s="21">
        <v>650</v>
      </c>
      <c r="K1434" s="21">
        <v>200.005</v>
      </c>
      <c r="L1434" s="5">
        <v>0</v>
      </c>
      <c r="M1434" s="4"/>
      <c r="N1434" s="4"/>
      <c r="O1434" s="5"/>
      <c r="P1434" s="5"/>
      <c r="Q1434" s="21">
        <v>0</v>
      </c>
      <c r="R1434" s="21">
        <v>0</v>
      </c>
      <c r="S1434" s="5">
        <f t="shared" si="91"/>
        <v>67374.538760152005</v>
      </c>
      <c r="T1434" cm="1">
        <f t="array" ref="T1434">IF(OR(B1434="MAL ALIMI", B1434="ÜRETİM GİRİŞ"), MIN(I1434, MAX(0, I1434 + SUM(SUMIFS($I$1:I1433, $C$1:C1433, C1434, $B$1:B1433, {"MAL ALIMI","ÜRETİM GİRİŞ"})) - VLOOKUP(C1434, 'STOK RAPORU'!$C$2:$I$1000, 4, 0))), 0)</f>
        <v>0</v>
      </c>
      <c r="U1434" s="22">
        <f t="shared" si="88"/>
        <v>0</v>
      </c>
      <c r="V1434">
        <f t="shared" si="89"/>
        <v>0</v>
      </c>
      <c r="W1434" s="22">
        <f t="shared" si="90"/>
        <v>0</v>
      </c>
    </row>
    <row r="1435" spans="1:23" hidden="1" x14ac:dyDescent="0.25">
      <c r="A1435" s="3">
        <v>45985</v>
      </c>
      <c r="B1435" s="4" t="s">
        <v>334</v>
      </c>
      <c r="C1435" s="4" t="s">
        <v>693</v>
      </c>
      <c r="D1435" s="4"/>
      <c r="E1435" s="4" t="s">
        <v>921</v>
      </c>
      <c r="F1435" s="4" t="s">
        <v>942</v>
      </c>
      <c r="G1435" s="4" t="s">
        <v>336</v>
      </c>
      <c r="H1435" s="4" t="s">
        <v>380</v>
      </c>
      <c r="I1435" s="4">
        <v>0.26</v>
      </c>
      <c r="J1435" s="21">
        <v>195</v>
      </c>
      <c r="K1435" s="21">
        <v>50</v>
      </c>
      <c r="L1435" s="5">
        <v>0</v>
      </c>
      <c r="M1435" s="4"/>
      <c r="N1435" s="4"/>
      <c r="O1435" s="5"/>
      <c r="P1435" s="5"/>
      <c r="Q1435" s="21">
        <v>0</v>
      </c>
      <c r="R1435" s="21">
        <v>0</v>
      </c>
      <c r="S1435" s="5">
        <f t="shared" si="91"/>
        <v>67374.538760152005</v>
      </c>
      <c r="T1435" cm="1">
        <f t="array" ref="T1435">IF(OR(B1435="MAL ALIMI", B1435="ÜRETİM GİRİŞ"), MIN(I1435, MAX(0, I1435 + SUM(SUMIFS($I$1:I1434, $C$1:C1434, C1435, $B$1:B1434, {"MAL ALIMI","ÜRETİM GİRİŞ"})) - VLOOKUP(C1435, 'STOK RAPORU'!$C$2:$I$1000, 4, 0))), 0)</f>
        <v>0</v>
      </c>
      <c r="U1435" s="22">
        <f t="shared" si="88"/>
        <v>0</v>
      </c>
      <c r="V1435">
        <f t="shared" si="89"/>
        <v>0</v>
      </c>
      <c r="W1435" s="22">
        <f t="shared" si="90"/>
        <v>0</v>
      </c>
    </row>
    <row r="1436" spans="1:23" hidden="1" x14ac:dyDescent="0.25">
      <c r="A1436" s="3">
        <v>45985</v>
      </c>
      <c r="B1436" s="4" t="s">
        <v>334</v>
      </c>
      <c r="C1436" s="4" t="s">
        <v>693</v>
      </c>
      <c r="D1436" s="4"/>
      <c r="E1436" s="4" t="s">
        <v>921</v>
      </c>
      <c r="F1436" s="4" t="s">
        <v>949</v>
      </c>
      <c r="G1436" s="4" t="s">
        <v>336</v>
      </c>
      <c r="H1436" s="4" t="s">
        <v>380</v>
      </c>
      <c r="I1436" s="4">
        <v>0.51300000000000001</v>
      </c>
      <c r="J1436" s="21">
        <v>195</v>
      </c>
      <c r="K1436" s="21">
        <v>100.035</v>
      </c>
      <c r="L1436" s="5">
        <v>0</v>
      </c>
      <c r="M1436" s="4"/>
      <c r="N1436" s="4"/>
      <c r="O1436" s="5"/>
      <c r="P1436" s="5"/>
      <c r="Q1436" s="21">
        <v>0</v>
      </c>
      <c r="R1436" s="21">
        <v>0</v>
      </c>
      <c r="S1436" s="5">
        <f t="shared" si="91"/>
        <v>67374.538760152005</v>
      </c>
      <c r="T1436" cm="1">
        <f t="array" ref="T1436">IF(OR(B1436="MAL ALIMI", B1436="ÜRETİM GİRİŞ"), MIN(I1436, MAX(0, I1436 + SUM(SUMIFS($I$1:I1435, $C$1:C1435, C1436, $B$1:B1435, {"MAL ALIMI","ÜRETİM GİRİŞ"})) - VLOOKUP(C1436, 'STOK RAPORU'!$C$2:$I$1000, 4, 0))), 0)</f>
        <v>0</v>
      </c>
      <c r="U1436" s="22">
        <f t="shared" si="88"/>
        <v>0</v>
      </c>
      <c r="V1436">
        <f t="shared" si="89"/>
        <v>0</v>
      </c>
      <c r="W1436" s="22">
        <f t="shared" si="90"/>
        <v>0</v>
      </c>
    </row>
    <row r="1437" spans="1:23" hidden="1" x14ac:dyDescent="0.25">
      <c r="A1437" s="3">
        <v>45985</v>
      </c>
      <c r="B1437" s="4" t="s">
        <v>334</v>
      </c>
      <c r="C1437" s="4" t="s">
        <v>694</v>
      </c>
      <c r="D1437" s="4"/>
      <c r="E1437" s="4" t="s">
        <v>921</v>
      </c>
      <c r="F1437" s="4" t="s">
        <v>949</v>
      </c>
      <c r="G1437" s="4" t="s">
        <v>336</v>
      </c>
      <c r="H1437" s="4" t="s">
        <v>380</v>
      </c>
      <c r="I1437" s="4">
        <v>0.51300000000000001</v>
      </c>
      <c r="J1437" s="21">
        <v>195</v>
      </c>
      <c r="K1437" s="21">
        <v>100.035</v>
      </c>
      <c r="L1437" s="5">
        <v>0</v>
      </c>
      <c r="M1437" s="4"/>
      <c r="N1437" s="4"/>
      <c r="O1437" s="5"/>
      <c r="P1437" s="5"/>
      <c r="Q1437" s="21">
        <v>0</v>
      </c>
      <c r="R1437" s="21">
        <v>0</v>
      </c>
      <c r="S1437" s="5">
        <f t="shared" si="91"/>
        <v>67374.538760152005</v>
      </c>
      <c r="T1437" cm="1">
        <f t="array" ref="T1437">IF(OR(B1437="MAL ALIMI", B1437="ÜRETİM GİRİŞ"), MIN(I1437, MAX(0, I1437 + SUM(SUMIFS($I$1:I1436, $C$1:C1436, C1437, $B$1:B1436, {"MAL ALIMI","ÜRETİM GİRİŞ"})) - VLOOKUP(C1437, 'STOK RAPORU'!$C$2:$I$1000, 4, 0))), 0)</f>
        <v>0</v>
      </c>
      <c r="U1437" s="22">
        <f t="shared" si="88"/>
        <v>0</v>
      </c>
      <c r="V1437">
        <f t="shared" si="89"/>
        <v>0</v>
      </c>
      <c r="W1437" s="22">
        <f t="shared" si="90"/>
        <v>0</v>
      </c>
    </row>
    <row r="1438" spans="1:23" hidden="1" x14ac:dyDescent="0.25">
      <c r="A1438" s="3">
        <v>45985</v>
      </c>
      <c r="B1438" s="4" t="s">
        <v>334</v>
      </c>
      <c r="C1438" s="4" t="s">
        <v>266</v>
      </c>
      <c r="D1438" s="4"/>
      <c r="E1438" s="4" t="s">
        <v>921</v>
      </c>
      <c r="F1438" s="4" t="s">
        <v>949</v>
      </c>
      <c r="G1438" s="4" t="s">
        <v>336</v>
      </c>
      <c r="H1438" s="4" t="s">
        <v>380</v>
      </c>
      <c r="I1438" s="4">
        <v>0.52</v>
      </c>
      <c r="J1438" s="21">
        <v>250</v>
      </c>
      <c r="K1438" s="21">
        <v>130</v>
      </c>
      <c r="L1438" s="5">
        <v>0</v>
      </c>
      <c r="M1438" s="4"/>
      <c r="N1438" s="4"/>
      <c r="O1438" s="5"/>
      <c r="P1438" s="5"/>
      <c r="Q1438" s="21">
        <v>0</v>
      </c>
      <c r="R1438" s="21">
        <v>0</v>
      </c>
      <c r="S1438" s="5">
        <f t="shared" si="91"/>
        <v>67374.538760152005</v>
      </c>
      <c r="T1438" cm="1">
        <f t="array" ref="T1438">IF(OR(B1438="MAL ALIMI", B1438="ÜRETİM GİRİŞ"), MIN(I1438, MAX(0, I1438 + SUM(SUMIFS($I$1:I1437, $C$1:C1437, C1438, $B$1:B1437, {"MAL ALIMI","ÜRETİM GİRİŞ"})) - VLOOKUP(C1438, 'STOK RAPORU'!$C$2:$I$1000, 4, 0))), 0)</f>
        <v>0</v>
      </c>
      <c r="U1438" s="22">
        <f t="shared" si="88"/>
        <v>0</v>
      </c>
      <c r="V1438">
        <f t="shared" si="89"/>
        <v>0</v>
      </c>
      <c r="W1438" s="22">
        <f t="shared" si="90"/>
        <v>0</v>
      </c>
    </row>
    <row r="1439" spans="1:23" hidden="1" x14ac:dyDescent="0.25">
      <c r="A1439" s="3">
        <v>45985</v>
      </c>
      <c r="B1439" s="4" t="s">
        <v>334</v>
      </c>
      <c r="C1439" s="4" t="s">
        <v>196</v>
      </c>
      <c r="D1439" s="4"/>
      <c r="E1439" s="4" t="s">
        <v>921</v>
      </c>
      <c r="F1439" s="4" t="s">
        <v>949</v>
      </c>
      <c r="G1439" s="4" t="s">
        <v>336</v>
      </c>
      <c r="H1439" s="4" t="s">
        <v>380</v>
      </c>
      <c r="I1439" s="4">
        <v>0.26500000000000001</v>
      </c>
      <c r="J1439" s="21">
        <v>190</v>
      </c>
      <c r="K1439" s="21">
        <v>50.35</v>
      </c>
      <c r="L1439" s="5">
        <v>0</v>
      </c>
      <c r="M1439" s="4"/>
      <c r="N1439" s="4"/>
      <c r="O1439" s="5"/>
      <c r="P1439" s="5"/>
      <c r="Q1439" s="21">
        <v>0</v>
      </c>
      <c r="R1439" s="21">
        <v>0</v>
      </c>
      <c r="S1439" s="5">
        <f t="shared" si="91"/>
        <v>67374.538760152005</v>
      </c>
      <c r="T1439" cm="1">
        <f t="array" ref="T1439">IF(OR(B1439="MAL ALIMI", B1439="ÜRETİM GİRİŞ"), MIN(I1439, MAX(0, I1439 + SUM(SUMIFS($I$1:I1438, $C$1:C1438, C1439, $B$1:B1438, {"MAL ALIMI","ÜRETİM GİRİŞ"})) - VLOOKUP(C1439, 'STOK RAPORU'!$C$2:$I$1000, 4, 0))), 0)</f>
        <v>0</v>
      </c>
      <c r="U1439" s="22">
        <f t="shared" si="88"/>
        <v>0</v>
      </c>
      <c r="V1439">
        <f t="shared" si="89"/>
        <v>0</v>
      </c>
      <c r="W1439" s="22">
        <f t="shared" si="90"/>
        <v>0</v>
      </c>
    </row>
    <row r="1440" spans="1:23" hidden="1" x14ac:dyDescent="0.25">
      <c r="A1440" s="3">
        <v>45985</v>
      </c>
      <c r="B1440" s="4" t="s">
        <v>334</v>
      </c>
      <c r="C1440" s="4" t="s">
        <v>126</v>
      </c>
      <c r="D1440" s="4"/>
      <c r="E1440" s="4" t="s">
        <v>921</v>
      </c>
      <c r="F1440" s="4" t="s">
        <v>950</v>
      </c>
      <c r="G1440" s="4" t="s">
        <v>336</v>
      </c>
      <c r="H1440" s="4" t="s">
        <v>380</v>
      </c>
      <c r="I1440" s="4">
        <v>0.09</v>
      </c>
      <c r="J1440" s="21">
        <v>640</v>
      </c>
      <c r="K1440" s="21">
        <v>57.599999999999994</v>
      </c>
      <c r="L1440" s="5">
        <v>0</v>
      </c>
      <c r="M1440" s="4"/>
      <c r="N1440" s="4"/>
      <c r="O1440" s="5"/>
      <c r="P1440" s="5"/>
      <c r="Q1440" s="21">
        <v>0</v>
      </c>
      <c r="R1440" s="21">
        <v>0</v>
      </c>
      <c r="S1440" s="5">
        <f t="shared" si="91"/>
        <v>67374.538760152005</v>
      </c>
      <c r="T1440" cm="1">
        <f t="array" ref="T1440">IF(OR(B1440="MAL ALIMI", B1440="ÜRETİM GİRİŞ"), MIN(I1440, MAX(0, I1440 + SUM(SUMIFS($I$1:I1439, $C$1:C1439, C1440, $B$1:B1439, {"MAL ALIMI","ÜRETİM GİRİŞ"})) - VLOOKUP(C1440, 'STOK RAPORU'!$C$2:$I$1000, 4, 0))), 0)</f>
        <v>0</v>
      </c>
      <c r="U1440" s="22">
        <f t="shared" si="88"/>
        <v>0</v>
      </c>
      <c r="V1440">
        <f t="shared" si="89"/>
        <v>0</v>
      </c>
      <c r="W1440" s="22">
        <f t="shared" si="90"/>
        <v>0</v>
      </c>
    </row>
    <row r="1441" spans="1:23" hidden="1" x14ac:dyDescent="0.25">
      <c r="A1441" s="3">
        <v>45985</v>
      </c>
      <c r="B1441" s="4" t="s">
        <v>334</v>
      </c>
      <c r="C1441" s="4" t="s">
        <v>132</v>
      </c>
      <c r="D1441" s="4"/>
      <c r="E1441" s="4" t="s">
        <v>921</v>
      </c>
      <c r="F1441" s="4" t="s">
        <v>950</v>
      </c>
      <c r="G1441" s="4" t="s">
        <v>336</v>
      </c>
      <c r="H1441" s="4" t="s">
        <v>380</v>
      </c>
      <c r="I1441" s="4">
        <v>7.0000000000000007E-2</v>
      </c>
      <c r="J1441" s="21">
        <v>500</v>
      </c>
      <c r="K1441" s="21">
        <v>35</v>
      </c>
      <c r="L1441" s="5">
        <v>0</v>
      </c>
      <c r="M1441" s="4"/>
      <c r="N1441" s="4"/>
      <c r="O1441" s="5"/>
      <c r="P1441" s="5"/>
      <c r="Q1441" s="21">
        <v>0</v>
      </c>
      <c r="R1441" s="21">
        <v>0</v>
      </c>
      <c r="S1441" s="5">
        <f t="shared" si="91"/>
        <v>67374.538760152005</v>
      </c>
      <c r="T1441" cm="1">
        <f t="array" ref="T1441">IF(OR(B1441="MAL ALIMI", B1441="ÜRETİM GİRİŞ"), MIN(I1441, MAX(0, I1441 + SUM(SUMIFS($I$1:I1440, $C$1:C1440, C1441, $B$1:B1440, {"MAL ALIMI","ÜRETİM GİRİŞ"})) - VLOOKUP(C1441, 'STOK RAPORU'!$C$2:$I$1000, 4, 0))), 0)</f>
        <v>0</v>
      </c>
      <c r="U1441" s="22">
        <f t="shared" si="88"/>
        <v>0</v>
      </c>
      <c r="V1441">
        <f t="shared" si="89"/>
        <v>0</v>
      </c>
      <c r="W1441" s="22">
        <f t="shared" si="90"/>
        <v>0</v>
      </c>
    </row>
    <row r="1442" spans="1:23" hidden="1" x14ac:dyDescent="0.25">
      <c r="A1442" s="3">
        <v>45985</v>
      </c>
      <c r="B1442" s="4" t="s">
        <v>334</v>
      </c>
      <c r="C1442" s="4" t="s">
        <v>154</v>
      </c>
      <c r="D1442" s="4"/>
      <c r="E1442" s="4" t="s">
        <v>921</v>
      </c>
      <c r="F1442" s="4" t="s">
        <v>950</v>
      </c>
      <c r="G1442" s="4" t="s">
        <v>336</v>
      </c>
      <c r="H1442" s="4" t="s">
        <v>380</v>
      </c>
      <c r="I1442" s="4">
        <v>0.1</v>
      </c>
      <c r="J1442" s="21">
        <v>400</v>
      </c>
      <c r="K1442" s="21">
        <v>40</v>
      </c>
      <c r="L1442" s="5">
        <v>0</v>
      </c>
      <c r="M1442" s="4"/>
      <c r="N1442" s="4"/>
      <c r="O1442" s="5"/>
      <c r="P1442" s="5"/>
      <c r="Q1442" s="21">
        <v>0</v>
      </c>
      <c r="R1442" s="21">
        <v>0</v>
      </c>
      <c r="S1442" s="5">
        <f t="shared" si="91"/>
        <v>67374.538760152005</v>
      </c>
      <c r="T1442" cm="1">
        <f t="array" ref="T1442">IF(OR(B1442="MAL ALIMI", B1442="ÜRETİM GİRİŞ"), MIN(I1442, MAX(0, I1442 + SUM(SUMIFS($I$1:I1441, $C$1:C1441, C1442, $B$1:B1441, {"MAL ALIMI","ÜRETİM GİRİŞ"})) - VLOOKUP(C1442, 'STOK RAPORU'!$C$2:$I$1000, 4, 0))), 0)</f>
        <v>0</v>
      </c>
      <c r="U1442" s="22">
        <f t="shared" si="88"/>
        <v>0</v>
      </c>
      <c r="V1442">
        <f t="shared" si="89"/>
        <v>0</v>
      </c>
      <c r="W1442" s="22">
        <f t="shared" si="90"/>
        <v>0</v>
      </c>
    </row>
    <row r="1443" spans="1:23" hidden="1" x14ac:dyDescent="0.25">
      <c r="A1443" s="3">
        <v>45985</v>
      </c>
      <c r="B1443" s="4" t="s">
        <v>334</v>
      </c>
      <c r="C1443" s="4" t="s">
        <v>190</v>
      </c>
      <c r="D1443" s="4"/>
      <c r="E1443" s="4" t="s">
        <v>921</v>
      </c>
      <c r="F1443" s="4" t="s">
        <v>950</v>
      </c>
      <c r="G1443" s="4" t="s">
        <v>336</v>
      </c>
      <c r="H1443" s="4" t="s">
        <v>380</v>
      </c>
      <c r="I1443" s="4">
        <v>0.05</v>
      </c>
      <c r="J1443" s="21">
        <v>1770</v>
      </c>
      <c r="K1443" s="21">
        <v>88.5</v>
      </c>
      <c r="L1443" s="5">
        <v>0</v>
      </c>
      <c r="M1443" s="4"/>
      <c r="N1443" s="4"/>
      <c r="O1443" s="5"/>
      <c r="P1443" s="5"/>
      <c r="Q1443" s="21">
        <v>0</v>
      </c>
      <c r="R1443" s="21">
        <v>0</v>
      </c>
      <c r="S1443" s="5">
        <f t="shared" si="91"/>
        <v>67374.538760152005</v>
      </c>
      <c r="T1443" cm="1">
        <f t="array" ref="T1443">IF(OR(B1443="MAL ALIMI", B1443="ÜRETİM GİRİŞ"), MIN(I1443, MAX(0, I1443 + SUM(SUMIFS($I$1:I1442, $C$1:C1442, C1443, $B$1:B1442, {"MAL ALIMI","ÜRETİM GİRİŞ"})) - VLOOKUP(C1443, 'STOK RAPORU'!$C$2:$I$1000, 4, 0))), 0)</f>
        <v>0</v>
      </c>
      <c r="U1443" s="22">
        <f t="shared" si="88"/>
        <v>0</v>
      </c>
      <c r="V1443">
        <f t="shared" si="89"/>
        <v>0</v>
      </c>
      <c r="W1443" s="22">
        <f t="shared" si="90"/>
        <v>0</v>
      </c>
    </row>
    <row r="1444" spans="1:23" hidden="1" x14ac:dyDescent="0.25">
      <c r="A1444" s="3">
        <v>45985</v>
      </c>
      <c r="B1444" s="4" t="s">
        <v>334</v>
      </c>
      <c r="C1444" s="4" t="s">
        <v>160</v>
      </c>
      <c r="D1444" s="4"/>
      <c r="E1444" s="4" t="s">
        <v>921</v>
      </c>
      <c r="F1444" s="4" t="s">
        <v>951</v>
      </c>
      <c r="G1444" s="4" t="s">
        <v>336</v>
      </c>
      <c r="H1444" s="4" t="s">
        <v>380</v>
      </c>
      <c r="I1444" s="4">
        <v>1</v>
      </c>
      <c r="J1444" s="21">
        <v>240</v>
      </c>
      <c r="K1444" s="21">
        <v>240</v>
      </c>
      <c r="L1444" s="5">
        <v>0</v>
      </c>
      <c r="M1444" s="4"/>
      <c r="N1444" s="4"/>
      <c r="O1444" s="5"/>
      <c r="P1444" s="5"/>
      <c r="Q1444" s="21">
        <v>0</v>
      </c>
      <c r="R1444" s="21">
        <v>0</v>
      </c>
      <c r="S1444" s="5">
        <f t="shared" si="91"/>
        <v>67374.538760152005</v>
      </c>
      <c r="T1444" cm="1">
        <f t="array" ref="T1444">IF(OR(B1444="MAL ALIMI", B1444="ÜRETİM GİRİŞ"), MIN(I1444, MAX(0, I1444 + SUM(SUMIFS($I$1:I1443, $C$1:C1443, C1444, $B$1:B1443, {"MAL ALIMI","ÜRETİM GİRİŞ"})) - VLOOKUP(C1444, 'STOK RAPORU'!$C$2:$I$1000, 4, 0))), 0)</f>
        <v>0</v>
      </c>
      <c r="U1444" s="22">
        <f t="shared" si="88"/>
        <v>0</v>
      </c>
      <c r="V1444">
        <f t="shared" si="89"/>
        <v>0</v>
      </c>
      <c r="W1444" s="22">
        <f t="shared" si="90"/>
        <v>0</v>
      </c>
    </row>
    <row r="1445" spans="1:23" hidden="1" x14ac:dyDescent="0.25">
      <c r="A1445" s="3">
        <v>45985</v>
      </c>
      <c r="B1445" s="4" t="s">
        <v>334</v>
      </c>
      <c r="C1445" s="4" t="s">
        <v>591</v>
      </c>
      <c r="D1445" s="4"/>
      <c r="E1445" s="4"/>
      <c r="F1445" s="4" t="s">
        <v>952</v>
      </c>
      <c r="G1445" s="4" t="s">
        <v>336</v>
      </c>
      <c r="H1445" s="4" t="s">
        <v>289</v>
      </c>
      <c r="I1445" s="4">
        <v>1</v>
      </c>
      <c r="J1445" s="21">
        <v>350</v>
      </c>
      <c r="K1445" s="21">
        <v>0</v>
      </c>
      <c r="L1445" s="5">
        <v>0</v>
      </c>
      <c r="M1445" s="4"/>
      <c r="N1445" s="4"/>
      <c r="O1445" s="5"/>
      <c r="P1445" s="5"/>
      <c r="Q1445" s="21">
        <v>350</v>
      </c>
      <c r="R1445" s="21">
        <v>0</v>
      </c>
      <c r="S1445" s="5">
        <f t="shared" si="91"/>
        <v>67724.538760152005</v>
      </c>
      <c r="T1445" cm="1">
        <f t="array" ref="T1445">IF(OR(B1445="MAL ALIMI", B1445="ÜRETİM GİRİŞ"), MIN(I1445, MAX(0, I1445 + SUM(SUMIFS($I$1:I1444, $C$1:C1444, C1445, $B$1:B1444, {"MAL ALIMI","ÜRETİM GİRİŞ"})) - VLOOKUP(C1445, 'STOK RAPORU'!$C$2:$I$1000, 4, 0))), 0)</f>
        <v>0</v>
      </c>
      <c r="U1445" s="22">
        <f t="shared" si="88"/>
        <v>0</v>
      </c>
      <c r="V1445">
        <f t="shared" si="89"/>
        <v>0</v>
      </c>
      <c r="W1445" s="22">
        <f t="shared" si="90"/>
        <v>0</v>
      </c>
    </row>
    <row r="1446" spans="1:23" hidden="1" x14ac:dyDescent="0.25">
      <c r="A1446" s="3">
        <v>45985</v>
      </c>
      <c r="B1446" s="4" t="s">
        <v>285</v>
      </c>
      <c r="C1446" s="4"/>
      <c r="D1446" s="4" t="s">
        <v>943</v>
      </c>
      <c r="E1446" s="4"/>
      <c r="F1446" s="4"/>
      <c r="G1446" s="4" t="s">
        <v>944</v>
      </c>
      <c r="H1446" s="4" t="s">
        <v>289</v>
      </c>
      <c r="I1446" s="4">
        <v>1</v>
      </c>
      <c r="J1446" s="21">
        <v>415</v>
      </c>
      <c r="K1446" s="21">
        <v>0</v>
      </c>
      <c r="L1446" s="5">
        <v>0</v>
      </c>
      <c r="M1446" s="4"/>
      <c r="N1446" s="4"/>
      <c r="O1446" s="5"/>
      <c r="P1446" s="5"/>
      <c r="Q1446" s="21">
        <v>0</v>
      </c>
      <c r="R1446" s="21">
        <v>415</v>
      </c>
      <c r="S1446" s="5">
        <f t="shared" si="91"/>
        <v>67309.538760152005</v>
      </c>
      <c r="T1446" cm="1">
        <f t="array" ref="T1446">IF(OR(B1446="MAL ALIMI", B1446="ÜRETİM GİRİŞ"), MIN(I1446, MAX(0, I1446 + SUM(SUMIFS($I$1:I1445, $C$1:C1445, C1446, $B$1:B1445, {"MAL ALIMI","ÜRETİM GİRİŞ"})) - VLOOKUP(C1446, 'STOK RAPORU'!$C$2:$I$1000, 4, 0))), 0)</f>
        <v>0</v>
      </c>
      <c r="U1446" s="22">
        <f t="shared" si="88"/>
        <v>0</v>
      </c>
      <c r="V1446">
        <f t="shared" si="89"/>
        <v>0</v>
      </c>
      <c r="W1446" s="22">
        <f t="shared" si="90"/>
        <v>0</v>
      </c>
    </row>
    <row r="1447" spans="1:23" hidden="1" x14ac:dyDescent="0.25">
      <c r="A1447" s="3">
        <v>45985</v>
      </c>
      <c r="B1447" s="4" t="s">
        <v>285</v>
      </c>
      <c r="C1447" s="4"/>
      <c r="D1447" s="4" t="s">
        <v>943</v>
      </c>
      <c r="E1447" s="4"/>
      <c r="F1447" s="4"/>
      <c r="G1447" s="4" t="s">
        <v>945</v>
      </c>
      <c r="H1447" s="4" t="s">
        <v>289</v>
      </c>
      <c r="I1447" s="4">
        <v>1</v>
      </c>
      <c r="J1447" s="21">
        <v>490</v>
      </c>
      <c r="K1447" s="21">
        <v>0</v>
      </c>
      <c r="L1447" s="5">
        <v>0</v>
      </c>
      <c r="M1447" s="4"/>
      <c r="N1447" s="4"/>
      <c r="O1447" s="5"/>
      <c r="P1447" s="5"/>
      <c r="Q1447" s="21">
        <v>0</v>
      </c>
      <c r="R1447" s="21">
        <v>490</v>
      </c>
      <c r="S1447" s="5">
        <f t="shared" si="91"/>
        <v>66819.538760152005</v>
      </c>
      <c r="T1447" cm="1">
        <f t="array" ref="T1447">IF(OR(B1447="MAL ALIMI", B1447="ÜRETİM GİRİŞ"), MIN(I1447, MAX(0, I1447 + SUM(SUMIFS($I$1:I1446, $C$1:C1446, C1447, $B$1:B1446, {"MAL ALIMI","ÜRETİM GİRİŞ"})) - VLOOKUP(C1447, 'STOK RAPORU'!$C$2:$I$1000, 4, 0))), 0)</f>
        <v>0</v>
      </c>
      <c r="U1447" s="22">
        <f t="shared" si="88"/>
        <v>0</v>
      </c>
      <c r="V1447">
        <f t="shared" si="89"/>
        <v>0</v>
      </c>
      <c r="W1447" s="22">
        <f t="shared" si="90"/>
        <v>0</v>
      </c>
    </row>
    <row r="1448" spans="1:23" hidden="1" x14ac:dyDescent="0.25">
      <c r="A1448" s="3">
        <v>45985</v>
      </c>
      <c r="B1448" s="4" t="s">
        <v>946</v>
      </c>
      <c r="C1448" s="4"/>
      <c r="D1448" s="4"/>
      <c r="E1448" s="4" t="s">
        <v>921</v>
      </c>
      <c r="F1448" s="4"/>
      <c r="G1448" s="4" t="s">
        <v>946</v>
      </c>
      <c r="H1448" s="4" t="s">
        <v>380</v>
      </c>
      <c r="I1448" s="4">
        <v>1</v>
      </c>
      <c r="J1448" s="105">
        <v>600</v>
      </c>
      <c r="K1448" s="21">
        <v>0</v>
      </c>
      <c r="L1448" s="111">
        <v>600</v>
      </c>
      <c r="M1448" s="4"/>
      <c r="N1448" s="4"/>
      <c r="O1448" s="5"/>
      <c r="P1448" s="5"/>
      <c r="Q1448" s="21">
        <v>600</v>
      </c>
      <c r="R1448" s="21">
        <v>0</v>
      </c>
      <c r="S1448" s="5">
        <f t="shared" si="91"/>
        <v>67419.538760152005</v>
      </c>
      <c r="T1448" cm="1">
        <f t="array" ref="T1448">IF(OR(B1448="MAL ALIMI", B1448="ÜRETİM GİRİŞ"), MIN(I1448, MAX(0, I1448 + SUM(SUMIFS($I$1:I1447, $C$1:C1447, C1448, $B$1:B1447, {"MAL ALIMI","ÜRETİM GİRİŞ"})) - VLOOKUP(C1448, 'STOK RAPORU'!$C$2:$I$1000, 4, 0))), 0)</f>
        <v>0</v>
      </c>
      <c r="U1448" s="22">
        <f t="shared" si="88"/>
        <v>0</v>
      </c>
      <c r="V1448">
        <f t="shared" si="89"/>
        <v>0</v>
      </c>
      <c r="W1448" s="22">
        <f t="shared" si="90"/>
        <v>0</v>
      </c>
    </row>
    <row r="1449" spans="1:23" hidden="1" x14ac:dyDescent="0.25">
      <c r="A1449" s="3">
        <v>45985</v>
      </c>
      <c r="B1449" s="4" t="s">
        <v>285</v>
      </c>
      <c r="C1449" s="4"/>
      <c r="D1449" s="4" t="s">
        <v>673</v>
      </c>
      <c r="E1449" s="4"/>
      <c r="F1449" s="4"/>
      <c r="G1449" s="4" t="s">
        <v>947</v>
      </c>
      <c r="H1449" s="4" t="s">
        <v>289</v>
      </c>
      <c r="I1449" s="4">
        <v>1</v>
      </c>
      <c r="J1449" s="21">
        <v>665</v>
      </c>
      <c r="K1449" s="21">
        <v>0</v>
      </c>
      <c r="L1449" s="5">
        <v>0</v>
      </c>
      <c r="M1449" s="4"/>
      <c r="N1449" s="4"/>
      <c r="O1449" s="5"/>
      <c r="P1449" s="5"/>
      <c r="Q1449" s="21">
        <v>0</v>
      </c>
      <c r="R1449" s="21">
        <v>665</v>
      </c>
      <c r="S1449" s="5">
        <f t="shared" si="91"/>
        <v>66754.538760152005</v>
      </c>
      <c r="T1449" cm="1">
        <f t="array" ref="T1449">IF(OR(B1449="MAL ALIMI", B1449="ÜRETİM GİRİŞ"), MIN(I1449, MAX(0, I1449 + SUM(SUMIFS($I$1:I1448, $C$1:C1448, C1449, $B$1:B1448, {"MAL ALIMI","ÜRETİM GİRİŞ"})) - VLOOKUP(C1449, 'STOK RAPORU'!$C$2:$I$1000, 4, 0))), 0)</f>
        <v>0</v>
      </c>
      <c r="U1449" s="22">
        <f t="shared" si="88"/>
        <v>0</v>
      </c>
      <c r="V1449">
        <f t="shared" si="89"/>
        <v>0</v>
      </c>
      <c r="W1449" s="22">
        <f t="shared" si="90"/>
        <v>0</v>
      </c>
    </row>
    <row r="1450" spans="1:23" hidden="1" x14ac:dyDescent="0.25">
      <c r="A1450" s="45">
        <v>45985</v>
      </c>
      <c r="B1450" s="46" t="s">
        <v>946</v>
      </c>
      <c r="C1450" s="46"/>
      <c r="D1450" s="46"/>
      <c r="E1450" s="46" t="s">
        <v>921</v>
      </c>
      <c r="F1450" s="46"/>
      <c r="G1450" s="46" t="s">
        <v>947</v>
      </c>
      <c r="H1450" s="46" t="s">
        <v>380</v>
      </c>
      <c r="I1450" s="46">
        <v>1</v>
      </c>
      <c r="J1450" s="107">
        <v>665</v>
      </c>
      <c r="K1450" s="47">
        <v>0</v>
      </c>
      <c r="L1450" s="117">
        <v>665</v>
      </c>
      <c r="M1450" s="4">
        <v>665</v>
      </c>
      <c r="N1450" s="4"/>
      <c r="O1450" s="5"/>
      <c r="P1450" s="5"/>
      <c r="Q1450" s="103">
        <v>665</v>
      </c>
      <c r="R1450" s="21">
        <v>0</v>
      </c>
      <c r="S1450" s="5">
        <f t="shared" si="91"/>
        <v>67419.538760152005</v>
      </c>
      <c r="T1450" cm="1">
        <f t="array" ref="T1450">IF(OR(B1450="MAL ALIMI", B1450="ÜRETİM GİRİŞ"), MIN(I1450, MAX(0, I1450 + SUM(SUMIFS($I$1:I1449, $C$1:C1449, C1450, $B$1:B1449, {"MAL ALIMI","ÜRETİM GİRİŞ"})) - VLOOKUP(C1450, 'STOK RAPORU'!$C$2:$I$1000, 4, 0))), 0)</f>
        <v>0</v>
      </c>
      <c r="U1450" s="22">
        <f t="shared" si="88"/>
        <v>0</v>
      </c>
      <c r="V1450">
        <f t="shared" si="89"/>
        <v>0</v>
      </c>
      <c r="W1450" s="22">
        <f t="shared" si="90"/>
        <v>0</v>
      </c>
    </row>
    <row r="1451" spans="1:23" hidden="1" x14ac:dyDescent="0.25">
      <c r="A1451" s="3">
        <v>45986</v>
      </c>
      <c r="B1451" s="4" t="s">
        <v>334</v>
      </c>
      <c r="C1451" s="4" t="s">
        <v>461</v>
      </c>
      <c r="D1451" s="4"/>
      <c r="E1451" s="4" t="s">
        <v>921</v>
      </c>
      <c r="F1451" s="4" t="s">
        <v>953</v>
      </c>
      <c r="G1451" s="4" t="s">
        <v>336</v>
      </c>
      <c r="H1451" s="4" t="s">
        <v>380</v>
      </c>
      <c r="I1451" s="4">
        <v>1</v>
      </c>
      <c r="J1451" s="21">
        <v>100</v>
      </c>
      <c r="K1451" s="21">
        <v>100</v>
      </c>
      <c r="L1451" s="5">
        <v>0</v>
      </c>
      <c r="M1451" s="4"/>
      <c r="N1451" s="4"/>
      <c r="O1451" s="5"/>
      <c r="P1451" s="5"/>
      <c r="Q1451" s="21">
        <v>0</v>
      </c>
      <c r="R1451" s="21">
        <v>0</v>
      </c>
      <c r="S1451" s="5">
        <f t="shared" si="91"/>
        <v>67419.538760152005</v>
      </c>
      <c r="T1451" cm="1">
        <f t="array" ref="T1451">IF(OR(B1451="MAL ALIMI", B1451="ÜRETİM GİRİŞ"), MIN(I1451, MAX(0, I1451 + SUM(SUMIFS($I$1:I1450, $C$1:C1450, C1451, $B$1:B1450, {"MAL ALIMI","ÜRETİM GİRİŞ"})) - VLOOKUP(C1451, 'STOK RAPORU'!$C$2:$I$1000, 4, 0))), 0)</f>
        <v>0</v>
      </c>
      <c r="U1451" s="22">
        <f t="shared" si="88"/>
        <v>0</v>
      </c>
      <c r="V1451">
        <f t="shared" si="89"/>
        <v>0</v>
      </c>
      <c r="W1451" s="22">
        <f t="shared" si="90"/>
        <v>0</v>
      </c>
    </row>
    <row r="1452" spans="1:23" hidden="1" x14ac:dyDescent="0.25">
      <c r="A1452" s="3">
        <v>45986</v>
      </c>
      <c r="B1452" s="4" t="s">
        <v>334</v>
      </c>
      <c r="C1452" s="4" t="s">
        <v>198</v>
      </c>
      <c r="D1452" s="4"/>
      <c r="E1452" s="4" t="s">
        <v>921</v>
      </c>
      <c r="F1452" s="4" t="s">
        <v>953</v>
      </c>
      <c r="G1452" s="4" t="s">
        <v>336</v>
      </c>
      <c r="H1452" s="4" t="s">
        <v>380</v>
      </c>
      <c r="I1452" s="4">
        <v>0.05</v>
      </c>
      <c r="J1452" s="21">
        <v>1400</v>
      </c>
      <c r="K1452" s="21">
        <v>70</v>
      </c>
      <c r="L1452" s="5">
        <v>0</v>
      </c>
      <c r="M1452" s="4"/>
      <c r="N1452" s="4"/>
      <c r="O1452" s="5"/>
      <c r="P1452" s="5"/>
      <c r="Q1452" s="21">
        <v>0</v>
      </c>
      <c r="R1452" s="21">
        <v>0</v>
      </c>
      <c r="S1452" s="5">
        <f t="shared" si="91"/>
        <v>67419.538760152005</v>
      </c>
      <c r="T1452" cm="1">
        <f t="array" ref="T1452">IF(OR(B1452="MAL ALIMI", B1452="ÜRETİM GİRİŞ"), MIN(I1452, MAX(0, I1452 + SUM(SUMIFS($I$1:I1451, $C$1:C1451, C1452, $B$1:B1451, {"MAL ALIMI","ÜRETİM GİRİŞ"})) - VLOOKUP(C1452, 'STOK RAPORU'!$C$2:$I$1000, 4, 0))), 0)</f>
        <v>0</v>
      </c>
      <c r="U1452" s="22">
        <f t="shared" si="88"/>
        <v>0</v>
      </c>
      <c r="V1452">
        <f t="shared" si="89"/>
        <v>0</v>
      </c>
      <c r="W1452" s="22">
        <f t="shared" si="90"/>
        <v>0</v>
      </c>
    </row>
    <row r="1453" spans="1:23" hidden="1" x14ac:dyDescent="0.25">
      <c r="A1453" s="3">
        <v>45986</v>
      </c>
      <c r="B1453" s="4" t="s">
        <v>334</v>
      </c>
      <c r="C1453" s="4" t="s">
        <v>265</v>
      </c>
      <c r="D1453" s="4"/>
      <c r="E1453" s="4" t="s">
        <v>921</v>
      </c>
      <c r="F1453" s="4" t="s">
        <v>953</v>
      </c>
      <c r="G1453" s="4" t="s">
        <v>336</v>
      </c>
      <c r="H1453" s="4" t="s">
        <v>380</v>
      </c>
      <c r="I1453" s="4">
        <v>1</v>
      </c>
      <c r="J1453" s="21">
        <v>140</v>
      </c>
      <c r="K1453" s="21">
        <v>140</v>
      </c>
      <c r="L1453" s="5">
        <v>0</v>
      </c>
      <c r="M1453" s="4"/>
      <c r="N1453" s="4"/>
      <c r="O1453" s="5"/>
      <c r="P1453" s="5"/>
      <c r="Q1453" s="21">
        <v>0</v>
      </c>
      <c r="R1453" s="21">
        <v>0</v>
      </c>
      <c r="S1453" s="5">
        <f t="shared" si="91"/>
        <v>67419.538760152005</v>
      </c>
      <c r="T1453" cm="1">
        <f t="array" ref="T1453">IF(OR(B1453="MAL ALIMI", B1453="ÜRETİM GİRİŞ"), MIN(I1453, MAX(0, I1453 + SUM(SUMIFS($I$1:I1452, $C$1:C1452, C1453, $B$1:B1452, {"MAL ALIMI","ÜRETİM GİRİŞ"})) - VLOOKUP(C1453, 'STOK RAPORU'!$C$2:$I$1000, 4, 0))), 0)</f>
        <v>0</v>
      </c>
      <c r="U1453" s="22">
        <f t="shared" si="88"/>
        <v>0</v>
      </c>
      <c r="V1453">
        <f t="shared" si="89"/>
        <v>0</v>
      </c>
      <c r="W1453" s="22">
        <f t="shared" si="90"/>
        <v>0</v>
      </c>
    </row>
    <row r="1454" spans="1:23" hidden="1" x14ac:dyDescent="0.25">
      <c r="A1454" s="3">
        <v>45986</v>
      </c>
      <c r="B1454" s="4" t="s">
        <v>334</v>
      </c>
      <c r="C1454" s="4" t="s">
        <v>223</v>
      </c>
      <c r="D1454" s="4"/>
      <c r="E1454" s="4" t="s">
        <v>921</v>
      </c>
      <c r="F1454" s="4" t="s">
        <v>953</v>
      </c>
      <c r="G1454" s="4" t="s">
        <v>336</v>
      </c>
      <c r="H1454" s="4" t="s">
        <v>380</v>
      </c>
      <c r="I1454" s="4">
        <v>0.24399999999999999</v>
      </c>
      <c r="J1454" s="21">
        <v>700</v>
      </c>
      <c r="K1454" s="21">
        <v>170.79999999999998</v>
      </c>
      <c r="L1454" s="5">
        <v>0</v>
      </c>
      <c r="M1454" s="4"/>
      <c r="N1454" s="4"/>
      <c r="O1454" s="5"/>
      <c r="P1454" s="5"/>
      <c r="Q1454" s="21">
        <v>0</v>
      </c>
      <c r="R1454" s="21">
        <v>0</v>
      </c>
      <c r="S1454" s="5">
        <f t="shared" si="91"/>
        <v>67419.538760152005</v>
      </c>
      <c r="T1454" cm="1">
        <f t="array" ref="T1454">IF(OR(B1454="MAL ALIMI", B1454="ÜRETİM GİRİŞ"), MIN(I1454, MAX(0, I1454 + SUM(SUMIFS($I$1:I1453, $C$1:C1453, C1454, $B$1:B1453, {"MAL ALIMI","ÜRETİM GİRİŞ"})) - VLOOKUP(C1454, 'STOK RAPORU'!$C$2:$I$1000, 4, 0))), 0)</f>
        <v>0</v>
      </c>
      <c r="U1454" s="22">
        <f t="shared" si="88"/>
        <v>0</v>
      </c>
      <c r="V1454">
        <f t="shared" si="89"/>
        <v>0</v>
      </c>
      <c r="W1454" s="22">
        <f t="shared" si="90"/>
        <v>0</v>
      </c>
    </row>
    <row r="1455" spans="1:23" hidden="1" x14ac:dyDescent="0.25">
      <c r="A1455" s="3">
        <v>45986</v>
      </c>
      <c r="B1455" s="4" t="s">
        <v>334</v>
      </c>
      <c r="C1455" s="4" t="s">
        <v>728</v>
      </c>
      <c r="D1455" s="4"/>
      <c r="E1455" s="4" t="s">
        <v>921</v>
      </c>
      <c r="F1455" s="4" t="s">
        <v>953</v>
      </c>
      <c r="G1455" s="4" t="s">
        <v>336</v>
      </c>
      <c r="H1455" s="4" t="s">
        <v>380</v>
      </c>
      <c r="I1455" s="4">
        <v>0.25800000000000001</v>
      </c>
      <c r="J1455" s="21">
        <v>750</v>
      </c>
      <c r="K1455" s="21">
        <v>193.5</v>
      </c>
      <c r="L1455" s="5">
        <v>0</v>
      </c>
      <c r="M1455" s="4"/>
      <c r="N1455" s="4"/>
      <c r="O1455" s="5"/>
      <c r="P1455" s="5"/>
      <c r="Q1455" s="21">
        <v>0</v>
      </c>
      <c r="R1455" s="21">
        <v>0</v>
      </c>
      <c r="S1455" s="5">
        <f t="shared" si="91"/>
        <v>67419.538760152005</v>
      </c>
      <c r="T1455" cm="1">
        <f t="array" ref="T1455">IF(OR(B1455="MAL ALIMI", B1455="ÜRETİM GİRİŞ"), MIN(I1455, MAX(0, I1455 + SUM(SUMIFS($I$1:I1454, $C$1:C1454, C1455, $B$1:B1454, {"MAL ALIMI","ÜRETİM GİRİŞ"})) - VLOOKUP(C1455, 'STOK RAPORU'!$C$2:$I$1000, 4, 0))), 0)</f>
        <v>0</v>
      </c>
      <c r="U1455" s="22">
        <f t="shared" si="88"/>
        <v>0</v>
      </c>
      <c r="V1455">
        <f t="shared" si="89"/>
        <v>0</v>
      </c>
      <c r="W1455" s="22">
        <f t="shared" si="90"/>
        <v>0</v>
      </c>
    </row>
    <row r="1456" spans="1:23" hidden="1" x14ac:dyDescent="0.25">
      <c r="A1456" s="3">
        <v>45986</v>
      </c>
      <c r="B1456" s="4" t="s">
        <v>334</v>
      </c>
      <c r="C1456" s="4" t="s">
        <v>158</v>
      </c>
      <c r="D1456" s="4"/>
      <c r="E1456" s="4" t="s">
        <v>921</v>
      </c>
      <c r="F1456" s="4" t="s">
        <v>953</v>
      </c>
      <c r="G1456" s="4" t="s">
        <v>336</v>
      </c>
      <c r="H1456" s="4" t="s">
        <v>380</v>
      </c>
      <c r="I1456" s="4">
        <v>1.1459999999999999</v>
      </c>
      <c r="J1456" s="21">
        <v>130</v>
      </c>
      <c r="K1456" s="21">
        <v>148.97999999999999</v>
      </c>
      <c r="L1456" s="5">
        <v>0</v>
      </c>
      <c r="M1456" s="4"/>
      <c r="N1456" s="4"/>
      <c r="O1456" s="5"/>
      <c r="P1456" s="5"/>
      <c r="Q1456" s="21">
        <v>0</v>
      </c>
      <c r="R1456" s="21">
        <v>0</v>
      </c>
      <c r="S1456" s="5">
        <f t="shared" si="91"/>
        <v>67419.538760152005</v>
      </c>
      <c r="T1456" cm="1">
        <f t="array" ref="T1456">IF(OR(B1456="MAL ALIMI", B1456="ÜRETİM GİRİŞ"), MIN(I1456, MAX(0, I1456 + SUM(SUMIFS($I$1:I1455, $C$1:C1455, C1456, $B$1:B1455, {"MAL ALIMI","ÜRETİM GİRİŞ"})) - VLOOKUP(C1456, 'STOK RAPORU'!$C$2:$I$1000, 4, 0))), 0)</f>
        <v>0</v>
      </c>
      <c r="U1456" s="22">
        <f t="shared" si="88"/>
        <v>0</v>
      </c>
      <c r="V1456">
        <f t="shared" si="89"/>
        <v>0</v>
      </c>
      <c r="W1456" s="22">
        <f t="shared" si="90"/>
        <v>0</v>
      </c>
    </row>
    <row r="1457" spans="1:23" hidden="1" x14ac:dyDescent="0.25">
      <c r="A1457" s="3">
        <v>45986</v>
      </c>
      <c r="B1457" s="4" t="s">
        <v>334</v>
      </c>
      <c r="C1457" s="4" t="s">
        <v>157</v>
      </c>
      <c r="D1457" s="4"/>
      <c r="E1457" s="4" t="s">
        <v>921</v>
      </c>
      <c r="F1457" s="4" t="s">
        <v>953</v>
      </c>
      <c r="G1457" s="4" t="s">
        <v>336</v>
      </c>
      <c r="H1457" s="4" t="s">
        <v>380</v>
      </c>
      <c r="I1457" s="4">
        <v>0.60399999999999998</v>
      </c>
      <c r="J1457" s="21">
        <v>180</v>
      </c>
      <c r="K1457" s="21">
        <v>108.72</v>
      </c>
      <c r="L1457" s="5">
        <v>0</v>
      </c>
      <c r="M1457" s="4"/>
      <c r="N1457" s="4"/>
      <c r="O1457" s="5"/>
      <c r="P1457" s="5"/>
      <c r="Q1457" s="21">
        <v>0</v>
      </c>
      <c r="R1457" s="21">
        <v>0</v>
      </c>
      <c r="S1457" s="5">
        <f t="shared" si="91"/>
        <v>67419.538760152005</v>
      </c>
      <c r="T1457" cm="1">
        <f t="array" ref="T1457">IF(OR(B1457="MAL ALIMI", B1457="ÜRETİM GİRİŞ"), MIN(I1457, MAX(0, I1457 + SUM(SUMIFS($I$1:I1456, $C$1:C1456, C1457, $B$1:B1456, {"MAL ALIMI","ÜRETİM GİRİŞ"})) - VLOOKUP(C1457, 'STOK RAPORU'!$C$2:$I$1000, 4, 0))), 0)</f>
        <v>0</v>
      </c>
      <c r="U1457" s="22">
        <f t="shared" si="88"/>
        <v>0</v>
      </c>
      <c r="V1457">
        <f t="shared" si="89"/>
        <v>0</v>
      </c>
      <c r="W1457" s="22">
        <f t="shared" si="90"/>
        <v>0</v>
      </c>
    </row>
    <row r="1458" spans="1:23" hidden="1" x14ac:dyDescent="0.25">
      <c r="A1458" s="3">
        <v>45986</v>
      </c>
      <c r="B1458" s="4" t="s">
        <v>334</v>
      </c>
      <c r="C1458" s="4" t="s">
        <v>165</v>
      </c>
      <c r="D1458" s="4"/>
      <c r="E1458" s="4" t="s">
        <v>921</v>
      </c>
      <c r="F1458" s="4" t="s">
        <v>953</v>
      </c>
      <c r="G1458" s="4" t="s">
        <v>336</v>
      </c>
      <c r="H1458" s="4" t="s">
        <v>380</v>
      </c>
      <c r="I1458" s="4">
        <v>0.1</v>
      </c>
      <c r="J1458" s="21">
        <v>250</v>
      </c>
      <c r="K1458" s="21">
        <v>25</v>
      </c>
      <c r="L1458" s="5">
        <v>0</v>
      </c>
      <c r="M1458" s="4"/>
      <c r="N1458" s="4"/>
      <c r="O1458" s="5"/>
      <c r="P1458" s="5"/>
      <c r="Q1458" s="21">
        <v>0</v>
      </c>
      <c r="R1458" s="21">
        <v>0</v>
      </c>
      <c r="S1458" s="5">
        <f t="shared" si="91"/>
        <v>67419.538760152005</v>
      </c>
      <c r="T1458" cm="1">
        <f t="array" ref="T1458">IF(OR(B1458="MAL ALIMI", B1458="ÜRETİM GİRİŞ"), MIN(I1458, MAX(0, I1458 + SUM(SUMIFS($I$1:I1457, $C$1:C1457, C1458, $B$1:B1457, {"MAL ALIMI","ÜRETİM GİRİŞ"})) - VLOOKUP(C1458, 'STOK RAPORU'!$C$2:$I$1000, 4, 0))), 0)</f>
        <v>0</v>
      </c>
      <c r="U1458" s="22">
        <f t="shared" si="88"/>
        <v>0</v>
      </c>
      <c r="V1458">
        <f t="shared" si="89"/>
        <v>0</v>
      </c>
      <c r="W1458" s="22">
        <f t="shared" si="90"/>
        <v>0</v>
      </c>
    </row>
    <row r="1459" spans="1:23" hidden="1" x14ac:dyDescent="0.25">
      <c r="A1459" s="3">
        <v>45986</v>
      </c>
      <c r="B1459" s="4" t="s">
        <v>334</v>
      </c>
      <c r="C1459" s="4" t="s">
        <v>158</v>
      </c>
      <c r="D1459" s="4"/>
      <c r="E1459" s="4" t="s">
        <v>921</v>
      </c>
      <c r="F1459" s="4" t="s">
        <v>954</v>
      </c>
      <c r="G1459" s="4" t="s">
        <v>336</v>
      </c>
      <c r="H1459" s="4" t="s">
        <v>380</v>
      </c>
      <c r="I1459" s="4">
        <v>1.19</v>
      </c>
      <c r="J1459" s="21">
        <v>130</v>
      </c>
      <c r="K1459" s="21">
        <v>154.69999999999999</v>
      </c>
      <c r="L1459" s="5">
        <v>0</v>
      </c>
      <c r="M1459" s="4"/>
      <c r="N1459" s="4"/>
      <c r="O1459" s="5"/>
      <c r="P1459" s="5"/>
      <c r="Q1459" s="21">
        <v>0</v>
      </c>
      <c r="R1459" s="21">
        <v>0</v>
      </c>
      <c r="S1459" s="5">
        <f t="shared" si="91"/>
        <v>67419.538760152005</v>
      </c>
      <c r="T1459" cm="1">
        <f t="array" ref="T1459">IF(OR(B1459="MAL ALIMI", B1459="ÜRETİM GİRİŞ"), MIN(I1459, MAX(0, I1459 + SUM(SUMIFS($I$1:I1458, $C$1:C1458, C1459, $B$1:B1458, {"MAL ALIMI","ÜRETİM GİRİŞ"})) - VLOOKUP(C1459, 'STOK RAPORU'!$C$2:$I$1000, 4, 0))), 0)</f>
        <v>0</v>
      </c>
      <c r="U1459" s="22">
        <f t="shared" si="88"/>
        <v>0</v>
      </c>
      <c r="V1459">
        <f t="shared" si="89"/>
        <v>0</v>
      </c>
      <c r="W1459" s="22">
        <f t="shared" si="90"/>
        <v>0</v>
      </c>
    </row>
    <row r="1460" spans="1:23" hidden="1" x14ac:dyDescent="0.25">
      <c r="A1460" s="3">
        <v>45986</v>
      </c>
      <c r="B1460" s="4" t="s">
        <v>334</v>
      </c>
      <c r="C1460" s="4" t="s">
        <v>751</v>
      </c>
      <c r="D1460" s="4"/>
      <c r="E1460" s="4" t="s">
        <v>921</v>
      </c>
      <c r="F1460" s="4" t="s">
        <v>954</v>
      </c>
      <c r="G1460" s="4" t="s">
        <v>336</v>
      </c>
      <c r="H1460" s="4" t="s">
        <v>380</v>
      </c>
      <c r="I1460" s="4">
        <v>1</v>
      </c>
      <c r="J1460" s="21">
        <v>220</v>
      </c>
      <c r="K1460" s="21">
        <v>220</v>
      </c>
      <c r="L1460" s="5">
        <v>0</v>
      </c>
      <c r="M1460" s="4"/>
      <c r="N1460" s="4"/>
      <c r="O1460" s="5"/>
      <c r="P1460" s="5"/>
      <c r="Q1460" s="21">
        <v>0</v>
      </c>
      <c r="R1460" s="21">
        <v>0</v>
      </c>
      <c r="S1460" s="5">
        <f t="shared" si="91"/>
        <v>67419.538760152005</v>
      </c>
      <c r="T1460" cm="1">
        <f t="array" ref="T1460">IF(OR(B1460="MAL ALIMI", B1460="ÜRETİM GİRİŞ"), MIN(I1460, MAX(0, I1460 + SUM(SUMIFS($I$1:I1459, $C$1:C1459, C1460, $B$1:B1459, {"MAL ALIMI","ÜRETİM GİRİŞ"})) - VLOOKUP(C1460, 'STOK RAPORU'!$C$2:$I$1000, 4, 0))), 0)</f>
        <v>0</v>
      </c>
      <c r="U1460" s="22">
        <f t="shared" si="88"/>
        <v>0</v>
      </c>
      <c r="V1460">
        <f t="shared" si="89"/>
        <v>0</v>
      </c>
      <c r="W1460" s="22">
        <f t="shared" si="90"/>
        <v>0</v>
      </c>
    </row>
    <row r="1461" spans="1:23" hidden="1" x14ac:dyDescent="0.25">
      <c r="A1461" s="3">
        <v>45986</v>
      </c>
      <c r="B1461" s="4" t="s">
        <v>334</v>
      </c>
      <c r="C1461" s="4" t="s">
        <v>165</v>
      </c>
      <c r="D1461" s="4"/>
      <c r="E1461" s="4" t="s">
        <v>921</v>
      </c>
      <c r="F1461" s="4" t="s">
        <v>954</v>
      </c>
      <c r="G1461" s="4" t="s">
        <v>336</v>
      </c>
      <c r="H1461" s="4" t="s">
        <v>380</v>
      </c>
      <c r="I1461" s="4">
        <v>0.1</v>
      </c>
      <c r="J1461" s="21">
        <v>250</v>
      </c>
      <c r="K1461" s="21">
        <v>25</v>
      </c>
      <c r="L1461" s="5">
        <v>0</v>
      </c>
      <c r="M1461" s="4"/>
      <c r="N1461" s="4"/>
      <c r="O1461" s="5"/>
      <c r="P1461" s="5"/>
      <c r="Q1461" s="21">
        <v>0</v>
      </c>
      <c r="R1461" s="21">
        <v>0</v>
      </c>
      <c r="S1461" s="5">
        <f t="shared" si="91"/>
        <v>67419.538760152005</v>
      </c>
      <c r="T1461" cm="1">
        <f t="array" ref="T1461">IF(OR(B1461="MAL ALIMI", B1461="ÜRETİM GİRİŞ"), MIN(I1461, MAX(0, I1461 + SUM(SUMIFS($I$1:I1460, $C$1:C1460, C1461, $B$1:B1460, {"MAL ALIMI","ÜRETİM GİRİŞ"})) - VLOOKUP(C1461, 'STOK RAPORU'!$C$2:$I$1000, 4, 0))), 0)</f>
        <v>0</v>
      </c>
      <c r="U1461" s="22">
        <f t="shared" si="88"/>
        <v>0</v>
      </c>
      <c r="V1461">
        <f t="shared" si="89"/>
        <v>0</v>
      </c>
      <c r="W1461" s="22">
        <f t="shared" si="90"/>
        <v>0</v>
      </c>
    </row>
    <row r="1462" spans="1:23" hidden="1" x14ac:dyDescent="0.25">
      <c r="A1462" s="3">
        <v>45986</v>
      </c>
      <c r="B1462" s="4" t="s">
        <v>334</v>
      </c>
      <c r="C1462" s="4" t="s">
        <v>461</v>
      </c>
      <c r="D1462" s="4"/>
      <c r="E1462" s="4" t="s">
        <v>921</v>
      </c>
      <c r="F1462" s="4" t="s">
        <v>954</v>
      </c>
      <c r="G1462" s="4" t="s">
        <v>336</v>
      </c>
      <c r="H1462" s="4" t="s">
        <v>380</v>
      </c>
      <c r="I1462" s="4">
        <v>1</v>
      </c>
      <c r="J1462" s="21">
        <v>100</v>
      </c>
      <c r="K1462" s="21">
        <v>100</v>
      </c>
      <c r="L1462" s="5">
        <v>0</v>
      </c>
      <c r="M1462" s="4"/>
      <c r="N1462" s="4"/>
      <c r="O1462" s="5"/>
      <c r="P1462" s="5"/>
      <c r="Q1462" s="21">
        <v>0</v>
      </c>
      <c r="R1462" s="21">
        <v>0</v>
      </c>
      <c r="S1462" s="5">
        <f t="shared" si="91"/>
        <v>67419.538760152005</v>
      </c>
      <c r="T1462" cm="1">
        <f t="array" ref="T1462">IF(OR(B1462="MAL ALIMI", B1462="ÜRETİM GİRİŞ"), MIN(I1462, MAX(0, I1462 + SUM(SUMIFS($I$1:I1461, $C$1:C1461, C1462, $B$1:B1461, {"MAL ALIMI","ÜRETİM GİRİŞ"})) - VLOOKUP(C1462, 'STOK RAPORU'!$C$2:$I$1000, 4, 0))), 0)</f>
        <v>0</v>
      </c>
      <c r="U1462" s="22">
        <f t="shared" si="88"/>
        <v>0</v>
      </c>
      <c r="V1462">
        <f t="shared" si="89"/>
        <v>0</v>
      </c>
      <c r="W1462" s="22">
        <f t="shared" si="90"/>
        <v>0</v>
      </c>
    </row>
    <row r="1463" spans="1:23" hidden="1" x14ac:dyDescent="0.25">
      <c r="A1463" s="3">
        <v>45986</v>
      </c>
      <c r="B1463" s="4" t="s">
        <v>334</v>
      </c>
      <c r="C1463" s="4" t="s">
        <v>260</v>
      </c>
      <c r="D1463" s="4"/>
      <c r="E1463" s="4" t="s">
        <v>921</v>
      </c>
      <c r="F1463" s="4" t="s">
        <v>955</v>
      </c>
      <c r="G1463" s="4" t="s">
        <v>336</v>
      </c>
      <c r="H1463" s="4" t="s">
        <v>380</v>
      </c>
      <c r="I1463" s="4">
        <v>1</v>
      </c>
      <c r="J1463" s="21">
        <v>140</v>
      </c>
      <c r="K1463" s="21">
        <v>140</v>
      </c>
      <c r="L1463" s="5">
        <v>0</v>
      </c>
      <c r="M1463" s="4"/>
      <c r="N1463" s="4"/>
      <c r="O1463" s="5"/>
      <c r="P1463" s="5"/>
      <c r="Q1463" s="21">
        <v>0</v>
      </c>
      <c r="R1463" s="21">
        <v>0</v>
      </c>
      <c r="S1463" s="5">
        <f t="shared" si="91"/>
        <v>67419.538760152005</v>
      </c>
      <c r="T1463" cm="1">
        <f t="array" ref="T1463">IF(OR(B1463="MAL ALIMI", B1463="ÜRETİM GİRİŞ"), MIN(I1463, MAX(0, I1463 + SUM(SUMIFS($I$1:I1462, $C$1:C1462, C1463, $B$1:B1462, {"MAL ALIMI","ÜRETİM GİRİŞ"})) - VLOOKUP(C1463, 'STOK RAPORU'!$C$2:$I$1000, 4, 0))), 0)</f>
        <v>0</v>
      </c>
      <c r="U1463" s="22">
        <f t="shared" si="88"/>
        <v>0</v>
      </c>
      <c r="V1463">
        <f t="shared" si="89"/>
        <v>0</v>
      </c>
      <c r="W1463" s="22">
        <f t="shared" si="90"/>
        <v>0</v>
      </c>
    </row>
    <row r="1464" spans="1:23" hidden="1" x14ac:dyDescent="0.25">
      <c r="A1464" s="3">
        <v>45986</v>
      </c>
      <c r="B1464" s="4" t="s">
        <v>334</v>
      </c>
      <c r="C1464" s="4" t="s">
        <v>463</v>
      </c>
      <c r="D1464" s="4"/>
      <c r="E1464" s="4"/>
      <c r="F1464" s="4" t="s">
        <v>956</v>
      </c>
      <c r="G1464" s="4" t="s">
        <v>336</v>
      </c>
      <c r="H1464" s="4" t="s">
        <v>289</v>
      </c>
      <c r="I1464" s="4">
        <v>0.29399999999999998</v>
      </c>
      <c r="J1464" s="21">
        <v>370</v>
      </c>
      <c r="K1464" s="21">
        <v>0</v>
      </c>
      <c r="L1464" s="5">
        <v>0</v>
      </c>
      <c r="M1464" s="4"/>
      <c r="N1464" s="4"/>
      <c r="O1464" s="5"/>
      <c r="P1464" s="5"/>
      <c r="Q1464" s="21">
        <v>108.77999999999999</v>
      </c>
      <c r="R1464" s="21">
        <v>0</v>
      </c>
      <c r="S1464" s="5">
        <f t="shared" si="91"/>
        <v>67528.318760152004</v>
      </c>
      <c r="T1464" cm="1">
        <f t="array" ref="T1464">IF(OR(B1464="MAL ALIMI", B1464="ÜRETİM GİRİŞ"), MIN(I1464, MAX(0, I1464 + SUM(SUMIFS($I$1:I1463, $C$1:C1463, C1464, $B$1:B1463, {"MAL ALIMI","ÜRETİM GİRİŞ"})) - VLOOKUP(C1464, 'STOK RAPORU'!$C$2:$I$1000, 4, 0))), 0)</f>
        <v>0</v>
      </c>
      <c r="U1464" s="22">
        <f t="shared" si="88"/>
        <v>0</v>
      </c>
      <c r="V1464">
        <f t="shared" si="89"/>
        <v>0</v>
      </c>
      <c r="W1464" s="22">
        <f t="shared" si="90"/>
        <v>0</v>
      </c>
    </row>
    <row r="1465" spans="1:23" hidden="1" x14ac:dyDescent="0.25">
      <c r="A1465" s="3">
        <v>45986</v>
      </c>
      <c r="B1465" s="4" t="s">
        <v>334</v>
      </c>
      <c r="C1465" s="4" t="s">
        <v>1041</v>
      </c>
      <c r="D1465" s="4"/>
      <c r="E1465" s="4"/>
      <c r="F1465" s="4" t="s">
        <v>956</v>
      </c>
      <c r="G1465" s="4" t="s">
        <v>336</v>
      </c>
      <c r="H1465" s="4" t="s">
        <v>289</v>
      </c>
      <c r="I1465" s="4">
        <v>1.03</v>
      </c>
      <c r="J1465" s="21">
        <v>290</v>
      </c>
      <c r="K1465" s="21">
        <v>0</v>
      </c>
      <c r="L1465" s="5">
        <v>0</v>
      </c>
      <c r="M1465" s="4"/>
      <c r="N1465" s="4"/>
      <c r="O1465" s="5"/>
      <c r="P1465" s="5"/>
      <c r="Q1465" s="21">
        <v>298.7</v>
      </c>
      <c r="R1465" s="21">
        <v>0</v>
      </c>
      <c r="S1465" s="5">
        <f t="shared" si="91"/>
        <v>67827.018760152001</v>
      </c>
      <c r="T1465" cm="1">
        <f t="array" ref="T1465">IF(OR(B1465="MAL ALIMI", B1465="ÜRETİM GİRİŞ"), MIN(I1465, MAX(0, I1465 + SUM(SUMIFS($I$1:I1464, $C$1:C1464, C1465, $B$1:B1464, {"MAL ALIMI","ÜRETİM GİRİŞ"})) - VLOOKUP(C1465, 'STOK RAPORU'!$C$2:$I$1000, 4, 0))), 0)</f>
        <v>0</v>
      </c>
      <c r="U1465" s="22">
        <f t="shared" si="88"/>
        <v>0</v>
      </c>
      <c r="V1465">
        <f t="shared" si="89"/>
        <v>0</v>
      </c>
      <c r="W1465" s="22">
        <f t="shared" si="90"/>
        <v>0</v>
      </c>
    </row>
    <row r="1466" spans="1:23" hidden="1" x14ac:dyDescent="0.25">
      <c r="A1466" s="3">
        <v>45986</v>
      </c>
      <c r="B1466" s="4" t="s">
        <v>334</v>
      </c>
      <c r="C1466" s="4" t="s">
        <v>826</v>
      </c>
      <c r="D1466" s="4"/>
      <c r="E1466" s="4"/>
      <c r="F1466" s="4" t="s">
        <v>956</v>
      </c>
      <c r="G1466" s="4" t="s">
        <v>336</v>
      </c>
      <c r="H1466" s="4" t="s">
        <v>289</v>
      </c>
      <c r="I1466" s="4">
        <v>1</v>
      </c>
      <c r="J1466" s="21">
        <v>130</v>
      </c>
      <c r="K1466" s="21">
        <v>0</v>
      </c>
      <c r="L1466" s="5">
        <v>0</v>
      </c>
      <c r="M1466" s="4"/>
      <c r="N1466" s="4"/>
      <c r="O1466" s="5"/>
      <c r="P1466" s="5"/>
      <c r="Q1466" s="21">
        <v>130</v>
      </c>
      <c r="R1466" s="21">
        <v>0</v>
      </c>
      <c r="S1466" s="5">
        <f t="shared" si="91"/>
        <v>67957.018760152001</v>
      </c>
      <c r="T1466" cm="1">
        <f t="array" ref="T1466">IF(OR(B1466="MAL ALIMI", B1466="ÜRETİM GİRİŞ"), MIN(I1466, MAX(0, I1466 + SUM(SUMIFS($I$1:I1465, $C$1:C1465, C1466, $B$1:B1465, {"MAL ALIMI","ÜRETİM GİRİŞ"})) - VLOOKUP(C1466, 'STOK RAPORU'!$C$2:$I$1000, 4, 0))), 0)</f>
        <v>0</v>
      </c>
      <c r="U1466" s="22">
        <f t="shared" si="88"/>
        <v>0</v>
      </c>
      <c r="V1466">
        <f t="shared" si="89"/>
        <v>0</v>
      </c>
      <c r="W1466" s="22">
        <f t="shared" si="90"/>
        <v>0</v>
      </c>
    </row>
    <row r="1467" spans="1:23" hidden="1" x14ac:dyDescent="0.25">
      <c r="A1467" s="45">
        <v>45986</v>
      </c>
      <c r="B1467" s="46" t="s">
        <v>334</v>
      </c>
      <c r="C1467" s="46" t="s">
        <v>695</v>
      </c>
      <c r="D1467" s="46"/>
      <c r="E1467" s="46"/>
      <c r="F1467" s="46" t="s">
        <v>957</v>
      </c>
      <c r="G1467" s="46" t="s">
        <v>439</v>
      </c>
      <c r="H1467" s="46" t="s">
        <v>289</v>
      </c>
      <c r="I1467" s="46">
        <v>5</v>
      </c>
      <c r="J1467" s="47">
        <v>90</v>
      </c>
      <c r="K1467" s="47">
        <v>0</v>
      </c>
      <c r="L1467" s="48">
        <v>0</v>
      </c>
      <c r="M1467" s="4"/>
      <c r="N1467" s="4"/>
      <c r="O1467" s="5"/>
      <c r="P1467" s="5"/>
      <c r="Q1467" s="47">
        <v>450</v>
      </c>
      <c r="R1467" s="21">
        <v>0</v>
      </c>
      <c r="S1467" s="5">
        <f t="shared" si="91"/>
        <v>68407.018760152001</v>
      </c>
      <c r="T1467" cm="1">
        <f t="array" ref="T1467">IF(OR(B1467="MAL ALIMI", B1467="ÜRETİM GİRİŞ"), MIN(I1467, MAX(0, I1467 + SUM(SUMIFS($I$1:I1466, $C$1:C1466, C1467, $B$1:B1466, {"MAL ALIMI","ÜRETİM GİRİŞ"})) - VLOOKUP(C1467, 'STOK RAPORU'!$C$2:$I$1000, 4, 0))), 0)</f>
        <v>0</v>
      </c>
      <c r="U1467" s="22">
        <f t="shared" si="88"/>
        <v>0</v>
      </c>
      <c r="V1467">
        <f t="shared" si="89"/>
        <v>0</v>
      </c>
      <c r="W1467" s="22">
        <f t="shared" si="90"/>
        <v>0</v>
      </c>
    </row>
    <row r="1468" spans="1:23" hidden="1" x14ac:dyDescent="0.25">
      <c r="A1468" s="3">
        <v>45986</v>
      </c>
      <c r="B1468" s="4" t="s">
        <v>334</v>
      </c>
      <c r="C1468" s="4" t="s">
        <v>132</v>
      </c>
      <c r="D1468" s="4"/>
      <c r="E1468" s="4"/>
      <c r="F1468" s="4" t="s">
        <v>959</v>
      </c>
      <c r="G1468" s="4" t="s">
        <v>336</v>
      </c>
      <c r="H1468" s="4" t="s">
        <v>289</v>
      </c>
      <c r="I1468" s="4">
        <v>1</v>
      </c>
      <c r="J1468" s="21">
        <v>500</v>
      </c>
      <c r="K1468" s="21">
        <v>0</v>
      </c>
      <c r="L1468" s="5">
        <v>0</v>
      </c>
      <c r="M1468" s="4"/>
      <c r="N1468" s="4"/>
      <c r="O1468" s="5"/>
      <c r="P1468" s="5"/>
      <c r="Q1468" s="21">
        <v>500</v>
      </c>
      <c r="R1468" s="21">
        <v>0</v>
      </c>
      <c r="S1468" s="5">
        <f t="shared" si="91"/>
        <v>68907.018760152001</v>
      </c>
      <c r="T1468" cm="1">
        <f t="array" ref="T1468">IF(OR(B1468="MAL ALIMI", B1468="ÜRETİM GİRİŞ"), MIN(I1468, MAX(0, I1468 + SUM(SUMIFS($I$1:I1467, $C$1:C1467, C1468, $B$1:B1467, {"MAL ALIMI","ÜRETİM GİRİŞ"})) - VLOOKUP(C1468, 'STOK RAPORU'!$C$2:$I$1000, 4, 0))), 0)</f>
        <v>0</v>
      </c>
      <c r="U1468" s="22">
        <f t="shared" si="88"/>
        <v>0</v>
      </c>
      <c r="V1468">
        <f t="shared" si="89"/>
        <v>0</v>
      </c>
      <c r="W1468" s="22">
        <f t="shared" si="90"/>
        <v>0</v>
      </c>
    </row>
    <row r="1469" spans="1:23" hidden="1" x14ac:dyDescent="0.25">
      <c r="A1469" s="3">
        <v>45986</v>
      </c>
      <c r="B1469" s="4" t="s">
        <v>334</v>
      </c>
      <c r="C1469" s="4" t="s">
        <v>463</v>
      </c>
      <c r="D1469" s="4"/>
      <c r="E1469" s="4"/>
      <c r="F1469" s="4" t="s">
        <v>959</v>
      </c>
      <c r="G1469" s="4" t="s">
        <v>336</v>
      </c>
      <c r="H1469" s="4" t="s">
        <v>289</v>
      </c>
      <c r="I1469" s="4">
        <v>0.5</v>
      </c>
      <c r="J1469" s="21">
        <v>370</v>
      </c>
      <c r="K1469" s="21">
        <v>0</v>
      </c>
      <c r="L1469" s="5">
        <v>0</v>
      </c>
      <c r="M1469" s="4"/>
      <c r="N1469" s="4"/>
      <c r="O1469" s="5"/>
      <c r="P1469" s="5"/>
      <c r="Q1469" s="21">
        <v>185</v>
      </c>
      <c r="R1469" s="21">
        <v>0</v>
      </c>
      <c r="S1469" s="5">
        <f t="shared" si="91"/>
        <v>69092.018760152001</v>
      </c>
      <c r="T1469" cm="1">
        <f t="array" ref="T1469">IF(OR(B1469="MAL ALIMI", B1469="ÜRETİM GİRİŞ"), MIN(I1469, MAX(0, I1469 + SUM(SUMIFS($I$1:I1468, $C$1:C1468, C1469, $B$1:B1468, {"MAL ALIMI","ÜRETİM GİRİŞ"})) - VLOOKUP(C1469, 'STOK RAPORU'!$C$2:$I$1000, 4, 0))), 0)</f>
        <v>0</v>
      </c>
      <c r="U1469" s="22">
        <f t="shared" si="88"/>
        <v>0</v>
      </c>
      <c r="V1469">
        <f t="shared" si="89"/>
        <v>0</v>
      </c>
      <c r="W1469" s="22">
        <f t="shared" si="90"/>
        <v>0</v>
      </c>
    </row>
    <row r="1470" spans="1:23" hidden="1" x14ac:dyDescent="0.25">
      <c r="A1470" s="3">
        <v>45986</v>
      </c>
      <c r="B1470" s="4" t="s">
        <v>334</v>
      </c>
      <c r="C1470" s="4" t="s">
        <v>60</v>
      </c>
      <c r="D1470" s="4"/>
      <c r="E1470" s="4"/>
      <c r="F1470" s="4" t="s">
        <v>959</v>
      </c>
      <c r="G1470" s="4" t="s">
        <v>336</v>
      </c>
      <c r="H1470" s="4" t="s">
        <v>289</v>
      </c>
      <c r="I1470" s="4">
        <v>0.05</v>
      </c>
      <c r="J1470" s="21">
        <v>1200</v>
      </c>
      <c r="K1470" s="21">
        <v>0</v>
      </c>
      <c r="L1470" s="5">
        <v>0</v>
      </c>
      <c r="M1470" s="4"/>
      <c r="N1470" s="4"/>
      <c r="O1470" s="5"/>
      <c r="P1470" s="5"/>
      <c r="Q1470" s="21">
        <v>60</v>
      </c>
      <c r="R1470" s="21">
        <v>0</v>
      </c>
      <c r="S1470" s="5">
        <f t="shared" si="91"/>
        <v>69152.018760152001</v>
      </c>
      <c r="T1470" cm="1">
        <f t="array" ref="T1470">IF(OR(B1470="MAL ALIMI", B1470="ÜRETİM GİRİŞ"), MIN(I1470, MAX(0, I1470 + SUM(SUMIFS($I$1:I1469, $C$1:C1469, C1470, $B$1:B1469, {"MAL ALIMI","ÜRETİM GİRİŞ"})) - VLOOKUP(C1470, 'STOK RAPORU'!$C$2:$I$1000, 4, 0))), 0)</f>
        <v>0</v>
      </c>
      <c r="U1470" s="22">
        <f t="shared" si="88"/>
        <v>0</v>
      </c>
      <c r="V1470">
        <f t="shared" si="89"/>
        <v>0</v>
      </c>
      <c r="W1470" s="22">
        <f t="shared" si="90"/>
        <v>0</v>
      </c>
    </row>
    <row r="1471" spans="1:23" hidden="1" x14ac:dyDescent="0.25">
      <c r="A1471" s="3">
        <v>45986</v>
      </c>
      <c r="B1471" s="4" t="s">
        <v>334</v>
      </c>
      <c r="C1471" s="4" t="s">
        <v>158</v>
      </c>
      <c r="D1471" s="4"/>
      <c r="E1471" s="4"/>
      <c r="F1471" s="4" t="s">
        <v>959</v>
      </c>
      <c r="G1471" s="4" t="s">
        <v>336</v>
      </c>
      <c r="H1471" s="4" t="s">
        <v>289</v>
      </c>
      <c r="I1471" s="4">
        <v>1.53</v>
      </c>
      <c r="J1471" s="21">
        <v>120</v>
      </c>
      <c r="K1471" s="21">
        <v>0</v>
      </c>
      <c r="L1471" s="5">
        <v>0</v>
      </c>
      <c r="M1471" s="4"/>
      <c r="N1471" s="4"/>
      <c r="O1471" s="5"/>
      <c r="P1471" s="5"/>
      <c r="Q1471" s="21">
        <v>183.6</v>
      </c>
      <c r="R1471" s="21">
        <v>0</v>
      </c>
      <c r="S1471" s="5">
        <f t="shared" si="91"/>
        <v>69335.618760152007</v>
      </c>
      <c r="T1471" cm="1">
        <f t="array" ref="T1471">IF(OR(B1471="MAL ALIMI", B1471="ÜRETİM GİRİŞ"), MIN(I1471, MAX(0, I1471 + SUM(SUMIFS($I$1:I1470, $C$1:C1470, C1471, $B$1:B1470, {"MAL ALIMI","ÜRETİM GİRİŞ"})) - VLOOKUP(C1471, 'STOK RAPORU'!$C$2:$I$1000, 4, 0))), 0)</f>
        <v>0</v>
      </c>
      <c r="U1471" s="22">
        <f t="shared" si="88"/>
        <v>0</v>
      </c>
      <c r="V1471">
        <f t="shared" si="89"/>
        <v>0</v>
      </c>
      <c r="W1471" s="22">
        <f t="shared" si="90"/>
        <v>0</v>
      </c>
    </row>
    <row r="1472" spans="1:23" hidden="1" x14ac:dyDescent="0.25">
      <c r="A1472" s="3">
        <v>45986</v>
      </c>
      <c r="B1472" s="4" t="s">
        <v>334</v>
      </c>
      <c r="C1472" s="4" t="s">
        <v>156</v>
      </c>
      <c r="D1472" s="4"/>
      <c r="E1472" s="4"/>
      <c r="F1472" s="4" t="s">
        <v>959</v>
      </c>
      <c r="G1472" s="4" t="s">
        <v>336</v>
      </c>
      <c r="H1472" s="4" t="s">
        <v>289</v>
      </c>
      <c r="I1472" s="4">
        <v>1.0349999999999999</v>
      </c>
      <c r="J1472" s="21">
        <v>166</v>
      </c>
      <c r="K1472" s="21">
        <v>0</v>
      </c>
      <c r="L1472" s="5">
        <v>0</v>
      </c>
      <c r="M1472" s="4"/>
      <c r="N1472" s="4"/>
      <c r="O1472" s="5"/>
      <c r="P1472" s="5"/>
      <c r="Q1472" s="21">
        <v>171.80999999999997</v>
      </c>
      <c r="R1472" s="21">
        <v>0</v>
      </c>
      <c r="S1472" s="5">
        <f t="shared" si="91"/>
        <v>69507.428760152005</v>
      </c>
      <c r="T1472" cm="1">
        <f t="array" ref="T1472">IF(OR(B1472="MAL ALIMI", B1472="ÜRETİM GİRİŞ"), MIN(I1472, MAX(0, I1472 + SUM(SUMIFS($I$1:I1471, $C$1:C1471, C1472, $B$1:B1471, {"MAL ALIMI","ÜRETİM GİRİŞ"})) - VLOOKUP(C1472, 'STOK RAPORU'!$C$2:$I$1000, 4, 0))), 0)</f>
        <v>0</v>
      </c>
      <c r="U1472" s="22">
        <f t="shared" si="88"/>
        <v>0</v>
      </c>
      <c r="V1472">
        <f t="shared" si="89"/>
        <v>0</v>
      </c>
      <c r="W1472" s="22">
        <f t="shared" si="90"/>
        <v>0</v>
      </c>
    </row>
    <row r="1473" spans="1:23" hidden="1" x14ac:dyDescent="0.25">
      <c r="A1473" s="3">
        <v>45986</v>
      </c>
      <c r="B1473" s="4" t="s">
        <v>334</v>
      </c>
      <c r="C1473" s="4" t="s">
        <v>523</v>
      </c>
      <c r="D1473" s="4"/>
      <c r="E1473" s="4"/>
      <c r="F1473" s="4" t="s">
        <v>960</v>
      </c>
      <c r="G1473" s="4" t="s">
        <v>336</v>
      </c>
      <c r="H1473" s="4" t="s">
        <v>289</v>
      </c>
      <c r="I1473" s="4">
        <v>0.1</v>
      </c>
      <c r="J1473" s="21">
        <v>650</v>
      </c>
      <c r="K1473" s="21">
        <v>0</v>
      </c>
      <c r="L1473" s="5">
        <v>0</v>
      </c>
      <c r="M1473" s="4"/>
      <c r="N1473" s="4"/>
      <c r="O1473" s="5"/>
      <c r="P1473" s="5"/>
      <c r="Q1473" s="21">
        <v>65</v>
      </c>
      <c r="R1473" s="21">
        <v>0</v>
      </c>
      <c r="S1473" s="5">
        <f t="shared" si="91"/>
        <v>69572.428760152005</v>
      </c>
      <c r="T1473" cm="1">
        <f t="array" ref="T1473">IF(OR(B1473="MAL ALIMI", B1473="ÜRETİM GİRİŞ"), MIN(I1473, MAX(0, I1473 + SUM(SUMIFS($I$1:I1472, $C$1:C1472, C1473, $B$1:B1472, {"MAL ALIMI","ÜRETİM GİRİŞ"})) - VLOOKUP(C1473, 'STOK RAPORU'!$C$2:$I$1000, 4, 0))), 0)</f>
        <v>0</v>
      </c>
      <c r="U1473" s="22">
        <f t="shared" si="88"/>
        <v>0</v>
      </c>
      <c r="V1473">
        <f t="shared" si="89"/>
        <v>0</v>
      </c>
      <c r="W1473" s="22">
        <f t="shared" si="90"/>
        <v>0</v>
      </c>
    </row>
    <row r="1474" spans="1:23" hidden="1" x14ac:dyDescent="0.25">
      <c r="A1474" s="3">
        <v>45986</v>
      </c>
      <c r="B1474" s="4" t="s">
        <v>334</v>
      </c>
      <c r="C1474" s="4" t="s">
        <v>60</v>
      </c>
      <c r="D1474" s="4"/>
      <c r="E1474" s="4"/>
      <c r="F1474" s="4" t="s">
        <v>960</v>
      </c>
      <c r="G1474" s="4" t="s">
        <v>336</v>
      </c>
      <c r="H1474" s="4" t="s">
        <v>289</v>
      </c>
      <c r="I1474" s="4">
        <v>0.05</v>
      </c>
      <c r="J1474" s="21">
        <v>1200</v>
      </c>
      <c r="K1474" s="21">
        <v>0</v>
      </c>
      <c r="L1474" s="5">
        <v>0</v>
      </c>
      <c r="M1474" s="4"/>
      <c r="N1474" s="4"/>
      <c r="O1474" s="5"/>
      <c r="P1474" s="5"/>
      <c r="Q1474" s="21">
        <v>60</v>
      </c>
      <c r="R1474" s="21">
        <v>0</v>
      </c>
      <c r="S1474" s="5">
        <f t="shared" si="91"/>
        <v>69632.428760152005</v>
      </c>
      <c r="T1474" cm="1">
        <f t="array" ref="T1474">IF(OR(B1474="MAL ALIMI", B1474="ÜRETİM GİRİŞ"), MIN(I1474, MAX(0, I1474 + SUM(SUMIFS($I$1:I1473, $C$1:C1473, C1474, $B$1:B1473, {"MAL ALIMI","ÜRETİM GİRİŞ"})) - VLOOKUP(C1474, 'STOK RAPORU'!$C$2:$I$1000, 4, 0))), 0)</f>
        <v>0</v>
      </c>
      <c r="U1474" s="22">
        <f t="shared" si="88"/>
        <v>0</v>
      </c>
      <c r="V1474">
        <f t="shared" si="89"/>
        <v>0</v>
      </c>
      <c r="W1474" s="22">
        <f t="shared" si="90"/>
        <v>0</v>
      </c>
    </row>
    <row r="1475" spans="1:23" hidden="1" x14ac:dyDescent="0.25">
      <c r="A1475" s="3">
        <v>45986</v>
      </c>
      <c r="B1475" s="4" t="s">
        <v>334</v>
      </c>
      <c r="C1475" s="4" t="s">
        <v>235</v>
      </c>
      <c r="D1475" s="4"/>
      <c r="E1475" s="4"/>
      <c r="F1475" s="4" t="s">
        <v>961</v>
      </c>
      <c r="G1475" s="4" t="s">
        <v>336</v>
      </c>
      <c r="H1475" s="4" t="s">
        <v>289</v>
      </c>
      <c r="I1475" s="4">
        <v>1</v>
      </c>
      <c r="J1475" s="21">
        <v>190</v>
      </c>
      <c r="K1475" s="21">
        <v>0</v>
      </c>
      <c r="L1475" s="5">
        <v>0</v>
      </c>
      <c r="M1475" s="4"/>
      <c r="N1475" s="4"/>
      <c r="O1475" s="5"/>
      <c r="P1475" s="5"/>
      <c r="Q1475" s="21">
        <v>190</v>
      </c>
      <c r="R1475" s="21">
        <v>0</v>
      </c>
      <c r="S1475" s="5">
        <f t="shared" si="91"/>
        <v>69822.428760152005</v>
      </c>
      <c r="T1475" cm="1">
        <f t="array" ref="T1475">IF(OR(B1475="MAL ALIMI", B1475="ÜRETİM GİRİŞ"), MIN(I1475, MAX(0, I1475 + SUM(SUMIFS($I$1:I1474, $C$1:C1474, C1475, $B$1:B1474, {"MAL ALIMI","ÜRETİM GİRİŞ"})) - VLOOKUP(C1475, 'STOK RAPORU'!$C$2:$I$1000, 4, 0))), 0)</f>
        <v>0</v>
      </c>
      <c r="U1475" s="22">
        <f t="shared" ref="U1475:U1538" si="92">T1475*J1475</f>
        <v>0</v>
      </c>
      <c r="V1475">
        <f t="shared" ref="V1475:V1538" si="93">IF(OR(B1475="MAL ALIMI", B1475="ÜRETİM GİRİŞ"), I1475 * J1475, 0)</f>
        <v>0</v>
      </c>
      <c r="W1475" s="22">
        <f t="shared" ref="W1475:W1538" si="94">V1475-U1475</f>
        <v>0</v>
      </c>
    </row>
    <row r="1476" spans="1:23" hidden="1" x14ac:dyDescent="0.25">
      <c r="A1476" s="3">
        <v>45986</v>
      </c>
      <c r="B1476" s="4" t="s">
        <v>334</v>
      </c>
      <c r="C1476" s="4" t="s">
        <v>158</v>
      </c>
      <c r="D1476" s="4"/>
      <c r="E1476" s="4"/>
      <c r="F1476" s="4" t="s">
        <v>962</v>
      </c>
      <c r="G1476" s="4" t="s">
        <v>336</v>
      </c>
      <c r="H1476" s="4" t="s">
        <v>289</v>
      </c>
      <c r="I1476" s="4">
        <v>1.0549999999999999</v>
      </c>
      <c r="J1476" s="21">
        <v>130</v>
      </c>
      <c r="K1476" s="21">
        <v>0</v>
      </c>
      <c r="L1476" s="5">
        <v>0</v>
      </c>
      <c r="M1476" s="4"/>
      <c r="N1476" s="4"/>
      <c r="O1476" s="5"/>
      <c r="P1476" s="5"/>
      <c r="Q1476" s="21">
        <v>137.15</v>
      </c>
      <c r="R1476" s="21">
        <v>0</v>
      </c>
      <c r="S1476" s="5">
        <f t="shared" ref="S1476:S1539" si="95">S1475+Q1476-R1476</f>
        <v>69959.578760151999</v>
      </c>
      <c r="T1476" cm="1">
        <f t="array" ref="T1476">IF(OR(B1476="MAL ALIMI", B1476="ÜRETİM GİRİŞ"), MIN(I1476, MAX(0, I1476 + SUM(SUMIFS($I$1:I1475, $C$1:C1475, C1476, $B$1:B1475, {"MAL ALIMI","ÜRETİM GİRİŞ"})) - VLOOKUP(C1476, 'STOK RAPORU'!$C$2:$I$1000, 4, 0))), 0)</f>
        <v>0</v>
      </c>
      <c r="U1476" s="22">
        <f t="shared" si="92"/>
        <v>0</v>
      </c>
      <c r="V1476">
        <f t="shared" si="93"/>
        <v>0</v>
      </c>
      <c r="W1476" s="22">
        <f t="shared" si="94"/>
        <v>0</v>
      </c>
    </row>
    <row r="1477" spans="1:23" hidden="1" x14ac:dyDescent="0.25">
      <c r="A1477" s="3">
        <v>45986</v>
      </c>
      <c r="B1477" s="4" t="s">
        <v>334</v>
      </c>
      <c r="C1477" s="4" t="s">
        <v>126</v>
      </c>
      <c r="D1477" s="4"/>
      <c r="E1477" s="4"/>
      <c r="F1477" s="4" t="s">
        <v>962</v>
      </c>
      <c r="G1477" s="4" t="s">
        <v>336</v>
      </c>
      <c r="H1477" s="4" t="s">
        <v>289</v>
      </c>
      <c r="I1477" s="4">
        <v>6.0999999999999999E-2</v>
      </c>
      <c r="J1477" s="21">
        <v>640</v>
      </c>
      <c r="K1477" s="21">
        <v>0</v>
      </c>
      <c r="L1477" s="5">
        <v>0</v>
      </c>
      <c r="M1477" s="4"/>
      <c r="N1477" s="4"/>
      <c r="O1477" s="5"/>
      <c r="P1477" s="5"/>
      <c r="Q1477" s="21">
        <v>39.04</v>
      </c>
      <c r="R1477" s="21">
        <v>0</v>
      </c>
      <c r="S1477" s="5">
        <f t="shared" si="95"/>
        <v>69998.618760151992</v>
      </c>
      <c r="T1477" cm="1">
        <f t="array" ref="T1477">IF(OR(B1477="MAL ALIMI", B1477="ÜRETİM GİRİŞ"), MIN(I1477, MAX(0, I1477 + SUM(SUMIFS($I$1:I1476, $C$1:C1476, C1477, $B$1:B1476, {"MAL ALIMI","ÜRETİM GİRİŞ"})) - VLOOKUP(C1477, 'STOK RAPORU'!$C$2:$I$1000, 4, 0))), 0)</f>
        <v>0</v>
      </c>
      <c r="U1477" s="22">
        <f t="shared" si="92"/>
        <v>0</v>
      </c>
      <c r="V1477">
        <f t="shared" si="93"/>
        <v>0</v>
      </c>
      <c r="W1477" s="22">
        <f t="shared" si="94"/>
        <v>0</v>
      </c>
    </row>
    <row r="1478" spans="1:23" hidden="1" x14ac:dyDescent="0.25">
      <c r="A1478" s="3">
        <v>45986</v>
      </c>
      <c r="B1478" s="4" t="s">
        <v>334</v>
      </c>
      <c r="C1478" s="4" t="s">
        <v>132</v>
      </c>
      <c r="D1478" s="4"/>
      <c r="E1478" s="4"/>
      <c r="F1478" s="4" t="s">
        <v>962</v>
      </c>
      <c r="G1478" s="4" t="s">
        <v>336</v>
      </c>
      <c r="H1478" s="4" t="s">
        <v>289</v>
      </c>
      <c r="I1478" s="4">
        <v>0.182</v>
      </c>
      <c r="J1478" s="21">
        <v>500</v>
      </c>
      <c r="K1478" s="21">
        <v>0</v>
      </c>
      <c r="L1478" s="5">
        <v>0</v>
      </c>
      <c r="M1478" s="4"/>
      <c r="N1478" s="4"/>
      <c r="O1478" s="5"/>
      <c r="P1478" s="5"/>
      <c r="Q1478" s="21">
        <v>91</v>
      </c>
      <c r="R1478" s="21">
        <v>0</v>
      </c>
      <c r="S1478" s="5">
        <f t="shared" si="95"/>
        <v>70089.618760151992</v>
      </c>
      <c r="T1478" cm="1">
        <f t="array" ref="T1478">IF(OR(B1478="MAL ALIMI", B1478="ÜRETİM GİRİŞ"), MIN(I1478, MAX(0, I1478 + SUM(SUMIFS($I$1:I1477, $C$1:C1477, C1478, $B$1:B1477, {"MAL ALIMI","ÜRETİM GİRİŞ"})) - VLOOKUP(C1478, 'STOK RAPORU'!$C$2:$I$1000, 4, 0))), 0)</f>
        <v>0</v>
      </c>
      <c r="U1478" s="22">
        <f t="shared" si="92"/>
        <v>0</v>
      </c>
      <c r="V1478">
        <f t="shared" si="93"/>
        <v>0</v>
      </c>
      <c r="W1478" s="22">
        <f t="shared" si="94"/>
        <v>0</v>
      </c>
    </row>
    <row r="1479" spans="1:23" hidden="1" x14ac:dyDescent="0.25">
      <c r="A1479" s="3">
        <v>45986</v>
      </c>
      <c r="B1479" s="4" t="s">
        <v>334</v>
      </c>
      <c r="C1479" s="4" t="s">
        <v>196</v>
      </c>
      <c r="D1479" s="4"/>
      <c r="E1479" s="4"/>
      <c r="F1479" s="4" t="s">
        <v>962</v>
      </c>
      <c r="G1479" s="4" t="s">
        <v>336</v>
      </c>
      <c r="H1479" s="4" t="s">
        <v>289</v>
      </c>
      <c r="I1479" s="4">
        <v>0.26400000000000001</v>
      </c>
      <c r="J1479" s="21">
        <v>190</v>
      </c>
      <c r="K1479" s="21">
        <v>0</v>
      </c>
      <c r="L1479" s="5">
        <v>0</v>
      </c>
      <c r="M1479" s="4"/>
      <c r="N1479" s="4"/>
      <c r="O1479" s="5"/>
      <c r="P1479" s="5"/>
      <c r="Q1479" s="21">
        <v>50.160000000000004</v>
      </c>
      <c r="R1479" s="21">
        <v>0</v>
      </c>
      <c r="S1479" s="5">
        <f t="shared" si="95"/>
        <v>70139.778760151996</v>
      </c>
      <c r="T1479" cm="1">
        <f t="array" ref="T1479">IF(OR(B1479="MAL ALIMI", B1479="ÜRETİM GİRİŞ"), MIN(I1479, MAX(0, I1479 + SUM(SUMIFS($I$1:I1478, $C$1:C1478, C1479, $B$1:B1478, {"MAL ALIMI","ÜRETİM GİRİŞ"})) - VLOOKUP(C1479, 'STOK RAPORU'!$C$2:$I$1000, 4, 0))), 0)</f>
        <v>0</v>
      </c>
      <c r="U1479" s="22">
        <f t="shared" si="92"/>
        <v>0</v>
      </c>
      <c r="V1479">
        <f t="shared" si="93"/>
        <v>0</v>
      </c>
      <c r="W1479" s="22">
        <f t="shared" si="94"/>
        <v>0</v>
      </c>
    </row>
    <row r="1480" spans="1:23" hidden="1" x14ac:dyDescent="0.25">
      <c r="A1480" s="3">
        <v>45986</v>
      </c>
      <c r="B1480" s="4" t="s">
        <v>334</v>
      </c>
      <c r="C1480" s="4" t="s">
        <v>651</v>
      </c>
      <c r="D1480" s="4"/>
      <c r="E1480" s="4"/>
      <c r="F1480" s="4" t="s">
        <v>962</v>
      </c>
      <c r="G1480" s="4" t="s">
        <v>336</v>
      </c>
      <c r="H1480" s="4" t="s">
        <v>289</v>
      </c>
      <c r="I1480" s="4">
        <v>1</v>
      </c>
      <c r="J1480" s="21">
        <v>383</v>
      </c>
      <c r="K1480" s="21">
        <v>0</v>
      </c>
      <c r="L1480" s="5">
        <v>0</v>
      </c>
      <c r="M1480" s="4"/>
      <c r="N1480" s="4"/>
      <c r="O1480" s="5"/>
      <c r="P1480" s="5"/>
      <c r="Q1480" s="21">
        <v>383</v>
      </c>
      <c r="R1480" s="21">
        <v>0</v>
      </c>
      <c r="S1480" s="5">
        <f t="shared" si="95"/>
        <v>70522.778760151996</v>
      </c>
      <c r="T1480" cm="1">
        <f t="array" ref="T1480">IF(OR(B1480="MAL ALIMI", B1480="ÜRETİM GİRİŞ"), MIN(I1480, MAX(0, I1480 + SUM(SUMIFS($I$1:I1479, $C$1:C1479, C1480, $B$1:B1479, {"MAL ALIMI","ÜRETİM GİRİŞ"})) - VLOOKUP(C1480, 'STOK RAPORU'!$C$2:$I$1000, 4, 0))), 0)</f>
        <v>0</v>
      </c>
      <c r="U1480" s="22">
        <f t="shared" si="92"/>
        <v>0</v>
      </c>
      <c r="V1480">
        <f t="shared" si="93"/>
        <v>0</v>
      </c>
      <c r="W1480" s="22">
        <f t="shared" si="94"/>
        <v>0</v>
      </c>
    </row>
    <row r="1481" spans="1:23" hidden="1" x14ac:dyDescent="0.25">
      <c r="A1481" s="3">
        <v>45986</v>
      </c>
      <c r="B1481" s="4" t="s">
        <v>334</v>
      </c>
      <c r="C1481" s="4" t="s">
        <v>236</v>
      </c>
      <c r="D1481" s="4"/>
      <c r="E1481" s="4"/>
      <c r="F1481" s="4" t="s">
        <v>963</v>
      </c>
      <c r="G1481" s="4" t="s">
        <v>336</v>
      </c>
      <c r="H1481" s="4" t="s">
        <v>289</v>
      </c>
      <c r="I1481" s="4">
        <v>1.34</v>
      </c>
      <c r="J1481" s="21">
        <v>350</v>
      </c>
      <c r="K1481" s="21">
        <v>0</v>
      </c>
      <c r="L1481" s="5">
        <v>0</v>
      </c>
      <c r="M1481" s="4"/>
      <c r="N1481" s="4"/>
      <c r="O1481" s="5"/>
      <c r="P1481" s="5"/>
      <c r="Q1481" s="21">
        <v>469</v>
      </c>
      <c r="R1481" s="21">
        <v>0</v>
      </c>
      <c r="S1481" s="5">
        <f t="shared" si="95"/>
        <v>70991.778760151996</v>
      </c>
      <c r="T1481" cm="1">
        <f t="array" ref="T1481">IF(OR(B1481="MAL ALIMI", B1481="ÜRETİM GİRİŞ"), MIN(I1481, MAX(0, I1481 + SUM(SUMIFS($I$1:I1480, $C$1:C1480, C1481, $B$1:B1480, {"MAL ALIMI","ÜRETİM GİRİŞ"})) - VLOOKUP(C1481, 'STOK RAPORU'!$C$2:$I$1000, 4, 0))), 0)</f>
        <v>0</v>
      </c>
      <c r="U1481" s="22">
        <f t="shared" si="92"/>
        <v>0</v>
      </c>
      <c r="V1481">
        <f t="shared" si="93"/>
        <v>0</v>
      </c>
      <c r="W1481" s="22">
        <f t="shared" si="94"/>
        <v>0</v>
      </c>
    </row>
    <row r="1482" spans="1:23" hidden="1" x14ac:dyDescent="0.25">
      <c r="A1482" s="3">
        <v>45986</v>
      </c>
      <c r="B1482" s="4" t="s">
        <v>334</v>
      </c>
      <c r="C1482" s="4" t="s">
        <v>167</v>
      </c>
      <c r="D1482" s="4"/>
      <c r="E1482" s="4"/>
      <c r="F1482" s="4" t="s">
        <v>964</v>
      </c>
      <c r="G1482" s="4" t="s">
        <v>336</v>
      </c>
      <c r="H1482" s="4" t="s">
        <v>289</v>
      </c>
      <c r="I1482" s="4">
        <v>1</v>
      </c>
      <c r="J1482" s="21">
        <v>200</v>
      </c>
      <c r="K1482" s="21">
        <v>0</v>
      </c>
      <c r="L1482" s="5">
        <v>0</v>
      </c>
      <c r="M1482" s="4"/>
      <c r="N1482" s="4"/>
      <c r="O1482" s="5"/>
      <c r="P1482" s="5"/>
      <c r="Q1482" s="21">
        <v>200</v>
      </c>
      <c r="R1482" s="21">
        <v>0</v>
      </c>
      <c r="S1482" s="5">
        <f t="shared" si="95"/>
        <v>71191.778760151996</v>
      </c>
      <c r="T1482" cm="1">
        <f t="array" ref="T1482">IF(OR(B1482="MAL ALIMI", B1482="ÜRETİM GİRİŞ"), MIN(I1482, MAX(0, I1482 + SUM(SUMIFS($I$1:I1481, $C$1:C1481, C1482, $B$1:B1481, {"MAL ALIMI","ÜRETİM GİRİŞ"})) - VLOOKUP(C1482, 'STOK RAPORU'!$C$2:$I$1000, 4, 0))), 0)</f>
        <v>0</v>
      </c>
      <c r="U1482" s="22">
        <f t="shared" si="92"/>
        <v>0</v>
      </c>
      <c r="V1482">
        <f t="shared" si="93"/>
        <v>0</v>
      </c>
      <c r="W1482" s="22">
        <f t="shared" si="94"/>
        <v>0</v>
      </c>
    </row>
    <row r="1483" spans="1:23" hidden="1" x14ac:dyDescent="0.25">
      <c r="A1483" s="3">
        <v>45986</v>
      </c>
      <c r="B1483" s="4" t="s">
        <v>334</v>
      </c>
      <c r="C1483" s="4" t="s">
        <v>98</v>
      </c>
      <c r="D1483" s="4"/>
      <c r="E1483" s="4"/>
      <c r="F1483" s="4" t="s">
        <v>965</v>
      </c>
      <c r="G1483" s="4" t="s">
        <v>336</v>
      </c>
      <c r="H1483" s="4" t="s">
        <v>289</v>
      </c>
      <c r="I1483" s="4">
        <v>5.6000000000000001E-2</v>
      </c>
      <c r="J1483" s="21">
        <v>360</v>
      </c>
      <c r="K1483" s="21">
        <v>0</v>
      </c>
      <c r="L1483" s="5">
        <v>0</v>
      </c>
      <c r="M1483" s="4"/>
      <c r="N1483" s="4"/>
      <c r="O1483" s="5"/>
      <c r="P1483" s="5"/>
      <c r="Q1483" s="21">
        <v>20.16</v>
      </c>
      <c r="R1483" s="21">
        <v>0</v>
      </c>
      <c r="S1483" s="5">
        <f t="shared" si="95"/>
        <v>71211.938760151999</v>
      </c>
      <c r="T1483" cm="1">
        <f t="array" ref="T1483">IF(OR(B1483="MAL ALIMI", B1483="ÜRETİM GİRİŞ"), MIN(I1483, MAX(0, I1483 + SUM(SUMIFS($I$1:I1482, $C$1:C1482, C1483, $B$1:B1482, {"MAL ALIMI","ÜRETİM GİRİŞ"})) - VLOOKUP(C1483, 'STOK RAPORU'!$C$2:$I$1000, 4, 0))), 0)</f>
        <v>0</v>
      </c>
      <c r="U1483" s="22">
        <f t="shared" si="92"/>
        <v>0</v>
      </c>
      <c r="V1483">
        <f t="shared" si="93"/>
        <v>0</v>
      </c>
      <c r="W1483" s="22">
        <f t="shared" si="94"/>
        <v>0</v>
      </c>
    </row>
    <row r="1484" spans="1:23" hidden="1" x14ac:dyDescent="0.25">
      <c r="A1484" s="3">
        <v>45986</v>
      </c>
      <c r="B1484" s="4" t="s">
        <v>334</v>
      </c>
      <c r="C1484" s="4" t="s">
        <v>601</v>
      </c>
      <c r="D1484" s="4"/>
      <c r="E1484" s="4"/>
      <c r="F1484" s="4" t="s">
        <v>966</v>
      </c>
      <c r="G1484" s="4" t="s">
        <v>336</v>
      </c>
      <c r="H1484" s="4" t="s">
        <v>289</v>
      </c>
      <c r="I1484" s="4">
        <v>0.193</v>
      </c>
      <c r="J1484" s="21">
        <v>520</v>
      </c>
      <c r="K1484" s="21">
        <v>0</v>
      </c>
      <c r="L1484" s="5">
        <v>0</v>
      </c>
      <c r="M1484" s="4"/>
      <c r="N1484" s="4"/>
      <c r="O1484" s="5"/>
      <c r="P1484" s="5"/>
      <c r="Q1484" s="21">
        <v>100.36</v>
      </c>
      <c r="R1484" s="21">
        <v>0</v>
      </c>
      <c r="S1484" s="5">
        <f t="shared" si="95"/>
        <v>71312.298760152</v>
      </c>
      <c r="T1484" cm="1">
        <f t="array" ref="T1484">IF(OR(B1484="MAL ALIMI", B1484="ÜRETİM GİRİŞ"), MIN(I1484, MAX(0, I1484 + SUM(SUMIFS($I$1:I1483, $C$1:C1483, C1484, $B$1:B1483, {"MAL ALIMI","ÜRETİM GİRİŞ"})) - VLOOKUP(C1484, 'STOK RAPORU'!$C$2:$I$1000, 4, 0))), 0)</f>
        <v>0</v>
      </c>
      <c r="U1484" s="22">
        <f t="shared" si="92"/>
        <v>0</v>
      </c>
      <c r="V1484">
        <f t="shared" si="93"/>
        <v>0</v>
      </c>
      <c r="W1484" s="22">
        <f t="shared" si="94"/>
        <v>0</v>
      </c>
    </row>
    <row r="1485" spans="1:23" hidden="1" x14ac:dyDescent="0.25">
      <c r="A1485" s="3">
        <v>45986</v>
      </c>
      <c r="B1485" s="4" t="s">
        <v>334</v>
      </c>
      <c r="C1485" s="4" t="s">
        <v>690</v>
      </c>
      <c r="D1485" s="4"/>
      <c r="E1485" s="4"/>
      <c r="F1485" s="4" t="s">
        <v>966</v>
      </c>
      <c r="G1485" s="4" t="s">
        <v>336</v>
      </c>
      <c r="H1485" s="4" t="s">
        <v>289</v>
      </c>
      <c r="I1485" s="4">
        <v>0.41199999999999998</v>
      </c>
      <c r="J1485" s="21">
        <v>340</v>
      </c>
      <c r="K1485" s="21">
        <v>0</v>
      </c>
      <c r="L1485" s="5">
        <v>0</v>
      </c>
      <c r="M1485" s="4"/>
      <c r="N1485" s="4"/>
      <c r="O1485" s="5"/>
      <c r="P1485" s="5"/>
      <c r="Q1485" s="21">
        <v>140.07999999999998</v>
      </c>
      <c r="R1485" s="21">
        <v>0</v>
      </c>
      <c r="S1485" s="5">
        <f t="shared" si="95"/>
        <v>71452.378760152002</v>
      </c>
      <c r="T1485" cm="1">
        <f t="array" ref="T1485">IF(OR(B1485="MAL ALIMI", B1485="ÜRETİM GİRİŞ"), MIN(I1485, MAX(0, I1485 + SUM(SUMIFS($I$1:I1484, $C$1:C1484, C1485, $B$1:B1484, {"MAL ALIMI","ÜRETİM GİRİŞ"})) - VLOOKUP(C1485, 'STOK RAPORU'!$C$2:$I$1000, 4, 0))), 0)</f>
        <v>0</v>
      </c>
      <c r="U1485" s="22">
        <f t="shared" si="92"/>
        <v>0</v>
      </c>
      <c r="V1485">
        <f t="shared" si="93"/>
        <v>0</v>
      </c>
      <c r="W1485" s="22">
        <f t="shared" si="94"/>
        <v>0</v>
      </c>
    </row>
    <row r="1486" spans="1:23" hidden="1" x14ac:dyDescent="0.25">
      <c r="A1486" s="3">
        <v>45986</v>
      </c>
      <c r="B1486" s="4" t="s">
        <v>334</v>
      </c>
      <c r="C1486" s="4" t="s">
        <v>266</v>
      </c>
      <c r="D1486" s="4"/>
      <c r="E1486" s="4"/>
      <c r="F1486" s="4" t="s">
        <v>967</v>
      </c>
      <c r="G1486" s="4" t="s">
        <v>336</v>
      </c>
      <c r="H1486" s="4" t="s">
        <v>289</v>
      </c>
      <c r="I1486" s="4">
        <v>0.5</v>
      </c>
      <c r="J1486" s="21">
        <v>250</v>
      </c>
      <c r="K1486" s="21">
        <v>0</v>
      </c>
      <c r="L1486" s="5">
        <v>0</v>
      </c>
      <c r="M1486" s="4"/>
      <c r="N1486" s="4"/>
      <c r="O1486" s="5"/>
      <c r="P1486" s="5"/>
      <c r="Q1486" s="21">
        <v>125</v>
      </c>
      <c r="R1486" s="21">
        <v>0</v>
      </c>
      <c r="S1486" s="5">
        <f t="shared" si="95"/>
        <v>71577.378760152002</v>
      </c>
      <c r="T1486" cm="1">
        <f t="array" ref="T1486">IF(OR(B1486="MAL ALIMI", B1486="ÜRETİM GİRİŞ"), MIN(I1486, MAX(0, I1486 + SUM(SUMIFS($I$1:I1485, $C$1:C1485, C1486, $B$1:B1485, {"MAL ALIMI","ÜRETİM GİRİŞ"})) - VLOOKUP(C1486, 'STOK RAPORU'!$C$2:$I$1000, 4, 0))), 0)</f>
        <v>0</v>
      </c>
      <c r="U1486" s="22">
        <f t="shared" si="92"/>
        <v>0</v>
      </c>
      <c r="V1486">
        <f t="shared" si="93"/>
        <v>0</v>
      </c>
      <c r="W1486" s="22">
        <f t="shared" si="94"/>
        <v>0</v>
      </c>
    </row>
    <row r="1487" spans="1:23" hidden="1" x14ac:dyDescent="0.25">
      <c r="A1487" s="3">
        <v>45986</v>
      </c>
      <c r="B1487" s="4" t="s">
        <v>334</v>
      </c>
      <c r="C1487" s="4" t="s">
        <v>92</v>
      </c>
      <c r="D1487" s="4"/>
      <c r="E1487" s="4"/>
      <c r="F1487" s="4" t="s">
        <v>967</v>
      </c>
      <c r="G1487" s="4" t="s">
        <v>336</v>
      </c>
      <c r="H1487" s="4" t="s">
        <v>289</v>
      </c>
      <c r="I1487" s="4">
        <v>0.1</v>
      </c>
      <c r="J1487" s="21">
        <v>500</v>
      </c>
      <c r="K1487" s="21">
        <v>0</v>
      </c>
      <c r="L1487" s="5">
        <v>0</v>
      </c>
      <c r="M1487" s="4"/>
      <c r="N1487" s="4"/>
      <c r="O1487" s="5"/>
      <c r="P1487" s="5"/>
      <c r="Q1487" s="21">
        <v>50</v>
      </c>
      <c r="R1487" s="21">
        <v>0</v>
      </c>
      <c r="S1487" s="5">
        <f t="shared" si="95"/>
        <v>71627.378760152002</v>
      </c>
      <c r="T1487" cm="1">
        <f t="array" ref="T1487">IF(OR(B1487="MAL ALIMI", B1487="ÜRETİM GİRİŞ"), MIN(I1487, MAX(0, I1487 + SUM(SUMIFS($I$1:I1486, $C$1:C1486, C1487, $B$1:B1486, {"MAL ALIMI","ÜRETİM GİRİŞ"})) - VLOOKUP(C1487, 'STOK RAPORU'!$C$2:$I$1000, 4, 0))), 0)</f>
        <v>0</v>
      </c>
      <c r="U1487" s="22">
        <f t="shared" si="92"/>
        <v>0</v>
      </c>
      <c r="V1487">
        <f t="shared" si="93"/>
        <v>0</v>
      </c>
      <c r="W1487" s="22">
        <f t="shared" si="94"/>
        <v>0</v>
      </c>
    </row>
    <row r="1488" spans="1:23" hidden="1" x14ac:dyDescent="0.25">
      <c r="A1488" s="3">
        <v>45986</v>
      </c>
      <c r="B1488" s="4" t="s">
        <v>334</v>
      </c>
      <c r="C1488" s="4" t="s">
        <v>156</v>
      </c>
      <c r="D1488" s="4"/>
      <c r="E1488" s="4"/>
      <c r="F1488" s="4" t="s">
        <v>968</v>
      </c>
      <c r="G1488" s="4" t="s">
        <v>336</v>
      </c>
      <c r="H1488" s="4" t="s">
        <v>289</v>
      </c>
      <c r="I1488" s="4">
        <v>0.6</v>
      </c>
      <c r="J1488" s="21">
        <v>180</v>
      </c>
      <c r="K1488" s="21">
        <v>0</v>
      </c>
      <c r="L1488" s="5">
        <v>0</v>
      </c>
      <c r="M1488" s="4"/>
      <c r="N1488" s="4"/>
      <c r="O1488" s="5"/>
      <c r="P1488" s="5"/>
      <c r="Q1488" s="21">
        <v>108</v>
      </c>
      <c r="R1488" s="21">
        <v>0</v>
      </c>
      <c r="S1488" s="5">
        <f t="shared" si="95"/>
        <v>71735.378760152002</v>
      </c>
      <c r="T1488" cm="1">
        <f t="array" ref="T1488">IF(OR(B1488="MAL ALIMI", B1488="ÜRETİM GİRİŞ"), MIN(I1488, MAX(0, I1488 + SUM(SUMIFS($I$1:I1487, $C$1:C1487, C1488, $B$1:B1487, {"MAL ALIMI","ÜRETİM GİRİŞ"})) - VLOOKUP(C1488, 'STOK RAPORU'!$C$2:$I$1000, 4, 0))), 0)</f>
        <v>0</v>
      </c>
      <c r="U1488" s="22">
        <f t="shared" si="92"/>
        <v>0</v>
      </c>
      <c r="V1488">
        <f t="shared" si="93"/>
        <v>0</v>
      </c>
      <c r="W1488" s="22">
        <f t="shared" si="94"/>
        <v>0</v>
      </c>
    </row>
    <row r="1489" spans="1:23" hidden="1" x14ac:dyDescent="0.25">
      <c r="A1489" s="3">
        <v>45986</v>
      </c>
      <c r="B1489" s="4" t="s">
        <v>334</v>
      </c>
      <c r="C1489" s="4" t="s">
        <v>235</v>
      </c>
      <c r="D1489" s="4"/>
      <c r="E1489" s="4" t="s">
        <v>921</v>
      </c>
      <c r="F1489" s="4" t="s">
        <v>969</v>
      </c>
      <c r="G1489" s="4" t="s">
        <v>336</v>
      </c>
      <c r="H1489" s="4" t="s">
        <v>380</v>
      </c>
      <c r="I1489" s="4">
        <v>1</v>
      </c>
      <c r="J1489" s="21">
        <v>190</v>
      </c>
      <c r="K1489" s="21">
        <v>190</v>
      </c>
      <c r="L1489" s="5">
        <v>0</v>
      </c>
      <c r="M1489" s="4"/>
      <c r="N1489" s="4"/>
      <c r="O1489" s="5"/>
      <c r="P1489" s="5"/>
      <c r="Q1489" s="21">
        <v>0</v>
      </c>
      <c r="R1489" s="21">
        <v>0</v>
      </c>
      <c r="S1489" s="5">
        <f t="shared" si="95"/>
        <v>71735.378760152002</v>
      </c>
      <c r="T1489" cm="1">
        <f t="array" ref="T1489">IF(OR(B1489="MAL ALIMI", B1489="ÜRETİM GİRİŞ"), MIN(I1489, MAX(0, I1489 + SUM(SUMIFS($I$1:I1488, $C$1:C1488, C1489, $B$1:B1488, {"MAL ALIMI","ÜRETİM GİRİŞ"})) - VLOOKUP(C1489, 'STOK RAPORU'!$C$2:$I$1000, 4, 0))), 0)</f>
        <v>0</v>
      </c>
      <c r="U1489" s="22">
        <f t="shared" si="92"/>
        <v>0</v>
      </c>
      <c r="V1489">
        <f t="shared" si="93"/>
        <v>0</v>
      </c>
      <c r="W1489" s="22">
        <f t="shared" si="94"/>
        <v>0</v>
      </c>
    </row>
    <row r="1490" spans="1:23" hidden="1" x14ac:dyDescent="0.25">
      <c r="A1490" s="3">
        <v>45986</v>
      </c>
      <c r="B1490" s="4" t="s">
        <v>334</v>
      </c>
      <c r="C1490" s="4" t="s">
        <v>167</v>
      </c>
      <c r="D1490" s="4"/>
      <c r="E1490" s="4"/>
      <c r="F1490" s="4" t="s">
        <v>970</v>
      </c>
      <c r="G1490" s="4" t="s">
        <v>336</v>
      </c>
      <c r="H1490" s="4" t="s">
        <v>289</v>
      </c>
      <c r="I1490" s="4">
        <v>1</v>
      </c>
      <c r="J1490" s="21">
        <v>200</v>
      </c>
      <c r="K1490" s="21">
        <v>0</v>
      </c>
      <c r="L1490" s="5">
        <v>0</v>
      </c>
      <c r="M1490" s="4"/>
      <c r="N1490" s="4"/>
      <c r="O1490" s="5"/>
      <c r="P1490" s="5"/>
      <c r="Q1490" s="21">
        <v>200</v>
      </c>
      <c r="R1490" s="21">
        <v>0</v>
      </c>
      <c r="S1490" s="5">
        <f t="shared" si="95"/>
        <v>71935.378760152002</v>
      </c>
      <c r="T1490" cm="1">
        <f t="array" ref="T1490">IF(OR(B1490="MAL ALIMI", B1490="ÜRETİM GİRİŞ"), MIN(I1490, MAX(0, I1490 + SUM(SUMIFS($I$1:I1489, $C$1:C1489, C1490, $B$1:B1489, {"MAL ALIMI","ÜRETİM GİRİŞ"})) - VLOOKUP(C1490, 'STOK RAPORU'!$C$2:$I$1000, 4, 0))), 0)</f>
        <v>0</v>
      </c>
      <c r="U1490" s="22">
        <f t="shared" si="92"/>
        <v>0</v>
      </c>
      <c r="V1490">
        <f t="shared" si="93"/>
        <v>0</v>
      </c>
      <c r="W1490" s="22">
        <f t="shared" si="94"/>
        <v>0</v>
      </c>
    </row>
    <row r="1491" spans="1:23" hidden="1" x14ac:dyDescent="0.25">
      <c r="A1491" s="3">
        <v>45986</v>
      </c>
      <c r="B1491" s="4" t="s">
        <v>334</v>
      </c>
      <c r="C1491" s="4" t="s">
        <v>162</v>
      </c>
      <c r="D1491" s="4"/>
      <c r="E1491" s="4"/>
      <c r="F1491" s="4" t="s">
        <v>971</v>
      </c>
      <c r="G1491" s="4" t="s">
        <v>336</v>
      </c>
      <c r="H1491" s="4" t="s">
        <v>289</v>
      </c>
      <c r="I1491" s="4">
        <v>1</v>
      </c>
      <c r="J1491" s="21">
        <v>260</v>
      </c>
      <c r="K1491" s="21">
        <v>0</v>
      </c>
      <c r="L1491" s="5">
        <v>0</v>
      </c>
      <c r="M1491" s="4"/>
      <c r="N1491" s="4"/>
      <c r="O1491" s="5"/>
      <c r="P1491" s="5"/>
      <c r="Q1491" s="21">
        <v>260</v>
      </c>
      <c r="R1491" s="21">
        <v>0</v>
      </c>
      <c r="S1491" s="5">
        <f t="shared" si="95"/>
        <v>72195.378760152002</v>
      </c>
      <c r="T1491" cm="1">
        <f t="array" ref="T1491">IF(OR(B1491="MAL ALIMI", B1491="ÜRETİM GİRİŞ"), MIN(I1491, MAX(0, I1491 + SUM(SUMIFS($I$1:I1490, $C$1:C1490, C1491, $B$1:B1490, {"MAL ALIMI","ÜRETİM GİRİŞ"})) - VLOOKUP(C1491, 'STOK RAPORU'!$C$2:$I$1000, 4, 0))), 0)</f>
        <v>0</v>
      </c>
      <c r="U1491" s="22">
        <f t="shared" si="92"/>
        <v>0</v>
      </c>
      <c r="V1491">
        <f t="shared" si="93"/>
        <v>0</v>
      </c>
      <c r="W1491" s="22">
        <f t="shared" si="94"/>
        <v>0</v>
      </c>
    </row>
    <row r="1492" spans="1:23" hidden="1" x14ac:dyDescent="0.25">
      <c r="A1492" s="3">
        <v>45986</v>
      </c>
      <c r="B1492" s="4" t="s">
        <v>334</v>
      </c>
      <c r="C1492" s="4" t="s">
        <v>131</v>
      </c>
      <c r="D1492" s="4"/>
      <c r="E1492" s="4"/>
      <c r="F1492" s="4" t="s">
        <v>971</v>
      </c>
      <c r="G1492" s="4" t="s">
        <v>336</v>
      </c>
      <c r="H1492" s="4" t="s">
        <v>289</v>
      </c>
      <c r="I1492" s="4">
        <v>7.4999999999999997E-2</v>
      </c>
      <c r="J1492" s="21">
        <v>400</v>
      </c>
      <c r="K1492" s="21">
        <v>0</v>
      </c>
      <c r="L1492" s="5">
        <v>0</v>
      </c>
      <c r="M1492" s="4"/>
      <c r="N1492" s="4"/>
      <c r="O1492" s="5"/>
      <c r="P1492" s="5"/>
      <c r="Q1492" s="21">
        <v>30</v>
      </c>
      <c r="R1492" s="21">
        <v>0</v>
      </c>
      <c r="S1492" s="5">
        <f t="shared" si="95"/>
        <v>72225.378760152002</v>
      </c>
      <c r="T1492" cm="1">
        <f t="array" ref="T1492">IF(OR(B1492="MAL ALIMI", B1492="ÜRETİM GİRİŞ"), MIN(I1492, MAX(0, I1492 + SUM(SUMIFS($I$1:I1491, $C$1:C1491, C1492, $B$1:B1491, {"MAL ALIMI","ÜRETİM GİRİŞ"})) - VLOOKUP(C1492, 'STOK RAPORU'!$C$2:$I$1000, 4, 0))), 0)</f>
        <v>0</v>
      </c>
      <c r="U1492" s="22">
        <f t="shared" si="92"/>
        <v>0</v>
      </c>
      <c r="V1492">
        <f t="shared" si="93"/>
        <v>0</v>
      </c>
      <c r="W1492" s="22">
        <f t="shared" si="94"/>
        <v>0</v>
      </c>
    </row>
    <row r="1493" spans="1:23" hidden="1" x14ac:dyDescent="0.25">
      <c r="A1493" s="3">
        <v>45986</v>
      </c>
      <c r="B1493" s="4" t="s">
        <v>334</v>
      </c>
      <c r="C1493" s="4" t="s">
        <v>198</v>
      </c>
      <c r="D1493" s="4"/>
      <c r="E1493" s="4"/>
      <c r="F1493" s="4" t="s">
        <v>972</v>
      </c>
      <c r="G1493" s="4" t="s">
        <v>336</v>
      </c>
      <c r="H1493" s="4" t="s">
        <v>289</v>
      </c>
      <c r="I1493" s="4">
        <v>0.05</v>
      </c>
      <c r="J1493" s="21">
        <v>1400</v>
      </c>
      <c r="K1493" s="21">
        <v>0</v>
      </c>
      <c r="L1493" s="5">
        <v>0</v>
      </c>
      <c r="M1493" s="4"/>
      <c r="N1493" s="4"/>
      <c r="O1493" s="5"/>
      <c r="P1493" s="5"/>
      <c r="Q1493" s="21">
        <v>70</v>
      </c>
      <c r="R1493" s="21">
        <v>0</v>
      </c>
      <c r="S1493" s="5">
        <f t="shared" si="95"/>
        <v>72295.378760152002</v>
      </c>
      <c r="T1493" cm="1">
        <f t="array" ref="T1493">IF(OR(B1493="MAL ALIMI", B1493="ÜRETİM GİRİŞ"), MIN(I1493, MAX(0, I1493 + SUM(SUMIFS($I$1:I1492, $C$1:C1492, C1493, $B$1:B1492, {"MAL ALIMI","ÜRETİM GİRİŞ"})) - VLOOKUP(C1493, 'STOK RAPORU'!$C$2:$I$1000, 4, 0))), 0)</f>
        <v>0</v>
      </c>
      <c r="U1493" s="22">
        <f t="shared" si="92"/>
        <v>0</v>
      </c>
      <c r="V1493">
        <f t="shared" si="93"/>
        <v>0</v>
      </c>
      <c r="W1493" s="22">
        <f t="shared" si="94"/>
        <v>0</v>
      </c>
    </row>
    <row r="1494" spans="1:23" hidden="1" x14ac:dyDescent="0.25">
      <c r="A1494" s="3">
        <v>45986</v>
      </c>
      <c r="B1494" s="4" t="s">
        <v>334</v>
      </c>
      <c r="C1494" s="4" t="s">
        <v>593</v>
      </c>
      <c r="D1494" s="4"/>
      <c r="E1494" s="4"/>
      <c r="F1494" s="4" t="s">
        <v>972</v>
      </c>
      <c r="G1494" s="4" t="s">
        <v>336</v>
      </c>
      <c r="H1494" s="4" t="s">
        <v>289</v>
      </c>
      <c r="I1494" s="4">
        <v>2</v>
      </c>
      <c r="J1494" s="21">
        <v>35</v>
      </c>
      <c r="K1494" s="21">
        <v>0</v>
      </c>
      <c r="L1494" s="5">
        <v>0</v>
      </c>
      <c r="M1494" s="4"/>
      <c r="N1494" s="4"/>
      <c r="O1494" s="5"/>
      <c r="P1494" s="5"/>
      <c r="Q1494" s="21">
        <v>70</v>
      </c>
      <c r="R1494" s="21">
        <v>0</v>
      </c>
      <c r="S1494" s="5">
        <f t="shared" si="95"/>
        <v>72365.378760152002</v>
      </c>
      <c r="T1494" cm="1">
        <f t="array" ref="T1494">IF(OR(B1494="MAL ALIMI", B1494="ÜRETİM GİRİŞ"), MIN(I1494, MAX(0, I1494 + SUM(SUMIFS($I$1:I1493, $C$1:C1493, C1494, $B$1:B1493, {"MAL ALIMI","ÜRETİM GİRİŞ"})) - VLOOKUP(C1494, 'STOK RAPORU'!$C$2:$I$1000, 4, 0))), 0)</f>
        <v>0</v>
      </c>
      <c r="U1494" s="22">
        <f t="shared" si="92"/>
        <v>0</v>
      </c>
      <c r="V1494">
        <f t="shared" si="93"/>
        <v>0</v>
      </c>
      <c r="W1494" s="22">
        <f t="shared" si="94"/>
        <v>0</v>
      </c>
    </row>
    <row r="1495" spans="1:23" hidden="1" x14ac:dyDescent="0.25">
      <c r="A1495" s="3">
        <v>45986</v>
      </c>
      <c r="B1495" s="4" t="s">
        <v>334</v>
      </c>
      <c r="C1495" s="4" t="s">
        <v>679</v>
      </c>
      <c r="D1495" s="4"/>
      <c r="E1495" s="4"/>
      <c r="F1495" s="4" t="s">
        <v>972</v>
      </c>
      <c r="G1495" s="4" t="s">
        <v>336</v>
      </c>
      <c r="H1495" s="4" t="s">
        <v>289</v>
      </c>
      <c r="I1495" s="4">
        <v>0.25</v>
      </c>
      <c r="J1495" s="21">
        <v>400</v>
      </c>
      <c r="K1495" s="21">
        <v>0</v>
      </c>
      <c r="L1495" s="5">
        <v>0</v>
      </c>
      <c r="M1495" s="4"/>
      <c r="N1495" s="4"/>
      <c r="O1495" s="5"/>
      <c r="P1495" s="5"/>
      <c r="Q1495" s="21">
        <v>100</v>
      </c>
      <c r="R1495" s="21">
        <v>0</v>
      </c>
      <c r="S1495" s="5">
        <f t="shared" si="95"/>
        <v>72465.378760152002</v>
      </c>
      <c r="T1495" cm="1">
        <f t="array" ref="T1495">IF(OR(B1495="MAL ALIMI", B1495="ÜRETİM GİRİŞ"), MIN(I1495, MAX(0, I1495 + SUM(SUMIFS($I$1:I1494, $C$1:C1494, C1495, $B$1:B1494, {"MAL ALIMI","ÜRETİM GİRİŞ"})) - VLOOKUP(C1495, 'STOK RAPORU'!$C$2:$I$1000, 4, 0))), 0)</f>
        <v>0</v>
      </c>
      <c r="U1495" s="22">
        <f t="shared" si="92"/>
        <v>0</v>
      </c>
      <c r="V1495">
        <f t="shared" si="93"/>
        <v>0</v>
      </c>
      <c r="W1495" s="22">
        <f t="shared" si="94"/>
        <v>0</v>
      </c>
    </row>
    <row r="1496" spans="1:23" hidden="1" x14ac:dyDescent="0.25">
      <c r="A1496" s="3">
        <v>45986</v>
      </c>
      <c r="B1496" s="4" t="s">
        <v>334</v>
      </c>
      <c r="C1496" s="4" t="s">
        <v>691</v>
      </c>
      <c r="D1496" s="4"/>
      <c r="E1496" s="4"/>
      <c r="F1496" s="4" t="s">
        <v>973</v>
      </c>
      <c r="G1496" s="4" t="s">
        <v>336</v>
      </c>
      <c r="H1496" s="4" t="s">
        <v>289</v>
      </c>
      <c r="I1496" s="4">
        <v>0.53</v>
      </c>
      <c r="J1496" s="21">
        <v>190</v>
      </c>
      <c r="K1496" s="21">
        <v>0</v>
      </c>
      <c r="L1496" s="5">
        <v>0</v>
      </c>
      <c r="M1496" s="4"/>
      <c r="N1496" s="4"/>
      <c r="O1496" s="5"/>
      <c r="P1496" s="5"/>
      <c r="Q1496" s="21">
        <v>100.7</v>
      </c>
      <c r="R1496" s="21">
        <v>0</v>
      </c>
      <c r="S1496" s="5">
        <f t="shared" si="95"/>
        <v>72566.078760151999</v>
      </c>
      <c r="T1496" cm="1">
        <f t="array" ref="T1496">IF(OR(B1496="MAL ALIMI", B1496="ÜRETİM GİRİŞ"), MIN(I1496, MAX(0, I1496 + SUM(SUMIFS($I$1:I1495, $C$1:C1495, C1496, $B$1:B1495, {"MAL ALIMI","ÜRETİM GİRİŞ"})) - VLOOKUP(C1496, 'STOK RAPORU'!$C$2:$I$1000, 4, 0))), 0)</f>
        <v>0</v>
      </c>
      <c r="U1496" s="22">
        <f t="shared" si="92"/>
        <v>0</v>
      </c>
      <c r="V1496">
        <f t="shared" si="93"/>
        <v>0</v>
      </c>
      <c r="W1496" s="22">
        <f t="shared" si="94"/>
        <v>0</v>
      </c>
    </row>
    <row r="1497" spans="1:23" hidden="1" x14ac:dyDescent="0.25">
      <c r="A1497" s="3">
        <v>45986</v>
      </c>
      <c r="B1497" s="4" t="s">
        <v>334</v>
      </c>
      <c r="C1497" s="4" t="s">
        <v>647</v>
      </c>
      <c r="D1497" s="4"/>
      <c r="E1497" s="4"/>
      <c r="F1497" s="4" t="s">
        <v>973</v>
      </c>
      <c r="G1497" s="4" t="s">
        <v>336</v>
      </c>
      <c r="H1497" s="4" t="s">
        <v>289</v>
      </c>
      <c r="I1497" s="4">
        <v>0.25</v>
      </c>
      <c r="J1497" s="21">
        <v>400</v>
      </c>
      <c r="K1497" s="21">
        <v>0</v>
      </c>
      <c r="L1497" s="5">
        <v>0</v>
      </c>
      <c r="M1497" s="4"/>
      <c r="N1497" s="4"/>
      <c r="O1497" s="5"/>
      <c r="P1497" s="5"/>
      <c r="Q1497" s="21">
        <v>100</v>
      </c>
      <c r="R1497" s="21">
        <v>0</v>
      </c>
      <c r="S1497" s="5">
        <f t="shared" si="95"/>
        <v>72666.078760151999</v>
      </c>
      <c r="T1497" cm="1">
        <f t="array" ref="T1497">IF(OR(B1497="MAL ALIMI", B1497="ÜRETİM GİRİŞ"), MIN(I1497, MAX(0, I1497 + SUM(SUMIFS($I$1:I1496, $C$1:C1496, C1497, $B$1:B1496, {"MAL ALIMI","ÜRETİM GİRİŞ"})) - VLOOKUP(C1497, 'STOK RAPORU'!$C$2:$I$1000, 4, 0))), 0)</f>
        <v>0</v>
      </c>
      <c r="U1497" s="22">
        <f t="shared" si="92"/>
        <v>0</v>
      </c>
      <c r="V1497">
        <f t="shared" si="93"/>
        <v>0</v>
      </c>
      <c r="W1497" s="22">
        <f t="shared" si="94"/>
        <v>0</v>
      </c>
    </row>
    <row r="1498" spans="1:23" hidden="1" x14ac:dyDescent="0.25">
      <c r="A1498" s="3">
        <v>45986</v>
      </c>
      <c r="B1498" s="4" t="s">
        <v>334</v>
      </c>
      <c r="C1498" s="4" t="s">
        <v>1041</v>
      </c>
      <c r="D1498" s="4"/>
      <c r="E1498" s="4"/>
      <c r="F1498" s="4" t="s">
        <v>979</v>
      </c>
      <c r="G1498" s="4" t="s">
        <v>336</v>
      </c>
      <c r="H1498" s="4" t="s">
        <v>289</v>
      </c>
      <c r="I1498" s="4">
        <v>1</v>
      </c>
      <c r="J1498" s="21">
        <v>290</v>
      </c>
      <c r="K1498" s="21">
        <v>0</v>
      </c>
      <c r="L1498" s="5">
        <v>0</v>
      </c>
      <c r="M1498" s="4"/>
      <c r="N1498" s="4"/>
      <c r="O1498" s="5"/>
      <c r="P1498" s="5"/>
      <c r="Q1498" s="21">
        <v>290</v>
      </c>
      <c r="R1498" s="21">
        <v>0</v>
      </c>
      <c r="S1498" s="5">
        <f t="shared" si="95"/>
        <v>72956.078760151999</v>
      </c>
      <c r="T1498" cm="1">
        <f t="array" ref="T1498">IF(OR(B1498="MAL ALIMI", B1498="ÜRETİM GİRİŞ"), MIN(I1498, MAX(0, I1498 + SUM(SUMIFS($I$1:I1497, $C$1:C1497, C1498, $B$1:B1497, {"MAL ALIMI","ÜRETİM GİRİŞ"})) - VLOOKUP(C1498, 'STOK RAPORU'!$C$2:$I$1000, 4, 0))), 0)</f>
        <v>0</v>
      </c>
      <c r="U1498" s="22">
        <f t="shared" si="92"/>
        <v>0</v>
      </c>
      <c r="V1498">
        <f t="shared" si="93"/>
        <v>0</v>
      </c>
      <c r="W1498" s="22">
        <f t="shared" si="94"/>
        <v>0</v>
      </c>
    </row>
    <row r="1499" spans="1:23" hidden="1" x14ac:dyDescent="0.25">
      <c r="A1499" s="3">
        <v>45986</v>
      </c>
      <c r="B1499" s="4" t="s">
        <v>334</v>
      </c>
      <c r="C1499" s="4" t="s">
        <v>529</v>
      </c>
      <c r="D1499" s="4"/>
      <c r="E1499" s="4"/>
      <c r="F1499" s="4" t="s">
        <v>979</v>
      </c>
      <c r="G1499" s="4" t="s">
        <v>336</v>
      </c>
      <c r="H1499" s="4" t="s">
        <v>289</v>
      </c>
      <c r="I1499" s="4">
        <v>0.1</v>
      </c>
      <c r="J1499" s="21">
        <v>600</v>
      </c>
      <c r="K1499" s="21">
        <v>0</v>
      </c>
      <c r="L1499" s="5">
        <v>0</v>
      </c>
      <c r="M1499" s="4"/>
      <c r="N1499" s="4"/>
      <c r="O1499" s="5"/>
      <c r="P1499" s="5"/>
      <c r="Q1499" s="21">
        <v>60</v>
      </c>
      <c r="R1499" s="21">
        <v>0</v>
      </c>
      <c r="S1499" s="5">
        <f t="shared" si="95"/>
        <v>73016.078760151999</v>
      </c>
      <c r="T1499" cm="1">
        <f t="array" ref="T1499">IF(OR(B1499="MAL ALIMI", B1499="ÜRETİM GİRİŞ"), MIN(I1499, MAX(0, I1499 + SUM(SUMIFS($I$1:I1498, $C$1:C1498, C1499, $B$1:B1498, {"MAL ALIMI","ÜRETİM GİRİŞ"})) - VLOOKUP(C1499, 'STOK RAPORU'!$C$2:$I$1000, 4, 0))), 0)</f>
        <v>0</v>
      </c>
      <c r="U1499" s="22">
        <f t="shared" si="92"/>
        <v>0</v>
      </c>
      <c r="V1499">
        <f t="shared" si="93"/>
        <v>0</v>
      </c>
      <c r="W1499" s="22">
        <f t="shared" si="94"/>
        <v>0</v>
      </c>
    </row>
    <row r="1500" spans="1:23" hidden="1" x14ac:dyDescent="0.25">
      <c r="A1500" s="3">
        <v>45986</v>
      </c>
      <c r="B1500" s="4" t="s">
        <v>334</v>
      </c>
      <c r="C1500" s="4" t="s">
        <v>241</v>
      </c>
      <c r="D1500" s="4"/>
      <c r="E1500" s="4"/>
      <c r="F1500" s="4" t="s">
        <v>979</v>
      </c>
      <c r="G1500" s="4" t="s">
        <v>336</v>
      </c>
      <c r="H1500" s="4" t="s">
        <v>289</v>
      </c>
      <c r="I1500" s="4">
        <v>0.28000000000000003</v>
      </c>
      <c r="J1500" s="21">
        <v>360</v>
      </c>
      <c r="K1500" s="21">
        <v>0</v>
      </c>
      <c r="L1500" s="5">
        <v>0</v>
      </c>
      <c r="M1500" s="4"/>
      <c r="N1500" s="4"/>
      <c r="O1500" s="5"/>
      <c r="P1500" s="5"/>
      <c r="Q1500" s="21">
        <v>100.80000000000001</v>
      </c>
      <c r="R1500" s="21">
        <v>0</v>
      </c>
      <c r="S1500" s="5">
        <f t="shared" si="95"/>
        <v>73116.878760152002</v>
      </c>
      <c r="T1500" cm="1">
        <f t="array" ref="T1500">IF(OR(B1500="MAL ALIMI", B1500="ÜRETİM GİRİŞ"), MIN(I1500, MAX(0, I1500 + SUM(SUMIFS($I$1:I1499, $C$1:C1499, C1500, $B$1:B1499, {"MAL ALIMI","ÜRETİM GİRİŞ"})) - VLOOKUP(C1500, 'STOK RAPORU'!$C$2:$I$1000, 4, 0))), 0)</f>
        <v>0</v>
      </c>
      <c r="U1500" s="22">
        <f t="shared" si="92"/>
        <v>0</v>
      </c>
      <c r="V1500">
        <f t="shared" si="93"/>
        <v>0</v>
      </c>
      <c r="W1500" s="22">
        <f t="shared" si="94"/>
        <v>0</v>
      </c>
    </row>
    <row r="1501" spans="1:23" hidden="1" x14ac:dyDescent="0.25">
      <c r="A1501" s="3">
        <v>45986</v>
      </c>
      <c r="B1501" s="4" t="s">
        <v>3944</v>
      </c>
      <c r="C1501" s="4"/>
      <c r="D1501" s="4" t="s">
        <v>116</v>
      </c>
      <c r="E1501" s="4" t="s">
        <v>350</v>
      </c>
      <c r="F1501" s="4"/>
      <c r="G1501" s="4" t="s">
        <v>1028</v>
      </c>
      <c r="H1501" s="4" t="s">
        <v>304</v>
      </c>
      <c r="I1501" s="4">
        <v>1</v>
      </c>
      <c r="J1501" s="21">
        <v>7926.45</v>
      </c>
      <c r="K1501" s="21">
        <v>7926.45</v>
      </c>
      <c r="L1501" s="5">
        <v>0</v>
      </c>
      <c r="M1501" s="4"/>
      <c r="N1501" s="4"/>
      <c r="O1501" s="5"/>
      <c r="P1501" s="5"/>
      <c r="Q1501" s="21">
        <v>0</v>
      </c>
      <c r="R1501" s="21">
        <v>0</v>
      </c>
      <c r="S1501" s="5">
        <f t="shared" si="95"/>
        <v>73116.878760152002</v>
      </c>
      <c r="T1501" cm="1">
        <f t="array" ref="T1501">IF(OR(B1501="MAL ALIMI", B1501="ÜRETİM GİRİŞ"), MIN(I1501, MAX(0, I1501 + SUM(SUMIFS($I$1:I1500, $C$1:C1500, C1501, $B$1:B1500, {"MAL ALIMI","ÜRETİM GİRİŞ"})) - VLOOKUP(C1501, 'STOK RAPORU'!$C$2:$I$1000, 4, 0))), 0)</f>
        <v>0</v>
      </c>
      <c r="U1501" s="22">
        <f t="shared" si="92"/>
        <v>0</v>
      </c>
      <c r="V1501">
        <f t="shared" si="93"/>
        <v>0</v>
      </c>
      <c r="W1501" s="22">
        <f t="shared" si="94"/>
        <v>0</v>
      </c>
    </row>
    <row r="1502" spans="1:23" hidden="1" x14ac:dyDescent="0.25">
      <c r="A1502" s="3">
        <v>45987</v>
      </c>
      <c r="B1502" s="4" t="s">
        <v>334</v>
      </c>
      <c r="C1502" s="4" t="s">
        <v>483</v>
      </c>
      <c r="D1502" s="4"/>
      <c r="E1502" s="4"/>
      <c r="F1502" s="4" t="s">
        <v>980</v>
      </c>
      <c r="G1502" s="4" t="s">
        <v>336</v>
      </c>
      <c r="H1502" s="4" t="s">
        <v>289</v>
      </c>
      <c r="I1502" s="4">
        <v>0.15229999999999999</v>
      </c>
      <c r="J1502" s="21">
        <v>650</v>
      </c>
      <c r="K1502" s="21">
        <v>0</v>
      </c>
      <c r="L1502" s="5">
        <v>0</v>
      </c>
      <c r="M1502" s="4"/>
      <c r="N1502" s="4"/>
      <c r="O1502" s="5"/>
      <c r="P1502" s="5"/>
      <c r="Q1502" s="21">
        <v>98.99499999999999</v>
      </c>
      <c r="R1502" s="21">
        <v>0</v>
      </c>
      <c r="S1502" s="5">
        <f t="shared" si="95"/>
        <v>73215.873760151997</v>
      </c>
      <c r="T1502" cm="1">
        <f t="array" ref="T1502">IF(OR(B1502="MAL ALIMI", B1502="ÜRETİM GİRİŞ"), MIN(I1502, MAX(0, I1502 + SUM(SUMIFS($I$1:I1501, $C$1:C1501, C1502, $B$1:B1501, {"MAL ALIMI","ÜRETİM GİRİŞ"})) - VLOOKUP(C1502, 'STOK RAPORU'!$C$2:$I$1000, 4, 0))), 0)</f>
        <v>0</v>
      </c>
      <c r="U1502" s="22">
        <f t="shared" si="92"/>
        <v>0</v>
      </c>
      <c r="V1502">
        <f t="shared" si="93"/>
        <v>0</v>
      </c>
      <c r="W1502" s="22">
        <f t="shared" si="94"/>
        <v>0</v>
      </c>
    </row>
    <row r="1503" spans="1:23" hidden="1" x14ac:dyDescent="0.25">
      <c r="A1503" s="3">
        <v>45987</v>
      </c>
      <c r="B1503" s="4" t="s">
        <v>334</v>
      </c>
      <c r="C1503" s="4" t="s">
        <v>587</v>
      </c>
      <c r="D1503" s="4"/>
      <c r="E1503" s="4"/>
      <c r="F1503" s="4" t="s">
        <v>980</v>
      </c>
      <c r="G1503" s="4" t="s">
        <v>336</v>
      </c>
      <c r="H1503" s="4" t="s">
        <v>289</v>
      </c>
      <c r="I1503" s="4">
        <v>0.41</v>
      </c>
      <c r="J1503" s="21">
        <v>130</v>
      </c>
      <c r="K1503" s="21">
        <v>0</v>
      </c>
      <c r="L1503" s="5">
        <v>0</v>
      </c>
      <c r="M1503" s="4"/>
      <c r="N1503" s="4"/>
      <c r="O1503" s="5"/>
      <c r="P1503" s="5"/>
      <c r="Q1503" s="21">
        <v>53.3</v>
      </c>
      <c r="R1503" s="21">
        <v>0</v>
      </c>
      <c r="S1503" s="5">
        <f t="shared" si="95"/>
        <v>73269.173760152</v>
      </c>
      <c r="T1503" cm="1">
        <f t="array" ref="T1503">IF(OR(B1503="MAL ALIMI", B1503="ÜRETİM GİRİŞ"), MIN(I1503, MAX(0, I1503 + SUM(SUMIFS($I$1:I1502, $C$1:C1502, C1503, $B$1:B1502, {"MAL ALIMI","ÜRETİM GİRİŞ"})) - VLOOKUP(C1503, 'STOK RAPORU'!$C$2:$I$1000, 4, 0))), 0)</f>
        <v>0</v>
      </c>
      <c r="U1503" s="22">
        <f t="shared" si="92"/>
        <v>0</v>
      </c>
      <c r="V1503">
        <f t="shared" si="93"/>
        <v>0</v>
      </c>
      <c r="W1503" s="22">
        <f t="shared" si="94"/>
        <v>0</v>
      </c>
    </row>
    <row r="1504" spans="1:23" hidden="1" x14ac:dyDescent="0.25">
      <c r="A1504" s="3">
        <v>45987</v>
      </c>
      <c r="B1504" s="4" t="s">
        <v>334</v>
      </c>
      <c r="C1504" s="4" t="s">
        <v>131</v>
      </c>
      <c r="D1504" s="4"/>
      <c r="E1504" s="4"/>
      <c r="F1504" s="4" t="s">
        <v>980</v>
      </c>
      <c r="G1504" s="4" t="s">
        <v>336</v>
      </c>
      <c r="H1504" s="4" t="s">
        <v>289</v>
      </c>
      <c r="I1504" s="4">
        <v>7.4999999999999997E-2</v>
      </c>
      <c r="J1504" s="21">
        <v>400</v>
      </c>
      <c r="K1504" s="21">
        <v>0</v>
      </c>
      <c r="L1504" s="5">
        <v>0</v>
      </c>
      <c r="M1504" s="4"/>
      <c r="N1504" s="4"/>
      <c r="O1504" s="5"/>
      <c r="P1504" s="5"/>
      <c r="Q1504" s="21">
        <v>30</v>
      </c>
      <c r="R1504" s="21">
        <v>0</v>
      </c>
      <c r="S1504" s="5">
        <f t="shared" si="95"/>
        <v>73299.173760152</v>
      </c>
      <c r="T1504" cm="1">
        <f t="array" ref="T1504">IF(OR(B1504="MAL ALIMI", B1504="ÜRETİM GİRİŞ"), MIN(I1504, MAX(0, I1504 + SUM(SUMIFS($I$1:I1503, $C$1:C1503, C1504, $B$1:B1503, {"MAL ALIMI","ÜRETİM GİRİŞ"})) - VLOOKUP(C1504, 'STOK RAPORU'!$C$2:$I$1000, 4, 0))), 0)</f>
        <v>0</v>
      </c>
      <c r="U1504" s="22">
        <f t="shared" si="92"/>
        <v>0</v>
      </c>
      <c r="V1504">
        <f t="shared" si="93"/>
        <v>0</v>
      </c>
      <c r="W1504" s="22">
        <f t="shared" si="94"/>
        <v>0</v>
      </c>
    </row>
    <row r="1505" spans="1:23" hidden="1" x14ac:dyDescent="0.25">
      <c r="A1505" s="3">
        <v>45987</v>
      </c>
      <c r="B1505" s="4" t="s">
        <v>334</v>
      </c>
      <c r="C1505" s="4" t="s">
        <v>826</v>
      </c>
      <c r="D1505" s="4"/>
      <c r="E1505" s="4" t="s">
        <v>921</v>
      </c>
      <c r="F1505" s="4" t="s">
        <v>981</v>
      </c>
      <c r="G1505" s="4" t="s">
        <v>336</v>
      </c>
      <c r="H1505" s="4" t="s">
        <v>380</v>
      </c>
      <c r="I1505" s="4">
        <v>2</v>
      </c>
      <c r="J1505" s="21">
        <v>130</v>
      </c>
      <c r="K1505" s="21">
        <v>260</v>
      </c>
      <c r="L1505" s="5">
        <v>0</v>
      </c>
      <c r="M1505" s="4"/>
      <c r="N1505" s="4"/>
      <c r="O1505" s="5"/>
      <c r="P1505" s="5"/>
      <c r="Q1505" s="21">
        <v>0</v>
      </c>
      <c r="R1505" s="21">
        <v>0</v>
      </c>
      <c r="S1505" s="5">
        <f t="shared" si="95"/>
        <v>73299.173760152</v>
      </c>
      <c r="T1505" cm="1">
        <f t="array" ref="T1505">IF(OR(B1505="MAL ALIMI", B1505="ÜRETİM GİRİŞ"), MIN(I1505, MAX(0, I1505 + SUM(SUMIFS($I$1:I1504, $C$1:C1504, C1505, $B$1:B1504, {"MAL ALIMI","ÜRETİM GİRİŞ"})) - VLOOKUP(C1505, 'STOK RAPORU'!$C$2:$I$1000, 4, 0))), 0)</f>
        <v>0</v>
      </c>
      <c r="U1505" s="22">
        <f t="shared" si="92"/>
        <v>0</v>
      </c>
      <c r="V1505">
        <f t="shared" si="93"/>
        <v>0</v>
      </c>
      <c r="W1505" s="22">
        <f t="shared" si="94"/>
        <v>0</v>
      </c>
    </row>
    <row r="1506" spans="1:23" hidden="1" x14ac:dyDescent="0.25">
      <c r="A1506" s="3">
        <v>45987</v>
      </c>
      <c r="B1506" s="4" t="s">
        <v>334</v>
      </c>
      <c r="C1506" s="4" t="s">
        <v>827</v>
      </c>
      <c r="D1506" s="4"/>
      <c r="E1506" s="4" t="s">
        <v>921</v>
      </c>
      <c r="F1506" s="4" t="s">
        <v>981</v>
      </c>
      <c r="G1506" s="4" t="s">
        <v>336</v>
      </c>
      <c r="H1506" s="4" t="s">
        <v>380</v>
      </c>
      <c r="I1506" s="4">
        <v>1</v>
      </c>
      <c r="J1506" s="21">
        <v>130</v>
      </c>
      <c r="K1506" s="21">
        <v>130</v>
      </c>
      <c r="L1506" s="5">
        <v>0</v>
      </c>
      <c r="M1506" s="4"/>
      <c r="N1506" s="4"/>
      <c r="O1506" s="5"/>
      <c r="P1506" s="5"/>
      <c r="Q1506" s="21">
        <v>0</v>
      </c>
      <c r="R1506" s="21">
        <v>0</v>
      </c>
      <c r="S1506" s="5">
        <f t="shared" si="95"/>
        <v>73299.173760152</v>
      </c>
      <c r="T1506" cm="1">
        <f t="array" ref="T1506">IF(OR(B1506="MAL ALIMI", B1506="ÜRETİM GİRİŞ"), MIN(I1506, MAX(0, I1506 + SUM(SUMIFS($I$1:I1505, $C$1:C1505, C1506, $B$1:B1505, {"MAL ALIMI","ÜRETİM GİRİŞ"})) - VLOOKUP(C1506, 'STOK RAPORU'!$C$2:$I$1000, 4, 0))), 0)</f>
        <v>0</v>
      </c>
      <c r="U1506" s="22">
        <f t="shared" si="92"/>
        <v>0</v>
      </c>
      <c r="V1506">
        <f t="shared" si="93"/>
        <v>0</v>
      </c>
      <c r="W1506" s="22">
        <f t="shared" si="94"/>
        <v>0</v>
      </c>
    </row>
    <row r="1507" spans="1:23" hidden="1" x14ac:dyDescent="0.25">
      <c r="A1507" s="3">
        <v>45987</v>
      </c>
      <c r="B1507" s="4" t="s">
        <v>334</v>
      </c>
      <c r="C1507" s="4" t="s">
        <v>824</v>
      </c>
      <c r="D1507" s="4"/>
      <c r="E1507" s="4" t="s">
        <v>921</v>
      </c>
      <c r="F1507" s="4" t="s">
        <v>981</v>
      </c>
      <c r="G1507" s="4" t="s">
        <v>336</v>
      </c>
      <c r="H1507" s="4" t="s">
        <v>380</v>
      </c>
      <c r="I1507" s="4">
        <v>1</v>
      </c>
      <c r="J1507" s="21">
        <v>125</v>
      </c>
      <c r="K1507" s="21">
        <v>125</v>
      </c>
      <c r="L1507" s="5">
        <v>0</v>
      </c>
      <c r="M1507" s="4"/>
      <c r="N1507" s="4"/>
      <c r="O1507" s="5"/>
      <c r="P1507" s="5"/>
      <c r="Q1507" s="21">
        <v>0</v>
      </c>
      <c r="R1507" s="21">
        <v>0</v>
      </c>
      <c r="S1507" s="5">
        <f t="shared" si="95"/>
        <v>73299.173760152</v>
      </c>
      <c r="T1507" cm="1">
        <f t="array" ref="T1507">IF(OR(B1507="MAL ALIMI", B1507="ÜRETİM GİRİŞ"), MIN(I1507, MAX(0, I1507 + SUM(SUMIFS($I$1:I1506, $C$1:C1506, C1507, $B$1:B1506, {"MAL ALIMI","ÜRETİM GİRİŞ"})) - VLOOKUP(C1507, 'STOK RAPORU'!$C$2:$I$1000, 4, 0))), 0)</f>
        <v>0</v>
      </c>
      <c r="U1507" s="22">
        <f t="shared" si="92"/>
        <v>0</v>
      </c>
      <c r="V1507">
        <f t="shared" si="93"/>
        <v>0</v>
      </c>
      <c r="W1507" s="22">
        <f t="shared" si="94"/>
        <v>0</v>
      </c>
    </row>
    <row r="1508" spans="1:23" hidden="1" x14ac:dyDescent="0.25">
      <c r="A1508" s="3">
        <v>45987</v>
      </c>
      <c r="B1508" s="4" t="s">
        <v>334</v>
      </c>
      <c r="C1508" s="4" t="s">
        <v>202</v>
      </c>
      <c r="D1508" s="4"/>
      <c r="E1508" s="4" t="s">
        <v>921</v>
      </c>
      <c r="F1508" s="4" t="s">
        <v>981</v>
      </c>
      <c r="G1508" s="4" t="s">
        <v>336</v>
      </c>
      <c r="H1508" s="4" t="s">
        <v>380</v>
      </c>
      <c r="I1508" s="4">
        <v>1</v>
      </c>
      <c r="J1508" s="21">
        <v>40</v>
      </c>
      <c r="K1508" s="21">
        <v>40</v>
      </c>
      <c r="L1508" s="5">
        <v>0</v>
      </c>
      <c r="M1508" s="4"/>
      <c r="N1508" s="4"/>
      <c r="O1508" s="5"/>
      <c r="P1508" s="5"/>
      <c r="Q1508" s="21">
        <v>0</v>
      </c>
      <c r="R1508" s="21">
        <v>0</v>
      </c>
      <c r="S1508" s="5">
        <f t="shared" si="95"/>
        <v>73299.173760152</v>
      </c>
      <c r="T1508" cm="1">
        <f t="array" ref="T1508">IF(OR(B1508="MAL ALIMI", B1508="ÜRETİM GİRİŞ"), MIN(I1508, MAX(0, I1508 + SUM(SUMIFS($I$1:I1507, $C$1:C1507, C1508, $B$1:B1507, {"MAL ALIMI","ÜRETİM GİRİŞ"})) - VLOOKUP(C1508, 'STOK RAPORU'!$C$2:$I$1000, 4, 0))), 0)</f>
        <v>0</v>
      </c>
      <c r="U1508" s="22">
        <f t="shared" si="92"/>
        <v>0</v>
      </c>
      <c r="V1508">
        <f t="shared" si="93"/>
        <v>0</v>
      </c>
      <c r="W1508" s="22">
        <f t="shared" si="94"/>
        <v>0</v>
      </c>
    </row>
    <row r="1509" spans="1:23" hidden="1" x14ac:dyDescent="0.25">
      <c r="A1509" s="3">
        <v>45987</v>
      </c>
      <c r="B1509" s="4" t="s">
        <v>334</v>
      </c>
      <c r="C1509" s="4" t="s">
        <v>60</v>
      </c>
      <c r="D1509" s="4"/>
      <c r="E1509" s="4" t="s">
        <v>921</v>
      </c>
      <c r="F1509" s="4" t="s">
        <v>981</v>
      </c>
      <c r="G1509" s="4" t="s">
        <v>336</v>
      </c>
      <c r="H1509" s="4" t="s">
        <v>380</v>
      </c>
      <c r="I1509" s="4">
        <v>0.05</v>
      </c>
      <c r="J1509" s="21">
        <v>1200</v>
      </c>
      <c r="K1509" s="21">
        <v>60</v>
      </c>
      <c r="L1509" s="5">
        <v>0</v>
      </c>
      <c r="M1509" s="4"/>
      <c r="N1509" s="4"/>
      <c r="O1509" s="5"/>
      <c r="P1509" s="5"/>
      <c r="Q1509" s="21">
        <v>0</v>
      </c>
      <c r="R1509" s="21">
        <v>0</v>
      </c>
      <c r="S1509" s="5">
        <f t="shared" si="95"/>
        <v>73299.173760152</v>
      </c>
      <c r="T1509" cm="1">
        <f t="array" ref="T1509">IF(OR(B1509="MAL ALIMI", B1509="ÜRETİM GİRİŞ"), MIN(I1509, MAX(0, I1509 + SUM(SUMIFS($I$1:I1508, $C$1:C1508, C1509, $B$1:B1508, {"MAL ALIMI","ÜRETİM GİRİŞ"})) - VLOOKUP(C1509, 'STOK RAPORU'!$C$2:$I$1000, 4, 0))), 0)</f>
        <v>0</v>
      </c>
      <c r="U1509" s="22">
        <f t="shared" si="92"/>
        <v>0</v>
      </c>
      <c r="V1509">
        <f t="shared" si="93"/>
        <v>0</v>
      </c>
      <c r="W1509" s="22">
        <f t="shared" si="94"/>
        <v>0</v>
      </c>
    </row>
    <row r="1510" spans="1:23" hidden="1" x14ac:dyDescent="0.25">
      <c r="A1510" s="3">
        <v>45987</v>
      </c>
      <c r="B1510" s="4" t="s">
        <v>334</v>
      </c>
      <c r="C1510" s="4" t="s">
        <v>523</v>
      </c>
      <c r="D1510" s="4"/>
      <c r="E1510" s="4" t="s">
        <v>921</v>
      </c>
      <c r="F1510" s="4" t="s">
        <v>981</v>
      </c>
      <c r="G1510" s="4" t="s">
        <v>336</v>
      </c>
      <c r="H1510" s="4" t="s">
        <v>380</v>
      </c>
      <c r="I1510" s="4">
        <v>0.1</v>
      </c>
      <c r="J1510" s="21">
        <v>650</v>
      </c>
      <c r="K1510" s="21">
        <v>65</v>
      </c>
      <c r="L1510" s="5">
        <v>0</v>
      </c>
      <c r="M1510" s="4"/>
      <c r="N1510" s="4"/>
      <c r="O1510" s="5"/>
      <c r="P1510" s="5"/>
      <c r="Q1510" s="21">
        <v>0</v>
      </c>
      <c r="R1510" s="21">
        <v>0</v>
      </c>
      <c r="S1510" s="5">
        <f t="shared" si="95"/>
        <v>73299.173760152</v>
      </c>
      <c r="T1510" cm="1">
        <f t="array" ref="T1510">IF(OR(B1510="MAL ALIMI", B1510="ÜRETİM GİRİŞ"), MIN(I1510, MAX(0, I1510 + SUM(SUMIFS($I$1:I1509, $C$1:C1509, C1510, $B$1:B1509, {"MAL ALIMI","ÜRETİM GİRİŞ"})) - VLOOKUP(C1510, 'STOK RAPORU'!$C$2:$I$1000, 4, 0))), 0)</f>
        <v>0</v>
      </c>
      <c r="U1510" s="22">
        <f t="shared" si="92"/>
        <v>0</v>
      </c>
      <c r="V1510">
        <f t="shared" si="93"/>
        <v>0</v>
      </c>
      <c r="W1510" s="22">
        <f t="shared" si="94"/>
        <v>0</v>
      </c>
    </row>
    <row r="1511" spans="1:23" hidden="1" x14ac:dyDescent="0.25">
      <c r="A1511" s="3">
        <v>45987</v>
      </c>
      <c r="B1511" s="4" t="s">
        <v>334</v>
      </c>
      <c r="C1511" s="4" t="s">
        <v>132</v>
      </c>
      <c r="D1511" s="4"/>
      <c r="E1511" s="4"/>
      <c r="F1511" s="4" t="s">
        <v>982</v>
      </c>
      <c r="G1511" s="4" t="s">
        <v>336</v>
      </c>
      <c r="H1511" s="4" t="s">
        <v>289</v>
      </c>
      <c r="I1511" s="4">
        <v>7.8E-2</v>
      </c>
      <c r="J1511" s="21">
        <v>500</v>
      </c>
      <c r="K1511" s="21">
        <v>0</v>
      </c>
      <c r="L1511" s="5">
        <v>0</v>
      </c>
      <c r="M1511" s="4"/>
      <c r="N1511" s="4"/>
      <c r="O1511" s="5"/>
      <c r="P1511" s="5"/>
      <c r="Q1511" s="21">
        <v>39</v>
      </c>
      <c r="R1511" s="21">
        <v>0</v>
      </c>
      <c r="S1511" s="5">
        <f t="shared" si="95"/>
        <v>73338.173760152</v>
      </c>
      <c r="T1511" cm="1">
        <f t="array" ref="T1511">IF(OR(B1511="MAL ALIMI", B1511="ÜRETİM GİRİŞ"), MIN(I1511, MAX(0, I1511 + SUM(SUMIFS($I$1:I1510, $C$1:C1510, C1511, $B$1:B1510, {"MAL ALIMI","ÜRETİM GİRİŞ"})) - VLOOKUP(C1511, 'STOK RAPORU'!$C$2:$I$1000, 4, 0))), 0)</f>
        <v>0</v>
      </c>
      <c r="U1511" s="22">
        <f t="shared" si="92"/>
        <v>0</v>
      </c>
      <c r="V1511">
        <f t="shared" si="93"/>
        <v>0</v>
      </c>
      <c r="W1511" s="22">
        <f t="shared" si="94"/>
        <v>0</v>
      </c>
    </row>
    <row r="1512" spans="1:23" hidden="1" x14ac:dyDescent="0.25">
      <c r="A1512" s="3">
        <v>45987</v>
      </c>
      <c r="B1512" s="4" t="s">
        <v>334</v>
      </c>
      <c r="C1512" s="4" t="s">
        <v>98</v>
      </c>
      <c r="D1512" s="4"/>
      <c r="E1512" s="4"/>
      <c r="F1512" s="4" t="s">
        <v>982</v>
      </c>
      <c r="G1512" s="4" t="s">
        <v>336</v>
      </c>
      <c r="H1512" s="4" t="s">
        <v>289</v>
      </c>
      <c r="I1512" s="4">
        <v>7.8E-2</v>
      </c>
      <c r="J1512" s="21">
        <v>360</v>
      </c>
      <c r="K1512" s="21">
        <v>0</v>
      </c>
      <c r="L1512" s="5">
        <v>0</v>
      </c>
      <c r="M1512" s="4"/>
      <c r="N1512" s="4"/>
      <c r="O1512" s="5"/>
      <c r="P1512" s="5"/>
      <c r="Q1512" s="21">
        <v>28.08</v>
      </c>
      <c r="R1512" s="21">
        <v>0</v>
      </c>
      <c r="S1512" s="5">
        <f t="shared" si="95"/>
        <v>73366.253760152002</v>
      </c>
      <c r="T1512" cm="1">
        <f t="array" ref="T1512">IF(OR(B1512="MAL ALIMI", B1512="ÜRETİM GİRİŞ"), MIN(I1512, MAX(0, I1512 + SUM(SUMIFS($I$1:I1511, $C$1:C1511, C1512, $B$1:B1511, {"MAL ALIMI","ÜRETİM GİRİŞ"})) - VLOOKUP(C1512, 'STOK RAPORU'!$C$2:$I$1000, 4, 0))), 0)</f>
        <v>0</v>
      </c>
      <c r="U1512" s="22">
        <f t="shared" si="92"/>
        <v>0</v>
      </c>
      <c r="V1512">
        <f t="shared" si="93"/>
        <v>0</v>
      </c>
      <c r="W1512" s="22">
        <f t="shared" si="94"/>
        <v>0</v>
      </c>
    </row>
    <row r="1513" spans="1:23" hidden="1" x14ac:dyDescent="0.25">
      <c r="A1513" s="3">
        <v>45987</v>
      </c>
      <c r="B1513" s="4" t="s">
        <v>334</v>
      </c>
      <c r="C1513" s="4" t="s">
        <v>463</v>
      </c>
      <c r="D1513" s="4"/>
      <c r="E1513" s="4"/>
      <c r="F1513" s="4" t="s">
        <v>982</v>
      </c>
      <c r="G1513" s="4" t="s">
        <v>336</v>
      </c>
      <c r="H1513" s="4" t="s">
        <v>289</v>
      </c>
      <c r="I1513" s="4">
        <v>0.12</v>
      </c>
      <c r="J1513" s="21">
        <v>370</v>
      </c>
      <c r="K1513" s="21">
        <v>0</v>
      </c>
      <c r="L1513" s="5">
        <v>0</v>
      </c>
      <c r="M1513" s="4"/>
      <c r="N1513" s="4"/>
      <c r="O1513" s="5"/>
      <c r="P1513" s="5"/>
      <c r="Q1513" s="21">
        <v>44.4</v>
      </c>
      <c r="R1513" s="21">
        <v>0</v>
      </c>
      <c r="S1513" s="5">
        <f t="shared" si="95"/>
        <v>73410.653760151996</v>
      </c>
      <c r="T1513" cm="1">
        <f t="array" ref="T1513">IF(OR(B1513="MAL ALIMI", B1513="ÜRETİM GİRİŞ"), MIN(I1513, MAX(0, I1513 + SUM(SUMIFS($I$1:I1512, $C$1:C1512, C1513, $B$1:B1512, {"MAL ALIMI","ÜRETİM GİRİŞ"})) - VLOOKUP(C1513, 'STOK RAPORU'!$C$2:$I$1000, 4, 0))), 0)</f>
        <v>0</v>
      </c>
      <c r="U1513" s="22">
        <f t="shared" si="92"/>
        <v>0</v>
      </c>
      <c r="V1513">
        <f t="shared" si="93"/>
        <v>0</v>
      </c>
      <c r="W1513" s="22">
        <f t="shared" si="94"/>
        <v>0</v>
      </c>
    </row>
    <row r="1514" spans="1:23" hidden="1" x14ac:dyDescent="0.25">
      <c r="A1514" s="3">
        <v>45987</v>
      </c>
      <c r="B1514" s="4" t="s">
        <v>334</v>
      </c>
      <c r="C1514" s="4" t="s">
        <v>236</v>
      </c>
      <c r="D1514" s="4"/>
      <c r="E1514" s="4"/>
      <c r="F1514" s="4" t="s">
        <v>982</v>
      </c>
      <c r="G1514" s="4" t="s">
        <v>336</v>
      </c>
      <c r="H1514" s="4" t="s">
        <v>289</v>
      </c>
      <c r="I1514" s="4">
        <v>0.23200000000000001</v>
      </c>
      <c r="J1514" s="21">
        <v>350</v>
      </c>
      <c r="K1514" s="21">
        <v>0</v>
      </c>
      <c r="L1514" s="5">
        <v>0</v>
      </c>
      <c r="M1514" s="4"/>
      <c r="N1514" s="4"/>
      <c r="O1514" s="5"/>
      <c r="P1514" s="5"/>
      <c r="Q1514" s="21">
        <v>81.2</v>
      </c>
      <c r="R1514" s="21">
        <v>0</v>
      </c>
      <c r="S1514" s="5">
        <f t="shared" si="95"/>
        <v>73491.853760151993</v>
      </c>
      <c r="T1514" cm="1">
        <f t="array" ref="T1514">IF(OR(B1514="MAL ALIMI", B1514="ÜRETİM GİRİŞ"), MIN(I1514, MAX(0, I1514 + SUM(SUMIFS($I$1:I1513, $C$1:C1513, C1514, $B$1:B1513, {"MAL ALIMI","ÜRETİM GİRİŞ"})) - VLOOKUP(C1514, 'STOK RAPORU'!$C$2:$I$1000, 4, 0))), 0)</f>
        <v>0</v>
      </c>
      <c r="U1514" s="22">
        <f t="shared" si="92"/>
        <v>0</v>
      </c>
      <c r="V1514">
        <f t="shared" si="93"/>
        <v>0</v>
      </c>
      <c r="W1514" s="22">
        <f t="shared" si="94"/>
        <v>0</v>
      </c>
    </row>
    <row r="1515" spans="1:23" hidden="1" x14ac:dyDescent="0.25">
      <c r="A1515" s="3">
        <v>45987</v>
      </c>
      <c r="B1515" s="4" t="s">
        <v>334</v>
      </c>
      <c r="C1515" s="4" t="s">
        <v>459</v>
      </c>
      <c r="D1515" s="4"/>
      <c r="E1515" s="4"/>
      <c r="F1515" s="4" t="s">
        <v>982</v>
      </c>
      <c r="G1515" s="4" t="s">
        <v>336</v>
      </c>
      <c r="H1515" s="4" t="s">
        <v>289</v>
      </c>
      <c r="I1515" s="4">
        <v>0.1</v>
      </c>
      <c r="J1515" s="21">
        <v>200</v>
      </c>
      <c r="K1515" s="21">
        <v>0</v>
      </c>
      <c r="L1515" s="5">
        <v>0</v>
      </c>
      <c r="M1515" s="4"/>
      <c r="N1515" s="4"/>
      <c r="O1515" s="5"/>
      <c r="P1515" s="5"/>
      <c r="Q1515" s="21">
        <v>20</v>
      </c>
      <c r="R1515" s="21">
        <v>0</v>
      </c>
      <c r="S1515" s="5">
        <f t="shared" si="95"/>
        <v>73511.853760151993</v>
      </c>
      <c r="T1515" cm="1">
        <f t="array" ref="T1515">IF(OR(B1515="MAL ALIMI", B1515="ÜRETİM GİRİŞ"), MIN(I1515, MAX(0, I1515 + SUM(SUMIFS($I$1:I1514, $C$1:C1514, C1515, $B$1:B1514, {"MAL ALIMI","ÜRETİM GİRİŞ"})) - VLOOKUP(C1515, 'STOK RAPORU'!$C$2:$I$1000, 4, 0))), 0)</f>
        <v>0</v>
      </c>
      <c r="U1515" s="22">
        <f t="shared" si="92"/>
        <v>0</v>
      </c>
      <c r="V1515">
        <f t="shared" si="93"/>
        <v>0</v>
      </c>
      <c r="W1515" s="22">
        <f t="shared" si="94"/>
        <v>0</v>
      </c>
    </row>
    <row r="1516" spans="1:23" hidden="1" x14ac:dyDescent="0.25">
      <c r="A1516" s="3">
        <v>45987</v>
      </c>
      <c r="B1516" s="4" t="s">
        <v>334</v>
      </c>
      <c r="C1516" s="4" t="s">
        <v>134</v>
      </c>
      <c r="D1516" s="4"/>
      <c r="E1516" s="4"/>
      <c r="F1516" s="4" t="s">
        <v>982</v>
      </c>
      <c r="G1516" s="4" t="s">
        <v>336</v>
      </c>
      <c r="H1516" s="4" t="s">
        <v>289</v>
      </c>
      <c r="I1516" s="4">
        <v>0.1</v>
      </c>
      <c r="J1516" s="21">
        <v>600</v>
      </c>
      <c r="K1516" s="21">
        <v>0</v>
      </c>
      <c r="L1516" s="5">
        <v>0</v>
      </c>
      <c r="M1516" s="4"/>
      <c r="N1516" s="4"/>
      <c r="O1516" s="5"/>
      <c r="P1516" s="5"/>
      <c r="Q1516" s="21">
        <v>60</v>
      </c>
      <c r="R1516" s="21">
        <v>0</v>
      </c>
      <c r="S1516" s="5">
        <f t="shared" si="95"/>
        <v>73571.853760151993</v>
      </c>
      <c r="T1516" cm="1">
        <f t="array" ref="T1516">IF(OR(B1516="MAL ALIMI", B1516="ÜRETİM GİRİŞ"), MIN(I1516, MAX(0, I1516 + SUM(SUMIFS($I$1:I1515, $C$1:C1515, C1516, $B$1:B1515, {"MAL ALIMI","ÜRETİM GİRİŞ"})) - VLOOKUP(C1516, 'STOK RAPORU'!$C$2:$I$1000, 4, 0))), 0)</f>
        <v>0</v>
      </c>
      <c r="U1516" s="22">
        <f t="shared" si="92"/>
        <v>0</v>
      </c>
      <c r="V1516">
        <f t="shared" si="93"/>
        <v>0</v>
      </c>
      <c r="W1516" s="22">
        <f t="shared" si="94"/>
        <v>0</v>
      </c>
    </row>
    <row r="1517" spans="1:23" hidden="1" x14ac:dyDescent="0.25">
      <c r="A1517" s="3">
        <v>45987</v>
      </c>
      <c r="B1517" s="4" t="s">
        <v>334</v>
      </c>
      <c r="C1517" s="4" t="s">
        <v>137</v>
      </c>
      <c r="D1517" s="4"/>
      <c r="E1517" s="4"/>
      <c r="F1517" s="4" t="s">
        <v>982</v>
      </c>
      <c r="G1517" s="4" t="s">
        <v>336</v>
      </c>
      <c r="H1517" s="4" t="s">
        <v>289</v>
      </c>
      <c r="I1517" s="4">
        <v>0.25</v>
      </c>
      <c r="J1517" s="21">
        <v>180</v>
      </c>
      <c r="K1517" s="21">
        <v>0</v>
      </c>
      <c r="L1517" s="5">
        <v>0</v>
      </c>
      <c r="M1517" s="4"/>
      <c r="N1517" s="4"/>
      <c r="O1517" s="5"/>
      <c r="P1517" s="5"/>
      <c r="Q1517" s="21">
        <v>45</v>
      </c>
      <c r="R1517" s="21">
        <v>0</v>
      </c>
      <c r="S1517" s="5">
        <f t="shared" si="95"/>
        <v>73616.853760151993</v>
      </c>
      <c r="T1517" cm="1">
        <f t="array" ref="T1517">IF(OR(B1517="MAL ALIMI", B1517="ÜRETİM GİRİŞ"), MIN(I1517, MAX(0, I1517 + SUM(SUMIFS($I$1:I1516, $C$1:C1516, C1517, $B$1:B1516, {"MAL ALIMI","ÜRETİM GİRİŞ"})) - VLOOKUP(C1517, 'STOK RAPORU'!$C$2:$I$1000, 4, 0))), 0)</f>
        <v>0</v>
      </c>
      <c r="U1517" s="22">
        <f t="shared" si="92"/>
        <v>0</v>
      </c>
      <c r="V1517">
        <f t="shared" si="93"/>
        <v>0</v>
      </c>
      <c r="W1517" s="22">
        <f t="shared" si="94"/>
        <v>0</v>
      </c>
    </row>
    <row r="1518" spans="1:23" hidden="1" x14ac:dyDescent="0.25">
      <c r="A1518" s="3">
        <v>45987</v>
      </c>
      <c r="B1518" s="4" t="s">
        <v>334</v>
      </c>
      <c r="C1518" s="4" t="s">
        <v>598</v>
      </c>
      <c r="D1518" s="4"/>
      <c r="E1518" s="4"/>
      <c r="F1518" s="4" t="s">
        <v>982</v>
      </c>
      <c r="G1518" s="4" t="s">
        <v>336</v>
      </c>
      <c r="H1518" s="4" t="s">
        <v>289</v>
      </c>
      <c r="I1518" s="4">
        <v>0.53</v>
      </c>
      <c r="J1518" s="21">
        <v>290</v>
      </c>
      <c r="K1518" s="21">
        <v>0</v>
      </c>
      <c r="L1518" s="5">
        <v>0</v>
      </c>
      <c r="M1518" s="4"/>
      <c r="N1518" s="4"/>
      <c r="O1518" s="5"/>
      <c r="P1518" s="5"/>
      <c r="Q1518" s="21">
        <v>153.70000000000002</v>
      </c>
      <c r="R1518" s="21">
        <v>0</v>
      </c>
      <c r="S1518" s="5">
        <f t="shared" si="95"/>
        <v>73770.55376015199</v>
      </c>
      <c r="T1518" cm="1">
        <f t="array" ref="T1518">IF(OR(B1518="MAL ALIMI", B1518="ÜRETİM GİRİŞ"), MIN(I1518, MAX(0, I1518 + SUM(SUMIFS($I$1:I1517, $C$1:C1517, C1518, $B$1:B1517, {"MAL ALIMI","ÜRETİM GİRİŞ"})) - VLOOKUP(C1518, 'STOK RAPORU'!$C$2:$I$1000, 4, 0))), 0)</f>
        <v>0</v>
      </c>
      <c r="U1518" s="22">
        <f t="shared" si="92"/>
        <v>0</v>
      </c>
      <c r="V1518">
        <f t="shared" si="93"/>
        <v>0</v>
      </c>
      <c r="W1518" s="22">
        <f t="shared" si="94"/>
        <v>0</v>
      </c>
    </row>
    <row r="1519" spans="1:23" hidden="1" x14ac:dyDescent="0.25">
      <c r="A1519" s="3">
        <v>45987</v>
      </c>
      <c r="B1519" s="4" t="s">
        <v>334</v>
      </c>
      <c r="C1519" s="4" t="s">
        <v>751</v>
      </c>
      <c r="D1519" s="4"/>
      <c r="E1519" s="4" t="s">
        <v>921</v>
      </c>
      <c r="F1519" s="4" t="s">
        <v>983</v>
      </c>
      <c r="G1519" s="4" t="s">
        <v>336</v>
      </c>
      <c r="H1519" s="4" t="s">
        <v>380</v>
      </c>
      <c r="I1519" s="4">
        <v>1</v>
      </c>
      <c r="J1519" s="21">
        <v>220</v>
      </c>
      <c r="K1519" s="21">
        <v>220</v>
      </c>
      <c r="L1519" s="5">
        <v>0</v>
      </c>
      <c r="M1519" s="4"/>
      <c r="N1519" s="4"/>
      <c r="O1519" s="5"/>
      <c r="P1519" s="5"/>
      <c r="Q1519" s="21">
        <v>0</v>
      </c>
      <c r="R1519" s="21">
        <v>0</v>
      </c>
      <c r="S1519" s="5">
        <f t="shared" si="95"/>
        <v>73770.55376015199</v>
      </c>
      <c r="T1519" cm="1">
        <f t="array" ref="T1519">IF(OR(B1519="MAL ALIMI", B1519="ÜRETİM GİRİŞ"), MIN(I1519, MAX(0, I1519 + SUM(SUMIFS($I$1:I1518, $C$1:C1518, C1519, $B$1:B1518, {"MAL ALIMI","ÜRETİM GİRİŞ"})) - VLOOKUP(C1519, 'STOK RAPORU'!$C$2:$I$1000, 4, 0))), 0)</f>
        <v>0</v>
      </c>
      <c r="U1519" s="22">
        <f t="shared" si="92"/>
        <v>0</v>
      </c>
      <c r="V1519">
        <f t="shared" si="93"/>
        <v>0</v>
      </c>
      <c r="W1519" s="22">
        <f t="shared" si="94"/>
        <v>0</v>
      </c>
    </row>
    <row r="1520" spans="1:23" hidden="1" x14ac:dyDescent="0.25">
      <c r="A1520" s="3">
        <v>45987</v>
      </c>
      <c r="B1520" s="4" t="s">
        <v>334</v>
      </c>
      <c r="C1520" s="4" t="s">
        <v>690</v>
      </c>
      <c r="D1520" s="4"/>
      <c r="E1520" s="4" t="s">
        <v>921</v>
      </c>
      <c r="F1520" s="4" t="s">
        <v>984</v>
      </c>
      <c r="G1520" s="4" t="s">
        <v>336</v>
      </c>
      <c r="H1520" s="4" t="s">
        <v>380</v>
      </c>
      <c r="I1520" s="4">
        <v>0.374</v>
      </c>
      <c r="J1520" s="21">
        <v>340</v>
      </c>
      <c r="K1520" s="21">
        <v>127.16</v>
      </c>
      <c r="L1520" s="5">
        <v>0</v>
      </c>
      <c r="M1520" s="4"/>
      <c r="N1520" s="4"/>
      <c r="O1520" s="5"/>
      <c r="P1520" s="5"/>
      <c r="Q1520" s="21">
        <v>0</v>
      </c>
      <c r="R1520" s="21">
        <v>0</v>
      </c>
      <c r="S1520" s="5">
        <f t="shared" si="95"/>
        <v>73770.55376015199</v>
      </c>
      <c r="T1520" cm="1">
        <f t="array" ref="T1520">IF(OR(B1520="MAL ALIMI", B1520="ÜRETİM GİRİŞ"), MIN(I1520, MAX(0, I1520 + SUM(SUMIFS($I$1:I1519, $C$1:C1519, C1520, $B$1:B1519, {"MAL ALIMI","ÜRETİM GİRİŞ"})) - VLOOKUP(C1520, 'STOK RAPORU'!$C$2:$I$1000, 4, 0))), 0)</f>
        <v>0</v>
      </c>
      <c r="U1520" s="22">
        <f t="shared" si="92"/>
        <v>0</v>
      </c>
      <c r="V1520">
        <f t="shared" si="93"/>
        <v>0</v>
      </c>
      <c r="W1520" s="22">
        <f t="shared" si="94"/>
        <v>0</v>
      </c>
    </row>
    <row r="1521" spans="1:23" hidden="1" x14ac:dyDescent="0.25">
      <c r="A1521" s="3">
        <v>45987</v>
      </c>
      <c r="B1521" s="4" t="s">
        <v>334</v>
      </c>
      <c r="C1521" s="4" t="s">
        <v>76</v>
      </c>
      <c r="D1521" s="4"/>
      <c r="E1521" s="4"/>
      <c r="F1521" s="4" t="s">
        <v>985</v>
      </c>
      <c r="G1521" s="4" t="s">
        <v>336</v>
      </c>
      <c r="H1521" s="4" t="s">
        <v>289</v>
      </c>
      <c r="I1521" s="4">
        <v>0.13200000000000001</v>
      </c>
      <c r="J1521" s="21">
        <v>760</v>
      </c>
      <c r="K1521" s="21">
        <v>0</v>
      </c>
      <c r="L1521" s="5">
        <v>0</v>
      </c>
      <c r="M1521" s="4"/>
      <c r="N1521" s="4"/>
      <c r="O1521" s="5"/>
      <c r="P1521" s="5"/>
      <c r="Q1521" s="21">
        <v>100.32000000000001</v>
      </c>
      <c r="R1521" s="21">
        <v>0</v>
      </c>
      <c r="S1521" s="5">
        <f t="shared" si="95"/>
        <v>73870.873760151997</v>
      </c>
      <c r="T1521" cm="1">
        <f t="array" ref="T1521">IF(OR(B1521="MAL ALIMI", B1521="ÜRETİM GİRİŞ"), MIN(I1521, MAX(0, I1521 + SUM(SUMIFS($I$1:I1520, $C$1:C1520, C1521, $B$1:B1520, {"MAL ALIMI","ÜRETİM GİRİŞ"})) - VLOOKUP(C1521, 'STOK RAPORU'!$C$2:$I$1000, 4, 0))), 0)</f>
        <v>0</v>
      </c>
      <c r="U1521" s="22">
        <f t="shared" si="92"/>
        <v>0</v>
      </c>
      <c r="V1521">
        <f t="shared" si="93"/>
        <v>0</v>
      </c>
      <c r="W1521" s="22">
        <f t="shared" si="94"/>
        <v>0</v>
      </c>
    </row>
    <row r="1522" spans="1:23" hidden="1" x14ac:dyDescent="0.25">
      <c r="A1522" s="3">
        <v>45987</v>
      </c>
      <c r="B1522" s="4" t="s">
        <v>334</v>
      </c>
      <c r="C1522" s="4" t="s">
        <v>132</v>
      </c>
      <c r="D1522" s="4"/>
      <c r="E1522" s="4"/>
      <c r="F1522" s="4" t="s">
        <v>986</v>
      </c>
      <c r="G1522" s="4" t="s">
        <v>336</v>
      </c>
      <c r="H1522" s="4" t="s">
        <v>289</v>
      </c>
      <c r="I1522" s="4">
        <v>0.2</v>
      </c>
      <c r="J1522" s="21">
        <v>500</v>
      </c>
      <c r="K1522" s="21">
        <v>0</v>
      </c>
      <c r="L1522" s="5">
        <v>0</v>
      </c>
      <c r="M1522" s="4"/>
      <c r="N1522" s="4"/>
      <c r="O1522" s="5"/>
      <c r="P1522" s="5"/>
      <c r="Q1522" s="21">
        <v>100</v>
      </c>
      <c r="R1522" s="21">
        <v>0</v>
      </c>
      <c r="S1522" s="5">
        <f t="shared" si="95"/>
        <v>73970.873760151997</v>
      </c>
      <c r="T1522" cm="1">
        <f t="array" ref="T1522">IF(OR(B1522="MAL ALIMI", B1522="ÜRETİM GİRİŞ"), MIN(I1522, MAX(0, I1522 + SUM(SUMIFS($I$1:I1521, $C$1:C1521, C1522, $B$1:B1521, {"MAL ALIMI","ÜRETİM GİRİŞ"})) - VLOOKUP(C1522, 'STOK RAPORU'!$C$2:$I$1000, 4, 0))), 0)</f>
        <v>0</v>
      </c>
      <c r="U1522" s="22">
        <f t="shared" si="92"/>
        <v>0</v>
      </c>
      <c r="V1522">
        <f t="shared" si="93"/>
        <v>0</v>
      </c>
      <c r="W1522" s="22">
        <f t="shared" si="94"/>
        <v>0</v>
      </c>
    </row>
    <row r="1523" spans="1:23" hidden="1" x14ac:dyDescent="0.25">
      <c r="A1523" s="3">
        <v>45987</v>
      </c>
      <c r="B1523" s="4" t="s">
        <v>334</v>
      </c>
      <c r="C1523" s="4" t="s">
        <v>157</v>
      </c>
      <c r="D1523" s="4"/>
      <c r="E1523" s="4"/>
      <c r="F1523" s="4" t="s">
        <v>987</v>
      </c>
      <c r="G1523" s="4" t="s">
        <v>336</v>
      </c>
      <c r="H1523" s="4" t="s">
        <v>289</v>
      </c>
      <c r="I1523" s="4">
        <v>1</v>
      </c>
      <c r="J1523" s="21">
        <v>180</v>
      </c>
      <c r="K1523" s="21">
        <v>0</v>
      </c>
      <c r="L1523" s="5">
        <v>0</v>
      </c>
      <c r="M1523" s="4"/>
      <c r="N1523" s="4"/>
      <c r="O1523" s="5"/>
      <c r="P1523" s="5"/>
      <c r="Q1523" s="21">
        <v>180</v>
      </c>
      <c r="R1523" s="21">
        <v>0</v>
      </c>
      <c r="S1523" s="5">
        <f t="shared" si="95"/>
        <v>74150.873760151997</v>
      </c>
      <c r="T1523" cm="1">
        <f t="array" ref="T1523">IF(OR(B1523="MAL ALIMI", B1523="ÜRETİM GİRİŞ"), MIN(I1523, MAX(0, I1523 + SUM(SUMIFS($I$1:I1522, $C$1:C1522, C1523, $B$1:B1522, {"MAL ALIMI","ÜRETİM GİRİŞ"})) - VLOOKUP(C1523, 'STOK RAPORU'!$C$2:$I$1000, 4, 0))), 0)</f>
        <v>0</v>
      </c>
      <c r="U1523" s="22">
        <f t="shared" si="92"/>
        <v>0</v>
      </c>
      <c r="V1523">
        <f t="shared" si="93"/>
        <v>0</v>
      </c>
      <c r="W1523" s="22">
        <f t="shared" si="94"/>
        <v>0</v>
      </c>
    </row>
    <row r="1524" spans="1:23" hidden="1" x14ac:dyDescent="0.25">
      <c r="A1524" s="3">
        <v>45987</v>
      </c>
      <c r="B1524" s="4" t="s">
        <v>334</v>
      </c>
      <c r="C1524" s="4" t="s">
        <v>76</v>
      </c>
      <c r="D1524" s="4"/>
      <c r="E1524" s="4"/>
      <c r="F1524" s="4" t="s">
        <v>988</v>
      </c>
      <c r="G1524" s="4" t="s">
        <v>336</v>
      </c>
      <c r="H1524" s="4" t="s">
        <v>289</v>
      </c>
      <c r="I1524" s="4">
        <v>0.375</v>
      </c>
      <c r="J1524" s="21">
        <v>400</v>
      </c>
      <c r="K1524" s="21">
        <v>0</v>
      </c>
      <c r="L1524" s="5">
        <v>0</v>
      </c>
      <c r="M1524" s="4"/>
      <c r="N1524" s="4"/>
      <c r="O1524" s="5"/>
      <c r="P1524" s="5"/>
      <c r="Q1524" s="21">
        <v>150</v>
      </c>
      <c r="R1524" s="21">
        <v>0</v>
      </c>
      <c r="S1524" s="5">
        <f t="shared" si="95"/>
        <v>74300.873760151997</v>
      </c>
      <c r="T1524" cm="1">
        <f t="array" ref="T1524">IF(OR(B1524="MAL ALIMI", B1524="ÜRETİM GİRİŞ"), MIN(I1524, MAX(0, I1524 + SUM(SUMIFS($I$1:I1523, $C$1:C1523, C1524, $B$1:B1523, {"MAL ALIMI","ÜRETİM GİRİŞ"})) - VLOOKUP(C1524, 'STOK RAPORU'!$C$2:$I$1000, 4, 0))), 0)</f>
        <v>0</v>
      </c>
      <c r="U1524" s="22">
        <f t="shared" si="92"/>
        <v>0</v>
      </c>
      <c r="V1524">
        <f t="shared" si="93"/>
        <v>0</v>
      </c>
      <c r="W1524" s="22">
        <f t="shared" si="94"/>
        <v>0</v>
      </c>
    </row>
    <row r="1525" spans="1:23" hidden="1" x14ac:dyDescent="0.25">
      <c r="A1525" s="3">
        <v>45987</v>
      </c>
      <c r="B1525" s="4" t="s">
        <v>334</v>
      </c>
      <c r="C1525" s="4" t="s">
        <v>468</v>
      </c>
      <c r="D1525" s="4"/>
      <c r="E1525" s="4" t="s">
        <v>921</v>
      </c>
      <c r="F1525" s="4" t="s">
        <v>989</v>
      </c>
      <c r="G1525" s="4" t="s">
        <v>336</v>
      </c>
      <c r="H1525" s="4" t="s">
        <v>380</v>
      </c>
      <c r="I1525" s="4">
        <v>1</v>
      </c>
      <c r="J1525" s="21">
        <v>40</v>
      </c>
      <c r="K1525" s="21">
        <v>40</v>
      </c>
      <c r="L1525" s="5">
        <v>0</v>
      </c>
      <c r="M1525" s="4"/>
      <c r="N1525" s="4"/>
      <c r="O1525" s="5"/>
      <c r="P1525" s="5"/>
      <c r="Q1525" s="21">
        <v>0</v>
      </c>
      <c r="R1525" s="21">
        <v>0</v>
      </c>
      <c r="S1525" s="5">
        <f t="shared" si="95"/>
        <v>74300.873760151997</v>
      </c>
      <c r="T1525" cm="1">
        <f t="array" ref="T1525">IF(OR(B1525="MAL ALIMI", B1525="ÜRETİM GİRİŞ"), MIN(I1525, MAX(0, I1525 + SUM(SUMIFS($I$1:I1524, $C$1:C1524, C1525, $B$1:B1524, {"MAL ALIMI","ÜRETİM GİRİŞ"})) - VLOOKUP(C1525, 'STOK RAPORU'!$C$2:$I$1000, 4, 0))), 0)</f>
        <v>0</v>
      </c>
      <c r="U1525" s="22">
        <f t="shared" si="92"/>
        <v>0</v>
      </c>
      <c r="V1525">
        <f t="shared" si="93"/>
        <v>0</v>
      </c>
      <c r="W1525" s="22">
        <f t="shared" si="94"/>
        <v>0</v>
      </c>
    </row>
    <row r="1526" spans="1:23" hidden="1" x14ac:dyDescent="0.25">
      <c r="A1526" s="3">
        <v>45987</v>
      </c>
      <c r="B1526" s="4" t="s">
        <v>334</v>
      </c>
      <c r="C1526" s="4" t="s">
        <v>223</v>
      </c>
      <c r="D1526" s="4"/>
      <c r="E1526" s="4"/>
      <c r="F1526" s="4" t="s">
        <v>990</v>
      </c>
      <c r="G1526" s="4" t="s">
        <v>336</v>
      </c>
      <c r="H1526" s="4" t="s">
        <v>289</v>
      </c>
      <c r="I1526" s="4">
        <v>0.5</v>
      </c>
      <c r="J1526" s="21">
        <v>700</v>
      </c>
      <c r="K1526" s="21">
        <v>0</v>
      </c>
      <c r="L1526" s="5">
        <v>0</v>
      </c>
      <c r="M1526" s="4"/>
      <c r="N1526" s="4"/>
      <c r="O1526" s="5"/>
      <c r="P1526" s="5"/>
      <c r="Q1526" s="21">
        <v>350</v>
      </c>
      <c r="R1526" s="21">
        <v>0</v>
      </c>
      <c r="S1526" s="5">
        <f t="shared" si="95"/>
        <v>74650.873760151997</v>
      </c>
      <c r="T1526" cm="1">
        <f t="array" ref="T1526">IF(OR(B1526="MAL ALIMI", B1526="ÜRETİM GİRİŞ"), MIN(I1526, MAX(0, I1526 + SUM(SUMIFS($I$1:I1525, $C$1:C1525, C1526, $B$1:B1525, {"MAL ALIMI","ÜRETİM GİRİŞ"})) - VLOOKUP(C1526, 'STOK RAPORU'!$C$2:$I$1000, 4, 0))), 0)</f>
        <v>0</v>
      </c>
      <c r="U1526" s="22">
        <f t="shared" si="92"/>
        <v>0</v>
      </c>
      <c r="V1526">
        <f t="shared" si="93"/>
        <v>0</v>
      </c>
      <c r="W1526" s="22">
        <f t="shared" si="94"/>
        <v>0</v>
      </c>
    </row>
    <row r="1527" spans="1:23" hidden="1" x14ac:dyDescent="0.25">
      <c r="A1527" s="3">
        <v>45987</v>
      </c>
      <c r="B1527" s="4" t="s">
        <v>334</v>
      </c>
      <c r="C1527" s="4" t="s">
        <v>690</v>
      </c>
      <c r="D1527" s="4"/>
      <c r="E1527" s="4"/>
      <c r="F1527" s="4" t="s">
        <v>990</v>
      </c>
      <c r="G1527" s="4" t="s">
        <v>336</v>
      </c>
      <c r="H1527" s="4" t="s">
        <v>289</v>
      </c>
      <c r="I1527" s="4">
        <v>0.46</v>
      </c>
      <c r="J1527" s="21">
        <v>340</v>
      </c>
      <c r="K1527" s="21">
        <v>0</v>
      </c>
      <c r="L1527" s="5">
        <v>0</v>
      </c>
      <c r="M1527" s="4"/>
      <c r="N1527" s="4"/>
      <c r="O1527" s="5"/>
      <c r="P1527" s="5"/>
      <c r="Q1527" s="21">
        <v>156.4</v>
      </c>
      <c r="R1527" s="21">
        <v>0</v>
      </c>
      <c r="S1527" s="5">
        <f t="shared" si="95"/>
        <v>74807.273760151991</v>
      </c>
      <c r="T1527" cm="1">
        <f t="array" ref="T1527">IF(OR(B1527="MAL ALIMI", B1527="ÜRETİM GİRİŞ"), MIN(I1527, MAX(0, I1527 + SUM(SUMIFS($I$1:I1526, $C$1:C1526, C1527, $B$1:B1526, {"MAL ALIMI","ÜRETİM GİRİŞ"})) - VLOOKUP(C1527, 'STOK RAPORU'!$C$2:$I$1000, 4, 0))), 0)</f>
        <v>0</v>
      </c>
      <c r="U1527" s="22">
        <f t="shared" si="92"/>
        <v>0</v>
      </c>
      <c r="V1527">
        <f t="shared" si="93"/>
        <v>0</v>
      </c>
      <c r="W1527" s="22">
        <f t="shared" si="94"/>
        <v>0</v>
      </c>
    </row>
    <row r="1528" spans="1:23" hidden="1" x14ac:dyDescent="0.25">
      <c r="A1528" s="3">
        <v>45987</v>
      </c>
      <c r="B1528" s="4" t="s">
        <v>334</v>
      </c>
      <c r="C1528" s="4" t="s">
        <v>91</v>
      </c>
      <c r="D1528" s="4"/>
      <c r="E1528" s="4" t="s">
        <v>921</v>
      </c>
      <c r="F1528" s="4" t="s">
        <v>991</v>
      </c>
      <c r="G1528" s="4" t="s">
        <v>336</v>
      </c>
      <c r="H1528" s="4" t="s">
        <v>380</v>
      </c>
      <c r="I1528" s="4">
        <v>2.63E-2</v>
      </c>
      <c r="J1528" s="21">
        <v>760</v>
      </c>
      <c r="K1528" s="21">
        <v>19.988</v>
      </c>
      <c r="L1528" s="5">
        <v>0</v>
      </c>
      <c r="M1528" s="4"/>
      <c r="N1528" s="4"/>
      <c r="O1528" s="5"/>
      <c r="P1528" s="5"/>
      <c r="Q1528" s="21">
        <v>0</v>
      </c>
      <c r="R1528" s="21">
        <v>0</v>
      </c>
      <c r="S1528" s="5">
        <f t="shared" si="95"/>
        <v>74807.273760151991</v>
      </c>
      <c r="T1528" cm="1">
        <f t="array" ref="T1528">IF(OR(B1528="MAL ALIMI", B1528="ÜRETİM GİRİŞ"), MIN(I1528, MAX(0, I1528 + SUM(SUMIFS($I$1:I1527, $C$1:C1527, C1528, $B$1:B1527, {"MAL ALIMI","ÜRETİM GİRİŞ"})) - VLOOKUP(C1528, 'STOK RAPORU'!$C$2:$I$1000, 4, 0))), 0)</f>
        <v>0</v>
      </c>
      <c r="U1528" s="22">
        <f t="shared" si="92"/>
        <v>0</v>
      </c>
      <c r="V1528">
        <f t="shared" si="93"/>
        <v>0</v>
      </c>
      <c r="W1528" s="22">
        <f t="shared" si="94"/>
        <v>0</v>
      </c>
    </row>
    <row r="1529" spans="1:23" hidden="1" x14ac:dyDescent="0.25">
      <c r="A1529" s="3">
        <v>45987</v>
      </c>
      <c r="B1529" s="4" t="s">
        <v>334</v>
      </c>
      <c r="C1529" s="4" t="s">
        <v>253</v>
      </c>
      <c r="D1529" s="4"/>
      <c r="E1529" s="4" t="s">
        <v>921</v>
      </c>
      <c r="F1529" s="4" t="s">
        <v>991</v>
      </c>
      <c r="G1529" s="4" t="s">
        <v>336</v>
      </c>
      <c r="H1529" s="4" t="s">
        <v>380</v>
      </c>
      <c r="I1529" s="4">
        <v>0.21</v>
      </c>
      <c r="J1529" s="21">
        <v>240</v>
      </c>
      <c r="K1529" s="21">
        <v>50.4</v>
      </c>
      <c r="L1529" s="5">
        <v>0</v>
      </c>
      <c r="M1529" s="4"/>
      <c r="N1529" s="4"/>
      <c r="O1529" s="5"/>
      <c r="P1529" s="5"/>
      <c r="Q1529" s="21">
        <v>0</v>
      </c>
      <c r="R1529" s="21">
        <v>0</v>
      </c>
      <c r="S1529" s="5">
        <f t="shared" si="95"/>
        <v>74807.273760151991</v>
      </c>
      <c r="T1529" cm="1">
        <f t="array" ref="T1529">IF(OR(B1529="MAL ALIMI", B1529="ÜRETİM GİRİŞ"), MIN(I1529, MAX(0, I1529 + SUM(SUMIFS($I$1:I1528, $C$1:C1528, C1529, $B$1:B1528, {"MAL ALIMI","ÜRETİM GİRİŞ"})) - VLOOKUP(C1529, 'STOK RAPORU'!$C$2:$I$1000, 4, 0))), 0)</f>
        <v>0</v>
      </c>
      <c r="U1529" s="22">
        <f t="shared" si="92"/>
        <v>0</v>
      </c>
      <c r="V1529">
        <f t="shared" si="93"/>
        <v>0</v>
      </c>
      <c r="W1529" s="22">
        <f t="shared" si="94"/>
        <v>0</v>
      </c>
    </row>
    <row r="1530" spans="1:23" hidden="1" x14ac:dyDescent="0.25">
      <c r="A1530" s="3">
        <v>45987</v>
      </c>
      <c r="B1530" s="4" t="s">
        <v>334</v>
      </c>
      <c r="C1530" s="4" t="s">
        <v>137</v>
      </c>
      <c r="D1530" s="4"/>
      <c r="E1530" s="4" t="s">
        <v>921</v>
      </c>
      <c r="F1530" s="4" t="s">
        <v>991</v>
      </c>
      <c r="G1530" s="4" t="s">
        <v>336</v>
      </c>
      <c r="H1530" s="4" t="s">
        <v>380</v>
      </c>
      <c r="I1530" s="4">
        <v>0.25</v>
      </c>
      <c r="J1530" s="21">
        <v>180</v>
      </c>
      <c r="K1530" s="21">
        <v>45</v>
      </c>
      <c r="L1530" s="5">
        <v>0</v>
      </c>
      <c r="M1530" s="4"/>
      <c r="N1530" s="4"/>
      <c r="O1530" s="5"/>
      <c r="P1530" s="5"/>
      <c r="Q1530" s="21">
        <v>0</v>
      </c>
      <c r="R1530" s="21">
        <v>0</v>
      </c>
      <c r="S1530" s="5">
        <f t="shared" si="95"/>
        <v>74807.273760151991</v>
      </c>
      <c r="T1530" cm="1">
        <f t="array" ref="T1530">IF(OR(B1530="MAL ALIMI", B1530="ÜRETİM GİRİŞ"), MIN(I1530, MAX(0, I1530 + SUM(SUMIFS($I$1:I1529, $C$1:C1529, C1530, $B$1:B1529, {"MAL ALIMI","ÜRETİM GİRİŞ"})) - VLOOKUP(C1530, 'STOK RAPORU'!$C$2:$I$1000, 4, 0))), 0)</f>
        <v>0</v>
      </c>
      <c r="U1530" s="22">
        <f t="shared" si="92"/>
        <v>0</v>
      </c>
      <c r="V1530">
        <f t="shared" si="93"/>
        <v>0</v>
      </c>
      <c r="W1530" s="22">
        <f t="shared" si="94"/>
        <v>0</v>
      </c>
    </row>
    <row r="1531" spans="1:23" hidden="1" x14ac:dyDescent="0.25">
      <c r="A1531" s="3">
        <v>45987</v>
      </c>
      <c r="B1531" s="4" t="s">
        <v>334</v>
      </c>
      <c r="C1531" s="4" t="s">
        <v>647</v>
      </c>
      <c r="D1531" s="4"/>
      <c r="E1531" s="4"/>
      <c r="F1531" s="4" t="s">
        <v>992</v>
      </c>
      <c r="G1531" s="4" t="s">
        <v>336</v>
      </c>
      <c r="H1531" s="4" t="s">
        <v>289</v>
      </c>
      <c r="I1531" s="4">
        <v>0.25</v>
      </c>
      <c r="J1531" s="21">
        <v>400</v>
      </c>
      <c r="K1531" s="21">
        <v>0</v>
      </c>
      <c r="L1531" s="5">
        <v>0</v>
      </c>
      <c r="M1531" s="4"/>
      <c r="N1531" s="4"/>
      <c r="O1531" s="5"/>
      <c r="P1531" s="5"/>
      <c r="Q1531" s="21">
        <v>100</v>
      </c>
      <c r="R1531" s="21">
        <v>0</v>
      </c>
      <c r="S1531" s="5">
        <f t="shared" si="95"/>
        <v>74907.273760151991</v>
      </c>
      <c r="T1531" cm="1">
        <f t="array" ref="T1531">IF(OR(B1531="MAL ALIMI", B1531="ÜRETİM GİRİŞ"), MIN(I1531, MAX(0, I1531 + SUM(SUMIFS($I$1:I1530, $C$1:C1530, C1531, $B$1:B1530, {"MAL ALIMI","ÜRETİM GİRİŞ"})) - VLOOKUP(C1531, 'STOK RAPORU'!$C$2:$I$1000, 4, 0))), 0)</f>
        <v>0</v>
      </c>
      <c r="U1531" s="22">
        <f t="shared" si="92"/>
        <v>0</v>
      </c>
      <c r="V1531">
        <f t="shared" si="93"/>
        <v>0</v>
      </c>
      <c r="W1531" s="22">
        <f t="shared" si="94"/>
        <v>0</v>
      </c>
    </row>
    <row r="1532" spans="1:23" hidden="1" x14ac:dyDescent="0.25">
      <c r="A1532" s="3">
        <v>45987</v>
      </c>
      <c r="B1532" s="4" t="s">
        <v>334</v>
      </c>
      <c r="C1532" s="4" t="s">
        <v>157</v>
      </c>
      <c r="D1532" s="4"/>
      <c r="E1532" s="4"/>
      <c r="F1532" s="4" t="s">
        <v>992</v>
      </c>
      <c r="G1532" s="4" t="s">
        <v>336</v>
      </c>
      <c r="H1532" s="4" t="s">
        <v>289</v>
      </c>
      <c r="I1532" s="4">
        <v>0.5</v>
      </c>
      <c r="J1532" s="21">
        <v>180</v>
      </c>
      <c r="K1532" s="21">
        <v>0</v>
      </c>
      <c r="L1532" s="5">
        <v>0</v>
      </c>
      <c r="M1532" s="4"/>
      <c r="N1532" s="4"/>
      <c r="O1532" s="5"/>
      <c r="P1532" s="5"/>
      <c r="Q1532" s="21">
        <v>90</v>
      </c>
      <c r="R1532" s="21">
        <v>0</v>
      </c>
      <c r="S1532" s="5">
        <f t="shared" si="95"/>
        <v>74997.273760151991</v>
      </c>
      <c r="T1532" cm="1">
        <f t="array" ref="T1532">IF(OR(B1532="MAL ALIMI", B1532="ÜRETİM GİRİŞ"), MIN(I1532, MAX(0, I1532 + SUM(SUMIFS($I$1:I1531, $C$1:C1531, C1532, $B$1:B1531, {"MAL ALIMI","ÜRETİM GİRİŞ"})) - VLOOKUP(C1532, 'STOK RAPORU'!$C$2:$I$1000, 4, 0))), 0)</f>
        <v>0</v>
      </c>
      <c r="U1532" s="22">
        <f t="shared" si="92"/>
        <v>0</v>
      </c>
      <c r="V1532">
        <f t="shared" si="93"/>
        <v>0</v>
      </c>
      <c r="W1532" s="22">
        <f t="shared" si="94"/>
        <v>0</v>
      </c>
    </row>
    <row r="1533" spans="1:23" hidden="1" x14ac:dyDescent="0.25">
      <c r="A1533" s="3">
        <v>45987</v>
      </c>
      <c r="B1533" s="4" t="s">
        <v>334</v>
      </c>
      <c r="C1533" s="4" t="s">
        <v>827</v>
      </c>
      <c r="D1533" s="4"/>
      <c r="E1533" s="4" t="s">
        <v>921</v>
      </c>
      <c r="F1533" s="4" t="s">
        <v>993</v>
      </c>
      <c r="G1533" s="4" t="s">
        <v>336</v>
      </c>
      <c r="H1533" s="4" t="s">
        <v>380</v>
      </c>
      <c r="I1533" s="4">
        <v>1</v>
      </c>
      <c r="J1533" s="21">
        <v>130</v>
      </c>
      <c r="K1533" s="21">
        <v>130</v>
      </c>
      <c r="L1533" s="5">
        <v>0</v>
      </c>
      <c r="M1533" s="4"/>
      <c r="N1533" s="4"/>
      <c r="O1533" s="5"/>
      <c r="P1533" s="5"/>
      <c r="Q1533" s="21">
        <v>0</v>
      </c>
      <c r="R1533" s="21">
        <v>0</v>
      </c>
      <c r="S1533" s="5">
        <f t="shared" si="95"/>
        <v>74997.273760151991</v>
      </c>
      <c r="T1533" cm="1">
        <f t="array" ref="T1533">IF(OR(B1533="MAL ALIMI", B1533="ÜRETİM GİRİŞ"), MIN(I1533, MAX(0, I1533 + SUM(SUMIFS($I$1:I1532, $C$1:C1532, C1533, $B$1:B1532, {"MAL ALIMI","ÜRETİM GİRİŞ"})) - VLOOKUP(C1533, 'STOK RAPORU'!$C$2:$I$1000, 4, 0))), 0)</f>
        <v>0</v>
      </c>
      <c r="U1533" s="22">
        <f t="shared" si="92"/>
        <v>0</v>
      </c>
      <c r="V1533">
        <f t="shared" si="93"/>
        <v>0</v>
      </c>
      <c r="W1533" s="22">
        <f t="shared" si="94"/>
        <v>0</v>
      </c>
    </row>
    <row r="1534" spans="1:23" hidden="1" x14ac:dyDescent="0.25">
      <c r="A1534" s="3">
        <v>45987</v>
      </c>
      <c r="B1534" s="4" t="s">
        <v>334</v>
      </c>
      <c r="C1534" s="4" t="s">
        <v>126</v>
      </c>
      <c r="D1534" s="4"/>
      <c r="E1534" s="4"/>
      <c r="F1534" s="4" t="s">
        <v>994</v>
      </c>
      <c r="G1534" s="4" t="s">
        <v>336</v>
      </c>
      <c r="H1534" s="4" t="s">
        <v>289</v>
      </c>
      <c r="I1534" s="4">
        <v>9.4E-2</v>
      </c>
      <c r="J1534" s="21">
        <v>640</v>
      </c>
      <c r="K1534" s="21">
        <v>0</v>
      </c>
      <c r="L1534" s="5">
        <v>0</v>
      </c>
      <c r="M1534" s="4"/>
      <c r="N1534" s="4"/>
      <c r="O1534" s="5"/>
      <c r="P1534" s="5"/>
      <c r="Q1534" s="21">
        <v>60.16</v>
      </c>
      <c r="R1534" s="21">
        <v>0</v>
      </c>
      <c r="S1534" s="5">
        <f t="shared" si="95"/>
        <v>75057.433760151995</v>
      </c>
      <c r="T1534" cm="1">
        <f t="array" ref="T1534">IF(OR(B1534="MAL ALIMI", B1534="ÜRETİM GİRİŞ"), MIN(I1534, MAX(0, I1534 + SUM(SUMIFS($I$1:I1533, $C$1:C1533, C1534, $B$1:B1533, {"MAL ALIMI","ÜRETİM GİRİŞ"})) - VLOOKUP(C1534, 'STOK RAPORU'!$C$2:$I$1000, 4, 0))), 0)</f>
        <v>0</v>
      </c>
      <c r="U1534" s="22">
        <f t="shared" si="92"/>
        <v>0</v>
      </c>
      <c r="V1534">
        <f t="shared" si="93"/>
        <v>0</v>
      </c>
      <c r="W1534" s="22">
        <f t="shared" si="94"/>
        <v>0</v>
      </c>
    </row>
    <row r="1535" spans="1:23" hidden="1" x14ac:dyDescent="0.25">
      <c r="A1535" s="3">
        <v>45987</v>
      </c>
      <c r="B1535" s="4" t="s">
        <v>334</v>
      </c>
      <c r="C1535" s="4" t="s">
        <v>60</v>
      </c>
      <c r="D1535" s="4"/>
      <c r="E1535" s="4"/>
      <c r="F1535" s="4" t="s">
        <v>995</v>
      </c>
      <c r="G1535" s="4" t="s">
        <v>336</v>
      </c>
      <c r="H1535" s="4" t="s">
        <v>289</v>
      </c>
      <c r="I1535" s="4">
        <v>0.05</v>
      </c>
      <c r="J1535" s="21">
        <v>1200</v>
      </c>
      <c r="K1535" s="21">
        <v>0</v>
      </c>
      <c r="L1535" s="5">
        <v>0</v>
      </c>
      <c r="M1535" s="4"/>
      <c r="N1535" s="4"/>
      <c r="O1535" s="5"/>
      <c r="P1535" s="5"/>
      <c r="Q1535" s="21">
        <v>60</v>
      </c>
      <c r="R1535" s="21">
        <v>0</v>
      </c>
      <c r="S1535" s="5">
        <f t="shared" si="95"/>
        <v>75117.433760151995</v>
      </c>
      <c r="T1535" cm="1">
        <f t="array" ref="T1535">IF(OR(B1535="MAL ALIMI", B1535="ÜRETİM GİRİŞ"), MIN(I1535, MAX(0, I1535 + SUM(SUMIFS($I$1:I1534, $C$1:C1534, C1535, $B$1:B1534, {"MAL ALIMI","ÜRETİM GİRİŞ"})) - VLOOKUP(C1535, 'STOK RAPORU'!$C$2:$I$1000, 4, 0))), 0)</f>
        <v>0</v>
      </c>
      <c r="U1535" s="22">
        <f t="shared" si="92"/>
        <v>0</v>
      </c>
      <c r="V1535">
        <f t="shared" si="93"/>
        <v>0</v>
      </c>
      <c r="W1535" s="22">
        <f t="shared" si="94"/>
        <v>0</v>
      </c>
    </row>
    <row r="1536" spans="1:23" hidden="1" x14ac:dyDescent="0.25">
      <c r="A1536" s="3">
        <v>45987</v>
      </c>
      <c r="B1536" s="4" t="s">
        <v>334</v>
      </c>
      <c r="C1536" s="4" t="s">
        <v>60</v>
      </c>
      <c r="D1536" s="4"/>
      <c r="E1536" s="4"/>
      <c r="F1536" s="4" t="s">
        <v>1612</v>
      </c>
      <c r="G1536" s="4" t="s">
        <v>336</v>
      </c>
      <c r="H1536" s="4" t="s">
        <v>289</v>
      </c>
      <c r="I1536" s="4">
        <v>0.15090000000000001</v>
      </c>
      <c r="J1536" s="21">
        <v>1200</v>
      </c>
      <c r="K1536" s="21">
        <v>0</v>
      </c>
      <c r="L1536" s="5">
        <v>0</v>
      </c>
      <c r="M1536" s="4"/>
      <c r="N1536" s="4"/>
      <c r="O1536" s="5"/>
      <c r="P1536" s="5"/>
      <c r="Q1536" s="21">
        <v>181.08</v>
      </c>
      <c r="R1536" s="21">
        <v>0</v>
      </c>
      <c r="S1536" s="5">
        <f t="shared" si="95"/>
        <v>75298.513760151996</v>
      </c>
      <c r="T1536" cm="1">
        <f t="array" ref="T1536">IF(OR(B1536="MAL ALIMI", B1536="ÜRETİM GİRİŞ"), MIN(I1536, MAX(0, I1536 + SUM(SUMIFS($I$1:I1535, $C$1:C1535, C1536, $B$1:B1535, {"MAL ALIMI","ÜRETİM GİRİŞ"})) - VLOOKUP(C1536, 'STOK RAPORU'!$C$2:$I$1000, 4, 0))), 0)</f>
        <v>0</v>
      </c>
      <c r="U1536" s="22">
        <f t="shared" si="92"/>
        <v>0</v>
      </c>
      <c r="V1536">
        <f t="shared" si="93"/>
        <v>0</v>
      </c>
      <c r="W1536" s="22">
        <f t="shared" si="94"/>
        <v>0</v>
      </c>
    </row>
    <row r="1537" spans="1:23" hidden="1" x14ac:dyDescent="0.25">
      <c r="A1537" s="3">
        <v>45988</v>
      </c>
      <c r="B1537" s="4" t="s">
        <v>334</v>
      </c>
      <c r="C1537" s="4" t="s">
        <v>253</v>
      </c>
      <c r="D1537" s="4"/>
      <c r="E1537" s="4" t="s">
        <v>921</v>
      </c>
      <c r="F1537" s="4" t="s">
        <v>996</v>
      </c>
      <c r="G1537" s="4" t="s">
        <v>336</v>
      </c>
      <c r="H1537" s="4" t="s">
        <v>380</v>
      </c>
      <c r="I1537" s="4">
        <v>0.21</v>
      </c>
      <c r="J1537" s="21">
        <v>240</v>
      </c>
      <c r="K1537" s="21">
        <v>50.4</v>
      </c>
      <c r="L1537" s="5">
        <v>0</v>
      </c>
      <c r="M1537" s="4"/>
      <c r="N1537" s="4"/>
      <c r="O1537" s="5"/>
      <c r="P1537" s="5"/>
      <c r="Q1537" s="21">
        <v>0</v>
      </c>
      <c r="R1537" s="21">
        <v>0</v>
      </c>
      <c r="S1537" s="5">
        <f t="shared" si="95"/>
        <v>75298.513760151996</v>
      </c>
      <c r="T1537" cm="1">
        <f t="array" ref="T1537">IF(OR(B1537="MAL ALIMI", B1537="ÜRETİM GİRİŞ"), MIN(I1537, MAX(0, I1537 + SUM(SUMIFS($I$1:I1536, $C$1:C1536, C1537, $B$1:B1536, {"MAL ALIMI","ÜRETİM GİRİŞ"})) - VLOOKUP(C1537, 'STOK RAPORU'!$C$2:$I$1000, 4, 0))), 0)</f>
        <v>0</v>
      </c>
      <c r="U1537" s="22">
        <f t="shared" si="92"/>
        <v>0</v>
      </c>
      <c r="V1537">
        <f t="shared" si="93"/>
        <v>0</v>
      </c>
      <c r="W1537" s="22">
        <f t="shared" si="94"/>
        <v>0</v>
      </c>
    </row>
    <row r="1538" spans="1:23" hidden="1" x14ac:dyDescent="0.25">
      <c r="A1538" s="3">
        <v>45988</v>
      </c>
      <c r="B1538" s="4" t="s">
        <v>334</v>
      </c>
      <c r="C1538" s="4" t="s">
        <v>89</v>
      </c>
      <c r="D1538" s="4"/>
      <c r="E1538" s="4" t="s">
        <v>921</v>
      </c>
      <c r="F1538" s="4" t="s">
        <v>996</v>
      </c>
      <c r="G1538" s="4" t="s">
        <v>336</v>
      </c>
      <c r="H1538" s="4" t="s">
        <v>380</v>
      </c>
      <c r="I1538" s="4">
        <v>0.1</v>
      </c>
      <c r="J1538" s="21">
        <v>650</v>
      </c>
      <c r="K1538" s="21">
        <v>65</v>
      </c>
      <c r="L1538" s="5">
        <v>0</v>
      </c>
      <c r="M1538" s="4"/>
      <c r="N1538" s="4"/>
      <c r="O1538" s="5"/>
      <c r="P1538" s="5"/>
      <c r="Q1538" s="21">
        <v>0</v>
      </c>
      <c r="R1538" s="21">
        <v>0</v>
      </c>
      <c r="S1538" s="5">
        <f t="shared" si="95"/>
        <v>75298.513760151996</v>
      </c>
      <c r="T1538" cm="1">
        <f t="array" ref="T1538">IF(OR(B1538="MAL ALIMI", B1538="ÜRETİM GİRİŞ"), MIN(I1538, MAX(0, I1538 + SUM(SUMIFS($I$1:I1537, $C$1:C1537, C1538, $B$1:B1537, {"MAL ALIMI","ÜRETİM GİRİŞ"})) - VLOOKUP(C1538, 'STOK RAPORU'!$C$2:$I$1000, 4, 0))), 0)</f>
        <v>0</v>
      </c>
      <c r="U1538" s="22">
        <f t="shared" si="92"/>
        <v>0</v>
      </c>
      <c r="V1538">
        <f t="shared" si="93"/>
        <v>0</v>
      </c>
      <c r="W1538" s="22">
        <f t="shared" si="94"/>
        <v>0</v>
      </c>
    </row>
    <row r="1539" spans="1:23" hidden="1" x14ac:dyDescent="0.25">
      <c r="A1539" s="3">
        <v>45988</v>
      </c>
      <c r="B1539" s="4" t="s">
        <v>334</v>
      </c>
      <c r="C1539" s="4" t="s">
        <v>748</v>
      </c>
      <c r="D1539" s="4"/>
      <c r="E1539" s="4" t="s">
        <v>921</v>
      </c>
      <c r="F1539" s="4" t="s">
        <v>997</v>
      </c>
      <c r="G1539" s="4" t="s">
        <v>336</v>
      </c>
      <c r="H1539" s="4" t="s">
        <v>380</v>
      </c>
      <c r="I1539" s="4">
        <v>1</v>
      </c>
      <c r="J1539" s="21">
        <v>220</v>
      </c>
      <c r="K1539" s="21">
        <v>220</v>
      </c>
      <c r="L1539" s="5">
        <v>0</v>
      </c>
      <c r="M1539" s="4"/>
      <c r="N1539" s="4"/>
      <c r="O1539" s="5"/>
      <c r="P1539" s="5"/>
      <c r="Q1539" s="21">
        <v>0</v>
      </c>
      <c r="R1539" s="21">
        <v>0</v>
      </c>
      <c r="S1539" s="5">
        <f t="shared" si="95"/>
        <v>75298.513760151996</v>
      </c>
      <c r="T1539" cm="1">
        <f t="array" ref="T1539">IF(OR(B1539="MAL ALIMI", B1539="ÜRETİM GİRİŞ"), MIN(I1539, MAX(0, I1539 + SUM(SUMIFS($I$1:I1538, $C$1:C1538, C1539, $B$1:B1538, {"MAL ALIMI","ÜRETİM GİRİŞ"})) - VLOOKUP(C1539, 'STOK RAPORU'!$C$2:$I$1000, 4, 0))), 0)</f>
        <v>0</v>
      </c>
      <c r="U1539" s="22">
        <f t="shared" ref="U1539:U1602" si="96">T1539*J1539</f>
        <v>0</v>
      </c>
      <c r="V1539">
        <f t="shared" ref="V1539:V1602" si="97">IF(OR(B1539="MAL ALIMI", B1539="ÜRETİM GİRİŞ"), I1539 * J1539, 0)</f>
        <v>0</v>
      </c>
      <c r="W1539" s="22">
        <f t="shared" ref="W1539:W1602" si="98">V1539-U1539</f>
        <v>0</v>
      </c>
    </row>
    <row r="1540" spans="1:23" hidden="1" x14ac:dyDescent="0.25">
      <c r="A1540" s="3">
        <v>45988</v>
      </c>
      <c r="B1540" s="4" t="s">
        <v>334</v>
      </c>
      <c r="C1540" s="4" t="s">
        <v>235</v>
      </c>
      <c r="D1540" s="4"/>
      <c r="E1540" s="4" t="s">
        <v>921</v>
      </c>
      <c r="F1540" s="4" t="s">
        <v>998</v>
      </c>
      <c r="G1540" s="4" t="s">
        <v>336</v>
      </c>
      <c r="H1540" s="4" t="s">
        <v>380</v>
      </c>
      <c r="I1540" s="4">
        <v>1</v>
      </c>
      <c r="J1540" s="21">
        <v>190</v>
      </c>
      <c r="K1540" s="21">
        <v>190</v>
      </c>
      <c r="L1540" s="5">
        <v>0</v>
      </c>
      <c r="M1540" s="4"/>
      <c r="N1540" s="4"/>
      <c r="O1540" s="5"/>
      <c r="P1540" s="5"/>
      <c r="Q1540" s="21">
        <v>0</v>
      </c>
      <c r="R1540" s="21">
        <v>0</v>
      </c>
      <c r="S1540" s="5">
        <f t="shared" ref="S1540:S1603" si="99">S1539+Q1540-R1540</f>
        <v>75298.513760151996</v>
      </c>
      <c r="T1540" cm="1">
        <f t="array" ref="T1540">IF(OR(B1540="MAL ALIMI", B1540="ÜRETİM GİRİŞ"), MIN(I1540, MAX(0, I1540 + SUM(SUMIFS($I$1:I1539, $C$1:C1539, C1540, $B$1:B1539, {"MAL ALIMI","ÜRETİM GİRİŞ"})) - VLOOKUP(C1540, 'STOK RAPORU'!$C$2:$I$1000, 4, 0))), 0)</f>
        <v>0</v>
      </c>
      <c r="U1540" s="22">
        <f t="shared" si="96"/>
        <v>0</v>
      </c>
      <c r="V1540">
        <f t="shared" si="97"/>
        <v>0</v>
      </c>
      <c r="W1540" s="22">
        <f t="shared" si="98"/>
        <v>0</v>
      </c>
    </row>
    <row r="1541" spans="1:23" hidden="1" x14ac:dyDescent="0.25">
      <c r="A1541" s="3">
        <v>45988</v>
      </c>
      <c r="B1541" s="4" t="s">
        <v>334</v>
      </c>
      <c r="C1541" s="4" t="s">
        <v>60</v>
      </c>
      <c r="D1541" s="4"/>
      <c r="E1541" s="4" t="s">
        <v>921</v>
      </c>
      <c r="F1541" s="4" t="s">
        <v>998</v>
      </c>
      <c r="G1541" s="4" t="s">
        <v>336</v>
      </c>
      <c r="H1541" s="4" t="s">
        <v>380</v>
      </c>
      <c r="I1541" s="4">
        <v>0.05</v>
      </c>
      <c r="J1541" s="21">
        <v>1200</v>
      </c>
      <c r="K1541" s="21">
        <v>60</v>
      </c>
      <c r="L1541" s="5">
        <v>0</v>
      </c>
      <c r="M1541" s="4"/>
      <c r="N1541" s="4"/>
      <c r="O1541" s="5"/>
      <c r="P1541" s="5"/>
      <c r="Q1541" s="21">
        <v>0</v>
      </c>
      <c r="R1541" s="21">
        <v>0</v>
      </c>
      <c r="S1541" s="5">
        <f t="shared" si="99"/>
        <v>75298.513760151996</v>
      </c>
      <c r="T1541" cm="1">
        <f t="array" ref="T1541">IF(OR(B1541="MAL ALIMI", B1541="ÜRETİM GİRİŞ"), MIN(I1541, MAX(0, I1541 + SUM(SUMIFS($I$1:I1540, $C$1:C1540, C1541, $B$1:B1540, {"MAL ALIMI","ÜRETİM GİRİŞ"})) - VLOOKUP(C1541, 'STOK RAPORU'!$C$2:$I$1000, 4, 0))), 0)</f>
        <v>0</v>
      </c>
      <c r="U1541" s="22">
        <f t="shared" si="96"/>
        <v>0</v>
      </c>
      <c r="V1541">
        <f t="shared" si="97"/>
        <v>0</v>
      </c>
      <c r="W1541" s="22">
        <f t="shared" si="98"/>
        <v>0</v>
      </c>
    </row>
    <row r="1542" spans="1:23" hidden="1" x14ac:dyDescent="0.25">
      <c r="A1542" s="3">
        <v>45988</v>
      </c>
      <c r="B1542" s="4" t="s">
        <v>334</v>
      </c>
      <c r="C1542" s="4" t="s">
        <v>462</v>
      </c>
      <c r="D1542" s="4"/>
      <c r="E1542" s="4" t="s">
        <v>921</v>
      </c>
      <c r="F1542" s="4" t="s">
        <v>998</v>
      </c>
      <c r="G1542" s="4" t="s">
        <v>336</v>
      </c>
      <c r="H1542" s="4" t="s">
        <v>380</v>
      </c>
      <c r="I1542" s="4">
        <v>1</v>
      </c>
      <c r="J1542" s="21">
        <v>100</v>
      </c>
      <c r="K1542" s="21">
        <v>100</v>
      </c>
      <c r="L1542" s="5">
        <v>0</v>
      </c>
      <c r="M1542" s="4"/>
      <c r="N1542" s="4"/>
      <c r="O1542" s="5"/>
      <c r="P1542" s="5"/>
      <c r="Q1542" s="21">
        <v>0</v>
      </c>
      <c r="R1542" s="21">
        <v>0</v>
      </c>
      <c r="S1542" s="5">
        <f t="shared" si="99"/>
        <v>75298.513760151996</v>
      </c>
      <c r="T1542" cm="1">
        <f t="array" ref="T1542">IF(OR(B1542="MAL ALIMI", B1542="ÜRETİM GİRİŞ"), MIN(I1542, MAX(0, I1542 + SUM(SUMIFS($I$1:I1541, $C$1:C1541, C1542, $B$1:B1541, {"MAL ALIMI","ÜRETİM GİRİŞ"})) - VLOOKUP(C1542, 'STOK RAPORU'!$C$2:$I$1000, 4, 0))), 0)</f>
        <v>0</v>
      </c>
      <c r="U1542" s="22">
        <f t="shared" si="96"/>
        <v>0</v>
      </c>
      <c r="V1542">
        <f t="shared" si="97"/>
        <v>0</v>
      </c>
      <c r="W1542" s="22">
        <f t="shared" si="98"/>
        <v>0</v>
      </c>
    </row>
    <row r="1543" spans="1:23" hidden="1" x14ac:dyDescent="0.25">
      <c r="A1543" s="45">
        <v>45988</v>
      </c>
      <c r="B1543" s="46" t="s">
        <v>334</v>
      </c>
      <c r="C1543" s="46" t="s">
        <v>131</v>
      </c>
      <c r="D1543" s="46"/>
      <c r="E1543" s="46"/>
      <c r="F1543" s="46" t="s">
        <v>999</v>
      </c>
      <c r="G1543" s="46" t="s">
        <v>439</v>
      </c>
      <c r="H1543" s="46" t="s">
        <v>289</v>
      </c>
      <c r="I1543" s="46">
        <v>0.5</v>
      </c>
      <c r="J1543" s="47">
        <v>300</v>
      </c>
      <c r="K1543" s="47">
        <v>0</v>
      </c>
      <c r="L1543" s="48">
        <v>0</v>
      </c>
      <c r="M1543" s="4"/>
      <c r="N1543" s="4"/>
      <c r="O1543" s="5"/>
      <c r="P1543" s="5"/>
      <c r="Q1543" s="47">
        <v>150</v>
      </c>
      <c r="R1543" s="21">
        <v>0</v>
      </c>
      <c r="S1543" s="5">
        <f t="shared" si="99"/>
        <v>75448.513760151996</v>
      </c>
      <c r="T1543" cm="1">
        <f t="array" ref="T1543">IF(OR(B1543="MAL ALIMI", B1543="ÜRETİM GİRİŞ"), MIN(I1543, MAX(0, I1543 + SUM(SUMIFS($I$1:I1542, $C$1:C1542, C1543, $B$1:B1542, {"MAL ALIMI","ÜRETİM GİRİŞ"})) - VLOOKUP(C1543, 'STOK RAPORU'!$C$2:$I$1000, 4, 0))), 0)</f>
        <v>0</v>
      </c>
      <c r="U1543" s="22">
        <f t="shared" si="96"/>
        <v>0</v>
      </c>
      <c r="V1543">
        <f t="shared" si="97"/>
        <v>0</v>
      </c>
      <c r="W1543" s="22">
        <f t="shared" si="98"/>
        <v>0</v>
      </c>
    </row>
    <row r="1544" spans="1:23" hidden="1" x14ac:dyDescent="0.25">
      <c r="A1544" s="45">
        <v>45988</v>
      </c>
      <c r="B1544" s="46" t="s">
        <v>334</v>
      </c>
      <c r="C1544" s="46" t="s">
        <v>129</v>
      </c>
      <c r="D1544" s="46"/>
      <c r="E1544" s="46"/>
      <c r="F1544" s="46" t="s">
        <v>999</v>
      </c>
      <c r="G1544" s="46" t="s">
        <v>439</v>
      </c>
      <c r="H1544" s="46" t="s">
        <v>289</v>
      </c>
      <c r="I1544" s="46">
        <v>0.78500000000000003</v>
      </c>
      <c r="J1544" s="47">
        <v>255</v>
      </c>
      <c r="K1544" s="47">
        <v>0</v>
      </c>
      <c r="L1544" s="48">
        <v>0</v>
      </c>
      <c r="M1544" s="4"/>
      <c r="N1544" s="4"/>
      <c r="O1544" s="5"/>
      <c r="P1544" s="5"/>
      <c r="Q1544" s="47">
        <v>200.17500000000001</v>
      </c>
      <c r="R1544" s="21">
        <v>0</v>
      </c>
      <c r="S1544" s="5">
        <f t="shared" si="99"/>
        <v>75648.688760151999</v>
      </c>
      <c r="T1544" cm="1">
        <f t="array" ref="T1544">IF(OR(B1544="MAL ALIMI", B1544="ÜRETİM GİRİŞ"), MIN(I1544, MAX(0, I1544 + SUM(SUMIFS($I$1:I1543, $C$1:C1543, C1544, $B$1:B1543, {"MAL ALIMI","ÜRETİM GİRİŞ"})) - VLOOKUP(C1544, 'STOK RAPORU'!$C$2:$I$1000, 4, 0))), 0)</f>
        <v>0</v>
      </c>
      <c r="U1544" s="22">
        <f t="shared" si="96"/>
        <v>0</v>
      </c>
      <c r="V1544">
        <f t="shared" si="97"/>
        <v>0</v>
      </c>
      <c r="W1544" s="22">
        <f t="shared" si="98"/>
        <v>0</v>
      </c>
    </row>
    <row r="1545" spans="1:23" hidden="1" x14ac:dyDescent="0.25">
      <c r="A1545" s="3">
        <v>45988</v>
      </c>
      <c r="B1545" s="4" t="s">
        <v>334</v>
      </c>
      <c r="C1545" s="4" t="s">
        <v>238</v>
      </c>
      <c r="D1545" s="4"/>
      <c r="E1545" s="4"/>
      <c r="F1545" s="4" t="s">
        <v>999</v>
      </c>
      <c r="G1545" s="4" t="s">
        <v>336</v>
      </c>
      <c r="H1545" s="4" t="s">
        <v>289</v>
      </c>
      <c r="I1545" s="4">
        <v>0.1</v>
      </c>
      <c r="J1545" s="21">
        <v>1350</v>
      </c>
      <c r="K1545" s="21">
        <v>0</v>
      </c>
      <c r="L1545" s="5">
        <v>0</v>
      </c>
      <c r="M1545" s="4"/>
      <c r="N1545" s="4"/>
      <c r="O1545" s="5"/>
      <c r="P1545" s="5"/>
      <c r="Q1545" s="21">
        <v>135</v>
      </c>
      <c r="R1545" s="21">
        <v>0</v>
      </c>
      <c r="S1545" s="5">
        <f t="shared" si="99"/>
        <v>75783.688760151999</v>
      </c>
      <c r="T1545" cm="1">
        <f t="array" ref="T1545">IF(OR(B1545="MAL ALIMI", B1545="ÜRETİM GİRİŞ"), MIN(I1545, MAX(0, I1545 + SUM(SUMIFS($I$1:I1544, $C$1:C1544, C1545, $B$1:B1544, {"MAL ALIMI","ÜRETİM GİRİŞ"})) - VLOOKUP(C1545, 'STOK RAPORU'!$C$2:$I$1000, 4, 0))), 0)</f>
        <v>0</v>
      </c>
      <c r="U1545" s="22">
        <f t="shared" si="96"/>
        <v>0</v>
      </c>
      <c r="V1545">
        <f t="shared" si="97"/>
        <v>0</v>
      </c>
      <c r="W1545" s="22">
        <f t="shared" si="98"/>
        <v>0</v>
      </c>
    </row>
    <row r="1546" spans="1:23" hidden="1" x14ac:dyDescent="0.25">
      <c r="A1546" s="3">
        <v>45988</v>
      </c>
      <c r="B1546" s="4" t="s">
        <v>334</v>
      </c>
      <c r="C1546" s="4" t="s">
        <v>131</v>
      </c>
      <c r="D1546" s="4"/>
      <c r="E1546" s="4"/>
      <c r="F1546" s="4" t="s">
        <v>1000</v>
      </c>
      <c r="G1546" s="4" t="s">
        <v>336</v>
      </c>
      <c r="H1546" s="4" t="s">
        <v>289</v>
      </c>
      <c r="I1546" s="4">
        <v>7.0000000000000007E-2</v>
      </c>
      <c r="J1546" s="21">
        <v>400</v>
      </c>
      <c r="K1546" s="21">
        <v>0</v>
      </c>
      <c r="L1546" s="5">
        <v>0</v>
      </c>
      <c r="M1546" s="4"/>
      <c r="N1546" s="4"/>
      <c r="O1546" s="5"/>
      <c r="P1546" s="5"/>
      <c r="Q1546" s="21">
        <v>28.000000000000004</v>
      </c>
      <c r="R1546" s="21">
        <v>0</v>
      </c>
      <c r="S1546" s="5">
        <f t="shared" si="99"/>
        <v>75811.688760151999</v>
      </c>
      <c r="T1546" cm="1">
        <f t="array" ref="T1546">IF(OR(B1546="MAL ALIMI", B1546="ÜRETİM GİRİŞ"), MIN(I1546, MAX(0, I1546 + SUM(SUMIFS($I$1:I1545, $C$1:C1545, C1546, $B$1:B1545, {"MAL ALIMI","ÜRETİM GİRİŞ"})) - VLOOKUP(C1546, 'STOK RAPORU'!$C$2:$I$1000, 4, 0))), 0)</f>
        <v>0</v>
      </c>
      <c r="U1546" s="22">
        <f t="shared" si="96"/>
        <v>0</v>
      </c>
      <c r="V1546">
        <f t="shared" si="97"/>
        <v>0</v>
      </c>
      <c r="W1546" s="22">
        <f t="shared" si="98"/>
        <v>0</v>
      </c>
    </row>
    <row r="1547" spans="1:23" hidden="1" x14ac:dyDescent="0.25">
      <c r="A1547" s="3">
        <v>45988</v>
      </c>
      <c r="B1547" s="4" t="s">
        <v>334</v>
      </c>
      <c r="C1547" s="4" t="s">
        <v>132</v>
      </c>
      <c r="D1547" s="4"/>
      <c r="E1547" s="4"/>
      <c r="F1547" s="4" t="s">
        <v>1000</v>
      </c>
      <c r="G1547" s="4" t="s">
        <v>336</v>
      </c>
      <c r="H1547" s="4" t="s">
        <v>289</v>
      </c>
      <c r="I1547" s="4">
        <v>9.6000000000000002E-2</v>
      </c>
      <c r="J1547" s="21">
        <v>500</v>
      </c>
      <c r="K1547" s="21">
        <v>0</v>
      </c>
      <c r="L1547" s="5">
        <v>0</v>
      </c>
      <c r="M1547" s="4"/>
      <c r="N1547" s="4"/>
      <c r="O1547" s="5"/>
      <c r="P1547" s="5"/>
      <c r="Q1547" s="21">
        <v>48</v>
      </c>
      <c r="R1547" s="21">
        <v>0</v>
      </c>
      <c r="S1547" s="5">
        <f t="shared" si="99"/>
        <v>75859.688760151999</v>
      </c>
      <c r="T1547" cm="1">
        <f t="array" ref="T1547">IF(OR(B1547="MAL ALIMI", B1547="ÜRETİM GİRİŞ"), MIN(I1547, MAX(0, I1547 + SUM(SUMIFS($I$1:I1546, $C$1:C1546, C1547, $B$1:B1546, {"MAL ALIMI","ÜRETİM GİRİŞ"})) - VLOOKUP(C1547, 'STOK RAPORU'!$C$2:$I$1000, 4, 0))), 0)</f>
        <v>0</v>
      </c>
      <c r="U1547" s="22">
        <f t="shared" si="96"/>
        <v>0</v>
      </c>
      <c r="V1547">
        <f t="shared" si="97"/>
        <v>0</v>
      </c>
      <c r="W1547" s="22">
        <f t="shared" si="98"/>
        <v>0</v>
      </c>
    </row>
    <row r="1548" spans="1:23" hidden="1" x14ac:dyDescent="0.25">
      <c r="A1548" s="3">
        <v>45988</v>
      </c>
      <c r="B1548" s="4" t="s">
        <v>334</v>
      </c>
      <c r="C1548" s="4" t="s">
        <v>126</v>
      </c>
      <c r="D1548" s="4"/>
      <c r="E1548" s="4"/>
      <c r="F1548" s="4" t="s">
        <v>1000</v>
      </c>
      <c r="G1548" s="4" t="s">
        <v>336</v>
      </c>
      <c r="H1548" s="4" t="s">
        <v>289</v>
      </c>
      <c r="I1548" s="4">
        <v>5.8000000000000003E-2</v>
      </c>
      <c r="J1548" s="21">
        <v>640</v>
      </c>
      <c r="K1548" s="21">
        <v>0</v>
      </c>
      <c r="L1548" s="5">
        <v>0</v>
      </c>
      <c r="M1548" s="4"/>
      <c r="N1548" s="4"/>
      <c r="O1548" s="5"/>
      <c r="P1548" s="5"/>
      <c r="Q1548" s="21">
        <v>37.120000000000005</v>
      </c>
      <c r="R1548" s="21">
        <v>0</v>
      </c>
      <c r="S1548" s="5">
        <f t="shared" si="99"/>
        <v>75896.808760151995</v>
      </c>
      <c r="T1548" cm="1">
        <f t="array" ref="T1548">IF(OR(B1548="MAL ALIMI", B1548="ÜRETİM GİRİŞ"), MIN(I1548, MAX(0, I1548 + SUM(SUMIFS($I$1:I1547, $C$1:C1547, C1548, $B$1:B1547, {"MAL ALIMI","ÜRETİM GİRİŞ"})) - VLOOKUP(C1548, 'STOK RAPORU'!$C$2:$I$1000, 4, 0))), 0)</f>
        <v>0</v>
      </c>
      <c r="U1548" s="22">
        <f t="shared" si="96"/>
        <v>0</v>
      </c>
      <c r="V1548">
        <f t="shared" si="97"/>
        <v>0</v>
      </c>
      <c r="W1548" s="22">
        <f t="shared" si="98"/>
        <v>0</v>
      </c>
    </row>
    <row r="1549" spans="1:23" hidden="1" x14ac:dyDescent="0.25">
      <c r="A1549" s="3">
        <v>45988</v>
      </c>
      <c r="B1549" s="4" t="s">
        <v>334</v>
      </c>
      <c r="C1549" s="4" t="s">
        <v>198</v>
      </c>
      <c r="D1549" s="4"/>
      <c r="E1549" s="4"/>
      <c r="F1549" s="4" t="s">
        <v>1000</v>
      </c>
      <c r="G1549" s="4" t="s">
        <v>336</v>
      </c>
      <c r="H1549" s="4" t="s">
        <v>289</v>
      </c>
      <c r="I1549" s="4">
        <v>0.05</v>
      </c>
      <c r="J1549" s="21">
        <v>1400</v>
      </c>
      <c r="K1549" s="21">
        <v>0</v>
      </c>
      <c r="L1549" s="5">
        <v>0</v>
      </c>
      <c r="M1549" s="4"/>
      <c r="N1549" s="4"/>
      <c r="O1549" s="5"/>
      <c r="P1549" s="5"/>
      <c r="Q1549" s="21">
        <v>70</v>
      </c>
      <c r="R1549" s="21">
        <v>0</v>
      </c>
      <c r="S1549" s="5">
        <f t="shared" si="99"/>
        <v>75966.808760151995</v>
      </c>
      <c r="T1549" cm="1">
        <f t="array" ref="T1549">IF(OR(B1549="MAL ALIMI", B1549="ÜRETİM GİRİŞ"), MIN(I1549, MAX(0, I1549 + SUM(SUMIFS($I$1:I1548, $C$1:C1548, C1549, $B$1:B1548, {"MAL ALIMI","ÜRETİM GİRİŞ"})) - VLOOKUP(C1549, 'STOK RAPORU'!$C$2:$I$1000, 4, 0))), 0)</f>
        <v>0</v>
      </c>
      <c r="U1549" s="22">
        <f t="shared" si="96"/>
        <v>0</v>
      </c>
      <c r="V1549">
        <f t="shared" si="97"/>
        <v>0</v>
      </c>
      <c r="W1549" s="22">
        <f t="shared" si="98"/>
        <v>0</v>
      </c>
    </row>
    <row r="1550" spans="1:23" hidden="1" x14ac:dyDescent="0.25">
      <c r="A1550" s="3">
        <v>45988</v>
      </c>
      <c r="B1550" s="4" t="s">
        <v>334</v>
      </c>
      <c r="C1550" s="4" t="s">
        <v>140</v>
      </c>
      <c r="D1550" s="4"/>
      <c r="E1550" s="4"/>
      <c r="F1550" s="4" t="s">
        <v>1000</v>
      </c>
      <c r="G1550" s="4" t="s">
        <v>336</v>
      </c>
      <c r="H1550" s="4" t="s">
        <v>289</v>
      </c>
      <c r="I1550" s="4">
        <v>0.13600000000000001</v>
      </c>
      <c r="J1550" s="21">
        <v>250</v>
      </c>
      <c r="K1550" s="21">
        <v>0</v>
      </c>
      <c r="L1550" s="5">
        <v>0</v>
      </c>
      <c r="M1550" s="4"/>
      <c r="N1550" s="4"/>
      <c r="O1550" s="5"/>
      <c r="P1550" s="5"/>
      <c r="Q1550" s="21">
        <v>34</v>
      </c>
      <c r="R1550" s="21">
        <v>0</v>
      </c>
      <c r="S1550" s="5">
        <f t="shared" si="99"/>
        <v>76000.808760151995</v>
      </c>
      <c r="T1550" cm="1">
        <f t="array" ref="T1550">IF(OR(B1550="MAL ALIMI", B1550="ÜRETİM GİRİŞ"), MIN(I1550, MAX(0, I1550 + SUM(SUMIFS($I$1:I1549, $C$1:C1549, C1550, $B$1:B1549, {"MAL ALIMI","ÜRETİM GİRİŞ"})) - VLOOKUP(C1550, 'STOK RAPORU'!$C$2:$I$1000, 4, 0))), 0)</f>
        <v>0</v>
      </c>
      <c r="U1550" s="22">
        <f t="shared" si="96"/>
        <v>0</v>
      </c>
      <c r="V1550">
        <f t="shared" si="97"/>
        <v>0</v>
      </c>
      <c r="W1550" s="22">
        <f t="shared" si="98"/>
        <v>0</v>
      </c>
    </row>
    <row r="1551" spans="1:23" hidden="1" x14ac:dyDescent="0.25">
      <c r="A1551" s="3">
        <v>45988</v>
      </c>
      <c r="B1551" s="4" t="s">
        <v>334</v>
      </c>
      <c r="C1551" s="4" t="s">
        <v>892</v>
      </c>
      <c r="D1551" s="4"/>
      <c r="E1551" s="4"/>
      <c r="F1551" s="4" t="s">
        <v>1001</v>
      </c>
      <c r="G1551" s="4" t="s">
        <v>336</v>
      </c>
      <c r="H1551" s="4" t="s">
        <v>289</v>
      </c>
      <c r="I1551" s="4">
        <v>0.5</v>
      </c>
      <c r="J1551" s="21">
        <v>60</v>
      </c>
      <c r="K1551" s="21">
        <v>0</v>
      </c>
      <c r="L1551" s="5">
        <v>0</v>
      </c>
      <c r="M1551" s="4"/>
      <c r="N1551" s="4"/>
      <c r="O1551" s="5"/>
      <c r="P1551" s="5"/>
      <c r="Q1551" s="21">
        <v>30</v>
      </c>
      <c r="R1551" s="21">
        <v>0</v>
      </c>
      <c r="S1551" s="5">
        <f t="shared" si="99"/>
        <v>76030.808760151995</v>
      </c>
      <c r="T1551" cm="1">
        <f t="array" ref="T1551">IF(OR(B1551="MAL ALIMI", B1551="ÜRETİM GİRİŞ"), MIN(I1551, MAX(0, I1551 + SUM(SUMIFS($I$1:I1550, $C$1:C1550, C1551, $B$1:B1550, {"MAL ALIMI","ÜRETİM GİRİŞ"})) - VLOOKUP(C1551, 'STOK RAPORU'!$C$2:$I$1000, 4, 0))), 0)</f>
        <v>0</v>
      </c>
      <c r="U1551" s="22">
        <f t="shared" si="96"/>
        <v>0</v>
      </c>
      <c r="V1551">
        <f t="shared" si="97"/>
        <v>0</v>
      </c>
      <c r="W1551" s="22">
        <f t="shared" si="98"/>
        <v>0</v>
      </c>
    </row>
    <row r="1552" spans="1:23" hidden="1" x14ac:dyDescent="0.25">
      <c r="A1552" s="3">
        <v>45988</v>
      </c>
      <c r="B1552" s="4" t="s">
        <v>334</v>
      </c>
      <c r="C1552" s="4" t="s">
        <v>249</v>
      </c>
      <c r="D1552" s="4"/>
      <c r="E1552" s="4"/>
      <c r="F1552" s="4" t="s">
        <v>1002</v>
      </c>
      <c r="G1552" s="4" t="s">
        <v>336</v>
      </c>
      <c r="H1552" s="4" t="s">
        <v>289</v>
      </c>
      <c r="I1552" s="4">
        <v>0.05</v>
      </c>
      <c r="J1552" s="21">
        <v>900</v>
      </c>
      <c r="K1552" s="21">
        <v>0</v>
      </c>
      <c r="L1552" s="5">
        <v>0</v>
      </c>
      <c r="M1552" s="4"/>
      <c r="N1552" s="4"/>
      <c r="O1552" s="5"/>
      <c r="P1552" s="5"/>
      <c r="Q1552" s="21">
        <v>45</v>
      </c>
      <c r="R1552" s="21">
        <v>0</v>
      </c>
      <c r="S1552" s="5">
        <f t="shared" si="99"/>
        <v>76075.808760151995</v>
      </c>
      <c r="T1552" cm="1">
        <f t="array" ref="T1552">IF(OR(B1552="MAL ALIMI", B1552="ÜRETİM GİRİŞ"), MIN(I1552, MAX(0, I1552 + SUM(SUMIFS($I$1:I1551, $C$1:C1551, C1552, $B$1:B1551, {"MAL ALIMI","ÜRETİM GİRİŞ"})) - VLOOKUP(C1552, 'STOK RAPORU'!$C$2:$I$1000, 4, 0))), 0)</f>
        <v>0</v>
      </c>
      <c r="U1552" s="22">
        <f t="shared" si="96"/>
        <v>0</v>
      </c>
      <c r="V1552">
        <f t="shared" si="97"/>
        <v>0</v>
      </c>
      <c r="W1552" s="22">
        <f t="shared" si="98"/>
        <v>0</v>
      </c>
    </row>
    <row r="1553" spans="1:23" hidden="1" x14ac:dyDescent="0.25">
      <c r="A1553" s="3">
        <v>45988</v>
      </c>
      <c r="B1553" s="4" t="s">
        <v>334</v>
      </c>
      <c r="C1553" s="4" t="s">
        <v>911</v>
      </c>
      <c r="D1553" s="4"/>
      <c r="E1553" s="4"/>
      <c r="F1553" s="4" t="s">
        <v>1003</v>
      </c>
      <c r="G1553" s="4" t="s">
        <v>336</v>
      </c>
      <c r="H1553" s="4" t="s">
        <v>289</v>
      </c>
      <c r="I1553" s="4">
        <v>2</v>
      </c>
      <c r="J1553" s="21">
        <v>170</v>
      </c>
      <c r="K1553" s="21">
        <v>0</v>
      </c>
      <c r="L1553" s="5">
        <v>0</v>
      </c>
      <c r="M1553" s="4"/>
      <c r="N1553" s="4"/>
      <c r="O1553" s="5"/>
      <c r="P1553" s="5"/>
      <c r="Q1553" s="21">
        <v>340</v>
      </c>
      <c r="R1553" s="21">
        <v>0</v>
      </c>
      <c r="S1553" s="5">
        <f t="shared" si="99"/>
        <v>76415.808760151995</v>
      </c>
      <c r="T1553" cm="1">
        <f t="array" ref="T1553">IF(OR(B1553="MAL ALIMI", B1553="ÜRETİM GİRİŞ"), MIN(I1553, MAX(0, I1553 + SUM(SUMIFS($I$1:I1552, $C$1:C1552, C1553, $B$1:B1552, {"MAL ALIMI","ÜRETİM GİRİŞ"})) - VLOOKUP(C1553, 'STOK RAPORU'!$C$2:$I$1000, 4, 0))), 0)</f>
        <v>0</v>
      </c>
      <c r="U1553" s="22">
        <f t="shared" si="96"/>
        <v>0</v>
      </c>
      <c r="V1553">
        <f t="shared" si="97"/>
        <v>0</v>
      </c>
      <c r="W1553" s="22">
        <f t="shared" si="98"/>
        <v>0</v>
      </c>
    </row>
    <row r="1554" spans="1:23" hidden="1" x14ac:dyDescent="0.25">
      <c r="A1554" s="3">
        <v>45988</v>
      </c>
      <c r="B1554" s="4" t="s">
        <v>334</v>
      </c>
      <c r="C1554" s="4" t="s">
        <v>249</v>
      </c>
      <c r="D1554" s="4"/>
      <c r="E1554" s="4"/>
      <c r="F1554" s="4" t="s">
        <v>1003</v>
      </c>
      <c r="G1554" s="4" t="s">
        <v>336</v>
      </c>
      <c r="H1554" s="4" t="s">
        <v>289</v>
      </c>
      <c r="I1554" s="4">
        <v>0.1</v>
      </c>
      <c r="J1554" s="21">
        <v>900</v>
      </c>
      <c r="K1554" s="21">
        <v>0</v>
      </c>
      <c r="L1554" s="5">
        <v>0</v>
      </c>
      <c r="M1554" s="4"/>
      <c r="N1554" s="4"/>
      <c r="O1554" s="5"/>
      <c r="P1554" s="5"/>
      <c r="Q1554" s="21">
        <v>90</v>
      </c>
      <c r="R1554" s="21">
        <v>0</v>
      </c>
      <c r="S1554" s="5">
        <f t="shared" si="99"/>
        <v>76505.808760151995</v>
      </c>
      <c r="T1554" cm="1">
        <f t="array" ref="T1554">IF(OR(B1554="MAL ALIMI", B1554="ÜRETİM GİRİŞ"), MIN(I1554, MAX(0, I1554 + SUM(SUMIFS($I$1:I1553, $C$1:C1553, C1554, $B$1:B1553, {"MAL ALIMI","ÜRETİM GİRİŞ"})) - VLOOKUP(C1554, 'STOK RAPORU'!$C$2:$I$1000, 4, 0))), 0)</f>
        <v>0</v>
      </c>
      <c r="U1554" s="22">
        <f t="shared" si="96"/>
        <v>0</v>
      </c>
      <c r="V1554">
        <f t="shared" si="97"/>
        <v>0</v>
      </c>
      <c r="W1554" s="22">
        <f t="shared" si="98"/>
        <v>0</v>
      </c>
    </row>
    <row r="1555" spans="1:23" hidden="1" x14ac:dyDescent="0.25">
      <c r="A1555" s="3">
        <v>45988</v>
      </c>
      <c r="B1555" s="4" t="s">
        <v>334</v>
      </c>
      <c r="C1555" s="4" t="s">
        <v>269</v>
      </c>
      <c r="D1555" s="4"/>
      <c r="E1555" s="4"/>
      <c r="F1555" s="4" t="s">
        <v>1004</v>
      </c>
      <c r="G1555" s="4" t="s">
        <v>336</v>
      </c>
      <c r="H1555" s="4" t="s">
        <v>289</v>
      </c>
      <c r="I1555" s="4">
        <v>0.20899999999999999</v>
      </c>
      <c r="J1555" s="21">
        <v>240</v>
      </c>
      <c r="K1555" s="21">
        <v>0</v>
      </c>
      <c r="L1555" s="5">
        <v>0</v>
      </c>
      <c r="M1555" s="4"/>
      <c r="N1555" s="4"/>
      <c r="O1555" s="5"/>
      <c r="P1555" s="5"/>
      <c r="Q1555" s="21">
        <v>50.16</v>
      </c>
      <c r="R1555" s="21">
        <v>0</v>
      </c>
      <c r="S1555" s="5">
        <f t="shared" si="99"/>
        <v>76555.968760151998</v>
      </c>
      <c r="T1555" cm="1">
        <f t="array" ref="T1555">IF(OR(B1555="MAL ALIMI", B1555="ÜRETİM GİRİŞ"), MIN(I1555, MAX(0, I1555 + SUM(SUMIFS($I$1:I1554, $C$1:C1554, C1555, $B$1:B1554, {"MAL ALIMI","ÜRETİM GİRİŞ"})) - VLOOKUP(C1555, 'STOK RAPORU'!$C$2:$I$1000, 4, 0))), 0)</f>
        <v>0</v>
      </c>
      <c r="U1555" s="22">
        <f t="shared" si="96"/>
        <v>0</v>
      </c>
      <c r="V1555">
        <f t="shared" si="97"/>
        <v>0</v>
      </c>
      <c r="W1555" s="22">
        <f t="shared" si="98"/>
        <v>0</v>
      </c>
    </row>
    <row r="1556" spans="1:23" hidden="1" x14ac:dyDescent="0.25">
      <c r="A1556" s="3">
        <v>45988</v>
      </c>
      <c r="B1556" s="4" t="s">
        <v>334</v>
      </c>
      <c r="C1556" s="4" t="s">
        <v>649</v>
      </c>
      <c r="D1556" s="4"/>
      <c r="E1556" s="4"/>
      <c r="F1556" s="4" t="s">
        <v>1005</v>
      </c>
      <c r="G1556" s="4" t="s">
        <v>336</v>
      </c>
      <c r="H1556" s="4" t="s">
        <v>289</v>
      </c>
      <c r="I1556" s="4">
        <v>1</v>
      </c>
      <c r="J1556" s="21">
        <v>300</v>
      </c>
      <c r="K1556" s="21">
        <v>0</v>
      </c>
      <c r="L1556" s="5">
        <v>0</v>
      </c>
      <c r="M1556" s="4"/>
      <c r="N1556" s="4"/>
      <c r="O1556" s="5"/>
      <c r="P1556" s="5"/>
      <c r="Q1556" s="21">
        <v>300</v>
      </c>
      <c r="R1556" s="21">
        <v>0</v>
      </c>
      <c r="S1556" s="5">
        <f t="shared" si="99"/>
        <v>76855.968760151998</v>
      </c>
      <c r="T1556" cm="1">
        <f t="array" ref="T1556">IF(OR(B1556="MAL ALIMI", B1556="ÜRETİM GİRİŞ"), MIN(I1556, MAX(0, I1556 + SUM(SUMIFS($I$1:I1555, $C$1:C1555, C1556, $B$1:B1555, {"MAL ALIMI","ÜRETİM GİRİŞ"})) - VLOOKUP(C1556, 'STOK RAPORU'!$C$2:$I$1000, 4, 0))), 0)</f>
        <v>0</v>
      </c>
      <c r="U1556" s="22">
        <f t="shared" si="96"/>
        <v>0</v>
      </c>
      <c r="V1556">
        <f t="shared" si="97"/>
        <v>0</v>
      </c>
      <c r="W1556" s="22">
        <f t="shared" si="98"/>
        <v>0</v>
      </c>
    </row>
    <row r="1557" spans="1:23" hidden="1" x14ac:dyDescent="0.25">
      <c r="A1557" s="3">
        <v>45988</v>
      </c>
      <c r="B1557" s="4" t="s">
        <v>334</v>
      </c>
      <c r="C1557" s="4" t="s">
        <v>198</v>
      </c>
      <c r="D1557" s="4"/>
      <c r="E1557" s="4"/>
      <c r="F1557" s="4" t="s">
        <v>1006</v>
      </c>
      <c r="G1557" s="4" t="s">
        <v>336</v>
      </c>
      <c r="H1557" s="4" t="s">
        <v>289</v>
      </c>
      <c r="I1557" s="4">
        <v>0.05</v>
      </c>
      <c r="J1557" s="21">
        <v>1400</v>
      </c>
      <c r="K1557" s="21">
        <v>0</v>
      </c>
      <c r="L1557" s="5">
        <v>0</v>
      </c>
      <c r="M1557" s="4"/>
      <c r="N1557" s="4"/>
      <c r="O1557" s="5"/>
      <c r="P1557" s="5"/>
      <c r="Q1557" s="21">
        <v>70</v>
      </c>
      <c r="R1557" s="21">
        <v>0</v>
      </c>
      <c r="S1557" s="5">
        <f t="shared" si="99"/>
        <v>76925.968760151998</v>
      </c>
      <c r="T1557" cm="1">
        <f t="array" ref="T1557">IF(OR(B1557="MAL ALIMI", B1557="ÜRETİM GİRİŞ"), MIN(I1557, MAX(0, I1557 + SUM(SUMIFS($I$1:I1556, $C$1:C1556, C1557, $B$1:B1556, {"MAL ALIMI","ÜRETİM GİRİŞ"})) - VLOOKUP(C1557, 'STOK RAPORU'!$C$2:$I$1000, 4, 0))), 0)</f>
        <v>0</v>
      </c>
      <c r="U1557" s="22">
        <f t="shared" si="96"/>
        <v>0</v>
      </c>
      <c r="V1557">
        <f t="shared" si="97"/>
        <v>0</v>
      </c>
      <c r="W1557" s="22">
        <f t="shared" si="98"/>
        <v>0</v>
      </c>
    </row>
    <row r="1558" spans="1:23" hidden="1" x14ac:dyDescent="0.25">
      <c r="A1558" s="3">
        <v>45988</v>
      </c>
      <c r="B1558" s="4" t="s">
        <v>334</v>
      </c>
      <c r="C1558" s="4" t="s">
        <v>202</v>
      </c>
      <c r="D1558" s="4"/>
      <c r="E1558" s="4"/>
      <c r="F1558" s="4" t="s">
        <v>1007</v>
      </c>
      <c r="G1558" s="4" t="s">
        <v>336</v>
      </c>
      <c r="H1558" s="4" t="s">
        <v>289</v>
      </c>
      <c r="I1558" s="4">
        <v>0.5</v>
      </c>
      <c r="J1558" s="21">
        <v>80</v>
      </c>
      <c r="K1558" s="21">
        <v>0</v>
      </c>
      <c r="L1558" s="5">
        <v>0</v>
      </c>
      <c r="M1558" s="4"/>
      <c r="N1558" s="4"/>
      <c r="O1558" s="5"/>
      <c r="P1558" s="5"/>
      <c r="Q1558" s="21">
        <v>40</v>
      </c>
      <c r="R1558" s="21">
        <v>0</v>
      </c>
      <c r="S1558" s="5">
        <f t="shared" si="99"/>
        <v>76965.968760151998</v>
      </c>
      <c r="T1558" cm="1">
        <f t="array" ref="T1558">IF(OR(B1558="MAL ALIMI", B1558="ÜRETİM GİRİŞ"), MIN(I1558, MAX(0, I1558 + SUM(SUMIFS($I$1:I1557, $C$1:C1557, C1558, $B$1:B1557, {"MAL ALIMI","ÜRETİM GİRİŞ"})) - VLOOKUP(C1558, 'STOK RAPORU'!$C$2:$I$1000, 4, 0))), 0)</f>
        <v>0</v>
      </c>
      <c r="U1558" s="22">
        <f t="shared" si="96"/>
        <v>0</v>
      </c>
      <c r="V1558">
        <f t="shared" si="97"/>
        <v>0</v>
      </c>
      <c r="W1558" s="22">
        <f t="shared" si="98"/>
        <v>0</v>
      </c>
    </row>
    <row r="1559" spans="1:23" hidden="1" x14ac:dyDescent="0.25">
      <c r="A1559" s="3">
        <v>45988</v>
      </c>
      <c r="B1559" s="4" t="s">
        <v>334</v>
      </c>
      <c r="C1559" s="4" t="s">
        <v>209</v>
      </c>
      <c r="D1559" s="4"/>
      <c r="E1559" s="4" t="s">
        <v>921</v>
      </c>
      <c r="F1559" s="4" t="s">
        <v>1008</v>
      </c>
      <c r="G1559" s="4" t="s">
        <v>336</v>
      </c>
      <c r="H1559" s="4" t="s">
        <v>380</v>
      </c>
      <c r="I1559" s="4">
        <v>0.05</v>
      </c>
      <c r="J1559" s="21">
        <v>2600</v>
      </c>
      <c r="K1559" s="21">
        <v>130</v>
      </c>
      <c r="L1559" s="5">
        <v>0</v>
      </c>
      <c r="M1559" s="4"/>
      <c r="N1559" s="4"/>
      <c r="O1559" s="5"/>
      <c r="P1559" s="5"/>
      <c r="Q1559" s="21">
        <v>0</v>
      </c>
      <c r="R1559" s="21">
        <v>0</v>
      </c>
      <c r="S1559" s="5">
        <f t="shared" si="99"/>
        <v>76965.968760151998</v>
      </c>
      <c r="T1559" cm="1">
        <f t="array" ref="T1559">IF(OR(B1559="MAL ALIMI", B1559="ÜRETİM GİRİŞ"), MIN(I1559, MAX(0, I1559 + SUM(SUMIFS($I$1:I1558, $C$1:C1558, C1559, $B$1:B1558, {"MAL ALIMI","ÜRETİM GİRİŞ"})) - VLOOKUP(C1559, 'STOK RAPORU'!$C$2:$I$1000, 4, 0))), 0)</f>
        <v>0</v>
      </c>
      <c r="U1559" s="22">
        <f t="shared" si="96"/>
        <v>0</v>
      </c>
      <c r="V1559">
        <f t="shared" si="97"/>
        <v>0</v>
      </c>
      <c r="W1559" s="22">
        <f t="shared" si="98"/>
        <v>0</v>
      </c>
    </row>
    <row r="1560" spans="1:23" hidden="1" x14ac:dyDescent="0.25">
      <c r="A1560" s="3">
        <v>45988</v>
      </c>
      <c r="B1560" s="4" t="s">
        <v>334</v>
      </c>
      <c r="C1560" s="4" t="s">
        <v>210</v>
      </c>
      <c r="D1560" s="4"/>
      <c r="E1560" s="4" t="s">
        <v>921</v>
      </c>
      <c r="F1560" s="4" t="s">
        <v>1008</v>
      </c>
      <c r="G1560" s="4" t="s">
        <v>336</v>
      </c>
      <c r="H1560" s="4" t="s">
        <v>380</v>
      </c>
      <c r="I1560" s="4">
        <v>0.04</v>
      </c>
      <c r="J1560" s="21">
        <v>4500</v>
      </c>
      <c r="K1560" s="21">
        <v>180</v>
      </c>
      <c r="L1560" s="5">
        <v>0</v>
      </c>
      <c r="M1560" s="4"/>
      <c r="N1560" s="4"/>
      <c r="O1560" s="5"/>
      <c r="P1560" s="5"/>
      <c r="Q1560" s="21">
        <v>0</v>
      </c>
      <c r="R1560" s="21">
        <v>0</v>
      </c>
      <c r="S1560" s="5">
        <f t="shared" si="99"/>
        <v>76965.968760151998</v>
      </c>
      <c r="T1560" cm="1">
        <f t="array" ref="T1560">IF(OR(B1560="MAL ALIMI", B1560="ÜRETİM GİRİŞ"), MIN(I1560, MAX(0, I1560 + SUM(SUMIFS($I$1:I1559, $C$1:C1559, C1560, $B$1:B1559, {"MAL ALIMI","ÜRETİM GİRİŞ"})) - VLOOKUP(C1560, 'STOK RAPORU'!$C$2:$I$1000, 4, 0))), 0)</f>
        <v>0</v>
      </c>
      <c r="U1560" s="22">
        <f t="shared" si="96"/>
        <v>0</v>
      </c>
      <c r="V1560">
        <f t="shared" si="97"/>
        <v>0</v>
      </c>
      <c r="W1560" s="22">
        <f t="shared" si="98"/>
        <v>0</v>
      </c>
    </row>
    <row r="1561" spans="1:23" hidden="1" x14ac:dyDescent="0.25">
      <c r="A1561" s="3">
        <v>45988</v>
      </c>
      <c r="B1561" s="4" t="s">
        <v>334</v>
      </c>
      <c r="C1561" s="4" t="s">
        <v>246</v>
      </c>
      <c r="D1561" s="4"/>
      <c r="E1561" s="4"/>
      <c r="F1561" s="4" t="s">
        <v>1009</v>
      </c>
      <c r="G1561" s="4" t="s">
        <v>336</v>
      </c>
      <c r="H1561" s="4" t="s">
        <v>289</v>
      </c>
      <c r="I1561" s="4">
        <v>0.1</v>
      </c>
      <c r="J1561" s="21">
        <v>1250</v>
      </c>
      <c r="K1561" s="21">
        <v>0</v>
      </c>
      <c r="L1561" s="5">
        <v>0</v>
      </c>
      <c r="M1561" s="4"/>
      <c r="N1561" s="4"/>
      <c r="O1561" s="5"/>
      <c r="P1561" s="5"/>
      <c r="Q1561" s="21">
        <v>125</v>
      </c>
      <c r="R1561" s="21">
        <v>0</v>
      </c>
      <c r="S1561" s="5">
        <f t="shared" si="99"/>
        <v>77090.968760151998</v>
      </c>
      <c r="T1561" cm="1">
        <f t="array" ref="T1561">IF(OR(B1561="MAL ALIMI", B1561="ÜRETİM GİRİŞ"), MIN(I1561, MAX(0, I1561 + SUM(SUMIFS($I$1:I1560, $C$1:C1560, C1561, $B$1:B1560, {"MAL ALIMI","ÜRETİM GİRİŞ"})) - VLOOKUP(C1561, 'STOK RAPORU'!$C$2:$I$1000, 4, 0))), 0)</f>
        <v>0</v>
      </c>
      <c r="U1561" s="22">
        <f t="shared" si="96"/>
        <v>0</v>
      </c>
      <c r="V1561">
        <f t="shared" si="97"/>
        <v>0</v>
      </c>
      <c r="W1561" s="22">
        <f t="shared" si="98"/>
        <v>0</v>
      </c>
    </row>
    <row r="1562" spans="1:23" hidden="1" x14ac:dyDescent="0.25">
      <c r="A1562" s="3">
        <v>45988</v>
      </c>
      <c r="B1562" s="4" t="s">
        <v>334</v>
      </c>
      <c r="C1562" s="4" t="s">
        <v>270</v>
      </c>
      <c r="D1562" s="4"/>
      <c r="E1562" s="4" t="s">
        <v>921</v>
      </c>
      <c r="F1562" s="4" t="s">
        <v>1010</v>
      </c>
      <c r="G1562" s="4" t="s">
        <v>336</v>
      </c>
      <c r="H1562" s="4" t="s">
        <v>380</v>
      </c>
      <c r="I1562" s="4">
        <v>1</v>
      </c>
      <c r="J1562" s="21">
        <v>140</v>
      </c>
      <c r="K1562" s="21">
        <v>140</v>
      </c>
      <c r="L1562" s="5">
        <v>0</v>
      </c>
      <c r="M1562" s="4"/>
      <c r="N1562" s="4"/>
      <c r="O1562" s="5"/>
      <c r="P1562" s="5"/>
      <c r="Q1562" s="21">
        <v>0</v>
      </c>
      <c r="R1562" s="21">
        <v>0</v>
      </c>
      <c r="S1562" s="5">
        <f t="shared" si="99"/>
        <v>77090.968760151998</v>
      </c>
      <c r="T1562" cm="1">
        <f t="array" ref="T1562">IF(OR(B1562="MAL ALIMI", B1562="ÜRETİM GİRİŞ"), MIN(I1562, MAX(0, I1562 + SUM(SUMIFS($I$1:I1561, $C$1:C1561, C1562, $B$1:B1561, {"MAL ALIMI","ÜRETİM GİRİŞ"})) - VLOOKUP(C1562, 'STOK RAPORU'!$C$2:$I$1000, 4, 0))), 0)</f>
        <v>0</v>
      </c>
      <c r="U1562" s="22">
        <f t="shared" si="96"/>
        <v>0</v>
      </c>
      <c r="V1562">
        <f t="shared" si="97"/>
        <v>0</v>
      </c>
      <c r="W1562" s="22">
        <f t="shared" si="98"/>
        <v>0</v>
      </c>
    </row>
    <row r="1563" spans="1:23" hidden="1" x14ac:dyDescent="0.25">
      <c r="A1563" s="3">
        <v>45989</v>
      </c>
      <c r="B1563" s="4" t="s">
        <v>298</v>
      </c>
      <c r="C1563" s="4" t="s">
        <v>1023</v>
      </c>
      <c r="D1563" s="4"/>
      <c r="E1563" s="4" t="s">
        <v>350</v>
      </c>
      <c r="F1563" s="4" t="s">
        <v>1026</v>
      </c>
      <c r="G1563" s="4" t="s">
        <v>350</v>
      </c>
      <c r="H1563" s="4" t="s">
        <v>304</v>
      </c>
      <c r="I1563" s="4">
        <v>10</v>
      </c>
      <c r="J1563" s="21">
        <v>37</v>
      </c>
      <c r="K1563" s="21">
        <v>0</v>
      </c>
      <c r="L1563" s="5">
        <v>370</v>
      </c>
      <c r="M1563" s="4"/>
      <c r="N1563" s="4"/>
      <c r="O1563" s="5"/>
      <c r="P1563" s="5"/>
      <c r="Q1563" s="21">
        <v>0</v>
      </c>
      <c r="R1563" s="21">
        <v>0</v>
      </c>
      <c r="S1563" s="5">
        <f t="shared" si="99"/>
        <v>77090.968760151998</v>
      </c>
      <c r="T1563" cm="1">
        <f t="array" ref="T1563">IF(OR(B1563="MAL ALIMI", B1563="ÜRETİM GİRİŞ"), MIN(I1563, MAX(0, I1563 + SUM(SUMIFS($I$1:I1562, $C$1:C1562, C1563, $B$1:B1562, {"MAL ALIMI","ÜRETİM GİRİŞ"})) - VLOOKUP(C1563, 'STOK RAPORU'!$C$2:$I$1000, 4, 0))), 0)</f>
        <v>0</v>
      </c>
      <c r="U1563" s="22">
        <f t="shared" si="96"/>
        <v>0</v>
      </c>
      <c r="V1563">
        <f t="shared" si="97"/>
        <v>370</v>
      </c>
      <c r="W1563" s="22">
        <f t="shared" si="98"/>
        <v>370</v>
      </c>
    </row>
    <row r="1564" spans="1:23" hidden="1" x14ac:dyDescent="0.25">
      <c r="A1564" s="3">
        <v>45989</v>
      </c>
      <c r="B1564" s="4" t="s">
        <v>298</v>
      </c>
      <c r="C1564" s="4" t="s">
        <v>1024</v>
      </c>
      <c r="D1564" s="4"/>
      <c r="E1564" s="4" t="s">
        <v>350</v>
      </c>
      <c r="F1564" s="4" t="s">
        <v>1026</v>
      </c>
      <c r="G1564" s="4" t="s">
        <v>350</v>
      </c>
      <c r="H1564" s="4" t="s">
        <v>304</v>
      </c>
      <c r="I1564" s="4">
        <v>10</v>
      </c>
      <c r="J1564" s="21">
        <v>37</v>
      </c>
      <c r="K1564" s="21">
        <v>0</v>
      </c>
      <c r="L1564" s="5">
        <v>370</v>
      </c>
      <c r="M1564" s="4"/>
      <c r="N1564" s="4"/>
      <c r="O1564" s="5"/>
      <c r="P1564" s="5"/>
      <c r="Q1564" s="21">
        <v>0</v>
      </c>
      <c r="R1564" s="21">
        <v>0</v>
      </c>
      <c r="S1564" s="5">
        <f t="shared" si="99"/>
        <v>77090.968760151998</v>
      </c>
      <c r="T1564" cm="1">
        <f t="array" ref="T1564">IF(OR(B1564="MAL ALIMI", B1564="ÜRETİM GİRİŞ"), MIN(I1564, MAX(0, I1564 + SUM(SUMIFS($I$1:I1563, $C$1:C1563, C1564, $B$1:B1563, {"MAL ALIMI","ÜRETİM GİRİŞ"})) - VLOOKUP(C1564, 'STOK RAPORU'!$C$2:$I$1000, 4, 0))), 0)</f>
        <v>0</v>
      </c>
      <c r="U1564" s="22">
        <f t="shared" si="96"/>
        <v>0</v>
      </c>
      <c r="V1564">
        <f t="shared" si="97"/>
        <v>370</v>
      </c>
      <c r="W1564" s="22">
        <f t="shared" si="98"/>
        <v>370</v>
      </c>
    </row>
    <row r="1565" spans="1:23" hidden="1" x14ac:dyDescent="0.25">
      <c r="A1565" s="3">
        <v>45989</v>
      </c>
      <c r="B1565" s="4" t="s">
        <v>285</v>
      </c>
      <c r="C1565" s="4"/>
      <c r="D1565" s="4" t="s">
        <v>743</v>
      </c>
      <c r="E1565" s="4"/>
      <c r="F1565" s="4" t="s">
        <v>1042</v>
      </c>
      <c r="G1565" s="4" t="s">
        <v>1040</v>
      </c>
      <c r="H1565" s="4" t="s">
        <v>289</v>
      </c>
      <c r="I1565" s="4">
        <v>1</v>
      </c>
      <c r="J1565" s="21">
        <v>800</v>
      </c>
      <c r="K1565" s="21">
        <v>0</v>
      </c>
      <c r="L1565" s="5">
        <v>0</v>
      </c>
      <c r="M1565" s="4"/>
      <c r="N1565" s="4"/>
      <c r="O1565" s="5"/>
      <c r="P1565" s="5"/>
      <c r="Q1565" s="21">
        <v>0</v>
      </c>
      <c r="R1565" s="21">
        <v>800</v>
      </c>
      <c r="S1565" s="5">
        <f t="shared" si="99"/>
        <v>76290.968760151998</v>
      </c>
      <c r="T1565" cm="1">
        <f t="array" ref="T1565">IF(OR(B1565="MAL ALIMI", B1565="ÜRETİM GİRİŞ"), MIN(I1565, MAX(0, I1565 + SUM(SUMIFS($I$1:I1564, $C$1:C1564, C1565, $B$1:B1564, {"MAL ALIMI","ÜRETİM GİRİŞ"})) - VLOOKUP(C1565, 'STOK RAPORU'!$C$2:$I$1000, 4, 0))), 0)</f>
        <v>0</v>
      </c>
      <c r="U1565" s="22">
        <f t="shared" si="96"/>
        <v>0</v>
      </c>
      <c r="V1565">
        <f t="shared" si="97"/>
        <v>0</v>
      </c>
      <c r="W1565" s="22">
        <f t="shared" si="98"/>
        <v>0</v>
      </c>
    </row>
    <row r="1566" spans="1:23" hidden="1" x14ac:dyDescent="0.25">
      <c r="A1566" s="3">
        <v>45989</v>
      </c>
      <c r="B1566" s="4" t="s">
        <v>298</v>
      </c>
      <c r="C1566" s="4" t="s">
        <v>1041</v>
      </c>
      <c r="D1566" s="4"/>
      <c r="E1566" s="4"/>
      <c r="F1566" s="4" t="s">
        <v>1043</v>
      </c>
      <c r="G1566" s="4" t="s">
        <v>1044</v>
      </c>
      <c r="H1566" s="4" t="s">
        <v>289</v>
      </c>
      <c r="I1566" s="4">
        <v>20</v>
      </c>
      <c r="J1566" s="21">
        <v>200</v>
      </c>
      <c r="K1566" s="21">
        <v>0</v>
      </c>
      <c r="L1566" s="5">
        <v>0</v>
      </c>
      <c r="M1566" s="4"/>
      <c r="N1566" s="4"/>
      <c r="O1566" s="5"/>
      <c r="P1566" s="5"/>
      <c r="Q1566" s="21">
        <v>0</v>
      </c>
      <c r="R1566" s="21">
        <v>4000</v>
      </c>
      <c r="S1566" s="5">
        <f t="shared" si="99"/>
        <v>72290.968760151998</v>
      </c>
      <c r="T1566" cm="1">
        <f t="array" ref="T1566">IF(OR(B1566="MAL ALIMI", B1566="ÜRETİM GİRİŞ"), MIN(I1566, MAX(0, I1566 + SUM(SUMIFS($I$1:I1565, $C$1:C1565, C1566, $B$1:B1565, {"MAL ALIMI","ÜRETİM GİRİŞ"})) - VLOOKUP(C1566, 'STOK RAPORU'!$C$2:$I$1000, 4, 0))), 0)</f>
        <v>0</v>
      </c>
      <c r="U1566" s="22">
        <f t="shared" si="96"/>
        <v>0</v>
      </c>
      <c r="V1566">
        <f t="shared" si="97"/>
        <v>4000</v>
      </c>
      <c r="W1566" s="22">
        <f t="shared" si="98"/>
        <v>4000</v>
      </c>
    </row>
    <row r="1567" spans="1:23" hidden="1" x14ac:dyDescent="0.25">
      <c r="A1567" s="3">
        <v>45989</v>
      </c>
      <c r="B1567" s="4" t="s">
        <v>334</v>
      </c>
      <c r="C1567" s="4" t="s">
        <v>249</v>
      </c>
      <c r="D1567" s="4"/>
      <c r="E1567" s="4" t="s">
        <v>921</v>
      </c>
      <c r="F1567" s="4" t="s">
        <v>1011</v>
      </c>
      <c r="G1567" s="4" t="s">
        <v>336</v>
      </c>
      <c r="H1567" s="4" t="s">
        <v>380</v>
      </c>
      <c r="I1567" s="4">
        <v>0.1</v>
      </c>
      <c r="J1567" s="21">
        <v>900</v>
      </c>
      <c r="K1567" s="21">
        <v>90</v>
      </c>
      <c r="L1567" s="5">
        <v>0</v>
      </c>
      <c r="M1567" s="4"/>
      <c r="N1567" s="4"/>
      <c r="O1567" s="5"/>
      <c r="P1567" s="5"/>
      <c r="Q1567" s="21">
        <v>0</v>
      </c>
      <c r="R1567" s="21">
        <v>0</v>
      </c>
      <c r="S1567" s="5">
        <f t="shared" si="99"/>
        <v>72290.968760151998</v>
      </c>
      <c r="T1567" cm="1">
        <f t="array" ref="T1567">IF(OR(B1567="MAL ALIMI", B1567="ÜRETİM GİRİŞ"), MIN(I1567, MAX(0, I1567 + SUM(SUMIFS($I$1:I1566, $C$1:C1566, C1567, $B$1:B1566, {"MAL ALIMI","ÜRETİM GİRİŞ"})) - VLOOKUP(C1567, 'STOK RAPORU'!$C$2:$I$1000, 4, 0))), 0)</f>
        <v>0</v>
      </c>
      <c r="U1567" s="22">
        <f t="shared" si="96"/>
        <v>0</v>
      </c>
      <c r="V1567">
        <f t="shared" si="97"/>
        <v>0</v>
      </c>
      <c r="W1567" s="22">
        <f t="shared" si="98"/>
        <v>0</v>
      </c>
    </row>
    <row r="1568" spans="1:23" hidden="1" x14ac:dyDescent="0.25">
      <c r="A1568" s="3">
        <v>45989</v>
      </c>
      <c r="B1568" s="4" t="s">
        <v>334</v>
      </c>
      <c r="C1568" s="4" t="s">
        <v>137</v>
      </c>
      <c r="D1568" s="4"/>
      <c r="E1568" s="4"/>
      <c r="F1568" s="4" t="s">
        <v>1012</v>
      </c>
      <c r="G1568" s="4" t="s">
        <v>336</v>
      </c>
      <c r="H1568" s="4" t="s">
        <v>289</v>
      </c>
      <c r="I1568" s="4">
        <v>0.25</v>
      </c>
      <c r="J1568" s="21">
        <v>180</v>
      </c>
      <c r="K1568" s="21">
        <v>0</v>
      </c>
      <c r="L1568" s="5">
        <v>0</v>
      </c>
      <c r="M1568" s="4"/>
      <c r="N1568" s="4"/>
      <c r="O1568" s="5"/>
      <c r="P1568" s="5"/>
      <c r="Q1568" s="21">
        <v>45</v>
      </c>
      <c r="R1568" s="21">
        <v>0</v>
      </c>
      <c r="S1568" s="5">
        <f t="shared" si="99"/>
        <v>72335.968760151998</v>
      </c>
      <c r="T1568" cm="1">
        <f t="array" ref="T1568">IF(OR(B1568="MAL ALIMI", B1568="ÜRETİM GİRİŞ"), MIN(I1568, MAX(0, I1568 + SUM(SUMIFS($I$1:I1567, $C$1:C1567, C1568, $B$1:B1567, {"MAL ALIMI","ÜRETİM GİRİŞ"})) - VLOOKUP(C1568, 'STOK RAPORU'!$C$2:$I$1000, 4, 0))), 0)</f>
        <v>0</v>
      </c>
      <c r="U1568" s="22">
        <f t="shared" si="96"/>
        <v>0</v>
      </c>
      <c r="V1568">
        <f t="shared" si="97"/>
        <v>0</v>
      </c>
      <c r="W1568" s="22">
        <f t="shared" si="98"/>
        <v>0</v>
      </c>
    </row>
    <row r="1569" spans="1:23" hidden="1" x14ac:dyDescent="0.25">
      <c r="A1569" s="3">
        <v>45989</v>
      </c>
      <c r="B1569" s="4" t="s">
        <v>334</v>
      </c>
      <c r="C1569" s="4" t="s">
        <v>460</v>
      </c>
      <c r="D1569" s="4"/>
      <c r="E1569" s="4"/>
      <c r="F1569" s="4" t="s">
        <v>1013</v>
      </c>
      <c r="G1569" s="4" t="s">
        <v>336</v>
      </c>
      <c r="H1569" s="4" t="s">
        <v>289</v>
      </c>
      <c r="I1569" s="4">
        <v>2</v>
      </c>
      <c r="J1569" s="21">
        <v>15</v>
      </c>
      <c r="K1569" s="21">
        <v>0</v>
      </c>
      <c r="L1569" s="5">
        <v>0</v>
      </c>
      <c r="M1569" s="4"/>
      <c r="N1569" s="4"/>
      <c r="O1569" s="5"/>
      <c r="P1569" s="5"/>
      <c r="Q1569" s="21">
        <v>30</v>
      </c>
      <c r="R1569" s="21">
        <v>0</v>
      </c>
      <c r="S1569" s="5">
        <f t="shared" si="99"/>
        <v>72365.968760151998</v>
      </c>
      <c r="T1569" cm="1">
        <f t="array" ref="T1569">IF(OR(B1569="MAL ALIMI", B1569="ÜRETİM GİRİŞ"), MIN(I1569, MAX(0, I1569 + SUM(SUMIFS($I$1:I1568, $C$1:C1568, C1569, $B$1:B1568, {"MAL ALIMI","ÜRETİM GİRİŞ"})) - VLOOKUP(C1569, 'STOK RAPORU'!$C$2:$I$1000, 4, 0))), 0)</f>
        <v>0</v>
      </c>
      <c r="U1569" s="22">
        <f t="shared" si="96"/>
        <v>0</v>
      </c>
      <c r="V1569">
        <f t="shared" si="97"/>
        <v>0</v>
      </c>
      <c r="W1569" s="22">
        <f t="shared" si="98"/>
        <v>0</v>
      </c>
    </row>
    <row r="1570" spans="1:23" hidden="1" x14ac:dyDescent="0.25">
      <c r="A1570" s="3">
        <v>45989</v>
      </c>
      <c r="B1570" s="4" t="s">
        <v>334</v>
      </c>
      <c r="C1570" s="4" t="s">
        <v>651</v>
      </c>
      <c r="D1570" s="4"/>
      <c r="E1570" s="4" t="s">
        <v>921</v>
      </c>
      <c r="F1570" s="4" t="s">
        <v>1014</v>
      </c>
      <c r="G1570" s="4" t="s">
        <v>336</v>
      </c>
      <c r="H1570" s="4" t="s">
        <v>380</v>
      </c>
      <c r="I1570" s="4">
        <v>1</v>
      </c>
      <c r="J1570" s="21">
        <v>350</v>
      </c>
      <c r="K1570" s="21">
        <v>350</v>
      </c>
      <c r="L1570" s="5">
        <v>0</v>
      </c>
      <c r="M1570" s="4"/>
      <c r="N1570" s="4"/>
      <c r="O1570" s="5"/>
      <c r="P1570" s="5"/>
      <c r="Q1570" s="21">
        <v>0</v>
      </c>
      <c r="R1570" s="21">
        <v>0</v>
      </c>
      <c r="S1570" s="5">
        <f t="shared" si="99"/>
        <v>72365.968760151998</v>
      </c>
      <c r="T1570" cm="1">
        <f t="array" ref="T1570">IF(OR(B1570="MAL ALIMI", B1570="ÜRETİM GİRİŞ"), MIN(I1570, MAX(0, I1570 + SUM(SUMIFS($I$1:I1569, $C$1:C1569, C1570, $B$1:B1569, {"MAL ALIMI","ÜRETİM GİRİŞ"})) - VLOOKUP(C1570, 'STOK RAPORU'!$C$2:$I$1000, 4, 0))), 0)</f>
        <v>0</v>
      </c>
      <c r="U1570" s="22">
        <f t="shared" si="96"/>
        <v>0</v>
      </c>
      <c r="V1570">
        <f t="shared" si="97"/>
        <v>0</v>
      </c>
      <c r="W1570" s="22">
        <f t="shared" si="98"/>
        <v>0</v>
      </c>
    </row>
    <row r="1571" spans="1:23" hidden="1" x14ac:dyDescent="0.25">
      <c r="A1571" s="3">
        <v>45989</v>
      </c>
      <c r="B1571" s="4" t="s">
        <v>334</v>
      </c>
      <c r="C1571" s="4" t="s">
        <v>98</v>
      </c>
      <c r="D1571" s="4"/>
      <c r="E1571" s="4"/>
      <c r="F1571" s="4" t="s">
        <v>1015</v>
      </c>
      <c r="G1571" s="4" t="s">
        <v>336</v>
      </c>
      <c r="H1571" s="4" t="s">
        <v>289</v>
      </c>
      <c r="I1571" s="4">
        <v>0.223</v>
      </c>
      <c r="J1571" s="21">
        <v>360</v>
      </c>
      <c r="K1571" s="21">
        <v>0</v>
      </c>
      <c r="L1571" s="5">
        <v>0</v>
      </c>
      <c r="M1571" s="4"/>
      <c r="N1571" s="4"/>
      <c r="O1571" s="5"/>
      <c r="P1571" s="5"/>
      <c r="Q1571" s="21">
        <v>80.28</v>
      </c>
      <c r="R1571" s="21">
        <v>0</v>
      </c>
      <c r="S1571" s="5">
        <f t="shared" si="99"/>
        <v>72446.248760151997</v>
      </c>
      <c r="T1571" cm="1">
        <f t="array" ref="T1571">IF(OR(B1571="MAL ALIMI", B1571="ÜRETİM GİRİŞ"), MIN(I1571, MAX(0, I1571 + SUM(SUMIFS($I$1:I1570, $C$1:C1570, C1571, $B$1:B1570, {"MAL ALIMI","ÜRETİM GİRİŞ"})) - VLOOKUP(C1571, 'STOK RAPORU'!$C$2:$I$1000, 4, 0))), 0)</f>
        <v>0</v>
      </c>
      <c r="U1571" s="22">
        <f t="shared" si="96"/>
        <v>0</v>
      </c>
      <c r="V1571">
        <f t="shared" si="97"/>
        <v>0</v>
      </c>
      <c r="W1571" s="22">
        <f t="shared" si="98"/>
        <v>0</v>
      </c>
    </row>
    <row r="1572" spans="1:23" hidden="1" x14ac:dyDescent="0.25">
      <c r="A1572" s="3">
        <v>45989</v>
      </c>
      <c r="B1572" s="4" t="s">
        <v>334</v>
      </c>
      <c r="C1572" s="4" t="s">
        <v>486</v>
      </c>
      <c r="D1572" s="4"/>
      <c r="E1572" s="4"/>
      <c r="F1572" s="4" t="s">
        <v>1015</v>
      </c>
      <c r="G1572" s="4" t="s">
        <v>336</v>
      </c>
      <c r="H1572" s="4" t="s">
        <v>289</v>
      </c>
      <c r="I1572" s="4">
        <v>1</v>
      </c>
      <c r="J1572" s="21">
        <v>180</v>
      </c>
      <c r="K1572" s="21">
        <v>0</v>
      </c>
      <c r="L1572" s="5">
        <v>0</v>
      </c>
      <c r="M1572" s="4"/>
      <c r="N1572" s="4"/>
      <c r="O1572" s="5"/>
      <c r="P1572" s="5"/>
      <c r="Q1572" s="21">
        <v>180</v>
      </c>
      <c r="R1572" s="21">
        <v>0</v>
      </c>
      <c r="S1572" s="5">
        <f t="shared" si="99"/>
        <v>72626.248760151997</v>
      </c>
      <c r="T1572" cm="1">
        <f t="array" ref="T1572">IF(OR(B1572="MAL ALIMI", B1572="ÜRETİM GİRİŞ"), MIN(I1572, MAX(0, I1572 + SUM(SUMIFS($I$1:I1571, $C$1:C1571, C1572, $B$1:B1571, {"MAL ALIMI","ÜRETİM GİRİŞ"})) - VLOOKUP(C1572, 'STOK RAPORU'!$C$2:$I$1000, 4, 0))), 0)</f>
        <v>0</v>
      </c>
      <c r="U1572" s="22">
        <f t="shared" si="96"/>
        <v>0</v>
      </c>
      <c r="V1572">
        <f t="shared" si="97"/>
        <v>0</v>
      </c>
      <c r="W1572" s="22">
        <f t="shared" si="98"/>
        <v>0</v>
      </c>
    </row>
    <row r="1573" spans="1:23" hidden="1" x14ac:dyDescent="0.25">
      <c r="A1573" s="3">
        <v>45989</v>
      </c>
      <c r="B1573" s="4" t="s">
        <v>334</v>
      </c>
      <c r="C1573" s="4" t="s">
        <v>593</v>
      </c>
      <c r="D1573" s="4"/>
      <c r="E1573" s="4" t="s">
        <v>921</v>
      </c>
      <c r="F1573" s="4" t="s">
        <v>1016</v>
      </c>
      <c r="G1573" s="4" t="s">
        <v>336</v>
      </c>
      <c r="H1573" s="4" t="s">
        <v>380</v>
      </c>
      <c r="I1573" s="4">
        <v>4</v>
      </c>
      <c r="J1573" s="21">
        <v>35</v>
      </c>
      <c r="K1573" s="21">
        <v>140</v>
      </c>
      <c r="L1573" s="5">
        <v>0</v>
      </c>
      <c r="M1573" s="4"/>
      <c r="N1573" s="4"/>
      <c r="O1573" s="5"/>
      <c r="P1573" s="5"/>
      <c r="Q1573" s="21">
        <v>0</v>
      </c>
      <c r="R1573" s="21">
        <v>0</v>
      </c>
      <c r="S1573" s="5">
        <f t="shared" si="99"/>
        <v>72626.248760151997</v>
      </c>
      <c r="T1573" cm="1">
        <f t="array" ref="T1573">IF(OR(B1573="MAL ALIMI", B1573="ÜRETİM GİRİŞ"), MIN(I1573, MAX(0, I1573 + SUM(SUMIFS($I$1:I1572, $C$1:C1572, C1573, $B$1:B1572, {"MAL ALIMI","ÜRETİM GİRİŞ"})) - VLOOKUP(C1573, 'STOK RAPORU'!$C$2:$I$1000, 4, 0))), 0)</f>
        <v>0</v>
      </c>
      <c r="U1573" s="22">
        <f t="shared" si="96"/>
        <v>0</v>
      </c>
      <c r="V1573">
        <f t="shared" si="97"/>
        <v>0</v>
      </c>
      <c r="W1573" s="22">
        <f t="shared" si="98"/>
        <v>0</v>
      </c>
    </row>
    <row r="1574" spans="1:23" hidden="1" x14ac:dyDescent="0.25">
      <c r="A1574" s="3">
        <v>45989</v>
      </c>
      <c r="B1574" s="4" t="s">
        <v>334</v>
      </c>
      <c r="C1574" s="4" t="s">
        <v>461</v>
      </c>
      <c r="D1574" s="4"/>
      <c r="E1574" s="4" t="s">
        <v>921</v>
      </c>
      <c r="F1574" s="4" t="s">
        <v>1017</v>
      </c>
      <c r="G1574" s="4" t="s">
        <v>336</v>
      </c>
      <c r="H1574" s="4" t="s">
        <v>380</v>
      </c>
      <c r="I1574" s="4">
        <v>1</v>
      </c>
      <c r="J1574" s="21">
        <v>100</v>
      </c>
      <c r="K1574" s="21">
        <v>100</v>
      </c>
      <c r="L1574" s="5">
        <v>0</v>
      </c>
      <c r="M1574" s="4"/>
      <c r="N1574" s="4"/>
      <c r="O1574" s="5"/>
      <c r="P1574" s="5"/>
      <c r="Q1574" s="21">
        <v>0</v>
      </c>
      <c r="R1574" s="21">
        <v>0</v>
      </c>
      <c r="S1574" s="5">
        <f t="shared" si="99"/>
        <v>72626.248760151997</v>
      </c>
      <c r="T1574" cm="1">
        <f t="array" ref="T1574">IF(OR(B1574="MAL ALIMI", B1574="ÜRETİM GİRİŞ"), MIN(I1574, MAX(0, I1574 + SUM(SUMIFS($I$1:I1573, $C$1:C1573, C1574, $B$1:B1573, {"MAL ALIMI","ÜRETİM GİRİŞ"})) - VLOOKUP(C1574, 'STOK RAPORU'!$C$2:$I$1000, 4, 0))), 0)</f>
        <v>0</v>
      </c>
      <c r="U1574" s="22">
        <f t="shared" si="96"/>
        <v>0</v>
      </c>
      <c r="V1574">
        <f t="shared" si="97"/>
        <v>0</v>
      </c>
      <c r="W1574" s="22">
        <f t="shared" si="98"/>
        <v>0</v>
      </c>
    </row>
    <row r="1575" spans="1:23" hidden="1" x14ac:dyDescent="0.25">
      <c r="A1575" s="3">
        <v>45989</v>
      </c>
      <c r="B1575" s="4" t="s">
        <v>334</v>
      </c>
      <c r="C1575" s="4" t="s">
        <v>842</v>
      </c>
      <c r="D1575" s="4"/>
      <c r="E1575" s="4"/>
      <c r="F1575" s="4" t="s">
        <v>1018</v>
      </c>
      <c r="G1575" s="4" t="s">
        <v>336</v>
      </c>
      <c r="H1575" s="4" t="s">
        <v>289</v>
      </c>
      <c r="I1575" s="4">
        <v>2</v>
      </c>
      <c r="J1575" s="21">
        <v>100</v>
      </c>
      <c r="K1575" s="21">
        <v>0</v>
      </c>
      <c r="L1575" s="5">
        <v>0</v>
      </c>
      <c r="M1575" s="4"/>
      <c r="N1575" s="4"/>
      <c r="O1575" s="5"/>
      <c r="P1575" s="5"/>
      <c r="Q1575" s="21">
        <v>200</v>
      </c>
      <c r="R1575" s="21">
        <v>0</v>
      </c>
      <c r="S1575" s="5">
        <f t="shared" si="99"/>
        <v>72826.248760151997</v>
      </c>
      <c r="T1575" cm="1">
        <f t="array" ref="T1575">IF(OR(B1575="MAL ALIMI", B1575="ÜRETİM GİRİŞ"), MIN(I1575, MAX(0, I1575 + SUM(SUMIFS($I$1:I1574, $C$1:C1574, C1575, $B$1:B1574, {"MAL ALIMI","ÜRETİM GİRİŞ"})) - VLOOKUP(C1575, 'STOK RAPORU'!$C$2:$I$1000, 4, 0))), 0)</f>
        <v>0</v>
      </c>
      <c r="U1575" s="22">
        <f t="shared" si="96"/>
        <v>0</v>
      </c>
      <c r="V1575">
        <f t="shared" si="97"/>
        <v>0</v>
      </c>
      <c r="W1575" s="22">
        <f t="shared" si="98"/>
        <v>0</v>
      </c>
    </row>
    <row r="1576" spans="1:23" hidden="1" x14ac:dyDescent="0.25">
      <c r="A1576" s="3">
        <v>45989</v>
      </c>
      <c r="B1576" s="4" t="s">
        <v>334</v>
      </c>
      <c r="C1576" s="4" t="s">
        <v>160</v>
      </c>
      <c r="D1576" s="4"/>
      <c r="E1576" s="4" t="s">
        <v>921</v>
      </c>
      <c r="F1576" s="4" t="s">
        <v>1019</v>
      </c>
      <c r="G1576" s="4" t="s">
        <v>336</v>
      </c>
      <c r="H1576" s="4" t="s">
        <v>380</v>
      </c>
      <c r="I1576" s="4">
        <v>1</v>
      </c>
      <c r="J1576" s="21">
        <v>240</v>
      </c>
      <c r="K1576" s="21">
        <v>240</v>
      </c>
      <c r="L1576" s="5">
        <v>0</v>
      </c>
      <c r="M1576" s="4"/>
      <c r="N1576" s="4"/>
      <c r="O1576" s="5"/>
      <c r="P1576" s="5"/>
      <c r="Q1576" s="21">
        <v>0</v>
      </c>
      <c r="R1576" s="21">
        <v>0</v>
      </c>
      <c r="S1576" s="5">
        <f t="shared" si="99"/>
        <v>72826.248760151997</v>
      </c>
      <c r="T1576" cm="1">
        <f t="array" ref="T1576">IF(OR(B1576="MAL ALIMI", B1576="ÜRETİM GİRİŞ"), MIN(I1576, MAX(0, I1576 + SUM(SUMIFS($I$1:I1575, $C$1:C1575, C1576, $B$1:B1575, {"MAL ALIMI","ÜRETİM GİRİŞ"})) - VLOOKUP(C1576, 'STOK RAPORU'!$C$2:$I$1000, 4, 0))), 0)</f>
        <v>0</v>
      </c>
      <c r="U1576" s="22">
        <f t="shared" si="96"/>
        <v>0</v>
      </c>
      <c r="V1576">
        <f t="shared" si="97"/>
        <v>0</v>
      </c>
      <c r="W1576" s="22">
        <f t="shared" si="98"/>
        <v>0</v>
      </c>
    </row>
    <row r="1577" spans="1:23" hidden="1" x14ac:dyDescent="0.25">
      <c r="A1577" s="3">
        <v>45989</v>
      </c>
      <c r="B1577" s="4" t="s">
        <v>334</v>
      </c>
      <c r="C1577" s="4" t="s">
        <v>460</v>
      </c>
      <c r="D1577" s="4"/>
      <c r="E1577" s="4"/>
      <c r="F1577" s="4" t="s">
        <v>1020</v>
      </c>
      <c r="G1577" s="4" t="s">
        <v>336</v>
      </c>
      <c r="H1577" s="4" t="s">
        <v>289</v>
      </c>
      <c r="I1577" s="4">
        <v>2</v>
      </c>
      <c r="J1577" s="21">
        <v>15</v>
      </c>
      <c r="K1577" s="21">
        <v>0</v>
      </c>
      <c r="L1577" s="5">
        <v>0</v>
      </c>
      <c r="M1577" s="4"/>
      <c r="N1577" s="4"/>
      <c r="O1577" s="5"/>
      <c r="P1577" s="5"/>
      <c r="Q1577" s="21">
        <v>30</v>
      </c>
      <c r="R1577" s="21">
        <v>0</v>
      </c>
      <c r="S1577" s="5">
        <f t="shared" si="99"/>
        <v>72856.248760151997</v>
      </c>
      <c r="T1577" cm="1">
        <f t="array" ref="T1577">IF(OR(B1577="MAL ALIMI", B1577="ÜRETİM GİRİŞ"), MIN(I1577, MAX(0, I1577 + SUM(SUMIFS($I$1:I1576, $C$1:C1576, C1577, $B$1:B1576, {"MAL ALIMI","ÜRETİM GİRİŞ"})) - VLOOKUP(C1577, 'STOK RAPORU'!$C$2:$I$1000, 4, 0))), 0)</f>
        <v>0</v>
      </c>
      <c r="U1577" s="22">
        <f t="shared" si="96"/>
        <v>0</v>
      </c>
      <c r="V1577">
        <f t="shared" si="97"/>
        <v>0</v>
      </c>
      <c r="W1577" s="22">
        <f t="shared" si="98"/>
        <v>0</v>
      </c>
    </row>
    <row r="1578" spans="1:23" hidden="1" x14ac:dyDescent="0.25">
      <c r="A1578" s="3">
        <v>45989</v>
      </c>
      <c r="B1578" s="4" t="s">
        <v>334</v>
      </c>
      <c r="C1578" s="4" t="s">
        <v>457</v>
      </c>
      <c r="D1578" s="4"/>
      <c r="E1578" s="4"/>
      <c r="F1578" s="4" t="s">
        <v>1021</v>
      </c>
      <c r="G1578" s="4" t="s">
        <v>336</v>
      </c>
      <c r="H1578" s="4" t="s">
        <v>289</v>
      </c>
      <c r="I1578" s="4">
        <v>0.1</v>
      </c>
      <c r="J1578" s="21">
        <v>700</v>
      </c>
      <c r="K1578" s="21">
        <v>0</v>
      </c>
      <c r="L1578" s="5">
        <v>0</v>
      </c>
      <c r="M1578" s="4"/>
      <c r="N1578" s="4"/>
      <c r="O1578" s="5"/>
      <c r="P1578" s="5"/>
      <c r="Q1578" s="21">
        <v>70</v>
      </c>
      <c r="R1578" s="21">
        <v>0</v>
      </c>
      <c r="S1578" s="5">
        <f t="shared" si="99"/>
        <v>72926.248760151997</v>
      </c>
      <c r="T1578" cm="1">
        <f t="array" ref="T1578">IF(OR(B1578="MAL ALIMI", B1578="ÜRETİM GİRİŞ"), MIN(I1578, MAX(0, I1578 + SUM(SUMIFS($I$1:I1577, $C$1:C1577, C1578, $B$1:B1577, {"MAL ALIMI","ÜRETİM GİRİŞ"})) - VLOOKUP(C1578, 'STOK RAPORU'!$C$2:$I$1000, 4, 0))), 0)</f>
        <v>0</v>
      </c>
      <c r="U1578" s="22">
        <f t="shared" si="96"/>
        <v>0</v>
      </c>
      <c r="V1578">
        <f t="shared" si="97"/>
        <v>0</v>
      </c>
      <c r="W1578" s="22">
        <f t="shared" si="98"/>
        <v>0</v>
      </c>
    </row>
    <row r="1579" spans="1:23" hidden="1" x14ac:dyDescent="0.25">
      <c r="A1579" s="3">
        <v>45989</v>
      </c>
      <c r="B1579" s="4" t="s">
        <v>334</v>
      </c>
      <c r="C1579" s="4" t="s">
        <v>892</v>
      </c>
      <c r="D1579" s="4"/>
      <c r="E1579" s="4"/>
      <c r="F1579" s="4" t="s">
        <v>1021</v>
      </c>
      <c r="G1579" s="4" t="s">
        <v>336</v>
      </c>
      <c r="H1579" s="4" t="s">
        <v>289</v>
      </c>
      <c r="I1579" s="4">
        <v>0.5</v>
      </c>
      <c r="J1579" s="21">
        <v>60</v>
      </c>
      <c r="K1579" s="21">
        <v>0</v>
      </c>
      <c r="L1579" s="5">
        <v>0</v>
      </c>
      <c r="M1579" s="4"/>
      <c r="N1579" s="4"/>
      <c r="O1579" s="5"/>
      <c r="P1579" s="5"/>
      <c r="Q1579" s="21">
        <v>30</v>
      </c>
      <c r="R1579" s="21">
        <v>0</v>
      </c>
      <c r="S1579" s="5">
        <f t="shared" si="99"/>
        <v>72956.248760151997</v>
      </c>
      <c r="T1579" cm="1">
        <f t="array" ref="T1579">IF(OR(B1579="MAL ALIMI", B1579="ÜRETİM GİRİŞ"), MIN(I1579, MAX(0, I1579 + SUM(SUMIFS($I$1:I1578, $C$1:C1578, C1579, $B$1:B1578, {"MAL ALIMI","ÜRETİM GİRİŞ"})) - VLOOKUP(C1579, 'STOK RAPORU'!$C$2:$I$1000, 4, 0))), 0)</f>
        <v>0</v>
      </c>
      <c r="U1579" s="22">
        <f t="shared" si="96"/>
        <v>0</v>
      </c>
      <c r="V1579">
        <f t="shared" si="97"/>
        <v>0</v>
      </c>
      <c r="W1579" s="22">
        <f t="shared" si="98"/>
        <v>0</v>
      </c>
    </row>
    <row r="1580" spans="1:23" hidden="1" x14ac:dyDescent="0.25">
      <c r="A1580" s="3">
        <v>45989</v>
      </c>
      <c r="B1580" s="4" t="s">
        <v>334</v>
      </c>
      <c r="C1580" s="4" t="s">
        <v>588</v>
      </c>
      <c r="D1580" s="4"/>
      <c r="E1580" s="4" t="s">
        <v>921</v>
      </c>
      <c r="F1580" s="4" t="s">
        <v>1022</v>
      </c>
      <c r="G1580" s="4" t="s">
        <v>336</v>
      </c>
      <c r="H1580" s="4" t="s">
        <v>380</v>
      </c>
      <c r="I1580" s="4">
        <v>1</v>
      </c>
      <c r="J1580" s="21">
        <v>350</v>
      </c>
      <c r="K1580" s="21">
        <v>350</v>
      </c>
      <c r="L1580" s="5">
        <v>0</v>
      </c>
      <c r="M1580" s="4"/>
      <c r="N1580" s="4"/>
      <c r="O1580" s="5"/>
      <c r="P1580" s="5"/>
      <c r="Q1580" s="21">
        <v>0</v>
      </c>
      <c r="R1580" s="21">
        <v>0</v>
      </c>
      <c r="S1580" s="5">
        <f t="shared" si="99"/>
        <v>72956.248760151997</v>
      </c>
      <c r="T1580" cm="1">
        <f t="array" ref="T1580">IF(OR(B1580="MAL ALIMI", B1580="ÜRETİM GİRİŞ"), MIN(I1580, MAX(0, I1580 + SUM(SUMIFS($I$1:I1579, $C$1:C1579, C1580, $B$1:B1579, {"MAL ALIMI","ÜRETİM GİRİŞ"})) - VLOOKUP(C1580, 'STOK RAPORU'!$C$2:$I$1000, 4, 0))), 0)</f>
        <v>0</v>
      </c>
      <c r="U1580" s="22">
        <f t="shared" si="96"/>
        <v>0</v>
      </c>
      <c r="V1580">
        <f t="shared" si="97"/>
        <v>0</v>
      </c>
      <c r="W1580" s="22">
        <f t="shared" si="98"/>
        <v>0</v>
      </c>
    </row>
    <row r="1581" spans="1:23" hidden="1" x14ac:dyDescent="0.25">
      <c r="A1581" s="3">
        <v>45989</v>
      </c>
      <c r="B1581" s="4" t="s">
        <v>946</v>
      </c>
      <c r="C1581" s="4"/>
      <c r="D1581" s="4"/>
      <c r="E1581" s="4" t="s">
        <v>921</v>
      </c>
      <c r="F1581" s="4"/>
      <c r="G1581" s="4" t="s">
        <v>946</v>
      </c>
      <c r="H1581" s="4" t="s">
        <v>380</v>
      </c>
      <c r="I1581" s="4">
        <v>1</v>
      </c>
      <c r="J1581" s="105">
        <v>221</v>
      </c>
      <c r="K1581" s="21">
        <v>0</v>
      </c>
      <c r="L1581" s="111">
        <v>221</v>
      </c>
      <c r="M1581" s="4"/>
      <c r="N1581" s="4"/>
      <c r="O1581" s="5"/>
      <c r="P1581" s="5"/>
      <c r="Q1581" s="21">
        <v>221</v>
      </c>
      <c r="R1581" s="21">
        <v>0</v>
      </c>
      <c r="S1581" s="5">
        <f t="shared" si="99"/>
        <v>73177.248760151997</v>
      </c>
      <c r="T1581" cm="1">
        <f t="array" ref="T1581">IF(OR(B1581="MAL ALIMI", B1581="ÜRETİM GİRİŞ"), MIN(I1581, MAX(0, I1581 + SUM(SUMIFS($I$1:I1580, $C$1:C1580, C1581, $B$1:B1580, {"MAL ALIMI","ÜRETİM GİRİŞ"})) - VLOOKUP(C1581, 'STOK RAPORU'!$C$2:$I$1000, 4, 0))), 0)</f>
        <v>0</v>
      </c>
      <c r="U1581" s="22">
        <f t="shared" si="96"/>
        <v>0</v>
      </c>
      <c r="V1581">
        <f t="shared" si="97"/>
        <v>0</v>
      </c>
      <c r="W1581" s="22">
        <f t="shared" si="98"/>
        <v>0</v>
      </c>
    </row>
    <row r="1582" spans="1:23" hidden="1" x14ac:dyDescent="0.25">
      <c r="A1582" s="3">
        <v>45990</v>
      </c>
      <c r="B1582" s="4" t="s">
        <v>298</v>
      </c>
      <c r="C1582" s="4" t="s">
        <v>463</v>
      </c>
      <c r="D1582" s="4"/>
      <c r="E1582" s="4" t="s">
        <v>855</v>
      </c>
      <c r="F1582" s="4" t="s">
        <v>1152</v>
      </c>
      <c r="G1582" s="4" t="s">
        <v>667</v>
      </c>
      <c r="H1582" s="4" t="s">
        <v>304</v>
      </c>
      <c r="I1582" s="4">
        <v>50</v>
      </c>
      <c r="J1582" s="21">
        <v>185</v>
      </c>
      <c r="K1582" s="21">
        <v>0</v>
      </c>
      <c r="L1582" s="5">
        <v>9250</v>
      </c>
      <c r="M1582" s="4"/>
      <c r="N1582" s="4"/>
      <c r="O1582" s="5"/>
      <c r="P1582" s="5"/>
      <c r="Q1582" s="21">
        <v>0</v>
      </c>
      <c r="R1582" s="21">
        <v>0</v>
      </c>
      <c r="S1582" s="5">
        <f t="shared" si="99"/>
        <v>73177.248760151997</v>
      </c>
      <c r="T1582" cm="1">
        <f t="array" ref="T1582">IF(OR(B1582="MAL ALIMI", B1582="ÜRETİM GİRİŞ"), MIN(I1582, MAX(0, I1582 + SUM(SUMIFS($I$1:I1581, $C$1:C1581, C1582, $B$1:B1581, {"MAL ALIMI","ÜRETİM GİRİŞ"})) - VLOOKUP(C1582, 'STOK RAPORU'!$C$2:$I$1000, 4, 0))), 0)</f>
        <v>0</v>
      </c>
      <c r="U1582" s="22">
        <f t="shared" si="96"/>
        <v>0</v>
      </c>
      <c r="V1582">
        <f t="shared" si="97"/>
        <v>9250</v>
      </c>
      <c r="W1582" s="22">
        <f t="shared" si="98"/>
        <v>9250</v>
      </c>
    </row>
    <row r="1583" spans="1:23" hidden="1" x14ac:dyDescent="0.25">
      <c r="A1583" s="3">
        <v>45990</v>
      </c>
      <c r="B1583" s="4" t="s">
        <v>298</v>
      </c>
      <c r="C1583" s="4" t="s">
        <v>160</v>
      </c>
      <c r="D1583" s="4"/>
      <c r="E1583" s="4" t="s">
        <v>855</v>
      </c>
      <c r="F1583" s="4" t="s">
        <v>1152</v>
      </c>
      <c r="G1583" s="4" t="s">
        <v>667</v>
      </c>
      <c r="H1583" s="4" t="s">
        <v>304</v>
      </c>
      <c r="I1583" s="4">
        <v>60</v>
      </c>
      <c r="J1583" s="21">
        <v>150</v>
      </c>
      <c r="K1583" s="21">
        <v>0</v>
      </c>
      <c r="L1583" s="5">
        <v>9000</v>
      </c>
      <c r="M1583" s="4"/>
      <c r="N1583" s="4"/>
      <c r="O1583" s="5"/>
      <c r="P1583" s="5"/>
      <c r="Q1583" s="21">
        <v>0</v>
      </c>
      <c r="R1583" s="21">
        <v>0</v>
      </c>
      <c r="S1583" s="5">
        <f t="shared" si="99"/>
        <v>73177.248760151997</v>
      </c>
      <c r="T1583" cm="1">
        <f t="array" ref="T1583">IF(OR(B1583="MAL ALIMI", B1583="ÜRETİM GİRİŞ"), MIN(I1583, MAX(0, I1583 + SUM(SUMIFS($I$1:I1582, $C$1:C1582, C1583, $B$1:B1582, {"MAL ALIMI","ÜRETİM GİRİŞ"})) - VLOOKUP(C1583, 'STOK RAPORU'!$C$2:$I$1000, 4, 0))), 0)</f>
        <v>0</v>
      </c>
      <c r="U1583" s="22">
        <f t="shared" si="96"/>
        <v>0</v>
      </c>
      <c r="V1583">
        <f t="shared" si="97"/>
        <v>9000</v>
      </c>
      <c r="W1583" s="22">
        <f t="shared" si="98"/>
        <v>9000</v>
      </c>
    </row>
    <row r="1584" spans="1:23" hidden="1" x14ac:dyDescent="0.25">
      <c r="A1584" s="3">
        <v>45990</v>
      </c>
      <c r="B1584" s="4" t="s">
        <v>298</v>
      </c>
      <c r="C1584" s="4" t="s">
        <v>161</v>
      </c>
      <c r="D1584" s="4"/>
      <c r="E1584" s="4" t="s">
        <v>855</v>
      </c>
      <c r="F1584" s="4" t="s">
        <v>1152</v>
      </c>
      <c r="G1584" s="4" t="s">
        <v>667</v>
      </c>
      <c r="H1584" s="4" t="s">
        <v>304</v>
      </c>
      <c r="I1584" s="4">
        <v>60</v>
      </c>
      <c r="J1584" s="21">
        <v>130</v>
      </c>
      <c r="K1584" s="21">
        <v>0</v>
      </c>
      <c r="L1584" s="5">
        <v>7800</v>
      </c>
      <c r="M1584" s="4"/>
      <c r="N1584" s="4"/>
      <c r="O1584" s="5"/>
      <c r="P1584" s="5"/>
      <c r="Q1584" s="21">
        <v>0</v>
      </c>
      <c r="R1584" s="21">
        <v>0</v>
      </c>
      <c r="S1584" s="5">
        <f t="shared" si="99"/>
        <v>73177.248760151997</v>
      </c>
      <c r="T1584" cm="1">
        <f t="array" ref="T1584">IF(OR(B1584="MAL ALIMI", B1584="ÜRETİM GİRİŞ"), MIN(I1584, MAX(0, I1584 + SUM(SUMIFS($I$1:I1583, $C$1:C1583, C1584, $B$1:B1583, {"MAL ALIMI","ÜRETİM GİRİŞ"})) - VLOOKUP(C1584, 'STOK RAPORU'!$C$2:$I$1000, 4, 0))), 0)</f>
        <v>0</v>
      </c>
      <c r="U1584" s="22">
        <f t="shared" si="96"/>
        <v>0</v>
      </c>
      <c r="V1584">
        <f t="shared" si="97"/>
        <v>7800</v>
      </c>
      <c r="W1584" s="22">
        <f t="shared" si="98"/>
        <v>7800</v>
      </c>
    </row>
    <row r="1585" spans="1:23" hidden="1" x14ac:dyDescent="0.25">
      <c r="A1585" s="3">
        <v>45990</v>
      </c>
      <c r="B1585" s="4" t="s">
        <v>298</v>
      </c>
      <c r="C1585" s="4" t="s">
        <v>167</v>
      </c>
      <c r="D1585" s="4"/>
      <c r="E1585" s="4" t="s">
        <v>855</v>
      </c>
      <c r="F1585" s="4" t="s">
        <v>1152</v>
      </c>
      <c r="G1585" s="4" t="s">
        <v>667</v>
      </c>
      <c r="H1585" s="4" t="s">
        <v>304</v>
      </c>
      <c r="I1585" s="4">
        <v>60</v>
      </c>
      <c r="J1585" s="21">
        <v>125</v>
      </c>
      <c r="K1585" s="21">
        <v>0</v>
      </c>
      <c r="L1585" s="5">
        <v>7500</v>
      </c>
      <c r="M1585" s="4"/>
      <c r="N1585" s="4"/>
      <c r="O1585" s="5"/>
      <c r="P1585" s="5"/>
      <c r="Q1585" s="21">
        <v>0</v>
      </c>
      <c r="R1585" s="21">
        <v>0</v>
      </c>
      <c r="S1585" s="5">
        <f t="shared" si="99"/>
        <v>73177.248760151997</v>
      </c>
      <c r="T1585" cm="1">
        <f t="array" ref="T1585">IF(OR(B1585="MAL ALIMI", B1585="ÜRETİM GİRİŞ"), MIN(I1585, MAX(0, I1585 + SUM(SUMIFS($I$1:I1584, $C$1:C1584, C1585, $B$1:B1584, {"MAL ALIMI","ÜRETİM GİRİŞ"})) - VLOOKUP(C1585, 'STOK RAPORU'!$C$2:$I$1000, 4, 0))), 0)</f>
        <v>28.680000000000007</v>
      </c>
      <c r="U1585" s="22">
        <f t="shared" si="96"/>
        <v>3585.0000000000009</v>
      </c>
      <c r="V1585">
        <f t="shared" si="97"/>
        <v>7500</v>
      </c>
      <c r="W1585" s="22">
        <f t="shared" si="98"/>
        <v>3914.9999999999991</v>
      </c>
    </row>
    <row r="1586" spans="1:23" hidden="1" x14ac:dyDescent="0.25">
      <c r="A1586" s="3">
        <v>45990</v>
      </c>
      <c r="B1586" s="4" t="s">
        <v>298</v>
      </c>
      <c r="C1586" s="4" t="s">
        <v>156</v>
      </c>
      <c r="D1586" s="4"/>
      <c r="E1586" s="4" t="s">
        <v>855</v>
      </c>
      <c r="F1586" s="4" t="s">
        <v>1152</v>
      </c>
      <c r="G1586" s="4" t="s">
        <v>667</v>
      </c>
      <c r="H1586" s="4" t="s">
        <v>304</v>
      </c>
      <c r="I1586" s="4">
        <v>58.05</v>
      </c>
      <c r="J1586" s="21">
        <v>98.191199999999995</v>
      </c>
      <c r="K1586" s="21">
        <v>0</v>
      </c>
      <c r="L1586" s="5">
        <v>5699.9991599999994</v>
      </c>
      <c r="M1586" s="4"/>
      <c r="N1586" s="4"/>
      <c r="O1586" s="5"/>
      <c r="P1586" s="5"/>
      <c r="Q1586" s="21">
        <v>0</v>
      </c>
      <c r="R1586" s="21">
        <v>0</v>
      </c>
      <c r="S1586" s="5">
        <f t="shared" si="99"/>
        <v>73177.248760151997</v>
      </c>
      <c r="T1586" cm="1">
        <f t="array" ref="T1586">IF(OR(B1586="MAL ALIMI", B1586="ÜRETİM GİRİŞ"), MIN(I1586, MAX(0, I1586 + SUM(SUMIFS($I$1:I1585, $C$1:C1585, C1586, $B$1:B1585, {"MAL ALIMI","ÜRETİM GİRİŞ"})) - VLOOKUP(C1586, 'STOK RAPORU'!$C$2:$I$1000, 4, 0))), 0)</f>
        <v>0</v>
      </c>
      <c r="U1586" s="22">
        <f t="shared" si="96"/>
        <v>0</v>
      </c>
      <c r="V1586">
        <f t="shared" si="97"/>
        <v>5699.9991599999994</v>
      </c>
      <c r="W1586" s="22">
        <f t="shared" si="98"/>
        <v>5699.9991599999994</v>
      </c>
    </row>
    <row r="1587" spans="1:23" hidden="1" x14ac:dyDescent="0.25">
      <c r="A1587" s="3">
        <v>45990</v>
      </c>
      <c r="B1587" s="4" t="s">
        <v>298</v>
      </c>
      <c r="C1587" s="4" t="s">
        <v>157</v>
      </c>
      <c r="D1587" s="4"/>
      <c r="E1587" s="4" t="s">
        <v>855</v>
      </c>
      <c r="F1587" s="4" t="s">
        <v>1152</v>
      </c>
      <c r="G1587" s="4" t="s">
        <v>667</v>
      </c>
      <c r="H1587" s="4" t="s">
        <v>304</v>
      </c>
      <c r="I1587" s="4">
        <v>58.05</v>
      </c>
      <c r="J1587" s="21">
        <v>98.191199999999995</v>
      </c>
      <c r="K1587" s="21">
        <v>0</v>
      </c>
      <c r="L1587" s="5">
        <v>5699.9991599999994</v>
      </c>
      <c r="M1587" s="4"/>
      <c r="N1587" s="4"/>
      <c r="O1587" s="5"/>
      <c r="P1587" s="5"/>
      <c r="Q1587" s="21">
        <v>0</v>
      </c>
      <c r="R1587" s="21">
        <v>0</v>
      </c>
      <c r="S1587" s="5">
        <f t="shared" si="99"/>
        <v>73177.248760151997</v>
      </c>
      <c r="T1587" cm="1">
        <f t="array" ref="T1587">IF(OR(B1587="MAL ALIMI", B1587="ÜRETİM GİRİŞ"), MIN(I1587, MAX(0, I1587 + SUM(SUMIFS($I$1:I1586, $C$1:C1586, C1587, $B$1:B1586, {"MAL ALIMI","ÜRETİM GİRİŞ"})) - VLOOKUP(C1587, 'STOK RAPORU'!$C$2:$I$1000, 4, 0))), 0)</f>
        <v>0</v>
      </c>
      <c r="U1587" s="22">
        <f t="shared" si="96"/>
        <v>0</v>
      </c>
      <c r="V1587">
        <f t="shared" si="97"/>
        <v>5699.9991599999994</v>
      </c>
      <c r="W1587" s="22">
        <f t="shared" si="98"/>
        <v>5699.9991599999994</v>
      </c>
    </row>
    <row r="1588" spans="1:23" hidden="1" x14ac:dyDescent="0.25">
      <c r="A1588" s="3">
        <v>45990</v>
      </c>
      <c r="B1588" s="4" t="s">
        <v>298</v>
      </c>
      <c r="C1588" s="4" t="s">
        <v>158</v>
      </c>
      <c r="D1588" s="4"/>
      <c r="E1588" s="4" t="s">
        <v>855</v>
      </c>
      <c r="F1588" s="4" t="s">
        <v>1152</v>
      </c>
      <c r="G1588" s="4" t="s">
        <v>667</v>
      </c>
      <c r="H1588" s="4" t="s">
        <v>304</v>
      </c>
      <c r="I1588" s="4">
        <v>58.050000000000004</v>
      </c>
      <c r="J1588" s="21">
        <v>67.183400000000006</v>
      </c>
      <c r="K1588" s="21">
        <v>0</v>
      </c>
      <c r="L1588" s="5">
        <v>3899.9963700000008</v>
      </c>
      <c r="M1588" s="4"/>
      <c r="N1588" s="4"/>
      <c r="O1588" s="5"/>
      <c r="P1588" s="5"/>
      <c r="Q1588" s="21">
        <v>0</v>
      </c>
      <c r="R1588" s="21">
        <v>0</v>
      </c>
      <c r="S1588" s="5">
        <f t="shared" si="99"/>
        <v>73177.248760151997</v>
      </c>
      <c r="T1588" cm="1">
        <f t="array" ref="T1588">IF(OR(B1588="MAL ALIMI", B1588="ÜRETİM GİRİŞ"), MIN(I1588, MAX(0, I1588 + SUM(SUMIFS($I$1:I1587, $C$1:C1587, C1588, $B$1:B1587, {"MAL ALIMI","ÜRETİM GİRİŞ"})) - VLOOKUP(C1588, 'STOK RAPORU'!$C$2:$I$1000, 4, 0))), 0)</f>
        <v>0</v>
      </c>
      <c r="U1588" s="22">
        <f t="shared" si="96"/>
        <v>0</v>
      </c>
      <c r="V1588">
        <f t="shared" si="97"/>
        <v>3899.9963700000008</v>
      </c>
      <c r="W1588" s="22">
        <f t="shared" si="98"/>
        <v>3899.9963700000008</v>
      </c>
    </row>
    <row r="1589" spans="1:23" hidden="1" x14ac:dyDescent="0.25">
      <c r="A1589" s="3">
        <v>45990</v>
      </c>
      <c r="B1589" s="4" t="s">
        <v>298</v>
      </c>
      <c r="C1589" s="4" t="s">
        <v>98</v>
      </c>
      <c r="D1589" s="4"/>
      <c r="E1589" s="4" t="s">
        <v>855</v>
      </c>
      <c r="F1589" s="4" t="s">
        <v>1152</v>
      </c>
      <c r="G1589" s="4" t="s">
        <v>667</v>
      </c>
      <c r="H1589" s="4" t="s">
        <v>304</v>
      </c>
      <c r="I1589" s="4">
        <v>10</v>
      </c>
      <c r="J1589" s="21">
        <v>180</v>
      </c>
      <c r="K1589" s="21">
        <v>0</v>
      </c>
      <c r="L1589" s="5">
        <v>1800</v>
      </c>
      <c r="M1589" s="4"/>
      <c r="N1589" s="4"/>
      <c r="O1589" s="5"/>
      <c r="P1589" s="5"/>
      <c r="Q1589" s="21">
        <v>0</v>
      </c>
      <c r="R1589" s="21">
        <v>0</v>
      </c>
      <c r="S1589" s="5">
        <f t="shared" si="99"/>
        <v>73177.248760151997</v>
      </c>
      <c r="T1589" cm="1">
        <f t="array" ref="T1589">IF(OR(B1589="MAL ALIMI", B1589="ÜRETİM GİRİŞ"), MIN(I1589, MAX(0, I1589 + SUM(SUMIFS($I$1:I1588, $C$1:C1588, C1589, $B$1:B1588, {"MAL ALIMI","ÜRETİM GİRİŞ"})) - VLOOKUP(C1589, 'STOK RAPORU'!$C$2:$I$1000, 4, 0))), 0)</f>
        <v>6.8553888888888892</v>
      </c>
      <c r="U1589" s="22">
        <f t="shared" si="96"/>
        <v>1233.97</v>
      </c>
      <c r="V1589">
        <f t="shared" si="97"/>
        <v>1800</v>
      </c>
      <c r="W1589" s="22">
        <f t="shared" si="98"/>
        <v>566.03</v>
      </c>
    </row>
    <row r="1590" spans="1:23" hidden="1" x14ac:dyDescent="0.25">
      <c r="A1590" s="3">
        <v>45990</v>
      </c>
      <c r="B1590" s="4" t="s">
        <v>298</v>
      </c>
      <c r="C1590" s="4" t="s">
        <v>140</v>
      </c>
      <c r="D1590" s="4"/>
      <c r="E1590" s="4" t="s">
        <v>855</v>
      </c>
      <c r="F1590" s="4" t="s">
        <v>1152</v>
      </c>
      <c r="G1590" s="4" t="s">
        <v>667</v>
      </c>
      <c r="H1590" s="4" t="s">
        <v>304</v>
      </c>
      <c r="I1590" s="4">
        <v>10</v>
      </c>
      <c r="J1590" s="21">
        <v>125</v>
      </c>
      <c r="K1590" s="21">
        <v>0</v>
      </c>
      <c r="L1590" s="5">
        <v>1250</v>
      </c>
      <c r="M1590" s="4"/>
      <c r="N1590" s="4"/>
      <c r="O1590" s="5"/>
      <c r="P1590" s="5"/>
      <c r="Q1590" s="21">
        <v>0</v>
      </c>
      <c r="R1590" s="21">
        <v>0</v>
      </c>
      <c r="S1590" s="5">
        <f t="shared" si="99"/>
        <v>73177.248760151997</v>
      </c>
      <c r="T1590" cm="1">
        <f t="array" ref="T1590">IF(OR(B1590="MAL ALIMI", B1590="ÜRETİM GİRİŞ"), MIN(I1590, MAX(0, I1590 + SUM(SUMIFS($I$1:I1589, $C$1:C1589, C1590, $B$1:B1589, {"MAL ALIMI","ÜRETİM GİRİŞ"})) - VLOOKUP(C1590, 'STOK RAPORU'!$C$2:$I$1000, 4, 0))), 0)</f>
        <v>5.3465000000000025</v>
      </c>
      <c r="U1590" s="22">
        <f t="shared" si="96"/>
        <v>668.31250000000034</v>
      </c>
      <c r="V1590">
        <f t="shared" si="97"/>
        <v>1250</v>
      </c>
      <c r="W1590" s="22">
        <f t="shared" si="98"/>
        <v>581.68749999999966</v>
      </c>
    </row>
    <row r="1591" spans="1:23" hidden="1" x14ac:dyDescent="0.25">
      <c r="A1591" s="3">
        <v>45990</v>
      </c>
      <c r="B1591" s="4" t="s">
        <v>298</v>
      </c>
      <c r="C1591" s="4" t="s">
        <v>1150</v>
      </c>
      <c r="D1591" s="4"/>
      <c r="E1591" s="4" t="s">
        <v>855</v>
      </c>
      <c r="F1591" s="4" t="s">
        <v>1152</v>
      </c>
      <c r="G1591" s="4" t="s">
        <v>667</v>
      </c>
      <c r="H1591" s="4" t="s">
        <v>304</v>
      </c>
      <c r="I1591" s="4">
        <v>5</v>
      </c>
      <c r="J1591" s="21">
        <v>270</v>
      </c>
      <c r="K1591" s="21">
        <v>0</v>
      </c>
      <c r="L1591" s="5">
        <v>1350</v>
      </c>
      <c r="M1591" s="4"/>
      <c r="N1591" s="4"/>
      <c r="O1591" s="5"/>
      <c r="P1591" s="5"/>
      <c r="Q1591" s="21">
        <v>0</v>
      </c>
      <c r="R1591" s="21">
        <v>0</v>
      </c>
      <c r="S1591" s="5">
        <f t="shared" si="99"/>
        <v>73177.248760151997</v>
      </c>
      <c r="T1591" cm="1">
        <f t="array" ref="T1591">IF(OR(B1591="MAL ALIMI", B1591="ÜRETİM GİRİŞ"), MIN(I1591, MAX(0, I1591 + SUM(SUMIFS($I$1:I1590, $C$1:C1590, C1591, $B$1:B1590, {"MAL ALIMI","ÜRETİM GİRİŞ"})) - VLOOKUP(C1591, 'STOK RAPORU'!$C$2:$I$1000, 4, 0))), 0)</f>
        <v>0</v>
      </c>
      <c r="U1591" s="22">
        <f t="shared" si="96"/>
        <v>0</v>
      </c>
      <c r="V1591">
        <f t="shared" si="97"/>
        <v>1350</v>
      </c>
      <c r="W1591" s="22">
        <f t="shared" si="98"/>
        <v>1350</v>
      </c>
    </row>
    <row r="1592" spans="1:23" hidden="1" x14ac:dyDescent="0.25">
      <c r="A1592" s="3">
        <v>45990</v>
      </c>
      <c r="B1592" s="4" t="s">
        <v>298</v>
      </c>
      <c r="C1592" s="4" t="s">
        <v>529</v>
      </c>
      <c r="D1592" s="4"/>
      <c r="E1592" s="4" t="s">
        <v>855</v>
      </c>
      <c r="F1592" s="4" t="s">
        <v>1152</v>
      </c>
      <c r="G1592" s="4" t="s">
        <v>667</v>
      </c>
      <c r="H1592" s="4" t="s">
        <v>304</v>
      </c>
      <c r="I1592" s="4">
        <v>10</v>
      </c>
      <c r="J1592" s="21">
        <v>125</v>
      </c>
      <c r="K1592" s="21">
        <v>0</v>
      </c>
      <c r="L1592" s="5">
        <v>1250</v>
      </c>
      <c r="M1592" s="4"/>
      <c r="N1592" s="4"/>
      <c r="O1592" s="5"/>
      <c r="P1592" s="5"/>
      <c r="Q1592" s="21">
        <v>0</v>
      </c>
      <c r="R1592" s="21">
        <v>0</v>
      </c>
      <c r="S1592" s="5">
        <f t="shared" si="99"/>
        <v>73177.248760151997</v>
      </c>
      <c r="T1592" cm="1">
        <f t="array" ref="T1592">IF(OR(B1592="MAL ALIMI", B1592="ÜRETİM GİRİŞ"), MIN(I1592, MAX(0, I1592 + SUM(SUMIFS($I$1:I1591, $C$1:C1591, C1592, $B$1:B1591, {"MAL ALIMI","ÜRETİM GİRİŞ"})) - VLOOKUP(C1592, 'STOK RAPORU'!$C$2:$I$1000, 4, 0))), 0)</f>
        <v>5.6606666666666676</v>
      </c>
      <c r="U1592" s="22">
        <f t="shared" si="96"/>
        <v>707.58333333333348</v>
      </c>
      <c r="V1592">
        <f t="shared" si="97"/>
        <v>1250</v>
      </c>
      <c r="W1592" s="22">
        <f t="shared" si="98"/>
        <v>542.41666666666652</v>
      </c>
    </row>
    <row r="1593" spans="1:23" hidden="1" x14ac:dyDescent="0.25">
      <c r="A1593" s="3">
        <v>45990</v>
      </c>
      <c r="B1593" s="4" t="s">
        <v>298</v>
      </c>
      <c r="C1593" s="4" t="s">
        <v>1151</v>
      </c>
      <c r="D1593" s="4"/>
      <c r="E1593" s="4" t="s">
        <v>855</v>
      </c>
      <c r="F1593" s="4" t="s">
        <v>1152</v>
      </c>
      <c r="G1593" s="4" t="s">
        <v>667</v>
      </c>
      <c r="H1593" s="4" t="s">
        <v>304</v>
      </c>
      <c r="I1593" s="4">
        <v>10</v>
      </c>
      <c r="J1593" s="21">
        <v>180</v>
      </c>
      <c r="K1593" s="21">
        <v>0</v>
      </c>
      <c r="L1593" s="5">
        <v>1800</v>
      </c>
      <c r="M1593" s="4"/>
      <c r="N1593" s="4"/>
      <c r="O1593" s="5"/>
      <c r="P1593" s="5"/>
      <c r="Q1593" s="21">
        <v>0</v>
      </c>
      <c r="R1593" s="21">
        <v>0</v>
      </c>
      <c r="S1593" s="5">
        <f t="shared" si="99"/>
        <v>73177.248760151997</v>
      </c>
      <c r="T1593" cm="1">
        <f t="array" ref="T1593">IF(OR(B1593="MAL ALIMI", B1593="ÜRETİM GİRİŞ"), MIN(I1593, MAX(0, I1593 + SUM(SUMIFS($I$1:I1592, $C$1:C1592, C1593, $B$1:B1592, {"MAL ALIMI","ÜRETİM GİRİŞ"})) - VLOOKUP(C1593, 'STOK RAPORU'!$C$2:$I$1000, 4, 0))), 0)</f>
        <v>0</v>
      </c>
      <c r="U1593" s="22">
        <f t="shared" si="96"/>
        <v>0</v>
      </c>
      <c r="V1593">
        <f t="shared" si="97"/>
        <v>1800</v>
      </c>
      <c r="W1593" s="22">
        <f t="shared" si="98"/>
        <v>1800</v>
      </c>
    </row>
    <row r="1594" spans="1:23" hidden="1" x14ac:dyDescent="0.25">
      <c r="A1594" s="3">
        <v>45990</v>
      </c>
      <c r="B1594" s="4" t="s">
        <v>334</v>
      </c>
      <c r="C1594" s="4" t="s">
        <v>140</v>
      </c>
      <c r="D1594" s="4"/>
      <c r="E1594" s="4" t="s">
        <v>921</v>
      </c>
      <c r="F1594" s="4" t="s">
        <v>1025</v>
      </c>
      <c r="G1594" s="4" t="s">
        <v>336</v>
      </c>
      <c r="H1594" s="4" t="s">
        <v>380</v>
      </c>
      <c r="I1594" s="4">
        <v>0.122</v>
      </c>
      <c r="J1594" s="21">
        <v>250</v>
      </c>
      <c r="K1594" s="21">
        <v>30.5</v>
      </c>
      <c r="L1594" s="5">
        <v>0</v>
      </c>
      <c r="M1594" s="4"/>
      <c r="N1594" s="4"/>
      <c r="O1594" s="5"/>
      <c r="P1594" s="5"/>
      <c r="Q1594" s="21">
        <v>0</v>
      </c>
      <c r="R1594" s="21">
        <v>0</v>
      </c>
      <c r="S1594" s="5">
        <f t="shared" si="99"/>
        <v>73177.248760151997</v>
      </c>
      <c r="T1594" cm="1">
        <f t="array" ref="T1594">IF(OR(B1594="MAL ALIMI", B1594="ÜRETİM GİRİŞ"), MIN(I1594, MAX(0, I1594 + SUM(SUMIFS($I$1:I1593, $C$1:C1593, C1594, $B$1:B1593, {"MAL ALIMI","ÜRETİM GİRİŞ"})) - VLOOKUP(C1594, 'STOK RAPORU'!$C$2:$I$1000, 4, 0))), 0)</f>
        <v>0</v>
      </c>
      <c r="U1594" s="22">
        <f t="shared" si="96"/>
        <v>0</v>
      </c>
      <c r="V1594">
        <f t="shared" si="97"/>
        <v>0</v>
      </c>
      <c r="W1594" s="22">
        <f t="shared" si="98"/>
        <v>0</v>
      </c>
    </row>
    <row r="1595" spans="1:23" hidden="1" x14ac:dyDescent="0.25">
      <c r="A1595" s="3">
        <v>45990</v>
      </c>
      <c r="B1595" s="4" t="s">
        <v>334</v>
      </c>
      <c r="C1595" s="4" t="s">
        <v>523</v>
      </c>
      <c r="D1595" s="4"/>
      <c r="E1595" s="4" t="s">
        <v>921</v>
      </c>
      <c r="F1595" s="4" t="s">
        <v>1025</v>
      </c>
      <c r="G1595" s="4" t="s">
        <v>336</v>
      </c>
      <c r="H1595" s="4" t="s">
        <v>380</v>
      </c>
      <c r="I1595" s="4">
        <v>0.1</v>
      </c>
      <c r="J1595" s="21">
        <v>650</v>
      </c>
      <c r="K1595" s="21">
        <v>65</v>
      </c>
      <c r="L1595" s="5">
        <v>0</v>
      </c>
      <c r="M1595" s="4"/>
      <c r="N1595" s="4"/>
      <c r="O1595" s="5"/>
      <c r="P1595" s="5"/>
      <c r="Q1595" s="21">
        <v>0</v>
      </c>
      <c r="R1595" s="21">
        <v>0</v>
      </c>
      <c r="S1595" s="5">
        <f t="shared" si="99"/>
        <v>73177.248760151997</v>
      </c>
      <c r="T1595" cm="1">
        <f t="array" ref="T1595">IF(OR(B1595="MAL ALIMI", B1595="ÜRETİM GİRİŞ"), MIN(I1595, MAX(0, I1595 + SUM(SUMIFS($I$1:I1594, $C$1:C1594, C1595, $B$1:B1594, {"MAL ALIMI","ÜRETİM GİRİŞ"})) - VLOOKUP(C1595, 'STOK RAPORU'!$C$2:$I$1000, 4, 0))), 0)</f>
        <v>0</v>
      </c>
      <c r="U1595" s="22">
        <f t="shared" si="96"/>
        <v>0</v>
      </c>
      <c r="V1595">
        <f t="shared" si="97"/>
        <v>0</v>
      </c>
      <c r="W1595" s="22">
        <f t="shared" si="98"/>
        <v>0</v>
      </c>
    </row>
    <row r="1596" spans="1:23" hidden="1" x14ac:dyDescent="0.25">
      <c r="A1596" s="3">
        <v>45990</v>
      </c>
      <c r="B1596" s="4" t="s">
        <v>334</v>
      </c>
      <c r="C1596" s="4" t="s">
        <v>236</v>
      </c>
      <c r="D1596" s="4"/>
      <c r="E1596" s="4" t="s">
        <v>921</v>
      </c>
      <c r="F1596" s="4" t="s">
        <v>1029</v>
      </c>
      <c r="G1596" s="4" t="s">
        <v>336</v>
      </c>
      <c r="H1596" s="4" t="s">
        <v>380</v>
      </c>
      <c r="I1596" s="4">
        <v>0.28000000000000003</v>
      </c>
      <c r="J1596" s="21">
        <v>350</v>
      </c>
      <c r="K1596" s="21">
        <v>98.000000000000014</v>
      </c>
      <c r="L1596" s="5">
        <v>0</v>
      </c>
      <c r="M1596" s="4"/>
      <c r="N1596" s="4"/>
      <c r="O1596" s="5"/>
      <c r="P1596" s="5"/>
      <c r="Q1596" s="21">
        <v>0</v>
      </c>
      <c r="R1596" s="21">
        <v>0</v>
      </c>
      <c r="S1596" s="5">
        <f t="shared" si="99"/>
        <v>73177.248760151997</v>
      </c>
      <c r="T1596" cm="1">
        <f t="array" ref="T1596">IF(OR(B1596="MAL ALIMI", B1596="ÜRETİM GİRİŞ"), MIN(I1596, MAX(0, I1596 + SUM(SUMIFS($I$1:I1595, $C$1:C1595, C1596, $B$1:B1595, {"MAL ALIMI","ÜRETİM GİRİŞ"})) - VLOOKUP(C1596, 'STOK RAPORU'!$C$2:$I$1000, 4, 0))), 0)</f>
        <v>0</v>
      </c>
      <c r="U1596" s="22">
        <f t="shared" si="96"/>
        <v>0</v>
      </c>
      <c r="V1596">
        <f t="shared" si="97"/>
        <v>0</v>
      </c>
      <c r="W1596" s="22">
        <f t="shared" si="98"/>
        <v>0</v>
      </c>
    </row>
    <row r="1597" spans="1:23" hidden="1" x14ac:dyDescent="0.25">
      <c r="A1597" s="3">
        <v>45990</v>
      </c>
      <c r="B1597" s="4" t="s">
        <v>334</v>
      </c>
      <c r="C1597" s="4" t="s">
        <v>598</v>
      </c>
      <c r="D1597" s="4"/>
      <c r="E1597" s="4" t="s">
        <v>921</v>
      </c>
      <c r="F1597" s="4" t="s">
        <v>1030</v>
      </c>
      <c r="G1597" s="4" t="s">
        <v>336</v>
      </c>
      <c r="H1597" s="4" t="s">
        <v>380</v>
      </c>
      <c r="I1597" s="4">
        <v>0.47</v>
      </c>
      <c r="J1597" s="21">
        <v>290</v>
      </c>
      <c r="K1597" s="21">
        <v>136.29999999999998</v>
      </c>
      <c r="L1597" s="5">
        <v>0</v>
      </c>
      <c r="M1597" s="4"/>
      <c r="N1597" s="4"/>
      <c r="O1597" s="5"/>
      <c r="P1597" s="5"/>
      <c r="Q1597" s="21">
        <v>0</v>
      </c>
      <c r="R1597" s="21">
        <v>0</v>
      </c>
      <c r="S1597" s="5">
        <f t="shared" si="99"/>
        <v>73177.248760151997</v>
      </c>
      <c r="T1597" cm="1">
        <f t="array" ref="T1597">IF(OR(B1597="MAL ALIMI", B1597="ÜRETİM GİRİŞ"), MIN(I1597, MAX(0, I1597 + SUM(SUMIFS($I$1:I1596, $C$1:C1596, C1597, $B$1:B1596, {"MAL ALIMI","ÜRETİM GİRİŞ"})) - VLOOKUP(C1597, 'STOK RAPORU'!$C$2:$I$1000, 4, 0))), 0)</f>
        <v>0</v>
      </c>
      <c r="U1597" s="22">
        <f t="shared" si="96"/>
        <v>0</v>
      </c>
      <c r="V1597">
        <f t="shared" si="97"/>
        <v>0</v>
      </c>
      <c r="W1597" s="22">
        <f t="shared" si="98"/>
        <v>0</v>
      </c>
    </row>
    <row r="1598" spans="1:23" hidden="1" x14ac:dyDescent="0.25">
      <c r="A1598" s="3">
        <v>45990</v>
      </c>
      <c r="B1598" s="4" t="s">
        <v>334</v>
      </c>
      <c r="C1598" s="4" t="s">
        <v>647</v>
      </c>
      <c r="D1598" s="4"/>
      <c r="E1598" s="4" t="s">
        <v>921</v>
      </c>
      <c r="F1598" s="4" t="s">
        <v>1031</v>
      </c>
      <c r="G1598" s="4" t="s">
        <v>336</v>
      </c>
      <c r="H1598" s="4" t="s">
        <v>380</v>
      </c>
      <c r="I1598" s="4">
        <v>0.25</v>
      </c>
      <c r="J1598" s="21">
        <v>400</v>
      </c>
      <c r="K1598" s="21">
        <v>100</v>
      </c>
      <c r="L1598" s="5">
        <v>0</v>
      </c>
      <c r="M1598" s="4"/>
      <c r="N1598" s="4"/>
      <c r="O1598" s="5"/>
      <c r="P1598" s="5"/>
      <c r="Q1598" s="21">
        <v>0</v>
      </c>
      <c r="R1598" s="21">
        <v>0</v>
      </c>
      <c r="S1598" s="5">
        <f t="shared" si="99"/>
        <v>73177.248760151997</v>
      </c>
      <c r="T1598" cm="1">
        <f t="array" ref="T1598">IF(OR(B1598="MAL ALIMI", B1598="ÜRETİM GİRİŞ"), MIN(I1598, MAX(0, I1598 + SUM(SUMIFS($I$1:I1597, $C$1:C1597, C1598, $B$1:B1597, {"MAL ALIMI","ÜRETİM GİRİŞ"})) - VLOOKUP(C1598, 'STOK RAPORU'!$C$2:$I$1000, 4, 0))), 0)</f>
        <v>0</v>
      </c>
      <c r="U1598" s="22">
        <f t="shared" si="96"/>
        <v>0</v>
      </c>
      <c r="V1598">
        <f t="shared" si="97"/>
        <v>0</v>
      </c>
      <c r="W1598" s="22">
        <f t="shared" si="98"/>
        <v>0</v>
      </c>
    </row>
    <row r="1599" spans="1:23" hidden="1" x14ac:dyDescent="0.25">
      <c r="A1599" s="3">
        <v>45990</v>
      </c>
      <c r="B1599" s="4" t="s">
        <v>334</v>
      </c>
      <c r="C1599" s="4" t="s">
        <v>620</v>
      </c>
      <c r="D1599" s="4"/>
      <c r="E1599" s="4" t="s">
        <v>921</v>
      </c>
      <c r="F1599" s="4" t="s">
        <v>1032</v>
      </c>
      <c r="G1599" s="4" t="s">
        <v>336</v>
      </c>
      <c r="H1599" s="4" t="s">
        <v>380</v>
      </c>
      <c r="I1599" s="4">
        <v>0.42</v>
      </c>
      <c r="J1599" s="21">
        <v>195</v>
      </c>
      <c r="K1599" s="21">
        <v>81.899999999999991</v>
      </c>
      <c r="L1599" s="5">
        <v>0</v>
      </c>
      <c r="M1599" s="4"/>
      <c r="N1599" s="4"/>
      <c r="O1599" s="5"/>
      <c r="P1599" s="5"/>
      <c r="Q1599" s="21">
        <v>0</v>
      </c>
      <c r="R1599" s="21">
        <v>0</v>
      </c>
      <c r="S1599" s="5">
        <f t="shared" si="99"/>
        <v>73177.248760151997</v>
      </c>
      <c r="T1599" cm="1">
        <f t="array" ref="T1599">IF(OR(B1599="MAL ALIMI", B1599="ÜRETİM GİRİŞ"), MIN(I1599, MAX(0, I1599 + SUM(SUMIFS($I$1:I1598, $C$1:C1598, C1599, $B$1:B1598, {"MAL ALIMI","ÜRETİM GİRİŞ"})) - VLOOKUP(C1599, 'STOK RAPORU'!$C$2:$I$1000, 4, 0))), 0)</f>
        <v>0</v>
      </c>
      <c r="U1599" s="22">
        <f t="shared" si="96"/>
        <v>0</v>
      </c>
      <c r="V1599">
        <f t="shared" si="97"/>
        <v>0</v>
      </c>
      <c r="W1599" s="22">
        <f t="shared" si="98"/>
        <v>0</v>
      </c>
    </row>
    <row r="1600" spans="1:23" hidden="1" x14ac:dyDescent="0.25">
      <c r="A1600" s="3">
        <v>45990</v>
      </c>
      <c r="B1600" s="4" t="s">
        <v>334</v>
      </c>
      <c r="C1600" s="4" t="s">
        <v>693</v>
      </c>
      <c r="D1600" s="4"/>
      <c r="E1600" s="4" t="s">
        <v>921</v>
      </c>
      <c r="F1600" s="4" t="s">
        <v>1033</v>
      </c>
      <c r="G1600" s="4" t="s">
        <v>336</v>
      </c>
      <c r="H1600" s="4" t="s">
        <v>380</v>
      </c>
      <c r="I1600" s="4">
        <v>0.26</v>
      </c>
      <c r="J1600" s="21">
        <v>195</v>
      </c>
      <c r="K1600" s="21">
        <v>50.7</v>
      </c>
      <c r="L1600" s="5">
        <v>0</v>
      </c>
      <c r="M1600" s="4"/>
      <c r="N1600" s="4"/>
      <c r="O1600" s="5"/>
      <c r="P1600" s="5"/>
      <c r="Q1600" s="21">
        <v>0</v>
      </c>
      <c r="R1600" s="21">
        <v>0</v>
      </c>
      <c r="S1600" s="5">
        <f t="shared" si="99"/>
        <v>73177.248760151997</v>
      </c>
      <c r="T1600" cm="1">
        <f t="array" ref="T1600">IF(OR(B1600="MAL ALIMI", B1600="ÜRETİM GİRİŞ"), MIN(I1600, MAX(0, I1600 + SUM(SUMIFS($I$1:I1599, $C$1:C1599, C1600, $B$1:B1599, {"MAL ALIMI","ÜRETİM GİRİŞ"})) - VLOOKUP(C1600, 'STOK RAPORU'!$C$2:$I$1000, 4, 0))), 0)</f>
        <v>0</v>
      </c>
      <c r="U1600" s="22">
        <f t="shared" si="96"/>
        <v>0</v>
      </c>
      <c r="V1600">
        <f t="shared" si="97"/>
        <v>0</v>
      </c>
      <c r="W1600" s="22">
        <f t="shared" si="98"/>
        <v>0</v>
      </c>
    </row>
    <row r="1601" spans="1:23" hidden="1" x14ac:dyDescent="0.25">
      <c r="A1601" s="3">
        <v>45990</v>
      </c>
      <c r="B1601" s="4" t="s">
        <v>334</v>
      </c>
      <c r="C1601" s="4" t="s">
        <v>483</v>
      </c>
      <c r="D1601" s="4"/>
      <c r="E1601" s="4" t="s">
        <v>921</v>
      </c>
      <c r="F1601" s="4" t="s">
        <v>1034</v>
      </c>
      <c r="G1601" s="4" t="s">
        <v>336</v>
      </c>
      <c r="H1601" s="4" t="s">
        <v>380</v>
      </c>
      <c r="I1601" s="4">
        <v>0.154</v>
      </c>
      <c r="J1601" s="21">
        <v>650</v>
      </c>
      <c r="K1601" s="21">
        <v>100.1</v>
      </c>
      <c r="L1601" s="5">
        <v>0</v>
      </c>
      <c r="M1601" s="4"/>
      <c r="N1601" s="4"/>
      <c r="O1601" s="5"/>
      <c r="P1601" s="5"/>
      <c r="Q1601" s="21">
        <v>0</v>
      </c>
      <c r="R1601" s="21">
        <v>0</v>
      </c>
      <c r="S1601" s="5">
        <f t="shared" si="99"/>
        <v>73177.248760151997</v>
      </c>
      <c r="T1601" cm="1">
        <f t="array" ref="T1601">IF(OR(B1601="MAL ALIMI", B1601="ÜRETİM GİRİŞ"), MIN(I1601, MAX(0, I1601 + SUM(SUMIFS($I$1:I1600, $C$1:C1600, C1601, $B$1:B1600, {"MAL ALIMI","ÜRETİM GİRİŞ"})) - VLOOKUP(C1601, 'STOK RAPORU'!$C$2:$I$1000, 4, 0))), 0)</f>
        <v>0</v>
      </c>
      <c r="U1601" s="22">
        <f t="shared" si="96"/>
        <v>0</v>
      </c>
      <c r="V1601">
        <f t="shared" si="97"/>
        <v>0</v>
      </c>
      <c r="W1601" s="22">
        <f t="shared" si="98"/>
        <v>0</v>
      </c>
    </row>
    <row r="1602" spans="1:23" hidden="1" x14ac:dyDescent="0.25">
      <c r="A1602" s="3">
        <v>45990</v>
      </c>
      <c r="B1602" s="4" t="s">
        <v>334</v>
      </c>
      <c r="C1602" s="4" t="s">
        <v>1023</v>
      </c>
      <c r="D1602" s="4"/>
      <c r="E1602" s="4"/>
      <c r="F1602" s="4" t="s">
        <v>1035</v>
      </c>
      <c r="G1602" s="4" t="s">
        <v>336</v>
      </c>
      <c r="H1602" s="4" t="s">
        <v>289</v>
      </c>
      <c r="I1602" s="4">
        <v>0.65400000000000003</v>
      </c>
      <c r="J1602" s="21">
        <v>65</v>
      </c>
      <c r="K1602" s="21">
        <v>0</v>
      </c>
      <c r="L1602" s="5">
        <v>0</v>
      </c>
      <c r="M1602" s="4"/>
      <c r="N1602" s="4"/>
      <c r="O1602" s="5"/>
      <c r="P1602" s="5"/>
      <c r="Q1602" s="21">
        <v>42.510000000000005</v>
      </c>
      <c r="R1602" s="21">
        <v>0</v>
      </c>
      <c r="S1602" s="5">
        <f t="shared" si="99"/>
        <v>73219.758760151992</v>
      </c>
      <c r="T1602" cm="1">
        <f t="array" ref="T1602">IF(OR(B1602="MAL ALIMI", B1602="ÜRETİM GİRİŞ"), MIN(I1602, MAX(0, I1602 + SUM(SUMIFS($I$1:I1601, $C$1:C1601, C1602, $B$1:B1601, {"MAL ALIMI","ÜRETİM GİRİŞ"})) - VLOOKUP(C1602, 'STOK RAPORU'!$C$2:$I$1000, 4, 0))), 0)</f>
        <v>0</v>
      </c>
      <c r="U1602" s="22">
        <f t="shared" si="96"/>
        <v>0</v>
      </c>
      <c r="V1602">
        <f t="shared" si="97"/>
        <v>0</v>
      </c>
      <c r="W1602" s="22">
        <f t="shared" si="98"/>
        <v>0</v>
      </c>
    </row>
    <row r="1603" spans="1:23" hidden="1" x14ac:dyDescent="0.25">
      <c r="A1603" s="3">
        <v>45990</v>
      </c>
      <c r="B1603" s="4" t="s">
        <v>334</v>
      </c>
      <c r="C1603" s="4" t="s">
        <v>1024</v>
      </c>
      <c r="D1603" s="4"/>
      <c r="E1603" s="4"/>
      <c r="F1603" s="4" t="s">
        <v>1035</v>
      </c>
      <c r="G1603" s="4" t="s">
        <v>336</v>
      </c>
      <c r="H1603" s="4" t="s">
        <v>289</v>
      </c>
      <c r="I1603" s="4">
        <v>0.81799999999999995</v>
      </c>
      <c r="J1603" s="21">
        <v>65</v>
      </c>
      <c r="K1603" s="21">
        <v>0</v>
      </c>
      <c r="L1603" s="5">
        <v>0</v>
      </c>
      <c r="M1603" s="4"/>
      <c r="N1603" s="4"/>
      <c r="O1603" s="5"/>
      <c r="P1603" s="5"/>
      <c r="Q1603" s="21">
        <v>53.169999999999995</v>
      </c>
      <c r="R1603" s="21">
        <v>0</v>
      </c>
      <c r="S1603" s="5">
        <f t="shared" si="99"/>
        <v>73272.92876015199</v>
      </c>
      <c r="T1603" cm="1">
        <f t="array" ref="T1603">IF(OR(B1603="MAL ALIMI", B1603="ÜRETİM GİRİŞ"), MIN(I1603, MAX(0, I1603 + SUM(SUMIFS($I$1:I1602, $C$1:C1602, C1603, $B$1:B1602, {"MAL ALIMI","ÜRETİM GİRİŞ"})) - VLOOKUP(C1603, 'STOK RAPORU'!$C$2:$I$1000, 4, 0))), 0)</f>
        <v>0</v>
      </c>
      <c r="U1603" s="22">
        <f t="shared" ref="U1603:U1666" si="100">T1603*J1603</f>
        <v>0</v>
      </c>
      <c r="V1603">
        <f t="shared" ref="V1603:V1666" si="101">IF(OR(B1603="MAL ALIMI", B1603="ÜRETİM GİRİŞ"), I1603 * J1603, 0)</f>
        <v>0</v>
      </c>
      <c r="W1603" s="22">
        <f t="shared" ref="W1603:W1666" si="102">V1603-U1603</f>
        <v>0</v>
      </c>
    </row>
    <row r="1604" spans="1:23" hidden="1" x14ac:dyDescent="0.25">
      <c r="A1604" s="3">
        <v>45990</v>
      </c>
      <c r="B1604" s="4" t="s">
        <v>334</v>
      </c>
      <c r="C1604" s="4" t="s">
        <v>463</v>
      </c>
      <c r="D1604" s="4"/>
      <c r="E1604" s="4"/>
      <c r="F1604" s="4" t="s">
        <v>1035</v>
      </c>
      <c r="G1604" s="4" t="s">
        <v>336</v>
      </c>
      <c r="H1604" s="4" t="s">
        <v>289</v>
      </c>
      <c r="I1604" s="4">
        <v>0.25</v>
      </c>
      <c r="J1604" s="21">
        <v>370</v>
      </c>
      <c r="K1604" s="21">
        <v>0</v>
      </c>
      <c r="L1604" s="5">
        <v>0</v>
      </c>
      <c r="M1604" s="4"/>
      <c r="N1604" s="4"/>
      <c r="O1604" s="5"/>
      <c r="P1604" s="5"/>
      <c r="Q1604" s="21">
        <v>92.5</v>
      </c>
      <c r="R1604" s="21">
        <v>0</v>
      </c>
      <c r="S1604" s="5">
        <f t="shared" ref="S1604:S1667" si="103">S1603+Q1604-R1604</f>
        <v>73365.42876015199</v>
      </c>
      <c r="T1604" cm="1">
        <f t="array" ref="T1604">IF(OR(B1604="MAL ALIMI", B1604="ÜRETİM GİRİŞ"), MIN(I1604, MAX(0, I1604 + SUM(SUMIFS($I$1:I1603, $C$1:C1603, C1604, $B$1:B1603, {"MAL ALIMI","ÜRETİM GİRİŞ"})) - VLOOKUP(C1604, 'STOK RAPORU'!$C$2:$I$1000, 4, 0))), 0)</f>
        <v>0</v>
      </c>
      <c r="U1604" s="22">
        <f t="shared" si="100"/>
        <v>0</v>
      </c>
      <c r="V1604">
        <f t="shared" si="101"/>
        <v>0</v>
      </c>
      <c r="W1604" s="22">
        <f t="shared" si="102"/>
        <v>0</v>
      </c>
    </row>
    <row r="1605" spans="1:23" hidden="1" x14ac:dyDescent="0.25">
      <c r="A1605" s="3">
        <v>45990</v>
      </c>
      <c r="B1605" s="4" t="s">
        <v>334</v>
      </c>
      <c r="C1605" s="4" t="s">
        <v>126</v>
      </c>
      <c r="D1605" s="4"/>
      <c r="E1605" s="4"/>
      <c r="F1605" s="4" t="s">
        <v>1035</v>
      </c>
      <c r="G1605" s="4" t="s">
        <v>336</v>
      </c>
      <c r="H1605" s="4" t="s">
        <v>289</v>
      </c>
      <c r="I1605" s="4">
        <v>8.4000000000000005E-2</v>
      </c>
      <c r="J1605" s="21">
        <v>640</v>
      </c>
      <c r="K1605" s="21">
        <v>0</v>
      </c>
      <c r="L1605" s="5">
        <v>0</v>
      </c>
      <c r="M1605" s="4"/>
      <c r="N1605" s="4"/>
      <c r="O1605" s="5"/>
      <c r="P1605" s="5"/>
      <c r="Q1605" s="21">
        <v>53.760000000000005</v>
      </c>
      <c r="R1605" s="21">
        <v>0</v>
      </c>
      <c r="S1605" s="5">
        <f t="shared" si="103"/>
        <v>73419.188760151985</v>
      </c>
      <c r="T1605" cm="1">
        <f t="array" ref="T1605">IF(OR(B1605="MAL ALIMI", B1605="ÜRETİM GİRİŞ"), MIN(I1605, MAX(0, I1605 + SUM(SUMIFS($I$1:I1604, $C$1:C1604, C1605, $B$1:B1604, {"MAL ALIMI","ÜRETİM GİRİŞ"})) - VLOOKUP(C1605, 'STOK RAPORU'!$C$2:$I$1000, 4, 0))), 0)</f>
        <v>0</v>
      </c>
      <c r="U1605" s="22">
        <f t="shared" si="100"/>
        <v>0</v>
      </c>
      <c r="V1605">
        <f t="shared" si="101"/>
        <v>0</v>
      </c>
      <c r="W1605" s="22">
        <f t="shared" si="102"/>
        <v>0</v>
      </c>
    </row>
    <row r="1606" spans="1:23" hidden="1" x14ac:dyDescent="0.25">
      <c r="A1606" s="3">
        <v>45990</v>
      </c>
      <c r="B1606" s="4" t="s">
        <v>334</v>
      </c>
      <c r="C1606" s="4" t="s">
        <v>236</v>
      </c>
      <c r="D1606" s="4"/>
      <c r="E1606" s="4"/>
      <c r="F1606" s="4" t="s">
        <v>1035</v>
      </c>
      <c r="G1606" s="4" t="s">
        <v>336</v>
      </c>
      <c r="H1606" s="4" t="s">
        <v>289</v>
      </c>
      <c r="I1606" s="4">
        <v>0.19600000000000001</v>
      </c>
      <c r="J1606" s="21">
        <v>350</v>
      </c>
      <c r="K1606" s="21">
        <v>0</v>
      </c>
      <c r="L1606" s="5">
        <v>0</v>
      </c>
      <c r="M1606" s="4"/>
      <c r="N1606" s="4"/>
      <c r="O1606" s="5"/>
      <c r="P1606" s="5"/>
      <c r="Q1606" s="21">
        <v>68.600000000000009</v>
      </c>
      <c r="R1606" s="21">
        <v>0</v>
      </c>
      <c r="S1606" s="5">
        <f t="shared" si="103"/>
        <v>73487.788760151991</v>
      </c>
      <c r="T1606" cm="1">
        <f t="array" ref="T1606">IF(OR(B1606="MAL ALIMI", B1606="ÜRETİM GİRİŞ"), MIN(I1606, MAX(0, I1606 + SUM(SUMIFS($I$1:I1605, $C$1:C1605, C1606, $B$1:B1605, {"MAL ALIMI","ÜRETİM GİRİŞ"})) - VLOOKUP(C1606, 'STOK RAPORU'!$C$2:$I$1000, 4, 0))), 0)</f>
        <v>0</v>
      </c>
      <c r="U1606" s="22">
        <f t="shared" si="100"/>
        <v>0</v>
      </c>
      <c r="V1606">
        <f t="shared" si="101"/>
        <v>0</v>
      </c>
      <c r="W1606" s="22">
        <f t="shared" si="102"/>
        <v>0</v>
      </c>
    </row>
    <row r="1607" spans="1:23" hidden="1" x14ac:dyDescent="0.25">
      <c r="A1607" s="3">
        <v>45990</v>
      </c>
      <c r="B1607" s="4" t="s">
        <v>334</v>
      </c>
      <c r="C1607" s="4" t="s">
        <v>690</v>
      </c>
      <c r="D1607" s="4"/>
      <c r="E1607" s="4"/>
      <c r="F1607" s="4" t="s">
        <v>1035</v>
      </c>
      <c r="G1607" s="4" t="s">
        <v>336</v>
      </c>
      <c r="H1607" s="4" t="s">
        <v>289</v>
      </c>
      <c r="I1607" s="4">
        <v>0.376</v>
      </c>
      <c r="J1607" s="21">
        <v>340</v>
      </c>
      <c r="K1607" s="21">
        <v>0</v>
      </c>
      <c r="L1607" s="5">
        <v>0</v>
      </c>
      <c r="M1607" s="4"/>
      <c r="N1607" s="4"/>
      <c r="O1607" s="5"/>
      <c r="P1607" s="5"/>
      <c r="Q1607" s="21">
        <v>127.84</v>
      </c>
      <c r="R1607" s="21">
        <v>0</v>
      </c>
      <c r="S1607" s="5">
        <f t="shared" si="103"/>
        <v>73615.628760151987</v>
      </c>
      <c r="T1607" cm="1">
        <f t="array" ref="T1607">IF(OR(B1607="MAL ALIMI", B1607="ÜRETİM GİRİŞ"), MIN(I1607, MAX(0, I1607 + SUM(SUMIFS($I$1:I1606, $C$1:C1606, C1607, $B$1:B1606, {"MAL ALIMI","ÜRETİM GİRİŞ"})) - VLOOKUP(C1607, 'STOK RAPORU'!$C$2:$I$1000, 4, 0))), 0)</f>
        <v>0</v>
      </c>
      <c r="U1607" s="22">
        <f t="shared" si="100"/>
        <v>0</v>
      </c>
      <c r="V1607">
        <f t="shared" si="101"/>
        <v>0</v>
      </c>
      <c r="W1607" s="22">
        <f t="shared" si="102"/>
        <v>0</v>
      </c>
    </row>
    <row r="1608" spans="1:23" hidden="1" x14ac:dyDescent="0.25">
      <c r="A1608" s="3">
        <v>45990</v>
      </c>
      <c r="B1608" s="4" t="s">
        <v>334</v>
      </c>
      <c r="C1608" s="4" t="s">
        <v>238</v>
      </c>
      <c r="D1608" s="4"/>
      <c r="E1608" s="4"/>
      <c r="F1608" s="4" t="s">
        <v>1035</v>
      </c>
      <c r="G1608" s="4" t="s">
        <v>336</v>
      </c>
      <c r="H1608" s="4" t="s">
        <v>289</v>
      </c>
      <c r="I1608" s="4">
        <v>0.1</v>
      </c>
      <c r="J1608" s="21">
        <v>1350</v>
      </c>
      <c r="K1608" s="21">
        <v>0</v>
      </c>
      <c r="L1608" s="5">
        <v>0</v>
      </c>
      <c r="M1608" s="4"/>
      <c r="N1608" s="4"/>
      <c r="O1608" s="5"/>
      <c r="P1608" s="5"/>
      <c r="Q1608" s="21">
        <v>135</v>
      </c>
      <c r="R1608" s="21">
        <v>0</v>
      </c>
      <c r="S1608" s="5">
        <f t="shared" si="103"/>
        <v>73750.628760151987</v>
      </c>
      <c r="T1608" cm="1">
        <f t="array" ref="T1608">IF(OR(B1608="MAL ALIMI", B1608="ÜRETİM GİRİŞ"), MIN(I1608, MAX(0, I1608 + SUM(SUMIFS($I$1:I1607, $C$1:C1607, C1608, $B$1:B1607, {"MAL ALIMI","ÜRETİM GİRİŞ"})) - VLOOKUP(C1608, 'STOK RAPORU'!$C$2:$I$1000, 4, 0))), 0)</f>
        <v>0</v>
      </c>
      <c r="U1608" s="22">
        <f t="shared" si="100"/>
        <v>0</v>
      </c>
      <c r="V1608">
        <f t="shared" si="101"/>
        <v>0</v>
      </c>
      <c r="W1608" s="22">
        <f t="shared" si="102"/>
        <v>0</v>
      </c>
    </row>
    <row r="1609" spans="1:23" hidden="1" x14ac:dyDescent="0.25">
      <c r="A1609" s="3">
        <v>45990</v>
      </c>
      <c r="B1609" s="4" t="s">
        <v>334</v>
      </c>
      <c r="C1609" s="4" t="s">
        <v>96</v>
      </c>
      <c r="D1609" s="4"/>
      <c r="E1609" s="4"/>
      <c r="F1609" s="4" t="s">
        <v>1035</v>
      </c>
      <c r="G1609" s="4" t="s">
        <v>336</v>
      </c>
      <c r="H1609" s="4" t="s">
        <v>289</v>
      </c>
      <c r="I1609" s="4">
        <v>0.14399999999999999</v>
      </c>
      <c r="J1609" s="21">
        <v>380</v>
      </c>
      <c r="K1609" s="21">
        <v>0</v>
      </c>
      <c r="L1609" s="5">
        <v>0</v>
      </c>
      <c r="M1609" s="4"/>
      <c r="N1609" s="4"/>
      <c r="O1609" s="5"/>
      <c r="P1609" s="5"/>
      <c r="Q1609" s="21">
        <v>54.72</v>
      </c>
      <c r="R1609" s="21">
        <v>0</v>
      </c>
      <c r="S1609" s="5">
        <f t="shared" si="103"/>
        <v>73805.348760151988</v>
      </c>
      <c r="T1609" cm="1">
        <f t="array" ref="T1609">IF(OR(B1609="MAL ALIMI", B1609="ÜRETİM GİRİŞ"), MIN(I1609, MAX(0, I1609 + SUM(SUMIFS($I$1:I1608, $C$1:C1608, C1609, $B$1:B1608, {"MAL ALIMI","ÜRETİM GİRİŞ"})) - VLOOKUP(C1609, 'STOK RAPORU'!$C$2:$I$1000, 4, 0))), 0)</f>
        <v>0</v>
      </c>
      <c r="U1609" s="22">
        <f t="shared" si="100"/>
        <v>0</v>
      </c>
      <c r="V1609">
        <f t="shared" si="101"/>
        <v>0</v>
      </c>
      <c r="W1609" s="22">
        <f t="shared" si="102"/>
        <v>0</v>
      </c>
    </row>
    <row r="1610" spans="1:23" hidden="1" x14ac:dyDescent="0.25">
      <c r="A1610" s="3">
        <v>45990</v>
      </c>
      <c r="B1610" s="4" t="s">
        <v>334</v>
      </c>
      <c r="C1610" s="4" t="s">
        <v>587</v>
      </c>
      <c r="D1610" s="4"/>
      <c r="E1610" s="4"/>
      <c r="F1610" s="4" t="s">
        <v>1035</v>
      </c>
      <c r="G1610" s="4" t="s">
        <v>336</v>
      </c>
      <c r="H1610" s="4" t="s">
        <v>289</v>
      </c>
      <c r="I1610" s="4">
        <v>0.504</v>
      </c>
      <c r="J1610" s="21">
        <v>130</v>
      </c>
      <c r="K1610" s="21">
        <v>0</v>
      </c>
      <c r="L1610" s="5">
        <v>0</v>
      </c>
      <c r="M1610" s="4"/>
      <c r="N1610" s="4"/>
      <c r="O1610" s="5"/>
      <c r="P1610" s="5"/>
      <c r="Q1610" s="21">
        <v>65.52</v>
      </c>
      <c r="R1610" s="21">
        <v>0</v>
      </c>
      <c r="S1610" s="5">
        <f t="shared" si="103"/>
        <v>73870.868760151992</v>
      </c>
      <c r="T1610" cm="1">
        <f t="array" ref="T1610">IF(OR(B1610="MAL ALIMI", B1610="ÜRETİM GİRİŞ"), MIN(I1610, MAX(0, I1610 + SUM(SUMIFS($I$1:I1609, $C$1:C1609, C1610, $B$1:B1609, {"MAL ALIMI","ÜRETİM GİRİŞ"})) - VLOOKUP(C1610, 'STOK RAPORU'!$C$2:$I$1000, 4, 0))), 0)</f>
        <v>0</v>
      </c>
      <c r="U1610" s="22">
        <f t="shared" si="100"/>
        <v>0</v>
      </c>
      <c r="V1610">
        <f t="shared" si="101"/>
        <v>0</v>
      </c>
      <c r="W1610" s="22">
        <f t="shared" si="102"/>
        <v>0</v>
      </c>
    </row>
    <row r="1611" spans="1:23" hidden="1" x14ac:dyDescent="0.25">
      <c r="A1611" s="3">
        <v>45990</v>
      </c>
      <c r="B1611" s="4" t="s">
        <v>334</v>
      </c>
      <c r="C1611" s="4" t="s">
        <v>157</v>
      </c>
      <c r="D1611" s="4"/>
      <c r="E1611" s="4"/>
      <c r="F1611" s="4" t="s">
        <v>1035</v>
      </c>
      <c r="G1611" s="4" t="s">
        <v>336</v>
      </c>
      <c r="H1611" s="4" t="s">
        <v>289</v>
      </c>
      <c r="I1611" s="4">
        <v>1</v>
      </c>
      <c r="J1611" s="21">
        <v>180</v>
      </c>
      <c r="K1611" s="21">
        <v>0</v>
      </c>
      <c r="L1611" s="5">
        <v>0</v>
      </c>
      <c r="M1611" s="4"/>
      <c r="N1611" s="4"/>
      <c r="O1611" s="5"/>
      <c r="P1611" s="5"/>
      <c r="Q1611" s="21">
        <v>180</v>
      </c>
      <c r="R1611" s="21">
        <v>0</v>
      </c>
      <c r="S1611" s="5">
        <f t="shared" si="103"/>
        <v>74050.868760151992</v>
      </c>
      <c r="T1611" cm="1">
        <f t="array" ref="T1611">IF(OR(B1611="MAL ALIMI", B1611="ÜRETİM GİRİŞ"), MIN(I1611, MAX(0, I1611 + SUM(SUMIFS($I$1:I1610, $C$1:C1610, C1611, $B$1:B1610, {"MAL ALIMI","ÜRETİM GİRİŞ"})) - VLOOKUP(C1611, 'STOK RAPORU'!$C$2:$I$1000, 4, 0))), 0)</f>
        <v>0</v>
      </c>
      <c r="U1611" s="22">
        <f t="shared" si="100"/>
        <v>0</v>
      </c>
      <c r="V1611">
        <f t="shared" si="101"/>
        <v>0</v>
      </c>
      <c r="W1611" s="22">
        <f t="shared" si="102"/>
        <v>0</v>
      </c>
    </row>
    <row r="1612" spans="1:23" hidden="1" x14ac:dyDescent="0.25">
      <c r="A1612" s="3">
        <v>45990</v>
      </c>
      <c r="B1612" s="4" t="s">
        <v>334</v>
      </c>
      <c r="C1612" s="4" t="s">
        <v>89</v>
      </c>
      <c r="D1612" s="4"/>
      <c r="E1612" s="4"/>
      <c r="F1612" s="4" t="s">
        <v>1035</v>
      </c>
      <c r="G1612" s="4" t="s">
        <v>336</v>
      </c>
      <c r="H1612" s="4" t="s">
        <v>289</v>
      </c>
      <c r="I1612" s="4">
        <v>0.1</v>
      </c>
      <c r="J1612" s="21">
        <v>650</v>
      </c>
      <c r="K1612" s="21">
        <v>0</v>
      </c>
      <c r="L1612" s="5">
        <v>0</v>
      </c>
      <c r="M1612" s="4"/>
      <c r="N1612" s="4"/>
      <c r="O1612" s="5"/>
      <c r="P1612" s="5"/>
      <c r="Q1612" s="21">
        <v>65</v>
      </c>
      <c r="R1612" s="21">
        <v>0</v>
      </c>
      <c r="S1612" s="5">
        <f t="shared" si="103"/>
        <v>74115.868760151992</v>
      </c>
      <c r="T1612" cm="1">
        <f t="array" ref="T1612">IF(OR(B1612="MAL ALIMI", B1612="ÜRETİM GİRİŞ"), MIN(I1612, MAX(0, I1612 + SUM(SUMIFS($I$1:I1611, $C$1:C1611, C1612, $B$1:B1611, {"MAL ALIMI","ÜRETİM GİRİŞ"})) - VLOOKUP(C1612, 'STOK RAPORU'!$C$2:$I$1000, 4, 0))), 0)</f>
        <v>0</v>
      </c>
      <c r="U1612" s="22">
        <f t="shared" si="100"/>
        <v>0</v>
      </c>
      <c r="V1612">
        <f t="shared" si="101"/>
        <v>0</v>
      </c>
      <c r="W1612" s="22">
        <f t="shared" si="102"/>
        <v>0</v>
      </c>
    </row>
    <row r="1613" spans="1:23" hidden="1" x14ac:dyDescent="0.25">
      <c r="A1613" s="3">
        <v>45990</v>
      </c>
      <c r="B1613" s="4" t="s">
        <v>334</v>
      </c>
      <c r="C1613" s="4" t="s">
        <v>202</v>
      </c>
      <c r="D1613" s="4"/>
      <c r="E1613" s="4"/>
      <c r="F1613" s="4" t="s">
        <v>1035</v>
      </c>
      <c r="G1613" s="4" t="s">
        <v>336</v>
      </c>
      <c r="H1613" s="4" t="s">
        <v>289</v>
      </c>
      <c r="I1613" s="4">
        <v>0.5</v>
      </c>
      <c r="J1613" s="21">
        <v>80</v>
      </c>
      <c r="K1613" s="21">
        <v>0</v>
      </c>
      <c r="L1613" s="5">
        <v>0</v>
      </c>
      <c r="M1613" s="4"/>
      <c r="N1613" s="4"/>
      <c r="O1613" s="5"/>
      <c r="P1613" s="5"/>
      <c r="Q1613" s="21">
        <v>40</v>
      </c>
      <c r="R1613" s="21">
        <v>0</v>
      </c>
      <c r="S1613" s="5">
        <f t="shared" si="103"/>
        <v>74155.868760151992</v>
      </c>
      <c r="T1613" cm="1">
        <f t="array" ref="T1613">IF(OR(B1613="MAL ALIMI", B1613="ÜRETİM GİRİŞ"), MIN(I1613, MAX(0, I1613 + SUM(SUMIFS($I$1:I1612, $C$1:C1612, C1613, $B$1:B1612, {"MAL ALIMI","ÜRETİM GİRİŞ"})) - VLOOKUP(C1613, 'STOK RAPORU'!$C$2:$I$1000, 4, 0))), 0)</f>
        <v>0</v>
      </c>
      <c r="U1613" s="22">
        <f t="shared" si="100"/>
        <v>0</v>
      </c>
      <c r="V1613">
        <f t="shared" si="101"/>
        <v>0</v>
      </c>
      <c r="W1613" s="22">
        <f t="shared" si="102"/>
        <v>0</v>
      </c>
    </row>
    <row r="1614" spans="1:23" hidden="1" x14ac:dyDescent="0.25">
      <c r="A1614" s="3">
        <v>45990</v>
      </c>
      <c r="B1614" s="4" t="s">
        <v>334</v>
      </c>
      <c r="C1614" s="4" t="s">
        <v>129</v>
      </c>
      <c r="D1614" s="4"/>
      <c r="E1614" s="4"/>
      <c r="F1614" s="4" t="s">
        <v>1035</v>
      </c>
      <c r="G1614" s="4" t="s">
        <v>336</v>
      </c>
      <c r="H1614" s="4" t="s">
        <v>289</v>
      </c>
      <c r="I1614" s="4">
        <v>8.7999999999999995E-2</v>
      </c>
      <c r="J1614" s="21">
        <v>390</v>
      </c>
      <c r="K1614" s="21">
        <v>0</v>
      </c>
      <c r="L1614" s="5">
        <v>0</v>
      </c>
      <c r="M1614" s="4"/>
      <c r="N1614" s="4"/>
      <c r="O1614" s="5"/>
      <c r="P1614" s="5"/>
      <c r="Q1614" s="21">
        <v>34.32</v>
      </c>
      <c r="R1614" s="21">
        <v>0</v>
      </c>
      <c r="S1614" s="5">
        <f t="shared" si="103"/>
        <v>74190.188760151999</v>
      </c>
      <c r="T1614" cm="1">
        <f t="array" ref="T1614">IF(OR(B1614="MAL ALIMI", B1614="ÜRETİM GİRİŞ"), MIN(I1614, MAX(0, I1614 + SUM(SUMIFS($I$1:I1613, $C$1:C1613, C1614, $B$1:B1613, {"MAL ALIMI","ÜRETİM GİRİŞ"})) - VLOOKUP(C1614, 'STOK RAPORU'!$C$2:$I$1000, 4, 0))), 0)</f>
        <v>0</v>
      </c>
      <c r="U1614" s="22">
        <f t="shared" si="100"/>
        <v>0</v>
      </c>
      <c r="V1614">
        <f t="shared" si="101"/>
        <v>0</v>
      </c>
      <c r="W1614" s="22">
        <f t="shared" si="102"/>
        <v>0</v>
      </c>
    </row>
    <row r="1615" spans="1:23" hidden="1" x14ac:dyDescent="0.25">
      <c r="A1615" s="3">
        <v>45990</v>
      </c>
      <c r="B1615" s="4" t="s">
        <v>334</v>
      </c>
      <c r="C1615" s="4" t="s">
        <v>140</v>
      </c>
      <c r="D1615" s="4"/>
      <c r="E1615" s="4"/>
      <c r="F1615" s="4" t="s">
        <v>1035</v>
      </c>
      <c r="G1615" s="4" t="s">
        <v>336</v>
      </c>
      <c r="H1615" s="4" t="s">
        <v>289</v>
      </c>
      <c r="I1615" s="4">
        <v>0.14000000000000001</v>
      </c>
      <c r="J1615" s="21">
        <v>250</v>
      </c>
      <c r="K1615" s="21">
        <v>0</v>
      </c>
      <c r="L1615" s="5">
        <v>0</v>
      </c>
      <c r="M1615" s="4"/>
      <c r="N1615" s="4"/>
      <c r="O1615" s="5"/>
      <c r="P1615" s="5"/>
      <c r="Q1615" s="21">
        <v>35</v>
      </c>
      <c r="R1615" s="21">
        <v>0</v>
      </c>
      <c r="S1615" s="5">
        <f t="shared" si="103"/>
        <v>74225.188760151999</v>
      </c>
      <c r="T1615" cm="1">
        <f t="array" ref="T1615">IF(OR(B1615="MAL ALIMI", B1615="ÜRETİM GİRİŞ"), MIN(I1615, MAX(0, I1615 + SUM(SUMIFS($I$1:I1614, $C$1:C1614, C1615, $B$1:B1614, {"MAL ALIMI","ÜRETİM GİRİŞ"})) - VLOOKUP(C1615, 'STOK RAPORU'!$C$2:$I$1000, 4, 0))), 0)</f>
        <v>0</v>
      </c>
      <c r="U1615" s="22">
        <f t="shared" si="100"/>
        <v>0</v>
      </c>
      <c r="V1615">
        <f t="shared" si="101"/>
        <v>0</v>
      </c>
      <c r="W1615" s="22">
        <f t="shared" si="102"/>
        <v>0</v>
      </c>
    </row>
    <row r="1616" spans="1:23" hidden="1" x14ac:dyDescent="0.25">
      <c r="A1616" s="3">
        <v>45990</v>
      </c>
      <c r="B1616" s="4" t="s">
        <v>334</v>
      </c>
      <c r="C1616" s="4" t="s">
        <v>92</v>
      </c>
      <c r="D1616" s="4"/>
      <c r="E1616" s="4"/>
      <c r="F1616" s="4" t="s">
        <v>1035</v>
      </c>
      <c r="G1616" s="4" t="s">
        <v>336</v>
      </c>
      <c r="H1616" s="4" t="s">
        <v>289</v>
      </c>
      <c r="I1616" s="4">
        <v>0.16800000000000001</v>
      </c>
      <c r="J1616" s="21">
        <v>500</v>
      </c>
      <c r="K1616" s="21">
        <v>0</v>
      </c>
      <c r="L1616" s="5">
        <v>0</v>
      </c>
      <c r="M1616" s="4"/>
      <c r="N1616" s="4"/>
      <c r="O1616" s="5"/>
      <c r="P1616" s="5"/>
      <c r="Q1616" s="21">
        <v>84</v>
      </c>
      <c r="R1616" s="21">
        <v>0</v>
      </c>
      <c r="S1616" s="5">
        <f t="shared" si="103"/>
        <v>74309.188760151999</v>
      </c>
      <c r="T1616" cm="1">
        <f t="array" ref="T1616">IF(OR(B1616="MAL ALIMI", B1616="ÜRETİM GİRİŞ"), MIN(I1616, MAX(0, I1616 + SUM(SUMIFS($I$1:I1615, $C$1:C1615, C1616, $B$1:B1615, {"MAL ALIMI","ÜRETİM GİRİŞ"})) - VLOOKUP(C1616, 'STOK RAPORU'!$C$2:$I$1000, 4, 0))), 0)</f>
        <v>0</v>
      </c>
      <c r="U1616" s="22">
        <f t="shared" si="100"/>
        <v>0</v>
      </c>
      <c r="V1616">
        <f t="shared" si="101"/>
        <v>0</v>
      </c>
      <c r="W1616" s="22">
        <f t="shared" si="102"/>
        <v>0</v>
      </c>
    </row>
    <row r="1617" spans="1:23" hidden="1" x14ac:dyDescent="0.25">
      <c r="A1617" s="3">
        <v>45990</v>
      </c>
      <c r="B1617" s="4" t="s">
        <v>334</v>
      </c>
      <c r="C1617" s="4" t="s">
        <v>151</v>
      </c>
      <c r="D1617" s="4"/>
      <c r="E1617" s="4"/>
      <c r="F1617" s="4" t="s">
        <v>1035</v>
      </c>
      <c r="G1617" s="4" t="s">
        <v>336</v>
      </c>
      <c r="H1617" s="4" t="s">
        <v>289</v>
      </c>
      <c r="I1617" s="4">
        <v>8.7999999999999995E-2</v>
      </c>
      <c r="J1617" s="21">
        <v>400</v>
      </c>
      <c r="K1617" s="21">
        <v>0</v>
      </c>
      <c r="L1617" s="5">
        <v>0</v>
      </c>
      <c r="M1617" s="4"/>
      <c r="N1617" s="4"/>
      <c r="O1617" s="5"/>
      <c r="P1617" s="5"/>
      <c r="Q1617" s="21">
        <v>35.199999999999996</v>
      </c>
      <c r="R1617" s="21">
        <v>0</v>
      </c>
      <c r="S1617" s="5">
        <f t="shared" si="103"/>
        <v>74344.388760151996</v>
      </c>
      <c r="T1617" cm="1">
        <f t="array" ref="T1617">IF(OR(B1617="MAL ALIMI", B1617="ÜRETİM GİRİŞ"), MIN(I1617, MAX(0, I1617 + SUM(SUMIFS($I$1:I1616, $C$1:C1616, C1617, $B$1:B1616, {"MAL ALIMI","ÜRETİM GİRİŞ"})) - VLOOKUP(C1617, 'STOK RAPORU'!$C$2:$I$1000, 4, 0))), 0)</f>
        <v>0</v>
      </c>
      <c r="U1617" s="22">
        <f t="shared" si="100"/>
        <v>0</v>
      </c>
      <c r="V1617">
        <f t="shared" si="101"/>
        <v>0</v>
      </c>
      <c r="W1617" s="22">
        <f t="shared" si="102"/>
        <v>0</v>
      </c>
    </row>
    <row r="1618" spans="1:23" hidden="1" x14ac:dyDescent="0.25">
      <c r="A1618" s="3">
        <v>45990</v>
      </c>
      <c r="B1618" s="4" t="s">
        <v>334</v>
      </c>
      <c r="C1618" s="4" t="s">
        <v>724</v>
      </c>
      <c r="D1618" s="4"/>
      <c r="E1618" s="4"/>
      <c r="F1618" s="4" t="s">
        <v>1035</v>
      </c>
      <c r="G1618" s="4" t="s">
        <v>336</v>
      </c>
      <c r="H1618" s="4" t="s">
        <v>289</v>
      </c>
      <c r="I1618" s="4">
        <v>1</v>
      </c>
      <c r="J1618" s="21">
        <v>220</v>
      </c>
      <c r="K1618" s="21">
        <v>0</v>
      </c>
      <c r="L1618" s="5">
        <v>0</v>
      </c>
      <c r="M1618" s="4"/>
      <c r="N1618" s="4"/>
      <c r="O1618" s="5"/>
      <c r="P1618" s="5"/>
      <c r="Q1618" s="21">
        <v>220</v>
      </c>
      <c r="R1618" s="21">
        <v>0</v>
      </c>
      <c r="S1618" s="5">
        <f t="shared" si="103"/>
        <v>74564.388760151996</v>
      </c>
      <c r="T1618" cm="1">
        <f t="array" ref="T1618">IF(OR(B1618="MAL ALIMI", B1618="ÜRETİM GİRİŞ"), MIN(I1618, MAX(0, I1618 + SUM(SUMIFS($I$1:I1617, $C$1:C1617, C1618, $B$1:B1617, {"MAL ALIMI","ÜRETİM GİRİŞ"})) - VLOOKUP(C1618, 'STOK RAPORU'!$C$2:$I$1000, 4, 0))), 0)</f>
        <v>0</v>
      </c>
      <c r="U1618" s="22">
        <f t="shared" si="100"/>
        <v>0</v>
      </c>
      <c r="V1618">
        <f t="shared" si="101"/>
        <v>0</v>
      </c>
      <c r="W1618" s="22">
        <f t="shared" si="102"/>
        <v>0</v>
      </c>
    </row>
    <row r="1619" spans="1:23" hidden="1" x14ac:dyDescent="0.25">
      <c r="A1619" s="3">
        <v>45990</v>
      </c>
      <c r="B1619" s="4" t="s">
        <v>334</v>
      </c>
      <c r="C1619" s="4" t="s">
        <v>76</v>
      </c>
      <c r="D1619" s="4"/>
      <c r="E1619" s="4"/>
      <c r="F1619" s="4" t="s">
        <v>1035</v>
      </c>
      <c r="G1619" s="4" t="s">
        <v>336</v>
      </c>
      <c r="H1619" s="4" t="s">
        <v>289</v>
      </c>
      <c r="I1619" s="4">
        <v>0.13</v>
      </c>
      <c r="J1619" s="21">
        <v>760</v>
      </c>
      <c r="K1619" s="21">
        <v>0</v>
      </c>
      <c r="L1619" s="5">
        <v>0</v>
      </c>
      <c r="M1619" s="4"/>
      <c r="N1619" s="4"/>
      <c r="O1619" s="5"/>
      <c r="P1619" s="5"/>
      <c r="Q1619" s="21">
        <v>98.8</v>
      </c>
      <c r="R1619" s="21">
        <v>0</v>
      </c>
      <c r="S1619" s="5">
        <f t="shared" si="103"/>
        <v>74663.188760151999</v>
      </c>
      <c r="T1619" cm="1">
        <f t="array" ref="T1619">IF(OR(B1619="MAL ALIMI", B1619="ÜRETİM GİRİŞ"), MIN(I1619, MAX(0, I1619 + SUM(SUMIFS($I$1:I1618, $C$1:C1618, C1619, $B$1:B1618, {"MAL ALIMI","ÜRETİM GİRİŞ"})) - VLOOKUP(C1619, 'STOK RAPORU'!$C$2:$I$1000, 4, 0))), 0)</f>
        <v>0</v>
      </c>
      <c r="U1619" s="22">
        <f t="shared" si="100"/>
        <v>0</v>
      </c>
      <c r="V1619">
        <f t="shared" si="101"/>
        <v>0</v>
      </c>
      <c r="W1619" s="22">
        <f t="shared" si="102"/>
        <v>0</v>
      </c>
    </row>
    <row r="1620" spans="1:23" hidden="1" x14ac:dyDescent="0.25">
      <c r="A1620" s="3">
        <v>45990</v>
      </c>
      <c r="B1620" s="4" t="s">
        <v>334</v>
      </c>
      <c r="C1620" s="4" t="s">
        <v>470</v>
      </c>
      <c r="D1620" s="4"/>
      <c r="E1620" s="4"/>
      <c r="F1620" s="4" t="s">
        <v>1035</v>
      </c>
      <c r="G1620" s="4" t="s">
        <v>336</v>
      </c>
      <c r="H1620" s="4" t="s">
        <v>289</v>
      </c>
      <c r="I1620" s="4">
        <v>1</v>
      </c>
      <c r="J1620" s="21">
        <v>40</v>
      </c>
      <c r="K1620" s="21">
        <v>0</v>
      </c>
      <c r="L1620" s="5">
        <v>0</v>
      </c>
      <c r="M1620" s="4"/>
      <c r="N1620" s="4"/>
      <c r="O1620" s="5"/>
      <c r="P1620" s="5"/>
      <c r="Q1620" s="21">
        <v>40</v>
      </c>
      <c r="R1620" s="21">
        <v>0</v>
      </c>
      <c r="S1620" s="5">
        <f t="shared" si="103"/>
        <v>74703.188760151999</v>
      </c>
      <c r="T1620" cm="1">
        <f t="array" ref="T1620">IF(OR(B1620="MAL ALIMI", B1620="ÜRETİM GİRİŞ"), MIN(I1620, MAX(0, I1620 + SUM(SUMIFS($I$1:I1619, $C$1:C1619, C1620, $B$1:B1619, {"MAL ALIMI","ÜRETİM GİRİŞ"})) - VLOOKUP(C1620, 'STOK RAPORU'!$C$2:$I$1000, 4, 0))), 0)</f>
        <v>0</v>
      </c>
      <c r="U1620" s="22">
        <f t="shared" si="100"/>
        <v>0</v>
      </c>
      <c r="V1620">
        <f t="shared" si="101"/>
        <v>0</v>
      </c>
      <c r="W1620" s="22">
        <f t="shared" si="102"/>
        <v>0</v>
      </c>
    </row>
    <row r="1621" spans="1:23" hidden="1" x14ac:dyDescent="0.25">
      <c r="A1621" s="3">
        <v>45990</v>
      </c>
      <c r="B1621" s="4" t="s">
        <v>334</v>
      </c>
      <c r="C1621" s="4" t="s">
        <v>649</v>
      </c>
      <c r="D1621" s="4"/>
      <c r="E1621" s="4"/>
      <c r="F1621" s="4" t="s">
        <v>1035</v>
      </c>
      <c r="G1621" s="4" t="s">
        <v>336</v>
      </c>
      <c r="H1621" s="4" t="s">
        <v>289</v>
      </c>
      <c r="I1621" s="4">
        <v>1</v>
      </c>
      <c r="J1621" s="21">
        <v>300</v>
      </c>
      <c r="K1621" s="21">
        <v>0</v>
      </c>
      <c r="L1621" s="5">
        <v>0</v>
      </c>
      <c r="M1621" s="4"/>
      <c r="N1621" s="4"/>
      <c r="O1621" s="5"/>
      <c r="P1621" s="5"/>
      <c r="Q1621" s="21">
        <v>300</v>
      </c>
      <c r="R1621" s="21">
        <v>0</v>
      </c>
      <c r="S1621" s="5">
        <f t="shared" si="103"/>
        <v>75003.188760151999</v>
      </c>
      <c r="T1621" cm="1">
        <f t="array" ref="T1621">IF(OR(B1621="MAL ALIMI", B1621="ÜRETİM GİRİŞ"), MIN(I1621, MAX(0, I1621 + SUM(SUMIFS($I$1:I1620, $C$1:C1620, C1621, $B$1:B1620, {"MAL ALIMI","ÜRETİM GİRİŞ"})) - VLOOKUP(C1621, 'STOK RAPORU'!$C$2:$I$1000, 4, 0))), 0)</f>
        <v>0</v>
      </c>
      <c r="U1621" s="22">
        <f t="shared" si="100"/>
        <v>0</v>
      </c>
      <c r="V1621">
        <f t="shared" si="101"/>
        <v>0</v>
      </c>
      <c r="W1621" s="22">
        <f t="shared" si="102"/>
        <v>0</v>
      </c>
    </row>
    <row r="1622" spans="1:23" hidden="1" x14ac:dyDescent="0.25">
      <c r="A1622" s="3">
        <v>45990</v>
      </c>
      <c r="B1622" s="4" t="s">
        <v>334</v>
      </c>
      <c r="C1622" s="4" t="s">
        <v>126</v>
      </c>
      <c r="D1622" s="4"/>
      <c r="E1622" s="4" t="s">
        <v>921</v>
      </c>
      <c r="F1622" s="4" t="s">
        <v>1036</v>
      </c>
      <c r="G1622" s="4" t="s">
        <v>336</v>
      </c>
      <c r="H1622" s="4" t="s">
        <v>380</v>
      </c>
      <c r="I1622" s="4">
        <v>0.140625</v>
      </c>
      <c r="J1622" s="21">
        <v>640</v>
      </c>
      <c r="K1622" s="21">
        <v>90</v>
      </c>
      <c r="L1622" s="5">
        <v>0</v>
      </c>
      <c r="M1622" s="4"/>
      <c r="N1622" s="4"/>
      <c r="O1622" s="5"/>
      <c r="P1622" s="5"/>
      <c r="Q1622" s="21">
        <v>0</v>
      </c>
      <c r="R1622" s="21">
        <v>0</v>
      </c>
      <c r="S1622" s="5">
        <f t="shared" si="103"/>
        <v>75003.188760151999</v>
      </c>
      <c r="T1622" cm="1">
        <f t="array" ref="T1622">IF(OR(B1622="MAL ALIMI", B1622="ÜRETİM GİRİŞ"), MIN(I1622, MAX(0, I1622 + SUM(SUMIFS($I$1:I1621, $C$1:C1621, C1622, $B$1:B1621, {"MAL ALIMI","ÜRETİM GİRİŞ"})) - VLOOKUP(C1622, 'STOK RAPORU'!$C$2:$I$1000, 4, 0))), 0)</f>
        <v>0</v>
      </c>
      <c r="U1622" s="22">
        <f t="shared" si="100"/>
        <v>0</v>
      </c>
      <c r="V1622">
        <f t="shared" si="101"/>
        <v>0</v>
      </c>
      <c r="W1622" s="22">
        <f t="shared" si="102"/>
        <v>0</v>
      </c>
    </row>
    <row r="1623" spans="1:23" hidden="1" x14ac:dyDescent="0.25">
      <c r="A1623" s="3">
        <v>45990</v>
      </c>
      <c r="B1623" s="4" t="s">
        <v>334</v>
      </c>
      <c r="C1623" s="4" t="s">
        <v>98</v>
      </c>
      <c r="D1623" s="4"/>
      <c r="E1623" s="4" t="s">
        <v>921</v>
      </c>
      <c r="F1623" s="4" t="s">
        <v>1036</v>
      </c>
      <c r="G1623" s="4" t="s">
        <v>336</v>
      </c>
      <c r="H1623" s="4" t="s">
        <v>380</v>
      </c>
      <c r="I1623" s="4">
        <v>0.11</v>
      </c>
      <c r="J1623" s="21">
        <v>360</v>
      </c>
      <c r="K1623" s="21">
        <v>39.6</v>
      </c>
      <c r="L1623" s="5">
        <v>0</v>
      </c>
      <c r="M1623" s="4"/>
      <c r="N1623" s="4"/>
      <c r="O1623" s="5"/>
      <c r="P1623" s="5"/>
      <c r="Q1623" s="21">
        <v>0</v>
      </c>
      <c r="R1623" s="21">
        <v>0</v>
      </c>
      <c r="S1623" s="5">
        <f t="shared" si="103"/>
        <v>75003.188760151999</v>
      </c>
      <c r="T1623" cm="1">
        <f t="array" ref="T1623">IF(OR(B1623="MAL ALIMI", B1623="ÜRETİM GİRİŞ"), MIN(I1623, MAX(0, I1623 + SUM(SUMIFS($I$1:I1622, $C$1:C1622, C1623, $B$1:B1622, {"MAL ALIMI","ÜRETİM GİRİŞ"})) - VLOOKUP(C1623, 'STOK RAPORU'!$C$2:$I$1000, 4, 0))), 0)</f>
        <v>0</v>
      </c>
      <c r="U1623" s="22">
        <f t="shared" si="100"/>
        <v>0</v>
      </c>
      <c r="V1623">
        <f t="shared" si="101"/>
        <v>0</v>
      </c>
      <c r="W1623" s="22">
        <f t="shared" si="102"/>
        <v>0</v>
      </c>
    </row>
    <row r="1624" spans="1:23" hidden="1" x14ac:dyDescent="0.25">
      <c r="A1624" s="3">
        <v>45990</v>
      </c>
      <c r="B1624" s="4" t="s">
        <v>334</v>
      </c>
      <c r="C1624" s="4" t="s">
        <v>131</v>
      </c>
      <c r="D1624" s="4"/>
      <c r="E1624" s="4" t="s">
        <v>921</v>
      </c>
      <c r="F1624" s="4" t="s">
        <v>1036</v>
      </c>
      <c r="G1624" s="4" t="s">
        <v>336</v>
      </c>
      <c r="H1624" s="4" t="s">
        <v>380</v>
      </c>
      <c r="I1624" s="4">
        <v>0.125</v>
      </c>
      <c r="J1624" s="21">
        <v>400</v>
      </c>
      <c r="K1624" s="21">
        <v>50</v>
      </c>
      <c r="L1624" s="5">
        <v>0</v>
      </c>
      <c r="M1624" s="4"/>
      <c r="N1624" s="4"/>
      <c r="O1624" s="5"/>
      <c r="P1624" s="5"/>
      <c r="Q1624" s="21">
        <v>0</v>
      </c>
      <c r="R1624" s="21">
        <v>0</v>
      </c>
      <c r="S1624" s="5">
        <f t="shared" si="103"/>
        <v>75003.188760151999</v>
      </c>
      <c r="T1624" cm="1">
        <f t="array" ref="T1624">IF(OR(B1624="MAL ALIMI", B1624="ÜRETİM GİRİŞ"), MIN(I1624, MAX(0, I1624 + SUM(SUMIFS($I$1:I1623, $C$1:C1623, C1624, $B$1:B1623, {"MAL ALIMI","ÜRETİM GİRİŞ"})) - VLOOKUP(C1624, 'STOK RAPORU'!$C$2:$I$1000, 4, 0))), 0)</f>
        <v>0</v>
      </c>
      <c r="U1624" s="22">
        <f t="shared" si="100"/>
        <v>0</v>
      </c>
      <c r="V1624">
        <f t="shared" si="101"/>
        <v>0</v>
      </c>
      <c r="W1624" s="22">
        <f t="shared" si="102"/>
        <v>0</v>
      </c>
    </row>
    <row r="1625" spans="1:23" hidden="1" x14ac:dyDescent="0.25">
      <c r="A1625" s="3">
        <v>45990</v>
      </c>
      <c r="B1625" s="4" t="s">
        <v>334</v>
      </c>
      <c r="C1625" s="4" t="s">
        <v>262</v>
      </c>
      <c r="D1625" s="4"/>
      <c r="E1625" s="4"/>
      <c r="F1625" s="4" t="s">
        <v>1037</v>
      </c>
      <c r="G1625" s="4" t="s">
        <v>336</v>
      </c>
      <c r="H1625" s="4" t="s">
        <v>289</v>
      </c>
      <c r="I1625" s="4">
        <v>1</v>
      </c>
      <c r="J1625" s="21">
        <v>140</v>
      </c>
      <c r="K1625" s="21">
        <v>0</v>
      </c>
      <c r="L1625" s="5">
        <v>0</v>
      </c>
      <c r="M1625" s="4"/>
      <c r="N1625" s="4"/>
      <c r="O1625" s="5"/>
      <c r="P1625" s="5"/>
      <c r="Q1625" s="21">
        <v>140</v>
      </c>
      <c r="R1625" s="21">
        <v>0</v>
      </c>
      <c r="S1625" s="5">
        <f t="shared" si="103"/>
        <v>75143.188760151999</v>
      </c>
      <c r="T1625" cm="1">
        <f t="array" ref="T1625">IF(OR(B1625="MAL ALIMI", B1625="ÜRETİM GİRİŞ"), MIN(I1625, MAX(0, I1625 + SUM(SUMIFS($I$1:I1624, $C$1:C1624, C1625, $B$1:B1624, {"MAL ALIMI","ÜRETİM GİRİŞ"})) - VLOOKUP(C1625, 'STOK RAPORU'!$C$2:$I$1000, 4, 0))), 0)</f>
        <v>0</v>
      </c>
      <c r="U1625" s="22">
        <f t="shared" si="100"/>
        <v>0</v>
      </c>
      <c r="V1625">
        <f t="shared" si="101"/>
        <v>0</v>
      </c>
      <c r="W1625" s="22">
        <f t="shared" si="102"/>
        <v>0</v>
      </c>
    </row>
    <row r="1626" spans="1:23" hidden="1" x14ac:dyDescent="0.25">
      <c r="A1626" s="3">
        <v>45990</v>
      </c>
      <c r="B1626" s="4" t="s">
        <v>334</v>
      </c>
      <c r="C1626" s="4" t="s">
        <v>158</v>
      </c>
      <c r="D1626" s="4"/>
      <c r="E1626" s="4" t="s">
        <v>921</v>
      </c>
      <c r="F1626" s="4" t="s">
        <v>1038</v>
      </c>
      <c r="G1626" s="4" t="s">
        <v>336</v>
      </c>
      <c r="H1626" s="4" t="s">
        <v>380</v>
      </c>
      <c r="I1626" s="4">
        <v>1</v>
      </c>
      <c r="J1626" s="21">
        <v>130</v>
      </c>
      <c r="K1626" s="21">
        <v>130</v>
      </c>
      <c r="L1626" s="5">
        <v>0</v>
      </c>
      <c r="M1626" s="4"/>
      <c r="N1626" s="4"/>
      <c r="O1626" s="5"/>
      <c r="P1626" s="5"/>
      <c r="Q1626" s="21">
        <v>0</v>
      </c>
      <c r="R1626" s="21">
        <v>0</v>
      </c>
      <c r="S1626" s="5">
        <f t="shared" si="103"/>
        <v>75143.188760151999</v>
      </c>
      <c r="T1626" cm="1">
        <f t="array" ref="T1626">IF(OR(B1626="MAL ALIMI", B1626="ÜRETİM GİRİŞ"), MIN(I1626, MAX(0, I1626 + SUM(SUMIFS($I$1:I1625, $C$1:C1625, C1626, $B$1:B1625, {"MAL ALIMI","ÜRETİM GİRİŞ"})) - VLOOKUP(C1626, 'STOK RAPORU'!$C$2:$I$1000, 4, 0))), 0)</f>
        <v>0</v>
      </c>
      <c r="U1626" s="22">
        <f t="shared" si="100"/>
        <v>0</v>
      </c>
      <c r="V1626">
        <f t="shared" si="101"/>
        <v>0</v>
      </c>
      <c r="W1626" s="22">
        <f t="shared" si="102"/>
        <v>0</v>
      </c>
    </row>
    <row r="1627" spans="1:23" hidden="1" x14ac:dyDescent="0.25">
      <c r="A1627" s="3">
        <v>45990</v>
      </c>
      <c r="B1627" s="4" t="s">
        <v>334</v>
      </c>
      <c r="C1627" s="4" t="s">
        <v>226</v>
      </c>
      <c r="D1627" s="4"/>
      <c r="E1627" s="4" t="s">
        <v>921</v>
      </c>
      <c r="F1627" s="4" t="s">
        <v>1038</v>
      </c>
      <c r="G1627" s="4" t="s">
        <v>336</v>
      </c>
      <c r="H1627" s="4" t="s">
        <v>380</v>
      </c>
      <c r="I1627" s="4">
        <v>0.13333333333333333</v>
      </c>
      <c r="J1627" s="21">
        <v>150</v>
      </c>
      <c r="K1627" s="21">
        <v>20</v>
      </c>
      <c r="L1627" s="5">
        <v>0</v>
      </c>
      <c r="M1627" s="4"/>
      <c r="N1627" s="4"/>
      <c r="O1627" s="5"/>
      <c r="P1627" s="5"/>
      <c r="Q1627" s="21">
        <v>0</v>
      </c>
      <c r="R1627" s="21">
        <v>0</v>
      </c>
      <c r="S1627" s="5">
        <f t="shared" si="103"/>
        <v>75143.188760151999</v>
      </c>
      <c r="T1627" cm="1">
        <f t="array" ref="T1627">IF(OR(B1627="MAL ALIMI", B1627="ÜRETİM GİRİŞ"), MIN(I1627, MAX(0, I1627 + SUM(SUMIFS($I$1:I1626, $C$1:C1626, C1627, $B$1:B1626, {"MAL ALIMI","ÜRETİM GİRİŞ"})) - VLOOKUP(C1627, 'STOK RAPORU'!$C$2:$I$1000, 4, 0))), 0)</f>
        <v>0</v>
      </c>
      <c r="U1627" s="22">
        <f t="shared" si="100"/>
        <v>0</v>
      </c>
      <c r="V1627">
        <f t="shared" si="101"/>
        <v>0</v>
      </c>
      <c r="W1627" s="22">
        <f t="shared" si="102"/>
        <v>0</v>
      </c>
    </row>
    <row r="1628" spans="1:23" hidden="1" x14ac:dyDescent="0.25">
      <c r="A1628" s="3">
        <v>45990</v>
      </c>
      <c r="B1628" s="4" t="s">
        <v>946</v>
      </c>
      <c r="C1628" s="4"/>
      <c r="D1628" s="4"/>
      <c r="E1628" s="4" t="s">
        <v>921</v>
      </c>
      <c r="F1628" s="4"/>
      <c r="G1628" s="4" t="s">
        <v>946</v>
      </c>
      <c r="H1628" s="4" t="s">
        <v>380</v>
      </c>
      <c r="I1628" s="4">
        <v>1</v>
      </c>
      <c r="J1628" s="105">
        <v>200</v>
      </c>
      <c r="K1628" s="21">
        <v>0</v>
      </c>
      <c r="L1628" s="111">
        <v>200</v>
      </c>
      <c r="M1628" s="4"/>
      <c r="N1628" s="4"/>
      <c r="O1628" s="5"/>
      <c r="P1628" s="5"/>
      <c r="Q1628" s="21">
        <v>200</v>
      </c>
      <c r="R1628" s="21">
        <v>0</v>
      </c>
      <c r="S1628" s="5">
        <f t="shared" si="103"/>
        <v>75343.188760151999</v>
      </c>
      <c r="T1628" cm="1">
        <f t="array" ref="T1628">IF(OR(B1628="MAL ALIMI", B1628="ÜRETİM GİRİŞ"), MIN(I1628, MAX(0, I1628 + SUM(SUMIFS($I$1:I1627, $C$1:C1627, C1628, $B$1:B1627, {"MAL ALIMI","ÜRETİM GİRİŞ"})) - VLOOKUP(C1628, 'STOK RAPORU'!$C$2:$I$1000, 4, 0))), 0)</f>
        <v>0</v>
      </c>
      <c r="U1628" s="22">
        <f t="shared" si="100"/>
        <v>0</v>
      </c>
      <c r="V1628">
        <f t="shared" si="101"/>
        <v>0</v>
      </c>
      <c r="W1628" s="22">
        <f t="shared" si="102"/>
        <v>0</v>
      </c>
    </row>
    <row r="1629" spans="1:23" hidden="1" x14ac:dyDescent="0.25">
      <c r="A1629" s="3">
        <v>45990</v>
      </c>
      <c r="B1629" s="4" t="s">
        <v>285</v>
      </c>
      <c r="C1629" s="4"/>
      <c r="D1629" s="4" t="s">
        <v>673</v>
      </c>
      <c r="E1629" s="4" t="s">
        <v>856</v>
      </c>
      <c r="F1629" s="4"/>
      <c r="G1629" s="4" t="s">
        <v>1206</v>
      </c>
      <c r="H1629" s="4" t="s">
        <v>1329</v>
      </c>
      <c r="I1629" s="4">
        <v>1</v>
      </c>
      <c r="J1629" s="35">
        <v>632.16999999999996</v>
      </c>
      <c r="K1629" s="35">
        <v>0</v>
      </c>
      <c r="L1629" s="5">
        <v>632.16999999999996</v>
      </c>
      <c r="M1629" s="4"/>
      <c r="N1629" s="4"/>
      <c r="O1629" s="5"/>
      <c r="P1629" s="5"/>
      <c r="Q1629" s="35">
        <v>0</v>
      </c>
      <c r="R1629" s="35">
        <v>0</v>
      </c>
      <c r="S1629" s="5">
        <f t="shared" si="103"/>
        <v>75343.188760151999</v>
      </c>
      <c r="T1629" cm="1">
        <f t="array" ref="T1629">IF(OR(B1629="MAL ALIMI", B1629="ÜRETİM GİRİŞ"), MIN(I1629, MAX(0, I1629 + SUM(SUMIFS($I$1:I1628, $C$1:C1628, C1629, $B$1:B1628, {"MAL ALIMI","ÜRETİM GİRİŞ"})) - VLOOKUP(C1629, 'STOK RAPORU'!$C$2:$I$1000, 4, 0))), 0)</f>
        <v>0</v>
      </c>
      <c r="U1629" s="22">
        <f t="shared" si="100"/>
        <v>0</v>
      </c>
      <c r="V1629">
        <f t="shared" si="101"/>
        <v>0</v>
      </c>
      <c r="W1629" s="22">
        <f t="shared" si="102"/>
        <v>0</v>
      </c>
    </row>
    <row r="1630" spans="1:23" hidden="1" x14ac:dyDescent="0.25">
      <c r="A1630" s="3">
        <v>45991</v>
      </c>
      <c r="B1630" s="4" t="s">
        <v>334</v>
      </c>
      <c r="C1630" s="4" t="s">
        <v>126</v>
      </c>
      <c r="D1630" s="4"/>
      <c r="E1630" s="4"/>
      <c r="F1630" s="4" t="s">
        <v>1046</v>
      </c>
      <c r="G1630" s="4" t="s">
        <v>336</v>
      </c>
      <c r="H1630" s="4" t="s">
        <v>289</v>
      </c>
      <c r="I1630" s="4">
        <v>7.8125E-2</v>
      </c>
      <c r="J1630" s="21">
        <v>640</v>
      </c>
      <c r="K1630" s="21">
        <v>0</v>
      </c>
      <c r="L1630" s="5">
        <v>0</v>
      </c>
      <c r="M1630" s="4"/>
      <c r="N1630" s="4"/>
      <c r="O1630" s="5"/>
      <c r="P1630" s="5"/>
      <c r="Q1630" s="21">
        <v>50</v>
      </c>
      <c r="R1630" s="21">
        <v>0</v>
      </c>
      <c r="S1630" s="5">
        <f t="shared" si="103"/>
        <v>75393.188760151999</v>
      </c>
      <c r="T1630" cm="1">
        <f t="array" ref="T1630">IF(OR(B1630="MAL ALIMI", B1630="ÜRETİM GİRİŞ"), MIN(I1630, MAX(0, I1630 + SUM(SUMIFS($I$1:I1629, $C$1:C1629, C1630, $B$1:B1629, {"MAL ALIMI","ÜRETİM GİRİŞ"})) - VLOOKUP(C1630, 'STOK RAPORU'!$C$2:$I$1000, 4, 0))), 0)</f>
        <v>0</v>
      </c>
      <c r="U1630" s="22">
        <f t="shared" si="100"/>
        <v>0</v>
      </c>
      <c r="V1630">
        <f t="shared" si="101"/>
        <v>0</v>
      </c>
      <c r="W1630" s="22">
        <f t="shared" si="102"/>
        <v>0</v>
      </c>
    </row>
    <row r="1631" spans="1:23" hidden="1" x14ac:dyDescent="0.25">
      <c r="A1631" s="3">
        <v>45991</v>
      </c>
      <c r="B1631" s="4" t="s">
        <v>334</v>
      </c>
      <c r="C1631" s="4" t="s">
        <v>131</v>
      </c>
      <c r="D1631" s="4"/>
      <c r="E1631" s="4"/>
      <c r="F1631" s="4" t="s">
        <v>1046</v>
      </c>
      <c r="G1631" s="4" t="s">
        <v>336</v>
      </c>
      <c r="H1631" s="4" t="s">
        <v>289</v>
      </c>
      <c r="I1631" s="4">
        <v>0.125</v>
      </c>
      <c r="J1631" s="21">
        <v>400</v>
      </c>
      <c r="K1631" s="21">
        <v>0</v>
      </c>
      <c r="L1631" s="5">
        <v>0</v>
      </c>
      <c r="M1631" s="4"/>
      <c r="N1631" s="4"/>
      <c r="O1631" s="5"/>
      <c r="P1631" s="5"/>
      <c r="Q1631" s="21">
        <v>50</v>
      </c>
      <c r="R1631" s="21">
        <v>0</v>
      </c>
      <c r="S1631" s="5">
        <f t="shared" si="103"/>
        <v>75443.188760151999</v>
      </c>
      <c r="T1631" cm="1">
        <f t="array" ref="T1631">IF(OR(B1631="MAL ALIMI", B1631="ÜRETİM GİRİŞ"), MIN(I1631, MAX(0, I1631 + SUM(SUMIFS($I$1:I1630, $C$1:C1630, C1631, $B$1:B1630, {"MAL ALIMI","ÜRETİM GİRİŞ"})) - VLOOKUP(C1631, 'STOK RAPORU'!$C$2:$I$1000, 4, 0))), 0)</f>
        <v>0</v>
      </c>
      <c r="U1631" s="22">
        <f t="shared" si="100"/>
        <v>0</v>
      </c>
      <c r="V1631">
        <f t="shared" si="101"/>
        <v>0</v>
      </c>
      <c r="W1631" s="22">
        <f t="shared" si="102"/>
        <v>0</v>
      </c>
    </row>
    <row r="1632" spans="1:23" hidden="1" x14ac:dyDescent="0.25">
      <c r="A1632" s="3">
        <v>45991</v>
      </c>
      <c r="B1632" s="4" t="s">
        <v>334</v>
      </c>
      <c r="C1632" s="4" t="s">
        <v>92</v>
      </c>
      <c r="D1632" s="4"/>
      <c r="E1632" s="4" t="s">
        <v>921</v>
      </c>
      <c r="F1632" s="4" t="s">
        <v>1047</v>
      </c>
      <c r="G1632" s="4" t="s">
        <v>336</v>
      </c>
      <c r="H1632" s="4" t="s">
        <v>380</v>
      </c>
      <c r="I1632" s="4">
        <v>0.2</v>
      </c>
      <c r="J1632" s="21">
        <v>500</v>
      </c>
      <c r="K1632" s="21">
        <v>100</v>
      </c>
      <c r="L1632" s="5">
        <v>0</v>
      </c>
      <c r="M1632" s="4"/>
      <c r="N1632" s="4"/>
      <c r="O1632" s="5"/>
      <c r="P1632" s="5"/>
      <c r="Q1632" s="21">
        <v>0</v>
      </c>
      <c r="R1632" s="21">
        <v>0</v>
      </c>
      <c r="S1632" s="5">
        <f t="shared" si="103"/>
        <v>75443.188760151999</v>
      </c>
      <c r="T1632" cm="1">
        <f t="array" ref="T1632">IF(OR(B1632="MAL ALIMI", B1632="ÜRETİM GİRİŞ"), MIN(I1632, MAX(0, I1632 + SUM(SUMIFS($I$1:I1631, $C$1:C1631, C1632, $B$1:B1631, {"MAL ALIMI","ÜRETİM GİRİŞ"})) - VLOOKUP(C1632, 'STOK RAPORU'!$C$2:$I$1000, 4, 0))), 0)</f>
        <v>0</v>
      </c>
      <c r="U1632" s="22">
        <f t="shared" si="100"/>
        <v>0</v>
      </c>
      <c r="V1632">
        <f t="shared" si="101"/>
        <v>0</v>
      </c>
      <c r="W1632" s="22">
        <f t="shared" si="102"/>
        <v>0</v>
      </c>
    </row>
    <row r="1633" spans="1:23" hidden="1" x14ac:dyDescent="0.25">
      <c r="A1633" s="3">
        <v>45991</v>
      </c>
      <c r="B1633" s="4" t="s">
        <v>334</v>
      </c>
      <c r="C1633" s="4" t="s">
        <v>132</v>
      </c>
      <c r="D1633" s="4"/>
      <c r="E1633" s="4" t="s">
        <v>921</v>
      </c>
      <c r="F1633" s="4" t="s">
        <v>1047</v>
      </c>
      <c r="G1633" s="4" t="s">
        <v>336</v>
      </c>
      <c r="H1633" s="4" t="s">
        <v>380</v>
      </c>
      <c r="I1633" s="4">
        <v>0.2</v>
      </c>
      <c r="J1633" s="21">
        <v>500</v>
      </c>
      <c r="K1633" s="21">
        <v>100</v>
      </c>
      <c r="L1633" s="5">
        <v>0</v>
      </c>
      <c r="M1633" s="4"/>
      <c r="N1633" s="4"/>
      <c r="O1633" s="5"/>
      <c r="P1633" s="5"/>
      <c r="Q1633" s="21">
        <v>0</v>
      </c>
      <c r="R1633" s="21">
        <v>0</v>
      </c>
      <c r="S1633" s="5">
        <f t="shared" si="103"/>
        <v>75443.188760151999</v>
      </c>
      <c r="T1633" cm="1">
        <f t="array" ref="T1633">IF(OR(B1633="MAL ALIMI", B1633="ÜRETİM GİRİŞ"), MIN(I1633, MAX(0, I1633 + SUM(SUMIFS($I$1:I1632, $C$1:C1632, C1633, $B$1:B1632, {"MAL ALIMI","ÜRETİM GİRİŞ"})) - VLOOKUP(C1633, 'STOK RAPORU'!$C$2:$I$1000, 4, 0))), 0)</f>
        <v>0</v>
      </c>
      <c r="U1633" s="22">
        <f t="shared" si="100"/>
        <v>0</v>
      </c>
      <c r="V1633">
        <f t="shared" si="101"/>
        <v>0</v>
      </c>
      <c r="W1633" s="22">
        <f t="shared" si="102"/>
        <v>0</v>
      </c>
    </row>
    <row r="1634" spans="1:23" hidden="1" x14ac:dyDescent="0.25">
      <c r="A1634" s="3">
        <v>45991</v>
      </c>
      <c r="B1634" s="4" t="s">
        <v>334</v>
      </c>
      <c r="C1634" s="4" t="s">
        <v>160</v>
      </c>
      <c r="D1634" s="4"/>
      <c r="E1634" s="4"/>
      <c r="F1634" s="4" t="s">
        <v>1048</v>
      </c>
      <c r="G1634" s="4" t="s">
        <v>336</v>
      </c>
      <c r="H1634" s="4" t="s">
        <v>289</v>
      </c>
      <c r="I1634" s="4">
        <v>0.5</v>
      </c>
      <c r="J1634" s="21">
        <v>240</v>
      </c>
      <c r="K1634" s="21">
        <v>0</v>
      </c>
      <c r="L1634" s="5">
        <v>0</v>
      </c>
      <c r="M1634" s="4"/>
      <c r="N1634" s="4"/>
      <c r="O1634" s="5"/>
      <c r="P1634" s="5"/>
      <c r="Q1634" s="21">
        <v>120</v>
      </c>
      <c r="R1634" s="21">
        <v>0</v>
      </c>
      <c r="S1634" s="5">
        <f t="shared" si="103"/>
        <v>75563.188760151999</v>
      </c>
      <c r="T1634" cm="1">
        <f t="array" ref="T1634">IF(OR(B1634="MAL ALIMI", B1634="ÜRETİM GİRİŞ"), MIN(I1634, MAX(0, I1634 + SUM(SUMIFS($I$1:I1633, $C$1:C1633, C1634, $B$1:B1633, {"MAL ALIMI","ÜRETİM GİRİŞ"})) - VLOOKUP(C1634, 'STOK RAPORU'!$C$2:$I$1000, 4, 0))), 0)</f>
        <v>0</v>
      </c>
      <c r="U1634" s="22">
        <f t="shared" si="100"/>
        <v>0</v>
      </c>
      <c r="V1634">
        <f t="shared" si="101"/>
        <v>0</v>
      </c>
      <c r="W1634" s="22">
        <f t="shared" si="102"/>
        <v>0</v>
      </c>
    </row>
    <row r="1635" spans="1:23" hidden="1" x14ac:dyDescent="0.25">
      <c r="A1635" s="3">
        <v>45991</v>
      </c>
      <c r="B1635" s="4" t="s">
        <v>334</v>
      </c>
      <c r="C1635" s="4" t="s">
        <v>168</v>
      </c>
      <c r="D1635" s="4"/>
      <c r="E1635" s="4"/>
      <c r="F1635" s="4" t="s">
        <v>1048</v>
      </c>
      <c r="G1635" s="4" t="s">
        <v>336</v>
      </c>
      <c r="H1635" s="4" t="s">
        <v>289</v>
      </c>
      <c r="I1635" s="4">
        <v>0.5</v>
      </c>
      <c r="J1635" s="21">
        <v>200</v>
      </c>
      <c r="K1635" s="21">
        <v>0</v>
      </c>
      <c r="L1635" s="5">
        <v>0</v>
      </c>
      <c r="M1635" s="4"/>
      <c r="N1635" s="4"/>
      <c r="O1635" s="5"/>
      <c r="P1635" s="5"/>
      <c r="Q1635" s="21">
        <v>100</v>
      </c>
      <c r="R1635" s="21">
        <v>0</v>
      </c>
      <c r="S1635" s="5">
        <f t="shared" si="103"/>
        <v>75663.188760151999</v>
      </c>
      <c r="T1635" cm="1">
        <f t="array" ref="T1635">IF(OR(B1635="MAL ALIMI", B1635="ÜRETİM GİRİŞ"), MIN(I1635, MAX(0, I1635 + SUM(SUMIFS($I$1:I1634, $C$1:C1634, C1635, $B$1:B1634, {"MAL ALIMI","ÜRETİM GİRİŞ"})) - VLOOKUP(C1635, 'STOK RAPORU'!$C$2:$I$1000, 4, 0))), 0)</f>
        <v>0</v>
      </c>
      <c r="U1635" s="22">
        <f t="shared" si="100"/>
        <v>0</v>
      </c>
      <c r="V1635">
        <f t="shared" si="101"/>
        <v>0</v>
      </c>
      <c r="W1635" s="22">
        <f t="shared" si="102"/>
        <v>0</v>
      </c>
    </row>
    <row r="1636" spans="1:23" hidden="1" x14ac:dyDescent="0.25">
      <c r="A1636" s="3">
        <v>45991</v>
      </c>
      <c r="B1636" s="4" t="s">
        <v>334</v>
      </c>
      <c r="C1636" s="4" t="s">
        <v>249</v>
      </c>
      <c r="D1636" s="4"/>
      <c r="E1636" s="4" t="s">
        <v>921</v>
      </c>
      <c r="F1636" s="4" t="s">
        <v>1049</v>
      </c>
      <c r="G1636" s="4" t="s">
        <v>336</v>
      </c>
      <c r="H1636" s="4" t="s">
        <v>380</v>
      </c>
      <c r="I1636" s="4">
        <v>0.1</v>
      </c>
      <c r="J1636" s="21">
        <v>900</v>
      </c>
      <c r="K1636" s="21">
        <v>90</v>
      </c>
      <c r="L1636" s="5">
        <v>0</v>
      </c>
      <c r="M1636" s="4"/>
      <c r="N1636" s="4"/>
      <c r="O1636" s="5"/>
      <c r="P1636" s="5"/>
      <c r="Q1636" s="21">
        <v>0</v>
      </c>
      <c r="R1636" s="21">
        <v>0</v>
      </c>
      <c r="S1636" s="5">
        <f t="shared" si="103"/>
        <v>75663.188760151999</v>
      </c>
      <c r="T1636" cm="1">
        <f t="array" ref="T1636">IF(OR(B1636="MAL ALIMI", B1636="ÜRETİM GİRİŞ"), MIN(I1636, MAX(0, I1636 + SUM(SUMIFS($I$1:I1635, $C$1:C1635, C1636, $B$1:B1635, {"MAL ALIMI","ÜRETİM GİRİŞ"})) - VLOOKUP(C1636, 'STOK RAPORU'!$C$2:$I$1000, 4, 0))), 0)</f>
        <v>0</v>
      </c>
      <c r="U1636" s="22">
        <f t="shared" si="100"/>
        <v>0</v>
      </c>
      <c r="V1636">
        <f t="shared" si="101"/>
        <v>0</v>
      </c>
      <c r="W1636" s="22">
        <f t="shared" si="102"/>
        <v>0</v>
      </c>
    </row>
    <row r="1637" spans="1:23" hidden="1" x14ac:dyDescent="0.25">
      <c r="A1637" s="3">
        <v>45991</v>
      </c>
      <c r="B1637" s="4" t="s">
        <v>334</v>
      </c>
      <c r="C1637" s="4" t="s">
        <v>211</v>
      </c>
      <c r="D1637" s="4"/>
      <c r="E1637" s="4" t="s">
        <v>921</v>
      </c>
      <c r="F1637" s="4" t="s">
        <v>1049</v>
      </c>
      <c r="G1637" s="4" t="s">
        <v>336</v>
      </c>
      <c r="H1637" s="4" t="s">
        <v>380</v>
      </c>
      <c r="I1637" s="4">
        <v>0.14899999999999999</v>
      </c>
      <c r="J1637" s="21">
        <v>270</v>
      </c>
      <c r="K1637" s="21">
        <v>40.229999999999997</v>
      </c>
      <c r="L1637" s="5">
        <v>0</v>
      </c>
      <c r="M1637" s="4"/>
      <c r="N1637" s="4"/>
      <c r="O1637" s="5"/>
      <c r="P1637" s="5"/>
      <c r="Q1637" s="21">
        <v>0</v>
      </c>
      <c r="R1637" s="21">
        <v>0</v>
      </c>
      <c r="S1637" s="5">
        <f t="shared" si="103"/>
        <v>75663.188760151999</v>
      </c>
      <c r="T1637" cm="1">
        <f t="array" ref="T1637">IF(OR(B1637="MAL ALIMI", B1637="ÜRETİM GİRİŞ"), MIN(I1637, MAX(0, I1637 + SUM(SUMIFS($I$1:I1636, $C$1:C1636, C1637, $B$1:B1636, {"MAL ALIMI","ÜRETİM GİRİŞ"})) - VLOOKUP(C1637, 'STOK RAPORU'!$C$2:$I$1000, 4, 0))), 0)</f>
        <v>0</v>
      </c>
      <c r="U1637" s="22">
        <f t="shared" si="100"/>
        <v>0</v>
      </c>
      <c r="V1637">
        <f t="shared" si="101"/>
        <v>0</v>
      </c>
      <c r="W1637" s="22">
        <f t="shared" si="102"/>
        <v>0</v>
      </c>
    </row>
    <row r="1638" spans="1:23" hidden="1" x14ac:dyDescent="0.25">
      <c r="A1638" s="3">
        <v>45991</v>
      </c>
      <c r="B1638" s="4" t="s">
        <v>334</v>
      </c>
      <c r="C1638" s="4" t="s">
        <v>89</v>
      </c>
      <c r="D1638" s="4"/>
      <c r="E1638" s="4"/>
      <c r="F1638" s="4" t="s">
        <v>1050</v>
      </c>
      <c r="G1638" s="4" t="s">
        <v>336</v>
      </c>
      <c r="H1638" s="4" t="s">
        <v>289</v>
      </c>
      <c r="I1638" s="4">
        <v>0.35</v>
      </c>
      <c r="J1638" s="21">
        <v>575</v>
      </c>
      <c r="K1638" s="21">
        <v>0</v>
      </c>
      <c r="L1638" s="5">
        <v>0</v>
      </c>
      <c r="M1638" s="4"/>
      <c r="N1638" s="4"/>
      <c r="O1638" s="5"/>
      <c r="P1638" s="5"/>
      <c r="Q1638" s="21">
        <v>201.25</v>
      </c>
      <c r="R1638" s="21">
        <v>0</v>
      </c>
      <c r="S1638" s="5">
        <f t="shared" si="103"/>
        <v>75864.438760151999</v>
      </c>
      <c r="T1638" cm="1">
        <f t="array" ref="T1638">IF(OR(B1638="MAL ALIMI", B1638="ÜRETİM GİRİŞ"), MIN(I1638, MAX(0, I1638 + SUM(SUMIFS($I$1:I1637, $C$1:C1637, C1638, $B$1:B1637, {"MAL ALIMI","ÜRETİM GİRİŞ"})) - VLOOKUP(C1638, 'STOK RAPORU'!$C$2:$I$1000, 4, 0))), 0)</f>
        <v>0</v>
      </c>
      <c r="U1638" s="22">
        <f t="shared" si="100"/>
        <v>0</v>
      </c>
      <c r="V1638">
        <f t="shared" si="101"/>
        <v>0</v>
      </c>
      <c r="W1638" s="22">
        <f t="shared" si="102"/>
        <v>0</v>
      </c>
    </row>
    <row r="1639" spans="1:23" hidden="1" x14ac:dyDescent="0.25">
      <c r="A1639" s="3">
        <v>45991</v>
      </c>
      <c r="B1639" s="4" t="s">
        <v>334</v>
      </c>
      <c r="C1639" s="4" t="s">
        <v>89</v>
      </c>
      <c r="D1639" s="4"/>
      <c r="E1639" s="4"/>
      <c r="F1639" s="4" t="s">
        <v>1050</v>
      </c>
      <c r="G1639" s="4" t="s">
        <v>336</v>
      </c>
      <c r="H1639" s="4" t="s">
        <v>289</v>
      </c>
      <c r="I1639" s="4">
        <v>0.35</v>
      </c>
      <c r="J1639" s="21">
        <v>575</v>
      </c>
      <c r="K1639" s="21">
        <v>0</v>
      </c>
      <c r="L1639" s="5">
        <v>0</v>
      </c>
      <c r="M1639" s="4"/>
      <c r="N1639" s="4"/>
      <c r="O1639" s="5"/>
      <c r="P1639" s="5"/>
      <c r="Q1639" s="21">
        <v>201.25</v>
      </c>
      <c r="R1639" s="21">
        <v>0</v>
      </c>
      <c r="S1639" s="5">
        <f t="shared" si="103"/>
        <v>76065.688760151999</v>
      </c>
      <c r="T1639" cm="1">
        <f t="array" ref="T1639">IF(OR(B1639="MAL ALIMI", B1639="ÜRETİM GİRİŞ"), MIN(I1639, MAX(0, I1639 + SUM(SUMIFS($I$1:I1638, $C$1:C1638, C1639, $B$1:B1638, {"MAL ALIMI","ÜRETİM GİRİŞ"})) - VLOOKUP(C1639, 'STOK RAPORU'!$C$2:$I$1000, 4, 0))), 0)</f>
        <v>0</v>
      </c>
      <c r="U1639" s="22">
        <f t="shared" si="100"/>
        <v>0</v>
      </c>
      <c r="V1639">
        <f t="shared" si="101"/>
        <v>0</v>
      </c>
      <c r="W1639" s="22">
        <f t="shared" si="102"/>
        <v>0</v>
      </c>
    </row>
    <row r="1640" spans="1:23" hidden="1" x14ac:dyDescent="0.25">
      <c r="A1640" s="3">
        <v>45991</v>
      </c>
      <c r="B1640" s="4" t="s">
        <v>334</v>
      </c>
      <c r="C1640" s="4" t="s">
        <v>693</v>
      </c>
      <c r="D1640" s="4"/>
      <c r="E1640" s="4"/>
      <c r="F1640" s="4" t="s">
        <v>1051</v>
      </c>
      <c r="G1640" s="4" t="s">
        <v>336</v>
      </c>
      <c r="H1640" s="4" t="s">
        <v>289</v>
      </c>
      <c r="I1640" s="4">
        <v>0.51500000000000001</v>
      </c>
      <c r="J1640" s="21">
        <v>195</v>
      </c>
      <c r="K1640" s="21">
        <v>0</v>
      </c>
      <c r="L1640" s="5">
        <v>0</v>
      </c>
      <c r="M1640" s="4"/>
      <c r="N1640" s="4"/>
      <c r="O1640" s="5"/>
      <c r="P1640" s="5"/>
      <c r="Q1640" s="21">
        <v>100.425</v>
      </c>
      <c r="R1640" s="21">
        <v>0</v>
      </c>
      <c r="S1640" s="5">
        <f t="shared" si="103"/>
        <v>76166.113760152002</v>
      </c>
      <c r="T1640" cm="1">
        <f t="array" ref="T1640">IF(OR(B1640="MAL ALIMI", B1640="ÜRETİM GİRİŞ"), MIN(I1640, MAX(0, I1640 + SUM(SUMIFS($I$1:I1639, $C$1:C1639, C1640, $B$1:B1639, {"MAL ALIMI","ÜRETİM GİRİŞ"})) - VLOOKUP(C1640, 'STOK RAPORU'!$C$2:$I$1000, 4, 0))), 0)</f>
        <v>0</v>
      </c>
      <c r="U1640" s="22">
        <f t="shared" si="100"/>
        <v>0</v>
      </c>
      <c r="V1640">
        <f t="shared" si="101"/>
        <v>0</v>
      </c>
      <c r="W1640" s="22">
        <f t="shared" si="102"/>
        <v>0</v>
      </c>
    </row>
    <row r="1641" spans="1:23" hidden="1" x14ac:dyDescent="0.25">
      <c r="A1641" s="3">
        <v>45991</v>
      </c>
      <c r="B1641" s="4" t="s">
        <v>334</v>
      </c>
      <c r="C1641" s="4" t="s">
        <v>158</v>
      </c>
      <c r="D1641" s="4"/>
      <c r="E1641" s="4"/>
      <c r="F1641" s="4" t="s">
        <v>1052</v>
      </c>
      <c r="G1641" s="4" t="s">
        <v>336</v>
      </c>
      <c r="H1641" s="4" t="s">
        <v>289</v>
      </c>
      <c r="I1641" s="4">
        <v>1</v>
      </c>
      <c r="J1641" s="21">
        <v>100</v>
      </c>
      <c r="K1641" s="21">
        <v>0</v>
      </c>
      <c r="L1641" s="5">
        <v>0</v>
      </c>
      <c r="M1641" s="4"/>
      <c r="N1641" s="4"/>
      <c r="O1641" s="5"/>
      <c r="P1641" s="5"/>
      <c r="Q1641" s="21">
        <v>100</v>
      </c>
      <c r="R1641" s="21">
        <v>0</v>
      </c>
      <c r="S1641" s="5">
        <f t="shared" si="103"/>
        <v>76266.113760152002</v>
      </c>
      <c r="T1641" cm="1">
        <f t="array" ref="T1641">IF(OR(B1641="MAL ALIMI", B1641="ÜRETİM GİRİŞ"), MIN(I1641, MAX(0, I1641 + SUM(SUMIFS($I$1:I1640, $C$1:C1640, C1641, $B$1:B1640, {"MAL ALIMI","ÜRETİM GİRİŞ"})) - VLOOKUP(C1641, 'STOK RAPORU'!$C$2:$I$1000, 4, 0))), 0)</f>
        <v>0</v>
      </c>
      <c r="U1641" s="22">
        <f t="shared" si="100"/>
        <v>0</v>
      </c>
      <c r="V1641">
        <f t="shared" si="101"/>
        <v>0</v>
      </c>
      <c r="W1641" s="22">
        <f t="shared" si="102"/>
        <v>0</v>
      </c>
    </row>
    <row r="1642" spans="1:23" hidden="1" x14ac:dyDescent="0.25">
      <c r="A1642" s="3">
        <v>45991</v>
      </c>
      <c r="B1642" s="4" t="s">
        <v>334</v>
      </c>
      <c r="C1642" s="4" t="s">
        <v>131</v>
      </c>
      <c r="D1642" s="4"/>
      <c r="E1642" s="4"/>
      <c r="F1642" s="4" t="s">
        <v>1052</v>
      </c>
      <c r="G1642" s="4" t="s">
        <v>336</v>
      </c>
      <c r="H1642" s="4" t="s">
        <v>289</v>
      </c>
      <c r="I1642" s="4">
        <v>0.15</v>
      </c>
      <c r="J1642" s="21">
        <v>400</v>
      </c>
      <c r="K1642" s="21">
        <v>0</v>
      </c>
      <c r="L1642" s="5">
        <v>0</v>
      </c>
      <c r="M1642" s="4"/>
      <c r="N1642" s="4"/>
      <c r="O1642" s="5"/>
      <c r="P1642" s="5"/>
      <c r="Q1642" s="21">
        <v>60</v>
      </c>
      <c r="R1642" s="21">
        <v>0</v>
      </c>
      <c r="S1642" s="5">
        <f t="shared" si="103"/>
        <v>76326.113760152002</v>
      </c>
      <c r="T1642" cm="1">
        <f t="array" ref="T1642">IF(OR(B1642="MAL ALIMI", B1642="ÜRETİM GİRİŞ"), MIN(I1642, MAX(0, I1642 + SUM(SUMIFS($I$1:I1641, $C$1:C1641, C1642, $B$1:B1641, {"MAL ALIMI","ÜRETİM GİRİŞ"})) - VLOOKUP(C1642, 'STOK RAPORU'!$C$2:$I$1000, 4, 0))), 0)</f>
        <v>0</v>
      </c>
      <c r="U1642" s="22">
        <f t="shared" si="100"/>
        <v>0</v>
      </c>
      <c r="V1642">
        <f t="shared" si="101"/>
        <v>0</v>
      </c>
      <c r="W1642" s="22">
        <f t="shared" si="102"/>
        <v>0</v>
      </c>
    </row>
    <row r="1643" spans="1:23" hidden="1" x14ac:dyDescent="0.25">
      <c r="A1643" s="3">
        <v>45991</v>
      </c>
      <c r="B1643" s="4" t="s">
        <v>334</v>
      </c>
      <c r="C1643" s="4" t="s">
        <v>651</v>
      </c>
      <c r="D1643" s="4"/>
      <c r="E1643" s="4"/>
      <c r="F1643" s="4" t="s">
        <v>1053</v>
      </c>
      <c r="G1643" s="4" t="s">
        <v>336</v>
      </c>
      <c r="H1643" s="4" t="s">
        <v>289</v>
      </c>
      <c r="I1643" s="4">
        <v>1</v>
      </c>
      <c r="J1643" s="21">
        <v>400</v>
      </c>
      <c r="K1643" s="21">
        <v>0</v>
      </c>
      <c r="L1643" s="5">
        <v>0</v>
      </c>
      <c r="M1643" s="4"/>
      <c r="N1643" s="4"/>
      <c r="O1643" s="5"/>
      <c r="P1643" s="5"/>
      <c r="Q1643" s="21">
        <v>400</v>
      </c>
      <c r="R1643" s="21">
        <v>0</v>
      </c>
      <c r="S1643" s="5">
        <f t="shared" si="103"/>
        <v>76726.113760152002</v>
      </c>
      <c r="T1643" cm="1">
        <f t="array" ref="T1643">IF(OR(B1643="MAL ALIMI", B1643="ÜRETİM GİRİŞ"), MIN(I1643, MAX(0, I1643 + SUM(SUMIFS($I$1:I1642, $C$1:C1642, C1643, $B$1:B1642, {"MAL ALIMI","ÜRETİM GİRİŞ"})) - VLOOKUP(C1643, 'STOK RAPORU'!$C$2:$I$1000, 4, 0))), 0)</f>
        <v>0</v>
      </c>
      <c r="U1643" s="22">
        <f t="shared" si="100"/>
        <v>0</v>
      </c>
      <c r="V1643">
        <f t="shared" si="101"/>
        <v>0</v>
      </c>
      <c r="W1643" s="22">
        <f t="shared" si="102"/>
        <v>0</v>
      </c>
    </row>
    <row r="1644" spans="1:23" hidden="1" x14ac:dyDescent="0.25">
      <c r="A1644" s="3">
        <v>45991</v>
      </c>
      <c r="B1644" s="4" t="s">
        <v>334</v>
      </c>
      <c r="C1644" s="4" t="s">
        <v>690</v>
      </c>
      <c r="D1644" s="4"/>
      <c r="E1644" s="4" t="s">
        <v>921</v>
      </c>
      <c r="F1644" s="4" t="s">
        <v>1054</v>
      </c>
      <c r="G1644" s="4" t="s">
        <v>336</v>
      </c>
      <c r="H1644" s="4" t="s">
        <v>380</v>
      </c>
      <c r="I1644" s="4">
        <v>0.4</v>
      </c>
      <c r="J1644" s="21">
        <v>340</v>
      </c>
      <c r="K1644" s="21">
        <v>136</v>
      </c>
      <c r="L1644" s="5">
        <v>0</v>
      </c>
      <c r="M1644" s="4"/>
      <c r="N1644" s="4"/>
      <c r="O1644" s="5"/>
      <c r="P1644" s="5"/>
      <c r="Q1644" s="21">
        <v>0</v>
      </c>
      <c r="R1644" s="21">
        <v>0</v>
      </c>
      <c r="S1644" s="5">
        <f t="shared" si="103"/>
        <v>76726.113760152002</v>
      </c>
      <c r="T1644" cm="1">
        <f t="array" ref="T1644">IF(OR(B1644="MAL ALIMI", B1644="ÜRETİM GİRİŞ"), MIN(I1644, MAX(0, I1644 + SUM(SUMIFS($I$1:I1643, $C$1:C1643, C1644, $B$1:B1643, {"MAL ALIMI","ÜRETİM GİRİŞ"})) - VLOOKUP(C1644, 'STOK RAPORU'!$C$2:$I$1000, 4, 0))), 0)</f>
        <v>0</v>
      </c>
      <c r="U1644" s="22">
        <f t="shared" si="100"/>
        <v>0</v>
      </c>
      <c r="V1644">
        <f t="shared" si="101"/>
        <v>0</v>
      </c>
      <c r="W1644" s="22">
        <f t="shared" si="102"/>
        <v>0</v>
      </c>
    </row>
    <row r="1645" spans="1:23" hidden="1" x14ac:dyDescent="0.25">
      <c r="A1645" s="3">
        <v>45991</v>
      </c>
      <c r="B1645" s="4" t="s">
        <v>334</v>
      </c>
      <c r="C1645" s="4" t="s">
        <v>524</v>
      </c>
      <c r="D1645" s="4"/>
      <c r="E1645" s="4"/>
      <c r="F1645" s="4" t="s">
        <v>1055</v>
      </c>
      <c r="G1645" s="4" t="s">
        <v>336</v>
      </c>
      <c r="H1645" s="4" t="s">
        <v>289</v>
      </c>
      <c r="I1645" s="4">
        <v>0.1</v>
      </c>
      <c r="J1645" s="21">
        <v>400</v>
      </c>
      <c r="K1645" s="21">
        <v>0</v>
      </c>
      <c r="L1645" s="5">
        <v>0</v>
      </c>
      <c r="M1645" s="4"/>
      <c r="N1645" s="4"/>
      <c r="O1645" s="5"/>
      <c r="P1645" s="5"/>
      <c r="Q1645" s="21">
        <v>40</v>
      </c>
      <c r="R1645" s="21">
        <v>0</v>
      </c>
      <c r="S1645" s="5">
        <f t="shared" si="103"/>
        <v>76766.113760152002</v>
      </c>
      <c r="T1645" cm="1">
        <f t="array" ref="T1645">IF(OR(B1645="MAL ALIMI", B1645="ÜRETİM GİRİŞ"), MIN(I1645, MAX(0, I1645 + SUM(SUMIFS($I$1:I1644, $C$1:C1644, C1645, $B$1:B1644, {"MAL ALIMI","ÜRETİM GİRİŞ"})) - VLOOKUP(C1645, 'STOK RAPORU'!$C$2:$I$1000, 4, 0))), 0)</f>
        <v>0</v>
      </c>
      <c r="U1645" s="22">
        <f t="shared" si="100"/>
        <v>0</v>
      </c>
      <c r="V1645">
        <f t="shared" si="101"/>
        <v>0</v>
      </c>
      <c r="W1645" s="22">
        <f t="shared" si="102"/>
        <v>0</v>
      </c>
    </row>
    <row r="1646" spans="1:23" hidden="1" x14ac:dyDescent="0.25">
      <c r="A1646" s="3">
        <v>45991</v>
      </c>
      <c r="B1646" s="4" t="s">
        <v>334</v>
      </c>
      <c r="C1646" s="4" t="s">
        <v>976</v>
      </c>
      <c r="D1646" s="4"/>
      <c r="E1646" s="4"/>
      <c r="F1646" s="4" t="s">
        <v>1056</v>
      </c>
      <c r="G1646" s="4" t="s">
        <v>336</v>
      </c>
      <c r="H1646" s="4" t="s">
        <v>289</v>
      </c>
      <c r="I1646" s="4">
        <v>1</v>
      </c>
      <c r="J1646" s="21">
        <v>390</v>
      </c>
      <c r="K1646" s="21">
        <v>0</v>
      </c>
      <c r="L1646" s="5">
        <v>0</v>
      </c>
      <c r="M1646" s="4"/>
      <c r="N1646" s="4"/>
      <c r="O1646" s="5"/>
      <c r="P1646" s="5"/>
      <c r="Q1646" s="21">
        <v>390</v>
      </c>
      <c r="R1646" s="21">
        <v>0</v>
      </c>
      <c r="S1646" s="5">
        <f t="shared" si="103"/>
        <v>77156.113760152002</v>
      </c>
      <c r="T1646" cm="1">
        <f t="array" ref="T1646">IF(OR(B1646="MAL ALIMI", B1646="ÜRETİM GİRİŞ"), MIN(I1646, MAX(0, I1646 + SUM(SUMIFS($I$1:I1645, $C$1:C1645, C1646, $B$1:B1645, {"MAL ALIMI","ÜRETİM GİRİŞ"})) - VLOOKUP(C1646, 'STOK RAPORU'!$C$2:$I$1000, 4, 0))), 0)</f>
        <v>0</v>
      </c>
      <c r="U1646" s="22">
        <f t="shared" si="100"/>
        <v>0</v>
      </c>
      <c r="V1646">
        <f t="shared" si="101"/>
        <v>0</v>
      </c>
      <c r="W1646" s="22">
        <f t="shared" si="102"/>
        <v>0</v>
      </c>
    </row>
    <row r="1647" spans="1:23" hidden="1" x14ac:dyDescent="0.25">
      <c r="A1647" s="3">
        <v>45991</v>
      </c>
      <c r="B1647" s="4" t="s">
        <v>334</v>
      </c>
      <c r="C1647" s="4" t="s">
        <v>820</v>
      </c>
      <c r="D1647" s="4"/>
      <c r="E1647" s="4"/>
      <c r="F1647" s="4" t="s">
        <v>1057</v>
      </c>
      <c r="G1647" s="4" t="s">
        <v>336</v>
      </c>
      <c r="H1647" s="4" t="s">
        <v>289</v>
      </c>
      <c r="I1647" s="4">
        <v>1</v>
      </c>
      <c r="J1647" s="21">
        <v>130</v>
      </c>
      <c r="K1647" s="21">
        <v>0</v>
      </c>
      <c r="L1647" s="5">
        <v>0</v>
      </c>
      <c r="M1647" s="4"/>
      <c r="N1647" s="4"/>
      <c r="O1647" s="5"/>
      <c r="P1647" s="5"/>
      <c r="Q1647" s="21">
        <v>130</v>
      </c>
      <c r="R1647" s="21">
        <v>0</v>
      </c>
      <c r="S1647" s="5">
        <f t="shared" si="103"/>
        <v>77286.113760152002</v>
      </c>
      <c r="T1647" cm="1">
        <f t="array" ref="T1647">IF(OR(B1647="MAL ALIMI", B1647="ÜRETİM GİRİŞ"), MIN(I1647, MAX(0, I1647 + SUM(SUMIFS($I$1:I1646, $C$1:C1646, C1647, $B$1:B1646, {"MAL ALIMI","ÜRETİM GİRİŞ"})) - VLOOKUP(C1647, 'STOK RAPORU'!$C$2:$I$1000, 4, 0))), 0)</f>
        <v>0</v>
      </c>
      <c r="U1647" s="22">
        <f t="shared" si="100"/>
        <v>0</v>
      </c>
      <c r="V1647">
        <f t="shared" si="101"/>
        <v>0</v>
      </c>
      <c r="W1647" s="22">
        <f t="shared" si="102"/>
        <v>0</v>
      </c>
    </row>
    <row r="1648" spans="1:23" hidden="1" x14ac:dyDescent="0.25">
      <c r="A1648" s="3">
        <v>45991</v>
      </c>
      <c r="B1648" s="4" t="s">
        <v>334</v>
      </c>
      <c r="C1648" s="4" t="s">
        <v>619</v>
      </c>
      <c r="D1648" s="4"/>
      <c r="E1648" s="4"/>
      <c r="F1648" s="4" t="s">
        <v>1057</v>
      </c>
      <c r="G1648" s="4" t="s">
        <v>336</v>
      </c>
      <c r="H1648" s="4" t="s">
        <v>289</v>
      </c>
      <c r="I1648" s="4">
        <v>0.41935483870967744</v>
      </c>
      <c r="J1648" s="21">
        <v>155</v>
      </c>
      <c r="K1648" s="21">
        <v>0</v>
      </c>
      <c r="L1648" s="5">
        <v>0</v>
      </c>
      <c r="M1648" s="4"/>
      <c r="N1648" s="4"/>
      <c r="O1648" s="5"/>
      <c r="P1648" s="5"/>
      <c r="Q1648" s="21">
        <v>65</v>
      </c>
      <c r="R1648" s="21">
        <v>0</v>
      </c>
      <c r="S1648" s="5">
        <f t="shared" si="103"/>
        <v>77351.113760152002</v>
      </c>
      <c r="T1648" cm="1">
        <f t="array" ref="T1648">IF(OR(B1648="MAL ALIMI", B1648="ÜRETİM GİRİŞ"), MIN(I1648, MAX(0, I1648 + SUM(SUMIFS($I$1:I1647, $C$1:C1647, C1648, $B$1:B1647, {"MAL ALIMI","ÜRETİM GİRİŞ"})) - VLOOKUP(C1648, 'STOK RAPORU'!$C$2:$I$1000, 4, 0))), 0)</f>
        <v>0</v>
      </c>
      <c r="U1648" s="22">
        <f t="shared" si="100"/>
        <v>0</v>
      </c>
      <c r="V1648">
        <f t="shared" si="101"/>
        <v>0</v>
      </c>
      <c r="W1648" s="22">
        <f t="shared" si="102"/>
        <v>0</v>
      </c>
    </row>
    <row r="1649" spans="1:23" hidden="1" x14ac:dyDescent="0.25">
      <c r="A1649" s="3">
        <v>45991</v>
      </c>
      <c r="B1649" s="4" t="s">
        <v>334</v>
      </c>
      <c r="C1649" s="4" t="s">
        <v>459</v>
      </c>
      <c r="D1649" s="4"/>
      <c r="E1649" s="4" t="s">
        <v>921</v>
      </c>
      <c r="F1649" s="4" t="s">
        <v>1058</v>
      </c>
      <c r="G1649" s="4" t="s">
        <v>336</v>
      </c>
      <c r="H1649" s="4" t="s">
        <v>380</v>
      </c>
      <c r="I1649" s="4">
        <v>0.1</v>
      </c>
      <c r="J1649" s="21">
        <v>200</v>
      </c>
      <c r="K1649" s="21">
        <v>20</v>
      </c>
      <c r="L1649" s="5">
        <v>0</v>
      </c>
      <c r="M1649" s="4"/>
      <c r="N1649" s="4"/>
      <c r="O1649" s="5"/>
      <c r="P1649" s="5"/>
      <c r="Q1649" s="21">
        <v>0</v>
      </c>
      <c r="R1649" s="21">
        <v>0</v>
      </c>
      <c r="S1649" s="5">
        <f t="shared" si="103"/>
        <v>77351.113760152002</v>
      </c>
      <c r="T1649" cm="1">
        <f t="array" ref="T1649">IF(OR(B1649="MAL ALIMI", B1649="ÜRETİM GİRİŞ"), MIN(I1649, MAX(0, I1649 + SUM(SUMIFS($I$1:I1648, $C$1:C1648, C1649, $B$1:B1648, {"MAL ALIMI","ÜRETİM GİRİŞ"})) - VLOOKUP(C1649, 'STOK RAPORU'!$C$2:$I$1000, 4, 0))), 0)</f>
        <v>0</v>
      </c>
      <c r="U1649" s="22">
        <f t="shared" si="100"/>
        <v>0</v>
      </c>
      <c r="V1649">
        <f t="shared" si="101"/>
        <v>0</v>
      </c>
      <c r="W1649" s="22">
        <f t="shared" si="102"/>
        <v>0</v>
      </c>
    </row>
    <row r="1650" spans="1:23" hidden="1" x14ac:dyDescent="0.25">
      <c r="A1650" s="3">
        <v>45991</v>
      </c>
      <c r="B1650" s="4" t="s">
        <v>334</v>
      </c>
      <c r="C1650" s="4" t="s">
        <v>601</v>
      </c>
      <c r="D1650" s="4"/>
      <c r="E1650" s="4" t="s">
        <v>921</v>
      </c>
      <c r="F1650" s="4" t="s">
        <v>1058</v>
      </c>
      <c r="G1650" s="4" t="s">
        <v>336</v>
      </c>
      <c r="H1650" s="4" t="s">
        <v>380</v>
      </c>
      <c r="I1650" s="4">
        <v>9.6199999999999994E-2</v>
      </c>
      <c r="J1650" s="21">
        <v>520</v>
      </c>
      <c r="K1650" s="21">
        <v>50.023999999999994</v>
      </c>
      <c r="L1650" s="5">
        <v>0</v>
      </c>
      <c r="M1650" s="4"/>
      <c r="N1650" s="4"/>
      <c r="O1650" s="5"/>
      <c r="P1650" s="5"/>
      <c r="Q1650" s="21">
        <v>0</v>
      </c>
      <c r="R1650" s="21">
        <v>0</v>
      </c>
      <c r="S1650" s="5">
        <f t="shared" si="103"/>
        <v>77351.113760152002</v>
      </c>
      <c r="T1650" cm="1">
        <f t="array" ref="T1650">IF(OR(B1650="MAL ALIMI", B1650="ÜRETİM GİRİŞ"), MIN(I1650, MAX(0, I1650 + SUM(SUMIFS($I$1:I1649, $C$1:C1649, C1650, $B$1:B1649, {"MAL ALIMI","ÜRETİM GİRİŞ"})) - VLOOKUP(C1650, 'STOK RAPORU'!$C$2:$I$1000, 4, 0))), 0)</f>
        <v>0</v>
      </c>
      <c r="U1650" s="22">
        <f t="shared" si="100"/>
        <v>0</v>
      </c>
      <c r="V1650">
        <f t="shared" si="101"/>
        <v>0</v>
      </c>
      <c r="W1650" s="22">
        <f t="shared" si="102"/>
        <v>0</v>
      </c>
    </row>
    <row r="1651" spans="1:23" hidden="1" x14ac:dyDescent="0.25">
      <c r="A1651" s="3">
        <v>45991</v>
      </c>
      <c r="B1651" s="4" t="s">
        <v>334</v>
      </c>
      <c r="C1651" s="4" t="s">
        <v>143</v>
      </c>
      <c r="D1651" s="4"/>
      <c r="E1651" s="4" t="s">
        <v>921</v>
      </c>
      <c r="F1651" s="4" t="s">
        <v>1058</v>
      </c>
      <c r="G1651" s="4" t="s">
        <v>336</v>
      </c>
      <c r="H1651" s="4" t="s">
        <v>380</v>
      </c>
      <c r="I1651" s="4">
        <v>1</v>
      </c>
      <c r="J1651" s="21">
        <v>100</v>
      </c>
      <c r="K1651" s="21">
        <v>100</v>
      </c>
      <c r="L1651" s="5">
        <v>0</v>
      </c>
      <c r="M1651" s="4"/>
      <c r="N1651" s="4"/>
      <c r="O1651" s="5"/>
      <c r="P1651" s="5"/>
      <c r="Q1651" s="21">
        <v>0</v>
      </c>
      <c r="R1651" s="21">
        <v>0</v>
      </c>
      <c r="S1651" s="5">
        <f t="shared" si="103"/>
        <v>77351.113760152002</v>
      </c>
      <c r="T1651" cm="1">
        <f t="array" ref="T1651">IF(OR(B1651="MAL ALIMI", B1651="ÜRETİM GİRİŞ"), MIN(I1651, MAX(0, I1651 + SUM(SUMIFS($I$1:I1650, $C$1:C1650, C1651, $B$1:B1650, {"MAL ALIMI","ÜRETİM GİRİŞ"})) - VLOOKUP(C1651, 'STOK RAPORU'!$C$2:$I$1000, 4, 0))), 0)</f>
        <v>0</v>
      </c>
      <c r="U1651" s="22">
        <f t="shared" si="100"/>
        <v>0</v>
      </c>
      <c r="V1651">
        <f t="shared" si="101"/>
        <v>0</v>
      </c>
      <c r="W1651" s="22">
        <f t="shared" si="102"/>
        <v>0</v>
      </c>
    </row>
    <row r="1652" spans="1:23" hidden="1" x14ac:dyDescent="0.25">
      <c r="A1652" s="3">
        <v>45991</v>
      </c>
      <c r="B1652" s="4" t="s">
        <v>334</v>
      </c>
      <c r="C1652" s="4" t="s">
        <v>157</v>
      </c>
      <c r="D1652" s="4"/>
      <c r="E1652" s="4"/>
      <c r="F1652" s="4" t="s">
        <v>1059</v>
      </c>
      <c r="G1652" s="4" t="s">
        <v>336</v>
      </c>
      <c r="H1652" s="4" t="s">
        <v>289</v>
      </c>
      <c r="I1652" s="4">
        <v>1</v>
      </c>
      <c r="J1652" s="21">
        <v>180</v>
      </c>
      <c r="K1652" s="21">
        <v>0</v>
      </c>
      <c r="L1652" s="5">
        <v>0</v>
      </c>
      <c r="M1652" s="4"/>
      <c r="N1652" s="4"/>
      <c r="O1652" s="5"/>
      <c r="P1652" s="5"/>
      <c r="Q1652" s="21">
        <v>180</v>
      </c>
      <c r="R1652" s="21">
        <v>0</v>
      </c>
      <c r="S1652" s="5">
        <f t="shared" si="103"/>
        <v>77531.113760152002</v>
      </c>
      <c r="T1652" cm="1">
        <f t="array" ref="T1652">IF(OR(B1652="MAL ALIMI", B1652="ÜRETİM GİRİŞ"), MIN(I1652, MAX(0, I1652 + SUM(SUMIFS($I$1:I1651, $C$1:C1651, C1652, $B$1:B1651, {"MAL ALIMI","ÜRETİM GİRİŞ"})) - VLOOKUP(C1652, 'STOK RAPORU'!$C$2:$I$1000, 4, 0))), 0)</f>
        <v>0</v>
      </c>
      <c r="U1652" s="22">
        <f t="shared" si="100"/>
        <v>0</v>
      </c>
      <c r="V1652">
        <f t="shared" si="101"/>
        <v>0</v>
      </c>
      <c r="W1652" s="22">
        <f t="shared" si="102"/>
        <v>0</v>
      </c>
    </row>
    <row r="1653" spans="1:23" hidden="1" x14ac:dyDescent="0.25">
      <c r="A1653" s="3">
        <v>45991</v>
      </c>
      <c r="B1653" s="4" t="s">
        <v>334</v>
      </c>
      <c r="C1653" s="4" t="s">
        <v>158</v>
      </c>
      <c r="D1653" s="4"/>
      <c r="E1653" s="4"/>
      <c r="F1653" s="4" t="s">
        <v>1059</v>
      </c>
      <c r="G1653" s="4" t="s">
        <v>336</v>
      </c>
      <c r="H1653" s="4" t="s">
        <v>289</v>
      </c>
      <c r="I1653" s="4">
        <v>1</v>
      </c>
      <c r="J1653" s="21">
        <v>130</v>
      </c>
      <c r="K1653" s="21">
        <v>0</v>
      </c>
      <c r="L1653" s="5">
        <v>0</v>
      </c>
      <c r="M1653" s="4"/>
      <c r="N1653" s="4"/>
      <c r="O1653" s="5"/>
      <c r="P1653" s="5"/>
      <c r="Q1653" s="21">
        <v>130</v>
      </c>
      <c r="R1653" s="21">
        <v>0</v>
      </c>
      <c r="S1653" s="5">
        <f t="shared" si="103"/>
        <v>77661.113760152002</v>
      </c>
      <c r="T1653" cm="1">
        <f t="array" ref="T1653">IF(OR(B1653="MAL ALIMI", B1653="ÜRETİM GİRİŞ"), MIN(I1653, MAX(0, I1653 + SUM(SUMIFS($I$1:I1652, $C$1:C1652, C1653, $B$1:B1652, {"MAL ALIMI","ÜRETİM GİRİŞ"})) - VLOOKUP(C1653, 'STOK RAPORU'!$C$2:$I$1000, 4, 0))), 0)</f>
        <v>0</v>
      </c>
      <c r="U1653" s="22">
        <f t="shared" si="100"/>
        <v>0</v>
      </c>
      <c r="V1653">
        <f t="shared" si="101"/>
        <v>0</v>
      </c>
      <c r="W1653" s="22">
        <f t="shared" si="102"/>
        <v>0</v>
      </c>
    </row>
    <row r="1654" spans="1:23" hidden="1" x14ac:dyDescent="0.25">
      <c r="A1654" s="3">
        <v>45991</v>
      </c>
      <c r="B1654" s="4" t="s">
        <v>334</v>
      </c>
      <c r="C1654" s="4" t="s">
        <v>156</v>
      </c>
      <c r="D1654" s="4"/>
      <c r="E1654" s="4"/>
      <c r="F1654" s="4" t="s">
        <v>1059</v>
      </c>
      <c r="G1654" s="4" t="s">
        <v>336</v>
      </c>
      <c r="H1654" s="4" t="s">
        <v>289</v>
      </c>
      <c r="I1654" s="4">
        <v>0.5</v>
      </c>
      <c r="J1654" s="21">
        <v>180</v>
      </c>
      <c r="K1654" s="21">
        <v>0</v>
      </c>
      <c r="L1654" s="5">
        <v>0</v>
      </c>
      <c r="M1654" s="4"/>
      <c r="N1654" s="4"/>
      <c r="O1654" s="5"/>
      <c r="P1654" s="5"/>
      <c r="Q1654" s="21">
        <v>90</v>
      </c>
      <c r="R1654" s="21">
        <v>0</v>
      </c>
      <c r="S1654" s="5">
        <f t="shared" si="103"/>
        <v>77751.113760152002</v>
      </c>
      <c r="T1654" cm="1">
        <f t="array" ref="T1654">IF(OR(B1654="MAL ALIMI", B1654="ÜRETİM GİRİŞ"), MIN(I1654, MAX(0, I1654 + SUM(SUMIFS($I$1:I1653, $C$1:C1653, C1654, $B$1:B1653, {"MAL ALIMI","ÜRETİM GİRİŞ"})) - VLOOKUP(C1654, 'STOK RAPORU'!$C$2:$I$1000, 4, 0))), 0)</f>
        <v>0</v>
      </c>
      <c r="U1654" s="22">
        <f t="shared" si="100"/>
        <v>0</v>
      </c>
      <c r="V1654">
        <f t="shared" si="101"/>
        <v>0</v>
      </c>
      <c r="W1654" s="22">
        <f t="shared" si="102"/>
        <v>0</v>
      </c>
    </row>
    <row r="1655" spans="1:23" hidden="1" x14ac:dyDescent="0.25">
      <c r="A1655" s="3">
        <v>45992</v>
      </c>
      <c r="B1655" s="4" t="s">
        <v>298</v>
      </c>
      <c r="C1655" s="4" t="s">
        <v>911</v>
      </c>
      <c r="D1655" s="4"/>
      <c r="E1655" s="4" t="s">
        <v>856</v>
      </c>
      <c r="F1655" s="4" t="s">
        <v>1145</v>
      </c>
      <c r="G1655" s="4" t="s">
        <v>753</v>
      </c>
      <c r="H1655" s="4" t="s">
        <v>1329</v>
      </c>
      <c r="I1655" s="4">
        <v>12</v>
      </c>
      <c r="J1655" s="35">
        <v>64.701666666666668</v>
      </c>
      <c r="K1655" s="35">
        <v>0</v>
      </c>
      <c r="L1655" s="5">
        <v>776.42000000000007</v>
      </c>
      <c r="M1655" s="4"/>
      <c r="N1655" s="4"/>
      <c r="O1655" s="5"/>
      <c r="P1655" s="5"/>
      <c r="Q1655" s="35">
        <v>0</v>
      </c>
      <c r="R1655" s="35">
        <v>0</v>
      </c>
      <c r="S1655" s="5">
        <f t="shared" si="103"/>
        <v>77751.113760152002</v>
      </c>
      <c r="T1655" cm="1">
        <f t="array" ref="T1655">IF(OR(B1655="MAL ALIMI", B1655="ÜRETİM GİRİŞ"), MIN(I1655, MAX(0, I1655 + SUM(SUMIFS($I$1:I1654, $C$1:C1654, C1655, $B$1:B1654, {"MAL ALIMI","ÜRETİM GİRİŞ"})) - VLOOKUP(C1655, 'STOK RAPORU'!$C$2:$I$1000, 4, 0))), 0)</f>
        <v>4</v>
      </c>
      <c r="U1655" s="22">
        <f t="shared" si="100"/>
        <v>258.80666666666667</v>
      </c>
      <c r="V1655">
        <f t="shared" si="101"/>
        <v>776.42000000000007</v>
      </c>
      <c r="W1655" s="22">
        <f t="shared" si="102"/>
        <v>517.61333333333346</v>
      </c>
    </row>
    <row r="1656" spans="1:23" hidden="1" x14ac:dyDescent="0.25">
      <c r="A1656" s="3">
        <v>45992</v>
      </c>
      <c r="B1656" s="4" t="s">
        <v>298</v>
      </c>
      <c r="C1656" s="4" t="s">
        <v>1120</v>
      </c>
      <c r="D1656" s="4"/>
      <c r="E1656" s="4" t="s">
        <v>856</v>
      </c>
      <c r="F1656" s="4" t="s">
        <v>1146</v>
      </c>
      <c r="G1656" s="4" t="s">
        <v>753</v>
      </c>
      <c r="H1656" s="4" t="s">
        <v>1329</v>
      </c>
      <c r="I1656" s="4">
        <v>8</v>
      </c>
      <c r="J1656" s="35">
        <v>102.52500000000001</v>
      </c>
      <c r="K1656" s="35">
        <v>0</v>
      </c>
      <c r="L1656" s="5">
        <v>820.2</v>
      </c>
      <c r="M1656" s="4"/>
      <c r="N1656" s="4"/>
      <c r="O1656" s="5"/>
      <c r="P1656" s="5"/>
      <c r="Q1656" s="35">
        <v>0</v>
      </c>
      <c r="R1656" s="35">
        <v>0</v>
      </c>
      <c r="S1656" s="5">
        <f t="shared" si="103"/>
        <v>77751.113760152002</v>
      </c>
      <c r="T1656" cm="1">
        <f t="array" ref="T1656">IF(OR(B1656="MAL ALIMI", B1656="ÜRETİM GİRİŞ"), MIN(I1656, MAX(0, I1656 + SUM(SUMIFS($I$1:I1655, $C$1:C1655, C1656, $B$1:B1655, {"MAL ALIMI","ÜRETİM GİRİŞ"})) - VLOOKUP(C1656, 'STOK RAPORU'!$C$2:$I$1000, 4, 0))), 0)</f>
        <v>6</v>
      </c>
      <c r="U1656" s="22">
        <f t="shared" si="100"/>
        <v>615.15000000000009</v>
      </c>
      <c r="V1656">
        <f t="shared" si="101"/>
        <v>820.2</v>
      </c>
      <c r="W1656" s="22">
        <f t="shared" si="102"/>
        <v>205.04999999999995</v>
      </c>
    </row>
    <row r="1657" spans="1:23" hidden="1" x14ac:dyDescent="0.25">
      <c r="A1657" s="3">
        <v>45992</v>
      </c>
      <c r="B1657" s="4" t="s">
        <v>298</v>
      </c>
      <c r="C1657" s="4" t="s">
        <v>1126</v>
      </c>
      <c r="D1657" s="4"/>
      <c r="E1657" s="4" t="s">
        <v>856</v>
      </c>
      <c r="F1657" s="4" t="s">
        <v>1147</v>
      </c>
      <c r="G1657" s="4" t="s">
        <v>753</v>
      </c>
      <c r="H1657" s="4" t="s">
        <v>1329</v>
      </c>
      <c r="I1657" s="4">
        <v>6</v>
      </c>
      <c r="J1657" s="35">
        <v>146.6</v>
      </c>
      <c r="K1657" s="35">
        <v>0</v>
      </c>
      <c r="L1657" s="5">
        <v>879.59999999999991</v>
      </c>
      <c r="M1657" s="4"/>
      <c r="N1657" s="4"/>
      <c r="O1657" s="5"/>
      <c r="P1657" s="5"/>
      <c r="Q1657" s="35">
        <v>0</v>
      </c>
      <c r="R1657" s="35">
        <v>0</v>
      </c>
      <c r="S1657" s="5">
        <f t="shared" si="103"/>
        <v>77751.113760152002</v>
      </c>
      <c r="T1657" cm="1">
        <f t="array" ref="T1657">IF(OR(B1657="MAL ALIMI", B1657="ÜRETİM GİRİŞ"), MIN(I1657, MAX(0, I1657 + SUM(SUMIFS($I$1:I1656, $C$1:C1656, C1657, $B$1:B1656, {"MAL ALIMI","ÜRETİM GİRİŞ"})) - VLOOKUP(C1657, 'STOK RAPORU'!$C$2:$I$1000, 4, 0))), 0)</f>
        <v>0</v>
      </c>
      <c r="U1657" s="22">
        <f t="shared" si="100"/>
        <v>0</v>
      </c>
      <c r="V1657">
        <f t="shared" si="101"/>
        <v>879.59999999999991</v>
      </c>
      <c r="W1657" s="22">
        <f t="shared" si="102"/>
        <v>879.59999999999991</v>
      </c>
    </row>
    <row r="1658" spans="1:23" hidden="1" x14ac:dyDescent="0.25">
      <c r="A1658" s="3">
        <v>45992</v>
      </c>
      <c r="B1658" s="4" t="s">
        <v>298</v>
      </c>
      <c r="C1658" s="4" t="s">
        <v>1127</v>
      </c>
      <c r="D1658" s="4"/>
      <c r="E1658" s="4" t="s">
        <v>856</v>
      </c>
      <c r="F1658" s="4" t="s">
        <v>1148</v>
      </c>
      <c r="G1658" s="4" t="s">
        <v>753</v>
      </c>
      <c r="H1658" s="4" t="s">
        <v>1329</v>
      </c>
      <c r="I1658" s="4">
        <v>4</v>
      </c>
      <c r="J1658" s="36">
        <v>168</v>
      </c>
      <c r="K1658" s="35">
        <v>0</v>
      </c>
      <c r="L1658" s="5">
        <v>672</v>
      </c>
      <c r="M1658" s="4"/>
      <c r="N1658" s="4"/>
      <c r="O1658" s="5"/>
      <c r="P1658" s="5"/>
      <c r="Q1658" s="35">
        <v>0</v>
      </c>
      <c r="R1658" s="35">
        <v>0</v>
      </c>
      <c r="S1658" s="5">
        <f t="shared" si="103"/>
        <v>77751.113760152002</v>
      </c>
      <c r="T1658" cm="1">
        <f t="array" ref="T1658">IF(OR(B1658="MAL ALIMI", B1658="ÜRETİM GİRİŞ"), MIN(I1658, MAX(0, I1658 + SUM(SUMIFS($I$1:I1657, $C$1:C1657, C1658, $B$1:B1657, {"MAL ALIMI","ÜRETİM GİRİŞ"})) - VLOOKUP(C1658, 'STOK RAPORU'!$C$2:$I$1000, 4, 0))), 0)</f>
        <v>0</v>
      </c>
      <c r="U1658" s="22">
        <f t="shared" si="100"/>
        <v>0</v>
      </c>
      <c r="V1658">
        <f t="shared" si="101"/>
        <v>672</v>
      </c>
      <c r="W1658" s="22">
        <f t="shared" si="102"/>
        <v>672</v>
      </c>
    </row>
    <row r="1659" spans="1:23" hidden="1" x14ac:dyDescent="0.25">
      <c r="A1659" s="3">
        <v>45992</v>
      </c>
      <c r="B1659" s="4" t="s">
        <v>334</v>
      </c>
      <c r="C1659" s="4" t="s">
        <v>225</v>
      </c>
      <c r="D1659" s="4"/>
      <c r="E1659" s="4" t="s">
        <v>921</v>
      </c>
      <c r="F1659" s="4" t="s">
        <v>1063</v>
      </c>
      <c r="G1659" s="4" t="s">
        <v>336</v>
      </c>
      <c r="H1659" s="4" t="s">
        <v>380</v>
      </c>
      <c r="I1659" s="4">
        <v>0.17</v>
      </c>
      <c r="J1659" s="21">
        <v>650</v>
      </c>
      <c r="K1659" s="21">
        <v>110.50000000000001</v>
      </c>
      <c r="L1659" s="5">
        <v>0</v>
      </c>
      <c r="M1659" s="4"/>
      <c r="N1659" s="4"/>
      <c r="O1659" s="5"/>
      <c r="P1659" s="5"/>
      <c r="Q1659" s="21">
        <v>0</v>
      </c>
      <c r="R1659" s="21">
        <v>0</v>
      </c>
      <c r="S1659" s="5">
        <f t="shared" si="103"/>
        <v>77751.113760152002</v>
      </c>
      <c r="T1659" cm="1">
        <f t="array" ref="T1659">IF(OR(B1659="MAL ALIMI", B1659="ÜRETİM GİRİŞ"), MIN(I1659, MAX(0, I1659 + SUM(SUMIFS($I$1:I1658, $C$1:C1658, C1659, $B$1:B1658, {"MAL ALIMI","ÜRETİM GİRİŞ"})) - VLOOKUP(C1659, 'STOK RAPORU'!$C$2:$I$1000, 4, 0))), 0)</f>
        <v>0</v>
      </c>
      <c r="U1659" s="22">
        <f t="shared" si="100"/>
        <v>0</v>
      </c>
      <c r="V1659">
        <f t="shared" si="101"/>
        <v>0</v>
      </c>
      <c r="W1659" s="22">
        <f t="shared" si="102"/>
        <v>0</v>
      </c>
    </row>
    <row r="1660" spans="1:23" hidden="1" x14ac:dyDescent="0.25">
      <c r="A1660" s="3">
        <v>45992</v>
      </c>
      <c r="B1660" s="4" t="s">
        <v>334</v>
      </c>
      <c r="C1660" s="4" t="s">
        <v>223</v>
      </c>
      <c r="D1660" s="4"/>
      <c r="E1660" s="4" t="s">
        <v>921</v>
      </c>
      <c r="F1660" s="4" t="s">
        <v>1063</v>
      </c>
      <c r="G1660" s="4" t="s">
        <v>336</v>
      </c>
      <c r="H1660" s="4" t="s">
        <v>380</v>
      </c>
      <c r="I1660" s="4">
        <v>0.316</v>
      </c>
      <c r="J1660" s="21">
        <v>700</v>
      </c>
      <c r="K1660" s="21">
        <v>221.2</v>
      </c>
      <c r="L1660" s="5">
        <v>0</v>
      </c>
      <c r="M1660" s="4"/>
      <c r="N1660" s="4"/>
      <c r="O1660" s="5"/>
      <c r="P1660" s="5"/>
      <c r="Q1660" s="21">
        <v>0</v>
      </c>
      <c r="R1660" s="21">
        <v>0</v>
      </c>
      <c r="S1660" s="5">
        <f t="shared" si="103"/>
        <v>77751.113760152002</v>
      </c>
      <c r="T1660" cm="1">
        <f t="array" ref="T1660">IF(OR(B1660="MAL ALIMI", B1660="ÜRETİM GİRİŞ"), MIN(I1660, MAX(0, I1660 + SUM(SUMIFS($I$1:I1659, $C$1:C1659, C1660, $B$1:B1659, {"MAL ALIMI","ÜRETİM GİRİŞ"})) - VLOOKUP(C1660, 'STOK RAPORU'!$C$2:$I$1000, 4, 0))), 0)</f>
        <v>0</v>
      </c>
      <c r="U1660" s="22">
        <f t="shared" si="100"/>
        <v>0</v>
      </c>
      <c r="V1660">
        <f t="shared" si="101"/>
        <v>0</v>
      </c>
      <c r="W1660" s="22">
        <f t="shared" si="102"/>
        <v>0</v>
      </c>
    </row>
    <row r="1661" spans="1:23" hidden="1" x14ac:dyDescent="0.25">
      <c r="A1661" s="3">
        <v>45992</v>
      </c>
      <c r="B1661" s="4" t="s">
        <v>334</v>
      </c>
      <c r="C1661" s="4" t="s">
        <v>690</v>
      </c>
      <c r="D1661" s="4"/>
      <c r="E1661" s="4" t="s">
        <v>921</v>
      </c>
      <c r="F1661" s="4" t="s">
        <v>1063</v>
      </c>
      <c r="G1661" s="4" t="s">
        <v>336</v>
      </c>
      <c r="H1661" s="4" t="s">
        <v>380</v>
      </c>
      <c r="I1661" s="4">
        <v>0.47199999999999998</v>
      </c>
      <c r="J1661" s="21">
        <v>340</v>
      </c>
      <c r="K1661" s="21">
        <v>160.47999999999999</v>
      </c>
      <c r="L1661" s="5">
        <v>0</v>
      </c>
      <c r="M1661" s="4"/>
      <c r="N1661" s="4"/>
      <c r="O1661" s="5"/>
      <c r="P1661" s="5"/>
      <c r="Q1661" s="21">
        <v>0</v>
      </c>
      <c r="R1661" s="21">
        <v>0</v>
      </c>
      <c r="S1661" s="5">
        <f t="shared" si="103"/>
        <v>77751.113760152002</v>
      </c>
      <c r="T1661" cm="1">
        <f t="array" ref="T1661">IF(OR(B1661="MAL ALIMI", B1661="ÜRETİM GİRİŞ"), MIN(I1661, MAX(0, I1661 + SUM(SUMIFS($I$1:I1660, $C$1:C1660, C1661, $B$1:B1660, {"MAL ALIMI","ÜRETİM GİRİŞ"})) - VLOOKUP(C1661, 'STOK RAPORU'!$C$2:$I$1000, 4, 0))), 0)</f>
        <v>0</v>
      </c>
      <c r="U1661" s="22">
        <f t="shared" si="100"/>
        <v>0</v>
      </c>
      <c r="V1661">
        <f t="shared" si="101"/>
        <v>0</v>
      </c>
      <c r="W1661" s="22">
        <f t="shared" si="102"/>
        <v>0</v>
      </c>
    </row>
    <row r="1662" spans="1:23" hidden="1" x14ac:dyDescent="0.25">
      <c r="A1662" s="3">
        <v>45992</v>
      </c>
      <c r="B1662" s="4" t="s">
        <v>334</v>
      </c>
      <c r="C1662" s="4" t="s">
        <v>1041</v>
      </c>
      <c r="D1662" s="4"/>
      <c r="E1662" s="4" t="s">
        <v>921</v>
      </c>
      <c r="F1662" s="4" t="s">
        <v>1063</v>
      </c>
      <c r="G1662" s="4" t="s">
        <v>336</v>
      </c>
      <c r="H1662" s="4" t="s">
        <v>380</v>
      </c>
      <c r="I1662" s="4">
        <v>1</v>
      </c>
      <c r="J1662" s="21">
        <v>270</v>
      </c>
      <c r="K1662" s="21">
        <v>270</v>
      </c>
      <c r="L1662" s="5">
        <v>0</v>
      </c>
      <c r="M1662" s="4"/>
      <c r="N1662" s="4"/>
      <c r="O1662" s="5"/>
      <c r="P1662" s="5"/>
      <c r="Q1662" s="21">
        <v>0</v>
      </c>
      <c r="R1662" s="21">
        <v>0</v>
      </c>
      <c r="S1662" s="5">
        <f t="shared" si="103"/>
        <v>77751.113760152002</v>
      </c>
      <c r="T1662" cm="1">
        <f t="array" ref="T1662">IF(OR(B1662="MAL ALIMI", B1662="ÜRETİM GİRİŞ"), MIN(I1662, MAX(0, I1662 + SUM(SUMIFS($I$1:I1661, $C$1:C1661, C1662, $B$1:B1661, {"MAL ALIMI","ÜRETİM GİRİŞ"})) - VLOOKUP(C1662, 'STOK RAPORU'!$C$2:$I$1000, 4, 0))), 0)</f>
        <v>0</v>
      </c>
      <c r="U1662" s="22">
        <f t="shared" si="100"/>
        <v>0</v>
      </c>
      <c r="V1662">
        <f t="shared" si="101"/>
        <v>0</v>
      </c>
      <c r="W1662" s="22">
        <f t="shared" si="102"/>
        <v>0</v>
      </c>
    </row>
    <row r="1663" spans="1:23" hidden="1" x14ac:dyDescent="0.25">
      <c r="A1663" s="3">
        <v>45992</v>
      </c>
      <c r="B1663" s="4" t="s">
        <v>334</v>
      </c>
      <c r="C1663" s="4" t="s">
        <v>1023</v>
      </c>
      <c r="D1663" s="4"/>
      <c r="E1663" s="4"/>
      <c r="F1663" s="4" t="s">
        <v>1064</v>
      </c>
      <c r="G1663" s="4" t="s">
        <v>336</v>
      </c>
      <c r="H1663" s="4" t="s">
        <v>289</v>
      </c>
      <c r="I1663" s="4">
        <v>1.385</v>
      </c>
      <c r="J1663" s="21">
        <v>65</v>
      </c>
      <c r="K1663" s="21">
        <v>0</v>
      </c>
      <c r="L1663" s="5">
        <v>0</v>
      </c>
      <c r="M1663" s="4"/>
      <c r="N1663" s="4"/>
      <c r="O1663" s="5"/>
      <c r="P1663" s="5"/>
      <c r="Q1663" s="21">
        <v>90.025000000000006</v>
      </c>
      <c r="R1663" s="21">
        <v>0</v>
      </c>
      <c r="S1663" s="5">
        <f t="shared" si="103"/>
        <v>77841.138760151996</v>
      </c>
      <c r="T1663" cm="1">
        <f t="array" ref="T1663">IF(OR(B1663="MAL ALIMI", B1663="ÜRETİM GİRİŞ"), MIN(I1663, MAX(0, I1663 + SUM(SUMIFS($I$1:I1662, $C$1:C1662, C1663, $B$1:B1662, {"MAL ALIMI","ÜRETİM GİRİŞ"})) - VLOOKUP(C1663, 'STOK RAPORU'!$C$2:$I$1000, 4, 0))), 0)</f>
        <v>0</v>
      </c>
      <c r="U1663" s="22">
        <f t="shared" si="100"/>
        <v>0</v>
      </c>
      <c r="V1663">
        <f t="shared" si="101"/>
        <v>0</v>
      </c>
      <c r="W1663" s="22">
        <f t="shared" si="102"/>
        <v>0</v>
      </c>
    </row>
    <row r="1664" spans="1:23" hidden="1" x14ac:dyDescent="0.25">
      <c r="A1664" s="3">
        <v>45992</v>
      </c>
      <c r="B1664" s="4" t="s">
        <v>334</v>
      </c>
      <c r="C1664" s="4" t="s">
        <v>133</v>
      </c>
      <c r="D1664" s="4"/>
      <c r="E1664" s="4"/>
      <c r="F1664" s="4" t="s">
        <v>1064</v>
      </c>
      <c r="G1664" s="4" t="s">
        <v>336</v>
      </c>
      <c r="H1664" s="4" t="s">
        <v>289</v>
      </c>
      <c r="I1664" s="4">
        <v>0.14299999999999999</v>
      </c>
      <c r="J1664" s="21">
        <v>420</v>
      </c>
      <c r="K1664" s="21">
        <v>0</v>
      </c>
      <c r="L1664" s="5">
        <v>0</v>
      </c>
      <c r="M1664" s="4"/>
      <c r="N1664" s="4"/>
      <c r="O1664" s="5"/>
      <c r="P1664" s="5"/>
      <c r="Q1664" s="21">
        <v>60.059999999999995</v>
      </c>
      <c r="R1664" s="21">
        <v>0</v>
      </c>
      <c r="S1664" s="5">
        <f t="shared" si="103"/>
        <v>77901.198760151994</v>
      </c>
      <c r="T1664" cm="1">
        <f t="array" ref="T1664">IF(OR(B1664="MAL ALIMI", B1664="ÜRETİM GİRİŞ"), MIN(I1664, MAX(0, I1664 + SUM(SUMIFS($I$1:I1663, $C$1:C1663, C1664, $B$1:B1663, {"MAL ALIMI","ÜRETİM GİRİŞ"})) - VLOOKUP(C1664, 'STOK RAPORU'!$C$2:$I$1000, 4, 0))), 0)</f>
        <v>0</v>
      </c>
      <c r="U1664" s="22">
        <f t="shared" si="100"/>
        <v>0</v>
      </c>
      <c r="V1664">
        <f t="shared" si="101"/>
        <v>0</v>
      </c>
      <c r="W1664" s="22">
        <f t="shared" si="102"/>
        <v>0</v>
      </c>
    </row>
    <row r="1665" spans="1:23" hidden="1" x14ac:dyDescent="0.25">
      <c r="A1665" s="3">
        <v>45992</v>
      </c>
      <c r="B1665" s="4" t="s">
        <v>334</v>
      </c>
      <c r="C1665" s="4" t="s">
        <v>238</v>
      </c>
      <c r="D1665" s="4"/>
      <c r="E1665" s="4" t="s">
        <v>921</v>
      </c>
      <c r="F1665" s="4" t="s">
        <v>1065</v>
      </c>
      <c r="G1665" s="4" t="s">
        <v>336</v>
      </c>
      <c r="H1665" s="4" t="s">
        <v>380</v>
      </c>
      <c r="I1665" s="4">
        <v>0.1</v>
      </c>
      <c r="J1665" s="21">
        <v>1350</v>
      </c>
      <c r="K1665" s="21">
        <v>135</v>
      </c>
      <c r="L1665" s="5">
        <v>0</v>
      </c>
      <c r="M1665" s="4"/>
      <c r="N1665" s="4"/>
      <c r="O1665" s="5"/>
      <c r="P1665" s="5"/>
      <c r="Q1665" s="21">
        <v>0</v>
      </c>
      <c r="R1665" s="21">
        <v>0</v>
      </c>
      <c r="S1665" s="5">
        <f t="shared" si="103"/>
        <v>77901.198760151994</v>
      </c>
      <c r="T1665" cm="1">
        <f t="array" ref="T1665">IF(OR(B1665="MAL ALIMI", B1665="ÜRETİM GİRİŞ"), MIN(I1665, MAX(0, I1665 + SUM(SUMIFS($I$1:I1664, $C$1:C1664, C1665, $B$1:B1664, {"MAL ALIMI","ÜRETİM GİRİŞ"})) - VLOOKUP(C1665, 'STOK RAPORU'!$C$2:$I$1000, 4, 0))), 0)</f>
        <v>0</v>
      </c>
      <c r="U1665" s="22">
        <f t="shared" si="100"/>
        <v>0</v>
      </c>
      <c r="V1665">
        <f t="shared" si="101"/>
        <v>0</v>
      </c>
      <c r="W1665" s="22">
        <f t="shared" si="102"/>
        <v>0</v>
      </c>
    </row>
    <row r="1666" spans="1:23" hidden="1" x14ac:dyDescent="0.25">
      <c r="A1666" s="3">
        <v>45992</v>
      </c>
      <c r="B1666" s="4" t="s">
        <v>334</v>
      </c>
      <c r="C1666" s="4" t="s">
        <v>597</v>
      </c>
      <c r="D1666" s="4"/>
      <c r="E1666" s="4" t="s">
        <v>921</v>
      </c>
      <c r="F1666" s="4" t="s">
        <v>1065</v>
      </c>
      <c r="G1666" s="4" t="s">
        <v>336</v>
      </c>
      <c r="H1666" s="4" t="s">
        <v>380</v>
      </c>
      <c r="I1666" s="4">
        <v>1</v>
      </c>
      <c r="J1666" s="21">
        <v>290</v>
      </c>
      <c r="K1666" s="21">
        <v>290</v>
      </c>
      <c r="L1666" s="5">
        <v>0</v>
      </c>
      <c r="M1666" s="4"/>
      <c r="N1666" s="4"/>
      <c r="O1666" s="5"/>
      <c r="P1666" s="5"/>
      <c r="Q1666" s="21">
        <v>0</v>
      </c>
      <c r="R1666" s="21">
        <v>0</v>
      </c>
      <c r="S1666" s="5">
        <f t="shared" si="103"/>
        <v>77901.198760151994</v>
      </c>
      <c r="T1666" cm="1">
        <f t="array" ref="T1666">IF(OR(B1666="MAL ALIMI", B1666="ÜRETİM GİRİŞ"), MIN(I1666, MAX(0, I1666 + SUM(SUMIFS($I$1:I1665, $C$1:C1665, C1666, $B$1:B1665, {"MAL ALIMI","ÜRETİM GİRİŞ"})) - VLOOKUP(C1666, 'STOK RAPORU'!$C$2:$I$1000, 4, 0))), 0)</f>
        <v>0</v>
      </c>
      <c r="U1666" s="22">
        <f t="shared" si="100"/>
        <v>0</v>
      </c>
      <c r="V1666">
        <f t="shared" si="101"/>
        <v>0</v>
      </c>
      <c r="W1666" s="22">
        <f t="shared" si="102"/>
        <v>0</v>
      </c>
    </row>
    <row r="1667" spans="1:23" hidden="1" x14ac:dyDescent="0.25">
      <c r="A1667" s="3">
        <v>45992</v>
      </c>
      <c r="B1667" s="4" t="s">
        <v>334</v>
      </c>
      <c r="C1667" s="4" t="s">
        <v>457</v>
      </c>
      <c r="D1667" s="4"/>
      <c r="E1667" s="4"/>
      <c r="F1667" s="4" t="s">
        <v>1067</v>
      </c>
      <c r="G1667" s="4" t="s">
        <v>336</v>
      </c>
      <c r="H1667" s="4" t="s">
        <v>289</v>
      </c>
      <c r="I1667" s="4">
        <v>0.1</v>
      </c>
      <c r="J1667" s="21">
        <v>700</v>
      </c>
      <c r="K1667" s="21">
        <v>0</v>
      </c>
      <c r="L1667" s="5">
        <v>0</v>
      </c>
      <c r="M1667" s="4"/>
      <c r="N1667" s="4"/>
      <c r="O1667" s="5"/>
      <c r="P1667" s="5"/>
      <c r="Q1667" s="21">
        <v>70</v>
      </c>
      <c r="R1667" s="21">
        <v>0</v>
      </c>
      <c r="S1667" s="5">
        <f t="shared" si="103"/>
        <v>77971.198760151994</v>
      </c>
      <c r="T1667" cm="1">
        <f t="array" ref="T1667">IF(OR(B1667="MAL ALIMI", B1667="ÜRETİM GİRİŞ"), MIN(I1667, MAX(0, I1667 + SUM(SUMIFS($I$1:I1666, $C$1:C1666, C1667, $B$1:B1666, {"MAL ALIMI","ÜRETİM GİRİŞ"})) - VLOOKUP(C1667, 'STOK RAPORU'!$C$2:$I$1000, 4, 0))), 0)</f>
        <v>0</v>
      </c>
      <c r="U1667" s="22">
        <f t="shared" ref="U1667:U1730" si="104">T1667*J1667</f>
        <v>0</v>
      </c>
      <c r="V1667">
        <f t="shared" ref="V1667:V1730" si="105">IF(OR(B1667="MAL ALIMI", B1667="ÜRETİM GİRİŞ"), I1667 * J1667, 0)</f>
        <v>0</v>
      </c>
      <c r="W1667" s="22">
        <f t="shared" ref="W1667:W1730" si="106">V1667-U1667</f>
        <v>0</v>
      </c>
    </row>
    <row r="1668" spans="1:23" hidden="1" x14ac:dyDescent="0.25">
      <c r="A1668" s="3">
        <v>45992</v>
      </c>
      <c r="B1668" s="4" t="s">
        <v>334</v>
      </c>
      <c r="C1668" s="4" t="s">
        <v>198</v>
      </c>
      <c r="D1668" s="4"/>
      <c r="E1668" s="4"/>
      <c r="F1668" s="4" t="s">
        <v>1067</v>
      </c>
      <c r="G1668" s="4" t="s">
        <v>336</v>
      </c>
      <c r="H1668" s="4" t="s">
        <v>289</v>
      </c>
      <c r="I1668" s="4">
        <v>0.05</v>
      </c>
      <c r="J1668" s="21">
        <v>1400</v>
      </c>
      <c r="K1668" s="21">
        <v>0</v>
      </c>
      <c r="L1668" s="5">
        <v>0</v>
      </c>
      <c r="M1668" s="4"/>
      <c r="N1668" s="4"/>
      <c r="O1668" s="5"/>
      <c r="P1668" s="5"/>
      <c r="Q1668" s="21">
        <v>70</v>
      </c>
      <c r="R1668" s="21">
        <v>0</v>
      </c>
      <c r="S1668" s="5">
        <f t="shared" ref="S1668:S1731" si="107">S1667+Q1668-R1668</f>
        <v>78041.198760151994</v>
      </c>
      <c r="T1668" cm="1">
        <f t="array" ref="T1668">IF(OR(B1668="MAL ALIMI", B1668="ÜRETİM GİRİŞ"), MIN(I1668, MAX(0, I1668 + SUM(SUMIFS($I$1:I1667, $C$1:C1667, C1668, $B$1:B1667, {"MAL ALIMI","ÜRETİM GİRİŞ"})) - VLOOKUP(C1668, 'STOK RAPORU'!$C$2:$I$1000, 4, 0))), 0)</f>
        <v>0</v>
      </c>
      <c r="U1668" s="22">
        <f t="shared" si="104"/>
        <v>0</v>
      </c>
      <c r="V1668">
        <f t="shared" si="105"/>
        <v>0</v>
      </c>
      <c r="W1668" s="22">
        <f t="shared" si="106"/>
        <v>0</v>
      </c>
    </row>
    <row r="1669" spans="1:23" hidden="1" x14ac:dyDescent="0.25">
      <c r="A1669" s="3">
        <v>45992</v>
      </c>
      <c r="B1669" s="4" t="s">
        <v>334</v>
      </c>
      <c r="C1669" s="4" t="s">
        <v>160</v>
      </c>
      <c r="D1669" s="4"/>
      <c r="E1669" s="4" t="s">
        <v>921</v>
      </c>
      <c r="F1669" s="4" t="s">
        <v>1068</v>
      </c>
      <c r="G1669" s="4" t="s">
        <v>336</v>
      </c>
      <c r="H1669" s="4" t="s">
        <v>380</v>
      </c>
      <c r="I1669" s="4">
        <v>1</v>
      </c>
      <c r="J1669" s="21">
        <v>240</v>
      </c>
      <c r="K1669" s="21">
        <v>240</v>
      </c>
      <c r="L1669" s="5">
        <v>0</v>
      </c>
      <c r="M1669" s="4"/>
      <c r="N1669" s="4"/>
      <c r="O1669" s="5"/>
      <c r="P1669" s="5"/>
      <c r="Q1669" s="21">
        <v>0</v>
      </c>
      <c r="R1669" s="21">
        <v>0</v>
      </c>
      <c r="S1669" s="5">
        <f t="shared" si="107"/>
        <v>78041.198760151994</v>
      </c>
      <c r="T1669" cm="1">
        <f t="array" ref="T1669">IF(OR(B1669="MAL ALIMI", B1669="ÜRETİM GİRİŞ"), MIN(I1669, MAX(0, I1669 + SUM(SUMIFS($I$1:I1668, $C$1:C1668, C1669, $B$1:B1668, {"MAL ALIMI","ÜRETİM GİRİŞ"})) - VLOOKUP(C1669, 'STOK RAPORU'!$C$2:$I$1000, 4, 0))), 0)</f>
        <v>0</v>
      </c>
      <c r="U1669" s="22">
        <f t="shared" si="104"/>
        <v>0</v>
      </c>
      <c r="V1669">
        <f t="shared" si="105"/>
        <v>0</v>
      </c>
      <c r="W1669" s="22">
        <f t="shared" si="106"/>
        <v>0</v>
      </c>
    </row>
    <row r="1670" spans="1:23" hidden="1" x14ac:dyDescent="0.25">
      <c r="A1670" s="3">
        <v>45992</v>
      </c>
      <c r="B1670" s="4" t="s">
        <v>334</v>
      </c>
      <c r="C1670" s="4" t="s">
        <v>161</v>
      </c>
      <c r="D1670" s="4"/>
      <c r="E1670" s="4" t="s">
        <v>921</v>
      </c>
      <c r="F1670" s="4" t="s">
        <v>1068</v>
      </c>
      <c r="G1670" s="4" t="s">
        <v>336</v>
      </c>
      <c r="H1670" s="4" t="s">
        <v>380</v>
      </c>
      <c r="I1670" s="4">
        <v>1</v>
      </c>
      <c r="J1670" s="21">
        <v>200</v>
      </c>
      <c r="K1670" s="21">
        <v>200</v>
      </c>
      <c r="L1670" s="5">
        <v>0</v>
      </c>
      <c r="M1670" s="4"/>
      <c r="N1670" s="4"/>
      <c r="O1670" s="5"/>
      <c r="P1670" s="5"/>
      <c r="Q1670" s="21">
        <v>0</v>
      </c>
      <c r="R1670" s="21">
        <v>0</v>
      </c>
      <c r="S1670" s="5">
        <f t="shared" si="107"/>
        <v>78041.198760151994</v>
      </c>
      <c r="T1670" cm="1">
        <f t="array" ref="T1670">IF(OR(B1670="MAL ALIMI", B1670="ÜRETİM GİRİŞ"), MIN(I1670, MAX(0, I1670 + SUM(SUMIFS($I$1:I1669, $C$1:C1669, C1670, $B$1:B1669, {"MAL ALIMI","ÜRETİM GİRİŞ"})) - VLOOKUP(C1670, 'STOK RAPORU'!$C$2:$I$1000, 4, 0))), 0)</f>
        <v>0</v>
      </c>
      <c r="U1670" s="22">
        <f t="shared" si="104"/>
        <v>0</v>
      </c>
      <c r="V1670">
        <f t="shared" si="105"/>
        <v>0</v>
      </c>
      <c r="W1670" s="22">
        <f t="shared" si="106"/>
        <v>0</v>
      </c>
    </row>
    <row r="1671" spans="1:23" hidden="1" x14ac:dyDescent="0.25">
      <c r="A1671" s="3">
        <v>45992</v>
      </c>
      <c r="B1671" s="4" t="s">
        <v>334</v>
      </c>
      <c r="C1671" s="4" t="s">
        <v>92</v>
      </c>
      <c r="D1671" s="4"/>
      <c r="E1671" s="4" t="s">
        <v>921</v>
      </c>
      <c r="F1671" s="4" t="s">
        <v>1068</v>
      </c>
      <c r="G1671" s="4" t="s">
        <v>336</v>
      </c>
      <c r="H1671" s="4" t="s">
        <v>380</v>
      </c>
      <c r="I1671" s="4">
        <v>0.17</v>
      </c>
      <c r="J1671" s="21">
        <v>500</v>
      </c>
      <c r="K1671" s="21">
        <v>85</v>
      </c>
      <c r="L1671" s="5">
        <v>0</v>
      </c>
      <c r="M1671" s="4"/>
      <c r="N1671" s="4"/>
      <c r="O1671" s="5"/>
      <c r="P1671" s="5"/>
      <c r="Q1671" s="21">
        <v>0</v>
      </c>
      <c r="R1671" s="21">
        <v>0</v>
      </c>
      <c r="S1671" s="5">
        <f t="shared" si="107"/>
        <v>78041.198760151994</v>
      </c>
      <c r="T1671" cm="1">
        <f t="array" ref="T1671">IF(OR(B1671="MAL ALIMI", B1671="ÜRETİM GİRİŞ"), MIN(I1671, MAX(0, I1671 + SUM(SUMIFS($I$1:I1670, $C$1:C1670, C1671, $B$1:B1670, {"MAL ALIMI","ÜRETİM GİRİŞ"})) - VLOOKUP(C1671, 'STOK RAPORU'!$C$2:$I$1000, 4, 0))), 0)</f>
        <v>0</v>
      </c>
      <c r="U1671" s="22">
        <f t="shared" si="104"/>
        <v>0</v>
      </c>
      <c r="V1671">
        <f t="shared" si="105"/>
        <v>0</v>
      </c>
      <c r="W1671" s="22">
        <f t="shared" si="106"/>
        <v>0</v>
      </c>
    </row>
    <row r="1672" spans="1:23" hidden="1" x14ac:dyDescent="0.25">
      <c r="A1672" s="3">
        <v>45992</v>
      </c>
      <c r="B1672" s="4" t="s">
        <v>334</v>
      </c>
      <c r="C1672" s="4" t="s">
        <v>197</v>
      </c>
      <c r="D1672" s="4"/>
      <c r="E1672" s="4" t="s">
        <v>921</v>
      </c>
      <c r="F1672" s="4" t="s">
        <v>1069</v>
      </c>
      <c r="G1672" s="4" t="s">
        <v>336</v>
      </c>
      <c r="H1672" s="4" t="s">
        <v>380</v>
      </c>
      <c r="I1672" s="4">
        <v>0.26400000000000001</v>
      </c>
      <c r="J1672" s="21">
        <v>190</v>
      </c>
      <c r="K1672" s="21">
        <v>50.160000000000004</v>
      </c>
      <c r="L1672" s="5">
        <v>0</v>
      </c>
      <c r="M1672" s="4"/>
      <c r="N1672" s="4"/>
      <c r="O1672" s="5"/>
      <c r="P1672" s="5"/>
      <c r="Q1672" s="21">
        <v>0</v>
      </c>
      <c r="R1672" s="21">
        <v>0</v>
      </c>
      <c r="S1672" s="5">
        <f t="shared" si="107"/>
        <v>78041.198760151994</v>
      </c>
      <c r="T1672" cm="1">
        <f t="array" ref="T1672">IF(OR(B1672="MAL ALIMI", B1672="ÜRETİM GİRİŞ"), MIN(I1672, MAX(0, I1672 + SUM(SUMIFS($I$1:I1671, $C$1:C1671, C1672, $B$1:B1671, {"MAL ALIMI","ÜRETİM GİRİŞ"})) - VLOOKUP(C1672, 'STOK RAPORU'!$C$2:$I$1000, 4, 0))), 0)</f>
        <v>0</v>
      </c>
      <c r="U1672" s="22">
        <f t="shared" si="104"/>
        <v>0</v>
      </c>
      <c r="V1672">
        <f t="shared" si="105"/>
        <v>0</v>
      </c>
      <c r="W1672" s="22">
        <f t="shared" si="106"/>
        <v>0</v>
      </c>
    </row>
    <row r="1673" spans="1:23" hidden="1" x14ac:dyDescent="0.25">
      <c r="A1673" s="3">
        <v>45992</v>
      </c>
      <c r="B1673" s="4" t="s">
        <v>334</v>
      </c>
      <c r="C1673" s="4" t="s">
        <v>134</v>
      </c>
      <c r="D1673" s="4"/>
      <c r="E1673" s="4" t="s">
        <v>921</v>
      </c>
      <c r="F1673" s="4" t="s">
        <v>1069</v>
      </c>
      <c r="G1673" s="4" t="s">
        <v>336</v>
      </c>
      <c r="H1673" s="4" t="s">
        <v>380</v>
      </c>
      <c r="I1673" s="4">
        <v>0.1</v>
      </c>
      <c r="J1673" s="21">
        <v>600</v>
      </c>
      <c r="K1673" s="21">
        <v>60</v>
      </c>
      <c r="L1673" s="5">
        <v>0</v>
      </c>
      <c r="M1673" s="4"/>
      <c r="N1673" s="4"/>
      <c r="O1673" s="5"/>
      <c r="P1673" s="5"/>
      <c r="Q1673" s="21">
        <v>0</v>
      </c>
      <c r="R1673" s="21">
        <v>0</v>
      </c>
      <c r="S1673" s="5">
        <f t="shared" si="107"/>
        <v>78041.198760151994</v>
      </c>
      <c r="T1673" cm="1">
        <f t="array" ref="T1673">IF(OR(B1673="MAL ALIMI", B1673="ÜRETİM GİRİŞ"), MIN(I1673, MAX(0, I1673 + SUM(SUMIFS($I$1:I1672, $C$1:C1672, C1673, $B$1:B1672, {"MAL ALIMI","ÜRETİM GİRİŞ"})) - VLOOKUP(C1673, 'STOK RAPORU'!$C$2:$I$1000, 4, 0))), 0)</f>
        <v>0</v>
      </c>
      <c r="U1673" s="22">
        <f t="shared" si="104"/>
        <v>0</v>
      </c>
      <c r="V1673">
        <f t="shared" si="105"/>
        <v>0</v>
      </c>
      <c r="W1673" s="22">
        <f t="shared" si="106"/>
        <v>0</v>
      </c>
    </row>
    <row r="1674" spans="1:23" hidden="1" x14ac:dyDescent="0.25">
      <c r="A1674" s="45">
        <v>45992</v>
      </c>
      <c r="B1674" s="46" t="s">
        <v>334</v>
      </c>
      <c r="C1674" s="46" t="s">
        <v>134</v>
      </c>
      <c r="D1674" s="46"/>
      <c r="E1674" s="46"/>
      <c r="F1674" s="46" t="s">
        <v>1070</v>
      </c>
      <c r="G1674" s="46" t="s">
        <v>439</v>
      </c>
      <c r="H1674" s="46" t="s">
        <v>289</v>
      </c>
      <c r="I1674" s="46">
        <v>3</v>
      </c>
      <c r="J1674" s="47">
        <v>190</v>
      </c>
      <c r="K1674" s="47">
        <v>0</v>
      </c>
      <c r="L1674" s="48">
        <v>0</v>
      </c>
      <c r="M1674" s="4"/>
      <c r="N1674" s="4"/>
      <c r="O1674" s="5"/>
      <c r="P1674" s="5"/>
      <c r="Q1674" s="47">
        <v>570</v>
      </c>
      <c r="R1674" s="21">
        <v>0</v>
      </c>
      <c r="S1674" s="5">
        <f t="shared" si="107"/>
        <v>78611.198760151994</v>
      </c>
      <c r="T1674" cm="1">
        <f t="array" ref="T1674">IF(OR(B1674="MAL ALIMI", B1674="ÜRETİM GİRİŞ"), MIN(I1674, MAX(0, I1674 + SUM(SUMIFS($I$1:I1673, $C$1:C1673, C1674, $B$1:B1673, {"MAL ALIMI","ÜRETİM GİRİŞ"})) - VLOOKUP(C1674, 'STOK RAPORU'!$C$2:$I$1000, 4, 0))), 0)</f>
        <v>0</v>
      </c>
      <c r="U1674" s="22">
        <f t="shared" si="104"/>
        <v>0</v>
      </c>
      <c r="V1674">
        <f t="shared" si="105"/>
        <v>0</v>
      </c>
      <c r="W1674" s="22">
        <f t="shared" si="106"/>
        <v>0</v>
      </c>
    </row>
    <row r="1675" spans="1:23" hidden="1" x14ac:dyDescent="0.25">
      <c r="A1675" s="45">
        <v>45992</v>
      </c>
      <c r="B1675" s="46" t="s">
        <v>334</v>
      </c>
      <c r="C1675" s="46" t="s">
        <v>154</v>
      </c>
      <c r="D1675" s="46"/>
      <c r="E1675" s="46"/>
      <c r="F1675" s="46" t="s">
        <v>1070</v>
      </c>
      <c r="G1675" s="46" t="s">
        <v>439</v>
      </c>
      <c r="H1675" s="46" t="s">
        <v>289</v>
      </c>
      <c r="I1675" s="46">
        <v>1</v>
      </c>
      <c r="J1675" s="47">
        <v>190</v>
      </c>
      <c r="K1675" s="47">
        <v>0</v>
      </c>
      <c r="L1675" s="48">
        <v>0</v>
      </c>
      <c r="M1675" s="4"/>
      <c r="N1675" s="4"/>
      <c r="O1675" s="5"/>
      <c r="P1675" s="5"/>
      <c r="Q1675" s="47">
        <v>190</v>
      </c>
      <c r="R1675" s="21">
        <v>0</v>
      </c>
      <c r="S1675" s="5">
        <f t="shared" si="107"/>
        <v>78801.198760151994</v>
      </c>
      <c r="T1675" cm="1">
        <f t="array" ref="T1675">IF(OR(B1675="MAL ALIMI", B1675="ÜRETİM GİRİŞ"), MIN(I1675, MAX(0, I1675 + SUM(SUMIFS($I$1:I1674, $C$1:C1674, C1675, $B$1:B1674, {"MAL ALIMI","ÜRETİM GİRİŞ"})) - VLOOKUP(C1675, 'STOK RAPORU'!$C$2:$I$1000, 4, 0))), 0)</f>
        <v>0</v>
      </c>
      <c r="U1675" s="22">
        <f t="shared" si="104"/>
        <v>0</v>
      </c>
      <c r="V1675">
        <f t="shared" si="105"/>
        <v>0</v>
      </c>
      <c r="W1675" s="22">
        <f t="shared" si="106"/>
        <v>0</v>
      </c>
    </row>
    <row r="1676" spans="1:23" hidden="1" x14ac:dyDescent="0.25">
      <c r="A1676" s="45">
        <v>45992</v>
      </c>
      <c r="B1676" s="46" t="s">
        <v>334</v>
      </c>
      <c r="C1676" s="46" t="s">
        <v>524</v>
      </c>
      <c r="D1676" s="46"/>
      <c r="E1676" s="46"/>
      <c r="F1676" s="46" t="s">
        <v>1070</v>
      </c>
      <c r="G1676" s="46" t="s">
        <v>439</v>
      </c>
      <c r="H1676" s="46" t="s">
        <v>289</v>
      </c>
      <c r="I1676" s="46">
        <v>1</v>
      </c>
      <c r="J1676" s="47">
        <v>150</v>
      </c>
      <c r="K1676" s="47">
        <v>0</v>
      </c>
      <c r="L1676" s="48">
        <v>0</v>
      </c>
      <c r="M1676" s="4"/>
      <c r="N1676" s="4"/>
      <c r="O1676" s="5"/>
      <c r="P1676" s="5"/>
      <c r="Q1676" s="47">
        <v>150</v>
      </c>
      <c r="R1676" s="21">
        <v>0</v>
      </c>
      <c r="S1676" s="5">
        <f t="shared" si="107"/>
        <v>78951.198760151994</v>
      </c>
      <c r="T1676" cm="1">
        <f t="array" ref="T1676">IF(OR(B1676="MAL ALIMI", B1676="ÜRETİM GİRİŞ"), MIN(I1676, MAX(0, I1676 + SUM(SUMIFS($I$1:I1675, $C$1:C1675, C1676, $B$1:B1675, {"MAL ALIMI","ÜRETİM GİRİŞ"})) - VLOOKUP(C1676, 'STOK RAPORU'!$C$2:$I$1000, 4, 0))), 0)</f>
        <v>0</v>
      </c>
      <c r="U1676" s="22">
        <f t="shared" si="104"/>
        <v>0</v>
      </c>
      <c r="V1676">
        <f t="shared" si="105"/>
        <v>0</v>
      </c>
      <c r="W1676" s="22">
        <f t="shared" si="106"/>
        <v>0</v>
      </c>
    </row>
    <row r="1677" spans="1:23" hidden="1" x14ac:dyDescent="0.25">
      <c r="A1677" s="3">
        <v>45992</v>
      </c>
      <c r="B1677" s="4" t="s">
        <v>946</v>
      </c>
      <c r="C1677" s="4"/>
      <c r="D1677" s="4"/>
      <c r="E1677" s="4" t="s">
        <v>921</v>
      </c>
      <c r="F1677" s="4"/>
      <c r="G1677" s="4" t="s">
        <v>946</v>
      </c>
      <c r="H1677" s="4" t="s">
        <v>380</v>
      </c>
      <c r="I1677" s="4">
        <v>1</v>
      </c>
      <c r="J1677" s="105">
        <v>405</v>
      </c>
      <c r="K1677" s="21">
        <v>0</v>
      </c>
      <c r="L1677" s="111">
        <v>405</v>
      </c>
      <c r="M1677" s="4"/>
      <c r="N1677" s="4"/>
      <c r="O1677" s="5"/>
      <c r="P1677" s="5"/>
      <c r="Q1677" s="21">
        <v>405</v>
      </c>
      <c r="R1677" s="21">
        <v>0</v>
      </c>
      <c r="S1677" s="5">
        <f t="shared" si="107"/>
        <v>79356.198760151994</v>
      </c>
      <c r="T1677" cm="1">
        <f t="array" ref="T1677">IF(OR(B1677="MAL ALIMI", B1677="ÜRETİM GİRİŞ"), MIN(I1677, MAX(0, I1677 + SUM(SUMIFS($I$1:I1676, $C$1:C1676, C1677, $B$1:B1676, {"MAL ALIMI","ÜRETİM GİRİŞ"})) - VLOOKUP(C1677, 'STOK RAPORU'!$C$2:$I$1000, 4, 0))), 0)</f>
        <v>0</v>
      </c>
      <c r="U1677" s="22">
        <f t="shared" si="104"/>
        <v>0</v>
      </c>
      <c r="V1677">
        <f t="shared" si="105"/>
        <v>0</v>
      </c>
      <c r="W1677" s="22">
        <f t="shared" si="106"/>
        <v>0</v>
      </c>
    </row>
    <row r="1678" spans="1:23" hidden="1" x14ac:dyDescent="0.25">
      <c r="A1678" s="3">
        <v>45992</v>
      </c>
      <c r="B1678" s="4" t="s">
        <v>285</v>
      </c>
      <c r="C1678" s="4"/>
      <c r="D1678" s="4" t="s">
        <v>108</v>
      </c>
      <c r="E1678" s="4"/>
      <c r="F1678" s="4"/>
      <c r="G1678" s="4" t="s">
        <v>3274</v>
      </c>
      <c r="H1678" s="4" t="s">
        <v>289</v>
      </c>
      <c r="I1678" s="4">
        <v>1</v>
      </c>
      <c r="J1678" s="21">
        <v>22000</v>
      </c>
      <c r="K1678" s="21">
        <v>0</v>
      </c>
      <c r="L1678" s="5">
        <v>0</v>
      </c>
      <c r="M1678" s="4"/>
      <c r="N1678" s="4"/>
      <c r="O1678" s="5"/>
      <c r="P1678" s="5"/>
      <c r="Q1678" s="21">
        <v>0</v>
      </c>
      <c r="R1678" s="21">
        <v>22000</v>
      </c>
      <c r="S1678" s="5">
        <f t="shared" si="107"/>
        <v>57356.198760151994</v>
      </c>
      <c r="T1678" cm="1">
        <f t="array" ref="T1678">IF(OR(B1678="MAL ALIMI", B1678="ÜRETİM GİRİŞ"), MIN(I1678, MAX(0, I1678 + SUM(SUMIFS($I$1:I1677, $C$1:C1677, C1678, $B$1:B1677, {"MAL ALIMI","ÜRETİM GİRİŞ"})) - VLOOKUP(C1678, 'STOK RAPORU'!$C$2:$I$1000, 4, 0))), 0)</f>
        <v>0</v>
      </c>
      <c r="U1678" s="22">
        <f t="shared" si="104"/>
        <v>0</v>
      </c>
      <c r="V1678">
        <f t="shared" si="105"/>
        <v>0</v>
      </c>
      <c r="W1678" s="22">
        <f t="shared" si="106"/>
        <v>0</v>
      </c>
    </row>
    <row r="1679" spans="1:23" hidden="1" x14ac:dyDescent="0.25">
      <c r="A1679" s="3">
        <v>45993</v>
      </c>
      <c r="B1679" s="4" t="s">
        <v>334</v>
      </c>
      <c r="C1679" s="4" t="s">
        <v>1041</v>
      </c>
      <c r="D1679" s="4"/>
      <c r="E1679" s="4"/>
      <c r="F1679" s="4" t="s">
        <v>1072</v>
      </c>
      <c r="G1679" s="4" t="s">
        <v>336</v>
      </c>
      <c r="H1679" s="4" t="s">
        <v>289</v>
      </c>
      <c r="I1679" s="4">
        <v>1</v>
      </c>
      <c r="J1679" s="21">
        <v>290</v>
      </c>
      <c r="K1679" s="21">
        <v>0</v>
      </c>
      <c r="L1679" s="5">
        <v>0</v>
      </c>
      <c r="M1679" s="4"/>
      <c r="N1679" s="4"/>
      <c r="O1679" s="5"/>
      <c r="P1679" s="5"/>
      <c r="Q1679" s="21">
        <v>290</v>
      </c>
      <c r="R1679" s="21">
        <v>0</v>
      </c>
      <c r="S1679" s="5">
        <f t="shared" si="107"/>
        <v>57646.198760151994</v>
      </c>
      <c r="T1679" cm="1">
        <f t="array" ref="T1679">IF(OR(B1679="MAL ALIMI", B1679="ÜRETİM GİRİŞ"), MIN(I1679, MAX(0, I1679 + SUM(SUMIFS($I$1:I1678, $C$1:C1678, C1679, $B$1:B1678, {"MAL ALIMI","ÜRETİM GİRİŞ"})) - VLOOKUP(C1679, 'STOK RAPORU'!$C$2:$I$1000, 4, 0))), 0)</f>
        <v>0</v>
      </c>
      <c r="U1679" s="22">
        <f t="shared" si="104"/>
        <v>0</v>
      </c>
      <c r="V1679">
        <f t="shared" si="105"/>
        <v>0</v>
      </c>
      <c r="W1679" s="22">
        <f t="shared" si="106"/>
        <v>0</v>
      </c>
    </row>
    <row r="1680" spans="1:23" hidden="1" x14ac:dyDescent="0.25">
      <c r="A1680" s="3">
        <v>45993</v>
      </c>
      <c r="B1680" s="4" t="s">
        <v>334</v>
      </c>
      <c r="C1680" s="4" t="s">
        <v>92</v>
      </c>
      <c r="D1680" s="4"/>
      <c r="E1680" s="4"/>
      <c r="F1680" s="4" t="s">
        <v>1072</v>
      </c>
      <c r="G1680" s="4" t="s">
        <v>336</v>
      </c>
      <c r="H1680" s="4" t="s">
        <v>289</v>
      </c>
      <c r="I1680" s="4">
        <v>0.1</v>
      </c>
      <c r="J1680" s="21">
        <v>500</v>
      </c>
      <c r="K1680" s="21">
        <v>0</v>
      </c>
      <c r="L1680" s="5">
        <v>0</v>
      </c>
      <c r="M1680" s="4"/>
      <c r="N1680" s="4"/>
      <c r="O1680" s="5"/>
      <c r="P1680" s="5"/>
      <c r="Q1680" s="21">
        <v>50</v>
      </c>
      <c r="R1680" s="21">
        <v>0</v>
      </c>
      <c r="S1680" s="5">
        <f t="shared" si="107"/>
        <v>57696.198760151994</v>
      </c>
      <c r="T1680" cm="1">
        <f t="array" ref="T1680">IF(OR(B1680="MAL ALIMI", B1680="ÜRETİM GİRİŞ"), MIN(I1680, MAX(0, I1680 + SUM(SUMIFS($I$1:I1679, $C$1:C1679, C1680, $B$1:B1679, {"MAL ALIMI","ÜRETİM GİRİŞ"})) - VLOOKUP(C1680, 'STOK RAPORU'!$C$2:$I$1000, 4, 0))), 0)</f>
        <v>0</v>
      </c>
      <c r="U1680" s="22">
        <f t="shared" si="104"/>
        <v>0</v>
      </c>
      <c r="V1680">
        <f t="shared" si="105"/>
        <v>0</v>
      </c>
      <c r="W1680" s="22">
        <f t="shared" si="106"/>
        <v>0</v>
      </c>
    </row>
    <row r="1681" spans="1:23" hidden="1" x14ac:dyDescent="0.25">
      <c r="A1681" s="3">
        <v>45993</v>
      </c>
      <c r="B1681" s="4" t="s">
        <v>334</v>
      </c>
      <c r="C1681" s="4" t="s">
        <v>529</v>
      </c>
      <c r="D1681" s="4"/>
      <c r="E1681" s="4"/>
      <c r="F1681" s="4" t="s">
        <v>1073</v>
      </c>
      <c r="G1681" s="4" t="s">
        <v>336</v>
      </c>
      <c r="H1681" s="4" t="s">
        <v>289</v>
      </c>
      <c r="I1681" s="4">
        <v>0.1</v>
      </c>
      <c r="J1681" s="21">
        <v>600</v>
      </c>
      <c r="K1681" s="21">
        <v>0</v>
      </c>
      <c r="L1681" s="5">
        <v>0</v>
      </c>
      <c r="M1681" s="4"/>
      <c r="N1681" s="4"/>
      <c r="O1681" s="5"/>
      <c r="P1681" s="5"/>
      <c r="Q1681" s="21">
        <v>60</v>
      </c>
      <c r="R1681" s="21">
        <v>0</v>
      </c>
      <c r="S1681" s="5">
        <f t="shared" si="107"/>
        <v>57756.198760151994</v>
      </c>
      <c r="T1681" cm="1">
        <f t="array" ref="T1681">IF(OR(B1681="MAL ALIMI", B1681="ÜRETİM GİRİŞ"), MIN(I1681, MAX(0, I1681 + SUM(SUMIFS($I$1:I1680, $C$1:C1680, C1681, $B$1:B1680, {"MAL ALIMI","ÜRETİM GİRİŞ"})) - VLOOKUP(C1681, 'STOK RAPORU'!$C$2:$I$1000, 4, 0))), 0)</f>
        <v>0</v>
      </c>
      <c r="U1681" s="22">
        <f t="shared" si="104"/>
        <v>0</v>
      </c>
      <c r="V1681">
        <f t="shared" si="105"/>
        <v>0</v>
      </c>
      <c r="W1681" s="22">
        <f t="shared" si="106"/>
        <v>0</v>
      </c>
    </row>
    <row r="1682" spans="1:23" hidden="1" x14ac:dyDescent="0.25">
      <c r="A1682" s="3">
        <v>45993</v>
      </c>
      <c r="B1682" s="4" t="s">
        <v>334</v>
      </c>
      <c r="C1682" s="4" t="s">
        <v>225</v>
      </c>
      <c r="D1682" s="4"/>
      <c r="E1682" s="4" t="s">
        <v>921</v>
      </c>
      <c r="F1682" s="4" t="s">
        <v>1074</v>
      </c>
      <c r="G1682" s="4" t="s">
        <v>336</v>
      </c>
      <c r="H1682" s="4" t="s">
        <v>380</v>
      </c>
      <c r="I1682" s="4">
        <v>0.50461538461538458</v>
      </c>
      <c r="J1682" s="21">
        <v>650</v>
      </c>
      <c r="K1682" s="21">
        <v>328</v>
      </c>
      <c r="L1682" s="5">
        <v>0</v>
      </c>
      <c r="M1682" s="4"/>
      <c r="N1682" s="4"/>
      <c r="O1682" s="5"/>
      <c r="P1682" s="5"/>
      <c r="Q1682" s="21">
        <v>0</v>
      </c>
      <c r="R1682" s="21">
        <v>0</v>
      </c>
      <c r="S1682" s="5">
        <f t="shared" si="107"/>
        <v>57756.198760151994</v>
      </c>
      <c r="T1682" cm="1">
        <f t="array" ref="T1682">IF(OR(B1682="MAL ALIMI", B1682="ÜRETİM GİRİŞ"), MIN(I1682, MAX(0, I1682 + SUM(SUMIFS($I$1:I1681, $C$1:C1681, C1682, $B$1:B1681, {"MAL ALIMI","ÜRETİM GİRİŞ"})) - VLOOKUP(C1682, 'STOK RAPORU'!$C$2:$I$1000, 4, 0))), 0)</f>
        <v>0</v>
      </c>
      <c r="U1682" s="22">
        <f t="shared" si="104"/>
        <v>0</v>
      </c>
      <c r="V1682">
        <f t="shared" si="105"/>
        <v>0</v>
      </c>
      <c r="W1682" s="22">
        <f t="shared" si="106"/>
        <v>0</v>
      </c>
    </row>
    <row r="1683" spans="1:23" hidden="1" x14ac:dyDescent="0.25">
      <c r="A1683" s="3">
        <v>45993</v>
      </c>
      <c r="B1683" s="4" t="s">
        <v>334</v>
      </c>
      <c r="C1683" s="4" t="s">
        <v>223</v>
      </c>
      <c r="D1683" s="4"/>
      <c r="E1683" s="4" t="s">
        <v>921</v>
      </c>
      <c r="F1683" s="4" t="s">
        <v>1074</v>
      </c>
      <c r="G1683" s="4" t="s">
        <v>336</v>
      </c>
      <c r="H1683" s="4" t="s">
        <v>380</v>
      </c>
      <c r="I1683" s="4">
        <v>0.51714285714285713</v>
      </c>
      <c r="J1683" s="21">
        <v>700</v>
      </c>
      <c r="K1683" s="21">
        <v>362</v>
      </c>
      <c r="L1683" s="5">
        <v>0</v>
      </c>
      <c r="M1683" s="4"/>
      <c r="N1683" s="4"/>
      <c r="O1683" s="5"/>
      <c r="P1683" s="5"/>
      <c r="Q1683" s="21">
        <v>0</v>
      </c>
      <c r="R1683" s="21">
        <v>0</v>
      </c>
      <c r="S1683" s="5">
        <f t="shared" si="107"/>
        <v>57756.198760151994</v>
      </c>
      <c r="T1683" cm="1">
        <f t="array" ref="T1683">IF(OR(B1683="MAL ALIMI", B1683="ÜRETİM GİRİŞ"), MIN(I1683, MAX(0, I1683 + SUM(SUMIFS($I$1:I1682, $C$1:C1682, C1683, $B$1:B1682, {"MAL ALIMI","ÜRETİM GİRİŞ"})) - VLOOKUP(C1683, 'STOK RAPORU'!$C$2:$I$1000, 4, 0))), 0)</f>
        <v>0</v>
      </c>
      <c r="U1683" s="22">
        <f t="shared" si="104"/>
        <v>0</v>
      </c>
      <c r="V1683">
        <f t="shared" si="105"/>
        <v>0</v>
      </c>
      <c r="W1683" s="22">
        <f t="shared" si="106"/>
        <v>0</v>
      </c>
    </row>
    <row r="1684" spans="1:23" hidden="1" x14ac:dyDescent="0.25">
      <c r="A1684" s="3">
        <v>45993</v>
      </c>
      <c r="B1684" s="4" t="s">
        <v>334</v>
      </c>
      <c r="C1684" s="4" t="s">
        <v>757</v>
      </c>
      <c r="D1684" s="4"/>
      <c r="E1684" s="4" t="s">
        <v>921</v>
      </c>
      <c r="F1684" s="4" t="s">
        <v>1074</v>
      </c>
      <c r="G1684" s="4" t="s">
        <v>336</v>
      </c>
      <c r="H1684" s="4" t="s">
        <v>380</v>
      </c>
      <c r="I1684" s="4">
        <v>1</v>
      </c>
      <c r="J1684" s="21">
        <v>440</v>
      </c>
      <c r="K1684" s="21">
        <v>440</v>
      </c>
      <c r="L1684" s="5">
        <v>0</v>
      </c>
      <c r="M1684" s="4"/>
      <c r="N1684" s="4"/>
      <c r="O1684" s="5"/>
      <c r="P1684" s="5"/>
      <c r="Q1684" s="21">
        <v>0</v>
      </c>
      <c r="R1684" s="21">
        <v>0</v>
      </c>
      <c r="S1684" s="5">
        <f t="shared" si="107"/>
        <v>57756.198760151994</v>
      </c>
      <c r="T1684" cm="1">
        <f t="array" ref="T1684">IF(OR(B1684="MAL ALIMI", B1684="ÜRETİM GİRİŞ"), MIN(I1684, MAX(0, I1684 + SUM(SUMIFS($I$1:I1683, $C$1:C1683, C1684, $B$1:B1683, {"MAL ALIMI","ÜRETİM GİRİŞ"})) - VLOOKUP(C1684, 'STOK RAPORU'!$C$2:$I$1000, 4, 0))), 0)</f>
        <v>0</v>
      </c>
      <c r="U1684" s="22">
        <f t="shared" si="104"/>
        <v>0</v>
      </c>
      <c r="V1684">
        <f t="shared" si="105"/>
        <v>0</v>
      </c>
      <c r="W1684" s="22">
        <f t="shared" si="106"/>
        <v>0</v>
      </c>
    </row>
    <row r="1685" spans="1:23" hidden="1" x14ac:dyDescent="0.25">
      <c r="A1685" s="3">
        <v>45993</v>
      </c>
      <c r="B1685" s="4" t="s">
        <v>334</v>
      </c>
      <c r="C1685" s="4" t="s">
        <v>486</v>
      </c>
      <c r="D1685" s="4"/>
      <c r="E1685" s="4" t="s">
        <v>921</v>
      </c>
      <c r="F1685" s="4" t="s">
        <v>1075</v>
      </c>
      <c r="G1685" s="4" t="s">
        <v>336</v>
      </c>
      <c r="H1685" s="4" t="s">
        <v>380</v>
      </c>
      <c r="I1685" s="4">
        <v>1</v>
      </c>
      <c r="J1685" s="21">
        <v>180</v>
      </c>
      <c r="K1685" s="21">
        <v>180</v>
      </c>
      <c r="L1685" s="5">
        <v>0</v>
      </c>
      <c r="M1685" s="4"/>
      <c r="N1685" s="4"/>
      <c r="O1685" s="5"/>
      <c r="P1685" s="5"/>
      <c r="Q1685" s="21">
        <v>0</v>
      </c>
      <c r="R1685" s="21">
        <v>0</v>
      </c>
      <c r="S1685" s="5">
        <f t="shared" si="107"/>
        <v>57756.198760151994</v>
      </c>
      <c r="T1685" cm="1">
        <f t="array" ref="T1685">IF(OR(B1685="MAL ALIMI", B1685="ÜRETİM GİRİŞ"), MIN(I1685, MAX(0, I1685 + SUM(SUMIFS($I$1:I1684, $C$1:C1684, C1685, $B$1:B1684, {"MAL ALIMI","ÜRETİM GİRİŞ"})) - VLOOKUP(C1685, 'STOK RAPORU'!$C$2:$I$1000, 4, 0))), 0)</f>
        <v>0</v>
      </c>
      <c r="U1685" s="22">
        <f t="shared" si="104"/>
        <v>0</v>
      </c>
      <c r="V1685">
        <f t="shared" si="105"/>
        <v>0</v>
      </c>
      <c r="W1685" s="22">
        <f t="shared" si="106"/>
        <v>0</v>
      </c>
    </row>
    <row r="1686" spans="1:23" hidden="1" x14ac:dyDescent="0.25">
      <c r="A1686" s="3">
        <v>45993</v>
      </c>
      <c r="B1686" s="4" t="s">
        <v>334</v>
      </c>
      <c r="C1686" s="4" t="s">
        <v>161</v>
      </c>
      <c r="D1686" s="4"/>
      <c r="E1686" s="4" t="s">
        <v>921</v>
      </c>
      <c r="F1686" s="4" t="s">
        <v>1075</v>
      </c>
      <c r="G1686" s="4" t="s">
        <v>336</v>
      </c>
      <c r="H1686" s="4" t="s">
        <v>380</v>
      </c>
      <c r="I1686" s="4">
        <v>1</v>
      </c>
      <c r="J1686" s="21">
        <v>200</v>
      </c>
      <c r="K1686" s="21">
        <v>200</v>
      </c>
      <c r="L1686" s="5">
        <v>0</v>
      </c>
      <c r="M1686" s="4"/>
      <c r="N1686" s="4"/>
      <c r="O1686" s="5"/>
      <c r="P1686" s="5"/>
      <c r="Q1686" s="21">
        <v>0</v>
      </c>
      <c r="R1686" s="21">
        <v>0</v>
      </c>
      <c r="S1686" s="5">
        <f t="shared" si="107"/>
        <v>57756.198760151994</v>
      </c>
      <c r="T1686" cm="1">
        <f t="array" ref="T1686">IF(OR(B1686="MAL ALIMI", B1686="ÜRETİM GİRİŞ"), MIN(I1686, MAX(0, I1686 + SUM(SUMIFS($I$1:I1685, $C$1:C1685, C1686, $B$1:B1685, {"MAL ALIMI","ÜRETİM GİRİŞ"})) - VLOOKUP(C1686, 'STOK RAPORU'!$C$2:$I$1000, 4, 0))), 0)</f>
        <v>0</v>
      </c>
      <c r="U1686" s="22">
        <f t="shared" si="104"/>
        <v>0</v>
      </c>
      <c r="V1686">
        <f t="shared" si="105"/>
        <v>0</v>
      </c>
      <c r="W1686" s="22">
        <f t="shared" si="106"/>
        <v>0</v>
      </c>
    </row>
    <row r="1687" spans="1:23" hidden="1" x14ac:dyDescent="0.25">
      <c r="A1687" s="3">
        <v>45993</v>
      </c>
      <c r="B1687" s="4" t="s">
        <v>334</v>
      </c>
      <c r="C1687" s="4" t="s">
        <v>249</v>
      </c>
      <c r="D1687" s="4"/>
      <c r="E1687" s="4"/>
      <c r="F1687" s="4" t="s">
        <v>1076</v>
      </c>
      <c r="G1687" s="4" t="s">
        <v>336</v>
      </c>
      <c r="H1687" s="4" t="s">
        <v>289</v>
      </c>
      <c r="I1687" s="4">
        <v>0.1</v>
      </c>
      <c r="J1687" s="21">
        <v>900</v>
      </c>
      <c r="K1687" s="21">
        <v>0</v>
      </c>
      <c r="L1687" s="5">
        <v>0</v>
      </c>
      <c r="M1687" s="4"/>
      <c r="N1687" s="4"/>
      <c r="O1687" s="5"/>
      <c r="P1687" s="5"/>
      <c r="Q1687" s="21">
        <v>90</v>
      </c>
      <c r="R1687" s="21">
        <v>0</v>
      </c>
      <c r="S1687" s="5">
        <f t="shared" si="107"/>
        <v>57846.198760151994</v>
      </c>
      <c r="T1687" cm="1">
        <f t="array" ref="T1687">IF(OR(B1687="MAL ALIMI", B1687="ÜRETİM GİRİŞ"), MIN(I1687, MAX(0, I1687 + SUM(SUMIFS($I$1:I1686, $C$1:C1686, C1687, $B$1:B1686, {"MAL ALIMI","ÜRETİM GİRİŞ"})) - VLOOKUP(C1687, 'STOK RAPORU'!$C$2:$I$1000, 4, 0))), 0)</f>
        <v>0</v>
      </c>
      <c r="U1687" s="22">
        <f t="shared" si="104"/>
        <v>0</v>
      </c>
      <c r="V1687">
        <f t="shared" si="105"/>
        <v>0</v>
      </c>
      <c r="W1687" s="22">
        <f t="shared" si="106"/>
        <v>0</v>
      </c>
    </row>
    <row r="1688" spans="1:23" hidden="1" x14ac:dyDescent="0.25">
      <c r="A1688" s="3">
        <v>45993</v>
      </c>
      <c r="B1688" s="4" t="s">
        <v>334</v>
      </c>
      <c r="C1688" s="4" t="s">
        <v>911</v>
      </c>
      <c r="D1688" s="4"/>
      <c r="E1688" s="4"/>
      <c r="F1688" s="4" t="s">
        <v>1077</v>
      </c>
      <c r="G1688" s="4" t="s">
        <v>336</v>
      </c>
      <c r="H1688" s="4" t="s">
        <v>289</v>
      </c>
      <c r="I1688" s="4">
        <v>1</v>
      </c>
      <c r="J1688" s="21">
        <v>170</v>
      </c>
      <c r="K1688" s="21">
        <v>0</v>
      </c>
      <c r="L1688" s="5">
        <v>0</v>
      </c>
      <c r="M1688" s="4"/>
      <c r="N1688" s="4"/>
      <c r="O1688" s="5"/>
      <c r="P1688" s="5"/>
      <c r="Q1688" s="21">
        <v>170</v>
      </c>
      <c r="R1688" s="21">
        <v>0</v>
      </c>
      <c r="S1688" s="5">
        <f t="shared" si="107"/>
        <v>58016.198760151994</v>
      </c>
      <c r="T1688" cm="1">
        <f t="array" ref="T1688">IF(OR(B1688="MAL ALIMI", B1688="ÜRETİM GİRİŞ"), MIN(I1688, MAX(0, I1688 + SUM(SUMIFS($I$1:I1687, $C$1:C1687, C1688, $B$1:B1687, {"MAL ALIMI","ÜRETİM GİRİŞ"})) - VLOOKUP(C1688, 'STOK RAPORU'!$C$2:$I$1000, 4, 0))), 0)</f>
        <v>0</v>
      </c>
      <c r="U1688" s="22">
        <f t="shared" si="104"/>
        <v>0</v>
      </c>
      <c r="V1688">
        <f t="shared" si="105"/>
        <v>0</v>
      </c>
      <c r="W1688" s="22">
        <f t="shared" si="106"/>
        <v>0</v>
      </c>
    </row>
    <row r="1689" spans="1:23" hidden="1" x14ac:dyDescent="0.25">
      <c r="A1689" s="3">
        <v>45993</v>
      </c>
      <c r="B1689" s="4" t="s">
        <v>334</v>
      </c>
      <c r="C1689" s="4" t="s">
        <v>457</v>
      </c>
      <c r="D1689" s="4"/>
      <c r="E1689" s="4"/>
      <c r="F1689" s="4" t="s">
        <v>1077</v>
      </c>
      <c r="G1689" s="4" t="s">
        <v>336</v>
      </c>
      <c r="H1689" s="4" t="s">
        <v>289</v>
      </c>
      <c r="I1689" s="4">
        <v>0.1</v>
      </c>
      <c r="J1689" s="21">
        <v>700</v>
      </c>
      <c r="K1689" s="21">
        <v>0</v>
      </c>
      <c r="L1689" s="5">
        <v>0</v>
      </c>
      <c r="M1689" s="4"/>
      <c r="N1689" s="4"/>
      <c r="O1689" s="5"/>
      <c r="P1689" s="5"/>
      <c r="Q1689" s="21">
        <v>70</v>
      </c>
      <c r="R1689" s="21">
        <v>0</v>
      </c>
      <c r="S1689" s="5">
        <f t="shared" si="107"/>
        <v>58086.198760151994</v>
      </c>
      <c r="T1689" cm="1">
        <f t="array" ref="T1689">IF(OR(B1689="MAL ALIMI", B1689="ÜRETİM GİRİŞ"), MIN(I1689, MAX(0, I1689 + SUM(SUMIFS($I$1:I1688, $C$1:C1688, C1689, $B$1:B1688, {"MAL ALIMI","ÜRETİM GİRİŞ"})) - VLOOKUP(C1689, 'STOK RAPORU'!$C$2:$I$1000, 4, 0))), 0)</f>
        <v>0</v>
      </c>
      <c r="U1689" s="22">
        <f t="shared" si="104"/>
        <v>0</v>
      </c>
      <c r="V1689">
        <f t="shared" si="105"/>
        <v>0</v>
      </c>
      <c r="W1689" s="22">
        <f t="shared" si="106"/>
        <v>0</v>
      </c>
    </row>
    <row r="1690" spans="1:23" hidden="1" x14ac:dyDescent="0.25">
      <c r="A1690" s="3">
        <v>45993</v>
      </c>
      <c r="B1690" s="4" t="s">
        <v>334</v>
      </c>
      <c r="C1690" s="4" t="s">
        <v>134</v>
      </c>
      <c r="D1690" s="4"/>
      <c r="E1690" s="4"/>
      <c r="F1690" s="4" t="s">
        <v>1077</v>
      </c>
      <c r="G1690" s="4" t="s">
        <v>336</v>
      </c>
      <c r="H1690" s="4" t="s">
        <v>289</v>
      </c>
      <c r="I1690" s="4">
        <v>0.1</v>
      </c>
      <c r="J1690" s="21">
        <v>600</v>
      </c>
      <c r="K1690" s="21">
        <v>0</v>
      </c>
      <c r="L1690" s="5">
        <v>0</v>
      </c>
      <c r="M1690" s="4"/>
      <c r="N1690" s="4"/>
      <c r="O1690" s="5"/>
      <c r="P1690" s="5"/>
      <c r="Q1690" s="21">
        <v>60</v>
      </c>
      <c r="R1690" s="21">
        <v>0</v>
      </c>
      <c r="S1690" s="5">
        <f t="shared" si="107"/>
        <v>58146.198760151994</v>
      </c>
      <c r="T1690" cm="1">
        <f t="array" ref="T1690">IF(OR(B1690="MAL ALIMI", B1690="ÜRETİM GİRİŞ"), MIN(I1690, MAX(0, I1690 + SUM(SUMIFS($I$1:I1689, $C$1:C1689, C1690, $B$1:B1689, {"MAL ALIMI","ÜRETİM GİRİŞ"})) - VLOOKUP(C1690, 'STOK RAPORU'!$C$2:$I$1000, 4, 0))), 0)</f>
        <v>0</v>
      </c>
      <c r="U1690" s="22">
        <f t="shared" si="104"/>
        <v>0</v>
      </c>
      <c r="V1690">
        <f t="shared" si="105"/>
        <v>0</v>
      </c>
      <c r="W1690" s="22">
        <f t="shared" si="106"/>
        <v>0</v>
      </c>
    </row>
    <row r="1691" spans="1:23" hidden="1" x14ac:dyDescent="0.25">
      <c r="A1691" s="3">
        <v>45993</v>
      </c>
      <c r="B1691" s="4" t="s">
        <v>334</v>
      </c>
      <c r="C1691" s="4" t="s">
        <v>265</v>
      </c>
      <c r="D1691" s="4"/>
      <c r="E1691" s="4"/>
      <c r="F1691" s="4" t="s">
        <v>1077</v>
      </c>
      <c r="G1691" s="4" t="s">
        <v>336</v>
      </c>
      <c r="H1691" s="4" t="s">
        <v>289</v>
      </c>
      <c r="I1691" s="4">
        <v>1</v>
      </c>
      <c r="J1691" s="21">
        <v>140</v>
      </c>
      <c r="K1691" s="21">
        <v>0</v>
      </c>
      <c r="L1691" s="5">
        <v>0</v>
      </c>
      <c r="M1691" s="4"/>
      <c r="N1691" s="4"/>
      <c r="O1691" s="5"/>
      <c r="P1691" s="5"/>
      <c r="Q1691" s="21">
        <v>140</v>
      </c>
      <c r="R1691" s="21">
        <v>0</v>
      </c>
      <c r="S1691" s="5">
        <f t="shared" si="107"/>
        <v>58286.198760151994</v>
      </c>
      <c r="T1691" cm="1">
        <f t="array" ref="T1691">IF(OR(B1691="MAL ALIMI", B1691="ÜRETİM GİRİŞ"), MIN(I1691, MAX(0, I1691 + SUM(SUMIFS($I$1:I1690, $C$1:C1690, C1691, $B$1:B1690, {"MAL ALIMI","ÜRETİM GİRİŞ"})) - VLOOKUP(C1691, 'STOK RAPORU'!$C$2:$I$1000, 4, 0))), 0)</f>
        <v>0</v>
      </c>
      <c r="U1691" s="22">
        <f t="shared" si="104"/>
        <v>0</v>
      </c>
      <c r="V1691">
        <f t="shared" si="105"/>
        <v>0</v>
      </c>
      <c r="W1691" s="22">
        <f t="shared" si="106"/>
        <v>0</v>
      </c>
    </row>
    <row r="1692" spans="1:23" hidden="1" x14ac:dyDescent="0.25">
      <c r="A1692" s="3">
        <v>45993</v>
      </c>
      <c r="B1692" s="4" t="s">
        <v>334</v>
      </c>
      <c r="C1692" s="4" t="s">
        <v>463</v>
      </c>
      <c r="D1692" s="4"/>
      <c r="E1692" s="4"/>
      <c r="F1692" s="4" t="s">
        <v>1078</v>
      </c>
      <c r="G1692" s="4" t="s">
        <v>336</v>
      </c>
      <c r="H1692" s="4" t="s">
        <v>289</v>
      </c>
      <c r="I1692" s="4">
        <v>0.114</v>
      </c>
      <c r="J1692" s="21">
        <v>370</v>
      </c>
      <c r="K1692" s="21">
        <v>0</v>
      </c>
      <c r="L1692" s="5">
        <v>0</v>
      </c>
      <c r="M1692" s="4"/>
      <c r="N1692" s="4"/>
      <c r="O1692" s="5"/>
      <c r="P1692" s="5"/>
      <c r="Q1692" s="21">
        <v>42.18</v>
      </c>
      <c r="R1692" s="21">
        <v>0</v>
      </c>
      <c r="S1692" s="5">
        <f t="shared" si="107"/>
        <v>58328.378760151994</v>
      </c>
      <c r="T1692" cm="1">
        <f t="array" ref="T1692">IF(OR(B1692="MAL ALIMI", B1692="ÜRETİM GİRİŞ"), MIN(I1692, MAX(0, I1692 + SUM(SUMIFS($I$1:I1691, $C$1:C1691, C1692, $B$1:B1691, {"MAL ALIMI","ÜRETİM GİRİŞ"})) - VLOOKUP(C1692, 'STOK RAPORU'!$C$2:$I$1000, 4, 0))), 0)</f>
        <v>0</v>
      </c>
      <c r="U1692" s="22">
        <f t="shared" si="104"/>
        <v>0</v>
      </c>
      <c r="V1692">
        <f t="shared" si="105"/>
        <v>0</v>
      </c>
      <c r="W1692" s="22">
        <f t="shared" si="106"/>
        <v>0</v>
      </c>
    </row>
    <row r="1693" spans="1:23" hidden="1" x14ac:dyDescent="0.25">
      <c r="A1693" s="3">
        <v>45993</v>
      </c>
      <c r="B1693" s="4" t="s">
        <v>334</v>
      </c>
      <c r="C1693" s="4" t="s">
        <v>96</v>
      </c>
      <c r="D1693" s="4"/>
      <c r="E1693" s="4"/>
      <c r="F1693" s="4" t="s">
        <v>1078</v>
      </c>
      <c r="G1693" s="4" t="s">
        <v>336</v>
      </c>
      <c r="H1693" s="4" t="s">
        <v>289</v>
      </c>
      <c r="I1693" s="4">
        <v>0.108</v>
      </c>
      <c r="J1693" s="21">
        <v>380</v>
      </c>
      <c r="K1693" s="21">
        <v>0</v>
      </c>
      <c r="L1693" s="5">
        <v>0</v>
      </c>
      <c r="M1693" s="4"/>
      <c r="N1693" s="4"/>
      <c r="O1693" s="5"/>
      <c r="P1693" s="5"/>
      <c r="Q1693" s="21">
        <v>41.04</v>
      </c>
      <c r="R1693" s="21">
        <v>0</v>
      </c>
      <c r="S1693" s="5">
        <f t="shared" si="107"/>
        <v>58369.418760151995</v>
      </c>
      <c r="T1693" cm="1">
        <f t="array" ref="T1693">IF(OR(B1693="MAL ALIMI", B1693="ÜRETİM GİRİŞ"), MIN(I1693, MAX(0, I1693 + SUM(SUMIFS($I$1:I1692, $C$1:C1692, C1693, $B$1:B1692, {"MAL ALIMI","ÜRETİM GİRİŞ"})) - VLOOKUP(C1693, 'STOK RAPORU'!$C$2:$I$1000, 4, 0))), 0)</f>
        <v>0</v>
      </c>
      <c r="U1693" s="22">
        <f t="shared" si="104"/>
        <v>0</v>
      </c>
      <c r="V1693">
        <f t="shared" si="105"/>
        <v>0</v>
      </c>
      <c r="W1693" s="22">
        <f t="shared" si="106"/>
        <v>0</v>
      </c>
    </row>
    <row r="1694" spans="1:23" hidden="1" x14ac:dyDescent="0.25">
      <c r="A1694" s="3">
        <v>45993</v>
      </c>
      <c r="B1694" s="4" t="s">
        <v>334</v>
      </c>
      <c r="C1694" s="4" t="s">
        <v>241</v>
      </c>
      <c r="D1694" s="4"/>
      <c r="E1694" s="4" t="s">
        <v>921</v>
      </c>
      <c r="F1694" s="4" t="s">
        <v>1078</v>
      </c>
      <c r="G1694" s="4" t="s">
        <v>336</v>
      </c>
      <c r="H1694" s="4" t="s">
        <v>380</v>
      </c>
      <c r="I1694" s="4">
        <v>0.28000000000000003</v>
      </c>
      <c r="J1694" s="21">
        <v>360</v>
      </c>
      <c r="K1694" s="21">
        <v>100.80000000000001</v>
      </c>
      <c r="L1694" s="5">
        <v>0</v>
      </c>
      <c r="M1694" s="4"/>
      <c r="N1694" s="4"/>
      <c r="O1694" s="5"/>
      <c r="P1694" s="5"/>
      <c r="Q1694" s="21">
        <v>0</v>
      </c>
      <c r="R1694" s="21">
        <v>0</v>
      </c>
      <c r="S1694" s="5">
        <f t="shared" si="107"/>
        <v>58369.418760151995</v>
      </c>
      <c r="T1694" cm="1">
        <f t="array" ref="T1694">IF(OR(B1694="MAL ALIMI", B1694="ÜRETİM GİRİŞ"), MIN(I1694, MAX(0, I1694 + SUM(SUMIFS($I$1:I1693, $C$1:C1693, C1694, $B$1:B1693, {"MAL ALIMI","ÜRETİM GİRİŞ"})) - VLOOKUP(C1694, 'STOK RAPORU'!$C$2:$I$1000, 4, 0))), 0)</f>
        <v>0</v>
      </c>
      <c r="U1694" s="22">
        <f t="shared" si="104"/>
        <v>0</v>
      </c>
      <c r="V1694">
        <f t="shared" si="105"/>
        <v>0</v>
      </c>
      <c r="W1694" s="22">
        <f t="shared" si="106"/>
        <v>0</v>
      </c>
    </row>
    <row r="1695" spans="1:23" hidden="1" x14ac:dyDescent="0.25">
      <c r="A1695" s="3">
        <v>45993</v>
      </c>
      <c r="B1695" s="4" t="s">
        <v>334</v>
      </c>
      <c r="C1695" s="4" t="s">
        <v>249</v>
      </c>
      <c r="D1695" s="4"/>
      <c r="E1695" s="4" t="s">
        <v>921</v>
      </c>
      <c r="F1695" s="4" t="s">
        <v>1079</v>
      </c>
      <c r="G1695" s="4" t="s">
        <v>336</v>
      </c>
      <c r="H1695" s="4" t="s">
        <v>380</v>
      </c>
      <c r="I1695" s="4">
        <v>0.1</v>
      </c>
      <c r="J1695" s="21">
        <v>900</v>
      </c>
      <c r="K1695" s="21">
        <v>90</v>
      </c>
      <c r="L1695" s="5">
        <v>0</v>
      </c>
      <c r="M1695" s="4"/>
      <c r="N1695" s="4"/>
      <c r="O1695" s="5"/>
      <c r="P1695" s="5"/>
      <c r="Q1695" s="21">
        <v>0</v>
      </c>
      <c r="R1695" s="21">
        <v>0</v>
      </c>
      <c r="S1695" s="5">
        <f t="shared" si="107"/>
        <v>58369.418760151995</v>
      </c>
      <c r="T1695" cm="1">
        <f t="array" ref="T1695">IF(OR(B1695="MAL ALIMI", B1695="ÜRETİM GİRİŞ"), MIN(I1695, MAX(0, I1695 + SUM(SUMIFS($I$1:I1694, $C$1:C1694, C1695, $B$1:B1694, {"MAL ALIMI","ÜRETİM GİRİŞ"})) - VLOOKUP(C1695, 'STOK RAPORU'!$C$2:$I$1000, 4, 0))), 0)</f>
        <v>0</v>
      </c>
      <c r="U1695" s="22">
        <f t="shared" si="104"/>
        <v>0</v>
      </c>
      <c r="V1695">
        <f t="shared" si="105"/>
        <v>0</v>
      </c>
      <c r="W1695" s="22">
        <f t="shared" si="106"/>
        <v>0</v>
      </c>
    </row>
    <row r="1696" spans="1:23" hidden="1" x14ac:dyDescent="0.25">
      <c r="A1696" s="3">
        <v>45993</v>
      </c>
      <c r="B1696" s="4" t="s">
        <v>334</v>
      </c>
      <c r="C1696" s="4" t="s">
        <v>237</v>
      </c>
      <c r="D1696" s="4"/>
      <c r="E1696" s="4" t="s">
        <v>921</v>
      </c>
      <c r="F1696" s="4" t="s">
        <v>1079</v>
      </c>
      <c r="G1696" s="4" t="s">
        <v>336</v>
      </c>
      <c r="H1696" s="4" t="s">
        <v>380</v>
      </c>
      <c r="I1696" s="4">
        <v>0.04</v>
      </c>
      <c r="J1696" s="21">
        <v>2250</v>
      </c>
      <c r="K1696" s="21">
        <v>90</v>
      </c>
      <c r="L1696" s="5">
        <v>0</v>
      </c>
      <c r="M1696" s="4"/>
      <c r="N1696" s="4"/>
      <c r="O1696" s="5"/>
      <c r="P1696" s="5"/>
      <c r="Q1696" s="21">
        <v>0</v>
      </c>
      <c r="R1696" s="21">
        <v>0</v>
      </c>
      <c r="S1696" s="5">
        <f t="shared" si="107"/>
        <v>58369.418760151995</v>
      </c>
      <c r="T1696" cm="1">
        <f t="array" ref="T1696">IF(OR(B1696="MAL ALIMI", B1696="ÜRETİM GİRİŞ"), MIN(I1696, MAX(0, I1696 + SUM(SUMIFS($I$1:I1695, $C$1:C1695, C1696, $B$1:B1695, {"MAL ALIMI","ÜRETİM GİRİŞ"})) - VLOOKUP(C1696, 'STOK RAPORU'!$C$2:$I$1000, 4, 0))), 0)</f>
        <v>0</v>
      </c>
      <c r="U1696" s="22">
        <f t="shared" si="104"/>
        <v>0</v>
      </c>
      <c r="V1696">
        <f t="shared" si="105"/>
        <v>0</v>
      </c>
      <c r="W1696" s="22">
        <f t="shared" si="106"/>
        <v>0</v>
      </c>
    </row>
    <row r="1697" spans="1:23" hidden="1" x14ac:dyDescent="0.25">
      <c r="A1697" s="3">
        <v>45993</v>
      </c>
      <c r="B1697" s="4" t="s">
        <v>334</v>
      </c>
      <c r="C1697" s="4" t="s">
        <v>187</v>
      </c>
      <c r="D1697" s="4"/>
      <c r="E1697" s="4" t="s">
        <v>921</v>
      </c>
      <c r="F1697" s="4" t="s">
        <v>1080</v>
      </c>
      <c r="G1697" s="4" t="s">
        <v>336</v>
      </c>
      <c r="H1697" s="4" t="s">
        <v>380</v>
      </c>
      <c r="I1697" s="4">
        <v>1</v>
      </c>
      <c r="J1697" s="21">
        <v>60</v>
      </c>
      <c r="K1697" s="21">
        <v>60</v>
      </c>
      <c r="L1697" s="5">
        <v>0</v>
      </c>
      <c r="M1697" s="4"/>
      <c r="N1697" s="4"/>
      <c r="O1697" s="5"/>
      <c r="P1697" s="5"/>
      <c r="Q1697" s="21">
        <v>0</v>
      </c>
      <c r="R1697" s="21">
        <v>0</v>
      </c>
      <c r="S1697" s="5">
        <f t="shared" si="107"/>
        <v>58369.418760151995</v>
      </c>
      <c r="T1697" cm="1">
        <f t="array" ref="T1697">IF(OR(B1697="MAL ALIMI", B1697="ÜRETİM GİRİŞ"), MIN(I1697, MAX(0, I1697 + SUM(SUMIFS($I$1:I1696, $C$1:C1696, C1697, $B$1:B1696, {"MAL ALIMI","ÜRETİM GİRİŞ"})) - VLOOKUP(C1697, 'STOK RAPORU'!$C$2:$I$1000, 4, 0))), 0)</f>
        <v>0</v>
      </c>
      <c r="U1697" s="22">
        <f t="shared" si="104"/>
        <v>0</v>
      </c>
      <c r="V1697">
        <f t="shared" si="105"/>
        <v>0</v>
      </c>
      <c r="W1697" s="22">
        <f t="shared" si="106"/>
        <v>0</v>
      </c>
    </row>
    <row r="1698" spans="1:23" hidden="1" x14ac:dyDescent="0.25">
      <c r="A1698" s="3">
        <v>45993</v>
      </c>
      <c r="B1698" s="4" t="s">
        <v>334</v>
      </c>
      <c r="C1698" s="4" t="s">
        <v>266</v>
      </c>
      <c r="D1698" s="4"/>
      <c r="E1698" s="4" t="s">
        <v>921</v>
      </c>
      <c r="F1698" s="4" t="s">
        <v>1080</v>
      </c>
      <c r="G1698" s="4" t="s">
        <v>336</v>
      </c>
      <c r="H1698" s="4" t="s">
        <v>380</v>
      </c>
      <c r="I1698" s="4">
        <v>0.32</v>
      </c>
      <c r="J1698" s="21">
        <v>250</v>
      </c>
      <c r="K1698" s="21">
        <v>80</v>
      </c>
      <c r="L1698" s="5">
        <v>0</v>
      </c>
      <c r="M1698" s="4"/>
      <c r="N1698" s="4"/>
      <c r="O1698" s="5"/>
      <c r="P1698" s="5"/>
      <c r="Q1698" s="21">
        <v>0</v>
      </c>
      <c r="R1698" s="21">
        <v>0</v>
      </c>
      <c r="S1698" s="5">
        <f t="shared" si="107"/>
        <v>58369.418760151995</v>
      </c>
      <c r="T1698" cm="1">
        <f t="array" ref="T1698">IF(OR(B1698="MAL ALIMI", B1698="ÜRETİM GİRİŞ"), MIN(I1698, MAX(0, I1698 + SUM(SUMIFS($I$1:I1697, $C$1:C1697, C1698, $B$1:B1697, {"MAL ALIMI","ÜRETİM GİRİŞ"})) - VLOOKUP(C1698, 'STOK RAPORU'!$C$2:$I$1000, 4, 0))), 0)</f>
        <v>0</v>
      </c>
      <c r="U1698" s="22">
        <f t="shared" si="104"/>
        <v>0</v>
      </c>
      <c r="V1698">
        <f t="shared" si="105"/>
        <v>0</v>
      </c>
      <c r="W1698" s="22">
        <f t="shared" si="106"/>
        <v>0</v>
      </c>
    </row>
    <row r="1699" spans="1:23" hidden="1" x14ac:dyDescent="0.25">
      <c r="A1699" s="3">
        <v>45993</v>
      </c>
      <c r="B1699" s="4" t="s">
        <v>334</v>
      </c>
      <c r="C1699" s="4" t="s">
        <v>619</v>
      </c>
      <c r="D1699" s="4"/>
      <c r="E1699" s="4" t="s">
        <v>921</v>
      </c>
      <c r="F1699" s="4" t="s">
        <v>1080</v>
      </c>
      <c r="G1699" s="4" t="s">
        <v>336</v>
      </c>
      <c r="H1699" s="4" t="s">
        <v>380</v>
      </c>
      <c r="I1699" s="4">
        <v>0.52258064516129032</v>
      </c>
      <c r="J1699" s="21">
        <v>155</v>
      </c>
      <c r="K1699" s="21">
        <v>81</v>
      </c>
      <c r="L1699" s="5">
        <v>0</v>
      </c>
      <c r="M1699" s="4"/>
      <c r="N1699" s="4"/>
      <c r="O1699" s="5"/>
      <c r="P1699" s="5"/>
      <c r="Q1699" s="21">
        <v>0</v>
      </c>
      <c r="R1699" s="21">
        <v>0</v>
      </c>
      <c r="S1699" s="5">
        <f t="shared" si="107"/>
        <v>58369.418760151995</v>
      </c>
      <c r="T1699" cm="1">
        <f t="array" ref="T1699">IF(OR(B1699="MAL ALIMI", B1699="ÜRETİM GİRİŞ"), MIN(I1699, MAX(0, I1699 + SUM(SUMIFS($I$1:I1698, $C$1:C1698, C1699, $B$1:B1698, {"MAL ALIMI","ÜRETİM GİRİŞ"})) - VLOOKUP(C1699, 'STOK RAPORU'!$C$2:$I$1000, 4, 0))), 0)</f>
        <v>0</v>
      </c>
      <c r="U1699" s="22">
        <f t="shared" si="104"/>
        <v>0</v>
      </c>
      <c r="V1699">
        <f t="shared" si="105"/>
        <v>0</v>
      </c>
      <c r="W1699" s="22">
        <f t="shared" si="106"/>
        <v>0</v>
      </c>
    </row>
    <row r="1700" spans="1:23" hidden="1" x14ac:dyDescent="0.25">
      <c r="A1700" s="3">
        <v>45993</v>
      </c>
      <c r="B1700" s="4" t="s">
        <v>334</v>
      </c>
      <c r="C1700" s="4" t="s">
        <v>840</v>
      </c>
      <c r="D1700" s="4"/>
      <c r="E1700" s="4" t="s">
        <v>921</v>
      </c>
      <c r="F1700" s="4" t="s">
        <v>1080</v>
      </c>
      <c r="G1700" s="4" t="s">
        <v>336</v>
      </c>
      <c r="H1700" s="4" t="s">
        <v>380</v>
      </c>
      <c r="I1700" s="4">
        <v>0.25</v>
      </c>
      <c r="J1700" s="21">
        <v>360</v>
      </c>
      <c r="K1700" s="21">
        <v>90</v>
      </c>
      <c r="L1700" s="5">
        <v>0</v>
      </c>
      <c r="M1700" s="4"/>
      <c r="N1700" s="4"/>
      <c r="O1700" s="5"/>
      <c r="P1700" s="5"/>
      <c r="Q1700" s="21">
        <v>0</v>
      </c>
      <c r="R1700" s="21">
        <v>0</v>
      </c>
      <c r="S1700" s="5">
        <f t="shared" si="107"/>
        <v>58369.418760151995</v>
      </c>
      <c r="T1700" cm="1">
        <f t="array" ref="T1700">IF(OR(B1700="MAL ALIMI", B1700="ÜRETİM GİRİŞ"), MIN(I1700, MAX(0, I1700 + SUM(SUMIFS($I$1:I1699, $C$1:C1699, C1700, $B$1:B1699, {"MAL ALIMI","ÜRETİM GİRİŞ"})) - VLOOKUP(C1700, 'STOK RAPORU'!$C$2:$I$1000, 4, 0))), 0)</f>
        <v>0</v>
      </c>
      <c r="U1700" s="22">
        <f t="shared" si="104"/>
        <v>0</v>
      </c>
      <c r="V1700">
        <f t="shared" si="105"/>
        <v>0</v>
      </c>
      <c r="W1700" s="22">
        <f t="shared" si="106"/>
        <v>0</v>
      </c>
    </row>
    <row r="1701" spans="1:23" hidden="1" x14ac:dyDescent="0.25">
      <c r="A1701" s="3">
        <v>45993</v>
      </c>
      <c r="B1701" s="4" t="s">
        <v>334</v>
      </c>
      <c r="C1701" s="4" t="s">
        <v>597</v>
      </c>
      <c r="D1701" s="4"/>
      <c r="E1701" s="4" t="s">
        <v>921</v>
      </c>
      <c r="F1701" s="4" t="s">
        <v>1080</v>
      </c>
      <c r="G1701" s="4" t="s">
        <v>336</v>
      </c>
      <c r="H1701" s="4" t="s">
        <v>380</v>
      </c>
      <c r="I1701" s="4">
        <v>1</v>
      </c>
      <c r="J1701" s="21">
        <v>290</v>
      </c>
      <c r="K1701" s="21">
        <v>290</v>
      </c>
      <c r="L1701" s="5">
        <v>0</v>
      </c>
      <c r="M1701" s="4"/>
      <c r="N1701" s="4"/>
      <c r="O1701" s="5"/>
      <c r="P1701" s="5"/>
      <c r="Q1701" s="21">
        <v>0</v>
      </c>
      <c r="R1701" s="21">
        <v>0</v>
      </c>
      <c r="S1701" s="5">
        <f t="shared" si="107"/>
        <v>58369.418760151995</v>
      </c>
      <c r="T1701" cm="1">
        <f t="array" ref="T1701">IF(OR(B1701="MAL ALIMI", B1701="ÜRETİM GİRİŞ"), MIN(I1701, MAX(0, I1701 + SUM(SUMIFS($I$1:I1700, $C$1:C1700, C1701, $B$1:B1700, {"MAL ALIMI","ÜRETİM GİRİŞ"})) - VLOOKUP(C1701, 'STOK RAPORU'!$C$2:$I$1000, 4, 0))), 0)</f>
        <v>0</v>
      </c>
      <c r="U1701" s="22">
        <f t="shared" si="104"/>
        <v>0</v>
      </c>
      <c r="V1701">
        <f t="shared" si="105"/>
        <v>0</v>
      </c>
      <c r="W1701" s="22">
        <f t="shared" si="106"/>
        <v>0</v>
      </c>
    </row>
    <row r="1702" spans="1:23" hidden="1" x14ac:dyDescent="0.25">
      <c r="A1702" s="3">
        <v>45993</v>
      </c>
      <c r="B1702" s="4" t="s">
        <v>334</v>
      </c>
      <c r="C1702" s="4" t="s">
        <v>458</v>
      </c>
      <c r="D1702" s="4"/>
      <c r="E1702" s="4" t="s">
        <v>921</v>
      </c>
      <c r="F1702" s="4" t="s">
        <v>1081</v>
      </c>
      <c r="G1702" s="4" t="s">
        <v>336</v>
      </c>
      <c r="H1702" s="4" t="s">
        <v>380</v>
      </c>
      <c r="I1702" s="4">
        <v>0.25</v>
      </c>
      <c r="J1702" s="21">
        <v>80</v>
      </c>
      <c r="K1702" s="21">
        <v>20</v>
      </c>
      <c r="L1702" s="5">
        <v>0</v>
      </c>
      <c r="M1702" s="4"/>
      <c r="N1702" s="4"/>
      <c r="O1702" s="5"/>
      <c r="P1702" s="5"/>
      <c r="Q1702" s="21">
        <v>0</v>
      </c>
      <c r="R1702" s="21">
        <v>0</v>
      </c>
      <c r="S1702" s="5">
        <f t="shared" si="107"/>
        <v>58369.418760151995</v>
      </c>
      <c r="T1702" cm="1">
        <f t="array" ref="T1702">IF(OR(B1702="MAL ALIMI", B1702="ÜRETİM GİRİŞ"), MIN(I1702, MAX(0, I1702 + SUM(SUMIFS($I$1:I1701, $C$1:C1701, C1702, $B$1:B1701, {"MAL ALIMI","ÜRETİM GİRİŞ"})) - VLOOKUP(C1702, 'STOK RAPORU'!$C$2:$I$1000, 4, 0))), 0)</f>
        <v>0</v>
      </c>
      <c r="U1702" s="22">
        <f t="shared" si="104"/>
        <v>0</v>
      </c>
      <c r="V1702">
        <f t="shared" si="105"/>
        <v>0</v>
      </c>
      <c r="W1702" s="22">
        <f t="shared" si="106"/>
        <v>0</v>
      </c>
    </row>
    <row r="1703" spans="1:23" hidden="1" x14ac:dyDescent="0.25">
      <c r="A1703" s="3">
        <v>45993</v>
      </c>
      <c r="B1703" s="4" t="s">
        <v>334</v>
      </c>
      <c r="C1703" s="4" t="s">
        <v>238</v>
      </c>
      <c r="D1703" s="4"/>
      <c r="E1703" s="4"/>
      <c r="F1703" s="4" t="s">
        <v>1082</v>
      </c>
      <c r="G1703" s="4" t="s">
        <v>336</v>
      </c>
      <c r="H1703" s="4" t="s">
        <v>289</v>
      </c>
      <c r="I1703" s="4">
        <v>0.1</v>
      </c>
      <c r="J1703" s="21">
        <v>1350</v>
      </c>
      <c r="K1703" s="21">
        <v>0</v>
      </c>
      <c r="L1703" s="5">
        <v>0</v>
      </c>
      <c r="M1703" s="4"/>
      <c r="N1703" s="4"/>
      <c r="O1703" s="5"/>
      <c r="P1703" s="5"/>
      <c r="Q1703" s="21">
        <v>135</v>
      </c>
      <c r="R1703" s="21">
        <v>0</v>
      </c>
      <c r="S1703" s="5">
        <f t="shared" si="107"/>
        <v>58504.418760151995</v>
      </c>
      <c r="T1703" cm="1">
        <f t="array" ref="T1703">IF(OR(B1703="MAL ALIMI", B1703="ÜRETİM GİRİŞ"), MIN(I1703, MAX(0, I1703 + SUM(SUMIFS($I$1:I1702, $C$1:C1702, C1703, $B$1:B1702, {"MAL ALIMI","ÜRETİM GİRİŞ"})) - VLOOKUP(C1703, 'STOK RAPORU'!$C$2:$I$1000, 4, 0))), 0)</f>
        <v>0</v>
      </c>
      <c r="U1703" s="22">
        <f t="shared" si="104"/>
        <v>0</v>
      </c>
      <c r="V1703">
        <f t="shared" si="105"/>
        <v>0</v>
      </c>
      <c r="W1703" s="22">
        <f t="shared" si="106"/>
        <v>0</v>
      </c>
    </row>
    <row r="1704" spans="1:23" hidden="1" x14ac:dyDescent="0.25">
      <c r="A1704" s="3">
        <v>45993</v>
      </c>
      <c r="B1704" s="4" t="s">
        <v>946</v>
      </c>
      <c r="C1704" s="4"/>
      <c r="D1704" s="4"/>
      <c r="E1704" s="4" t="s">
        <v>921</v>
      </c>
      <c r="F1704" s="4"/>
      <c r="G1704" s="4" t="s">
        <v>946</v>
      </c>
      <c r="H1704" s="4" t="s">
        <v>380</v>
      </c>
      <c r="I1704" s="4">
        <v>1</v>
      </c>
      <c r="J1704" s="105">
        <v>2130</v>
      </c>
      <c r="K1704" s="21">
        <v>0</v>
      </c>
      <c r="L1704" s="111">
        <v>2130</v>
      </c>
      <c r="M1704" s="4"/>
      <c r="N1704" s="4"/>
      <c r="O1704" s="5"/>
      <c r="P1704" s="5"/>
      <c r="Q1704" s="21">
        <v>2130</v>
      </c>
      <c r="R1704" s="21">
        <v>0</v>
      </c>
      <c r="S1704" s="5">
        <f t="shared" si="107"/>
        <v>60634.418760151995</v>
      </c>
      <c r="T1704" cm="1">
        <f t="array" ref="T1704">IF(OR(B1704="MAL ALIMI", B1704="ÜRETİM GİRİŞ"), MIN(I1704, MAX(0, I1704 + SUM(SUMIFS($I$1:I1703, $C$1:C1703, C1704, $B$1:B1703, {"MAL ALIMI","ÜRETİM GİRİŞ"})) - VLOOKUP(C1704, 'STOK RAPORU'!$C$2:$I$1000, 4, 0))), 0)</f>
        <v>0</v>
      </c>
      <c r="U1704" s="22">
        <f t="shared" si="104"/>
        <v>0</v>
      </c>
      <c r="V1704">
        <f t="shared" si="105"/>
        <v>0</v>
      </c>
      <c r="W1704" s="22">
        <f t="shared" si="106"/>
        <v>0</v>
      </c>
    </row>
    <row r="1705" spans="1:23" hidden="1" x14ac:dyDescent="0.25">
      <c r="A1705" s="3">
        <v>45994</v>
      </c>
      <c r="B1705" s="4" t="s">
        <v>334</v>
      </c>
      <c r="C1705" s="4" t="s">
        <v>694</v>
      </c>
      <c r="D1705" s="4"/>
      <c r="E1705" s="4"/>
      <c r="F1705" s="4" t="s">
        <v>1083</v>
      </c>
      <c r="G1705" s="4" t="s">
        <v>336</v>
      </c>
      <c r="H1705" s="4" t="s">
        <v>289</v>
      </c>
      <c r="I1705" s="4">
        <v>0.25641025641025639</v>
      </c>
      <c r="J1705" s="21">
        <v>195</v>
      </c>
      <c r="K1705" s="21">
        <v>0</v>
      </c>
      <c r="L1705" s="5">
        <v>0</v>
      </c>
      <c r="M1705" s="4"/>
      <c r="N1705" s="4"/>
      <c r="O1705" s="5"/>
      <c r="P1705" s="5"/>
      <c r="Q1705" s="21">
        <v>49.999999999999993</v>
      </c>
      <c r="R1705" s="21">
        <v>0</v>
      </c>
      <c r="S1705" s="5">
        <f t="shared" si="107"/>
        <v>60684.418760151995</v>
      </c>
      <c r="T1705" cm="1">
        <f t="array" ref="T1705">IF(OR(B1705="MAL ALIMI", B1705="ÜRETİM GİRİŞ"), MIN(I1705, MAX(0, I1705 + SUM(SUMIFS($I$1:I1704, $C$1:C1704, C1705, $B$1:B1704, {"MAL ALIMI","ÜRETİM GİRİŞ"})) - VLOOKUP(C1705, 'STOK RAPORU'!$C$2:$I$1000, 4, 0))), 0)</f>
        <v>0</v>
      </c>
      <c r="U1705" s="22">
        <f t="shared" si="104"/>
        <v>0</v>
      </c>
      <c r="V1705">
        <f t="shared" si="105"/>
        <v>0</v>
      </c>
      <c r="W1705" s="22">
        <f t="shared" si="106"/>
        <v>0</v>
      </c>
    </row>
    <row r="1706" spans="1:23" hidden="1" x14ac:dyDescent="0.25">
      <c r="A1706" s="3">
        <v>45994</v>
      </c>
      <c r="B1706" s="4" t="s">
        <v>334</v>
      </c>
      <c r="C1706" s="4" t="s">
        <v>201</v>
      </c>
      <c r="D1706" s="4"/>
      <c r="E1706" s="4" t="s">
        <v>921</v>
      </c>
      <c r="F1706" s="4" t="s">
        <v>1084</v>
      </c>
      <c r="G1706" s="4" t="s">
        <v>336</v>
      </c>
      <c r="H1706" s="4" t="s">
        <v>380</v>
      </c>
      <c r="I1706" s="4">
        <v>9.375E-2</v>
      </c>
      <c r="J1706" s="21">
        <v>800</v>
      </c>
      <c r="K1706" s="35">
        <v>75</v>
      </c>
      <c r="L1706" s="5">
        <v>0</v>
      </c>
      <c r="M1706" s="4"/>
      <c r="N1706" s="4"/>
      <c r="O1706" s="5"/>
      <c r="P1706" s="5"/>
      <c r="Q1706" s="21">
        <v>0</v>
      </c>
      <c r="R1706" s="21">
        <v>0</v>
      </c>
      <c r="S1706" s="5">
        <f t="shared" si="107"/>
        <v>60684.418760151995</v>
      </c>
      <c r="T1706" cm="1">
        <f t="array" ref="T1706">IF(OR(B1706="MAL ALIMI", B1706="ÜRETİM GİRİŞ"), MIN(I1706, MAX(0, I1706 + SUM(SUMIFS($I$1:I1705, $C$1:C1705, C1706, $B$1:B1705, {"MAL ALIMI","ÜRETİM GİRİŞ"})) - VLOOKUP(C1706, 'STOK RAPORU'!$C$2:$I$1000, 4, 0))), 0)</f>
        <v>0</v>
      </c>
      <c r="U1706" s="22">
        <f t="shared" si="104"/>
        <v>0</v>
      </c>
      <c r="V1706">
        <f t="shared" si="105"/>
        <v>0</v>
      </c>
      <c r="W1706" s="22">
        <f t="shared" si="106"/>
        <v>0</v>
      </c>
    </row>
    <row r="1707" spans="1:23" hidden="1" x14ac:dyDescent="0.25">
      <c r="A1707" s="3">
        <v>45994</v>
      </c>
      <c r="B1707" s="4" t="s">
        <v>334</v>
      </c>
      <c r="C1707" s="4" t="s">
        <v>486</v>
      </c>
      <c r="D1707" s="4"/>
      <c r="E1707" s="4" t="s">
        <v>921</v>
      </c>
      <c r="F1707" s="4" t="s">
        <v>1084</v>
      </c>
      <c r="G1707" s="4" t="s">
        <v>336</v>
      </c>
      <c r="H1707" s="4" t="s">
        <v>380</v>
      </c>
      <c r="I1707" s="4">
        <v>2</v>
      </c>
      <c r="J1707" s="21">
        <v>180</v>
      </c>
      <c r="K1707" s="35">
        <v>360</v>
      </c>
      <c r="L1707" s="5">
        <v>0</v>
      </c>
      <c r="M1707" s="4"/>
      <c r="N1707" s="4"/>
      <c r="O1707" s="5"/>
      <c r="P1707" s="5"/>
      <c r="Q1707" s="21">
        <v>0</v>
      </c>
      <c r="R1707" s="21">
        <v>0</v>
      </c>
      <c r="S1707" s="5">
        <f t="shared" si="107"/>
        <v>60684.418760151995</v>
      </c>
      <c r="T1707" cm="1">
        <f t="array" ref="T1707">IF(OR(B1707="MAL ALIMI", B1707="ÜRETİM GİRİŞ"), MIN(I1707, MAX(0, I1707 + SUM(SUMIFS($I$1:I1706, $C$1:C1706, C1707, $B$1:B1706, {"MAL ALIMI","ÜRETİM GİRİŞ"})) - VLOOKUP(C1707, 'STOK RAPORU'!$C$2:$I$1000, 4, 0))), 0)</f>
        <v>0</v>
      </c>
      <c r="U1707" s="22">
        <f t="shared" si="104"/>
        <v>0</v>
      </c>
      <c r="V1707">
        <f t="shared" si="105"/>
        <v>0</v>
      </c>
      <c r="W1707" s="22">
        <f t="shared" si="106"/>
        <v>0</v>
      </c>
    </row>
    <row r="1708" spans="1:23" hidden="1" x14ac:dyDescent="0.25">
      <c r="A1708" s="3">
        <v>45994</v>
      </c>
      <c r="B1708" s="4" t="s">
        <v>334</v>
      </c>
      <c r="C1708" s="4" t="s">
        <v>209</v>
      </c>
      <c r="D1708" s="4"/>
      <c r="E1708" s="4" t="s">
        <v>921</v>
      </c>
      <c r="F1708" s="4" t="s">
        <v>1084</v>
      </c>
      <c r="G1708" s="4" t="s">
        <v>336</v>
      </c>
      <c r="H1708" s="4" t="s">
        <v>380</v>
      </c>
      <c r="I1708" s="4">
        <v>0.05</v>
      </c>
      <c r="J1708" s="21">
        <v>2600</v>
      </c>
      <c r="K1708" s="35">
        <v>130</v>
      </c>
      <c r="L1708" s="5">
        <v>0</v>
      </c>
      <c r="M1708" s="4"/>
      <c r="N1708" s="4"/>
      <c r="O1708" s="5"/>
      <c r="P1708" s="5"/>
      <c r="Q1708" s="21">
        <v>0</v>
      </c>
      <c r="R1708" s="21">
        <v>0</v>
      </c>
      <c r="S1708" s="5">
        <f t="shared" si="107"/>
        <v>60684.418760151995</v>
      </c>
      <c r="T1708" cm="1">
        <f t="array" ref="T1708">IF(OR(B1708="MAL ALIMI", B1708="ÜRETİM GİRİŞ"), MIN(I1708, MAX(0, I1708 + SUM(SUMIFS($I$1:I1707, $C$1:C1707, C1708, $B$1:B1707, {"MAL ALIMI","ÜRETİM GİRİŞ"})) - VLOOKUP(C1708, 'STOK RAPORU'!$C$2:$I$1000, 4, 0))), 0)</f>
        <v>0</v>
      </c>
      <c r="U1708" s="22">
        <f t="shared" si="104"/>
        <v>0</v>
      </c>
      <c r="V1708">
        <f t="shared" si="105"/>
        <v>0</v>
      </c>
      <c r="W1708" s="22">
        <f t="shared" si="106"/>
        <v>0</v>
      </c>
    </row>
    <row r="1709" spans="1:23" hidden="1" x14ac:dyDescent="0.25">
      <c r="A1709" s="3">
        <v>45994</v>
      </c>
      <c r="B1709" s="4" t="s">
        <v>334</v>
      </c>
      <c r="C1709" s="4" t="s">
        <v>222</v>
      </c>
      <c r="D1709" s="4"/>
      <c r="E1709" s="4"/>
      <c r="F1709" s="4" t="s">
        <v>1085</v>
      </c>
      <c r="G1709" s="4" t="s">
        <v>336</v>
      </c>
      <c r="H1709" s="4" t="s">
        <v>289</v>
      </c>
      <c r="I1709" s="4">
        <v>8.3333333333333329E-2</v>
      </c>
      <c r="J1709" s="21">
        <v>600</v>
      </c>
      <c r="K1709" s="21">
        <v>0</v>
      </c>
      <c r="L1709" s="5">
        <v>0</v>
      </c>
      <c r="M1709" s="4"/>
      <c r="N1709" s="4"/>
      <c r="O1709" s="5"/>
      <c r="P1709" s="5"/>
      <c r="Q1709" s="21">
        <v>50</v>
      </c>
      <c r="R1709" s="21">
        <v>0</v>
      </c>
      <c r="S1709" s="5">
        <f t="shared" si="107"/>
        <v>60734.418760151995</v>
      </c>
      <c r="T1709" cm="1">
        <f t="array" ref="T1709">IF(OR(B1709="MAL ALIMI", B1709="ÜRETİM GİRİŞ"), MIN(I1709, MAX(0, I1709 + SUM(SUMIFS($I$1:I1708, $C$1:C1708, C1709, $B$1:B1708, {"MAL ALIMI","ÜRETİM GİRİŞ"})) - VLOOKUP(C1709, 'STOK RAPORU'!$C$2:$I$1000, 4, 0))), 0)</f>
        <v>0</v>
      </c>
      <c r="U1709" s="22">
        <f t="shared" si="104"/>
        <v>0</v>
      </c>
      <c r="V1709">
        <f t="shared" si="105"/>
        <v>0</v>
      </c>
      <c r="W1709" s="22">
        <f t="shared" si="106"/>
        <v>0</v>
      </c>
    </row>
    <row r="1710" spans="1:23" hidden="1" x14ac:dyDescent="0.25">
      <c r="A1710" s="3">
        <v>45994</v>
      </c>
      <c r="B1710" s="4" t="s">
        <v>334</v>
      </c>
      <c r="C1710" s="4" t="s">
        <v>728</v>
      </c>
      <c r="D1710" s="4"/>
      <c r="E1710" s="4"/>
      <c r="F1710" s="4" t="s">
        <v>1085</v>
      </c>
      <c r="G1710" s="4" t="s">
        <v>336</v>
      </c>
      <c r="H1710" s="4" t="s">
        <v>289</v>
      </c>
      <c r="I1710" s="4">
        <v>6.6666666666666666E-2</v>
      </c>
      <c r="J1710" s="21">
        <v>750</v>
      </c>
      <c r="K1710" s="21">
        <v>0</v>
      </c>
      <c r="L1710" s="5">
        <v>0</v>
      </c>
      <c r="M1710" s="4"/>
      <c r="N1710" s="4"/>
      <c r="O1710" s="5"/>
      <c r="P1710" s="5"/>
      <c r="Q1710" s="21">
        <v>50</v>
      </c>
      <c r="R1710" s="21">
        <v>0</v>
      </c>
      <c r="S1710" s="5">
        <f t="shared" si="107"/>
        <v>60784.418760151995</v>
      </c>
      <c r="T1710" cm="1">
        <f t="array" ref="T1710">IF(OR(B1710="MAL ALIMI", B1710="ÜRETİM GİRİŞ"), MIN(I1710, MAX(0, I1710 + SUM(SUMIFS($I$1:I1709, $C$1:C1709, C1710, $B$1:B1709, {"MAL ALIMI","ÜRETİM GİRİŞ"})) - VLOOKUP(C1710, 'STOK RAPORU'!$C$2:$I$1000, 4, 0))), 0)</f>
        <v>0</v>
      </c>
      <c r="U1710" s="22">
        <f t="shared" si="104"/>
        <v>0</v>
      </c>
      <c r="V1710">
        <f t="shared" si="105"/>
        <v>0</v>
      </c>
      <c r="W1710" s="22">
        <f t="shared" si="106"/>
        <v>0</v>
      </c>
    </row>
    <row r="1711" spans="1:23" hidden="1" x14ac:dyDescent="0.25">
      <c r="A1711" s="3">
        <v>45994</v>
      </c>
      <c r="B1711" s="4" t="s">
        <v>334</v>
      </c>
      <c r="C1711" s="4" t="s">
        <v>133</v>
      </c>
      <c r="D1711" s="4"/>
      <c r="E1711" s="4"/>
      <c r="F1711" s="4" t="s">
        <v>1085</v>
      </c>
      <c r="G1711" s="4" t="s">
        <v>336</v>
      </c>
      <c r="H1711" s="4" t="s">
        <v>289</v>
      </c>
      <c r="I1711" s="4">
        <v>7.3684210526315783E-2</v>
      </c>
      <c r="J1711" s="21">
        <v>380</v>
      </c>
      <c r="K1711" s="21">
        <v>0</v>
      </c>
      <c r="L1711" s="5">
        <v>0</v>
      </c>
      <c r="M1711" s="4"/>
      <c r="N1711" s="4"/>
      <c r="O1711" s="5"/>
      <c r="P1711" s="5"/>
      <c r="Q1711" s="21">
        <v>27.999999999999996</v>
      </c>
      <c r="R1711" s="21">
        <v>0</v>
      </c>
      <c r="S1711" s="5">
        <f t="shared" si="107"/>
        <v>60812.418760151995</v>
      </c>
      <c r="T1711" cm="1">
        <f t="array" ref="T1711">IF(OR(B1711="MAL ALIMI", B1711="ÜRETİM GİRİŞ"), MIN(I1711, MAX(0, I1711 + SUM(SUMIFS($I$1:I1710, $C$1:C1710, C1711, $B$1:B1710, {"MAL ALIMI","ÜRETİM GİRİŞ"})) - VLOOKUP(C1711, 'STOK RAPORU'!$C$2:$I$1000, 4, 0))), 0)</f>
        <v>0</v>
      </c>
      <c r="U1711" s="22">
        <f t="shared" si="104"/>
        <v>0</v>
      </c>
      <c r="V1711">
        <f t="shared" si="105"/>
        <v>0</v>
      </c>
      <c r="W1711" s="22">
        <f t="shared" si="106"/>
        <v>0</v>
      </c>
    </row>
    <row r="1712" spans="1:23" hidden="1" x14ac:dyDescent="0.25">
      <c r="A1712" s="3">
        <v>45994</v>
      </c>
      <c r="B1712" s="4" t="s">
        <v>334</v>
      </c>
      <c r="C1712" s="4" t="s">
        <v>160</v>
      </c>
      <c r="D1712" s="4"/>
      <c r="E1712" s="4"/>
      <c r="F1712" s="4" t="s">
        <v>1086</v>
      </c>
      <c r="G1712" s="4" t="s">
        <v>336</v>
      </c>
      <c r="H1712" s="4" t="s">
        <v>289</v>
      </c>
      <c r="I1712" s="4">
        <v>1</v>
      </c>
      <c r="J1712" s="21">
        <v>240</v>
      </c>
      <c r="K1712" s="21">
        <v>0</v>
      </c>
      <c r="L1712" s="5">
        <v>0</v>
      </c>
      <c r="M1712" s="4"/>
      <c r="N1712" s="4"/>
      <c r="O1712" s="5"/>
      <c r="P1712" s="5"/>
      <c r="Q1712" s="21">
        <v>240</v>
      </c>
      <c r="R1712" s="21">
        <v>0</v>
      </c>
      <c r="S1712" s="5">
        <f t="shared" si="107"/>
        <v>61052.418760151995</v>
      </c>
      <c r="T1712" cm="1">
        <f t="array" ref="T1712">IF(OR(B1712="MAL ALIMI", B1712="ÜRETİM GİRİŞ"), MIN(I1712, MAX(0, I1712 + SUM(SUMIFS($I$1:I1711, $C$1:C1711, C1712, $B$1:B1711, {"MAL ALIMI","ÜRETİM GİRİŞ"})) - VLOOKUP(C1712, 'STOK RAPORU'!$C$2:$I$1000, 4, 0))), 0)</f>
        <v>0</v>
      </c>
      <c r="U1712" s="22">
        <f t="shared" si="104"/>
        <v>0</v>
      </c>
      <c r="V1712">
        <f t="shared" si="105"/>
        <v>0</v>
      </c>
      <c r="W1712" s="22">
        <f t="shared" si="106"/>
        <v>0</v>
      </c>
    </row>
    <row r="1713" spans="1:23" hidden="1" x14ac:dyDescent="0.25">
      <c r="A1713" s="3">
        <v>45994</v>
      </c>
      <c r="B1713" s="4" t="s">
        <v>334</v>
      </c>
      <c r="C1713" s="4" t="s">
        <v>156</v>
      </c>
      <c r="D1713" s="4"/>
      <c r="E1713" s="4" t="s">
        <v>921</v>
      </c>
      <c r="F1713" s="4" t="s">
        <v>1087</v>
      </c>
      <c r="G1713" s="4" t="s">
        <v>336</v>
      </c>
      <c r="H1713" s="4" t="s">
        <v>380</v>
      </c>
      <c r="I1713" s="4">
        <v>0.5</v>
      </c>
      <c r="J1713" s="21">
        <v>180</v>
      </c>
      <c r="K1713" s="35">
        <v>90</v>
      </c>
      <c r="L1713" s="5">
        <v>0</v>
      </c>
      <c r="M1713" s="4"/>
      <c r="N1713" s="4"/>
      <c r="O1713" s="5"/>
      <c r="P1713" s="5"/>
      <c r="Q1713" s="21">
        <v>0</v>
      </c>
      <c r="R1713" s="21">
        <v>0</v>
      </c>
      <c r="S1713" s="5">
        <f t="shared" si="107"/>
        <v>61052.418760151995</v>
      </c>
      <c r="T1713" cm="1">
        <f t="array" ref="T1713">IF(OR(B1713="MAL ALIMI", B1713="ÜRETİM GİRİŞ"), MIN(I1713, MAX(0, I1713 + SUM(SUMIFS($I$1:I1712, $C$1:C1712, C1713, $B$1:B1712, {"MAL ALIMI","ÜRETİM GİRİŞ"})) - VLOOKUP(C1713, 'STOK RAPORU'!$C$2:$I$1000, 4, 0))), 0)</f>
        <v>0</v>
      </c>
      <c r="U1713" s="22">
        <f t="shared" si="104"/>
        <v>0</v>
      </c>
      <c r="V1713">
        <f t="shared" si="105"/>
        <v>0</v>
      </c>
      <c r="W1713" s="22">
        <f t="shared" si="106"/>
        <v>0</v>
      </c>
    </row>
    <row r="1714" spans="1:23" hidden="1" x14ac:dyDescent="0.25">
      <c r="A1714" s="3">
        <v>45994</v>
      </c>
      <c r="B1714" s="4" t="s">
        <v>334</v>
      </c>
      <c r="C1714" s="4" t="s">
        <v>132</v>
      </c>
      <c r="D1714" s="4"/>
      <c r="E1714" s="4" t="s">
        <v>921</v>
      </c>
      <c r="F1714" s="4" t="s">
        <v>1088</v>
      </c>
      <c r="G1714" s="4" t="s">
        <v>336</v>
      </c>
      <c r="H1714" s="4" t="s">
        <v>380</v>
      </c>
      <c r="I1714" s="4">
        <v>0.23200000000000001</v>
      </c>
      <c r="J1714" s="21">
        <v>500</v>
      </c>
      <c r="K1714" s="35">
        <v>116</v>
      </c>
      <c r="L1714" s="5">
        <v>0</v>
      </c>
      <c r="M1714" s="4"/>
      <c r="N1714" s="4"/>
      <c r="O1714" s="5"/>
      <c r="P1714" s="5"/>
      <c r="Q1714" s="21">
        <v>0</v>
      </c>
      <c r="R1714" s="21">
        <v>0</v>
      </c>
      <c r="S1714" s="5">
        <f t="shared" si="107"/>
        <v>61052.418760151995</v>
      </c>
      <c r="T1714" cm="1">
        <f t="array" ref="T1714">IF(OR(B1714="MAL ALIMI", B1714="ÜRETİM GİRİŞ"), MIN(I1714, MAX(0, I1714 + SUM(SUMIFS($I$1:I1713, $C$1:C1713, C1714, $B$1:B1713, {"MAL ALIMI","ÜRETİM GİRİŞ"})) - VLOOKUP(C1714, 'STOK RAPORU'!$C$2:$I$1000, 4, 0))), 0)</f>
        <v>0</v>
      </c>
      <c r="U1714" s="22">
        <f t="shared" si="104"/>
        <v>0</v>
      </c>
      <c r="V1714">
        <f t="shared" si="105"/>
        <v>0</v>
      </c>
      <c r="W1714" s="22">
        <f t="shared" si="106"/>
        <v>0</v>
      </c>
    </row>
    <row r="1715" spans="1:23" hidden="1" x14ac:dyDescent="0.25">
      <c r="A1715" s="3">
        <v>45994</v>
      </c>
      <c r="B1715" s="4" t="s">
        <v>334</v>
      </c>
      <c r="C1715" s="4" t="s">
        <v>197</v>
      </c>
      <c r="D1715" s="4"/>
      <c r="E1715" s="4" t="s">
        <v>921</v>
      </c>
      <c r="F1715" s="4" t="s">
        <v>1088</v>
      </c>
      <c r="G1715" s="4" t="s">
        <v>336</v>
      </c>
      <c r="H1715" s="4" t="s">
        <v>380</v>
      </c>
      <c r="I1715" s="4">
        <v>0.18421052631578946</v>
      </c>
      <c r="J1715" s="21">
        <v>190</v>
      </c>
      <c r="K1715" s="35">
        <v>35</v>
      </c>
      <c r="L1715" s="5">
        <v>0</v>
      </c>
      <c r="M1715" s="4"/>
      <c r="N1715" s="4"/>
      <c r="O1715" s="5"/>
      <c r="P1715" s="5"/>
      <c r="Q1715" s="21">
        <v>0</v>
      </c>
      <c r="R1715" s="21">
        <v>0</v>
      </c>
      <c r="S1715" s="5">
        <f t="shared" si="107"/>
        <v>61052.418760151995</v>
      </c>
      <c r="T1715" cm="1">
        <f t="array" ref="T1715">IF(OR(B1715="MAL ALIMI", B1715="ÜRETİM GİRİŞ"), MIN(I1715, MAX(0, I1715 + SUM(SUMIFS($I$1:I1714, $C$1:C1714, C1715, $B$1:B1714, {"MAL ALIMI","ÜRETİM GİRİŞ"})) - VLOOKUP(C1715, 'STOK RAPORU'!$C$2:$I$1000, 4, 0))), 0)</f>
        <v>0</v>
      </c>
      <c r="U1715" s="22">
        <f t="shared" si="104"/>
        <v>0</v>
      </c>
      <c r="V1715">
        <f t="shared" si="105"/>
        <v>0</v>
      </c>
      <c r="W1715" s="22">
        <f t="shared" si="106"/>
        <v>0</v>
      </c>
    </row>
    <row r="1716" spans="1:23" hidden="1" x14ac:dyDescent="0.25">
      <c r="A1716" s="3">
        <v>45994</v>
      </c>
      <c r="B1716" s="4" t="s">
        <v>334</v>
      </c>
      <c r="C1716" s="4" t="s">
        <v>721</v>
      </c>
      <c r="D1716" s="4"/>
      <c r="E1716" s="4" t="s">
        <v>921</v>
      </c>
      <c r="F1716" s="4" t="s">
        <v>1089</v>
      </c>
      <c r="G1716" s="4" t="s">
        <v>336</v>
      </c>
      <c r="H1716" s="4" t="s">
        <v>380</v>
      </c>
      <c r="I1716" s="4">
        <v>1</v>
      </c>
      <c r="J1716" s="21">
        <v>220</v>
      </c>
      <c r="K1716" s="35">
        <v>220</v>
      </c>
      <c r="L1716" s="5">
        <v>0</v>
      </c>
      <c r="M1716" s="4"/>
      <c r="N1716" s="4"/>
      <c r="O1716" s="5"/>
      <c r="P1716" s="5"/>
      <c r="Q1716" s="21">
        <v>0</v>
      </c>
      <c r="R1716" s="21">
        <v>0</v>
      </c>
      <c r="S1716" s="5">
        <f t="shared" si="107"/>
        <v>61052.418760151995</v>
      </c>
      <c r="T1716" cm="1">
        <f t="array" ref="T1716">IF(OR(B1716="MAL ALIMI", B1716="ÜRETİM GİRİŞ"), MIN(I1716, MAX(0, I1716 + SUM(SUMIFS($I$1:I1715, $C$1:C1715, C1716, $B$1:B1715, {"MAL ALIMI","ÜRETİM GİRİŞ"})) - VLOOKUP(C1716, 'STOK RAPORU'!$C$2:$I$1000, 4, 0))), 0)</f>
        <v>0</v>
      </c>
      <c r="U1716" s="22">
        <f t="shared" si="104"/>
        <v>0</v>
      </c>
      <c r="V1716">
        <f t="shared" si="105"/>
        <v>0</v>
      </c>
      <c r="W1716" s="22">
        <f t="shared" si="106"/>
        <v>0</v>
      </c>
    </row>
    <row r="1717" spans="1:23" hidden="1" x14ac:dyDescent="0.25">
      <c r="A1717" s="3">
        <v>45994</v>
      </c>
      <c r="B1717" s="4" t="s">
        <v>334</v>
      </c>
      <c r="C1717" s="4" t="s">
        <v>523</v>
      </c>
      <c r="D1717" s="4"/>
      <c r="E1717" s="4" t="s">
        <v>921</v>
      </c>
      <c r="F1717" s="4" t="s">
        <v>1089</v>
      </c>
      <c r="G1717" s="4" t="s">
        <v>336</v>
      </c>
      <c r="H1717" s="4" t="s">
        <v>380</v>
      </c>
      <c r="I1717" s="4">
        <v>0.1</v>
      </c>
      <c r="J1717" s="21">
        <v>650</v>
      </c>
      <c r="K1717" s="35">
        <v>65</v>
      </c>
      <c r="L1717" s="5">
        <v>0</v>
      </c>
      <c r="M1717" s="4"/>
      <c r="N1717" s="4"/>
      <c r="O1717" s="5"/>
      <c r="P1717" s="5"/>
      <c r="Q1717" s="21">
        <v>0</v>
      </c>
      <c r="R1717" s="21">
        <v>0</v>
      </c>
      <c r="S1717" s="5">
        <f t="shared" si="107"/>
        <v>61052.418760151995</v>
      </c>
      <c r="T1717" cm="1">
        <f t="array" ref="T1717">IF(OR(B1717="MAL ALIMI", B1717="ÜRETİM GİRİŞ"), MIN(I1717, MAX(0, I1717 + SUM(SUMIFS($I$1:I1716, $C$1:C1716, C1717, $B$1:B1716, {"MAL ALIMI","ÜRETİM GİRİŞ"})) - VLOOKUP(C1717, 'STOK RAPORU'!$C$2:$I$1000, 4, 0))), 0)</f>
        <v>0</v>
      </c>
      <c r="U1717" s="22">
        <f t="shared" si="104"/>
        <v>0</v>
      </c>
      <c r="V1717">
        <f t="shared" si="105"/>
        <v>0</v>
      </c>
      <c r="W1717" s="22">
        <f t="shared" si="106"/>
        <v>0</v>
      </c>
    </row>
    <row r="1718" spans="1:23" hidden="1" x14ac:dyDescent="0.25">
      <c r="A1718" s="3">
        <v>45994</v>
      </c>
      <c r="B1718" s="4" t="s">
        <v>334</v>
      </c>
      <c r="C1718" s="4" t="s">
        <v>524</v>
      </c>
      <c r="D1718" s="4"/>
      <c r="E1718" s="4" t="s">
        <v>921</v>
      </c>
      <c r="F1718" s="4" t="s">
        <v>1089</v>
      </c>
      <c r="G1718" s="4" t="s">
        <v>336</v>
      </c>
      <c r="H1718" s="4" t="s">
        <v>380</v>
      </c>
      <c r="I1718" s="4">
        <v>0.1</v>
      </c>
      <c r="J1718" s="21">
        <v>400</v>
      </c>
      <c r="K1718" s="35">
        <v>40</v>
      </c>
      <c r="L1718" s="5">
        <v>0</v>
      </c>
      <c r="M1718" s="4"/>
      <c r="N1718" s="4"/>
      <c r="O1718" s="5"/>
      <c r="P1718" s="5"/>
      <c r="Q1718" s="21">
        <v>0</v>
      </c>
      <c r="R1718" s="21">
        <v>0</v>
      </c>
      <c r="S1718" s="5">
        <f t="shared" si="107"/>
        <v>61052.418760151995</v>
      </c>
      <c r="T1718" cm="1">
        <f t="array" ref="T1718">IF(OR(B1718="MAL ALIMI", B1718="ÜRETİM GİRİŞ"), MIN(I1718, MAX(0, I1718 + SUM(SUMIFS($I$1:I1717, $C$1:C1717, C1718, $B$1:B1717, {"MAL ALIMI","ÜRETİM GİRİŞ"})) - VLOOKUP(C1718, 'STOK RAPORU'!$C$2:$I$1000, 4, 0))), 0)</f>
        <v>0</v>
      </c>
      <c r="U1718" s="22">
        <f t="shared" si="104"/>
        <v>0</v>
      </c>
      <c r="V1718">
        <f t="shared" si="105"/>
        <v>0</v>
      </c>
      <c r="W1718" s="22">
        <f t="shared" si="106"/>
        <v>0</v>
      </c>
    </row>
    <row r="1719" spans="1:23" hidden="1" x14ac:dyDescent="0.25">
      <c r="A1719" s="3">
        <v>45994</v>
      </c>
      <c r="B1719" s="4" t="s">
        <v>334</v>
      </c>
      <c r="C1719" s="4" t="s">
        <v>149</v>
      </c>
      <c r="D1719" s="4"/>
      <c r="E1719" s="4" t="s">
        <v>921</v>
      </c>
      <c r="F1719" s="4" t="s">
        <v>1090</v>
      </c>
      <c r="G1719" s="4" t="s">
        <v>336</v>
      </c>
      <c r="H1719" s="4" t="s">
        <v>380</v>
      </c>
      <c r="I1719" s="4">
        <v>1</v>
      </c>
      <c r="J1719" s="21">
        <v>60</v>
      </c>
      <c r="K1719" s="35">
        <v>60</v>
      </c>
      <c r="L1719" s="5">
        <v>0</v>
      </c>
      <c r="M1719" s="4"/>
      <c r="N1719" s="4"/>
      <c r="O1719" s="5"/>
      <c r="P1719" s="5"/>
      <c r="Q1719" s="21">
        <v>0</v>
      </c>
      <c r="R1719" s="21">
        <v>0</v>
      </c>
      <c r="S1719" s="5">
        <f t="shared" si="107"/>
        <v>61052.418760151995</v>
      </c>
      <c r="T1719" cm="1">
        <f t="array" ref="T1719">IF(OR(B1719="MAL ALIMI", B1719="ÜRETİM GİRİŞ"), MIN(I1719, MAX(0, I1719 + SUM(SUMIFS($I$1:I1718, $C$1:C1718, C1719, $B$1:B1718, {"MAL ALIMI","ÜRETİM GİRİŞ"})) - VLOOKUP(C1719, 'STOK RAPORU'!$C$2:$I$1000, 4, 0))), 0)</f>
        <v>0</v>
      </c>
      <c r="U1719" s="22">
        <f t="shared" si="104"/>
        <v>0</v>
      </c>
      <c r="V1719">
        <f t="shared" si="105"/>
        <v>0</v>
      </c>
      <c r="W1719" s="22">
        <f t="shared" si="106"/>
        <v>0</v>
      </c>
    </row>
    <row r="1720" spans="1:23" hidden="1" x14ac:dyDescent="0.25">
      <c r="A1720" s="3">
        <v>45994</v>
      </c>
      <c r="B1720" s="4" t="s">
        <v>334</v>
      </c>
      <c r="C1720" s="4" t="s">
        <v>131</v>
      </c>
      <c r="D1720" s="4"/>
      <c r="E1720" s="4" t="s">
        <v>921</v>
      </c>
      <c r="F1720" s="4" t="s">
        <v>1090</v>
      </c>
      <c r="G1720" s="4" t="s">
        <v>336</v>
      </c>
      <c r="H1720" s="4" t="s">
        <v>380</v>
      </c>
      <c r="I1720" s="4">
        <v>0.1</v>
      </c>
      <c r="J1720" s="21">
        <v>400</v>
      </c>
      <c r="K1720" s="35">
        <v>40</v>
      </c>
      <c r="L1720" s="5">
        <v>0</v>
      </c>
      <c r="M1720" s="4"/>
      <c r="N1720" s="4"/>
      <c r="O1720" s="5"/>
      <c r="P1720" s="5"/>
      <c r="Q1720" s="21">
        <v>0</v>
      </c>
      <c r="R1720" s="21">
        <v>0</v>
      </c>
      <c r="S1720" s="5">
        <f t="shared" si="107"/>
        <v>61052.418760151995</v>
      </c>
      <c r="T1720" cm="1">
        <f t="array" ref="T1720">IF(OR(B1720="MAL ALIMI", B1720="ÜRETİM GİRİŞ"), MIN(I1720, MAX(0, I1720 + SUM(SUMIFS($I$1:I1719, $C$1:C1719, C1720, $B$1:B1719, {"MAL ALIMI","ÜRETİM GİRİŞ"})) - VLOOKUP(C1720, 'STOK RAPORU'!$C$2:$I$1000, 4, 0))), 0)</f>
        <v>0</v>
      </c>
      <c r="U1720" s="22">
        <f t="shared" si="104"/>
        <v>0</v>
      </c>
      <c r="V1720">
        <f t="shared" si="105"/>
        <v>0</v>
      </c>
      <c r="W1720" s="22">
        <f t="shared" si="106"/>
        <v>0</v>
      </c>
    </row>
    <row r="1721" spans="1:23" hidden="1" x14ac:dyDescent="0.25">
      <c r="A1721" s="3">
        <v>45994</v>
      </c>
      <c r="B1721" s="4" t="s">
        <v>334</v>
      </c>
      <c r="C1721" s="4" t="s">
        <v>166</v>
      </c>
      <c r="D1721" s="4"/>
      <c r="E1721" s="4" t="s">
        <v>921</v>
      </c>
      <c r="F1721" s="4" t="s">
        <v>1090</v>
      </c>
      <c r="G1721" s="4" t="s">
        <v>336</v>
      </c>
      <c r="H1721" s="4" t="s">
        <v>380</v>
      </c>
      <c r="I1721" s="4">
        <v>0.12987012987012986</v>
      </c>
      <c r="J1721" s="21">
        <v>770</v>
      </c>
      <c r="K1721" s="35">
        <v>99.999999999999986</v>
      </c>
      <c r="L1721" s="5">
        <v>0</v>
      </c>
      <c r="M1721" s="4"/>
      <c r="N1721" s="4"/>
      <c r="O1721" s="5"/>
      <c r="P1721" s="5"/>
      <c r="Q1721" s="21">
        <v>0</v>
      </c>
      <c r="R1721" s="21">
        <v>0</v>
      </c>
      <c r="S1721" s="5">
        <f t="shared" si="107"/>
        <v>61052.418760151995</v>
      </c>
      <c r="T1721" cm="1">
        <f t="array" ref="T1721">IF(OR(B1721="MAL ALIMI", B1721="ÜRETİM GİRİŞ"), MIN(I1721, MAX(0, I1721 + SUM(SUMIFS($I$1:I1720, $C$1:C1720, C1721, $B$1:B1720, {"MAL ALIMI","ÜRETİM GİRİŞ"})) - VLOOKUP(C1721, 'STOK RAPORU'!$C$2:$I$1000, 4, 0))), 0)</f>
        <v>0</v>
      </c>
      <c r="U1721" s="22">
        <f t="shared" si="104"/>
        <v>0</v>
      </c>
      <c r="V1721">
        <f t="shared" si="105"/>
        <v>0</v>
      </c>
      <c r="W1721" s="22">
        <f t="shared" si="106"/>
        <v>0</v>
      </c>
    </row>
    <row r="1722" spans="1:23" hidden="1" x14ac:dyDescent="0.25">
      <c r="A1722" s="3">
        <v>45994</v>
      </c>
      <c r="B1722" s="4" t="s">
        <v>334</v>
      </c>
      <c r="C1722" s="4" t="s">
        <v>249</v>
      </c>
      <c r="D1722" s="4"/>
      <c r="E1722" s="4" t="s">
        <v>921</v>
      </c>
      <c r="F1722" s="4" t="s">
        <v>1091</v>
      </c>
      <c r="G1722" s="4" t="s">
        <v>336</v>
      </c>
      <c r="H1722" s="4" t="s">
        <v>380</v>
      </c>
      <c r="I1722" s="4">
        <v>0.1</v>
      </c>
      <c r="J1722" s="21">
        <v>900</v>
      </c>
      <c r="K1722" s="35">
        <v>90</v>
      </c>
      <c r="L1722" s="5">
        <v>0</v>
      </c>
      <c r="M1722" s="4"/>
      <c r="N1722" s="4"/>
      <c r="O1722" s="5"/>
      <c r="P1722" s="5"/>
      <c r="Q1722" s="21">
        <v>0</v>
      </c>
      <c r="R1722" s="21">
        <v>0</v>
      </c>
      <c r="S1722" s="5">
        <f t="shared" si="107"/>
        <v>61052.418760151995</v>
      </c>
      <c r="T1722" cm="1">
        <f t="array" ref="T1722">IF(OR(B1722="MAL ALIMI", B1722="ÜRETİM GİRİŞ"), MIN(I1722, MAX(0, I1722 + SUM(SUMIFS($I$1:I1721, $C$1:C1721, C1722, $B$1:B1721, {"MAL ALIMI","ÜRETİM GİRİŞ"})) - VLOOKUP(C1722, 'STOK RAPORU'!$C$2:$I$1000, 4, 0))), 0)</f>
        <v>0</v>
      </c>
      <c r="U1722" s="22">
        <f t="shared" si="104"/>
        <v>0</v>
      </c>
      <c r="V1722">
        <f t="shared" si="105"/>
        <v>0</v>
      </c>
      <c r="W1722" s="22">
        <f t="shared" si="106"/>
        <v>0</v>
      </c>
    </row>
    <row r="1723" spans="1:23" hidden="1" x14ac:dyDescent="0.25">
      <c r="A1723" s="3">
        <v>45994</v>
      </c>
      <c r="B1723" s="4" t="s">
        <v>334</v>
      </c>
      <c r="C1723" s="4" t="s">
        <v>253</v>
      </c>
      <c r="D1723" s="4"/>
      <c r="E1723" s="4" t="s">
        <v>921</v>
      </c>
      <c r="F1723" s="4" t="s">
        <v>1092</v>
      </c>
      <c r="G1723" s="4" t="s">
        <v>336</v>
      </c>
      <c r="H1723" s="4" t="s">
        <v>380</v>
      </c>
      <c r="I1723" s="4">
        <v>0.20833333333333334</v>
      </c>
      <c r="J1723" s="21">
        <v>240</v>
      </c>
      <c r="K1723" s="35">
        <v>50</v>
      </c>
      <c r="L1723" s="5">
        <v>0</v>
      </c>
      <c r="M1723" s="4"/>
      <c r="N1723" s="4"/>
      <c r="O1723" s="5"/>
      <c r="P1723" s="5"/>
      <c r="Q1723" s="21">
        <v>0</v>
      </c>
      <c r="R1723" s="21">
        <v>0</v>
      </c>
      <c r="S1723" s="5">
        <f t="shared" si="107"/>
        <v>61052.418760151995</v>
      </c>
      <c r="T1723" cm="1">
        <f t="array" ref="T1723">IF(OR(B1723="MAL ALIMI", B1723="ÜRETİM GİRİŞ"), MIN(I1723, MAX(0, I1723 + SUM(SUMIFS($I$1:I1722, $C$1:C1722, C1723, $B$1:B1722, {"MAL ALIMI","ÜRETİM GİRİŞ"})) - VLOOKUP(C1723, 'STOK RAPORU'!$C$2:$I$1000, 4, 0))), 0)</f>
        <v>0</v>
      </c>
      <c r="U1723" s="22">
        <f t="shared" si="104"/>
        <v>0</v>
      </c>
      <c r="V1723">
        <f t="shared" si="105"/>
        <v>0</v>
      </c>
      <c r="W1723" s="22">
        <f t="shared" si="106"/>
        <v>0</v>
      </c>
    </row>
    <row r="1724" spans="1:23" hidden="1" x14ac:dyDescent="0.25">
      <c r="A1724" s="3">
        <v>45994</v>
      </c>
      <c r="B1724" s="4" t="s">
        <v>334</v>
      </c>
      <c r="C1724" s="4" t="s">
        <v>693</v>
      </c>
      <c r="D1724" s="4"/>
      <c r="E1724" s="4" t="s">
        <v>921</v>
      </c>
      <c r="F1724" s="4" t="s">
        <v>1092</v>
      </c>
      <c r="G1724" s="4" t="s">
        <v>336</v>
      </c>
      <c r="H1724" s="4" t="s">
        <v>380</v>
      </c>
      <c r="I1724" s="4">
        <v>0.25641025641025639</v>
      </c>
      <c r="J1724" s="21">
        <v>195</v>
      </c>
      <c r="K1724" s="35">
        <v>49.999999999999993</v>
      </c>
      <c r="L1724" s="5">
        <v>0</v>
      </c>
      <c r="M1724" s="4"/>
      <c r="N1724" s="4"/>
      <c r="O1724" s="5"/>
      <c r="P1724" s="5"/>
      <c r="Q1724" s="21">
        <v>0</v>
      </c>
      <c r="R1724" s="21">
        <v>0</v>
      </c>
      <c r="S1724" s="5">
        <f t="shared" si="107"/>
        <v>61052.418760151995</v>
      </c>
      <c r="T1724" cm="1">
        <f t="array" ref="T1724">IF(OR(B1724="MAL ALIMI", B1724="ÜRETİM GİRİŞ"), MIN(I1724, MAX(0, I1724 + SUM(SUMIFS($I$1:I1723, $C$1:C1723, C1724, $B$1:B1723, {"MAL ALIMI","ÜRETİM GİRİŞ"})) - VLOOKUP(C1724, 'STOK RAPORU'!$C$2:$I$1000, 4, 0))), 0)</f>
        <v>0</v>
      </c>
      <c r="U1724" s="22">
        <f t="shared" si="104"/>
        <v>0</v>
      </c>
      <c r="V1724">
        <f t="shared" si="105"/>
        <v>0</v>
      </c>
      <c r="W1724" s="22">
        <f t="shared" si="106"/>
        <v>0</v>
      </c>
    </row>
    <row r="1725" spans="1:23" hidden="1" x14ac:dyDescent="0.25">
      <c r="A1725" s="3">
        <v>45994</v>
      </c>
      <c r="B1725" s="4" t="s">
        <v>334</v>
      </c>
      <c r="C1725" s="4" t="s">
        <v>1041</v>
      </c>
      <c r="D1725" s="4"/>
      <c r="E1725" s="4" t="s">
        <v>921</v>
      </c>
      <c r="F1725" s="4" t="s">
        <v>1092</v>
      </c>
      <c r="G1725" s="4" t="s">
        <v>336</v>
      </c>
      <c r="H1725" s="4" t="s">
        <v>380</v>
      </c>
      <c r="I1725" s="4">
        <v>0.44827586206896552</v>
      </c>
      <c r="J1725" s="21">
        <v>290</v>
      </c>
      <c r="K1725" s="35">
        <v>130</v>
      </c>
      <c r="L1725" s="5">
        <v>0</v>
      </c>
      <c r="M1725" s="4"/>
      <c r="N1725" s="4"/>
      <c r="O1725" s="5"/>
      <c r="P1725" s="5"/>
      <c r="Q1725" s="21">
        <v>0</v>
      </c>
      <c r="R1725" s="21">
        <v>0</v>
      </c>
      <c r="S1725" s="5">
        <f t="shared" si="107"/>
        <v>61052.418760151995</v>
      </c>
      <c r="T1725" cm="1">
        <f t="array" ref="T1725">IF(OR(B1725="MAL ALIMI", B1725="ÜRETİM GİRİŞ"), MIN(I1725, MAX(0, I1725 + SUM(SUMIFS($I$1:I1724, $C$1:C1724, C1725, $B$1:B1724, {"MAL ALIMI","ÜRETİM GİRİŞ"})) - VLOOKUP(C1725, 'STOK RAPORU'!$C$2:$I$1000, 4, 0))), 0)</f>
        <v>0</v>
      </c>
      <c r="U1725" s="22">
        <f t="shared" si="104"/>
        <v>0</v>
      </c>
      <c r="V1725">
        <f t="shared" si="105"/>
        <v>0</v>
      </c>
      <c r="W1725" s="22">
        <f t="shared" si="106"/>
        <v>0</v>
      </c>
    </row>
    <row r="1726" spans="1:23" hidden="1" x14ac:dyDescent="0.25">
      <c r="A1726" s="3">
        <v>45994</v>
      </c>
      <c r="B1726" s="4" t="s">
        <v>334</v>
      </c>
      <c r="C1726" s="4" t="s">
        <v>132</v>
      </c>
      <c r="D1726" s="4"/>
      <c r="E1726" s="4" t="s">
        <v>921</v>
      </c>
      <c r="F1726" s="4" t="s">
        <v>1093</v>
      </c>
      <c r="G1726" s="4" t="s">
        <v>336</v>
      </c>
      <c r="H1726" s="4" t="s">
        <v>380</v>
      </c>
      <c r="I1726" s="4">
        <v>0.1</v>
      </c>
      <c r="J1726" s="21">
        <v>500</v>
      </c>
      <c r="K1726" s="35">
        <v>50</v>
      </c>
      <c r="L1726" s="5">
        <v>0</v>
      </c>
      <c r="M1726" s="4"/>
      <c r="N1726" s="4"/>
      <c r="O1726" s="5"/>
      <c r="P1726" s="5"/>
      <c r="Q1726" s="21">
        <v>0</v>
      </c>
      <c r="R1726" s="21">
        <v>0</v>
      </c>
      <c r="S1726" s="5">
        <f t="shared" si="107"/>
        <v>61052.418760151995</v>
      </c>
      <c r="T1726" cm="1">
        <f t="array" ref="T1726">IF(OR(B1726="MAL ALIMI", B1726="ÜRETİM GİRİŞ"), MIN(I1726, MAX(0, I1726 + SUM(SUMIFS($I$1:I1725, $C$1:C1725, C1726, $B$1:B1725, {"MAL ALIMI","ÜRETİM GİRİŞ"})) - VLOOKUP(C1726, 'STOK RAPORU'!$C$2:$I$1000, 4, 0))), 0)</f>
        <v>0</v>
      </c>
      <c r="U1726" s="22">
        <f t="shared" si="104"/>
        <v>0</v>
      </c>
      <c r="V1726">
        <f t="shared" si="105"/>
        <v>0</v>
      </c>
      <c r="W1726" s="22">
        <f t="shared" si="106"/>
        <v>0</v>
      </c>
    </row>
    <row r="1727" spans="1:23" hidden="1" x14ac:dyDescent="0.25">
      <c r="A1727" s="3">
        <v>45994</v>
      </c>
      <c r="B1727" s="4" t="s">
        <v>334</v>
      </c>
      <c r="C1727" s="4" t="s">
        <v>131</v>
      </c>
      <c r="D1727" s="4"/>
      <c r="E1727" s="4" t="s">
        <v>921</v>
      </c>
      <c r="F1727" s="4" t="s">
        <v>1093</v>
      </c>
      <c r="G1727" s="4" t="s">
        <v>336</v>
      </c>
      <c r="H1727" s="4" t="s">
        <v>380</v>
      </c>
      <c r="I1727" s="4">
        <v>0.1</v>
      </c>
      <c r="J1727" s="21">
        <v>400</v>
      </c>
      <c r="K1727" s="35">
        <v>40</v>
      </c>
      <c r="L1727" s="5">
        <v>0</v>
      </c>
      <c r="M1727" s="4"/>
      <c r="N1727" s="4"/>
      <c r="O1727" s="5"/>
      <c r="P1727" s="5"/>
      <c r="Q1727" s="21">
        <v>0</v>
      </c>
      <c r="R1727" s="21">
        <v>0</v>
      </c>
      <c r="S1727" s="5">
        <f t="shared" si="107"/>
        <v>61052.418760151995</v>
      </c>
      <c r="T1727" cm="1">
        <f t="array" ref="T1727">IF(OR(B1727="MAL ALIMI", B1727="ÜRETİM GİRİŞ"), MIN(I1727, MAX(0, I1727 + SUM(SUMIFS($I$1:I1726, $C$1:C1726, C1727, $B$1:B1726, {"MAL ALIMI","ÜRETİM GİRİŞ"})) - VLOOKUP(C1727, 'STOK RAPORU'!$C$2:$I$1000, 4, 0))), 0)</f>
        <v>0</v>
      </c>
      <c r="U1727" s="22">
        <f t="shared" si="104"/>
        <v>0</v>
      </c>
      <c r="V1727">
        <f t="shared" si="105"/>
        <v>0</v>
      </c>
      <c r="W1727" s="22">
        <f t="shared" si="106"/>
        <v>0</v>
      </c>
    </row>
    <row r="1728" spans="1:23" hidden="1" x14ac:dyDescent="0.25">
      <c r="A1728" s="3">
        <v>45994</v>
      </c>
      <c r="B1728" s="4" t="s">
        <v>334</v>
      </c>
      <c r="C1728" s="4" t="s">
        <v>226</v>
      </c>
      <c r="D1728" s="4"/>
      <c r="E1728" s="4" t="s">
        <v>921</v>
      </c>
      <c r="F1728" s="4" t="s">
        <v>1093</v>
      </c>
      <c r="G1728" s="4" t="s">
        <v>336</v>
      </c>
      <c r="H1728" s="4" t="s">
        <v>380</v>
      </c>
      <c r="I1728" s="4">
        <v>0.23333333333333334</v>
      </c>
      <c r="J1728" s="21">
        <v>150</v>
      </c>
      <c r="K1728" s="35">
        <v>35</v>
      </c>
      <c r="L1728" s="5">
        <v>0</v>
      </c>
      <c r="M1728" s="4"/>
      <c r="N1728" s="4"/>
      <c r="O1728" s="5"/>
      <c r="P1728" s="5"/>
      <c r="Q1728" s="21">
        <v>0</v>
      </c>
      <c r="R1728" s="21">
        <v>0</v>
      </c>
      <c r="S1728" s="5">
        <f t="shared" si="107"/>
        <v>61052.418760151995</v>
      </c>
      <c r="T1728" cm="1">
        <f t="array" ref="T1728">IF(OR(B1728="MAL ALIMI", B1728="ÜRETİM GİRİŞ"), MIN(I1728, MAX(0, I1728 + SUM(SUMIFS($I$1:I1727, $C$1:C1727, C1728, $B$1:B1727, {"MAL ALIMI","ÜRETİM GİRİŞ"})) - VLOOKUP(C1728, 'STOK RAPORU'!$C$2:$I$1000, 4, 0))), 0)</f>
        <v>0</v>
      </c>
      <c r="U1728" s="22">
        <f t="shared" si="104"/>
        <v>0</v>
      </c>
      <c r="V1728">
        <f t="shared" si="105"/>
        <v>0</v>
      </c>
      <c r="W1728" s="22">
        <f t="shared" si="106"/>
        <v>0</v>
      </c>
    </row>
    <row r="1729" spans="1:23" hidden="1" x14ac:dyDescent="0.25">
      <c r="A1729" s="3">
        <v>45994</v>
      </c>
      <c r="B1729" s="4" t="s">
        <v>334</v>
      </c>
      <c r="C1729" s="4" t="s">
        <v>767</v>
      </c>
      <c r="D1729" s="4"/>
      <c r="E1729" s="4" t="s">
        <v>921</v>
      </c>
      <c r="F1729" s="4" t="s">
        <v>1093</v>
      </c>
      <c r="G1729" s="4" t="s">
        <v>336</v>
      </c>
      <c r="H1729" s="4" t="s">
        <v>380</v>
      </c>
      <c r="I1729" s="4">
        <v>1</v>
      </c>
      <c r="J1729" s="21">
        <v>220</v>
      </c>
      <c r="K1729" s="35">
        <v>220</v>
      </c>
      <c r="L1729" s="5">
        <v>0</v>
      </c>
      <c r="M1729" s="4"/>
      <c r="N1729" s="4"/>
      <c r="O1729" s="5"/>
      <c r="P1729" s="5"/>
      <c r="Q1729" s="21">
        <v>0</v>
      </c>
      <c r="R1729" s="21">
        <v>0</v>
      </c>
      <c r="S1729" s="5">
        <f t="shared" si="107"/>
        <v>61052.418760151995</v>
      </c>
      <c r="T1729" cm="1">
        <f t="array" ref="T1729">IF(OR(B1729="MAL ALIMI", B1729="ÜRETİM GİRİŞ"), MIN(I1729, MAX(0, I1729 + SUM(SUMIFS($I$1:I1728, $C$1:C1728, C1729, $B$1:B1728, {"MAL ALIMI","ÜRETİM GİRİŞ"})) - VLOOKUP(C1729, 'STOK RAPORU'!$C$2:$I$1000, 4, 0))), 0)</f>
        <v>0</v>
      </c>
      <c r="U1729" s="22">
        <f t="shared" si="104"/>
        <v>0</v>
      </c>
      <c r="V1729">
        <f t="shared" si="105"/>
        <v>0</v>
      </c>
      <c r="W1729" s="22">
        <f t="shared" si="106"/>
        <v>0</v>
      </c>
    </row>
    <row r="1730" spans="1:23" hidden="1" x14ac:dyDescent="0.25">
      <c r="A1730" s="3">
        <v>45994</v>
      </c>
      <c r="B1730" s="4" t="s">
        <v>334</v>
      </c>
      <c r="C1730" s="4" t="s">
        <v>253</v>
      </c>
      <c r="D1730" s="4"/>
      <c r="E1730" s="4" t="s">
        <v>921</v>
      </c>
      <c r="F1730" s="4" t="s">
        <v>1093</v>
      </c>
      <c r="G1730" s="4" t="s">
        <v>336</v>
      </c>
      <c r="H1730" s="4" t="s">
        <v>380</v>
      </c>
      <c r="I1730" s="4">
        <v>0.20833333333333334</v>
      </c>
      <c r="J1730" s="21">
        <v>240</v>
      </c>
      <c r="K1730" s="35">
        <v>50</v>
      </c>
      <c r="L1730" s="5">
        <v>0</v>
      </c>
      <c r="M1730" s="4"/>
      <c r="N1730" s="4"/>
      <c r="O1730" s="5"/>
      <c r="P1730" s="5"/>
      <c r="Q1730" s="21">
        <v>0</v>
      </c>
      <c r="R1730" s="21">
        <v>0</v>
      </c>
      <c r="S1730" s="5">
        <f t="shared" si="107"/>
        <v>61052.418760151995</v>
      </c>
      <c r="T1730" cm="1">
        <f t="array" ref="T1730">IF(OR(B1730="MAL ALIMI", B1730="ÜRETİM GİRİŞ"), MIN(I1730, MAX(0, I1730 + SUM(SUMIFS($I$1:I1729, $C$1:C1729, C1730, $B$1:B1729, {"MAL ALIMI","ÜRETİM GİRİŞ"})) - VLOOKUP(C1730, 'STOK RAPORU'!$C$2:$I$1000, 4, 0))), 0)</f>
        <v>0</v>
      </c>
      <c r="U1730" s="22">
        <f t="shared" si="104"/>
        <v>0</v>
      </c>
      <c r="V1730">
        <f t="shared" si="105"/>
        <v>0</v>
      </c>
      <c r="W1730" s="22">
        <f t="shared" si="106"/>
        <v>0</v>
      </c>
    </row>
    <row r="1731" spans="1:23" hidden="1" x14ac:dyDescent="0.25">
      <c r="A1731" s="3">
        <v>45994</v>
      </c>
      <c r="B1731" s="4" t="s">
        <v>334</v>
      </c>
      <c r="C1731" s="4" t="s">
        <v>134</v>
      </c>
      <c r="D1731" s="4"/>
      <c r="E1731" s="4" t="s">
        <v>921</v>
      </c>
      <c r="F1731" s="4" t="s">
        <v>1094</v>
      </c>
      <c r="G1731" s="4" t="s">
        <v>336</v>
      </c>
      <c r="H1731" s="4" t="s">
        <v>380</v>
      </c>
      <c r="I1731" s="4">
        <v>0.2</v>
      </c>
      <c r="J1731" s="21">
        <v>600</v>
      </c>
      <c r="K1731" s="35">
        <v>120</v>
      </c>
      <c r="L1731" s="5">
        <v>0</v>
      </c>
      <c r="M1731" s="4"/>
      <c r="N1731" s="4"/>
      <c r="O1731" s="5"/>
      <c r="P1731" s="5"/>
      <c r="Q1731" s="21">
        <v>0</v>
      </c>
      <c r="R1731" s="21">
        <v>0</v>
      </c>
      <c r="S1731" s="5">
        <f t="shared" si="107"/>
        <v>61052.418760151995</v>
      </c>
      <c r="T1731" cm="1">
        <f t="array" ref="T1731">IF(OR(B1731="MAL ALIMI", B1731="ÜRETİM GİRİŞ"), MIN(I1731, MAX(0, I1731 + SUM(SUMIFS($I$1:I1730, $C$1:C1730, C1731, $B$1:B1730, {"MAL ALIMI","ÜRETİM GİRİŞ"})) - VLOOKUP(C1731, 'STOK RAPORU'!$C$2:$I$1000, 4, 0))), 0)</f>
        <v>0</v>
      </c>
      <c r="U1731" s="22">
        <f t="shared" ref="U1731:U1794" si="108">T1731*J1731</f>
        <v>0</v>
      </c>
      <c r="V1731">
        <f t="shared" ref="V1731:V1794" si="109">IF(OR(B1731="MAL ALIMI", B1731="ÜRETİM GİRİŞ"), I1731 * J1731, 0)</f>
        <v>0</v>
      </c>
      <c r="W1731" s="22">
        <f t="shared" ref="W1731:W1794" si="110">V1731-U1731</f>
        <v>0</v>
      </c>
    </row>
    <row r="1732" spans="1:23" hidden="1" x14ac:dyDescent="0.25">
      <c r="A1732" s="3">
        <v>45994</v>
      </c>
      <c r="B1732" s="4" t="s">
        <v>917</v>
      </c>
      <c r="C1732" s="4"/>
      <c r="D1732" s="4"/>
      <c r="E1732" s="4" t="s">
        <v>855</v>
      </c>
      <c r="F1732" s="4"/>
      <c r="G1732" s="4" t="s">
        <v>1280</v>
      </c>
      <c r="H1732" s="4" t="s">
        <v>289</v>
      </c>
      <c r="I1732" s="4">
        <v>1</v>
      </c>
      <c r="J1732" s="21">
        <v>0</v>
      </c>
      <c r="K1732" s="21">
        <v>20000</v>
      </c>
      <c r="L1732" s="5">
        <v>0</v>
      </c>
      <c r="M1732" s="4"/>
      <c r="N1732" s="4"/>
      <c r="O1732" s="5"/>
      <c r="P1732" s="5"/>
      <c r="Q1732" s="21">
        <v>0</v>
      </c>
      <c r="R1732" s="21">
        <v>20000</v>
      </c>
      <c r="S1732" s="5">
        <f t="shared" ref="S1732:S1795" si="111">S1731+Q1732-R1732</f>
        <v>41052.418760151995</v>
      </c>
      <c r="T1732" cm="1">
        <f t="array" ref="T1732">IF(OR(B1732="MAL ALIMI", B1732="ÜRETİM GİRİŞ"), MIN(I1732, MAX(0, I1732 + SUM(SUMIFS($I$1:I1731, $C$1:C1731, C1732, $B$1:B1731, {"MAL ALIMI","ÜRETİM GİRİŞ"})) - VLOOKUP(C1732, 'STOK RAPORU'!$C$2:$I$1000, 4, 0))), 0)</f>
        <v>0</v>
      </c>
      <c r="U1732" s="22">
        <f t="shared" si="108"/>
        <v>0</v>
      </c>
      <c r="V1732">
        <f t="shared" si="109"/>
        <v>0</v>
      </c>
      <c r="W1732" s="22">
        <f t="shared" si="110"/>
        <v>0</v>
      </c>
    </row>
    <row r="1733" spans="1:23" hidden="1" x14ac:dyDescent="0.25">
      <c r="A1733" s="3">
        <v>45994</v>
      </c>
      <c r="B1733" s="4" t="s">
        <v>946</v>
      </c>
      <c r="C1733" s="4"/>
      <c r="D1733" s="4"/>
      <c r="E1733" s="4" t="s">
        <v>921</v>
      </c>
      <c r="F1733" s="4"/>
      <c r="G1733" s="4" t="s">
        <v>946</v>
      </c>
      <c r="H1733" s="4" t="s">
        <v>380</v>
      </c>
      <c r="I1733" s="4">
        <v>1</v>
      </c>
      <c r="J1733" s="105">
        <v>1415</v>
      </c>
      <c r="K1733" s="21">
        <v>0</v>
      </c>
      <c r="L1733" s="111">
        <v>1415</v>
      </c>
      <c r="M1733" s="4"/>
      <c r="N1733" s="4"/>
      <c r="O1733" s="5"/>
      <c r="P1733" s="5"/>
      <c r="Q1733" s="21">
        <v>1415</v>
      </c>
      <c r="R1733" s="21">
        <v>0</v>
      </c>
      <c r="S1733" s="5">
        <f t="shared" si="111"/>
        <v>42467.418760151995</v>
      </c>
      <c r="T1733" cm="1">
        <f t="array" ref="T1733">IF(OR(B1733="MAL ALIMI", B1733="ÜRETİM GİRİŞ"), MIN(I1733, MAX(0, I1733 + SUM(SUMIFS($I$1:I1732, $C$1:C1732, C1733, $B$1:B1732, {"MAL ALIMI","ÜRETİM GİRİŞ"})) - VLOOKUP(C1733, 'STOK RAPORU'!$C$2:$I$1000, 4, 0))), 0)</f>
        <v>0</v>
      </c>
      <c r="U1733" s="22">
        <f t="shared" si="108"/>
        <v>0</v>
      </c>
      <c r="V1733">
        <f t="shared" si="109"/>
        <v>0</v>
      </c>
      <c r="W1733" s="22">
        <f t="shared" si="110"/>
        <v>0</v>
      </c>
    </row>
    <row r="1734" spans="1:23" hidden="1" x14ac:dyDescent="0.25">
      <c r="A1734" s="3">
        <v>45995</v>
      </c>
      <c r="B1734" s="4" t="s">
        <v>298</v>
      </c>
      <c r="C1734" s="4" t="s">
        <v>1140</v>
      </c>
      <c r="D1734" s="4"/>
      <c r="E1734" s="4" t="s">
        <v>350</v>
      </c>
      <c r="F1734" s="4" t="s">
        <v>1149</v>
      </c>
      <c r="G1734" s="4" t="s">
        <v>350</v>
      </c>
      <c r="H1734" s="4" t="s">
        <v>304</v>
      </c>
      <c r="I1734" s="4">
        <v>3</v>
      </c>
      <c r="J1734" s="21">
        <v>205</v>
      </c>
      <c r="K1734" s="21">
        <v>0</v>
      </c>
      <c r="L1734" s="5">
        <v>615</v>
      </c>
      <c r="M1734" s="4"/>
      <c r="N1734" s="4"/>
      <c r="O1734" s="5"/>
      <c r="P1734" s="5"/>
      <c r="Q1734" s="21">
        <v>0</v>
      </c>
      <c r="R1734" s="21">
        <v>0</v>
      </c>
      <c r="S1734" s="5">
        <f t="shared" si="111"/>
        <v>42467.418760151995</v>
      </c>
      <c r="T1734" cm="1">
        <f t="array" ref="T1734">IF(OR(B1734="MAL ALIMI", B1734="ÜRETİM GİRİŞ"), MIN(I1734, MAX(0, I1734 + SUM(SUMIFS($I$1:I1733, $C$1:C1733, C1734, $B$1:B1733, {"MAL ALIMI","ÜRETİM GİRİŞ"})) - VLOOKUP(C1734, 'STOK RAPORU'!$C$2:$I$1000, 4, 0))), 0)</f>
        <v>0</v>
      </c>
      <c r="U1734" s="22">
        <f t="shared" si="108"/>
        <v>0</v>
      </c>
      <c r="V1734">
        <f t="shared" si="109"/>
        <v>615</v>
      </c>
      <c r="W1734" s="22">
        <f t="shared" si="110"/>
        <v>615</v>
      </c>
    </row>
    <row r="1735" spans="1:23" hidden="1" x14ac:dyDescent="0.25">
      <c r="A1735" s="3">
        <v>45995</v>
      </c>
      <c r="B1735" s="4" t="s">
        <v>298</v>
      </c>
      <c r="C1735" s="4" t="s">
        <v>1141</v>
      </c>
      <c r="D1735" s="4"/>
      <c r="E1735" s="4" t="s">
        <v>350</v>
      </c>
      <c r="F1735" s="4" t="s">
        <v>1149</v>
      </c>
      <c r="G1735" s="4" t="s">
        <v>350</v>
      </c>
      <c r="H1735" s="4" t="s">
        <v>304</v>
      </c>
      <c r="I1735" s="4">
        <v>3</v>
      </c>
      <c r="J1735" s="21">
        <v>270</v>
      </c>
      <c r="K1735" s="21">
        <v>0</v>
      </c>
      <c r="L1735" s="5">
        <v>810</v>
      </c>
      <c r="M1735" s="4"/>
      <c r="N1735" s="4"/>
      <c r="O1735" s="5"/>
      <c r="P1735" s="5"/>
      <c r="Q1735" s="21">
        <v>0</v>
      </c>
      <c r="R1735" s="21">
        <v>0</v>
      </c>
      <c r="S1735" s="5">
        <f t="shared" si="111"/>
        <v>42467.418760151995</v>
      </c>
      <c r="T1735" cm="1">
        <f t="array" ref="T1735">IF(OR(B1735="MAL ALIMI", B1735="ÜRETİM GİRİŞ"), MIN(I1735, MAX(0, I1735 + SUM(SUMIFS($I$1:I1734, $C$1:C1734, C1735, $B$1:B1734, {"MAL ALIMI","ÜRETİM GİRİŞ"})) - VLOOKUP(C1735, 'STOK RAPORU'!$C$2:$I$1000, 4, 0))), 0)</f>
        <v>3</v>
      </c>
      <c r="U1735" s="22">
        <f t="shared" si="108"/>
        <v>810</v>
      </c>
      <c r="V1735">
        <f t="shared" si="109"/>
        <v>810</v>
      </c>
      <c r="W1735" s="22">
        <f t="shared" si="110"/>
        <v>0</v>
      </c>
    </row>
    <row r="1736" spans="1:23" hidden="1" x14ac:dyDescent="0.25">
      <c r="A1736" s="3">
        <v>45995</v>
      </c>
      <c r="B1736" s="4" t="s">
        <v>298</v>
      </c>
      <c r="C1736" s="4" t="s">
        <v>202</v>
      </c>
      <c r="D1736" s="4"/>
      <c r="E1736" s="4" t="s">
        <v>350</v>
      </c>
      <c r="F1736" s="4" t="s">
        <v>1149</v>
      </c>
      <c r="G1736" s="4" t="s">
        <v>350</v>
      </c>
      <c r="H1736" s="4" t="s">
        <v>304</v>
      </c>
      <c r="I1736" s="4">
        <v>10</v>
      </c>
      <c r="J1736" s="21">
        <v>15</v>
      </c>
      <c r="K1736" s="21">
        <v>0</v>
      </c>
      <c r="L1736" s="5">
        <v>150</v>
      </c>
      <c r="M1736" s="4"/>
      <c r="N1736" s="4"/>
      <c r="O1736" s="5"/>
      <c r="P1736" s="5"/>
      <c r="Q1736" s="21">
        <v>0</v>
      </c>
      <c r="R1736" s="21">
        <v>0</v>
      </c>
      <c r="S1736" s="5">
        <f t="shared" si="111"/>
        <v>42467.418760151995</v>
      </c>
      <c r="T1736" cm="1">
        <f t="array" ref="T1736">IF(OR(B1736="MAL ALIMI", B1736="ÜRETİM GİRİŞ"), MIN(I1736, MAX(0, I1736 + SUM(SUMIFS($I$1:I1735, $C$1:C1735, C1736, $B$1:B1735, {"MAL ALIMI","ÜRETİM GİRİŞ"})) - VLOOKUP(C1736, 'STOK RAPORU'!$C$2:$I$1000, 4, 0))), 0)</f>
        <v>0</v>
      </c>
      <c r="U1736" s="22">
        <f t="shared" si="108"/>
        <v>0</v>
      </c>
      <c r="V1736">
        <f t="shared" si="109"/>
        <v>150</v>
      </c>
      <c r="W1736" s="22">
        <f t="shared" si="110"/>
        <v>150</v>
      </c>
    </row>
    <row r="1737" spans="1:23" hidden="1" x14ac:dyDescent="0.25">
      <c r="A1737" s="3">
        <v>45995</v>
      </c>
      <c r="B1737" s="4" t="s">
        <v>298</v>
      </c>
      <c r="C1737" s="4" t="s">
        <v>203</v>
      </c>
      <c r="D1737" s="4"/>
      <c r="E1737" s="4" t="s">
        <v>350</v>
      </c>
      <c r="F1737" s="4" t="s">
        <v>1149</v>
      </c>
      <c r="G1737" s="4" t="s">
        <v>350</v>
      </c>
      <c r="H1737" s="4" t="s">
        <v>304</v>
      </c>
      <c r="I1737" s="4">
        <v>10</v>
      </c>
      <c r="J1737" s="21">
        <v>15</v>
      </c>
      <c r="K1737" s="21">
        <v>0</v>
      </c>
      <c r="L1737" s="5">
        <v>150</v>
      </c>
      <c r="M1737" s="4"/>
      <c r="N1737" s="4"/>
      <c r="O1737" s="5"/>
      <c r="P1737" s="5"/>
      <c r="Q1737" s="21">
        <v>0</v>
      </c>
      <c r="R1737" s="21">
        <v>0</v>
      </c>
      <c r="S1737" s="5">
        <f t="shared" si="111"/>
        <v>42467.418760151995</v>
      </c>
      <c r="T1737" cm="1">
        <f t="array" ref="T1737">IF(OR(B1737="MAL ALIMI", B1737="ÜRETİM GİRİŞ"), MIN(I1737, MAX(0, I1737 + SUM(SUMIFS($I$1:I1736, $C$1:C1736, C1737, $B$1:B1736, {"MAL ALIMI","ÜRETİM GİRİŞ"})) - VLOOKUP(C1737, 'STOK RAPORU'!$C$2:$I$1000, 4, 0))), 0)</f>
        <v>10</v>
      </c>
      <c r="U1737" s="22">
        <f t="shared" si="108"/>
        <v>150</v>
      </c>
      <c r="V1737">
        <f t="shared" si="109"/>
        <v>150</v>
      </c>
      <c r="W1737" s="22">
        <f t="shared" si="110"/>
        <v>0</v>
      </c>
    </row>
    <row r="1738" spans="1:23" hidden="1" x14ac:dyDescent="0.25">
      <c r="A1738" s="3">
        <v>45995</v>
      </c>
      <c r="B1738" s="4" t="s">
        <v>298</v>
      </c>
      <c r="C1738" s="4" t="s">
        <v>486</v>
      </c>
      <c r="D1738" s="4"/>
      <c r="E1738" s="4" t="s">
        <v>350</v>
      </c>
      <c r="F1738" s="4" t="s">
        <v>1149</v>
      </c>
      <c r="G1738" s="4" t="s">
        <v>350</v>
      </c>
      <c r="H1738" s="4" t="s">
        <v>304</v>
      </c>
      <c r="I1738" s="4">
        <v>20</v>
      </c>
      <c r="J1738" s="21">
        <v>90</v>
      </c>
      <c r="K1738" s="21">
        <v>0</v>
      </c>
      <c r="L1738" s="5">
        <v>1800</v>
      </c>
      <c r="M1738" s="4"/>
      <c r="N1738" s="4"/>
      <c r="O1738" s="5"/>
      <c r="P1738" s="5"/>
      <c r="Q1738" s="21">
        <v>0</v>
      </c>
      <c r="R1738" s="21">
        <v>0</v>
      </c>
      <c r="S1738" s="5">
        <f t="shared" si="111"/>
        <v>42467.418760151995</v>
      </c>
      <c r="T1738" cm="1">
        <f t="array" ref="T1738">IF(OR(B1738="MAL ALIMI", B1738="ÜRETİM GİRİŞ"), MIN(I1738, MAX(0, I1738 + SUM(SUMIFS($I$1:I1737, $C$1:C1737, C1738, $B$1:B1737, {"MAL ALIMI","ÜRETİM GİRİŞ"})) - VLOOKUP(C1738, 'STOK RAPORU'!$C$2:$I$1000, 4, 0))), 0)</f>
        <v>9.37777777777778</v>
      </c>
      <c r="U1738" s="22">
        <f t="shared" si="108"/>
        <v>844.00000000000023</v>
      </c>
      <c r="V1738">
        <f t="shared" si="109"/>
        <v>1800</v>
      </c>
      <c r="W1738" s="22">
        <f t="shared" si="110"/>
        <v>955.99999999999977</v>
      </c>
    </row>
    <row r="1739" spans="1:23" hidden="1" x14ac:dyDescent="0.25">
      <c r="A1739" s="3">
        <v>45995</v>
      </c>
      <c r="B1739" s="4" t="s">
        <v>298</v>
      </c>
      <c r="C1739" s="4" t="s">
        <v>249</v>
      </c>
      <c r="D1739" s="4"/>
      <c r="E1739" s="4" t="s">
        <v>350</v>
      </c>
      <c r="F1739" s="4" t="s">
        <v>1149</v>
      </c>
      <c r="G1739" s="4" t="s">
        <v>350</v>
      </c>
      <c r="H1739" s="4" t="s">
        <v>304</v>
      </c>
      <c r="I1739" s="4">
        <v>1</v>
      </c>
      <c r="J1739" s="21">
        <v>150</v>
      </c>
      <c r="K1739" s="21">
        <v>0</v>
      </c>
      <c r="L1739" s="5">
        <v>150</v>
      </c>
      <c r="M1739" s="4"/>
      <c r="N1739" s="4"/>
      <c r="O1739" s="5"/>
      <c r="P1739" s="5"/>
      <c r="Q1739" s="21">
        <v>0</v>
      </c>
      <c r="R1739" s="21">
        <v>0</v>
      </c>
      <c r="S1739" s="5">
        <f t="shared" si="111"/>
        <v>42467.418760151995</v>
      </c>
      <c r="T1739" cm="1">
        <f t="array" ref="T1739">IF(OR(B1739="MAL ALIMI", B1739="ÜRETİM GİRİŞ"), MIN(I1739, MAX(0, I1739 + SUM(SUMIFS($I$1:I1738, $C$1:C1738, C1739, $B$1:B1738, {"MAL ALIMI","ÜRETİM GİRİŞ"})) - VLOOKUP(C1739, 'STOK RAPORU'!$C$2:$I$1000, 4, 0))), 0)</f>
        <v>0.34999999999999964</v>
      </c>
      <c r="U1739" s="22">
        <f t="shared" si="108"/>
        <v>52.499999999999943</v>
      </c>
      <c r="V1739">
        <f t="shared" si="109"/>
        <v>150</v>
      </c>
      <c r="W1739" s="22">
        <f t="shared" si="110"/>
        <v>97.500000000000057</v>
      </c>
    </row>
    <row r="1740" spans="1:23" hidden="1" x14ac:dyDescent="0.25">
      <c r="A1740" s="3">
        <v>45995</v>
      </c>
      <c r="B1740" s="4" t="s">
        <v>298</v>
      </c>
      <c r="C1740" s="4" t="s">
        <v>457</v>
      </c>
      <c r="D1740" s="4"/>
      <c r="E1740" s="4" t="s">
        <v>350</v>
      </c>
      <c r="F1740" s="4" t="s">
        <v>1149</v>
      </c>
      <c r="G1740" s="4" t="s">
        <v>350</v>
      </c>
      <c r="H1740" s="4" t="s">
        <v>304</v>
      </c>
      <c r="I1740" s="4">
        <v>1</v>
      </c>
      <c r="J1740" s="21">
        <v>400</v>
      </c>
      <c r="K1740" s="21">
        <v>0</v>
      </c>
      <c r="L1740" s="5">
        <v>400</v>
      </c>
      <c r="M1740" s="4"/>
      <c r="N1740" s="4"/>
      <c r="O1740" s="5"/>
      <c r="P1740" s="5"/>
      <c r="Q1740" s="21">
        <v>0</v>
      </c>
      <c r="R1740" s="21">
        <v>0</v>
      </c>
      <c r="S1740" s="5">
        <f t="shared" si="111"/>
        <v>42467.418760151995</v>
      </c>
      <c r="T1740" cm="1">
        <f t="array" ref="T1740">IF(OR(B1740="MAL ALIMI", B1740="ÜRETİM GİRİŞ"), MIN(I1740, MAX(0, I1740 + SUM(SUMIFS($I$1:I1739, $C$1:C1739, C1740, $B$1:B1739, {"MAL ALIMI","ÜRETİM GİRİŞ"})) - VLOOKUP(C1740, 'STOK RAPORU'!$C$2:$I$1000, 4, 0))), 0)</f>
        <v>0.8</v>
      </c>
      <c r="U1740" s="22">
        <f t="shared" si="108"/>
        <v>320</v>
      </c>
      <c r="V1740">
        <f t="shared" si="109"/>
        <v>400</v>
      </c>
      <c r="W1740" s="22">
        <f t="shared" si="110"/>
        <v>80</v>
      </c>
    </row>
    <row r="1741" spans="1:23" hidden="1" x14ac:dyDescent="0.25">
      <c r="A1741" s="3">
        <v>45995</v>
      </c>
      <c r="B1741" s="4" t="s">
        <v>298</v>
      </c>
      <c r="C1741" s="4" t="s">
        <v>1142</v>
      </c>
      <c r="D1741" s="4"/>
      <c r="E1741" s="4" t="s">
        <v>350</v>
      </c>
      <c r="F1741" s="4" t="s">
        <v>1149</v>
      </c>
      <c r="G1741" s="4" t="s">
        <v>350</v>
      </c>
      <c r="H1741" s="4" t="s">
        <v>304</v>
      </c>
      <c r="I1741" s="4">
        <v>1</v>
      </c>
      <c r="J1741" s="21">
        <v>245</v>
      </c>
      <c r="K1741" s="21">
        <v>0</v>
      </c>
      <c r="L1741" s="5">
        <v>245</v>
      </c>
      <c r="M1741" s="4"/>
      <c r="N1741" s="4"/>
      <c r="O1741" s="5"/>
      <c r="P1741" s="5"/>
      <c r="Q1741" s="21">
        <v>0</v>
      </c>
      <c r="R1741" s="21">
        <v>0</v>
      </c>
      <c r="S1741" s="5">
        <f t="shared" si="111"/>
        <v>42467.418760151995</v>
      </c>
      <c r="T1741" cm="1">
        <f t="array" ref="T1741">IF(OR(B1741="MAL ALIMI", B1741="ÜRETİM GİRİŞ"), MIN(I1741, MAX(0, I1741 + SUM(SUMIFS($I$1:I1740, $C$1:C1740, C1741, $B$1:B1740, {"MAL ALIMI","ÜRETİM GİRİŞ"})) - VLOOKUP(C1741, 'STOK RAPORU'!$C$2:$I$1000, 4, 0))), 0)</f>
        <v>0.68377551020408167</v>
      </c>
      <c r="U1741" s="22">
        <f t="shared" si="108"/>
        <v>167.52500000000001</v>
      </c>
      <c r="V1741">
        <f t="shared" si="109"/>
        <v>245</v>
      </c>
      <c r="W1741" s="22">
        <f t="shared" si="110"/>
        <v>77.474999999999994</v>
      </c>
    </row>
    <row r="1742" spans="1:23" hidden="1" x14ac:dyDescent="0.25">
      <c r="A1742" s="3">
        <v>45995</v>
      </c>
      <c r="B1742" s="4" t="s">
        <v>298</v>
      </c>
      <c r="C1742" s="4" t="s">
        <v>1143</v>
      </c>
      <c r="D1742" s="4"/>
      <c r="E1742" s="4" t="s">
        <v>350</v>
      </c>
      <c r="F1742" s="4" t="s">
        <v>1149</v>
      </c>
      <c r="G1742" s="4" t="s">
        <v>350</v>
      </c>
      <c r="H1742" s="4" t="s">
        <v>304</v>
      </c>
      <c r="I1742" s="4">
        <v>6</v>
      </c>
      <c r="J1742" s="21">
        <v>75</v>
      </c>
      <c r="K1742" s="21">
        <v>0</v>
      </c>
      <c r="L1742" s="5">
        <v>450</v>
      </c>
      <c r="M1742" s="4"/>
      <c r="N1742" s="4"/>
      <c r="O1742" s="5"/>
      <c r="P1742" s="5"/>
      <c r="Q1742" s="21">
        <v>0</v>
      </c>
      <c r="R1742" s="21">
        <v>0</v>
      </c>
      <c r="S1742" s="5">
        <f t="shared" si="111"/>
        <v>42467.418760151995</v>
      </c>
      <c r="T1742" cm="1">
        <f t="array" ref="T1742">IF(OR(B1742="MAL ALIMI", B1742="ÜRETİM GİRİŞ"), MIN(I1742, MAX(0, I1742 + SUM(SUMIFS($I$1:I1741, $C$1:C1741, C1742, $B$1:B1741, {"MAL ALIMI","ÜRETİM GİRİŞ"})) - VLOOKUP(C1742, 'STOK RAPORU'!$C$2:$I$1000, 4, 0))), 0)</f>
        <v>0</v>
      </c>
      <c r="U1742" s="22">
        <f t="shared" si="108"/>
        <v>0</v>
      </c>
      <c r="V1742">
        <f t="shared" si="109"/>
        <v>450</v>
      </c>
      <c r="W1742" s="22">
        <f t="shared" si="110"/>
        <v>450</v>
      </c>
    </row>
    <row r="1743" spans="1:23" hidden="1" x14ac:dyDescent="0.25">
      <c r="A1743" s="3">
        <v>45995</v>
      </c>
      <c r="B1743" s="4" t="s">
        <v>298</v>
      </c>
      <c r="C1743" s="4" t="s">
        <v>223</v>
      </c>
      <c r="D1743" s="4"/>
      <c r="E1743" s="4" t="s">
        <v>350</v>
      </c>
      <c r="F1743" s="4" t="s">
        <v>1149</v>
      </c>
      <c r="G1743" s="4" t="s">
        <v>350</v>
      </c>
      <c r="H1743" s="4" t="s">
        <v>304</v>
      </c>
      <c r="I1743" s="4">
        <v>5</v>
      </c>
      <c r="J1743" s="21">
        <v>550</v>
      </c>
      <c r="K1743" s="21">
        <v>0</v>
      </c>
      <c r="L1743" s="5">
        <v>2750</v>
      </c>
      <c r="M1743" s="4"/>
      <c r="N1743" s="4"/>
      <c r="O1743" s="5"/>
      <c r="P1743" s="5"/>
      <c r="Q1743" s="21">
        <v>0</v>
      </c>
      <c r="R1743" s="21">
        <v>0</v>
      </c>
      <c r="S1743" s="5">
        <f t="shared" si="111"/>
        <v>42467.418760151995</v>
      </c>
      <c r="T1743" cm="1">
        <f t="array" ref="T1743">IF(OR(B1743="MAL ALIMI", B1743="ÜRETİM GİRİŞ"), MIN(I1743, MAX(0, I1743 + SUM(SUMIFS($I$1:I1742, $C$1:C1742, C1743, $B$1:B1742, {"MAL ALIMI","ÜRETİM GİRİŞ"})) - VLOOKUP(C1743, 'STOK RAPORU'!$C$2:$I$1000, 4, 0))), 0)</f>
        <v>0</v>
      </c>
      <c r="U1743" s="22">
        <f t="shared" si="108"/>
        <v>0</v>
      </c>
      <c r="V1743">
        <f t="shared" si="109"/>
        <v>2750</v>
      </c>
      <c r="W1743" s="22">
        <f t="shared" si="110"/>
        <v>2750</v>
      </c>
    </row>
    <row r="1744" spans="1:23" hidden="1" x14ac:dyDescent="0.25">
      <c r="A1744" s="3">
        <v>45995</v>
      </c>
      <c r="B1744" s="4" t="s">
        <v>298</v>
      </c>
      <c r="C1744" s="4" t="s">
        <v>1144</v>
      </c>
      <c r="D1744" s="4"/>
      <c r="E1744" s="4" t="s">
        <v>350</v>
      </c>
      <c r="F1744" s="4" t="s">
        <v>1149</v>
      </c>
      <c r="G1744" s="4" t="s">
        <v>350</v>
      </c>
      <c r="H1744" s="4" t="s">
        <v>304</v>
      </c>
      <c r="I1744" s="4">
        <v>6</v>
      </c>
      <c r="J1744" s="21">
        <v>65</v>
      </c>
      <c r="K1744" s="21">
        <v>0</v>
      </c>
      <c r="L1744" s="5">
        <v>390</v>
      </c>
      <c r="M1744" s="4"/>
      <c r="N1744" s="4"/>
      <c r="O1744" s="5"/>
      <c r="P1744" s="5"/>
      <c r="Q1744" s="21">
        <v>0</v>
      </c>
      <c r="R1744" s="21">
        <v>0</v>
      </c>
      <c r="S1744" s="5">
        <f t="shared" si="111"/>
        <v>42467.418760151995</v>
      </c>
      <c r="T1744" cm="1">
        <f t="array" ref="T1744">IF(OR(B1744="MAL ALIMI", B1744="ÜRETİM GİRİŞ"), MIN(I1744, MAX(0, I1744 + SUM(SUMIFS($I$1:I1743, $C$1:C1743, C1744, $B$1:B1743, {"MAL ALIMI","ÜRETİM GİRİŞ"})) - VLOOKUP(C1744, 'STOK RAPORU'!$C$2:$I$1000, 4, 0))), 0)</f>
        <v>2</v>
      </c>
      <c r="U1744" s="22">
        <f t="shared" si="108"/>
        <v>130</v>
      </c>
      <c r="V1744">
        <f t="shared" si="109"/>
        <v>390</v>
      </c>
      <c r="W1744" s="22">
        <f t="shared" si="110"/>
        <v>260</v>
      </c>
    </row>
    <row r="1745" spans="1:23" hidden="1" x14ac:dyDescent="0.25">
      <c r="A1745" s="3">
        <v>45995</v>
      </c>
      <c r="B1745" s="4" t="s">
        <v>334</v>
      </c>
      <c r="C1745" s="4" t="s">
        <v>132</v>
      </c>
      <c r="D1745" s="4"/>
      <c r="E1745" s="4"/>
      <c r="F1745" s="4" t="s">
        <v>1095</v>
      </c>
      <c r="G1745" s="4" t="s">
        <v>336</v>
      </c>
      <c r="H1745" s="4" t="s">
        <v>289</v>
      </c>
      <c r="I1745" s="4">
        <v>0.33800000000000002</v>
      </c>
      <c r="J1745" s="21">
        <v>500</v>
      </c>
      <c r="K1745" s="21">
        <v>0</v>
      </c>
      <c r="L1745" s="5">
        <v>0</v>
      </c>
      <c r="M1745" s="4"/>
      <c r="N1745" s="4"/>
      <c r="O1745" s="5"/>
      <c r="P1745" s="5"/>
      <c r="Q1745" s="21">
        <v>169</v>
      </c>
      <c r="R1745" s="21">
        <v>0</v>
      </c>
      <c r="S1745" s="5">
        <f t="shared" si="111"/>
        <v>42636.418760151995</v>
      </c>
      <c r="T1745" cm="1">
        <f t="array" ref="T1745">IF(OR(B1745="MAL ALIMI", B1745="ÜRETİM GİRİŞ"), MIN(I1745, MAX(0, I1745 + SUM(SUMIFS($I$1:I1744, $C$1:C1744, C1745, $B$1:B1744, {"MAL ALIMI","ÜRETİM GİRİŞ"})) - VLOOKUP(C1745, 'STOK RAPORU'!$C$2:$I$1000, 4, 0))), 0)</f>
        <v>0</v>
      </c>
      <c r="U1745" s="22">
        <f t="shared" si="108"/>
        <v>0</v>
      </c>
      <c r="V1745">
        <f t="shared" si="109"/>
        <v>0</v>
      </c>
      <c r="W1745" s="22">
        <f t="shared" si="110"/>
        <v>0</v>
      </c>
    </row>
    <row r="1746" spans="1:23" hidden="1" x14ac:dyDescent="0.25">
      <c r="A1746" s="3">
        <v>45995</v>
      </c>
      <c r="B1746" s="4" t="s">
        <v>334</v>
      </c>
      <c r="C1746" s="4" t="s">
        <v>129</v>
      </c>
      <c r="D1746" s="4"/>
      <c r="E1746" s="4"/>
      <c r="F1746" s="4" t="s">
        <v>1095</v>
      </c>
      <c r="G1746" s="4" t="s">
        <v>336</v>
      </c>
      <c r="H1746" s="4" t="s">
        <v>289</v>
      </c>
      <c r="I1746" s="4">
        <v>0.17599999999999999</v>
      </c>
      <c r="J1746" s="21">
        <v>390</v>
      </c>
      <c r="K1746" s="21">
        <v>0</v>
      </c>
      <c r="L1746" s="5">
        <v>0</v>
      </c>
      <c r="M1746" s="4"/>
      <c r="N1746" s="4"/>
      <c r="O1746" s="5"/>
      <c r="P1746" s="5"/>
      <c r="Q1746" s="21">
        <v>68.64</v>
      </c>
      <c r="R1746" s="21">
        <v>0</v>
      </c>
      <c r="S1746" s="5">
        <f t="shared" si="111"/>
        <v>42705.058760151995</v>
      </c>
      <c r="T1746" cm="1">
        <f t="array" ref="T1746">IF(OR(B1746="MAL ALIMI", B1746="ÜRETİM GİRİŞ"), MIN(I1746, MAX(0, I1746 + SUM(SUMIFS($I$1:I1745, $C$1:C1745, C1746, $B$1:B1745, {"MAL ALIMI","ÜRETİM GİRİŞ"})) - VLOOKUP(C1746, 'STOK RAPORU'!$C$2:$I$1000, 4, 0))), 0)</f>
        <v>0</v>
      </c>
      <c r="U1746" s="22">
        <f t="shared" si="108"/>
        <v>0</v>
      </c>
      <c r="V1746">
        <f t="shared" si="109"/>
        <v>0</v>
      </c>
      <c r="W1746" s="22">
        <f t="shared" si="110"/>
        <v>0</v>
      </c>
    </row>
    <row r="1747" spans="1:23" hidden="1" x14ac:dyDescent="0.25">
      <c r="A1747" s="3">
        <v>45995</v>
      </c>
      <c r="B1747" s="4" t="s">
        <v>334</v>
      </c>
      <c r="C1747" s="4" t="s">
        <v>151</v>
      </c>
      <c r="D1747" s="4"/>
      <c r="E1747" s="4"/>
      <c r="F1747" s="4" t="s">
        <v>1095</v>
      </c>
      <c r="G1747" s="4" t="s">
        <v>336</v>
      </c>
      <c r="H1747" s="4" t="s">
        <v>289</v>
      </c>
      <c r="I1747" s="4">
        <v>6.4000000000000001E-2</v>
      </c>
      <c r="J1747" s="21">
        <v>400</v>
      </c>
      <c r="K1747" s="21">
        <v>0</v>
      </c>
      <c r="L1747" s="5">
        <v>0</v>
      </c>
      <c r="M1747" s="4"/>
      <c r="N1747" s="4"/>
      <c r="O1747" s="5"/>
      <c r="P1747" s="5"/>
      <c r="Q1747" s="21">
        <v>25.6</v>
      </c>
      <c r="R1747" s="21">
        <v>0</v>
      </c>
      <c r="S1747" s="5">
        <f t="shared" si="111"/>
        <v>42730.658760151993</v>
      </c>
      <c r="T1747" cm="1">
        <f t="array" ref="T1747">IF(OR(B1747="MAL ALIMI", B1747="ÜRETİM GİRİŞ"), MIN(I1747, MAX(0, I1747 + SUM(SUMIFS($I$1:I1746, $C$1:C1746, C1747, $B$1:B1746, {"MAL ALIMI","ÜRETİM GİRİŞ"})) - VLOOKUP(C1747, 'STOK RAPORU'!$C$2:$I$1000, 4, 0))), 0)</f>
        <v>0</v>
      </c>
      <c r="U1747" s="22">
        <f t="shared" si="108"/>
        <v>0</v>
      </c>
      <c r="V1747">
        <f t="shared" si="109"/>
        <v>0</v>
      </c>
      <c r="W1747" s="22">
        <f t="shared" si="110"/>
        <v>0</v>
      </c>
    </row>
    <row r="1748" spans="1:23" hidden="1" x14ac:dyDescent="0.25">
      <c r="A1748" s="3">
        <v>45995</v>
      </c>
      <c r="B1748" s="4" t="s">
        <v>334</v>
      </c>
      <c r="C1748" s="4" t="s">
        <v>157</v>
      </c>
      <c r="D1748" s="4"/>
      <c r="E1748" s="4"/>
      <c r="F1748" s="4" t="s">
        <v>1095</v>
      </c>
      <c r="G1748" s="4" t="s">
        <v>336</v>
      </c>
      <c r="H1748" s="4" t="s">
        <v>289</v>
      </c>
      <c r="I1748" s="4">
        <v>0.5</v>
      </c>
      <c r="J1748" s="21">
        <v>180</v>
      </c>
      <c r="K1748" s="21">
        <v>0</v>
      </c>
      <c r="L1748" s="5">
        <v>0</v>
      </c>
      <c r="M1748" s="4"/>
      <c r="N1748" s="4"/>
      <c r="O1748" s="5"/>
      <c r="P1748" s="5"/>
      <c r="Q1748" s="21">
        <v>90</v>
      </c>
      <c r="R1748" s="21">
        <v>0</v>
      </c>
      <c r="S1748" s="5">
        <f t="shared" si="111"/>
        <v>42820.658760151993</v>
      </c>
      <c r="T1748" cm="1">
        <f t="array" ref="T1748">IF(OR(B1748="MAL ALIMI", B1748="ÜRETİM GİRİŞ"), MIN(I1748, MAX(0, I1748 + SUM(SUMIFS($I$1:I1747, $C$1:C1747, C1748, $B$1:B1747, {"MAL ALIMI","ÜRETİM GİRİŞ"})) - VLOOKUP(C1748, 'STOK RAPORU'!$C$2:$I$1000, 4, 0))), 0)</f>
        <v>0</v>
      </c>
      <c r="U1748" s="22">
        <f t="shared" si="108"/>
        <v>0</v>
      </c>
      <c r="V1748">
        <f t="shared" si="109"/>
        <v>0</v>
      </c>
      <c r="W1748" s="22">
        <f t="shared" si="110"/>
        <v>0</v>
      </c>
    </row>
    <row r="1749" spans="1:23" hidden="1" x14ac:dyDescent="0.25">
      <c r="A1749" s="3">
        <v>45995</v>
      </c>
      <c r="B1749" s="4" t="s">
        <v>334</v>
      </c>
      <c r="C1749" s="4" t="s">
        <v>1023</v>
      </c>
      <c r="D1749" s="4"/>
      <c r="E1749" s="4"/>
      <c r="F1749" s="4" t="s">
        <v>1096</v>
      </c>
      <c r="G1749" s="4" t="s">
        <v>336</v>
      </c>
      <c r="H1749" s="4" t="s">
        <v>289</v>
      </c>
      <c r="I1749" s="4">
        <v>0.65</v>
      </c>
      <c r="J1749" s="21">
        <v>65</v>
      </c>
      <c r="K1749" s="21">
        <v>0</v>
      </c>
      <c r="L1749" s="5">
        <v>0</v>
      </c>
      <c r="M1749" s="4"/>
      <c r="N1749" s="4"/>
      <c r="O1749" s="5"/>
      <c r="P1749" s="5"/>
      <c r="Q1749" s="21">
        <v>42.25</v>
      </c>
      <c r="R1749" s="21">
        <v>0</v>
      </c>
      <c r="S1749" s="5">
        <f t="shared" si="111"/>
        <v>42862.908760151993</v>
      </c>
      <c r="T1749" cm="1">
        <f t="array" ref="T1749">IF(OR(B1749="MAL ALIMI", B1749="ÜRETİM GİRİŞ"), MIN(I1749, MAX(0, I1749 + SUM(SUMIFS($I$1:I1748, $C$1:C1748, C1749, $B$1:B1748, {"MAL ALIMI","ÜRETİM GİRİŞ"})) - VLOOKUP(C1749, 'STOK RAPORU'!$C$2:$I$1000, 4, 0))), 0)</f>
        <v>0</v>
      </c>
      <c r="U1749" s="22">
        <f t="shared" si="108"/>
        <v>0</v>
      </c>
      <c r="V1749">
        <f t="shared" si="109"/>
        <v>0</v>
      </c>
      <c r="W1749" s="22">
        <f t="shared" si="110"/>
        <v>0</v>
      </c>
    </row>
    <row r="1750" spans="1:23" hidden="1" x14ac:dyDescent="0.25">
      <c r="A1750" s="3">
        <v>45995</v>
      </c>
      <c r="B1750" s="4" t="s">
        <v>334</v>
      </c>
      <c r="C1750" s="4" t="s">
        <v>1024</v>
      </c>
      <c r="D1750" s="4"/>
      <c r="E1750" s="4"/>
      <c r="F1750" s="4" t="s">
        <v>1096</v>
      </c>
      <c r="G1750" s="4" t="s">
        <v>336</v>
      </c>
      <c r="H1750" s="4" t="s">
        <v>289</v>
      </c>
      <c r="I1750" s="4">
        <v>0.65</v>
      </c>
      <c r="J1750" s="21">
        <v>65</v>
      </c>
      <c r="K1750" s="21">
        <v>0</v>
      </c>
      <c r="L1750" s="5">
        <v>0</v>
      </c>
      <c r="M1750" s="4"/>
      <c r="N1750" s="4"/>
      <c r="O1750" s="5"/>
      <c r="P1750" s="5"/>
      <c r="Q1750" s="21">
        <v>42.25</v>
      </c>
      <c r="R1750" s="21">
        <v>0</v>
      </c>
      <c r="S1750" s="5">
        <f t="shared" si="111"/>
        <v>42905.158760151993</v>
      </c>
      <c r="T1750" cm="1">
        <f t="array" ref="T1750">IF(OR(B1750="MAL ALIMI", B1750="ÜRETİM GİRİŞ"), MIN(I1750, MAX(0, I1750 + SUM(SUMIFS($I$1:I1749, $C$1:C1749, C1750, $B$1:B1749, {"MAL ALIMI","ÜRETİM GİRİŞ"})) - VLOOKUP(C1750, 'STOK RAPORU'!$C$2:$I$1000, 4, 0))), 0)</f>
        <v>0</v>
      </c>
      <c r="U1750" s="22">
        <f t="shared" si="108"/>
        <v>0</v>
      </c>
      <c r="V1750">
        <f t="shared" si="109"/>
        <v>0</v>
      </c>
      <c r="W1750" s="22">
        <f t="shared" si="110"/>
        <v>0</v>
      </c>
    </row>
    <row r="1751" spans="1:23" hidden="1" x14ac:dyDescent="0.25">
      <c r="A1751" s="3">
        <v>45995</v>
      </c>
      <c r="B1751" s="4" t="s">
        <v>334</v>
      </c>
      <c r="C1751" s="4" t="s">
        <v>157</v>
      </c>
      <c r="D1751" s="4"/>
      <c r="E1751" s="4" t="s">
        <v>921</v>
      </c>
      <c r="F1751" s="4" t="s">
        <v>1097</v>
      </c>
      <c r="G1751" s="4" t="s">
        <v>336</v>
      </c>
      <c r="H1751" s="4" t="s">
        <v>380</v>
      </c>
      <c r="I1751" s="4">
        <v>0.5</v>
      </c>
      <c r="J1751" s="21">
        <v>180</v>
      </c>
      <c r="K1751" s="21">
        <v>90</v>
      </c>
      <c r="L1751" s="5">
        <v>0</v>
      </c>
      <c r="M1751" s="4"/>
      <c r="N1751" s="4"/>
      <c r="O1751" s="5"/>
      <c r="P1751" s="5"/>
      <c r="Q1751" s="21">
        <v>0</v>
      </c>
      <c r="R1751" s="21">
        <v>0</v>
      </c>
      <c r="S1751" s="5">
        <f t="shared" si="111"/>
        <v>42905.158760151993</v>
      </c>
      <c r="T1751" cm="1">
        <f t="array" ref="T1751">IF(OR(B1751="MAL ALIMI", B1751="ÜRETİM GİRİŞ"), MIN(I1751, MAX(0, I1751 + SUM(SUMIFS($I$1:I1750, $C$1:C1750, C1751, $B$1:B1750, {"MAL ALIMI","ÜRETİM GİRİŞ"})) - VLOOKUP(C1751, 'STOK RAPORU'!$C$2:$I$1000, 4, 0))), 0)</f>
        <v>0</v>
      </c>
      <c r="U1751" s="22">
        <f t="shared" si="108"/>
        <v>0</v>
      </c>
      <c r="V1751">
        <f t="shared" si="109"/>
        <v>0</v>
      </c>
      <c r="W1751" s="22">
        <f t="shared" si="110"/>
        <v>0</v>
      </c>
    </row>
    <row r="1752" spans="1:23" hidden="1" x14ac:dyDescent="0.25">
      <c r="A1752" s="3">
        <v>45995</v>
      </c>
      <c r="B1752" s="4" t="s">
        <v>334</v>
      </c>
      <c r="C1752" s="4" t="s">
        <v>585</v>
      </c>
      <c r="D1752" s="4"/>
      <c r="E1752" s="4" t="s">
        <v>921</v>
      </c>
      <c r="F1752" s="4" t="s">
        <v>1097</v>
      </c>
      <c r="G1752" s="4" t="s">
        <v>336</v>
      </c>
      <c r="H1752" s="4" t="s">
        <v>380</v>
      </c>
      <c r="I1752" s="4">
        <v>0.5</v>
      </c>
      <c r="J1752" s="21">
        <v>180</v>
      </c>
      <c r="K1752" s="21">
        <v>90</v>
      </c>
      <c r="L1752" s="5">
        <v>0</v>
      </c>
      <c r="M1752" s="4"/>
      <c r="N1752" s="4"/>
      <c r="O1752" s="5"/>
      <c r="P1752" s="5"/>
      <c r="Q1752" s="21">
        <v>0</v>
      </c>
      <c r="R1752" s="21">
        <v>0</v>
      </c>
      <c r="S1752" s="5">
        <f t="shared" si="111"/>
        <v>42905.158760151993</v>
      </c>
      <c r="T1752" cm="1">
        <f t="array" ref="T1752">IF(OR(B1752="MAL ALIMI", B1752="ÜRETİM GİRİŞ"), MIN(I1752, MAX(0, I1752 + SUM(SUMIFS($I$1:I1751, $C$1:C1751, C1752, $B$1:B1751, {"MAL ALIMI","ÜRETİM GİRİŞ"})) - VLOOKUP(C1752, 'STOK RAPORU'!$C$2:$I$1000, 4, 0))), 0)</f>
        <v>0</v>
      </c>
      <c r="U1752" s="22">
        <f t="shared" si="108"/>
        <v>0</v>
      </c>
      <c r="V1752">
        <f t="shared" si="109"/>
        <v>0</v>
      </c>
      <c r="W1752" s="22">
        <f t="shared" si="110"/>
        <v>0</v>
      </c>
    </row>
    <row r="1753" spans="1:23" hidden="1" x14ac:dyDescent="0.25">
      <c r="A1753" s="3">
        <v>45995</v>
      </c>
      <c r="B1753" s="4" t="s">
        <v>334</v>
      </c>
      <c r="C1753" s="4" t="s">
        <v>157</v>
      </c>
      <c r="D1753" s="4"/>
      <c r="E1753" s="4" t="s">
        <v>921</v>
      </c>
      <c r="F1753" s="4" t="s">
        <v>1098</v>
      </c>
      <c r="G1753" s="4" t="s">
        <v>336</v>
      </c>
      <c r="H1753" s="4" t="s">
        <v>380</v>
      </c>
      <c r="I1753" s="4">
        <v>1</v>
      </c>
      <c r="J1753" s="21">
        <v>180</v>
      </c>
      <c r="K1753" s="21">
        <v>180</v>
      </c>
      <c r="L1753" s="5">
        <v>0</v>
      </c>
      <c r="M1753" s="4"/>
      <c r="N1753" s="4"/>
      <c r="O1753" s="5"/>
      <c r="P1753" s="5"/>
      <c r="Q1753" s="21">
        <v>0</v>
      </c>
      <c r="R1753" s="21">
        <v>0</v>
      </c>
      <c r="S1753" s="5">
        <f t="shared" si="111"/>
        <v>42905.158760151993</v>
      </c>
      <c r="T1753" cm="1">
        <f t="array" ref="T1753">IF(OR(B1753="MAL ALIMI", B1753="ÜRETİM GİRİŞ"), MIN(I1753, MAX(0, I1753 + SUM(SUMIFS($I$1:I1752, $C$1:C1752, C1753, $B$1:B1752, {"MAL ALIMI","ÜRETİM GİRİŞ"})) - VLOOKUP(C1753, 'STOK RAPORU'!$C$2:$I$1000, 4, 0))), 0)</f>
        <v>0</v>
      </c>
      <c r="U1753" s="22">
        <f t="shared" si="108"/>
        <v>0</v>
      </c>
      <c r="V1753">
        <f t="shared" si="109"/>
        <v>0</v>
      </c>
      <c r="W1753" s="22">
        <f t="shared" si="110"/>
        <v>0</v>
      </c>
    </row>
    <row r="1754" spans="1:23" hidden="1" x14ac:dyDescent="0.25">
      <c r="A1754" s="3">
        <v>45995</v>
      </c>
      <c r="B1754" s="4" t="s">
        <v>334</v>
      </c>
      <c r="C1754" s="4" t="s">
        <v>585</v>
      </c>
      <c r="D1754" s="4"/>
      <c r="E1754" s="4" t="s">
        <v>921</v>
      </c>
      <c r="F1754" s="4" t="s">
        <v>1098</v>
      </c>
      <c r="G1754" s="4" t="s">
        <v>336</v>
      </c>
      <c r="H1754" s="4" t="s">
        <v>380</v>
      </c>
      <c r="I1754" s="4">
        <v>1</v>
      </c>
      <c r="J1754" s="21">
        <v>180</v>
      </c>
      <c r="K1754" s="21">
        <v>180</v>
      </c>
      <c r="L1754" s="5">
        <v>0</v>
      </c>
      <c r="M1754" s="4"/>
      <c r="N1754" s="4"/>
      <c r="O1754" s="5"/>
      <c r="P1754" s="5"/>
      <c r="Q1754" s="21">
        <v>0</v>
      </c>
      <c r="R1754" s="21">
        <v>0</v>
      </c>
      <c r="S1754" s="5">
        <f t="shared" si="111"/>
        <v>42905.158760151993</v>
      </c>
      <c r="T1754" cm="1">
        <f t="array" ref="T1754">IF(OR(B1754="MAL ALIMI", B1754="ÜRETİM GİRİŞ"), MIN(I1754, MAX(0, I1754 + SUM(SUMIFS($I$1:I1753, $C$1:C1753, C1754, $B$1:B1753, {"MAL ALIMI","ÜRETİM GİRİŞ"})) - VLOOKUP(C1754, 'STOK RAPORU'!$C$2:$I$1000, 4, 0))), 0)</f>
        <v>0</v>
      </c>
      <c r="U1754" s="22">
        <f t="shared" si="108"/>
        <v>0</v>
      </c>
      <c r="V1754">
        <f t="shared" si="109"/>
        <v>0</v>
      </c>
      <c r="W1754" s="22">
        <f t="shared" si="110"/>
        <v>0</v>
      </c>
    </row>
    <row r="1755" spans="1:23" hidden="1" x14ac:dyDescent="0.25">
      <c r="A1755" s="3">
        <v>45995</v>
      </c>
      <c r="B1755" s="4" t="s">
        <v>334</v>
      </c>
      <c r="C1755" s="4" t="s">
        <v>131</v>
      </c>
      <c r="D1755" s="4"/>
      <c r="E1755" s="4" t="s">
        <v>921</v>
      </c>
      <c r="F1755" s="4" t="s">
        <v>1099</v>
      </c>
      <c r="G1755" s="4" t="s">
        <v>336</v>
      </c>
      <c r="H1755" s="4" t="s">
        <v>380</v>
      </c>
      <c r="I1755" s="4">
        <v>6.8000000000000005E-2</v>
      </c>
      <c r="J1755" s="21">
        <v>400</v>
      </c>
      <c r="K1755" s="21">
        <v>27.200000000000003</v>
      </c>
      <c r="L1755" s="5">
        <v>0</v>
      </c>
      <c r="M1755" s="4"/>
      <c r="N1755" s="4"/>
      <c r="O1755" s="5"/>
      <c r="P1755" s="5"/>
      <c r="Q1755" s="21">
        <v>0</v>
      </c>
      <c r="R1755" s="21">
        <v>0</v>
      </c>
      <c r="S1755" s="5">
        <f t="shared" si="111"/>
        <v>42905.158760151993</v>
      </c>
      <c r="T1755" cm="1">
        <f t="array" ref="T1755">IF(OR(B1755="MAL ALIMI", B1755="ÜRETİM GİRİŞ"), MIN(I1755, MAX(0, I1755 + SUM(SUMIFS($I$1:I1754, $C$1:C1754, C1755, $B$1:B1754, {"MAL ALIMI","ÜRETİM GİRİŞ"})) - VLOOKUP(C1755, 'STOK RAPORU'!$C$2:$I$1000, 4, 0))), 0)</f>
        <v>0</v>
      </c>
      <c r="U1755" s="22">
        <f t="shared" si="108"/>
        <v>0</v>
      </c>
      <c r="V1755">
        <f t="shared" si="109"/>
        <v>0</v>
      </c>
      <c r="W1755" s="22">
        <f t="shared" si="110"/>
        <v>0</v>
      </c>
    </row>
    <row r="1756" spans="1:23" hidden="1" x14ac:dyDescent="0.25">
      <c r="A1756" s="3">
        <v>45995</v>
      </c>
      <c r="B1756" s="4" t="s">
        <v>334</v>
      </c>
      <c r="C1756" s="4" t="s">
        <v>133</v>
      </c>
      <c r="D1756" s="4"/>
      <c r="E1756" s="4" t="s">
        <v>921</v>
      </c>
      <c r="F1756" s="4" t="s">
        <v>1099</v>
      </c>
      <c r="G1756" s="4" t="s">
        <v>336</v>
      </c>
      <c r="H1756" s="4" t="s">
        <v>380</v>
      </c>
      <c r="I1756" s="4">
        <v>0.224</v>
      </c>
      <c r="J1756" s="21">
        <v>380</v>
      </c>
      <c r="K1756" s="21">
        <v>85.12</v>
      </c>
      <c r="L1756" s="5">
        <v>0</v>
      </c>
      <c r="M1756" s="4"/>
      <c r="N1756" s="4"/>
      <c r="O1756" s="5"/>
      <c r="P1756" s="5"/>
      <c r="Q1756" s="21">
        <v>0</v>
      </c>
      <c r="R1756" s="21">
        <v>0</v>
      </c>
      <c r="S1756" s="5">
        <f t="shared" si="111"/>
        <v>42905.158760151993</v>
      </c>
      <c r="T1756" cm="1">
        <f t="array" ref="T1756">IF(OR(B1756="MAL ALIMI", B1756="ÜRETİM GİRİŞ"), MIN(I1756, MAX(0, I1756 + SUM(SUMIFS($I$1:I1755, $C$1:C1755, C1756, $B$1:B1755, {"MAL ALIMI","ÜRETİM GİRİŞ"})) - VLOOKUP(C1756, 'STOK RAPORU'!$C$2:$I$1000, 4, 0))), 0)</f>
        <v>0</v>
      </c>
      <c r="U1756" s="22">
        <f t="shared" si="108"/>
        <v>0</v>
      </c>
      <c r="V1756">
        <f t="shared" si="109"/>
        <v>0</v>
      </c>
      <c r="W1756" s="22">
        <f t="shared" si="110"/>
        <v>0</v>
      </c>
    </row>
    <row r="1757" spans="1:23" hidden="1" x14ac:dyDescent="0.25">
      <c r="A1757" s="3">
        <v>45995</v>
      </c>
      <c r="B1757" s="4" t="s">
        <v>334</v>
      </c>
      <c r="C1757" s="4" t="s">
        <v>126</v>
      </c>
      <c r="D1757" s="4"/>
      <c r="E1757" s="4" t="s">
        <v>921</v>
      </c>
      <c r="F1757" s="4" t="s">
        <v>1099</v>
      </c>
      <c r="G1757" s="4" t="s">
        <v>336</v>
      </c>
      <c r="H1757" s="4" t="s">
        <v>380</v>
      </c>
      <c r="I1757" s="4">
        <v>8.4000000000000005E-2</v>
      </c>
      <c r="J1757" s="21">
        <v>640</v>
      </c>
      <c r="K1757" s="21">
        <v>53.760000000000005</v>
      </c>
      <c r="L1757" s="5">
        <v>0</v>
      </c>
      <c r="M1757" s="4"/>
      <c r="N1757" s="4"/>
      <c r="O1757" s="5"/>
      <c r="P1757" s="5"/>
      <c r="Q1757" s="21">
        <v>0</v>
      </c>
      <c r="R1757" s="21">
        <v>0</v>
      </c>
      <c r="S1757" s="5">
        <f t="shared" si="111"/>
        <v>42905.158760151993</v>
      </c>
      <c r="T1757" cm="1">
        <f t="array" ref="T1757">IF(OR(B1757="MAL ALIMI", B1757="ÜRETİM GİRİŞ"), MIN(I1757, MAX(0, I1757 + SUM(SUMIFS($I$1:I1756, $C$1:C1756, C1757, $B$1:B1756, {"MAL ALIMI","ÜRETİM GİRİŞ"})) - VLOOKUP(C1757, 'STOK RAPORU'!$C$2:$I$1000, 4, 0))), 0)</f>
        <v>0</v>
      </c>
      <c r="U1757" s="22">
        <f t="shared" si="108"/>
        <v>0</v>
      </c>
      <c r="V1757">
        <f t="shared" si="109"/>
        <v>0</v>
      </c>
      <c r="W1757" s="22">
        <f t="shared" si="110"/>
        <v>0</v>
      </c>
    </row>
    <row r="1758" spans="1:23" hidden="1" x14ac:dyDescent="0.25">
      <c r="A1758" s="3">
        <v>45995</v>
      </c>
      <c r="B1758" s="4" t="s">
        <v>334</v>
      </c>
      <c r="C1758" s="4" t="s">
        <v>92</v>
      </c>
      <c r="D1758" s="4"/>
      <c r="E1758" s="4" t="s">
        <v>921</v>
      </c>
      <c r="F1758" s="4" t="s">
        <v>1099</v>
      </c>
      <c r="G1758" s="4" t="s">
        <v>336</v>
      </c>
      <c r="H1758" s="4" t="s">
        <v>380</v>
      </c>
      <c r="I1758" s="4">
        <v>0.14599999999999999</v>
      </c>
      <c r="J1758" s="21">
        <v>500</v>
      </c>
      <c r="K1758" s="21">
        <v>73</v>
      </c>
      <c r="L1758" s="5">
        <v>0</v>
      </c>
      <c r="M1758" s="4"/>
      <c r="N1758" s="4"/>
      <c r="O1758" s="5"/>
      <c r="P1758" s="5"/>
      <c r="Q1758" s="21">
        <v>0</v>
      </c>
      <c r="R1758" s="21">
        <v>0</v>
      </c>
      <c r="S1758" s="5">
        <f t="shared" si="111"/>
        <v>42905.158760151993</v>
      </c>
      <c r="T1758" cm="1">
        <f t="array" ref="T1758">IF(OR(B1758="MAL ALIMI", B1758="ÜRETİM GİRİŞ"), MIN(I1758, MAX(0, I1758 + SUM(SUMIFS($I$1:I1757, $C$1:C1757, C1758, $B$1:B1757, {"MAL ALIMI","ÜRETİM GİRİŞ"})) - VLOOKUP(C1758, 'STOK RAPORU'!$C$2:$I$1000, 4, 0))), 0)</f>
        <v>0</v>
      </c>
      <c r="U1758" s="22">
        <f t="shared" si="108"/>
        <v>0</v>
      </c>
      <c r="V1758">
        <f t="shared" si="109"/>
        <v>0</v>
      </c>
      <c r="W1758" s="22">
        <f t="shared" si="110"/>
        <v>0</v>
      </c>
    </row>
    <row r="1759" spans="1:23" hidden="1" x14ac:dyDescent="0.25">
      <c r="A1759" s="3">
        <v>45995</v>
      </c>
      <c r="B1759" s="4" t="s">
        <v>334</v>
      </c>
      <c r="C1759" s="4" t="s">
        <v>91</v>
      </c>
      <c r="D1759" s="4"/>
      <c r="E1759" s="4" t="s">
        <v>921</v>
      </c>
      <c r="F1759" s="4" t="s">
        <v>1099</v>
      </c>
      <c r="G1759" s="4" t="s">
        <v>336</v>
      </c>
      <c r="H1759" s="4" t="s">
        <v>380</v>
      </c>
      <c r="I1759" s="4">
        <v>0.04</v>
      </c>
      <c r="J1759" s="21">
        <v>760</v>
      </c>
      <c r="K1759" s="21">
        <v>30.400000000000002</v>
      </c>
      <c r="L1759" s="5">
        <v>0</v>
      </c>
      <c r="M1759" s="4"/>
      <c r="N1759" s="4"/>
      <c r="O1759" s="5"/>
      <c r="P1759" s="5"/>
      <c r="Q1759" s="21">
        <v>0</v>
      </c>
      <c r="R1759" s="21">
        <v>0</v>
      </c>
      <c r="S1759" s="5">
        <f t="shared" si="111"/>
        <v>42905.158760151993</v>
      </c>
      <c r="T1759" cm="1">
        <f t="array" ref="T1759">IF(OR(B1759="MAL ALIMI", B1759="ÜRETİM GİRİŞ"), MIN(I1759, MAX(0, I1759 + SUM(SUMIFS($I$1:I1758, $C$1:C1758, C1759, $B$1:B1758, {"MAL ALIMI","ÜRETİM GİRİŞ"})) - VLOOKUP(C1759, 'STOK RAPORU'!$C$2:$I$1000, 4, 0))), 0)</f>
        <v>0</v>
      </c>
      <c r="U1759" s="22">
        <f t="shared" si="108"/>
        <v>0</v>
      </c>
      <c r="V1759">
        <f t="shared" si="109"/>
        <v>0</v>
      </c>
      <c r="W1759" s="22">
        <f t="shared" si="110"/>
        <v>0</v>
      </c>
    </row>
    <row r="1760" spans="1:23" hidden="1" x14ac:dyDescent="0.25">
      <c r="A1760" s="3">
        <v>45995</v>
      </c>
      <c r="B1760" s="4" t="s">
        <v>334</v>
      </c>
      <c r="C1760" s="4" t="s">
        <v>129</v>
      </c>
      <c r="D1760" s="4"/>
      <c r="E1760" s="4" t="s">
        <v>921</v>
      </c>
      <c r="F1760" s="4" t="s">
        <v>1099</v>
      </c>
      <c r="G1760" s="4" t="s">
        <v>336</v>
      </c>
      <c r="H1760" s="4" t="s">
        <v>380</v>
      </c>
      <c r="I1760" s="4">
        <v>0.17399999999999999</v>
      </c>
      <c r="J1760" s="21">
        <v>390</v>
      </c>
      <c r="K1760" s="21">
        <v>67.86</v>
      </c>
      <c r="L1760" s="5">
        <v>0</v>
      </c>
      <c r="M1760" s="4"/>
      <c r="N1760" s="4"/>
      <c r="O1760" s="5"/>
      <c r="P1760" s="5"/>
      <c r="Q1760" s="21">
        <v>0</v>
      </c>
      <c r="R1760" s="21">
        <v>0</v>
      </c>
      <c r="S1760" s="5">
        <f t="shared" si="111"/>
        <v>42905.158760151993</v>
      </c>
      <c r="T1760" cm="1">
        <f t="array" ref="T1760">IF(OR(B1760="MAL ALIMI", B1760="ÜRETİM GİRİŞ"), MIN(I1760, MAX(0, I1760 + SUM(SUMIFS($I$1:I1759, $C$1:C1759, C1760, $B$1:B1759, {"MAL ALIMI","ÜRETİM GİRİŞ"})) - VLOOKUP(C1760, 'STOK RAPORU'!$C$2:$I$1000, 4, 0))), 0)</f>
        <v>0</v>
      </c>
      <c r="U1760" s="22">
        <f t="shared" si="108"/>
        <v>0</v>
      </c>
      <c r="V1760">
        <f t="shared" si="109"/>
        <v>0</v>
      </c>
      <c r="W1760" s="22">
        <f t="shared" si="110"/>
        <v>0</v>
      </c>
    </row>
    <row r="1761" spans="1:23" hidden="1" x14ac:dyDescent="0.25">
      <c r="A1761" s="3">
        <v>45995</v>
      </c>
      <c r="B1761" s="4" t="s">
        <v>334</v>
      </c>
      <c r="C1761" s="4" t="s">
        <v>96</v>
      </c>
      <c r="D1761" s="4"/>
      <c r="E1761" s="4" t="s">
        <v>921</v>
      </c>
      <c r="F1761" s="4" t="s">
        <v>1099</v>
      </c>
      <c r="G1761" s="4" t="s">
        <v>336</v>
      </c>
      <c r="H1761" s="4" t="s">
        <v>380</v>
      </c>
      <c r="I1761" s="4">
        <v>0.14000000000000001</v>
      </c>
      <c r="J1761" s="21">
        <v>380</v>
      </c>
      <c r="K1761" s="21">
        <v>53.2</v>
      </c>
      <c r="L1761" s="5">
        <v>0</v>
      </c>
      <c r="M1761" s="4"/>
      <c r="N1761" s="4"/>
      <c r="O1761" s="5"/>
      <c r="P1761" s="5"/>
      <c r="Q1761" s="21">
        <v>0</v>
      </c>
      <c r="R1761" s="21">
        <v>0</v>
      </c>
      <c r="S1761" s="5">
        <f t="shared" si="111"/>
        <v>42905.158760151993</v>
      </c>
      <c r="T1761" cm="1">
        <f t="array" ref="T1761">IF(OR(B1761="MAL ALIMI", B1761="ÜRETİM GİRİŞ"), MIN(I1761, MAX(0, I1761 + SUM(SUMIFS($I$1:I1760, $C$1:C1760, C1761, $B$1:B1760, {"MAL ALIMI","ÜRETİM GİRİŞ"})) - VLOOKUP(C1761, 'STOK RAPORU'!$C$2:$I$1000, 4, 0))), 0)</f>
        <v>0</v>
      </c>
      <c r="U1761" s="22">
        <f t="shared" si="108"/>
        <v>0</v>
      </c>
      <c r="V1761">
        <f t="shared" si="109"/>
        <v>0</v>
      </c>
      <c r="W1761" s="22">
        <f t="shared" si="110"/>
        <v>0</v>
      </c>
    </row>
    <row r="1762" spans="1:23" hidden="1" x14ac:dyDescent="0.25">
      <c r="A1762" s="3">
        <v>45995</v>
      </c>
      <c r="B1762" s="4" t="s">
        <v>334</v>
      </c>
      <c r="C1762" s="4" t="s">
        <v>131</v>
      </c>
      <c r="D1762" s="4"/>
      <c r="E1762" s="4"/>
      <c r="F1762" s="4" t="s">
        <v>1100</v>
      </c>
      <c r="G1762" s="4" t="s">
        <v>336</v>
      </c>
      <c r="H1762" s="4" t="s">
        <v>289</v>
      </c>
      <c r="I1762" s="4">
        <v>6.8000000000000005E-2</v>
      </c>
      <c r="J1762" s="21">
        <v>400</v>
      </c>
      <c r="K1762" s="21">
        <v>0</v>
      </c>
      <c r="L1762" s="5">
        <v>0</v>
      </c>
      <c r="M1762" s="4"/>
      <c r="N1762" s="4"/>
      <c r="O1762" s="5"/>
      <c r="P1762" s="5"/>
      <c r="Q1762" s="21">
        <v>27.200000000000003</v>
      </c>
      <c r="R1762" s="21">
        <v>0</v>
      </c>
      <c r="S1762" s="5">
        <f t="shared" si="111"/>
        <v>42932.35876015199</v>
      </c>
      <c r="T1762" cm="1">
        <f t="array" ref="T1762">IF(OR(B1762="MAL ALIMI", B1762="ÜRETİM GİRİŞ"), MIN(I1762, MAX(0, I1762 + SUM(SUMIFS($I$1:I1761, $C$1:C1761, C1762, $B$1:B1761, {"MAL ALIMI","ÜRETİM GİRİŞ"})) - VLOOKUP(C1762, 'STOK RAPORU'!$C$2:$I$1000, 4, 0))), 0)</f>
        <v>0</v>
      </c>
      <c r="U1762" s="22">
        <f t="shared" si="108"/>
        <v>0</v>
      </c>
      <c r="V1762">
        <f t="shared" si="109"/>
        <v>0</v>
      </c>
      <c r="W1762" s="22">
        <f t="shared" si="110"/>
        <v>0</v>
      </c>
    </row>
    <row r="1763" spans="1:23" hidden="1" x14ac:dyDescent="0.25">
      <c r="A1763" s="3">
        <v>45995</v>
      </c>
      <c r="B1763" s="4" t="s">
        <v>334</v>
      </c>
      <c r="C1763" s="4" t="s">
        <v>133</v>
      </c>
      <c r="D1763" s="4"/>
      <c r="E1763" s="4"/>
      <c r="F1763" s="4" t="s">
        <v>1100</v>
      </c>
      <c r="G1763" s="4" t="s">
        <v>336</v>
      </c>
      <c r="H1763" s="4" t="s">
        <v>289</v>
      </c>
      <c r="I1763" s="4">
        <v>0.185</v>
      </c>
      <c r="J1763" s="21">
        <v>380</v>
      </c>
      <c r="K1763" s="21">
        <v>0</v>
      </c>
      <c r="L1763" s="5">
        <v>0</v>
      </c>
      <c r="M1763" s="4"/>
      <c r="N1763" s="4"/>
      <c r="O1763" s="5"/>
      <c r="P1763" s="5"/>
      <c r="Q1763" s="21">
        <v>70.3</v>
      </c>
      <c r="R1763" s="21">
        <v>0</v>
      </c>
      <c r="S1763" s="5">
        <f t="shared" si="111"/>
        <v>43002.658760151993</v>
      </c>
      <c r="T1763" cm="1">
        <f t="array" ref="T1763">IF(OR(B1763="MAL ALIMI", B1763="ÜRETİM GİRİŞ"), MIN(I1763, MAX(0, I1763 + SUM(SUMIFS($I$1:I1762, $C$1:C1762, C1763, $B$1:B1762, {"MAL ALIMI","ÜRETİM GİRİŞ"})) - VLOOKUP(C1763, 'STOK RAPORU'!$C$2:$I$1000, 4, 0))), 0)</f>
        <v>0</v>
      </c>
      <c r="U1763" s="22">
        <f t="shared" si="108"/>
        <v>0</v>
      </c>
      <c r="V1763">
        <f t="shared" si="109"/>
        <v>0</v>
      </c>
      <c r="W1763" s="22">
        <f t="shared" si="110"/>
        <v>0</v>
      </c>
    </row>
    <row r="1764" spans="1:23" hidden="1" x14ac:dyDescent="0.25">
      <c r="A1764" s="3">
        <v>45995</v>
      </c>
      <c r="B1764" s="4" t="s">
        <v>334</v>
      </c>
      <c r="C1764" s="4" t="s">
        <v>126</v>
      </c>
      <c r="D1764" s="4"/>
      <c r="E1764" s="4"/>
      <c r="F1764" s="4" t="s">
        <v>1100</v>
      </c>
      <c r="G1764" s="4" t="s">
        <v>336</v>
      </c>
      <c r="H1764" s="4" t="s">
        <v>289</v>
      </c>
      <c r="I1764" s="4">
        <v>8.3000000000000004E-2</v>
      </c>
      <c r="J1764" s="21">
        <v>640</v>
      </c>
      <c r="K1764" s="21">
        <v>0</v>
      </c>
      <c r="L1764" s="5">
        <v>0</v>
      </c>
      <c r="M1764" s="4"/>
      <c r="N1764" s="4"/>
      <c r="O1764" s="5"/>
      <c r="P1764" s="5"/>
      <c r="Q1764" s="21">
        <v>53.120000000000005</v>
      </c>
      <c r="R1764" s="21">
        <v>0</v>
      </c>
      <c r="S1764" s="5">
        <f t="shared" si="111"/>
        <v>43055.778760151996</v>
      </c>
      <c r="T1764" cm="1">
        <f t="array" ref="T1764">IF(OR(B1764="MAL ALIMI", B1764="ÜRETİM GİRİŞ"), MIN(I1764, MAX(0, I1764 + SUM(SUMIFS($I$1:I1763, $C$1:C1763, C1764, $B$1:B1763, {"MAL ALIMI","ÜRETİM GİRİŞ"})) - VLOOKUP(C1764, 'STOK RAPORU'!$C$2:$I$1000, 4, 0))), 0)</f>
        <v>0</v>
      </c>
      <c r="U1764" s="22">
        <f t="shared" si="108"/>
        <v>0</v>
      </c>
      <c r="V1764">
        <f t="shared" si="109"/>
        <v>0</v>
      </c>
      <c r="W1764" s="22">
        <f t="shared" si="110"/>
        <v>0</v>
      </c>
    </row>
    <row r="1765" spans="1:23" hidden="1" x14ac:dyDescent="0.25">
      <c r="A1765" s="3">
        <v>45995</v>
      </c>
      <c r="B1765" s="4" t="s">
        <v>334</v>
      </c>
      <c r="C1765" s="4" t="s">
        <v>692</v>
      </c>
      <c r="D1765" s="4"/>
      <c r="E1765" s="4"/>
      <c r="F1765" s="4" t="s">
        <v>1100</v>
      </c>
      <c r="G1765" s="4" t="s">
        <v>336</v>
      </c>
      <c r="H1765" s="4" t="s">
        <v>289</v>
      </c>
      <c r="I1765" s="4">
        <v>0.83333333333333337</v>
      </c>
      <c r="J1765" s="21">
        <v>60</v>
      </c>
      <c r="K1765" s="21">
        <v>0</v>
      </c>
      <c r="L1765" s="5">
        <v>0</v>
      </c>
      <c r="M1765" s="4"/>
      <c r="N1765" s="4"/>
      <c r="O1765" s="5"/>
      <c r="P1765" s="5"/>
      <c r="Q1765" s="21">
        <v>50</v>
      </c>
      <c r="R1765" s="21">
        <v>0</v>
      </c>
      <c r="S1765" s="5">
        <f t="shared" si="111"/>
        <v>43105.778760151996</v>
      </c>
      <c r="T1765" cm="1">
        <f t="array" ref="T1765">IF(OR(B1765="MAL ALIMI", B1765="ÜRETİM GİRİŞ"), MIN(I1765, MAX(0, I1765 + SUM(SUMIFS($I$1:I1764, $C$1:C1764, C1765, $B$1:B1764, {"MAL ALIMI","ÜRETİM GİRİŞ"})) - VLOOKUP(C1765, 'STOK RAPORU'!$C$2:$I$1000, 4, 0))), 0)</f>
        <v>0</v>
      </c>
      <c r="U1765" s="22">
        <f t="shared" si="108"/>
        <v>0</v>
      </c>
      <c r="V1765">
        <f t="shared" si="109"/>
        <v>0</v>
      </c>
      <c r="W1765" s="22">
        <f t="shared" si="110"/>
        <v>0</v>
      </c>
    </row>
    <row r="1766" spans="1:23" hidden="1" x14ac:dyDescent="0.25">
      <c r="A1766" s="3">
        <v>45995</v>
      </c>
      <c r="B1766" s="4" t="s">
        <v>334</v>
      </c>
      <c r="C1766" s="4" t="s">
        <v>266</v>
      </c>
      <c r="D1766" s="4"/>
      <c r="E1766" s="4" t="s">
        <v>921</v>
      </c>
      <c r="F1766" s="4" t="s">
        <v>1101</v>
      </c>
      <c r="G1766" s="4" t="s">
        <v>336</v>
      </c>
      <c r="H1766" s="4" t="s">
        <v>380</v>
      </c>
      <c r="I1766" s="4">
        <v>0.27200000000000002</v>
      </c>
      <c r="J1766" s="21">
        <v>250</v>
      </c>
      <c r="K1766" s="21">
        <v>68</v>
      </c>
      <c r="L1766" s="5">
        <v>0</v>
      </c>
      <c r="M1766" s="4"/>
      <c r="N1766" s="4"/>
      <c r="O1766" s="5"/>
      <c r="P1766" s="5"/>
      <c r="Q1766" s="21">
        <v>0</v>
      </c>
      <c r="R1766" s="21">
        <v>0</v>
      </c>
      <c r="S1766" s="5">
        <f t="shared" si="111"/>
        <v>43105.778760151996</v>
      </c>
      <c r="T1766" cm="1">
        <f t="array" ref="T1766">IF(OR(B1766="MAL ALIMI", B1766="ÜRETİM GİRİŞ"), MIN(I1766, MAX(0, I1766 + SUM(SUMIFS($I$1:I1765, $C$1:C1765, C1766, $B$1:B1765, {"MAL ALIMI","ÜRETİM GİRİŞ"})) - VLOOKUP(C1766, 'STOK RAPORU'!$C$2:$I$1000, 4, 0))), 0)</f>
        <v>0</v>
      </c>
      <c r="U1766" s="22">
        <f t="shared" si="108"/>
        <v>0</v>
      </c>
      <c r="V1766">
        <f t="shared" si="109"/>
        <v>0</v>
      </c>
      <c r="W1766" s="22">
        <f t="shared" si="110"/>
        <v>0</v>
      </c>
    </row>
    <row r="1767" spans="1:23" hidden="1" x14ac:dyDescent="0.25">
      <c r="A1767" s="3">
        <v>45995</v>
      </c>
      <c r="B1767" s="4" t="s">
        <v>334</v>
      </c>
      <c r="C1767" s="4" t="s">
        <v>209</v>
      </c>
      <c r="D1767" s="4"/>
      <c r="E1767" s="4" t="s">
        <v>921</v>
      </c>
      <c r="F1767" s="4" t="s">
        <v>1102</v>
      </c>
      <c r="G1767" s="4" t="s">
        <v>336</v>
      </c>
      <c r="H1767" s="4" t="s">
        <v>380</v>
      </c>
      <c r="I1767" s="4">
        <v>0.05</v>
      </c>
      <c r="J1767" s="21">
        <v>2600</v>
      </c>
      <c r="K1767" s="21">
        <v>130</v>
      </c>
      <c r="L1767" s="5">
        <v>0</v>
      </c>
      <c r="M1767" s="4"/>
      <c r="N1767" s="4"/>
      <c r="O1767" s="5"/>
      <c r="P1767" s="5"/>
      <c r="Q1767" s="21">
        <v>0</v>
      </c>
      <c r="R1767" s="21">
        <v>0</v>
      </c>
      <c r="S1767" s="5">
        <f t="shared" si="111"/>
        <v>43105.778760151996</v>
      </c>
      <c r="T1767" cm="1">
        <f t="array" ref="T1767">IF(OR(B1767="MAL ALIMI", B1767="ÜRETİM GİRİŞ"), MIN(I1767, MAX(0, I1767 + SUM(SUMIFS($I$1:I1766, $C$1:C1766, C1767, $B$1:B1766, {"MAL ALIMI","ÜRETİM GİRİŞ"})) - VLOOKUP(C1767, 'STOK RAPORU'!$C$2:$I$1000, 4, 0))), 0)</f>
        <v>0</v>
      </c>
      <c r="U1767" s="22">
        <f t="shared" si="108"/>
        <v>0</v>
      </c>
      <c r="V1767">
        <f t="shared" si="109"/>
        <v>0</v>
      </c>
      <c r="W1767" s="22">
        <f t="shared" si="110"/>
        <v>0</v>
      </c>
    </row>
    <row r="1768" spans="1:23" hidden="1" x14ac:dyDescent="0.25">
      <c r="A1768" s="3">
        <v>45995</v>
      </c>
      <c r="B1768" s="4" t="s">
        <v>334</v>
      </c>
      <c r="C1768" s="4" t="s">
        <v>157</v>
      </c>
      <c r="D1768" s="4"/>
      <c r="E1768" s="4" t="s">
        <v>921</v>
      </c>
      <c r="F1768" s="4" t="s">
        <v>1102</v>
      </c>
      <c r="G1768" s="4" t="s">
        <v>336</v>
      </c>
      <c r="H1768" s="4" t="s">
        <v>380</v>
      </c>
      <c r="I1768" s="4">
        <v>0.5</v>
      </c>
      <c r="J1768" s="21">
        <v>180</v>
      </c>
      <c r="K1768" s="21">
        <v>90</v>
      </c>
      <c r="L1768" s="5">
        <v>0</v>
      </c>
      <c r="M1768" s="4"/>
      <c r="N1768" s="4"/>
      <c r="O1768" s="5"/>
      <c r="P1768" s="5"/>
      <c r="Q1768" s="21">
        <v>0</v>
      </c>
      <c r="R1768" s="21">
        <v>0</v>
      </c>
      <c r="S1768" s="5">
        <f t="shared" si="111"/>
        <v>43105.778760151996</v>
      </c>
      <c r="T1768" cm="1">
        <f t="array" ref="T1768">IF(OR(B1768="MAL ALIMI", B1768="ÜRETİM GİRİŞ"), MIN(I1768, MAX(0, I1768 + SUM(SUMIFS($I$1:I1767, $C$1:C1767, C1768, $B$1:B1767, {"MAL ALIMI","ÜRETİM GİRİŞ"})) - VLOOKUP(C1768, 'STOK RAPORU'!$C$2:$I$1000, 4, 0))), 0)</f>
        <v>0</v>
      </c>
      <c r="U1768" s="22">
        <f t="shared" si="108"/>
        <v>0</v>
      </c>
      <c r="V1768">
        <f t="shared" si="109"/>
        <v>0</v>
      </c>
      <c r="W1768" s="22">
        <f t="shared" si="110"/>
        <v>0</v>
      </c>
    </row>
    <row r="1769" spans="1:23" hidden="1" x14ac:dyDescent="0.25">
      <c r="A1769" s="3">
        <v>45995</v>
      </c>
      <c r="B1769" s="4" t="s">
        <v>334</v>
      </c>
      <c r="C1769" s="4" t="s">
        <v>160</v>
      </c>
      <c r="D1769" s="4"/>
      <c r="E1769" s="4" t="s">
        <v>921</v>
      </c>
      <c r="F1769" s="4" t="s">
        <v>1102</v>
      </c>
      <c r="G1769" s="4" t="s">
        <v>336</v>
      </c>
      <c r="H1769" s="4" t="s">
        <v>380</v>
      </c>
      <c r="I1769" s="4">
        <v>1</v>
      </c>
      <c r="J1769" s="21">
        <v>240</v>
      </c>
      <c r="K1769" s="21">
        <v>240</v>
      </c>
      <c r="L1769" s="5">
        <v>0</v>
      </c>
      <c r="M1769" s="4"/>
      <c r="N1769" s="4"/>
      <c r="O1769" s="5"/>
      <c r="P1769" s="5"/>
      <c r="Q1769" s="21">
        <v>0</v>
      </c>
      <c r="R1769" s="21">
        <v>0</v>
      </c>
      <c r="S1769" s="5">
        <f t="shared" si="111"/>
        <v>43105.778760151996</v>
      </c>
      <c r="T1769" cm="1">
        <f t="array" ref="T1769">IF(OR(B1769="MAL ALIMI", B1769="ÜRETİM GİRİŞ"), MIN(I1769, MAX(0, I1769 + SUM(SUMIFS($I$1:I1768, $C$1:C1768, C1769, $B$1:B1768, {"MAL ALIMI","ÜRETİM GİRİŞ"})) - VLOOKUP(C1769, 'STOK RAPORU'!$C$2:$I$1000, 4, 0))), 0)</f>
        <v>0</v>
      </c>
      <c r="U1769" s="22">
        <f t="shared" si="108"/>
        <v>0</v>
      </c>
      <c r="V1769">
        <f t="shared" si="109"/>
        <v>0</v>
      </c>
      <c r="W1769" s="22">
        <f t="shared" si="110"/>
        <v>0</v>
      </c>
    </row>
    <row r="1770" spans="1:23" hidden="1" x14ac:dyDescent="0.25">
      <c r="A1770" s="3">
        <v>45995</v>
      </c>
      <c r="B1770" s="4" t="s">
        <v>334</v>
      </c>
      <c r="C1770" s="4" t="s">
        <v>729</v>
      </c>
      <c r="D1770" s="4"/>
      <c r="E1770" s="4"/>
      <c r="F1770" s="4" t="s">
        <v>1249</v>
      </c>
      <c r="G1770" s="4" t="s">
        <v>336</v>
      </c>
      <c r="H1770" s="4" t="s">
        <v>289</v>
      </c>
      <c r="I1770" s="4">
        <v>1</v>
      </c>
      <c r="J1770" s="21">
        <v>90</v>
      </c>
      <c r="K1770" s="21">
        <v>0</v>
      </c>
      <c r="L1770" s="5">
        <v>0</v>
      </c>
      <c r="M1770" s="4"/>
      <c r="N1770" s="4"/>
      <c r="O1770" s="5"/>
      <c r="P1770" s="5"/>
      <c r="Q1770" s="21">
        <v>90</v>
      </c>
      <c r="R1770" s="21">
        <v>0</v>
      </c>
      <c r="S1770" s="5">
        <f t="shared" si="111"/>
        <v>43195.778760151996</v>
      </c>
      <c r="T1770" cm="1">
        <f t="array" ref="T1770">IF(OR(B1770="MAL ALIMI", B1770="ÜRETİM GİRİŞ"), MIN(I1770, MAX(0, I1770 + SUM(SUMIFS($I$1:I1769, $C$1:C1769, C1770, $B$1:B1769, {"MAL ALIMI","ÜRETİM GİRİŞ"})) - VLOOKUP(C1770, 'STOK RAPORU'!$C$2:$I$1000, 4, 0))), 0)</f>
        <v>0</v>
      </c>
      <c r="U1770" s="22">
        <f t="shared" si="108"/>
        <v>0</v>
      </c>
      <c r="V1770">
        <f t="shared" si="109"/>
        <v>0</v>
      </c>
      <c r="W1770" s="22">
        <f t="shared" si="110"/>
        <v>0</v>
      </c>
    </row>
    <row r="1771" spans="1:23" hidden="1" x14ac:dyDescent="0.25">
      <c r="A1771" s="3">
        <v>45995</v>
      </c>
      <c r="B1771" s="4" t="s">
        <v>334</v>
      </c>
      <c r="C1771" s="4" t="s">
        <v>764</v>
      </c>
      <c r="D1771" s="4"/>
      <c r="E1771" s="4"/>
      <c r="F1771" s="4" t="s">
        <v>1249</v>
      </c>
      <c r="G1771" s="4" t="s">
        <v>336</v>
      </c>
      <c r="H1771" s="4" t="s">
        <v>289</v>
      </c>
      <c r="I1771" s="4">
        <v>1</v>
      </c>
      <c r="J1771" s="21">
        <v>125</v>
      </c>
      <c r="K1771" s="21">
        <v>0</v>
      </c>
      <c r="L1771" s="5">
        <v>0</v>
      </c>
      <c r="M1771" s="4"/>
      <c r="N1771" s="4"/>
      <c r="O1771" s="5"/>
      <c r="P1771" s="5"/>
      <c r="Q1771" s="21">
        <v>125</v>
      </c>
      <c r="R1771" s="21">
        <v>0</v>
      </c>
      <c r="S1771" s="5">
        <f t="shared" si="111"/>
        <v>43320.778760151996</v>
      </c>
      <c r="T1771" cm="1">
        <f t="array" ref="T1771">IF(OR(B1771="MAL ALIMI", B1771="ÜRETİM GİRİŞ"), MIN(I1771, MAX(0, I1771 + SUM(SUMIFS($I$1:I1770, $C$1:C1770, C1771, $B$1:B1770, {"MAL ALIMI","ÜRETİM GİRİŞ"})) - VLOOKUP(C1771, 'STOK RAPORU'!$C$2:$I$1000, 4, 0))), 0)</f>
        <v>0</v>
      </c>
      <c r="U1771" s="22">
        <f t="shared" si="108"/>
        <v>0</v>
      </c>
      <c r="V1771">
        <f t="shared" si="109"/>
        <v>0</v>
      </c>
      <c r="W1771" s="22">
        <f t="shared" si="110"/>
        <v>0</v>
      </c>
    </row>
    <row r="1772" spans="1:23" hidden="1" x14ac:dyDescent="0.25">
      <c r="A1772" s="3">
        <v>45995</v>
      </c>
      <c r="B1772" s="4" t="s">
        <v>334</v>
      </c>
      <c r="C1772" s="4" t="s">
        <v>241</v>
      </c>
      <c r="D1772" s="4"/>
      <c r="E1772" s="4"/>
      <c r="F1772" s="4" t="s">
        <v>1249</v>
      </c>
      <c r="G1772" s="4" t="s">
        <v>336</v>
      </c>
      <c r="H1772" s="4" t="s">
        <v>289</v>
      </c>
      <c r="I1772" s="4">
        <v>0.17688888888888776</v>
      </c>
      <c r="J1772" s="21">
        <v>360</v>
      </c>
      <c r="K1772" s="21">
        <v>0</v>
      </c>
      <c r="L1772" s="5">
        <v>0</v>
      </c>
      <c r="M1772" s="4"/>
      <c r="N1772" s="4"/>
      <c r="O1772" s="5"/>
      <c r="P1772" s="5"/>
      <c r="Q1772" s="21">
        <v>63.679999999999595</v>
      </c>
      <c r="R1772" s="21">
        <v>0</v>
      </c>
      <c r="S1772" s="5">
        <f t="shared" si="111"/>
        <v>43384.458760151996</v>
      </c>
      <c r="T1772" cm="1">
        <f t="array" ref="T1772">IF(OR(B1772="MAL ALIMI", B1772="ÜRETİM GİRİŞ"), MIN(I1772, MAX(0, I1772 + SUM(SUMIFS($I$1:I1771, $C$1:C1771, C1772, $B$1:B1771, {"MAL ALIMI","ÜRETİM GİRİŞ"})) - VLOOKUP(C1772, 'STOK RAPORU'!$C$2:$I$1000, 4, 0))), 0)</f>
        <v>0</v>
      </c>
      <c r="U1772" s="22">
        <f t="shared" si="108"/>
        <v>0</v>
      </c>
      <c r="V1772">
        <f t="shared" si="109"/>
        <v>0</v>
      </c>
      <c r="W1772" s="22">
        <f t="shared" si="110"/>
        <v>0</v>
      </c>
    </row>
    <row r="1773" spans="1:23" hidden="1" x14ac:dyDescent="0.25">
      <c r="A1773" s="3">
        <v>45995</v>
      </c>
      <c r="B1773" s="4" t="s">
        <v>334</v>
      </c>
      <c r="C1773" s="4" t="s">
        <v>242</v>
      </c>
      <c r="D1773" s="4"/>
      <c r="E1773" s="4"/>
      <c r="F1773" s="4" t="s">
        <v>1249</v>
      </c>
      <c r="G1773" s="4" t="s">
        <v>336</v>
      </c>
      <c r="H1773" s="4" t="s">
        <v>289</v>
      </c>
      <c r="I1773" s="4">
        <v>2.1950000000000003</v>
      </c>
      <c r="J1773" s="21">
        <v>360</v>
      </c>
      <c r="K1773" s="21">
        <v>0</v>
      </c>
      <c r="L1773" s="5">
        <v>0</v>
      </c>
      <c r="M1773" s="4"/>
      <c r="N1773" s="4"/>
      <c r="O1773" s="5"/>
      <c r="P1773" s="5"/>
      <c r="Q1773" s="21">
        <v>790.2</v>
      </c>
      <c r="R1773" s="21">
        <v>0</v>
      </c>
      <c r="S1773" s="5">
        <f t="shared" si="111"/>
        <v>44174.658760151993</v>
      </c>
      <c r="T1773" cm="1">
        <f t="array" ref="T1773">IF(OR(B1773="MAL ALIMI", B1773="ÜRETİM GİRİŞ"), MIN(I1773, MAX(0, I1773 + SUM(SUMIFS($I$1:I1772, $C$1:C1772, C1773, $B$1:B1772, {"MAL ALIMI","ÜRETİM GİRİŞ"})) - VLOOKUP(C1773, 'STOK RAPORU'!$C$2:$I$1000, 4, 0))), 0)</f>
        <v>0</v>
      </c>
      <c r="U1773" s="22">
        <f t="shared" si="108"/>
        <v>0</v>
      </c>
      <c r="V1773">
        <f t="shared" si="109"/>
        <v>0</v>
      </c>
      <c r="W1773" s="22">
        <f t="shared" si="110"/>
        <v>0</v>
      </c>
    </row>
    <row r="1774" spans="1:23" hidden="1" x14ac:dyDescent="0.25">
      <c r="A1774" s="3">
        <v>45995</v>
      </c>
      <c r="B1774" s="4" t="s">
        <v>946</v>
      </c>
      <c r="C1774" s="4"/>
      <c r="D1774" s="4"/>
      <c r="E1774" s="4" t="s">
        <v>921</v>
      </c>
      <c r="F1774" s="4"/>
      <c r="G1774" s="4" t="s">
        <v>946</v>
      </c>
      <c r="H1774" s="4" t="s">
        <v>380</v>
      </c>
      <c r="I1774" s="4">
        <v>1</v>
      </c>
      <c r="J1774" s="105">
        <v>1840</v>
      </c>
      <c r="K1774" s="21">
        <v>0</v>
      </c>
      <c r="L1774" s="111">
        <v>1840</v>
      </c>
      <c r="M1774" s="4"/>
      <c r="N1774" s="4"/>
      <c r="O1774" s="5"/>
      <c r="P1774" s="5"/>
      <c r="Q1774" s="21">
        <v>1840</v>
      </c>
      <c r="R1774" s="21">
        <v>0</v>
      </c>
      <c r="S1774" s="5">
        <f t="shared" si="111"/>
        <v>46014.658760151993</v>
      </c>
      <c r="T1774" cm="1">
        <f t="array" ref="T1774">IF(OR(B1774="MAL ALIMI", B1774="ÜRETİM GİRİŞ"), MIN(I1774, MAX(0, I1774 + SUM(SUMIFS($I$1:I1773, $C$1:C1773, C1774, $B$1:B1773, {"MAL ALIMI","ÜRETİM GİRİŞ"})) - VLOOKUP(C1774, 'STOK RAPORU'!$C$2:$I$1000, 4, 0))), 0)</f>
        <v>0</v>
      </c>
      <c r="U1774" s="22">
        <f t="shared" si="108"/>
        <v>0</v>
      </c>
      <c r="V1774">
        <f t="shared" si="109"/>
        <v>0</v>
      </c>
      <c r="W1774" s="22">
        <f t="shared" si="110"/>
        <v>0</v>
      </c>
    </row>
    <row r="1775" spans="1:23" hidden="1" x14ac:dyDescent="0.25">
      <c r="A1775" s="3">
        <v>45995</v>
      </c>
      <c r="B1775" s="4" t="s">
        <v>298</v>
      </c>
      <c r="C1775" s="4" t="s">
        <v>1176</v>
      </c>
      <c r="D1775" s="4"/>
      <c r="E1775" s="4" t="s">
        <v>856</v>
      </c>
      <c r="F1775" s="4"/>
      <c r="G1775" s="4" t="s">
        <v>333</v>
      </c>
      <c r="H1775" s="4" t="s">
        <v>1329</v>
      </c>
      <c r="I1775" s="4">
        <v>1</v>
      </c>
      <c r="J1775" s="35">
        <v>585</v>
      </c>
      <c r="K1775" s="35">
        <v>0</v>
      </c>
      <c r="L1775" s="5">
        <v>585</v>
      </c>
      <c r="M1775" s="4"/>
      <c r="N1775" s="4"/>
      <c r="O1775" s="5"/>
      <c r="P1775" s="5"/>
      <c r="Q1775" s="35">
        <v>0</v>
      </c>
      <c r="R1775" s="35">
        <v>0</v>
      </c>
      <c r="S1775" s="5">
        <f t="shared" si="111"/>
        <v>46014.658760151993</v>
      </c>
      <c r="T1775" cm="1">
        <f t="array" ref="T1775">IF(OR(B1775="MAL ALIMI", B1775="ÜRETİM GİRİŞ"), MIN(I1775, MAX(0, I1775 + SUM(SUMIFS($I$1:I1774, $C$1:C1774, C1775, $B$1:B1774, {"MAL ALIMI","ÜRETİM GİRİŞ"})) - VLOOKUP(C1775, 'STOK RAPORU'!$C$2:$I$1000, 4, 0))), 0)</f>
        <v>0</v>
      </c>
      <c r="U1775" s="22">
        <f t="shared" si="108"/>
        <v>0</v>
      </c>
      <c r="V1775">
        <f t="shared" si="109"/>
        <v>585</v>
      </c>
      <c r="W1775" s="22">
        <f t="shared" si="110"/>
        <v>585</v>
      </c>
    </row>
    <row r="1776" spans="1:23" hidden="1" x14ac:dyDescent="0.25">
      <c r="A1776" s="3">
        <v>45995</v>
      </c>
      <c r="B1776" s="4" t="s">
        <v>298</v>
      </c>
      <c r="C1776" s="4" t="s">
        <v>195</v>
      </c>
      <c r="D1776" s="4"/>
      <c r="E1776" s="4" t="s">
        <v>856</v>
      </c>
      <c r="F1776" s="4"/>
      <c r="G1776" s="4" t="s">
        <v>333</v>
      </c>
      <c r="H1776" s="4" t="s">
        <v>1329</v>
      </c>
      <c r="I1776" s="4">
        <v>1</v>
      </c>
      <c r="J1776" s="35">
        <v>280</v>
      </c>
      <c r="K1776" s="35">
        <v>0</v>
      </c>
      <c r="L1776" s="5">
        <v>280</v>
      </c>
      <c r="M1776" s="4"/>
      <c r="N1776" s="4"/>
      <c r="O1776" s="5"/>
      <c r="P1776" s="5"/>
      <c r="Q1776" s="35">
        <v>0</v>
      </c>
      <c r="R1776" s="35">
        <v>0</v>
      </c>
      <c r="S1776" s="5">
        <f t="shared" si="111"/>
        <v>46014.658760151993</v>
      </c>
      <c r="T1776" cm="1">
        <f t="array" ref="T1776">IF(OR(B1776="MAL ALIMI", B1776="ÜRETİM GİRİŞ"), MIN(I1776, MAX(0, I1776 + SUM(SUMIFS($I$1:I1775, $C$1:C1775, C1776, $B$1:B1775, {"MAL ALIMI","ÜRETİM GİRİŞ"})) - VLOOKUP(C1776, 'STOK RAPORU'!$C$2:$I$1000, 4, 0))), 0)</f>
        <v>1</v>
      </c>
      <c r="U1776" s="22">
        <f t="shared" si="108"/>
        <v>280</v>
      </c>
      <c r="V1776">
        <f t="shared" si="109"/>
        <v>280</v>
      </c>
      <c r="W1776" s="22">
        <f t="shared" si="110"/>
        <v>0</v>
      </c>
    </row>
    <row r="1777" spans="1:23" hidden="1" x14ac:dyDescent="0.25">
      <c r="A1777" s="3">
        <v>45995</v>
      </c>
      <c r="B1777" s="4" t="s">
        <v>298</v>
      </c>
      <c r="C1777" s="4" t="s">
        <v>458</v>
      </c>
      <c r="D1777" s="4"/>
      <c r="E1777" s="4" t="s">
        <v>856</v>
      </c>
      <c r="F1777" s="4"/>
      <c r="G1777" s="4" t="s">
        <v>333</v>
      </c>
      <c r="H1777" s="4" t="s">
        <v>1329</v>
      </c>
      <c r="I1777" s="4">
        <v>5</v>
      </c>
      <c r="J1777" s="35">
        <v>40</v>
      </c>
      <c r="K1777" s="35">
        <v>0</v>
      </c>
      <c r="L1777" s="5">
        <v>200</v>
      </c>
      <c r="M1777" s="4"/>
      <c r="N1777" s="4"/>
      <c r="O1777" s="5"/>
      <c r="P1777" s="5"/>
      <c r="Q1777" s="35">
        <v>0</v>
      </c>
      <c r="R1777" s="35">
        <v>0</v>
      </c>
      <c r="S1777" s="5">
        <f t="shared" si="111"/>
        <v>46014.658760151993</v>
      </c>
      <c r="T1777" cm="1">
        <f t="array" ref="T1777">IF(OR(B1777="MAL ALIMI", B1777="ÜRETİM GİRİŞ"), MIN(I1777, MAX(0, I1777 + SUM(SUMIFS($I$1:I1776, $C$1:C1776, C1777, $B$1:B1776, {"MAL ALIMI","ÜRETİM GİRİŞ"})) - VLOOKUP(C1777, 'STOK RAPORU'!$C$2:$I$1000, 4, 0))), 0)</f>
        <v>0</v>
      </c>
      <c r="U1777" s="22">
        <f t="shared" si="108"/>
        <v>0</v>
      </c>
      <c r="V1777">
        <f t="shared" si="109"/>
        <v>200</v>
      </c>
      <c r="W1777" s="22">
        <f t="shared" si="110"/>
        <v>200</v>
      </c>
    </row>
    <row r="1778" spans="1:23" hidden="1" x14ac:dyDescent="0.25">
      <c r="A1778" s="3">
        <v>45995</v>
      </c>
      <c r="B1778" s="4" t="s">
        <v>298</v>
      </c>
      <c r="C1778" s="4" t="s">
        <v>459</v>
      </c>
      <c r="D1778" s="4"/>
      <c r="E1778" s="4" t="s">
        <v>856</v>
      </c>
      <c r="F1778" s="4"/>
      <c r="G1778" s="4" t="s">
        <v>333</v>
      </c>
      <c r="H1778" s="4" t="s">
        <v>1329</v>
      </c>
      <c r="I1778" s="4">
        <v>5</v>
      </c>
      <c r="J1778" s="35">
        <v>60</v>
      </c>
      <c r="K1778" s="35">
        <v>0</v>
      </c>
      <c r="L1778" s="5">
        <v>300</v>
      </c>
      <c r="M1778" s="4"/>
      <c r="N1778" s="4"/>
      <c r="O1778" s="5"/>
      <c r="P1778" s="5"/>
      <c r="Q1778" s="35">
        <v>0</v>
      </c>
      <c r="R1778" s="35">
        <v>0</v>
      </c>
      <c r="S1778" s="5">
        <f t="shared" si="111"/>
        <v>46014.658760151993</v>
      </c>
      <c r="T1778" cm="1">
        <f t="array" ref="T1778">IF(OR(B1778="MAL ALIMI", B1778="ÜRETİM GİRİŞ"), MIN(I1778, MAX(0, I1778 + SUM(SUMIFS($I$1:I1777, $C$1:C1777, C1778, $B$1:B1777, {"MAL ALIMI","ÜRETİM GİRİŞ"})) - VLOOKUP(C1778, 'STOK RAPORU'!$C$2:$I$1000, 4, 0))), 0)</f>
        <v>0</v>
      </c>
      <c r="U1778" s="22">
        <f t="shared" si="108"/>
        <v>0</v>
      </c>
      <c r="V1778">
        <f t="shared" si="109"/>
        <v>300</v>
      </c>
      <c r="W1778" s="22">
        <f t="shared" si="110"/>
        <v>300</v>
      </c>
    </row>
    <row r="1779" spans="1:23" hidden="1" x14ac:dyDescent="0.25">
      <c r="A1779" s="3">
        <v>45995</v>
      </c>
      <c r="B1779" s="4" t="s">
        <v>298</v>
      </c>
      <c r="C1779" s="4" t="s">
        <v>198</v>
      </c>
      <c r="D1779" s="4"/>
      <c r="E1779" s="4" t="s">
        <v>856</v>
      </c>
      <c r="F1779" s="4"/>
      <c r="G1779" s="4" t="s">
        <v>333</v>
      </c>
      <c r="H1779" s="4" t="s">
        <v>1329</v>
      </c>
      <c r="I1779" s="4">
        <v>1</v>
      </c>
      <c r="J1779" s="35">
        <v>155</v>
      </c>
      <c r="K1779" s="35">
        <v>0</v>
      </c>
      <c r="L1779" s="5">
        <v>155</v>
      </c>
      <c r="M1779" s="4"/>
      <c r="N1779" s="4"/>
      <c r="O1779" s="5"/>
      <c r="P1779" s="5"/>
      <c r="Q1779" s="35">
        <v>0</v>
      </c>
      <c r="R1779" s="35">
        <v>0</v>
      </c>
      <c r="S1779" s="5">
        <f t="shared" si="111"/>
        <v>46014.658760151993</v>
      </c>
      <c r="T1779" cm="1">
        <f t="array" ref="T1779">IF(OR(B1779="MAL ALIMI", B1779="ÜRETİM GİRİŞ"), MIN(I1779, MAX(0, I1779 + SUM(SUMIFS($I$1:I1778, $C$1:C1778, C1779, $B$1:B1778, {"MAL ALIMI","ÜRETİM GİRİŞ"})) - VLOOKUP(C1779, 'STOK RAPORU'!$C$2:$I$1000, 4, 0))), 0)</f>
        <v>0.91999999999999948</v>
      </c>
      <c r="U1779" s="22">
        <f t="shared" si="108"/>
        <v>142.59999999999991</v>
      </c>
      <c r="V1779">
        <f t="shared" si="109"/>
        <v>155</v>
      </c>
      <c r="W1779" s="22">
        <f t="shared" si="110"/>
        <v>12.400000000000091</v>
      </c>
    </row>
    <row r="1780" spans="1:23" hidden="1" x14ac:dyDescent="0.25">
      <c r="A1780" s="3">
        <v>45995</v>
      </c>
      <c r="B1780" s="4" t="s">
        <v>298</v>
      </c>
      <c r="C1780" s="4" t="s">
        <v>237</v>
      </c>
      <c r="D1780" s="4"/>
      <c r="E1780" s="4" t="s">
        <v>856</v>
      </c>
      <c r="F1780" s="4"/>
      <c r="G1780" s="4" t="s">
        <v>333</v>
      </c>
      <c r="H1780" s="4" t="s">
        <v>1329</v>
      </c>
      <c r="I1780" s="4">
        <v>1</v>
      </c>
      <c r="J1780" s="35">
        <v>600</v>
      </c>
      <c r="K1780" s="35">
        <v>0</v>
      </c>
      <c r="L1780" s="5">
        <v>600</v>
      </c>
      <c r="M1780" s="4"/>
      <c r="N1780" s="4"/>
      <c r="O1780" s="5"/>
      <c r="P1780" s="5"/>
      <c r="Q1780" s="35">
        <v>0</v>
      </c>
      <c r="R1780" s="35">
        <v>0</v>
      </c>
      <c r="S1780" s="5">
        <f t="shared" si="111"/>
        <v>46014.658760151993</v>
      </c>
      <c r="T1780" cm="1">
        <f t="array" ref="T1780">IF(OR(B1780="MAL ALIMI", B1780="ÜRETİM GİRİŞ"), MIN(I1780, MAX(0, I1780 + SUM(SUMIFS($I$1:I1779, $C$1:C1779, C1780, $B$1:B1779, {"MAL ALIMI","ÜRETİM GİRİŞ"})) - VLOOKUP(C1780, 'STOK RAPORU'!$C$2:$I$1000, 4, 0))), 0)</f>
        <v>0</v>
      </c>
      <c r="U1780" s="22">
        <f t="shared" si="108"/>
        <v>0</v>
      </c>
      <c r="V1780">
        <f t="shared" si="109"/>
        <v>600</v>
      </c>
      <c r="W1780" s="22">
        <f t="shared" si="110"/>
        <v>600</v>
      </c>
    </row>
    <row r="1781" spans="1:23" hidden="1" x14ac:dyDescent="0.25">
      <c r="A1781" s="3">
        <v>45995</v>
      </c>
      <c r="B1781" s="4" t="s">
        <v>298</v>
      </c>
      <c r="C1781" s="4" t="s">
        <v>1177</v>
      </c>
      <c r="D1781" s="4"/>
      <c r="E1781" s="4" t="s">
        <v>856</v>
      </c>
      <c r="F1781" s="4"/>
      <c r="G1781" s="4" t="s">
        <v>333</v>
      </c>
      <c r="H1781" s="4" t="s">
        <v>1329</v>
      </c>
      <c r="I1781" s="4">
        <v>2.5</v>
      </c>
      <c r="J1781" s="35">
        <v>400</v>
      </c>
      <c r="K1781" s="35">
        <v>0</v>
      </c>
      <c r="L1781" s="5">
        <v>1000</v>
      </c>
      <c r="M1781" s="4"/>
      <c r="N1781" s="4"/>
      <c r="O1781" s="5"/>
      <c r="P1781" s="5"/>
      <c r="Q1781" s="35">
        <v>0</v>
      </c>
      <c r="R1781" s="35">
        <v>0</v>
      </c>
      <c r="S1781" s="5">
        <f t="shared" si="111"/>
        <v>46014.658760151993</v>
      </c>
      <c r="T1781" cm="1">
        <f t="array" ref="T1781">IF(OR(B1781="MAL ALIMI", B1781="ÜRETİM GİRİŞ"), MIN(I1781, MAX(0, I1781 + SUM(SUMIFS($I$1:I1780, $C$1:C1780, C1781, $B$1:B1780, {"MAL ALIMI","ÜRETİM GİRİŞ"})) - VLOOKUP(C1781, 'STOK RAPORU'!$C$2:$I$1000, 4, 0))), 0)</f>
        <v>2.5</v>
      </c>
      <c r="U1781" s="22">
        <f t="shared" si="108"/>
        <v>1000</v>
      </c>
      <c r="V1781">
        <f t="shared" si="109"/>
        <v>1000</v>
      </c>
      <c r="W1781" s="22">
        <f t="shared" si="110"/>
        <v>0</v>
      </c>
    </row>
    <row r="1782" spans="1:23" hidden="1" x14ac:dyDescent="0.25">
      <c r="A1782" s="3">
        <v>45995</v>
      </c>
      <c r="B1782" s="4" t="s">
        <v>298</v>
      </c>
      <c r="C1782" s="4" t="s">
        <v>1178</v>
      </c>
      <c r="D1782" s="4"/>
      <c r="E1782" s="4" t="s">
        <v>856</v>
      </c>
      <c r="F1782" s="4"/>
      <c r="G1782" s="4" t="s">
        <v>333</v>
      </c>
      <c r="H1782" s="4" t="s">
        <v>1329</v>
      </c>
      <c r="I1782" s="4">
        <v>1</v>
      </c>
      <c r="J1782" s="35">
        <v>340</v>
      </c>
      <c r="K1782" s="35">
        <v>0</v>
      </c>
      <c r="L1782" s="5">
        <v>340</v>
      </c>
      <c r="M1782" s="4"/>
      <c r="N1782" s="4"/>
      <c r="O1782" s="5"/>
      <c r="P1782" s="5"/>
      <c r="Q1782" s="35">
        <v>0</v>
      </c>
      <c r="R1782" s="35">
        <v>0</v>
      </c>
      <c r="S1782" s="5">
        <f t="shared" si="111"/>
        <v>46014.658760151993</v>
      </c>
      <c r="T1782" cm="1">
        <f t="array" ref="T1782">IF(OR(B1782="MAL ALIMI", B1782="ÜRETİM GİRİŞ"), MIN(I1782, MAX(0, I1782 + SUM(SUMIFS($I$1:I1781, $C$1:C1781, C1782, $B$1:B1781, {"MAL ALIMI","ÜRETİM GİRİŞ"})) - VLOOKUP(C1782, 'STOK RAPORU'!$C$2:$I$1000, 4, 0))), 0)</f>
        <v>1</v>
      </c>
      <c r="U1782" s="22">
        <f t="shared" si="108"/>
        <v>340</v>
      </c>
      <c r="V1782">
        <f t="shared" si="109"/>
        <v>340</v>
      </c>
      <c r="W1782" s="22">
        <f t="shared" si="110"/>
        <v>0</v>
      </c>
    </row>
    <row r="1783" spans="1:23" hidden="1" x14ac:dyDescent="0.25">
      <c r="A1783" s="3">
        <v>45995</v>
      </c>
      <c r="B1783" s="4" t="s">
        <v>298</v>
      </c>
      <c r="C1783" s="4" t="s">
        <v>1179</v>
      </c>
      <c r="D1783" s="4"/>
      <c r="E1783" s="4" t="s">
        <v>856</v>
      </c>
      <c r="F1783" s="4"/>
      <c r="G1783" s="4" t="s">
        <v>333</v>
      </c>
      <c r="H1783" s="4" t="s">
        <v>1329</v>
      </c>
      <c r="I1783" s="4">
        <v>2</v>
      </c>
      <c r="J1783" s="35">
        <v>217</v>
      </c>
      <c r="K1783" s="35">
        <v>0</v>
      </c>
      <c r="L1783" s="5">
        <v>434</v>
      </c>
      <c r="M1783" s="4"/>
      <c r="N1783" s="4"/>
      <c r="O1783" s="5"/>
      <c r="P1783" s="5"/>
      <c r="Q1783" s="35">
        <v>0</v>
      </c>
      <c r="R1783" s="35">
        <v>0</v>
      </c>
      <c r="S1783" s="5">
        <f t="shared" si="111"/>
        <v>46014.658760151993</v>
      </c>
      <c r="T1783" cm="1">
        <f t="array" ref="T1783">IF(OR(B1783="MAL ALIMI", B1783="ÜRETİM GİRİŞ"), MIN(I1783, MAX(0, I1783 + SUM(SUMIFS($I$1:I1782, $C$1:C1782, C1783, $B$1:B1782, {"MAL ALIMI","ÜRETİM GİRİŞ"})) - VLOOKUP(C1783, 'STOK RAPORU'!$C$2:$I$1000, 4, 0))), 0)</f>
        <v>2</v>
      </c>
      <c r="U1783" s="22">
        <f t="shared" si="108"/>
        <v>434</v>
      </c>
      <c r="V1783">
        <f t="shared" si="109"/>
        <v>434</v>
      </c>
      <c r="W1783" s="22">
        <f t="shared" si="110"/>
        <v>0</v>
      </c>
    </row>
    <row r="1784" spans="1:23" hidden="1" x14ac:dyDescent="0.25">
      <c r="A1784" s="3">
        <v>45995</v>
      </c>
      <c r="B1784" s="4" t="s">
        <v>298</v>
      </c>
      <c r="C1784" s="4" t="s">
        <v>1180</v>
      </c>
      <c r="D1784" s="4"/>
      <c r="E1784" s="4" t="s">
        <v>856</v>
      </c>
      <c r="F1784" s="4"/>
      <c r="G1784" s="4" t="s">
        <v>333</v>
      </c>
      <c r="H1784" s="4" t="s">
        <v>1329</v>
      </c>
      <c r="I1784" s="4">
        <v>2</v>
      </c>
      <c r="J1784" s="35">
        <v>237</v>
      </c>
      <c r="K1784" s="35">
        <v>0</v>
      </c>
      <c r="L1784" s="5">
        <v>474</v>
      </c>
      <c r="M1784" s="4"/>
      <c r="N1784" s="4"/>
      <c r="O1784" s="5"/>
      <c r="P1784" s="5"/>
      <c r="Q1784" s="35">
        <v>0</v>
      </c>
      <c r="R1784" s="35">
        <v>0</v>
      </c>
      <c r="S1784" s="5">
        <f t="shared" si="111"/>
        <v>46014.658760151993</v>
      </c>
      <c r="T1784" cm="1">
        <f t="array" ref="T1784">IF(OR(B1784="MAL ALIMI", B1784="ÜRETİM GİRİŞ"), MIN(I1784, MAX(0, I1784 + SUM(SUMIFS($I$1:I1783, $C$1:C1783, C1784, $B$1:B1783, {"MAL ALIMI","ÜRETİM GİRİŞ"})) - VLOOKUP(C1784, 'STOK RAPORU'!$C$2:$I$1000, 4, 0))), 0)</f>
        <v>1</v>
      </c>
      <c r="U1784" s="22">
        <f t="shared" si="108"/>
        <v>237</v>
      </c>
      <c r="V1784">
        <f t="shared" si="109"/>
        <v>474</v>
      </c>
      <c r="W1784" s="22">
        <f t="shared" si="110"/>
        <v>237</v>
      </c>
    </row>
    <row r="1785" spans="1:23" hidden="1" x14ac:dyDescent="0.25">
      <c r="A1785" s="3">
        <v>45995</v>
      </c>
      <c r="B1785" s="4" t="s">
        <v>298</v>
      </c>
      <c r="C1785" s="4" t="s">
        <v>1181</v>
      </c>
      <c r="D1785" s="4"/>
      <c r="E1785" s="4" t="s">
        <v>856</v>
      </c>
      <c r="F1785" s="4"/>
      <c r="G1785" s="4" t="s">
        <v>333</v>
      </c>
      <c r="H1785" s="4" t="s">
        <v>1329</v>
      </c>
      <c r="I1785" s="4">
        <v>2</v>
      </c>
      <c r="J1785" s="35">
        <v>210</v>
      </c>
      <c r="K1785" s="35">
        <v>0</v>
      </c>
      <c r="L1785" s="5">
        <v>420</v>
      </c>
      <c r="M1785" s="4"/>
      <c r="N1785" s="4"/>
      <c r="O1785" s="5"/>
      <c r="P1785" s="5"/>
      <c r="Q1785" s="35">
        <v>0</v>
      </c>
      <c r="R1785" s="35">
        <v>0</v>
      </c>
      <c r="S1785" s="5">
        <f t="shared" si="111"/>
        <v>46014.658760151993</v>
      </c>
      <c r="T1785" cm="1">
        <f t="array" ref="T1785">IF(OR(B1785="MAL ALIMI", B1785="ÜRETİM GİRİŞ"), MIN(I1785, MAX(0, I1785 + SUM(SUMIFS($I$1:I1784, $C$1:C1784, C1785, $B$1:B1784, {"MAL ALIMI","ÜRETİM GİRİŞ"})) - VLOOKUP(C1785, 'STOK RAPORU'!$C$2:$I$1000, 4, 0))), 0)</f>
        <v>0</v>
      </c>
      <c r="U1785" s="22">
        <f t="shared" si="108"/>
        <v>0</v>
      </c>
      <c r="V1785">
        <f t="shared" si="109"/>
        <v>420</v>
      </c>
      <c r="W1785" s="22">
        <f t="shared" si="110"/>
        <v>420</v>
      </c>
    </row>
    <row r="1786" spans="1:23" hidden="1" x14ac:dyDescent="0.25">
      <c r="A1786" s="3">
        <v>45995</v>
      </c>
      <c r="B1786" s="4" t="s">
        <v>298</v>
      </c>
      <c r="C1786" s="4" t="s">
        <v>1182</v>
      </c>
      <c r="D1786" s="4"/>
      <c r="E1786" s="4" t="s">
        <v>856</v>
      </c>
      <c r="F1786" s="4"/>
      <c r="G1786" s="4" t="s">
        <v>333</v>
      </c>
      <c r="H1786" s="4" t="s">
        <v>1329</v>
      </c>
      <c r="I1786" s="4">
        <v>3</v>
      </c>
      <c r="J1786" s="35">
        <v>108</v>
      </c>
      <c r="K1786" s="35">
        <v>0</v>
      </c>
      <c r="L1786" s="5">
        <v>324</v>
      </c>
      <c r="M1786" s="4"/>
      <c r="N1786" s="4"/>
      <c r="O1786" s="5"/>
      <c r="P1786" s="5"/>
      <c r="Q1786" s="35">
        <v>0</v>
      </c>
      <c r="R1786" s="35">
        <v>0</v>
      </c>
      <c r="S1786" s="5">
        <f t="shared" si="111"/>
        <v>46014.658760151993</v>
      </c>
      <c r="T1786" cm="1">
        <f t="array" ref="T1786">IF(OR(B1786="MAL ALIMI", B1786="ÜRETİM GİRİŞ"), MIN(I1786, MAX(0, I1786 + SUM(SUMIFS($I$1:I1785, $C$1:C1785, C1786, $B$1:B1785, {"MAL ALIMI","ÜRETİM GİRİŞ"})) - VLOOKUP(C1786, 'STOK RAPORU'!$C$2:$I$1000, 4, 0))), 0)</f>
        <v>3</v>
      </c>
      <c r="U1786" s="22">
        <f t="shared" si="108"/>
        <v>324</v>
      </c>
      <c r="V1786">
        <f t="shared" si="109"/>
        <v>324</v>
      </c>
      <c r="W1786" s="22">
        <f t="shared" si="110"/>
        <v>0</v>
      </c>
    </row>
    <row r="1787" spans="1:23" hidden="1" x14ac:dyDescent="0.25">
      <c r="A1787" s="3">
        <v>45995</v>
      </c>
      <c r="B1787" s="4" t="s">
        <v>298</v>
      </c>
      <c r="C1787" s="4" t="s">
        <v>60</v>
      </c>
      <c r="D1787" s="4"/>
      <c r="E1787" s="4" t="s">
        <v>856</v>
      </c>
      <c r="F1787" s="4"/>
      <c r="G1787" s="4" t="s">
        <v>333</v>
      </c>
      <c r="H1787" s="4" t="s">
        <v>1329</v>
      </c>
      <c r="I1787" s="4">
        <v>1</v>
      </c>
      <c r="J1787" s="35">
        <v>445</v>
      </c>
      <c r="K1787" s="35">
        <v>0</v>
      </c>
      <c r="L1787" s="5">
        <v>445</v>
      </c>
      <c r="M1787" s="4"/>
      <c r="N1787" s="4"/>
      <c r="O1787" s="5"/>
      <c r="P1787" s="5"/>
      <c r="Q1787" s="35">
        <v>0</v>
      </c>
      <c r="R1787" s="35">
        <v>0</v>
      </c>
      <c r="S1787" s="5">
        <f t="shared" si="111"/>
        <v>46014.658760151993</v>
      </c>
      <c r="T1787" cm="1">
        <f t="array" ref="T1787">IF(OR(B1787="MAL ALIMI", B1787="ÜRETİM GİRİŞ"), MIN(I1787, MAX(0, I1787 + SUM(SUMIFS($I$1:I1786, $C$1:C1786, C1787, $B$1:B1786, {"MAL ALIMI","ÜRETİM GİRİŞ"})) - VLOOKUP(C1787, 'STOK RAPORU'!$C$2:$I$1000, 4, 0))), 0)</f>
        <v>0</v>
      </c>
      <c r="U1787" s="22">
        <f t="shared" si="108"/>
        <v>0</v>
      </c>
      <c r="V1787">
        <f t="shared" si="109"/>
        <v>445</v>
      </c>
      <c r="W1787" s="22">
        <f t="shared" si="110"/>
        <v>445</v>
      </c>
    </row>
    <row r="1788" spans="1:23" hidden="1" x14ac:dyDescent="0.25">
      <c r="A1788" s="3">
        <v>45995</v>
      </c>
      <c r="B1788" s="4" t="s">
        <v>298</v>
      </c>
      <c r="C1788" s="4" t="s">
        <v>1183</v>
      </c>
      <c r="D1788" s="4"/>
      <c r="E1788" s="4" t="s">
        <v>856</v>
      </c>
      <c r="F1788" s="4"/>
      <c r="G1788" s="4" t="s">
        <v>333</v>
      </c>
      <c r="H1788" s="4" t="s">
        <v>1329</v>
      </c>
      <c r="I1788" s="4">
        <v>1</v>
      </c>
      <c r="J1788" s="35">
        <v>125</v>
      </c>
      <c r="K1788" s="35">
        <v>0</v>
      </c>
      <c r="L1788" s="5">
        <v>125</v>
      </c>
      <c r="M1788" s="4"/>
      <c r="N1788" s="4"/>
      <c r="O1788" s="5"/>
      <c r="P1788" s="5"/>
      <c r="Q1788" s="35">
        <v>0</v>
      </c>
      <c r="R1788" s="35">
        <v>0</v>
      </c>
      <c r="S1788" s="5">
        <f t="shared" si="111"/>
        <v>46014.658760151993</v>
      </c>
      <c r="T1788" cm="1">
        <f t="array" ref="T1788">IF(OR(B1788="MAL ALIMI", B1788="ÜRETİM GİRİŞ"), MIN(I1788, MAX(0, I1788 + SUM(SUMIFS($I$1:I1787, $C$1:C1787, C1788, $B$1:B1787, {"MAL ALIMI","ÜRETİM GİRİŞ"})) - VLOOKUP(C1788, 'STOK RAPORU'!$C$2:$I$1000, 4, 0))), 0)</f>
        <v>0.4</v>
      </c>
      <c r="U1788" s="22">
        <f t="shared" si="108"/>
        <v>50</v>
      </c>
      <c r="V1788">
        <f t="shared" si="109"/>
        <v>125</v>
      </c>
      <c r="W1788" s="22">
        <f t="shared" si="110"/>
        <v>75</v>
      </c>
    </row>
    <row r="1789" spans="1:23" hidden="1" x14ac:dyDescent="0.25">
      <c r="A1789" s="3">
        <v>45995</v>
      </c>
      <c r="B1789" s="4" t="s">
        <v>298</v>
      </c>
      <c r="C1789" s="4" t="s">
        <v>1184</v>
      </c>
      <c r="D1789" s="4"/>
      <c r="E1789" s="4" t="s">
        <v>856</v>
      </c>
      <c r="F1789" s="4"/>
      <c r="G1789" s="4" t="s">
        <v>333</v>
      </c>
      <c r="H1789" s="4" t="s">
        <v>1329</v>
      </c>
      <c r="I1789" s="4">
        <v>1</v>
      </c>
      <c r="J1789" s="35">
        <v>190</v>
      </c>
      <c r="K1789" s="35">
        <v>0</v>
      </c>
      <c r="L1789" s="5">
        <v>190</v>
      </c>
      <c r="M1789" s="4"/>
      <c r="N1789" s="4"/>
      <c r="O1789" s="5"/>
      <c r="P1789" s="5"/>
      <c r="Q1789" s="35">
        <v>0</v>
      </c>
      <c r="R1789" s="35">
        <v>0</v>
      </c>
      <c r="S1789" s="5">
        <f t="shared" si="111"/>
        <v>46014.658760151993</v>
      </c>
      <c r="T1789" cm="1">
        <f t="array" ref="T1789">IF(OR(B1789="MAL ALIMI", B1789="ÜRETİM GİRİŞ"), MIN(I1789, MAX(0, I1789 + SUM(SUMIFS($I$1:I1788, $C$1:C1788, C1789, $B$1:B1788, {"MAL ALIMI","ÜRETİM GİRİŞ"})) - VLOOKUP(C1789, 'STOK RAPORU'!$C$2:$I$1000, 4, 0))), 0)</f>
        <v>0.56599999999999995</v>
      </c>
      <c r="U1789" s="22">
        <f t="shared" si="108"/>
        <v>107.53999999999999</v>
      </c>
      <c r="V1789">
        <f t="shared" si="109"/>
        <v>190</v>
      </c>
      <c r="W1789" s="22">
        <f t="shared" si="110"/>
        <v>82.460000000000008</v>
      </c>
    </row>
    <row r="1790" spans="1:23" hidden="1" x14ac:dyDescent="0.25">
      <c r="A1790" s="3">
        <v>45995</v>
      </c>
      <c r="B1790" s="4" t="s">
        <v>285</v>
      </c>
      <c r="C1790" s="4"/>
      <c r="D1790" s="4" t="s">
        <v>107</v>
      </c>
      <c r="E1790" s="4"/>
      <c r="F1790" s="4"/>
      <c r="G1790" s="4" t="s">
        <v>1248</v>
      </c>
      <c r="H1790" s="4" t="s">
        <v>289</v>
      </c>
      <c r="I1790" s="4">
        <v>1</v>
      </c>
      <c r="J1790" s="21">
        <v>2000</v>
      </c>
      <c r="K1790" s="21">
        <v>0</v>
      </c>
      <c r="L1790" s="5">
        <v>0</v>
      </c>
      <c r="M1790" s="4"/>
      <c r="N1790" s="4"/>
      <c r="O1790" s="5"/>
      <c r="P1790" s="5"/>
      <c r="Q1790" s="21">
        <v>0</v>
      </c>
      <c r="R1790" s="21">
        <v>2000</v>
      </c>
      <c r="S1790" s="5">
        <f t="shared" si="111"/>
        <v>44014.658760151993</v>
      </c>
      <c r="T1790" cm="1">
        <f t="array" ref="T1790">IF(OR(B1790="MAL ALIMI", B1790="ÜRETİM GİRİŞ"), MIN(I1790, MAX(0, I1790 + SUM(SUMIFS($I$1:I1789, $C$1:C1789, C1790, $B$1:B1789, {"MAL ALIMI","ÜRETİM GİRİŞ"})) - VLOOKUP(C1790, 'STOK RAPORU'!$C$2:$I$1000, 4, 0))), 0)</f>
        <v>0</v>
      </c>
      <c r="U1790" s="22">
        <f t="shared" si="108"/>
        <v>0</v>
      </c>
      <c r="V1790">
        <f t="shared" si="109"/>
        <v>0</v>
      </c>
      <c r="W1790" s="22">
        <f t="shared" si="110"/>
        <v>0</v>
      </c>
    </row>
    <row r="1791" spans="1:23" hidden="1" x14ac:dyDescent="0.25">
      <c r="A1791" s="3">
        <v>45996</v>
      </c>
      <c r="B1791" s="4" t="s">
        <v>334</v>
      </c>
      <c r="C1791" s="4" t="s">
        <v>241</v>
      </c>
      <c r="D1791" s="4"/>
      <c r="E1791" s="4" t="s">
        <v>921</v>
      </c>
      <c r="F1791" s="4" t="s">
        <v>1103</v>
      </c>
      <c r="G1791" s="4" t="s">
        <v>336</v>
      </c>
      <c r="H1791" s="4" t="s">
        <v>380</v>
      </c>
      <c r="I1791" s="4">
        <v>0.27777777777777779</v>
      </c>
      <c r="J1791" s="21">
        <v>360</v>
      </c>
      <c r="K1791" s="21">
        <v>100</v>
      </c>
      <c r="L1791" s="5">
        <v>0</v>
      </c>
      <c r="M1791" s="4"/>
      <c r="N1791" s="4"/>
      <c r="O1791" s="5"/>
      <c r="P1791" s="5"/>
      <c r="Q1791" s="21">
        <v>0</v>
      </c>
      <c r="R1791" s="21">
        <v>0</v>
      </c>
      <c r="S1791" s="5">
        <f t="shared" si="111"/>
        <v>44014.658760151993</v>
      </c>
      <c r="T1791" cm="1">
        <f t="array" ref="T1791">IF(OR(B1791="MAL ALIMI", B1791="ÜRETİM GİRİŞ"), MIN(I1791, MAX(0, I1791 + SUM(SUMIFS($I$1:I1790, $C$1:C1790, C1791, $B$1:B1790, {"MAL ALIMI","ÜRETİM GİRİŞ"})) - VLOOKUP(C1791, 'STOK RAPORU'!$C$2:$I$1000, 4, 0))), 0)</f>
        <v>0</v>
      </c>
      <c r="U1791" s="22">
        <f t="shared" si="108"/>
        <v>0</v>
      </c>
      <c r="V1791">
        <f t="shared" si="109"/>
        <v>0</v>
      </c>
      <c r="W1791" s="22">
        <f t="shared" si="110"/>
        <v>0</v>
      </c>
    </row>
    <row r="1792" spans="1:23" hidden="1" x14ac:dyDescent="0.25">
      <c r="A1792" s="3">
        <v>45996</v>
      </c>
      <c r="B1792" s="4" t="s">
        <v>334</v>
      </c>
      <c r="C1792" s="4" t="s">
        <v>648</v>
      </c>
      <c r="D1792" s="4"/>
      <c r="E1792" s="4" t="s">
        <v>921</v>
      </c>
      <c r="F1792" s="4" t="s">
        <v>1103</v>
      </c>
      <c r="G1792" s="4" t="s">
        <v>336</v>
      </c>
      <c r="H1792" s="4" t="s">
        <v>380</v>
      </c>
      <c r="I1792" s="4">
        <v>0.15384615384615385</v>
      </c>
      <c r="J1792" s="21">
        <v>650</v>
      </c>
      <c r="K1792" s="21">
        <v>100</v>
      </c>
      <c r="L1792" s="5">
        <v>0</v>
      </c>
      <c r="M1792" s="4"/>
      <c r="N1792" s="4"/>
      <c r="O1792" s="5"/>
      <c r="P1792" s="5"/>
      <c r="Q1792" s="21">
        <v>0</v>
      </c>
      <c r="R1792" s="21">
        <v>0</v>
      </c>
      <c r="S1792" s="5">
        <f t="shared" si="111"/>
        <v>44014.658760151993</v>
      </c>
      <c r="T1792" cm="1">
        <f t="array" ref="T1792">IF(OR(B1792="MAL ALIMI", B1792="ÜRETİM GİRİŞ"), MIN(I1792, MAX(0, I1792 + SUM(SUMIFS($I$1:I1791, $C$1:C1791, C1792, $B$1:B1791, {"MAL ALIMI","ÜRETİM GİRİŞ"})) - VLOOKUP(C1792, 'STOK RAPORU'!$C$2:$I$1000, 4, 0))), 0)</f>
        <v>0</v>
      </c>
      <c r="U1792" s="22">
        <f t="shared" si="108"/>
        <v>0</v>
      </c>
      <c r="V1792">
        <f t="shared" si="109"/>
        <v>0</v>
      </c>
      <c r="W1792" s="22">
        <f t="shared" si="110"/>
        <v>0</v>
      </c>
    </row>
    <row r="1793" spans="1:23" hidden="1" x14ac:dyDescent="0.25">
      <c r="A1793" s="3">
        <v>45996</v>
      </c>
      <c r="B1793" s="4" t="s">
        <v>334</v>
      </c>
      <c r="C1793" s="4" t="s">
        <v>227</v>
      </c>
      <c r="D1793" s="4"/>
      <c r="E1793" s="4" t="s">
        <v>921</v>
      </c>
      <c r="F1793" s="4" t="s">
        <v>1103</v>
      </c>
      <c r="G1793" s="4" t="s">
        <v>336</v>
      </c>
      <c r="H1793" s="4" t="s">
        <v>380</v>
      </c>
      <c r="I1793" s="4">
        <v>0.125</v>
      </c>
      <c r="J1793" s="21">
        <v>400</v>
      </c>
      <c r="K1793" s="21">
        <v>50</v>
      </c>
      <c r="L1793" s="5">
        <v>0</v>
      </c>
      <c r="M1793" s="4"/>
      <c r="N1793" s="4"/>
      <c r="O1793" s="5"/>
      <c r="P1793" s="5"/>
      <c r="Q1793" s="21">
        <v>0</v>
      </c>
      <c r="R1793" s="21">
        <v>0</v>
      </c>
      <c r="S1793" s="5">
        <f t="shared" si="111"/>
        <v>44014.658760151993</v>
      </c>
      <c r="T1793" cm="1">
        <f t="array" ref="T1793">IF(OR(B1793="MAL ALIMI", B1793="ÜRETİM GİRİŞ"), MIN(I1793, MAX(0, I1793 + SUM(SUMIFS($I$1:I1792, $C$1:C1792, C1793, $B$1:B1792, {"MAL ALIMI","ÜRETİM GİRİŞ"})) - VLOOKUP(C1793, 'STOK RAPORU'!$C$2:$I$1000, 4, 0))), 0)</f>
        <v>0</v>
      </c>
      <c r="U1793" s="22">
        <f t="shared" si="108"/>
        <v>0</v>
      </c>
      <c r="V1793">
        <f t="shared" si="109"/>
        <v>0</v>
      </c>
      <c r="W1793" s="22">
        <f t="shared" si="110"/>
        <v>0</v>
      </c>
    </row>
    <row r="1794" spans="1:23" hidden="1" x14ac:dyDescent="0.25">
      <c r="A1794" s="3">
        <v>45996</v>
      </c>
      <c r="B1794" s="4" t="s">
        <v>334</v>
      </c>
      <c r="C1794" s="4" t="s">
        <v>619</v>
      </c>
      <c r="D1794" s="4"/>
      <c r="E1794" s="4"/>
      <c r="F1794" s="4" t="s">
        <v>1104</v>
      </c>
      <c r="G1794" s="4" t="s">
        <v>336</v>
      </c>
      <c r="H1794" s="4" t="s">
        <v>289</v>
      </c>
      <c r="I1794" s="4">
        <v>0.4</v>
      </c>
      <c r="J1794" s="21">
        <v>150</v>
      </c>
      <c r="K1794" s="21">
        <v>0</v>
      </c>
      <c r="L1794" s="5">
        <v>0</v>
      </c>
      <c r="M1794" s="4"/>
      <c r="N1794" s="4"/>
      <c r="O1794" s="5"/>
      <c r="P1794" s="5"/>
      <c r="Q1794" s="21">
        <v>60</v>
      </c>
      <c r="R1794" s="21">
        <v>0</v>
      </c>
      <c r="S1794" s="5">
        <f t="shared" si="111"/>
        <v>44074.658760151993</v>
      </c>
      <c r="T1794" cm="1">
        <f t="array" ref="T1794">IF(OR(B1794="MAL ALIMI", B1794="ÜRETİM GİRİŞ"), MIN(I1794, MAX(0, I1794 + SUM(SUMIFS($I$1:I1793, $C$1:C1793, C1794, $B$1:B1793, {"MAL ALIMI","ÜRETİM GİRİŞ"})) - VLOOKUP(C1794, 'STOK RAPORU'!$C$2:$I$1000, 4, 0))), 0)</f>
        <v>0</v>
      </c>
      <c r="U1794" s="22">
        <f t="shared" si="108"/>
        <v>0</v>
      </c>
      <c r="V1794">
        <f t="shared" si="109"/>
        <v>0</v>
      </c>
      <c r="W1794" s="22">
        <f t="shared" si="110"/>
        <v>0</v>
      </c>
    </row>
    <row r="1795" spans="1:23" hidden="1" x14ac:dyDescent="0.25">
      <c r="A1795" s="3">
        <v>45996</v>
      </c>
      <c r="B1795" s="4" t="s">
        <v>334</v>
      </c>
      <c r="C1795" s="4" t="s">
        <v>597</v>
      </c>
      <c r="D1795" s="4"/>
      <c r="E1795" s="4" t="s">
        <v>921</v>
      </c>
      <c r="F1795" s="4" t="s">
        <v>1105</v>
      </c>
      <c r="G1795" s="4" t="s">
        <v>336</v>
      </c>
      <c r="H1795" s="4" t="s">
        <v>380</v>
      </c>
      <c r="I1795" s="4">
        <v>1</v>
      </c>
      <c r="J1795" s="21">
        <v>290</v>
      </c>
      <c r="K1795" s="21">
        <v>290</v>
      </c>
      <c r="L1795" s="5">
        <v>0</v>
      </c>
      <c r="M1795" s="4"/>
      <c r="N1795" s="4"/>
      <c r="O1795" s="5"/>
      <c r="P1795" s="5"/>
      <c r="Q1795" s="21">
        <v>0</v>
      </c>
      <c r="R1795" s="21">
        <v>0</v>
      </c>
      <c r="S1795" s="5">
        <f t="shared" si="111"/>
        <v>44074.658760151993</v>
      </c>
      <c r="T1795" cm="1">
        <f t="array" ref="T1795">IF(OR(B1795="MAL ALIMI", B1795="ÜRETİM GİRİŞ"), MIN(I1795, MAX(0, I1795 + SUM(SUMIFS($I$1:I1794, $C$1:C1794, C1795, $B$1:B1794, {"MAL ALIMI","ÜRETİM GİRİŞ"})) - VLOOKUP(C1795, 'STOK RAPORU'!$C$2:$I$1000, 4, 0))), 0)</f>
        <v>0</v>
      </c>
      <c r="U1795" s="22">
        <f t="shared" ref="U1795:U1858" si="112">T1795*J1795</f>
        <v>0</v>
      </c>
      <c r="V1795">
        <f t="shared" ref="V1795:V1858" si="113">IF(OR(B1795="MAL ALIMI", B1795="ÜRETİM GİRİŞ"), I1795 * J1795, 0)</f>
        <v>0</v>
      </c>
      <c r="W1795" s="22">
        <f t="shared" ref="W1795:W1858" si="114">V1795-U1795</f>
        <v>0</v>
      </c>
    </row>
    <row r="1796" spans="1:23" hidden="1" x14ac:dyDescent="0.25">
      <c r="A1796" s="3">
        <v>45996</v>
      </c>
      <c r="B1796" s="4" t="s">
        <v>334</v>
      </c>
      <c r="C1796" s="4" t="s">
        <v>265</v>
      </c>
      <c r="D1796" s="4"/>
      <c r="E1796" s="4" t="s">
        <v>921</v>
      </c>
      <c r="F1796" s="4" t="s">
        <v>1105</v>
      </c>
      <c r="G1796" s="4" t="s">
        <v>336</v>
      </c>
      <c r="H1796" s="4" t="s">
        <v>380</v>
      </c>
      <c r="I1796" s="4">
        <v>1</v>
      </c>
      <c r="J1796" s="21">
        <v>140</v>
      </c>
      <c r="K1796" s="21">
        <v>140</v>
      </c>
      <c r="L1796" s="5">
        <v>0</v>
      </c>
      <c r="M1796" s="4"/>
      <c r="N1796" s="4"/>
      <c r="O1796" s="5"/>
      <c r="P1796" s="5"/>
      <c r="Q1796" s="21">
        <v>0</v>
      </c>
      <c r="R1796" s="21">
        <v>0</v>
      </c>
      <c r="S1796" s="5">
        <f t="shared" ref="S1796:S1859" si="115">S1795+Q1796-R1796</f>
        <v>44074.658760151993</v>
      </c>
      <c r="T1796" cm="1">
        <f t="array" ref="T1796">IF(OR(B1796="MAL ALIMI", B1796="ÜRETİM GİRİŞ"), MIN(I1796, MAX(0, I1796 + SUM(SUMIFS($I$1:I1795, $C$1:C1795, C1796, $B$1:B1795, {"MAL ALIMI","ÜRETİM GİRİŞ"})) - VLOOKUP(C1796, 'STOK RAPORU'!$C$2:$I$1000, 4, 0))), 0)</f>
        <v>0</v>
      </c>
      <c r="U1796" s="22">
        <f t="shared" si="112"/>
        <v>0</v>
      </c>
      <c r="V1796">
        <f t="shared" si="113"/>
        <v>0</v>
      </c>
      <c r="W1796" s="22">
        <f t="shared" si="114"/>
        <v>0</v>
      </c>
    </row>
    <row r="1797" spans="1:23" hidden="1" x14ac:dyDescent="0.25">
      <c r="A1797" s="3">
        <v>45996</v>
      </c>
      <c r="B1797" s="4" t="s">
        <v>334</v>
      </c>
      <c r="C1797" s="4" t="s">
        <v>245</v>
      </c>
      <c r="D1797" s="4"/>
      <c r="E1797" s="4"/>
      <c r="F1797" s="4" t="s">
        <v>1106</v>
      </c>
      <c r="G1797" s="4" t="s">
        <v>336</v>
      </c>
      <c r="H1797" s="4" t="s">
        <v>289</v>
      </c>
      <c r="I1797" s="4">
        <v>0.23</v>
      </c>
      <c r="J1797" s="21">
        <v>650</v>
      </c>
      <c r="K1797" s="21">
        <v>0</v>
      </c>
      <c r="L1797" s="5">
        <v>0</v>
      </c>
      <c r="M1797" s="4"/>
      <c r="N1797" s="4"/>
      <c r="O1797" s="5"/>
      <c r="P1797" s="5"/>
      <c r="Q1797" s="21">
        <v>149.5</v>
      </c>
      <c r="R1797" s="21">
        <v>0</v>
      </c>
      <c r="S1797" s="5">
        <f t="shared" si="115"/>
        <v>44224.158760151993</v>
      </c>
      <c r="T1797" cm="1">
        <f t="array" ref="T1797">IF(OR(B1797="MAL ALIMI", B1797="ÜRETİM GİRİŞ"), MIN(I1797, MAX(0, I1797 + SUM(SUMIFS($I$1:I1796, $C$1:C1796, C1797, $B$1:B1796, {"MAL ALIMI","ÜRETİM GİRİŞ"})) - VLOOKUP(C1797, 'STOK RAPORU'!$C$2:$I$1000, 4, 0))), 0)</f>
        <v>0</v>
      </c>
      <c r="U1797" s="22">
        <f t="shared" si="112"/>
        <v>0</v>
      </c>
      <c r="V1797">
        <f t="shared" si="113"/>
        <v>0</v>
      </c>
      <c r="W1797" s="22">
        <f t="shared" si="114"/>
        <v>0</v>
      </c>
    </row>
    <row r="1798" spans="1:23" hidden="1" x14ac:dyDescent="0.25">
      <c r="A1798" s="3">
        <v>45996</v>
      </c>
      <c r="B1798" s="4" t="s">
        <v>334</v>
      </c>
      <c r="C1798" s="4" t="s">
        <v>253</v>
      </c>
      <c r="D1798" s="4"/>
      <c r="E1798" s="4"/>
      <c r="F1798" s="4" t="s">
        <v>1106</v>
      </c>
      <c r="G1798" s="4" t="s">
        <v>336</v>
      </c>
      <c r="H1798" s="4" t="s">
        <v>289</v>
      </c>
      <c r="I1798" s="4">
        <v>0.2</v>
      </c>
      <c r="J1798" s="21">
        <v>240</v>
      </c>
      <c r="K1798" s="21">
        <v>0</v>
      </c>
      <c r="L1798" s="5">
        <v>0</v>
      </c>
      <c r="M1798" s="4"/>
      <c r="N1798" s="4"/>
      <c r="O1798" s="5"/>
      <c r="P1798" s="5"/>
      <c r="Q1798" s="21">
        <v>48</v>
      </c>
      <c r="R1798" s="21">
        <v>0</v>
      </c>
      <c r="S1798" s="5">
        <f t="shared" si="115"/>
        <v>44272.158760151993</v>
      </c>
      <c r="T1798" cm="1">
        <f t="array" ref="T1798">IF(OR(B1798="MAL ALIMI", B1798="ÜRETİM GİRİŞ"), MIN(I1798, MAX(0, I1798 + SUM(SUMIFS($I$1:I1797, $C$1:C1797, C1798, $B$1:B1797, {"MAL ALIMI","ÜRETİM GİRİŞ"})) - VLOOKUP(C1798, 'STOK RAPORU'!$C$2:$I$1000, 4, 0))), 0)</f>
        <v>0</v>
      </c>
      <c r="U1798" s="22">
        <f t="shared" si="112"/>
        <v>0</v>
      </c>
      <c r="V1798">
        <f t="shared" si="113"/>
        <v>0</v>
      </c>
      <c r="W1798" s="22">
        <f t="shared" si="114"/>
        <v>0</v>
      </c>
    </row>
    <row r="1799" spans="1:23" hidden="1" x14ac:dyDescent="0.25">
      <c r="A1799" s="3">
        <v>45996</v>
      </c>
      <c r="B1799" s="4" t="s">
        <v>334</v>
      </c>
      <c r="C1799" s="4" t="s">
        <v>601</v>
      </c>
      <c r="D1799" s="4"/>
      <c r="E1799" s="4"/>
      <c r="F1799" s="4" t="s">
        <v>1106</v>
      </c>
      <c r="G1799" s="4" t="s">
        <v>336</v>
      </c>
      <c r="H1799" s="4" t="s">
        <v>289</v>
      </c>
      <c r="I1799" s="4">
        <v>0.28000000000000003</v>
      </c>
      <c r="J1799" s="21">
        <v>520</v>
      </c>
      <c r="K1799" s="21">
        <v>0</v>
      </c>
      <c r="L1799" s="5">
        <v>0</v>
      </c>
      <c r="M1799" s="4"/>
      <c r="N1799" s="4"/>
      <c r="O1799" s="5"/>
      <c r="P1799" s="5"/>
      <c r="Q1799" s="21">
        <v>145.60000000000002</v>
      </c>
      <c r="R1799" s="21">
        <v>0</v>
      </c>
      <c r="S1799" s="5">
        <f t="shared" si="115"/>
        <v>44417.758760151992</v>
      </c>
      <c r="T1799" cm="1">
        <f t="array" ref="T1799">IF(OR(B1799="MAL ALIMI", B1799="ÜRETİM GİRİŞ"), MIN(I1799, MAX(0, I1799 + SUM(SUMIFS($I$1:I1798, $C$1:C1798, C1799, $B$1:B1798, {"MAL ALIMI","ÜRETİM GİRİŞ"})) - VLOOKUP(C1799, 'STOK RAPORU'!$C$2:$I$1000, 4, 0))), 0)</f>
        <v>0</v>
      </c>
      <c r="U1799" s="22">
        <f t="shared" si="112"/>
        <v>0</v>
      </c>
      <c r="V1799">
        <f t="shared" si="113"/>
        <v>0</v>
      </c>
      <c r="W1799" s="22">
        <f t="shared" si="114"/>
        <v>0</v>
      </c>
    </row>
    <row r="1800" spans="1:23" hidden="1" x14ac:dyDescent="0.25">
      <c r="A1800" s="3">
        <v>45996</v>
      </c>
      <c r="B1800" s="4" t="s">
        <v>334</v>
      </c>
      <c r="C1800" s="4" t="s">
        <v>634</v>
      </c>
      <c r="D1800" s="4"/>
      <c r="E1800" s="4"/>
      <c r="F1800" s="4" t="s">
        <v>1106</v>
      </c>
      <c r="G1800" s="4" t="s">
        <v>336</v>
      </c>
      <c r="H1800" s="4" t="s">
        <v>289</v>
      </c>
      <c r="I1800" s="4">
        <v>0.47199999999999998</v>
      </c>
      <c r="J1800" s="21">
        <v>850</v>
      </c>
      <c r="K1800" s="21">
        <v>0</v>
      </c>
      <c r="L1800" s="5">
        <v>0</v>
      </c>
      <c r="M1800" s="4"/>
      <c r="N1800" s="4"/>
      <c r="O1800" s="5"/>
      <c r="P1800" s="5"/>
      <c r="Q1800" s="21">
        <v>401.2</v>
      </c>
      <c r="R1800" s="21">
        <v>0</v>
      </c>
      <c r="S1800" s="5">
        <f t="shared" si="115"/>
        <v>44818.958760151989</v>
      </c>
      <c r="T1800" cm="1">
        <f t="array" ref="T1800">IF(OR(B1800="MAL ALIMI", B1800="ÜRETİM GİRİŞ"), MIN(I1800, MAX(0, I1800 + SUM(SUMIFS($I$1:I1799, $C$1:C1799, C1800, $B$1:B1799, {"MAL ALIMI","ÜRETİM GİRİŞ"})) - VLOOKUP(C1800, 'STOK RAPORU'!$C$2:$I$1000, 4, 0))), 0)</f>
        <v>0</v>
      </c>
      <c r="U1800" s="22">
        <f t="shared" si="112"/>
        <v>0</v>
      </c>
      <c r="V1800">
        <f t="shared" si="113"/>
        <v>0</v>
      </c>
      <c r="W1800" s="22">
        <f t="shared" si="114"/>
        <v>0</v>
      </c>
    </row>
    <row r="1801" spans="1:23" hidden="1" x14ac:dyDescent="0.25">
      <c r="A1801" s="3">
        <v>45996</v>
      </c>
      <c r="B1801" s="4" t="s">
        <v>334</v>
      </c>
      <c r="C1801" s="4" t="s">
        <v>223</v>
      </c>
      <c r="D1801" s="4"/>
      <c r="E1801" s="4"/>
      <c r="F1801" s="4" t="s">
        <v>1106</v>
      </c>
      <c r="G1801" s="4" t="s">
        <v>336</v>
      </c>
      <c r="H1801" s="4" t="s">
        <v>289</v>
      </c>
      <c r="I1801" s="4">
        <v>0.69299999999999995</v>
      </c>
      <c r="J1801" s="21">
        <v>700</v>
      </c>
      <c r="K1801" s="21">
        <v>0</v>
      </c>
      <c r="L1801" s="5">
        <v>0</v>
      </c>
      <c r="M1801" s="4"/>
      <c r="N1801" s="4"/>
      <c r="O1801" s="5"/>
      <c r="P1801" s="5"/>
      <c r="Q1801" s="21">
        <v>485.09999999999997</v>
      </c>
      <c r="R1801" s="21">
        <v>0</v>
      </c>
      <c r="S1801" s="5">
        <f t="shared" si="115"/>
        <v>45304.058760151987</v>
      </c>
      <c r="T1801" cm="1">
        <f t="array" ref="T1801">IF(OR(B1801="MAL ALIMI", B1801="ÜRETİM GİRİŞ"), MIN(I1801, MAX(0, I1801 + SUM(SUMIFS($I$1:I1800, $C$1:C1800, C1801, $B$1:B1800, {"MAL ALIMI","ÜRETİM GİRİŞ"})) - VLOOKUP(C1801, 'STOK RAPORU'!$C$2:$I$1000, 4, 0))), 0)</f>
        <v>0</v>
      </c>
      <c r="U1801" s="22">
        <f t="shared" si="112"/>
        <v>0</v>
      </c>
      <c r="V1801">
        <f t="shared" si="113"/>
        <v>0</v>
      </c>
      <c r="W1801" s="22">
        <f t="shared" si="114"/>
        <v>0</v>
      </c>
    </row>
    <row r="1802" spans="1:23" hidden="1" x14ac:dyDescent="0.25">
      <c r="A1802" s="3">
        <v>45996</v>
      </c>
      <c r="B1802" s="4" t="s">
        <v>334</v>
      </c>
      <c r="C1802" s="4" t="s">
        <v>519</v>
      </c>
      <c r="D1802" s="4"/>
      <c r="E1802" s="4"/>
      <c r="F1802" s="4" t="s">
        <v>1107</v>
      </c>
      <c r="G1802" s="4" t="s">
        <v>336</v>
      </c>
      <c r="H1802" s="4" t="s">
        <v>289</v>
      </c>
      <c r="I1802" s="4">
        <v>1</v>
      </c>
      <c r="J1802" s="4">
        <v>165</v>
      </c>
      <c r="K1802" s="21">
        <v>0</v>
      </c>
      <c r="L1802" s="5">
        <v>0</v>
      </c>
      <c r="M1802" s="4"/>
      <c r="N1802" s="4"/>
      <c r="O1802" s="5"/>
      <c r="P1802" s="5"/>
      <c r="Q1802" s="21">
        <v>165</v>
      </c>
      <c r="R1802" s="21">
        <v>0</v>
      </c>
      <c r="S1802" s="5">
        <f t="shared" si="115"/>
        <v>45469.058760151987</v>
      </c>
      <c r="T1802" cm="1">
        <f t="array" ref="T1802">IF(OR(B1802="MAL ALIMI", B1802="ÜRETİM GİRİŞ"), MIN(I1802, MAX(0, I1802 + SUM(SUMIFS($I$1:I1801, $C$1:C1801, C1802, $B$1:B1801, {"MAL ALIMI","ÜRETİM GİRİŞ"})) - VLOOKUP(C1802, 'STOK RAPORU'!$C$2:$I$1000, 4, 0))), 0)</f>
        <v>0</v>
      </c>
      <c r="U1802" s="22">
        <f t="shared" si="112"/>
        <v>0</v>
      </c>
      <c r="V1802">
        <f t="shared" si="113"/>
        <v>0</v>
      </c>
      <c r="W1802" s="22">
        <f t="shared" si="114"/>
        <v>0</v>
      </c>
    </row>
    <row r="1803" spans="1:23" hidden="1" x14ac:dyDescent="0.25">
      <c r="A1803" s="3">
        <v>45996</v>
      </c>
      <c r="B1803" s="4" t="s">
        <v>334</v>
      </c>
      <c r="C1803" s="4" t="s">
        <v>748</v>
      </c>
      <c r="D1803" s="4"/>
      <c r="E1803" s="4"/>
      <c r="F1803" s="4" t="s">
        <v>1107</v>
      </c>
      <c r="G1803" s="4" t="s">
        <v>336</v>
      </c>
      <c r="H1803" s="4" t="s">
        <v>289</v>
      </c>
      <c r="I1803" s="4">
        <v>1</v>
      </c>
      <c r="J1803" s="4">
        <v>220</v>
      </c>
      <c r="K1803" s="21">
        <v>0</v>
      </c>
      <c r="L1803" s="5">
        <v>0</v>
      </c>
      <c r="M1803" s="4"/>
      <c r="N1803" s="4"/>
      <c r="O1803" s="5"/>
      <c r="P1803" s="5"/>
      <c r="Q1803" s="21">
        <v>220</v>
      </c>
      <c r="R1803" s="21">
        <v>0</v>
      </c>
      <c r="S1803" s="5">
        <f t="shared" si="115"/>
        <v>45689.058760151987</v>
      </c>
      <c r="T1803" cm="1">
        <f t="array" ref="T1803">IF(OR(B1803="MAL ALIMI", B1803="ÜRETİM GİRİŞ"), MIN(I1803, MAX(0, I1803 + SUM(SUMIFS($I$1:I1802, $C$1:C1802, C1803, $B$1:B1802, {"MAL ALIMI","ÜRETİM GİRİŞ"})) - VLOOKUP(C1803, 'STOK RAPORU'!$C$2:$I$1000, 4, 0))), 0)</f>
        <v>0</v>
      </c>
      <c r="U1803" s="22">
        <f t="shared" si="112"/>
        <v>0</v>
      </c>
      <c r="V1803">
        <f t="shared" si="113"/>
        <v>0</v>
      </c>
      <c r="W1803" s="22">
        <f t="shared" si="114"/>
        <v>0</v>
      </c>
    </row>
    <row r="1804" spans="1:23" hidden="1" x14ac:dyDescent="0.25">
      <c r="A1804" s="3">
        <v>45996</v>
      </c>
      <c r="B1804" s="4" t="s">
        <v>334</v>
      </c>
      <c r="C1804" s="4" t="s">
        <v>722</v>
      </c>
      <c r="D1804" s="4"/>
      <c r="E1804" s="4"/>
      <c r="F1804" s="4" t="s">
        <v>1107</v>
      </c>
      <c r="G1804" s="4" t="s">
        <v>336</v>
      </c>
      <c r="H1804" s="4" t="s">
        <v>289</v>
      </c>
      <c r="I1804" s="4">
        <v>1</v>
      </c>
      <c r="J1804" s="21">
        <v>265</v>
      </c>
      <c r="K1804" s="21">
        <v>0</v>
      </c>
      <c r="L1804" s="5">
        <v>0</v>
      </c>
      <c r="M1804" s="4"/>
      <c r="N1804" s="4"/>
      <c r="O1804" s="5"/>
      <c r="P1804" s="5"/>
      <c r="Q1804" s="21">
        <v>265</v>
      </c>
      <c r="R1804" s="21">
        <v>0</v>
      </c>
      <c r="S1804" s="5">
        <f t="shared" si="115"/>
        <v>45954.058760151987</v>
      </c>
      <c r="T1804" cm="1">
        <f t="array" ref="T1804">IF(OR(B1804="MAL ALIMI", B1804="ÜRETİM GİRİŞ"), MIN(I1804, MAX(0, I1804 + SUM(SUMIFS($I$1:I1803, $C$1:C1803, C1804, $B$1:B1803, {"MAL ALIMI","ÜRETİM GİRİŞ"})) - VLOOKUP(C1804, 'STOK RAPORU'!$C$2:$I$1000, 4, 0))), 0)</f>
        <v>0</v>
      </c>
      <c r="U1804" s="22">
        <f t="shared" si="112"/>
        <v>0</v>
      </c>
      <c r="V1804">
        <f t="shared" si="113"/>
        <v>0</v>
      </c>
      <c r="W1804" s="22">
        <f t="shared" si="114"/>
        <v>0</v>
      </c>
    </row>
    <row r="1805" spans="1:23" hidden="1" x14ac:dyDescent="0.25">
      <c r="A1805" s="3">
        <v>45996</v>
      </c>
      <c r="B1805" s="4" t="s">
        <v>334</v>
      </c>
      <c r="C1805" s="4" t="s">
        <v>462</v>
      </c>
      <c r="D1805" s="4"/>
      <c r="E1805" s="4"/>
      <c r="F1805" s="4" t="s">
        <v>1107</v>
      </c>
      <c r="G1805" s="4" t="s">
        <v>336</v>
      </c>
      <c r="H1805" s="4" t="s">
        <v>289</v>
      </c>
      <c r="I1805" s="4">
        <v>1</v>
      </c>
      <c r="J1805" s="4">
        <v>120</v>
      </c>
      <c r="K1805" s="21">
        <v>0</v>
      </c>
      <c r="L1805" s="5">
        <v>0</v>
      </c>
      <c r="M1805" s="4"/>
      <c r="N1805" s="4"/>
      <c r="O1805" s="5"/>
      <c r="P1805" s="5"/>
      <c r="Q1805" s="21">
        <v>120</v>
      </c>
      <c r="R1805" s="21">
        <v>0</v>
      </c>
      <c r="S1805" s="5">
        <f t="shared" si="115"/>
        <v>46074.058760151987</v>
      </c>
      <c r="T1805" cm="1">
        <f t="array" ref="T1805">IF(OR(B1805="MAL ALIMI", B1805="ÜRETİM GİRİŞ"), MIN(I1805, MAX(0, I1805 + SUM(SUMIFS($I$1:I1804, $C$1:C1804, C1805, $B$1:B1804, {"MAL ALIMI","ÜRETİM GİRİŞ"})) - VLOOKUP(C1805, 'STOK RAPORU'!$C$2:$I$1000, 4, 0))), 0)</f>
        <v>0</v>
      </c>
      <c r="U1805" s="22">
        <f t="shared" si="112"/>
        <v>0</v>
      </c>
      <c r="V1805">
        <f t="shared" si="113"/>
        <v>0</v>
      </c>
      <c r="W1805" s="22">
        <f t="shared" si="114"/>
        <v>0</v>
      </c>
    </row>
    <row r="1806" spans="1:23" hidden="1" x14ac:dyDescent="0.25">
      <c r="A1806" s="3">
        <v>45996</v>
      </c>
      <c r="B1806" s="4" t="s">
        <v>334</v>
      </c>
      <c r="C1806" s="4" t="s">
        <v>716</v>
      </c>
      <c r="D1806" s="4"/>
      <c r="E1806" s="4"/>
      <c r="F1806" s="4" t="s">
        <v>1107</v>
      </c>
      <c r="G1806" s="4" t="s">
        <v>336</v>
      </c>
      <c r="H1806" s="4" t="s">
        <v>289</v>
      </c>
      <c r="I1806" s="4">
        <v>1</v>
      </c>
      <c r="J1806" s="4">
        <v>280</v>
      </c>
      <c r="K1806" s="21">
        <v>0</v>
      </c>
      <c r="L1806" s="5">
        <v>0</v>
      </c>
      <c r="M1806" s="4"/>
      <c r="N1806" s="4"/>
      <c r="O1806" s="5"/>
      <c r="P1806" s="5"/>
      <c r="Q1806" s="21">
        <v>280</v>
      </c>
      <c r="R1806" s="21">
        <v>0</v>
      </c>
      <c r="S1806" s="5">
        <f t="shared" si="115"/>
        <v>46354.058760151987</v>
      </c>
      <c r="T1806" cm="1">
        <f t="array" ref="T1806">IF(OR(B1806="MAL ALIMI", B1806="ÜRETİM GİRİŞ"), MIN(I1806, MAX(0, I1806 + SUM(SUMIFS($I$1:I1805, $C$1:C1805, C1806, $B$1:B1805, {"MAL ALIMI","ÜRETİM GİRİŞ"})) - VLOOKUP(C1806, 'STOK RAPORU'!$C$2:$I$1000, 4, 0))), 0)</f>
        <v>0</v>
      </c>
      <c r="U1806" s="22">
        <f t="shared" si="112"/>
        <v>0</v>
      </c>
      <c r="V1806">
        <f t="shared" si="113"/>
        <v>0</v>
      </c>
      <c r="W1806" s="22">
        <f t="shared" si="114"/>
        <v>0</v>
      </c>
    </row>
    <row r="1807" spans="1:23" hidden="1" x14ac:dyDescent="0.25">
      <c r="A1807" s="3">
        <v>45996</v>
      </c>
      <c r="B1807" s="4" t="s">
        <v>334</v>
      </c>
      <c r="C1807" s="4" t="s">
        <v>523</v>
      </c>
      <c r="D1807" s="4"/>
      <c r="E1807" s="4"/>
      <c r="F1807" s="4" t="s">
        <v>1108</v>
      </c>
      <c r="G1807" s="4" t="s">
        <v>336</v>
      </c>
      <c r="H1807" s="4" t="s">
        <v>289</v>
      </c>
      <c r="I1807" s="4">
        <v>0.1</v>
      </c>
      <c r="J1807" s="21">
        <v>650</v>
      </c>
      <c r="K1807" s="21">
        <v>0</v>
      </c>
      <c r="L1807" s="5">
        <v>0</v>
      </c>
      <c r="M1807" s="4"/>
      <c r="N1807" s="4"/>
      <c r="O1807" s="5"/>
      <c r="P1807" s="5"/>
      <c r="Q1807" s="21">
        <v>65</v>
      </c>
      <c r="R1807" s="21">
        <v>0</v>
      </c>
      <c r="S1807" s="5">
        <f t="shared" si="115"/>
        <v>46419.058760151987</v>
      </c>
      <c r="T1807" cm="1">
        <f t="array" ref="T1807">IF(OR(B1807="MAL ALIMI", B1807="ÜRETİM GİRİŞ"), MIN(I1807, MAX(0, I1807 + SUM(SUMIFS($I$1:I1806, $C$1:C1806, C1807, $B$1:B1806, {"MAL ALIMI","ÜRETİM GİRİŞ"})) - VLOOKUP(C1807, 'STOK RAPORU'!$C$2:$I$1000, 4, 0))), 0)</f>
        <v>0</v>
      </c>
      <c r="U1807" s="22">
        <f t="shared" si="112"/>
        <v>0</v>
      </c>
      <c r="V1807">
        <f t="shared" si="113"/>
        <v>0</v>
      </c>
      <c r="W1807" s="22">
        <f t="shared" si="114"/>
        <v>0</v>
      </c>
    </row>
    <row r="1808" spans="1:23" hidden="1" x14ac:dyDescent="0.25">
      <c r="A1808" s="3">
        <v>45996</v>
      </c>
      <c r="B1808" s="4" t="s">
        <v>334</v>
      </c>
      <c r="C1808" s="4" t="s">
        <v>597</v>
      </c>
      <c r="D1808" s="4"/>
      <c r="E1808" s="4"/>
      <c r="F1808" s="4" t="s">
        <v>1109</v>
      </c>
      <c r="G1808" s="4" t="s">
        <v>336</v>
      </c>
      <c r="H1808" s="4" t="s">
        <v>289</v>
      </c>
      <c r="I1808" s="4">
        <v>1</v>
      </c>
      <c r="J1808" s="21">
        <v>290</v>
      </c>
      <c r="K1808" s="21">
        <v>0</v>
      </c>
      <c r="L1808" s="5">
        <v>0</v>
      </c>
      <c r="M1808" s="4"/>
      <c r="N1808" s="4"/>
      <c r="O1808" s="5"/>
      <c r="P1808" s="5"/>
      <c r="Q1808" s="21">
        <v>290</v>
      </c>
      <c r="R1808" s="21">
        <v>0</v>
      </c>
      <c r="S1808" s="5">
        <f t="shared" si="115"/>
        <v>46709.058760151987</v>
      </c>
      <c r="T1808" cm="1">
        <f t="array" ref="T1808">IF(OR(B1808="MAL ALIMI", B1808="ÜRETİM GİRİŞ"), MIN(I1808, MAX(0, I1808 + SUM(SUMIFS($I$1:I1807, $C$1:C1807, C1808, $B$1:B1807, {"MAL ALIMI","ÜRETİM GİRİŞ"})) - VLOOKUP(C1808, 'STOK RAPORU'!$C$2:$I$1000, 4, 0))), 0)</f>
        <v>0</v>
      </c>
      <c r="U1808" s="22">
        <f t="shared" si="112"/>
        <v>0</v>
      </c>
      <c r="V1808">
        <f t="shared" si="113"/>
        <v>0</v>
      </c>
      <c r="W1808" s="22">
        <f t="shared" si="114"/>
        <v>0</v>
      </c>
    </row>
    <row r="1809" spans="1:23" hidden="1" x14ac:dyDescent="0.25">
      <c r="A1809" s="3">
        <v>45996</v>
      </c>
      <c r="B1809" s="4" t="s">
        <v>334</v>
      </c>
      <c r="C1809" s="4" t="s">
        <v>3167</v>
      </c>
      <c r="D1809" s="4"/>
      <c r="E1809" s="4" t="s">
        <v>921</v>
      </c>
      <c r="F1809" s="4" t="s">
        <v>1110</v>
      </c>
      <c r="G1809" s="4" t="s">
        <v>336</v>
      </c>
      <c r="H1809" s="4" t="s">
        <v>380</v>
      </c>
      <c r="I1809" s="4">
        <v>5.675675675675676E-2</v>
      </c>
      <c r="J1809" s="21">
        <v>370</v>
      </c>
      <c r="K1809" s="21">
        <v>21</v>
      </c>
      <c r="L1809" s="5">
        <v>0</v>
      </c>
      <c r="M1809" s="4"/>
      <c r="N1809" s="4"/>
      <c r="O1809" s="5"/>
      <c r="P1809" s="5"/>
      <c r="Q1809" s="21">
        <v>0</v>
      </c>
      <c r="R1809" s="21">
        <v>0</v>
      </c>
      <c r="S1809" s="5">
        <f t="shared" si="115"/>
        <v>46709.058760151987</v>
      </c>
      <c r="T1809" cm="1">
        <f t="array" ref="T1809">IF(OR(B1809="MAL ALIMI", B1809="ÜRETİM GİRİŞ"), MIN(I1809, MAX(0, I1809 + SUM(SUMIFS($I$1:I1808, $C$1:C1808, C1809, $B$1:B1808, {"MAL ALIMI","ÜRETİM GİRİŞ"})) - VLOOKUP(C1809, 'STOK RAPORU'!$C$2:$I$1000, 4, 0))), 0)</f>
        <v>0</v>
      </c>
      <c r="U1809" s="22">
        <f t="shared" si="112"/>
        <v>0</v>
      </c>
      <c r="V1809">
        <f t="shared" si="113"/>
        <v>0</v>
      </c>
      <c r="W1809" s="22">
        <f t="shared" si="114"/>
        <v>0</v>
      </c>
    </row>
    <row r="1810" spans="1:23" hidden="1" x14ac:dyDescent="0.25">
      <c r="A1810" s="3">
        <v>45996</v>
      </c>
      <c r="B1810" s="4" t="s">
        <v>334</v>
      </c>
      <c r="C1810" s="4" t="s">
        <v>129</v>
      </c>
      <c r="D1810" s="4"/>
      <c r="E1810" s="4" t="s">
        <v>921</v>
      </c>
      <c r="F1810" s="4" t="s">
        <v>1110</v>
      </c>
      <c r="G1810" s="4" t="s">
        <v>336</v>
      </c>
      <c r="H1810" s="4" t="s">
        <v>380</v>
      </c>
      <c r="I1810" s="4">
        <v>0.11538461538461539</v>
      </c>
      <c r="J1810" s="21">
        <v>390</v>
      </c>
      <c r="K1810" s="21">
        <v>45</v>
      </c>
      <c r="L1810" s="5">
        <v>0</v>
      </c>
      <c r="M1810" s="4"/>
      <c r="N1810" s="4"/>
      <c r="O1810" s="5"/>
      <c r="P1810" s="5"/>
      <c r="Q1810" s="21">
        <v>0</v>
      </c>
      <c r="R1810" s="21">
        <v>0</v>
      </c>
      <c r="S1810" s="5">
        <f t="shared" si="115"/>
        <v>46709.058760151987</v>
      </c>
      <c r="T1810" cm="1">
        <f t="array" ref="T1810">IF(OR(B1810="MAL ALIMI", B1810="ÜRETİM GİRİŞ"), MIN(I1810, MAX(0, I1810 + SUM(SUMIFS($I$1:I1809, $C$1:C1809, C1810, $B$1:B1809, {"MAL ALIMI","ÜRETİM GİRİŞ"})) - VLOOKUP(C1810, 'STOK RAPORU'!$C$2:$I$1000, 4, 0))), 0)</f>
        <v>0</v>
      </c>
      <c r="U1810" s="22">
        <f t="shared" si="112"/>
        <v>0</v>
      </c>
      <c r="V1810">
        <f t="shared" si="113"/>
        <v>0</v>
      </c>
      <c r="W1810" s="22">
        <f t="shared" si="114"/>
        <v>0</v>
      </c>
    </row>
    <row r="1811" spans="1:23" hidden="1" x14ac:dyDescent="0.25">
      <c r="A1811" s="3">
        <v>45996</v>
      </c>
      <c r="B1811" s="4" t="s">
        <v>334</v>
      </c>
      <c r="C1811" s="4" t="s">
        <v>1024</v>
      </c>
      <c r="D1811" s="4"/>
      <c r="E1811" s="4" t="s">
        <v>921</v>
      </c>
      <c r="F1811" s="4" t="s">
        <v>1110</v>
      </c>
      <c r="G1811" s="4" t="s">
        <v>336</v>
      </c>
      <c r="H1811" s="4" t="s">
        <v>380</v>
      </c>
      <c r="I1811" s="4">
        <v>0.66153846153846152</v>
      </c>
      <c r="J1811" s="21">
        <v>65</v>
      </c>
      <c r="K1811" s="21">
        <v>43</v>
      </c>
      <c r="L1811" s="5">
        <v>0</v>
      </c>
      <c r="M1811" s="4"/>
      <c r="N1811" s="4"/>
      <c r="O1811" s="5"/>
      <c r="P1811" s="5"/>
      <c r="Q1811" s="21">
        <v>0</v>
      </c>
      <c r="R1811" s="21">
        <v>0</v>
      </c>
      <c r="S1811" s="5">
        <f t="shared" si="115"/>
        <v>46709.058760151987</v>
      </c>
      <c r="T1811" cm="1">
        <f t="array" ref="T1811">IF(OR(B1811="MAL ALIMI", B1811="ÜRETİM GİRİŞ"), MIN(I1811, MAX(0, I1811 + SUM(SUMIFS($I$1:I1810, $C$1:C1810, C1811, $B$1:B1810, {"MAL ALIMI","ÜRETİM GİRİŞ"})) - VLOOKUP(C1811, 'STOK RAPORU'!$C$2:$I$1000, 4, 0))), 0)</f>
        <v>0</v>
      </c>
      <c r="U1811" s="22">
        <f t="shared" si="112"/>
        <v>0</v>
      </c>
      <c r="V1811">
        <f t="shared" si="113"/>
        <v>0</v>
      </c>
      <c r="W1811" s="22">
        <f t="shared" si="114"/>
        <v>0</v>
      </c>
    </row>
    <row r="1812" spans="1:23" hidden="1" x14ac:dyDescent="0.25">
      <c r="A1812" s="3">
        <v>45996</v>
      </c>
      <c r="B1812" s="4" t="s">
        <v>334</v>
      </c>
      <c r="C1812" s="4" t="s">
        <v>224</v>
      </c>
      <c r="D1812" s="4"/>
      <c r="E1812" s="4" t="s">
        <v>921</v>
      </c>
      <c r="F1812" s="4" t="s">
        <v>1111</v>
      </c>
      <c r="G1812" s="4" t="s">
        <v>336</v>
      </c>
      <c r="H1812" s="4" t="s">
        <v>380</v>
      </c>
      <c r="I1812" s="4">
        <v>0.1</v>
      </c>
      <c r="J1812" s="21">
        <v>900</v>
      </c>
      <c r="K1812" s="21">
        <v>90</v>
      </c>
      <c r="L1812" s="5">
        <v>0</v>
      </c>
      <c r="M1812" s="4"/>
      <c r="N1812" s="4"/>
      <c r="O1812" s="5"/>
      <c r="P1812" s="5"/>
      <c r="Q1812" s="21">
        <v>0</v>
      </c>
      <c r="R1812" s="21">
        <v>0</v>
      </c>
      <c r="S1812" s="5">
        <f t="shared" si="115"/>
        <v>46709.058760151987</v>
      </c>
      <c r="T1812" cm="1">
        <f t="array" ref="T1812">IF(OR(B1812="MAL ALIMI", B1812="ÜRETİM GİRİŞ"), MIN(I1812, MAX(0, I1812 + SUM(SUMIFS($I$1:I1811, $C$1:C1811, C1812, $B$1:B1811, {"MAL ALIMI","ÜRETİM GİRİŞ"})) - VLOOKUP(C1812, 'STOK RAPORU'!$C$2:$I$1000, 4, 0))), 0)</f>
        <v>0</v>
      </c>
      <c r="U1812" s="22">
        <f t="shared" si="112"/>
        <v>0</v>
      </c>
      <c r="V1812">
        <f t="shared" si="113"/>
        <v>0</v>
      </c>
      <c r="W1812" s="22">
        <f t="shared" si="114"/>
        <v>0</v>
      </c>
    </row>
    <row r="1813" spans="1:23" hidden="1" x14ac:dyDescent="0.25">
      <c r="A1813" s="3">
        <v>45996</v>
      </c>
      <c r="B1813" s="4" t="s">
        <v>334</v>
      </c>
      <c r="C1813" s="4" t="s">
        <v>597</v>
      </c>
      <c r="D1813" s="4"/>
      <c r="E1813" s="4" t="s">
        <v>921</v>
      </c>
      <c r="F1813" s="4" t="s">
        <v>1112</v>
      </c>
      <c r="G1813" s="4" t="s">
        <v>336</v>
      </c>
      <c r="H1813" s="4" t="s">
        <v>380</v>
      </c>
      <c r="I1813" s="4">
        <v>1</v>
      </c>
      <c r="J1813" s="21">
        <v>290</v>
      </c>
      <c r="K1813" s="21">
        <v>290</v>
      </c>
      <c r="L1813" s="5">
        <v>0</v>
      </c>
      <c r="M1813" s="4"/>
      <c r="N1813" s="4"/>
      <c r="O1813" s="5"/>
      <c r="P1813" s="5"/>
      <c r="Q1813" s="21">
        <v>0</v>
      </c>
      <c r="R1813" s="21">
        <v>0</v>
      </c>
      <c r="S1813" s="5">
        <f t="shared" si="115"/>
        <v>46709.058760151987</v>
      </c>
      <c r="T1813" cm="1">
        <f t="array" ref="T1813">IF(OR(B1813="MAL ALIMI", B1813="ÜRETİM GİRİŞ"), MIN(I1813, MAX(0, I1813 + SUM(SUMIFS($I$1:I1812, $C$1:C1812, C1813, $B$1:B1812, {"MAL ALIMI","ÜRETİM GİRİŞ"})) - VLOOKUP(C1813, 'STOK RAPORU'!$C$2:$I$1000, 4, 0))), 0)</f>
        <v>0</v>
      </c>
      <c r="U1813" s="22">
        <f t="shared" si="112"/>
        <v>0</v>
      </c>
      <c r="V1813">
        <f t="shared" si="113"/>
        <v>0</v>
      </c>
      <c r="W1813" s="22">
        <f t="shared" si="114"/>
        <v>0</v>
      </c>
    </row>
    <row r="1814" spans="1:23" hidden="1" x14ac:dyDescent="0.25">
      <c r="A1814" s="3">
        <v>45996</v>
      </c>
      <c r="B1814" s="4" t="s">
        <v>334</v>
      </c>
      <c r="C1814" s="4" t="s">
        <v>160</v>
      </c>
      <c r="D1814" s="4"/>
      <c r="E1814" s="4" t="s">
        <v>921</v>
      </c>
      <c r="F1814" s="4" t="s">
        <v>1112</v>
      </c>
      <c r="G1814" s="4" t="s">
        <v>336</v>
      </c>
      <c r="H1814" s="4" t="s">
        <v>380</v>
      </c>
      <c r="I1814" s="4">
        <v>1</v>
      </c>
      <c r="J1814" s="21">
        <v>240</v>
      </c>
      <c r="K1814" s="21">
        <v>240</v>
      </c>
      <c r="L1814" s="5">
        <v>0</v>
      </c>
      <c r="M1814" s="4"/>
      <c r="N1814" s="4"/>
      <c r="O1814" s="5"/>
      <c r="P1814" s="5"/>
      <c r="Q1814" s="21">
        <v>0</v>
      </c>
      <c r="R1814" s="21">
        <v>0</v>
      </c>
      <c r="S1814" s="5">
        <f t="shared" si="115"/>
        <v>46709.058760151987</v>
      </c>
      <c r="T1814" cm="1">
        <f t="array" ref="T1814">IF(OR(B1814="MAL ALIMI", B1814="ÜRETİM GİRİŞ"), MIN(I1814, MAX(0, I1814 + SUM(SUMIFS($I$1:I1813, $C$1:C1813, C1814, $B$1:B1813, {"MAL ALIMI","ÜRETİM GİRİŞ"})) - VLOOKUP(C1814, 'STOK RAPORU'!$C$2:$I$1000, 4, 0))), 0)</f>
        <v>0</v>
      </c>
      <c r="U1814" s="22">
        <f t="shared" si="112"/>
        <v>0</v>
      </c>
      <c r="V1814">
        <f t="shared" si="113"/>
        <v>0</v>
      </c>
      <c r="W1814" s="22">
        <f t="shared" si="114"/>
        <v>0</v>
      </c>
    </row>
    <row r="1815" spans="1:23" hidden="1" x14ac:dyDescent="0.25">
      <c r="A1815" s="3">
        <v>45996</v>
      </c>
      <c r="B1815" s="4" t="s">
        <v>334</v>
      </c>
      <c r="C1815" s="4" t="s">
        <v>529</v>
      </c>
      <c r="D1815" s="4"/>
      <c r="E1815" s="4" t="s">
        <v>921</v>
      </c>
      <c r="F1815" s="4" t="s">
        <v>1112</v>
      </c>
      <c r="G1815" s="4" t="s">
        <v>336</v>
      </c>
      <c r="H1815" s="4" t="s">
        <v>380</v>
      </c>
      <c r="I1815" s="4">
        <v>0.1</v>
      </c>
      <c r="J1815" s="21">
        <v>600</v>
      </c>
      <c r="K1815" s="21">
        <v>60</v>
      </c>
      <c r="L1815" s="5">
        <v>0</v>
      </c>
      <c r="M1815" s="4"/>
      <c r="N1815" s="4"/>
      <c r="O1815" s="5"/>
      <c r="P1815" s="5"/>
      <c r="Q1815" s="21">
        <v>0</v>
      </c>
      <c r="R1815" s="21">
        <v>0</v>
      </c>
      <c r="S1815" s="5">
        <f t="shared" si="115"/>
        <v>46709.058760151987</v>
      </c>
      <c r="T1815" cm="1">
        <f t="array" ref="T1815">IF(OR(B1815="MAL ALIMI", B1815="ÜRETİM GİRİŞ"), MIN(I1815, MAX(0, I1815 + SUM(SUMIFS($I$1:I1814, $C$1:C1814, C1815, $B$1:B1814, {"MAL ALIMI","ÜRETİM GİRİŞ"})) - VLOOKUP(C1815, 'STOK RAPORU'!$C$2:$I$1000, 4, 0))), 0)</f>
        <v>0</v>
      </c>
      <c r="U1815" s="22">
        <f t="shared" si="112"/>
        <v>0</v>
      </c>
      <c r="V1815">
        <f t="shared" si="113"/>
        <v>0</v>
      </c>
      <c r="W1815" s="22">
        <f t="shared" si="114"/>
        <v>0</v>
      </c>
    </row>
    <row r="1816" spans="1:23" hidden="1" x14ac:dyDescent="0.25">
      <c r="A1816" s="3">
        <v>45996</v>
      </c>
      <c r="B1816" s="4" t="s">
        <v>334</v>
      </c>
      <c r="C1816" s="4" t="s">
        <v>137</v>
      </c>
      <c r="D1816" s="4"/>
      <c r="E1816" s="4"/>
      <c r="F1816" s="4" t="s">
        <v>1113</v>
      </c>
      <c r="G1816" s="4" t="s">
        <v>336</v>
      </c>
      <c r="H1816" s="4" t="s">
        <v>289</v>
      </c>
      <c r="I1816" s="4">
        <v>0.25</v>
      </c>
      <c r="J1816" s="21">
        <v>180</v>
      </c>
      <c r="K1816" s="21">
        <v>0</v>
      </c>
      <c r="L1816" s="5">
        <v>0</v>
      </c>
      <c r="M1816" s="4"/>
      <c r="N1816" s="4"/>
      <c r="O1816" s="5"/>
      <c r="P1816" s="5"/>
      <c r="Q1816" s="21">
        <v>45</v>
      </c>
      <c r="R1816" s="21">
        <v>0</v>
      </c>
      <c r="S1816" s="5">
        <f t="shared" si="115"/>
        <v>46754.058760151987</v>
      </c>
      <c r="T1816" cm="1">
        <f t="array" ref="T1816">IF(OR(B1816="MAL ALIMI", B1816="ÜRETİM GİRİŞ"), MIN(I1816, MAX(0, I1816 + SUM(SUMIFS($I$1:I1815, $C$1:C1815, C1816, $B$1:B1815, {"MAL ALIMI","ÜRETİM GİRİŞ"})) - VLOOKUP(C1816, 'STOK RAPORU'!$C$2:$I$1000, 4, 0))), 0)</f>
        <v>0</v>
      </c>
      <c r="U1816" s="22">
        <f t="shared" si="112"/>
        <v>0</v>
      </c>
      <c r="V1816">
        <f t="shared" si="113"/>
        <v>0</v>
      </c>
      <c r="W1816" s="22">
        <f t="shared" si="114"/>
        <v>0</v>
      </c>
    </row>
    <row r="1817" spans="1:23" hidden="1" x14ac:dyDescent="0.25">
      <c r="A1817" s="3">
        <v>45996</v>
      </c>
      <c r="B1817" s="4" t="s">
        <v>334</v>
      </c>
      <c r="C1817" s="4" t="s">
        <v>160</v>
      </c>
      <c r="D1817" s="4"/>
      <c r="E1817" s="4" t="s">
        <v>921</v>
      </c>
      <c r="F1817" s="4" t="s">
        <v>1114</v>
      </c>
      <c r="G1817" s="4" t="s">
        <v>336</v>
      </c>
      <c r="H1817" s="4" t="s">
        <v>380</v>
      </c>
      <c r="I1817" s="4">
        <v>0.5</v>
      </c>
      <c r="J1817" s="21">
        <v>240</v>
      </c>
      <c r="K1817" s="21">
        <v>120</v>
      </c>
      <c r="L1817" s="5">
        <v>0</v>
      </c>
      <c r="M1817" s="4"/>
      <c r="N1817" s="4"/>
      <c r="O1817" s="5"/>
      <c r="P1817" s="5"/>
      <c r="Q1817" s="21">
        <v>0</v>
      </c>
      <c r="R1817" s="21">
        <v>0</v>
      </c>
      <c r="S1817" s="5">
        <f t="shared" si="115"/>
        <v>46754.058760151987</v>
      </c>
      <c r="T1817" cm="1">
        <f t="array" ref="T1817">IF(OR(B1817="MAL ALIMI", B1817="ÜRETİM GİRİŞ"), MIN(I1817, MAX(0, I1817 + SUM(SUMIFS($I$1:I1816, $C$1:C1816, C1817, $B$1:B1816, {"MAL ALIMI","ÜRETİM GİRİŞ"})) - VLOOKUP(C1817, 'STOK RAPORU'!$C$2:$I$1000, 4, 0))), 0)</f>
        <v>0</v>
      </c>
      <c r="U1817" s="22">
        <f t="shared" si="112"/>
        <v>0</v>
      </c>
      <c r="V1817">
        <f t="shared" si="113"/>
        <v>0</v>
      </c>
      <c r="W1817" s="22">
        <f t="shared" si="114"/>
        <v>0</v>
      </c>
    </row>
    <row r="1818" spans="1:23" hidden="1" x14ac:dyDescent="0.25">
      <c r="A1818" s="3">
        <v>45996</v>
      </c>
      <c r="B1818" s="4" t="s">
        <v>334</v>
      </c>
      <c r="C1818" s="4" t="s">
        <v>161</v>
      </c>
      <c r="D1818" s="4"/>
      <c r="E1818" s="4" t="s">
        <v>921</v>
      </c>
      <c r="F1818" s="4" t="s">
        <v>1114</v>
      </c>
      <c r="G1818" s="4" t="s">
        <v>336</v>
      </c>
      <c r="H1818" s="4" t="s">
        <v>380</v>
      </c>
      <c r="I1818" s="4">
        <v>0.5</v>
      </c>
      <c r="J1818" s="21">
        <v>200</v>
      </c>
      <c r="K1818" s="21">
        <v>100</v>
      </c>
      <c r="L1818" s="5">
        <v>0</v>
      </c>
      <c r="M1818" s="4"/>
      <c r="N1818" s="4"/>
      <c r="O1818" s="5"/>
      <c r="P1818" s="5"/>
      <c r="Q1818" s="21">
        <v>0</v>
      </c>
      <c r="R1818" s="21">
        <v>0</v>
      </c>
      <c r="S1818" s="5">
        <f t="shared" si="115"/>
        <v>46754.058760151987</v>
      </c>
      <c r="T1818" cm="1">
        <f t="array" ref="T1818">IF(OR(B1818="MAL ALIMI", B1818="ÜRETİM GİRİŞ"), MIN(I1818, MAX(0, I1818 + SUM(SUMIFS($I$1:I1817, $C$1:C1817, C1818, $B$1:B1817, {"MAL ALIMI","ÜRETİM GİRİŞ"})) - VLOOKUP(C1818, 'STOK RAPORU'!$C$2:$I$1000, 4, 0))), 0)</f>
        <v>0</v>
      </c>
      <c r="U1818" s="22">
        <f t="shared" si="112"/>
        <v>0</v>
      </c>
      <c r="V1818">
        <f t="shared" si="113"/>
        <v>0</v>
      </c>
      <c r="W1818" s="22">
        <f t="shared" si="114"/>
        <v>0</v>
      </c>
    </row>
    <row r="1819" spans="1:23" hidden="1" x14ac:dyDescent="0.25">
      <c r="A1819" s="3">
        <v>45996</v>
      </c>
      <c r="B1819" s="4" t="s">
        <v>334</v>
      </c>
      <c r="C1819" s="4" t="s">
        <v>160</v>
      </c>
      <c r="D1819" s="4"/>
      <c r="E1819" s="4"/>
      <c r="F1819" s="4" t="s">
        <v>1115</v>
      </c>
      <c r="G1819" s="4" t="s">
        <v>336</v>
      </c>
      <c r="H1819" s="4" t="s">
        <v>289</v>
      </c>
      <c r="I1819" s="4">
        <v>1</v>
      </c>
      <c r="J1819" s="21">
        <v>220</v>
      </c>
      <c r="K1819" s="21">
        <v>0</v>
      </c>
      <c r="L1819" s="5">
        <v>0</v>
      </c>
      <c r="M1819" s="4"/>
      <c r="N1819" s="4"/>
      <c r="O1819" s="5"/>
      <c r="P1819" s="5"/>
      <c r="Q1819" s="21">
        <v>220</v>
      </c>
      <c r="R1819" s="21">
        <v>0</v>
      </c>
      <c r="S1819" s="5">
        <f t="shared" si="115"/>
        <v>46974.058760151987</v>
      </c>
      <c r="T1819" cm="1">
        <f t="array" ref="T1819">IF(OR(B1819="MAL ALIMI", B1819="ÜRETİM GİRİŞ"), MIN(I1819, MAX(0, I1819 + SUM(SUMIFS($I$1:I1818, $C$1:C1818, C1819, $B$1:B1818, {"MAL ALIMI","ÜRETİM GİRİŞ"})) - VLOOKUP(C1819, 'STOK RAPORU'!$C$2:$I$1000, 4, 0))), 0)</f>
        <v>0</v>
      </c>
      <c r="U1819" s="22">
        <f t="shared" si="112"/>
        <v>0</v>
      </c>
      <c r="V1819">
        <f t="shared" si="113"/>
        <v>0</v>
      </c>
      <c r="W1819" s="22">
        <f t="shared" si="114"/>
        <v>0</v>
      </c>
    </row>
    <row r="1820" spans="1:23" hidden="1" x14ac:dyDescent="0.25">
      <c r="A1820" s="3">
        <v>45996</v>
      </c>
      <c r="B1820" s="4" t="s">
        <v>334</v>
      </c>
      <c r="C1820" s="4" t="s">
        <v>149</v>
      </c>
      <c r="D1820" s="4"/>
      <c r="E1820" s="4" t="s">
        <v>921</v>
      </c>
      <c r="F1820" s="4" t="s">
        <v>1115</v>
      </c>
      <c r="G1820" s="4" t="s">
        <v>336</v>
      </c>
      <c r="H1820" s="4" t="s">
        <v>380</v>
      </c>
      <c r="I1820" s="4">
        <v>1</v>
      </c>
      <c r="J1820" s="21">
        <v>65</v>
      </c>
      <c r="K1820" s="21">
        <v>65</v>
      </c>
      <c r="L1820" s="5">
        <v>0</v>
      </c>
      <c r="M1820" s="4"/>
      <c r="N1820" s="4"/>
      <c r="O1820" s="5"/>
      <c r="P1820" s="5"/>
      <c r="Q1820" s="21">
        <v>0</v>
      </c>
      <c r="R1820" s="21">
        <v>0</v>
      </c>
      <c r="S1820" s="5">
        <f t="shared" si="115"/>
        <v>46974.058760151987</v>
      </c>
      <c r="T1820" cm="1">
        <f t="array" ref="T1820">IF(OR(B1820="MAL ALIMI", B1820="ÜRETİM GİRİŞ"), MIN(I1820, MAX(0, I1820 + SUM(SUMIFS($I$1:I1819, $C$1:C1819, C1820, $B$1:B1819, {"MAL ALIMI","ÜRETİM GİRİŞ"})) - VLOOKUP(C1820, 'STOK RAPORU'!$C$2:$I$1000, 4, 0))), 0)</f>
        <v>0</v>
      </c>
      <c r="U1820" s="22">
        <f t="shared" si="112"/>
        <v>0</v>
      </c>
      <c r="V1820">
        <f t="shared" si="113"/>
        <v>0</v>
      </c>
      <c r="W1820" s="22">
        <f t="shared" si="114"/>
        <v>0</v>
      </c>
    </row>
    <row r="1821" spans="1:23" hidden="1" x14ac:dyDescent="0.25">
      <c r="A1821" s="3">
        <v>45996</v>
      </c>
      <c r="B1821" s="4" t="s">
        <v>334</v>
      </c>
      <c r="C1821" s="4" t="s">
        <v>597</v>
      </c>
      <c r="D1821" s="4"/>
      <c r="E1821" s="4" t="s">
        <v>921</v>
      </c>
      <c r="F1821" s="4" t="s">
        <v>1115</v>
      </c>
      <c r="G1821" s="4" t="s">
        <v>336</v>
      </c>
      <c r="H1821" s="4" t="s">
        <v>380</v>
      </c>
      <c r="I1821" s="4">
        <v>1</v>
      </c>
      <c r="J1821" s="21">
        <v>310</v>
      </c>
      <c r="K1821" s="21">
        <v>310</v>
      </c>
      <c r="L1821" s="5">
        <v>0</v>
      </c>
      <c r="M1821" s="4"/>
      <c r="N1821" s="4"/>
      <c r="O1821" s="5"/>
      <c r="P1821" s="5"/>
      <c r="Q1821" s="21">
        <v>0</v>
      </c>
      <c r="R1821" s="21">
        <v>0</v>
      </c>
      <c r="S1821" s="5">
        <f t="shared" si="115"/>
        <v>46974.058760151987</v>
      </c>
      <c r="T1821" cm="1">
        <f t="array" ref="T1821">IF(OR(B1821="MAL ALIMI", B1821="ÜRETİM GİRİŞ"), MIN(I1821, MAX(0, I1821 + SUM(SUMIFS($I$1:I1820, $C$1:C1820, C1821, $B$1:B1820, {"MAL ALIMI","ÜRETİM GİRİŞ"})) - VLOOKUP(C1821, 'STOK RAPORU'!$C$2:$I$1000, 4, 0))), 0)</f>
        <v>0</v>
      </c>
      <c r="U1821" s="22">
        <f t="shared" si="112"/>
        <v>0</v>
      </c>
      <c r="V1821">
        <f t="shared" si="113"/>
        <v>0</v>
      </c>
      <c r="W1821" s="22">
        <f t="shared" si="114"/>
        <v>0</v>
      </c>
    </row>
    <row r="1822" spans="1:23" hidden="1" x14ac:dyDescent="0.25">
      <c r="A1822" s="3">
        <v>45996</v>
      </c>
      <c r="B1822" s="4" t="s">
        <v>334</v>
      </c>
      <c r="C1822" s="4" t="s">
        <v>712</v>
      </c>
      <c r="D1822" s="4"/>
      <c r="E1822" s="4"/>
      <c r="F1822" s="4" t="s">
        <v>1116</v>
      </c>
      <c r="G1822" s="4" t="s">
        <v>336</v>
      </c>
      <c r="H1822" s="4" t="s">
        <v>289</v>
      </c>
      <c r="I1822" s="4">
        <v>1</v>
      </c>
      <c r="J1822" s="21">
        <v>280</v>
      </c>
      <c r="K1822" s="21">
        <v>0</v>
      </c>
      <c r="L1822" s="5">
        <v>0</v>
      </c>
      <c r="M1822" s="4"/>
      <c r="N1822" s="4"/>
      <c r="O1822" s="5"/>
      <c r="P1822" s="5"/>
      <c r="Q1822" s="21">
        <v>280</v>
      </c>
      <c r="R1822" s="21">
        <v>0</v>
      </c>
      <c r="S1822" s="5">
        <f t="shared" si="115"/>
        <v>47254.058760151987</v>
      </c>
      <c r="T1822" cm="1">
        <f t="array" ref="T1822">IF(OR(B1822="MAL ALIMI", B1822="ÜRETİM GİRİŞ"), MIN(I1822, MAX(0, I1822 + SUM(SUMIFS($I$1:I1821, $C$1:C1821, C1822, $B$1:B1821, {"MAL ALIMI","ÜRETİM GİRİŞ"})) - VLOOKUP(C1822, 'STOK RAPORU'!$C$2:$I$1000, 4, 0))), 0)</f>
        <v>0</v>
      </c>
      <c r="U1822" s="22">
        <f t="shared" si="112"/>
        <v>0</v>
      </c>
      <c r="V1822">
        <f t="shared" si="113"/>
        <v>0</v>
      </c>
      <c r="W1822" s="22">
        <f t="shared" si="114"/>
        <v>0</v>
      </c>
    </row>
    <row r="1823" spans="1:23" hidden="1" x14ac:dyDescent="0.25">
      <c r="A1823" s="3">
        <v>45996</v>
      </c>
      <c r="B1823" s="4" t="s">
        <v>334</v>
      </c>
      <c r="C1823" s="4" t="s">
        <v>463</v>
      </c>
      <c r="D1823" s="4"/>
      <c r="E1823" s="4"/>
      <c r="F1823" s="4" t="s">
        <v>1117</v>
      </c>
      <c r="G1823" s="4" t="s">
        <v>336</v>
      </c>
      <c r="H1823" s="4" t="s">
        <v>289</v>
      </c>
      <c r="I1823" s="4">
        <v>0.15405405405405406</v>
      </c>
      <c r="J1823" s="21">
        <v>370</v>
      </c>
      <c r="K1823" s="21">
        <v>0</v>
      </c>
      <c r="L1823" s="5">
        <v>0</v>
      </c>
      <c r="M1823" s="4"/>
      <c r="N1823" s="4"/>
      <c r="O1823" s="5"/>
      <c r="P1823" s="5"/>
      <c r="Q1823" s="21">
        <v>57</v>
      </c>
      <c r="R1823" s="21">
        <v>0</v>
      </c>
      <c r="S1823" s="5">
        <f t="shared" si="115"/>
        <v>47311.058760151987</v>
      </c>
      <c r="T1823" cm="1">
        <f t="array" ref="T1823">IF(OR(B1823="MAL ALIMI", B1823="ÜRETİM GİRİŞ"), MIN(I1823, MAX(0, I1823 + SUM(SUMIFS($I$1:I1822, $C$1:C1822, C1823, $B$1:B1822, {"MAL ALIMI","ÜRETİM GİRİŞ"})) - VLOOKUP(C1823, 'STOK RAPORU'!$C$2:$I$1000, 4, 0))), 0)</f>
        <v>0</v>
      </c>
      <c r="U1823" s="22">
        <f t="shared" si="112"/>
        <v>0</v>
      </c>
      <c r="V1823">
        <f t="shared" si="113"/>
        <v>0</v>
      </c>
      <c r="W1823" s="22">
        <f t="shared" si="114"/>
        <v>0</v>
      </c>
    </row>
    <row r="1824" spans="1:23" hidden="1" x14ac:dyDescent="0.25">
      <c r="A1824" s="3">
        <v>45996</v>
      </c>
      <c r="B1824" s="4" t="s">
        <v>334</v>
      </c>
      <c r="C1824" s="4" t="s">
        <v>620</v>
      </c>
      <c r="D1824" s="4"/>
      <c r="E1824" s="4" t="s">
        <v>921</v>
      </c>
      <c r="F1824" s="4" t="s">
        <v>1118</v>
      </c>
      <c r="G1824" s="4" t="s">
        <v>336</v>
      </c>
      <c r="H1824" s="4" t="s">
        <v>380</v>
      </c>
      <c r="I1824" s="4">
        <v>1.0205128205128204</v>
      </c>
      <c r="J1824" s="21">
        <v>195</v>
      </c>
      <c r="K1824" s="21">
        <v>199</v>
      </c>
      <c r="L1824" s="5">
        <v>0</v>
      </c>
      <c r="M1824" s="4"/>
      <c r="N1824" s="4"/>
      <c r="O1824" s="5"/>
      <c r="P1824" s="5"/>
      <c r="Q1824" s="21">
        <v>0</v>
      </c>
      <c r="R1824" s="21">
        <v>0</v>
      </c>
      <c r="S1824" s="5">
        <f t="shared" si="115"/>
        <v>47311.058760151987</v>
      </c>
      <c r="T1824" cm="1">
        <f t="array" ref="T1824">IF(OR(B1824="MAL ALIMI", B1824="ÜRETİM GİRİŞ"), MIN(I1824, MAX(0, I1824 + SUM(SUMIFS($I$1:I1823, $C$1:C1823, C1824, $B$1:B1823, {"MAL ALIMI","ÜRETİM GİRİŞ"})) - VLOOKUP(C1824, 'STOK RAPORU'!$C$2:$I$1000, 4, 0))), 0)</f>
        <v>0</v>
      </c>
      <c r="U1824" s="22">
        <f t="shared" si="112"/>
        <v>0</v>
      </c>
      <c r="V1824">
        <f t="shared" si="113"/>
        <v>0</v>
      </c>
      <c r="W1824" s="22">
        <f t="shared" si="114"/>
        <v>0</v>
      </c>
    </row>
    <row r="1825" spans="1:23" hidden="1" x14ac:dyDescent="0.25">
      <c r="A1825" s="3">
        <v>45996</v>
      </c>
      <c r="B1825" s="4" t="s">
        <v>334</v>
      </c>
      <c r="C1825" s="4" t="s">
        <v>892</v>
      </c>
      <c r="D1825" s="4"/>
      <c r="E1825" s="4" t="s">
        <v>921</v>
      </c>
      <c r="F1825" s="4" t="s">
        <v>1119</v>
      </c>
      <c r="G1825" s="4" t="s">
        <v>336</v>
      </c>
      <c r="H1825" s="4" t="s">
        <v>380</v>
      </c>
      <c r="I1825" s="4">
        <v>0.5</v>
      </c>
      <c r="J1825" s="21">
        <v>60</v>
      </c>
      <c r="K1825" s="21">
        <v>30</v>
      </c>
      <c r="L1825" s="5">
        <v>0</v>
      </c>
      <c r="M1825" s="4"/>
      <c r="N1825" s="4"/>
      <c r="O1825" s="5"/>
      <c r="P1825" s="5"/>
      <c r="Q1825" s="21">
        <v>0</v>
      </c>
      <c r="R1825" s="21">
        <v>0</v>
      </c>
      <c r="S1825" s="5">
        <f t="shared" si="115"/>
        <v>47311.058760151987</v>
      </c>
      <c r="T1825" cm="1">
        <f t="array" ref="T1825">IF(OR(B1825="MAL ALIMI", B1825="ÜRETİM GİRİŞ"), MIN(I1825, MAX(0, I1825 + SUM(SUMIFS($I$1:I1824, $C$1:C1824, C1825, $B$1:B1824, {"MAL ALIMI","ÜRETİM GİRİŞ"})) - VLOOKUP(C1825, 'STOK RAPORU'!$C$2:$I$1000, 4, 0))), 0)</f>
        <v>0</v>
      </c>
      <c r="U1825" s="22">
        <f t="shared" si="112"/>
        <v>0</v>
      </c>
      <c r="V1825">
        <f t="shared" si="113"/>
        <v>0</v>
      </c>
      <c r="W1825" s="22">
        <f t="shared" si="114"/>
        <v>0</v>
      </c>
    </row>
    <row r="1826" spans="1:23" hidden="1" x14ac:dyDescent="0.25">
      <c r="A1826" s="3">
        <v>45996</v>
      </c>
      <c r="B1826" s="4" t="s">
        <v>334</v>
      </c>
      <c r="C1826" s="4" t="s">
        <v>695</v>
      </c>
      <c r="D1826" s="4"/>
      <c r="E1826" s="4" t="s">
        <v>921</v>
      </c>
      <c r="F1826" s="4" t="s">
        <v>1119</v>
      </c>
      <c r="G1826" s="4" t="s">
        <v>336</v>
      </c>
      <c r="H1826" s="4" t="s">
        <v>380</v>
      </c>
      <c r="I1826" s="4">
        <v>0.5</v>
      </c>
      <c r="J1826" s="21">
        <v>120</v>
      </c>
      <c r="K1826" s="21">
        <v>60</v>
      </c>
      <c r="L1826" s="5">
        <v>0</v>
      </c>
      <c r="M1826" s="4"/>
      <c r="N1826" s="4"/>
      <c r="O1826" s="5"/>
      <c r="P1826" s="5"/>
      <c r="Q1826" s="21">
        <v>0</v>
      </c>
      <c r="R1826" s="21">
        <v>0</v>
      </c>
      <c r="S1826" s="5">
        <f t="shared" si="115"/>
        <v>47311.058760151987</v>
      </c>
      <c r="T1826" cm="1">
        <f t="array" ref="T1826">IF(OR(B1826="MAL ALIMI", B1826="ÜRETİM GİRİŞ"), MIN(I1826, MAX(0, I1826 + SUM(SUMIFS($I$1:I1825, $C$1:C1825, C1826, $B$1:B1825, {"MAL ALIMI","ÜRETİM GİRİŞ"})) - VLOOKUP(C1826, 'STOK RAPORU'!$C$2:$I$1000, 4, 0))), 0)</f>
        <v>0</v>
      </c>
      <c r="U1826" s="22">
        <f t="shared" si="112"/>
        <v>0</v>
      </c>
      <c r="V1826">
        <f t="shared" si="113"/>
        <v>0</v>
      </c>
      <c r="W1826" s="22">
        <f t="shared" si="114"/>
        <v>0</v>
      </c>
    </row>
    <row r="1827" spans="1:23" hidden="1" x14ac:dyDescent="0.25">
      <c r="A1827" s="3">
        <v>45996</v>
      </c>
      <c r="B1827" s="4" t="s">
        <v>334</v>
      </c>
      <c r="C1827" s="4" t="s">
        <v>131</v>
      </c>
      <c r="D1827" s="4"/>
      <c r="E1827" s="4" t="s">
        <v>921</v>
      </c>
      <c r="F1827" s="4" t="s">
        <v>1119</v>
      </c>
      <c r="G1827" s="4" t="s">
        <v>336</v>
      </c>
      <c r="H1827" s="4" t="s">
        <v>380</v>
      </c>
      <c r="I1827" s="4">
        <v>0.06</v>
      </c>
      <c r="J1827" s="21">
        <v>400</v>
      </c>
      <c r="K1827" s="21">
        <v>24</v>
      </c>
      <c r="L1827" s="5">
        <v>0</v>
      </c>
      <c r="M1827" s="4"/>
      <c r="N1827" s="4"/>
      <c r="O1827" s="5"/>
      <c r="P1827" s="5"/>
      <c r="Q1827" s="21">
        <v>0</v>
      </c>
      <c r="R1827" s="21">
        <v>0</v>
      </c>
      <c r="S1827" s="5">
        <f t="shared" si="115"/>
        <v>47311.058760151987</v>
      </c>
      <c r="T1827" cm="1">
        <f t="array" ref="T1827">IF(OR(B1827="MAL ALIMI", B1827="ÜRETİM GİRİŞ"), MIN(I1827, MAX(0, I1827 + SUM(SUMIFS($I$1:I1826, $C$1:C1826, C1827, $B$1:B1826, {"MAL ALIMI","ÜRETİM GİRİŞ"})) - VLOOKUP(C1827, 'STOK RAPORU'!$C$2:$I$1000, 4, 0))), 0)</f>
        <v>0</v>
      </c>
      <c r="U1827" s="22">
        <f t="shared" si="112"/>
        <v>0</v>
      </c>
      <c r="V1827">
        <f t="shared" si="113"/>
        <v>0</v>
      </c>
      <c r="W1827" s="22">
        <f t="shared" si="114"/>
        <v>0</v>
      </c>
    </row>
    <row r="1828" spans="1:23" hidden="1" x14ac:dyDescent="0.25">
      <c r="A1828" s="3">
        <v>45996</v>
      </c>
      <c r="B1828" s="4" t="s">
        <v>334</v>
      </c>
      <c r="C1828" s="4" t="s">
        <v>462</v>
      </c>
      <c r="D1828" s="4"/>
      <c r="E1828" s="4" t="s">
        <v>921</v>
      </c>
      <c r="F1828" s="4" t="s">
        <v>1121</v>
      </c>
      <c r="G1828" s="4" t="s">
        <v>336</v>
      </c>
      <c r="H1828" s="4" t="s">
        <v>380</v>
      </c>
      <c r="I1828" s="4">
        <v>1</v>
      </c>
      <c r="J1828" s="21">
        <v>120</v>
      </c>
      <c r="K1828" s="21">
        <v>120</v>
      </c>
      <c r="L1828" s="5">
        <v>0</v>
      </c>
      <c r="M1828" s="4"/>
      <c r="N1828" s="4"/>
      <c r="O1828" s="5"/>
      <c r="P1828" s="5"/>
      <c r="Q1828" s="21">
        <v>0</v>
      </c>
      <c r="R1828" s="21">
        <v>0</v>
      </c>
      <c r="S1828" s="5">
        <f t="shared" si="115"/>
        <v>47311.058760151987</v>
      </c>
      <c r="T1828" cm="1">
        <f t="array" ref="T1828">IF(OR(B1828="MAL ALIMI", B1828="ÜRETİM GİRİŞ"), MIN(I1828, MAX(0, I1828 + SUM(SUMIFS($I$1:I1827, $C$1:C1827, C1828, $B$1:B1827, {"MAL ALIMI","ÜRETİM GİRİŞ"})) - VLOOKUP(C1828, 'STOK RAPORU'!$C$2:$I$1000, 4, 0))), 0)</f>
        <v>0</v>
      </c>
      <c r="U1828" s="22">
        <f t="shared" si="112"/>
        <v>0</v>
      </c>
      <c r="V1828">
        <f t="shared" si="113"/>
        <v>0</v>
      </c>
      <c r="W1828" s="22">
        <f t="shared" si="114"/>
        <v>0</v>
      </c>
    </row>
    <row r="1829" spans="1:23" hidden="1" x14ac:dyDescent="0.25">
      <c r="A1829" s="3">
        <v>45996</v>
      </c>
      <c r="B1829" s="4" t="s">
        <v>334</v>
      </c>
      <c r="C1829" s="4" t="s">
        <v>722</v>
      </c>
      <c r="D1829" s="4"/>
      <c r="E1829" s="4" t="s">
        <v>921</v>
      </c>
      <c r="F1829" s="4" t="s">
        <v>1121</v>
      </c>
      <c r="G1829" s="4" t="s">
        <v>336</v>
      </c>
      <c r="H1829" s="4" t="s">
        <v>380</v>
      </c>
      <c r="I1829" s="4">
        <v>1</v>
      </c>
      <c r="J1829" s="21">
        <v>270</v>
      </c>
      <c r="K1829" s="21">
        <v>270</v>
      </c>
      <c r="L1829" s="5">
        <v>0</v>
      </c>
      <c r="M1829" s="4"/>
      <c r="N1829" s="4"/>
      <c r="O1829" s="5"/>
      <c r="P1829" s="5"/>
      <c r="Q1829" s="21">
        <v>0</v>
      </c>
      <c r="R1829" s="21">
        <v>0</v>
      </c>
      <c r="S1829" s="5">
        <f t="shared" si="115"/>
        <v>47311.058760151987</v>
      </c>
      <c r="T1829" cm="1">
        <f t="array" ref="T1829">IF(OR(B1829="MAL ALIMI", B1829="ÜRETİM GİRİŞ"), MIN(I1829, MAX(0, I1829 + SUM(SUMIFS($I$1:I1828, $C$1:C1828, C1829, $B$1:B1828, {"MAL ALIMI","ÜRETİM GİRİŞ"})) - VLOOKUP(C1829, 'STOK RAPORU'!$C$2:$I$1000, 4, 0))), 0)</f>
        <v>0</v>
      </c>
      <c r="U1829" s="22">
        <f t="shared" si="112"/>
        <v>0</v>
      </c>
      <c r="V1829">
        <f t="shared" si="113"/>
        <v>0</v>
      </c>
      <c r="W1829" s="22">
        <f t="shared" si="114"/>
        <v>0</v>
      </c>
    </row>
    <row r="1830" spans="1:23" hidden="1" x14ac:dyDescent="0.25">
      <c r="A1830" s="3">
        <v>45996</v>
      </c>
      <c r="B1830" s="4" t="s">
        <v>334</v>
      </c>
      <c r="C1830" s="4" t="s">
        <v>755</v>
      </c>
      <c r="D1830" s="4"/>
      <c r="E1830" s="4" t="s">
        <v>921</v>
      </c>
      <c r="F1830" s="4" t="s">
        <v>1121</v>
      </c>
      <c r="G1830" s="4" t="s">
        <v>336</v>
      </c>
      <c r="H1830" s="4" t="s">
        <v>380</v>
      </c>
      <c r="I1830" s="4">
        <v>1</v>
      </c>
      <c r="J1830" s="21">
        <v>220</v>
      </c>
      <c r="K1830" s="21">
        <v>220</v>
      </c>
      <c r="L1830" s="5">
        <v>0</v>
      </c>
      <c r="M1830" s="4"/>
      <c r="N1830" s="4"/>
      <c r="O1830" s="5"/>
      <c r="P1830" s="5"/>
      <c r="Q1830" s="21">
        <v>0</v>
      </c>
      <c r="R1830" s="21">
        <v>0</v>
      </c>
      <c r="S1830" s="5">
        <f t="shared" si="115"/>
        <v>47311.058760151987</v>
      </c>
      <c r="T1830" cm="1">
        <f t="array" ref="T1830">IF(OR(B1830="MAL ALIMI", B1830="ÜRETİM GİRİŞ"), MIN(I1830, MAX(0, I1830 + SUM(SUMIFS($I$1:I1829, $C$1:C1829, C1830, $B$1:B1829, {"MAL ALIMI","ÜRETİM GİRİŞ"})) - VLOOKUP(C1830, 'STOK RAPORU'!$C$2:$I$1000, 4, 0))), 0)</f>
        <v>0</v>
      </c>
      <c r="U1830" s="22">
        <f t="shared" si="112"/>
        <v>0</v>
      </c>
      <c r="V1830">
        <f t="shared" si="113"/>
        <v>0</v>
      </c>
      <c r="W1830" s="22">
        <f t="shared" si="114"/>
        <v>0</v>
      </c>
    </row>
    <row r="1831" spans="1:23" hidden="1" x14ac:dyDescent="0.25">
      <c r="A1831" s="3">
        <v>45996</v>
      </c>
      <c r="B1831" s="4" t="s">
        <v>334</v>
      </c>
      <c r="C1831" s="4" t="s">
        <v>796</v>
      </c>
      <c r="D1831" s="4"/>
      <c r="E1831" s="4" t="s">
        <v>921</v>
      </c>
      <c r="F1831" s="4" t="s">
        <v>1121</v>
      </c>
      <c r="G1831" s="4" t="s">
        <v>336</v>
      </c>
      <c r="H1831" s="4" t="s">
        <v>380</v>
      </c>
      <c r="I1831" s="4">
        <v>1</v>
      </c>
      <c r="J1831" s="21">
        <v>220</v>
      </c>
      <c r="K1831" s="21">
        <v>220</v>
      </c>
      <c r="L1831" s="5">
        <v>0</v>
      </c>
      <c r="M1831" s="4"/>
      <c r="N1831" s="4"/>
      <c r="O1831" s="5"/>
      <c r="P1831" s="5"/>
      <c r="Q1831" s="21">
        <v>0</v>
      </c>
      <c r="R1831" s="21">
        <v>0</v>
      </c>
      <c r="S1831" s="5">
        <f t="shared" si="115"/>
        <v>47311.058760151987</v>
      </c>
      <c r="T1831" cm="1">
        <f t="array" ref="T1831">IF(OR(B1831="MAL ALIMI", B1831="ÜRETİM GİRİŞ"), MIN(I1831, MAX(0, I1831 + SUM(SUMIFS($I$1:I1830, $C$1:C1830, C1831, $B$1:B1830, {"MAL ALIMI","ÜRETİM GİRİŞ"})) - VLOOKUP(C1831, 'STOK RAPORU'!$C$2:$I$1000, 4, 0))), 0)</f>
        <v>0</v>
      </c>
      <c r="U1831" s="22">
        <f t="shared" si="112"/>
        <v>0</v>
      </c>
      <c r="V1831">
        <f t="shared" si="113"/>
        <v>0</v>
      </c>
      <c r="W1831" s="22">
        <f t="shared" si="114"/>
        <v>0</v>
      </c>
    </row>
    <row r="1832" spans="1:23" hidden="1" x14ac:dyDescent="0.25">
      <c r="A1832" s="3">
        <v>45996</v>
      </c>
      <c r="B1832" s="4" t="s">
        <v>334</v>
      </c>
      <c r="C1832" s="4" t="s">
        <v>911</v>
      </c>
      <c r="D1832" s="4"/>
      <c r="E1832" s="4" t="s">
        <v>921</v>
      </c>
      <c r="F1832" s="4" t="s">
        <v>1121</v>
      </c>
      <c r="G1832" s="4" t="s">
        <v>336</v>
      </c>
      <c r="H1832" s="4" t="s">
        <v>380</v>
      </c>
      <c r="I1832" s="4">
        <v>1</v>
      </c>
      <c r="J1832" s="21">
        <v>150</v>
      </c>
      <c r="K1832" s="21">
        <v>150</v>
      </c>
      <c r="L1832" s="5">
        <v>0</v>
      </c>
      <c r="M1832" s="4"/>
      <c r="N1832" s="4"/>
      <c r="O1832" s="5"/>
      <c r="P1832" s="5"/>
      <c r="Q1832" s="21">
        <v>0</v>
      </c>
      <c r="R1832" s="21">
        <v>0</v>
      </c>
      <c r="S1832" s="5">
        <f t="shared" si="115"/>
        <v>47311.058760151987</v>
      </c>
      <c r="T1832" cm="1">
        <f t="array" ref="T1832">IF(OR(B1832="MAL ALIMI", B1832="ÜRETİM GİRİŞ"), MIN(I1832, MAX(0, I1832 + SUM(SUMIFS($I$1:I1831, $C$1:C1831, C1832, $B$1:B1831, {"MAL ALIMI","ÜRETİM GİRİŞ"})) - VLOOKUP(C1832, 'STOK RAPORU'!$C$2:$I$1000, 4, 0))), 0)</f>
        <v>0</v>
      </c>
      <c r="U1832" s="22">
        <f t="shared" si="112"/>
        <v>0</v>
      </c>
      <c r="V1832">
        <f t="shared" si="113"/>
        <v>0</v>
      </c>
      <c r="W1832" s="22">
        <f t="shared" si="114"/>
        <v>0</v>
      </c>
    </row>
    <row r="1833" spans="1:23" hidden="1" x14ac:dyDescent="0.25">
      <c r="A1833" s="3">
        <v>45996</v>
      </c>
      <c r="B1833" s="4" t="s">
        <v>334</v>
      </c>
      <c r="C1833" s="4" t="s">
        <v>842</v>
      </c>
      <c r="D1833" s="4"/>
      <c r="E1833" s="4" t="s">
        <v>921</v>
      </c>
      <c r="F1833" s="4" t="s">
        <v>1121</v>
      </c>
      <c r="G1833" s="4" t="s">
        <v>336</v>
      </c>
      <c r="H1833" s="4" t="s">
        <v>380</v>
      </c>
      <c r="I1833" s="4">
        <v>1</v>
      </c>
      <c r="J1833" s="21">
        <v>100</v>
      </c>
      <c r="K1833" s="21">
        <v>100</v>
      </c>
      <c r="L1833" s="5">
        <v>0</v>
      </c>
      <c r="M1833" s="4"/>
      <c r="N1833" s="4"/>
      <c r="O1833" s="5"/>
      <c r="P1833" s="5"/>
      <c r="Q1833" s="21">
        <v>0</v>
      </c>
      <c r="R1833" s="21">
        <v>0</v>
      </c>
      <c r="S1833" s="5">
        <f t="shared" si="115"/>
        <v>47311.058760151987</v>
      </c>
      <c r="T1833" cm="1">
        <f t="array" ref="T1833">IF(OR(B1833="MAL ALIMI", B1833="ÜRETİM GİRİŞ"), MIN(I1833, MAX(0, I1833 + SUM(SUMIFS($I$1:I1832, $C$1:C1832, C1833, $B$1:B1832, {"MAL ALIMI","ÜRETİM GİRİŞ"})) - VLOOKUP(C1833, 'STOK RAPORU'!$C$2:$I$1000, 4, 0))), 0)</f>
        <v>0</v>
      </c>
      <c r="U1833" s="22">
        <f t="shared" si="112"/>
        <v>0</v>
      </c>
      <c r="V1833">
        <f t="shared" si="113"/>
        <v>0</v>
      </c>
      <c r="W1833" s="22">
        <f t="shared" si="114"/>
        <v>0</v>
      </c>
    </row>
    <row r="1834" spans="1:23" hidden="1" x14ac:dyDescent="0.25">
      <c r="A1834" s="3">
        <v>45996</v>
      </c>
      <c r="B1834" s="4" t="s">
        <v>334</v>
      </c>
      <c r="C1834" s="4" t="s">
        <v>162</v>
      </c>
      <c r="D1834" s="4"/>
      <c r="E1834" s="4" t="s">
        <v>921</v>
      </c>
      <c r="F1834" s="4" t="s">
        <v>1122</v>
      </c>
      <c r="G1834" s="4" t="s">
        <v>336</v>
      </c>
      <c r="H1834" s="4" t="s">
        <v>380</v>
      </c>
      <c r="I1834" s="4">
        <v>1</v>
      </c>
      <c r="J1834" s="21">
        <v>260</v>
      </c>
      <c r="K1834" s="21">
        <v>260</v>
      </c>
      <c r="L1834" s="5">
        <v>0</v>
      </c>
      <c r="M1834" s="4"/>
      <c r="N1834" s="4"/>
      <c r="O1834" s="5"/>
      <c r="P1834" s="5"/>
      <c r="Q1834" s="21">
        <v>0</v>
      </c>
      <c r="R1834" s="21">
        <v>0</v>
      </c>
      <c r="S1834" s="5">
        <f t="shared" si="115"/>
        <v>47311.058760151987</v>
      </c>
      <c r="T1834" cm="1">
        <f t="array" ref="T1834">IF(OR(B1834="MAL ALIMI", B1834="ÜRETİM GİRİŞ"), MIN(I1834, MAX(0, I1834 + SUM(SUMIFS($I$1:I1833, $C$1:C1833, C1834, $B$1:B1833, {"MAL ALIMI","ÜRETİM GİRİŞ"})) - VLOOKUP(C1834, 'STOK RAPORU'!$C$2:$I$1000, 4, 0))), 0)</f>
        <v>0</v>
      </c>
      <c r="U1834" s="22">
        <f t="shared" si="112"/>
        <v>0</v>
      </c>
      <c r="V1834">
        <f t="shared" si="113"/>
        <v>0</v>
      </c>
      <c r="W1834" s="22">
        <f t="shared" si="114"/>
        <v>0</v>
      </c>
    </row>
    <row r="1835" spans="1:23" hidden="1" x14ac:dyDescent="0.25">
      <c r="A1835" s="3">
        <v>45996</v>
      </c>
      <c r="B1835" s="4" t="s">
        <v>334</v>
      </c>
      <c r="C1835" s="4" t="s">
        <v>160</v>
      </c>
      <c r="D1835" s="4"/>
      <c r="E1835" s="4" t="s">
        <v>921</v>
      </c>
      <c r="F1835" s="4" t="s">
        <v>1122</v>
      </c>
      <c r="G1835" s="4" t="s">
        <v>336</v>
      </c>
      <c r="H1835" s="4" t="s">
        <v>380</v>
      </c>
      <c r="I1835" s="4">
        <v>1</v>
      </c>
      <c r="J1835" s="21">
        <v>240</v>
      </c>
      <c r="K1835" s="21">
        <v>240</v>
      </c>
      <c r="L1835" s="5">
        <v>0</v>
      </c>
      <c r="M1835" s="4"/>
      <c r="N1835" s="4"/>
      <c r="O1835" s="5"/>
      <c r="P1835" s="5"/>
      <c r="Q1835" s="21">
        <v>0</v>
      </c>
      <c r="R1835" s="21">
        <v>0</v>
      </c>
      <c r="S1835" s="5">
        <f t="shared" si="115"/>
        <v>47311.058760151987</v>
      </c>
      <c r="T1835" cm="1">
        <f t="array" ref="T1835">IF(OR(B1835="MAL ALIMI", B1835="ÜRETİM GİRİŞ"), MIN(I1835, MAX(0, I1835 + SUM(SUMIFS($I$1:I1834, $C$1:C1834, C1835, $B$1:B1834, {"MAL ALIMI","ÜRETİM GİRİŞ"})) - VLOOKUP(C1835, 'STOK RAPORU'!$C$2:$I$1000, 4, 0))), 0)</f>
        <v>0</v>
      </c>
      <c r="U1835" s="22">
        <f t="shared" si="112"/>
        <v>0</v>
      </c>
      <c r="V1835">
        <f t="shared" si="113"/>
        <v>0</v>
      </c>
      <c r="W1835" s="22">
        <f t="shared" si="114"/>
        <v>0</v>
      </c>
    </row>
    <row r="1836" spans="1:23" hidden="1" x14ac:dyDescent="0.25">
      <c r="A1836" s="3">
        <v>45996</v>
      </c>
      <c r="B1836" s="4" t="s">
        <v>334</v>
      </c>
      <c r="C1836" s="4" t="s">
        <v>723</v>
      </c>
      <c r="D1836" s="4"/>
      <c r="E1836" s="4" t="s">
        <v>921</v>
      </c>
      <c r="F1836" s="4" t="s">
        <v>1122</v>
      </c>
      <c r="G1836" s="4" t="s">
        <v>336</v>
      </c>
      <c r="H1836" s="4" t="s">
        <v>380</v>
      </c>
      <c r="I1836" s="4">
        <v>1</v>
      </c>
      <c r="J1836" s="21">
        <v>172</v>
      </c>
      <c r="K1836" s="21">
        <v>172</v>
      </c>
      <c r="L1836" s="5">
        <v>0</v>
      </c>
      <c r="M1836" s="4"/>
      <c r="N1836" s="4"/>
      <c r="O1836" s="5"/>
      <c r="P1836" s="5"/>
      <c r="Q1836" s="21">
        <v>0</v>
      </c>
      <c r="R1836" s="21">
        <v>0</v>
      </c>
      <c r="S1836" s="5">
        <f t="shared" si="115"/>
        <v>47311.058760151987</v>
      </c>
      <c r="T1836" cm="1">
        <f t="array" ref="T1836">IF(OR(B1836="MAL ALIMI", B1836="ÜRETİM GİRİŞ"), MIN(I1836, MAX(0, I1836 + SUM(SUMIFS($I$1:I1835, $C$1:C1835, C1836, $B$1:B1835, {"MAL ALIMI","ÜRETİM GİRİŞ"})) - VLOOKUP(C1836, 'STOK RAPORU'!$C$2:$I$1000, 4, 0))), 0)</f>
        <v>0</v>
      </c>
      <c r="U1836" s="22">
        <f t="shared" si="112"/>
        <v>0</v>
      </c>
      <c r="V1836">
        <f t="shared" si="113"/>
        <v>0</v>
      </c>
      <c r="W1836" s="22">
        <f t="shared" si="114"/>
        <v>0</v>
      </c>
    </row>
    <row r="1837" spans="1:23" hidden="1" x14ac:dyDescent="0.25">
      <c r="A1837" s="3">
        <v>45996</v>
      </c>
      <c r="B1837" s="4" t="s">
        <v>334</v>
      </c>
      <c r="C1837" s="4" t="s">
        <v>690</v>
      </c>
      <c r="D1837" s="4"/>
      <c r="E1837" s="4" t="s">
        <v>921</v>
      </c>
      <c r="F1837" s="4" t="s">
        <v>1122</v>
      </c>
      <c r="G1837" s="4" t="s">
        <v>336</v>
      </c>
      <c r="H1837" s="4" t="s">
        <v>380</v>
      </c>
      <c r="I1837" s="4">
        <v>0.42058823529411765</v>
      </c>
      <c r="J1837" s="21">
        <v>340</v>
      </c>
      <c r="K1837" s="21">
        <v>143</v>
      </c>
      <c r="L1837" s="5">
        <v>0</v>
      </c>
      <c r="M1837" s="4"/>
      <c r="N1837" s="4"/>
      <c r="O1837" s="5"/>
      <c r="P1837" s="5"/>
      <c r="Q1837" s="21">
        <v>0</v>
      </c>
      <c r="R1837" s="21">
        <v>0</v>
      </c>
      <c r="S1837" s="5">
        <f t="shared" si="115"/>
        <v>47311.058760151987</v>
      </c>
      <c r="T1837" cm="1">
        <f t="array" ref="T1837">IF(OR(B1837="MAL ALIMI", B1837="ÜRETİM GİRİŞ"), MIN(I1837, MAX(0, I1837 + SUM(SUMIFS($I$1:I1836, $C$1:C1836, C1837, $B$1:B1836, {"MAL ALIMI","ÜRETİM GİRİŞ"})) - VLOOKUP(C1837, 'STOK RAPORU'!$C$2:$I$1000, 4, 0))), 0)</f>
        <v>0</v>
      </c>
      <c r="U1837" s="22">
        <f t="shared" si="112"/>
        <v>0</v>
      </c>
      <c r="V1837">
        <f t="shared" si="113"/>
        <v>0</v>
      </c>
      <c r="W1837" s="22">
        <f t="shared" si="114"/>
        <v>0</v>
      </c>
    </row>
    <row r="1838" spans="1:23" hidden="1" x14ac:dyDescent="0.25">
      <c r="A1838" s="3">
        <v>45996</v>
      </c>
      <c r="B1838" s="4" t="s">
        <v>334</v>
      </c>
      <c r="C1838" s="4" t="s">
        <v>148</v>
      </c>
      <c r="D1838" s="4"/>
      <c r="E1838" s="4" t="s">
        <v>921</v>
      </c>
      <c r="F1838" s="4" t="s">
        <v>1122</v>
      </c>
      <c r="G1838" s="4" t="s">
        <v>336</v>
      </c>
      <c r="H1838" s="4" t="s">
        <v>380</v>
      </c>
      <c r="I1838" s="4">
        <v>1</v>
      </c>
      <c r="J1838" s="21">
        <v>65</v>
      </c>
      <c r="K1838" s="21">
        <v>65</v>
      </c>
      <c r="L1838" s="5">
        <v>0</v>
      </c>
      <c r="M1838" s="4"/>
      <c r="N1838" s="4"/>
      <c r="O1838" s="5"/>
      <c r="P1838" s="5"/>
      <c r="Q1838" s="21">
        <v>0</v>
      </c>
      <c r="R1838" s="21">
        <v>0</v>
      </c>
      <c r="S1838" s="5">
        <f t="shared" si="115"/>
        <v>47311.058760151987</v>
      </c>
      <c r="T1838" cm="1">
        <f t="array" ref="T1838">IF(OR(B1838="MAL ALIMI", B1838="ÜRETİM GİRİŞ"), MIN(I1838, MAX(0, I1838 + SUM(SUMIFS($I$1:I1837, $C$1:C1837, C1838, $B$1:B1837, {"MAL ALIMI","ÜRETİM GİRİŞ"})) - VLOOKUP(C1838, 'STOK RAPORU'!$C$2:$I$1000, 4, 0))), 0)</f>
        <v>0</v>
      </c>
      <c r="U1838" s="22">
        <f t="shared" si="112"/>
        <v>0</v>
      </c>
      <c r="V1838">
        <f t="shared" si="113"/>
        <v>0</v>
      </c>
      <c r="W1838" s="22">
        <f t="shared" si="114"/>
        <v>0</v>
      </c>
    </row>
    <row r="1839" spans="1:23" hidden="1" x14ac:dyDescent="0.25">
      <c r="A1839" s="3">
        <v>45996</v>
      </c>
      <c r="B1839" s="4" t="s">
        <v>334</v>
      </c>
      <c r="C1839" s="4" t="s">
        <v>911</v>
      </c>
      <c r="D1839" s="4"/>
      <c r="E1839" s="4"/>
      <c r="F1839" s="4" t="s">
        <v>1123</v>
      </c>
      <c r="G1839" s="4" t="s">
        <v>336</v>
      </c>
      <c r="H1839" s="4" t="s">
        <v>289</v>
      </c>
      <c r="I1839" s="4">
        <v>1</v>
      </c>
      <c r="J1839" s="21">
        <v>150</v>
      </c>
      <c r="K1839" s="21">
        <v>0</v>
      </c>
      <c r="L1839" s="5">
        <v>0</v>
      </c>
      <c r="M1839" s="4"/>
      <c r="N1839" s="4"/>
      <c r="O1839" s="5"/>
      <c r="P1839" s="5"/>
      <c r="Q1839" s="21">
        <v>150</v>
      </c>
      <c r="R1839" s="21">
        <v>0</v>
      </c>
      <c r="S1839" s="5">
        <f t="shared" si="115"/>
        <v>47461.058760151987</v>
      </c>
      <c r="T1839" cm="1">
        <f t="array" ref="T1839">IF(OR(B1839="MAL ALIMI", B1839="ÜRETİM GİRİŞ"), MIN(I1839, MAX(0, I1839 + SUM(SUMIFS($I$1:I1838, $C$1:C1838, C1839, $B$1:B1838, {"MAL ALIMI","ÜRETİM GİRİŞ"})) - VLOOKUP(C1839, 'STOK RAPORU'!$C$2:$I$1000, 4, 0))), 0)</f>
        <v>0</v>
      </c>
      <c r="U1839" s="22">
        <f t="shared" si="112"/>
        <v>0</v>
      </c>
      <c r="V1839">
        <f t="shared" si="113"/>
        <v>0</v>
      </c>
      <c r="W1839" s="22">
        <f t="shared" si="114"/>
        <v>0</v>
      </c>
    </row>
    <row r="1840" spans="1:23" hidden="1" x14ac:dyDescent="0.25">
      <c r="A1840" s="3">
        <v>45996</v>
      </c>
      <c r="B1840" s="4" t="s">
        <v>334</v>
      </c>
      <c r="C1840" s="4" t="s">
        <v>842</v>
      </c>
      <c r="D1840" s="4"/>
      <c r="E1840" s="4"/>
      <c r="F1840" s="4" t="s">
        <v>1123</v>
      </c>
      <c r="G1840" s="4" t="s">
        <v>336</v>
      </c>
      <c r="H1840" s="4" t="s">
        <v>289</v>
      </c>
      <c r="I1840" s="4">
        <v>1</v>
      </c>
      <c r="J1840" s="21">
        <v>100</v>
      </c>
      <c r="K1840" s="21">
        <v>0</v>
      </c>
      <c r="L1840" s="5">
        <v>0</v>
      </c>
      <c r="M1840" s="4"/>
      <c r="N1840" s="4"/>
      <c r="O1840" s="5"/>
      <c r="P1840" s="5"/>
      <c r="Q1840" s="21">
        <v>100</v>
      </c>
      <c r="R1840" s="21">
        <v>0</v>
      </c>
      <c r="S1840" s="5">
        <f t="shared" si="115"/>
        <v>47561.058760151987</v>
      </c>
      <c r="T1840" cm="1">
        <f t="array" ref="T1840">IF(OR(B1840="MAL ALIMI", B1840="ÜRETİM GİRİŞ"), MIN(I1840, MAX(0, I1840 + SUM(SUMIFS($I$1:I1839, $C$1:C1839, C1840, $B$1:B1839, {"MAL ALIMI","ÜRETİM GİRİŞ"})) - VLOOKUP(C1840, 'STOK RAPORU'!$C$2:$I$1000, 4, 0))), 0)</f>
        <v>0</v>
      </c>
      <c r="U1840" s="22">
        <f t="shared" si="112"/>
        <v>0</v>
      </c>
      <c r="V1840">
        <f t="shared" si="113"/>
        <v>0</v>
      </c>
      <c r="W1840" s="22">
        <f t="shared" si="114"/>
        <v>0</v>
      </c>
    </row>
    <row r="1841" spans="1:23" hidden="1" x14ac:dyDescent="0.25">
      <c r="A1841" s="3">
        <v>45996</v>
      </c>
      <c r="B1841" s="4" t="s">
        <v>334</v>
      </c>
      <c r="C1841" s="4" t="s">
        <v>767</v>
      </c>
      <c r="D1841" s="4"/>
      <c r="E1841" s="4"/>
      <c r="F1841" s="4" t="s">
        <v>1124</v>
      </c>
      <c r="G1841" s="4" t="s">
        <v>336</v>
      </c>
      <c r="H1841" s="4" t="s">
        <v>289</v>
      </c>
      <c r="I1841" s="4">
        <v>1</v>
      </c>
      <c r="J1841" s="21">
        <v>200</v>
      </c>
      <c r="K1841" s="21">
        <v>0</v>
      </c>
      <c r="L1841" s="5">
        <v>0</v>
      </c>
      <c r="M1841" s="4"/>
      <c r="N1841" s="4"/>
      <c r="O1841" s="5"/>
      <c r="P1841" s="5"/>
      <c r="Q1841" s="21">
        <v>200</v>
      </c>
      <c r="R1841" s="21">
        <v>0</v>
      </c>
      <c r="S1841" s="5">
        <f t="shared" si="115"/>
        <v>47761.058760151987</v>
      </c>
      <c r="T1841" cm="1">
        <f t="array" ref="T1841">IF(OR(B1841="MAL ALIMI", B1841="ÜRETİM GİRİŞ"), MIN(I1841, MAX(0, I1841 + SUM(SUMIFS($I$1:I1840, $C$1:C1840, C1841, $B$1:B1840, {"MAL ALIMI","ÜRETİM GİRİŞ"})) - VLOOKUP(C1841, 'STOK RAPORU'!$C$2:$I$1000, 4, 0))), 0)</f>
        <v>0</v>
      </c>
      <c r="U1841" s="22">
        <f t="shared" si="112"/>
        <v>0</v>
      </c>
      <c r="V1841">
        <f t="shared" si="113"/>
        <v>0</v>
      </c>
      <c r="W1841" s="22">
        <f t="shared" si="114"/>
        <v>0</v>
      </c>
    </row>
    <row r="1842" spans="1:23" hidden="1" x14ac:dyDescent="0.25">
      <c r="A1842" s="3">
        <v>45996</v>
      </c>
      <c r="B1842" s="4" t="s">
        <v>334</v>
      </c>
      <c r="C1842" s="4" t="s">
        <v>241</v>
      </c>
      <c r="D1842" s="4"/>
      <c r="E1842" s="4"/>
      <c r="F1842" s="4" t="s">
        <v>1125</v>
      </c>
      <c r="G1842" s="4" t="s">
        <v>336</v>
      </c>
      <c r="H1842" s="4" t="s">
        <v>289</v>
      </c>
      <c r="I1842" s="4">
        <v>0.27777777777777779</v>
      </c>
      <c r="J1842" s="21">
        <v>360</v>
      </c>
      <c r="K1842" s="21">
        <v>0</v>
      </c>
      <c r="L1842" s="5">
        <v>0</v>
      </c>
      <c r="M1842" s="4"/>
      <c r="N1842" s="4"/>
      <c r="O1842" s="5"/>
      <c r="P1842" s="5"/>
      <c r="Q1842" s="21">
        <v>100</v>
      </c>
      <c r="R1842" s="21">
        <v>0</v>
      </c>
      <c r="S1842" s="5">
        <f t="shared" si="115"/>
        <v>47861.058760151987</v>
      </c>
      <c r="T1842" cm="1">
        <f t="array" ref="T1842">IF(OR(B1842="MAL ALIMI", B1842="ÜRETİM GİRİŞ"), MIN(I1842, MAX(0, I1842 + SUM(SUMIFS($I$1:I1841, $C$1:C1841, C1842, $B$1:B1841, {"MAL ALIMI","ÜRETİM GİRİŞ"})) - VLOOKUP(C1842, 'STOK RAPORU'!$C$2:$I$1000, 4, 0))), 0)</f>
        <v>0</v>
      </c>
      <c r="U1842" s="22">
        <f t="shared" si="112"/>
        <v>0</v>
      </c>
      <c r="V1842">
        <f t="shared" si="113"/>
        <v>0</v>
      </c>
      <c r="W1842" s="22">
        <f t="shared" si="114"/>
        <v>0</v>
      </c>
    </row>
    <row r="1843" spans="1:23" hidden="1" x14ac:dyDescent="0.25">
      <c r="A1843" s="3">
        <v>45996</v>
      </c>
      <c r="B1843" s="4" t="s">
        <v>334</v>
      </c>
      <c r="C1843" s="4" t="s">
        <v>693</v>
      </c>
      <c r="D1843" s="4"/>
      <c r="E1843" s="4"/>
      <c r="F1843" s="4" t="s">
        <v>1125</v>
      </c>
      <c r="G1843" s="4" t="s">
        <v>336</v>
      </c>
      <c r="H1843" s="4" t="s">
        <v>289</v>
      </c>
      <c r="I1843" s="4">
        <v>0.25641025641025639</v>
      </c>
      <c r="J1843" s="21">
        <v>195</v>
      </c>
      <c r="K1843" s="21">
        <v>0</v>
      </c>
      <c r="L1843" s="5">
        <v>0</v>
      </c>
      <c r="M1843" s="4"/>
      <c r="N1843" s="4"/>
      <c r="O1843" s="5"/>
      <c r="P1843" s="5"/>
      <c r="Q1843" s="21">
        <v>49.999999999999993</v>
      </c>
      <c r="R1843" s="21">
        <v>0</v>
      </c>
      <c r="S1843" s="5">
        <f t="shared" si="115"/>
        <v>47911.058760151987</v>
      </c>
      <c r="T1843" cm="1">
        <f t="array" ref="T1843">IF(OR(B1843="MAL ALIMI", B1843="ÜRETİM GİRİŞ"), MIN(I1843, MAX(0, I1843 + SUM(SUMIFS($I$1:I1842, $C$1:C1842, C1843, $B$1:B1842, {"MAL ALIMI","ÜRETİM GİRİŞ"})) - VLOOKUP(C1843, 'STOK RAPORU'!$C$2:$I$1000, 4, 0))), 0)</f>
        <v>0</v>
      </c>
      <c r="U1843" s="22">
        <f t="shared" si="112"/>
        <v>0</v>
      </c>
      <c r="V1843">
        <f t="shared" si="113"/>
        <v>0</v>
      </c>
      <c r="W1843" s="22">
        <f t="shared" si="114"/>
        <v>0</v>
      </c>
    </row>
    <row r="1844" spans="1:23" hidden="1" x14ac:dyDescent="0.25">
      <c r="A1844" s="3">
        <v>45996</v>
      </c>
      <c r="B1844" s="4" t="s">
        <v>334</v>
      </c>
      <c r="C1844" s="4" t="s">
        <v>694</v>
      </c>
      <c r="D1844" s="4"/>
      <c r="E1844" s="4"/>
      <c r="F1844" s="4" t="s">
        <v>1125</v>
      </c>
      <c r="G1844" s="4" t="s">
        <v>336</v>
      </c>
      <c r="H1844" s="4" t="s">
        <v>289</v>
      </c>
      <c r="I1844" s="4">
        <v>0.25641025641025639</v>
      </c>
      <c r="J1844" s="21">
        <v>195</v>
      </c>
      <c r="K1844" s="21">
        <v>0</v>
      </c>
      <c r="L1844" s="5">
        <v>0</v>
      </c>
      <c r="M1844" s="4"/>
      <c r="N1844" s="4"/>
      <c r="O1844" s="5"/>
      <c r="P1844" s="5"/>
      <c r="Q1844" s="21">
        <v>49.999999999999993</v>
      </c>
      <c r="R1844" s="21">
        <v>0</v>
      </c>
      <c r="S1844" s="5">
        <f t="shared" si="115"/>
        <v>47961.058760151987</v>
      </c>
      <c r="T1844" cm="1">
        <f t="array" ref="T1844">IF(OR(B1844="MAL ALIMI", B1844="ÜRETİM GİRİŞ"), MIN(I1844, MAX(0, I1844 + SUM(SUMIFS($I$1:I1843, $C$1:C1843, C1844, $B$1:B1843, {"MAL ALIMI","ÜRETİM GİRİŞ"})) - VLOOKUP(C1844, 'STOK RAPORU'!$C$2:$I$1000, 4, 0))), 0)</f>
        <v>0</v>
      </c>
      <c r="U1844" s="22">
        <f t="shared" si="112"/>
        <v>0</v>
      </c>
      <c r="V1844">
        <f t="shared" si="113"/>
        <v>0</v>
      </c>
      <c r="W1844" s="22">
        <f t="shared" si="114"/>
        <v>0</v>
      </c>
    </row>
    <row r="1845" spans="1:23" hidden="1" x14ac:dyDescent="0.25">
      <c r="A1845" s="3">
        <v>45996</v>
      </c>
      <c r="B1845" s="4" t="s">
        <v>334</v>
      </c>
      <c r="C1845" s="4" t="s">
        <v>634</v>
      </c>
      <c r="D1845" s="4"/>
      <c r="E1845" s="4"/>
      <c r="F1845" s="4" t="s">
        <v>1125</v>
      </c>
      <c r="G1845" s="4" t="s">
        <v>336</v>
      </c>
      <c r="H1845" s="4" t="s">
        <v>289</v>
      </c>
      <c r="I1845" s="4">
        <v>0.23529411764705882</v>
      </c>
      <c r="J1845" s="21">
        <v>850</v>
      </c>
      <c r="K1845" s="21">
        <v>0</v>
      </c>
      <c r="L1845" s="5">
        <v>0</v>
      </c>
      <c r="M1845" s="4"/>
      <c r="N1845" s="4"/>
      <c r="O1845" s="5"/>
      <c r="P1845" s="5"/>
      <c r="Q1845" s="21">
        <v>200</v>
      </c>
      <c r="R1845" s="21">
        <v>0</v>
      </c>
      <c r="S1845" s="5">
        <f t="shared" si="115"/>
        <v>48161.058760151987</v>
      </c>
      <c r="T1845" cm="1">
        <f t="array" ref="T1845">IF(OR(B1845="MAL ALIMI", B1845="ÜRETİM GİRİŞ"), MIN(I1845, MAX(0, I1845 + SUM(SUMIFS($I$1:I1844, $C$1:C1844, C1845, $B$1:B1844, {"MAL ALIMI","ÜRETİM GİRİŞ"})) - VLOOKUP(C1845, 'STOK RAPORU'!$C$2:$I$1000, 4, 0))), 0)</f>
        <v>0</v>
      </c>
      <c r="U1845" s="22">
        <f t="shared" si="112"/>
        <v>0</v>
      </c>
      <c r="V1845">
        <f t="shared" si="113"/>
        <v>0</v>
      </c>
      <c r="W1845" s="22">
        <f t="shared" si="114"/>
        <v>0</v>
      </c>
    </row>
    <row r="1846" spans="1:23" hidden="1" x14ac:dyDescent="0.25">
      <c r="A1846" s="3">
        <v>45996</v>
      </c>
      <c r="B1846" s="4" t="s">
        <v>334</v>
      </c>
      <c r="C1846" s="4" t="s">
        <v>270</v>
      </c>
      <c r="D1846" s="4"/>
      <c r="E1846" s="4"/>
      <c r="F1846" s="4" t="s">
        <v>1247</v>
      </c>
      <c r="G1846" s="4" t="s">
        <v>336</v>
      </c>
      <c r="H1846" s="4" t="s">
        <v>289</v>
      </c>
      <c r="I1846" s="4">
        <v>2</v>
      </c>
      <c r="J1846" s="21">
        <v>140</v>
      </c>
      <c r="K1846" s="21">
        <v>0</v>
      </c>
      <c r="L1846" s="5">
        <v>0</v>
      </c>
      <c r="M1846" s="4"/>
      <c r="N1846" s="4"/>
      <c r="O1846" s="5"/>
      <c r="P1846" s="5"/>
      <c r="Q1846" s="21">
        <v>280</v>
      </c>
      <c r="R1846" s="21">
        <v>0</v>
      </c>
      <c r="S1846" s="5">
        <f t="shared" si="115"/>
        <v>48441.058760151987</v>
      </c>
      <c r="T1846" cm="1">
        <f t="array" ref="T1846">IF(OR(B1846="MAL ALIMI", B1846="ÜRETİM GİRİŞ"), MIN(I1846, MAX(0, I1846 + SUM(SUMIFS($I$1:I1845, $C$1:C1845, C1846, $B$1:B1845, {"MAL ALIMI","ÜRETİM GİRİŞ"})) - VLOOKUP(C1846, 'STOK RAPORU'!$C$2:$I$1000, 4, 0))), 0)</f>
        <v>0</v>
      </c>
      <c r="U1846" s="22">
        <f t="shared" si="112"/>
        <v>0</v>
      </c>
      <c r="V1846">
        <f t="shared" si="113"/>
        <v>0</v>
      </c>
      <c r="W1846" s="22">
        <f t="shared" si="114"/>
        <v>0</v>
      </c>
    </row>
    <row r="1847" spans="1:23" hidden="1" x14ac:dyDescent="0.25">
      <c r="A1847" s="3">
        <v>45996</v>
      </c>
      <c r="B1847" s="4" t="s">
        <v>917</v>
      </c>
      <c r="C1847" s="4"/>
      <c r="D1847" s="4"/>
      <c r="E1847" s="4" t="s">
        <v>350</v>
      </c>
      <c r="F1847" s="4"/>
      <c r="G1847" s="4" t="s">
        <v>918</v>
      </c>
      <c r="H1847" s="4" t="s">
        <v>289</v>
      </c>
      <c r="I1847" s="4">
        <v>1</v>
      </c>
      <c r="J1847" s="21">
        <v>0</v>
      </c>
      <c r="K1847" s="21">
        <v>5000</v>
      </c>
      <c r="L1847" s="5">
        <v>0</v>
      </c>
      <c r="M1847" s="4"/>
      <c r="N1847" s="4"/>
      <c r="O1847" s="5"/>
      <c r="P1847" s="5"/>
      <c r="Q1847" s="21">
        <v>0</v>
      </c>
      <c r="R1847" s="21">
        <v>5000</v>
      </c>
      <c r="S1847" s="5">
        <f t="shared" si="115"/>
        <v>43441.058760151987</v>
      </c>
      <c r="T1847" cm="1">
        <f t="array" ref="T1847">IF(OR(B1847="MAL ALIMI", B1847="ÜRETİM GİRİŞ"), MIN(I1847, MAX(0, I1847 + SUM(SUMIFS($I$1:I1846, $C$1:C1846, C1847, $B$1:B1846, {"MAL ALIMI","ÜRETİM GİRİŞ"})) - VLOOKUP(C1847, 'STOK RAPORU'!$C$2:$I$1000, 4, 0))), 0)</f>
        <v>0</v>
      </c>
      <c r="U1847" s="22">
        <f t="shared" si="112"/>
        <v>0</v>
      </c>
      <c r="V1847">
        <f t="shared" si="113"/>
        <v>0</v>
      </c>
      <c r="W1847" s="22">
        <f t="shared" si="114"/>
        <v>0</v>
      </c>
    </row>
    <row r="1848" spans="1:23" hidden="1" x14ac:dyDescent="0.25">
      <c r="A1848" s="3">
        <v>45996</v>
      </c>
      <c r="B1848" s="4" t="s">
        <v>946</v>
      </c>
      <c r="C1848" s="4"/>
      <c r="D1848" s="4"/>
      <c r="E1848" s="4" t="s">
        <v>921</v>
      </c>
      <c r="F1848" s="4"/>
      <c r="G1848" s="4" t="s">
        <v>946</v>
      </c>
      <c r="H1848" s="4" t="s">
        <v>380</v>
      </c>
      <c r="I1848" s="4">
        <v>1</v>
      </c>
      <c r="J1848" s="105">
        <v>375</v>
      </c>
      <c r="K1848" s="21">
        <v>0</v>
      </c>
      <c r="L1848" s="111">
        <v>375</v>
      </c>
      <c r="M1848" s="4"/>
      <c r="N1848" s="4"/>
      <c r="O1848" s="5"/>
      <c r="P1848" s="5"/>
      <c r="Q1848" s="21">
        <v>375</v>
      </c>
      <c r="R1848" s="21">
        <v>0</v>
      </c>
      <c r="S1848" s="5">
        <f t="shared" si="115"/>
        <v>43816.058760151987</v>
      </c>
      <c r="T1848" cm="1">
        <f t="array" ref="T1848">IF(OR(B1848="MAL ALIMI", B1848="ÜRETİM GİRİŞ"), MIN(I1848, MAX(0, I1848 + SUM(SUMIFS($I$1:I1847, $C$1:C1847, C1848, $B$1:B1847, {"MAL ALIMI","ÜRETİM GİRİŞ"})) - VLOOKUP(C1848, 'STOK RAPORU'!$C$2:$I$1000, 4, 0))), 0)</f>
        <v>0</v>
      </c>
      <c r="U1848" s="22">
        <f t="shared" si="112"/>
        <v>0</v>
      </c>
      <c r="V1848">
        <f t="shared" si="113"/>
        <v>0</v>
      </c>
      <c r="W1848" s="22">
        <f t="shared" si="114"/>
        <v>0</v>
      </c>
    </row>
    <row r="1849" spans="1:23" hidden="1" x14ac:dyDescent="0.25">
      <c r="A1849" s="3">
        <v>45996</v>
      </c>
      <c r="B1849" s="4" t="s">
        <v>946</v>
      </c>
      <c r="C1849" s="4"/>
      <c r="D1849" s="4"/>
      <c r="E1849" s="4" t="s">
        <v>921</v>
      </c>
      <c r="F1849" s="4"/>
      <c r="G1849" s="4" t="s">
        <v>946</v>
      </c>
      <c r="H1849" s="4" t="s">
        <v>380</v>
      </c>
      <c r="I1849" s="4">
        <v>1</v>
      </c>
      <c r="J1849" s="105">
        <v>101</v>
      </c>
      <c r="K1849" s="21">
        <v>0</v>
      </c>
      <c r="L1849" s="111">
        <v>101</v>
      </c>
      <c r="M1849" s="4"/>
      <c r="N1849" s="4"/>
      <c r="O1849" s="5"/>
      <c r="P1849" s="5"/>
      <c r="Q1849" s="21">
        <v>101</v>
      </c>
      <c r="R1849" s="21">
        <v>0</v>
      </c>
      <c r="S1849" s="5">
        <f t="shared" si="115"/>
        <v>43917.058760151987</v>
      </c>
      <c r="T1849" cm="1">
        <f t="array" ref="T1849">IF(OR(B1849="MAL ALIMI", B1849="ÜRETİM GİRİŞ"), MIN(I1849, MAX(0, I1849 + SUM(SUMIFS($I$1:I1848, $C$1:C1848, C1849, $B$1:B1848, {"MAL ALIMI","ÜRETİM GİRİŞ"})) - VLOOKUP(C1849, 'STOK RAPORU'!$C$2:$I$1000, 4, 0))), 0)</f>
        <v>0</v>
      </c>
      <c r="U1849" s="22">
        <f t="shared" si="112"/>
        <v>0</v>
      </c>
      <c r="V1849">
        <f t="shared" si="113"/>
        <v>0</v>
      </c>
      <c r="W1849" s="22">
        <f t="shared" si="114"/>
        <v>0</v>
      </c>
    </row>
    <row r="1850" spans="1:23" x14ac:dyDescent="0.25">
      <c r="A1850" s="3">
        <v>45996</v>
      </c>
      <c r="B1850" s="4" t="s">
        <v>659</v>
      </c>
      <c r="C1850" s="4" t="s">
        <v>233</v>
      </c>
      <c r="D1850" s="4"/>
      <c r="E1850" s="4" t="s">
        <v>350</v>
      </c>
      <c r="F1850" s="4"/>
      <c r="G1850" s="4" t="s">
        <v>3159</v>
      </c>
      <c r="H1850" s="4" t="s">
        <v>304</v>
      </c>
      <c r="I1850" s="4">
        <v>1</v>
      </c>
      <c r="J1850" s="21">
        <v>115</v>
      </c>
      <c r="K1850" s="21">
        <v>115</v>
      </c>
      <c r="L1850" s="5">
        <v>0</v>
      </c>
      <c r="M1850" s="4"/>
      <c r="N1850" s="4"/>
      <c r="O1850" s="5"/>
      <c r="P1850" s="5"/>
      <c r="Q1850" s="21">
        <v>0</v>
      </c>
      <c r="R1850" s="21">
        <v>0</v>
      </c>
      <c r="S1850" s="5">
        <f t="shared" si="115"/>
        <v>43917.058760151987</v>
      </c>
      <c r="T1850" cm="1">
        <f t="array" ref="T1850">IF(OR(B1850="MAL ALIMI", B1850="ÜRETİM GİRİŞ"), MIN(I1850, MAX(0, I1850 + SUM(SUMIFS($I$1:I1849, $C$1:C1849, C1850, $B$1:B1849, {"MAL ALIMI","ÜRETİM GİRİŞ"})) - VLOOKUP(C1850, 'STOK RAPORU'!$C$2:$I$1000, 4, 0))), 0)</f>
        <v>0</v>
      </c>
      <c r="U1850" s="22">
        <f t="shared" si="112"/>
        <v>0</v>
      </c>
      <c r="V1850">
        <f t="shared" si="113"/>
        <v>0</v>
      </c>
      <c r="W1850" s="22">
        <f t="shared" si="114"/>
        <v>0</v>
      </c>
    </row>
    <row r="1851" spans="1:23" x14ac:dyDescent="0.25">
      <c r="A1851" s="3">
        <v>45996</v>
      </c>
      <c r="B1851" s="4" t="s">
        <v>659</v>
      </c>
      <c r="C1851" s="4" t="s">
        <v>216</v>
      </c>
      <c r="D1851" s="4"/>
      <c r="E1851" s="4" t="s">
        <v>350</v>
      </c>
      <c r="F1851" s="4"/>
      <c r="G1851" s="4" t="s">
        <v>3159</v>
      </c>
      <c r="H1851" s="4" t="s">
        <v>304</v>
      </c>
      <c r="I1851" s="4">
        <v>3</v>
      </c>
      <c r="J1851" s="21">
        <v>65</v>
      </c>
      <c r="K1851" s="21">
        <v>195</v>
      </c>
      <c r="L1851" s="5">
        <v>0</v>
      </c>
      <c r="M1851" s="4"/>
      <c r="N1851" s="4"/>
      <c r="O1851" s="5"/>
      <c r="P1851" s="5"/>
      <c r="Q1851" s="21">
        <v>0</v>
      </c>
      <c r="R1851" s="21">
        <v>0</v>
      </c>
      <c r="S1851" s="5">
        <f t="shared" si="115"/>
        <v>43917.058760151987</v>
      </c>
      <c r="T1851" cm="1">
        <f t="array" ref="T1851">IF(OR(B1851="MAL ALIMI", B1851="ÜRETİM GİRİŞ"), MIN(I1851, MAX(0, I1851 + SUM(SUMIFS($I$1:I1850, $C$1:C1850, C1851, $B$1:B1850, {"MAL ALIMI","ÜRETİM GİRİŞ"})) - VLOOKUP(C1851, 'STOK RAPORU'!$C$2:$I$1000, 4, 0))), 0)</f>
        <v>0</v>
      </c>
      <c r="U1851" s="22">
        <f t="shared" si="112"/>
        <v>0</v>
      </c>
      <c r="V1851">
        <f t="shared" si="113"/>
        <v>0</v>
      </c>
      <c r="W1851" s="22">
        <f t="shared" si="114"/>
        <v>0</v>
      </c>
    </row>
    <row r="1852" spans="1:23" hidden="1" x14ac:dyDescent="0.25">
      <c r="A1852" s="3">
        <v>45997</v>
      </c>
      <c r="B1852" s="4" t="s">
        <v>285</v>
      </c>
      <c r="C1852" s="4"/>
      <c r="D1852" s="4" t="s">
        <v>112</v>
      </c>
      <c r="E1852" s="4" t="s">
        <v>856</v>
      </c>
      <c r="F1852" s="4" t="s">
        <v>1339</v>
      </c>
      <c r="G1852" s="4" t="s">
        <v>1337</v>
      </c>
      <c r="H1852" s="4" t="s">
        <v>1329</v>
      </c>
      <c r="I1852" s="4">
        <v>1</v>
      </c>
      <c r="J1852" s="35">
        <v>8660.44</v>
      </c>
      <c r="K1852" s="35">
        <v>0</v>
      </c>
      <c r="L1852" s="5">
        <v>8660.44</v>
      </c>
      <c r="M1852" s="4"/>
      <c r="N1852" s="4"/>
      <c r="O1852" s="5"/>
      <c r="P1852" s="5"/>
      <c r="Q1852" s="35">
        <v>0</v>
      </c>
      <c r="R1852" s="35">
        <v>0</v>
      </c>
      <c r="S1852" s="5">
        <f t="shared" si="115"/>
        <v>43917.058760151987</v>
      </c>
      <c r="T1852" cm="1">
        <f t="array" ref="T1852">IF(OR(B1852="MAL ALIMI", B1852="ÜRETİM GİRİŞ"), MIN(I1852, MAX(0, I1852 + SUM(SUMIFS($I$1:I1851, $C$1:C1851, C1852, $B$1:B1851, {"MAL ALIMI","ÜRETİM GİRİŞ"})) - VLOOKUP(C1852, 'STOK RAPORU'!$C$2:$I$1000, 4, 0))), 0)</f>
        <v>0</v>
      </c>
      <c r="U1852" s="22">
        <f t="shared" si="112"/>
        <v>0</v>
      </c>
      <c r="V1852">
        <f t="shared" si="113"/>
        <v>0</v>
      </c>
      <c r="W1852" s="22">
        <f t="shared" si="114"/>
        <v>0</v>
      </c>
    </row>
    <row r="1853" spans="1:23" hidden="1" x14ac:dyDescent="0.25">
      <c r="A1853" s="3">
        <v>45997</v>
      </c>
      <c r="B1853" s="4" t="s">
        <v>334</v>
      </c>
      <c r="C1853" s="4" t="s">
        <v>209</v>
      </c>
      <c r="D1853" s="4"/>
      <c r="E1853" s="4"/>
      <c r="F1853" s="4" t="s">
        <v>1128</v>
      </c>
      <c r="G1853" s="4" t="s">
        <v>336</v>
      </c>
      <c r="H1853" s="4" t="s">
        <v>289</v>
      </c>
      <c r="I1853" s="4">
        <v>0.05</v>
      </c>
      <c r="J1853" s="21">
        <v>2600</v>
      </c>
      <c r="K1853" s="21">
        <v>0</v>
      </c>
      <c r="L1853" s="5">
        <v>0</v>
      </c>
      <c r="M1853" s="4"/>
      <c r="N1853" s="4"/>
      <c r="O1853" s="5"/>
      <c r="P1853" s="5"/>
      <c r="Q1853" s="21">
        <v>130</v>
      </c>
      <c r="R1853" s="21">
        <v>0</v>
      </c>
      <c r="S1853" s="5">
        <f t="shared" si="115"/>
        <v>44047.058760151987</v>
      </c>
      <c r="T1853" cm="1">
        <f t="array" ref="T1853">IF(OR(B1853="MAL ALIMI", B1853="ÜRETİM GİRİŞ"), MIN(I1853, MAX(0, I1853 + SUM(SUMIFS($I$1:I1852, $C$1:C1852, C1853, $B$1:B1852, {"MAL ALIMI","ÜRETİM GİRİŞ"})) - VLOOKUP(C1853, 'STOK RAPORU'!$C$2:$I$1000, 4, 0))), 0)</f>
        <v>0</v>
      </c>
      <c r="U1853" s="22">
        <f t="shared" si="112"/>
        <v>0</v>
      </c>
      <c r="V1853">
        <f t="shared" si="113"/>
        <v>0</v>
      </c>
      <c r="W1853" s="22">
        <f t="shared" si="114"/>
        <v>0</v>
      </c>
    </row>
    <row r="1854" spans="1:23" hidden="1" x14ac:dyDescent="0.25">
      <c r="A1854" s="3">
        <v>45997</v>
      </c>
      <c r="B1854" s="4" t="s">
        <v>334</v>
      </c>
      <c r="C1854" s="4" t="s">
        <v>157</v>
      </c>
      <c r="D1854" s="4"/>
      <c r="E1854" s="4"/>
      <c r="F1854" s="4" t="s">
        <v>1128</v>
      </c>
      <c r="G1854" s="4" t="s">
        <v>336</v>
      </c>
      <c r="H1854" s="4" t="s">
        <v>289</v>
      </c>
      <c r="I1854" s="4">
        <v>0.5</v>
      </c>
      <c r="J1854" s="21">
        <v>180</v>
      </c>
      <c r="K1854" s="21">
        <v>0</v>
      </c>
      <c r="L1854" s="5">
        <v>0</v>
      </c>
      <c r="M1854" s="4"/>
      <c r="N1854" s="4"/>
      <c r="O1854" s="5"/>
      <c r="P1854" s="5"/>
      <c r="Q1854" s="21">
        <v>90</v>
      </c>
      <c r="R1854" s="21">
        <v>0</v>
      </c>
      <c r="S1854" s="5">
        <f t="shared" si="115"/>
        <v>44137.058760151987</v>
      </c>
      <c r="T1854" cm="1">
        <f t="array" ref="T1854">IF(OR(B1854="MAL ALIMI", B1854="ÜRETİM GİRİŞ"), MIN(I1854, MAX(0, I1854 + SUM(SUMIFS($I$1:I1853, $C$1:C1853, C1854, $B$1:B1853, {"MAL ALIMI","ÜRETİM GİRİŞ"})) - VLOOKUP(C1854, 'STOK RAPORU'!$C$2:$I$1000, 4, 0))), 0)</f>
        <v>0</v>
      </c>
      <c r="U1854" s="22">
        <f t="shared" si="112"/>
        <v>0</v>
      </c>
      <c r="V1854">
        <f t="shared" si="113"/>
        <v>0</v>
      </c>
      <c r="W1854" s="22">
        <f t="shared" si="114"/>
        <v>0</v>
      </c>
    </row>
    <row r="1855" spans="1:23" hidden="1" x14ac:dyDescent="0.25">
      <c r="A1855" s="3">
        <v>45997</v>
      </c>
      <c r="B1855" s="4" t="s">
        <v>334</v>
      </c>
      <c r="C1855" s="4" t="s">
        <v>587</v>
      </c>
      <c r="D1855" s="4"/>
      <c r="E1855" s="4"/>
      <c r="F1855" s="4" t="s">
        <v>1128</v>
      </c>
      <c r="G1855" s="4" t="s">
        <v>336</v>
      </c>
      <c r="H1855" s="4" t="s">
        <v>289</v>
      </c>
      <c r="I1855" s="4">
        <v>0.5</v>
      </c>
      <c r="J1855" s="21">
        <v>130</v>
      </c>
      <c r="K1855" s="21">
        <v>0</v>
      </c>
      <c r="L1855" s="5">
        <v>0</v>
      </c>
      <c r="M1855" s="4"/>
      <c r="N1855" s="4"/>
      <c r="O1855" s="5"/>
      <c r="P1855" s="5"/>
      <c r="Q1855" s="21">
        <v>65</v>
      </c>
      <c r="R1855" s="21">
        <v>0</v>
      </c>
      <c r="S1855" s="5">
        <f t="shared" si="115"/>
        <v>44202.058760151987</v>
      </c>
      <c r="T1855" cm="1">
        <f t="array" ref="T1855">IF(OR(B1855="MAL ALIMI", B1855="ÜRETİM GİRİŞ"), MIN(I1855, MAX(0, I1855 + SUM(SUMIFS($I$1:I1854, $C$1:C1854, C1855, $B$1:B1854, {"MAL ALIMI","ÜRETİM GİRİŞ"})) - VLOOKUP(C1855, 'STOK RAPORU'!$C$2:$I$1000, 4, 0))), 0)</f>
        <v>0</v>
      </c>
      <c r="U1855" s="22">
        <f t="shared" si="112"/>
        <v>0</v>
      </c>
      <c r="V1855">
        <f t="shared" si="113"/>
        <v>0</v>
      </c>
      <c r="W1855" s="22">
        <f t="shared" si="114"/>
        <v>0</v>
      </c>
    </row>
    <row r="1856" spans="1:23" hidden="1" x14ac:dyDescent="0.25">
      <c r="A1856" s="3">
        <v>45997</v>
      </c>
      <c r="B1856" s="4" t="s">
        <v>334</v>
      </c>
      <c r="C1856" s="4" t="s">
        <v>160</v>
      </c>
      <c r="D1856" s="4"/>
      <c r="E1856" s="4"/>
      <c r="F1856" s="4" t="s">
        <v>1128</v>
      </c>
      <c r="G1856" s="4" t="s">
        <v>336</v>
      </c>
      <c r="H1856" s="4" t="s">
        <v>289</v>
      </c>
      <c r="I1856" s="4">
        <v>1</v>
      </c>
      <c r="J1856" s="21">
        <v>240</v>
      </c>
      <c r="K1856" s="21">
        <v>0</v>
      </c>
      <c r="L1856" s="5">
        <v>0</v>
      </c>
      <c r="M1856" s="4"/>
      <c r="N1856" s="4"/>
      <c r="O1856" s="5"/>
      <c r="P1856" s="5"/>
      <c r="Q1856" s="21">
        <v>240</v>
      </c>
      <c r="R1856" s="21">
        <v>0</v>
      </c>
      <c r="S1856" s="5">
        <f t="shared" si="115"/>
        <v>44442.058760151987</v>
      </c>
      <c r="T1856" cm="1">
        <f t="array" ref="T1856">IF(OR(B1856="MAL ALIMI", B1856="ÜRETİM GİRİŞ"), MIN(I1856, MAX(0, I1856 + SUM(SUMIFS($I$1:I1855, $C$1:C1855, C1856, $B$1:B1855, {"MAL ALIMI","ÜRETİM GİRİŞ"})) - VLOOKUP(C1856, 'STOK RAPORU'!$C$2:$I$1000, 4, 0))), 0)</f>
        <v>0</v>
      </c>
      <c r="U1856" s="22">
        <f t="shared" si="112"/>
        <v>0</v>
      </c>
      <c r="V1856">
        <f t="shared" si="113"/>
        <v>0</v>
      </c>
      <c r="W1856" s="22">
        <f t="shared" si="114"/>
        <v>0</v>
      </c>
    </row>
    <row r="1857" spans="1:23" hidden="1" x14ac:dyDescent="0.25">
      <c r="A1857" s="3">
        <v>45997</v>
      </c>
      <c r="B1857" s="4" t="s">
        <v>334</v>
      </c>
      <c r="C1857" s="4" t="s">
        <v>486</v>
      </c>
      <c r="D1857" s="4"/>
      <c r="E1857" s="4"/>
      <c r="F1857" s="4" t="s">
        <v>1128</v>
      </c>
      <c r="G1857" s="4" t="s">
        <v>336</v>
      </c>
      <c r="H1857" s="4" t="s">
        <v>289</v>
      </c>
      <c r="I1857" s="4">
        <v>1</v>
      </c>
      <c r="J1857" s="21">
        <v>180</v>
      </c>
      <c r="K1857" s="21">
        <v>0</v>
      </c>
      <c r="L1857" s="5">
        <v>0</v>
      </c>
      <c r="M1857" s="4"/>
      <c r="N1857" s="4"/>
      <c r="O1857" s="5"/>
      <c r="P1857" s="5"/>
      <c r="Q1857" s="21">
        <v>180</v>
      </c>
      <c r="R1857" s="21">
        <v>0</v>
      </c>
      <c r="S1857" s="5">
        <f t="shared" si="115"/>
        <v>44622.058760151987</v>
      </c>
      <c r="T1857" cm="1">
        <f t="array" ref="T1857">IF(OR(B1857="MAL ALIMI", B1857="ÜRETİM GİRİŞ"), MIN(I1857, MAX(0, I1857 + SUM(SUMIFS($I$1:I1856, $C$1:C1856, C1857, $B$1:B1856, {"MAL ALIMI","ÜRETİM GİRİŞ"})) - VLOOKUP(C1857, 'STOK RAPORU'!$C$2:$I$1000, 4, 0))), 0)</f>
        <v>0</v>
      </c>
      <c r="U1857" s="22">
        <f t="shared" si="112"/>
        <v>0</v>
      </c>
      <c r="V1857">
        <f t="shared" si="113"/>
        <v>0</v>
      </c>
      <c r="W1857" s="22">
        <f t="shared" si="114"/>
        <v>0</v>
      </c>
    </row>
    <row r="1858" spans="1:23" hidden="1" x14ac:dyDescent="0.25">
      <c r="A1858" s="3">
        <v>45997</v>
      </c>
      <c r="B1858" s="4" t="s">
        <v>334</v>
      </c>
      <c r="C1858" s="4" t="s">
        <v>262</v>
      </c>
      <c r="D1858" s="4"/>
      <c r="E1858" s="4"/>
      <c r="F1858" s="4" t="s">
        <v>1128</v>
      </c>
      <c r="G1858" s="4" t="s">
        <v>336</v>
      </c>
      <c r="H1858" s="4" t="s">
        <v>289</v>
      </c>
      <c r="I1858" s="4">
        <v>1</v>
      </c>
      <c r="J1858" s="21">
        <v>140</v>
      </c>
      <c r="K1858" s="21">
        <v>0</v>
      </c>
      <c r="L1858" s="5">
        <v>0</v>
      </c>
      <c r="M1858" s="4"/>
      <c r="N1858" s="4"/>
      <c r="O1858" s="5"/>
      <c r="P1858" s="5"/>
      <c r="Q1858" s="21">
        <v>140</v>
      </c>
      <c r="R1858" s="21">
        <v>0</v>
      </c>
      <c r="S1858" s="5">
        <f t="shared" si="115"/>
        <v>44762.058760151987</v>
      </c>
      <c r="T1858" cm="1">
        <f t="array" ref="T1858">IF(OR(B1858="MAL ALIMI", B1858="ÜRETİM GİRİŞ"), MIN(I1858, MAX(0, I1858 + SUM(SUMIFS($I$1:I1857, $C$1:C1857, C1858, $B$1:B1857, {"MAL ALIMI","ÜRETİM GİRİŞ"})) - VLOOKUP(C1858, 'STOK RAPORU'!$C$2:$I$1000, 4, 0))), 0)</f>
        <v>0</v>
      </c>
      <c r="U1858" s="22">
        <f t="shared" si="112"/>
        <v>0</v>
      </c>
      <c r="V1858">
        <f t="shared" si="113"/>
        <v>0</v>
      </c>
      <c r="W1858" s="22">
        <f t="shared" si="114"/>
        <v>0</v>
      </c>
    </row>
    <row r="1859" spans="1:23" hidden="1" x14ac:dyDescent="0.25">
      <c r="A1859" s="3">
        <v>45997</v>
      </c>
      <c r="B1859" s="4" t="s">
        <v>334</v>
      </c>
      <c r="C1859" s="4" t="s">
        <v>690</v>
      </c>
      <c r="D1859" s="4"/>
      <c r="E1859" s="4"/>
      <c r="F1859" s="4" t="s">
        <v>1128</v>
      </c>
      <c r="G1859" s="4" t="s">
        <v>336</v>
      </c>
      <c r="H1859" s="4" t="s">
        <v>289</v>
      </c>
      <c r="I1859" s="4">
        <v>0.46200000000000002</v>
      </c>
      <c r="J1859" s="21">
        <v>340</v>
      </c>
      <c r="K1859" s="21">
        <v>0</v>
      </c>
      <c r="L1859" s="5">
        <v>0</v>
      </c>
      <c r="M1859" s="4"/>
      <c r="N1859" s="4"/>
      <c r="O1859" s="5"/>
      <c r="P1859" s="5"/>
      <c r="Q1859" s="21">
        <v>157.08000000000001</v>
      </c>
      <c r="R1859" s="21">
        <v>0</v>
      </c>
      <c r="S1859" s="5">
        <f t="shared" si="115"/>
        <v>44919.138760151989</v>
      </c>
      <c r="T1859" cm="1">
        <f t="array" ref="T1859">IF(OR(B1859="MAL ALIMI", B1859="ÜRETİM GİRİŞ"), MIN(I1859, MAX(0, I1859 + SUM(SUMIFS($I$1:I1858, $C$1:C1858, C1859, $B$1:B1858, {"MAL ALIMI","ÜRETİM GİRİŞ"})) - VLOOKUP(C1859, 'STOK RAPORU'!$C$2:$I$1000, 4, 0))), 0)</f>
        <v>0</v>
      </c>
      <c r="U1859" s="22">
        <f t="shared" ref="U1859:U1922" si="116">T1859*J1859</f>
        <v>0</v>
      </c>
      <c r="V1859">
        <f t="shared" ref="V1859:V1922" si="117">IF(OR(B1859="MAL ALIMI", B1859="ÜRETİM GİRİŞ"), I1859 * J1859, 0)</f>
        <v>0</v>
      </c>
      <c r="W1859" s="22">
        <f t="shared" ref="W1859:W1922" si="118">V1859-U1859</f>
        <v>0</v>
      </c>
    </row>
    <row r="1860" spans="1:23" hidden="1" x14ac:dyDescent="0.25">
      <c r="A1860" s="3">
        <v>45997</v>
      </c>
      <c r="B1860" s="4" t="s">
        <v>334</v>
      </c>
      <c r="C1860" s="4" t="s">
        <v>202</v>
      </c>
      <c r="D1860" s="4"/>
      <c r="E1860" s="4"/>
      <c r="F1860" s="4" t="s">
        <v>1128</v>
      </c>
      <c r="G1860" s="4" t="s">
        <v>336</v>
      </c>
      <c r="H1860" s="4" t="s">
        <v>289</v>
      </c>
      <c r="I1860" s="4">
        <v>0.5</v>
      </c>
      <c r="J1860" s="21">
        <v>80</v>
      </c>
      <c r="K1860" s="21">
        <v>0</v>
      </c>
      <c r="L1860" s="5">
        <v>0</v>
      </c>
      <c r="M1860" s="4"/>
      <c r="N1860" s="4"/>
      <c r="O1860" s="5"/>
      <c r="P1860" s="5"/>
      <c r="Q1860" s="21">
        <v>40</v>
      </c>
      <c r="R1860" s="21">
        <v>0</v>
      </c>
      <c r="S1860" s="5">
        <f t="shared" ref="S1860:S1923" si="119">S1859+Q1860-R1860</f>
        <v>44959.138760151989</v>
      </c>
      <c r="T1860" cm="1">
        <f t="array" ref="T1860">IF(OR(B1860="MAL ALIMI", B1860="ÜRETİM GİRİŞ"), MIN(I1860, MAX(0, I1860 + SUM(SUMIFS($I$1:I1859, $C$1:C1859, C1860, $B$1:B1859, {"MAL ALIMI","ÜRETİM GİRİŞ"})) - VLOOKUP(C1860, 'STOK RAPORU'!$C$2:$I$1000, 4, 0))), 0)</f>
        <v>0</v>
      </c>
      <c r="U1860" s="22">
        <f t="shared" si="116"/>
        <v>0</v>
      </c>
      <c r="V1860">
        <f t="shared" si="117"/>
        <v>0</v>
      </c>
      <c r="W1860" s="22">
        <f t="shared" si="118"/>
        <v>0</v>
      </c>
    </row>
    <row r="1861" spans="1:23" hidden="1" x14ac:dyDescent="0.25">
      <c r="A1861" s="3">
        <v>45997</v>
      </c>
      <c r="B1861" s="4" t="s">
        <v>334</v>
      </c>
      <c r="C1861" s="4" t="s">
        <v>468</v>
      </c>
      <c r="D1861" s="4"/>
      <c r="E1861" s="4"/>
      <c r="F1861" s="4" t="s">
        <v>1128</v>
      </c>
      <c r="G1861" s="4" t="s">
        <v>336</v>
      </c>
      <c r="H1861" s="4" t="s">
        <v>289</v>
      </c>
      <c r="I1861" s="4">
        <v>1</v>
      </c>
      <c r="J1861" s="21">
        <v>40</v>
      </c>
      <c r="K1861" s="21">
        <v>0</v>
      </c>
      <c r="L1861" s="5">
        <v>0</v>
      </c>
      <c r="M1861" s="4"/>
      <c r="N1861" s="4"/>
      <c r="O1861" s="5"/>
      <c r="P1861" s="5"/>
      <c r="Q1861" s="21">
        <v>40</v>
      </c>
      <c r="R1861" s="21">
        <v>0</v>
      </c>
      <c r="S1861" s="5">
        <f t="shared" si="119"/>
        <v>44999.138760151989</v>
      </c>
      <c r="T1861" cm="1">
        <f t="array" ref="T1861">IF(OR(B1861="MAL ALIMI", B1861="ÜRETİM GİRİŞ"), MIN(I1861, MAX(0, I1861 + SUM(SUMIFS($I$1:I1860, $C$1:C1860, C1861, $B$1:B1860, {"MAL ALIMI","ÜRETİM GİRİŞ"})) - VLOOKUP(C1861, 'STOK RAPORU'!$C$2:$I$1000, 4, 0))), 0)</f>
        <v>0</v>
      </c>
      <c r="U1861" s="22">
        <f t="shared" si="116"/>
        <v>0</v>
      </c>
      <c r="V1861">
        <f t="shared" si="117"/>
        <v>0</v>
      </c>
      <c r="W1861" s="22">
        <f t="shared" si="118"/>
        <v>0</v>
      </c>
    </row>
    <row r="1862" spans="1:23" hidden="1" x14ac:dyDescent="0.25">
      <c r="A1862" s="3">
        <v>45997</v>
      </c>
      <c r="B1862" s="4" t="s">
        <v>334</v>
      </c>
      <c r="C1862" s="4" t="s">
        <v>749</v>
      </c>
      <c r="D1862" s="4"/>
      <c r="E1862" s="4"/>
      <c r="F1862" s="4" t="s">
        <v>1128</v>
      </c>
      <c r="G1862" s="4" t="s">
        <v>336</v>
      </c>
      <c r="H1862" s="4" t="s">
        <v>289</v>
      </c>
      <c r="I1862" s="4">
        <v>1</v>
      </c>
      <c r="J1862" s="21">
        <v>220</v>
      </c>
      <c r="K1862" s="21">
        <v>0</v>
      </c>
      <c r="L1862" s="5">
        <v>0</v>
      </c>
      <c r="M1862" s="4"/>
      <c r="N1862" s="4"/>
      <c r="O1862" s="5"/>
      <c r="P1862" s="5"/>
      <c r="Q1862" s="21">
        <v>220</v>
      </c>
      <c r="R1862" s="21">
        <v>0</v>
      </c>
      <c r="S1862" s="5">
        <f t="shared" si="119"/>
        <v>45219.138760151989</v>
      </c>
      <c r="T1862" cm="1">
        <f t="array" ref="T1862">IF(OR(B1862="MAL ALIMI", B1862="ÜRETİM GİRİŞ"), MIN(I1862, MAX(0, I1862 + SUM(SUMIFS($I$1:I1861, $C$1:C1861, C1862, $B$1:B1861, {"MAL ALIMI","ÜRETİM GİRİŞ"})) - VLOOKUP(C1862, 'STOK RAPORU'!$C$2:$I$1000, 4, 0))), 0)</f>
        <v>0</v>
      </c>
      <c r="U1862" s="22">
        <f t="shared" si="116"/>
        <v>0</v>
      </c>
      <c r="V1862">
        <f t="shared" si="117"/>
        <v>0</v>
      </c>
      <c r="W1862" s="22">
        <f t="shared" si="118"/>
        <v>0</v>
      </c>
    </row>
    <row r="1863" spans="1:23" hidden="1" x14ac:dyDescent="0.25">
      <c r="A1863" s="3">
        <v>45997</v>
      </c>
      <c r="B1863" s="4" t="s">
        <v>334</v>
      </c>
      <c r="C1863" s="4" t="s">
        <v>823</v>
      </c>
      <c r="D1863" s="4"/>
      <c r="E1863" s="4"/>
      <c r="F1863" s="4" t="s">
        <v>1128</v>
      </c>
      <c r="G1863" s="4" t="s">
        <v>336</v>
      </c>
      <c r="H1863" s="4" t="s">
        <v>289</v>
      </c>
      <c r="I1863" s="4">
        <v>1</v>
      </c>
      <c r="J1863" s="21">
        <v>125</v>
      </c>
      <c r="K1863" s="21">
        <v>0</v>
      </c>
      <c r="L1863" s="5">
        <v>0</v>
      </c>
      <c r="M1863" s="4"/>
      <c r="N1863" s="4"/>
      <c r="O1863" s="5"/>
      <c r="P1863" s="5"/>
      <c r="Q1863" s="21">
        <v>125</v>
      </c>
      <c r="R1863" s="21">
        <v>0</v>
      </c>
      <c r="S1863" s="5">
        <f t="shared" si="119"/>
        <v>45344.138760151989</v>
      </c>
      <c r="T1863" cm="1">
        <f t="array" ref="T1863">IF(OR(B1863="MAL ALIMI", B1863="ÜRETİM GİRİŞ"), MIN(I1863, MAX(0, I1863 + SUM(SUMIFS($I$1:I1862, $C$1:C1862, C1863, $B$1:B1862, {"MAL ALIMI","ÜRETİM GİRİŞ"})) - VLOOKUP(C1863, 'STOK RAPORU'!$C$2:$I$1000, 4, 0))), 0)</f>
        <v>0</v>
      </c>
      <c r="U1863" s="22">
        <f t="shared" si="116"/>
        <v>0</v>
      </c>
      <c r="V1863">
        <f t="shared" si="117"/>
        <v>0</v>
      </c>
      <c r="W1863" s="22">
        <f t="shared" si="118"/>
        <v>0</v>
      </c>
    </row>
    <row r="1864" spans="1:23" hidden="1" x14ac:dyDescent="0.25">
      <c r="A1864" s="3">
        <v>45997</v>
      </c>
      <c r="B1864" s="4" t="s">
        <v>334</v>
      </c>
      <c r="C1864" s="4" t="s">
        <v>523</v>
      </c>
      <c r="D1864" s="4"/>
      <c r="E1864" s="4"/>
      <c r="F1864" s="4" t="s">
        <v>1128</v>
      </c>
      <c r="G1864" s="4" t="s">
        <v>336</v>
      </c>
      <c r="H1864" s="4" t="s">
        <v>289</v>
      </c>
      <c r="I1864" s="4">
        <v>0.1</v>
      </c>
      <c r="J1864" s="21">
        <v>650</v>
      </c>
      <c r="K1864" s="21">
        <v>0</v>
      </c>
      <c r="L1864" s="5">
        <v>0</v>
      </c>
      <c r="M1864" s="4"/>
      <c r="N1864" s="4"/>
      <c r="O1864" s="5"/>
      <c r="P1864" s="5"/>
      <c r="Q1864" s="21">
        <v>65</v>
      </c>
      <c r="R1864" s="21">
        <v>0</v>
      </c>
      <c r="S1864" s="5">
        <f t="shared" si="119"/>
        <v>45409.138760151989</v>
      </c>
      <c r="T1864" cm="1">
        <f t="array" ref="T1864">IF(OR(B1864="MAL ALIMI", B1864="ÜRETİM GİRİŞ"), MIN(I1864, MAX(0, I1864 + SUM(SUMIFS($I$1:I1863, $C$1:C1863, C1864, $B$1:B1863, {"MAL ALIMI","ÜRETİM GİRİŞ"})) - VLOOKUP(C1864, 'STOK RAPORU'!$C$2:$I$1000, 4, 0))), 0)</f>
        <v>0</v>
      </c>
      <c r="U1864" s="22">
        <f t="shared" si="116"/>
        <v>0</v>
      </c>
      <c r="V1864">
        <f t="shared" si="117"/>
        <v>0</v>
      </c>
      <c r="W1864" s="22">
        <f t="shared" si="118"/>
        <v>0</v>
      </c>
    </row>
    <row r="1865" spans="1:23" hidden="1" x14ac:dyDescent="0.25">
      <c r="A1865" s="3">
        <v>45997</v>
      </c>
      <c r="B1865" s="4" t="s">
        <v>334</v>
      </c>
      <c r="C1865" s="4" t="s">
        <v>713</v>
      </c>
      <c r="D1865" s="4"/>
      <c r="E1865" s="4"/>
      <c r="F1865" s="4" t="s">
        <v>1128</v>
      </c>
      <c r="G1865" s="4" t="s">
        <v>336</v>
      </c>
      <c r="H1865" s="4" t="s">
        <v>289</v>
      </c>
      <c r="I1865" s="4">
        <v>1</v>
      </c>
      <c r="J1865" s="21">
        <v>320</v>
      </c>
      <c r="K1865" s="21">
        <v>0</v>
      </c>
      <c r="L1865" s="5">
        <v>0</v>
      </c>
      <c r="M1865" s="4"/>
      <c r="N1865" s="4"/>
      <c r="O1865" s="5"/>
      <c r="P1865" s="5"/>
      <c r="Q1865" s="21">
        <v>320</v>
      </c>
      <c r="R1865" s="21">
        <v>0</v>
      </c>
      <c r="S1865" s="5">
        <f t="shared" si="119"/>
        <v>45729.138760151989</v>
      </c>
      <c r="T1865" cm="1">
        <f t="array" ref="T1865">IF(OR(B1865="MAL ALIMI", B1865="ÜRETİM GİRİŞ"), MIN(I1865, MAX(0, I1865 + SUM(SUMIFS($I$1:I1864, $C$1:C1864, C1865, $B$1:B1864, {"MAL ALIMI","ÜRETİM GİRİŞ"})) - VLOOKUP(C1865, 'STOK RAPORU'!$C$2:$I$1000, 4, 0))), 0)</f>
        <v>0</v>
      </c>
      <c r="U1865" s="22">
        <f t="shared" si="116"/>
        <v>0</v>
      </c>
      <c r="V1865">
        <f t="shared" si="117"/>
        <v>0</v>
      </c>
      <c r="W1865" s="22">
        <f t="shared" si="118"/>
        <v>0</v>
      </c>
    </row>
    <row r="1866" spans="1:23" hidden="1" x14ac:dyDescent="0.25">
      <c r="A1866" s="3">
        <v>45997</v>
      </c>
      <c r="B1866" s="4" t="s">
        <v>334</v>
      </c>
      <c r="C1866" s="4" t="s">
        <v>647</v>
      </c>
      <c r="D1866" s="4"/>
      <c r="E1866" s="4"/>
      <c r="F1866" s="4" t="s">
        <v>1128</v>
      </c>
      <c r="G1866" s="4" t="s">
        <v>336</v>
      </c>
      <c r="H1866" s="4" t="s">
        <v>289</v>
      </c>
      <c r="I1866" s="4">
        <v>0.25</v>
      </c>
      <c r="J1866" s="21">
        <v>400</v>
      </c>
      <c r="K1866" s="21">
        <v>0</v>
      </c>
      <c r="L1866" s="5">
        <v>0</v>
      </c>
      <c r="M1866" s="4"/>
      <c r="N1866" s="4"/>
      <c r="O1866" s="5"/>
      <c r="P1866" s="5"/>
      <c r="Q1866" s="21">
        <v>100</v>
      </c>
      <c r="R1866" s="21">
        <v>0</v>
      </c>
      <c r="S1866" s="5">
        <f t="shared" si="119"/>
        <v>45829.138760151989</v>
      </c>
      <c r="T1866" cm="1">
        <f t="array" ref="T1866">IF(OR(B1866="MAL ALIMI", B1866="ÜRETİM GİRİŞ"), MIN(I1866, MAX(0, I1866 + SUM(SUMIFS($I$1:I1865, $C$1:C1865, C1866, $B$1:B1865, {"MAL ALIMI","ÜRETİM GİRİŞ"})) - VLOOKUP(C1866, 'STOK RAPORU'!$C$2:$I$1000, 4, 0))), 0)</f>
        <v>0</v>
      </c>
      <c r="U1866" s="22">
        <f t="shared" si="116"/>
        <v>0</v>
      </c>
      <c r="V1866">
        <f t="shared" si="117"/>
        <v>0</v>
      </c>
      <c r="W1866" s="22">
        <f t="shared" si="118"/>
        <v>0</v>
      </c>
    </row>
    <row r="1867" spans="1:23" hidden="1" x14ac:dyDescent="0.25">
      <c r="A1867" s="3">
        <v>45997</v>
      </c>
      <c r="B1867" s="4" t="s">
        <v>334</v>
      </c>
      <c r="C1867" s="4" t="s">
        <v>254</v>
      </c>
      <c r="D1867" s="4"/>
      <c r="E1867" s="4"/>
      <c r="F1867" s="4" t="s">
        <v>1128</v>
      </c>
      <c r="G1867" s="4" t="s">
        <v>336</v>
      </c>
      <c r="H1867" s="4" t="s">
        <v>289</v>
      </c>
      <c r="I1867" s="4">
        <v>0.41</v>
      </c>
      <c r="J1867" s="21">
        <v>190</v>
      </c>
      <c r="K1867" s="21">
        <v>0</v>
      </c>
      <c r="L1867" s="5">
        <v>0</v>
      </c>
      <c r="M1867" s="4"/>
      <c r="N1867" s="4"/>
      <c r="O1867" s="5"/>
      <c r="P1867" s="5"/>
      <c r="Q1867" s="21">
        <v>77.899999999999991</v>
      </c>
      <c r="R1867" s="21">
        <v>0</v>
      </c>
      <c r="S1867" s="5">
        <f t="shared" si="119"/>
        <v>45907.038760151991</v>
      </c>
      <c r="T1867" cm="1">
        <f t="array" ref="T1867">IF(OR(B1867="MAL ALIMI", B1867="ÜRETİM GİRİŞ"), MIN(I1867, MAX(0, I1867 + SUM(SUMIFS($I$1:I1866, $C$1:C1866, C1867, $B$1:B1866, {"MAL ALIMI","ÜRETİM GİRİŞ"})) - VLOOKUP(C1867, 'STOK RAPORU'!$C$2:$I$1000, 4, 0))), 0)</f>
        <v>0</v>
      </c>
      <c r="U1867" s="22">
        <f t="shared" si="116"/>
        <v>0</v>
      </c>
      <c r="V1867">
        <f t="shared" si="117"/>
        <v>0</v>
      </c>
      <c r="W1867" s="22">
        <f t="shared" si="118"/>
        <v>0</v>
      </c>
    </row>
    <row r="1868" spans="1:23" hidden="1" x14ac:dyDescent="0.25">
      <c r="A1868" s="3">
        <v>45997</v>
      </c>
      <c r="B1868" s="4" t="s">
        <v>334</v>
      </c>
      <c r="C1868" s="4" t="s">
        <v>131</v>
      </c>
      <c r="D1868" s="4"/>
      <c r="E1868" s="4"/>
      <c r="F1868" s="4" t="s">
        <v>1128</v>
      </c>
      <c r="G1868" s="4" t="s">
        <v>336</v>
      </c>
      <c r="H1868" s="4" t="s">
        <v>289</v>
      </c>
      <c r="I1868" s="4">
        <v>7.5999999999999998E-2</v>
      </c>
      <c r="J1868" s="21">
        <v>400</v>
      </c>
      <c r="K1868" s="21">
        <v>0</v>
      </c>
      <c r="L1868" s="5">
        <v>0</v>
      </c>
      <c r="M1868" s="4"/>
      <c r="N1868" s="4"/>
      <c r="O1868" s="5"/>
      <c r="P1868" s="5"/>
      <c r="Q1868" s="21">
        <v>30.4</v>
      </c>
      <c r="R1868" s="21">
        <v>0</v>
      </c>
      <c r="S1868" s="5">
        <f t="shared" si="119"/>
        <v>45937.438760151992</v>
      </c>
      <c r="T1868" cm="1">
        <f t="array" ref="T1868">IF(OR(B1868="MAL ALIMI", B1868="ÜRETİM GİRİŞ"), MIN(I1868, MAX(0, I1868 + SUM(SUMIFS($I$1:I1867, $C$1:C1867, C1868, $B$1:B1867, {"MAL ALIMI","ÜRETİM GİRİŞ"})) - VLOOKUP(C1868, 'STOK RAPORU'!$C$2:$I$1000, 4, 0))), 0)</f>
        <v>0</v>
      </c>
      <c r="U1868" s="22">
        <f t="shared" si="116"/>
        <v>0</v>
      </c>
      <c r="V1868">
        <f t="shared" si="117"/>
        <v>0</v>
      </c>
      <c r="W1868" s="22">
        <f t="shared" si="118"/>
        <v>0</v>
      </c>
    </row>
    <row r="1869" spans="1:23" hidden="1" x14ac:dyDescent="0.25">
      <c r="A1869" s="3">
        <v>45997</v>
      </c>
      <c r="B1869" s="4" t="s">
        <v>334</v>
      </c>
      <c r="C1869" s="4" t="s">
        <v>692</v>
      </c>
      <c r="D1869" s="4"/>
      <c r="E1869" s="4"/>
      <c r="F1869" s="4" t="s">
        <v>1128</v>
      </c>
      <c r="G1869" s="4" t="s">
        <v>336</v>
      </c>
      <c r="H1869" s="4" t="s">
        <v>289</v>
      </c>
      <c r="I1869" s="4">
        <v>0.71199999999999997</v>
      </c>
      <c r="J1869" s="21">
        <v>60</v>
      </c>
      <c r="K1869" s="21">
        <v>0</v>
      </c>
      <c r="L1869" s="5">
        <v>0</v>
      </c>
      <c r="M1869" s="4"/>
      <c r="N1869" s="4"/>
      <c r="O1869" s="5"/>
      <c r="P1869" s="5"/>
      <c r="Q1869" s="21">
        <v>42.72</v>
      </c>
      <c r="R1869" s="21">
        <v>0</v>
      </c>
      <c r="S1869" s="5">
        <f t="shared" si="119"/>
        <v>45980.158760151993</v>
      </c>
      <c r="T1869" cm="1">
        <f t="array" ref="T1869">IF(OR(B1869="MAL ALIMI", B1869="ÜRETİM GİRİŞ"), MIN(I1869, MAX(0, I1869 + SUM(SUMIFS($I$1:I1868, $C$1:C1868, C1869, $B$1:B1868, {"MAL ALIMI","ÜRETİM GİRİŞ"})) - VLOOKUP(C1869, 'STOK RAPORU'!$C$2:$I$1000, 4, 0))), 0)</f>
        <v>0</v>
      </c>
      <c r="U1869" s="22">
        <f t="shared" si="116"/>
        <v>0</v>
      </c>
      <c r="V1869">
        <f t="shared" si="117"/>
        <v>0</v>
      </c>
      <c r="W1869" s="22">
        <f t="shared" si="118"/>
        <v>0</v>
      </c>
    </row>
    <row r="1870" spans="1:23" hidden="1" x14ac:dyDescent="0.25">
      <c r="A1870" s="3">
        <v>45997</v>
      </c>
      <c r="B1870" s="4" t="s">
        <v>334</v>
      </c>
      <c r="C1870" s="4" t="s">
        <v>253</v>
      </c>
      <c r="D1870" s="4"/>
      <c r="E1870" s="4"/>
      <c r="F1870" s="4" t="s">
        <v>1128</v>
      </c>
      <c r="G1870" s="4" t="s">
        <v>336</v>
      </c>
      <c r="H1870" s="4" t="s">
        <v>289</v>
      </c>
      <c r="I1870" s="4">
        <v>0.214</v>
      </c>
      <c r="J1870" s="21">
        <v>240</v>
      </c>
      <c r="K1870" s="21">
        <v>0</v>
      </c>
      <c r="L1870" s="5">
        <v>0</v>
      </c>
      <c r="M1870" s="4"/>
      <c r="N1870" s="4"/>
      <c r="O1870" s="5"/>
      <c r="P1870" s="5"/>
      <c r="Q1870" s="21">
        <v>51.36</v>
      </c>
      <c r="R1870" s="21">
        <v>0</v>
      </c>
      <c r="S1870" s="5">
        <f t="shared" si="119"/>
        <v>46031.518760151994</v>
      </c>
      <c r="T1870" cm="1">
        <f t="array" ref="T1870">IF(OR(B1870="MAL ALIMI", B1870="ÜRETİM GİRİŞ"), MIN(I1870, MAX(0, I1870 + SUM(SUMIFS($I$1:I1869, $C$1:C1869, C1870, $B$1:B1869, {"MAL ALIMI","ÜRETİM GİRİŞ"})) - VLOOKUP(C1870, 'STOK RAPORU'!$C$2:$I$1000, 4, 0))), 0)</f>
        <v>0</v>
      </c>
      <c r="U1870" s="22">
        <f t="shared" si="116"/>
        <v>0</v>
      </c>
      <c r="V1870">
        <f t="shared" si="117"/>
        <v>0</v>
      </c>
      <c r="W1870" s="22">
        <f t="shared" si="118"/>
        <v>0</v>
      </c>
    </row>
    <row r="1871" spans="1:23" hidden="1" x14ac:dyDescent="0.25">
      <c r="A1871" s="3">
        <v>45997</v>
      </c>
      <c r="B1871" s="4" t="s">
        <v>334</v>
      </c>
      <c r="C1871" s="4" t="s">
        <v>96</v>
      </c>
      <c r="D1871" s="4"/>
      <c r="E1871" s="4"/>
      <c r="F1871" s="4" t="s">
        <v>1128</v>
      </c>
      <c r="G1871" s="4" t="s">
        <v>336</v>
      </c>
      <c r="H1871" s="4" t="s">
        <v>289</v>
      </c>
      <c r="I1871" s="4">
        <v>0.17199999999999999</v>
      </c>
      <c r="J1871" s="21">
        <v>380</v>
      </c>
      <c r="K1871" s="21">
        <v>0</v>
      </c>
      <c r="L1871" s="5">
        <v>0</v>
      </c>
      <c r="M1871" s="4"/>
      <c r="N1871" s="4"/>
      <c r="O1871" s="5"/>
      <c r="P1871" s="5"/>
      <c r="Q1871" s="21">
        <v>65.36</v>
      </c>
      <c r="R1871" s="21">
        <v>0</v>
      </c>
      <c r="S1871" s="5">
        <f t="shared" si="119"/>
        <v>46096.878760151994</v>
      </c>
      <c r="T1871" cm="1">
        <f t="array" ref="T1871">IF(OR(B1871="MAL ALIMI", B1871="ÜRETİM GİRİŞ"), MIN(I1871, MAX(0, I1871 + SUM(SUMIFS($I$1:I1870, $C$1:C1870, C1871, $B$1:B1870, {"MAL ALIMI","ÜRETİM GİRİŞ"})) - VLOOKUP(C1871, 'STOK RAPORU'!$C$2:$I$1000, 4, 0))), 0)</f>
        <v>0</v>
      </c>
      <c r="U1871" s="22">
        <f t="shared" si="116"/>
        <v>0</v>
      </c>
      <c r="V1871">
        <f t="shared" si="117"/>
        <v>0</v>
      </c>
      <c r="W1871" s="22">
        <f t="shared" si="118"/>
        <v>0</v>
      </c>
    </row>
    <row r="1872" spans="1:23" hidden="1" x14ac:dyDescent="0.25">
      <c r="A1872" s="3">
        <v>45997</v>
      </c>
      <c r="B1872" s="4" t="s">
        <v>334</v>
      </c>
      <c r="C1872" s="4" t="s">
        <v>129</v>
      </c>
      <c r="D1872" s="4"/>
      <c r="E1872" s="4"/>
      <c r="F1872" s="4" t="s">
        <v>1128</v>
      </c>
      <c r="G1872" s="4" t="s">
        <v>336</v>
      </c>
      <c r="H1872" s="4" t="s">
        <v>289</v>
      </c>
      <c r="I1872" s="4">
        <v>0.10199999999999999</v>
      </c>
      <c r="J1872" s="21">
        <v>390</v>
      </c>
      <c r="K1872" s="21">
        <v>0</v>
      </c>
      <c r="L1872" s="5">
        <v>0</v>
      </c>
      <c r="M1872" s="4"/>
      <c r="N1872" s="4"/>
      <c r="O1872" s="5"/>
      <c r="P1872" s="5"/>
      <c r="Q1872" s="21">
        <v>39.779999999999994</v>
      </c>
      <c r="R1872" s="21">
        <v>0</v>
      </c>
      <c r="S1872" s="5">
        <f t="shared" si="119"/>
        <v>46136.658760151993</v>
      </c>
      <c r="T1872" cm="1">
        <f t="array" ref="T1872">IF(OR(B1872="MAL ALIMI", B1872="ÜRETİM GİRİŞ"), MIN(I1872, MAX(0, I1872 + SUM(SUMIFS($I$1:I1871, $C$1:C1871, C1872, $B$1:B1871, {"MAL ALIMI","ÜRETİM GİRİŞ"})) - VLOOKUP(C1872, 'STOK RAPORU'!$C$2:$I$1000, 4, 0))), 0)</f>
        <v>0</v>
      </c>
      <c r="U1872" s="22">
        <f t="shared" si="116"/>
        <v>0</v>
      </c>
      <c r="V1872">
        <f t="shared" si="117"/>
        <v>0</v>
      </c>
      <c r="W1872" s="22">
        <f t="shared" si="118"/>
        <v>0</v>
      </c>
    </row>
    <row r="1873" spans="1:23" hidden="1" x14ac:dyDescent="0.25">
      <c r="A1873" s="3">
        <v>45997</v>
      </c>
      <c r="B1873" s="4" t="s">
        <v>334</v>
      </c>
      <c r="C1873" s="4" t="s">
        <v>89</v>
      </c>
      <c r="D1873" s="4"/>
      <c r="E1873" s="4"/>
      <c r="F1873" s="4" t="s">
        <v>1128</v>
      </c>
      <c r="G1873" s="4" t="s">
        <v>336</v>
      </c>
      <c r="H1873" s="4" t="s">
        <v>289</v>
      </c>
      <c r="I1873" s="4">
        <v>0.1</v>
      </c>
      <c r="J1873" s="21">
        <v>650</v>
      </c>
      <c r="K1873" s="21">
        <v>0</v>
      </c>
      <c r="L1873" s="5">
        <v>0</v>
      </c>
      <c r="M1873" s="4"/>
      <c r="N1873" s="4"/>
      <c r="O1873" s="5"/>
      <c r="P1873" s="5"/>
      <c r="Q1873" s="21">
        <v>65</v>
      </c>
      <c r="R1873" s="21">
        <v>0</v>
      </c>
      <c r="S1873" s="5">
        <f t="shared" si="119"/>
        <v>46201.658760151993</v>
      </c>
      <c r="T1873" cm="1">
        <f t="array" ref="T1873">IF(OR(B1873="MAL ALIMI", B1873="ÜRETİM GİRİŞ"), MIN(I1873, MAX(0, I1873 + SUM(SUMIFS($I$1:I1872, $C$1:C1872, C1873, $B$1:B1872, {"MAL ALIMI","ÜRETİM GİRİŞ"})) - VLOOKUP(C1873, 'STOK RAPORU'!$C$2:$I$1000, 4, 0))), 0)</f>
        <v>0</v>
      </c>
      <c r="U1873" s="22">
        <f t="shared" si="116"/>
        <v>0</v>
      </c>
      <c r="V1873">
        <f t="shared" si="117"/>
        <v>0</v>
      </c>
      <c r="W1873" s="22">
        <f t="shared" si="118"/>
        <v>0</v>
      </c>
    </row>
    <row r="1874" spans="1:23" hidden="1" x14ac:dyDescent="0.25">
      <c r="A1874" s="3">
        <v>45997</v>
      </c>
      <c r="B1874" s="4" t="s">
        <v>334</v>
      </c>
      <c r="C1874" s="4" t="s">
        <v>226</v>
      </c>
      <c r="D1874" s="4"/>
      <c r="E1874" s="4"/>
      <c r="F1874" s="4" t="s">
        <v>1128</v>
      </c>
      <c r="G1874" s="4" t="s">
        <v>336</v>
      </c>
      <c r="H1874" s="4" t="s">
        <v>289</v>
      </c>
      <c r="I1874" s="4">
        <v>0.14000000000000001</v>
      </c>
      <c r="J1874" s="21">
        <v>150</v>
      </c>
      <c r="K1874" s="21">
        <v>0</v>
      </c>
      <c r="L1874" s="5">
        <v>0</v>
      </c>
      <c r="M1874" s="4"/>
      <c r="N1874" s="4"/>
      <c r="O1874" s="5"/>
      <c r="P1874" s="5"/>
      <c r="Q1874" s="21">
        <v>21.000000000000004</v>
      </c>
      <c r="R1874" s="21">
        <v>0</v>
      </c>
      <c r="S1874" s="5">
        <f t="shared" si="119"/>
        <v>46222.658760151993</v>
      </c>
      <c r="T1874" cm="1">
        <f t="array" ref="T1874">IF(OR(B1874="MAL ALIMI", B1874="ÜRETİM GİRİŞ"), MIN(I1874, MAX(0, I1874 + SUM(SUMIFS($I$1:I1873, $C$1:C1873, C1874, $B$1:B1873, {"MAL ALIMI","ÜRETİM GİRİŞ"})) - VLOOKUP(C1874, 'STOK RAPORU'!$C$2:$I$1000, 4, 0))), 0)</f>
        <v>0</v>
      </c>
      <c r="U1874" s="22">
        <f t="shared" si="116"/>
        <v>0</v>
      </c>
      <c r="V1874">
        <f t="shared" si="117"/>
        <v>0</v>
      </c>
      <c r="W1874" s="22">
        <f t="shared" si="118"/>
        <v>0</v>
      </c>
    </row>
    <row r="1875" spans="1:23" hidden="1" x14ac:dyDescent="0.25">
      <c r="A1875" s="3">
        <v>45997</v>
      </c>
      <c r="B1875" s="4" t="s">
        <v>334</v>
      </c>
      <c r="C1875" s="4" t="s">
        <v>597</v>
      </c>
      <c r="D1875" s="4"/>
      <c r="E1875" s="4"/>
      <c r="F1875" s="4" t="s">
        <v>1128</v>
      </c>
      <c r="G1875" s="4" t="s">
        <v>336</v>
      </c>
      <c r="H1875" s="4" t="s">
        <v>289</v>
      </c>
      <c r="I1875" s="4">
        <v>1</v>
      </c>
      <c r="J1875" s="21">
        <v>290</v>
      </c>
      <c r="K1875" s="21">
        <v>0</v>
      </c>
      <c r="L1875" s="5">
        <v>0</v>
      </c>
      <c r="M1875" s="4"/>
      <c r="N1875" s="4"/>
      <c r="O1875" s="5"/>
      <c r="P1875" s="5"/>
      <c r="Q1875" s="21">
        <v>290</v>
      </c>
      <c r="R1875" s="21">
        <v>0</v>
      </c>
      <c r="S1875" s="5">
        <f t="shared" si="119"/>
        <v>46512.658760151993</v>
      </c>
      <c r="T1875" cm="1">
        <f t="array" ref="T1875">IF(OR(B1875="MAL ALIMI", B1875="ÜRETİM GİRİŞ"), MIN(I1875, MAX(0, I1875 + SUM(SUMIFS($I$1:I1874, $C$1:C1874, C1875, $B$1:B1874, {"MAL ALIMI","ÜRETİM GİRİŞ"})) - VLOOKUP(C1875, 'STOK RAPORU'!$C$2:$I$1000, 4, 0))), 0)</f>
        <v>0</v>
      </c>
      <c r="U1875" s="22">
        <f t="shared" si="116"/>
        <v>0</v>
      </c>
      <c r="V1875">
        <f t="shared" si="117"/>
        <v>0</v>
      </c>
      <c r="W1875" s="22">
        <f t="shared" si="118"/>
        <v>0</v>
      </c>
    </row>
    <row r="1876" spans="1:23" hidden="1" x14ac:dyDescent="0.25">
      <c r="A1876" s="3">
        <v>45997</v>
      </c>
      <c r="B1876" s="4" t="s">
        <v>334</v>
      </c>
      <c r="C1876" s="4" t="s">
        <v>126</v>
      </c>
      <c r="D1876" s="4"/>
      <c r="E1876" s="4" t="s">
        <v>921</v>
      </c>
      <c r="F1876" s="4" t="s">
        <v>1129</v>
      </c>
      <c r="G1876" s="4" t="s">
        <v>336</v>
      </c>
      <c r="H1876" s="4" t="s">
        <v>380</v>
      </c>
      <c r="I1876" s="4">
        <v>7.8125E-2</v>
      </c>
      <c r="J1876" s="21">
        <v>640</v>
      </c>
      <c r="K1876" s="21">
        <v>50</v>
      </c>
      <c r="L1876" s="5">
        <v>0</v>
      </c>
      <c r="M1876" s="4"/>
      <c r="N1876" s="4"/>
      <c r="O1876" s="5"/>
      <c r="P1876" s="5"/>
      <c r="Q1876" s="21">
        <v>0</v>
      </c>
      <c r="R1876" s="21">
        <v>0</v>
      </c>
      <c r="S1876" s="5">
        <f t="shared" si="119"/>
        <v>46512.658760151993</v>
      </c>
      <c r="T1876" cm="1">
        <f t="array" ref="T1876">IF(OR(B1876="MAL ALIMI", B1876="ÜRETİM GİRİŞ"), MIN(I1876, MAX(0, I1876 + SUM(SUMIFS($I$1:I1875, $C$1:C1875, C1876, $B$1:B1875, {"MAL ALIMI","ÜRETİM GİRİŞ"})) - VLOOKUP(C1876, 'STOK RAPORU'!$C$2:$I$1000, 4, 0))), 0)</f>
        <v>0</v>
      </c>
      <c r="U1876" s="22">
        <f t="shared" si="116"/>
        <v>0</v>
      </c>
      <c r="V1876">
        <f t="shared" si="117"/>
        <v>0</v>
      </c>
      <c r="W1876" s="22">
        <f t="shared" si="118"/>
        <v>0</v>
      </c>
    </row>
    <row r="1877" spans="1:23" hidden="1" x14ac:dyDescent="0.25">
      <c r="A1877" s="3">
        <v>45997</v>
      </c>
      <c r="B1877" s="4" t="s">
        <v>334</v>
      </c>
      <c r="C1877" s="4" t="s">
        <v>133</v>
      </c>
      <c r="D1877" s="4"/>
      <c r="E1877" s="4" t="s">
        <v>921</v>
      </c>
      <c r="F1877" s="4" t="s">
        <v>1129</v>
      </c>
      <c r="G1877" s="4" t="s">
        <v>336</v>
      </c>
      <c r="H1877" s="4" t="s">
        <v>380</v>
      </c>
      <c r="I1877" s="4">
        <v>9.2105263157894732E-2</v>
      </c>
      <c r="J1877" s="21">
        <v>380</v>
      </c>
      <c r="K1877" s="21">
        <v>35</v>
      </c>
      <c r="L1877" s="5">
        <v>0</v>
      </c>
      <c r="M1877" s="4"/>
      <c r="N1877" s="4"/>
      <c r="O1877" s="5"/>
      <c r="P1877" s="5"/>
      <c r="Q1877" s="21">
        <v>0</v>
      </c>
      <c r="R1877" s="21">
        <v>0</v>
      </c>
      <c r="S1877" s="5">
        <f t="shared" si="119"/>
        <v>46512.658760151993</v>
      </c>
      <c r="T1877" cm="1">
        <f t="array" ref="T1877">IF(OR(B1877="MAL ALIMI", B1877="ÜRETİM GİRİŞ"), MIN(I1877, MAX(0, I1877 + SUM(SUMIFS($I$1:I1876, $C$1:C1876, C1877, $B$1:B1876, {"MAL ALIMI","ÜRETİM GİRİŞ"})) - VLOOKUP(C1877, 'STOK RAPORU'!$C$2:$I$1000, 4, 0))), 0)</f>
        <v>0</v>
      </c>
      <c r="U1877" s="22">
        <f t="shared" si="116"/>
        <v>0</v>
      </c>
      <c r="V1877">
        <f t="shared" si="117"/>
        <v>0</v>
      </c>
      <c r="W1877" s="22">
        <f t="shared" si="118"/>
        <v>0</v>
      </c>
    </row>
    <row r="1878" spans="1:23" hidden="1" x14ac:dyDescent="0.25">
      <c r="A1878" s="3">
        <v>45997</v>
      </c>
      <c r="B1878" s="4" t="s">
        <v>334</v>
      </c>
      <c r="C1878" s="4" t="s">
        <v>234</v>
      </c>
      <c r="D1878" s="4"/>
      <c r="E1878" s="4" t="s">
        <v>921</v>
      </c>
      <c r="F1878" s="4" t="s">
        <v>1129</v>
      </c>
      <c r="G1878" s="4" t="s">
        <v>336</v>
      </c>
      <c r="H1878" s="4" t="s">
        <v>380</v>
      </c>
      <c r="I1878" s="4">
        <v>1</v>
      </c>
      <c r="J1878" s="21">
        <v>180</v>
      </c>
      <c r="K1878" s="21">
        <v>180</v>
      </c>
      <c r="L1878" s="5">
        <v>0</v>
      </c>
      <c r="M1878" s="4"/>
      <c r="N1878" s="4"/>
      <c r="O1878" s="5"/>
      <c r="P1878" s="5"/>
      <c r="Q1878" s="21">
        <v>0</v>
      </c>
      <c r="R1878" s="21">
        <v>0</v>
      </c>
      <c r="S1878" s="5">
        <f t="shared" si="119"/>
        <v>46512.658760151993</v>
      </c>
      <c r="T1878" cm="1">
        <f t="array" ref="T1878">IF(OR(B1878="MAL ALIMI", B1878="ÜRETİM GİRİŞ"), MIN(I1878, MAX(0, I1878 + SUM(SUMIFS($I$1:I1877, $C$1:C1877, C1878, $B$1:B1877, {"MAL ALIMI","ÜRETİM GİRİŞ"})) - VLOOKUP(C1878, 'STOK RAPORU'!$C$2:$I$1000, 4, 0))), 0)</f>
        <v>0</v>
      </c>
      <c r="U1878" s="22">
        <f t="shared" si="116"/>
        <v>0</v>
      </c>
      <c r="V1878">
        <f t="shared" si="117"/>
        <v>0</v>
      </c>
      <c r="W1878" s="22">
        <f t="shared" si="118"/>
        <v>0</v>
      </c>
    </row>
    <row r="1879" spans="1:23" hidden="1" x14ac:dyDescent="0.25">
      <c r="A1879" s="3">
        <v>45997</v>
      </c>
      <c r="B1879" s="4" t="s">
        <v>334</v>
      </c>
      <c r="C1879" s="4" t="s">
        <v>223</v>
      </c>
      <c r="D1879" s="4"/>
      <c r="E1879" s="4" t="s">
        <v>921</v>
      </c>
      <c r="F1879" s="4" t="s">
        <v>1130</v>
      </c>
      <c r="G1879" s="4" t="s">
        <v>336</v>
      </c>
      <c r="H1879" s="4" t="s">
        <v>380</v>
      </c>
      <c r="I1879" s="4">
        <v>0.65</v>
      </c>
      <c r="J1879" s="21">
        <v>700</v>
      </c>
      <c r="K1879" s="21">
        <v>455</v>
      </c>
      <c r="L1879" s="5">
        <v>0</v>
      </c>
      <c r="M1879" s="4"/>
      <c r="N1879" s="4"/>
      <c r="O1879" s="5"/>
      <c r="P1879" s="5"/>
      <c r="Q1879" s="21">
        <v>0</v>
      </c>
      <c r="R1879" s="21">
        <v>0</v>
      </c>
      <c r="S1879" s="5">
        <f t="shared" si="119"/>
        <v>46512.658760151993</v>
      </c>
      <c r="T1879" cm="1">
        <f t="array" ref="T1879">IF(OR(B1879="MAL ALIMI", B1879="ÜRETİM GİRİŞ"), MIN(I1879, MAX(0, I1879 + SUM(SUMIFS($I$1:I1878, $C$1:C1878, C1879, $B$1:B1878, {"MAL ALIMI","ÜRETİM GİRİŞ"})) - VLOOKUP(C1879, 'STOK RAPORU'!$C$2:$I$1000, 4, 0))), 0)</f>
        <v>0</v>
      </c>
      <c r="U1879" s="22">
        <f t="shared" si="116"/>
        <v>0</v>
      </c>
      <c r="V1879">
        <f t="shared" si="117"/>
        <v>0</v>
      </c>
      <c r="W1879" s="22">
        <f t="shared" si="118"/>
        <v>0</v>
      </c>
    </row>
    <row r="1880" spans="1:23" hidden="1" x14ac:dyDescent="0.25">
      <c r="A1880" s="3">
        <v>45997</v>
      </c>
      <c r="B1880" s="4" t="s">
        <v>334</v>
      </c>
      <c r="C1880" s="4" t="s">
        <v>1041</v>
      </c>
      <c r="D1880" s="4"/>
      <c r="E1880" s="4" t="s">
        <v>921</v>
      </c>
      <c r="F1880" s="4" t="s">
        <v>1130</v>
      </c>
      <c r="G1880" s="4" t="s">
        <v>336</v>
      </c>
      <c r="H1880" s="4" t="s">
        <v>380</v>
      </c>
      <c r="I1880" s="4">
        <v>1</v>
      </c>
      <c r="J1880" s="21">
        <v>290</v>
      </c>
      <c r="K1880" s="21">
        <v>290</v>
      </c>
      <c r="L1880" s="5">
        <v>0</v>
      </c>
      <c r="M1880" s="4"/>
      <c r="N1880" s="4"/>
      <c r="O1880" s="5"/>
      <c r="P1880" s="5"/>
      <c r="Q1880" s="21">
        <v>0</v>
      </c>
      <c r="R1880" s="21">
        <v>0</v>
      </c>
      <c r="S1880" s="5">
        <f t="shared" si="119"/>
        <v>46512.658760151993</v>
      </c>
      <c r="T1880" cm="1">
        <f t="array" ref="T1880">IF(OR(B1880="MAL ALIMI", B1880="ÜRETİM GİRİŞ"), MIN(I1880, MAX(0, I1880 + SUM(SUMIFS($I$1:I1879, $C$1:C1879, C1880, $B$1:B1879, {"MAL ALIMI","ÜRETİM GİRİŞ"})) - VLOOKUP(C1880, 'STOK RAPORU'!$C$2:$I$1000, 4, 0))), 0)</f>
        <v>0</v>
      </c>
      <c r="U1880" s="22">
        <f t="shared" si="116"/>
        <v>0</v>
      </c>
      <c r="V1880">
        <f t="shared" si="117"/>
        <v>0</v>
      </c>
      <c r="W1880" s="22">
        <f t="shared" si="118"/>
        <v>0</v>
      </c>
    </row>
    <row r="1881" spans="1:23" hidden="1" x14ac:dyDescent="0.25">
      <c r="A1881" s="3">
        <v>45997</v>
      </c>
      <c r="B1881" s="4" t="s">
        <v>334</v>
      </c>
      <c r="C1881" s="4" t="s">
        <v>892</v>
      </c>
      <c r="D1881" s="4"/>
      <c r="E1881" s="4" t="s">
        <v>921</v>
      </c>
      <c r="F1881" s="4" t="s">
        <v>1131</v>
      </c>
      <c r="G1881" s="4" t="s">
        <v>336</v>
      </c>
      <c r="H1881" s="4" t="s">
        <v>380</v>
      </c>
      <c r="I1881" s="4">
        <v>1</v>
      </c>
      <c r="J1881" s="21">
        <v>60</v>
      </c>
      <c r="K1881" s="21">
        <v>60</v>
      </c>
      <c r="L1881" s="5">
        <v>0</v>
      </c>
      <c r="M1881" s="4"/>
      <c r="N1881" s="4"/>
      <c r="O1881" s="5"/>
      <c r="P1881" s="5"/>
      <c r="Q1881" s="21">
        <v>0</v>
      </c>
      <c r="R1881" s="21">
        <v>0</v>
      </c>
      <c r="S1881" s="5">
        <f t="shared" si="119"/>
        <v>46512.658760151993</v>
      </c>
      <c r="T1881" cm="1">
        <f t="array" ref="T1881">IF(OR(B1881="MAL ALIMI", B1881="ÜRETİM GİRİŞ"), MIN(I1881, MAX(0, I1881 + SUM(SUMIFS($I$1:I1880, $C$1:C1880, C1881, $B$1:B1880, {"MAL ALIMI","ÜRETİM GİRİŞ"})) - VLOOKUP(C1881, 'STOK RAPORU'!$C$2:$I$1000, 4, 0))), 0)</f>
        <v>0</v>
      </c>
      <c r="U1881" s="22">
        <f t="shared" si="116"/>
        <v>0</v>
      </c>
      <c r="V1881">
        <f t="shared" si="117"/>
        <v>0</v>
      </c>
      <c r="W1881" s="22">
        <f t="shared" si="118"/>
        <v>0</v>
      </c>
    </row>
    <row r="1882" spans="1:23" hidden="1" x14ac:dyDescent="0.25">
      <c r="A1882" s="3">
        <v>45997</v>
      </c>
      <c r="B1882" s="4" t="s">
        <v>334</v>
      </c>
      <c r="C1882" s="4" t="s">
        <v>253</v>
      </c>
      <c r="D1882" s="4"/>
      <c r="E1882" s="4"/>
      <c r="F1882" s="4" t="s">
        <v>1132</v>
      </c>
      <c r="G1882" s="4" t="s">
        <v>336</v>
      </c>
      <c r="H1882" s="4" t="s">
        <v>289</v>
      </c>
      <c r="I1882" s="4">
        <v>0.20833333333333334</v>
      </c>
      <c r="J1882" s="21">
        <v>240</v>
      </c>
      <c r="K1882" s="21">
        <v>0</v>
      </c>
      <c r="L1882" s="5">
        <v>0</v>
      </c>
      <c r="M1882" s="4"/>
      <c r="N1882" s="4"/>
      <c r="O1882" s="5"/>
      <c r="P1882" s="5"/>
      <c r="Q1882" s="21">
        <v>50</v>
      </c>
      <c r="R1882" s="21">
        <v>0</v>
      </c>
      <c r="S1882" s="5">
        <f t="shared" si="119"/>
        <v>46562.658760151993</v>
      </c>
      <c r="T1882" cm="1">
        <f t="array" ref="T1882">IF(OR(B1882="MAL ALIMI", B1882="ÜRETİM GİRİŞ"), MIN(I1882, MAX(0, I1882 + SUM(SUMIFS($I$1:I1881, $C$1:C1881, C1882, $B$1:B1881, {"MAL ALIMI","ÜRETİM GİRİŞ"})) - VLOOKUP(C1882, 'STOK RAPORU'!$C$2:$I$1000, 4, 0))), 0)</f>
        <v>0</v>
      </c>
      <c r="U1882" s="22">
        <f t="shared" si="116"/>
        <v>0</v>
      </c>
      <c r="V1882">
        <f t="shared" si="117"/>
        <v>0</v>
      </c>
      <c r="W1882" s="22">
        <f t="shared" si="118"/>
        <v>0</v>
      </c>
    </row>
    <row r="1883" spans="1:23" hidden="1" x14ac:dyDescent="0.25">
      <c r="A1883" s="3">
        <v>45997</v>
      </c>
      <c r="B1883" s="4" t="s">
        <v>334</v>
      </c>
      <c r="C1883" s="4" t="s">
        <v>222</v>
      </c>
      <c r="D1883" s="4"/>
      <c r="E1883" s="4"/>
      <c r="F1883" s="4" t="s">
        <v>1132</v>
      </c>
      <c r="G1883" s="4" t="s">
        <v>336</v>
      </c>
      <c r="H1883" s="4" t="s">
        <v>289</v>
      </c>
      <c r="I1883" s="4">
        <v>0.21666666666666667</v>
      </c>
      <c r="J1883" s="21">
        <v>600</v>
      </c>
      <c r="K1883" s="21">
        <v>0</v>
      </c>
      <c r="L1883" s="5">
        <v>0</v>
      </c>
      <c r="M1883" s="4"/>
      <c r="N1883" s="4"/>
      <c r="O1883" s="5"/>
      <c r="P1883" s="5"/>
      <c r="Q1883" s="21">
        <v>130</v>
      </c>
      <c r="R1883" s="21">
        <v>0</v>
      </c>
      <c r="S1883" s="5">
        <f t="shared" si="119"/>
        <v>46692.658760151993</v>
      </c>
      <c r="T1883" cm="1">
        <f t="array" ref="T1883">IF(OR(B1883="MAL ALIMI", B1883="ÜRETİM GİRİŞ"), MIN(I1883, MAX(0, I1883 + SUM(SUMIFS($I$1:I1882, $C$1:C1882, C1883, $B$1:B1882, {"MAL ALIMI","ÜRETİM GİRİŞ"})) - VLOOKUP(C1883, 'STOK RAPORU'!$C$2:$I$1000, 4, 0))), 0)</f>
        <v>0</v>
      </c>
      <c r="U1883" s="22">
        <f t="shared" si="116"/>
        <v>0</v>
      </c>
      <c r="V1883">
        <f t="shared" si="117"/>
        <v>0</v>
      </c>
      <c r="W1883" s="22">
        <f t="shared" si="118"/>
        <v>0</v>
      </c>
    </row>
    <row r="1884" spans="1:23" hidden="1" x14ac:dyDescent="0.25">
      <c r="A1884" s="3">
        <v>45997</v>
      </c>
      <c r="B1884" s="4" t="s">
        <v>334</v>
      </c>
      <c r="C1884" s="4" t="s">
        <v>825</v>
      </c>
      <c r="D1884" s="4"/>
      <c r="E1884" s="4"/>
      <c r="F1884" s="4" t="s">
        <v>1133</v>
      </c>
      <c r="G1884" s="4" t="s">
        <v>336</v>
      </c>
      <c r="H1884" s="4" t="s">
        <v>289</v>
      </c>
      <c r="I1884" s="4">
        <v>1</v>
      </c>
      <c r="J1884" s="21">
        <v>180</v>
      </c>
      <c r="K1884" s="21">
        <v>0</v>
      </c>
      <c r="L1884" s="5">
        <v>0</v>
      </c>
      <c r="M1884" s="4"/>
      <c r="N1884" s="4"/>
      <c r="O1884" s="5"/>
      <c r="P1884" s="5"/>
      <c r="Q1884" s="21">
        <v>180</v>
      </c>
      <c r="R1884" s="21">
        <v>0</v>
      </c>
      <c r="S1884" s="5">
        <f t="shared" si="119"/>
        <v>46872.658760151993</v>
      </c>
      <c r="T1884" cm="1">
        <f t="array" ref="T1884">IF(OR(B1884="MAL ALIMI", B1884="ÜRETİM GİRİŞ"), MIN(I1884, MAX(0, I1884 + SUM(SUMIFS($I$1:I1883, $C$1:C1883, C1884, $B$1:B1883, {"MAL ALIMI","ÜRETİM GİRİŞ"})) - VLOOKUP(C1884, 'STOK RAPORU'!$C$2:$I$1000, 4, 0))), 0)</f>
        <v>0</v>
      </c>
      <c r="U1884" s="22">
        <f t="shared" si="116"/>
        <v>0</v>
      </c>
      <c r="V1884">
        <f t="shared" si="117"/>
        <v>0</v>
      </c>
      <c r="W1884" s="22">
        <f t="shared" si="118"/>
        <v>0</v>
      </c>
    </row>
    <row r="1885" spans="1:23" hidden="1" x14ac:dyDescent="0.25">
      <c r="A1885" s="3">
        <v>45997</v>
      </c>
      <c r="B1885" s="4" t="s">
        <v>334</v>
      </c>
      <c r="C1885" s="4" t="s">
        <v>517</v>
      </c>
      <c r="D1885" s="4"/>
      <c r="E1885" s="4" t="s">
        <v>921</v>
      </c>
      <c r="F1885" s="4" t="s">
        <v>1134</v>
      </c>
      <c r="G1885" s="4" t="s">
        <v>336</v>
      </c>
      <c r="H1885" s="4" t="s">
        <v>380</v>
      </c>
      <c r="I1885" s="4">
        <v>1</v>
      </c>
      <c r="J1885" s="21">
        <v>190</v>
      </c>
      <c r="K1885" s="21">
        <v>190</v>
      </c>
      <c r="L1885" s="5">
        <v>0</v>
      </c>
      <c r="M1885" s="4"/>
      <c r="N1885" s="4"/>
      <c r="O1885" s="5"/>
      <c r="P1885" s="5"/>
      <c r="Q1885" s="21">
        <v>0</v>
      </c>
      <c r="R1885" s="21">
        <v>0</v>
      </c>
      <c r="S1885" s="5">
        <f t="shared" si="119"/>
        <v>46872.658760151993</v>
      </c>
      <c r="T1885" cm="1">
        <f t="array" ref="T1885">IF(OR(B1885="MAL ALIMI", B1885="ÜRETİM GİRİŞ"), MIN(I1885, MAX(0, I1885 + SUM(SUMIFS($I$1:I1884, $C$1:C1884, C1885, $B$1:B1884, {"MAL ALIMI","ÜRETİM GİRİŞ"})) - VLOOKUP(C1885, 'STOK RAPORU'!$C$2:$I$1000, 4, 0))), 0)</f>
        <v>0</v>
      </c>
      <c r="U1885" s="22">
        <f t="shared" si="116"/>
        <v>0</v>
      </c>
      <c r="V1885">
        <f t="shared" si="117"/>
        <v>0</v>
      </c>
      <c r="W1885" s="22">
        <f t="shared" si="118"/>
        <v>0</v>
      </c>
    </row>
    <row r="1886" spans="1:23" hidden="1" x14ac:dyDescent="0.25">
      <c r="A1886" s="3">
        <v>45997</v>
      </c>
      <c r="B1886" s="4" t="s">
        <v>334</v>
      </c>
      <c r="C1886" s="4" t="s">
        <v>463</v>
      </c>
      <c r="D1886" s="4"/>
      <c r="E1886" s="4"/>
      <c r="F1886" s="4" t="s">
        <v>1135</v>
      </c>
      <c r="G1886" s="4" t="s">
        <v>336</v>
      </c>
      <c r="H1886" s="4" t="s">
        <v>289</v>
      </c>
      <c r="I1886" s="4">
        <v>0.11621621621621622</v>
      </c>
      <c r="J1886" s="21">
        <v>370</v>
      </c>
      <c r="K1886" s="21">
        <v>0</v>
      </c>
      <c r="L1886" s="5">
        <v>0</v>
      </c>
      <c r="M1886" s="4"/>
      <c r="N1886" s="4"/>
      <c r="O1886" s="5"/>
      <c r="P1886" s="5"/>
      <c r="Q1886" s="21">
        <v>43</v>
      </c>
      <c r="R1886" s="21">
        <v>0</v>
      </c>
      <c r="S1886" s="5">
        <f t="shared" si="119"/>
        <v>46915.658760151993</v>
      </c>
      <c r="T1886" cm="1">
        <f t="array" ref="T1886">IF(OR(B1886="MAL ALIMI", B1886="ÜRETİM GİRİŞ"), MIN(I1886, MAX(0, I1886 + SUM(SUMIFS($I$1:I1885, $C$1:C1885, C1886, $B$1:B1885, {"MAL ALIMI","ÜRETİM GİRİŞ"})) - VLOOKUP(C1886, 'STOK RAPORU'!$C$2:$I$1000, 4, 0))), 0)</f>
        <v>0</v>
      </c>
      <c r="U1886" s="22">
        <f t="shared" si="116"/>
        <v>0</v>
      </c>
      <c r="V1886">
        <f t="shared" si="117"/>
        <v>0</v>
      </c>
      <c r="W1886" s="22">
        <f t="shared" si="118"/>
        <v>0</v>
      </c>
    </row>
    <row r="1887" spans="1:23" hidden="1" x14ac:dyDescent="0.25">
      <c r="A1887" s="3">
        <v>45997</v>
      </c>
      <c r="B1887" s="4" t="s">
        <v>334</v>
      </c>
      <c r="C1887" s="4" t="s">
        <v>490</v>
      </c>
      <c r="D1887" s="4"/>
      <c r="E1887" s="4"/>
      <c r="F1887" s="4" t="s">
        <v>1136</v>
      </c>
      <c r="G1887" s="4" t="s">
        <v>336</v>
      </c>
      <c r="H1887" s="4" t="s">
        <v>289</v>
      </c>
      <c r="I1887" s="4">
        <v>1</v>
      </c>
      <c r="J1887" s="21">
        <v>200</v>
      </c>
      <c r="K1887" s="21">
        <v>0</v>
      </c>
      <c r="L1887" s="5">
        <v>0</v>
      </c>
      <c r="M1887" s="4"/>
      <c r="N1887" s="4"/>
      <c r="O1887" s="5"/>
      <c r="P1887" s="5"/>
      <c r="Q1887" s="21">
        <v>200</v>
      </c>
      <c r="R1887" s="21">
        <v>0</v>
      </c>
      <c r="S1887" s="5">
        <f t="shared" si="119"/>
        <v>47115.658760151993</v>
      </c>
      <c r="T1887" cm="1">
        <f t="array" ref="T1887">IF(OR(B1887="MAL ALIMI", B1887="ÜRETİM GİRİŞ"), MIN(I1887, MAX(0, I1887 + SUM(SUMIFS($I$1:I1886, $C$1:C1886, C1887, $B$1:B1886, {"MAL ALIMI","ÜRETİM GİRİŞ"})) - VLOOKUP(C1887, 'STOK RAPORU'!$C$2:$I$1000, 4, 0))), 0)</f>
        <v>0</v>
      </c>
      <c r="U1887" s="22">
        <f t="shared" si="116"/>
        <v>0</v>
      </c>
      <c r="V1887">
        <f t="shared" si="117"/>
        <v>0</v>
      </c>
      <c r="W1887" s="22">
        <f t="shared" si="118"/>
        <v>0</v>
      </c>
    </row>
    <row r="1888" spans="1:23" hidden="1" x14ac:dyDescent="0.25">
      <c r="A1888" s="3">
        <v>45997</v>
      </c>
      <c r="B1888" s="4" t="s">
        <v>334</v>
      </c>
      <c r="C1888" s="4" t="s">
        <v>224</v>
      </c>
      <c r="D1888" s="4"/>
      <c r="E1888" s="4" t="s">
        <v>921</v>
      </c>
      <c r="F1888" s="4" t="s">
        <v>1137</v>
      </c>
      <c r="G1888" s="4" t="s">
        <v>336</v>
      </c>
      <c r="H1888" s="4" t="s">
        <v>380</v>
      </c>
      <c r="I1888" s="4">
        <v>0.1</v>
      </c>
      <c r="J1888" s="21">
        <v>900</v>
      </c>
      <c r="K1888" s="21">
        <v>90</v>
      </c>
      <c r="L1888" s="5">
        <v>0</v>
      </c>
      <c r="M1888" s="4"/>
      <c r="N1888" s="4"/>
      <c r="O1888" s="5"/>
      <c r="P1888" s="5"/>
      <c r="Q1888" s="21">
        <v>0</v>
      </c>
      <c r="R1888" s="21">
        <v>0</v>
      </c>
      <c r="S1888" s="5">
        <f t="shared" si="119"/>
        <v>47115.658760151993</v>
      </c>
      <c r="T1888" cm="1">
        <f t="array" ref="T1888">IF(OR(B1888="MAL ALIMI", B1888="ÜRETİM GİRİŞ"), MIN(I1888, MAX(0, I1888 + SUM(SUMIFS($I$1:I1887, $C$1:C1887, C1888, $B$1:B1887, {"MAL ALIMI","ÜRETİM GİRİŞ"})) - VLOOKUP(C1888, 'STOK RAPORU'!$C$2:$I$1000, 4, 0))), 0)</f>
        <v>0</v>
      </c>
      <c r="U1888" s="22">
        <f t="shared" si="116"/>
        <v>0</v>
      </c>
      <c r="V1888">
        <f t="shared" si="117"/>
        <v>0</v>
      </c>
      <c r="W1888" s="22">
        <f t="shared" si="118"/>
        <v>0</v>
      </c>
    </row>
    <row r="1889" spans="1:23" hidden="1" x14ac:dyDescent="0.25">
      <c r="A1889" s="3">
        <v>45997</v>
      </c>
      <c r="B1889" s="4" t="s">
        <v>334</v>
      </c>
      <c r="C1889" s="4" t="s">
        <v>679</v>
      </c>
      <c r="D1889" s="4"/>
      <c r="E1889" s="4"/>
      <c r="F1889" s="4" t="s">
        <v>1138</v>
      </c>
      <c r="G1889" s="4" t="s">
        <v>1139</v>
      </c>
      <c r="H1889" s="4" t="s">
        <v>289</v>
      </c>
      <c r="I1889" s="4">
        <v>0.25</v>
      </c>
      <c r="J1889" s="21">
        <v>400</v>
      </c>
      <c r="K1889" s="21">
        <v>0</v>
      </c>
      <c r="L1889" s="5">
        <v>0</v>
      </c>
      <c r="M1889" s="4"/>
      <c r="N1889" s="4"/>
      <c r="O1889" s="5"/>
      <c r="P1889" s="5"/>
      <c r="Q1889" s="21">
        <v>100</v>
      </c>
      <c r="R1889" s="21">
        <v>0</v>
      </c>
      <c r="S1889" s="5">
        <f t="shared" si="119"/>
        <v>47215.658760151993</v>
      </c>
      <c r="T1889" cm="1">
        <f t="array" ref="T1889">IF(OR(B1889="MAL ALIMI", B1889="ÜRETİM GİRİŞ"), MIN(I1889, MAX(0, I1889 + SUM(SUMIFS($I$1:I1888, $C$1:C1888, C1889, $B$1:B1888, {"MAL ALIMI","ÜRETİM GİRİŞ"})) - VLOOKUP(C1889, 'STOK RAPORU'!$C$2:$I$1000, 4, 0))), 0)</f>
        <v>0</v>
      </c>
      <c r="U1889" s="22">
        <f t="shared" si="116"/>
        <v>0</v>
      </c>
      <c r="V1889">
        <f t="shared" si="117"/>
        <v>0</v>
      </c>
      <c r="W1889" s="22">
        <f t="shared" si="118"/>
        <v>0</v>
      </c>
    </row>
    <row r="1890" spans="1:23" hidden="1" x14ac:dyDescent="0.25">
      <c r="A1890" s="3">
        <v>45997</v>
      </c>
      <c r="B1890" s="4" t="s">
        <v>334</v>
      </c>
      <c r="C1890" s="4" t="s">
        <v>207</v>
      </c>
      <c r="D1890" s="4"/>
      <c r="E1890" s="4"/>
      <c r="F1890" s="4" t="s">
        <v>1138</v>
      </c>
      <c r="G1890" s="4" t="s">
        <v>1139</v>
      </c>
      <c r="H1890" s="4" t="s">
        <v>289</v>
      </c>
      <c r="I1890" s="4">
        <v>0.5</v>
      </c>
      <c r="J1890" s="21">
        <v>140</v>
      </c>
      <c r="K1890" s="21">
        <v>0</v>
      </c>
      <c r="L1890" s="5">
        <v>0</v>
      </c>
      <c r="M1890" s="4"/>
      <c r="N1890" s="4"/>
      <c r="O1890" s="5"/>
      <c r="P1890" s="5"/>
      <c r="Q1890" s="21">
        <v>70</v>
      </c>
      <c r="R1890" s="21">
        <v>0</v>
      </c>
      <c r="S1890" s="5">
        <f t="shared" si="119"/>
        <v>47285.658760151993</v>
      </c>
      <c r="T1890" cm="1">
        <f t="array" ref="T1890">IF(OR(B1890="MAL ALIMI", B1890="ÜRETİM GİRİŞ"), MIN(I1890, MAX(0, I1890 + SUM(SUMIFS($I$1:I1889, $C$1:C1889, C1890, $B$1:B1889, {"MAL ALIMI","ÜRETİM GİRİŞ"})) - VLOOKUP(C1890, 'STOK RAPORU'!$C$2:$I$1000, 4, 0))), 0)</f>
        <v>0</v>
      </c>
      <c r="U1890" s="22">
        <f t="shared" si="116"/>
        <v>0</v>
      </c>
      <c r="V1890">
        <f t="shared" si="117"/>
        <v>0</v>
      </c>
      <c r="W1890" s="22">
        <f t="shared" si="118"/>
        <v>0</v>
      </c>
    </row>
    <row r="1891" spans="1:23" hidden="1" x14ac:dyDescent="0.25">
      <c r="A1891" s="3">
        <v>45997</v>
      </c>
      <c r="B1891" s="4" t="s">
        <v>334</v>
      </c>
      <c r="C1891" s="4" t="s">
        <v>137</v>
      </c>
      <c r="D1891" s="4"/>
      <c r="E1891" s="4"/>
      <c r="F1891" s="4" t="s">
        <v>1138</v>
      </c>
      <c r="G1891" s="4" t="s">
        <v>1139</v>
      </c>
      <c r="H1891" s="4" t="s">
        <v>289</v>
      </c>
      <c r="I1891" s="4">
        <v>0.25</v>
      </c>
      <c r="J1891" s="21">
        <v>180</v>
      </c>
      <c r="K1891" s="21">
        <v>0</v>
      </c>
      <c r="L1891" s="5">
        <v>0</v>
      </c>
      <c r="M1891" s="4"/>
      <c r="N1891" s="4"/>
      <c r="O1891" s="5"/>
      <c r="P1891" s="5"/>
      <c r="Q1891" s="21">
        <v>45</v>
      </c>
      <c r="R1891" s="21">
        <v>0</v>
      </c>
      <c r="S1891" s="5">
        <f t="shared" si="119"/>
        <v>47330.658760151993</v>
      </c>
      <c r="T1891" cm="1">
        <f t="array" ref="T1891">IF(OR(B1891="MAL ALIMI", B1891="ÜRETİM GİRİŞ"), MIN(I1891, MAX(0, I1891 + SUM(SUMIFS($I$1:I1890, $C$1:C1890, C1891, $B$1:B1890, {"MAL ALIMI","ÜRETİM GİRİŞ"})) - VLOOKUP(C1891, 'STOK RAPORU'!$C$2:$I$1000, 4, 0))), 0)</f>
        <v>0</v>
      </c>
      <c r="U1891" s="22">
        <f t="shared" si="116"/>
        <v>0</v>
      </c>
      <c r="V1891">
        <f t="shared" si="117"/>
        <v>0</v>
      </c>
      <c r="W1891" s="22">
        <f t="shared" si="118"/>
        <v>0</v>
      </c>
    </row>
    <row r="1892" spans="1:23" hidden="1" x14ac:dyDescent="0.25">
      <c r="A1892" s="3">
        <v>45997</v>
      </c>
      <c r="B1892" s="4" t="s">
        <v>334</v>
      </c>
      <c r="C1892" s="4" t="s">
        <v>161</v>
      </c>
      <c r="D1892" s="4"/>
      <c r="E1892" s="4" t="s">
        <v>921</v>
      </c>
      <c r="F1892" s="4" t="s">
        <v>1153</v>
      </c>
      <c r="G1892" s="4" t="s">
        <v>336</v>
      </c>
      <c r="H1892" s="4" t="s">
        <v>380</v>
      </c>
      <c r="I1892" s="4">
        <v>1</v>
      </c>
      <c r="J1892" s="21">
        <v>240</v>
      </c>
      <c r="K1892" s="21">
        <v>240</v>
      </c>
      <c r="L1892" s="5">
        <v>0</v>
      </c>
      <c r="M1892" s="4"/>
      <c r="N1892" s="4"/>
      <c r="O1892" s="5"/>
      <c r="P1892" s="5"/>
      <c r="Q1892" s="21">
        <v>0</v>
      </c>
      <c r="R1892" s="21">
        <v>0</v>
      </c>
      <c r="S1892" s="5">
        <f t="shared" si="119"/>
        <v>47330.658760151993</v>
      </c>
      <c r="T1892" cm="1">
        <f t="array" ref="T1892">IF(OR(B1892="MAL ALIMI", B1892="ÜRETİM GİRİŞ"), MIN(I1892, MAX(0, I1892 + SUM(SUMIFS($I$1:I1891, $C$1:C1891, C1892, $B$1:B1891, {"MAL ALIMI","ÜRETİM GİRİŞ"})) - VLOOKUP(C1892, 'STOK RAPORU'!$C$2:$I$1000, 4, 0))), 0)</f>
        <v>0</v>
      </c>
      <c r="U1892" s="22">
        <f t="shared" si="116"/>
        <v>0</v>
      </c>
      <c r="V1892">
        <f t="shared" si="117"/>
        <v>0</v>
      </c>
      <c r="W1892" s="22">
        <f t="shared" si="118"/>
        <v>0</v>
      </c>
    </row>
    <row r="1893" spans="1:23" hidden="1" x14ac:dyDescent="0.25">
      <c r="A1893" s="3">
        <v>45997</v>
      </c>
      <c r="B1893" s="4" t="s">
        <v>334</v>
      </c>
      <c r="C1893" s="4" t="s">
        <v>160</v>
      </c>
      <c r="D1893" s="4"/>
      <c r="E1893" s="4" t="s">
        <v>921</v>
      </c>
      <c r="F1893" s="4" t="s">
        <v>1154</v>
      </c>
      <c r="G1893" s="4" t="s">
        <v>336</v>
      </c>
      <c r="H1893" s="4" t="s">
        <v>380</v>
      </c>
      <c r="I1893" s="4">
        <v>1</v>
      </c>
      <c r="J1893" s="21">
        <v>200</v>
      </c>
      <c r="K1893" s="21">
        <v>200</v>
      </c>
      <c r="L1893" s="5">
        <v>0</v>
      </c>
      <c r="M1893" s="4"/>
      <c r="N1893" s="4"/>
      <c r="O1893" s="5"/>
      <c r="P1893" s="5"/>
      <c r="Q1893" s="21">
        <v>0</v>
      </c>
      <c r="R1893" s="21">
        <v>0</v>
      </c>
      <c r="S1893" s="5">
        <f t="shared" si="119"/>
        <v>47330.658760151993</v>
      </c>
      <c r="T1893" cm="1">
        <f t="array" ref="T1893">IF(OR(B1893="MAL ALIMI", B1893="ÜRETİM GİRİŞ"), MIN(I1893, MAX(0, I1893 + SUM(SUMIFS($I$1:I1892, $C$1:C1892, C1893, $B$1:B1892, {"MAL ALIMI","ÜRETİM GİRİŞ"})) - VLOOKUP(C1893, 'STOK RAPORU'!$C$2:$I$1000, 4, 0))), 0)</f>
        <v>0</v>
      </c>
      <c r="U1893" s="22">
        <f t="shared" si="116"/>
        <v>0</v>
      </c>
      <c r="V1893">
        <f t="shared" si="117"/>
        <v>0</v>
      </c>
      <c r="W1893" s="22">
        <f t="shared" si="118"/>
        <v>0</v>
      </c>
    </row>
    <row r="1894" spans="1:23" hidden="1" x14ac:dyDescent="0.25">
      <c r="A1894" s="3">
        <v>45997</v>
      </c>
      <c r="B1894" s="4" t="s">
        <v>334</v>
      </c>
      <c r="C1894" s="4" t="s">
        <v>137</v>
      </c>
      <c r="D1894" s="4"/>
      <c r="E1894" s="4" t="s">
        <v>921</v>
      </c>
      <c r="F1894" s="4" t="s">
        <v>1155</v>
      </c>
      <c r="G1894" s="4" t="s">
        <v>336</v>
      </c>
      <c r="H1894" s="4" t="s">
        <v>380</v>
      </c>
      <c r="I1894" s="4">
        <v>0.25</v>
      </c>
      <c r="J1894" s="21">
        <v>180</v>
      </c>
      <c r="K1894" s="21">
        <v>45</v>
      </c>
      <c r="L1894" s="5">
        <v>0</v>
      </c>
      <c r="M1894" s="4"/>
      <c r="N1894" s="4"/>
      <c r="O1894" s="5"/>
      <c r="P1894" s="5"/>
      <c r="Q1894" s="21">
        <v>0</v>
      </c>
      <c r="R1894" s="21">
        <v>0</v>
      </c>
      <c r="S1894" s="5">
        <f t="shared" si="119"/>
        <v>47330.658760151993</v>
      </c>
      <c r="T1894" cm="1">
        <f t="array" ref="T1894">IF(OR(B1894="MAL ALIMI", B1894="ÜRETİM GİRİŞ"), MIN(I1894, MAX(0, I1894 + SUM(SUMIFS($I$1:I1893, $C$1:C1893, C1894, $B$1:B1893, {"MAL ALIMI","ÜRETİM GİRİŞ"})) - VLOOKUP(C1894, 'STOK RAPORU'!$C$2:$I$1000, 4, 0))), 0)</f>
        <v>0</v>
      </c>
      <c r="U1894" s="22">
        <f t="shared" si="116"/>
        <v>0</v>
      </c>
      <c r="V1894">
        <f t="shared" si="117"/>
        <v>0</v>
      </c>
      <c r="W1894" s="22">
        <f t="shared" si="118"/>
        <v>0</v>
      </c>
    </row>
    <row r="1895" spans="1:23" hidden="1" x14ac:dyDescent="0.25">
      <c r="A1895" s="3">
        <v>45997</v>
      </c>
      <c r="B1895" s="4" t="s">
        <v>946</v>
      </c>
      <c r="C1895" s="4"/>
      <c r="D1895" s="4"/>
      <c r="E1895" s="4" t="s">
        <v>921</v>
      </c>
      <c r="F1895" s="4"/>
      <c r="G1895" s="4" t="s">
        <v>946</v>
      </c>
      <c r="H1895" s="4" t="s">
        <v>380</v>
      </c>
      <c r="I1895" s="4">
        <v>1</v>
      </c>
      <c r="J1895" s="105">
        <v>1723</v>
      </c>
      <c r="K1895" s="21">
        <v>0</v>
      </c>
      <c r="L1895" s="111">
        <v>1723</v>
      </c>
      <c r="M1895" s="4"/>
      <c r="N1895" s="4"/>
      <c r="O1895" s="5"/>
      <c r="P1895" s="5"/>
      <c r="Q1895" s="21">
        <v>1723</v>
      </c>
      <c r="R1895" s="21">
        <v>0</v>
      </c>
      <c r="S1895" s="5">
        <f t="shared" si="119"/>
        <v>49053.658760151993</v>
      </c>
      <c r="T1895" cm="1">
        <f t="array" ref="T1895">IF(OR(B1895="MAL ALIMI", B1895="ÜRETİM GİRİŞ"), MIN(I1895, MAX(0, I1895 + SUM(SUMIFS($I$1:I1894, $C$1:C1894, C1895, $B$1:B1894, {"MAL ALIMI","ÜRETİM GİRİŞ"})) - VLOOKUP(C1895, 'STOK RAPORU'!$C$2:$I$1000, 4, 0))), 0)</f>
        <v>0</v>
      </c>
      <c r="U1895" s="22">
        <f t="shared" si="116"/>
        <v>0</v>
      </c>
      <c r="V1895">
        <f t="shared" si="117"/>
        <v>0</v>
      </c>
      <c r="W1895" s="22">
        <f t="shared" si="118"/>
        <v>0</v>
      </c>
    </row>
    <row r="1896" spans="1:23" hidden="1" x14ac:dyDescent="0.25">
      <c r="A1896" s="3">
        <v>45997</v>
      </c>
      <c r="B1896" s="4" t="s">
        <v>298</v>
      </c>
      <c r="C1896" s="4" t="s">
        <v>1203</v>
      </c>
      <c r="D1896" s="4"/>
      <c r="E1896" s="4" t="s">
        <v>856</v>
      </c>
      <c r="F1896" s="4"/>
      <c r="G1896" s="4" t="s">
        <v>753</v>
      </c>
      <c r="H1896" s="4" t="s">
        <v>1329</v>
      </c>
      <c r="I1896" s="4">
        <v>8</v>
      </c>
      <c r="J1896" s="35">
        <v>71.03</v>
      </c>
      <c r="K1896" s="35">
        <v>0</v>
      </c>
      <c r="L1896" s="5">
        <v>568.24</v>
      </c>
      <c r="M1896" s="4"/>
      <c r="N1896" s="4"/>
      <c r="O1896" s="5"/>
      <c r="P1896" s="5"/>
      <c r="Q1896" s="35">
        <v>0</v>
      </c>
      <c r="R1896" s="35">
        <v>0</v>
      </c>
      <c r="S1896" s="5">
        <f t="shared" si="119"/>
        <v>49053.658760151993</v>
      </c>
      <c r="T1896" cm="1">
        <f t="array" ref="T1896">IF(OR(B1896="MAL ALIMI", B1896="ÜRETİM GİRİŞ"), MIN(I1896, MAX(0, I1896 + SUM(SUMIFS($I$1:I1895, $C$1:C1895, C1896, $B$1:B1895, {"MAL ALIMI","ÜRETİM GİRİŞ"})) - VLOOKUP(C1896, 'STOK RAPORU'!$C$2:$I$1000, 4, 0))), 0)</f>
        <v>2</v>
      </c>
      <c r="U1896" s="22">
        <f t="shared" si="116"/>
        <v>142.06</v>
      </c>
      <c r="V1896">
        <f t="shared" si="117"/>
        <v>568.24</v>
      </c>
      <c r="W1896" s="22">
        <f t="shared" si="118"/>
        <v>426.18</v>
      </c>
    </row>
    <row r="1897" spans="1:23" hidden="1" x14ac:dyDescent="0.25">
      <c r="A1897" s="3">
        <v>45998</v>
      </c>
      <c r="B1897" s="4" t="s">
        <v>334</v>
      </c>
      <c r="C1897" s="4" t="s">
        <v>140</v>
      </c>
      <c r="D1897" s="4"/>
      <c r="E1897" s="4" t="s">
        <v>921</v>
      </c>
      <c r="F1897" s="4" t="s">
        <v>1156</v>
      </c>
      <c r="G1897" s="4" t="s">
        <v>336</v>
      </c>
      <c r="H1897" s="4" t="s">
        <v>380</v>
      </c>
      <c r="I1897" s="4">
        <v>0.128</v>
      </c>
      <c r="J1897" s="21">
        <v>250</v>
      </c>
      <c r="K1897" s="21">
        <v>32</v>
      </c>
      <c r="L1897" s="5">
        <v>0</v>
      </c>
      <c r="M1897" s="4"/>
      <c r="N1897" s="4"/>
      <c r="O1897" s="5"/>
      <c r="P1897" s="5"/>
      <c r="Q1897" s="21">
        <v>0</v>
      </c>
      <c r="R1897" s="21">
        <v>0</v>
      </c>
      <c r="S1897" s="5">
        <f t="shared" si="119"/>
        <v>49053.658760151993</v>
      </c>
      <c r="T1897" cm="1">
        <f t="array" ref="T1897">IF(OR(B1897="MAL ALIMI", B1897="ÜRETİM GİRİŞ"), MIN(I1897, MAX(0, I1897 + SUM(SUMIFS($I$1:I1896, $C$1:C1896, C1897, $B$1:B1896, {"MAL ALIMI","ÜRETİM GİRİŞ"})) - VLOOKUP(C1897, 'STOK RAPORU'!$C$2:$I$1000, 4, 0))), 0)</f>
        <v>0</v>
      </c>
      <c r="U1897" s="22">
        <f t="shared" si="116"/>
        <v>0</v>
      </c>
      <c r="V1897">
        <f t="shared" si="117"/>
        <v>0</v>
      </c>
      <c r="W1897" s="22">
        <f t="shared" si="118"/>
        <v>0</v>
      </c>
    </row>
    <row r="1898" spans="1:23" hidden="1" x14ac:dyDescent="0.25">
      <c r="A1898" s="3">
        <v>45998</v>
      </c>
      <c r="B1898" s="4" t="s">
        <v>334</v>
      </c>
      <c r="C1898" s="4" t="s">
        <v>160</v>
      </c>
      <c r="D1898" s="4"/>
      <c r="E1898" s="4" t="s">
        <v>921</v>
      </c>
      <c r="F1898" s="4" t="s">
        <v>1156</v>
      </c>
      <c r="G1898" s="4" t="s">
        <v>336</v>
      </c>
      <c r="H1898" s="4" t="s">
        <v>380</v>
      </c>
      <c r="I1898" s="4">
        <v>1</v>
      </c>
      <c r="J1898" s="21">
        <v>240</v>
      </c>
      <c r="K1898" s="21">
        <v>240</v>
      </c>
      <c r="L1898" s="5">
        <v>0</v>
      </c>
      <c r="M1898" s="4"/>
      <c r="N1898" s="4"/>
      <c r="O1898" s="5"/>
      <c r="P1898" s="5"/>
      <c r="Q1898" s="21">
        <v>0</v>
      </c>
      <c r="R1898" s="21">
        <v>0</v>
      </c>
      <c r="S1898" s="5">
        <f t="shared" si="119"/>
        <v>49053.658760151993</v>
      </c>
      <c r="T1898" cm="1">
        <f t="array" ref="T1898">IF(OR(B1898="MAL ALIMI", B1898="ÜRETİM GİRİŞ"), MIN(I1898, MAX(0, I1898 + SUM(SUMIFS($I$1:I1897, $C$1:C1897, C1898, $B$1:B1897, {"MAL ALIMI","ÜRETİM GİRİŞ"})) - VLOOKUP(C1898, 'STOK RAPORU'!$C$2:$I$1000, 4, 0))), 0)</f>
        <v>0</v>
      </c>
      <c r="U1898" s="22">
        <f t="shared" si="116"/>
        <v>0</v>
      </c>
      <c r="V1898">
        <f t="shared" si="117"/>
        <v>0</v>
      </c>
      <c r="W1898" s="22">
        <f t="shared" si="118"/>
        <v>0</v>
      </c>
    </row>
    <row r="1899" spans="1:23" hidden="1" x14ac:dyDescent="0.25">
      <c r="A1899" s="3">
        <v>45998</v>
      </c>
      <c r="B1899" s="4" t="s">
        <v>334</v>
      </c>
      <c r="C1899" s="4" t="s">
        <v>161</v>
      </c>
      <c r="D1899" s="4"/>
      <c r="E1899" s="4" t="s">
        <v>921</v>
      </c>
      <c r="F1899" s="4" t="s">
        <v>1156</v>
      </c>
      <c r="G1899" s="4" t="s">
        <v>336</v>
      </c>
      <c r="H1899" s="4" t="s">
        <v>380</v>
      </c>
      <c r="I1899" s="4">
        <v>1</v>
      </c>
      <c r="J1899" s="21">
        <v>200</v>
      </c>
      <c r="K1899" s="21">
        <v>200</v>
      </c>
      <c r="L1899" s="5">
        <v>0</v>
      </c>
      <c r="M1899" s="4"/>
      <c r="N1899" s="4"/>
      <c r="O1899" s="5"/>
      <c r="P1899" s="5"/>
      <c r="Q1899" s="21">
        <v>0</v>
      </c>
      <c r="R1899" s="21">
        <v>0</v>
      </c>
      <c r="S1899" s="5">
        <f t="shared" si="119"/>
        <v>49053.658760151993</v>
      </c>
      <c r="T1899" cm="1">
        <f t="array" ref="T1899">IF(OR(B1899="MAL ALIMI", B1899="ÜRETİM GİRİŞ"), MIN(I1899, MAX(0, I1899 + SUM(SUMIFS($I$1:I1898, $C$1:C1898, C1899, $B$1:B1898, {"MAL ALIMI","ÜRETİM GİRİŞ"})) - VLOOKUP(C1899, 'STOK RAPORU'!$C$2:$I$1000, 4, 0))), 0)</f>
        <v>0</v>
      </c>
      <c r="U1899" s="22">
        <f t="shared" si="116"/>
        <v>0</v>
      </c>
      <c r="V1899">
        <f t="shared" si="117"/>
        <v>0</v>
      </c>
      <c r="W1899" s="22">
        <f t="shared" si="118"/>
        <v>0</v>
      </c>
    </row>
    <row r="1900" spans="1:23" hidden="1" x14ac:dyDescent="0.25">
      <c r="A1900" s="3">
        <v>45998</v>
      </c>
      <c r="B1900" s="4" t="s">
        <v>334</v>
      </c>
      <c r="C1900" s="4" t="s">
        <v>149</v>
      </c>
      <c r="D1900" s="4"/>
      <c r="E1900" s="4" t="s">
        <v>921</v>
      </c>
      <c r="F1900" s="4" t="s">
        <v>1156</v>
      </c>
      <c r="G1900" s="4" t="s">
        <v>336</v>
      </c>
      <c r="H1900" s="4" t="s">
        <v>380</v>
      </c>
      <c r="I1900" s="4">
        <v>1</v>
      </c>
      <c r="J1900" s="21">
        <v>65</v>
      </c>
      <c r="K1900" s="21">
        <v>65</v>
      </c>
      <c r="L1900" s="5">
        <v>0</v>
      </c>
      <c r="M1900" s="4"/>
      <c r="N1900" s="4"/>
      <c r="O1900" s="5"/>
      <c r="P1900" s="5"/>
      <c r="Q1900" s="21">
        <v>0</v>
      </c>
      <c r="R1900" s="21">
        <v>0</v>
      </c>
      <c r="S1900" s="5">
        <f t="shared" si="119"/>
        <v>49053.658760151993</v>
      </c>
      <c r="T1900" cm="1">
        <f t="array" ref="T1900">IF(OR(B1900="MAL ALIMI", B1900="ÜRETİM GİRİŞ"), MIN(I1900, MAX(0, I1900 + SUM(SUMIFS($I$1:I1899, $C$1:C1899, C1900, $B$1:B1899, {"MAL ALIMI","ÜRETİM GİRİŞ"})) - VLOOKUP(C1900, 'STOK RAPORU'!$C$2:$I$1000, 4, 0))), 0)</f>
        <v>0</v>
      </c>
      <c r="U1900" s="22">
        <f t="shared" si="116"/>
        <v>0</v>
      </c>
      <c r="V1900">
        <f t="shared" si="117"/>
        <v>0</v>
      </c>
      <c r="W1900" s="22">
        <f t="shared" si="118"/>
        <v>0</v>
      </c>
    </row>
    <row r="1901" spans="1:23" hidden="1" x14ac:dyDescent="0.25">
      <c r="A1901" s="3">
        <v>45998</v>
      </c>
      <c r="B1901" s="4" t="s">
        <v>334</v>
      </c>
      <c r="C1901" s="4" t="s">
        <v>198</v>
      </c>
      <c r="D1901" s="4"/>
      <c r="E1901" s="4" t="s">
        <v>921</v>
      </c>
      <c r="F1901" s="4" t="s">
        <v>1156</v>
      </c>
      <c r="G1901" s="4" t="s">
        <v>336</v>
      </c>
      <c r="H1901" s="4" t="s">
        <v>380</v>
      </c>
      <c r="I1901" s="4">
        <v>0.05</v>
      </c>
      <c r="J1901" s="21">
        <v>1400</v>
      </c>
      <c r="K1901" s="21">
        <v>70</v>
      </c>
      <c r="L1901" s="5">
        <v>0</v>
      </c>
      <c r="M1901" s="4"/>
      <c r="N1901" s="4"/>
      <c r="O1901" s="5"/>
      <c r="P1901" s="5"/>
      <c r="Q1901" s="21">
        <v>0</v>
      </c>
      <c r="R1901" s="21">
        <v>0</v>
      </c>
      <c r="S1901" s="5">
        <f t="shared" si="119"/>
        <v>49053.658760151993</v>
      </c>
      <c r="T1901" cm="1">
        <f t="array" ref="T1901">IF(OR(B1901="MAL ALIMI", B1901="ÜRETİM GİRİŞ"), MIN(I1901, MAX(0, I1901 + SUM(SUMIFS($I$1:I1900, $C$1:C1900, C1901, $B$1:B1900, {"MAL ALIMI","ÜRETİM GİRİŞ"})) - VLOOKUP(C1901, 'STOK RAPORU'!$C$2:$I$1000, 4, 0))), 0)</f>
        <v>0</v>
      </c>
      <c r="U1901" s="22">
        <f t="shared" si="116"/>
        <v>0</v>
      </c>
      <c r="V1901">
        <f t="shared" si="117"/>
        <v>0</v>
      </c>
      <c r="W1901" s="22">
        <f t="shared" si="118"/>
        <v>0</v>
      </c>
    </row>
    <row r="1902" spans="1:23" hidden="1" x14ac:dyDescent="0.25">
      <c r="A1902" s="3">
        <v>45998</v>
      </c>
      <c r="B1902" s="4" t="s">
        <v>334</v>
      </c>
      <c r="C1902" s="4" t="s">
        <v>209</v>
      </c>
      <c r="D1902" s="4"/>
      <c r="E1902" s="4" t="s">
        <v>921</v>
      </c>
      <c r="F1902" s="4" t="s">
        <v>1156</v>
      </c>
      <c r="G1902" s="4" t="s">
        <v>336</v>
      </c>
      <c r="H1902" s="4" t="s">
        <v>380</v>
      </c>
      <c r="I1902" s="4">
        <v>0.05</v>
      </c>
      <c r="J1902" s="21">
        <v>2600</v>
      </c>
      <c r="K1902" s="21">
        <v>130</v>
      </c>
      <c r="L1902" s="5">
        <v>0</v>
      </c>
      <c r="M1902" s="4"/>
      <c r="N1902" s="4"/>
      <c r="O1902" s="5"/>
      <c r="P1902" s="5"/>
      <c r="Q1902" s="21">
        <v>0</v>
      </c>
      <c r="R1902" s="21">
        <v>0</v>
      </c>
      <c r="S1902" s="5">
        <f t="shared" si="119"/>
        <v>49053.658760151993</v>
      </c>
      <c r="T1902" cm="1">
        <f t="array" ref="T1902">IF(OR(B1902="MAL ALIMI", B1902="ÜRETİM GİRİŞ"), MIN(I1902, MAX(0, I1902 + SUM(SUMIFS($I$1:I1901, $C$1:C1901, C1902, $B$1:B1901, {"MAL ALIMI","ÜRETİM GİRİŞ"})) - VLOOKUP(C1902, 'STOK RAPORU'!$C$2:$I$1000, 4, 0))), 0)</f>
        <v>0</v>
      </c>
      <c r="U1902" s="22">
        <f t="shared" si="116"/>
        <v>0</v>
      </c>
      <c r="V1902">
        <f t="shared" si="117"/>
        <v>0</v>
      </c>
      <c r="W1902" s="22">
        <f t="shared" si="118"/>
        <v>0</v>
      </c>
    </row>
    <row r="1903" spans="1:23" hidden="1" x14ac:dyDescent="0.25">
      <c r="A1903" s="3">
        <v>45998</v>
      </c>
      <c r="B1903" s="4" t="s">
        <v>334</v>
      </c>
      <c r="C1903" s="4" t="s">
        <v>523</v>
      </c>
      <c r="D1903" s="4"/>
      <c r="E1903" s="4" t="s">
        <v>921</v>
      </c>
      <c r="F1903" s="4" t="s">
        <v>1156</v>
      </c>
      <c r="G1903" s="4" t="s">
        <v>336</v>
      </c>
      <c r="H1903" s="4" t="s">
        <v>380</v>
      </c>
      <c r="I1903" s="4">
        <v>0.1</v>
      </c>
      <c r="J1903" s="21">
        <v>650</v>
      </c>
      <c r="K1903" s="21">
        <v>65</v>
      </c>
      <c r="L1903" s="5">
        <v>0</v>
      </c>
      <c r="M1903" s="4"/>
      <c r="N1903" s="4"/>
      <c r="O1903" s="5"/>
      <c r="P1903" s="5"/>
      <c r="Q1903" s="21">
        <v>0</v>
      </c>
      <c r="R1903" s="21">
        <v>0</v>
      </c>
      <c r="S1903" s="5">
        <f t="shared" si="119"/>
        <v>49053.658760151993</v>
      </c>
      <c r="T1903" cm="1">
        <f t="array" ref="T1903">IF(OR(B1903="MAL ALIMI", B1903="ÜRETİM GİRİŞ"), MIN(I1903, MAX(0, I1903 + SUM(SUMIFS($I$1:I1902, $C$1:C1902, C1903, $B$1:B1902, {"MAL ALIMI","ÜRETİM GİRİŞ"})) - VLOOKUP(C1903, 'STOK RAPORU'!$C$2:$I$1000, 4, 0))), 0)</f>
        <v>0</v>
      </c>
      <c r="U1903" s="22">
        <f t="shared" si="116"/>
        <v>0</v>
      </c>
      <c r="V1903">
        <f t="shared" si="117"/>
        <v>0</v>
      </c>
      <c r="W1903" s="22">
        <f t="shared" si="118"/>
        <v>0</v>
      </c>
    </row>
    <row r="1904" spans="1:23" hidden="1" x14ac:dyDescent="0.25">
      <c r="A1904" s="3">
        <v>45998</v>
      </c>
      <c r="B1904" s="4" t="s">
        <v>334</v>
      </c>
      <c r="C1904" s="4" t="s">
        <v>265</v>
      </c>
      <c r="D1904" s="4"/>
      <c r="E1904" s="4" t="s">
        <v>921</v>
      </c>
      <c r="F1904" s="4" t="s">
        <v>1156</v>
      </c>
      <c r="G1904" s="4" t="s">
        <v>336</v>
      </c>
      <c r="H1904" s="4" t="s">
        <v>380</v>
      </c>
      <c r="I1904" s="4">
        <v>1</v>
      </c>
      <c r="J1904" s="21">
        <v>140</v>
      </c>
      <c r="K1904" s="21">
        <v>140</v>
      </c>
      <c r="L1904" s="5">
        <v>0</v>
      </c>
      <c r="M1904" s="4"/>
      <c r="N1904" s="4"/>
      <c r="O1904" s="5"/>
      <c r="P1904" s="5"/>
      <c r="Q1904" s="21">
        <v>0</v>
      </c>
      <c r="R1904" s="21">
        <v>0</v>
      </c>
      <c r="S1904" s="5">
        <f t="shared" si="119"/>
        <v>49053.658760151993</v>
      </c>
      <c r="T1904" cm="1">
        <f t="array" ref="T1904">IF(OR(B1904="MAL ALIMI", B1904="ÜRETİM GİRİŞ"), MIN(I1904, MAX(0, I1904 + SUM(SUMIFS($I$1:I1903, $C$1:C1903, C1904, $B$1:B1903, {"MAL ALIMI","ÜRETİM GİRİŞ"})) - VLOOKUP(C1904, 'STOK RAPORU'!$C$2:$I$1000, 4, 0))), 0)</f>
        <v>0</v>
      </c>
      <c r="U1904" s="22">
        <f t="shared" si="116"/>
        <v>0</v>
      </c>
      <c r="V1904">
        <f t="shared" si="117"/>
        <v>0</v>
      </c>
      <c r="W1904" s="22">
        <f t="shared" si="118"/>
        <v>0</v>
      </c>
    </row>
    <row r="1905" spans="1:23" hidden="1" x14ac:dyDescent="0.25">
      <c r="A1905" s="3">
        <v>45998</v>
      </c>
      <c r="B1905" s="4" t="s">
        <v>334</v>
      </c>
      <c r="C1905" s="4" t="s">
        <v>265</v>
      </c>
      <c r="D1905" s="4"/>
      <c r="E1905" s="4"/>
      <c r="F1905" s="4" t="s">
        <v>1157</v>
      </c>
      <c r="G1905" s="4" t="s">
        <v>336</v>
      </c>
      <c r="H1905" s="4" t="s">
        <v>289</v>
      </c>
      <c r="I1905" s="4">
        <v>1</v>
      </c>
      <c r="J1905" s="21">
        <v>140</v>
      </c>
      <c r="K1905" s="21">
        <v>0</v>
      </c>
      <c r="L1905" s="5">
        <v>0</v>
      </c>
      <c r="M1905" s="4"/>
      <c r="N1905" s="4"/>
      <c r="O1905" s="5"/>
      <c r="P1905" s="5"/>
      <c r="Q1905" s="21">
        <v>140</v>
      </c>
      <c r="R1905" s="21">
        <v>0</v>
      </c>
      <c r="S1905" s="5">
        <f t="shared" si="119"/>
        <v>49193.658760151993</v>
      </c>
      <c r="T1905" cm="1">
        <f t="array" ref="T1905">IF(OR(B1905="MAL ALIMI", B1905="ÜRETİM GİRİŞ"), MIN(I1905, MAX(0, I1905 + SUM(SUMIFS($I$1:I1904, $C$1:C1904, C1905, $B$1:B1904, {"MAL ALIMI","ÜRETİM GİRİŞ"})) - VLOOKUP(C1905, 'STOK RAPORU'!$C$2:$I$1000, 4, 0))), 0)</f>
        <v>0</v>
      </c>
      <c r="U1905" s="22">
        <f t="shared" si="116"/>
        <v>0</v>
      </c>
      <c r="V1905">
        <f t="shared" si="117"/>
        <v>0</v>
      </c>
      <c r="W1905" s="22">
        <f t="shared" si="118"/>
        <v>0</v>
      </c>
    </row>
    <row r="1906" spans="1:23" hidden="1" x14ac:dyDescent="0.25">
      <c r="A1906" s="3">
        <v>45998</v>
      </c>
      <c r="B1906" s="4" t="s">
        <v>334</v>
      </c>
      <c r="C1906" s="4" t="s">
        <v>223</v>
      </c>
      <c r="D1906" s="4"/>
      <c r="E1906" s="4"/>
      <c r="F1906" s="4" t="s">
        <v>1158</v>
      </c>
      <c r="G1906" s="4" t="s">
        <v>336</v>
      </c>
      <c r="H1906" s="4" t="s">
        <v>289</v>
      </c>
      <c r="I1906" s="4">
        <v>0.5</v>
      </c>
      <c r="J1906" s="21">
        <v>700</v>
      </c>
      <c r="K1906" s="21">
        <v>0</v>
      </c>
      <c r="L1906" s="5">
        <v>0</v>
      </c>
      <c r="M1906" s="4"/>
      <c r="N1906" s="4"/>
      <c r="O1906" s="5"/>
      <c r="P1906" s="5"/>
      <c r="Q1906" s="21">
        <v>350</v>
      </c>
      <c r="R1906" s="21">
        <v>0</v>
      </c>
      <c r="S1906" s="5">
        <f t="shared" si="119"/>
        <v>49543.658760151993</v>
      </c>
      <c r="T1906" cm="1">
        <f t="array" ref="T1906">IF(OR(B1906="MAL ALIMI", B1906="ÜRETİM GİRİŞ"), MIN(I1906, MAX(0, I1906 + SUM(SUMIFS($I$1:I1905, $C$1:C1905, C1906, $B$1:B1905, {"MAL ALIMI","ÜRETİM GİRİŞ"})) - VLOOKUP(C1906, 'STOK RAPORU'!$C$2:$I$1000, 4, 0))), 0)</f>
        <v>0</v>
      </c>
      <c r="U1906" s="22">
        <f t="shared" si="116"/>
        <v>0</v>
      </c>
      <c r="V1906">
        <f t="shared" si="117"/>
        <v>0</v>
      </c>
      <c r="W1906" s="22">
        <f t="shared" si="118"/>
        <v>0</v>
      </c>
    </row>
    <row r="1907" spans="1:23" hidden="1" x14ac:dyDescent="0.25">
      <c r="A1907" s="3">
        <v>45998</v>
      </c>
      <c r="B1907" s="4" t="s">
        <v>334</v>
      </c>
      <c r="C1907" s="4" t="s">
        <v>1041</v>
      </c>
      <c r="D1907" s="4"/>
      <c r="E1907" s="4"/>
      <c r="F1907" s="4" t="s">
        <v>1158</v>
      </c>
      <c r="G1907" s="4" t="s">
        <v>336</v>
      </c>
      <c r="H1907" s="4" t="s">
        <v>289</v>
      </c>
      <c r="I1907" s="4">
        <v>1.05</v>
      </c>
      <c r="J1907" s="21">
        <v>290</v>
      </c>
      <c r="K1907" s="21">
        <v>0</v>
      </c>
      <c r="L1907" s="5">
        <v>0</v>
      </c>
      <c r="M1907" s="4"/>
      <c r="N1907" s="4"/>
      <c r="O1907" s="5"/>
      <c r="P1907" s="5"/>
      <c r="Q1907" s="21">
        <v>304.5</v>
      </c>
      <c r="R1907" s="21">
        <v>0</v>
      </c>
      <c r="S1907" s="5">
        <f t="shared" si="119"/>
        <v>49848.158760151993</v>
      </c>
      <c r="T1907" cm="1">
        <f t="array" ref="T1907">IF(OR(B1907="MAL ALIMI", B1907="ÜRETİM GİRİŞ"), MIN(I1907, MAX(0, I1907 + SUM(SUMIFS($I$1:I1906, $C$1:C1906, C1907, $B$1:B1906, {"MAL ALIMI","ÜRETİM GİRİŞ"})) - VLOOKUP(C1907, 'STOK RAPORU'!$C$2:$I$1000, 4, 0))), 0)</f>
        <v>0</v>
      </c>
      <c r="U1907" s="22">
        <f t="shared" si="116"/>
        <v>0</v>
      </c>
      <c r="V1907">
        <f t="shared" si="117"/>
        <v>0</v>
      </c>
      <c r="W1907" s="22">
        <f t="shared" si="118"/>
        <v>0</v>
      </c>
    </row>
    <row r="1908" spans="1:23" hidden="1" x14ac:dyDescent="0.25">
      <c r="A1908" s="3">
        <v>45998</v>
      </c>
      <c r="B1908" s="4" t="s">
        <v>334</v>
      </c>
      <c r="C1908" s="4" t="s">
        <v>89</v>
      </c>
      <c r="D1908" s="4"/>
      <c r="E1908" s="4"/>
      <c r="F1908" s="4" t="s">
        <v>1159</v>
      </c>
      <c r="G1908" s="4" t="s">
        <v>336</v>
      </c>
      <c r="H1908" s="4" t="s">
        <v>289</v>
      </c>
      <c r="I1908" s="4">
        <v>0.3</v>
      </c>
      <c r="J1908" s="21">
        <v>650</v>
      </c>
      <c r="K1908" s="21">
        <v>0</v>
      </c>
      <c r="L1908" s="5">
        <v>0</v>
      </c>
      <c r="M1908" s="4"/>
      <c r="N1908" s="4"/>
      <c r="O1908" s="5"/>
      <c r="P1908" s="5"/>
      <c r="Q1908" s="21">
        <v>195</v>
      </c>
      <c r="R1908" s="21">
        <v>0</v>
      </c>
      <c r="S1908" s="5">
        <f t="shared" si="119"/>
        <v>50043.158760151993</v>
      </c>
      <c r="T1908" cm="1">
        <f t="array" ref="T1908">IF(OR(B1908="MAL ALIMI", B1908="ÜRETİM GİRİŞ"), MIN(I1908, MAX(0, I1908 + SUM(SUMIFS($I$1:I1907, $C$1:C1907, C1908, $B$1:B1907, {"MAL ALIMI","ÜRETİM GİRİŞ"})) - VLOOKUP(C1908, 'STOK RAPORU'!$C$2:$I$1000, 4, 0))), 0)</f>
        <v>0</v>
      </c>
      <c r="U1908" s="22">
        <f t="shared" si="116"/>
        <v>0</v>
      </c>
      <c r="V1908">
        <f t="shared" si="117"/>
        <v>0</v>
      </c>
      <c r="W1908" s="22">
        <f t="shared" si="118"/>
        <v>0</v>
      </c>
    </row>
    <row r="1909" spans="1:23" hidden="1" x14ac:dyDescent="0.25">
      <c r="A1909" s="3">
        <v>45998</v>
      </c>
      <c r="B1909" s="4" t="s">
        <v>334</v>
      </c>
      <c r="C1909" s="4" t="s">
        <v>647</v>
      </c>
      <c r="D1909" s="4"/>
      <c r="E1909" s="4"/>
      <c r="F1909" s="4" t="s">
        <v>1159</v>
      </c>
      <c r="G1909" s="4" t="s">
        <v>336</v>
      </c>
      <c r="H1909" s="4" t="s">
        <v>289</v>
      </c>
      <c r="I1909" s="4">
        <v>0.25</v>
      </c>
      <c r="J1909" s="21">
        <v>400</v>
      </c>
      <c r="K1909" s="21">
        <v>0</v>
      </c>
      <c r="L1909" s="5">
        <v>0</v>
      </c>
      <c r="M1909" s="4"/>
      <c r="N1909" s="4"/>
      <c r="O1909" s="5"/>
      <c r="P1909" s="5"/>
      <c r="Q1909" s="21">
        <v>100</v>
      </c>
      <c r="R1909" s="21">
        <v>0</v>
      </c>
      <c r="S1909" s="5">
        <f t="shared" si="119"/>
        <v>50143.158760151993</v>
      </c>
      <c r="T1909" cm="1">
        <f t="array" ref="T1909">IF(OR(B1909="MAL ALIMI", B1909="ÜRETİM GİRİŞ"), MIN(I1909, MAX(0, I1909 + SUM(SUMIFS($I$1:I1908, $C$1:C1908, C1909, $B$1:B1908, {"MAL ALIMI","ÜRETİM GİRİŞ"})) - VLOOKUP(C1909, 'STOK RAPORU'!$C$2:$I$1000, 4, 0))), 0)</f>
        <v>0</v>
      </c>
      <c r="U1909" s="22">
        <f t="shared" si="116"/>
        <v>0</v>
      </c>
      <c r="V1909">
        <f t="shared" si="117"/>
        <v>0</v>
      </c>
      <c r="W1909" s="22">
        <f t="shared" si="118"/>
        <v>0</v>
      </c>
    </row>
    <row r="1910" spans="1:23" hidden="1" x14ac:dyDescent="0.25">
      <c r="A1910" s="3">
        <v>45998</v>
      </c>
      <c r="B1910" s="4" t="s">
        <v>334</v>
      </c>
      <c r="C1910" s="4" t="s">
        <v>648</v>
      </c>
      <c r="D1910" s="4"/>
      <c r="E1910" s="4"/>
      <c r="F1910" s="4" t="s">
        <v>1159</v>
      </c>
      <c r="G1910" s="4" t="s">
        <v>336</v>
      </c>
      <c r="H1910" s="4" t="s">
        <v>289</v>
      </c>
      <c r="I1910" s="4">
        <v>0.15384615384615385</v>
      </c>
      <c r="J1910" s="21">
        <v>650</v>
      </c>
      <c r="K1910" s="21">
        <v>0</v>
      </c>
      <c r="L1910" s="5">
        <v>0</v>
      </c>
      <c r="M1910" s="4"/>
      <c r="N1910" s="4"/>
      <c r="O1910" s="5"/>
      <c r="P1910" s="5"/>
      <c r="Q1910" s="21">
        <v>100</v>
      </c>
      <c r="R1910" s="21">
        <v>0</v>
      </c>
      <c r="S1910" s="5">
        <f t="shared" si="119"/>
        <v>50243.158760151993</v>
      </c>
      <c r="T1910" cm="1">
        <f t="array" ref="T1910">IF(OR(B1910="MAL ALIMI", B1910="ÜRETİM GİRİŞ"), MIN(I1910, MAX(0, I1910 + SUM(SUMIFS($I$1:I1909, $C$1:C1909, C1910, $B$1:B1909, {"MAL ALIMI","ÜRETİM GİRİŞ"})) - VLOOKUP(C1910, 'STOK RAPORU'!$C$2:$I$1000, 4, 0))), 0)</f>
        <v>0</v>
      </c>
      <c r="U1910" s="22">
        <f t="shared" si="116"/>
        <v>0</v>
      </c>
      <c r="V1910">
        <f t="shared" si="117"/>
        <v>0</v>
      </c>
      <c r="W1910" s="22">
        <f t="shared" si="118"/>
        <v>0</v>
      </c>
    </row>
    <row r="1911" spans="1:23" hidden="1" x14ac:dyDescent="0.25">
      <c r="A1911" s="3">
        <v>45998</v>
      </c>
      <c r="B1911" s="4" t="s">
        <v>334</v>
      </c>
      <c r="C1911" s="4" t="s">
        <v>549</v>
      </c>
      <c r="D1911" s="4"/>
      <c r="E1911" s="4"/>
      <c r="F1911" s="4" t="s">
        <v>1160</v>
      </c>
      <c r="G1911" s="4" t="s">
        <v>336</v>
      </c>
      <c r="H1911" s="4" t="s">
        <v>289</v>
      </c>
      <c r="I1911" s="4">
        <v>1</v>
      </c>
      <c r="J1911" s="21">
        <v>300</v>
      </c>
      <c r="K1911" s="21">
        <v>0</v>
      </c>
      <c r="L1911" s="5">
        <v>0</v>
      </c>
      <c r="M1911" s="4"/>
      <c r="N1911" s="4"/>
      <c r="O1911" s="5"/>
      <c r="P1911" s="5"/>
      <c r="Q1911" s="21">
        <v>300</v>
      </c>
      <c r="R1911" s="21">
        <v>0</v>
      </c>
      <c r="S1911" s="5">
        <f t="shared" si="119"/>
        <v>50543.158760151993</v>
      </c>
      <c r="T1911" cm="1">
        <f t="array" ref="T1911">IF(OR(B1911="MAL ALIMI", B1911="ÜRETİM GİRİŞ"), MIN(I1911, MAX(0, I1911 + SUM(SUMIFS($I$1:I1910, $C$1:C1910, C1911, $B$1:B1910, {"MAL ALIMI","ÜRETİM GİRİŞ"})) - VLOOKUP(C1911, 'STOK RAPORU'!$C$2:$I$1000, 4, 0))), 0)</f>
        <v>0</v>
      </c>
      <c r="U1911" s="22">
        <f t="shared" si="116"/>
        <v>0</v>
      </c>
      <c r="V1911">
        <f t="shared" si="117"/>
        <v>0</v>
      </c>
      <c r="W1911" s="22">
        <f t="shared" si="118"/>
        <v>0</v>
      </c>
    </row>
    <row r="1912" spans="1:23" hidden="1" x14ac:dyDescent="0.25">
      <c r="A1912" s="3">
        <v>45998</v>
      </c>
      <c r="B1912" s="4" t="s">
        <v>334</v>
      </c>
      <c r="C1912" s="4" t="s">
        <v>241</v>
      </c>
      <c r="D1912" s="4"/>
      <c r="E1912" s="4"/>
      <c r="F1912" s="4" t="s">
        <v>1161</v>
      </c>
      <c r="G1912" s="4" t="s">
        <v>336</v>
      </c>
      <c r="H1912" s="4" t="s">
        <v>289</v>
      </c>
      <c r="I1912" s="4">
        <v>0.27777777777777779</v>
      </c>
      <c r="J1912" s="21">
        <v>360</v>
      </c>
      <c r="K1912" s="21">
        <v>0</v>
      </c>
      <c r="L1912" s="5">
        <v>0</v>
      </c>
      <c r="M1912" s="4"/>
      <c r="N1912" s="4"/>
      <c r="O1912" s="5"/>
      <c r="P1912" s="5"/>
      <c r="Q1912" s="21">
        <v>100</v>
      </c>
      <c r="R1912" s="21">
        <v>0</v>
      </c>
      <c r="S1912" s="5">
        <f t="shared" si="119"/>
        <v>50643.158760151993</v>
      </c>
      <c r="T1912" cm="1">
        <f t="array" ref="T1912">IF(OR(B1912="MAL ALIMI", B1912="ÜRETİM GİRİŞ"), MIN(I1912, MAX(0, I1912 + SUM(SUMIFS($I$1:I1911, $C$1:C1911, C1912, $B$1:B1911, {"MAL ALIMI","ÜRETİM GİRİŞ"})) - VLOOKUP(C1912, 'STOK RAPORU'!$C$2:$I$1000, 4, 0))), 0)</f>
        <v>0</v>
      </c>
      <c r="U1912" s="22">
        <f t="shared" si="116"/>
        <v>0</v>
      </c>
      <c r="V1912">
        <f t="shared" si="117"/>
        <v>0</v>
      </c>
      <c r="W1912" s="22">
        <f t="shared" si="118"/>
        <v>0</v>
      </c>
    </row>
    <row r="1913" spans="1:23" hidden="1" x14ac:dyDescent="0.25">
      <c r="A1913" s="3">
        <v>45998</v>
      </c>
      <c r="B1913" s="4" t="s">
        <v>334</v>
      </c>
      <c r="C1913" s="4" t="s">
        <v>268</v>
      </c>
      <c r="D1913" s="4"/>
      <c r="E1913" s="4" t="s">
        <v>921</v>
      </c>
      <c r="F1913" s="4" t="s">
        <v>1162</v>
      </c>
      <c r="G1913" s="4" t="s">
        <v>336</v>
      </c>
      <c r="H1913" s="4" t="s">
        <v>380</v>
      </c>
      <c r="I1913" s="4">
        <v>2</v>
      </c>
      <c r="J1913" s="21">
        <v>140</v>
      </c>
      <c r="K1913" s="21">
        <v>280</v>
      </c>
      <c r="L1913" s="5">
        <v>0</v>
      </c>
      <c r="M1913" s="4"/>
      <c r="N1913" s="4"/>
      <c r="O1913" s="5"/>
      <c r="P1913" s="5"/>
      <c r="Q1913" s="21">
        <v>0</v>
      </c>
      <c r="R1913" s="21">
        <v>0</v>
      </c>
      <c r="S1913" s="5">
        <f t="shared" si="119"/>
        <v>50643.158760151993</v>
      </c>
      <c r="T1913" cm="1">
        <f t="array" ref="T1913">IF(OR(B1913="MAL ALIMI", B1913="ÜRETİM GİRİŞ"), MIN(I1913, MAX(0, I1913 + SUM(SUMIFS($I$1:I1912, $C$1:C1912, C1913, $B$1:B1912, {"MAL ALIMI","ÜRETİM GİRİŞ"})) - VLOOKUP(C1913, 'STOK RAPORU'!$C$2:$I$1000, 4, 0))), 0)</f>
        <v>0</v>
      </c>
      <c r="U1913" s="22">
        <f t="shared" si="116"/>
        <v>0</v>
      </c>
      <c r="V1913">
        <f t="shared" si="117"/>
        <v>0</v>
      </c>
      <c r="W1913" s="22">
        <f t="shared" si="118"/>
        <v>0</v>
      </c>
    </row>
    <row r="1914" spans="1:23" hidden="1" x14ac:dyDescent="0.25">
      <c r="A1914" s="3">
        <v>45998</v>
      </c>
      <c r="B1914" s="4" t="s">
        <v>334</v>
      </c>
      <c r="C1914" s="4" t="s">
        <v>467</v>
      </c>
      <c r="D1914" s="4"/>
      <c r="E1914" s="4" t="s">
        <v>921</v>
      </c>
      <c r="F1914" s="4" t="s">
        <v>1162</v>
      </c>
      <c r="G1914" s="4" t="s">
        <v>336</v>
      </c>
      <c r="H1914" s="4" t="s">
        <v>380</v>
      </c>
      <c r="I1914" s="4">
        <v>1</v>
      </c>
      <c r="J1914" s="21">
        <v>40</v>
      </c>
      <c r="K1914" s="21">
        <v>40</v>
      </c>
      <c r="L1914" s="5">
        <v>0</v>
      </c>
      <c r="M1914" s="4"/>
      <c r="N1914" s="4"/>
      <c r="O1914" s="5"/>
      <c r="P1914" s="5"/>
      <c r="Q1914" s="21">
        <v>0</v>
      </c>
      <c r="R1914" s="21">
        <v>0</v>
      </c>
      <c r="S1914" s="5">
        <f t="shared" si="119"/>
        <v>50643.158760151993</v>
      </c>
      <c r="T1914" cm="1">
        <f t="array" ref="T1914">IF(OR(B1914="MAL ALIMI", B1914="ÜRETİM GİRİŞ"), MIN(I1914, MAX(0, I1914 + SUM(SUMIFS($I$1:I1913, $C$1:C1913, C1914, $B$1:B1913, {"MAL ALIMI","ÜRETİM GİRİŞ"})) - VLOOKUP(C1914, 'STOK RAPORU'!$C$2:$I$1000, 4, 0))), 0)</f>
        <v>0</v>
      </c>
      <c r="U1914" s="22">
        <f t="shared" si="116"/>
        <v>0</v>
      </c>
      <c r="V1914">
        <f t="shared" si="117"/>
        <v>0</v>
      </c>
      <c r="W1914" s="22">
        <f t="shared" si="118"/>
        <v>0</v>
      </c>
    </row>
    <row r="1915" spans="1:23" hidden="1" x14ac:dyDescent="0.25">
      <c r="A1915" s="3">
        <v>45998</v>
      </c>
      <c r="B1915" s="4" t="s">
        <v>334</v>
      </c>
      <c r="C1915" s="4" t="s">
        <v>158</v>
      </c>
      <c r="D1915" s="4"/>
      <c r="E1915" s="4"/>
      <c r="F1915" s="4" t="s">
        <v>1163</v>
      </c>
      <c r="G1915" s="4" t="s">
        <v>336</v>
      </c>
      <c r="H1915" s="4" t="s">
        <v>289</v>
      </c>
      <c r="I1915" s="4">
        <v>2</v>
      </c>
      <c r="J1915" s="21">
        <v>130</v>
      </c>
      <c r="K1915" s="21">
        <v>0</v>
      </c>
      <c r="L1915" s="5">
        <v>0</v>
      </c>
      <c r="M1915" s="4"/>
      <c r="N1915" s="4"/>
      <c r="O1915" s="5"/>
      <c r="P1915" s="5"/>
      <c r="Q1915" s="21">
        <v>260</v>
      </c>
      <c r="R1915" s="21">
        <v>0</v>
      </c>
      <c r="S1915" s="5">
        <f t="shared" si="119"/>
        <v>50903.158760151993</v>
      </c>
      <c r="T1915" cm="1">
        <f t="array" ref="T1915">IF(OR(B1915="MAL ALIMI", B1915="ÜRETİM GİRİŞ"), MIN(I1915, MAX(0, I1915 + SUM(SUMIFS($I$1:I1914, $C$1:C1914, C1915, $B$1:B1914, {"MAL ALIMI","ÜRETİM GİRİŞ"})) - VLOOKUP(C1915, 'STOK RAPORU'!$C$2:$I$1000, 4, 0))), 0)</f>
        <v>0</v>
      </c>
      <c r="U1915" s="22">
        <f t="shared" si="116"/>
        <v>0</v>
      </c>
      <c r="V1915">
        <f t="shared" si="117"/>
        <v>0</v>
      </c>
      <c r="W1915" s="22">
        <f t="shared" si="118"/>
        <v>0</v>
      </c>
    </row>
    <row r="1916" spans="1:23" hidden="1" x14ac:dyDescent="0.25">
      <c r="A1916" s="3">
        <v>45998</v>
      </c>
      <c r="B1916" s="4" t="s">
        <v>334</v>
      </c>
      <c r="C1916" s="4" t="s">
        <v>161</v>
      </c>
      <c r="D1916" s="4"/>
      <c r="E1916" s="4"/>
      <c r="F1916" s="4" t="s">
        <v>1164</v>
      </c>
      <c r="G1916" s="4" t="s">
        <v>336</v>
      </c>
      <c r="H1916" s="4" t="s">
        <v>289</v>
      </c>
      <c r="I1916" s="4">
        <v>2</v>
      </c>
      <c r="J1916" s="21">
        <v>200</v>
      </c>
      <c r="K1916" s="21">
        <v>0</v>
      </c>
      <c r="L1916" s="5">
        <v>0</v>
      </c>
      <c r="M1916" s="4"/>
      <c r="N1916" s="4"/>
      <c r="O1916" s="5"/>
      <c r="P1916" s="5"/>
      <c r="Q1916" s="21">
        <v>400</v>
      </c>
      <c r="R1916" s="21">
        <v>0</v>
      </c>
      <c r="S1916" s="5">
        <f t="shared" si="119"/>
        <v>51303.158760151993</v>
      </c>
      <c r="T1916" cm="1">
        <f t="array" ref="T1916">IF(OR(B1916="MAL ALIMI", B1916="ÜRETİM GİRİŞ"), MIN(I1916, MAX(0, I1916 + SUM(SUMIFS($I$1:I1915, $C$1:C1915, C1916, $B$1:B1915, {"MAL ALIMI","ÜRETİM GİRİŞ"})) - VLOOKUP(C1916, 'STOK RAPORU'!$C$2:$I$1000, 4, 0))), 0)</f>
        <v>0</v>
      </c>
      <c r="U1916" s="22">
        <f t="shared" si="116"/>
        <v>0</v>
      </c>
      <c r="V1916">
        <f t="shared" si="117"/>
        <v>0</v>
      </c>
      <c r="W1916" s="22">
        <f t="shared" si="118"/>
        <v>0</v>
      </c>
    </row>
    <row r="1917" spans="1:23" hidden="1" x14ac:dyDescent="0.25">
      <c r="A1917" s="3">
        <v>45998</v>
      </c>
      <c r="B1917" s="4" t="s">
        <v>334</v>
      </c>
      <c r="C1917" s="4" t="s">
        <v>160</v>
      </c>
      <c r="D1917" s="4"/>
      <c r="E1917" s="4"/>
      <c r="F1917" s="4" t="s">
        <v>1165</v>
      </c>
      <c r="G1917" s="4" t="s">
        <v>336</v>
      </c>
      <c r="H1917" s="4" t="s">
        <v>289</v>
      </c>
      <c r="I1917" s="4">
        <v>1</v>
      </c>
      <c r="J1917" s="21">
        <v>200</v>
      </c>
      <c r="K1917" s="21">
        <v>0</v>
      </c>
      <c r="L1917" s="5">
        <v>0</v>
      </c>
      <c r="M1917" s="4"/>
      <c r="N1917" s="4"/>
      <c r="O1917" s="5"/>
      <c r="P1917" s="5"/>
      <c r="Q1917" s="21">
        <v>200</v>
      </c>
      <c r="R1917" s="21">
        <v>0</v>
      </c>
      <c r="S1917" s="5">
        <f t="shared" si="119"/>
        <v>51503.158760151993</v>
      </c>
      <c r="T1917" cm="1">
        <f t="array" ref="T1917">IF(OR(B1917="MAL ALIMI", B1917="ÜRETİM GİRİŞ"), MIN(I1917, MAX(0, I1917 + SUM(SUMIFS($I$1:I1916, $C$1:C1916, C1917, $B$1:B1916, {"MAL ALIMI","ÜRETİM GİRİŞ"})) - VLOOKUP(C1917, 'STOK RAPORU'!$C$2:$I$1000, 4, 0))), 0)</f>
        <v>0</v>
      </c>
      <c r="U1917" s="22">
        <f t="shared" si="116"/>
        <v>0</v>
      </c>
      <c r="V1917">
        <f t="shared" si="117"/>
        <v>0</v>
      </c>
      <c r="W1917" s="22">
        <f t="shared" si="118"/>
        <v>0</v>
      </c>
    </row>
    <row r="1918" spans="1:23" hidden="1" x14ac:dyDescent="0.25">
      <c r="A1918" s="3">
        <v>45998</v>
      </c>
      <c r="B1918" s="4" t="s">
        <v>334</v>
      </c>
      <c r="C1918" s="4" t="s">
        <v>129</v>
      </c>
      <c r="D1918" s="4"/>
      <c r="E1918" s="4" t="s">
        <v>921</v>
      </c>
      <c r="F1918" s="4" t="s">
        <v>1166</v>
      </c>
      <c r="G1918" s="4" t="s">
        <v>336</v>
      </c>
      <c r="H1918" s="4" t="s">
        <v>380</v>
      </c>
      <c r="I1918" s="4">
        <v>0.13</v>
      </c>
      <c r="J1918" s="21">
        <v>390</v>
      </c>
      <c r="K1918" s="21">
        <v>50.7</v>
      </c>
      <c r="L1918" s="5">
        <v>0</v>
      </c>
      <c r="M1918" s="4"/>
      <c r="N1918" s="4"/>
      <c r="O1918" s="5"/>
      <c r="P1918" s="5"/>
      <c r="Q1918" s="21">
        <v>0</v>
      </c>
      <c r="R1918" s="21">
        <v>0</v>
      </c>
      <c r="S1918" s="5">
        <f t="shared" si="119"/>
        <v>51503.158760151993</v>
      </c>
      <c r="T1918" cm="1">
        <f t="array" ref="T1918">IF(OR(B1918="MAL ALIMI", B1918="ÜRETİM GİRİŞ"), MIN(I1918, MAX(0, I1918 + SUM(SUMIFS($I$1:I1917, $C$1:C1917, C1918, $B$1:B1917, {"MAL ALIMI","ÜRETİM GİRİŞ"})) - VLOOKUP(C1918, 'STOK RAPORU'!$C$2:$I$1000, 4, 0))), 0)</f>
        <v>0</v>
      </c>
      <c r="U1918" s="22">
        <f t="shared" si="116"/>
        <v>0</v>
      </c>
      <c r="V1918">
        <f t="shared" si="117"/>
        <v>0</v>
      </c>
      <c r="W1918" s="22">
        <f t="shared" si="118"/>
        <v>0</v>
      </c>
    </row>
    <row r="1919" spans="1:23" hidden="1" x14ac:dyDescent="0.25">
      <c r="A1919" s="3">
        <v>45998</v>
      </c>
      <c r="B1919" s="4" t="s">
        <v>334</v>
      </c>
      <c r="C1919" s="4" t="s">
        <v>133</v>
      </c>
      <c r="D1919" s="4"/>
      <c r="E1919" s="4" t="s">
        <v>921</v>
      </c>
      <c r="F1919" s="4" t="s">
        <v>1166</v>
      </c>
      <c r="G1919" s="4" t="s">
        <v>336</v>
      </c>
      <c r="H1919" s="4" t="s">
        <v>380</v>
      </c>
      <c r="I1919" s="4">
        <v>0.13600000000000001</v>
      </c>
      <c r="J1919" s="21">
        <v>380</v>
      </c>
      <c r="K1919" s="21">
        <v>51.680000000000007</v>
      </c>
      <c r="L1919" s="5">
        <v>0</v>
      </c>
      <c r="M1919" s="4"/>
      <c r="N1919" s="4"/>
      <c r="O1919" s="5"/>
      <c r="P1919" s="5"/>
      <c r="Q1919" s="21">
        <v>0</v>
      </c>
      <c r="R1919" s="21">
        <v>0</v>
      </c>
      <c r="S1919" s="5">
        <f t="shared" si="119"/>
        <v>51503.158760151993</v>
      </c>
      <c r="T1919" cm="1">
        <f t="array" ref="T1919">IF(OR(B1919="MAL ALIMI", B1919="ÜRETİM GİRİŞ"), MIN(I1919, MAX(0, I1919 + SUM(SUMIFS($I$1:I1918, $C$1:C1918, C1919, $B$1:B1918, {"MAL ALIMI","ÜRETİM GİRİŞ"})) - VLOOKUP(C1919, 'STOK RAPORU'!$C$2:$I$1000, 4, 0))), 0)</f>
        <v>0</v>
      </c>
      <c r="U1919" s="22">
        <f t="shared" si="116"/>
        <v>0</v>
      </c>
      <c r="V1919">
        <f t="shared" si="117"/>
        <v>0</v>
      </c>
      <c r="W1919" s="22">
        <f t="shared" si="118"/>
        <v>0</v>
      </c>
    </row>
    <row r="1920" spans="1:23" hidden="1" x14ac:dyDescent="0.25">
      <c r="A1920" s="3">
        <v>45998</v>
      </c>
      <c r="B1920" s="4" t="s">
        <v>334</v>
      </c>
      <c r="C1920" s="4" t="s">
        <v>126</v>
      </c>
      <c r="D1920" s="4"/>
      <c r="E1920" s="4" t="s">
        <v>921</v>
      </c>
      <c r="F1920" s="4" t="s">
        <v>1166</v>
      </c>
      <c r="G1920" s="4" t="s">
        <v>336</v>
      </c>
      <c r="H1920" s="4" t="s">
        <v>380</v>
      </c>
      <c r="I1920" s="4">
        <v>0.128</v>
      </c>
      <c r="J1920" s="21">
        <v>640</v>
      </c>
      <c r="K1920" s="21">
        <v>81.92</v>
      </c>
      <c r="L1920" s="5">
        <v>0</v>
      </c>
      <c r="M1920" s="4"/>
      <c r="N1920" s="4"/>
      <c r="O1920" s="5"/>
      <c r="P1920" s="5"/>
      <c r="Q1920" s="21">
        <v>0</v>
      </c>
      <c r="R1920" s="21">
        <v>0</v>
      </c>
      <c r="S1920" s="5">
        <f t="shared" si="119"/>
        <v>51503.158760151993</v>
      </c>
      <c r="T1920" cm="1">
        <f t="array" ref="T1920">IF(OR(B1920="MAL ALIMI", B1920="ÜRETİM GİRİŞ"), MIN(I1920, MAX(0, I1920 + SUM(SUMIFS($I$1:I1919, $C$1:C1919, C1920, $B$1:B1919, {"MAL ALIMI","ÜRETİM GİRİŞ"})) - VLOOKUP(C1920, 'STOK RAPORU'!$C$2:$I$1000, 4, 0))), 0)</f>
        <v>0</v>
      </c>
      <c r="U1920" s="22">
        <f t="shared" si="116"/>
        <v>0</v>
      </c>
      <c r="V1920">
        <f t="shared" si="117"/>
        <v>0</v>
      </c>
      <c r="W1920" s="22">
        <f t="shared" si="118"/>
        <v>0</v>
      </c>
    </row>
    <row r="1921" spans="1:23" hidden="1" x14ac:dyDescent="0.25">
      <c r="A1921" s="3">
        <v>45998</v>
      </c>
      <c r="B1921" s="4" t="s">
        <v>334</v>
      </c>
      <c r="C1921" s="4" t="s">
        <v>1041</v>
      </c>
      <c r="D1921" s="4"/>
      <c r="E1921" s="4" t="s">
        <v>921</v>
      </c>
      <c r="F1921" s="4" t="s">
        <v>1166</v>
      </c>
      <c r="G1921" s="4" t="s">
        <v>336</v>
      </c>
      <c r="H1921" s="4" t="s">
        <v>380</v>
      </c>
      <c r="I1921" s="4">
        <v>0.36399999999999999</v>
      </c>
      <c r="J1921" s="21">
        <v>240</v>
      </c>
      <c r="K1921" s="21">
        <v>87.36</v>
      </c>
      <c r="L1921" s="5">
        <v>0</v>
      </c>
      <c r="M1921" s="4"/>
      <c r="N1921" s="4"/>
      <c r="O1921" s="5"/>
      <c r="P1921" s="5"/>
      <c r="Q1921" s="21">
        <v>0</v>
      </c>
      <c r="R1921" s="21">
        <v>0</v>
      </c>
      <c r="S1921" s="5">
        <f t="shared" si="119"/>
        <v>51503.158760151993</v>
      </c>
      <c r="T1921" cm="1">
        <f t="array" ref="T1921">IF(OR(B1921="MAL ALIMI", B1921="ÜRETİM GİRİŞ"), MIN(I1921, MAX(0, I1921 + SUM(SUMIFS($I$1:I1920, $C$1:C1920, C1921, $B$1:B1920, {"MAL ALIMI","ÜRETİM GİRİŞ"})) - VLOOKUP(C1921, 'STOK RAPORU'!$C$2:$I$1000, 4, 0))), 0)</f>
        <v>0</v>
      </c>
      <c r="U1921" s="22">
        <f t="shared" si="116"/>
        <v>0</v>
      </c>
      <c r="V1921">
        <f t="shared" si="117"/>
        <v>0</v>
      </c>
      <c r="W1921" s="22">
        <f t="shared" si="118"/>
        <v>0</v>
      </c>
    </row>
    <row r="1922" spans="1:23" hidden="1" x14ac:dyDescent="0.25">
      <c r="A1922" s="3">
        <v>45998</v>
      </c>
      <c r="B1922" s="4" t="s">
        <v>946</v>
      </c>
      <c r="C1922" s="4"/>
      <c r="D1922" s="4"/>
      <c r="E1922" s="4" t="s">
        <v>921</v>
      </c>
      <c r="F1922" s="4"/>
      <c r="G1922" s="4" t="s">
        <v>946</v>
      </c>
      <c r="H1922" s="4" t="s">
        <v>380</v>
      </c>
      <c r="I1922" s="4">
        <v>1</v>
      </c>
      <c r="J1922" s="105">
        <v>245</v>
      </c>
      <c r="K1922" s="21">
        <v>0</v>
      </c>
      <c r="L1922" s="111">
        <v>245</v>
      </c>
      <c r="M1922" s="4"/>
      <c r="N1922" s="4"/>
      <c r="O1922" s="5"/>
      <c r="P1922" s="5"/>
      <c r="Q1922" s="21">
        <v>245</v>
      </c>
      <c r="R1922" s="21">
        <v>0</v>
      </c>
      <c r="S1922" s="5">
        <f t="shared" si="119"/>
        <v>51748.158760151993</v>
      </c>
      <c r="T1922" cm="1">
        <f t="array" ref="T1922">IF(OR(B1922="MAL ALIMI", B1922="ÜRETİM GİRİŞ"), MIN(I1922, MAX(0, I1922 + SUM(SUMIFS($I$1:I1921, $C$1:C1921, C1922, $B$1:B1921, {"MAL ALIMI","ÜRETİM GİRİŞ"})) - VLOOKUP(C1922, 'STOK RAPORU'!$C$2:$I$1000, 4, 0))), 0)</f>
        <v>0</v>
      </c>
      <c r="U1922" s="22">
        <f t="shared" si="116"/>
        <v>0</v>
      </c>
      <c r="V1922">
        <f t="shared" si="117"/>
        <v>0</v>
      </c>
      <c r="W1922" s="22">
        <f t="shared" si="118"/>
        <v>0</v>
      </c>
    </row>
    <row r="1923" spans="1:23" hidden="1" x14ac:dyDescent="0.25">
      <c r="A1923" s="3">
        <v>45998</v>
      </c>
      <c r="B1923" s="4" t="s">
        <v>946</v>
      </c>
      <c r="C1923" s="4"/>
      <c r="D1923" s="4"/>
      <c r="E1923" s="4" t="s">
        <v>921</v>
      </c>
      <c r="F1923" s="4"/>
      <c r="G1923" s="4" t="s">
        <v>946</v>
      </c>
      <c r="H1923" s="4" t="s">
        <v>380</v>
      </c>
      <c r="I1923" s="4">
        <v>1</v>
      </c>
      <c r="J1923" s="105">
        <v>506</v>
      </c>
      <c r="K1923" s="21">
        <v>0</v>
      </c>
      <c r="L1923" s="111">
        <v>506</v>
      </c>
      <c r="M1923" s="4"/>
      <c r="N1923" s="4"/>
      <c r="O1923" s="5"/>
      <c r="P1923" s="5"/>
      <c r="Q1923" s="21">
        <v>506</v>
      </c>
      <c r="R1923" s="21">
        <v>0</v>
      </c>
      <c r="S1923" s="5">
        <f t="shared" si="119"/>
        <v>52254.158760151993</v>
      </c>
      <c r="T1923" cm="1">
        <f t="array" ref="T1923">IF(OR(B1923="MAL ALIMI", B1923="ÜRETİM GİRİŞ"), MIN(I1923, MAX(0, I1923 + SUM(SUMIFS($I$1:I1922, $C$1:C1922, C1923, $B$1:B1922, {"MAL ALIMI","ÜRETİM GİRİŞ"})) - VLOOKUP(C1923, 'STOK RAPORU'!$C$2:$I$1000, 4, 0))), 0)</f>
        <v>0</v>
      </c>
      <c r="U1923" s="22">
        <f t="shared" ref="U1923:U1986" si="120">T1923*J1923</f>
        <v>0</v>
      </c>
      <c r="V1923">
        <f t="shared" ref="V1923:V1986" si="121">IF(OR(B1923="MAL ALIMI", B1923="ÜRETİM GİRİŞ"), I1923 * J1923, 0)</f>
        <v>0</v>
      </c>
      <c r="W1923" s="22">
        <f t="shared" ref="W1923:W1986" si="122">V1923-U1923</f>
        <v>0</v>
      </c>
    </row>
    <row r="1924" spans="1:23" hidden="1" x14ac:dyDescent="0.25">
      <c r="A1924" s="3">
        <v>45999</v>
      </c>
      <c r="B1924" s="4" t="s">
        <v>334</v>
      </c>
      <c r="C1924" s="4" t="s">
        <v>524</v>
      </c>
      <c r="D1924" s="4"/>
      <c r="E1924" s="4"/>
      <c r="F1924" s="4" t="s">
        <v>1167</v>
      </c>
      <c r="G1924" s="4" t="s">
        <v>336</v>
      </c>
      <c r="H1924" s="4" t="s">
        <v>289</v>
      </c>
      <c r="I1924" s="4">
        <v>0.1</v>
      </c>
      <c r="J1924" s="21">
        <v>400</v>
      </c>
      <c r="K1924" s="21">
        <v>0</v>
      </c>
      <c r="L1924" s="5">
        <v>0</v>
      </c>
      <c r="M1924" s="4"/>
      <c r="N1924" s="4"/>
      <c r="O1924" s="5"/>
      <c r="P1924" s="5"/>
      <c r="Q1924" s="21">
        <v>40</v>
      </c>
      <c r="R1924" s="21">
        <v>0</v>
      </c>
      <c r="S1924" s="5">
        <f t="shared" ref="S1924:S1987" si="123">S1923+Q1924-R1924</f>
        <v>52294.158760151993</v>
      </c>
      <c r="T1924" cm="1">
        <f t="array" ref="T1924">IF(OR(B1924="MAL ALIMI", B1924="ÜRETİM GİRİŞ"), MIN(I1924, MAX(0, I1924 + SUM(SUMIFS($I$1:I1923, $C$1:C1923, C1924, $B$1:B1923, {"MAL ALIMI","ÜRETİM GİRİŞ"})) - VLOOKUP(C1924, 'STOK RAPORU'!$C$2:$I$1000, 4, 0))), 0)</f>
        <v>0</v>
      </c>
      <c r="U1924" s="22">
        <f t="shared" si="120"/>
        <v>0</v>
      </c>
      <c r="V1924">
        <f t="shared" si="121"/>
        <v>0</v>
      </c>
      <c r="W1924" s="22">
        <f t="shared" si="122"/>
        <v>0</v>
      </c>
    </row>
    <row r="1925" spans="1:23" hidden="1" x14ac:dyDescent="0.25">
      <c r="A1925" s="3">
        <v>45999</v>
      </c>
      <c r="B1925" s="4" t="s">
        <v>334</v>
      </c>
      <c r="C1925" s="4" t="s">
        <v>523</v>
      </c>
      <c r="D1925" s="4"/>
      <c r="E1925" s="4"/>
      <c r="F1925" s="4" t="s">
        <v>1167</v>
      </c>
      <c r="G1925" s="4" t="s">
        <v>336</v>
      </c>
      <c r="H1925" s="4" t="s">
        <v>289</v>
      </c>
      <c r="I1925" s="4">
        <v>0.1</v>
      </c>
      <c r="J1925" s="21">
        <v>650</v>
      </c>
      <c r="K1925" s="21">
        <v>0</v>
      </c>
      <c r="L1925" s="5">
        <v>0</v>
      </c>
      <c r="M1925" s="4"/>
      <c r="N1925" s="4"/>
      <c r="O1925" s="5"/>
      <c r="P1925" s="5"/>
      <c r="Q1925" s="21">
        <v>65</v>
      </c>
      <c r="R1925" s="21">
        <v>0</v>
      </c>
      <c r="S1925" s="5">
        <f t="shared" si="123"/>
        <v>52359.158760151993</v>
      </c>
      <c r="T1925" cm="1">
        <f t="array" ref="T1925">IF(OR(B1925="MAL ALIMI", B1925="ÜRETİM GİRİŞ"), MIN(I1925, MAX(0, I1925 + SUM(SUMIFS($I$1:I1924, $C$1:C1924, C1925, $B$1:B1924, {"MAL ALIMI","ÜRETİM GİRİŞ"})) - VLOOKUP(C1925, 'STOK RAPORU'!$C$2:$I$1000, 4, 0))), 0)</f>
        <v>0</v>
      </c>
      <c r="U1925" s="22">
        <f t="shared" si="120"/>
        <v>0</v>
      </c>
      <c r="V1925">
        <f t="shared" si="121"/>
        <v>0</v>
      </c>
      <c r="W1925" s="22">
        <f t="shared" si="122"/>
        <v>0</v>
      </c>
    </row>
    <row r="1926" spans="1:23" hidden="1" x14ac:dyDescent="0.25">
      <c r="A1926" s="3">
        <v>45999</v>
      </c>
      <c r="B1926" s="4" t="s">
        <v>334</v>
      </c>
      <c r="C1926" s="4" t="s">
        <v>199</v>
      </c>
      <c r="D1926" s="4"/>
      <c r="E1926" s="4"/>
      <c r="F1926" s="4" t="s">
        <v>1167</v>
      </c>
      <c r="G1926" s="4" t="s">
        <v>336</v>
      </c>
      <c r="H1926" s="4" t="s">
        <v>289</v>
      </c>
      <c r="I1926" s="4">
        <v>0.218</v>
      </c>
      <c r="J1926" s="21">
        <v>950</v>
      </c>
      <c r="K1926" s="21">
        <v>0</v>
      </c>
      <c r="L1926" s="5">
        <v>0</v>
      </c>
      <c r="M1926" s="4"/>
      <c r="N1926" s="4"/>
      <c r="O1926" s="5"/>
      <c r="P1926" s="5"/>
      <c r="Q1926" s="21">
        <v>207.1</v>
      </c>
      <c r="R1926" s="21">
        <v>0</v>
      </c>
      <c r="S1926" s="5">
        <f t="shared" si="123"/>
        <v>52566.258760151992</v>
      </c>
      <c r="T1926" cm="1">
        <f t="array" ref="T1926">IF(OR(B1926="MAL ALIMI", B1926="ÜRETİM GİRİŞ"), MIN(I1926, MAX(0, I1926 + SUM(SUMIFS($I$1:I1925, $C$1:C1925, C1926, $B$1:B1925, {"MAL ALIMI","ÜRETİM GİRİŞ"})) - VLOOKUP(C1926, 'STOK RAPORU'!$C$2:$I$1000, 4, 0))), 0)</f>
        <v>0</v>
      </c>
      <c r="U1926" s="22">
        <f t="shared" si="120"/>
        <v>0</v>
      </c>
      <c r="V1926">
        <f t="shared" si="121"/>
        <v>0</v>
      </c>
      <c r="W1926" s="22">
        <f t="shared" si="122"/>
        <v>0</v>
      </c>
    </row>
    <row r="1927" spans="1:23" hidden="1" x14ac:dyDescent="0.25">
      <c r="A1927" s="3">
        <v>45999</v>
      </c>
      <c r="B1927" s="4" t="s">
        <v>334</v>
      </c>
      <c r="C1927" s="4" t="s">
        <v>197</v>
      </c>
      <c r="D1927" s="4"/>
      <c r="E1927" s="4"/>
      <c r="F1927" s="4" t="s">
        <v>1167</v>
      </c>
      <c r="G1927" s="4" t="s">
        <v>336</v>
      </c>
      <c r="H1927" s="4" t="s">
        <v>289</v>
      </c>
      <c r="I1927" s="4">
        <v>0.26800000000000002</v>
      </c>
      <c r="J1927" s="21">
        <v>190</v>
      </c>
      <c r="K1927" s="21">
        <v>0</v>
      </c>
      <c r="L1927" s="5">
        <v>0</v>
      </c>
      <c r="M1927" s="4"/>
      <c r="N1927" s="4"/>
      <c r="O1927" s="5"/>
      <c r="P1927" s="5"/>
      <c r="Q1927" s="21">
        <v>50.92</v>
      </c>
      <c r="R1927" s="21">
        <v>0</v>
      </c>
      <c r="S1927" s="5">
        <f t="shared" si="123"/>
        <v>52617.17876015199</v>
      </c>
      <c r="T1927" cm="1">
        <f t="array" ref="T1927">IF(OR(B1927="MAL ALIMI", B1927="ÜRETİM GİRİŞ"), MIN(I1927, MAX(0, I1927 + SUM(SUMIFS($I$1:I1926, $C$1:C1926, C1927, $B$1:B1926, {"MAL ALIMI","ÜRETİM GİRİŞ"})) - VLOOKUP(C1927, 'STOK RAPORU'!$C$2:$I$1000, 4, 0))), 0)</f>
        <v>0</v>
      </c>
      <c r="U1927" s="22">
        <f t="shared" si="120"/>
        <v>0</v>
      </c>
      <c r="V1927">
        <f t="shared" si="121"/>
        <v>0</v>
      </c>
      <c r="W1927" s="22">
        <f t="shared" si="122"/>
        <v>0</v>
      </c>
    </row>
    <row r="1928" spans="1:23" hidden="1" x14ac:dyDescent="0.25">
      <c r="A1928" s="3">
        <v>45999</v>
      </c>
      <c r="B1928" s="4" t="s">
        <v>334</v>
      </c>
      <c r="C1928" s="4" t="s">
        <v>246</v>
      </c>
      <c r="D1928" s="4"/>
      <c r="E1928" s="4"/>
      <c r="F1928" s="4" t="s">
        <v>1167</v>
      </c>
      <c r="G1928" s="4" t="s">
        <v>336</v>
      </c>
      <c r="H1928" s="4" t="s">
        <v>289</v>
      </c>
      <c r="I1928" s="4">
        <v>0.10199999999999999</v>
      </c>
      <c r="J1928" s="21">
        <v>1250</v>
      </c>
      <c r="K1928" s="21">
        <v>0</v>
      </c>
      <c r="L1928" s="5">
        <v>0</v>
      </c>
      <c r="M1928" s="4"/>
      <c r="N1928" s="4"/>
      <c r="O1928" s="5"/>
      <c r="P1928" s="5"/>
      <c r="Q1928" s="21">
        <v>127.49999999999999</v>
      </c>
      <c r="R1928" s="21">
        <v>0</v>
      </c>
      <c r="S1928" s="5">
        <f t="shared" si="123"/>
        <v>52744.67876015199</v>
      </c>
      <c r="T1928" cm="1">
        <f t="array" ref="T1928">IF(OR(B1928="MAL ALIMI", B1928="ÜRETİM GİRİŞ"), MIN(I1928, MAX(0, I1928 + SUM(SUMIFS($I$1:I1927, $C$1:C1927, C1928, $B$1:B1927, {"MAL ALIMI","ÜRETİM GİRİŞ"})) - VLOOKUP(C1928, 'STOK RAPORU'!$C$2:$I$1000, 4, 0))), 0)</f>
        <v>0</v>
      </c>
      <c r="U1928" s="22">
        <f t="shared" si="120"/>
        <v>0</v>
      </c>
      <c r="V1928">
        <f t="shared" si="121"/>
        <v>0</v>
      </c>
      <c r="W1928" s="22">
        <f t="shared" si="122"/>
        <v>0</v>
      </c>
    </row>
    <row r="1929" spans="1:23" hidden="1" x14ac:dyDescent="0.25">
      <c r="A1929" s="3">
        <v>45999</v>
      </c>
      <c r="B1929" s="4" t="s">
        <v>334</v>
      </c>
      <c r="C1929" s="4" t="s">
        <v>251</v>
      </c>
      <c r="D1929" s="4"/>
      <c r="E1929" s="4"/>
      <c r="F1929" s="4" t="s">
        <v>1167</v>
      </c>
      <c r="G1929" s="4" t="s">
        <v>336</v>
      </c>
      <c r="H1929" s="4" t="s">
        <v>289</v>
      </c>
      <c r="I1929" s="4">
        <v>0.30599999999999999</v>
      </c>
      <c r="J1929" s="21">
        <v>670</v>
      </c>
      <c r="K1929" s="21">
        <v>0</v>
      </c>
      <c r="L1929" s="5">
        <v>0</v>
      </c>
      <c r="M1929" s="4"/>
      <c r="N1929" s="4"/>
      <c r="O1929" s="5"/>
      <c r="P1929" s="5"/>
      <c r="Q1929" s="21">
        <v>205.02</v>
      </c>
      <c r="R1929" s="21">
        <v>0</v>
      </c>
      <c r="S1929" s="5">
        <f t="shared" si="123"/>
        <v>52949.698760151987</v>
      </c>
      <c r="T1929" cm="1">
        <f t="array" ref="T1929">IF(OR(B1929="MAL ALIMI", B1929="ÜRETİM GİRİŞ"), MIN(I1929, MAX(0, I1929 + SUM(SUMIFS($I$1:I1928, $C$1:C1928, C1929, $B$1:B1928, {"MAL ALIMI","ÜRETİM GİRİŞ"})) - VLOOKUP(C1929, 'STOK RAPORU'!$C$2:$I$1000, 4, 0))), 0)</f>
        <v>0</v>
      </c>
      <c r="U1929" s="22">
        <f t="shared" si="120"/>
        <v>0</v>
      </c>
      <c r="V1929">
        <f t="shared" si="121"/>
        <v>0</v>
      </c>
      <c r="W1929" s="22">
        <f t="shared" si="122"/>
        <v>0</v>
      </c>
    </row>
    <row r="1930" spans="1:23" hidden="1" x14ac:dyDescent="0.25">
      <c r="A1930" s="3">
        <v>45999</v>
      </c>
      <c r="B1930" s="4" t="s">
        <v>334</v>
      </c>
      <c r="C1930" s="4" t="s">
        <v>1023</v>
      </c>
      <c r="D1930" s="4"/>
      <c r="E1930" s="4"/>
      <c r="F1930" s="4" t="s">
        <v>1167</v>
      </c>
      <c r="G1930" s="4" t="s">
        <v>336</v>
      </c>
      <c r="H1930" s="4" t="s">
        <v>289</v>
      </c>
      <c r="I1930" s="4">
        <v>2</v>
      </c>
      <c r="J1930" s="21">
        <v>65</v>
      </c>
      <c r="K1930" s="21">
        <v>0</v>
      </c>
      <c r="L1930" s="5">
        <v>0</v>
      </c>
      <c r="M1930" s="4"/>
      <c r="N1930" s="4"/>
      <c r="O1930" s="5"/>
      <c r="P1930" s="5"/>
      <c r="Q1930" s="21">
        <v>130</v>
      </c>
      <c r="R1930" s="21">
        <v>0</v>
      </c>
      <c r="S1930" s="5">
        <f t="shared" si="123"/>
        <v>53079.698760151987</v>
      </c>
      <c r="T1930" cm="1">
        <f t="array" ref="T1930">IF(OR(B1930="MAL ALIMI", B1930="ÜRETİM GİRİŞ"), MIN(I1930, MAX(0, I1930 + SUM(SUMIFS($I$1:I1929, $C$1:C1929, C1930, $B$1:B1929, {"MAL ALIMI","ÜRETİM GİRİŞ"})) - VLOOKUP(C1930, 'STOK RAPORU'!$C$2:$I$1000, 4, 0))), 0)</f>
        <v>0</v>
      </c>
      <c r="U1930" s="22">
        <f t="shared" si="120"/>
        <v>0</v>
      </c>
      <c r="V1930">
        <f t="shared" si="121"/>
        <v>0</v>
      </c>
      <c r="W1930" s="22">
        <f t="shared" si="122"/>
        <v>0</v>
      </c>
    </row>
    <row r="1931" spans="1:23" hidden="1" x14ac:dyDescent="0.25">
      <c r="A1931" s="3">
        <v>45999</v>
      </c>
      <c r="B1931" s="4" t="s">
        <v>334</v>
      </c>
      <c r="C1931" s="4" t="s">
        <v>892</v>
      </c>
      <c r="D1931" s="4"/>
      <c r="E1931" s="4"/>
      <c r="F1931" s="4" t="s">
        <v>1167</v>
      </c>
      <c r="G1931" s="4" t="s">
        <v>336</v>
      </c>
      <c r="H1931" s="4" t="s">
        <v>289</v>
      </c>
      <c r="I1931" s="4">
        <v>0.5</v>
      </c>
      <c r="J1931" s="21">
        <v>60</v>
      </c>
      <c r="K1931" s="21">
        <v>0</v>
      </c>
      <c r="L1931" s="5">
        <v>0</v>
      </c>
      <c r="M1931" s="4"/>
      <c r="N1931" s="4"/>
      <c r="O1931" s="5"/>
      <c r="P1931" s="5"/>
      <c r="Q1931" s="21">
        <v>30</v>
      </c>
      <c r="R1931" s="21">
        <v>0</v>
      </c>
      <c r="S1931" s="5">
        <f t="shared" si="123"/>
        <v>53109.698760151987</v>
      </c>
      <c r="T1931" cm="1">
        <f t="array" ref="T1931">IF(OR(B1931="MAL ALIMI", B1931="ÜRETİM GİRİŞ"), MIN(I1931, MAX(0, I1931 + SUM(SUMIFS($I$1:I1930, $C$1:C1930, C1931, $B$1:B1930, {"MAL ALIMI","ÜRETİM GİRİŞ"})) - VLOOKUP(C1931, 'STOK RAPORU'!$C$2:$I$1000, 4, 0))), 0)</f>
        <v>0</v>
      </c>
      <c r="U1931" s="22">
        <f t="shared" si="120"/>
        <v>0</v>
      </c>
      <c r="V1931">
        <f t="shared" si="121"/>
        <v>0</v>
      </c>
      <c r="W1931" s="22">
        <f t="shared" si="122"/>
        <v>0</v>
      </c>
    </row>
    <row r="1932" spans="1:23" hidden="1" x14ac:dyDescent="0.25">
      <c r="A1932" s="3">
        <v>45999</v>
      </c>
      <c r="B1932" s="4" t="s">
        <v>334</v>
      </c>
      <c r="C1932" s="4" t="s">
        <v>179</v>
      </c>
      <c r="D1932" s="4"/>
      <c r="E1932" s="4"/>
      <c r="F1932" s="4" t="s">
        <v>1167</v>
      </c>
      <c r="G1932" s="4" t="s">
        <v>336</v>
      </c>
      <c r="H1932" s="4" t="s">
        <v>289</v>
      </c>
      <c r="I1932" s="4">
        <v>1</v>
      </c>
      <c r="J1932" s="21">
        <v>160</v>
      </c>
      <c r="K1932" s="21">
        <v>0</v>
      </c>
      <c r="L1932" s="5">
        <v>0</v>
      </c>
      <c r="M1932" s="4"/>
      <c r="N1932" s="4"/>
      <c r="O1932" s="5"/>
      <c r="P1932" s="5"/>
      <c r="Q1932" s="21">
        <v>160</v>
      </c>
      <c r="R1932" s="21">
        <v>0</v>
      </c>
      <c r="S1932" s="5">
        <f t="shared" si="123"/>
        <v>53269.698760151987</v>
      </c>
      <c r="T1932" cm="1">
        <f t="array" ref="T1932">IF(OR(B1932="MAL ALIMI", B1932="ÜRETİM GİRİŞ"), MIN(I1932, MAX(0, I1932 + SUM(SUMIFS($I$1:I1931, $C$1:C1931, C1932, $B$1:B1931, {"MAL ALIMI","ÜRETİM GİRİŞ"})) - VLOOKUP(C1932, 'STOK RAPORU'!$C$2:$I$1000, 4, 0))), 0)</f>
        <v>0</v>
      </c>
      <c r="U1932" s="22">
        <f t="shared" si="120"/>
        <v>0</v>
      </c>
      <c r="V1932">
        <f t="shared" si="121"/>
        <v>0</v>
      </c>
      <c r="W1932" s="22">
        <f t="shared" si="122"/>
        <v>0</v>
      </c>
    </row>
    <row r="1933" spans="1:23" hidden="1" x14ac:dyDescent="0.25">
      <c r="A1933" s="3">
        <v>45999</v>
      </c>
      <c r="B1933" s="4" t="s">
        <v>334</v>
      </c>
      <c r="C1933" s="4" t="s">
        <v>692</v>
      </c>
      <c r="D1933" s="4"/>
      <c r="E1933" s="4"/>
      <c r="F1933" s="4" t="s">
        <v>1167</v>
      </c>
      <c r="G1933" s="4" t="s">
        <v>336</v>
      </c>
      <c r="H1933" s="4" t="s">
        <v>289</v>
      </c>
      <c r="I1933" s="4">
        <v>0.68600000000000005</v>
      </c>
      <c r="J1933" s="21">
        <v>60</v>
      </c>
      <c r="K1933" s="21">
        <v>0</v>
      </c>
      <c r="L1933" s="5">
        <v>0</v>
      </c>
      <c r="M1933" s="4"/>
      <c r="N1933" s="4"/>
      <c r="O1933" s="5"/>
      <c r="P1933" s="5"/>
      <c r="Q1933" s="21">
        <v>41.160000000000004</v>
      </c>
      <c r="R1933" s="21">
        <v>0</v>
      </c>
      <c r="S1933" s="5">
        <f t="shared" si="123"/>
        <v>53310.85876015199</v>
      </c>
      <c r="T1933" cm="1">
        <f t="array" ref="T1933">IF(OR(B1933="MAL ALIMI", B1933="ÜRETİM GİRİŞ"), MIN(I1933, MAX(0, I1933 + SUM(SUMIFS($I$1:I1932, $C$1:C1932, C1933, $B$1:B1932, {"MAL ALIMI","ÜRETİM GİRİŞ"})) - VLOOKUP(C1933, 'STOK RAPORU'!$C$2:$I$1000, 4, 0))), 0)</f>
        <v>0</v>
      </c>
      <c r="U1933" s="22">
        <f t="shared" si="120"/>
        <v>0</v>
      </c>
      <c r="V1933">
        <f t="shared" si="121"/>
        <v>0</v>
      </c>
      <c r="W1933" s="22">
        <f t="shared" si="122"/>
        <v>0</v>
      </c>
    </row>
    <row r="1934" spans="1:23" hidden="1" x14ac:dyDescent="0.25">
      <c r="A1934" s="3">
        <v>45999</v>
      </c>
      <c r="B1934" s="4" t="s">
        <v>334</v>
      </c>
      <c r="C1934" s="4" t="s">
        <v>132</v>
      </c>
      <c r="D1934" s="4"/>
      <c r="E1934" s="4"/>
      <c r="F1934" s="4" t="s">
        <v>1167</v>
      </c>
      <c r="G1934" s="4" t="s">
        <v>336</v>
      </c>
      <c r="H1934" s="4" t="s">
        <v>289</v>
      </c>
      <c r="I1934" s="4">
        <v>0.47</v>
      </c>
      <c r="J1934" s="21">
        <v>500</v>
      </c>
      <c r="K1934" s="21">
        <v>0</v>
      </c>
      <c r="L1934" s="5">
        <v>0</v>
      </c>
      <c r="M1934" s="4"/>
      <c r="N1934" s="4"/>
      <c r="O1934" s="5"/>
      <c r="P1934" s="5"/>
      <c r="Q1934" s="21">
        <v>235</v>
      </c>
      <c r="R1934" s="21">
        <v>0</v>
      </c>
      <c r="S1934" s="5">
        <f t="shared" si="123"/>
        <v>53545.85876015199</v>
      </c>
      <c r="T1934" cm="1">
        <f t="array" ref="T1934">IF(OR(B1934="MAL ALIMI", B1934="ÜRETİM GİRİŞ"), MIN(I1934, MAX(0, I1934 + SUM(SUMIFS($I$1:I1933, $C$1:C1933, C1934, $B$1:B1933, {"MAL ALIMI","ÜRETİM GİRİŞ"})) - VLOOKUP(C1934, 'STOK RAPORU'!$C$2:$I$1000, 4, 0))), 0)</f>
        <v>0</v>
      </c>
      <c r="U1934" s="22">
        <f t="shared" si="120"/>
        <v>0</v>
      </c>
      <c r="V1934">
        <f t="shared" si="121"/>
        <v>0</v>
      </c>
      <c r="W1934" s="22">
        <f t="shared" si="122"/>
        <v>0</v>
      </c>
    </row>
    <row r="1935" spans="1:23" hidden="1" x14ac:dyDescent="0.25">
      <c r="A1935" s="3">
        <v>45999</v>
      </c>
      <c r="B1935" s="4" t="s">
        <v>334</v>
      </c>
      <c r="C1935" s="4" t="s">
        <v>822</v>
      </c>
      <c r="D1935" s="4"/>
      <c r="E1935" s="4" t="s">
        <v>921</v>
      </c>
      <c r="F1935" s="4" t="s">
        <v>1168</v>
      </c>
      <c r="G1935" s="4" t="s">
        <v>336</v>
      </c>
      <c r="H1935" s="4" t="s">
        <v>380</v>
      </c>
      <c r="I1935" s="4">
        <v>1</v>
      </c>
      <c r="J1935" s="21">
        <v>170</v>
      </c>
      <c r="K1935" s="21">
        <v>170</v>
      </c>
      <c r="L1935" s="5">
        <v>0</v>
      </c>
      <c r="M1935" s="4"/>
      <c r="N1935" s="4"/>
      <c r="O1935" s="5"/>
      <c r="P1935" s="5"/>
      <c r="Q1935" s="21">
        <v>0</v>
      </c>
      <c r="R1935" s="21">
        <v>0</v>
      </c>
      <c r="S1935" s="5">
        <f t="shared" si="123"/>
        <v>53545.85876015199</v>
      </c>
      <c r="T1935" cm="1">
        <f t="array" ref="T1935">IF(OR(B1935="MAL ALIMI", B1935="ÜRETİM GİRİŞ"), MIN(I1935, MAX(0, I1935 + SUM(SUMIFS($I$1:I1934, $C$1:C1934, C1935, $B$1:B1934, {"MAL ALIMI","ÜRETİM GİRİŞ"})) - VLOOKUP(C1935, 'STOK RAPORU'!$C$2:$I$1000, 4, 0))), 0)</f>
        <v>0</v>
      </c>
      <c r="U1935" s="22">
        <f t="shared" si="120"/>
        <v>0</v>
      </c>
      <c r="V1935">
        <f t="shared" si="121"/>
        <v>0</v>
      </c>
      <c r="W1935" s="22">
        <f t="shared" si="122"/>
        <v>0</v>
      </c>
    </row>
    <row r="1936" spans="1:23" hidden="1" x14ac:dyDescent="0.25">
      <c r="A1936" s="3">
        <v>45999</v>
      </c>
      <c r="B1936" s="4" t="s">
        <v>334</v>
      </c>
      <c r="C1936" s="4" t="s">
        <v>98</v>
      </c>
      <c r="D1936" s="4"/>
      <c r="E1936" s="4" t="s">
        <v>921</v>
      </c>
      <c r="F1936" s="4" t="s">
        <v>1169</v>
      </c>
      <c r="G1936" s="4" t="s">
        <v>336</v>
      </c>
      <c r="H1936" s="4" t="s">
        <v>380</v>
      </c>
      <c r="I1936" s="4">
        <v>0.19600000000000001</v>
      </c>
      <c r="J1936" s="21">
        <v>250</v>
      </c>
      <c r="K1936" s="21">
        <v>49</v>
      </c>
      <c r="L1936" s="5">
        <v>0</v>
      </c>
      <c r="M1936" s="4"/>
      <c r="N1936" s="4"/>
      <c r="O1936" s="5"/>
      <c r="P1936" s="5"/>
      <c r="Q1936" s="21">
        <v>0</v>
      </c>
      <c r="R1936" s="21">
        <v>0</v>
      </c>
      <c r="S1936" s="5">
        <f t="shared" si="123"/>
        <v>53545.85876015199</v>
      </c>
      <c r="T1936" cm="1">
        <f t="array" ref="T1936">IF(OR(B1936="MAL ALIMI", B1936="ÜRETİM GİRİŞ"), MIN(I1936, MAX(0, I1936 + SUM(SUMIFS($I$1:I1935, $C$1:C1935, C1936, $B$1:B1935, {"MAL ALIMI","ÜRETİM GİRİŞ"})) - VLOOKUP(C1936, 'STOK RAPORU'!$C$2:$I$1000, 4, 0))), 0)</f>
        <v>0</v>
      </c>
      <c r="U1936" s="22">
        <f t="shared" si="120"/>
        <v>0</v>
      </c>
      <c r="V1936">
        <f t="shared" si="121"/>
        <v>0</v>
      </c>
      <c r="W1936" s="22">
        <f t="shared" si="122"/>
        <v>0</v>
      </c>
    </row>
    <row r="1937" spans="1:23" hidden="1" x14ac:dyDescent="0.25">
      <c r="A1937" s="3">
        <v>45999</v>
      </c>
      <c r="B1937" s="4" t="s">
        <v>334</v>
      </c>
      <c r="C1937" s="4" t="s">
        <v>523</v>
      </c>
      <c r="D1937" s="4"/>
      <c r="E1937" s="4" t="s">
        <v>921</v>
      </c>
      <c r="F1937" s="4" t="s">
        <v>1169</v>
      </c>
      <c r="G1937" s="4" t="s">
        <v>336</v>
      </c>
      <c r="H1937" s="4" t="s">
        <v>380</v>
      </c>
      <c r="I1937" s="4">
        <v>0.1</v>
      </c>
      <c r="J1937" s="21">
        <v>650</v>
      </c>
      <c r="K1937" s="21">
        <v>65</v>
      </c>
      <c r="L1937" s="5">
        <v>0</v>
      </c>
      <c r="M1937" s="4"/>
      <c r="N1937" s="4"/>
      <c r="O1937" s="5"/>
      <c r="P1937" s="5"/>
      <c r="Q1937" s="21">
        <v>0</v>
      </c>
      <c r="R1937" s="21">
        <v>0</v>
      </c>
      <c r="S1937" s="5">
        <f t="shared" si="123"/>
        <v>53545.85876015199</v>
      </c>
      <c r="T1937" cm="1">
        <f t="array" ref="T1937">IF(OR(B1937="MAL ALIMI", B1937="ÜRETİM GİRİŞ"), MIN(I1937, MAX(0, I1937 + SUM(SUMIFS($I$1:I1936, $C$1:C1936, C1937, $B$1:B1936, {"MAL ALIMI","ÜRETİM GİRİŞ"})) - VLOOKUP(C1937, 'STOK RAPORU'!$C$2:$I$1000, 4, 0))), 0)</f>
        <v>0</v>
      </c>
      <c r="U1937" s="22">
        <f t="shared" si="120"/>
        <v>0</v>
      </c>
      <c r="V1937">
        <f t="shared" si="121"/>
        <v>0</v>
      </c>
      <c r="W1937" s="22">
        <f t="shared" si="122"/>
        <v>0</v>
      </c>
    </row>
    <row r="1938" spans="1:23" hidden="1" x14ac:dyDescent="0.25">
      <c r="A1938" s="3">
        <v>45999</v>
      </c>
      <c r="B1938" s="4" t="s">
        <v>334</v>
      </c>
      <c r="C1938" s="4" t="s">
        <v>201</v>
      </c>
      <c r="D1938" s="4"/>
      <c r="E1938" s="4" t="s">
        <v>921</v>
      </c>
      <c r="F1938" s="4" t="s">
        <v>1169</v>
      </c>
      <c r="G1938" s="4" t="s">
        <v>336</v>
      </c>
      <c r="H1938" s="4" t="s">
        <v>380</v>
      </c>
      <c r="I1938" s="4">
        <v>0.13125000000000001</v>
      </c>
      <c r="J1938" s="21">
        <v>800</v>
      </c>
      <c r="K1938" s="21">
        <v>105</v>
      </c>
      <c r="L1938" s="5">
        <v>0</v>
      </c>
      <c r="M1938" s="4"/>
      <c r="N1938" s="4"/>
      <c r="O1938" s="5"/>
      <c r="P1938" s="5"/>
      <c r="Q1938" s="21">
        <v>0</v>
      </c>
      <c r="R1938" s="21">
        <v>0</v>
      </c>
      <c r="S1938" s="5">
        <f t="shared" si="123"/>
        <v>53545.85876015199</v>
      </c>
      <c r="T1938" cm="1">
        <f t="array" ref="T1938">IF(OR(B1938="MAL ALIMI", B1938="ÜRETİM GİRİŞ"), MIN(I1938, MAX(0, I1938 + SUM(SUMIFS($I$1:I1937, $C$1:C1937, C1938, $B$1:B1937, {"MAL ALIMI","ÜRETİM GİRİŞ"})) - VLOOKUP(C1938, 'STOK RAPORU'!$C$2:$I$1000, 4, 0))), 0)</f>
        <v>0</v>
      </c>
      <c r="U1938" s="22">
        <f t="shared" si="120"/>
        <v>0</v>
      </c>
      <c r="V1938">
        <f t="shared" si="121"/>
        <v>0</v>
      </c>
      <c r="W1938" s="22">
        <f t="shared" si="122"/>
        <v>0</v>
      </c>
    </row>
    <row r="1939" spans="1:23" hidden="1" x14ac:dyDescent="0.25">
      <c r="A1939" s="3">
        <v>45999</v>
      </c>
      <c r="B1939" s="4" t="s">
        <v>334</v>
      </c>
      <c r="C1939" s="4" t="s">
        <v>133</v>
      </c>
      <c r="D1939" s="4"/>
      <c r="E1939" s="4" t="s">
        <v>921</v>
      </c>
      <c r="F1939" s="4" t="s">
        <v>1170</v>
      </c>
      <c r="G1939" s="4" t="s">
        <v>336</v>
      </c>
      <c r="H1939" s="4" t="s">
        <v>380</v>
      </c>
      <c r="I1939" s="4">
        <v>0.13421052631578947</v>
      </c>
      <c r="J1939" s="21">
        <v>380</v>
      </c>
      <c r="K1939" s="21">
        <v>51</v>
      </c>
      <c r="L1939" s="5">
        <v>0</v>
      </c>
      <c r="M1939" s="4"/>
      <c r="N1939" s="4"/>
      <c r="O1939" s="5"/>
      <c r="P1939" s="5"/>
      <c r="Q1939" s="21">
        <v>0</v>
      </c>
      <c r="R1939" s="21">
        <v>0</v>
      </c>
      <c r="S1939" s="5">
        <f t="shared" si="123"/>
        <v>53545.85876015199</v>
      </c>
      <c r="T1939" cm="1">
        <f t="array" ref="T1939">IF(OR(B1939="MAL ALIMI", B1939="ÜRETİM GİRİŞ"), MIN(I1939, MAX(0, I1939 + SUM(SUMIFS($I$1:I1938, $C$1:C1938, C1939, $B$1:B1938, {"MAL ALIMI","ÜRETİM GİRİŞ"})) - VLOOKUP(C1939, 'STOK RAPORU'!$C$2:$I$1000, 4, 0))), 0)</f>
        <v>0</v>
      </c>
      <c r="U1939" s="22">
        <f t="shared" si="120"/>
        <v>0</v>
      </c>
      <c r="V1939">
        <f t="shared" si="121"/>
        <v>0</v>
      </c>
      <c r="W1939" s="22">
        <f t="shared" si="122"/>
        <v>0</v>
      </c>
    </row>
    <row r="1940" spans="1:23" hidden="1" x14ac:dyDescent="0.25">
      <c r="A1940" s="3">
        <v>45999</v>
      </c>
      <c r="B1940" s="4" t="s">
        <v>334</v>
      </c>
      <c r="C1940" s="4" t="s">
        <v>126</v>
      </c>
      <c r="D1940" s="4"/>
      <c r="E1940" s="4" t="s">
        <v>921</v>
      </c>
      <c r="F1940" s="4" t="s">
        <v>1170</v>
      </c>
      <c r="G1940" s="4" t="s">
        <v>336</v>
      </c>
      <c r="H1940" s="4" t="s">
        <v>380</v>
      </c>
      <c r="I1940" s="4">
        <v>0.1171875</v>
      </c>
      <c r="J1940" s="21">
        <v>640</v>
      </c>
      <c r="K1940" s="21">
        <v>75</v>
      </c>
      <c r="L1940" s="5">
        <v>0</v>
      </c>
      <c r="M1940" s="4"/>
      <c r="N1940" s="4"/>
      <c r="O1940" s="5"/>
      <c r="P1940" s="5"/>
      <c r="Q1940" s="21">
        <v>0</v>
      </c>
      <c r="R1940" s="21">
        <v>0</v>
      </c>
      <c r="S1940" s="5">
        <f t="shared" si="123"/>
        <v>53545.85876015199</v>
      </c>
      <c r="T1940" cm="1">
        <f t="array" ref="T1940">IF(OR(B1940="MAL ALIMI", B1940="ÜRETİM GİRİŞ"), MIN(I1940, MAX(0, I1940 + SUM(SUMIFS($I$1:I1939, $C$1:C1939, C1940, $B$1:B1939, {"MAL ALIMI","ÜRETİM GİRİŞ"})) - VLOOKUP(C1940, 'STOK RAPORU'!$C$2:$I$1000, 4, 0))), 0)</f>
        <v>0</v>
      </c>
      <c r="U1940" s="22">
        <f t="shared" si="120"/>
        <v>0</v>
      </c>
      <c r="V1940">
        <f t="shared" si="121"/>
        <v>0</v>
      </c>
      <c r="W1940" s="22">
        <f t="shared" si="122"/>
        <v>0</v>
      </c>
    </row>
    <row r="1941" spans="1:23" hidden="1" x14ac:dyDescent="0.25">
      <c r="A1941" s="3">
        <v>45999</v>
      </c>
      <c r="B1941" s="4" t="s">
        <v>334</v>
      </c>
      <c r="C1941" s="4" t="s">
        <v>3167</v>
      </c>
      <c r="D1941" s="4"/>
      <c r="E1941" s="4" t="s">
        <v>921</v>
      </c>
      <c r="F1941" s="4" t="s">
        <v>1170</v>
      </c>
      <c r="G1941" s="4" t="s">
        <v>336</v>
      </c>
      <c r="H1941" s="4" t="s">
        <v>380</v>
      </c>
      <c r="I1941" s="4">
        <v>6.2162162162162166E-2</v>
      </c>
      <c r="J1941" s="21">
        <v>370</v>
      </c>
      <c r="K1941" s="21">
        <v>23</v>
      </c>
      <c r="L1941" s="5">
        <v>0</v>
      </c>
      <c r="M1941" s="4"/>
      <c r="N1941" s="4"/>
      <c r="O1941" s="5"/>
      <c r="P1941" s="5"/>
      <c r="Q1941" s="21">
        <v>0</v>
      </c>
      <c r="R1941" s="21">
        <v>0</v>
      </c>
      <c r="S1941" s="5">
        <f t="shared" si="123"/>
        <v>53545.85876015199</v>
      </c>
      <c r="T1941" cm="1">
        <f t="array" ref="T1941">IF(OR(B1941="MAL ALIMI", B1941="ÜRETİM GİRİŞ"), MIN(I1941, MAX(0, I1941 + SUM(SUMIFS($I$1:I1940, $C$1:C1940, C1941, $B$1:B1940, {"MAL ALIMI","ÜRETİM GİRİŞ"})) - VLOOKUP(C1941, 'STOK RAPORU'!$C$2:$I$1000, 4, 0))), 0)</f>
        <v>0</v>
      </c>
      <c r="U1941" s="22">
        <f t="shared" si="120"/>
        <v>0</v>
      </c>
      <c r="V1941">
        <f t="shared" si="121"/>
        <v>0</v>
      </c>
      <c r="W1941" s="22">
        <f t="shared" si="122"/>
        <v>0</v>
      </c>
    </row>
    <row r="1942" spans="1:23" hidden="1" x14ac:dyDescent="0.25">
      <c r="A1942" s="3">
        <v>45999</v>
      </c>
      <c r="B1942" s="4" t="s">
        <v>334</v>
      </c>
      <c r="C1942" s="4" t="s">
        <v>140</v>
      </c>
      <c r="D1942" s="4"/>
      <c r="E1942" s="4" t="s">
        <v>921</v>
      </c>
      <c r="F1942" s="4" t="s">
        <v>1170</v>
      </c>
      <c r="G1942" s="4" t="s">
        <v>336</v>
      </c>
      <c r="H1942" s="4" t="s">
        <v>380</v>
      </c>
      <c r="I1942" s="4">
        <v>4.3999999999999997E-2</v>
      </c>
      <c r="J1942" s="21">
        <v>250</v>
      </c>
      <c r="K1942" s="21">
        <v>11</v>
      </c>
      <c r="L1942" s="5">
        <v>0</v>
      </c>
      <c r="M1942" s="4"/>
      <c r="N1942" s="4"/>
      <c r="O1942" s="5"/>
      <c r="P1942" s="5"/>
      <c r="Q1942" s="21">
        <v>0</v>
      </c>
      <c r="R1942" s="21">
        <v>0</v>
      </c>
      <c r="S1942" s="5">
        <f t="shared" si="123"/>
        <v>53545.85876015199</v>
      </c>
      <c r="T1942" cm="1">
        <f t="array" ref="T1942">IF(OR(B1942="MAL ALIMI", B1942="ÜRETİM GİRİŞ"), MIN(I1942, MAX(0, I1942 + SUM(SUMIFS($I$1:I1941, $C$1:C1941, C1942, $B$1:B1941, {"MAL ALIMI","ÜRETİM GİRİŞ"})) - VLOOKUP(C1942, 'STOK RAPORU'!$C$2:$I$1000, 4, 0))), 0)</f>
        <v>0</v>
      </c>
      <c r="U1942" s="22">
        <f t="shared" si="120"/>
        <v>0</v>
      </c>
      <c r="V1942">
        <f t="shared" si="121"/>
        <v>0</v>
      </c>
      <c r="W1942" s="22">
        <f t="shared" si="122"/>
        <v>0</v>
      </c>
    </row>
    <row r="1943" spans="1:23" hidden="1" x14ac:dyDescent="0.25">
      <c r="A1943" s="3">
        <v>45999</v>
      </c>
      <c r="B1943" s="4" t="s">
        <v>334</v>
      </c>
      <c r="C1943" s="4" t="s">
        <v>214</v>
      </c>
      <c r="D1943" s="4"/>
      <c r="E1943" s="4" t="s">
        <v>921</v>
      </c>
      <c r="F1943" s="4" t="s">
        <v>1171</v>
      </c>
      <c r="G1943" s="4" t="s">
        <v>336</v>
      </c>
      <c r="H1943" s="4" t="s">
        <v>380</v>
      </c>
      <c r="I1943" s="4">
        <v>0.12</v>
      </c>
      <c r="J1943" s="21">
        <v>920</v>
      </c>
      <c r="K1943" s="21">
        <v>110.39999999999999</v>
      </c>
      <c r="L1943" s="5">
        <v>0</v>
      </c>
      <c r="M1943" s="4"/>
      <c r="N1943" s="4"/>
      <c r="O1943" s="5"/>
      <c r="P1943" s="5"/>
      <c r="Q1943" s="21">
        <v>0</v>
      </c>
      <c r="R1943" s="21">
        <v>0</v>
      </c>
      <c r="S1943" s="5">
        <f t="shared" si="123"/>
        <v>53545.85876015199</v>
      </c>
      <c r="T1943" cm="1">
        <f t="array" ref="T1943">IF(OR(B1943="MAL ALIMI", B1943="ÜRETİM GİRİŞ"), MIN(I1943, MAX(0, I1943 + SUM(SUMIFS($I$1:I1942, $C$1:C1942, C1943, $B$1:B1942, {"MAL ALIMI","ÜRETİM GİRİŞ"})) - VLOOKUP(C1943, 'STOK RAPORU'!$C$2:$I$1000, 4, 0))), 0)</f>
        <v>0</v>
      </c>
      <c r="U1943" s="22">
        <f t="shared" si="120"/>
        <v>0</v>
      </c>
      <c r="V1943">
        <f t="shared" si="121"/>
        <v>0</v>
      </c>
      <c r="W1943" s="22">
        <f t="shared" si="122"/>
        <v>0</v>
      </c>
    </row>
    <row r="1944" spans="1:23" hidden="1" x14ac:dyDescent="0.25">
      <c r="A1944" s="3">
        <v>45999</v>
      </c>
      <c r="B1944" s="4" t="s">
        <v>334</v>
      </c>
      <c r="C1944" s="4" t="s">
        <v>530</v>
      </c>
      <c r="D1944" s="4"/>
      <c r="E1944" s="4" t="s">
        <v>921</v>
      </c>
      <c r="F1944" s="4" t="s">
        <v>1171</v>
      </c>
      <c r="G1944" s="4" t="s">
        <v>336</v>
      </c>
      <c r="H1944" s="4" t="s">
        <v>380</v>
      </c>
      <c r="I1944" s="4">
        <v>0.5</v>
      </c>
      <c r="J1944" s="21">
        <v>280</v>
      </c>
      <c r="K1944" s="21">
        <v>140</v>
      </c>
      <c r="L1944" s="5">
        <v>0</v>
      </c>
      <c r="M1944" s="4"/>
      <c r="N1944" s="4"/>
      <c r="O1944" s="5"/>
      <c r="P1944" s="5"/>
      <c r="Q1944" s="21">
        <v>0</v>
      </c>
      <c r="R1944" s="21">
        <v>0</v>
      </c>
      <c r="S1944" s="5">
        <f t="shared" si="123"/>
        <v>53545.85876015199</v>
      </c>
      <c r="T1944" cm="1">
        <f t="array" ref="T1944">IF(OR(B1944="MAL ALIMI", B1944="ÜRETİM GİRİŞ"), MIN(I1944, MAX(0, I1944 + SUM(SUMIFS($I$1:I1943, $C$1:C1943, C1944, $B$1:B1943, {"MAL ALIMI","ÜRETİM GİRİŞ"})) - VLOOKUP(C1944, 'STOK RAPORU'!$C$2:$I$1000, 4, 0))), 0)</f>
        <v>0</v>
      </c>
      <c r="U1944" s="22">
        <f t="shared" si="120"/>
        <v>0</v>
      </c>
      <c r="V1944">
        <f t="shared" si="121"/>
        <v>0</v>
      </c>
      <c r="W1944" s="22">
        <f t="shared" si="122"/>
        <v>0</v>
      </c>
    </row>
    <row r="1945" spans="1:23" hidden="1" x14ac:dyDescent="0.25">
      <c r="A1945" s="3">
        <v>45999</v>
      </c>
      <c r="B1945" s="4" t="s">
        <v>334</v>
      </c>
      <c r="C1945" s="4" t="s">
        <v>1041</v>
      </c>
      <c r="D1945" s="4"/>
      <c r="E1945" s="4"/>
      <c r="F1945" s="4" t="s">
        <v>1172</v>
      </c>
      <c r="G1945" s="4" t="s">
        <v>336</v>
      </c>
      <c r="H1945" s="4" t="s">
        <v>289</v>
      </c>
      <c r="I1945" s="4">
        <v>0.8</v>
      </c>
      <c r="J1945" s="21">
        <v>250</v>
      </c>
      <c r="K1945" s="21">
        <v>0</v>
      </c>
      <c r="L1945" s="5">
        <v>0</v>
      </c>
      <c r="M1945" s="4"/>
      <c r="N1945" s="4"/>
      <c r="O1945" s="5"/>
      <c r="P1945" s="5"/>
      <c r="Q1945" s="21">
        <v>200</v>
      </c>
      <c r="R1945" s="21">
        <v>0</v>
      </c>
      <c r="S1945" s="5">
        <f t="shared" si="123"/>
        <v>53745.85876015199</v>
      </c>
      <c r="T1945" cm="1">
        <f t="array" ref="T1945">IF(OR(B1945="MAL ALIMI", B1945="ÜRETİM GİRİŞ"), MIN(I1945, MAX(0, I1945 + SUM(SUMIFS($I$1:I1944, $C$1:C1944, C1945, $B$1:B1944, {"MAL ALIMI","ÜRETİM GİRİŞ"})) - VLOOKUP(C1945, 'STOK RAPORU'!$C$2:$I$1000, 4, 0))), 0)</f>
        <v>0</v>
      </c>
      <c r="U1945" s="22">
        <f t="shared" si="120"/>
        <v>0</v>
      </c>
      <c r="V1945">
        <f t="shared" si="121"/>
        <v>0</v>
      </c>
      <c r="W1945" s="22">
        <f t="shared" si="122"/>
        <v>0</v>
      </c>
    </row>
    <row r="1946" spans="1:23" hidden="1" x14ac:dyDescent="0.25">
      <c r="A1946" s="3">
        <v>45999</v>
      </c>
      <c r="B1946" s="4" t="s">
        <v>334</v>
      </c>
      <c r="C1946" s="4" t="s">
        <v>91</v>
      </c>
      <c r="D1946" s="4"/>
      <c r="E1946" s="4"/>
      <c r="F1946" s="4" t="s">
        <v>1173</v>
      </c>
      <c r="G1946" s="4" t="s">
        <v>336</v>
      </c>
      <c r="H1946" s="4" t="s">
        <v>289</v>
      </c>
      <c r="I1946" s="4">
        <v>5.3999999999999999E-2</v>
      </c>
      <c r="J1946" s="21">
        <v>760</v>
      </c>
      <c r="K1946" s="21">
        <v>0</v>
      </c>
      <c r="L1946" s="5">
        <v>0</v>
      </c>
      <c r="M1946" s="4"/>
      <c r="N1946" s="4"/>
      <c r="O1946" s="5"/>
      <c r="P1946" s="5"/>
      <c r="Q1946" s="21">
        <v>41.04</v>
      </c>
      <c r="R1946" s="21">
        <v>0</v>
      </c>
      <c r="S1946" s="5">
        <f t="shared" si="123"/>
        <v>53786.898760151991</v>
      </c>
      <c r="T1946" cm="1">
        <f t="array" ref="T1946">IF(OR(B1946="MAL ALIMI", B1946="ÜRETİM GİRİŞ"), MIN(I1946, MAX(0, I1946 + SUM(SUMIFS($I$1:I1945, $C$1:C1945, C1946, $B$1:B1945, {"MAL ALIMI","ÜRETİM GİRİŞ"})) - VLOOKUP(C1946, 'STOK RAPORU'!$C$2:$I$1000, 4, 0))), 0)</f>
        <v>0</v>
      </c>
      <c r="U1946" s="22">
        <f t="shared" si="120"/>
        <v>0</v>
      </c>
      <c r="V1946">
        <f t="shared" si="121"/>
        <v>0</v>
      </c>
      <c r="W1946" s="22">
        <f t="shared" si="122"/>
        <v>0</v>
      </c>
    </row>
    <row r="1947" spans="1:23" hidden="1" x14ac:dyDescent="0.25">
      <c r="A1947" s="3">
        <v>45999</v>
      </c>
      <c r="B1947" s="4" t="s">
        <v>334</v>
      </c>
      <c r="C1947" s="4" t="s">
        <v>132</v>
      </c>
      <c r="D1947" s="4"/>
      <c r="E1947" s="4"/>
      <c r="F1947" s="4" t="s">
        <v>1173</v>
      </c>
      <c r="G1947" s="4" t="s">
        <v>336</v>
      </c>
      <c r="H1947" s="4" t="s">
        <v>289</v>
      </c>
      <c r="I1947" s="4">
        <v>0.29199999999999998</v>
      </c>
      <c r="J1947" s="21">
        <v>500</v>
      </c>
      <c r="K1947" s="21">
        <v>0</v>
      </c>
      <c r="L1947" s="5">
        <v>0</v>
      </c>
      <c r="M1947" s="4"/>
      <c r="N1947" s="4"/>
      <c r="O1947" s="5"/>
      <c r="P1947" s="5"/>
      <c r="Q1947" s="21">
        <v>146</v>
      </c>
      <c r="R1947" s="21">
        <v>0</v>
      </c>
      <c r="S1947" s="5">
        <f t="shared" si="123"/>
        <v>53932.898760151991</v>
      </c>
      <c r="T1947" cm="1">
        <f t="array" ref="T1947">IF(OR(B1947="MAL ALIMI", B1947="ÜRETİM GİRİŞ"), MIN(I1947, MAX(0, I1947 + SUM(SUMIFS($I$1:I1946, $C$1:C1946, C1947, $B$1:B1946, {"MAL ALIMI","ÜRETİM GİRİŞ"})) - VLOOKUP(C1947, 'STOK RAPORU'!$C$2:$I$1000, 4, 0))), 0)</f>
        <v>0</v>
      </c>
      <c r="U1947" s="22">
        <f t="shared" si="120"/>
        <v>0</v>
      </c>
      <c r="V1947">
        <f t="shared" si="121"/>
        <v>0</v>
      </c>
      <c r="W1947" s="22">
        <f t="shared" si="122"/>
        <v>0</v>
      </c>
    </row>
    <row r="1948" spans="1:23" hidden="1" x14ac:dyDescent="0.25">
      <c r="A1948" s="3">
        <v>45999</v>
      </c>
      <c r="B1948" s="4" t="s">
        <v>334</v>
      </c>
      <c r="C1948" s="4" t="s">
        <v>209</v>
      </c>
      <c r="D1948" s="4"/>
      <c r="E1948" s="4"/>
      <c r="F1948" s="4" t="s">
        <v>1173</v>
      </c>
      <c r="G1948" s="4" t="s">
        <v>336</v>
      </c>
      <c r="H1948" s="4" t="s">
        <v>289</v>
      </c>
      <c r="I1948" s="4">
        <v>0.05</v>
      </c>
      <c r="J1948" s="21">
        <v>2600</v>
      </c>
      <c r="K1948" s="21">
        <v>0</v>
      </c>
      <c r="L1948" s="5">
        <v>0</v>
      </c>
      <c r="M1948" s="4"/>
      <c r="N1948" s="4"/>
      <c r="O1948" s="5"/>
      <c r="P1948" s="5"/>
      <c r="Q1948" s="21">
        <v>130</v>
      </c>
      <c r="R1948" s="21">
        <v>0</v>
      </c>
      <c r="S1948" s="5">
        <f t="shared" si="123"/>
        <v>54062.898760151991</v>
      </c>
      <c r="T1948" cm="1">
        <f t="array" ref="T1948">IF(OR(B1948="MAL ALIMI", B1948="ÜRETİM GİRİŞ"), MIN(I1948, MAX(0, I1948 + SUM(SUMIFS($I$1:I1947, $C$1:C1947, C1948, $B$1:B1947, {"MAL ALIMI","ÜRETİM GİRİŞ"})) - VLOOKUP(C1948, 'STOK RAPORU'!$C$2:$I$1000, 4, 0))), 0)</f>
        <v>0</v>
      </c>
      <c r="U1948" s="22">
        <f t="shared" si="120"/>
        <v>0</v>
      </c>
      <c r="V1948">
        <f t="shared" si="121"/>
        <v>0</v>
      </c>
      <c r="W1948" s="22">
        <f t="shared" si="122"/>
        <v>0</v>
      </c>
    </row>
    <row r="1949" spans="1:23" hidden="1" x14ac:dyDescent="0.25">
      <c r="A1949" s="3">
        <v>45999</v>
      </c>
      <c r="B1949" s="4" t="s">
        <v>334</v>
      </c>
      <c r="C1949" s="4" t="s">
        <v>692</v>
      </c>
      <c r="D1949" s="4"/>
      <c r="E1949" s="4"/>
      <c r="F1949" s="4" t="s">
        <v>1173</v>
      </c>
      <c r="G1949" s="4" t="s">
        <v>336</v>
      </c>
      <c r="H1949" s="4" t="s">
        <v>289</v>
      </c>
      <c r="I1949" s="4">
        <v>1</v>
      </c>
      <c r="J1949" s="21">
        <v>60</v>
      </c>
      <c r="K1949" s="21">
        <v>0</v>
      </c>
      <c r="L1949" s="5">
        <v>0</v>
      </c>
      <c r="M1949" s="4"/>
      <c r="N1949" s="4"/>
      <c r="O1949" s="5"/>
      <c r="P1949" s="5"/>
      <c r="Q1949" s="21">
        <v>60</v>
      </c>
      <c r="R1949" s="21">
        <v>0</v>
      </c>
      <c r="S1949" s="5">
        <f t="shared" si="123"/>
        <v>54122.898760151991</v>
      </c>
      <c r="T1949" cm="1">
        <f t="array" ref="T1949">IF(OR(B1949="MAL ALIMI", B1949="ÜRETİM GİRİŞ"), MIN(I1949, MAX(0, I1949 + SUM(SUMIFS($I$1:I1948, $C$1:C1948, C1949, $B$1:B1948, {"MAL ALIMI","ÜRETİM GİRİŞ"})) - VLOOKUP(C1949, 'STOK RAPORU'!$C$2:$I$1000, 4, 0))), 0)</f>
        <v>0</v>
      </c>
      <c r="U1949" s="22">
        <f t="shared" si="120"/>
        <v>0</v>
      </c>
      <c r="V1949">
        <f t="shared" si="121"/>
        <v>0</v>
      </c>
      <c r="W1949" s="22">
        <f t="shared" si="122"/>
        <v>0</v>
      </c>
    </row>
    <row r="1950" spans="1:23" hidden="1" x14ac:dyDescent="0.25">
      <c r="A1950" s="3">
        <v>45999</v>
      </c>
      <c r="B1950" s="4" t="s">
        <v>334</v>
      </c>
      <c r="C1950" s="4" t="s">
        <v>202</v>
      </c>
      <c r="D1950" s="4"/>
      <c r="E1950" s="4"/>
      <c r="F1950" s="4" t="s">
        <v>1173</v>
      </c>
      <c r="G1950" s="4" t="s">
        <v>336</v>
      </c>
      <c r="H1950" s="4" t="s">
        <v>289</v>
      </c>
      <c r="I1950" s="4">
        <v>0.5</v>
      </c>
      <c r="J1950" s="21">
        <v>80</v>
      </c>
      <c r="K1950" s="21">
        <v>0</v>
      </c>
      <c r="L1950" s="5">
        <v>0</v>
      </c>
      <c r="M1950" s="4"/>
      <c r="N1950" s="4"/>
      <c r="O1950" s="5"/>
      <c r="P1950" s="5"/>
      <c r="Q1950" s="21">
        <v>40</v>
      </c>
      <c r="R1950" s="21">
        <v>0</v>
      </c>
      <c r="S1950" s="5">
        <f t="shared" si="123"/>
        <v>54162.898760151991</v>
      </c>
      <c r="T1950" cm="1">
        <f t="array" ref="T1950">IF(OR(B1950="MAL ALIMI", B1950="ÜRETİM GİRİŞ"), MIN(I1950, MAX(0, I1950 + SUM(SUMIFS($I$1:I1949, $C$1:C1949, C1950, $B$1:B1949, {"MAL ALIMI","ÜRETİM GİRİŞ"})) - VLOOKUP(C1950, 'STOK RAPORU'!$C$2:$I$1000, 4, 0))), 0)</f>
        <v>0</v>
      </c>
      <c r="U1950" s="22">
        <f t="shared" si="120"/>
        <v>0</v>
      </c>
      <c r="V1950">
        <f t="shared" si="121"/>
        <v>0</v>
      </c>
      <c r="W1950" s="22">
        <f t="shared" si="122"/>
        <v>0</v>
      </c>
    </row>
    <row r="1951" spans="1:23" hidden="1" x14ac:dyDescent="0.25">
      <c r="A1951" s="3">
        <v>45999</v>
      </c>
      <c r="B1951" s="4" t="s">
        <v>334</v>
      </c>
      <c r="C1951" s="4" t="s">
        <v>156</v>
      </c>
      <c r="D1951" s="4"/>
      <c r="E1951" s="4" t="s">
        <v>921</v>
      </c>
      <c r="F1951" s="4" t="s">
        <v>1174</v>
      </c>
      <c r="G1951" s="4" t="s">
        <v>336</v>
      </c>
      <c r="H1951" s="4" t="s">
        <v>380</v>
      </c>
      <c r="I1951" s="4">
        <v>0.5</v>
      </c>
      <c r="J1951" s="21">
        <v>180</v>
      </c>
      <c r="K1951" s="21">
        <v>90</v>
      </c>
      <c r="L1951" s="5">
        <v>0</v>
      </c>
      <c r="M1951" s="4"/>
      <c r="N1951" s="4"/>
      <c r="O1951" s="5"/>
      <c r="P1951" s="5"/>
      <c r="Q1951" s="21">
        <v>0</v>
      </c>
      <c r="R1951" s="21">
        <v>0</v>
      </c>
      <c r="S1951" s="5">
        <f t="shared" si="123"/>
        <v>54162.898760151991</v>
      </c>
      <c r="T1951" cm="1">
        <f t="array" ref="T1951">IF(OR(B1951="MAL ALIMI", B1951="ÜRETİM GİRİŞ"), MIN(I1951, MAX(0, I1951 + SUM(SUMIFS($I$1:I1950, $C$1:C1950, C1951, $B$1:B1950, {"MAL ALIMI","ÜRETİM GİRİŞ"})) - VLOOKUP(C1951, 'STOK RAPORU'!$C$2:$I$1000, 4, 0))), 0)</f>
        <v>0</v>
      </c>
      <c r="U1951" s="22">
        <f t="shared" si="120"/>
        <v>0</v>
      </c>
      <c r="V1951">
        <f t="shared" si="121"/>
        <v>0</v>
      </c>
      <c r="W1951" s="22">
        <f t="shared" si="122"/>
        <v>0</v>
      </c>
    </row>
    <row r="1952" spans="1:23" hidden="1" x14ac:dyDescent="0.25">
      <c r="A1952" s="3">
        <v>45999</v>
      </c>
      <c r="B1952" s="4" t="s">
        <v>334</v>
      </c>
      <c r="C1952" s="4" t="s">
        <v>223</v>
      </c>
      <c r="D1952" s="4"/>
      <c r="E1952" s="4" t="s">
        <v>921</v>
      </c>
      <c r="F1952" s="4" t="s">
        <v>1175</v>
      </c>
      <c r="G1952" s="4" t="s">
        <v>336</v>
      </c>
      <c r="H1952" s="4" t="s">
        <v>380</v>
      </c>
      <c r="I1952" s="4">
        <v>1</v>
      </c>
      <c r="J1952" s="21">
        <v>700</v>
      </c>
      <c r="K1952" s="21">
        <v>700</v>
      </c>
      <c r="L1952" s="5">
        <v>0</v>
      </c>
      <c r="M1952" s="4"/>
      <c r="N1952" s="4"/>
      <c r="O1952" s="5"/>
      <c r="P1952" s="5"/>
      <c r="Q1952" s="21">
        <v>0</v>
      </c>
      <c r="R1952" s="21">
        <v>0</v>
      </c>
      <c r="S1952" s="5">
        <f t="shared" si="123"/>
        <v>54162.898760151991</v>
      </c>
      <c r="T1952" cm="1">
        <f t="array" ref="T1952">IF(OR(B1952="MAL ALIMI", B1952="ÜRETİM GİRİŞ"), MIN(I1952, MAX(0, I1952 + SUM(SUMIFS($I$1:I1951, $C$1:C1951, C1952, $B$1:B1951, {"MAL ALIMI","ÜRETİM GİRİŞ"})) - VLOOKUP(C1952, 'STOK RAPORU'!$C$2:$I$1000, 4, 0))), 0)</f>
        <v>0</v>
      </c>
      <c r="U1952" s="22">
        <f t="shared" si="120"/>
        <v>0</v>
      </c>
      <c r="V1952">
        <f t="shared" si="121"/>
        <v>0</v>
      </c>
      <c r="W1952" s="22">
        <f t="shared" si="122"/>
        <v>0</v>
      </c>
    </row>
    <row r="1953" spans="1:23" hidden="1" x14ac:dyDescent="0.25">
      <c r="A1953" s="3">
        <v>45999</v>
      </c>
      <c r="B1953" s="4" t="s">
        <v>946</v>
      </c>
      <c r="C1953" s="4"/>
      <c r="D1953" s="4"/>
      <c r="E1953" s="4" t="s">
        <v>921</v>
      </c>
      <c r="F1953" s="4"/>
      <c r="G1953" s="4" t="s">
        <v>946</v>
      </c>
      <c r="H1953" s="4" t="s">
        <v>380</v>
      </c>
      <c r="I1953" s="4">
        <v>1</v>
      </c>
      <c r="J1953" s="105">
        <v>225</v>
      </c>
      <c r="K1953" s="21">
        <v>0</v>
      </c>
      <c r="L1953" s="111">
        <v>225</v>
      </c>
      <c r="M1953" s="4"/>
      <c r="N1953" s="4"/>
      <c r="O1953" s="5"/>
      <c r="P1953" s="5"/>
      <c r="Q1953" s="21">
        <v>225</v>
      </c>
      <c r="R1953" s="21">
        <v>0</v>
      </c>
      <c r="S1953" s="5">
        <f t="shared" si="123"/>
        <v>54387.898760151991</v>
      </c>
      <c r="T1953" cm="1">
        <f t="array" ref="T1953">IF(OR(B1953="MAL ALIMI", B1953="ÜRETİM GİRİŞ"), MIN(I1953, MAX(0, I1953 + SUM(SUMIFS($I$1:I1952, $C$1:C1952, C1953, $B$1:B1952, {"MAL ALIMI","ÜRETİM GİRİŞ"})) - VLOOKUP(C1953, 'STOK RAPORU'!$C$2:$I$1000, 4, 0))), 0)</f>
        <v>0</v>
      </c>
      <c r="U1953" s="22">
        <f t="shared" si="120"/>
        <v>0</v>
      </c>
      <c r="V1953">
        <f t="shared" si="121"/>
        <v>0</v>
      </c>
      <c r="W1953" s="22">
        <f t="shared" si="122"/>
        <v>0</v>
      </c>
    </row>
    <row r="1954" spans="1:23" hidden="1" x14ac:dyDescent="0.25">
      <c r="A1954" s="3">
        <v>45999</v>
      </c>
      <c r="B1954" s="4" t="s">
        <v>946</v>
      </c>
      <c r="C1954" s="4"/>
      <c r="D1954" s="4"/>
      <c r="E1954" s="4" t="s">
        <v>921</v>
      </c>
      <c r="F1954" s="4"/>
      <c r="G1954" s="4" t="s">
        <v>946</v>
      </c>
      <c r="H1954" s="4" t="s">
        <v>380</v>
      </c>
      <c r="I1954" s="4">
        <v>1</v>
      </c>
      <c r="J1954" s="105">
        <v>1030</v>
      </c>
      <c r="K1954" s="21">
        <v>0</v>
      </c>
      <c r="L1954" s="111">
        <v>1030</v>
      </c>
      <c r="M1954" s="4"/>
      <c r="N1954" s="4"/>
      <c r="O1954" s="5"/>
      <c r="P1954" s="5"/>
      <c r="Q1954" s="21">
        <v>1030</v>
      </c>
      <c r="R1954" s="21">
        <v>0</v>
      </c>
      <c r="S1954" s="5">
        <f t="shared" si="123"/>
        <v>55417.898760151991</v>
      </c>
      <c r="T1954" cm="1">
        <f t="array" ref="T1954">IF(OR(B1954="MAL ALIMI", B1954="ÜRETİM GİRİŞ"), MIN(I1954, MAX(0, I1954 + SUM(SUMIFS($I$1:I1953, $C$1:C1953, C1954, $B$1:B1953, {"MAL ALIMI","ÜRETİM GİRİŞ"})) - VLOOKUP(C1954, 'STOK RAPORU'!$C$2:$I$1000, 4, 0))), 0)</f>
        <v>0</v>
      </c>
      <c r="U1954" s="22">
        <f t="shared" si="120"/>
        <v>0</v>
      </c>
      <c r="V1954">
        <f t="shared" si="121"/>
        <v>0</v>
      </c>
      <c r="W1954" s="22">
        <f t="shared" si="122"/>
        <v>0</v>
      </c>
    </row>
    <row r="1955" spans="1:23" hidden="1" x14ac:dyDescent="0.25">
      <c r="A1955" s="3">
        <v>46000</v>
      </c>
      <c r="B1955" s="4" t="s">
        <v>285</v>
      </c>
      <c r="C1955" s="4"/>
      <c r="D1955" s="4" t="s">
        <v>107</v>
      </c>
      <c r="E1955" s="4" t="s">
        <v>856</v>
      </c>
      <c r="F1955" s="4">
        <v>1</v>
      </c>
      <c r="G1955" s="4" t="s">
        <v>1202</v>
      </c>
      <c r="H1955" s="4" t="s">
        <v>1329</v>
      </c>
      <c r="I1955" s="4">
        <v>1</v>
      </c>
      <c r="J1955" s="35">
        <v>300</v>
      </c>
      <c r="K1955" s="35">
        <v>0</v>
      </c>
      <c r="L1955" s="5">
        <v>300</v>
      </c>
      <c r="M1955" s="4"/>
      <c r="N1955" s="4"/>
      <c r="O1955" s="5"/>
      <c r="P1955" s="5"/>
      <c r="Q1955" s="35">
        <v>0</v>
      </c>
      <c r="R1955" s="35">
        <v>0</v>
      </c>
      <c r="S1955" s="5">
        <f t="shared" si="123"/>
        <v>55417.898760151991</v>
      </c>
      <c r="T1955" cm="1">
        <f t="array" ref="T1955">IF(OR(B1955="MAL ALIMI", B1955="ÜRETİM GİRİŞ"), MIN(I1955, MAX(0, I1955 + SUM(SUMIFS($I$1:I1954, $C$1:C1954, C1955, $B$1:B1954, {"MAL ALIMI","ÜRETİM GİRİŞ"})) - VLOOKUP(C1955, 'STOK RAPORU'!$C$2:$I$1000, 4, 0))), 0)</f>
        <v>0</v>
      </c>
      <c r="U1955" s="22">
        <f t="shared" si="120"/>
        <v>0</v>
      </c>
      <c r="V1955">
        <f t="shared" si="121"/>
        <v>0</v>
      </c>
      <c r="W1955" s="22">
        <f t="shared" si="122"/>
        <v>0</v>
      </c>
    </row>
    <row r="1956" spans="1:23" hidden="1" x14ac:dyDescent="0.25">
      <c r="A1956" s="3">
        <v>46000</v>
      </c>
      <c r="B1956" s="3" t="s">
        <v>285</v>
      </c>
      <c r="C1956" s="4"/>
      <c r="D1956" s="4" t="s">
        <v>106</v>
      </c>
      <c r="E1956" s="4" t="s">
        <v>856</v>
      </c>
      <c r="F1956" s="4">
        <v>2</v>
      </c>
      <c r="G1956" s="4" t="s">
        <v>1204</v>
      </c>
      <c r="H1956" s="4" t="s">
        <v>1329</v>
      </c>
      <c r="I1956" s="4">
        <v>1</v>
      </c>
      <c r="J1956" s="35">
        <v>1850</v>
      </c>
      <c r="K1956" s="35">
        <v>0</v>
      </c>
      <c r="L1956" s="5">
        <v>1850</v>
      </c>
      <c r="M1956" s="4"/>
      <c r="N1956" s="4"/>
      <c r="O1956" s="5"/>
      <c r="P1956" s="5"/>
      <c r="Q1956" s="35">
        <v>0</v>
      </c>
      <c r="R1956" s="35">
        <v>0</v>
      </c>
      <c r="S1956" s="5">
        <f t="shared" si="123"/>
        <v>55417.898760151991</v>
      </c>
      <c r="T1956" cm="1">
        <f t="array" ref="T1956">IF(OR(B1956="MAL ALIMI", B1956="ÜRETİM GİRİŞ"), MIN(I1956, MAX(0, I1956 + SUM(SUMIFS($I$1:I1955, $C$1:C1955, C1956, $B$1:B1955, {"MAL ALIMI","ÜRETİM GİRİŞ"})) - VLOOKUP(C1956, 'STOK RAPORU'!$C$2:$I$1000, 4, 0))), 0)</f>
        <v>0</v>
      </c>
      <c r="U1956" s="22">
        <f t="shared" si="120"/>
        <v>0</v>
      </c>
      <c r="V1956">
        <f t="shared" si="121"/>
        <v>0</v>
      </c>
      <c r="W1956" s="22">
        <f t="shared" si="122"/>
        <v>0</v>
      </c>
    </row>
    <row r="1957" spans="1:23" hidden="1" x14ac:dyDescent="0.25">
      <c r="A1957" s="3">
        <v>46000</v>
      </c>
      <c r="B1957" s="4" t="s">
        <v>334</v>
      </c>
      <c r="C1957" s="4" t="s">
        <v>187</v>
      </c>
      <c r="D1957" s="4"/>
      <c r="E1957" s="4" t="s">
        <v>921</v>
      </c>
      <c r="F1957" s="4" t="s">
        <v>1185</v>
      </c>
      <c r="G1957" s="4" t="s">
        <v>336</v>
      </c>
      <c r="H1957" s="4" t="s">
        <v>380</v>
      </c>
      <c r="I1957" s="4">
        <v>1</v>
      </c>
      <c r="J1957" s="21">
        <v>60</v>
      </c>
      <c r="K1957" s="21">
        <v>60</v>
      </c>
      <c r="L1957" s="5">
        <v>0</v>
      </c>
      <c r="M1957" s="4"/>
      <c r="N1957" s="4"/>
      <c r="O1957" s="5"/>
      <c r="P1957" s="5"/>
      <c r="Q1957" s="21">
        <v>0</v>
      </c>
      <c r="R1957" s="21">
        <v>0</v>
      </c>
      <c r="S1957" s="5">
        <f t="shared" si="123"/>
        <v>55417.898760151991</v>
      </c>
      <c r="T1957" cm="1">
        <f t="array" ref="T1957">IF(OR(B1957="MAL ALIMI", B1957="ÜRETİM GİRİŞ"), MIN(I1957, MAX(0, I1957 + SUM(SUMIFS($I$1:I1956, $C$1:C1956, C1957, $B$1:B1956, {"MAL ALIMI","ÜRETİM GİRİŞ"})) - VLOOKUP(C1957, 'STOK RAPORU'!$C$2:$I$1000, 4, 0))), 0)</f>
        <v>0</v>
      </c>
      <c r="U1957" s="22">
        <f t="shared" si="120"/>
        <v>0</v>
      </c>
      <c r="V1957">
        <f t="shared" si="121"/>
        <v>0</v>
      </c>
      <c r="W1957" s="22">
        <f t="shared" si="122"/>
        <v>0</v>
      </c>
    </row>
    <row r="1958" spans="1:23" hidden="1" x14ac:dyDescent="0.25">
      <c r="A1958" s="3">
        <v>46000</v>
      </c>
      <c r="B1958" s="4" t="s">
        <v>334</v>
      </c>
      <c r="C1958" s="4" t="s">
        <v>158</v>
      </c>
      <c r="D1958" s="4"/>
      <c r="E1958" s="4"/>
      <c r="F1958" s="4" t="s">
        <v>1186</v>
      </c>
      <c r="G1958" s="4" t="s">
        <v>336</v>
      </c>
      <c r="H1958" s="4" t="s">
        <v>289</v>
      </c>
      <c r="I1958" s="4">
        <v>1</v>
      </c>
      <c r="J1958" s="21">
        <v>130</v>
      </c>
      <c r="K1958" s="21">
        <v>0</v>
      </c>
      <c r="L1958" s="5">
        <v>0</v>
      </c>
      <c r="M1958" s="4"/>
      <c r="N1958" s="4"/>
      <c r="O1958" s="5"/>
      <c r="P1958" s="5"/>
      <c r="Q1958" s="21">
        <v>130</v>
      </c>
      <c r="R1958" s="21">
        <v>0</v>
      </c>
      <c r="S1958" s="5">
        <f t="shared" si="123"/>
        <v>55547.898760151991</v>
      </c>
      <c r="T1958" cm="1">
        <f t="array" ref="T1958">IF(OR(B1958="MAL ALIMI", B1958="ÜRETİM GİRİŞ"), MIN(I1958, MAX(0, I1958 + SUM(SUMIFS($I$1:I1957, $C$1:C1957, C1958, $B$1:B1957, {"MAL ALIMI","ÜRETİM GİRİŞ"})) - VLOOKUP(C1958, 'STOK RAPORU'!$C$2:$I$1000, 4, 0))), 0)</f>
        <v>0</v>
      </c>
      <c r="U1958" s="22">
        <f t="shared" si="120"/>
        <v>0</v>
      </c>
      <c r="V1958">
        <f t="shared" si="121"/>
        <v>0</v>
      </c>
      <c r="W1958" s="22">
        <f t="shared" si="122"/>
        <v>0</v>
      </c>
    </row>
    <row r="1959" spans="1:23" hidden="1" x14ac:dyDescent="0.25">
      <c r="A1959" s="3">
        <v>46000</v>
      </c>
      <c r="B1959" s="4" t="s">
        <v>334</v>
      </c>
      <c r="C1959" s="4" t="s">
        <v>469</v>
      </c>
      <c r="D1959" s="4"/>
      <c r="E1959" s="4"/>
      <c r="F1959" s="4" t="s">
        <v>1187</v>
      </c>
      <c r="G1959" s="4" t="s">
        <v>336</v>
      </c>
      <c r="H1959" s="4" t="s">
        <v>289</v>
      </c>
      <c r="I1959" s="4">
        <v>1</v>
      </c>
      <c r="J1959" s="21">
        <v>40</v>
      </c>
      <c r="K1959" s="21">
        <v>0</v>
      </c>
      <c r="L1959" s="5">
        <v>0</v>
      </c>
      <c r="M1959" s="4"/>
      <c r="N1959" s="4"/>
      <c r="O1959" s="5"/>
      <c r="P1959" s="5"/>
      <c r="Q1959" s="21">
        <v>40</v>
      </c>
      <c r="R1959" s="21">
        <v>0</v>
      </c>
      <c r="S1959" s="5">
        <f t="shared" si="123"/>
        <v>55587.898760151991</v>
      </c>
      <c r="T1959" cm="1">
        <f t="array" ref="T1959">IF(OR(B1959="MAL ALIMI", B1959="ÜRETİM GİRİŞ"), MIN(I1959, MAX(0, I1959 + SUM(SUMIFS($I$1:I1958, $C$1:C1958, C1959, $B$1:B1958, {"MAL ALIMI","ÜRETİM GİRİŞ"})) - VLOOKUP(C1959, 'STOK RAPORU'!$C$2:$I$1000, 4, 0))), 0)</f>
        <v>0</v>
      </c>
      <c r="U1959" s="22">
        <f t="shared" si="120"/>
        <v>0</v>
      </c>
      <c r="V1959">
        <f t="shared" si="121"/>
        <v>0</v>
      </c>
      <c r="W1959" s="22">
        <f t="shared" si="122"/>
        <v>0</v>
      </c>
    </row>
    <row r="1960" spans="1:23" hidden="1" x14ac:dyDescent="0.25">
      <c r="A1960" s="3">
        <v>46000</v>
      </c>
      <c r="B1960" s="4" t="s">
        <v>334</v>
      </c>
      <c r="C1960" s="4" t="s">
        <v>470</v>
      </c>
      <c r="D1960" s="4"/>
      <c r="E1960" s="4"/>
      <c r="F1960" s="4" t="s">
        <v>1187</v>
      </c>
      <c r="G1960" s="4" t="s">
        <v>336</v>
      </c>
      <c r="H1960" s="4" t="s">
        <v>289</v>
      </c>
      <c r="I1960" s="4">
        <v>1</v>
      </c>
      <c r="J1960" s="21">
        <v>40</v>
      </c>
      <c r="K1960" s="21">
        <v>0</v>
      </c>
      <c r="L1960" s="5">
        <v>0</v>
      </c>
      <c r="M1960" s="4"/>
      <c r="N1960" s="4"/>
      <c r="O1960" s="5"/>
      <c r="P1960" s="5"/>
      <c r="Q1960" s="21">
        <v>40</v>
      </c>
      <c r="R1960" s="21">
        <v>0</v>
      </c>
      <c r="S1960" s="5">
        <f t="shared" si="123"/>
        <v>55627.898760151991</v>
      </c>
      <c r="T1960" cm="1">
        <f t="array" ref="T1960">IF(OR(B1960="MAL ALIMI", B1960="ÜRETİM GİRİŞ"), MIN(I1960, MAX(0, I1960 + SUM(SUMIFS($I$1:I1959, $C$1:C1959, C1960, $B$1:B1959, {"MAL ALIMI","ÜRETİM GİRİŞ"})) - VLOOKUP(C1960, 'STOK RAPORU'!$C$2:$I$1000, 4, 0))), 0)</f>
        <v>0</v>
      </c>
      <c r="U1960" s="22">
        <f t="shared" si="120"/>
        <v>0</v>
      </c>
      <c r="V1960">
        <f t="shared" si="121"/>
        <v>0</v>
      </c>
      <c r="W1960" s="22">
        <f t="shared" si="122"/>
        <v>0</v>
      </c>
    </row>
    <row r="1961" spans="1:23" hidden="1" x14ac:dyDescent="0.25">
      <c r="A1961" s="3">
        <v>46000</v>
      </c>
      <c r="B1961" s="4" t="s">
        <v>334</v>
      </c>
      <c r="C1961" s="4" t="s">
        <v>835</v>
      </c>
      <c r="D1961" s="4"/>
      <c r="E1961" s="4"/>
      <c r="F1961" s="4" t="s">
        <v>1187</v>
      </c>
      <c r="G1961" s="4" t="s">
        <v>336</v>
      </c>
      <c r="H1961" s="4" t="s">
        <v>289</v>
      </c>
      <c r="I1961" s="4">
        <v>1</v>
      </c>
      <c r="J1961" s="21">
        <v>130</v>
      </c>
      <c r="K1961" s="21">
        <v>0</v>
      </c>
      <c r="L1961" s="5">
        <v>0</v>
      </c>
      <c r="M1961" s="4"/>
      <c r="N1961" s="4"/>
      <c r="O1961" s="5"/>
      <c r="P1961" s="5"/>
      <c r="Q1961" s="21">
        <v>130</v>
      </c>
      <c r="R1961" s="21">
        <v>0</v>
      </c>
      <c r="S1961" s="5">
        <f t="shared" si="123"/>
        <v>55757.898760151991</v>
      </c>
      <c r="T1961" cm="1">
        <f t="array" ref="T1961">IF(OR(B1961="MAL ALIMI", B1961="ÜRETİM GİRİŞ"), MIN(I1961, MAX(0, I1961 + SUM(SUMIFS($I$1:I1960, $C$1:C1960, C1961, $B$1:B1960, {"MAL ALIMI","ÜRETİM GİRİŞ"})) - VLOOKUP(C1961, 'STOK RAPORU'!$C$2:$I$1000, 4, 0))), 0)</f>
        <v>0</v>
      </c>
      <c r="U1961" s="22">
        <f t="shared" si="120"/>
        <v>0</v>
      </c>
      <c r="V1961">
        <f t="shared" si="121"/>
        <v>0</v>
      </c>
      <c r="W1961" s="22">
        <f t="shared" si="122"/>
        <v>0</v>
      </c>
    </row>
    <row r="1962" spans="1:23" hidden="1" x14ac:dyDescent="0.25">
      <c r="A1962" s="3">
        <v>46000</v>
      </c>
      <c r="B1962" s="4" t="s">
        <v>334</v>
      </c>
      <c r="C1962" s="4" t="s">
        <v>202</v>
      </c>
      <c r="D1962" s="4"/>
      <c r="E1962" s="4"/>
      <c r="F1962" s="4" t="s">
        <v>1187</v>
      </c>
      <c r="G1962" s="4" t="s">
        <v>336</v>
      </c>
      <c r="H1962" s="4" t="s">
        <v>289</v>
      </c>
      <c r="I1962" s="4">
        <v>1</v>
      </c>
      <c r="J1962" s="21">
        <v>40</v>
      </c>
      <c r="K1962" s="21">
        <v>0</v>
      </c>
      <c r="L1962" s="5">
        <v>0</v>
      </c>
      <c r="M1962" s="4"/>
      <c r="N1962" s="4"/>
      <c r="O1962" s="5"/>
      <c r="P1962" s="5"/>
      <c r="Q1962" s="21">
        <v>40</v>
      </c>
      <c r="R1962" s="21">
        <v>0</v>
      </c>
      <c r="S1962" s="5">
        <f t="shared" si="123"/>
        <v>55797.898760151991</v>
      </c>
      <c r="T1962" cm="1">
        <f t="array" ref="T1962">IF(OR(B1962="MAL ALIMI", B1962="ÜRETİM GİRİŞ"), MIN(I1962, MAX(0, I1962 + SUM(SUMIFS($I$1:I1961, $C$1:C1961, C1962, $B$1:B1961, {"MAL ALIMI","ÜRETİM GİRİŞ"})) - VLOOKUP(C1962, 'STOK RAPORU'!$C$2:$I$1000, 4, 0))), 0)</f>
        <v>0</v>
      </c>
      <c r="U1962" s="22">
        <f t="shared" si="120"/>
        <v>0</v>
      </c>
      <c r="V1962">
        <f t="shared" si="121"/>
        <v>0</v>
      </c>
      <c r="W1962" s="22">
        <f t="shared" si="122"/>
        <v>0</v>
      </c>
    </row>
    <row r="1963" spans="1:23" hidden="1" x14ac:dyDescent="0.25">
      <c r="A1963" s="3">
        <v>46000</v>
      </c>
      <c r="B1963" s="4" t="s">
        <v>334</v>
      </c>
      <c r="C1963" s="4" t="s">
        <v>98</v>
      </c>
      <c r="D1963" s="4"/>
      <c r="E1963" s="4"/>
      <c r="F1963" s="4" t="s">
        <v>1188</v>
      </c>
      <c r="G1963" s="4" t="s">
        <v>336</v>
      </c>
      <c r="H1963" s="4" t="s">
        <v>289</v>
      </c>
      <c r="I1963" s="4">
        <v>0.1388888888888889</v>
      </c>
      <c r="J1963" s="21">
        <v>360</v>
      </c>
      <c r="K1963" s="21">
        <v>0</v>
      </c>
      <c r="L1963" s="5">
        <v>0</v>
      </c>
      <c r="M1963" s="4"/>
      <c r="N1963" s="4"/>
      <c r="O1963" s="5"/>
      <c r="P1963" s="5"/>
      <c r="Q1963" s="21">
        <v>50</v>
      </c>
      <c r="R1963" s="21">
        <v>0</v>
      </c>
      <c r="S1963" s="5">
        <f t="shared" si="123"/>
        <v>55847.898760151991</v>
      </c>
      <c r="T1963" cm="1">
        <f t="array" ref="T1963">IF(OR(B1963="MAL ALIMI", B1963="ÜRETİM GİRİŞ"), MIN(I1963, MAX(0, I1963 + SUM(SUMIFS($I$1:I1962, $C$1:C1962, C1963, $B$1:B1962, {"MAL ALIMI","ÜRETİM GİRİŞ"})) - VLOOKUP(C1963, 'STOK RAPORU'!$C$2:$I$1000, 4, 0))), 0)</f>
        <v>0</v>
      </c>
      <c r="U1963" s="22">
        <f t="shared" si="120"/>
        <v>0</v>
      </c>
      <c r="V1963">
        <f t="shared" si="121"/>
        <v>0</v>
      </c>
      <c r="W1963" s="22">
        <f t="shared" si="122"/>
        <v>0</v>
      </c>
    </row>
    <row r="1964" spans="1:23" hidden="1" x14ac:dyDescent="0.25">
      <c r="A1964" s="3">
        <v>46000</v>
      </c>
      <c r="B1964" s="4" t="s">
        <v>334</v>
      </c>
      <c r="C1964" s="4" t="s">
        <v>465</v>
      </c>
      <c r="D1964" s="4"/>
      <c r="E1964" s="4"/>
      <c r="F1964" s="4" t="s">
        <v>1189</v>
      </c>
      <c r="G1964" s="4" t="s">
        <v>336</v>
      </c>
      <c r="H1964" s="4" t="s">
        <v>289</v>
      </c>
      <c r="I1964" s="4">
        <v>1</v>
      </c>
      <c r="J1964" s="21">
        <v>40</v>
      </c>
      <c r="K1964" s="21">
        <v>0</v>
      </c>
      <c r="L1964" s="5">
        <v>0</v>
      </c>
      <c r="M1964" s="4"/>
      <c r="N1964" s="4"/>
      <c r="O1964" s="5"/>
      <c r="P1964" s="5"/>
      <c r="Q1964" s="21">
        <v>40</v>
      </c>
      <c r="R1964" s="21">
        <v>0</v>
      </c>
      <c r="S1964" s="5">
        <f t="shared" si="123"/>
        <v>55887.898760151991</v>
      </c>
      <c r="T1964" cm="1">
        <f t="array" ref="T1964">IF(OR(B1964="MAL ALIMI", B1964="ÜRETİM GİRİŞ"), MIN(I1964, MAX(0, I1964 + SUM(SUMIFS($I$1:I1963, $C$1:C1963, C1964, $B$1:B1963, {"MAL ALIMI","ÜRETİM GİRİŞ"})) - VLOOKUP(C1964, 'STOK RAPORU'!$C$2:$I$1000, 4, 0))), 0)</f>
        <v>0</v>
      </c>
      <c r="U1964" s="22">
        <f t="shared" si="120"/>
        <v>0</v>
      </c>
      <c r="V1964">
        <f t="shared" si="121"/>
        <v>0</v>
      </c>
      <c r="W1964" s="22">
        <f t="shared" si="122"/>
        <v>0</v>
      </c>
    </row>
    <row r="1965" spans="1:23" hidden="1" x14ac:dyDescent="0.25">
      <c r="A1965" s="3">
        <v>46000</v>
      </c>
      <c r="B1965" s="4" t="s">
        <v>334</v>
      </c>
      <c r="C1965" s="4" t="s">
        <v>209</v>
      </c>
      <c r="D1965" s="4"/>
      <c r="E1965" s="4" t="s">
        <v>921</v>
      </c>
      <c r="F1965" s="4" t="s">
        <v>1190</v>
      </c>
      <c r="G1965" s="4" t="s">
        <v>336</v>
      </c>
      <c r="H1965" s="4" t="s">
        <v>380</v>
      </c>
      <c r="I1965" s="4">
        <v>0.05</v>
      </c>
      <c r="J1965" s="21">
        <v>2600</v>
      </c>
      <c r="K1965" s="21">
        <v>130</v>
      </c>
      <c r="L1965" s="5">
        <v>0</v>
      </c>
      <c r="M1965" s="4"/>
      <c r="N1965" s="4"/>
      <c r="O1965" s="5"/>
      <c r="P1965" s="5"/>
      <c r="Q1965" s="21">
        <v>0</v>
      </c>
      <c r="R1965" s="21">
        <v>0</v>
      </c>
      <c r="S1965" s="5">
        <f t="shared" si="123"/>
        <v>55887.898760151991</v>
      </c>
      <c r="T1965" cm="1">
        <f t="array" ref="T1965">IF(OR(B1965="MAL ALIMI", B1965="ÜRETİM GİRİŞ"), MIN(I1965, MAX(0, I1965 + SUM(SUMIFS($I$1:I1964, $C$1:C1964, C1965, $B$1:B1964, {"MAL ALIMI","ÜRETİM GİRİŞ"})) - VLOOKUP(C1965, 'STOK RAPORU'!$C$2:$I$1000, 4, 0))), 0)</f>
        <v>0</v>
      </c>
      <c r="U1965" s="22">
        <f t="shared" si="120"/>
        <v>0</v>
      </c>
      <c r="V1965">
        <f t="shared" si="121"/>
        <v>0</v>
      </c>
      <c r="W1965" s="22">
        <f t="shared" si="122"/>
        <v>0</v>
      </c>
    </row>
    <row r="1966" spans="1:23" hidden="1" x14ac:dyDescent="0.25">
      <c r="A1966" s="3">
        <v>46000</v>
      </c>
      <c r="B1966" s="4" t="s">
        <v>334</v>
      </c>
      <c r="C1966" s="4" t="s">
        <v>160</v>
      </c>
      <c r="D1966" s="4"/>
      <c r="E1966" s="4" t="s">
        <v>921</v>
      </c>
      <c r="F1966" s="4" t="s">
        <v>1191</v>
      </c>
      <c r="G1966" s="4" t="s">
        <v>336</v>
      </c>
      <c r="H1966" s="4" t="s">
        <v>380</v>
      </c>
      <c r="I1966" s="4">
        <v>1</v>
      </c>
      <c r="J1966" s="21">
        <v>240</v>
      </c>
      <c r="K1966" s="21">
        <v>240</v>
      </c>
      <c r="L1966" s="5">
        <v>0</v>
      </c>
      <c r="M1966" s="4"/>
      <c r="N1966" s="4"/>
      <c r="O1966" s="5"/>
      <c r="P1966" s="5"/>
      <c r="Q1966" s="21">
        <v>0</v>
      </c>
      <c r="R1966" s="21">
        <v>0</v>
      </c>
      <c r="S1966" s="5">
        <f t="shared" si="123"/>
        <v>55887.898760151991</v>
      </c>
      <c r="T1966" cm="1">
        <f t="array" ref="T1966">IF(OR(B1966="MAL ALIMI", B1966="ÜRETİM GİRİŞ"), MIN(I1966, MAX(0, I1966 + SUM(SUMIFS($I$1:I1965, $C$1:C1965, C1966, $B$1:B1965, {"MAL ALIMI","ÜRETİM GİRİŞ"})) - VLOOKUP(C1966, 'STOK RAPORU'!$C$2:$I$1000, 4, 0))), 0)</f>
        <v>0</v>
      </c>
      <c r="U1966" s="22">
        <f t="shared" si="120"/>
        <v>0</v>
      </c>
      <c r="V1966">
        <f t="shared" si="121"/>
        <v>0</v>
      </c>
      <c r="W1966" s="22">
        <f t="shared" si="122"/>
        <v>0</v>
      </c>
    </row>
    <row r="1967" spans="1:23" hidden="1" x14ac:dyDescent="0.25">
      <c r="A1967" s="3">
        <v>46000</v>
      </c>
      <c r="B1967" s="4" t="s">
        <v>334</v>
      </c>
      <c r="C1967" s="4" t="s">
        <v>161</v>
      </c>
      <c r="D1967" s="4"/>
      <c r="E1967" s="4" t="s">
        <v>921</v>
      </c>
      <c r="F1967" s="4" t="s">
        <v>1191</v>
      </c>
      <c r="G1967" s="4" t="s">
        <v>336</v>
      </c>
      <c r="H1967" s="4" t="s">
        <v>380</v>
      </c>
      <c r="I1967" s="4">
        <v>1</v>
      </c>
      <c r="J1967" s="21">
        <v>200</v>
      </c>
      <c r="K1967" s="21">
        <v>200</v>
      </c>
      <c r="L1967" s="5">
        <v>0</v>
      </c>
      <c r="M1967" s="4"/>
      <c r="N1967" s="4"/>
      <c r="O1967" s="5"/>
      <c r="P1967" s="5"/>
      <c r="Q1967" s="21">
        <v>0</v>
      </c>
      <c r="R1967" s="21">
        <v>0</v>
      </c>
      <c r="S1967" s="5">
        <f t="shared" si="123"/>
        <v>55887.898760151991</v>
      </c>
      <c r="T1967" cm="1">
        <f t="array" ref="T1967">IF(OR(B1967="MAL ALIMI", B1967="ÜRETİM GİRİŞ"), MIN(I1967, MAX(0, I1967 + SUM(SUMIFS($I$1:I1966, $C$1:C1966, C1967, $B$1:B1966, {"MAL ALIMI","ÜRETİM GİRİŞ"})) - VLOOKUP(C1967, 'STOK RAPORU'!$C$2:$I$1000, 4, 0))), 0)</f>
        <v>0</v>
      </c>
      <c r="U1967" s="22">
        <f t="shared" si="120"/>
        <v>0</v>
      </c>
      <c r="V1967">
        <f t="shared" si="121"/>
        <v>0</v>
      </c>
      <c r="W1967" s="22">
        <f t="shared" si="122"/>
        <v>0</v>
      </c>
    </row>
    <row r="1968" spans="1:23" hidden="1" x14ac:dyDescent="0.25">
      <c r="A1968" s="3">
        <v>46000</v>
      </c>
      <c r="B1968" s="4" t="s">
        <v>334</v>
      </c>
      <c r="C1968" s="4" t="s">
        <v>1150</v>
      </c>
      <c r="D1968" s="4"/>
      <c r="E1968" s="4" t="s">
        <v>921</v>
      </c>
      <c r="F1968" s="4" t="s">
        <v>1191</v>
      </c>
      <c r="G1968" s="4" t="s">
        <v>336</v>
      </c>
      <c r="H1968" s="4" t="s">
        <v>380</v>
      </c>
      <c r="I1968" s="4">
        <v>0.126</v>
      </c>
      <c r="J1968" s="21">
        <v>540</v>
      </c>
      <c r="K1968" s="21">
        <v>68.040000000000006</v>
      </c>
      <c r="L1968" s="5">
        <v>0</v>
      </c>
      <c r="M1968" s="4"/>
      <c r="N1968" s="4"/>
      <c r="O1968" s="5"/>
      <c r="P1968" s="5"/>
      <c r="Q1968" s="21">
        <v>0</v>
      </c>
      <c r="R1968" s="21">
        <v>0</v>
      </c>
      <c r="S1968" s="5">
        <f t="shared" si="123"/>
        <v>55887.898760151991</v>
      </c>
      <c r="T1968" cm="1">
        <f t="array" ref="T1968">IF(OR(B1968="MAL ALIMI", B1968="ÜRETİM GİRİŞ"), MIN(I1968, MAX(0, I1968 + SUM(SUMIFS($I$1:I1967, $C$1:C1967, C1968, $B$1:B1967, {"MAL ALIMI","ÜRETİM GİRİŞ"})) - VLOOKUP(C1968, 'STOK RAPORU'!$C$2:$I$1000, 4, 0))), 0)</f>
        <v>0</v>
      </c>
      <c r="U1968" s="22">
        <f t="shared" si="120"/>
        <v>0</v>
      </c>
      <c r="V1968">
        <f t="shared" si="121"/>
        <v>0</v>
      </c>
      <c r="W1968" s="22">
        <f t="shared" si="122"/>
        <v>0</v>
      </c>
    </row>
    <row r="1969" spans="1:23" hidden="1" x14ac:dyDescent="0.25">
      <c r="A1969" s="3">
        <v>46000</v>
      </c>
      <c r="B1969" s="4" t="s">
        <v>334</v>
      </c>
      <c r="C1969" s="4" t="s">
        <v>840</v>
      </c>
      <c r="D1969" s="4"/>
      <c r="E1969" s="4"/>
      <c r="F1969" s="4" t="s">
        <v>1192</v>
      </c>
      <c r="G1969" s="4" t="s">
        <v>336</v>
      </c>
      <c r="H1969" s="4" t="s">
        <v>289</v>
      </c>
      <c r="I1969" s="4">
        <v>0.25</v>
      </c>
      <c r="J1969" s="21">
        <v>360</v>
      </c>
      <c r="K1969" s="21">
        <v>0</v>
      </c>
      <c r="L1969" s="5">
        <v>0</v>
      </c>
      <c r="M1969" s="4"/>
      <c r="N1969" s="4"/>
      <c r="O1969" s="5"/>
      <c r="P1969" s="5"/>
      <c r="Q1969" s="21">
        <v>90</v>
      </c>
      <c r="R1969" s="21">
        <v>0</v>
      </c>
      <c r="S1969" s="5">
        <f t="shared" si="123"/>
        <v>55977.898760151991</v>
      </c>
      <c r="T1969" cm="1">
        <f t="array" ref="T1969">IF(OR(B1969="MAL ALIMI", B1969="ÜRETİM GİRİŞ"), MIN(I1969, MAX(0, I1969 + SUM(SUMIFS($I$1:I1968, $C$1:C1968, C1969, $B$1:B1968, {"MAL ALIMI","ÜRETİM GİRİŞ"})) - VLOOKUP(C1969, 'STOK RAPORU'!$C$2:$I$1000, 4, 0))), 0)</f>
        <v>0</v>
      </c>
      <c r="U1969" s="22">
        <f t="shared" si="120"/>
        <v>0</v>
      </c>
      <c r="V1969">
        <f t="shared" si="121"/>
        <v>0</v>
      </c>
      <c r="W1969" s="22">
        <f t="shared" si="122"/>
        <v>0</v>
      </c>
    </row>
    <row r="1970" spans="1:23" hidden="1" x14ac:dyDescent="0.25">
      <c r="A1970" s="3">
        <v>46000</v>
      </c>
      <c r="B1970" s="4" t="s">
        <v>334</v>
      </c>
      <c r="C1970" s="4" t="s">
        <v>241</v>
      </c>
      <c r="D1970" s="4"/>
      <c r="E1970" s="4"/>
      <c r="F1970" s="4" t="s">
        <v>1193</v>
      </c>
      <c r="G1970" s="4" t="s">
        <v>336</v>
      </c>
      <c r="H1970" s="4" t="s">
        <v>289</v>
      </c>
      <c r="I1970" s="4">
        <v>0.27777777777777779</v>
      </c>
      <c r="J1970" s="21">
        <v>360</v>
      </c>
      <c r="K1970" s="21">
        <v>0</v>
      </c>
      <c r="L1970" s="5">
        <v>0</v>
      </c>
      <c r="M1970" s="4"/>
      <c r="N1970" s="4"/>
      <c r="O1970" s="5"/>
      <c r="P1970" s="5"/>
      <c r="Q1970" s="21">
        <v>100</v>
      </c>
      <c r="R1970" s="21">
        <v>0</v>
      </c>
      <c r="S1970" s="5">
        <f t="shared" si="123"/>
        <v>56077.898760151991</v>
      </c>
      <c r="T1970" cm="1">
        <f t="array" ref="T1970">IF(OR(B1970="MAL ALIMI", B1970="ÜRETİM GİRİŞ"), MIN(I1970, MAX(0, I1970 + SUM(SUMIFS($I$1:I1969, $C$1:C1969, C1970, $B$1:B1969, {"MAL ALIMI","ÜRETİM GİRİŞ"})) - VLOOKUP(C1970, 'STOK RAPORU'!$C$2:$I$1000, 4, 0))), 0)</f>
        <v>0</v>
      </c>
      <c r="U1970" s="22">
        <f t="shared" si="120"/>
        <v>0</v>
      </c>
      <c r="V1970">
        <f t="shared" si="121"/>
        <v>0</v>
      </c>
      <c r="W1970" s="22">
        <f t="shared" si="122"/>
        <v>0</v>
      </c>
    </row>
    <row r="1971" spans="1:23" hidden="1" x14ac:dyDescent="0.25">
      <c r="A1971" s="3">
        <v>46000</v>
      </c>
      <c r="B1971" s="4" t="s">
        <v>334</v>
      </c>
      <c r="C1971" s="4" t="s">
        <v>179</v>
      </c>
      <c r="D1971" s="4"/>
      <c r="E1971" s="4"/>
      <c r="F1971" s="4" t="s">
        <v>1194</v>
      </c>
      <c r="G1971" s="4" t="s">
        <v>336</v>
      </c>
      <c r="H1971" s="4" t="s">
        <v>289</v>
      </c>
      <c r="I1971" s="4">
        <v>1</v>
      </c>
      <c r="J1971" s="21">
        <v>160</v>
      </c>
      <c r="K1971" s="21">
        <v>0</v>
      </c>
      <c r="L1971" s="5">
        <v>0</v>
      </c>
      <c r="M1971" s="4"/>
      <c r="N1971" s="4"/>
      <c r="O1971" s="5"/>
      <c r="P1971" s="5"/>
      <c r="Q1971" s="21">
        <v>160</v>
      </c>
      <c r="R1971" s="21">
        <v>0</v>
      </c>
      <c r="S1971" s="5">
        <f t="shared" si="123"/>
        <v>56237.898760151991</v>
      </c>
      <c r="T1971" cm="1">
        <f t="array" ref="T1971">IF(OR(B1971="MAL ALIMI", B1971="ÜRETİM GİRİŞ"), MIN(I1971, MAX(0, I1971 + SUM(SUMIFS($I$1:I1970, $C$1:C1970, C1971, $B$1:B1970, {"MAL ALIMI","ÜRETİM GİRİŞ"})) - VLOOKUP(C1971, 'STOK RAPORU'!$C$2:$I$1000, 4, 0))), 0)</f>
        <v>0</v>
      </c>
      <c r="U1971" s="22">
        <f t="shared" si="120"/>
        <v>0</v>
      </c>
      <c r="V1971">
        <f t="shared" si="121"/>
        <v>0</v>
      </c>
      <c r="W1971" s="22">
        <f t="shared" si="122"/>
        <v>0</v>
      </c>
    </row>
    <row r="1972" spans="1:23" hidden="1" x14ac:dyDescent="0.25">
      <c r="A1972" s="3">
        <v>46000</v>
      </c>
      <c r="B1972" s="4" t="s">
        <v>334</v>
      </c>
      <c r="C1972" s="4" t="s">
        <v>180</v>
      </c>
      <c r="D1972" s="4"/>
      <c r="E1972" s="4"/>
      <c r="F1972" s="4" t="s">
        <v>1194</v>
      </c>
      <c r="G1972" s="4" t="s">
        <v>336</v>
      </c>
      <c r="H1972" s="4" t="s">
        <v>289</v>
      </c>
      <c r="I1972" s="4">
        <v>1</v>
      </c>
      <c r="J1972" s="21">
        <v>170</v>
      </c>
      <c r="K1972" s="21">
        <v>0</v>
      </c>
      <c r="L1972" s="5">
        <v>0</v>
      </c>
      <c r="M1972" s="4"/>
      <c r="N1972" s="4"/>
      <c r="O1972" s="5"/>
      <c r="P1972" s="5"/>
      <c r="Q1972" s="21">
        <v>170</v>
      </c>
      <c r="R1972" s="21">
        <v>0</v>
      </c>
      <c r="S1972" s="5">
        <f t="shared" si="123"/>
        <v>56407.898760151991</v>
      </c>
      <c r="T1972" cm="1">
        <f t="array" ref="T1972">IF(OR(B1972="MAL ALIMI", B1972="ÜRETİM GİRİŞ"), MIN(I1972, MAX(0, I1972 + SUM(SUMIFS($I$1:I1971, $C$1:C1971, C1972, $B$1:B1971, {"MAL ALIMI","ÜRETİM GİRİŞ"})) - VLOOKUP(C1972, 'STOK RAPORU'!$C$2:$I$1000, 4, 0))), 0)</f>
        <v>0</v>
      </c>
      <c r="U1972" s="22">
        <f t="shared" si="120"/>
        <v>0</v>
      </c>
      <c r="V1972">
        <f t="shared" si="121"/>
        <v>0</v>
      </c>
      <c r="W1972" s="22">
        <f t="shared" si="122"/>
        <v>0</v>
      </c>
    </row>
    <row r="1973" spans="1:23" hidden="1" x14ac:dyDescent="0.25">
      <c r="A1973" s="3">
        <v>46000</v>
      </c>
      <c r="B1973" s="4" t="s">
        <v>334</v>
      </c>
      <c r="C1973" s="4" t="s">
        <v>467</v>
      </c>
      <c r="D1973" s="4"/>
      <c r="E1973" s="4"/>
      <c r="F1973" s="4" t="s">
        <v>1194</v>
      </c>
      <c r="G1973" s="4" t="s">
        <v>336</v>
      </c>
      <c r="H1973" s="4" t="s">
        <v>289</v>
      </c>
      <c r="I1973" s="4">
        <v>1</v>
      </c>
      <c r="J1973" s="21">
        <v>40</v>
      </c>
      <c r="K1973" s="21">
        <v>0</v>
      </c>
      <c r="L1973" s="5">
        <v>0</v>
      </c>
      <c r="M1973" s="4"/>
      <c r="N1973" s="4"/>
      <c r="O1973" s="5"/>
      <c r="P1973" s="5"/>
      <c r="Q1973" s="21">
        <v>40</v>
      </c>
      <c r="R1973" s="21">
        <v>0</v>
      </c>
      <c r="S1973" s="5">
        <f t="shared" si="123"/>
        <v>56447.898760151991</v>
      </c>
      <c r="T1973" cm="1">
        <f t="array" ref="T1973">IF(OR(B1973="MAL ALIMI", B1973="ÜRETİM GİRİŞ"), MIN(I1973, MAX(0, I1973 + SUM(SUMIFS($I$1:I1972, $C$1:C1972, C1973, $B$1:B1972, {"MAL ALIMI","ÜRETİM GİRİŞ"})) - VLOOKUP(C1973, 'STOK RAPORU'!$C$2:$I$1000, 4, 0))), 0)</f>
        <v>0</v>
      </c>
      <c r="U1973" s="22">
        <f t="shared" si="120"/>
        <v>0</v>
      </c>
      <c r="V1973">
        <f t="shared" si="121"/>
        <v>0</v>
      </c>
      <c r="W1973" s="22">
        <f t="shared" si="122"/>
        <v>0</v>
      </c>
    </row>
    <row r="1974" spans="1:23" hidden="1" x14ac:dyDescent="0.25">
      <c r="A1974" s="3">
        <v>46000</v>
      </c>
      <c r="B1974" s="4" t="s">
        <v>334</v>
      </c>
      <c r="C1974" s="4" t="s">
        <v>131</v>
      </c>
      <c r="D1974" s="4"/>
      <c r="E1974" s="4"/>
      <c r="F1974" s="4" t="s">
        <v>1194</v>
      </c>
      <c r="G1974" s="4" t="s">
        <v>336</v>
      </c>
      <c r="H1974" s="4" t="s">
        <v>289</v>
      </c>
      <c r="I1974" s="4">
        <v>0.15</v>
      </c>
      <c r="J1974" s="21">
        <v>400</v>
      </c>
      <c r="K1974" s="21">
        <v>0</v>
      </c>
      <c r="L1974" s="5">
        <v>0</v>
      </c>
      <c r="M1974" s="4"/>
      <c r="N1974" s="4"/>
      <c r="O1974" s="5"/>
      <c r="P1974" s="5"/>
      <c r="Q1974" s="21">
        <v>60</v>
      </c>
      <c r="R1974" s="21">
        <v>0</v>
      </c>
      <c r="S1974" s="5">
        <f t="shared" si="123"/>
        <v>56507.898760151991</v>
      </c>
      <c r="T1974" cm="1">
        <f t="array" ref="T1974">IF(OR(B1974="MAL ALIMI", B1974="ÜRETİM GİRİŞ"), MIN(I1974, MAX(0, I1974 + SUM(SUMIFS($I$1:I1973, $C$1:C1973, C1974, $B$1:B1973, {"MAL ALIMI","ÜRETİM GİRİŞ"})) - VLOOKUP(C1974, 'STOK RAPORU'!$C$2:$I$1000, 4, 0))), 0)</f>
        <v>0</v>
      </c>
      <c r="U1974" s="22">
        <f t="shared" si="120"/>
        <v>0</v>
      </c>
      <c r="V1974">
        <f t="shared" si="121"/>
        <v>0</v>
      </c>
      <c r="W1974" s="22">
        <f t="shared" si="122"/>
        <v>0</v>
      </c>
    </row>
    <row r="1975" spans="1:23" hidden="1" x14ac:dyDescent="0.25">
      <c r="A1975" s="3">
        <v>46000</v>
      </c>
      <c r="B1975" s="4" t="s">
        <v>334</v>
      </c>
      <c r="C1975" s="4" t="s">
        <v>588</v>
      </c>
      <c r="D1975" s="4"/>
      <c r="E1975" s="4"/>
      <c r="F1975" s="4" t="s">
        <v>1194</v>
      </c>
      <c r="G1975" s="4" t="s">
        <v>336</v>
      </c>
      <c r="H1975" s="4" t="s">
        <v>289</v>
      </c>
      <c r="I1975" s="4">
        <v>1</v>
      </c>
      <c r="J1975" s="21">
        <v>350</v>
      </c>
      <c r="K1975" s="21">
        <v>0</v>
      </c>
      <c r="L1975" s="5">
        <v>0</v>
      </c>
      <c r="M1975" s="4"/>
      <c r="N1975" s="4"/>
      <c r="O1975" s="5"/>
      <c r="P1975" s="5"/>
      <c r="Q1975" s="21">
        <v>350</v>
      </c>
      <c r="R1975" s="21">
        <v>0</v>
      </c>
      <c r="S1975" s="5">
        <f t="shared" si="123"/>
        <v>56857.898760151991</v>
      </c>
      <c r="T1975" cm="1">
        <f t="array" ref="T1975">IF(OR(B1975="MAL ALIMI", B1975="ÜRETİM GİRİŞ"), MIN(I1975, MAX(0, I1975 + SUM(SUMIFS($I$1:I1974, $C$1:C1974, C1975, $B$1:B1974, {"MAL ALIMI","ÜRETİM GİRİŞ"})) - VLOOKUP(C1975, 'STOK RAPORU'!$C$2:$I$1000, 4, 0))), 0)</f>
        <v>0</v>
      </c>
      <c r="U1975" s="22">
        <f t="shared" si="120"/>
        <v>0</v>
      </c>
      <c r="V1975">
        <f t="shared" si="121"/>
        <v>0</v>
      </c>
      <c r="W1975" s="22">
        <f t="shared" si="122"/>
        <v>0</v>
      </c>
    </row>
    <row r="1976" spans="1:23" hidden="1" x14ac:dyDescent="0.25">
      <c r="A1976" s="3">
        <v>46000</v>
      </c>
      <c r="B1976" s="4" t="s">
        <v>334</v>
      </c>
      <c r="C1976" s="4" t="s">
        <v>160</v>
      </c>
      <c r="D1976" s="4"/>
      <c r="E1976" s="4"/>
      <c r="F1976" s="4" t="s">
        <v>1195</v>
      </c>
      <c r="G1976" s="4" t="s">
        <v>336</v>
      </c>
      <c r="H1976" s="4" t="s">
        <v>289</v>
      </c>
      <c r="I1976" s="4">
        <v>3</v>
      </c>
      <c r="J1976" s="21">
        <v>240</v>
      </c>
      <c r="K1976" s="21">
        <v>0</v>
      </c>
      <c r="L1976" s="5">
        <v>0</v>
      </c>
      <c r="M1976" s="4"/>
      <c r="N1976" s="4"/>
      <c r="O1976" s="5"/>
      <c r="P1976" s="5"/>
      <c r="Q1976" s="21">
        <v>720</v>
      </c>
      <c r="R1976" s="21">
        <v>0</v>
      </c>
      <c r="S1976" s="5">
        <f t="shared" si="123"/>
        <v>57577.898760151991</v>
      </c>
      <c r="T1976" cm="1">
        <f t="array" ref="T1976">IF(OR(B1976="MAL ALIMI", B1976="ÜRETİM GİRİŞ"), MIN(I1976, MAX(0, I1976 + SUM(SUMIFS($I$1:I1975, $C$1:C1975, C1976, $B$1:B1975, {"MAL ALIMI","ÜRETİM GİRİŞ"})) - VLOOKUP(C1976, 'STOK RAPORU'!$C$2:$I$1000, 4, 0))), 0)</f>
        <v>0</v>
      </c>
      <c r="U1976" s="22">
        <f t="shared" si="120"/>
        <v>0</v>
      </c>
      <c r="V1976">
        <f t="shared" si="121"/>
        <v>0</v>
      </c>
      <c r="W1976" s="22">
        <f t="shared" si="122"/>
        <v>0</v>
      </c>
    </row>
    <row r="1977" spans="1:23" hidden="1" x14ac:dyDescent="0.25">
      <c r="A1977" s="3">
        <v>46000</v>
      </c>
      <c r="B1977" s="4" t="s">
        <v>334</v>
      </c>
      <c r="C1977" s="4" t="s">
        <v>161</v>
      </c>
      <c r="D1977" s="4"/>
      <c r="E1977" s="4"/>
      <c r="F1977" s="4" t="s">
        <v>1195</v>
      </c>
      <c r="G1977" s="4" t="s">
        <v>336</v>
      </c>
      <c r="H1977" s="4" t="s">
        <v>289</v>
      </c>
      <c r="I1977" s="4">
        <v>2</v>
      </c>
      <c r="J1977" s="21">
        <v>200</v>
      </c>
      <c r="K1977" s="21">
        <v>0</v>
      </c>
      <c r="L1977" s="5">
        <v>0</v>
      </c>
      <c r="M1977" s="4"/>
      <c r="N1977" s="4"/>
      <c r="O1977" s="5"/>
      <c r="P1977" s="5"/>
      <c r="Q1977" s="21">
        <v>400</v>
      </c>
      <c r="R1977" s="21">
        <v>0</v>
      </c>
      <c r="S1977" s="5">
        <f t="shared" si="123"/>
        <v>57977.898760151991</v>
      </c>
      <c r="T1977" cm="1">
        <f t="array" ref="T1977">IF(OR(B1977="MAL ALIMI", B1977="ÜRETİM GİRİŞ"), MIN(I1977, MAX(0, I1977 + SUM(SUMIFS($I$1:I1976, $C$1:C1976, C1977, $B$1:B1976, {"MAL ALIMI","ÜRETİM GİRİŞ"})) - VLOOKUP(C1977, 'STOK RAPORU'!$C$2:$I$1000, 4, 0))), 0)</f>
        <v>0</v>
      </c>
      <c r="U1977" s="22">
        <f t="shared" si="120"/>
        <v>0</v>
      </c>
      <c r="V1977">
        <f t="shared" si="121"/>
        <v>0</v>
      </c>
      <c r="W1977" s="22">
        <f t="shared" si="122"/>
        <v>0</v>
      </c>
    </row>
    <row r="1978" spans="1:23" hidden="1" x14ac:dyDescent="0.25">
      <c r="A1978" s="3">
        <v>46000</v>
      </c>
      <c r="B1978" s="4" t="s">
        <v>334</v>
      </c>
      <c r="C1978" s="4" t="s">
        <v>158</v>
      </c>
      <c r="D1978" s="4"/>
      <c r="E1978" s="4"/>
      <c r="F1978" s="4" t="s">
        <v>1195</v>
      </c>
      <c r="G1978" s="4" t="s">
        <v>336</v>
      </c>
      <c r="H1978" s="4" t="s">
        <v>289</v>
      </c>
      <c r="I1978" s="4">
        <v>2</v>
      </c>
      <c r="J1978" s="21">
        <v>130</v>
      </c>
      <c r="K1978" s="21">
        <v>0</v>
      </c>
      <c r="L1978" s="5">
        <v>0</v>
      </c>
      <c r="M1978" s="4"/>
      <c r="N1978" s="4"/>
      <c r="O1978" s="5"/>
      <c r="P1978" s="5"/>
      <c r="Q1978" s="21">
        <v>260</v>
      </c>
      <c r="R1978" s="21">
        <v>0</v>
      </c>
      <c r="S1978" s="5">
        <f t="shared" si="123"/>
        <v>58237.898760151991</v>
      </c>
      <c r="T1978" cm="1">
        <f t="array" ref="T1978">IF(OR(B1978="MAL ALIMI", B1978="ÜRETİM GİRİŞ"), MIN(I1978, MAX(0, I1978 + SUM(SUMIFS($I$1:I1977, $C$1:C1977, C1978, $B$1:B1977, {"MAL ALIMI","ÜRETİM GİRİŞ"})) - VLOOKUP(C1978, 'STOK RAPORU'!$C$2:$I$1000, 4, 0))), 0)</f>
        <v>0</v>
      </c>
      <c r="U1978" s="22">
        <f t="shared" si="120"/>
        <v>0</v>
      </c>
      <c r="V1978">
        <f t="shared" si="121"/>
        <v>0</v>
      </c>
      <c r="W1978" s="22">
        <f t="shared" si="122"/>
        <v>0</v>
      </c>
    </row>
    <row r="1979" spans="1:23" hidden="1" x14ac:dyDescent="0.25">
      <c r="A1979" s="3">
        <v>46000</v>
      </c>
      <c r="B1979" s="4" t="s">
        <v>334</v>
      </c>
      <c r="C1979" s="4" t="s">
        <v>597</v>
      </c>
      <c r="D1979" s="4"/>
      <c r="E1979" s="4"/>
      <c r="F1979" s="4" t="s">
        <v>1196</v>
      </c>
      <c r="G1979" s="4" t="s">
        <v>336</v>
      </c>
      <c r="H1979" s="4" t="s">
        <v>289</v>
      </c>
      <c r="I1979" s="4">
        <v>1</v>
      </c>
      <c r="J1979" s="21">
        <v>290</v>
      </c>
      <c r="K1979" s="21">
        <v>0</v>
      </c>
      <c r="L1979" s="5">
        <v>0</v>
      </c>
      <c r="M1979" s="4"/>
      <c r="N1979" s="4"/>
      <c r="O1979" s="5"/>
      <c r="P1979" s="5"/>
      <c r="Q1979" s="21">
        <v>290</v>
      </c>
      <c r="R1979" s="21">
        <v>0</v>
      </c>
      <c r="S1979" s="5">
        <f t="shared" si="123"/>
        <v>58527.898760151991</v>
      </c>
      <c r="T1979" cm="1">
        <f t="array" ref="T1979">IF(OR(B1979="MAL ALIMI", B1979="ÜRETİM GİRİŞ"), MIN(I1979, MAX(0, I1979 + SUM(SUMIFS($I$1:I1978, $C$1:C1978, C1979, $B$1:B1978, {"MAL ALIMI","ÜRETİM GİRİŞ"})) - VLOOKUP(C1979, 'STOK RAPORU'!$C$2:$I$1000, 4, 0))), 0)</f>
        <v>0</v>
      </c>
      <c r="U1979" s="22">
        <f t="shared" si="120"/>
        <v>0</v>
      </c>
      <c r="V1979">
        <f t="shared" si="121"/>
        <v>0</v>
      </c>
      <c r="W1979" s="22">
        <f t="shared" si="122"/>
        <v>0</v>
      </c>
    </row>
    <row r="1980" spans="1:23" hidden="1" x14ac:dyDescent="0.25">
      <c r="A1980" s="3">
        <v>46000</v>
      </c>
      <c r="B1980" s="4" t="s">
        <v>334</v>
      </c>
      <c r="C1980" s="4" t="s">
        <v>156</v>
      </c>
      <c r="D1980" s="4"/>
      <c r="E1980" s="4"/>
      <c r="F1980" s="4" t="s">
        <v>1196</v>
      </c>
      <c r="G1980" s="4" t="s">
        <v>336</v>
      </c>
      <c r="H1980" s="4" t="s">
        <v>289</v>
      </c>
      <c r="I1980" s="4">
        <v>0.5</v>
      </c>
      <c r="J1980" s="21">
        <v>200</v>
      </c>
      <c r="K1980" s="21">
        <v>0</v>
      </c>
      <c r="L1980" s="5">
        <v>0</v>
      </c>
      <c r="M1980" s="4"/>
      <c r="N1980" s="4"/>
      <c r="O1980" s="5"/>
      <c r="P1980" s="5"/>
      <c r="Q1980" s="21">
        <v>100</v>
      </c>
      <c r="R1980" s="21">
        <v>0</v>
      </c>
      <c r="S1980" s="5">
        <f t="shared" si="123"/>
        <v>58627.898760151991</v>
      </c>
      <c r="T1980" cm="1">
        <f t="array" ref="T1980">IF(OR(B1980="MAL ALIMI", B1980="ÜRETİM GİRİŞ"), MIN(I1980, MAX(0, I1980 + SUM(SUMIFS($I$1:I1979, $C$1:C1979, C1980, $B$1:B1979, {"MAL ALIMI","ÜRETİM GİRİŞ"})) - VLOOKUP(C1980, 'STOK RAPORU'!$C$2:$I$1000, 4, 0))), 0)</f>
        <v>0</v>
      </c>
      <c r="U1980" s="22">
        <f t="shared" si="120"/>
        <v>0</v>
      </c>
      <c r="V1980">
        <f t="shared" si="121"/>
        <v>0</v>
      </c>
      <c r="W1980" s="22">
        <f t="shared" si="122"/>
        <v>0</v>
      </c>
    </row>
    <row r="1981" spans="1:23" hidden="1" x14ac:dyDescent="0.25">
      <c r="A1981" s="3">
        <v>46000</v>
      </c>
      <c r="B1981" s="4" t="s">
        <v>334</v>
      </c>
      <c r="C1981" s="4" t="s">
        <v>158</v>
      </c>
      <c r="D1981" s="4"/>
      <c r="E1981" s="4"/>
      <c r="F1981" s="4" t="s">
        <v>1197</v>
      </c>
      <c r="G1981" s="4" t="s">
        <v>336</v>
      </c>
      <c r="H1981" s="4" t="s">
        <v>289</v>
      </c>
      <c r="I1981" s="4">
        <v>5</v>
      </c>
      <c r="J1981" s="21">
        <v>150</v>
      </c>
      <c r="K1981" s="21">
        <v>0</v>
      </c>
      <c r="L1981" s="5">
        <v>0</v>
      </c>
      <c r="M1981" s="4"/>
      <c r="N1981" s="4"/>
      <c r="O1981" s="5"/>
      <c r="P1981" s="5"/>
      <c r="Q1981" s="21">
        <v>750</v>
      </c>
      <c r="R1981" s="21">
        <v>0</v>
      </c>
      <c r="S1981" s="5">
        <f t="shared" si="123"/>
        <v>59377.898760151991</v>
      </c>
      <c r="T1981" cm="1">
        <f t="array" ref="T1981">IF(OR(B1981="MAL ALIMI", B1981="ÜRETİM GİRİŞ"), MIN(I1981, MAX(0, I1981 + SUM(SUMIFS($I$1:I1980, $C$1:C1980, C1981, $B$1:B1980, {"MAL ALIMI","ÜRETİM GİRİŞ"})) - VLOOKUP(C1981, 'STOK RAPORU'!$C$2:$I$1000, 4, 0))), 0)</f>
        <v>0</v>
      </c>
      <c r="U1981" s="22">
        <f t="shared" si="120"/>
        <v>0</v>
      </c>
      <c r="V1981">
        <f t="shared" si="121"/>
        <v>0</v>
      </c>
      <c r="W1981" s="22">
        <f t="shared" si="122"/>
        <v>0</v>
      </c>
    </row>
    <row r="1982" spans="1:23" hidden="1" x14ac:dyDescent="0.25">
      <c r="A1982" s="3">
        <v>46000</v>
      </c>
      <c r="B1982" s="4" t="s">
        <v>334</v>
      </c>
      <c r="C1982" s="4" t="s">
        <v>1041</v>
      </c>
      <c r="D1982" s="4"/>
      <c r="E1982" s="4"/>
      <c r="F1982" s="4" t="s">
        <v>1197</v>
      </c>
      <c r="G1982" s="4" t="s">
        <v>336</v>
      </c>
      <c r="H1982" s="4" t="s">
        <v>289</v>
      </c>
      <c r="I1982" s="4">
        <v>2</v>
      </c>
      <c r="J1982" s="21">
        <v>300</v>
      </c>
      <c r="K1982" s="21">
        <v>0</v>
      </c>
      <c r="L1982" s="5">
        <v>0</v>
      </c>
      <c r="M1982" s="4"/>
      <c r="N1982" s="4"/>
      <c r="O1982" s="5"/>
      <c r="P1982" s="5"/>
      <c r="Q1982" s="21">
        <v>600</v>
      </c>
      <c r="R1982" s="21">
        <v>0</v>
      </c>
      <c r="S1982" s="5">
        <f t="shared" si="123"/>
        <v>59977.898760151991</v>
      </c>
      <c r="T1982" cm="1">
        <f t="array" ref="T1982">IF(OR(B1982="MAL ALIMI", B1982="ÜRETİM GİRİŞ"), MIN(I1982, MAX(0, I1982 + SUM(SUMIFS($I$1:I1981, $C$1:C1981, C1982, $B$1:B1981, {"MAL ALIMI","ÜRETİM GİRİŞ"})) - VLOOKUP(C1982, 'STOK RAPORU'!$C$2:$I$1000, 4, 0))), 0)</f>
        <v>0</v>
      </c>
      <c r="U1982" s="22">
        <f t="shared" si="120"/>
        <v>0</v>
      </c>
      <c r="V1982">
        <f t="shared" si="121"/>
        <v>0</v>
      </c>
      <c r="W1982" s="22">
        <f t="shared" si="122"/>
        <v>0</v>
      </c>
    </row>
    <row r="1983" spans="1:23" hidden="1" x14ac:dyDescent="0.25">
      <c r="A1983" s="3">
        <v>46000</v>
      </c>
      <c r="B1983" s="4" t="s">
        <v>334</v>
      </c>
      <c r="C1983" s="4" t="s">
        <v>168</v>
      </c>
      <c r="D1983" s="4"/>
      <c r="E1983" s="4"/>
      <c r="F1983" s="4" t="s">
        <v>1198</v>
      </c>
      <c r="G1983" s="4" t="s">
        <v>336</v>
      </c>
      <c r="H1983" s="4" t="s">
        <v>289</v>
      </c>
      <c r="I1983" s="4">
        <v>1</v>
      </c>
      <c r="J1983" s="21">
        <v>220</v>
      </c>
      <c r="K1983" s="21">
        <v>0</v>
      </c>
      <c r="L1983" s="5">
        <v>0</v>
      </c>
      <c r="M1983" s="4"/>
      <c r="N1983" s="4"/>
      <c r="O1983" s="5"/>
      <c r="P1983" s="5"/>
      <c r="Q1983" s="21">
        <v>220</v>
      </c>
      <c r="R1983" s="21">
        <v>0</v>
      </c>
      <c r="S1983" s="5">
        <f t="shared" si="123"/>
        <v>60197.898760151991</v>
      </c>
      <c r="T1983" cm="1">
        <f t="array" ref="T1983">IF(OR(B1983="MAL ALIMI", B1983="ÜRETİM GİRİŞ"), MIN(I1983, MAX(0, I1983 + SUM(SUMIFS($I$1:I1982, $C$1:C1982, C1983, $B$1:B1982, {"MAL ALIMI","ÜRETİM GİRİŞ"})) - VLOOKUP(C1983, 'STOK RAPORU'!$C$2:$I$1000, 4, 0))), 0)</f>
        <v>0</v>
      </c>
      <c r="U1983" s="22">
        <f t="shared" si="120"/>
        <v>0</v>
      </c>
      <c r="V1983">
        <f t="shared" si="121"/>
        <v>0</v>
      </c>
      <c r="W1983" s="22">
        <f t="shared" si="122"/>
        <v>0</v>
      </c>
    </row>
    <row r="1984" spans="1:23" hidden="1" x14ac:dyDescent="0.25">
      <c r="A1984" s="3">
        <v>46000</v>
      </c>
      <c r="B1984" s="4" t="s">
        <v>334</v>
      </c>
      <c r="C1984" s="4" t="s">
        <v>587</v>
      </c>
      <c r="D1984" s="4"/>
      <c r="E1984" s="4"/>
      <c r="F1984" s="4" t="s">
        <v>1198</v>
      </c>
      <c r="G1984" s="4" t="s">
        <v>336</v>
      </c>
      <c r="H1984" s="4" t="s">
        <v>289</v>
      </c>
      <c r="I1984" s="4">
        <v>1</v>
      </c>
      <c r="J1984" s="21">
        <v>150</v>
      </c>
      <c r="K1984" s="21">
        <v>0</v>
      </c>
      <c r="L1984" s="5">
        <v>0</v>
      </c>
      <c r="M1984" s="4"/>
      <c r="N1984" s="4"/>
      <c r="O1984" s="5"/>
      <c r="P1984" s="5"/>
      <c r="Q1984" s="21">
        <v>150</v>
      </c>
      <c r="R1984" s="21">
        <v>0</v>
      </c>
      <c r="S1984" s="5">
        <f t="shared" si="123"/>
        <v>60347.898760151991</v>
      </c>
      <c r="T1984" cm="1">
        <f t="array" ref="T1984">IF(OR(B1984="MAL ALIMI", B1984="ÜRETİM GİRİŞ"), MIN(I1984, MAX(0, I1984 + SUM(SUMIFS($I$1:I1983, $C$1:C1983, C1984, $B$1:B1983, {"MAL ALIMI","ÜRETİM GİRİŞ"})) - VLOOKUP(C1984, 'STOK RAPORU'!$C$2:$I$1000, 4, 0))), 0)</f>
        <v>0</v>
      </c>
      <c r="U1984" s="22">
        <f t="shared" si="120"/>
        <v>0</v>
      </c>
      <c r="V1984">
        <f t="shared" si="121"/>
        <v>0</v>
      </c>
      <c r="W1984" s="22">
        <f t="shared" si="122"/>
        <v>0</v>
      </c>
    </row>
    <row r="1985" spans="1:23" hidden="1" x14ac:dyDescent="0.25">
      <c r="A1985" s="3">
        <v>46000</v>
      </c>
      <c r="B1985" s="4" t="s">
        <v>334</v>
      </c>
      <c r="C1985" s="4" t="s">
        <v>131</v>
      </c>
      <c r="D1985" s="4"/>
      <c r="E1985" s="4"/>
      <c r="F1985" s="4" t="s">
        <v>1199</v>
      </c>
      <c r="G1985" s="4" t="s">
        <v>336</v>
      </c>
      <c r="H1985" s="4" t="s">
        <v>289</v>
      </c>
      <c r="I1985" s="4">
        <v>0.23809523809523808</v>
      </c>
      <c r="J1985" s="21">
        <v>420</v>
      </c>
      <c r="K1985" s="21">
        <v>0</v>
      </c>
      <c r="L1985" s="5">
        <v>0</v>
      </c>
      <c r="M1985" s="4"/>
      <c r="N1985" s="4"/>
      <c r="O1985" s="5"/>
      <c r="P1985" s="5"/>
      <c r="Q1985" s="21">
        <v>100</v>
      </c>
      <c r="R1985" s="21">
        <v>0</v>
      </c>
      <c r="S1985" s="5">
        <f t="shared" si="123"/>
        <v>60447.898760151991</v>
      </c>
      <c r="T1985" cm="1">
        <f t="array" ref="T1985">IF(OR(B1985="MAL ALIMI", B1985="ÜRETİM GİRİŞ"), MIN(I1985, MAX(0, I1985 + SUM(SUMIFS($I$1:I1984, $C$1:C1984, C1985, $B$1:B1984, {"MAL ALIMI","ÜRETİM GİRİŞ"})) - VLOOKUP(C1985, 'STOK RAPORU'!$C$2:$I$1000, 4, 0))), 0)</f>
        <v>0</v>
      </c>
      <c r="U1985" s="22">
        <f t="shared" si="120"/>
        <v>0</v>
      </c>
      <c r="V1985">
        <f t="shared" si="121"/>
        <v>0</v>
      </c>
      <c r="W1985" s="22">
        <f t="shared" si="122"/>
        <v>0</v>
      </c>
    </row>
    <row r="1986" spans="1:23" hidden="1" x14ac:dyDescent="0.25">
      <c r="A1986" s="3">
        <v>46000</v>
      </c>
      <c r="B1986" s="4" t="s">
        <v>334</v>
      </c>
      <c r="C1986" s="4" t="s">
        <v>587</v>
      </c>
      <c r="D1986" s="4"/>
      <c r="E1986" s="4"/>
      <c r="F1986" s="4" t="s">
        <v>1199</v>
      </c>
      <c r="G1986" s="4" t="s">
        <v>336</v>
      </c>
      <c r="H1986" s="4" t="s">
        <v>289</v>
      </c>
      <c r="I1986" s="4">
        <v>5</v>
      </c>
      <c r="J1986" s="21">
        <v>150</v>
      </c>
      <c r="K1986" s="21">
        <v>0</v>
      </c>
      <c r="L1986" s="5">
        <v>0</v>
      </c>
      <c r="M1986" s="4"/>
      <c r="N1986" s="4"/>
      <c r="O1986" s="5"/>
      <c r="P1986" s="5"/>
      <c r="Q1986" s="21">
        <v>750</v>
      </c>
      <c r="R1986" s="21">
        <v>0</v>
      </c>
      <c r="S1986" s="5">
        <f t="shared" si="123"/>
        <v>61197.898760151991</v>
      </c>
      <c r="T1986" cm="1">
        <f t="array" ref="T1986">IF(OR(B1986="MAL ALIMI", B1986="ÜRETİM GİRİŞ"), MIN(I1986, MAX(0, I1986 + SUM(SUMIFS($I$1:I1985, $C$1:C1985, C1986, $B$1:B1985, {"MAL ALIMI","ÜRETİM GİRİŞ"})) - VLOOKUP(C1986, 'STOK RAPORU'!$C$2:$I$1000, 4, 0))), 0)</f>
        <v>0</v>
      </c>
      <c r="U1986" s="22">
        <f t="shared" si="120"/>
        <v>0</v>
      </c>
      <c r="V1986">
        <f t="shared" si="121"/>
        <v>0</v>
      </c>
      <c r="W1986" s="22">
        <f t="shared" si="122"/>
        <v>0</v>
      </c>
    </row>
    <row r="1987" spans="1:23" hidden="1" x14ac:dyDescent="0.25">
      <c r="A1987" s="3">
        <v>46000</v>
      </c>
      <c r="B1987" s="4" t="s">
        <v>334</v>
      </c>
      <c r="C1987" s="4" t="s">
        <v>225</v>
      </c>
      <c r="D1987" s="4"/>
      <c r="E1987" s="4"/>
      <c r="F1987" s="4" t="s">
        <v>1199</v>
      </c>
      <c r="G1987" s="4" t="s">
        <v>336</v>
      </c>
      <c r="H1987" s="4" t="s">
        <v>289</v>
      </c>
      <c r="I1987" s="4">
        <v>0.5</v>
      </c>
      <c r="J1987" s="21">
        <v>800</v>
      </c>
      <c r="K1987" s="21">
        <v>0</v>
      </c>
      <c r="L1987" s="5">
        <v>0</v>
      </c>
      <c r="M1987" s="4"/>
      <c r="N1987" s="4"/>
      <c r="O1987" s="5"/>
      <c r="P1987" s="5"/>
      <c r="Q1987" s="21">
        <v>400</v>
      </c>
      <c r="R1987" s="21">
        <v>0</v>
      </c>
      <c r="S1987" s="5">
        <f t="shared" si="123"/>
        <v>61597.898760151991</v>
      </c>
      <c r="T1987" cm="1">
        <f t="array" ref="T1987">IF(OR(B1987="MAL ALIMI", B1987="ÜRETİM GİRİŞ"), MIN(I1987, MAX(0, I1987 + SUM(SUMIFS($I$1:I1986, $C$1:C1986, C1987, $B$1:B1986, {"MAL ALIMI","ÜRETİM GİRİŞ"})) - VLOOKUP(C1987, 'STOK RAPORU'!$C$2:$I$1000, 4, 0))), 0)</f>
        <v>0</v>
      </c>
      <c r="U1987" s="22">
        <f t="shared" ref="U1987:U2050" si="124">T1987*J1987</f>
        <v>0</v>
      </c>
      <c r="V1987">
        <f t="shared" ref="V1987:V2050" si="125">IF(OR(B1987="MAL ALIMI", B1987="ÜRETİM GİRİŞ"), I1987 * J1987, 0)</f>
        <v>0</v>
      </c>
      <c r="W1987" s="22">
        <f t="shared" ref="W1987:W2050" si="126">V1987-U1987</f>
        <v>0</v>
      </c>
    </row>
    <row r="1988" spans="1:23" hidden="1" x14ac:dyDescent="0.25">
      <c r="A1988" s="3">
        <v>46000</v>
      </c>
      <c r="B1988" s="4" t="s">
        <v>334</v>
      </c>
      <c r="C1988" s="4" t="s">
        <v>587</v>
      </c>
      <c r="D1988" s="4"/>
      <c r="E1988" s="4"/>
      <c r="F1988" s="4" t="s">
        <v>1200</v>
      </c>
      <c r="G1988" s="4" t="s">
        <v>336</v>
      </c>
      <c r="H1988" s="4" t="s">
        <v>289</v>
      </c>
      <c r="I1988" s="4">
        <v>3.3333333333333335</v>
      </c>
      <c r="J1988" s="21">
        <v>150</v>
      </c>
      <c r="K1988" s="21">
        <v>0</v>
      </c>
      <c r="L1988" s="5">
        <v>0</v>
      </c>
      <c r="M1988" s="4"/>
      <c r="N1988" s="4"/>
      <c r="O1988" s="5"/>
      <c r="P1988" s="5"/>
      <c r="Q1988" s="21">
        <v>500</v>
      </c>
      <c r="R1988" s="21">
        <v>0</v>
      </c>
      <c r="S1988" s="5">
        <f t="shared" ref="S1988:S2051" si="127">S1987+Q1988-R1988</f>
        <v>62097.898760151991</v>
      </c>
      <c r="T1988" cm="1">
        <f t="array" ref="T1988">IF(OR(B1988="MAL ALIMI", B1988="ÜRETİM GİRİŞ"), MIN(I1988, MAX(0, I1988 + SUM(SUMIFS($I$1:I1987, $C$1:C1987, C1988, $B$1:B1987, {"MAL ALIMI","ÜRETİM GİRİŞ"})) - VLOOKUP(C1988, 'STOK RAPORU'!$C$2:$I$1000, 4, 0))), 0)</f>
        <v>0</v>
      </c>
      <c r="U1988" s="22">
        <f t="shared" si="124"/>
        <v>0</v>
      </c>
      <c r="V1988">
        <f t="shared" si="125"/>
        <v>0</v>
      </c>
      <c r="W1988" s="22">
        <f t="shared" si="126"/>
        <v>0</v>
      </c>
    </row>
    <row r="1989" spans="1:23" hidden="1" x14ac:dyDescent="0.25">
      <c r="A1989" s="3">
        <v>46000</v>
      </c>
      <c r="B1989" s="4" t="s">
        <v>334</v>
      </c>
      <c r="C1989" s="4" t="s">
        <v>156</v>
      </c>
      <c r="D1989" s="4"/>
      <c r="E1989" s="4"/>
      <c r="F1989" s="4" t="s">
        <v>1200</v>
      </c>
      <c r="G1989" s="4" t="s">
        <v>336</v>
      </c>
      <c r="H1989" s="4" t="s">
        <v>289</v>
      </c>
      <c r="I1989" s="4">
        <v>2.5</v>
      </c>
      <c r="J1989" s="21">
        <v>200</v>
      </c>
      <c r="K1989" s="21">
        <v>0</v>
      </c>
      <c r="L1989" s="5">
        <v>0</v>
      </c>
      <c r="M1989" s="4"/>
      <c r="N1989" s="4"/>
      <c r="O1989" s="5"/>
      <c r="P1989" s="5"/>
      <c r="Q1989" s="21">
        <v>500</v>
      </c>
      <c r="R1989" s="21">
        <v>0</v>
      </c>
      <c r="S1989" s="5">
        <f t="shared" si="127"/>
        <v>62597.898760151991</v>
      </c>
      <c r="T1989" cm="1">
        <f t="array" ref="T1989">IF(OR(B1989="MAL ALIMI", B1989="ÜRETİM GİRİŞ"), MIN(I1989, MAX(0, I1989 + SUM(SUMIFS($I$1:I1988, $C$1:C1988, C1989, $B$1:B1988, {"MAL ALIMI","ÜRETİM GİRİŞ"})) - VLOOKUP(C1989, 'STOK RAPORU'!$C$2:$I$1000, 4, 0))), 0)</f>
        <v>0</v>
      </c>
      <c r="U1989" s="22">
        <f t="shared" si="124"/>
        <v>0</v>
      </c>
      <c r="V1989">
        <f t="shared" si="125"/>
        <v>0</v>
      </c>
      <c r="W1989" s="22">
        <f t="shared" si="126"/>
        <v>0</v>
      </c>
    </row>
    <row r="1990" spans="1:23" hidden="1" x14ac:dyDescent="0.25">
      <c r="A1990" s="3">
        <v>46000</v>
      </c>
      <c r="B1990" s="4" t="s">
        <v>334</v>
      </c>
      <c r="C1990" s="4" t="s">
        <v>1041</v>
      </c>
      <c r="D1990" s="4"/>
      <c r="E1990" s="4"/>
      <c r="F1990" s="4" t="s">
        <v>1201</v>
      </c>
      <c r="G1990" s="4" t="s">
        <v>336</v>
      </c>
      <c r="H1990" s="4" t="s">
        <v>289</v>
      </c>
      <c r="I1990" s="4">
        <v>3</v>
      </c>
      <c r="J1990" s="21">
        <v>300</v>
      </c>
      <c r="K1990" s="21">
        <v>0</v>
      </c>
      <c r="L1990" s="5">
        <v>0</v>
      </c>
      <c r="M1990" s="4"/>
      <c r="N1990" s="4"/>
      <c r="O1990" s="5"/>
      <c r="P1990" s="5"/>
      <c r="Q1990" s="21">
        <v>900</v>
      </c>
      <c r="R1990" s="21">
        <v>0</v>
      </c>
      <c r="S1990" s="5">
        <f t="shared" si="127"/>
        <v>63497.898760151991</v>
      </c>
      <c r="T1990" cm="1">
        <f t="array" ref="T1990">IF(OR(B1990="MAL ALIMI", B1990="ÜRETİM GİRİŞ"), MIN(I1990, MAX(0, I1990 + SUM(SUMIFS($I$1:I1989, $C$1:C1989, C1990, $B$1:B1989, {"MAL ALIMI","ÜRETİM GİRİŞ"})) - VLOOKUP(C1990, 'STOK RAPORU'!$C$2:$I$1000, 4, 0))), 0)</f>
        <v>0</v>
      </c>
      <c r="U1990" s="22">
        <f t="shared" si="124"/>
        <v>0</v>
      </c>
      <c r="V1990">
        <f t="shared" si="125"/>
        <v>0</v>
      </c>
      <c r="W1990" s="22">
        <f t="shared" si="126"/>
        <v>0</v>
      </c>
    </row>
    <row r="1991" spans="1:23" hidden="1" x14ac:dyDescent="0.25">
      <c r="A1991" s="3">
        <v>46000</v>
      </c>
      <c r="B1991" s="4" t="s">
        <v>334</v>
      </c>
      <c r="C1991" s="4" t="s">
        <v>158</v>
      </c>
      <c r="D1991" s="4"/>
      <c r="E1991" s="4"/>
      <c r="F1991" s="4" t="s">
        <v>1432</v>
      </c>
      <c r="G1991" s="4" t="s">
        <v>336</v>
      </c>
      <c r="H1991" s="4" t="s">
        <v>289</v>
      </c>
      <c r="I1991" s="4">
        <v>5</v>
      </c>
      <c r="J1991" s="21">
        <v>150</v>
      </c>
      <c r="K1991" s="21">
        <v>0</v>
      </c>
      <c r="L1991" s="5">
        <v>0</v>
      </c>
      <c r="M1991" s="4"/>
      <c r="N1991" s="4"/>
      <c r="O1991" s="5"/>
      <c r="P1991" s="5"/>
      <c r="Q1991" s="21">
        <v>750</v>
      </c>
      <c r="R1991" s="21">
        <v>0</v>
      </c>
      <c r="S1991" s="5">
        <f t="shared" si="127"/>
        <v>64247.898760151991</v>
      </c>
      <c r="T1991" cm="1">
        <f t="array" ref="T1991">IF(OR(B1991="MAL ALIMI", B1991="ÜRETİM GİRİŞ"), MIN(I1991, MAX(0, I1991 + SUM(SUMIFS($I$1:I1990, $C$1:C1990, C1991, $B$1:B1990, {"MAL ALIMI","ÜRETİM GİRİŞ"})) - VLOOKUP(C1991, 'STOK RAPORU'!$C$2:$I$1000, 4, 0))), 0)</f>
        <v>0</v>
      </c>
      <c r="U1991" s="22">
        <f t="shared" si="124"/>
        <v>0</v>
      </c>
      <c r="V1991">
        <f t="shared" si="125"/>
        <v>0</v>
      </c>
      <c r="W1991" s="22">
        <f t="shared" si="126"/>
        <v>0</v>
      </c>
    </row>
    <row r="1992" spans="1:23" hidden="1" x14ac:dyDescent="0.25">
      <c r="A1992" s="3">
        <v>46000</v>
      </c>
      <c r="B1992" s="4" t="s">
        <v>334</v>
      </c>
      <c r="C1992" s="4" t="s">
        <v>156</v>
      </c>
      <c r="D1992" s="4"/>
      <c r="E1992" s="4"/>
      <c r="F1992" s="4" t="s">
        <v>1432</v>
      </c>
      <c r="G1992" s="4" t="s">
        <v>336</v>
      </c>
      <c r="H1992" s="4" t="s">
        <v>289</v>
      </c>
      <c r="I1992" s="4">
        <v>5</v>
      </c>
      <c r="J1992" s="21">
        <v>200</v>
      </c>
      <c r="K1992" s="21">
        <v>0</v>
      </c>
      <c r="L1992" s="5">
        <v>0</v>
      </c>
      <c r="M1992" s="4"/>
      <c r="N1992" s="4"/>
      <c r="O1992" s="5"/>
      <c r="P1992" s="5"/>
      <c r="Q1992" s="21">
        <v>1000</v>
      </c>
      <c r="R1992" s="21">
        <v>0</v>
      </c>
      <c r="S1992" s="5">
        <f t="shared" si="127"/>
        <v>65247.898760151991</v>
      </c>
      <c r="T1992" cm="1">
        <f t="array" ref="T1992">IF(OR(B1992="MAL ALIMI", B1992="ÜRETİM GİRİŞ"), MIN(I1992, MAX(0, I1992 + SUM(SUMIFS($I$1:I1991, $C$1:C1991, C1992, $B$1:B1991, {"MAL ALIMI","ÜRETİM GİRİŞ"})) - VLOOKUP(C1992, 'STOK RAPORU'!$C$2:$I$1000, 4, 0))), 0)</f>
        <v>0</v>
      </c>
      <c r="U1992" s="22">
        <f t="shared" si="124"/>
        <v>0</v>
      </c>
      <c r="V1992">
        <f t="shared" si="125"/>
        <v>0</v>
      </c>
      <c r="W1992" s="22">
        <f t="shared" si="126"/>
        <v>0</v>
      </c>
    </row>
    <row r="1993" spans="1:23" hidden="1" x14ac:dyDescent="0.25">
      <c r="A1993" s="3">
        <v>46000</v>
      </c>
      <c r="B1993" s="4" t="s">
        <v>334</v>
      </c>
      <c r="C1993" s="4" t="s">
        <v>157</v>
      </c>
      <c r="D1993" s="4"/>
      <c r="E1993" s="4"/>
      <c r="F1993" s="4" t="s">
        <v>1432</v>
      </c>
      <c r="G1993" s="4" t="s">
        <v>336</v>
      </c>
      <c r="H1993" s="4" t="s">
        <v>289</v>
      </c>
      <c r="I1993" s="4">
        <v>5</v>
      </c>
      <c r="J1993" s="21">
        <v>200</v>
      </c>
      <c r="K1993" s="21">
        <v>0</v>
      </c>
      <c r="L1993" s="5">
        <v>0</v>
      </c>
      <c r="M1993" s="4"/>
      <c r="N1993" s="4"/>
      <c r="O1993" s="5"/>
      <c r="P1993" s="5"/>
      <c r="Q1993" s="21">
        <v>1000</v>
      </c>
      <c r="R1993" s="21">
        <v>0</v>
      </c>
      <c r="S1993" s="5">
        <f t="shared" si="127"/>
        <v>66247.898760151991</v>
      </c>
      <c r="T1993" cm="1">
        <f t="array" ref="T1993">IF(OR(B1993="MAL ALIMI", B1993="ÜRETİM GİRİŞ"), MIN(I1993, MAX(0, I1993 + SUM(SUMIFS($I$1:I1992, $C$1:C1992, C1993, $B$1:B1992, {"MAL ALIMI","ÜRETİM GİRİŞ"})) - VLOOKUP(C1993, 'STOK RAPORU'!$C$2:$I$1000, 4, 0))), 0)</f>
        <v>0</v>
      </c>
      <c r="U1993" s="22">
        <f t="shared" si="124"/>
        <v>0</v>
      </c>
      <c r="V1993">
        <f t="shared" si="125"/>
        <v>0</v>
      </c>
      <c r="W1993" s="22">
        <f t="shared" si="126"/>
        <v>0</v>
      </c>
    </row>
    <row r="1994" spans="1:23" hidden="1" x14ac:dyDescent="0.25">
      <c r="A1994" s="3">
        <v>46000</v>
      </c>
      <c r="B1994" s="4" t="s">
        <v>334</v>
      </c>
      <c r="C1994" s="4" t="s">
        <v>160</v>
      </c>
      <c r="D1994" s="4"/>
      <c r="E1994" s="4"/>
      <c r="F1994" s="4" t="s">
        <v>1432</v>
      </c>
      <c r="G1994" s="4" t="s">
        <v>336</v>
      </c>
      <c r="H1994" s="4" t="s">
        <v>289</v>
      </c>
      <c r="I1994" s="4">
        <v>5</v>
      </c>
      <c r="J1994" s="21">
        <v>250</v>
      </c>
      <c r="K1994" s="21">
        <v>0</v>
      </c>
      <c r="L1994" s="5">
        <v>0</v>
      </c>
      <c r="M1994" s="4"/>
      <c r="N1994" s="4"/>
      <c r="O1994" s="5"/>
      <c r="P1994" s="5"/>
      <c r="Q1994" s="21">
        <v>1250</v>
      </c>
      <c r="R1994" s="21">
        <v>0</v>
      </c>
      <c r="S1994" s="5">
        <f t="shared" si="127"/>
        <v>67497.898760151991</v>
      </c>
      <c r="T1994" cm="1">
        <f t="array" ref="T1994">IF(OR(B1994="MAL ALIMI", B1994="ÜRETİM GİRİŞ"), MIN(I1994, MAX(0, I1994 + SUM(SUMIFS($I$1:I1993, $C$1:C1993, C1994, $B$1:B1993, {"MAL ALIMI","ÜRETİM GİRİŞ"})) - VLOOKUP(C1994, 'STOK RAPORU'!$C$2:$I$1000, 4, 0))), 0)</f>
        <v>0</v>
      </c>
      <c r="U1994" s="22">
        <f t="shared" si="124"/>
        <v>0</v>
      </c>
      <c r="V1994">
        <f t="shared" si="125"/>
        <v>0</v>
      </c>
      <c r="W1994" s="22">
        <f t="shared" si="126"/>
        <v>0</v>
      </c>
    </row>
    <row r="1995" spans="1:23" hidden="1" x14ac:dyDescent="0.25">
      <c r="A1995" s="3">
        <v>46000</v>
      </c>
      <c r="B1995" s="4" t="s">
        <v>334</v>
      </c>
      <c r="C1995" s="4" t="s">
        <v>161</v>
      </c>
      <c r="D1995" s="4"/>
      <c r="E1995" s="4"/>
      <c r="F1995" s="4" t="s">
        <v>1432</v>
      </c>
      <c r="G1995" s="4" t="s">
        <v>336</v>
      </c>
      <c r="H1995" s="4" t="s">
        <v>289</v>
      </c>
      <c r="I1995" s="4">
        <v>2</v>
      </c>
      <c r="J1995" s="21">
        <v>220</v>
      </c>
      <c r="K1995" s="21">
        <v>0</v>
      </c>
      <c r="L1995" s="5">
        <v>0</v>
      </c>
      <c r="M1995" s="4"/>
      <c r="N1995" s="4"/>
      <c r="O1995" s="5"/>
      <c r="P1995" s="5"/>
      <c r="Q1995" s="21">
        <v>440</v>
      </c>
      <c r="R1995" s="21">
        <v>0</v>
      </c>
      <c r="S1995" s="5">
        <f t="shared" si="127"/>
        <v>67937.898760151991</v>
      </c>
      <c r="T1995" cm="1">
        <f t="array" ref="T1995">IF(OR(B1995="MAL ALIMI", B1995="ÜRETİM GİRİŞ"), MIN(I1995, MAX(0, I1995 + SUM(SUMIFS($I$1:I1994, $C$1:C1994, C1995, $B$1:B1994, {"MAL ALIMI","ÜRETİM GİRİŞ"})) - VLOOKUP(C1995, 'STOK RAPORU'!$C$2:$I$1000, 4, 0))), 0)</f>
        <v>0</v>
      </c>
      <c r="U1995" s="22">
        <f t="shared" si="124"/>
        <v>0</v>
      </c>
      <c r="V1995">
        <f t="shared" si="125"/>
        <v>0</v>
      </c>
      <c r="W1995" s="22">
        <f t="shared" si="126"/>
        <v>0</v>
      </c>
    </row>
    <row r="1996" spans="1:23" hidden="1" x14ac:dyDescent="0.25">
      <c r="A1996" s="3">
        <v>46000</v>
      </c>
      <c r="B1996" s="4" t="s">
        <v>334</v>
      </c>
      <c r="C1996" s="4" t="s">
        <v>161</v>
      </c>
      <c r="D1996" s="4"/>
      <c r="E1996" s="4"/>
      <c r="F1996" s="4" t="s">
        <v>1432</v>
      </c>
      <c r="G1996" s="4" t="s">
        <v>336</v>
      </c>
      <c r="H1996" s="4" t="s">
        <v>289</v>
      </c>
      <c r="I1996" s="4">
        <v>3</v>
      </c>
      <c r="J1996" s="21">
        <v>220</v>
      </c>
      <c r="K1996" s="21">
        <v>0</v>
      </c>
      <c r="L1996" s="5">
        <v>0</v>
      </c>
      <c r="M1996" s="4"/>
      <c r="N1996" s="4"/>
      <c r="O1996" s="5"/>
      <c r="P1996" s="5"/>
      <c r="Q1996" s="21">
        <v>660</v>
      </c>
      <c r="R1996" s="21">
        <v>0</v>
      </c>
      <c r="S1996" s="5">
        <f t="shared" si="127"/>
        <v>68597.898760151991</v>
      </c>
      <c r="T1996" cm="1">
        <f t="array" ref="T1996">IF(OR(B1996="MAL ALIMI", B1996="ÜRETİM GİRİŞ"), MIN(I1996, MAX(0, I1996 + SUM(SUMIFS($I$1:I1995, $C$1:C1995, C1996, $B$1:B1995, {"MAL ALIMI","ÜRETİM GİRİŞ"})) - VLOOKUP(C1996, 'STOK RAPORU'!$C$2:$I$1000, 4, 0))), 0)</f>
        <v>0</v>
      </c>
      <c r="U1996" s="22">
        <f t="shared" si="124"/>
        <v>0</v>
      </c>
      <c r="V1996">
        <f t="shared" si="125"/>
        <v>0</v>
      </c>
      <c r="W1996" s="22">
        <f t="shared" si="126"/>
        <v>0</v>
      </c>
    </row>
    <row r="1997" spans="1:23" hidden="1" x14ac:dyDescent="0.25">
      <c r="A1997" s="3">
        <v>46000</v>
      </c>
      <c r="B1997" s="4" t="s">
        <v>334</v>
      </c>
      <c r="C1997" s="4" t="s">
        <v>131</v>
      </c>
      <c r="D1997" s="4"/>
      <c r="E1997" s="4"/>
      <c r="F1997" s="4" t="s">
        <v>1432</v>
      </c>
      <c r="G1997" s="4" t="s">
        <v>336</v>
      </c>
      <c r="H1997" s="4" t="s">
        <v>289</v>
      </c>
      <c r="I1997" s="4">
        <v>0.59523809523809523</v>
      </c>
      <c r="J1997" s="21">
        <v>420</v>
      </c>
      <c r="K1997" s="21">
        <v>0</v>
      </c>
      <c r="L1997" s="5">
        <v>0</v>
      </c>
      <c r="M1997" s="4"/>
      <c r="N1997" s="4"/>
      <c r="O1997" s="5"/>
      <c r="P1997" s="5"/>
      <c r="Q1997" s="21">
        <v>250</v>
      </c>
      <c r="R1997" s="21">
        <v>0</v>
      </c>
      <c r="S1997" s="5">
        <f t="shared" si="127"/>
        <v>68847.898760151991</v>
      </c>
      <c r="T1997" cm="1">
        <f t="array" ref="T1997">IF(OR(B1997="MAL ALIMI", B1997="ÜRETİM GİRİŞ"), MIN(I1997, MAX(0, I1997 + SUM(SUMIFS($I$1:I1996, $C$1:C1996, C1997, $B$1:B1996, {"MAL ALIMI","ÜRETİM GİRİŞ"})) - VLOOKUP(C1997, 'STOK RAPORU'!$C$2:$I$1000, 4, 0))), 0)</f>
        <v>0</v>
      </c>
      <c r="U1997" s="22">
        <f t="shared" si="124"/>
        <v>0</v>
      </c>
      <c r="V1997">
        <f t="shared" si="125"/>
        <v>0</v>
      </c>
      <c r="W1997" s="22">
        <f t="shared" si="126"/>
        <v>0</v>
      </c>
    </row>
    <row r="1998" spans="1:23" hidden="1" x14ac:dyDescent="0.25">
      <c r="A1998" s="3">
        <v>46000</v>
      </c>
      <c r="B1998" s="4" t="s">
        <v>946</v>
      </c>
      <c r="C1998" s="4"/>
      <c r="D1998" s="4"/>
      <c r="E1998" s="4" t="s">
        <v>921</v>
      </c>
      <c r="F1998" s="4"/>
      <c r="G1998" s="4" t="s">
        <v>946</v>
      </c>
      <c r="H1998" s="4" t="s">
        <v>380</v>
      </c>
      <c r="I1998" s="4">
        <v>1</v>
      </c>
      <c r="J1998" s="105">
        <v>453</v>
      </c>
      <c r="K1998" s="21">
        <v>0</v>
      </c>
      <c r="L1998" s="111">
        <v>453</v>
      </c>
      <c r="M1998" s="4"/>
      <c r="N1998" s="4"/>
      <c r="O1998" s="5"/>
      <c r="P1998" s="5"/>
      <c r="Q1998" s="21">
        <v>453</v>
      </c>
      <c r="R1998" s="21">
        <v>0</v>
      </c>
      <c r="S1998" s="5">
        <f t="shared" si="127"/>
        <v>69300.898760151991</v>
      </c>
      <c r="T1998" cm="1">
        <f t="array" ref="T1998">IF(OR(B1998="MAL ALIMI", B1998="ÜRETİM GİRİŞ"), MIN(I1998, MAX(0, I1998 + SUM(SUMIFS($I$1:I1997, $C$1:C1997, C1998, $B$1:B1997, {"MAL ALIMI","ÜRETİM GİRİŞ"})) - VLOOKUP(C1998, 'STOK RAPORU'!$C$2:$I$1000, 4, 0))), 0)</f>
        <v>0</v>
      </c>
      <c r="U1998" s="22">
        <f t="shared" si="124"/>
        <v>0</v>
      </c>
      <c r="V1998">
        <f t="shared" si="125"/>
        <v>0</v>
      </c>
      <c r="W1998" s="22">
        <f t="shared" si="126"/>
        <v>0</v>
      </c>
    </row>
    <row r="1999" spans="1:23" hidden="1" x14ac:dyDescent="0.25">
      <c r="A1999" s="3">
        <v>46000</v>
      </c>
      <c r="B1999" s="4" t="s">
        <v>946</v>
      </c>
      <c r="C1999" s="4"/>
      <c r="D1999" s="4"/>
      <c r="E1999" s="4" t="s">
        <v>921</v>
      </c>
      <c r="F1999" s="4"/>
      <c r="G1999" s="4" t="s">
        <v>946</v>
      </c>
      <c r="H1999" s="4" t="s">
        <v>380</v>
      </c>
      <c r="I1999" s="4">
        <v>1</v>
      </c>
      <c r="J1999" s="105">
        <v>2340</v>
      </c>
      <c r="K1999" s="21">
        <v>0</v>
      </c>
      <c r="L1999" s="111">
        <v>2340</v>
      </c>
      <c r="M1999" s="4"/>
      <c r="N1999" s="4"/>
      <c r="O1999" s="5"/>
      <c r="P1999" s="5"/>
      <c r="Q1999" s="21">
        <v>2340</v>
      </c>
      <c r="R1999" s="21">
        <v>0</v>
      </c>
      <c r="S1999" s="5">
        <f t="shared" si="127"/>
        <v>71640.898760151991</v>
      </c>
      <c r="T1999" cm="1">
        <f t="array" ref="T1999">IF(OR(B1999="MAL ALIMI", B1999="ÜRETİM GİRİŞ"), MIN(I1999, MAX(0, I1999 + SUM(SUMIFS($I$1:I1998, $C$1:C1998, C1999, $B$1:B1998, {"MAL ALIMI","ÜRETİM GİRİŞ"})) - VLOOKUP(C1999, 'STOK RAPORU'!$C$2:$I$1000, 4, 0))), 0)</f>
        <v>0</v>
      </c>
      <c r="U1999" s="22">
        <f t="shared" si="124"/>
        <v>0</v>
      </c>
      <c r="V1999">
        <f t="shared" si="125"/>
        <v>0</v>
      </c>
      <c r="W1999" s="22">
        <f t="shared" si="126"/>
        <v>0</v>
      </c>
    </row>
    <row r="2000" spans="1:23" hidden="1" x14ac:dyDescent="0.25">
      <c r="A2000" s="3">
        <v>46001</v>
      </c>
      <c r="B2000" s="4" t="s">
        <v>334</v>
      </c>
      <c r="C2000" s="4" t="s">
        <v>463</v>
      </c>
      <c r="D2000" s="4"/>
      <c r="E2000" s="4" t="s">
        <v>921</v>
      </c>
      <c r="F2000" s="4" t="s">
        <v>1207</v>
      </c>
      <c r="G2000" s="4" t="s">
        <v>336</v>
      </c>
      <c r="H2000" s="4" t="s">
        <v>380</v>
      </c>
      <c r="I2000" s="4">
        <v>0.14799999999999999</v>
      </c>
      <c r="J2000" s="21">
        <v>370</v>
      </c>
      <c r="K2000" s="21">
        <v>54.76</v>
      </c>
      <c r="L2000" s="5">
        <v>0</v>
      </c>
      <c r="M2000" s="4"/>
      <c r="N2000" s="4"/>
      <c r="O2000" s="5"/>
      <c r="P2000" s="5"/>
      <c r="Q2000" s="21">
        <v>0</v>
      </c>
      <c r="R2000" s="21">
        <v>0</v>
      </c>
      <c r="S2000" s="5">
        <f t="shared" si="127"/>
        <v>71640.898760151991</v>
      </c>
      <c r="T2000" cm="1">
        <f t="array" ref="T2000">IF(OR(B2000="MAL ALIMI", B2000="ÜRETİM GİRİŞ"), MIN(I2000, MAX(0, I2000 + SUM(SUMIFS($I$1:I1999, $C$1:C1999, C2000, $B$1:B1999, {"MAL ALIMI","ÜRETİM GİRİŞ"})) - VLOOKUP(C2000, 'STOK RAPORU'!$C$2:$I$1000, 4, 0))), 0)</f>
        <v>0</v>
      </c>
      <c r="U2000" s="22">
        <f t="shared" si="124"/>
        <v>0</v>
      </c>
      <c r="V2000">
        <f t="shared" si="125"/>
        <v>0</v>
      </c>
      <c r="W2000" s="22">
        <f t="shared" si="126"/>
        <v>0</v>
      </c>
    </row>
    <row r="2001" spans="1:23" hidden="1" x14ac:dyDescent="0.25">
      <c r="A2001" s="3">
        <v>46001</v>
      </c>
      <c r="B2001" s="4" t="s">
        <v>334</v>
      </c>
      <c r="C2001" s="4" t="s">
        <v>129</v>
      </c>
      <c r="D2001" s="4"/>
      <c r="E2001" s="4" t="s">
        <v>921</v>
      </c>
      <c r="F2001" s="4" t="s">
        <v>1207</v>
      </c>
      <c r="G2001" s="4" t="s">
        <v>336</v>
      </c>
      <c r="H2001" s="4" t="s">
        <v>380</v>
      </c>
      <c r="I2001" s="4">
        <v>0.17799999999999999</v>
      </c>
      <c r="J2001" s="21">
        <v>390</v>
      </c>
      <c r="K2001" s="21">
        <v>69.42</v>
      </c>
      <c r="L2001" s="5">
        <v>0</v>
      </c>
      <c r="M2001" s="4"/>
      <c r="N2001" s="4"/>
      <c r="O2001" s="5"/>
      <c r="P2001" s="5"/>
      <c r="Q2001" s="21">
        <v>0</v>
      </c>
      <c r="R2001" s="21">
        <v>0</v>
      </c>
      <c r="S2001" s="5">
        <f t="shared" si="127"/>
        <v>71640.898760151991</v>
      </c>
      <c r="T2001" cm="1">
        <f t="array" ref="T2001">IF(OR(B2001="MAL ALIMI", B2001="ÜRETİM GİRİŞ"), MIN(I2001, MAX(0, I2001 + SUM(SUMIFS($I$1:I2000, $C$1:C2000, C2001, $B$1:B2000, {"MAL ALIMI","ÜRETİM GİRİŞ"})) - VLOOKUP(C2001, 'STOK RAPORU'!$C$2:$I$1000, 4, 0))), 0)</f>
        <v>0</v>
      </c>
      <c r="U2001" s="22">
        <f t="shared" si="124"/>
        <v>0</v>
      </c>
      <c r="V2001">
        <f t="shared" si="125"/>
        <v>0</v>
      </c>
      <c r="W2001" s="22">
        <f t="shared" si="126"/>
        <v>0</v>
      </c>
    </row>
    <row r="2002" spans="1:23" hidden="1" x14ac:dyDescent="0.25">
      <c r="A2002" s="3">
        <v>46001</v>
      </c>
      <c r="B2002" s="4" t="s">
        <v>334</v>
      </c>
      <c r="C2002" s="4" t="s">
        <v>160</v>
      </c>
      <c r="D2002" s="4"/>
      <c r="E2002" s="4" t="s">
        <v>921</v>
      </c>
      <c r="F2002" s="4" t="s">
        <v>1207</v>
      </c>
      <c r="G2002" s="4" t="s">
        <v>336</v>
      </c>
      <c r="H2002" s="4" t="s">
        <v>380</v>
      </c>
      <c r="I2002" s="4">
        <v>1</v>
      </c>
      <c r="J2002" s="21">
        <v>240</v>
      </c>
      <c r="K2002" s="21">
        <v>240</v>
      </c>
      <c r="L2002" s="5">
        <v>0</v>
      </c>
      <c r="M2002" s="4"/>
      <c r="N2002" s="4"/>
      <c r="O2002" s="5"/>
      <c r="P2002" s="5"/>
      <c r="Q2002" s="21">
        <v>0</v>
      </c>
      <c r="R2002" s="21">
        <v>0</v>
      </c>
      <c r="S2002" s="5">
        <f t="shared" si="127"/>
        <v>71640.898760151991</v>
      </c>
      <c r="T2002" cm="1">
        <f t="array" ref="T2002">IF(OR(B2002="MAL ALIMI", B2002="ÜRETİM GİRİŞ"), MIN(I2002, MAX(0, I2002 + SUM(SUMIFS($I$1:I2001, $C$1:C2001, C2002, $B$1:B2001, {"MAL ALIMI","ÜRETİM GİRİŞ"})) - VLOOKUP(C2002, 'STOK RAPORU'!$C$2:$I$1000, 4, 0))), 0)</f>
        <v>0</v>
      </c>
      <c r="U2002" s="22">
        <f t="shared" si="124"/>
        <v>0</v>
      </c>
      <c r="V2002">
        <f t="shared" si="125"/>
        <v>0</v>
      </c>
      <c r="W2002" s="22">
        <f t="shared" si="126"/>
        <v>0</v>
      </c>
    </row>
    <row r="2003" spans="1:23" hidden="1" x14ac:dyDescent="0.25">
      <c r="A2003" s="3">
        <v>46001</v>
      </c>
      <c r="B2003" s="4" t="s">
        <v>334</v>
      </c>
      <c r="C2003" s="4" t="s">
        <v>168</v>
      </c>
      <c r="D2003" s="4"/>
      <c r="E2003" s="4" t="s">
        <v>921</v>
      </c>
      <c r="F2003" s="4" t="s">
        <v>1207</v>
      </c>
      <c r="G2003" s="4" t="s">
        <v>336</v>
      </c>
      <c r="H2003" s="4" t="s">
        <v>380</v>
      </c>
      <c r="I2003" s="4">
        <v>1</v>
      </c>
      <c r="J2003" s="21">
        <v>200</v>
      </c>
      <c r="K2003" s="21">
        <v>200</v>
      </c>
      <c r="L2003" s="5">
        <v>0</v>
      </c>
      <c r="M2003" s="4"/>
      <c r="N2003" s="4"/>
      <c r="O2003" s="5"/>
      <c r="P2003" s="5"/>
      <c r="Q2003" s="21">
        <v>0</v>
      </c>
      <c r="R2003" s="21">
        <v>0</v>
      </c>
      <c r="S2003" s="5">
        <f t="shared" si="127"/>
        <v>71640.898760151991</v>
      </c>
      <c r="T2003" cm="1">
        <f t="array" ref="T2003">IF(OR(B2003="MAL ALIMI", B2003="ÜRETİM GİRİŞ"), MIN(I2003, MAX(0, I2003 + SUM(SUMIFS($I$1:I2002, $C$1:C2002, C2003, $B$1:B2002, {"MAL ALIMI","ÜRETİM GİRİŞ"})) - VLOOKUP(C2003, 'STOK RAPORU'!$C$2:$I$1000, 4, 0))), 0)</f>
        <v>0</v>
      </c>
      <c r="U2003" s="22">
        <f t="shared" si="124"/>
        <v>0</v>
      </c>
      <c r="V2003">
        <f t="shared" si="125"/>
        <v>0</v>
      </c>
      <c r="W2003" s="22">
        <f t="shared" si="126"/>
        <v>0</v>
      </c>
    </row>
    <row r="2004" spans="1:23" hidden="1" x14ac:dyDescent="0.25">
      <c r="A2004" s="3">
        <v>46001</v>
      </c>
      <c r="B2004" s="4" t="s">
        <v>334</v>
      </c>
      <c r="C2004" s="4" t="s">
        <v>140</v>
      </c>
      <c r="D2004" s="4"/>
      <c r="E2004" s="4" t="s">
        <v>921</v>
      </c>
      <c r="F2004" s="4" t="s">
        <v>1208</v>
      </c>
      <c r="G2004" s="4" t="s">
        <v>336</v>
      </c>
      <c r="H2004" s="4" t="s">
        <v>380</v>
      </c>
      <c r="I2004" s="4">
        <v>0.14599999999999999</v>
      </c>
      <c r="J2004" s="21">
        <v>250</v>
      </c>
      <c r="K2004" s="21">
        <v>36.5</v>
      </c>
      <c r="L2004" s="5">
        <v>0</v>
      </c>
      <c r="M2004" s="4"/>
      <c r="N2004" s="4"/>
      <c r="O2004" s="5"/>
      <c r="P2004" s="5"/>
      <c r="Q2004" s="21">
        <v>0</v>
      </c>
      <c r="R2004" s="21">
        <v>0</v>
      </c>
      <c r="S2004" s="5">
        <f t="shared" si="127"/>
        <v>71640.898760151991</v>
      </c>
      <c r="T2004" cm="1">
        <f t="array" ref="T2004">IF(OR(B2004="MAL ALIMI", B2004="ÜRETİM GİRİŞ"), MIN(I2004, MAX(0, I2004 + SUM(SUMIFS($I$1:I2003, $C$1:C2003, C2004, $B$1:B2003, {"MAL ALIMI","ÜRETİM GİRİŞ"})) - VLOOKUP(C2004, 'STOK RAPORU'!$C$2:$I$1000, 4, 0))), 0)</f>
        <v>0</v>
      </c>
      <c r="U2004" s="22">
        <f t="shared" si="124"/>
        <v>0</v>
      </c>
      <c r="V2004">
        <f t="shared" si="125"/>
        <v>0</v>
      </c>
      <c r="W2004" s="22">
        <f t="shared" si="126"/>
        <v>0</v>
      </c>
    </row>
    <row r="2005" spans="1:23" hidden="1" x14ac:dyDescent="0.25">
      <c r="A2005" s="3">
        <v>46001</v>
      </c>
      <c r="B2005" s="4" t="s">
        <v>334</v>
      </c>
      <c r="C2005" s="4" t="s">
        <v>98</v>
      </c>
      <c r="D2005" s="4"/>
      <c r="E2005" s="4" t="s">
        <v>921</v>
      </c>
      <c r="F2005" s="4" t="s">
        <v>1208</v>
      </c>
      <c r="G2005" s="4" t="s">
        <v>336</v>
      </c>
      <c r="H2005" s="4" t="s">
        <v>380</v>
      </c>
      <c r="I2005" s="4">
        <v>0.16583333333333333</v>
      </c>
      <c r="J2005" s="21">
        <v>360</v>
      </c>
      <c r="K2005" s="21">
        <v>59.7</v>
      </c>
      <c r="L2005" s="5">
        <v>0</v>
      </c>
      <c r="M2005" s="4"/>
      <c r="N2005" s="4"/>
      <c r="O2005" s="5"/>
      <c r="P2005" s="5"/>
      <c r="Q2005" s="21">
        <v>0</v>
      </c>
      <c r="R2005" s="21">
        <v>0</v>
      </c>
      <c r="S2005" s="5">
        <f t="shared" si="127"/>
        <v>71640.898760151991</v>
      </c>
      <c r="T2005" cm="1">
        <f t="array" ref="T2005">IF(OR(B2005="MAL ALIMI", B2005="ÜRETİM GİRİŞ"), MIN(I2005, MAX(0, I2005 + SUM(SUMIFS($I$1:I2004, $C$1:C2004, C2005, $B$1:B2004, {"MAL ALIMI","ÜRETİM GİRİŞ"})) - VLOOKUP(C2005, 'STOK RAPORU'!$C$2:$I$1000, 4, 0))), 0)</f>
        <v>0</v>
      </c>
      <c r="U2005" s="22">
        <f t="shared" si="124"/>
        <v>0</v>
      </c>
      <c r="V2005">
        <f t="shared" si="125"/>
        <v>0</v>
      </c>
      <c r="W2005" s="22">
        <f t="shared" si="126"/>
        <v>0</v>
      </c>
    </row>
    <row r="2006" spans="1:23" hidden="1" x14ac:dyDescent="0.25">
      <c r="A2006" s="3">
        <v>46001</v>
      </c>
      <c r="B2006" s="4" t="s">
        <v>334</v>
      </c>
      <c r="C2006" s="4" t="s">
        <v>690</v>
      </c>
      <c r="D2006" s="4"/>
      <c r="E2006" s="4" t="s">
        <v>921</v>
      </c>
      <c r="F2006" s="4" t="s">
        <v>1208</v>
      </c>
      <c r="G2006" s="4" t="s">
        <v>336</v>
      </c>
      <c r="H2006" s="4" t="s">
        <v>380</v>
      </c>
      <c r="I2006" s="4">
        <v>0.35</v>
      </c>
      <c r="J2006" s="21">
        <v>340</v>
      </c>
      <c r="K2006" s="21">
        <v>118.99999999999999</v>
      </c>
      <c r="L2006" s="5">
        <v>0</v>
      </c>
      <c r="M2006" s="4"/>
      <c r="N2006" s="4"/>
      <c r="O2006" s="5"/>
      <c r="P2006" s="5"/>
      <c r="Q2006" s="21">
        <v>0</v>
      </c>
      <c r="R2006" s="21">
        <v>0</v>
      </c>
      <c r="S2006" s="5">
        <f t="shared" si="127"/>
        <v>71640.898760151991</v>
      </c>
      <c r="T2006" cm="1">
        <f t="array" ref="T2006">IF(OR(B2006="MAL ALIMI", B2006="ÜRETİM GİRİŞ"), MIN(I2006, MAX(0, I2006 + SUM(SUMIFS($I$1:I2005, $C$1:C2005, C2006, $B$1:B2005, {"MAL ALIMI","ÜRETİM GİRİŞ"})) - VLOOKUP(C2006, 'STOK RAPORU'!$C$2:$I$1000, 4, 0))), 0)</f>
        <v>0</v>
      </c>
      <c r="U2006" s="22">
        <f t="shared" si="124"/>
        <v>0</v>
      </c>
      <c r="V2006">
        <f t="shared" si="125"/>
        <v>0</v>
      </c>
      <c r="W2006" s="22">
        <f t="shared" si="126"/>
        <v>0</v>
      </c>
    </row>
    <row r="2007" spans="1:23" hidden="1" x14ac:dyDescent="0.25">
      <c r="A2007" s="3">
        <v>46001</v>
      </c>
      <c r="B2007" s="4" t="s">
        <v>334</v>
      </c>
      <c r="C2007" s="4" t="s">
        <v>587</v>
      </c>
      <c r="D2007" s="4"/>
      <c r="E2007" s="4" t="s">
        <v>921</v>
      </c>
      <c r="F2007" s="4" t="s">
        <v>1208</v>
      </c>
      <c r="G2007" s="4" t="s">
        <v>336</v>
      </c>
      <c r="H2007" s="4" t="s">
        <v>380</v>
      </c>
      <c r="I2007" s="4">
        <v>4.04</v>
      </c>
      <c r="J2007" s="21">
        <v>120</v>
      </c>
      <c r="K2007" s="21">
        <v>484.8</v>
      </c>
      <c r="L2007" s="5">
        <v>0</v>
      </c>
      <c r="M2007" s="4"/>
      <c r="N2007" s="4"/>
      <c r="O2007" s="5"/>
      <c r="P2007" s="5"/>
      <c r="Q2007" s="21">
        <v>0</v>
      </c>
      <c r="R2007" s="21">
        <v>0</v>
      </c>
      <c r="S2007" s="5">
        <f t="shared" si="127"/>
        <v>71640.898760151991</v>
      </c>
      <c r="T2007" cm="1">
        <f t="array" ref="T2007">IF(OR(B2007="MAL ALIMI", B2007="ÜRETİM GİRİŞ"), MIN(I2007, MAX(0, I2007 + SUM(SUMIFS($I$1:I2006, $C$1:C2006, C2007, $B$1:B2006, {"MAL ALIMI","ÜRETİM GİRİŞ"})) - VLOOKUP(C2007, 'STOK RAPORU'!$C$2:$I$1000, 4, 0))), 0)</f>
        <v>0</v>
      </c>
      <c r="U2007" s="22">
        <f t="shared" si="124"/>
        <v>0</v>
      </c>
      <c r="V2007">
        <f t="shared" si="125"/>
        <v>0</v>
      </c>
      <c r="W2007" s="22">
        <f t="shared" si="126"/>
        <v>0</v>
      </c>
    </row>
    <row r="2008" spans="1:23" hidden="1" x14ac:dyDescent="0.25">
      <c r="A2008" s="3">
        <v>46001</v>
      </c>
      <c r="B2008" s="4" t="s">
        <v>334</v>
      </c>
      <c r="C2008" s="4" t="s">
        <v>463</v>
      </c>
      <c r="D2008" s="4"/>
      <c r="E2008" s="4" t="s">
        <v>921</v>
      </c>
      <c r="F2008" s="4" t="s">
        <v>1209</v>
      </c>
      <c r="G2008" s="4" t="s">
        <v>336</v>
      </c>
      <c r="H2008" s="4" t="s">
        <v>380</v>
      </c>
      <c r="I2008" s="4">
        <v>0.12162162162162163</v>
      </c>
      <c r="J2008" s="21">
        <v>370</v>
      </c>
      <c r="K2008" s="21">
        <v>45</v>
      </c>
      <c r="L2008" s="5">
        <v>0</v>
      </c>
      <c r="M2008" s="4"/>
      <c r="N2008" s="4"/>
      <c r="O2008" s="5"/>
      <c r="P2008" s="5"/>
      <c r="Q2008" s="21">
        <v>0</v>
      </c>
      <c r="R2008" s="21">
        <v>0</v>
      </c>
      <c r="S2008" s="5">
        <f t="shared" si="127"/>
        <v>71640.898760151991</v>
      </c>
      <c r="T2008" cm="1">
        <f t="array" ref="T2008">IF(OR(B2008="MAL ALIMI", B2008="ÜRETİM GİRİŞ"), MIN(I2008, MAX(0, I2008 + SUM(SUMIFS($I$1:I2007, $C$1:C2007, C2008, $B$1:B2007, {"MAL ALIMI","ÜRETİM GİRİŞ"})) - VLOOKUP(C2008, 'STOK RAPORU'!$C$2:$I$1000, 4, 0))), 0)</f>
        <v>0</v>
      </c>
      <c r="U2008" s="22">
        <f t="shared" si="124"/>
        <v>0</v>
      </c>
      <c r="V2008">
        <f t="shared" si="125"/>
        <v>0</v>
      </c>
      <c r="W2008" s="22">
        <f t="shared" si="126"/>
        <v>0</v>
      </c>
    </row>
    <row r="2009" spans="1:23" hidden="1" x14ac:dyDescent="0.25">
      <c r="A2009" s="3">
        <v>46001</v>
      </c>
      <c r="B2009" s="4" t="s">
        <v>334</v>
      </c>
      <c r="C2009" s="4" t="s">
        <v>587</v>
      </c>
      <c r="D2009" s="4"/>
      <c r="E2009" s="4" t="s">
        <v>921</v>
      </c>
      <c r="F2009" s="4" t="s">
        <v>1209</v>
      </c>
      <c r="G2009" s="4" t="s">
        <v>336</v>
      </c>
      <c r="H2009" s="4" t="s">
        <v>380</v>
      </c>
      <c r="I2009" s="4">
        <v>0.5</v>
      </c>
      <c r="J2009" s="21">
        <v>130</v>
      </c>
      <c r="K2009" s="21">
        <v>65</v>
      </c>
      <c r="L2009" s="5">
        <v>0</v>
      </c>
      <c r="M2009" s="4"/>
      <c r="N2009" s="4"/>
      <c r="O2009" s="5"/>
      <c r="P2009" s="5"/>
      <c r="Q2009" s="21">
        <v>0</v>
      </c>
      <c r="R2009" s="21">
        <v>0</v>
      </c>
      <c r="S2009" s="5">
        <f t="shared" si="127"/>
        <v>71640.898760151991</v>
      </c>
      <c r="T2009" cm="1">
        <f t="array" ref="T2009">IF(OR(B2009="MAL ALIMI", B2009="ÜRETİM GİRİŞ"), MIN(I2009, MAX(0, I2009 + SUM(SUMIFS($I$1:I2008, $C$1:C2008, C2009, $B$1:B2008, {"MAL ALIMI","ÜRETİM GİRİŞ"})) - VLOOKUP(C2009, 'STOK RAPORU'!$C$2:$I$1000, 4, 0))), 0)</f>
        <v>0</v>
      </c>
      <c r="U2009" s="22">
        <f t="shared" si="124"/>
        <v>0</v>
      </c>
      <c r="V2009">
        <f t="shared" si="125"/>
        <v>0</v>
      </c>
      <c r="W2009" s="22">
        <f t="shared" si="126"/>
        <v>0</v>
      </c>
    </row>
    <row r="2010" spans="1:23" hidden="1" x14ac:dyDescent="0.25">
      <c r="A2010" s="3">
        <v>46001</v>
      </c>
      <c r="B2010" s="4" t="s">
        <v>334</v>
      </c>
      <c r="C2010" s="4" t="s">
        <v>208</v>
      </c>
      <c r="D2010" s="4"/>
      <c r="E2010" s="4" t="s">
        <v>921</v>
      </c>
      <c r="F2010" s="4" t="s">
        <v>1209</v>
      </c>
      <c r="G2010" s="4" t="s">
        <v>336</v>
      </c>
      <c r="H2010" s="4" t="s">
        <v>380</v>
      </c>
      <c r="I2010" s="4">
        <v>0.5</v>
      </c>
      <c r="J2010" s="21">
        <v>140</v>
      </c>
      <c r="K2010" s="21">
        <v>70</v>
      </c>
      <c r="L2010" s="5">
        <v>0</v>
      </c>
      <c r="M2010" s="4"/>
      <c r="N2010" s="4"/>
      <c r="O2010" s="5"/>
      <c r="P2010" s="5"/>
      <c r="Q2010" s="21">
        <v>0</v>
      </c>
      <c r="R2010" s="21">
        <v>0</v>
      </c>
      <c r="S2010" s="5">
        <f t="shared" si="127"/>
        <v>71640.898760151991</v>
      </c>
      <c r="T2010" cm="1">
        <f t="array" ref="T2010">IF(OR(B2010="MAL ALIMI", B2010="ÜRETİM GİRİŞ"), MIN(I2010, MAX(0, I2010 + SUM(SUMIFS($I$1:I2009, $C$1:C2009, C2010, $B$1:B2009, {"MAL ALIMI","ÜRETİM GİRİŞ"})) - VLOOKUP(C2010, 'STOK RAPORU'!$C$2:$I$1000, 4, 0))), 0)</f>
        <v>0</v>
      </c>
      <c r="U2010" s="22">
        <f t="shared" si="124"/>
        <v>0</v>
      </c>
      <c r="V2010">
        <f t="shared" si="125"/>
        <v>0</v>
      </c>
      <c r="W2010" s="22">
        <f t="shared" si="126"/>
        <v>0</v>
      </c>
    </row>
    <row r="2011" spans="1:23" hidden="1" x14ac:dyDescent="0.25">
      <c r="A2011" s="3">
        <v>46001</v>
      </c>
      <c r="B2011" s="4" t="s">
        <v>334</v>
      </c>
      <c r="C2011" s="4" t="s">
        <v>60</v>
      </c>
      <c r="D2011" s="4"/>
      <c r="E2011" s="4" t="s">
        <v>921</v>
      </c>
      <c r="F2011" s="4" t="s">
        <v>1209</v>
      </c>
      <c r="G2011" s="4" t="s">
        <v>336</v>
      </c>
      <c r="H2011" s="4" t="s">
        <v>380</v>
      </c>
      <c r="I2011" s="4">
        <v>0.05</v>
      </c>
      <c r="J2011" s="21">
        <v>1200</v>
      </c>
      <c r="K2011" s="21">
        <v>60</v>
      </c>
      <c r="L2011" s="5">
        <v>0</v>
      </c>
      <c r="M2011" s="4"/>
      <c r="N2011" s="4"/>
      <c r="O2011" s="5"/>
      <c r="P2011" s="5"/>
      <c r="Q2011" s="21">
        <v>0</v>
      </c>
      <c r="R2011" s="21">
        <v>0</v>
      </c>
      <c r="S2011" s="5">
        <f t="shared" si="127"/>
        <v>71640.898760151991</v>
      </c>
      <c r="T2011" cm="1">
        <f t="array" ref="T2011">IF(OR(B2011="MAL ALIMI", B2011="ÜRETİM GİRİŞ"), MIN(I2011, MAX(0, I2011 + SUM(SUMIFS($I$1:I2010, $C$1:C2010, C2011, $B$1:B2010, {"MAL ALIMI","ÜRETİM GİRİŞ"})) - VLOOKUP(C2011, 'STOK RAPORU'!$C$2:$I$1000, 4, 0))), 0)</f>
        <v>0</v>
      </c>
      <c r="U2011" s="22">
        <f t="shared" si="124"/>
        <v>0</v>
      </c>
      <c r="V2011">
        <f t="shared" si="125"/>
        <v>0</v>
      </c>
      <c r="W2011" s="22">
        <f t="shared" si="126"/>
        <v>0</v>
      </c>
    </row>
    <row r="2012" spans="1:23" hidden="1" x14ac:dyDescent="0.25">
      <c r="A2012" s="45">
        <v>46001</v>
      </c>
      <c r="B2012" s="46" t="s">
        <v>334</v>
      </c>
      <c r="C2012" s="46" t="s">
        <v>157</v>
      </c>
      <c r="D2012" s="46"/>
      <c r="E2012" s="46"/>
      <c r="F2012" s="46" t="s">
        <v>1210</v>
      </c>
      <c r="G2012" s="46" t="s">
        <v>439</v>
      </c>
      <c r="H2012" s="46" t="s">
        <v>289</v>
      </c>
      <c r="I2012" s="46">
        <v>38.700000000000003</v>
      </c>
      <c r="J2012" s="47">
        <v>144.7028</v>
      </c>
      <c r="K2012" s="47">
        <v>0</v>
      </c>
      <c r="L2012" s="48">
        <v>0</v>
      </c>
      <c r="M2012" s="4"/>
      <c r="N2012" s="4"/>
      <c r="O2012" s="5"/>
      <c r="P2012" s="5"/>
      <c r="Q2012" s="47">
        <v>5599.9983600000005</v>
      </c>
      <c r="R2012" s="21">
        <v>0</v>
      </c>
      <c r="S2012" s="5">
        <f t="shared" si="127"/>
        <v>77240.897120151989</v>
      </c>
      <c r="T2012" cm="1">
        <f t="array" ref="T2012">IF(OR(B2012="MAL ALIMI", B2012="ÜRETİM GİRİŞ"), MIN(I2012, MAX(0, I2012 + SUM(SUMIFS($I$1:I2011, $C$1:C2011, C2012, $B$1:B2011, {"MAL ALIMI","ÜRETİM GİRİŞ"})) - VLOOKUP(C2012, 'STOK RAPORU'!$C$2:$I$1000, 4, 0))), 0)</f>
        <v>0</v>
      </c>
      <c r="U2012" s="22">
        <f t="shared" si="124"/>
        <v>0</v>
      </c>
      <c r="V2012">
        <f t="shared" si="125"/>
        <v>0</v>
      </c>
      <c r="W2012" s="22">
        <f t="shared" si="126"/>
        <v>0</v>
      </c>
    </row>
    <row r="2013" spans="1:23" hidden="1" x14ac:dyDescent="0.25">
      <c r="A2013" s="3">
        <v>46001</v>
      </c>
      <c r="B2013" s="4" t="s">
        <v>334</v>
      </c>
      <c r="C2013" s="4" t="s">
        <v>156</v>
      </c>
      <c r="D2013" s="4"/>
      <c r="E2013" s="4"/>
      <c r="F2013" s="4" t="s">
        <v>1211</v>
      </c>
      <c r="G2013" s="4" t="s">
        <v>336</v>
      </c>
      <c r="H2013" s="4" t="s">
        <v>289</v>
      </c>
      <c r="I2013" s="4">
        <v>1</v>
      </c>
      <c r="J2013" s="21">
        <v>180</v>
      </c>
      <c r="K2013" s="21">
        <v>0</v>
      </c>
      <c r="L2013" s="5">
        <v>0</v>
      </c>
      <c r="M2013" s="4"/>
      <c r="N2013" s="4"/>
      <c r="O2013" s="5"/>
      <c r="P2013" s="5"/>
      <c r="Q2013" s="21">
        <v>180</v>
      </c>
      <c r="R2013" s="21">
        <v>0</v>
      </c>
      <c r="S2013" s="5">
        <f t="shared" si="127"/>
        <v>77420.897120151989</v>
      </c>
      <c r="T2013" cm="1">
        <f t="array" ref="T2013">IF(OR(B2013="MAL ALIMI", B2013="ÜRETİM GİRİŞ"), MIN(I2013, MAX(0, I2013 + SUM(SUMIFS($I$1:I2012, $C$1:C2012, C2013, $B$1:B2012, {"MAL ALIMI","ÜRETİM GİRİŞ"})) - VLOOKUP(C2013, 'STOK RAPORU'!$C$2:$I$1000, 4, 0))), 0)</f>
        <v>0</v>
      </c>
      <c r="U2013" s="22">
        <f t="shared" si="124"/>
        <v>0</v>
      </c>
      <c r="V2013">
        <f t="shared" si="125"/>
        <v>0</v>
      </c>
      <c r="W2013" s="22">
        <f t="shared" si="126"/>
        <v>0</v>
      </c>
    </row>
    <row r="2014" spans="1:23" hidden="1" x14ac:dyDescent="0.25">
      <c r="A2014" s="3">
        <v>46001</v>
      </c>
      <c r="B2014" s="4" t="s">
        <v>334</v>
      </c>
      <c r="C2014" s="4" t="s">
        <v>156</v>
      </c>
      <c r="D2014" s="4"/>
      <c r="E2014" s="4"/>
      <c r="F2014" s="4" t="s">
        <v>1212</v>
      </c>
      <c r="G2014" s="4" t="s">
        <v>336</v>
      </c>
      <c r="H2014" s="4" t="s">
        <v>289</v>
      </c>
      <c r="I2014" s="4">
        <v>1</v>
      </c>
      <c r="J2014" s="21">
        <v>180</v>
      </c>
      <c r="K2014" s="21">
        <v>0</v>
      </c>
      <c r="L2014" s="5">
        <v>0</v>
      </c>
      <c r="M2014" s="4"/>
      <c r="N2014" s="4"/>
      <c r="O2014" s="5"/>
      <c r="P2014" s="5"/>
      <c r="Q2014" s="21">
        <v>180</v>
      </c>
      <c r="R2014" s="21">
        <v>0</v>
      </c>
      <c r="S2014" s="5">
        <f t="shared" si="127"/>
        <v>77600.897120151989</v>
      </c>
      <c r="T2014" cm="1">
        <f t="array" ref="T2014">IF(OR(B2014="MAL ALIMI", B2014="ÜRETİM GİRİŞ"), MIN(I2014, MAX(0, I2014 + SUM(SUMIFS($I$1:I2013, $C$1:C2013, C2014, $B$1:B2013, {"MAL ALIMI","ÜRETİM GİRİŞ"})) - VLOOKUP(C2014, 'STOK RAPORU'!$C$2:$I$1000, 4, 0))), 0)</f>
        <v>0</v>
      </c>
      <c r="U2014" s="22">
        <f t="shared" si="124"/>
        <v>0</v>
      </c>
      <c r="V2014">
        <f t="shared" si="125"/>
        <v>0</v>
      </c>
      <c r="W2014" s="22">
        <f t="shared" si="126"/>
        <v>0</v>
      </c>
    </row>
    <row r="2015" spans="1:23" hidden="1" x14ac:dyDescent="0.25">
      <c r="A2015" s="3">
        <v>46001</v>
      </c>
      <c r="B2015" s="4" t="s">
        <v>334</v>
      </c>
      <c r="C2015" s="4" t="s">
        <v>211</v>
      </c>
      <c r="D2015" s="4"/>
      <c r="E2015" s="4"/>
      <c r="F2015" s="4" t="s">
        <v>1212</v>
      </c>
      <c r="G2015" s="4" t="s">
        <v>336</v>
      </c>
      <c r="H2015" s="4" t="s">
        <v>289</v>
      </c>
      <c r="I2015" s="4">
        <v>0.2413793103448276</v>
      </c>
      <c r="J2015" s="21">
        <v>290</v>
      </c>
      <c r="K2015" s="21">
        <v>0</v>
      </c>
      <c r="L2015" s="5">
        <v>0</v>
      </c>
      <c r="M2015" s="4"/>
      <c r="N2015" s="4"/>
      <c r="O2015" s="5"/>
      <c r="P2015" s="5"/>
      <c r="Q2015" s="21">
        <v>70</v>
      </c>
      <c r="R2015" s="21">
        <v>0</v>
      </c>
      <c r="S2015" s="5">
        <f t="shared" si="127"/>
        <v>77670.897120151989</v>
      </c>
      <c r="T2015" cm="1">
        <f t="array" ref="T2015">IF(OR(B2015="MAL ALIMI", B2015="ÜRETİM GİRİŞ"), MIN(I2015, MAX(0, I2015 + SUM(SUMIFS($I$1:I2014, $C$1:C2014, C2015, $B$1:B2014, {"MAL ALIMI","ÜRETİM GİRİŞ"})) - VLOOKUP(C2015, 'STOK RAPORU'!$C$2:$I$1000, 4, 0))), 0)</f>
        <v>0</v>
      </c>
      <c r="U2015" s="22">
        <f t="shared" si="124"/>
        <v>0</v>
      </c>
      <c r="V2015">
        <f t="shared" si="125"/>
        <v>0</v>
      </c>
      <c r="W2015" s="22">
        <f t="shared" si="126"/>
        <v>0</v>
      </c>
    </row>
    <row r="2016" spans="1:23" hidden="1" x14ac:dyDescent="0.25">
      <c r="A2016" s="3">
        <v>46001</v>
      </c>
      <c r="B2016" s="4" t="s">
        <v>334</v>
      </c>
      <c r="C2016" s="4" t="s">
        <v>192</v>
      </c>
      <c r="D2016" s="4"/>
      <c r="E2016" s="4"/>
      <c r="F2016" s="4" t="s">
        <v>1213</v>
      </c>
      <c r="G2016" s="4" t="s">
        <v>336</v>
      </c>
      <c r="H2016" s="4" t="s">
        <v>289</v>
      </c>
      <c r="I2016" s="4">
        <v>0.12</v>
      </c>
      <c r="J2016" s="21">
        <v>417</v>
      </c>
      <c r="K2016" s="21">
        <v>0</v>
      </c>
      <c r="L2016" s="5">
        <v>0</v>
      </c>
      <c r="M2016" s="4"/>
      <c r="N2016" s="4"/>
      <c r="O2016" s="5"/>
      <c r="P2016" s="5"/>
      <c r="Q2016" s="21">
        <v>50.04</v>
      </c>
      <c r="R2016" s="21">
        <v>0</v>
      </c>
      <c r="S2016" s="5">
        <f t="shared" si="127"/>
        <v>77720.937120151983</v>
      </c>
      <c r="T2016" cm="1">
        <f t="array" ref="T2016">IF(OR(B2016="MAL ALIMI", B2016="ÜRETİM GİRİŞ"), MIN(I2016, MAX(0, I2016 + SUM(SUMIFS($I$1:I2015, $C$1:C2015, C2016, $B$1:B2015, {"MAL ALIMI","ÜRETİM GİRİŞ"})) - VLOOKUP(C2016, 'STOK RAPORU'!$C$2:$I$1000, 4, 0))), 0)</f>
        <v>0</v>
      </c>
      <c r="U2016" s="22">
        <f t="shared" si="124"/>
        <v>0</v>
      </c>
      <c r="V2016">
        <f t="shared" si="125"/>
        <v>0</v>
      </c>
      <c r="W2016" s="22">
        <f t="shared" si="126"/>
        <v>0</v>
      </c>
    </row>
    <row r="2017" spans="1:23" hidden="1" x14ac:dyDescent="0.25">
      <c r="A2017" s="3">
        <v>46001</v>
      </c>
      <c r="B2017" s="4" t="s">
        <v>334</v>
      </c>
      <c r="C2017" s="4" t="s">
        <v>209</v>
      </c>
      <c r="D2017" s="4"/>
      <c r="E2017" s="4"/>
      <c r="F2017" s="4" t="s">
        <v>1214</v>
      </c>
      <c r="G2017" s="4" t="s">
        <v>336</v>
      </c>
      <c r="H2017" s="4" t="s">
        <v>289</v>
      </c>
      <c r="I2017" s="4">
        <v>0.05</v>
      </c>
      <c r="J2017" s="21">
        <v>2600</v>
      </c>
      <c r="K2017" s="21">
        <v>0</v>
      </c>
      <c r="L2017" s="5">
        <v>0</v>
      </c>
      <c r="M2017" s="4"/>
      <c r="N2017" s="4"/>
      <c r="O2017" s="5"/>
      <c r="P2017" s="5"/>
      <c r="Q2017" s="21">
        <v>130</v>
      </c>
      <c r="R2017" s="21">
        <v>0</v>
      </c>
      <c r="S2017" s="5">
        <f t="shared" si="127"/>
        <v>77850.937120151983</v>
      </c>
      <c r="T2017" cm="1">
        <f t="array" ref="T2017">IF(OR(B2017="MAL ALIMI", B2017="ÜRETİM GİRİŞ"), MIN(I2017, MAX(0, I2017 + SUM(SUMIFS($I$1:I2016, $C$1:C2016, C2017, $B$1:B2016, {"MAL ALIMI","ÜRETİM GİRİŞ"})) - VLOOKUP(C2017, 'STOK RAPORU'!$C$2:$I$1000, 4, 0))), 0)</f>
        <v>0</v>
      </c>
      <c r="U2017" s="22">
        <f t="shared" si="124"/>
        <v>0</v>
      </c>
      <c r="V2017">
        <f t="shared" si="125"/>
        <v>0</v>
      </c>
      <c r="W2017" s="22">
        <f t="shared" si="126"/>
        <v>0</v>
      </c>
    </row>
    <row r="2018" spans="1:23" hidden="1" x14ac:dyDescent="0.25">
      <c r="A2018" s="3">
        <v>46001</v>
      </c>
      <c r="B2018" s="4" t="s">
        <v>334</v>
      </c>
      <c r="C2018" s="4" t="s">
        <v>225</v>
      </c>
      <c r="D2018" s="4"/>
      <c r="E2018" s="4" t="s">
        <v>921</v>
      </c>
      <c r="F2018" s="4" t="s">
        <v>1215</v>
      </c>
      <c r="G2018" s="4" t="s">
        <v>336</v>
      </c>
      <c r="H2018" s="4" t="s">
        <v>380</v>
      </c>
      <c r="I2018" s="4">
        <v>0.5</v>
      </c>
      <c r="J2018" s="21">
        <v>650</v>
      </c>
      <c r="K2018" s="21">
        <v>325</v>
      </c>
      <c r="L2018" s="5">
        <v>0</v>
      </c>
      <c r="M2018" s="4"/>
      <c r="N2018" s="4"/>
      <c r="O2018" s="5"/>
      <c r="P2018" s="5"/>
      <c r="Q2018" s="21">
        <v>0</v>
      </c>
      <c r="R2018" s="21">
        <v>0</v>
      </c>
      <c r="S2018" s="5">
        <f t="shared" si="127"/>
        <v>77850.937120151983</v>
      </c>
      <c r="T2018" cm="1">
        <f t="array" ref="T2018">IF(OR(B2018="MAL ALIMI", B2018="ÜRETİM GİRİŞ"), MIN(I2018, MAX(0, I2018 + SUM(SUMIFS($I$1:I2017, $C$1:C2017, C2018, $B$1:B2017, {"MAL ALIMI","ÜRETİM GİRİŞ"})) - VLOOKUP(C2018, 'STOK RAPORU'!$C$2:$I$1000, 4, 0))), 0)</f>
        <v>0</v>
      </c>
      <c r="U2018" s="22">
        <f t="shared" si="124"/>
        <v>0</v>
      </c>
      <c r="V2018">
        <f t="shared" si="125"/>
        <v>0</v>
      </c>
      <c r="W2018" s="22">
        <f t="shared" si="126"/>
        <v>0</v>
      </c>
    </row>
    <row r="2019" spans="1:23" hidden="1" x14ac:dyDescent="0.25">
      <c r="A2019" s="3">
        <v>46001</v>
      </c>
      <c r="B2019" s="4" t="s">
        <v>334</v>
      </c>
      <c r="C2019" s="4" t="s">
        <v>549</v>
      </c>
      <c r="D2019" s="4"/>
      <c r="E2019" s="4" t="s">
        <v>921</v>
      </c>
      <c r="F2019" s="4" t="s">
        <v>1216</v>
      </c>
      <c r="G2019" s="4" t="s">
        <v>336</v>
      </c>
      <c r="H2019" s="4" t="s">
        <v>380</v>
      </c>
      <c r="I2019" s="4">
        <v>1</v>
      </c>
      <c r="J2019" s="21">
        <v>300</v>
      </c>
      <c r="K2019" s="21">
        <v>300</v>
      </c>
      <c r="L2019" s="5">
        <v>0</v>
      </c>
      <c r="M2019" s="4"/>
      <c r="N2019" s="4"/>
      <c r="O2019" s="5"/>
      <c r="P2019" s="5"/>
      <c r="Q2019" s="21">
        <v>0</v>
      </c>
      <c r="R2019" s="21">
        <v>0</v>
      </c>
      <c r="S2019" s="5">
        <f t="shared" si="127"/>
        <v>77850.937120151983</v>
      </c>
      <c r="T2019" cm="1">
        <f t="array" ref="T2019">IF(OR(B2019="MAL ALIMI", B2019="ÜRETİM GİRİŞ"), MIN(I2019, MAX(0, I2019 + SUM(SUMIFS($I$1:I2018, $C$1:C2018, C2019, $B$1:B2018, {"MAL ALIMI","ÜRETİM GİRİŞ"})) - VLOOKUP(C2019, 'STOK RAPORU'!$C$2:$I$1000, 4, 0))), 0)</f>
        <v>0</v>
      </c>
      <c r="U2019" s="22">
        <f t="shared" si="124"/>
        <v>0</v>
      </c>
      <c r="V2019">
        <f t="shared" si="125"/>
        <v>0</v>
      </c>
      <c r="W2019" s="22">
        <f t="shared" si="126"/>
        <v>0</v>
      </c>
    </row>
    <row r="2020" spans="1:23" hidden="1" x14ac:dyDescent="0.25">
      <c r="A2020" s="3">
        <v>46001</v>
      </c>
      <c r="B2020" s="4" t="s">
        <v>334</v>
      </c>
      <c r="C2020" s="4" t="s">
        <v>243</v>
      </c>
      <c r="D2020" s="4"/>
      <c r="E2020" s="4" t="s">
        <v>921</v>
      </c>
      <c r="F2020" s="4" t="s">
        <v>1216</v>
      </c>
      <c r="G2020" s="4" t="s">
        <v>336</v>
      </c>
      <c r="H2020" s="4" t="s">
        <v>380</v>
      </c>
      <c r="I2020" s="4">
        <v>1</v>
      </c>
      <c r="J2020" s="21">
        <v>180</v>
      </c>
      <c r="K2020" s="21">
        <v>180</v>
      </c>
      <c r="L2020" s="5">
        <v>0</v>
      </c>
      <c r="M2020" s="4"/>
      <c r="N2020" s="4"/>
      <c r="O2020" s="5"/>
      <c r="P2020" s="5"/>
      <c r="Q2020" s="21">
        <v>0</v>
      </c>
      <c r="R2020" s="21">
        <v>0</v>
      </c>
      <c r="S2020" s="5">
        <f t="shared" si="127"/>
        <v>77850.937120151983</v>
      </c>
      <c r="T2020" cm="1">
        <f t="array" ref="T2020">IF(OR(B2020="MAL ALIMI", B2020="ÜRETİM GİRİŞ"), MIN(I2020, MAX(0, I2020 + SUM(SUMIFS($I$1:I2019, $C$1:C2019, C2020, $B$1:B2019, {"MAL ALIMI","ÜRETİM GİRİŞ"})) - VLOOKUP(C2020, 'STOK RAPORU'!$C$2:$I$1000, 4, 0))), 0)</f>
        <v>0</v>
      </c>
      <c r="U2020" s="22">
        <f t="shared" si="124"/>
        <v>0</v>
      </c>
      <c r="V2020">
        <f t="shared" si="125"/>
        <v>0</v>
      </c>
      <c r="W2020" s="22">
        <f t="shared" si="126"/>
        <v>0</v>
      </c>
    </row>
    <row r="2021" spans="1:23" hidden="1" x14ac:dyDescent="0.25">
      <c r="A2021" s="3">
        <v>46001</v>
      </c>
      <c r="B2021" s="4" t="s">
        <v>334</v>
      </c>
      <c r="C2021" s="4" t="s">
        <v>247</v>
      </c>
      <c r="D2021" s="4"/>
      <c r="E2021" s="4" t="s">
        <v>921</v>
      </c>
      <c r="F2021" s="4" t="s">
        <v>1216</v>
      </c>
      <c r="G2021" s="4" t="s">
        <v>336</v>
      </c>
      <c r="H2021" s="4" t="s">
        <v>380</v>
      </c>
      <c r="I2021" s="4">
        <v>8.5999999999999993E-2</v>
      </c>
      <c r="J2021" s="21">
        <v>1200</v>
      </c>
      <c r="K2021" s="21">
        <v>103.19999999999999</v>
      </c>
      <c r="L2021" s="5">
        <v>0</v>
      </c>
      <c r="M2021" s="4"/>
      <c r="N2021" s="4"/>
      <c r="O2021" s="5"/>
      <c r="P2021" s="5"/>
      <c r="Q2021" s="21">
        <v>0</v>
      </c>
      <c r="R2021" s="21">
        <v>0</v>
      </c>
      <c r="S2021" s="5">
        <f t="shared" si="127"/>
        <v>77850.937120151983</v>
      </c>
      <c r="T2021" cm="1">
        <f t="array" ref="T2021">IF(OR(B2021="MAL ALIMI", B2021="ÜRETİM GİRİŞ"), MIN(I2021, MAX(0, I2021 + SUM(SUMIFS($I$1:I2020, $C$1:C2020, C2021, $B$1:B2020, {"MAL ALIMI","ÜRETİM GİRİŞ"})) - VLOOKUP(C2021, 'STOK RAPORU'!$C$2:$I$1000, 4, 0))), 0)</f>
        <v>0</v>
      </c>
      <c r="U2021" s="22">
        <f t="shared" si="124"/>
        <v>0</v>
      </c>
      <c r="V2021">
        <f t="shared" si="125"/>
        <v>0</v>
      </c>
      <c r="W2021" s="22">
        <f t="shared" si="126"/>
        <v>0</v>
      </c>
    </row>
    <row r="2022" spans="1:23" hidden="1" x14ac:dyDescent="0.25">
      <c r="A2022" s="3">
        <v>46001</v>
      </c>
      <c r="B2022" s="4" t="s">
        <v>334</v>
      </c>
      <c r="C2022" s="4" t="s">
        <v>483</v>
      </c>
      <c r="D2022" s="4"/>
      <c r="E2022" s="4" t="s">
        <v>921</v>
      </c>
      <c r="F2022" s="4" t="s">
        <v>1216</v>
      </c>
      <c r="G2022" s="4" t="s">
        <v>336</v>
      </c>
      <c r="H2022" s="4" t="s">
        <v>380</v>
      </c>
      <c r="I2022" s="4">
        <v>0.156</v>
      </c>
      <c r="J2022" s="21">
        <v>650</v>
      </c>
      <c r="K2022" s="21">
        <v>101.4</v>
      </c>
      <c r="L2022" s="5">
        <v>0</v>
      </c>
      <c r="M2022" s="4"/>
      <c r="N2022" s="4"/>
      <c r="O2022" s="5"/>
      <c r="P2022" s="5"/>
      <c r="Q2022" s="21">
        <v>0</v>
      </c>
      <c r="R2022" s="21">
        <v>0</v>
      </c>
      <c r="S2022" s="5">
        <f t="shared" si="127"/>
        <v>77850.937120151983</v>
      </c>
      <c r="T2022" cm="1">
        <f t="array" ref="T2022">IF(OR(B2022="MAL ALIMI", B2022="ÜRETİM GİRİŞ"), MIN(I2022, MAX(0, I2022 + SUM(SUMIFS($I$1:I2021, $C$1:C2021, C2022, $B$1:B2021, {"MAL ALIMI","ÜRETİM GİRİŞ"})) - VLOOKUP(C2022, 'STOK RAPORU'!$C$2:$I$1000, 4, 0))), 0)</f>
        <v>0</v>
      </c>
      <c r="U2022" s="22">
        <f t="shared" si="124"/>
        <v>0</v>
      </c>
      <c r="V2022">
        <f t="shared" si="125"/>
        <v>0</v>
      </c>
      <c r="W2022" s="22">
        <f t="shared" si="126"/>
        <v>0</v>
      </c>
    </row>
    <row r="2023" spans="1:23" hidden="1" x14ac:dyDescent="0.25">
      <c r="A2023" s="3">
        <v>46001</v>
      </c>
      <c r="B2023" s="4" t="s">
        <v>334</v>
      </c>
      <c r="C2023" s="4" t="s">
        <v>690</v>
      </c>
      <c r="D2023" s="4"/>
      <c r="E2023" s="4" t="s">
        <v>921</v>
      </c>
      <c r="F2023" s="4" t="s">
        <v>1216</v>
      </c>
      <c r="G2023" s="4" t="s">
        <v>336</v>
      </c>
      <c r="H2023" s="4" t="s">
        <v>380</v>
      </c>
      <c r="I2023" s="4">
        <v>0.37</v>
      </c>
      <c r="J2023" s="21">
        <v>340</v>
      </c>
      <c r="K2023" s="21">
        <v>125.8</v>
      </c>
      <c r="L2023" s="5">
        <v>0</v>
      </c>
      <c r="M2023" s="4"/>
      <c r="N2023" s="4"/>
      <c r="O2023" s="5"/>
      <c r="P2023" s="5"/>
      <c r="Q2023" s="21">
        <v>0</v>
      </c>
      <c r="R2023" s="21">
        <v>0</v>
      </c>
      <c r="S2023" s="5">
        <f t="shared" si="127"/>
        <v>77850.937120151983</v>
      </c>
      <c r="T2023" cm="1">
        <f t="array" ref="T2023">IF(OR(B2023="MAL ALIMI", B2023="ÜRETİM GİRİŞ"), MIN(I2023, MAX(0, I2023 + SUM(SUMIFS($I$1:I2022, $C$1:C2022, C2023, $B$1:B2022, {"MAL ALIMI","ÜRETİM GİRİŞ"})) - VLOOKUP(C2023, 'STOK RAPORU'!$C$2:$I$1000, 4, 0))), 0)</f>
        <v>0</v>
      </c>
      <c r="U2023" s="22">
        <f t="shared" si="124"/>
        <v>0</v>
      </c>
      <c r="V2023">
        <f t="shared" si="125"/>
        <v>0</v>
      </c>
      <c r="W2023" s="22">
        <f t="shared" si="126"/>
        <v>0</v>
      </c>
    </row>
    <row r="2024" spans="1:23" hidden="1" x14ac:dyDescent="0.25">
      <c r="A2024" s="3">
        <v>46001</v>
      </c>
      <c r="B2024" s="4" t="s">
        <v>334</v>
      </c>
      <c r="C2024" s="4" t="s">
        <v>266</v>
      </c>
      <c r="D2024" s="4"/>
      <c r="E2024" s="4" t="s">
        <v>921</v>
      </c>
      <c r="F2024" s="4" t="s">
        <v>1216</v>
      </c>
      <c r="G2024" s="4" t="s">
        <v>336</v>
      </c>
      <c r="H2024" s="4" t="s">
        <v>380</v>
      </c>
      <c r="I2024" s="4">
        <v>0.29199999999999998</v>
      </c>
      <c r="J2024" s="21">
        <v>250</v>
      </c>
      <c r="K2024" s="21">
        <v>73</v>
      </c>
      <c r="L2024" s="5">
        <v>0</v>
      </c>
      <c r="M2024" s="4"/>
      <c r="N2024" s="4"/>
      <c r="O2024" s="5"/>
      <c r="P2024" s="5"/>
      <c r="Q2024" s="21">
        <v>0</v>
      </c>
      <c r="R2024" s="21">
        <v>0</v>
      </c>
      <c r="S2024" s="5">
        <f t="shared" si="127"/>
        <v>77850.937120151983</v>
      </c>
      <c r="T2024" cm="1">
        <f t="array" ref="T2024">IF(OR(B2024="MAL ALIMI", B2024="ÜRETİM GİRİŞ"), MIN(I2024, MAX(0, I2024 + SUM(SUMIFS($I$1:I2023, $C$1:C2023, C2024, $B$1:B2023, {"MAL ALIMI","ÜRETİM GİRİŞ"})) - VLOOKUP(C2024, 'STOK RAPORU'!$C$2:$I$1000, 4, 0))), 0)</f>
        <v>0</v>
      </c>
      <c r="U2024" s="22">
        <f t="shared" si="124"/>
        <v>0</v>
      </c>
      <c r="V2024">
        <f t="shared" si="125"/>
        <v>0</v>
      </c>
      <c r="W2024" s="22">
        <f t="shared" si="126"/>
        <v>0</v>
      </c>
    </row>
    <row r="2025" spans="1:23" hidden="1" x14ac:dyDescent="0.25">
      <c r="A2025" s="3">
        <v>46001</v>
      </c>
      <c r="B2025" s="4" t="s">
        <v>334</v>
      </c>
      <c r="C2025" s="4" t="s">
        <v>60</v>
      </c>
      <c r="D2025" s="4"/>
      <c r="E2025" s="4" t="s">
        <v>921</v>
      </c>
      <c r="F2025" s="4" t="s">
        <v>1217</v>
      </c>
      <c r="G2025" s="4" t="s">
        <v>336</v>
      </c>
      <c r="H2025" s="4" t="s">
        <v>380</v>
      </c>
      <c r="I2025" s="4">
        <v>0.05</v>
      </c>
      <c r="J2025" s="21">
        <v>1200</v>
      </c>
      <c r="K2025" s="21">
        <v>60</v>
      </c>
      <c r="L2025" s="5">
        <v>0</v>
      </c>
      <c r="M2025" s="4"/>
      <c r="N2025" s="4"/>
      <c r="O2025" s="5"/>
      <c r="P2025" s="5"/>
      <c r="Q2025" s="21">
        <v>0</v>
      </c>
      <c r="R2025" s="21">
        <v>0</v>
      </c>
      <c r="S2025" s="5">
        <f t="shared" si="127"/>
        <v>77850.937120151983</v>
      </c>
      <c r="T2025" cm="1">
        <f t="array" ref="T2025">IF(OR(B2025="MAL ALIMI", B2025="ÜRETİM GİRİŞ"), MIN(I2025, MAX(0, I2025 + SUM(SUMIFS($I$1:I2024, $C$1:C2024, C2025, $B$1:B2024, {"MAL ALIMI","ÜRETİM GİRİŞ"})) - VLOOKUP(C2025, 'STOK RAPORU'!$C$2:$I$1000, 4, 0))), 0)</f>
        <v>0</v>
      </c>
      <c r="U2025" s="22">
        <f t="shared" si="124"/>
        <v>0</v>
      </c>
      <c r="V2025">
        <f t="shared" si="125"/>
        <v>0</v>
      </c>
      <c r="W2025" s="22">
        <f t="shared" si="126"/>
        <v>0</v>
      </c>
    </row>
    <row r="2026" spans="1:23" hidden="1" x14ac:dyDescent="0.25">
      <c r="A2026" s="3">
        <v>46001</v>
      </c>
      <c r="B2026" s="4" t="s">
        <v>334</v>
      </c>
      <c r="C2026" s="4" t="s">
        <v>757</v>
      </c>
      <c r="D2026" s="4"/>
      <c r="E2026" s="4" t="s">
        <v>921</v>
      </c>
      <c r="F2026" s="4" t="s">
        <v>1217</v>
      </c>
      <c r="G2026" s="4" t="s">
        <v>336</v>
      </c>
      <c r="H2026" s="4" t="s">
        <v>380</v>
      </c>
      <c r="I2026" s="4">
        <v>1</v>
      </c>
      <c r="J2026" s="21">
        <v>440</v>
      </c>
      <c r="K2026" s="21">
        <v>440</v>
      </c>
      <c r="L2026" s="5">
        <v>0</v>
      </c>
      <c r="M2026" s="4"/>
      <c r="N2026" s="4"/>
      <c r="O2026" s="5"/>
      <c r="P2026" s="5"/>
      <c r="Q2026" s="21">
        <v>0</v>
      </c>
      <c r="R2026" s="21">
        <v>0</v>
      </c>
      <c r="S2026" s="5">
        <f t="shared" si="127"/>
        <v>77850.937120151983</v>
      </c>
      <c r="T2026" cm="1">
        <f t="array" ref="T2026">IF(OR(B2026="MAL ALIMI", B2026="ÜRETİM GİRİŞ"), MIN(I2026, MAX(0, I2026 + SUM(SUMIFS($I$1:I2025, $C$1:C2025, C2026, $B$1:B2025, {"MAL ALIMI","ÜRETİM GİRİŞ"})) - VLOOKUP(C2026, 'STOK RAPORU'!$C$2:$I$1000, 4, 0))), 0)</f>
        <v>0</v>
      </c>
      <c r="U2026" s="22">
        <f t="shared" si="124"/>
        <v>0</v>
      </c>
      <c r="V2026">
        <f t="shared" si="125"/>
        <v>0</v>
      </c>
      <c r="W2026" s="22">
        <f t="shared" si="126"/>
        <v>0</v>
      </c>
    </row>
    <row r="2027" spans="1:23" hidden="1" x14ac:dyDescent="0.25">
      <c r="A2027" s="3">
        <v>46001</v>
      </c>
      <c r="B2027" s="4" t="s">
        <v>334</v>
      </c>
      <c r="C2027" s="4" t="s">
        <v>98</v>
      </c>
      <c r="D2027" s="4"/>
      <c r="E2027" s="4" t="s">
        <v>921</v>
      </c>
      <c r="F2027" s="4" t="s">
        <v>1217</v>
      </c>
      <c r="G2027" s="4" t="s">
        <v>336</v>
      </c>
      <c r="H2027" s="4" t="s">
        <v>380</v>
      </c>
      <c r="I2027" s="4">
        <v>0.1388888888888889</v>
      </c>
      <c r="J2027" s="21">
        <v>360</v>
      </c>
      <c r="K2027" s="21">
        <v>50</v>
      </c>
      <c r="L2027" s="5">
        <v>0</v>
      </c>
      <c r="M2027" s="4"/>
      <c r="N2027" s="4"/>
      <c r="O2027" s="5"/>
      <c r="P2027" s="5"/>
      <c r="Q2027" s="21">
        <v>0</v>
      </c>
      <c r="R2027" s="21">
        <v>0</v>
      </c>
      <c r="S2027" s="5">
        <f t="shared" si="127"/>
        <v>77850.937120151983</v>
      </c>
      <c r="T2027" cm="1">
        <f t="array" ref="T2027">IF(OR(B2027="MAL ALIMI", B2027="ÜRETİM GİRİŞ"), MIN(I2027, MAX(0, I2027 + SUM(SUMIFS($I$1:I2026, $C$1:C2026, C2027, $B$1:B2026, {"MAL ALIMI","ÜRETİM GİRİŞ"})) - VLOOKUP(C2027, 'STOK RAPORU'!$C$2:$I$1000, 4, 0))), 0)</f>
        <v>0</v>
      </c>
      <c r="U2027" s="22">
        <f t="shared" si="124"/>
        <v>0</v>
      </c>
      <c r="V2027">
        <f t="shared" si="125"/>
        <v>0</v>
      </c>
      <c r="W2027" s="22">
        <f t="shared" si="126"/>
        <v>0</v>
      </c>
    </row>
    <row r="2028" spans="1:23" hidden="1" x14ac:dyDescent="0.25">
      <c r="A2028" s="3">
        <v>46001</v>
      </c>
      <c r="B2028" s="4" t="s">
        <v>334</v>
      </c>
      <c r="C2028" s="4" t="s">
        <v>263</v>
      </c>
      <c r="D2028" s="4"/>
      <c r="E2028" s="4" t="s">
        <v>921</v>
      </c>
      <c r="F2028" s="4" t="s">
        <v>1217</v>
      </c>
      <c r="G2028" s="4" t="s">
        <v>336</v>
      </c>
      <c r="H2028" s="4" t="s">
        <v>380</v>
      </c>
      <c r="I2028" s="4">
        <v>1</v>
      </c>
      <c r="J2028" s="21">
        <v>140</v>
      </c>
      <c r="K2028" s="21">
        <v>140</v>
      </c>
      <c r="L2028" s="5">
        <v>0</v>
      </c>
      <c r="M2028" s="4"/>
      <c r="N2028" s="4"/>
      <c r="O2028" s="5"/>
      <c r="P2028" s="5"/>
      <c r="Q2028" s="21">
        <v>0</v>
      </c>
      <c r="R2028" s="21">
        <v>0</v>
      </c>
      <c r="S2028" s="5">
        <f t="shared" si="127"/>
        <v>77850.937120151983</v>
      </c>
      <c r="T2028" cm="1">
        <f t="array" ref="T2028">IF(OR(B2028="MAL ALIMI", B2028="ÜRETİM GİRİŞ"), MIN(I2028, MAX(0, I2028 + SUM(SUMIFS($I$1:I2027, $C$1:C2027, C2028, $B$1:B2027, {"MAL ALIMI","ÜRETİM GİRİŞ"})) - VLOOKUP(C2028, 'STOK RAPORU'!$C$2:$I$1000, 4, 0))), 0)</f>
        <v>0</v>
      </c>
      <c r="U2028" s="22">
        <f t="shared" si="124"/>
        <v>0</v>
      </c>
      <c r="V2028">
        <f t="shared" si="125"/>
        <v>0</v>
      </c>
      <c r="W2028" s="22">
        <f t="shared" si="126"/>
        <v>0</v>
      </c>
    </row>
    <row r="2029" spans="1:23" hidden="1" x14ac:dyDescent="0.25">
      <c r="A2029" s="3">
        <v>46001</v>
      </c>
      <c r="B2029" s="4" t="s">
        <v>917</v>
      </c>
      <c r="C2029" s="4"/>
      <c r="D2029" s="4"/>
      <c r="E2029" s="4" t="s">
        <v>856</v>
      </c>
      <c r="F2029" s="4"/>
      <c r="G2029" s="4" t="s">
        <v>920</v>
      </c>
      <c r="H2029" s="4" t="s">
        <v>289</v>
      </c>
      <c r="I2029" s="4">
        <v>1</v>
      </c>
      <c r="J2029" s="35">
        <v>0</v>
      </c>
      <c r="K2029" s="35">
        <v>44186.827999904999</v>
      </c>
      <c r="L2029" s="5">
        <v>0</v>
      </c>
      <c r="M2029" s="4"/>
      <c r="N2029" s="4"/>
      <c r="O2029" s="5"/>
      <c r="P2029" s="5"/>
      <c r="Q2029" s="35">
        <v>0</v>
      </c>
      <c r="R2029" s="35">
        <v>44186.83</v>
      </c>
      <c r="S2029" s="5">
        <f t="shared" si="127"/>
        <v>33664.107120151981</v>
      </c>
      <c r="T2029" cm="1">
        <f t="array" ref="T2029">IF(OR(B2029="MAL ALIMI", B2029="ÜRETİM GİRİŞ"), MIN(I2029, MAX(0, I2029 + SUM(SUMIFS($I$1:I2028, $C$1:C2028, C2029, $B$1:B2028, {"MAL ALIMI","ÜRETİM GİRİŞ"})) - VLOOKUP(C2029, 'STOK RAPORU'!$C$2:$I$1000, 4, 0))), 0)</f>
        <v>0</v>
      </c>
      <c r="U2029" s="22">
        <f t="shared" si="124"/>
        <v>0</v>
      </c>
      <c r="V2029">
        <f t="shared" si="125"/>
        <v>0</v>
      </c>
      <c r="W2029" s="22">
        <f t="shared" si="126"/>
        <v>0</v>
      </c>
    </row>
    <row r="2030" spans="1:23" hidden="1" x14ac:dyDescent="0.25">
      <c r="A2030" s="3">
        <v>46001</v>
      </c>
      <c r="B2030" s="4" t="s">
        <v>946</v>
      </c>
      <c r="C2030" s="4"/>
      <c r="D2030" s="4"/>
      <c r="E2030" s="4" t="s">
        <v>921</v>
      </c>
      <c r="F2030" s="4"/>
      <c r="G2030" s="4" t="s">
        <v>946</v>
      </c>
      <c r="H2030" s="4" t="s">
        <v>380</v>
      </c>
      <c r="I2030" s="4">
        <v>1</v>
      </c>
      <c r="J2030" s="105">
        <v>200</v>
      </c>
      <c r="K2030" s="21">
        <v>0</v>
      </c>
      <c r="L2030" s="111">
        <v>200</v>
      </c>
      <c r="M2030" s="4"/>
      <c r="N2030" s="4"/>
      <c r="O2030" s="5"/>
      <c r="P2030" s="5"/>
      <c r="Q2030" s="21">
        <v>200</v>
      </c>
      <c r="R2030" s="21">
        <v>0</v>
      </c>
      <c r="S2030" s="5">
        <f t="shared" si="127"/>
        <v>33864.107120151981</v>
      </c>
      <c r="T2030" cm="1">
        <f t="array" ref="T2030">IF(OR(B2030="MAL ALIMI", B2030="ÜRETİM GİRİŞ"), MIN(I2030, MAX(0, I2030 + SUM(SUMIFS($I$1:I2029, $C$1:C2029, C2030, $B$1:B2029, {"MAL ALIMI","ÜRETİM GİRİŞ"})) - VLOOKUP(C2030, 'STOK RAPORU'!$C$2:$I$1000, 4, 0))), 0)</f>
        <v>0</v>
      </c>
      <c r="U2030" s="22">
        <f t="shared" si="124"/>
        <v>0</v>
      </c>
      <c r="V2030">
        <f t="shared" si="125"/>
        <v>0</v>
      </c>
      <c r="W2030" s="22">
        <f t="shared" si="126"/>
        <v>0</v>
      </c>
    </row>
    <row r="2031" spans="1:23" hidden="1" x14ac:dyDescent="0.25">
      <c r="A2031" s="3">
        <v>46001</v>
      </c>
      <c r="B2031" s="4" t="s">
        <v>946</v>
      </c>
      <c r="C2031" s="4"/>
      <c r="D2031" s="4"/>
      <c r="E2031" s="4" t="s">
        <v>921</v>
      </c>
      <c r="F2031" s="4"/>
      <c r="G2031" s="4" t="s">
        <v>946</v>
      </c>
      <c r="H2031" s="4" t="s">
        <v>380</v>
      </c>
      <c r="I2031" s="4">
        <v>1</v>
      </c>
      <c r="J2031" s="105">
        <v>620</v>
      </c>
      <c r="K2031" s="21">
        <v>0</v>
      </c>
      <c r="L2031" s="111">
        <v>620</v>
      </c>
      <c r="M2031" s="4"/>
      <c r="N2031" s="4"/>
      <c r="O2031" s="5"/>
      <c r="P2031" s="5"/>
      <c r="Q2031" s="21">
        <v>620</v>
      </c>
      <c r="R2031" s="21">
        <v>0</v>
      </c>
      <c r="S2031" s="5">
        <f t="shared" si="127"/>
        <v>34484.107120151981</v>
      </c>
      <c r="T2031" cm="1">
        <f t="array" ref="T2031">IF(OR(B2031="MAL ALIMI", B2031="ÜRETİM GİRİŞ"), MIN(I2031, MAX(0, I2031 + SUM(SUMIFS($I$1:I2030, $C$1:C2030, C2031, $B$1:B2030, {"MAL ALIMI","ÜRETİM GİRİŞ"})) - VLOOKUP(C2031, 'STOK RAPORU'!$C$2:$I$1000, 4, 0))), 0)</f>
        <v>0</v>
      </c>
      <c r="U2031" s="22">
        <f t="shared" si="124"/>
        <v>0</v>
      </c>
      <c r="V2031">
        <f t="shared" si="125"/>
        <v>0</v>
      </c>
      <c r="W2031" s="22">
        <f t="shared" si="126"/>
        <v>0</v>
      </c>
    </row>
    <row r="2032" spans="1:23" hidden="1" x14ac:dyDescent="0.25">
      <c r="A2032" s="3">
        <v>46001</v>
      </c>
      <c r="B2032" s="4" t="s">
        <v>946</v>
      </c>
      <c r="C2032" s="4"/>
      <c r="D2032" s="4"/>
      <c r="E2032" s="4" t="s">
        <v>921</v>
      </c>
      <c r="F2032" s="4"/>
      <c r="G2032" s="4" t="s">
        <v>946</v>
      </c>
      <c r="H2032" s="4" t="s">
        <v>380</v>
      </c>
      <c r="I2032" s="4">
        <v>1</v>
      </c>
      <c r="J2032" s="109">
        <v>240</v>
      </c>
      <c r="K2032" s="35">
        <v>0</v>
      </c>
      <c r="L2032" s="111">
        <v>240</v>
      </c>
      <c r="M2032" s="4"/>
      <c r="N2032" s="4"/>
      <c r="O2032" s="5"/>
      <c r="P2032" s="5"/>
      <c r="Q2032" s="35">
        <v>240</v>
      </c>
      <c r="R2032" s="35">
        <v>0</v>
      </c>
      <c r="S2032" s="5">
        <f t="shared" si="127"/>
        <v>34724.107120151981</v>
      </c>
      <c r="T2032" cm="1">
        <f t="array" ref="T2032">IF(OR(B2032="MAL ALIMI", B2032="ÜRETİM GİRİŞ"), MIN(I2032, MAX(0, I2032 + SUM(SUMIFS($I$1:I2031, $C$1:C2031, C2032, $B$1:B2031, {"MAL ALIMI","ÜRETİM GİRİŞ"})) - VLOOKUP(C2032, 'STOK RAPORU'!$C$2:$I$1000, 4, 0))), 0)</f>
        <v>0</v>
      </c>
      <c r="U2032" s="22">
        <f t="shared" si="124"/>
        <v>0</v>
      </c>
      <c r="V2032">
        <f t="shared" si="125"/>
        <v>0</v>
      </c>
      <c r="W2032" s="22">
        <f t="shared" si="126"/>
        <v>0</v>
      </c>
    </row>
    <row r="2033" spans="1:23" hidden="1" x14ac:dyDescent="0.25">
      <c r="A2033" s="3">
        <v>46002</v>
      </c>
      <c r="B2033" s="4" t="s">
        <v>285</v>
      </c>
      <c r="C2033" s="4"/>
      <c r="D2033" s="4" t="s">
        <v>112</v>
      </c>
      <c r="E2033" s="4" t="s">
        <v>856</v>
      </c>
      <c r="F2033" s="4" t="s">
        <v>1338</v>
      </c>
      <c r="G2033" s="4" t="s">
        <v>1337</v>
      </c>
      <c r="H2033" s="4" t="s">
        <v>1329</v>
      </c>
      <c r="I2033" s="4">
        <v>1</v>
      </c>
      <c r="J2033" s="35">
        <v>586.79999999999995</v>
      </c>
      <c r="K2033" s="35">
        <v>0</v>
      </c>
      <c r="L2033" s="5">
        <v>586.79999999999995</v>
      </c>
      <c r="M2033" s="4"/>
      <c r="N2033" s="4"/>
      <c r="O2033" s="5"/>
      <c r="P2033" s="5"/>
      <c r="Q2033" s="35">
        <v>0</v>
      </c>
      <c r="R2033" s="35">
        <v>0</v>
      </c>
      <c r="S2033" s="5">
        <f t="shared" si="127"/>
        <v>34724.107120151981</v>
      </c>
      <c r="T2033" cm="1">
        <f t="array" ref="T2033">IF(OR(B2033="MAL ALIMI", B2033="ÜRETİM GİRİŞ"), MIN(I2033, MAX(0, I2033 + SUM(SUMIFS($I$1:I2032, $C$1:C2032, C2033, $B$1:B2032, {"MAL ALIMI","ÜRETİM GİRİŞ"})) - VLOOKUP(C2033, 'STOK RAPORU'!$C$2:$I$1000, 4, 0))), 0)</f>
        <v>0</v>
      </c>
      <c r="U2033" s="22">
        <f t="shared" si="124"/>
        <v>0</v>
      </c>
      <c r="V2033">
        <f t="shared" si="125"/>
        <v>0</v>
      </c>
      <c r="W2033" s="22">
        <f t="shared" si="126"/>
        <v>0</v>
      </c>
    </row>
    <row r="2034" spans="1:23" hidden="1" x14ac:dyDescent="0.25">
      <c r="A2034" s="3">
        <v>46002</v>
      </c>
      <c r="B2034" s="4" t="s">
        <v>334</v>
      </c>
      <c r="C2034" s="4" t="s">
        <v>154</v>
      </c>
      <c r="D2034" s="4"/>
      <c r="E2034" s="4"/>
      <c r="F2034" s="4" t="s">
        <v>1218</v>
      </c>
      <c r="G2034" s="4" t="s">
        <v>336</v>
      </c>
      <c r="H2034" s="4" t="s">
        <v>289</v>
      </c>
      <c r="I2034" s="4">
        <v>0.1</v>
      </c>
      <c r="J2034" s="21">
        <v>400</v>
      </c>
      <c r="K2034" s="21">
        <v>0</v>
      </c>
      <c r="L2034" s="5">
        <v>0</v>
      </c>
      <c r="M2034" s="4"/>
      <c r="N2034" s="4"/>
      <c r="O2034" s="5"/>
      <c r="P2034" s="5"/>
      <c r="Q2034" s="21">
        <v>40</v>
      </c>
      <c r="R2034" s="21">
        <v>0</v>
      </c>
      <c r="S2034" s="5">
        <f t="shared" si="127"/>
        <v>34764.107120151981</v>
      </c>
      <c r="T2034" cm="1">
        <f t="array" ref="T2034">IF(OR(B2034="MAL ALIMI", B2034="ÜRETİM GİRİŞ"), MIN(I2034, MAX(0, I2034 + SUM(SUMIFS($I$1:I2033, $C$1:C2033, C2034, $B$1:B2033, {"MAL ALIMI","ÜRETİM GİRİŞ"})) - VLOOKUP(C2034, 'STOK RAPORU'!$C$2:$I$1000, 4, 0))), 0)</f>
        <v>0</v>
      </c>
      <c r="U2034" s="22">
        <f t="shared" si="124"/>
        <v>0</v>
      </c>
      <c r="V2034">
        <f t="shared" si="125"/>
        <v>0</v>
      </c>
      <c r="W2034" s="22">
        <f t="shared" si="126"/>
        <v>0</v>
      </c>
    </row>
    <row r="2035" spans="1:23" hidden="1" x14ac:dyDescent="0.25">
      <c r="A2035" s="3">
        <v>46002</v>
      </c>
      <c r="B2035" s="4" t="s">
        <v>334</v>
      </c>
      <c r="C2035" s="4" t="s">
        <v>131</v>
      </c>
      <c r="D2035" s="4"/>
      <c r="E2035" s="4"/>
      <c r="F2035" s="4" t="s">
        <v>1218</v>
      </c>
      <c r="G2035" s="4" t="s">
        <v>336</v>
      </c>
      <c r="H2035" s="4" t="s">
        <v>289</v>
      </c>
      <c r="I2035" s="4">
        <v>0.08</v>
      </c>
      <c r="J2035" s="21">
        <v>400</v>
      </c>
      <c r="K2035" s="21">
        <v>0</v>
      </c>
      <c r="L2035" s="5">
        <v>0</v>
      </c>
      <c r="M2035" s="4"/>
      <c r="N2035" s="4"/>
      <c r="O2035" s="5"/>
      <c r="P2035" s="5"/>
      <c r="Q2035" s="21">
        <v>32</v>
      </c>
      <c r="R2035" s="21">
        <v>0</v>
      </c>
      <c r="S2035" s="5">
        <f t="shared" si="127"/>
        <v>34796.107120151981</v>
      </c>
      <c r="T2035" cm="1">
        <f t="array" ref="T2035">IF(OR(B2035="MAL ALIMI", B2035="ÜRETİM GİRİŞ"), MIN(I2035, MAX(0, I2035 + SUM(SUMIFS($I$1:I2034, $C$1:C2034, C2035, $B$1:B2034, {"MAL ALIMI","ÜRETİM GİRİŞ"})) - VLOOKUP(C2035, 'STOK RAPORU'!$C$2:$I$1000, 4, 0))), 0)</f>
        <v>0</v>
      </c>
      <c r="U2035" s="22">
        <f t="shared" si="124"/>
        <v>0</v>
      </c>
      <c r="V2035">
        <f t="shared" si="125"/>
        <v>0</v>
      </c>
      <c r="W2035" s="22">
        <f t="shared" si="126"/>
        <v>0</v>
      </c>
    </row>
    <row r="2036" spans="1:23" hidden="1" x14ac:dyDescent="0.25">
      <c r="A2036" s="3">
        <v>46002</v>
      </c>
      <c r="B2036" s="4" t="s">
        <v>334</v>
      </c>
      <c r="C2036" s="4" t="s">
        <v>92</v>
      </c>
      <c r="D2036" s="4"/>
      <c r="E2036" s="4"/>
      <c r="F2036" s="4" t="s">
        <v>1218</v>
      </c>
      <c r="G2036" s="4" t="s">
        <v>336</v>
      </c>
      <c r="H2036" s="4" t="s">
        <v>289</v>
      </c>
      <c r="I2036" s="4">
        <v>0.24</v>
      </c>
      <c r="J2036" s="21">
        <v>500</v>
      </c>
      <c r="K2036" s="21">
        <v>0</v>
      </c>
      <c r="L2036" s="5">
        <v>0</v>
      </c>
      <c r="M2036" s="4"/>
      <c r="N2036" s="4"/>
      <c r="O2036" s="5"/>
      <c r="P2036" s="5"/>
      <c r="Q2036" s="21">
        <v>120</v>
      </c>
      <c r="R2036" s="21">
        <v>0</v>
      </c>
      <c r="S2036" s="5">
        <f t="shared" si="127"/>
        <v>34916.107120151981</v>
      </c>
      <c r="T2036" cm="1">
        <f t="array" ref="T2036">IF(OR(B2036="MAL ALIMI", B2036="ÜRETİM GİRİŞ"), MIN(I2036, MAX(0, I2036 + SUM(SUMIFS($I$1:I2035, $C$1:C2035, C2036, $B$1:B2035, {"MAL ALIMI","ÜRETİM GİRİŞ"})) - VLOOKUP(C2036, 'STOK RAPORU'!$C$2:$I$1000, 4, 0))), 0)</f>
        <v>0</v>
      </c>
      <c r="U2036" s="22">
        <f t="shared" si="124"/>
        <v>0</v>
      </c>
      <c r="V2036">
        <f t="shared" si="125"/>
        <v>0</v>
      </c>
      <c r="W2036" s="22">
        <f t="shared" si="126"/>
        <v>0</v>
      </c>
    </row>
    <row r="2037" spans="1:23" hidden="1" x14ac:dyDescent="0.25">
      <c r="A2037" s="3">
        <v>46002</v>
      </c>
      <c r="B2037" s="4" t="s">
        <v>334</v>
      </c>
      <c r="C2037" s="4" t="s">
        <v>463</v>
      </c>
      <c r="D2037" s="4"/>
      <c r="E2037" s="4"/>
      <c r="F2037" s="4" t="s">
        <v>1218</v>
      </c>
      <c r="G2037" s="4" t="s">
        <v>336</v>
      </c>
      <c r="H2037" s="4" t="s">
        <v>289</v>
      </c>
      <c r="I2037" s="4">
        <v>0.184</v>
      </c>
      <c r="J2037" s="21">
        <v>370</v>
      </c>
      <c r="K2037" s="21">
        <v>0</v>
      </c>
      <c r="L2037" s="5">
        <v>0</v>
      </c>
      <c r="M2037" s="4"/>
      <c r="N2037" s="4"/>
      <c r="O2037" s="5"/>
      <c r="P2037" s="5"/>
      <c r="Q2037" s="21">
        <v>68.08</v>
      </c>
      <c r="R2037" s="21">
        <v>0</v>
      </c>
      <c r="S2037" s="5">
        <f t="shared" si="127"/>
        <v>34984.187120151983</v>
      </c>
      <c r="T2037" cm="1">
        <f t="array" ref="T2037">IF(OR(B2037="MAL ALIMI", B2037="ÜRETİM GİRİŞ"), MIN(I2037, MAX(0, I2037 + SUM(SUMIFS($I$1:I2036, $C$1:C2036, C2037, $B$1:B2036, {"MAL ALIMI","ÜRETİM GİRİŞ"})) - VLOOKUP(C2037, 'STOK RAPORU'!$C$2:$I$1000, 4, 0))), 0)</f>
        <v>0</v>
      </c>
      <c r="U2037" s="22">
        <f t="shared" si="124"/>
        <v>0</v>
      </c>
      <c r="V2037">
        <f t="shared" si="125"/>
        <v>0</v>
      </c>
      <c r="W2037" s="22">
        <f t="shared" si="126"/>
        <v>0</v>
      </c>
    </row>
    <row r="2038" spans="1:23" hidden="1" x14ac:dyDescent="0.25">
      <c r="A2038" s="3">
        <v>46002</v>
      </c>
      <c r="B2038" s="4" t="s">
        <v>334</v>
      </c>
      <c r="C2038" s="4" t="s">
        <v>126</v>
      </c>
      <c r="D2038" s="4"/>
      <c r="E2038" s="4"/>
      <c r="F2038" s="4" t="s">
        <v>1218</v>
      </c>
      <c r="G2038" s="4" t="s">
        <v>336</v>
      </c>
      <c r="H2038" s="4" t="s">
        <v>289</v>
      </c>
      <c r="I2038" s="4">
        <v>0.11</v>
      </c>
      <c r="J2038" s="21">
        <v>640</v>
      </c>
      <c r="K2038" s="21">
        <v>0</v>
      </c>
      <c r="L2038" s="5">
        <v>0</v>
      </c>
      <c r="M2038" s="4"/>
      <c r="N2038" s="4"/>
      <c r="O2038" s="5"/>
      <c r="P2038" s="5"/>
      <c r="Q2038" s="21">
        <v>70.400000000000006</v>
      </c>
      <c r="R2038" s="21">
        <v>0</v>
      </c>
      <c r="S2038" s="5">
        <f t="shared" si="127"/>
        <v>35054.587120151984</v>
      </c>
      <c r="T2038" cm="1">
        <f t="array" ref="T2038">IF(OR(B2038="MAL ALIMI", B2038="ÜRETİM GİRİŞ"), MIN(I2038, MAX(0, I2038 + SUM(SUMIFS($I$1:I2037, $C$1:C2037, C2038, $B$1:B2037, {"MAL ALIMI","ÜRETİM GİRİŞ"})) - VLOOKUP(C2038, 'STOK RAPORU'!$C$2:$I$1000, 4, 0))), 0)</f>
        <v>0</v>
      </c>
      <c r="U2038" s="22">
        <f t="shared" si="124"/>
        <v>0</v>
      </c>
      <c r="V2038">
        <f t="shared" si="125"/>
        <v>0</v>
      </c>
      <c r="W2038" s="22">
        <f t="shared" si="126"/>
        <v>0</v>
      </c>
    </row>
    <row r="2039" spans="1:23" hidden="1" x14ac:dyDescent="0.25">
      <c r="A2039" s="3">
        <v>46002</v>
      </c>
      <c r="B2039" s="4" t="s">
        <v>334</v>
      </c>
      <c r="C2039" s="4" t="s">
        <v>529</v>
      </c>
      <c r="D2039" s="4"/>
      <c r="E2039" s="4"/>
      <c r="F2039" s="4" t="s">
        <v>1218</v>
      </c>
      <c r="G2039" s="4" t="s">
        <v>336</v>
      </c>
      <c r="H2039" s="4" t="s">
        <v>289</v>
      </c>
      <c r="I2039" s="4">
        <v>0.1</v>
      </c>
      <c r="J2039" s="21">
        <v>600</v>
      </c>
      <c r="K2039" s="21">
        <v>0</v>
      </c>
      <c r="L2039" s="5">
        <v>0</v>
      </c>
      <c r="M2039" s="4"/>
      <c r="N2039" s="4"/>
      <c r="O2039" s="5"/>
      <c r="P2039" s="5"/>
      <c r="Q2039" s="21">
        <v>60</v>
      </c>
      <c r="R2039" s="21">
        <v>0</v>
      </c>
      <c r="S2039" s="5">
        <f t="shared" si="127"/>
        <v>35114.587120151984</v>
      </c>
      <c r="T2039" cm="1">
        <f t="array" ref="T2039">IF(OR(B2039="MAL ALIMI", B2039="ÜRETİM GİRİŞ"), MIN(I2039, MAX(0, I2039 + SUM(SUMIFS($I$1:I2038, $C$1:C2038, C2039, $B$1:B2038, {"MAL ALIMI","ÜRETİM GİRİŞ"})) - VLOOKUP(C2039, 'STOK RAPORU'!$C$2:$I$1000, 4, 0))), 0)</f>
        <v>0</v>
      </c>
      <c r="U2039" s="22">
        <f t="shared" si="124"/>
        <v>0</v>
      </c>
      <c r="V2039">
        <f t="shared" si="125"/>
        <v>0</v>
      </c>
      <c r="W2039" s="22">
        <f t="shared" si="126"/>
        <v>0</v>
      </c>
    </row>
    <row r="2040" spans="1:23" hidden="1" x14ac:dyDescent="0.25">
      <c r="A2040" s="3">
        <v>46002</v>
      </c>
      <c r="B2040" s="4" t="s">
        <v>334</v>
      </c>
      <c r="C2040" s="4" t="s">
        <v>132</v>
      </c>
      <c r="D2040" s="4"/>
      <c r="E2040" s="4"/>
      <c r="F2040" s="4" t="s">
        <v>1219</v>
      </c>
      <c r="G2040" s="4" t="s">
        <v>336</v>
      </c>
      <c r="H2040" s="4" t="s">
        <v>289</v>
      </c>
      <c r="I2040" s="4">
        <v>0.17</v>
      </c>
      <c r="J2040" s="21">
        <v>500</v>
      </c>
      <c r="K2040" s="21">
        <v>0</v>
      </c>
      <c r="L2040" s="5">
        <v>0</v>
      </c>
      <c r="M2040" s="4"/>
      <c r="N2040" s="4"/>
      <c r="O2040" s="5"/>
      <c r="P2040" s="5"/>
      <c r="Q2040" s="21">
        <v>85</v>
      </c>
      <c r="R2040" s="21">
        <v>0</v>
      </c>
      <c r="S2040" s="5">
        <f t="shared" si="127"/>
        <v>35199.587120151984</v>
      </c>
      <c r="T2040" cm="1">
        <f t="array" ref="T2040">IF(OR(B2040="MAL ALIMI", B2040="ÜRETİM GİRİŞ"), MIN(I2040, MAX(0, I2040 + SUM(SUMIFS($I$1:I2039, $C$1:C2039, C2040, $B$1:B2039, {"MAL ALIMI","ÜRETİM GİRİŞ"})) - VLOOKUP(C2040, 'STOK RAPORU'!$C$2:$I$1000, 4, 0))), 0)</f>
        <v>0</v>
      </c>
      <c r="U2040" s="22">
        <f t="shared" si="124"/>
        <v>0</v>
      </c>
      <c r="V2040">
        <f t="shared" si="125"/>
        <v>0</v>
      </c>
      <c r="W2040" s="22">
        <f t="shared" si="126"/>
        <v>0</v>
      </c>
    </row>
    <row r="2041" spans="1:23" hidden="1" x14ac:dyDescent="0.25">
      <c r="A2041" s="3">
        <v>46002</v>
      </c>
      <c r="B2041" s="4" t="s">
        <v>334</v>
      </c>
      <c r="C2041" s="4" t="s">
        <v>126</v>
      </c>
      <c r="D2041" s="4"/>
      <c r="E2041" s="4"/>
      <c r="F2041" s="4" t="s">
        <v>1219</v>
      </c>
      <c r="G2041" s="4" t="s">
        <v>336</v>
      </c>
      <c r="H2041" s="4" t="s">
        <v>289</v>
      </c>
      <c r="I2041" s="4">
        <v>0.109375</v>
      </c>
      <c r="J2041" s="21">
        <v>640</v>
      </c>
      <c r="K2041" s="21">
        <v>0</v>
      </c>
      <c r="L2041" s="5">
        <v>0</v>
      </c>
      <c r="M2041" s="4"/>
      <c r="N2041" s="4"/>
      <c r="O2041" s="5"/>
      <c r="P2041" s="5"/>
      <c r="Q2041" s="21">
        <v>70</v>
      </c>
      <c r="R2041" s="21">
        <v>0</v>
      </c>
      <c r="S2041" s="5">
        <f t="shared" si="127"/>
        <v>35269.587120151984</v>
      </c>
      <c r="T2041" cm="1">
        <f t="array" ref="T2041">IF(OR(B2041="MAL ALIMI", B2041="ÜRETİM GİRİŞ"), MIN(I2041, MAX(0, I2041 + SUM(SUMIFS($I$1:I2040, $C$1:C2040, C2041, $B$1:B2040, {"MAL ALIMI","ÜRETİM GİRİŞ"})) - VLOOKUP(C2041, 'STOK RAPORU'!$C$2:$I$1000, 4, 0))), 0)</f>
        <v>0</v>
      </c>
      <c r="U2041" s="22">
        <f t="shared" si="124"/>
        <v>0</v>
      </c>
      <c r="V2041">
        <f t="shared" si="125"/>
        <v>0</v>
      </c>
      <c r="W2041" s="22">
        <f t="shared" si="126"/>
        <v>0</v>
      </c>
    </row>
    <row r="2042" spans="1:23" hidden="1" x14ac:dyDescent="0.25">
      <c r="A2042" s="3">
        <v>46002</v>
      </c>
      <c r="B2042" s="4" t="s">
        <v>334</v>
      </c>
      <c r="C2042" s="4" t="s">
        <v>468</v>
      </c>
      <c r="D2042" s="4"/>
      <c r="E2042" s="4"/>
      <c r="F2042" s="4" t="s">
        <v>1220</v>
      </c>
      <c r="G2042" s="4" t="s">
        <v>336</v>
      </c>
      <c r="H2042" s="4" t="s">
        <v>289</v>
      </c>
      <c r="I2042" s="4">
        <v>1</v>
      </c>
      <c r="J2042" s="21">
        <v>40</v>
      </c>
      <c r="K2042" s="21">
        <v>0</v>
      </c>
      <c r="L2042" s="5">
        <v>0</v>
      </c>
      <c r="M2042" s="4"/>
      <c r="N2042" s="4"/>
      <c r="O2042" s="5"/>
      <c r="P2042" s="5"/>
      <c r="Q2042" s="21">
        <v>40</v>
      </c>
      <c r="R2042" s="21">
        <v>0</v>
      </c>
      <c r="S2042" s="5">
        <f t="shared" si="127"/>
        <v>35309.587120151984</v>
      </c>
      <c r="T2042" cm="1">
        <f t="array" ref="T2042">IF(OR(B2042="MAL ALIMI", B2042="ÜRETİM GİRİŞ"), MIN(I2042, MAX(0, I2042 + SUM(SUMIFS($I$1:I2041, $C$1:C2041, C2042, $B$1:B2041, {"MAL ALIMI","ÜRETİM GİRİŞ"})) - VLOOKUP(C2042, 'STOK RAPORU'!$C$2:$I$1000, 4, 0))), 0)</f>
        <v>0</v>
      </c>
      <c r="U2042" s="22">
        <f t="shared" si="124"/>
        <v>0</v>
      </c>
      <c r="V2042">
        <f t="shared" si="125"/>
        <v>0</v>
      </c>
      <c r="W2042" s="22">
        <f t="shared" si="126"/>
        <v>0</v>
      </c>
    </row>
    <row r="2043" spans="1:23" hidden="1" x14ac:dyDescent="0.25">
      <c r="A2043" s="3">
        <v>46002</v>
      </c>
      <c r="B2043" s="4" t="s">
        <v>334</v>
      </c>
      <c r="C2043" s="4" t="s">
        <v>459</v>
      </c>
      <c r="D2043" s="4"/>
      <c r="E2043" s="4"/>
      <c r="F2043" s="4" t="s">
        <v>1221</v>
      </c>
      <c r="G2043" s="4" t="s">
        <v>336</v>
      </c>
      <c r="H2043" s="4" t="s">
        <v>289</v>
      </c>
      <c r="I2043" s="4">
        <v>0.1</v>
      </c>
      <c r="J2043" s="21">
        <v>200</v>
      </c>
      <c r="K2043" s="21">
        <v>0</v>
      </c>
      <c r="L2043" s="5">
        <v>0</v>
      </c>
      <c r="M2043" s="4"/>
      <c r="N2043" s="4"/>
      <c r="O2043" s="5"/>
      <c r="P2043" s="5"/>
      <c r="Q2043" s="21">
        <v>20</v>
      </c>
      <c r="R2043" s="21">
        <v>0</v>
      </c>
      <c r="S2043" s="5">
        <f t="shared" si="127"/>
        <v>35329.587120151984</v>
      </c>
      <c r="T2043" cm="1">
        <f t="array" ref="T2043">IF(OR(B2043="MAL ALIMI", B2043="ÜRETİM GİRİŞ"), MIN(I2043, MAX(0, I2043 + SUM(SUMIFS($I$1:I2042, $C$1:C2042, C2043, $B$1:B2042, {"MAL ALIMI","ÜRETİM GİRİŞ"})) - VLOOKUP(C2043, 'STOK RAPORU'!$C$2:$I$1000, 4, 0))), 0)</f>
        <v>0</v>
      </c>
      <c r="U2043" s="22">
        <f t="shared" si="124"/>
        <v>0</v>
      </c>
      <c r="V2043">
        <f t="shared" si="125"/>
        <v>0</v>
      </c>
      <c r="W2043" s="22">
        <f t="shared" si="126"/>
        <v>0</v>
      </c>
    </row>
    <row r="2044" spans="1:23" hidden="1" x14ac:dyDescent="0.25">
      <c r="A2044" s="3">
        <v>46002</v>
      </c>
      <c r="B2044" s="4" t="s">
        <v>334</v>
      </c>
      <c r="C2044" s="4" t="s">
        <v>209</v>
      </c>
      <c r="D2044" s="4"/>
      <c r="E2044" s="4"/>
      <c r="F2044" s="4" t="s">
        <v>1222</v>
      </c>
      <c r="G2044" s="4" t="s">
        <v>336</v>
      </c>
      <c r="H2044" s="4" t="s">
        <v>289</v>
      </c>
      <c r="I2044" s="4">
        <v>0.05</v>
      </c>
      <c r="J2044" s="21">
        <v>2600</v>
      </c>
      <c r="K2044" s="21">
        <v>0</v>
      </c>
      <c r="L2044" s="5">
        <v>0</v>
      </c>
      <c r="M2044" s="4"/>
      <c r="N2044" s="4"/>
      <c r="O2044" s="5"/>
      <c r="P2044" s="5"/>
      <c r="Q2044" s="21">
        <v>130</v>
      </c>
      <c r="R2044" s="21">
        <v>0</v>
      </c>
      <c r="S2044" s="5">
        <f t="shared" si="127"/>
        <v>35459.587120151984</v>
      </c>
      <c r="T2044" cm="1">
        <f t="array" ref="T2044">IF(OR(B2044="MAL ALIMI", B2044="ÜRETİM GİRİŞ"), MIN(I2044, MAX(0, I2044 + SUM(SUMIFS($I$1:I2043, $C$1:C2043, C2044, $B$1:B2043, {"MAL ALIMI","ÜRETİM GİRİŞ"})) - VLOOKUP(C2044, 'STOK RAPORU'!$C$2:$I$1000, 4, 0))), 0)</f>
        <v>0</v>
      </c>
      <c r="U2044" s="22">
        <f t="shared" si="124"/>
        <v>0</v>
      </c>
      <c r="V2044">
        <f t="shared" si="125"/>
        <v>0</v>
      </c>
      <c r="W2044" s="22">
        <f t="shared" si="126"/>
        <v>0</v>
      </c>
    </row>
    <row r="2045" spans="1:23" hidden="1" x14ac:dyDescent="0.25">
      <c r="A2045" s="3">
        <v>46002</v>
      </c>
      <c r="B2045" s="4" t="s">
        <v>334</v>
      </c>
      <c r="C2045" s="4" t="s">
        <v>647</v>
      </c>
      <c r="D2045" s="4"/>
      <c r="E2045" s="4"/>
      <c r="F2045" s="4" t="s">
        <v>1223</v>
      </c>
      <c r="G2045" s="4" t="s">
        <v>336</v>
      </c>
      <c r="H2045" s="4" t="s">
        <v>289</v>
      </c>
      <c r="I2045" s="4">
        <v>0.25</v>
      </c>
      <c r="J2045" s="21">
        <v>400</v>
      </c>
      <c r="K2045" s="21">
        <v>0</v>
      </c>
      <c r="L2045" s="5">
        <v>0</v>
      </c>
      <c r="M2045" s="4"/>
      <c r="N2045" s="4"/>
      <c r="O2045" s="5"/>
      <c r="P2045" s="5"/>
      <c r="Q2045" s="21">
        <v>100</v>
      </c>
      <c r="R2045" s="21">
        <v>0</v>
      </c>
      <c r="S2045" s="5">
        <f t="shared" si="127"/>
        <v>35559.587120151984</v>
      </c>
      <c r="T2045" cm="1">
        <f t="array" ref="T2045">IF(OR(B2045="MAL ALIMI", B2045="ÜRETİM GİRİŞ"), MIN(I2045, MAX(0, I2045 + SUM(SUMIFS($I$1:I2044, $C$1:C2044, C2045, $B$1:B2044, {"MAL ALIMI","ÜRETİM GİRİŞ"})) - VLOOKUP(C2045, 'STOK RAPORU'!$C$2:$I$1000, 4, 0))), 0)</f>
        <v>0</v>
      </c>
      <c r="U2045" s="22">
        <f t="shared" si="124"/>
        <v>0</v>
      </c>
      <c r="V2045">
        <f t="shared" si="125"/>
        <v>0</v>
      </c>
      <c r="W2045" s="22">
        <f t="shared" si="126"/>
        <v>0</v>
      </c>
    </row>
    <row r="2046" spans="1:23" hidden="1" x14ac:dyDescent="0.25">
      <c r="A2046" s="3">
        <v>46002</v>
      </c>
      <c r="B2046" s="4" t="s">
        <v>334</v>
      </c>
      <c r="C2046" s="4" t="s">
        <v>148</v>
      </c>
      <c r="D2046" s="4"/>
      <c r="E2046" s="4"/>
      <c r="F2046" s="4" t="s">
        <v>1224</v>
      </c>
      <c r="G2046" s="4" t="s">
        <v>336</v>
      </c>
      <c r="H2046" s="4" t="s">
        <v>289</v>
      </c>
      <c r="I2046" s="4">
        <v>1</v>
      </c>
      <c r="J2046" s="21">
        <v>65</v>
      </c>
      <c r="K2046" s="21">
        <v>0</v>
      </c>
      <c r="L2046" s="5">
        <v>0</v>
      </c>
      <c r="M2046" s="4"/>
      <c r="N2046" s="4"/>
      <c r="O2046" s="5"/>
      <c r="P2046" s="5"/>
      <c r="Q2046" s="21">
        <v>65</v>
      </c>
      <c r="R2046" s="21">
        <v>0</v>
      </c>
      <c r="S2046" s="5">
        <f t="shared" si="127"/>
        <v>35624.587120151984</v>
      </c>
      <c r="T2046" cm="1">
        <f t="array" ref="T2046">IF(OR(B2046="MAL ALIMI", B2046="ÜRETİM GİRİŞ"), MIN(I2046, MAX(0, I2046 + SUM(SUMIFS($I$1:I2045, $C$1:C2045, C2046, $B$1:B2045, {"MAL ALIMI","ÜRETİM GİRİŞ"})) - VLOOKUP(C2046, 'STOK RAPORU'!$C$2:$I$1000, 4, 0))), 0)</f>
        <v>0</v>
      </c>
      <c r="U2046" s="22">
        <f t="shared" si="124"/>
        <v>0</v>
      </c>
      <c r="V2046">
        <f t="shared" si="125"/>
        <v>0</v>
      </c>
      <c r="W2046" s="22">
        <f t="shared" si="126"/>
        <v>0</v>
      </c>
    </row>
    <row r="2047" spans="1:23" hidden="1" x14ac:dyDescent="0.25">
      <c r="A2047" s="3">
        <v>46002</v>
      </c>
      <c r="B2047" s="4" t="s">
        <v>334</v>
      </c>
      <c r="C2047" s="4" t="s">
        <v>245</v>
      </c>
      <c r="D2047" s="4"/>
      <c r="E2047" s="4" t="s">
        <v>921</v>
      </c>
      <c r="F2047" s="4" t="s">
        <v>1225</v>
      </c>
      <c r="G2047" s="4" t="s">
        <v>336</v>
      </c>
      <c r="H2047" s="4" t="s">
        <v>380</v>
      </c>
      <c r="I2047" s="4">
        <v>0.23076923076923078</v>
      </c>
      <c r="J2047" s="21">
        <v>650</v>
      </c>
      <c r="K2047" s="21">
        <v>150</v>
      </c>
      <c r="L2047" s="5">
        <v>0</v>
      </c>
      <c r="M2047" s="4"/>
      <c r="N2047" s="4"/>
      <c r="O2047" s="5"/>
      <c r="P2047" s="5"/>
      <c r="Q2047" s="21">
        <v>0</v>
      </c>
      <c r="R2047" s="21">
        <v>0</v>
      </c>
      <c r="S2047" s="5">
        <f t="shared" si="127"/>
        <v>35624.587120151984</v>
      </c>
      <c r="T2047" cm="1">
        <f t="array" ref="T2047">IF(OR(B2047="MAL ALIMI", B2047="ÜRETİM GİRİŞ"), MIN(I2047, MAX(0, I2047 + SUM(SUMIFS($I$1:I2046, $C$1:C2046, C2047, $B$1:B2046, {"MAL ALIMI","ÜRETİM GİRİŞ"})) - VLOOKUP(C2047, 'STOK RAPORU'!$C$2:$I$1000, 4, 0))), 0)</f>
        <v>0</v>
      </c>
      <c r="U2047" s="22">
        <f t="shared" si="124"/>
        <v>0</v>
      </c>
      <c r="V2047">
        <f t="shared" si="125"/>
        <v>0</v>
      </c>
      <c r="W2047" s="22">
        <f t="shared" si="126"/>
        <v>0</v>
      </c>
    </row>
    <row r="2048" spans="1:23" hidden="1" x14ac:dyDescent="0.25">
      <c r="A2048" s="3">
        <v>46002</v>
      </c>
      <c r="B2048" s="4" t="s">
        <v>334</v>
      </c>
      <c r="C2048" s="4" t="s">
        <v>89</v>
      </c>
      <c r="D2048" s="4"/>
      <c r="E2048" s="4" t="s">
        <v>921</v>
      </c>
      <c r="F2048" s="4" t="s">
        <v>1225</v>
      </c>
      <c r="G2048" s="4" t="s">
        <v>336</v>
      </c>
      <c r="H2048" s="4" t="s">
        <v>380</v>
      </c>
      <c r="I2048" s="4">
        <v>0.1</v>
      </c>
      <c r="J2048" s="21">
        <v>650</v>
      </c>
      <c r="K2048" s="21">
        <v>65</v>
      </c>
      <c r="L2048" s="5">
        <v>0</v>
      </c>
      <c r="M2048" s="4"/>
      <c r="N2048" s="4"/>
      <c r="O2048" s="5"/>
      <c r="P2048" s="5"/>
      <c r="Q2048" s="21">
        <v>0</v>
      </c>
      <c r="R2048" s="21">
        <v>0</v>
      </c>
      <c r="S2048" s="5">
        <f t="shared" si="127"/>
        <v>35624.587120151984</v>
      </c>
      <c r="T2048" cm="1">
        <f t="array" ref="T2048">IF(OR(B2048="MAL ALIMI", B2048="ÜRETİM GİRİŞ"), MIN(I2048, MAX(0, I2048 + SUM(SUMIFS($I$1:I2047, $C$1:C2047, C2048, $B$1:B2047, {"MAL ALIMI","ÜRETİM GİRİŞ"})) - VLOOKUP(C2048, 'STOK RAPORU'!$C$2:$I$1000, 4, 0))), 0)</f>
        <v>0</v>
      </c>
      <c r="U2048" s="22">
        <f t="shared" si="124"/>
        <v>0</v>
      </c>
      <c r="V2048">
        <f t="shared" si="125"/>
        <v>0</v>
      </c>
      <c r="W2048" s="22">
        <f t="shared" si="126"/>
        <v>0</v>
      </c>
    </row>
    <row r="2049" spans="1:23" hidden="1" x14ac:dyDescent="0.25">
      <c r="A2049" s="3">
        <v>46002</v>
      </c>
      <c r="B2049" s="4" t="s">
        <v>334</v>
      </c>
      <c r="C2049" s="4" t="s">
        <v>149</v>
      </c>
      <c r="D2049" s="4"/>
      <c r="E2049" s="4" t="s">
        <v>921</v>
      </c>
      <c r="F2049" s="4" t="s">
        <v>1225</v>
      </c>
      <c r="G2049" s="4" t="s">
        <v>336</v>
      </c>
      <c r="H2049" s="4" t="s">
        <v>380</v>
      </c>
      <c r="I2049" s="4">
        <v>1</v>
      </c>
      <c r="J2049" s="21">
        <v>65</v>
      </c>
      <c r="K2049" s="21">
        <v>65</v>
      </c>
      <c r="L2049" s="5">
        <v>0</v>
      </c>
      <c r="M2049" s="4"/>
      <c r="N2049" s="4"/>
      <c r="O2049" s="5"/>
      <c r="P2049" s="5"/>
      <c r="Q2049" s="21">
        <v>0</v>
      </c>
      <c r="R2049" s="21">
        <v>0</v>
      </c>
      <c r="S2049" s="5">
        <f t="shared" si="127"/>
        <v>35624.587120151984</v>
      </c>
      <c r="T2049" cm="1">
        <f t="array" ref="T2049">IF(OR(B2049="MAL ALIMI", B2049="ÜRETİM GİRİŞ"), MIN(I2049, MAX(0, I2049 + SUM(SUMIFS($I$1:I2048, $C$1:C2048, C2049, $B$1:B2048, {"MAL ALIMI","ÜRETİM GİRİŞ"})) - VLOOKUP(C2049, 'STOK RAPORU'!$C$2:$I$1000, 4, 0))), 0)</f>
        <v>0</v>
      </c>
      <c r="U2049" s="22">
        <f t="shared" si="124"/>
        <v>0</v>
      </c>
      <c r="V2049">
        <f t="shared" si="125"/>
        <v>0</v>
      </c>
      <c r="W2049" s="22">
        <f t="shared" si="126"/>
        <v>0</v>
      </c>
    </row>
    <row r="2050" spans="1:23" hidden="1" x14ac:dyDescent="0.25">
      <c r="A2050" s="3">
        <v>46002</v>
      </c>
      <c r="B2050" s="4" t="s">
        <v>334</v>
      </c>
      <c r="C2050" s="4" t="s">
        <v>647</v>
      </c>
      <c r="D2050" s="4"/>
      <c r="E2050" s="4" t="s">
        <v>921</v>
      </c>
      <c r="F2050" s="4" t="s">
        <v>1225</v>
      </c>
      <c r="G2050" s="4" t="s">
        <v>336</v>
      </c>
      <c r="H2050" s="4" t="s">
        <v>380</v>
      </c>
      <c r="I2050" s="4">
        <v>0.25</v>
      </c>
      <c r="J2050" s="21">
        <v>400</v>
      </c>
      <c r="K2050" s="21">
        <v>100</v>
      </c>
      <c r="L2050" s="5">
        <v>0</v>
      </c>
      <c r="M2050" s="4"/>
      <c r="N2050" s="4"/>
      <c r="O2050" s="5"/>
      <c r="P2050" s="5"/>
      <c r="Q2050" s="21">
        <v>0</v>
      </c>
      <c r="R2050" s="21">
        <v>0</v>
      </c>
      <c r="S2050" s="5">
        <f t="shared" si="127"/>
        <v>35624.587120151984</v>
      </c>
      <c r="T2050" cm="1">
        <f t="array" ref="T2050">IF(OR(B2050="MAL ALIMI", B2050="ÜRETİM GİRİŞ"), MIN(I2050, MAX(0, I2050 + SUM(SUMIFS($I$1:I2049, $C$1:C2049, C2050, $B$1:B2049, {"MAL ALIMI","ÜRETİM GİRİŞ"})) - VLOOKUP(C2050, 'STOK RAPORU'!$C$2:$I$1000, 4, 0))), 0)</f>
        <v>0</v>
      </c>
      <c r="U2050" s="22">
        <f t="shared" si="124"/>
        <v>0</v>
      </c>
      <c r="V2050">
        <f t="shared" si="125"/>
        <v>0</v>
      </c>
      <c r="W2050" s="22">
        <f t="shared" si="126"/>
        <v>0</v>
      </c>
    </row>
    <row r="2051" spans="1:23" hidden="1" x14ac:dyDescent="0.25">
      <c r="A2051" s="3">
        <v>46002</v>
      </c>
      <c r="B2051" s="4" t="s">
        <v>334</v>
      </c>
      <c r="C2051" s="4" t="s">
        <v>253</v>
      </c>
      <c r="D2051" s="4"/>
      <c r="E2051" s="4" t="s">
        <v>921</v>
      </c>
      <c r="F2051" s="4" t="s">
        <v>1226</v>
      </c>
      <c r="G2051" s="4" t="s">
        <v>336</v>
      </c>
      <c r="H2051" s="4" t="s">
        <v>380</v>
      </c>
      <c r="I2051" s="4">
        <v>0.20833333333333334</v>
      </c>
      <c r="J2051" s="21">
        <v>240</v>
      </c>
      <c r="K2051" s="21">
        <v>50</v>
      </c>
      <c r="L2051" s="5">
        <v>0</v>
      </c>
      <c r="M2051" s="4"/>
      <c r="N2051" s="4"/>
      <c r="O2051" s="5"/>
      <c r="P2051" s="5"/>
      <c r="Q2051" s="21">
        <v>0</v>
      </c>
      <c r="R2051" s="21">
        <v>0</v>
      </c>
      <c r="S2051" s="5">
        <f t="shared" si="127"/>
        <v>35624.587120151984</v>
      </c>
      <c r="T2051" cm="1">
        <f t="array" ref="T2051">IF(OR(B2051="MAL ALIMI", B2051="ÜRETİM GİRİŞ"), MIN(I2051, MAX(0, I2051 + SUM(SUMIFS($I$1:I2050, $C$1:C2050, C2051, $B$1:B2050, {"MAL ALIMI","ÜRETİM GİRİŞ"})) - VLOOKUP(C2051, 'STOK RAPORU'!$C$2:$I$1000, 4, 0))), 0)</f>
        <v>0</v>
      </c>
      <c r="U2051" s="22">
        <f t="shared" ref="U2051:U2114" si="128">T2051*J2051</f>
        <v>0</v>
      </c>
      <c r="V2051">
        <f t="shared" ref="V2051:V2114" si="129">IF(OR(B2051="MAL ALIMI", B2051="ÜRETİM GİRİŞ"), I2051 * J2051, 0)</f>
        <v>0</v>
      </c>
      <c r="W2051" s="22">
        <f t="shared" ref="W2051:W2114" si="130">V2051-U2051</f>
        <v>0</v>
      </c>
    </row>
    <row r="2052" spans="1:23" hidden="1" x14ac:dyDescent="0.25">
      <c r="A2052" s="3">
        <v>46002</v>
      </c>
      <c r="B2052" s="4" t="s">
        <v>334</v>
      </c>
      <c r="C2052" s="4" t="s">
        <v>89</v>
      </c>
      <c r="D2052" s="4"/>
      <c r="E2052" s="4" t="s">
        <v>921</v>
      </c>
      <c r="F2052" s="4" t="s">
        <v>1226</v>
      </c>
      <c r="G2052" s="4" t="s">
        <v>336</v>
      </c>
      <c r="H2052" s="4" t="s">
        <v>380</v>
      </c>
      <c r="I2052" s="4">
        <v>0.1</v>
      </c>
      <c r="J2052" s="21">
        <v>650</v>
      </c>
      <c r="K2052" s="21">
        <v>65</v>
      </c>
      <c r="L2052" s="5">
        <v>0</v>
      </c>
      <c r="M2052" s="4"/>
      <c r="N2052" s="4"/>
      <c r="O2052" s="5"/>
      <c r="P2052" s="5"/>
      <c r="Q2052" s="21">
        <v>0</v>
      </c>
      <c r="R2052" s="21">
        <v>0</v>
      </c>
      <c r="S2052" s="5">
        <f t="shared" ref="S2052:S2115" si="131">S2051+Q2052-R2052</f>
        <v>35624.587120151984</v>
      </c>
      <c r="T2052" cm="1">
        <f t="array" ref="T2052">IF(OR(B2052="MAL ALIMI", B2052="ÜRETİM GİRİŞ"), MIN(I2052, MAX(0, I2052 + SUM(SUMIFS($I$1:I2051, $C$1:C2051, C2052, $B$1:B2051, {"MAL ALIMI","ÜRETİM GİRİŞ"})) - VLOOKUP(C2052, 'STOK RAPORU'!$C$2:$I$1000, 4, 0))), 0)</f>
        <v>0</v>
      </c>
      <c r="U2052" s="22">
        <f t="shared" si="128"/>
        <v>0</v>
      </c>
      <c r="V2052">
        <f t="shared" si="129"/>
        <v>0</v>
      </c>
      <c r="W2052" s="22">
        <f t="shared" si="130"/>
        <v>0</v>
      </c>
    </row>
    <row r="2053" spans="1:23" hidden="1" x14ac:dyDescent="0.25">
      <c r="A2053" s="3">
        <v>46002</v>
      </c>
      <c r="B2053" s="4" t="s">
        <v>334</v>
      </c>
      <c r="C2053" s="4" t="s">
        <v>247</v>
      </c>
      <c r="D2053" s="4"/>
      <c r="E2053" s="4" t="s">
        <v>921</v>
      </c>
      <c r="F2053" s="4" t="s">
        <v>1226</v>
      </c>
      <c r="G2053" s="4" t="s">
        <v>336</v>
      </c>
      <c r="H2053" s="4" t="s">
        <v>380</v>
      </c>
      <c r="I2053" s="4">
        <v>0.16666666666666666</v>
      </c>
      <c r="J2053" s="21">
        <v>1200</v>
      </c>
      <c r="K2053" s="21">
        <v>200</v>
      </c>
      <c r="L2053" s="5">
        <v>0</v>
      </c>
      <c r="M2053" s="4"/>
      <c r="N2053" s="4"/>
      <c r="O2053" s="5"/>
      <c r="P2053" s="5"/>
      <c r="Q2053" s="21">
        <v>0</v>
      </c>
      <c r="R2053" s="21">
        <v>0</v>
      </c>
      <c r="S2053" s="5">
        <f t="shared" si="131"/>
        <v>35624.587120151984</v>
      </c>
      <c r="T2053" cm="1">
        <f t="array" ref="T2053">IF(OR(B2053="MAL ALIMI", B2053="ÜRETİM GİRİŞ"), MIN(I2053, MAX(0, I2053 + SUM(SUMIFS($I$1:I2052, $C$1:C2052, C2053, $B$1:B2052, {"MAL ALIMI","ÜRETİM GİRİŞ"})) - VLOOKUP(C2053, 'STOK RAPORU'!$C$2:$I$1000, 4, 0))), 0)</f>
        <v>0</v>
      </c>
      <c r="U2053" s="22">
        <f t="shared" si="128"/>
        <v>0</v>
      </c>
      <c r="V2053">
        <f t="shared" si="129"/>
        <v>0</v>
      </c>
      <c r="W2053" s="22">
        <f t="shared" si="130"/>
        <v>0</v>
      </c>
    </row>
    <row r="2054" spans="1:23" hidden="1" x14ac:dyDescent="0.25">
      <c r="A2054" s="3">
        <v>46002</v>
      </c>
      <c r="B2054" s="4" t="s">
        <v>334</v>
      </c>
      <c r="C2054" s="4" t="s">
        <v>270</v>
      </c>
      <c r="D2054" s="4"/>
      <c r="E2054" s="4" t="s">
        <v>921</v>
      </c>
      <c r="F2054" s="4" t="s">
        <v>1227</v>
      </c>
      <c r="G2054" s="4" t="s">
        <v>336</v>
      </c>
      <c r="H2054" s="4" t="s">
        <v>380</v>
      </c>
      <c r="I2054" s="4">
        <v>1</v>
      </c>
      <c r="J2054" s="21">
        <v>140</v>
      </c>
      <c r="K2054" s="21">
        <v>140</v>
      </c>
      <c r="L2054" s="5">
        <v>0</v>
      </c>
      <c r="M2054" s="4"/>
      <c r="N2054" s="4"/>
      <c r="O2054" s="5"/>
      <c r="P2054" s="5"/>
      <c r="Q2054" s="21">
        <v>0</v>
      </c>
      <c r="R2054" s="21">
        <v>0</v>
      </c>
      <c r="S2054" s="5">
        <f t="shared" si="131"/>
        <v>35624.587120151984</v>
      </c>
      <c r="T2054" cm="1">
        <f t="array" ref="T2054">IF(OR(B2054="MAL ALIMI", B2054="ÜRETİM GİRİŞ"), MIN(I2054, MAX(0, I2054 + SUM(SUMIFS($I$1:I2053, $C$1:C2053, C2054, $B$1:B2053, {"MAL ALIMI","ÜRETİM GİRİŞ"})) - VLOOKUP(C2054, 'STOK RAPORU'!$C$2:$I$1000, 4, 0))), 0)</f>
        <v>0</v>
      </c>
      <c r="U2054" s="22">
        <f t="shared" si="128"/>
        <v>0</v>
      </c>
      <c r="V2054">
        <f t="shared" si="129"/>
        <v>0</v>
      </c>
      <c r="W2054" s="22">
        <f t="shared" si="130"/>
        <v>0</v>
      </c>
    </row>
    <row r="2055" spans="1:23" hidden="1" x14ac:dyDescent="0.25">
      <c r="A2055" s="3">
        <v>46002</v>
      </c>
      <c r="B2055" s="4" t="s">
        <v>334</v>
      </c>
      <c r="C2055" s="4" t="s">
        <v>168</v>
      </c>
      <c r="D2055" s="4"/>
      <c r="E2055" s="4" t="s">
        <v>921</v>
      </c>
      <c r="F2055" s="4" t="s">
        <v>1228</v>
      </c>
      <c r="G2055" s="4" t="s">
        <v>336</v>
      </c>
      <c r="H2055" s="4" t="s">
        <v>380</v>
      </c>
      <c r="I2055" s="4">
        <v>1</v>
      </c>
      <c r="J2055" s="21">
        <v>200</v>
      </c>
      <c r="K2055" s="21">
        <v>200</v>
      </c>
      <c r="L2055" s="5">
        <v>0</v>
      </c>
      <c r="M2055" s="4"/>
      <c r="N2055" s="4"/>
      <c r="O2055" s="5"/>
      <c r="P2055" s="5"/>
      <c r="Q2055" s="21">
        <v>0</v>
      </c>
      <c r="R2055" s="21">
        <v>0</v>
      </c>
      <c r="S2055" s="5">
        <f t="shared" si="131"/>
        <v>35624.587120151984</v>
      </c>
      <c r="T2055" cm="1">
        <f t="array" ref="T2055">IF(OR(B2055="MAL ALIMI", B2055="ÜRETİM GİRİŞ"), MIN(I2055, MAX(0, I2055 + SUM(SUMIFS($I$1:I2054, $C$1:C2054, C2055, $B$1:B2054, {"MAL ALIMI","ÜRETİM GİRİŞ"})) - VLOOKUP(C2055, 'STOK RAPORU'!$C$2:$I$1000, 4, 0))), 0)</f>
        <v>0</v>
      </c>
      <c r="U2055" s="22">
        <f t="shared" si="128"/>
        <v>0</v>
      </c>
      <c r="V2055">
        <f t="shared" si="129"/>
        <v>0</v>
      </c>
      <c r="W2055" s="22">
        <f t="shared" si="130"/>
        <v>0</v>
      </c>
    </row>
    <row r="2056" spans="1:23" hidden="1" x14ac:dyDescent="0.25">
      <c r="A2056" s="3">
        <v>46002</v>
      </c>
      <c r="B2056" s="4" t="s">
        <v>334</v>
      </c>
      <c r="C2056" s="4" t="s">
        <v>225</v>
      </c>
      <c r="D2056" s="4"/>
      <c r="E2056" s="4" t="s">
        <v>921</v>
      </c>
      <c r="F2056" s="4" t="s">
        <v>1228</v>
      </c>
      <c r="G2056" s="4" t="s">
        <v>336</v>
      </c>
      <c r="H2056" s="4" t="s">
        <v>380</v>
      </c>
      <c r="I2056" s="4">
        <v>0.252</v>
      </c>
      <c r="J2056" s="21">
        <v>750</v>
      </c>
      <c r="K2056" s="21">
        <v>189</v>
      </c>
      <c r="L2056" s="5">
        <v>0</v>
      </c>
      <c r="M2056" s="4"/>
      <c r="N2056" s="4"/>
      <c r="O2056" s="5"/>
      <c r="P2056" s="5"/>
      <c r="Q2056" s="21">
        <v>0</v>
      </c>
      <c r="R2056" s="21">
        <v>0</v>
      </c>
      <c r="S2056" s="5">
        <f t="shared" si="131"/>
        <v>35624.587120151984</v>
      </c>
      <c r="T2056" cm="1">
        <f t="array" ref="T2056">IF(OR(B2056="MAL ALIMI", B2056="ÜRETİM GİRİŞ"), MIN(I2056, MAX(0, I2056 + SUM(SUMIFS($I$1:I2055, $C$1:C2055, C2056, $B$1:B2055, {"MAL ALIMI","ÜRETİM GİRİŞ"})) - VLOOKUP(C2056, 'STOK RAPORU'!$C$2:$I$1000, 4, 0))), 0)</f>
        <v>0</v>
      </c>
      <c r="U2056" s="22">
        <f t="shared" si="128"/>
        <v>0</v>
      </c>
      <c r="V2056">
        <f t="shared" si="129"/>
        <v>0</v>
      </c>
      <c r="W2056" s="22">
        <f t="shared" si="130"/>
        <v>0</v>
      </c>
    </row>
    <row r="2057" spans="1:23" hidden="1" x14ac:dyDescent="0.25">
      <c r="A2057" s="3">
        <v>46002</v>
      </c>
      <c r="B2057" s="4" t="s">
        <v>334</v>
      </c>
      <c r="C2057" s="4" t="s">
        <v>465</v>
      </c>
      <c r="D2057" s="4"/>
      <c r="E2057" s="4" t="s">
        <v>921</v>
      </c>
      <c r="F2057" s="4" t="s">
        <v>1228</v>
      </c>
      <c r="G2057" s="4" t="s">
        <v>336</v>
      </c>
      <c r="H2057" s="4" t="s">
        <v>380</v>
      </c>
      <c r="I2057" s="4">
        <v>1</v>
      </c>
      <c r="J2057" s="21">
        <v>40</v>
      </c>
      <c r="K2057" s="21">
        <v>40</v>
      </c>
      <c r="L2057" s="5">
        <v>0</v>
      </c>
      <c r="M2057" s="4"/>
      <c r="N2057" s="4"/>
      <c r="O2057" s="5"/>
      <c r="P2057" s="5"/>
      <c r="Q2057" s="21">
        <v>0</v>
      </c>
      <c r="R2057" s="21">
        <v>0</v>
      </c>
      <c r="S2057" s="5">
        <f t="shared" si="131"/>
        <v>35624.587120151984</v>
      </c>
      <c r="T2057" cm="1">
        <f t="array" ref="T2057">IF(OR(B2057="MAL ALIMI", B2057="ÜRETİM GİRİŞ"), MIN(I2057, MAX(0, I2057 + SUM(SUMIFS($I$1:I2056, $C$1:C2056, C2057, $B$1:B2056, {"MAL ALIMI","ÜRETİM GİRİŞ"})) - VLOOKUP(C2057, 'STOK RAPORU'!$C$2:$I$1000, 4, 0))), 0)</f>
        <v>0</v>
      </c>
      <c r="U2057" s="22">
        <f t="shared" si="128"/>
        <v>0</v>
      </c>
      <c r="V2057">
        <f t="shared" si="129"/>
        <v>0</v>
      </c>
      <c r="W2057" s="22">
        <f t="shared" si="130"/>
        <v>0</v>
      </c>
    </row>
    <row r="2058" spans="1:23" hidden="1" x14ac:dyDescent="0.25">
      <c r="A2058" s="3">
        <v>46002</v>
      </c>
      <c r="B2058" s="4" t="s">
        <v>334</v>
      </c>
      <c r="C2058" s="4" t="s">
        <v>691</v>
      </c>
      <c r="D2058" s="4"/>
      <c r="E2058" s="4" t="s">
        <v>921</v>
      </c>
      <c r="F2058" s="4" t="s">
        <v>1229</v>
      </c>
      <c r="G2058" s="4" t="s">
        <v>336</v>
      </c>
      <c r="H2058" s="4" t="s">
        <v>380</v>
      </c>
      <c r="I2058" s="4">
        <v>0.52631578947368418</v>
      </c>
      <c r="J2058" s="21">
        <v>190</v>
      </c>
      <c r="K2058" s="21">
        <v>100</v>
      </c>
      <c r="L2058" s="5">
        <v>0</v>
      </c>
      <c r="M2058" s="4"/>
      <c r="N2058" s="4"/>
      <c r="O2058" s="5"/>
      <c r="P2058" s="5"/>
      <c r="Q2058" s="21">
        <v>0</v>
      </c>
      <c r="R2058" s="21">
        <v>0</v>
      </c>
      <c r="S2058" s="5">
        <f t="shared" si="131"/>
        <v>35624.587120151984</v>
      </c>
      <c r="T2058" cm="1">
        <f t="array" ref="T2058">IF(OR(B2058="MAL ALIMI", B2058="ÜRETİM GİRİŞ"), MIN(I2058, MAX(0, I2058 + SUM(SUMIFS($I$1:I2057, $C$1:C2057, C2058, $B$1:B2057, {"MAL ALIMI","ÜRETİM GİRİŞ"})) - VLOOKUP(C2058, 'STOK RAPORU'!$C$2:$I$1000, 4, 0))), 0)</f>
        <v>0</v>
      </c>
      <c r="U2058" s="22">
        <f t="shared" si="128"/>
        <v>0</v>
      </c>
      <c r="V2058">
        <f t="shared" si="129"/>
        <v>0</v>
      </c>
      <c r="W2058" s="22">
        <f t="shared" si="130"/>
        <v>0</v>
      </c>
    </row>
    <row r="2059" spans="1:23" hidden="1" x14ac:dyDescent="0.25">
      <c r="A2059" s="3">
        <v>46002</v>
      </c>
      <c r="B2059" s="4" t="s">
        <v>334</v>
      </c>
      <c r="C2059" s="4" t="s">
        <v>226</v>
      </c>
      <c r="D2059" s="4"/>
      <c r="E2059" s="4" t="s">
        <v>921</v>
      </c>
      <c r="F2059" s="4" t="s">
        <v>1229</v>
      </c>
      <c r="G2059" s="4" t="s">
        <v>336</v>
      </c>
      <c r="H2059" s="4" t="s">
        <v>380</v>
      </c>
      <c r="I2059" s="4">
        <v>0.26666666666666666</v>
      </c>
      <c r="J2059" s="21">
        <v>150</v>
      </c>
      <c r="K2059" s="21">
        <v>40</v>
      </c>
      <c r="L2059" s="5">
        <v>0</v>
      </c>
      <c r="M2059" s="4"/>
      <c r="N2059" s="4"/>
      <c r="O2059" s="5"/>
      <c r="P2059" s="5"/>
      <c r="Q2059" s="21">
        <v>0</v>
      </c>
      <c r="R2059" s="21">
        <v>0</v>
      </c>
      <c r="S2059" s="5">
        <f t="shared" si="131"/>
        <v>35624.587120151984</v>
      </c>
      <c r="T2059" cm="1">
        <f t="array" ref="T2059">IF(OR(B2059="MAL ALIMI", B2059="ÜRETİM GİRİŞ"), MIN(I2059, MAX(0, I2059 + SUM(SUMIFS($I$1:I2058, $C$1:C2058, C2059, $B$1:B2058, {"MAL ALIMI","ÜRETİM GİRİŞ"})) - VLOOKUP(C2059, 'STOK RAPORU'!$C$2:$I$1000, 4, 0))), 0)</f>
        <v>0</v>
      </c>
      <c r="U2059" s="22">
        <f t="shared" si="128"/>
        <v>0</v>
      </c>
      <c r="V2059">
        <f t="shared" si="129"/>
        <v>0</v>
      </c>
      <c r="W2059" s="22">
        <f t="shared" si="130"/>
        <v>0</v>
      </c>
    </row>
    <row r="2060" spans="1:23" hidden="1" x14ac:dyDescent="0.25">
      <c r="A2060" s="3">
        <v>46002</v>
      </c>
      <c r="B2060" s="4" t="s">
        <v>334</v>
      </c>
      <c r="C2060" s="4" t="s">
        <v>647</v>
      </c>
      <c r="D2060" s="4"/>
      <c r="E2060" s="4" t="s">
        <v>921</v>
      </c>
      <c r="F2060" s="4" t="s">
        <v>1229</v>
      </c>
      <c r="G2060" s="4" t="s">
        <v>336</v>
      </c>
      <c r="H2060" s="4" t="s">
        <v>380</v>
      </c>
      <c r="I2060" s="4">
        <v>0.25</v>
      </c>
      <c r="J2060" s="21">
        <v>400</v>
      </c>
      <c r="K2060" s="21">
        <v>100</v>
      </c>
      <c r="L2060" s="5">
        <v>0</v>
      </c>
      <c r="M2060" s="4"/>
      <c r="N2060" s="4"/>
      <c r="O2060" s="5"/>
      <c r="P2060" s="5"/>
      <c r="Q2060" s="21">
        <v>0</v>
      </c>
      <c r="R2060" s="21">
        <v>0</v>
      </c>
      <c r="S2060" s="5">
        <f t="shared" si="131"/>
        <v>35624.587120151984</v>
      </c>
      <c r="T2060" cm="1">
        <f t="array" ref="T2060">IF(OR(B2060="MAL ALIMI", B2060="ÜRETİM GİRİŞ"), MIN(I2060, MAX(0, I2060 + SUM(SUMIFS($I$1:I2059, $C$1:C2059, C2060, $B$1:B2059, {"MAL ALIMI","ÜRETİM GİRİŞ"})) - VLOOKUP(C2060, 'STOK RAPORU'!$C$2:$I$1000, 4, 0))), 0)</f>
        <v>0</v>
      </c>
      <c r="U2060" s="22">
        <f t="shared" si="128"/>
        <v>0</v>
      </c>
      <c r="V2060">
        <f t="shared" si="129"/>
        <v>0</v>
      </c>
      <c r="W2060" s="22">
        <f t="shared" si="130"/>
        <v>0</v>
      </c>
    </row>
    <row r="2061" spans="1:23" hidden="1" x14ac:dyDescent="0.25">
      <c r="A2061" s="3">
        <v>46002</v>
      </c>
      <c r="B2061" s="4" t="s">
        <v>334</v>
      </c>
      <c r="C2061" s="4" t="s">
        <v>226</v>
      </c>
      <c r="D2061" s="4"/>
      <c r="E2061" s="4" t="s">
        <v>921</v>
      </c>
      <c r="F2061" s="4" t="s">
        <v>1230</v>
      </c>
      <c r="G2061" s="4" t="s">
        <v>336</v>
      </c>
      <c r="H2061" s="4" t="s">
        <v>380</v>
      </c>
      <c r="I2061" s="4">
        <v>0.14666666666666667</v>
      </c>
      <c r="J2061" s="21">
        <v>150</v>
      </c>
      <c r="K2061" s="21">
        <v>22</v>
      </c>
      <c r="L2061" s="5">
        <v>0</v>
      </c>
      <c r="M2061" s="4"/>
      <c r="N2061" s="4"/>
      <c r="O2061" s="5"/>
      <c r="P2061" s="5"/>
      <c r="Q2061" s="21">
        <v>0</v>
      </c>
      <c r="R2061" s="21">
        <v>0</v>
      </c>
      <c r="S2061" s="5">
        <f t="shared" si="131"/>
        <v>35624.587120151984</v>
      </c>
      <c r="T2061" cm="1">
        <f t="array" ref="T2061">IF(OR(B2061="MAL ALIMI", B2061="ÜRETİM GİRİŞ"), MIN(I2061, MAX(0, I2061 + SUM(SUMIFS($I$1:I2060, $C$1:C2060, C2061, $B$1:B2060, {"MAL ALIMI","ÜRETİM GİRİŞ"})) - VLOOKUP(C2061, 'STOK RAPORU'!$C$2:$I$1000, 4, 0))), 0)</f>
        <v>0</v>
      </c>
      <c r="U2061" s="22">
        <f t="shared" si="128"/>
        <v>0</v>
      </c>
      <c r="V2061">
        <f t="shared" si="129"/>
        <v>0</v>
      </c>
      <c r="W2061" s="22">
        <f t="shared" si="130"/>
        <v>0</v>
      </c>
    </row>
    <row r="2062" spans="1:23" hidden="1" x14ac:dyDescent="0.25">
      <c r="A2062" s="3">
        <v>46002</v>
      </c>
      <c r="B2062" s="4" t="s">
        <v>334</v>
      </c>
      <c r="C2062" s="4" t="s">
        <v>647</v>
      </c>
      <c r="D2062" s="4"/>
      <c r="E2062" s="4" t="s">
        <v>921</v>
      </c>
      <c r="F2062" s="4" t="s">
        <v>1230</v>
      </c>
      <c r="G2062" s="4" t="s">
        <v>336</v>
      </c>
      <c r="H2062" s="4" t="s">
        <v>380</v>
      </c>
      <c r="I2062" s="4">
        <v>0.25</v>
      </c>
      <c r="J2062" s="21">
        <v>400</v>
      </c>
      <c r="K2062" s="21">
        <v>100</v>
      </c>
      <c r="L2062" s="5">
        <v>0</v>
      </c>
      <c r="M2062" s="4"/>
      <c r="N2062" s="4"/>
      <c r="O2062" s="5"/>
      <c r="P2062" s="5"/>
      <c r="Q2062" s="21">
        <v>0</v>
      </c>
      <c r="R2062" s="21">
        <v>0</v>
      </c>
      <c r="S2062" s="5">
        <f t="shared" si="131"/>
        <v>35624.587120151984</v>
      </c>
      <c r="T2062" cm="1">
        <f t="array" ref="T2062">IF(OR(B2062="MAL ALIMI", B2062="ÜRETİM GİRİŞ"), MIN(I2062, MAX(0, I2062 + SUM(SUMIFS($I$1:I2061, $C$1:C2061, C2062, $B$1:B2061, {"MAL ALIMI","ÜRETİM GİRİŞ"})) - VLOOKUP(C2062, 'STOK RAPORU'!$C$2:$I$1000, 4, 0))), 0)</f>
        <v>0</v>
      </c>
      <c r="U2062" s="22">
        <f t="shared" si="128"/>
        <v>0</v>
      </c>
      <c r="V2062">
        <f t="shared" si="129"/>
        <v>0</v>
      </c>
      <c r="W2062" s="22">
        <f t="shared" si="130"/>
        <v>0</v>
      </c>
    </row>
    <row r="2063" spans="1:23" hidden="1" x14ac:dyDescent="0.25">
      <c r="A2063" s="3">
        <v>46002</v>
      </c>
      <c r="B2063" s="4" t="s">
        <v>334</v>
      </c>
      <c r="C2063" s="4" t="s">
        <v>148</v>
      </c>
      <c r="D2063" s="4"/>
      <c r="E2063" s="4" t="s">
        <v>921</v>
      </c>
      <c r="F2063" s="4" t="s">
        <v>1230</v>
      </c>
      <c r="G2063" s="4" t="s">
        <v>336</v>
      </c>
      <c r="H2063" s="4" t="s">
        <v>380</v>
      </c>
      <c r="I2063" s="4">
        <v>1</v>
      </c>
      <c r="J2063" s="21">
        <v>65</v>
      </c>
      <c r="K2063" s="21">
        <v>65</v>
      </c>
      <c r="L2063" s="5">
        <v>0</v>
      </c>
      <c r="M2063" s="4"/>
      <c r="N2063" s="4"/>
      <c r="O2063" s="5"/>
      <c r="P2063" s="5"/>
      <c r="Q2063" s="21">
        <v>0</v>
      </c>
      <c r="R2063" s="21">
        <v>0</v>
      </c>
      <c r="S2063" s="5">
        <f t="shared" si="131"/>
        <v>35624.587120151984</v>
      </c>
      <c r="T2063" cm="1">
        <f t="array" ref="T2063">IF(OR(B2063="MAL ALIMI", B2063="ÜRETİM GİRİŞ"), MIN(I2063, MAX(0, I2063 + SUM(SUMIFS($I$1:I2062, $C$1:C2062, C2063, $B$1:B2062, {"MAL ALIMI","ÜRETİM GİRİŞ"})) - VLOOKUP(C2063, 'STOK RAPORU'!$C$2:$I$1000, 4, 0))), 0)</f>
        <v>0</v>
      </c>
      <c r="U2063" s="22">
        <f t="shared" si="128"/>
        <v>0</v>
      </c>
      <c r="V2063">
        <f t="shared" si="129"/>
        <v>0</v>
      </c>
      <c r="W2063" s="22">
        <f t="shared" si="130"/>
        <v>0</v>
      </c>
    </row>
    <row r="2064" spans="1:23" hidden="1" x14ac:dyDescent="0.25">
      <c r="A2064" s="3">
        <v>46002</v>
      </c>
      <c r="B2064" s="4" t="s">
        <v>334</v>
      </c>
      <c r="C2064" s="4" t="s">
        <v>187</v>
      </c>
      <c r="D2064" s="4"/>
      <c r="E2064" s="4" t="s">
        <v>921</v>
      </c>
      <c r="F2064" s="4" t="s">
        <v>1231</v>
      </c>
      <c r="G2064" s="4" t="s">
        <v>336</v>
      </c>
      <c r="H2064" s="4" t="s">
        <v>380</v>
      </c>
      <c r="I2064" s="4">
        <v>1</v>
      </c>
      <c r="J2064" s="21">
        <v>60</v>
      </c>
      <c r="K2064" s="21">
        <v>60</v>
      </c>
      <c r="L2064" s="5">
        <v>0</v>
      </c>
      <c r="M2064" s="4"/>
      <c r="N2064" s="4"/>
      <c r="O2064" s="5"/>
      <c r="P2064" s="5"/>
      <c r="Q2064" s="21">
        <v>0</v>
      </c>
      <c r="R2064" s="21">
        <v>0</v>
      </c>
      <c r="S2064" s="5">
        <f t="shared" si="131"/>
        <v>35624.587120151984</v>
      </c>
      <c r="T2064" cm="1">
        <f t="array" ref="T2064">IF(OR(B2064="MAL ALIMI", B2064="ÜRETİM GİRİŞ"), MIN(I2064, MAX(0, I2064 + SUM(SUMIFS($I$1:I2063, $C$1:C2063, C2064, $B$1:B2063, {"MAL ALIMI","ÜRETİM GİRİŞ"})) - VLOOKUP(C2064, 'STOK RAPORU'!$C$2:$I$1000, 4, 0))), 0)</f>
        <v>0</v>
      </c>
      <c r="U2064" s="22">
        <f t="shared" si="128"/>
        <v>0</v>
      </c>
      <c r="V2064">
        <f t="shared" si="129"/>
        <v>0</v>
      </c>
      <c r="W2064" s="22">
        <f t="shared" si="130"/>
        <v>0</v>
      </c>
    </row>
    <row r="2065" spans="1:23" hidden="1" x14ac:dyDescent="0.25">
      <c r="A2065" s="3">
        <v>46002</v>
      </c>
      <c r="B2065" s="4" t="s">
        <v>334</v>
      </c>
      <c r="C2065" s="4" t="s">
        <v>162</v>
      </c>
      <c r="D2065" s="4"/>
      <c r="E2065" s="4" t="s">
        <v>921</v>
      </c>
      <c r="F2065" s="4" t="s">
        <v>1231</v>
      </c>
      <c r="G2065" s="4" t="s">
        <v>336</v>
      </c>
      <c r="H2065" s="4" t="s">
        <v>380</v>
      </c>
      <c r="I2065" s="4">
        <v>1</v>
      </c>
      <c r="J2065" s="21">
        <v>260</v>
      </c>
      <c r="K2065" s="21">
        <v>260</v>
      </c>
      <c r="L2065" s="5">
        <v>0</v>
      </c>
      <c r="M2065" s="4"/>
      <c r="N2065" s="4"/>
      <c r="O2065" s="5"/>
      <c r="P2065" s="5"/>
      <c r="Q2065" s="21">
        <v>0</v>
      </c>
      <c r="R2065" s="21">
        <v>0</v>
      </c>
      <c r="S2065" s="5">
        <f t="shared" si="131"/>
        <v>35624.587120151984</v>
      </c>
      <c r="T2065" cm="1">
        <f t="array" ref="T2065">IF(OR(B2065="MAL ALIMI", B2065="ÜRETİM GİRİŞ"), MIN(I2065, MAX(0, I2065 + SUM(SUMIFS($I$1:I2064, $C$1:C2064, C2065, $B$1:B2064, {"MAL ALIMI","ÜRETİM GİRİŞ"})) - VLOOKUP(C2065, 'STOK RAPORU'!$C$2:$I$1000, 4, 0))), 0)</f>
        <v>0</v>
      </c>
      <c r="U2065" s="22">
        <f t="shared" si="128"/>
        <v>0</v>
      </c>
      <c r="V2065">
        <f t="shared" si="129"/>
        <v>0</v>
      </c>
      <c r="W2065" s="22">
        <f t="shared" si="130"/>
        <v>0</v>
      </c>
    </row>
    <row r="2066" spans="1:23" hidden="1" x14ac:dyDescent="0.25">
      <c r="A2066" s="3">
        <v>46002</v>
      </c>
      <c r="B2066" s="4" t="s">
        <v>334</v>
      </c>
      <c r="C2066" s="4" t="s">
        <v>209</v>
      </c>
      <c r="D2066" s="4"/>
      <c r="E2066" s="4" t="s">
        <v>921</v>
      </c>
      <c r="F2066" s="4" t="s">
        <v>1231</v>
      </c>
      <c r="G2066" s="4" t="s">
        <v>336</v>
      </c>
      <c r="H2066" s="4" t="s">
        <v>380</v>
      </c>
      <c r="I2066" s="4">
        <v>0.05</v>
      </c>
      <c r="J2066" s="21">
        <v>2600</v>
      </c>
      <c r="K2066" s="21">
        <v>130</v>
      </c>
      <c r="L2066" s="5">
        <v>0</v>
      </c>
      <c r="M2066" s="4"/>
      <c r="N2066" s="4"/>
      <c r="O2066" s="5"/>
      <c r="P2066" s="5"/>
      <c r="Q2066" s="21">
        <v>0</v>
      </c>
      <c r="R2066" s="21">
        <v>0</v>
      </c>
      <c r="S2066" s="5">
        <f t="shared" si="131"/>
        <v>35624.587120151984</v>
      </c>
      <c r="T2066" cm="1">
        <f t="array" ref="T2066">IF(OR(B2066="MAL ALIMI", B2066="ÜRETİM GİRİŞ"), MIN(I2066, MAX(0, I2066 + SUM(SUMIFS($I$1:I2065, $C$1:C2065, C2066, $B$1:B2065, {"MAL ALIMI","ÜRETİM GİRİŞ"})) - VLOOKUP(C2066, 'STOK RAPORU'!$C$2:$I$1000, 4, 0))), 0)</f>
        <v>0</v>
      </c>
      <c r="U2066" s="22">
        <f t="shared" si="128"/>
        <v>0</v>
      </c>
      <c r="V2066">
        <f t="shared" si="129"/>
        <v>0</v>
      </c>
      <c r="W2066" s="22">
        <f t="shared" si="130"/>
        <v>0</v>
      </c>
    </row>
    <row r="2067" spans="1:23" hidden="1" x14ac:dyDescent="0.25">
      <c r="A2067" s="3">
        <v>46002</v>
      </c>
      <c r="B2067" s="4" t="s">
        <v>334</v>
      </c>
      <c r="C2067" s="4" t="s">
        <v>591</v>
      </c>
      <c r="D2067" s="4"/>
      <c r="E2067" s="4" t="s">
        <v>921</v>
      </c>
      <c r="F2067" s="4" t="s">
        <v>1231</v>
      </c>
      <c r="G2067" s="4" t="s">
        <v>336</v>
      </c>
      <c r="H2067" s="4" t="s">
        <v>380</v>
      </c>
      <c r="I2067" s="4">
        <v>1</v>
      </c>
      <c r="J2067" s="21">
        <v>300</v>
      </c>
      <c r="K2067" s="21">
        <v>300</v>
      </c>
      <c r="L2067" s="5">
        <v>0</v>
      </c>
      <c r="M2067" s="4"/>
      <c r="N2067" s="4"/>
      <c r="O2067" s="5"/>
      <c r="P2067" s="5"/>
      <c r="Q2067" s="21">
        <v>0</v>
      </c>
      <c r="R2067" s="21">
        <v>0</v>
      </c>
      <c r="S2067" s="5">
        <f t="shared" si="131"/>
        <v>35624.587120151984</v>
      </c>
      <c r="T2067" cm="1">
        <f t="array" ref="T2067">IF(OR(B2067="MAL ALIMI", B2067="ÜRETİM GİRİŞ"), MIN(I2067, MAX(0, I2067 + SUM(SUMIFS($I$1:I2066, $C$1:C2066, C2067, $B$1:B2066, {"MAL ALIMI","ÜRETİM GİRİŞ"})) - VLOOKUP(C2067, 'STOK RAPORU'!$C$2:$I$1000, 4, 0))), 0)</f>
        <v>0</v>
      </c>
      <c r="U2067" s="22">
        <f t="shared" si="128"/>
        <v>0</v>
      </c>
      <c r="V2067">
        <f t="shared" si="129"/>
        <v>0</v>
      </c>
      <c r="W2067" s="22">
        <f t="shared" si="130"/>
        <v>0</v>
      </c>
    </row>
    <row r="2068" spans="1:23" hidden="1" x14ac:dyDescent="0.25">
      <c r="A2068" s="3">
        <v>46002</v>
      </c>
      <c r="B2068" s="4" t="s">
        <v>334</v>
      </c>
      <c r="C2068" s="4" t="s">
        <v>151</v>
      </c>
      <c r="D2068" s="4"/>
      <c r="E2068" s="4" t="s">
        <v>921</v>
      </c>
      <c r="F2068" s="4" t="s">
        <v>1231</v>
      </c>
      <c r="G2068" s="4" t="s">
        <v>336</v>
      </c>
      <c r="H2068" s="4" t="s">
        <v>380</v>
      </c>
      <c r="I2068" s="4">
        <v>0.1</v>
      </c>
      <c r="J2068" s="21">
        <v>400</v>
      </c>
      <c r="K2068" s="21">
        <v>40</v>
      </c>
      <c r="L2068" s="5">
        <v>0</v>
      </c>
      <c r="M2068" s="4"/>
      <c r="N2068" s="4"/>
      <c r="O2068" s="5"/>
      <c r="P2068" s="5"/>
      <c r="Q2068" s="21">
        <v>0</v>
      </c>
      <c r="R2068" s="21">
        <v>0</v>
      </c>
      <c r="S2068" s="5">
        <f t="shared" si="131"/>
        <v>35624.587120151984</v>
      </c>
      <c r="T2068" cm="1">
        <f t="array" ref="T2068">IF(OR(B2068="MAL ALIMI", B2068="ÜRETİM GİRİŞ"), MIN(I2068, MAX(0, I2068 + SUM(SUMIFS($I$1:I2067, $C$1:C2067, C2068, $B$1:B2067, {"MAL ALIMI","ÜRETİM GİRİŞ"})) - VLOOKUP(C2068, 'STOK RAPORU'!$C$2:$I$1000, 4, 0))), 0)</f>
        <v>0</v>
      </c>
      <c r="U2068" s="22">
        <f t="shared" si="128"/>
        <v>0</v>
      </c>
      <c r="V2068">
        <f t="shared" si="129"/>
        <v>0</v>
      </c>
      <c r="W2068" s="22">
        <f t="shared" si="130"/>
        <v>0</v>
      </c>
    </row>
    <row r="2069" spans="1:23" hidden="1" x14ac:dyDescent="0.25">
      <c r="A2069" s="3">
        <v>46002</v>
      </c>
      <c r="B2069" s="4" t="s">
        <v>334</v>
      </c>
      <c r="C2069" s="4" t="s">
        <v>265</v>
      </c>
      <c r="D2069" s="4"/>
      <c r="E2069" s="4" t="s">
        <v>921</v>
      </c>
      <c r="F2069" s="4" t="s">
        <v>1231</v>
      </c>
      <c r="G2069" s="4" t="s">
        <v>336</v>
      </c>
      <c r="H2069" s="4" t="s">
        <v>380</v>
      </c>
      <c r="I2069" s="4">
        <v>1</v>
      </c>
      <c r="J2069" s="21">
        <v>110</v>
      </c>
      <c r="K2069" s="21">
        <v>110</v>
      </c>
      <c r="L2069" s="5">
        <v>0</v>
      </c>
      <c r="M2069" s="4"/>
      <c r="N2069" s="4"/>
      <c r="O2069" s="5"/>
      <c r="P2069" s="5"/>
      <c r="Q2069" s="21">
        <v>0</v>
      </c>
      <c r="R2069" s="21">
        <v>0</v>
      </c>
      <c r="S2069" s="5">
        <f t="shared" si="131"/>
        <v>35624.587120151984</v>
      </c>
      <c r="T2069" cm="1">
        <f t="array" ref="T2069">IF(OR(B2069="MAL ALIMI", B2069="ÜRETİM GİRİŞ"), MIN(I2069, MAX(0, I2069 + SUM(SUMIFS($I$1:I2068, $C$1:C2068, C2069, $B$1:B2068, {"MAL ALIMI","ÜRETİM GİRİŞ"})) - VLOOKUP(C2069, 'STOK RAPORU'!$C$2:$I$1000, 4, 0))), 0)</f>
        <v>0</v>
      </c>
      <c r="U2069" s="22">
        <f t="shared" si="128"/>
        <v>0</v>
      </c>
      <c r="V2069">
        <f t="shared" si="129"/>
        <v>0</v>
      </c>
      <c r="W2069" s="22">
        <f t="shared" si="130"/>
        <v>0</v>
      </c>
    </row>
    <row r="2070" spans="1:23" hidden="1" x14ac:dyDescent="0.25">
      <c r="A2070" s="3">
        <v>46002</v>
      </c>
      <c r="B2070" s="4" t="s">
        <v>334</v>
      </c>
      <c r="C2070" s="4" t="s">
        <v>236</v>
      </c>
      <c r="D2070" s="4"/>
      <c r="E2070" s="4"/>
      <c r="F2070" s="4" t="s">
        <v>1232</v>
      </c>
      <c r="G2070" s="4" t="s">
        <v>336</v>
      </c>
      <c r="H2070" s="4" t="s">
        <v>289</v>
      </c>
      <c r="I2070" s="4">
        <v>0.2</v>
      </c>
      <c r="J2070" s="21">
        <v>350</v>
      </c>
      <c r="K2070" s="21">
        <v>0</v>
      </c>
      <c r="L2070" s="5">
        <v>0</v>
      </c>
      <c r="M2070" s="4"/>
      <c r="N2070" s="4"/>
      <c r="O2070" s="5"/>
      <c r="P2070" s="5"/>
      <c r="Q2070" s="21">
        <v>70</v>
      </c>
      <c r="R2070" s="21">
        <v>0</v>
      </c>
      <c r="S2070" s="5">
        <f t="shared" si="131"/>
        <v>35694.587120151984</v>
      </c>
      <c r="T2070" cm="1">
        <f t="array" ref="T2070">IF(OR(B2070="MAL ALIMI", B2070="ÜRETİM GİRİŞ"), MIN(I2070, MAX(0, I2070 + SUM(SUMIFS($I$1:I2069, $C$1:C2069, C2070, $B$1:B2069, {"MAL ALIMI","ÜRETİM GİRİŞ"})) - VLOOKUP(C2070, 'STOK RAPORU'!$C$2:$I$1000, 4, 0))), 0)</f>
        <v>0</v>
      </c>
      <c r="U2070" s="22">
        <f t="shared" si="128"/>
        <v>0</v>
      </c>
      <c r="V2070">
        <f t="shared" si="129"/>
        <v>0</v>
      </c>
      <c r="W2070" s="22">
        <f t="shared" si="130"/>
        <v>0</v>
      </c>
    </row>
    <row r="2071" spans="1:23" hidden="1" x14ac:dyDescent="0.25">
      <c r="A2071" s="3">
        <v>46002</v>
      </c>
      <c r="B2071" s="4" t="s">
        <v>334</v>
      </c>
      <c r="C2071" s="4" t="s">
        <v>1041</v>
      </c>
      <c r="D2071" s="4"/>
      <c r="E2071" s="4"/>
      <c r="F2071" s="4" t="s">
        <v>1233</v>
      </c>
      <c r="G2071" s="4" t="s">
        <v>336</v>
      </c>
      <c r="H2071" s="4" t="s">
        <v>289</v>
      </c>
      <c r="I2071" s="4">
        <v>1</v>
      </c>
      <c r="J2071" s="21">
        <v>250</v>
      </c>
      <c r="K2071" s="21">
        <v>0</v>
      </c>
      <c r="L2071" s="5">
        <v>0</v>
      </c>
      <c r="M2071" s="4"/>
      <c r="N2071" s="4"/>
      <c r="O2071" s="5"/>
      <c r="P2071" s="5"/>
      <c r="Q2071" s="21">
        <v>250</v>
      </c>
      <c r="R2071" s="21">
        <v>0</v>
      </c>
      <c r="S2071" s="5">
        <f t="shared" si="131"/>
        <v>35944.587120151984</v>
      </c>
      <c r="T2071" cm="1">
        <f t="array" ref="T2071">IF(OR(B2071="MAL ALIMI", B2071="ÜRETİM GİRİŞ"), MIN(I2071, MAX(0, I2071 + SUM(SUMIFS($I$1:I2070, $C$1:C2070, C2071, $B$1:B2070, {"MAL ALIMI","ÜRETİM GİRİŞ"})) - VLOOKUP(C2071, 'STOK RAPORU'!$C$2:$I$1000, 4, 0))), 0)</f>
        <v>0</v>
      </c>
      <c r="U2071" s="22">
        <f t="shared" si="128"/>
        <v>0</v>
      </c>
      <c r="V2071">
        <f t="shared" si="129"/>
        <v>0</v>
      </c>
      <c r="W2071" s="22">
        <f t="shared" si="130"/>
        <v>0</v>
      </c>
    </row>
    <row r="2072" spans="1:23" hidden="1" x14ac:dyDescent="0.25">
      <c r="A2072" s="3">
        <v>46002</v>
      </c>
      <c r="B2072" s="4" t="s">
        <v>334</v>
      </c>
      <c r="C2072" s="4" t="s">
        <v>211</v>
      </c>
      <c r="D2072" s="4"/>
      <c r="E2072" s="4"/>
      <c r="F2072" s="4" t="s">
        <v>1233</v>
      </c>
      <c r="G2072" s="4" t="s">
        <v>336</v>
      </c>
      <c r="H2072" s="4" t="s">
        <v>289</v>
      </c>
      <c r="I2072" s="4">
        <v>1</v>
      </c>
      <c r="J2072" s="21">
        <v>250</v>
      </c>
      <c r="K2072" s="21">
        <v>0</v>
      </c>
      <c r="L2072" s="5">
        <v>0</v>
      </c>
      <c r="M2072" s="4"/>
      <c r="N2072" s="4"/>
      <c r="O2072" s="5"/>
      <c r="P2072" s="5"/>
      <c r="Q2072" s="21">
        <v>250</v>
      </c>
      <c r="R2072" s="21">
        <v>0</v>
      </c>
      <c r="S2072" s="5">
        <f t="shared" si="131"/>
        <v>36194.587120151984</v>
      </c>
      <c r="T2072" cm="1">
        <f t="array" ref="T2072">IF(OR(B2072="MAL ALIMI", B2072="ÜRETİM GİRİŞ"), MIN(I2072, MAX(0, I2072 + SUM(SUMIFS($I$1:I2071, $C$1:C2071, C2072, $B$1:B2071, {"MAL ALIMI","ÜRETİM GİRİŞ"})) - VLOOKUP(C2072, 'STOK RAPORU'!$C$2:$I$1000, 4, 0))), 0)</f>
        <v>0</v>
      </c>
      <c r="U2072" s="22">
        <f t="shared" si="128"/>
        <v>0</v>
      </c>
      <c r="V2072">
        <f t="shared" si="129"/>
        <v>0</v>
      </c>
      <c r="W2072" s="22">
        <f t="shared" si="130"/>
        <v>0</v>
      </c>
    </row>
    <row r="2073" spans="1:23" hidden="1" x14ac:dyDescent="0.25">
      <c r="A2073" s="3">
        <v>46002</v>
      </c>
      <c r="B2073" s="4" t="s">
        <v>334</v>
      </c>
      <c r="C2073" s="4" t="s">
        <v>237</v>
      </c>
      <c r="D2073" s="4"/>
      <c r="E2073" s="4"/>
      <c r="F2073" s="4" t="s">
        <v>1233</v>
      </c>
      <c r="G2073" s="4" t="s">
        <v>336</v>
      </c>
      <c r="H2073" s="4" t="s">
        <v>289</v>
      </c>
      <c r="I2073" s="4">
        <v>0.04</v>
      </c>
      <c r="J2073" s="21">
        <v>1250</v>
      </c>
      <c r="K2073" s="21">
        <v>0</v>
      </c>
      <c r="L2073" s="5">
        <v>0</v>
      </c>
      <c r="M2073" s="4"/>
      <c r="N2073" s="4"/>
      <c r="O2073" s="5"/>
      <c r="P2073" s="5"/>
      <c r="Q2073" s="21">
        <v>50</v>
      </c>
      <c r="R2073" s="21">
        <v>0</v>
      </c>
      <c r="S2073" s="5">
        <f t="shared" si="131"/>
        <v>36244.587120151984</v>
      </c>
      <c r="T2073" cm="1">
        <f t="array" ref="T2073">IF(OR(B2073="MAL ALIMI", B2073="ÜRETİM GİRİŞ"), MIN(I2073, MAX(0, I2073 + SUM(SUMIFS($I$1:I2072, $C$1:C2072, C2073, $B$1:B2072, {"MAL ALIMI","ÜRETİM GİRİŞ"})) - VLOOKUP(C2073, 'STOK RAPORU'!$C$2:$I$1000, 4, 0))), 0)</f>
        <v>0</v>
      </c>
      <c r="U2073" s="22">
        <f t="shared" si="128"/>
        <v>0</v>
      </c>
      <c r="V2073">
        <f t="shared" si="129"/>
        <v>0</v>
      </c>
      <c r="W2073" s="22">
        <f t="shared" si="130"/>
        <v>0</v>
      </c>
    </row>
    <row r="2074" spans="1:23" hidden="1" x14ac:dyDescent="0.25">
      <c r="A2074" s="3">
        <v>46002</v>
      </c>
      <c r="B2074" s="4" t="s">
        <v>334</v>
      </c>
      <c r="C2074" s="4" t="s">
        <v>1041</v>
      </c>
      <c r="D2074" s="4"/>
      <c r="E2074" s="4"/>
      <c r="F2074" s="4" t="s">
        <v>1234</v>
      </c>
      <c r="G2074" s="4" t="s">
        <v>336</v>
      </c>
      <c r="H2074" s="4" t="s">
        <v>289</v>
      </c>
      <c r="I2074" s="4">
        <v>2.0699999999999998</v>
      </c>
      <c r="J2074" s="21">
        <v>290</v>
      </c>
      <c r="K2074" s="21">
        <v>0</v>
      </c>
      <c r="L2074" s="5">
        <v>0</v>
      </c>
      <c r="M2074" s="4"/>
      <c r="N2074" s="4"/>
      <c r="O2074" s="5"/>
      <c r="P2074" s="5"/>
      <c r="Q2074" s="21">
        <v>600.29999999999995</v>
      </c>
      <c r="R2074" s="21">
        <v>0</v>
      </c>
      <c r="S2074" s="5">
        <f t="shared" si="131"/>
        <v>36844.887120151987</v>
      </c>
      <c r="T2074" cm="1">
        <f t="array" ref="T2074">IF(OR(B2074="MAL ALIMI", B2074="ÜRETİM GİRİŞ"), MIN(I2074, MAX(0, I2074 + SUM(SUMIFS($I$1:I2073, $C$1:C2073, C2074, $B$1:B2073, {"MAL ALIMI","ÜRETİM GİRİŞ"})) - VLOOKUP(C2074, 'STOK RAPORU'!$C$2:$I$1000, 4, 0))), 0)</f>
        <v>0</v>
      </c>
      <c r="U2074" s="22">
        <f t="shared" si="128"/>
        <v>0</v>
      </c>
      <c r="V2074">
        <f t="shared" si="129"/>
        <v>0</v>
      </c>
      <c r="W2074" s="22">
        <f t="shared" si="130"/>
        <v>0</v>
      </c>
    </row>
    <row r="2075" spans="1:23" hidden="1" x14ac:dyDescent="0.25">
      <c r="A2075" s="3">
        <v>46002</v>
      </c>
      <c r="B2075" s="4" t="s">
        <v>334</v>
      </c>
      <c r="C2075" s="4" t="s">
        <v>223</v>
      </c>
      <c r="D2075" s="4"/>
      <c r="E2075" s="4"/>
      <c r="F2075" s="4" t="s">
        <v>1234</v>
      </c>
      <c r="G2075" s="4" t="s">
        <v>336</v>
      </c>
      <c r="H2075" s="4" t="s">
        <v>289</v>
      </c>
      <c r="I2075" s="4">
        <v>0.5</v>
      </c>
      <c r="J2075" s="21">
        <v>800</v>
      </c>
      <c r="K2075" s="21">
        <v>0</v>
      </c>
      <c r="L2075" s="5">
        <v>0</v>
      </c>
      <c r="M2075" s="4"/>
      <c r="N2075" s="4"/>
      <c r="O2075" s="5"/>
      <c r="P2075" s="5"/>
      <c r="Q2075" s="21">
        <v>400</v>
      </c>
      <c r="R2075" s="21">
        <v>0</v>
      </c>
      <c r="S2075" s="5">
        <f t="shared" si="131"/>
        <v>37244.887120151987</v>
      </c>
      <c r="T2075" cm="1">
        <f t="array" ref="T2075">IF(OR(B2075="MAL ALIMI", B2075="ÜRETİM GİRİŞ"), MIN(I2075, MAX(0, I2075 + SUM(SUMIFS($I$1:I2074, $C$1:C2074, C2075, $B$1:B2074, {"MAL ALIMI","ÜRETİM GİRİŞ"})) - VLOOKUP(C2075, 'STOK RAPORU'!$C$2:$I$1000, 4, 0))), 0)</f>
        <v>0</v>
      </c>
      <c r="U2075" s="22">
        <f t="shared" si="128"/>
        <v>0</v>
      </c>
      <c r="V2075">
        <f t="shared" si="129"/>
        <v>0</v>
      </c>
      <c r="W2075" s="22">
        <f t="shared" si="130"/>
        <v>0</v>
      </c>
    </row>
    <row r="2076" spans="1:23" hidden="1" x14ac:dyDescent="0.25">
      <c r="A2076" s="3">
        <v>46002</v>
      </c>
      <c r="B2076" s="4" t="s">
        <v>946</v>
      </c>
      <c r="C2076" s="4"/>
      <c r="D2076" s="4"/>
      <c r="E2076" s="4" t="s">
        <v>921</v>
      </c>
      <c r="F2076" s="4"/>
      <c r="G2076" s="4" t="s">
        <v>946</v>
      </c>
      <c r="H2076" s="4" t="s">
        <v>380</v>
      </c>
      <c r="I2076" s="4">
        <v>1</v>
      </c>
      <c r="J2076" s="105">
        <v>1287</v>
      </c>
      <c r="K2076" s="21">
        <v>0</v>
      </c>
      <c r="L2076" s="111">
        <v>1287</v>
      </c>
      <c r="M2076" s="21">
        <v>240</v>
      </c>
      <c r="N2076" s="21">
        <v>0</v>
      </c>
      <c r="O2076" s="5">
        <v>27948.412999999957</v>
      </c>
      <c r="P2076" s="5"/>
      <c r="Q2076" s="21">
        <v>1287</v>
      </c>
      <c r="R2076" s="21">
        <v>0</v>
      </c>
      <c r="S2076" s="5">
        <f t="shared" si="131"/>
        <v>38531.887120151987</v>
      </c>
      <c r="T2076" cm="1">
        <f t="array" ref="T2076">IF(OR(B2076="MAL ALIMI", B2076="ÜRETİM GİRİŞ"), MIN(I2076, MAX(0, I2076 + SUM(SUMIFS($I$1:I2075, $C$1:C2075, C2076, $B$1:B2075, {"MAL ALIMI","ÜRETİM GİRİŞ"})) - VLOOKUP(C2076, 'STOK RAPORU'!$C$2:$I$1000, 4, 0))), 0)</f>
        <v>0</v>
      </c>
      <c r="U2076" s="22">
        <f t="shared" si="128"/>
        <v>0</v>
      </c>
      <c r="V2076">
        <f t="shared" si="129"/>
        <v>0</v>
      </c>
      <c r="W2076" s="22">
        <f t="shared" si="130"/>
        <v>0</v>
      </c>
    </row>
    <row r="2077" spans="1:23" hidden="1" x14ac:dyDescent="0.25">
      <c r="A2077" s="3">
        <v>46003</v>
      </c>
      <c r="B2077" s="4" t="s">
        <v>334</v>
      </c>
      <c r="C2077" s="4" t="s">
        <v>587</v>
      </c>
      <c r="D2077" s="4"/>
      <c r="E2077" s="4"/>
      <c r="F2077" s="4" t="s">
        <v>1235</v>
      </c>
      <c r="G2077" s="4" t="s">
        <v>336</v>
      </c>
      <c r="H2077" s="4" t="s">
        <v>289</v>
      </c>
      <c r="I2077" s="4">
        <v>0.5</v>
      </c>
      <c r="J2077" s="21">
        <v>130</v>
      </c>
      <c r="K2077" s="21">
        <v>0</v>
      </c>
      <c r="L2077" s="5">
        <v>0</v>
      </c>
      <c r="M2077" s="4"/>
      <c r="N2077" s="4"/>
      <c r="O2077" s="5"/>
      <c r="P2077" s="5"/>
      <c r="Q2077" s="21">
        <v>65</v>
      </c>
      <c r="R2077" s="21">
        <v>0</v>
      </c>
      <c r="S2077" s="5">
        <f t="shared" si="131"/>
        <v>38596.887120151987</v>
      </c>
      <c r="T2077" cm="1">
        <f t="array" ref="T2077">IF(OR(B2077="MAL ALIMI", B2077="ÜRETİM GİRİŞ"), MIN(I2077, MAX(0, I2077 + SUM(SUMIFS($I$1:I2076, $C$1:C2076, C2077, $B$1:B2076, {"MAL ALIMI","ÜRETİM GİRİŞ"})) - VLOOKUP(C2077, 'STOK RAPORU'!$C$2:$I$1000, 4, 0))), 0)</f>
        <v>0</v>
      </c>
      <c r="U2077" s="22">
        <f t="shared" si="128"/>
        <v>0</v>
      </c>
      <c r="V2077">
        <f t="shared" si="129"/>
        <v>0</v>
      </c>
      <c r="W2077" s="22">
        <f t="shared" si="130"/>
        <v>0</v>
      </c>
    </row>
    <row r="2078" spans="1:23" hidden="1" x14ac:dyDescent="0.25">
      <c r="A2078" s="3">
        <v>46003</v>
      </c>
      <c r="B2078" s="4" t="s">
        <v>334</v>
      </c>
      <c r="C2078" s="4" t="s">
        <v>126</v>
      </c>
      <c r="D2078" s="4"/>
      <c r="E2078" s="4"/>
      <c r="F2078" s="4" t="s">
        <v>1235</v>
      </c>
      <c r="G2078" s="4" t="s">
        <v>336</v>
      </c>
      <c r="H2078" s="4" t="s">
        <v>289</v>
      </c>
      <c r="I2078" s="4">
        <v>6.7968749999999994E-2</v>
      </c>
      <c r="J2078" s="21">
        <v>640</v>
      </c>
      <c r="K2078" s="21">
        <v>0</v>
      </c>
      <c r="L2078" s="5">
        <v>0</v>
      </c>
      <c r="M2078" s="4"/>
      <c r="N2078" s="4"/>
      <c r="O2078" s="5"/>
      <c r="P2078" s="5"/>
      <c r="Q2078" s="21">
        <v>43.5</v>
      </c>
      <c r="R2078" s="21">
        <v>0</v>
      </c>
      <c r="S2078" s="5">
        <f t="shared" si="131"/>
        <v>38640.387120151987</v>
      </c>
      <c r="T2078" cm="1">
        <f t="array" ref="T2078">IF(OR(B2078="MAL ALIMI", B2078="ÜRETİM GİRİŞ"), MIN(I2078, MAX(0, I2078 + SUM(SUMIFS($I$1:I2077, $C$1:C2077, C2078, $B$1:B2077, {"MAL ALIMI","ÜRETİM GİRİŞ"})) - VLOOKUP(C2078, 'STOK RAPORU'!$C$2:$I$1000, 4, 0))), 0)</f>
        <v>0</v>
      </c>
      <c r="U2078" s="22">
        <f t="shared" si="128"/>
        <v>0</v>
      </c>
      <c r="V2078">
        <f t="shared" si="129"/>
        <v>0</v>
      </c>
      <c r="W2078" s="22">
        <f t="shared" si="130"/>
        <v>0</v>
      </c>
    </row>
    <row r="2079" spans="1:23" hidden="1" x14ac:dyDescent="0.25">
      <c r="A2079" s="3">
        <v>46003</v>
      </c>
      <c r="B2079" s="4" t="s">
        <v>334</v>
      </c>
      <c r="C2079" s="4" t="s">
        <v>91</v>
      </c>
      <c r="D2079" s="4"/>
      <c r="E2079" s="4"/>
      <c r="F2079" s="4" t="s">
        <v>1235</v>
      </c>
      <c r="G2079" s="4" t="s">
        <v>336</v>
      </c>
      <c r="H2079" s="4" t="s">
        <v>289</v>
      </c>
      <c r="I2079" s="4">
        <v>2.6000000000000002E-2</v>
      </c>
      <c r="J2079" s="21">
        <v>760</v>
      </c>
      <c r="K2079" s="21">
        <v>0</v>
      </c>
      <c r="L2079" s="5">
        <v>0</v>
      </c>
      <c r="M2079" s="4"/>
      <c r="N2079" s="4"/>
      <c r="O2079" s="5"/>
      <c r="P2079" s="5"/>
      <c r="Q2079" s="21">
        <v>19.760000000000002</v>
      </c>
      <c r="R2079" s="21">
        <v>0</v>
      </c>
      <c r="S2079" s="5">
        <f t="shared" si="131"/>
        <v>38660.147120151989</v>
      </c>
      <c r="T2079" cm="1">
        <f t="array" ref="T2079">IF(OR(B2079="MAL ALIMI", B2079="ÜRETİM GİRİŞ"), MIN(I2079, MAX(0, I2079 + SUM(SUMIFS($I$1:I2078, $C$1:C2078, C2079, $B$1:B2078, {"MAL ALIMI","ÜRETİM GİRİŞ"})) - VLOOKUP(C2079, 'STOK RAPORU'!$C$2:$I$1000, 4, 0))), 0)</f>
        <v>0</v>
      </c>
      <c r="U2079" s="22">
        <f t="shared" si="128"/>
        <v>0</v>
      </c>
      <c r="V2079">
        <f t="shared" si="129"/>
        <v>0</v>
      </c>
      <c r="W2079" s="22">
        <f t="shared" si="130"/>
        <v>0</v>
      </c>
    </row>
    <row r="2080" spans="1:23" hidden="1" x14ac:dyDescent="0.25">
      <c r="A2080" s="3">
        <v>46003</v>
      </c>
      <c r="B2080" s="4" t="s">
        <v>334</v>
      </c>
      <c r="C2080" s="4" t="s">
        <v>133</v>
      </c>
      <c r="D2080" s="4"/>
      <c r="E2080" s="4"/>
      <c r="F2080" s="4" t="s">
        <v>1235</v>
      </c>
      <c r="G2080" s="4" t="s">
        <v>336</v>
      </c>
      <c r="H2080" s="4" t="s">
        <v>289</v>
      </c>
      <c r="I2080" s="4">
        <v>7.8947368421052627E-2</v>
      </c>
      <c r="J2080" s="21">
        <v>380</v>
      </c>
      <c r="K2080" s="21">
        <v>0</v>
      </c>
      <c r="L2080" s="5">
        <v>0</v>
      </c>
      <c r="M2080" s="4"/>
      <c r="N2080" s="4"/>
      <c r="O2080" s="5"/>
      <c r="P2080" s="5"/>
      <c r="Q2080" s="21">
        <v>30</v>
      </c>
      <c r="R2080" s="21">
        <v>0</v>
      </c>
      <c r="S2080" s="5">
        <f t="shared" si="131"/>
        <v>38690.147120151989</v>
      </c>
      <c r="T2080" cm="1">
        <f t="array" ref="T2080">IF(OR(B2080="MAL ALIMI", B2080="ÜRETİM GİRİŞ"), MIN(I2080, MAX(0, I2080 + SUM(SUMIFS($I$1:I2079, $C$1:C2079, C2080, $B$1:B2079, {"MAL ALIMI","ÜRETİM GİRİŞ"})) - VLOOKUP(C2080, 'STOK RAPORU'!$C$2:$I$1000, 4, 0))), 0)</f>
        <v>0</v>
      </c>
      <c r="U2080" s="22">
        <f t="shared" si="128"/>
        <v>0</v>
      </c>
      <c r="V2080">
        <f t="shared" si="129"/>
        <v>0</v>
      </c>
      <c r="W2080" s="22">
        <f t="shared" si="130"/>
        <v>0</v>
      </c>
    </row>
    <row r="2081" spans="1:23" hidden="1" x14ac:dyDescent="0.25">
      <c r="A2081" s="3">
        <v>46003</v>
      </c>
      <c r="B2081" s="4" t="s">
        <v>334</v>
      </c>
      <c r="C2081" s="4" t="s">
        <v>265</v>
      </c>
      <c r="D2081" s="4"/>
      <c r="E2081" s="4" t="s">
        <v>921</v>
      </c>
      <c r="F2081" s="4" t="s">
        <v>1236</v>
      </c>
      <c r="G2081" s="4" t="s">
        <v>336</v>
      </c>
      <c r="H2081" s="4" t="s">
        <v>380</v>
      </c>
      <c r="I2081" s="4">
        <v>1</v>
      </c>
      <c r="J2081" s="21">
        <v>140</v>
      </c>
      <c r="K2081" s="21">
        <v>140</v>
      </c>
      <c r="L2081" s="5">
        <v>0</v>
      </c>
      <c r="M2081" s="4"/>
      <c r="N2081" s="4"/>
      <c r="O2081" s="5"/>
      <c r="P2081" s="5"/>
      <c r="Q2081" s="21">
        <v>0</v>
      </c>
      <c r="R2081" s="21">
        <v>0</v>
      </c>
      <c r="S2081" s="5">
        <f t="shared" si="131"/>
        <v>38690.147120151989</v>
      </c>
      <c r="T2081" cm="1">
        <f t="array" ref="T2081">IF(OR(B2081="MAL ALIMI", B2081="ÜRETİM GİRİŞ"), MIN(I2081, MAX(0, I2081 + SUM(SUMIFS($I$1:I2080, $C$1:C2080, C2081, $B$1:B2080, {"MAL ALIMI","ÜRETİM GİRİŞ"})) - VLOOKUP(C2081, 'STOK RAPORU'!$C$2:$I$1000, 4, 0))), 0)</f>
        <v>0</v>
      </c>
      <c r="U2081" s="22">
        <f t="shared" si="128"/>
        <v>0</v>
      </c>
      <c r="V2081">
        <f t="shared" si="129"/>
        <v>0</v>
      </c>
      <c r="W2081" s="22">
        <f t="shared" si="130"/>
        <v>0</v>
      </c>
    </row>
    <row r="2082" spans="1:23" hidden="1" x14ac:dyDescent="0.25">
      <c r="A2082" s="3">
        <v>46003</v>
      </c>
      <c r="B2082" s="4" t="s">
        <v>334</v>
      </c>
      <c r="C2082" s="4" t="s">
        <v>209</v>
      </c>
      <c r="D2082" s="4"/>
      <c r="E2082" s="4" t="s">
        <v>921</v>
      </c>
      <c r="F2082" s="4" t="s">
        <v>1236</v>
      </c>
      <c r="G2082" s="4" t="s">
        <v>336</v>
      </c>
      <c r="H2082" s="4" t="s">
        <v>380</v>
      </c>
      <c r="I2082" s="4">
        <v>0.05</v>
      </c>
      <c r="J2082" s="21">
        <v>2600</v>
      </c>
      <c r="K2082" s="21">
        <v>130</v>
      </c>
      <c r="L2082" s="5">
        <v>0</v>
      </c>
      <c r="M2082" s="4"/>
      <c r="N2082" s="4"/>
      <c r="O2082" s="5"/>
      <c r="P2082" s="5"/>
      <c r="Q2082" s="21">
        <v>0</v>
      </c>
      <c r="R2082" s="21">
        <v>0</v>
      </c>
      <c r="S2082" s="5">
        <f t="shared" si="131"/>
        <v>38690.147120151989</v>
      </c>
      <c r="T2082" cm="1">
        <f t="array" ref="T2082">IF(OR(B2082="MAL ALIMI", B2082="ÜRETİM GİRİŞ"), MIN(I2082, MAX(0, I2082 + SUM(SUMIFS($I$1:I2081, $C$1:C2081, C2082, $B$1:B2081, {"MAL ALIMI","ÜRETİM GİRİŞ"})) - VLOOKUP(C2082, 'STOK RAPORU'!$C$2:$I$1000, 4, 0))), 0)</f>
        <v>0</v>
      </c>
      <c r="U2082" s="22">
        <f t="shared" si="128"/>
        <v>0</v>
      </c>
      <c r="V2082">
        <f t="shared" si="129"/>
        <v>0</v>
      </c>
      <c r="W2082" s="22">
        <f t="shared" si="130"/>
        <v>0</v>
      </c>
    </row>
    <row r="2083" spans="1:23" hidden="1" x14ac:dyDescent="0.25">
      <c r="A2083" s="3">
        <v>46003</v>
      </c>
      <c r="B2083" s="4" t="s">
        <v>334</v>
      </c>
      <c r="C2083" s="4" t="s">
        <v>1143</v>
      </c>
      <c r="D2083" s="4"/>
      <c r="E2083" s="4" t="s">
        <v>921</v>
      </c>
      <c r="F2083" s="4" t="s">
        <v>1236</v>
      </c>
      <c r="G2083" s="4" t="s">
        <v>336</v>
      </c>
      <c r="H2083" s="4" t="s">
        <v>380</v>
      </c>
      <c r="I2083" s="4">
        <v>1</v>
      </c>
      <c r="J2083" s="21">
        <v>125</v>
      </c>
      <c r="K2083" s="21">
        <v>125</v>
      </c>
      <c r="L2083" s="5">
        <v>0</v>
      </c>
      <c r="M2083" s="4"/>
      <c r="N2083" s="4"/>
      <c r="O2083" s="5"/>
      <c r="P2083" s="5"/>
      <c r="Q2083" s="21">
        <v>0</v>
      </c>
      <c r="R2083" s="21">
        <v>0</v>
      </c>
      <c r="S2083" s="5">
        <f t="shared" si="131"/>
        <v>38690.147120151989</v>
      </c>
      <c r="T2083" cm="1">
        <f t="array" ref="T2083">IF(OR(B2083="MAL ALIMI", B2083="ÜRETİM GİRİŞ"), MIN(I2083, MAX(0, I2083 + SUM(SUMIFS($I$1:I2082, $C$1:C2082, C2083, $B$1:B2082, {"MAL ALIMI","ÜRETİM GİRİŞ"})) - VLOOKUP(C2083, 'STOK RAPORU'!$C$2:$I$1000, 4, 0))), 0)</f>
        <v>0</v>
      </c>
      <c r="U2083" s="22">
        <f t="shared" si="128"/>
        <v>0</v>
      </c>
      <c r="V2083">
        <f t="shared" si="129"/>
        <v>0</v>
      </c>
      <c r="W2083" s="22">
        <f t="shared" si="130"/>
        <v>0</v>
      </c>
    </row>
    <row r="2084" spans="1:23" hidden="1" x14ac:dyDescent="0.25">
      <c r="A2084" s="3">
        <v>46003</v>
      </c>
      <c r="B2084" s="4" t="s">
        <v>334</v>
      </c>
      <c r="C2084" s="4" t="s">
        <v>166</v>
      </c>
      <c r="D2084" s="4"/>
      <c r="E2084" s="4" t="s">
        <v>921</v>
      </c>
      <c r="F2084" s="4" t="s">
        <v>1237</v>
      </c>
      <c r="G2084" s="4" t="s">
        <v>336</v>
      </c>
      <c r="H2084" s="4" t="s">
        <v>380</v>
      </c>
      <c r="I2084" s="4">
        <v>0.104</v>
      </c>
      <c r="J2084" s="21">
        <v>770</v>
      </c>
      <c r="K2084" s="21">
        <v>80.08</v>
      </c>
      <c r="L2084" s="5">
        <v>0</v>
      </c>
      <c r="M2084" s="4"/>
      <c r="N2084" s="4"/>
      <c r="O2084" s="5"/>
      <c r="P2084" s="5"/>
      <c r="Q2084" s="21">
        <v>0</v>
      </c>
      <c r="R2084" s="21">
        <v>0</v>
      </c>
      <c r="S2084" s="5">
        <f t="shared" si="131"/>
        <v>38690.147120151989</v>
      </c>
      <c r="T2084" cm="1">
        <f t="array" ref="T2084">IF(OR(B2084="MAL ALIMI", B2084="ÜRETİM GİRİŞ"), MIN(I2084, MAX(0, I2084 + SUM(SUMIFS($I$1:I2083, $C$1:C2083, C2084, $B$1:B2083, {"MAL ALIMI","ÜRETİM GİRİŞ"})) - VLOOKUP(C2084, 'STOK RAPORU'!$C$2:$I$1000, 4, 0))), 0)</f>
        <v>0</v>
      </c>
      <c r="U2084" s="22">
        <f t="shared" si="128"/>
        <v>0</v>
      </c>
      <c r="V2084">
        <f t="shared" si="129"/>
        <v>0</v>
      </c>
      <c r="W2084" s="22">
        <f t="shared" si="130"/>
        <v>0</v>
      </c>
    </row>
    <row r="2085" spans="1:23" hidden="1" x14ac:dyDescent="0.25">
      <c r="A2085" s="3">
        <v>46003</v>
      </c>
      <c r="B2085" s="4" t="s">
        <v>334</v>
      </c>
      <c r="C2085" s="4" t="s">
        <v>161</v>
      </c>
      <c r="D2085" s="4"/>
      <c r="E2085" s="4" t="s">
        <v>921</v>
      </c>
      <c r="F2085" s="4" t="s">
        <v>1237</v>
      </c>
      <c r="G2085" s="4" t="s">
        <v>336</v>
      </c>
      <c r="H2085" s="4" t="s">
        <v>380</v>
      </c>
      <c r="I2085" s="4">
        <v>1</v>
      </c>
      <c r="J2085" s="21">
        <v>200</v>
      </c>
      <c r="K2085" s="21">
        <v>200</v>
      </c>
      <c r="L2085" s="5">
        <v>0</v>
      </c>
      <c r="M2085" s="4"/>
      <c r="N2085" s="4"/>
      <c r="O2085" s="5"/>
      <c r="P2085" s="5"/>
      <c r="Q2085" s="21">
        <v>0</v>
      </c>
      <c r="R2085" s="21">
        <v>0</v>
      </c>
      <c r="S2085" s="5">
        <f t="shared" si="131"/>
        <v>38690.147120151989</v>
      </c>
      <c r="T2085" cm="1">
        <f t="array" ref="T2085">IF(OR(B2085="MAL ALIMI", B2085="ÜRETİM GİRİŞ"), MIN(I2085, MAX(0, I2085 + SUM(SUMIFS($I$1:I2084, $C$1:C2084, C2085, $B$1:B2084, {"MAL ALIMI","ÜRETİM GİRİŞ"})) - VLOOKUP(C2085, 'STOK RAPORU'!$C$2:$I$1000, 4, 0))), 0)</f>
        <v>0</v>
      </c>
      <c r="U2085" s="22">
        <f t="shared" si="128"/>
        <v>0</v>
      </c>
      <c r="V2085">
        <f t="shared" si="129"/>
        <v>0</v>
      </c>
      <c r="W2085" s="22">
        <f t="shared" si="130"/>
        <v>0</v>
      </c>
    </row>
    <row r="2086" spans="1:23" hidden="1" x14ac:dyDescent="0.25">
      <c r="A2086" s="3">
        <v>46003</v>
      </c>
      <c r="B2086" s="4" t="s">
        <v>334</v>
      </c>
      <c r="C2086" s="4" t="s">
        <v>160</v>
      </c>
      <c r="D2086" s="4"/>
      <c r="E2086" s="4" t="s">
        <v>921</v>
      </c>
      <c r="F2086" s="4" t="s">
        <v>1237</v>
      </c>
      <c r="G2086" s="4" t="s">
        <v>336</v>
      </c>
      <c r="H2086" s="4" t="s">
        <v>380</v>
      </c>
      <c r="I2086" s="4">
        <v>1</v>
      </c>
      <c r="J2086" s="21">
        <v>240</v>
      </c>
      <c r="K2086" s="21">
        <v>240</v>
      </c>
      <c r="L2086" s="5">
        <v>0</v>
      </c>
      <c r="M2086" s="4"/>
      <c r="N2086" s="4"/>
      <c r="O2086" s="5"/>
      <c r="P2086" s="5"/>
      <c r="Q2086" s="21">
        <v>0</v>
      </c>
      <c r="R2086" s="21">
        <v>0</v>
      </c>
      <c r="S2086" s="5">
        <f t="shared" si="131"/>
        <v>38690.147120151989</v>
      </c>
      <c r="T2086" cm="1">
        <f t="array" ref="T2086">IF(OR(B2086="MAL ALIMI", B2086="ÜRETİM GİRİŞ"), MIN(I2086, MAX(0, I2086 + SUM(SUMIFS($I$1:I2085, $C$1:C2085, C2086, $B$1:B2085, {"MAL ALIMI","ÜRETİM GİRİŞ"})) - VLOOKUP(C2086, 'STOK RAPORU'!$C$2:$I$1000, 4, 0))), 0)</f>
        <v>0</v>
      </c>
      <c r="U2086" s="22">
        <f t="shared" si="128"/>
        <v>0</v>
      </c>
      <c r="V2086">
        <f t="shared" si="129"/>
        <v>0</v>
      </c>
      <c r="W2086" s="22">
        <f t="shared" si="130"/>
        <v>0</v>
      </c>
    </row>
    <row r="2087" spans="1:23" hidden="1" x14ac:dyDescent="0.25">
      <c r="A2087" s="3">
        <v>46003</v>
      </c>
      <c r="B2087" s="4" t="s">
        <v>334</v>
      </c>
      <c r="C2087" s="4" t="s">
        <v>261</v>
      </c>
      <c r="D2087" s="4"/>
      <c r="E2087" s="4" t="s">
        <v>921</v>
      </c>
      <c r="F2087" s="4" t="s">
        <v>1237</v>
      </c>
      <c r="G2087" s="4" t="s">
        <v>336</v>
      </c>
      <c r="H2087" s="4" t="s">
        <v>380</v>
      </c>
      <c r="I2087" s="4">
        <v>1</v>
      </c>
      <c r="J2087" s="21">
        <v>150</v>
      </c>
      <c r="K2087" s="21">
        <v>150</v>
      </c>
      <c r="L2087" s="5">
        <v>0</v>
      </c>
      <c r="M2087" s="4"/>
      <c r="N2087" s="4"/>
      <c r="O2087" s="5"/>
      <c r="P2087" s="5"/>
      <c r="Q2087" s="21">
        <v>0</v>
      </c>
      <c r="R2087" s="21">
        <v>0</v>
      </c>
      <c r="S2087" s="5">
        <f t="shared" si="131"/>
        <v>38690.147120151989</v>
      </c>
      <c r="T2087" cm="1">
        <f t="array" ref="T2087">IF(OR(B2087="MAL ALIMI", B2087="ÜRETİM GİRİŞ"), MIN(I2087, MAX(0, I2087 + SUM(SUMIFS($I$1:I2086, $C$1:C2086, C2087, $B$1:B2086, {"MAL ALIMI","ÜRETİM GİRİŞ"})) - VLOOKUP(C2087, 'STOK RAPORU'!$C$2:$I$1000, 4, 0))), 0)</f>
        <v>0</v>
      </c>
      <c r="U2087" s="22">
        <f t="shared" si="128"/>
        <v>0</v>
      </c>
      <c r="V2087">
        <f t="shared" si="129"/>
        <v>0</v>
      </c>
      <c r="W2087" s="22">
        <f t="shared" si="130"/>
        <v>0</v>
      </c>
    </row>
    <row r="2088" spans="1:23" hidden="1" x14ac:dyDescent="0.25">
      <c r="A2088" s="3">
        <v>46003</v>
      </c>
      <c r="B2088" s="4" t="s">
        <v>334</v>
      </c>
      <c r="C2088" s="4" t="s">
        <v>237</v>
      </c>
      <c r="D2088" s="4"/>
      <c r="E2088" s="4" t="s">
        <v>921</v>
      </c>
      <c r="F2088" s="4" t="s">
        <v>1237</v>
      </c>
      <c r="G2088" s="4" t="s">
        <v>336</v>
      </c>
      <c r="H2088" s="4" t="s">
        <v>380</v>
      </c>
      <c r="I2088" s="4">
        <v>0.04</v>
      </c>
      <c r="J2088" s="21">
        <v>2050</v>
      </c>
      <c r="K2088" s="21">
        <v>82</v>
      </c>
      <c r="L2088" s="5">
        <v>0</v>
      </c>
      <c r="M2088" s="4"/>
      <c r="N2088" s="4"/>
      <c r="O2088" s="5"/>
      <c r="P2088" s="5"/>
      <c r="Q2088" s="21">
        <v>0</v>
      </c>
      <c r="R2088" s="21">
        <v>0</v>
      </c>
      <c r="S2088" s="5">
        <f t="shared" si="131"/>
        <v>38690.147120151989</v>
      </c>
      <c r="T2088" cm="1">
        <f t="array" ref="T2088">IF(OR(B2088="MAL ALIMI", B2088="ÜRETİM GİRİŞ"), MIN(I2088, MAX(0, I2088 + SUM(SUMIFS($I$1:I2087, $C$1:C2087, C2088, $B$1:B2087, {"MAL ALIMI","ÜRETİM GİRİŞ"})) - VLOOKUP(C2088, 'STOK RAPORU'!$C$2:$I$1000, 4, 0))), 0)</f>
        <v>0</v>
      </c>
      <c r="U2088" s="22">
        <f t="shared" si="128"/>
        <v>0</v>
      </c>
      <c r="V2088">
        <f t="shared" si="129"/>
        <v>0</v>
      </c>
      <c r="W2088" s="22">
        <f t="shared" si="130"/>
        <v>0</v>
      </c>
    </row>
    <row r="2089" spans="1:23" hidden="1" x14ac:dyDescent="0.25">
      <c r="A2089" s="3">
        <v>46003</v>
      </c>
      <c r="B2089" s="4" t="s">
        <v>334</v>
      </c>
      <c r="C2089" s="4" t="s">
        <v>219</v>
      </c>
      <c r="D2089" s="4"/>
      <c r="E2089" s="4" t="s">
        <v>921</v>
      </c>
      <c r="F2089" s="4" t="s">
        <v>1237</v>
      </c>
      <c r="G2089" s="4" t="s">
        <v>336</v>
      </c>
      <c r="H2089" s="4" t="s">
        <v>380</v>
      </c>
      <c r="I2089" s="4">
        <v>3.5999999999999997E-2</v>
      </c>
      <c r="J2089" s="21">
        <v>2000</v>
      </c>
      <c r="K2089" s="21">
        <v>72</v>
      </c>
      <c r="L2089" s="5">
        <v>0</v>
      </c>
      <c r="M2089" s="4"/>
      <c r="N2089" s="4"/>
      <c r="O2089" s="5"/>
      <c r="P2089" s="5"/>
      <c r="Q2089" s="21">
        <v>0</v>
      </c>
      <c r="R2089" s="21">
        <v>0</v>
      </c>
      <c r="S2089" s="5">
        <f t="shared" si="131"/>
        <v>38690.147120151989</v>
      </c>
      <c r="T2089" cm="1">
        <f t="array" ref="T2089">IF(OR(B2089="MAL ALIMI", B2089="ÜRETİM GİRİŞ"), MIN(I2089, MAX(0, I2089 + SUM(SUMIFS($I$1:I2088, $C$1:C2088, C2089, $B$1:B2088, {"MAL ALIMI","ÜRETİM GİRİŞ"})) - VLOOKUP(C2089, 'STOK RAPORU'!$C$2:$I$1000, 4, 0))), 0)</f>
        <v>0</v>
      </c>
      <c r="U2089" s="22">
        <f t="shared" si="128"/>
        <v>0</v>
      </c>
      <c r="V2089">
        <f t="shared" si="129"/>
        <v>0</v>
      </c>
      <c r="W2089" s="22">
        <f t="shared" si="130"/>
        <v>0</v>
      </c>
    </row>
    <row r="2090" spans="1:23" hidden="1" x14ac:dyDescent="0.25">
      <c r="A2090" s="3">
        <v>46003</v>
      </c>
      <c r="B2090" s="4" t="s">
        <v>334</v>
      </c>
      <c r="C2090" s="4" t="s">
        <v>92</v>
      </c>
      <c r="D2090" s="4"/>
      <c r="E2090" s="4" t="s">
        <v>921</v>
      </c>
      <c r="F2090" s="4" t="s">
        <v>1237</v>
      </c>
      <c r="G2090" s="4" t="s">
        <v>336</v>
      </c>
      <c r="H2090" s="4" t="s">
        <v>380</v>
      </c>
      <c r="I2090" s="4">
        <v>0.248</v>
      </c>
      <c r="J2090" s="21">
        <v>500</v>
      </c>
      <c r="K2090" s="21">
        <v>124</v>
      </c>
      <c r="L2090" s="5">
        <v>0</v>
      </c>
      <c r="M2090" s="4"/>
      <c r="N2090" s="4"/>
      <c r="O2090" s="5"/>
      <c r="P2090" s="5"/>
      <c r="Q2090" s="21">
        <v>0</v>
      </c>
      <c r="R2090" s="21">
        <v>0</v>
      </c>
      <c r="S2090" s="5">
        <f t="shared" si="131"/>
        <v>38690.147120151989</v>
      </c>
      <c r="T2090" cm="1">
        <f t="array" ref="T2090">IF(OR(B2090="MAL ALIMI", B2090="ÜRETİM GİRİŞ"), MIN(I2090, MAX(0, I2090 + SUM(SUMIFS($I$1:I2089, $C$1:C2089, C2090, $B$1:B2089, {"MAL ALIMI","ÜRETİM GİRİŞ"})) - VLOOKUP(C2090, 'STOK RAPORU'!$C$2:$I$1000, 4, 0))), 0)</f>
        <v>0</v>
      </c>
      <c r="U2090" s="22">
        <f t="shared" si="128"/>
        <v>0</v>
      </c>
      <c r="V2090">
        <f t="shared" si="129"/>
        <v>0</v>
      </c>
      <c r="W2090" s="22">
        <f t="shared" si="130"/>
        <v>0</v>
      </c>
    </row>
    <row r="2091" spans="1:23" hidden="1" x14ac:dyDescent="0.25">
      <c r="A2091" s="3">
        <v>46003</v>
      </c>
      <c r="B2091" s="4" t="s">
        <v>334</v>
      </c>
      <c r="C2091" s="4" t="s">
        <v>163</v>
      </c>
      <c r="D2091" s="4"/>
      <c r="E2091" s="4" t="s">
        <v>921</v>
      </c>
      <c r="F2091" s="4" t="s">
        <v>1237</v>
      </c>
      <c r="G2091" s="4" t="s">
        <v>336</v>
      </c>
      <c r="H2091" s="4" t="s">
        <v>380</v>
      </c>
      <c r="I2091" s="4">
        <v>0.12</v>
      </c>
      <c r="J2091" s="21">
        <v>420</v>
      </c>
      <c r="K2091" s="21">
        <v>50.4</v>
      </c>
      <c r="L2091" s="5">
        <v>0</v>
      </c>
      <c r="M2091" s="4"/>
      <c r="N2091" s="4"/>
      <c r="O2091" s="5"/>
      <c r="P2091" s="5"/>
      <c r="Q2091" s="21">
        <v>0</v>
      </c>
      <c r="R2091" s="21">
        <v>0</v>
      </c>
      <c r="S2091" s="5">
        <f t="shared" si="131"/>
        <v>38690.147120151989</v>
      </c>
      <c r="T2091" cm="1">
        <f t="array" ref="T2091">IF(OR(B2091="MAL ALIMI", B2091="ÜRETİM GİRİŞ"), MIN(I2091, MAX(0, I2091 + SUM(SUMIFS($I$1:I2090, $C$1:C2090, C2091, $B$1:B2090, {"MAL ALIMI","ÜRETİM GİRİŞ"})) - VLOOKUP(C2091, 'STOK RAPORU'!$C$2:$I$1000, 4, 0))), 0)</f>
        <v>0</v>
      </c>
      <c r="U2091" s="22">
        <f t="shared" si="128"/>
        <v>0</v>
      </c>
      <c r="V2091">
        <f t="shared" si="129"/>
        <v>0</v>
      </c>
      <c r="W2091" s="22">
        <f t="shared" si="130"/>
        <v>0</v>
      </c>
    </row>
    <row r="2092" spans="1:23" hidden="1" x14ac:dyDescent="0.25">
      <c r="A2092" s="3">
        <v>46003</v>
      </c>
      <c r="B2092" s="4" t="s">
        <v>334</v>
      </c>
      <c r="C2092" s="4" t="s">
        <v>131</v>
      </c>
      <c r="D2092" s="4"/>
      <c r="E2092" s="4" t="s">
        <v>921</v>
      </c>
      <c r="F2092" s="4" t="s">
        <v>1237</v>
      </c>
      <c r="G2092" s="4" t="s">
        <v>336</v>
      </c>
      <c r="H2092" s="4" t="s">
        <v>380</v>
      </c>
      <c r="I2092" s="4">
        <v>0.126</v>
      </c>
      <c r="J2092" s="21">
        <v>400</v>
      </c>
      <c r="K2092" s="21">
        <v>50.4</v>
      </c>
      <c r="L2092" s="5">
        <v>0</v>
      </c>
      <c r="M2092" s="4"/>
      <c r="N2092" s="4"/>
      <c r="O2092" s="5"/>
      <c r="P2092" s="5"/>
      <c r="Q2092" s="21">
        <v>0</v>
      </c>
      <c r="R2092" s="21">
        <v>0</v>
      </c>
      <c r="S2092" s="5">
        <f t="shared" si="131"/>
        <v>38690.147120151989</v>
      </c>
      <c r="T2092" cm="1">
        <f t="array" ref="T2092">IF(OR(B2092="MAL ALIMI", B2092="ÜRETİM GİRİŞ"), MIN(I2092, MAX(0, I2092 + SUM(SUMIFS($I$1:I2091, $C$1:C2091, C2092, $B$1:B2091, {"MAL ALIMI","ÜRETİM GİRİŞ"})) - VLOOKUP(C2092, 'STOK RAPORU'!$C$2:$I$1000, 4, 0))), 0)</f>
        <v>0</v>
      </c>
      <c r="U2092" s="22">
        <f t="shared" si="128"/>
        <v>0</v>
      </c>
      <c r="V2092">
        <f t="shared" si="129"/>
        <v>0</v>
      </c>
      <c r="W2092" s="22">
        <f t="shared" si="130"/>
        <v>0</v>
      </c>
    </row>
    <row r="2093" spans="1:23" hidden="1" x14ac:dyDescent="0.25">
      <c r="A2093" s="3">
        <v>46003</v>
      </c>
      <c r="B2093" s="4" t="s">
        <v>334</v>
      </c>
      <c r="C2093" s="4" t="s">
        <v>463</v>
      </c>
      <c r="D2093" s="4"/>
      <c r="E2093" s="4" t="s">
        <v>921</v>
      </c>
      <c r="F2093" s="4" t="s">
        <v>1237</v>
      </c>
      <c r="G2093" s="4" t="s">
        <v>336</v>
      </c>
      <c r="H2093" s="4" t="s">
        <v>380</v>
      </c>
      <c r="I2093" s="4">
        <v>0.20200000000000001</v>
      </c>
      <c r="J2093" s="21">
        <v>370</v>
      </c>
      <c r="K2093" s="21">
        <v>74.740000000000009</v>
      </c>
      <c r="L2093" s="5">
        <v>0</v>
      </c>
      <c r="M2093" s="4"/>
      <c r="N2093" s="4"/>
      <c r="O2093" s="5"/>
      <c r="P2093" s="5"/>
      <c r="Q2093" s="21">
        <v>0</v>
      </c>
      <c r="R2093" s="21">
        <v>0</v>
      </c>
      <c r="S2093" s="5">
        <f t="shared" si="131"/>
        <v>38690.147120151989</v>
      </c>
      <c r="T2093" cm="1">
        <f t="array" ref="T2093">IF(OR(B2093="MAL ALIMI", B2093="ÜRETİM GİRİŞ"), MIN(I2093, MAX(0, I2093 + SUM(SUMIFS($I$1:I2092, $C$1:C2092, C2093, $B$1:B2092, {"MAL ALIMI","ÜRETİM GİRİŞ"})) - VLOOKUP(C2093, 'STOK RAPORU'!$C$2:$I$1000, 4, 0))), 0)</f>
        <v>0</v>
      </c>
      <c r="U2093" s="22">
        <f t="shared" si="128"/>
        <v>0</v>
      </c>
      <c r="V2093">
        <f t="shared" si="129"/>
        <v>0</v>
      </c>
      <c r="W2093" s="22">
        <f t="shared" si="130"/>
        <v>0</v>
      </c>
    </row>
    <row r="2094" spans="1:23" hidden="1" x14ac:dyDescent="0.25">
      <c r="A2094" s="3">
        <v>46003</v>
      </c>
      <c r="B2094" s="4" t="s">
        <v>334</v>
      </c>
      <c r="C2094" s="4" t="s">
        <v>126</v>
      </c>
      <c r="D2094" s="4"/>
      <c r="E2094" s="4" t="s">
        <v>921</v>
      </c>
      <c r="F2094" s="4" t="s">
        <v>1237</v>
      </c>
      <c r="G2094" s="4" t="s">
        <v>336</v>
      </c>
      <c r="H2094" s="4" t="s">
        <v>380</v>
      </c>
      <c r="I2094" s="4">
        <v>0.21199999999999999</v>
      </c>
      <c r="J2094" s="21">
        <v>640</v>
      </c>
      <c r="K2094" s="21">
        <v>135.68</v>
      </c>
      <c r="L2094" s="5">
        <v>0</v>
      </c>
      <c r="M2094" s="4"/>
      <c r="N2094" s="4"/>
      <c r="O2094" s="5"/>
      <c r="P2094" s="5"/>
      <c r="Q2094" s="21">
        <v>0</v>
      </c>
      <c r="R2094" s="21">
        <v>0</v>
      </c>
      <c r="S2094" s="5">
        <f t="shared" si="131"/>
        <v>38690.147120151989</v>
      </c>
      <c r="T2094" cm="1">
        <f t="array" ref="T2094">IF(OR(B2094="MAL ALIMI", B2094="ÜRETİM GİRİŞ"), MIN(I2094, MAX(0, I2094 + SUM(SUMIFS($I$1:I2093, $C$1:C2093, C2094, $B$1:B2093, {"MAL ALIMI","ÜRETİM GİRİŞ"})) - VLOOKUP(C2094, 'STOK RAPORU'!$C$2:$I$1000, 4, 0))), 0)</f>
        <v>0</v>
      </c>
      <c r="U2094" s="22">
        <f t="shared" si="128"/>
        <v>0</v>
      </c>
      <c r="V2094">
        <f t="shared" si="129"/>
        <v>0</v>
      </c>
      <c r="W2094" s="22">
        <f t="shared" si="130"/>
        <v>0</v>
      </c>
    </row>
    <row r="2095" spans="1:23" hidden="1" x14ac:dyDescent="0.25">
      <c r="A2095" s="3">
        <v>46003</v>
      </c>
      <c r="B2095" s="4" t="s">
        <v>334</v>
      </c>
      <c r="C2095" s="4" t="s">
        <v>96</v>
      </c>
      <c r="D2095" s="4"/>
      <c r="E2095" s="4" t="s">
        <v>921</v>
      </c>
      <c r="F2095" s="4" t="s">
        <v>1237</v>
      </c>
      <c r="G2095" s="4" t="s">
        <v>336</v>
      </c>
      <c r="H2095" s="4" t="s">
        <v>380</v>
      </c>
      <c r="I2095" s="4">
        <v>0.152</v>
      </c>
      <c r="J2095" s="21">
        <v>380</v>
      </c>
      <c r="K2095" s="21">
        <v>57.76</v>
      </c>
      <c r="L2095" s="5">
        <v>0</v>
      </c>
      <c r="M2095" s="4"/>
      <c r="N2095" s="4"/>
      <c r="O2095" s="5"/>
      <c r="P2095" s="5"/>
      <c r="Q2095" s="21">
        <v>0</v>
      </c>
      <c r="R2095" s="21">
        <v>0</v>
      </c>
      <c r="S2095" s="5">
        <f t="shared" si="131"/>
        <v>38690.147120151989</v>
      </c>
      <c r="T2095" cm="1">
        <f t="array" ref="T2095">IF(OR(B2095="MAL ALIMI", B2095="ÜRETİM GİRİŞ"), MIN(I2095, MAX(0, I2095 + SUM(SUMIFS($I$1:I2094, $C$1:C2094, C2095, $B$1:B2094, {"MAL ALIMI","ÜRETİM GİRİŞ"})) - VLOOKUP(C2095, 'STOK RAPORU'!$C$2:$I$1000, 4, 0))), 0)</f>
        <v>0</v>
      </c>
      <c r="U2095" s="22">
        <f t="shared" si="128"/>
        <v>0</v>
      </c>
      <c r="V2095">
        <f t="shared" si="129"/>
        <v>0</v>
      </c>
      <c r="W2095" s="22">
        <f t="shared" si="130"/>
        <v>0</v>
      </c>
    </row>
    <row r="2096" spans="1:23" hidden="1" x14ac:dyDescent="0.25">
      <c r="A2096" s="3">
        <v>46003</v>
      </c>
      <c r="B2096" s="4" t="s">
        <v>334</v>
      </c>
      <c r="C2096" s="4" t="s">
        <v>457</v>
      </c>
      <c r="D2096" s="4"/>
      <c r="E2096" s="4" t="s">
        <v>921</v>
      </c>
      <c r="F2096" s="4" t="s">
        <v>1237</v>
      </c>
      <c r="G2096" s="4" t="s">
        <v>336</v>
      </c>
      <c r="H2096" s="4" t="s">
        <v>380</v>
      </c>
      <c r="I2096" s="4">
        <v>0.1</v>
      </c>
      <c r="J2096" s="21">
        <v>700</v>
      </c>
      <c r="K2096" s="21">
        <v>70</v>
      </c>
      <c r="L2096" s="5">
        <v>0</v>
      </c>
      <c r="M2096" s="4"/>
      <c r="N2096" s="4"/>
      <c r="O2096" s="5"/>
      <c r="P2096" s="5"/>
      <c r="Q2096" s="21">
        <v>0</v>
      </c>
      <c r="R2096" s="21">
        <v>0</v>
      </c>
      <c r="S2096" s="5">
        <f t="shared" si="131"/>
        <v>38690.147120151989</v>
      </c>
      <c r="T2096" cm="1">
        <f t="array" ref="T2096">IF(OR(B2096="MAL ALIMI", B2096="ÜRETİM GİRİŞ"), MIN(I2096, MAX(0, I2096 + SUM(SUMIFS($I$1:I2095, $C$1:C2095, C2096, $B$1:B2095, {"MAL ALIMI","ÜRETİM GİRİŞ"})) - VLOOKUP(C2096, 'STOK RAPORU'!$C$2:$I$1000, 4, 0))), 0)</f>
        <v>0</v>
      </c>
      <c r="U2096" s="22">
        <f t="shared" si="128"/>
        <v>0</v>
      </c>
      <c r="V2096">
        <f t="shared" si="129"/>
        <v>0</v>
      </c>
      <c r="W2096" s="22">
        <f t="shared" si="130"/>
        <v>0</v>
      </c>
    </row>
    <row r="2097" spans="1:23" hidden="1" x14ac:dyDescent="0.25">
      <c r="A2097" s="3">
        <v>46003</v>
      </c>
      <c r="B2097" s="4" t="s">
        <v>334</v>
      </c>
      <c r="C2097" s="4" t="s">
        <v>129</v>
      </c>
      <c r="D2097" s="4"/>
      <c r="E2097" s="4" t="s">
        <v>921</v>
      </c>
      <c r="F2097" s="4" t="s">
        <v>1237</v>
      </c>
      <c r="G2097" s="4" t="s">
        <v>336</v>
      </c>
      <c r="H2097" s="4" t="s">
        <v>380</v>
      </c>
      <c r="I2097" s="4">
        <v>0.06</v>
      </c>
      <c r="J2097" s="21">
        <v>390</v>
      </c>
      <c r="K2097" s="21">
        <v>23.4</v>
      </c>
      <c r="L2097" s="5">
        <v>0</v>
      </c>
      <c r="M2097" s="4"/>
      <c r="N2097" s="4"/>
      <c r="O2097" s="5"/>
      <c r="P2097" s="5"/>
      <c r="Q2097" s="21">
        <v>0</v>
      </c>
      <c r="R2097" s="21">
        <v>0</v>
      </c>
      <c r="S2097" s="5">
        <f t="shared" si="131"/>
        <v>38690.147120151989</v>
      </c>
      <c r="T2097" cm="1">
        <f t="array" ref="T2097">IF(OR(B2097="MAL ALIMI", B2097="ÜRETİM GİRİŞ"), MIN(I2097, MAX(0, I2097 + SUM(SUMIFS($I$1:I2096, $C$1:C2096, C2097, $B$1:B2096, {"MAL ALIMI","ÜRETİM GİRİŞ"})) - VLOOKUP(C2097, 'STOK RAPORU'!$C$2:$I$1000, 4, 0))), 0)</f>
        <v>0</v>
      </c>
      <c r="U2097" s="22">
        <f t="shared" si="128"/>
        <v>0</v>
      </c>
      <c r="V2097">
        <f t="shared" si="129"/>
        <v>0</v>
      </c>
      <c r="W2097" s="22">
        <f t="shared" si="130"/>
        <v>0</v>
      </c>
    </row>
    <row r="2098" spans="1:23" hidden="1" x14ac:dyDescent="0.25">
      <c r="A2098" s="3">
        <v>46003</v>
      </c>
      <c r="B2098" s="4" t="s">
        <v>334</v>
      </c>
      <c r="C2098" s="4" t="s">
        <v>129</v>
      </c>
      <c r="D2098" s="4"/>
      <c r="E2098" s="4" t="s">
        <v>921</v>
      </c>
      <c r="F2098" s="4" t="s">
        <v>1238</v>
      </c>
      <c r="G2098" s="4" t="s">
        <v>336</v>
      </c>
      <c r="H2098" s="4" t="s">
        <v>380</v>
      </c>
      <c r="I2098" s="4">
        <v>0.13200000000000001</v>
      </c>
      <c r="J2098" s="21">
        <v>390</v>
      </c>
      <c r="K2098" s="21">
        <v>51.480000000000004</v>
      </c>
      <c r="L2098" s="5">
        <v>0</v>
      </c>
      <c r="M2098" s="4"/>
      <c r="N2098" s="4"/>
      <c r="O2098" s="5"/>
      <c r="P2098" s="5"/>
      <c r="Q2098" s="21">
        <v>0</v>
      </c>
      <c r="R2098" s="21">
        <v>0</v>
      </c>
      <c r="S2098" s="5">
        <f t="shared" si="131"/>
        <v>38690.147120151989</v>
      </c>
      <c r="T2098" cm="1">
        <f t="array" ref="T2098">IF(OR(B2098="MAL ALIMI", B2098="ÜRETİM GİRİŞ"), MIN(I2098, MAX(0, I2098 + SUM(SUMIFS($I$1:I2097, $C$1:C2097, C2098, $B$1:B2097, {"MAL ALIMI","ÜRETİM GİRİŞ"})) - VLOOKUP(C2098, 'STOK RAPORU'!$C$2:$I$1000, 4, 0))), 0)</f>
        <v>0</v>
      </c>
      <c r="U2098" s="22">
        <f t="shared" si="128"/>
        <v>0</v>
      </c>
      <c r="V2098">
        <f t="shared" si="129"/>
        <v>0</v>
      </c>
      <c r="W2098" s="22">
        <f t="shared" si="130"/>
        <v>0</v>
      </c>
    </row>
    <row r="2099" spans="1:23" hidden="1" x14ac:dyDescent="0.25">
      <c r="A2099" s="3">
        <v>46003</v>
      </c>
      <c r="B2099" s="4" t="s">
        <v>334</v>
      </c>
      <c r="C2099" s="4" t="s">
        <v>166</v>
      </c>
      <c r="D2099" s="4"/>
      <c r="E2099" s="4" t="s">
        <v>921</v>
      </c>
      <c r="F2099" s="4" t="s">
        <v>1238</v>
      </c>
      <c r="G2099" s="4" t="s">
        <v>336</v>
      </c>
      <c r="H2099" s="4" t="s">
        <v>380</v>
      </c>
      <c r="I2099" s="4">
        <v>0.14199999999999999</v>
      </c>
      <c r="J2099" s="21">
        <v>711</v>
      </c>
      <c r="K2099" s="21">
        <v>100.96199999999999</v>
      </c>
      <c r="L2099" s="5">
        <v>0</v>
      </c>
      <c r="M2099" s="4"/>
      <c r="N2099" s="4"/>
      <c r="O2099" s="5"/>
      <c r="P2099" s="5"/>
      <c r="Q2099" s="21">
        <v>0</v>
      </c>
      <c r="R2099" s="21">
        <v>0</v>
      </c>
      <c r="S2099" s="5">
        <f t="shared" si="131"/>
        <v>38690.147120151989</v>
      </c>
      <c r="T2099" cm="1">
        <f t="array" ref="T2099">IF(OR(B2099="MAL ALIMI", B2099="ÜRETİM GİRİŞ"), MIN(I2099, MAX(0, I2099 + SUM(SUMIFS($I$1:I2098, $C$1:C2098, C2099, $B$1:B2098, {"MAL ALIMI","ÜRETİM GİRİŞ"})) - VLOOKUP(C2099, 'STOK RAPORU'!$C$2:$I$1000, 4, 0))), 0)</f>
        <v>0</v>
      </c>
      <c r="U2099" s="22">
        <f t="shared" si="128"/>
        <v>0</v>
      </c>
      <c r="V2099">
        <f t="shared" si="129"/>
        <v>0</v>
      </c>
      <c r="W2099" s="22">
        <f t="shared" si="130"/>
        <v>0</v>
      </c>
    </row>
    <row r="2100" spans="1:23" hidden="1" x14ac:dyDescent="0.25">
      <c r="A2100" s="3">
        <v>46003</v>
      </c>
      <c r="B2100" s="4" t="s">
        <v>334</v>
      </c>
      <c r="C2100" s="4" t="s">
        <v>1150</v>
      </c>
      <c r="D2100" s="4"/>
      <c r="E2100" s="4" t="s">
        <v>921</v>
      </c>
      <c r="F2100" s="4" t="s">
        <v>1238</v>
      </c>
      <c r="G2100" s="4" t="s">
        <v>336</v>
      </c>
      <c r="H2100" s="4" t="s">
        <v>380</v>
      </c>
      <c r="I2100" s="4">
        <v>5.1999999999999998E-2</v>
      </c>
      <c r="J2100" s="21">
        <v>540</v>
      </c>
      <c r="K2100" s="21">
        <v>28.08</v>
      </c>
      <c r="L2100" s="5">
        <v>0</v>
      </c>
      <c r="M2100" s="4"/>
      <c r="N2100" s="4"/>
      <c r="O2100" s="5"/>
      <c r="P2100" s="5"/>
      <c r="Q2100" s="21">
        <v>0</v>
      </c>
      <c r="R2100" s="21">
        <v>0</v>
      </c>
      <c r="S2100" s="5">
        <f t="shared" si="131"/>
        <v>38690.147120151989</v>
      </c>
      <c r="T2100" cm="1">
        <f t="array" ref="T2100">IF(OR(B2100="MAL ALIMI", B2100="ÜRETİM GİRİŞ"), MIN(I2100, MAX(0, I2100 + SUM(SUMIFS($I$1:I2099, $C$1:C2099, C2100, $B$1:B2099, {"MAL ALIMI","ÜRETİM GİRİŞ"})) - VLOOKUP(C2100, 'STOK RAPORU'!$C$2:$I$1000, 4, 0))), 0)</f>
        <v>0</v>
      </c>
      <c r="U2100" s="22">
        <f t="shared" si="128"/>
        <v>0</v>
      </c>
      <c r="V2100">
        <f t="shared" si="129"/>
        <v>0</v>
      </c>
      <c r="W2100" s="22">
        <f t="shared" si="130"/>
        <v>0</v>
      </c>
    </row>
    <row r="2101" spans="1:23" hidden="1" x14ac:dyDescent="0.25">
      <c r="A2101" s="3">
        <v>46003</v>
      </c>
      <c r="B2101" s="4" t="s">
        <v>334</v>
      </c>
      <c r="C2101" s="4" t="s">
        <v>160</v>
      </c>
      <c r="D2101" s="4"/>
      <c r="E2101" s="4" t="s">
        <v>921</v>
      </c>
      <c r="F2101" s="4" t="s">
        <v>1238</v>
      </c>
      <c r="G2101" s="4" t="s">
        <v>336</v>
      </c>
      <c r="H2101" s="4" t="s">
        <v>380</v>
      </c>
      <c r="I2101" s="4">
        <v>1</v>
      </c>
      <c r="J2101" s="21">
        <v>240</v>
      </c>
      <c r="K2101" s="21">
        <v>240</v>
      </c>
      <c r="L2101" s="5">
        <v>0</v>
      </c>
      <c r="M2101" s="4"/>
      <c r="N2101" s="4"/>
      <c r="O2101" s="5"/>
      <c r="P2101" s="5"/>
      <c r="Q2101" s="21">
        <v>0</v>
      </c>
      <c r="R2101" s="21">
        <v>0</v>
      </c>
      <c r="S2101" s="5">
        <f t="shared" si="131"/>
        <v>38690.147120151989</v>
      </c>
      <c r="T2101" cm="1">
        <f t="array" ref="T2101">IF(OR(B2101="MAL ALIMI", B2101="ÜRETİM GİRİŞ"), MIN(I2101, MAX(0, I2101 + SUM(SUMIFS($I$1:I2100, $C$1:C2100, C2101, $B$1:B2100, {"MAL ALIMI","ÜRETİM GİRİŞ"})) - VLOOKUP(C2101, 'STOK RAPORU'!$C$2:$I$1000, 4, 0))), 0)</f>
        <v>0</v>
      </c>
      <c r="U2101" s="22">
        <f t="shared" si="128"/>
        <v>0</v>
      </c>
      <c r="V2101">
        <f t="shared" si="129"/>
        <v>0</v>
      </c>
      <c r="W2101" s="22">
        <f t="shared" si="130"/>
        <v>0</v>
      </c>
    </row>
    <row r="2102" spans="1:23" hidden="1" x14ac:dyDescent="0.25">
      <c r="A2102" s="3">
        <v>46003</v>
      </c>
      <c r="B2102" s="4" t="s">
        <v>334</v>
      </c>
      <c r="C2102" s="4" t="s">
        <v>161</v>
      </c>
      <c r="D2102" s="4"/>
      <c r="E2102" s="4" t="s">
        <v>921</v>
      </c>
      <c r="F2102" s="4" t="s">
        <v>1238</v>
      </c>
      <c r="G2102" s="4" t="s">
        <v>336</v>
      </c>
      <c r="H2102" s="4" t="s">
        <v>380</v>
      </c>
      <c r="I2102" s="4">
        <v>1</v>
      </c>
      <c r="J2102" s="21">
        <v>200</v>
      </c>
      <c r="K2102" s="21">
        <v>200</v>
      </c>
      <c r="L2102" s="5">
        <v>0</v>
      </c>
      <c r="M2102" s="4"/>
      <c r="N2102" s="4"/>
      <c r="O2102" s="5"/>
      <c r="P2102" s="5"/>
      <c r="Q2102" s="21">
        <v>0</v>
      </c>
      <c r="R2102" s="21">
        <v>0</v>
      </c>
      <c r="S2102" s="5">
        <f t="shared" si="131"/>
        <v>38690.147120151989</v>
      </c>
      <c r="T2102" cm="1">
        <f t="array" ref="T2102">IF(OR(B2102="MAL ALIMI", B2102="ÜRETİM GİRİŞ"), MIN(I2102, MAX(0, I2102 + SUM(SUMIFS($I$1:I2101, $C$1:C2101, C2102, $B$1:B2101, {"MAL ALIMI","ÜRETİM GİRİŞ"})) - VLOOKUP(C2102, 'STOK RAPORU'!$C$2:$I$1000, 4, 0))), 0)</f>
        <v>0</v>
      </c>
      <c r="U2102" s="22">
        <f t="shared" si="128"/>
        <v>0</v>
      </c>
      <c r="V2102">
        <f t="shared" si="129"/>
        <v>0</v>
      </c>
      <c r="W2102" s="22">
        <f t="shared" si="130"/>
        <v>0</v>
      </c>
    </row>
    <row r="2103" spans="1:23" hidden="1" x14ac:dyDescent="0.25">
      <c r="A2103" s="3">
        <v>46003</v>
      </c>
      <c r="B2103" s="4" t="s">
        <v>334</v>
      </c>
      <c r="C2103" s="4" t="s">
        <v>129</v>
      </c>
      <c r="D2103" s="4"/>
      <c r="E2103" s="4"/>
      <c r="F2103" s="4" t="s">
        <v>1239</v>
      </c>
      <c r="G2103" s="4" t="s">
        <v>336</v>
      </c>
      <c r="H2103" s="4" t="s">
        <v>289</v>
      </c>
      <c r="I2103" s="4">
        <v>0.11</v>
      </c>
      <c r="J2103" s="21">
        <v>390</v>
      </c>
      <c r="K2103" s="21">
        <v>0</v>
      </c>
      <c r="L2103" s="5">
        <v>0</v>
      </c>
      <c r="M2103" s="4"/>
      <c r="N2103" s="4"/>
      <c r="O2103" s="5"/>
      <c r="P2103" s="5"/>
      <c r="Q2103" s="21">
        <v>42.9</v>
      </c>
      <c r="R2103" s="21">
        <v>0</v>
      </c>
      <c r="S2103" s="5">
        <f t="shared" si="131"/>
        <v>38733.04712015199</v>
      </c>
      <c r="T2103" cm="1">
        <f t="array" ref="T2103">IF(OR(B2103="MAL ALIMI", B2103="ÜRETİM GİRİŞ"), MIN(I2103, MAX(0, I2103 + SUM(SUMIFS($I$1:I2102, $C$1:C2102, C2103, $B$1:B2102, {"MAL ALIMI","ÜRETİM GİRİŞ"})) - VLOOKUP(C2103, 'STOK RAPORU'!$C$2:$I$1000, 4, 0))), 0)</f>
        <v>0</v>
      </c>
      <c r="U2103" s="22">
        <f t="shared" si="128"/>
        <v>0</v>
      </c>
      <c r="V2103">
        <f t="shared" si="129"/>
        <v>0</v>
      </c>
      <c r="W2103" s="22">
        <f t="shared" si="130"/>
        <v>0</v>
      </c>
    </row>
    <row r="2104" spans="1:23" hidden="1" x14ac:dyDescent="0.25">
      <c r="A2104" s="3">
        <v>46003</v>
      </c>
      <c r="B2104" s="4" t="s">
        <v>334</v>
      </c>
      <c r="C2104" s="4" t="s">
        <v>166</v>
      </c>
      <c r="D2104" s="4"/>
      <c r="E2104" s="4"/>
      <c r="F2104" s="4" t="s">
        <v>1239</v>
      </c>
      <c r="G2104" s="4" t="s">
        <v>336</v>
      </c>
      <c r="H2104" s="4" t="s">
        <v>289</v>
      </c>
      <c r="I2104" s="4">
        <v>0.13800000000000001</v>
      </c>
      <c r="J2104" s="21">
        <v>770</v>
      </c>
      <c r="K2104" s="21">
        <v>0</v>
      </c>
      <c r="L2104" s="5">
        <v>0</v>
      </c>
      <c r="M2104" s="4"/>
      <c r="N2104" s="4"/>
      <c r="O2104" s="5"/>
      <c r="P2104" s="5"/>
      <c r="Q2104" s="21">
        <v>106.26</v>
      </c>
      <c r="R2104" s="21">
        <v>0</v>
      </c>
      <c r="S2104" s="5">
        <f t="shared" si="131"/>
        <v>38839.307120151992</v>
      </c>
      <c r="T2104" cm="1">
        <f t="array" ref="T2104">IF(OR(B2104="MAL ALIMI", B2104="ÜRETİM GİRİŞ"), MIN(I2104, MAX(0, I2104 + SUM(SUMIFS($I$1:I2103, $C$1:C2103, C2104, $B$1:B2103, {"MAL ALIMI","ÜRETİM GİRİŞ"})) - VLOOKUP(C2104, 'STOK RAPORU'!$C$2:$I$1000, 4, 0))), 0)</f>
        <v>0</v>
      </c>
      <c r="U2104" s="22">
        <f t="shared" si="128"/>
        <v>0</v>
      </c>
      <c r="V2104">
        <f t="shared" si="129"/>
        <v>0</v>
      </c>
      <c r="W2104" s="22">
        <f t="shared" si="130"/>
        <v>0</v>
      </c>
    </row>
    <row r="2105" spans="1:23" hidden="1" x14ac:dyDescent="0.25">
      <c r="A2105" s="3">
        <v>46003</v>
      </c>
      <c r="B2105" s="4" t="s">
        <v>334</v>
      </c>
      <c r="C2105" s="4" t="s">
        <v>598</v>
      </c>
      <c r="D2105" s="4"/>
      <c r="E2105" s="4"/>
      <c r="F2105" s="4" t="s">
        <v>1239</v>
      </c>
      <c r="G2105" s="4" t="s">
        <v>336</v>
      </c>
      <c r="H2105" s="4" t="s">
        <v>289</v>
      </c>
      <c r="I2105" s="4">
        <v>0.55200000000000005</v>
      </c>
      <c r="J2105" s="21">
        <v>290</v>
      </c>
      <c r="K2105" s="21">
        <v>0</v>
      </c>
      <c r="L2105" s="5">
        <v>0</v>
      </c>
      <c r="M2105" s="4"/>
      <c r="N2105" s="4"/>
      <c r="O2105" s="5"/>
      <c r="P2105" s="5"/>
      <c r="Q2105" s="21">
        <v>160.08000000000001</v>
      </c>
      <c r="R2105" s="21">
        <v>0</v>
      </c>
      <c r="S2105" s="5">
        <f t="shared" si="131"/>
        <v>38999.387120151994</v>
      </c>
      <c r="T2105" cm="1">
        <f t="array" ref="T2105">IF(OR(B2105="MAL ALIMI", B2105="ÜRETİM GİRİŞ"), MIN(I2105, MAX(0, I2105 + SUM(SUMIFS($I$1:I2104, $C$1:C2104, C2105, $B$1:B2104, {"MAL ALIMI","ÜRETİM GİRİŞ"})) - VLOOKUP(C2105, 'STOK RAPORU'!$C$2:$I$1000, 4, 0))), 0)</f>
        <v>0</v>
      </c>
      <c r="U2105" s="22">
        <f t="shared" si="128"/>
        <v>0</v>
      </c>
      <c r="V2105">
        <f t="shared" si="129"/>
        <v>0</v>
      </c>
      <c r="W2105" s="22">
        <f t="shared" si="130"/>
        <v>0</v>
      </c>
    </row>
    <row r="2106" spans="1:23" hidden="1" x14ac:dyDescent="0.25">
      <c r="A2106" s="3">
        <v>46003</v>
      </c>
      <c r="B2106" s="4" t="s">
        <v>334</v>
      </c>
      <c r="C2106" s="4" t="s">
        <v>835</v>
      </c>
      <c r="D2106" s="4"/>
      <c r="E2106" s="4" t="s">
        <v>921</v>
      </c>
      <c r="F2106" s="4" t="s">
        <v>1240</v>
      </c>
      <c r="G2106" s="4" t="s">
        <v>336</v>
      </c>
      <c r="H2106" s="4" t="s">
        <v>380</v>
      </c>
      <c r="I2106" s="4">
        <v>1</v>
      </c>
      <c r="J2106" s="21">
        <v>130</v>
      </c>
      <c r="K2106" s="21">
        <v>130</v>
      </c>
      <c r="L2106" s="5">
        <v>0</v>
      </c>
      <c r="M2106" s="4"/>
      <c r="N2106" s="4"/>
      <c r="O2106" s="5"/>
      <c r="P2106" s="5"/>
      <c r="Q2106" s="21">
        <v>0</v>
      </c>
      <c r="R2106" s="21">
        <v>0</v>
      </c>
      <c r="S2106" s="5">
        <f t="shared" si="131"/>
        <v>38999.387120151994</v>
      </c>
      <c r="T2106" cm="1">
        <f t="array" ref="T2106">IF(OR(B2106="MAL ALIMI", B2106="ÜRETİM GİRİŞ"), MIN(I2106, MAX(0, I2106 + SUM(SUMIFS($I$1:I2105, $C$1:C2105, C2106, $B$1:B2105, {"MAL ALIMI","ÜRETİM GİRİŞ"})) - VLOOKUP(C2106, 'STOK RAPORU'!$C$2:$I$1000, 4, 0))), 0)</f>
        <v>0</v>
      </c>
      <c r="U2106" s="22">
        <f t="shared" si="128"/>
        <v>0</v>
      </c>
      <c r="V2106">
        <f t="shared" si="129"/>
        <v>0</v>
      </c>
      <c r="W2106" s="22">
        <f t="shared" si="130"/>
        <v>0</v>
      </c>
    </row>
    <row r="2107" spans="1:23" hidden="1" x14ac:dyDescent="0.25">
      <c r="A2107" s="3">
        <v>46003</v>
      </c>
      <c r="B2107" s="4" t="s">
        <v>334</v>
      </c>
      <c r="C2107" s="4" t="s">
        <v>822</v>
      </c>
      <c r="D2107" s="4"/>
      <c r="E2107" s="4" t="s">
        <v>921</v>
      </c>
      <c r="F2107" s="4" t="s">
        <v>1240</v>
      </c>
      <c r="G2107" s="4" t="s">
        <v>336</v>
      </c>
      <c r="H2107" s="4" t="s">
        <v>380</v>
      </c>
      <c r="I2107" s="4">
        <v>1</v>
      </c>
      <c r="J2107" s="21">
        <v>170</v>
      </c>
      <c r="K2107" s="21">
        <v>170</v>
      </c>
      <c r="L2107" s="5">
        <v>0</v>
      </c>
      <c r="M2107" s="4"/>
      <c r="N2107" s="4"/>
      <c r="O2107" s="5"/>
      <c r="P2107" s="5"/>
      <c r="Q2107" s="21">
        <v>0</v>
      </c>
      <c r="R2107" s="21">
        <v>0</v>
      </c>
      <c r="S2107" s="5">
        <f t="shared" si="131"/>
        <v>38999.387120151994</v>
      </c>
      <c r="T2107" cm="1">
        <f t="array" ref="T2107">IF(OR(B2107="MAL ALIMI", B2107="ÜRETİM GİRİŞ"), MIN(I2107, MAX(0, I2107 + SUM(SUMIFS($I$1:I2106, $C$1:C2106, C2107, $B$1:B2106, {"MAL ALIMI","ÜRETİM GİRİŞ"})) - VLOOKUP(C2107, 'STOK RAPORU'!$C$2:$I$1000, 4, 0))), 0)</f>
        <v>0</v>
      </c>
      <c r="U2107" s="22">
        <f t="shared" si="128"/>
        <v>0</v>
      </c>
      <c r="V2107">
        <f t="shared" si="129"/>
        <v>0</v>
      </c>
      <c r="W2107" s="22">
        <f t="shared" si="130"/>
        <v>0</v>
      </c>
    </row>
    <row r="2108" spans="1:23" hidden="1" x14ac:dyDescent="0.25">
      <c r="A2108" s="3">
        <v>46003</v>
      </c>
      <c r="B2108" s="4" t="s">
        <v>334</v>
      </c>
      <c r="C2108" s="4" t="s">
        <v>840</v>
      </c>
      <c r="D2108" s="4"/>
      <c r="E2108" s="4" t="s">
        <v>921</v>
      </c>
      <c r="F2108" s="4" t="s">
        <v>1241</v>
      </c>
      <c r="G2108" s="4" t="s">
        <v>336</v>
      </c>
      <c r="H2108" s="4" t="s">
        <v>380</v>
      </c>
      <c r="I2108" s="4">
        <v>0.25</v>
      </c>
      <c r="J2108" s="21">
        <v>360</v>
      </c>
      <c r="K2108" s="21">
        <v>90</v>
      </c>
      <c r="L2108" s="5">
        <v>0</v>
      </c>
      <c r="M2108" s="4"/>
      <c r="N2108" s="4"/>
      <c r="O2108" s="5"/>
      <c r="P2108" s="5"/>
      <c r="Q2108" s="21">
        <v>0</v>
      </c>
      <c r="R2108" s="21">
        <v>0</v>
      </c>
      <c r="S2108" s="5">
        <f t="shared" si="131"/>
        <v>38999.387120151994</v>
      </c>
      <c r="T2108" cm="1">
        <f t="array" ref="T2108">IF(OR(B2108="MAL ALIMI", B2108="ÜRETİM GİRİŞ"), MIN(I2108, MAX(0, I2108 + SUM(SUMIFS($I$1:I2107, $C$1:C2107, C2108, $B$1:B2107, {"MAL ALIMI","ÜRETİM GİRİŞ"})) - VLOOKUP(C2108, 'STOK RAPORU'!$C$2:$I$1000, 4, 0))), 0)</f>
        <v>0</v>
      </c>
      <c r="U2108" s="22">
        <f t="shared" si="128"/>
        <v>0</v>
      </c>
      <c r="V2108">
        <f t="shared" si="129"/>
        <v>0</v>
      </c>
      <c r="W2108" s="22">
        <f t="shared" si="130"/>
        <v>0</v>
      </c>
    </row>
    <row r="2109" spans="1:23" hidden="1" x14ac:dyDescent="0.25">
      <c r="A2109" s="3">
        <v>46003</v>
      </c>
      <c r="B2109" s="4" t="s">
        <v>334</v>
      </c>
      <c r="C2109" s="4" t="s">
        <v>60</v>
      </c>
      <c r="D2109" s="4"/>
      <c r="E2109" s="4" t="s">
        <v>921</v>
      </c>
      <c r="F2109" s="4" t="s">
        <v>1241</v>
      </c>
      <c r="G2109" s="4" t="s">
        <v>336</v>
      </c>
      <c r="H2109" s="4" t="s">
        <v>380</v>
      </c>
      <c r="I2109" s="4">
        <v>0.05</v>
      </c>
      <c r="J2109" s="21">
        <v>1200</v>
      </c>
      <c r="K2109" s="21">
        <v>60</v>
      </c>
      <c r="L2109" s="5">
        <v>0</v>
      </c>
      <c r="M2109" s="4"/>
      <c r="N2109" s="4"/>
      <c r="O2109" s="5"/>
      <c r="P2109" s="5"/>
      <c r="Q2109" s="21">
        <v>0</v>
      </c>
      <c r="R2109" s="21">
        <v>0</v>
      </c>
      <c r="S2109" s="5">
        <f t="shared" si="131"/>
        <v>38999.387120151994</v>
      </c>
      <c r="T2109" cm="1">
        <f t="array" ref="T2109">IF(OR(B2109="MAL ALIMI", B2109="ÜRETİM GİRİŞ"), MIN(I2109, MAX(0, I2109 + SUM(SUMIFS($I$1:I2108, $C$1:C2108, C2109, $B$1:B2108, {"MAL ALIMI","ÜRETİM GİRİŞ"})) - VLOOKUP(C2109, 'STOK RAPORU'!$C$2:$I$1000, 4, 0))), 0)</f>
        <v>0</v>
      </c>
      <c r="U2109" s="22">
        <f t="shared" si="128"/>
        <v>0</v>
      </c>
      <c r="V2109">
        <f t="shared" si="129"/>
        <v>0</v>
      </c>
      <c r="W2109" s="22">
        <f t="shared" si="130"/>
        <v>0</v>
      </c>
    </row>
    <row r="2110" spans="1:23" hidden="1" x14ac:dyDescent="0.25">
      <c r="A2110" s="3">
        <v>46003</v>
      </c>
      <c r="B2110" s="4" t="s">
        <v>334</v>
      </c>
      <c r="C2110" s="4" t="s">
        <v>161</v>
      </c>
      <c r="D2110" s="4"/>
      <c r="E2110" s="4"/>
      <c r="F2110" s="4" t="s">
        <v>1242</v>
      </c>
      <c r="G2110" s="4" t="s">
        <v>336</v>
      </c>
      <c r="H2110" s="4" t="s">
        <v>289</v>
      </c>
      <c r="I2110" s="4">
        <v>1</v>
      </c>
      <c r="J2110" s="21">
        <v>200</v>
      </c>
      <c r="K2110" s="21">
        <v>0</v>
      </c>
      <c r="L2110" s="5">
        <v>0</v>
      </c>
      <c r="M2110" s="4"/>
      <c r="N2110" s="4"/>
      <c r="O2110" s="5"/>
      <c r="P2110" s="5"/>
      <c r="Q2110" s="21">
        <v>200</v>
      </c>
      <c r="R2110" s="21">
        <v>0</v>
      </c>
      <c r="S2110" s="5">
        <f t="shared" si="131"/>
        <v>39199.387120151994</v>
      </c>
      <c r="T2110" cm="1">
        <f t="array" ref="T2110">IF(OR(B2110="MAL ALIMI", B2110="ÜRETİM GİRİŞ"), MIN(I2110, MAX(0, I2110 + SUM(SUMIFS($I$1:I2109, $C$1:C2109, C2110, $B$1:B2109, {"MAL ALIMI","ÜRETİM GİRİŞ"})) - VLOOKUP(C2110, 'STOK RAPORU'!$C$2:$I$1000, 4, 0))), 0)</f>
        <v>0</v>
      </c>
      <c r="U2110" s="22">
        <f t="shared" si="128"/>
        <v>0</v>
      </c>
      <c r="V2110">
        <f t="shared" si="129"/>
        <v>0</v>
      </c>
      <c r="W2110" s="22">
        <f t="shared" si="130"/>
        <v>0</v>
      </c>
    </row>
    <row r="2111" spans="1:23" hidden="1" x14ac:dyDescent="0.25">
      <c r="A2111" s="3">
        <v>46003</v>
      </c>
      <c r="B2111" s="4" t="s">
        <v>334</v>
      </c>
      <c r="C2111" s="4" t="s">
        <v>160</v>
      </c>
      <c r="D2111" s="4"/>
      <c r="E2111" s="4"/>
      <c r="F2111" s="4" t="s">
        <v>1242</v>
      </c>
      <c r="G2111" s="4" t="s">
        <v>336</v>
      </c>
      <c r="H2111" s="4" t="s">
        <v>289</v>
      </c>
      <c r="I2111" s="4">
        <v>1</v>
      </c>
      <c r="J2111" s="21">
        <v>240</v>
      </c>
      <c r="K2111" s="21">
        <v>0</v>
      </c>
      <c r="L2111" s="5">
        <v>0</v>
      </c>
      <c r="M2111" s="4"/>
      <c r="N2111" s="4"/>
      <c r="O2111" s="5"/>
      <c r="P2111" s="5"/>
      <c r="Q2111" s="21">
        <v>240</v>
      </c>
      <c r="R2111" s="21">
        <v>0</v>
      </c>
      <c r="S2111" s="5">
        <f t="shared" si="131"/>
        <v>39439.387120151994</v>
      </c>
      <c r="T2111" cm="1">
        <f t="array" ref="T2111">IF(OR(B2111="MAL ALIMI", B2111="ÜRETİM GİRİŞ"), MIN(I2111, MAX(0, I2111 + SUM(SUMIFS($I$1:I2110, $C$1:C2110, C2111, $B$1:B2110, {"MAL ALIMI","ÜRETİM GİRİŞ"})) - VLOOKUP(C2111, 'STOK RAPORU'!$C$2:$I$1000, 4, 0))), 0)</f>
        <v>0</v>
      </c>
      <c r="U2111" s="22">
        <f t="shared" si="128"/>
        <v>0</v>
      </c>
      <c r="V2111">
        <f t="shared" si="129"/>
        <v>0</v>
      </c>
      <c r="W2111" s="22">
        <f t="shared" si="130"/>
        <v>0</v>
      </c>
    </row>
    <row r="2112" spans="1:23" hidden="1" x14ac:dyDescent="0.25">
      <c r="A2112" s="3">
        <v>46003</v>
      </c>
      <c r="B2112" s="4" t="s">
        <v>334</v>
      </c>
      <c r="C2112" s="4" t="s">
        <v>160</v>
      </c>
      <c r="D2112" s="4"/>
      <c r="E2112" s="4" t="s">
        <v>921</v>
      </c>
      <c r="F2112" s="4" t="s">
        <v>1243</v>
      </c>
      <c r="G2112" s="4" t="s">
        <v>336</v>
      </c>
      <c r="H2112" s="4" t="s">
        <v>380</v>
      </c>
      <c r="I2112" s="4">
        <v>1</v>
      </c>
      <c r="J2112" s="21">
        <v>240</v>
      </c>
      <c r="K2112" s="21">
        <v>240</v>
      </c>
      <c r="L2112" s="5">
        <v>0</v>
      </c>
      <c r="M2112" s="4"/>
      <c r="N2112" s="4"/>
      <c r="O2112" s="5"/>
      <c r="P2112" s="5"/>
      <c r="Q2112" s="21">
        <v>0</v>
      </c>
      <c r="R2112" s="21">
        <v>0</v>
      </c>
      <c r="S2112" s="5">
        <f t="shared" si="131"/>
        <v>39439.387120151994</v>
      </c>
      <c r="T2112" cm="1">
        <f t="array" ref="T2112">IF(OR(B2112="MAL ALIMI", B2112="ÜRETİM GİRİŞ"), MIN(I2112, MAX(0, I2112 + SUM(SUMIFS($I$1:I2111, $C$1:C2111, C2112, $B$1:B2111, {"MAL ALIMI","ÜRETİM GİRİŞ"})) - VLOOKUP(C2112, 'STOK RAPORU'!$C$2:$I$1000, 4, 0))), 0)</f>
        <v>0</v>
      </c>
      <c r="U2112" s="22">
        <f t="shared" si="128"/>
        <v>0</v>
      </c>
      <c r="V2112">
        <f t="shared" si="129"/>
        <v>0</v>
      </c>
      <c r="W2112" s="22">
        <f t="shared" si="130"/>
        <v>0</v>
      </c>
    </row>
    <row r="2113" spans="1:23" hidden="1" x14ac:dyDescent="0.25">
      <c r="A2113" s="3">
        <v>46003</v>
      </c>
      <c r="B2113" s="4" t="s">
        <v>334</v>
      </c>
      <c r="C2113" s="4" t="s">
        <v>162</v>
      </c>
      <c r="D2113" s="4"/>
      <c r="E2113" s="4" t="s">
        <v>921</v>
      </c>
      <c r="F2113" s="4" t="s">
        <v>1243</v>
      </c>
      <c r="G2113" s="4" t="s">
        <v>336</v>
      </c>
      <c r="H2113" s="4" t="s">
        <v>380</v>
      </c>
      <c r="I2113" s="4">
        <v>1</v>
      </c>
      <c r="J2113" s="21">
        <v>260</v>
      </c>
      <c r="K2113" s="21">
        <v>260</v>
      </c>
      <c r="L2113" s="5">
        <v>0</v>
      </c>
      <c r="M2113" s="4"/>
      <c r="N2113" s="4"/>
      <c r="O2113" s="5"/>
      <c r="P2113" s="5"/>
      <c r="Q2113" s="21">
        <v>0</v>
      </c>
      <c r="R2113" s="21">
        <v>0</v>
      </c>
      <c r="S2113" s="5">
        <f t="shared" si="131"/>
        <v>39439.387120151994</v>
      </c>
      <c r="T2113" cm="1">
        <f t="array" ref="T2113">IF(OR(B2113="MAL ALIMI", B2113="ÜRETİM GİRİŞ"), MIN(I2113, MAX(0, I2113 + SUM(SUMIFS($I$1:I2112, $C$1:C2112, C2113, $B$1:B2112, {"MAL ALIMI","ÜRETİM GİRİŞ"})) - VLOOKUP(C2113, 'STOK RAPORU'!$C$2:$I$1000, 4, 0))), 0)</f>
        <v>0</v>
      </c>
      <c r="U2113" s="22">
        <f t="shared" si="128"/>
        <v>0</v>
      </c>
      <c r="V2113">
        <f t="shared" si="129"/>
        <v>0</v>
      </c>
      <c r="W2113" s="22">
        <f t="shared" si="130"/>
        <v>0</v>
      </c>
    </row>
    <row r="2114" spans="1:23" hidden="1" x14ac:dyDescent="0.25">
      <c r="A2114" s="3">
        <v>46003</v>
      </c>
      <c r="B2114" s="4" t="s">
        <v>334</v>
      </c>
      <c r="C2114" s="4" t="s">
        <v>168</v>
      </c>
      <c r="D2114" s="4"/>
      <c r="E2114" s="4" t="s">
        <v>921</v>
      </c>
      <c r="F2114" s="4" t="s">
        <v>1244</v>
      </c>
      <c r="G2114" s="4" t="s">
        <v>336</v>
      </c>
      <c r="H2114" s="4" t="s">
        <v>380</v>
      </c>
      <c r="I2114" s="4">
        <v>1</v>
      </c>
      <c r="J2114" s="21">
        <v>200</v>
      </c>
      <c r="K2114" s="21">
        <v>200</v>
      </c>
      <c r="L2114" s="5">
        <v>0</v>
      </c>
      <c r="M2114" s="4"/>
      <c r="N2114" s="4"/>
      <c r="O2114" s="5"/>
      <c r="P2114" s="5"/>
      <c r="Q2114" s="21">
        <v>0</v>
      </c>
      <c r="R2114" s="21">
        <v>0</v>
      </c>
      <c r="S2114" s="5">
        <f t="shared" si="131"/>
        <v>39439.387120151994</v>
      </c>
      <c r="T2114" cm="1">
        <f t="array" ref="T2114">IF(OR(B2114="MAL ALIMI", B2114="ÜRETİM GİRİŞ"), MIN(I2114, MAX(0, I2114 + SUM(SUMIFS($I$1:I2113, $C$1:C2113, C2114, $B$1:B2113, {"MAL ALIMI","ÜRETİM GİRİŞ"})) - VLOOKUP(C2114, 'STOK RAPORU'!$C$2:$I$1000, 4, 0))), 0)</f>
        <v>0</v>
      </c>
      <c r="U2114" s="22">
        <f t="shared" si="128"/>
        <v>0</v>
      </c>
      <c r="V2114">
        <f t="shared" si="129"/>
        <v>0</v>
      </c>
      <c r="W2114" s="22">
        <f t="shared" si="130"/>
        <v>0</v>
      </c>
    </row>
    <row r="2115" spans="1:23" hidden="1" x14ac:dyDescent="0.25">
      <c r="A2115" s="3">
        <v>46003</v>
      </c>
      <c r="B2115" s="4" t="s">
        <v>334</v>
      </c>
      <c r="C2115" s="4" t="s">
        <v>160</v>
      </c>
      <c r="D2115" s="4"/>
      <c r="E2115" s="4" t="s">
        <v>921</v>
      </c>
      <c r="F2115" s="4" t="s">
        <v>1244</v>
      </c>
      <c r="G2115" s="4" t="s">
        <v>336</v>
      </c>
      <c r="H2115" s="4" t="s">
        <v>380</v>
      </c>
      <c r="I2115" s="4">
        <v>1</v>
      </c>
      <c r="J2115" s="21">
        <v>240</v>
      </c>
      <c r="K2115" s="21">
        <v>240</v>
      </c>
      <c r="L2115" s="5">
        <v>0</v>
      </c>
      <c r="M2115" s="4"/>
      <c r="N2115" s="4"/>
      <c r="O2115" s="5"/>
      <c r="P2115" s="5"/>
      <c r="Q2115" s="21">
        <v>0</v>
      </c>
      <c r="R2115" s="21">
        <v>0</v>
      </c>
      <c r="S2115" s="5">
        <f t="shared" si="131"/>
        <v>39439.387120151994</v>
      </c>
      <c r="T2115" cm="1">
        <f t="array" ref="T2115">IF(OR(B2115="MAL ALIMI", B2115="ÜRETİM GİRİŞ"), MIN(I2115, MAX(0, I2115 + SUM(SUMIFS($I$1:I2114, $C$1:C2114, C2115, $B$1:B2114, {"MAL ALIMI","ÜRETİM GİRİŞ"})) - VLOOKUP(C2115, 'STOK RAPORU'!$C$2:$I$1000, 4, 0))), 0)</f>
        <v>0</v>
      </c>
      <c r="U2115" s="22">
        <f t="shared" ref="U2115:U2178" si="132">T2115*J2115</f>
        <v>0</v>
      </c>
      <c r="V2115">
        <f t="shared" ref="V2115:V2178" si="133">IF(OR(B2115="MAL ALIMI", B2115="ÜRETİM GİRİŞ"), I2115 * J2115, 0)</f>
        <v>0</v>
      </c>
      <c r="W2115" s="22">
        <f t="shared" ref="W2115:W2178" si="134">V2115-U2115</f>
        <v>0</v>
      </c>
    </row>
    <row r="2116" spans="1:23" hidden="1" x14ac:dyDescent="0.25">
      <c r="A2116" s="3">
        <v>46003</v>
      </c>
      <c r="B2116" s="4" t="s">
        <v>334</v>
      </c>
      <c r="C2116" s="4" t="s">
        <v>589</v>
      </c>
      <c r="D2116" s="4"/>
      <c r="E2116" s="4" t="s">
        <v>921</v>
      </c>
      <c r="F2116" s="4" t="s">
        <v>1244</v>
      </c>
      <c r="G2116" s="4" t="s">
        <v>336</v>
      </c>
      <c r="H2116" s="4" t="s">
        <v>380</v>
      </c>
      <c r="I2116" s="4">
        <v>0.06</v>
      </c>
      <c r="J2116" s="21">
        <v>750</v>
      </c>
      <c r="K2116" s="21">
        <v>45</v>
      </c>
      <c r="L2116" s="5">
        <v>0</v>
      </c>
      <c r="M2116" s="4"/>
      <c r="N2116" s="4"/>
      <c r="O2116" s="5"/>
      <c r="P2116" s="5"/>
      <c r="Q2116" s="21">
        <v>0</v>
      </c>
      <c r="R2116" s="21">
        <v>0</v>
      </c>
      <c r="S2116" s="5">
        <f t="shared" ref="S2116:S2179" si="135">S2115+Q2116-R2116</f>
        <v>39439.387120151994</v>
      </c>
      <c r="T2116" cm="1">
        <f t="array" ref="T2116">IF(OR(B2116="MAL ALIMI", B2116="ÜRETİM GİRİŞ"), MIN(I2116, MAX(0, I2116 + SUM(SUMIFS($I$1:I2115, $C$1:C2115, C2116, $B$1:B2115, {"MAL ALIMI","ÜRETİM GİRİŞ"})) - VLOOKUP(C2116, 'STOK RAPORU'!$C$2:$I$1000, 4, 0))), 0)</f>
        <v>0</v>
      </c>
      <c r="U2116" s="22">
        <f t="shared" si="132"/>
        <v>0</v>
      </c>
      <c r="V2116">
        <f t="shared" si="133"/>
        <v>0</v>
      </c>
      <c r="W2116" s="22">
        <f t="shared" si="134"/>
        <v>0</v>
      </c>
    </row>
    <row r="2117" spans="1:23" hidden="1" x14ac:dyDescent="0.25">
      <c r="A2117" s="3">
        <v>46003</v>
      </c>
      <c r="B2117" s="4" t="s">
        <v>334</v>
      </c>
      <c r="C2117" s="4" t="s">
        <v>523</v>
      </c>
      <c r="D2117" s="4"/>
      <c r="E2117" s="4" t="s">
        <v>921</v>
      </c>
      <c r="F2117" s="4" t="s">
        <v>1244</v>
      </c>
      <c r="G2117" s="4" t="s">
        <v>336</v>
      </c>
      <c r="H2117" s="4" t="s">
        <v>380</v>
      </c>
      <c r="I2117" s="4">
        <v>0.1</v>
      </c>
      <c r="J2117" s="21">
        <v>650</v>
      </c>
      <c r="K2117" s="21">
        <v>65</v>
      </c>
      <c r="L2117" s="5">
        <v>0</v>
      </c>
      <c r="M2117" s="4"/>
      <c r="N2117" s="4"/>
      <c r="O2117" s="5"/>
      <c r="P2117" s="5"/>
      <c r="Q2117" s="21">
        <v>0</v>
      </c>
      <c r="R2117" s="21">
        <v>0</v>
      </c>
      <c r="S2117" s="5">
        <f t="shared" si="135"/>
        <v>39439.387120151994</v>
      </c>
      <c r="T2117" cm="1">
        <f t="array" ref="T2117">IF(OR(B2117="MAL ALIMI", B2117="ÜRETİM GİRİŞ"), MIN(I2117, MAX(0, I2117 + SUM(SUMIFS($I$1:I2116, $C$1:C2116, C2117, $B$1:B2116, {"MAL ALIMI","ÜRETİM GİRİŞ"})) - VLOOKUP(C2117, 'STOK RAPORU'!$C$2:$I$1000, 4, 0))), 0)</f>
        <v>0</v>
      </c>
      <c r="U2117" s="22">
        <f t="shared" si="132"/>
        <v>0</v>
      </c>
      <c r="V2117">
        <f t="shared" si="133"/>
        <v>0</v>
      </c>
      <c r="W2117" s="22">
        <f t="shared" si="134"/>
        <v>0</v>
      </c>
    </row>
    <row r="2118" spans="1:23" hidden="1" x14ac:dyDescent="0.25">
      <c r="A2118" s="3">
        <v>46003</v>
      </c>
      <c r="B2118" s="4" t="s">
        <v>334</v>
      </c>
      <c r="C2118" s="4" t="s">
        <v>160</v>
      </c>
      <c r="D2118" s="4"/>
      <c r="E2118" s="4" t="s">
        <v>921</v>
      </c>
      <c r="F2118" s="4" t="s">
        <v>1245</v>
      </c>
      <c r="G2118" s="4" t="s">
        <v>336</v>
      </c>
      <c r="H2118" s="4" t="s">
        <v>380</v>
      </c>
      <c r="I2118" s="4">
        <v>1</v>
      </c>
      <c r="J2118" s="21">
        <v>240</v>
      </c>
      <c r="K2118" s="21">
        <v>240</v>
      </c>
      <c r="L2118" s="5">
        <v>0</v>
      </c>
      <c r="M2118" s="4"/>
      <c r="N2118" s="4"/>
      <c r="O2118" s="5"/>
      <c r="P2118" s="5"/>
      <c r="Q2118" s="21">
        <v>0</v>
      </c>
      <c r="R2118" s="21">
        <v>0</v>
      </c>
      <c r="S2118" s="5">
        <f t="shared" si="135"/>
        <v>39439.387120151994</v>
      </c>
      <c r="T2118" cm="1">
        <f t="array" ref="T2118">IF(OR(B2118="MAL ALIMI", B2118="ÜRETİM GİRİŞ"), MIN(I2118, MAX(0, I2118 + SUM(SUMIFS($I$1:I2117, $C$1:C2117, C2118, $B$1:B2117, {"MAL ALIMI","ÜRETİM GİRİŞ"})) - VLOOKUP(C2118, 'STOK RAPORU'!$C$2:$I$1000, 4, 0))), 0)</f>
        <v>0</v>
      </c>
      <c r="U2118" s="22">
        <f t="shared" si="132"/>
        <v>0</v>
      </c>
      <c r="V2118">
        <f t="shared" si="133"/>
        <v>0</v>
      </c>
      <c r="W2118" s="22">
        <f t="shared" si="134"/>
        <v>0</v>
      </c>
    </row>
    <row r="2119" spans="1:23" hidden="1" x14ac:dyDescent="0.25">
      <c r="A2119" s="3">
        <v>46003</v>
      </c>
      <c r="B2119" s="4" t="s">
        <v>334</v>
      </c>
      <c r="C2119" s="4" t="s">
        <v>161</v>
      </c>
      <c r="D2119" s="4"/>
      <c r="E2119" s="4" t="s">
        <v>921</v>
      </c>
      <c r="F2119" s="4" t="s">
        <v>1245</v>
      </c>
      <c r="G2119" s="4" t="s">
        <v>336</v>
      </c>
      <c r="H2119" s="4" t="s">
        <v>380</v>
      </c>
      <c r="I2119" s="4">
        <v>1</v>
      </c>
      <c r="J2119" s="21">
        <v>200</v>
      </c>
      <c r="K2119" s="21">
        <v>200</v>
      </c>
      <c r="L2119" s="5">
        <v>0</v>
      </c>
      <c r="M2119" s="4"/>
      <c r="N2119" s="4"/>
      <c r="O2119" s="5"/>
      <c r="P2119" s="5"/>
      <c r="Q2119" s="21">
        <v>0</v>
      </c>
      <c r="R2119" s="21">
        <v>0</v>
      </c>
      <c r="S2119" s="5">
        <f t="shared" si="135"/>
        <v>39439.387120151994</v>
      </c>
      <c r="T2119" cm="1">
        <f t="array" ref="T2119">IF(OR(B2119="MAL ALIMI", B2119="ÜRETİM GİRİŞ"), MIN(I2119, MAX(0, I2119 + SUM(SUMIFS($I$1:I2118, $C$1:C2118, C2119, $B$1:B2118, {"MAL ALIMI","ÜRETİM GİRİŞ"})) - VLOOKUP(C2119, 'STOK RAPORU'!$C$2:$I$1000, 4, 0))), 0)</f>
        <v>0</v>
      </c>
      <c r="U2119" s="22">
        <f t="shared" si="132"/>
        <v>0</v>
      </c>
      <c r="V2119">
        <f t="shared" si="133"/>
        <v>0</v>
      </c>
      <c r="W2119" s="22">
        <f t="shared" si="134"/>
        <v>0</v>
      </c>
    </row>
    <row r="2120" spans="1:23" hidden="1" x14ac:dyDescent="0.25">
      <c r="A2120" s="3">
        <v>46003</v>
      </c>
      <c r="B2120" s="4" t="s">
        <v>334</v>
      </c>
      <c r="C2120" s="4" t="s">
        <v>60</v>
      </c>
      <c r="D2120" s="4"/>
      <c r="E2120" s="4"/>
      <c r="F2120" s="4" t="s">
        <v>1246</v>
      </c>
      <c r="G2120" s="4" t="s">
        <v>336</v>
      </c>
      <c r="H2120" s="4" t="s">
        <v>289</v>
      </c>
      <c r="I2120" s="4">
        <v>0.05</v>
      </c>
      <c r="J2120" s="21">
        <v>1200</v>
      </c>
      <c r="K2120" s="21">
        <v>0</v>
      </c>
      <c r="L2120" s="5">
        <v>0</v>
      </c>
      <c r="M2120" s="4"/>
      <c r="N2120" s="4"/>
      <c r="O2120" s="5"/>
      <c r="P2120" s="5"/>
      <c r="Q2120" s="21">
        <v>60</v>
      </c>
      <c r="R2120" s="21">
        <v>0</v>
      </c>
      <c r="S2120" s="5">
        <f t="shared" si="135"/>
        <v>39499.387120151994</v>
      </c>
      <c r="T2120" cm="1">
        <f t="array" ref="T2120">IF(OR(B2120="MAL ALIMI", B2120="ÜRETİM GİRİŞ"), MIN(I2120, MAX(0, I2120 + SUM(SUMIFS($I$1:I2119, $C$1:C2119, C2120, $B$1:B2119, {"MAL ALIMI","ÜRETİM GİRİŞ"})) - VLOOKUP(C2120, 'STOK RAPORU'!$C$2:$I$1000, 4, 0))), 0)</f>
        <v>0</v>
      </c>
      <c r="U2120" s="22">
        <f t="shared" si="132"/>
        <v>0</v>
      </c>
      <c r="V2120">
        <f t="shared" si="133"/>
        <v>0</v>
      </c>
      <c r="W2120" s="22">
        <f t="shared" si="134"/>
        <v>0</v>
      </c>
    </row>
    <row r="2121" spans="1:23" hidden="1" x14ac:dyDescent="0.25">
      <c r="A2121" s="3">
        <v>46003</v>
      </c>
      <c r="B2121" s="4" t="s">
        <v>334</v>
      </c>
      <c r="C2121" s="4" t="s">
        <v>160</v>
      </c>
      <c r="D2121" s="4"/>
      <c r="E2121" s="4" t="s">
        <v>921</v>
      </c>
      <c r="F2121" s="4" t="s">
        <v>1250</v>
      </c>
      <c r="G2121" s="4" t="s">
        <v>336</v>
      </c>
      <c r="H2121" s="4" t="s">
        <v>380</v>
      </c>
      <c r="I2121" s="4">
        <v>1</v>
      </c>
      <c r="J2121" s="21">
        <v>240</v>
      </c>
      <c r="K2121" s="21">
        <v>240</v>
      </c>
      <c r="L2121" s="5">
        <v>0</v>
      </c>
      <c r="M2121" s="4"/>
      <c r="N2121" s="4"/>
      <c r="O2121" s="5"/>
      <c r="P2121" s="5"/>
      <c r="Q2121" s="21">
        <v>0</v>
      </c>
      <c r="R2121" s="21">
        <v>0</v>
      </c>
      <c r="S2121" s="5">
        <f t="shared" si="135"/>
        <v>39499.387120151994</v>
      </c>
      <c r="T2121" cm="1">
        <f t="array" ref="T2121">IF(OR(B2121="MAL ALIMI", B2121="ÜRETİM GİRİŞ"), MIN(I2121, MAX(0, I2121 + SUM(SUMIFS($I$1:I2120, $C$1:C2120, C2121, $B$1:B2120, {"MAL ALIMI","ÜRETİM GİRİŞ"})) - VLOOKUP(C2121, 'STOK RAPORU'!$C$2:$I$1000, 4, 0))), 0)</f>
        <v>0</v>
      </c>
      <c r="U2121" s="22">
        <f t="shared" si="132"/>
        <v>0</v>
      </c>
      <c r="V2121">
        <f t="shared" si="133"/>
        <v>0</v>
      </c>
      <c r="W2121" s="22">
        <f t="shared" si="134"/>
        <v>0</v>
      </c>
    </row>
    <row r="2122" spans="1:23" hidden="1" x14ac:dyDescent="0.25">
      <c r="A2122" s="3">
        <v>46003</v>
      </c>
      <c r="B2122" s="4" t="s">
        <v>334</v>
      </c>
      <c r="C2122" s="4" t="s">
        <v>467</v>
      </c>
      <c r="D2122" s="4"/>
      <c r="E2122" s="4"/>
      <c r="F2122" s="4" t="s">
        <v>1253</v>
      </c>
      <c r="G2122" s="4" t="s">
        <v>336</v>
      </c>
      <c r="H2122" s="4" t="s">
        <v>289</v>
      </c>
      <c r="I2122" s="4">
        <v>1</v>
      </c>
      <c r="J2122" s="21">
        <v>40</v>
      </c>
      <c r="K2122" s="21">
        <v>0</v>
      </c>
      <c r="L2122" s="5">
        <v>0</v>
      </c>
      <c r="M2122" s="4"/>
      <c r="N2122" s="4"/>
      <c r="O2122" s="5"/>
      <c r="P2122" s="5"/>
      <c r="Q2122" s="21">
        <v>40</v>
      </c>
      <c r="R2122" s="21">
        <v>0</v>
      </c>
      <c r="S2122" s="5">
        <f t="shared" si="135"/>
        <v>39539.387120151994</v>
      </c>
      <c r="T2122" cm="1">
        <f t="array" ref="T2122">IF(OR(B2122="MAL ALIMI", B2122="ÜRETİM GİRİŞ"), MIN(I2122, MAX(0, I2122 + SUM(SUMIFS($I$1:I2121, $C$1:C2121, C2122, $B$1:B2121, {"MAL ALIMI","ÜRETİM GİRİŞ"})) - VLOOKUP(C2122, 'STOK RAPORU'!$C$2:$I$1000, 4, 0))), 0)</f>
        <v>0</v>
      </c>
      <c r="U2122" s="22">
        <f t="shared" si="132"/>
        <v>0</v>
      </c>
      <c r="V2122">
        <f t="shared" si="133"/>
        <v>0</v>
      </c>
      <c r="W2122" s="22">
        <f t="shared" si="134"/>
        <v>0</v>
      </c>
    </row>
    <row r="2123" spans="1:23" hidden="1" x14ac:dyDescent="0.25">
      <c r="A2123" s="3">
        <v>46003</v>
      </c>
      <c r="B2123" s="4" t="s">
        <v>334</v>
      </c>
      <c r="C2123" s="4" t="s">
        <v>265</v>
      </c>
      <c r="D2123" s="4"/>
      <c r="E2123" s="4"/>
      <c r="F2123" s="4" t="s">
        <v>1253</v>
      </c>
      <c r="G2123" s="4" t="s">
        <v>336</v>
      </c>
      <c r="H2123" s="4" t="s">
        <v>289</v>
      </c>
      <c r="I2123" s="4">
        <v>1</v>
      </c>
      <c r="J2123" s="21">
        <v>130</v>
      </c>
      <c r="K2123" s="21">
        <v>0</v>
      </c>
      <c r="L2123" s="5">
        <v>0</v>
      </c>
      <c r="M2123" s="4"/>
      <c r="N2123" s="4"/>
      <c r="O2123" s="5"/>
      <c r="P2123" s="5"/>
      <c r="Q2123" s="21">
        <v>130</v>
      </c>
      <c r="R2123" s="21">
        <v>0</v>
      </c>
      <c r="S2123" s="5">
        <f t="shared" si="135"/>
        <v>39669.387120151994</v>
      </c>
      <c r="T2123" cm="1">
        <f t="array" ref="T2123">IF(OR(B2123="MAL ALIMI", B2123="ÜRETİM GİRİŞ"), MIN(I2123, MAX(0, I2123 + SUM(SUMIFS($I$1:I2122, $C$1:C2122, C2123, $B$1:B2122, {"MAL ALIMI","ÜRETİM GİRİŞ"})) - VLOOKUP(C2123, 'STOK RAPORU'!$C$2:$I$1000, 4, 0))), 0)</f>
        <v>0</v>
      </c>
      <c r="U2123" s="22">
        <f t="shared" si="132"/>
        <v>0</v>
      </c>
      <c r="V2123">
        <f t="shared" si="133"/>
        <v>0</v>
      </c>
      <c r="W2123" s="22">
        <f t="shared" si="134"/>
        <v>0</v>
      </c>
    </row>
    <row r="2124" spans="1:23" hidden="1" x14ac:dyDescent="0.25">
      <c r="A2124" s="3">
        <v>46003</v>
      </c>
      <c r="B2124" s="4" t="s">
        <v>334</v>
      </c>
      <c r="C2124" s="4" t="s">
        <v>156</v>
      </c>
      <c r="D2124" s="4"/>
      <c r="E2124" s="4"/>
      <c r="F2124" s="4" t="s">
        <v>1254</v>
      </c>
      <c r="G2124" s="4" t="s">
        <v>336</v>
      </c>
      <c r="H2124" s="4" t="s">
        <v>289</v>
      </c>
      <c r="I2124" s="4">
        <v>1</v>
      </c>
      <c r="J2124" s="21">
        <v>180</v>
      </c>
      <c r="K2124" s="21">
        <v>0</v>
      </c>
      <c r="L2124" s="5">
        <v>0</v>
      </c>
      <c r="M2124" s="4"/>
      <c r="N2124" s="4"/>
      <c r="O2124" s="5"/>
      <c r="P2124" s="5"/>
      <c r="Q2124" s="21">
        <v>180</v>
      </c>
      <c r="R2124" s="21">
        <v>0</v>
      </c>
      <c r="S2124" s="5">
        <f t="shared" si="135"/>
        <v>39849.387120151994</v>
      </c>
      <c r="T2124" cm="1">
        <f t="array" ref="T2124">IF(OR(B2124="MAL ALIMI", B2124="ÜRETİM GİRİŞ"), MIN(I2124, MAX(0, I2124 + SUM(SUMIFS($I$1:I2123, $C$1:C2123, C2124, $B$1:B2123, {"MAL ALIMI","ÜRETİM GİRİŞ"})) - VLOOKUP(C2124, 'STOK RAPORU'!$C$2:$I$1000, 4, 0))), 0)</f>
        <v>0</v>
      </c>
      <c r="U2124" s="22">
        <f t="shared" si="132"/>
        <v>0</v>
      </c>
      <c r="V2124">
        <f t="shared" si="133"/>
        <v>0</v>
      </c>
      <c r="W2124" s="22">
        <f t="shared" si="134"/>
        <v>0</v>
      </c>
    </row>
    <row r="2125" spans="1:23" x14ac:dyDescent="0.25">
      <c r="A2125" s="3">
        <v>46003</v>
      </c>
      <c r="B2125" s="4" t="s">
        <v>659</v>
      </c>
      <c r="C2125" s="4" t="s">
        <v>1177</v>
      </c>
      <c r="D2125" s="4"/>
      <c r="E2125" s="4" t="s">
        <v>856</v>
      </c>
      <c r="F2125" s="4"/>
      <c r="G2125" s="4" t="s">
        <v>1252</v>
      </c>
      <c r="H2125" s="4" t="s">
        <v>1329</v>
      </c>
      <c r="I2125" s="4">
        <v>2.5</v>
      </c>
      <c r="J2125" s="35">
        <v>400</v>
      </c>
      <c r="K2125" s="35">
        <v>1000</v>
      </c>
      <c r="L2125" s="5">
        <v>0</v>
      </c>
      <c r="M2125" s="21">
        <v>0</v>
      </c>
      <c r="N2125" s="21">
        <v>0</v>
      </c>
      <c r="O2125" s="5"/>
      <c r="P2125" s="5"/>
      <c r="Q2125" s="35">
        <v>0</v>
      </c>
      <c r="R2125" s="35">
        <v>0</v>
      </c>
      <c r="S2125" s="5">
        <f t="shared" si="135"/>
        <v>39849.387120151994</v>
      </c>
      <c r="T2125" cm="1">
        <f t="array" ref="T2125">IF(OR(B2125="MAL ALIMI", B2125="ÜRETİM GİRİŞ"), MIN(I2125, MAX(0, I2125 + SUM(SUMIFS($I$1:I2124, $C$1:C2124, C2125, $B$1:B2124, {"MAL ALIMI","ÜRETİM GİRİŞ"})) - VLOOKUP(C2125, 'STOK RAPORU'!$C$2:$I$1000, 4, 0))), 0)</f>
        <v>0</v>
      </c>
      <c r="U2125" s="22">
        <f t="shared" si="132"/>
        <v>0</v>
      </c>
      <c r="V2125">
        <f t="shared" si="133"/>
        <v>0</v>
      </c>
      <c r="W2125" s="22">
        <f t="shared" si="134"/>
        <v>0</v>
      </c>
    </row>
    <row r="2126" spans="1:23" x14ac:dyDescent="0.25">
      <c r="A2126" s="3">
        <v>46003</v>
      </c>
      <c r="B2126" s="4" t="s">
        <v>659</v>
      </c>
      <c r="C2126" s="4" t="s">
        <v>1178</v>
      </c>
      <c r="D2126" s="4"/>
      <c r="E2126" s="4" t="s">
        <v>856</v>
      </c>
      <c r="F2126" s="4"/>
      <c r="G2126" s="4" t="s">
        <v>1252</v>
      </c>
      <c r="H2126" s="4" t="s">
        <v>1329</v>
      </c>
      <c r="I2126" s="4">
        <v>1</v>
      </c>
      <c r="J2126" s="35">
        <v>340</v>
      </c>
      <c r="K2126" s="35">
        <v>340</v>
      </c>
      <c r="L2126" s="5">
        <v>0</v>
      </c>
      <c r="M2126" s="4"/>
      <c r="N2126" s="4"/>
      <c r="O2126" s="5"/>
      <c r="P2126" s="5"/>
      <c r="Q2126" s="35">
        <v>0</v>
      </c>
      <c r="R2126" s="35">
        <v>0</v>
      </c>
      <c r="S2126" s="5">
        <f t="shared" si="135"/>
        <v>39849.387120151994</v>
      </c>
      <c r="T2126" cm="1">
        <f t="array" ref="T2126">IF(OR(B2126="MAL ALIMI", B2126="ÜRETİM GİRİŞ"), MIN(I2126, MAX(0, I2126 + SUM(SUMIFS($I$1:I2125, $C$1:C2125, C2126, $B$1:B2125, {"MAL ALIMI","ÜRETİM GİRİŞ"})) - VLOOKUP(C2126, 'STOK RAPORU'!$C$2:$I$1000, 4, 0))), 0)</f>
        <v>0</v>
      </c>
      <c r="U2126" s="22">
        <f t="shared" si="132"/>
        <v>0</v>
      </c>
      <c r="V2126">
        <f t="shared" si="133"/>
        <v>0</v>
      </c>
      <c r="W2126" s="22">
        <f t="shared" si="134"/>
        <v>0</v>
      </c>
    </row>
    <row r="2127" spans="1:23" hidden="1" x14ac:dyDescent="0.25">
      <c r="A2127" s="3">
        <v>46003</v>
      </c>
      <c r="B2127" s="4" t="s">
        <v>946</v>
      </c>
      <c r="C2127" s="4"/>
      <c r="D2127" s="4"/>
      <c r="E2127" s="4" t="s">
        <v>921</v>
      </c>
      <c r="F2127" s="4"/>
      <c r="G2127" s="4" t="s">
        <v>946</v>
      </c>
      <c r="H2127" s="4" t="s">
        <v>380</v>
      </c>
      <c r="I2127" s="4">
        <v>1</v>
      </c>
      <c r="J2127" s="105">
        <v>465</v>
      </c>
      <c r="K2127" s="21">
        <v>0</v>
      </c>
      <c r="L2127" s="111">
        <v>465</v>
      </c>
      <c r="M2127" s="21">
        <v>240</v>
      </c>
      <c r="N2127" s="21">
        <v>0</v>
      </c>
      <c r="O2127" s="5">
        <v>27949.413</v>
      </c>
      <c r="P2127" s="5"/>
      <c r="Q2127" s="21">
        <v>465</v>
      </c>
      <c r="R2127" s="21">
        <v>0</v>
      </c>
      <c r="S2127" s="5">
        <f t="shared" si="135"/>
        <v>40314.387120151994</v>
      </c>
      <c r="T2127" cm="1">
        <f t="array" ref="T2127">IF(OR(B2127="MAL ALIMI", B2127="ÜRETİM GİRİŞ"), MIN(I2127, MAX(0, I2127 + SUM(SUMIFS($I$1:I2126, $C$1:C2126, C2127, $B$1:B2126, {"MAL ALIMI","ÜRETİM GİRİŞ"})) - VLOOKUP(C2127, 'STOK RAPORU'!$C$2:$I$1000, 4, 0))), 0)</f>
        <v>0</v>
      </c>
      <c r="U2127" s="22">
        <f t="shared" si="132"/>
        <v>0</v>
      </c>
      <c r="V2127">
        <f t="shared" si="133"/>
        <v>0</v>
      </c>
      <c r="W2127" s="22">
        <f t="shared" si="134"/>
        <v>0</v>
      </c>
    </row>
    <row r="2128" spans="1:23" hidden="1" x14ac:dyDescent="0.25">
      <c r="A2128" s="3">
        <v>46004</v>
      </c>
      <c r="B2128" s="4" t="s">
        <v>334</v>
      </c>
      <c r="C2128" s="4" t="s">
        <v>161</v>
      </c>
      <c r="D2128" s="4"/>
      <c r="E2128" s="4"/>
      <c r="F2128" s="4" t="s">
        <v>1261</v>
      </c>
      <c r="G2128" s="4" t="s">
        <v>336</v>
      </c>
      <c r="H2128" s="4" t="s">
        <v>289</v>
      </c>
      <c r="I2128" s="4">
        <v>1</v>
      </c>
      <c r="J2128" s="21">
        <v>200</v>
      </c>
      <c r="K2128" s="21">
        <v>0</v>
      </c>
      <c r="L2128" s="5">
        <v>0</v>
      </c>
      <c r="M2128" s="4"/>
      <c r="N2128" s="4"/>
      <c r="O2128" s="5"/>
      <c r="P2128" s="5"/>
      <c r="Q2128" s="21">
        <v>200</v>
      </c>
      <c r="R2128" s="21">
        <v>0</v>
      </c>
      <c r="S2128" s="5">
        <f t="shared" si="135"/>
        <v>40514.387120151994</v>
      </c>
      <c r="T2128" cm="1">
        <f t="array" ref="T2128">IF(OR(B2128="MAL ALIMI", B2128="ÜRETİM GİRİŞ"), MIN(I2128, MAX(0, I2128 + SUM(SUMIFS($I$1:I2127, $C$1:C2127, C2128, $B$1:B2127, {"MAL ALIMI","ÜRETİM GİRİŞ"})) - VLOOKUP(C2128, 'STOK RAPORU'!$C$2:$I$1000, 4, 0))), 0)</f>
        <v>0</v>
      </c>
      <c r="U2128" s="22">
        <f t="shared" si="132"/>
        <v>0</v>
      </c>
      <c r="V2128">
        <f t="shared" si="133"/>
        <v>0</v>
      </c>
      <c r="W2128" s="22">
        <f t="shared" si="134"/>
        <v>0</v>
      </c>
    </row>
    <row r="2129" spans="1:23" hidden="1" x14ac:dyDescent="0.25">
      <c r="A2129" s="3">
        <v>46004</v>
      </c>
      <c r="B2129" s="4" t="s">
        <v>334</v>
      </c>
      <c r="C2129" s="4" t="s">
        <v>160</v>
      </c>
      <c r="D2129" s="4"/>
      <c r="E2129" s="4"/>
      <c r="F2129" s="4" t="s">
        <v>1261</v>
      </c>
      <c r="G2129" s="4" t="s">
        <v>336</v>
      </c>
      <c r="H2129" s="4" t="s">
        <v>289</v>
      </c>
      <c r="I2129" s="4">
        <v>1</v>
      </c>
      <c r="J2129" s="21">
        <v>240</v>
      </c>
      <c r="K2129" s="21">
        <v>0</v>
      </c>
      <c r="L2129" s="5">
        <v>0</v>
      </c>
      <c r="M2129" s="4"/>
      <c r="N2129" s="4"/>
      <c r="O2129" s="5"/>
      <c r="P2129" s="5"/>
      <c r="Q2129" s="21">
        <v>240</v>
      </c>
      <c r="R2129" s="21">
        <v>0</v>
      </c>
      <c r="S2129" s="5">
        <f t="shared" si="135"/>
        <v>40754.387120151994</v>
      </c>
      <c r="T2129" cm="1">
        <f t="array" ref="T2129">IF(OR(B2129="MAL ALIMI", B2129="ÜRETİM GİRİŞ"), MIN(I2129, MAX(0, I2129 + SUM(SUMIFS($I$1:I2128, $C$1:C2128, C2129, $B$1:B2128, {"MAL ALIMI","ÜRETİM GİRİŞ"})) - VLOOKUP(C2129, 'STOK RAPORU'!$C$2:$I$1000, 4, 0))), 0)</f>
        <v>0</v>
      </c>
      <c r="U2129" s="22">
        <f t="shared" si="132"/>
        <v>0</v>
      </c>
      <c r="V2129">
        <f t="shared" si="133"/>
        <v>0</v>
      </c>
      <c r="W2129" s="22">
        <f t="shared" si="134"/>
        <v>0</v>
      </c>
    </row>
    <row r="2130" spans="1:23" hidden="1" x14ac:dyDescent="0.25">
      <c r="A2130" s="3">
        <v>46004</v>
      </c>
      <c r="B2130" s="4" t="s">
        <v>334</v>
      </c>
      <c r="C2130" s="4" t="s">
        <v>157</v>
      </c>
      <c r="D2130" s="4"/>
      <c r="E2130" s="4"/>
      <c r="F2130" s="4" t="s">
        <v>1261</v>
      </c>
      <c r="G2130" s="4" t="s">
        <v>336</v>
      </c>
      <c r="H2130" s="4" t="s">
        <v>289</v>
      </c>
      <c r="I2130" s="4">
        <v>0.33333333333333331</v>
      </c>
      <c r="J2130" s="21">
        <v>180</v>
      </c>
      <c r="K2130" s="21">
        <v>0</v>
      </c>
      <c r="L2130" s="5">
        <v>0</v>
      </c>
      <c r="M2130" s="4"/>
      <c r="N2130" s="4"/>
      <c r="O2130" s="5"/>
      <c r="P2130" s="5"/>
      <c r="Q2130" s="21">
        <v>60</v>
      </c>
      <c r="R2130" s="21">
        <v>0</v>
      </c>
      <c r="S2130" s="5">
        <f t="shared" si="135"/>
        <v>40814.387120151994</v>
      </c>
      <c r="T2130" cm="1">
        <f t="array" ref="T2130">IF(OR(B2130="MAL ALIMI", B2130="ÜRETİM GİRİŞ"), MIN(I2130, MAX(0, I2130 + SUM(SUMIFS($I$1:I2129, $C$1:C2129, C2130, $B$1:B2129, {"MAL ALIMI","ÜRETİM GİRİŞ"})) - VLOOKUP(C2130, 'STOK RAPORU'!$C$2:$I$1000, 4, 0))), 0)</f>
        <v>0</v>
      </c>
      <c r="U2130" s="22">
        <f t="shared" si="132"/>
        <v>0</v>
      </c>
      <c r="V2130">
        <f t="shared" si="133"/>
        <v>0</v>
      </c>
      <c r="W2130" s="22">
        <f t="shared" si="134"/>
        <v>0</v>
      </c>
    </row>
    <row r="2131" spans="1:23" hidden="1" x14ac:dyDescent="0.25">
      <c r="A2131" s="3">
        <v>46004</v>
      </c>
      <c r="B2131" s="4" t="s">
        <v>334</v>
      </c>
      <c r="C2131" s="4" t="s">
        <v>825</v>
      </c>
      <c r="D2131" s="4"/>
      <c r="E2131" s="4" t="s">
        <v>921</v>
      </c>
      <c r="F2131" s="4" t="s">
        <v>1262</v>
      </c>
      <c r="G2131" s="4" t="s">
        <v>336</v>
      </c>
      <c r="H2131" s="4" t="s">
        <v>380</v>
      </c>
      <c r="I2131" s="4">
        <v>3</v>
      </c>
      <c r="J2131" s="21">
        <v>180</v>
      </c>
      <c r="K2131" s="21">
        <v>540</v>
      </c>
      <c r="L2131" s="5">
        <v>0</v>
      </c>
      <c r="M2131" s="4"/>
      <c r="N2131" s="4"/>
      <c r="O2131" s="5"/>
      <c r="P2131" s="5"/>
      <c r="Q2131" s="21">
        <v>0</v>
      </c>
      <c r="R2131" s="21">
        <v>0</v>
      </c>
      <c r="S2131" s="5">
        <f t="shared" si="135"/>
        <v>40814.387120151994</v>
      </c>
      <c r="T2131" cm="1">
        <f t="array" ref="T2131">IF(OR(B2131="MAL ALIMI", B2131="ÜRETİM GİRİŞ"), MIN(I2131, MAX(0, I2131 + SUM(SUMIFS($I$1:I2130, $C$1:C2130, C2131, $B$1:B2130, {"MAL ALIMI","ÜRETİM GİRİŞ"})) - VLOOKUP(C2131, 'STOK RAPORU'!$C$2:$I$1000, 4, 0))), 0)</f>
        <v>0</v>
      </c>
      <c r="U2131" s="22">
        <f t="shared" si="132"/>
        <v>0</v>
      </c>
      <c r="V2131">
        <f t="shared" si="133"/>
        <v>0</v>
      </c>
      <c r="W2131" s="22">
        <f t="shared" si="134"/>
        <v>0</v>
      </c>
    </row>
    <row r="2132" spans="1:23" hidden="1" x14ac:dyDescent="0.25">
      <c r="A2132" s="3">
        <v>46004</v>
      </c>
      <c r="B2132" s="4" t="s">
        <v>334</v>
      </c>
      <c r="C2132" s="4" t="s">
        <v>524</v>
      </c>
      <c r="D2132" s="4"/>
      <c r="E2132" s="4"/>
      <c r="F2132" s="4" t="s">
        <v>1263</v>
      </c>
      <c r="G2132" s="4" t="s">
        <v>336</v>
      </c>
      <c r="H2132" s="4" t="s">
        <v>289</v>
      </c>
      <c r="I2132" s="4">
        <v>0.1</v>
      </c>
      <c r="J2132" s="21">
        <v>300</v>
      </c>
      <c r="K2132" s="21">
        <v>0</v>
      </c>
      <c r="L2132" s="5">
        <v>0</v>
      </c>
      <c r="M2132" s="4"/>
      <c r="N2132" s="4"/>
      <c r="O2132" s="5"/>
      <c r="P2132" s="5"/>
      <c r="Q2132" s="21">
        <v>30</v>
      </c>
      <c r="R2132" s="21">
        <v>0</v>
      </c>
      <c r="S2132" s="5">
        <f t="shared" si="135"/>
        <v>40844.387120151994</v>
      </c>
      <c r="T2132" cm="1">
        <f t="array" ref="T2132">IF(OR(B2132="MAL ALIMI", B2132="ÜRETİM GİRİŞ"), MIN(I2132, MAX(0, I2132 + SUM(SUMIFS($I$1:I2131, $C$1:C2131, C2132, $B$1:B2131, {"MAL ALIMI","ÜRETİM GİRİŞ"})) - VLOOKUP(C2132, 'STOK RAPORU'!$C$2:$I$1000, 4, 0))), 0)</f>
        <v>0</v>
      </c>
      <c r="U2132" s="22">
        <f t="shared" si="132"/>
        <v>0</v>
      </c>
      <c r="V2132">
        <f t="shared" si="133"/>
        <v>0</v>
      </c>
      <c r="W2132" s="22">
        <f t="shared" si="134"/>
        <v>0</v>
      </c>
    </row>
    <row r="2133" spans="1:23" hidden="1" x14ac:dyDescent="0.25">
      <c r="A2133" s="3">
        <v>46004</v>
      </c>
      <c r="B2133" s="4" t="s">
        <v>334</v>
      </c>
      <c r="C2133" s="4" t="s">
        <v>160</v>
      </c>
      <c r="D2133" s="4"/>
      <c r="E2133" s="4"/>
      <c r="F2133" s="4" t="s">
        <v>1264</v>
      </c>
      <c r="G2133" s="4" t="s">
        <v>336</v>
      </c>
      <c r="H2133" s="4" t="s">
        <v>289</v>
      </c>
      <c r="I2133" s="4">
        <v>1</v>
      </c>
      <c r="J2133" s="21">
        <v>240</v>
      </c>
      <c r="K2133" s="21">
        <v>0</v>
      </c>
      <c r="L2133" s="5">
        <v>0</v>
      </c>
      <c r="M2133" s="4"/>
      <c r="N2133" s="4"/>
      <c r="O2133" s="5"/>
      <c r="P2133" s="5"/>
      <c r="Q2133" s="21">
        <v>240</v>
      </c>
      <c r="R2133" s="21">
        <v>0</v>
      </c>
      <c r="S2133" s="5">
        <f t="shared" si="135"/>
        <v>41084.387120151994</v>
      </c>
      <c r="T2133" cm="1">
        <f t="array" ref="T2133">IF(OR(B2133="MAL ALIMI", B2133="ÜRETİM GİRİŞ"), MIN(I2133, MAX(0, I2133 + SUM(SUMIFS($I$1:I2132, $C$1:C2132, C2133, $B$1:B2132, {"MAL ALIMI","ÜRETİM GİRİŞ"})) - VLOOKUP(C2133, 'STOK RAPORU'!$C$2:$I$1000, 4, 0))), 0)</f>
        <v>0</v>
      </c>
      <c r="U2133" s="22">
        <f t="shared" si="132"/>
        <v>0</v>
      </c>
      <c r="V2133">
        <f t="shared" si="133"/>
        <v>0</v>
      </c>
      <c r="W2133" s="22">
        <f t="shared" si="134"/>
        <v>0</v>
      </c>
    </row>
    <row r="2134" spans="1:23" hidden="1" x14ac:dyDescent="0.25">
      <c r="A2134" s="3">
        <v>46004</v>
      </c>
      <c r="B2134" s="4" t="s">
        <v>334</v>
      </c>
      <c r="C2134" s="4" t="s">
        <v>161</v>
      </c>
      <c r="D2134" s="4"/>
      <c r="E2134" s="4"/>
      <c r="F2134" s="4" t="s">
        <v>1264</v>
      </c>
      <c r="G2134" s="4" t="s">
        <v>336</v>
      </c>
      <c r="H2134" s="4" t="s">
        <v>289</v>
      </c>
      <c r="I2134" s="4">
        <v>1</v>
      </c>
      <c r="J2134" s="21">
        <v>200</v>
      </c>
      <c r="K2134" s="21">
        <v>0</v>
      </c>
      <c r="L2134" s="5">
        <v>0</v>
      </c>
      <c r="M2134" s="4"/>
      <c r="N2134" s="4"/>
      <c r="O2134" s="5"/>
      <c r="P2134" s="5"/>
      <c r="Q2134" s="21">
        <v>200</v>
      </c>
      <c r="R2134" s="21">
        <v>0</v>
      </c>
      <c r="S2134" s="5">
        <f t="shared" si="135"/>
        <v>41284.387120151994</v>
      </c>
      <c r="T2134" cm="1">
        <f t="array" ref="T2134">IF(OR(B2134="MAL ALIMI", B2134="ÜRETİM GİRİŞ"), MIN(I2134, MAX(0, I2134 + SUM(SUMIFS($I$1:I2133, $C$1:C2133, C2134, $B$1:B2133, {"MAL ALIMI","ÜRETİM GİRİŞ"})) - VLOOKUP(C2134, 'STOK RAPORU'!$C$2:$I$1000, 4, 0))), 0)</f>
        <v>0</v>
      </c>
      <c r="U2134" s="22">
        <f t="shared" si="132"/>
        <v>0</v>
      </c>
      <c r="V2134">
        <f t="shared" si="133"/>
        <v>0</v>
      </c>
      <c r="W2134" s="22">
        <f t="shared" si="134"/>
        <v>0</v>
      </c>
    </row>
    <row r="2135" spans="1:23" hidden="1" x14ac:dyDescent="0.25">
      <c r="A2135" s="3">
        <v>46004</v>
      </c>
      <c r="B2135" s="4" t="s">
        <v>334</v>
      </c>
      <c r="C2135" s="4" t="s">
        <v>132</v>
      </c>
      <c r="D2135" s="4"/>
      <c r="E2135" s="4" t="s">
        <v>921</v>
      </c>
      <c r="F2135" s="4" t="s">
        <v>1265</v>
      </c>
      <c r="G2135" s="4" t="s">
        <v>336</v>
      </c>
      <c r="H2135" s="4" t="s">
        <v>380</v>
      </c>
      <c r="I2135" s="4">
        <v>0.13800000000000001</v>
      </c>
      <c r="J2135" s="21">
        <v>500</v>
      </c>
      <c r="K2135" s="21">
        <v>69</v>
      </c>
      <c r="L2135" s="5">
        <v>0</v>
      </c>
      <c r="M2135" s="4"/>
      <c r="N2135" s="4"/>
      <c r="O2135" s="5"/>
      <c r="P2135" s="5"/>
      <c r="Q2135" s="21">
        <v>0</v>
      </c>
      <c r="R2135" s="21">
        <v>0</v>
      </c>
      <c r="S2135" s="5">
        <f t="shared" si="135"/>
        <v>41284.387120151994</v>
      </c>
      <c r="T2135" cm="1">
        <f t="array" ref="T2135">IF(OR(B2135="MAL ALIMI", B2135="ÜRETİM GİRİŞ"), MIN(I2135, MAX(0, I2135 + SUM(SUMIFS($I$1:I2134, $C$1:C2134, C2135, $B$1:B2134, {"MAL ALIMI","ÜRETİM GİRİŞ"})) - VLOOKUP(C2135, 'STOK RAPORU'!$C$2:$I$1000, 4, 0))), 0)</f>
        <v>0</v>
      </c>
      <c r="U2135" s="22">
        <f t="shared" si="132"/>
        <v>0</v>
      </c>
      <c r="V2135">
        <f t="shared" si="133"/>
        <v>0</v>
      </c>
      <c r="W2135" s="22">
        <f t="shared" si="134"/>
        <v>0</v>
      </c>
    </row>
    <row r="2136" spans="1:23" hidden="1" x14ac:dyDescent="0.25">
      <c r="A2136" s="3">
        <v>46004</v>
      </c>
      <c r="B2136" s="4" t="s">
        <v>334</v>
      </c>
      <c r="C2136" s="4" t="s">
        <v>158</v>
      </c>
      <c r="D2136" s="4"/>
      <c r="E2136" s="4" t="s">
        <v>921</v>
      </c>
      <c r="F2136" s="4" t="s">
        <v>1266</v>
      </c>
      <c r="G2136" s="4" t="s">
        <v>336</v>
      </c>
      <c r="H2136" s="4" t="s">
        <v>380</v>
      </c>
      <c r="I2136" s="4">
        <v>1</v>
      </c>
      <c r="J2136" s="21">
        <v>130</v>
      </c>
      <c r="K2136" s="21">
        <v>130</v>
      </c>
      <c r="L2136" s="5">
        <v>0</v>
      </c>
      <c r="M2136" s="4"/>
      <c r="N2136" s="4"/>
      <c r="O2136" s="5"/>
      <c r="P2136" s="5"/>
      <c r="Q2136" s="21">
        <v>0</v>
      </c>
      <c r="R2136" s="21">
        <v>0</v>
      </c>
      <c r="S2136" s="5">
        <f t="shared" si="135"/>
        <v>41284.387120151994</v>
      </c>
      <c r="T2136" cm="1">
        <f t="array" ref="T2136">IF(OR(B2136="MAL ALIMI", B2136="ÜRETİM GİRİŞ"), MIN(I2136, MAX(0, I2136 + SUM(SUMIFS($I$1:I2135, $C$1:C2135, C2136, $B$1:B2135, {"MAL ALIMI","ÜRETİM GİRİŞ"})) - VLOOKUP(C2136, 'STOK RAPORU'!$C$2:$I$1000, 4, 0))), 0)</f>
        <v>0</v>
      </c>
      <c r="U2136" s="22">
        <f t="shared" si="132"/>
        <v>0</v>
      </c>
      <c r="V2136">
        <f t="shared" si="133"/>
        <v>0</v>
      </c>
      <c r="W2136" s="22">
        <f t="shared" si="134"/>
        <v>0</v>
      </c>
    </row>
    <row r="2137" spans="1:23" hidden="1" x14ac:dyDescent="0.25">
      <c r="A2137" s="3">
        <v>46004</v>
      </c>
      <c r="B2137" s="4" t="s">
        <v>334</v>
      </c>
      <c r="C2137" s="4" t="s">
        <v>157</v>
      </c>
      <c r="D2137" s="4"/>
      <c r="E2137" s="4" t="s">
        <v>921</v>
      </c>
      <c r="F2137" s="4" t="s">
        <v>1266</v>
      </c>
      <c r="G2137" s="4" t="s">
        <v>336</v>
      </c>
      <c r="H2137" s="4" t="s">
        <v>380</v>
      </c>
      <c r="I2137" s="4">
        <v>1</v>
      </c>
      <c r="J2137" s="21">
        <v>180</v>
      </c>
      <c r="K2137" s="21">
        <v>180</v>
      </c>
      <c r="L2137" s="5">
        <v>0</v>
      </c>
      <c r="M2137" s="4"/>
      <c r="N2137" s="4"/>
      <c r="O2137" s="5"/>
      <c r="P2137" s="5"/>
      <c r="Q2137" s="21">
        <v>0</v>
      </c>
      <c r="R2137" s="21">
        <v>0</v>
      </c>
      <c r="S2137" s="5">
        <f t="shared" si="135"/>
        <v>41284.387120151994</v>
      </c>
      <c r="T2137" cm="1">
        <f t="array" ref="T2137">IF(OR(B2137="MAL ALIMI", B2137="ÜRETİM GİRİŞ"), MIN(I2137, MAX(0, I2137 + SUM(SUMIFS($I$1:I2136, $C$1:C2136, C2137, $B$1:B2136, {"MAL ALIMI","ÜRETİM GİRİŞ"})) - VLOOKUP(C2137, 'STOK RAPORU'!$C$2:$I$1000, 4, 0))), 0)</f>
        <v>0</v>
      </c>
      <c r="U2137" s="22">
        <f t="shared" si="132"/>
        <v>0</v>
      </c>
      <c r="V2137">
        <f t="shared" si="133"/>
        <v>0</v>
      </c>
      <c r="W2137" s="22">
        <f t="shared" si="134"/>
        <v>0</v>
      </c>
    </row>
    <row r="2138" spans="1:23" hidden="1" x14ac:dyDescent="0.25">
      <c r="A2138" s="3">
        <v>46004</v>
      </c>
      <c r="B2138" s="4" t="s">
        <v>334</v>
      </c>
      <c r="C2138" s="4" t="s">
        <v>237</v>
      </c>
      <c r="D2138" s="4"/>
      <c r="E2138" s="4"/>
      <c r="F2138" s="4" t="s">
        <v>1267</v>
      </c>
      <c r="G2138" s="4" t="s">
        <v>336</v>
      </c>
      <c r="H2138" s="4" t="s">
        <v>289</v>
      </c>
      <c r="I2138" s="4">
        <v>0.04</v>
      </c>
      <c r="J2138" s="21">
        <v>2250</v>
      </c>
      <c r="K2138" s="21">
        <v>0</v>
      </c>
      <c r="L2138" s="5">
        <v>0</v>
      </c>
      <c r="M2138" s="4"/>
      <c r="N2138" s="4"/>
      <c r="O2138" s="5"/>
      <c r="P2138" s="5"/>
      <c r="Q2138" s="21">
        <v>90</v>
      </c>
      <c r="R2138" s="21">
        <v>0</v>
      </c>
      <c r="S2138" s="5">
        <f t="shared" si="135"/>
        <v>41374.387120151994</v>
      </c>
      <c r="T2138" cm="1">
        <f t="array" ref="T2138">IF(OR(B2138="MAL ALIMI", B2138="ÜRETİM GİRİŞ"), MIN(I2138, MAX(0, I2138 + SUM(SUMIFS($I$1:I2137, $C$1:C2137, C2138, $B$1:B2137, {"MAL ALIMI","ÜRETİM GİRİŞ"})) - VLOOKUP(C2138, 'STOK RAPORU'!$C$2:$I$1000, 4, 0))), 0)</f>
        <v>0</v>
      </c>
      <c r="U2138" s="22">
        <f t="shared" si="132"/>
        <v>0</v>
      </c>
      <c r="V2138">
        <f t="shared" si="133"/>
        <v>0</v>
      </c>
      <c r="W2138" s="22">
        <f t="shared" si="134"/>
        <v>0</v>
      </c>
    </row>
    <row r="2139" spans="1:23" hidden="1" x14ac:dyDescent="0.25">
      <c r="A2139" s="3">
        <v>46004</v>
      </c>
      <c r="B2139" s="4" t="s">
        <v>946</v>
      </c>
      <c r="C2139" s="4"/>
      <c r="D2139" s="4"/>
      <c r="E2139" s="4" t="s">
        <v>921</v>
      </c>
      <c r="F2139" s="4"/>
      <c r="G2139" s="4" t="s">
        <v>946</v>
      </c>
      <c r="H2139" s="4" t="s">
        <v>380</v>
      </c>
      <c r="I2139" s="4">
        <v>1</v>
      </c>
      <c r="J2139" s="105">
        <v>255</v>
      </c>
      <c r="K2139" s="21">
        <v>0</v>
      </c>
      <c r="L2139" s="111">
        <v>255</v>
      </c>
      <c r="M2139" s="4"/>
      <c r="N2139" s="4"/>
      <c r="O2139" s="5"/>
      <c r="P2139" s="5"/>
      <c r="Q2139" s="21">
        <v>255</v>
      </c>
      <c r="R2139" s="21">
        <v>0</v>
      </c>
      <c r="S2139" s="5">
        <f t="shared" si="135"/>
        <v>41629.387120151994</v>
      </c>
      <c r="T2139" cm="1">
        <f t="array" ref="T2139">IF(OR(B2139="MAL ALIMI", B2139="ÜRETİM GİRİŞ"), MIN(I2139, MAX(0, I2139 + SUM(SUMIFS($I$1:I2138, $C$1:C2138, C2139, $B$1:B2138, {"MAL ALIMI","ÜRETİM GİRİŞ"})) - VLOOKUP(C2139, 'STOK RAPORU'!$C$2:$I$1000, 4, 0))), 0)</f>
        <v>0</v>
      </c>
      <c r="U2139" s="22">
        <f t="shared" si="132"/>
        <v>0</v>
      </c>
      <c r="V2139">
        <f t="shared" si="133"/>
        <v>0</v>
      </c>
      <c r="W2139" s="22">
        <f t="shared" si="134"/>
        <v>0</v>
      </c>
    </row>
    <row r="2140" spans="1:23" hidden="1" x14ac:dyDescent="0.25">
      <c r="A2140" s="3">
        <v>46005</v>
      </c>
      <c r="B2140" s="4" t="s">
        <v>334</v>
      </c>
      <c r="C2140" s="4" t="s">
        <v>651</v>
      </c>
      <c r="D2140" s="4"/>
      <c r="E2140" s="4"/>
      <c r="F2140" s="4" t="s">
        <v>1255</v>
      </c>
      <c r="G2140" s="4" t="s">
        <v>336</v>
      </c>
      <c r="H2140" s="4" t="s">
        <v>289</v>
      </c>
      <c r="I2140" s="4">
        <v>1</v>
      </c>
      <c r="J2140" s="21">
        <v>400</v>
      </c>
      <c r="K2140" s="21">
        <v>0</v>
      </c>
      <c r="L2140" s="5">
        <v>0</v>
      </c>
      <c r="M2140" s="4"/>
      <c r="N2140" s="4"/>
      <c r="O2140" s="5"/>
      <c r="P2140" s="5"/>
      <c r="Q2140" s="21">
        <v>400</v>
      </c>
      <c r="R2140" s="21">
        <v>0</v>
      </c>
      <c r="S2140" s="5">
        <f t="shared" si="135"/>
        <v>42029.387120151994</v>
      </c>
      <c r="T2140" cm="1">
        <f t="array" ref="T2140">IF(OR(B2140="MAL ALIMI", B2140="ÜRETİM GİRİŞ"), MIN(I2140, MAX(0, I2140 + SUM(SUMIFS($I$1:I2139, $C$1:C2139, C2140, $B$1:B2139, {"MAL ALIMI","ÜRETİM GİRİŞ"})) - VLOOKUP(C2140, 'STOK RAPORU'!$C$2:$I$1000, 4, 0))), 0)</f>
        <v>0</v>
      </c>
      <c r="U2140" s="22">
        <f t="shared" si="132"/>
        <v>0</v>
      </c>
      <c r="V2140">
        <f t="shared" si="133"/>
        <v>0</v>
      </c>
      <c r="W2140" s="22">
        <f t="shared" si="134"/>
        <v>0</v>
      </c>
    </row>
    <row r="2141" spans="1:23" hidden="1" x14ac:dyDescent="0.25">
      <c r="A2141" s="3">
        <v>46005</v>
      </c>
      <c r="B2141" s="4" t="s">
        <v>334</v>
      </c>
      <c r="C2141" s="4" t="s">
        <v>470</v>
      </c>
      <c r="D2141" s="4"/>
      <c r="E2141" s="4"/>
      <c r="F2141" s="4" t="s">
        <v>1255</v>
      </c>
      <c r="G2141" s="4" t="s">
        <v>336</v>
      </c>
      <c r="H2141" s="4" t="s">
        <v>289</v>
      </c>
      <c r="I2141" s="4">
        <v>1</v>
      </c>
      <c r="J2141" s="21">
        <v>40</v>
      </c>
      <c r="K2141" s="21">
        <v>0</v>
      </c>
      <c r="L2141" s="5">
        <v>0</v>
      </c>
      <c r="M2141" s="4"/>
      <c r="N2141" s="4"/>
      <c r="O2141" s="5"/>
      <c r="P2141" s="5"/>
      <c r="Q2141" s="21">
        <v>40</v>
      </c>
      <c r="R2141" s="21">
        <v>0</v>
      </c>
      <c r="S2141" s="5">
        <f t="shared" si="135"/>
        <v>42069.387120151994</v>
      </c>
      <c r="T2141" cm="1">
        <f t="array" ref="T2141">IF(OR(B2141="MAL ALIMI", B2141="ÜRETİM GİRİŞ"), MIN(I2141, MAX(0, I2141 + SUM(SUMIFS($I$1:I2140, $C$1:C2140, C2141, $B$1:B2140, {"MAL ALIMI","ÜRETİM GİRİŞ"})) - VLOOKUP(C2141, 'STOK RAPORU'!$C$2:$I$1000, 4, 0))), 0)</f>
        <v>0</v>
      </c>
      <c r="U2141" s="22">
        <f t="shared" si="132"/>
        <v>0</v>
      </c>
      <c r="V2141">
        <f t="shared" si="133"/>
        <v>0</v>
      </c>
      <c r="W2141" s="22">
        <f t="shared" si="134"/>
        <v>0</v>
      </c>
    </row>
    <row r="2142" spans="1:23" hidden="1" x14ac:dyDescent="0.25">
      <c r="A2142" s="3">
        <v>46005</v>
      </c>
      <c r="B2142" s="4" t="s">
        <v>334</v>
      </c>
      <c r="C2142" s="4" t="s">
        <v>179</v>
      </c>
      <c r="D2142" s="4"/>
      <c r="E2142" s="4"/>
      <c r="F2142" s="4" t="s">
        <v>1256</v>
      </c>
      <c r="G2142" s="4" t="s">
        <v>336</v>
      </c>
      <c r="H2142" s="4" t="s">
        <v>289</v>
      </c>
      <c r="I2142" s="4">
        <v>1</v>
      </c>
      <c r="J2142" s="21">
        <v>160</v>
      </c>
      <c r="K2142" s="21">
        <v>0</v>
      </c>
      <c r="L2142" s="5">
        <v>0</v>
      </c>
      <c r="M2142" s="4"/>
      <c r="N2142" s="4"/>
      <c r="O2142" s="5"/>
      <c r="P2142" s="5"/>
      <c r="Q2142" s="21">
        <v>160</v>
      </c>
      <c r="R2142" s="21">
        <v>0</v>
      </c>
      <c r="S2142" s="5">
        <f t="shared" si="135"/>
        <v>42229.387120151994</v>
      </c>
      <c r="T2142" cm="1">
        <f t="array" ref="T2142">IF(OR(B2142="MAL ALIMI", B2142="ÜRETİM GİRİŞ"), MIN(I2142, MAX(0, I2142 + SUM(SUMIFS($I$1:I2141, $C$1:C2141, C2142, $B$1:B2141, {"MAL ALIMI","ÜRETİM GİRİŞ"})) - VLOOKUP(C2142, 'STOK RAPORU'!$C$2:$I$1000, 4, 0))), 0)</f>
        <v>0</v>
      </c>
      <c r="U2142" s="22">
        <f t="shared" si="132"/>
        <v>0</v>
      </c>
      <c r="V2142">
        <f t="shared" si="133"/>
        <v>0</v>
      </c>
      <c r="W2142" s="22">
        <f t="shared" si="134"/>
        <v>0</v>
      </c>
    </row>
    <row r="2143" spans="1:23" hidden="1" x14ac:dyDescent="0.25">
      <c r="A2143" s="3">
        <v>46005</v>
      </c>
      <c r="B2143" s="4" t="s">
        <v>334</v>
      </c>
      <c r="C2143" s="4" t="s">
        <v>180</v>
      </c>
      <c r="D2143" s="4"/>
      <c r="E2143" s="4"/>
      <c r="F2143" s="4" t="s">
        <v>1256</v>
      </c>
      <c r="G2143" s="4" t="s">
        <v>336</v>
      </c>
      <c r="H2143" s="4" t="s">
        <v>289</v>
      </c>
      <c r="I2143" s="4">
        <v>1</v>
      </c>
      <c r="J2143" s="21">
        <v>170</v>
      </c>
      <c r="K2143" s="21">
        <v>0</v>
      </c>
      <c r="L2143" s="5">
        <v>0</v>
      </c>
      <c r="M2143" s="4"/>
      <c r="N2143" s="4"/>
      <c r="O2143" s="5"/>
      <c r="P2143" s="5"/>
      <c r="Q2143" s="21">
        <v>170</v>
      </c>
      <c r="R2143" s="21">
        <v>0</v>
      </c>
      <c r="S2143" s="5">
        <f t="shared" si="135"/>
        <v>42399.387120151994</v>
      </c>
      <c r="T2143" cm="1">
        <f t="array" ref="T2143">IF(OR(B2143="MAL ALIMI", B2143="ÜRETİM GİRİŞ"), MIN(I2143, MAX(0, I2143 + SUM(SUMIFS($I$1:I2142, $C$1:C2142, C2143, $B$1:B2142, {"MAL ALIMI","ÜRETİM GİRİŞ"})) - VLOOKUP(C2143, 'STOK RAPORU'!$C$2:$I$1000, 4, 0))), 0)</f>
        <v>0</v>
      </c>
      <c r="U2143" s="22">
        <f t="shared" si="132"/>
        <v>0</v>
      </c>
      <c r="V2143">
        <f t="shared" si="133"/>
        <v>0</v>
      </c>
      <c r="W2143" s="22">
        <f t="shared" si="134"/>
        <v>0</v>
      </c>
    </row>
    <row r="2144" spans="1:23" hidden="1" x14ac:dyDescent="0.25">
      <c r="A2144" s="3">
        <v>46005</v>
      </c>
      <c r="B2144" s="4" t="s">
        <v>334</v>
      </c>
      <c r="C2144" s="4" t="s">
        <v>911</v>
      </c>
      <c r="D2144" s="4"/>
      <c r="E2144" s="4"/>
      <c r="F2144" s="4" t="s">
        <v>1256</v>
      </c>
      <c r="G2144" s="4" t="s">
        <v>336</v>
      </c>
      <c r="H2144" s="4" t="s">
        <v>289</v>
      </c>
      <c r="I2144" s="4">
        <v>1</v>
      </c>
      <c r="J2144" s="21">
        <v>130</v>
      </c>
      <c r="K2144" s="21">
        <v>0</v>
      </c>
      <c r="L2144" s="5">
        <v>0</v>
      </c>
      <c r="M2144" s="4"/>
      <c r="N2144" s="4"/>
      <c r="O2144" s="5"/>
      <c r="P2144" s="5"/>
      <c r="Q2144" s="21">
        <v>130</v>
      </c>
      <c r="R2144" s="21">
        <v>0</v>
      </c>
      <c r="S2144" s="5">
        <f t="shared" si="135"/>
        <v>42529.387120151994</v>
      </c>
      <c r="T2144" cm="1">
        <f t="array" ref="T2144">IF(OR(B2144="MAL ALIMI", B2144="ÜRETİM GİRİŞ"), MIN(I2144, MAX(0, I2144 + SUM(SUMIFS($I$1:I2143, $C$1:C2143, C2144, $B$1:B2143, {"MAL ALIMI","ÜRETİM GİRİŞ"})) - VLOOKUP(C2144, 'STOK RAPORU'!$C$2:$I$1000, 4, 0))), 0)</f>
        <v>0</v>
      </c>
      <c r="U2144" s="22">
        <f t="shared" si="132"/>
        <v>0</v>
      </c>
      <c r="V2144">
        <f t="shared" si="133"/>
        <v>0</v>
      </c>
      <c r="W2144" s="22">
        <f t="shared" si="134"/>
        <v>0</v>
      </c>
    </row>
    <row r="2145" spans="1:23" hidden="1" x14ac:dyDescent="0.25">
      <c r="A2145" s="3">
        <v>46005</v>
      </c>
      <c r="B2145" s="4" t="s">
        <v>334</v>
      </c>
      <c r="C2145" s="4" t="s">
        <v>460</v>
      </c>
      <c r="D2145" s="4"/>
      <c r="E2145" s="4"/>
      <c r="F2145" s="4" t="s">
        <v>1256</v>
      </c>
      <c r="G2145" s="4" t="s">
        <v>336</v>
      </c>
      <c r="H2145" s="4" t="s">
        <v>289</v>
      </c>
      <c r="I2145" s="4">
        <v>3</v>
      </c>
      <c r="J2145" s="21">
        <v>15</v>
      </c>
      <c r="K2145" s="21">
        <v>0</v>
      </c>
      <c r="L2145" s="5">
        <v>0</v>
      </c>
      <c r="M2145" s="4"/>
      <c r="N2145" s="4"/>
      <c r="O2145" s="5"/>
      <c r="P2145" s="5"/>
      <c r="Q2145" s="21">
        <v>45</v>
      </c>
      <c r="R2145" s="21">
        <v>0</v>
      </c>
      <c r="S2145" s="5">
        <f t="shared" si="135"/>
        <v>42574.387120151994</v>
      </c>
      <c r="T2145" cm="1">
        <f t="array" ref="T2145">IF(OR(B2145="MAL ALIMI", B2145="ÜRETİM GİRİŞ"), MIN(I2145, MAX(0, I2145 + SUM(SUMIFS($I$1:I2144, $C$1:C2144, C2145, $B$1:B2144, {"MAL ALIMI","ÜRETİM GİRİŞ"})) - VLOOKUP(C2145, 'STOK RAPORU'!$C$2:$I$1000, 4, 0))), 0)</f>
        <v>0</v>
      </c>
      <c r="U2145" s="22">
        <f t="shared" si="132"/>
        <v>0</v>
      </c>
      <c r="V2145">
        <f t="shared" si="133"/>
        <v>0</v>
      </c>
      <c r="W2145" s="22">
        <f t="shared" si="134"/>
        <v>0</v>
      </c>
    </row>
    <row r="2146" spans="1:23" hidden="1" x14ac:dyDescent="0.25">
      <c r="A2146" s="3">
        <v>46005</v>
      </c>
      <c r="B2146" s="4" t="s">
        <v>334</v>
      </c>
      <c r="C2146" s="4" t="s">
        <v>507</v>
      </c>
      <c r="D2146" s="4"/>
      <c r="E2146" s="4"/>
      <c r="F2146" s="4" t="s">
        <v>1256</v>
      </c>
      <c r="G2146" s="4" t="s">
        <v>336</v>
      </c>
      <c r="H2146" s="4" t="s">
        <v>289</v>
      </c>
      <c r="I2146" s="4">
        <v>1</v>
      </c>
      <c r="J2146" s="21">
        <v>190</v>
      </c>
      <c r="K2146" s="21">
        <v>0</v>
      </c>
      <c r="L2146" s="5">
        <v>0</v>
      </c>
      <c r="M2146" s="4"/>
      <c r="N2146" s="4"/>
      <c r="O2146" s="5"/>
      <c r="P2146" s="5"/>
      <c r="Q2146" s="21">
        <v>190</v>
      </c>
      <c r="R2146" s="21">
        <v>0</v>
      </c>
      <c r="S2146" s="5">
        <f t="shared" si="135"/>
        <v>42764.387120151994</v>
      </c>
      <c r="T2146" cm="1">
        <f t="array" ref="T2146">IF(OR(B2146="MAL ALIMI", B2146="ÜRETİM GİRİŞ"), MIN(I2146, MAX(0, I2146 + SUM(SUMIFS($I$1:I2145, $C$1:C2145, C2146, $B$1:B2145, {"MAL ALIMI","ÜRETİM GİRİŞ"})) - VLOOKUP(C2146, 'STOK RAPORU'!$C$2:$I$1000, 4, 0))), 0)</f>
        <v>0</v>
      </c>
      <c r="U2146" s="22">
        <f t="shared" si="132"/>
        <v>0</v>
      </c>
      <c r="V2146">
        <f t="shared" si="133"/>
        <v>0</v>
      </c>
      <c r="W2146" s="22">
        <f t="shared" si="134"/>
        <v>0</v>
      </c>
    </row>
    <row r="2147" spans="1:23" hidden="1" x14ac:dyDescent="0.25">
      <c r="A2147" s="3">
        <v>46005</v>
      </c>
      <c r="B2147" s="4" t="s">
        <v>334</v>
      </c>
      <c r="C2147" s="4" t="s">
        <v>209</v>
      </c>
      <c r="D2147" s="4"/>
      <c r="E2147" s="4"/>
      <c r="F2147" s="4" t="s">
        <v>1256</v>
      </c>
      <c r="G2147" s="4" t="s">
        <v>336</v>
      </c>
      <c r="H2147" s="4" t="s">
        <v>289</v>
      </c>
      <c r="I2147" s="4">
        <v>0.05</v>
      </c>
      <c r="J2147" s="21">
        <v>2600</v>
      </c>
      <c r="K2147" s="21">
        <v>0</v>
      </c>
      <c r="L2147" s="5">
        <v>0</v>
      </c>
      <c r="M2147" s="4"/>
      <c r="N2147" s="4"/>
      <c r="O2147" s="5"/>
      <c r="P2147" s="5"/>
      <c r="Q2147" s="21">
        <v>130</v>
      </c>
      <c r="R2147" s="21">
        <v>0</v>
      </c>
      <c r="S2147" s="5">
        <f t="shared" si="135"/>
        <v>42894.387120151994</v>
      </c>
      <c r="T2147" cm="1">
        <f t="array" ref="T2147">IF(OR(B2147="MAL ALIMI", B2147="ÜRETİM GİRİŞ"), MIN(I2147, MAX(0, I2147 + SUM(SUMIFS($I$1:I2146, $C$1:C2146, C2147, $B$1:B2146, {"MAL ALIMI","ÜRETİM GİRİŞ"})) - VLOOKUP(C2147, 'STOK RAPORU'!$C$2:$I$1000, 4, 0))), 0)</f>
        <v>0</v>
      </c>
      <c r="U2147" s="22">
        <f t="shared" si="132"/>
        <v>0</v>
      </c>
      <c r="V2147">
        <f t="shared" si="133"/>
        <v>0</v>
      </c>
      <c r="W2147" s="22">
        <f t="shared" si="134"/>
        <v>0</v>
      </c>
    </row>
    <row r="2148" spans="1:23" hidden="1" x14ac:dyDescent="0.25">
      <c r="A2148" s="3">
        <v>46005</v>
      </c>
      <c r="B2148" s="4" t="s">
        <v>334</v>
      </c>
      <c r="C2148" s="4" t="s">
        <v>202</v>
      </c>
      <c r="D2148" s="4"/>
      <c r="E2148" s="4"/>
      <c r="F2148" s="4" t="s">
        <v>1256</v>
      </c>
      <c r="G2148" s="4" t="s">
        <v>336</v>
      </c>
      <c r="H2148" s="4" t="s">
        <v>289</v>
      </c>
      <c r="I2148" s="4">
        <v>0.5</v>
      </c>
      <c r="J2148" s="21">
        <v>80</v>
      </c>
      <c r="K2148" s="21">
        <v>0</v>
      </c>
      <c r="L2148" s="5">
        <v>0</v>
      </c>
      <c r="M2148" s="4"/>
      <c r="N2148" s="4"/>
      <c r="O2148" s="5"/>
      <c r="P2148" s="5"/>
      <c r="Q2148" s="21">
        <v>40</v>
      </c>
      <c r="R2148" s="21">
        <v>0</v>
      </c>
      <c r="S2148" s="5">
        <f t="shared" si="135"/>
        <v>42934.387120151994</v>
      </c>
      <c r="T2148" cm="1">
        <f t="array" ref="T2148">IF(OR(B2148="MAL ALIMI", B2148="ÜRETİM GİRİŞ"), MIN(I2148, MAX(0, I2148 + SUM(SUMIFS($I$1:I2147, $C$1:C2147, C2148, $B$1:B2147, {"MAL ALIMI","ÜRETİM GİRİŞ"})) - VLOOKUP(C2148, 'STOK RAPORU'!$C$2:$I$1000, 4, 0))), 0)</f>
        <v>0</v>
      </c>
      <c r="U2148" s="22">
        <f t="shared" si="132"/>
        <v>0</v>
      </c>
      <c r="V2148">
        <f t="shared" si="133"/>
        <v>0</v>
      </c>
      <c r="W2148" s="22">
        <f t="shared" si="134"/>
        <v>0</v>
      </c>
    </row>
    <row r="2149" spans="1:23" hidden="1" x14ac:dyDescent="0.25">
      <c r="A2149" s="3">
        <v>46005</v>
      </c>
      <c r="B2149" s="4" t="s">
        <v>334</v>
      </c>
      <c r="C2149" s="4" t="s">
        <v>92</v>
      </c>
      <c r="D2149" s="4"/>
      <c r="E2149" s="4"/>
      <c r="F2149" s="4" t="s">
        <v>1256</v>
      </c>
      <c r="G2149" s="4" t="s">
        <v>336</v>
      </c>
      <c r="H2149" s="4" t="s">
        <v>289</v>
      </c>
      <c r="I2149" s="4">
        <v>0.17199999999999999</v>
      </c>
      <c r="J2149" s="21">
        <v>500</v>
      </c>
      <c r="K2149" s="21">
        <v>0</v>
      </c>
      <c r="L2149" s="5">
        <v>0</v>
      </c>
      <c r="M2149" s="4"/>
      <c r="N2149" s="4"/>
      <c r="O2149" s="5"/>
      <c r="P2149" s="5"/>
      <c r="Q2149" s="21">
        <v>86</v>
      </c>
      <c r="R2149" s="21">
        <v>0</v>
      </c>
      <c r="S2149" s="5">
        <f t="shared" si="135"/>
        <v>43020.387120151994</v>
      </c>
      <c r="T2149" cm="1">
        <f t="array" ref="T2149">IF(OR(B2149="MAL ALIMI", B2149="ÜRETİM GİRİŞ"), MIN(I2149, MAX(0, I2149 + SUM(SUMIFS($I$1:I2148, $C$1:C2148, C2149, $B$1:B2148, {"MAL ALIMI","ÜRETİM GİRİŞ"})) - VLOOKUP(C2149, 'STOK RAPORU'!$C$2:$I$1000, 4, 0))), 0)</f>
        <v>0</v>
      </c>
      <c r="U2149" s="22">
        <f t="shared" si="132"/>
        <v>0</v>
      </c>
      <c r="V2149">
        <f t="shared" si="133"/>
        <v>0</v>
      </c>
      <c r="W2149" s="22">
        <f t="shared" si="134"/>
        <v>0</v>
      </c>
    </row>
    <row r="2150" spans="1:23" hidden="1" x14ac:dyDescent="0.25">
      <c r="A2150" s="3">
        <v>46005</v>
      </c>
      <c r="B2150" s="4" t="s">
        <v>334</v>
      </c>
      <c r="C2150" s="4" t="s">
        <v>3167</v>
      </c>
      <c r="D2150" s="4"/>
      <c r="E2150" s="4"/>
      <c r="F2150" s="4" t="s">
        <v>1256</v>
      </c>
      <c r="G2150" s="4" t="s">
        <v>336</v>
      </c>
      <c r="H2150" s="4" t="s">
        <v>289</v>
      </c>
      <c r="I2150" s="4">
        <v>9.1999999999999998E-2</v>
      </c>
      <c r="J2150" s="21">
        <v>370</v>
      </c>
      <c r="K2150" s="21">
        <v>0</v>
      </c>
      <c r="L2150" s="5">
        <v>0</v>
      </c>
      <c r="M2150" s="4"/>
      <c r="N2150" s="4"/>
      <c r="O2150" s="5"/>
      <c r="P2150" s="5"/>
      <c r="Q2150" s="21">
        <v>34.04</v>
      </c>
      <c r="R2150" s="21">
        <v>0</v>
      </c>
      <c r="S2150" s="5">
        <f t="shared" si="135"/>
        <v>43054.427120151995</v>
      </c>
      <c r="T2150" cm="1">
        <f t="array" ref="T2150">IF(OR(B2150="MAL ALIMI", B2150="ÜRETİM GİRİŞ"), MIN(I2150, MAX(0, I2150 + SUM(SUMIFS($I$1:I2149, $C$1:C2149, C2150, $B$1:B2149, {"MAL ALIMI","ÜRETİM GİRİŞ"})) - VLOOKUP(C2150, 'STOK RAPORU'!$C$2:$I$1000, 4, 0))), 0)</f>
        <v>0</v>
      </c>
      <c r="U2150" s="22">
        <f t="shared" si="132"/>
        <v>0</v>
      </c>
      <c r="V2150">
        <f t="shared" si="133"/>
        <v>0</v>
      </c>
      <c r="W2150" s="22">
        <f t="shared" si="134"/>
        <v>0</v>
      </c>
    </row>
    <row r="2151" spans="1:23" hidden="1" x14ac:dyDescent="0.25">
      <c r="A2151" s="3">
        <v>46005</v>
      </c>
      <c r="B2151" s="4" t="s">
        <v>334</v>
      </c>
      <c r="C2151" s="4" t="s">
        <v>463</v>
      </c>
      <c r="D2151" s="4"/>
      <c r="E2151" s="4"/>
      <c r="F2151" s="4" t="s">
        <v>1256</v>
      </c>
      <c r="G2151" s="4" t="s">
        <v>336</v>
      </c>
      <c r="H2151" s="4" t="s">
        <v>289</v>
      </c>
      <c r="I2151" s="4">
        <v>0.23599999999999999</v>
      </c>
      <c r="J2151" s="21">
        <v>370</v>
      </c>
      <c r="K2151" s="21">
        <v>0</v>
      </c>
      <c r="L2151" s="5">
        <v>0</v>
      </c>
      <c r="M2151" s="4"/>
      <c r="N2151" s="4"/>
      <c r="O2151" s="5"/>
      <c r="P2151" s="5"/>
      <c r="Q2151" s="21">
        <v>87.32</v>
      </c>
      <c r="R2151" s="21">
        <v>0</v>
      </c>
      <c r="S2151" s="5">
        <f t="shared" si="135"/>
        <v>43141.747120151995</v>
      </c>
      <c r="T2151" cm="1">
        <f t="array" ref="T2151">IF(OR(B2151="MAL ALIMI", B2151="ÜRETİM GİRİŞ"), MIN(I2151, MAX(0, I2151 + SUM(SUMIFS($I$1:I2150, $C$1:C2150, C2151, $B$1:B2150, {"MAL ALIMI","ÜRETİM GİRİŞ"})) - VLOOKUP(C2151, 'STOK RAPORU'!$C$2:$I$1000, 4, 0))), 0)</f>
        <v>0</v>
      </c>
      <c r="U2151" s="22">
        <f t="shared" si="132"/>
        <v>0</v>
      </c>
      <c r="V2151">
        <f t="shared" si="133"/>
        <v>0</v>
      </c>
      <c r="W2151" s="22">
        <f t="shared" si="134"/>
        <v>0</v>
      </c>
    </row>
    <row r="2152" spans="1:23" hidden="1" x14ac:dyDescent="0.25">
      <c r="A2152" s="3">
        <v>46005</v>
      </c>
      <c r="B2152" s="4" t="s">
        <v>334</v>
      </c>
      <c r="C2152" s="4" t="s">
        <v>131</v>
      </c>
      <c r="D2152" s="4"/>
      <c r="E2152" s="4"/>
      <c r="F2152" s="4" t="s">
        <v>1256</v>
      </c>
      <c r="G2152" s="4" t="s">
        <v>336</v>
      </c>
      <c r="H2152" s="4" t="s">
        <v>289</v>
      </c>
      <c r="I2152" s="4">
        <v>7.8E-2</v>
      </c>
      <c r="J2152" s="21">
        <v>400</v>
      </c>
      <c r="K2152" s="21">
        <v>0</v>
      </c>
      <c r="L2152" s="5">
        <v>0</v>
      </c>
      <c r="M2152" s="4"/>
      <c r="N2152" s="4"/>
      <c r="O2152" s="5"/>
      <c r="P2152" s="5"/>
      <c r="Q2152" s="21">
        <v>31.2</v>
      </c>
      <c r="R2152" s="21">
        <v>0</v>
      </c>
      <c r="S2152" s="5">
        <f t="shared" si="135"/>
        <v>43172.947120151992</v>
      </c>
      <c r="T2152" cm="1">
        <f t="array" ref="T2152">IF(OR(B2152="MAL ALIMI", B2152="ÜRETİM GİRİŞ"), MIN(I2152, MAX(0, I2152 + SUM(SUMIFS($I$1:I2151, $C$1:C2151, C2152, $B$1:B2151, {"MAL ALIMI","ÜRETİM GİRİŞ"})) - VLOOKUP(C2152, 'STOK RAPORU'!$C$2:$I$1000, 4, 0))), 0)</f>
        <v>0</v>
      </c>
      <c r="U2152" s="22">
        <f t="shared" si="132"/>
        <v>0</v>
      </c>
      <c r="V2152">
        <f t="shared" si="133"/>
        <v>0</v>
      </c>
      <c r="W2152" s="22">
        <f t="shared" si="134"/>
        <v>0</v>
      </c>
    </row>
    <row r="2153" spans="1:23" hidden="1" x14ac:dyDescent="0.25">
      <c r="A2153" s="3">
        <v>46005</v>
      </c>
      <c r="B2153" s="4" t="s">
        <v>334</v>
      </c>
      <c r="C2153" s="4" t="s">
        <v>91</v>
      </c>
      <c r="D2153" s="4"/>
      <c r="E2153" s="4"/>
      <c r="F2153" s="4" t="s">
        <v>1256</v>
      </c>
      <c r="G2153" s="4" t="s">
        <v>336</v>
      </c>
      <c r="H2153" s="4" t="s">
        <v>289</v>
      </c>
      <c r="I2153" s="4">
        <v>0.04</v>
      </c>
      <c r="J2153" s="21">
        <v>760</v>
      </c>
      <c r="K2153" s="21">
        <v>0</v>
      </c>
      <c r="L2153" s="5">
        <v>0</v>
      </c>
      <c r="M2153" s="4"/>
      <c r="N2153" s="4"/>
      <c r="O2153" s="5"/>
      <c r="P2153" s="5"/>
      <c r="Q2153" s="21">
        <v>30.400000000000002</v>
      </c>
      <c r="R2153" s="21">
        <v>0</v>
      </c>
      <c r="S2153" s="5">
        <f t="shared" si="135"/>
        <v>43203.347120151993</v>
      </c>
      <c r="T2153" cm="1">
        <f t="array" ref="T2153">IF(OR(B2153="MAL ALIMI", B2153="ÜRETİM GİRİŞ"), MIN(I2153, MAX(0, I2153 + SUM(SUMIFS($I$1:I2152, $C$1:C2152, C2153, $B$1:B2152, {"MAL ALIMI","ÜRETİM GİRİŞ"})) - VLOOKUP(C2153, 'STOK RAPORU'!$C$2:$I$1000, 4, 0))), 0)</f>
        <v>0</v>
      </c>
      <c r="U2153" s="22">
        <f t="shared" si="132"/>
        <v>0</v>
      </c>
      <c r="V2153">
        <f t="shared" si="133"/>
        <v>0</v>
      </c>
      <c r="W2153" s="22">
        <f t="shared" si="134"/>
        <v>0</v>
      </c>
    </row>
    <row r="2154" spans="1:23" hidden="1" x14ac:dyDescent="0.25">
      <c r="A2154" s="3">
        <v>46005</v>
      </c>
      <c r="B2154" s="4" t="s">
        <v>334</v>
      </c>
      <c r="C2154" s="4" t="s">
        <v>166</v>
      </c>
      <c r="D2154" s="4"/>
      <c r="E2154" s="4"/>
      <c r="F2154" s="4" t="s">
        <v>1256</v>
      </c>
      <c r="G2154" s="4" t="s">
        <v>336</v>
      </c>
      <c r="H2154" s="4" t="s">
        <v>289</v>
      </c>
      <c r="I2154" s="4">
        <v>0.108</v>
      </c>
      <c r="J2154" s="21">
        <v>770</v>
      </c>
      <c r="K2154" s="21">
        <v>0</v>
      </c>
      <c r="L2154" s="5">
        <v>0</v>
      </c>
      <c r="M2154" s="4"/>
      <c r="N2154" s="4"/>
      <c r="O2154" s="5"/>
      <c r="P2154" s="5"/>
      <c r="Q2154" s="21">
        <v>83.16</v>
      </c>
      <c r="R2154" s="21">
        <v>0</v>
      </c>
      <c r="S2154" s="5">
        <f t="shared" si="135"/>
        <v>43286.507120151997</v>
      </c>
      <c r="T2154" cm="1">
        <f t="array" ref="T2154">IF(OR(B2154="MAL ALIMI", B2154="ÜRETİM GİRİŞ"), MIN(I2154, MAX(0, I2154 + SUM(SUMIFS($I$1:I2153, $C$1:C2153, C2154, $B$1:B2153, {"MAL ALIMI","ÜRETİM GİRİŞ"})) - VLOOKUP(C2154, 'STOK RAPORU'!$C$2:$I$1000, 4, 0))), 0)</f>
        <v>0</v>
      </c>
      <c r="U2154" s="22">
        <f t="shared" si="132"/>
        <v>0</v>
      </c>
      <c r="V2154">
        <f t="shared" si="133"/>
        <v>0</v>
      </c>
      <c r="W2154" s="22">
        <f t="shared" si="134"/>
        <v>0</v>
      </c>
    </row>
    <row r="2155" spans="1:23" hidden="1" x14ac:dyDescent="0.25">
      <c r="A2155" s="3">
        <v>46005</v>
      </c>
      <c r="B2155" s="4" t="s">
        <v>334</v>
      </c>
      <c r="C2155" s="4" t="s">
        <v>129</v>
      </c>
      <c r="D2155" s="4"/>
      <c r="E2155" s="4"/>
      <c r="F2155" s="4" t="s">
        <v>1256</v>
      </c>
      <c r="G2155" s="4" t="s">
        <v>336</v>
      </c>
      <c r="H2155" s="4" t="s">
        <v>289</v>
      </c>
      <c r="I2155" s="4">
        <v>0.10199999999999999</v>
      </c>
      <c r="J2155" s="21">
        <v>390</v>
      </c>
      <c r="K2155" s="21">
        <v>0</v>
      </c>
      <c r="L2155" s="5">
        <v>0</v>
      </c>
      <c r="M2155" s="4"/>
      <c r="N2155" s="4"/>
      <c r="O2155" s="5"/>
      <c r="P2155" s="5"/>
      <c r="Q2155" s="21">
        <v>39.779999999999994</v>
      </c>
      <c r="R2155" s="21">
        <v>0</v>
      </c>
      <c r="S2155" s="5">
        <f t="shared" si="135"/>
        <v>43326.287120151996</v>
      </c>
      <c r="T2155" cm="1">
        <f t="array" ref="T2155">IF(OR(B2155="MAL ALIMI", B2155="ÜRETİM GİRİŞ"), MIN(I2155, MAX(0, I2155 + SUM(SUMIFS($I$1:I2154, $C$1:C2154, C2155, $B$1:B2154, {"MAL ALIMI","ÜRETİM GİRİŞ"})) - VLOOKUP(C2155, 'STOK RAPORU'!$C$2:$I$1000, 4, 0))), 0)</f>
        <v>0</v>
      </c>
      <c r="U2155" s="22">
        <f t="shared" si="132"/>
        <v>0</v>
      </c>
      <c r="V2155">
        <f t="shared" si="133"/>
        <v>0</v>
      </c>
      <c r="W2155" s="22">
        <f t="shared" si="134"/>
        <v>0</v>
      </c>
    </row>
    <row r="2156" spans="1:23" hidden="1" x14ac:dyDescent="0.25">
      <c r="A2156" s="3">
        <v>46005</v>
      </c>
      <c r="B2156" s="4" t="s">
        <v>334</v>
      </c>
      <c r="C2156" s="4" t="s">
        <v>690</v>
      </c>
      <c r="D2156" s="4"/>
      <c r="E2156" s="4"/>
      <c r="F2156" s="4" t="s">
        <v>1256</v>
      </c>
      <c r="G2156" s="4" t="s">
        <v>336</v>
      </c>
      <c r="H2156" s="4" t="s">
        <v>289</v>
      </c>
      <c r="I2156" s="4">
        <v>0.442</v>
      </c>
      <c r="J2156" s="21">
        <v>340</v>
      </c>
      <c r="K2156" s="21">
        <v>0</v>
      </c>
      <c r="L2156" s="5">
        <v>0</v>
      </c>
      <c r="M2156" s="4"/>
      <c r="N2156" s="4"/>
      <c r="O2156" s="5"/>
      <c r="P2156" s="5"/>
      <c r="Q2156" s="21">
        <v>150.28</v>
      </c>
      <c r="R2156" s="21">
        <v>0</v>
      </c>
      <c r="S2156" s="5">
        <f t="shared" si="135"/>
        <v>43476.567120151994</v>
      </c>
      <c r="T2156" cm="1">
        <f t="array" ref="T2156">IF(OR(B2156="MAL ALIMI", B2156="ÜRETİM GİRİŞ"), MIN(I2156, MAX(0, I2156 + SUM(SUMIFS($I$1:I2155, $C$1:C2155, C2156, $B$1:B2155, {"MAL ALIMI","ÜRETİM GİRİŞ"})) - VLOOKUP(C2156, 'STOK RAPORU'!$C$2:$I$1000, 4, 0))), 0)</f>
        <v>0</v>
      </c>
      <c r="U2156" s="22">
        <f t="shared" si="132"/>
        <v>0</v>
      </c>
      <c r="V2156">
        <f t="shared" si="133"/>
        <v>0</v>
      </c>
      <c r="W2156" s="22">
        <f t="shared" si="134"/>
        <v>0</v>
      </c>
    </row>
    <row r="2157" spans="1:23" hidden="1" x14ac:dyDescent="0.25">
      <c r="A2157" s="3">
        <v>46005</v>
      </c>
      <c r="B2157" s="4" t="s">
        <v>334</v>
      </c>
      <c r="C2157" s="4" t="s">
        <v>158</v>
      </c>
      <c r="D2157" s="4"/>
      <c r="E2157" s="4"/>
      <c r="F2157" s="4" t="s">
        <v>1256</v>
      </c>
      <c r="G2157" s="4" t="s">
        <v>336</v>
      </c>
      <c r="H2157" s="4" t="s">
        <v>289</v>
      </c>
      <c r="I2157" s="4">
        <v>1</v>
      </c>
      <c r="J2157" s="21">
        <v>130</v>
      </c>
      <c r="K2157" s="21">
        <v>0</v>
      </c>
      <c r="L2157" s="5">
        <v>0</v>
      </c>
      <c r="M2157" s="4"/>
      <c r="N2157" s="4"/>
      <c r="O2157" s="5"/>
      <c r="P2157" s="5"/>
      <c r="Q2157" s="21">
        <v>130</v>
      </c>
      <c r="R2157" s="21">
        <v>0</v>
      </c>
      <c r="S2157" s="5">
        <f t="shared" si="135"/>
        <v>43606.567120151994</v>
      </c>
      <c r="T2157" cm="1">
        <f t="array" ref="T2157">IF(OR(B2157="MAL ALIMI", B2157="ÜRETİM GİRİŞ"), MIN(I2157, MAX(0, I2157 + SUM(SUMIFS($I$1:I2156, $C$1:C2156, C2157, $B$1:B2156, {"MAL ALIMI","ÜRETİM GİRİŞ"})) - VLOOKUP(C2157, 'STOK RAPORU'!$C$2:$I$1000, 4, 0))), 0)</f>
        <v>0</v>
      </c>
      <c r="U2157" s="22">
        <f t="shared" si="132"/>
        <v>0</v>
      </c>
      <c r="V2157">
        <f t="shared" si="133"/>
        <v>0</v>
      </c>
      <c r="W2157" s="22">
        <f t="shared" si="134"/>
        <v>0</v>
      </c>
    </row>
    <row r="2158" spans="1:23" hidden="1" x14ac:dyDescent="0.25">
      <c r="A2158" s="3">
        <v>46005</v>
      </c>
      <c r="B2158" s="4" t="s">
        <v>334</v>
      </c>
      <c r="C2158" s="4" t="s">
        <v>156</v>
      </c>
      <c r="D2158" s="4"/>
      <c r="E2158" s="4"/>
      <c r="F2158" s="4" t="s">
        <v>1256</v>
      </c>
      <c r="G2158" s="4" t="s">
        <v>336</v>
      </c>
      <c r="H2158" s="4" t="s">
        <v>289</v>
      </c>
      <c r="I2158" s="4">
        <v>1</v>
      </c>
      <c r="J2158" s="21">
        <v>180</v>
      </c>
      <c r="K2158" s="21">
        <v>0</v>
      </c>
      <c r="L2158" s="5">
        <v>0</v>
      </c>
      <c r="M2158" s="4"/>
      <c r="N2158" s="4"/>
      <c r="O2158" s="5"/>
      <c r="P2158" s="5"/>
      <c r="Q2158" s="21">
        <v>180</v>
      </c>
      <c r="R2158" s="21">
        <v>0</v>
      </c>
      <c r="S2158" s="5">
        <f t="shared" si="135"/>
        <v>43786.567120151994</v>
      </c>
      <c r="T2158" cm="1">
        <f t="array" ref="T2158">IF(OR(B2158="MAL ALIMI", B2158="ÜRETİM GİRİŞ"), MIN(I2158, MAX(0, I2158 + SUM(SUMIFS($I$1:I2157, $C$1:C2157, C2158, $B$1:B2157, {"MAL ALIMI","ÜRETİM GİRİŞ"})) - VLOOKUP(C2158, 'STOK RAPORU'!$C$2:$I$1000, 4, 0))), 0)</f>
        <v>0</v>
      </c>
      <c r="U2158" s="22">
        <f t="shared" si="132"/>
        <v>0</v>
      </c>
      <c r="V2158">
        <f t="shared" si="133"/>
        <v>0</v>
      </c>
      <c r="W2158" s="22">
        <f t="shared" si="134"/>
        <v>0</v>
      </c>
    </row>
    <row r="2159" spans="1:23" hidden="1" x14ac:dyDescent="0.25">
      <c r="A2159" s="3">
        <v>46005</v>
      </c>
      <c r="B2159" s="4" t="s">
        <v>334</v>
      </c>
      <c r="C2159" s="4" t="s">
        <v>823</v>
      </c>
      <c r="D2159" s="4"/>
      <c r="E2159" s="4" t="s">
        <v>921</v>
      </c>
      <c r="F2159" s="4" t="s">
        <v>1257</v>
      </c>
      <c r="G2159" s="4" t="s">
        <v>336</v>
      </c>
      <c r="H2159" s="4" t="s">
        <v>380</v>
      </c>
      <c r="I2159" s="4">
        <v>1</v>
      </c>
      <c r="J2159" s="21">
        <v>125</v>
      </c>
      <c r="K2159" s="21">
        <v>125</v>
      </c>
      <c r="L2159" s="5">
        <v>0</v>
      </c>
      <c r="M2159" s="4"/>
      <c r="N2159" s="4"/>
      <c r="O2159" s="5"/>
      <c r="P2159" s="5"/>
      <c r="Q2159" s="21">
        <v>0</v>
      </c>
      <c r="R2159" s="21">
        <v>0</v>
      </c>
      <c r="S2159" s="5">
        <f t="shared" si="135"/>
        <v>43786.567120151994</v>
      </c>
      <c r="T2159" cm="1">
        <f t="array" ref="T2159">IF(OR(B2159="MAL ALIMI", B2159="ÜRETİM GİRİŞ"), MIN(I2159, MAX(0, I2159 + SUM(SUMIFS($I$1:I2158, $C$1:C2158, C2159, $B$1:B2158, {"MAL ALIMI","ÜRETİM GİRİŞ"})) - VLOOKUP(C2159, 'STOK RAPORU'!$C$2:$I$1000, 4, 0))), 0)</f>
        <v>0</v>
      </c>
      <c r="U2159" s="22">
        <f t="shared" si="132"/>
        <v>0</v>
      </c>
      <c r="V2159">
        <f t="shared" si="133"/>
        <v>0</v>
      </c>
      <c r="W2159" s="22">
        <f t="shared" si="134"/>
        <v>0</v>
      </c>
    </row>
    <row r="2160" spans="1:23" hidden="1" x14ac:dyDescent="0.25">
      <c r="A2160" s="3">
        <v>46005</v>
      </c>
      <c r="B2160" s="4" t="s">
        <v>334</v>
      </c>
      <c r="C2160" s="4" t="s">
        <v>60</v>
      </c>
      <c r="D2160" s="4"/>
      <c r="E2160" s="4" t="s">
        <v>921</v>
      </c>
      <c r="F2160" s="4" t="s">
        <v>1257</v>
      </c>
      <c r="G2160" s="4" t="s">
        <v>336</v>
      </c>
      <c r="H2160" s="4" t="s">
        <v>380</v>
      </c>
      <c r="I2160" s="4">
        <v>0.05</v>
      </c>
      <c r="J2160" s="21">
        <v>1200</v>
      </c>
      <c r="K2160" s="21">
        <v>60</v>
      </c>
      <c r="L2160" s="5">
        <v>0</v>
      </c>
      <c r="M2160" s="4"/>
      <c r="N2160" s="4"/>
      <c r="O2160" s="5"/>
      <c r="P2160" s="5"/>
      <c r="Q2160" s="21">
        <v>0</v>
      </c>
      <c r="R2160" s="21">
        <v>0</v>
      </c>
      <c r="S2160" s="5">
        <f t="shared" si="135"/>
        <v>43786.567120151994</v>
      </c>
      <c r="T2160" cm="1">
        <f t="array" ref="T2160">IF(OR(B2160="MAL ALIMI", B2160="ÜRETİM GİRİŞ"), MIN(I2160, MAX(0, I2160 + SUM(SUMIFS($I$1:I2159, $C$1:C2159, C2160, $B$1:B2159, {"MAL ALIMI","ÜRETİM GİRİŞ"})) - VLOOKUP(C2160, 'STOK RAPORU'!$C$2:$I$1000, 4, 0))), 0)</f>
        <v>0</v>
      </c>
      <c r="U2160" s="22">
        <f t="shared" si="132"/>
        <v>0</v>
      </c>
      <c r="V2160">
        <f t="shared" si="133"/>
        <v>0</v>
      </c>
      <c r="W2160" s="22">
        <f t="shared" si="134"/>
        <v>0</v>
      </c>
    </row>
    <row r="2161" spans="1:23" hidden="1" x14ac:dyDescent="0.25">
      <c r="A2161" s="3">
        <v>46005</v>
      </c>
      <c r="B2161" s="4" t="s">
        <v>334</v>
      </c>
      <c r="C2161" s="4" t="s">
        <v>1024</v>
      </c>
      <c r="D2161" s="4"/>
      <c r="E2161" s="4" t="s">
        <v>921</v>
      </c>
      <c r="F2161" s="4" t="s">
        <v>1257</v>
      </c>
      <c r="G2161" s="4" t="s">
        <v>336</v>
      </c>
      <c r="H2161" s="4" t="s">
        <v>380</v>
      </c>
      <c r="I2161" s="4">
        <v>1.2</v>
      </c>
      <c r="J2161" s="21">
        <v>65</v>
      </c>
      <c r="K2161" s="21">
        <v>78</v>
      </c>
      <c r="L2161" s="5">
        <v>0</v>
      </c>
      <c r="M2161" s="4"/>
      <c r="N2161" s="4"/>
      <c r="O2161" s="5"/>
      <c r="P2161" s="5"/>
      <c r="Q2161" s="21">
        <v>0</v>
      </c>
      <c r="R2161" s="21">
        <v>0</v>
      </c>
      <c r="S2161" s="5">
        <f t="shared" si="135"/>
        <v>43786.567120151994</v>
      </c>
      <c r="T2161" cm="1">
        <f t="array" ref="T2161">IF(OR(B2161="MAL ALIMI", B2161="ÜRETİM GİRİŞ"), MIN(I2161, MAX(0, I2161 + SUM(SUMIFS($I$1:I2160, $C$1:C2160, C2161, $B$1:B2160, {"MAL ALIMI","ÜRETİM GİRİŞ"})) - VLOOKUP(C2161, 'STOK RAPORU'!$C$2:$I$1000, 4, 0))), 0)</f>
        <v>0</v>
      </c>
      <c r="U2161" s="22">
        <f t="shared" si="132"/>
        <v>0</v>
      </c>
      <c r="V2161">
        <f t="shared" si="133"/>
        <v>0</v>
      </c>
      <c r="W2161" s="22">
        <f t="shared" si="134"/>
        <v>0</v>
      </c>
    </row>
    <row r="2162" spans="1:23" hidden="1" x14ac:dyDescent="0.25">
      <c r="A2162" s="3">
        <v>46005</v>
      </c>
      <c r="B2162" s="4" t="s">
        <v>334</v>
      </c>
      <c r="C2162" s="4" t="s">
        <v>649</v>
      </c>
      <c r="D2162" s="4"/>
      <c r="E2162" s="4" t="s">
        <v>921</v>
      </c>
      <c r="F2162" s="4" t="s">
        <v>1258</v>
      </c>
      <c r="G2162" s="4" t="s">
        <v>336</v>
      </c>
      <c r="H2162" s="4" t="s">
        <v>380</v>
      </c>
      <c r="I2162" s="4">
        <v>1</v>
      </c>
      <c r="J2162" s="21">
        <v>350</v>
      </c>
      <c r="K2162" s="21">
        <v>350</v>
      </c>
      <c r="L2162" s="5">
        <v>0</v>
      </c>
      <c r="M2162" s="4"/>
      <c r="N2162" s="4"/>
      <c r="O2162" s="5"/>
      <c r="P2162" s="5"/>
      <c r="Q2162" s="21">
        <v>0</v>
      </c>
      <c r="R2162" s="21">
        <v>0</v>
      </c>
      <c r="S2162" s="5">
        <f t="shared" si="135"/>
        <v>43786.567120151994</v>
      </c>
      <c r="T2162" cm="1">
        <f t="array" ref="T2162">IF(OR(B2162="MAL ALIMI", B2162="ÜRETİM GİRİŞ"), MIN(I2162, MAX(0, I2162 + SUM(SUMIFS($I$1:I2161, $C$1:C2161, C2162, $B$1:B2161, {"MAL ALIMI","ÜRETİM GİRİŞ"})) - VLOOKUP(C2162, 'STOK RAPORU'!$C$2:$I$1000, 4, 0))), 0)</f>
        <v>0</v>
      </c>
      <c r="U2162" s="22">
        <f t="shared" si="132"/>
        <v>0</v>
      </c>
      <c r="V2162">
        <f t="shared" si="133"/>
        <v>0</v>
      </c>
      <c r="W2162" s="22">
        <f t="shared" si="134"/>
        <v>0</v>
      </c>
    </row>
    <row r="2163" spans="1:23" hidden="1" x14ac:dyDescent="0.25">
      <c r="A2163" s="3">
        <v>46005</v>
      </c>
      <c r="B2163" s="4" t="s">
        <v>334</v>
      </c>
      <c r="C2163" s="4" t="s">
        <v>161</v>
      </c>
      <c r="D2163" s="4"/>
      <c r="E2163" s="4" t="s">
        <v>921</v>
      </c>
      <c r="F2163" s="4" t="s">
        <v>1259</v>
      </c>
      <c r="G2163" s="4" t="s">
        <v>336</v>
      </c>
      <c r="H2163" s="4" t="s">
        <v>380</v>
      </c>
      <c r="I2163" s="4">
        <v>1</v>
      </c>
      <c r="J2163" s="21">
        <v>200</v>
      </c>
      <c r="K2163" s="21">
        <v>200</v>
      </c>
      <c r="L2163" s="5">
        <v>0</v>
      </c>
      <c r="M2163" s="4"/>
      <c r="N2163" s="4"/>
      <c r="O2163" s="5"/>
      <c r="P2163" s="5"/>
      <c r="Q2163" s="21">
        <v>0</v>
      </c>
      <c r="R2163" s="21">
        <v>0</v>
      </c>
      <c r="S2163" s="5">
        <f t="shared" si="135"/>
        <v>43786.567120151994</v>
      </c>
      <c r="T2163" cm="1">
        <f t="array" ref="T2163">IF(OR(B2163="MAL ALIMI", B2163="ÜRETİM GİRİŞ"), MIN(I2163, MAX(0, I2163 + SUM(SUMIFS($I$1:I2162, $C$1:C2162, C2163, $B$1:B2162, {"MAL ALIMI","ÜRETİM GİRİŞ"})) - VLOOKUP(C2163, 'STOK RAPORU'!$C$2:$I$1000, 4, 0))), 0)</f>
        <v>0</v>
      </c>
      <c r="U2163" s="22">
        <f t="shared" si="132"/>
        <v>0</v>
      </c>
      <c r="V2163">
        <f t="shared" si="133"/>
        <v>0</v>
      </c>
      <c r="W2163" s="22">
        <f t="shared" si="134"/>
        <v>0</v>
      </c>
    </row>
    <row r="2164" spans="1:23" hidden="1" x14ac:dyDescent="0.25">
      <c r="A2164" s="3">
        <v>46005</v>
      </c>
      <c r="B2164" s="4" t="s">
        <v>334</v>
      </c>
      <c r="C2164" s="4" t="s">
        <v>160</v>
      </c>
      <c r="D2164" s="4"/>
      <c r="E2164" s="4" t="s">
        <v>921</v>
      </c>
      <c r="F2164" s="4" t="s">
        <v>1259</v>
      </c>
      <c r="G2164" s="4" t="s">
        <v>336</v>
      </c>
      <c r="H2164" s="4" t="s">
        <v>380</v>
      </c>
      <c r="I2164" s="4">
        <v>1</v>
      </c>
      <c r="J2164" s="21">
        <v>240</v>
      </c>
      <c r="K2164" s="21">
        <v>240</v>
      </c>
      <c r="L2164" s="5">
        <v>0</v>
      </c>
      <c r="M2164" s="4"/>
      <c r="N2164" s="4"/>
      <c r="O2164" s="5"/>
      <c r="P2164" s="5"/>
      <c r="Q2164" s="21">
        <v>0</v>
      </c>
      <c r="R2164" s="21">
        <v>0</v>
      </c>
      <c r="S2164" s="5">
        <f t="shared" si="135"/>
        <v>43786.567120151994</v>
      </c>
      <c r="T2164" cm="1">
        <f t="array" ref="T2164">IF(OR(B2164="MAL ALIMI", B2164="ÜRETİM GİRİŞ"), MIN(I2164, MAX(0, I2164 + SUM(SUMIFS($I$1:I2163, $C$1:C2163, C2164, $B$1:B2163, {"MAL ALIMI","ÜRETİM GİRİŞ"})) - VLOOKUP(C2164, 'STOK RAPORU'!$C$2:$I$1000, 4, 0))), 0)</f>
        <v>0</v>
      </c>
      <c r="U2164" s="22">
        <f t="shared" si="132"/>
        <v>0</v>
      </c>
      <c r="V2164">
        <f t="shared" si="133"/>
        <v>0</v>
      </c>
      <c r="W2164" s="22">
        <f t="shared" si="134"/>
        <v>0</v>
      </c>
    </row>
    <row r="2165" spans="1:23" hidden="1" x14ac:dyDescent="0.25">
      <c r="A2165" s="3">
        <v>46005</v>
      </c>
      <c r="B2165" s="4" t="s">
        <v>334</v>
      </c>
      <c r="C2165" s="4" t="s">
        <v>60</v>
      </c>
      <c r="D2165" s="4"/>
      <c r="E2165" s="4" t="s">
        <v>921</v>
      </c>
      <c r="F2165" s="4" t="s">
        <v>1259</v>
      </c>
      <c r="G2165" s="4" t="s">
        <v>336</v>
      </c>
      <c r="H2165" s="4" t="s">
        <v>380</v>
      </c>
      <c r="I2165" s="4">
        <v>0.05</v>
      </c>
      <c r="J2165" s="21">
        <v>1200</v>
      </c>
      <c r="K2165" s="21">
        <v>60</v>
      </c>
      <c r="L2165" s="5">
        <v>0</v>
      </c>
      <c r="M2165" s="4"/>
      <c r="N2165" s="4"/>
      <c r="O2165" s="5"/>
      <c r="P2165" s="5"/>
      <c r="Q2165" s="21">
        <v>0</v>
      </c>
      <c r="R2165" s="21">
        <v>0</v>
      </c>
      <c r="S2165" s="5">
        <f t="shared" si="135"/>
        <v>43786.567120151994</v>
      </c>
      <c r="T2165" cm="1">
        <f t="array" ref="T2165">IF(OR(B2165="MAL ALIMI", B2165="ÜRETİM GİRİŞ"), MIN(I2165, MAX(0, I2165 + SUM(SUMIFS($I$1:I2164, $C$1:C2164, C2165, $B$1:B2164, {"MAL ALIMI","ÜRETİM GİRİŞ"})) - VLOOKUP(C2165, 'STOK RAPORU'!$C$2:$I$1000, 4, 0))), 0)</f>
        <v>0</v>
      </c>
      <c r="U2165" s="22">
        <f t="shared" si="132"/>
        <v>0</v>
      </c>
      <c r="V2165">
        <f t="shared" si="133"/>
        <v>0</v>
      </c>
      <c r="W2165" s="22">
        <f t="shared" si="134"/>
        <v>0</v>
      </c>
    </row>
    <row r="2166" spans="1:23" hidden="1" x14ac:dyDescent="0.25">
      <c r="A2166" s="3">
        <v>46005</v>
      </c>
      <c r="B2166" s="4" t="s">
        <v>334</v>
      </c>
      <c r="C2166" s="4" t="s">
        <v>156</v>
      </c>
      <c r="D2166" s="4"/>
      <c r="E2166" s="4" t="s">
        <v>921</v>
      </c>
      <c r="F2166" s="4" t="s">
        <v>1259</v>
      </c>
      <c r="G2166" s="4" t="s">
        <v>336</v>
      </c>
      <c r="H2166" s="4" t="s">
        <v>380</v>
      </c>
      <c r="I2166" s="4">
        <v>0.5</v>
      </c>
      <c r="J2166" s="21">
        <v>180</v>
      </c>
      <c r="K2166" s="21">
        <v>90</v>
      </c>
      <c r="L2166" s="5">
        <v>0</v>
      </c>
      <c r="M2166" s="4"/>
      <c r="N2166" s="4"/>
      <c r="O2166" s="5"/>
      <c r="P2166" s="5"/>
      <c r="Q2166" s="21">
        <v>0</v>
      </c>
      <c r="R2166" s="21">
        <v>0</v>
      </c>
      <c r="S2166" s="5">
        <f t="shared" si="135"/>
        <v>43786.567120151994</v>
      </c>
      <c r="T2166" cm="1">
        <f t="array" ref="T2166">IF(OR(B2166="MAL ALIMI", B2166="ÜRETİM GİRİŞ"), MIN(I2166, MAX(0, I2166 + SUM(SUMIFS($I$1:I2165, $C$1:C2165, C2166, $B$1:B2165, {"MAL ALIMI","ÜRETİM GİRİŞ"})) - VLOOKUP(C2166, 'STOK RAPORU'!$C$2:$I$1000, 4, 0))), 0)</f>
        <v>0</v>
      </c>
      <c r="U2166" s="22">
        <f t="shared" si="132"/>
        <v>0</v>
      </c>
      <c r="V2166">
        <f t="shared" si="133"/>
        <v>0</v>
      </c>
      <c r="W2166" s="22">
        <f t="shared" si="134"/>
        <v>0</v>
      </c>
    </row>
    <row r="2167" spans="1:23" hidden="1" x14ac:dyDescent="0.25">
      <c r="A2167" s="3">
        <v>46005</v>
      </c>
      <c r="B2167" s="4" t="s">
        <v>334</v>
      </c>
      <c r="C2167" s="4" t="s">
        <v>202</v>
      </c>
      <c r="D2167" s="4"/>
      <c r="E2167" s="4"/>
      <c r="F2167" s="4" t="s">
        <v>1260</v>
      </c>
      <c r="G2167" s="4" t="s">
        <v>336</v>
      </c>
      <c r="H2167" s="4" t="s">
        <v>289</v>
      </c>
      <c r="I2167" s="4">
        <v>1</v>
      </c>
      <c r="J2167" s="4">
        <v>80</v>
      </c>
      <c r="K2167" s="4">
        <v>0</v>
      </c>
      <c r="L2167" s="4">
        <v>0</v>
      </c>
      <c r="M2167" s="4"/>
      <c r="N2167" s="4"/>
      <c r="O2167" s="4"/>
      <c r="P2167" s="4"/>
      <c r="Q2167" s="4">
        <v>80</v>
      </c>
      <c r="R2167" s="4">
        <v>0</v>
      </c>
      <c r="S2167" s="5">
        <f t="shared" si="135"/>
        <v>43866.567120151994</v>
      </c>
      <c r="T2167" cm="1">
        <f t="array" ref="T2167">IF(OR(B2167="MAL ALIMI", B2167="ÜRETİM GİRİŞ"), MIN(I2167, MAX(0, I2167 + SUM(SUMIFS($I$1:I2166, $C$1:C2166, C2167, $B$1:B2166, {"MAL ALIMI","ÜRETİM GİRİŞ"})) - VLOOKUP(C2167, 'STOK RAPORU'!$C$2:$I$1000, 4, 0))), 0)</f>
        <v>0</v>
      </c>
      <c r="U2167" s="22">
        <f t="shared" si="132"/>
        <v>0</v>
      </c>
      <c r="V2167">
        <f t="shared" si="133"/>
        <v>0</v>
      </c>
      <c r="W2167" s="22">
        <f t="shared" si="134"/>
        <v>0</v>
      </c>
    </row>
    <row r="2168" spans="1:23" hidden="1" x14ac:dyDescent="0.25">
      <c r="A2168" s="3">
        <v>46005</v>
      </c>
      <c r="B2168" s="4" t="s">
        <v>334</v>
      </c>
      <c r="C2168" s="4" t="s">
        <v>158</v>
      </c>
      <c r="D2168" s="4"/>
      <c r="E2168" s="4"/>
      <c r="F2168" s="4" t="s">
        <v>1260</v>
      </c>
      <c r="G2168" s="4" t="s">
        <v>336</v>
      </c>
      <c r="H2168" s="4" t="s">
        <v>289</v>
      </c>
      <c r="I2168" s="4">
        <v>1</v>
      </c>
      <c r="J2168" s="4">
        <v>150</v>
      </c>
      <c r="K2168" s="4">
        <v>0</v>
      </c>
      <c r="L2168" s="4">
        <v>0</v>
      </c>
      <c r="M2168" s="4"/>
      <c r="N2168" s="4"/>
      <c r="O2168" s="4"/>
      <c r="P2168" s="4"/>
      <c r="Q2168" s="4">
        <v>150</v>
      </c>
      <c r="R2168" s="4">
        <v>0</v>
      </c>
      <c r="S2168" s="5">
        <f t="shared" si="135"/>
        <v>44016.567120151994</v>
      </c>
      <c r="T2168" cm="1">
        <f t="array" ref="T2168">IF(OR(B2168="MAL ALIMI", B2168="ÜRETİM GİRİŞ"), MIN(I2168, MAX(0, I2168 + SUM(SUMIFS($I$1:I2167, $C$1:C2167, C2168, $B$1:B2167, {"MAL ALIMI","ÜRETİM GİRİŞ"})) - VLOOKUP(C2168, 'STOK RAPORU'!$C$2:$I$1000, 4, 0))), 0)</f>
        <v>0</v>
      </c>
      <c r="U2168" s="22">
        <f t="shared" si="132"/>
        <v>0</v>
      </c>
      <c r="V2168">
        <f t="shared" si="133"/>
        <v>0</v>
      </c>
      <c r="W2168" s="22">
        <f t="shared" si="134"/>
        <v>0</v>
      </c>
    </row>
    <row r="2169" spans="1:23" hidden="1" x14ac:dyDescent="0.25">
      <c r="A2169" s="3">
        <v>46005</v>
      </c>
      <c r="B2169" s="4" t="s">
        <v>334</v>
      </c>
      <c r="C2169" s="4" t="s">
        <v>157</v>
      </c>
      <c r="D2169" s="4"/>
      <c r="E2169" s="4"/>
      <c r="F2169" s="4" t="s">
        <v>1260</v>
      </c>
      <c r="G2169" s="4" t="s">
        <v>336</v>
      </c>
      <c r="H2169" s="4" t="s">
        <v>289</v>
      </c>
      <c r="I2169" s="4">
        <v>1</v>
      </c>
      <c r="J2169" s="4">
        <v>200</v>
      </c>
      <c r="K2169" s="4">
        <v>0</v>
      </c>
      <c r="L2169" s="4">
        <v>0</v>
      </c>
      <c r="M2169" s="4"/>
      <c r="N2169" s="4"/>
      <c r="O2169" s="4"/>
      <c r="P2169" s="4"/>
      <c r="Q2169" s="4">
        <v>200</v>
      </c>
      <c r="R2169" s="4">
        <v>0</v>
      </c>
      <c r="S2169" s="5">
        <f t="shared" si="135"/>
        <v>44216.567120151994</v>
      </c>
      <c r="T2169" cm="1">
        <f t="array" ref="T2169">IF(OR(B2169="MAL ALIMI", B2169="ÜRETİM GİRİŞ"), MIN(I2169, MAX(0, I2169 + SUM(SUMIFS($I$1:I2168, $C$1:C2168, C2169, $B$1:B2168, {"MAL ALIMI","ÜRETİM GİRİŞ"})) - VLOOKUP(C2169, 'STOK RAPORU'!$C$2:$I$1000, 4, 0))), 0)</f>
        <v>0</v>
      </c>
      <c r="U2169" s="22">
        <f t="shared" si="132"/>
        <v>0</v>
      </c>
      <c r="V2169">
        <f t="shared" si="133"/>
        <v>0</v>
      </c>
      <c r="W2169" s="22">
        <f t="shared" si="134"/>
        <v>0</v>
      </c>
    </row>
    <row r="2170" spans="1:23" hidden="1" x14ac:dyDescent="0.25">
      <c r="A2170" s="3">
        <v>46005</v>
      </c>
      <c r="B2170" s="4" t="s">
        <v>334</v>
      </c>
      <c r="C2170" s="4" t="s">
        <v>597</v>
      </c>
      <c r="D2170" s="4"/>
      <c r="E2170" s="4"/>
      <c r="F2170" s="4" t="s">
        <v>1260</v>
      </c>
      <c r="G2170" s="4" t="s">
        <v>336</v>
      </c>
      <c r="H2170" s="4" t="s">
        <v>289</v>
      </c>
      <c r="I2170" s="4">
        <v>1</v>
      </c>
      <c r="J2170" s="4">
        <v>290</v>
      </c>
      <c r="K2170" s="4">
        <v>0</v>
      </c>
      <c r="L2170" s="4">
        <v>0</v>
      </c>
      <c r="M2170" s="4"/>
      <c r="N2170" s="4"/>
      <c r="O2170" s="4"/>
      <c r="P2170" s="4"/>
      <c r="Q2170" s="4">
        <v>290</v>
      </c>
      <c r="R2170" s="4">
        <v>0</v>
      </c>
      <c r="S2170" s="5">
        <f t="shared" si="135"/>
        <v>44506.567120151994</v>
      </c>
      <c r="T2170" cm="1">
        <f t="array" ref="T2170">IF(OR(B2170="MAL ALIMI", B2170="ÜRETİM GİRİŞ"), MIN(I2170, MAX(0, I2170 + SUM(SUMIFS($I$1:I2169, $C$1:C2169, C2170, $B$1:B2169, {"MAL ALIMI","ÜRETİM GİRİŞ"})) - VLOOKUP(C2170, 'STOK RAPORU'!$C$2:$I$1000, 4, 0))), 0)</f>
        <v>0</v>
      </c>
      <c r="U2170" s="22">
        <f t="shared" si="132"/>
        <v>0</v>
      </c>
      <c r="V2170">
        <f t="shared" si="133"/>
        <v>0</v>
      </c>
      <c r="W2170" s="22">
        <f t="shared" si="134"/>
        <v>0</v>
      </c>
    </row>
    <row r="2171" spans="1:23" hidden="1" x14ac:dyDescent="0.25">
      <c r="A2171" s="3">
        <v>46005</v>
      </c>
      <c r="B2171" s="4" t="s">
        <v>334</v>
      </c>
      <c r="C2171" s="4" t="s">
        <v>203</v>
      </c>
      <c r="D2171" s="4"/>
      <c r="E2171" s="4"/>
      <c r="F2171" s="4" t="s">
        <v>1268</v>
      </c>
      <c r="G2171" s="4" t="s">
        <v>336</v>
      </c>
      <c r="H2171" s="4" t="s">
        <v>289</v>
      </c>
      <c r="I2171" s="4">
        <v>0.5</v>
      </c>
      <c r="J2171" s="21">
        <v>80</v>
      </c>
      <c r="K2171" s="21">
        <v>0</v>
      </c>
      <c r="L2171" s="5">
        <v>0</v>
      </c>
      <c r="M2171" s="4"/>
      <c r="N2171" s="4"/>
      <c r="O2171" s="5"/>
      <c r="P2171" s="5"/>
      <c r="Q2171" s="21">
        <v>40</v>
      </c>
      <c r="R2171" s="21">
        <v>0</v>
      </c>
      <c r="S2171" s="5">
        <f t="shared" si="135"/>
        <v>44546.567120151994</v>
      </c>
      <c r="T2171" cm="1">
        <f t="array" ref="T2171">IF(OR(B2171="MAL ALIMI", B2171="ÜRETİM GİRİŞ"), MIN(I2171, MAX(0, I2171 + SUM(SUMIFS($I$1:I2170, $C$1:C2170, C2171, $B$1:B2170, {"MAL ALIMI","ÜRETİM GİRİŞ"})) - VLOOKUP(C2171, 'STOK RAPORU'!$C$2:$I$1000, 4, 0))), 0)</f>
        <v>0</v>
      </c>
      <c r="U2171" s="22">
        <f t="shared" si="132"/>
        <v>0</v>
      </c>
      <c r="V2171">
        <f t="shared" si="133"/>
        <v>0</v>
      </c>
      <c r="W2171" s="22">
        <f t="shared" si="134"/>
        <v>0</v>
      </c>
    </row>
    <row r="2172" spans="1:23" hidden="1" x14ac:dyDescent="0.25">
      <c r="A2172" s="37">
        <v>46005</v>
      </c>
      <c r="B2172" s="38" t="s">
        <v>334</v>
      </c>
      <c r="C2172" s="38" t="s">
        <v>202</v>
      </c>
      <c r="D2172" s="38"/>
      <c r="E2172" s="38"/>
      <c r="F2172" s="38" t="s">
        <v>1433</v>
      </c>
      <c r="G2172" s="38" t="s">
        <v>336</v>
      </c>
      <c r="H2172" s="38" t="s">
        <v>289</v>
      </c>
      <c r="I2172" s="38">
        <v>1.5</v>
      </c>
      <c r="J2172" s="39">
        <v>80</v>
      </c>
      <c r="K2172" s="39">
        <v>0</v>
      </c>
      <c r="L2172" s="40">
        <v>0</v>
      </c>
      <c r="M2172" s="38"/>
      <c r="N2172" s="38"/>
      <c r="O2172" s="40"/>
      <c r="P2172" s="40"/>
      <c r="Q2172" s="39">
        <v>120</v>
      </c>
      <c r="R2172" s="39">
        <v>0</v>
      </c>
      <c r="S2172" s="5">
        <f t="shared" si="135"/>
        <v>44666.567120151994</v>
      </c>
      <c r="T2172" cm="1">
        <f t="array" ref="T2172">IF(OR(B2172="MAL ALIMI", B2172="ÜRETİM GİRİŞ"), MIN(I2172, MAX(0, I2172 + SUM(SUMIFS($I$1:I2171, $C$1:C2171, C2172, $B$1:B2171, {"MAL ALIMI","ÜRETİM GİRİŞ"})) - VLOOKUP(C2172, 'STOK RAPORU'!$C$2:$I$1000, 4, 0))), 0)</f>
        <v>0</v>
      </c>
      <c r="U2172" s="22">
        <f t="shared" si="132"/>
        <v>0</v>
      </c>
      <c r="V2172">
        <f t="shared" si="133"/>
        <v>0</v>
      </c>
      <c r="W2172" s="22">
        <f t="shared" si="134"/>
        <v>0</v>
      </c>
    </row>
    <row r="2173" spans="1:23" hidden="1" x14ac:dyDescent="0.25">
      <c r="A2173" s="37">
        <v>46005</v>
      </c>
      <c r="B2173" s="38" t="s">
        <v>334</v>
      </c>
      <c r="C2173" s="38" t="s">
        <v>91</v>
      </c>
      <c r="D2173" s="38"/>
      <c r="E2173" s="38"/>
      <c r="F2173" s="38" t="s">
        <v>1433</v>
      </c>
      <c r="G2173" s="38" t="s">
        <v>336</v>
      </c>
      <c r="H2173" s="38" t="s">
        <v>289</v>
      </c>
      <c r="I2173" s="38">
        <v>0.25641025641025639</v>
      </c>
      <c r="J2173" s="39">
        <v>780</v>
      </c>
      <c r="K2173" s="39">
        <v>0</v>
      </c>
      <c r="L2173" s="40">
        <v>0</v>
      </c>
      <c r="M2173" s="38"/>
      <c r="N2173" s="38"/>
      <c r="O2173" s="40"/>
      <c r="P2173" s="40"/>
      <c r="Q2173" s="39">
        <v>199.99999999999997</v>
      </c>
      <c r="R2173" s="39">
        <v>0</v>
      </c>
      <c r="S2173" s="5">
        <f t="shared" si="135"/>
        <v>44866.567120151994</v>
      </c>
      <c r="T2173" cm="1">
        <f t="array" ref="T2173">IF(OR(B2173="MAL ALIMI", B2173="ÜRETİM GİRİŞ"), MIN(I2173, MAX(0, I2173 + SUM(SUMIFS($I$1:I2172, $C$1:C2172, C2173, $B$1:B2172, {"MAL ALIMI","ÜRETİM GİRİŞ"})) - VLOOKUP(C2173, 'STOK RAPORU'!$C$2:$I$1000, 4, 0))), 0)</f>
        <v>0</v>
      </c>
      <c r="U2173" s="22">
        <f t="shared" si="132"/>
        <v>0</v>
      </c>
      <c r="V2173">
        <f t="shared" si="133"/>
        <v>0</v>
      </c>
      <c r="W2173" s="22">
        <f t="shared" si="134"/>
        <v>0</v>
      </c>
    </row>
    <row r="2174" spans="1:23" hidden="1" x14ac:dyDescent="0.25">
      <c r="A2174" s="37">
        <v>46005</v>
      </c>
      <c r="B2174" s="38" t="s">
        <v>334</v>
      </c>
      <c r="C2174" s="38" t="s">
        <v>126</v>
      </c>
      <c r="D2174" s="38"/>
      <c r="E2174" s="38"/>
      <c r="F2174" s="38" t="s">
        <v>1433</v>
      </c>
      <c r="G2174" s="38" t="s">
        <v>336</v>
      </c>
      <c r="H2174" s="38" t="s">
        <v>289</v>
      </c>
      <c r="I2174" s="38">
        <v>0.30303030303030304</v>
      </c>
      <c r="J2174" s="39">
        <v>660</v>
      </c>
      <c r="K2174" s="39">
        <v>0</v>
      </c>
      <c r="L2174" s="40">
        <v>0</v>
      </c>
      <c r="M2174" s="38"/>
      <c r="N2174" s="38"/>
      <c r="O2174" s="40"/>
      <c r="P2174" s="40"/>
      <c r="Q2174" s="39">
        <v>200</v>
      </c>
      <c r="R2174" s="39">
        <v>0</v>
      </c>
      <c r="S2174" s="5">
        <f t="shared" si="135"/>
        <v>45066.567120151994</v>
      </c>
      <c r="T2174" cm="1">
        <f t="array" ref="T2174">IF(OR(B2174="MAL ALIMI", B2174="ÜRETİM GİRİŞ"), MIN(I2174, MAX(0, I2174 + SUM(SUMIFS($I$1:I2173, $C$1:C2173, C2174, $B$1:B2173, {"MAL ALIMI","ÜRETİM GİRİŞ"})) - VLOOKUP(C2174, 'STOK RAPORU'!$C$2:$I$1000, 4, 0))), 0)</f>
        <v>0</v>
      </c>
      <c r="U2174" s="22">
        <f t="shared" si="132"/>
        <v>0</v>
      </c>
      <c r="V2174">
        <f t="shared" si="133"/>
        <v>0</v>
      </c>
      <c r="W2174" s="22">
        <f t="shared" si="134"/>
        <v>0</v>
      </c>
    </row>
    <row r="2175" spans="1:23" hidden="1" x14ac:dyDescent="0.25">
      <c r="A2175" s="37">
        <v>46005</v>
      </c>
      <c r="B2175" s="38" t="s">
        <v>334</v>
      </c>
      <c r="C2175" s="38" t="s">
        <v>131</v>
      </c>
      <c r="D2175" s="38"/>
      <c r="E2175" s="38"/>
      <c r="F2175" s="38" t="s">
        <v>1433</v>
      </c>
      <c r="G2175" s="38" t="s">
        <v>336</v>
      </c>
      <c r="H2175" s="38" t="s">
        <v>289</v>
      </c>
      <c r="I2175" s="38">
        <v>0.59523809523809523</v>
      </c>
      <c r="J2175" s="39">
        <v>420</v>
      </c>
      <c r="K2175" s="39">
        <v>0</v>
      </c>
      <c r="L2175" s="40">
        <v>0</v>
      </c>
      <c r="M2175" s="38"/>
      <c r="N2175" s="38"/>
      <c r="O2175" s="40"/>
      <c r="P2175" s="40"/>
      <c r="Q2175" s="39">
        <v>250</v>
      </c>
      <c r="R2175" s="39">
        <v>0</v>
      </c>
      <c r="S2175" s="5">
        <f t="shared" si="135"/>
        <v>45316.567120151994</v>
      </c>
      <c r="T2175" cm="1">
        <f t="array" ref="T2175">IF(OR(B2175="MAL ALIMI", B2175="ÜRETİM GİRİŞ"), MIN(I2175, MAX(0, I2175 + SUM(SUMIFS($I$1:I2174, $C$1:C2174, C2175, $B$1:B2174, {"MAL ALIMI","ÜRETİM GİRİŞ"})) - VLOOKUP(C2175, 'STOK RAPORU'!$C$2:$I$1000, 4, 0))), 0)</f>
        <v>0</v>
      </c>
      <c r="U2175" s="22">
        <f t="shared" si="132"/>
        <v>0</v>
      </c>
      <c r="V2175">
        <f t="shared" si="133"/>
        <v>0</v>
      </c>
      <c r="W2175" s="22">
        <f t="shared" si="134"/>
        <v>0</v>
      </c>
    </row>
    <row r="2176" spans="1:23" hidden="1" x14ac:dyDescent="0.25">
      <c r="A2176" s="37">
        <v>46005</v>
      </c>
      <c r="B2176" s="38" t="s">
        <v>334</v>
      </c>
      <c r="C2176" s="38" t="s">
        <v>158</v>
      </c>
      <c r="D2176" s="38"/>
      <c r="E2176" s="38"/>
      <c r="F2176" s="38" t="s">
        <v>1433</v>
      </c>
      <c r="G2176" s="38" t="s">
        <v>336</v>
      </c>
      <c r="H2176" s="38" t="s">
        <v>289</v>
      </c>
      <c r="I2176" s="38">
        <v>2</v>
      </c>
      <c r="J2176" s="39">
        <v>150</v>
      </c>
      <c r="K2176" s="39">
        <v>0</v>
      </c>
      <c r="L2176" s="40">
        <v>0</v>
      </c>
      <c r="M2176" s="38"/>
      <c r="N2176" s="38"/>
      <c r="O2176" s="40"/>
      <c r="P2176" s="40"/>
      <c r="Q2176" s="39">
        <v>300</v>
      </c>
      <c r="R2176" s="39">
        <v>0</v>
      </c>
      <c r="S2176" s="5">
        <f t="shared" si="135"/>
        <v>45616.567120151994</v>
      </c>
      <c r="T2176" cm="1">
        <f t="array" ref="T2176">IF(OR(B2176="MAL ALIMI", B2176="ÜRETİM GİRİŞ"), MIN(I2176, MAX(0, I2176 + SUM(SUMIFS($I$1:I2175, $C$1:C2175, C2176, $B$1:B2175, {"MAL ALIMI","ÜRETİM GİRİŞ"})) - VLOOKUP(C2176, 'STOK RAPORU'!$C$2:$I$1000, 4, 0))), 0)</f>
        <v>0</v>
      </c>
      <c r="U2176" s="22">
        <f t="shared" si="132"/>
        <v>0</v>
      </c>
      <c r="V2176">
        <f t="shared" si="133"/>
        <v>0</v>
      </c>
      <c r="W2176" s="22">
        <f t="shared" si="134"/>
        <v>0</v>
      </c>
    </row>
    <row r="2177" spans="1:23" hidden="1" x14ac:dyDescent="0.25">
      <c r="A2177" s="3">
        <v>46005</v>
      </c>
      <c r="B2177" s="4" t="s">
        <v>946</v>
      </c>
      <c r="C2177" s="4"/>
      <c r="D2177" s="4"/>
      <c r="E2177" s="4" t="s">
        <v>921</v>
      </c>
      <c r="F2177" s="4"/>
      <c r="G2177" s="4" t="s">
        <v>946</v>
      </c>
      <c r="H2177" s="4" t="s">
        <v>380</v>
      </c>
      <c r="I2177" s="4">
        <v>1</v>
      </c>
      <c r="J2177" s="105">
        <v>450</v>
      </c>
      <c r="K2177" s="21">
        <v>0</v>
      </c>
      <c r="L2177" s="111">
        <v>450</v>
      </c>
      <c r="M2177" s="4"/>
      <c r="N2177" s="4"/>
      <c r="O2177" s="5"/>
      <c r="P2177" s="5"/>
      <c r="Q2177" s="21">
        <v>450</v>
      </c>
      <c r="R2177" s="21">
        <v>0</v>
      </c>
      <c r="S2177" s="5">
        <f t="shared" si="135"/>
        <v>46066.567120151994</v>
      </c>
      <c r="T2177" cm="1">
        <f t="array" ref="T2177">IF(OR(B2177="MAL ALIMI", B2177="ÜRETİM GİRİŞ"), MIN(I2177, MAX(0, I2177 + SUM(SUMIFS($I$1:I2176, $C$1:C2176, C2177, $B$1:B2176, {"MAL ALIMI","ÜRETİM GİRİŞ"})) - VLOOKUP(C2177, 'STOK RAPORU'!$C$2:$I$1000, 4, 0))), 0)</f>
        <v>0</v>
      </c>
      <c r="U2177" s="22">
        <f t="shared" si="132"/>
        <v>0</v>
      </c>
      <c r="V2177">
        <f t="shared" si="133"/>
        <v>0</v>
      </c>
      <c r="W2177" s="22">
        <f t="shared" si="134"/>
        <v>0</v>
      </c>
    </row>
    <row r="2178" spans="1:23" hidden="1" x14ac:dyDescent="0.25">
      <c r="A2178" s="3">
        <v>46005</v>
      </c>
      <c r="B2178" s="4" t="s">
        <v>946</v>
      </c>
      <c r="C2178" s="4"/>
      <c r="D2178" s="4"/>
      <c r="E2178" s="4" t="s">
        <v>921</v>
      </c>
      <c r="F2178" s="4"/>
      <c r="G2178" s="4" t="s">
        <v>946</v>
      </c>
      <c r="H2178" s="4" t="s">
        <v>380</v>
      </c>
      <c r="I2178" s="4">
        <v>1</v>
      </c>
      <c r="J2178" s="105">
        <v>944</v>
      </c>
      <c r="K2178" s="21">
        <v>0</v>
      </c>
      <c r="L2178" s="111">
        <v>944</v>
      </c>
      <c r="M2178" s="4"/>
      <c r="N2178" s="4"/>
      <c r="O2178" s="5"/>
      <c r="P2178" s="5"/>
      <c r="Q2178" s="21">
        <v>944</v>
      </c>
      <c r="R2178" s="21">
        <v>0</v>
      </c>
      <c r="S2178" s="5">
        <f t="shared" si="135"/>
        <v>47010.567120151994</v>
      </c>
      <c r="T2178" cm="1">
        <f t="array" ref="T2178">IF(OR(B2178="MAL ALIMI", B2178="ÜRETİM GİRİŞ"), MIN(I2178, MAX(0, I2178 + SUM(SUMIFS($I$1:I2177, $C$1:C2177, C2178, $B$1:B2177, {"MAL ALIMI","ÜRETİM GİRİŞ"})) - VLOOKUP(C2178, 'STOK RAPORU'!$C$2:$I$1000, 4, 0))), 0)</f>
        <v>0</v>
      </c>
      <c r="U2178" s="22">
        <f t="shared" si="132"/>
        <v>0</v>
      </c>
      <c r="V2178">
        <f t="shared" si="133"/>
        <v>0</v>
      </c>
      <c r="W2178" s="22">
        <f t="shared" si="134"/>
        <v>0</v>
      </c>
    </row>
    <row r="2179" spans="1:23" hidden="1" x14ac:dyDescent="0.25">
      <c r="A2179" s="3">
        <v>46006</v>
      </c>
      <c r="B2179" s="4" t="s">
        <v>298</v>
      </c>
      <c r="C2179" s="4" t="s">
        <v>1271</v>
      </c>
      <c r="D2179" s="4"/>
      <c r="E2179" s="4" t="s">
        <v>836</v>
      </c>
      <c r="F2179" s="4" t="s">
        <v>1369</v>
      </c>
      <c r="G2179" s="4" t="s">
        <v>836</v>
      </c>
      <c r="H2179" s="4" t="s">
        <v>304</v>
      </c>
      <c r="I2179" s="4">
        <v>12</v>
      </c>
      <c r="J2179" s="21">
        <v>90</v>
      </c>
      <c r="K2179" s="21">
        <v>0</v>
      </c>
      <c r="L2179" s="5">
        <v>1080</v>
      </c>
      <c r="M2179" s="4"/>
      <c r="N2179" s="4"/>
      <c r="O2179" s="5"/>
      <c r="P2179" s="5"/>
      <c r="Q2179" s="21">
        <v>0</v>
      </c>
      <c r="R2179" s="21">
        <v>0</v>
      </c>
      <c r="S2179" s="5">
        <f t="shared" si="135"/>
        <v>47010.567120151994</v>
      </c>
      <c r="T2179" cm="1">
        <f t="array" ref="T2179">IF(OR(B2179="MAL ALIMI", B2179="ÜRETİM GİRİŞ"), MIN(I2179, MAX(0, I2179 + SUM(SUMIFS($I$1:I2178, $C$1:C2178, C2179, $B$1:B2178, {"MAL ALIMI","ÜRETİM GİRİŞ"})) - VLOOKUP(C2179, 'STOK RAPORU'!$C$2:$I$1000, 4, 0))), 0)</f>
        <v>9</v>
      </c>
      <c r="U2179" s="22">
        <f t="shared" ref="U2179:U2242" si="136">T2179*J2179</f>
        <v>810</v>
      </c>
      <c r="V2179">
        <f t="shared" ref="V2179:V2242" si="137">IF(OR(B2179="MAL ALIMI", B2179="ÜRETİM GİRİŞ"), I2179 * J2179, 0)</f>
        <v>1080</v>
      </c>
      <c r="W2179" s="22">
        <f t="shared" ref="W2179:W2242" si="138">V2179-U2179</f>
        <v>270</v>
      </c>
    </row>
    <row r="2180" spans="1:23" hidden="1" x14ac:dyDescent="0.25">
      <c r="A2180" s="3">
        <v>46006</v>
      </c>
      <c r="B2180" s="4" t="s">
        <v>334</v>
      </c>
      <c r="C2180" s="4" t="s">
        <v>160</v>
      </c>
      <c r="D2180" s="4"/>
      <c r="E2180" s="4" t="s">
        <v>921</v>
      </c>
      <c r="F2180" s="4" t="s">
        <v>1272</v>
      </c>
      <c r="G2180" s="4" t="s">
        <v>336</v>
      </c>
      <c r="H2180" s="4" t="s">
        <v>380</v>
      </c>
      <c r="I2180" s="4">
        <v>2</v>
      </c>
      <c r="J2180" s="21">
        <v>230</v>
      </c>
      <c r="K2180" s="21">
        <v>460</v>
      </c>
      <c r="L2180" s="5">
        <v>0</v>
      </c>
      <c r="M2180" s="4"/>
      <c r="N2180" s="4"/>
      <c r="O2180" s="5"/>
      <c r="P2180" s="5"/>
      <c r="Q2180" s="21">
        <v>0</v>
      </c>
      <c r="R2180" s="21">
        <v>0</v>
      </c>
      <c r="S2180" s="5">
        <f t="shared" ref="S2180:S2243" si="139">S2179+Q2180-R2180</f>
        <v>47010.567120151994</v>
      </c>
      <c r="T2180" cm="1">
        <f t="array" ref="T2180">IF(OR(B2180="MAL ALIMI", B2180="ÜRETİM GİRİŞ"), MIN(I2180, MAX(0, I2180 + SUM(SUMIFS($I$1:I2179, $C$1:C2179, C2180, $B$1:B2179, {"MAL ALIMI","ÜRETİM GİRİŞ"})) - VLOOKUP(C2180, 'STOK RAPORU'!$C$2:$I$1000, 4, 0))), 0)</f>
        <v>0</v>
      </c>
      <c r="U2180" s="22">
        <f t="shared" si="136"/>
        <v>0</v>
      </c>
      <c r="V2180">
        <f t="shared" si="137"/>
        <v>0</v>
      </c>
      <c r="W2180" s="22">
        <f t="shared" si="138"/>
        <v>0</v>
      </c>
    </row>
    <row r="2181" spans="1:23" hidden="1" x14ac:dyDescent="0.25">
      <c r="A2181" s="3">
        <v>46006</v>
      </c>
      <c r="B2181" s="4" t="s">
        <v>334</v>
      </c>
      <c r="C2181" s="4" t="s">
        <v>161</v>
      </c>
      <c r="D2181" s="4"/>
      <c r="E2181" s="4" t="s">
        <v>921</v>
      </c>
      <c r="F2181" s="4" t="s">
        <v>1272</v>
      </c>
      <c r="G2181" s="4" t="s">
        <v>336</v>
      </c>
      <c r="H2181" s="4" t="s">
        <v>380</v>
      </c>
      <c r="I2181" s="4">
        <v>1</v>
      </c>
      <c r="J2181" s="21">
        <v>200</v>
      </c>
      <c r="K2181" s="21">
        <v>200</v>
      </c>
      <c r="L2181" s="5">
        <v>0</v>
      </c>
      <c r="M2181" s="4"/>
      <c r="N2181" s="4"/>
      <c r="O2181" s="5"/>
      <c r="P2181" s="5"/>
      <c r="Q2181" s="21">
        <v>0</v>
      </c>
      <c r="R2181" s="21">
        <v>0</v>
      </c>
      <c r="S2181" s="5">
        <f t="shared" si="139"/>
        <v>47010.567120151994</v>
      </c>
      <c r="T2181" cm="1">
        <f t="array" ref="T2181">IF(OR(B2181="MAL ALIMI", B2181="ÜRETİM GİRİŞ"), MIN(I2181, MAX(0, I2181 + SUM(SUMIFS($I$1:I2180, $C$1:C2180, C2181, $B$1:B2180, {"MAL ALIMI","ÜRETİM GİRİŞ"})) - VLOOKUP(C2181, 'STOK RAPORU'!$C$2:$I$1000, 4, 0))), 0)</f>
        <v>0</v>
      </c>
      <c r="U2181" s="22">
        <f t="shared" si="136"/>
        <v>0</v>
      </c>
      <c r="V2181">
        <f t="shared" si="137"/>
        <v>0</v>
      </c>
      <c r="W2181" s="22">
        <f t="shared" si="138"/>
        <v>0</v>
      </c>
    </row>
    <row r="2182" spans="1:23" hidden="1" x14ac:dyDescent="0.25">
      <c r="A2182" s="3">
        <v>46006</v>
      </c>
      <c r="B2182" s="4" t="s">
        <v>334</v>
      </c>
      <c r="C2182" s="4" t="s">
        <v>133</v>
      </c>
      <c r="D2182" s="4"/>
      <c r="E2182" s="4"/>
      <c r="F2182" s="4" t="s">
        <v>1273</v>
      </c>
      <c r="G2182" s="4" t="s">
        <v>336</v>
      </c>
      <c r="H2182" s="4" t="s">
        <v>289</v>
      </c>
      <c r="I2182" s="4">
        <v>0.24399999999999999</v>
      </c>
      <c r="J2182" s="21">
        <v>380</v>
      </c>
      <c r="K2182" s="21">
        <v>0</v>
      </c>
      <c r="L2182" s="5">
        <v>0</v>
      </c>
      <c r="M2182" s="4"/>
      <c r="N2182" s="4"/>
      <c r="O2182" s="5"/>
      <c r="P2182" s="5"/>
      <c r="Q2182" s="21">
        <v>92.72</v>
      </c>
      <c r="R2182" s="21">
        <v>0</v>
      </c>
      <c r="S2182" s="5">
        <f t="shared" si="139"/>
        <v>47103.287120151996</v>
      </c>
      <c r="T2182" cm="1">
        <f t="array" ref="T2182">IF(OR(B2182="MAL ALIMI", B2182="ÜRETİM GİRİŞ"), MIN(I2182, MAX(0, I2182 + SUM(SUMIFS($I$1:I2181, $C$1:C2181, C2182, $B$1:B2181, {"MAL ALIMI","ÜRETİM GİRİŞ"})) - VLOOKUP(C2182, 'STOK RAPORU'!$C$2:$I$1000, 4, 0))), 0)</f>
        <v>0</v>
      </c>
      <c r="U2182" s="22">
        <f t="shared" si="136"/>
        <v>0</v>
      </c>
      <c r="V2182">
        <f t="shared" si="137"/>
        <v>0</v>
      </c>
      <c r="W2182" s="22">
        <f t="shared" si="138"/>
        <v>0</v>
      </c>
    </row>
    <row r="2183" spans="1:23" hidden="1" x14ac:dyDescent="0.25">
      <c r="A2183" s="3">
        <v>46006</v>
      </c>
      <c r="B2183" s="4" t="s">
        <v>334</v>
      </c>
      <c r="C2183" s="4" t="s">
        <v>126</v>
      </c>
      <c r="D2183" s="4"/>
      <c r="E2183" s="4"/>
      <c r="F2183" s="4" t="s">
        <v>1273</v>
      </c>
      <c r="G2183" s="4" t="s">
        <v>336</v>
      </c>
      <c r="H2183" s="4" t="s">
        <v>289</v>
      </c>
      <c r="I2183" s="4">
        <v>0.14000000000000001</v>
      </c>
      <c r="J2183" s="21">
        <v>640</v>
      </c>
      <c r="K2183" s="21">
        <v>0</v>
      </c>
      <c r="L2183" s="5">
        <v>0</v>
      </c>
      <c r="M2183" s="4"/>
      <c r="N2183" s="4"/>
      <c r="O2183" s="5"/>
      <c r="P2183" s="5"/>
      <c r="Q2183" s="21">
        <v>89.600000000000009</v>
      </c>
      <c r="R2183" s="21">
        <v>0</v>
      </c>
      <c r="S2183" s="5">
        <f t="shared" si="139"/>
        <v>47192.887120151994</v>
      </c>
      <c r="T2183" cm="1">
        <f t="array" ref="T2183">IF(OR(B2183="MAL ALIMI", B2183="ÜRETİM GİRİŞ"), MIN(I2183, MAX(0, I2183 + SUM(SUMIFS($I$1:I2182, $C$1:C2182, C2183, $B$1:B2182, {"MAL ALIMI","ÜRETİM GİRİŞ"})) - VLOOKUP(C2183, 'STOK RAPORU'!$C$2:$I$1000, 4, 0))), 0)</f>
        <v>0</v>
      </c>
      <c r="U2183" s="22">
        <f t="shared" si="136"/>
        <v>0</v>
      </c>
      <c r="V2183">
        <f t="shared" si="137"/>
        <v>0</v>
      </c>
      <c r="W2183" s="22">
        <f t="shared" si="138"/>
        <v>0</v>
      </c>
    </row>
    <row r="2184" spans="1:23" hidden="1" x14ac:dyDescent="0.25">
      <c r="A2184" s="3">
        <v>46006</v>
      </c>
      <c r="B2184" s="4" t="s">
        <v>334</v>
      </c>
      <c r="C2184" s="4" t="s">
        <v>3167</v>
      </c>
      <c r="D2184" s="4"/>
      <c r="E2184" s="4"/>
      <c r="F2184" s="4" t="s">
        <v>1273</v>
      </c>
      <c r="G2184" s="4" t="s">
        <v>336</v>
      </c>
      <c r="H2184" s="4" t="s">
        <v>289</v>
      </c>
      <c r="I2184" s="4">
        <v>0.16600000000000001</v>
      </c>
      <c r="J2184" s="21">
        <v>370</v>
      </c>
      <c r="K2184" s="21">
        <v>0</v>
      </c>
      <c r="L2184" s="5">
        <v>0</v>
      </c>
      <c r="M2184" s="4"/>
      <c r="N2184" s="4"/>
      <c r="O2184" s="5"/>
      <c r="P2184" s="5"/>
      <c r="Q2184" s="21">
        <v>61.42</v>
      </c>
      <c r="R2184" s="21">
        <v>0</v>
      </c>
      <c r="S2184" s="5">
        <f t="shared" si="139"/>
        <v>47254.307120151992</v>
      </c>
      <c r="T2184" cm="1">
        <f t="array" ref="T2184">IF(OR(B2184="MAL ALIMI", B2184="ÜRETİM GİRİŞ"), MIN(I2184, MAX(0, I2184 + SUM(SUMIFS($I$1:I2183, $C$1:C2183, C2184, $B$1:B2183, {"MAL ALIMI","ÜRETİM GİRİŞ"})) - VLOOKUP(C2184, 'STOK RAPORU'!$C$2:$I$1000, 4, 0))), 0)</f>
        <v>0</v>
      </c>
      <c r="U2184" s="22">
        <f t="shared" si="136"/>
        <v>0</v>
      </c>
      <c r="V2184">
        <f t="shared" si="137"/>
        <v>0</v>
      </c>
      <c r="W2184" s="22">
        <f t="shared" si="138"/>
        <v>0</v>
      </c>
    </row>
    <row r="2185" spans="1:23" hidden="1" x14ac:dyDescent="0.25">
      <c r="A2185" s="3">
        <v>46006</v>
      </c>
      <c r="B2185" s="4" t="s">
        <v>334</v>
      </c>
      <c r="C2185" s="4" t="s">
        <v>158</v>
      </c>
      <c r="D2185" s="4"/>
      <c r="E2185" s="4"/>
      <c r="F2185" s="4" t="s">
        <v>1273</v>
      </c>
      <c r="G2185" s="4" t="s">
        <v>336</v>
      </c>
      <c r="H2185" s="4" t="s">
        <v>289</v>
      </c>
      <c r="I2185" s="4">
        <v>1</v>
      </c>
      <c r="J2185" s="21">
        <v>130</v>
      </c>
      <c r="K2185" s="21">
        <v>0</v>
      </c>
      <c r="L2185" s="5">
        <v>0</v>
      </c>
      <c r="M2185" s="4"/>
      <c r="N2185" s="4"/>
      <c r="O2185" s="5"/>
      <c r="P2185" s="5"/>
      <c r="Q2185" s="21">
        <v>130</v>
      </c>
      <c r="R2185" s="21">
        <v>0</v>
      </c>
      <c r="S2185" s="5">
        <f t="shared" si="139"/>
        <v>47384.307120151992</v>
      </c>
      <c r="T2185" cm="1">
        <f t="array" ref="T2185">IF(OR(B2185="MAL ALIMI", B2185="ÜRETİM GİRİŞ"), MIN(I2185, MAX(0, I2185 + SUM(SUMIFS($I$1:I2184, $C$1:C2184, C2185, $B$1:B2184, {"MAL ALIMI","ÜRETİM GİRİŞ"})) - VLOOKUP(C2185, 'STOK RAPORU'!$C$2:$I$1000, 4, 0))), 0)</f>
        <v>0</v>
      </c>
      <c r="U2185" s="22">
        <f t="shared" si="136"/>
        <v>0</v>
      </c>
      <c r="V2185">
        <f t="shared" si="137"/>
        <v>0</v>
      </c>
      <c r="W2185" s="22">
        <f t="shared" si="138"/>
        <v>0</v>
      </c>
    </row>
    <row r="2186" spans="1:23" hidden="1" x14ac:dyDescent="0.25">
      <c r="A2186" s="3">
        <v>46006</v>
      </c>
      <c r="B2186" s="4" t="s">
        <v>334</v>
      </c>
      <c r="C2186" s="4" t="s">
        <v>156</v>
      </c>
      <c r="D2186" s="4"/>
      <c r="E2186" s="4"/>
      <c r="F2186" s="4" t="s">
        <v>1273</v>
      </c>
      <c r="G2186" s="4" t="s">
        <v>336</v>
      </c>
      <c r="H2186" s="4" t="s">
        <v>289</v>
      </c>
      <c r="I2186" s="4">
        <v>1</v>
      </c>
      <c r="J2186" s="21">
        <v>180</v>
      </c>
      <c r="K2186" s="21">
        <v>0</v>
      </c>
      <c r="L2186" s="5">
        <v>0</v>
      </c>
      <c r="M2186" s="4"/>
      <c r="N2186" s="4"/>
      <c r="O2186" s="5"/>
      <c r="P2186" s="5"/>
      <c r="Q2186" s="21">
        <v>180</v>
      </c>
      <c r="R2186" s="21">
        <v>0</v>
      </c>
      <c r="S2186" s="5">
        <f t="shared" si="139"/>
        <v>47564.307120151992</v>
      </c>
      <c r="T2186" cm="1">
        <f t="array" ref="T2186">IF(OR(B2186="MAL ALIMI", B2186="ÜRETİM GİRİŞ"), MIN(I2186, MAX(0, I2186 + SUM(SUMIFS($I$1:I2185, $C$1:C2185, C2186, $B$1:B2185, {"MAL ALIMI","ÜRETİM GİRİŞ"})) - VLOOKUP(C2186, 'STOK RAPORU'!$C$2:$I$1000, 4, 0))), 0)</f>
        <v>0</v>
      </c>
      <c r="U2186" s="22">
        <f t="shared" si="136"/>
        <v>0</v>
      </c>
      <c r="V2186">
        <f t="shared" si="137"/>
        <v>0</v>
      </c>
      <c r="W2186" s="22">
        <f t="shared" si="138"/>
        <v>0</v>
      </c>
    </row>
    <row r="2187" spans="1:23" hidden="1" x14ac:dyDescent="0.25">
      <c r="A2187" s="3">
        <v>46006</v>
      </c>
      <c r="B2187" s="4" t="s">
        <v>334</v>
      </c>
      <c r="C2187" s="4" t="s">
        <v>129</v>
      </c>
      <c r="D2187" s="4"/>
      <c r="E2187" s="4"/>
      <c r="F2187" s="4" t="s">
        <v>1273</v>
      </c>
      <c r="G2187" s="4" t="s">
        <v>336</v>
      </c>
      <c r="H2187" s="4" t="s">
        <v>289</v>
      </c>
      <c r="I2187" s="4">
        <v>0.11</v>
      </c>
      <c r="J2187" s="21">
        <v>390</v>
      </c>
      <c r="K2187" s="21">
        <v>0</v>
      </c>
      <c r="L2187" s="5">
        <v>0</v>
      </c>
      <c r="M2187" s="4"/>
      <c r="N2187" s="4"/>
      <c r="O2187" s="5"/>
      <c r="P2187" s="5"/>
      <c r="Q2187" s="21">
        <v>42.9</v>
      </c>
      <c r="R2187" s="21">
        <v>0</v>
      </c>
      <c r="S2187" s="5">
        <f t="shared" si="139"/>
        <v>47607.207120151994</v>
      </c>
      <c r="T2187" cm="1">
        <f t="array" ref="T2187">IF(OR(B2187="MAL ALIMI", B2187="ÜRETİM GİRİŞ"), MIN(I2187, MAX(0, I2187 + SUM(SUMIFS($I$1:I2186, $C$1:C2186, C2187, $B$1:B2186, {"MAL ALIMI","ÜRETİM GİRİŞ"})) - VLOOKUP(C2187, 'STOK RAPORU'!$C$2:$I$1000, 4, 0))), 0)</f>
        <v>0</v>
      </c>
      <c r="U2187" s="22">
        <f t="shared" si="136"/>
        <v>0</v>
      </c>
      <c r="V2187">
        <f t="shared" si="137"/>
        <v>0</v>
      </c>
      <c r="W2187" s="22">
        <f t="shared" si="138"/>
        <v>0</v>
      </c>
    </row>
    <row r="2188" spans="1:23" hidden="1" x14ac:dyDescent="0.25">
      <c r="A2188" s="3">
        <v>46006</v>
      </c>
      <c r="B2188" s="4" t="s">
        <v>334</v>
      </c>
      <c r="C2188" s="4" t="s">
        <v>131</v>
      </c>
      <c r="D2188" s="4"/>
      <c r="E2188" s="4"/>
      <c r="F2188" s="4" t="s">
        <v>1276</v>
      </c>
      <c r="G2188" s="4" t="s">
        <v>336</v>
      </c>
      <c r="H2188" s="4" t="s">
        <v>289</v>
      </c>
      <c r="I2188" s="4">
        <v>0.05</v>
      </c>
      <c r="J2188" s="21">
        <v>400</v>
      </c>
      <c r="K2188" s="21">
        <v>0</v>
      </c>
      <c r="L2188" s="5">
        <v>0</v>
      </c>
      <c r="M2188" s="4"/>
      <c r="N2188" s="4"/>
      <c r="O2188" s="5"/>
      <c r="P2188" s="5"/>
      <c r="Q2188" s="21">
        <v>20</v>
      </c>
      <c r="R2188" s="21">
        <v>0</v>
      </c>
      <c r="S2188" s="5">
        <f t="shared" si="139"/>
        <v>47627.207120151994</v>
      </c>
      <c r="T2188" cm="1">
        <f t="array" ref="T2188">IF(OR(B2188="MAL ALIMI", B2188="ÜRETİM GİRİŞ"), MIN(I2188, MAX(0, I2188 + SUM(SUMIFS($I$1:I2187, $C$1:C2187, C2188, $B$1:B2187, {"MAL ALIMI","ÜRETİM GİRİŞ"})) - VLOOKUP(C2188, 'STOK RAPORU'!$C$2:$I$1000, 4, 0))), 0)</f>
        <v>0</v>
      </c>
      <c r="U2188" s="22">
        <f t="shared" si="136"/>
        <v>0</v>
      </c>
      <c r="V2188">
        <f t="shared" si="137"/>
        <v>0</v>
      </c>
      <c r="W2188" s="22">
        <f t="shared" si="138"/>
        <v>0</v>
      </c>
    </row>
    <row r="2189" spans="1:23" hidden="1" x14ac:dyDescent="0.25">
      <c r="A2189" s="3">
        <v>46006</v>
      </c>
      <c r="B2189" s="4" t="s">
        <v>334</v>
      </c>
      <c r="C2189" s="4" t="s">
        <v>826</v>
      </c>
      <c r="D2189" s="4"/>
      <c r="E2189" s="4"/>
      <c r="F2189" s="4" t="s">
        <v>1277</v>
      </c>
      <c r="G2189" s="4" t="s">
        <v>336</v>
      </c>
      <c r="H2189" s="4" t="s">
        <v>289</v>
      </c>
      <c r="I2189" s="4">
        <v>1</v>
      </c>
      <c r="J2189" s="21">
        <v>130</v>
      </c>
      <c r="K2189" s="21">
        <v>0</v>
      </c>
      <c r="L2189" s="5">
        <v>0</v>
      </c>
      <c r="M2189" s="4"/>
      <c r="N2189" s="4"/>
      <c r="O2189" s="5"/>
      <c r="P2189" s="5"/>
      <c r="Q2189" s="21">
        <v>130</v>
      </c>
      <c r="R2189" s="21">
        <v>0</v>
      </c>
      <c r="S2189" s="5">
        <f t="shared" si="139"/>
        <v>47757.207120151994</v>
      </c>
      <c r="T2189" cm="1">
        <f t="array" ref="T2189">IF(OR(B2189="MAL ALIMI", B2189="ÜRETİM GİRİŞ"), MIN(I2189, MAX(0, I2189 + SUM(SUMIFS($I$1:I2188, $C$1:C2188, C2189, $B$1:B2188, {"MAL ALIMI","ÜRETİM GİRİŞ"})) - VLOOKUP(C2189, 'STOK RAPORU'!$C$2:$I$1000, 4, 0))), 0)</f>
        <v>0</v>
      </c>
      <c r="U2189" s="22">
        <f t="shared" si="136"/>
        <v>0</v>
      </c>
      <c r="V2189">
        <f t="shared" si="137"/>
        <v>0</v>
      </c>
      <c r="W2189" s="22">
        <f t="shared" si="138"/>
        <v>0</v>
      </c>
    </row>
    <row r="2190" spans="1:23" hidden="1" x14ac:dyDescent="0.25">
      <c r="A2190" s="3">
        <v>46006</v>
      </c>
      <c r="B2190" s="4" t="s">
        <v>334</v>
      </c>
      <c r="C2190" s="4" t="s">
        <v>815</v>
      </c>
      <c r="D2190" s="4"/>
      <c r="E2190" s="4"/>
      <c r="F2190" s="4" t="s">
        <v>1277</v>
      </c>
      <c r="G2190" s="4" t="s">
        <v>336</v>
      </c>
      <c r="H2190" s="4" t="s">
        <v>289</v>
      </c>
      <c r="I2190" s="4">
        <v>1</v>
      </c>
      <c r="J2190" s="21">
        <v>130</v>
      </c>
      <c r="K2190" s="21">
        <v>0</v>
      </c>
      <c r="L2190" s="5">
        <v>0</v>
      </c>
      <c r="M2190" s="4"/>
      <c r="N2190" s="4"/>
      <c r="O2190" s="5"/>
      <c r="P2190" s="5"/>
      <c r="Q2190" s="21">
        <v>130</v>
      </c>
      <c r="R2190" s="21">
        <v>0</v>
      </c>
      <c r="S2190" s="5">
        <f t="shared" si="139"/>
        <v>47887.207120151994</v>
      </c>
      <c r="T2190" cm="1">
        <f t="array" ref="T2190">IF(OR(B2190="MAL ALIMI", B2190="ÜRETİM GİRİŞ"), MIN(I2190, MAX(0, I2190 + SUM(SUMIFS($I$1:I2189, $C$1:C2189, C2190, $B$1:B2189, {"MAL ALIMI","ÜRETİM GİRİŞ"})) - VLOOKUP(C2190, 'STOK RAPORU'!$C$2:$I$1000, 4, 0))), 0)</f>
        <v>0</v>
      </c>
      <c r="U2190" s="22">
        <f t="shared" si="136"/>
        <v>0</v>
      </c>
      <c r="V2190">
        <f t="shared" si="137"/>
        <v>0</v>
      </c>
      <c r="W2190" s="22">
        <f t="shared" si="138"/>
        <v>0</v>
      </c>
    </row>
    <row r="2191" spans="1:23" hidden="1" x14ac:dyDescent="0.25">
      <c r="A2191" s="3">
        <v>46006</v>
      </c>
      <c r="B2191" s="4" t="s">
        <v>334</v>
      </c>
      <c r="C2191" s="4" t="s">
        <v>96</v>
      </c>
      <c r="D2191" s="4"/>
      <c r="E2191" s="4"/>
      <c r="F2191" s="4" t="s">
        <v>1278</v>
      </c>
      <c r="G2191" s="4" t="s">
        <v>336</v>
      </c>
      <c r="H2191" s="4" t="s">
        <v>289</v>
      </c>
      <c r="I2191" s="4">
        <v>0.14210526315789473</v>
      </c>
      <c r="J2191" s="21">
        <v>380</v>
      </c>
      <c r="K2191" s="21">
        <v>0</v>
      </c>
      <c r="L2191" s="5">
        <v>0</v>
      </c>
      <c r="M2191" s="4"/>
      <c r="N2191" s="4"/>
      <c r="O2191" s="5"/>
      <c r="P2191" s="5"/>
      <c r="Q2191" s="21">
        <v>54</v>
      </c>
      <c r="R2191" s="21">
        <v>0</v>
      </c>
      <c r="S2191" s="5">
        <f t="shared" si="139"/>
        <v>47941.207120151994</v>
      </c>
      <c r="T2191" cm="1">
        <f t="array" ref="T2191">IF(OR(B2191="MAL ALIMI", B2191="ÜRETİM GİRİŞ"), MIN(I2191, MAX(0, I2191 + SUM(SUMIFS($I$1:I2190, $C$1:C2190, C2191, $B$1:B2190, {"MAL ALIMI","ÜRETİM GİRİŞ"})) - VLOOKUP(C2191, 'STOK RAPORU'!$C$2:$I$1000, 4, 0))), 0)</f>
        <v>0</v>
      </c>
      <c r="U2191" s="22">
        <f t="shared" si="136"/>
        <v>0</v>
      </c>
      <c r="V2191">
        <f t="shared" si="137"/>
        <v>0</v>
      </c>
      <c r="W2191" s="22">
        <f t="shared" si="138"/>
        <v>0</v>
      </c>
    </row>
    <row r="2192" spans="1:23" hidden="1" x14ac:dyDescent="0.25">
      <c r="A2192" s="3">
        <v>46006</v>
      </c>
      <c r="B2192" s="4" t="s">
        <v>334</v>
      </c>
      <c r="C2192" s="4" t="s">
        <v>679</v>
      </c>
      <c r="D2192" s="4"/>
      <c r="E2192" s="4"/>
      <c r="F2192" s="4" t="s">
        <v>1279</v>
      </c>
      <c r="G2192" s="4" t="s">
        <v>336</v>
      </c>
      <c r="H2192" s="4" t="s">
        <v>289</v>
      </c>
      <c r="I2192" s="4">
        <v>0.25</v>
      </c>
      <c r="J2192" s="21">
        <v>400</v>
      </c>
      <c r="K2192" s="21">
        <v>0</v>
      </c>
      <c r="L2192" s="5">
        <v>0</v>
      </c>
      <c r="M2192" s="4"/>
      <c r="N2192" s="4"/>
      <c r="O2192" s="5"/>
      <c r="P2192" s="5"/>
      <c r="Q2192" s="21">
        <v>100</v>
      </c>
      <c r="R2192" s="21">
        <v>0</v>
      </c>
      <c r="S2192" s="5">
        <f t="shared" si="139"/>
        <v>48041.207120151994</v>
      </c>
      <c r="T2192" cm="1">
        <f t="array" ref="T2192">IF(OR(B2192="MAL ALIMI", B2192="ÜRETİM GİRİŞ"), MIN(I2192, MAX(0, I2192 + SUM(SUMIFS($I$1:I2191, $C$1:C2191, C2192, $B$1:B2191, {"MAL ALIMI","ÜRETİM GİRİŞ"})) - VLOOKUP(C2192, 'STOK RAPORU'!$C$2:$I$1000, 4, 0))), 0)</f>
        <v>0</v>
      </c>
      <c r="U2192" s="22">
        <f t="shared" si="136"/>
        <v>0</v>
      </c>
      <c r="V2192">
        <f t="shared" si="137"/>
        <v>0</v>
      </c>
      <c r="W2192" s="22">
        <f t="shared" si="138"/>
        <v>0</v>
      </c>
    </row>
    <row r="2193" spans="1:23" hidden="1" x14ac:dyDescent="0.25">
      <c r="A2193" s="3">
        <v>46006</v>
      </c>
      <c r="B2193" s="4" t="s">
        <v>946</v>
      </c>
      <c r="C2193" s="4"/>
      <c r="D2193" s="4"/>
      <c r="E2193" s="4" t="s">
        <v>921</v>
      </c>
      <c r="F2193" s="4"/>
      <c r="G2193" s="4" t="s">
        <v>946</v>
      </c>
      <c r="H2193" s="4" t="s">
        <v>380</v>
      </c>
      <c r="I2193" s="4">
        <v>1</v>
      </c>
      <c r="J2193" s="105">
        <v>1500</v>
      </c>
      <c r="K2193" s="21">
        <v>0</v>
      </c>
      <c r="L2193" s="111">
        <v>1500</v>
      </c>
      <c r="M2193" s="4"/>
      <c r="N2193" s="4"/>
      <c r="O2193" s="5"/>
      <c r="P2193" s="5"/>
      <c r="Q2193" s="5">
        <v>1500</v>
      </c>
      <c r="R2193" s="21">
        <v>0</v>
      </c>
      <c r="S2193" s="5">
        <f t="shared" si="139"/>
        <v>49541.207120151994</v>
      </c>
      <c r="T2193" cm="1">
        <f t="array" ref="T2193">IF(OR(B2193="MAL ALIMI", B2193="ÜRETİM GİRİŞ"), MIN(I2193, MAX(0, I2193 + SUM(SUMIFS($I$1:I2192, $C$1:C2192, C2193, $B$1:B2192, {"MAL ALIMI","ÜRETİM GİRİŞ"})) - VLOOKUP(C2193, 'STOK RAPORU'!$C$2:$I$1000, 4, 0))), 0)</f>
        <v>0</v>
      </c>
      <c r="U2193" s="22">
        <f t="shared" si="136"/>
        <v>0</v>
      </c>
      <c r="V2193">
        <f t="shared" si="137"/>
        <v>0</v>
      </c>
      <c r="W2193" s="22">
        <f t="shared" si="138"/>
        <v>0</v>
      </c>
    </row>
    <row r="2194" spans="1:23" hidden="1" x14ac:dyDescent="0.25">
      <c r="A2194" s="3">
        <v>46006</v>
      </c>
      <c r="B2194" s="4" t="s">
        <v>946</v>
      </c>
      <c r="C2194" s="4"/>
      <c r="D2194" s="4"/>
      <c r="E2194" s="4" t="s">
        <v>921</v>
      </c>
      <c r="F2194" s="4"/>
      <c r="G2194" s="4" t="s">
        <v>946</v>
      </c>
      <c r="H2194" s="4" t="s">
        <v>380</v>
      </c>
      <c r="I2194" s="4">
        <v>1</v>
      </c>
      <c r="J2194" s="105">
        <v>240</v>
      </c>
      <c r="K2194" s="21">
        <v>0</v>
      </c>
      <c r="L2194" s="111">
        <v>240</v>
      </c>
      <c r="M2194" s="4"/>
      <c r="N2194" s="4"/>
      <c r="O2194" s="5"/>
      <c r="P2194" s="5"/>
      <c r="Q2194" s="5">
        <v>240</v>
      </c>
      <c r="R2194" s="21">
        <v>0</v>
      </c>
      <c r="S2194" s="5">
        <f t="shared" si="139"/>
        <v>49781.207120151994</v>
      </c>
      <c r="T2194" cm="1">
        <f t="array" ref="T2194">IF(OR(B2194="MAL ALIMI", B2194="ÜRETİM GİRİŞ"), MIN(I2194, MAX(0, I2194 + SUM(SUMIFS($I$1:I2193, $C$1:C2193, C2194, $B$1:B2193, {"MAL ALIMI","ÜRETİM GİRİŞ"})) - VLOOKUP(C2194, 'STOK RAPORU'!$C$2:$I$1000, 4, 0))), 0)</f>
        <v>0</v>
      </c>
      <c r="U2194" s="22">
        <f t="shared" si="136"/>
        <v>0</v>
      </c>
      <c r="V2194">
        <f t="shared" si="137"/>
        <v>0</v>
      </c>
      <c r="W2194" s="22">
        <f t="shared" si="138"/>
        <v>0</v>
      </c>
    </row>
    <row r="2195" spans="1:23" hidden="1" x14ac:dyDescent="0.25">
      <c r="A2195" s="3">
        <v>46007</v>
      </c>
      <c r="B2195" s="4" t="s">
        <v>334</v>
      </c>
      <c r="C2195" s="4" t="s">
        <v>151</v>
      </c>
      <c r="D2195" s="4"/>
      <c r="E2195" s="4"/>
      <c r="F2195" s="4" t="s">
        <v>1274</v>
      </c>
      <c r="G2195" s="4" t="s">
        <v>336</v>
      </c>
      <c r="H2195" s="4" t="s">
        <v>289</v>
      </c>
      <c r="I2195" s="4">
        <v>6.2E-2</v>
      </c>
      <c r="J2195" s="21">
        <v>400</v>
      </c>
      <c r="K2195" s="21">
        <v>0</v>
      </c>
      <c r="L2195" s="5">
        <v>0</v>
      </c>
      <c r="M2195" s="4"/>
      <c r="N2195" s="4"/>
      <c r="O2195" s="5"/>
      <c r="P2195" s="5"/>
      <c r="Q2195" s="21">
        <v>24.8</v>
      </c>
      <c r="R2195" s="21">
        <v>0</v>
      </c>
      <c r="S2195" s="5">
        <f t="shared" si="139"/>
        <v>49806.007120151997</v>
      </c>
      <c r="T2195" cm="1">
        <f t="array" ref="T2195">IF(OR(B2195="MAL ALIMI", B2195="ÜRETİM GİRİŞ"), MIN(I2195, MAX(0, I2195 + SUM(SUMIFS($I$1:I2194, $C$1:C2194, C2195, $B$1:B2194, {"MAL ALIMI","ÜRETİM GİRİŞ"})) - VLOOKUP(C2195, 'STOK RAPORU'!$C$2:$I$1000, 4, 0))), 0)</f>
        <v>0</v>
      </c>
      <c r="U2195" s="22">
        <f t="shared" si="136"/>
        <v>0</v>
      </c>
      <c r="V2195">
        <f t="shared" si="137"/>
        <v>0</v>
      </c>
      <c r="W2195" s="22">
        <f t="shared" si="138"/>
        <v>0</v>
      </c>
    </row>
    <row r="2196" spans="1:23" hidden="1" x14ac:dyDescent="0.25">
      <c r="A2196" s="3">
        <v>46007</v>
      </c>
      <c r="B2196" s="4" t="s">
        <v>334</v>
      </c>
      <c r="C2196" s="4" t="s">
        <v>209</v>
      </c>
      <c r="D2196" s="4"/>
      <c r="E2196" s="4"/>
      <c r="F2196" s="4" t="s">
        <v>1274</v>
      </c>
      <c r="G2196" s="4" t="s">
        <v>336</v>
      </c>
      <c r="H2196" s="4" t="s">
        <v>289</v>
      </c>
      <c r="I2196" s="4">
        <v>0.05</v>
      </c>
      <c r="J2196" s="21">
        <v>2600</v>
      </c>
      <c r="K2196" s="21">
        <v>0</v>
      </c>
      <c r="L2196" s="5">
        <v>0</v>
      </c>
      <c r="M2196" s="4"/>
      <c r="N2196" s="4"/>
      <c r="O2196" s="5"/>
      <c r="P2196" s="5"/>
      <c r="Q2196" s="21">
        <v>130</v>
      </c>
      <c r="R2196" s="21">
        <v>0</v>
      </c>
      <c r="S2196" s="5">
        <f t="shared" si="139"/>
        <v>49936.007120151997</v>
      </c>
      <c r="T2196" cm="1">
        <f t="array" ref="T2196">IF(OR(B2196="MAL ALIMI", B2196="ÜRETİM GİRİŞ"), MIN(I2196, MAX(0, I2196 + SUM(SUMIFS($I$1:I2195, $C$1:C2195, C2196, $B$1:B2195, {"MAL ALIMI","ÜRETİM GİRİŞ"})) - VLOOKUP(C2196, 'STOK RAPORU'!$C$2:$I$1000, 4, 0))), 0)</f>
        <v>0</v>
      </c>
      <c r="U2196" s="22">
        <f t="shared" si="136"/>
        <v>0</v>
      </c>
      <c r="V2196">
        <f t="shared" si="137"/>
        <v>0</v>
      </c>
      <c r="W2196" s="22">
        <f t="shared" si="138"/>
        <v>0</v>
      </c>
    </row>
    <row r="2197" spans="1:23" hidden="1" x14ac:dyDescent="0.25">
      <c r="A2197" s="3">
        <v>46007</v>
      </c>
      <c r="B2197" s="4" t="s">
        <v>334</v>
      </c>
      <c r="C2197" s="4" t="s">
        <v>126</v>
      </c>
      <c r="D2197" s="4"/>
      <c r="E2197" s="4"/>
      <c r="F2197" s="4" t="s">
        <v>1274</v>
      </c>
      <c r="G2197" s="4" t="s">
        <v>336</v>
      </c>
      <c r="H2197" s="4" t="s">
        <v>289</v>
      </c>
      <c r="I2197" s="4">
        <v>5.6000000000000001E-2</v>
      </c>
      <c r="J2197" s="21">
        <v>640</v>
      </c>
      <c r="K2197" s="21">
        <v>0</v>
      </c>
      <c r="L2197" s="5">
        <v>0</v>
      </c>
      <c r="M2197" s="4"/>
      <c r="N2197" s="4"/>
      <c r="O2197" s="5"/>
      <c r="P2197" s="5"/>
      <c r="Q2197" s="21">
        <v>35.840000000000003</v>
      </c>
      <c r="R2197" s="21">
        <v>0</v>
      </c>
      <c r="S2197" s="5">
        <f t="shared" si="139"/>
        <v>49971.847120151993</v>
      </c>
      <c r="T2197" cm="1">
        <f t="array" ref="T2197">IF(OR(B2197="MAL ALIMI", B2197="ÜRETİM GİRİŞ"), MIN(I2197, MAX(0, I2197 + SUM(SUMIFS($I$1:I2196, $C$1:C2196, C2197, $B$1:B2196, {"MAL ALIMI","ÜRETİM GİRİŞ"})) - VLOOKUP(C2197, 'STOK RAPORU'!$C$2:$I$1000, 4, 0))), 0)</f>
        <v>0</v>
      </c>
      <c r="U2197" s="22">
        <f t="shared" si="136"/>
        <v>0</v>
      </c>
      <c r="V2197">
        <f t="shared" si="137"/>
        <v>0</v>
      </c>
      <c r="W2197" s="22">
        <f t="shared" si="138"/>
        <v>0</v>
      </c>
    </row>
    <row r="2198" spans="1:23" hidden="1" x14ac:dyDescent="0.25">
      <c r="A2198" s="3">
        <v>46007</v>
      </c>
      <c r="B2198" s="4" t="s">
        <v>334</v>
      </c>
      <c r="C2198" s="4" t="s">
        <v>98</v>
      </c>
      <c r="D2198" s="4"/>
      <c r="E2198" s="4"/>
      <c r="F2198" s="4" t="s">
        <v>1274</v>
      </c>
      <c r="G2198" s="4" t="s">
        <v>336</v>
      </c>
      <c r="H2198" s="4" t="s">
        <v>289</v>
      </c>
      <c r="I2198" s="4">
        <v>0.19400000000000001</v>
      </c>
      <c r="J2198" s="21">
        <v>400</v>
      </c>
      <c r="K2198" s="21">
        <v>0</v>
      </c>
      <c r="L2198" s="5">
        <v>0</v>
      </c>
      <c r="M2198" s="4"/>
      <c r="N2198" s="4"/>
      <c r="O2198" s="5"/>
      <c r="P2198" s="5"/>
      <c r="Q2198" s="21">
        <v>77.600000000000009</v>
      </c>
      <c r="R2198" s="21">
        <v>0</v>
      </c>
      <c r="S2198" s="5">
        <f t="shared" si="139"/>
        <v>50049.447120151992</v>
      </c>
      <c r="T2198" cm="1">
        <f t="array" ref="T2198">IF(OR(B2198="MAL ALIMI", B2198="ÜRETİM GİRİŞ"), MIN(I2198, MAX(0, I2198 + SUM(SUMIFS($I$1:I2197, $C$1:C2197, C2198, $B$1:B2197, {"MAL ALIMI","ÜRETİM GİRİŞ"})) - VLOOKUP(C2198, 'STOK RAPORU'!$C$2:$I$1000, 4, 0))), 0)</f>
        <v>0</v>
      </c>
      <c r="U2198" s="22">
        <f t="shared" si="136"/>
        <v>0</v>
      </c>
      <c r="V2198">
        <f t="shared" si="137"/>
        <v>0</v>
      </c>
      <c r="W2198" s="22">
        <f t="shared" si="138"/>
        <v>0</v>
      </c>
    </row>
    <row r="2199" spans="1:23" hidden="1" x14ac:dyDescent="0.25">
      <c r="A2199" s="3">
        <v>46007</v>
      </c>
      <c r="B2199" s="4" t="s">
        <v>334</v>
      </c>
      <c r="C2199" s="4" t="s">
        <v>140</v>
      </c>
      <c r="D2199" s="4"/>
      <c r="E2199" s="4"/>
      <c r="F2199" s="4" t="s">
        <v>1274</v>
      </c>
      <c r="G2199" s="4" t="s">
        <v>336</v>
      </c>
      <c r="H2199" s="4" t="s">
        <v>289</v>
      </c>
      <c r="I2199" s="4">
        <v>0.218</v>
      </c>
      <c r="J2199" s="21">
        <v>300</v>
      </c>
      <c r="K2199" s="21">
        <v>0</v>
      </c>
      <c r="L2199" s="5">
        <v>0</v>
      </c>
      <c r="M2199" s="4"/>
      <c r="N2199" s="4"/>
      <c r="O2199" s="5"/>
      <c r="P2199" s="5"/>
      <c r="Q2199" s="21">
        <v>65.400000000000006</v>
      </c>
      <c r="R2199" s="21">
        <v>0</v>
      </c>
      <c r="S2199" s="5">
        <f t="shared" si="139"/>
        <v>50114.847120151993</v>
      </c>
      <c r="T2199" cm="1">
        <f t="array" ref="T2199">IF(OR(B2199="MAL ALIMI", B2199="ÜRETİM GİRİŞ"), MIN(I2199, MAX(0, I2199 + SUM(SUMIFS($I$1:I2198, $C$1:C2198, C2199, $B$1:B2198, {"MAL ALIMI","ÜRETİM GİRİŞ"})) - VLOOKUP(C2199, 'STOK RAPORU'!$C$2:$I$1000, 4, 0))), 0)</f>
        <v>0</v>
      </c>
      <c r="U2199" s="22">
        <f t="shared" si="136"/>
        <v>0</v>
      </c>
      <c r="V2199">
        <f t="shared" si="137"/>
        <v>0</v>
      </c>
      <c r="W2199" s="22">
        <f t="shared" si="138"/>
        <v>0</v>
      </c>
    </row>
    <row r="2200" spans="1:23" hidden="1" x14ac:dyDescent="0.25">
      <c r="A2200" s="3">
        <v>46007</v>
      </c>
      <c r="B2200" s="4" t="s">
        <v>334</v>
      </c>
      <c r="C2200" s="4" t="s">
        <v>189</v>
      </c>
      <c r="D2200" s="4"/>
      <c r="E2200" s="4"/>
      <c r="F2200" s="4" t="s">
        <v>1274</v>
      </c>
      <c r="G2200" s="4" t="s">
        <v>336</v>
      </c>
      <c r="H2200" s="4" t="s">
        <v>289</v>
      </c>
      <c r="I2200" s="4">
        <v>7.0000000000000007E-2</v>
      </c>
      <c r="J2200" s="21">
        <v>735</v>
      </c>
      <c r="K2200" s="21">
        <v>0</v>
      </c>
      <c r="L2200" s="5">
        <v>0</v>
      </c>
      <c r="M2200" s="4"/>
      <c r="N2200" s="4"/>
      <c r="O2200" s="5"/>
      <c r="P2200" s="5"/>
      <c r="Q2200" s="21">
        <v>51.45</v>
      </c>
      <c r="R2200" s="21">
        <v>0</v>
      </c>
      <c r="S2200" s="5">
        <f t="shared" si="139"/>
        <v>50166.29712015199</v>
      </c>
      <c r="T2200" cm="1">
        <f t="array" ref="T2200">IF(OR(B2200="MAL ALIMI", B2200="ÜRETİM GİRİŞ"), MIN(I2200, MAX(0, I2200 + SUM(SUMIFS($I$1:I2199, $C$1:C2199, C2200, $B$1:B2199, {"MAL ALIMI","ÜRETİM GİRİŞ"})) - VLOOKUP(C2200, 'STOK RAPORU'!$C$2:$I$1000, 4, 0))), 0)</f>
        <v>0</v>
      </c>
      <c r="U2200" s="22">
        <f t="shared" si="136"/>
        <v>0</v>
      </c>
      <c r="V2200">
        <f t="shared" si="137"/>
        <v>0</v>
      </c>
      <c r="W2200" s="22">
        <f t="shared" si="138"/>
        <v>0</v>
      </c>
    </row>
    <row r="2201" spans="1:23" hidden="1" x14ac:dyDescent="0.25">
      <c r="A2201" s="3">
        <v>46007</v>
      </c>
      <c r="B2201" s="4" t="s">
        <v>334</v>
      </c>
      <c r="C2201" s="4" t="s">
        <v>96</v>
      </c>
      <c r="D2201" s="4"/>
      <c r="E2201" s="4"/>
      <c r="F2201" s="4" t="s">
        <v>1275</v>
      </c>
      <c r="G2201" s="4" t="s">
        <v>336</v>
      </c>
      <c r="H2201" s="4" t="s">
        <v>289</v>
      </c>
      <c r="I2201" s="4">
        <v>0.19800000000000001</v>
      </c>
      <c r="J2201" s="21">
        <v>380</v>
      </c>
      <c r="K2201" s="21">
        <v>0</v>
      </c>
      <c r="L2201" s="5">
        <v>0</v>
      </c>
      <c r="M2201" s="4"/>
      <c r="N2201" s="4"/>
      <c r="O2201" s="5"/>
      <c r="P2201" s="5"/>
      <c r="Q2201" s="21">
        <v>75.240000000000009</v>
      </c>
      <c r="R2201" s="21">
        <v>0</v>
      </c>
      <c r="S2201" s="5">
        <f t="shared" si="139"/>
        <v>50241.537120151988</v>
      </c>
      <c r="T2201" cm="1">
        <f t="array" ref="T2201">IF(OR(B2201="MAL ALIMI", B2201="ÜRETİM GİRİŞ"), MIN(I2201, MAX(0, I2201 + SUM(SUMIFS($I$1:I2200, $C$1:C2200, C2201, $B$1:B2200, {"MAL ALIMI","ÜRETİM GİRİŞ"})) - VLOOKUP(C2201, 'STOK RAPORU'!$C$2:$I$1000, 4, 0))), 0)</f>
        <v>0</v>
      </c>
      <c r="U2201" s="22">
        <f t="shared" si="136"/>
        <v>0</v>
      </c>
      <c r="V2201">
        <f t="shared" si="137"/>
        <v>0</v>
      </c>
      <c r="W2201" s="22">
        <f t="shared" si="138"/>
        <v>0</v>
      </c>
    </row>
    <row r="2202" spans="1:23" hidden="1" x14ac:dyDescent="0.25">
      <c r="A2202" s="3">
        <v>46007</v>
      </c>
      <c r="B2202" s="4" t="s">
        <v>334</v>
      </c>
      <c r="C2202" s="4" t="s">
        <v>133</v>
      </c>
      <c r="D2202" s="4"/>
      <c r="E2202" s="4"/>
      <c r="F2202" s="4" t="s">
        <v>1275</v>
      </c>
      <c r="G2202" s="4" t="s">
        <v>336</v>
      </c>
      <c r="H2202" s="4" t="s">
        <v>289</v>
      </c>
      <c r="I2202" s="4">
        <v>0.248</v>
      </c>
      <c r="J2202" s="21">
        <v>380</v>
      </c>
      <c r="K2202" s="21">
        <v>0</v>
      </c>
      <c r="L2202" s="5">
        <v>0</v>
      </c>
      <c r="M2202" s="4"/>
      <c r="N2202" s="4"/>
      <c r="O2202" s="5"/>
      <c r="P2202" s="5"/>
      <c r="Q2202" s="21">
        <v>94.24</v>
      </c>
      <c r="R2202" s="21">
        <v>0</v>
      </c>
      <c r="S2202" s="5">
        <f t="shared" si="139"/>
        <v>50335.777120151986</v>
      </c>
      <c r="T2202" cm="1">
        <f t="array" ref="T2202">IF(OR(B2202="MAL ALIMI", B2202="ÜRETİM GİRİŞ"), MIN(I2202, MAX(0, I2202 + SUM(SUMIFS($I$1:I2201, $C$1:C2201, C2202, $B$1:B2201, {"MAL ALIMI","ÜRETİM GİRİŞ"})) - VLOOKUP(C2202, 'STOK RAPORU'!$C$2:$I$1000, 4, 0))), 0)</f>
        <v>0</v>
      </c>
      <c r="U2202" s="22">
        <f t="shared" si="136"/>
        <v>0</v>
      </c>
      <c r="V2202">
        <f t="shared" si="137"/>
        <v>0</v>
      </c>
      <c r="W2202" s="22">
        <f t="shared" si="138"/>
        <v>0</v>
      </c>
    </row>
    <row r="2203" spans="1:23" hidden="1" x14ac:dyDescent="0.25">
      <c r="A2203" s="3">
        <v>46007</v>
      </c>
      <c r="B2203" s="4" t="s">
        <v>334</v>
      </c>
      <c r="C2203" s="4" t="s">
        <v>126</v>
      </c>
      <c r="D2203" s="4"/>
      <c r="E2203" s="4"/>
      <c r="F2203" s="4" t="s">
        <v>1276</v>
      </c>
      <c r="G2203" s="4" t="s">
        <v>336</v>
      </c>
      <c r="H2203" s="4" t="s">
        <v>289</v>
      </c>
      <c r="I2203" s="4">
        <v>0.05</v>
      </c>
      <c r="J2203" s="21">
        <v>640</v>
      </c>
      <c r="K2203" s="21">
        <v>0</v>
      </c>
      <c r="L2203" s="5">
        <v>0</v>
      </c>
      <c r="M2203" s="4"/>
      <c r="N2203" s="4"/>
      <c r="O2203" s="5"/>
      <c r="P2203" s="5"/>
      <c r="Q2203" s="21">
        <v>32</v>
      </c>
      <c r="R2203" s="21">
        <v>0</v>
      </c>
      <c r="S2203" s="5">
        <f t="shared" si="139"/>
        <v>50367.777120151986</v>
      </c>
      <c r="T2203" cm="1">
        <f t="array" ref="T2203">IF(OR(B2203="MAL ALIMI", B2203="ÜRETİM GİRİŞ"), MIN(I2203, MAX(0, I2203 + SUM(SUMIFS($I$1:I2202, $C$1:C2202, C2203, $B$1:B2202, {"MAL ALIMI","ÜRETİM GİRİŞ"})) - VLOOKUP(C2203, 'STOK RAPORU'!$C$2:$I$1000, 4, 0))), 0)</f>
        <v>0</v>
      </c>
      <c r="U2203" s="22">
        <f t="shared" si="136"/>
        <v>0</v>
      </c>
      <c r="V2203">
        <f t="shared" si="137"/>
        <v>0</v>
      </c>
      <c r="W2203" s="22">
        <f t="shared" si="138"/>
        <v>0</v>
      </c>
    </row>
    <row r="2204" spans="1:23" hidden="1" x14ac:dyDescent="0.25">
      <c r="A2204" s="3">
        <v>46007</v>
      </c>
      <c r="B2204" s="4" t="s">
        <v>334</v>
      </c>
      <c r="C2204" s="4" t="s">
        <v>91</v>
      </c>
      <c r="D2204" s="4"/>
      <c r="E2204" s="4"/>
      <c r="F2204" s="4" t="s">
        <v>1276</v>
      </c>
      <c r="G2204" s="4" t="s">
        <v>336</v>
      </c>
      <c r="H2204" s="4" t="s">
        <v>289</v>
      </c>
      <c r="I2204" s="4">
        <v>0.05</v>
      </c>
      <c r="J2204" s="21">
        <v>760</v>
      </c>
      <c r="K2204" s="21">
        <v>0</v>
      </c>
      <c r="L2204" s="5">
        <v>0</v>
      </c>
      <c r="M2204" s="4"/>
      <c r="N2204" s="4"/>
      <c r="O2204" s="5"/>
      <c r="P2204" s="5"/>
      <c r="Q2204" s="21">
        <v>38</v>
      </c>
      <c r="R2204" s="21">
        <v>0</v>
      </c>
      <c r="S2204" s="5">
        <f t="shared" si="139"/>
        <v>50405.777120151986</v>
      </c>
      <c r="T2204" cm="1">
        <f t="array" ref="T2204">IF(OR(B2204="MAL ALIMI", B2204="ÜRETİM GİRİŞ"), MIN(I2204, MAX(0, I2204 + SUM(SUMIFS($I$1:I2203, $C$1:C2203, C2204, $B$1:B2203, {"MAL ALIMI","ÜRETİM GİRİŞ"})) - VLOOKUP(C2204, 'STOK RAPORU'!$C$2:$I$1000, 4, 0))), 0)</f>
        <v>0</v>
      </c>
      <c r="U2204" s="22">
        <f t="shared" si="136"/>
        <v>0</v>
      </c>
      <c r="V2204">
        <f t="shared" si="137"/>
        <v>0</v>
      </c>
      <c r="W2204" s="22">
        <f t="shared" si="138"/>
        <v>0</v>
      </c>
    </row>
    <row r="2205" spans="1:23" hidden="1" x14ac:dyDescent="0.25">
      <c r="A2205" s="3">
        <v>46007</v>
      </c>
      <c r="B2205" s="4" t="s">
        <v>334</v>
      </c>
      <c r="C2205" s="4" t="s">
        <v>92</v>
      </c>
      <c r="D2205" s="4"/>
      <c r="E2205" s="4"/>
      <c r="F2205" s="4" t="s">
        <v>1276</v>
      </c>
      <c r="G2205" s="4" t="s">
        <v>336</v>
      </c>
      <c r="H2205" s="4" t="s">
        <v>289</v>
      </c>
      <c r="I2205" s="4">
        <v>0.05</v>
      </c>
      <c r="J2205" s="21">
        <v>500</v>
      </c>
      <c r="K2205" s="21">
        <v>0</v>
      </c>
      <c r="L2205" s="5">
        <v>0</v>
      </c>
      <c r="M2205" s="4"/>
      <c r="N2205" s="4"/>
      <c r="O2205" s="5"/>
      <c r="P2205" s="5"/>
      <c r="Q2205" s="21">
        <v>25</v>
      </c>
      <c r="R2205" s="21">
        <v>0</v>
      </c>
      <c r="S2205" s="5">
        <f t="shared" si="139"/>
        <v>50430.777120151986</v>
      </c>
      <c r="T2205" cm="1">
        <f t="array" ref="T2205">IF(OR(B2205="MAL ALIMI", B2205="ÜRETİM GİRİŞ"), MIN(I2205, MAX(0, I2205 + SUM(SUMIFS($I$1:I2204, $C$1:C2204, C2205, $B$1:B2204, {"MAL ALIMI","ÜRETİM GİRİŞ"})) - VLOOKUP(C2205, 'STOK RAPORU'!$C$2:$I$1000, 4, 0))), 0)</f>
        <v>0</v>
      </c>
      <c r="U2205" s="22">
        <f t="shared" si="136"/>
        <v>0</v>
      </c>
      <c r="V2205">
        <f t="shared" si="137"/>
        <v>0</v>
      </c>
      <c r="W2205" s="22">
        <f t="shared" si="138"/>
        <v>0</v>
      </c>
    </row>
    <row r="2206" spans="1:23" hidden="1" x14ac:dyDescent="0.25">
      <c r="A2206" s="3">
        <v>46007</v>
      </c>
      <c r="B2206" s="4" t="s">
        <v>334</v>
      </c>
      <c r="C2206" s="4" t="s">
        <v>132</v>
      </c>
      <c r="D2206" s="4"/>
      <c r="E2206" s="4"/>
      <c r="F2206" s="4" t="s">
        <v>1277</v>
      </c>
      <c r="G2206" s="4" t="s">
        <v>336</v>
      </c>
      <c r="H2206" s="4" t="s">
        <v>289</v>
      </c>
      <c r="I2206" s="4">
        <v>0.108</v>
      </c>
      <c r="J2206" s="21">
        <v>500</v>
      </c>
      <c r="K2206" s="21">
        <v>0</v>
      </c>
      <c r="L2206" s="5">
        <v>0</v>
      </c>
      <c r="M2206" s="4"/>
      <c r="N2206" s="4"/>
      <c r="O2206" s="5"/>
      <c r="P2206" s="5"/>
      <c r="Q2206" s="21">
        <v>54</v>
      </c>
      <c r="R2206" s="21">
        <v>0</v>
      </c>
      <c r="S2206" s="5">
        <f t="shared" si="139"/>
        <v>50484.777120151986</v>
      </c>
      <c r="T2206" cm="1">
        <f t="array" ref="T2206">IF(OR(B2206="MAL ALIMI", B2206="ÜRETİM GİRİŞ"), MIN(I2206, MAX(0, I2206 + SUM(SUMIFS($I$1:I2205, $C$1:C2205, C2206, $B$1:B2205, {"MAL ALIMI","ÜRETİM GİRİŞ"})) - VLOOKUP(C2206, 'STOK RAPORU'!$C$2:$I$1000, 4, 0))), 0)</f>
        <v>0</v>
      </c>
      <c r="U2206" s="22">
        <f t="shared" si="136"/>
        <v>0</v>
      </c>
      <c r="V2206">
        <f t="shared" si="137"/>
        <v>0</v>
      </c>
      <c r="W2206" s="22">
        <f t="shared" si="138"/>
        <v>0</v>
      </c>
    </row>
    <row r="2207" spans="1:23" hidden="1" x14ac:dyDescent="0.25">
      <c r="A2207" s="3">
        <v>46007</v>
      </c>
      <c r="B2207" s="4" t="s">
        <v>334</v>
      </c>
      <c r="C2207" s="4" t="s">
        <v>132</v>
      </c>
      <c r="D2207" s="4"/>
      <c r="E2207" s="4"/>
      <c r="F2207" s="4" t="s">
        <v>1278</v>
      </c>
      <c r="G2207" s="4" t="s">
        <v>336</v>
      </c>
      <c r="H2207" s="4" t="s">
        <v>289</v>
      </c>
      <c r="I2207" s="4">
        <v>0.108</v>
      </c>
      <c r="J2207" s="21">
        <v>500</v>
      </c>
      <c r="K2207" s="21">
        <v>0</v>
      </c>
      <c r="L2207" s="5">
        <v>0</v>
      </c>
      <c r="M2207" s="4"/>
      <c r="N2207" s="4"/>
      <c r="O2207" s="5"/>
      <c r="P2207" s="5"/>
      <c r="Q2207" s="21">
        <v>54</v>
      </c>
      <c r="R2207" s="21">
        <v>0</v>
      </c>
      <c r="S2207" s="5">
        <f t="shared" si="139"/>
        <v>50538.777120151986</v>
      </c>
      <c r="T2207" cm="1">
        <f t="array" ref="T2207">IF(OR(B2207="MAL ALIMI", B2207="ÜRETİM GİRİŞ"), MIN(I2207, MAX(0, I2207 + SUM(SUMIFS($I$1:I2206, $C$1:C2206, C2207, $B$1:B2206, {"MAL ALIMI","ÜRETİM GİRİŞ"})) - VLOOKUP(C2207, 'STOK RAPORU'!$C$2:$I$1000, 4, 0))), 0)</f>
        <v>0</v>
      </c>
      <c r="U2207" s="22">
        <f t="shared" si="136"/>
        <v>0</v>
      </c>
      <c r="V2207">
        <f t="shared" si="137"/>
        <v>0</v>
      </c>
      <c r="W2207" s="22">
        <f t="shared" si="138"/>
        <v>0</v>
      </c>
    </row>
    <row r="2208" spans="1:23" hidden="1" x14ac:dyDescent="0.25">
      <c r="A2208" s="3">
        <v>46007</v>
      </c>
      <c r="B2208" s="4" t="s">
        <v>334</v>
      </c>
      <c r="C2208" s="4" t="s">
        <v>193</v>
      </c>
      <c r="D2208" s="4"/>
      <c r="E2208" s="4"/>
      <c r="F2208" s="4" t="s">
        <v>1279</v>
      </c>
      <c r="G2208" s="4" t="s">
        <v>336</v>
      </c>
      <c r="H2208" s="4" t="s">
        <v>289</v>
      </c>
      <c r="I2208" s="4">
        <v>0.05</v>
      </c>
      <c r="J2208" s="21">
        <v>1400</v>
      </c>
      <c r="K2208" s="21">
        <v>0</v>
      </c>
      <c r="L2208" s="5">
        <v>0</v>
      </c>
      <c r="M2208" s="4"/>
      <c r="N2208" s="4"/>
      <c r="O2208" s="5"/>
      <c r="P2208" s="5"/>
      <c r="Q2208" s="21">
        <v>70</v>
      </c>
      <c r="R2208" s="21">
        <v>0</v>
      </c>
      <c r="S2208" s="5">
        <f t="shared" si="139"/>
        <v>50608.777120151986</v>
      </c>
      <c r="T2208" cm="1">
        <f t="array" ref="T2208">IF(OR(B2208="MAL ALIMI", B2208="ÜRETİM GİRİŞ"), MIN(I2208, MAX(0, I2208 + SUM(SUMIFS($I$1:I2207, $C$1:C2207, C2208, $B$1:B2207, {"MAL ALIMI","ÜRETİM GİRİŞ"})) - VLOOKUP(C2208, 'STOK RAPORU'!$C$2:$I$1000, 4, 0))), 0)</f>
        <v>0</v>
      </c>
      <c r="U2208" s="22">
        <f t="shared" si="136"/>
        <v>0</v>
      </c>
      <c r="V2208">
        <f t="shared" si="137"/>
        <v>0</v>
      </c>
      <c r="W2208" s="22">
        <f t="shared" si="138"/>
        <v>0</v>
      </c>
    </row>
    <row r="2209" spans="1:23" hidden="1" x14ac:dyDescent="0.25">
      <c r="A2209" s="3">
        <v>46007</v>
      </c>
      <c r="B2209" s="4" t="s">
        <v>334</v>
      </c>
      <c r="C2209" s="4" t="s">
        <v>1181</v>
      </c>
      <c r="D2209" s="4"/>
      <c r="E2209" s="4"/>
      <c r="F2209" s="4" t="s">
        <v>1283</v>
      </c>
      <c r="G2209" s="4" t="s">
        <v>336</v>
      </c>
      <c r="H2209" s="4" t="s">
        <v>289</v>
      </c>
      <c r="I2209" s="4">
        <v>1</v>
      </c>
      <c r="J2209" s="21">
        <v>440</v>
      </c>
      <c r="K2209" s="21">
        <v>0</v>
      </c>
      <c r="L2209" s="5">
        <v>0</v>
      </c>
      <c r="M2209" s="4"/>
      <c r="N2209" s="4"/>
      <c r="O2209" s="5"/>
      <c r="P2209" s="5"/>
      <c r="Q2209" s="21">
        <v>440</v>
      </c>
      <c r="R2209" s="21">
        <v>0</v>
      </c>
      <c r="S2209" s="5">
        <f t="shared" si="139"/>
        <v>51048.777120151986</v>
      </c>
      <c r="T2209" cm="1">
        <f t="array" ref="T2209">IF(OR(B2209="MAL ALIMI", B2209="ÜRETİM GİRİŞ"), MIN(I2209, MAX(0, I2209 + SUM(SUMIFS($I$1:I2208, $C$1:C2208, C2209, $B$1:B2208, {"MAL ALIMI","ÜRETİM GİRİŞ"})) - VLOOKUP(C2209, 'STOK RAPORU'!$C$2:$I$1000, 4, 0))), 0)</f>
        <v>0</v>
      </c>
      <c r="U2209" s="22">
        <f t="shared" si="136"/>
        <v>0</v>
      </c>
      <c r="V2209">
        <f t="shared" si="137"/>
        <v>0</v>
      </c>
      <c r="W2209" s="22">
        <f t="shared" si="138"/>
        <v>0</v>
      </c>
    </row>
    <row r="2210" spans="1:23" hidden="1" x14ac:dyDescent="0.25">
      <c r="A2210" s="3">
        <v>46007</v>
      </c>
      <c r="B2210" s="4" t="s">
        <v>334</v>
      </c>
      <c r="C2210" s="4" t="s">
        <v>749</v>
      </c>
      <c r="D2210" s="4"/>
      <c r="E2210" s="4"/>
      <c r="F2210" s="4" t="s">
        <v>1283</v>
      </c>
      <c r="G2210" s="4" t="s">
        <v>336</v>
      </c>
      <c r="H2210" s="4" t="s">
        <v>289</v>
      </c>
      <c r="I2210" s="4">
        <v>1</v>
      </c>
      <c r="J2210" s="21">
        <v>210</v>
      </c>
      <c r="K2210" s="21">
        <v>0</v>
      </c>
      <c r="L2210" s="5">
        <v>0</v>
      </c>
      <c r="M2210" s="4"/>
      <c r="N2210" s="4"/>
      <c r="O2210" s="5"/>
      <c r="P2210" s="5"/>
      <c r="Q2210" s="21">
        <v>210</v>
      </c>
      <c r="R2210" s="21">
        <v>0</v>
      </c>
      <c r="S2210" s="5">
        <f t="shared" si="139"/>
        <v>51258.777120151986</v>
      </c>
      <c r="T2210" cm="1">
        <f t="array" ref="T2210">IF(OR(B2210="MAL ALIMI", B2210="ÜRETİM GİRİŞ"), MIN(I2210, MAX(0, I2210 + SUM(SUMIFS($I$1:I2209, $C$1:C2209, C2210, $B$1:B2209, {"MAL ALIMI","ÜRETİM GİRİŞ"})) - VLOOKUP(C2210, 'STOK RAPORU'!$C$2:$I$1000, 4, 0))), 0)</f>
        <v>0</v>
      </c>
      <c r="U2210" s="22">
        <f t="shared" si="136"/>
        <v>0</v>
      </c>
      <c r="V2210">
        <f t="shared" si="137"/>
        <v>0</v>
      </c>
      <c r="W2210" s="22">
        <f t="shared" si="138"/>
        <v>0</v>
      </c>
    </row>
    <row r="2211" spans="1:23" hidden="1" x14ac:dyDescent="0.25">
      <c r="A2211" s="3">
        <v>46007</v>
      </c>
      <c r="B2211" s="4" t="s">
        <v>917</v>
      </c>
      <c r="C2211" s="4"/>
      <c r="D2211" s="4"/>
      <c r="E2211" s="4" t="s">
        <v>855</v>
      </c>
      <c r="F2211" s="4"/>
      <c r="G2211" s="4" t="s">
        <v>1280</v>
      </c>
      <c r="H2211" s="4" t="s">
        <v>289</v>
      </c>
      <c r="I2211" s="4">
        <v>1</v>
      </c>
      <c r="J2211" s="21">
        <v>0</v>
      </c>
      <c r="K2211" s="21">
        <v>20000</v>
      </c>
      <c r="L2211" s="5">
        <v>0</v>
      </c>
      <c r="M2211" s="4"/>
      <c r="N2211" s="4"/>
      <c r="O2211" s="5"/>
      <c r="P2211" s="5"/>
      <c r="Q2211" s="21">
        <v>0</v>
      </c>
      <c r="R2211" s="21">
        <v>20000</v>
      </c>
      <c r="S2211" s="5">
        <f t="shared" si="139"/>
        <v>31258.777120151986</v>
      </c>
      <c r="T2211" cm="1">
        <f t="array" ref="T2211">IF(OR(B2211="MAL ALIMI", B2211="ÜRETİM GİRİŞ"), MIN(I2211, MAX(0, I2211 + SUM(SUMIFS($I$1:I2210, $C$1:C2210, C2211, $B$1:B2210, {"MAL ALIMI","ÜRETİM GİRİŞ"})) - VLOOKUP(C2211, 'STOK RAPORU'!$C$2:$I$1000, 4, 0))), 0)</f>
        <v>0</v>
      </c>
      <c r="U2211" s="22">
        <f t="shared" si="136"/>
        <v>0</v>
      </c>
      <c r="V2211">
        <f t="shared" si="137"/>
        <v>0</v>
      </c>
      <c r="W2211" s="22">
        <f t="shared" si="138"/>
        <v>0</v>
      </c>
    </row>
    <row r="2212" spans="1:23" hidden="1" x14ac:dyDescent="0.25">
      <c r="A2212" s="3">
        <v>46007</v>
      </c>
      <c r="B2212" s="4" t="s">
        <v>917</v>
      </c>
      <c r="C2212" s="4"/>
      <c r="D2212" s="4"/>
      <c r="E2212" s="4" t="s">
        <v>350</v>
      </c>
      <c r="F2212" s="4"/>
      <c r="G2212" s="4" t="s">
        <v>1281</v>
      </c>
      <c r="H2212" s="4" t="s">
        <v>289</v>
      </c>
      <c r="I2212" s="4">
        <v>1</v>
      </c>
      <c r="J2212" s="21">
        <v>0</v>
      </c>
      <c r="K2212" s="21">
        <v>10000</v>
      </c>
      <c r="L2212" s="5">
        <v>0</v>
      </c>
      <c r="M2212" s="4"/>
      <c r="N2212" s="4"/>
      <c r="O2212" s="5"/>
      <c r="P2212" s="5"/>
      <c r="Q2212" s="21">
        <v>0</v>
      </c>
      <c r="R2212" s="21">
        <v>10000</v>
      </c>
      <c r="S2212" s="5">
        <f t="shared" si="139"/>
        <v>21258.777120151986</v>
      </c>
      <c r="T2212" cm="1">
        <f t="array" ref="T2212">IF(OR(B2212="MAL ALIMI", B2212="ÜRETİM GİRİŞ"), MIN(I2212, MAX(0, I2212 + SUM(SUMIFS($I$1:I2211, $C$1:C2211, C2212, $B$1:B2211, {"MAL ALIMI","ÜRETİM GİRİŞ"})) - VLOOKUP(C2212, 'STOK RAPORU'!$C$2:$I$1000, 4, 0))), 0)</f>
        <v>0</v>
      </c>
      <c r="U2212" s="22">
        <f t="shared" si="136"/>
        <v>0</v>
      </c>
      <c r="V2212">
        <f t="shared" si="137"/>
        <v>0</v>
      </c>
      <c r="W2212" s="22">
        <f t="shared" si="138"/>
        <v>0</v>
      </c>
    </row>
    <row r="2213" spans="1:23" hidden="1" x14ac:dyDescent="0.25">
      <c r="A2213" s="3">
        <v>46007</v>
      </c>
      <c r="B2213" s="4" t="s">
        <v>285</v>
      </c>
      <c r="C2213" s="4"/>
      <c r="D2213" s="4" t="s">
        <v>113</v>
      </c>
      <c r="E2213" s="4"/>
      <c r="F2213" s="4"/>
      <c r="G2213" s="4" t="s">
        <v>1282</v>
      </c>
      <c r="H2213" s="4" t="s">
        <v>289</v>
      </c>
      <c r="I2213" s="4">
        <v>1</v>
      </c>
      <c r="J2213" s="21">
        <v>1500</v>
      </c>
      <c r="K2213" s="21">
        <v>0</v>
      </c>
      <c r="L2213" s="5">
        <v>0</v>
      </c>
      <c r="M2213" s="4"/>
      <c r="N2213" s="4"/>
      <c r="O2213" s="5"/>
      <c r="P2213" s="5"/>
      <c r="Q2213" s="21">
        <v>0</v>
      </c>
      <c r="R2213" s="21">
        <v>1500</v>
      </c>
      <c r="S2213" s="5">
        <f t="shared" si="139"/>
        <v>19758.777120151986</v>
      </c>
      <c r="T2213" cm="1">
        <f t="array" ref="T2213">IF(OR(B2213="MAL ALIMI", B2213="ÜRETİM GİRİŞ"), MIN(I2213, MAX(0, I2213 + SUM(SUMIFS($I$1:I2212, $C$1:C2212, C2213, $B$1:B2212, {"MAL ALIMI","ÜRETİM GİRİŞ"})) - VLOOKUP(C2213, 'STOK RAPORU'!$C$2:$I$1000, 4, 0))), 0)</f>
        <v>0</v>
      </c>
      <c r="U2213" s="22">
        <f t="shared" si="136"/>
        <v>0</v>
      </c>
      <c r="V2213">
        <f t="shared" si="137"/>
        <v>0</v>
      </c>
      <c r="W2213" s="22">
        <f t="shared" si="138"/>
        <v>0</v>
      </c>
    </row>
    <row r="2214" spans="1:23" hidden="1" x14ac:dyDescent="0.25">
      <c r="A2214" s="3">
        <v>46007</v>
      </c>
      <c r="B2214" s="4" t="s">
        <v>946</v>
      </c>
      <c r="C2214" s="4"/>
      <c r="D2214" s="4"/>
      <c r="E2214" s="4" t="s">
        <v>921</v>
      </c>
      <c r="F2214" s="4"/>
      <c r="G2214" s="4" t="s">
        <v>946</v>
      </c>
      <c r="H2214" s="4" t="s">
        <v>380</v>
      </c>
      <c r="I2214" s="4">
        <v>1</v>
      </c>
      <c r="J2214" s="105">
        <v>840</v>
      </c>
      <c r="K2214" s="21">
        <v>0</v>
      </c>
      <c r="L2214" s="111">
        <v>840</v>
      </c>
      <c r="M2214" s="4"/>
      <c r="N2214" s="4"/>
      <c r="O2214" s="5"/>
      <c r="P2214" s="5"/>
      <c r="Q2214" s="5">
        <v>840</v>
      </c>
      <c r="R2214" s="21">
        <v>0</v>
      </c>
      <c r="S2214" s="5">
        <f t="shared" si="139"/>
        <v>20598.777120151986</v>
      </c>
      <c r="T2214" cm="1">
        <f t="array" ref="T2214">IF(OR(B2214="MAL ALIMI", B2214="ÜRETİM GİRİŞ"), MIN(I2214, MAX(0, I2214 + SUM(SUMIFS($I$1:I2213, $C$1:C2213, C2214, $B$1:B2213, {"MAL ALIMI","ÜRETİM GİRİŞ"})) - VLOOKUP(C2214, 'STOK RAPORU'!$C$2:$I$1000, 4, 0))), 0)</f>
        <v>0</v>
      </c>
      <c r="U2214" s="22">
        <f t="shared" si="136"/>
        <v>0</v>
      </c>
      <c r="V2214">
        <f t="shared" si="137"/>
        <v>0</v>
      </c>
      <c r="W2214" s="22">
        <f t="shared" si="138"/>
        <v>0</v>
      </c>
    </row>
    <row r="2215" spans="1:23" hidden="1" x14ac:dyDescent="0.25">
      <c r="A2215" s="3">
        <v>46007</v>
      </c>
      <c r="B2215" s="4" t="s">
        <v>946</v>
      </c>
      <c r="C2215" s="4"/>
      <c r="D2215" s="4"/>
      <c r="E2215" s="4" t="s">
        <v>921</v>
      </c>
      <c r="F2215" s="4"/>
      <c r="G2215" s="4" t="s">
        <v>946</v>
      </c>
      <c r="H2215" s="4" t="s">
        <v>380</v>
      </c>
      <c r="I2215" s="4">
        <v>1</v>
      </c>
      <c r="J2215" s="105">
        <v>330</v>
      </c>
      <c r="K2215" s="21">
        <v>0</v>
      </c>
      <c r="L2215" s="111">
        <v>330</v>
      </c>
      <c r="M2215" s="4"/>
      <c r="N2215" s="4"/>
      <c r="O2215" s="5"/>
      <c r="P2215" s="5"/>
      <c r="Q2215" s="5">
        <v>330</v>
      </c>
      <c r="R2215" s="21">
        <v>0</v>
      </c>
      <c r="S2215" s="5">
        <f t="shared" si="139"/>
        <v>20928.777120151986</v>
      </c>
      <c r="T2215" cm="1">
        <f t="array" ref="T2215">IF(OR(B2215="MAL ALIMI", B2215="ÜRETİM GİRİŞ"), MIN(I2215, MAX(0, I2215 + SUM(SUMIFS($I$1:I2214, $C$1:C2214, C2215, $B$1:B2214, {"MAL ALIMI","ÜRETİM GİRİŞ"})) - VLOOKUP(C2215, 'STOK RAPORU'!$C$2:$I$1000, 4, 0))), 0)</f>
        <v>0</v>
      </c>
      <c r="U2215" s="22">
        <f t="shared" si="136"/>
        <v>0</v>
      </c>
      <c r="V2215">
        <f t="shared" si="137"/>
        <v>0</v>
      </c>
      <c r="W2215" s="22">
        <f t="shared" si="138"/>
        <v>0</v>
      </c>
    </row>
    <row r="2216" spans="1:23" hidden="1" x14ac:dyDescent="0.25">
      <c r="A2216" s="3">
        <v>46007</v>
      </c>
      <c r="B2216" s="3" t="s">
        <v>285</v>
      </c>
      <c r="C2216" s="4"/>
      <c r="D2216" s="4" t="s">
        <v>106</v>
      </c>
      <c r="E2216" s="4" t="s">
        <v>856</v>
      </c>
      <c r="F2216" s="4"/>
      <c r="G2216" s="4" t="s">
        <v>1335</v>
      </c>
      <c r="H2216" s="4" t="s">
        <v>1329</v>
      </c>
      <c r="I2216" s="4">
        <v>5</v>
      </c>
      <c r="J2216" s="35">
        <v>100</v>
      </c>
      <c r="K2216" s="35">
        <v>0</v>
      </c>
      <c r="L2216" s="5">
        <v>500</v>
      </c>
      <c r="M2216" s="4"/>
      <c r="N2216" s="4"/>
      <c r="O2216" s="5"/>
      <c r="P2216" s="5"/>
      <c r="Q2216" s="35">
        <v>0</v>
      </c>
      <c r="R2216" s="35">
        <v>0</v>
      </c>
      <c r="S2216" s="5">
        <f t="shared" si="139"/>
        <v>20928.777120151986</v>
      </c>
      <c r="T2216" cm="1">
        <f t="array" ref="T2216">IF(OR(B2216="MAL ALIMI", B2216="ÜRETİM GİRİŞ"), MIN(I2216, MAX(0, I2216 + SUM(SUMIFS($I$1:I2215, $C$1:C2215, C2216, $B$1:B2215, {"MAL ALIMI","ÜRETİM GİRİŞ"})) - VLOOKUP(C2216, 'STOK RAPORU'!$C$2:$I$1000, 4, 0))), 0)</f>
        <v>0</v>
      </c>
      <c r="U2216" s="22">
        <f t="shared" si="136"/>
        <v>0</v>
      </c>
      <c r="V2216">
        <f t="shared" si="137"/>
        <v>0</v>
      </c>
      <c r="W2216" s="22">
        <f t="shared" si="138"/>
        <v>0</v>
      </c>
    </row>
    <row r="2217" spans="1:23" hidden="1" x14ac:dyDescent="0.25">
      <c r="A2217" s="3">
        <v>46008</v>
      </c>
      <c r="B2217" s="4" t="s">
        <v>334</v>
      </c>
      <c r="C2217" s="4" t="s">
        <v>3167</v>
      </c>
      <c r="D2217" s="4"/>
      <c r="E2217" s="4"/>
      <c r="F2217" s="4" t="s">
        <v>1284</v>
      </c>
      <c r="G2217" s="4" t="s">
        <v>336</v>
      </c>
      <c r="H2217" s="4" t="s">
        <v>289</v>
      </c>
      <c r="I2217" s="4">
        <v>0.17399999999999999</v>
      </c>
      <c r="J2217" s="21">
        <v>370</v>
      </c>
      <c r="K2217" s="21">
        <v>0</v>
      </c>
      <c r="L2217" s="5">
        <v>0</v>
      </c>
      <c r="M2217" s="4"/>
      <c r="N2217" s="4"/>
      <c r="O2217" s="5"/>
      <c r="P2217" s="5"/>
      <c r="Q2217" s="21">
        <v>64.38</v>
      </c>
      <c r="R2217" s="21">
        <v>0</v>
      </c>
      <c r="S2217" s="5">
        <f t="shared" si="139"/>
        <v>20993.157120151987</v>
      </c>
      <c r="T2217" cm="1">
        <f t="array" ref="T2217">IF(OR(B2217="MAL ALIMI", B2217="ÜRETİM GİRİŞ"), MIN(I2217, MAX(0, I2217 + SUM(SUMIFS($I$1:I2216, $C$1:C2216, C2217, $B$1:B2216, {"MAL ALIMI","ÜRETİM GİRİŞ"})) - VLOOKUP(C2217, 'STOK RAPORU'!$C$2:$I$1000, 4, 0))), 0)</f>
        <v>0</v>
      </c>
      <c r="U2217" s="22">
        <f t="shared" si="136"/>
        <v>0</v>
      </c>
      <c r="V2217">
        <f t="shared" si="137"/>
        <v>0</v>
      </c>
      <c r="W2217" s="22">
        <f t="shared" si="138"/>
        <v>0</v>
      </c>
    </row>
    <row r="2218" spans="1:23" hidden="1" x14ac:dyDescent="0.25">
      <c r="A2218" s="3">
        <v>46008</v>
      </c>
      <c r="B2218" s="4" t="s">
        <v>334</v>
      </c>
      <c r="C2218" s="4" t="s">
        <v>92</v>
      </c>
      <c r="D2218" s="4"/>
      <c r="E2218" s="4"/>
      <c r="F2218" s="4" t="s">
        <v>1284</v>
      </c>
      <c r="G2218" s="4" t="s">
        <v>336</v>
      </c>
      <c r="H2218" s="4" t="s">
        <v>289</v>
      </c>
      <c r="I2218" s="4">
        <v>0.16800000000000001</v>
      </c>
      <c r="J2218" s="21">
        <v>500</v>
      </c>
      <c r="K2218" s="21">
        <v>0</v>
      </c>
      <c r="L2218" s="5">
        <v>0</v>
      </c>
      <c r="M2218" s="4"/>
      <c r="N2218" s="4"/>
      <c r="O2218" s="5"/>
      <c r="P2218" s="5"/>
      <c r="Q2218" s="21">
        <v>84</v>
      </c>
      <c r="R2218" s="21">
        <v>0</v>
      </c>
      <c r="S2218" s="5">
        <f t="shared" si="139"/>
        <v>21077.157120151987</v>
      </c>
      <c r="T2218" cm="1">
        <f t="array" ref="T2218">IF(OR(B2218="MAL ALIMI", B2218="ÜRETİM GİRİŞ"), MIN(I2218, MAX(0, I2218 + SUM(SUMIFS($I$1:I2217, $C$1:C2217, C2218, $B$1:B2217, {"MAL ALIMI","ÜRETİM GİRİŞ"})) - VLOOKUP(C2218, 'STOK RAPORU'!$C$2:$I$1000, 4, 0))), 0)</f>
        <v>0</v>
      </c>
      <c r="U2218" s="22">
        <f t="shared" si="136"/>
        <v>0</v>
      </c>
      <c r="V2218">
        <f t="shared" si="137"/>
        <v>0</v>
      </c>
      <c r="W2218" s="22">
        <f t="shared" si="138"/>
        <v>0</v>
      </c>
    </row>
    <row r="2219" spans="1:23" hidden="1" x14ac:dyDescent="0.25">
      <c r="A2219" s="3">
        <v>46008</v>
      </c>
      <c r="B2219" s="4" t="s">
        <v>334</v>
      </c>
      <c r="C2219" s="4" t="s">
        <v>96</v>
      </c>
      <c r="D2219" s="4"/>
      <c r="E2219" s="4"/>
      <c r="F2219" s="4" t="s">
        <v>1284</v>
      </c>
      <c r="G2219" s="4" t="s">
        <v>336</v>
      </c>
      <c r="H2219" s="4" t="s">
        <v>289</v>
      </c>
      <c r="I2219" s="4">
        <v>0.14799999999999999</v>
      </c>
      <c r="J2219" s="21">
        <v>380</v>
      </c>
      <c r="K2219" s="21">
        <v>0</v>
      </c>
      <c r="L2219" s="5">
        <v>0</v>
      </c>
      <c r="M2219" s="4"/>
      <c r="N2219" s="4"/>
      <c r="O2219" s="5"/>
      <c r="P2219" s="5"/>
      <c r="Q2219" s="21">
        <v>56.239999999999995</v>
      </c>
      <c r="R2219" s="21">
        <v>0</v>
      </c>
      <c r="S2219" s="5">
        <f t="shared" si="139"/>
        <v>21133.397120151989</v>
      </c>
      <c r="T2219" cm="1">
        <f t="array" ref="T2219">IF(OR(B2219="MAL ALIMI", B2219="ÜRETİM GİRİŞ"), MIN(I2219, MAX(0, I2219 + SUM(SUMIFS($I$1:I2218, $C$1:C2218, C2219, $B$1:B2218, {"MAL ALIMI","ÜRETİM GİRİŞ"})) - VLOOKUP(C2219, 'STOK RAPORU'!$C$2:$I$1000, 4, 0))), 0)</f>
        <v>0</v>
      </c>
      <c r="U2219" s="22">
        <f t="shared" si="136"/>
        <v>0</v>
      </c>
      <c r="V2219">
        <f t="shared" si="137"/>
        <v>0</v>
      </c>
      <c r="W2219" s="22">
        <f t="shared" si="138"/>
        <v>0</v>
      </c>
    </row>
    <row r="2220" spans="1:23" hidden="1" x14ac:dyDescent="0.25">
      <c r="A2220" s="3">
        <v>46008</v>
      </c>
      <c r="B2220" s="4" t="s">
        <v>334</v>
      </c>
      <c r="C2220" s="4" t="s">
        <v>156</v>
      </c>
      <c r="D2220" s="4"/>
      <c r="E2220" s="4"/>
      <c r="F2220" s="4" t="s">
        <v>1284</v>
      </c>
      <c r="G2220" s="4" t="s">
        <v>336</v>
      </c>
      <c r="H2220" s="4" t="s">
        <v>289</v>
      </c>
      <c r="I2220" s="4">
        <v>1</v>
      </c>
      <c r="J2220" s="21">
        <v>200</v>
      </c>
      <c r="K2220" s="21">
        <v>0</v>
      </c>
      <c r="L2220" s="5">
        <v>0</v>
      </c>
      <c r="M2220" s="4"/>
      <c r="N2220" s="4"/>
      <c r="O2220" s="5"/>
      <c r="P2220" s="5"/>
      <c r="Q2220" s="21">
        <v>200</v>
      </c>
      <c r="R2220" s="21">
        <v>0</v>
      </c>
      <c r="S2220" s="5">
        <f t="shared" si="139"/>
        <v>21333.397120151989</v>
      </c>
      <c r="T2220" cm="1">
        <f t="array" ref="T2220">IF(OR(B2220="MAL ALIMI", B2220="ÜRETİM GİRİŞ"), MIN(I2220, MAX(0, I2220 + SUM(SUMIFS($I$1:I2219, $C$1:C2219, C2220, $B$1:B2219, {"MAL ALIMI","ÜRETİM GİRİŞ"})) - VLOOKUP(C2220, 'STOK RAPORU'!$C$2:$I$1000, 4, 0))), 0)</f>
        <v>0</v>
      </c>
      <c r="U2220" s="22">
        <f t="shared" si="136"/>
        <v>0</v>
      </c>
      <c r="V2220">
        <f t="shared" si="137"/>
        <v>0</v>
      </c>
      <c r="W2220" s="22">
        <f t="shared" si="138"/>
        <v>0</v>
      </c>
    </row>
    <row r="2221" spans="1:23" hidden="1" x14ac:dyDescent="0.25">
      <c r="A2221" s="3">
        <v>46008</v>
      </c>
      <c r="B2221" s="4" t="s">
        <v>334</v>
      </c>
      <c r="C2221" s="4" t="s">
        <v>225</v>
      </c>
      <c r="D2221" s="4"/>
      <c r="E2221" s="4"/>
      <c r="F2221" s="4" t="s">
        <v>1284</v>
      </c>
      <c r="G2221" s="4" t="s">
        <v>336</v>
      </c>
      <c r="H2221" s="4" t="s">
        <v>289</v>
      </c>
      <c r="I2221" s="4">
        <v>0.34200000000000003</v>
      </c>
      <c r="J2221" s="21">
        <v>750</v>
      </c>
      <c r="K2221" s="21">
        <v>0</v>
      </c>
      <c r="L2221" s="5">
        <v>0</v>
      </c>
      <c r="M2221" s="4"/>
      <c r="N2221" s="4"/>
      <c r="O2221" s="5"/>
      <c r="P2221" s="5"/>
      <c r="Q2221" s="21">
        <v>256.5</v>
      </c>
      <c r="R2221" s="21">
        <v>0</v>
      </c>
      <c r="S2221" s="5">
        <f t="shared" si="139"/>
        <v>21589.897120151989</v>
      </c>
      <c r="T2221" cm="1">
        <f t="array" ref="T2221">IF(OR(B2221="MAL ALIMI", B2221="ÜRETİM GİRİŞ"), MIN(I2221, MAX(0, I2221 + SUM(SUMIFS($I$1:I2220, $C$1:C2220, C2221, $B$1:B2220, {"MAL ALIMI","ÜRETİM GİRİŞ"})) - VLOOKUP(C2221, 'STOK RAPORU'!$C$2:$I$1000, 4, 0))), 0)</f>
        <v>0</v>
      </c>
      <c r="U2221" s="22">
        <f t="shared" si="136"/>
        <v>0</v>
      </c>
      <c r="V2221">
        <f t="shared" si="137"/>
        <v>0</v>
      </c>
      <c r="W2221" s="22">
        <f t="shared" si="138"/>
        <v>0</v>
      </c>
    </row>
    <row r="2222" spans="1:23" hidden="1" x14ac:dyDescent="0.25">
      <c r="A2222" s="3">
        <v>46008</v>
      </c>
      <c r="B2222" s="4" t="s">
        <v>334</v>
      </c>
      <c r="C2222" s="4" t="s">
        <v>266</v>
      </c>
      <c r="D2222" s="4"/>
      <c r="E2222" s="4"/>
      <c r="F2222" s="4" t="s">
        <v>1284</v>
      </c>
      <c r="G2222" s="4" t="s">
        <v>336</v>
      </c>
      <c r="H2222" s="4" t="s">
        <v>289</v>
      </c>
      <c r="I2222" s="4">
        <v>0.36599999999999999</v>
      </c>
      <c r="J2222" s="21">
        <v>250</v>
      </c>
      <c r="K2222" s="21">
        <v>0</v>
      </c>
      <c r="L2222" s="5">
        <v>0</v>
      </c>
      <c r="M2222" s="4"/>
      <c r="N2222" s="4"/>
      <c r="O2222" s="5"/>
      <c r="P2222" s="5"/>
      <c r="Q2222" s="21">
        <v>91.5</v>
      </c>
      <c r="R2222" s="21">
        <v>0</v>
      </c>
      <c r="S2222" s="5">
        <f t="shared" si="139"/>
        <v>21681.397120151989</v>
      </c>
      <c r="T2222" cm="1">
        <f t="array" ref="T2222">IF(OR(B2222="MAL ALIMI", B2222="ÜRETİM GİRİŞ"), MIN(I2222, MAX(0, I2222 + SUM(SUMIFS($I$1:I2221, $C$1:C2221, C2222, $B$1:B2221, {"MAL ALIMI","ÜRETİM GİRİŞ"})) - VLOOKUP(C2222, 'STOK RAPORU'!$C$2:$I$1000, 4, 0))), 0)</f>
        <v>0</v>
      </c>
      <c r="U2222" s="22">
        <f t="shared" si="136"/>
        <v>0</v>
      </c>
      <c r="V2222">
        <f t="shared" si="137"/>
        <v>0</v>
      </c>
      <c r="W2222" s="22">
        <f t="shared" si="138"/>
        <v>0</v>
      </c>
    </row>
    <row r="2223" spans="1:23" hidden="1" x14ac:dyDescent="0.25">
      <c r="A2223" s="3">
        <v>46008</v>
      </c>
      <c r="B2223" s="4" t="s">
        <v>334</v>
      </c>
      <c r="C2223" s="4" t="s">
        <v>218</v>
      </c>
      <c r="D2223" s="4"/>
      <c r="E2223" s="4"/>
      <c r="F2223" s="4" t="s">
        <v>1284</v>
      </c>
      <c r="G2223" s="4" t="s">
        <v>336</v>
      </c>
      <c r="H2223" s="4" t="s">
        <v>289</v>
      </c>
      <c r="I2223" s="4">
        <v>1</v>
      </c>
      <c r="J2223" s="21">
        <v>295</v>
      </c>
      <c r="K2223" s="21">
        <v>0</v>
      </c>
      <c r="L2223" s="5">
        <v>0</v>
      </c>
      <c r="M2223" s="4"/>
      <c r="N2223" s="4"/>
      <c r="O2223" s="5"/>
      <c r="P2223" s="5"/>
      <c r="Q2223" s="21">
        <v>295</v>
      </c>
      <c r="R2223" s="21">
        <v>0</v>
      </c>
      <c r="S2223" s="5">
        <f t="shared" si="139"/>
        <v>21976.397120151989</v>
      </c>
      <c r="T2223" cm="1">
        <f t="array" ref="T2223">IF(OR(B2223="MAL ALIMI", B2223="ÜRETİM GİRİŞ"), MIN(I2223, MAX(0, I2223 + SUM(SUMIFS($I$1:I2222, $C$1:C2222, C2223, $B$1:B2222, {"MAL ALIMI","ÜRETİM GİRİŞ"})) - VLOOKUP(C2223, 'STOK RAPORU'!$C$2:$I$1000, 4, 0))), 0)</f>
        <v>0</v>
      </c>
      <c r="U2223" s="22">
        <f t="shared" si="136"/>
        <v>0</v>
      </c>
      <c r="V2223">
        <f t="shared" si="137"/>
        <v>0</v>
      </c>
      <c r="W2223" s="22">
        <f t="shared" si="138"/>
        <v>0</v>
      </c>
    </row>
    <row r="2224" spans="1:23" hidden="1" x14ac:dyDescent="0.25">
      <c r="A2224" s="3">
        <v>46008</v>
      </c>
      <c r="B2224" s="4" t="s">
        <v>334</v>
      </c>
      <c r="C2224" s="4" t="s">
        <v>523</v>
      </c>
      <c r="D2224" s="4"/>
      <c r="E2224" s="4"/>
      <c r="F2224" s="4" t="s">
        <v>1284</v>
      </c>
      <c r="G2224" s="4" t="s">
        <v>336</v>
      </c>
      <c r="H2224" s="4" t="s">
        <v>289</v>
      </c>
      <c r="I2224" s="4">
        <v>0.1</v>
      </c>
      <c r="J2224" s="21">
        <v>650</v>
      </c>
      <c r="K2224" s="21">
        <v>0</v>
      </c>
      <c r="L2224" s="5">
        <v>0</v>
      </c>
      <c r="M2224" s="4"/>
      <c r="N2224" s="4"/>
      <c r="O2224" s="5"/>
      <c r="P2224" s="5"/>
      <c r="Q2224" s="21">
        <v>65</v>
      </c>
      <c r="R2224" s="21">
        <v>0</v>
      </c>
      <c r="S2224" s="5">
        <f t="shared" si="139"/>
        <v>22041.397120151989</v>
      </c>
      <c r="T2224" cm="1">
        <f t="array" ref="T2224">IF(OR(B2224="MAL ALIMI", B2224="ÜRETİM GİRİŞ"), MIN(I2224, MAX(0, I2224 + SUM(SUMIFS($I$1:I2223, $C$1:C2223, C2224, $B$1:B2223, {"MAL ALIMI","ÜRETİM GİRİŞ"})) - VLOOKUP(C2224, 'STOK RAPORU'!$C$2:$I$1000, 4, 0))), 0)</f>
        <v>0</v>
      </c>
      <c r="U2224" s="22">
        <f t="shared" si="136"/>
        <v>0</v>
      </c>
      <c r="V2224">
        <f t="shared" si="137"/>
        <v>0</v>
      </c>
      <c r="W2224" s="22">
        <f t="shared" si="138"/>
        <v>0</v>
      </c>
    </row>
    <row r="2225" spans="1:23" hidden="1" x14ac:dyDescent="0.25">
      <c r="A2225" s="3">
        <v>46008</v>
      </c>
      <c r="B2225" s="4" t="s">
        <v>334</v>
      </c>
      <c r="C2225" s="4" t="s">
        <v>1176</v>
      </c>
      <c r="D2225" s="4"/>
      <c r="E2225" s="4" t="s">
        <v>921</v>
      </c>
      <c r="F2225" s="4" t="s">
        <v>1285</v>
      </c>
      <c r="G2225" s="4" t="s">
        <v>336</v>
      </c>
      <c r="H2225" s="4" t="s">
        <v>380</v>
      </c>
      <c r="I2225" s="4">
        <v>0.1</v>
      </c>
      <c r="J2225" s="21">
        <v>1000</v>
      </c>
      <c r="K2225" s="21">
        <v>100</v>
      </c>
      <c r="L2225" s="5">
        <v>0</v>
      </c>
      <c r="M2225" s="4"/>
      <c r="N2225" s="4"/>
      <c r="O2225" s="5"/>
      <c r="P2225" s="5"/>
      <c r="Q2225" s="21">
        <v>0</v>
      </c>
      <c r="R2225" s="21">
        <v>0</v>
      </c>
      <c r="S2225" s="5">
        <f t="shared" si="139"/>
        <v>22041.397120151989</v>
      </c>
      <c r="T2225" cm="1">
        <f t="array" ref="T2225">IF(OR(B2225="MAL ALIMI", B2225="ÜRETİM GİRİŞ"), MIN(I2225, MAX(0, I2225 + SUM(SUMIFS($I$1:I2224, $C$1:C2224, C2225, $B$1:B2224, {"MAL ALIMI","ÜRETİM GİRİŞ"})) - VLOOKUP(C2225, 'STOK RAPORU'!$C$2:$I$1000, 4, 0))), 0)</f>
        <v>0</v>
      </c>
      <c r="U2225" s="22">
        <f t="shared" si="136"/>
        <v>0</v>
      </c>
      <c r="V2225">
        <f t="shared" si="137"/>
        <v>0</v>
      </c>
      <c r="W2225" s="22">
        <f t="shared" si="138"/>
        <v>0</v>
      </c>
    </row>
    <row r="2226" spans="1:23" hidden="1" x14ac:dyDescent="0.25">
      <c r="A2226" s="3">
        <v>46008</v>
      </c>
      <c r="B2226" s="4" t="s">
        <v>334</v>
      </c>
      <c r="C2226" s="4" t="s">
        <v>154</v>
      </c>
      <c r="D2226" s="4"/>
      <c r="E2226" s="4" t="s">
        <v>921</v>
      </c>
      <c r="F2226" s="4" t="s">
        <v>1285</v>
      </c>
      <c r="G2226" s="4" t="s">
        <v>336</v>
      </c>
      <c r="H2226" s="4" t="s">
        <v>380</v>
      </c>
      <c r="I2226" s="4">
        <v>0.1</v>
      </c>
      <c r="J2226" s="21">
        <v>400</v>
      </c>
      <c r="K2226" s="21">
        <v>40</v>
      </c>
      <c r="L2226" s="5">
        <v>0</v>
      </c>
      <c r="M2226" s="4"/>
      <c r="N2226" s="4"/>
      <c r="O2226" s="5"/>
      <c r="P2226" s="5"/>
      <c r="Q2226" s="21">
        <v>0</v>
      </c>
      <c r="R2226" s="21">
        <v>0</v>
      </c>
      <c r="S2226" s="5">
        <f t="shared" si="139"/>
        <v>22041.397120151989</v>
      </c>
      <c r="T2226" cm="1">
        <f t="array" ref="T2226">IF(OR(B2226="MAL ALIMI", B2226="ÜRETİM GİRİŞ"), MIN(I2226, MAX(0, I2226 + SUM(SUMIFS($I$1:I2225, $C$1:C2225, C2226, $B$1:B2225, {"MAL ALIMI","ÜRETİM GİRİŞ"})) - VLOOKUP(C2226, 'STOK RAPORU'!$C$2:$I$1000, 4, 0))), 0)</f>
        <v>0</v>
      </c>
      <c r="U2226" s="22">
        <f t="shared" si="136"/>
        <v>0</v>
      </c>
      <c r="V2226">
        <f t="shared" si="137"/>
        <v>0</v>
      </c>
      <c r="W2226" s="22">
        <f t="shared" si="138"/>
        <v>0</v>
      </c>
    </row>
    <row r="2227" spans="1:23" hidden="1" x14ac:dyDescent="0.25">
      <c r="A2227" s="3">
        <v>46008</v>
      </c>
      <c r="B2227" s="4" t="s">
        <v>334</v>
      </c>
      <c r="C2227" s="4" t="s">
        <v>152</v>
      </c>
      <c r="D2227" s="4"/>
      <c r="E2227" s="4" t="s">
        <v>921</v>
      </c>
      <c r="F2227" s="4" t="s">
        <v>1285</v>
      </c>
      <c r="G2227" s="4" t="s">
        <v>336</v>
      </c>
      <c r="H2227" s="4" t="s">
        <v>380</v>
      </c>
      <c r="I2227" s="4">
        <v>0.1</v>
      </c>
      <c r="J2227" s="21">
        <v>400</v>
      </c>
      <c r="K2227" s="21">
        <v>40</v>
      </c>
      <c r="L2227" s="5">
        <v>0</v>
      </c>
      <c r="M2227" s="4"/>
      <c r="N2227" s="4"/>
      <c r="O2227" s="5"/>
      <c r="P2227" s="5"/>
      <c r="Q2227" s="21">
        <v>0</v>
      </c>
      <c r="R2227" s="21">
        <v>0</v>
      </c>
      <c r="S2227" s="5">
        <f t="shared" si="139"/>
        <v>22041.397120151989</v>
      </c>
      <c r="T2227" cm="1">
        <f t="array" ref="T2227">IF(OR(B2227="MAL ALIMI", B2227="ÜRETİM GİRİŞ"), MIN(I2227, MAX(0, I2227 + SUM(SUMIFS($I$1:I2226, $C$1:C2226, C2227, $B$1:B2226, {"MAL ALIMI","ÜRETİM GİRİŞ"})) - VLOOKUP(C2227, 'STOK RAPORU'!$C$2:$I$1000, 4, 0))), 0)</f>
        <v>0</v>
      </c>
      <c r="U2227" s="22">
        <f t="shared" si="136"/>
        <v>0</v>
      </c>
      <c r="V2227">
        <f t="shared" si="137"/>
        <v>0</v>
      </c>
      <c r="W2227" s="22">
        <f t="shared" si="138"/>
        <v>0</v>
      </c>
    </row>
    <row r="2228" spans="1:23" hidden="1" x14ac:dyDescent="0.25">
      <c r="A2228" s="3">
        <v>46008</v>
      </c>
      <c r="B2228" s="4" t="s">
        <v>334</v>
      </c>
      <c r="C2228" s="4" t="s">
        <v>697</v>
      </c>
      <c r="D2228" s="4"/>
      <c r="E2228" s="4" t="s">
        <v>921</v>
      </c>
      <c r="F2228" s="4" t="s">
        <v>1285</v>
      </c>
      <c r="G2228" s="4" t="s">
        <v>336</v>
      </c>
      <c r="H2228" s="4" t="s">
        <v>380</v>
      </c>
      <c r="I2228" s="4">
        <v>0.1</v>
      </c>
      <c r="J2228" s="21">
        <v>750</v>
      </c>
      <c r="K2228" s="21">
        <v>75</v>
      </c>
      <c r="L2228" s="5">
        <v>0</v>
      </c>
      <c r="M2228" s="4"/>
      <c r="N2228" s="4"/>
      <c r="O2228" s="5"/>
      <c r="P2228" s="5"/>
      <c r="Q2228" s="21">
        <v>0</v>
      </c>
      <c r="R2228" s="21">
        <v>0</v>
      </c>
      <c r="S2228" s="5">
        <f t="shared" si="139"/>
        <v>22041.397120151989</v>
      </c>
      <c r="T2228" cm="1">
        <f t="array" ref="T2228">IF(OR(B2228="MAL ALIMI", B2228="ÜRETİM GİRİŞ"), MIN(I2228, MAX(0, I2228 + SUM(SUMIFS($I$1:I2227, $C$1:C2227, C2228, $B$1:B2227, {"MAL ALIMI","ÜRETİM GİRİŞ"})) - VLOOKUP(C2228, 'STOK RAPORU'!$C$2:$I$1000, 4, 0))), 0)</f>
        <v>0</v>
      </c>
      <c r="U2228" s="22">
        <f t="shared" si="136"/>
        <v>0</v>
      </c>
      <c r="V2228">
        <f t="shared" si="137"/>
        <v>0</v>
      </c>
      <c r="W2228" s="22">
        <f t="shared" si="138"/>
        <v>0</v>
      </c>
    </row>
    <row r="2229" spans="1:23" hidden="1" x14ac:dyDescent="0.25">
      <c r="A2229" s="3">
        <v>46008</v>
      </c>
      <c r="B2229" s="4" t="s">
        <v>334</v>
      </c>
      <c r="C2229" s="4" t="s">
        <v>835</v>
      </c>
      <c r="D2229" s="4"/>
      <c r="E2229" s="4" t="s">
        <v>921</v>
      </c>
      <c r="F2229" s="4" t="s">
        <v>1285</v>
      </c>
      <c r="G2229" s="4" t="s">
        <v>336</v>
      </c>
      <c r="H2229" s="4" t="s">
        <v>380</v>
      </c>
      <c r="I2229" s="4">
        <v>1</v>
      </c>
      <c r="J2229" s="21">
        <v>130</v>
      </c>
      <c r="K2229" s="21">
        <v>130</v>
      </c>
      <c r="L2229" s="5">
        <v>0</v>
      </c>
      <c r="M2229" s="4"/>
      <c r="N2229" s="4"/>
      <c r="O2229" s="5"/>
      <c r="P2229" s="5"/>
      <c r="Q2229" s="21">
        <v>0</v>
      </c>
      <c r="R2229" s="21">
        <v>0</v>
      </c>
      <c r="S2229" s="5">
        <f t="shared" si="139"/>
        <v>22041.397120151989</v>
      </c>
      <c r="T2229" cm="1">
        <f t="array" ref="T2229">IF(OR(B2229="MAL ALIMI", B2229="ÜRETİM GİRİŞ"), MIN(I2229, MAX(0, I2229 + SUM(SUMIFS($I$1:I2228, $C$1:C2228, C2229, $B$1:B2228, {"MAL ALIMI","ÜRETİM GİRİŞ"})) - VLOOKUP(C2229, 'STOK RAPORU'!$C$2:$I$1000, 4, 0))), 0)</f>
        <v>0</v>
      </c>
      <c r="U2229" s="22">
        <f t="shared" si="136"/>
        <v>0</v>
      </c>
      <c r="V2229">
        <f t="shared" si="137"/>
        <v>0</v>
      </c>
      <c r="W2229" s="22">
        <f t="shared" si="138"/>
        <v>0</v>
      </c>
    </row>
    <row r="2230" spans="1:23" hidden="1" x14ac:dyDescent="0.25">
      <c r="A2230" s="3">
        <v>46008</v>
      </c>
      <c r="B2230" s="4" t="s">
        <v>334</v>
      </c>
      <c r="C2230" s="4" t="s">
        <v>690</v>
      </c>
      <c r="D2230" s="4"/>
      <c r="E2230" s="4" t="s">
        <v>921</v>
      </c>
      <c r="F2230" s="4" t="s">
        <v>1285</v>
      </c>
      <c r="G2230" s="4" t="s">
        <v>336</v>
      </c>
      <c r="H2230" s="4" t="s">
        <v>380</v>
      </c>
      <c r="I2230" s="4">
        <v>0.42</v>
      </c>
      <c r="J2230" s="21">
        <v>340</v>
      </c>
      <c r="K2230" s="21">
        <v>142.79999999999998</v>
      </c>
      <c r="L2230" s="5">
        <v>0</v>
      </c>
      <c r="M2230" s="4"/>
      <c r="N2230" s="4"/>
      <c r="O2230" s="5"/>
      <c r="P2230" s="5"/>
      <c r="Q2230" s="21">
        <v>0</v>
      </c>
      <c r="R2230" s="21">
        <v>0</v>
      </c>
      <c r="S2230" s="5">
        <f t="shared" si="139"/>
        <v>22041.397120151989</v>
      </c>
      <c r="T2230" cm="1">
        <f t="array" ref="T2230">IF(OR(B2230="MAL ALIMI", B2230="ÜRETİM GİRİŞ"), MIN(I2230, MAX(0, I2230 + SUM(SUMIFS($I$1:I2229, $C$1:C2229, C2230, $B$1:B2229, {"MAL ALIMI","ÜRETİM GİRİŞ"})) - VLOOKUP(C2230, 'STOK RAPORU'!$C$2:$I$1000, 4, 0))), 0)</f>
        <v>0</v>
      </c>
      <c r="U2230" s="22">
        <f t="shared" si="136"/>
        <v>0</v>
      </c>
      <c r="V2230">
        <f t="shared" si="137"/>
        <v>0</v>
      </c>
      <c r="W2230" s="22">
        <f t="shared" si="138"/>
        <v>0</v>
      </c>
    </row>
    <row r="2231" spans="1:23" hidden="1" x14ac:dyDescent="0.25">
      <c r="A2231" s="3">
        <v>46008</v>
      </c>
      <c r="B2231" s="4" t="s">
        <v>334</v>
      </c>
      <c r="C2231" s="4" t="s">
        <v>486</v>
      </c>
      <c r="D2231" s="4"/>
      <c r="E2231" s="4" t="s">
        <v>921</v>
      </c>
      <c r="F2231" s="4" t="s">
        <v>1285</v>
      </c>
      <c r="G2231" s="4" t="s">
        <v>336</v>
      </c>
      <c r="H2231" s="4" t="s">
        <v>380</v>
      </c>
      <c r="I2231" s="4">
        <v>1</v>
      </c>
      <c r="J2231" s="21">
        <v>180</v>
      </c>
      <c r="K2231" s="21">
        <v>180</v>
      </c>
      <c r="L2231" s="5">
        <v>0</v>
      </c>
      <c r="M2231" s="4"/>
      <c r="N2231" s="4"/>
      <c r="O2231" s="5"/>
      <c r="P2231" s="5"/>
      <c r="Q2231" s="21">
        <v>0</v>
      </c>
      <c r="R2231" s="21">
        <v>0</v>
      </c>
      <c r="S2231" s="5">
        <f t="shared" si="139"/>
        <v>22041.397120151989</v>
      </c>
      <c r="T2231" cm="1">
        <f t="array" ref="T2231">IF(OR(B2231="MAL ALIMI", B2231="ÜRETİM GİRİŞ"), MIN(I2231, MAX(0, I2231 + SUM(SUMIFS($I$1:I2230, $C$1:C2230, C2231, $B$1:B2230, {"MAL ALIMI","ÜRETİM GİRİŞ"})) - VLOOKUP(C2231, 'STOK RAPORU'!$C$2:$I$1000, 4, 0))), 0)</f>
        <v>0</v>
      </c>
      <c r="U2231" s="22">
        <f t="shared" si="136"/>
        <v>0</v>
      </c>
      <c r="V2231">
        <f t="shared" si="137"/>
        <v>0</v>
      </c>
      <c r="W2231" s="22">
        <f t="shared" si="138"/>
        <v>0</v>
      </c>
    </row>
    <row r="2232" spans="1:23" hidden="1" x14ac:dyDescent="0.25">
      <c r="A2232" s="3">
        <v>46008</v>
      </c>
      <c r="B2232" s="4" t="s">
        <v>334</v>
      </c>
      <c r="C2232" s="4" t="s">
        <v>463</v>
      </c>
      <c r="D2232" s="4"/>
      <c r="E2232" s="4"/>
      <c r="F2232" s="4" t="s">
        <v>1286</v>
      </c>
      <c r="G2232" s="4" t="s">
        <v>336</v>
      </c>
      <c r="H2232" s="4" t="s">
        <v>289</v>
      </c>
      <c r="I2232" s="4">
        <v>0.10277777777777777</v>
      </c>
      <c r="J2232" s="21">
        <v>360</v>
      </c>
      <c r="K2232" s="21">
        <v>0</v>
      </c>
      <c r="L2232" s="5">
        <v>0</v>
      </c>
      <c r="M2232" s="4"/>
      <c r="N2232" s="4"/>
      <c r="O2232" s="5"/>
      <c r="P2232" s="5"/>
      <c r="Q2232" s="21">
        <v>37</v>
      </c>
      <c r="R2232" s="21">
        <v>0</v>
      </c>
      <c r="S2232" s="5">
        <f t="shared" si="139"/>
        <v>22078.397120151989</v>
      </c>
      <c r="T2232" cm="1">
        <f t="array" ref="T2232">IF(OR(B2232="MAL ALIMI", B2232="ÜRETİM GİRİŞ"), MIN(I2232, MAX(0, I2232 + SUM(SUMIFS($I$1:I2231, $C$1:C2231, C2232, $B$1:B2231, {"MAL ALIMI","ÜRETİM GİRİŞ"})) - VLOOKUP(C2232, 'STOK RAPORU'!$C$2:$I$1000, 4, 0))), 0)</f>
        <v>0</v>
      </c>
      <c r="U2232" s="22">
        <f t="shared" si="136"/>
        <v>0</v>
      </c>
      <c r="V2232">
        <f t="shared" si="137"/>
        <v>0</v>
      </c>
      <c r="W2232" s="22">
        <f t="shared" si="138"/>
        <v>0</v>
      </c>
    </row>
    <row r="2233" spans="1:23" hidden="1" x14ac:dyDescent="0.25">
      <c r="A2233" s="3">
        <v>46008</v>
      </c>
      <c r="B2233" s="4" t="s">
        <v>334</v>
      </c>
      <c r="C2233" s="4" t="s">
        <v>166</v>
      </c>
      <c r="D2233" s="4"/>
      <c r="E2233" s="4"/>
      <c r="F2233" s="4" t="s">
        <v>1286</v>
      </c>
      <c r="G2233" s="4" t="s">
        <v>336</v>
      </c>
      <c r="H2233" s="4" t="s">
        <v>289</v>
      </c>
      <c r="I2233" s="4">
        <v>9.4805194805194809E-2</v>
      </c>
      <c r="J2233" s="21">
        <v>770</v>
      </c>
      <c r="K2233" s="21">
        <v>0</v>
      </c>
      <c r="L2233" s="5">
        <v>0</v>
      </c>
      <c r="M2233" s="4"/>
      <c r="N2233" s="4"/>
      <c r="O2233" s="5"/>
      <c r="P2233" s="5"/>
      <c r="Q2233" s="21">
        <v>73</v>
      </c>
      <c r="R2233" s="21">
        <v>0</v>
      </c>
      <c r="S2233" s="5">
        <f t="shared" si="139"/>
        <v>22151.397120151989</v>
      </c>
      <c r="T2233" cm="1">
        <f t="array" ref="T2233">IF(OR(B2233="MAL ALIMI", B2233="ÜRETİM GİRİŞ"), MIN(I2233, MAX(0, I2233 + SUM(SUMIFS($I$1:I2232, $C$1:C2232, C2233, $B$1:B2232, {"MAL ALIMI","ÜRETİM GİRİŞ"})) - VLOOKUP(C2233, 'STOK RAPORU'!$C$2:$I$1000, 4, 0))), 0)</f>
        <v>0</v>
      </c>
      <c r="U2233" s="22">
        <f t="shared" si="136"/>
        <v>0</v>
      </c>
      <c r="V2233">
        <f t="shared" si="137"/>
        <v>0</v>
      </c>
      <c r="W2233" s="22">
        <f t="shared" si="138"/>
        <v>0</v>
      </c>
    </row>
    <row r="2234" spans="1:23" hidden="1" x14ac:dyDescent="0.25">
      <c r="A2234" s="3">
        <v>46008</v>
      </c>
      <c r="B2234" s="4" t="s">
        <v>334</v>
      </c>
      <c r="C2234" s="4" t="s">
        <v>892</v>
      </c>
      <c r="D2234" s="4"/>
      <c r="E2234" s="4" t="s">
        <v>921</v>
      </c>
      <c r="F2234" s="4" t="s">
        <v>1287</v>
      </c>
      <c r="G2234" s="4" t="s">
        <v>336</v>
      </c>
      <c r="H2234" s="4" t="s">
        <v>380</v>
      </c>
      <c r="I2234" s="4">
        <v>1</v>
      </c>
      <c r="J2234" s="21">
        <v>60</v>
      </c>
      <c r="K2234" s="21">
        <v>60</v>
      </c>
      <c r="L2234" s="5">
        <v>0</v>
      </c>
      <c r="M2234" s="4"/>
      <c r="N2234" s="4"/>
      <c r="O2234" s="5"/>
      <c r="P2234" s="5"/>
      <c r="Q2234" s="21">
        <v>0</v>
      </c>
      <c r="R2234" s="21">
        <v>0</v>
      </c>
      <c r="S2234" s="5">
        <f t="shared" si="139"/>
        <v>22151.397120151989</v>
      </c>
      <c r="T2234" cm="1">
        <f t="array" ref="T2234">IF(OR(B2234="MAL ALIMI", B2234="ÜRETİM GİRİŞ"), MIN(I2234, MAX(0, I2234 + SUM(SUMIFS($I$1:I2233, $C$1:C2233, C2234, $B$1:B2233, {"MAL ALIMI","ÜRETİM GİRİŞ"})) - VLOOKUP(C2234, 'STOK RAPORU'!$C$2:$I$1000, 4, 0))), 0)</f>
        <v>0</v>
      </c>
      <c r="U2234" s="22">
        <f t="shared" si="136"/>
        <v>0</v>
      </c>
      <c r="V2234">
        <f t="shared" si="137"/>
        <v>0</v>
      </c>
      <c r="W2234" s="22">
        <f t="shared" si="138"/>
        <v>0</v>
      </c>
    </row>
    <row r="2235" spans="1:23" hidden="1" x14ac:dyDescent="0.25">
      <c r="A2235" s="3">
        <v>46008</v>
      </c>
      <c r="B2235" s="4" t="s">
        <v>334</v>
      </c>
      <c r="C2235" s="4" t="s">
        <v>823</v>
      </c>
      <c r="D2235" s="4"/>
      <c r="E2235" s="4"/>
      <c r="F2235" s="4" t="s">
        <v>1288</v>
      </c>
      <c r="G2235" s="4" t="s">
        <v>336</v>
      </c>
      <c r="H2235" s="4" t="s">
        <v>289</v>
      </c>
      <c r="I2235" s="4">
        <v>1</v>
      </c>
      <c r="J2235" s="21">
        <v>125</v>
      </c>
      <c r="K2235" s="21">
        <v>0</v>
      </c>
      <c r="L2235" s="5">
        <v>0</v>
      </c>
      <c r="M2235" s="4"/>
      <c r="N2235" s="4"/>
      <c r="O2235" s="5"/>
      <c r="P2235" s="5"/>
      <c r="Q2235" s="21">
        <v>125</v>
      </c>
      <c r="R2235" s="21">
        <v>0</v>
      </c>
      <c r="S2235" s="5">
        <f t="shared" si="139"/>
        <v>22276.397120151989</v>
      </c>
      <c r="T2235" cm="1">
        <f t="array" ref="T2235">IF(OR(B2235="MAL ALIMI", B2235="ÜRETİM GİRİŞ"), MIN(I2235, MAX(0, I2235 + SUM(SUMIFS($I$1:I2234, $C$1:C2234, C2235, $B$1:B2234, {"MAL ALIMI","ÜRETİM GİRİŞ"})) - VLOOKUP(C2235, 'STOK RAPORU'!$C$2:$I$1000, 4, 0))), 0)</f>
        <v>0</v>
      </c>
      <c r="U2235" s="22">
        <f t="shared" si="136"/>
        <v>0</v>
      </c>
      <c r="V2235">
        <f t="shared" si="137"/>
        <v>0</v>
      </c>
      <c r="W2235" s="22">
        <f t="shared" si="138"/>
        <v>0</v>
      </c>
    </row>
    <row r="2236" spans="1:23" hidden="1" x14ac:dyDescent="0.25">
      <c r="A2236" s="3">
        <v>46008</v>
      </c>
      <c r="B2236" s="4" t="s">
        <v>334</v>
      </c>
      <c r="C2236" s="4" t="s">
        <v>835</v>
      </c>
      <c r="D2236" s="4"/>
      <c r="E2236" s="4"/>
      <c r="F2236" s="4" t="s">
        <v>1288</v>
      </c>
      <c r="G2236" s="4" t="s">
        <v>336</v>
      </c>
      <c r="H2236" s="4" t="s">
        <v>289</v>
      </c>
      <c r="I2236" s="4">
        <v>1</v>
      </c>
      <c r="J2236" s="21">
        <v>130</v>
      </c>
      <c r="K2236" s="21">
        <v>0</v>
      </c>
      <c r="L2236" s="5">
        <v>0</v>
      </c>
      <c r="M2236" s="4"/>
      <c r="N2236" s="4"/>
      <c r="O2236" s="5"/>
      <c r="P2236" s="5"/>
      <c r="Q2236" s="21">
        <v>130</v>
      </c>
      <c r="R2236" s="21">
        <v>0</v>
      </c>
      <c r="S2236" s="5">
        <f t="shared" si="139"/>
        <v>22406.397120151989</v>
      </c>
      <c r="T2236" cm="1">
        <f t="array" ref="T2236">IF(OR(B2236="MAL ALIMI", B2236="ÜRETİM GİRİŞ"), MIN(I2236, MAX(0, I2236 + SUM(SUMIFS($I$1:I2235, $C$1:C2235, C2236, $B$1:B2235, {"MAL ALIMI","ÜRETİM GİRİŞ"})) - VLOOKUP(C2236, 'STOK RAPORU'!$C$2:$I$1000, 4, 0))), 0)</f>
        <v>0</v>
      </c>
      <c r="U2236" s="22">
        <f t="shared" si="136"/>
        <v>0</v>
      </c>
      <c r="V2236">
        <f t="shared" si="137"/>
        <v>0</v>
      </c>
      <c r="W2236" s="22">
        <f t="shared" si="138"/>
        <v>0</v>
      </c>
    </row>
    <row r="2237" spans="1:23" hidden="1" x14ac:dyDescent="0.25">
      <c r="A2237" s="3">
        <v>46008</v>
      </c>
      <c r="B2237" s="4" t="s">
        <v>334</v>
      </c>
      <c r="C2237" s="4" t="s">
        <v>691</v>
      </c>
      <c r="D2237" s="4"/>
      <c r="E2237" s="4"/>
      <c r="F2237" s="4" t="s">
        <v>1288</v>
      </c>
      <c r="G2237" s="4" t="s">
        <v>336</v>
      </c>
      <c r="H2237" s="4" t="s">
        <v>289</v>
      </c>
      <c r="I2237" s="4">
        <v>0.21739130434782608</v>
      </c>
      <c r="J2237" s="21">
        <v>230</v>
      </c>
      <c r="K2237" s="21">
        <v>0</v>
      </c>
      <c r="L2237" s="5">
        <v>0</v>
      </c>
      <c r="M2237" s="4"/>
      <c r="N2237" s="4"/>
      <c r="O2237" s="5"/>
      <c r="P2237" s="5"/>
      <c r="Q2237" s="21">
        <v>50</v>
      </c>
      <c r="R2237" s="21">
        <v>0</v>
      </c>
      <c r="S2237" s="5">
        <f t="shared" si="139"/>
        <v>22456.397120151989</v>
      </c>
      <c r="T2237" cm="1">
        <f t="array" ref="T2237">IF(OR(B2237="MAL ALIMI", B2237="ÜRETİM GİRİŞ"), MIN(I2237, MAX(0, I2237 + SUM(SUMIFS($I$1:I2236, $C$1:C2236, C2237, $B$1:B2236, {"MAL ALIMI","ÜRETİM GİRİŞ"})) - VLOOKUP(C2237, 'STOK RAPORU'!$C$2:$I$1000, 4, 0))), 0)</f>
        <v>0</v>
      </c>
      <c r="U2237" s="22">
        <f t="shared" si="136"/>
        <v>0</v>
      </c>
      <c r="V2237">
        <f t="shared" si="137"/>
        <v>0</v>
      </c>
      <c r="W2237" s="22">
        <f t="shared" si="138"/>
        <v>0</v>
      </c>
    </row>
    <row r="2238" spans="1:23" hidden="1" x14ac:dyDescent="0.25">
      <c r="A2238" s="3">
        <v>46008</v>
      </c>
      <c r="B2238" s="4" t="s">
        <v>334</v>
      </c>
      <c r="C2238" s="4" t="s">
        <v>162</v>
      </c>
      <c r="D2238" s="4"/>
      <c r="E2238" s="4"/>
      <c r="F2238" s="4" t="s">
        <v>1289</v>
      </c>
      <c r="G2238" s="4" t="s">
        <v>336</v>
      </c>
      <c r="H2238" s="4" t="s">
        <v>289</v>
      </c>
      <c r="I2238" s="4">
        <v>1</v>
      </c>
      <c r="J2238" s="21">
        <v>250</v>
      </c>
      <c r="K2238" s="21">
        <v>0</v>
      </c>
      <c r="L2238" s="5">
        <v>0</v>
      </c>
      <c r="M2238" s="4"/>
      <c r="N2238" s="4"/>
      <c r="O2238" s="5"/>
      <c r="P2238" s="5"/>
      <c r="Q2238" s="21">
        <v>250</v>
      </c>
      <c r="R2238" s="21">
        <v>0</v>
      </c>
      <c r="S2238" s="5">
        <f t="shared" si="139"/>
        <v>22706.397120151989</v>
      </c>
      <c r="T2238" cm="1">
        <f t="array" ref="T2238">IF(OR(B2238="MAL ALIMI", B2238="ÜRETİM GİRİŞ"), MIN(I2238, MAX(0, I2238 + SUM(SUMIFS($I$1:I2237, $C$1:C2237, C2238, $B$1:B2237, {"MAL ALIMI","ÜRETİM GİRİŞ"})) - VLOOKUP(C2238, 'STOK RAPORU'!$C$2:$I$1000, 4, 0))), 0)</f>
        <v>0</v>
      </c>
      <c r="U2238" s="22">
        <f t="shared" si="136"/>
        <v>0</v>
      </c>
      <c r="V2238">
        <f t="shared" si="137"/>
        <v>0</v>
      </c>
      <c r="W2238" s="22">
        <f t="shared" si="138"/>
        <v>0</v>
      </c>
    </row>
    <row r="2239" spans="1:23" hidden="1" x14ac:dyDescent="0.25">
      <c r="A2239" s="3">
        <v>46008</v>
      </c>
      <c r="B2239" s="4" t="s">
        <v>334</v>
      </c>
      <c r="C2239" s="4" t="s">
        <v>160</v>
      </c>
      <c r="D2239" s="4"/>
      <c r="E2239" s="4"/>
      <c r="F2239" s="4" t="s">
        <v>1289</v>
      </c>
      <c r="G2239" s="4" t="s">
        <v>336</v>
      </c>
      <c r="H2239" s="4" t="s">
        <v>289</v>
      </c>
      <c r="I2239" s="4">
        <v>1</v>
      </c>
      <c r="J2239" s="21">
        <v>250</v>
      </c>
      <c r="K2239" s="21">
        <v>0</v>
      </c>
      <c r="L2239" s="5">
        <v>0</v>
      </c>
      <c r="M2239" s="4"/>
      <c r="N2239" s="4"/>
      <c r="O2239" s="5"/>
      <c r="P2239" s="5"/>
      <c r="Q2239" s="21">
        <v>250</v>
      </c>
      <c r="R2239" s="21">
        <v>0</v>
      </c>
      <c r="S2239" s="5">
        <f t="shared" si="139"/>
        <v>22956.397120151989</v>
      </c>
      <c r="T2239" cm="1">
        <f t="array" ref="T2239">IF(OR(B2239="MAL ALIMI", B2239="ÜRETİM GİRİŞ"), MIN(I2239, MAX(0, I2239 + SUM(SUMIFS($I$1:I2238, $C$1:C2238, C2239, $B$1:B2238, {"MAL ALIMI","ÜRETİM GİRİŞ"})) - VLOOKUP(C2239, 'STOK RAPORU'!$C$2:$I$1000, 4, 0))), 0)</f>
        <v>0</v>
      </c>
      <c r="U2239" s="22">
        <f t="shared" si="136"/>
        <v>0</v>
      </c>
      <c r="V2239">
        <f t="shared" si="137"/>
        <v>0</v>
      </c>
      <c r="W2239" s="22">
        <f t="shared" si="138"/>
        <v>0</v>
      </c>
    </row>
    <row r="2240" spans="1:23" hidden="1" x14ac:dyDescent="0.25">
      <c r="A2240" s="3">
        <v>46008</v>
      </c>
      <c r="B2240" s="4" t="s">
        <v>334</v>
      </c>
      <c r="C2240" s="4" t="s">
        <v>268</v>
      </c>
      <c r="D2240" s="4"/>
      <c r="E2240" s="4"/>
      <c r="F2240" s="4" t="s">
        <v>1290</v>
      </c>
      <c r="G2240" s="4" t="s">
        <v>336</v>
      </c>
      <c r="H2240" s="4" t="s">
        <v>289</v>
      </c>
      <c r="I2240" s="4">
        <v>1</v>
      </c>
      <c r="J2240" s="21">
        <v>140</v>
      </c>
      <c r="K2240" s="21">
        <v>0</v>
      </c>
      <c r="L2240" s="5">
        <v>0</v>
      </c>
      <c r="M2240" s="4"/>
      <c r="N2240" s="4"/>
      <c r="O2240" s="5"/>
      <c r="P2240" s="5"/>
      <c r="Q2240" s="21">
        <v>140</v>
      </c>
      <c r="R2240" s="21">
        <v>0</v>
      </c>
      <c r="S2240" s="5">
        <f t="shared" si="139"/>
        <v>23096.397120151989</v>
      </c>
      <c r="T2240" cm="1">
        <f t="array" ref="T2240">IF(OR(B2240="MAL ALIMI", B2240="ÜRETİM GİRİŞ"), MIN(I2240, MAX(0, I2240 + SUM(SUMIFS($I$1:I2239, $C$1:C2239, C2240, $B$1:B2239, {"MAL ALIMI","ÜRETİM GİRİŞ"})) - VLOOKUP(C2240, 'STOK RAPORU'!$C$2:$I$1000, 4, 0))), 0)</f>
        <v>0</v>
      </c>
      <c r="U2240" s="22">
        <f t="shared" si="136"/>
        <v>0</v>
      </c>
      <c r="V2240">
        <f t="shared" si="137"/>
        <v>0</v>
      </c>
      <c r="W2240" s="22">
        <f t="shared" si="138"/>
        <v>0</v>
      </c>
    </row>
    <row r="2241" spans="1:23" hidden="1" x14ac:dyDescent="0.25">
      <c r="A2241" s="3">
        <v>46008</v>
      </c>
      <c r="B2241" s="4" t="s">
        <v>334</v>
      </c>
      <c r="C2241" s="4" t="s">
        <v>822</v>
      </c>
      <c r="D2241" s="4"/>
      <c r="E2241" s="4"/>
      <c r="F2241" s="4" t="s">
        <v>1290</v>
      </c>
      <c r="G2241" s="4" t="s">
        <v>336</v>
      </c>
      <c r="H2241" s="4" t="s">
        <v>289</v>
      </c>
      <c r="I2241" s="4">
        <v>1</v>
      </c>
      <c r="J2241" s="21">
        <v>170</v>
      </c>
      <c r="K2241" s="21">
        <v>0</v>
      </c>
      <c r="L2241" s="5">
        <v>0</v>
      </c>
      <c r="M2241" s="4"/>
      <c r="N2241" s="4"/>
      <c r="O2241" s="5"/>
      <c r="P2241" s="5"/>
      <c r="Q2241" s="21">
        <v>170</v>
      </c>
      <c r="R2241" s="21">
        <v>0</v>
      </c>
      <c r="S2241" s="5">
        <f t="shared" si="139"/>
        <v>23266.397120151989</v>
      </c>
      <c r="T2241" cm="1">
        <f t="array" ref="T2241">IF(OR(B2241="MAL ALIMI", B2241="ÜRETİM GİRİŞ"), MIN(I2241, MAX(0, I2241 + SUM(SUMIFS($I$1:I2240, $C$1:C2240, C2241, $B$1:B2240, {"MAL ALIMI","ÜRETİM GİRİŞ"})) - VLOOKUP(C2241, 'STOK RAPORU'!$C$2:$I$1000, 4, 0))), 0)</f>
        <v>0</v>
      </c>
      <c r="U2241" s="22">
        <f t="shared" si="136"/>
        <v>0</v>
      </c>
      <c r="V2241">
        <f t="shared" si="137"/>
        <v>0</v>
      </c>
      <c r="W2241" s="22">
        <f t="shared" si="138"/>
        <v>0</v>
      </c>
    </row>
    <row r="2242" spans="1:23" hidden="1" x14ac:dyDescent="0.25">
      <c r="A2242" s="3">
        <v>46008</v>
      </c>
      <c r="B2242" s="4" t="s">
        <v>334</v>
      </c>
      <c r="C2242" s="4" t="s">
        <v>911</v>
      </c>
      <c r="D2242" s="4"/>
      <c r="E2242" s="4"/>
      <c r="F2242" s="4" t="s">
        <v>1290</v>
      </c>
      <c r="G2242" s="4" t="s">
        <v>336</v>
      </c>
      <c r="H2242" s="4" t="s">
        <v>289</v>
      </c>
      <c r="I2242" s="4">
        <v>1</v>
      </c>
      <c r="J2242" s="21">
        <v>130</v>
      </c>
      <c r="K2242" s="21">
        <v>0</v>
      </c>
      <c r="L2242" s="5">
        <v>0</v>
      </c>
      <c r="M2242" s="4"/>
      <c r="N2242" s="4"/>
      <c r="O2242" s="5"/>
      <c r="P2242" s="5"/>
      <c r="Q2242" s="21">
        <v>130</v>
      </c>
      <c r="R2242" s="21">
        <v>0</v>
      </c>
      <c r="S2242" s="5">
        <f t="shared" si="139"/>
        <v>23396.397120151989</v>
      </c>
      <c r="T2242" cm="1">
        <f t="array" ref="T2242">IF(OR(B2242="MAL ALIMI", B2242="ÜRETİM GİRİŞ"), MIN(I2242, MAX(0, I2242 + SUM(SUMIFS($I$1:I2241, $C$1:C2241, C2242, $B$1:B2241, {"MAL ALIMI","ÜRETİM GİRİŞ"})) - VLOOKUP(C2242, 'STOK RAPORU'!$C$2:$I$1000, 4, 0))), 0)</f>
        <v>0</v>
      </c>
      <c r="U2242" s="22">
        <f t="shared" si="136"/>
        <v>0</v>
      </c>
      <c r="V2242">
        <f t="shared" si="137"/>
        <v>0</v>
      </c>
      <c r="W2242" s="22">
        <f t="shared" si="138"/>
        <v>0</v>
      </c>
    </row>
    <row r="2243" spans="1:23" hidden="1" x14ac:dyDescent="0.25">
      <c r="A2243" s="3">
        <v>46008</v>
      </c>
      <c r="B2243" s="4" t="s">
        <v>334</v>
      </c>
      <c r="C2243" s="4" t="s">
        <v>133</v>
      </c>
      <c r="D2243" s="4"/>
      <c r="E2243" s="4" t="s">
        <v>921</v>
      </c>
      <c r="F2243" s="4" t="s">
        <v>1291</v>
      </c>
      <c r="G2243" s="4" t="s">
        <v>336</v>
      </c>
      <c r="H2243" s="4" t="s">
        <v>380</v>
      </c>
      <c r="I2243" s="4">
        <v>0.28421052631578947</v>
      </c>
      <c r="J2243" s="21">
        <v>380</v>
      </c>
      <c r="K2243" s="21">
        <v>108</v>
      </c>
      <c r="L2243" s="5">
        <v>0</v>
      </c>
      <c r="M2243" s="4"/>
      <c r="N2243" s="4"/>
      <c r="O2243" s="5"/>
      <c r="P2243" s="5"/>
      <c r="Q2243" s="21">
        <v>0</v>
      </c>
      <c r="R2243" s="21">
        <v>0</v>
      </c>
      <c r="S2243" s="5">
        <f t="shared" si="139"/>
        <v>23396.397120151989</v>
      </c>
      <c r="T2243" cm="1">
        <f t="array" ref="T2243">IF(OR(B2243="MAL ALIMI", B2243="ÜRETİM GİRİŞ"), MIN(I2243, MAX(0, I2243 + SUM(SUMIFS($I$1:I2242, $C$1:C2242, C2243, $B$1:B2242, {"MAL ALIMI","ÜRETİM GİRİŞ"})) - VLOOKUP(C2243, 'STOK RAPORU'!$C$2:$I$1000, 4, 0))), 0)</f>
        <v>0</v>
      </c>
      <c r="U2243" s="22">
        <f t="shared" ref="U2243:U2306" si="140">T2243*J2243</f>
        <v>0</v>
      </c>
      <c r="V2243">
        <f t="shared" ref="V2243:V2306" si="141">IF(OR(B2243="MAL ALIMI", B2243="ÜRETİM GİRİŞ"), I2243 * J2243, 0)</f>
        <v>0</v>
      </c>
      <c r="W2243" s="22">
        <f t="shared" ref="W2243:W2306" si="142">V2243-U2243</f>
        <v>0</v>
      </c>
    </row>
    <row r="2244" spans="1:23" hidden="1" x14ac:dyDescent="0.25">
      <c r="A2244" s="3">
        <v>46008</v>
      </c>
      <c r="B2244" s="4" t="s">
        <v>334</v>
      </c>
      <c r="C2244" s="4" t="s">
        <v>163</v>
      </c>
      <c r="D2244" s="4"/>
      <c r="E2244" s="4" t="s">
        <v>921</v>
      </c>
      <c r="F2244" s="4" t="s">
        <v>1291</v>
      </c>
      <c r="G2244" s="4" t="s">
        <v>336</v>
      </c>
      <c r="H2244" s="4" t="s">
        <v>380</v>
      </c>
      <c r="I2244" s="4">
        <v>0.21904761904761905</v>
      </c>
      <c r="J2244" s="21">
        <v>420</v>
      </c>
      <c r="K2244" s="21">
        <v>92</v>
      </c>
      <c r="L2244" s="5">
        <v>0</v>
      </c>
      <c r="M2244" s="4"/>
      <c r="N2244" s="4"/>
      <c r="O2244" s="5"/>
      <c r="P2244" s="5"/>
      <c r="Q2244" s="21">
        <v>0</v>
      </c>
      <c r="R2244" s="21">
        <v>0</v>
      </c>
      <c r="S2244" s="5">
        <f t="shared" ref="S2244:S2307" si="143">S2243+Q2244-R2244</f>
        <v>23396.397120151989</v>
      </c>
      <c r="T2244" cm="1">
        <f t="array" ref="T2244">IF(OR(B2244="MAL ALIMI", B2244="ÜRETİM GİRİŞ"), MIN(I2244, MAX(0, I2244 + SUM(SUMIFS($I$1:I2243, $C$1:C2243, C2244, $B$1:B2243, {"MAL ALIMI","ÜRETİM GİRİŞ"})) - VLOOKUP(C2244, 'STOK RAPORU'!$C$2:$I$1000, 4, 0))), 0)</f>
        <v>0</v>
      </c>
      <c r="U2244" s="22">
        <f t="shared" si="140"/>
        <v>0</v>
      </c>
      <c r="V2244">
        <f t="shared" si="141"/>
        <v>0</v>
      </c>
      <c r="W2244" s="22">
        <f t="shared" si="142"/>
        <v>0</v>
      </c>
    </row>
    <row r="2245" spans="1:23" hidden="1" x14ac:dyDescent="0.25">
      <c r="A2245" s="3">
        <v>46008</v>
      </c>
      <c r="B2245" s="4" t="s">
        <v>334</v>
      </c>
      <c r="C2245" s="4" t="s">
        <v>60</v>
      </c>
      <c r="D2245" s="4"/>
      <c r="E2245" s="4"/>
      <c r="F2245" s="4" t="s">
        <v>1292</v>
      </c>
      <c r="G2245" s="4" t="s">
        <v>336</v>
      </c>
      <c r="H2245" s="4" t="s">
        <v>289</v>
      </c>
      <c r="I2245" s="4">
        <v>0.05</v>
      </c>
      <c r="J2245" s="21">
        <v>1200</v>
      </c>
      <c r="K2245" s="21">
        <v>0</v>
      </c>
      <c r="L2245" s="5">
        <v>0</v>
      </c>
      <c r="M2245" s="4"/>
      <c r="N2245" s="4"/>
      <c r="O2245" s="5"/>
      <c r="P2245" s="5"/>
      <c r="Q2245" s="21">
        <v>60</v>
      </c>
      <c r="R2245" s="21">
        <v>0</v>
      </c>
      <c r="S2245" s="5">
        <f t="shared" si="143"/>
        <v>23456.397120151989</v>
      </c>
      <c r="T2245" cm="1">
        <f t="array" ref="T2245">IF(OR(B2245="MAL ALIMI", B2245="ÜRETİM GİRİŞ"), MIN(I2245, MAX(0, I2245 + SUM(SUMIFS($I$1:I2244, $C$1:C2244, C2245, $B$1:B2244, {"MAL ALIMI","ÜRETİM GİRİŞ"})) - VLOOKUP(C2245, 'STOK RAPORU'!$C$2:$I$1000, 4, 0))), 0)</f>
        <v>0</v>
      </c>
      <c r="U2245" s="22">
        <f t="shared" si="140"/>
        <v>0</v>
      </c>
      <c r="V2245">
        <f t="shared" si="141"/>
        <v>0</v>
      </c>
      <c r="W2245" s="22">
        <f t="shared" si="142"/>
        <v>0</v>
      </c>
    </row>
    <row r="2246" spans="1:23" hidden="1" x14ac:dyDescent="0.25">
      <c r="A2246" s="3">
        <v>46008</v>
      </c>
      <c r="B2246" s="4" t="s">
        <v>334</v>
      </c>
      <c r="C2246" s="4" t="s">
        <v>156</v>
      </c>
      <c r="D2246" s="4"/>
      <c r="E2246" s="4"/>
      <c r="F2246" s="4" t="s">
        <v>1293</v>
      </c>
      <c r="G2246" s="4" t="s">
        <v>336</v>
      </c>
      <c r="H2246" s="4" t="s">
        <v>289</v>
      </c>
      <c r="I2246" s="4">
        <v>1</v>
      </c>
      <c r="J2246" s="21">
        <v>180</v>
      </c>
      <c r="K2246" s="21">
        <v>0</v>
      </c>
      <c r="L2246" s="5">
        <v>0</v>
      </c>
      <c r="M2246" s="4"/>
      <c r="N2246" s="4"/>
      <c r="O2246" s="5"/>
      <c r="P2246" s="5"/>
      <c r="Q2246" s="21">
        <v>180</v>
      </c>
      <c r="R2246" s="21">
        <v>0</v>
      </c>
      <c r="S2246" s="5">
        <f t="shared" si="143"/>
        <v>23636.397120151989</v>
      </c>
      <c r="T2246" cm="1">
        <f t="array" ref="T2246">IF(OR(B2246="MAL ALIMI", B2246="ÜRETİM GİRİŞ"), MIN(I2246, MAX(0, I2246 + SUM(SUMIFS($I$1:I2245, $C$1:C2245, C2246, $B$1:B2245, {"MAL ALIMI","ÜRETİM GİRİŞ"})) - VLOOKUP(C2246, 'STOK RAPORU'!$C$2:$I$1000, 4, 0))), 0)</f>
        <v>0</v>
      </c>
      <c r="U2246" s="22">
        <f t="shared" si="140"/>
        <v>0</v>
      </c>
      <c r="V2246">
        <f t="shared" si="141"/>
        <v>0</v>
      </c>
      <c r="W2246" s="22">
        <f t="shared" si="142"/>
        <v>0</v>
      </c>
    </row>
    <row r="2247" spans="1:23" hidden="1" x14ac:dyDescent="0.25">
      <c r="A2247" s="3">
        <v>46008</v>
      </c>
      <c r="B2247" s="4" t="s">
        <v>334</v>
      </c>
      <c r="C2247" s="4" t="s">
        <v>161</v>
      </c>
      <c r="D2247" s="4"/>
      <c r="E2247" s="4"/>
      <c r="F2247" s="4" t="s">
        <v>1294</v>
      </c>
      <c r="G2247" s="4" t="s">
        <v>336</v>
      </c>
      <c r="H2247" s="4" t="s">
        <v>289</v>
      </c>
      <c r="I2247" s="4">
        <v>1</v>
      </c>
      <c r="J2247" s="21">
        <v>200</v>
      </c>
      <c r="K2247" s="21">
        <v>0</v>
      </c>
      <c r="L2247" s="5">
        <v>0</v>
      </c>
      <c r="M2247" s="4"/>
      <c r="N2247" s="4"/>
      <c r="O2247" s="5"/>
      <c r="P2247" s="5"/>
      <c r="Q2247" s="21">
        <v>200</v>
      </c>
      <c r="R2247" s="21">
        <v>0</v>
      </c>
      <c r="S2247" s="5">
        <f t="shared" si="143"/>
        <v>23836.397120151989</v>
      </c>
      <c r="T2247" cm="1">
        <f t="array" ref="T2247">IF(OR(B2247="MAL ALIMI", B2247="ÜRETİM GİRİŞ"), MIN(I2247, MAX(0, I2247 + SUM(SUMIFS($I$1:I2246, $C$1:C2246, C2247, $B$1:B2246, {"MAL ALIMI","ÜRETİM GİRİŞ"})) - VLOOKUP(C2247, 'STOK RAPORU'!$C$2:$I$1000, 4, 0))), 0)</f>
        <v>0</v>
      </c>
      <c r="U2247" s="22">
        <f t="shared" si="140"/>
        <v>0</v>
      </c>
      <c r="V2247">
        <f t="shared" si="141"/>
        <v>0</v>
      </c>
      <c r="W2247" s="22">
        <f t="shared" si="142"/>
        <v>0</v>
      </c>
    </row>
    <row r="2248" spans="1:23" hidden="1" x14ac:dyDescent="0.25">
      <c r="A2248" s="3">
        <v>46008</v>
      </c>
      <c r="B2248" s="4" t="s">
        <v>334</v>
      </c>
      <c r="C2248" s="4" t="s">
        <v>651</v>
      </c>
      <c r="D2248" s="4"/>
      <c r="E2248" s="4" t="s">
        <v>921</v>
      </c>
      <c r="F2248" s="4" t="s">
        <v>1295</v>
      </c>
      <c r="G2248" s="4" t="s">
        <v>336</v>
      </c>
      <c r="H2248" s="4" t="s">
        <v>380</v>
      </c>
      <c r="I2248" s="4">
        <v>1</v>
      </c>
      <c r="J2248" s="21">
        <v>350</v>
      </c>
      <c r="K2248" s="21">
        <v>350</v>
      </c>
      <c r="L2248" s="5">
        <v>0</v>
      </c>
      <c r="M2248" s="4"/>
      <c r="N2248" s="4"/>
      <c r="O2248" s="5"/>
      <c r="P2248" s="5"/>
      <c r="Q2248" s="21">
        <v>0</v>
      </c>
      <c r="R2248" s="21">
        <v>0</v>
      </c>
      <c r="S2248" s="5">
        <f t="shared" si="143"/>
        <v>23836.397120151989</v>
      </c>
      <c r="T2248" cm="1">
        <f t="array" ref="T2248">IF(OR(B2248="MAL ALIMI", B2248="ÜRETİM GİRİŞ"), MIN(I2248, MAX(0, I2248 + SUM(SUMIFS($I$1:I2247, $C$1:C2247, C2248, $B$1:B2247, {"MAL ALIMI","ÜRETİM GİRİŞ"})) - VLOOKUP(C2248, 'STOK RAPORU'!$C$2:$I$1000, 4, 0))), 0)</f>
        <v>0</v>
      </c>
      <c r="U2248" s="22">
        <f t="shared" si="140"/>
        <v>0</v>
      </c>
      <c r="V2248">
        <f t="shared" si="141"/>
        <v>0</v>
      </c>
      <c r="W2248" s="22">
        <f t="shared" si="142"/>
        <v>0</v>
      </c>
    </row>
    <row r="2249" spans="1:23" hidden="1" x14ac:dyDescent="0.25">
      <c r="A2249" s="3">
        <v>46008</v>
      </c>
      <c r="B2249" s="4" t="s">
        <v>334</v>
      </c>
      <c r="C2249" s="4" t="s">
        <v>588</v>
      </c>
      <c r="D2249" s="4"/>
      <c r="E2249" s="4" t="s">
        <v>921</v>
      </c>
      <c r="F2249" s="4" t="s">
        <v>1296</v>
      </c>
      <c r="G2249" s="4" t="s">
        <v>336</v>
      </c>
      <c r="H2249" s="4" t="s">
        <v>380</v>
      </c>
      <c r="I2249" s="4">
        <v>1</v>
      </c>
      <c r="J2249" s="21">
        <v>350</v>
      </c>
      <c r="K2249" s="21">
        <v>350</v>
      </c>
      <c r="L2249" s="5">
        <v>0</v>
      </c>
      <c r="M2249" s="4"/>
      <c r="N2249" s="4"/>
      <c r="O2249" s="5"/>
      <c r="P2249" s="5"/>
      <c r="Q2249" s="21">
        <v>0</v>
      </c>
      <c r="R2249" s="21">
        <v>0</v>
      </c>
      <c r="S2249" s="5">
        <f t="shared" si="143"/>
        <v>23836.397120151989</v>
      </c>
      <c r="T2249" cm="1">
        <f t="array" ref="T2249">IF(OR(B2249="MAL ALIMI", B2249="ÜRETİM GİRİŞ"), MIN(I2249, MAX(0, I2249 + SUM(SUMIFS($I$1:I2248, $C$1:C2248, C2249, $B$1:B2248, {"MAL ALIMI","ÜRETİM GİRİŞ"})) - VLOOKUP(C2249, 'STOK RAPORU'!$C$2:$I$1000, 4, 0))), 0)</f>
        <v>0</v>
      </c>
      <c r="U2249" s="22">
        <f t="shared" si="140"/>
        <v>0</v>
      </c>
      <c r="V2249">
        <f t="shared" si="141"/>
        <v>0</v>
      </c>
      <c r="W2249" s="22">
        <f t="shared" si="142"/>
        <v>0</v>
      </c>
    </row>
    <row r="2250" spans="1:23" hidden="1" x14ac:dyDescent="0.25">
      <c r="A2250" s="3">
        <v>46008</v>
      </c>
      <c r="B2250" s="4" t="s">
        <v>298</v>
      </c>
      <c r="C2250" s="4" t="s">
        <v>1326</v>
      </c>
      <c r="D2250" s="4"/>
      <c r="E2250" s="4" t="s">
        <v>856</v>
      </c>
      <c r="F2250" s="4"/>
      <c r="G2250" s="4" t="s">
        <v>1328</v>
      </c>
      <c r="H2250" s="4" t="s">
        <v>1329</v>
      </c>
      <c r="I2250" s="4">
        <v>6</v>
      </c>
      <c r="J2250" s="35">
        <v>89</v>
      </c>
      <c r="K2250" s="35">
        <v>0</v>
      </c>
      <c r="L2250" s="5">
        <v>534</v>
      </c>
      <c r="M2250" s="4"/>
      <c r="N2250" s="4"/>
      <c r="O2250" s="5"/>
      <c r="P2250" s="5"/>
      <c r="Q2250" s="35">
        <v>0</v>
      </c>
      <c r="R2250" s="35">
        <v>0</v>
      </c>
      <c r="S2250" s="5">
        <f t="shared" si="143"/>
        <v>23836.397120151989</v>
      </c>
      <c r="T2250" cm="1">
        <f t="array" ref="T2250">IF(OR(B2250="MAL ALIMI", B2250="ÜRETİM GİRİŞ"), MIN(I2250, MAX(0, I2250 + SUM(SUMIFS($I$1:I2249, $C$1:C2249, C2250, $B$1:B2249, {"MAL ALIMI","ÜRETİM GİRİŞ"})) - VLOOKUP(C2250, 'STOK RAPORU'!$C$2:$I$1000, 4, 0))), 0)</f>
        <v>0</v>
      </c>
      <c r="U2250" s="22">
        <f t="shared" si="140"/>
        <v>0</v>
      </c>
      <c r="V2250">
        <f t="shared" si="141"/>
        <v>534</v>
      </c>
      <c r="W2250" s="22">
        <f t="shared" si="142"/>
        <v>534</v>
      </c>
    </row>
    <row r="2251" spans="1:23" hidden="1" x14ac:dyDescent="0.25">
      <c r="A2251" s="3">
        <v>46008</v>
      </c>
      <c r="B2251" s="4" t="s">
        <v>298</v>
      </c>
      <c r="C2251" s="4" t="s">
        <v>1327</v>
      </c>
      <c r="D2251" s="4"/>
      <c r="E2251" s="4" t="s">
        <v>856</v>
      </c>
      <c r="F2251" s="4"/>
      <c r="G2251" s="4" t="s">
        <v>1328</v>
      </c>
      <c r="H2251" s="4" t="s">
        <v>1329</v>
      </c>
      <c r="I2251" s="4">
        <v>3</v>
      </c>
      <c r="J2251" s="35">
        <v>89</v>
      </c>
      <c r="K2251" s="35">
        <v>0</v>
      </c>
      <c r="L2251" s="5">
        <v>267</v>
      </c>
      <c r="M2251" s="4"/>
      <c r="N2251" s="4"/>
      <c r="O2251" s="5"/>
      <c r="P2251" s="5"/>
      <c r="Q2251" s="35">
        <v>0</v>
      </c>
      <c r="R2251" s="35">
        <v>0</v>
      </c>
      <c r="S2251" s="5">
        <f t="shared" si="143"/>
        <v>23836.397120151989</v>
      </c>
      <c r="T2251" cm="1">
        <f t="array" ref="T2251">IF(OR(B2251="MAL ALIMI", B2251="ÜRETİM GİRİŞ"), MIN(I2251, MAX(0, I2251 + SUM(SUMIFS($I$1:I2250, $C$1:C2250, C2251, $B$1:B2250, {"MAL ALIMI","ÜRETİM GİRİŞ"})) - VLOOKUP(C2251, 'STOK RAPORU'!$C$2:$I$1000, 4, 0))), 0)</f>
        <v>0</v>
      </c>
      <c r="U2251" s="22">
        <f t="shared" si="140"/>
        <v>0</v>
      </c>
      <c r="V2251">
        <f t="shared" si="141"/>
        <v>267</v>
      </c>
      <c r="W2251" s="22">
        <f t="shared" si="142"/>
        <v>267</v>
      </c>
    </row>
    <row r="2252" spans="1:23" hidden="1" x14ac:dyDescent="0.25">
      <c r="A2252" s="3">
        <v>46008</v>
      </c>
      <c r="B2252" s="4" t="s">
        <v>298</v>
      </c>
      <c r="C2252" s="4" t="s">
        <v>1330</v>
      </c>
      <c r="D2252" s="4"/>
      <c r="E2252" s="4" t="s">
        <v>856</v>
      </c>
      <c r="F2252" s="4"/>
      <c r="G2252" s="4" t="s">
        <v>753</v>
      </c>
      <c r="H2252" s="4" t="s">
        <v>1329</v>
      </c>
      <c r="I2252" s="4">
        <v>4</v>
      </c>
      <c r="J2252" s="35">
        <v>166.7</v>
      </c>
      <c r="K2252" s="35">
        <v>0</v>
      </c>
      <c r="L2252" s="5">
        <v>666.8</v>
      </c>
      <c r="M2252" s="4"/>
      <c r="N2252" s="4"/>
      <c r="O2252" s="5"/>
      <c r="P2252" s="5"/>
      <c r="Q2252" s="35">
        <v>0</v>
      </c>
      <c r="R2252" s="35">
        <v>0</v>
      </c>
      <c r="S2252" s="5">
        <f t="shared" si="143"/>
        <v>23836.397120151989</v>
      </c>
      <c r="T2252" cm="1">
        <f t="array" ref="T2252">IF(OR(B2252="MAL ALIMI", B2252="ÜRETİM GİRİŞ"), MIN(I2252, MAX(0, I2252 + SUM(SUMIFS($I$1:I2251, $C$1:C2251, C2252, $B$1:B2251, {"MAL ALIMI","ÜRETİM GİRİŞ"})) - VLOOKUP(C2252, 'STOK RAPORU'!$C$2:$I$1000, 4, 0))), 0)</f>
        <v>4</v>
      </c>
      <c r="U2252" s="22">
        <f t="shared" si="140"/>
        <v>666.8</v>
      </c>
      <c r="V2252">
        <f t="shared" si="141"/>
        <v>666.8</v>
      </c>
      <c r="W2252" s="22">
        <f t="shared" si="142"/>
        <v>0</v>
      </c>
    </row>
    <row r="2253" spans="1:23" hidden="1" x14ac:dyDescent="0.25">
      <c r="A2253" s="3">
        <v>46008</v>
      </c>
      <c r="B2253" s="4" t="s">
        <v>946</v>
      </c>
      <c r="C2253" s="4"/>
      <c r="D2253" s="4"/>
      <c r="E2253" s="4" t="s">
        <v>921</v>
      </c>
      <c r="F2253" s="4"/>
      <c r="G2253" s="4" t="s">
        <v>946</v>
      </c>
      <c r="H2253" s="4" t="s">
        <v>380</v>
      </c>
      <c r="I2253" s="4">
        <v>1</v>
      </c>
      <c r="J2253" s="105">
        <v>985</v>
      </c>
      <c r="K2253" s="21">
        <v>0</v>
      </c>
      <c r="L2253" s="111">
        <v>985</v>
      </c>
      <c r="M2253" s="4">
        <v>330</v>
      </c>
      <c r="N2253" s="4"/>
      <c r="O2253" s="5"/>
      <c r="P2253" s="5"/>
      <c r="Q2253" s="21">
        <v>985</v>
      </c>
      <c r="R2253" s="21">
        <v>0</v>
      </c>
      <c r="S2253" s="5">
        <f t="shared" si="143"/>
        <v>24821.397120151989</v>
      </c>
      <c r="T2253" cm="1">
        <f t="array" ref="T2253">IF(OR(B2253="MAL ALIMI", B2253="ÜRETİM GİRİŞ"), MIN(I2253, MAX(0, I2253 + SUM(SUMIFS($I$1:I2252, $C$1:C2252, C2253, $B$1:B2252, {"MAL ALIMI","ÜRETİM GİRİŞ"})) - VLOOKUP(C2253, 'STOK RAPORU'!$C$2:$I$1000, 4, 0))), 0)</f>
        <v>0</v>
      </c>
      <c r="U2253" s="22">
        <f t="shared" si="140"/>
        <v>0</v>
      </c>
      <c r="V2253">
        <f t="shared" si="141"/>
        <v>0</v>
      </c>
      <c r="W2253" s="22">
        <f t="shared" si="142"/>
        <v>0</v>
      </c>
    </row>
    <row r="2254" spans="1:23" hidden="1" x14ac:dyDescent="0.25">
      <c r="A2254" s="3">
        <v>46008</v>
      </c>
      <c r="B2254" s="4" t="s">
        <v>946</v>
      </c>
      <c r="C2254" s="4"/>
      <c r="D2254" s="4"/>
      <c r="E2254" s="4" t="s">
        <v>921</v>
      </c>
      <c r="F2254" s="4"/>
      <c r="G2254" s="4" t="s">
        <v>946</v>
      </c>
      <c r="H2254" s="4" t="s">
        <v>380</v>
      </c>
      <c r="I2254" s="4">
        <v>1</v>
      </c>
      <c r="J2254" s="105">
        <v>1395</v>
      </c>
      <c r="K2254" s="21">
        <v>0</v>
      </c>
      <c r="L2254" s="102">
        <v>1395</v>
      </c>
      <c r="M2254" s="4"/>
      <c r="N2254" s="4"/>
      <c r="O2254" s="5"/>
      <c r="P2254" s="5"/>
      <c r="Q2254" s="21">
        <v>1395</v>
      </c>
      <c r="R2254" s="21">
        <v>0</v>
      </c>
      <c r="S2254" s="5">
        <f t="shared" si="143"/>
        <v>26216.397120151989</v>
      </c>
      <c r="T2254" cm="1">
        <f t="array" ref="T2254">IF(OR(B2254="MAL ALIMI", B2254="ÜRETİM GİRİŞ"), MIN(I2254, MAX(0, I2254 + SUM(SUMIFS($I$1:I2253, $C$1:C2253, C2254, $B$1:B2253, {"MAL ALIMI","ÜRETİM GİRİŞ"})) - VLOOKUP(C2254, 'STOK RAPORU'!$C$2:$I$1000, 4, 0))), 0)</f>
        <v>0</v>
      </c>
      <c r="U2254" s="22">
        <f t="shared" si="140"/>
        <v>0</v>
      </c>
      <c r="V2254">
        <f t="shared" si="141"/>
        <v>0</v>
      </c>
      <c r="W2254" s="22">
        <f t="shared" si="142"/>
        <v>0</v>
      </c>
    </row>
    <row r="2255" spans="1:23" hidden="1" x14ac:dyDescent="0.25">
      <c r="A2255" s="3">
        <v>46009</v>
      </c>
      <c r="B2255" s="4" t="s">
        <v>334</v>
      </c>
      <c r="C2255" s="4" t="s">
        <v>486</v>
      </c>
      <c r="D2255" s="4"/>
      <c r="E2255" s="4" t="s">
        <v>921</v>
      </c>
      <c r="F2255" s="4" t="s">
        <v>1297</v>
      </c>
      <c r="G2255" s="4" t="s">
        <v>336</v>
      </c>
      <c r="H2255" s="4" t="s">
        <v>380</v>
      </c>
      <c r="I2255" s="4">
        <v>1</v>
      </c>
      <c r="J2255" s="21">
        <v>180</v>
      </c>
      <c r="K2255" s="21">
        <v>180</v>
      </c>
      <c r="L2255" s="5">
        <v>0</v>
      </c>
      <c r="M2255" s="4"/>
      <c r="N2255" s="4"/>
      <c r="O2255" s="5"/>
      <c r="P2255" s="5"/>
      <c r="Q2255" s="21">
        <v>0</v>
      </c>
      <c r="R2255" s="21">
        <v>0</v>
      </c>
      <c r="S2255" s="5">
        <f t="shared" si="143"/>
        <v>26216.397120151989</v>
      </c>
      <c r="T2255" cm="1">
        <f t="array" ref="T2255">IF(OR(B2255="MAL ALIMI", B2255="ÜRETİM GİRİŞ"), MIN(I2255, MAX(0, I2255 + SUM(SUMIFS($I$1:I2254, $C$1:C2254, C2255, $B$1:B2254, {"MAL ALIMI","ÜRETİM GİRİŞ"})) - VLOOKUP(C2255, 'STOK RAPORU'!$C$2:$I$1000, 4, 0))), 0)</f>
        <v>0</v>
      </c>
      <c r="U2255" s="22">
        <f t="shared" si="140"/>
        <v>0</v>
      </c>
      <c r="V2255">
        <f t="shared" si="141"/>
        <v>0</v>
      </c>
      <c r="W2255" s="22">
        <f t="shared" si="142"/>
        <v>0</v>
      </c>
    </row>
    <row r="2256" spans="1:23" hidden="1" x14ac:dyDescent="0.25">
      <c r="A2256" s="3">
        <v>46009</v>
      </c>
      <c r="B2256" s="4" t="s">
        <v>334</v>
      </c>
      <c r="C2256" s="4" t="s">
        <v>822</v>
      </c>
      <c r="D2256" s="4"/>
      <c r="E2256" s="4" t="s">
        <v>921</v>
      </c>
      <c r="F2256" s="4" t="s">
        <v>1298</v>
      </c>
      <c r="G2256" s="4" t="s">
        <v>336</v>
      </c>
      <c r="H2256" s="4" t="s">
        <v>380</v>
      </c>
      <c r="I2256" s="4">
        <v>1</v>
      </c>
      <c r="J2256" s="21">
        <v>170</v>
      </c>
      <c r="K2256" s="21">
        <v>170</v>
      </c>
      <c r="L2256" s="5">
        <v>0</v>
      </c>
      <c r="M2256" s="4"/>
      <c r="N2256" s="4"/>
      <c r="O2256" s="5"/>
      <c r="P2256" s="5"/>
      <c r="Q2256" s="21">
        <v>0</v>
      </c>
      <c r="R2256" s="21">
        <v>0</v>
      </c>
      <c r="S2256" s="5">
        <f t="shared" si="143"/>
        <v>26216.397120151989</v>
      </c>
      <c r="T2256" cm="1">
        <f t="array" ref="T2256">IF(OR(B2256="MAL ALIMI", B2256="ÜRETİM GİRİŞ"), MIN(I2256, MAX(0, I2256 + SUM(SUMIFS($I$1:I2255, $C$1:C2255, C2256, $B$1:B2255, {"MAL ALIMI","ÜRETİM GİRİŞ"})) - VLOOKUP(C2256, 'STOK RAPORU'!$C$2:$I$1000, 4, 0))), 0)</f>
        <v>0</v>
      </c>
      <c r="U2256" s="22">
        <f t="shared" si="140"/>
        <v>0</v>
      </c>
      <c r="V2256">
        <f t="shared" si="141"/>
        <v>0</v>
      </c>
      <c r="W2256" s="22">
        <f t="shared" si="142"/>
        <v>0</v>
      </c>
    </row>
    <row r="2257" spans="1:23" hidden="1" x14ac:dyDescent="0.25">
      <c r="A2257" s="3">
        <v>46009</v>
      </c>
      <c r="B2257" s="4" t="s">
        <v>334</v>
      </c>
      <c r="C2257" s="4" t="s">
        <v>892</v>
      </c>
      <c r="D2257" s="4"/>
      <c r="E2257" s="4"/>
      <c r="F2257" s="4" t="s">
        <v>1299</v>
      </c>
      <c r="G2257" s="4" t="s">
        <v>336</v>
      </c>
      <c r="H2257" s="4" t="s">
        <v>289</v>
      </c>
      <c r="I2257" s="4">
        <v>0.5</v>
      </c>
      <c r="J2257" s="21">
        <v>60</v>
      </c>
      <c r="K2257" s="21">
        <v>0</v>
      </c>
      <c r="L2257" s="5">
        <v>0</v>
      </c>
      <c r="M2257" s="4"/>
      <c r="N2257" s="4"/>
      <c r="O2257" s="5"/>
      <c r="P2257" s="5"/>
      <c r="Q2257" s="21">
        <v>30</v>
      </c>
      <c r="R2257" s="21">
        <v>0</v>
      </c>
      <c r="S2257" s="5">
        <f t="shared" si="143"/>
        <v>26246.397120151989</v>
      </c>
      <c r="T2257" cm="1">
        <f t="array" ref="T2257">IF(OR(B2257="MAL ALIMI", B2257="ÜRETİM GİRİŞ"), MIN(I2257, MAX(0, I2257 + SUM(SUMIFS($I$1:I2256, $C$1:C2256, C2257, $B$1:B2256, {"MAL ALIMI","ÜRETİM GİRİŞ"})) - VLOOKUP(C2257, 'STOK RAPORU'!$C$2:$I$1000, 4, 0))), 0)</f>
        <v>0</v>
      </c>
      <c r="U2257" s="22">
        <f t="shared" si="140"/>
        <v>0</v>
      </c>
      <c r="V2257">
        <f t="shared" si="141"/>
        <v>0</v>
      </c>
      <c r="W2257" s="22">
        <f t="shared" si="142"/>
        <v>0</v>
      </c>
    </row>
    <row r="2258" spans="1:23" hidden="1" x14ac:dyDescent="0.25">
      <c r="A2258" s="3">
        <v>46009</v>
      </c>
      <c r="B2258" s="4" t="s">
        <v>334</v>
      </c>
      <c r="C2258" s="4" t="s">
        <v>1151</v>
      </c>
      <c r="D2258" s="4"/>
      <c r="E2258" s="4"/>
      <c r="F2258" s="4" t="s">
        <v>1300</v>
      </c>
      <c r="G2258" s="4" t="s">
        <v>336</v>
      </c>
      <c r="H2258" s="4" t="s">
        <v>289</v>
      </c>
      <c r="I2258" s="4">
        <v>0.15555555555555556</v>
      </c>
      <c r="J2258" s="21">
        <v>360</v>
      </c>
      <c r="K2258" s="21">
        <v>0</v>
      </c>
      <c r="L2258" s="5">
        <v>0</v>
      </c>
      <c r="M2258" s="4"/>
      <c r="N2258" s="4"/>
      <c r="O2258" s="5"/>
      <c r="P2258" s="5"/>
      <c r="Q2258" s="21">
        <v>56</v>
      </c>
      <c r="R2258" s="21">
        <v>0</v>
      </c>
      <c r="S2258" s="5">
        <f t="shared" si="143"/>
        <v>26302.397120151989</v>
      </c>
      <c r="T2258" cm="1">
        <f t="array" ref="T2258">IF(OR(B2258="MAL ALIMI", B2258="ÜRETİM GİRİŞ"), MIN(I2258, MAX(0, I2258 + SUM(SUMIFS($I$1:I2257, $C$1:C2257, C2258, $B$1:B2257, {"MAL ALIMI","ÜRETİM GİRİŞ"})) - VLOOKUP(C2258, 'STOK RAPORU'!$C$2:$I$1000, 4, 0))), 0)</f>
        <v>0</v>
      </c>
      <c r="U2258" s="22">
        <f t="shared" si="140"/>
        <v>0</v>
      </c>
      <c r="V2258">
        <f t="shared" si="141"/>
        <v>0</v>
      </c>
      <c r="W2258" s="22">
        <f t="shared" si="142"/>
        <v>0</v>
      </c>
    </row>
    <row r="2259" spans="1:23" hidden="1" x14ac:dyDescent="0.25">
      <c r="A2259" s="3">
        <v>46009</v>
      </c>
      <c r="B2259" s="4" t="s">
        <v>334</v>
      </c>
      <c r="C2259" s="4" t="s">
        <v>140</v>
      </c>
      <c r="D2259" s="4"/>
      <c r="E2259" s="4"/>
      <c r="F2259" s="4" t="s">
        <v>1300</v>
      </c>
      <c r="G2259" s="4" t="s">
        <v>336</v>
      </c>
      <c r="H2259" s="4" t="s">
        <v>289</v>
      </c>
      <c r="I2259" s="4">
        <v>0.16</v>
      </c>
      <c r="J2259" s="21">
        <v>300</v>
      </c>
      <c r="K2259" s="21">
        <v>0</v>
      </c>
      <c r="L2259" s="5">
        <v>0</v>
      </c>
      <c r="M2259" s="4"/>
      <c r="N2259" s="4"/>
      <c r="O2259" s="5"/>
      <c r="P2259" s="5"/>
      <c r="Q2259" s="21">
        <v>48</v>
      </c>
      <c r="R2259" s="21">
        <v>0</v>
      </c>
      <c r="S2259" s="5">
        <f t="shared" si="143"/>
        <v>26350.397120151989</v>
      </c>
      <c r="T2259" cm="1">
        <f t="array" ref="T2259">IF(OR(B2259="MAL ALIMI", B2259="ÜRETİM GİRİŞ"), MIN(I2259, MAX(0, I2259 + SUM(SUMIFS($I$1:I2258, $C$1:C2258, C2259, $B$1:B2258, {"MAL ALIMI","ÜRETİM GİRİŞ"})) - VLOOKUP(C2259, 'STOK RAPORU'!$C$2:$I$1000, 4, 0))), 0)</f>
        <v>0</v>
      </c>
      <c r="U2259" s="22">
        <f t="shared" si="140"/>
        <v>0</v>
      </c>
      <c r="V2259">
        <f t="shared" si="141"/>
        <v>0</v>
      </c>
      <c r="W2259" s="22">
        <f t="shared" si="142"/>
        <v>0</v>
      </c>
    </row>
    <row r="2260" spans="1:23" hidden="1" x14ac:dyDescent="0.25">
      <c r="A2260" s="3">
        <v>46009</v>
      </c>
      <c r="B2260" s="4" t="s">
        <v>334</v>
      </c>
      <c r="C2260" s="4" t="s">
        <v>198</v>
      </c>
      <c r="D2260" s="4"/>
      <c r="E2260" s="4"/>
      <c r="F2260" s="4" t="s">
        <v>1301</v>
      </c>
      <c r="G2260" s="4" t="s">
        <v>336</v>
      </c>
      <c r="H2260" s="4" t="s">
        <v>289</v>
      </c>
      <c r="I2260" s="4">
        <v>0.05</v>
      </c>
      <c r="J2260" s="21">
        <v>1400</v>
      </c>
      <c r="K2260" s="21">
        <v>0</v>
      </c>
      <c r="L2260" s="5">
        <v>0</v>
      </c>
      <c r="M2260" s="4"/>
      <c r="N2260" s="4"/>
      <c r="O2260" s="5"/>
      <c r="P2260" s="5"/>
      <c r="Q2260" s="21">
        <v>70</v>
      </c>
      <c r="R2260" s="21">
        <v>0</v>
      </c>
      <c r="S2260" s="5">
        <f t="shared" si="143"/>
        <v>26420.397120151989</v>
      </c>
      <c r="T2260" cm="1">
        <f t="array" ref="T2260">IF(OR(B2260="MAL ALIMI", B2260="ÜRETİM GİRİŞ"), MIN(I2260, MAX(0, I2260 + SUM(SUMIFS($I$1:I2259, $C$1:C2259, C2260, $B$1:B2259, {"MAL ALIMI","ÜRETİM GİRİŞ"})) - VLOOKUP(C2260, 'STOK RAPORU'!$C$2:$I$1000, 4, 0))), 0)</f>
        <v>0</v>
      </c>
      <c r="U2260" s="22">
        <f t="shared" si="140"/>
        <v>0</v>
      </c>
      <c r="V2260">
        <f t="shared" si="141"/>
        <v>0</v>
      </c>
      <c r="W2260" s="22">
        <f t="shared" si="142"/>
        <v>0</v>
      </c>
    </row>
    <row r="2261" spans="1:23" hidden="1" x14ac:dyDescent="0.25">
      <c r="A2261" s="3">
        <v>46009</v>
      </c>
      <c r="B2261" s="4" t="s">
        <v>334</v>
      </c>
      <c r="C2261" s="4" t="s">
        <v>89</v>
      </c>
      <c r="D2261" s="4"/>
      <c r="E2261" s="4" t="s">
        <v>921</v>
      </c>
      <c r="F2261" s="4" t="s">
        <v>1302</v>
      </c>
      <c r="G2261" s="4" t="s">
        <v>336</v>
      </c>
      <c r="H2261" s="4" t="s">
        <v>380</v>
      </c>
      <c r="I2261" s="4">
        <v>0.1</v>
      </c>
      <c r="J2261" s="21">
        <v>650</v>
      </c>
      <c r="K2261" s="21">
        <v>65</v>
      </c>
      <c r="L2261" s="5">
        <v>0</v>
      </c>
      <c r="M2261" s="4"/>
      <c r="N2261" s="4"/>
      <c r="O2261" s="5"/>
      <c r="P2261" s="5"/>
      <c r="Q2261" s="21">
        <v>0</v>
      </c>
      <c r="R2261" s="21">
        <v>0</v>
      </c>
      <c r="S2261" s="5">
        <f t="shared" si="143"/>
        <v>26420.397120151989</v>
      </c>
      <c r="T2261" cm="1">
        <f t="array" ref="T2261">IF(OR(B2261="MAL ALIMI", B2261="ÜRETİM GİRİŞ"), MIN(I2261, MAX(0, I2261 + SUM(SUMIFS($I$1:I2260, $C$1:C2260, C2261, $B$1:B2260, {"MAL ALIMI","ÜRETİM GİRİŞ"})) - VLOOKUP(C2261, 'STOK RAPORU'!$C$2:$I$1000, 4, 0))), 0)</f>
        <v>0</v>
      </c>
      <c r="U2261" s="22">
        <f t="shared" si="140"/>
        <v>0</v>
      </c>
      <c r="V2261">
        <f t="shared" si="141"/>
        <v>0</v>
      </c>
      <c r="W2261" s="22">
        <f t="shared" si="142"/>
        <v>0</v>
      </c>
    </row>
    <row r="2262" spans="1:23" hidden="1" x14ac:dyDescent="0.25">
      <c r="A2262" s="3">
        <v>46009</v>
      </c>
      <c r="B2262" s="4" t="s">
        <v>334</v>
      </c>
      <c r="C2262" s="4" t="s">
        <v>60</v>
      </c>
      <c r="D2262" s="4"/>
      <c r="E2262" s="4" t="s">
        <v>921</v>
      </c>
      <c r="F2262" s="4" t="s">
        <v>1302</v>
      </c>
      <c r="G2262" s="4" t="s">
        <v>336</v>
      </c>
      <c r="H2262" s="4" t="s">
        <v>380</v>
      </c>
      <c r="I2262" s="4">
        <v>0.05</v>
      </c>
      <c r="J2262" s="21">
        <v>1200</v>
      </c>
      <c r="K2262" s="21">
        <v>60</v>
      </c>
      <c r="L2262" s="5">
        <v>0</v>
      </c>
      <c r="M2262" s="4"/>
      <c r="N2262" s="4"/>
      <c r="O2262" s="5"/>
      <c r="P2262" s="5"/>
      <c r="Q2262" s="21">
        <v>0</v>
      </c>
      <c r="R2262" s="21">
        <v>0</v>
      </c>
      <c r="S2262" s="5">
        <f t="shared" si="143"/>
        <v>26420.397120151989</v>
      </c>
      <c r="T2262" cm="1">
        <f t="array" ref="T2262">IF(OR(B2262="MAL ALIMI", B2262="ÜRETİM GİRİŞ"), MIN(I2262, MAX(0, I2262 + SUM(SUMIFS($I$1:I2261, $C$1:C2261, C2262, $B$1:B2261, {"MAL ALIMI","ÜRETİM GİRİŞ"})) - VLOOKUP(C2262, 'STOK RAPORU'!$C$2:$I$1000, 4, 0))), 0)</f>
        <v>0</v>
      </c>
      <c r="U2262" s="22">
        <f t="shared" si="140"/>
        <v>0</v>
      </c>
      <c r="V2262">
        <f t="shared" si="141"/>
        <v>0</v>
      </c>
      <c r="W2262" s="22">
        <f t="shared" si="142"/>
        <v>0</v>
      </c>
    </row>
    <row r="2263" spans="1:23" hidden="1" x14ac:dyDescent="0.25">
      <c r="A2263" s="3">
        <v>46009</v>
      </c>
      <c r="B2263" s="4" t="s">
        <v>334</v>
      </c>
      <c r="C2263" s="4" t="s">
        <v>463</v>
      </c>
      <c r="D2263" s="4"/>
      <c r="E2263" s="4" t="s">
        <v>921</v>
      </c>
      <c r="F2263" s="4" t="s">
        <v>1302</v>
      </c>
      <c r="G2263" s="4" t="s">
        <v>336</v>
      </c>
      <c r="H2263" s="4" t="s">
        <v>380</v>
      </c>
      <c r="I2263" s="4">
        <v>0.11351351351351352</v>
      </c>
      <c r="J2263" s="21">
        <v>370</v>
      </c>
      <c r="K2263" s="21">
        <v>42</v>
      </c>
      <c r="L2263" s="5">
        <v>0</v>
      </c>
      <c r="M2263" s="4"/>
      <c r="N2263" s="4"/>
      <c r="O2263" s="5"/>
      <c r="P2263" s="5"/>
      <c r="Q2263" s="21">
        <v>0</v>
      </c>
      <c r="R2263" s="21">
        <v>0</v>
      </c>
      <c r="S2263" s="5">
        <f t="shared" si="143"/>
        <v>26420.397120151989</v>
      </c>
      <c r="T2263" cm="1">
        <f t="array" ref="T2263">IF(OR(B2263="MAL ALIMI", B2263="ÜRETİM GİRİŞ"), MIN(I2263, MAX(0, I2263 + SUM(SUMIFS($I$1:I2262, $C$1:C2262, C2263, $B$1:B2262, {"MAL ALIMI","ÜRETİM GİRİŞ"})) - VLOOKUP(C2263, 'STOK RAPORU'!$C$2:$I$1000, 4, 0))), 0)</f>
        <v>0</v>
      </c>
      <c r="U2263" s="22">
        <f t="shared" si="140"/>
        <v>0</v>
      </c>
      <c r="V2263">
        <f t="shared" si="141"/>
        <v>0</v>
      </c>
      <c r="W2263" s="22">
        <f t="shared" si="142"/>
        <v>0</v>
      </c>
    </row>
    <row r="2264" spans="1:23" hidden="1" x14ac:dyDescent="0.25">
      <c r="A2264" s="3">
        <v>46009</v>
      </c>
      <c r="B2264" s="4" t="s">
        <v>334</v>
      </c>
      <c r="C2264" s="4" t="s">
        <v>459</v>
      </c>
      <c r="D2264" s="4"/>
      <c r="E2264" s="4" t="s">
        <v>921</v>
      </c>
      <c r="F2264" s="4" t="s">
        <v>1302</v>
      </c>
      <c r="G2264" s="4" t="s">
        <v>336</v>
      </c>
      <c r="H2264" s="4" t="s">
        <v>380</v>
      </c>
      <c r="I2264" s="4">
        <v>0.5</v>
      </c>
      <c r="J2264" s="21">
        <v>140</v>
      </c>
      <c r="K2264" s="21">
        <v>70</v>
      </c>
      <c r="L2264" s="5">
        <v>0</v>
      </c>
      <c r="M2264" s="4"/>
      <c r="N2264" s="4"/>
      <c r="O2264" s="5"/>
      <c r="P2264" s="5"/>
      <c r="Q2264" s="21">
        <v>0</v>
      </c>
      <c r="R2264" s="21">
        <v>0</v>
      </c>
      <c r="S2264" s="5">
        <f t="shared" si="143"/>
        <v>26420.397120151989</v>
      </c>
      <c r="T2264" cm="1">
        <f t="array" ref="T2264">IF(OR(B2264="MAL ALIMI", B2264="ÜRETİM GİRİŞ"), MIN(I2264, MAX(0, I2264 + SUM(SUMIFS($I$1:I2263, $C$1:C2263, C2264, $B$1:B2263, {"MAL ALIMI","ÜRETİM GİRİŞ"})) - VLOOKUP(C2264, 'STOK RAPORU'!$C$2:$I$1000, 4, 0))), 0)</f>
        <v>0</v>
      </c>
      <c r="U2264" s="22">
        <f t="shared" si="140"/>
        <v>0</v>
      </c>
      <c r="V2264">
        <f t="shared" si="141"/>
        <v>0</v>
      </c>
      <c r="W2264" s="22">
        <f t="shared" si="142"/>
        <v>0</v>
      </c>
    </row>
    <row r="2265" spans="1:23" hidden="1" x14ac:dyDescent="0.25">
      <c r="A2265" s="3">
        <v>46009</v>
      </c>
      <c r="B2265" s="4" t="s">
        <v>334</v>
      </c>
      <c r="C2265" s="4" t="s">
        <v>892</v>
      </c>
      <c r="D2265" s="4"/>
      <c r="E2265" s="4"/>
      <c r="F2265" s="4" t="s">
        <v>1303</v>
      </c>
      <c r="G2265" s="4" t="s">
        <v>336</v>
      </c>
      <c r="H2265" s="4" t="s">
        <v>289</v>
      </c>
      <c r="I2265" s="4">
        <v>0.5</v>
      </c>
      <c r="J2265" s="21">
        <v>60</v>
      </c>
      <c r="K2265" s="21">
        <v>0</v>
      </c>
      <c r="L2265" s="5">
        <v>0</v>
      </c>
      <c r="M2265" s="4"/>
      <c r="N2265" s="4"/>
      <c r="O2265" s="5"/>
      <c r="P2265" s="5"/>
      <c r="Q2265" s="21">
        <v>30</v>
      </c>
      <c r="R2265" s="21">
        <v>0</v>
      </c>
      <c r="S2265" s="5">
        <f t="shared" si="143"/>
        <v>26450.397120151989</v>
      </c>
      <c r="T2265" cm="1">
        <f t="array" ref="T2265">IF(OR(B2265="MAL ALIMI", B2265="ÜRETİM GİRİŞ"), MIN(I2265, MAX(0, I2265 + SUM(SUMIFS($I$1:I2264, $C$1:C2264, C2265, $B$1:B2264, {"MAL ALIMI","ÜRETİM GİRİŞ"})) - VLOOKUP(C2265, 'STOK RAPORU'!$C$2:$I$1000, 4, 0))), 0)</f>
        <v>0</v>
      </c>
      <c r="U2265" s="22">
        <f t="shared" si="140"/>
        <v>0</v>
      </c>
      <c r="V2265">
        <f t="shared" si="141"/>
        <v>0</v>
      </c>
      <c r="W2265" s="22">
        <f t="shared" si="142"/>
        <v>0</v>
      </c>
    </row>
    <row r="2266" spans="1:23" hidden="1" x14ac:dyDescent="0.25">
      <c r="A2266" s="3">
        <v>46009</v>
      </c>
      <c r="B2266" s="4" t="s">
        <v>334</v>
      </c>
      <c r="C2266" s="4" t="s">
        <v>211</v>
      </c>
      <c r="D2266" s="4"/>
      <c r="E2266" s="4"/>
      <c r="F2266" s="4" t="s">
        <v>1304</v>
      </c>
      <c r="G2266" s="4" t="s">
        <v>336</v>
      </c>
      <c r="H2266" s="4" t="s">
        <v>289</v>
      </c>
      <c r="I2266" s="4">
        <v>3</v>
      </c>
      <c r="J2266" s="21">
        <v>300</v>
      </c>
      <c r="K2266" s="21">
        <v>0</v>
      </c>
      <c r="L2266" s="5">
        <v>0</v>
      </c>
      <c r="M2266" s="4"/>
      <c r="N2266" s="4"/>
      <c r="O2266" s="5"/>
      <c r="P2266" s="5"/>
      <c r="Q2266" s="21">
        <v>900</v>
      </c>
      <c r="R2266" s="21">
        <v>0</v>
      </c>
      <c r="S2266" s="5">
        <f t="shared" si="143"/>
        <v>27350.397120151989</v>
      </c>
      <c r="T2266" cm="1">
        <f t="array" ref="T2266">IF(OR(B2266="MAL ALIMI", B2266="ÜRETİM GİRİŞ"), MIN(I2266, MAX(0, I2266 + SUM(SUMIFS($I$1:I2265, $C$1:C2265, C2266, $B$1:B2265, {"MAL ALIMI","ÜRETİM GİRİŞ"})) - VLOOKUP(C2266, 'STOK RAPORU'!$C$2:$I$1000, 4, 0))), 0)</f>
        <v>0</v>
      </c>
      <c r="U2266" s="22">
        <f t="shared" si="140"/>
        <v>0</v>
      </c>
      <c r="V2266">
        <f t="shared" si="141"/>
        <v>0</v>
      </c>
      <c r="W2266" s="22">
        <f t="shared" si="142"/>
        <v>0</v>
      </c>
    </row>
    <row r="2267" spans="1:23" hidden="1" x14ac:dyDescent="0.25">
      <c r="A2267" s="3">
        <v>46009</v>
      </c>
      <c r="B2267" s="4" t="s">
        <v>334</v>
      </c>
      <c r="C2267" s="4" t="s">
        <v>244</v>
      </c>
      <c r="D2267" s="4"/>
      <c r="E2267" s="4" t="s">
        <v>921</v>
      </c>
      <c r="F2267" s="4" t="s">
        <v>1305</v>
      </c>
      <c r="G2267" s="4" t="s">
        <v>336</v>
      </c>
      <c r="H2267" s="4" t="s">
        <v>380</v>
      </c>
      <c r="I2267" s="4">
        <v>0.23076923076923078</v>
      </c>
      <c r="J2267" s="21">
        <v>650</v>
      </c>
      <c r="K2267" s="21">
        <v>150</v>
      </c>
      <c r="L2267" s="5">
        <v>0</v>
      </c>
      <c r="M2267" s="4"/>
      <c r="N2267" s="4"/>
      <c r="O2267" s="5"/>
      <c r="P2267" s="5"/>
      <c r="Q2267" s="21">
        <v>0</v>
      </c>
      <c r="R2267" s="21">
        <v>0</v>
      </c>
      <c r="S2267" s="5">
        <f t="shared" si="143"/>
        <v>27350.397120151989</v>
      </c>
      <c r="T2267" cm="1">
        <f t="array" ref="T2267">IF(OR(B2267="MAL ALIMI", B2267="ÜRETİM GİRİŞ"), MIN(I2267, MAX(0, I2267 + SUM(SUMIFS($I$1:I2266, $C$1:C2266, C2267, $B$1:B2266, {"MAL ALIMI","ÜRETİM GİRİŞ"})) - VLOOKUP(C2267, 'STOK RAPORU'!$C$2:$I$1000, 4, 0))), 0)</f>
        <v>0</v>
      </c>
      <c r="U2267" s="22">
        <f t="shared" si="140"/>
        <v>0</v>
      </c>
      <c r="V2267">
        <f t="shared" si="141"/>
        <v>0</v>
      </c>
      <c r="W2267" s="22">
        <f t="shared" si="142"/>
        <v>0</v>
      </c>
    </row>
    <row r="2268" spans="1:23" hidden="1" x14ac:dyDescent="0.25">
      <c r="A2268" s="3">
        <v>46009</v>
      </c>
      <c r="B2268" s="4" t="s">
        <v>334</v>
      </c>
      <c r="C2268" s="4" t="s">
        <v>209</v>
      </c>
      <c r="D2268" s="4"/>
      <c r="E2268" s="4" t="s">
        <v>921</v>
      </c>
      <c r="F2268" s="4" t="s">
        <v>1305</v>
      </c>
      <c r="G2268" s="4" t="s">
        <v>336</v>
      </c>
      <c r="H2268" s="4" t="s">
        <v>380</v>
      </c>
      <c r="I2268" s="4">
        <v>0.05</v>
      </c>
      <c r="J2268" s="21">
        <v>2600</v>
      </c>
      <c r="K2268" s="21">
        <v>130</v>
      </c>
      <c r="L2268" s="5">
        <v>0</v>
      </c>
      <c r="M2268" s="4"/>
      <c r="N2268" s="4"/>
      <c r="O2268" s="5"/>
      <c r="P2268" s="5"/>
      <c r="Q2268" s="21">
        <v>0</v>
      </c>
      <c r="R2268" s="21">
        <v>0</v>
      </c>
      <c r="S2268" s="5">
        <f t="shared" si="143"/>
        <v>27350.397120151989</v>
      </c>
      <c r="T2268" cm="1">
        <f t="array" ref="T2268">IF(OR(B2268="MAL ALIMI", B2268="ÜRETİM GİRİŞ"), MIN(I2268, MAX(0, I2268 + SUM(SUMIFS($I$1:I2267, $C$1:C2267, C2268, $B$1:B2267, {"MAL ALIMI","ÜRETİM GİRİŞ"})) - VLOOKUP(C2268, 'STOK RAPORU'!$C$2:$I$1000, 4, 0))), 0)</f>
        <v>0</v>
      </c>
      <c r="U2268" s="22">
        <f t="shared" si="140"/>
        <v>0</v>
      </c>
      <c r="V2268">
        <f t="shared" si="141"/>
        <v>0</v>
      </c>
      <c r="W2268" s="22">
        <f t="shared" si="142"/>
        <v>0</v>
      </c>
    </row>
    <row r="2269" spans="1:23" hidden="1" x14ac:dyDescent="0.25">
      <c r="A2269" s="3">
        <v>46009</v>
      </c>
      <c r="B2269" s="4" t="s">
        <v>334</v>
      </c>
      <c r="C2269" s="4" t="s">
        <v>251</v>
      </c>
      <c r="D2269" s="4"/>
      <c r="E2269" s="4" t="s">
        <v>921</v>
      </c>
      <c r="F2269" s="4" t="s">
        <v>1305</v>
      </c>
      <c r="G2269" s="4" t="s">
        <v>336</v>
      </c>
      <c r="H2269" s="4" t="s">
        <v>380</v>
      </c>
      <c r="I2269" s="4">
        <v>0.37462686567164177</v>
      </c>
      <c r="J2269" s="21">
        <v>670</v>
      </c>
      <c r="K2269" s="21">
        <v>251</v>
      </c>
      <c r="L2269" s="5">
        <v>0</v>
      </c>
      <c r="M2269" s="4"/>
      <c r="N2269" s="4"/>
      <c r="O2269" s="5"/>
      <c r="P2269" s="5"/>
      <c r="Q2269" s="21">
        <v>0</v>
      </c>
      <c r="R2269" s="21">
        <v>0</v>
      </c>
      <c r="S2269" s="5">
        <f t="shared" si="143"/>
        <v>27350.397120151989</v>
      </c>
      <c r="T2269" cm="1">
        <f t="array" ref="T2269">IF(OR(B2269="MAL ALIMI", B2269="ÜRETİM GİRİŞ"), MIN(I2269, MAX(0, I2269 + SUM(SUMIFS($I$1:I2268, $C$1:C2268, C2269, $B$1:B2268, {"MAL ALIMI","ÜRETİM GİRİŞ"})) - VLOOKUP(C2269, 'STOK RAPORU'!$C$2:$I$1000, 4, 0))), 0)</f>
        <v>0</v>
      </c>
      <c r="U2269" s="22">
        <f t="shared" si="140"/>
        <v>0</v>
      </c>
      <c r="V2269">
        <f t="shared" si="141"/>
        <v>0</v>
      </c>
      <c r="W2269" s="22">
        <f t="shared" si="142"/>
        <v>0</v>
      </c>
    </row>
    <row r="2270" spans="1:23" hidden="1" x14ac:dyDescent="0.25">
      <c r="A2270" s="3">
        <v>46009</v>
      </c>
      <c r="B2270" s="4" t="s">
        <v>334</v>
      </c>
      <c r="C2270" s="4" t="s">
        <v>265</v>
      </c>
      <c r="D2270" s="4"/>
      <c r="E2270" s="4" t="s">
        <v>921</v>
      </c>
      <c r="F2270" s="4" t="s">
        <v>1305</v>
      </c>
      <c r="G2270" s="4" t="s">
        <v>336</v>
      </c>
      <c r="H2270" s="4" t="s">
        <v>380</v>
      </c>
      <c r="I2270" s="4">
        <v>1</v>
      </c>
      <c r="J2270" s="21">
        <v>140</v>
      </c>
      <c r="K2270" s="21">
        <v>140</v>
      </c>
      <c r="L2270" s="5">
        <v>0</v>
      </c>
      <c r="M2270" s="4"/>
      <c r="N2270" s="4"/>
      <c r="O2270" s="5"/>
      <c r="P2270" s="5"/>
      <c r="Q2270" s="21">
        <v>0</v>
      </c>
      <c r="R2270" s="21">
        <v>0</v>
      </c>
      <c r="S2270" s="5">
        <f t="shared" si="143"/>
        <v>27350.397120151989</v>
      </c>
      <c r="T2270" cm="1">
        <f t="array" ref="T2270">IF(OR(B2270="MAL ALIMI", B2270="ÜRETİM GİRİŞ"), MIN(I2270, MAX(0, I2270 + SUM(SUMIFS($I$1:I2269, $C$1:C2269, C2270, $B$1:B2269, {"MAL ALIMI","ÜRETİM GİRİŞ"})) - VLOOKUP(C2270, 'STOK RAPORU'!$C$2:$I$1000, 4, 0))), 0)</f>
        <v>0</v>
      </c>
      <c r="U2270" s="22">
        <f t="shared" si="140"/>
        <v>0</v>
      </c>
      <c r="V2270">
        <f t="shared" si="141"/>
        <v>0</v>
      </c>
      <c r="W2270" s="22">
        <f t="shared" si="142"/>
        <v>0</v>
      </c>
    </row>
    <row r="2271" spans="1:23" hidden="1" x14ac:dyDescent="0.25">
      <c r="A2271" s="3">
        <v>46009</v>
      </c>
      <c r="B2271" s="4" t="s">
        <v>334</v>
      </c>
      <c r="C2271" s="4" t="s">
        <v>690</v>
      </c>
      <c r="D2271" s="4"/>
      <c r="E2271" s="4" t="s">
        <v>921</v>
      </c>
      <c r="F2271" s="4" t="s">
        <v>1305</v>
      </c>
      <c r="G2271" s="4" t="s">
        <v>336</v>
      </c>
      <c r="H2271" s="4" t="s">
        <v>380</v>
      </c>
      <c r="I2271" s="4">
        <v>0.41764705882352943</v>
      </c>
      <c r="J2271" s="21">
        <v>340</v>
      </c>
      <c r="K2271" s="21">
        <v>142</v>
      </c>
      <c r="L2271" s="5">
        <v>0</v>
      </c>
      <c r="M2271" s="4"/>
      <c r="N2271" s="4"/>
      <c r="O2271" s="5"/>
      <c r="P2271" s="5"/>
      <c r="Q2271" s="21">
        <v>0</v>
      </c>
      <c r="R2271" s="21">
        <v>0</v>
      </c>
      <c r="S2271" s="5">
        <f t="shared" si="143"/>
        <v>27350.397120151989</v>
      </c>
      <c r="T2271" cm="1">
        <f t="array" ref="T2271">IF(OR(B2271="MAL ALIMI", B2271="ÜRETİM GİRİŞ"), MIN(I2271, MAX(0, I2271 + SUM(SUMIFS($I$1:I2270, $C$1:C2270, C2271, $B$1:B2270, {"MAL ALIMI","ÜRETİM GİRİŞ"})) - VLOOKUP(C2271, 'STOK RAPORU'!$C$2:$I$1000, 4, 0))), 0)</f>
        <v>0</v>
      </c>
      <c r="U2271" s="22">
        <f t="shared" si="140"/>
        <v>0</v>
      </c>
      <c r="V2271">
        <f t="shared" si="141"/>
        <v>0</v>
      </c>
      <c r="W2271" s="22">
        <f t="shared" si="142"/>
        <v>0</v>
      </c>
    </row>
    <row r="2272" spans="1:23" hidden="1" x14ac:dyDescent="0.25">
      <c r="A2272" s="3">
        <v>46009</v>
      </c>
      <c r="B2272" s="4" t="s">
        <v>334</v>
      </c>
      <c r="C2272" s="4" t="s">
        <v>202</v>
      </c>
      <c r="D2272" s="4"/>
      <c r="E2272" s="4" t="s">
        <v>921</v>
      </c>
      <c r="F2272" s="4" t="s">
        <v>1305</v>
      </c>
      <c r="G2272" s="4" t="s">
        <v>336</v>
      </c>
      <c r="H2272" s="4" t="s">
        <v>380</v>
      </c>
      <c r="I2272" s="4">
        <v>0.5</v>
      </c>
      <c r="J2272" s="21">
        <v>80</v>
      </c>
      <c r="K2272" s="21">
        <v>40</v>
      </c>
      <c r="L2272" s="5">
        <v>0</v>
      </c>
      <c r="M2272" s="4"/>
      <c r="N2272" s="4"/>
      <c r="O2272" s="5"/>
      <c r="P2272" s="5"/>
      <c r="Q2272" s="21">
        <v>0</v>
      </c>
      <c r="R2272" s="21">
        <v>0</v>
      </c>
      <c r="S2272" s="5">
        <f t="shared" si="143"/>
        <v>27350.397120151989</v>
      </c>
      <c r="T2272" cm="1">
        <f t="array" ref="T2272">IF(OR(B2272="MAL ALIMI", B2272="ÜRETİM GİRİŞ"), MIN(I2272, MAX(0, I2272 + SUM(SUMIFS($I$1:I2271, $C$1:C2271, C2272, $B$1:B2271, {"MAL ALIMI","ÜRETİM GİRİŞ"})) - VLOOKUP(C2272, 'STOK RAPORU'!$C$2:$I$1000, 4, 0))), 0)</f>
        <v>0</v>
      </c>
      <c r="U2272" s="22">
        <f t="shared" si="140"/>
        <v>0</v>
      </c>
      <c r="V2272">
        <f t="shared" si="141"/>
        <v>0</v>
      </c>
      <c r="W2272" s="22">
        <f t="shared" si="142"/>
        <v>0</v>
      </c>
    </row>
    <row r="2273" spans="1:23" hidden="1" x14ac:dyDescent="0.25">
      <c r="A2273" s="3">
        <v>46009</v>
      </c>
      <c r="B2273" s="4" t="s">
        <v>334</v>
      </c>
      <c r="C2273" s="4" t="s">
        <v>834</v>
      </c>
      <c r="D2273" s="4"/>
      <c r="E2273" s="4" t="s">
        <v>921</v>
      </c>
      <c r="F2273" s="4" t="s">
        <v>1305</v>
      </c>
      <c r="G2273" s="4" t="s">
        <v>336</v>
      </c>
      <c r="H2273" s="4" t="s">
        <v>380</v>
      </c>
      <c r="I2273" s="4">
        <v>1</v>
      </c>
      <c r="J2273" s="21">
        <v>110</v>
      </c>
      <c r="K2273" s="21">
        <v>110</v>
      </c>
      <c r="L2273" s="5">
        <v>0</v>
      </c>
      <c r="M2273" s="4"/>
      <c r="N2273" s="4"/>
      <c r="O2273" s="5"/>
      <c r="P2273" s="5"/>
      <c r="Q2273" s="21">
        <v>0</v>
      </c>
      <c r="R2273" s="21">
        <v>0</v>
      </c>
      <c r="S2273" s="5">
        <f t="shared" si="143"/>
        <v>27350.397120151989</v>
      </c>
      <c r="T2273" cm="1">
        <f t="array" ref="T2273">IF(OR(B2273="MAL ALIMI", B2273="ÜRETİM GİRİŞ"), MIN(I2273, MAX(0, I2273 + SUM(SUMIFS($I$1:I2272, $C$1:C2272, C2273, $B$1:B2272, {"MAL ALIMI","ÜRETİM GİRİŞ"})) - VLOOKUP(C2273, 'STOK RAPORU'!$C$2:$I$1000, 4, 0))), 0)</f>
        <v>0</v>
      </c>
      <c r="U2273" s="22">
        <f t="shared" si="140"/>
        <v>0</v>
      </c>
      <c r="V2273">
        <f t="shared" si="141"/>
        <v>0</v>
      </c>
      <c r="W2273" s="22">
        <f t="shared" si="142"/>
        <v>0</v>
      </c>
    </row>
    <row r="2274" spans="1:23" hidden="1" x14ac:dyDescent="0.25">
      <c r="A2274" s="3">
        <v>46009</v>
      </c>
      <c r="B2274" s="4" t="s">
        <v>334</v>
      </c>
      <c r="C2274" s="4" t="s">
        <v>828</v>
      </c>
      <c r="D2274" s="4"/>
      <c r="E2274" s="4" t="s">
        <v>921</v>
      </c>
      <c r="F2274" s="4" t="s">
        <v>1305</v>
      </c>
      <c r="G2274" s="4" t="s">
        <v>336</v>
      </c>
      <c r="H2274" s="4" t="s">
        <v>380</v>
      </c>
      <c r="I2274" s="4">
        <v>1</v>
      </c>
      <c r="J2274" s="21">
        <v>145</v>
      </c>
      <c r="K2274" s="21">
        <v>145</v>
      </c>
      <c r="L2274" s="5">
        <v>0</v>
      </c>
      <c r="M2274" s="4"/>
      <c r="N2274" s="4"/>
      <c r="O2274" s="5"/>
      <c r="P2274" s="5"/>
      <c r="Q2274" s="21">
        <v>0</v>
      </c>
      <c r="R2274" s="21">
        <v>0</v>
      </c>
      <c r="S2274" s="5">
        <f t="shared" si="143"/>
        <v>27350.397120151989</v>
      </c>
      <c r="T2274" cm="1">
        <f t="array" ref="T2274">IF(OR(B2274="MAL ALIMI", B2274="ÜRETİM GİRİŞ"), MIN(I2274, MAX(0, I2274 + SUM(SUMIFS($I$1:I2273, $C$1:C2273, C2274, $B$1:B2273, {"MAL ALIMI","ÜRETİM GİRİŞ"})) - VLOOKUP(C2274, 'STOK RAPORU'!$C$2:$I$1000, 4, 0))), 0)</f>
        <v>0</v>
      </c>
      <c r="U2274" s="22">
        <f t="shared" si="140"/>
        <v>0</v>
      </c>
      <c r="V2274">
        <f t="shared" si="141"/>
        <v>0</v>
      </c>
      <c r="W2274" s="22">
        <f t="shared" si="142"/>
        <v>0</v>
      </c>
    </row>
    <row r="2275" spans="1:23" hidden="1" x14ac:dyDescent="0.25">
      <c r="A2275" s="3">
        <v>46009</v>
      </c>
      <c r="B2275" s="4" t="s">
        <v>946</v>
      </c>
      <c r="C2275" s="4"/>
      <c r="D2275" s="4"/>
      <c r="E2275" s="4" t="s">
        <v>921</v>
      </c>
      <c r="F2275" s="4"/>
      <c r="G2275" s="4" t="s">
        <v>946</v>
      </c>
      <c r="H2275" s="4" t="s">
        <v>380</v>
      </c>
      <c r="I2275" s="4">
        <v>1</v>
      </c>
      <c r="J2275" s="105">
        <v>150</v>
      </c>
      <c r="K2275" s="21">
        <v>0</v>
      </c>
      <c r="L2275" s="111">
        <v>150</v>
      </c>
      <c r="M2275" s="4">
        <v>330</v>
      </c>
      <c r="N2275" s="4"/>
      <c r="O2275" s="5"/>
      <c r="P2275" s="5"/>
      <c r="Q2275" s="21">
        <v>150</v>
      </c>
      <c r="R2275" s="21">
        <v>0</v>
      </c>
      <c r="S2275" s="5">
        <f t="shared" si="143"/>
        <v>27500.397120151989</v>
      </c>
      <c r="T2275" cm="1">
        <f t="array" ref="T2275">IF(OR(B2275="MAL ALIMI", B2275="ÜRETİM GİRİŞ"), MIN(I2275, MAX(0, I2275 + SUM(SUMIFS($I$1:I2274, $C$1:C2274, C2275, $B$1:B2274, {"MAL ALIMI","ÜRETİM GİRİŞ"})) - VLOOKUP(C2275, 'STOK RAPORU'!$C$2:$I$1000, 4, 0))), 0)</f>
        <v>0</v>
      </c>
      <c r="U2275" s="22">
        <f t="shared" si="140"/>
        <v>0</v>
      </c>
      <c r="V2275">
        <f t="shared" si="141"/>
        <v>0</v>
      </c>
      <c r="W2275" s="22">
        <f t="shared" si="142"/>
        <v>0</v>
      </c>
    </row>
    <row r="2276" spans="1:23" hidden="1" x14ac:dyDescent="0.25">
      <c r="A2276" s="3">
        <v>46009</v>
      </c>
      <c r="B2276" s="4" t="s">
        <v>946</v>
      </c>
      <c r="C2276" s="4"/>
      <c r="D2276" s="4"/>
      <c r="E2276" s="4" t="s">
        <v>921</v>
      </c>
      <c r="F2276" s="4"/>
      <c r="G2276" s="4" t="s">
        <v>946</v>
      </c>
      <c r="H2276" s="4" t="s">
        <v>380</v>
      </c>
      <c r="I2276" s="4">
        <v>1</v>
      </c>
      <c r="J2276" s="105">
        <v>901</v>
      </c>
      <c r="K2276" s="21">
        <v>0</v>
      </c>
      <c r="L2276" s="111">
        <v>901</v>
      </c>
      <c r="M2276" s="4">
        <v>330</v>
      </c>
      <c r="N2276" s="4"/>
      <c r="O2276" s="5"/>
      <c r="P2276" s="5"/>
      <c r="Q2276" s="21">
        <v>901</v>
      </c>
      <c r="R2276" s="21">
        <v>0</v>
      </c>
      <c r="S2276" s="5">
        <f t="shared" si="143"/>
        <v>28401.397120151989</v>
      </c>
      <c r="T2276" cm="1">
        <f t="array" ref="T2276">IF(OR(B2276="MAL ALIMI", B2276="ÜRETİM GİRİŞ"), MIN(I2276, MAX(0, I2276 + SUM(SUMIFS($I$1:I2275, $C$1:C2275, C2276, $B$1:B2275, {"MAL ALIMI","ÜRETİM GİRİŞ"})) - VLOOKUP(C2276, 'STOK RAPORU'!$C$2:$I$1000, 4, 0))), 0)</f>
        <v>0</v>
      </c>
      <c r="U2276" s="22">
        <f t="shared" si="140"/>
        <v>0</v>
      </c>
      <c r="V2276">
        <f t="shared" si="141"/>
        <v>0</v>
      </c>
      <c r="W2276" s="22">
        <f t="shared" si="142"/>
        <v>0</v>
      </c>
    </row>
    <row r="2277" spans="1:23" hidden="1" x14ac:dyDescent="0.25">
      <c r="A2277" s="3">
        <v>46010</v>
      </c>
      <c r="B2277" s="4" t="s">
        <v>334</v>
      </c>
      <c r="C2277" s="4" t="s">
        <v>597</v>
      </c>
      <c r="D2277" s="4"/>
      <c r="E2277" s="4"/>
      <c r="F2277" s="4" t="s">
        <v>1306</v>
      </c>
      <c r="G2277" s="4" t="s">
        <v>336</v>
      </c>
      <c r="H2277" s="4" t="s">
        <v>289</v>
      </c>
      <c r="I2277" s="4">
        <v>1</v>
      </c>
      <c r="J2277" s="21">
        <v>290</v>
      </c>
      <c r="K2277" s="21">
        <v>0</v>
      </c>
      <c r="L2277" s="5">
        <v>0</v>
      </c>
      <c r="M2277" s="4"/>
      <c r="N2277" s="4"/>
      <c r="O2277" s="5"/>
      <c r="P2277" s="5"/>
      <c r="Q2277" s="21">
        <v>290</v>
      </c>
      <c r="R2277" s="21">
        <v>0</v>
      </c>
      <c r="S2277" s="5">
        <f t="shared" si="143"/>
        <v>28691.397120151989</v>
      </c>
      <c r="T2277" cm="1">
        <f t="array" ref="T2277">IF(OR(B2277="MAL ALIMI", B2277="ÜRETİM GİRİŞ"), MIN(I2277, MAX(0, I2277 + SUM(SUMIFS($I$1:I2276, $C$1:C2276, C2277, $B$1:B2276, {"MAL ALIMI","ÜRETİM GİRİŞ"})) - VLOOKUP(C2277, 'STOK RAPORU'!$C$2:$I$1000, 4, 0))), 0)</f>
        <v>0</v>
      </c>
      <c r="U2277" s="22">
        <f t="shared" si="140"/>
        <v>0</v>
      </c>
      <c r="V2277">
        <f t="shared" si="141"/>
        <v>0</v>
      </c>
      <c r="W2277" s="22">
        <f t="shared" si="142"/>
        <v>0</v>
      </c>
    </row>
    <row r="2278" spans="1:23" hidden="1" x14ac:dyDescent="0.25">
      <c r="A2278" s="3">
        <v>46010</v>
      </c>
      <c r="B2278" s="4" t="s">
        <v>334</v>
      </c>
      <c r="C2278" s="4" t="s">
        <v>892</v>
      </c>
      <c r="D2278" s="4"/>
      <c r="E2278" s="4" t="s">
        <v>921</v>
      </c>
      <c r="F2278" s="4" t="s">
        <v>1307</v>
      </c>
      <c r="G2278" s="4" t="s">
        <v>336</v>
      </c>
      <c r="H2278" s="4" t="s">
        <v>380</v>
      </c>
      <c r="I2278" s="4">
        <v>1</v>
      </c>
      <c r="J2278" s="21">
        <v>60</v>
      </c>
      <c r="K2278" s="21">
        <v>60</v>
      </c>
      <c r="L2278" s="5">
        <v>0</v>
      </c>
      <c r="M2278" s="4"/>
      <c r="N2278" s="4"/>
      <c r="O2278" s="5"/>
      <c r="P2278" s="5"/>
      <c r="Q2278" s="21">
        <v>0</v>
      </c>
      <c r="R2278" s="21">
        <v>0</v>
      </c>
      <c r="S2278" s="5">
        <f t="shared" si="143"/>
        <v>28691.397120151989</v>
      </c>
      <c r="T2278" cm="1">
        <f t="array" ref="T2278">IF(OR(B2278="MAL ALIMI", B2278="ÜRETİM GİRİŞ"), MIN(I2278, MAX(0, I2278 + SUM(SUMIFS($I$1:I2277, $C$1:C2277, C2278, $B$1:B2277, {"MAL ALIMI","ÜRETİM GİRİŞ"})) - VLOOKUP(C2278, 'STOK RAPORU'!$C$2:$I$1000, 4, 0))), 0)</f>
        <v>0</v>
      </c>
      <c r="U2278" s="22">
        <f t="shared" si="140"/>
        <v>0</v>
      </c>
      <c r="V2278">
        <f t="shared" si="141"/>
        <v>0</v>
      </c>
      <c r="W2278" s="22">
        <f t="shared" si="142"/>
        <v>0</v>
      </c>
    </row>
    <row r="2279" spans="1:23" hidden="1" x14ac:dyDescent="0.25">
      <c r="A2279" s="3">
        <v>46010</v>
      </c>
      <c r="B2279" s="4" t="s">
        <v>334</v>
      </c>
      <c r="C2279" s="4" t="s">
        <v>3167</v>
      </c>
      <c r="D2279" s="4"/>
      <c r="E2279" s="4" t="s">
        <v>921</v>
      </c>
      <c r="F2279" s="4" t="s">
        <v>1308</v>
      </c>
      <c r="G2279" s="4" t="s">
        <v>336</v>
      </c>
      <c r="H2279" s="4" t="s">
        <v>380</v>
      </c>
      <c r="I2279" s="4">
        <v>0.27567567567567569</v>
      </c>
      <c r="J2279" s="21">
        <v>370</v>
      </c>
      <c r="K2279" s="21">
        <v>102</v>
      </c>
      <c r="L2279" s="5">
        <v>0</v>
      </c>
      <c r="M2279" s="4"/>
      <c r="N2279" s="4"/>
      <c r="O2279" s="5"/>
      <c r="P2279" s="5"/>
      <c r="Q2279" s="21">
        <v>0</v>
      </c>
      <c r="R2279" s="21">
        <v>0</v>
      </c>
      <c r="S2279" s="5">
        <f t="shared" si="143"/>
        <v>28691.397120151989</v>
      </c>
      <c r="T2279" cm="1">
        <f t="array" ref="T2279">IF(OR(B2279="MAL ALIMI", B2279="ÜRETİM GİRİŞ"), MIN(I2279, MAX(0, I2279 + SUM(SUMIFS($I$1:I2278, $C$1:C2278, C2279, $B$1:B2278, {"MAL ALIMI","ÜRETİM GİRİŞ"})) - VLOOKUP(C2279, 'STOK RAPORU'!$C$2:$I$1000, 4, 0))), 0)</f>
        <v>0</v>
      </c>
      <c r="U2279" s="22">
        <f t="shared" si="140"/>
        <v>0</v>
      </c>
      <c r="V2279">
        <f t="shared" si="141"/>
        <v>0</v>
      </c>
      <c r="W2279" s="22">
        <f t="shared" si="142"/>
        <v>0</v>
      </c>
    </row>
    <row r="2280" spans="1:23" hidden="1" x14ac:dyDescent="0.25">
      <c r="A2280" s="3">
        <v>46010</v>
      </c>
      <c r="B2280" s="4" t="s">
        <v>334</v>
      </c>
      <c r="C2280" s="4" t="s">
        <v>266</v>
      </c>
      <c r="D2280" s="4"/>
      <c r="E2280" s="4" t="s">
        <v>921</v>
      </c>
      <c r="F2280" s="4" t="s">
        <v>1308</v>
      </c>
      <c r="G2280" s="4" t="s">
        <v>336</v>
      </c>
      <c r="H2280" s="4" t="s">
        <v>380</v>
      </c>
      <c r="I2280" s="4">
        <v>0.46800000000000003</v>
      </c>
      <c r="J2280" s="21">
        <v>250</v>
      </c>
      <c r="K2280" s="21">
        <v>117</v>
      </c>
      <c r="L2280" s="5">
        <v>0</v>
      </c>
      <c r="M2280" s="4"/>
      <c r="N2280" s="4"/>
      <c r="O2280" s="5"/>
      <c r="P2280" s="5"/>
      <c r="Q2280" s="21">
        <v>0</v>
      </c>
      <c r="R2280" s="21">
        <v>0</v>
      </c>
      <c r="S2280" s="5">
        <f t="shared" si="143"/>
        <v>28691.397120151989</v>
      </c>
      <c r="T2280" cm="1">
        <f t="array" ref="T2280">IF(OR(B2280="MAL ALIMI", B2280="ÜRETİM GİRİŞ"), MIN(I2280, MAX(0, I2280 + SUM(SUMIFS($I$1:I2279, $C$1:C2279, C2280, $B$1:B2279, {"MAL ALIMI","ÜRETİM GİRİŞ"})) - VLOOKUP(C2280, 'STOK RAPORU'!$C$2:$I$1000, 4, 0))), 0)</f>
        <v>0</v>
      </c>
      <c r="U2280" s="22">
        <f t="shared" si="140"/>
        <v>0</v>
      </c>
      <c r="V2280">
        <f t="shared" si="141"/>
        <v>0</v>
      </c>
      <c r="W2280" s="22">
        <f t="shared" si="142"/>
        <v>0</v>
      </c>
    </row>
    <row r="2281" spans="1:23" hidden="1" x14ac:dyDescent="0.25">
      <c r="A2281" s="3">
        <v>46010</v>
      </c>
      <c r="B2281" s="4" t="s">
        <v>334</v>
      </c>
      <c r="C2281" s="4" t="s">
        <v>204</v>
      </c>
      <c r="D2281" s="4"/>
      <c r="E2281" s="4" t="s">
        <v>921</v>
      </c>
      <c r="F2281" s="4" t="s">
        <v>1309</v>
      </c>
      <c r="G2281" s="4" t="s">
        <v>336</v>
      </c>
      <c r="H2281" s="4" t="s">
        <v>380</v>
      </c>
      <c r="I2281" s="4">
        <v>7.571428571428572E-2</v>
      </c>
      <c r="J2281" s="21">
        <v>1400</v>
      </c>
      <c r="K2281" s="21">
        <v>106.00000000000001</v>
      </c>
      <c r="L2281" s="5">
        <v>0</v>
      </c>
      <c r="M2281" s="4"/>
      <c r="N2281" s="4"/>
      <c r="O2281" s="5"/>
      <c r="P2281" s="5"/>
      <c r="Q2281" s="21">
        <v>0</v>
      </c>
      <c r="R2281" s="21">
        <v>0</v>
      </c>
      <c r="S2281" s="5">
        <f t="shared" si="143"/>
        <v>28691.397120151989</v>
      </c>
      <c r="T2281" cm="1">
        <f t="array" ref="T2281">IF(OR(B2281="MAL ALIMI", B2281="ÜRETİM GİRİŞ"), MIN(I2281, MAX(0, I2281 + SUM(SUMIFS($I$1:I2280, $C$1:C2280, C2281, $B$1:B2280, {"MAL ALIMI","ÜRETİM GİRİŞ"})) - VLOOKUP(C2281, 'STOK RAPORU'!$C$2:$I$1000, 4, 0))), 0)</f>
        <v>0</v>
      </c>
      <c r="U2281" s="22">
        <f t="shared" si="140"/>
        <v>0</v>
      </c>
      <c r="V2281">
        <f t="shared" si="141"/>
        <v>0</v>
      </c>
      <c r="W2281" s="22">
        <f t="shared" si="142"/>
        <v>0</v>
      </c>
    </row>
    <row r="2282" spans="1:23" hidden="1" x14ac:dyDescent="0.25">
      <c r="A2282" s="3">
        <v>46010</v>
      </c>
      <c r="B2282" s="4" t="s">
        <v>334</v>
      </c>
      <c r="C2282" s="4" t="s">
        <v>679</v>
      </c>
      <c r="D2282" s="4"/>
      <c r="E2282" s="4" t="s">
        <v>921</v>
      </c>
      <c r="F2282" s="4" t="s">
        <v>1310</v>
      </c>
      <c r="G2282" s="4" t="s">
        <v>336</v>
      </c>
      <c r="H2282" s="4" t="s">
        <v>380</v>
      </c>
      <c r="I2282" s="4">
        <v>0.25</v>
      </c>
      <c r="J2282" s="21">
        <v>400</v>
      </c>
      <c r="K2282" s="21">
        <v>100</v>
      </c>
      <c r="L2282" s="5">
        <v>0</v>
      </c>
      <c r="M2282" s="4"/>
      <c r="N2282" s="4"/>
      <c r="O2282" s="5"/>
      <c r="P2282" s="5"/>
      <c r="Q2282" s="21">
        <v>0</v>
      </c>
      <c r="R2282" s="21">
        <v>0</v>
      </c>
      <c r="S2282" s="5">
        <f t="shared" si="143"/>
        <v>28691.397120151989</v>
      </c>
      <c r="T2282" cm="1">
        <f t="array" ref="T2282">IF(OR(B2282="MAL ALIMI", B2282="ÜRETİM GİRİŞ"), MIN(I2282, MAX(0, I2282 + SUM(SUMIFS($I$1:I2281, $C$1:C2281, C2282, $B$1:B2281, {"MAL ALIMI","ÜRETİM GİRİŞ"})) - VLOOKUP(C2282, 'STOK RAPORU'!$C$2:$I$1000, 4, 0))), 0)</f>
        <v>0</v>
      </c>
      <c r="U2282" s="22">
        <f t="shared" si="140"/>
        <v>0</v>
      </c>
      <c r="V2282">
        <f t="shared" si="141"/>
        <v>0</v>
      </c>
      <c r="W2282" s="22">
        <f t="shared" si="142"/>
        <v>0</v>
      </c>
    </row>
    <row r="2283" spans="1:23" hidden="1" x14ac:dyDescent="0.25">
      <c r="A2283" s="3">
        <v>46010</v>
      </c>
      <c r="B2283" s="4" t="s">
        <v>334</v>
      </c>
      <c r="C2283" s="4" t="s">
        <v>180</v>
      </c>
      <c r="D2283" s="4"/>
      <c r="E2283" s="4"/>
      <c r="F2283" s="4" t="s">
        <v>1311</v>
      </c>
      <c r="G2283" s="4" t="s">
        <v>336</v>
      </c>
      <c r="H2283" s="4" t="s">
        <v>289</v>
      </c>
      <c r="I2283" s="4">
        <v>1</v>
      </c>
      <c r="J2283" s="21">
        <v>170</v>
      </c>
      <c r="K2283" s="21">
        <v>0</v>
      </c>
      <c r="L2283" s="5">
        <v>0</v>
      </c>
      <c r="M2283" s="4"/>
      <c r="N2283" s="4"/>
      <c r="O2283" s="5"/>
      <c r="P2283" s="5"/>
      <c r="Q2283" s="21">
        <v>170</v>
      </c>
      <c r="R2283" s="21">
        <v>0</v>
      </c>
      <c r="S2283" s="5">
        <f t="shared" si="143"/>
        <v>28861.397120151989</v>
      </c>
      <c r="T2283" cm="1">
        <f t="array" ref="T2283">IF(OR(B2283="MAL ALIMI", B2283="ÜRETİM GİRİŞ"), MIN(I2283, MAX(0, I2283 + SUM(SUMIFS($I$1:I2282, $C$1:C2282, C2283, $B$1:B2282, {"MAL ALIMI","ÜRETİM GİRİŞ"})) - VLOOKUP(C2283, 'STOK RAPORU'!$C$2:$I$1000, 4, 0))), 0)</f>
        <v>0</v>
      </c>
      <c r="U2283" s="22">
        <f t="shared" si="140"/>
        <v>0</v>
      </c>
      <c r="V2283">
        <f t="shared" si="141"/>
        <v>0</v>
      </c>
      <c r="W2283" s="22">
        <f t="shared" si="142"/>
        <v>0</v>
      </c>
    </row>
    <row r="2284" spans="1:23" hidden="1" x14ac:dyDescent="0.25">
      <c r="A2284" s="3">
        <v>46010</v>
      </c>
      <c r="B2284" s="4" t="s">
        <v>334</v>
      </c>
      <c r="C2284" s="4" t="s">
        <v>591</v>
      </c>
      <c r="D2284" s="4"/>
      <c r="E2284" s="4"/>
      <c r="F2284" s="4" t="s">
        <v>1311</v>
      </c>
      <c r="G2284" s="4" t="s">
        <v>336</v>
      </c>
      <c r="H2284" s="4" t="s">
        <v>289</v>
      </c>
      <c r="I2284" s="4">
        <v>1</v>
      </c>
      <c r="J2284" s="21">
        <v>350</v>
      </c>
      <c r="K2284" s="21">
        <v>0</v>
      </c>
      <c r="L2284" s="5">
        <v>0</v>
      </c>
      <c r="M2284" s="4"/>
      <c r="N2284" s="4"/>
      <c r="O2284" s="5"/>
      <c r="P2284" s="5"/>
      <c r="Q2284" s="21">
        <v>350</v>
      </c>
      <c r="R2284" s="21">
        <v>0</v>
      </c>
      <c r="S2284" s="5">
        <f t="shared" si="143"/>
        <v>29211.397120151989</v>
      </c>
      <c r="T2284" cm="1">
        <f t="array" ref="T2284">IF(OR(B2284="MAL ALIMI", B2284="ÜRETİM GİRİŞ"), MIN(I2284, MAX(0, I2284 + SUM(SUMIFS($I$1:I2283, $C$1:C2283, C2284, $B$1:B2283, {"MAL ALIMI","ÜRETİM GİRİŞ"})) - VLOOKUP(C2284, 'STOK RAPORU'!$C$2:$I$1000, 4, 0))), 0)</f>
        <v>0</v>
      </c>
      <c r="U2284" s="22">
        <f t="shared" si="140"/>
        <v>0</v>
      </c>
      <c r="V2284">
        <f t="shared" si="141"/>
        <v>0</v>
      </c>
      <c r="W2284" s="22">
        <f t="shared" si="142"/>
        <v>0</v>
      </c>
    </row>
    <row r="2285" spans="1:23" hidden="1" x14ac:dyDescent="0.25">
      <c r="A2285" s="3">
        <v>46010</v>
      </c>
      <c r="B2285" s="4" t="s">
        <v>334</v>
      </c>
      <c r="C2285" s="4" t="s">
        <v>192</v>
      </c>
      <c r="D2285" s="4"/>
      <c r="E2285" s="4"/>
      <c r="F2285" s="4" t="s">
        <v>1312</v>
      </c>
      <c r="G2285" s="4" t="s">
        <v>336</v>
      </c>
      <c r="H2285" s="4" t="s">
        <v>289</v>
      </c>
      <c r="I2285" s="4">
        <v>0.12</v>
      </c>
      <c r="J2285" s="21">
        <v>417</v>
      </c>
      <c r="K2285" s="21">
        <v>0</v>
      </c>
      <c r="L2285" s="5">
        <v>0</v>
      </c>
      <c r="M2285" s="4"/>
      <c r="N2285" s="4"/>
      <c r="O2285" s="5"/>
      <c r="P2285" s="5"/>
      <c r="Q2285" s="21">
        <v>50.04</v>
      </c>
      <c r="R2285" s="21">
        <v>0</v>
      </c>
      <c r="S2285" s="5">
        <f t="shared" si="143"/>
        <v>29261.43712015199</v>
      </c>
      <c r="T2285" cm="1">
        <f t="array" ref="T2285">IF(OR(B2285="MAL ALIMI", B2285="ÜRETİM GİRİŞ"), MIN(I2285, MAX(0, I2285 + SUM(SUMIFS($I$1:I2284, $C$1:C2284, C2285, $B$1:B2284, {"MAL ALIMI","ÜRETİM GİRİŞ"})) - VLOOKUP(C2285, 'STOK RAPORU'!$C$2:$I$1000, 4, 0))), 0)</f>
        <v>0</v>
      </c>
      <c r="U2285" s="22">
        <f t="shared" si="140"/>
        <v>0</v>
      </c>
      <c r="V2285">
        <f t="shared" si="141"/>
        <v>0</v>
      </c>
      <c r="W2285" s="22">
        <f t="shared" si="142"/>
        <v>0</v>
      </c>
    </row>
    <row r="2286" spans="1:23" hidden="1" x14ac:dyDescent="0.25">
      <c r="A2286" s="3">
        <v>46010</v>
      </c>
      <c r="B2286" s="4" t="s">
        <v>334</v>
      </c>
      <c r="C2286" s="4" t="s">
        <v>161</v>
      </c>
      <c r="D2286" s="4"/>
      <c r="E2286" s="4"/>
      <c r="F2286" s="4" t="s">
        <v>1313</v>
      </c>
      <c r="G2286" s="4" t="s">
        <v>336</v>
      </c>
      <c r="H2286" s="4" t="s">
        <v>289</v>
      </c>
      <c r="I2286" s="4">
        <v>1</v>
      </c>
      <c r="J2286" s="21">
        <v>230</v>
      </c>
      <c r="K2286" s="21">
        <v>0</v>
      </c>
      <c r="L2286" s="5">
        <v>0</v>
      </c>
      <c r="M2286" s="4"/>
      <c r="N2286" s="4"/>
      <c r="O2286" s="5"/>
      <c r="P2286" s="5"/>
      <c r="Q2286" s="21">
        <v>230</v>
      </c>
      <c r="R2286" s="21">
        <v>0</v>
      </c>
      <c r="S2286" s="5">
        <f t="shared" si="143"/>
        <v>29491.43712015199</v>
      </c>
      <c r="T2286" cm="1">
        <f t="array" ref="T2286">IF(OR(B2286="MAL ALIMI", B2286="ÜRETİM GİRİŞ"), MIN(I2286, MAX(0, I2286 + SUM(SUMIFS($I$1:I2285, $C$1:C2285, C2286, $B$1:B2285, {"MAL ALIMI","ÜRETİM GİRİŞ"})) - VLOOKUP(C2286, 'STOK RAPORU'!$C$2:$I$1000, 4, 0))), 0)</f>
        <v>0</v>
      </c>
      <c r="U2286" s="22">
        <f t="shared" si="140"/>
        <v>0</v>
      </c>
      <c r="V2286">
        <f t="shared" si="141"/>
        <v>0</v>
      </c>
      <c r="W2286" s="22">
        <f t="shared" si="142"/>
        <v>0</v>
      </c>
    </row>
    <row r="2287" spans="1:23" hidden="1" x14ac:dyDescent="0.25">
      <c r="A2287" s="3">
        <v>46010</v>
      </c>
      <c r="B2287" s="4" t="s">
        <v>334</v>
      </c>
      <c r="C2287" s="4" t="s">
        <v>206</v>
      </c>
      <c r="D2287" s="4"/>
      <c r="E2287" s="4" t="s">
        <v>921</v>
      </c>
      <c r="F2287" s="4" t="s">
        <v>1314</v>
      </c>
      <c r="G2287" s="4" t="s">
        <v>336</v>
      </c>
      <c r="H2287" s="4" t="s">
        <v>380</v>
      </c>
      <c r="I2287" s="4">
        <v>1</v>
      </c>
      <c r="J2287" s="21">
        <v>250</v>
      </c>
      <c r="K2287" s="21">
        <v>250</v>
      </c>
      <c r="L2287" s="5">
        <v>0</v>
      </c>
      <c r="M2287" s="4"/>
      <c r="N2287" s="4"/>
      <c r="O2287" s="5"/>
      <c r="P2287" s="5"/>
      <c r="Q2287" s="21">
        <v>0</v>
      </c>
      <c r="R2287" s="21">
        <v>0</v>
      </c>
      <c r="S2287" s="5">
        <f t="shared" si="143"/>
        <v>29491.43712015199</v>
      </c>
      <c r="T2287" cm="1">
        <f t="array" ref="T2287">IF(OR(B2287="MAL ALIMI", B2287="ÜRETİM GİRİŞ"), MIN(I2287, MAX(0, I2287 + SUM(SUMIFS($I$1:I2286, $C$1:C2286, C2287, $B$1:B2286, {"MAL ALIMI","ÜRETİM GİRİŞ"})) - VLOOKUP(C2287, 'STOK RAPORU'!$C$2:$I$1000, 4, 0))), 0)</f>
        <v>0</v>
      </c>
      <c r="U2287" s="22">
        <f t="shared" si="140"/>
        <v>0</v>
      </c>
      <c r="V2287">
        <f t="shared" si="141"/>
        <v>0</v>
      </c>
      <c r="W2287" s="22">
        <f t="shared" si="142"/>
        <v>0</v>
      </c>
    </row>
    <row r="2288" spans="1:23" hidden="1" x14ac:dyDescent="0.25">
      <c r="A2288" s="3">
        <v>46010</v>
      </c>
      <c r="B2288" s="4" t="s">
        <v>334</v>
      </c>
      <c r="C2288" s="4" t="s">
        <v>166</v>
      </c>
      <c r="D2288" s="4"/>
      <c r="E2288" s="4" t="s">
        <v>921</v>
      </c>
      <c r="F2288" s="4" t="s">
        <v>1315</v>
      </c>
      <c r="G2288" s="4" t="s">
        <v>336</v>
      </c>
      <c r="H2288" s="4" t="s">
        <v>380</v>
      </c>
      <c r="I2288" s="4">
        <v>0.12987012987012986</v>
      </c>
      <c r="J2288" s="21">
        <v>770</v>
      </c>
      <c r="K2288" s="21">
        <v>99.999999999999986</v>
      </c>
      <c r="L2288" s="5">
        <v>0</v>
      </c>
      <c r="M2288" s="4"/>
      <c r="N2288" s="4"/>
      <c r="O2288" s="5"/>
      <c r="P2288" s="5"/>
      <c r="Q2288" s="21">
        <v>0</v>
      </c>
      <c r="R2288" s="21">
        <v>0</v>
      </c>
      <c r="S2288" s="5">
        <f t="shared" si="143"/>
        <v>29491.43712015199</v>
      </c>
      <c r="T2288" cm="1">
        <f t="array" ref="T2288">IF(OR(B2288="MAL ALIMI", B2288="ÜRETİM GİRİŞ"), MIN(I2288, MAX(0, I2288 + SUM(SUMIFS($I$1:I2287, $C$1:C2287, C2288, $B$1:B2287, {"MAL ALIMI","ÜRETİM GİRİŞ"})) - VLOOKUP(C2288, 'STOK RAPORU'!$C$2:$I$1000, 4, 0))), 0)</f>
        <v>0</v>
      </c>
      <c r="U2288" s="22">
        <f t="shared" si="140"/>
        <v>0</v>
      </c>
      <c r="V2288">
        <f t="shared" si="141"/>
        <v>0</v>
      </c>
      <c r="W2288" s="22">
        <f t="shared" si="142"/>
        <v>0</v>
      </c>
    </row>
    <row r="2289" spans="1:23" hidden="1" x14ac:dyDescent="0.25">
      <c r="A2289" s="3">
        <v>46010</v>
      </c>
      <c r="B2289" s="4" t="s">
        <v>334</v>
      </c>
      <c r="C2289" s="4" t="s">
        <v>269</v>
      </c>
      <c r="D2289" s="4"/>
      <c r="E2289" s="4" t="s">
        <v>921</v>
      </c>
      <c r="F2289" s="4" t="s">
        <v>1315</v>
      </c>
      <c r="G2289" s="4" t="s">
        <v>336</v>
      </c>
      <c r="H2289" s="4" t="s">
        <v>380</v>
      </c>
      <c r="I2289" s="4">
        <v>0.41666666666666669</v>
      </c>
      <c r="J2289" s="21">
        <v>240</v>
      </c>
      <c r="K2289" s="21">
        <v>100</v>
      </c>
      <c r="L2289" s="5">
        <v>0</v>
      </c>
      <c r="M2289" s="4"/>
      <c r="N2289" s="4"/>
      <c r="O2289" s="5"/>
      <c r="P2289" s="5"/>
      <c r="Q2289" s="21">
        <v>0</v>
      </c>
      <c r="R2289" s="21">
        <v>0</v>
      </c>
      <c r="S2289" s="5">
        <f t="shared" si="143"/>
        <v>29491.43712015199</v>
      </c>
      <c r="T2289" cm="1">
        <f t="array" ref="T2289">IF(OR(B2289="MAL ALIMI", B2289="ÜRETİM GİRİŞ"), MIN(I2289, MAX(0, I2289 + SUM(SUMIFS($I$1:I2288, $C$1:C2288, C2289, $B$1:B2288, {"MAL ALIMI","ÜRETİM GİRİŞ"})) - VLOOKUP(C2289, 'STOK RAPORU'!$C$2:$I$1000, 4, 0))), 0)</f>
        <v>0</v>
      </c>
      <c r="U2289" s="22">
        <f t="shared" si="140"/>
        <v>0</v>
      </c>
      <c r="V2289">
        <f t="shared" si="141"/>
        <v>0</v>
      </c>
      <c r="W2289" s="22">
        <f t="shared" si="142"/>
        <v>0</v>
      </c>
    </row>
    <row r="2290" spans="1:23" hidden="1" x14ac:dyDescent="0.25">
      <c r="A2290" s="3">
        <v>46010</v>
      </c>
      <c r="B2290" s="4" t="s">
        <v>334</v>
      </c>
      <c r="C2290" s="4" t="s">
        <v>1023</v>
      </c>
      <c r="D2290" s="4"/>
      <c r="E2290" s="4" t="s">
        <v>921</v>
      </c>
      <c r="F2290" s="4" t="s">
        <v>1316</v>
      </c>
      <c r="G2290" s="4" t="s">
        <v>336</v>
      </c>
      <c r="H2290" s="4" t="s">
        <v>380</v>
      </c>
      <c r="I2290" s="4">
        <v>1.6307692307692307</v>
      </c>
      <c r="J2290" s="21">
        <v>65</v>
      </c>
      <c r="K2290" s="21">
        <v>106</v>
      </c>
      <c r="L2290" s="5">
        <v>0</v>
      </c>
      <c r="M2290" s="4"/>
      <c r="N2290" s="4"/>
      <c r="O2290" s="5"/>
      <c r="P2290" s="5"/>
      <c r="Q2290" s="21">
        <v>0</v>
      </c>
      <c r="R2290" s="21">
        <v>0</v>
      </c>
      <c r="S2290" s="5">
        <f t="shared" si="143"/>
        <v>29491.43712015199</v>
      </c>
      <c r="T2290" cm="1">
        <f t="array" ref="T2290">IF(OR(B2290="MAL ALIMI", B2290="ÜRETİM GİRİŞ"), MIN(I2290, MAX(0, I2290 + SUM(SUMIFS($I$1:I2289, $C$1:C2289, C2290, $B$1:B2289, {"MAL ALIMI","ÜRETİM GİRİŞ"})) - VLOOKUP(C2290, 'STOK RAPORU'!$C$2:$I$1000, 4, 0))), 0)</f>
        <v>0</v>
      </c>
      <c r="U2290" s="22">
        <f t="shared" si="140"/>
        <v>0</v>
      </c>
      <c r="V2290">
        <f t="shared" si="141"/>
        <v>0</v>
      </c>
      <c r="W2290" s="22">
        <f t="shared" si="142"/>
        <v>0</v>
      </c>
    </row>
    <row r="2291" spans="1:23" hidden="1" x14ac:dyDescent="0.25">
      <c r="A2291" s="3">
        <v>46010</v>
      </c>
      <c r="B2291" s="4" t="s">
        <v>334</v>
      </c>
      <c r="C2291" s="4" t="s">
        <v>764</v>
      </c>
      <c r="D2291" s="4"/>
      <c r="E2291" s="4" t="s">
        <v>921</v>
      </c>
      <c r="F2291" s="4" t="s">
        <v>1316</v>
      </c>
      <c r="G2291" s="4" t="s">
        <v>336</v>
      </c>
      <c r="H2291" s="4" t="s">
        <v>380</v>
      </c>
      <c r="I2291" s="4">
        <v>1</v>
      </c>
      <c r="J2291" s="21">
        <v>125</v>
      </c>
      <c r="K2291" s="21">
        <v>125</v>
      </c>
      <c r="L2291" s="5">
        <v>0</v>
      </c>
      <c r="M2291" s="4"/>
      <c r="N2291" s="4"/>
      <c r="O2291" s="5"/>
      <c r="P2291" s="5"/>
      <c r="Q2291" s="21">
        <v>0</v>
      </c>
      <c r="R2291" s="21">
        <v>0</v>
      </c>
      <c r="S2291" s="5">
        <f t="shared" si="143"/>
        <v>29491.43712015199</v>
      </c>
      <c r="T2291" cm="1">
        <f t="array" ref="T2291">IF(OR(B2291="MAL ALIMI", B2291="ÜRETİM GİRİŞ"), MIN(I2291, MAX(0, I2291 + SUM(SUMIFS($I$1:I2290, $C$1:C2290, C2291, $B$1:B2290, {"MAL ALIMI","ÜRETİM GİRİŞ"})) - VLOOKUP(C2291, 'STOK RAPORU'!$C$2:$I$1000, 4, 0))), 0)</f>
        <v>0</v>
      </c>
      <c r="U2291" s="22">
        <f t="shared" si="140"/>
        <v>0</v>
      </c>
      <c r="V2291">
        <f t="shared" si="141"/>
        <v>0</v>
      </c>
      <c r="W2291" s="22">
        <f t="shared" si="142"/>
        <v>0</v>
      </c>
    </row>
    <row r="2292" spans="1:23" hidden="1" x14ac:dyDescent="0.25">
      <c r="A2292" s="45">
        <v>46010</v>
      </c>
      <c r="B2292" s="46" t="s">
        <v>334</v>
      </c>
      <c r="C2292" s="46" t="s">
        <v>463</v>
      </c>
      <c r="D2292" s="46"/>
      <c r="E2292" s="46"/>
      <c r="F2292" s="46" t="s">
        <v>1317</v>
      </c>
      <c r="G2292" s="46" t="s">
        <v>439</v>
      </c>
      <c r="H2292" s="46" t="s">
        <v>289</v>
      </c>
      <c r="I2292" s="46">
        <v>0.63492063492063489</v>
      </c>
      <c r="J2292" s="47">
        <v>315</v>
      </c>
      <c r="K2292" s="47">
        <v>0</v>
      </c>
      <c r="L2292" s="48">
        <v>0</v>
      </c>
      <c r="M2292" s="4"/>
      <c r="N2292" s="4"/>
      <c r="O2292" s="5"/>
      <c r="P2292" s="5"/>
      <c r="Q2292" s="47">
        <v>200</v>
      </c>
      <c r="R2292" s="21">
        <v>0</v>
      </c>
      <c r="S2292" s="5">
        <f t="shared" si="143"/>
        <v>29691.43712015199</v>
      </c>
      <c r="T2292" cm="1">
        <f t="array" ref="T2292">IF(OR(B2292="MAL ALIMI", B2292="ÜRETİM GİRİŞ"), MIN(I2292, MAX(0, I2292 + SUM(SUMIFS($I$1:I2291, $C$1:C2291, C2292, $B$1:B2291, {"MAL ALIMI","ÜRETİM GİRİŞ"})) - VLOOKUP(C2292, 'STOK RAPORU'!$C$2:$I$1000, 4, 0))), 0)</f>
        <v>0</v>
      </c>
      <c r="U2292" s="22">
        <f t="shared" si="140"/>
        <v>0</v>
      </c>
      <c r="V2292">
        <f t="shared" si="141"/>
        <v>0</v>
      </c>
      <c r="W2292" s="22">
        <f t="shared" si="142"/>
        <v>0</v>
      </c>
    </row>
    <row r="2293" spans="1:23" hidden="1" x14ac:dyDescent="0.25">
      <c r="A2293" s="45">
        <v>46010</v>
      </c>
      <c r="B2293" s="46" t="s">
        <v>334</v>
      </c>
      <c r="C2293" s="46" t="s">
        <v>129</v>
      </c>
      <c r="D2293" s="46"/>
      <c r="E2293" s="46"/>
      <c r="F2293" s="46" t="s">
        <v>1317</v>
      </c>
      <c r="G2293" s="46" t="s">
        <v>439</v>
      </c>
      <c r="H2293" s="46" t="s">
        <v>289</v>
      </c>
      <c r="I2293" s="46">
        <v>0.98039215686274506</v>
      </c>
      <c r="J2293" s="47">
        <v>255</v>
      </c>
      <c r="K2293" s="47">
        <v>0</v>
      </c>
      <c r="L2293" s="48">
        <v>0</v>
      </c>
      <c r="M2293" s="4"/>
      <c r="N2293" s="4"/>
      <c r="O2293" s="5"/>
      <c r="P2293" s="5"/>
      <c r="Q2293" s="47">
        <v>250</v>
      </c>
      <c r="R2293" s="21">
        <v>0</v>
      </c>
      <c r="S2293" s="5">
        <f t="shared" si="143"/>
        <v>29941.43712015199</v>
      </c>
      <c r="T2293" cm="1">
        <f t="array" ref="T2293">IF(OR(B2293="MAL ALIMI", B2293="ÜRETİM GİRİŞ"), MIN(I2293, MAX(0, I2293 + SUM(SUMIFS($I$1:I2292, $C$1:C2292, C2293, $B$1:B2292, {"MAL ALIMI","ÜRETİM GİRİŞ"})) - VLOOKUP(C2293, 'STOK RAPORU'!$C$2:$I$1000, 4, 0))), 0)</f>
        <v>0</v>
      </c>
      <c r="U2293" s="22">
        <f t="shared" si="140"/>
        <v>0</v>
      </c>
      <c r="V2293">
        <f t="shared" si="141"/>
        <v>0</v>
      </c>
      <c r="W2293" s="22">
        <f t="shared" si="142"/>
        <v>0</v>
      </c>
    </row>
    <row r="2294" spans="1:23" hidden="1" x14ac:dyDescent="0.25">
      <c r="A2294" s="3">
        <v>46010</v>
      </c>
      <c r="B2294" s="4" t="s">
        <v>334</v>
      </c>
      <c r="C2294" s="4" t="s">
        <v>253</v>
      </c>
      <c r="D2294" s="4"/>
      <c r="E2294" s="4" t="s">
        <v>921</v>
      </c>
      <c r="F2294" s="4" t="s">
        <v>1318</v>
      </c>
      <c r="G2294" s="4" t="s">
        <v>336</v>
      </c>
      <c r="H2294" s="4" t="s">
        <v>380</v>
      </c>
      <c r="I2294" s="4">
        <v>0.41399999999999998</v>
      </c>
      <c r="J2294" s="21">
        <v>240</v>
      </c>
      <c r="K2294" s="21">
        <v>99.36</v>
      </c>
      <c r="L2294" s="5">
        <v>0</v>
      </c>
      <c r="M2294" s="4"/>
      <c r="N2294" s="4"/>
      <c r="O2294" s="5"/>
      <c r="P2294" s="5"/>
      <c r="Q2294" s="21">
        <v>0</v>
      </c>
      <c r="R2294" s="21">
        <v>0</v>
      </c>
      <c r="S2294" s="5">
        <f t="shared" si="143"/>
        <v>29941.43712015199</v>
      </c>
      <c r="T2294" cm="1">
        <f t="array" ref="T2294">IF(OR(B2294="MAL ALIMI", B2294="ÜRETİM GİRİŞ"), MIN(I2294, MAX(0, I2294 + SUM(SUMIFS($I$1:I2293, $C$1:C2293, C2294, $B$1:B2293, {"MAL ALIMI","ÜRETİM GİRİŞ"})) - VLOOKUP(C2294, 'STOK RAPORU'!$C$2:$I$1000, 4, 0))), 0)</f>
        <v>0</v>
      </c>
      <c r="U2294" s="22">
        <f t="shared" si="140"/>
        <v>0</v>
      </c>
      <c r="V2294">
        <f t="shared" si="141"/>
        <v>0</v>
      </c>
      <c r="W2294" s="22">
        <f t="shared" si="142"/>
        <v>0</v>
      </c>
    </row>
    <row r="2295" spans="1:23" hidden="1" x14ac:dyDescent="0.25">
      <c r="A2295" s="3">
        <v>46010</v>
      </c>
      <c r="B2295" s="4" t="s">
        <v>334</v>
      </c>
      <c r="C2295" s="4" t="s">
        <v>247</v>
      </c>
      <c r="D2295" s="4"/>
      <c r="E2295" s="4" t="s">
        <v>921</v>
      </c>
      <c r="F2295" s="4" t="s">
        <v>1318</v>
      </c>
      <c r="G2295" s="4" t="s">
        <v>336</v>
      </c>
      <c r="H2295" s="4" t="s">
        <v>380</v>
      </c>
      <c r="I2295" s="4">
        <v>0.51600000000000001</v>
      </c>
      <c r="J2295" s="21">
        <v>1200</v>
      </c>
      <c r="K2295" s="21">
        <v>619.20000000000005</v>
      </c>
      <c r="L2295" s="5">
        <v>0</v>
      </c>
      <c r="M2295" s="4"/>
      <c r="N2295" s="4"/>
      <c r="O2295" s="5"/>
      <c r="P2295" s="5"/>
      <c r="Q2295" s="21">
        <v>0</v>
      </c>
      <c r="R2295" s="21">
        <v>0</v>
      </c>
      <c r="S2295" s="5">
        <f t="shared" si="143"/>
        <v>29941.43712015199</v>
      </c>
      <c r="T2295" cm="1">
        <f t="array" ref="T2295">IF(OR(B2295="MAL ALIMI", B2295="ÜRETİM GİRİŞ"), MIN(I2295, MAX(0, I2295 + SUM(SUMIFS($I$1:I2294, $C$1:C2294, C2295, $B$1:B2294, {"MAL ALIMI","ÜRETİM GİRİŞ"})) - VLOOKUP(C2295, 'STOK RAPORU'!$C$2:$I$1000, 4, 0))), 0)</f>
        <v>0</v>
      </c>
      <c r="U2295" s="22">
        <f t="shared" si="140"/>
        <v>0</v>
      </c>
      <c r="V2295">
        <f t="shared" si="141"/>
        <v>0</v>
      </c>
      <c r="W2295" s="22">
        <f t="shared" si="142"/>
        <v>0</v>
      </c>
    </row>
    <row r="2296" spans="1:23" hidden="1" x14ac:dyDescent="0.25">
      <c r="A2296" s="3">
        <v>46010</v>
      </c>
      <c r="B2296" s="4" t="s">
        <v>334</v>
      </c>
      <c r="C2296" s="4" t="s">
        <v>245</v>
      </c>
      <c r="D2296" s="4"/>
      <c r="E2296" s="4" t="s">
        <v>921</v>
      </c>
      <c r="F2296" s="4" t="s">
        <v>1318</v>
      </c>
      <c r="G2296" s="4" t="s">
        <v>336</v>
      </c>
      <c r="H2296" s="4" t="s">
        <v>380</v>
      </c>
      <c r="I2296" s="4">
        <v>0.23200000000000001</v>
      </c>
      <c r="J2296" s="21">
        <v>650</v>
      </c>
      <c r="K2296" s="21">
        <v>150.80000000000001</v>
      </c>
      <c r="L2296" s="5">
        <v>0</v>
      </c>
      <c r="M2296" s="4"/>
      <c r="N2296" s="4"/>
      <c r="O2296" s="5"/>
      <c r="P2296" s="5"/>
      <c r="Q2296" s="21">
        <v>0</v>
      </c>
      <c r="R2296" s="21">
        <v>0</v>
      </c>
      <c r="S2296" s="5">
        <f t="shared" si="143"/>
        <v>29941.43712015199</v>
      </c>
      <c r="T2296" cm="1">
        <f t="array" ref="T2296">IF(OR(B2296="MAL ALIMI", B2296="ÜRETİM GİRİŞ"), MIN(I2296, MAX(0, I2296 + SUM(SUMIFS($I$1:I2295, $C$1:C2295, C2296, $B$1:B2295, {"MAL ALIMI","ÜRETİM GİRİŞ"})) - VLOOKUP(C2296, 'STOK RAPORU'!$C$2:$I$1000, 4, 0))), 0)</f>
        <v>0</v>
      </c>
      <c r="U2296" s="22">
        <f t="shared" si="140"/>
        <v>0</v>
      </c>
      <c r="V2296">
        <f t="shared" si="141"/>
        <v>0</v>
      </c>
      <c r="W2296" s="22">
        <f t="shared" si="142"/>
        <v>0</v>
      </c>
    </row>
    <row r="2297" spans="1:23" hidden="1" x14ac:dyDescent="0.25">
      <c r="A2297" s="3">
        <v>46010</v>
      </c>
      <c r="B2297" s="4" t="s">
        <v>334</v>
      </c>
      <c r="C2297" s="4" t="s">
        <v>693</v>
      </c>
      <c r="D2297" s="4"/>
      <c r="E2297" s="4" t="s">
        <v>921</v>
      </c>
      <c r="F2297" s="4" t="s">
        <v>1318</v>
      </c>
      <c r="G2297" s="4" t="s">
        <v>336</v>
      </c>
      <c r="H2297" s="4" t="s">
        <v>380</v>
      </c>
      <c r="I2297" s="4">
        <v>0.52800000000000002</v>
      </c>
      <c r="J2297" s="21">
        <v>195</v>
      </c>
      <c r="K2297" s="21">
        <v>102.96000000000001</v>
      </c>
      <c r="L2297" s="5">
        <v>0</v>
      </c>
      <c r="M2297" s="4"/>
      <c r="N2297" s="4"/>
      <c r="O2297" s="5"/>
      <c r="P2297" s="5"/>
      <c r="Q2297" s="21">
        <v>0</v>
      </c>
      <c r="R2297" s="21">
        <v>0</v>
      </c>
      <c r="S2297" s="5">
        <f t="shared" si="143"/>
        <v>29941.43712015199</v>
      </c>
      <c r="T2297" cm="1">
        <f t="array" ref="T2297">IF(OR(B2297="MAL ALIMI", B2297="ÜRETİM GİRİŞ"), MIN(I2297, MAX(0, I2297 + SUM(SUMIFS($I$1:I2296, $C$1:C2296, C2297, $B$1:B2296, {"MAL ALIMI","ÜRETİM GİRİŞ"})) - VLOOKUP(C2297, 'STOK RAPORU'!$C$2:$I$1000, 4, 0))), 0)</f>
        <v>0</v>
      </c>
      <c r="U2297" s="22">
        <f t="shared" si="140"/>
        <v>0</v>
      </c>
      <c r="V2297">
        <f t="shared" si="141"/>
        <v>0</v>
      </c>
      <c r="W2297" s="22">
        <f t="shared" si="142"/>
        <v>0</v>
      </c>
    </row>
    <row r="2298" spans="1:23" hidden="1" x14ac:dyDescent="0.25">
      <c r="A2298" s="3">
        <v>46010</v>
      </c>
      <c r="B2298" s="4" t="s">
        <v>334</v>
      </c>
      <c r="C2298" s="4" t="s">
        <v>223</v>
      </c>
      <c r="D2298" s="4"/>
      <c r="E2298" s="4" t="s">
        <v>921</v>
      </c>
      <c r="F2298" s="4" t="s">
        <v>1318</v>
      </c>
      <c r="G2298" s="4" t="s">
        <v>336</v>
      </c>
      <c r="H2298" s="4" t="s">
        <v>380</v>
      </c>
      <c r="I2298" s="4">
        <v>0.62</v>
      </c>
      <c r="J2298" s="21">
        <v>800</v>
      </c>
      <c r="K2298" s="21">
        <v>496</v>
      </c>
      <c r="L2298" s="5">
        <v>0</v>
      </c>
      <c r="M2298" s="4"/>
      <c r="N2298" s="4"/>
      <c r="O2298" s="5"/>
      <c r="P2298" s="5"/>
      <c r="Q2298" s="21">
        <v>0</v>
      </c>
      <c r="R2298" s="21">
        <v>0</v>
      </c>
      <c r="S2298" s="5">
        <f t="shared" si="143"/>
        <v>29941.43712015199</v>
      </c>
      <c r="T2298" cm="1">
        <f t="array" ref="T2298">IF(OR(B2298="MAL ALIMI", B2298="ÜRETİM GİRİŞ"), MIN(I2298, MAX(0, I2298 + SUM(SUMIFS($I$1:I2297, $C$1:C2297, C2298, $B$1:B2297, {"MAL ALIMI","ÜRETİM GİRİŞ"})) - VLOOKUP(C2298, 'STOK RAPORU'!$C$2:$I$1000, 4, 0))), 0)</f>
        <v>0</v>
      </c>
      <c r="U2298" s="22">
        <f t="shared" si="140"/>
        <v>0</v>
      </c>
      <c r="V2298">
        <f t="shared" si="141"/>
        <v>0</v>
      </c>
      <c r="W2298" s="22">
        <f t="shared" si="142"/>
        <v>0</v>
      </c>
    </row>
    <row r="2299" spans="1:23" hidden="1" x14ac:dyDescent="0.25">
      <c r="A2299" s="3">
        <v>46010</v>
      </c>
      <c r="B2299" s="4" t="s">
        <v>334</v>
      </c>
      <c r="C2299" s="4" t="s">
        <v>728</v>
      </c>
      <c r="D2299" s="4"/>
      <c r="E2299" s="4" t="s">
        <v>921</v>
      </c>
      <c r="F2299" s="4" t="s">
        <v>1318</v>
      </c>
      <c r="G2299" s="4" t="s">
        <v>336</v>
      </c>
      <c r="H2299" s="4" t="s">
        <v>380</v>
      </c>
      <c r="I2299" s="4">
        <v>0.58199999999999996</v>
      </c>
      <c r="J2299" s="21">
        <v>750</v>
      </c>
      <c r="K2299" s="21">
        <v>436.49999999999994</v>
      </c>
      <c r="L2299" s="5">
        <v>0</v>
      </c>
      <c r="M2299" s="4"/>
      <c r="N2299" s="4"/>
      <c r="O2299" s="5"/>
      <c r="P2299" s="5"/>
      <c r="Q2299" s="21">
        <v>0</v>
      </c>
      <c r="R2299" s="21">
        <v>0</v>
      </c>
      <c r="S2299" s="5">
        <f t="shared" si="143"/>
        <v>29941.43712015199</v>
      </c>
      <c r="T2299" cm="1">
        <f t="array" ref="T2299">IF(OR(B2299="MAL ALIMI", B2299="ÜRETİM GİRİŞ"), MIN(I2299, MAX(0, I2299 + SUM(SUMIFS($I$1:I2298, $C$1:C2298, C2299, $B$1:B2298, {"MAL ALIMI","ÜRETİM GİRİŞ"})) - VLOOKUP(C2299, 'STOK RAPORU'!$C$2:$I$1000, 4, 0))), 0)</f>
        <v>0</v>
      </c>
      <c r="U2299" s="22">
        <f t="shared" si="140"/>
        <v>0</v>
      </c>
      <c r="V2299">
        <f t="shared" si="141"/>
        <v>0</v>
      </c>
      <c r="W2299" s="22">
        <f t="shared" si="142"/>
        <v>0</v>
      </c>
    </row>
    <row r="2300" spans="1:23" hidden="1" x14ac:dyDescent="0.25">
      <c r="A2300" s="3">
        <v>46010</v>
      </c>
      <c r="B2300" s="4" t="s">
        <v>334</v>
      </c>
      <c r="C2300" s="4" t="s">
        <v>251</v>
      </c>
      <c r="D2300" s="4"/>
      <c r="E2300" s="4" t="s">
        <v>921</v>
      </c>
      <c r="F2300" s="4" t="s">
        <v>1318</v>
      </c>
      <c r="G2300" s="4" t="s">
        <v>336</v>
      </c>
      <c r="H2300" s="4" t="s">
        <v>380</v>
      </c>
      <c r="I2300" s="4">
        <v>0.98199999999999998</v>
      </c>
      <c r="J2300" s="21">
        <v>670</v>
      </c>
      <c r="K2300" s="21">
        <v>657.93999999999994</v>
      </c>
      <c r="L2300" s="5">
        <v>0</v>
      </c>
      <c r="M2300" s="4"/>
      <c r="N2300" s="4"/>
      <c r="O2300" s="5"/>
      <c r="P2300" s="5"/>
      <c r="Q2300" s="21">
        <v>0</v>
      </c>
      <c r="R2300" s="21">
        <v>0</v>
      </c>
      <c r="S2300" s="5">
        <f t="shared" si="143"/>
        <v>29941.43712015199</v>
      </c>
      <c r="T2300" cm="1">
        <f t="array" ref="T2300">IF(OR(B2300="MAL ALIMI", B2300="ÜRETİM GİRİŞ"), MIN(I2300, MAX(0, I2300 + SUM(SUMIFS($I$1:I2299, $C$1:C2299, C2300, $B$1:B2299, {"MAL ALIMI","ÜRETİM GİRİŞ"})) - VLOOKUP(C2300, 'STOK RAPORU'!$C$2:$I$1000, 4, 0))), 0)</f>
        <v>0</v>
      </c>
      <c r="U2300" s="22">
        <f t="shared" si="140"/>
        <v>0</v>
      </c>
      <c r="V2300">
        <f t="shared" si="141"/>
        <v>0</v>
      </c>
      <c r="W2300" s="22">
        <f t="shared" si="142"/>
        <v>0</v>
      </c>
    </row>
    <row r="2301" spans="1:23" hidden="1" x14ac:dyDescent="0.25">
      <c r="A2301" s="3">
        <v>46010</v>
      </c>
      <c r="B2301" s="4" t="s">
        <v>334</v>
      </c>
      <c r="C2301" s="4" t="s">
        <v>211</v>
      </c>
      <c r="D2301" s="4"/>
      <c r="E2301" s="4" t="s">
        <v>921</v>
      </c>
      <c r="F2301" s="4" t="s">
        <v>1318</v>
      </c>
      <c r="G2301" s="4" t="s">
        <v>336</v>
      </c>
      <c r="H2301" s="4" t="s">
        <v>380</v>
      </c>
      <c r="I2301" s="4">
        <v>0.47599999999999998</v>
      </c>
      <c r="J2301" s="21">
        <v>290</v>
      </c>
      <c r="K2301" s="21">
        <v>138.04</v>
      </c>
      <c r="L2301" s="5">
        <v>0</v>
      </c>
      <c r="M2301" s="4"/>
      <c r="N2301" s="4"/>
      <c r="O2301" s="5"/>
      <c r="P2301" s="5"/>
      <c r="Q2301" s="21">
        <v>0</v>
      </c>
      <c r="R2301" s="21">
        <v>0</v>
      </c>
      <c r="S2301" s="5">
        <f t="shared" si="143"/>
        <v>29941.43712015199</v>
      </c>
      <c r="T2301" cm="1">
        <f t="array" ref="T2301">IF(OR(B2301="MAL ALIMI", B2301="ÜRETİM GİRİŞ"), MIN(I2301, MAX(0, I2301 + SUM(SUMIFS($I$1:I2300, $C$1:C2300, C2301, $B$1:B2300, {"MAL ALIMI","ÜRETİM GİRİŞ"})) - VLOOKUP(C2301, 'STOK RAPORU'!$C$2:$I$1000, 4, 0))), 0)</f>
        <v>0</v>
      </c>
      <c r="U2301" s="22">
        <f t="shared" si="140"/>
        <v>0</v>
      </c>
      <c r="V2301">
        <f t="shared" si="141"/>
        <v>0</v>
      </c>
      <c r="W2301" s="22">
        <f t="shared" si="142"/>
        <v>0</v>
      </c>
    </row>
    <row r="2302" spans="1:23" hidden="1" x14ac:dyDescent="0.25">
      <c r="A2302" s="3">
        <v>46010</v>
      </c>
      <c r="B2302" s="4" t="s">
        <v>334</v>
      </c>
      <c r="C2302" s="4" t="s">
        <v>1368</v>
      </c>
      <c r="D2302" s="4"/>
      <c r="E2302" s="4" t="s">
        <v>921</v>
      </c>
      <c r="F2302" s="4" t="s">
        <v>1318</v>
      </c>
      <c r="G2302" s="4" t="s">
        <v>336</v>
      </c>
      <c r="H2302" s="4" t="s">
        <v>380</v>
      </c>
      <c r="I2302" s="4">
        <v>1</v>
      </c>
      <c r="J2302" s="21">
        <v>160</v>
      </c>
      <c r="K2302" s="21">
        <v>160</v>
      </c>
      <c r="L2302" s="5">
        <v>0</v>
      </c>
      <c r="M2302" s="4"/>
      <c r="N2302" s="4"/>
      <c r="O2302" s="5"/>
      <c r="P2302" s="5"/>
      <c r="Q2302" s="21">
        <v>0</v>
      </c>
      <c r="R2302" s="21">
        <v>0</v>
      </c>
      <c r="S2302" s="5">
        <f t="shared" si="143"/>
        <v>29941.43712015199</v>
      </c>
      <c r="T2302" cm="1">
        <f t="array" ref="T2302">IF(OR(B2302="MAL ALIMI", B2302="ÜRETİM GİRİŞ"), MIN(I2302, MAX(0, I2302 + SUM(SUMIFS($I$1:I2301, $C$1:C2301, C2302, $B$1:B2301, {"MAL ALIMI","ÜRETİM GİRİŞ"})) - VLOOKUP(C2302, 'STOK RAPORU'!$C$2:$I$1000, 4, 0))), 0)</f>
        <v>0</v>
      </c>
      <c r="U2302" s="22">
        <f t="shared" si="140"/>
        <v>0</v>
      </c>
      <c r="V2302">
        <f t="shared" si="141"/>
        <v>0</v>
      </c>
      <c r="W2302" s="22">
        <f t="shared" si="142"/>
        <v>0</v>
      </c>
    </row>
    <row r="2303" spans="1:23" hidden="1" x14ac:dyDescent="0.25">
      <c r="A2303" s="3">
        <v>46010</v>
      </c>
      <c r="B2303" s="4" t="s">
        <v>334</v>
      </c>
      <c r="C2303" s="4" t="s">
        <v>730</v>
      </c>
      <c r="D2303" s="4"/>
      <c r="E2303" s="4" t="s">
        <v>921</v>
      </c>
      <c r="F2303" s="4" t="s">
        <v>1318</v>
      </c>
      <c r="G2303" s="4" t="s">
        <v>336</v>
      </c>
      <c r="H2303" s="4" t="s">
        <v>380</v>
      </c>
      <c r="I2303" s="4">
        <v>1</v>
      </c>
      <c r="J2303" s="21">
        <v>90</v>
      </c>
      <c r="K2303" s="21">
        <v>90</v>
      </c>
      <c r="L2303" s="5">
        <v>0</v>
      </c>
      <c r="M2303" s="4"/>
      <c r="N2303" s="4"/>
      <c r="O2303" s="5"/>
      <c r="P2303" s="5"/>
      <c r="Q2303" s="21">
        <v>0</v>
      </c>
      <c r="R2303" s="21">
        <v>0</v>
      </c>
      <c r="S2303" s="5">
        <f t="shared" si="143"/>
        <v>29941.43712015199</v>
      </c>
      <c r="T2303" cm="1">
        <f t="array" ref="T2303">IF(OR(B2303="MAL ALIMI", B2303="ÜRETİM GİRİŞ"), MIN(I2303, MAX(0, I2303 + SUM(SUMIFS($I$1:I2302, $C$1:C2302, C2303, $B$1:B2302, {"MAL ALIMI","ÜRETİM GİRİŞ"})) - VLOOKUP(C2303, 'STOK RAPORU'!$C$2:$I$1000, 4, 0))), 0)</f>
        <v>0</v>
      </c>
      <c r="U2303" s="22">
        <f t="shared" si="140"/>
        <v>0</v>
      </c>
      <c r="V2303">
        <f t="shared" si="141"/>
        <v>0</v>
      </c>
      <c r="W2303" s="22">
        <f t="shared" si="142"/>
        <v>0</v>
      </c>
    </row>
    <row r="2304" spans="1:23" hidden="1" x14ac:dyDescent="0.25">
      <c r="A2304" s="3">
        <v>46010</v>
      </c>
      <c r="B2304" s="4" t="s">
        <v>334</v>
      </c>
      <c r="C2304" s="4" t="s">
        <v>160</v>
      </c>
      <c r="D2304" s="4"/>
      <c r="E2304" s="4" t="s">
        <v>921</v>
      </c>
      <c r="F2304" s="4" t="s">
        <v>1318</v>
      </c>
      <c r="G2304" s="4" t="s">
        <v>336</v>
      </c>
      <c r="H2304" s="4" t="s">
        <v>380</v>
      </c>
      <c r="I2304" s="4">
        <v>1</v>
      </c>
      <c r="J2304" s="21">
        <v>260</v>
      </c>
      <c r="K2304" s="21">
        <v>260</v>
      </c>
      <c r="L2304" s="5">
        <v>0</v>
      </c>
      <c r="M2304" s="4"/>
      <c r="N2304" s="4"/>
      <c r="O2304" s="5"/>
      <c r="P2304" s="5"/>
      <c r="Q2304" s="21">
        <v>0</v>
      </c>
      <c r="R2304" s="21">
        <v>0</v>
      </c>
      <c r="S2304" s="5">
        <f t="shared" si="143"/>
        <v>29941.43712015199</v>
      </c>
      <c r="T2304" cm="1">
        <f t="array" ref="T2304">IF(OR(B2304="MAL ALIMI", B2304="ÜRETİM GİRİŞ"), MIN(I2304, MAX(0, I2304 + SUM(SUMIFS($I$1:I2303, $C$1:C2303, C2304, $B$1:B2303, {"MAL ALIMI","ÜRETİM GİRİŞ"})) - VLOOKUP(C2304, 'STOK RAPORU'!$C$2:$I$1000, 4, 0))), 0)</f>
        <v>0</v>
      </c>
      <c r="U2304" s="22">
        <f t="shared" si="140"/>
        <v>0</v>
      </c>
      <c r="V2304">
        <f t="shared" si="141"/>
        <v>0</v>
      </c>
      <c r="W2304" s="22">
        <f t="shared" si="142"/>
        <v>0</v>
      </c>
    </row>
    <row r="2305" spans="1:23" hidden="1" x14ac:dyDescent="0.25">
      <c r="A2305" s="3">
        <v>46010</v>
      </c>
      <c r="B2305" s="4" t="s">
        <v>334</v>
      </c>
      <c r="C2305" s="4" t="s">
        <v>161</v>
      </c>
      <c r="D2305" s="4"/>
      <c r="E2305" s="4" t="s">
        <v>921</v>
      </c>
      <c r="F2305" s="4" t="s">
        <v>1318</v>
      </c>
      <c r="G2305" s="4" t="s">
        <v>336</v>
      </c>
      <c r="H2305" s="4" t="s">
        <v>380</v>
      </c>
      <c r="I2305" s="4">
        <v>1</v>
      </c>
      <c r="J2305" s="21">
        <v>230</v>
      </c>
      <c r="K2305" s="21">
        <v>230</v>
      </c>
      <c r="L2305" s="5">
        <v>0</v>
      </c>
      <c r="M2305" s="4"/>
      <c r="N2305" s="4"/>
      <c r="O2305" s="5"/>
      <c r="P2305" s="5"/>
      <c r="Q2305" s="21">
        <v>0</v>
      </c>
      <c r="R2305" s="21">
        <v>0</v>
      </c>
      <c r="S2305" s="5">
        <f t="shared" si="143"/>
        <v>29941.43712015199</v>
      </c>
      <c r="T2305" cm="1">
        <f t="array" ref="T2305">IF(OR(B2305="MAL ALIMI", B2305="ÜRETİM GİRİŞ"), MIN(I2305, MAX(0, I2305 + SUM(SUMIFS($I$1:I2304, $C$1:C2304, C2305, $B$1:B2304, {"MAL ALIMI","ÜRETİM GİRİŞ"})) - VLOOKUP(C2305, 'STOK RAPORU'!$C$2:$I$1000, 4, 0))), 0)</f>
        <v>0</v>
      </c>
      <c r="U2305" s="22">
        <f t="shared" si="140"/>
        <v>0</v>
      </c>
      <c r="V2305">
        <f t="shared" si="141"/>
        <v>0</v>
      </c>
      <c r="W2305" s="22">
        <f t="shared" si="142"/>
        <v>0</v>
      </c>
    </row>
    <row r="2306" spans="1:23" hidden="1" x14ac:dyDescent="0.25">
      <c r="A2306" s="3">
        <v>46010</v>
      </c>
      <c r="B2306" s="4" t="s">
        <v>334</v>
      </c>
      <c r="C2306" s="4" t="s">
        <v>161</v>
      </c>
      <c r="D2306" s="4"/>
      <c r="E2306" s="4" t="s">
        <v>921</v>
      </c>
      <c r="F2306" s="4" t="s">
        <v>1318</v>
      </c>
      <c r="G2306" s="4" t="s">
        <v>336</v>
      </c>
      <c r="H2306" s="4" t="s">
        <v>380</v>
      </c>
      <c r="I2306" s="4">
        <v>1</v>
      </c>
      <c r="J2306" s="21">
        <v>230</v>
      </c>
      <c r="K2306" s="21">
        <v>230</v>
      </c>
      <c r="L2306" s="5">
        <v>0</v>
      </c>
      <c r="M2306" s="4"/>
      <c r="N2306" s="4"/>
      <c r="O2306" s="5"/>
      <c r="P2306" s="5"/>
      <c r="Q2306" s="21">
        <v>0</v>
      </c>
      <c r="R2306" s="21">
        <v>0</v>
      </c>
      <c r="S2306" s="5">
        <f t="shared" si="143"/>
        <v>29941.43712015199</v>
      </c>
      <c r="T2306" cm="1">
        <f t="array" ref="T2306">IF(OR(B2306="MAL ALIMI", B2306="ÜRETİM GİRİŞ"), MIN(I2306, MAX(0, I2306 + SUM(SUMIFS($I$1:I2305, $C$1:C2305, C2306, $B$1:B2305, {"MAL ALIMI","ÜRETİM GİRİŞ"})) - VLOOKUP(C2306, 'STOK RAPORU'!$C$2:$I$1000, 4, 0))), 0)</f>
        <v>0</v>
      </c>
      <c r="U2306" s="22">
        <f t="shared" si="140"/>
        <v>0</v>
      </c>
      <c r="V2306">
        <f t="shared" si="141"/>
        <v>0</v>
      </c>
      <c r="W2306" s="22">
        <f t="shared" si="142"/>
        <v>0</v>
      </c>
    </row>
    <row r="2307" spans="1:23" hidden="1" x14ac:dyDescent="0.25">
      <c r="A2307" s="3">
        <v>46010</v>
      </c>
      <c r="B2307" s="4" t="s">
        <v>334</v>
      </c>
      <c r="C2307" s="4" t="s">
        <v>158</v>
      </c>
      <c r="D2307" s="4"/>
      <c r="E2307" s="4" t="s">
        <v>921</v>
      </c>
      <c r="F2307" s="4" t="s">
        <v>1318</v>
      </c>
      <c r="G2307" s="4" t="s">
        <v>336</v>
      </c>
      <c r="H2307" s="4" t="s">
        <v>380</v>
      </c>
      <c r="I2307" s="4">
        <v>1</v>
      </c>
      <c r="J2307" s="21">
        <v>150</v>
      </c>
      <c r="K2307" s="21">
        <v>150</v>
      </c>
      <c r="L2307" s="5">
        <v>0</v>
      </c>
      <c r="M2307" s="4"/>
      <c r="N2307" s="4"/>
      <c r="O2307" s="5"/>
      <c r="P2307" s="5"/>
      <c r="Q2307" s="21">
        <v>0</v>
      </c>
      <c r="R2307" s="21">
        <v>0</v>
      </c>
      <c r="S2307" s="5">
        <f t="shared" si="143"/>
        <v>29941.43712015199</v>
      </c>
      <c r="T2307" cm="1">
        <f t="array" ref="T2307">IF(OR(B2307="MAL ALIMI", B2307="ÜRETİM GİRİŞ"), MIN(I2307, MAX(0, I2307 + SUM(SUMIFS($I$1:I2306, $C$1:C2306, C2307, $B$1:B2306, {"MAL ALIMI","ÜRETİM GİRİŞ"})) - VLOOKUP(C2307, 'STOK RAPORU'!$C$2:$I$1000, 4, 0))), 0)</f>
        <v>0</v>
      </c>
      <c r="U2307" s="22">
        <f t="shared" ref="U2307:U2370" si="144">T2307*J2307</f>
        <v>0</v>
      </c>
      <c r="V2307">
        <f t="shared" ref="V2307:V2370" si="145">IF(OR(B2307="MAL ALIMI", B2307="ÜRETİM GİRİŞ"), I2307 * J2307, 0)</f>
        <v>0</v>
      </c>
      <c r="W2307" s="22">
        <f t="shared" ref="W2307:W2370" si="146">V2307-U2307</f>
        <v>0</v>
      </c>
    </row>
    <row r="2308" spans="1:23" hidden="1" x14ac:dyDescent="0.25">
      <c r="A2308" s="3">
        <v>46010</v>
      </c>
      <c r="B2308" s="4" t="s">
        <v>334</v>
      </c>
      <c r="C2308" s="4" t="s">
        <v>160</v>
      </c>
      <c r="D2308" s="4"/>
      <c r="E2308" s="4" t="s">
        <v>921</v>
      </c>
      <c r="F2308" s="4" t="s">
        <v>1319</v>
      </c>
      <c r="G2308" s="4" t="s">
        <v>336</v>
      </c>
      <c r="H2308" s="4" t="s">
        <v>380</v>
      </c>
      <c r="I2308" s="4">
        <v>1</v>
      </c>
      <c r="J2308" s="21">
        <v>220</v>
      </c>
      <c r="K2308" s="21">
        <v>220</v>
      </c>
      <c r="L2308" s="5">
        <v>0</v>
      </c>
      <c r="M2308" s="4"/>
      <c r="N2308" s="4"/>
      <c r="O2308" s="5"/>
      <c r="P2308" s="5"/>
      <c r="Q2308" s="21">
        <v>0</v>
      </c>
      <c r="R2308" s="21">
        <v>0</v>
      </c>
      <c r="S2308" s="5">
        <f t="shared" ref="S2308:S2371" si="147">S2307+Q2308-R2308</f>
        <v>29941.43712015199</v>
      </c>
      <c r="T2308" cm="1">
        <f t="array" ref="T2308">IF(OR(B2308="MAL ALIMI", B2308="ÜRETİM GİRİŞ"), MIN(I2308, MAX(0, I2308 + SUM(SUMIFS($I$1:I2307, $C$1:C2307, C2308, $B$1:B2307, {"MAL ALIMI","ÜRETİM GİRİŞ"})) - VLOOKUP(C2308, 'STOK RAPORU'!$C$2:$I$1000, 4, 0))), 0)</f>
        <v>0</v>
      </c>
      <c r="U2308" s="22">
        <f t="shared" si="144"/>
        <v>0</v>
      </c>
      <c r="V2308">
        <f t="shared" si="145"/>
        <v>0</v>
      </c>
      <c r="W2308" s="22">
        <f t="shared" si="146"/>
        <v>0</v>
      </c>
    </row>
    <row r="2309" spans="1:23" hidden="1" x14ac:dyDescent="0.25">
      <c r="A2309" s="3">
        <v>46010</v>
      </c>
      <c r="B2309" s="4" t="s">
        <v>334</v>
      </c>
      <c r="C2309" s="4" t="s">
        <v>168</v>
      </c>
      <c r="D2309" s="4"/>
      <c r="E2309" s="4" t="s">
        <v>921</v>
      </c>
      <c r="F2309" s="4" t="s">
        <v>1319</v>
      </c>
      <c r="G2309" s="4" t="s">
        <v>336</v>
      </c>
      <c r="H2309" s="4" t="s">
        <v>380</v>
      </c>
      <c r="I2309" s="4">
        <v>1</v>
      </c>
      <c r="J2309" s="21">
        <v>200</v>
      </c>
      <c r="K2309" s="21">
        <v>200</v>
      </c>
      <c r="L2309" s="5">
        <v>0</v>
      </c>
      <c r="M2309" s="4"/>
      <c r="N2309" s="4"/>
      <c r="O2309" s="5"/>
      <c r="P2309" s="5"/>
      <c r="Q2309" s="21">
        <v>0</v>
      </c>
      <c r="R2309" s="21">
        <v>0</v>
      </c>
      <c r="S2309" s="5">
        <f t="shared" si="147"/>
        <v>29941.43712015199</v>
      </c>
      <c r="T2309" cm="1">
        <f t="array" ref="T2309">IF(OR(B2309="MAL ALIMI", B2309="ÜRETİM GİRİŞ"), MIN(I2309, MAX(0, I2309 + SUM(SUMIFS($I$1:I2308, $C$1:C2308, C2309, $B$1:B2308, {"MAL ALIMI","ÜRETİM GİRİŞ"})) - VLOOKUP(C2309, 'STOK RAPORU'!$C$2:$I$1000, 4, 0))), 0)</f>
        <v>0</v>
      </c>
      <c r="U2309" s="22">
        <f t="shared" si="144"/>
        <v>0</v>
      </c>
      <c r="V2309">
        <f t="shared" si="145"/>
        <v>0</v>
      </c>
      <c r="W2309" s="22">
        <f t="shared" si="146"/>
        <v>0</v>
      </c>
    </row>
    <row r="2310" spans="1:23" hidden="1" x14ac:dyDescent="0.25">
      <c r="A2310" s="3">
        <v>46010</v>
      </c>
      <c r="B2310" s="4" t="s">
        <v>334</v>
      </c>
      <c r="C2310" s="4" t="s">
        <v>1144</v>
      </c>
      <c r="D2310" s="4"/>
      <c r="E2310" s="4" t="s">
        <v>921</v>
      </c>
      <c r="F2310" s="4" t="s">
        <v>1319</v>
      </c>
      <c r="G2310" s="4" t="s">
        <v>336</v>
      </c>
      <c r="H2310" s="4" t="s">
        <v>380</v>
      </c>
      <c r="I2310" s="4">
        <v>1</v>
      </c>
      <c r="J2310" s="21">
        <v>130</v>
      </c>
      <c r="K2310" s="21">
        <v>130</v>
      </c>
      <c r="L2310" s="5">
        <v>0</v>
      </c>
      <c r="M2310" s="4"/>
      <c r="N2310" s="4"/>
      <c r="O2310" s="5"/>
      <c r="P2310" s="5"/>
      <c r="Q2310" s="21">
        <v>0</v>
      </c>
      <c r="R2310" s="21">
        <v>0</v>
      </c>
      <c r="S2310" s="5">
        <f t="shared" si="147"/>
        <v>29941.43712015199</v>
      </c>
      <c r="T2310" cm="1">
        <f t="array" ref="T2310">IF(OR(B2310="MAL ALIMI", B2310="ÜRETİM GİRİŞ"), MIN(I2310, MAX(0, I2310 + SUM(SUMIFS($I$1:I2309, $C$1:C2309, C2310, $B$1:B2309, {"MAL ALIMI","ÜRETİM GİRİŞ"})) - VLOOKUP(C2310, 'STOK RAPORU'!$C$2:$I$1000, 4, 0))), 0)</f>
        <v>0</v>
      </c>
      <c r="U2310" s="22">
        <f t="shared" si="144"/>
        <v>0</v>
      </c>
      <c r="V2310">
        <f t="shared" si="145"/>
        <v>0</v>
      </c>
      <c r="W2310" s="22">
        <f t="shared" si="146"/>
        <v>0</v>
      </c>
    </row>
    <row r="2311" spans="1:23" hidden="1" x14ac:dyDescent="0.25">
      <c r="A2311" s="3">
        <v>46010</v>
      </c>
      <c r="B2311" s="4" t="s">
        <v>334</v>
      </c>
      <c r="C2311" s="4" t="s">
        <v>751</v>
      </c>
      <c r="D2311" s="4"/>
      <c r="E2311" s="4" t="s">
        <v>921</v>
      </c>
      <c r="F2311" s="4" t="s">
        <v>1319</v>
      </c>
      <c r="G2311" s="4" t="s">
        <v>336</v>
      </c>
      <c r="H2311" s="4" t="s">
        <v>380</v>
      </c>
      <c r="I2311" s="4">
        <v>1</v>
      </c>
      <c r="J2311" s="21">
        <v>195</v>
      </c>
      <c r="K2311" s="21">
        <v>195</v>
      </c>
      <c r="L2311" s="5">
        <v>0</v>
      </c>
      <c r="M2311" s="4"/>
      <c r="N2311" s="4"/>
      <c r="O2311" s="5"/>
      <c r="P2311" s="5"/>
      <c r="Q2311" s="21">
        <v>0</v>
      </c>
      <c r="R2311" s="21">
        <v>0</v>
      </c>
      <c r="S2311" s="5">
        <f t="shared" si="147"/>
        <v>29941.43712015199</v>
      </c>
      <c r="T2311" cm="1">
        <f t="array" ref="T2311">IF(OR(B2311="MAL ALIMI", B2311="ÜRETİM GİRİŞ"), MIN(I2311, MAX(0, I2311 + SUM(SUMIFS($I$1:I2310, $C$1:C2310, C2311, $B$1:B2310, {"MAL ALIMI","ÜRETİM GİRİŞ"})) - VLOOKUP(C2311, 'STOK RAPORU'!$C$2:$I$1000, 4, 0))), 0)</f>
        <v>0</v>
      </c>
      <c r="U2311" s="22">
        <f t="shared" si="144"/>
        <v>0</v>
      </c>
      <c r="V2311">
        <f t="shared" si="145"/>
        <v>0</v>
      </c>
      <c r="W2311" s="22">
        <f t="shared" si="146"/>
        <v>0</v>
      </c>
    </row>
    <row r="2312" spans="1:23" hidden="1" x14ac:dyDescent="0.25">
      <c r="A2312" s="3">
        <v>46010</v>
      </c>
      <c r="B2312" s="4" t="s">
        <v>334</v>
      </c>
      <c r="C2312" s="4" t="s">
        <v>136</v>
      </c>
      <c r="D2312" s="4"/>
      <c r="E2312" s="4" t="s">
        <v>921</v>
      </c>
      <c r="F2312" s="4" t="s">
        <v>1319</v>
      </c>
      <c r="G2312" s="4" t="s">
        <v>336</v>
      </c>
      <c r="H2312" s="4" t="s">
        <v>380</v>
      </c>
      <c r="I2312" s="4">
        <v>0.25</v>
      </c>
      <c r="J2312" s="21">
        <v>180</v>
      </c>
      <c r="K2312" s="21">
        <v>45</v>
      </c>
      <c r="L2312" s="5">
        <v>0</v>
      </c>
      <c r="M2312" s="4"/>
      <c r="N2312" s="4"/>
      <c r="O2312" s="5"/>
      <c r="P2312" s="5"/>
      <c r="Q2312" s="21">
        <v>0</v>
      </c>
      <c r="R2312" s="21">
        <v>0</v>
      </c>
      <c r="S2312" s="5">
        <f t="shared" si="147"/>
        <v>29941.43712015199</v>
      </c>
      <c r="T2312" cm="1">
        <f t="array" ref="T2312">IF(OR(B2312="MAL ALIMI", B2312="ÜRETİM GİRİŞ"), MIN(I2312, MAX(0, I2312 + SUM(SUMIFS($I$1:I2311, $C$1:C2311, C2312, $B$1:B2311, {"MAL ALIMI","ÜRETİM GİRİŞ"})) - VLOOKUP(C2312, 'STOK RAPORU'!$C$2:$I$1000, 4, 0))), 0)</f>
        <v>0</v>
      </c>
      <c r="U2312" s="22">
        <f t="shared" si="144"/>
        <v>0</v>
      </c>
      <c r="V2312">
        <f t="shared" si="145"/>
        <v>0</v>
      </c>
      <c r="W2312" s="22">
        <f t="shared" si="146"/>
        <v>0</v>
      </c>
    </row>
    <row r="2313" spans="1:23" hidden="1" x14ac:dyDescent="0.25">
      <c r="A2313" s="3">
        <v>46010</v>
      </c>
      <c r="B2313" s="4" t="s">
        <v>334</v>
      </c>
      <c r="C2313" s="4" t="s">
        <v>137</v>
      </c>
      <c r="D2313" s="4"/>
      <c r="E2313" s="4" t="s">
        <v>921</v>
      </c>
      <c r="F2313" s="4" t="s">
        <v>1319</v>
      </c>
      <c r="G2313" s="4" t="s">
        <v>336</v>
      </c>
      <c r="H2313" s="4" t="s">
        <v>380</v>
      </c>
      <c r="I2313" s="4">
        <v>0.25</v>
      </c>
      <c r="J2313" s="21">
        <v>180</v>
      </c>
      <c r="K2313" s="21">
        <v>45</v>
      </c>
      <c r="L2313" s="5">
        <v>0</v>
      </c>
      <c r="M2313" s="4"/>
      <c r="N2313" s="4"/>
      <c r="O2313" s="5"/>
      <c r="P2313" s="5"/>
      <c r="Q2313" s="21">
        <v>0</v>
      </c>
      <c r="R2313" s="21">
        <v>0</v>
      </c>
      <c r="S2313" s="5">
        <f t="shared" si="147"/>
        <v>29941.43712015199</v>
      </c>
      <c r="T2313" cm="1">
        <f t="array" ref="T2313">IF(OR(B2313="MAL ALIMI", B2313="ÜRETİM GİRİŞ"), MIN(I2313, MAX(0, I2313 + SUM(SUMIFS($I$1:I2312, $C$1:C2312, C2313, $B$1:B2312, {"MAL ALIMI","ÜRETİM GİRİŞ"})) - VLOOKUP(C2313, 'STOK RAPORU'!$C$2:$I$1000, 4, 0))), 0)</f>
        <v>0</v>
      </c>
      <c r="U2313" s="22">
        <f t="shared" si="144"/>
        <v>0</v>
      </c>
      <c r="V2313">
        <f t="shared" si="145"/>
        <v>0</v>
      </c>
      <c r="W2313" s="22">
        <f t="shared" si="146"/>
        <v>0</v>
      </c>
    </row>
    <row r="2314" spans="1:23" hidden="1" x14ac:dyDescent="0.25">
      <c r="A2314" s="3">
        <v>46010</v>
      </c>
      <c r="B2314" s="4" t="s">
        <v>334</v>
      </c>
      <c r="C2314" s="4" t="s">
        <v>74</v>
      </c>
      <c r="D2314" s="4"/>
      <c r="E2314" s="4" t="s">
        <v>921</v>
      </c>
      <c r="F2314" s="4" t="s">
        <v>1319</v>
      </c>
      <c r="G2314" s="4" t="s">
        <v>336</v>
      </c>
      <c r="H2314" s="4" t="s">
        <v>380</v>
      </c>
      <c r="I2314" s="4">
        <v>0.05</v>
      </c>
      <c r="J2314" s="21">
        <v>1300</v>
      </c>
      <c r="K2314" s="21">
        <v>65</v>
      </c>
      <c r="L2314" s="5">
        <v>0</v>
      </c>
      <c r="M2314" s="4"/>
      <c r="N2314" s="4"/>
      <c r="O2314" s="5"/>
      <c r="P2314" s="5"/>
      <c r="Q2314" s="21">
        <v>0</v>
      </c>
      <c r="R2314" s="21">
        <v>0</v>
      </c>
      <c r="S2314" s="5">
        <f t="shared" si="147"/>
        <v>29941.43712015199</v>
      </c>
      <c r="T2314" cm="1">
        <f t="array" ref="T2314">IF(OR(B2314="MAL ALIMI", B2314="ÜRETİM GİRİŞ"), MIN(I2314, MAX(0, I2314 + SUM(SUMIFS($I$1:I2313, $C$1:C2313, C2314, $B$1:B2313, {"MAL ALIMI","ÜRETİM GİRİŞ"})) - VLOOKUP(C2314, 'STOK RAPORU'!$C$2:$I$1000, 4, 0))), 0)</f>
        <v>0</v>
      </c>
      <c r="U2314" s="22">
        <f t="shared" si="144"/>
        <v>0</v>
      </c>
      <c r="V2314">
        <f t="shared" si="145"/>
        <v>0</v>
      </c>
      <c r="W2314" s="22">
        <f t="shared" si="146"/>
        <v>0</v>
      </c>
    </row>
    <row r="2315" spans="1:23" hidden="1" x14ac:dyDescent="0.25">
      <c r="A2315" s="3">
        <v>46010</v>
      </c>
      <c r="B2315" s="4" t="s">
        <v>298</v>
      </c>
      <c r="C2315" s="4" t="s">
        <v>1634</v>
      </c>
      <c r="D2315" s="4"/>
      <c r="E2315" s="4" t="s">
        <v>856</v>
      </c>
      <c r="F2315" s="4"/>
      <c r="G2315" s="4" t="s">
        <v>1336</v>
      </c>
      <c r="H2315" s="4" t="s">
        <v>1329</v>
      </c>
      <c r="I2315" s="4">
        <v>20.75</v>
      </c>
      <c r="J2315" s="35">
        <v>209.64</v>
      </c>
      <c r="K2315" s="35">
        <v>0</v>
      </c>
      <c r="L2315" s="5">
        <v>4350.03</v>
      </c>
      <c r="M2315" s="4"/>
      <c r="N2315" s="4"/>
      <c r="O2315" s="5"/>
      <c r="P2315" s="5"/>
      <c r="Q2315" s="35">
        <v>0</v>
      </c>
      <c r="R2315" s="35">
        <v>0</v>
      </c>
      <c r="S2315" s="5">
        <f t="shared" si="147"/>
        <v>29941.43712015199</v>
      </c>
      <c r="T2315" cm="1">
        <f t="array" ref="T2315">IF(OR(B2315="MAL ALIMI", B2315="ÜRETİM GİRİŞ"), MIN(I2315, MAX(0, I2315 + SUM(SUMIFS($I$1:I2314, $C$1:C2314, C2315, $B$1:B2314, {"MAL ALIMI","ÜRETİM GİRİŞ"})) - VLOOKUP(C2315, 'STOK RAPORU'!$C$2:$I$1000, 4, 0))), 0)</f>
        <v>0</v>
      </c>
      <c r="U2315" s="22">
        <f t="shared" si="144"/>
        <v>0</v>
      </c>
      <c r="V2315">
        <f t="shared" si="145"/>
        <v>4350.03</v>
      </c>
      <c r="W2315" s="22">
        <f t="shared" si="146"/>
        <v>4350.03</v>
      </c>
    </row>
    <row r="2316" spans="1:23" hidden="1" x14ac:dyDescent="0.25">
      <c r="A2316" s="3">
        <v>46010</v>
      </c>
      <c r="B2316" s="4" t="s">
        <v>917</v>
      </c>
      <c r="C2316" s="4"/>
      <c r="D2316" s="4"/>
      <c r="E2316" s="4" t="s">
        <v>855</v>
      </c>
      <c r="F2316" s="4"/>
      <c r="G2316" s="4" t="s">
        <v>1280</v>
      </c>
      <c r="H2316" s="4" t="s">
        <v>289</v>
      </c>
      <c r="I2316" s="4">
        <v>1</v>
      </c>
      <c r="J2316" s="21">
        <v>0</v>
      </c>
      <c r="K2316" s="21">
        <v>15000</v>
      </c>
      <c r="L2316" s="5">
        <v>0</v>
      </c>
      <c r="M2316" s="4"/>
      <c r="N2316" s="4"/>
      <c r="O2316" s="5"/>
      <c r="P2316" s="5"/>
      <c r="Q2316" s="21">
        <v>0</v>
      </c>
      <c r="R2316" s="21">
        <v>15000</v>
      </c>
      <c r="S2316" s="5">
        <f t="shared" si="147"/>
        <v>14941.43712015199</v>
      </c>
      <c r="T2316" cm="1">
        <f t="array" ref="T2316">IF(OR(B2316="MAL ALIMI", B2316="ÜRETİM GİRİŞ"), MIN(I2316, MAX(0, I2316 + SUM(SUMIFS($I$1:I2315, $C$1:C2315, C2316, $B$1:B2315, {"MAL ALIMI","ÜRETİM GİRİŞ"})) - VLOOKUP(C2316, 'STOK RAPORU'!$C$2:$I$1000, 4, 0))), 0)</f>
        <v>0</v>
      </c>
      <c r="U2316" s="22">
        <f t="shared" si="144"/>
        <v>0</v>
      </c>
      <c r="V2316">
        <f t="shared" si="145"/>
        <v>0</v>
      </c>
      <c r="W2316" s="22">
        <f t="shared" si="146"/>
        <v>0</v>
      </c>
    </row>
    <row r="2317" spans="1:23" hidden="1" x14ac:dyDescent="0.25">
      <c r="A2317" s="3">
        <v>46010</v>
      </c>
      <c r="B2317" s="4" t="s">
        <v>917</v>
      </c>
      <c r="C2317" s="4"/>
      <c r="D2317" s="4"/>
      <c r="E2317" s="4" t="s">
        <v>855</v>
      </c>
      <c r="F2317" s="4"/>
      <c r="G2317" s="4" t="s">
        <v>1280</v>
      </c>
      <c r="H2317" s="4" t="s">
        <v>289</v>
      </c>
      <c r="I2317" s="4">
        <v>1</v>
      </c>
      <c r="J2317" s="21">
        <v>0</v>
      </c>
      <c r="K2317" s="21">
        <v>10000</v>
      </c>
      <c r="L2317" s="5">
        <v>0</v>
      </c>
      <c r="M2317" s="4"/>
      <c r="N2317" s="4"/>
      <c r="O2317" s="5"/>
      <c r="P2317" s="5"/>
      <c r="Q2317" s="21">
        <v>0</v>
      </c>
      <c r="R2317" s="21">
        <v>10000</v>
      </c>
      <c r="S2317" s="5">
        <f t="shared" si="147"/>
        <v>4941.4371201519898</v>
      </c>
      <c r="T2317" cm="1">
        <f t="array" ref="T2317">IF(OR(B2317="MAL ALIMI", B2317="ÜRETİM GİRİŞ"), MIN(I2317, MAX(0, I2317 + SUM(SUMIFS($I$1:I2316, $C$1:C2316, C2317, $B$1:B2316, {"MAL ALIMI","ÜRETİM GİRİŞ"})) - VLOOKUP(C2317, 'STOK RAPORU'!$C$2:$I$1000, 4, 0))), 0)</f>
        <v>0</v>
      </c>
      <c r="U2317" s="22">
        <f t="shared" si="144"/>
        <v>0</v>
      </c>
      <c r="V2317">
        <f t="shared" si="145"/>
        <v>0</v>
      </c>
      <c r="W2317" s="22">
        <f t="shared" si="146"/>
        <v>0</v>
      </c>
    </row>
    <row r="2318" spans="1:23" hidden="1" x14ac:dyDescent="0.25">
      <c r="A2318" s="3">
        <v>46010</v>
      </c>
      <c r="B2318" s="4" t="s">
        <v>946</v>
      </c>
      <c r="C2318" s="4"/>
      <c r="D2318" s="4"/>
      <c r="E2318" s="4" t="s">
        <v>921</v>
      </c>
      <c r="F2318" s="4"/>
      <c r="G2318" s="4" t="s">
        <v>946</v>
      </c>
      <c r="H2318" s="4" t="s">
        <v>380</v>
      </c>
      <c r="I2318" s="4">
        <v>1</v>
      </c>
      <c r="J2318" s="105">
        <v>1185</v>
      </c>
      <c r="K2318" s="21">
        <v>0</v>
      </c>
      <c r="L2318" s="111">
        <v>1185</v>
      </c>
      <c r="M2318" s="4">
        <v>330</v>
      </c>
      <c r="N2318" s="4"/>
      <c r="O2318" s="5"/>
      <c r="P2318" s="5"/>
      <c r="Q2318" s="21">
        <v>1185</v>
      </c>
      <c r="R2318" s="21">
        <v>0</v>
      </c>
      <c r="S2318" s="5">
        <f t="shared" si="147"/>
        <v>6126.4371201519898</v>
      </c>
      <c r="T2318" cm="1">
        <f t="array" ref="T2318">IF(OR(B2318="MAL ALIMI", B2318="ÜRETİM GİRİŞ"), MIN(I2318, MAX(0, I2318 + SUM(SUMIFS($I$1:I2317, $C$1:C2317, C2318, $B$1:B2317, {"MAL ALIMI","ÜRETİM GİRİŞ"})) - VLOOKUP(C2318, 'STOK RAPORU'!$C$2:$I$1000, 4, 0))), 0)</f>
        <v>0</v>
      </c>
      <c r="U2318" s="22">
        <f t="shared" si="144"/>
        <v>0</v>
      </c>
      <c r="V2318">
        <f t="shared" si="145"/>
        <v>0</v>
      </c>
      <c r="W2318" s="22">
        <f t="shared" si="146"/>
        <v>0</v>
      </c>
    </row>
    <row r="2319" spans="1:23" hidden="1" x14ac:dyDescent="0.25">
      <c r="A2319" s="3">
        <v>46010</v>
      </c>
      <c r="B2319" s="4" t="s">
        <v>946</v>
      </c>
      <c r="C2319" s="4"/>
      <c r="D2319" s="4"/>
      <c r="E2319" s="4" t="s">
        <v>921</v>
      </c>
      <c r="F2319" s="4"/>
      <c r="G2319" s="4" t="s">
        <v>946</v>
      </c>
      <c r="H2319" s="4" t="s">
        <v>380</v>
      </c>
      <c r="I2319" s="4">
        <v>1</v>
      </c>
      <c r="J2319" s="105">
        <v>1</v>
      </c>
      <c r="K2319" s="21">
        <v>0</v>
      </c>
      <c r="L2319" s="111">
        <v>1000</v>
      </c>
      <c r="M2319" s="4"/>
      <c r="N2319" s="4"/>
      <c r="O2319" s="5"/>
      <c r="P2319" s="5"/>
      <c r="Q2319" s="21">
        <v>1000</v>
      </c>
      <c r="R2319" s="21">
        <v>0</v>
      </c>
      <c r="S2319" s="5">
        <f t="shared" si="147"/>
        <v>7126.4371201519898</v>
      </c>
      <c r="T2319" cm="1">
        <f t="array" ref="T2319">IF(OR(B2319="MAL ALIMI", B2319="ÜRETİM GİRİŞ"), MIN(I2319, MAX(0, I2319 + SUM(SUMIFS($I$1:I2318, $C$1:C2318, C2319, $B$1:B2318, {"MAL ALIMI","ÜRETİM GİRİŞ"})) - VLOOKUP(C2319, 'STOK RAPORU'!$C$2:$I$1000, 4, 0))), 0)</f>
        <v>0</v>
      </c>
      <c r="U2319" s="22">
        <f t="shared" si="144"/>
        <v>0</v>
      </c>
      <c r="V2319">
        <f t="shared" si="145"/>
        <v>0</v>
      </c>
      <c r="W2319" s="22">
        <f t="shared" si="146"/>
        <v>0</v>
      </c>
    </row>
    <row r="2320" spans="1:23" hidden="1" x14ac:dyDescent="0.25">
      <c r="A2320" s="3">
        <v>46011</v>
      </c>
      <c r="B2320" s="4" t="s">
        <v>298</v>
      </c>
      <c r="C2320" s="4" t="s">
        <v>1364</v>
      </c>
      <c r="D2320" s="4"/>
      <c r="E2320" s="4" t="s">
        <v>836</v>
      </c>
      <c r="F2320" s="4" t="s">
        <v>1370</v>
      </c>
      <c r="G2320" s="4" t="s">
        <v>836</v>
      </c>
      <c r="H2320" s="4" t="s">
        <v>304</v>
      </c>
      <c r="I2320" s="4">
        <v>12</v>
      </c>
      <c r="J2320" s="21">
        <v>81</v>
      </c>
      <c r="K2320" s="21">
        <v>0</v>
      </c>
      <c r="L2320" s="5">
        <v>972</v>
      </c>
      <c r="M2320" s="4"/>
      <c r="N2320" s="4"/>
      <c r="O2320" s="5"/>
      <c r="P2320" s="5"/>
      <c r="Q2320" s="21">
        <v>0</v>
      </c>
      <c r="R2320" s="21">
        <v>0</v>
      </c>
      <c r="S2320" s="5">
        <f t="shared" si="147"/>
        <v>7126.4371201519898</v>
      </c>
      <c r="T2320" cm="1">
        <f t="array" ref="T2320">IF(OR(B2320="MAL ALIMI", B2320="ÜRETİM GİRİŞ"), MIN(I2320, MAX(0, I2320 + SUM(SUMIFS($I$1:I2319, $C$1:C2319, C2320, $B$1:B2319, {"MAL ALIMI","ÜRETİM GİRİŞ"})) - VLOOKUP(C2320, 'STOK RAPORU'!$C$2:$I$1000, 4, 0))), 0)</f>
        <v>6</v>
      </c>
      <c r="U2320" s="22">
        <f t="shared" si="144"/>
        <v>486</v>
      </c>
      <c r="V2320">
        <f t="shared" si="145"/>
        <v>972</v>
      </c>
      <c r="W2320" s="22">
        <f t="shared" si="146"/>
        <v>486</v>
      </c>
    </row>
    <row r="2321" spans="1:23" hidden="1" x14ac:dyDescent="0.25">
      <c r="A2321" s="3">
        <v>46011</v>
      </c>
      <c r="B2321" s="4" t="s">
        <v>298</v>
      </c>
      <c r="C2321" s="4" t="s">
        <v>1365</v>
      </c>
      <c r="D2321" s="4"/>
      <c r="E2321" s="4" t="s">
        <v>836</v>
      </c>
      <c r="F2321" s="4" t="s">
        <v>1370</v>
      </c>
      <c r="G2321" s="4" t="s">
        <v>836</v>
      </c>
      <c r="H2321" s="4" t="s">
        <v>304</v>
      </c>
      <c r="I2321" s="4">
        <v>36</v>
      </c>
      <c r="J2321" s="21">
        <v>81</v>
      </c>
      <c r="K2321" s="21">
        <v>0</v>
      </c>
      <c r="L2321" s="5">
        <v>2916</v>
      </c>
      <c r="M2321" s="4"/>
      <c r="N2321" s="4"/>
      <c r="O2321" s="5"/>
      <c r="P2321" s="5"/>
      <c r="Q2321" s="21">
        <v>0</v>
      </c>
      <c r="R2321" s="21">
        <v>0</v>
      </c>
      <c r="S2321" s="5">
        <f t="shared" si="147"/>
        <v>7126.4371201519898</v>
      </c>
      <c r="T2321" cm="1">
        <f t="array" ref="T2321">IF(OR(B2321="MAL ALIMI", B2321="ÜRETİM GİRİŞ"), MIN(I2321, MAX(0, I2321 + SUM(SUMIFS($I$1:I2320, $C$1:C2320, C2321, $B$1:B2320, {"MAL ALIMI","ÜRETİM GİRİŞ"})) - VLOOKUP(C2321, 'STOK RAPORU'!$C$2:$I$1000, 4, 0))), 0)</f>
        <v>14</v>
      </c>
      <c r="U2321" s="22">
        <f t="shared" si="144"/>
        <v>1134</v>
      </c>
      <c r="V2321">
        <f t="shared" si="145"/>
        <v>2916</v>
      </c>
      <c r="W2321" s="22">
        <f t="shared" si="146"/>
        <v>1782</v>
      </c>
    </row>
    <row r="2322" spans="1:23" hidden="1" x14ac:dyDescent="0.25">
      <c r="A2322" s="3">
        <v>46011</v>
      </c>
      <c r="B2322" s="4" t="s">
        <v>298</v>
      </c>
      <c r="C2322" s="4" t="s">
        <v>1366</v>
      </c>
      <c r="D2322" s="4"/>
      <c r="E2322" s="4" t="s">
        <v>836</v>
      </c>
      <c r="F2322" s="4" t="s">
        <v>1370</v>
      </c>
      <c r="G2322" s="4" t="s">
        <v>836</v>
      </c>
      <c r="H2322" s="4" t="s">
        <v>304</v>
      </c>
      <c r="I2322" s="4">
        <v>36</v>
      </c>
      <c r="J2322" s="21">
        <v>126</v>
      </c>
      <c r="K2322" s="21">
        <v>0</v>
      </c>
      <c r="L2322" s="5">
        <v>4536</v>
      </c>
      <c r="M2322" s="4"/>
      <c r="N2322" s="4"/>
      <c r="O2322" s="5"/>
      <c r="P2322" s="5"/>
      <c r="Q2322" s="21">
        <v>0</v>
      </c>
      <c r="R2322" s="21">
        <v>0</v>
      </c>
      <c r="S2322" s="5">
        <f t="shared" si="147"/>
        <v>7126.4371201519898</v>
      </c>
      <c r="T2322" cm="1">
        <f t="array" ref="T2322">IF(OR(B2322="MAL ALIMI", B2322="ÜRETİM GİRİŞ"), MIN(I2322, MAX(0, I2322 + SUM(SUMIFS($I$1:I2321, $C$1:C2321, C2322, $B$1:B2321, {"MAL ALIMI","ÜRETİM GİRİŞ"})) - VLOOKUP(C2322, 'STOK RAPORU'!$C$2:$I$1000, 4, 0))), 0)</f>
        <v>27</v>
      </c>
      <c r="U2322" s="22">
        <f t="shared" si="144"/>
        <v>3402</v>
      </c>
      <c r="V2322">
        <f t="shared" si="145"/>
        <v>4536</v>
      </c>
      <c r="W2322" s="22">
        <f t="shared" si="146"/>
        <v>1134</v>
      </c>
    </row>
    <row r="2323" spans="1:23" hidden="1" x14ac:dyDescent="0.25">
      <c r="A2323" s="3">
        <v>46011</v>
      </c>
      <c r="B2323" s="4" t="s">
        <v>298</v>
      </c>
      <c r="C2323" s="4" t="s">
        <v>1367</v>
      </c>
      <c r="D2323" s="4"/>
      <c r="E2323" s="4" t="s">
        <v>836</v>
      </c>
      <c r="F2323" s="4" t="s">
        <v>1370</v>
      </c>
      <c r="G2323" s="4" t="s">
        <v>836</v>
      </c>
      <c r="H2323" s="4" t="s">
        <v>304</v>
      </c>
      <c r="I2323" s="4">
        <v>12</v>
      </c>
      <c r="J2323" s="21">
        <v>108</v>
      </c>
      <c r="K2323" s="21">
        <v>0</v>
      </c>
      <c r="L2323" s="5">
        <v>1296</v>
      </c>
      <c r="M2323" s="4"/>
      <c r="N2323" s="4"/>
      <c r="O2323" s="5"/>
      <c r="P2323" s="5"/>
      <c r="Q2323" s="21">
        <v>0</v>
      </c>
      <c r="R2323" s="21">
        <v>0</v>
      </c>
      <c r="S2323" s="5">
        <f t="shared" si="147"/>
        <v>7126.4371201519898</v>
      </c>
      <c r="T2323" cm="1">
        <f t="array" ref="T2323">IF(OR(B2323="MAL ALIMI", B2323="ÜRETİM GİRİŞ"), MIN(I2323, MAX(0, I2323 + SUM(SUMIFS($I$1:I2322, $C$1:C2322, C2323, $B$1:B2322, {"MAL ALIMI","ÜRETİM GİRİŞ"})) - VLOOKUP(C2323, 'STOK RAPORU'!$C$2:$I$1000, 4, 0))), 0)</f>
        <v>0</v>
      </c>
      <c r="U2323" s="22">
        <f t="shared" si="144"/>
        <v>0</v>
      </c>
      <c r="V2323">
        <f t="shared" si="145"/>
        <v>1296</v>
      </c>
      <c r="W2323" s="22">
        <f t="shared" si="146"/>
        <v>1296</v>
      </c>
    </row>
    <row r="2324" spans="1:23" hidden="1" x14ac:dyDescent="0.25">
      <c r="A2324" s="3">
        <v>46011</v>
      </c>
      <c r="B2324" s="4" t="s">
        <v>298</v>
      </c>
      <c r="C2324" s="4" t="s">
        <v>823</v>
      </c>
      <c r="D2324" s="4"/>
      <c r="E2324" s="4" t="s">
        <v>836</v>
      </c>
      <c r="F2324" s="4" t="s">
        <v>1370</v>
      </c>
      <c r="G2324" s="4" t="s">
        <v>836</v>
      </c>
      <c r="H2324" s="4" t="s">
        <v>304</v>
      </c>
      <c r="I2324" s="4">
        <v>12</v>
      </c>
      <c r="J2324" s="21">
        <v>60</v>
      </c>
      <c r="K2324" s="21">
        <v>0</v>
      </c>
      <c r="L2324" s="5">
        <v>720</v>
      </c>
      <c r="M2324" s="4"/>
      <c r="N2324" s="4"/>
      <c r="O2324" s="5"/>
      <c r="P2324" s="5"/>
      <c r="Q2324" s="21">
        <v>0</v>
      </c>
      <c r="R2324" s="21">
        <v>0</v>
      </c>
      <c r="S2324" s="5">
        <f t="shared" si="147"/>
        <v>7126.4371201519898</v>
      </c>
      <c r="T2324" cm="1">
        <f t="array" ref="T2324">IF(OR(B2324="MAL ALIMI", B2324="ÜRETİM GİRİŞ"), MIN(I2324, MAX(0, I2324 + SUM(SUMIFS($I$1:I2323, $C$1:C2323, C2324, $B$1:B2323, {"MAL ALIMI","ÜRETİM GİRİŞ"})) - VLOOKUP(C2324, 'STOK RAPORU'!$C$2:$I$1000, 4, 0))), 0)</f>
        <v>12</v>
      </c>
      <c r="U2324" s="22">
        <f t="shared" si="144"/>
        <v>720</v>
      </c>
      <c r="V2324">
        <f t="shared" si="145"/>
        <v>720</v>
      </c>
      <c r="W2324" s="22">
        <f t="shared" si="146"/>
        <v>0</v>
      </c>
    </row>
    <row r="2325" spans="1:23" hidden="1" x14ac:dyDescent="0.25">
      <c r="A2325" s="3">
        <v>46011</v>
      </c>
      <c r="B2325" s="4" t="s">
        <v>298</v>
      </c>
      <c r="C2325" s="4" t="s">
        <v>825</v>
      </c>
      <c r="D2325" s="4"/>
      <c r="E2325" s="4" t="s">
        <v>836</v>
      </c>
      <c r="F2325" s="4" t="s">
        <v>1370</v>
      </c>
      <c r="G2325" s="4" t="s">
        <v>836</v>
      </c>
      <c r="H2325" s="4" t="s">
        <v>304</v>
      </c>
      <c r="I2325" s="4">
        <v>12</v>
      </c>
      <c r="J2325" s="21">
        <v>75</v>
      </c>
      <c r="K2325" s="21">
        <v>0</v>
      </c>
      <c r="L2325" s="5">
        <v>900</v>
      </c>
      <c r="M2325" s="4"/>
      <c r="N2325" s="4"/>
      <c r="O2325" s="5"/>
      <c r="P2325" s="5"/>
      <c r="Q2325" s="21">
        <v>0</v>
      </c>
      <c r="R2325" s="21">
        <v>0</v>
      </c>
      <c r="S2325" s="5">
        <f t="shared" si="147"/>
        <v>7126.4371201519898</v>
      </c>
      <c r="T2325" cm="1">
        <f t="array" ref="T2325">IF(OR(B2325="MAL ALIMI", B2325="ÜRETİM GİRİŞ"), MIN(I2325, MAX(0, I2325 + SUM(SUMIFS($I$1:I2324, $C$1:C2324, C2325, $B$1:B2324, {"MAL ALIMI","ÜRETİM GİRİŞ"})) - VLOOKUP(C2325, 'STOK RAPORU'!$C$2:$I$1000, 4, 0))), 0)</f>
        <v>12</v>
      </c>
      <c r="U2325" s="22">
        <f t="shared" si="144"/>
        <v>900</v>
      </c>
      <c r="V2325">
        <f t="shared" si="145"/>
        <v>900</v>
      </c>
      <c r="W2325" s="22">
        <f t="shared" si="146"/>
        <v>0</v>
      </c>
    </row>
    <row r="2326" spans="1:23" hidden="1" x14ac:dyDescent="0.25">
      <c r="A2326" s="3">
        <v>46011</v>
      </c>
      <c r="B2326" s="4" t="s">
        <v>298</v>
      </c>
      <c r="C2326" s="4" t="s">
        <v>826</v>
      </c>
      <c r="D2326" s="4"/>
      <c r="E2326" s="4" t="s">
        <v>836</v>
      </c>
      <c r="F2326" s="4" t="s">
        <v>1370</v>
      </c>
      <c r="G2326" s="4" t="s">
        <v>836</v>
      </c>
      <c r="H2326" s="4" t="s">
        <v>304</v>
      </c>
      <c r="I2326" s="4">
        <v>12</v>
      </c>
      <c r="J2326" s="21">
        <v>54</v>
      </c>
      <c r="K2326" s="21">
        <v>0</v>
      </c>
      <c r="L2326" s="5">
        <v>648</v>
      </c>
      <c r="M2326" s="4"/>
      <c r="N2326" s="4"/>
      <c r="O2326" s="5"/>
      <c r="P2326" s="5"/>
      <c r="Q2326" s="21">
        <v>0</v>
      </c>
      <c r="R2326" s="21">
        <v>0</v>
      </c>
      <c r="S2326" s="5">
        <f t="shared" si="147"/>
        <v>7126.4371201519898</v>
      </c>
      <c r="T2326" cm="1">
        <f t="array" ref="T2326">IF(OR(B2326="MAL ALIMI", B2326="ÜRETİM GİRİŞ"), MIN(I2326, MAX(0, I2326 + SUM(SUMIFS($I$1:I2325, $C$1:C2325, C2326, $B$1:B2325, {"MAL ALIMI","ÜRETİM GİRİŞ"})) - VLOOKUP(C2326, 'STOK RAPORU'!$C$2:$I$1000, 4, 0))), 0)</f>
        <v>4</v>
      </c>
      <c r="U2326" s="22">
        <f t="shared" si="144"/>
        <v>216</v>
      </c>
      <c r="V2326">
        <f t="shared" si="145"/>
        <v>648</v>
      </c>
      <c r="W2326" s="22">
        <f t="shared" si="146"/>
        <v>432</v>
      </c>
    </row>
    <row r="2327" spans="1:23" hidden="1" x14ac:dyDescent="0.25">
      <c r="A2327" s="3">
        <v>46011</v>
      </c>
      <c r="B2327" s="4" t="s">
        <v>298</v>
      </c>
      <c r="C2327" s="4" t="s">
        <v>822</v>
      </c>
      <c r="D2327" s="4"/>
      <c r="E2327" s="4" t="s">
        <v>836</v>
      </c>
      <c r="F2327" s="4" t="s">
        <v>1370</v>
      </c>
      <c r="G2327" s="4" t="s">
        <v>836</v>
      </c>
      <c r="H2327" s="4" t="s">
        <v>304</v>
      </c>
      <c r="I2327" s="4">
        <v>12</v>
      </c>
      <c r="J2327" s="21">
        <v>82.5</v>
      </c>
      <c r="K2327" s="21">
        <v>0</v>
      </c>
      <c r="L2327" s="5">
        <v>990</v>
      </c>
      <c r="M2327" s="4"/>
      <c r="N2327" s="4"/>
      <c r="O2327" s="5"/>
      <c r="P2327" s="5"/>
      <c r="Q2327" s="21">
        <v>0</v>
      </c>
      <c r="R2327" s="21">
        <v>0</v>
      </c>
      <c r="S2327" s="5">
        <f t="shared" si="147"/>
        <v>7126.4371201519898</v>
      </c>
      <c r="T2327" cm="1">
        <f t="array" ref="T2327">IF(OR(B2327="MAL ALIMI", B2327="ÜRETİM GİRİŞ"), MIN(I2327, MAX(0, I2327 + SUM(SUMIFS($I$1:I2326, $C$1:C2326, C2327, $B$1:B2326, {"MAL ALIMI","ÜRETİM GİRİŞ"})) - VLOOKUP(C2327, 'STOK RAPORU'!$C$2:$I$1000, 4, 0))), 0)</f>
        <v>0</v>
      </c>
      <c r="U2327" s="22">
        <f t="shared" si="144"/>
        <v>0</v>
      </c>
      <c r="V2327">
        <f t="shared" si="145"/>
        <v>990</v>
      </c>
      <c r="W2327" s="22">
        <f t="shared" si="146"/>
        <v>990</v>
      </c>
    </row>
    <row r="2328" spans="1:23" hidden="1" x14ac:dyDescent="0.25">
      <c r="A2328" s="3">
        <v>46011</v>
      </c>
      <c r="B2328" s="4" t="s">
        <v>298</v>
      </c>
      <c r="C2328" s="4" t="s">
        <v>828</v>
      </c>
      <c r="D2328" s="4"/>
      <c r="E2328" s="4" t="s">
        <v>836</v>
      </c>
      <c r="F2328" s="4" t="s">
        <v>1370</v>
      </c>
      <c r="G2328" s="4" t="s">
        <v>836</v>
      </c>
      <c r="H2328" s="4" t="s">
        <v>304</v>
      </c>
      <c r="I2328" s="4">
        <v>12</v>
      </c>
      <c r="J2328" s="21">
        <v>60</v>
      </c>
      <c r="K2328" s="21">
        <v>0</v>
      </c>
      <c r="L2328" s="5">
        <v>720</v>
      </c>
      <c r="M2328" s="4"/>
      <c r="N2328" s="4"/>
      <c r="O2328" s="5"/>
      <c r="P2328" s="5"/>
      <c r="Q2328" s="21">
        <v>0</v>
      </c>
      <c r="R2328" s="21">
        <v>0</v>
      </c>
      <c r="S2328" s="5">
        <f t="shared" si="147"/>
        <v>7126.4371201519898</v>
      </c>
      <c r="T2328" cm="1">
        <f t="array" ref="T2328">IF(OR(B2328="MAL ALIMI", B2328="ÜRETİM GİRİŞ"), MIN(I2328, MAX(0, I2328 + SUM(SUMIFS($I$1:I2327, $C$1:C2327, C2328, $B$1:B2327, {"MAL ALIMI","ÜRETİM GİRİŞ"})) - VLOOKUP(C2328, 'STOK RAPORU'!$C$2:$I$1000, 4, 0))), 0)</f>
        <v>12</v>
      </c>
      <c r="U2328" s="22">
        <f t="shared" si="144"/>
        <v>720</v>
      </c>
      <c r="V2328">
        <f t="shared" si="145"/>
        <v>720</v>
      </c>
      <c r="W2328" s="22">
        <f t="shared" si="146"/>
        <v>0</v>
      </c>
    </row>
    <row r="2329" spans="1:23" hidden="1" x14ac:dyDescent="0.25">
      <c r="A2329" s="3">
        <v>46011</v>
      </c>
      <c r="B2329" s="4" t="s">
        <v>334</v>
      </c>
      <c r="C2329" s="4" t="s">
        <v>201</v>
      </c>
      <c r="D2329" s="4"/>
      <c r="E2329" s="4"/>
      <c r="F2329" s="4" t="s">
        <v>1321</v>
      </c>
      <c r="G2329" s="4" t="s">
        <v>336</v>
      </c>
      <c r="H2329" s="4" t="s">
        <v>289</v>
      </c>
      <c r="I2329" s="4">
        <v>0.25</v>
      </c>
      <c r="J2329" s="21">
        <v>800</v>
      </c>
      <c r="K2329" s="21">
        <v>0</v>
      </c>
      <c r="L2329" s="5">
        <v>0</v>
      </c>
      <c r="M2329" s="4"/>
      <c r="N2329" s="4"/>
      <c r="O2329" s="5"/>
      <c r="P2329" s="5"/>
      <c r="Q2329" s="21">
        <v>200</v>
      </c>
      <c r="R2329" s="21">
        <v>0</v>
      </c>
      <c r="S2329" s="5">
        <f t="shared" si="147"/>
        <v>7326.4371201519898</v>
      </c>
      <c r="T2329" cm="1">
        <f t="array" ref="T2329">IF(OR(B2329="MAL ALIMI", B2329="ÜRETİM GİRİŞ"), MIN(I2329, MAX(0, I2329 + SUM(SUMIFS($I$1:I2328, $C$1:C2328, C2329, $B$1:B2328, {"MAL ALIMI","ÜRETİM GİRİŞ"})) - VLOOKUP(C2329, 'STOK RAPORU'!$C$2:$I$1000, 4, 0))), 0)</f>
        <v>0</v>
      </c>
      <c r="U2329" s="22">
        <f t="shared" si="144"/>
        <v>0</v>
      </c>
      <c r="V2329">
        <f t="shared" si="145"/>
        <v>0</v>
      </c>
      <c r="W2329" s="22">
        <f t="shared" si="146"/>
        <v>0</v>
      </c>
    </row>
    <row r="2330" spans="1:23" hidden="1" x14ac:dyDescent="0.25">
      <c r="A2330" s="3">
        <v>46011</v>
      </c>
      <c r="B2330" s="4" t="s">
        <v>334</v>
      </c>
      <c r="C2330" s="4" t="s">
        <v>89</v>
      </c>
      <c r="D2330" s="4"/>
      <c r="E2330" s="4"/>
      <c r="F2330" s="4" t="s">
        <v>1321</v>
      </c>
      <c r="G2330" s="4" t="s">
        <v>336</v>
      </c>
      <c r="H2330" s="4" t="s">
        <v>289</v>
      </c>
      <c r="I2330" s="4">
        <v>0.1</v>
      </c>
      <c r="J2330" s="21">
        <v>500</v>
      </c>
      <c r="K2330" s="21">
        <v>0</v>
      </c>
      <c r="L2330" s="5">
        <v>0</v>
      </c>
      <c r="M2330" s="4"/>
      <c r="N2330" s="4"/>
      <c r="O2330" s="5"/>
      <c r="P2330" s="5"/>
      <c r="Q2330" s="21">
        <v>50</v>
      </c>
      <c r="R2330" s="21">
        <v>0</v>
      </c>
      <c r="S2330" s="5">
        <f t="shared" si="147"/>
        <v>7376.4371201519898</v>
      </c>
      <c r="T2330" cm="1">
        <f t="array" ref="T2330">IF(OR(B2330="MAL ALIMI", B2330="ÜRETİM GİRİŞ"), MIN(I2330, MAX(0, I2330 + SUM(SUMIFS($I$1:I2329, $C$1:C2329, C2330, $B$1:B2329, {"MAL ALIMI","ÜRETİM GİRİŞ"})) - VLOOKUP(C2330, 'STOK RAPORU'!$C$2:$I$1000, 4, 0))), 0)</f>
        <v>0</v>
      </c>
      <c r="U2330" s="22">
        <f t="shared" si="144"/>
        <v>0</v>
      </c>
      <c r="V2330">
        <f t="shared" si="145"/>
        <v>0</v>
      </c>
      <c r="W2330" s="22">
        <f t="shared" si="146"/>
        <v>0</v>
      </c>
    </row>
    <row r="2331" spans="1:23" hidden="1" x14ac:dyDescent="0.25">
      <c r="A2331" s="3">
        <v>46011</v>
      </c>
      <c r="B2331" s="4" t="s">
        <v>334</v>
      </c>
      <c r="C2331" s="4" t="s">
        <v>201</v>
      </c>
      <c r="D2331" s="4"/>
      <c r="E2331" s="4" t="s">
        <v>921</v>
      </c>
      <c r="F2331" s="4" t="s">
        <v>1322</v>
      </c>
      <c r="G2331" s="4" t="s">
        <v>336</v>
      </c>
      <c r="H2331" s="4" t="s">
        <v>380</v>
      </c>
      <c r="I2331" s="4">
        <v>0.23749999999999999</v>
      </c>
      <c r="J2331" s="21">
        <v>800</v>
      </c>
      <c r="K2331" s="21">
        <v>190</v>
      </c>
      <c r="L2331" s="5">
        <v>0</v>
      </c>
      <c r="M2331" s="4"/>
      <c r="N2331" s="4"/>
      <c r="O2331" s="5"/>
      <c r="P2331" s="5"/>
      <c r="Q2331" s="21">
        <v>0</v>
      </c>
      <c r="R2331" s="21">
        <v>0</v>
      </c>
      <c r="S2331" s="5">
        <f t="shared" si="147"/>
        <v>7376.4371201519898</v>
      </c>
      <c r="T2331" cm="1">
        <f t="array" ref="T2331">IF(OR(B2331="MAL ALIMI", B2331="ÜRETİM GİRİŞ"), MIN(I2331, MAX(0, I2331 + SUM(SUMIFS($I$1:I2330, $C$1:C2330, C2331, $B$1:B2330, {"MAL ALIMI","ÜRETİM GİRİŞ"})) - VLOOKUP(C2331, 'STOK RAPORU'!$C$2:$I$1000, 4, 0))), 0)</f>
        <v>0</v>
      </c>
      <c r="U2331" s="22">
        <f t="shared" si="144"/>
        <v>0</v>
      </c>
      <c r="V2331">
        <f t="shared" si="145"/>
        <v>0</v>
      </c>
      <c r="W2331" s="22">
        <f t="shared" si="146"/>
        <v>0</v>
      </c>
    </row>
    <row r="2332" spans="1:23" hidden="1" x14ac:dyDescent="0.25">
      <c r="A2332" s="3">
        <v>46011</v>
      </c>
      <c r="B2332" s="4" t="s">
        <v>334</v>
      </c>
      <c r="C2332" s="4" t="s">
        <v>840</v>
      </c>
      <c r="D2332" s="4"/>
      <c r="E2332" s="4" t="s">
        <v>921</v>
      </c>
      <c r="F2332" s="4" t="s">
        <v>1322</v>
      </c>
      <c r="G2332" s="4" t="s">
        <v>336</v>
      </c>
      <c r="H2332" s="4" t="s">
        <v>380</v>
      </c>
      <c r="I2332" s="4">
        <v>0.25</v>
      </c>
      <c r="J2332" s="21">
        <v>360</v>
      </c>
      <c r="K2332" s="21">
        <v>90</v>
      </c>
      <c r="L2332" s="5">
        <v>0</v>
      </c>
      <c r="M2332" s="4"/>
      <c r="N2332" s="4"/>
      <c r="O2332" s="5"/>
      <c r="P2332" s="5"/>
      <c r="Q2332" s="21">
        <v>0</v>
      </c>
      <c r="R2332" s="21">
        <v>0</v>
      </c>
      <c r="S2332" s="5">
        <f t="shared" si="147"/>
        <v>7376.4371201519898</v>
      </c>
      <c r="T2332" cm="1">
        <f t="array" ref="T2332">IF(OR(B2332="MAL ALIMI", B2332="ÜRETİM GİRİŞ"), MIN(I2332, MAX(0, I2332 + SUM(SUMIFS($I$1:I2331, $C$1:C2331, C2332, $B$1:B2331, {"MAL ALIMI","ÜRETİM GİRİŞ"})) - VLOOKUP(C2332, 'STOK RAPORU'!$C$2:$I$1000, 4, 0))), 0)</f>
        <v>0</v>
      </c>
      <c r="U2332" s="22">
        <f t="shared" si="144"/>
        <v>0</v>
      </c>
      <c r="V2332">
        <f t="shared" si="145"/>
        <v>0</v>
      </c>
      <c r="W2332" s="22">
        <f t="shared" si="146"/>
        <v>0</v>
      </c>
    </row>
    <row r="2333" spans="1:23" hidden="1" x14ac:dyDescent="0.25">
      <c r="A2333" s="3">
        <v>46011</v>
      </c>
      <c r="B2333" s="4" t="s">
        <v>334</v>
      </c>
      <c r="C2333" s="4" t="s">
        <v>222</v>
      </c>
      <c r="D2333" s="4"/>
      <c r="E2333" s="4"/>
      <c r="F2333" s="4" t="s">
        <v>1323</v>
      </c>
      <c r="G2333" s="4" t="s">
        <v>336</v>
      </c>
      <c r="H2333" s="4" t="s">
        <v>289</v>
      </c>
      <c r="I2333" s="4">
        <v>0.48799999999999999</v>
      </c>
      <c r="J2333" s="21">
        <v>600</v>
      </c>
      <c r="K2333" s="21">
        <v>0</v>
      </c>
      <c r="L2333" s="5">
        <v>0</v>
      </c>
      <c r="M2333" s="4"/>
      <c r="N2333" s="4"/>
      <c r="O2333" s="5"/>
      <c r="P2333" s="5"/>
      <c r="Q2333" s="21">
        <v>292.8</v>
      </c>
      <c r="R2333" s="21">
        <v>0</v>
      </c>
      <c r="S2333" s="5">
        <f t="shared" si="147"/>
        <v>7669.23712015199</v>
      </c>
      <c r="T2333" cm="1">
        <f t="array" ref="T2333">IF(OR(B2333="MAL ALIMI", B2333="ÜRETİM GİRİŞ"), MIN(I2333, MAX(0, I2333 + SUM(SUMIFS($I$1:I2332, $C$1:C2332, C2333, $B$1:B2332, {"MAL ALIMI","ÜRETİM GİRİŞ"})) - VLOOKUP(C2333, 'STOK RAPORU'!$C$2:$I$1000, 4, 0))), 0)</f>
        <v>0</v>
      </c>
      <c r="U2333" s="22">
        <f t="shared" si="144"/>
        <v>0</v>
      </c>
      <c r="V2333">
        <f t="shared" si="145"/>
        <v>0</v>
      </c>
      <c r="W2333" s="22">
        <f t="shared" si="146"/>
        <v>0</v>
      </c>
    </row>
    <row r="2334" spans="1:23" hidden="1" x14ac:dyDescent="0.25">
      <c r="A2334" s="3">
        <v>46011</v>
      </c>
      <c r="B2334" s="4" t="s">
        <v>334</v>
      </c>
      <c r="C2334" s="4" t="s">
        <v>601</v>
      </c>
      <c r="D2334" s="4"/>
      <c r="E2334" s="4"/>
      <c r="F2334" s="4" t="s">
        <v>1323</v>
      </c>
      <c r="G2334" s="4" t="s">
        <v>336</v>
      </c>
      <c r="H2334" s="4" t="s">
        <v>289</v>
      </c>
      <c r="I2334" s="4">
        <v>0.29399999999999998</v>
      </c>
      <c r="J2334" s="21">
        <v>550</v>
      </c>
      <c r="K2334" s="21">
        <v>0</v>
      </c>
      <c r="L2334" s="5">
        <v>0</v>
      </c>
      <c r="M2334" s="4"/>
      <c r="N2334" s="4"/>
      <c r="O2334" s="5"/>
      <c r="P2334" s="5"/>
      <c r="Q2334" s="21">
        <v>161.69999999999999</v>
      </c>
      <c r="R2334" s="21">
        <v>0</v>
      </c>
      <c r="S2334" s="5">
        <f t="shared" si="147"/>
        <v>7830.9371201519898</v>
      </c>
      <c r="T2334" cm="1">
        <f t="array" ref="T2334">IF(OR(B2334="MAL ALIMI", B2334="ÜRETİM GİRİŞ"), MIN(I2334, MAX(0, I2334 + SUM(SUMIFS($I$1:I2333, $C$1:C2333, C2334, $B$1:B2333, {"MAL ALIMI","ÜRETİM GİRİŞ"})) - VLOOKUP(C2334, 'STOK RAPORU'!$C$2:$I$1000, 4, 0))), 0)</f>
        <v>0</v>
      </c>
      <c r="U2334" s="22">
        <f t="shared" si="144"/>
        <v>0</v>
      </c>
      <c r="V2334">
        <f t="shared" si="145"/>
        <v>0</v>
      </c>
      <c r="W2334" s="22">
        <f t="shared" si="146"/>
        <v>0</v>
      </c>
    </row>
    <row r="2335" spans="1:23" hidden="1" x14ac:dyDescent="0.25">
      <c r="A2335" s="3">
        <v>46011</v>
      </c>
      <c r="B2335" s="4" t="s">
        <v>334</v>
      </c>
      <c r="C2335" s="4" t="s">
        <v>165</v>
      </c>
      <c r="D2335" s="4"/>
      <c r="E2335" s="4"/>
      <c r="F2335" s="4" t="s">
        <v>1323</v>
      </c>
      <c r="G2335" s="4" t="s">
        <v>336</v>
      </c>
      <c r="H2335" s="4" t="s">
        <v>289</v>
      </c>
      <c r="I2335" s="4">
        <v>0.1</v>
      </c>
      <c r="J2335" s="21">
        <v>250</v>
      </c>
      <c r="K2335" s="21">
        <v>0</v>
      </c>
      <c r="L2335" s="5">
        <v>0</v>
      </c>
      <c r="M2335" s="4"/>
      <c r="N2335" s="4"/>
      <c r="O2335" s="5"/>
      <c r="P2335" s="5"/>
      <c r="Q2335" s="21">
        <v>25</v>
      </c>
      <c r="R2335" s="21">
        <v>0</v>
      </c>
      <c r="S2335" s="5">
        <f t="shared" si="147"/>
        <v>7855.9371201519898</v>
      </c>
      <c r="T2335" cm="1">
        <f t="array" ref="T2335">IF(OR(B2335="MAL ALIMI", B2335="ÜRETİM GİRİŞ"), MIN(I2335, MAX(0, I2335 + SUM(SUMIFS($I$1:I2334, $C$1:C2334, C2335, $B$1:B2334, {"MAL ALIMI","ÜRETİM GİRİŞ"})) - VLOOKUP(C2335, 'STOK RAPORU'!$C$2:$I$1000, 4, 0))), 0)</f>
        <v>0</v>
      </c>
      <c r="U2335" s="22">
        <f t="shared" si="144"/>
        <v>0</v>
      </c>
      <c r="V2335">
        <f t="shared" si="145"/>
        <v>0</v>
      </c>
      <c r="W2335" s="22">
        <f t="shared" si="146"/>
        <v>0</v>
      </c>
    </row>
    <row r="2336" spans="1:23" hidden="1" x14ac:dyDescent="0.25">
      <c r="A2336" s="3">
        <v>46011</v>
      </c>
      <c r="B2336" s="4" t="s">
        <v>334</v>
      </c>
      <c r="C2336" s="4" t="s">
        <v>247</v>
      </c>
      <c r="D2336" s="4"/>
      <c r="E2336" s="4"/>
      <c r="F2336" s="4" t="s">
        <v>1323</v>
      </c>
      <c r="G2336" s="4" t="s">
        <v>336</v>
      </c>
      <c r="H2336" s="4" t="s">
        <v>289</v>
      </c>
      <c r="I2336" s="4">
        <v>0.25800000000000001</v>
      </c>
      <c r="J2336" s="21">
        <v>1200</v>
      </c>
      <c r="K2336" s="21">
        <v>0</v>
      </c>
      <c r="L2336" s="5">
        <v>0</v>
      </c>
      <c r="M2336" s="4"/>
      <c r="N2336" s="4"/>
      <c r="O2336" s="5"/>
      <c r="P2336" s="5"/>
      <c r="Q2336" s="21">
        <v>309.60000000000002</v>
      </c>
      <c r="R2336" s="21">
        <v>0</v>
      </c>
      <c r="S2336" s="5">
        <f t="shared" si="147"/>
        <v>8165.5371201519902</v>
      </c>
      <c r="T2336" cm="1">
        <f t="array" ref="T2336">IF(OR(B2336="MAL ALIMI", B2336="ÜRETİM GİRİŞ"), MIN(I2336, MAX(0, I2336 + SUM(SUMIFS($I$1:I2335, $C$1:C2335, C2336, $B$1:B2335, {"MAL ALIMI","ÜRETİM GİRİŞ"})) - VLOOKUP(C2336, 'STOK RAPORU'!$C$2:$I$1000, 4, 0))), 0)</f>
        <v>0</v>
      </c>
      <c r="U2336" s="22">
        <f t="shared" si="144"/>
        <v>0</v>
      </c>
      <c r="V2336">
        <f t="shared" si="145"/>
        <v>0</v>
      </c>
      <c r="W2336" s="22">
        <f t="shared" si="146"/>
        <v>0</v>
      </c>
    </row>
    <row r="2337" spans="1:23" hidden="1" x14ac:dyDescent="0.25">
      <c r="A2337" s="3">
        <v>46011</v>
      </c>
      <c r="B2337" s="4" t="s">
        <v>334</v>
      </c>
      <c r="C2337" s="4" t="s">
        <v>266</v>
      </c>
      <c r="D2337" s="4"/>
      <c r="E2337" s="4"/>
      <c r="F2337" s="4" t="s">
        <v>1323</v>
      </c>
      <c r="G2337" s="4" t="s">
        <v>336</v>
      </c>
      <c r="H2337" s="4" t="s">
        <v>289</v>
      </c>
      <c r="I2337" s="4">
        <v>0.36599999999999999</v>
      </c>
      <c r="J2337" s="21">
        <v>250</v>
      </c>
      <c r="K2337" s="21">
        <v>0</v>
      </c>
      <c r="L2337" s="5">
        <v>0</v>
      </c>
      <c r="M2337" s="4"/>
      <c r="N2337" s="4"/>
      <c r="O2337" s="5"/>
      <c r="P2337" s="5"/>
      <c r="Q2337" s="21">
        <v>91.5</v>
      </c>
      <c r="R2337" s="21">
        <v>0</v>
      </c>
      <c r="S2337" s="5">
        <f t="shared" si="147"/>
        <v>8257.0371201519902</v>
      </c>
      <c r="T2337" cm="1">
        <f t="array" ref="T2337">IF(OR(B2337="MAL ALIMI", B2337="ÜRETİM GİRİŞ"), MIN(I2337, MAX(0, I2337 + SUM(SUMIFS($I$1:I2336, $C$1:C2336, C2337, $B$1:B2336, {"MAL ALIMI","ÜRETİM GİRİŞ"})) - VLOOKUP(C2337, 'STOK RAPORU'!$C$2:$I$1000, 4, 0))), 0)</f>
        <v>0</v>
      </c>
      <c r="U2337" s="22">
        <f t="shared" si="144"/>
        <v>0</v>
      </c>
      <c r="V2337">
        <f t="shared" si="145"/>
        <v>0</v>
      </c>
      <c r="W2337" s="22">
        <f t="shared" si="146"/>
        <v>0</v>
      </c>
    </row>
    <row r="2338" spans="1:23" hidden="1" x14ac:dyDescent="0.25">
      <c r="A2338" s="3">
        <v>46011</v>
      </c>
      <c r="B2338" s="4" t="s">
        <v>334</v>
      </c>
      <c r="C2338" s="4" t="s">
        <v>3167</v>
      </c>
      <c r="D2338" s="4"/>
      <c r="E2338" s="4"/>
      <c r="F2338" s="4" t="s">
        <v>1323</v>
      </c>
      <c r="G2338" s="4" t="s">
        <v>336</v>
      </c>
      <c r="H2338" s="4" t="s">
        <v>289</v>
      </c>
      <c r="I2338" s="4">
        <v>0.13600000000000001</v>
      </c>
      <c r="J2338" s="21">
        <v>370</v>
      </c>
      <c r="K2338" s="21">
        <v>0</v>
      </c>
      <c r="L2338" s="5">
        <v>0</v>
      </c>
      <c r="M2338" s="4"/>
      <c r="N2338" s="4"/>
      <c r="O2338" s="5"/>
      <c r="P2338" s="5"/>
      <c r="Q2338" s="21">
        <v>50.32</v>
      </c>
      <c r="R2338" s="21">
        <v>0</v>
      </c>
      <c r="S2338" s="5">
        <f t="shared" si="147"/>
        <v>8307.3571201519899</v>
      </c>
      <c r="T2338" cm="1">
        <f t="array" ref="T2338">IF(OR(B2338="MAL ALIMI", B2338="ÜRETİM GİRİŞ"), MIN(I2338, MAX(0, I2338 + SUM(SUMIFS($I$1:I2337, $C$1:C2337, C2338, $B$1:B2337, {"MAL ALIMI","ÜRETİM GİRİŞ"})) - VLOOKUP(C2338, 'STOK RAPORU'!$C$2:$I$1000, 4, 0))), 0)</f>
        <v>0</v>
      </c>
      <c r="U2338" s="22">
        <f t="shared" si="144"/>
        <v>0</v>
      </c>
      <c r="V2338">
        <f t="shared" si="145"/>
        <v>0</v>
      </c>
      <c r="W2338" s="22">
        <f t="shared" si="146"/>
        <v>0</v>
      </c>
    </row>
    <row r="2339" spans="1:23" hidden="1" x14ac:dyDescent="0.25">
      <c r="A2339" s="3">
        <v>46011</v>
      </c>
      <c r="B2339" s="4" t="s">
        <v>334</v>
      </c>
      <c r="C2339" s="4" t="s">
        <v>133</v>
      </c>
      <c r="D2339" s="4"/>
      <c r="E2339" s="4"/>
      <c r="F2339" s="4" t="s">
        <v>1323</v>
      </c>
      <c r="G2339" s="4" t="s">
        <v>336</v>
      </c>
      <c r="H2339" s="4" t="s">
        <v>289</v>
      </c>
      <c r="I2339" s="4">
        <v>0.13200000000000001</v>
      </c>
      <c r="J2339" s="21">
        <v>380</v>
      </c>
      <c r="K2339" s="21">
        <v>0</v>
      </c>
      <c r="L2339" s="5">
        <v>0</v>
      </c>
      <c r="M2339" s="4"/>
      <c r="N2339" s="4"/>
      <c r="O2339" s="5"/>
      <c r="P2339" s="5"/>
      <c r="Q2339" s="21">
        <v>50.160000000000004</v>
      </c>
      <c r="R2339" s="21">
        <v>0</v>
      </c>
      <c r="S2339" s="5">
        <f t="shared" si="147"/>
        <v>8357.5171201519897</v>
      </c>
      <c r="T2339" cm="1">
        <f t="array" ref="T2339">IF(OR(B2339="MAL ALIMI", B2339="ÜRETİM GİRİŞ"), MIN(I2339, MAX(0, I2339 + SUM(SUMIFS($I$1:I2338, $C$1:C2338, C2339, $B$1:B2338, {"MAL ALIMI","ÜRETİM GİRİŞ"})) - VLOOKUP(C2339, 'STOK RAPORU'!$C$2:$I$1000, 4, 0))), 0)</f>
        <v>0</v>
      </c>
      <c r="U2339" s="22">
        <f t="shared" si="144"/>
        <v>0</v>
      </c>
      <c r="V2339">
        <f t="shared" si="145"/>
        <v>0</v>
      </c>
      <c r="W2339" s="22">
        <f t="shared" si="146"/>
        <v>0</v>
      </c>
    </row>
    <row r="2340" spans="1:23" hidden="1" x14ac:dyDescent="0.25">
      <c r="A2340" s="3">
        <v>46011</v>
      </c>
      <c r="B2340" s="4" t="s">
        <v>334</v>
      </c>
      <c r="C2340" s="4" t="s">
        <v>251</v>
      </c>
      <c r="D2340" s="4"/>
      <c r="E2340" s="4"/>
      <c r="F2340" s="4" t="s">
        <v>1323</v>
      </c>
      <c r="G2340" s="4" t="s">
        <v>336</v>
      </c>
      <c r="H2340" s="4" t="s">
        <v>289</v>
      </c>
      <c r="I2340" s="4">
        <v>0.154</v>
      </c>
      <c r="J2340" s="21">
        <v>670</v>
      </c>
      <c r="K2340" s="21">
        <v>0</v>
      </c>
      <c r="L2340" s="5">
        <v>0</v>
      </c>
      <c r="M2340" s="4"/>
      <c r="N2340" s="4"/>
      <c r="O2340" s="5"/>
      <c r="P2340" s="5"/>
      <c r="Q2340" s="21">
        <v>103.17999999999999</v>
      </c>
      <c r="R2340" s="21">
        <v>0</v>
      </c>
      <c r="S2340" s="5">
        <f t="shared" si="147"/>
        <v>8460.69712015199</v>
      </c>
      <c r="T2340" cm="1">
        <f t="array" ref="T2340">IF(OR(B2340="MAL ALIMI", B2340="ÜRETİM GİRİŞ"), MIN(I2340, MAX(0, I2340 + SUM(SUMIFS($I$1:I2339, $C$1:C2339, C2340, $B$1:B2339, {"MAL ALIMI","ÜRETİM GİRİŞ"})) - VLOOKUP(C2340, 'STOK RAPORU'!$C$2:$I$1000, 4, 0))), 0)</f>
        <v>0</v>
      </c>
      <c r="U2340" s="22">
        <f t="shared" si="144"/>
        <v>0</v>
      </c>
      <c r="V2340">
        <f t="shared" si="145"/>
        <v>0</v>
      </c>
      <c r="W2340" s="22">
        <f t="shared" si="146"/>
        <v>0</v>
      </c>
    </row>
    <row r="2341" spans="1:23" hidden="1" x14ac:dyDescent="0.25">
      <c r="A2341" s="3">
        <v>46011</v>
      </c>
      <c r="B2341" s="4" t="s">
        <v>334</v>
      </c>
      <c r="C2341" s="4" t="s">
        <v>140</v>
      </c>
      <c r="D2341" s="4"/>
      <c r="E2341" s="4"/>
      <c r="F2341" s="4" t="s">
        <v>1324</v>
      </c>
      <c r="G2341" s="4" t="s">
        <v>336</v>
      </c>
      <c r="H2341" s="4" t="s">
        <v>289</v>
      </c>
      <c r="I2341" s="4">
        <v>0.11700000000000001</v>
      </c>
      <c r="J2341" s="21">
        <v>300</v>
      </c>
      <c r="K2341" s="21">
        <v>0</v>
      </c>
      <c r="L2341" s="5">
        <v>0</v>
      </c>
      <c r="M2341" s="4"/>
      <c r="N2341" s="4"/>
      <c r="O2341" s="5"/>
      <c r="P2341" s="5"/>
      <c r="Q2341" s="21">
        <v>35.1</v>
      </c>
      <c r="R2341" s="21">
        <v>0</v>
      </c>
      <c r="S2341" s="5">
        <f t="shared" si="147"/>
        <v>8495.7971201519904</v>
      </c>
      <c r="T2341" cm="1">
        <f t="array" ref="T2341">IF(OR(B2341="MAL ALIMI", B2341="ÜRETİM GİRİŞ"), MIN(I2341, MAX(0, I2341 + SUM(SUMIFS($I$1:I2340, $C$1:C2340, C2341, $B$1:B2340, {"MAL ALIMI","ÜRETİM GİRİŞ"})) - VLOOKUP(C2341, 'STOK RAPORU'!$C$2:$I$1000, 4, 0))), 0)</f>
        <v>0</v>
      </c>
      <c r="U2341" s="22">
        <f t="shared" si="144"/>
        <v>0</v>
      </c>
      <c r="V2341">
        <f t="shared" si="145"/>
        <v>0</v>
      </c>
      <c r="W2341" s="22">
        <f t="shared" si="146"/>
        <v>0</v>
      </c>
    </row>
    <row r="2342" spans="1:23" hidden="1" x14ac:dyDescent="0.25">
      <c r="A2342" s="3">
        <v>46011</v>
      </c>
      <c r="B2342" s="4" t="s">
        <v>334</v>
      </c>
      <c r="C2342" s="4" t="s">
        <v>248</v>
      </c>
      <c r="D2342" s="4"/>
      <c r="E2342" s="4"/>
      <c r="F2342" s="4" t="s">
        <v>1324</v>
      </c>
      <c r="G2342" s="4" t="s">
        <v>336</v>
      </c>
      <c r="H2342" s="4" t="s">
        <v>289</v>
      </c>
      <c r="I2342" s="4">
        <v>0.1</v>
      </c>
      <c r="J2342" s="21">
        <v>1000</v>
      </c>
      <c r="K2342" s="21">
        <v>0</v>
      </c>
      <c r="L2342" s="5">
        <v>0</v>
      </c>
      <c r="M2342" s="4"/>
      <c r="N2342" s="4"/>
      <c r="O2342" s="5"/>
      <c r="P2342" s="5"/>
      <c r="Q2342" s="21">
        <v>100</v>
      </c>
      <c r="R2342" s="21">
        <v>0</v>
      </c>
      <c r="S2342" s="5">
        <f t="shared" si="147"/>
        <v>8595.7971201519904</v>
      </c>
      <c r="T2342" cm="1">
        <f t="array" ref="T2342">IF(OR(B2342="MAL ALIMI", B2342="ÜRETİM GİRİŞ"), MIN(I2342, MAX(0, I2342 + SUM(SUMIFS($I$1:I2341, $C$1:C2341, C2342, $B$1:B2341, {"MAL ALIMI","ÜRETİM GİRİŞ"})) - VLOOKUP(C2342, 'STOK RAPORU'!$C$2:$I$1000, 4, 0))), 0)</f>
        <v>0</v>
      </c>
      <c r="U2342" s="22">
        <f t="shared" si="144"/>
        <v>0</v>
      </c>
      <c r="V2342">
        <f t="shared" si="145"/>
        <v>0</v>
      </c>
      <c r="W2342" s="22">
        <f t="shared" si="146"/>
        <v>0</v>
      </c>
    </row>
    <row r="2343" spans="1:23" hidden="1" x14ac:dyDescent="0.25">
      <c r="A2343" s="3">
        <v>46011</v>
      </c>
      <c r="B2343" s="4" t="s">
        <v>334</v>
      </c>
      <c r="C2343" s="4" t="s">
        <v>132</v>
      </c>
      <c r="D2343" s="4"/>
      <c r="E2343" s="4"/>
      <c r="F2343" s="4" t="s">
        <v>1325</v>
      </c>
      <c r="G2343" s="4" t="s">
        <v>336</v>
      </c>
      <c r="H2343" s="4" t="s">
        <v>289</v>
      </c>
      <c r="I2343" s="4">
        <v>0.28000000000000003</v>
      </c>
      <c r="J2343" s="21">
        <v>500</v>
      </c>
      <c r="K2343" s="21">
        <v>0</v>
      </c>
      <c r="L2343" s="5">
        <v>0</v>
      </c>
      <c r="M2343" s="4"/>
      <c r="N2343" s="4"/>
      <c r="O2343" s="5"/>
      <c r="P2343" s="5"/>
      <c r="Q2343" s="21">
        <v>140</v>
      </c>
      <c r="R2343" s="21">
        <v>0</v>
      </c>
      <c r="S2343" s="5">
        <f t="shared" si="147"/>
        <v>8735.7971201519904</v>
      </c>
      <c r="T2343" cm="1">
        <f t="array" ref="T2343">IF(OR(B2343="MAL ALIMI", B2343="ÜRETİM GİRİŞ"), MIN(I2343, MAX(0, I2343 + SUM(SUMIFS($I$1:I2342, $C$1:C2342, C2343, $B$1:B2342, {"MAL ALIMI","ÜRETİM GİRİŞ"})) - VLOOKUP(C2343, 'STOK RAPORU'!$C$2:$I$1000, 4, 0))), 0)</f>
        <v>0</v>
      </c>
      <c r="U2343" s="22">
        <f t="shared" si="144"/>
        <v>0</v>
      </c>
      <c r="V2343">
        <f t="shared" si="145"/>
        <v>0</v>
      </c>
      <c r="W2343" s="22">
        <f t="shared" si="146"/>
        <v>0</v>
      </c>
    </row>
    <row r="2344" spans="1:23" hidden="1" x14ac:dyDescent="0.25">
      <c r="A2344" s="3">
        <v>46011</v>
      </c>
      <c r="B2344" s="4" t="s">
        <v>334</v>
      </c>
      <c r="C2344" s="4" t="s">
        <v>3167</v>
      </c>
      <c r="D2344" s="4"/>
      <c r="E2344" s="4"/>
      <c r="F2344" s="4" t="s">
        <v>1331</v>
      </c>
      <c r="G2344" s="4" t="s">
        <v>336</v>
      </c>
      <c r="H2344" s="4" t="s">
        <v>289</v>
      </c>
      <c r="I2344" s="4">
        <v>9.1999999999999998E-2</v>
      </c>
      <c r="J2344" s="21">
        <v>370</v>
      </c>
      <c r="K2344" s="21">
        <v>0</v>
      </c>
      <c r="L2344" s="5">
        <v>0</v>
      </c>
      <c r="M2344" s="4"/>
      <c r="N2344" s="4"/>
      <c r="O2344" s="5"/>
      <c r="P2344" s="5"/>
      <c r="Q2344" s="21">
        <v>34.04</v>
      </c>
      <c r="R2344" s="21">
        <v>0</v>
      </c>
      <c r="S2344" s="5">
        <f t="shared" si="147"/>
        <v>8769.8371201519913</v>
      </c>
      <c r="T2344" cm="1">
        <f t="array" ref="T2344">IF(OR(B2344="MAL ALIMI", B2344="ÜRETİM GİRİŞ"), MIN(I2344, MAX(0, I2344 + SUM(SUMIFS($I$1:I2343, $C$1:C2343, C2344, $B$1:B2343, {"MAL ALIMI","ÜRETİM GİRİŞ"})) - VLOOKUP(C2344, 'STOK RAPORU'!$C$2:$I$1000, 4, 0))), 0)</f>
        <v>0</v>
      </c>
      <c r="U2344" s="22">
        <f t="shared" si="144"/>
        <v>0</v>
      </c>
      <c r="V2344">
        <f t="shared" si="145"/>
        <v>0</v>
      </c>
      <c r="W2344" s="22">
        <f t="shared" si="146"/>
        <v>0</v>
      </c>
    </row>
    <row r="2345" spans="1:23" hidden="1" x14ac:dyDescent="0.25">
      <c r="A2345" s="3">
        <v>46011</v>
      </c>
      <c r="B2345" s="4" t="s">
        <v>334</v>
      </c>
      <c r="C2345" s="4" t="s">
        <v>92</v>
      </c>
      <c r="D2345" s="4"/>
      <c r="E2345" s="4"/>
      <c r="F2345" s="4" t="s">
        <v>1331</v>
      </c>
      <c r="G2345" s="4" t="s">
        <v>336</v>
      </c>
      <c r="H2345" s="4" t="s">
        <v>289</v>
      </c>
      <c r="I2345" s="4">
        <v>0.126</v>
      </c>
      <c r="J2345" s="21">
        <v>500</v>
      </c>
      <c r="K2345" s="21">
        <v>0</v>
      </c>
      <c r="L2345" s="5">
        <v>0</v>
      </c>
      <c r="M2345" s="4"/>
      <c r="N2345" s="4"/>
      <c r="O2345" s="5"/>
      <c r="P2345" s="5"/>
      <c r="Q2345" s="21">
        <v>63</v>
      </c>
      <c r="R2345" s="21">
        <v>0</v>
      </c>
      <c r="S2345" s="5">
        <f t="shared" si="147"/>
        <v>8832.8371201519913</v>
      </c>
      <c r="T2345" cm="1">
        <f t="array" ref="T2345">IF(OR(B2345="MAL ALIMI", B2345="ÜRETİM GİRİŞ"), MIN(I2345, MAX(0, I2345 + SUM(SUMIFS($I$1:I2344, $C$1:C2344, C2345, $B$1:B2344, {"MAL ALIMI","ÜRETİM GİRİŞ"})) - VLOOKUP(C2345, 'STOK RAPORU'!$C$2:$I$1000, 4, 0))), 0)</f>
        <v>0</v>
      </c>
      <c r="U2345" s="22">
        <f t="shared" si="144"/>
        <v>0</v>
      </c>
      <c r="V2345">
        <f t="shared" si="145"/>
        <v>0</v>
      </c>
      <c r="W2345" s="22">
        <f t="shared" si="146"/>
        <v>0</v>
      </c>
    </row>
    <row r="2346" spans="1:23" hidden="1" x14ac:dyDescent="0.25">
      <c r="A2346" s="3">
        <v>46011</v>
      </c>
      <c r="B2346" s="4" t="s">
        <v>334</v>
      </c>
      <c r="C2346" s="4" t="s">
        <v>91</v>
      </c>
      <c r="D2346" s="4"/>
      <c r="E2346" s="4"/>
      <c r="F2346" s="4" t="s">
        <v>1331</v>
      </c>
      <c r="G2346" s="4" t="s">
        <v>336</v>
      </c>
      <c r="H2346" s="4" t="s">
        <v>289</v>
      </c>
      <c r="I2346" s="4">
        <v>2.5999999999999999E-2</v>
      </c>
      <c r="J2346" s="21">
        <v>760</v>
      </c>
      <c r="K2346" s="21">
        <v>0</v>
      </c>
      <c r="L2346" s="5">
        <v>0</v>
      </c>
      <c r="M2346" s="4"/>
      <c r="N2346" s="4"/>
      <c r="O2346" s="5"/>
      <c r="P2346" s="5"/>
      <c r="Q2346" s="21">
        <v>19.759999999999998</v>
      </c>
      <c r="R2346" s="21">
        <v>0</v>
      </c>
      <c r="S2346" s="5">
        <f t="shared" si="147"/>
        <v>8852.5971201519915</v>
      </c>
      <c r="T2346" cm="1">
        <f t="array" ref="T2346">IF(OR(B2346="MAL ALIMI", B2346="ÜRETİM GİRİŞ"), MIN(I2346, MAX(0, I2346 + SUM(SUMIFS($I$1:I2345, $C$1:C2345, C2346, $B$1:B2345, {"MAL ALIMI","ÜRETİM GİRİŞ"})) - VLOOKUP(C2346, 'STOK RAPORU'!$C$2:$I$1000, 4, 0))), 0)</f>
        <v>0</v>
      </c>
      <c r="U2346" s="22">
        <f t="shared" si="144"/>
        <v>0</v>
      </c>
      <c r="V2346">
        <f t="shared" si="145"/>
        <v>0</v>
      </c>
      <c r="W2346" s="22">
        <f t="shared" si="146"/>
        <v>0</v>
      </c>
    </row>
    <row r="2347" spans="1:23" hidden="1" x14ac:dyDescent="0.25">
      <c r="A2347" s="3">
        <v>46011</v>
      </c>
      <c r="B2347" s="4" t="s">
        <v>334</v>
      </c>
      <c r="C2347" s="4" t="s">
        <v>195</v>
      </c>
      <c r="D2347" s="4"/>
      <c r="E2347" s="4"/>
      <c r="F2347" s="4" t="s">
        <v>1331</v>
      </c>
      <c r="G2347" s="4" t="s">
        <v>336</v>
      </c>
      <c r="H2347" s="4" t="s">
        <v>289</v>
      </c>
      <c r="I2347" s="4">
        <v>5.3999999999999999E-2</v>
      </c>
      <c r="J2347" s="21">
        <v>1000</v>
      </c>
      <c r="K2347" s="21">
        <v>0</v>
      </c>
      <c r="L2347" s="5">
        <v>0</v>
      </c>
      <c r="M2347" s="4"/>
      <c r="N2347" s="4"/>
      <c r="O2347" s="5"/>
      <c r="P2347" s="5"/>
      <c r="Q2347" s="21">
        <v>54</v>
      </c>
      <c r="R2347" s="21">
        <v>0</v>
      </c>
      <c r="S2347" s="5">
        <f t="shared" si="147"/>
        <v>8906.5971201519915</v>
      </c>
      <c r="T2347" cm="1">
        <f t="array" ref="T2347">IF(OR(B2347="MAL ALIMI", B2347="ÜRETİM GİRİŞ"), MIN(I2347, MAX(0, I2347 + SUM(SUMIFS($I$1:I2346, $C$1:C2346, C2347, $B$1:B2346, {"MAL ALIMI","ÜRETİM GİRİŞ"})) - VLOOKUP(C2347, 'STOK RAPORU'!$C$2:$I$1000, 4, 0))), 0)</f>
        <v>0</v>
      </c>
      <c r="U2347" s="22">
        <f t="shared" si="144"/>
        <v>0</v>
      </c>
      <c r="V2347">
        <f t="shared" si="145"/>
        <v>0</v>
      </c>
      <c r="W2347" s="22">
        <f t="shared" si="146"/>
        <v>0</v>
      </c>
    </row>
    <row r="2348" spans="1:23" hidden="1" x14ac:dyDescent="0.25">
      <c r="A2348" s="3">
        <v>46011</v>
      </c>
      <c r="B2348" s="4" t="s">
        <v>334</v>
      </c>
      <c r="C2348" s="4" t="s">
        <v>219</v>
      </c>
      <c r="D2348" s="4"/>
      <c r="E2348" s="4"/>
      <c r="F2348" s="4" t="s">
        <v>1331</v>
      </c>
      <c r="G2348" s="4" t="s">
        <v>336</v>
      </c>
      <c r="H2348" s="4" t="s">
        <v>289</v>
      </c>
      <c r="I2348" s="4">
        <v>2.4E-2</v>
      </c>
      <c r="J2348" s="21">
        <v>2000</v>
      </c>
      <c r="K2348" s="21">
        <v>0</v>
      </c>
      <c r="L2348" s="5">
        <v>0</v>
      </c>
      <c r="M2348" s="4"/>
      <c r="N2348" s="4"/>
      <c r="O2348" s="5"/>
      <c r="P2348" s="5"/>
      <c r="Q2348" s="21">
        <v>48</v>
      </c>
      <c r="R2348" s="21">
        <v>0</v>
      </c>
      <c r="S2348" s="5">
        <f t="shared" si="147"/>
        <v>8954.5971201519915</v>
      </c>
      <c r="T2348" cm="1">
        <f t="array" ref="T2348">IF(OR(B2348="MAL ALIMI", B2348="ÜRETİM GİRİŞ"), MIN(I2348, MAX(0, I2348 + SUM(SUMIFS($I$1:I2347, $C$1:C2347, C2348, $B$1:B2347, {"MAL ALIMI","ÜRETİM GİRİŞ"})) - VLOOKUP(C2348, 'STOK RAPORU'!$C$2:$I$1000, 4, 0))), 0)</f>
        <v>0</v>
      </c>
      <c r="U2348" s="22">
        <f t="shared" si="144"/>
        <v>0</v>
      </c>
      <c r="V2348">
        <f t="shared" si="145"/>
        <v>0</v>
      </c>
      <c r="W2348" s="22">
        <f t="shared" si="146"/>
        <v>0</v>
      </c>
    </row>
    <row r="2349" spans="1:23" hidden="1" x14ac:dyDescent="0.25">
      <c r="A2349" s="3">
        <v>46011</v>
      </c>
      <c r="B2349" s="4" t="s">
        <v>334</v>
      </c>
      <c r="C2349" s="4" t="s">
        <v>224</v>
      </c>
      <c r="D2349" s="4"/>
      <c r="E2349" s="4"/>
      <c r="F2349" s="4" t="s">
        <v>1331</v>
      </c>
      <c r="G2349" s="4" t="s">
        <v>336</v>
      </c>
      <c r="H2349" s="4" t="s">
        <v>289</v>
      </c>
      <c r="I2349" s="4">
        <v>0.1</v>
      </c>
      <c r="J2349" s="21">
        <v>900</v>
      </c>
      <c r="K2349" s="21">
        <v>0</v>
      </c>
      <c r="L2349" s="5">
        <v>0</v>
      </c>
      <c r="M2349" s="4"/>
      <c r="N2349" s="4"/>
      <c r="O2349" s="5"/>
      <c r="P2349" s="5"/>
      <c r="Q2349" s="21">
        <v>90</v>
      </c>
      <c r="R2349" s="21">
        <v>0</v>
      </c>
      <c r="S2349" s="5">
        <f t="shared" si="147"/>
        <v>9044.5971201519915</v>
      </c>
      <c r="T2349" cm="1">
        <f t="array" ref="T2349">IF(OR(B2349="MAL ALIMI", B2349="ÜRETİM GİRİŞ"), MIN(I2349, MAX(0, I2349 + SUM(SUMIFS($I$1:I2348, $C$1:C2348, C2349, $B$1:B2348, {"MAL ALIMI","ÜRETİM GİRİŞ"})) - VLOOKUP(C2349, 'STOK RAPORU'!$C$2:$I$1000, 4, 0))), 0)</f>
        <v>0</v>
      </c>
      <c r="U2349" s="22">
        <f t="shared" si="144"/>
        <v>0</v>
      </c>
      <c r="V2349">
        <f t="shared" si="145"/>
        <v>0</v>
      </c>
      <c r="W2349" s="22">
        <f t="shared" si="146"/>
        <v>0</v>
      </c>
    </row>
    <row r="2350" spans="1:23" hidden="1" x14ac:dyDescent="0.25">
      <c r="A2350" s="3">
        <v>46011</v>
      </c>
      <c r="B2350" s="4" t="s">
        <v>334</v>
      </c>
      <c r="C2350" s="4" t="s">
        <v>239</v>
      </c>
      <c r="D2350" s="4"/>
      <c r="E2350" s="4"/>
      <c r="F2350" s="4" t="s">
        <v>1331</v>
      </c>
      <c r="G2350" s="4" t="s">
        <v>336</v>
      </c>
      <c r="H2350" s="4" t="s">
        <v>289</v>
      </c>
      <c r="I2350" s="4">
        <v>9.8000000000000004E-2</v>
      </c>
      <c r="J2350" s="21">
        <v>420</v>
      </c>
      <c r="K2350" s="21">
        <v>0</v>
      </c>
      <c r="L2350" s="5">
        <v>0</v>
      </c>
      <c r="M2350" s="4"/>
      <c r="N2350" s="4"/>
      <c r="O2350" s="5"/>
      <c r="P2350" s="5"/>
      <c r="Q2350" s="21">
        <v>41.160000000000004</v>
      </c>
      <c r="R2350" s="21">
        <v>0</v>
      </c>
      <c r="S2350" s="5">
        <f t="shared" si="147"/>
        <v>9085.7571201519913</v>
      </c>
      <c r="T2350" cm="1">
        <f t="array" ref="T2350">IF(OR(B2350="MAL ALIMI", B2350="ÜRETİM GİRİŞ"), MIN(I2350, MAX(0, I2350 + SUM(SUMIFS($I$1:I2349, $C$1:C2349, C2350, $B$1:B2349, {"MAL ALIMI","ÜRETİM GİRİŞ"})) - VLOOKUP(C2350, 'STOK RAPORU'!$C$2:$I$1000, 4, 0))), 0)</f>
        <v>0</v>
      </c>
      <c r="U2350" s="22">
        <f t="shared" si="144"/>
        <v>0</v>
      </c>
      <c r="V2350">
        <f t="shared" si="145"/>
        <v>0</v>
      </c>
      <c r="W2350" s="22">
        <f t="shared" si="146"/>
        <v>0</v>
      </c>
    </row>
    <row r="2351" spans="1:23" hidden="1" x14ac:dyDescent="0.25">
      <c r="A2351" s="3">
        <v>46011</v>
      </c>
      <c r="B2351" s="4" t="s">
        <v>334</v>
      </c>
      <c r="C2351" s="4" t="s">
        <v>214</v>
      </c>
      <c r="D2351" s="4"/>
      <c r="E2351" s="4"/>
      <c r="F2351" s="4" t="s">
        <v>1331</v>
      </c>
      <c r="G2351" s="4" t="s">
        <v>336</v>
      </c>
      <c r="H2351" s="4" t="s">
        <v>289</v>
      </c>
      <c r="I2351" s="4">
        <v>0.122</v>
      </c>
      <c r="J2351" s="21">
        <v>900</v>
      </c>
      <c r="K2351" s="21">
        <v>0</v>
      </c>
      <c r="L2351" s="5">
        <v>0</v>
      </c>
      <c r="M2351" s="4"/>
      <c r="N2351" s="4"/>
      <c r="O2351" s="5"/>
      <c r="P2351" s="5"/>
      <c r="Q2351" s="21">
        <v>109.8</v>
      </c>
      <c r="R2351" s="21">
        <v>0</v>
      </c>
      <c r="S2351" s="5">
        <f t="shared" si="147"/>
        <v>9195.5571201519906</v>
      </c>
      <c r="T2351" cm="1">
        <f t="array" ref="T2351">IF(OR(B2351="MAL ALIMI", B2351="ÜRETİM GİRİŞ"), MIN(I2351, MAX(0, I2351 + SUM(SUMIFS($I$1:I2350, $C$1:C2350, C2351, $B$1:B2350, {"MAL ALIMI","ÜRETİM GİRİŞ"})) - VLOOKUP(C2351, 'STOK RAPORU'!$C$2:$I$1000, 4, 0))), 0)</f>
        <v>0</v>
      </c>
      <c r="U2351" s="22">
        <f t="shared" si="144"/>
        <v>0</v>
      </c>
      <c r="V2351">
        <f t="shared" si="145"/>
        <v>0</v>
      </c>
      <c r="W2351" s="22">
        <f t="shared" si="146"/>
        <v>0</v>
      </c>
    </row>
    <row r="2352" spans="1:23" hidden="1" x14ac:dyDescent="0.25">
      <c r="A2352" s="3">
        <v>46011</v>
      </c>
      <c r="B2352" s="4" t="s">
        <v>334</v>
      </c>
      <c r="C2352" s="4" t="s">
        <v>1127</v>
      </c>
      <c r="D2352" s="4"/>
      <c r="E2352" s="4"/>
      <c r="F2352" s="4" t="s">
        <v>1331</v>
      </c>
      <c r="G2352" s="4" t="s">
        <v>336</v>
      </c>
      <c r="H2352" s="4" t="s">
        <v>289</v>
      </c>
      <c r="I2352" s="4">
        <v>1</v>
      </c>
      <c r="J2352" s="21">
        <v>350</v>
      </c>
      <c r="K2352" s="21">
        <v>0</v>
      </c>
      <c r="L2352" s="5">
        <v>0</v>
      </c>
      <c r="M2352" s="4"/>
      <c r="N2352" s="4"/>
      <c r="O2352" s="5"/>
      <c r="P2352" s="5"/>
      <c r="Q2352" s="21">
        <v>350</v>
      </c>
      <c r="R2352" s="21">
        <v>0</v>
      </c>
      <c r="S2352" s="5">
        <f t="shared" si="147"/>
        <v>9545.5571201519906</v>
      </c>
      <c r="T2352" cm="1">
        <f t="array" ref="T2352">IF(OR(B2352="MAL ALIMI", B2352="ÜRETİM GİRİŞ"), MIN(I2352, MAX(0, I2352 + SUM(SUMIFS($I$1:I2351, $C$1:C2351, C2352, $B$1:B2351, {"MAL ALIMI","ÜRETİM GİRİŞ"})) - VLOOKUP(C2352, 'STOK RAPORU'!$C$2:$I$1000, 4, 0))), 0)</f>
        <v>0</v>
      </c>
      <c r="U2352" s="22">
        <f t="shared" si="144"/>
        <v>0</v>
      </c>
      <c r="V2352">
        <f t="shared" si="145"/>
        <v>0</v>
      </c>
      <c r="W2352" s="22">
        <f t="shared" si="146"/>
        <v>0</v>
      </c>
    </row>
    <row r="2353" spans="1:23" hidden="1" x14ac:dyDescent="0.25">
      <c r="A2353" s="3">
        <v>46011</v>
      </c>
      <c r="B2353" s="4" t="s">
        <v>334</v>
      </c>
      <c r="C2353" s="4" t="s">
        <v>529</v>
      </c>
      <c r="D2353" s="4"/>
      <c r="E2353" s="4"/>
      <c r="F2353" s="4" t="s">
        <v>1331</v>
      </c>
      <c r="G2353" s="4" t="s">
        <v>336</v>
      </c>
      <c r="H2353" s="4" t="s">
        <v>289</v>
      </c>
      <c r="I2353" s="4">
        <v>0.1</v>
      </c>
      <c r="J2353" s="21">
        <v>600</v>
      </c>
      <c r="K2353" s="21">
        <v>0</v>
      </c>
      <c r="L2353" s="5">
        <v>0</v>
      </c>
      <c r="M2353" s="4"/>
      <c r="N2353" s="4"/>
      <c r="O2353" s="5"/>
      <c r="P2353" s="5"/>
      <c r="Q2353" s="21">
        <v>60</v>
      </c>
      <c r="R2353" s="21">
        <v>0</v>
      </c>
      <c r="S2353" s="5">
        <f t="shared" si="147"/>
        <v>9605.5571201519906</v>
      </c>
      <c r="T2353" cm="1">
        <f t="array" ref="T2353">IF(OR(B2353="MAL ALIMI", B2353="ÜRETİM GİRİŞ"), MIN(I2353, MAX(0, I2353 + SUM(SUMIFS($I$1:I2352, $C$1:C2352, C2353, $B$1:B2352, {"MAL ALIMI","ÜRETİM GİRİŞ"})) - VLOOKUP(C2353, 'STOK RAPORU'!$C$2:$I$1000, 4, 0))), 0)</f>
        <v>0</v>
      </c>
      <c r="U2353" s="22">
        <f t="shared" si="144"/>
        <v>0</v>
      </c>
      <c r="V2353">
        <f t="shared" si="145"/>
        <v>0</v>
      </c>
      <c r="W2353" s="22">
        <f t="shared" si="146"/>
        <v>0</v>
      </c>
    </row>
    <row r="2354" spans="1:23" hidden="1" x14ac:dyDescent="0.25">
      <c r="A2354" s="3">
        <v>46011</v>
      </c>
      <c r="B2354" s="4" t="s">
        <v>334</v>
      </c>
      <c r="C2354" s="4" t="s">
        <v>729</v>
      </c>
      <c r="D2354" s="4"/>
      <c r="E2354" s="4"/>
      <c r="F2354" s="4" t="s">
        <v>1331</v>
      </c>
      <c r="G2354" s="4" t="s">
        <v>336</v>
      </c>
      <c r="H2354" s="4" t="s">
        <v>289</v>
      </c>
      <c r="I2354" s="4">
        <v>1</v>
      </c>
      <c r="J2354" s="21">
        <v>90</v>
      </c>
      <c r="K2354" s="21">
        <v>0</v>
      </c>
      <c r="L2354" s="5">
        <v>0</v>
      </c>
      <c r="M2354" s="4"/>
      <c r="N2354" s="4"/>
      <c r="O2354" s="5"/>
      <c r="P2354" s="5"/>
      <c r="Q2354" s="21">
        <v>90</v>
      </c>
      <c r="R2354" s="21">
        <v>0</v>
      </c>
      <c r="S2354" s="5">
        <f t="shared" si="147"/>
        <v>9695.5571201519906</v>
      </c>
      <c r="T2354" cm="1">
        <f t="array" ref="T2354">IF(OR(B2354="MAL ALIMI", B2354="ÜRETİM GİRİŞ"), MIN(I2354, MAX(0, I2354 + SUM(SUMIFS($I$1:I2353, $C$1:C2353, C2354, $B$1:B2353, {"MAL ALIMI","ÜRETİM GİRİŞ"})) - VLOOKUP(C2354, 'STOK RAPORU'!$C$2:$I$1000, 4, 0))), 0)</f>
        <v>0</v>
      </c>
      <c r="U2354" s="22">
        <f t="shared" si="144"/>
        <v>0</v>
      </c>
      <c r="V2354">
        <f t="shared" si="145"/>
        <v>0</v>
      </c>
      <c r="W2354" s="22">
        <f t="shared" si="146"/>
        <v>0</v>
      </c>
    </row>
    <row r="2355" spans="1:23" hidden="1" x14ac:dyDescent="0.25">
      <c r="A2355" s="3">
        <v>46011</v>
      </c>
      <c r="B2355" s="4" t="s">
        <v>334</v>
      </c>
      <c r="C2355" s="4" t="s">
        <v>1143</v>
      </c>
      <c r="D2355" s="4"/>
      <c r="E2355" s="4"/>
      <c r="F2355" s="4" t="s">
        <v>1331</v>
      </c>
      <c r="G2355" s="4" t="s">
        <v>336</v>
      </c>
      <c r="H2355" s="4" t="s">
        <v>289</v>
      </c>
      <c r="I2355" s="4">
        <v>1</v>
      </c>
      <c r="J2355" s="21">
        <v>135</v>
      </c>
      <c r="K2355" s="21">
        <v>0</v>
      </c>
      <c r="L2355" s="5">
        <v>0</v>
      </c>
      <c r="M2355" s="4"/>
      <c r="N2355" s="4"/>
      <c r="O2355" s="5"/>
      <c r="P2355" s="5"/>
      <c r="Q2355" s="21">
        <v>135</v>
      </c>
      <c r="R2355" s="21">
        <v>0</v>
      </c>
      <c r="S2355" s="5">
        <f t="shared" si="147"/>
        <v>9830.5571201519906</v>
      </c>
      <c r="T2355" cm="1">
        <f t="array" ref="T2355">IF(OR(B2355="MAL ALIMI", B2355="ÜRETİM GİRİŞ"), MIN(I2355, MAX(0, I2355 + SUM(SUMIFS($I$1:I2354, $C$1:C2354, C2355, $B$1:B2354, {"MAL ALIMI","ÜRETİM GİRİŞ"})) - VLOOKUP(C2355, 'STOK RAPORU'!$C$2:$I$1000, 4, 0))), 0)</f>
        <v>0</v>
      </c>
      <c r="U2355" s="22">
        <f t="shared" si="144"/>
        <v>0</v>
      </c>
      <c r="V2355">
        <f t="shared" si="145"/>
        <v>0</v>
      </c>
      <c r="W2355" s="22">
        <f t="shared" si="146"/>
        <v>0</v>
      </c>
    </row>
    <row r="2356" spans="1:23" hidden="1" x14ac:dyDescent="0.25">
      <c r="A2356" s="3">
        <v>46011</v>
      </c>
      <c r="B2356" s="4" t="s">
        <v>334</v>
      </c>
      <c r="C2356" s="4" t="s">
        <v>76</v>
      </c>
      <c r="D2356" s="4"/>
      <c r="E2356" s="4"/>
      <c r="F2356" s="4" t="s">
        <v>1331</v>
      </c>
      <c r="G2356" s="4" t="s">
        <v>336</v>
      </c>
      <c r="H2356" s="4" t="s">
        <v>289</v>
      </c>
      <c r="I2356" s="4">
        <v>0.08</v>
      </c>
      <c r="J2356" s="21">
        <v>475</v>
      </c>
      <c r="K2356" s="21">
        <v>0</v>
      </c>
      <c r="L2356" s="5">
        <v>0</v>
      </c>
      <c r="M2356" s="4"/>
      <c r="N2356" s="4"/>
      <c r="O2356" s="5"/>
      <c r="P2356" s="5"/>
      <c r="Q2356" s="21">
        <v>38</v>
      </c>
      <c r="R2356" s="21">
        <v>0</v>
      </c>
      <c r="S2356" s="5">
        <f t="shared" si="147"/>
        <v>9868.5571201519906</v>
      </c>
      <c r="T2356" cm="1">
        <f t="array" ref="T2356">IF(OR(B2356="MAL ALIMI", B2356="ÜRETİM GİRİŞ"), MIN(I2356, MAX(0, I2356 + SUM(SUMIFS($I$1:I2355, $C$1:C2355, C2356, $B$1:B2355, {"MAL ALIMI","ÜRETİM GİRİŞ"})) - VLOOKUP(C2356, 'STOK RAPORU'!$C$2:$I$1000, 4, 0))), 0)</f>
        <v>0</v>
      </c>
      <c r="U2356" s="22">
        <f t="shared" si="144"/>
        <v>0</v>
      </c>
      <c r="V2356">
        <f t="shared" si="145"/>
        <v>0</v>
      </c>
      <c r="W2356" s="22">
        <f t="shared" si="146"/>
        <v>0</v>
      </c>
    </row>
    <row r="2357" spans="1:23" hidden="1" x14ac:dyDescent="0.25">
      <c r="A2357" s="3">
        <v>46011</v>
      </c>
      <c r="B2357" s="4" t="s">
        <v>334</v>
      </c>
      <c r="C2357" s="4" t="s">
        <v>238</v>
      </c>
      <c r="D2357" s="4"/>
      <c r="E2357" s="4"/>
      <c r="F2357" s="4" t="s">
        <v>1331</v>
      </c>
      <c r="G2357" s="4" t="s">
        <v>336</v>
      </c>
      <c r="H2357" s="4" t="s">
        <v>289</v>
      </c>
      <c r="I2357" s="4">
        <v>0.1</v>
      </c>
      <c r="J2357" s="21">
        <v>1350</v>
      </c>
      <c r="K2357" s="21">
        <v>0</v>
      </c>
      <c r="L2357" s="5">
        <v>0</v>
      </c>
      <c r="M2357" s="4"/>
      <c r="N2357" s="4"/>
      <c r="O2357" s="5"/>
      <c r="P2357" s="5"/>
      <c r="Q2357" s="21">
        <v>135</v>
      </c>
      <c r="R2357" s="21">
        <v>0</v>
      </c>
      <c r="S2357" s="5">
        <f t="shared" si="147"/>
        <v>10003.557120151991</v>
      </c>
      <c r="T2357" cm="1">
        <f t="array" ref="T2357">IF(OR(B2357="MAL ALIMI", B2357="ÜRETİM GİRİŞ"), MIN(I2357, MAX(0, I2357 + SUM(SUMIFS($I$1:I2356, $C$1:C2356, C2357, $B$1:B2356, {"MAL ALIMI","ÜRETİM GİRİŞ"})) - VLOOKUP(C2357, 'STOK RAPORU'!$C$2:$I$1000, 4, 0))), 0)</f>
        <v>0</v>
      </c>
      <c r="U2357" s="22">
        <f t="shared" si="144"/>
        <v>0</v>
      </c>
      <c r="V2357">
        <f t="shared" si="145"/>
        <v>0</v>
      </c>
      <c r="W2357" s="22">
        <f t="shared" si="146"/>
        <v>0</v>
      </c>
    </row>
    <row r="2358" spans="1:23" hidden="1" x14ac:dyDescent="0.25">
      <c r="A2358" s="3">
        <v>46011</v>
      </c>
      <c r="B2358" s="4" t="s">
        <v>334</v>
      </c>
      <c r="C2358" s="4" t="s">
        <v>151</v>
      </c>
      <c r="D2358" s="4"/>
      <c r="E2358" s="4"/>
      <c r="F2358" s="4" t="s">
        <v>1331</v>
      </c>
      <c r="G2358" s="4" t="s">
        <v>336</v>
      </c>
      <c r="H2358" s="4" t="s">
        <v>289</v>
      </c>
      <c r="I2358" s="4">
        <v>5.1999999999999998E-2</v>
      </c>
      <c r="J2358" s="21">
        <v>400</v>
      </c>
      <c r="K2358" s="21">
        <v>0</v>
      </c>
      <c r="L2358" s="5">
        <v>0</v>
      </c>
      <c r="M2358" s="4"/>
      <c r="N2358" s="4"/>
      <c r="O2358" s="5"/>
      <c r="P2358" s="5"/>
      <c r="Q2358" s="21">
        <v>20.8</v>
      </c>
      <c r="R2358" s="21">
        <v>0</v>
      </c>
      <c r="S2358" s="5">
        <f t="shared" si="147"/>
        <v>10024.35712015199</v>
      </c>
      <c r="T2358" cm="1">
        <f t="array" ref="T2358">IF(OR(B2358="MAL ALIMI", B2358="ÜRETİM GİRİŞ"), MIN(I2358, MAX(0, I2358 + SUM(SUMIFS($I$1:I2357, $C$1:C2357, C2358, $B$1:B2357, {"MAL ALIMI","ÜRETİM GİRİŞ"})) - VLOOKUP(C2358, 'STOK RAPORU'!$C$2:$I$1000, 4, 0))), 0)</f>
        <v>0</v>
      </c>
      <c r="U2358" s="22">
        <f t="shared" si="144"/>
        <v>0</v>
      </c>
      <c r="V2358">
        <f t="shared" si="145"/>
        <v>0</v>
      </c>
      <c r="W2358" s="22">
        <f t="shared" si="146"/>
        <v>0</v>
      </c>
    </row>
    <row r="2359" spans="1:23" hidden="1" x14ac:dyDescent="0.25">
      <c r="A2359" s="3">
        <v>46011</v>
      </c>
      <c r="B2359" s="4" t="s">
        <v>334</v>
      </c>
      <c r="C2359" s="4" t="s">
        <v>751</v>
      </c>
      <c r="D2359" s="4"/>
      <c r="E2359" s="4"/>
      <c r="F2359" s="4" t="s">
        <v>1331</v>
      </c>
      <c r="G2359" s="4" t="s">
        <v>336</v>
      </c>
      <c r="H2359" s="4" t="s">
        <v>289</v>
      </c>
      <c r="I2359" s="4">
        <v>1</v>
      </c>
      <c r="J2359" s="21">
        <v>220</v>
      </c>
      <c r="K2359" s="21">
        <v>0</v>
      </c>
      <c r="L2359" s="5">
        <v>0</v>
      </c>
      <c r="M2359" s="4"/>
      <c r="N2359" s="4"/>
      <c r="O2359" s="5"/>
      <c r="P2359" s="5"/>
      <c r="Q2359" s="21">
        <v>220</v>
      </c>
      <c r="R2359" s="21">
        <v>0</v>
      </c>
      <c r="S2359" s="5">
        <f t="shared" si="147"/>
        <v>10244.35712015199</v>
      </c>
      <c r="T2359" cm="1">
        <f t="array" ref="T2359">IF(OR(B2359="MAL ALIMI", B2359="ÜRETİM GİRİŞ"), MIN(I2359, MAX(0, I2359 + SUM(SUMIFS($I$1:I2358, $C$1:C2358, C2359, $B$1:B2358, {"MAL ALIMI","ÜRETİM GİRİŞ"})) - VLOOKUP(C2359, 'STOK RAPORU'!$C$2:$I$1000, 4, 0))), 0)</f>
        <v>0</v>
      </c>
      <c r="U2359" s="22">
        <f t="shared" si="144"/>
        <v>0</v>
      </c>
      <c r="V2359">
        <f t="shared" si="145"/>
        <v>0</v>
      </c>
      <c r="W2359" s="22">
        <f t="shared" si="146"/>
        <v>0</v>
      </c>
    </row>
    <row r="2360" spans="1:23" hidden="1" x14ac:dyDescent="0.25">
      <c r="A2360" s="3">
        <v>46011</v>
      </c>
      <c r="B2360" s="4" t="s">
        <v>334</v>
      </c>
      <c r="C2360" s="4"/>
      <c r="D2360" s="4"/>
      <c r="E2360" s="4"/>
      <c r="F2360" s="4" t="s">
        <v>1331</v>
      </c>
      <c r="G2360" s="4" t="s">
        <v>336</v>
      </c>
      <c r="H2360" s="4" t="s">
        <v>289</v>
      </c>
      <c r="I2360" s="4">
        <v>1</v>
      </c>
      <c r="J2360" s="21">
        <v>300</v>
      </c>
      <c r="K2360" s="21">
        <v>0</v>
      </c>
      <c r="L2360" s="5">
        <v>0</v>
      </c>
      <c r="M2360" s="4"/>
      <c r="N2360" s="4"/>
      <c r="O2360" s="5"/>
      <c r="P2360" s="5"/>
      <c r="Q2360" s="21">
        <v>300</v>
      </c>
      <c r="R2360" s="21">
        <v>0</v>
      </c>
      <c r="S2360" s="5">
        <f t="shared" si="147"/>
        <v>10544.35712015199</v>
      </c>
      <c r="T2360" cm="1">
        <f t="array" ref="T2360">IF(OR(B2360="MAL ALIMI", B2360="ÜRETİM GİRİŞ"), MIN(I2360, MAX(0, I2360 + SUM(SUMIFS($I$1:I2359, $C$1:C2359, C2360, $B$1:B2359, {"MAL ALIMI","ÜRETİM GİRİŞ"})) - VLOOKUP(C2360, 'STOK RAPORU'!$C$2:$I$1000, 4, 0))), 0)</f>
        <v>0</v>
      </c>
      <c r="U2360" s="22">
        <f t="shared" si="144"/>
        <v>0</v>
      </c>
      <c r="V2360">
        <f t="shared" si="145"/>
        <v>0</v>
      </c>
      <c r="W2360" s="22">
        <f t="shared" si="146"/>
        <v>0</v>
      </c>
    </row>
    <row r="2361" spans="1:23" hidden="1" x14ac:dyDescent="0.25">
      <c r="A2361" s="3">
        <v>46011</v>
      </c>
      <c r="B2361" s="4" t="s">
        <v>334</v>
      </c>
      <c r="C2361" s="4" t="s">
        <v>233</v>
      </c>
      <c r="D2361" s="4"/>
      <c r="E2361" s="4" t="s">
        <v>921</v>
      </c>
      <c r="F2361" s="4" t="s">
        <v>1332</v>
      </c>
      <c r="G2361" s="4" t="s">
        <v>336</v>
      </c>
      <c r="H2361" s="4" t="s">
        <v>380</v>
      </c>
      <c r="I2361" s="4">
        <v>1</v>
      </c>
      <c r="J2361" s="21">
        <v>190</v>
      </c>
      <c r="K2361" s="21">
        <v>190</v>
      </c>
      <c r="L2361" s="5">
        <v>0</v>
      </c>
      <c r="M2361" s="4"/>
      <c r="N2361" s="4"/>
      <c r="O2361" s="5"/>
      <c r="P2361" s="5"/>
      <c r="Q2361" s="21">
        <v>0</v>
      </c>
      <c r="R2361" s="21">
        <v>0</v>
      </c>
      <c r="S2361" s="5">
        <f t="shared" si="147"/>
        <v>10544.35712015199</v>
      </c>
      <c r="T2361" cm="1">
        <f t="array" ref="T2361">IF(OR(B2361="MAL ALIMI", B2361="ÜRETİM GİRİŞ"), MIN(I2361, MAX(0, I2361 + SUM(SUMIFS($I$1:I2360, $C$1:C2360, C2361, $B$1:B2360, {"MAL ALIMI","ÜRETİM GİRİŞ"})) - VLOOKUP(C2361, 'STOK RAPORU'!$C$2:$I$1000, 4, 0))), 0)</f>
        <v>0</v>
      </c>
      <c r="U2361" s="22">
        <f t="shared" si="144"/>
        <v>0</v>
      </c>
      <c r="V2361">
        <f t="shared" si="145"/>
        <v>0</v>
      </c>
      <c r="W2361" s="22">
        <f t="shared" si="146"/>
        <v>0</v>
      </c>
    </row>
    <row r="2362" spans="1:23" hidden="1" x14ac:dyDescent="0.25">
      <c r="A2362" s="3">
        <v>46011</v>
      </c>
      <c r="B2362" s="4" t="s">
        <v>334</v>
      </c>
      <c r="C2362" s="4" t="s">
        <v>92</v>
      </c>
      <c r="D2362" s="4"/>
      <c r="E2362" s="4" t="s">
        <v>921</v>
      </c>
      <c r="F2362" s="4" t="s">
        <v>1332</v>
      </c>
      <c r="G2362" s="4" t="s">
        <v>336</v>
      </c>
      <c r="H2362" s="4" t="s">
        <v>380</v>
      </c>
      <c r="I2362" s="4">
        <v>0.13800000000000001</v>
      </c>
      <c r="J2362" s="21">
        <v>500</v>
      </c>
      <c r="K2362" s="21">
        <v>69</v>
      </c>
      <c r="L2362" s="5">
        <v>0</v>
      </c>
      <c r="M2362" s="4"/>
      <c r="N2362" s="4"/>
      <c r="O2362" s="5"/>
      <c r="P2362" s="5"/>
      <c r="Q2362" s="21">
        <v>0</v>
      </c>
      <c r="R2362" s="21">
        <v>0</v>
      </c>
      <c r="S2362" s="5">
        <f t="shared" si="147"/>
        <v>10544.35712015199</v>
      </c>
      <c r="T2362" cm="1">
        <f t="array" ref="T2362">IF(OR(B2362="MAL ALIMI", B2362="ÜRETİM GİRİŞ"), MIN(I2362, MAX(0, I2362 + SUM(SUMIFS($I$1:I2361, $C$1:C2361, C2362, $B$1:B2361, {"MAL ALIMI","ÜRETİM GİRİŞ"})) - VLOOKUP(C2362, 'STOK RAPORU'!$C$2:$I$1000, 4, 0))), 0)</f>
        <v>0</v>
      </c>
      <c r="U2362" s="22">
        <f t="shared" si="144"/>
        <v>0</v>
      </c>
      <c r="V2362">
        <f t="shared" si="145"/>
        <v>0</v>
      </c>
      <c r="W2362" s="22">
        <f t="shared" si="146"/>
        <v>0</v>
      </c>
    </row>
    <row r="2363" spans="1:23" hidden="1" x14ac:dyDescent="0.25">
      <c r="A2363" s="3">
        <v>46011</v>
      </c>
      <c r="B2363" s="4" t="s">
        <v>334</v>
      </c>
      <c r="C2363" s="4" t="s">
        <v>98</v>
      </c>
      <c r="D2363" s="4"/>
      <c r="E2363" s="4" t="s">
        <v>921</v>
      </c>
      <c r="F2363" s="4" t="s">
        <v>1332</v>
      </c>
      <c r="G2363" s="4" t="s">
        <v>336</v>
      </c>
      <c r="H2363" s="4" t="s">
        <v>380</v>
      </c>
      <c r="I2363" s="4">
        <v>7.8E-2</v>
      </c>
      <c r="J2363" s="21">
        <v>400</v>
      </c>
      <c r="K2363" s="21">
        <v>31.2</v>
      </c>
      <c r="L2363" s="5">
        <v>0</v>
      </c>
      <c r="M2363" s="4"/>
      <c r="N2363" s="4"/>
      <c r="O2363" s="5"/>
      <c r="P2363" s="5"/>
      <c r="Q2363" s="21">
        <v>0</v>
      </c>
      <c r="R2363" s="21">
        <v>0</v>
      </c>
      <c r="S2363" s="5">
        <f t="shared" si="147"/>
        <v>10544.35712015199</v>
      </c>
      <c r="T2363" cm="1">
        <f t="array" ref="T2363">IF(OR(B2363="MAL ALIMI", B2363="ÜRETİM GİRİŞ"), MIN(I2363, MAX(0, I2363 + SUM(SUMIFS($I$1:I2362, $C$1:C2362, C2363, $B$1:B2362, {"MAL ALIMI","ÜRETİM GİRİŞ"})) - VLOOKUP(C2363, 'STOK RAPORU'!$C$2:$I$1000, 4, 0))), 0)</f>
        <v>0</v>
      </c>
      <c r="U2363" s="22">
        <f t="shared" si="144"/>
        <v>0</v>
      </c>
      <c r="V2363">
        <f t="shared" si="145"/>
        <v>0</v>
      </c>
      <c r="W2363" s="22">
        <f t="shared" si="146"/>
        <v>0</v>
      </c>
    </row>
    <row r="2364" spans="1:23" hidden="1" x14ac:dyDescent="0.25">
      <c r="A2364" s="3">
        <v>46011</v>
      </c>
      <c r="B2364" s="4" t="s">
        <v>334</v>
      </c>
      <c r="C2364" s="4" t="s">
        <v>149</v>
      </c>
      <c r="D2364" s="4"/>
      <c r="E2364" s="4" t="s">
        <v>921</v>
      </c>
      <c r="F2364" s="4" t="s">
        <v>1333</v>
      </c>
      <c r="G2364" s="4" t="s">
        <v>336</v>
      </c>
      <c r="H2364" s="4" t="s">
        <v>380</v>
      </c>
      <c r="I2364" s="4">
        <v>1</v>
      </c>
      <c r="J2364" s="21">
        <v>65</v>
      </c>
      <c r="K2364" s="21">
        <v>65</v>
      </c>
      <c r="L2364" s="5">
        <v>0</v>
      </c>
      <c r="M2364" s="4"/>
      <c r="N2364" s="4"/>
      <c r="O2364" s="5"/>
      <c r="P2364" s="5"/>
      <c r="Q2364" s="21">
        <v>0</v>
      </c>
      <c r="R2364" s="21">
        <v>0</v>
      </c>
      <c r="S2364" s="5">
        <f t="shared" si="147"/>
        <v>10544.35712015199</v>
      </c>
      <c r="T2364" cm="1">
        <f t="array" ref="T2364">IF(OR(B2364="MAL ALIMI", B2364="ÜRETİM GİRİŞ"), MIN(I2364, MAX(0, I2364 + SUM(SUMIFS($I$1:I2363, $C$1:C2363, C2364, $B$1:B2363, {"MAL ALIMI","ÜRETİM GİRİŞ"})) - VLOOKUP(C2364, 'STOK RAPORU'!$C$2:$I$1000, 4, 0))), 0)</f>
        <v>0</v>
      </c>
      <c r="U2364" s="22">
        <f t="shared" si="144"/>
        <v>0</v>
      </c>
      <c r="V2364">
        <f t="shared" si="145"/>
        <v>0</v>
      </c>
      <c r="W2364" s="22">
        <f t="shared" si="146"/>
        <v>0</v>
      </c>
    </row>
    <row r="2365" spans="1:23" hidden="1" x14ac:dyDescent="0.25">
      <c r="A2365" s="3">
        <v>46011</v>
      </c>
      <c r="B2365" s="4" t="s">
        <v>334</v>
      </c>
      <c r="C2365" s="4" t="s">
        <v>893</v>
      </c>
      <c r="D2365" s="4"/>
      <c r="E2365" s="4"/>
      <c r="F2365" s="4" t="s">
        <v>1334</v>
      </c>
      <c r="G2365" s="4" t="s">
        <v>336</v>
      </c>
      <c r="H2365" s="4" t="s">
        <v>289</v>
      </c>
      <c r="I2365" s="4">
        <v>1</v>
      </c>
      <c r="J2365" s="21">
        <v>170</v>
      </c>
      <c r="K2365" s="21">
        <v>0</v>
      </c>
      <c r="L2365" s="5">
        <v>0</v>
      </c>
      <c r="M2365" s="4"/>
      <c r="N2365" s="4"/>
      <c r="O2365" s="5"/>
      <c r="P2365" s="5"/>
      <c r="Q2365" s="21">
        <v>170</v>
      </c>
      <c r="R2365" s="21">
        <v>0</v>
      </c>
      <c r="S2365" s="5">
        <f t="shared" si="147"/>
        <v>10714.35712015199</v>
      </c>
      <c r="T2365" cm="1">
        <f t="array" ref="T2365">IF(OR(B2365="MAL ALIMI", B2365="ÜRETİM GİRİŞ"), MIN(I2365, MAX(0, I2365 + SUM(SUMIFS($I$1:I2364, $C$1:C2364, C2365, $B$1:B2364, {"MAL ALIMI","ÜRETİM GİRİŞ"})) - VLOOKUP(C2365, 'STOK RAPORU'!$C$2:$I$1000, 4, 0))), 0)</f>
        <v>0</v>
      </c>
      <c r="U2365" s="22">
        <f t="shared" si="144"/>
        <v>0</v>
      </c>
      <c r="V2365">
        <f t="shared" si="145"/>
        <v>0</v>
      </c>
      <c r="W2365" s="22">
        <f t="shared" si="146"/>
        <v>0</v>
      </c>
    </row>
    <row r="2366" spans="1:23" hidden="1" x14ac:dyDescent="0.25">
      <c r="A2366" s="3">
        <v>46011</v>
      </c>
      <c r="B2366" s="3" t="s">
        <v>285</v>
      </c>
      <c r="C2366" s="4"/>
      <c r="D2366" s="4" t="s">
        <v>106</v>
      </c>
      <c r="E2366" s="4" t="s">
        <v>856</v>
      </c>
      <c r="F2366" s="4"/>
      <c r="G2366" s="4" t="s">
        <v>1335</v>
      </c>
      <c r="H2366" s="4" t="s">
        <v>1329</v>
      </c>
      <c r="I2366" s="4">
        <v>12</v>
      </c>
      <c r="J2366" s="35">
        <v>125</v>
      </c>
      <c r="K2366" s="35">
        <v>0</v>
      </c>
      <c r="L2366" s="5">
        <v>1500</v>
      </c>
      <c r="M2366" s="4"/>
      <c r="N2366" s="4"/>
      <c r="O2366" s="5"/>
      <c r="P2366" s="5"/>
      <c r="Q2366" s="35">
        <v>0</v>
      </c>
      <c r="R2366" s="35">
        <v>0</v>
      </c>
      <c r="S2366" s="5">
        <f t="shared" si="147"/>
        <v>10714.35712015199</v>
      </c>
      <c r="T2366" cm="1">
        <f t="array" ref="T2366">IF(OR(B2366="MAL ALIMI", B2366="ÜRETİM GİRİŞ"), MIN(I2366, MAX(0, I2366 + SUM(SUMIFS($I$1:I2365, $C$1:C2365, C2366, $B$1:B2365, {"MAL ALIMI","ÜRETİM GİRİŞ"})) - VLOOKUP(C2366, 'STOK RAPORU'!$C$2:$I$1000, 4, 0))), 0)</f>
        <v>0</v>
      </c>
      <c r="U2366" s="22">
        <f t="shared" si="144"/>
        <v>0</v>
      </c>
      <c r="V2366">
        <f t="shared" si="145"/>
        <v>0</v>
      </c>
      <c r="W2366" s="22">
        <f t="shared" si="146"/>
        <v>0</v>
      </c>
    </row>
    <row r="2367" spans="1:23" hidden="1" x14ac:dyDescent="0.25">
      <c r="A2367" s="3">
        <v>46011</v>
      </c>
      <c r="B2367" s="4" t="s">
        <v>946</v>
      </c>
      <c r="C2367" s="4"/>
      <c r="D2367" s="4"/>
      <c r="E2367" s="4" t="s">
        <v>921</v>
      </c>
      <c r="F2367" s="4"/>
      <c r="G2367" s="4" t="s">
        <v>946</v>
      </c>
      <c r="H2367" s="4" t="s">
        <v>380</v>
      </c>
      <c r="I2367" s="4">
        <v>1</v>
      </c>
      <c r="J2367" s="105">
        <v>450</v>
      </c>
      <c r="K2367" s="21">
        <v>0</v>
      </c>
      <c r="L2367" s="111">
        <v>450</v>
      </c>
      <c r="M2367" s="4">
        <v>330</v>
      </c>
      <c r="N2367" s="4"/>
      <c r="O2367" s="5"/>
      <c r="P2367" s="5"/>
      <c r="Q2367" s="21">
        <v>450</v>
      </c>
      <c r="R2367" s="21">
        <v>0</v>
      </c>
      <c r="S2367" s="5">
        <f t="shared" si="147"/>
        <v>11164.35712015199</v>
      </c>
      <c r="T2367" cm="1">
        <f t="array" ref="T2367">IF(OR(B2367="MAL ALIMI", B2367="ÜRETİM GİRİŞ"), MIN(I2367, MAX(0, I2367 + SUM(SUMIFS($I$1:I2366, $C$1:C2366, C2367, $B$1:B2366, {"MAL ALIMI","ÜRETİM GİRİŞ"})) - VLOOKUP(C2367, 'STOK RAPORU'!$C$2:$I$1000, 4, 0))), 0)</f>
        <v>0</v>
      </c>
      <c r="U2367" s="22">
        <f t="shared" si="144"/>
        <v>0</v>
      </c>
      <c r="V2367">
        <f t="shared" si="145"/>
        <v>0</v>
      </c>
      <c r="W2367" s="22">
        <f t="shared" si="146"/>
        <v>0</v>
      </c>
    </row>
    <row r="2368" spans="1:23" hidden="1" x14ac:dyDescent="0.25">
      <c r="A2368" s="3">
        <v>46012</v>
      </c>
      <c r="B2368" s="4" t="s">
        <v>946</v>
      </c>
      <c r="C2368" s="4"/>
      <c r="D2368" s="4"/>
      <c r="E2368" s="4" t="s">
        <v>921</v>
      </c>
      <c r="F2368" s="4"/>
      <c r="G2368" s="4" t="s">
        <v>946</v>
      </c>
      <c r="H2368" s="4" t="s">
        <v>380</v>
      </c>
      <c r="I2368" s="4">
        <v>1</v>
      </c>
      <c r="J2368" s="105">
        <v>2992</v>
      </c>
      <c r="K2368" s="21">
        <v>0</v>
      </c>
      <c r="L2368" s="111">
        <v>2992</v>
      </c>
      <c r="M2368" s="4">
        <v>330</v>
      </c>
      <c r="N2368" s="4"/>
      <c r="O2368" s="5"/>
      <c r="P2368" s="5"/>
      <c r="Q2368" s="21">
        <v>2992</v>
      </c>
      <c r="R2368" s="21">
        <v>0</v>
      </c>
      <c r="S2368" s="5">
        <f t="shared" si="147"/>
        <v>14156.35712015199</v>
      </c>
      <c r="T2368" cm="1">
        <f t="array" ref="T2368">IF(OR(B2368="MAL ALIMI", B2368="ÜRETİM GİRİŞ"), MIN(I2368, MAX(0, I2368 + SUM(SUMIFS($I$1:I2367, $C$1:C2367, C2368, $B$1:B2367, {"MAL ALIMI","ÜRETİM GİRİŞ"})) - VLOOKUP(C2368, 'STOK RAPORU'!$C$2:$I$1000, 4, 0))), 0)</f>
        <v>0</v>
      </c>
      <c r="U2368" s="22">
        <f t="shared" si="144"/>
        <v>0</v>
      </c>
      <c r="V2368">
        <f t="shared" si="145"/>
        <v>0</v>
      </c>
      <c r="W2368" s="22">
        <f t="shared" si="146"/>
        <v>0</v>
      </c>
    </row>
    <row r="2369" spans="1:23" hidden="1" x14ac:dyDescent="0.25">
      <c r="A2369" s="3">
        <v>46013</v>
      </c>
      <c r="B2369" s="4" t="s">
        <v>298</v>
      </c>
      <c r="C2369" s="4" t="s">
        <v>1373</v>
      </c>
      <c r="D2369" s="4"/>
      <c r="E2369" s="4" t="s">
        <v>856</v>
      </c>
      <c r="F2369" s="4" t="s">
        <v>1463</v>
      </c>
      <c r="G2369" s="4" t="s">
        <v>1464</v>
      </c>
      <c r="H2369" s="4" t="s">
        <v>1329</v>
      </c>
      <c r="I2369" s="4">
        <v>5</v>
      </c>
      <c r="J2369" s="35">
        <v>118.8</v>
      </c>
      <c r="K2369" s="35">
        <v>0</v>
      </c>
      <c r="L2369" s="5">
        <v>594</v>
      </c>
      <c r="M2369" s="4"/>
      <c r="N2369" s="4"/>
      <c r="O2369" s="5"/>
      <c r="P2369" s="5"/>
      <c r="Q2369" s="35">
        <v>0</v>
      </c>
      <c r="R2369" s="35">
        <v>0</v>
      </c>
      <c r="S2369" s="5">
        <f t="shared" si="147"/>
        <v>14156.35712015199</v>
      </c>
      <c r="T2369" cm="1">
        <f t="array" ref="T2369">IF(OR(B2369="MAL ALIMI", B2369="ÜRETİM GİRİŞ"), MIN(I2369, MAX(0, I2369 + SUM(SUMIFS($I$1:I2368, $C$1:C2368, C2369, $B$1:B2368, {"MAL ALIMI","ÜRETİM GİRİŞ"})) - VLOOKUP(C2369, 'STOK RAPORU'!$C$2:$I$1000, 4, 0))), 0)</f>
        <v>2</v>
      </c>
      <c r="U2369" s="22">
        <f t="shared" si="144"/>
        <v>237.6</v>
      </c>
      <c r="V2369">
        <f t="shared" si="145"/>
        <v>594</v>
      </c>
      <c r="W2369" s="22">
        <f t="shared" si="146"/>
        <v>356.4</v>
      </c>
    </row>
    <row r="2370" spans="1:23" hidden="1" x14ac:dyDescent="0.25">
      <c r="A2370" s="3">
        <v>46013</v>
      </c>
      <c r="B2370" s="4" t="s">
        <v>298</v>
      </c>
      <c r="C2370" s="4" t="s">
        <v>1374</v>
      </c>
      <c r="D2370" s="4"/>
      <c r="E2370" s="4" t="s">
        <v>856</v>
      </c>
      <c r="F2370" s="4" t="s">
        <v>1463</v>
      </c>
      <c r="G2370" s="4" t="s">
        <v>1464</v>
      </c>
      <c r="H2370" s="4" t="s">
        <v>1329</v>
      </c>
      <c r="I2370" s="4">
        <v>5</v>
      </c>
      <c r="J2370" s="35">
        <v>118.8</v>
      </c>
      <c r="K2370" s="35">
        <v>0</v>
      </c>
      <c r="L2370" s="5">
        <v>594</v>
      </c>
      <c r="M2370" s="4"/>
      <c r="N2370" s="4"/>
      <c r="O2370" s="5"/>
      <c r="P2370" s="5"/>
      <c r="Q2370" s="35">
        <v>0</v>
      </c>
      <c r="R2370" s="35">
        <v>0</v>
      </c>
      <c r="S2370" s="5">
        <f t="shared" si="147"/>
        <v>14156.35712015199</v>
      </c>
      <c r="T2370" cm="1">
        <f t="array" ref="T2370">IF(OR(B2370="MAL ALIMI", B2370="ÜRETİM GİRİŞ"), MIN(I2370, MAX(0, I2370 + SUM(SUMIFS($I$1:I2369, $C$1:C2369, C2370, $B$1:B2369, {"MAL ALIMI","ÜRETİM GİRİŞ"})) - VLOOKUP(C2370, 'STOK RAPORU'!$C$2:$I$1000, 4, 0))), 0)</f>
        <v>4</v>
      </c>
      <c r="U2370" s="22">
        <f t="shared" si="144"/>
        <v>475.2</v>
      </c>
      <c r="V2370">
        <f t="shared" si="145"/>
        <v>594</v>
      </c>
      <c r="W2370" s="22">
        <f t="shared" si="146"/>
        <v>118.80000000000001</v>
      </c>
    </row>
    <row r="2371" spans="1:23" hidden="1" x14ac:dyDescent="0.25">
      <c r="A2371" s="3">
        <v>46013</v>
      </c>
      <c r="B2371" s="4" t="s">
        <v>298</v>
      </c>
      <c r="C2371" s="4" t="s">
        <v>1371</v>
      </c>
      <c r="D2371" s="4"/>
      <c r="E2371" s="4" t="s">
        <v>856</v>
      </c>
      <c r="F2371" s="4" t="s">
        <v>1463</v>
      </c>
      <c r="G2371" s="4" t="s">
        <v>1464</v>
      </c>
      <c r="H2371" s="4" t="s">
        <v>1329</v>
      </c>
      <c r="I2371" s="4">
        <v>3</v>
      </c>
      <c r="J2371" s="35">
        <v>118.8</v>
      </c>
      <c r="K2371" s="35">
        <v>0</v>
      </c>
      <c r="L2371" s="5">
        <v>356.4</v>
      </c>
      <c r="M2371" s="4"/>
      <c r="N2371" s="4"/>
      <c r="O2371" s="5"/>
      <c r="P2371" s="5"/>
      <c r="Q2371" s="35">
        <v>0</v>
      </c>
      <c r="R2371" s="35">
        <v>0</v>
      </c>
      <c r="S2371" s="5">
        <f t="shared" si="147"/>
        <v>14156.35712015199</v>
      </c>
      <c r="T2371" cm="1">
        <f t="array" ref="T2371">IF(OR(B2371="MAL ALIMI", B2371="ÜRETİM GİRİŞ"), MIN(I2371, MAX(0, I2371 + SUM(SUMIFS($I$1:I2370, $C$1:C2370, C2371, $B$1:B2370, {"MAL ALIMI","ÜRETİM GİRİŞ"})) - VLOOKUP(C2371, 'STOK RAPORU'!$C$2:$I$1000, 4, 0))), 0)</f>
        <v>2</v>
      </c>
      <c r="U2371" s="22">
        <f t="shared" ref="U2371:U2434" si="148">T2371*J2371</f>
        <v>237.6</v>
      </c>
      <c r="V2371">
        <f t="shared" ref="V2371:V2434" si="149">IF(OR(B2371="MAL ALIMI", B2371="ÜRETİM GİRİŞ"), I2371 * J2371, 0)</f>
        <v>356.4</v>
      </c>
      <c r="W2371" s="22">
        <f t="shared" ref="W2371:W2434" si="150">V2371-U2371</f>
        <v>118.79999999999998</v>
      </c>
    </row>
    <row r="2372" spans="1:23" hidden="1" x14ac:dyDescent="0.25">
      <c r="A2372" s="3">
        <v>46013</v>
      </c>
      <c r="B2372" s="4" t="s">
        <v>298</v>
      </c>
      <c r="C2372" s="4" t="s">
        <v>1372</v>
      </c>
      <c r="D2372" s="4"/>
      <c r="E2372" s="4" t="s">
        <v>856</v>
      </c>
      <c r="F2372" s="4" t="s">
        <v>1463</v>
      </c>
      <c r="G2372" s="4" t="s">
        <v>1464</v>
      </c>
      <c r="H2372" s="4" t="s">
        <v>1329</v>
      </c>
      <c r="I2372" s="4">
        <v>5</v>
      </c>
      <c r="J2372" s="35">
        <v>118.8</v>
      </c>
      <c r="K2372" s="35">
        <v>0</v>
      </c>
      <c r="L2372" s="5">
        <v>594</v>
      </c>
      <c r="M2372" s="4"/>
      <c r="N2372" s="4"/>
      <c r="O2372" s="5"/>
      <c r="P2372" s="5"/>
      <c r="Q2372" s="35">
        <v>0</v>
      </c>
      <c r="R2372" s="35">
        <v>0</v>
      </c>
      <c r="S2372" s="5">
        <f t="shared" ref="S2372:S2435" si="151">S2371+Q2372-R2372</f>
        <v>14156.35712015199</v>
      </c>
      <c r="T2372" cm="1">
        <f t="array" ref="T2372">IF(OR(B2372="MAL ALIMI", B2372="ÜRETİM GİRİŞ"), MIN(I2372, MAX(0, I2372 + SUM(SUMIFS($I$1:I2371, $C$1:C2371, C2372, $B$1:B2371, {"MAL ALIMI","ÜRETİM GİRİŞ"})) - VLOOKUP(C2372, 'STOK RAPORU'!$C$2:$I$1000, 4, 0))), 0)</f>
        <v>4</v>
      </c>
      <c r="U2372" s="22">
        <f t="shared" si="148"/>
        <v>475.2</v>
      </c>
      <c r="V2372">
        <f t="shared" si="149"/>
        <v>594</v>
      </c>
      <c r="W2372" s="22">
        <f t="shared" si="150"/>
        <v>118.80000000000001</v>
      </c>
    </row>
    <row r="2373" spans="1:23" hidden="1" x14ac:dyDescent="0.25">
      <c r="A2373" s="3">
        <v>46013</v>
      </c>
      <c r="B2373" s="4" t="s">
        <v>298</v>
      </c>
      <c r="C2373" s="4" t="s">
        <v>1375</v>
      </c>
      <c r="D2373" s="4"/>
      <c r="E2373" s="4" t="s">
        <v>856</v>
      </c>
      <c r="F2373" s="4" t="s">
        <v>1463</v>
      </c>
      <c r="G2373" s="4" t="s">
        <v>1464</v>
      </c>
      <c r="H2373" s="4" t="s">
        <v>1329</v>
      </c>
      <c r="I2373" s="4">
        <v>3</v>
      </c>
      <c r="J2373" s="35">
        <v>106.8</v>
      </c>
      <c r="K2373" s="35">
        <v>0</v>
      </c>
      <c r="L2373" s="5">
        <v>320.39999999999998</v>
      </c>
      <c r="M2373" s="4"/>
      <c r="N2373" s="4"/>
      <c r="O2373" s="5"/>
      <c r="P2373" s="5"/>
      <c r="Q2373" s="35">
        <v>0</v>
      </c>
      <c r="R2373" s="35">
        <v>0</v>
      </c>
      <c r="S2373" s="5">
        <f t="shared" si="151"/>
        <v>14156.35712015199</v>
      </c>
      <c r="T2373" cm="1">
        <f t="array" ref="T2373">IF(OR(B2373="MAL ALIMI", B2373="ÜRETİM GİRİŞ"), MIN(I2373, MAX(0, I2373 + SUM(SUMIFS($I$1:I2372, $C$1:C2372, C2373, $B$1:B2372, {"MAL ALIMI","ÜRETİM GİRİŞ"})) - VLOOKUP(C2373, 'STOK RAPORU'!$C$2:$I$1000, 4, 0))), 0)</f>
        <v>1</v>
      </c>
      <c r="U2373" s="22">
        <f t="shared" si="148"/>
        <v>106.8</v>
      </c>
      <c r="V2373">
        <f t="shared" si="149"/>
        <v>320.39999999999998</v>
      </c>
      <c r="W2373" s="22">
        <f t="shared" si="150"/>
        <v>213.59999999999997</v>
      </c>
    </row>
    <row r="2374" spans="1:23" hidden="1" x14ac:dyDescent="0.25">
      <c r="A2374" s="3">
        <v>46013</v>
      </c>
      <c r="B2374" s="4" t="s">
        <v>298</v>
      </c>
      <c r="C2374" s="4" t="s">
        <v>1376</v>
      </c>
      <c r="D2374" s="4"/>
      <c r="E2374" s="4" t="s">
        <v>856</v>
      </c>
      <c r="F2374" s="4" t="s">
        <v>1463</v>
      </c>
      <c r="G2374" s="4" t="s">
        <v>1464</v>
      </c>
      <c r="H2374" s="4" t="s">
        <v>1329</v>
      </c>
      <c r="I2374" s="4">
        <v>3</v>
      </c>
      <c r="J2374" s="35">
        <v>106.8</v>
      </c>
      <c r="K2374" s="35">
        <v>0</v>
      </c>
      <c r="L2374" s="5">
        <v>320.39999999999998</v>
      </c>
      <c r="M2374" s="4"/>
      <c r="N2374" s="4"/>
      <c r="O2374" s="5"/>
      <c r="P2374" s="5"/>
      <c r="Q2374" s="35">
        <v>0</v>
      </c>
      <c r="R2374" s="35">
        <v>0</v>
      </c>
      <c r="S2374" s="5">
        <f t="shared" si="151"/>
        <v>14156.35712015199</v>
      </c>
      <c r="T2374" cm="1">
        <f t="array" ref="T2374">IF(OR(B2374="MAL ALIMI", B2374="ÜRETİM GİRİŞ"), MIN(I2374, MAX(0, I2374 + SUM(SUMIFS($I$1:I2373, $C$1:C2373, C2374, $B$1:B2373, {"MAL ALIMI","ÜRETİM GİRİŞ"})) - VLOOKUP(C2374, 'STOK RAPORU'!$C$2:$I$1000, 4, 0))), 0)</f>
        <v>3</v>
      </c>
      <c r="U2374" s="22">
        <f t="shared" si="148"/>
        <v>320.39999999999998</v>
      </c>
      <c r="V2374">
        <f t="shared" si="149"/>
        <v>320.39999999999998</v>
      </c>
      <c r="W2374" s="22">
        <f t="shared" si="150"/>
        <v>0</v>
      </c>
    </row>
    <row r="2375" spans="1:23" hidden="1" x14ac:dyDescent="0.25">
      <c r="A2375" s="3">
        <v>46013</v>
      </c>
      <c r="B2375" s="4" t="s">
        <v>298</v>
      </c>
      <c r="C2375" s="4" t="s">
        <v>1377</v>
      </c>
      <c r="D2375" s="4"/>
      <c r="E2375" s="4" t="s">
        <v>856</v>
      </c>
      <c r="F2375" s="4" t="s">
        <v>1463</v>
      </c>
      <c r="G2375" s="4" t="s">
        <v>1464</v>
      </c>
      <c r="H2375" s="4" t="s">
        <v>1329</v>
      </c>
      <c r="I2375" s="4">
        <v>5</v>
      </c>
      <c r="J2375" s="35">
        <v>111</v>
      </c>
      <c r="K2375" s="35">
        <v>0</v>
      </c>
      <c r="L2375" s="5">
        <v>555</v>
      </c>
      <c r="M2375" s="4"/>
      <c r="N2375" s="4"/>
      <c r="O2375" s="5"/>
      <c r="P2375" s="5"/>
      <c r="Q2375" s="35">
        <v>0</v>
      </c>
      <c r="R2375" s="35">
        <v>0</v>
      </c>
      <c r="S2375" s="5">
        <f t="shared" si="151"/>
        <v>14156.35712015199</v>
      </c>
      <c r="T2375" cm="1">
        <f t="array" ref="T2375">IF(OR(B2375="MAL ALIMI", B2375="ÜRETİM GİRİŞ"), MIN(I2375, MAX(0, I2375 + SUM(SUMIFS($I$1:I2374, $C$1:C2374, C2375, $B$1:B2374, {"MAL ALIMI","ÜRETİM GİRİŞ"})) - VLOOKUP(C2375, 'STOK RAPORU'!$C$2:$I$1000, 4, 0))), 0)</f>
        <v>5</v>
      </c>
      <c r="U2375" s="22">
        <f t="shared" si="148"/>
        <v>555</v>
      </c>
      <c r="V2375">
        <f t="shared" si="149"/>
        <v>555</v>
      </c>
      <c r="W2375" s="22">
        <f t="shared" si="150"/>
        <v>0</v>
      </c>
    </row>
    <row r="2376" spans="1:23" hidden="1" x14ac:dyDescent="0.25">
      <c r="A2376" s="3">
        <v>46013</v>
      </c>
      <c r="B2376" s="4" t="s">
        <v>298</v>
      </c>
      <c r="C2376" s="4" t="s">
        <v>1378</v>
      </c>
      <c r="D2376" s="4"/>
      <c r="E2376" s="4" t="s">
        <v>856</v>
      </c>
      <c r="F2376" s="4" t="s">
        <v>1463</v>
      </c>
      <c r="G2376" s="4" t="s">
        <v>1464</v>
      </c>
      <c r="H2376" s="4" t="s">
        <v>1329</v>
      </c>
      <c r="I2376" s="4">
        <v>3</v>
      </c>
      <c r="J2376" s="35">
        <v>118.8</v>
      </c>
      <c r="K2376" s="35">
        <v>0</v>
      </c>
      <c r="L2376" s="5">
        <v>356.4</v>
      </c>
      <c r="M2376" s="4"/>
      <c r="N2376" s="4"/>
      <c r="O2376" s="5"/>
      <c r="P2376" s="5"/>
      <c r="Q2376" s="35">
        <v>0</v>
      </c>
      <c r="R2376" s="35">
        <v>0</v>
      </c>
      <c r="S2376" s="5">
        <f t="shared" si="151"/>
        <v>14156.35712015199</v>
      </c>
      <c r="T2376" cm="1">
        <f t="array" ref="T2376">IF(OR(B2376="MAL ALIMI", B2376="ÜRETİM GİRİŞ"), MIN(I2376, MAX(0, I2376 + SUM(SUMIFS($I$1:I2375, $C$1:C2375, C2376, $B$1:B2375, {"MAL ALIMI","ÜRETİM GİRİŞ"})) - VLOOKUP(C2376, 'STOK RAPORU'!$C$2:$I$1000, 4, 0))), 0)</f>
        <v>3</v>
      </c>
      <c r="U2376" s="22">
        <f t="shared" si="148"/>
        <v>356.4</v>
      </c>
      <c r="V2376">
        <f t="shared" si="149"/>
        <v>356.4</v>
      </c>
      <c r="W2376" s="22">
        <f t="shared" si="150"/>
        <v>0</v>
      </c>
    </row>
    <row r="2377" spans="1:23" hidden="1" x14ac:dyDescent="0.25">
      <c r="A2377" s="3">
        <v>46013</v>
      </c>
      <c r="B2377" s="4" t="s">
        <v>298</v>
      </c>
      <c r="C2377" s="4" t="s">
        <v>1379</v>
      </c>
      <c r="D2377" s="4"/>
      <c r="E2377" s="4" t="s">
        <v>856</v>
      </c>
      <c r="F2377" s="4" t="s">
        <v>1463</v>
      </c>
      <c r="G2377" s="4" t="s">
        <v>1464</v>
      </c>
      <c r="H2377" s="4" t="s">
        <v>1329</v>
      </c>
      <c r="I2377" s="4">
        <v>3</v>
      </c>
      <c r="J2377" s="35">
        <v>118.8</v>
      </c>
      <c r="K2377" s="35">
        <v>0</v>
      </c>
      <c r="L2377" s="5">
        <v>356.4</v>
      </c>
      <c r="M2377" s="4"/>
      <c r="N2377" s="4"/>
      <c r="O2377" s="5"/>
      <c r="P2377" s="5"/>
      <c r="Q2377" s="35">
        <v>0</v>
      </c>
      <c r="R2377" s="35">
        <v>0</v>
      </c>
      <c r="S2377" s="5">
        <f t="shared" si="151"/>
        <v>14156.35712015199</v>
      </c>
      <c r="T2377" cm="1">
        <f t="array" ref="T2377">IF(OR(B2377="MAL ALIMI", B2377="ÜRETİM GİRİŞ"), MIN(I2377, MAX(0, I2377 + SUM(SUMIFS($I$1:I2376, $C$1:C2376, C2377, $B$1:B2376, {"MAL ALIMI","ÜRETİM GİRİŞ"})) - VLOOKUP(C2377, 'STOK RAPORU'!$C$2:$I$1000, 4, 0))), 0)</f>
        <v>2</v>
      </c>
      <c r="U2377" s="22">
        <f t="shared" si="148"/>
        <v>237.6</v>
      </c>
      <c r="V2377">
        <f t="shared" si="149"/>
        <v>356.4</v>
      </c>
      <c r="W2377" s="22">
        <f t="shared" si="150"/>
        <v>118.79999999999998</v>
      </c>
    </row>
    <row r="2378" spans="1:23" hidden="1" x14ac:dyDescent="0.25">
      <c r="A2378" s="3">
        <v>46013</v>
      </c>
      <c r="B2378" s="4" t="s">
        <v>298</v>
      </c>
      <c r="C2378" s="4" t="s">
        <v>1380</v>
      </c>
      <c r="D2378" s="4"/>
      <c r="E2378" s="4" t="s">
        <v>856</v>
      </c>
      <c r="F2378" s="4" t="s">
        <v>1463</v>
      </c>
      <c r="G2378" s="4" t="s">
        <v>1464</v>
      </c>
      <c r="H2378" s="4" t="s">
        <v>1329</v>
      </c>
      <c r="I2378" s="4">
        <v>5</v>
      </c>
      <c r="J2378" s="35">
        <v>118.8</v>
      </c>
      <c r="K2378" s="35">
        <v>0</v>
      </c>
      <c r="L2378" s="5">
        <v>594</v>
      </c>
      <c r="M2378" s="4"/>
      <c r="N2378" s="4"/>
      <c r="O2378" s="5"/>
      <c r="P2378" s="5"/>
      <c r="Q2378" s="35">
        <v>0</v>
      </c>
      <c r="R2378" s="35">
        <v>0</v>
      </c>
      <c r="S2378" s="5">
        <f t="shared" si="151"/>
        <v>14156.35712015199</v>
      </c>
      <c r="T2378" cm="1">
        <f t="array" ref="T2378">IF(OR(B2378="MAL ALIMI", B2378="ÜRETİM GİRİŞ"), MIN(I2378, MAX(0, I2378 + SUM(SUMIFS($I$1:I2377, $C$1:C2377, C2378, $B$1:B2377, {"MAL ALIMI","ÜRETİM GİRİŞ"})) - VLOOKUP(C2378, 'STOK RAPORU'!$C$2:$I$1000, 4, 0))), 0)</f>
        <v>5</v>
      </c>
      <c r="U2378" s="22">
        <f t="shared" si="148"/>
        <v>594</v>
      </c>
      <c r="V2378">
        <f t="shared" si="149"/>
        <v>594</v>
      </c>
      <c r="W2378" s="22">
        <f t="shared" si="150"/>
        <v>0</v>
      </c>
    </row>
    <row r="2379" spans="1:23" hidden="1" x14ac:dyDescent="0.25">
      <c r="A2379" s="3">
        <v>46013</v>
      </c>
      <c r="B2379" s="4" t="s">
        <v>298</v>
      </c>
      <c r="C2379" s="4" t="s">
        <v>1381</v>
      </c>
      <c r="D2379" s="4"/>
      <c r="E2379" s="4" t="s">
        <v>856</v>
      </c>
      <c r="F2379" s="4" t="s">
        <v>1463</v>
      </c>
      <c r="G2379" s="4" t="s">
        <v>1464</v>
      </c>
      <c r="H2379" s="4" t="s">
        <v>1329</v>
      </c>
      <c r="I2379" s="4">
        <v>3</v>
      </c>
      <c r="J2379" s="35">
        <v>142.79999999999998</v>
      </c>
      <c r="K2379" s="35">
        <v>0</v>
      </c>
      <c r="L2379" s="5">
        <v>428.4</v>
      </c>
      <c r="M2379" s="4"/>
      <c r="N2379" s="4"/>
      <c r="O2379" s="5"/>
      <c r="P2379" s="5"/>
      <c r="Q2379" s="35">
        <v>0</v>
      </c>
      <c r="R2379" s="35">
        <v>0</v>
      </c>
      <c r="S2379" s="5">
        <f t="shared" si="151"/>
        <v>14156.35712015199</v>
      </c>
      <c r="T2379" cm="1">
        <f t="array" ref="T2379">IF(OR(B2379="MAL ALIMI", B2379="ÜRETİM GİRİŞ"), MIN(I2379, MAX(0, I2379 + SUM(SUMIFS($I$1:I2378, $C$1:C2378, C2379, $B$1:B2378, {"MAL ALIMI","ÜRETİM GİRİŞ"})) - VLOOKUP(C2379, 'STOK RAPORU'!$C$2:$I$1000, 4, 0))), 0)</f>
        <v>3</v>
      </c>
      <c r="U2379" s="22">
        <f t="shared" si="148"/>
        <v>428.4</v>
      </c>
      <c r="V2379">
        <f t="shared" si="149"/>
        <v>428.4</v>
      </c>
      <c r="W2379" s="22">
        <f t="shared" si="150"/>
        <v>0</v>
      </c>
    </row>
    <row r="2380" spans="1:23" hidden="1" x14ac:dyDescent="0.25">
      <c r="A2380" s="3">
        <v>46013</v>
      </c>
      <c r="B2380" s="4" t="s">
        <v>298</v>
      </c>
      <c r="C2380" s="4" t="s">
        <v>1382</v>
      </c>
      <c r="D2380" s="4"/>
      <c r="E2380" s="4" t="s">
        <v>856</v>
      </c>
      <c r="F2380" s="4" t="s">
        <v>1463</v>
      </c>
      <c r="G2380" s="4" t="s">
        <v>1464</v>
      </c>
      <c r="H2380" s="4" t="s">
        <v>1329</v>
      </c>
      <c r="I2380" s="4">
        <v>3</v>
      </c>
      <c r="J2380" s="35">
        <v>138</v>
      </c>
      <c r="K2380" s="35">
        <v>0</v>
      </c>
      <c r="L2380" s="5">
        <v>414</v>
      </c>
      <c r="M2380" s="4"/>
      <c r="N2380" s="4"/>
      <c r="O2380" s="5"/>
      <c r="P2380" s="5"/>
      <c r="Q2380" s="35">
        <v>0</v>
      </c>
      <c r="R2380" s="35">
        <v>0</v>
      </c>
      <c r="S2380" s="5">
        <f t="shared" si="151"/>
        <v>14156.35712015199</v>
      </c>
      <c r="T2380" cm="1">
        <f t="array" ref="T2380">IF(OR(B2380="MAL ALIMI", B2380="ÜRETİM GİRİŞ"), MIN(I2380, MAX(0, I2380 + SUM(SUMIFS($I$1:I2379, $C$1:C2379, C2380, $B$1:B2379, {"MAL ALIMI","ÜRETİM GİRİŞ"})) - VLOOKUP(C2380, 'STOK RAPORU'!$C$2:$I$1000, 4, 0))), 0)</f>
        <v>0</v>
      </c>
      <c r="U2380" s="22">
        <f t="shared" si="148"/>
        <v>0</v>
      </c>
      <c r="V2380">
        <f t="shared" si="149"/>
        <v>414</v>
      </c>
      <c r="W2380" s="22">
        <f t="shared" si="150"/>
        <v>414</v>
      </c>
    </row>
    <row r="2381" spans="1:23" hidden="1" x14ac:dyDescent="0.25">
      <c r="A2381" s="3">
        <v>46013</v>
      </c>
      <c r="B2381" s="4" t="s">
        <v>298</v>
      </c>
      <c r="C2381" s="4" t="s">
        <v>1383</v>
      </c>
      <c r="D2381" s="4"/>
      <c r="E2381" s="4" t="s">
        <v>856</v>
      </c>
      <c r="F2381" s="4" t="s">
        <v>1463</v>
      </c>
      <c r="G2381" s="4" t="s">
        <v>1464</v>
      </c>
      <c r="H2381" s="4" t="s">
        <v>1329</v>
      </c>
      <c r="I2381" s="4">
        <v>3</v>
      </c>
      <c r="J2381" s="35">
        <v>78</v>
      </c>
      <c r="K2381" s="35">
        <v>0</v>
      </c>
      <c r="L2381" s="5">
        <v>234</v>
      </c>
      <c r="M2381" s="4"/>
      <c r="N2381" s="4"/>
      <c r="O2381" s="5"/>
      <c r="P2381" s="5"/>
      <c r="Q2381" s="35">
        <v>0</v>
      </c>
      <c r="R2381" s="35">
        <v>0</v>
      </c>
      <c r="S2381" s="5">
        <f t="shared" si="151"/>
        <v>14156.35712015199</v>
      </c>
      <c r="T2381" cm="1">
        <f t="array" ref="T2381">IF(OR(B2381="MAL ALIMI", B2381="ÜRETİM GİRİŞ"), MIN(I2381, MAX(0, I2381 + SUM(SUMIFS($I$1:I2380, $C$1:C2380, C2381, $B$1:B2380, {"MAL ALIMI","ÜRETİM GİRİŞ"})) - VLOOKUP(C2381, 'STOK RAPORU'!$C$2:$I$1000, 4, 0))), 0)</f>
        <v>2</v>
      </c>
      <c r="U2381" s="22">
        <f t="shared" si="148"/>
        <v>156</v>
      </c>
      <c r="V2381">
        <f t="shared" si="149"/>
        <v>234</v>
      </c>
      <c r="W2381" s="22">
        <f t="shared" si="150"/>
        <v>78</v>
      </c>
    </row>
    <row r="2382" spans="1:23" hidden="1" x14ac:dyDescent="0.25">
      <c r="A2382" s="3">
        <v>46013</v>
      </c>
      <c r="B2382" s="4" t="s">
        <v>298</v>
      </c>
      <c r="C2382" s="4" t="s">
        <v>1384</v>
      </c>
      <c r="D2382" s="4"/>
      <c r="E2382" s="4" t="s">
        <v>856</v>
      </c>
      <c r="F2382" s="4" t="s">
        <v>1463</v>
      </c>
      <c r="G2382" s="4" t="s">
        <v>1464</v>
      </c>
      <c r="H2382" s="4" t="s">
        <v>1329</v>
      </c>
      <c r="I2382" s="4">
        <v>3</v>
      </c>
      <c r="J2382" s="35">
        <v>94.8</v>
      </c>
      <c r="K2382" s="35">
        <v>0</v>
      </c>
      <c r="L2382" s="5">
        <v>284.39999999999998</v>
      </c>
      <c r="M2382" s="4"/>
      <c r="N2382" s="4"/>
      <c r="O2382" s="5"/>
      <c r="P2382" s="5"/>
      <c r="Q2382" s="35">
        <v>0</v>
      </c>
      <c r="R2382" s="35">
        <v>0</v>
      </c>
      <c r="S2382" s="5">
        <f t="shared" si="151"/>
        <v>14156.35712015199</v>
      </c>
      <c r="T2382" cm="1">
        <f t="array" ref="T2382">IF(OR(B2382="MAL ALIMI", B2382="ÜRETİM GİRİŞ"), MIN(I2382, MAX(0, I2382 + SUM(SUMIFS($I$1:I2381, $C$1:C2381, C2382, $B$1:B2381, {"MAL ALIMI","ÜRETİM GİRİŞ"})) - VLOOKUP(C2382, 'STOK RAPORU'!$C$2:$I$1000, 4, 0))), 0)</f>
        <v>0</v>
      </c>
      <c r="U2382" s="22">
        <f t="shared" si="148"/>
        <v>0</v>
      </c>
      <c r="V2382">
        <f t="shared" si="149"/>
        <v>284.39999999999998</v>
      </c>
      <c r="W2382" s="22">
        <f t="shared" si="150"/>
        <v>284.39999999999998</v>
      </c>
    </row>
    <row r="2383" spans="1:23" hidden="1" x14ac:dyDescent="0.25">
      <c r="A2383" s="3">
        <v>46013</v>
      </c>
      <c r="B2383" s="4" t="s">
        <v>298</v>
      </c>
      <c r="C2383" s="4" t="s">
        <v>1385</v>
      </c>
      <c r="D2383" s="4"/>
      <c r="E2383" s="4" t="s">
        <v>856</v>
      </c>
      <c r="F2383" s="4" t="s">
        <v>1463</v>
      </c>
      <c r="G2383" s="4" t="s">
        <v>1464</v>
      </c>
      <c r="H2383" s="4" t="s">
        <v>1329</v>
      </c>
      <c r="I2383" s="4">
        <v>3</v>
      </c>
      <c r="J2383" s="35">
        <v>118.8</v>
      </c>
      <c r="K2383" s="35">
        <v>0</v>
      </c>
      <c r="L2383" s="5">
        <v>356.4</v>
      </c>
      <c r="M2383" s="4"/>
      <c r="N2383" s="4"/>
      <c r="O2383" s="5"/>
      <c r="P2383" s="5"/>
      <c r="Q2383" s="35">
        <v>0</v>
      </c>
      <c r="R2383" s="35">
        <v>0</v>
      </c>
      <c r="S2383" s="5">
        <f t="shared" si="151"/>
        <v>14156.35712015199</v>
      </c>
      <c r="T2383" cm="1">
        <f t="array" ref="T2383">IF(OR(B2383="MAL ALIMI", B2383="ÜRETİM GİRİŞ"), MIN(I2383, MAX(0, I2383 + SUM(SUMIFS($I$1:I2382, $C$1:C2382, C2383, $B$1:B2382, {"MAL ALIMI","ÜRETİM GİRİŞ"})) - VLOOKUP(C2383, 'STOK RAPORU'!$C$2:$I$1000, 4, 0))), 0)</f>
        <v>3</v>
      </c>
      <c r="U2383" s="22">
        <f t="shared" si="148"/>
        <v>356.4</v>
      </c>
      <c r="V2383">
        <f t="shared" si="149"/>
        <v>356.4</v>
      </c>
      <c r="W2383" s="22">
        <f t="shared" si="150"/>
        <v>0</v>
      </c>
    </row>
    <row r="2384" spans="1:23" hidden="1" x14ac:dyDescent="0.25">
      <c r="A2384" s="3">
        <v>46013</v>
      </c>
      <c r="B2384" s="4" t="s">
        <v>298</v>
      </c>
      <c r="C2384" s="4" t="s">
        <v>1386</v>
      </c>
      <c r="D2384" s="4"/>
      <c r="E2384" s="4" t="s">
        <v>856</v>
      </c>
      <c r="F2384" s="4" t="s">
        <v>1463</v>
      </c>
      <c r="G2384" s="4" t="s">
        <v>1464</v>
      </c>
      <c r="H2384" s="4" t="s">
        <v>1329</v>
      </c>
      <c r="I2384" s="4">
        <v>3</v>
      </c>
      <c r="J2384" s="35">
        <v>178.79999999999998</v>
      </c>
      <c r="K2384" s="35">
        <v>0</v>
      </c>
      <c r="L2384" s="5">
        <v>536.4</v>
      </c>
      <c r="M2384" s="4"/>
      <c r="N2384" s="4"/>
      <c r="O2384" s="5"/>
      <c r="P2384" s="5"/>
      <c r="Q2384" s="35">
        <v>0</v>
      </c>
      <c r="R2384" s="35">
        <v>0</v>
      </c>
      <c r="S2384" s="5">
        <f t="shared" si="151"/>
        <v>14156.35712015199</v>
      </c>
      <c r="T2384" cm="1">
        <f t="array" ref="T2384">IF(OR(B2384="MAL ALIMI", B2384="ÜRETİM GİRİŞ"), MIN(I2384, MAX(0, I2384 + SUM(SUMIFS($I$1:I2383, $C$1:C2383, C2384, $B$1:B2383, {"MAL ALIMI","ÜRETİM GİRİŞ"})) - VLOOKUP(C2384, 'STOK RAPORU'!$C$2:$I$1000, 4, 0))), 0)</f>
        <v>1</v>
      </c>
      <c r="U2384" s="22">
        <f t="shared" si="148"/>
        <v>178.79999999999998</v>
      </c>
      <c r="V2384">
        <f t="shared" si="149"/>
        <v>536.4</v>
      </c>
      <c r="W2384" s="22">
        <f t="shared" si="150"/>
        <v>357.6</v>
      </c>
    </row>
    <row r="2385" spans="1:23" hidden="1" x14ac:dyDescent="0.25">
      <c r="A2385" s="3">
        <v>46013</v>
      </c>
      <c r="B2385" s="4" t="s">
        <v>298</v>
      </c>
      <c r="C2385" s="4" t="s">
        <v>1387</v>
      </c>
      <c r="D2385" s="4"/>
      <c r="E2385" s="4" t="s">
        <v>856</v>
      </c>
      <c r="F2385" s="4" t="s">
        <v>1463</v>
      </c>
      <c r="G2385" s="4" t="s">
        <v>1464</v>
      </c>
      <c r="H2385" s="4" t="s">
        <v>1329</v>
      </c>
      <c r="I2385" s="4">
        <v>5</v>
      </c>
      <c r="J2385" s="35">
        <v>72</v>
      </c>
      <c r="K2385" s="35">
        <v>0</v>
      </c>
      <c r="L2385" s="5">
        <v>360</v>
      </c>
      <c r="M2385" s="4"/>
      <c r="N2385" s="4"/>
      <c r="O2385" s="5"/>
      <c r="P2385" s="5"/>
      <c r="Q2385" s="35">
        <v>0</v>
      </c>
      <c r="R2385" s="35">
        <v>0</v>
      </c>
      <c r="S2385" s="5">
        <f t="shared" si="151"/>
        <v>14156.35712015199</v>
      </c>
      <c r="T2385" cm="1">
        <f t="array" ref="T2385">IF(OR(B2385="MAL ALIMI", B2385="ÜRETİM GİRİŞ"), MIN(I2385, MAX(0, I2385 + SUM(SUMIFS($I$1:I2384, $C$1:C2384, C2385, $B$1:B2384, {"MAL ALIMI","ÜRETİM GİRİŞ"})) - VLOOKUP(C2385, 'STOK RAPORU'!$C$2:$I$1000, 4, 0))), 0)</f>
        <v>4</v>
      </c>
      <c r="U2385" s="22">
        <f t="shared" si="148"/>
        <v>288</v>
      </c>
      <c r="V2385">
        <f t="shared" si="149"/>
        <v>360</v>
      </c>
      <c r="W2385" s="22">
        <f t="shared" si="150"/>
        <v>72</v>
      </c>
    </row>
    <row r="2386" spans="1:23" hidden="1" x14ac:dyDescent="0.25">
      <c r="A2386" s="3">
        <v>46013</v>
      </c>
      <c r="B2386" s="4" t="s">
        <v>298</v>
      </c>
      <c r="C2386" s="4" t="s">
        <v>1388</v>
      </c>
      <c r="D2386" s="4"/>
      <c r="E2386" s="4" t="s">
        <v>856</v>
      </c>
      <c r="F2386" s="4" t="s">
        <v>1463</v>
      </c>
      <c r="G2386" s="4" t="s">
        <v>1464</v>
      </c>
      <c r="H2386" s="4" t="s">
        <v>1329</v>
      </c>
      <c r="I2386" s="4">
        <v>5</v>
      </c>
      <c r="J2386" s="35">
        <v>87</v>
      </c>
      <c r="K2386" s="35">
        <v>0</v>
      </c>
      <c r="L2386" s="5">
        <v>435</v>
      </c>
      <c r="M2386" s="4"/>
      <c r="N2386" s="4"/>
      <c r="O2386" s="5"/>
      <c r="P2386" s="5"/>
      <c r="Q2386" s="35">
        <v>0</v>
      </c>
      <c r="R2386" s="35">
        <v>0</v>
      </c>
      <c r="S2386" s="5">
        <f t="shared" si="151"/>
        <v>14156.35712015199</v>
      </c>
      <c r="T2386" cm="1">
        <f t="array" ref="T2386">IF(OR(B2386="MAL ALIMI", B2386="ÜRETİM GİRİŞ"), MIN(I2386, MAX(0, I2386 + SUM(SUMIFS($I$1:I2385, $C$1:C2385, C2386, $B$1:B2385, {"MAL ALIMI","ÜRETİM GİRİŞ"})) - VLOOKUP(C2386, 'STOK RAPORU'!$C$2:$I$1000, 4, 0))), 0)</f>
        <v>5</v>
      </c>
      <c r="U2386" s="22">
        <f t="shared" si="148"/>
        <v>435</v>
      </c>
      <c r="V2386">
        <f t="shared" si="149"/>
        <v>435</v>
      </c>
      <c r="W2386" s="22">
        <f t="shared" si="150"/>
        <v>0</v>
      </c>
    </row>
    <row r="2387" spans="1:23" hidden="1" x14ac:dyDescent="0.25">
      <c r="A2387" s="3">
        <v>46013</v>
      </c>
      <c r="B2387" s="4" t="s">
        <v>298</v>
      </c>
      <c r="C2387" s="4" t="s">
        <v>1389</v>
      </c>
      <c r="D2387" s="4"/>
      <c r="E2387" s="4" t="s">
        <v>856</v>
      </c>
      <c r="F2387" s="4" t="s">
        <v>1463</v>
      </c>
      <c r="G2387" s="4" t="s">
        <v>1464</v>
      </c>
      <c r="H2387" s="4" t="s">
        <v>1329</v>
      </c>
      <c r="I2387" s="4">
        <v>5</v>
      </c>
      <c r="J2387" s="35">
        <v>75</v>
      </c>
      <c r="K2387" s="35">
        <v>0</v>
      </c>
      <c r="L2387" s="5">
        <v>375</v>
      </c>
      <c r="M2387" s="4"/>
      <c r="N2387" s="4"/>
      <c r="O2387" s="5"/>
      <c r="P2387" s="5"/>
      <c r="Q2387" s="35">
        <v>0</v>
      </c>
      <c r="R2387" s="35">
        <v>0</v>
      </c>
      <c r="S2387" s="5">
        <f t="shared" si="151"/>
        <v>14156.35712015199</v>
      </c>
      <c r="T2387" cm="1">
        <f t="array" ref="T2387">IF(OR(B2387="MAL ALIMI", B2387="ÜRETİM GİRİŞ"), MIN(I2387, MAX(0, I2387 + SUM(SUMIFS($I$1:I2386, $C$1:C2386, C2387, $B$1:B2386, {"MAL ALIMI","ÜRETİM GİRİŞ"})) - VLOOKUP(C2387, 'STOK RAPORU'!$C$2:$I$1000, 4, 0))), 0)</f>
        <v>5</v>
      </c>
      <c r="U2387" s="22">
        <f t="shared" si="148"/>
        <v>375</v>
      </c>
      <c r="V2387">
        <f t="shared" si="149"/>
        <v>375</v>
      </c>
      <c r="W2387" s="22">
        <f t="shared" si="150"/>
        <v>0</v>
      </c>
    </row>
    <row r="2388" spans="1:23" hidden="1" x14ac:dyDescent="0.25">
      <c r="A2388" s="3">
        <v>46013</v>
      </c>
      <c r="B2388" s="4" t="s">
        <v>298</v>
      </c>
      <c r="C2388" s="4" t="s">
        <v>1390</v>
      </c>
      <c r="D2388" s="4"/>
      <c r="E2388" s="4" t="s">
        <v>856</v>
      </c>
      <c r="F2388" s="4" t="s">
        <v>1463</v>
      </c>
      <c r="G2388" s="4" t="s">
        <v>1464</v>
      </c>
      <c r="H2388" s="4" t="s">
        <v>1329</v>
      </c>
      <c r="I2388" s="4">
        <v>5</v>
      </c>
      <c r="J2388" s="35">
        <v>60</v>
      </c>
      <c r="K2388" s="35">
        <v>0</v>
      </c>
      <c r="L2388" s="5">
        <v>300</v>
      </c>
      <c r="M2388" s="4"/>
      <c r="N2388" s="4"/>
      <c r="O2388" s="5"/>
      <c r="P2388" s="5"/>
      <c r="Q2388" s="35">
        <v>0</v>
      </c>
      <c r="R2388" s="35">
        <v>0</v>
      </c>
      <c r="S2388" s="5">
        <f t="shared" si="151"/>
        <v>14156.35712015199</v>
      </c>
      <c r="T2388" cm="1">
        <f t="array" ref="T2388">IF(OR(B2388="MAL ALIMI", B2388="ÜRETİM GİRİŞ"), MIN(I2388, MAX(0, I2388 + SUM(SUMIFS($I$1:I2387, $C$1:C2387, C2388, $B$1:B2387, {"MAL ALIMI","ÜRETİM GİRİŞ"})) - VLOOKUP(C2388, 'STOK RAPORU'!$C$2:$I$1000, 4, 0))), 0)</f>
        <v>5</v>
      </c>
      <c r="U2388" s="22">
        <f t="shared" si="148"/>
        <v>300</v>
      </c>
      <c r="V2388">
        <f t="shared" si="149"/>
        <v>300</v>
      </c>
      <c r="W2388" s="22">
        <f t="shared" si="150"/>
        <v>0</v>
      </c>
    </row>
    <row r="2389" spans="1:23" hidden="1" x14ac:dyDescent="0.25">
      <c r="A2389" s="3">
        <v>46013</v>
      </c>
      <c r="B2389" s="4" t="s">
        <v>298</v>
      </c>
      <c r="C2389" s="4" t="s">
        <v>1391</v>
      </c>
      <c r="D2389" s="4"/>
      <c r="E2389" s="4" t="s">
        <v>856</v>
      </c>
      <c r="F2389" s="4" t="s">
        <v>1463</v>
      </c>
      <c r="G2389" s="4" t="s">
        <v>1464</v>
      </c>
      <c r="H2389" s="4" t="s">
        <v>1329</v>
      </c>
      <c r="I2389" s="4">
        <v>3</v>
      </c>
      <c r="J2389" s="35">
        <v>64.993499999999997</v>
      </c>
      <c r="K2389" s="35">
        <v>0</v>
      </c>
      <c r="L2389" s="5">
        <v>194.98050000000001</v>
      </c>
      <c r="M2389" s="4"/>
      <c r="N2389" s="4"/>
      <c r="O2389" s="5"/>
      <c r="P2389" s="5"/>
      <c r="Q2389" s="35">
        <v>0</v>
      </c>
      <c r="R2389" s="35">
        <v>0</v>
      </c>
      <c r="S2389" s="5">
        <f t="shared" si="151"/>
        <v>14156.35712015199</v>
      </c>
      <c r="T2389" cm="1">
        <f t="array" ref="T2389">IF(OR(B2389="MAL ALIMI", B2389="ÜRETİM GİRİŞ"), MIN(I2389, MAX(0, I2389 + SUM(SUMIFS($I$1:I2388, $C$1:C2388, C2389, $B$1:B2388, {"MAL ALIMI","ÜRETİM GİRİŞ"})) - VLOOKUP(C2389, 'STOK RAPORU'!$C$2:$I$1000, 4, 0))), 0)</f>
        <v>0</v>
      </c>
      <c r="U2389" s="22">
        <f t="shared" si="148"/>
        <v>0</v>
      </c>
      <c r="V2389">
        <f t="shared" si="149"/>
        <v>194.98050000000001</v>
      </c>
      <c r="W2389" s="22">
        <f t="shared" si="150"/>
        <v>194.98050000000001</v>
      </c>
    </row>
    <row r="2390" spans="1:23" hidden="1" x14ac:dyDescent="0.25">
      <c r="A2390" s="3">
        <v>46013</v>
      </c>
      <c r="B2390" s="4" t="s">
        <v>298</v>
      </c>
      <c r="C2390" s="4" t="s">
        <v>1392</v>
      </c>
      <c r="D2390" s="4"/>
      <c r="E2390" s="4" t="s">
        <v>856</v>
      </c>
      <c r="F2390" s="4" t="s">
        <v>1463</v>
      </c>
      <c r="G2390" s="4" t="s">
        <v>1464</v>
      </c>
      <c r="H2390" s="4" t="s">
        <v>1329</v>
      </c>
      <c r="I2390" s="4">
        <v>3</v>
      </c>
      <c r="J2390" s="35">
        <v>39.783900000000003</v>
      </c>
      <c r="K2390" s="35">
        <v>0</v>
      </c>
      <c r="L2390" s="5">
        <v>119.35170000000001</v>
      </c>
      <c r="M2390" s="4"/>
      <c r="N2390" s="4"/>
      <c r="O2390" s="5"/>
      <c r="P2390" s="5"/>
      <c r="Q2390" s="35">
        <v>0</v>
      </c>
      <c r="R2390" s="35">
        <v>0</v>
      </c>
      <c r="S2390" s="5">
        <f t="shared" si="151"/>
        <v>14156.35712015199</v>
      </c>
      <c r="T2390" cm="1">
        <f t="array" ref="T2390">IF(OR(B2390="MAL ALIMI", B2390="ÜRETİM GİRİŞ"), MIN(I2390, MAX(0, I2390 + SUM(SUMIFS($I$1:I2389, $C$1:C2389, C2390, $B$1:B2389, {"MAL ALIMI","ÜRETİM GİRİŞ"})) - VLOOKUP(C2390, 'STOK RAPORU'!$C$2:$I$1000, 4, 0))), 0)</f>
        <v>2</v>
      </c>
      <c r="U2390" s="22">
        <f t="shared" si="148"/>
        <v>79.567800000000005</v>
      </c>
      <c r="V2390">
        <f t="shared" si="149"/>
        <v>119.35170000000001</v>
      </c>
      <c r="W2390" s="22">
        <f t="shared" si="150"/>
        <v>39.783900000000003</v>
      </c>
    </row>
    <row r="2391" spans="1:23" hidden="1" x14ac:dyDescent="0.25">
      <c r="A2391" s="3">
        <v>46013</v>
      </c>
      <c r="B2391" s="4" t="s">
        <v>298</v>
      </c>
      <c r="C2391" s="4" t="s">
        <v>1393</v>
      </c>
      <c r="D2391" s="4"/>
      <c r="E2391" s="4" t="s">
        <v>856</v>
      </c>
      <c r="F2391" s="4" t="s">
        <v>1463</v>
      </c>
      <c r="G2391" s="4" t="s">
        <v>1464</v>
      </c>
      <c r="H2391" s="4" t="s">
        <v>1329</v>
      </c>
      <c r="I2391" s="4">
        <v>5</v>
      </c>
      <c r="J2391" s="35">
        <v>64.900000000000006</v>
      </c>
      <c r="K2391" s="35">
        <v>0</v>
      </c>
      <c r="L2391" s="5">
        <v>324.5</v>
      </c>
      <c r="M2391" s="4"/>
      <c r="N2391" s="4"/>
      <c r="O2391" s="5"/>
      <c r="P2391" s="5"/>
      <c r="Q2391" s="35">
        <v>0</v>
      </c>
      <c r="R2391" s="35">
        <v>0</v>
      </c>
      <c r="S2391" s="5">
        <f t="shared" si="151"/>
        <v>14156.35712015199</v>
      </c>
      <c r="T2391" cm="1">
        <f t="array" ref="T2391">IF(OR(B2391="MAL ALIMI", B2391="ÜRETİM GİRİŞ"), MIN(I2391, MAX(0, I2391 + SUM(SUMIFS($I$1:I2390, $C$1:C2390, C2391, $B$1:B2390, {"MAL ALIMI","ÜRETİM GİRİŞ"})) - VLOOKUP(C2391, 'STOK RAPORU'!$C$2:$I$1000, 4, 0))), 0)</f>
        <v>0</v>
      </c>
      <c r="U2391" s="22">
        <f t="shared" si="148"/>
        <v>0</v>
      </c>
      <c r="V2391">
        <f t="shared" si="149"/>
        <v>324.5</v>
      </c>
      <c r="W2391" s="22">
        <f t="shared" si="150"/>
        <v>324.5</v>
      </c>
    </row>
    <row r="2392" spans="1:23" hidden="1" x14ac:dyDescent="0.25">
      <c r="A2392" s="3">
        <v>46013</v>
      </c>
      <c r="B2392" s="4" t="s">
        <v>298</v>
      </c>
      <c r="C2392" s="4" t="s">
        <v>1394</v>
      </c>
      <c r="D2392" s="4"/>
      <c r="E2392" s="4" t="s">
        <v>856</v>
      </c>
      <c r="F2392" s="4" t="s">
        <v>1463</v>
      </c>
      <c r="G2392" s="4" t="s">
        <v>1464</v>
      </c>
      <c r="H2392" s="4" t="s">
        <v>1329</v>
      </c>
      <c r="I2392" s="4">
        <v>5</v>
      </c>
      <c r="J2392" s="35">
        <v>71.5</v>
      </c>
      <c r="K2392" s="35">
        <v>0</v>
      </c>
      <c r="L2392" s="5">
        <v>357.5</v>
      </c>
      <c r="M2392" s="4"/>
      <c r="N2392" s="4"/>
      <c r="O2392" s="5"/>
      <c r="P2392" s="5"/>
      <c r="Q2392" s="35">
        <v>0</v>
      </c>
      <c r="R2392" s="35">
        <v>0</v>
      </c>
      <c r="S2392" s="5">
        <f t="shared" si="151"/>
        <v>14156.35712015199</v>
      </c>
      <c r="T2392" cm="1">
        <f t="array" ref="T2392">IF(OR(B2392="MAL ALIMI", B2392="ÜRETİM GİRİŞ"), MIN(I2392, MAX(0, I2392 + SUM(SUMIFS($I$1:I2391, $C$1:C2391, C2392, $B$1:B2391, {"MAL ALIMI","ÜRETİM GİRİŞ"})) - VLOOKUP(C2392, 'STOK RAPORU'!$C$2:$I$1000, 4, 0))), 0)</f>
        <v>0</v>
      </c>
      <c r="U2392" s="22">
        <f t="shared" si="148"/>
        <v>0</v>
      </c>
      <c r="V2392">
        <f t="shared" si="149"/>
        <v>357.5</v>
      </c>
      <c r="W2392" s="22">
        <f t="shared" si="150"/>
        <v>357.5</v>
      </c>
    </row>
    <row r="2393" spans="1:23" hidden="1" x14ac:dyDescent="0.25">
      <c r="A2393" s="3">
        <v>46013</v>
      </c>
      <c r="B2393" s="4" t="s">
        <v>298</v>
      </c>
      <c r="C2393" s="4" t="s">
        <v>1395</v>
      </c>
      <c r="D2393" s="4"/>
      <c r="E2393" s="4" t="s">
        <v>856</v>
      </c>
      <c r="F2393" s="4" t="s">
        <v>1463</v>
      </c>
      <c r="G2393" s="4" t="s">
        <v>1464</v>
      </c>
      <c r="H2393" s="4" t="s">
        <v>1329</v>
      </c>
      <c r="I2393" s="4">
        <v>3</v>
      </c>
      <c r="J2393" s="35">
        <v>78</v>
      </c>
      <c r="K2393" s="35">
        <v>0</v>
      </c>
      <c r="L2393" s="5">
        <v>234</v>
      </c>
      <c r="M2393" s="4"/>
      <c r="N2393" s="4"/>
      <c r="O2393" s="5"/>
      <c r="P2393" s="5"/>
      <c r="Q2393" s="35">
        <v>0</v>
      </c>
      <c r="R2393" s="35">
        <v>0</v>
      </c>
      <c r="S2393" s="5">
        <f t="shared" si="151"/>
        <v>14156.35712015199</v>
      </c>
      <c r="T2393" cm="1">
        <f t="array" ref="T2393">IF(OR(B2393="MAL ALIMI", B2393="ÜRETİM GİRİŞ"), MIN(I2393, MAX(0, I2393 + SUM(SUMIFS($I$1:I2392, $C$1:C2392, C2393, $B$1:B2392, {"MAL ALIMI","ÜRETİM GİRİŞ"})) - VLOOKUP(C2393, 'STOK RAPORU'!$C$2:$I$1000, 4, 0))), 0)</f>
        <v>2</v>
      </c>
      <c r="U2393" s="22">
        <f t="shared" si="148"/>
        <v>156</v>
      </c>
      <c r="V2393">
        <f t="shared" si="149"/>
        <v>234</v>
      </c>
      <c r="W2393" s="22">
        <f t="shared" si="150"/>
        <v>78</v>
      </c>
    </row>
    <row r="2394" spans="1:23" hidden="1" x14ac:dyDescent="0.25">
      <c r="A2394" s="3">
        <v>46013</v>
      </c>
      <c r="B2394" s="4" t="s">
        <v>298</v>
      </c>
      <c r="C2394" s="4" t="s">
        <v>1396</v>
      </c>
      <c r="D2394" s="4"/>
      <c r="E2394" s="4" t="s">
        <v>856</v>
      </c>
      <c r="F2394" s="4" t="s">
        <v>1463</v>
      </c>
      <c r="G2394" s="4" t="s">
        <v>1464</v>
      </c>
      <c r="H2394" s="4" t="s">
        <v>1329</v>
      </c>
      <c r="I2394" s="4">
        <v>3</v>
      </c>
      <c r="J2394" s="35">
        <v>51</v>
      </c>
      <c r="K2394" s="35">
        <v>0</v>
      </c>
      <c r="L2394" s="5">
        <v>153</v>
      </c>
      <c r="M2394" s="4"/>
      <c r="N2394" s="4"/>
      <c r="O2394" s="5"/>
      <c r="P2394" s="5"/>
      <c r="Q2394" s="35">
        <v>0</v>
      </c>
      <c r="R2394" s="35">
        <v>0</v>
      </c>
      <c r="S2394" s="5">
        <f t="shared" si="151"/>
        <v>14156.35712015199</v>
      </c>
      <c r="T2394" cm="1">
        <f t="array" ref="T2394">IF(OR(B2394="MAL ALIMI", B2394="ÜRETİM GİRİŞ"), MIN(I2394, MAX(0, I2394 + SUM(SUMIFS($I$1:I2393, $C$1:C2393, C2394, $B$1:B2393, {"MAL ALIMI","ÜRETİM GİRİŞ"})) - VLOOKUP(C2394, 'STOK RAPORU'!$C$2:$I$1000, 4, 0))), 0)</f>
        <v>0</v>
      </c>
      <c r="U2394" s="22">
        <f t="shared" si="148"/>
        <v>0</v>
      </c>
      <c r="V2394">
        <f t="shared" si="149"/>
        <v>153</v>
      </c>
      <c r="W2394" s="22">
        <f t="shared" si="150"/>
        <v>153</v>
      </c>
    </row>
    <row r="2395" spans="1:23" hidden="1" x14ac:dyDescent="0.25">
      <c r="A2395" s="3">
        <v>46013</v>
      </c>
      <c r="B2395" s="4" t="s">
        <v>298</v>
      </c>
      <c r="C2395" s="4" t="s">
        <v>1397</v>
      </c>
      <c r="D2395" s="4"/>
      <c r="E2395" s="4" t="s">
        <v>856</v>
      </c>
      <c r="F2395" s="4" t="s">
        <v>1463</v>
      </c>
      <c r="G2395" s="4" t="s">
        <v>1464</v>
      </c>
      <c r="H2395" s="4" t="s">
        <v>1329</v>
      </c>
      <c r="I2395" s="4">
        <v>5</v>
      </c>
      <c r="J2395" s="35">
        <v>58.8</v>
      </c>
      <c r="K2395" s="35">
        <v>0</v>
      </c>
      <c r="L2395" s="5">
        <v>294</v>
      </c>
      <c r="M2395" s="4"/>
      <c r="N2395" s="4"/>
      <c r="O2395" s="5"/>
      <c r="P2395" s="5"/>
      <c r="Q2395" s="35">
        <v>0</v>
      </c>
      <c r="R2395" s="35">
        <v>0</v>
      </c>
      <c r="S2395" s="5">
        <f t="shared" si="151"/>
        <v>14156.35712015199</v>
      </c>
      <c r="T2395" cm="1">
        <f t="array" ref="T2395">IF(OR(B2395="MAL ALIMI", B2395="ÜRETİM GİRİŞ"), MIN(I2395, MAX(0, I2395 + SUM(SUMIFS($I$1:I2394, $C$1:C2394, C2395, $B$1:B2394, {"MAL ALIMI","ÜRETİM GİRİŞ"})) - VLOOKUP(C2395, 'STOK RAPORU'!$C$2:$I$1000, 4, 0))), 0)</f>
        <v>4</v>
      </c>
      <c r="U2395" s="22">
        <f t="shared" si="148"/>
        <v>235.2</v>
      </c>
      <c r="V2395">
        <f t="shared" si="149"/>
        <v>294</v>
      </c>
      <c r="W2395" s="22">
        <f t="shared" si="150"/>
        <v>58.800000000000011</v>
      </c>
    </row>
    <row r="2396" spans="1:23" hidden="1" x14ac:dyDescent="0.25">
      <c r="A2396" s="3">
        <v>46013</v>
      </c>
      <c r="B2396" s="4" t="s">
        <v>334</v>
      </c>
      <c r="C2396" s="4" t="s">
        <v>126</v>
      </c>
      <c r="D2396" s="4"/>
      <c r="E2396" s="4"/>
      <c r="F2396" s="4" t="s">
        <v>1332</v>
      </c>
      <c r="G2396" s="4" t="s">
        <v>336</v>
      </c>
      <c r="H2396" s="4" t="s">
        <v>289</v>
      </c>
      <c r="I2396" s="4">
        <v>0.11799999999999999</v>
      </c>
      <c r="J2396" s="21">
        <v>640</v>
      </c>
      <c r="K2396" s="21">
        <v>0</v>
      </c>
      <c r="L2396" s="5">
        <v>0</v>
      </c>
      <c r="M2396" s="4"/>
      <c r="N2396" s="4"/>
      <c r="O2396" s="5"/>
      <c r="P2396" s="5"/>
      <c r="Q2396" s="21">
        <v>75.52</v>
      </c>
      <c r="R2396" s="21">
        <v>0</v>
      </c>
      <c r="S2396" s="5">
        <f t="shared" si="151"/>
        <v>14231.87712015199</v>
      </c>
      <c r="T2396" cm="1">
        <f t="array" ref="T2396">IF(OR(B2396="MAL ALIMI", B2396="ÜRETİM GİRİŞ"), MIN(I2396, MAX(0, I2396 + SUM(SUMIFS($I$1:I2395, $C$1:C2395, C2396, $B$1:B2395, {"MAL ALIMI","ÜRETİM GİRİŞ"})) - VLOOKUP(C2396, 'STOK RAPORU'!$C$2:$I$1000, 4, 0))), 0)</f>
        <v>0</v>
      </c>
      <c r="U2396" s="22">
        <f t="shared" si="148"/>
        <v>0</v>
      </c>
      <c r="V2396">
        <f t="shared" si="149"/>
        <v>0</v>
      </c>
      <c r="W2396" s="22">
        <f t="shared" si="150"/>
        <v>0</v>
      </c>
    </row>
    <row r="2397" spans="1:23" hidden="1" x14ac:dyDescent="0.25">
      <c r="A2397" s="3">
        <v>46013</v>
      </c>
      <c r="B2397" s="4" t="s">
        <v>334</v>
      </c>
      <c r="C2397" s="4" t="s">
        <v>131</v>
      </c>
      <c r="D2397" s="4"/>
      <c r="E2397" s="4"/>
      <c r="F2397" s="4" t="s">
        <v>1332</v>
      </c>
      <c r="G2397" s="4" t="s">
        <v>336</v>
      </c>
      <c r="H2397" s="4" t="s">
        <v>289</v>
      </c>
      <c r="I2397" s="4">
        <v>0.108</v>
      </c>
      <c r="J2397" s="21">
        <v>400</v>
      </c>
      <c r="K2397" s="21">
        <v>0</v>
      </c>
      <c r="L2397" s="5">
        <v>0</v>
      </c>
      <c r="M2397" s="4"/>
      <c r="N2397" s="4"/>
      <c r="O2397" s="5"/>
      <c r="P2397" s="5"/>
      <c r="Q2397" s="21">
        <v>43.2</v>
      </c>
      <c r="R2397" s="21">
        <v>0</v>
      </c>
      <c r="S2397" s="5">
        <f t="shared" si="151"/>
        <v>14275.077120151991</v>
      </c>
      <c r="T2397" cm="1">
        <f t="array" ref="T2397">IF(OR(B2397="MAL ALIMI", B2397="ÜRETİM GİRİŞ"), MIN(I2397, MAX(0, I2397 + SUM(SUMIFS($I$1:I2396, $C$1:C2396, C2397, $B$1:B2396, {"MAL ALIMI","ÜRETİM GİRİŞ"})) - VLOOKUP(C2397, 'STOK RAPORU'!$C$2:$I$1000, 4, 0))), 0)</f>
        <v>0</v>
      </c>
      <c r="U2397" s="22">
        <f t="shared" si="148"/>
        <v>0</v>
      </c>
      <c r="V2397">
        <f t="shared" si="149"/>
        <v>0</v>
      </c>
      <c r="W2397" s="22">
        <f t="shared" si="150"/>
        <v>0</v>
      </c>
    </row>
    <row r="2398" spans="1:23" hidden="1" x14ac:dyDescent="0.25">
      <c r="A2398" s="3">
        <v>46013</v>
      </c>
      <c r="B2398" s="4" t="s">
        <v>334</v>
      </c>
      <c r="C2398" s="4" t="s">
        <v>463</v>
      </c>
      <c r="D2398" s="4"/>
      <c r="E2398" s="4"/>
      <c r="F2398" s="4" t="s">
        <v>1332</v>
      </c>
      <c r="G2398" s="4" t="s">
        <v>336</v>
      </c>
      <c r="H2398" s="4" t="s">
        <v>289</v>
      </c>
      <c r="I2398" s="4">
        <v>0.16</v>
      </c>
      <c r="J2398" s="21">
        <v>370</v>
      </c>
      <c r="K2398" s="21">
        <v>0</v>
      </c>
      <c r="L2398" s="5">
        <v>0</v>
      </c>
      <c r="M2398" s="4"/>
      <c r="N2398" s="4"/>
      <c r="O2398" s="5"/>
      <c r="P2398" s="5"/>
      <c r="Q2398" s="21">
        <v>59.2</v>
      </c>
      <c r="R2398" s="21">
        <v>0</v>
      </c>
      <c r="S2398" s="5">
        <f t="shared" si="151"/>
        <v>14334.277120151992</v>
      </c>
      <c r="T2398" cm="1">
        <f t="array" ref="T2398">IF(OR(B2398="MAL ALIMI", B2398="ÜRETİM GİRİŞ"), MIN(I2398, MAX(0, I2398 + SUM(SUMIFS($I$1:I2397, $C$1:C2397, C2398, $B$1:B2397, {"MAL ALIMI","ÜRETİM GİRİŞ"})) - VLOOKUP(C2398, 'STOK RAPORU'!$C$2:$I$1000, 4, 0))), 0)</f>
        <v>0</v>
      </c>
      <c r="U2398" s="22">
        <f t="shared" si="148"/>
        <v>0</v>
      </c>
      <c r="V2398">
        <f t="shared" si="149"/>
        <v>0</v>
      </c>
      <c r="W2398" s="22">
        <f t="shared" si="150"/>
        <v>0</v>
      </c>
    </row>
    <row r="2399" spans="1:23" hidden="1" x14ac:dyDescent="0.25">
      <c r="A2399" s="3">
        <v>46013</v>
      </c>
      <c r="B2399" s="4" t="s">
        <v>334</v>
      </c>
      <c r="C2399" s="4" t="s">
        <v>266</v>
      </c>
      <c r="D2399" s="4"/>
      <c r="E2399" s="4" t="s">
        <v>921</v>
      </c>
      <c r="F2399" s="4" t="s">
        <v>1333</v>
      </c>
      <c r="G2399" s="4" t="s">
        <v>336</v>
      </c>
      <c r="H2399" s="4" t="s">
        <v>380</v>
      </c>
      <c r="I2399" s="4">
        <v>0.27400000000000002</v>
      </c>
      <c r="J2399" s="21">
        <v>250</v>
      </c>
      <c r="K2399" s="21">
        <v>68.5</v>
      </c>
      <c r="L2399" s="5">
        <v>0</v>
      </c>
      <c r="M2399" s="4"/>
      <c r="N2399" s="4"/>
      <c r="O2399" s="5"/>
      <c r="P2399" s="5"/>
      <c r="Q2399" s="21">
        <v>0</v>
      </c>
      <c r="R2399" s="21">
        <v>0</v>
      </c>
      <c r="S2399" s="5">
        <f t="shared" si="151"/>
        <v>14334.277120151992</v>
      </c>
      <c r="T2399" cm="1">
        <f t="array" ref="T2399">IF(OR(B2399="MAL ALIMI", B2399="ÜRETİM GİRİŞ"), MIN(I2399, MAX(0, I2399 + SUM(SUMIFS($I$1:I2398, $C$1:C2398, C2399, $B$1:B2398, {"MAL ALIMI","ÜRETİM GİRİŞ"})) - VLOOKUP(C2399, 'STOK RAPORU'!$C$2:$I$1000, 4, 0))), 0)</f>
        <v>0</v>
      </c>
      <c r="U2399" s="22">
        <f t="shared" si="148"/>
        <v>0</v>
      </c>
      <c r="V2399">
        <f t="shared" si="149"/>
        <v>0</v>
      </c>
      <c r="W2399" s="22">
        <f t="shared" si="150"/>
        <v>0</v>
      </c>
    </row>
    <row r="2400" spans="1:23" hidden="1" x14ac:dyDescent="0.25">
      <c r="A2400" s="3">
        <v>46013</v>
      </c>
      <c r="B2400" s="4" t="s">
        <v>334</v>
      </c>
      <c r="C2400" s="4" t="s">
        <v>457</v>
      </c>
      <c r="D2400" s="4"/>
      <c r="E2400" s="4" t="s">
        <v>921</v>
      </c>
      <c r="F2400" s="4" t="s">
        <v>1333</v>
      </c>
      <c r="G2400" s="4" t="s">
        <v>336</v>
      </c>
      <c r="H2400" s="4" t="s">
        <v>380</v>
      </c>
      <c r="I2400" s="4">
        <v>0.1</v>
      </c>
      <c r="J2400" s="21">
        <v>700</v>
      </c>
      <c r="K2400" s="21">
        <v>70</v>
      </c>
      <c r="L2400" s="5">
        <v>0</v>
      </c>
      <c r="M2400" s="4"/>
      <c r="N2400" s="4"/>
      <c r="O2400" s="5"/>
      <c r="P2400" s="5"/>
      <c r="Q2400" s="21">
        <v>0</v>
      </c>
      <c r="R2400" s="21">
        <v>0</v>
      </c>
      <c r="S2400" s="5">
        <f t="shared" si="151"/>
        <v>14334.277120151992</v>
      </c>
      <c r="T2400" cm="1">
        <f t="array" ref="T2400">IF(OR(B2400="MAL ALIMI", B2400="ÜRETİM GİRİŞ"), MIN(I2400, MAX(0, I2400 + SUM(SUMIFS($I$1:I2399, $C$1:C2399, C2400, $B$1:B2399, {"MAL ALIMI","ÜRETİM GİRİŞ"})) - VLOOKUP(C2400, 'STOK RAPORU'!$C$2:$I$1000, 4, 0))), 0)</f>
        <v>0</v>
      </c>
      <c r="U2400" s="22">
        <f t="shared" si="148"/>
        <v>0</v>
      </c>
      <c r="V2400">
        <f t="shared" si="149"/>
        <v>0</v>
      </c>
      <c r="W2400" s="22">
        <f t="shared" si="150"/>
        <v>0</v>
      </c>
    </row>
    <row r="2401" spans="1:23" hidden="1" x14ac:dyDescent="0.25">
      <c r="A2401" s="3">
        <v>46013</v>
      </c>
      <c r="B2401" s="4" t="s">
        <v>334</v>
      </c>
      <c r="C2401" s="4" t="s">
        <v>223</v>
      </c>
      <c r="D2401" s="4"/>
      <c r="E2401" s="4" t="s">
        <v>921</v>
      </c>
      <c r="F2401" s="4" t="s">
        <v>1333</v>
      </c>
      <c r="G2401" s="4" t="s">
        <v>336</v>
      </c>
      <c r="H2401" s="4" t="s">
        <v>380</v>
      </c>
      <c r="I2401" s="4">
        <v>0.32600000000000001</v>
      </c>
      <c r="J2401" s="21">
        <v>800</v>
      </c>
      <c r="K2401" s="21">
        <v>260.8</v>
      </c>
      <c r="L2401" s="5">
        <v>0</v>
      </c>
      <c r="M2401" s="4"/>
      <c r="N2401" s="4"/>
      <c r="O2401" s="5"/>
      <c r="P2401" s="5"/>
      <c r="Q2401" s="21">
        <v>0</v>
      </c>
      <c r="R2401" s="21">
        <v>0</v>
      </c>
      <c r="S2401" s="5">
        <f t="shared" si="151"/>
        <v>14334.277120151992</v>
      </c>
      <c r="T2401" cm="1">
        <f t="array" ref="T2401">IF(OR(B2401="MAL ALIMI", B2401="ÜRETİM GİRİŞ"), MIN(I2401, MAX(0, I2401 + SUM(SUMIFS($I$1:I2400, $C$1:C2400, C2401, $B$1:B2400, {"MAL ALIMI","ÜRETİM GİRİŞ"})) - VLOOKUP(C2401, 'STOK RAPORU'!$C$2:$I$1000, 4, 0))), 0)</f>
        <v>0</v>
      </c>
      <c r="U2401" s="22">
        <f t="shared" si="148"/>
        <v>0</v>
      </c>
      <c r="V2401">
        <f t="shared" si="149"/>
        <v>0</v>
      </c>
      <c r="W2401" s="22">
        <f t="shared" si="150"/>
        <v>0</v>
      </c>
    </row>
    <row r="2402" spans="1:23" hidden="1" x14ac:dyDescent="0.25">
      <c r="A2402" s="3">
        <v>46013</v>
      </c>
      <c r="B2402" s="4" t="s">
        <v>334</v>
      </c>
      <c r="C2402" s="4" t="s">
        <v>233</v>
      </c>
      <c r="D2402" s="4"/>
      <c r="E2402" s="4" t="s">
        <v>921</v>
      </c>
      <c r="F2402" s="4" t="s">
        <v>1334</v>
      </c>
      <c r="G2402" s="4" t="s">
        <v>336</v>
      </c>
      <c r="H2402" s="4" t="s">
        <v>380</v>
      </c>
      <c r="I2402" s="4">
        <v>1</v>
      </c>
      <c r="J2402" s="21">
        <v>190</v>
      </c>
      <c r="K2402" s="21">
        <v>190</v>
      </c>
      <c r="L2402" s="5">
        <v>0</v>
      </c>
      <c r="M2402" s="4"/>
      <c r="N2402" s="4"/>
      <c r="O2402" s="5"/>
      <c r="P2402" s="5"/>
      <c r="Q2402" s="21">
        <v>0</v>
      </c>
      <c r="R2402" s="21">
        <v>0</v>
      </c>
      <c r="S2402" s="5">
        <f t="shared" si="151"/>
        <v>14334.277120151992</v>
      </c>
      <c r="T2402" cm="1">
        <f t="array" ref="T2402">IF(OR(B2402="MAL ALIMI", B2402="ÜRETİM GİRİŞ"), MIN(I2402, MAX(0, I2402 + SUM(SUMIFS($I$1:I2401, $C$1:C2401, C2402, $B$1:B2401, {"MAL ALIMI","ÜRETİM GİRİŞ"})) - VLOOKUP(C2402, 'STOK RAPORU'!$C$2:$I$1000, 4, 0))), 0)</f>
        <v>0</v>
      </c>
      <c r="U2402" s="22">
        <f t="shared" si="148"/>
        <v>0</v>
      </c>
      <c r="V2402">
        <f t="shared" si="149"/>
        <v>0</v>
      </c>
      <c r="W2402" s="22">
        <f t="shared" si="150"/>
        <v>0</v>
      </c>
    </row>
    <row r="2403" spans="1:23" hidden="1" x14ac:dyDescent="0.25">
      <c r="A2403" s="3">
        <v>46013</v>
      </c>
      <c r="B2403" s="4" t="s">
        <v>334</v>
      </c>
      <c r="C2403" s="4" t="s">
        <v>523</v>
      </c>
      <c r="D2403" s="4"/>
      <c r="E2403" s="4" t="s">
        <v>921</v>
      </c>
      <c r="F2403" s="4" t="s">
        <v>1334</v>
      </c>
      <c r="G2403" s="4" t="s">
        <v>336</v>
      </c>
      <c r="H2403" s="4" t="s">
        <v>380</v>
      </c>
      <c r="I2403" s="4">
        <v>0.1</v>
      </c>
      <c r="J2403" s="21">
        <v>650</v>
      </c>
      <c r="K2403" s="21">
        <v>65</v>
      </c>
      <c r="L2403" s="5">
        <v>0</v>
      </c>
      <c r="M2403" s="4"/>
      <c r="N2403" s="4"/>
      <c r="O2403" s="5"/>
      <c r="P2403" s="5"/>
      <c r="Q2403" s="21">
        <v>0</v>
      </c>
      <c r="R2403" s="21">
        <v>0</v>
      </c>
      <c r="S2403" s="5">
        <f t="shared" si="151"/>
        <v>14334.277120151992</v>
      </c>
      <c r="T2403" cm="1">
        <f t="array" ref="T2403">IF(OR(B2403="MAL ALIMI", B2403="ÜRETİM GİRİŞ"), MIN(I2403, MAX(0, I2403 + SUM(SUMIFS($I$1:I2402, $C$1:C2402, C2403, $B$1:B2402, {"MAL ALIMI","ÜRETİM GİRİŞ"})) - VLOOKUP(C2403, 'STOK RAPORU'!$C$2:$I$1000, 4, 0))), 0)</f>
        <v>0</v>
      </c>
      <c r="U2403" s="22">
        <f t="shared" si="148"/>
        <v>0</v>
      </c>
      <c r="V2403">
        <f t="shared" si="149"/>
        <v>0</v>
      </c>
      <c r="W2403" s="22">
        <f t="shared" si="150"/>
        <v>0</v>
      </c>
    </row>
    <row r="2404" spans="1:23" hidden="1" x14ac:dyDescent="0.25">
      <c r="A2404" s="3">
        <v>46013</v>
      </c>
      <c r="B2404" s="4" t="s">
        <v>334</v>
      </c>
      <c r="C2404" s="4" t="s">
        <v>201</v>
      </c>
      <c r="D2404" s="4"/>
      <c r="E2404" s="4"/>
      <c r="F2404" s="4" t="s">
        <v>1343</v>
      </c>
      <c r="G2404" s="4" t="s">
        <v>336</v>
      </c>
      <c r="H2404" s="4" t="s">
        <v>289</v>
      </c>
      <c r="I2404" s="4">
        <v>0.15625</v>
      </c>
      <c r="J2404" s="21">
        <v>800</v>
      </c>
      <c r="K2404" s="21">
        <v>0</v>
      </c>
      <c r="L2404" s="5">
        <v>0</v>
      </c>
      <c r="M2404" s="4"/>
      <c r="N2404" s="4"/>
      <c r="O2404" s="5"/>
      <c r="P2404" s="5"/>
      <c r="Q2404" s="21">
        <v>125</v>
      </c>
      <c r="R2404" s="21">
        <v>0</v>
      </c>
      <c r="S2404" s="5">
        <f t="shared" si="151"/>
        <v>14459.277120151992</v>
      </c>
      <c r="T2404" cm="1">
        <f t="array" ref="T2404">IF(OR(B2404="MAL ALIMI", B2404="ÜRETİM GİRİŞ"), MIN(I2404, MAX(0, I2404 + SUM(SUMIFS($I$1:I2403, $C$1:C2403, C2404, $B$1:B2403, {"MAL ALIMI","ÜRETİM GİRİŞ"})) - VLOOKUP(C2404, 'STOK RAPORU'!$C$2:$I$1000, 4, 0))), 0)</f>
        <v>0</v>
      </c>
      <c r="U2404" s="22">
        <f t="shared" si="148"/>
        <v>0</v>
      </c>
      <c r="V2404">
        <f t="shared" si="149"/>
        <v>0</v>
      </c>
      <c r="W2404" s="22">
        <f t="shared" si="150"/>
        <v>0</v>
      </c>
    </row>
    <row r="2405" spans="1:23" hidden="1" x14ac:dyDescent="0.25">
      <c r="A2405" s="3">
        <v>46013</v>
      </c>
      <c r="B2405" s="4" t="s">
        <v>334</v>
      </c>
      <c r="C2405" s="4" t="s">
        <v>162</v>
      </c>
      <c r="D2405" s="4"/>
      <c r="E2405" s="4"/>
      <c r="F2405" s="4" t="s">
        <v>1344</v>
      </c>
      <c r="G2405" s="4" t="s">
        <v>336</v>
      </c>
      <c r="H2405" s="4" t="s">
        <v>289</v>
      </c>
      <c r="I2405" s="4">
        <v>0.5</v>
      </c>
      <c r="J2405" s="21">
        <v>260</v>
      </c>
      <c r="K2405" s="21">
        <v>0</v>
      </c>
      <c r="L2405" s="5">
        <v>0</v>
      </c>
      <c r="M2405" s="4"/>
      <c r="N2405" s="4"/>
      <c r="O2405" s="5"/>
      <c r="P2405" s="5"/>
      <c r="Q2405" s="21">
        <v>130</v>
      </c>
      <c r="R2405" s="21">
        <v>0</v>
      </c>
      <c r="S2405" s="5">
        <f t="shared" si="151"/>
        <v>14589.277120151992</v>
      </c>
      <c r="T2405" cm="1">
        <f t="array" ref="T2405">IF(OR(B2405="MAL ALIMI", B2405="ÜRETİM GİRİŞ"), MIN(I2405, MAX(0, I2405 + SUM(SUMIFS($I$1:I2404, $C$1:C2404, C2405, $B$1:B2404, {"MAL ALIMI","ÜRETİM GİRİŞ"})) - VLOOKUP(C2405, 'STOK RAPORU'!$C$2:$I$1000, 4, 0))), 0)</f>
        <v>0</v>
      </c>
      <c r="U2405" s="22">
        <f t="shared" si="148"/>
        <v>0</v>
      </c>
      <c r="V2405">
        <f t="shared" si="149"/>
        <v>0</v>
      </c>
      <c r="W2405" s="22">
        <f t="shared" si="150"/>
        <v>0</v>
      </c>
    </row>
    <row r="2406" spans="1:23" hidden="1" x14ac:dyDescent="0.25">
      <c r="A2406" s="3">
        <v>46013</v>
      </c>
      <c r="B2406" s="4" t="s">
        <v>334</v>
      </c>
      <c r="C2406" s="4" t="s">
        <v>161</v>
      </c>
      <c r="D2406" s="4"/>
      <c r="E2406" s="4"/>
      <c r="F2406" s="4" t="s">
        <v>1344</v>
      </c>
      <c r="G2406" s="4" t="s">
        <v>336</v>
      </c>
      <c r="H2406" s="4" t="s">
        <v>289</v>
      </c>
      <c r="I2406" s="4">
        <v>0.5</v>
      </c>
      <c r="J2406" s="21">
        <v>230</v>
      </c>
      <c r="K2406" s="21">
        <v>0</v>
      </c>
      <c r="L2406" s="5">
        <v>0</v>
      </c>
      <c r="M2406" s="4"/>
      <c r="N2406" s="4"/>
      <c r="O2406" s="5"/>
      <c r="P2406" s="5"/>
      <c r="Q2406" s="21">
        <v>115</v>
      </c>
      <c r="R2406" s="21">
        <v>0</v>
      </c>
      <c r="S2406" s="5">
        <f t="shared" si="151"/>
        <v>14704.277120151992</v>
      </c>
      <c r="T2406" cm="1">
        <f t="array" ref="T2406">IF(OR(B2406="MAL ALIMI", B2406="ÜRETİM GİRİŞ"), MIN(I2406, MAX(0, I2406 + SUM(SUMIFS($I$1:I2405, $C$1:C2405, C2406, $B$1:B2405, {"MAL ALIMI","ÜRETİM GİRİŞ"})) - VLOOKUP(C2406, 'STOK RAPORU'!$C$2:$I$1000, 4, 0))), 0)</f>
        <v>0</v>
      </c>
      <c r="U2406" s="22">
        <f t="shared" si="148"/>
        <v>0</v>
      </c>
      <c r="V2406">
        <f t="shared" si="149"/>
        <v>0</v>
      </c>
      <c r="W2406" s="22">
        <f t="shared" si="150"/>
        <v>0</v>
      </c>
    </row>
    <row r="2407" spans="1:23" hidden="1" x14ac:dyDescent="0.25">
      <c r="A2407" s="3">
        <v>46013</v>
      </c>
      <c r="B2407" s="4" t="s">
        <v>334</v>
      </c>
      <c r="C2407" s="4" t="s">
        <v>160</v>
      </c>
      <c r="D2407" s="4"/>
      <c r="E2407" s="4"/>
      <c r="F2407" s="4" t="s">
        <v>1344</v>
      </c>
      <c r="G2407" s="4" t="s">
        <v>336</v>
      </c>
      <c r="H2407" s="4" t="s">
        <v>289</v>
      </c>
      <c r="I2407" s="4">
        <v>1</v>
      </c>
      <c r="J2407" s="21">
        <v>260</v>
      </c>
      <c r="K2407" s="21">
        <v>0</v>
      </c>
      <c r="L2407" s="5">
        <v>0</v>
      </c>
      <c r="M2407" s="4"/>
      <c r="N2407" s="4"/>
      <c r="O2407" s="5"/>
      <c r="P2407" s="5"/>
      <c r="Q2407" s="21">
        <v>260</v>
      </c>
      <c r="R2407" s="21">
        <v>0</v>
      </c>
      <c r="S2407" s="5">
        <f t="shared" si="151"/>
        <v>14964.277120151992</v>
      </c>
      <c r="T2407" cm="1">
        <f t="array" ref="T2407">IF(OR(B2407="MAL ALIMI", B2407="ÜRETİM GİRİŞ"), MIN(I2407, MAX(0, I2407 + SUM(SUMIFS($I$1:I2406, $C$1:C2406, C2407, $B$1:B2406, {"MAL ALIMI","ÜRETİM GİRİŞ"})) - VLOOKUP(C2407, 'STOK RAPORU'!$C$2:$I$1000, 4, 0))), 0)</f>
        <v>0</v>
      </c>
      <c r="U2407" s="22">
        <f t="shared" si="148"/>
        <v>0</v>
      </c>
      <c r="V2407">
        <f t="shared" si="149"/>
        <v>0</v>
      </c>
      <c r="W2407" s="22">
        <f t="shared" si="150"/>
        <v>0</v>
      </c>
    </row>
    <row r="2408" spans="1:23" hidden="1" x14ac:dyDescent="0.25">
      <c r="A2408" s="3">
        <v>46013</v>
      </c>
      <c r="B2408" s="4" t="s">
        <v>334</v>
      </c>
      <c r="C2408" s="4" t="s">
        <v>1871</v>
      </c>
      <c r="D2408" s="4"/>
      <c r="E2408" s="4"/>
      <c r="F2408" s="4" t="s">
        <v>1344</v>
      </c>
      <c r="G2408" s="4" t="s">
        <v>336</v>
      </c>
      <c r="H2408" s="4" t="s">
        <v>289</v>
      </c>
      <c r="I2408" s="4">
        <v>1</v>
      </c>
      <c r="J2408" s="21">
        <v>150</v>
      </c>
      <c r="K2408" s="21">
        <v>0</v>
      </c>
      <c r="L2408" s="5">
        <v>0</v>
      </c>
      <c r="M2408" s="4"/>
      <c r="N2408" s="4"/>
      <c r="O2408" s="5"/>
      <c r="P2408" s="5"/>
      <c r="Q2408" s="21">
        <v>150</v>
      </c>
      <c r="R2408" s="21">
        <v>0</v>
      </c>
      <c r="S2408" s="5">
        <f t="shared" si="151"/>
        <v>15114.277120151992</v>
      </c>
      <c r="T2408" cm="1">
        <f t="array" ref="T2408">IF(OR(B2408="MAL ALIMI", B2408="ÜRETİM GİRİŞ"), MIN(I2408, MAX(0, I2408 + SUM(SUMIFS($I$1:I2407, $C$1:C2407, C2408, $B$1:B2407, {"MAL ALIMI","ÜRETİM GİRİŞ"})) - VLOOKUP(C2408, 'STOK RAPORU'!$C$2:$I$1000, 4, 0))), 0)</f>
        <v>0</v>
      </c>
      <c r="U2408" s="22">
        <f t="shared" si="148"/>
        <v>0</v>
      </c>
      <c r="V2408">
        <f t="shared" si="149"/>
        <v>0</v>
      </c>
      <c r="W2408" s="22">
        <f t="shared" si="150"/>
        <v>0</v>
      </c>
    </row>
    <row r="2409" spans="1:23" hidden="1" x14ac:dyDescent="0.25">
      <c r="A2409" s="3">
        <v>46013</v>
      </c>
      <c r="B2409" s="4" t="s">
        <v>334</v>
      </c>
      <c r="C2409" s="4" t="s">
        <v>648</v>
      </c>
      <c r="D2409" s="4"/>
      <c r="E2409" s="4"/>
      <c r="F2409" s="4" t="s">
        <v>1344</v>
      </c>
      <c r="G2409" s="4" t="s">
        <v>336</v>
      </c>
      <c r="H2409" s="4" t="s">
        <v>289</v>
      </c>
      <c r="I2409" s="4">
        <v>0.156</v>
      </c>
      <c r="J2409" s="21">
        <v>650</v>
      </c>
      <c r="K2409" s="21">
        <v>0</v>
      </c>
      <c r="L2409" s="5">
        <v>0</v>
      </c>
      <c r="M2409" s="4"/>
      <c r="N2409" s="4"/>
      <c r="O2409" s="5"/>
      <c r="P2409" s="5"/>
      <c r="Q2409" s="21">
        <v>101.4</v>
      </c>
      <c r="R2409" s="21">
        <v>0</v>
      </c>
      <c r="S2409" s="5">
        <f t="shared" si="151"/>
        <v>15215.677120151991</v>
      </c>
      <c r="T2409" cm="1">
        <f t="array" ref="T2409">IF(OR(B2409="MAL ALIMI", B2409="ÜRETİM GİRİŞ"), MIN(I2409, MAX(0, I2409 + SUM(SUMIFS($I$1:I2408, $C$1:C2408, C2409, $B$1:B2408, {"MAL ALIMI","ÜRETİM GİRİŞ"})) - VLOOKUP(C2409, 'STOK RAPORU'!$C$2:$I$1000, 4, 0))), 0)</f>
        <v>0</v>
      </c>
      <c r="U2409" s="22">
        <f t="shared" si="148"/>
        <v>0</v>
      </c>
      <c r="V2409">
        <f t="shared" si="149"/>
        <v>0</v>
      </c>
      <c r="W2409" s="22">
        <f t="shared" si="150"/>
        <v>0</v>
      </c>
    </row>
    <row r="2410" spans="1:23" hidden="1" x14ac:dyDescent="0.25">
      <c r="A2410" s="3">
        <v>46013</v>
      </c>
      <c r="B2410" s="4" t="s">
        <v>334</v>
      </c>
      <c r="C2410" s="4" t="s">
        <v>3167</v>
      </c>
      <c r="D2410" s="4"/>
      <c r="E2410" s="4"/>
      <c r="F2410" s="4" t="s">
        <v>1344</v>
      </c>
      <c r="G2410" s="4" t="s">
        <v>336</v>
      </c>
      <c r="H2410" s="4" t="s">
        <v>289</v>
      </c>
      <c r="I2410" s="4">
        <v>0.14199999999999999</v>
      </c>
      <c r="J2410" s="21">
        <v>370</v>
      </c>
      <c r="K2410" s="21">
        <v>0</v>
      </c>
      <c r="L2410" s="5">
        <v>0</v>
      </c>
      <c r="M2410" s="4"/>
      <c r="N2410" s="4"/>
      <c r="O2410" s="5"/>
      <c r="P2410" s="5"/>
      <c r="Q2410" s="21">
        <v>52.539999999999992</v>
      </c>
      <c r="R2410" s="21">
        <v>0</v>
      </c>
      <c r="S2410" s="5">
        <f t="shared" si="151"/>
        <v>15268.217120151992</v>
      </c>
      <c r="T2410" cm="1">
        <f t="array" ref="T2410">IF(OR(B2410="MAL ALIMI", B2410="ÜRETİM GİRİŞ"), MIN(I2410, MAX(0, I2410 + SUM(SUMIFS($I$1:I2409, $C$1:C2409, C2410, $B$1:B2409, {"MAL ALIMI","ÜRETİM GİRİŞ"})) - VLOOKUP(C2410, 'STOK RAPORU'!$C$2:$I$1000, 4, 0))), 0)</f>
        <v>0</v>
      </c>
      <c r="U2410" s="22">
        <f t="shared" si="148"/>
        <v>0</v>
      </c>
      <c r="V2410">
        <f t="shared" si="149"/>
        <v>0</v>
      </c>
      <c r="W2410" s="22">
        <f t="shared" si="150"/>
        <v>0</v>
      </c>
    </row>
    <row r="2411" spans="1:23" hidden="1" x14ac:dyDescent="0.25">
      <c r="A2411" s="3">
        <v>46013</v>
      </c>
      <c r="B2411" s="4" t="s">
        <v>334</v>
      </c>
      <c r="C2411" s="4" t="s">
        <v>463</v>
      </c>
      <c r="D2411" s="4"/>
      <c r="E2411" s="4"/>
      <c r="F2411" s="4" t="s">
        <v>1344</v>
      </c>
      <c r="G2411" s="4" t="s">
        <v>336</v>
      </c>
      <c r="H2411" s="4" t="s">
        <v>289</v>
      </c>
      <c r="I2411" s="4">
        <v>0.2</v>
      </c>
      <c r="J2411" s="21">
        <v>370</v>
      </c>
      <c r="K2411" s="21">
        <v>0</v>
      </c>
      <c r="L2411" s="5">
        <v>0</v>
      </c>
      <c r="M2411" s="4"/>
      <c r="N2411" s="4"/>
      <c r="O2411" s="5"/>
      <c r="P2411" s="5"/>
      <c r="Q2411" s="21">
        <v>74</v>
      </c>
      <c r="R2411" s="21">
        <v>0</v>
      </c>
      <c r="S2411" s="5">
        <f t="shared" si="151"/>
        <v>15342.217120151992</v>
      </c>
      <c r="T2411" cm="1">
        <f t="array" ref="T2411">IF(OR(B2411="MAL ALIMI", B2411="ÜRETİM GİRİŞ"), MIN(I2411, MAX(0, I2411 + SUM(SUMIFS($I$1:I2410, $C$1:C2410, C2411, $B$1:B2410, {"MAL ALIMI","ÜRETİM GİRİŞ"})) - VLOOKUP(C2411, 'STOK RAPORU'!$C$2:$I$1000, 4, 0))), 0)</f>
        <v>0</v>
      </c>
      <c r="U2411" s="22">
        <f t="shared" si="148"/>
        <v>0</v>
      </c>
      <c r="V2411">
        <f t="shared" si="149"/>
        <v>0</v>
      </c>
      <c r="W2411" s="22">
        <f t="shared" si="150"/>
        <v>0</v>
      </c>
    </row>
    <row r="2412" spans="1:23" hidden="1" x14ac:dyDescent="0.25">
      <c r="A2412" s="3">
        <v>46013</v>
      </c>
      <c r="B2412" s="4" t="s">
        <v>334</v>
      </c>
      <c r="C2412" s="4" t="s">
        <v>163</v>
      </c>
      <c r="D2412" s="4"/>
      <c r="E2412" s="4"/>
      <c r="F2412" s="4" t="s">
        <v>1344</v>
      </c>
      <c r="G2412" s="4" t="s">
        <v>336</v>
      </c>
      <c r="H2412" s="4" t="s">
        <v>289</v>
      </c>
      <c r="I2412" s="4">
        <v>0.11</v>
      </c>
      <c r="J2412" s="21">
        <v>420</v>
      </c>
      <c r="K2412" s="21">
        <v>0</v>
      </c>
      <c r="L2412" s="5">
        <v>0</v>
      </c>
      <c r="M2412" s="4"/>
      <c r="N2412" s="4"/>
      <c r="O2412" s="5"/>
      <c r="P2412" s="5"/>
      <c r="Q2412" s="21">
        <v>46.2</v>
      </c>
      <c r="R2412" s="21">
        <v>0</v>
      </c>
      <c r="S2412" s="5">
        <f t="shared" si="151"/>
        <v>15388.417120151993</v>
      </c>
      <c r="T2412" cm="1">
        <f t="array" ref="T2412">IF(OR(B2412="MAL ALIMI", B2412="ÜRETİM GİRİŞ"), MIN(I2412, MAX(0, I2412 + SUM(SUMIFS($I$1:I2411, $C$1:C2411, C2412, $B$1:B2411, {"MAL ALIMI","ÜRETİM GİRİŞ"})) - VLOOKUP(C2412, 'STOK RAPORU'!$C$2:$I$1000, 4, 0))), 0)</f>
        <v>0</v>
      </c>
      <c r="U2412" s="22">
        <f t="shared" si="148"/>
        <v>0</v>
      </c>
      <c r="V2412">
        <f t="shared" si="149"/>
        <v>0</v>
      </c>
      <c r="W2412" s="22">
        <f t="shared" si="150"/>
        <v>0</v>
      </c>
    </row>
    <row r="2413" spans="1:23" hidden="1" x14ac:dyDescent="0.25">
      <c r="A2413" s="3">
        <v>46013</v>
      </c>
      <c r="B2413" s="4" t="s">
        <v>334</v>
      </c>
      <c r="C2413" s="4" t="s">
        <v>266</v>
      </c>
      <c r="D2413" s="4"/>
      <c r="E2413" s="4"/>
      <c r="F2413" s="4" t="s">
        <v>1344</v>
      </c>
      <c r="G2413" s="4" t="s">
        <v>336</v>
      </c>
      <c r="H2413" s="4" t="s">
        <v>289</v>
      </c>
      <c r="I2413" s="4">
        <v>0.56599999999999995</v>
      </c>
      <c r="J2413" s="21">
        <v>250</v>
      </c>
      <c r="K2413" s="21">
        <v>0</v>
      </c>
      <c r="L2413" s="5">
        <v>0</v>
      </c>
      <c r="M2413" s="4"/>
      <c r="N2413" s="4"/>
      <c r="O2413" s="5"/>
      <c r="P2413" s="5"/>
      <c r="Q2413" s="21">
        <v>141.5</v>
      </c>
      <c r="R2413" s="21">
        <v>0</v>
      </c>
      <c r="S2413" s="5">
        <f t="shared" si="151"/>
        <v>15529.917120151993</v>
      </c>
      <c r="T2413" cm="1">
        <f t="array" ref="T2413">IF(OR(B2413="MAL ALIMI", B2413="ÜRETİM GİRİŞ"), MIN(I2413, MAX(0, I2413 + SUM(SUMIFS($I$1:I2412, $C$1:C2412, C2413, $B$1:B2412, {"MAL ALIMI","ÜRETİM GİRİŞ"})) - VLOOKUP(C2413, 'STOK RAPORU'!$C$2:$I$1000, 4, 0))), 0)</f>
        <v>0</v>
      </c>
      <c r="U2413" s="22">
        <f t="shared" si="148"/>
        <v>0</v>
      </c>
      <c r="V2413">
        <f t="shared" si="149"/>
        <v>0</v>
      </c>
      <c r="W2413" s="22">
        <f t="shared" si="150"/>
        <v>0</v>
      </c>
    </row>
    <row r="2414" spans="1:23" hidden="1" x14ac:dyDescent="0.25">
      <c r="A2414" s="3">
        <v>46013</v>
      </c>
      <c r="B2414" s="4" t="s">
        <v>334</v>
      </c>
      <c r="C2414" s="4" t="s">
        <v>529</v>
      </c>
      <c r="D2414" s="4"/>
      <c r="E2414" s="4"/>
      <c r="F2414" s="4" t="s">
        <v>1344</v>
      </c>
      <c r="G2414" s="4" t="s">
        <v>336</v>
      </c>
      <c r="H2414" s="4" t="s">
        <v>289</v>
      </c>
      <c r="I2414" s="4">
        <v>0.1</v>
      </c>
      <c r="J2414" s="21">
        <v>600</v>
      </c>
      <c r="K2414" s="21">
        <v>0</v>
      </c>
      <c r="L2414" s="5">
        <v>0</v>
      </c>
      <c r="M2414" s="4"/>
      <c r="N2414" s="4"/>
      <c r="O2414" s="5"/>
      <c r="P2414" s="5"/>
      <c r="Q2414" s="21">
        <v>60</v>
      </c>
      <c r="R2414" s="21">
        <v>0</v>
      </c>
      <c r="S2414" s="5">
        <f t="shared" si="151"/>
        <v>15589.917120151993</v>
      </c>
      <c r="T2414" cm="1">
        <f t="array" ref="T2414">IF(OR(B2414="MAL ALIMI", B2414="ÜRETİM GİRİŞ"), MIN(I2414, MAX(0, I2414 + SUM(SUMIFS($I$1:I2413, $C$1:C2413, C2414, $B$1:B2413, {"MAL ALIMI","ÜRETİM GİRİŞ"})) - VLOOKUP(C2414, 'STOK RAPORU'!$C$2:$I$1000, 4, 0))), 0)</f>
        <v>0</v>
      </c>
      <c r="U2414" s="22">
        <f t="shared" si="148"/>
        <v>0</v>
      </c>
      <c r="V2414">
        <f t="shared" si="149"/>
        <v>0</v>
      </c>
      <c r="W2414" s="22">
        <f t="shared" si="150"/>
        <v>0</v>
      </c>
    </row>
    <row r="2415" spans="1:23" hidden="1" x14ac:dyDescent="0.25">
      <c r="A2415" s="3">
        <v>46013</v>
      </c>
      <c r="B2415" s="4" t="s">
        <v>334</v>
      </c>
      <c r="C2415" s="4" t="s">
        <v>647</v>
      </c>
      <c r="D2415" s="4"/>
      <c r="E2415" s="4"/>
      <c r="F2415" s="4" t="s">
        <v>1344</v>
      </c>
      <c r="G2415" s="4" t="s">
        <v>336</v>
      </c>
      <c r="H2415" s="4" t="s">
        <v>289</v>
      </c>
      <c r="I2415" s="4">
        <v>0.25</v>
      </c>
      <c r="J2415" s="21">
        <v>400</v>
      </c>
      <c r="K2415" s="21">
        <v>0</v>
      </c>
      <c r="L2415" s="5">
        <v>0</v>
      </c>
      <c r="M2415" s="4"/>
      <c r="N2415" s="4"/>
      <c r="O2415" s="5"/>
      <c r="P2415" s="5"/>
      <c r="Q2415" s="21">
        <v>100</v>
      </c>
      <c r="R2415" s="21">
        <v>0</v>
      </c>
      <c r="S2415" s="5">
        <f t="shared" si="151"/>
        <v>15689.917120151993</v>
      </c>
      <c r="T2415" cm="1">
        <f t="array" ref="T2415">IF(OR(B2415="MAL ALIMI", B2415="ÜRETİM GİRİŞ"), MIN(I2415, MAX(0, I2415 + SUM(SUMIFS($I$1:I2414, $C$1:C2414, C2415, $B$1:B2414, {"MAL ALIMI","ÜRETİM GİRİŞ"})) - VLOOKUP(C2415, 'STOK RAPORU'!$C$2:$I$1000, 4, 0))), 0)</f>
        <v>0</v>
      </c>
      <c r="U2415" s="22">
        <f t="shared" si="148"/>
        <v>0</v>
      </c>
      <c r="V2415">
        <f t="shared" si="149"/>
        <v>0</v>
      </c>
      <c r="W2415" s="22">
        <f t="shared" si="150"/>
        <v>0</v>
      </c>
    </row>
    <row r="2416" spans="1:23" hidden="1" x14ac:dyDescent="0.25">
      <c r="A2416" s="3">
        <v>46013</v>
      </c>
      <c r="B2416" s="4" t="s">
        <v>334</v>
      </c>
      <c r="C2416" s="4" t="s">
        <v>152</v>
      </c>
      <c r="D2416" s="4"/>
      <c r="E2416" s="4"/>
      <c r="F2416" s="4" t="s">
        <v>1344</v>
      </c>
      <c r="G2416" s="4" t="s">
        <v>336</v>
      </c>
      <c r="H2416" s="4" t="s">
        <v>289</v>
      </c>
      <c r="I2416" s="4">
        <v>0.1</v>
      </c>
      <c r="J2416" s="21">
        <v>400</v>
      </c>
      <c r="K2416" s="21">
        <v>0</v>
      </c>
      <c r="L2416" s="5">
        <v>0</v>
      </c>
      <c r="M2416" s="4"/>
      <c r="N2416" s="4"/>
      <c r="O2416" s="5"/>
      <c r="P2416" s="5"/>
      <c r="Q2416" s="21">
        <v>40</v>
      </c>
      <c r="R2416" s="21">
        <v>0</v>
      </c>
      <c r="S2416" s="5">
        <f t="shared" si="151"/>
        <v>15729.917120151993</v>
      </c>
      <c r="T2416" cm="1">
        <f t="array" ref="T2416">IF(OR(B2416="MAL ALIMI", B2416="ÜRETİM GİRİŞ"), MIN(I2416, MAX(0, I2416 + SUM(SUMIFS($I$1:I2415, $C$1:C2415, C2416, $B$1:B2415, {"MAL ALIMI","ÜRETİM GİRİŞ"})) - VLOOKUP(C2416, 'STOK RAPORU'!$C$2:$I$1000, 4, 0))), 0)</f>
        <v>0</v>
      </c>
      <c r="U2416" s="22">
        <f t="shared" si="148"/>
        <v>0</v>
      </c>
      <c r="V2416">
        <f t="shared" si="149"/>
        <v>0</v>
      </c>
      <c r="W2416" s="22">
        <f t="shared" si="150"/>
        <v>0</v>
      </c>
    </row>
    <row r="2417" spans="1:23" hidden="1" x14ac:dyDescent="0.25">
      <c r="A2417" s="3">
        <v>46013</v>
      </c>
      <c r="B2417" s="4" t="s">
        <v>334</v>
      </c>
      <c r="C2417" s="4" t="s">
        <v>237</v>
      </c>
      <c r="D2417" s="4"/>
      <c r="E2417" s="4"/>
      <c r="F2417" s="4" t="s">
        <v>1344</v>
      </c>
      <c r="G2417" s="4" t="s">
        <v>336</v>
      </c>
      <c r="H2417" s="4" t="s">
        <v>289</v>
      </c>
      <c r="I2417" s="4">
        <v>0.04</v>
      </c>
      <c r="J2417" s="21">
        <v>2250</v>
      </c>
      <c r="K2417" s="21">
        <v>0</v>
      </c>
      <c r="L2417" s="5">
        <v>0</v>
      </c>
      <c r="M2417" s="4"/>
      <c r="N2417" s="4"/>
      <c r="O2417" s="5"/>
      <c r="P2417" s="5"/>
      <c r="Q2417" s="21">
        <v>90</v>
      </c>
      <c r="R2417" s="21">
        <v>0</v>
      </c>
      <c r="S2417" s="5">
        <f t="shared" si="151"/>
        <v>15819.917120151993</v>
      </c>
      <c r="T2417" cm="1">
        <f t="array" ref="T2417">IF(OR(B2417="MAL ALIMI", B2417="ÜRETİM GİRİŞ"), MIN(I2417, MAX(0, I2417 + SUM(SUMIFS($I$1:I2416, $C$1:C2416, C2417, $B$1:B2416, {"MAL ALIMI","ÜRETİM GİRİŞ"})) - VLOOKUP(C2417, 'STOK RAPORU'!$C$2:$I$1000, 4, 0))), 0)</f>
        <v>0</v>
      </c>
      <c r="U2417" s="22">
        <f t="shared" si="148"/>
        <v>0</v>
      </c>
      <c r="V2417">
        <f t="shared" si="149"/>
        <v>0</v>
      </c>
      <c r="W2417" s="22">
        <f t="shared" si="150"/>
        <v>0</v>
      </c>
    </row>
    <row r="2418" spans="1:23" hidden="1" x14ac:dyDescent="0.25">
      <c r="A2418" s="3">
        <v>46013</v>
      </c>
      <c r="B2418" s="4" t="s">
        <v>334</v>
      </c>
      <c r="C2418" s="4" t="s">
        <v>234</v>
      </c>
      <c r="D2418" s="4"/>
      <c r="E2418" s="4"/>
      <c r="F2418" s="4" t="s">
        <v>1344</v>
      </c>
      <c r="G2418" s="4" t="s">
        <v>336</v>
      </c>
      <c r="H2418" s="4" t="s">
        <v>289</v>
      </c>
      <c r="I2418" s="4">
        <v>1</v>
      </c>
      <c r="J2418" s="21">
        <v>180</v>
      </c>
      <c r="K2418" s="21">
        <v>0</v>
      </c>
      <c r="L2418" s="5">
        <v>0</v>
      </c>
      <c r="M2418" s="4"/>
      <c r="N2418" s="4"/>
      <c r="O2418" s="5"/>
      <c r="P2418" s="5"/>
      <c r="Q2418" s="21">
        <v>180</v>
      </c>
      <c r="R2418" s="21">
        <v>0</v>
      </c>
      <c r="S2418" s="5">
        <f t="shared" si="151"/>
        <v>15999.917120151993</v>
      </c>
      <c r="T2418" cm="1">
        <f t="array" ref="T2418">IF(OR(B2418="MAL ALIMI", B2418="ÜRETİM GİRİŞ"), MIN(I2418, MAX(0, I2418 + SUM(SUMIFS($I$1:I2417, $C$1:C2417, C2418, $B$1:B2417, {"MAL ALIMI","ÜRETİM GİRİŞ"})) - VLOOKUP(C2418, 'STOK RAPORU'!$C$2:$I$1000, 4, 0))), 0)</f>
        <v>0</v>
      </c>
      <c r="U2418" s="22">
        <f t="shared" si="148"/>
        <v>0</v>
      </c>
      <c r="V2418">
        <f t="shared" si="149"/>
        <v>0</v>
      </c>
      <c r="W2418" s="22">
        <f t="shared" si="150"/>
        <v>0</v>
      </c>
    </row>
    <row r="2419" spans="1:23" hidden="1" x14ac:dyDescent="0.25">
      <c r="A2419" s="3">
        <v>46013</v>
      </c>
      <c r="B2419" s="4" t="s">
        <v>334</v>
      </c>
      <c r="C2419" s="4" t="s">
        <v>692</v>
      </c>
      <c r="D2419" s="4"/>
      <c r="E2419" s="4"/>
      <c r="F2419" s="4" t="s">
        <v>1345</v>
      </c>
      <c r="G2419" s="4" t="s">
        <v>336</v>
      </c>
      <c r="H2419" s="4" t="s">
        <v>289</v>
      </c>
      <c r="I2419" s="4">
        <v>0.5</v>
      </c>
      <c r="J2419" s="21">
        <v>60</v>
      </c>
      <c r="K2419" s="21">
        <v>0</v>
      </c>
      <c r="L2419" s="5">
        <v>0</v>
      </c>
      <c r="M2419" s="4"/>
      <c r="N2419" s="4"/>
      <c r="O2419" s="5"/>
      <c r="P2419" s="5"/>
      <c r="Q2419" s="21">
        <v>30</v>
      </c>
      <c r="R2419" s="21">
        <v>0</v>
      </c>
      <c r="S2419" s="5">
        <f t="shared" si="151"/>
        <v>16029.917120151993</v>
      </c>
      <c r="T2419" cm="1">
        <f t="array" ref="T2419">IF(OR(B2419="MAL ALIMI", B2419="ÜRETİM GİRİŞ"), MIN(I2419, MAX(0, I2419 + SUM(SUMIFS($I$1:I2418, $C$1:C2418, C2419, $B$1:B2418, {"MAL ALIMI","ÜRETİM GİRİŞ"})) - VLOOKUP(C2419, 'STOK RAPORU'!$C$2:$I$1000, 4, 0))), 0)</f>
        <v>0</v>
      </c>
      <c r="U2419" s="22">
        <f t="shared" si="148"/>
        <v>0</v>
      </c>
      <c r="V2419">
        <f t="shared" si="149"/>
        <v>0</v>
      </c>
      <c r="W2419" s="22">
        <f t="shared" si="150"/>
        <v>0</v>
      </c>
    </row>
    <row r="2420" spans="1:23" hidden="1" x14ac:dyDescent="0.25">
      <c r="A2420" s="3">
        <v>46013</v>
      </c>
      <c r="B2420" s="4" t="s">
        <v>334</v>
      </c>
      <c r="C2420" s="4" t="s">
        <v>168</v>
      </c>
      <c r="D2420" s="4"/>
      <c r="E2420" s="4"/>
      <c r="F2420" s="4" t="s">
        <v>1346</v>
      </c>
      <c r="G2420" s="4" t="s">
        <v>336</v>
      </c>
      <c r="H2420" s="4" t="s">
        <v>289</v>
      </c>
      <c r="I2420" s="4">
        <v>1</v>
      </c>
      <c r="J2420" s="21">
        <v>200</v>
      </c>
      <c r="K2420" s="21">
        <v>0</v>
      </c>
      <c r="L2420" s="5">
        <v>0</v>
      </c>
      <c r="M2420" s="4"/>
      <c r="N2420" s="4"/>
      <c r="O2420" s="5"/>
      <c r="P2420" s="5"/>
      <c r="Q2420" s="21">
        <v>200</v>
      </c>
      <c r="R2420" s="21">
        <v>0</v>
      </c>
      <c r="S2420" s="5">
        <f t="shared" si="151"/>
        <v>16229.917120151993</v>
      </c>
      <c r="T2420" cm="1">
        <f t="array" ref="T2420">IF(OR(B2420="MAL ALIMI", B2420="ÜRETİM GİRİŞ"), MIN(I2420, MAX(0, I2420 + SUM(SUMIFS($I$1:I2419, $C$1:C2419, C2420, $B$1:B2419, {"MAL ALIMI","ÜRETİM GİRİŞ"})) - VLOOKUP(C2420, 'STOK RAPORU'!$C$2:$I$1000, 4, 0))), 0)</f>
        <v>0</v>
      </c>
      <c r="U2420" s="22">
        <f t="shared" si="148"/>
        <v>0</v>
      </c>
      <c r="V2420">
        <f t="shared" si="149"/>
        <v>0</v>
      </c>
      <c r="W2420" s="22">
        <f t="shared" si="150"/>
        <v>0</v>
      </c>
    </row>
    <row r="2421" spans="1:23" hidden="1" x14ac:dyDescent="0.25">
      <c r="A2421" s="3">
        <v>46013</v>
      </c>
      <c r="B2421" s="4" t="s">
        <v>334</v>
      </c>
      <c r="C2421" s="4" t="s">
        <v>160</v>
      </c>
      <c r="D2421" s="4"/>
      <c r="E2421" s="4"/>
      <c r="F2421" s="4" t="s">
        <v>1347</v>
      </c>
      <c r="G2421" s="4" t="s">
        <v>336</v>
      </c>
      <c r="H2421" s="4" t="s">
        <v>289</v>
      </c>
      <c r="I2421" s="4">
        <v>1</v>
      </c>
      <c r="J2421" s="21">
        <v>260</v>
      </c>
      <c r="K2421" s="21">
        <v>0</v>
      </c>
      <c r="L2421" s="5">
        <v>0</v>
      </c>
      <c r="M2421" s="4"/>
      <c r="N2421" s="4"/>
      <c r="O2421" s="5"/>
      <c r="P2421" s="5"/>
      <c r="Q2421" s="21">
        <v>260</v>
      </c>
      <c r="R2421" s="21">
        <v>0</v>
      </c>
      <c r="S2421" s="5">
        <f t="shared" si="151"/>
        <v>16489.917120151993</v>
      </c>
      <c r="T2421" cm="1">
        <f t="array" ref="T2421">IF(OR(B2421="MAL ALIMI", B2421="ÜRETİM GİRİŞ"), MIN(I2421, MAX(0, I2421 + SUM(SUMIFS($I$1:I2420, $C$1:C2420, C2421, $B$1:B2420, {"MAL ALIMI","ÜRETİM GİRİŞ"})) - VLOOKUP(C2421, 'STOK RAPORU'!$C$2:$I$1000, 4, 0))), 0)</f>
        <v>0</v>
      </c>
      <c r="U2421" s="22">
        <f t="shared" si="148"/>
        <v>0</v>
      </c>
      <c r="V2421">
        <f t="shared" si="149"/>
        <v>0</v>
      </c>
      <c r="W2421" s="22">
        <f t="shared" si="150"/>
        <v>0</v>
      </c>
    </row>
    <row r="2422" spans="1:23" hidden="1" x14ac:dyDescent="0.25">
      <c r="A2422" s="3">
        <v>46013</v>
      </c>
      <c r="B2422" s="4" t="s">
        <v>334</v>
      </c>
      <c r="C2422" s="4" t="s">
        <v>748</v>
      </c>
      <c r="D2422" s="4"/>
      <c r="E2422" s="4"/>
      <c r="F2422" s="4" t="s">
        <v>1348</v>
      </c>
      <c r="G2422" s="4" t="s">
        <v>336</v>
      </c>
      <c r="H2422" s="4" t="s">
        <v>289</v>
      </c>
      <c r="I2422" s="4">
        <v>1</v>
      </c>
      <c r="J2422" s="21">
        <v>220</v>
      </c>
      <c r="K2422" s="21">
        <v>0</v>
      </c>
      <c r="L2422" s="5">
        <v>0</v>
      </c>
      <c r="M2422" s="4"/>
      <c r="N2422" s="4"/>
      <c r="O2422" s="5"/>
      <c r="P2422" s="5"/>
      <c r="Q2422" s="21">
        <v>220</v>
      </c>
      <c r="R2422" s="21">
        <v>0</v>
      </c>
      <c r="S2422" s="5">
        <f t="shared" si="151"/>
        <v>16709.917120151993</v>
      </c>
      <c r="T2422" cm="1">
        <f t="array" ref="T2422">IF(OR(B2422="MAL ALIMI", B2422="ÜRETİM GİRİŞ"), MIN(I2422, MAX(0, I2422 + SUM(SUMIFS($I$1:I2421, $C$1:C2421, C2422, $B$1:B2421, {"MAL ALIMI","ÜRETİM GİRİŞ"})) - VLOOKUP(C2422, 'STOK RAPORU'!$C$2:$I$1000, 4, 0))), 0)</f>
        <v>0</v>
      </c>
      <c r="U2422" s="22">
        <f t="shared" si="148"/>
        <v>0</v>
      </c>
      <c r="V2422">
        <f t="shared" si="149"/>
        <v>0</v>
      </c>
      <c r="W2422" s="22">
        <f t="shared" si="150"/>
        <v>0</v>
      </c>
    </row>
    <row r="2423" spans="1:23" hidden="1" x14ac:dyDescent="0.25">
      <c r="A2423" s="3">
        <v>46013</v>
      </c>
      <c r="B2423" s="4" t="s">
        <v>334</v>
      </c>
      <c r="C2423" s="4" t="s">
        <v>465</v>
      </c>
      <c r="D2423" s="4"/>
      <c r="E2423" s="4" t="s">
        <v>921</v>
      </c>
      <c r="F2423" s="4" t="s">
        <v>1349</v>
      </c>
      <c r="G2423" s="4" t="s">
        <v>336</v>
      </c>
      <c r="H2423" s="4" t="s">
        <v>380</v>
      </c>
      <c r="I2423" s="4">
        <v>2</v>
      </c>
      <c r="J2423" s="21">
        <v>40</v>
      </c>
      <c r="K2423" s="21">
        <v>80</v>
      </c>
      <c r="L2423" s="5">
        <v>0</v>
      </c>
      <c r="M2423" s="4"/>
      <c r="N2423" s="4"/>
      <c r="O2423" s="5"/>
      <c r="P2423" s="5"/>
      <c r="Q2423" s="21">
        <v>0</v>
      </c>
      <c r="R2423" s="21">
        <v>0</v>
      </c>
      <c r="S2423" s="5">
        <f t="shared" si="151"/>
        <v>16709.917120151993</v>
      </c>
      <c r="T2423" cm="1">
        <f t="array" ref="T2423">IF(OR(B2423="MAL ALIMI", B2423="ÜRETİM GİRİŞ"), MIN(I2423, MAX(0, I2423 + SUM(SUMIFS($I$1:I2422, $C$1:C2422, C2423, $B$1:B2422, {"MAL ALIMI","ÜRETİM GİRİŞ"})) - VLOOKUP(C2423, 'STOK RAPORU'!$C$2:$I$1000, 4, 0))), 0)</f>
        <v>0</v>
      </c>
      <c r="U2423" s="22">
        <f t="shared" si="148"/>
        <v>0</v>
      </c>
      <c r="V2423">
        <f t="shared" si="149"/>
        <v>0</v>
      </c>
      <c r="W2423" s="22">
        <f t="shared" si="150"/>
        <v>0</v>
      </c>
    </row>
    <row r="2424" spans="1:23" hidden="1" x14ac:dyDescent="0.25">
      <c r="A2424" s="3">
        <v>46013</v>
      </c>
      <c r="B2424" s="4" t="s">
        <v>334</v>
      </c>
      <c r="C2424" s="4" t="s">
        <v>240</v>
      </c>
      <c r="D2424" s="4"/>
      <c r="E2424" s="4"/>
      <c r="F2424" s="4" t="s">
        <v>1350</v>
      </c>
      <c r="G2424" s="4" t="s">
        <v>336</v>
      </c>
      <c r="H2424" s="4" t="s">
        <v>289</v>
      </c>
      <c r="I2424" s="4">
        <v>0.125</v>
      </c>
      <c r="J2424" s="21">
        <v>80</v>
      </c>
      <c r="K2424" s="21">
        <v>0</v>
      </c>
      <c r="L2424" s="5">
        <v>0</v>
      </c>
      <c r="M2424" s="4"/>
      <c r="N2424" s="4"/>
      <c r="O2424" s="5"/>
      <c r="P2424" s="5"/>
      <c r="Q2424" s="21">
        <v>10</v>
      </c>
      <c r="R2424" s="21">
        <v>0</v>
      </c>
      <c r="S2424" s="5">
        <f t="shared" si="151"/>
        <v>16719.917120151993</v>
      </c>
      <c r="T2424" cm="1">
        <f t="array" ref="T2424">IF(OR(B2424="MAL ALIMI", B2424="ÜRETİM GİRİŞ"), MIN(I2424, MAX(0, I2424 + SUM(SUMIFS($I$1:I2423, $C$1:C2423, C2424, $B$1:B2423, {"MAL ALIMI","ÜRETİM GİRİŞ"})) - VLOOKUP(C2424, 'STOK RAPORU'!$C$2:$I$1000, 4, 0))), 0)</f>
        <v>0</v>
      </c>
      <c r="U2424" s="22">
        <f t="shared" si="148"/>
        <v>0</v>
      </c>
      <c r="V2424">
        <f t="shared" si="149"/>
        <v>0</v>
      </c>
      <c r="W2424" s="22">
        <f t="shared" si="150"/>
        <v>0</v>
      </c>
    </row>
    <row r="2425" spans="1:23" hidden="1" x14ac:dyDescent="0.25">
      <c r="A2425" s="3">
        <v>46013</v>
      </c>
      <c r="B2425" s="4" t="s">
        <v>334</v>
      </c>
      <c r="C2425" s="4" t="s">
        <v>728</v>
      </c>
      <c r="D2425" s="4"/>
      <c r="E2425" s="4"/>
      <c r="F2425" s="4" t="s">
        <v>1350</v>
      </c>
      <c r="G2425" s="4" t="s">
        <v>336</v>
      </c>
      <c r="H2425" s="4" t="s">
        <v>289</v>
      </c>
      <c r="I2425" s="4">
        <v>6.6666666666666666E-2</v>
      </c>
      <c r="J2425" s="21">
        <v>600</v>
      </c>
      <c r="K2425" s="21">
        <v>0</v>
      </c>
      <c r="L2425" s="5">
        <v>0</v>
      </c>
      <c r="M2425" s="4"/>
      <c r="N2425" s="4"/>
      <c r="O2425" s="5"/>
      <c r="P2425" s="5"/>
      <c r="Q2425" s="21">
        <v>40</v>
      </c>
      <c r="R2425" s="21">
        <v>0</v>
      </c>
      <c r="S2425" s="5">
        <f t="shared" si="151"/>
        <v>16759.917120151993</v>
      </c>
      <c r="T2425" cm="1">
        <f t="array" ref="T2425">IF(OR(B2425="MAL ALIMI", B2425="ÜRETİM GİRİŞ"), MIN(I2425, MAX(0, I2425 + SUM(SUMIFS($I$1:I2424, $C$1:C2424, C2425, $B$1:B2424, {"MAL ALIMI","ÜRETİM GİRİŞ"})) - VLOOKUP(C2425, 'STOK RAPORU'!$C$2:$I$1000, 4, 0))), 0)</f>
        <v>0</v>
      </c>
      <c r="U2425" s="22">
        <f t="shared" si="148"/>
        <v>0</v>
      </c>
      <c r="V2425">
        <f t="shared" si="149"/>
        <v>0</v>
      </c>
      <c r="W2425" s="22">
        <f t="shared" si="150"/>
        <v>0</v>
      </c>
    </row>
    <row r="2426" spans="1:23" hidden="1" x14ac:dyDescent="0.25">
      <c r="A2426" s="3">
        <v>46013</v>
      </c>
      <c r="B2426" s="4" t="s">
        <v>334</v>
      </c>
      <c r="C2426" s="4" t="s">
        <v>731</v>
      </c>
      <c r="D2426" s="4"/>
      <c r="E2426" s="4"/>
      <c r="F2426" s="4" t="s">
        <v>1351</v>
      </c>
      <c r="G2426" s="4" t="s">
        <v>336</v>
      </c>
      <c r="H2426" s="4" t="s">
        <v>289</v>
      </c>
      <c r="I2426" s="4">
        <v>1</v>
      </c>
      <c r="J2426" s="21">
        <v>90</v>
      </c>
      <c r="K2426" s="21">
        <v>0</v>
      </c>
      <c r="L2426" s="5">
        <v>0</v>
      </c>
      <c r="M2426" s="4"/>
      <c r="N2426" s="4"/>
      <c r="O2426" s="5"/>
      <c r="P2426" s="5"/>
      <c r="Q2426" s="21">
        <v>90</v>
      </c>
      <c r="R2426" s="21">
        <v>0</v>
      </c>
      <c r="S2426" s="5">
        <f t="shared" si="151"/>
        <v>16849.917120151993</v>
      </c>
      <c r="T2426" cm="1">
        <f t="array" ref="T2426">IF(OR(B2426="MAL ALIMI", B2426="ÜRETİM GİRİŞ"), MIN(I2426, MAX(0, I2426 + SUM(SUMIFS($I$1:I2425, $C$1:C2425, C2426, $B$1:B2425, {"MAL ALIMI","ÜRETİM GİRİŞ"})) - VLOOKUP(C2426, 'STOK RAPORU'!$C$2:$I$1000, 4, 0))), 0)</f>
        <v>0</v>
      </c>
      <c r="U2426" s="22">
        <f t="shared" si="148"/>
        <v>0</v>
      </c>
      <c r="V2426">
        <f t="shared" si="149"/>
        <v>0</v>
      </c>
      <c r="W2426" s="22">
        <f t="shared" si="150"/>
        <v>0</v>
      </c>
    </row>
    <row r="2427" spans="1:23" hidden="1" x14ac:dyDescent="0.25">
      <c r="A2427" s="3">
        <v>46013</v>
      </c>
      <c r="B2427" s="4" t="s">
        <v>334</v>
      </c>
      <c r="C2427" s="4" t="s">
        <v>730</v>
      </c>
      <c r="D2427" s="4"/>
      <c r="E2427" s="4"/>
      <c r="F2427" s="4" t="s">
        <v>1351</v>
      </c>
      <c r="G2427" s="4" t="s">
        <v>336</v>
      </c>
      <c r="H2427" s="4" t="s">
        <v>289</v>
      </c>
      <c r="I2427" s="4">
        <v>1</v>
      </c>
      <c r="J2427" s="21">
        <v>90</v>
      </c>
      <c r="K2427" s="21">
        <v>0</v>
      </c>
      <c r="L2427" s="5">
        <v>0</v>
      </c>
      <c r="M2427" s="4"/>
      <c r="N2427" s="4"/>
      <c r="O2427" s="5"/>
      <c r="P2427" s="5"/>
      <c r="Q2427" s="21">
        <v>90</v>
      </c>
      <c r="R2427" s="21">
        <v>0</v>
      </c>
      <c r="S2427" s="5">
        <f t="shared" si="151"/>
        <v>16939.917120151993</v>
      </c>
      <c r="T2427" cm="1">
        <f t="array" ref="T2427">IF(OR(B2427="MAL ALIMI", B2427="ÜRETİM GİRİŞ"), MIN(I2427, MAX(0, I2427 + SUM(SUMIFS($I$1:I2426, $C$1:C2426, C2427, $B$1:B2426, {"MAL ALIMI","ÜRETİM GİRİŞ"})) - VLOOKUP(C2427, 'STOK RAPORU'!$C$2:$I$1000, 4, 0))), 0)</f>
        <v>0</v>
      </c>
      <c r="U2427" s="22">
        <f t="shared" si="148"/>
        <v>0</v>
      </c>
      <c r="V2427">
        <f t="shared" si="149"/>
        <v>0</v>
      </c>
      <c r="W2427" s="22">
        <f t="shared" si="150"/>
        <v>0</v>
      </c>
    </row>
    <row r="2428" spans="1:23" hidden="1" x14ac:dyDescent="0.25">
      <c r="A2428" s="3">
        <v>46013</v>
      </c>
      <c r="B2428" s="4" t="s">
        <v>334</v>
      </c>
      <c r="C2428" s="4" t="s">
        <v>224</v>
      </c>
      <c r="D2428" s="4"/>
      <c r="E2428" s="4"/>
      <c r="F2428" s="4" t="s">
        <v>1351</v>
      </c>
      <c r="G2428" s="4" t="s">
        <v>336</v>
      </c>
      <c r="H2428" s="4" t="s">
        <v>289</v>
      </c>
      <c r="I2428" s="4">
        <v>0.1</v>
      </c>
      <c r="J2428" s="21">
        <v>900</v>
      </c>
      <c r="K2428" s="21">
        <v>0</v>
      </c>
      <c r="L2428" s="5">
        <v>0</v>
      </c>
      <c r="M2428" s="4"/>
      <c r="N2428" s="4"/>
      <c r="O2428" s="5"/>
      <c r="P2428" s="5"/>
      <c r="Q2428" s="21">
        <v>90</v>
      </c>
      <c r="R2428" s="21">
        <v>0</v>
      </c>
      <c r="S2428" s="5">
        <f t="shared" si="151"/>
        <v>17029.917120151993</v>
      </c>
      <c r="T2428" cm="1">
        <f t="array" ref="T2428">IF(OR(B2428="MAL ALIMI", B2428="ÜRETİM GİRİŞ"), MIN(I2428, MAX(0, I2428 + SUM(SUMIFS($I$1:I2427, $C$1:C2427, C2428, $B$1:B2427, {"MAL ALIMI","ÜRETİM GİRİŞ"})) - VLOOKUP(C2428, 'STOK RAPORU'!$C$2:$I$1000, 4, 0))), 0)</f>
        <v>0</v>
      </c>
      <c r="U2428" s="22">
        <f t="shared" si="148"/>
        <v>0</v>
      </c>
      <c r="V2428">
        <f t="shared" si="149"/>
        <v>0</v>
      </c>
      <c r="W2428" s="22">
        <f t="shared" si="150"/>
        <v>0</v>
      </c>
    </row>
    <row r="2429" spans="1:23" hidden="1" x14ac:dyDescent="0.25">
      <c r="A2429" s="3">
        <v>46013</v>
      </c>
      <c r="B2429" s="4" t="s">
        <v>334</v>
      </c>
      <c r="C2429" s="4" t="s">
        <v>529</v>
      </c>
      <c r="D2429" s="4"/>
      <c r="E2429" s="4"/>
      <c r="F2429" s="4" t="s">
        <v>1351</v>
      </c>
      <c r="G2429" s="4" t="s">
        <v>336</v>
      </c>
      <c r="H2429" s="4" t="s">
        <v>289</v>
      </c>
      <c r="I2429" s="4">
        <v>0.1</v>
      </c>
      <c r="J2429" s="21">
        <v>600</v>
      </c>
      <c r="K2429" s="21">
        <v>0</v>
      </c>
      <c r="L2429" s="5">
        <v>0</v>
      </c>
      <c r="M2429" s="4"/>
      <c r="N2429" s="4"/>
      <c r="O2429" s="5"/>
      <c r="P2429" s="5"/>
      <c r="Q2429" s="21">
        <v>60</v>
      </c>
      <c r="R2429" s="21">
        <v>0</v>
      </c>
      <c r="S2429" s="5">
        <f t="shared" si="151"/>
        <v>17089.917120151993</v>
      </c>
      <c r="T2429" cm="1">
        <f t="array" ref="T2429">IF(OR(B2429="MAL ALIMI", B2429="ÜRETİM GİRİŞ"), MIN(I2429, MAX(0, I2429 + SUM(SUMIFS($I$1:I2428, $C$1:C2428, C2429, $B$1:B2428, {"MAL ALIMI","ÜRETİM GİRİŞ"})) - VLOOKUP(C2429, 'STOK RAPORU'!$C$2:$I$1000, 4, 0))), 0)</f>
        <v>0</v>
      </c>
      <c r="U2429" s="22">
        <f t="shared" si="148"/>
        <v>0</v>
      </c>
      <c r="V2429">
        <f t="shared" si="149"/>
        <v>0</v>
      </c>
      <c r="W2429" s="22">
        <f t="shared" si="150"/>
        <v>0</v>
      </c>
    </row>
    <row r="2430" spans="1:23" hidden="1" x14ac:dyDescent="0.25">
      <c r="A2430" s="3">
        <v>46013</v>
      </c>
      <c r="B2430" s="4" t="s">
        <v>334</v>
      </c>
      <c r="C2430" s="4" t="s">
        <v>691</v>
      </c>
      <c r="D2430" s="4"/>
      <c r="E2430" s="4"/>
      <c r="F2430" s="4" t="s">
        <v>1351</v>
      </c>
      <c r="G2430" s="4" t="s">
        <v>336</v>
      </c>
      <c r="H2430" s="4" t="s">
        <v>289</v>
      </c>
      <c r="I2430" s="4">
        <v>0.15</v>
      </c>
      <c r="J2430" s="21">
        <v>200</v>
      </c>
      <c r="K2430" s="21">
        <v>0</v>
      </c>
      <c r="L2430" s="5">
        <v>0</v>
      </c>
      <c r="M2430" s="4"/>
      <c r="N2430" s="4"/>
      <c r="O2430" s="5"/>
      <c r="P2430" s="5"/>
      <c r="Q2430" s="21">
        <v>30</v>
      </c>
      <c r="R2430" s="21">
        <v>0</v>
      </c>
      <c r="S2430" s="5">
        <f t="shared" si="151"/>
        <v>17119.917120151993</v>
      </c>
      <c r="T2430" cm="1">
        <f t="array" ref="T2430">IF(OR(B2430="MAL ALIMI", B2430="ÜRETİM GİRİŞ"), MIN(I2430, MAX(0, I2430 + SUM(SUMIFS($I$1:I2429, $C$1:C2429, C2430, $B$1:B2429, {"MAL ALIMI","ÜRETİM GİRİŞ"})) - VLOOKUP(C2430, 'STOK RAPORU'!$C$2:$I$1000, 4, 0))), 0)</f>
        <v>0</v>
      </c>
      <c r="U2430" s="22">
        <f t="shared" si="148"/>
        <v>0</v>
      </c>
      <c r="V2430">
        <f t="shared" si="149"/>
        <v>0</v>
      </c>
      <c r="W2430" s="22">
        <f t="shared" si="150"/>
        <v>0</v>
      </c>
    </row>
    <row r="2431" spans="1:23" hidden="1" x14ac:dyDescent="0.25">
      <c r="A2431" s="3">
        <v>46013</v>
      </c>
      <c r="B2431" s="4" t="s">
        <v>334</v>
      </c>
      <c r="C2431" s="4" t="s">
        <v>196</v>
      </c>
      <c r="D2431" s="4"/>
      <c r="E2431" s="4"/>
      <c r="F2431" s="4" t="s">
        <v>1351</v>
      </c>
      <c r="G2431" s="4" t="s">
        <v>336</v>
      </c>
      <c r="H2431" s="4" t="s">
        <v>289</v>
      </c>
      <c r="I2431" s="4">
        <v>0.15</v>
      </c>
      <c r="J2431" s="21">
        <v>180</v>
      </c>
      <c r="K2431" s="21">
        <v>0</v>
      </c>
      <c r="L2431" s="5">
        <v>0</v>
      </c>
      <c r="M2431" s="4"/>
      <c r="N2431" s="4"/>
      <c r="O2431" s="5"/>
      <c r="P2431" s="5"/>
      <c r="Q2431" s="21">
        <v>27</v>
      </c>
      <c r="R2431" s="21">
        <v>0</v>
      </c>
      <c r="S2431" s="5">
        <f t="shared" si="151"/>
        <v>17146.917120151993</v>
      </c>
      <c r="T2431" cm="1">
        <f t="array" ref="T2431">IF(OR(B2431="MAL ALIMI", B2431="ÜRETİM GİRİŞ"), MIN(I2431, MAX(0, I2431 + SUM(SUMIFS($I$1:I2430, $C$1:C2430, C2431, $B$1:B2430, {"MAL ALIMI","ÜRETİM GİRİŞ"})) - VLOOKUP(C2431, 'STOK RAPORU'!$C$2:$I$1000, 4, 0))), 0)</f>
        <v>0</v>
      </c>
      <c r="U2431" s="22">
        <f t="shared" si="148"/>
        <v>0</v>
      </c>
      <c r="V2431">
        <f t="shared" si="149"/>
        <v>0</v>
      </c>
      <c r="W2431" s="22">
        <f t="shared" si="150"/>
        <v>0</v>
      </c>
    </row>
    <row r="2432" spans="1:23" hidden="1" x14ac:dyDescent="0.25">
      <c r="A2432" s="3">
        <v>46013</v>
      </c>
      <c r="B2432" s="4" t="s">
        <v>334</v>
      </c>
      <c r="C2432" s="4" t="s">
        <v>266</v>
      </c>
      <c r="D2432" s="4"/>
      <c r="E2432" s="4"/>
      <c r="F2432" s="4" t="s">
        <v>1353</v>
      </c>
      <c r="G2432" s="4" t="s">
        <v>336</v>
      </c>
      <c r="H2432" s="4" t="s">
        <v>289</v>
      </c>
      <c r="I2432" s="4">
        <v>0.28000000000000003</v>
      </c>
      <c r="J2432" s="21">
        <v>250</v>
      </c>
      <c r="K2432" s="21">
        <v>0</v>
      </c>
      <c r="L2432" s="5">
        <v>0</v>
      </c>
      <c r="M2432" s="4"/>
      <c r="N2432" s="4"/>
      <c r="O2432" s="5"/>
      <c r="P2432" s="5"/>
      <c r="Q2432" s="21">
        <v>70</v>
      </c>
      <c r="R2432" s="21">
        <v>0</v>
      </c>
      <c r="S2432" s="5">
        <f t="shared" si="151"/>
        <v>17216.917120151993</v>
      </c>
      <c r="T2432" cm="1">
        <f t="array" ref="T2432">IF(OR(B2432="MAL ALIMI", B2432="ÜRETİM GİRİŞ"), MIN(I2432, MAX(0, I2432 + SUM(SUMIFS($I$1:I2431, $C$1:C2431, C2432, $B$1:B2431, {"MAL ALIMI","ÜRETİM GİRİŞ"})) - VLOOKUP(C2432, 'STOK RAPORU'!$C$2:$I$1000, 4, 0))), 0)</f>
        <v>0</v>
      </c>
      <c r="U2432" s="22">
        <f t="shared" si="148"/>
        <v>0</v>
      </c>
      <c r="V2432">
        <f t="shared" si="149"/>
        <v>0</v>
      </c>
      <c r="W2432" s="22">
        <f t="shared" si="150"/>
        <v>0</v>
      </c>
    </row>
    <row r="2433" spans="1:23" hidden="1" x14ac:dyDescent="0.25">
      <c r="A2433" s="3">
        <v>46013</v>
      </c>
      <c r="B2433" s="4" t="s">
        <v>334</v>
      </c>
      <c r="C2433" s="4" t="s">
        <v>197</v>
      </c>
      <c r="D2433" s="4"/>
      <c r="E2433" s="4"/>
      <c r="F2433" s="4" t="s">
        <v>1353</v>
      </c>
      <c r="G2433" s="4" t="s">
        <v>336</v>
      </c>
      <c r="H2433" s="4" t="s">
        <v>289</v>
      </c>
      <c r="I2433" s="4">
        <v>0.5</v>
      </c>
      <c r="J2433" s="21">
        <v>180</v>
      </c>
      <c r="K2433" s="21">
        <v>0</v>
      </c>
      <c r="L2433" s="5">
        <v>0</v>
      </c>
      <c r="M2433" s="4"/>
      <c r="N2433" s="4"/>
      <c r="O2433" s="5"/>
      <c r="P2433" s="5"/>
      <c r="Q2433" s="21">
        <v>90</v>
      </c>
      <c r="R2433" s="21">
        <v>0</v>
      </c>
      <c r="S2433" s="5">
        <f t="shared" si="151"/>
        <v>17306.917120151993</v>
      </c>
      <c r="T2433" cm="1">
        <f t="array" ref="T2433">IF(OR(B2433="MAL ALIMI", B2433="ÜRETİM GİRİŞ"), MIN(I2433, MAX(0, I2433 + SUM(SUMIFS($I$1:I2432, $C$1:C2432, C2433, $B$1:B2432, {"MAL ALIMI","ÜRETİM GİRİŞ"})) - VLOOKUP(C2433, 'STOK RAPORU'!$C$2:$I$1000, 4, 0))), 0)</f>
        <v>0</v>
      </c>
      <c r="U2433" s="22">
        <f t="shared" si="148"/>
        <v>0</v>
      </c>
      <c r="V2433">
        <f t="shared" si="149"/>
        <v>0</v>
      </c>
      <c r="W2433" s="22">
        <f t="shared" si="150"/>
        <v>0</v>
      </c>
    </row>
    <row r="2434" spans="1:23" hidden="1" x14ac:dyDescent="0.25">
      <c r="A2434" s="3">
        <v>46013</v>
      </c>
      <c r="B2434" s="4" t="s">
        <v>334</v>
      </c>
      <c r="C2434" s="4" t="s">
        <v>730</v>
      </c>
      <c r="D2434" s="4"/>
      <c r="E2434" s="4"/>
      <c r="F2434" s="4" t="s">
        <v>1353</v>
      </c>
      <c r="G2434" s="4" t="s">
        <v>336</v>
      </c>
      <c r="H2434" s="4" t="s">
        <v>289</v>
      </c>
      <c r="I2434" s="4">
        <v>1</v>
      </c>
      <c r="J2434" s="21">
        <v>90</v>
      </c>
      <c r="K2434" s="21">
        <v>0</v>
      </c>
      <c r="L2434" s="5">
        <v>0</v>
      </c>
      <c r="M2434" s="4"/>
      <c r="N2434" s="4"/>
      <c r="O2434" s="5"/>
      <c r="P2434" s="5"/>
      <c r="Q2434" s="21">
        <v>90</v>
      </c>
      <c r="R2434" s="21">
        <v>0</v>
      </c>
      <c r="S2434" s="5">
        <f t="shared" si="151"/>
        <v>17396.917120151993</v>
      </c>
      <c r="T2434" cm="1">
        <f t="array" ref="T2434">IF(OR(B2434="MAL ALIMI", B2434="ÜRETİM GİRİŞ"), MIN(I2434, MAX(0, I2434 + SUM(SUMIFS($I$1:I2433, $C$1:C2433, C2434, $B$1:B2433, {"MAL ALIMI","ÜRETİM GİRİŞ"})) - VLOOKUP(C2434, 'STOK RAPORU'!$C$2:$I$1000, 4, 0))), 0)</f>
        <v>0</v>
      </c>
      <c r="U2434" s="22">
        <f t="shared" si="148"/>
        <v>0</v>
      </c>
      <c r="V2434">
        <f t="shared" si="149"/>
        <v>0</v>
      </c>
      <c r="W2434" s="22">
        <f t="shared" si="150"/>
        <v>0</v>
      </c>
    </row>
    <row r="2435" spans="1:23" hidden="1" x14ac:dyDescent="0.25">
      <c r="A2435" s="3">
        <v>46013</v>
      </c>
      <c r="B2435" s="4" t="s">
        <v>334</v>
      </c>
      <c r="C2435" s="4" t="s">
        <v>209</v>
      </c>
      <c r="D2435" s="4"/>
      <c r="E2435" s="4" t="s">
        <v>921</v>
      </c>
      <c r="F2435" s="4" t="s">
        <v>1353</v>
      </c>
      <c r="G2435" s="4" t="s">
        <v>336</v>
      </c>
      <c r="H2435" s="4" t="s">
        <v>380</v>
      </c>
      <c r="I2435" s="4">
        <v>0.05</v>
      </c>
      <c r="J2435" s="21">
        <v>2600</v>
      </c>
      <c r="K2435" s="21">
        <v>130</v>
      </c>
      <c r="L2435" s="5">
        <v>0</v>
      </c>
      <c r="M2435" s="4"/>
      <c r="N2435" s="4"/>
      <c r="O2435" s="5"/>
      <c r="P2435" s="5"/>
      <c r="Q2435" s="21">
        <v>0</v>
      </c>
      <c r="R2435" s="21">
        <v>0</v>
      </c>
      <c r="S2435" s="5">
        <f t="shared" si="151"/>
        <v>17396.917120151993</v>
      </c>
      <c r="T2435" cm="1">
        <f t="array" ref="T2435">IF(OR(B2435="MAL ALIMI", B2435="ÜRETİM GİRİŞ"), MIN(I2435, MAX(0, I2435 + SUM(SUMIFS($I$1:I2434, $C$1:C2434, C2435, $B$1:B2434, {"MAL ALIMI","ÜRETİM GİRİŞ"})) - VLOOKUP(C2435, 'STOK RAPORU'!$C$2:$I$1000, 4, 0))), 0)</f>
        <v>0</v>
      </c>
      <c r="U2435" s="22">
        <f t="shared" ref="U2435:U2498" si="152">T2435*J2435</f>
        <v>0</v>
      </c>
      <c r="V2435">
        <f t="shared" ref="V2435:V2498" si="153">IF(OR(B2435="MAL ALIMI", B2435="ÜRETİM GİRİŞ"), I2435 * J2435, 0)</f>
        <v>0</v>
      </c>
      <c r="W2435" s="22">
        <f t="shared" ref="W2435:W2498" si="154">V2435-U2435</f>
        <v>0</v>
      </c>
    </row>
    <row r="2436" spans="1:23" hidden="1" x14ac:dyDescent="0.25">
      <c r="A2436" s="3">
        <v>46013</v>
      </c>
      <c r="B2436" s="4" t="s">
        <v>298</v>
      </c>
      <c r="C2436" s="4" t="s">
        <v>1041</v>
      </c>
      <c r="D2436" s="4"/>
      <c r="E2436" s="4" t="s">
        <v>1361</v>
      </c>
      <c r="F2436" s="4" t="s">
        <v>1362</v>
      </c>
      <c r="G2436" s="4" t="s">
        <v>1361</v>
      </c>
      <c r="H2436" s="4" t="s">
        <v>304</v>
      </c>
      <c r="I2436" s="4">
        <v>75</v>
      </c>
      <c r="J2436" s="21">
        <v>190</v>
      </c>
      <c r="K2436" s="21">
        <v>0</v>
      </c>
      <c r="L2436" s="5">
        <v>14250</v>
      </c>
      <c r="M2436" s="4"/>
      <c r="N2436" s="4"/>
      <c r="O2436" s="5"/>
      <c r="P2436" s="5"/>
      <c r="Q2436" s="21">
        <v>0</v>
      </c>
      <c r="R2436" s="21">
        <v>0</v>
      </c>
      <c r="S2436" s="5">
        <f t="shared" ref="S2436:S2499" si="155">S2435+Q2436-R2436</f>
        <v>17396.917120151993</v>
      </c>
      <c r="T2436" cm="1">
        <f t="array" ref="T2436">IF(OR(B2436="MAL ALIMI", B2436="ÜRETİM GİRİŞ"), MIN(I2436, MAX(0, I2436 + SUM(SUMIFS($I$1:I2435, $C$1:C2435, C2436, $B$1:B2435, {"MAL ALIMI","ÜRETİM GİRİŞ"})) - VLOOKUP(C2436, 'STOK RAPORU'!$C$2:$I$1000, 4, 0))), 0)</f>
        <v>0</v>
      </c>
      <c r="U2436" s="22">
        <f t="shared" si="152"/>
        <v>0</v>
      </c>
      <c r="V2436">
        <f t="shared" si="153"/>
        <v>14250</v>
      </c>
      <c r="W2436" s="22">
        <f t="shared" si="154"/>
        <v>14250</v>
      </c>
    </row>
    <row r="2437" spans="1:23" hidden="1" x14ac:dyDescent="0.25">
      <c r="A2437" s="3">
        <v>46013</v>
      </c>
      <c r="B2437" s="4" t="s">
        <v>298</v>
      </c>
      <c r="C2437" s="4" t="s">
        <v>244</v>
      </c>
      <c r="D2437" s="4"/>
      <c r="E2437" s="4" t="s">
        <v>1361</v>
      </c>
      <c r="F2437" s="4" t="s">
        <v>1362</v>
      </c>
      <c r="G2437" s="4" t="s">
        <v>1361</v>
      </c>
      <c r="H2437" s="4" t="s">
        <v>304</v>
      </c>
      <c r="I2437" s="4">
        <v>5</v>
      </c>
      <c r="J2437" s="21">
        <v>525</v>
      </c>
      <c r="K2437" s="21">
        <v>0</v>
      </c>
      <c r="L2437" s="5">
        <v>2625</v>
      </c>
      <c r="M2437" s="4"/>
      <c r="N2437" s="4"/>
      <c r="O2437" s="5"/>
      <c r="P2437" s="5"/>
      <c r="Q2437" s="21">
        <v>0</v>
      </c>
      <c r="R2437" s="21">
        <v>0</v>
      </c>
      <c r="S2437" s="5">
        <f t="shared" si="155"/>
        <v>17396.917120151993</v>
      </c>
      <c r="T2437" cm="1">
        <f t="array" ref="T2437">IF(OR(B2437="MAL ALIMI", B2437="ÜRETİM GİRİŞ"), MIN(I2437, MAX(0, I2437 + SUM(SUMIFS($I$1:I2436, $C$1:C2436, C2437, $B$1:B2436, {"MAL ALIMI","ÜRETİM GİRİŞ"})) - VLOOKUP(C2437, 'STOK RAPORU'!$C$2:$I$1000, 4, 0))), 0)</f>
        <v>0</v>
      </c>
      <c r="U2437" s="22">
        <f t="shared" si="152"/>
        <v>0</v>
      </c>
      <c r="V2437">
        <f t="shared" si="153"/>
        <v>2625</v>
      </c>
      <c r="W2437" s="22">
        <f t="shared" si="154"/>
        <v>2625</v>
      </c>
    </row>
    <row r="2438" spans="1:23" hidden="1" x14ac:dyDescent="0.25">
      <c r="A2438" s="3">
        <v>46013</v>
      </c>
      <c r="B2438" s="4" t="s">
        <v>298</v>
      </c>
      <c r="C2438" s="4" t="s">
        <v>648</v>
      </c>
      <c r="D2438" s="4"/>
      <c r="E2438" s="4" t="s">
        <v>1361</v>
      </c>
      <c r="F2438" s="4" t="s">
        <v>1362</v>
      </c>
      <c r="G2438" s="4" t="s">
        <v>1361</v>
      </c>
      <c r="H2438" s="4" t="s">
        <v>304</v>
      </c>
      <c r="I2438" s="4">
        <v>5</v>
      </c>
      <c r="J2438" s="21">
        <v>420</v>
      </c>
      <c r="K2438" s="21">
        <v>0</v>
      </c>
      <c r="L2438" s="5">
        <v>2100</v>
      </c>
      <c r="M2438" s="4"/>
      <c r="N2438" s="4"/>
      <c r="O2438" s="5"/>
      <c r="P2438" s="5"/>
      <c r="Q2438" s="21">
        <v>0</v>
      </c>
      <c r="R2438" s="21">
        <v>0</v>
      </c>
      <c r="S2438" s="5">
        <f t="shared" si="155"/>
        <v>17396.917120151993</v>
      </c>
      <c r="T2438" cm="1">
        <f t="array" ref="T2438">IF(OR(B2438="MAL ALIMI", B2438="ÜRETİM GİRİŞ"), MIN(I2438, MAX(0, I2438 + SUM(SUMIFS($I$1:I2437, $C$1:C2437, C2438, $B$1:B2437, {"MAL ALIMI","ÜRETİM GİRİŞ"})) - VLOOKUP(C2438, 'STOK RAPORU'!$C$2:$I$1000, 4, 0))), 0)</f>
        <v>0</v>
      </c>
      <c r="U2438" s="22">
        <f t="shared" si="152"/>
        <v>0</v>
      </c>
      <c r="V2438">
        <f t="shared" si="153"/>
        <v>2100</v>
      </c>
      <c r="W2438" s="22">
        <f t="shared" si="154"/>
        <v>2100</v>
      </c>
    </row>
    <row r="2439" spans="1:23" hidden="1" x14ac:dyDescent="0.25">
      <c r="A2439" s="3">
        <v>46013</v>
      </c>
      <c r="B2439" s="4" t="s">
        <v>298</v>
      </c>
      <c r="C2439" s="4" t="s">
        <v>728</v>
      </c>
      <c r="D2439" s="4"/>
      <c r="E2439" s="4" t="s">
        <v>1361</v>
      </c>
      <c r="F2439" s="4" t="s">
        <v>1362</v>
      </c>
      <c r="G2439" s="4" t="s">
        <v>1361</v>
      </c>
      <c r="H2439" s="4" t="s">
        <v>304</v>
      </c>
      <c r="I2439" s="4">
        <v>10</v>
      </c>
      <c r="J2439" s="21">
        <v>460</v>
      </c>
      <c r="K2439" s="21">
        <v>0</v>
      </c>
      <c r="L2439" s="5">
        <v>4600</v>
      </c>
      <c r="M2439" s="4"/>
      <c r="N2439" s="4"/>
      <c r="O2439" s="5"/>
      <c r="P2439" s="5"/>
      <c r="Q2439" s="21">
        <v>0</v>
      </c>
      <c r="R2439" s="21">
        <v>0</v>
      </c>
      <c r="S2439" s="5">
        <f t="shared" si="155"/>
        <v>17396.917120151993</v>
      </c>
      <c r="T2439" cm="1">
        <f t="array" ref="T2439">IF(OR(B2439="MAL ALIMI", B2439="ÜRETİM GİRİŞ"), MIN(I2439, MAX(0, I2439 + SUM(SUMIFS($I$1:I2438, $C$1:C2438, C2439, $B$1:B2438, {"MAL ALIMI","ÜRETİM GİRİŞ"})) - VLOOKUP(C2439, 'STOK RAPORU'!$C$2:$I$1000, 4, 0))), 0)</f>
        <v>0</v>
      </c>
      <c r="U2439" s="22">
        <f t="shared" si="152"/>
        <v>0</v>
      </c>
      <c r="V2439">
        <f t="shared" si="153"/>
        <v>4600</v>
      </c>
      <c r="W2439" s="22">
        <f t="shared" si="154"/>
        <v>4600</v>
      </c>
    </row>
    <row r="2440" spans="1:23" hidden="1" x14ac:dyDescent="0.25">
      <c r="A2440" s="3">
        <v>46013</v>
      </c>
      <c r="B2440" s="4" t="s">
        <v>298</v>
      </c>
      <c r="C2440" s="4" t="s">
        <v>1359</v>
      </c>
      <c r="D2440" s="4"/>
      <c r="E2440" s="4" t="s">
        <v>1361</v>
      </c>
      <c r="F2440" s="4" t="s">
        <v>1362</v>
      </c>
      <c r="G2440" s="4" t="s">
        <v>1361</v>
      </c>
      <c r="H2440" s="4" t="s">
        <v>304</v>
      </c>
      <c r="I2440" s="4">
        <v>10</v>
      </c>
      <c r="J2440" s="21">
        <v>300</v>
      </c>
      <c r="K2440" s="21">
        <v>0</v>
      </c>
      <c r="L2440" s="5">
        <v>3000</v>
      </c>
      <c r="M2440" s="4"/>
      <c r="N2440" s="4"/>
      <c r="O2440" s="5"/>
      <c r="P2440" s="5"/>
      <c r="Q2440" s="21">
        <v>0</v>
      </c>
      <c r="R2440" s="21">
        <v>0</v>
      </c>
      <c r="S2440" s="5">
        <f t="shared" si="155"/>
        <v>17396.917120151993</v>
      </c>
      <c r="T2440" cm="1">
        <f t="array" ref="T2440">IF(OR(B2440="MAL ALIMI", B2440="ÜRETİM GİRİŞ"), MIN(I2440, MAX(0, I2440 + SUM(SUMIFS($I$1:I2439, $C$1:C2439, C2440, $B$1:B2439, {"MAL ALIMI","ÜRETİM GİRİŞ"})) - VLOOKUP(C2440, 'STOK RAPORU'!$C$2:$I$1000, 4, 0))), 0)</f>
        <v>0</v>
      </c>
      <c r="U2440" s="22">
        <f t="shared" si="152"/>
        <v>0</v>
      </c>
      <c r="V2440">
        <f t="shared" si="153"/>
        <v>3000</v>
      </c>
      <c r="W2440" s="22">
        <f t="shared" si="154"/>
        <v>3000</v>
      </c>
    </row>
    <row r="2441" spans="1:23" hidden="1" x14ac:dyDescent="0.25">
      <c r="A2441" s="3">
        <v>46013</v>
      </c>
      <c r="B2441" s="4" t="s">
        <v>298</v>
      </c>
      <c r="C2441" s="4" t="s">
        <v>1360</v>
      </c>
      <c r="D2441" s="4"/>
      <c r="E2441" s="4" t="s">
        <v>1361</v>
      </c>
      <c r="F2441" s="4" t="s">
        <v>1362</v>
      </c>
      <c r="G2441" s="4" t="s">
        <v>1361</v>
      </c>
      <c r="H2441" s="4" t="s">
        <v>304</v>
      </c>
      <c r="I2441" s="4">
        <v>10</v>
      </c>
      <c r="J2441" s="21">
        <v>270</v>
      </c>
      <c r="K2441" s="21">
        <v>0</v>
      </c>
      <c r="L2441" s="5">
        <v>2700</v>
      </c>
      <c r="M2441" s="4"/>
      <c r="N2441" s="4"/>
      <c r="O2441" s="5"/>
      <c r="P2441" s="5"/>
      <c r="Q2441" s="21">
        <v>0</v>
      </c>
      <c r="R2441" s="21">
        <v>0</v>
      </c>
      <c r="S2441" s="5">
        <f t="shared" si="155"/>
        <v>17396.917120151993</v>
      </c>
      <c r="T2441" cm="1">
        <f t="array" ref="T2441">IF(OR(B2441="MAL ALIMI", B2441="ÜRETİM GİRİŞ"), MIN(I2441, MAX(0, I2441 + SUM(SUMIFS($I$1:I2440, $C$1:C2440, C2441, $B$1:B2440, {"MAL ALIMI","ÜRETİM GİRİŞ"})) - VLOOKUP(C2441, 'STOK RAPORU'!$C$2:$I$1000, 4, 0))), 0)</f>
        <v>0</v>
      </c>
      <c r="U2441" s="22">
        <f t="shared" si="152"/>
        <v>0</v>
      </c>
      <c r="V2441">
        <f t="shared" si="153"/>
        <v>2700</v>
      </c>
      <c r="W2441" s="22">
        <f t="shared" si="154"/>
        <v>2700</v>
      </c>
    </row>
    <row r="2442" spans="1:23" hidden="1" x14ac:dyDescent="0.25">
      <c r="A2442" s="3">
        <v>46013</v>
      </c>
      <c r="B2442" s="4" t="s">
        <v>298</v>
      </c>
      <c r="C2442" s="4" t="s">
        <v>2130</v>
      </c>
      <c r="D2442" s="4"/>
      <c r="E2442" s="4" t="s">
        <v>1361</v>
      </c>
      <c r="F2442" s="4" t="s">
        <v>1362</v>
      </c>
      <c r="G2442" s="4" t="s">
        <v>1361</v>
      </c>
      <c r="H2442" s="4" t="s">
        <v>304</v>
      </c>
      <c r="I2442" s="4">
        <v>10</v>
      </c>
      <c r="J2442" s="21">
        <v>310</v>
      </c>
      <c r="K2442" s="21">
        <v>0</v>
      </c>
      <c r="L2442" s="5">
        <v>3100</v>
      </c>
      <c r="M2442" s="4"/>
      <c r="N2442" s="4"/>
      <c r="O2442" s="5"/>
      <c r="P2442" s="5"/>
      <c r="Q2442" s="21">
        <v>0</v>
      </c>
      <c r="R2442" s="21">
        <v>0</v>
      </c>
      <c r="S2442" s="5">
        <f t="shared" si="155"/>
        <v>17396.917120151993</v>
      </c>
      <c r="T2442" cm="1">
        <f t="array" ref="T2442">IF(OR(B2442="MAL ALIMI", B2442="ÜRETİM GİRİŞ"), MIN(I2442, MAX(0, I2442 + SUM(SUMIFS($I$1:I2441, $C$1:C2441, C2442, $B$1:B2441, {"MAL ALIMI","ÜRETİM GİRİŞ"})) - VLOOKUP(C2442, 'STOK RAPORU'!$C$2:$I$1000, 4, 0))), 0)</f>
        <v>4.9960000000000004</v>
      </c>
      <c r="U2442" s="22">
        <f t="shared" si="152"/>
        <v>1548.7600000000002</v>
      </c>
      <c r="V2442">
        <f t="shared" si="153"/>
        <v>3100</v>
      </c>
      <c r="W2442" s="22">
        <f t="shared" si="154"/>
        <v>1551.2399999999998</v>
      </c>
    </row>
    <row r="2443" spans="1:23" hidden="1" x14ac:dyDescent="0.25">
      <c r="A2443" s="3">
        <v>46013</v>
      </c>
      <c r="B2443" s="4" t="s">
        <v>298</v>
      </c>
      <c r="C2443" s="4" t="s">
        <v>1357</v>
      </c>
      <c r="D2443" s="4"/>
      <c r="E2443" s="4" t="s">
        <v>1361</v>
      </c>
      <c r="F2443" s="4" t="s">
        <v>1362</v>
      </c>
      <c r="G2443" s="4" t="s">
        <v>1361</v>
      </c>
      <c r="H2443" s="4" t="s">
        <v>304</v>
      </c>
      <c r="I2443" s="4">
        <v>20</v>
      </c>
      <c r="J2443" s="21">
        <v>380</v>
      </c>
      <c r="K2443" s="21">
        <v>0</v>
      </c>
      <c r="L2443" s="5">
        <v>7600</v>
      </c>
      <c r="M2443" s="4"/>
      <c r="N2443" s="4"/>
      <c r="O2443" s="5"/>
      <c r="P2443" s="5"/>
      <c r="Q2443" s="21">
        <v>0</v>
      </c>
      <c r="R2443" s="21">
        <v>0</v>
      </c>
      <c r="S2443" s="5">
        <f t="shared" si="155"/>
        <v>17396.917120151993</v>
      </c>
      <c r="T2443" cm="1">
        <f t="array" ref="T2443">IF(OR(B2443="MAL ALIMI", B2443="ÜRETİM GİRİŞ"), MIN(I2443, MAX(0, I2443 + SUM(SUMIFS($I$1:I2442, $C$1:C2442, C2443, $B$1:B2442, {"MAL ALIMI","ÜRETİM GİRİŞ"})) - VLOOKUP(C2443, 'STOK RAPORU'!$C$2:$I$1000, 4, 0))), 0)</f>
        <v>0</v>
      </c>
      <c r="U2443" s="22">
        <f t="shared" si="152"/>
        <v>0</v>
      </c>
      <c r="V2443">
        <f t="shared" si="153"/>
        <v>7600</v>
      </c>
      <c r="W2443" s="22">
        <f t="shared" si="154"/>
        <v>7600</v>
      </c>
    </row>
    <row r="2444" spans="1:23" hidden="1" x14ac:dyDescent="0.25">
      <c r="A2444" s="3">
        <v>46013</v>
      </c>
      <c r="B2444" s="3" t="s">
        <v>285</v>
      </c>
      <c r="C2444" s="4"/>
      <c r="D2444" s="4" t="s">
        <v>106</v>
      </c>
      <c r="E2444" s="4" t="s">
        <v>856</v>
      </c>
      <c r="F2444" s="4"/>
      <c r="G2444" s="4" t="s">
        <v>1341</v>
      </c>
      <c r="H2444" s="4" t="s">
        <v>1329</v>
      </c>
      <c r="I2444" s="4">
        <v>5</v>
      </c>
      <c r="J2444" s="35">
        <v>175</v>
      </c>
      <c r="K2444" s="35">
        <v>0</v>
      </c>
      <c r="L2444" s="5">
        <v>875</v>
      </c>
      <c r="M2444" s="4"/>
      <c r="N2444" s="4"/>
      <c r="O2444" s="5"/>
      <c r="P2444" s="5"/>
      <c r="Q2444" s="35">
        <v>0</v>
      </c>
      <c r="R2444" s="35">
        <v>0</v>
      </c>
      <c r="S2444" s="5">
        <f t="shared" si="155"/>
        <v>17396.917120151993</v>
      </c>
      <c r="T2444" cm="1">
        <f t="array" ref="T2444">IF(OR(B2444="MAL ALIMI", B2444="ÜRETİM GİRİŞ"), MIN(I2444, MAX(0, I2444 + SUM(SUMIFS($I$1:I2443, $C$1:C2443, C2444, $B$1:B2443, {"MAL ALIMI","ÜRETİM GİRİŞ"})) - VLOOKUP(C2444, 'STOK RAPORU'!$C$2:$I$1000, 4, 0))), 0)</f>
        <v>0</v>
      </c>
      <c r="U2444" s="22">
        <f t="shared" si="152"/>
        <v>0</v>
      </c>
      <c r="V2444">
        <f t="shared" si="153"/>
        <v>0</v>
      </c>
      <c r="W2444" s="22">
        <f t="shared" si="154"/>
        <v>0</v>
      </c>
    </row>
    <row r="2445" spans="1:23" hidden="1" x14ac:dyDescent="0.25">
      <c r="A2445" s="3">
        <v>46013</v>
      </c>
      <c r="B2445" s="3" t="s">
        <v>285</v>
      </c>
      <c r="C2445" s="4"/>
      <c r="D2445" s="4" t="s">
        <v>106</v>
      </c>
      <c r="E2445" s="4" t="s">
        <v>856</v>
      </c>
      <c r="F2445" s="4"/>
      <c r="G2445" s="4" t="s">
        <v>1342</v>
      </c>
      <c r="H2445" s="4" t="s">
        <v>1329</v>
      </c>
      <c r="I2445" s="4">
        <v>3</v>
      </c>
      <c r="J2445" s="35">
        <v>12</v>
      </c>
      <c r="K2445" s="35">
        <v>0</v>
      </c>
      <c r="L2445" s="5">
        <v>36</v>
      </c>
      <c r="M2445" s="4"/>
      <c r="N2445" s="4"/>
      <c r="O2445" s="5"/>
      <c r="P2445" s="5"/>
      <c r="Q2445" s="35">
        <v>0</v>
      </c>
      <c r="R2445" s="35">
        <v>0</v>
      </c>
      <c r="S2445" s="5">
        <f t="shared" si="155"/>
        <v>17396.917120151993</v>
      </c>
      <c r="T2445" cm="1">
        <f t="array" ref="T2445">IF(OR(B2445="MAL ALIMI", B2445="ÜRETİM GİRİŞ"), MIN(I2445, MAX(0, I2445 + SUM(SUMIFS($I$1:I2444, $C$1:C2444, C2445, $B$1:B2444, {"MAL ALIMI","ÜRETİM GİRİŞ"})) - VLOOKUP(C2445, 'STOK RAPORU'!$C$2:$I$1000, 4, 0))), 0)</f>
        <v>0</v>
      </c>
      <c r="U2445" s="22">
        <f t="shared" si="152"/>
        <v>0</v>
      </c>
      <c r="V2445">
        <f t="shared" si="153"/>
        <v>0</v>
      </c>
      <c r="W2445" s="22">
        <f t="shared" si="154"/>
        <v>0</v>
      </c>
    </row>
    <row r="2446" spans="1:23" hidden="1" x14ac:dyDescent="0.25">
      <c r="A2446" s="3">
        <v>46013</v>
      </c>
      <c r="B2446" s="3" t="s">
        <v>285</v>
      </c>
      <c r="C2446" s="4"/>
      <c r="D2446" s="4" t="s">
        <v>106</v>
      </c>
      <c r="E2446" s="4"/>
      <c r="F2446" s="4"/>
      <c r="G2446" s="4" t="s">
        <v>2452</v>
      </c>
      <c r="H2446" s="4" t="s">
        <v>1329</v>
      </c>
      <c r="I2446" s="4">
        <v>1</v>
      </c>
      <c r="J2446" s="21">
        <v>5350</v>
      </c>
      <c r="K2446" s="21">
        <v>0</v>
      </c>
      <c r="L2446" s="5">
        <v>0</v>
      </c>
      <c r="M2446" s="4"/>
      <c r="N2446" s="4"/>
      <c r="O2446" s="5"/>
      <c r="P2446" s="5"/>
      <c r="Q2446" s="21">
        <v>0</v>
      </c>
      <c r="R2446" s="21">
        <v>5350</v>
      </c>
      <c r="S2446" s="5">
        <f t="shared" si="155"/>
        <v>12046.917120151993</v>
      </c>
      <c r="T2446" cm="1">
        <f t="array" ref="T2446">IF(OR(B2446="MAL ALIMI", B2446="ÜRETİM GİRİŞ"), MIN(I2446, MAX(0, I2446 + SUM(SUMIFS($I$1:I2445, $C$1:C2445, C2446, $B$1:B2445, {"MAL ALIMI","ÜRETİM GİRİŞ"})) - VLOOKUP(C2446, 'STOK RAPORU'!$C$2:$I$1000, 4, 0))), 0)</f>
        <v>0</v>
      </c>
      <c r="U2446" s="22">
        <f t="shared" si="152"/>
        <v>0</v>
      </c>
      <c r="V2446">
        <f t="shared" si="153"/>
        <v>0</v>
      </c>
      <c r="W2446" s="22">
        <f t="shared" si="154"/>
        <v>0</v>
      </c>
    </row>
    <row r="2447" spans="1:23" hidden="1" x14ac:dyDescent="0.25">
      <c r="A2447" s="3">
        <v>46013</v>
      </c>
      <c r="B2447" s="4" t="s">
        <v>298</v>
      </c>
      <c r="C2447" s="4" t="s">
        <v>767</v>
      </c>
      <c r="D2447" s="4"/>
      <c r="E2447" s="4" t="s">
        <v>856</v>
      </c>
      <c r="F2447" s="4"/>
      <c r="G2447" s="4" t="s">
        <v>1352</v>
      </c>
      <c r="H2447" s="4" t="s">
        <v>1329</v>
      </c>
      <c r="I2447" s="4">
        <v>3</v>
      </c>
      <c r="J2447" s="35">
        <v>165</v>
      </c>
      <c r="K2447" s="35">
        <v>0</v>
      </c>
      <c r="L2447" s="5">
        <v>495</v>
      </c>
      <c r="M2447" s="4"/>
      <c r="N2447" s="4"/>
      <c r="O2447" s="5"/>
      <c r="P2447" s="5"/>
      <c r="Q2447" s="35">
        <v>0</v>
      </c>
      <c r="R2447" s="35">
        <v>0</v>
      </c>
      <c r="S2447" s="5">
        <f t="shared" si="155"/>
        <v>12046.917120151993</v>
      </c>
      <c r="T2447" cm="1">
        <f t="array" ref="T2447">IF(OR(B2447="MAL ALIMI", B2447="ÜRETİM GİRİŞ"), MIN(I2447, MAX(0, I2447 + SUM(SUMIFS($I$1:I2446, $C$1:C2446, C2447, $B$1:B2446, {"MAL ALIMI","ÜRETİM GİRİŞ"})) - VLOOKUP(C2447, 'STOK RAPORU'!$C$2:$I$1000, 4, 0))), 0)</f>
        <v>0</v>
      </c>
      <c r="U2447" s="22">
        <f t="shared" si="152"/>
        <v>0</v>
      </c>
      <c r="V2447">
        <f t="shared" si="153"/>
        <v>495</v>
      </c>
      <c r="W2447" s="22">
        <f t="shared" si="154"/>
        <v>495</v>
      </c>
    </row>
    <row r="2448" spans="1:23" hidden="1" x14ac:dyDescent="0.25">
      <c r="A2448" s="3">
        <v>46013</v>
      </c>
      <c r="B2448" s="4" t="s">
        <v>946</v>
      </c>
      <c r="C2448" s="4"/>
      <c r="D2448" s="4"/>
      <c r="E2448" s="4" t="s">
        <v>921</v>
      </c>
      <c r="F2448" s="4"/>
      <c r="G2448" s="4" t="s">
        <v>946</v>
      </c>
      <c r="H2448" s="4" t="s">
        <v>380</v>
      </c>
      <c r="I2448" s="4">
        <v>1</v>
      </c>
      <c r="J2448" s="105">
        <v>214</v>
      </c>
      <c r="K2448" s="21">
        <v>0</v>
      </c>
      <c r="L2448" s="111">
        <v>214</v>
      </c>
      <c r="M2448" s="4">
        <v>330</v>
      </c>
      <c r="N2448" s="4"/>
      <c r="O2448" s="5"/>
      <c r="P2448" s="5"/>
      <c r="Q2448" s="21">
        <v>214</v>
      </c>
      <c r="R2448" s="21">
        <v>0</v>
      </c>
      <c r="S2448" s="5">
        <f t="shared" si="155"/>
        <v>12260.917120151993</v>
      </c>
      <c r="T2448" cm="1">
        <f t="array" ref="T2448">IF(OR(B2448="MAL ALIMI", B2448="ÜRETİM GİRİŞ"), MIN(I2448, MAX(0, I2448 + SUM(SUMIFS($I$1:I2447, $C$1:C2447, C2448, $B$1:B2447, {"MAL ALIMI","ÜRETİM GİRİŞ"})) - VLOOKUP(C2448, 'STOK RAPORU'!$C$2:$I$1000, 4, 0))), 0)</f>
        <v>0</v>
      </c>
      <c r="U2448" s="22">
        <f t="shared" si="152"/>
        <v>0</v>
      </c>
      <c r="V2448">
        <f t="shared" si="153"/>
        <v>0</v>
      </c>
      <c r="W2448" s="22">
        <f t="shared" si="154"/>
        <v>0</v>
      </c>
    </row>
    <row r="2449" spans="1:23" hidden="1" x14ac:dyDescent="0.25">
      <c r="A2449" s="3">
        <v>46013</v>
      </c>
      <c r="B2449" s="4" t="s">
        <v>946</v>
      </c>
      <c r="C2449" s="4"/>
      <c r="D2449" s="4"/>
      <c r="E2449" s="4" t="s">
        <v>921</v>
      </c>
      <c r="F2449" s="4"/>
      <c r="G2449" s="4" t="s">
        <v>946</v>
      </c>
      <c r="H2449" s="4" t="s">
        <v>380</v>
      </c>
      <c r="I2449" s="4">
        <v>1</v>
      </c>
      <c r="J2449" s="105">
        <v>250</v>
      </c>
      <c r="K2449" s="21">
        <v>0</v>
      </c>
      <c r="L2449" s="111">
        <v>250</v>
      </c>
      <c r="M2449" s="4">
        <v>330</v>
      </c>
      <c r="N2449" s="4"/>
      <c r="O2449" s="5"/>
      <c r="P2449" s="5"/>
      <c r="Q2449" s="21">
        <v>250</v>
      </c>
      <c r="R2449" s="21">
        <v>0</v>
      </c>
      <c r="S2449" s="5">
        <f t="shared" si="155"/>
        <v>12510.917120151993</v>
      </c>
      <c r="T2449" cm="1">
        <f t="array" ref="T2449">IF(OR(B2449="MAL ALIMI", B2449="ÜRETİM GİRİŞ"), MIN(I2449, MAX(0, I2449 + SUM(SUMIFS($I$1:I2448, $C$1:C2448, C2449, $B$1:B2448, {"MAL ALIMI","ÜRETİM GİRİŞ"})) - VLOOKUP(C2449, 'STOK RAPORU'!$C$2:$I$1000, 4, 0))), 0)</f>
        <v>0</v>
      </c>
      <c r="U2449" s="22">
        <f t="shared" si="152"/>
        <v>0</v>
      </c>
      <c r="V2449">
        <f t="shared" si="153"/>
        <v>0</v>
      </c>
      <c r="W2449" s="22">
        <f t="shared" si="154"/>
        <v>0</v>
      </c>
    </row>
    <row r="2450" spans="1:23" hidden="1" x14ac:dyDescent="0.25">
      <c r="A2450" s="3">
        <v>46013</v>
      </c>
      <c r="B2450" s="3" t="s">
        <v>3945</v>
      </c>
      <c r="C2450" s="4"/>
      <c r="D2450" s="4"/>
      <c r="E2450" s="4" t="s">
        <v>115</v>
      </c>
      <c r="F2450" s="4"/>
      <c r="G2450" s="4" t="s">
        <v>1506</v>
      </c>
      <c r="H2450" s="4" t="s">
        <v>289</v>
      </c>
      <c r="I2450" s="4">
        <v>1</v>
      </c>
      <c r="J2450" s="21">
        <v>20000</v>
      </c>
      <c r="K2450" s="21">
        <v>0</v>
      </c>
      <c r="L2450" s="5">
        <v>20000</v>
      </c>
      <c r="M2450" s="4"/>
      <c r="N2450" s="4"/>
      <c r="O2450" s="5"/>
      <c r="P2450" s="5"/>
      <c r="Q2450" s="21">
        <v>20000</v>
      </c>
      <c r="R2450" s="21">
        <v>0</v>
      </c>
      <c r="S2450" s="5">
        <f t="shared" si="155"/>
        <v>32510.917120151993</v>
      </c>
      <c r="T2450" cm="1">
        <f t="array" ref="T2450">IF(OR(B2450="MAL ALIMI", B2450="ÜRETİM GİRİŞ"), MIN(I2450, MAX(0, I2450 + SUM(SUMIFS($I$1:I2449, $C$1:C2449, C2450, $B$1:B2449, {"MAL ALIMI","ÜRETİM GİRİŞ"})) - VLOOKUP(C2450, 'STOK RAPORU'!$C$2:$I$1000, 4, 0))), 0)</f>
        <v>0</v>
      </c>
      <c r="U2450" s="22">
        <f t="shared" si="152"/>
        <v>0</v>
      </c>
      <c r="V2450">
        <f t="shared" si="153"/>
        <v>0</v>
      </c>
      <c r="W2450" s="22">
        <f t="shared" si="154"/>
        <v>0</v>
      </c>
    </row>
    <row r="2451" spans="1:23" hidden="1" x14ac:dyDescent="0.25">
      <c r="A2451" s="3">
        <v>46014</v>
      </c>
      <c r="B2451" s="4" t="s">
        <v>298</v>
      </c>
      <c r="C2451" s="4" t="s">
        <v>3383</v>
      </c>
      <c r="D2451" s="4"/>
      <c r="E2451" s="4" t="s">
        <v>350</v>
      </c>
      <c r="F2451" s="4" t="s">
        <v>1429</v>
      </c>
      <c r="G2451" s="4" t="s">
        <v>350</v>
      </c>
      <c r="H2451" s="4" t="s">
        <v>304</v>
      </c>
      <c r="I2451" s="4">
        <v>10</v>
      </c>
      <c r="J2451" s="21">
        <v>33</v>
      </c>
      <c r="K2451" s="21">
        <v>0</v>
      </c>
      <c r="L2451" s="5">
        <v>330</v>
      </c>
      <c r="M2451" s="4"/>
      <c r="N2451" s="4"/>
      <c r="O2451" s="5"/>
      <c r="P2451" s="5"/>
      <c r="Q2451" s="21">
        <v>0</v>
      </c>
      <c r="R2451" s="21">
        <v>0</v>
      </c>
      <c r="S2451" s="5">
        <f t="shared" si="155"/>
        <v>32510.917120151993</v>
      </c>
      <c r="T2451" t="e" cm="1">
        <f t="array" ref="T2451">IF(OR(B2451="MAL ALIMI", B2451="ÜRETİM GİRİŞ"), MIN(I2451, MAX(0, I2451 + SUM(SUMIFS($I$1:I2450, $C$1:C2450, C2451, $B$1:B2450, {"MAL ALIMI","ÜRETİM GİRİŞ"})) - VLOOKUP(C2451, 'STOK RAPORU'!$C$2:$I$1000, 4, 0))), 0)</f>
        <v>#N/A</v>
      </c>
      <c r="U2451" s="22" t="e">
        <f t="shared" si="152"/>
        <v>#N/A</v>
      </c>
      <c r="V2451">
        <f t="shared" si="153"/>
        <v>330</v>
      </c>
      <c r="W2451" s="22" t="e">
        <f t="shared" si="154"/>
        <v>#N/A</v>
      </c>
    </row>
    <row r="2452" spans="1:23" hidden="1" x14ac:dyDescent="0.25">
      <c r="A2452" s="3">
        <v>46014</v>
      </c>
      <c r="B2452" s="4" t="s">
        <v>298</v>
      </c>
      <c r="C2452" s="4" t="s">
        <v>1423</v>
      </c>
      <c r="D2452" s="4"/>
      <c r="E2452" s="4" t="s">
        <v>350</v>
      </c>
      <c r="F2452" s="4" t="s">
        <v>1429</v>
      </c>
      <c r="G2452" s="4" t="s">
        <v>350</v>
      </c>
      <c r="H2452" s="4" t="s">
        <v>304</v>
      </c>
      <c r="I2452" s="4">
        <v>4</v>
      </c>
      <c r="J2452" s="21">
        <v>58</v>
      </c>
      <c r="K2452" s="21">
        <v>0</v>
      </c>
      <c r="L2452" s="5">
        <v>232</v>
      </c>
      <c r="M2452" s="4"/>
      <c r="N2452" s="4"/>
      <c r="O2452" s="5"/>
      <c r="P2452" s="5"/>
      <c r="Q2452" s="21">
        <v>0</v>
      </c>
      <c r="R2452" s="21">
        <v>0</v>
      </c>
      <c r="S2452" s="5">
        <f t="shared" si="155"/>
        <v>32510.917120151993</v>
      </c>
      <c r="T2452" cm="1">
        <f t="array" ref="T2452">IF(OR(B2452="MAL ALIMI", B2452="ÜRETİM GİRİŞ"), MIN(I2452, MAX(0, I2452 + SUM(SUMIFS($I$1:I2451, $C$1:C2451, C2452, $B$1:B2451, {"MAL ALIMI","ÜRETİM GİRİŞ"})) - VLOOKUP(C2452, 'STOK RAPORU'!$C$2:$I$1000, 4, 0))), 0)</f>
        <v>0</v>
      </c>
      <c r="U2452" s="22">
        <f t="shared" si="152"/>
        <v>0</v>
      </c>
      <c r="V2452">
        <f t="shared" si="153"/>
        <v>232</v>
      </c>
      <c r="W2452" s="22">
        <f t="shared" si="154"/>
        <v>232</v>
      </c>
    </row>
    <row r="2453" spans="1:23" hidden="1" x14ac:dyDescent="0.25">
      <c r="A2453" s="3">
        <v>46014</v>
      </c>
      <c r="B2453" s="4" t="s">
        <v>298</v>
      </c>
      <c r="C2453" s="4" t="s">
        <v>1425</v>
      </c>
      <c r="D2453" s="4"/>
      <c r="E2453" s="4" t="s">
        <v>350</v>
      </c>
      <c r="F2453" s="4" t="s">
        <v>1429</v>
      </c>
      <c r="G2453" s="4" t="s">
        <v>350</v>
      </c>
      <c r="H2453" s="4" t="s">
        <v>304</v>
      </c>
      <c r="I2453" s="4">
        <v>4</v>
      </c>
      <c r="J2453" s="21">
        <v>58</v>
      </c>
      <c r="K2453" s="21">
        <v>0</v>
      </c>
      <c r="L2453" s="5">
        <v>232</v>
      </c>
      <c r="M2453" s="4"/>
      <c r="N2453" s="4"/>
      <c r="O2453" s="5"/>
      <c r="P2453" s="5"/>
      <c r="Q2453" s="21">
        <v>0</v>
      </c>
      <c r="R2453" s="21">
        <v>0</v>
      </c>
      <c r="S2453" s="5">
        <f t="shared" si="155"/>
        <v>32510.917120151993</v>
      </c>
      <c r="T2453" cm="1">
        <f t="array" ref="T2453">IF(OR(B2453="MAL ALIMI", B2453="ÜRETİM GİRİŞ"), MIN(I2453, MAX(0, I2453 + SUM(SUMIFS($I$1:I2452, $C$1:C2452, C2453, $B$1:B2452, {"MAL ALIMI","ÜRETİM GİRİŞ"})) - VLOOKUP(C2453, 'STOK RAPORU'!$C$2:$I$1000, 4, 0))), 0)</f>
        <v>2</v>
      </c>
      <c r="U2453" s="22">
        <f t="shared" si="152"/>
        <v>116</v>
      </c>
      <c r="V2453">
        <f t="shared" si="153"/>
        <v>232</v>
      </c>
      <c r="W2453" s="22">
        <f t="shared" si="154"/>
        <v>116</v>
      </c>
    </row>
    <row r="2454" spans="1:23" hidden="1" x14ac:dyDescent="0.25">
      <c r="A2454" s="3">
        <v>46014</v>
      </c>
      <c r="B2454" s="4" t="s">
        <v>298</v>
      </c>
      <c r="C2454" s="4" t="s">
        <v>1424</v>
      </c>
      <c r="D2454" s="4"/>
      <c r="E2454" s="4" t="s">
        <v>350</v>
      </c>
      <c r="F2454" s="4" t="s">
        <v>1429</v>
      </c>
      <c r="G2454" s="4" t="s">
        <v>350</v>
      </c>
      <c r="H2454" s="4" t="s">
        <v>304</v>
      </c>
      <c r="I2454" s="4">
        <v>4</v>
      </c>
      <c r="J2454" s="21">
        <v>45</v>
      </c>
      <c r="K2454" s="21">
        <v>0</v>
      </c>
      <c r="L2454" s="5">
        <v>180</v>
      </c>
      <c r="M2454" s="4"/>
      <c r="N2454" s="4"/>
      <c r="O2454" s="5"/>
      <c r="P2454" s="5"/>
      <c r="Q2454" s="21">
        <v>0</v>
      </c>
      <c r="R2454" s="21">
        <v>0</v>
      </c>
      <c r="S2454" s="5">
        <f t="shared" si="155"/>
        <v>32510.917120151993</v>
      </c>
      <c r="T2454" cm="1">
        <f t="array" ref="T2454">IF(OR(B2454="MAL ALIMI", B2454="ÜRETİM GİRİŞ"), MIN(I2454, MAX(0, I2454 + SUM(SUMIFS($I$1:I2453, $C$1:C2453, C2454, $B$1:B2453, {"MAL ALIMI","ÜRETİM GİRİŞ"})) - VLOOKUP(C2454, 'STOK RAPORU'!$C$2:$I$1000, 4, 0))), 0)</f>
        <v>2</v>
      </c>
      <c r="U2454" s="22">
        <f t="shared" si="152"/>
        <v>90</v>
      </c>
      <c r="V2454">
        <f t="shared" si="153"/>
        <v>180</v>
      </c>
      <c r="W2454" s="22">
        <f t="shared" si="154"/>
        <v>90</v>
      </c>
    </row>
    <row r="2455" spans="1:23" hidden="1" x14ac:dyDescent="0.25">
      <c r="A2455" s="3">
        <v>46014</v>
      </c>
      <c r="B2455" s="4" t="s">
        <v>298</v>
      </c>
      <c r="C2455" s="4" t="s">
        <v>1427</v>
      </c>
      <c r="D2455" s="4"/>
      <c r="E2455" s="4" t="s">
        <v>350</v>
      </c>
      <c r="F2455" s="4" t="s">
        <v>1429</v>
      </c>
      <c r="G2455" s="4" t="s">
        <v>350</v>
      </c>
      <c r="H2455" s="4" t="s">
        <v>304</v>
      </c>
      <c r="I2455" s="4">
        <v>4</v>
      </c>
      <c r="J2455" s="21">
        <v>58</v>
      </c>
      <c r="K2455" s="21">
        <v>0</v>
      </c>
      <c r="L2455" s="5">
        <v>232</v>
      </c>
      <c r="M2455" s="4"/>
      <c r="N2455" s="4"/>
      <c r="O2455" s="5"/>
      <c r="P2455" s="5"/>
      <c r="Q2455" s="21">
        <v>0</v>
      </c>
      <c r="R2455" s="21">
        <v>0</v>
      </c>
      <c r="S2455" s="5">
        <f t="shared" si="155"/>
        <v>32510.917120151993</v>
      </c>
      <c r="T2455" cm="1">
        <f t="array" ref="T2455">IF(OR(B2455="MAL ALIMI", B2455="ÜRETİM GİRİŞ"), MIN(I2455, MAX(0, I2455 + SUM(SUMIFS($I$1:I2454, $C$1:C2454, C2455, $B$1:B2454, {"MAL ALIMI","ÜRETİM GİRİŞ"})) - VLOOKUP(C2455, 'STOK RAPORU'!$C$2:$I$1000, 4, 0))), 0)</f>
        <v>0</v>
      </c>
      <c r="U2455" s="22">
        <f t="shared" si="152"/>
        <v>0</v>
      </c>
      <c r="V2455">
        <f t="shared" si="153"/>
        <v>232</v>
      </c>
      <c r="W2455" s="22">
        <f t="shared" si="154"/>
        <v>232</v>
      </c>
    </row>
    <row r="2456" spans="1:23" hidden="1" x14ac:dyDescent="0.25">
      <c r="A2456" s="3">
        <v>46014</v>
      </c>
      <c r="B2456" s="4" t="s">
        <v>298</v>
      </c>
      <c r="C2456" s="4" t="s">
        <v>1426</v>
      </c>
      <c r="D2456" s="4"/>
      <c r="E2456" s="4" t="s">
        <v>350</v>
      </c>
      <c r="F2456" s="4" t="s">
        <v>1429</v>
      </c>
      <c r="G2456" s="4" t="s">
        <v>350</v>
      </c>
      <c r="H2456" s="4" t="s">
        <v>304</v>
      </c>
      <c r="I2456" s="4">
        <v>4</v>
      </c>
      <c r="J2456" s="21">
        <v>58</v>
      </c>
      <c r="K2456" s="21">
        <v>0</v>
      </c>
      <c r="L2456" s="5">
        <v>232</v>
      </c>
      <c r="M2456" s="4"/>
      <c r="N2456" s="4"/>
      <c r="O2456" s="5"/>
      <c r="P2456" s="5"/>
      <c r="Q2456" s="21">
        <v>0</v>
      </c>
      <c r="R2456" s="21">
        <v>0</v>
      </c>
      <c r="S2456" s="5">
        <f t="shared" si="155"/>
        <v>32510.917120151993</v>
      </c>
      <c r="T2456" cm="1">
        <f t="array" ref="T2456">IF(OR(B2456="MAL ALIMI", B2456="ÜRETİM GİRİŞ"), MIN(I2456, MAX(0, I2456 + SUM(SUMIFS($I$1:I2455, $C$1:C2455, C2456, $B$1:B2455, {"MAL ALIMI","ÜRETİM GİRİŞ"})) - VLOOKUP(C2456, 'STOK RAPORU'!$C$2:$I$1000, 4, 0))), 0)</f>
        <v>3</v>
      </c>
      <c r="U2456" s="22">
        <f t="shared" si="152"/>
        <v>174</v>
      </c>
      <c r="V2456">
        <f t="shared" si="153"/>
        <v>232</v>
      </c>
      <c r="W2456" s="22">
        <f t="shared" si="154"/>
        <v>58</v>
      </c>
    </row>
    <row r="2457" spans="1:23" hidden="1" x14ac:dyDescent="0.25">
      <c r="A2457" s="3">
        <v>46014</v>
      </c>
      <c r="B2457" s="4" t="s">
        <v>298</v>
      </c>
      <c r="C2457" s="4" t="s">
        <v>1428</v>
      </c>
      <c r="D2457" s="4"/>
      <c r="E2457" s="4" t="s">
        <v>350</v>
      </c>
      <c r="F2457" s="4" t="s">
        <v>1429</v>
      </c>
      <c r="G2457" s="4" t="s">
        <v>350</v>
      </c>
      <c r="H2457" s="4" t="s">
        <v>304</v>
      </c>
      <c r="I2457" s="4">
        <v>1</v>
      </c>
      <c r="J2457" s="21">
        <v>450</v>
      </c>
      <c r="K2457" s="21">
        <v>0</v>
      </c>
      <c r="L2457" s="5">
        <v>450</v>
      </c>
      <c r="M2457" s="4"/>
      <c r="N2457" s="4"/>
      <c r="O2457" s="5"/>
      <c r="P2457" s="5"/>
      <c r="Q2457" s="21">
        <v>0</v>
      </c>
      <c r="R2457" s="21">
        <v>0</v>
      </c>
      <c r="S2457" s="5">
        <f t="shared" si="155"/>
        <v>32510.917120151993</v>
      </c>
      <c r="T2457" cm="1">
        <f t="array" ref="T2457">IF(OR(B2457="MAL ALIMI", B2457="ÜRETİM GİRİŞ"), MIN(I2457, MAX(0, I2457 + SUM(SUMIFS($I$1:I2456, $C$1:C2456, C2457, $B$1:B2456, {"MAL ALIMI","ÜRETİM GİRİŞ"})) - VLOOKUP(C2457, 'STOK RAPORU'!$C$2:$I$1000, 4, 0))), 0)</f>
        <v>0</v>
      </c>
      <c r="U2457" s="22">
        <f t="shared" si="152"/>
        <v>0</v>
      </c>
      <c r="V2457">
        <f t="shared" si="153"/>
        <v>450</v>
      </c>
      <c r="W2457" s="22">
        <f t="shared" si="154"/>
        <v>450</v>
      </c>
    </row>
    <row r="2458" spans="1:23" hidden="1" x14ac:dyDescent="0.25">
      <c r="A2458" s="3">
        <v>46014</v>
      </c>
      <c r="B2458" s="4" t="s">
        <v>298</v>
      </c>
      <c r="C2458" s="4" t="s">
        <v>1399</v>
      </c>
      <c r="D2458" s="4"/>
      <c r="E2458" s="4" t="s">
        <v>350</v>
      </c>
      <c r="F2458" s="4" t="s">
        <v>1429</v>
      </c>
      <c r="G2458" s="4" t="s">
        <v>350</v>
      </c>
      <c r="H2458" s="4" t="s">
        <v>304</v>
      </c>
      <c r="I2458" s="4">
        <v>6</v>
      </c>
      <c r="J2458" s="21">
        <v>95</v>
      </c>
      <c r="K2458" s="21">
        <v>0</v>
      </c>
      <c r="L2458" s="5">
        <v>570</v>
      </c>
      <c r="M2458" s="4"/>
      <c r="N2458" s="4"/>
      <c r="O2458" s="5"/>
      <c r="P2458" s="5"/>
      <c r="Q2458" s="21">
        <v>0</v>
      </c>
      <c r="R2458" s="21">
        <v>0</v>
      </c>
      <c r="S2458" s="5">
        <f t="shared" si="155"/>
        <v>32510.917120151993</v>
      </c>
      <c r="T2458" cm="1">
        <f t="array" ref="T2458">IF(OR(B2458="MAL ALIMI", B2458="ÜRETİM GİRİŞ"), MIN(I2458, MAX(0, I2458 + SUM(SUMIFS($I$1:I2457, $C$1:C2457, C2458, $B$1:B2457, {"MAL ALIMI","ÜRETİM GİRİŞ"})) - VLOOKUP(C2458, 'STOK RAPORU'!$C$2:$I$1000, 4, 0))), 0)</f>
        <v>0</v>
      </c>
      <c r="U2458" s="22">
        <f t="shared" si="152"/>
        <v>0</v>
      </c>
      <c r="V2458">
        <f t="shared" si="153"/>
        <v>570</v>
      </c>
      <c r="W2458" s="22">
        <f t="shared" si="154"/>
        <v>570</v>
      </c>
    </row>
    <row r="2459" spans="1:23" hidden="1" x14ac:dyDescent="0.25">
      <c r="A2459" s="3">
        <v>46014</v>
      </c>
      <c r="B2459" s="4" t="s">
        <v>298</v>
      </c>
      <c r="C2459" s="4" t="s">
        <v>590</v>
      </c>
      <c r="D2459" s="4"/>
      <c r="E2459" s="4" t="s">
        <v>350</v>
      </c>
      <c r="F2459" s="4" t="s">
        <v>1429</v>
      </c>
      <c r="G2459" s="4" t="s">
        <v>350</v>
      </c>
      <c r="H2459" s="4" t="s">
        <v>304</v>
      </c>
      <c r="I2459" s="4">
        <v>4.92</v>
      </c>
      <c r="J2459" s="21">
        <v>52</v>
      </c>
      <c r="K2459" s="21">
        <v>0</v>
      </c>
      <c r="L2459" s="5">
        <v>255.84</v>
      </c>
      <c r="M2459" s="4"/>
      <c r="N2459" s="4"/>
      <c r="O2459" s="5"/>
      <c r="P2459" s="5"/>
      <c r="Q2459" s="21">
        <v>0</v>
      </c>
      <c r="R2459" s="21">
        <v>0</v>
      </c>
      <c r="S2459" s="5">
        <f t="shared" si="155"/>
        <v>32510.917120151993</v>
      </c>
      <c r="T2459" cm="1">
        <f t="array" ref="T2459">IF(OR(B2459="MAL ALIMI", B2459="ÜRETİM GİRİŞ"), MIN(I2459, MAX(0, I2459 + SUM(SUMIFS($I$1:I2458, $C$1:C2458, C2459, $B$1:B2458, {"MAL ALIMI","ÜRETİM GİRİŞ"})) - VLOOKUP(C2459, 'STOK RAPORU'!$C$2:$I$1000, 4, 0))), 0)</f>
        <v>0</v>
      </c>
      <c r="U2459" s="22">
        <f t="shared" si="152"/>
        <v>0</v>
      </c>
      <c r="V2459">
        <f t="shared" si="153"/>
        <v>255.84</v>
      </c>
      <c r="W2459" s="22">
        <f t="shared" si="154"/>
        <v>255.84</v>
      </c>
    </row>
    <row r="2460" spans="1:23" hidden="1" x14ac:dyDescent="0.25">
      <c r="A2460" s="3">
        <v>46014</v>
      </c>
      <c r="B2460" s="4" t="s">
        <v>298</v>
      </c>
      <c r="C2460" s="4" t="s">
        <v>1023</v>
      </c>
      <c r="D2460" s="4"/>
      <c r="E2460" s="4" t="s">
        <v>350</v>
      </c>
      <c r="F2460" s="4" t="s">
        <v>1429</v>
      </c>
      <c r="G2460" s="4" t="s">
        <v>350</v>
      </c>
      <c r="H2460" s="4" t="s">
        <v>304</v>
      </c>
      <c r="I2460" s="4">
        <v>10</v>
      </c>
      <c r="J2460" s="21">
        <v>37</v>
      </c>
      <c r="K2460" s="21">
        <v>0</v>
      </c>
      <c r="L2460" s="5">
        <v>370</v>
      </c>
      <c r="M2460" s="4"/>
      <c r="N2460" s="4"/>
      <c r="O2460" s="5"/>
      <c r="P2460" s="5"/>
      <c r="Q2460" s="21">
        <v>0</v>
      </c>
      <c r="R2460" s="21">
        <v>0</v>
      </c>
      <c r="S2460" s="5">
        <f t="shared" si="155"/>
        <v>32510.917120151993</v>
      </c>
      <c r="T2460" cm="1">
        <f t="array" ref="T2460">IF(OR(B2460="MAL ALIMI", B2460="ÜRETİM GİRİŞ"), MIN(I2460, MAX(0, I2460 + SUM(SUMIFS($I$1:I2459, $C$1:C2459, C2460, $B$1:B2459, {"MAL ALIMI","ÜRETİM GİRİŞ"})) - VLOOKUP(C2460, 'STOK RAPORU'!$C$2:$I$1000, 4, 0))), 0)</f>
        <v>0</v>
      </c>
      <c r="U2460" s="22">
        <f t="shared" si="152"/>
        <v>0</v>
      </c>
      <c r="V2460">
        <f t="shared" si="153"/>
        <v>370</v>
      </c>
      <c r="W2460" s="22">
        <f t="shared" si="154"/>
        <v>370</v>
      </c>
    </row>
    <row r="2461" spans="1:23" hidden="1" x14ac:dyDescent="0.25">
      <c r="A2461" s="3">
        <v>46014</v>
      </c>
      <c r="B2461" s="4" t="s">
        <v>298</v>
      </c>
      <c r="C2461" s="4" t="s">
        <v>1024</v>
      </c>
      <c r="D2461" s="4"/>
      <c r="E2461" s="4" t="s">
        <v>350</v>
      </c>
      <c r="F2461" s="4" t="s">
        <v>1429</v>
      </c>
      <c r="G2461" s="4" t="s">
        <v>350</v>
      </c>
      <c r="H2461" s="4" t="s">
        <v>304</v>
      </c>
      <c r="I2461" s="4">
        <v>10</v>
      </c>
      <c r="J2461" s="21">
        <v>37</v>
      </c>
      <c r="K2461" s="21">
        <v>0</v>
      </c>
      <c r="L2461" s="5">
        <v>370</v>
      </c>
      <c r="M2461" s="4"/>
      <c r="N2461" s="4"/>
      <c r="O2461" s="5"/>
      <c r="P2461" s="5"/>
      <c r="Q2461" s="21">
        <v>0</v>
      </c>
      <c r="R2461" s="21">
        <v>0</v>
      </c>
      <c r="S2461" s="5">
        <f t="shared" si="155"/>
        <v>32510.917120151993</v>
      </c>
      <c r="T2461" cm="1">
        <f t="array" ref="T2461">IF(OR(B2461="MAL ALIMI", B2461="ÜRETİM GİRİŞ"), MIN(I2461, MAX(0, I2461 + SUM(SUMIFS($I$1:I2460, $C$1:C2460, C2461, $B$1:B2460, {"MAL ALIMI","ÜRETİM GİRİŞ"})) - VLOOKUP(C2461, 'STOK RAPORU'!$C$2:$I$1000, 4, 0))), 0)</f>
        <v>0</v>
      </c>
      <c r="U2461" s="22">
        <f t="shared" si="152"/>
        <v>0</v>
      </c>
      <c r="V2461">
        <f t="shared" si="153"/>
        <v>370</v>
      </c>
      <c r="W2461" s="22">
        <f t="shared" si="154"/>
        <v>370</v>
      </c>
    </row>
    <row r="2462" spans="1:23" hidden="1" x14ac:dyDescent="0.25">
      <c r="A2462" s="3">
        <v>46014</v>
      </c>
      <c r="B2462" s="4" t="s">
        <v>334</v>
      </c>
      <c r="C2462" s="4" t="s">
        <v>212</v>
      </c>
      <c r="D2462" s="4"/>
      <c r="E2462" s="4" t="s">
        <v>921</v>
      </c>
      <c r="F2462" s="4" t="s">
        <v>1354</v>
      </c>
      <c r="G2462" s="4" t="s">
        <v>336</v>
      </c>
      <c r="H2462" s="4" t="s">
        <v>380</v>
      </c>
      <c r="I2462" s="4">
        <v>0.12</v>
      </c>
      <c r="J2462" s="21">
        <v>817</v>
      </c>
      <c r="K2462" s="21">
        <v>98.039999999999992</v>
      </c>
      <c r="L2462" s="5">
        <v>0</v>
      </c>
      <c r="M2462" s="4"/>
      <c r="N2462" s="4"/>
      <c r="O2462" s="5"/>
      <c r="P2462" s="5"/>
      <c r="Q2462" s="21">
        <v>0</v>
      </c>
      <c r="R2462" s="21">
        <v>0</v>
      </c>
      <c r="S2462" s="5">
        <f t="shared" si="155"/>
        <v>32510.917120151993</v>
      </c>
      <c r="T2462" cm="1">
        <f t="array" ref="T2462">IF(OR(B2462="MAL ALIMI", B2462="ÜRETİM GİRİŞ"), MIN(I2462, MAX(0, I2462 + SUM(SUMIFS($I$1:I2461, $C$1:C2461, C2462, $B$1:B2461, {"MAL ALIMI","ÜRETİM GİRİŞ"})) - VLOOKUP(C2462, 'STOK RAPORU'!$C$2:$I$1000, 4, 0))), 0)</f>
        <v>0</v>
      </c>
      <c r="U2462" s="22">
        <f t="shared" si="152"/>
        <v>0</v>
      </c>
      <c r="V2462">
        <f t="shared" si="153"/>
        <v>0</v>
      </c>
      <c r="W2462" s="22">
        <f t="shared" si="154"/>
        <v>0</v>
      </c>
    </row>
    <row r="2463" spans="1:23" hidden="1" x14ac:dyDescent="0.25">
      <c r="A2463" s="3">
        <v>46014</v>
      </c>
      <c r="B2463" s="4" t="s">
        <v>334</v>
      </c>
      <c r="C2463" s="4" t="s">
        <v>1041</v>
      </c>
      <c r="D2463" s="4"/>
      <c r="E2463" s="4" t="s">
        <v>921</v>
      </c>
      <c r="F2463" s="4" t="s">
        <v>1354</v>
      </c>
      <c r="G2463" s="4" t="s">
        <v>336</v>
      </c>
      <c r="H2463" s="4" t="s">
        <v>380</v>
      </c>
      <c r="I2463" s="4">
        <v>1</v>
      </c>
      <c r="J2463" s="21">
        <v>250</v>
      </c>
      <c r="K2463" s="21">
        <v>250</v>
      </c>
      <c r="L2463" s="5">
        <v>0</v>
      </c>
      <c r="M2463" s="4"/>
      <c r="N2463" s="4"/>
      <c r="O2463" s="5"/>
      <c r="P2463" s="5"/>
      <c r="Q2463" s="21">
        <v>0</v>
      </c>
      <c r="R2463" s="21">
        <v>0</v>
      </c>
      <c r="S2463" s="5">
        <f t="shared" si="155"/>
        <v>32510.917120151993</v>
      </c>
      <c r="T2463" cm="1">
        <f t="array" ref="T2463">IF(OR(B2463="MAL ALIMI", B2463="ÜRETİM GİRİŞ"), MIN(I2463, MAX(0, I2463 + SUM(SUMIFS($I$1:I2462, $C$1:C2462, C2463, $B$1:B2462, {"MAL ALIMI","ÜRETİM GİRİŞ"})) - VLOOKUP(C2463, 'STOK RAPORU'!$C$2:$I$1000, 4, 0))), 0)</f>
        <v>0</v>
      </c>
      <c r="U2463" s="22">
        <f t="shared" si="152"/>
        <v>0</v>
      </c>
      <c r="V2463">
        <f t="shared" si="153"/>
        <v>0</v>
      </c>
      <c r="W2463" s="22">
        <f t="shared" si="154"/>
        <v>0</v>
      </c>
    </row>
    <row r="2464" spans="1:23" hidden="1" x14ac:dyDescent="0.25">
      <c r="A2464" s="3">
        <v>46014</v>
      </c>
      <c r="B2464" s="4" t="s">
        <v>334</v>
      </c>
      <c r="C2464" s="4" t="s">
        <v>1024</v>
      </c>
      <c r="D2464" s="4"/>
      <c r="E2464" s="4" t="s">
        <v>921</v>
      </c>
      <c r="F2464" s="4" t="s">
        <v>1354</v>
      </c>
      <c r="G2464" s="4" t="s">
        <v>336</v>
      </c>
      <c r="H2464" s="4" t="s">
        <v>380</v>
      </c>
      <c r="I2464" s="4">
        <v>1.1399999999999999</v>
      </c>
      <c r="J2464" s="21">
        <v>65</v>
      </c>
      <c r="K2464" s="21">
        <v>74.099999999999994</v>
      </c>
      <c r="L2464" s="5">
        <v>0</v>
      </c>
      <c r="M2464" s="4"/>
      <c r="N2464" s="4"/>
      <c r="O2464" s="5"/>
      <c r="P2464" s="5"/>
      <c r="Q2464" s="21">
        <v>0</v>
      </c>
      <c r="R2464" s="21">
        <v>0</v>
      </c>
      <c r="S2464" s="5">
        <f t="shared" si="155"/>
        <v>32510.917120151993</v>
      </c>
      <c r="T2464" cm="1">
        <f t="array" ref="T2464">IF(OR(B2464="MAL ALIMI", B2464="ÜRETİM GİRİŞ"), MIN(I2464, MAX(0, I2464 + SUM(SUMIFS($I$1:I2463, $C$1:C2463, C2464, $B$1:B2463, {"MAL ALIMI","ÜRETİM GİRİŞ"})) - VLOOKUP(C2464, 'STOK RAPORU'!$C$2:$I$1000, 4, 0))), 0)</f>
        <v>0</v>
      </c>
      <c r="U2464" s="22">
        <f t="shared" si="152"/>
        <v>0</v>
      </c>
      <c r="V2464">
        <f t="shared" si="153"/>
        <v>0</v>
      </c>
      <c r="W2464" s="22">
        <f t="shared" si="154"/>
        <v>0</v>
      </c>
    </row>
    <row r="2465" spans="1:23" hidden="1" x14ac:dyDescent="0.25">
      <c r="A2465" s="3">
        <v>46014</v>
      </c>
      <c r="B2465" s="4" t="s">
        <v>334</v>
      </c>
      <c r="C2465" s="4" t="s">
        <v>151</v>
      </c>
      <c r="D2465" s="4"/>
      <c r="E2465" s="4" t="s">
        <v>921</v>
      </c>
      <c r="F2465" s="4" t="s">
        <v>1354</v>
      </c>
      <c r="G2465" s="4" t="s">
        <v>336</v>
      </c>
      <c r="H2465" s="4" t="s">
        <v>380</v>
      </c>
      <c r="I2465" s="4">
        <v>5.7500000000000002E-2</v>
      </c>
      <c r="J2465" s="21">
        <v>400</v>
      </c>
      <c r="K2465" s="21">
        <v>23</v>
      </c>
      <c r="L2465" s="5">
        <v>0</v>
      </c>
      <c r="M2465" s="4"/>
      <c r="N2465" s="4"/>
      <c r="O2465" s="5"/>
      <c r="P2465" s="5"/>
      <c r="Q2465" s="21">
        <v>0</v>
      </c>
      <c r="R2465" s="21">
        <v>0</v>
      </c>
      <c r="S2465" s="5">
        <f t="shared" si="155"/>
        <v>32510.917120151993</v>
      </c>
      <c r="T2465" cm="1">
        <f t="array" ref="T2465">IF(OR(B2465="MAL ALIMI", B2465="ÜRETİM GİRİŞ"), MIN(I2465, MAX(0, I2465 + SUM(SUMIFS($I$1:I2464, $C$1:C2464, C2465, $B$1:B2464, {"MAL ALIMI","ÜRETİM GİRİŞ"})) - VLOOKUP(C2465, 'STOK RAPORU'!$C$2:$I$1000, 4, 0))), 0)</f>
        <v>0</v>
      </c>
      <c r="U2465" s="22">
        <f t="shared" si="152"/>
        <v>0</v>
      </c>
      <c r="V2465">
        <f t="shared" si="153"/>
        <v>0</v>
      </c>
      <c r="W2465" s="22">
        <f t="shared" si="154"/>
        <v>0</v>
      </c>
    </row>
    <row r="2466" spans="1:23" hidden="1" x14ac:dyDescent="0.25">
      <c r="A2466" s="3">
        <v>46014</v>
      </c>
      <c r="B2466" s="4" t="s">
        <v>334</v>
      </c>
      <c r="C2466" s="4" t="s">
        <v>60</v>
      </c>
      <c r="D2466" s="4"/>
      <c r="E2466" s="4"/>
      <c r="F2466" s="4" t="s">
        <v>1355</v>
      </c>
      <c r="G2466" s="4" t="s">
        <v>336</v>
      </c>
      <c r="H2466" s="4" t="s">
        <v>289</v>
      </c>
      <c r="I2466" s="4">
        <v>0.05</v>
      </c>
      <c r="J2466" s="21">
        <v>1200</v>
      </c>
      <c r="K2466" s="21">
        <v>0</v>
      </c>
      <c r="L2466" s="5">
        <v>0</v>
      </c>
      <c r="M2466" s="4"/>
      <c r="N2466" s="4"/>
      <c r="O2466" s="5"/>
      <c r="P2466" s="5"/>
      <c r="Q2466" s="21">
        <v>60</v>
      </c>
      <c r="R2466" s="21">
        <v>0</v>
      </c>
      <c r="S2466" s="5">
        <f t="shared" si="155"/>
        <v>32570.917120151993</v>
      </c>
      <c r="T2466" cm="1">
        <f t="array" ref="T2466">IF(OR(B2466="MAL ALIMI", B2466="ÜRETİM GİRİŞ"), MIN(I2466, MAX(0, I2466 + SUM(SUMIFS($I$1:I2465, $C$1:C2465, C2466, $B$1:B2465, {"MAL ALIMI","ÜRETİM GİRİŞ"})) - VLOOKUP(C2466, 'STOK RAPORU'!$C$2:$I$1000, 4, 0))), 0)</f>
        <v>0</v>
      </c>
      <c r="U2466" s="22">
        <f t="shared" si="152"/>
        <v>0</v>
      </c>
      <c r="V2466">
        <f t="shared" si="153"/>
        <v>0</v>
      </c>
      <c r="W2466" s="22">
        <f t="shared" si="154"/>
        <v>0</v>
      </c>
    </row>
    <row r="2467" spans="1:23" hidden="1" x14ac:dyDescent="0.25">
      <c r="A2467" s="3">
        <v>46014</v>
      </c>
      <c r="B2467" s="4" t="s">
        <v>334</v>
      </c>
      <c r="C2467" s="4" t="s">
        <v>209</v>
      </c>
      <c r="D2467" s="4"/>
      <c r="E2467" s="4"/>
      <c r="F2467" s="4" t="s">
        <v>1356</v>
      </c>
      <c r="G2467" s="4" t="s">
        <v>336</v>
      </c>
      <c r="H2467" s="4" t="s">
        <v>289</v>
      </c>
      <c r="I2467" s="4">
        <v>0.05</v>
      </c>
      <c r="J2467" s="21">
        <v>2600</v>
      </c>
      <c r="K2467" s="21">
        <v>0</v>
      </c>
      <c r="L2467" s="5">
        <v>0</v>
      </c>
      <c r="M2467" s="4"/>
      <c r="N2467" s="4"/>
      <c r="O2467" s="5"/>
      <c r="P2467" s="5"/>
      <c r="Q2467" s="21">
        <v>130</v>
      </c>
      <c r="R2467" s="21">
        <v>0</v>
      </c>
      <c r="S2467" s="5">
        <f t="shared" si="155"/>
        <v>32700.917120151993</v>
      </c>
      <c r="T2467" cm="1">
        <f t="array" ref="T2467">IF(OR(B2467="MAL ALIMI", B2467="ÜRETİM GİRİŞ"), MIN(I2467, MAX(0, I2467 + SUM(SUMIFS($I$1:I2466, $C$1:C2466, C2467, $B$1:B2466, {"MAL ALIMI","ÜRETİM GİRİŞ"})) - VLOOKUP(C2467, 'STOK RAPORU'!$C$2:$I$1000, 4, 0))), 0)</f>
        <v>0</v>
      </c>
      <c r="U2467" s="22">
        <f t="shared" si="152"/>
        <v>0</v>
      </c>
      <c r="V2467">
        <f t="shared" si="153"/>
        <v>0</v>
      </c>
      <c r="W2467" s="22">
        <f t="shared" si="154"/>
        <v>0</v>
      </c>
    </row>
    <row r="2468" spans="1:23" hidden="1" x14ac:dyDescent="0.25">
      <c r="A2468" s="3">
        <v>46014</v>
      </c>
      <c r="B2468" s="4" t="s">
        <v>334</v>
      </c>
      <c r="C2468" s="4" t="s">
        <v>206</v>
      </c>
      <c r="D2468" s="4"/>
      <c r="E2468" s="4" t="s">
        <v>921</v>
      </c>
      <c r="F2468" s="4" t="s">
        <v>1400</v>
      </c>
      <c r="G2468" s="4" t="s">
        <v>336</v>
      </c>
      <c r="H2468" s="4" t="s">
        <v>380</v>
      </c>
      <c r="I2468" s="4">
        <v>1</v>
      </c>
      <c r="J2468" s="21">
        <v>250</v>
      </c>
      <c r="K2468" s="21">
        <v>250</v>
      </c>
      <c r="L2468" s="5">
        <v>0</v>
      </c>
      <c r="M2468" s="4"/>
      <c r="N2468" s="4"/>
      <c r="O2468" s="5"/>
      <c r="P2468" s="5"/>
      <c r="Q2468" s="21">
        <v>0</v>
      </c>
      <c r="R2468" s="21">
        <v>0</v>
      </c>
      <c r="S2468" s="5">
        <f t="shared" si="155"/>
        <v>32700.917120151993</v>
      </c>
      <c r="T2468" cm="1">
        <f t="array" ref="T2468">IF(OR(B2468="MAL ALIMI", B2468="ÜRETİM GİRİŞ"), MIN(I2468, MAX(0, I2468 + SUM(SUMIFS($I$1:I2467, $C$1:C2467, C2468, $B$1:B2467, {"MAL ALIMI","ÜRETİM GİRİŞ"})) - VLOOKUP(C2468, 'STOK RAPORU'!$C$2:$I$1000, 4, 0))), 0)</f>
        <v>0</v>
      </c>
      <c r="U2468" s="22">
        <f t="shared" si="152"/>
        <v>0</v>
      </c>
      <c r="V2468">
        <f t="shared" si="153"/>
        <v>0</v>
      </c>
      <c r="W2468" s="22">
        <f t="shared" si="154"/>
        <v>0</v>
      </c>
    </row>
    <row r="2469" spans="1:23" hidden="1" x14ac:dyDescent="0.25">
      <c r="A2469" s="3">
        <v>46014</v>
      </c>
      <c r="B2469" s="4" t="s">
        <v>334</v>
      </c>
      <c r="C2469" s="4" t="s">
        <v>751</v>
      </c>
      <c r="D2469" s="4"/>
      <c r="E2469" s="4" t="s">
        <v>921</v>
      </c>
      <c r="F2469" s="4" t="s">
        <v>1401</v>
      </c>
      <c r="G2469" s="4" t="s">
        <v>336</v>
      </c>
      <c r="H2469" s="4" t="s">
        <v>380</v>
      </c>
      <c r="I2469" s="4">
        <v>1</v>
      </c>
      <c r="J2469" s="21">
        <v>220</v>
      </c>
      <c r="K2469" s="21">
        <v>220</v>
      </c>
      <c r="L2469" s="5">
        <v>0</v>
      </c>
      <c r="M2469" s="4"/>
      <c r="N2469" s="4"/>
      <c r="O2469" s="5"/>
      <c r="P2469" s="5"/>
      <c r="Q2469" s="21">
        <v>0</v>
      </c>
      <c r="R2469" s="21">
        <v>0</v>
      </c>
      <c r="S2469" s="5">
        <f t="shared" si="155"/>
        <v>32700.917120151993</v>
      </c>
      <c r="T2469" cm="1">
        <f t="array" ref="T2469">IF(OR(B2469="MAL ALIMI", B2469="ÜRETİM GİRİŞ"), MIN(I2469, MAX(0, I2469 + SUM(SUMIFS($I$1:I2468, $C$1:C2468, C2469, $B$1:B2468, {"MAL ALIMI","ÜRETİM GİRİŞ"})) - VLOOKUP(C2469, 'STOK RAPORU'!$C$2:$I$1000, 4, 0))), 0)</f>
        <v>0</v>
      </c>
      <c r="U2469" s="22">
        <f t="shared" si="152"/>
        <v>0</v>
      </c>
      <c r="V2469">
        <f t="shared" si="153"/>
        <v>0</v>
      </c>
      <c r="W2469" s="22">
        <f t="shared" si="154"/>
        <v>0</v>
      </c>
    </row>
    <row r="2470" spans="1:23" hidden="1" x14ac:dyDescent="0.25">
      <c r="A2470" s="3">
        <v>46014</v>
      </c>
      <c r="B2470" s="4" t="s">
        <v>334</v>
      </c>
      <c r="C2470" s="4" t="s">
        <v>465</v>
      </c>
      <c r="D2470" s="4"/>
      <c r="E2470" s="4"/>
      <c r="F2470" s="4" t="s">
        <v>1402</v>
      </c>
      <c r="G2470" s="4" t="s">
        <v>336</v>
      </c>
      <c r="H2470" s="4" t="s">
        <v>289</v>
      </c>
      <c r="I2470" s="4">
        <v>1</v>
      </c>
      <c r="J2470" s="21">
        <v>40</v>
      </c>
      <c r="K2470" s="21">
        <v>0</v>
      </c>
      <c r="L2470" s="5">
        <v>0</v>
      </c>
      <c r="M2470" s="4"/>
      <c r="N2470" s="4"/>
      <c r="O2470" s="5"/>
      <c r="P2470" s="5"/>
      <c r="Q2470" s="21">
        <v>40</v>
      </c>
      <c r="R2470" s="21">
        <v>0</v>
      </c>
      <c r="S2470" s="5">
        <f t="shared" si="155"/>
        <v>32740.917120151993</v>
      </c>
      <c r="T2470" cm="1">
        <f t="array" ref="T2470">IF(OR(B2470="MAL ALIMI", B2470="ÜRETİM GİRİŞ"), MIN(I2470, MAX(0, I2470 + SUM(SUMIFS($I$1:I2469, $C$1:C2469, C2470, $B$1:B2469, {"MAL ALIMI","ÜRETİM GİRİŞ"})) - VLOOKUP(C2470, 'STOK RAPORU'!$C$2:$I$1000, 4, 0))), 0)</f>
        <v>0</v>
      </c>
      <c r="U2470" s="22">
        <f t="shared" si="152"/>
        <v>0</v>
      </c>
      <c r="V2470">
        <f t="shared" si="153"/>
        <v>0</v>
      </c>
      <c r="W2470" s="22">
        <f t="shared" si="154"/>
        <v>0</v>
      </c>
    </row>
    <row r="2471" spans="1:23" hidden="1" x14ac:dyDescent="0.25">
      <c r="A2471" s="3">
        <v>46014</v>
      </c>
      <c r="B2471" s="4" t="s">
        <v>334</v>
      </c>
      <c r="C2471" s="4" t="s">
        <v>236</v>
      </c>
      <c r="D2471" s="4"/>
      <c r="E2471" s="4"/>
      <c r="F2471" s="4" t="s">
        <v>1403</v>
      </c>
      <c r="G2471" s="4" t="s">
        <v>336</v>
      </c>
      <c r="H2471" s="4" t="s">
        <v>289</v>
      </c>
      <c r="I2471" s="4">
        <v>0.5</v>
      </c>
      <c r="J2471" s="21">
        <v>350</v>
      </c>
      <c r="K2471" s="21">
        <v>0</v>
      </c>
      <c r="L2471" s="5">
        <v>0</v>
      </c>
      <c r="M2471" s="4"/>
      <c r="N2471" s="4"/>
      <c r="O2471" s="5"/>
      <c r="P2471" s="5"/>
      <c r="Q2471" s="21">
        <v>175</v>
      </c>
      <c r="R2471" s="21">
        <v>0</v>
      </c>
      <c r="S2471" s="5">
        <f t="shared" si="155"/>
        <v>32915.917120151993</v>
      </c>
      <c r="T2471" cm="1">
        <f t="array" ref="T2471">IF(OR(B2471="MAL ALIMI", B2471="ÜRETİM GİRİŞ"), MIN(I2471, MAX(0, I2471 + SUM(SUMIFS($I$1:I2470, $C$1:C2470, C2471, $B$1:B2470, {"MAL ALIMI","ÜRETİM GİRİŞ"})) - VLOOKUP(C2471, 'STOK RAPORU'!$C$2:$I$1000, 4, 0))), 0)</f>
        <v>0</v>
      </c>
      <c r="U2471" s="22">
        <f t="shared" si="152"/>
        <v>0</v>
      </c>
      <c r="V2471">
        <f t="shared" si="153"/>
        <v>0</v>
      </c>
      <c r="W2471" s="22">
        <f t="shared" si="154"/>
        <v>0</v>
      </c>
    </row>
    <row r="2472" spans="1:23" hidden="1" x14ac:dyDescent="0.25">
      <c r="A2472" s="3">
        <v>46014</v>
      </c>
      <c r="B2472" s="4" t="s">
        <v>334</v>
      </c>
      <c r="C2472" s="4" t="s">
        <v>1357</v>
      </c>
      <c r="D2472" s="4"/>
      <c r="E2472" s="4"/>
      <c r="F2472" s="4" t="s">
        <v>1403</v>
      </c>
      <c r="G2472" s="4" t="s">
        <v>336</v>
      </c>
      <c r="H2472" s="4" t="s">
        <v>289</v>
      </c>
      <c r="I2472" s="4">
        <v>0.5</v>
      </c>
      <c r="J2472" s="21">
        <v>600</v>
      </c>
      <c r="K2472" s="21">
        <v>0</v>
      </c>
      <c r="L2472" s="5">
        <v>0</v>
      </c>
      <c r="M2472" s="4"/>
      <c r="N2472" s="4"/>
      <c r="O2472" s="5"/>
      <c r="P2472" s="5"/>
      <c r="Q2472" s="21">
        <v>300</v>
      </c>
      <c r="R2472" s="21">
        <v>0</v>
      </c>
      <c r="S2472" s="5">
        <f t="shared" si="155"/>
        <v>33215.917120151993</v>
      </c>
      <c r="T2472" cm="1">
        <f t="array" ref="T2472">IF(OR(B2472="MAL ALIMI", B2472="ÜRETİM GİRİŞ"), MIN(I2472, MAX(0, I2472 + SUM(SUMIFS($I$1:I2471, $C$1:C2471, C2472, $B$1:B2471, {"MAL ALIMI","ÜRETİM GİRİŞ"})) - VLOOKUP(C2472, 'STOK RAPORU'!$C$2:$I$1000, 4, 0))), 0)</f>
        <v>0</v>
      </c>
      <c r="U2472" s="22">
        <f t="shared" si="152"/>
        <v>0</v>
      </c>
      <c r="V2472">
        <f t="shared" si="153"/>
        <v>0</v>
      </c>
      <c r="W2472" s="22">
        <f t="shared" si="154"/>
        <v>0</v>
      </c>
    </row>
    <row r="2473" spans="1:23" hidden="1" x14ac:dyDescent="0.25">
      <c r="A2473" s="3">
        <v>46014</v>
      </c>
      <c r="B2473" s="4" t="s">
        <v>334</v>
      </c>
      <c r="C2473" s="4" t="s">
        <v>1151</v>
      </c>
      <c r="D2473" s="4"/>
      <c r="E2473" s="4" t="s">
        <v>921</v>
      </c>
      <c r="F2473" s="4" t="s">
        <v>1404</v>
      </c>
      <c r="G2473" s="4" t="s">
        <v>336</v>
      </c>
      <c r="H2473" s="4" t="s">
        <v>380</v>
      </c>
      <c r="I2473" s="4">
        <v>0.11282051282051282</v>
      </c>
      <c r="J2473" s="21">
        <v>390</v>
      </c>
      <c r="K2473" s="21">
        <v>44</v>
      </c>
      <c r="L2473" s="5">
        <v>0</v>
      </c>
      <c r="M2473" s="4"/>
      <c r="N2473" s="4"/>
      <c r="O2473" s="5"/>
      <c r="P2473" s="5"/>
      <c r="Q2473" s="21">
        <v>0</v>
      </c>
      <c r="R2473" s="21">
        <v>0</v>
      </c>
      <c r="S2473" s="5">
        <f t="shared" si="155"/>
        <v>33215.917120151993</v>
      </c>
      <c r="T2473" cm="1">
        <f t="array" ref="T2473">IF(OR(B2473="MAL ALIMI", B2473="ÜRETİM GİRİŞ"), MIN(I2473, MAX(0, I2473 + SUM(SUMIFS($I$1:I2472, $C$1:C2472, C2473, $B$1:B2472, {"MAL ALIMI","ÜRETİM GİRİŞ"})) - VLOOKUP(C2473, 'STOK RAPORU'!$C$2:$I$1000, 4, 0))), 0)</f>
        <v>0</v>
      </c>
      <c r="U2473" s="22">
        <f t="shared" si="152"/>
        <v>0</v>
      </c>
      <c r="V2473">
        <f t="shared" si="153"/>
        <v>0</v>
      </c>
      <c r="W2473" s="22">
        <f t="shared" si="154"/>
        <v>0</v>
      </c>
    </row>
    <row r="2474" spans="1:23" hidden="1" x14ac:dyDescent="0.25">
      <c r="A2474" s="3">
        <v>46014</v>
      </c>
      <c r="B2474" s="4" t="s">
        <v>334</v>
      </c>
      <c r="C2474" s="4" t="s">
        <v>163</v>
      </c>
      <c r="D2474" s="4"/>
      <c r="E2474" s="4" t="s">
        <v>921</v>
      </c>
      <c r="F2474" s="4" t="s">
        <v>1404</v>
      </c>
      <c r="G2474" s="4" t="s">
        <v>336</v>
      </c>
      <c r="H2474" s="4" t="s">
        <v>380</v>
      </c>
      <c r="I2474" s="4">
        <v>9.7619047619047619E-2</v>
      </c>
      <c r="J2474" s="21">
        <v>420</v>
      </c>
      <c r="K2474" s="21">
        <v>41</v>
      </c>
      <c r="L2474" s="5">
        <v>0</v>
      </c>
      <c r="M2474" s="4"/>
      <c r="N2474" s="4"/>
      <c r="O2474" s="5"/>
      <c r="P2474" s="5"/>
      <c r="Q2474" s="21">
        <v>0</v>
      </c>
      <c r="R2474" s="21">
        <v>0</v>
      </c>
      <c r="S2474" s="5">
        <f t="shared" si="155"/>
        <v>33215.917120151993</v>
      </c>
      <c r="T2474" cm="1">
        <f t="array" ref="T2474">IF(OR(B2474="MAL ALIMI", B2474="ÜRETİM GİRİŞ"), MIN(I2474, MAX(0, I2474 + SUM(SUMIFS($I$1:I2473, $C$1:C2473, C2474, $B$1:B2473, {"MAL ALIMI","ÜRETİM GİRİŞ"})) - VLOOKUP(C2474, 'STOK RAPORU'!$C$2:$I$1000, 4, 0))), 0)</f>
        <v>0</v>
      </c>
      <c r="U2474" s="22">
        <f t="shared" si="152"/>
        <v>0</v>
      </c>
      <c r="V2474">
        <f t="shared" si="153"/>
        <v>0</v>
      </c>
      <c r="W2474" s="22">
        <f t="shared" si="154"/>
        <v>0</v>
      </c>
    </row>
    <row r="2475" spans="1:23" hidden="1" x14ac:dyDescent="0.25">
      <c r="A2475" s="3">
        <v>46014</v>
      </c>
      <c r="B2475" s="4" t="s">
        <v>334</v>
      </c>
      <c r="C2475" s="4" t="s">
        <v>226</v>
      </c>
      <c r="D2475" s="4"/>
      <c r="E2475" s="4" t="s">
        <v>921</v>
      </c>
      <c r="F2475" s="4" t="s">
        <v>1404</v>
      </c>
      <c r="G2475" s="4" t="s">
        <v>336</v>
      </c>
      <c r="H2475" s="4" t="s">
        <v>380</v>
      </c>
      <c r="I2475" s="4">
        <v>0.5</v>
      </c>
      <c r="J2475" s="21">
        <v>200</v>
      </c>
      <c r="K2475" s="21">
        <v>100</v>
      </c>
      <c r="L2475" s="5">
        <v>0</v>
      </c>
      <c r="M2475" s="4"/>
      <c r="N2475" s="4"/>
      <c r="O2475" s="5"/>
      <c r="P2475" s="5"/>
      <c r="Q2475" s="21">
        <v>0</v>
      </c>
      <c r="R2475" s="21">
        <v>0</v>
      </c>
      <c r="S2475" s="5">
        <f t="shared" si="155"/>
        <v>33215.917120151993</v>
      </c>
      <c r="T2475" cm="1">
        <f t="array" ref="T2475">IF(OR(B2475="MAL ALIMI", B2475="ÜRETİM GİRİŞ"), MIN(I2475, MAX(0, I2475 + SUM(SUMIFS($I$1:I2474, $C$1:C2474, C2475, $B$1:B2474, {"MAL ALIMI","ÜRETİM GİRİŞ"})) - VLOOKUP(C2475, 'STOK RAPORU'!$C$2:$I$1000, 4, 0))), 0)</f>
        <v>0</v>
      </c>
      <c r="U2475" s="22">
        <f t="shared" si="152"/>
        <v>0</v>
      </c>
      <c r="V2475">
        <f t="shared" si="153"/>
        <v>0</v>
      </c>
      <c r="W2475" s="22">
        <f t="shared" si="154"/>
        <v>0</v>
      </c>
    </row>
    <row r="2476" spans="1:23" hidden="1" x14ac:dyDescent="0.25">
      <c r="A2476" s="3">
        <v>46014</v>
      </c>
      <c r="B2476" s="4" t="s">
        <v>334</v>
      </c>
      <c r="C2476" s="4" t="s">
        <v>225</v>
      </c>
      <c r="D2476" s="4"/>
      <c r="E2476" s="4" t="s">
        <v>921</v>
      </c>
      <c r="F2476" s="4" t="s">
        <v>1405</v>
      </c>
      <c r="G2476" s="4" t="s">
        <v>336</v>
      </c>
      <c r="H2476" s="4" t="s">
        <v>380</v>
      </c>
      <c r="I2476" s="4">
        <v>0.29333333333333333</v>
      </c>
      <c r="J2476" s="21">
        <v>750</v>
      </c>
      <c r="K2476" s="21">
        <v>220</v>
      </c>
      <c r="L2476" s="5">
        <v>0</v>
      </c>
      <c r="M2476" s="4"/>
      <c r="N2476" s="4"/>
      <c r="O2476" s="5"/>
      <c r="P2476" s="5"/>
      <c r="Q2476" s="21">
        <v>0</v>
      </c>
      <c r="R2476" s="21">
        <v>0</v>
      </c>
      <c r="S2476" s="5">
        <f t="shared" si="155"/>
        <v>33215.917120151993</v>
      </c>
      <c r="T2476" cm="1">
        <f t="array" ref="T2476">IF(OR(B2476="MAL ALIMI", B2476="ÜRETİM GİRİŞ"), MIN(I2476, MAX(0, I2476 + SUM(SUMIFS($I$1:I2475, $C$1:C2475, C2476, $B$1:B2475, {"MAL ALIMI","ÜRETİM GİRİŞ"})) - VLOOKUP(C2476, 'STOK RAPORU'!$C$2:$I$1000, 4, 0))), 0)</f>
        <v>0</v>
      </c>
      <c r="U2476" s="22">
        <f t="shared" si="152"/>
        <v>0</v>
      </c>
      <c r="V2476">
        <f t="shared" si="153"/>
        <v>0</v>
      </c>
      <c r="W2476" s="22">
        <f t="shared" si="154"/>
        <v>0</v>
      </c>
    </row>
    <row r="2477" spans="1:23" hidden="1" x14ac:dyDescent="0.25">
      <c r="A2477" s="3">
        <v>46014</v>
      </c>
      <c r="B2477" s="4" t="s">
        <v>334</v>
      </c>
      <c r="C2477" s="4" t="s">
        <v>649</v>
      </c>
      <c r="D2477" s="4"/>
      <c r="E2477" s="4"/>
      <c r="F2477" s="4" t="s">
        <v>1406</v>
      </c>
      <c r="G2477" s="4" t="s">
        <v>336</v>
      </c>
      <c r="H2477" s="4" t="s">
        <v>289</v>
      </c>
      <c r="I2477" s="4">
        <v>1</v>
      </c>
      <c r="J2477" s="21">
        <v>350</v>
      </c>
      <c r="K2477" s="21">
        <v>0</v>
      </c>
      <c r="L2477" s="5">
        <v>0</v>
      </c>
      <c r="M2477" s="4"/>
      <c r="N2477" s="4"/>
      <c r="O2477" s="5"/>
      <c r="P2477" s="5"/>
      <c r="Q2477" s="21">
        <v>350</v>
      </c>
      <c r="R2477" s="21">
        <v>0</v>
      </c>
      <c r="S2477" s="5">
        <f t="shared" si="155"/>
        <v>33565.917120151993</v>
      </c>
      <c r="T2477" cm="1">
        <f t="array" ref="T2477">IF(OR(B2477="MAL ALIMI", B2477="ÜRETİM GİRİŞ"), MIN(I2477, MAX(0, I2477 + SUM(SUMIFS($I$1:I2476, $C$1:C2476, C2477, $B$1:B2476, {"MAL ALIMI","ÜRETİM GİRİŞ"})) - VLOOKUP(C2477, 'STOK RAPORU'!$C$2:$I$1000, 4, 0))), 0)</f>
        <v>0</v>
      </c>
      <c r="U2477" s="22">
        <f t="shared" si="152"/>
        <v>0</v>
      </c>
      <c r="V2477">
        <f t="shared" si="153"/>
        <v>0</v>
      </c>
      <c r="W2477" s="22">
        <f t="shared" si="154"/>
        <v>0</v>
      </c>
    </row>
    <row r="2478" spans="1:23" hidden="1" x14ac:dyDescent="0.25">
      <c r="A2478" s="3">
        <v>46014</v>
      </c>
      <c r="B2478" s="4" t="s">
        <v>334</v>
      </c>
      <c r="C2478" s="4" t="s">
        <v>751</v>
      </c>
      <c r="D2478" s="4"/>
      <c r="E2478" s="4"/>
      <c r="F2478" s="4" t="s">
        <v>1407</v>
      </c>
      <c r="G2478" s="4" t="s">
        <v>336</v>
      </c>
      <c r="H2478" s="4" t="s">
        <v>289</v>
      </c>
      <c r="I2478" s="4">
        <v>2</v>
      </c>
      <c r="J2478" s="21">
        <v>215</v>
      </c>
      <c r="K2478" s="21">
        <v>0</v>
      </c>
      <c r="L2478" s="5">
        <v>0</v>
      </c>
      <c r="M2478" s="4"/>
      <c r="N2478" s="4"/>
      <c r="O2478" s="5"/>
      <c r="P2478" s="5"/>
      <c r="Q2478" s="21">
        <v>430</v>
      </c>
      <c r="R2478" s="21">
        <v>0</v>
      </c>
      <c r="S2478" s="5">
        <f t="shared" si="155"/>
        <v>33995.917120151993</v>
      </c>
      <c r="T2478" cm="1">
        <f t="array" ref="T2478">IF(OR(B2478="MAL ALIMI", B2478="ÜRETİM GİRİŞ"), MIN(I2478, MAX(0, I2478 + SUM(SUMIFS($I$1:I2477, $C$1:C2477, C2478, $B$1:B2477, {"MAL ALIMI","ÜRETİM GİRİŞ"})) - VLOOKUP(C2478, 'STOK RAPORU'!$C$2:$I$1000, 4, 0))), 0)</f>
        <v>0</v>
      </c>
      <c r="U2478" s="22">
        <f t="shared" si="152"/>
        <v>0</v>
      </c>
      <c r="V2478">
        <f t="shared" si="153"/>
        <v>0</v>
      </c>
      <c r="W2478" s="22">
        <f t="shared" si="154"/>
        <v>0</v>
      </c>
    </row>
    <row r="2479" spans="1:23" hidden="1" x14ac:dyDescent="0.25">
      <c r="A2479" s="3">
        <v>46014</v>
      </c>
      <c r="B2479" s="4" t="s">
        <v>334</v>
      </c>
      <c r="C2479" s="4" t="s">
        <v>218</v>
      </c>
      <c r="D2479" s="4"/>
      <c r="E2479" s="4"/>
      <c r="F2479" s="4" t="s">
        <v>1408</v>
      </c>
      <c r="G2479" s="4" t="s">
        <v>336</v>
      </c>
      <c r="H2479" s="4" t="s">
        <v>289</v>
      </c>
      <c r="I2479" s="4">
        <v>1</v>
      </c>
      <c r="J2479" s="21">
        <v>295</v>
      </c>
      <c r="K2479" s="21">
        <v>0</v>
      </c>
      <c r="L2479" s="5">
        <v>0</v>
      </c>
      <c r="M2479" s="4"/>
      <c r="N2479" s="4"/>
      <c r="O2479" s="5"/>
      <c r="P2479" s="5"/>
      <c r="Q2479" s="21">
        <v>295</v>
      </c>
      <c r="R2479" s="21">
        <v>0</v>
      </c>
      <c r="S2479" s="5">
        <f t="shared" si="155"/>
        <v>34290.917120151993</v>
      </c>
      <c r="T2479" cm="1">
        <f t="array" ref="T2479">IF(OR(B2479="MAL ALIMI", B2479="ÜRETİM GİRİŞ"), MIN(I2479, MAX(0, I2479 + SUM(SUMIFS($I$1:I2478, $C$1:C2478, C2479, $B$1:B2478, {"MAL ALIMI","ÜRETİM GİRİŞ"})) - VLOOKUP(C2479, 'STOK RAPORU'!$C$2:$I$1000, 4, 0))), 0)</f>
        <v>0</v>
      </c>
      <c r="U2479" s="22">
        <f t="shared" si="152"/>
        <v>0</v>
      </c>
      <c r="V2479">
        <f t="shared" si="153"/>
        <v>0</v>
      </c>
      <c r="W2479" s="22">
        <f t="shared" si="154"/>
        <v>0</v>
      </c>
    </row>
    <row r="2480" spans="1:23" hidden="1" x14ac:dyDescent="0.25">
      <c r="A2480" s="3">
        <v>46014</v>
      </c>
      <c r="B2480" s="4" t="s">
        <v>946</v>
      </c>
      <c r="C2480" s="4"/>
      <c r="D2480" s="4"/>
      <c r="E2480" s="4" t="s">
        <v>921</v>
      </c>
      <c r="F2480" s="4"/>
      <c r="G2480" s="4" t="s">
        <v>946</v>
      </c>
      <c r="H2480" s="4" t="s">
        <v>380</v>
      </c>
      <c r="I2480" s="4">
        <v>1</v>
      </c>
      <c r="J2480" s="105">
        <v>940</v>
      </c>
      <c r="K2480" s="21">
        <v>0</v>
      </c>
      <c r="L2480" s="111">
        <v>940</v>
      </c>
      <c r="M2480" s="4">
        <v>330</v>
      </c>
      <c r="N2480" s="4"/>
      <c r="O2480" s="5"/>
      <c r="P2480" s="5"/>
      <c r="Q2480" s="21">
        <v>940</v>
      </c>
      <c r="R2480" s="21">
        <v>0</v>
      </c>
      <c r="S2480" s="5">
        <f t="shared" si="155"/>
        <v>35230.917120151993</v>
      </c>
      <c r="T2480" cm="1">
        <f t="array" ref="T2480">IF(OR(B2480="MAL ALIMI", B2480="ÜRETİM GİRİŞ"), MIN(I2480, MAX(0, I2480 + SUM(SUMIFS($I$1:I2479, $C$1:C2479, C2480, $B$1:B2479, {"MAL ALIMI","ÜRETİM GİRİŞ"})) - VLOOKUP(C2480, 'STOK RAPORU'!$C$2:$I$1000, 4, 0))), 0)</f>
        <v>0</v>
      </c>
      <c r="U2480" s="22">
        <f t="shared" si="152"/>
        <v>0</v>
      </c>
      <c r="V2480">
        <f t="shared" si="153"/>
        <v>0</v>
      </c>
      <c r="W2480" s="22">
        <f t="shared" si="154"/>
        <v>0</v>
      </c>
    </row>
    <row r="2481" spans="1:23" hidden="1" x14ac:dyDescent="0.25">
      <c r="A2481" s="3">
        <v>46014</v>
      </c>
      <c r="B2481" s="4" t="s">
        <v>917</v>
      </c>
      <c r="C2481" s="4"/>
      <c r="D2481" s="4"/>
      <c r="E2481" s="4" t="s">
        <v>1361</v>
      </c>
      <c r="F2481" s="4"/>
      <c r="G2481" s="4" t="s">
        <v>1361</v>
      </c>
      <c r="H2481" s="4" t="s">
        <v>289</v>
      </c>
      <c r="I2481" s="4">
        <v>1</v>
      </c>
      <c r="J2481" s="21">
        <v>0</v>
      </c>
      <c r="K2481" s="21">
        <v>18331.5</v>
      </c>
      <c r="L2481" s="5">
        <v>0</v>
      </c>
      <c r="M2481" s="4"/>
      <c r="N2481" s="4"/>
      <c r="O2481" s="5"/>
      <c r="P2481" s="5"/>
      <c r="Q2481" s="21">
        <v>0</v>
      </c>
      <c r="R2481" s="21">
        <v>18331.5</v>
      </c>
      <c r="S2481" s="5">
        <f t="shared" si="155"/>
        <v>16899.417120151993</v>
      </c>
      <c r="T2481" cm="1">
        <f t="array" ref="T2481">IF(OR(B2481="MAL ALIMI", B2481="ÜRETİM GİRİŞ"), MIN(I2481, MAX(0, I2481 + SUM(SUMIFS($I$1:I2480, $C$1:C2480, C2481, $B$1:B2480, {"MAL ALIMI","ÜRETİM GİRİŞ"})) - VLOOKUP(C2481, 'STOK RAPORU'!$C$2:$I$1000, 4, 0))), 0)</f>
        <v>0</v>
      </c>
      <c r="U2481" s="22">
        <f t="shared" si="152"/>
        <v>0</v>
      </c>
      <c r="V2481">
        <f t="shared" si="153"/>
        <v>0</v>
      </c>
      <c r="W2481" s="22">
        <f t="shared" si="154"/>
        <v>0</v>
      </c>
    </row>
    <row r="2482" spans="1:23" hidden="1" x14ac:dyDescent="0.25">
      <c r="A2482" s="3">
        <v>46015</v>
      </c>
      <c r="B2482" s="4" t="s">
        <v>334</v>
      </c>
      <c r="C2482" s="4" t="s">
        <v>1041</v>
      </c>
      <c r="D2482" s="4"/>
      <c r="E2482" s="4" t="s">
        <v>921</v>
      </c>
      <c r="F2482" s="4" t="s">
        <v>1409</v>
      </c>
      <c r="G2482" s="4" t="s">
        <v>336</v>
      </c>
      <c r="H2482" s="4" t="s">
        <v>380</v>
      </c>
      <c r="I2482" s="4">
        <v>0.54</v>
      </c>
      <c r="J2482" s="21">
        <v>250</v>
      </c>
      <c r="K2482" s="21">
        <v>135</v>
      </c>
      <c r="L2482" s="5">
        <v>0</v>
      </c>
      <c r="M2482" s="4"/>
      <c r="N2482" s="4"/>
      <c r="O2482" s="5"/>
      <c r="P2482" s="5"/>
      <c r="Q2482" s="21">
        <v>0</v>
      </c>
      <c r="R2482" s="21">
        <v>0</v>
      </c>
      <c r="S2482" s="5">
        <f t="shared" si="155"/>
        <v>16899.417120151993</v>
      </c>
      <c r="T2482" cm="1">
        <f t="array" ref="T2482">IF(OR(B2482="MAL ALIMI", B2482="ÜRETİM GİRİŞ"), MIN(I2482, MAX(0, I2482 + SUM(SUMIFS($I$1:I2481, $C$1:C2481, C2482, $B$1:B2481, {"MAL ALIMI","ÜRETİM GİRİŞ"})) - VLOOKUP(C2482, 'STOK RAPORU'!$C$2:$I$1000, 4, 0))), 0)</f>
        <v>0</v>
      </c>
      <c r="U2482" s="22">
        <f t="shared" si="152"/>
        <v>0</v>
      </c>
      <c r="V2482">
        <f t="shared" si="153"/>
        <v>0</v>
      </c>
      <c r="W2482" s="22">
        <f t="shared" si="154"/>
        <v>0</v>
      </c>
    </row>
    <row r="2483" spans="1:23" hidden="1" x14ac:dyDescent="0.25">
      <c r="A2483" s="3">
        <v>46015</v>
      </c>
      <c r="B2483" s="4" t="s">
        <v>334</v>
      </c>
      <c r="C2483" s="4" t="s">
        <v>835</v>
      </c>
      <c r="D2483" s="4"/>
      <c r="E2483" s="4"/>
      <c r="F2483" s="4" t="s">
        <v>1410</v>
      </c>
      <c r="G2483" s="4" t="s">
        <v>336</v>
      </c>
      <c r="H2483" s="4" t="s">
        <v>289</v>
      </c>
      <c r="I2483" s="4">
        <v>1</v>
      </c>
      <c r="J2483" s="21">
        <v>130</v>
      </c>
      <c r="K2483" s="21">
        <v>0</v>
      </c>
      <c r="L2483" s="5">
        <v>0</v>
      </c>
      <c r="M2483" s="4"/>
      <c r="N2483" s="4"/>
      <c r="O2483" s="5"/>
      <c r="P2483" s="5"/>
      <c r="Q2483" s="21">
        <v>130</v>
      </c>
      <c r="R2483" s="21">
        <v>0</v>
      </c>
      <c r="S2483" s="5">
        <f t="shared" si="155"/>
        <v>17029.417120151993</v>
      </c>
      <c r="T2483" cm="1">
        <f t="array" ref="T2483">IF(OR(B2483="MAL ALIMI", B2483="ÜRETİM GİRİŞ"), MIN(I2483, MAX(0, I2483 + SUM(SUMIFS($I$1:I2482, $C$1:C2482, C2483, $B$1:B2482, {"MAL ALIMI","ÜRETİM GİRİŞ"})) - VLOOKUP(C2483, 'STOK RAPORU'!$C$2:$I$1000, 4, 0))), 0)</f>
        <v>0</v>
      </c>
      <c r="U2483" s="22">
        <f t="shared" si="152"/>
        <v>0</v>
      </c>
      <c r="V2483">
        <f t="shared" si="153"/>
        <v>0</v>
      </c>
      <c r="W2483" s="22">
        <f t="shared" si="154"/>
        <v>0</v>
      </c>
    </row>
    <row r="2484" spans="1:23" hidden="1" x14ac:dyDescent="0.25">
      <c r="A2484" s="3">
        <v>46015</v>
      </c>
      <c r="B2484" s="4" t="s">
        <v>334</v>
      </c>
      <c r="C2484" s="4" t="s">
        <v>131</v>
      </c>
      <c r="D2484" s="4"/>
      <c r="E2484" s="4"/>
      <c r="F2484" s="4" t="s">
        <v>1411</v>
      </c>
      <c r="G2484" s="4" t="s">
        <v>336</v>
      </c>
      <c r="H2484" s="4" t="s">
        <v>289</v>
      </c>
      <c r="I2484" s="4">
        <v>0.09</v>
      </c>
      <c r="J2484" s="21">
        <v>400</v>
      </c>
      <c r="K2484" s="21">
        <v>0</v>
      </c>
      <c r="L2484" s="5">
        <v>0</v>
      </c>
      <c r="M2484" s="4"/>
      <c r="N2484" s="4"/>
      <c r="O2484" s="5"/>
      <c r="P2484" s="5"/>
      <c r="Q2484" s="21">
        <v>36</v>
      </c>
      <c r="R2484" s="21">
        <v>0</v>
      </c>
      <c r="S2484" s="5">
        <f t="shared" si="155"/>
        <v>17065.417120151993</v>
      </c>
      <c r="T2484" cm="1">
        <f t="array" ref="T2484">IF(OR(B2484="MAL ALIMI", B2484="ÜRETİM GİRİŞ"), MIN(I2484, MAX(0, I2484 + SUM(SUMIFS($I$1:I2483, $C$1:C2483, C2484, $B$1:B2483, {"MAL ALIMI","ÜRETİM GİRİŞ"})) - VLOOKUP(C2484, 'STOK RAPORU'!$C$2:$I$1000, 4, 0))), 0)</f>
        <v>0</v>
      </c>
      <c r="U2484" s="22">
        <f t="shared" si="152"/>
        <v>0</v>
      </c>
      <c r="V2484">
        <f t="shared" si="153"/>
        <v>0</v>
      </c>
      <c r="W2484" s="22">
        <f t="shared" si="154"/>
        <v>0</v>
      </c>
    </row>
    <row r="2485" spans="1:23" hidden="1" x14ac:dyDescent="0.25">
      <c r="A2485" s="3">
        <v>46015</v>
      </c>
      <c r="B2485" s="4" t="s">
        <v>334</v>
      </c>
      <c r="C2485" s="4" t="s">
        <v>140</v>
      </c>
      <c r="D2485" s="4"/>
      <c r="E2485" s="4"/>
      <c r="F2485" s="4" t="s">
        <v>1411</v>
      </c>
      <c r="G2485" s="4" t="s">
        <v>336</v>
      </c>
      <c r="H2485" s="4" t="s">
        <v>289</v>
      </c>
      <c r="I2485" s="4">
        <v>0.15333333333333332</v>
      </c>
      <c r="J2485" s="21">
        <v>300</v>
      </c>
      <c r="K2485" s="21">
        <v>0</v>
      </c>
      <c r="L2485" s="5">
        <v>0</v>
      </c>
      <c r="M2485" s="4"/>
      <c r="N2485" s="4"/>
      <c r="O2485" s="5"/>
      <c r="P2485" s="5"/>
      <c r="Q2485" s="21">
        <v>46</v>
      </c>
      <c r="R2485" s="21">
        <v>0</v>
      </c>
      <c r="S2485" s="5">
        <f t="shared" si="155"/>
        <v>17111.417120151993</v>
      </c>
      <c r="T2485" cm="1">
        <f t="array" ref="T2485">IF(OR(B2485="MAL ALIMI", B2485="ÜRETİM GİRİŞ"), MIN(I2485, MAX(0, I2485 + SUM(SUMIFS($I$1:I2484, $C$1:C2484, C2485, $B$1:B2484, {"MAL ALIMI","ÜRETİM GİRİŞ"})) - VLOOKUP(C2485, 'STOK RAPORU'!$C$2:$I$1000, 4, 0))), 0)</f>
        <v>0</v>
      </c>
      <c r="U2485" s="22">
        <f t="shared" si="152"/>
        <v>0</v>
      </c>
      <c r="V2485">
        <f t="shared" si="153"/>
        <v>0</v>
      </c>
      <c r="W2485" s="22">
        <f t="shared" si="154"/>
        <v>0</v>
      </c>
    </row>
    <row r="2486" spans="1:23" hidden="1" x14ac:dyDescent="0.25">
      <c r="A2486" s="3">
        <v>46015</v>
      </c>
      <c r="B2486" s="4" t="s">
        <v>334</v>
      </c>
      <c r="C2486" s="4" t="s">
        <v>98</v>
      </c>
      <c r="D2486" s="4"/>
      <c r="E2486" s="4"/>
      <c r="F2486" s="4" t="s">
        <v>1411</v>
      </c>
      <c r="G2486" s="4" t="s">
        <v>336</v>
      </c>
      <c r="H2486" s="4" t="s">
        <v>289</v>
      </c>
      <c r="I2486" s="4">
        <v>0.1225</v>
      </c>
      <c r="J2486" s="21">
        <v>400</v>
      </c>
      <c r="K2486" s="21">
        <v>0</v>
      </c>
      <c r="L2486" s="5">
        <v>0</v>
      </c>
      <c r="M2486" s="4"/>
      <c r="N2486" s="4"/>
      <c r="O2486" s="5"/>
      <c r="P2486" s="5"/>
      <c r="Q2486" s="21">
        <v>49</v>
      </c>
      <c r="R2486" s="21">
        <v>0</v>
      </c>
      <c r="S2486" s="5">
        <f t="shared" si="155"/>
        <v>17160.417120151993</v>
      </c>
      <c r="T2486" cm="1">
        <f t="array" ref="T2486">IF(OR(B2486="MAL ALIMI", B2486="ÜRETİM GİRİŞ"), MIN(I2486, MAX(0, I2486 + SUM(SUMIFS($I$1:I2485, $C$1:C2485, C2486, $B$1:B2485, {"MAL ALIMI","ÜRETİM GİRİŞ"})) - VLOOKUP(C2486, 'STOK RAPORU'!$C$2:$I$1000, 4, 0))), 0)</f>
        <v>0</v>
      </c>
      <c r="U2486" s="22">
        <f t="shared" si="152"/>
        <v>0</v>
      </c>
      <c r="V2486">
        <f t="shared" si="153"/>
        <v>0</v>
      </c>
      <c r="W2486" s="22">
        <f t="shared" si="154"/>
        <v>0</v>
      </c>
    </row>
    <row r="2487" spans="1:23" hidden="1" x14ac:dyDescent="0.25">
      <c r="A2487" s="3">
        <v>46015</v>
      </c>
      <c r="B2487" s="4" t="s">
        <v>334</v>
      </c>
      <c r="C2487" s="4" t="s">
        <v>1399</v>
      </c>
      <c r="D2487" s="4"/>
      <c r="E2487" s="4" t="s">
        <v>921</v>
      </c>
      <c r="F2487" s="4" t="s">
        <v>1412</v>
      </c>
      <c r="G2487" s="4" t="s">
        <v>336</v>
      </c>
      <c r="H2487" s="4" t="s">
        <v>380</v>
      </c>
      <c r="I2487" s="4">
        <v>1</v>
      </c>
      <c r="J2487" s="21">
        <v>170</v>
      </c>
      <c r="K2487" s="21">
        <v>170</v>
      </c>
      <c r="L2487" s="5">
        <v>0</v>
      </c>
      <c r="M2487" s="4"/>
      <c r="N2487" s="4"/>
      <c r="O2487" s="5"/>
      <c r="P2487" s="5"/>
      <c r="Q2487" s="21">
        <v>0</v>
      </c>
      <c r="R2487" s="21">
        <v>0</v>
      </c>
      <c r="S2487" s="5">
        <f t="shared" si="155"/>
        <v>17160.417120151993</v>
      </c>
      <c r="T2487" cm="1">
        <f t="array" ref="T2487">IF(OR(B2487="MAL ALIMI", B2487="ÜRETİM GİRİŞ"), MIN(I2487, MAX(0, I2487 + SUM(SUMIFS($I$1:I2486, $C$1:C2486, C2487, $B$1:B2486, {"MAL ALIMI","ÜRETİM GİRİŞ"})) - VLOOKUP(C2487, 'STOK RAPORU'!$C$2:$I$1000, 4, 0))), 0)</f>
        <v>0</v>
      </c>
      <c r="U2487" s="22">
        <f t="shared" si="152"/>
        <v>0</v>
      </c>
      <c r="V2487">
        <f t="shared" si="153"/>
        <v>0</v>
      </c>
      <c r="W2487" s="22">
        <f t="shared" si="154"/>
        <v>0</v>
      </c>
    </row>
    <row r="2488" spans="1:23" hidden="1" x14ac:dyDescent="0.25">
      <c r="A2488" s="3">
        <v>46015</v>
      </c>
      <c r="B2488" s="4" t="s">
        <v>334</v>
      </c>
      <c r="C2488" s="4" t="s">
        <v>157</v>
      </c>
      <c r="D2488" s="4"/>
      <c r="E2488" s="4"/>
      <c r="F2488" s="4" t="s">
        <v>1413</v>
      </c>
      <c r="G2488" s="4" t="s">
        <v>336</v>
      </c>
      <c r="H2488" s="4" t="s">
        <v>289</v>
      </c>
      <c r="I2488" s="4">
        <v>1</v>
      </c>
      <c r="J2488" s="21">
        <v>180</v>
      </c>
      <c r="K2488" s="21">
        <v>0</v>
      </c>
      <c r="L2488" s="5">
        <v>0</v>
      </c>
      <c r="M2488" s="4"/>
      <c r="N2488" s="4"/>
      <c r="O2488" s="5"/>
      <c r="P2488" s="5"/>
      <c r="Q2488" s="21">
        <v>180</v>
      </c>
      <c r="R2488" s="21">
        <v>0</v>
      </c>
      <c r="S2488" s="5">
        <f t="shared" si="155"/>
        <v>17340.417120151993</v>
      </c>
      <c r="T2488" cm="1">
        <f t="array" ref="T2488">IF(OR(B2488="MAL ALIMI", B2488="ÜRETİM GİRİŞ"), MIN(I2488, MAX(0, I2488 + SUM(SUMIFS($I$1:I2487, $C$1:C2487, C2488, $B$1:B2487, {"MAL ALIMI","ÜRETİM GİRİŞ"})) - VLOOKUP(C2488, 'STOK RAPORU'!$C$2:$I$1000, 4, 0))), 0)</f>
        <v>0</v>
      </c>
      <c r="U2488" s="22">
        <f t="shared" si="152"/>
        <v>0</v>
      </c>
      <c r="V2488">
        <f t="shared" si="153"/>
        <v>0</v>
      </c>
      <c r="W2488" s="22">
        <f t="shared" si="154"/>
        <v>0</v>
      </c>
    </row>
    <row r="2489" spans="1:23" hidden="1" x14ac:dyDescent="0.25">
      <c r="A2489" s="3">
        <v>46015</v>
      </c>
      <c r="B2489" s="4" t="s">
        <v>334</v>
      </c>
      <c r="C2489" s="4" t="s">
        <v>977</v>
      </c>
      <c r="D2489" s="4"/>
      <c r="E2489" s="4"/>
      <c r="F2489" s="4" t="s">
        <v>1413</v>
      </c>
      <c r="G2489" s="4" t="s">
        <v>336</v>
      </c>
      <c r="H2489" s="4" t="s">
        <v>289</v>
      </c>
      <c r="I2489" s="4">
        <v>0.3125</v>
      </c>
      <c r="J2489" s="21">
        <v>320</v>
      </c>
      <c r="K2489" s="21">
        <v>0</v>
      </c>
      <c r="L2489" s="5">
        <v>0</v>
      </c>
      <c r="M2489" s="4"/>
      <c r="N2489" s="4"/>
      <c r="O2489" s="5"/>
      <c r="P2489" s="5"/>
      <c r="Q2489" s="21">
        <v>100</v>
      </c>
      <c r="R2489" s="21">
        <v>0</v>
      </c>
      <c r="S2489" s="5">
        <f t="shared" si="155"/>
        <v>17440.417120151993</v>
      </c>
      <c r="T2489" cm="1">
        <f t="array" ref="T2489">IF(OR(B2489="MAL ALIMI", B2489="ÜRETİM GİRİŞ"), MIN(I2489, MAX(0, I2489 + SUM(SUMIFS($I$1:I2488, $C$1:C2488, C2489, $B$1:B2488, {"MAL ALIMI","ÜRETİM GİRİŞ"})) - VLOOKUP(C2489, 'STOK RAPORU'!$C$2:$I$1000, 4, 0))), 0)</f>
        <v>0</v>
      </c>
      <c r="U2489" s="22">
        <f t="shared" si="152"/>
        <v>0</v>
      </c>
      <c r="V2489">
        <f t="shared" si="153"/>
        <v>0</v>
      </c>
      <c r="W2489" s="22">
        <f t="shared" si="154"/>
        <v>0</v>
      </c>
    </row>
    <row r="2490" spans="1:23" hidden="1" x14ac:dyDescent="0.25">
      <c r="A2490" s="3">
        <v>46015</v>
      </c>
      <c r="B2490" s="4" t="s">
        <v>334</v>
      </c>
      <c r="C2490" s="4" t="s">
        <v>224</v>
      </c>
      <c r="D2490" s="4"/>
      <c r="E2490" s="4"/>
      <c r="F2490" s="4" t="s">
        <v>1414</v>
      </c>
      <c r="G2490" s="4" t="s">
        <v>336</v>
      </c>
      <c r="H2490" s="4" t="s">
        <v>289</v>
      </c>
      <c r="I2490" s="4">
        <v>5.5555555555555552E-2</v>
      </c>
      <c r="J2490" s="21">
        <v>900</v>
      </c>
      <c r="K2490" s="21">
        <v>0</v>
      </c>
      <c r="L2490" s="5">
        <v>0</v>
      </c>
      <c r="M2490" s="4"/>
      <c r="N2490" s="4"/>
      <c r="O2490" s="5"/>
      <c r="P2490" s="5"/>
      <c r="Q2490" s="21">
        <v>50</v>
      </c>
      <c r="R2490" s="21">
        <v>0</v>
      </c>
      <c r="S2490" s="5">
        <f t="shared" si="155"/>
        <v>17490.417120151993</v>
      </c>
      <c r="T2490" cm="1">
        <f t="array" ref="T2490">IF(OR(B2490="MAL ALIMI", B2490="ÜRETİM GİRİŞ"), MIN(I2490, MAX(0, I2490 + SUM(SUMIFS($I$1:I2489, $C$1:C2489, C2490, $B$1:B2489, {"MAL ALIMI","ÜRETİM GİRİŞ"})) - VLOOKUP(C2490, 'STOK RAPORU'!$C$2:$I$1000, 4, 0))), 0)</f>
        <v>0</v>
      </c>
      <c r="U2490" s="22">
        <f t="shared" si="152"/>
        <v>0</v>
      </c>
      <c r="V2490">
        <f t="shared" si="153"/>
        <v>0</v>
      </c>
      <c r="W2490" s="22">
        <f t="shared" si="154"/>
        <v>0</v>
      </c>
    </row>
    <row r="2491" spans="1:23" hidden="1" x14ac:dyDescent="0.25">
      <c r="A2491" s="3">
        <v>46015</v>
      </c>
      <c r="B2491" s="4" t="s">
        <v>334</v>
      </c>
      <c r="C2491" s="4" t="s">
        <v>1357</v>
      </c>
      <c r="D2491" s="4"/>
      <c r="E2491" s="4"/>
      <c r="F2491" s="4" t="s">
        <v>1415</v>
      </c>
      <c r="G2491" s="4" t="s">
        <v>336</v>
      </c>
      <c r="H2491" s="4" t="s">
        <v>289</v>
      </c>
      <c r="I2491" s="4">
        <v>0.18070175438596492</v>
      </c>
      <c r="J2491" s="21">
        <v>570</v>
      </c>
      <c r="K2491" s="21">
        <v>0</v>
      </c>
      <c r="L2491" s="5">
        <v>0</v>
      </c>
      <c r="M2491" s="4"/>
      <c r="N2491" s="4"/>
      <c r="O2491" s="5"/>
      <c r="P2491" s="5"/>
      <c r="Q2491" s="21">
        <v>103</v>
      </c>
      <c r="R2491" s="21">
        <v>0</v>
      </c>
      <c r="S2491" s="5">
        <f t="shared" si="155"/>
        <v>17593.417120151993</v>
      </c>
      <c r="T2491" cm="1">
        <f t="array" ref="T2491">IF(OR(B2491="MAL ALIMI", B2491="ÜRETİM GİRİŞ"), MIN(I2491, MAX(0, I2491 + SUM(SUMIFS($I$1:I2490, $C$1:C2490, C2491, $B$1:B2490, {"MAL ALIMI","ÜRETİM GİRİŞ"})) - VLOOKUP(C2491, 'STOK RAPORU'!$C$2:$I$1000, 4, 0))), 0)</f>
        <v>0</v>
      </c>
      <c r="U2491" s="22">
        <f t="shared" si="152"/>
        <v>0</v>
      </c>
      <c r="V2491">
        <f t="shared" si="153"/>
        <v>0</v>
      </c>
      <c r="W2491" s="22">
        <f t="shared" si="154"/>
        <v>0</v>
      </c>
    </row>
    <row r="2492" spans="1:23" hidden="1" x14ac:dyDescent="0.25">
      <c r="A2492" s="3">
        <v>46015</v>
      </c>
      <c r="B2492" s="4" t="s">
        <v>334</v>
      </c>
      <c r="C2492" s="4" t="s">
        <v>728</v>
      </c>
      <c r="D2492" s="4"/>
      <c r="E2492" s="4"/>
      <c r="F2492" s="4" t="s">
        <v>1415</v>
      </c>
      <c r="G2492" s="4" t="s">
        <v>336</v>
      </c>
      <c r="H2492" s="4" t="s">
        <v>289</v>
      </c>
      <c r="I2492" s="4">
        <v>0.17391304347826086</v>
      </c>
      <c r="J2492" s="21">
        <v>690</v>
      </c>
      <c r="K2492" s="21">
        <v>0</v>
      </c>
      <c r="L2492" s="5">
        <v>0</v>
      </c>
      <c r="M2492" s="4"/>
      <c r="N2492" s="4"/>
      <c r="O2492" s="5"/>
      <c r="P2492" s="5"/>
      <c r="Q2492" s="21">
        <v>120</v>
      </c>
      <c r="R2492" s="21">
        <v>0</v>
      </c>
      <c r="S2492" s="5">
        <f t="shared" si="155"/>
        <v>17713.417120151993</v>
      </c>
      <c r="T2492" cm="1">
        <f t="array" ref="T2492">IF(OR(B2492="MAL ALIMI", B2492="ÜRETİM GİRİŞ"), MIN(I2492, MAX(0, I2492 + SUM(SUMIFS($I$1:I2491, $C$1:C2491, C2492, $B$1:B2491, {"MAL ALIMI","ÜRETİM GİRİŞ"})) - VLOOKUP(C2492, 'STOK RAPORU'!$C$2:$I$1000, 4, 0))), 0)</f>
        <v>0</v>
      </c>
      <c r="U2492" s="22">
        <f t="shared" si="152"/>
        <v>0</v>
      </c>
      <c r="V2492">
        <f t="shared" si="153"/>
        <v>0</v>
      </c>
      <c r="W2492" s="22">
        <f t="shared" si="154"/>
        <v>0</v>
      </c>
    </row>
    <row r="2493" spans="1:23" hidden="1" x14ac:dyDescent="0.25">
      <c r="A2493" s="3">
        <v>46015</v>
      </c>
      <c r="B2493" s="4" t="s">
        <v>334</v>
      </c>
      <c r="C2493" s="4" t="s">
        <v>1366</v>
      </c>
      <c r="D2493" s="4"/>
      <c r="E2493" s="4" t="s">
        <v>921</v>
      </c>
      <c r="F2493" s="4" t="s">
        <v>1416</v>
      </c>
      <c r="G2493" s="4" t="s">
        <v>336</v>
      </c>
      <c r="H2493" s="4" t="s">
        <v>380</v>
      </c>
      <c r="I2493" s="4">
        <v>1</v>
      </c>
      <c r="J2493" s="21">
        <v>195</v>
      </c>
      <c r="K2493" s="21">
        <v>195</v>
      </c>
      <c r="L2493" s="5">
        <v>0</v>
      </c>
      <c r="M2493" s="4"/>
      <c r="N2493" s="4"/>
      <c r="O2493" s="5"/>
      <c r="P2493" s="5"/>
      <c r="Q2493" s="21">
        <v>0</v>
      </c>
      <c r="R2493" s="21">
        <v>0</v>
      </c>
      <c r="S2493" s="5">
        <f t="shared" si="155"/>
        <v>17713.417120151993</v>
      </c>
      <c r="T2493" cm="1">
        <f t="array" ref="T2493">IF(OR(B2493="MAL ALIMI", B2493="ÜRETİM GİRİŞ"), MIN(I2493, MAX(0, I2493 + SUM(SUMIFS($I$1:I2492, $C$1:C2492, C2493, $B$1:B2492, {"MAL ALIMI","ÜRETİM GİRİŞ"})) - VLOOKUP(C2493, 'STOK RAPORU'!$C$2:$I$1000, 4, 0))), 0)</f>
        <v>0</v>
      </c>
      <c r="U2493" s="22">
        <f t="shared" si="152"/>
        <v>0</v>
      </c>
      <c r="V2493">
        <f t="shared" si="153"/>
        <v>0</v>
      </c>
      <c r="W2493" s="22">
        <f t="shared" si="154"/>
        <v>0</v>
      </c>
    </row>
    <row r="2494" spans="1:23" hidden="1" x14ac:dyDescent="0.25">
      <c r="A2494" s="3">
        <v>46015</v>
      </c>
      <c r="B2494" s="4" t="s">
        <v>334</v>
      </c>
      <c r="C2494" s="4" t="s">
        <v>749</v>
      </c>
      <c r="D2494" s="4"/>
      <c r="E2494" s="4" t="s">
        <v>921</v>
      </c>
      <c r="F2494" s="4" t="s">
        <v>1416</v>
      </c>
      <c r="G2494" s="4" t="s">
        <v>336</v>
      </c>
      <c r="H2494" s="4" t="s">
        <v>380</v>
      </c>
      <c r="I2494" s="4">
        <v>1</v>
      </c>
      <c r="J2494" s="21">
        <v>220</v>
      </c>
      <c r="K2494" s="21">
        <v>220</v>
      </c>
      <c r="L2494" s="5">
        <v>0</v>
      </c>
      <c r="M2494" s="4"/>
      <c r="N2494" s="4"/>
      <c r="O2494" s="5"/>
      <c r="P2494" s="5"/>
      <c r="Q2494" s="21">
        <v>0</v>
      </c>
      <c r="R2494" s="21">
        <v>0</v>
      </c>
      <c r="S2494" s="5">
        <f t="shared" si="155"/>
        <v>17713.417120151993</v>
      </c>
      <c r="T2494" cm="1">
        <f t="array" ref="T2494">IF(OR(B2494="MAL ALIMI", B2494="ÜRETİM GİRİŞ"), MIN(I2494, MAX(0, I2494 + SUM(SUMIFS($I$1:I2493, $C$1:C2493, C2494, $B$1:B2493, {"MAL ALIMI","ÜRETİM GİRİŞ"})) - VLOOKUP(C2494, 'STOK RAPORU'!$C$2:$I$1000, 4, 0))), 0)</f>
        <v>0</v>
      </c>
      <c r="U2494" s="22">
        <f t="shared" si="152"/>
        <v>0</v>
      </c>
      <c r="V2494">
        <f t="shared" si="153"/>
        <v>0</v>
      </c>
      <c r="W2494" s="22">
        <f t="shared" si="154"/>
        <v>0</v>
      </c>
    </row>
    <row r="2495" spans="1:23" hidden="1" x14ac:dyDescent="0.25">
      <c r="A2495" s="3">
        <v>46015</v>
      </c>
      <c r="B2495" s="4" t="s">
        <v>334</v>
      </c>
      <c r="C2495" s="4" t="s">
        <v>160</v>
      </c>
      <c r="D2495" s="4"/>
      <c r="E2495" s="4" t="s">
        <v>921</v>
      </c>
      <c r="F2495" s="4" t="s">
        <v>1417</v>
      </c>
      <c r="G2495" s="4" t="s">
        <v>336</v>
      </c>
      <c r="H2495" s="4" t="s">
        <v>380</v>
      </c>
      <c r="I2495" s="4">
        <v>1</v>
      </c>
      <c r="J2495" s="21">
        <v>250</v>
      </c>
      <c r="K2495" s="21">
        <v>250</v>
      </c>
      <c r="L2495" s="5">
        <v>0</v>
      </c>
      <c r="M2495" s="4"/>
      <c r="N2495" s="4"/>
      <c r="O2495" s="5"/>
      <c r="P2495" s="5"/>
      <c r="Q2495" s="21">
        <v>0</v>
      </c>
      <c r="R2495" s="21">
        <v>0</v>
      </c>
      <c r="S2495" s="5">
        <f t="shared" si="155"/>
        <v>17713.417120151993</v>
      </c>
      <c r="T2495" cm="1">
        <f t="array" ref="T2495">IF(OR(B2495="MAL ALIMI", B2495="ÜRETİM GİRİŞ"), MIN(I2495, MAX(0, I2495 + SUM(SUMIFS($I$1:I2494, $C$1:C2494, C2495, $B$1:B2494, {"MAL ALIMI","ÜRETİM GİRİŞ"})) - VLOOKUP(C2495, 'STOK RAPORU'!$C$2:$I$1000, 4, 0))), 0)</f>
        <v>0</v>
      </c>
      <c r="U2495" s="22">
        <f t="shared" si="152"/>
        <v>0</v>
      </c>
      <c r="V2495">
        <f t="shared" si="153"/>
        <v>0</v>
      </c>
      <c r="W2495" s="22">
        <f t="shared" si="154"/>
        <v>0</v>
      </c>
    </row>
    <row r="2496" spans="1:23" hidden="1" x14ac:dyDescent="0.25">
      <c r="A2496" s="3">
        <v>46015</v>
      </c>
      <c r="B2496" s="4" t="s">
        <v>334</v>
      </c>
      <c r="C2496" s="4" t="s">
        <v>161</v>
      </c>
      <c r="D2496" s="4"/>
      <c r="E2496" s="4" t="s">
        <v>921</v>
      </c>
      <c r="F2496" s="4" t="s">
        <v>1417</v>
      </c>
      <c r="G2496" s="4" t="s">
        <v>336</v>
      </c>
      <c r="H2496" s="4" t="s">
        <v>380</v>
      </c>
      <c r="I2496" s="4">
        <v>1</v>
      </c>
      <c r="J2496" s="21">
        <v>200</v>
      </c>
      <c r="K2496" s="21">
        <v>200</v>
      </c>
      <c r="L2496" s="5">
        <v>0</v>
      </c>
      <c r="M2496" s="4"/>
      <c r="N2496" s="4"/>
      <c r="O2496" s="5"/>
      <c r="P2496" s="5"/>
      <c r="Q2496" s="21">
        <v>0</v>
      </c>
      <c r="R2496" s="21">
        <v>0</v>
      </c>
      <c r="S2496" s="5">
        <f t="shared" si="155"/>
        <v>17713.417120151993</v>
      </c>
      <c r="T2496" cm="1">
        <f t="array" ref="T2496">IF(OR(B2496="MAL ALIMI", B2496="ÜRETİM GİRİŞ"), MIN(I2496, MAX(0, I2496 + SUM(SUMIFS($I$1:I2495, $C$1:C2495, C2496, $B$1:B2495, {"MAL ALIMI","ÜRETİM GİRİŞ"})) - VLOOKUP(C2496, 'STOK RAPORU'!$C$2:$I$1000, 4, 0))), 0)</f>
        <v>0</v>
      </c>
      <c r="U2496" s="22">
        <f t="shared" si="152"/>
        <v>0</v>
      </c>
      <c r="V2496">
        <f t="shared" si="153"/>
        <v>0</v>
      </c>
      <c r="W2496" s="22">
        <f t="shared" si="154"/>
        <v>0</v>
      </c>
    </row>
    <row r="2497" spans="1:23" hidden="1" x14ac:dyDescent="0.25">
      <c r="A2497" s="3">
        <v>46015</v>
      </c>
      <c r="B2497" s="4" t="s">
        <v>334</v>
      </c>
      <c r="C2497" s="4" t="s">
        <v>161</v>
      </c>
      <c r="D2497" s="4"/>
      <c r="E2497" s="4" t="s">
        <v>921</v>
      </c>
      <c r="F2497" s="4" t="s">
        <v>1417</v>
      </c>
      <c r="G2497" s="4" t="s">
        <v>336</v>
      </c>
      <c r="H2497" s="4" t="s">
        <v>380</v>
      </c>
      <c r="I2497" s="4">
        <v>1</v>
      </c>
      <c r="J2497" s="21">
        <v>200</v>
      </c>
      <c r="K2497" s="21">
        <v>200</v>
      </c>
      <c r="L2497" s="5">
        <v>0</v>
      </c>
      <c r="M2497" s="4"/>
      <c r="N2497" s="4"/>
      <c r="O2497" s="5"/>
      <c r="P2497" s="5"/>
      <c r="Q2497" s="21">
        <v>0</v>
      </c>
      <c r="R2497" s="21">
        <v>0</v>
      </c>
      <c r="S2497" s="5">
        <f t="shared" si="155"/>
        <v>17713.417120151993</v>
      </c>
      <c r="T2497" cm="1">
        <f t="array" ref="T2497">IF(OR(B2497="MAL ALIMI", B2497="ÜRETİM GİRİŞ"), MIN(I2497, MAX(0, I2497 + SUM(SUMIFS($I$1:I2496, $C$1:C2496, C2497, $B$1:B2496, {"MAL ALIMI","ÜRETİM GİRİŞ"})) - VLOOKUP(C2497, 'STOK RAPORU'!$C$2:$I$1000, 4, 0))), 0)</f>
        <v>0</v>
      </c>
      <c r="U2497" s="22">
        <f t="shared" si="152"/>
        <v>0</v>
      </c>
      <c r="V2497">
        <f t="shared" si="153"/>
        <v>0</v>
      </c>
      <c r="W2497" s="22">
        <f t="shared" si="154"/>
        <v>0</v>
      </c>
    </row>
    <row r="2498" spans="1:23" hidden="1" x14ac:dyDescent="0.25">
      <c r="A2498" s="3">
        <v>46015</v>
      </c>
      <c r="B2498" s="4" t="s">
        <v>334</v>
      </c>
      <c r="C2498" s="4" t="s">
        <v>1368</v>
      </c>
      <c r="D2498" s="4"/>
      <c r="E2498" s="4"/>
      <c r="F2498" s="4" t="s">
        <v>1417</v>
      </c>
      <c r="G2498" s="4" t="s">
        <v>336</v>
      </c>
      <c r="H2498" s="4" t="s">
        <v>289</v>
      </c>
      <c r="I2498" s="4">
        <v>1</v>
      </c>
      <c r="J2498" s="21">
        <v>150</v>
      </c>
      <c r="K2498" s="21">
        <v>0</v>
      </c>
      <c r="L2498" s="5">
        <v>0</v>
      </c>
      <c r="M2498" s="4"/>
      <c r="N2498" s="4"/>
      <c r="O2498" s="5"/>
      <c r="P2498" s="5"/>
      <c r="Q2498" s="21">
        <v>150</v>
      </c>
      <c r="R2498" s="21">
        <v>0</v>
      </c>
      <c r="S2498" s="5">
        <f t="shared" si="155"/>
        <v>17863.417120151993</v>
      </c>
      <c r="T2498" cm="1">
        <f t="array" ref="T2498">IF(OR(B2498="MAL ALIMI", B2498="ÜRETİM GİRİŞ"), MIN(I2498, MAX(0, I2498 + SUM(SUMIFS($I$1:I2497, $C$1:C2497, C2498, $B$1:B2497, {"MAL ALIMI","ÜRETİM GİRİŞ"})) - VLOOKUP(C2498, 'STOK RAPORU'!$C$2:$I$1000, 4, 0))), 0)</f>
        <v>0</v>
      </c>
      <c r="U2498" s="22">
        <f t="shared" si="152"/>
        <v>0</v>
      </c>
      <c r="V2498">
        <f t="shared" si="153"/>
        <v>0</v>
      </c>
      <c r="W2498" s="22">
        <f t="shared" si="154"/>
        <v>0</v>
      </c>
    </row>
    <row r="2499" spans="1:23" hidden="1" x14ac:dyDescent="0.25">
      <c r="A2499" s="3">
        <v>46015</v>
      </c>
      <c r="B2499" s="4" t="s">
        <v>334</v>
      </c>
      <c r="C2499" s="4" t="s">
        <v>91</v>
      </c>
      <c r="D2499" s="4"/>
      <c r="E2499" s="4"/>
      <c r="F2499" s="4" t="s">
        <v>1418</v>
      </c>
      <c r="G2499" s="4" t="s">
        <v>336</v>
      </c>
      <c r="H2499" s="4" t="s">
        <v>289</v>
      </c>
      <c r="I2499" s="4">
        <v>3.9473684210526314E-2</v>
      </c>
      <c r="J2499" s="21">
        <v>760</v>
      </c>
      <c r="K2499" s="21">
        <v>0</v>
      </c>
      <c r="L2499" s="5">
        <v>0</v>
      </c>
      <c r="M2499" s="4"/>
      <c r="N2499" s="4"/>
      <c r="O2499" s="5"/>
      <c r="P2499" s="5"/>
      <c r="Q2499" s="21">
        <v>30</v>
      </c>
      <c r="R2499" s="21">
        <v>0</v>
      </c>
      <c r="S2499" s="5">
        <f t="shared" si="155"/>
        <v>17893.417120151993</v>
      </c>
      <c r="T2499" cm="1">
        <f t="array" ref="T2499">IF(OR(B2499="MAL ALIMI", B2499="ÜRETİM GİRİŞ"), MIN(I2499, MAX(0, I2499 + SUM(SUMIFS($I$1:I2498, $C$1:C2498, C2499, $B$1:B2498, {"MAL ALIMI","ÜRETİM GİRİŞ"})) - VLOOKUP(C2499, 'STOK RAPORU'!$C$2:$I$1000, 4, 0))), 0)</f>
        <v>0</v>
      </c>
      <c r="U2499" s="22">
        <f t="shared" ref="U2499:U2562" si="156">T2499*J2499</f>
        <v>0</v>
      </c>
      <c r="V2499">
        <f t="shared" ref="V2499:V2562" si="157">IF(OR(B2499="MAL ALIMI", B2499="ÜRETİM GİRİŞ"), I2499 * J2499, 0)</f>
        <v>0</v>
      </c>
      <c r="W2499" s="22">
        <f t="shared" ref="W2499:W2562" si="158">V2499-U2499</f>
        <v>0</v>
      </c>
    </row>
    <row r="2500" spans="1:23" hidden="1" x14ac:dyDescent="0.25">
      <c r="A2500" s="3">
        <v>46015</v>
      </c>
      <c r="B2500" s="4" t="s">
        <v>334</v>
      </c>
      <c r="C2500" s="4" t="s">
        <v>697</v>
      </c>
      <c r="D2500" s="4"/>
      <c r="E2500" s="4"/>
      <c r="F2500" s="4" t="s">
        <v>1419</v>
      </c>
      <c r="G2500" s="4" t="s">
        <v>336</v>
      </c>
      <c r="H2500" s="4" t="s">
        <v>289</v>
      </c>
      <c r="I2500" s="4">
        <v>0.1</v>
      </c>
      <c r="J2500" s="21">
        <v>750</v>
      </c>
      <c r="K2500" s="21">
        <v>0</v>
      </c>
      <c r="L2500" s="5">
        <v>0</v>
      </c>
      <c r="M2500" s="4"/>
      <c r="N2500" s="4"/>
      <c r="O2500" s="5"/>
      <c r="P2500" s="5"/>
      <c r="Q2500" s="21">
        <v>75</v>
      </c>
      <c r="R2500" s="21">
        <v>0</v>
      </c>
      <c r="S2500" s="5">
        <f t="shared" ref="S2500:S2563" si="159">S2499+Q2500-R2500</f>
        <v>17968.417120151993</v>
      </c>
      <c r="T2500" cm="1">
        <f t="array" ref="T2500">IF(OR(B2500="MAL ALIMI", B2500="ÜRETİM GİRİŞ"), MIN(I2500, MAX(0, I2500 + SUM(SUMIFS($I$1:I2499, $C$1:C2499, C2500, $B$1:B2499, {"MAL ALIMI","ÜRETİM GİRİŞ"})) - VLOOKUP(C2500, 'STOK RAPORU'!$C$2:$I$1000, 4, 0))), 0)</f>
        <v>0</v>
      </c>
      <c r="U2500" s="22">
        <f t="shared" si="156"/>
        <v>0</v>
      </c>
      <c r="V2500">
        <f t="shared" si="157"/>
        <v>0</v>
      </c>
      <c r="W2500" s="22">
        <f t="shared" si="158"/>
        <v>0</v>
      </c>
    </row>
    <row r="2501" spans="1:23" hidden="1" x14ac:dyDescent="0.25">
      <c r="A2501" s="3">
        <v>46015</v>
      </c>
      <c r="B2501" s="4" t="s">
        <v>334</v>
      </c>
      <c r="C2501" s="4" t="s">
        <v>651</v>
      </c>
      <c r="D2501" s="4"/>
      <c r="E2501" s="4"/>
      <c r="F2501" s="4" t="s">
        <v>1420</v>
      </c>
      <c r="G2501" s="4" t="s">
        <v>336</v>
      </c>
      <c r="H2501" s="4" t="s">
        <v>289</v>
      </c>
      <c r="I2501" s="4">
        <v>1</v>
      </c>
      <c r="J2501" s="21">
        <v>400</v>
      </c>
      <c r="K2501" s="21">
        <v>0</v>
      </c>
      <c r="L2501" s="5">
        <v>0</v>
      </c>
      <c r="M2501" s="4"/>
      <c r="N2501" s="4"/>
      <c r="O2501" s="5"/>
      <c r="P2501" s="5"/>
      <c r="Q2501" s="21">
        <v>400</v>
      </c>
      <c r="R2501" s="21">
        <v>0</v>
      </c>
      <c r="S2501" s="5">
        <f t="shared" si="159"/>
        <v>18368.417120151993</v>
      </c>
      <c r="T2501" cm="1">
        <f t="array" ref="T2501">IF(OR(B2501="MAL ALIMI", B2501="ÜRETİM GİRİŞ"), MIN(I2501, MAX(0, I2501 + SUM(SUMIFS($I$1:I2500, $C$1:C2500, C2501, $B$1:B2500, {"MAL ALIMI","ÜRETİM GİRİŞ"})) - VLOOKUP(C2501, 'STOK RAPORU'!$C$2:$I$1000, 4, 0))), 0)</f>
        <v>0</v>
      </c>
      <c r="U2501" s="22">
        <f t="shared" si="156"/>
        <v>0</v>
      </c>
      <c r="V2501">
        <f t="shared" si="157"/>
        <v>0</v>
      </c>
      <c r="W2501" s="22">
        <f t="shared" si="158"/>
        <v>0</v>
      </c>
    </row>
    <row r="2502" spans="1:23" hidden="1" x14ac:dyDescent="0.25">
      <c r="A2502" s="3">
        <v>46015</v>
      </c>
      <c r="B2502" s="4" t="s">
        <v>334</v>
      </c>
      <c r="C2502" s="4" t="s">
        <v>1151</v>
      </c>
      <c r="D2502" s="4"/>
      <c r="E2502" s="4"/>
      <c r="F2502" s="4" t="s">
        <v>1420</v>
      </c>
      <c r="G2502" s="4" t="s">
        <v>336</v>
      </c>
      <c r="H2502" s="4" t="s">
        <v>289</v>
      </c>
      <c r="I2502" s="4">
        <v>0.20200000000000001</v>
      </c>
      <c r="J2502" s="21">
        <v>360</v>
      </c>
      <c r="K2502" s="21">
        <v>0</v>
      </c>
      <c r="L2502" s="5">
        <v>0</v>
      </c>
      <c r="M2502" s="4"/>
      <c r="N2502" s="4"/>
      <c r="O2502" s="5"/>
      <c r="P2502" s="5"/>
      <c r="Q2502" s="21">
        <v>72.72</v>
      </c>
      <c r="R2502" s="21">
        <v>0</v>
      </c>
      <c r="S2502" s="5">
        <f t="shared" si="159"/>
        <v>18441.137120151994</v>
      </c>
      <c r="T2502" cm="1">
        <f t="array" ref="T2502">IF(OR(B2502="MAL ALIMI", B2502="ÜRETİM GİRİŞ"), MIN(I2502, MAX(0, I2502 + SUM(SUMIFS($I$1:I2501, $C$1:C2501, C2502, $B$1:B2501, {"MAL ALIMI","ÜRETİM GİRİŞ"})) - VLOOKUP(C2502, 'STOK RAPORU'!$C$2:$I$1000, 4, 0))), 0)</f>
        <v>0</v>
      </c>
      <c r="U2502" s="22">
        <f t="shared" si="156"/>
        <v>0</v>
      </c>
      <c r="V2502">
        <f t="shared" si="157"/>
        <v>0</v>
      </c>
      <c r="W2502" s="22">
        <f t="shared" si="158"/>
        <v>0</v>
      </c>
    </row>
    <row r="2503" spans="1:23" hidden="1" x14ac:dyDescent="0.25">
      <c r="A2503" s="3">
        <v>46015</v>
      </c>
      <c r="B2503" s="4" t="s">
        <v>334</v>
      </c>
      <c r="C2503" s="4" t="s">
        <v>524</v>
      </c>
      <c r="D2503" s="4"/>
      <c r="E2503" s="4"/>
      <c r="F2503" s="4" t="s">
        <v>1420</v>
      </c>
      <c r="G2503" s="4" t="s">
        <v>336</v>
      </c>
      <c r="H2503" s="4" t="s">
        <v>289</v>
      </c>
      <c r="I2503" s="4">
        <v>0.1</v>
      </c>
      <c r="J2503" s="21">
        <v>400</v>
      </c>
      <c r="K2503" s="21">
        <v>0</v>
      </c>
      <c r="L2503" s="5">
        <v>0</v>
      </c>
      <c r="M2503" s="4"/>
      <c r="N2503" s="4"/>
      <c r="O2503" s="5"/>
      <c r="P2503" s="5"/>
      <c r="Q2503" s="21">
        <v>40</v>
      </c>
      <c r="R2503" s="21">
        <v>0</v>
      </c>
      <c r="S2503" s="5">
        <f t="shared" si="159"/>
        <v>18481.137120151994</v>
      </c>
      <c r="T2503" cm="1">
        <f t="array" ref="T2503">IF(OR(B2503="MAL ALIMI", B2503="ÜRETİM GİRİŞ"), MIN(I2503, MAX(0, I2503 + SUM(SUMIFS($I$1:I2502, $C$1:C2502, C2503, $B$1:B2502, {"MAL ALIMI","ÜRETİM GİRİŞ"})) - VLOOKUP(C2503, 'STOK RAPORU'!$C$2:$I$1000, 4, 0))), 0)</f>
        <v>0</v>
      </c>
      <c r="U2503" s="22">
        <f t="shared" si="156"/>
        <v>0</v>
      </c>
      <c r="V2503">
        <f t="shared" si="157"/>
        <v>0</v>
      </c>
      <c r="W2503" s="22">
        <f t="shared" si="158"/>
        <v>0</v>
      </c>
    </row>
    <row r="2504" spans="1:23" hidden="1" x14ac:dyDescent="0.25">
      <c r="A2504" s="3">
        <v>46015</v>
      </c>
      <c r="B2504" s="4" t="s">
        <v>334</v>
      </c>
      <c r="C2504" s="4" t="s">
        <v>154</v>
      </c>
      <c r="D2504" s="4"/>
      <c r="E2504" s="4"/>
      <c r="F2504" s="4" t="s">
        <v>1420</v>
      </c>
      <c r="G2504" s="4" t="s">
        <v>336</v>
      </c>
      <c r="H2504" s="4" t="s">
        <v>289</v>
      </c>
      <c r="I2504" s="4">
        <v>0.1</v>
      </c>
      <c r="J2504" s="21">
        <v>400</v>
      </c>
      <c r="K2504" s="21">
        <v>0</v>
      </c>
      <c r="L2504" s="5">
        <v>0</v>
      </c>
      <c r="M2504" s="4"/>
      <c r="N2504" s="4"/>
      <c r="O2504" s="5"/>
      <c r="P2504" s="5"/>
      <c r="Q2504" s="21">
        <v>40</v>
      </c>
      <c r="R2504" s="21">
        <v>0</v>
      </c>
      <c r="S2504" s="5">
        <f t="shared" si="159"/>
        <v>18521.137120151994</v>
      </c>
      <c r="T2504" cm="1">
        <f t="array" ref="T2504">IF(OR(B2504="MAL ALIMI", B2504="ÜRETİM GİRİŞ"), MIN(I2504, MAX(0, I2504 + SUM(SUMIFS($I$1:I2503, $C$1:C2503, C2504, $B$1:B2503, {"MAL ALIMI","ÜRETİM GİRİŞ"})) - VLOOKUP(C2504, 'STOK RAPORU'!$C$2:$I$1000, 4, 0))), 0)</f>
        <v>0</v>
      </c>
      <c r="U2504" s="22">
        <f t="shared" si="156"/>
        <v>0</v>
      </c>
      <c r="V2504">
        <f t="shared" si="157"/>
        <v>0</v>
      </c>
      <c r="W2504" s="22">
        <f t="shared" si="158"/>
        <v>0</v>
      </c>
    </row>
    <row r="2505" spans="1:23" hidden="1" x14ac:dyDescent="0.25">
      <c r="A2505" s="3">
        <v>46015</v>
      </c>
      <c r="B2505" s="4" t="s">
        <v>334</v>
      </c>
      <c r="C2505" s="4" t="s">
        <v>60</v>
      </c>
      <c r="D2505" s="4"/>
      <c r="E2505" s="4"/>
      <c r="F2505" s="4" t="s">
        <v>1420</v>
      </c>
      <c r="G2505" s="4" t="s">
        <v>336</v>
      </c>
      <c r="H2505" s="4" t="s">
        <v>289</v>
      </c>
      <c r="I2505" s="4">
        <v>0.05</v>
      </c>
      <c r="J2505" s="21">
        <v>1200</v>
      </c>
      <c r="K2505" s="21">
        <v>0</v>
      </c>
      <c r="L2505" s="5">
        <v>0</v>
      </c>
      <c r="M2505" s="4"/>
      <c r="N2505" s="4"/>
      <c r="O2505" s="5"/>
      <c r="P2505" s="5"/>
      <c r="Q2505" s="21">
        <v>60</v>
      </c>
      <c r="R2505" s="21">
        <v>0</v>
      </c>
      <c r="S2505" s="5">
        <f t="shared" si="159"/>
        <v>18581.137120151994</v>
      </c>
      <c r="T2505" cm="1">
        <f t="array" ref="T2505">IF(OR(B2505="MAL ALIMI", B2505="ÜRETİM GİRİŞ"), MIN(I2505, MAX(0, I2505 + SUM(SUMIFS($I$1:I2504, $C$1:C2504, C2505, $B$1:B2504, {"MAL ALIMI","ÜRETİM GİRİŞ"})) - VLOOKUP(C2505, 'STOK RAPORU'!$C$2:$I$1000, 4, 0))), 0)</f>
        <v>0</v>
      </c>
      <c r="U2505" s="22">
        <f t="shared" si="156"/>
        <v>0</v>
      </c>
      <c r="V2505">
        <f t="shared" si="157"/>
        <v>0</v>
      </c>
      <c r="W2505" s="22">
        <f t="shared" si="158"/>
        <v>0</v>
      </c>
    </row>
    <row r="2506" spans="1:23" hidden="1" x14ac:dyDescent="0.25">
      <c r="A2506" s="3">
        <v>46015</v>
      </c>
      <c r="B2506" s="4" t="s">
        <v>334</v>
      </c>
      <c r="C2506" s="4" t="s">
        <v>134</v>
      </c>
      <c r="D2506" s="4"/>
      <c r="E2506" s="4"/>
      <c r="F2506" s="4" t="s">
        <v>1420</v>
      </c>
      <c r="G2506" s="4" t="s">
        <v>336</v>
      </c>
      <c r="H2506" s="4" t="s">
        <v>289</v>
      </c>
      <c r="I2506" s="4">
        <v>0.1</v>
      </c>
      <c r="J2506" s="21">
        <v>600</v>
      </c>
      <c r="K2506" s="21">
        <v>0</v>
      </c>
      <c r="L2506" s="5">
        <v>0</v>
      </c>
      <c r="M2506" s="4"/>
      <c r="N2506" s="4"/>
      <c r="O2506" s="5"/>
      <c r="P2506" s="5"/>
      <c r="Q2506" s="21">
        <v>60</v>
      </c>
      <c r="R2506" s="21">
        <v>0</v>
      </c>
      <c r="S2506" s="5">
        <f t="shared" si="159"/>
        <v>18641.137120151994</v>
      </c>
      <c r="T2506" cm="1">
        <f t="array" ref="T2506">IF(OR(B2506="MAL ALIMI", B2506="ÜRETİM GİRİŞ"), MIN(I2506, MAX(0, I2506 + SUM(SUMIFS($I$1:I2505, $C$1:C2505, C2506, $B$1:B2505, {"MAL ALIMI","ÜRETİM GİRİŞ"})) - VLOOKUP(C2506, 'STOK RAPORU'!$C$2:$I$1000, 4, 0))), 0)</f>
        <v>0</v>
      </c>
      <c r="U2506" s="22">
        <f t="shared" si="156"/>
        <v>0</v>
      </c>
      <c r="V2506">
        <f t="shared" si="157"/>
        <v>0</v>
      </c>
      <c r="W2506" s="22">
        <f t="shared" si="158"/>
        <v>0</v>
      </c>
    </row>
    <row r="2507" spans="1:23" hidden="1" x14ac:dyDescent="0.25">
      <c r="A2507" s="3">
        <v>46015</v>
      </c>
      <c r="B2507" s="4" t="s">
        <v>334</v>
      </c>
      <c r="C2507" s="4" t="s">
        <v>597</v>
      </c>
      <c r="D2507" s="4"/>
      <c r="E2507" s="4"/>
      <c r="F2507" s="4" t="s">
        <v>1421</v>
      </c>
      <c r="G2507" s="4" t="s">
        <v>336</v>
      </c>
      <c r="H2507" s="4" t="s">
        <v>289</v>
      </c>
      <c r="I2507" s="4">
        <v>1</v>
      </c>
      <c r="J2507" s="21">
        <v>280</v>
      </c>
      <c r="K2507" s="21">
        <v>0</v>
      </c>
      <c r="L2507" s="5">
        <v>0</v>
      </c>
      <c r="M2507" s="4"/>
      <c r="N2507" s="4"/>
      <c r="O2507" s="5"/>
      <c r="P2507" s="5"/>
      <c r="Q2507" s="21">
        <v>280</v>
      </c>
      <c r="R2507" s="21">
        <v>0</v>
      </c>
      <c r="S2507" s="5">
        <f t="shared" si="159"/>
        <v>18921.137120151994</v>
      </c>
      <c r="T2507" cm="1">
        <f t="array" ref="T2507">IF(OR(B2507="MAL ALIMI", B2507="ÜRETİM GİRİŞ"), MIN(I2507, MAX(0, I2507 + SUM(SUMIFS($I$1:I2506, $C$1:C2506, C2507, $B$1:B2506, {"MAL ALIMI","ÜRETİM GİRİŞ"})) - VLOOKUP(C2507, 'STOK RAPORU'!$C$2:$I$1000, 4, 0))), 0)</f>
        <v>0</v>
      </c>
      <c r="U2507" s="22">
        <f t="shared" si="156"/>
        <v>0</v>
      </c>
      <c r="V2507">
        <f t="shared" si="157"/>
        <v>0</v>
      </c>
      <c r="W2507" s="22">
        <f t="shared" si="158"/>
        <v>0</v>
      </c>
    </row>
    <row r="2508" spans="1:23" hidden="1" x14ac:dyDescent="0.25">
      <c r="A2508" s="3">
        <v>46015</v>
      </c>
      <c r="B2508" s="4" t="s">
        <v>334</v>
      </c>
      <c r="C2508" s="4" t="s">
        <v>1041</v>
      </c>
      <c r="D2508" s="4"/>
      <c r="E2508" s="4"/>
      <c r="F2508" s="4" t="s">
        <v>1430</v>
      </c>
      <c r="G2508" s="4" t="s">
        <v>336</v>
      </c>
      <c r="H2508" s="4" t="s">
        <v>289</v>
      </c>
      <c r="I2508" s="4">
        <v>2</v>
      </c>
      <c r="J2508" s="21">
        <v>250</v>
      </c>
      <c r="K2508" s="21">
        <v>0</v>
      </c>
      <c r="L2508" s="5">
        <v>0</v>
      </c>
      <c r="M2508" s="4"/>
      <c r="N2508" s="4"/>
      <c r="O2508" s="5"/>
      <c r="P2508" s="5"/>
      <c r="Q2508" s="21">
        <v>500</v>
      </c>
      <c r="R2508" s="21">
        <v>0</v>
      </c>
      <c r="S2508" s="5">
        <f t="shared" si="159"/>
        <v>19421.137120151994</v>
      </c>
      <c r="T2508" cm="1">
        <f t="array" ref="T2508">IF(OR(B2508="MAL ALIMI", B2508="ÜRETİM GİRİŞ"), MIN(I2508, MAX(0, I2508 + SUM(SUMIFS($I$1:I2507, $C$1:C2507, C2508, $B$1:B2507, {"MAL ALIMI","ÜRETİM GİRİŞ"})) - VLOOKUP(C2508, 'STOK RAPORU'!$C$2:$I$1000, 4, 0))), 0)</f>
        <v>0</v>
      </c>
      <c r="U2508" s="22">
        <f t="shared" si="156"/>
        <v>0</v>
      </c>
      <c r="V2508">
        <f t="shared" si="157"/>
        <v>0</v>
      </c>
      <c r="W2508" s="22">
        <f t="shared" si="158"/>
        <v>0</v>
      </c>
    </row>
    <row r="2509" spans="1:23" hidden="1" x14ac:dyDescent="0.25">
      <c r="A2509" s="3">
        <v>46015</v>
      </c>
      <c r="B2509" s="4" t="s">
        <v>334</v>
      </c>
      <c r="C2509" s="4" t="s">
        <v>158</v>
      </c>
      <c r="D2509" s="4"/>
      <c r="E2509" s="4"/>
      <c r="F2509" s="4" t="s">
        <v>1430</v>
      </c>
      <c r="G2509" s="4" t="s">
        <v>336</v>
      </c>
      <c r="H2509" s="4" t="s">
        <v>289</v>
      </c>
      <c r="I2509" s="4">
        <v>1</v>
      </c>
      <c r="J2509" s="21">
        <v>150</v>
      </c>
      <c r="K2509" s="21">
        <v>0</v>
      </c>
      <c r="L2509" s="5">
        <v>0</v>
      </c>
      <c r="M2509" s="4"/>
      <c r="N2509" s="4"/>
      <c r="O2509" s="5"/>
      <c r="P2509" s="5"/>
      <c r="Q2509" s="21">
        <v>150</v>
      </c>
      <c r="R2509" s="21">
        <v>0</v>
      </c>
      <c r="S2509" s="5">
        <f t="shared" si="159"/>
        <v>19571.137120151994</v>
      </c>
      <c r="T2509" cm="1">
        <f t="array" ref="T2509">IF(OR(B2509="MAL ALIMI", B2509="ÜRETİM GİRİŞ"), MIN(I2509, MAX(0, I2509 + SUM(SUMIFS($I$1:I2508, $C$1:C2508, C2509, $B$1:B2508, {"MAL ALIMI","ÜRETİM GİRİŞ"})) - VLOOKUP(C2509, 'STOK RAPORU'!$C$2:$I$1000, 4, 0))), 0)</f>
        <v>0</v>
      </c>
      <c r="U2509" s="22">
        <f t="shared" si="156"/>
        <v>0</v>
      </c>
      <c r="V2509">
        <f t="shared" si="157"/>
        <v>0</v>
      </c>
      <c r="W2509" s="22">
        <f t="shared" si="158"/>
        <v>0</v>
      </c>
    </row>
    <row r="2510" spans="1:23" hidden="1" x14ac:dyDescent="0.25">
      <c r="A2510" s="3">
        <v>46015</v>
      </c>
      <c r="B2510" s="4" t="s">
        <v>334</v>
      </c>
      <c r="C2510" s="4" t="s">
        <v>237</v>
      </c>
      <c r="D2510" s="4"/>
      <c r="E2510" s="4"/>
      <c r="F2510" s="4" t="s">
        <v>1430</v>
      </c>
      <c r="G2510" s="4" t="s">
        <v>336</v>
      </c>
      <c r="H2510" s="4" t="s">
        <v>289</v>
      </c>
      <c r="I2510" s="4">
        <v>0.05</v>
      </c>
      <c r="J2510" s="21">
        <v>1200</v>
      </c>
      <c r="K2510" s="21">
        <v>0</v>
      </c>
      <c r="L2510" s="5">
        <v>0</v>
      </c>
      <c r="M2510" s="4"/>
      <c r="N2510" s="4"/>
      <c r="O2510" s="5"/>
      <c r="P2510" s="5"/>
      <c r="Q2510" s="21">
        <v>60</v>
      </c>
      <c r="R2510" s="21">
        <v>0</v>
      </c>
      <c r="S2510" s="5">
        <f t="shared" si="159"/>
        <v>19631.137120151994</v>
      </c>
      <c r="T2510" cm="1">
        <f t="array" ref="T2510">IF(OR(B2510="MAL ALIMI", B2510="ÜRETİM GİRİŞ"), MIN(I2510, MAX(0, I2510 + SUM(SUMIFS($I$1:I2509, $C$1:C2509, C2510, $B$1:B2509, {"MAL ALIMI","ÜRETİM GİRİŞ"})) - VLOOKUP(C2510, 'STOK RAPORU'!$C$2:$I$1000, 4, 0))), 0)</f>
        <v>0</v>
      </c>
      <c r="U2510" s="22">
        <f t="shared" si="156"/>
        <v>0</v>
      </c>
      <c r="V2510">
        <f t="shared" si="157"/>
        <v>0</v>
      </c>
      <c r="W2510" s="22">
        <f t="shared" si="158"/>
        <v>0</v>
      </c>
    </row>
    <row r="2511" spans="1:23" hidden="1" x14ac:dyDescent="0.25">
      <c r="A2511" s="3">
        <v>46015</v>
      </c>
      <c r="B2511" s="4" t="s">
        <v>334</v>
      </c>
      <c r="C2511" s="4" t="s">
        <v>134</v>
      </c>
      <c r="D2511" s="4"/>
      <c r="E2511" s="4"/>
      <c r="F2511" s="4" t="s">
        <v>1430</v>
      </c>
      <c r="G2511" s="4" t="s">
        <v>336</v>
      </c>
      <c r="H2511" s="4" t="s">
        <v>289</v>
      </c>
      <c r="I2511" s="4">
        <v>0.1</v>
      </c>
      <c r="J2511" s="21">
        <v>600</v>
      </c>
      <c r="K2511" s="21">
        <v>0</v>
      </c>
      <c r="L2511" s="5">
        <v>0</v>
      </c>
      <c r="M2511" s="4"/>
      <c r="N2511" s="4"/>
      <c r="O2511" s="5"/>
      <c r="P2511" s="5"/>
      <c r="Q2511" s="21">
        <v>60</v>
      </c>
      <c r="R2511" s="21">
        <v>0</v>
      </c>
      <c r="S2511" s="5">
        <f t="shared" si="159"/>
        <v>19691.137120151994</v>
      </c>
      <c r="T2511" cm="1">
        <f t="array" ref="T2511">IF(OR(B2511="MAL ALIMI", B2511="ÜRETİM GİRİŞ"), MIN(I2511, MAX(0, I2511 + SUM(SUMIFS($I$1:I2510, $C$1:C2510, C2511, $B$1:B2510, {"MAL ALIMI","ÜRETİM GİRİŞ"})) - VLOOKUP(C2511, 'STOK RAPORU'!$C$2:$I$1000, 4, 0))), 0)</f>
        <v>0</v>
      </c>
      <c r="U2511" s="22">
        <f t="shared" si="156"/>
        <v>0</v>
      </c>
      <c r="V2511">
        <f t="shared" si="157"/>
        <v>0</v>
      </c>
      <c r="W2511" s="22">
        <f t="shared" si="158"/>
        <v>0</v>
      </c>
    </row>
    <row r="2512" spans="1:23" hidden="1" x14ac:dyDescent="0.25">
      <c r="A2512" s="3">
        <v>46015</v>
      </c>
      <c r="B2512" s="4" t="s">
        <v>334</v>
      </c>
      <c r="C2512" s="4" t="s">
        <v>91</v>
      </c>
      <c r="D2512" s="4"/>
      <c r="E2512" s="4"/>
      <c r="F2512" s="4" t="s">
        <v>1430</v>
      </c>
      <c r="G2512" s="4" t="s">
        <v>336</v>
      </c>
      <c r="H2512" s="4" t="s">
        <v>289</v>
      </c>
      <c r="I2512" s="4">
        <v>3.9473684210526314E-2</v>
      </c>
      <c r="J2512" s="21">
        <v>760</v>
      </c>
      <c r="K2512" s="21">
        <v>0</v>
      </c>
      <c r="L2512" s="5">
        <v>0</v>
      </c>
      <c r="M2512" s="4"/>
      <c r="N2512" s="4"/>
      <c r="O2512" s="5"/>
      <c r="P2512" s="5"/>
      <c r="Q2512" s="21">
        <v>30</v>
      </c>
      <c r="R2512" s="21">
        <v>0</v>
      </c>
      <c r="S2512" s="5">
        <f t="shared" si="159"/>
        <v>19721.137120151994</v>
      </c>
      <c r="T2512" cm="1">
        <f t="array" ref="T2512">IF(OR(B2512="MAL ALIMI", B2512="ÜRETİM GİRİŞ"), MIN(I2512, MAX(0, I2512 + SUM(SUMIFS($I$1:I2511, $C$1:C2511, C2512, $B$1:B2511, {"MAL ALIMI","ÜRETİM GİRİŞ"})) - VLOOKUP(C2512, 'STOK RAPORU'!$C$2:$I$1000, 4, 0))), 0)</f>
        <v>0</v>
      </c>
      <c r="U2512" s="22">
        <f t="shared" si="156"/>
        <v>0</v>
      </c>
      <c r="V2512">
        <f t="shared" si="157"/>
        <v>0</v>
      </c>
      <c r="W2512" s="22">
        <f t="shared" si="158"/>
        <v>0</v>
      </c>
    </row>
    <row r="2513" spans="1:23" hidden="1" x14ac:dyDescent="0.25">
      <c r="A2513" s="3">
        <v>46015</v>
      </c>
      <c r="B2513" s="4" t="s">
        <v>334</v>
      </c>
      <c r="C2513" s="4" t="s">
        <v>529</v>
      </c>
      <c r="D2513" s="4"/>
      <c r="E2513" s="4"/>
      <c r="F2513" s="4" t="s">
        <v>1431</v>
      </c>
      <c r="G2513" s="4" t="s">
        <v>336</v>
      </c>
      <c r="H2513" s="4" t="s">
        <v>289</v>
      </c>
      <c r="I2513" s="4">
        <v>0.1</v>
      </c>
      <c r="J2513" s="21">
        <v>600</v>
      </c>
      <c r="K2513" s="21">
        <v>0</v>
      </c>
      <c r="L2513" s="5">
        <v>0</v>
      </c>
      <c r="M2513" s="4"/>
      <c r="N2513" s="4"/>
      <c r="O2513" s="5"/>
      <c r="P2513" s="5"/>
      <c r="Q2513" s="21">
        <v>60</v>
      </c>
      <c r="R2513" s="21">
        <v>0</v>
      </c>
      <c r="S2513" s="5">
        <f t="shared" si="159"/>
        <v>19781.137120151994</v>
      </c>
      <c r="T2513" cm="1">
        <f t="array" ref="T2513">IF(OR(B2513="MAL ALIMI", B2513="ÜRETİM GİRİŞ"), MIN(I2513, MAX(0, I2513 + SUM(SUMIFS($I$1:I2512, $C$1:C2512, C2513, $B$1:B2512, {"MAL ALIMI","ÜRETİM GİRİŞ"})) - VLOOKUP(C2513, 'STOK RAPORU'!$C$2:$I$1000, 4, 0))), 0)</f>
        <v>0</v>
      </c>
      <c r="U2513" s="22">
        <f t="shared" si="156"/>
        <v>0</v>
      </c>
      <c r="V2513">
        <f t="shared" si="157"/>
        <v>0</v>
      </c>
      <c r="W2513" s="22">
        <f t="shared" si="158"/>
        <v>0</v>
      </c>
    </row>
    <row r="2514" spans="1:23" hidden="1" x14ac:dyDescent="0.25">
      <c r="A2514" s="3">
        <v>46015</v>
      </c>
      <c r="B2514" s="4" t="s">
        <v>946</v>
      </c>
      <c r="C2514" s="4"/>
      <c r="D2514" s="4"/>
      <c r="E2514" s="4" t="s">
        <v>921</v>
      </c>
      <c r="F2514" s="4"/>
      <c r="G2514" s="4" t="s">
        <v>946</v>
      </c>
      <c r="H2514" s="4" t="s">
        <v>380</v>
      </c>
      <c r="I2514" s="4">
        <v>1</v>
      </c>
      <c r="J2514" s="105">
        <v>365</v>
      </c>
      <c r="K2514" s="21">
        <v>0</v>
      </c>
      <c r="L2514" s="111">
        <v>365</v>
      </c>
      <c r="M2514" s="4">
        <v>330</v>
      </c>
      <c r="N2514" s="4"/>
      <c r="O2514" s="5"/>
      <c r="P2514" s="5"/>
      <c r="Q2514" s="21">
        <v>365</v>
      </c>
      <c r="R2514" s="21">
        <v>0</v>
      </c>
      <c r="S2514" s="5">
        <f t="shared" si="159"/>
        <v>20146.137120151994</v>
      </c>
      <c r="T2514" cm="1">
        <f t="array" ref="T2514">IF(OR(B2514="MAL ALIMI", B2514="ÜRETİM GİRİŞ"), MIN(I2514, MAX(0, I2514 + SUM(SUMIFS($I$1:I2513, $C$1:C2513, C2514, $B$1:B2513, {"MAL ALIMI","ÜRETİM GİRİŞ"})) - VLOOKUP(C2514, 'STOK RAPORU'!$C$2:$I$1000, 4, 0))), 0)</f>
        <v>0</v>
      </c>
      <c r="U2514" s="22">
        <f t="shared" si="156"/>
        <v>0</v>
      </c>
      <c r="V2514">
        <f t="shared" si="157"/>
        <v>0</v>
      </c>
      <c r="W2514" s="22">
        <f t="shared" si="158"/>
        <v>0</v>
      </c>
    </row>
    <row r="2515" spans="1:23" hidden="1" x14ac:dyDescent="0.25">
      <c r="A2515" s="3">
        <v>46015</v>
      </c>
      <c r="B2515" s="4" t="s">
        <v>946</v>
      </c>
      <c r="C2515" s="4"/>
      <c r="D2515" s="4"/>
      <c r="E2515" s="4" t="s">
        <v>921</v>
      </c>
      <c r="F2515" s="4"/>
      <c r="G2515" s="4" t="s">
        <v>946</v>
      </c>
      <c r="H2515" s="4" t="s">
        <v>380</v>
      </c>
      <c r="I2515" s="4">
        <v>1</v>
      </c>
      <c r="J2515" s="106">
        <v>639</v>
      </c>
      <c r="K2515" s="21">
        <v>0</v>
      </c>
      <c r="L2515" s="111">
        <v>639</v>
      </c>
      <c r="M2515" s="4">
        <v>330</v>
      </c>
      <c r="N2515" s="4"/>
      <c r="O2515" s="5"/>
      <c r="P2515" s="5"/>
      <c r="Q2515" s="21">
        <v>639</v>
      </c>
      <c r="R2515" s="21">
        <v>0</v>
      </c>
      <c r="S2515" s="5">
        <f t="shared" si="159"/>
        <v>20785.137120151994</v>
      </c>
      <c r="T2515" cm="1">
        <f t="array" ref="T2515">IF(OR(B2515="MAL ALIMI", B2515="ÜRETİM GİRİŞ"), MIN(I2515, MAX(0, I2515 + SUM(SUMIFS($I$1:I2514, $C$1:C2514, C2515, $B$1:B2514, {"MAL ALIMI","ÜRETİM GİRİŞ"})) - VLOOKUP(C2515, 'STOK RAPORU'!$C$2:$I$1000, 4, 0))), 0)</f>
        <v>0</v>
      </c>
      <c r="U2515" s="22">
        <f t="shared" si="156"/>
        <v>0</v>
      </c>
      <c r="V2515">
        <f t="shared" si="157"/>
        <v>0</v>
      </c>
      <c r="W2515" s="22">
        <f t="shared" si="158"/>
        <v>0</v>
      </c>
    </row>
    <row r="2516" spans="1:23" hidden="1" x14ac:dyDescent="0.25">
      <c r="A2516" s="3">
        <v>46015</v>
      </c>
      <c r="B2516" s="4" t="s">
        <v>946</v>
      </c>
      <c r="C2516" s="4"/>
      <c r="D2516" s="4"/>
      <c r="E2516" s="4" t="s">
        <v>921</v>
      </c>
      <c r="F2516" s="4"/>
      <c r="G2516" s="4" t="s">
        <v>946</v>
      </c>
      <c r="H2516" s="4" t="s">
        <v>380</v>
      </c>
      <c r="I2516" s="4">
        <v>1</v>
      </c>
      <c r="J2516" s="109">
        <v>135</v>
      </c>
      <c r="K2516" s="35">
        <v>0</v>
      </c>
      <c r="L2516" s="111">
        <v>135</v>
      </c>
      <c r="M2516" s="4">
        <v>330</v>
      </c>
      <c r="N2516" s="4"/>
      <c r="O2516" s="5"/>
      <c r="P2516" s="5"/>
      <c r="Q2516" s="35">
        <v>135</v>
      </c>
      <c r="R2516" s="35">
        <v>0</v>
      </c>
      <c r="S2516" s="5">
        <f t="shared" si="159"/>
        <v>20920.137120151994</v>
      </c>
      <c r="T2516" cm="1">
        <f t="array" ref="T2516">IF(OR(B2516="MAL ALIMI", B2516="ÜRETİM GİRİŞ"), MIN(I2516, MAX(0, I2516 + SUM(SUMIFS($I$1:I2515, $C$1:C2515, C2516, $B$1:B2515, {"MAL ALIMI","ÜRETİM GİRİŞ"})) - VLOOKUP(C2516, 'STOK RAPORU'!$C$2:$I$1000, 4, 0))), 0)</f>
        <v>0</v>
      </c>
      <c r="U2516" s="22">
        <f t="shared" si="156"/>
        <v>0</v>
      </c>
      <c r="V2516">
        <f t="shared" si="157"/>
        <v>0</v>
      </c>
      <c r="W2516" s="22">
        <f t="shared" si="158"/>
        <v>0</v>
      </c>
    </row>
    <row r="2517" spans="1:23" hidden="1" x14ac:dyDescent="0.25">
      <c r="A2517" s="3">
        <v>46016</v>
      </c>
      <c r="B2517" s="4" t="s">
        <v>334</v>
      </c>
      <c r="C2517" s="4" t="s">
        <v>156</v>
      </c>
      <c r="D2517" s="4"/>
      <c r="E2517" s="4"/>
      <c r="F2517" s="4" t="s">
        <v>1435</v>
      </c>
      <c r="G2517" s="4" t="s">
        <v>336</v>
      </c>
      <c r="H2517" s="4" t="s">
        <v>289</v>
      </c>
      <c r="I2517" s="4">
        <v>1</v>
      </c>
      <c r="J2517" s="21">
        <v>200</v>
      </c>
      <c r="K2517" s="21">
        <v>0</v>
      </c>
      <c r="L2517" s="5">
        <v>0</v>
      </c>
      <c r="M2517" s="4"/>
      <c r="N2517" s="4"/>
      <c r="O2517" s="5"/>
      <c r="P2517" s="5"/>
      <c r="Q2517" s="21">
        <v>200</v>
      </c>
      <c r="R2517" s="21">
        <v>0</v>
      </c>
      <c r="S2517" s="5">
        <f t="shared" si="159"/>
        <v>21120.137120151994</v>
      </c>
      <c r="T2517" cm="1">
        <f t="array" ref="T2517">IF(OR(B2517="MAL ALIMI", B2517="ÜRETİM GİRİŞ"), MIN(I2517, MAX(0, I2517 + SUM(SUMIFS($I$1:I2516, $C$1:C2516, C2517, $B$1:B2516, {"MAL ALIMI","ÜRETİM GİRİŞ"})) - VLOOKUP(C2517, 'STOK RAPORU'!$C$2:$I$1000, 4, 0))), 0)</f>
        <v>0</v>
      </c>
      <c r="U2517" s="22">
        <f t="shared" si="156"/>
        <v>0</v>
      </c>
      <c r="V2517">
        <f t="shared" si="157"/>
        <v>0</v>
      </c>
      <c r="W2517" s="22">
        <f t="shared" si="158"/>
        <v>0</v>
      </c>
    </row>
    <row r="2518" spans="1:23" hidden="1" x14ac:dyDescent="0.25">
      <c r="A2518" s="3">
        <v>46016</v>
      </c>
      <c r="B2518" s="4" t="s">
        <v>334</v>
      </c>
      <c r="C2518" s="4" t="s">
        <v>1041</v>
      </c>
      <c r="D2518" s="4"/>
      <c r="E2518" s="4" t="s">
        <v>921</v>
      </c>
      <c r="F2518" s="4" t="s">
        <v>1445</v>
      </c>
      <c r="G2518" s="4" t="s">
        <v>336</v>
      </c>
      <c r="H2518" s="4" t="s">
        <v>380</v>
      </c>
      <c r="I2518" s="4">
        <v>1</v>
      </c>
      <c r="J2518" s="21">
        <v>250</v>
      </c>
      <c r="K2518" s="21">
        <v>250</v>
      </c>
      <c r="L2518" s="5">
        <v>0</v>
      </c>
      <c r="M2518" s="4"/>
      <c r="N2518" s="4"/>
      <c r="O2518" s="5"/>
      <c r="P2518" s="5"/>
      <c r="Q2518" s="21">
        <v>0</v>
      </c>
      <c r="R2518" s="21">
        <v>0</v>
      </c>
      <c r="S2518" s="5">
        <f t="shared" si="159"/>
        <v>21120.137120151994</v>
      </c>
      <c r="T2518" cm="1">
        <f t="array" ref="T2518">IF(OR(B2518="MAL ALIMI", B2518="ÜRETİM GİRİŞ"), MIN(I2518, MAX(0, I2518 + SUM(SUMIFS($I$1:I2517, $C$1:C2517, C2518, $B$1:B2517, {"MAL ALIMI","ÜRETİM GİRİŞ"})) - VLOOKUP(C2518, 'STOK RAPORU'!$C$2:$I$1000, 4, 0))), 0)</f>
        <v>0</v>
      </c>
      <c r="U2518" s="22">
        <f t="shared" si="156"/>
        <v>0</v>
      </c>
      <c r="V2518">
        <f t="shared" si="157"/>
        <v>0</v>
      </c>
      <c r="W2518" s="22">
        <f t="shared" si="158"/>
        <v>0</v>
      </c>
    </row>
    <row r="2519" spans="1:23" hidden="1" x14ac:dyDescent="0.25">
      <c r="A2519" s="3">
        <v>46016</v>
      </c>
      <c r="B2519" s="4" t="s">
        <v>334</v>
      </c>
      <c r="C2519" s="4" t="s">
        <v>1176</v>
      </c>
      <c r="D2519" s="4"/>
      <c r="E2519" s="4" t="s">
        <v>921</v>
      </c>
      <c r="F2519" s="4" t="s">
        <v>1445</v>
      </c>
      <c r="G2519" s="4" t="s">
        <v>336</v>
      </c>
      <c r="H2519" s="4" t="s">
        <v>380</v>
      </c>
      <c r="I2519" s="4">
        <v>0.1</v>
      </c>
      <c r="J2519" s="21">
        <v>1500</v>
      </c>
      <c r="K2519" s="21">
        <v>150</v>
      </c>
      <c r="L2519" s="5">
        <v>0</v>
      </c>
      <c r="M2519" s="4"/>
      <c r="N2519" s="4"/>
      <c r="O2519" s="5"/>
      <c r="P2519" s="5"/>
      <c r="Q2519" s="21">
        <v>0</v>
      </c>
      <c r="R2519" s="21">
        <v>0</v>
      </c>
      <c r="S2519" s="5">
        <f t="shared" si="159"/>
        <v>21120.137120151994</v>
      </c>
      <c r="T2519" cm="1">
        <f t="array" ref="T2519">IF(OR(B2519="MAL ALIMI", B2519="ÜRETİM GİRİŞ"), MIN(I2519, MAX(0, I2519 + SUM(SUMIFS($I$1:I2518, $C$1:C2518, C2519, $B$1:B2518, {"MAL ALIMI","ÜRETİM GİRİŞ"})) - VLOOKUP(C2519, 'STOK RAPORU'!$C$2:$I$1000, 4, 0))), 0)</f>
        <v>0</v>
      </c>
      <c r="U2519" s="22">
        <f t="shared" si="156"/>
        <v>0</v>
      </c>
      <c r="V2519">
        <f t="shared" si="157"/>
        <v>0</v>
      </c>
      <c r="W2519" s="22">
        <f t="shared" si="158"/>
        <v>0</v>
      </c>
    </row>
    <row r="2520" spans="1:23" hidden="1" x14ac:dyDescent="0.25">
      <c r="A2520" s="3">
        <v>46016</v>
      </c>
      <c r="B2520" s="4" t="s">
        <v>334</v>
      </c>
      <c r="C2520" s="4" t="s">
        <v>209</v>
      </c>
      <c r="D2520" s="4"/>
      <c r="E2520" s="4" t="s">
        <v>921</v>
      </c>
      <c r="F2520" s="4" t="s">
        <v>1446</v>
      </c>
      <c r="G2520" s="4" t="s">
        <v>336</v>
      </c>
      <c r="H2520" s="4" t="s">
        <v>380</v>
      </c>
      <c r="I2520" s="4">
        <v>0.05</v>
      </c>
      <c r="J2520" s="21">
        <v>2600</v>
      </c>
      <c r="K2520" s="21">
        <v>130</v>
      </c>
      <c r="L2520" s="5">
        <v>0</v>
      </c>
      <c r="M2520" s="4"/>
      <c r="N2520" s="4"/>
      <c r="O2520" s="5"/>
      <c r="P2520" s="5"/>
      <c r="Q2520" s="21">
        <v>0</v>
      </c>
      <c r="R2520" s="21">
        <v>0</v>
      </c>
      <c r="S2520" s="5">
        <f t="shared" si="159"/>
        <v>21120.137120151994</v>
      </c>
      <c r="T2520" cm="1">
        <f t="array" ref="T2520">IF(OR(B2520="MAL ALIMI", B2520="ÜRETİM GİRİŞ"), MIN(I2520, MAX(0, I2520 + SUM(SUMIFS($I$1:I2519, $C$1:C2519, C2520, $B$1:B2519, {"MAL ALIMI","ÜRETİM GİRİŞ"})) - VLOOKUP(C2520, 'STOK RAPORU'!$C$2:$I$1000, 4, 0))), 0)</f>
        <v>0</v>
      </c>
      <c r="U2520" s="22">
        <f t="shared" si="156"/>
        <v>0</v>
      </c>
      <c r="V2520">
        <f t="shared" si="157"/>
        <v>0</v>
      </c>
      <c r="W2520" s="22">
        <f t="shared" si="158"/>
        <v>0</v>
      </c>
    </row>
    <row r="2521" spans="1:23" hidden="1" x14ac:dyDescent="0.25">
      <c r="A2521" s="3">
        <v>46016</v>
      </c>
      <c r="B2521" s="4" t="s">
        <v>334</v>
      </c>
      <c r="C2521" s="4" t="s">
        <v>822</v>
      </c>
      <c r="D2521" s="4"/>
      <c r="E2521" s="4" t="s">
        <v>921</v>
      </c>
      <c r="F2521" s="4" t="s">
        <v>1446</v>
      </c>
      <c r="G2521" s="4" t="s">
        <v>336</v>
      </c>
      <c r="H2521" s="4" t="s">
        <v>380</v>
      </c>
      <c r="I2521" s="4">
        <v>1</v>
      </c>
      <c r="J2521" s="21">
        <v>170</v>
      </c>
      <c r="K2521" s="21">
        <v>170</v>
      </c>
      <c r="L2521" s="5">
        <v>0</v>
      </c>
      <c r="M2521" s="4"/>
      <c r="N2521" s="4"/>
      <c r="O2521" s="5"/>
      <c r="P2521" s="5"/>
      <c r="Q2521" s="21">
        <v>0</v>
      </c>
      <c r="R2521" s="21">
        <v>0</v>
      </c>
      <c r="S2521" s="5">
        <f t="shared" si="159"/>
        <v>21120.137120151994</v>
      </c>
      <c r="T2521" cm="1">
        <f t="array" ref="T2521">IF(OR(B2521="MAL ALIMI", B2521="ÜRETİM GİRİŞ"), MIN(I2521, MAX(0, I2521 + SUM(SUMIFS($I$1:I2520, $C$1:C2520, C2521, $B$1:B2520, {"MAL ALIMI","ÜRETİM GİRİŞ"})) - VLOOKUP(C2521, 'STOK RAPORU'!$C$2:$I$1000, 4, 0))), 0)</f>
        <v>0</v>
      </c>
      <c r="U2521" s="22">
        <f t="shared" si="156"/>
        <v>0</v>
      </c>
      <c r="V2521">
        <f t="shared" si="157"/>
        <v>0</v>
      </c>
      <c r="W2521" s="22">
        <f t="shared" si="158"/>
        <v>0</v>
      </c>
    </row>
    <row r="2522" spans="1:23" hidden="1" x14ac:dyDescent="0.25">
      <c r="A2522" s="3">
        <v>46016</v>
      </c>
      <c r="B2522" s="4" t="s">
        <v>334</v>
      </c>
      <c r="C2522" s="4" t="s">
        <v>224</v>
      </c>
      <c r="D2522" s="4"/>
      <c r="E2522" s="4" t="s">
        <v>921</v>
      </c>
      <c r="F2522" s="4" t="s">
        <v>1446</v>
      </c>
      <c r="G2522" s="4" t="s">
        <v>336</v>
      </c>
      <c r="H2522" s="4" t="s">
        <v>380</v>
      </c>
      <c r="I2522" s="4">
        <v>0.1</v>
      </c>
      <c r="J2522" s="21">
        <v>900</v>
      </c>
      <c r="K2522" s="21">
        <v>90</v>
      </c>
      <c r="L2522" s="5">
        <v>0</v>
      </c>
      <c r="M2522" s="4"/>
      <c r="N2522" s="4"/>
      <c r="O2522" s="5"/>
      <c r="P2522" s="5"/>
      <c r="Q2522" s="21">
        <v>0</v>
      </c>
      <c r="R2522" s="21">
        <v>0</v>
      </c>
      <c r="S2522" s="5">
        <f t="shared" si="159"/>
        <v>21120.137120151994</v>
      </c>
      <c r="T2522" cm="1">
        <f t="array" ref="T2522">IF(OR(B2522="MAL ALIMI", B2522="ÜRETİM GİRİŞ"), MIN(I2522, MAX(0, I2522 + SUM(SUMIFS($I$1:I2521, $C$1:C2521, C2522, $B$1:B2521, {"MAL ALIMI","ÜRETİM GİRİŞ"})) - VLOOKUP(C2522, 'STOK RAPORU'!$C$2:$I$1000, 4, 0))), 0)</f>
        <v>0</v>
      </c>
      <c r="U2522" s="22">
        <f t="shared" si="156"/>
        <v>0</v>
      </c>
      <c r="V2522">
        <f t="shared" si="157"/>
        <v>0</v>
      </c>
      <c r="W2522" s="22">
        <f t="shared" si="158"/>
        <v>0</v>
      </c>
    </row>
    <row r="2523" spans="1:23" hidden="1" x14ac:dyDescent="0.25">
      <c r="A2523" s="3">
        <v>46016</v>
      </c>
      <c r="B2523" s="4" t="s">
        <v>334</v>
      </c>
      <c r="C2523" s="4" t="s">
        <v>132</v>
      </c>
      <c r="D2523" s="4"/>
      <c r="E2523" s="4"/>
      <c r="F2523" s="4" t="s">
        <v>1447</v>
      </c>
      <c r="G2523" s="4" t="s">
        <v>336</v>
      </c>
      <c r="H2523" s="4" t="s">
        <v>289</v>
      </c>
      <c r="I2523" s="4">
        <v>7.0000000000000007E-2</v>
      </c>
      <c r="J2523" s="21">
        <v>500</v>
      </c>
      <c r="K2523" s="21">
        <v>0</v>
      </c>
      <c r="L2523" s="5">
        <v>0</v>
      </c>
      <c r="M2523" s="4"/>
      <c r="N2523" s="4"/>
      <c r="O2523" s="5"/>
      <c r="P2523" s="5"/>
      <c r="Q2523" s="21">
        <v>35</v>
      </c>
      <c r="R2523" s="21">
        <v>0</v>
      </c>
      <c r="S2523" s="5">
        <f t="shared" si="159"/>
        <v>21155.137120151994</v>
      </c>
      <c r="T2523" cm="1">
        <f t="array" ref="T2523">IF(OR(B2523="MAL ALIMI", B2523="ÜRETİM GİRİŞ"), MIN(I2523, MAX(0, I2523 + SUM(SUMIFS($I$1:I2522, $C$1:C2522, C2523, $B$1:B2522, {"MAL ALIMI","ÜRETİM GİRİŞ"})) - VLOOKUP(C2523, 'STOK RAPORU'!$C$2:$I$1000, 4, 0))), 0)</f>
        <v>0</v>
      </c>
      <c r="U2523" s="22">
        <f t="shared" si="156"/>
        <v>0</v>
      </c>
      <c r="V2523">
        <f t="shared" si="157"/>
        <v>0</v>
      </c>
      <c r="W2523" s="22">
        <f t="shared" si="158"/>
        <v>0</v>
      </c>
    </row>
    <row r="2524" spans="1:23" hidden="1" x14ac:dyDescent="0.25">
      <c r="A2524" s="3">
        <v>46016</v>
      </c>
      <c r="B2524" s="4" t="s">
        <v>334</v>
      </c>
      <c r="C2524" s="4" t="s">
        <v>1041</v>
      </c>
      <c r="D2524" s="4"/>
      <c r="E2524" s="4"/>
      <c r="F2524" s="4" t="s">
        <v>1448</v>
      </c>
      <c r="G2524" s="4" t="s">
        <v>336</v>
      </c>
      <c r="H2524" s="4" t="s">
        <v>289</v>
      </c>
      <c r="I2524" s="4">
        <v>1</v>
      </c>
      <c r="J2524" s="21">
        <v>250</v>
      </c>
      <c r="K2524" s="21">
        <v>0</v>
      </c>
      <c r="L2524" s="5">
        <v>0</v>
      </c>
      <c r="M2524" s="4"/>
      <c r="N2524" s="4"/>
      <c r="O2524" s="5"/>
      <c r="P2524" s="5"/>
      <c r="Q2524" s="21">
        <v>250</v>
      </c>
      <c r="R2524" s="21">
        <v>0</v>
      </c>
      <c r="S2524" s="5">
        <f t="shared" si="159"/>
        <v>21405.137120151994</v>
      </c>
      <c r="T2524" cm="1">
        <f t="array" ref="T2524">IF(OR(B2524="MAL ALIMI", B2524="ÜRETİM GİRİŞ"), MIN(I2524, MAX(0, I2524 + SUM(SUMIFS($I$1:I2523, $C$1:C2523, C2524, $B$1:B2523, {"MAL ALIMI","ÜRETİM GİRİŞ"})) - VLOOKUP(C2524, 'STOK RAPORU'!$C$2:$I$1000, 4, 0))), 0)</f>
        <v>0</v>
      </c>
      <c r="U2524" s="22">
        <f t="shared" si="156"/>
        <v>0</v>
      </c>
      <c r="V2524">
        <f t="shared" si="157"/>
        <v>0</v>
      </c>
      <c r="W2524" s="22">
        <f t="shared" si="158"/>
        <v>0</v>
      </c>
    </row>
    <row r="2525" spans="1:23" hidden="1" x14ac:dyDescent="0.25">
      <c r="A2525" s="3">
        <v>46016</v>
      </c>
      <c r="B2525" s="4" t="s">
        <v>334</v>
      </c>
      <c r="C2525" s="4" t="s">
        <v>977</v>
      </c>
      <c r="D2525" s="4"/>
      <c r="E2525" s="4"/>
      <c r="F2525" s="4" t="s">
        <v>1449</v>
      </c>
      <c r="G2525" s="4" t="s">
        <v>336</v>
      </c>
      <c r="H2525" s="4" t="s">
        <v>289</v>
      </c>
      <c r="I2525" s="4">
        <v>0.109375</v>
      </c>
      <c r="J2525" s="21">
        <v>320</v>
      </c>
      <c r="K2525" s="21">
        <v>0</v>
      </c>
      <c r="L2525" s="5">
        <v>0</v>
      </c>
      <c r="M2525" s="4"/>
      <c r="N2525" s="4"/>
      <c r="O2525" s="5"/>
      <c r="P2525" s="5"/>
      <c r="Q2525" s="21">
        <v>35</v>
      </c>
      <c r="R2525" s="21">
        <v>0</v>
      </c>
      <c r="S2525" s="5">
        <f t="shared" si="159"/>
        <v>21440.137120151994</v>
      </c>
      <c r="T2525" cm="1">
        <f t="array" ref="T2525">IF(OR(B2525="MAL ALIMI", B2525="ÜRETİM GİRİŞ"), MIN(I2525, MAX(0, I2525 + SUM(SUMIFS($I$1:I2524, $C$1:C2524, C2525, $B$1:B2524, {"MAL ALIMI","ÜRETİM GİRİŞ"})) - VLOOKUP(C2525, 'STOK RAPORU'!$C$2:$I$1000, 4, 0))), 0)</f>
        <v>0</v>
      </c>
      <c r="U2525" s="22">
        <f t="shared" si="156"/>
        <v>0</v>
      </c>
      <c r="V2525">
        <f t="shared" si="157"/>
        <v>0</v>
      </c>
      <c r="W2525" s="22">
        <f t="shared" si="158"/>
        <v>0</v>
      </c>
    </row>
    <row r="2526" spans="1:23" hidden="1" x14ac:dyDescent="0.25">
      <c r="A2526" s="45">
        <v>46016</v>
      </c>
      <c r="B2526" s="46" t="s">
        <v>334</v>
      </c>
      <c r="C2526" s="46" t="s">
        <v>96</v>
      </c>
      <c r="D2526" s="46"/>
      <c r="E2526" s="46" t="s">
        <v>921</v>
      </c>
      <c r="F2526" s="46" t="s">
        <v>1450</v>
      </c>
      <c r="G2526" s="46" t="s">
        <v>439</v>
      </c>
      <c r="H2526" s="46" t="s">
        <v>380</v>
      </c>
      <c r="I2526" s="46">
        <v>2</v>
      </c>
      <c r="J2526" s="47">
        <v>235</v>
      </c>
      <c r="K2526" s="47">
        <v>470</v>
      </c>
      <c r="L2526" s="48">
        <v>0</v>
      </c>
      <c r="M2526" s="4"/>
      <c r="N2526" s="4"/>
      <c r="O2526" s="5"/>
      <c r="P2526" s="5"/>
      <c r="Q2526" s="47">
        <v>0</v>
      </c>
      <c r="R2526" s="21">
        <v>0</v>
      </c>
      <c r="S2526" s="5">
        <f t="shared" si="159"/>
        <v>21440.137120151994</v>
      </c>
      <c r="T2526" cm="1">
        <f t="array" ref="T2526">IF(OR(B2526="MAL ALIMI", B2526="ÜRETİM GİRİŞ"), MIN(I2526, MAX(0, I2526 + SUM(SUMIFS($I$1:I2525, $C$1:C2525, C2526, $B$1:B2525, {"MAL ALIMI","ÜRETİM GİRİŞ"})) - VLOOKUP(C2526, 'STOK RAPORU'!$C$2:$I$1000, 4, 0))), 0)</f>
        <v>0</v>
      </c>
      <c r="U2526" s="22">
        <f t="shared" si="156"/>
        <v>0</v>
      </c>
      <c r="V2526">
        <f t="shared" si="157"/>
        <v>0</v>
      </c>
      <c r="W2526" s="22">
        <f t="shared" si="158"/>
        <v>0</v>
      </c>
    </row>
    <row r="2527" spans="1:23" hidden="1" x14ac:dyDescent="0.25">
      <c r="A2527" s="45">
        <v>46016</v>
      </c>
      <c r="B2527" s="46" t="s">
        <v>334</v>
      </c>
      <c r="C2527" s="46" t="s">
        <v>463</v>
      </c>
      <c r="D2527" s="46"/>
      <c r="E2527" s="46" t="s">
        <v>921</v>
      </c>
      <c r="F2527" s="46" t="s">
        <v>1450</v>
      </c>
      <c r="G2527" s="46" t="s">
        <v>439</v>
      </c>
      <c r="H2527" s="46" t="s">
        <v>380</v>
      </c>
      <c r="I2527" s="46">
        <v>3</v>
      </c>
      <c r="J2527" s="47">
        <v>210</v>
      </c>
      <c r="K2527" s="47">
        <v>630</v>
      </c>
      <c r="L2527" s="48">
        <v>0</v>
      </c>
      <c r="M2527" s="4"/>
      <c r="N2527" s="4"/>
      <c r="O2527" s="5"/>
      <c r="P2527" s="5"/>
      <c r="Q2527" s="47">
        <v>0</v>
      </c>
      <c r="R2527" s="21">
        <v>0</v>
      </c>
      <c r="S2527" s="5">
        <f t="shared" si="159"/>
        <v>21440.137120151994</v>
      </c>
      <c r="T2527" cm="1">
        <f t="array" ref="T2527">IF(OR(B2527="MAL ALIMI", B2527="ÜRETİM GİRİŞ"), MIN(I2527, MAX(0, I2527 + SUM(SUMIFS($I$1:I2526, $C$1:C2526, C2527, $B$1:B2526, {"MAL ALIMI","ÜRETİM GİRİŞ"})) - VLOOKUP(C2527, 'STOK RAPORU'!$C$2:$I$1000, 4, 0))), 0)</f>
        <v>0</v>
      </c>
      <c r="U2527" s="22">
        <f t="shared" si="156"/>
        <v>0</v>
      </c>
      <c r="V2527">
        <f t="shared" si="157"/>
        <v>0</v>
      </c>
      <c r="W2527" s="22">
        <f t="shared" si="158"/>
        <v>0</v>
      </c>
    </row>
    <row r="2528" spans="1:23" hidden="1" x14ac:dyDescent="0.25">
      <c r="A2528" s="45">
        <v>46016</v>
      </c>
      <c r="B2528" s="46" t="s">
        <v>334</v>
      </c>
      <c r="C2528" s="46" t="s">
        <v>133</v>
      </c>
      <c r="D2528" s="46"/>
      <c r="E2528" s="46" t="s">
        <v>921</v>
      </c>
      <c r="F2528" s="46" t="s">
        <v>1450</v>
      </c>
      <c r="G2528" s="46" t="s">
        <v>439</v>
      </c>
      <c r="H2528" s="46" t="s">
        <v>380</v>
      </c>
      <c r="I2528" s="46">
        <v>2</v>
      </c>
      <c r="J2528" s="47">
        <v>235</v>
      </c>
      <c r="K2528" s="47">
        <v>470</v>
      </c>
      <c r="L2528" s="48">
        <v>0</v>
      </c>
      <c r="M2528" s="4"/>
      <c r="N2528" s="4"/>
      <c r="O2528" s="5"/>
      <c r="P2528" s="5"/>
      <c r="Q2528" s="47">
        <v>0</v>
      </c>
      <c r="R2528" s="21">
        <v>0</v>
      </c>
      <c r="S2528" s="5">
        <f t="shared" si="159"/>
        <v>21440.137120151994</v>
      </c>
      <c r="T2528" cm="1">
        <f t="array" ref="T2528">IF(OR(B2528="MAL ALIMI", B2528="ÜRETİM GİRİŞ"), MIN(I2528, MAX(0, I2528 + SUM(SUMIFS($I$1:I2527, $C$1:C2527, C2528, $B$1:B2527, {"MAL ALIMI","ÜRETİM GİRİŞ"})) - VLOOKUP(C2528, 'STOK RAPORU'!$C$2:$I$1000, 4, 0))), 0)</f>
        <v>0</v>
      </c>
      <c r="U2528" s="22">
        <f t="shared" si="156"/>
        <v>0</v>
      </c>
      <c r="V2528">
        <f t="shared" si="157"/>
        <v>0</v>
      </c>
      <c r="W2528" s="22">
        <f t="shared" si="158"/>
        <v>0</v>
      </c>
    </row>
    <row r="2529" spans="1:23" hidden="1" x14ac:dyDescent="0.25">
      <c r="A2529" s="3">
        <v>46016</v>
      </c>
      <c r="B2529" s="4" t="s">
        <v>334</v>
      </c>
      <c r="C2529" s="4" t="s">
        <v>202</v>
      </c>
      <c r="D2529" s="4"/>
      <c r="E2529" s="4"/>
      <c r="F2529" s="4" t="s">
        <v>1451</v>
      </c>
      <c r="G2529" s="4" t="s">
        <v>336</v>
      </c>
      <c r="H2529" s="4" t="s">
        <v>289</v>
      </c>
      <c r="I2529" s="4">
        <v>0.5</v>
      </c>
      <c r="J2529" s="21">
        <v>80</v>
      </c>
      <c r="K2529" s="21">
        <v>0</v>
      </c>
      <c r="L2529" s="5">
        <v>0</v>
      </c>
      <c r="M2529" s="4"/>
      <c r="N2529" s="4"/>
      <c r="O2529" s="5"/>
      <c r="P2529" s="5"/>
      <c r="Q2529" s="21">
        <v>40</v>
      </c>
      <c r="R2529" s="21">
        <v>0</v>
      </c>
      <c r="S2529" s="5">
        <f t="shared" si="159"/>
        <v>21480.137120151994</v>
      </c>
      <c r="T2529" cm="1">
        <f t="array" ref="T2529">IF(OR(B2529="MAL ALIMI", B2529="ÜRETİM GİRİŞ"), MIN(I2529, MAX(0, I2529 + SUM(SUMIFS($I$1:I2528, $C$1:C2528, C2529, $B$1:B2528, {"MAL ALIMI","ÜRETİM GİRİŞ"})) - VLOOKUP(C2529, 'STOK RAPORU'!$C$2:$I$1000, 4, 0))), 0)</f>
        <v>0</v>
      </c>
      <c r="U2529" s="22">
        <f t="shared" si="156"/>
        <v>0</v>
      </c>
      <c r="V2529">
        <f t="shared" si="157"/>
        <v>0</v>
      </c>
      <c r="W2529" s="22">
        <f t="shared" si="158"/>
        <v>0</v>
      </c>
    </row>
    <row r="2530" spans="1:23" hidden="1" x14ac:dyDescent="0.25">
      <c r="A2530" s="3">
        <v>46016</v>
      </c>
      <c r="B2530" s="4" t="s">
        <v>334</v>
      </c>
      <c r="C2530" s="4" t="s">
        <v>651</v>
      </c>
      <c r="D2530" s="4"/>
      <c r="E2530" s="4"/>
      <c r="F2530" s="4" t="s">
        <v>1452</v>
      </c>
      <c r="G2530" s="4" t="s">
        <v>336</v>
      </c>
      <c r="H2530" s="4" t="s">
        <v>289</v>
      </c>
      <c r="I2530" s="4">
        <v>1</v>
      </c>
      <c r="J2530" s="21">
        <v>400</v>
      </c>
      <c r="K2530" s="21">
        <v>0</v>
      </c>
      <c r="L2530" s="5">
        <v>0</v>
      </c>
      <c r="M2530" s="4"/>
      <c r="N2530" s="4"/>
      <c r="O2530" s="5"/>
      <c r="P2530" s="5"/>
      <c r="Q2530" s="21">
        <v>400</v>
      </c>
      <c r="R2530" s="21">
        <v>0</v>
      </c>
      <c r="S2530" s="5">
        <f t="shared" si="159"/>
        <v>21880.137120151994</v>
      </c>
      <c r="T2530" cm="1">
        <f t="array" ref="T2530">IF(OR(B2530="MAL ALIMI", B2530="ÜRETİM GİRİŞ"), MIN(I2530, MAX(0, I2530 + SUM(SUMIFS($I$1:I2529, $C$1:C2529, C2530, $B$1:B2529, {"MAL ALIMI","ÜRETİM GİRİŞ"})) - VLOOKUP(C2530, 'STOK RAPORU'!$C$2:$I$1000, 4, 0))), 0)</f>
        <v>0</v>
      </c>
      <c r="U2530" s="22">
        <f t="shared" si="156"/>
        <v>0</v>
      </c>
      <c r="V2530">
        <f t="shared" si="157"/>
        <v>0</v>
      </c>
      <c r="W2530" s="22">
        <f t="shared" si="158"/>
        <v>0</v>
      </c>
    </row>
    <row r="2531" spans="1:23" hidden="1" x14ac:dyDescent="0.25">
      <c r="A2531" s="3">
        <v>46016</v>
      </c>
      <c r="B2531" s="4" t="s">
        <v>334</v>
      </c>
      <c r="C2531" s="4" t="s">
        <v>529</v>
      </c>
      <c r="D2531" s="4"/>
      <c r="E2531" s="4"/>
      <c r="F2531" s="4" t="s">
        <v>1453</v>
      </c>
      <c r="G2531" s="4" t="s">
        <v>336</v>
      </c>
      <c r="H2531" s="4" t="s">
        <v>289</v>
      </c>
      <c r="I2531" s="4">
        <v>0.1</v>
      </c>
      <c r="J2531" s="21">
        <v>500</v>
      </c>
      <c r="K2531" s="21">
        <v>0</v>
      </c>
      <c r="L2531" s="5">
        <v>0</v>
      </c>
      <c r="M2531" s="4"/>
      <c r="N2531" s="4"/>
      <c r="O2531" s="5"/>
      <c r="P2531" s="5"/>
      <c r="Q2531" s="21">
        <v>50</v>
      </c>
      <c r="R2531" s="21">
        <v>0</v>
      </c>
      <c r="S2531" s="5">
        <f t="shared" si="159"/>
        <v>21930.137120151994</v>
      </c>
      <c r="T2531" cm="1">
        <f t="array" ref="T2531">IF(OR(B2531="MAL ALIMI", B2531="ÜRETİM GİRİŞ"), MIN(I2531, MAX(0, I2531 + SUM(SUMIFS($I$1:I2530, $C$1:C2530, C2531, $B$1:B2530, {"MAL ALIMI","ÜRETİM GİRİŞ"})) - VLOOKUP(C2531, 'STOK RAPORU'!$C$2:$I$1000, 4, 0))), 0)</f>
        <v>0</v>
      </c>
      <c r="U2531" s="22">
        <f t="shared" si="156"/>
        <v>0</v>
      </c>
      <c r="V2531">
        <f t="shared" si="157"/>
        <v>0</v>
      </c>
      <c r="W2531" s="22">
        <f t="shared" si="158"/>
        <v>0</v>
      </c>
    </row>
    <row r="2532" spans="1:23" hidden="1" x14ac:dyDescent="0.25">
      <c r="A2532" s="3">
        <v>46016</v>
      </c>
      <c r="B2532" s="4" t="s">
        <v>334</v>
      </c>
      <c r="C2532" s="4" t="s">
        <v>1041</v>
      </c>
      <c r="D2532" s="4"/>
      <c r="E2532" s="4"/>
      <c r="F2532" s="4" t="s">
        <v>1453</v>
      </c>
      <c r="G2532" s="4" t="s">
        <v>336</v>
      </c>
      <c r="H2532" s="4" t="s">
        <v>289</v>
      </c>
      <c r="I2532" s="4">
        <v>0.22</v>
      </c>
      <c r="J2532" s="21">
        <v>250</v>
      </c>
      <c r="K2532" s="21">
        <v>0</v>
      </c>
      <c r="L2532" s="5">
        <v>0</v>
      </c>
      <c r="M2532" s="4"/>
      <c r="N2532" s="4"/>
      <c r="O2532" s="5"/>
      <c r="P2532" s="5"/>
      <c r="Q2532" s="21">
        <v>55</v>
      </c>
      <c r="R2532" s="21">
        <v>0</v>
      </c>
      <c r="S2532" s="5">
        <f t="shared" si="159"/>
        <v>21985.137120151994</v>
      </c>
      <c r="T2532" cm="1">
        <f t="array" ref="T2532">IF(OR(B2532="MAL ALIMI", B2532="ÜRETİM GİRİŞ"), MIN(I2532, MAX(0, I2532 + SUM(SUMIFS($I$1:I2531, $C$1:C2531, C2532, $B$1:B2531, {"MAL ALIMI","ÜRETİM GİRİŞ"})) - VLOOKUP(C2532, 'STOK RAPORU'!$C$2:$I$1000, 4, 0))), 0)</f>
        <v>0</v>
      </c>
      <c r="U2532" s="22">
        <f t="shared" si="156"/>
        <v>0</v>
      </c>
      <c r="V2532">
        <f t="shared" si="157"/>
        <v>0</v>
      </c>
      <c r="W2532" s="22">
        <f t="shared" si="158"/>
        <v>0</v>
      </c>
    </row>
    <row r="2533" spans="1:23" hidden="1" x14ac:dyDescent="0.25">
      <c r="A2533" s="3">
        <v>46016</v>
      </c>
      <c r="B2533" s="4" t="s">
        <v>334</v>
      </c>
      <c r="C2533" s="4" t="s">
        <v>213</v>
      </c>
      <c r="D2533" s="4"/>
      <c r="E2533" s="4"/>
      <c r="F2533" s="4" t="s">
        <v>1454</v>
      </c>
      <c r="G2533" s="4" t="s">
        <v>336</v>
      </c>
      <c r="H2533" s="4" t="s">
        <v>289</v>
      </c>
      <c r="I2533" s="4">
        <v>2.5714285714285714E-2</v>
      </c>
      <c r="J2533" s="21">
        <v>1400</v>
      </c>
      <c r="K2533" s="21">
        <v>0</v>
      </c>
      <c r="L2533" s="5">
        <v>0</v>
      </c>
      <c r="M2533" s="4"/>
      <c r="N2533" s="4"/>
      <c r="O2533" s="5"/>
      <c r="P2533" s="5"/>
      <c r="Q2533" s="21">
        <v>36</v>
      </c>
      <c r="R2533" s="21">
        <v>0</v>
      </c>
      <c r="S2533" s="5">
        <f t="shared" si="159"/>
        <v>22021.137120151994</v>
      </c>
      <c r="T2533" cm="1">
        <f t="array" ref="T2533">IF(OR(B2533="MAL ALIMI", B2533="ÜRETİM GİRİŞ"), MIN(I2533, MAX(0, I2533 + SUM(SUMIFS($I$1:I2532, $C$1:C2532, C2533, $B$1:B2532, {"MAL ALIMI","ÜRETİM GİRİŞ"})) - VLOOKUP(C2533, 'STOK RAPORU'!$C$2:$I$1000, 4, 0))), 0)</f>
        <v>0</v>
      </c>
      <c r="U2533" s="22">
        <f t="shared" si="156"/>
        <v>0</v>
      </c>
      <c r="V2533">
        <f t="shared" si="157"/>
        <v>0</v>
      </c>
      <c r="W2533" s="22">
        <f t="shared" si="158"/>
        <v>0</v>
      </c>
    </row>
    <row r="2534" spans="1:23" hidden="1" x14ac:dyDescent="0.25">
      <c r="A2534" s="3">
        <v>46016</v>
      </c>
      <c r="B2534" s="4" t="s">
        <v>334</v>
      </c>
      <c r="C2534" s="4" t="s">
        <v>219</v>
      </c>
      <c r="D2534" s="4"/>
      <c r="E2534" s="4"/>
      <c r="F2534" s="4" t="s">
        <v>1454</v>
      </c>
      <c r="G2534" s="4" t="s">
        <v>336</v>
      </c>
      <c r="H2534" s="4" t="s">
        <v>289</v>
      </c>
      <c r="I2534" s="4">
        <v>2.1999999999999999E-2</v>
      </c>
      <c r="J2534" s="21">
        <v>2000</v>
      </c>
      <c r="K2534" s="21">
        <v>0</v>
      </c>
      <c r="L2534" s="5">
        <v>0</v>
      </c>
      <c r="M2534" s="4"/>
      <c r="N2534" s="4"/>
      <c r="O2534" s="5"/>
      <c r="P2534" s="5"/>
      <c r="Q2534" s="21">
        <v>44</v>
      </c>
      <c r="R2534" s="21">
        <v>0</v>
      </c>
      <c r="S2534" s="5">
        <f t="shared" si="159"/>
        <v>22065.137120151994</v>
      </c>
      <c r="T2534" cm="1">
        <f t="array" ref="T2534">IF(OR(B2534="MAL ALIMI", B2534="ÜRETİM GİRİŞ"), MIN(I2534, MAX(0, I2534 + SUM(SUMIFS($I$1:I2533, $C$1:C2533, C2534, $B$1:B2533, {"MAL ALIMI","ÜRETİM GİRİŞ"})) - VLOOKUP(C2534, 'STOK RAPORU'!$C$2:$I$1000, 4, 0))), 0)</f>
        <v>0</v>
      </c>
      <c r="U2534" s="22">
        <f t="shared" si="156"/>
        <v>0</v>
      </c>
      <c r="V2534">
        <f t="shared" si="157"/>
        <v>0</v>
      </c>
      <c r="W2534" s="22">
        <f t="shared" si="158"/>
        <v>0</v>
      </c>
    </row>
    <row r="2535" spans="1:23" hidden="1" x14ac:dyDescent="0.25">
      <c r="A2535" s="3">
        <v>46017</v>
      </c>
      <c r="B2535" s="4" t="s">
        <v>334</v>
      </c>
      <c r="C2535" s="4" t="s">
        <v>129</v>
      </c>
      <c r="D2535" s="4"/>
      <c r="E2535" s="4" t="s">
        <v>921</v>
      </c>
      <c r="F2535" s="4" t="s">
        <v>1455</v>
      </c>
      <c r="G2535" s="4" t="s">
        <v>336</v>
      </c>
      <c r="H2535" s="4" t="s">
        <v>380</v>
      </c>
      <c r="I2535" s="4">
        <v>0.13400000000000001</v>
      </c>
      <c r="J2535" s="21">
        <v>390</v>
      </c>
      <c r="K2535" s="21">
        <v>52.260000000000005</v>
      </c>
      <c r="L2535" s="5">
        <v>0</v>
      </c>
      <c r="M2535" s="4"/>
      <c r="N2535" s="4"/>
      <c r="O2535" s="5"/>
      <c r="P2535" s="5"/>
      <c r="Q2535" s="21">
        <v>0</v>
      </c>
      <c r="R2535" s="21">
        <v>0</v>
      </c>
      <c r="S2535" s="5">
        <f t="shared" si="159"/>
        <v>22065.137120151994</v>
      </c>
      <c r="T2535" cm="1">
        <f t="array" ref="T2535">IF(OR(B2535="MAL ALIMI", B2535="ÜRETİM GİRİŞ"), MIN(I2535, MAX(0, I2535 + SUM(SUMIFS($I$1:I2534, $C$1:C2534, C2535, $B$1:B2534, {"MAL ALIMI","ÜRETİM GİRİŞ"})) - VLOOKUP(C2535, 'STOK RAPORU'!$C$2:$I$1000, 4, 0))), 0)</f>
        <v>0</v>
      </c>
      <c r="U2535" s="22">
        <f t="shared" si="156"/>
        <v>0</v>
      </c>
      <c r="V2535">
        <f t="shared" si="157"/>
        <v>0</v>
      </c>
      <c r="W2535" s="22">
        <f t="shared" si="158"/>
        <v>0</v>
      </c>
    </row>
    <row r="2536" spans="1:23" hidden="1" x14ac:dyDescent="0.25">
      <c r="A2536" s="3">
        <v>46017</v>
      </c>
      <c r="B2536" s="4" t="s">
        <v>334</v>
      </c>
      <c r="C2536" s="4" t="s">
        <v>463</v>
      </c>
      <c r="D2536" s="4"/>
      <c r="E2536" s="4" t="s">
        <v>921</v>
      </c>
      <c r="F2536" s="4" t="s">
        <v>1455</v>
      </c>
      <c r="G2536" s="4" t="s">
        <v>336</v>
      </c>
      <c r="H2536" s="4" t="s">
        <v>380</v>
      </c>
      <c r="I2536" s="4">
        <v>0.12</v>
      </c>
      <c r="J2536" s="21">
        <v>370</v>
      </c>
      <c r="K2536" s="21">
        <v>44.4</v>
      </c>
      <c r="L2536" s="5">
        <v>0</v>
      </c>
      <c r="M2536" s="4"/>
      <c r="N2536" s="4"/>
      <c r="O2536" s="5"/>
      <c r="P2536" s="5"/>
      <c r="Q2536" s="21">
        <v>0</v>
      </c>
      <c r="R2536" s="21">
        <v>0</v>
      </c>
      <c r="S2536" s="5">
        <f t="shared" si="159"/>
        <v>22065.137120151994</v>
      </c>
      <c r="T2536" cm="1">
        <f t="array" ref="T2536">IF(OR(B2536="MAL ALIMI", B2536="ÜRETİM GİRİŞ"), MIN(I2536, MAX(0, I2536 + SUM(SUMIFS($I$1:I2535, $C$1:C2535, C2536, $B$1:B2535, {"MAL ALIMI","ÜRETİM GİRİŞ"})) - VLOOKUP(C2536, 'STOK RAPORU'!$C$2:$I$1000, 4, 0))), 0)</f>
        <v>0</v>
      </c>
      <c r="U2536" s="22">
        <f t="shared" si="156"/>
        <v>0</v>
      </c>
      <c r="V2536">
        <f t="shared" si="157"/>
        <v>0</v>
      </c>
      <c r="W2536" s="22">
        <f t="shared" si="158"/>
        <v>0</v>
      </c>
    </row>
    <row r="2537" spans="1:23" hidden="1" x14ac:dyDescent="0.25">
      <c r="A2537" s="3">
        <v>46017</v>
      </c>
      <c r="B2537" s="4" t="s">
        <v>334</v>
      </c>
      <c r="C2537" s="4" t="s">
        <v>166</v>
      </c>
      <c r="D2537" s="4"/>
      <c r="E2537" s="4" t="s">
        <v>921</v>
      </c>
      <c r="F2537" s="4" t="s">
        <v>1455</v>
      </c>
      <c r="G2537" s="4" t="s">
        <v>336</v>
      </c>
      <c r="H2537" s="4" t="s">
        <v>380</v>
      </c>
      <c r="I2537" s="4">
        <v>0.05</v>
      </c>
      <c r="J2537" s="21">
        <v>770</v>
      </c>
      <c r="K2537" s="21">
        <v>38.5</v>
      </c>
      <c r="L2537" s="5">
        <v>0</v>
      </c>
      <c r="M2537" s="4"/>
      <c r="N2537" s="4"/>
      <c r="O2537" s="5"/>
      <c r="P2537" s="5"/>
      <c r="Q2537" s="21">
        <v>0</v>
      </c>
      <c r="R2537" s="21">
        <v>0</v>
      </c>
      <c r="S2537" s="5">
        <f t="shared" si="159"/>
        <v>22065.137120151994</v>
      </c>
      <c r="T2537" cm="1">
        <f t="array" ref="T2537">IF(OR(B2537="MAL ALIMI", B2537="ÜRETİM GİRİŞ"), MIN(I2537, MAX(0, I2537 + SUM(SUMIFS($I$1:I2536, $C$1:C2536, C2537, $B$1:B2536, {"MAL ALIMI","ÜRETİM GİRİŞ"})) - VLOOKUP(C2537, 'STOK RAPORU'!$C$2:$I$1000, 4, 0))), 0)</f>
        <v>0</v>
      </c>
      <c r="U2537" s="22">
        <f t="shared" si="156"/>
        <v>0</v>
      </c>
      <c r="V2537">
        <f t="shared" si="157"/>
        <v>0</v>
      </c>
      <c r="W2537" s="22">
        <f t="shared" si="158"/>
        <v>0</v>
      </c>
    </row>
    <row r="2538" spans="1:23" hidden="1" x14ac:dyDescent="0.25">
      <c r="A2538" s="3">
        <v>46017</v>
      </c>
      <c r="B2538" s="4" t="s">
        <v>334</v>
      </c>
      <c r="C2538" s="4" t="s">
        <v>462</v>
      </c>
      <c r="D2538" s="4"/>
      <c r="E2538" s="4" t="s">
        <v>921</v>
      </c>
      <c r="F2538" s="4" t="s">
        <v>1455</v>
      </c>
      <c r="G2538" s="4" t="s">
        <v>336</v>
      </c>
      <c r="H2538" s="4" t="s">
        <v>380</v>
      </c>
      <c r="I2538" s="4">
        <v>1</v>
      </c>
      <c r="J2538" s="21">
        <v>120</v>
      </c>
      <c r="K2538" s="21">
        <v>120</v>
      </c>
      <c r="L2538" s="5">
        <v>0</v>
      </c>
      <c r="M2538" s="4"/>
      <c r="N2538" s="4"/>
      <c r="O2538" s="5"/>
      <c r="P2538" s="5"/>
      <c r="Q2538" s="21">
        <v>0</v>
      </c>
      <c r="R2538" s="21">
        <v>0</v>
      </c>
      <c r="S2538" s="5">
        <f t="shared" si="159"/>
        <v>22065.137120151994</v>
      </c>
      <c r="T2538" cm="1">
        <f t="array" ref="T2538">IF(OR(B2538="MAL ALIMI", B2538="ÜRETİM GİRİŞ"), MIN(I2538, MAX(0, I2538 + SUM(SUMIFS($I$1:I2537, $C$1:C2537, C2538, $B$1:B2537, {"MAL ALIMI","ÜRETİM GİRİŞ"})) - VLOOKUP(C2538, 'STOK RAPORU'!$C$2:$I$1000, 4, 0))), 0)</f>
        <v>0</v>
      </c>
      <c r="U2538" s="22">
        <f t="shared" si="156"/>
        <v>0</v>
      </c>
      <c r="V2538">
        <f t="shared" si="157"/>
        <v>0</v>
      </c>
      <c r="W2538" s="22">
        <f t="shared" si="158"/>
        <v>0</v>
      </c>
    </row>
    <row r="2539" spans="1:23" hidden="1" x14ac:dyDescent="0.25">
      <c r="A2539" s="3">
        <v>46017</v>
      </c>
      <c r="B2539" s="4" t="s">
        <v>334</v>
      </c>
      <c r="C2539" s="4" t="s">
        <v>1634</v>
      </c>
      <c r="D2539" s="4"/>
      <c r="E2539" s="4" t="s">
        <v>921</v>
      </c>
      <c r="F2539" s="4" t="s">
        <v>1455</v>
      </c>
      <c r="G2539" s="4" t="s">
        <v>336</v>
      </c>
      <c r="H2539" s="4" t="s">
        <v>380</v>
      </c>
      <c r="I2539" s="4">
        <v>0.5</v>
      </c>
      <c r="J2539" s="21">
        <v>400</v>
      </c>
      <c r="K2539" s="21">
        <v>200</v>
      </c>
      <c r="L2539" s="5">
        <v>0</v>
      </c>
      <c r="M2539" s="4"/>
      <c r="N2539" s="4"/>
      <c r="O2539" s="5"/>
      <c r="P2539" s="5"/>
      <c r="Q2539" s="21">
        <v>0</v>
      </c>
      <c r="R2539" s="21">
        <v>0</v>
      </c>
      <c r="S2539" s="5">
        <f t="shared" si="159"/>
        <v>22065.137120151994</v>
      </c>
      <c r="T2539" cm="1">
        <f t="array" ref="T2539">IF(OR(B2539="MAL ALIMI", B2539="ÜRETİM GİRİŞ"), MIN(I2539, MAX(0, I2539 + SUM(SUMIFS($I$1:I2538, $C$1:C2538, C2539, $B$1:B2538, {"MAL ALIMI","ÜRETİM GİRİŞ"})) - VLOOKUP(C2539, 'STOK RAPORU'!$C$2:$I$1000, 4, 0))), 0)</f>
        <v>0</v>
      </c>
      <c r="U2539" s="22">
        <f t="shared" si="156"/>
        <v>0</v>
      </c>
      <c r="V2539">
        <f t="shared" si="157"/>
        <v>0</v>
      </c>
      <c r="W2539" s="22">
        <f t="shared" si="158"/>
        <v>0</v>
      </c>
    </row>
    <row r="2540" spans="1:23" hidden="1" x14ac:dyDescent="0.25">
      <c r="A2540" s="3">
        <v>46017</v>
      </c>
      <c r="B2540" s="4" t="s">
        <v>334</v>
      </c>
      <c r="C2540" s="4" t="s">
        <v>208</v>
      </c>
      <c r="D2540" s="4"/>
      <c r="E2540" s="4" t="s">
        <v>921</v>
      </c>
      <c r="F2540" s="4" t="s">
        <v>1455</v>
      </c>
      <c r="G2540" s="4" t="s">
        <v>336</v>
      </c>
      <c r="H2540" s="4" t="s">
        <v>380</v>
      </c>
      <c r="I2540" s="4">
        <v>0.5</v>
      </c>
      <c r="J2540" s="21">
        <v>140</v>
      </c>
      <c r="K2540" s="21">
        <v>70</v>
      </c>
      <c r="L2540" s="5">
        <v>0</v>
      </c>
      <c r="M2540" s="4"/>
      <c r="N2540" s="4"/>
      <c r="O2540" s="5"/>
      <c r="P2540" s="5"/>
      <c r="Q2540" s="21">
        <v>0</v>
      </c>
      <c r="R2540" s="21">
        <v>0</v>
      </c>
      <c r="S2540" s="5">
        <f t="shared" si="159"/>
        <v>22065.137120151994</v>
      </c>
      <c r="T2540" cm="1">
        <f t="array" ref="T2540">IF(OR(B2540="MAL ALIMI", B2540="ÜRETİM GİRİŞ"), MIN(I2540, MAX(0, I2540 + SUM(SUMIFS($I$1:I2539, $C$1:C2539, C2540, $B$1:B2539, {"MAL ALIMI","ÜRETİM GİRİŞ"})) - VLOOKUP(C2540, 'STOK RAPORU'!$C$2:$I$1000, 4, 0))), 0)</f>
        <v>0</v>
      </c>
      <c r="U2540" s="22">
        <f t="shared" si="156"/>
        <v>0</v>
      </c>
      <c r="V2540">
        <f t="shared" si="157"/>
        <v>0</v>
      </c>
      <c r="W2540" s="22">
        <f t="shared" si="158"/>
        <v>0</v>
      </c>
    </row>
    <row r="2541" spans="1:23" hidden="1" x14ac:dyDescent="0.25">
      <c r="A2541" s="3">
        <v>46017</v>
      </c>
      <c r="B2541" s="4" t="s">
        <v>334</v>
      </c>
      <c r="C2541" s="4" t="s">
        <v>711</v>
      </c>
      <c r="D2541" s="4"/>
      <c r="E2541" s="4" t="s">
        <v>921</v>
      </c>
      <c r="F2541" s="4" t="s">
        <v>1455</v>
      </c>
      <c r="G2541" s="4" t="s">
        <v>336</v>
      </c>
      <c r="H2541" s="4" t="s">
        <v>380</v>
      </c>
      <c r="I2541" s="4">
        <v>1</v>
      </c>
      <c r="J2541" s="21">
        <v>170</v>
      </c>
      <c r="K2541" s="21">
        <v>170</v>
      </c>
      <c r="L2541" s="5">
        <v>0</v>
      </c>
      <c r="M2541" s="4"/>
      <c r="N2541" s="4"/>
      <c r="O2541" s="5"/>
      <c r="P2541" s="5"/>
      <c r="Q2541" s="21">
        <v>0</v>
      </c>
      <c r="R2541" s="21">
        <v>0</v>
      </c>
      <c r="S2541" s="5">
        <f t="shared" si="159"/>
        <v>22065.137120151994</v>
      </c>
      <c r="T2541" cm="1">
        <f t="array" ref="T2541">IF(OR(B2541="MAL ALIMI", B2541="ÜRETİM GİRİŞ"), MIN(I2541, MAX(0, I2541 + SUM(SUMIFS($I$1:I2540, $C$1:C2540, C2541, $B$1:B2540, {"MAL ALIMI","ÜRETİM GİRİŞ"})) - VLOOKUP(C2541, 'STOK RAPORU'!$C$2:$I$1000, 4, 0))), 0)</f>
        <v>0</v>
      </c>
      <c r="U2541" s="22">
        <f t="shared" si="156"/>
        <v>0</v>
      </c>
      <c r="V2541">
        <f t="shared" si="157"/>
        <v>0</v>
      </c>
      <c r="W2541" s="22">
        <f t="shared" si="158"/>
        <v>0</v>
      </c>
    </row>
    <row r="2542" spans="1:23" hidden="1" x14ac:dyDescent="0.25">
      <c r="A2542" s="3">
        <v>46017</v>
      </c>
      <c r="B2542" s="4" t="s">
        <v>334</v>
      </c>
      <c r="C2542" s="4" t="s">
        <v>157</v>
      </c>
      <c r="D2542" s="4"/>
      <c r="E2542" s="4" t="s">
        <v>921</v>
      </c>
      <c r="F2542" s="4" t="s">
        <v>1455</v>
      </c>
      <c r="G2542" s="4" t="s">
        <v>336</v>
      </c>
      <c r="H2542" s="4" t="s">
        <v>380</v>
      </c>
      <c r="I2542" s="4">
        <v>1</v>
      </c>
      <c r="J2542" s="21">
        <v>200</v>
      </c>
      <c r="K2542" s="21">
        <v>200</v>
      </c>
      <c r="L2542" s="5">
        <v>0</v>
      </c>
      <c r="M2542" s="4"/>
      <c r="N2542" s="4"/>
      <c r="O2542" s="5"/>
      <c r="P2542" s="5"/>
      <c r="Q2542" s="21">
        <v>0</v>
      </c>
      <c r="R2542" s="21">
        <v>0</v>
      </c>
      <c r="S2542" s="5">
        <f t="shared" si="159"/>
        <v>22065.137120151994</v>
      </c>
      <c r="T2542" cm="1">
        <f t="array" ref="T2542">IF(OR(B2542="MAL ALIMI", B2542="ÜRETİM GİRİŞ"), MIN(I2542, MAX(0, I2542 + SUM(SUMIFS($I$1:I2541, $C$1:C2541, C2542, $B$1:B2541, {"MAL ALIMI","ÜRETİM GİRİŞ"})) - VLOOKUP(C2542, 'STOK RAPORU'!$C$2:$I$1000, 4, 0))), 0)</f>
        <v>0</v>
      </c>
      <c r="U2542" s="22">
        <f t="shared" si="156"/>
        <v>0</v>
      </c>
      <c r="V2542">
        <f t="shared" si="157"/>
        <v>0</v>
      </c>
      <c r="W2542" s="22">
        <f t="shared" si="158"/>
        <v>0</v>
      </c>
    </row>
    <row r="2543" spans="1:23" hidden="1" x14ac:dyDescent="0.25">
      <c r="A2543" s="3">
        <v>46017</v>
      </c>
      <c r="B2543" s="4" t="s">
        <v>334</v>
      </c>
      <c r="C2543" s="4" t="s">
        <v>158</v>
      </c>
      <c r="D2543" s="4"/>
      <c r="E2543" s="4" t="s">
        <v>921</v>
      </c>
      <c r="F2543" s="4" t="s">
        <v>1455</v>
      </c>
      <c r="G2543" s="4" t="s">
        <v>336</v>
      </c>
      <c r="H2543" s="4" t="s">
        <v>380</v>
      </c>
      <c r="I2543" s="4">
        <v>1</v>
      </c>
      <c r="J2543" s="21">
        <v>150</v>
      </c>
      <c r="K2543" s="21">
        <v>150</v>
      </c>
      <c r="L2543" s="5">
        <v>0</v>
      </c>
      <c r="M2543" s="4"/>
      <c r="N2543" s="4"/>
      <c r="O2543" s="5"/>
      <c r="P2543" s="5"/>
      <c r="Q2543" s="21">
        <v>0</v>
      </c>
      <c r="R2543" s="21">
        <v>0</v>
      </c>
      <c r="S2543" s="5">
        <f t="shared" si="159"/>
        <v>22065.137120151994</v>
      </c>
      <c r="T2543" cm="1">
        <f t="array" ref="T2543">IF(OR(B2543="MAL ALIMI", B2543="ÜRETİM GİRİŞ"), MIN(I2543, MAX(0, I2543 + SUM(SUMIFS($I$1:I2542, $C$1:C2542, C2543, $B$1:B2542, {"MAL ALIMI","ÜRETİM GİRİŞ"})) - VLOOKUP(C2543, 'STOK RAPORU'!$C$2:$I$1000, 4, 0))), 0)</f>
        <v>0</v>
      </c>
      <c r="U2543" s="22">
        <f t="shared" si="156"/>
        <v>0</v>
      </c>
      <c r="V2543">
        <f t="shared" si="157"/>
        <v>0</v>
      </c>
      <c r="W2543" s="22">
        <f t="shared" si="158"/>
        <v>0</v>
      </c>
    </row>
    <row r="2544" spans="1:23" hidden="1" x14ac:dyDescent="0.25">
      <c r="A2544" s="3">
        <v>46017</v>
      </c>
      <c r="B2544" s="4" t="s">
        <v>334</v>
      </c>
      <c r="C2544" s="4" t="s">
        <v>89</v>
      </c>
      <c r="D2544" s="4"/>
      <c r="E2544" s="4" t="s">
        <v>921</v>
      </c>
      <c r="F2544" s="4" t="s">
        <v>1456</v>
      </c>
      <c r="G2544" s="4" t="s">
        <v>336</v>
      </c>
      <c r="H2544" s="4" t="s">
        <v>380</v>
      </c>
      <c r="I2544" s="4">
        <v>0.1</v>
      </c>
      <c r="J2544" s="21">
        <v>650</v>
      </c>
      <c r="K2544" s="21">
        <v>65</v>
      </c>
      <c r="L2544" s="5">
        <v>0</v>
      </c>
      <c r="M2544" s="4"/>
      <c r="N2544" s="4"/>
      <c r="O2544" s="5"/>
      <c r="P2544" s="5"/>
      <c r="Q2544" s="21">
        <v>0</v>
      </c>
      <c r="R2544" s="21">
        <v>0</v>
      </c>
      <c r="S2544" s="5">
        <f t="shared" si="159"/>
        <v>22065.137120151994</v>
      </c>
      <c r="T2544" cm="1">
        <f t="array" ref="T2544">IF(OR(B2544="MAL ALIMI", B2544="ÜRETİM GİRİŞ"), MIN(I2544, MAX(0, I2544 + SUM(SUMIFS($I$1:I2543, $C$1:C2543, C2544, $B$1:B2543, {"MAL ALIMI","ÜRETİM GİRİŞ"})) - VLOOKUP(C2544, 'STOK RAPORU'!$C$2:$I$1000, 4, 0))), 0)</f>
        <v>0</v>
      </c>
      <c r="U2544" s="22">
        <f t="shared" si="156"/>
        <v>0</v>
      </c>
      <c r="V2544">
        <f t="shared" si="157"/>
        <v>0</v>
      </c>
      <c r="W2544" s="22">
        <f t="shared" si="158"/>
        <v>0</v>
      </c>
    </row>
    <row r="2545" spans="1:23" hidden="1" x14ac:dyDescent="0.25">
      <c r="A2545" s="3">
        <v>46017</v>
      </c>
      <c r="B2545" s="4" t="s">
        <v>334</v>
      </c>
      <c r="C2545" s="4" t="s">
        <v>209</v>
      </c>
      <c r="D2545" s="4"/>
      <c r="E2545" s="4"/>
      <c r="F2545" s="4" t="s">
        <v>1457</v>
      </c>
      <c r="G2545" s="4" t="s">
        <v>336</v>
      </c>
      <c r="H2545" s="4" t="s">
        <v>289</v>
      </c>
      <c r="I2545" s="4">
        <v>0.05</v>
      </c>
      <c r="J2545" s="21">
        <v>2600</v>
      </c>
      <c r="K2545" s="21">
        <v>0</v>
      </c>
      <c r="L2545" s="5">
        <v>0</v>
      </c>
      <c r="M2545" s="4"/>
      <c r="N2545" s="4"/>
      <c r="O2545" s="5"/>
      <c r="P2545" s="5"/>
      <c r="Q2545" s="21">
        <v>130</v>
      </c>
      <c r="R2545" s="21">
        <v>0</v>
      </c>
      <c r="S2545" s="5">
        <f t="shared" si="159"/>
        <v>22195.137120151994</v>
      </c>
      <c r="T2545" cm="1">
        <f t="array" ref="T2545">IF(OR(B2545="MAL ALIMI", B2545="ÜRETİM GİRİŞ"), MIN(I2545, MAX(0, I2545 + SUM(SUMIFS($I$1:I2544, $C$1:C2544, C2545, $B$1:B2544, {"MAL ALIMI","ÜRETİM GİRİŞ"})) - VLOOKUP(C2545, 'STOK RAPORU'!$C$2:$I$1000, 4, 0))), 0)</f>
        <v>0</v>
      </c>
      <c r="U2545" s="22">
        <f t="shared" si="156"/>
        <v>0</v>
      </c>
      <c r="V2545">
        <f t="shared" si="157"/>
        <v>0</v>
      </c>
      <c r="W2545" s="22">
        <f t="shared" si="158"/>
        <v>0</v>
      </c>
    </row>
    <row r="2546" spans="1:23" hidden="1" x14ac:dyDescent="0.25">
      <c r="A2546" s="3">
        <v>46017</v>
      </c>
      <c r="B2546" s="4" t="s">
        <v>334</v>
      </c>
      <c r="C2546" s="4" t="s">
        <v>160</v>
      </c>
      <c r="D2546" s="4"/>
      <c r="E2546" s="4"/>
      <c r="F2546" s="4" t="s">
        <v>1458</v>
      </c>
      <c r="G2546" s="4" t="s">
        <v>336</v>
      </c>
      <c r="H2546" s="4" t="s">
        <v>289</v>
      </c>
      <c r="I2546" s="4">
        <v>1</v>
      </c>
      <c r="J2546" s="21">
        <v>250</v>
      </c>
      <c r="K2546" s="21">
        <v>0</v>
      </c>
      <c r="L2546" s="5">
        <v>0</v>
      </c>
      <c r="M2546" s="4"/>
      <c r="N2546" s="4"/>
      <c r="O2546" s="5"/>
      <c r="P2546" s="5"/>
      <c r="Q2546" s="21">
        <v>250</v>
      </c>
      <c r="R2546" s="21">
        <v>0</v>
      </c>
      <c r="S2546" s="5">
        <f t="shared" si="159"/>
        <v>22445.137120151994</v>
      </c>
      <c r="T2546" cm="1">
        <f t="array" ref="T2546">IF(OR(B2546="MAL ALIMI", B2546="ÜRETİM GİRİŞ"), MIN(I2546, MAX(0, I2546 + SUM(SUMIFS($I$1:I2545, $C$1:C2545, C2546, $B$1:B2545, {"MAL ALIMI","ÜRETİM GİRİŞ"})) - VLOOKUP(C2546, 'STOK RAPORU'!$C$2:$I$1000, 4, 0))), 0)</f>
        <v>0</v>
      </c>
      <c r="U2546" s="22">
        <f t="shared" si="156"/>
        <v>0</v>
      </c>
      <c r="V2546">
        <f t="shared" si="157"/>
        <v>0</v>
      </c>
      <c r="W2546" s="22">
        <f t="shared" si="158"/>
        <v>0</v>
      </c>
    </row>
    <row r="2547" spans="1:23" hidden="1" x14ac:dyDescent="0.25">
      <c r="A2547" s="3">
        <v>46017</v>
      </c>
      <c r="B2547" s="4" t="s">
        <v>334</v>
      </c>
      <c r="C2547" s="4" t="s">
        <v>92</v>
      </c>
      <c r="D2547" s="4"/>
      <c r="E2547" s="4" t="s">
        <v>921</v>
      </c>
      <c r="F2547" s="4" t="s">
        <v>1459</v>
      </c>
      <c r="G2547" s="4" t="s">
        <v>336</v>
      </c>
      <c r="H2547" s="4" t="s">
        <v>380</v>
      </c>
      <c r="I2547" s="4">
        <v>9.4E-2</v>
      </c>
      <c r="J2547" s="21">
        <v>500</v>
      </c>
      <c r="K2547" s="21">
        <v>47</v>
      </c>
      <c r="L2547" s="5">
        <v>0</v>
      </c>
      <c r="M2547" s="4"/>
      <c r="N2547" s="4"/>
      <c r="O2547" s="5"/>
      <c r="P2547" s="5"/>
      <c r="Q2547" s="21">
        <v>0</v>
      </c>
      <c r="R2547" s="21">
        <v>0</v>
      </c>
      <c r="S2547" s="5">
        <f t="shared" si="159"/>
        <v>22445.137120151994</v>
      </c>
      <c r="T2547" cm="1">
        <f t="array" ref="T2547">IF(OR(B2547="MAL ALIMI", B2547="ÜRETİM GİRİŞ"), MIN(I2547, MAX(0, I2547 + SUM(SUMIFS($I$1:I2546, $C$1:C2546, C2547, $B$1:B2546, {"MAL ALIMI","ÜRETİM GİRİŞ"})) - VLOOKUP(C2547, 'STOK RAPORU'!$C$2:$I$1000, 4, 0))), 0)</f>
        <v>0</v>
      </c>
      <c r="U2547" s="22">
        <f t="shared" si="156"/>
        <v>0</v>
      </c>
      <c r="V2547">
        <f t="shared" si="157"/>
        <v>0</v>
      </c>
      <c r="W2547" s="22">
        <f t="shared" si="158"/>
        <v>0</v>
      </c>
    </row>
    <row r="2548" spans="1:23" hidden="1" x14ac:dyDescent="0.25">
      <c r="A2548" s="3">
        <v>46017</v>
      </c>
      <c r="B2548" s="4" t="s">
        <v>334</v>
      </c>
      <c r="C2548" s="4" t="s">
        <v>679</v>
      </c>
      <c r="D2548" s="4"/>
      <c r="E2548" s="4" t="s">
        <v>921</v>
      </c>
      <c r="F2548" s="4" t="s">
        <v>1459</v>
      </c>
      <c r="G2548" s="4" t="s">
        <v>336</v>
      </c>
      <c r="H2548" s="4" t="s">
        <v>380</v>
      </c>
      <c r="I2548" s="4">
        <v>0.25</v>
      </c>
      <c r="J2548" s="21">
        <v>400</v>
      </c>
      <c r="K2548" s="21">
        <v>100</v>
      </c>
      <c r="L2548" s="5">
        <v>0</v>
      </c>
      <c r="M2548" s="4"/>
      <c r="N2548" s="4"/>
      <c r="O2548" s="5"/>
      <c r="P2548" s="5"/>
      <c r="Q2548" s="21">
        <v>0</v>
      </c>
      <c r="R2548" s="21">
        <v>0</v>
      </c>
      <c r="S2548" s="5">
        <f t="shared" si="159"/>
        <v>22445.137120151994</v>
      </c>
      <c r="T2548" cm="1">
        <f t="array" ref="T2548">IF(OR(B2548="MAL ALIMI", B2548="ÜRETİM GİRİŞ"), MIN(I2548, MAX(0, I2548 + SUM(SUMIFS($I$1:I2547, $C$1:C2547, C2548, $B$1:B2547, {"MAL ALIMI","ÜRETİM GİRİŞ"})) - VLOOKUP(C2548, 'STOK RAPORU'!$C$2:$I$1000, 4, 0))), 0)</f>
        <v>0</v>
      </c>
      <c r="U2548" s="22">
        <f t="shared" si="156"/>
        <v>0</v>
      </c>
      <c r="V2548">
        <f t="shared" si="157"/>
        <v>0</v>
      </c>
      <c r="W2548" s="22">
        <f t="shared" si="158"/>
        <v>0</v>
      </c>
    </row>
    <row r="2549" spans="1:23" hidden="1" x14ac:dyDescent="0.25">
      <c r="A2549" s="3">
        <v>46017</v>
      </c>
      <c r="B2549" s="4" t="s">
        <v>334</v>
      </c>
      <c r="C2549" s="4" t="s">
        <v>1359</v>
      </c>
      <c r="D2549" s="4"/>
      <c r="E2549" s="4"/>
      <c r="F2549" s="4" t="s">
        <v>1460</v>
      </c>
      <c r="G2549" s="4" t="s">
        <v>336</v>
      </c>
      <c r="H2549" s="4" t="s">
        <v>289</v>
      </c>
      <c r="I2549" s="4">
        <v>0.35333333333333333</v>
      </c>
      <c r="J2549" s="21">
        <v>450</v>
      </c>
      <c r="K2549" s="21">
        <v>0</v>
      </c>
      <c r="L2549" s="5">
        <v>0</v>
      </c>
      <c r="M2549" s="4"/>
      <c r="N2549" s="4"/>
      <c r="O2549" s="5"/>
      <c r="P2549" s="5"/>
      <c r="Q2549" s="21">
        <v>159</v>
      </c>
      <c r="R2549" s="21">
        <v>0</v>
      </c>
      <c r="S2549" s="5">
        <f t="shared" si="159"/>
        <v>22604.137120151994</v>
      </c>
      <c r="T2549" cm="1">
        <f t="array" ref="T2549">IF(OR(B2549="MAL ALIMI", B2549="ÜRETİM GİRİŞ"), MIN(I2549, MAX(0, I2549 + SUM(SUMIFS($I$1:I2548, $C$1:C2548, C2549, $B$1:B2548, {"MAL ALIMI","ÜRETİM GİRİŞ"})) - VLOOKUP(C2549, 'STOK RAPORU'!$C$2:$I$1000, 4, 0))), 0)</f>
        <v>0</v>
      </c>
      <c r="U2549" s="22">
        <f t="shared" si="156"/>
        <v>0</v>
      </c>
      <c r="V2549">
        <f t="shared" si="157"/>
        <v>0</v>
      </c>
      <c r="W2549" s="22">
        <f t="shared" si="158"/>
        <v>0</v>
      </c>
    </row>
    <row r="2550" spans="1:23" hidden="1" x14ac:dyDescent="0.25">
      <c r="A2550" s="3">
        <v>46017</v>
      </c>
      <c r="B2550" s="4" t="s">
        <v>334</v>
      </c>
      <c r="C2550" s="4" t="s">
        <v>160</v>
      </c>
      <c r="D2550" s="4"/>
      <c r="E2550" s="4"/>
      <c r="F2550" s="4" t="s">
        <v>1460</v>
      </c>
      <c r="G2550" s="4" t="s">
        <v>336</v>
      </c>
      <c r="H2550" s="4" t="s">
        <v>289</v>
      </c>
      <c r="I2550" s="4">
        <v>1</v>
      </c>
      <c r="J2550" s="21">
        <v>215</v>
      </c>
      <c r="K2550" s="21">
        <v>0</v>
      </c>
      <c r="L2550" s="5">
        <v>0</v>
      </c>
      <c r="M2550" s="4"/>
      <c r="N2550" s="4"/>
      <c r="O2550" s="5"/>
      <c r="P2550" s="5"/>
      <c r="Q2550" s="21">
        <v>215</v>
      </c>
      <c r="R2550" s="21">
        <v>0</v>
      </c>
      <c r="S2550" s="5">
        <f t="shared" si="159"/>
        <v>22819.137120151994</v>
      </c>
      <c r="T2550" cm="1">
        <f t="array" ref="T2550">IF(OR(B2550="MAL ALIMI", B2550="ÜRETİM GİRİŞ"), MIN(I2550, MAX(0, I2550 + SUM(SUMIFS($I$1:I2549, $C$1:C2549, C2550, $B$1:B2549, {"MAL ALIMI","ÜRETİM GİRİŞ"})) - VLOOKUP(C2550, 'STOK RAPORU'!$C$2:$I$1000, 4, 0))), 0)</f>
        <v>0</v>
      </c>
      <c r="U2550" s="22">
        <f t="shared" si="156"/>
        <v>0</v>
      </c>
      <c r="V2550">
        <f t="shared" si="157"/>
        <v>0</v>
      </c>
      <c r="W2550" s="22">
        <f t="shared" si="158"/>
        <v>0</v>
      </c>
    </row>
    <row r="2551" spans="1:23" hidden="1" x14ac:dyDescent="0.25">
      <c r="A2551" s="3">
        <v>46017</v>
      </c>
      <c r="B2551" s="4" t="s">
        <v>334</v>
      </c>
      <c r="C2551" s="4" t="s">
        <v>160</v>
      </c>
      <c r="D2551" s="4"/>
      <c r="E2551" s="4" t="s">
        <v>921</v>
      </c>
      <c r="F2551" s="4" t="s">
        <v>1461</v>
      </c>
      <c r="G2551" s="4" t="s">
        <v>336</v>
      </c>
      <c r="H2551" s="4" t="s">
        <v>380</v>
      </c>
      <c r="I2551" s="4">
        <v>1</v>
      </c>
      <c r="J2551" s="21">
        <v>250</v>
      </c>
      <c r="K2551" s="21">
        <v>250</v>
      </c>
      <c r="L2551" s="5">
        <v>0</v>
      </c>
      <c r="M2551" s="4"/>
      <c r="N2551" s="4"/>
      <c r="O2551" s="5"/>
      <c r="P2551" s="5"/>
      <c r="Q2551" s="21">
        <v>0</v>
      </c>
      <c r="R2551" s="21">
        <v>0</v>
      </c>
      <c r="S2551" s="5">
        <f t="shared" si="159"/>
        <v>22819.137120151994</v>
      </c>
      <c r="T2551" cm="1">
        <f t="array" ref="T2551">IF(OR(B2551="MAL ALIMI", B2551="ÜRETİM GİRİŞ"), MIN(I2551, MAX(0, I2551 + SUM(SUMIFS($I$1:I2550, $C$1:C2550, C2551, $B$1:B2550, {"MAL ALIMI","ÜRETİM GİRİŞ"})) - VLOOKUP(C2551, 'STOK RAPORU'!$C$2:$I$1000, 4, 0))), 0)</f>
        <v>0</v>
      </c>
      <c r="U2551" s="22">
        <f t="shared" si="156"/>
        <v>0</v>
      </c>
      <c r="V2551">
        <f t="shared" si="157"/>
        <v>0</v>
      </c>
      <c r="W2551" s="22">
        <f t="shared" si="158"/>
        <v>0</v>
      </c>
    </row>
    <row r="2552" spans="1:23" hidden="1" x14ac:dyDescent="0.25">
      <c r="A2552" s="3">
        <v>46017</v>
      </c>
      <c r="B2552" s="4" t="s">
        <v>334</v>
      </c>
      <c r="C2552" s="4" t="s">
        <v>1181</v>
      </c>
      <c r="D2552" s="4"/>
      <c r="E2552" s="4" t="s">
        <v>921</v>
      </c>
      <c r="F2552" s="4" t="s">
        <v>1462</v>
      </c>
      <c r="G2552" s="4" t="s">
        <v>336</v>
      </c>
      <c r="H2552" s="4" t="s">
        <v>380</v>
      </c>
      <c r="I2552" s="4">
        <v>1</v>
      </c>
      <c r="J2552" s="21">
        <v>440</v>
      </c>
      <c r="K2552" s="21">
        <v>440</v>
      </c>
      <c r="L2552" s="5">
        <v>0</v>
      </c>
      <c r="M2552" s="4"/>
      <c r="N2552" s="4"/>
      <c r="O2552" s="5"/>
      <c r="P2552" s="5"/>
      <c r="Q2552" s="21">
        <v>0</v>
      </c>
      <c r="R2552" s="21">
        <v>0</v>
      </c>
      <c r="S2552" s="5">
        <f t="shared" si="159"/>
        <v>22819.137120151994</v>
      </c>
      <c r="T2552" cm="1">
        <f t="array" ref="T2552">IF(OR(B2552="MAL ALIMI", B2552="ÜRETİM GİRİŞ"), MIN(I2552, MAX(0, I2552 + SUM(SUMIFS($I$1:I2551, $C$1:C2551, C2552, $B$1:B2551, {"MAL ALIMI","ÜRETİM GİRİŞ"})) - VLOOKUP(C2552, 'STOK RAPORU'!$C$2:$I$1000, 4, 0))), 0)</f>
        <v>0</v>
      </c>
      <c r="U2552" s="22">
        <f t="shared" si="156"/>
        <v>0</v>
      </c>
      <c r="V2552">
        <f t="shared" si="157"/>
        <v>0</v>
      </c>
      <c r="W2552" s="22">
        <f t="shared" si="158"/>
        <v>0</v>
      </c>
    </row>
    <row r="2553" spans="1:23" hidden="1" x14ac:dyDescent="0.25">
      <c r="A2553" s="3">
        <v>46017</v>
      </c>
      <c r="B2553" s="4" t="s">
        <v>334</v>
      </c>
      <c r="C2553" s="4" t="s">
        <v>223</v>
      </c>
      <c r="D2553" s="4"/>
      <c r="E2553" s="4" t="s">
        <v>921</v>
      </c>
      <c r="F2553" s="4" t="s">
        <v>1462</v>
      </c>
      <c r="G2553" s="4" t="s">
        <v>336</v>
      </c>
      <c r="H2553" s="4" t="s">
        <v>380</v>
      </c>
      <c r="I2553" s="4">
        <v>0.5</v>
      </c>
      <c r="J2553" s="21">
        <v>800</v>
      </c>
      <c r="K2553" s="21">
        <v>400</v>
      </c>
      <c r="L2553" s="5">
        <v>0</v>
      </c>
      <c r="M2553" s="4"/>
      <c r="N2553" s="4"/>
      <c r="O2553" s="5"/>
      <c r="P2553" s="5"/>
      <c r="Q2553" s="21">
        <v>0</v>
      </c>
      <c r="R2553" s="21">
        <v>0</v>
      </c>
      <c r="S2553" s="5">
        <f t="shared" si="159"/>
        <v>22819.137120151994</v>
      </c>
      <c r="T2553" cm="1">
        <f t="array" ref="T2553">IF(OR(B2553="MAL ALIMI", B2553="ÜRETİM GİRİŞ"), MIN(I2553, MAX(0, I2553 + SUM(SUMIFS($I$1:I2552, $C$1:C2552, C2553, $B$1:B2552, {"MAL ALIMI","ÜRETİM GİRİŞ"})) - VLOOKUP(C2553, 'STOK RAPORU'!$C$2:$I$1000, 4, 0))), 0)</f>
        <v>0</v>
      </c>
      <c r="U2553" s="22">
        <f t="shared" si="156"/>
        <v>0</v>
      </c>
      <c r="V2553">
        <f t="shared" si="157"/>
        <v>0</v>
      </c>
      <c r="W2553" s="22">
        <f t="shared" si="158"/>
        <v>0</v>
      </c>
    </row>
    <row r="2554" spans="1:23" hidden="1" x14ac:dyDescent="0.25">
      <c r="A2554" s="3">
        <v>46017</v>
      </c>
      <c r="B2554" s="4" t="s">
        <v>334</v>
      </c>
      <c r="C2554" s="4" t="s">
        <v>522</v>
      </c>
      <c r="D2554" s="4"/>
      <c r="E2554" s="4" t="s">
        <v>921</v>
      </c>
      <c r="F2554" s="4" t="s">
        <v>1462</v>
      </c>
      <c r="G2554" s="4" t="s">
        <v>336</v>
      </c>
      <c r="H2554" s="4" t="s">
        <v>380</v>
      </c>
      <c r="I2554" s="4">
        <v>1</v>
      </c>
      <c r="J2554" s="21">
        <v>250</v>
      </c>
      <c r="K2554" s="21">
        <v>250</v>
      </c>
      <c r="L2554" s="5">
        <v>0</v>
      </c>
      <c r="M2554" s="4"/>
      <c r="N2554" s="4"/>
      <c r="O2554" s="5"/>
      <c r="P2554" s="5"/>
      <c r="Q2554" s="21">
        <v>0</v>
      </c>
      <c r="R2554" s="21">
        <v>0</v>
      </c>
      <c r="S2554" s="5">
        <f t="shared" si="159"/>
        <v>22819.137120151994</v>
      </c>
      <c r="T2554" cm="1">
        <f t="array" ref="T2554">IF(OR(B2554="MAL ALIMI", B2554="ÜRETİM GİRİŞ"), MIN(I2554, MAX(0, I2554 + SUM(SUMIFS($I$1:I2553, $C$1:C2553, C2554, $B$1:B2553, {"MAL ALIMI","ÜRETİM GİRİŞ"})) - VLOOKUP(C2554, 'STOK RAPORU'!$C$2:$I$1000, 4, 0))), 0)</f>
        <v>0</v>
      </c>
      <c r="U2554" s="22">
        <f t="shared" si="156"/>
        <v>0</v>
      </c>
      <c r="V2554">
        <f t="shared" si="157"/>
        <v>0</v>
      </c>
      <c r="W2554" s="22">
        <f t="shared" si="158"/>
        <v>0</v>
      </c>
    </row>
    <row r="2555" spans="1:23" hidden="1" x14ac:dyDescent="0.25">
      <c r="A2555" s="3">
        <v>46017</v>
      </c>
      <c r="B2555" s="4" t="s">
        <v>334</v>
      </c>
      <c r="C2555" s="4" t="s">
        <v>60</v>
      </c>
      <c r="D2555" s="4"/>
      <c r="E2555" s="4"/>
      <c r="F2555" s="4" t="s">
        <v>1465</v>
      </c>
      <c r="G2555" s="4" t="s">
        <v>336</v>
      </c>
      <c r="H2555" s="4" t="s">
        <v>289</v>
      </c>
      <c r="I2555" s="4">
        <v>0.05</v>
      </c>
      <c r="J2555" s="21">
        <v>1200</v>
      </c>
      <c r="K2555" s="21">
        <v>0</v>
      </c>
      <c r="L2555" s="5">
        <v>0</v>
      </c>
      <c r="M2555" s="4"/>
      <c r="N2555" s="4"/>
      <c r="O2555" s="5"/>
      <c r="P2555" s="5"/>
      <c r="Q2555" s="21">
        <v>60</v>
      </c>
      <c r="R2555" s="21">
        <v>0</v>
      </c>
      <c r="S2555" s="5">
        <f t="shared" si="159"/>
        <v>22879.137120151994</v>
      </c>
      <c r="T2555" cm="1">
        <f t="array" ref="T2555">IF(OR(B2555="MAL ALIMI", B2555="ÜRETİM GİRİŞ"), MIN(I2555, MAX(0, I2555 + SUM(SUMIFS($I$1:I2554, $C$1:C2554, C2555, $B$1:B2554, {"MAL ALIMI","ÜRETİM GİRİŞ"})) - VLOOKUP(C2555, 'STOK RAPORU'!$C$2:$I$1000, 4, 0))), 0)</f>
        <v>0</v>
      </c>
      <c r="U2555" s="22">
        <f t="shared" si="156"/>
        <v>0</v>
      </c>
      <c r="V2555">
        <f t="shared" si="157"/>
        <v>0</v>
      </c>
      <c r="W2555" s="22">
        <f t="shared" si="158"/>
        <v>0</v>
      </c>
    </row>
    <row r="2556" spans="1:23" hidden="1" x14ac:dyDescent="0.25">
      <c r="A2556" s="3">
        <v>46017</v>
      </c>
      <c r="B2556" s="4" t="s">
        <v>917</v>
      </c>
      <c r="C2556" s="4"/>
      <c r="D2556" s="4"/>
      <c r="E2556" s="4" t="s">
        <v>1361</v>
      </c>
      <c r="F2556" s="4"/>
      <c r="G2556" s="4" t="s">
        <v>1434</v>
      </c>
      <c r="H2556" s="4" t="s">
        <v>289</v>
      </c>
      <c r="I2556" s="4">
        <v>1</v>
      </c>
      <c r="J2556" s="21">
        <v>0</v>
      </c>
      <c r="K2556" s="21">
        <v>10000</v>
      </c>
      <c r="L2556" s="5">
        <v>0</v>
      </c>
      <c r="M2556" s="4"/>
      <c r="N2556" s="4"/>
      <c r="O2556" s="5"/>
      <c r="P2556" s="5"/>
      <c r="Q2556" s="21">
        <v>0</v>
      </c>
      <c r="R2556" s="21">
        <v>10000</v>
      </c>
      <c r="S2556" s="5">
        <f t="shared" si="159"/>
        <v>12879.137120151994</v>
      </c>
      <c r="T2556" cm="1">
        <f t="array" ref="T2556">IF(OR(B2556="MAL ALIMI", B2556="ÜRETİM GİRİŞ"), MIN(I2556, MAX(0, I2556 + SUM(SUMIFS($I$1:I2555, $C$1:C2555, C2556, $B$1:B2555, {"MAL ALIMI","ÜRETİM GİRİŞ"})) - VLOOKUP(C2556, 'STOK RAPORU'!$C$2:$I$1000, 4, 0))), 0)</f>
        <v>0</v>
      </c>
      <c r="U2556" s="22">
        <f t="shared" si="156"/>
        <v>0</v>
      </c>
      <c r="V2556">
        <f t="shared" si="157"/>
        <v>0</v>
      </c>
      <c r="W2556" s="22">
        <f t="shared" si="158"/>
        <v>0</v>
      </c>
    </row>
    <row r="2557" spans="1:23" hidden="1" x14ac:dyDescent="0.25">
      <c r="A2557" s="3">
        <v>46017</v>
      </c>
      <c r="B2557" s="4" t="s">
        <v>946</v>
      </c>
      <c r="C2557" s="4"/>
      <c r="D2557" s="4"/>
      <c r="E2557" s="4" t="s">
        <v>921</v>
      </c>
      <c r="F2557" s="4"/>
      <c r="G2557" s="4" t="s">
        <v>946</v>
      </c>
      <c r="H2557" s="4" t="s">
        <v>380</v>
      </c>
      <c r="I2557" s="4">
        <v>1</v>
      </c>
      <c r="J2557" s="105">
        <v>232</v>
      </c>
      <c r="K2557" s="21">
        <v>0</v>
      </c>
      <c r="L2557" s="102">
        <v>232</v>
      </c>
      <c r="M2557" s="4">
        <v>330</v>
      </c>
      <c r="N2557" s="4"/>
      <c r="O2557" s="5"/>
      <c r="P2557" s="5"/>
      <c r="Q2557" s="21">
        <v>232</v>
      </c>
      <c r="R2557" s="21">
        <v>0</v>
      </c>
      <c r="S2557" s="5">
        <f t="shared" si="159"/>
        <v>13111.137120151994</v>
      </c>
      <c r="T2557" cm="1">
        <f t="array" ref="T2557">IF(OR(B2557="MAL ALIMI", B2557="ÜRETİM GİRİŞ"), MIN(I2557, MAX(0, I2557 + SUM(SUMIFS($I$1:I2556, $C$1:C2556, C2557, $B$1:B2556, {"MAL ALIMI","ÜRETİM GİRİŞ"})) - VLOOKUP(C2557, 'STOK RAPORU'!$C$2:$I$1000, 4, 0))), 0)</f>
        <v>0</v>
      </c>
      <c r="U2557" s="22">
        <f t="shared" si="156"/>
        <v>0</v>
      </c>
      <c r="V2557">
        <f t="shared" si="157"/>
        <v>0</v>
      </c>
      <c r="W2557" s="22">
        <f t="shared" si="158"/>
        <v>0</v>
      </c>
    </row>
    <row r="2558" spans="1:23" hidden="1" x14ac:dyDescent="0.25">
      <c r="A2558" s="3">
        <v>46017</v>
      </c>
      <c r="B2558" s="4" t="s">
        <v>946</v>
      </c>
      <c r="C2558" s="4"/>
      <c r="D2558" s="4"/>
      <c r="E2558" s="4" t="s">
        <v>921</v>
      </c>
      <c r="F2558" s="4"/>
      <c r="G2558" s="4" t="s">
        <v>946</v>
      </c>
      <c r="H2558" s="4" t="s">
        <v>380</v>
      </c>
      <c r="I2558" s="4">
        <v>1</v>
      </c>
      <c r="J2558" s="105">
        <v>1314</v>
      </c>
      <c r="K2558" s="21">
        <v>0</v>
      </c>
      <c r="L2558" s="102">
        <v>1314</v>
      </c>
      <c r="M2558" s="4">
        <v>330</v>
      </c>
      <c r="N2558" s="4"/>
      <c r="O2558" s="5"/>
      <c r="P2558" s="5"/>
      <c r="Q2558" s="21">
        <v>1314</v>
      </c>
      <c r="R2558" s="21">
        <v>0</v>
      </c>
      <c r="S2558" s="5">
        <f t="shared" si="159"/>
        <v>14425.137120151994</v>
      </c>
      <c r="T2558" cm="1">
        <f t="array" ref="T2558">IF(OR(B2558="MAL ALIMI", B2558="ÜRETİM GİRİŞ"), MIN(I2558, MAX(0, I2558 + SUM(SUMIFS($I$1:I2557, $C$1:C2557, C2558, $B$1:B2557, {"MAL ALIMI","ÜRETİM GİRİŞ"})) - VLOOKUP(C2558, 'STOK RAPORU'!$C$2:$I$1000, 4, 0))), 0)</f>
        <v>0</v>
      </c>
      <c r="U2558" s="22">
        <f t="shared" si="156"/>
        <v>0</v>
      </c>
      <c r="V2558">
        <f t="shared" si="157"/>
        <v>0</v>
      </c>
      <c r="W2558" s="22">
        <f t="shared" si="158"/>
        <v>0</v>
      </c>
    </row>
    <row r="2559" spans="1:23" hidden="1" x14ac:dyDescent="0.25">
      <c r="A2559" s="3">
        <v>46017</v>
      </c>
      <c r="B2559" s="4" t="s">
        <v>298</v>
      </c>
      <c r="C2559" s="4" t="s">
        <v>212</v>
      </c>
      <c r="D2559" s="4"/>
      <c r="E2559" s="4" t="s">
        <v>350</v>
      </c>
      <c r="F2559" s="4"/>
      <c r="G2559" s="4" t="s">
        <v>350</v>
      </c>
      <c r="H2559" s="4" t="s">
        <v>304</v>
      </c>
      <c r="I2559" s="4">
        <v>10</v>
      </c>
      <c r="J2559" s="21">
        <v>275</v>
      </c>
      <c r="K2559" s="21">
        <v>0</v>
      </c>
      <c r="L2559" s="5">
        <v>2750</v>
      </c>
      <c r="M2559" s="4"/>
      <c r="N2559" s="4"/>
      <c r="O2559" s="5"/>
      <c r="P2559" s="5"/>
      <c r="Q2559" s="21">
        <v>0</v>
      </c>
      <c r="R2559" s="21">
        <v>0</v>
      </c>
      <c r="S2559" s="5">
        <f t="shared" si="159"/>
        <v>14425.137120151994</v>
      </c>
      <c r="T2559" cm="1">
        <f t="array" ref="T2559">IF(OR(B2559="MAL ALIMI", B2559="ÜRETİM GİRİŞ"), MIN(I2559, MAX(0, I2559 + SUM(SUMIFS($I$1:I2558, $C$1:C2558, C2559, $B$1:B2558, {"MAL ALIMI","ÜRETİM GİRİŞ"})) - VLOOKUP(C2559, 'STOK RAPORU'!$C$2:$I$1000, 4, 0))), 0)</f>
        <v>5.240000000000002</v>
      </c>
      <c r="U2559" s="22">
        <f t="shared" si="156"/>
        <v>1441.0000000000005</v>
      </c>
      <c r="V2559">
        <f t="shared" si="157"/>
        <v>2750</v>
      </c>
      <c r="W2559" s="22">
        <f t="shared" si="158"/>
        <v>1308.9999999999995</v>
      </c>
    </row>
    <row r="2560" spans="1:23" hidden="1" x14ac:dyDescent="0.25">
      <c r="A2560" s="3">
        <v>46017</v>
      </c>
      <c r="B2560" s="4" t="s">
        <v>298</v>
      </c>
      <c r="C2560" s="4" t="s">
        <v>840</v>
      </c>
      <c r="D2560" s="4"/>
      <c r="E2560" s="4" t="s">
        <v>350</v>
      </c>
      <c r="F2560" s="4"/>
      <c r="G2560" s="4" t="s">
        <v>350</v>
      </c>
      <c r="H2560" s="4" t="s">
        <v>304</v>
      </c>
      <c r="I2560" s="4">
        <v>3</v>
      </c>
      <c r="J2560" s="21">
        <v>180</v>
      </c>
      <c r="K2560" s="21">
        <v>0</v>
      </c>
      <c r="L2560" s="5">
        <v>540</v>
      </c>
      <c r="M2560" s="4"/>
      <c r="N2560" s="4"/>
      <c r="O2560" s="5"/>
      <c r="P2560" s="5"/>
      <c r="Q2560" s="21">
        <v>0</v>
      </c>
      <c r="R2560" s="21">
        <v>0</v>
      </c>
      <c r="S2560" s="5">
        <f t="shared" si="159"/>
        <v>14425.137120151994</v>
      </c>
      <c r="T2560" cm="1">
        <f t="array" ref="T2560">IF(OR(B2560="MAL ALIMI", B2560="ÜRETİM GİRİŞ"), MIN(I2560, MAX(0, I2560 + SUM(SUMIFS($I$1:I2559, $C$1:C2559, C2560, $B$1:B2559, {"MAL ALIMI","ÜRETİM GİRİŞ"})) - VLOOKUP(C2560, 'STOK RAPORU'!$C$2:$I$1000, 4, 0))), 0)</f>
        <v>1.9060000000000001</v>
      </c>
      <c r="U2560" s="22">
        <f t="shared" si="156"/>
        <v>343.08000000000004</v>
      </c>
      <c r="V2560">
        <f t="shared" si="157"/>
        <v>540</v>
      </c>
      <c r="W2560" s="22">
        <f t="shared" si="158"/>
        <v>196.91999999999996</v>
      </c>
    </row>
    <row r="2561" spans="1:23" hidden="1" x14ac:dyDescent="0.25">
      <c r="A2561" s="3">
        <v>46017</v>
      </c>
      <c r="B2561" s="4" t="s">
        <v>298</v>
      </c>
      <c r="C2561" s="4" t="s">
        <v>649</v>
      </c>
      <c r="D2561" s="4"/>
      <c r="E2561" s="4" t="s">
        <v>350</v>
      </c>
      <c r="F2561" s="4"/>
      <c r="G2561" s="4" t="s">
        <v>350</v>
      </c>
      <c r="H2561" s="4" t="s">
        <v>304</v>
      </c>
      <c r="I2561" s="4">
        <v>20</v>
      </c>
      <c r="J2561" s="21">
        <v>205</v>
      </c>
      <c r="K2561" s="21">
        <v>0</v>
      </c>
      <c r="L2561" s="5">
        <v>4100</v>
      </c>
      <c r="M2561" s="4"/>
      <c r="N2561" s="4"/>
      <c r="O2561" s="5"/>
      <c r="P2561" s="5"/>
      <c r="Q2561" s="21">
        <v>0</v>
      </c>
      <c r="R2561" s="21">
        <v>0</v>
      </c>
      <c r="S2561" s="5">
        <f t="shared" si="159"/>
        <v>14425.137120151994</v>
      </c>
      <c r="T2561" cm="1">
        <f t="array" ref="T2561">IF(OR(B2561="MAL ALIMI", B2561="ÜRETİM GİRİŞ"), MIN(I2561, MAX(0, I2561 + SUM(SUMIFS($I$1:I2560, $C$1:C2560, C2561, $B$1:B2560, {"MAL ALIMI","ÜRETİM GİRİŞ"})) - VLOOKUP(C2561, 'STOK RAPORU'!$C$2:$I$1000, 4, 0))), 0)</f>
        <v>13</v>
      </c>
      <c r="U2561" s="22">
        <f t="shared" si="156"/>
        <v>2665</v>
      </c>
      <c r="V2561">
        <f t="shared" si="157"/>
        <v>4100</v>
      </c>
      <c r="W2561" s="22">
        <f t="shared" si="158"/>
        <v>1435</v>
      </c>
    </row>
    <row r="2562" spans="1:23" hidden="1" x14ac:dyDescent="0.25">
      <c r="A2562" s="3">
        <v>46017</v>
      </c>
      <c r="B2562" s="4" t="s">
        <v>298</v>
      </c>
      <c r="C2562" s="4" t="s">
        <v>261</v>
      </c>
      <c r="D2562" s="4"/>
      <c r="E2562" s="4" t="s">
        <v>350</v>
      </c>
      <c r="F2562" s="4"/>
      <c r="G2562" s="4" t="s">
        <v>350</v>
      </c>
      <c r="H2562" s="4" t="s">
        <v>304</v>
      </c>
      <c r="I2562" s="4">
        <v>6</v>
      </c>
      <c r="J2562" s="21">
        <v>105</v>
      </c>
      <c r="K2562" s="21">
        <v>0</v>
      </c>
      <c r="L2562" s="5">
        <v>630</v>
      </c>
      <c r="M2562" s="4"/>
      <c r="N2562" s="4"/>
      <c r="O2562" s="5"/>
      <c r="P2562" s="5"/>
      <c r="Q2562" s="21">
        <v>0</v>
      </c>
      <c r="R2562" s="21">
        <v>0</v>
      </c>
      <c r="S2562" s="5">
        <f t="shared" si="159"/>
        <v>14425.137120151994</v>
      </c>
      <c r="T2562" cm="1">
        <f t="array" ref="T2562">IF(OR(B2562="MAL ALIMI", B2562="ÜRETİM GİRİŞ"), MIN(I2562, MAX(0, I2562 + SUM(SUMIFS($I$1:I2561, $C$1:C2561, C2562, $B$1:B2561, {"MAL ALIMI","ÜRETİM GİRİŞ"})) - VLOOKUP(C2562, 'STOK RAPORU'!$C$2:$I$1000, 4, 0))), 0)</f>
        <v>6</v>
      </c>
      <c r="U2562" s="22">
        <f t="shared" si="156"/>
        <v>630</v>
      </c>
      <c r="V2562">
        <f t="shared" si="157"/>
        <v>630</v>
      </c>
      <c r="W2562" s="22">
        <f t="shared" si="158"/>
        <v>0</v>
      </c>
    </row>
    <row r="2563" spans="1:23" hidden="1" x14ac:dyDescent="0.25">
      <c r="A2563" s="3">
        <v>46017</v>
      </c>
      <c r="B2563" s="4" t="s">
        <v>298</v>
      </c>
      <c r="C2563" s="4" t="s">
        <v>223</v>
      </c>
      <c r="D2563" s="4"/>
      <c r="E2563" s="4" t="s">
        <v>350</v>
      </c>
      <c r="F2563" s="4"/>
      <c r="G2563" s="4" t="s">
        <v>350</v>
      </c>
      <c r="H2563" s="4" t="s">
        <v>304</v>
      </c>
      <c r="I2563" s="4">
        <v>5</v>
      </c>
      <c r="J2563" s="21">
        <v>550</v>
      </c>
      <c r="K2563" s="21">
        <v>0</v>
      </c>
      <c r="L2563" s="5">
        <v>2750</v>
      </c>
      <c r="M2563" s="4"/>
      <c r="N2563" s="4"/>
      <c r="O2563" s="5"/>
      <c r="P2563" s="5"/>
      <c r="Q2563" s="21">
        <v>0</v>
      </c>
      <c r="R2563" s="21">
        <v>0</v>
      </c>
      <c r="S2563" s="5">
        <f t="shared" si="159"/>
        <v>14425.137120151994</v>
      </c>
      <c r="T2563" cm="1">
        <f t="array" ref="T2563">IF(OR(B2563="MAL ALIMI", B2563="ÜRETİM GİRİŞ"), MIN(I2563, MAX(0, I2563 + SUM(SUMIFS($I$1:I2562, $C$1:C2562, C2563, $B$1:B2562, {"MAL ALIMI","ÜRETİM GİRİŞ"})) - VLOOKUP(C2563, 'STOK RAPORU'!$C$2:$I$1000, 4, 0))), 0)</f>
        <v>0</v>
      </c>
      <c r="U2563" s="22">
        <f t="shared" ref="U2563:U2626" si="160">T2563*J2563</f>
        <v>0</v>
      </c>
      <c r="V2563">
        <f t="shared" ref="V2563:V2626" si="161">IF(OR(B2563="MAL ALIMI", B2563="ÜRETİM GİRİŞ"), I2563 * J2563, 0)</f>
        <v>2750</v>
      </c>
      <c r="W2563" s="22">
        <f t="shared" ref="W2563:W2626" si="162">V2563-U2563</f>
        <v>2750</v>
      </c>
    </row>
    <row r="2564" spans="1:23" hidden="1" x14ac:dyDescent="0.25">
      <c r="A2564" s="3">
        <v>46017</v>
      </c>
      <c r="B2564" s="4" t="s">
        <v>298</v>
      </c>
      <c r="C2564" s="4" t="s">
        <v>1443</v>
      </c>
      <c r="D2564" s="4"/>
      <c r="E2564" s="4" t="s">
        <v>350</v>
      </c>
      <c r="F2564" s="4"/>
      <c r="G2564" s="4" t="s">
        <v>350</v>
      </c>
      <c r="H2564" s="4" t="s">
        <v>304</v>
      </c>
      <c r="I2564" s="4">
        <v>30</v>
      </c>
      <c r="J2564" s="4">
        <v>4.6666699999999999</v>
      </c>
      <c r="K2564" s="21">
        <v>0</v>
      </c>
      <c r="L2564" s="5">
        <v>140.0001</v>
      </c>
      <c r="M2564" s="4"/>
      <c r="N2564" s="4"/>
      <c r="O2564" s="5"/>
      <c r="P2564" s="5"/>
      <c r="Q2564" s="21">
        <v>0</v>
      </c>
      <c r="R2564" s="21">
        <v>0</v>
      </c>
      <c r="S2564" s="5">
        <f t="shared" ref="S2564:S2627" si="163">S2563+Q2564-R2564</f>
        <v>14425.137120151994</v>
      </c>
      <c r="T2564" cm="1">
        <f t="array" ref="T2564">IF(OR(B2564="MAL ALIMI", B2564="ÜRETİM GİRİŞ"), MIN(I2564, MAX(0, I2564 + SUM(SUMIFS($I$1:I2563, $C$1:C2563, C2564, $B$1:B2563, {"MAL ALIMI","ÜRETİM GİRİŞ"})) - VLOOKUP(C2564, 'STOK RAPORU'!$C$2:$I$1000, 4, 0))), 0)</f>
        <v>0</v>
      </c>
      <c r="U2564" s="22">
        <f t="shared" si="160"/>
        <v>0</v>
      </c>
      <c r="V2564">
        <f t="shared" si="161"/>
        <v>140.0001</v>
      </c>
      <c r="W2564" s="22">
        <f t="shared" si="162"/>
        <v>140.0001</v>
      </c>
    </row>
    <row r="2565" spans="1:23" hidden="1" x14ac:dyDescent="0.25">
      <c r="A2565" s="3">
        <v>46017</v>
      </c>
      <c r="B2565" s="4" t="s">
        <v>298</v>
      </c>
      <c r="C2565" s="4" t="s">
        <v>225</v>
      </c>
      <c r="D2565" s="4"/>
      <c r="E2565" s="4" t="s">
        <v>350</v>
      </c>
      <c r="F2565" s="4"/>
      <c r="G2565" s="4" t="s">
        <v>350</v>
      </c>
      <c r="H2565" s="4" t="s">
        <v>304</v>
      </c>
      <c r="I2565" s="4">
        <v>5</v>
      </c>
      <c r="J2565" s="21">
        <v>500</v>
      </c>
      <c r="K2565" s="21">
        <v>0</v>
      </c>
      <c r="L2565" s="5">
        <v>2500</v>
      </c>
      <c r="M2565" s="4"/>
      <c r="N2565" s="4"/>
      <c r="O2565" s="5"/>
      <c r="P2565" s="5"/>
      <c r="Q2565" s="21">
        <v>0</v>
      </c>
      <c r="R2565" s="21">
        <v>0</v>
      </c>
      <c r="S2565" s="5">
        <f t="shared" si="163"/>
        <v>14425.137120151994</v>
      </c>
      <c r="T2565" cm="1">
        <f t="array" ref="T2565">IF(OR(B2565="MAL ALIMI", B2565="ÜRETİM GİRİŞ"), MIN(I2565, MAX(0, I2565 + SUM(SUMIFS($I$1:I2564, $C$1:C2564, C2565, $B$1:B2564, {"MAL ALIMI","ÜRETİM GİRİŞ"})) - VLOOKUP(C2565, 'STOK RAPORU'!$C$2:$I$1000, 4, 0))), 0)</f>
        <v>0</v>
      </c>
      <c r="U2565" s="22">
        <f t="shared" si="160"/>
        <v>0</v>
      </c>
      <c r="V2565">
        <f t="shared" si="161"/>
        <v>2500</v>
      </c>
      <c r="W2565" s="22">
        <f t="shared" si="162"/>
        <v>2500</v>
      </c>
    </row>
    <row r="2566" spans="1:23" hidden="1" x14ac:dyDescent="0.25">
      <c r="A2566" s="3">
        <v>46017</v>
      </c>
      <c r="B2566" s="4" t="s">
        <v>298</v>
      </c>
      <c r="C2566" s="4" t="s">
        <v>651</v>
      </c>
      <c r="D2566" s="4"/>
      <c r="E2566" s="4" t="s">
        <v>350</v>
      </c>
      <c r="F2566" s="4"/>
      <c r="G2566" s="4" t="s">
        <v>350</v>
      </c>
      <c r="H2566" s="4" t="s">
        <v>304</v>
      </c>
      <c r="I2566" s="4">
        <v>20</v>
      </c>
      <c r="J2566" s="21">
        <v>265</v>
      </c>
      <c r="K2566" s="21">
        <v>0</v>
      </c>
      <c r="L2566" s="5">
        <v>5300</v>
      </c>
      <c r="M2566" s="4"/>
      <c r="N2566" s="4"/>
      <c r="O2566" s="5"/>
      <c r="P2566" s="5"/>
      <c r="Q2566" s="21">
        <v>0</v>
      </c>
      <c r="R2566" s="21">
        <v>0</v>
      </c>
      <c r="S2566" s="5">
        <f t="shared" si="163"/>
        <v>14425.137120151994</v>
      </c>
      <c r="T2566" cm="1">
        <f t="array" ref="T2566">IF(OR(B2566="MAL ALIMI", B2566="ÜRETİM GİRİŞ"), MIN(I2566, MAX(0, I2566 + SUM(SUMIFS($I$1:I2565, $C$1:C2565, C2566, $B$1:B2565, {"MAL ALIMI","ÜRETİM GİRİŞ"})) - VLOOKUP(C2566, 'STOK RAPORU'!$C$2:$I$1000, 4, 0))), 0)</f>
        <v>0</v>
      </c>
      <c r="U2566" s="22">
        <f t="shared" si="160"/>
        <v>0</v>
      </c>
      <c r="V2566">
        <f t="shared" si="161"/>
        <v>5300</v>
      </c>
      <c r="W2566" s="22">
        <f t="shared" si="162"/>
        <v>5300</v>
      </c>
    </row>
    <row r="2567" spans="1:23" hidden="1" x14ac:dyDescent="0.25">
      <c r="A2567" s="3">
        <v>46017</v>
      </c>
      <c r="B2567" s="4" t="s">
        <v>298</v>
      </c>
      <c r="C2567" s="4" t="s">
        <v>1444</v>
      </c>
      <c r="D2567" s="4"/>
      <c r="E2567" s="4" t="s">
        <v>350</v>
      </c>
      <c r="F2567" s="4"/>
      <c r="G2567" s="4" t="s">
        <v>350</v>
      </c>
      <c r="H2567" s="4" t="s">
        <v>304</v>
      </c>
      <c r="I2567" s="4">
        <v>5</v>
      </c>
      <c r="J2567" s="21">
        <v>160</v>
      </c>
      <c r="K2567" s="21">
        <v>0</v>
      </c>
      <c r="L2567" s="5">
        <v>800</v>
      </c>
      <c r="M2567" s="4"/>
      <c r="N2567" s="4"/>
      <c r="O2567" s="5"/>
      <c r="P2567" s="5"/>
      <c r="Q2567" s="21">
        <v>0</v>
      </c>
      <c r="R2567" s="21">
        <v>0</v>
      </c>
      <c r="S2567" s="5">
        <f t="shared" si="163"/>
        <v>14425.137120151994</v>
      </c>
      <c r="T2567" cm="1">
        <f t="array" ref="T2567">IF(OR(B2567="MAL ALIMI", B2567="ÜRETİM GİRİŞ"), MIN(I2567, MAX(0, I2567 + SUM(SUMIFS($I$1:I2566, $C$1:C2566, C2567, $B$1:B2566, {"MAL ALIMI","ÜRETİM GİRİŞ"})) - VLOOKUP(C2567, 'STOK RAPORU'!$C$2:$I$1000, 4, 0))), 0)</f>
        <v>5</v>
      </c>
      <c r="U2567" s="22">
        <f t="shared" si="160"/>
        <v>800</v>
      </c>
      <c r="V2567">
        <f t="shared" si="161"/>
        <v>800</v>
      </c>
      <c r="W2567" s="22">
        <f t="shared" si="162"/>
        <v>0</v>
      </c>
    </row>
    <row r="2568" spans="1:23" hidden="1" x14ac:dyDescent="0.25">
      <c r="A2568" s="3">
        <v>46017</v>
      </c>
      <c r="B2568" s="4" t="s">
        <v>917</v>
      </c>
      <c r="C2568" s="4"/>
      <c r="D2568" s="4"/>
      <c r="E2568" s="4" t="s">
        <v>855</v>
      </c>
      <c r="F2568" s="4"/>
      <c r="G2568" s="4" t="s">
        <v>1280</v>
      </c>
      <c r="H2568" s="4" t="s">
        <v>289</v>
      </c>
      <c r="I2568" s="4">
        <v>1</v>
      </c>
      <c r="J2568" s="21">
        <v>0</v>
      </c>
      <c r="K2568" s="21">
        <v>10000</v>
      </c>
      <c r="L2568" s="5">
        <v>0</v>
      </c>
      <c r="M2568" s="4">
        <v>0</v>
      </c>
      <c r="N2568" s="4">
        <v>10000</v>
      </c>
      <c r="O2568" s="5"/>
      <c r="P2568" s="5"/>
      <c r="Q2568" s="21">
        <v>0</v>
      </c>
      <c r="R2568" s="21">
        <v>10000</v>
      </c>
      <c r="S2568" s="5">
        <f t="shared" si="163"/>
        <v>4425.1371201519942</v>
      </c>
      <c r="T2568" cm="1">
        <f t="array" ref="T2568">IF(OR(B2568="MAL ALIMI", B2568="ÜRETİM GİRİŞ"), MIN(I2568, MAX(0, I2568 + SUM(SUMIFS($I$1:I2567, $C$1:C2567, C2568, $B$1:B2567, {"MAL ALIMI","ÜRETİM GİRİŞ"})) - VLOOKUP(C2568, 'STOK RAPORU'!$C$2:$I$1000, 4, 0))), 0)</f>
        <v>0</v>
      </c>
      <c r="U2568" s="22">
        <f t="shared" si="160"/>
        <v>0</v>
      </c>
      <c r="V2568">
        <f t="shared" si="161"/>
        <v>0</v>
      </c>
      <c r="W2568" s="22">
        <f t="shared" si="162"/>
        <v>0</v>
      </c>
    </row>
    <row r="2569" spans="1:23" hidden="1" x14ac:dyDescent="0.25">
      <c r="A2569" s="45">
        <v>46017</v>
      </c>
      <c r="B2569" s="46" t="s">
        <v>285</v>
      </c>
      <c r="C2569" s="4"/>
      <c r="D2569" s="4" t="s">
        <v>1815</v>
      </c>
      <c r="E2569" s="4"/>
      <c r="F2569" s="4"/>
      <c r="G2569" s="4" t="s">
        <v>1816</v>
      </c>
      <c r="H2569" s="4" t="s">
        <v>289</v>
      </c>
      <c r="I2569" s="4">
        <v>1</v>
      </c>
      <c r="J2569" s="21">
        <v>441</v>
      </c>
      <c r="K2569" s="21">
        <v>0</v>
      </c>
      <c r="L2569" s="5">
        <v>0</v>
      </c>
      <c r="M2569" s="4"/>
      <c r="N2569" s="4"/>
      <c r="O2569" s="5"/>
      <c r="P2569" s="5"/>
      <c r="Q2569" s="21">
        <v>0</v>
      </c>
      <c r="R2569" s="21">
        <v>441</v>
      </c>
      <c r="S2569" s="5">
        <f t="shared" si="163"/>
        <v>3984.1371201519942</v>
      </c>
      <c r="T2569" cm="1">
        <f t="array" ref="T2569">IF(OR(B2569="MAL ALIMI", B2569="ÜRETİM GİRİŞ"), MIN(I2569, MAX(0, I2569 + SUM(SUMIFS($I$1:I2568, $C$1:C2568, C2569, $B$1:B2568, {"MAL ALIMI","ÜRETİM GİRİŞ"})) - VLOOKUP(C2569, 'STOK RAPORU'!$C$2:$I$1000, 4, 0))), 0)</f>
        <v>0</v>
      </c>
      <c r="U2569" s="22">
        <f t="shared" si="160"/>
        <v>0</v>
      </c>
      <c r="V2569">
        <f t="shared" si="161"/>
        <v>0</v>
      </c>
      <c r="W2569" s="22">
        <f t="shared" si="162"/>
        <v>0</v>
      </c>
    </row>
    <row r="2570" spans="1:23" hidden="1" x14ac:dyDescent="0.25">
      <c r="A2570" s="3">
        <v>46017</v>
      </c>
      <c r="B2570" s="4" t="s">
        <v>285</v>
      </c>
      <c r="C2570" s="4"/>
      <c r="D2570" s="4" t="s">
        <v>1815</v>
      </c>
      <c r="E2570" s="4"/>
      <c r="F2570" s="4"/>
      <c r="G2570" s="4" t="s">
        <v>1986</v>
      </c>
      <c r="H2570" s="4" t="s">
        <v>289</v>
      </c>
      <c r="I2570" s="4">
        <v>1</v>
      </c>
      <c r="J2570" s="21">
        <v>441</v>
      </c>
      <c r="K2570" s="21">
        <v>0</v>
      </c>
      <c r="L2570" s="5">
        <v>0</v>
      </c>
      <c r="M2570" s="4"/>
      <c r="N2570" s="4"/>
      <c r="O2570" s="5"/>
      <c r="P2570" s="5"/>
      <c r="Q2570" s="21">
        <v>0</v>
      </c>
      <c r="R2570" s="21">
        <v>441</v>
      </c>
      <c r="S2570" s="5">
        <f t="shared" si="163"/>
        <v>3543.1371201519942</v>
      </c>
      <c r="T2570" cm="1">
        <f t="array" ref="T2570">IF(OR(B2570="MAL ALIMI", B2570="ÜRETİM GİRİŞ"), MIN(I2570, MAX(0, I2570 + SUM(SUMIFS($I$1:I2569, $C$1:C2569, C2570, $B$1:B2569, {"MAL ALIMI","ÜRETİM GİRİŞ"})) - VLOOKUP(C2570, 'STOK RAPORU'!$C$2:$I$1000, 4, 0))), 0)</f>
        <v>0</v>
      </c>
      <c r="U2570" s="22">
        <f t="shared" si="160"/>
        <v>0</v>
      </c>
      <c r="V2570">
        <f t="shared" si="161"/>
        <v>0</v>
      </c>
      <c r="W2570" s="22">
        <f t="shared" si="162"/>
        <v>0</v>
      </c>
    </row>
    <row r="2571" spans="1:23" hidden="1" x14ac:dyDescent="0.25">
      <c r="A2571" s="3">
        <v>46018</v>
      </c>
      <c r="B2571" s="4" t="s">
        <v>334</v>
      </c>
      <c r="C2571" s="4" t="s">
        <v>160</v>
      </c>
      <c r="D2571" s="4"/>
      <c r="E2571" s="4"/>
      <c r="F2571" s="4" t="s">
        <v>1474</v>
      </c>
      <c r="G2571" s="4" t="s">
        <v>336</v>
      </c>
      <c r="H2571" s="4" t="s">
        <v>289</v>
      </c>
      <c r="I2571" s="4">
        <v>1</v>
      </c>
      <c r="J2571" s="21">
        <v>200</v>
      </c>
      <c r="K2571" s="21">
        <v>0</v>
      </c>
      <c r="L2571" s="5">
        <v>0</v>
      </c>
      <c r="M2571" s="4"/>
      <c r="N2571" s="4"/>
      <c r="O2571" s="5"/>
      <c r="P2571" s="5"/>
      <c r="Q2571" s="21">
        <v>200</v>
      </c>
      <c r="R2571" s="21">
        <v>0</v>
      </c>
      <c r="S2571" s="5">
        <f t="shared" si="163"/>
        <v>3743.1371201519942</v>
      </c>
      <c r="T2571" cm="1">
        <f t="array" ref="T2571">IF(OR(B2571="MAL ALIMI", B2571="ÜRETİM GİRİŞ"), MIN(I2571, MAX(0, I2571 + SUM(SUMIFS($I$1:I2570, $C$1:C2570, C2571, $B$1:B2570, {"MAL ALIMI","ÜRETİM GİRİŞ"})) - VLOOKUP(C2571, 'STOK RAPORU'!$C$2:$I$1000, 4, 0))), 0)</f>
        <v>0</v>
      </c>
      <c r="U2571" s="22">
        <f t="shared" si="160"/>
        <v>0</v>
      </c>
      <c r="V2571">
        <f t="shared" si="161"/>
        <v>0</v>
      </c>
      <c r="W2571" s="22">
        <f t="shared" si="162"/>
        <v>0</v>
      </c>
    </row>
    <row r="2572" spans="1:23" hidden="1" x14ac:dyDescent="0.25">
      <c r="A2572" s="3">
        <v>46018</v>
      </c>
      <c r="B2572" s="4" t="s">
        <v>334</v>
      </c>
      <c r="C2572" s="4" t="s">
        <v>140</v>
      </c>
      <c r="D2572" s="4"/>
      <c r="E2572" s="4"/>
      <c r="F2572" s="4" t="s">
        <v>1475</v>
      </c>
      <c r="G2572" s="4" t="s">
        <v>336</v>
      </c>
      <c r="H2572" s="4" t="s">
        <v>289</v>
      </c>
      <c r="I2572" s="4">
        <v>0.24333333333333335</v>
      </c>
      <c r="J2572" s="21">
        <v>300</v>
      </c>
      <c r="K2572" s="21">
        <v>0</v>
      </c>
      <c r="L2572" s="5">
        <v>0</v>
      </c>
      <c r="M2572" s="4"/>
      <c r="N2572" s="4"/>
      <c r="O2572" s="5"/>
      <c r="P2572" s="5"/>
      <c r="Q2572" s="21">
        <v>73</v>
      </c>
      <c r="R2572" s="21">
        <v>0</v>
      </c>
      <c r="S2572" s="5">
        <f t="shared" si="163"/>
        <v>3816.1371201519942</v>
      </c>
      <c r="T2572" cm="1">
        <f t="array" ref="T2572">IF(OR(B2572="MAL ALIMI", B2572="ÜRETİM GİRİŞ"), MIN(I2572, MAX(0, I2572 + SUM(SUMIFS($I$1:I2571, $C$1:C2571, C2572, $B$1:B2571, {"MAL ALIMI","ÜRETİM GİRİŞ"})) - VLOOKUP(C2572, 'STOK RAPORU'!$C$2:$I$1000, 4, 0))), 0)</f>
        <v>0</v>
      </c>
      <c r="U2572" s="22">
        <f t="shared" si="160"/>
        <v>0</v>
      </c>
      <c r="V2572">
        <f t="shared" si="161"/>
        <v>0</v>
      </c>
      <c r="W2572" s="22">
        <f t="shared" si="162"/>
        <v>0</v>
      </c>
    </row>
    <row r="2573" spans="1:23" hidden="1" x14ac:dyDescent="0.25">
      <c r="A2573" s="3">
        <v>46018</v>
      </c>
      <c r="B2573" s="4" t="s">
        <v>334</v>
      </c>
      <c r="C2573" s="4" t="s">
        <v>226</v>
      </c>
      <c r="D2573" s="4"/>
      <c r="E2573" s="4" t="s">
        <v>921</v>
      </c>
      <c r="F2573" s="4" t="s">
        <v>1476</v>
      </c>
      <c r="G2573" s="4" t="s">
        <v>336</v>
      </c>
      <c r="H2573" s="4" t="s">
        <v>380</v>
      </c>
      <c r="I2573" s="4">
        <v>0.22727272727272727</v>
      </c>
      <c r="J2573" s="21">
        <v>220</v>
      </c>
      <c r="K2573" s="21">
        <v>50</v>
      </c>
      <c r="L2573" s="5">
        <v>0</v>
      </c>
      <c r="M2573" s="4"/>
      <c r="N2573" s="4"/>
      <c r="O2573" s="5"/>
      <c r="P2573" s="5"/>
      <c r="Q2573" s="21">
        <v>0</v>
      </c>
      <c r="R2573" s="21">
        <v>0</v>
      </c>
      <c r="S2573" s="5">
        <f t="shared" si="163"/>
        <v>3816.1371201519942</v>
      </c>
      <c r="T2573" cm="1">
        <f t="array" ref="T2573">IF(OR(B2573="MAL ALIMI", B2573="ÜRETİM GİRİŞ"), MIN(I2573, MAX(0, I2573 + SUM(SUMIFS($I$1:I2572, $C$1:C2572, C2573, $B$1:B2572, {"MAL ALIMI","ÜRETİM GİRİŞ"})) - VLOOKUP(C2573, 'STOK RAPORU'!$C$2:$I$1000, 4, 0))), 0)</f>
        <v>0</v>
      </c>
      <c r="U2573" s="22">
        <f t="shared" si="160"/>
        <v>0</v>
      </c>
      <c r="V2573">
        <f t="shared" si="161"/>
        <v>0</v>
      </c>
      <c r="W2573" s="22">
        <f t="shared" si="162"/>
        <v>0</v>
      </c>
    </row>
    <row r="2574" spans="1:23" hidden="1" x14ac:dyDescent="0.25">
      <c r="A2574" s="3">
        <v>46018</v>
      </c>
      <c r="B2574" s="4" t="s">
        <v>334</v>
      </c>
      <c r="C2574" s="4" t="s">
        <v>1041</v>
      </c>
      <c r="D2574" s="4"/>
      <c r="E2574" s="4" t="s">
        <v>921</v>
      </c>
      <c r="F2574" s="4" t="s">
        <v>1476</v>
      </c>
      <c r="G2574" s="4" t="s">
        <v>336</v>
      </c>
      <c r="H2574" s="4" t="s">
        <v>380</v>
      </c>
      <c r="I2574" s="4">
        <v>1</v>
      </c>
      <c r="J2574" s="21">
        <v>250</v>
      </c>
      <c r="K2574" s="21">
        <v>250</v>
      </c>
      <c r="L2574" s="5">
        <v>0</v>
      </c>
      <c r="M2574" s="4"/>
      <c r="N2574" s="4"/>
      <c r="O2574" s="5"/>
      <c r="P2574" s="5"/>
      <c r="Q2574" s="21">
        <v>0</v>
      </c>
      <c r="R2574" s="21">
        <v>0</v>
      </c>
      <c r="S2574" s="5">
        <f t="shared" si="163"/>
        <v>3816.1371201519942</v>
      </c>
      <c r="T2574" cm="1">
        <f t="array" ref="T2574">IF(OR(B2574="MAL ALIMI", B2574="ÜRETİM GİRİŞ"), MIN(I2574, MAX(0, I2574 + SUM(SUMIFS($I$1:I2573, $C$1:C2573, C2574, $B$1:B2573, {"MAL ALIMI","ÜRETİM GİRİŞ"})) - VLOOKUP(C2574, 'STOK RAPORU'!$C$2:$I$1000, 4, 0))), 0)</f>
        <v>0</v>
      </c>
      <c r="U2574" s="22">
        <f t="shared" si="160"/>
        <v>0</v>
      </c>
      <c r="V2574">
        <f t="shared" si="161"/>
        <v>0</v>
      </c>
      <c r="W2574" s="22">
        <f t="shared" si="162"/>
        <v>0</v>
      </c>
    </row>
    <row r="2575" spans="1:23" hidden="1" x14ac:dyDescent="0.25">
      <c r="A2575" s="3">
        <v>46018</v>
      </c>
      <c r="B2575" s="4" t="s">
        <v>334</v>
      </c>
      <c r="C2575" s="4" t="s">
        <v>1024</v>
      </c>
      <c r="D2575" s="4"/>
      <c r="E2575" s="4" t="s">
        <v>921</v>
      </c>
      <c r="F2575" s="4" t="s">
        <v>1476</v>
      </c>
      <c r="G2575" s="4" t="s">
        <v>336</v>
      </c>
      <c r="H2575" s="4" t="s">
        <v>380</v>
      </c>
      <c r="I2575" s="4">
        <v>1.016</v>
      </c>
      <c r="J2575" s="21">
        <v>65</v>
      </c>
      <c r="K2575" s="21">
        <v>66.040000000000006</v>
      </c>
      <c r="L2575" s="5">
        <v>0</v>
      </c>
      <c r="M2575" s="4"/>
      <c r="N2575" s="4"/>
      <c r="O2575" s="5"/>
      <c r="P2575" s="5"/>
      <c r="Q2575" s="21">
        <v>0</v>
      </c>
      <c r="R2575" s="21">
        <v>0</v>
      </c>
      <c r="S2575" s="5">
        <f t="shared" si="163"/>
        <v>3816.1371201519942</v>
      </c>
      <c r="T2575" cm="1">
        <f t="array" ref="T2575">IF(OR(B2575="MAL ALIMI", B2575="ÜRETİM GİRİŞ"), MIN(I2575, MAX(0, I2575 + SUM(SUMIFS($I$1:I2574, $C$1:C2574, C2575, $B$1:B2574, {"MAL ALIMI","ÜRETİM GİRİŞ"})) - VLOOKUP(C2575, 'STOK RAPORU'!$C$2:$I$1000, 4, 0))), 0)</f>
        <v>0</v>
      </c>
      <c r="U2575" s="22">
        <f t="shared" si="160"/>
        <v>0</v>
      </c>
      <c r="V2575">
        <f t="shared" si="161"/>
        <v>0</v>
      </c>
      <c r="W2575" s="22">
        <f t="shared" si="162"/>
        <v>0</v>
      </c>
    </row>
    <row r="2576" spans="1:23" hidden="1" x14ac:dyDescent="0.25">
      <c r="A2576" s="3">
        <v>46018</v>
      </c>
      <c r="B2576" s="4" t="s">
        <v>334</v>
      </c>
      <c r="C2576" s="4" t="s">
        <v>60</v>
      </c>
      <c r="D2576" s="4"/>
      <c r="E2576" s="4" t="s">
        <v>921</v>
      </c>
      <c r="F2576" s="4" t="s">
        <v>1476</v>
      </c>
      <c r="G2576" s="4" t="s">
        <v>336</v>
      </c>
      <c r="H2576" s="4" t="s">
        <v>380</v>
      </c>
      <c r="I2576" s="4">
        <v>0.05</v>
      </c>
      <c r="J2576" s="21">
        <v>1200</v>
      </c>
      <c r="K2576" s="21">
        <v>60</v>
      </c>
      <c r="L2576" s="5">
        <v>0</v>
      </c>
      <c r="M2576" s="4"/>
      <c r="N2576" s="4"/>
      <c r="O2576" s="5"/>
      <c r="P2576" s="5"/>
      <c r="Q2576" s="21">
        <v>0</v>
      </c>
      <c r="R2576" s="21">
        <v>0</v>
      </c>
      <c r="S2576" s="5">
        <f t="shared" si="163"/>
        <v>3816.1371201519942</v>
      </c>
      <c r="T2576" cm="1">
        <f t="array" ref="T2576">IF(OR(B2576="MAL ALIMI", B2576="ÜRETİM GİRİŞ"), MIN(I2576, MAX(0, I2576 + SUM(SUMIFS($I$1:I2575, $C$1:C2575, C2576, $B$1:B2575, {"MAL ALIMI","ÜRETİM GİRİŞ"})) - VLOOKUP(C2576, 'STOK RAPORU'!$C$2:$I$1000, 4, 0))), 0)</f>
        <v>0</v>
      </c>
      <c r="U2576" s="22">
        <f t="shared" si="160"/>
        <v>0</v>
      </c>
      <c r="V2576">
        <f t="shared" si="161"/>
        <v>0</v>
      </c>
      <c r="W2576" s="22">
        <f t="shared" si="162"/>
        <v>0</v>
      </c>
    </row>
    <row r="2577" spans="1:23" hidden="1" x14ac:dyDescent="0.25">
      <c r="A2577" s="3">
        <v>46018</v>
      </c>
      <c r="B2577" s="4" t="s">
        <v>334</v>
      </c>
      <c r="C2577" s="4" t="s">
        <v>223</v>
      </c>
      <c r="D2577" s="4"/>
      <c r="E2577" s="4" t="s">
        <v>921</v>
      </c>
      <c r="F2577" s="4" t="s">
        <v>1477</v>
      </c>
      <c r="G2577" s="4" t="s">
        <v>336</v>
      </c>
      <c r="H2577" s="4" t="s">
        <v>380</v>
      </c>
      <c r="I2577" s="4">
        <v>0.5625</v>
      </c>
      <c r="J2577" s="21">
        <v>800</v>
      </c>
      <c r="K2577" s="21">
        <v>450</v>
      </c>
      <c r="L2577" s="5">
        <v>0</v>
      </c>
      <c r="M2577" s="4"/>
      <c r="N2577" s="4"/>
      <c r="O2577" s="5"/>
      <c r="P2577" s="5"/>
      <c r="Q2577" s="21">
        <v>0</v>
      </c>
      <c r="R2577" s="21">
        <v>0</v>
      </c>
      <c r="S2577" s="5">
        <f t="shared" si="163"/>
        <v>3816.1371201519942</v>
      </c>
      <c r="T2577" cm="1">
        <f t="array" ref="T2577">IF(OR(B2577="MAL ALIMI", B2577="ÜRETİM GİRİŞ"), MIN(I2577, MAX(0, I2577 + SUM(SUMIFS($I$1:I2576, $C$1:C2576, C2577, $B$1:B2576, {"MAL ALIMI","ÜRETİM GİRİŞ"})) - VLOOKUP(C2577, 'STOK RAPORU'!$C$2:$I$1000, 4, 0))), 0)</f>
        <v>0</v>
      </c>
      <c r="U2577" s="22">
        <f t="shared" si="160"/>
        <v>0</v>
      </c>
      <c r="V2577">
        <f t="shared" si="161"/>
        <v>0</v>
      </c>
      <c r="W2577" s="22">
        <f t="shared" si="162"/>
        <v>0</v>
      </c>
    </row>
    <row r="2578" spans="1:23" hidden="1" x14ac:dyDescent="0.25">
      <c r="A2578" s="3">
        <v>46018</v>
      </c>
      <c r="B2578" s="4" t="s">
        <v>334</v>
      </c>
      <c r="C2578" s="4" t="s">
        <v>728</v>
      </c>
      <c r="D2578" s="4"/>
      <c r="E2578" s="4" t="s">
        <v>921</v>
      </c>
      <c r="F2578" s="4" t="s">
        <v>1477</v>
      </c>
      <c r="G2578" s="4" t="s">
        <v>336</v>
      </c>
      <c r="H2578" s="4" t="s">
        <v>380</v>
      </c>
      <c r="I2578" s="4">
        <v>0.28985507246376813</v>
      </c>
      <c r="J2578" s="21">
        <v>690</v>
      </c>
      <c r="K2578" s="21">
        <v>200</v>
      </c>
      <c r="L2578" s="5">
        <v>0</v>
      </c>
      <c r="M2578" s="4"/>
      <c r="N2578" s="4"/>
      <c r="O2578" s="5"/>
      <c r="P2578" s="5"/>
      <c r="Q2578" s="21">
        <v>0</v>
      </c>
      <c r="R2578" s="21">
        <v>0</v>
      </c>
      <c r="S2578" s="5">
        <f t="shared" si="163"/>
        <v>3816.1371201519942</v>
      </c>
      <c r="T2578" cm="1">
        <f t="array" ref="T2578">IF(OR(B2578="MAL ALIMI", B2578="ÜRETİM GİRİŞ"), MIN(I2578, MAX(0, I2578 + SUM(SUMIFS($I$1:I2577, $C$1:C2577, C2578, $B$1:B2577, {"MAL ALIMI","ÜRETİM GİRİŞ"})) - VLOOKUP(C2578, 'STOK RAPORU'!$C$2:$I$1000, 4, 0))), 0)</f>
        <v>0</v>
      </c>
      <c r="U2578" s="22">
        <f t="shared" si="160"/>
        <v>0</v>
      </c>
      <c r="V2578">
        <f t="shared" si="161"/>
        <v>0</v>
      </c>
      <c r="W2578" s="22">
        <f t="shared" si="162"/>
        <v>0</v>
      </c>
    </row>
    <row r="2579" spans="1:23" hidden="1" x14ac:dyDescent="0.25">
      <c r="A2579" s="3">
        <v>46018</v>
      </c>
      <c r="B2579" s="4" t="s">
        <v>334</v>
      </c>
      <c r="C2579" s="4" t="s">
        <v>199</v>
      </c>
      <c r="D2579" s="4"/>
      <c r="E2579" s="4" t="s">
        <v>921</v>
      </c>
      <c r="F2579" s="4" t="s">
        <v>1477</v>
      </c>
      <c r="G2579" s="4" t="s">
        <v>336</v>
      </c>
      <c r="H2579" s="4" t="s">
        <v>380</v>
      </c>
      <c r="I2579" s="4">
        <v>0.21052631578947367</v>
      </c>
      <c r="J2579" s="21">
        <v>950</v>
      </c>
      <c r="K2579" s="21">
        <v>200</v>
      </c>
      <c r="L2579" s="5">
        <v>0</v>
      </c>
      <c r="M2579" s="4"/>
      <c r="N2579" s="4"/>
      <c r="O2579" s="5"/>
      <c r="P2579" s="5"/>
      <c r="Q2579" s="21">
        <v>0</v>
      </c>
      <c r="R2579" s="21">
        <v>0</v>
      </c>
      <c r="S2579" s="5">
        <f t="shared" si="163"/>
        <v>3816.1371201519942</v>
      </c>
      <c r="T2579" cm="1">
        <f t="array" ref="T2579">IF(OR(B2579="MAL ALIMI", B2579="ÜRETİM GİRİŞ"), MIN(I2579, MAX(0, I2579 + SUM(SUMIFS($I$1:I2578, $C$1:C2578, C2579, $B$1:B2578, {"MAL ALIMI","ÜRETİM GİRİŞ"})) - VLOOKUP(C2579, 'STOK RAPORU'!$C$2:$I$1000, 4, 0))), 0)</f>
        <v>0</v>
      </c>
      <c r="U2579" s="22">
        <f t="shared" si="160"/>
        <v>0</v>
      </c>
      <c r="V2579">
        <f t="shared" si="161"/>
        <v>0</v>
      </c>
      <c r="W2579" s="22">
        <f t="shared" si="162"/>
        <v>0</v>
      </c>
    </row>
    <row r="2580" spans="1:23" hidden="1" x14ac:dyDescent="0.25">
      <c r="A2580" s="3">
        <v>46018</v>
      </c>
      <c r="B2580" s="4" t="s">
        <v>334</v>
      </c>
      <c r="C2580" s="4" t="s">
        <v>225</v>
      </c>
      <c r="D2580" s="4"/>
      <c r="E2580" s="4"/>
      <c r="F2580" s="4" t="s">
        <v>1477</v>
      </c>
      <c r="G2580" s="4" t="s">
        <v>336</v>
      </c>
      <c r="H2580" s="4" t="s">
        <v>289</v>
      </c>
      <c r="I2580" s="4">
        <v>0.3</v>
      </c>
      <c r="J2580" s="21">
        <v>750</v>
      </c>
      <c r="K2580" s="21">
        <v>0</v>
      </c>
      <c r="L2580" s="5">
        <v>0</v>
      </c>
      <c r="M2580" s="4"/>
      <c r="N2580" s="4"/>
      <c r="O2580" s="5"/>
      <c r="P2580" s="5"/>
      <c r="Q2580" s="21">
        <v>225</v>
      </c>
      <c r="R2580" s="21">
        <v>0</v>
      </c>
      <c r="S2580" s="5">
        <f t="shared" si="163"/>
        <v>4041.1371201519942</v>
      </c>
      <c r="T2580" cm="1">
        <f t="array" ref="T2580">IF(OR(B2580="MAL ALIMI", B2580="ÜRETİM GİRİŞ"), MIN(I2580, MAX(0, I2580 + SUM(SUMIFS($I$1:I2579, $C$1:C2579, C2580, $B$1:B2579, {"MAL ALIMI","ÜRETİM GİRİŞ"})) - VLOOKUP(C2580, 'STOK RAPORU'!$C$2:$I$1000, 4, 0))), 0)</f>
        <v>0</v>
      </c>
      <c r="U2580" s="22">
        <f t="shared" si="160"/>
        <v>0</v>
      </c>
      <c r="V2580">
        <f t="shared" si="161"/>
        <v>0</v>
      </c>
      <c r="W2580" s="22">
        <f t="shared" si="162"/>
        <v>0</v>
      </c>
    </row>
    <row r="2581" spans="1:23" hidden="1" x14ac:dyDescent="0.25">
      <c r="A2581" s="3">
        <v>46018</v>
      </c>
      <c r="B2581" s="4" t="s">
        <v>334</v>
      </c>
      <c r="C2581" s="4" t="s">
        <v>589</v>
      </c>
      <c r="D2581" s="4"/>
      <c r="E2581" s="4"/>
      <c r="F2581" s="4" t="s">
        <v>1477</v>
      </c>
      <c r="G2581" s="4" t="s">
        <v>336</v>
      </c>
      <c r="H2581" s="4" t="s">
        <v>289</v>
      </c>
      <c r="I2581" s="4">
        <v>0.04</v>
      </c>
      <c r="J2581" s="21">
        <v>800</v>
      </c>
      <c r="K2581" s="21">
        <v>0</v>
      </c>
      <c r="L2581" s="5">
        <v>0</v>
      </c>
      <c r="M2581" s="4"/>
      <c r="N2581" s="4"/>
      <c r="O2581" s="5"/>
      <c r="P2581" s="5"/>
      <c r="Q2581" s="21">
        <v>32</v>
      </c>
      <c r="R2581" s="21">
        <v>0</v>
      </c>
      <c r="S2581" s="5">
        <f t="shared" si="163"/>
        <v>4073.1371201519942</v>
      </c>
      <c r="T2581" cm="1">
        <f t="array" ref="T2581">IF(OR(B2581="MAL ALIMI", B2581="ÜRETİM GİRİŞ"), MIN(I2581, MAX(0, I2581 + SUM(SUMIFS($I$1:I2580, $C$1:C2580, C2581, $B$1:B2580, {"MAL ALIMI","ÜRETİM GİRİŞ"})) - VLOOKUP(C2581, 'STOK RAPORU'!$C$2:$I$1000, 4, 0))), 0)</f>
        <v>0</v>
      </c>
      <c r="U2581" s="22">
        <f t="shared" si="160"/>
        <v>0</v>
      </c>
      <c r="V2581">
        <f t="shared" si="161"/>
        <v>0</v>
      </c>
      <c r="W2581" s="22">
        <f t="shared" si="162"/>
        <v>0</v>
      </c>
    </row>
    <row r="2582" spans="1:23" hidden="1" x14ac:dyDescent="0.25">
      <c r="A2582" s="3">
        <v>46018</v>
      </c>
      <c r="B2582" s="4" t="s">
        <v>334</v>
      </c>
      <c r="C2582" s="4" t="s">
        <v>219</v>
      </c>
      <c r="D2582" s="4"/>
      <c r="E2582" s="4" t="s">
        <v>921</v>
      </c>
      <c r="F2582" s="4" t="s">
        <v>1478</v>
      </c>
      <c r="G2582" s="4" t="s">
        <v>336</v>
      </c>
      <c r="H2582" s="4" t="s">
        <v>380</v>
      </c>
      <c r="I2582" s="4">
        <v>1.7500000000000002E-2</v>
      </c>
      <c r="J2582" s="21">
        <v>2000</v>
      </c>
      <c r="K2582" s="21">
        <v>35</v>
      </c>
      <c r="L2582" s="5">
        <v>0</v>
      </c>
      <c r="M2582" s="4"/>
      <c r="N2582" s="4"/>
      <c r="O2582" s="5"/>
      <c r="P2582" s="5"/>
      <c r="Q2582" s="21">
        <v>0</v>
      </c>
      <c r="R2582" s="21">
        <v>0</v>
      </c>
      <c r="S2582" s="5">
        <f t="shared" si="163"/>
        <v>4073.1371201519942</v>
      </c>
      <c r="T2582" cm="1">
        <f t="array" ref="T2582">IF(OR(B2582="MAL ALIMI", B2582="ÜRETİM GİRİŞ"), MIN(I2582, MAX(0, I2582 + SUM(SUMIFS($I$1:I2581, $C$1:C2581, C2582, $B$1:B2581, {"MAL ALIMI","ÜRETİM GİRİŞ"})) - VLOOKUP(C2582, 'STOK RAPORU'!$C$2:$I$1000, 4, 0))), 0)</f>
        <v>0</v>
      </c>
      <c r="U2582" s="22">
        <f t="shared" si="160"/>
        <v>0</v>
      </c>
      <c r="V2582">
        <f t="shared" si="161"/>
        <v>0</v>
      </c>
      <c r="W2582" s="22">
        <f t="shared" si="162"/>
        <v>0</v>
      </c>
    </row>
    <row r="2583" spans="1:23" hidden="1" x14ac:dyDescent="0.25">
      <c r="A2583" s="3">
        <v>46018</v>
      </c>
      <c r="B2583" s="4" t="s">
        <v>334</v>
      </c>
      <c r="C2583" s="4" t="s">
        <v>209</v>
      </c>
      <c r="D2583" s="4"/>
      <c r="E2583" s="4" t="s">
        <v>921</v>
      </c>
      <c r="F2583" s="4" t="s">
        <v>1478</v>
      </c>
      <c r="G2583" s="4" t="s">
        <v>336</v>
      </c>
      <c r="H2583" s="4" t="s">
        <v>380</v>
      </c>
      <c r="I2583" s="4">
        <v>0.05</v>
      </c>
      <c r="J2583" s="21">
        <v>2600</v>
      </c>
      <c r="K2583" s="21">
        <v>130</v>
      </c>
      <c r="L2583" s="5">
        <v>0</v>
      </c>
      <c r="M2583" s="4"/>
      <c r="N2583" s="4"/>
      <c r="O2583" s="5"/>
      <c r="P2583" s="5"/>
      <c r="Q2583" s="21">
        <v>0</v>
      </c>
      <c r="R2583" s="21">
        <v>0</v>
      </c>
      <c r="S2583" s="5">
        <f t="shared" si="163"/>
        <v>4073.1371201519942</v>
      </c>
      <c r="T2583" cm="1">
        <f t="array" ref="T2583">IF(OR(B2583="MAL ALIMI", B2583="ÜRETİM GİRİŞ"), MIN(I2583, MAX(0, I2583 + SUM(SUMIFS($I$1:I2582, $C$1:C2582, C2583, $B$1:B2582, {"MAL ALIMI","ÜRETİM GİRİŞ"})) - VLOOKUP(C2583, 'STOK RAPORU'!$C$2:$I$1000, 4, 0))), 0)</f>
        <v>0</v>
      </c>
      <c r="U2583" s="22">
        <f t="shared" si="160"/>
        <v>0</v>
      </c>
      <c r="V2583">
        <f t="shared" si="161"/>
        <v>0</v>
      </c>
      <c r="W2583" s="22">
        <f t="shared" si="162"/>
        <v>0</v>
      </c>
    </row>
    <row r="2584" spans="1:23" hidden="1" x14ac:dyDescent="0.25">
      <c r="A2584" s="3">
        <v>46018</v>
      </c>
      <c r="B2584" s="4" t="s">
        <v>334</v>
      </c>
      <c r="C2584" s="4" t="s">
        <v>237</v>
      </c>
      <c r="D2584" s="4"/>
      <c r="E2584" s="4" t="s">
        <v>921</v>
      </c>
      <c r="F2584" s="4" t="s">
        <v>1478</v>
      </c>
      <c r="G2584" s="4" t="s">
        <v>336</v>
      </c>
      <c r="H2584" s="4" t="s">
        <v>380</v>
      </c>
      <c r="I2584" s="4">
        <v>0.04</v>
      </c>
      <c r="J2584" s="21">
        <v>2250</v>
      </c>
      <c r="K2584" s="21">
        <v>90</v>
      </c>
      <c r="L2584" s="5">
        <v>0</v>
      </c>
      <c r="M2584" s="4"/>
      <c r="N2584" s="4"/>
      <c r="O2584" s="5"/>
      <c r="P2584" s="5"/>
      <c r="Q2584" s="21">
        <v>0</v>
      </c>
      <c r="R2584" s="21">
        <v>0</v>
      </c>
      <c r="S2584" s="5">
        <f t="shared" si="163"/>
        <v>4073.1371201519942</v>
      </c>
      <c r="T2584" cm="1">
        <f t="array" ref="T2584">IF(OR(B2584="MAL ALIMI", B2584="ÜRETİM GİRİŞ"), MIN(I2584, MAX(0, I2584 + SUM(SUMIFS($I$1:I2583, $C$1:C2583, C2584, $B$1:B2583, {"MAL ALIMI","ÜRETİM GİRİŞ"})) - VLOOKUP(C2584, 'STOK RAPORU'!$C$2:$I$1000, 4, 0))), 0)</f>
        <v>0</v>
      </c>
      <c r="U2584" s="22">
        <f t="shared" si="160"/>
        <v>0</v>
      </c>
      <c r="V2584">
        <f t="shared" si="161"/>
        <v>0</v>
      </c>
      <c r="W2584" s="22">
        <f t="shared" si="162"/>
        <v>0</v>
      </c>
    </row>
    <row r="2585" spans="1:23" hidden="1" x14ac:dyDescent="0.25">
      <c r="A2585" s="3">
        <v>46018</v>
      </c>
      <c r="B2585" s="4" t="s">
        <v>334</v>
      </c>
      <c r="C2585" s="4" t="s">
        <v>523</v>
      </c>
      <c r="D2585" s="4"/>
      <c r="E2585" s="4"/>
      <c r="F2585" s="4" t="s">
        <v>1479</v>
      </c>
      <c r="G2585" s="4" t="s">
        <v>336</v>
      </c>
      <c r="H2585" s="4" t="s">
        <v>289</v>
      </c>
      <c r="I2585" s="4">
        <v>0.1</v>
      </c>
      <c r="J2585" s="21">
        <v>650</v>
      </c>
      <c r="K2585" s="21">
        <v>0</v>
      </c>
      <c r="L2585" s="5">
        <v>0</v>
      </c>
      <c r="M2585" s="4"/>
      <c r="N2585" s="4"/>
      <c r="O2585" s="5"/>
      <c r="P2585" s="5"/>
      <c r="Q2585" s="21">
        <v>65</v>
      </c>
      <c r="R2585" s="21">
        <v>0</v>
      </c>
      <c r="S2585" s="5">
        <f t="shared" si="163"/>
        <v>4138.1371201519942</v>
      </c>
      <c r="T2585" cm="1">
        <f t="array" ref="T2585">IF(OR(B2585="MAL ALIMI", B2585="ÜRETİM GİRİŞ"), MIN(I2585, MAX(0, I2585 + SUM(SUMIFS($I$1:I2584, $C$1:C2584, C2585, $B$1:B2584, {"MAL ALIMI","ÜRETİM GİRİŞ"})) - VLOOKUP(C2585, 'STOK RAPORU'!$C$2:$I$1000, 4, 0))), 0)</f>
        <v>0</v>
      </c>
      <c r="U2585" s="22">
        <f t="shared" si="160"/>
        <v>0</v>
      </c>
      <c r="V2585">
        <f t="shared" si="161"/>
        <v>0</v>
      </c>
      <c r="W2585" s="22">
        <f t="shared" si="162"/>
        <v>0</v>
      </c>
    </row>
    <row r="2586" spans="1:23" hidden="1" x14ac:dyDescent="0.25">
      <c r="A2586" s="3">
        <v>46018</v>
      </c>
      <c r="B2586" s="4" t="s">
        <v>334</v>
      </c>
      <c r="C2586" s="4" t="s">
        <v>60</v>
      </c>
      <c r="D2586" s="4"/>
      <c r="E2586" s="4"/>
      <c r="F2586" s="4" t="s">
        <v>1479</v>
      </c>
      <c r="G2586" s="4" t="s">
        <v>336</v>
      </c>
      <c r="H2586" s="4" t="s">
        <v>289</v>
      </c>
      <c r="I2586" s="4">
        <v>0.05</v>
      </c>
      <c r="J2586" s="21">
        <v>1200</v>
      </c>
      <c r="K2586" s="21">
        <v>0</v>
      </c>
      <c r="L2586" s="5">
        <v>0</v>
      </c>
      <c r="M2586" s="4"/>
      <c r="N2586" s="4"/>
      <c r="O2586" s="5"/>
      <c r="P2586" s="5"/>
      <c r="Q2586" s="21">
        <v>60</v>
      </c>
      <c r="R2586" s="21">
        <v>0</v>
      </c>
      <c r="S2586" s="5">
        <f t="shared" si="163"/>
        <v>4198.1371201519942</v>
      </c>
      <c r="T2586" cm="1">
        <f t="array" ref="T2586">IF(OR(B2586="MAL ALIMI", B2586="ÜRETİM GİRİŞ"), MIN(I2586, MAX(0, I2586 + SUM(SUMIFS($I$1:I2585, $C$1:C2585, C2586, $B$1:B2585, {"MAL ALIMI","ÜRETİM GİRİŞ"})) - VLOOKUP(C2586, 'STOK RAPORU'!$C$2:$I$1000, 4, 0))), 0)</f>
        <v>0</v>
      </c>
      <c r="U2586" s="22">
        <f t="shared" si="160"/>
        <v>0</v>
      </c>
      <c r="V2586">
        <f t="shared" si="161"/>
        <v>0</v>
      </c>
      <c r="W2586" s="22">
        <f t="shared" si="162"/>
        <v>0</v>
      </c>
    </row>
    <row r="2587" spans="1:23" hidden="1" x14ac:dyDescent="0.25">
      <c r="A2587" s="3">
        <v>46018</v>
      </c>
      <c r="B2587" s="4" t="s">
        <v>334</v>
      </c>
      <c r="C2587" s="4" t="s">
        <v>679</v>
      </c>
      <c r="D2587" s="4"/>
      <c r="E2587" s="4"/>
      <c r="F2587" s="4" t="s">
        <v>1479</v>
      </c>
      <c r="G2587" s="4" t="s">
        <v>336</v>
      </c>
      <c r="H2587" s="4" t="s">
        <v>289</v>
      </c>
      <c r="I2587" s="4">
        <v>0.25</v>
      </c>
      <c r="J2587" s="21">
        <v>400</v>
      </c>
      <c r="K2587" s="21">
        <v>0</v>
      </c>
      <c r="L2587" s="5">
        <v>0</v>
      </c>
      <c r="M2587" s="4"/>
      <c r="N2587" s="4"/>
      <c r="O2587" s="5"/>
      <c r="P2587" s="5"/>
      <c r="Q2587" s="21">
        <v>100</v>
      </c>
      <c r="R2587" s="21">
        <v>0</v>
      </c>
      <c r="S2587" s="5">
        <f t="shared" si="163"/>
        <v>4298.1371201519942</v>
      </c>
      <c r="T2587" cm="1">
        <f t="array" ref="T2587">IF(OR(B2587="MAL ALIMI", B2587="ÜRETİM GİRİŞ"), MIN(I2587, MAX(0, I2587 + SUM(SUMIFS($I$1:I2586, $C$1:C2586, C2587, $B$1:B2586, {"MAL ALIMI","ÜRETİM GİRİŞ"})) - VLOOKUP(C2587, 'STOK RAPORU'!$C$2:$I$1000, 4, 0))), 0)</f>
        <v>0</v>
      </c>
      <c r="U2587" s="22">
        <f t="shared" si="160"/>
        <v>0</v>
      </c>
      <c r="V2587">
        <f t="shared" si="161"/>
        <v>0</v>
      </c>
      <c r="W2587" s="22">
        <f t="shared" si="162"/>
        <v>0</v>
      </c>
    </row>
    <row r="2588" spans="1:23" hidden="1" x14ac:dyDescent="0.25">
      <c r="A2588" s="3">
        <v>46018</v>
      </c>
      <c r="B2588" s="4" t="s">
        <v>334</v>
      </c>
      <c r="C2588" s="4" t="s">
        <v>91</v>
      </c>
      <c r="D2588" s="4"/>
      <c r="E2588" s="4"/>
      <c r="F2588" s="4" t="s">
        <v>1480</v>
      </c>
      <c r="G2588" s="4" t="s">
        <v>336</v>
      </c>
      <c r="H2588" s="4" t="s">
        <v>289</v>
      </c>
      <c r="I2588" s="4">
        <v>0.05</v>
      </c>
      <c r="J2588" s="21">
        <v>760</v>
      </c>
      <c r="K2588" s="21">
        <v>0</v>
      </c>
      <c r="L2588" s="5">
        <v>0</v>
      </c>
      <c r="M2588" s="4"/>
      <c r="N2588" s="4"/>
      <c r="O2588" s="5"/>
      <c r="P2588" s="5"/>
      <c r="Q2588" s="21">
        <v>38</v>
      </c>
      <c r="R2588" s="21">
        <v>0</v>
      </c>
      <c r="S2588" s="5">
        <f t="shared" si="163"/>
        <v>4336.1371201519942</v>
      </c>
      <c r="T2588" cm="1">
        <f t="array" ref="T2588">IF(OR(B2588="MAL ALIMI", B2588="ÜRETİM GİRİŞ"), MIN(I2588, MAX(0, I2588 + SUM(SUMIFS($I$1:I2587, $C$1:C2587, C2588, $B$1:B2587, {"MAL ALIMI","ÜRETİM GİRİŞ"})) - VLOOKUP(C2588, 'STOK RAPORU'!$C$2:$I$1000, 4, 0))), 0)</f>
        <v>0</v>
      </c>
      <c r="U2588" s="22">
        <f t="shared" si="160"/>
        <v>0</v>
      </c>
      <c r="V2588">
        <f t="shared" si="161"/>
        <v>0</v>
      </c>
      <c r="W2588" s="22">
        <f t="shared" si="162"/>
        <v>0</v>
      </c>
    </row>
    <row r="2589" spans="1:23" hidden="1" x14ac:dyDescent="0.25">
      <c r="A2589" s="3">
        <v>46018</v>
      </c>
      <c r="B2589" s="4" t="s">
        <v>334</v>
      </c>
      <c r="C2589" s="4" t="s">
        <v>692</v>
      </c>
      <c r="D2589" s="4"/>
      <c r="E2589" s="4"/>
      <c r="F2589" s="4" t="s">
        <v>1480</v>
      </c>
      <c r="G2589" s="4" t="s">
        <v>336</v>
      </c>
      <c r="H2589" s="4" t="s">
        <v>289</v>
      </c>
      <c r="I2589" s="4">
        <v>0.5</v>
      </c>
      <c r="J2589" s="21">
        <v>60</v>
      </c>
      <c r="K2589" s="21">
        <v>0</v>
      </c>
      <c r="L2589" s="5">
        <v>0</v>
      </c>
      <c r="M2589" s="4"/>
      <c r="N2589" s="4"/>
      <c r="O2589" s="5"/>
      <c r="P2589" s="5"/>
      <c r="Q2589" s="21">
        <v>30</v>
      </c>
      <c r="R2589" s="21">
        <v>0</v>
      </c>
      <c r="S2589" s="5">
        <f t="shared" si="163"/>
        <v>4366.1371201519942</v>
      </c>
      <c r="T2589" cm="1">
        <f t="array" ref="T2589">IF(OR(B2589="MAL ALIMI", B2589="ÜRETİM GİRİŞ"), MIN(I2589, MAX(0, I2589 + SUM(SUMIFS($I$1:I2588, $C$1:C2588, C2589, $B$1:B2588, {"MAL ALIMI","ÜRETİM GİRİŞ"})) - VLOOKUP(C2589, 'STOK RAPORU'!$C$2:$I$1000, 4, 0))), 0)</f>
        <v>0</v>
      </c>
      <c r="U2589" s="22">
        <f t="shared" si="160"/>
        <v>0</v>
      </c>
      <c r="V2589">
        <f t="shared" si="161"/>
        <v>0</v>
      </c>
      <c r="W2589" s="22">
        <f t="shared" si="162"/>
        <v>0</v>
      </c>
    </row>
    <row r="2590" spans="1:23" hidden="1" x14ac:dyDescent="0.25">
      <c r="A2590" s="3">
        <v>46018</v>
      </c>
      <c r="B2590" s="4" t="s">
        <v>334</v>
      </c>
      <c r="C2590" s="4" t="s">
        <v>141</v>
      </c>
      <c r="D2590" s="4"/>
      <c r="E2590" s="4"/>
      <c r="F2590" s="4" t="s">
        <v>1480</v>
      </c>
      <c r="G2590" s="4" t="s">
        <v>336</v>
      </c>
      <c r="H2590" s="4" t="s">
        <v>289</v>
      </c>
      <c r="I2590" s="4">
        <v>0.106</v>
      </c>
      <c r="J2590" s="21">
        <v>140</v>
      </c>
      <c r="K2590" s="21">
        <v>0</v>
      </c>
      <c r="L2590" s="5">
        <v>0</v>
      </c>
      <c r="M2590" s="4"/>
      <c r="N2590" s="4"/>
      <c r="O2590" s="5"/>
      <c r="P2590" s="5"/>
      <c r="Q2590" s="21">
        <v>14.84</v>
      </c>
      <c r="R2590" s="21">
        <v>0</v>
      </c>
      <c r="S2590" s="5">
        <f t="shared" si="163"/>
        <v>4380.9771201519943</v>
      </c>
      <c r="T2590" cm="1">
        <f t="array" ref="T2590">IF(OR(B2590="MAL ALIMI", B2590="ÜRETİM GİRİŞ"), MIN(I2590, MAX(0, I2590 + SUM(SUMIFS($I$1:I2589, $C$1:C2589, C2590, $B$1:B2589, {"MAL ALIMI","ÜRETİM GİRİŞ"})) - VLOOKUP(C2590, 'STOK RAPORU'!$C$2:$I$1000, 4, 0))), 0)</f>
        <v>0</v>
      </c>
      <c r="U2590" s="22">
        <f t="shared" si="160"/>
        <v>0</v>
      </c>
      <c r="V2590">
        <f t="shared" si="161"/>
        <v>0</v>
      </c>
      <c r="W2590" s="22">
        <f t="shared" si="162"/>
        <v>0</v>
      </c>
    </row>
    <row r="2591" spans="1:23" hidden="1" x14ac:dyDescent="0.25">
      <c r="A2591" s="3">
        <v>46018</v>
      </c>
      <c r="B2591" s="4" t="s">
        <v>334</v>
      </c>
      <c r="C2591" s="4" t="s">
        <v>651</v>
      </c>
      <c r="D2591" s="4"/>
      <c r="E2591" s="4"/>
      <c r="F2591" s="4" t="s">
        <v>1480</v>
      </c>
      <c r="G2591" s="4" t="s">
        <v>336</v>
      </c>
      <c r="H2591" s="4" t="s">
        <v>289</v>
      </c>
      <c r="I2591" s="4">
        <v>1</v>
      </c>
      <c r="J2591" s="21">
        <v>400</v>
      </c>
      <c r="K2591" s="21">
        <v>0</v>
      </c>
      <c r="L2591" s="5">
        <v>0</v>
      </c>
      <c r="M2591" s="4"/>
      <c r="N2591" s="4"/>
      <c r="O2591" s="5"/>
      <c r="P2591" s="5"/>
      <c r="Q2591" s="21">
        <v>400</v>
      </c>
      <c r="R2591" s="21">
        <v>0</v>
      </c>
      <c r="S2591" s="5">
        <f t="shared" si="163"/>
        <v>4780.9771201519943</v>
      </c>
      <c r="T2591" cm="1">
        <f t="array" ref="T2591">IF(OR(B2591="MAL ALIMI", B2591="ÜRETİM GİRİŞ"), MIN(I2591, MAX(0, I2591 + SUM(SUMIFS($I$1:I2590, $C$1:C2590, C2591, $B$1:B2590, {"MAL ALIMI","ÜRETİM GİRİŞ"})) - VLOOKUP(C2591, 'STOK RAPORU'!$C$2:$I$1000, 4, 0))), 0)</f>
        <v>0</v>
      </c>
      <c r="U2591" s="22">
        <f t="shared" si="160"/>
        <v>0</v>
      </c>
      <c r="V2591">
        <f t="shared" si="161"/>
        <v>0</v>
      </c>
      <c r="W2591" s="22">
        <f t="shared" si="162"/>
        <v>0</v>
      </c>
    </row>
    <row r="2592" spans="1:23" hidden="1" x14ac:dyDescent="0.25">
      <c r="A2592" s="3">
        <v>46018</v>
      </c>
      <c r="B2592" s="4" t="s">
        <v>334</v>
      </c>
      <c r="C2592" s="4" t="s">
        <v>1142</v>
      </c>
      <c r="D2592" s="4"/>
      <c r="E2592" s="4"/>
      <c r="F2592" s="4" t="s">
        <v>1480</v>
      </c>
      <c r="G2592" s="4" t="s">
        <v>336</v>
      </c>
      <c r="H2592" s="4" t="s">
        <v>289</v>
      </c>
      <c r="I2592" s="4">
        <v>0.05</v>
      </c>
      <c r="J2592" s="21">
        <v>400</v>
      </c>
      <c r="K2592" s="21">
        <v>0</v>
      </c>
      <c r="L2592" s="5">
        <v>0</v>
      </c>
      <c r="M2592" s="4"/>
      <c r="N2592" s="4"/>
      <c r="O2592" s="5"/>
      <c r="P2592" s="5"/>
      <c r="Q2592" s="21">
        <v>20</v>
      </c>
      <c r="R2592" s="21">
        <v>0</v>
      </c>
      <c r="S2592" s="5">
        <f t="shared" si="163"/>
        <v>4800.9771201519943</v>
      </c>
      <c r="T2592" cm="1">
        <f t="array" ref="T2592">IF(OR(B2592="MAL ALIMI", B2592="ÜRETİM GİRİŞ"), MIN(I2592, MAX(0, I2592 + SUM(SUMIFS($I$1:I2591, $C$1:C2591, C2592, $B$1:B2591, {"MAL ALIMI","ÜRETİM GİRİŞ"})) - VLOOKUP(C2592, 'STOK RAPORU'!$C$2:$I$1000, 4, 0))), 0)</f>
        <v>0</v>
      </c>
      <c r="U2592" s="22">
        <f t="shared" si="160"/>
        <v>0</v>
      </c>
      <c r="V2592">
        <f t="shared" si="161"/>
        <v>0</v>
      </c>
      <c r="W2592" s="22">
        <f t="shared" si="162"/>
        <v>0</v>
      </c>
    </row>
    <row r="2593" spans="1:23" hidden="1" x14ac:dyDescent="0.25">
      <c r="A2593" s="3">
        <v>46018</v>
      </c>
      <c r="B2593" s="4" t="s">
        <v>334</v>
      </c>
      <c r="C2593" s="4" t="s">
        <v>1176</v>
      </c>
      <c r="D2593" s="4"/>
      <c r="E2593" s="4"/>
      <c r="F2593" s="4" t="s">
        <v>1480</v>
      </c>
      <c r="G2593" s="4" t="s">
        <v>336</v>
      </c>
      <c r="H2593" s="4" t="s">
        <v>289</v>
      </c>
      <c r="I2593" s="4">
        <v>0.1</v>
      </c>
      <c r="J2593" s="21">
        <v>1500</v>
      </c>
      <c r="K2593" s="21">
        <v>0</v>
      </c>
      <c r="L2593" s="5">
        <v>0</v>
      </c>
      <c r="M2593" s="4"/>
      <c r="N2593" s="4"/>
      <c r="O2593" s="5"/>
      <c r="P2593" s="5"/>
      <c r="Q2593" s="21">
        <v>150</v>
      </c>
      <c r="R2593" s="21">
        <v>0</v>
      </c>
      <c r="S2593" s="5">
        <f t="shared" si="163"/>
        <v>4950.9771201519943</v>
      </c>
      <c r="T2593" cm="1">
        <f t="array" ref="T2593">IF(OR(B2593="MAL ALIMI", B2593="ÜRETİM GİRİŞ"), MIN(I2593, MAX(0, I2593 + SUM(SUMIFS($I$1:I2592, $C$1:C2592, C2593, $B$1:B2592, {"MAL ALIMI","ÜRETİM GİRİŞ"})) - VLOOKUP(C2593, 'STOK RAPORU'!$C$2:$I$1000, 4, 0))), 0)</f>
        <v>0</v>
      </c>
      <c r="U2593" s="22">
        <f t="shared" si="160"/>
        <v>0</v>
      </c>
      <c r="V2593">
        <f t="shared" si="161"/>
        <v>0</v>
      </c>
      <c r="W2593" s="22">
        <f t="shared" si="162"/>
        <v>0</v>
      </c>
    </row>
    <row r="2594" spans="1:23" hidden="1" x14ac:dyDescent="0.25">
      <c r="A2594" s="3">
        <v>46018</v>
      </c>
      <c r="B2594" s="4" t="s">
        <v>946</v>
      </c>
      <c r="C2594" s="4"/>
      <c r="D2594" s="4"/>
      <c r="E2594" s="4" t="s">
        <v>921</v>
      </c>
      <c r="F2594" s="4"/>
      <c r="G2594" s="4" t="s">
        <v>946</v>
      </c>
      <c r="H2594" s="4" t="s">
        <v>380</v>
      </c>
      <c r="I2594" s="4">
        <v>1</v>
      </c>
      <c r="J2594" s="105">
        <v>2035</v>
      </c>
      <c r="K2594" s="21">
        <v>0</v>
      </c>
      <c r="L2594" s="102">
        <v>2035</v>
      </c>
      <c r="M2594" s="4"/>
      <c r="N2594" s="4"/>
      <c r="O2594" s="5"/>
      <c r="P2594" s="5"/>
      <c r="Q2594" s="21">
        <v>2035</v>
      </c>
      <c r="R2594" s="21">
        <v>0</v>
      </c>
      <c r="S2594" s="5">
        <f t="shared" si="163"/>
        <v>6985.9771201519943</v>
      </c>
      <c r="T2594" cm="1">
        <f t="array" ref="T2594">IF(OR(B2594="MAL ALIMI", B2594="ÜRETİM GİRİŞ"), MIN(I2594, MAX(0, I2594 + SUM(SUMIFS($I$1:I2593, $C$1:C2593, C2594, $B$1:B2593, {"MAL ALIMI","ÜRETİM GİRİŞ"})) - VLOOKUP(C2594, 'STOK RAPORU'!$C$2:$I$1000, 4, 0))), 0)</f>
        <v>0</v>
      </c>
      <c r="U2594" s="22">
        <f t="shared" si="160"/>
        <v>0</v>
      </c>
      <c r="V2594">
        <f t="shared" si="161"/>
        <v>0</v>
      </c>
      <c r="W2594" s="22">
        <f t="shared" si="162"/>
        <v>0</v>
      </c>
    </row>
    <row r="2595" spans="1:23" hidden="1" x14ac:dyDescent="0.25">
      <c r="A2595" s="3">
        <v>46018</v>
      </c>
      <c r="B2595" s="4" t="s">
        <v>946</v>
      </c>
      <c r="C2595" s="4"/>
      <c r="D2595" s="4"/>
      <c r="E2595" s="4" t="s">
        <v>921</v>
      </c>
      <c r="F2595" s="4"/>
      <c r="G2595" s="4" t="s">
        <v>946</v>
      </c>
      <c r="H2595" s="4" t="s">
        <v>380</v>
      </c>
      <c r="I2595" s="4">
        <v>1</v>
      </c>
      <c r="J2595" s="105">
        <v>1364</v>
      </c>
      <c r="K2595" s="21">
        <v>0</v>
      </c>
      <c r="L2595" s="111">
        <v>1364</v>
      </c>
      <c r="M2595" s="4"/>
      <c r="N2595" s="4"/>
      <c r="O2595" s="5"/>
      <c r="P2595" s="5"/>
      <c r="Q2595" s="21">
        <v>1364</v>
      </c>
      <c r="R2595" s="21">
        <v>0</v>
      </c>
      <c r="S2595" s="5">
        <f t="shared" si="163"/>
        <v>8349.9771201519943</v>
      </c>
      <c r="T2595" cm="1">
        <f t="array" ref="T2595">IF(OR(B2595="MAL ALIMI", B2595="ÜRETİM GİRİŞ"), MIN(I2595, MAX(0, I2595 + SUM(SUMIFS($I$1:I2594, $C$1:C2594, C2595, $B$1:B2594, {"MAL ALIMI","ÜRETİM GİRİŞ"})) - VLOOKUP(C2595, 'STOK RAPORU'!$C$2:$I$1000, 4, 0))), 0)</f>
        <v>0</v>
      </c>
      <c r="U2595" s="22">
        <f t="shared" si="160"/>
        <v>0</v>
      </c>
      <c r="V2595">
        <f t="shared" si="161"/>
        <v>0</v>
      </c>
      <c r="W2595" s="22">
        <f t="shared" si="162"/>
        <v>0</v>
      </c>
    </row>
    <row r="2596" spans="1:23" hidden="1" x14ac:dyDescent="0.25">
      <c r="A2596" s="3">
        <v>46019</v>
      </c>
      <c r="B2596" s="4" t="s">
        <v>334</v>
      </c>
      <c r="C2596" s="4" t="s">
        <v>209</v>
      </c>
      <c r="D2596" s="4"/>
      <c r="E2596" s="4" t="s">
        <v>921</v>
      </c>
      <c r="F2596" s="4" t="s">
        <v>1481</v>
      </c>
      <c r="G2596" s="4" t="s">
        <v>336</v>
      </c>
      <c r="H2596" s="4" t="s">
        <v>380</v>
      </c>
      <c r="I2596" s="4">
        <v>0.05</v>
      </c>
      <c r="J2596" s="21">
        <v>2600</v>
      </c>
      <c r="K2596" s="21">
        <v>130</v>
      </c>
      <c r="L2596" s="5">
        <v>0</v>
      </c>
      <c r="M2596" s="4"/>
      <c r="N2596" s="4"/>
      <c r="O2596" s="5"/>
      <c r="P2596" s="5"/>
      <c r="Q2596" s="21">
        <v>0</v>
      </c>
      <c r="R2596" s="21">
        <v>0</v>
      </c>
      <c r="S2596" s="5">
        <f t="shared" si="163"/>
        <v>8349.9771201519943</v>
      </c>
      <c r="T2596" cm="1">
        <f t="array" ref="T2596">IF(OR(B2596="MAL ALIMI", B2596="ÜRETİM GİRİŞ"), MIN(I2596, MAX(0, I2596 + SUM(SUMIFS($I$1:I2595, $C$1:C2595, C2596, $B$1:B2595, {"MAL ALIMI","ÜRETİM GİRİŞ"})) - VLOOKUP(C2596, 'STOK RAPORU'!$C$2:$I$1000, 4, 0))), 0)</f>
        <v>0</v>
      </c>
      <c r="U2596" s="22">
        <f t="shared" si="160"/>
        <v>0</v>
      </c>
      <c r="V2596">
        <f t="shared" si="161"/>
        <v>0</v>
      </c>
      <c r="W2596" s="22">
        <f t="shared" si="162"/>
        <v>0</v>
      </c>
    </row>
    <row r="2597" spans="1:23" hidden="1" x14ac:dyDescent="0.25">
      <c r="A2597" s="3">
        <v>46019</v>
      </c>
      <c r="B2597" s="4" t="s">
        <v>334</v>
      </c>
      <c r="C2597" s="4" t="s">
        <v>843</v>
      </c>
      <c r="D2597" s="4"/>
      <c r="E2597" s="4" t="s">
        <v>921</v>
      </c>
      <c r="F2597" s="4" t="s">
        <v>1481</v>
      </c>
      <c r="G2597" s="4" t="s">
        <v>336</v>
      </c>
      <c r="H2597" s="4" t="s">
        <v>380</v>
      </c>
      <c r="I2597" s="4">
        <v>0.1</v>
      </c>
      <c r="J2597" s="21">
        <v>900</v>
      </c>
      <c r="K2597" s="21">
        <v>90</v>
      </c>
      <c r="L2597" s="5">
        <v>0</v>
      </c>
      <c r="M2597" s="4"/>
      <c r="N2597" s="4"/>
      <c r="O2597" s="5"/>
      <c r="P2597" s="5"/>
      <c r="Q2597" s="21">
        <v>0</v>
      </c>
      <c r="R2597" s="21">
        <v>0</v>
      </c>
      <c r="S2597" s="5">
        <f t="shared" si="163"/>
        <v>8349.9771201519943</v>
      </c>
      <c r="T2597" cm="1">
        <f t="array" ref="T2597">IF(OR(B2597="MAL ALIMI", B2597="ÜRETİM GİRİŞ"), MIN(I2597, MAX(0, I2597 + SUM(SUMIFS($I$1:I2596, $C$1:C2596, C2597, $B$1:B2596, {"MAL ALIMI","ÜRETİM GİRİŞ"})) - VLOOKUP(C2597, 'STOK RAPORU'!$C$2:$I$1000, 4, 0))), 0)</f>
        <v>0</v>
      </c>
      <c r="U2597" s="22">
        <f t="shared" si="160"/>
        <v>0</v>
      </c>
      <c r="V2597">
        <f t="shared" si="161"/>
        <v>0</v>
      </c>
      <c r="W2597" s="22">
        <f t="shared" si="162"/>
        <v>0</v>
      </c>
    </row>
    <row r="2598" spans="1:23" hidden="1" x14ac:dyDescent="0.25">
      <c r="A2598" s="3">
        <v>46019</v>
      </c>
      <c r="B2598" s="4" t="s">
        <v>334</v>
      </c>
      <c r="C2598" s="4" t="s">
        <v>647</v>
      </c>
      <c r="D2598" s="4"/>
      <c r="E2598" s="4" t="s">
        <v>921</v>
      </c>
      <c r="F2598" s="4" t="s">
        <v>1481</v>
      </c>
      <c r="G2598" s="4" t="s">
        <v>336</v>
      </c>
      <c r="H2598" s="4" t="s">
        <v>380</v>
      </c>
      <c r="I2598" s="4">
        <v>0.25</v>
      </c>
      <c r="J2598" s="21">
        <v>400</v>
      </c>
      <c r="K2598" s="21">
        <v>100</v>
      </c>
      <c r="L2598" s="5">
        <v>0</v>
      </c>
      <c r="M2598" s="4"/>
      <c r="N2598" s="4"/>
      <c r="O2598" s="5"/>
      <c r="P2598" s="5"/>
      <c r="Q2598" s="21">
        <v>0</v>
      </c>
      <c r="R2598" s="21">
        <v>0</v>
      </c>
      <c r="S2598" s="5">
        <f t="shared" si="163"/>
        <v>8349.9771201519943</v>
      </c>
      <c r="T2598" cm="1">
        <f t="array" ref="T2598">IF(OR(B2598="MAL ALIMI", B2598="ÜRETİM GİRİŞ"), MIN(I2598, MAX(0, I2598 + SUM(SUMIFS($I$1:I2597, $C$1:C2597, C2598, $B$1:B2597, {"MAL ALIMI","ÜRETİM GİRİŞ"})) - VLOOKUP(C2598, 'STOK RAPORU'!$C$2:$I$1000, 4, 0))), 0)</f>
        <v>0</v>
      </c>
      <c r="U2598" s="22">
        <f t="shared" si="160"/>
        <v>0</v>
      </c>
      <c r="V2598">
        <f t="shared" si="161"/>
        <v>0</v>
      </c>
      <c r="W2598" s="22">
        <f t="shared" si="162"/>
        <v>0</v>
      </c>
    </row>
    <row r="2599" spans="1:23" hidden="1" x14ac:dyDescent="0.25">
      <c r="A2599" s="3">
        <v>46019</v>
      </c>
      <c r="B2599" s="4" t="s">
        <v>334</v>
      </c>
      <c r="C2599" s="4" t="s">
        <v>463</v>
      </c>
      <c r="D2599" s="4"/>
      <c r="E2599" s="4"/>
      <c r="F2599" s="4" t="s">
        <v>1482</v>
      </c>
      <c r="G2599" s="4" t="s">
        <v>336</v>
      </c>
      <c r="H2599" s="4" t="s">
        <v>289</v>
      </c>
      <c r="I2599" s="4">
        <v>0.18611111111111112</v>
      </c>
      <c r="J2599" s="21">
        <v>360</v>
      </c>
      <c r="K2599" s="21">
        <v>0</v>
      </c>
      <c r="L2599" s="5">
        <v>0</v>
      </c>
      <c r="M2599" s="4"/>
      <c r="N2599" s="4"/>
      <c r="O2599" s="5"/>
      <c r="P2599" s="5"/>
      <c r="Q2599" s="21">
        <v>67</v>
      </c>
      <c r="R2599" s="21">
        <v>0</v>
      </c>
      <c r="S2599" s="5">
        <f t="shared" si="163"/>
        <v>8416.9771201519943</v>
      </c>
      <c r="T2599" cm="1">
        <f t="array" ref="T2599">IF(OR(B2599="MAL ALIMI", B2599="ÜRETİM GİRİŞ"), MIN(I2599, MAX(0, I2599 + SUM(SUMIFS($I$1:I2598, $C$1:C2598, C2599, $B$1:B2598, {"MAL ALIMI","ÜRETİM GİRİŞ"})) - VLOOKUP(C2599, 'STOK RAPORU'!$C$2:$I$1000, 4, 0))), 0)</f>
        <v>0</v>
      </c>
      <c r="U2599" s="22">
        <f t="shared" si="160"/>
        <v>0</v>
      </c>
      <c r="V2599">
        <f t="shared" si="161"/>
        <v>0</v>
      </c>
      <c r="W2599" s="22">
        <f t="shared" si="162"/>
        <v>0</v>
      </c>
    </row>
    <row r="2600" spans="1:23" hidden="1" x14ac:dyDescent="0.25">
      <c r="A2600" s="3">
        <v>46019</v>
      </c>
      <c r="B2600" s="4" t="s">
        <v>334</v>
      </c>
      <c r="C2600" s="4" t="s">
        <v>1151</v>
      </c>
      <c r="D2600" s="4"/>
      <c r="E2600" s="4"/>
      <c r="F2600" s="4" t="s">
        <v>1482</v>
      </c>
      <c r="G2600" s="4" t="s">
        <v>336</v>
      </c>
      <c r="H2600" s="4" t="s">
        <v>289</v>
      </c>
      <c r="I2600" s="4">
        <v>0.1891891891891892</v>
      </c>
      <c r="J2600" s="21">
        <v>370</v>
      </c>
      <c r="K2600" s="21">
        <v>0</v>
      </c>
      <c r="L2600" s="5">
        <v>0</v>
      </c>
      <c r="M2600" s="4"/>
      <c r="N2600" s="4"/>
      <c r="O2600" s="5"/>
      <c r="P2600" s="5"/>
      <c r="Q2600" s="21">
        <v>70</v>
      </c>
      <c r="R2600" s="21">
        <v>0</v>
      </c>
      <c r="S2600" s="5">
        <f t="shared" si="163"/>
        <v>8486.9771201519943</v>
      </c>
      <c r="T2600" cm="1">
        <f t="array" ref="T2600">IF(OR(B2600="MAL ALIMI", B2600="ÜRETİM GİRİŞ"), MIN(I2600, MAX(0, I2600 + SUM(SUMIFS($I$1:I2599, $C$1:C2599, C2600, $B$1:B2599, {"MAL ALIMI","ÜRETİM GİRİŞ"})) - VLOOKUP(C2600, 'STOK RAPORU'!$C$2:$I$1000, 4, 0))), 0)</f>
        <v>0</v>
      </c>
      <c r="U2600" s="22">
        <f t="shared" si="160"/>
        <v>0</v>
      </c>
      <c r="V2600">
        <f t="shared" si="161"/>
        <v>0</v>
      </c>
      <c r="W2600" s="22">
        <f t="shared" si="162"/>
        <v>0</v>
      </c>
    </row>
    <row r="2601" spans="1:23" hidden="1" x14ac:dyDescent="0.25">
      <c r="A2601" s="3">
        <v>46019</v>
      </c>
      <c r="B2601" s="4" t="s">
        <v>334</v>
      </c>
      <c r="C2601" s="4" t="s">
        <v>892</v>
      </c>
      <c r="D2601" s="4"/>
      <c r="E2601" s="4"/>
      <c r="F2601" s="4" t="s">
        <v>1483</v>
      </c>
      <c r="G2601" s="4" t="s">
        <v>336</v>
      </c>
      <c r="H2601" s="4" t="s">
        <v>289</v>
      </c>
      <c r="I2601" s="4">
        <v>1</v>
      </c>
      <c r="J2601" s="21">
        <v>60</v>
      </c>
      <c r="K2601" s="21">
        <v>0</v>
      </c>
      <c r="L2601" s="5">
        <v>0</v>
      </c>
      <c r="M2601" s="4"/>
      <c r="N2601" s="4"/>
      <c r="O2601" s="5"/>
      <c r="P2601" s="5"/>
      <c r="Q2601" s="21">
        <v>60</v>
      </c>
      <c r="R2601" s="21">
        <v>0</v>
      </c>
      <c r="S2601" s="5">
        <f t="shared" si="163"/>
        <v>8546.9771201519943</v>
      </c>
      <c r="T2601" cm="1">
        <f t="array" ref="T2601">IF(OR(B2601="MAL ALIMI", B2601="ÜRETİM GİRİŞ"), MIN(I2601, MAX(0, I2601 + SUM(SUMIFS($I$1:I2600, $C$1:C2600, C2601, $B$1:B2600, {"MAL ALIMI","ÜRETİM GİRİŞ"})) - VLOOKUP(C2601, 'STOK RAPORU'!$C$2:$I$1000, 4, 0))), 0)</f>
        <v>0</v>
      </c>
      <c r="U2601" s="22">
        <f t="shared" si="160"/>
        <v>0</v>
      </c>
      <c r="V2601">
        <f t="shared" si="161"/>
        <v>0</v>
      </c>
      <c r="W2601" s="22">
        <f t="shared" si="162"/>
        <v>0</v>
      </c>
    </row>
    <row r="2602" spans="1:23" hidden="1" x14ac:dyDescent="0.25">
      <c r="A2602" s="3">
        <v>46019</v>
      </c>
      <c r="B2602" s="4" t="s">
        <v>334</v>
      </c>
      <c r="C2602" s="4" t="s">
        <v>223</v>
      </c>
      <c r="D2602" s="4"/>
      <c r="E2602" s="4" t="s">
        <v>921</v>
      </c>
      <c r="F2602" s="4" t="s">
        <v>1484</v>
      </c>
      <c r="G2602" s="4" t="s">
        <v>336</v>
      </c>
      <c r="H2602" s="4" t="s">
        <v>380</v>
      </c>
      <c r="I2602" s="4">
        <v>0.25</v>
      </c>
      <c r="J2602" s="21">
        <v>800</v>
      </c>
      <c r="K2602" s="21">
        <v>200</v>
      </c>
      <c r="L2602" s="5">
        <v>0</v>
      </c>
      <c r="M2602" s="4"/>
      <c r="N2602" s="4"/>
      <c r="O2602" s="5"/>
      <c r="P2602" s="5"/>
      <c r="Q2602" s="21">
        <v>0</v>
      </c>
      <c r="R2602" s="21">
        <v>0</v>
      </c>
      <c r="S2602" s="5">
        <f t="shared" si="163"/>
        <v>8546.9771201519943</v>
      </c>
      <c r="T2602" cm="1">
        <f t="array" ref="T2602">IF(OR(B2602="MAL ALIMI", B2602="ÜRETİM GİRİŞ"), MIN(I2602, MAX(0, I2602 + SUM(SUMIFS($I$1:I2601, $C$1:C2601, C2602, $B$1:B2601, {"MAL ALIMI","ÜRETİM GİRİŞ"})) - VLOOKUP(C2602, 'STOK RAPORU'!$C$2:$I$1000, 4, 0))), 0)</f>
        <v>0</v>
      </c>
      <c r="U2602" s="22">
        <f t="shared" si="160"/>
        <v>0</v>
      </c>
      <c r="V2602">
        <f t="shared" si="161"/>
        <v>0</v>
      </c>
      <c r="W2602" s="22">
        <f t="shared" si="162"/>
        <v>0</v>
      </c>
    </row>
    <row r="2603" spans="1:23" hidden="1" x14ac:dyDescent="0.25">
      <c r="A2603" s="3">
        <v>46019</v>
      </c>
      <c r="B2603" s="4" t="s">
        <v>334</v>
      </c>
      <c r="C2603" s="4" t="s">
        <v>1359</v>
      </c>
      <c r="D2603" s="4"/>
      <c r="E2603" s="4" t="s">
        <v>921</v>
      </c>
      <c r="F2603" s="4" t="s">
        <v>1484</v>
      </c>
      <c r="G2603" s="4" t="s">
        <v>336</v>
      </c>
      <c r="H2603" s="4" t="s">
        <v>380</v>
      </c>
      <c r="I2603" s="4">
        <v>0.21739130434782608</v>
      </c>
      <c r="J2603" s="21">
        <v>460</v>
      </c>
      <c r="K2603" s="21">
        <v>100</v>
      </c>
      <c r="L2603" s="5">
        <v>0</v>
      </c>
      <c r="M2603" s="4"/>
      <c r="N2603" s="4"/>
      <c r="O2603" s="5"/>
      <c r="P2603" s="5"/>
      <c r="Q2603" s="21">
        <v>0</v>
      </c>
      <c r="R2603" s="21">
        <v>0</v>
      </c>
      <c r="S2603" s="5">
        <f t="shared" si="163"/>
        <v>8546.9771201519943</v>
      </c>
      <c r="T2603" cm="1">
        <f t="array" ref="T2603">IF(OR(B2603="MAL ALIMI", B2603="ÜRETİM GİRİŞ"), MIN(I2603, MAX(0, I2603 + SUM(SUMIFS($I$1:I2602, $C$1:C2602, C2603, $B$1:B2602, {"MAL ALIMI","ÜRETİM GİRİŞ"})) - VLOOKUP(C2603, 'STOK RAPORU'!$C$2:$I$1000, 4, 0))), 0)</f>
        <v>0</v>
      </c>
      <c r="U2603" s="22">
        <f t="shared" si="160"/>
        <v>0</v>
      </c>
      <c r="V2603">
        <f t="shared" si="161"/>
        <v>0</v>
      </c>
      <c r="W2603" s="22">
        <f t="shared" si="162"/>
        <v>0</v>
      </c>
    </row>
    <row r="2604" spans="1:23" hidden="1" x14ac:dyDescent="0.25">
      <c r="A2604" s="3">
        <v>46019</v>
      </c>
      <c r="B2604" s="4" t="s">
        <v>334</v>
      </c>
      <c r="C2604" s="4" t="s">
        <v>98</v>
      </c>
      <c r="D2604" s="4"/>
      <c r="E2604" s="4" t="s">
        <v>921</v>
      </c>
      <c r="F2604" s="4" t="s">
        <v>1485</v>
      </c>
      <c r="G2604" s="4" t="s">
        <v>336</v>
      </c>
      <c r="H2604" s="4" t="s">
        <v>380</v>
      </c>
      <c r="I2604" s="4">
        <v>0.1545</v>
      </c>
      <c r="J2604" s="21">
        <v>400</v>
      </c>
      <c r="K2604" s="21">
        <v>61.8</v>
      </c>
      <c r="L2604" s="5">
        <v>0</v>
      </c>
      <c r="M2604" s="4"/>
      <c r="N2604" s="4"/>
      <c r="O2604" s="5"/>
      <c r="P2604" s="5"/>
      <c r="Q2604" s="21">
        <v>0</v>
      </c>
      <c r="R2604" s="21">
        <v>0</v>
      </c>
      <c r="S2604" s="5">
        <f t="shared" si="163"/>
        <v>8546.9771201519943</v>
      </c>
      <c r="T2604" cm="1">
        <f t="array" ref="T2604">IF(OR(B2604="MAL ALIMI", B2604="ÜRETİM GİRİŞ"), MIN(I2604, MAX(0, I2604 + SUM(SUMIFS($I$1:I2603, $C$1:C2603, C2604, $B$1:B2603, {"MAL ALIMI","ÜRETİM GİRİŞ"})) - VLOOKUP(C2604, 'STOK RAPORU'!$C$2:$I$1000, 4, 0))), 0)</f>
        <v>0</v>
      </c>
      <c r="U2604" s="22">
        <f t="shared" si="160"/>
        <v>0</v>
      </c>
      <c r="V2604">
        <f t="shared" si="161"/>
        <v>0</v>
      </c>
      <c r="W2604" s="22">
        <f t="shared" si="162"/>
        <v>0</v>
      </c>
    </row>
    <row r="2605" spans="1:23" hidden="1" x14ac:dyDescent="0.25">
      <c r="A2605" s="3">
        <v>46019</v>
      </c>
      <c r="B2605" s="4" t="s">
        <v>334</v>
      </c>
      <c r="C2605" s="4" t="s">
        <v>140</v>
      </c>
      <c r="D2605" s="4"/>
      <c r="E2605" s="4" t="s">
        <v>921</v>
      </c>
      <c r="F2605" s="4" t="s">
        <v>1485</v>
      </c>
      <c r="G2605" s="4" t="s">
        <v>336</v>
      </c>
      <c r="H2605" s="4" t="s">
        <v>380</v>
      </c>
      <c r="I2605" s="4">
        <v>0.28000000000000003</v>
      </c>
      <c r="J2605" s="21">
        <v>280</v>
      </c>
      <c r="K2605" s="21">
        <v>78.400000000000006</v>
      </c>
      <c r="L2605" s="5">
        <v>0</v>
      </c>
      <c r="M2605" s="4"/>
      <c r="N2605" s="4"/>
      <c r="O2605" s="5"/>
      <c r="P2605" s="5"/>
      <c r="Q2605" s="21">
        <v>0</v>
      </c>
      <c r="R2605" s="21">
        <v>0</v>
      </c>
      <c r="S2605" s="5">
        <f t="shared" si="163"/>
        <v>8546.9771201519943</v>
      </c>
      <c r="T2605" cm="1">
        <f t="array" ref="T2605">IF(OR(B2605="MAL ALIMI", B2605="ÜRETİM GİRİŞ"), MIN(I2605, MAX(0, I2605 + SUM(SUMIFS($I$1:I2604, $C$1:C2604, C2605, $B$1:B2604, {"MAL ALIMI","ÜRETİM GİRİŞ"})) - VLOOKUP(C2605, 'STOK RAPORU'!$C$2:$I$1000, 4, 0))), 0)</f>
        <v>0</v>
      </c>
      <c r="U2605" s="22">
        <f t="shared" si="160"/>
        <v>0</v>
      </c>
      <c r="V2605">
        <f t="shared" si="161"/>
        <v>0</v>
      </c>
      <c r="W2605" s="22">
        <f t="shared" si="162"/>
        <v>0</v>
      </c>
    </row>
    <row r="2606" spans="1:23" hidden="1" x14ac:dyDescent="0.25">
      <c r="A2606" s="3">
        <v>46019</v>
      </c>
      <c r="B2606" s="4" t="s">
        <v>334</v>
      </c>
      <c r="C2606" s="4" t="s">
        <v>60</v>
      </c>
      <c r="D2606" s="4"/>
      <c r="E2606" s="4" t="s">
        <v>921</v>
      </c>
      <c r="F2606" s="4" t="s">
        <v>1485</v>
      </c>
      <c r="G2606" s="4" t="s">
        <v>336</v>
      </c>
      <c r="H2606" s="4" t="s">
        <v>380</v>
      </c>
      <c r="I2606" s="4">
        <v>0.05</v>
      </c>
      <c r="J2606" s="21">
        <v>1200</v>
      </c>
      <c r="K2606" s="21">
        <v>60</v>
      </c>
      <c r="L2606" s="5">
        <v>0</v>
      </c>
      <c r="M2606" s="4"/>
      <c r="N2606" s="4"/>
      <c r="O2606" s="5"/>
      <c r="P2606" s="5"/>
      <c r="Q2606" s="21">
        <v>0</v>
      </c>
      <c r="R2606" s="21">
        <v>0</v>
      </c>
      <c r="S2606" s="5">
        <f t="shared" si="163"/>
        <v>8546.9771201519943</v>
      </c>
      <c r="T2606" cm="1">
        <f t="array" ref="T2606">IF(OR(B2606="MAL ALIMI", B2606="ÜRETİM GİRİŞ"), MIN(I2606, MAX(0, I2606 + SUM(SUMIFS($I$1:I2605, $C$1:C2605, C2606, $B$1:B2605, {"MAL ALIMI","ÜRETİM GİRİŞ"})) - VLOOKUP(C2606, 'STOK RAPORU'!$C$2:$I$1000, 4, 0))), 0)</f>
        <v>0</v>
      </c>
      <c r="U2606" s="22">
        <f t="shared" si="160"/>
        <v>0</v>
      </c>
      <c r="V2606">
        <f t="shared" si="161"/>
        <v>0</v>
      </c>
      <c r="W2606" s="22">
        <f t="shared" si="162"/>
        <v>0</v>
      </c>
    </row>
    <row r="2607" spans="1:23" hidden="1" x14ac:dyDescent="0.25">
      <c r="A2607" s="3">
        <v>46019</v>
      </c>
      <c r="B2607" s="4" t="s">
        <v>334</v>
      </c>
      <c r="C2607" s="4" t="s">
        <v>1634</v>
      </c>
      <c r="D2607" s="4"/>
      <c r="E2607" s="4" t="s">
        <v>921</v>
      </c>
      <c r="F2607" s="4" t="s">
        <v>1486</v>
      </c>
      <c r="G2607" s="4" t="s">
        <v>336</v>
      </c>
      <c r="H2607" s="4" t="s">
        <v>380</v>
      </c>
      <c r="I2607" s="4">
        <v>0.5</v>
      </c>
      <c r="J2607" s="21">
        <v>400</v>
      </c>
      <c r="K2607" s="21">
        <v>200</v>
      </c>
      <c r="L2607" s="5">
        <v>0</v>
      </c>
      <c r="M2607" s="4"/>
      <c r="N2607" s="4"/>
      <c r="O2607" s="5"/>
      <c r="P2607" s="5"/>
      <c r="Q2607" s="21">
        <v>0</v>
      </c>
      <c r="R2607" s="21">
        <v>0</v>
      </c>
      <c r="S2607" s="5">
        <f t="shared" si="163"/>
        <v>8546.9771201519943</v>
      </c>
      <c r="T2607" cm="1">
        <f t="array" ref="T2607">IF(OR(B2607="MAL ALIMI", B2607="ÜRETİM GİRİŞ"), MIN(I2607, MAX(0, I2607 + SUM(SUMIFS($I$1:I2606, $C$1:C2606, C2607, $B$1:B2606, {"MAL ALIMI","ÜRETİM GİRİŞ"})) - VLOOKUP(C2607, 'STOK RAPORU'!$C$2:$I$1000, 4, 0))), 0)</f>
        <v>0</v>
      </c>
      <c r="U2607" s="22">
        <f t="shared" si="160"/>
        <v>0</v>
      </c>
      <c r="V2607">
        <f t="shared" si="161"/>
        <v>0</v>
      </c>
      <c r="W2607" s="22">
        <f t="shared" si="162"/>
        <v>0</v>
      </c>
    </row>
    <row r="2608" spans="1:23" hidden="1" x14ac:dyDescent="0.25">
      <c r="A2608" s="3">
        <v>46019</v>
      </c>
      <c r="B2608" s="4" t="s">
        <v>946</v>
      </c>
      <c r="C2608" s="4"/>
      <c r="D2608" s="4"/>
      <c r="E2608" s="4" t="s">
        <v>921</v>
      </c>
      <c r="F2608" s="4"/>
      <c r="G2608" s="4" t="s">
        <v>946</v>
      </c>
      <c r="H2608" s="4" t="s">
        <v>380</v>
      </c>
      <c r="I2608" s="4">
        <v>1</v>
      </c>
      <c r="J2608" s="105">
        <v>488</v>
      </c>
      <c r="K2608" s="21">
        <v>0</v>
      </c>
      <c r="L2608" s="111">
        <v>488</v>
      </c>
      <c r="M2608" s="4"/>
      <c r="N2608" s="4"/>
      <c r="O2608" s="5"/>
      <c r="P2608" s="5"/>
      <c r="Q2608" s="21">
        <v>488</v>
      </c>
      <c r="R2608" s="21">
        <v>0</v>
      </c>
      <c r="S2608" s="5">
        <f t="shared" si="163"/>
        <v>9034.9771201519943</v>
      </c>
      <c r="T2608" cm="1">
        <f t="array" ref="T2608">IF(OR(B2608="MAL ALIMI", B2608="ÜRETİM GİRİŞ"), MIN(I2608, MAX(0, I2608 + SUM(SUMIFS($I$1:I2607, $C$1:C2607, C2608, $B$1:B2607, {"MAL ALIMI","ÜRETİM GİRİŞ"})) - VLOOKUP(C2608, 'STOK RAPORU'!$C$2:$I$1000, 4, 0))), 0)</f>
        <v>0</v>
      </c>
      <c r="U2608" s="22">
        <f t="shared" si="160"/>
        <v>0</v>
      </c>
      <c r="V2608">
        <f t="shared" si="161"/>
        <v>0</v>
      </c>
      <c r="W2608" s="22">
        <f t="shared" si="162"/>
        <v>0</v>
      </c>
    </row>
    <row r="2609" spans="1:23" x14ac:dyDescent="0.25">
      <c r="A2609" s="3">
        <v>46020</v>
      </c>
      <c r="B2609" s="4" t="s">
        <v>659</v>
      </c>
      <c r="C2609" s="4" t="s">
        <v>1444</v>
      </c>
      <c r="D2609" s="4"/>
      <c r="E2609" s="4" t="s">
        <v>350</v>
      </c>
      <c r="F2609" s="4" t="s">
        <v>978</v>
      </c>
      <c r="G2609" s="4" t="s">
        <v>350</v>
      </c>
      <c r="H2609" s="4" t="s">
        <v>304</v>
      </c>
      <c r="I2609" s="4">
        <v>5</v>
      </c>
      <c r="J2609" s="21">
        <v>160</v>
      </c>
      <c r="K2609" s="21">
        <v>800</v>
      </c>
      <c r="L2609" s="5">
        <v>0</v>
      </c>
      <c r="M2609" s="4"/>
      <c r="N2609" s="4"/>
      <c r="O2609" s="5"/>
      <c r="P2609" s="5"/>
      <c r="Q2609" s="21">
        <v>0</v>
      </c>
      <c r="R2609" s="21">
        <v>0</v>
      </c>
      <c r="S2609" s="5">
        <f t="shared" si="163"/>
        <v>9034.9771201519943</v>
      </c>
      <c r="T2609" cm="1">
        <f t="array" ref="T2609">IF(OR(B2609="MAL ALIMI", B2609="ÜRETİM GİRİŞ"), MIN(I2609, MAX(0, I2609 + SUM(SUMIFS($I$1:I2608, $C$1:C2608, C2609, $B$1:B2608, {"MAL ALIMI","ÜRETİM GİRİŞ"})) - VLOOKUP(C2609, 'STOK RAPORU'!$C$2:$I$1000, 4, 0))), 0)</f>
        <v>0</v>
      </c>
      <c r="U2609" s="22">
        <f t="shared" si="160"/>
        <v>0</v>
      </c>
      <c r="V2609">
        <f t="shared" si="161"/>
        <v>0</v>
      </c>
      <c r="W2609" s="22">
        <f t="shared" si="162"/>
        <v>0</v>
      </c>
    </row>
    <row r="2610" spans="1:23" hidden="1" x14ac:dyDescent="0.25">
      <c r="A2610" s="3">
        <v>46020</v>
      </c>
      <c r="B2610" s="4" t="s">
        <v>334</v>
      </c>
      <c r="C2610" s="4" t="s">
        <v>98</v>
      </c>
      <c r="D2610" s="4"/>
      <c r="E2610" s="4"/>
      <c r="F2610" s="4" t="s">
        <v>1487</v>
      </c>
      <c r="G2610" s="4" t="s">
        <v>336</v>
      </c>
      <c r="H2610" s="4" t="s">
        <v>289</v>
      </c>
      <c r="I2610" s="4">
        <v>6.6000000000000003E-2</v>
      </c>
      <c r="J2610" s="21">
        <v>400</v>
      </c>
      <c r="K2610" s="21">
        <v>0</v>
      </c>
      <c r="L2610" s="5">
        <v>0</v>
      </c>
      <c r="M2610" s="4"/>
      <c r="N2610" s="4"/>
      <c r="O2610" s="5"/>
      <c r="P2610" s="5"/>
      <c r="Q2610" s="21">
        <v>26.400000000000002</v>
      </c>
      <c r="R2610" s="21">
        <v>0</v>
      </c>
      <c r="S2610" s="5">
        <f t="shared" si="163"/>
        <v>9061.3771201519939</v>
      </c>
      <c r="T2610" cm="1">
        <f t="array" ref="T2610">IF(OR(B2610="MAL ALIMI", B2610="ÜRETİM GİRİŞ"), MIN(I2610, MAX(0, I2610 + SUM(SUMIFS($I$1:I2609, $C$1:C2609, C2610, $B$1:B2609, {"MAL ALIMI","ÜRETİM GİRİŞ"})) - VLOOKUP(C2610, 'STOK RAPORU'!$C$2:$I$1000, 4, 0))), 0)</f>
        <v>0</v>
      </c>
      <c r="U2610" s="22">
        <f t="shared" si="160"/>
        <v>0</v>
      </c>
      <c r="V2610">
        <f t="shared" si="161"/>
        <v>0</v>
      </c>
      <c r="W2610" s="22">
        <f t="shared" si="162"/>
        <v>0</v>
      </c>
    </row>
    <row r="2611" spans="1:23" hidden="1" x14ac:dyDescent="0.25">
      <c r="A2611" s="3">
        <v>46020</v>
      </c>
      <c r="B2611" s="4" t="s">
        <v>334</v>
      </c>
      <c r="C2611" s="4" t="s">
        <v>140</v>
      </c>
      <c r="D2611" s="4"/>
      <c r="E2611" s="4"/>
      <c r="F2611" s="4" t="s">
        <v>1487</v>
      </c>
      <c r="G2611" s="4" t="s">
        <v>336</v>
      </c>
      <c r="H2611" s="4" t="s">
        <v>289</v>
      </c>
      <c r="I2611" s="4">
        <v>0.112</v>
      </c>
      <c r="J2611" s="21">
        <v>300</v>
      </c>
      <c r="K2611" s="21">
        <v>0</v>
      </c>
      <c r="L2611" s="5">
        <v>0</v>
      </c>
      <c r="M2611" s="4"/>
      <c r="N2611" s="4"/>
      <c r="O2611" s="5"/>
      <c r="P2611" s="5"/>
      <c r="Q2611" s="21">
        <v>33.6</v>
      </c>
      <c r="R2611" s="21">
        <v>0</v>
      </c>
      <c r="S2611" s="5">
        <f t="shared" si="163"/>
        <v>9094.9771201519943</v>
      </c>
      <c r="T2611" cm="1">
        <f t="array" ref="T2611">IF(OR(B2611="MAL ALIMI", B2611="ÜRETİM GİRİŞ"), MIN(I2611, MAX(0, I2611 + SUM(SUMIFS($I$1:I2610, $C$1:C2610, C2611, $B$1:B2610, {"MAL ALIMI","ÜRETİM GİRİŞ"})) - VLOOKUP(C2611, 'STOK RAPORU'!$C$2:$I$1000, 4, 0))), 0)</f>
        <v>0</v>
      </c>
      <c r="U2611" s="22">
        <f t="shared" si="160"/>
        <v>0</v>
      </c>
      <c r="V2611">
        <f t="shared" si="161"/>
        <v>0</v>
      </c>
      <c r="W2611" s="22">
        <f t="shared" si="162"/>
        <v>0</v>
      </c>
    </row>
    <row r="2612" spans="1:23" hidden="1" x14ac:dyDescent="0.25">
      <c r="A2612" s="3">
        <v>46020</v>
      </c>
      <c r="B2612" s="4" t="s">
        <v>334</v>
      </c>
      <c r="C2612" s="4" t="s">
        <v>1399</v>
      </c>
      <c r="D2612" s="4"/>
      <c r="E2612" s="4"/>
      <c r="F2612" s="4" t="s">
        <v>1487</v>
      </c>
      <c r="G2612" s="4" t="s">
        <v>336</v>
      </c>
      <c r="H2612" s="4" t="s">
        <v>289</v>
      </c>
      <c r="I2612" s="4">
        <v>1</v>
      </c>
      <c r="J2612" s="21">
        <v>145</v>
      </c>
      <c r="K2612" s="21">
        <v>0</v>
      </c>
      <c r="L2612" s="5">
        <v>0</v>
      </c>
      <c r="M2612" s="4"/>
      <c r="N2612" s="4"/>
      <c r="O2612" s="5"/>
      <c r="P2612" s="5"/>
      <c r="Q2612" s="21">
        <v>145</v>
      </c>
      <c r="R2612" s="21">
        <v>0</v>
      </c>
      <c r="S2612" s="5">
        <f t="shared" si="163"/>
        <v>9239.9771201519943</v>
      </c>
      <c r="T2612" cm="1">
        <f t="array" ref="T2612">IF(OR(B2612="MAL ALIMI", B2612="ÜRETİM GİRİŞ"), MIN(I2612, MAX(0, I2612 + SUM(SUMIFS($I$1:I2611, $C$1:C2611, C2612, $B$1:B2611, {"MAL ALIMI","ÜRETİM GİRİŞ"})) - VLOOKUP(C2612, 'STOK RAPORU'!$C$2:$I$1000, 4, 0))), 0)</f>
        <v>0</v>
      </c>
      <c r="U2612" s="22">
        <f t="shared" si="160"/>
        <v>0</v>
      </c>
      <c r="V2612">
        <f t="shared" si="161"/>
        <v>0</v>
      </c>
      <c r="W2612" s="22">
        <f t="shared" si="162"/>
        <v>0</v>
      </c>
    </row>
    <row r="2613" spans="1:23" hidden="1" x14ac:dyDescent="0.25">
      <c r="A2613" s="3">
        <v>46020</v>
      </c>
      <c r="B2613" s="4" t="s">
        <v>334</v>
      </c>
      <c r="C2613" s="4" t="s">
        <v>523</v>
      </c>
      <c r="D2613" s="4"/>
      <c r="E2613" s="4"/>
      <c r="F2613" s="4" t="s">
        <v>1487</v>
      </c>
      <c r="G2613" s="4" t="s">
        <v>336</v>
      </c>
      <c r="H2613" s="4" t="s">
        <v>289</v>
      </c>
      <c r="I2613" s="4">
        <v>0.1</v>
      </c>
      <c r="J2613" s="21">
        <v>650</v>
      </c>
      <c r="K2613" s="21">
        <v>0</v>
      </c>
      <c r="L2613" s="5">
        <v>0</v>
      </c>
      <c r="M2613" s="4"/>
      <c r="N2613" s="4"/>
      <c r="O2613" s="5"/>
      <c r="P2613" s="5"/>
      <c r="Q2613" s="21">
        <v>65</v>
      </c>
      <c r="R2613" s="21">
        <v>0</v>
      </c>
      <c r="S2613" s="5">
        <f t="shared" si="163"/>
        <v>9304.9771201519943</v>
      </c>
      <c r="T2613" cm="1">
        <f t="array" ref="T2613">IF(OR(B2613="MAL ALIMI", B2613="ÜRETİM GİRİŞ"), MIN(I2613, MAX(0, I2613 + SUM(SUMIFS($I$1:I2612, $C$1:C2612, C2613, $B$1:B2612, {"MAL ALIMI","ÜRETİM GİRİŞ"})) - VLOOKUP(C2613, 'STOK RAPORU'!$C$2:$I$1000, 4, 0))), 0)</f>
        <v>0</v>
      </c>
      <c r="U2613" s="22">
        <f t="shared" si="160"/>
        <v>0</v>
      </c>
      <c r="V2613">
        <f t="shared" si="161"/>
        <v>0</v>
      </c>
      <c r="W2613" s="22">
        <f t="shared" si="162"/>
        <v>0</v>
      </c>
    </row>
    <row r="2614" spans="1:23" hidden="1" x14ac:dyDescent="0.25">
      <c r="A2614" s="3">
        <v>46020</v>
      </c>
      <c r="B2614" s="4" t="s">
        <v>334</v>
      </c>
      <c r="C2614" s="4" t="s">
        <v>266</v>
      </c>
      <c r="D2614" s="4"/>
      <c r="E2614" s="4"/>
      <c r="F2614" s="4" t="s">
        <v>1487</v>
      </c>
      <c r="G2614" s="4" t="s">
        <v>336</v>
      </c>
      <c r="H2614" s="4" t="s">
        <v>289</v>
      </c>
      <c r="I2614" s="4">
        <v>0.77400000000000002</v>
      </c>
      <c r="J2614" s="21">
        <v>245</v>
      </c>
      <c r="K2614" s="21">
        <v>0</v>
      </c>
      <c r="L2614" s="5">
        <v>0</v>
      </c>
      <c r="M2614" s="4"/>
      <c r="N2614" s="4"/>
      <c r="O2614" s="5"/>
      <c r="P2614" s="5"/>
      <c r="Q2614" s="21">
        <v>189.63</v>
      </c>
      <c r="R2614" s="21">
        <v>0</v>
      </c>
      <c r="S2614" s="5">
        <f t="shared" si="163"/>
        <v>9494.6071201519935</v>
      </c>
      <c r="T2614" cm="1">
        <f t="array" ref="T2614">IF(OR(B2614="MAL ALIMI", B2614="ÜRETİM GİRİŞ"), MIN(I2614, MAX(0, I2614 + SUM(SUMIFS($I$1:I2613, $C$1:C2613, C2614, $B$1:B2613, {"MAL ALIMI","ÜRETİM GİRİŞ"})) - VLOOKUP(C2614, 'STOK RAPORU'!$C$2:$I$1000, 4, 0))), 0)</f>
        <v>0</v>
      </c>
      <c r="U2614" s="22">
        <f t="shared" si="160"/>
        <v>0</v>
      </c>
      <c r="V2614">
        <f t="shared" si="161"/>
        <v>0</v>
      </c>
      <c r="W2614" s="22">
        <f t="shared" si="162"/>
        <v>0</v>
      </c>
    </row>
    <row r="2615" spans="1:23" hidden="1" x14ac:dyDescent="0.25">
      <c r="A2615" s="3">
        <v>46020</v>
      </c>
      <c r="B2615" s="4" t="s">
        <v>334</v>
      </c>
      <c r="C2615" s="4" t="s">
        <v>126</v>
      </c>
      <c r="D2615" s="4"/>
      <c r="E2615" s="4"/>
      <c r="F2615" s="4" t="s">
        <v>1487</v>
      </c>
      <c r="G2615" s="4" t="s">
        <v>336</v>
      </c>
      <c r="H2615" s="4" t="s">
        <v>289</v>
      </c>
      <c r="I2615" s="4">
        <v>7.1999999999999995E-2</v>
      </c>
      <c r="J2615" s="21">
        <v>600</v>
      </c>
      <c r="K2615" s="21">
        <v>0</v>
      </c>
      <c r="L2615" s="5">
        <v>0</v>
      </c>
      <c r="M2615" s="4"/>
      <c r="N2615" s="4"/>
      <c r="O2615" s="5"/>
      <c r="P2615" s="5"/>
      <c r="Q2615" s="21">
        <v>43.199999999999996</v>
      </c>
      <c r="R2615" s="21">
        <v>0</v>
      </c>
      <c r="S2615" s="5">
        <f t="shared" si="163"/>
        <v>9537.8071201519942</v>
      </c>
      <c r="T2615" cm="1">
        <f t="array" ref="T2615">IF(OR(B2615="MAL ALIMI", B2615="ÜRETİM GİRİŞ"), MIN(I2615, MAX(0, I2615 + SUM(SUMIFS($I$1:I2614, $C$1:C2614, C2615, $B$1:B2614, {"MAL ALIMI","ÜRETİM GİRİŞ"})) - VLOOKUP(C2615, 'STOK RAPORU'!$C$2:$I$1000, 4, 0))), 0)</f>
        <v>0</v>
      </c>
      <c r="U2615" s="22">
        <f t="shared" si="160"/>
        <v>0</v>
      </c>
      <c r="V2615">
        <f t="shared" si="161"/>
        <v>0</v>
      </c>
      <c r="W2615" s="22">
        <f t="shared" si="162"/>
        <v>0</v>
      </c>
    </row>
    <row r="2616" spans="1:23" hidden="1" x14ac:dyDescent="0.25">
      <c r="A2616" s="3">
        <v>46020</v>
      </c>
      <c r="B2616" s="4" t="s">
        <v>334</v>
      </c>
      <c r="C2616" s="4" t="s">
        <v>60</v>
      </c>
      <c r="D2616" s="4"/>
      <c r="E2616" s="4"/>
      <c r="F2616" s="4" t="s">
        <v>1487</v>
      </c>
      <c r="G2616" s="4" t="s">
        <v>336</v>
      </c>
      <c r="H2616" s="4" t="s">
        <v>289</v>
      </c>
      <c r="I2616" s="4">
        <v>0.05</v>
      </c>
      <c r="J2616" s="21">
        <v>1200</v>
      </c>
      <c r="K2616" s="21">
        <v>0</v>
      </c>
      <c r="L2616" s="5">
        <v>0</v>
      </c>
      <c r="M2616" s="4"/>
      <c r="N2616" s="4"/>
      <c r="O2616" s="5"/>
      <c r="P2616" s="5"/>
      <c r="Q2616" s="21">
        <v>60</v>
      </c>
      <c r="R2616" s="21">
        <v>0</v>
      </c>
      <c r="S2616" s="5">
        <f t="shared" si="163"/>
        <v>9597.8071201519942</v>
      </c>
      <c r="T2616" cm="1">
        <f t="array" ref="T2616">IF(OR(B2616="MAL ALIMI", B2616="ÜRETİM GİRİŞ"), MIN(I2616, MAX(0, I2616 + SUM(SUMIFS($I$1:I2615, $C$1:C2615, C2616, $B$1:B2615, {"MAL ALIMI","ÜRETİM GİRİŞ"})) - VLOOKUP(C2616, 'STOK RAPORU'!$C$2:$I$1000, 4, 0))), 0)</f>
        <v>0</v>
      </c>
      <c r="U2616" s="22">
        <f t="shared" si="160"/>
        <v>0</v>
      </c>
      <c r="V2616">
        <f t="shared" si="161"/>
        <v>0</v>
      </c>
      <c r="W2616" s="22">
        <f t="shared" si="162"/>
        <v>0</v>
      </c>
    </row>
    <row r="2617" spans="1:23" hidden="1" x14ac:dyDescent="0.25">
      <c r="A2617" s="3">
        <v>46020</v>
      </c>
      <c r="B2617" s="4" t="s">
        <v>334</v>
      </c>
      <c r="C2617" s="4" t="s">
        <v>158</v>
      </c>
      <c r="D2617" s="4"/>
      <c r="E2617" s="4"/>
      <c r="F2617" s="4" t="s">
        <v>1488</v>
      </c>
      <c r="G2617" s="4" t="s">
        <v>336</v>
      </c>
      <c r="H2617" s="4" t="s">
        <v>289</v>
      </c>
      <c r="I2617" s="4">
        <v>0.5</v>
      </c>
      <c r="J2617" s="21">
        <v>150</v>
      </c>
      <c r="K2617" s="21">
        <v>0</v>
      </c>
      <c r="L2617" s="5">
        <v>0</v>
      </c>
      <c r="M2617" s="4"/>
      <c r="N2617" s="4"/>
      <c r="O2617" s="5"/>
      <c r="P2617" s="5"/>
      <c r="Q2617" s="21">
        <v>75</v>
      </c>
      <c r="R2617" s="21">
        <v>0</v>
      </c>
      <c r="S2617" s="5">
        <f t="shared" si="163"/>
        <v>9672.8071201519942</v>
      </c>
      <c r="T2617" cm="1">
        <f t="array" ref="T2617">IF(OR(B2617="MAL ALIMI", B2617="ÜRETİM GİRİŞ"), MIN(I2617, MAX(0, I2617 + SUM(SUMIFS($I$1:I2616, $C$1:C2616, C2617, $B$1:B2616, {"MAL ALIMI","ÜRETİM GİRİŞ"})) - VLOOKUP(C2617, 'STOK RAPORU'!$C$2:$I$1000, 4, 0))), 0)</f>
        <v>0</v>
      </c>
      <c r="U2617" s="22">
        <f t="shared" si="160"/>
        <v>0</v>
      </c>
      <c r="V2617">
        <f t="shared" si="161"/>
        <v>0</v>
      </c>
      <c r="W2617" s="22">
        <f t="shared" si="162"/>
        <v>0</v>
      </c>
    </row>
    <row r="2618" spans="1:23" hidden="1" x14ac:dyDescent="0.25">
      <c r="A2618" s="3">
        <v>46020</v>
      </c>
      <c r="B2618" s="4" t="s">
        <v>334</v>
      </c>
      <c r="C2618" s="4" t="s">
        <v>157</v>
      </c>
      <c r="D2618" s="4"/>
      <c r="E2618" s="4"/>
      <c r="F2618" s="4" t="s">
        <v>1488</v>
      </c>
      <c r="G2618" s="4" t="s">
        <v>336</v>
      </c>
      <c r="H2618" s="4" t="s">
        <v>289</v>
      </c>
      <c r="I2618" s="4">
        <v>0.5</v>
      </c>
      <c r="J2618" s="21">
        <v>200</v>
      </c>
      <c r="K2618" s="21">
        <v>0</v>
      </c>
      <c r="L2618" s="5">
        <v>0</v>
      </c>
      <c r="M2618" s="4"/>
      <c r="N2618" s="4"/>
      <c r="O2618" s="5"/>
      <c r="P2618" s="5"/>
      <c r="Q2618" s="21">
        <v>100</v>
      </c>
      <c r="R2618" s="21">
        <v>0</v>
      </c>
      <c r="S2618" s="5">
        <f t="shared" si="163"/>
        <v>9772.8071201519942</v>
      </c>
      <c r="T2618" cm="1">
        <f t="array" ref="T2618">IF(OR(B2618="MAL ALIMI", B2618="ÜRETİM GİRİŞ"), MIN(I2618, MAX(0, I2618 + SUM(SUMIFS($I$1:I2617, $C$1:C2617, C2618, $B$1:B2617, {"MAL ALIMI","ÜRETİM GİRİŞ"})) - VLOOKUP(C2618, 'STOK RAPORU'!$C$2:$I$1000, 4, 0))), 0)</f>
        <v>0</v>
      </c>
      <c r="U2618" s="22">
        <f t="shared" si="160"/>
        <v>0</v>
      </c>
      <c r="V2618">
        <f t="shared" si="161"/>
        <v>0</v>
      </c>
      <c r="W2618" s="22">
        <f t="shared" si="162"/>
        <v>0</v>
      </c>
    </row>
    <row r="2619" spans="1:23" hidden="1" x14ac:dyDescent="0.25">
      <c r="A2619" s="3">
        <v>46020</v>
      </c>
      <c r="B2619" s="4" t="s">
        <v>334</v>
      </c>
      <c r="C2619" s="4" t="s">
        <v>60</v>
      </c>
      <c r="D2619" s="4"/>
      <c r="E2619" s="4"/>
      <c r="F2619" s="4" t="s">
        <v>1488</v>
      </c>
      <c r="G2619" s="4" t="s">
        <v>336</v>
      </c>
      <c r="H2619" s="4" t="s">
        <v>289</v>
      </c>
      <c r="I2619" s="4">
        <v>0.05</v>
      </c>
      <c r="J2619" s="21">
        <v>1200</v>
      </c>
      <c r="K2619" s="21">
        <v>0</v>
      </c>
      <c r="L2619" s="5">
        <v>0</v>
      </c>
      <c r="M2619" s="4"/>
      <c r="N2619" s="4"/>
      <c r="O2619" s="5"/>
      <c r="P2619" s="5"/>
      <c r="Q2619" s="21">
        <v>60</v>
      </c>
      <c r="R2619" s="21">
        <v>0</v>
      </c>
      <c r="S2619" s="5">
        <f t="shared" si="163"/>
        <v>9832.8071201519942</v>
      </c>
      <c r="T2619" cm="1">
        <f t="array" ref="T2619">IF(OR(B2619="MAL ALIMI", B2619="ÜRETİM GİRİŞ"), MIN(I2619, MAX(0, I2619 + SUM(SUMIFS($I$1:I2618, $C$1:C2618, C2619, $B$1:B2618, {"MAL ALIMI","ÜRETİM GİRİŞ"})) - VLOOKUP(C2619, 'STOK RAPORU'!$C$2:$I$1000, 4, 0))), 0)</f>
        <v>0</v>
      </c>
      <c r="U2619" s="22">
        <f t="shared" si="160"/>
        <v>0</v>
      </c>
      <c r="V2619">
        <f t="shared" si="161"/>
        <v>0</v>
      </c>
      <c r="W2619" s="22">
        <f t="shared" si="162"/>
        <v>0</v>
      </c>
    </row>
    <row r="2620" spans="1:23" hidden="1" x14ac:dyDescent="0.25">
      <c r="A2620" s="3">
        <v>46020</v>
      </c>
      <c r="B2620" s="4" t="s">
        <v>334</v>
      </c>
      <c r="C2620" s="4" t="s">
        <v>589</v>
      </c>
      <c r="D2620" s="4"/>
      <c r="E2620" s="4" t="s">
        <v>921</v>
      </c>
      <c r="F2620" s="4" t="s">
        <v>1489</v>
      </c>
      <c r="G2620" s="4" t="s">
        <v>336</v>
      </c>
      <c r="H2620" s="4" t="s">
        <v>380</v>
      </c>
      <c r="I2620" s="4">
        <v>0.82599999999999996</v>
      </c>
      <c r="J2620" s="21">
        <v>80</v>
      </c>
      <c r="K2620" s="21">
        <v>66.08</v>
      </c>
      <c r="L2620" s="5">
        <v>0</v>
      </c>
      <c r="M2620" s="4"/>
      <c r="N2620" s="4"/>
      <c r="O2620" s="5"/>
      <c r="P2620" s="5"/>
      <c r="Q2620" s="21">
        <v>0</v>
      </c>
      <c r="R2620" s="21">
        <v>0</v>
      </c>
      <c r="S2620" s="5">
        <f t="shared" si="163"/>
        <v>9832.8071201519942</v>
      </c>
      <c r="T2620" cm="1">
        <f t="array" ref="T2620">IF(OR(B2620="MAL ALIMI", B2620="ÜRETİM GİRİŞ"), MIN(I2620, MAX(0, I2620 + SUM(SUMIFS($I$1:I2619, $C$1:C2619, C2620, $B$1:B2619, {"MAL ALIMI","ÜRETİM GİRİŞ"})) - VLOOKUP(C2620, 'STOK RAPORU'!$C$2:$I$1000, 4, 0))), 0)</f>
        <v>0</v>
      </c>
      <c r="U2620" s="22">
        <f t="shared" si="160"/>
        <v>0</v>
      </c>
      <c r="V2620">
        <f t="shared" si="161"/>
        <v>0</v>
      </c>
      <c r="W2620" s="22">
        <f t="shared" si="162"/>
        <v>0</v>
      </c>
    </row>
    <row r="2621" spans="1:23" hidden="1" x14ac:dyDescent="0.25">
      <c r="A2621" s="3">
        <v>46020</v>
      </c>
      <c r="B2621" s="4" t="s">
        <v>334</v>
      </c>
      <c r="C2621" s="4" t="s">
        <v>468</v>
      </c>
      <c r="D2621" s="4"/>
      <c r="E2621" s="4" t="s">
        <v>921</v>
      </c>
      <c r="F2621" s="4" t="s">
        <v>1490</v>
      </c>
      <c r="G2621" s="4" t="s">
        <v>336</v>
      </c>
      <c r="H2621" s="4" t="s">
        <v>380</v>
      </c>
      <c r="I2621" s="4">
        <v>1</v>
      </c>
      <c r="J2621" s="21">
        <v>50</v>
      </c>
      <c r="K2621" s="21">
        <v>50</v>
      </c>
      <c r="L2621" s="5">
        <v>0</v>
      </c>
      <c r="M2621" s="4"/>
      <c r="N2621" s="4"/>
      <c r="O2621" s="5"/>
      <c r="P2621" s="5"/>
      <c r="Q2621" s="21">
        <v>0</v>
      </c>
      <c r="R2621" s="21">
        <v>0</v>
      </c>
      <c r="S2621" s="5">
        <f t="shared" si="163"/>
        <v>9832.8071201519942</v>
      </c>
      <c r="T2621" cm="1">
        <f t="array" ref="T2621">IF(OR(B2621="MAL ALIMI", B2621="ÜRETİM GİRİŞ"), MIN(I2621, MAX(0, I2621 + SUM(SUMIFS($I$1:I2620, $C$1:C2620, C2621, $B$1:B2620, {"MAL ALIMI","ÜRETİM GİRİŞ"})) - VLOOKUP(C2621, 'STOK RAPORU'!$C$2:$I$1000, 4, 0))), 0)</f>
        <v>0</v>
      </c>
      <c r="U2621" s="22">
        <f t="shared" si="160"/>
        <v>0</v>
      </c>
      <c r="V2621">
        <f t="shared" si="161"/>
        <v>0</v>
      </c>
      <c r="W2621" s="22">
        <f t="shared" si="162"/>
        <v>0</v>
      </c>
    </row>
    <row r="2622" spans="1:23" hidden="1" x14ac:dyDescent="0.25">
      <c r="A2622" s="3">
        <v>46020</v>
      </c>
      <c r="B2622" s="4" t="s">
        <v>334</v>
      </c>
      <c r="C2622" s="4" t="s">
        <v>1041</v>
      </c>
      <c r="D2622" s="4"/>
      <c r="E2622" s="4"/>
      <c r="F2622" s="4" t="s">
        <v>1491</v>
      </c>
      <c r="G2622" s="4" t="s">
        <v>336</v>
      </c>
      <c r="H2622" s="4" t="s">
        <v>289</v>
      </c>
      <c r="I2622" s="4">
        <v>0.4</v>
      </c>
      <c r="J2622" s="21">
        <v>250</v>
      </c>
      <c r="K2622" s="21">
        <v>0</v>
      </c>
      <c r="L2622" s="5">
        <v>0</v>
      </c>
      <c r="M2622" s="4"/>
      <c r="N2622" s="4"/>
      <c r="O2622" s="5"/>
      <c r="P2622" s="5"/>
      <c r="Q2622" s="21">
        <v>100</v>
      </c>
      <c r="R2622" s="21">
        <v>0</v>
      </c>
      <c r="S2622" s="5">
        <f t="shared" si="163"/>
        <v>9932.8071201519942</v>
      </c>
      <c r="T2622" cm="1">
        <f t="array" ref="T2622">IF(OR(B2622="MAL ALIMI", B2622="ÜRETİM GİRİŞ"), MIN(I2622, MAX(0, I2622 + SUM(SUMIFS($I$1:I2621, $C$1:C2621, C2622, $B$1:B2621, {"MAL ALIMI","ÜRETİM GİRİŞ"})) - VLOOKUP(C2622, 'STOK RAPORU'!$C$2:$I$1000, 4, 0))), 0)</f>
        <v>0</v>
      </c>
      <c r="U2622" s="22">
        <f t="shared" si="160"/>
        <v>0</v>
      </c>
      <c r="V2622">
        <f t="shared" si="161"/>
        <v>0</v>
      </c>
      <c r="W2622" s="22">
        <f t="shared" si="162"/>
        <v>0</v>
      </c>
    </row>
    <row r="2623" spans="1:23" hidden="1" x14ac:dyDescent="0.25">
      <c r="A2623" s="3">
        <v>46020</v>
      </c>
      <c r="B2623" s="4" t="s">
        <v>334</v>
      </c>
      <c r="C2623" s="4" t="s">
        <v>1634</v>
      </c>
      <c r="D2623" s="4"/>
      <c r="E2623" s="4" t="s">
        <v>921</v>
      </c>
      <c r="F2623" s="4" t="s">
        <v>1492</v>
      </c>
      <c r="G2623" s="4" t="s">
        <v>336</v>
      </c>
      <c r="H2623" s="4" t="s">
        <v>380</v>
      </c>
      <c r="I2623" s="4">
        <v>1.5</v>
      </c>
      <c r="J2623" s="21">
        <v>400</v>
      </c>
      <c r="K2623" s="21">
        <v>600</v>
      </c>
      <c r="L2623" s="5">
        <v>0</v>
      </c>
      <c r="M2623" s="4"/>
      <c r="N2623" s="4"/>
      <c r="O2623" s="5"/>
      <c r="P2623" s="5"/>
      <c r="Q2623" s="21">
        <v>0</v>
      </c>
      <c r="R2623" s="21">
        <v>0</v>
      </c>
      <c r="S2623" s="5">
        <f t="shared" si="163"/>
        <v>9932.8071201519942</v>
      </c>
      <c r="T2623" cm="1">
        <f t="array" ref="T2623">IF(OR(B2623="MAL ALIMI", B2623="ÜRETİM GİRİŞ"), MIN(I2623, MAX(0, I2623 + SUM(SUMIFS($I$1:I2622, $C$1:C2622, C2623, $B$1:B2622, {"MAL ALIMI","ÜRETİM GİRİŞ"})) - VLOOKUP(C2623, 'STOK RAPORU'!$C$2:$I$1000, 4, 0))), 0)</f>
        <v>0</v>
      </c>
      <c r="U2623" s="22">
        <f t="shared" si="160"/>
        <v>0</v>
      </c>
      <c r="V2623">
        <f t="shared" si="161"/>
        <v>0</v>
      </c>
      <c r="W2623" s="22">
        <f t="shared" si="162"/>
        <v>0</v>
      </c>
    </row>
    <row r="2624" spans="1:23" hidden="1" x14ac:dyDescent="0.25">
      <c r="A2624" s="3">
        <v>46020</v>
      </c>
      <c r="B2624" s="4" t="s">
        <v>334</v>
      </c>
      <c r="C2624" s="4" t="s">
        <v>1634</v>
      </c>
      <c r="D2624" s="4"/>
      <c r="E2624" s="4"/>
      <c r="F2624" s="4" t="s">
        <v>1492</v>
      </c>
      <c r="G2624" s="4" t="s">
        <v>336</v>
      </c>
      <c r="H2624" s="4" t="s">
        <v>289</v>
      </c>
      <c r="I2624" s="4">
        <v>0.26250000000000001</v>
      </c>
      <c r="J2624" s="21">
        <v>400</v>
      </c>
      <c r="K2624" s="21">
        <v>0</v>
      </c>
      <c r="L2624" s="5">
        <v>0</v>
      </c>
      <c r="M2624" s="4"/>
      <c r="N2624" s="4"/>
      <c r="O2624" s="5"/>
      <c r="P2624" s="5"/>
      <c r="Q2624" s="21">
        <v>105</v>
      </c>
      <c r="R2624" s="21">
        <v>0</v>
      </c>
      <c r="S2624" s="5">
        <f t="shared" si="163"/>
        <v>10037.807120151994</v>
      </c>
      <c r="T2624" cm="1">
        <f t="array" ref="T2624">IF(OR(B2624="MAL ALIMI", B2624="ÜRETİM GİRİŞ"), MIN(I2624, MAX(0, I2624 + SUM(SUMIFS($I$1:I2623, $C$1:C2623, C2624, $B$1:B2623, {"MAL ALIMI","ÜRETİM GİRİŞ"})) - VLOOKUP(C2624, 'STOK RAPORU'!$C$2:$I$1000, 4, 0))), 0)</f>
        <v>0</v>
      </c>
      <c r="U2624" s="22">
        <f t="shared" si="160"/>
        <v>0</v>
      </c>
      <c r="V2624">
        <f t="shared" si="161"/>
        <v>0</v>
      </c>
      <c r="W2624" s="22">
        <f t="shared" si="162"/>
        <v>0</v>
      </c>
    </row>
    <row r="2625" spans="1:23" hidden="1" x14ac:dyDescent="0.25">
      <c r="A2625" s="3">
        <v>46020</v>
      </c>
      <c r="B2625" s="4" t="s">
        <v>334</v>
      </c>
      <c r="C2625" s="4" t="s">
        <v>463</v>
      </c>
      <c r="D2625" s="4"/>
      <c r="E2625" s="4" t="s">
        <v>921</v>
      </c>
      <c r="F2625" s="4" t="s">
        <v>1493</v>
      </c>
      <c r="G2625" s="4" t="s">
        <v>336</v>
      </c>
      <c r="H2625" s="4" t="s">
        <v>380</v>
      </c>
      <c r="I2625" s="4">
        <v>0.58918918918918917</v>
      </c>
      <c r="J2625" s="21">
        <v>370</v>
      </c>
      <c r="K2625" s="21">
        <v>218</v>
      </c>
      <c r="L2625" s="5">
        <v>0</v>
      </c>
      <c r="M2625" s="4"/>
      <c r="N2625" s="4"/>
      <c r="O2625" s="5"/>
      <c r="P2625" s="5"/>
      <c r="Q2625" s="21">
        <v>0</v>
      </c>
      <c r="R2625" s="21">
        <v>0</v>
      </c>
      <c r="S2625" s="5">
        <f t="shared" si="163"/>
        <v>10037.807120151994</v>
      </c>
      <c r="T2625" cm="1">
        <f t="array" ref="T2625">IF(OR(B2625="MAL ALIMI", B2625="ÜRETİM GİRİŞ"), MIN(I2625, MAX(0, I2625 + SUM(SUMIFS($I$1:I2624, $C$1:C2624, C2625, $B$1:B2624, {"MAL ALIMI","ÜRETİM GİRİŞ"})) - VLOOKUP(C2625, 'STOK RAPORU'!$C$2:$I$1000, 4, 0))), 0)</f>
        <v>0</v>
      </c>
      <c r="U2625" s="22">
        <f t="shared" si="160"/>
        <v>0</v>
      </c>
      <c r="V2625">
        <f t="shared" si="161"/>
        <v>0</v>
      </c>
      <c r="W2625" s="22">
        <f t="shared" si="162"/>
        <v>0</v>
      </c>
    </row>
    <row r="2626" spans="1:23" hidden="1" x14ac:dyDescent="0.25">
      <c r="A2626" s="3">
        <v>46020</v>
      </c>
      <c r="B2626" s="4" t="s">
        <v>334</v>
      </c>
      <c r="C2626" s="4" t="s">
        <v>158</v>
      </c>
      <c r="D2626" s="4"/>
      <c r="E2626" s="4" t="s">
        <v>921</v>
      </c>
      <c r="F2626" s="4" t="s">
        <v>1493</v>
      </c>
      <c r="G2626" s="4" t="s">
        <v>336</v>
      </c>
      <c r="H2626" s="4" t="s">
        <v>380</v>
      </c>
      <c r="I2626" s="4">
        <v>2</v>
      </c>
      <c r="J2626" s="21">
        <v>150</v>
      </c>
      <c r="K2626" s="21">
        <v>300</v>
      </c>
      <c r="L2626" s="5">
        <v>0</v>
      </c>
      <c r="M2626" s="4"/>
      <c r="N2626" s="4"/>
      <c r="O2626" s="5"/>
      <c r="P2626" s="5"/>
      <c r="Q2626" s="21">
        <v>0</v>
      </c>
      <c r="R2626" s="21">
        <v>0</v>
      </c>
      <c r="S2626" s="5">
        <f t="shared" si="163"/>
        <v>10037.807120151994</v>
      </c>
      <c r="T2626" cm="1">
        <f t="array" ref="T2626">IF(OR(B2626="MAL ALIMI", B2626="ÜRETİM GİRİŞ"), MIN(I2626, MAX(0, I2626 + SUM(SUMIFS($I$1:I2625, $C$1:C2625, C2626, $B$1:B2625, {"MAL ALIMI","ÜRETİM GİRİŞ"})) - VLOOKUP(C2626, 'STOK RAPORU'!$C$2:$I$1000, 4, 0))), 0)</f>
        <v>0</v>
      </c>
      <c r="U2626" s="22">
        <f t="shared" si="160"/>
        <v>0</v>
      </c>
      <c r="V2626">
        <f t="shared" si="161"/>
        <v>0</v>
      </c>
      <c r="W2626" s="22">
        <f t="shared" si="162"/>
        <v>0</v>
      </c>
    </row>
    <row r="2627" spans="1:23" hidden="1" x14ac:dyDescent="0.25">
      <c r="A2627" s="3">
        <v>46020</v>
      </c>
      <c r="B2627" s="4" t="s">
        <v>334</v>
      </c>
      <c r="C2627" s="4" t="s">
        <v>1634</v>
      </c>
      <c r="D2627" s="4"/>
      <c r="E2627" s="4" t="s">
        <v>921</v>
      </c>
      <c r="F2627" s="4" t="s">
        <v>1493</v>
      </c>
      <c r="G2627" s="4" t="s">
        <v>336</v>
      </c>
      <c r="H2627" s="4" t="s">
        <v>380</v>
      </c>
      <c r="I2627" s="4">
        <v>0.5</v>
      </c>
      <c r="J2627" s="21">
        <v>400</v>
      </c>
      <c r="K2627" s="21">
        <v>200</v>
      </c>
      <c r="L2627" s="5">
        <v>0</v>
      </c>
      <c r="M2627" s="4"/>
      <c r="N2627" s="4"/>
      <c r="O2627" s="5"/>
      <c r="P2627" s="5"/>
      <c r="Q2627" s="21">
        <v>0</v>
      </c>
      <c r="R2627" s="21">
        <v>0</v>
      </c>
      <c r="S2627" s="5">
        <f t="shared" si="163"/>
        <v>10037.807120151994</v>
      </c>
      <c r="T2627" cm="1">
        <f t="array" ref="T2627">IF(OR(B2627="MAL ALIMI", B2627="ÜRETİM GİRİŞ"), MIN(I2627, MAX(0, I2627 + SUM(SUMIFS($I$1:I2626, $C$1:C2626, C2627, $B$1:B2626, {"MAL ALIMI","ÜRETİM GİRİŞ"})) - VLOOKUP(C2627, 'STOK RAPORU'!$C$2:$I$1000, 4, 0))), 0)</f>
        <v>0</v>
      </c>
      <c r="U2627" s="22">
        <f t="shared" ref="U2627:U2690" si="164">T2627*J2627</f>
        <v>0</v>
      </c>
      <c r="V2627">
        <f t="shared" ref="V2627:V2690" si="165">IF(OR(B2627="MAL ALIMI", B2627="ÜRETİM GİRİŞ"), I2627 * J2627, 0)</f>
        <v>0</v>
      </c>
      <c r="W2627" s="22">
        <f t="shared" ref="W2627:W2690" si="166">V2627-U2627</f>
        <v>0</v>
      </c>
    </row>
    <row r="2628" spans="1:23" hidden="1" x14ac:dyDescent="0.25">
      <c r="A2628" s="3">
        <v>46020</v>
      </c>
      <c r="B2628" s="4" t="s">
        <v>334</v>
      </c>
      <c r="C2628" s="4" t="s">
        <v>691</v>
      </c>
      <c r="D2628" s="4"/>
      <c r="E2628" s="4" t="s">
        <v>921</v>
      </c>
      <c r="F2628" s="4" t="s">
        <v>1493</v>
      </c>
      <c r="G2628" s="4" t="s">
        <v>336</v>
      </c>
      <c r="H2628" s="4" t="s">
        <v>380</v>
      </c>
      <c r="I2628" s="4">
        <v>0.32173913043478258</v>
      </c>
      <c r="J2628" s="21">
        <v>230</v>
      </c>
      <c r="K2628" s="21">
        <v>74</v>
      </c>
      <c r="L2628" s="5">
        <v>0</v>
      </c>
      <c r="M2628" s="4"/>
      <c r="N2628" s="4"/>
      <c r="O2628" s="5"/>
      <c r="P2628" s="5"/>
      <c r="Q2628" s="21">
        <v>0</v>
      </c>
      <c r="R2628" s="21">
        <v>0</v>
      </c>
      <c r="S2628" s="5">
        <f t="shared" ref="S2628:S2691" si="167">S2627+Q2628-R2628</f>
        <v>10037.807120151994</v>
      </c>
      <c r="T2628" cm="1">
        <f t="array" ref="T2628">IF(OR(B2628="MAL ALIMI", B2628="ÜRETİM GİRİŞ"), MIN(I2628, MAX(0, I2628 + SUM(SUMIFS($I$1:I2627, $C$1:C2627, C2628, $B$1:B2627, {"MAL ALIMI","ÜRETİM GİRİŞ"})) - VLOOKUP(C2628, 'STOK RAPORU'!$C$2:$I$1000, 4, 0))), 0)</f>
        <v>0</v>
      </c>
      <c r="U2628" s="22">
        <f t="shared" si="164"/>
        <v>0</v>
      </c>
      <c r="V2628">
        <f t="shared" si="165"/>
        <v>0</v>
      </c>
      <c r="W2628" s="22">
        <f t="shared" si="166"/>
        <v>0</v>
      </c>
    </row>
    <row r="2629" spans="1:23" hidden="1" x14ac:dyDescent="0.25">
      <c r="A2629" s="3">
        <v>46020</v>
      </c>
      <c r="B2629" s="4" t="s">
        <v>334</v>
      </c>
      <c r="C2629" s="4" t="s">
        <v>1357</v>
      </c>
      <c r="D2629" s="4"/>
      <c r="E2629" s="4" t="s">
        <v>921</v>
      </c>
      <c r="F2629" s="4" t="s">
        <v>1494</v>
      </c>
      <c r="G2629" s="4" t="s">
        <v>336</v>
      </c>
      <c r="H2629" s="4" t="s">
        <v>380</v>
      </c>
      <c r="I2629" s="4">
        <v>7.192982456140351E-2</v>
      </c>
      <c r="J2629" s="21">
        <v>570</v>
      </c>
      <c r="K2629" s="21">
        <v>41</v>
      </c>
      <c r="L2629" s="5">
        <v>0</v>
      </c>
      <c r="M2629" s="4"/>
      <c r="N2629" s="4"/>
      <c r="O2629" s="5"/>
      <c r="P2629" s="5"/>
      <c r="Q2629" s="21">
        <v>0</v>
      </c>
      <c r="R2629" s="21">
        <v>0</v>
      </c>
      <c r="S2629" s="5">
        <f t="shared" si="167"/>
        <v>10037.807120151994</v>
      </c>
      <c r="T2629" cm="1">
        <f t="array" ref="T2629">IF(OR(B2629="MAL ALIMI", B2629="ÜRETİM GİRİŞ"), MIN(I2629, MAX(0, I2629 + SUM(SUMIFS($I$1:I2628, $C$1:C2628, C2629, $B$1:B2628, {"MAL ALIMI","ÜRETİM GİRİŞ"})) - VLOOKUP(C2629, 'STOK RAPORU'!$C$2:$I$1000, 4, 0))), 0)</f>
        <v>0</v>
      </c>
      <c r="U2629" s="22">
        <f t="shared" si="164"/>
        <v>0</v>
      </c>
      <c r="V2629">
        <f t="shared" si="165"/>
        <v>0</v>
      </c>
      <c r="W2629" s="22">
        <f t="shared" si="166"/>
        <v>0</v>
      </c>
    </row>
    <row r="2630" spans="1:23" hidden="1" x14ac:dyDescent="0.25">
      <c r="A2630" s="3">
        <v>46020</v>
      </c>
      <c r="B2630" s="4" t="s">
        <v>334</v>
      </c>
      <c r="C2630" s="4" t="s">
        <v>98</v>
      </c>
      <c r="D2630" s="4"/>
      <c r="E2630" s="4"/>
      <c r="F2630" s="4" t="s">
        <v>1495</v>
      </c>
      <c r="G2630" s="4" t="s">
        <v>336</v>
      </c>
      <c r="H2630" s="4" t="s">
        <v>289</v>
      </c>
      <c r="I2630" s="4">
        <v>0.11749999999999999</v>
      </c>
      <c r="J2630" s="21">
        <v>400</v>
      </c>
      <c r="K2630" s="21">
        <v>0</v>
      </c>
      <c r="L2630" s="5">
        <v>0</v>
      </c>
      <c r="M2630" s="4"/>
      <c r="N2630" s="4"/>
      <c r="O2630" s="5"/>
      <c r="P2630" s="5"/>
      <c r="Q2630" s="21">
        <v>47</v>
      </c>
      <c r="R2630" s="21">
        <v>0</v>
      </c>
      <c r="S2630" s="5">
        <f t="shared" si="167"/>
        <v>10084.807120151994</v>
      </c>
      <c r="T2630" cm="1">
        <f t="array" ref="T2630">IF(OR(B2630="MAL ALIMI", B2630="ÜRETİM GİRİŞ"), MIN(I2630, MAX(0, I2630 + SUM(SUMIFS($I$1:I2629, $C$1:C2629, C2630, $B$1:B2629, {"MAL ALIMI","ÜRETİM GİRİŞ"})) - VLOOKUP(C2630, 'STOK RAPORU'!$C$2:$I$1000, 4, 0))), 0)</f>
        <v>0</v>
      </c>
      <c r="U2630" s="22">
        <f t="shared" si="164"/>
        <v>0</v>
      </c>
      <c r="V2630">
        <f t="shared" si="165"/>
        <v>0</v>
      </c>
      <c r="W2630" s="22">
        <f t="shared" si="166"/>
        <v>0</v>
      </c>
    </row>
    <row r="2631" spans="1:23" hidden="1" x14ac:dyDescent="0.25">
      <c r="A2631" s="3">
        <v>46020</v>
      </c>
      <c r="B2631" s="4" t="s">
        <v>334</v>
      </c>
      <c r="C2631" s="4" t="s">
        <v>140</v>
      </c>
      <c r="D2631" s="4"/>
      <c r="E2631" s="4"/>
      <c r="F2631" s="4" t="s">
        <v>1495</v>
      </c>
      <c r="G2631" s="4" t="s">
        <v>336</v>
      </c>
      <c r="H2631" s="4" t="s">
        <v>289</v>
      </c>
      <c r="I2631" s="4">
        <v>0.16</v>
      </c>
      <c r="J2631" s="21">
        <v>300</v>
      </c>
      <c r="K2631" s="21">
        <v>0</v>
      </c>
      <c r="L2631" s="5">
        <v>0</v>
      </c>
      <c r="M2631" s="4"/>
      <c r="N2631" s="4"/>
      <c r="O2631" s="5"/>
      <c r="P2631" s="5"/>
      <c r="Q2631" s="21">
        <v>48</v>
      </c>
      <c r="R2631" s="21">
        <v>0</v>
      </c>
      <c r="S2631" s="5">
        <f t="shared" si="167"/>
        <v>10132.807120151994</v>
      </c>
      <c r="T2631" cm="1">
        <f t="array" ref="T2631">IF(OR(B2631="MAL ALIMI", B2631="ÜRETİM GİRİŞ"), MIN(I2631, MAX(0, I2631 + SUM(SUMIFS($I$1:I2630, $C$1:C2630, C2631, $B$1:B2630, {"MAL ALIMI","ÜRETİM GİRİŞ"})) - VLOOKUP(C2631, 'STOK RAPORU'!$C$2:$I$1000, 4, 0))), 0)</f>
        <v>0</v>
      </c>
      <c r="U2631" s="22">
        <f t="shared" si="164"/>
        <v>0</v>
      </c>
      <c r="V2631">
        <f t="shared" si="165"/>
        <v>0</v>
      </c>
      <c r="W2631" s="22">
        <f t="shared" si="166"/>
        <v>0</v>
      </c>
    </row>
    <row r="2632" spans="1:23" hidden="1" x14ac:dyDescent="0.25">
      <c r="A2632" s="3">
        <v>46020</v>
      </c>
      <c r="B2632" s="4" t="s">
        <v>334</v>
      </c>
      <c r="C2632" s="4" t="s">
        <v>133</v>
      </c>
      <c r="D2632" s="4"/>
      <c r="E2632" s="4"/>
      <c r="F2632" s="4" t="s">
        <v>1495</v>
      </c>
      <c r="G2632" s="4" t="s">
        <v>336</v>
      </c>
      <c r="H2632" s="4" t="s">
        <v>289</v>
      </c>
      <c r="I2632" s="4">
        <v>0.28947368421052633</v>
      </c>
      <c r="J2632" s="21">
        <v>380</v>
      </c>
      <c r="K2632" s="21">
        <v>0</v>
      </c>
      <c r="L2632" s="5">
        <v>0</v>
      </c>
      <c r="M2632" s="4"/>
      <c r="N2632" s="4"/>
      <c r="O2632" s="5"/>
      <c r="P2632" s="5"/>
      <c r="Q2632" s="21">
        <v>110</v>
      </c>
      <c r="R2632" s="21">
        <v>0</v>
      </c>
      <c r="S2632" s="5">
        <f t="shared" si="167"/>
        <v>10242.807120151994</v>
      </c>
      <c r="T2632" cm="1">
        <f t="array" ref="T2632">IF(OR(B2632="MAL ALIMI", B2632="ÜRETİM GİRİŞ"), MIN(I2632, MAX(0, I2632 + SUM(SUMIFS($I$1:I2631, $C$1:C2631, C2632, $B$1:B2631, {"MAL ALIMI","ÜRETİM GİRİŞ"})) - VLOOKUP(C2632, 'STOK RAPORU'!$C$2:$I$1000, 4, 0))), 0)</f>
        <v>0</v>
      </c>
      <c r="U2632" s="22">
        <f t="shared" si="164"/>
        <v>0</v>
      </c>
      <c r="V2632">
        <f t="shared" si="165"/>
        <v>0</v>
      </c>
      <c r="W2632" s="22">
        <f t="shared" si="166"/>
        <v>0</v>
      </c>
    </row>
    <row r="2633" spans="1:23" hidden="1" x14ac:dyDescent="0.25">
      <c r="A2633" s="3">
        <v>46020</v>
      </c>
      <c r="B2633" s="4" t="s">
        <v>334</v>
      </c>
      <c r="C2633" s="4" t="s">
        <v>131</v>
      </c>
      <c r="D2633" s="4"/>
      <c r="E2633" s="4"/>
      <c r="F2633" s="4" t="s">
        <v>1495</v>
      </c>
      <c r="G2633" s="4" t="s">
        <v>336</v>
      </c>
      <c r="H2633" s="4" t="s">
        <v>289</v>
      </c>
      <c r="I2633" s="4">
        <v>0.14000000000000001</v>
      </c>
      <c r="J2633" s="21">
        <v>400</v>
      </c>
      <c r="K2633" s="21">
        <v>0</v>
      </c>
      <c r="L2633" s="5">
        <v>0</v>
      </c>
      <c r="M2633" s="4"/>
      <c r="N2633" s="4"/>
      <c r="O2633" s="5"/>
      <c r="P2633" s="5"/>
      <c r="Q2633" s="21">
        <v>56.000000000000007</v>
      </c>
      <c r="R2633" s="21">
        <v>0</v>
      </c>
      <c r="S2633" s="5">
        <f t="shared" si="167"/>
        <v>10298.807120151994</v>
      </c>
      <c r="T2633" cm="1">
        <f t="array" ref="T2633">IF(OR(B2633="MAL ALIMI", B2633="ÜRETİM GİRİŞ"), MIN(I2633, MAX(0, I2633 + SUM(SUMIFS($I$1:I2632, $C$1:C2632, C2633, $B$1:B2632, {"MAL ALIMI","ÜRETİM GİRİŞ"})) - VLOOKUP(C2633, 'STOK RAPORU'!$C$2:$I$1000, 4, 0))), 0)</f>
        <v>0</v>
      </c>
      <c r="U2633" s="22">
        <f t="shared" si="164"/>
        <v>0</v>
      </c>
      <c r="V2633">
        <f t="shared" si="165"/>
        <v>0</v>
      </c>
      <c r="W2633" s="22">
        <f t="shared" si="166"/>
        <v>0</v>
      </c>
    </row>
    <row r="2634" spans="1:23" hidden="1" x14ac:dyDescent="0.25">
      <c r="A2634" s="3">
        <v>46020</v>
      </c>
      <c r="B2634" s="4" t="s">
        <v>334</v>
      </c>
      <c r="C2634" s="4" t="s">
        <v>91</v>
      </c>
      <c r="D2634" s="4"/>
      <c r="E2634" s="4"/>
      <c r="F2634" s="4" t="s">
        <v>1496</v>
      </c>
      <c r="G2634" s="4" t="s">
        <v>336</v>
      </c>
      <c r="H2634" s="4" t="s">
        <v>289</v>
      </c>
      <c r="I2634" s="4">
        <v>0.11710526315789474</v>
      </c>
      <c r="J2634" s="21">
        <v>760</v>
      </c>
      <c r="K2634" s="21">
        <v>0</v>
      </c>
      <c r="L2634" s="5">
        <v>0</v>
      </c>
      <c r="M2634" s="4"/>
      <c r="N2634" s="4"/>
      <c r="O2634" s="5"/>
      <c r="P2634" s="5"/>
      <c r="Q2634" s="21">
        <v>89</v>
      </c>
      <c r="R2634" s="21">
        <v>0</v>
      </c>
      <c r="S2634" s="5">
        <f t="shared" si="167"/>
        <v>10387.807120151994</v>
      </c>
      <c r="T2634" cm="1">
        <f t="array" ref="T2634">IF(OR(B2634="MAL ALIMI", B2634="ÜRETİM GİRİŞ"), MIN(I2634, MAX(0, I2634 + SUM(SUMIFS($I$1:I2633, $C$1:C2633, C2634, $B$1:B2633, {"MAL ALIMI","ÜRETİM GİRİŞ"})) - VLOOKUP(C2634, 'STOK RAPORU'!$C$2:$I$1000, 4, 0))), 0)</f>
        <v>0</v>
      </c>
      <c r="U2634" s="22">
        <f t="shared" si="164"/>
        <v>0</v>
      </c>
      <c r="V2634">
        <f t="shared" si="165"/>
        <v>0</v>
      </c>
      <c r="W2634" s="22">
        <f t="shared" si="166"/>
        <v>0</v>
      </c>
    </row>
    <row r="2635" spans="1:23" hidden="1" x14ac:dyDescent="0.25">
      <c r="A2635" s="3">
        <v>46020</v>
      </c>
      <c r="B2635" s="4" t="s">
        <v>334</v>
      </c>
      <c r="C2635" s="4" t="s">
        <v>1360</v>
      </c>
      <c r="D2635" s="4"/>
      <c r="E2635" s="4"/>
      <c r="F2635" s="4" t="s">
        <v>1497</v>
      </c>
      <c r="G2635" s="4" t="s">
        <v>336</v>
      </c>
      <c r="H2635" s="4" t="s">
        <v>289</v>
      </c>
      <c r="I2635" s="4">
        <v>0.5</v>
      </c>
      <c r="J2635" s="21">
        <v>400</v>
      </c>
      <c r="K2635" s="21">
        <v>0</v>
      </c>
      <c r="L2635" s="5">
        <v>0</v>
      </c>
      <c r="M2635" s="4"/>
      <c r="N2635" s="4"/>
      <c r="O2635" s="5"/>
      <c r="P2635" s="5"/>
      <c r="Q2635" s="21">
        <v>200</v>
      </c>
      <c r="R2635" s="21">
        <v>0</v>
      </c>
      <c r="S2635" s="5">
        <f t="shared" si="167"/>
        <v>10587.807120151994</v>
      </c>
      <c r="T2635" cm="1">
        <f t="array" ref="T2635">IF(OR(B2635="MAL ALIMI", B2635="ÜRETİM GİRİŞ"), MIN(I2635, MAX(0, I2635 + SUM(SUMIFS($I$1:I2634, $C$1:C2634, C2635, $B$1:B2634, {"MAL ALIMI","ÜRETİM GİRİŞ"})) - VLOOKUP(C2635, 'STOK RAPORU'!$C$2:$I$1000, 4, 0))), 0)</f>
        <v>0</v>
      </c>
      <c r="U2635" s="22">
        <f t="shared" si="164"/>
        <v>0</v>
      </c>
      <c r="V2635">
        <f t="shared" si="165"/>
        <v>0</v>
      </c>
      <c r="W2635" s="22">
        <f t="shared" si="166"/>
        <v>0</v>
      </c>
    </row>
    <row r="2636" spans="1:23" hidden="1" x14ac:dyDescent="0.25">
      <c r="A2636" s="45">
        <v>46020</v>
      </c>
      <c r="B2636" s="46" t="s">
        <v>334</v>
      </c>
      <c r="C2636" s="46" t="s">
        <v>590</v>
      </c>
      <c r="D2636" s="46"/>
      <c r="E2636" s="46"/>
      <c r="F2636" s="46" t="s">
        <v>1498</v>
      </c>
      <c r="G2636" s="46" t="s">
        <v>439</v>
      </c>
      <c r="H2636" s="46" t="s">
        <v>289</v>
      </c>
      <c r="I2636" s="46">
        <v>4.92</v>
      </c>
      <c r="J2636" s="47">
        <v>65</v>
      </c>
      <c r="K2636" s="47">
        <v>0</v>
      </c>
      <c r="L2636" s="48">
        <v>0</v>
      </c>
      <c r="M2636" s="4"/>
      <c r="N2636" s="4"/>
      <c r="O2636" s="5"/>
      <c r="P2636" s="5"/>
      <c r="Q2636" s="47">
        <v>319.8</v>
      </c>
      <c r="R2636" s="21">
        <v>0</v>
      </c>
      <c r="S2636" s="5">
        <f t="shared" si="167"/>
        <v>10907.607120151994</v>
      </c>
      <c r="T2636" cm="1">
        <f t="array" ref="T2636">IF(OR(B2636="MAL ALIMI", B2636="ÜRETİM GİRİŞ"), MIN(I2636, MAX(0, I2636 + SUM(SUMIFS($I$1:I2635, $C$1:C2635, C2636, $B$1:B2635, {"MAL ALIMI","ÜRETİM GİRİŞ"})) - VLOOKUP(C2636, 'STOK RAPORU'!$C$2:$I$1000, 4, 0))), 0)</f>
        <v>0</v>
      </c>
      <c r="U2636" s="22">
        <f t="shared" si="164"/>
        <v>0</v>
      </c>
      <c r="V2636">
        <f t="shared" si="165"/>
        <v>0</v>
      </c>
      <c r="W2636" s="22">
        <f t="shared" si="166"/>
        <v>0</v>
      </c>
    </row>
    <row r="2637" spans="1:23" hidden="1" x14ac:dyDescent="0.25">
      <c r="A2637" s="45">
        <v>46020</v>
      </c>
      <c r="B2637" s="46" t="s">
        <v>334</v>
      </c>
      <c r="C2637" s="46" t="s">
        <v>212</v>
      </c>
      <c r="D2637" s="46"/>
      <c r="E2637" s="46"/>
      <c r="F2637" s="46" t="s">
        <v>1498</v>
      </c>
      <c r="G2637" s="46" t="s">
        <v>439</v>
      </c>
      <c r="H2637" s="46" t="s">
        <v>289</v>
      </c>
      <c r="I2637" s="46">
        <v>5</v>
      </c>
      <c r="J2637" s="47">
        <v>360</v>
      </c>
      <c r="K2637" s="47">
        <v>0</v>
      </c>
      <c r="L2637" s="48">
        <v>0</v>
      </c>
      <c r="M2637" s="4"/>
      <c r="N2637" s="4"/>
      <c r="O2637" s="5"/>
      <c r="P2637" s="5"/>
      <c r="Q2637" s="47">
        <v>1800</v>
      </c>
      <c r="R2637" s="21">
        <v>0</v>
      </c>
      <c r="S2637" s="5">
        <f t="shared" si="167"/>
        <v>12707.607120151994</v>
      </c>
      <c r="T2637" cm="1">
        <f t="array" ref="T2637">IF(OR(B2637="MAL ALIMI", B2637="ÜRETİM GİRİŞ"), MIN(I2637, MAX(0, I2637 + SUM(SUMIFS($I$1:I2636, $C$1:C2636, C2637, $B$1:B2636, {"MAL ALIMI","ÜRETİM GİRİŞ"})) - VLOOKUP(C2637, 'STOK RAPORU'!$C$2:$I$1000, 4, 0))), 0)</f>
        <v>0</v>
      </c>
      <c r="U2637" s="22">
        <f t="shared" si="164"/>
        <v>0</v>
      </c>
      <c r="V2637">
        <f t="shared" si="165"/>
        <v>0</v>
      </c>
      <c r="W2637" s="22">
        <f t="shared" si="166"/>
        <v>0</v>
      </c>
    </row>
    <row r="2638" spans="1:23" hidden="1" x14ac:dyDescent="0.25">
      <c r="A2638" s="3">
        <v>46020</v>
      </c>
      <c r="B2638" s="4" t="s">
        <v>285</v>
      </c>
      <c r="C2638" s="4"/>
      <c r="D2638" s="4" t="s">
        <v>107</v>
      </c>
      <c r="E2638" s="4"/>
      <c r="F2638" s="4"/>
      <c r="G2638" s="4" t="s">
        <v>1504</v>
      </c>
      <c r="H2638" s="4" t="s">
        <v>289</v>
      </c>
      <c r="I2638" s="4">
        <v>1</v>
      </c>
      <c r="J2638" s="21">
        <v>2500</v>
      </c>
      <c r="K2638" s="21">
        <v>0</v>
      </c>
      <c r="L2638" s="5">
        <v>0</v>
      </c>
      <c r="M2638" s="4"/>
      <c r="N2638" s="4"/>
      <c r="O2638" s="5"/>
      <c r="P2638" s="5"/>
      <c r="Q2638" s="21">
        <v>0</v>
      </c>
      <c r="R2638" s="21">
        <v>2500</v>
      </c>
      <c r="S2638" s="5">
        <f t="shared" si="167"/>
        <v>10207.607120151994</v>
      </c>
      <c r="T2638" cm="1">
        <f t="array" ref="T2638">IF(OR(B2638="MAL ALIMI", B2638="ÜRETİM GİRİŞ"), MIN(I2638, MAX(0, I2638 + SUM(SUMIFS($I$1:I2637, $C$1:C2637, C2638, $B$1:B2637, {"MAL ALIMI","ÜRETİM GİRİŞ"})) - VLOOKUP(C2638, 'STOK RAPORU'!$C$2:$I$1000, 4, 0))), 0)</f>
        <v>0</v>
      </c>
      <c r="U2638" s="22">
        <f t="shared" si="164"/>
        <v>0</v>
      </c>
      <c r="V2638">
        <f t="shared" si="165"/>
        <v>0</v>
      </c>
      <c r="W2638" s="22">
        <f t="shared" si="166"/>
        <v>0</v>
      </c>
    </row>
    <row r="2639" spans="1:23" hidden="1" x14ac:dyDescent="0.25">
      <c r="A2639" s="3">
        <v>46020</v>
      </c>
      <c r="B2639" s="4" t="s">
        <v>298</v>
      </c>
      <c r="C2639" s="4" t="s">
        <v>1500</v>
      </c>
      <c r="D2639" s="4"/>
      <c r="E2639" s="4" t="s">
        <v>1505</v>
      </c>
      <c r="F2639" s="4"/>
      <c r="G2639" s="4" t="s">
        <v>1505</v>
      </c>
      <c r="H2639" s="4" t="s">
        <v>304</v>
      </c>
      <c r="I2639" s="4">
        <v>48</v>
      </c>
      <c r="J2639" s="21">
        <v>178.41666666666666</v>
      </c>
      <c r="K2639" s="21">
        <v>0</v>
      </c>
      <c r="L2639" s="5">
        <v>8564</v>
      </c>
      <c r="M2639" s="4"/>
      <c r="N2639" s="4"/>
      <c r="O2639" s="5"/>
      <c r="P2639" s="5"/>
      <c r="Q2639" s="21">
        <v>0</v>
      </c>
      <c r="R2639" s="21">
        <v>0</v>
      </c>
      <c r="S2639" s="5">
        <f t="shared" si="167"/>
        <v>10207.607120151994</v>
      </c>
      <c r="T2639" cm="1">
        <f t="array" ref="T2639">IF(OR(B2639="MAL ALIMI", B2639="ÜRETİM GİRİŞ"), MIN(I2639, MAX(0, I2639 + SUM(SUMIFS($I$1:I2638, $C$1:C2638, C2639, $B$1:B2638, {"MAL ALIMI","ÜRETİM GİRİŞ"})) - VLOOKUP(C2639, 'STOK RAPORU'!$C$2:$I$1000, 4, 0))), 0)</f>
        <v>43</v>
      </c>
      <c r="U2639" s="22">
        <f t="shared" si="164"/>
        <v>7671.9166666666661</v>
      </c>
      <c r="V2639">
        <f t="shared" si="165"/>
        <v>8564</v>
      </c>
      <c r="W2639" s="22">
        <f t="shared" si="166"/>
        <v>892.08333333333394</v>
      </c>
    </row>
    <row r="2640" spans="1:23" hidden="1" x14ac:dyDescent="0.25">
      <c r="A2640" s="3">
        <v>46020</v>
      </c>
      <c r="B2640" s="4" t="s">
        <v>298</v>
      </c>
      <c r="C2640" s="4" t="s">
        <v>1499</v>
      </c>
      <c r="D2640" s="4"/>
      <c r="E2640" s="4" t="s">
        <v>1505</v>
      </c>
      <c r="F2640" s="4"/>
      <c r="G2640" s="4" t="s">
        <v>1505</v>
      </c>
      <c r="H2640" s="4" t="s">
        <v>304</v>
      </c>
      <c r="I2640" s="4">
        <v>36</v>
      </c>
      <c r="J2640" s="21">
        <v>356.83333333333331</v>
      </c>
      <c r="K2640" s="21">
        <v>0</v>
      </c>
      <c r="L2640" s="5">
        <v>12846</v>
      </c>
      <c r="M2640" s="4"/>
      <c r="N2640" s="4"/>
      <c r="O2640" s="5"/>
      <c r="P2640" s="5"/>
      <c r="Q2640" s="21">
        <v>0</v>
      </c>
      <c r="R2640" s="21">
        <v>0</v>
      </c>
      <c r="S2640" s="5">
        <f t="shared" si="167"/>
        <v>10207.607120151994</v>
      </c>
      <c r="T2640" cm="1">
        <f t="array" ref="T2640">IF(OR(B2640="MAL ALIMI", B2640="ÜRETİM GİRİŞ"), MIN(I2640, MAX(0, I2640 + SUM(SUMIFS($I$1:I2639, $C$1:C2639, C2640, $B$1:B2639, {"MAL ALIMI","ÜRETİM GİRİŞ"})) - VLOOKUP(C2640, 'STOK RAPORU'!$C$2:$I$1000, 4, 0))), 0)</f>
        <v>29</v>
      </c>
      <c r="U2640" s="22">
        <f t="shared" si="164"/>
        <v>10348.166666666666</v>
      </c>
      <c r="V2640">
        <f t="shared" si="165"/>
        <v>12846</v>
      </c>
      <c r="W2640" s="22">
        <f t="shared" si="166"/>
        <v>2497.8333333333339</v>
      </c>
    </row>
    <row r="2641" spans="1:23" hidden="1" x14ac:dyDescent="0.25">
      <c r="A2641" s="3">
        <v>46020</v>
      </c>
      <c r="B2641" s="4" t="s">
        <v>298</v>
      </c>
      <c r="C2641" s="4" t="s">
        <v>1501</v>
      </c>
      <c r="D2641" s="4"/>
      <c r="E2641" s="4" t="s">
        <v>1505</v>
      </c>
      <c r="F2641" s="4"/>
      <c r="G2641" s="4" t="s">
        <v>1505</v>
      </c>
      <c r="H2641" s="4" t="s">
        <v>304</v>
      </c>
      <c r="I2641" s="4">
        <v>99</v>
      </c>
      <c r="J2641" s="21">
        <v>428.18181818181819</v>
      </c>
      <c r="K2641" s="21">
        <v>0</v>
      </c>
      <c r="L2641" s="5">
        <v>42390</v>
      </c>
      <c r="M2641" s="4"/>
      <c r="N2641" s="4"/>
      <c r="O2641" s="5"/>
      <c r="P2641" s="5"/>
      <c r="Q2641" s="21">
        <v>0</v>
      </c>
      <c r="R2641" s="21">
        <v>0</v>
      </c>
      <c r="S2641" s="5">
        <f t="shared" si="167"/>
        <v>10207.607120151994</v>
      </c>
      <c r="T2641" cm="1">
        <f t="array" ref="T2641">IF(OR(B2641="MAL ALIMI", B2641="ÜRETİM GİRİŞ"), MIN(I2641, MAX(0, I2641 + SUM(SUMIFS($I$1:I2640, $C$1:C2640, C2641, $B$1:B2640, {"MAL ALIMI","ÜRETİM GİRİŞ"})) - VLOOKUP(C2641, 'STOK RAPORU'!$C$2:$I$1000, 4, 0))), 0)</f>
        <v>31.730285714285714</v>
      </c>
      <c r="U2641" s="22">
        <f t="shared" si="164"/>
        <v>13586.331428571428</v>
      </c>
      <c r="V2641">
        <f t="shared" si="165"/>
        <v>42390</v>
      </c>
      <c r="W2641" s="22">
        <f t="shared" si="166"/>
        <v>28803.66857142857</v>
      </c>
    </row>
    <row r="2642" spans="1:23" hidden="1" x14ac:dyDescent="0.25">
      <c r="A2642" s="3">
        <v>46020</v>
      </c>
      <c r="B2642" s="4" t="s">
        <v>298</v>
      </c>
      <c r="C2642" s="4" t="s">
        <v>89</v>
      </c>
      <c r="D2642" s="4"/>
      <c r="E2642" s="4" t="s">
        <v>855</v>
      </c>
      <c r="F2642" s="4"/>
      <c r="G2642" s="4" t="s">
        <v>667</v>
      </c>
      <c r="H2642" s="4" t="s">
        <v>304</v>
      </c>
      <c r="I2642" s="4">
        <v>5</v>
      </c>
      <c r="J2642" s="21">
        <v>440</v>
      </c>
      <c r="K2642" s="21">
        <v>0</v>
      </c>
      <c r="L2642" s="5">
        <v>2200</v>
      </c>
      <c r="M2642" s="4"/>
      <c r="N2642" s="4"/>
      <c r="O2642" s="5"/>
      <c r="P2642" s="5"/>
      <c r="Q2642" s="21">
        <v>0</v>
      </c>
      <c r="R2642" s="21">
        <v>0</v>
      </c>
      <c r="S2642" s="5">
        <f t="shared" si="167"/>
        <v>10207.607120151994</v>
      </c>
      <c r="T2642" cm="1">
        <f t="array" ref="T2642">IF(OR(B2642="MAL ALIMI", B2642="ÜRETİM GİRİŞ"), MIN(I2642, MAX(0, I2642 + SUM(SUMIFS($I$1:I2641, $C$1:C2641, C2642, $B$1:B2641, {"MAL ALIMI","ÜRETİM GİRİŞ"})) - VLOOKUP(C2642, 'STOK RAPORU'!$C$2:$I$1000, 4, 0))), 0)</f>
        <v>0</v>
      </c>
      <c r="U2642" s="22">
        <f t="shared" si="164"/>
        <v>0</v>
      </c>
      <c r="V2642">
        <f t="shared" si="165"/>
        <v>2200</v>
      </c>
      <c r="W2642" s="22">
        <f t="shared" si="166"/>
        <v>2200</v>
      </c>
    </row>
    <row r="2643" spans="1:23" hidden="1" x14ac:dyDescent="0.25">
      <c r="A2643" s="3">
        <v>46020</v>
      </c>
      <c r="B2643" s="4" t="s">
        <v>298</v>
      </c>
      <c r="C2643" s="4" t="s">
        <v>126</v>
      </c>
      <c r="D2643" s="4"/>
      <c r="E2643" s="4" t="s">
        <v>855</v>
      </c>
      <c r="F2643" s="4"/>
      <c r="G2643" s="4" t="s">
        <v>667</v>
      </c>
      <c r="H2643" s="4" t="s">
        <v>304</v>
      </c>
      <c r="I2643" s="4">
        <v>25</v>
      </c>
      <c r="J2643" s="21">
        <v>340</v>
      </c>
      <c r="K2643" s="21">
        <v>0</v>
      </c>
      <c r="L2643" s="5">
        <v>8500</v>
      </c>
      <c r="M2643" s="4"/>
      <c r="N2643" s="4"/>
      <c r="O2643" s="5"/>
      <c r="P2643" s="5"/>
      <c r="Q2643" s="21">
        <v>0</v>
      </c>
      <c r="R2643" s="21">
        <v>0</v>
      </c>
      <c r="S2643" s="5">
        <f t="shared" si="167"/>
        <v>10207.607120151994</v>
      </c>
      <c r="T2643" cm="1">
        <f t="array" ref="T2643">IF(OR(B2643="MAL ALIMI", B2643="ÜRETİM GİRİŞ"), MIN(I2643, MAX(0, I2643 + SUM(SUMIFS($I$1:I2642, $C$1:C2642, C2643, $B$1:B2642, {"MAL ALIMI","ÜRETİM GİRİŞ"})) - VLOOKUP(C2643, 'STOK RAPORU'!$C$2:$I$1000, 4, 0))), 0)</f>
        <v>23.533419216200485</v>
      </c>
      <c r="U2643" s="22">
        <f t="shared" si="164"/>
        <v>8001.3625335081651</v>
      </c>
      <c r="V2643">
        <f t="shared" si="165"/>
        <v>8500</v>
      </c>
      <c r="W2643" s="22">
        <f t="shared" si="166"/>
        <v>498.63746649183486</v>
      </c>
    </row>
    <row r="2644" spans="1:23" hidden="1" x14ac:dyDescent="0.25">
      <c r="A2644" s="3">
        <v>46020</v>
      </c>
      <c r="B2644" s="4" t="s">
        <v>298</v>
      </c>
      <c r="C2644" s="4" t="s">
        <v>158</v>
      </c>
      <c r="D2644" s="4"/>
      <c r="E2644" s="4" t="s">
        <v>855</v>
      </c>
      <c r="F2644" s="4"/>
      <c r="G2644" s="4" t="s">
        <v>667</v>
      </c>
      <c r="H2644" s="4" t="s">
        <v>304</v>
      </c>
      <c r="I2644" s="4">
        <v>193.5</v>
      </c>
      <c r="J2644" s="21">
        <v>67.183440000000004</v>
      </c>
      <c r="K2644" s="21">
        <v>0</v>
      </c>
      <c r="L2644" s="5">
        <v>12999.995640000001</v>
      </c>
      <c r="M2644" s="4"/>
      <c r="N2644" s="4"/>
      <c r="O2644" s="5"/>
      <c r="P2644" s="5"/>
      <c r="Q2644" s="21">
        <v>0</v>
      </c>
      <c r="R2644" s="21">
        <v>0</v>
      </c>
      <c r="S2644" s="5">
        <f t="shared" si="167"/>
        <v>10207.607120151994</v>
      </c>
      <c r="T2644" cm="1">
        <f t="array" ref="T2644">IF(OR(B2644="MAL ALIMI", B2644="ÜRETİM GİRİŞ"), MIN(I2644, MAX(0, I2644 + SUM(SUMIFS($I$1:I2643, $C$1:C2643, C2644, $B$1:B2643, {"MAL ALIMI","ÜRETİM GİRİŞ"})) - VLOOKUP(C2644, 'STOK RAPORU'!$C$2:$I$1000, 4, 0))), 0)</f>
        <v>10.336666666666702</v>
      </c>
      <c r="U2644" s="22">
        <f t="shared" si="164"/>
        <v>694.45282480000242</v>
      </c>
      <c r="V2644">
        <f t="shared" si="165"/>
        <v>12999.995640000001</v>
      </c>
      <c r="W2644" s="22">
        <f t="shared" si="166"/>
        <v>12305.542815199999</v>
      </c>
    </row>
    <row r="2645" spans="1:23" hidden="1" x14ac:dyDescent="0.25">
      <c r="A2645" s="3">
        <v>46020</v>
      </c>
      <c r="B2645" s="4" t="s">
        <v>298</v>
      </c>
      <c r="C2645" s="4" t="s">
        <v>157</v>
      </c>
      <c r="D2645" s="4"/>
      <c r="E2645" s="4" t="s">
        <v>855</v>
      </c>
      <c r="F2645" s="4"/>
      <c r="G2645" s="4" t="s">
        <v>667</v>
      </c>
      <c r="H2645" s="4" t="s">
        <v>304</v>
      </c>
      <c r="I2645" s="4">
        <v>96.75</v>
      </c>
      <c r="J2645" s="21">
        <v>98.191199999999995</v>
      </c>
      <c r="K2645" s="21">
        <v>0</v>
      </c>
      <c r="L2645" s="5">
        <v>9499.998599999999</v>
      </c>
      <c r="M2645" s="4"/>
      <c r="N2645" s="4"/>
      <c r="O2645" s="5"/>
      <c r="P2645" s="5"/>
      <c r="Q2645" s="21">
        <v>0</v>
      </c>
      <c r="R2645" s="21">
        <v>0</v>
      </c>
      <c r="S2645" s="5">
        <f t="shared" si="167"/>
        <v>10207.607120151994</v>
      </c>
      <c r="T2645" cm="1">
        <f t="array" ref="T2645">IF(OR(B2645="MAL ALIMI", B2645="ÜRETİM GİRİŞ"), MIN(I2645, MAX(0, I2645 + SUM(SUMIFS($I$1:I2644, $C$1:C2644, C2645, $B$1:B2644, {"MAL ALIMI","ÜRETİM GİRİŞ"})) - VLOOKUP(C2645, 'STOK RAPORU'!$C$2:$I$1000, 4, 0))), 0)</f>
        <v>0</v>
      </c>
      <c r="U2645" s="22">
        <f t="shared" si="164"/>
        <v>0</v>
      </c>
      <c r="V2645">
        <f t="shared" si="165"/>
        <v>9499.998599999999</v>
      </c>
      <c r="W2645" s="22">
        <f t="shared" si="166"/>
        <v>9499.998599999999</v>
      </c>
    </row>
    <row r="2646" spans="1:23" hidden="1" x14ac:dyDescent="0.25">
      <c r="A2646" s="3">
        <v>46020</v>
      </c>
      <c r="B2646" s="4" t="s">
        <v>946</v>
      </c>
      <c r="C2646" s="4"/>
      <c r="D2646" s="4"/>
      <c r="E2646" s="4" t="s">
        <v>921</v>
      </c>
      <c r="F2646" s="4"/>
      <c r="G2646" s="4" t="s">
        <v>946</v>
      </c>
      <c r="H2646" s="4" t="s">
        <v>380</v>
      </c>
      <c r="I2646" s="4">
        <v>1</v>
      </c>
      <c r="J2646" s="105">
        <v>1610</v>
      </c>
      <c r="K2646" s="21">
        <v>0</v>
      </c>
      <c r="L2646" s="111">
        <v>1610</v>
      </c>
      <c r="M2646" s="4"/>
      <c r="N2646" s="4"/>
      <c r="O2646" s="5"/>
      <c r="P2646" s="5"/>
      <c r="Q2646" s="21">
        <v>1610</v>
      </c>
      <c r="R2646" s="21">
        <v>0</v>
      </c>
      <c r="S2646" s="5">
        <f t="shared" si="167"/>
        <v>11817.607120151994</v>
      </c>
      <c r="T2646" cm="1">
        <f t="array" ref="T2646">IF(OR(B2646="MAL ALIMI", B2646="ÜRETİM GİRİŞ"), MIN(I2646, MAX(0, I2646 + SUM(SUMIFS($I$1:I2645, $C$1:C2645, C2646, $B$1:B2645, {"MAL ALIMI","ÜRETİM GİRİŞ"})) - VLOOKUP(C2646, 'STOK RAPORU'!$C$2:$I$1000, 4, 0))), 0)</f>
        <v>0</v>
      </c>
      <c r="U2646" s="22">
        <f t="shared" si="164"/>
        <v>0</v>
      </c>
      <c r="V2646">
        <f t="shared" si="165"/>
        <v>0</v>
      </c>
      <c r="W2646" s="22">
        <f t="shared" si="166"/>
        <v>0</v>
      </c>
    </row>
    <row r="2647" spans="1:23" hidden="1" x14ac:dyDescent="0.25">
      <c r="A2647" s="3">
        <v>46020</v>
      </c>
      <c r="B2647" s="4" t="s">
        <v>946</v>
      </c>
      <c r="C2647" s="4"/>
      <c r="D2647" s="4"/>
      <c r="E2647" s="4" t="s">
        <v>921</v>
      </c>
      <c r="F2647" s="4"/>
      <c r="G2647" s="4" t="s">
        <v>947</v>
      </c>
      <c r="H2647" s="4" t="s">
        <v>380</v>
      </c>
      <c r="I2647" s="4">
        <v>1</v>
      </c>
      <c r="J2647" s="105">
        <v>665</v>
      </c>
      <c r="K2647" s="21">
        <v>0</v>
      </c>
      <c r="L2647" s="111">
        <v>665</v>
      </c>
      <c r="M2647" s="4"/>
      <c r="N2647" s="4"/>
      <c r="O2647" s="5"/>
      <c r="P2647" s="5"/>
      <c r="Q2647" s="104">
        <v>665</v>
      </c>
      <c r="R2647" s="21">
        <v>0</v>
      </c>
      <c r="S2647" s="5">
        <f t="shared" si="167"/>
        <v>12482.607120151994</v>
      </c>
      <c r="T2647" cm="1">
        <f t="array" ref="T2647">IF(OR(B2647="MAL ALIMI", B2647="ÜRETİM GİRİŞ"), MIN(I2647, MAX(0, I2647 + SUM(SUMIFS($I$1:I2646, $C$1:C2646, C2647, $B$1:B2646, {"MAL ALIMI","ÜRETİM GİRİŞ"})) - VLOOKUP(C2647, 'STOK RAPORU'!$C$2:$I$1000, 4, 0))), 0)</f>
        <v>0</v>
      </c>
      <c r="U2647" s="22">
        <f t="shared" si="164"/>
        <v>0</v>
      </c>
      <c r="V2647">
        <f t="shared" si="165"/>
        <v>0</v>
      </c>
      <c r="W2647" s="22">
        <f t="shared" si="166"/>
        <v>0</v>
      </c>
    </row>
    <row r="2648" spans="1:23" hidden="1" x14ac:dyDescent="0.25">
      <c r="A2648" s="3">
        <v>46020</v>
      </c>
      <c r="B2648" s="4" t="s">
        <v>285</v>
      </c>
      <c r="C2648" s="4"/>
      <c r="D2648" s="4" t="s">
        <v>673</v>
      </c>
      <c r="E2648" s="4"/>
      <c r="F2648" s="4"/>
      <c r="G2648" s="4" t="s">
        <v>947</v>
      </c>
      <c r="H2648" s="4" t="s">
        <v>289</v>
      </c>
      <c r="I2648" s="4">
        <v>1</v>
      </c>
      <c r="J2648" s="21">
        <v>665</v>
      </c>
      <c r="K2648" s="21">
        <v>0</v>
      </c>
      <c r="L2648" s="5">
        <v>0</v>
      </c>
      <c r="M2648" s="21">
        <v>0</v>
      </c>
      <c r="N2648" s="21">
        <v>665</v>
      </c>
      <c r="O2648" s="5"/>
      <c r="P2648" s="5"/>
      <c r="Q2648" s="21">
        <v>0</v>
      </c>
      <c r="R2648" s="21">
        <v>665</v>
      </c>
      <c r="S2648" s="5">
        <f t="shared" si="167"/>
        <v>11817.607120151994</v>
      </c>
      <c r="T2648" cm="1">
        <f t="array" ref="T2648">IF(OR(B2648="MAL ALIMI", B2648="ÜRETİM GİRİŞ"), MIN(I2648, MAX(0, I2648 + SUM(SUMIFS($I$1:I2647, $C$1:C2647, C2648, $B$1:B2647, {"MAL ALIMI","ÜRETİM GİRİŞ"})) - VLOOKUP(C2648, 'STOK RAPORU'!$C$2:$I$1000, 4, 0))), 0)</f>
        <v>0</v>
      </c>
      <c r="U2648" s="22">
        <f t="shared" si="164"/>
        <v>0</v>
      </c>
      <c r="V2648">
        <f t="shared" si="165"/>
        <v>0</v>
      </c>
      <c r="W2648" s="22">
        <f t="shared" si="166"/>
        <v>0</v>
      </c>
    </row>
    <row r="2649" spans="1:23" hidden="1" x14ac:dyDescent="0.25">
      <c r="A2649" s="3">
        <v>46021</v>
      </c>
      <c r="B2649" s="4" t="s">
        <v>334</v>
      </c>
      <c r="C2649" s="4" t="s">
        <v>130</v>
      </c>
      <c r="D2649" s="4"/>
      <c r="E2649" s="4"/>
      <c r="F2649" s="4" t="s">
        <v>1503</v>
      </c>
      <c r="G2649" s="4" t="s">
        <v>336</v>
      </c>
      <c r="H2649" s="4" t="s">
        <v>289</v>
      </c>
      <c r="I2649" s="4">
        <v>0.19</v>
      </c>
      <c r="J2649" s="21">
        <v>410</v>
      </c>
      <c r="K2649" s="21">
        <v>0</v>
      </c>
      <c r="L2649" s="5">
        <v>0</v>
      </c>
      <c r="M2649" s="4"/>
      <c r="N2649" s="4"/>
      <c r="O2649" s="5"/>
      <c r="P2649" s="5"/>
      <c r="Q2649" s="21">
        <v>77.900000000000006</v>
      </c>
      <c r="R2649" s="21">
        <v>0</v>
      </c>
      <c r="S2649" s="5">
        <f t="shared" si="167"/>
        <v>11895.507120151993</v>
      </c>
      <c r="T2649" cm="1">
        <f t="array" ref="T2649">IF(OR(B2649="MAL ALIMI", B2649="ÜRETİM GİRİŞ"), MIN(I2649, MAX(0, I2649 + SUM(SUMIFS($I$1:I2648, $C$1:C2648, C2649, $B$1:B2648, {"MAL ALIMI","ÜRETİM GİRİŞ"})) - VLOOKUP(C2649, 'STOK RAPORU'!$C$2:$I$1000, 4, 0))), 0)</f>
        <v>0</v>
      </c>
      <c r="U2649" s="22">
        <f t="shared" si="164"/>
        <v>0</v>
      </c>
      <c r="V2649">
        <f t="shared" si="165"/>
        <v>0</v>
      </c>
      <c r="W2649" s="22">
        <f t="shared" si="166"/>
        <v>0</v>
      </c>
    </row>
    <row r="2650" spans="1:23" hidden="1" x14ac:dyDescent="0.25">
      <c r="A2650" s="3">
        <v>46021</v>
      </c>
      <c r="B2650" s="4" t="s">
        <v>334</v>
      </c>
      <c r="C2650" s="4" t="s">
        <v>126</v>
      </c>
      <c r="D2650" s="4"/>
      <c r="E2650" s="4"/>
      <c r="F2650" s="4" t="s">
        <v>1503</v>
      </c>
      <c r="G2650" s="4" t="s">
        <v>336</v>
      </c>
      <c r="H2650" s="4" t="s">
        <v>289</v>
      </c>
      <c r="I2650" s="4">
        <v>0.154</v>
      </c>
      <c r="J2650" s="21">
        <v>640</v>
      </c>
      <c r="K2650" s="21">
        <v>0</v>
      </c>
      <c r="L2650" s="5">
        <v>0</v>
      </c>
      <c r="M2650" s="4"/>
      <c r="N2650" s="4"/>
      <c r="O2650" s="5"/>
      <c r="P2650" s="5"/>
      <c r="Q2650" s="21">
        <v>98.56</v>
      </c>
      <c r="R2650" s="21">
        <v>0</v>
      </c>
      <c r="S2650" s="5">
        <f t="shared" si="167"/>
        <v>11994.067120151993</v>
      </c>
      <c r="T2650" cm="1">
        <f t="array" ref="T2650">IF(OR(B2650="MAL ALIMI", B2650="ÜRETİM GİRİŞ"), MIN(I2650, MAX(0, I2650 + SUM(SUMIFS($I$1:I2649, $C$1:C2649, C2650, $B$1:B2649, {"MAL ALIMI","ÜRETİM GİRİŞ"})) - VLOOKUP(C2650, 'STOK RAPORU'!$C$2:$I$1000, 4, 0))), 0)</f>
        <v>0</v>
      </c>
      <c r="U2650" s="22">
        <f t="shared" si="164"/>
        <v>0</v>
      </c>
      <c r="V2650">
        <f t="shared" si="165"/>
        <v>0</v>
      </c>
      <c r="W2650" s="22">
        <f t="shared" si="166"/>
        <v>0</v>
      </c>
    </row>
    <row r="2651" spans="1:23" hidden="1" x14ac:dyDescent="0.25">
      <c r="A2651" s="3">
        <v>46021</v>
      </c>
      <c r="B2651" s="4" t="s">
        <v>334</v>
      </c>
      <c r="C2651" s="4" t="s">
        <v>141</v>
      </c>
      <c r="D2651" s="4"/>
      <c r="E2651" s="4"/>
      <c r="F2651" s="4" t="s">
        <v>1503</v>
      </c>
      <c r="G2651" s="4" t="s">
        <v>336</v>
      </c>
      <c r="H2651" s="4" t="s">
        <v>289</v>
      </c>
      <c r="I2651" s="4">
        <v>0.186</v>
      </c>
      <c r="J2651" s="21">
        <v>140</v>
      </c>
      <c r="K2651" s="21">
        <v>0</v>
      </c>
      <c r="L2651" s="5">
        <v>0</v>
      </c>
      <c r="M2651" s="4"/>
      <c r="N2651" s="4"/>
      <c r="O2651" s="5"/>
      <c r="P2651" s="5"/>
      <c r="Q2651" s="21">
        <v>26.04</v>
      </c>
      <c r="R2651" s="21">
        <v>0</v>
      </c>
      <c r="S2651" s="5">
        <f t="shared" si="167"/>
        <v>12020.107120151994</v>
      </c>
      <c r="T2651" cm="1">
        <f t="array" ref="T2651">IF(OR(B2651="MAL ALIMI", B2651="ÜRETİM GİRİŞ"), MIN(I2651, MAX(0, I2651 + SUM(SUMIFS($I$1:I2650, $C$1:C2650, C2651, $B$1:B2650, {"MAL ALIMI","ÜRETİM GİRİŞ"})) - VLOOKUP(C2651, 'STOK RAPORU'!$C$2:$I$1000, 4, 0))), 0)</f>
        <v>0</v>
      </c>
      <c r="U2651" s="22">
        <f t="shared" si="164"/>
        <v>0</v>
      </c>
      <c r="V2651">
        <f t="shared" si="165"/>
        <v>0</v>
      </c>
      <c r="W2651" s="22">
        <f t="shared" si="166"/>
        <v>0</v>
      </c>
    </row>
    <row r="2652" spans="1:23" hidden="1" x14ac:dyDescent="0.25">
      <c r="A2652" s="3">
        <v>46021</v>
      </c>
      <c r="B2652" s="4" t="s">
        <v>334</v>
      </c>
      <c r="C2652" s="4" t="s">
        <v>265</v>
      </c>
      <c r="D2652" s="4"/>
      <c r="E2652" s="4"/>
      <c r="F2652" s="4" t="s">
        <v>1503</v>
      </c>
      <c r="G2652" s="4" t="s">
        <v>336</v>
      </c>
      <c r="H2652" s="4" t="s">
        <v>289</v>
      </c>
      <c r="I2652" s="4">
        <v>1</v>
      </c>
      <c r="J2652" s="21">
        <v>140</v>
      </c>
      <c r="K2652" s="21">
        <v>0</v>
      </c>
      <c r="L2652" s="5">
        <v>0</v>
      </c>
      <c r="M2652" s="4"/>
      <c r="N2652" s="4"/>
      <c r="O2652" s="5"/>
      <c r="P2652" s="5"/>
      <c r="Q2652" s="21">
        <v>140</v>
      </c>
      <c r="R2652" s="21">
        <v>0</v>
      </c>
      <c r="S2652" s="5">
        <f t="shared" si="167"/>
        <v>12160.107120151994</v>
      </c>
      <c r="T2652" cm="1">
        <f t="array" ref="T2652">IF(OR(B2652="MAL ALIMI", B2652="ÜRETİM GİRİŞ"), MIN(I2652, MAX(0, I2652 + SUM(SUMIFS($I$1:I2651, $C$1:C2651, C2652, $B$1:B2651, {"MAL ALIMI","ÜRETİM GİRİŞ"})) - VLOOKUP(C2652, 'STOK RAPORU'!$C$2:$I$1000, 4, 0))), 0)</f>
        <v>0</v>
      </c>
      <c r="U2652" s="22">
        <f t="shared" si="164"/>
        <v>0</v>
      </c>
      <c r="V2652">
        <f t="shared" si="165"/>
        <v>0</v>
      </c>
      <c r="W2652" s="22">
        <f t="shared" si="166"/>
        <v>0</v>
      </c>
    </row>
    <row r="2653" spans="1:23" hidden="1" x14ac:dyDescent="0.25">
      <c r="A2653" s="3">
        <v>46021</v>
      </c>
      <c r="B2653" s="4" t="s">
        <v>334</v>
      </c>
      <c r="C2653" s="4" t="s">
        <v>150</v>
      </c>
      <c r="D2653" s="4"/>
      <c r="E2653" s="4"/>
      <c r="F2653" s="4" t="s">
        <v>1503</v>
      </c>
      <c r="G2653" s="4" t="s">
        <v>336</v>
      </c>
      <c r="H2653" s="4" t="s">
        <v>289</v>
      </c>
      <c r="I2653" s="4">
        <v>2.5000000000000001E-2</v>
      </c>
      <c r="J2653" s="21">
        <v>2000</v>
      </c>
      <c r="K2653" s="21">
        <v>0</v>
      </c>
      <c r="L2653" s="5">
        <v>0</v>
      </c>
      <c r="M2653" s="4"/>
      <c r="N2653" s="4"/>
      <c r="O2653" s="5"/>
      <c r="P2653" s="5"/>
      <c r="Q2653" s="21">
        <v>50</v>
      </c>
      <c r="R2653" s="21">
        <v>0</v>
      </c>
      <c r="S2653" s="5">
        <f t="shared" si="167"/>
        <v>12210.107120151994</v>
      </c>
      <c r="T2653" cm="1">
        <f t="array" ref="T2653">IF(OR(B2653="MAL ALIMI", B2653="ÜRETİM GİRİŞ"), MIN(I2653, MAX(0, I2653 + SUM(SUMIFS($I$1:I2652, $C$1:C2652, C2653, $B$1:B2652, {"MAL ALIMI","ÜRETİM GİRİŞ"})) - VLOOKUP(C2653, 'STOK RAPORU'!$C$2:$I$1000, 4, 0))), 0)</f>
        <v>0</v>
      </c>
      <c r="U2653" s="22">
        <f t="shared" si="164"/>
        <v>0</v>
      </c>
      <c r="V2653">
        <f t="shared" si="165"/>
        <v>0</v>
      </c>
      <c r="W2653" s="22">
        <f t="shared" si="166"/>
        <v>0</v>
      </c>
    </row>
    <row r="2654" spans="1:23" hidden="1" x14ac:dyDescent="0.25">
      <c r="A2654" s="3">
        <v>46021</v>
      </c>
      <c r="B2654" s="4" t="s">
        <v>334</v>
      </c>
      <c r="C2654" s="4" t="s">
        <v>151</v>
      </c>
      <c r="D2654" s="4"/>
      <c r="E2654" s="4"/>
      <c r="F2654" s="4" t="s">
        <v>1503</v>
      </c>
      <c r="G2654" s="4" t="s">
        <v>336</v>
      </c>
      <c r="H2654" s="4" t="s">
        <v>289</v>
      </c>
      <c r="I2654" s="4">
        <v>5.3999999999999999E-2</v>
      </c>
      <c r="J2654" s="21">
        <v>400</v>
      </c>
      <c r="K2654" s="21">
        <v>0</v>
      </c>
      <c r="L2654" s="5">
        <v>0</v>
      </c>
      <c r="M2654" s="4"/>
      <c r="N2654" s="4"/>
      <c r="O2654" s="5"/>
      <c r="P2654" s="5"/>
      <c r="Q2654" s="21">
        <v>21.6</v>
      </c>
      <c r="R2654" s="21">
        <v>0</v>
      </c>
      <c r="S2654" s="5">
        <f t="shared" si="167"/>
        <v>12231.707120151994</v>
      </c>
      <c r="T2654" cm="1">
        <f t="array" ref="T2654">IF(OR(B2654="MAL ALIMI", B2654="ÜRETİM GİRİŞ"), MIN(I2654, MAX(0, I2654 + SUM(SUMIFS($I$1:I2653, $C$1:C2653, C2654, $B$1:B2653, {"MAL ALIMI","ÜRETİM GİRİŞ"})) - VLOOKUP(C2654, 'STOK RAPORU'!$C$2:$I$1000, 4, 0))), 0)</f>
        <v>0</v>
      </c>
      <c r="U2654" s="22">
        <f t="shared" si="164"/>
        <v>0</v>
      </c>
      <c r="V2654">
        <f t="shared" si="165"/>
        <v>0</v>
      </c>
      <c r="W2654" s="22">
        <f t="shared" si="166"/>
        <v>0</v>
      </c>
    </row>
    <row r="2655" spans="1:23" hidden="1" x14ac:dyDescent="0.25">
      <c r="A2655" s="3">
        <v>46021</v>
      </c>
      <c r="B2655" s="4" t="s">
        <v>334</v>
      </c>
      <c r="C2655" s="4" t="s">
        <v>91</v>
      </c>
      <c r="D2655" s="4"/>
      <c r="E2655" s="4"/>
      <c r="F2655" s="4" t="s">
        <v>1503</v>
      </c>
      <c r="G2655" s="4" t="s">
        <v>336</v>
      </c>
      <c r="H2655" s="4" t="s">
        <v>289</v>
      </c>
      <c r="I2655" s="4">
        <v>5.3999999999999999E-2</v>
      </c>
      <c r="J2655" s="21">
        <v>760</v>
      </c>
      <c r="K2655" s="21">
        <v>0</v>
      </c>
      <c r="L2655" s="5">
        <v>0</v>
      </c>
      <c r="M2655" s="4"/>
      <c r="N2655" s="4"/>
      <c r="O2655" s="5"/>
      <c r="P2655" s="5"/>
      <c r="Q2655" s="21">
        <v>41.04</v>
      </c>
      <c r="R2655" s="21">
        <v>0</v>
      </c>
      <c r="S2655" s="5">
        <f t="shared" si="167"/>
        <v>12272.747120151995</v>
      </c>
      <c r="T2655" cm="1">
        <f t="array" ref="T2655">IF(OR(B2655="MAL ALIMI", B2655="ÜRETİM GİRİŞ"), MIN(I2655, MAX(0, I2655 + SUM(SUMIFS($I$1:I2654, $C$1:C2654, C2655, $B$1:B2654, {"MAL ALIMI","ÜRETİM GİRİŞ"})) - VLOOKUP(C2655, 'STOK RAPORU'!$C$2:$I$1000, 4, 0))), 0)</f>
        <v>0</v>
      </c>
      <c r="U2655" s="22">
        <f t="shared" si="164"/>
        <v>0</v>
      </c>
      <c r="V2655">
        <f t="shared" si="165"/>
        <v>0</v>
      </c>
      <c r="W2655" s="22">
        <f t="shared" si="166"/>
        <v>0</v>
      </c>
    </row>
    <row r="2656" spans="1:23" hidden="1" x14ac:dyDescent="0.25">
      <c r="A2656" s="3">
        <v>46021</v>
      </c>
      <c r="B2656" s="4" t="s">
        <v>334</v>
      </c>
      <c r="C2656" s="4" t="s">
        <v>131</v>
      </c>
      <c r="D2656" s="4"/>
      <c r="E2656" s="4"/>
      <c r="F2656" s="4" t="s">
        <v>1503</v>
      </c>
      <c r="G2656" s="4" t="s">
        <v>336</v>
      </c>
      <c r="H2656" s="4" t="s">
        <v>289</v>
      </c>
      <c r="I2656" s="4">
        <v>0.126</v>
      </c>
      <c r="J2656" s="21">
        <v>400</v>
      </c>
      <c r="K2656" s="21">
        <v>0</v>
      </c>
      <c r="L2656" s="5">
        <v>0</v>
      </c>
      <c r="M2656" s="4"/>
      <c r="N2656" s="4"/>
      <c r="O2656" s="5"/>
      <c r="P2656" s="5"/>
      <c r="Q2656" s="21">
        <v>50.4</v>
      </c>
      <c r="R2656" s="21">
        <v>0</v>
      </c>
      <c r="S2656" s="5">
        <f t="shared" si="167"/>
        <v>12323.147120151994</v>
      </c>
      <c r="T2656" cm="1">
        <f t="array" ref="T2656">IF(OR(B2656="MAL ALIMI", B2656="ÜRETİM GİRİŞ"), MIN(I2656, MAX(0, I2656 + SUM(SUMIFS($I$1:I2655, $C$1:C2655, C2656, $B$1:B2655, {"MAL ALIMI","ÜRETİM GİRİŞ"})) - VLOOKUP(C2656, 'STOK RAPORU'!$C$2:$I$1000, 4, 0))), 0)</f>
        <v>0</v>
      </c>
      <c r="U2656" s="22">
        <f t="shared" si="164"/>
        <v>0</v>
      </c>
      <c r="V2656">
        <f t="shared" si="165"/>
        <v>0</v>
      </c>
      <c r="W2656" s="22">
        <f t="shared" si="166"/>
        <v>0</v>
      </c>
    </row>
    <row r="2657" spans="1:23" hidden="1" x14ac:dyDescent="0.25">
      <c r="A2657" s="3">
        <v>46021</v>
      </c>
      <c r="B2657" s="4" t="s">
        <v>334</v>
      </c>
      <c r="C2657" s="4" t="s">
        <v>192</v>
      </c>
      <c r="D2657" s="4"/>
      <c r="E2657" s="4"/>
      <c r="F2657" s="4" t="s">
        <v>1503</v>
      </c>
      <c r="G2657" s="4" t="s">
        <v>336</v>
      </c>
      <c r="H2657" s="4" t="s">
        <v>289</v>
      </c>
      <c r="I2657" s="4">
        <v>0.122</v>
      </c>
      <c r="J2657" s="21">
        <v>417</v>
      </c>
      <c r="K2657" s="21">
        <v>0</v>
      </c>
      <c r="L2657" s="5">
        <v>0</v>
      </c>
      <c r="M2657" s="4"/>
      <c r="N2657" s="4"/>
      <c r="O2657" s="5"/>
      <c r="P2657" s="5"/>
      <c r="Q2657" s="21">
        <v>50.874000000000002</v>
      </c>
      <c r="R2657" s="21">
        <v>0</v>
      </c>
      <c r="S2657" s="5">
        <f t="shared" si="167"/>
        <v>12374.021120151994</v>
      </c>
      <c r="T2657" cm="1">
        <f t="array" ref="T2657">IF(OR(B2657="MAL ALIMI", B2657="ÜRETİM GİRİŞ"), MIN(I2657, MAX(0, I2657 + SUM(SUMIFS($I$1:I2656, $C$1:C2656, C2657, $B$1:B2656, {"MAL ALIMI","ÜRETİM GİRİŞ"})) - VLOOKUP(C2657, 'STOK RAPORU'!$C$2:$I$1000, 4, 0))), 0)</f>
        <v>0</v>
      </c>
      <c r="U2657" s="22">
        <f t="shared" si="164"/>
        <v>0</v>
      </c>
      <c r="V2657">
        <f t="shared" si="165"/>
        <v>0</v>
      </c>
      <c r="W2657" s="22">
        <f t="shared" si="166"/>
        <v>0</v>
      </c>
    </row>
    <row r="2658" spans="1:23" hidden="1" x14ac:dyDescent="0.25">
      <c r="A2658" s="3">
        <v>46021</v>
      </c>
      <c r="B2658" s="4" t="s">
        <v>334</v>
      </c>
      <c r="C2658" s="4" t="s">
        <v>1144</v>
      </c>
      <c r="D2658" s="4"/>
      <c r="E2658" s="4"/>
      <c r="F2658" s="4" t="s">
        <v>1503</v>
      </c>
      <c r="G2658" s="4" t="s">
        <v>336</v>
      </c>
      <c r="H2658" s="4" t="s">
        <v>289</v>
      </c>
      <c r="I2658" s="4">
        <v>1</v>
      </c>
      <c r="J2658" s="21">
        <v>130</v>
      </c>
      <c r="K2658" s="21">
        <v>0</v>
      </c>
      <c r="L2658" s="5">
        <v>0</v>
      </c>
      <c r="M2658" s="4"/>
      <c r="N2658" s="4"/>
      <c r="O2658" s="5"/>
      <c r="P2658" s="5"/>
      <c r="Q2658" s="21">
        <v>130</v>
      </c>
      <c r="R2658" s="21">
        <v>0</v>
      </c>
      <c r="S2658" s="5">
        <f t="shared" si="167"/>
        <v>12504.021120151994</v>
      </c>
      <c r="T2658" cm="1">
        <f t="array" ref="T2658">IF(OR(B2658="MAL ALIMI", B2658="ÜRETİM GİRİŞ"), MIN(I2658, MAX(0, I2658 + SUM(SUMIFS($I$1:I2657, $C$1:C2657, C2658, $B$1:B2657, {"MAL ALIMI","ÜRETİM GİRİŞ"})) - VLOOKUP(C2658, 'STOK RAPORU'!$C$2:$I$1000, 4, 0))), 0)</f>
        <v>0</v>
      </c>
      <c r="U2658" s="22">
        <f t="shared" si="164"/>
        <v>0</v>
      </c>
      <c r="V2658">
        <f t="shared" si="165"/>
        <v>0</v>
      </c>
      <c r="W2658" s="22">
        <f t="shared" si="166"/>
        <v>0</v>
      </c>
    </row>
    <row r="2659" spans="1:23" hidden="1" x14ac:dyDescent="0.25">
      <c r="A2659" s="3">
        <v>46021</v>
      </c>
      <c r="B2659" s="4" t="s">
        <v>334</v>
      </c>
      <c r="C2659" s="4" t="s">
        <v>1501</v>
      </c>
      <c r="D2659" s="4"/>
      <c r="E2659" s="4" t="s">
        <v>921</v>
      </c>
      <c r="F2659" s="4" t="s">
        <v>1503</v>
      </c>
      <c r="G2659" s="4" t="s">
        <v>336</v>
      </c>
      <c r="H2659" s="4" t="s">
        <v>380</v>
      </c>
      <c r="I2659" s="4">
        <v>1</v>
      </c>
      <c r="J2659" s="21">
        <v>600</v>
      </c>
      <c r="K2659" s="21">
        <v>600</v>
      </c>
      <c r="L2659" s="5">
        <v>0</v>
      </c>
      <c r="M2659" s="4"/>
      <c r="N2659" s="4"/>
      <c r="O2659" s="5"/>
      <c r="P2659" s="5"/>
      <c r="Q2659" s="21">
        <v>0</v>
      </c>
      <c r="R2659" s="21">
        <v>0</v>
      </c>
      <c r="S2659" s="5">
        <f t="shared" si="167"/>
        <v>12504.021120151994</v>
      </c>
      <c r="T2659" cm="1">
        <f t="array" ref="T2659">IF(OR(B2659="MAL ALIMI", B2659="ÜRETİM GİRİŞ"), MIN(I2659, MAX(0, I2659 + SUM(SUMIFS($I$1:I2658, $C$1:C2658, C2659, $B$1:B2658, {"MAL ALIMI","ÜRETİM GİRİŞ"})) - VLOOKUP(C2659, 'STOK RAPORU'!$C$2:$I$1000, 4, 0))), 0)</f>
        <v>0</v>
      </c>
      <c r="U2659" s="22">
        <f t="shared" si="164"/>
        <v>0</v>
      </c>
      <c r="V2659">
        <f t="shared" si="165"/>
        <v>0</v>
      </c>
      <c r="W2659" s="22">
        <f t="shared" si="166"/>
        <v>0</v>
      </c>
    </row>
    <row r="2660" spans="1:23" hidden="1" x14ac:dyDescent="0.25">
      <c r="A2660" s="3">
        <v>46021</v>
      </c>
      <c r="B2660" s="4" t="s">
        <v>334</v>
      </c>
      <c r="C2660" s="4" t="s">
        <v>140</v>
      </c>
      <c r="D2660" s="4"/>
      <c r="E2660" s="4"/>
      <c r="F2660" s="4" t="s">
        <v>1507</v>
      </c>
      <c r="G2660" s="4" t="s">
        <v>336</v>
      </c>
      <c r="H2660" s="4" t="s">
        <v>289</v>
      </c>
      <c r="I2660" s="4">
        <v>0.12</v>
      </c>
      <c r="J2660" s="21">
        <v>300</v>
      </c>
      <c r="K2660" s="21">
        <v>0</v>
      </c>
      <c r="L2660" s="5">
        <v>0</v>
      </c>
      <c r="M2660" s="4"/>
      <c r="N2660" s="4"/>
      <c r="O2660" s="5"/>
      <c r="P2660" s="5"/>
      <c r="Q2660" s="21">
        <v>36</v>
      </c>
      <c r="R2660" s="21">
        <v>0</v>
      </c>
      <c r="S2660" s="5">
        <f t="shared" si="167"/>
        <v>12540.021120151994</v>
      </c>
      <c r="T2660" cm="1">
        <f t="array" ref="T2660">IF(OR(B2660="MAL ALIMI", B2660="ÜRETİM GİRİŞ"), MIN(I2660, MAX(0, I2660 + SUM(SUMIFS($I$1:I2659, $C$1:C2659, C2660, $B$1:B2659, {"MAL ALIMI","ÜRETİM GİRİŞ"})) - VLOOKUP(C2660, 'STOK RAPORU'!$C$2:$I$1000, 4, 0))), 0)</f>
        <v>0</v>
      </c>
      <c r="U2660" s="22">
        <f t="shared" si="164"/>
        <v>0</v>
      </c>
      <c r="V2660">
        <f t="shared" si="165"/>
        <v>0</v>
      </c>
      <c r="W2660" s="22">
        <f t="shared" si="166"/>
        <v>0</v>
      </c>
    </row>
    <row r="2661" spans="1:23" hidden="1" x14ac:dyDescent="0.25">
      <c r="A2661" s="3">
        <v>46021</v>
      </c>
      <c r="B2661" s="4" t="s">
        <v>334</v>
      </c>
      <c r="C2661" s="4" t="s">
        <v>134</v>
      </c>
      <c r="D2661" s="4"/>
      <c r="E2661" s="4"/>
      <c r="F2661" s="4" t="s">
        <v>1508</v>
      </c>
      <c r="G2661" s="4" t="s">
        <v>336</v>
      </c>
      <c r="H2661" s="4" t="s">
        <v>289</v>
      </c>
      <c r="I2661" s="4">
        <v>0.1</v>
      </c>
      <c r="J2661" s="21">
        <v>600</v>
      </c>
      <c r="K2661" s="21">
        <v>0</v>
      </c>
      <c r="L2661" s="5">
        <v>0</v>
      </c>
      <c r="M2661" s="4"/>
      <c r="N2661" s="4"/>
      <c r="O2661" s="5"/>
      <c r="P2661" s="5"/>
      <c r="Q2661" s="21">
        <v>60</v>
      </c>
      <c r="R2661" s="21">
        <v>0</v>
      </c>
      <c r="S2661" s="5">
        <f t="shared" si="167"/>
        <v>12600.021120151994</v>
      </c>
      <c r="T2661" cm="1">
        <f t="array" ref="T2661">IF(OR(B2661="MAL ALIMI", B2661="ÜRETİM GİRİŞ"), MIN(I2661, MAX(0, I2661 + SUM(SUMIFS($I$1:I2660, $C$1:C2660, C2661, $B$1:B2660, {"MAL ALIMI","ÜRETİM GİRİŞ"})) - VLOOKUP(C2661, 'STOK RAPORU'!$C$2:$I$1000, 4, 0))), 0)</f>
        <v>0</v>
      </c>
      <c r="U2661" s="22">
        <f t="shared" si="164"/>
        <v>0</v>
      </c>
      <c r="V2661">
        <f t="shared" si="165"/>
        <v>0</v>
      </c>
      <c r="W2661" s="22">
        <f t="shared" si="166"/>
        <v>0</v>
      </c>
    </row>
    <row r="2662" spans="1:23" hidden="1" x14ac:dyDescent="0.25">
      <c r="A2662" s="3">
        <v>46021</v>
      </c>
      <c r="B2662" s="4" t="s">
        <v>334</v>
      </c>
      <c r="C2662" s="4" t="s">
        <v>89</v>
      </c>
      <c r="D2662" s="4"/>
      <c r="E2662" s="4"/>
      <c r="F2662" s="4" t="s">
        <v>1508</v>
      </c>
      <c r="G2662" s="4" t="s">
        <v>336</v>
      </c>
      <c r="H2662" s="4" t="s">
        <v>289</v>
      </c>
      <c r="I2662" s="4">
        <v>0.1</v>
      </c>
      <c r="J2662" s="21">
        <v>650</v>
      </c>
      <c r="K2662" s="21">
        <v>0</v>
      </c>
      <c r="L2662" s="5">
        <v>0</v>
      </c>
      <c r="M2662" s="4"/>
      <c r="N2662" s="4"/>
      <c r="O2662" s="5"/>
      <c r="P2662" s="5"/>
      <c r="Q2662" s="21">
        <v>65</v>
      </c>
      <c r="R2662" s="21">
        <v>0</v>
      </c>
      <c r="S2662" s="5">
        <f t="shared" si="167"/>
        <v>12665.021120151994</v>
      </c>
      <c r="T2662" cm="1">
        <f t="array" ref="T2662">IF(OR(B2662="MAL ALIMI", B2662="ÜRETİM GİRİŞ"), MIN(I2662, MAX(0, I2662 + SUM(SUMIFS($I$1:I2661, $C$1:C2661, C2662, $B$1:B2661, {"MAL ALIMI","ÜRETİM GİRİŞ"})) - VLOOKUP(C2662, 'STOK RAPORU'!$C$2:$I$1000, 4, 0))), 0)</f>
        <v>0</v>
      </c>
      <c r="U2662" s="22">
        <f t="shared" si="164"/>
        <v>0</v>
      </c>
      <c r="V2662">
        <f t="shared" si="165"/>
        <v>0</v>
      </c>
      <c r="W2662" s="22">
        <f t="shared" si="166"/>
        <v>0</v>
      </c>
    </row>
    <row r="2663" spans="1:23" hidden="1" x14ac:dyDescent="0.25">
      <c r="A2663" s="3">
        <v>46021</v>
      </c>
      <c r="B2663" s="4" t="s">
        <v>334</v>
      </c>
      <c r="C2663" s="4" t="s">
        <v>163</v>
      </c>
      <c r="D2663" s="4"/>
      <c r="E2663" s="4"/>
      <c r="F2663" s="4" t="s">
        <v>1509</v>
      </c>
      <c r="G2663" s="4" t="s">
        <v>336</v>
      </c>
      <c r="H2663" s="4" t="s">
        <v>289</v>
      </c>
      <c r="I2663" s="4">
        <v>0.189</v>
      </c>
      <c r="J2663" s="21">
        <v>420</v>
      </c>
      <c r="K2663" s="21">
        <v>0</v>
      </c>
      <c r="L2663" s="5">
        <v>0</v>
      </c>
      <c r="M2663" s="4"/>
      <c r="N2663" s="4"/>
      <c r="O2663" s="5"/>
      <c r="P2663" s="5"/>
      <c r="Q2663" s="21">
        <v>79.38</v>
      </c>
      <c r="R2663" s="21">
        <v>0</v>
      </c>
      <c r="S2663" s="5">
        <f t="shared" si="167"/>
        <v>12744.401120151993</v>
      </c>
      <c r="T2663" cm="1">
        <f t="array" ref="T2663">IF(OR(B2663="MAL ALIMI", B2663="ÜRETİM GİRİŞ"), MIN(I2663, MAX(0, I2663 + SUM(SUMIFS($I$1:I2662, $C$1:C2662, C2663, $B$1:B2662, {"MAL ALIMI","ÜRETİM GİRİŞ"})) - VLOOKUP(C2663, 'STOK RAPORU'!$C$2:$I$1000, 4, 0))), 0)</f>
        <v>0</v>
      </c>
      <c r="U2663" s="22">
        <f t="shared" si="164"/>
        <v>0</v>
      </c>
      <c r="V2663">
        <f t="shared" si="165"/>
        <v>0</v>
      </c>
      <c r="W2663" s="22">
        <f t="shared" si="166"/>
        <v>0</v>
      </c>
    </row>
    <row r="2664" spans="1:23" hidden="1" x14ac:dyDescent="0.25">
      <c r="A2664" s="3">
        <v>46021</v>
      </c>
      <c r="B2664" s="4" t="s">
        <v>334</v>
      </c>
      <c r="C2664" s="4" t="s">
        <v>1024</v>
      </c>
      <c r="D2664" s="4"/>
      <c r="E2664" s="4"/>
      <c r="F2664" s="4" t="s">
        <v>1509</v>
      </c>
      <c r="G2664" s="4" t="s">
        <v>336</v>
      </c>
      <c r="H2664" s="4" t="s">
        <v>289</v>
      </c>
      <c r="I2664" s="4">
        <v>1</v>
      </c>
      <c r="J2664" s="21">
        <v>65</v>
      </c>
      <c r="K2664" s="21">
        <v>0</v>
      </c>
      <c r="L2664" s="5">
        <v>0</v>
      </c>
      <c r="M2664" s="4"/>
      <c r="N2664" s="4"/>
      <c r="O2664" s="5"/>
      <c r="P2664" s="5"/>
      <c r="Q2664" s="21">
        <v>65</v>
      </c>
      <c r="R2664" s="21">
        <v>0</v>
      </c>
      <c r="S2664" s="5">
        <f t="shared" si="167"/>
        <v>12809.401120151993</v>
      </c>
      <c r="T2664" cm="1">
        <f t="array" ref="T2664">IF(OR(B2664="MAL ALIMI", B2664="ÜRETİM GİRİŞ"), MIN(I2664, MAX(0, I2664 + SUM(SUMIFS($I$1:I2663, $C$1:C2663, C2664, $B$1:B2663, {"MAL ALIMI","ÜRETİM GİRİŞ"})) - VLOOKUP(C2664, 'STOK RAPORU'!$C$2:$I$1000, 4, 0))), 0)</f>
        <v>0</v>
      </c>
      <c r="U2664" s="22">
        <f t="shared" si="164"/>
        <v>0</v>
      </c>
      <c r="V2664">
        <f t="shared" si="165"/>
        <v>0</v>
      </c>
      <c r="W2664" s="22">
        <f t="shared" si="166"/>
        <v>0</v>
      </c>
    </row>
    <row r="2665" spans="1:23" hidden="1" x14ac:dyDescent="0.25">
      <c r="A2665" s="3">
        <v>46021</v>
      </c>
      <c r="B2665" s="4" t="s">
        <v>334</v>
      </c>
      <c r="C2665" s="4" t="s">
        <v>523</v>
      </c>
      <c r="D2665" s="4"/>
      <c r="E2665" s="4"/>
      <c r="F2665" s="4" t="s">
        <v>1509</v>
      </c>
      <c r="G2665" s="4" t="s">
        <v>336</v>
      </c>
      <c r="H2665" s="4" t="s">
        <v>289</v>
      </c>
      <c r="I2665" s="4">
        <v>0.1</v>
      </c>
      <c r="J2665" s="21">
        <v>650</v>
      </c>
      <c r="K2665" s="21">
        <v>0</v>
      </c>
      <c r="L2665" s="5">
        <v>0</v>
      </c>
      <c r="M2665" s="4"/>
      <c r="N2665" s="4"/>
      <c r="O2665" s="5"/>
      <c r="P2665" s="5"/>
      <c r="Q2665" s="21">
        <v>65</v>
      </c>
      <c r="R2665" s="21">
        <v>0</v>
      </c>
      <c r="S2665" s="5">
        <f t="shared" si="167"/>
        <v>12874.401120151993</v>
      </c>
      <c r="T2665" cm="1">
        <f t="array" ref="T2665">IF(OR(B2665="MAL ALIMI", B2665="ÜRETİM GİRİŞ"), MIN(I2665, MAX(0, I2665 + SUM(SUMIFS($I$1:I2664, $C$1:C2664, C2665, $B$1:B2664, {"MAL ALIMI","ÜRETİM GİRİŞ"})) - VLOOKUP(C2665, 'STOK RAPORU'!$C$2:$I$1000, 4, 0))), 0)</f>
        <v>0</v>
      </c>
      <c r="U2665" s="22">
        <f t="shared" si="164"/>
        <v>0</v>
      </c>
      <c r="V2665">
        <f t="shared" si="165"/>
        <v>0</v>
      </c>
      <c r="W2665" s="22">
        <f t="shared" si="166"/>
        <v>0</v>
      </c>
    </row>
    <row r="2666" spans="1:23" hidden="1" x14ac:dyDescent="0.25">
      <c r="A2666" s="3">
        <v>46021</v>
      </c>
      <c r="B2666" s="4" t="s">
        <v>334</v>
      </c>
      <c r="C2666" s="4" t="s">
        <v>1501</v>
      </c>
      <c r="D2666" s="4"/>
      <c r="E2666" s="4" t="s">
        <v>921</v>
      </c>
      <c r="F2666" s="4" t="s">
        <v>1510</v>
      </c>
      <c r="G2666" s="4" t="s">
        <v>336</v>
      </c>
      <c r="H2666" s="4" t="s">
        <v>380</v>
      </c>
      <c r="I2666" s="4">
        <v>1</v>
      </c>
      <c r="J2666" s="21">
        <v>600</v>
      </c>
      <c r="K2666" s="21">
        <v>600</v>
      </c>
      <c r="L2666" s="5">
        <v>0</v>
      </c>
      <c r="M2666" s="4"/>
      <c r="N2666" s="4"/>
      <c r="O2666" s="5"/>
      <c r="P2666" s="5"/>
      <c r="Q2666" s="21">
        <v>0</v>
      </c>
      <c r="R2666" s="21">
        <v>0</v>
      </c>
      <c r="S2666" s="5">
        <f t="shared" si="167"/>
        <v>12874.401120151993</v>
      </c>
      <c r="T2666" cm="1">
        <f t="array" ref="T2666">IF(OR(B2666="MAL ALIMI", B2666="ÜRETİM GİRİŞ"), MIN(I2666, MAX(0, I2666 + SUM(SUMIFS($I$1:I2665, $C$1:C2665, C2666, $B$1:B2665, {"MAL ALIMI","ÜRETİM GİRİŞ"})) - VLOOKUP(C2666, 'STOK RAPORU'!$C$2:$I$1000, 4, 0))), 0)</f>
        <v>0</v>
      </c>
      <c r="U2666" s="22">
        <f t="shared" si="164"/>
        <v>0</v>
      </c>
      <c r="V2666">
        <f t="shared" si="165"/>
        <v>0</v>
      </c>
      <c r="W2666" s="22">
        <f t="shared" si="166"/>
        <v>0</v>
      </c>
    </row>
    <row r="2667" spans="1:23" hidden="1" x14ac:dyDescent="0.25">
      <c r="A2667" s="3">
        <v>46021</v>
      </c>
      <c r="B2667" s="4" t="s">
        <v>334</v>
      </c>
      <c r="C2667" s="4" t="s">
        <v>156</v>
      </c>
      <c r="D2667" s="4"/>
      <c r="E2667" s="4" t="s">
        <v>921</v>
      </c>
      <c r="F2667" s="4" t="s">
        <v>1510</v>
      </c>
      <c r="G2667" s="4" t="s">
        <v>336</v>
      </c>
      <c r="H2667" s="4" t="s">
        <v>380</v>
      </c>
      <c r="I2667" s="4">
        <v>1</v>
      </c>
      <c r="J2667" s="21">
        <v>200</v>
      </c>
      <c r="K2667" s="21">
        <v>200</v>
      </c>
      <c r="L2667" s="5">
        <v>0</v>
      </c>
      <c r="M2667" s="4"/>
      <c r="N2667" s="4"/>
      <c r="O2667" s="5"/>
      <c r="P2667" s="5"/>
      <c r="Q2667" s="21">
        <v>0</v>
      </c>
      <c r="R2667" s="21">
        <v>0</v>
      </c>
      <c r="S2667" s="5">
        <f t="shared" si="167"/>
        <v>12874.401120151993</v>
      </c>
      <c r="T2667" cm="1">
        <f t="array" ref="T2667">IF(OR(B2667="MAL ALIMI", B2667="ÜRETİM GİRİŞ"), MIN(I2667, MAX(0, I2667 + SUM(SUMIFS($I$1:I2666, $C$1:C2666, C2667, $B$1:B2666, {"MAL ALIMI","ÜRETİM GİRİŞ"})) - VLOOKUP(C2667, 'STOK RAPORU'!$C$2:$I$1000, 4, 0))), 0)</f>
        <v>0</v>
      </c>
      <c r="U2667" s="22">
        <f t="shared" si="164"/>
        <v>0</v>
      </c>
      <c r="V2667">
        <f t="shared" si="165"/>
        <v>0</v>
      </c>
      <c r="W2667" s="22">
        <f t="shared" si="166"/>
        <v>0</v>
      </c>
    </row>
    <row r="2668" spans="1:23" hidden="1" x14ac:dyDescent="0.25">
      <c r="A2668" s="3">
        <v>46021</v>
      </c>
      <c r="B2668" s="4" t="s">
        <v>334</v>
      </c>
      <c r="C2668" s="4" t="s">
        <v>158</v>
      </c>
      <c r="D2668" s="4"/>
      <c r="E2668" s="4" t="s">
        <v>921</v>
      </c>
      <c r="F2668" s="4" t="s">
        <v>1510</v>
      </c>
      <c r="G2668" s="4" t="s">
        <v>336</v>
      </c>
      <c r="H2668" s="4" t="s">
        <v>380</v>
      </c>
      <c r="I2668" s="4">
        <v>1</v>
      </c>
      <c r="J2668" s="21">
        <v>150</v>
      </c>
      <c r="K2668" s="21">
        <v>150</v>
      </c>
      <c r="L2668" s="5">
        <v>0</v>
      </c>
      <c r="M2668" s="4"/>
      <c r="N2668" s="4"/>
      <c r="O2668" s="5"/>
      <c r="P2668" s="5"/>
      <c r="Q2668" s="21">
        <v>0</v>
      </c>
      <c r="R2668" s="21">
        <v>0</v>
      </c>
      <c r="S2668" s="5">
        <f t="shared" si="167"/>
        <v>12874.401120151993</v>
      </c>
      <c r="T2668" cm="1">
        <f t="array" ref="T2668">IF(OR(B2668="MAL ALIMI", B2668="ÜRETİM GİRİŞ"), MIN(I2668, MAX(0, I2668 + SUM(SUMIFS($I$1:I2667, $C$1:C2667, C2668, $B$1:B2667, {"MAL ALIMI","ÜRETİM GİRİŞ"})) - VLOOKUP(C2668, 'STOK RAPORU'!$C$2:$I$1000, 4, 0))), 0)</f>
        <v>0</v>
      </c>
      <c r="U2668" s="22">
        <f t="shared" si="164"/>
        <v>0</v>
      </c>
      <c r="V2668">
        <f t="shared" si="165"/>
        <v>0</v>
      </c>
      <c r="W2668" s="22">
        <f t="shared" si="166"/>
        <v>0</v>
      </c>
    </row>
    <row r="2669" spans="1:23" hidden="1" x14ac:dyDescent="0.25">
      <c r="A2669" s="3">
        <v>46021</v>
      </c>
      <c r="B2669" s="4" t="s">
        <v>334</v>
      </c>
      <c r="C2669" s="4" t="s">
        <v>1501</v>
      </c>
      <c r="D2669" s="4"/>
      <c r="E2669" s="4"/>
      <c r="F2669" s="4" t="s">
        <v>1511</v>
      </c>
      <c r="G2669" s="4" t="s">
        <v>336</v>
      </c>
      <c r="H2669" s="4" t="s">
        <v>289</v>
      </c>
      <c r="I2669" s="4">
        <v>1</v>
      </c>
      <c r="J2669" s="21">
        <v>600</v>
      </c>
      <c r="K2669" s="21">
        <v>0</v>
      </c>
      <c r="L2669" s="5">
        <v>0</v>
      </c>
      <c r="M2669" s="4"/>
      <c r="N2669" s="4"/>
      <c r="O2669" s="5"/>
      <c r="P2669" s="5"/>
      <c r="Q2669" s="21">
        <v>600</v>
      </c>
      <c r="R2669" s="21">
        <v>0</v>
      </c>
      <c r="S2669" s="5">
        <f t="shared" si="167"/>
        <v>13474.401120151993</v>
      </c>
      <c r="T2669" cm="1">
        <f t="array" ref="T2669">IF(OR(B2669="MAL ALIMI", B2669="ÜRETİM GİRİŞ"), MIN(I2669, MAX(0, I2669 + SUM(SUMIFS($I$1:I2668, $C$1:C2668, C2669, $B$1:B2668, {"MAL ALIMI","ÜRETİM GİRİŞ"})) - VLOOKUP(C2669, 'STOK RAPORU'!$C$2:$I$1000, 4, 0))), 0)</f>
        <v>0</v>
      </c>
      <c r="U2669" s="22">
        <f t="shared" si="164"/>
        <v>0</v>
      </c>
      <c r="V2669">
        <f t="shared" si="165"/>
        <v>0</v>
      </c>
      <c r="W2669" s="22">
        <f t="shared" si="166"/>
        <v>0</v>
      </c>
    </row>
    <row r="2670" spans="1:23" hidden="1" x14ac:dyDescent="0.25">
      <c r="A2670" s="3">
        <v>46021</v>
      </c>
      <c r="B2670" s="4" t="s">
        <v>334</v>
      </c>
      <c r="C2670" s="4" t="s">
        <v>827</v>
      </c>
      <c r="D2670" s="4"/>
      <c r="E2670" s="4"/>
      <c r="F2670" s="4" t="s">
        <v>1512</v>
      </c>
      <c r="G2670" s="4" t="s">
        <v>336</v>
      </c>
      <c r="H2670" s="4" t="s">
        <v>289</v>
      </c>
      <c r="I2670" s="4">
        <v>1</v>
      </c>
      <c r="J2670" s="21">
        <v>100</v>
      </c>
      <c r="K2670" s="21">
        <v>0</v>
      </c>
      <c r="L2670" s="5">
        <v>0</v>
      </c>
      <c r="M2670" s="4"/>
      <c r="N2670" s="4"/>
      <c r="O2670" s="5"/>
      <c r="P2670" s="5"/>
      <c r="Q2670" s="21">
        <v>100</v>
      </c>
      <c r="R2670" s="21">
        <v>0</v>
      </c>
      <c r="S2670" s="5">
        <f t="shared" si="167"/>
        <v>13574.401120151993</v>
      </c>
      <c r="T2670" cm="1">
        <f t="array" ref="T2670">IF(OR(B2670="MAL ALIMI", B2670="ÜRETİM GİRİŞ"), MIN(I2670, MAX(0, I2670 + SUM(SUMIFS($I$1:I2669, $C$1:C2669, C2670, $B$1:B2669, {"MAL ALIMI","ÜRETİM GİRİŞ"})) - VLOOKUP(C2670, 'STOK RAPORU'!$C$2:$I$1000, 4, 0))), 0)</f>
        <v>0</v>
      </c>
      <c r="U2670" s="22">
        <f t="shared" si="164"/>
        <v>0</v>
      </c>
      <c r="V2670">
        <f t="shared" si="165"/>
        <v>0</v>
      </c>
      <c r="W2670" s="22">
        <f t="shared" si="166"/>
        <v>0</v>
      </c>
    </row>
    <row r="2671" spans="1:23" hidden="1" x14ac:dyDescent="0.25">
      <c r="A2671" s="3">
        <v>46021</v>
      </c>
      <c r="B2671" s="4" t="s">
        <v>334</v>
      </c>
      <c r="C2671" s="4" t="s">
        <v>231</v>
      </c>
      <c r="D2671" s="4"/>
      <c r="E2671" s="4"/>
      <c r="F2671" s="4" t="s">
        <v>1513</v>
      </c>
      <c r="G2671" s="4" t="s">
        <v>336</v>
      </c>
      <c r="H2671" s="4" t="s">
        <v>289</v>
      </c>
      <c r="I2671" s="4">
        <v>1</v>
      </c>
      <c r="J2671" s="21">
        <v>200</v>
      </c>
      <c r="K2671" s="21">
        <v>0</v>
      </c>
      <c r="L2671" s="5">
        <v>0</v>
      </c>
      <c r="M2671" s="4"/>
      <c r="N2671" s="4"/>
      <c r="O2671" s="5"/>
      <c r="P2671" s="5"/>
      <c r="Q2671" s="21">
        <v>200</v>
      </c>
      <c r="R2671" s="21">
        <v>0</v>
      </c>
      <c r="S2671" s="5">
        <f t="shared" si="167"/>
        <v>13774.401120151993</v>
      </c>
      <c r="T2671" cm="1">
        <f t="array" ref="T2671">IF(OR(B2671="MAL ALIMI", B2671="ÜRETİM GİRİŞ"), MIN(I2671, MAX(0, I2671 + SUM(SUMIFS($I$1:I2670, $C$1:C2670, C2671, $B$1:B2670, {"MAL ALIMI","ÜRETİM GİRİŞ"})) - VLOOKUP(C2671, 'STOK RAPORU'!$C$2:$I$1000, 4, 0))), 0)</f>
        <v>0</v>
      </c>
      <c r="U2671" s="22">
        <f t="shared" si="164"/>
        <v>0</v>
      </c>
      <c r="V2671">
        <f t="shared" si="165"/>
        <v>0</v>
      </c>
      <c r="W2671" s="22">
        <f t="shared" si="166"/>
        <v>0</v>
      </c>
    </row>
    <row r="2672" spans="1:23" hidden="1" x14ac:dyDescent="0.25">
      <c r="A2672" s="3">
        <v>46021</v>
      </c>
      <c r="B2672" s="4" t="s">
        <v>334</v>
      </c>
      <c r="C2672" s="4" t="s">
        <v>132</v>
      </c>
      <c r="D2672" s="4"/>
      <c r="E2672" s="4"/>
      <c r="F2672" s="4" t="s">
        <v>1513</v>
      </c>
      <c r="G2672" s="4" t="s">
        <v>336</v>
      </c>
      <c r="H2672" s="4" t="s">
        <v>289</v>
      </c>
      <c r="I2672" s="4">
        <v>0.08</v>
      </c>
      <c r="J2672" s="21">
        <v>500</v>
      </c>
      <c r="K2672" s="21">
        <v>0</v>
      </c>
      <c r="L2672" s="5">
        <v>0</v>
      </c>
      <c r="M2672" s="4"/>
      <c r="N2672" s="4"/>
      <c r="O2672" s="5"/>
      <c r="P2672" s="5"/>
      <c r="Q2672" s="21">
        <v>40</v>
      </c>
      <c r="R2672" s="21">
        <v>0</v>
      </c>
      <c r="S2672" s="5">
        <f t="shared" si="167"/>
        <v>13814.401120151993</v>
      </c>
      <c r="T2672" cm="1">
        <f t="array" ref="T2672">IF(OR(B2672="MAL ALIMI", B2672="ÜRETİM GİRİŞ"), MIN(I2672, MAX(0, I2672 + SUM(SUMIFS($I$1:I2671, $C$1:C2671, C2672, $B$1:B2671, {"MAL ALIMI","ÜRETİM GİRİŞ"})) - VLOOKUP(C2672, 'STOK RAPORU'!$C$2:$I$1000, 4, 0))), 0)</f>
        <v>0</v>
      </c>
      <c r="U2672" s="22">
        <f t="shared" si="164"/>
        <v>0</v>
      </c>
      <c r="V2672">
        <f t="shared" si="165"/>
        <v>0</v>
      </c>
      <c r="W2672" s="22">
        <f t="shared" si="166"/>
        <v>0</v>
      </c>
    </row>
    <row r="2673" spans="1:23" hidden="1" x14ac:dyDescent="0.25">
      <c r="A2673" s="3">
        <v>46021</v>
      </c>
      <c r="B2673" s="4" t="s">
        <v>334</v>
      </c>
      <c r="C2673" s="4" t="s">
        <v>209</v>
      </c>
      <c r="D2673" s="4"/>
      <c r="E2673" s="4" t="s">
        <v>921</v>
      </c>
      <c r="F2673" s="4" t="s">
        <v>1514</v>
      </c>
      <c r="G2673" s="4" t="s">
        <v>336</v>
      </c>
      <c r="H2673" s="4" t="s">
        <v>380</v>
      </c>
      <c r="I2673" s="4">
        <v>0.05</v>
      </c>
      <c r="J2673" s="21">
        <v>2600</v>
      </c>
      <c r="K2673" s="21">
        <v>130</v>
      </c>
      <c r="L2673" s="5">
        <v>0</v>
      </c>
      <c r="M2673" s="4"/>
      <c r="N2673" s="4"/>
      <c r="O2673" s="5"/>
      <c r="P2673" s="5"/>
      <c r="Q2673" s="21">
        <v>0</v>
      </c>
      <c r="R2673" s="21">
        <v>0</v>
      </c>
      <c r="S2673" s="5">
        <f t="shared" si="167"/>
        <v>13814.401120151993</v>
      </c>
      <c r="T2673" cm="1">
        <f t="array" ref="T2673">IF(OR(B2673="MAL ALIMI", B2673="ÜRETİM GİRİŞ"), MIN(I2673, MAX(0, I2673 + SUM(SUMIFS($I$1:I2672, $C$1:C2672, C2673, $B$1:B2672, {"MAL ALIMI","ÜRETİM GİRİŞ"})) - VLOOKUP(C2673, 'STOK RAPORU'!$C$2:$I$1000, 4, 0))), 0)</f>
        <v>0</v>
      </c>
      <c r="U2673" s="22">
        <f t="shared" si="164"/>
        <v>0</v>
      </c>
      <c r="V2673">
        <f t="shared" si="165"/>
        <v>0</v>
      </c>
      <c r="W2673" s="22">
        <f t="shared" si="166"/>
        <v>0</v>
      </c>
    </row>
    <row r="2674" spans="1:23" hidden="1" x14ac:dyDescent="0.25">
      <c r="A2674" s="3">
        <v>46021</v>
      </c>
      <c r="B2674" s="4" t="s">
        <v>334</v>
      </c>
      <c r="C2674" s="4" t="s">
        <v>129</v>
      </c>
      <c r="D2674" s="4"/>
      <c r="E2674" s="4"/>
      <c r="F2674" s="4" t="s">
        <v>1515</v>
      </c>
      <c r="G2674" s="4" t="s">
        <v>336</v>
      </c>
      <c r="H2674" s="4" t="s">
        <v>289</v>
      </c>
      <c r="I2674" s="4">
        <v>0.09</v>
      </c>
      <c r="J2674" s="21">
        <v>390</v>
      </c>
      <c r="K2674" s="21">
        <v>0</v>
      </c>
      <c r="L2674" s="5">
        <v>0</v>
      </c>
      <c r="M2674" s="4"/>
      <c r="N2674" s="4"/>
      <c r="O2674" s="5"/>
      <c r="P2674" s="5"/>
      <c r="Q2674" s="21">
        <v>35.1</v>
      </c>
      <c r="R2674" s="21">
        <v>0</v>
      </c>
      <c r="S2674" s="5">
        <f t="shared" si="167"/>
        <v>13849.501120151994</v>
      </c>
      <c r="T2674" cm="1">
        <f t="array" ref="T2674">IF(OR(B2674="MAL ALIMI", B2674="ÜRETİM GİRİŞ"), MIN(I2674, MAX(0, I2674 + SUM(SUMIFS($I$1:I2673, $C$1:C2673, C2674, $B$1:B2673, {"MAL ALIMI","ÜRETİM GİRİŞ"})) - VLOOKUP(C2674, 'STOK RAPORU'!$C$2:$I$1000, 4, 0))), 0)</f>
        <v>0</v>
      </c>
      <c r="U2674" s="22">
        <f t="shared" si="164"/>
        <v>0</v>
      </c>
      <c r="V2674">
        <f t="shared" si="165"/>
        <v>0</v>
      </c>
      <c r="W2674" s="22">
        <f t="shared" si="166"/>
        <v>0</v>
      </c>
    </row>
    <row r="2675" spans="1:23" hidden="1" x14ac:dyDescent="0.25">
      <c r="A2675" s="3">
        <v>46021</v>
      </c>
      <c r="B2675" s="4" t="s">
        <v>334</v>
      </c>
      <c r="C2675" s="4" t="s">
        <v>91</v>
      </c>
      <c r="D2675" s="4"/>
      <c r="E2675" s="4"/>
      <c r="F2675" s="4" t="s">
        <v>1516</v>
      </c>
      <c r="G2675" s="4" t="s">
        <v>336</v>
      </c>
      <c r="H2675" s="4" t="s">
        <v>289</v>
      </c>
      <c r="I2675" s="4">
        <v>6.5789473684210523E-2</v>
      </c>
      <c r="J2675" s="21">
        <v>760</v>
      </c>
      <c r="K2675" s="21">
        <v>0</v>
      </c>
      <c r="L2675" s="5">
        <v>0</v>
      </c>
      <c r="M2675" s="4"/>
      <c r="N2675" s="4"/>
      <c r="O2675" s="5"/>
      <c r="P2675" s="5"/>
      <c r="Q2675" s="21">
        <v>50</v>
      </c>
      <c r="R2675" s="21">
        <v>0</v>
      </c>
      <c r="S2675" s="5">
        <f t="shared" si="167"/>
        <v>13899.501120151994</v>
      </c>
      <c r="T2675" cm="1">
        <f t="array" ref="T2675">IF(OR(B2675="MAL ALIMI", B2675="ÜRETİM GİRİŞ"), MIN(I2675, MAX(0, I2675 + SUM(SUMIFS($I$1:I2674, $C$1:C2674, C2675, $B$1:B2674, {"MAL ALIMI","ÜRETİM GİRİŞ"})) - VLOOKUP(C2675, 'STOK RAPORU'!$C$2:$I$1000, 4, 0))), 0)</f>
        <v>0</v>
      </c>
      <c r="U2675" s="22">
        <f t="shared" si="164"/>
        <v>0</v>
      </c>
      <c r="V2675">
        <f t="shared" si="165"/>
        <v>0</v>
      </c>
      <c r="W2675" s="22">
        <f t="shared" si="166"/>
        <v>0</v>
      </c>
    </row>
    <row r="2676" spans="1:23" hidden="1" x14ac:dyDescent="0.25">
      <c r="A2676" s="3">
        <v>46021</v>
      </c>
      <c r="B2676" s="4" t="s">
        <v>334</v>
      </c>
      <c r="C2676" s="4" t="s">
        <v>246</v>
      </c>
      <c r="D2676" s="4"/>
      <c r="E2676" s="4"/>
      <c r="F2676" s="4" t="s">
        <v>1517</v>
      </c>
      <c r="G2676" s="4" t="s">
        <v>336</v>
      </c>
      <c r="H2676" s="4" t="s">
        <v>289</v>
      </c>
      <c r="I2676" s="4">
        <v>0.2</v>
      </c>
      <c r="J2676" s="21">
        <v>1250</v>
      </c>
      <c r="K2676" s="21">
        <v>0</v>
      </c>
      <c r="L2676" s="5">
        <v>0</v>
      </c>
      <c r="M2676" s="4"/>
      <c r="N2676" s="4"/>
      <c r="O2676" s="5"/>
      <c r="P2676" s="5"/>
      <c r="Q2676" s="21">
        <v>250</v>
      </c>
      <c r="R2676" s="21">
        <v>0</v>
      </c>
      <c r="S2676" s="5">
        <f t="shared" si="167"/>
        <v>14149.501120151994</v>
      </c>
      <c r="T2676" cm="1">
        <f t="array" ref="T2676">IF(OR(B2676="MAL ALIMI", B2676="ÜRETİM GİRİŞ"), MIN(I2676, MAX(0, I2676 + SUM(SUMIFS($I$1:I2675, $C$1:C2675, C2676, $B$1:B2675, {"MAL ALIMI","ÜRETİM GİRİŞ"})) - VLOOKUP(C2676, 'STOK RAPORU'!$C$2:$I$1000, 4, 0))), 0)</f>
        <v>0</v>
      </c>
      <c r="U2676" s="22">
        <f t="shared" si="164"/>
        <v>0</v>
      </c>
      <c r="V2676">
        <f t="shared" si="165"/>
        <v>0</v>
      </c>
      <c r="W2676" s="22">
        <f t="shared" si="166"/>
        <v>0</v>
      </c>
    </row>
    <row r="2677" spans="1:23" hidden="1" x14ac:dyDescent="0.25">
      <c r="A2677" s="3">
        <v>46021</v>
      </c>
      <c r="B2677" s="4" t="s">
        <v>334</v>
      </c>
      <c r="C2677" s="4" t="s">
        <v>158</v>
      </c>
      <c r="D2677" s="4"/>
      <c r="E2677" s="4"/>
      <c r="F2677" s="4" t="s">
        <v>1518</v>
      </c>
      <c r="G2677" s="4" t="s">
        <v>336</v>
      </c>
      <c r="H2677" s="4" t="s">
        <v>289</v>
      </c>
      <c r="I2677" s="4">
        <v>1</v>
      </c>
      <c r="J2677" s="21">
        <v>150</v>
      </c>
      <c r="K2677" s="21">
        <v>0</v>
      </c>
      <c r="L2677" s="5">
        <v>0</v>
      </c>
      <c r="M2677" s="4"/>
      <c r="N2677" s="4"/>
      <c r="O2677" s="5"/>
      <c r="P2677" s="5"/>
      <c r="Q2677" s="21">
        <v>150</v>
      </c>
      <c r="R2677" s="21">
        <v>0</v>
      </c>
      <c r="S2677" s="5">
        <f t="shared" si="167"/>
        <v>14299.501120151994</v>
      </c>
      <c r="T2677" cm="1">
        <f t="array" ref="T2677">IF(OR(B2677="MAL ALIMI", B2677="ÜRETİM GİRİŞ"), MIN(I2677, MAX(0, I2677 + SUM(SUMIFS($I$1:I2676, $C$1:C2676, C2677, $B$1:B2676, {"MAL ALIMI","ÜRETİM GİRİŞ"})) - VLOOKUP(C2677, 'STOK RAPORU'!$C$2:$I$1000, 4, 0))), 0)</f>
        <v>0</v>
      </c>
      <c r="U2677" s="22">
        <f t="shared" si="164"/>
        <v>0</v>
      </c>
      <c r="V2677">
        <f t="shared" si="165"/>
        <v>0</v>
      </c>
      <c r="W2677" s="22">
        <f t="shared" si="166"/>
        <v>0</v>
      </c>
    </row>
    <row r="2678" spans="1:23" hidden="1" x14ac:dyDescent="0.25">
      <c r="A2678" s="3">
        <v>46021</v>
      </c>
      <c r="B2678" s="4" t="s">
        <v>334</v>
      </c>
      <c r="C2678" s="4" t="s">
        <v>156</v>
      </c>
      <c r="D2678" s="4"/>
      <c r="E2678" s="4"/>
      <c r="F2678" s="4" t="s">
        <v>1519</v>
      </c>
      <c r="G2678" s="4" t="s">
        <v>336</v>
      </c>
      <c r="H2678" s="4" t="s">
        <v>289</v>
      </c>
      <c r="I2678" s="4">
        <v>1</v>
      </c>
      <c r="J2678" s="21">
        <v>200</v>
      </c>
      <c r="K2678" s="21">
        <v>0</v>
      </c>
      <c r="L2678" s="5">
        <v>0</v>
      </c>
      <c r="M2678" s="4"/>
      <c r="N2678" s="4"/>
      <c r="O2678" s="5"/>
      <c r="P2678" s="5"/>
      <c r="Q2678" s="21">
        <v>200</v>
      </c>
      <c r="R2678" s="21">
        <v>0</v>
      </c>
      <c r="S2678" s="5">
        <f t="shared" si="167"/>
        <v>14499.501120151994</v>
      </c>
      <c r="T2678" cm="1">
        <f t="array" ref="T2678">IF(OR(B2678="MAL ALIMI", B2678="ÜRETİM GİRİŞ"), MIN(I2678, MAX(0, I2678 + SUM(SUMIFS($I$1:I2677, $C$1:C2677, C2678, $B$1:B2677, {"MAL ALIMI","ÜRETİM GİRİŞ"})) - VLOOKUP(C2678, 'STOK RAPORU'!$C$2:$I$1000, 4, 0))), 0)</f>
        <v>0</v>
      </c>
      <c r="U2678" s="22">
        <f t="shared" si="164"/>
        <v>0</v>
      </c>
      <c r="V2678">
        <f t="shared" si="165"/>
        <v>0</v>
      </c>
      <c r="W2678" s="22">
        <f t="shared" si="166"/>
        <v>0</v>
      </c>
    </row>
    <row r="2679" spans="1:23" hidden="1" x14ac:dyDescent="0.25">
      <c r="A2679" s="3">
        <v>46021</v>
      </c>
      <c r="B2679" s="4" t="s">
        <v>334</v>
      </c>
      <c r="C2679" s="4" t="s">
        <v>456</v>
      </c>
      <c r="D2679" s="4"/>
      <c r="E2679" s="4"/>
      <c r="F2679" s="4" t="s">
        <v>1520</v>
      </c>
      <c r="G2679" s="4" t="s">
        <v>336</v>
      </c>
      <c r="H2679" s="4" t="s">
        <v>289</v>
      </c>
      <c r="I2679" s="4">
        <v>1</v>
      </c>
      <c r="J2679" s="21">
        <v>80</v>
      </c>
      <c r="K2679" s="21">
        <v>0</v>
      </c>
      <c r="L2679" s="5">
        <v>0</v>
      </c>
      <c r="M2679" s="4"/>
      <c r="N2679" s="4"/>
      <c r="O2679" s="5"/>
      <c r="P2679" s="5"/>
      <c r="Q2679" s="21">
        <v>80</v>
      </c>
      <c r="R2679" s="21">
        <v>0</v>
      </c>
      <c r="S2679" s="5">
        <f t="shared" si="167"/>
        <v>14579.501120151994</v>
      </c>
      <c r="T2679" cm="1">
        <f t="array" ref="T2679">IF(OR(B2679="MAL ALIMI", B2679="ÜRETİM GİRİŞ"), MIN(I2679, MAX(0, I2679 + SUM(SUMIFS($I$1:I2678, $C$1:C2678, C2679, $B$1:B2678, {"MAL ALIMI","ÜRETİM GİRİŞ"})) - VLOOKUP(C2679, 'STOK RAPORU'!$C$2:$I$1000, 4, 0))), 0)</f>
        <v>0</v>
      </c>
      <c r="U2679" s="22">
        <f t="shared" si="164"/>
        <v>0</v>
      </c>
      <c r="V2679">
        <f t="shared" si="165"/>
        <v>0</v>
      </c>
      <c r="W2679" s="22">
        <f t="shared" si="166"/>
        <v>0</v>
      </c>
    </row>
    <row r="2680" spans="1:23" hidden="1" x14ac:dyDescent="0.25">
      <c r="A2680" s="3">
        <v>46021</v>
      </c>
      <c r="B2680" s="4" t="s">
        <v>334</v>
      </c>
      <c r="C2680" s="4" t="s">
        <v>214</v>
      </c>
      <c r="D2680" s="4"/>
      <c r="E2680" s="4"/>
      <c r="F2680" s="4" t="s">
        <v>1520</v>
      </c>
      <c r="G2680" s="4" t="s">
        <v>336</v>
      </c>
      <c r="H2680" s="4" t="s">
        <v>289</v>
      </c>
      <c r="I2680" s="4">
        <v>0.12</v>
      </c>
      <c r="J2680" s="21">
        <v>920</v>
      </c>
      <c r="K2680" s="21">
        <v>0</v>
      </c>
      <c r="L2680" s="5">
        <v>0</v>
      </c>
      <c r="M2680" s="4"/>
      <c r="N2680" s="4"/>
      <c r="O2680" s="5"/>
      <c r="P2680" s="5"/>
      <c r="Q2680" s="21">
        <v>110.39999999999999</v>
      </c>
      <c r="R2680" s="21">
        <v>0</v>
      </c>
      <c r="S2680" s="5">
        <f t="shared" si="167"/>
        <v>14689.901120151993</v>
      </c>
      <c r="T2680" cm="1">
        <f t="array" ref="T2680">IF(OR(B2680="MAL ALIMI", B2680="ÜRETİM GİRİŞ"), MIN(I2680, MAX(0, I2680 + SUM(SUMIFS($I$1:I2679, $C$1:C2679, C2680, $B$1:B2679, {"MAL ALIMI","ÜRETİM GİRİŞ"})) - VLOOKUP(C2680, 'STOK RAPORU'!$C$2:$I$1000, 4, 0))), 0)</f>
        <v>0</v>
      </c>
      <c r="U2680" s="22">
        <f t="shared" si="164"/>
        <v>0</v>
      </c>
      <c r="V2680">
        <f t="shared" si="165"/>
        <v>0</v>
      </c>
      <c r="W2680" s="22">
        <f t="shared" si="166"/>
        <v>0</v>
      </c>
    </row>
    <row r="2681" spans="1:23" hidden="1" x14ac:dyDescent="0.25">
      <c r="A2681" s="3">
        <v>46021</v>
      </c>
      <c r="B2681" s="4" t="s">
        <v>334</v>
      </c>
      <c r="C2681" s="4" t="s">
        <v>223</v>
      </c>
      <c r="D2681" s="4"/>
      <c r="E2681" s="4"/>
      <c r="F2681" s="4" t="s">
        <v>1520</v>
      </c>
      <c r="G2681" s="4" t="s">
        <v>336</v>
      </c>
      <c r="H2681" s="4" t="s">
        <v>289</v>
      </c>
      <c r="I2681" s="4">
        <v>0.13</v>
      </c>
      <c r="J2681" s="21">
        <v>800</v>
      </c>
      <c r="K2681" s="21">
        <v>0</v>
      </c>
      <c r="L2681" s="5">
        <v>0</v>
      </c>
      <c r="M2681" s="4"/>
      <c r="N2681" s="4"/>
      <c r="O2681" s="5"/>
      <c r="P2681" s="5"/>
      <c r="Q2681" s="21">
        <v>104</v>
      </c>
      <c r="R2681" s="21">
        <v>0</v>
      </c>
      <c r="S2681" s="5">
        <f t="shared" si="167"/>
        <v>14793.901120151993</v>
      </c>
      <c r="T2681" cm="1">
        <f t="array" ref="T2681">IF(OR(B2681="MAL ALIMI", B2681="ÜRETİM GİRİŞ"), MIN(I2681, MAX(0, I2681 + SUM(SUMIFS($I$1:I2680, $C$1:C2680, C2681, $B$1:B2680, {"MAL ALIMI","ÜRETİM GİRİŞ"})) - VLOOKUP(C2681, 'STOK RAPORU'!$C$2:$I$1000, 4, 0))), 0)</f>
        <v>0</v>
      </c>
      <c r="U2681" s="22">
        <f t="shared" si="164"/>
        <v>0</v>
      </c>
      <c r="V2681">
        <f t="shared" si="165"/>
        <v>0</v>
      </c>
      <c r="W2681" s="22">
        <f t="shared" si="166"/>
        <v>0</v>
      </c>
    </row>
    <row r="2682" spans="1:23" hidden="1" x14ac:dyDescent="0.25">
      <c r="A2682" s="3">
        <v>46021</v>
      </c>
      <c r="B2682" s="4" t="s">
        <v>334</v>
      </c>
      <c r="C2682" s="4" t="s">
        <v>728</v>
      </c>
      <c r="D2682" s="4"/>
      <c r="E2682" s="4"/>
      <c r="F2682" s="4" t="s">
        <v>1520</v>
      </c>
      <c r="G2682" s="4" t="s">
        <v>336</v>
      </c>
      <c r="H2682" s="4" t="s">
        <v>289</v>
      </c>
      <c r="I2682" s="4">
        <v>0.15</v>
      </c>
      <c r="J2682" s="21">
        <v>690</v>
      </c>
      <c r="K2682" s="21">
        <v>0</v>
      </c>
      <c r="L2682" s="5">
        <v>0</v>
      </c>
      <c r="M2682" s="4"/>
      <c r="N2682" s="4"/>
      <c r="O2682" s="5"/>
      <c r="P2682" s="5"/>
      <c r="Q2682" s="21">
        <v>103.5</v>
      </c>
      <c r="R2682" s="21">
        <v>0</v>
      </c>
      <c r="S2682" s="5">
        <f t="shared" si="167"/>
        <v>14897.401120151993</v>
      </c>
      <c r="T2682" cm="1">
        <f t="array" ref="T2682">IF(OR(B2682="MAL ALIMI", B2682="ÜRETİM GİRİŞ"), MIN(I2682, MAX(0, I2682 + SUM(SUMIFS($I$1:I2681, $C$1:C2681, C2682, $B$1:B2681, {"MAL ALIMI","ÜRETİM GİRİŞ"})) - VLOOKUP(C2682, 'STOK RAPORU'!$C$2:$I$1000, 4, 0))), 0)</f>
        <v>0</v>
      </c>
      <c r="U2682" s="22">
        <f t="shared" si="164"/>
        <v>0</v>
      </c>
      <c r="V2682">
        <f t="shared" si="165"/>
        <v>0</v>
      </c>
      <c r="W2682" s="22">
        <f t="shared" si="166"/>
        <v>0</v>
      </c>
    </row>
    <row r="2683" spans="1:23" hidden="1" x14ac:dyDescent="0.25">
      <c r="A2683" s="3">
        <v>46021</v>
      </c>
      <c r="B2683" s="4" t="s">
        <v>334</v>
      </c>
      <c r="C2683" s="4" t="s">
        <v>1501</v>
      </c>
      <c r="D2683" s="4"/>
      <c r="E2683" s="4"/>
      <c r="F2683" s="4" t="s">
        <v>1520</v>
      </c>
      <c r="G2683" s="4" t="s">
        <v>336</v>
      </c>
      <c r="H2683" s="4" t="s">
        <v>289</v>
      </c>
      <c r="I2683" s="4">
        <v>8.4000000000000005E-2</v>
      </c>
      <c r="J2683" s="21">
        <v>600</v>
      </c>
      <c r="K2683" s="21">
        <v>0</v>
      </c>
      <c r="L2683" s="5">
        <v>0</v>
      </c>
      <c r="M2683" s="4"/>
      <c r="N2683" s="4"/>
      <c r="O2683" s="5"/>
      <c r="P2683" s="5"/>
      <c r="Q2683" s="21">
        <v>50.400000000000006</v>
      </c>
      <c r="R2683" s="21">
        <v>0</v>
      </c>
      <c r="S2683" s="5">
        <f t="shared" si="167"/>
        <v>14947.801120151993</v>
      </c>
      <c r="T2683" cm="1">
        <f t="array" ref="T2683">IF(OR(B2683="MAL ALIMI", B2683="ÜRETİM GİRİŞ"), MIN(I2683, MAX(0, I2683 + SUM(SUMIFS($I$1:I2682, $C$1:C2682, C2683, $B$1:B2682, {"MAL ALIMI","ÜRETİM GİRİŞ"})) - VLOOKUP(C2683, 'STOK RAPORU'!$C$2:$I$1000, 4, 0))), 0)</f>
        <v>0</v>
      </c>
      <c r="U2683" s="22">
        <f t="shared" si="164"/>
        <v>0</v>
      </c>
      <c r="V2683">
        <f t="shared" si="165"/>
        <v>0</v>
      </c>
      <c r="W2683" s="22">
        <f t="shared" si="166"/>
        <v>0</v>
      </c>
    </row>
    <row r="2684" spans="1:23" hidden="1" x14ac:dyDescent="0.25">
      <c r="A2684" s="3">
        <v>46021</v>
      </c>
      <c r="B2684" s="4" t="s">
        <v>334</v>
      </c>
      <c r="C2684" s="4" t="s">
        <v>468</v>
      </c>
      <c r="D2684" s="4"/>
      <c r="E2684" s="4"/>
      <c r="F2684" s="4" t="s">
        <v>1521</v>
      </c>
      <c r="G2684" s="4" t="s">
        <v>336</v>
      </c>
      <c r="H2684" s="4" t="s">
        <v>289</v>
      </c>
      <c r="I2684" s="4">
        <v>1</v>
      </c>
      <c r="J2684" s="21">
        <v>50</v>
      </c>
      <c r="K2684" s="21">
        <v>0</v>
      </c>
      <c r="L2684" s="5">
        <v>0</v>
      </c>
      <c r="M2684" s="4"/>
      <c r="N2684" s="4"/>
      <c r="O2684" s="5"/>
      <c r="P2684" s="5"/>
      <c r="Q2684" s="21">
        <v>50</v>
      </c>
      <c r="R2684" s="21">
        <v>0</v>
      </c>
      <c r="S2684" s="5">
        <f t="shared" si="167"/>
        <v>14997.801120151993</v>
      </c>
      <c r="T2684" cm="1">
        <f t="array" ref="T2684">IF(OR(B2684="MAL ALIMI", B2684="ÜRETİM GİRİŞ"), MIN(I2684, MAX(0, I2684 + SUM(SUMIFS($I$1:I2683, $C$1:C2683, C2684, $B$1:B2683, {"MAL ALIMI","ÜRETİM GİRİŞ"})) - VLOOKUP(C2684, 'STOK RAPORU'!$C$2:$I$1000, 4, 0))), 0)</f>
        <v>0</v>
      </c>
      <c r="U2684" s="22">
        <f t="shared" si="164"/>
        <v>0</v>
      </c>
      <c r="V2684">
        <f t="shared" si="165"/>
        <v>0</v>
      </c>
      <c r="W2684" s="22">
        <f t="shared" si="166"/>
        <v>0</v>
      </c>
    </row>
    <row r="2685" spans="1:23" hidden="1" x14ac:dyDescent="0.25">
      <c r="A2685" s="3">
        <v>46021</v>
      </c>
      <c r="B2685" s="4" t="s">
        <v>334</v>
      </c>
      <c r="C2685" s="4" t="s">
        <v>160</v>
      </c>
      <c r="D2685" s="4"/>
      <c r="E2685" s="4" t="s">
        <v>921</v>
      </c>
      <c r="F2685" s="4" t="s">
        <v>1521</v>
      </c>
      <c r="G2685" s="4" t="s">
        <v>336</v>
      </c>
      <c r="H2685" s="4" t="s">
        <v>380</v>
      </c>
      <c r="I2685" s="4">
        <v>1</v>
      </c>
      <c r="J2685" s="21">
        <v>250</v>
      </c>
      <c r="K2685" s="21">
        <v>250</v>
      </c>
      <c r="L2685" s="5">
        <v>0</v>
      </c>
      <c r="M2685" s="4"/>
      <c r="N2685" s="4"/>
      <c r="O2685" s="5"/>
      <c r="P2685" s="5"/>
      <c r="Q2685" s="21">
        <v>0</v>
      </c>
      <c r="R2685" s="21">
        <v>0</v>
      </c>
      <c r="S2685" s="5">
        <f t="shared" si="167"/>
        <v>14997.801120151993</v>
      </c>
      <c r="T2685" cm="1">
        <f t="array" ref="T2685">IF(OR(B2685="MAL ALIMI", B2685="ÜRETİM GİRİŞ"), MIN(I2685, MAX(0, I2685 + SUM(SUMIFS($I$1:I2684, $C$1:C2684, C2685, $B$1:B2684, {"MAL ALIMI","ÜRETİM GİRİŞ"})) - VLOOKUP(C2685, 'STOK RAPORU'!$C$2:$I$1000, 4, 0))), 0)</f>
        <v>0</v>
      </c>
      <c r="U2685" s="22">
        <f t="shared" si="164"/>
        <v>0</v>
      </c>
      <c r="V2685">
        <f t="shared" si="165"/>
        <v>0</v>
      </c>
      <c r="W2685" s="22">
        <f t="shared" si="166"/>
        <v>0</v>
      </c>
    </row>
    <row r="2686" spans="1:23" hidden="1" x14ac:dyDescent="0.25">
      <c r="A2686" s="3">
        <v>46021</v>
      </c>
      <c r="B2686" s="4" t="s">
        <v>334</v>
      </c>
      <c r="C2686" s="4" t="s">
        <v>161</v>
      </c>
      <c r="D2686" s="4"/>
      <c r="E2686" s="4" t="s">
        <v>921</v>
      </c>
      <c r="F2686" s="4" t="s">
        <v>1521</v>
      </c>
      <c r="G2686" s="4" t="s">
        <v>336</v>
      </c>
      <c r="H2686" s="4" t="s">
        <v>380</v>
      </c>
      <c r="I2686" s="4">
        <v>1</v>
      </c>
      <c r="J2686" s="21">
        <v>230</v>
      </c>
      <c r="K2686" s="21">
        <v>230</v>
      </c>
      <c r="L2686" s="5">
        <v>0</v>
      </c>
      <c r="M2686" s="4"/>
      <c r="N2686" s="4"/>
      <c r="O2686" s="5"/>
      <c r="P2686" s="5"/>
      <c r="Q2686" s="21">
        <v>0</v>
      </c>
      <c r="R2686" s="21">
        <v>0</v>
      </c>
      <c r="S2686" s="5">
        <f t="shared" si="167"/>
        <v>14997.801120151993</v>
      </c>
      <c r="T2686" cm="1">
        <f t="array" ref="T2686">IF(OR(B2686="MAL ALIMI", B2686="ÜRETİM GİRİŞ"), MIN(I2686, MAX(0, I2686 + SUM(SUMIFS($I$1:I2685, $C$1:C2685, C2686, $B$1:B2685, {"MAL ALIMI","ÜRETİM GİRİŞ"})) - VLOOKUP(C2686, 'STOK RAPORU'!$C$2:$I$1000, 4, 0))), 0)</f>
        <v>0</v>
      </c>
      <c r="U2686" s="22">
        <f t="shared" si="164"/>
        <v>0</v>
      </c>
      <c r="V2686">
        <f t="shared" si="165"/>
        <v>0</v>
      </c>
      <c r="W2686" s="22">
        <f t="shared" si="166"/>
        <v>0</v>
      </c>
    </row>
    <row r="2687" spans="1:23" hidden="1" x14ac:dyDescent="0.25">
      <c r="A2687" s="3">
        <v>46021</v>
      </c>
      <c r="B2687" s="4" t="s">
        <v>334</v>
      </c>
      <c r="C2687" s="4" t="s">
        <v>192</v>
      </c>
      <c r="D2687" s="4"/>
      <c r="E2687" s="4"/>
      <c r="F2687" s="4" t="s">
        <v>1522</v>
      </c>
      <c r="G2687" s="4" t="s">
        <v>336</v>
      </c>
      <c r="H2687" s="4" t="s">
        <v>289</v>
      </c>
      <c r="I2687" s="4">
        <v>0.12</v>
      </c>
      <c r="J2687" s="21">
        <v>420</v>
      </c>
      <c r="K2687" s="21">
        <v>0</v>
      </c>
      <c r="L2687" s="5">
        <v>0</v>
      </c>
      <c r="M2687" s="4"/>
      <c r="N2687" s="4"/>
      <c r="O2687" s="5"/>
      <c r="P2687" s="5"/>
      <c r="Q2687" s="21">
        <v>50.4</v>
      </c>
      <c r="R2687" s="21">
        <v>0</v>
      </c>
      <c r="S2687" s="5">
        <f t="shared" si="167"/>
        <v>15048.201120151993</v>
      </c>
      <c r="T2687" cm="1">
        <f t="array" ref="T2687">IF(OR(B2687="MAL ALIMI", B2687="ÜRETİM GİRİŞ"), MIN(I2687, MAX(0, I2687 + SUM(SUMIFS($I$1:I2686, $C$1:C2686, C2687, $B$1:B2686, {"MAL ALIMI","ÜRETİM GİRİŞ"})) - VLOOKUP(C2687, 'STOK RAPORU'!$C$2:$I$1000, 4, 0))), 0)</f>
        <v>0</v>
      </c>
      <c r="U2687" s="22">
        <f t="shared" si="164"/>
        <v>0</v>
      </c>
      <c r="V2687">
        <f t="shared" si="165"/>
        <v>0</v>
      </c>
      <c r="W2687" s="22">
        <f t="shared" si="166"/>
        <v>0</v>
      </c>
    </row>
    <row r="2688" spans="1:23" hidden="1" x14ac:dyDescent="0.25">
      <c r="A2688" s="3">
        <v>46021</v>
      </c>
      <c r="B2688" s="4" t="s">
        <v>946</v>
      </c>
      <c r="C2688" s="4"/>
      <c r="D2688" s="4"/>
      <c r="E2688" s="4" t="s">
        <v>921</v>
      </c>
      <c r="F2688" s="4"/>
      <c r="G2688" s="4" t="s">
        <v>946</v>
      </c>
      <c r="H2688" s="4" t="s">
        <v>380</v>
      </c>
      <c r="I2688" s="4">
        <v>1</v>
      </c>
      <c r="J2688" s="105">
        <v>1340</v>
      </c>
      <c r="K2688" s="21">
        <v>0</v>
      </c>
      <c r="L2688" s="111">
        <v>1340</v>
      </c>
      <c r="M2688" s="4"/>
      <c r="N2688" s="4"/>
      <c r="O2688" s="5"/>
      <c r="P2688" s="5"/>
      <c r="Q2688" s="21">
        <v>1340</v>
      </c>
      <c r="R2688" s="21">
        <v>0</v>
      </c>
      <c r="S2688" s="5">
        <f t="shared" si="167"/>
        <v>16388.201120151993</v>
      </c>
      <c r="T2688" cm="1">
        <f t="array" ref="T2688">IF(OR(B2688="MAL ALIMI", B2688="ÜRETİM GİRİŞ"), MIN(I2688, MAX(0, I2688 + SUM(SUMIFS($I$1:I2687, $C$1:C2687, C2688, $B$1:B2687, {"MAL ALIMI","ÜRETİM GİRİŞ"})) - VLOOKUP(C2688, 'STOK RAPORU'!$C$2:$I$1000, 4, 0))), 0)</f>
        <v>0</v>
      </c>
      <c r="U2688" s="22">
        <f t="shared" si="164"/>
        <v>0</v>
      </c>
      <c r="V2688">
        <f t="shared" si="165"/>
        <v>0</v>
      </c>
      <c r="W2688" s="22">
        <f t="shared" si="166"/>
        <v>0</v>
      </c>
    </row>
    <row r="2689" spans="1:23" hidden="1" x14ac:dyDescent="0.25">
      <c r="A2689" s="3">
        <v>46022</v>
      </c>
      <c r="B2689" s="4" t="s">
        <v>334</v>
      </c>
      <c r="C2689" s="4" t="s">
        <v>158</v>
      </c>
      <c r="D2689" s="4"/>
      <c r="E2689" s="4" t="s">
        <v>921</v>
      </c>
      <c r="F2689" s="4" t="s">
        <v>1523</v>
      </c>
      <c r="G2689" s="4" t="s">
        <v>336</v>
      </c>
      <c r="H2689" s="4" t="s">
        <v>380</v>
      </c>
      <c r="I2689" s="4">
        <v>1</v>
      </c>
      <c r="J2689" s="21">
        <v>150</v>
      </c>
      <c r="K2689" s="21">
        <v>150</v>
      </c>
      <c r="L2689" s="5">
        <v>0</v>
      </c>
      <c r="M2689" s="4"/>
      <c r="N2689" s="4"/>
      <c r="O2689" s="5"/>
      <c r="P2689" s="5"/>
      <c r="Q2689" s="21">
        <v>0</v>
      </c>
      <c r="R2689" s="21">
        <v>0</v>
      </c>
      <c r="S2689" s="5">
        <f t="shared" si="167"/>
        <v>16388.201120151993</v>
      </c>
      <c r="T2689" cm="1">
        <f t="array" ref="T2689">IF(OR(B2689="MAL ALIMI", B2689="ÜRETİM GİRİŞ"), MIN(I2689, MAX(0, I2689 + SUM(SUMIFS($I$1:I2688, $C$1:C2688, C2689, $B$1:B2688, {"MAL ALIMI","ÜRETİM GİRİŞ"})) - VLOOKUP(C2689, 'STOK RAPORU'!$C$2:$I$1000, 4, 0))), 0)</f>
        <v>0</v>
      </c>
      <c r="U2689" s="22">
        <f t="shared" si="164"/>
        <v>0</v>
      </c>
      <c r="V2689">
        <f t="shared" si="165"/>
        <v>0</v>
      </c>
      <c r="W2689" s="22">
        <f t="shared" si="166"/>
        <v>0</v>
      </c>
    </row>
    <row r="2690" spans="1:23" hidden="1" x14ac:dyDescent="0.25">
      <c r="A2690" s="3">
        <v>46022</v>
      </c>
      <c r="B2690" s="4" t="s">
        <v>334</v>
      </c>
      <c r="C2690" s="4" t="s">
        <v>156</v>
      </c>
      <c r="D2690" s="4"/>
      <c r="E2690" s="4" t="s">
        <v>921</v>
      </c>
      <c r="F2690" s="4" t="s">
        <v>1523</v>
      </c>
      <c r="G2690" s="4" t="s">
        <v>336</v>
      </c>
      <c r="H2690" s="4" t="s">
        <v>380</v>
      </c>
      <c r="I2690" s="4">
        <v>1</v>
      </c>
      <c r="J2690" s="21">
        <v>200</v>
      </c>
      <c r="K2690" s="21">
        <v>200</v>
      </c>
      <c r="L2690" s="5">
        <v>0</v>
      </c>
      <c r="M2690" s="4"/>
      <c r="N2690" s="4"/>
      <c r="O2690" s="5"/>
      <c r="P2690" s="5"/>
      <c r="Q2690" s="21">
        <v>0</v>
      </c>
      <c r="R2690" s="21">
        <v>0</v>
      </c>
      <c r="S2690" s="5">
        <f t="shared" si="167"/>
        <v>16388.201120151993</v>
      </c>
      <c r="T2690" cm="1">
        <f t="array" ref="T2690">IF(OR(B2690="MAL ALIMI", B2690="ÜRETİM GİRİŞ"), MIN(I2690, MAX(0, I2690 + SUM(SUMIFS($I$1:I2689, $C$1:C2689, C2690, $B$1:B2689, {"MAL ALIMI","ÜRETİM GİRİŞ"})) - VLOOKUP(C2690, 'STOK RAPORU'!$C$2:$I$1000, 4, 0))), 0)</f>
        <v>0</v>
      </c>
      <c r="U2690" s="22">
        <f t="shared" si="164"/>
        <v>0</v>
      </c>
      <c r="V2690">
        <f t="shared" si="165"/>
        <v>0</v>
      </c>
      <c r="W2690" s="22">
        <f t="shared" si="166"/>
        <v>0</v>
      </c>
    </row>
    <row r="2691" spans="1:23" hidden="1" x14ac:dyDescent="0.25">
      <c r="A2691" s="3">
        <v>46022</v>
      </c>
      <c r="B2691" s="4" t="s">
        <v>334</v>
      </c>
      <c r="C2691" s="4" t="s">
        <v>245</v>
      </c>
      <c r="D2691" s="4"/>
      <c r="E2691" s="4"/>
      <c r="F2691" s="4" t="s">
        <v>1524</v>
      </c>
      <c r="G2691" s="4" t="s">
        <v>336</v>
      </c>
      <c r="H2691" s="4" t="s">
        <v>289</v>
      </c>
      <c r="I2691" s="4">
        <v>0.16615384615384615</v>
      </c>
      <c r="J2691" s="21">
        <v>650</v>
      </c>
      <c r="K2691" s="21">
        <v>0</v>
      </c>
      <c r="L2691" s="5">
        <v>0</v>
      </c>
      <c r="M2691" s="4"/>
      <c r="N2691" s="4"/>
      <c r="O2691" s="5"/>
      <c r="P2691" s="5"/>
      <c r="Q2691" s="21">
        <v>108</v>
      </c>
      <c r="R2691" s="21">
        <v>0</v>
      </c>
      <c r="S2691" s="5">
        <f t="shared" si="167"/>
        <v>16496.201120151993</v>
      </c>
      <c r="T2691" cm="1">
        <f t="array" ref="T2691">IF(OR(B2691="MAL ALIMI", B2691="ÜRETİM GİRİŞ"), MIN(I2691, MAX(0, I2691 + SUM(SUMIFS($I$1:I2690, $C$1:C2690, C2691, $B$1:B2690, {"MAL ALIMI","ÜRETİM GİRİŞ"})) - VLOOKUP(C2691, 'STOK RAPORU'!$C$2:$I$1000, 4, 0))), 0)</f>
        <v>0</v>
      </c>
      <c r="U2691" s="22">
        <f t="shared" ref="U2691:U2754" si="168">T2691*J2691</f>
        <v>0</v>
      </c>
      <c r="V2691">
        <f t="shared" ref="V2691:V2754" si="169">IF(OR(B2691="MAL ALIMI", B2691="ÜRETİM GİRİŞ"), I2691 * J2691, 0)</f>
        <v>0</v>
      </c>
      <c r="W2691" s="22">
        <f t="shared" ref="W2691:W2754" si="170">V2691-U2691</f>
        <v>0</v>
      </c>
    </row>
    <row r="2692" spans="1:23" hidden="1" x14ac:dyDescent="0.25">
      <c r="A2692" s="3">
        <v>46022</v>
      </c>
      <c r="B2692" s="4" t="s">
        <v>334</v>
      </c>
      <c r="C2692" s="4" t="s">
        <v>691</v>
      </c>
      <c r="D2692" s="4"/>
      <c r="E2692" s="4"/>
      <c r="F2692" s="4" t="s">
        <v>1524</v>
      </c>
      <c r="G2692" s="4" t="s">
        <v>336</v>
      </c>
      <c r="H2692" s="4" t="s">
        <v>289</v>
      </c>
      <c r="I2692" s="4">
        <v>9.1304347826086957E-2</v>
      </c>
      <c r="J2692" s="21">
        <v>230</v>
      </c>
      <c r="K2692" s="21">
        <v>0</v>
      </c>
      <c r="L2692" s="5">
        <v>0</v>
      </c>
      <c r="M2692" s="4"/>
      <c r="N2692" s="4"/>
      <c r="O2692" s="5"/>
      <c r="P2692" s="5"/>
      <c r="Q2692" s="21">
        <v>21</v>
      </c>
      <c r="R2692" s="21">
        <v>0</v>
      </c>
      <c r="S2692" s="5">
        <f t="shared" ref="S2692:S2755" si="171">S2691+Q2692-R2692</f>
        <v>16517.201120151993</v>
      </c>
      <c r="T2692" cm="1">
        <f t="array" ref="T2692">IF(OR(B2692="MAL ALIMI", B2692="ÜRETİM GİRİŞ"), MIN(I2692, MAX(0, I2692 + SUM(SUMIFS($I$1:I2691, $C$1:C2691, C2692, $B$1:B2691, {"MAL ALIMI","ÜRETİM GİRİŞ"})) - VLOOKUP(C2692, 'STOK RAPORU'!$C$2:$I$1000, 4, 0))), 0)</f>
        <v>0</v>
      </c>
      <c r="U2692" s="22">
        <f t="shared" si="168"/>
        <v>0</v>
      </c>
      <c r="V2692">
        <f t="shared" si="169"/>
        <v>0</v>
      </c>
      <c r="W2692" s="22">
        <f t="shared" si="170"/>
        <v>0</v>
      </c>
    </row>
    <row r="2693" spans="1:23" hidden="1" x14ac:dyDescent="0.25">
      <c r="A2693" s="3">
        <v>46022</v>
      </c>
      <c r="B2693" s="4" t="s">
        <v>334</v>
      </c>
      <c r="C2693" s="4" t="s">
        <v>165</v>
      </c>
      <c r="D2693" s="4"/>
      <c r="E2693" s="4"/>
      <c r="F2693" s="4" t="s">
        <v>1524</v>
      </c>
      <c r="G2693" s="4" t="s">
        <v>336</v>
      </c>
      <c r="H2693" s="4" t="s">
        <v>289</v>
      </c>
      <c r="I2693" s="4">
        <v>0.1</v>
      </c>
      <c r="J2693" s="21">
        <v>250</v>
      </c>
      <c r="K2693" s="21">
        <v>0</v>
      </c>
      <c r="L2693" s="5">
        <v>0</v>
      </c>
      <c r="M2693" s="4"/>
      <c r="N2693" s="4"/>
      <c r="O2693" s="5"/>
      <c r="P2693" s="5"/>
      <c r="Q2693" s="21">
        <v>25</v>
      </c>
      <c r="R2693" s="21">
        <v>0</v>
      </c>
      <c r="S2693" s="5">
        <f t="shared" si="171"/>
        <v>16542.201120151993</v>
      </c>
      <c r="T2693" cm="1">
        <f t="array" ref="T2693">IF(OR(B2693="MAL ALIMI", B2693="ÜRETİM GİRİŞ"), MIN(I2693, MAX(0, I2693 + SUM(SUMIFS($I$1:I2692, $C$1:C2692, C2693, $B$1:B2692, {"MAL ALIMI","ÜRETİM GİRİŞ"})) - VLOOKUP(C2693, 'STOK RAPORU'!$C$2:$I$1000, 4, 0))), 0)</f>
        <v>0</v>
      </c>
      <c r="U2693" s="22">
        <f t="shared" si="168"/>
        <v>0</v>
      </c>
      <c r="V2693">
        <f t="shared" si="169"/>
        <v>0</v>
      </c>
      <c r="W2693" s="22">
        <f t="shared" si="170"/>
        <v>0</v>
      </c>
    </row>
    <row r="2694" spans="1:23" hidden="1" x14ac:dyDescent="0.25">
      <c r="A2694" s="3">
        <v>46022</v>
      </c>
      <c r="B2694" s="4" t="s">
        <v>334</v>
      </c>
      <c r="C2694" s="4" t="s">
        <v>158</v>
      </c>
      <c r="D2694" s="4"/>
      <c r="E2694" s="4" t="s">
        <v>921</v>
      </c>
      <c r="F2694" s="4" t="s">
        <v>1525</v>
      </c>
      <c r="G2694" s="4" t="s">
        <v>336</v>
      </c>
      <c r="H2694" s="4" t="s">
        <v>380</v>
      </c>
      <c r="I2694" s="4">
        <v>1</v>
      </c>
      <c r="J2694" s="21">
        <v>150</v>
      </c>
      <c r="K2694" s="21">
        <v>150</v>
      </c>
      <c r="L2694" s="5">
        <v>0</v>
      </c>
      <c r="M2694" s="4"/>
      <c r="N2694" s="4"/>
      <c r="O2694" s="5"/>
      <c r="P2694" s="5"/>
      <c r="Q2694" s="21">
        <v>0</v>
      </c>
      <c r="R2694" s="21">
        <v>0</v>
      </c>
      <c r="S2694" s="5">
        <f t="shared" si="171"/>
        <v>16542.201120151993</v>
      </c>
      <c r="T2694" cm="1">
        <f t="array" ref="T2694">IF(OR(B2694="MAL ALIMI", B2694="ÜRETİM GİRİŞ"), MIN(I2694, MAX(0, I2694 + SUM(SUMIFS($I$1:I2693, $C$1:C2693, C2694, $B$1:B2693, {"MAL ALIMI","ÜRETİM GİRİŞ"})) - VLOOKUP(C2694, 'STOK RAPORU'!$C$2:$I$1000, 4, 0))), 0)</f>
        <v>0</v>
      </c>
      <c r="U2694" s="22">
        <f t="shared" si="168"/>
        <v>0</v>
      </c>
      <c r="V2694">
        <f t="shared" si="169"/>
        <v>0</v>
      </c>
      <c r="W2694" s="22">
        <f t="shared" si="170"/>
        <v>0</v>
      </c>
    </row>
    <row r="2695" spans="1:23" hidden="1" x14ac:dyDescent="0.25">
      <c r="A2695" s="3">
        <v>46022</v>
      </c>
      <c r="B2695" s="4" t="s">
        <v>334</v>
      </c>
      <c r="C2695" s="4" t="s">
        <v>204</v>
      </c>
      <c r="D2695" s="4"/>
      <c r="E2695" s="4"/>
      <c r="F2695" s="4" t="s">
        <v>1526</v>
      </c>
      <c r="G2695" s="4" t="s">
        <v>336</v>
      </c>
      <c r="H2695" s="4" t="s">
        <v>289</v>
      </c>
      <c r="I2695" s="4">
        <v>0.05</v>
      </c>
      <c r="J2695" s="21">
        <v>1400</v>
      </c>
      <c r="K2695" s="21">
        <v>0</v>
      </c>
      <c r="L2695" s="5">
        <v>0</v>
      </c>
      <c r="M2695" s="4"/>
      <c r="N2695" s="4"/>
      <c r="O2695" s="5"/>
      <c r="P2695" s="5"/>
      <c r="Q2695" s="21">
        <v>70</v>
      </c>
      <c r="R2695" s="21">
        <v>0</v>
      </c>
      <c r="S2695" s="5">
        <f t="shared" si="171"/>
        <v>16612.201120151993</v>
      </c>
      <c r="T2695" cm="1">
        <f t="array" ref="T2695">IF(OR(B2695="MAL ALIMI", B2695="ÜRETİM GİRİŞ"), MIN(I2695, MAX(0, I2695 + SUM(SUMIFS($I$1:I2694, $C$1:C2694, C2695, $B$1:B2694, {"MAL ALIMI","ÜRETİM GİRİŞ"})) - VLOOKUP(C2695, 'STOK RAPORU'!$C$2:$I$1000, 4, 0))), 0)</f>
        <v>0</v>
      </c>
      <c r="U2695" s="22">
        <f t="shared" si="168"/>
        <v>0</v>
      </c>
      <c r="V2695">
        <f t="shared" si="169"/>
        <v>0</v>
      </c>
      <c r="W2695" s="22">
        <f t="shared" si="170"/>
        <v>0</v>
      </c>
    </row>
    <row r="2696" spans="1:23" hidden="1" x14ac:dyDescent="0.25">
      <c r="A2696" s="3">
        <v>46022</v>
      </c>
      <c r="B2696" s="4" t="s">
        <v>334</v>
      </c>
      <c r="C2696" s="4" t="s">
        <v>1041</v>
      </c>
      <c r="D2696" s="4"/>
      <c r="E2696" s="4" t="s">
        <v>921</v>
      </c>
      <c r="F2696" s="4" t="s">
        <v>1527</v>
      </c>
      <c r="G2696" s="4" t="s">
        <v>336</v>
      </c>
      <c r="H2696" s="4" t="s">
        <v>380</v>
      </c>
      <c r="I2696" s="4">
        <v>1</v>
      </c>
      <c r="J2696" s="21">
        <v>250</v>
      </c>
      <c r="K2696" s="21">
        <v>250</v>
      </c>
      <c r="L2696" s="5">
        <v>0</v>
      </c>
      <c r="M2696" s="4"/>
      <c r="N2696" s="4"/>
      <c r="O2696" s="5"/>
      <c r="P2696" s="5"/>
      <c r="Q2696" s="21">
        <v>0</v>
      </c>
      <c r="R2696" s="21">
        <v>0</v>
      </c>
      <c r="S2696" s="5">
        <f t="shared" si="171"/>
        <v>16612.201120151993</v>
      </c>
      <c r="T2696" cm="1">
        <f t="array" ref="T2696">IF(OR(B2696="MAL ALIMI", B2696="ÜRETİM GİRİŞ"), MIN(I2696, MAX(0, I2696 + SUM(SUMIFS($I$1:I2695, $C$1:C2695, C2696, $B$1:B2695, {"MAL ALIMI","ÜRETİM GİRİŞ"})) - VLOOKUP(C2696, 'STOK RAPORU'!$C$2:$I$1000, 4, 0))), 0)</f>
        <v>0</v>
      </c>
      <c r="U2696" s="22">
        <f t="shared" si="168"/>
        <v>0</v>
      </c>
      <c r="V2696">
        <f t="shared" si="169"/>
        <v>0</v>
      </c>
      <c r="W2696" s="22">
        <f t="shared" si="170"/>
        <v>0</v>
      </c>
    </row>
    <row r="2697" spans="1:23" hidden="1" x14ac:dyDescent="0.25">
      <c r="A2697" s="3">
        <v>46022</v>
      </c>
      <c r="B2697" s="4" t="s">
        <v>334</v>
      </c>
      <c r="C2697" s="4" t="s">
        <v>257</v>
      </c>
      <c r="D2697" s="4"/>
      <c r="E2697" s="4" t="s">
        <v>921</v>
      </c>
      <c r="F2697" s="4" t="s">
        <v>1527</v>
      </c>
      <c r="G2697" s="4" t="s">
        <v>336</v>
      </c>
      <c r="H2697" s="4" t="s">
        <v>380</v>
      </c>
      <c r="I2697" s="4">
        <v>1</v>
      </c>
      <c r="J2697" s="21">
        <v>190</v>
      </c>
      <c r="K2697" s="21">
        <v>190</v>
      </c>
      <c r="L2697" s="5">
        <v>0</v>
      </c>
      <c r="M2697" s="4"/>
      <c r="N2697" s="4"/>
      <c r="O2697" s="5"/>
      <c r="P2697" s="5"/>
      <c r="Q2697" s="21">
        <v>0</v>
      </c>
      <c r="R2697" s="21">
        <v>0</v>
      </c>
      <c r="S2697" s="5">
        <f t="shared" si="171"/>
        <v>16612.201120151993</v>
      </c>
      <c r="T2697" cm="1">
        <f t="array" ref="T2697">IF(OR(B2697="MAL ALIMI", B2697="ÜRETİM GİRİŞ"), MIN(I2697, MAX(0, I2697 + SUM(SUMIFS($I$1:I2696, $C$1:C2696, C2697, $B$1:B2696, {"MAL ALIMI","ÜRETİM GİRİŞ"})) - VLOOKUP(C2697, 'STOK RAPORU'!$C$2:$I$1000, 4, 0))), 0)</f>
        <v>0</v>
      </c>
      <c r="U2697" s="22">
        <f t="shared" si="168"/>
        <v>0</v>
      </c>
      <c r="V2697">
        <f t="shared" si="169"/>
        <v>0</v>
      </c>
      <c r="W2697" s="22">
        <f t="shared" si="170"/>
        <v>0</v>
      </c>
    </row>
    <row r="2698" spans="1:23" hidden="1" x14ac:dyDescent="0.25">
      <c r="A2698" s="3">
        <v>46022</v>
      </c>
      <c r="B2698" s="4" t="s">
        <v>334</v>
      </c>
      <c r="C2698" s="4" t="s">
        <v>1041</v>
      </c>
      <c r="D2698" s="4"/>
      <c r="E2698" s="4" t="s">
        <v>921</v>
      </c>
      <c r="F2698" s="4" t="s">
        <v>1528</v>
      </c>
      <c r="G2698" s="4" t="s">
        <v>336</v>
      </c>
      <c r="H2698" s="4" t="s">
        <v>380</v>
      </c>
      <c r="I2698" s="4">
        <v>0.8</v>
      </c>
      <c r="J2698" s="21">
        <v>250</v>
      </c>
      <c r="K2698" s="21">
        <v>200</v>
      </c>
      <c r="L2698" s="5">
        <v>0</v>
      </c>
      <c r="M2698" s="4"/>
      <c r="N2698" s="4"/>
      <c r="O2698" s="5"/>
      <c r="P2698" s="5"/>
      <c r="Q2698" s="21">
        <v>0</v>
      </c>
      <c r="R2698" s="21">
        <v>0</v>
      </c>
      <c r="S2698" s="5">
        <f t="shared" si="171"/>
        <v>16612.201120151993</v>
      </c>
      <c r="T2698" cm="1">
        <f t="array" ref="T2698">IF(OR(B2698="MAL ALIMI", B2698="ÜRETİM GİRİŞ"), MIN(I2698, MAX(0, I2698 + SUM(SUMIFS($I$1:I2697, $C$1:C2697, C2698, $B$1:B2697, {"MAL ALIMI","ÜRETİM GİRİŞ"})) - VLOOKUP(C2698, 'STOK RAPORU'!$C$2:$I$1000, 4, 0))), 0)</f>
        <v>0</v>
      </c>
      <c r="U2698" s="22">
        <f t="shared" si="168"/>
        <v>0</v>
      </c>
      <c r="V2698">
        <f t="shared" si="169"/>
        <v>0</v>
      </c>
      <c r="W2698" s="22">
        <f t="shared" si="170"/>
        <v>0</v>
      </c>
    </row>
    <row r="2699" spans="1:23" hidden="1" x14ac:dyDescent="0.25">
      <c r="A2699" s="3">
        <v>46022</v>
      </c>
      <c r="B2699" s="4" t="s">
        <v>334</v>
      </c>
      <c r="C2699" s="4" t="s">
        <v>98</v>
      </c>
      <c r="D2699" s="4"/>
      <c r="E2699" s="4"/>
      <c r="F2699" s="4" t="s">
        <v>1529</v>
      </c>
      <c r="G2699" s="4" t="s">
        <v>336</v>
      </c>
      <c r="H2699" s="4" t="s">
        <v>289</v>
      </c>
      <c r="I2699" s="4">
        <v>0.125</v>
      </c>
      <c r="J2699" s="21">
        <v>400</v>
      </c>
      <c r="K2699" s="21">
        <v>0</v>
      </c>
      <c r="L2699" s="5">
        <v>0</v>
      </c>
      <c r="M2699" s="4"/>
      <c r="N2699" s="4"/>
      <c r="O2699" s="5"/>
      <c r="P2699" s="5"/>
      <c r="Q2699" s="21">
        <v>50</v>
      </c>
      <c r="R2699" s="21">
        <v>0</v>
      </c>
      <c r="S2699" s="5">
        <f t="shared" si="171"/>
        <v>16662.201120151993</v>
      </c>
      <c r="T2699" cm="1">
        <f t="array" ref="T2699">IF(OR(B2699="MAL ALIMI", B2699="ÜRETİM GİRİŞ"), MIN(I2699, MAX(0, I2699 + SUM(SUMIFS($I$1:I2698, $C$1:C2698, C2699, $B$1:B2698, {"MAL ALIMI","ÜRETİM GİRİŞ"})) - VLOOKUP(C2699, 'STOK RAPORU'!$C$2:$I$1000, 4, 0))), 0)</f>
        <v>0</v>
      </c>
      <c r="U2699" s="22">
        <f t="shared" si="168"/>
        <v>0</v>
      </c>
      <c r="V2699">
        <f t="shared" si="169"/>
        <v>0</v>
      </c>
      <c r="W2699" s="22">
        <f t="shared" si="170"/>
        <v>0</v>
      </c>
    </row>
    <row r="2700" spans="1:23" hidden="1" x14ac:dyDescent="0.25">
      <c r="A2700" s="3">
        <v>46022</v>
      </c>
      <c r="B2700" s="4" t="s">
        <v>334</v>
      </c>
      <c r="C2700" s="4" t="s">
        <v>843</v>
      </c>
      <c r="D2700" s="4"/>
      <c r="E2700" s="4"/>
      <c r="F2700" s="4" t="s">
        <v>1530</v>
      </c>
      <c r="G2700" s="4" t="s">
        <v>336</v>
      </c>
      <c r="H2700" s="4" t="s">
        <v>289</v>
      </c>
      <c r="I2700" s="4">
        <v>0.1</v>
      </c>
      <c r="J2700" s="21">
        <v>900</v>
      </c>
      <c r="K2700" s="21">
        <v>0</v>
      </c>
      <c r="L2700" s="5">
        <v>0</v>
      </c>
      <c r="M2700" s="4"/>
      <c r="N2700" s="4"/>
      <c r="O2700" s="5"/>
      <c r="P2700" s="5"/>
      <c r="Q2700" s="21">
        <v>90</v>
      </c>
      <c r="R2700" s="21">
        <v>0</v>
      </c>
      <c r="S2700" s="5">
        <f t="shared" si="171"/>
        <v>16752.201120151993</v>
      </c>
      <c r="T2700" cm="1">
        <f t="array" ref="T2700">IF(OR(B2700="MAL ALIMI", B2700="ÜRETİM GİRİŞ"), MIN(I2700, MAX(0, I2700 + SUM(SUMIFS($I$1:I2699, $C$1:C2699, C2700, $B$1:B2699, {"MAL ALIMI","ÜRETİM GİRİŞ"})) - VLOOKUP(C2700, 'STOK RAPORU'!$C$2:$I$1000, 4, 0))), 0)</f>
        <v>0</v>
      </c>
      <c r="U2700" s="22">
        <f t="shared" si="168"/>
        <v>0</v>
      </c>
      <c r="V2700">
        <f t="shared" si="169"/>
        <v>0</v>
      </c>
      <c r="W2700" s="22">
        <f t="shared" si="170"/>
        <v>0</v>
      </c>
    </row>
    <row r="2701" spans="1:23" hidden="1" x14ac:dyDescent="0.25">
      <c r="A2701" s="3">
        <v>46022</v>
      </c>
      <c r="B2701" s="4" t="s">
        <v>334</v>
      </c>
      <c r="C2701" s="4" t="s">
        <v>60</v>
      </c>
      <c r="D2701" s="4"/>
      <c r="E2701" s="4"/>
      <c r="F2701" s="4" t="s">
        <v>1530</v>
      </c>
      <c r="G2701" s="4" t="s">
        <v>336</v>
      </c>
      <c r="H2701" s="4" t="s">
        <v>289</v>
      </c>
      <c r="I2701" s="4">
        <v>0.05</v>
      </c>
      <c r="J2701" s="21">
        <v>1200</v>
      </c>
      <c r="K2701" s="21">
        <v>0</v>
      </c>
      <c r="L2701" s="5">
        <v>0</v>
      </c>
      <c r="M2701" s="4"/>
      <c r="N2701" s="4"/>
      <c r="O2701" s="5"/>
      <c r="P2701" s="5"/>
      <c r="Q2701" s="21">
        <v>60</v>
      </c>
      <c r="R2701" s="21">
        <v>0</v>
      </c>
      <c r="S2701" s="5">
        <f t="shared" si="171"/>
        <v>16812.201120151993</v>
      </c>
      <c r="T2701" cm="1">
        <f t="array" ref="T2701">IF(OR(B2701="MAL ALIMI", B2701="ÜRETİM GİRİŞ"), MIN(I2701, MAX(0, I2701 + SUM(SUMIFS($I$1:I2700, $C$1:C2700, C2701, $B$1:B2700, {"MAL ALIMI","ÜRETİM GİRİŞ"})) - VLOOKUP(C2701, 'STOK RAPORU'!$C$2:$I$1000, 4, 0))), 0)</f>
        <v>0</v>
      </c>
      <c r="U2701" s="22">
        <f t="shared" si="168"/>
        <v>0</v>
      </c>
      <c r="V2701">
        <f t="shared" si="169"/>
        <v>0</v>
      </c>
      <c r="W2701" s="22">
        <f t="shared" si="170"/>
        <v>0</v>
      </c>
    </row>
    <row r="2702" spans="1:23" hidden="1" x14ac:dyDescent="0.25">
      <c r="A2702" s="3">
        <v>46022</v>
      </c>
      <c r="B2702" s="4" t="s">
        <v>334</v>
      </c>
      <c r="C2702" s="4" t="s">
        <v>523</v>
      </c>
      <c r="D2702" s="4"/>
      <c r="E2702" s="4"/>
      <c r="F2702" s="4" t="s">
        <v>1530</v>
      </c>
      <c r="G2702" s="4" t="s">
        <v>336</v>
      </c>
      <c r="H2702" s="4" t="s">
        <v>289</v>
      </c>
      <c r="I2702" s="4">
        <v>0.1</v>
      </c>
      <c r="J2702" s="21">
        <v>600</v>
      </c>
      <c r="K2702" s="21">
        <v>0</v>
      </c>
      <c r="L2702" s="5">
        <v>0</v>
      </c>
      <c r="M2702" s="4"/>
      <c r="N2702" s="4"/>
      <c r="O2702" s="5"/>
      <c r="P2702" s="5"/>
      <c r="Q2702" s="21">
        <v>60</v>
      </c>
      <c r="R2702" s="21">
        <v>0</v>
      </c>
      <c r="S2702" s="5">
        <f t="shared" si="171"/>
        <v>16872.201120151993</v>
      </c>
      <c r="T2702" cm="1">
        <f t="array" ref="T2702">IF(OR(B2702="MAL ALIMI", B2702="ÜRETİM GİRİŞ"), MIN(I2702, MAX(0, I2702 + SUM(SUMIFS($I$1:I2701, $C$1:C2701, C2702, $B$1:B2701, {"MAL ALIMI","ÜRETİM GİRİŞ"})) - VLOOKUP(C2702, 'STOK RAPORU'!$C$2:$I$1000, 4, 0))), 0)</f>
        <v>0</v>
      </c>
      <c r="U2702" s="22">
        <f t="shared" si="168"/>
        <v>0</v>
      </c>
      <c r="V2702">
        <f t="shared" si="169"/>
        <v>0</v>
      </c>
      <c r="W2702" s="22">
        <f t="shared" si="170"/>
        <v>0</v>
      </c>
    </row>
    <row r="2703" spans="1:23" hidden="1" x14ac:dyDescent="0.25">
      <c r="A2703" s="3">
        <v>46022</v>
      </c>
      <c r="B2703" s="4" t="s">
        <v>946</v>
      </c>
      <c r="C2703" s="4"/>
      <c r="D2703" s="4"/>
      <c r="E2703" s="4" t="s">
        <v>921</v>
      </c>
      <c r="F2703" s="4"/>
      <c r="G2703" s="4" t="s">
        <v>946</v>
      </c>
      <c r="H2703" s="4" t="s">
        <v>380</v>
      </c>
      <c r="I2703" s="4">
        <v>1</v>
      </c>
      <c r="J2703" s="105">
        <v>660</v>
      </c>
      <c r="K2703" s="21">
        <v>0</v>
      </c>
      <c r="L2703" s="111">
        <v>660</v>
      </c>
      <c r="M2703" s="4"/>
      <c r="N2703" s="4"/>
      <c r="O2703" s="5"/>
      <c r="P2703" s="5"/>
      <c r="Q2703" s="21">
        <v>660</v>
      </c>
      <c r="R2703" s="21">
        <v>0</v>
      </c>
      <c r="S2703" s="5">
        <f t="shared" si="171"/>
        <v>17532.201120151993</v>
      </c>
      <c r="T2703" cm="1">
        <f t="array" ref="T2703">IF(OR(B2703="MAL ALIMI", B2703="ÜRETİM GİRİŞ"), MIN(I2703, MAX(0, I2703 + SUM(SUMIFS($I$1:I2702, $C$1:C2702, C2703, $B$1:B2702, {"MAL ALIMI","ÜRETİM GİRİŞ"})) - VLOOKUP(C2703, 'STOK RAPORU'!$C$2:$I$1000, 4, 0))), 0)</f>
        <v>0</v>
      </c>
      <c r="U2703" s="22">
        <f t="shared" si="168"/>
        <v>0</v>
      </c>
      <c r="V2703">
        <f t="shared" si="169"/>
        <v>0</v>
      </c>
      <c r="W2703" s="22">
        <f t="shared" si="170"/>
        <v>0</v>
      </c>
    </row>
    <row r="2704" spans="1:23" hidden="1" x14ac:dyDescent="0.25">
      <c r="A2704" s="3">
        <v>46022</v>
      </c>
      <c r="B2704" s="4" t="s">
        <v>946</v>
      </c>
      <c r="C2704" s="4"/>
      <c r="D2704" s="4"/>
      <c r="E2704" s="4" t="s">
        <v>921</v>
      </c>
      <c r="F2704" s="4"/>
      <c r="G2704" s="4" t="s">
        <v>946</v>
      </c>
      <c r="H2704" s="4" t="s">
        <v>380</v>
      </c>
      <c r="I2704" s="4">
        <v>1</v>
      </c>
      <c r="J2704" s="105">
        <v>989</v>
      </c>
      <c r="K2704" s="21">
        <v>0</v>
      </c>
      <c r="L2704" s="111">
        <v>989</v>
      </c>
      <c r="M2704" s="4"/>
      <c r="N2704" s="4"/>
      <c r="O2704" s="5"/>
      <c r="P2704" s="5"/>
      <c r="Q2704" s="21">
        <v>989</v>
      </c>
      <c r="R2704" s="21">
        <v>0</v>
      </c>
      <c r="S2704" s="5">
        <f t="shared" si="171"/>
        <v>18521.201120151993</v>
      </c>
      <c r="T2704" cm="1">
        <f t="array" ref="T2704">IF(OR(B2704="MAL ALIMI", B2704="ÜRETİM GİRİŞ"), MIN(I2704, MAX(0, I2704 + SUM(SUMIFS($I$1:I2703, $C$1:C2703, C2704, $B$1:B2703, {"MAL ALIMI","ÜRETİM GİRİŞ"})) - VLOOKUP(C2704, 'STOK RAPORU'!$C$2:$I$1000, 4, 0))), 0)</f>
        <v>0</v>
      </c>
      <c r="U2704" s="22">
        <f t="shared" si="168"/>
        <v>0</v>
      </c>
      <c r="V2704">
        <f t="shared" si="169"/>
        <v>0</v>
      </c>
      <c r="W2704" s="22">
        <f t="shared" si="170"/>
        <v>0</v>
      </c>
    </row>
    <row r="2705" spans="1:23" hidden="1" x14ac:dyDescent="0.25">
      <c r="A2705" s="3">
        <v>46023</v>
      </c>
      <c r="B2705" s="4" t="s">
        <v>298</v>
      </c>
      <c r="C2705" s="4" t="s">
        <v>270</v>
      </c>
      <c r="D2705" s="4"/>
      <c r="E2705" s="4" t="s">
        <v>856</v>
      </c>
      <c r="F2705" s="4" t="s">
        <v>1664</v>
      </c>
      <c r="G2705" s="4" t="s">
        <v>1665</v>
      </c>
      <c r="H2705" s="4" t="s">
        <v>1329</v>
      </c>
      <c r="I2705" s="4">
        <v>24</v>
      </c>
      <c r="J2705" s="21">
        <v>83</v>
      </c>
      <c r="K2705" s="21">
        <v>0</v>
      </c>
      <c r="L2705" s="5">
        <v>1992</v>
      </c>
      <c r="M2705" s="4"/>
      <c r="N2705" s="4"/>
      <c r="O2705" s="5"/>
      <c r="P2705" s="5"/>
      <c r="Q2705" s="21">
        <v>0</v>
      </c>
      <c r="R2705" s="21">
        <v>0</v>
      </c>
      <c r="S2705" s="5">
        <f t="shared" si="171"/>
        <v>18521.201120151993</v>
      </c>
      <c r="T2705" cm="1">
        <f t="array" ref="T2705">IF(OR(B2705="MAL ALIMI", B2705="ÜRETİM GİRİŞ"), MIN(I2705, MAX(0, I2705 + SUM(SUMIFS($I$1:I2704, $C$1:C2704, C2705, $B$1:B2704, {"MAL ALIMI","ÜRETİM GİRİŞ"})) - VLOOKUP(C2705, 'STOK RAPORU'!$C$2:$I$1000, 4, 0))), 0)</f>
        <v>18</v>
      </c>
      <c r="U2705" s="22">
        <f t="shared" si="168"/>
        <v>1494</v>
      </c>
      <c r="V2705">
        <f t="shared" si="169"/>
        <v>1992</v>
      </c>
      <c r="W2705" s="22">
        <f t="shared" si="170"/>
        <v>498</v>
      </c>
    </row>
    <row r="2706" spans="1:23" hidden="1" x14ac:dyDescent="0.25">
      <c r="A2706" s="3">
        <v>46023</v>
      </c>
      <c r="B2706" s="4" t="s">
        <v>298</v>
      </c>
      <c r="C2706" s="4" t="s">
        <v>1639</v>
      </c>
      <c r="D2706" s="4"/>
      <c r="E2706" s="4" t="s">
        <v>856</v>
      </c>
      <c r="F2706" s="4" t="s">
        <v>1664</v>
      </c>
      <c r="G2706" s="4" t="s">
        <v>1665</v>
      </c>
      <c r="H2706" s="4" t="s">
        <v>1329</v>
      </c>
      <c r="I2706" s="4">
        <v>1</v>
      </c>
      <c r="J2706" s="21">
        <v>95</v>
      </c>
      <c r="K2706" s="21">
        <v>0</v>
      </c>
      <c r="L2706" s="5">
        <v>95</v>
      </c>
      <c r="M2706" s="4"/>
      <c r="N2706" s="4"/>
      <c r="O2706" s="5"/>
      <c r="P2706" s="5"/>
      <c r="Q2706" s="21">
        <v>0</v>
      </c>
      <c r="R2706" s="21">
        <v>0</v>
      </c>
      <c r="S2706" s="5">
        <f t="shared" si="171"/>
        <v>18521.201120151993</v>
      </c>
      <c r="T2706" cm="1">
        <f t="array" ref="T2706">IF(OR(B2706="MAL ALIMI", B2706="ÜRETİM GİRİŞ"), MIN(I2706, MAX(0, I2706 + SUM(SUMIFS($I$1:I2705, $C$1:C2705, C2706, $B$1:B2705, {"MAL ALIMI","ÜRETİM GİRİŞ"})) - VLOOKUP(C2706, 'STOK RAPORU'!$C$2:$I$1000, 4, 0))), 0)</f>
        <v>1</v>
      </c>
      <c r="U2706" s="22">
        <f t="shared" si="168"/>
        <v>95</v>
      </c>
      <c r="V2706">
        <f t="shared" si="169"/>
        <v>95</v>
      </c>
      <c r="W2706" s="22">
        <f t="shared" si="170"/>
        <v>0</v>
      </c>
    </row>
    <row r="2707" spans="1:23" hidden="1" x14ac:dyDescent="0.25">
      <c r="A2707" s="3">
        <v>46023</v>
      </c>
      <c r="B2707" s="4" t="s">
        <v>298</v>
      </c>
      <c r="C2707" s="4" t="s">
        <v>1640</v>
      </c>
      <c r="D2707" s="4"/>
      <c r="E2707" s="4" t="s">
        <v>856</v>
      </c>
      <c r="F2707" s="4" t="s">
        <v>1664</v>
      </c>
      <c r="G2707" s="4" t="s">
        <v>1665</v>
      </c>
      <c r="H2707" s="4" t="s">
        <v>1329</v>
      </c>
      <c r="I2707" s="4">
        <v>1</v>
      </c>
      <c r="J2707" s="21">
        <v>345</v>
      </c>
      <c r="K2707" s="21">
        <v>0</v>
      </c>
      <c r="L2707" s="5">
        <v>345</v>
      </c>
      <c r="M2707" s="4"/>
      <c r="N2707" s="4"/>
      <c r="O2707" s="5"/>
      <c r="P2707" s="5"/>
      <c r="Q2707" s="21">
        <v>0</v>
      </c>
      <c r="R2707" s="21">
        <v>0</v>
      </c>
      <c r="S2707" s="5">
        <f t="shared" si="171"/>
        <v>18521.201120151993</v>
      </c>
      <c r="T2707" cm="1">
        <f t="array" ref="T2707">IF(OR(B2707="MAL ALIMI", B2707="ÜRETİM GİRİŞ"), MIN(I2707, MAX(0, I2707 + SUM(SUMIFS($I$1:I2706, $C$1:C2706, C2707, $B$1:B2706, {"MAL ALIMI","ÜRETİM GİRİŞ"})) - VLOOKUP(C2707, 'STOK RAPORU'!$C$2:$I$1000, 4, 0))), 0)</f>
        <v>0.67142857142857149</v>
      </c>
      <c r="U2707" s="22">
        <f t="shared" si="168"/>
        <v>231.64285714285717</v>
      </c>
      <c r="V2707">
        <f t="shared" si="169"/>
        <v>345</v>
      </c>
      <c r="W2707" s="22">
        <f t="shared" si="170"/>
        <v>113.35714285714283</v>
      </c>
    </row>
    <row r="2708" spans="1:23" hidden="1" x14ac:dyDescent="0.25">
      <c r="A2708" s="3">
        <v>46023</v>
      </c>
      <c r="B2708" s="4" t="s">
        <v>298</v>
      </c>
      <c r="C2708" s="4" t="s">
        <v>1641</v>
      </c>
      <c r="D2708" s="4"/>
      <c r="E2708" s="4" t="s">
        <v>856</v>
      </c>
      <c r="F2708" s="4" t="s">
        <v>1664</v>
      </c>
      <c r="G2708" s="4" t="s">
        <v>1665</v>
      </c>
      <c r="H2708" s="4" t="s">
        <v>1329</v>
      </c>
      <c r="I2708" s="4">
        <v>1</v>
      </c>
      <c r="J2708" s="21">
        <v>245</v>
      </c>
      <c r="K2708" s="21">
        <v>0</v>
      </c>
      <c r="L2708" s="5">
        <v>245</v>
      </c>
      <c r="M2708" s="4"/>
      <c r="N2708" s="4"/>
      <c r="O2708" s="5"/>
      <c r="P2708" s="5"/>
      <c r="Q2708" s="21">
        <v>0</v>
      </c>
      <c r="R2708" s="21">
        <v>0</v>
      </c>
      <c r="S2708" s="5">
        <f t="shared" si="171"/>
        <v>18521.201120151993</v>
      </c>
      <c r="T2708" cm="1">
        <f t="array" ref="T2708">IF(OR(B2708="MAL ALIMI", B2708="ÜRETİM GİRİŞ"), MIN(I2708, MAX(0, I2708 + SUM(SUMIFS($I$1:I2707, $C$1:C2707, C2708, $B$1:B2707, {"MAL ALIMI","ÜRETİM GİRİŞ"})) - VLOOKUP(C2708, 'STOK RAPORU'!$C$2:$I$1000, 4, 0))), 0)</f>
        <v>0.5</v>
      </c>
      <c r="U2708" s="22">
        <f t="shared" si="168"/>
        <v>122.5</v>
      </c>
      <c r="V2708">
        <f t="shared" si="169"/>
        <v>245</v>
      </c>
      <c r="W2708" s="22">
        <f t="shared" si="170"/>
        <v>122.5</v>
      </c>
    </row>
    <row r="2709" spans="1:23" hidden="1" x14ac:dyDescent="0.25">
      <c r="A2709" s="3">
        <v>46023</v>
      </c>
      <c r="B2709" s="4" t="s">
        <v>298</v>
      </c>
      <c r="C2709" s="4" t="s">
        <v>1642</v>
      </c>
      <c r="D2709" s="4"/>
      <c r="E2709" s="4" t="s">
        <v>856</v>
      </c>
      <c r="F2709" s="4" t="s">
        <v>1664</v>
      </c>
      <c r="G2709" s="4" t="s">
        <v>1665</v>
      </c>
      <c r="H2709" s="4" t="s">
        <v>1329</v>
      </c>
      <c r="I2709" s="4">
        <v>1</v>
      </c>
      <c r="J2709" s="21">
        <v>205</v>
      </c>
      <c r="K2709" s="21">
        <v>0</v>
      </c>
      <c r="L2709" s="5">
        <v>205</v>
      </c>
      <c r="M2709" s="4"/>
      <c r="N2709" s="4"/>
      <c r="O2709" s="5"/>
      <c r="P2709" s="5"/>
      <c r="Q2709" s="21">
        <v>0</v>
      </c>
      <c r="R2709" s="21">
        <v>0</v>
      </c>
      <c r="S2709" s="5">
        <f t="shared" si="171"/>
        <v>18521.201120151993</v>
      </c>
      <c r="T2709" cm="1">
        <f t="array" ref="T2709">IF(OR(B2709="MAL ALIMI", B2709="ÜRETİM GİRİŞ"), MIN(I2709, MAX(0, I2709 + SUM(SUMIFS($I$1:I2708, $C$1:C2708, C2709, $B$1:B2708, {"MAL ALIMI","ÜRETİM GİRİŞ"})) - VLOOKUP(C2709, 'STOK RAPORU'!$C$2:$I$1000, 4, 0))), 0)</f>
        <v>0.6</v>
      </c>
      <c r="U2709" s="22">
        <f t="shared" si="168"/>
        <v>123</v>
      </c>
      <c r="V2709">
        <f t="shared" si="169"/>
        <v>205</v>
      </c>
      <c r="W2709" s="22">
        <f t="shared" si="170"/>
        <v>82</v>
      </c>
    </row>
    <row r="2710" spans="1:23" hidden="1" x14ac:dyDescent="0.25">
      <c r="A2710" s="3">
        <v>46023</v>
      </c>
      <c r="B2710" s="4" t="s">
        <v>298</v>
      </c>
      <c r="C2710" s="4" t="s">
        <v>193</v>
      </c>
      <c r="D2710" s="4"/>
      <c r="E2710" s="4" t="s">
        <v>856</v>
      </c>
      <c r="F2710" s="4" t="s">
        <v>1664</v>
      </c>
      <c r="G2710" s="4" t="s">
        <v>1665</v>
      </c>
      <c r="H2710" s="4" t="s">
        <v>1329</v>
      </c>
      <c r="I2710" s="4">
        <v>1</v>
      </c>
      <c r="J2710" s="21">
        <v>150</v>
      </c>
      <c r="K2710" s="21">
        <v>0</v>
      </c>
      <c r="L2710" s="5">
        <v>150</v>
      </c>
      <c r="M2710" s="4"/>
      <c r="N2710" s="4"/>
      <c r="O2710" s="5"/>
      <c r="P2710" s="5"/>
      <c r="Q2710" s="21">
        <v>0</v>
      </c>
      <c r="R2710" s="21">
        <v>0</v>
      </c>
      <c r="S2710" s="5">
        <f t="shared" si="171"/>
        <v>18521.201120151993</v>
      </c>
      <c r="T2710" cm="1">
        <f t="array" ref="T2710">IF(OR(B2710="MAL ALIMI", B2710="ÜRETİM GİRİŞ"), MIN(I2710, MAX(0, I2710 + SUM(SUMIFS($I$1:I2709, $C$1:C2709, C2710, $B$1:B2709, {"MAL ALIMI","ÜRETİM GİRİŞ"})) - VLOOKUP(C2710, 'STOK RAPORU'!$C$2:$I$1000, 4, 0))), 0)</f>
        <v>0.14699999999999935</v>
      </c>
      <c r="U2710" s="22">
        <f t="shared" si="168"/>
        <v>22.049999999999905</v>
      </c>
      <c r="V2710">
        <f t="shared" si="169"/>
        <v>150</v>
      </c>
      <c r="W2710" s="22">
        <f t="shared" si="170"/>
        <v>127.9500000000001</v>
      </c>
    </row>
    <row r="2711" spans="1:23" hidden="1" x14ac:dyDescent="0.25">
      <c r="A2711" s="3">
        <v>46023</v>
      </c>
      <c r="B2711" s="4" t="s">
        <v>298</v>
      </c>
      <c r="C2711" s="4" t="s">
        <v>1643</v>
      </c>
      <c r="D2711" s="4"/>
      <c r="E2711" s="4" t="s">
        <v>856</v>
      </c>
      <c r="F2711" s="4" t="s">
        <v>1664</v>
      </c>
      <c r="G2711" s="4" t="s">
        <v>1665</v>
      </c>
      <c r="H2711" s="4" t="s">
        <v>1329</v>
      </c>
      <c r="I2711" s="4">
        <v>1</v>
      </c>
      <c r="J2711" s="21">
        <v>140</v>
      </c>
      <c r="K2711" s="21">
        <v>0</v>
      </c>
      <c r="L2711" s="5">
        <v>140</v>
      </c>
      <c r="M2711" s="4"/>
      <c r="N2711" s="4"/>
      <c r="O2711" s="5"/>
      <c r="P2711" s="5"/>
      <c r="Q2711" s="21">
        <v>0</v>
      </c>
      <c r="R2711" s="21">
        <v>0</v>
      </c>
      <c r="S2711" s="5">
        <f t="shared" si="171"/>
        <v>18521.201120151993</v>
      </c>
      <c r="T2711" cm="1">
        <f t="array" ref="T2711">IF(OR(B2711="MAL ALIMI", B2711="ÜRETİM GİRİŞ"), MIN(I2711, MAX(0, I2711 + SUM(SUMIFS($I$1:I2710, $C$1:C2710, C2711, $B$1:B2710, {"MAL ALIMI","ÜRETİM GİRİŞ"})) - VLOOKUP(C2711, 'STOK RAPORU'!$C$2:$I$1000, 4, 0))), 0)</f>
        <v>1</v>
      </c>
      <c r="U2711" s="22">
        <f t="shared" si="168"/>
        <v>140</v>
      </c>
      <c r="V2711">
        <f t="shared" si="169"/>
        <v>140</v>
      </c>
      <c r="W2711" s="22">
        <f t="shared" si="170"/>
        <v>0</v>
      </c>
    </row>
    <row r="2712" spans="1:23" hidden="1" x14ac:dyDescent="0.25">
      <c r="A2712" s="3">
        <v>46023</v>
      </c>
      <c r="B2712" s="4" t="s">
        <v>298</v>
      </c>
      <c r="C2712" s="4" t="s">
        <v>1644</v>
      </c>
      <c r="D2712" s="4"/>
      <c r="E2712" s="4" t="s">
        <v>856</v>
      </c>
      <c r="F2712" s="4" t="s">
        <v>1664</v>
      </c>
      <c r="G2712" s="4" t="s">
        <v>1665</v>
      </c>
      <c r="H2712" s="4" t="s">
        <v>1329</v>
      </c>
      <c r="I2712" s="4">
        <v>1</v>
      </c>
      <c r="J2712" s="21">
        <v>270</v>
      </c>
      <c r="K2712" s="21">
        <v>0</v>
      </c>
      <c r="L2712" s="5">
        <v>270</v>
      </c>
      <c r="M2712" s="4"/>
      <c r="N2712" s="4"/>
      <c r="O2712" s="5"/>
      <c r="P2712" s="5"/>
      <c r="Q2712" s="21">
        <v>0</v>
      </c>
      <c r="R2712" s="21">
        <v>0</v>
      </c>
      <c r="S2712" s="5">
        <f t="shared" si="171"/>
        <v>18521.201120151993</v>
      </c>
      <c r="T2712" cm="1">
        <f t="array" ref="T2712">IF(OR(B2712="MAL ALIMI", B2712="ÜRETİM GİRİŞ"), MIN(I2712, MAX(0, I2712 + SUM(SUMIFS($I$1:I2711, $C$1:C2711, C2712, $B$1:B2711, {"MAL ALIMI","ÜRETİM GİRİŞ"})) - VLOOKUP(C2712, 'STOK RAPORU'!$C$2:$I$1000, 4, 0))), 0)</f>
        <v>1</v>
      </c>
      <c r="U2712" s="22">
        <f t="shared" si="168"/>
        <v>270</v>
      </c>
      <c r="V2712">
        <f t="shared" si="169"/>
        <v>270</v>
      </c>
      <c r="W2712" s="22">
        <f t="shared" si="170"/>
        <v>0</v>
      </c>
    </row>
    <row r="2713" spans="1:23" hidden="1" x14ac:dyDescent="0.25">
      <c r="A2713" s="3">
        <v>46023</v>
      </c>
      <c r="B2713" s="4" t="s">
        <v>298</v>
      </c>
      <c r="C2713" s="4" t="s">
        <v>1645</v>
      </c>
      <c r="D2713" s="4"/>
      <c r="E2713" s="4" t="s">
        <v>856</v>
      </c>
      <c r="F2713" s="4" t="s">
        <v>1664</v>
      </c>
      <c r="G2713" s="4" t="s">
        <v>1665</v>
      </c>
      <c r="H2713" s="4" t="s">
        <v>1329</v>
      </c>
      <c r="I2713" s="4">
        <v>1</v>
      </c>
      <c r="J2713" s="21">
        <v>65</v>
      </c>
      <c r="K2713" s="21">
        <v>0</v>
      </c>
      <c r="L2713" s="5">
        <v>65</v>
      </c>
      <c r="M2713" s="4"/>
      <c r="N2713" s="4"/>
      <c r="O2713" s="5"/>
      <c r="P2713" s="5"/>
      <c r="Q2713" s="21">
        <v>0</v>
      </c>
      <c r="R2713" s="21">
        <v>0</v>
      </c>
      <c r="S2713" s="5">
        <f t="shared" si="171"/>
        <v>18521.201120151993</v>
      </c>
      <c r="T2713" cm="1">
        <f t="array" ref="T2713">IF(OR(B2713="MAL ALIMI", B2713="ÜRETİM GİRİŞ"), MIN(I2713, MAX(0, I2713 + SUM(SUMIFS($I$1:I2712, $C$1:C2712, C2713, $B$1:B2712, {"MAL ALIMI","ÜRETİM GİRİŞ"})) - VLOOKUP(C2713, 'STOK RAPORU'!$C$2:$I$1000, 4, 0))), 0)</f>
        <v>1</v>
      </c>
      <c r="U2713" s="22">
        <f t="shared" si="168"/>
        <v>65</v>
      </c>
      <c r="V2713">
        <f t="shared" si="169"/>
        <v>65</v>
      </c>
      <c r="W2713" s="22">
        <f t="shared" si="170"/>
        <v>0</v>
      </c>
    </row>
    <row r="2714" spans="1:23" hidden="1" x14ac:dyDescent="0.25">
      <c r="A2714" s="3">
        <v>46023</v>
      </c>
      <c r="B2714" s="4" t="s">
        <v>298</v>
      </c>
      <c r="C2714" s="4" t="s">
        <v>1646</v>
      </c>
      <c r="D2714" s="4"/>
      <c r="E2714" s="4" t="s">
        <v>856</v>
      </c>
      <c r="F2714" s="4" t="s">
        <v>1664</v>
      </c>
      <c r="G2714" s="4" t="s">
        <v>1665</v>
      </c>
      <c r="H2714" s="4" t="s">
        <v>1329</v>
      </c>
      <c r="I2714" s="4">
        <v>1</v>
      </c>
      <c r="J2714" s="21">
        <v>195</v>
      </c>
      <c r="K2714" s="21">
        <v>0</v>
      </c>
      <c r="L2714" s="5">
        <v>195</v>
      </c>
      <c r="M2714" s="4"/>
      <c r="N2714" s="4"/>
      <c r="O2714" s="5"/>
      <c r="P2714" s="5"/>
      <c r="Q2714" s="21">
        <v>0</v>
      </c>
      <c r="R2714" s="21">
        <v>0</v>
      </c>
      <c r="S2714" s="5">
        <f t="shared" si="171"/>
        <v>18521.201120151993</v>
      </c>
      <c r="T2714" cm="1">
        <f t="array" ref="T2714">IF(OR(B2714="MAL ALIMI", B2714="ÜRETİM GİRİŞ"), MIN(I2714, MAX(0, I2714 + SUM(SUMIFS($I$1:I2713, $C$1:C2713, C2714, $B$1:B2713, {"MAL ALIMI","ÜRETİM GİRİŞ"})) - VLOOKUP(C2714, 'STOK RAPORU'!$C$2:$I$1000, 4, 0))), 0)</f>
        <v>0.87179487179487181</v>
      </c>
      <c r="U2714" s="22">
        <f t="shared" si="168"/>
        <v>170</v>
      </c>
      <c r="V2714">
        <f t="shared" si="169"/>
        <v>195</v>
      </c>
      <c r="W2714" s="22">
        <f t="shared" si="170"/>
        <v>25</v>
      </c>
    </row>
    <row r="2715" spans="1:23" hidden="1" x14ac:dyDescent="0.25">
      <c r="A2715" s="3">
        <v>46023</v>
      </c>
      <c r="B2715" s="4" t="s">
        <v>298</v>
      </c>
      <c r="C2715" s="4" t="s">
        <v>1647</v>
      </c>
      <c r="D2715" s="4"/>
      <c r="E2715" s="4" t="s">
        <v>856</v>
      </c>
      <c r="F2715" s="4" t="s">
        <v>1664</v>
      </c>
      <c r="G2715" s="4" t="s">
        <v>1665</v>
      </c>
      <c r="H2715" s="4" t="s">
        <v>1329</v>
      </c>
      <c r="I2715" s="4">
        <v>1</v>
      </c>
      <c r="J2715" s="21">
        <v>115</v>
      </c>
      <c r="K2715" s="21">
        <v>0</v>
      </c>
      <c r="L2715" s="5">
        <v>115</v>
      </c>
      <c r="M2715" s="4"/>
      <c r="N2715" s="4"/>
      <c r="O2715" s="5"/>
      <c r="P2715" s="5"/>
      <c r="Q2715" s="21">
        <v>0</v>
      </c>
      <c r="R2715" s="21">
        <v>0</v>
      </c>
      <c r="S2715" s="5">
        <f t="shared" si="171"/>
        <v>18521.201120151993</v>
      </c>
      <c r="T2715" cm="1">
        <f t="array" ref="T2715">IF(OR(B2715="MAL ALIMI", B2715="ÜRETİM GİRİŞ"), MIN(I2715, MAX(0, I2715 + SUM(SUMIFS($I$1:I2714, $C$1:C2714, C2715, $B$1:B2714, {"MAL ALIMI","ÜRETİM GİRİŞ"})) - VLOOKUP(C2715, 'STOK RAPORU'!$C$2:$I$1000, 4, 0))), 0)</f>
        <v>0.9</v>
      </c>
      <c r="U2715" s="22">
        <f t="shared" si="168"/>
        <v>103.5</v>
      </c>
      <c r="V2715">
        <f t="shared" si="169"/>
        <v>115</v>
      </c>
      <c r="W2715" s="22">
        <f t="shared" si="170"/>
        <v>11.5</v>
      </c>
    </row>
    <row r="2716" spans="1:23" hidden="1" x14ac:dyDescent="0.25">
      <c r="A2716" s="3">
        <v>46023</v>
      </c>
      <c r="B2716" s="4" t="s">
        <v>298</v>
      </c>
      <c r="C2716" s="4" t="s">
        <v>1648</v>
      </c>
      <c r="D2716" s="4"/>
      <c r="E2716" s="4" t="s">
        <v>856</v>
      </c>
      <c r="F2716" s="4" t="s">
        <v>1664</v>
      </c>
      <c r="G2716" s="4" t="s">
        <v>1665</v>
      </c>
      <c r="H2716" s="4" t="s">
        <v>1329</v>
      </c>
      <c r="I2716" s="4">
        <v>1</v>
      </c>
      <c r="J2716" s="21">
        <v>280</v>
      </c>
      <c r="K2716" s="21">
        <v>0</v>
      </c>
      <c r="L2716" s="5">
        <v>280</v>
      </c>
      <c r="M2716" s="4"/>
      <c r="N2716" s="4"/>
      <c r="O2716" s="5"/>
      <c r="P2716" s="5"/>
      <c r="Q2716" s="21">
        <v>0</v>
      </c>
      <c r="R2716" s="21">
        <v>0</v>
      </c>
      <c r="S2716" s="5">
        <f t="shared" si="171"/>
        <v>18521.201120151993</v>
      </c>
      <c r="T2716" cm="1">
        <f t="array" ref="T2716">IF(OR(B2716="MAL ALIMI", B2716="ÜRETİM GİRİŞ"), MIN(I2716, MAX(0, I2716 + SUM(SUMIFS($I$1:I2715, $C$1:C2715, C2716, $B$1:B2715, {"MAL ALIMI","ÜRETİM GİRİŞ"})) - VLOOKUP(C2716, 'STOK RAPORU'!$C$2:$I$1000, 4, 0))), 0)</f>
        <v>0</v>
      </c>
      <c r="U2716" s="22">
        <f t="shared" si="168"/>
        <v>0</v>
      </c>
      <c r="V2716">
        <f t="shared" si="169"/>
        <v>280</v>
      </c>
      <c r="W2716" s="22">
        <f t="shared" si="170"/>
        <v>280</v>
      </c>
    </row>
    <row r="2717" spans="1:23" hidden="1" x14ac:dyDescent="0.25">
      <c r="A2717" s="3">
        <v>46023</v>
      </c>
      <c r="B2717" s="4" t="s">
        <v>298</v>
      </c>
      <c r="C2717" s="4" t="s">
        <v>1649</v>
      </c>
      <c r="D2717" s="4"/>
      <c r="E2717" s="4" t="s">
        <v>856</v>
      </c>
      <c r="F2717" s="4" t="s">
        <v>1664</v>
      </c>
      <c r="G2717" s="4" t="s">
        <v>1665</v>
      </c>
      <c r="H2717" s="4" t="s">
        <v>1329</v>
      </c>
      <c r="I2717" s="4">
        <v>1</v>
      </c>
      <c r="J2717" s="21">
        <v>280</v>
      </c>
      <c r="K2717" s="21">
        <v>0</v>
      </c>
      <c r="L2717" s="5">
        <v>280</v>
      </c>
      <c r="M2717" s="4"/>
      <c r="N2717" s="4"/>
      <c r="O2717" s="5"/>
      <c r="P2717" s="5"/>
      <c r="Q2717" s="21">
        <v>0</v>
      </c>
      <c r="R2717" s="21">
        <v>0</v>
      </c>
      <c r="S2717" s="5">
        <f t="shared" si="171"/>
        <v>18521.201120151993</v>
      </c>
      <c r="T2717" cm="1">
        <f t="array" ref="T2717">IF(OR(B2717="MAL ALIMI", B2717="ÜRETİM GİRİŞ"), MIN(I2717, MAX(0, I2717 + SUM(SUMIFS($I$1:I2716, $C$1:C2716, C2717, $B$1:B2716, {"MAL ALIMI","ÜRETİM GİRİŞ"})) - VLOOKUP(C2717, 'STOK RAPORU'!$C$2:$I$1000, 4, 0))), 0)</f>
        <v>0.875</v>
      </c>
      <c r="U2717" s="22">
        <f t="shared" si="168"/>
        <v>245</v>
      </c>
      <c r="V2717">
        <f t="shared" si="169"/>
        <v>280</v>
      </c>
      <c r="W2717" s="22">
        <f t="shared" si="170"/>
        <v>35</v>
      </c>
    </row>
    <row r="2718" spans="1:23" hidden="1" x14ac:dyDescent="0.25">
      <c r="A2718" s="3">
        <v>46023</v>
      </c>
      <c r="B2718" s="4" t="s">
        <v>298</v>
      </c>
      <c r="C2718" s="4" t="s">
        <v>1650</v>
      </c>
      <c r="D2718" s="4"/>
      <c r="E2718" s="4" t="s">
        <v>856</v>
      </c>
      <c r="F2718" s="4" t="s">
        <v>1664</v>
      </c>
      <c r="G2718" s="4" t="s">
        <v>1665</v>
      </c>
      <c r="H2718" s="4" t="s">
        <v>1329</v>
      </c>
      <c r="I2718" s="4">
        <v>1</v>
      </c>
      <c r="J2718" s="21">
        <v>95</v>
      </c>
      <c r="K2718" s="21">
        <v>0</v>
      </c>
      <c r="L2718" s="5">
        <v>95</v>
      </c>
      <c r="M2718" s="4"/>
      <c r="N2718" s="4"/>
      <c r="O2718" s="5"/>
      <c r="P2718" s="5"/>
      <c r="Q2718" s="21">
        <v>0</v>
      </c>
      <c r="R2718" s="21">
        <v>0</v>
      </c>
      <c r="S2718" s="5">
        <f t="shared" si="171"/>
        <v>18521.201120151993</v>
      </c>
      <c r="T2718" cm="1">
        <f t="array" ref="T2718">IF(OR(B2718="MAL ALIMI", B2718="ÜRETİM GİRİŞ"), MIN(I2718, MAX(0, I2718 + SUM(SUMIFS($I$1:I2717, $C$1:C2717, C2718, $B$1:B2717, {"MAL ALIMI","ÜRETİM GİRİŞ"})) - VLOOKUP(C2718, 'STOK RAPORU'!$C$2:$I$1000, 4, 0))), 0)</f>
        <v>0.96</v>
      </c>
      <c r="U2718" s="22">
        <f t="shared" si="168"/>
        <v>91.2</v>
      </c>
      <c r="V2718">
        <f t="shared" si="169"/>
        <v>95</v>
      </c>
      <c r="W2718" s="22">
        <f t="shared" si="170"/>
        <v>3.7999999999999972</v>
      </c>
    </row>
    <row r="2719" spans="1:23" hidden="1" x14ac:dyDescent="0.25">
      <c r="A2719" s="3">
        <v>46023</v>
      </c>
      <c r="B2719" s="4" t="s">
        <v>298</v>
      </c>
      <c r="C2719" s="4" t="s">
        <v>1651</v>
      </c>
      <c r="D2719" s="4"/>
      <c r="E2719" s="4" t="s">
        <v>856</v>
      </c>
      <c r="F2719" s="4" t="s">
        <v>1664</v>
      </c>
      <c r="G2719" s="4" t="s">
        <v>1665</v>
      </c>
      <c r="H2719" s="4" t="s">
        <v>1329</v>
      </c>
      <c r="I2719" s="4">
        <v>1</v>
      </c>
      <c r="J2719" s="21">
        <v>230</v>
      </c>
      <c r="K2719" s="21">
        <v>0</v>
      </c>
      <c r="L2719" s="5">
        <v>230</v>
      </c>
      <c r="M2719" s="4"/>
      <c r="N2719" s="4"/>
      <c r="O2719" s="5"/>
      <c r="P2719" s="5"/>
      <c r="Q2719" s="21">
        <v>0</v>
      </c>
      <c r="R2719" s="21">
        <v>0</v>
      </c>
      <c r="S2719" s="5">
        <f t="shared" si="171"/>
        <v>18521.201120151993</v>
      </c>
      <c r="T2719" cm="1">
        <f t="array" ref="T2719">IF(OR(B2719="MAL ALIMI", B2719="ÜRETİM GİRİŞ"), MIN(I2719, MAX(0, I2719 + SUM(SUMIFS($I$1:I2718, $C$1:C2718, C2719, $B$1:B2718, {"MAL ALIMI","ÜRETİM GİRİŞ"})) - VLOOKUP(C2719, 'STOK RAPORU'!$C$2:$I$1000, 4, 0))), 0)</f>
        <v>1</v>
      </c>
      <c r="U2719" s="22">
        <f t="shared" si="168"/>
        <v>230</v>
      </c>
      <c r="V2719">
        <f t="shared" si="169"/>
        <v>230</v>
      </c>
      <c r="W2719" s="22">
        <f t="shared" si="170"/>
        <v>0</v>
      </c>
    </row>
    <row r="2720" spans="1:23" hidden="1" x14ac:dyDescent="0.25">
      <c r="A2720" s="3">
        <v>46023</v>
      </c>
      <c r="B2720" s="4" t="s">
        <v>298</v>
      </c>
      <c r="C2720" s="4" t="s">
        <v>1652</v>
      </c>
      <c r="D2720" s="4"/>
      <c r="E2720" s="4" t="s">
        <v>856</v>
      </c>
      <c r="F2720" s="4" t="s">
        <v>1664</v>
      </c>
      <c r="G2720" s="4" t="s">
        <v>1665</v>
      </c>
      <c r="H2720" s="4" t="s">
        <v>1329</v>
      </c>
      <c r="I2720" s="4">
        <v>1</v>
      </c>
      <c r="J2720" s="21">
        <v>220</v>
      </c>
      <c r="K2720" s="21">
        <v>0</v>
      </c>
      <c r="L2720" s="5">
        <v>220</v>
      </c>
      <c r="M2720" s="4"/>
      <c r="N2720" s="4"/>
      <c r="O2720" s="5"/>
      <c r="P2720" s="5"/>
      <c r="Q2720" s="21">
        <v>0</v>
      </c>
      <c r="R2720" s="21">
        <v>0</v>
      </c>
      <c r="S2720" s="5">
        <f t="shared" si="171"/>
        <v>18521.201120151993</v>
      </c>
      <c r="T2720" cm="1">
        <f t="array" ref="T2720">IF(OR(B2720="MAL ALIMI", B2720="ÜRETİM GİRİŞ"), MIN(I2720, MAX(0, I2720 + SUM(SUMIFS($I$1:I2719, $C$1:C2719, C2720, $B$1:B2719, {"MAL ALIMI","ÜRETİM GİRİŞ"})) - VLOOKUP(C2720, 'STOK RAPORU'!$C$2:$I$1000, 4, 0))), 0)</f>
        <v>1</v>
      </c>
      <c r="U2720" s="22">
        <f t="shared" si="168"/>
        <v>220</v>
      </c>
      <c r="V2720">
        <f t="shared" si="169"/>
        <v>220</v>
      </c>
      <c r="W2720" s="22">
        <f t="shared" si="170"/>
        <v>0</v>
      </c>
    </row>
    <row r="2721" spans="1:23" hidden="1" x14ac:dyDescent="0.25">
      <c r="A2721" s="3">
        <v>46023</v>
      </c>
      <c r="B2721" s="4" t="s">
        <v>298</v>
      </c>
      <c r="C2721" s="4" t="s">
        <v>589</v>
      </c>
      <c r="D2721" s="4"/>
      <c r="E2721" s="4" t="s">
        <v>856</v>
      </c>
      <c r="F2721" s="4" t="s">
        <v>1664</v>
      </c>
      <c r="G2721" s="4" t="s">
        <v>1665</v>
      </c>
      <c r="H2721" s="4" t="s">
        <v>1329</v>
      </c>
      <c r="I2721" s="4">
        <v>1</v>
      </c>
      <c r="J2721" s="21">
        <v>240</v>
      </c>
      <c r="K2721" s="21">
        <v>0</v>
      </c>
      <c r="L2721" s="5">
        <v>240</v>
      </c>
      <c r="M2721" s="4"/>
      <c r="N2721" s="4"/>
      <c r="O2721" s="5"/>
      <c r="P2721" s="5"/>
      <c r="Q2721" s="21">
        <v>0</v>
      </c>
      <c r="R2721" s="21">
        <v>0</v>
      </c>
      <c r="S2721" s="5">
        <f t="shared" si="171"/>
        <v>18521.201120151993</v>
      </c>
      <c r="T2721" cm="1">
        <f t="array" ref="T2721">IF(OR(B2721="MAL ALIMI", B2721="ÜRETİM GİRİŞ"), MIN(I2721, MAX(0, I2721 + SUM(SUMIFS($I$1:I2720, $C$1:C2720, C2721, $B$1:B2720, {"MAL ALIMI","ÜRETİM GİRİŞ"})) - VLOOKUP(C2721, 'STOK RAPORU'!$C$2:$I$1000, 4, 0))), 0)</f>
        <v>0.60024999999999973</v>
      </c>
      <c r="U2721" s="22">
        <f t="shared" si="168"/>
        <v>144.05999999999995</v>
      </c>
      <c r="V2721">
        <f t="shared" si="169"/>
        <v>240</v>
      </c>
      <c r="W2721" s="22">
        <f t="shared" si="170"/>
        <v>95.940000000000055</v>
      </c>
    </row>
    <row r="2722" spans="1:23" hidden="1" x14ac:dyDescent="0.25">
      <c r="A2722" s="3">
        <v>46023</v>
      </c>
      <c r="B2722" s="4" t="s">
        <v>298</v>
      </c>
      <c r="C2722" s="4" t="s">
        <v>1653</v>
      </c>
      <c r="D2722" s="4"/>
      <c r="E2722" s="4" t="s">
        <v>856</v>
      </c>
      <c r="F2722" s="4" t="s">
        <v>1664</v>
      </c>
      <c r="G2722" s="4" t="s">
        <v>1665</v>
      </c>
      <c r="H2722" s="4" t="s">
        <v>1329</v>
      </c>
      <c r="I2722" s="4">
        <v>1</v>
      </c>
      <c r="J2722" s="21">
        <v>315</v>
      </c>
      <c r="K2722" s="21">
        <v>0</v>
      </c>
      <c r="L2722" s="5">
        <v>315</v>
      </c>
      <c r="M2722" s="4"/>
      <c r="N2722" s="4"/>
      <c r="O2722" s="5"/>
      <c r="P2722" s="5"/>
      <c r="Q2722" s="21">
        <v>0</v>
      </c>
      <c r="R2722" s="21">
        <v>0</v>
      </c>
      <c r="S2722" s="5">
        <f t="shared" si="171"/>
        <v>18521.201120151993</v>
      </c>
      <c r="T2722" cm="1">
        <f t="array" ref="T2722">IF(OR(B2722="MAL ALIMI", B2722="ÜRETİM GİRİŞ"), MIN(I2722, MAX(0, I2722 + SUM(SUMIFS($I$1:I2721, $C$1:C2721, C2722, $B$1:B2721, {"MAL ALIMI","ÜRETİM GİRİŞ"})) - VLOOKUP(C2722, 'STOK RAPORU'!$C$2:$I$1000, 4, 0))), 0)</f>
        <v>1</v>
      </c>
      <c r="U2722" s="22">
        <f t="shared" si="168"/>
        <v>315</v>
      </c>
      <c r="V2722">
        <f t="shared" si="169"/>
        <v>315</v>
      </c>
      <c r="W2722" s="22">
        <f t="shared" si="170"/>
        <v>0</v>
      </c>
    </row>
    <row r="2723" spans="1:23" hidden="1" x14ac:dyDescent="0.25">
      <c r="A2723" s="3">
        <v>46023</v>
      </c>
      <c r="B2723" s="4" t="s">
        <v>298</v>
      </c>
      <c r="C2723" s="4" t="s">
        <v>1181</v>
      </c>
      <c r="D2723" s="4"/>
      <c r="E2723" s="4" t="s">
        <v>856</v>
      </c>
      <c r="F2723" s="4" t="s">
        <v>1664</v>
      </c>
      <c r="G2723" s="4" t="s">
        <v>1665</v>
      </c>
      <c r="H2723" s="4" t="s">
        <v>1329</v>
      </c>
      <c r="I2723" s="4">
        <v>2</v>
      </c>
      <c r="J2723" s="21">
        <v>328</v>
      </c>
      <c r="K2723" s="21">
        <v>0</v>
      </c>
      <c r="L2723" s="5">
        <v>656</v>
      </c>
      <c r="M2723" s="4"/>
      <c r="N2723" s="4"/>
      <c r="O2723" s="5"/>
      <c r="P2723" s="5"/>
      <c r="Q2723" s="21">
        <v>0</v>
      </c>
      <c r="R2723" s="21">
        <v>0</v>
      </c>
      <c r="S2723" s="5">
        <f t="shared" si="171"/>
        <v>18521.201120151993</v>
      </c>
      <c r="T2723" cm="1">
        <f t="array" ref="T2723">IF(OR(B2723="MAL ALIMI", B2723="ÜRETİM GİRİŞ"), MIN(I2723, MAX(0, I2723 + SUM(SUMIFS($I$1:I2722, $C$1:C2722, C2723, $B$1:B2722, {"MAL ALIMI","ÜRETİM GİRİŞ"})) - VLOOKUP(C2723, 'STOK RAPORU'!$C$2:$I$1000, 4, 0))), 0)</f>
        <v>0</v>
      </c>
      <c r="U2723" s="22">
        <f t="shared" si="168"/>
        <v>0</v>
      </c>
      <c r="V2723">
        <f t="shared" si="169"/>
        <v>656</v>
      </c>
      <c r="W2723" s="22">
        <f t="shared" si="170"/>
        <v>656</v>
      </c>
    </row>
    <row r="2724" spans="1:23" hidden="1" x14ac:dyDescent="0.25">
      <c r="A2724" s="3">
        <v>46023</v>
      </c>
      <c r="B2724" s="4" t="s">
        <v>334</v>
      </c>
      <c r="C2724" s="4" t="s">
        <v>131</v>
      </c>
      <c r="D2724" s="4"/>
      <c r="E2724" s="4"/>
      <c r="F2724" s="4" t="s">
        <v>1531</v>
      </c>
      <c r="G2724" s="4" t="s">
        <v>336</v>
      </c>
      <c r="H2724" s="4" t="s">
        <v>289</v>
      </c>
      <c r="I2724" s="4">
        <v>4.2000000000000003E-2</v>
      </c>
      <c r="J2724" s="21">
        <v>400</v>
      </c>
      <c r="K2724" s="21">
        <v>0</v>
      </c>
      <c r="L2724" s="5">
        <v>0</v>
      </c>
      <c r="M2724" s="4"/>
      <c r="N2724" s="4"/>
      <c r="O2724" s="5"/>
      <c r="P2724" s="5"/>
      <c r="Q2724" s="21">
        <v>16.8</v>
      </c>
      <c r="R2724" s="21">
        <v>0</v>
      </c>
      <c r="S2724" s="5">
        <f t="shared" si="171"/>
        <v>18538.001120151992</v>
      </c>
      <c r="T2724" cm="1">
        <f t="array" ref="T2724">IF(OR(B2724="MAL ALIMI", B2724="ÜRETİM GİRİŞ"), MIN(I2724, MAX(0, I2724 + SUM(SUMIFS($I$1:I2723, $C$1:C2723, C2724, $B$1:B2723, {"MAL ALIMI","ÜRETİM GİRİŞ"})) - VLOOKUP(C2724, 'STOK RAPORU'!$C$2:$I$1000, 4, 0))), 0)</f>
        <v>0</v>
      </c>
      <c r="U2724" s="22">
        <f t="shared" si="168"/>
        <v>0</v>
      </c>
      <c r="V2724">
        <f t="shared" si="169"/>
        <v>0</v>
      </c>
      <c r="W2724" s="22">
        <f t="shared" si="170"/>
        <v>0</v>
      </c>
    </row>
    <row r="2725" spans="1:23" hidden="1" x14ac:dyDescent="0.25">
      <c r="A2725" s="3">
        <v>46023</v>
      </c>
      <c r="B2725" s="4" t="s">
        <v>334</v>
      </c>
      <c r="C2725" s="4" t="s">
        <v>92</v>
      </c>
      <c r="D2725" s="4"/>
      <c r="E2725" s="4"/>
      <c r="F2725" s="4" t="s">
        <v>1531</v>
      </c>
      <c r="G2725" s="4" t="s">
        <v>336</v>
      </c>
      <c r="H2725" s="4" t="s">
        <v>289</v>
      </c>
      <c r="I2725" s="4">
        <v>0.122</v>
      </c>
      <c r="J2725" s="21">
        <v>500</v>
      </c>
      <c r="K2725" s="21">
        <v>0</v>
      </c>
      <c r="L2725" s="5">
        <v>0</v>
      </c>
      <c r="M2725" s="4"/>
      <c r="N2725" s="4"/>
      <c r="O2725" s="5"/>
      <c r="P2725" s="5"/>
      <c r="Q2725" s="21">
        <v>61</v>
      </c>
      <c r="R2725" s="21">
        <v>0</v>
      </c>
      <c r="S2725" s="5">
        <f t="shared" si="171"/>
        <v>18599.001120151992</v>
      </c>
      <c r="T2725" cm="1">
        <f t="array" ref="T2725">IF(OR(B2725="MAL ALIMI", B2725="ÜRETİM GİRİŞ"), MIN(I2725, MAX(0, I2725 + SUM(SUMIFS($I$1:I2724, $C$1:C2724, C2725, $B$1:B2724, {"MAL ALIMI","ÜRETİM GİRİŞ"})) - VLOOKUP(C2725, 'STOK RAPORU'!$C$2:$I$1000, 4, 0))), 0)</f>
        <v>0</v>
      </c>
      <c r="U2725" s="22">
        <f t="shared" si="168"/>
        <v>0</v>
      </c>
      <c r="V2725">
        <f t="shared" si="169"/>
        <v>0</v>
      </c>
      <c r="W2725" s="22">
        <f t="shared" si="170"/>
        <v>0</v>
      </c>
    </row>
    <row r="2726" spans="1:23" hidden="1" x14ac:dyDescent="0.25">
      <c r="A2726" s="3">
        <v>46023</v>
      </c>
      <c r="B2726" s="4" t="s">
        <v>334</v>
      </c>
      <c r="C2726" s="4" t="s">
        <v>151</v>
      </c>
      <c r="D2726" s="4"/>
      <c r="E2726" s="4"/>
      <c r="F2726" s="4" t="s">
        <v>1531</v>
      </c>
      <c r="G2726" s="4" t="s">
        <v>336</v>
      </c>
      <c r="H2726" s="4" t="s">
        <v>289</v>
      </c>
      <c r="I2726" s="4">
        <v>2.8000000000000001E-2</v>
      </c>
      <c r="J2726" s="21">
        <v>400</v>
      </c>
      <c r="K2726" s="21">
        <v>0</v>
      </c>
      <c r="L2726" s="5">
        <v>0</v>
      </c>
      <c r="M2726" s="4"/>
      <c r="N2726" s="4"/>
      <c r="O2726" s="5"/>
      <c r="P2726" s="5"/>
      <c r="Q2726" s="21">
        <v>11.200000000000001</v>
      </c>
      <c r="R2726" s="21">
        <v>0</v>
      </c>
      <c r="S2726" s="5">
        <f t="shared" si="171"/>
        <v>18610.201120151993</v>
      </c>
      <c r="T2726" cm="1">
        <f t="array" ref="T2726">IF(OR(B2726="MAL ALIMI", B2726="ÜRETİM GİRİŞ"), MIN(I2726, MAX(0, I2726 + SUM(SUMIFS($I$1:I2725, $C$1:C2725, C2726, $B$1:B2725, {"MAL ALIMI","ÜRETİM GİRİŞ"})) - VLOOKUP(C2726, 'STOK RAPORU'!$C$2:$I$1000, 4, 0))), 0)</f>
        <v>0</v>
      </c>
      <c r="U2726" s="22">
        <f t="shared" si="168"/>
        <v>0</v>
      </c>
      <c r="V2726">
        <f t="shared" si="169"/>
        <v>0</v>
      </c>
      <c r="W2726" s="22">
        <f t="shared" si="170"/>
        <v>0</v>
      </c>
    </row>
    <row r="2727" spans="1:23" hidden="1" x14ac:dyDescent="0.25">
      <c r="A2727" s="3">
        <v>46023</v>
      </c>
      <c r="B2727" s="4" t="s">
        <v>334</v>
      </c>
      <c r="C2727" s="4" t="s">
        <v>165</v>
      </c>
      <c r="D2727" s="4"/>
      <c r="E2727" s="4"/>
      <c r="F2727" s="4" t="s">
        <v>1531</v>
      </c>
      <c r="G2727" s="4" t="s">
        <v>336</v>
      </c>
      <c r="H2727" s="4" t="s">
        <v>289</v>
      </c>
      <c r="I2727" s="4">
        <v>0.1</v>
      </c>
      <c r="J2727" s="21">
        <v>250</v>
      </c>
      <c r="K2727" s="21">
        <v>0</v>
      </c>
      <c r="L2727" s="5">
        <v>0</v>
      </c>
      <c r="M2727" s="4"/>
      <c r="N2727" s="4"/>
      <c r="O2727" s="5"/>
      <c r="P2727" s="5"/>
      <c r="Q2727" s="21">
        <v>25</v>
      </c>
      <c r="R2727" s="21">
        <v>0</v>
      </c>
      <c r="S2727" s="5">
        <f t="shared" si="171"/>
        <v>18635.201120151993</v>
      </c>
      <c r="T2727" cm="1">
        <f t="array" ref="T2727">IF(OR(B2727="MAL ALIMI", B2727="ÜRETİM GİRİŞ"), MIN(I2727, MAX(0, I2727 + SUM(SUMIFS($I$1:I2726, $C$1:C2726, C2727, $B$1:B2726, {"MAL ALIMI","ÜRETİM GİRİŞ"})) - VLOOKUP(C2727, 'STOK RAPORU'!$C$2:$I$1000, 4, 0))), 0)</f>
        <v>0</v>
      </c>
      <c r="U2727" s="22">
        <f t="shared" si="168"/>
        <v>0</v>
      </c>
      <c r="V2727">
        <f t="shared" si="169"/>
        <v>0</v>
      </c>
      <c r="W2727" s="22">
        <f t="shared" si="170"/>
        <v>0</v>
      </c>
    </row>
    <row r="2728" spans="1:23" hidden="1" x14ac:dyDescent="0.25">
      <c r="A2728" s="3">
        <v>46023</v>
      </c>
      <c r="B2728" s="4" t="s">
        <v>334</v>
      </c>
      <c r="C2728" s="4" t="s">
        <v>1428</v>
      </c>
      <c r="D2728" s="4"/>
      <c r="E2728" s="4" t="s">
        <v>921</v>
      </c>
      <c r="F2728" s="4" t="s">
        <v>1532</v>
      </c>
      <c r="G2728" s="4" t="s">
        <v>336</v>
      </c>
      <c r="H2728" s="4" t="s">
        <v>380</v>
      </c>
      <c r="I2728" s="4">
        <v>0.1</v>
      </c>
      <c r="J2728" s="21">
        <v>800</v>
      </c>
      <c r="K2728" s="21">
        <v>80</v>
      </c>
      <c r="L2728" s="5">
        <v>0</v>
      </c>
      <c r="M2728" s="4"/>
      <c r="N2728" s="4"/>
      <c r="O2728" s="5"/>
      <c r="P2728" s="5"/>
      <c r="Q2728" s="21">
        <v>0</v>
      </c>
      <c r="R2728" s="21">
        <v>0</v>
      </c>
      <c r="S2728" s="5">
        <f t="shared" si="171"/>
        <v>18635.201120151993</v>
      </c>
      <c r="T2728" cm="1">
        <f t="array" ref="T2728">IF(OR(B2728="MAL ALIMI", B2728="ÜRETİM GİRİŞ"), MIN(I2728, MAX(0, I2728 + SUM(SUMIFS($I$1:I2727, $C$1:C2727, C2728, $B$1:B2727, {"MAL ALIMI","ÜRETİM GİRİŞ"})) - VLOOKUP(C2728, 'STOK RAPORU'!$C$2:$I$1000, 4, 0))), 0)</f>
        <v>0</v>
      </c>
      <c r="U2728" s="22">
        <f t="shared" si="168"/>
        <v>0</v>
      </c>
      <c r="V2728">
        <f t="shared" si="169"/>
        <v>0</v>
      </c>
      <c r="W2728" s="22">
        <f t="shared" si="170"/>
        <v>0</v>
      </c>
    </row>
    <row r="2729" spans="1:23" hidden="1" x14ac:dyDescent="0.25">
      <c r="A2729" s="3">
        <v>46023</v>
      </c>
      <c r="B2729" s="4" t="s">
        <v>334</v>
      </c>
      <c r="C2729" s="4" t="s">
        <v>166</v>
      </c>
      <c r="D2729" s="4"/>
      <c r="E2729" s="4" t="s">
        <v>921</v>
      </c>
      <c r="F2729" s="4" t="s">
        <v>1532</v>
      </c>
      <c r="G2729" s="4" t="s">
        <v>336</v>
      </c>
      <c r="H2729" s="4" t="s">
        <v>380</v>
      </c>
      <c r="I2729" s="4">
        <v>3.896103896103896E-2</v>
      </c>
      <c r="J2729" s="21">
        <v>770</v>
      </c>
      <c r="K2729" s="21">
        <v>30</v>
      </c>
      <c r="L2729" s="5">
        <v>0</v>
      </c>
      <c r="M2729" s="4"/>
      <c r="N2729" s="4"/>
      <c r="O2729" s="5"/>
      <c r="P2729" s="5"/>
      <c r="Q2729" s="21">
        <v>0</v>
      </c>
      <c r="R2729" s="21">
        <v>0</v>
      </c>
      <c r="S2729" s="5">
        <f t="shared" si="171"/>
        <v>18635.201120151993</v>
      </c>
      <c r="T2729" cm="1">
        <f t="array" ref="T2729">IF(OR(B2729="MAL ALIMI", B2729="ÜRETİM GİRİŞ"), MIN(I2729, MAX(0, I2729 + SUM(SUMIFS($I$1:I2728, $C$1:C2728, C2729, $B$1:B2728, {"MAL ALIMI","ÜRETİM GİRİŞ"})) - VLOOKUP(C2729, 'STOK RAPORU'!$C$2:$I$1000, 4, 0))), 0)</f>
        <v>0</v>
      </c>
      <c r="U2729" s="22">
        <f t="shared" si="168"/>
        <v>0</v>
      </c>
      <c r="V2729">
        <f t="shared" si="169"/>
        <v>0</v>
      </c>
      <c r="W2729" s="22">
        <f t="shared" si="170"/>
        <v>0</v>
      </c>
    </row>
    <row r="2730" spans="1:23" hidden="1" x14ac:dyDescent="0.25">
      <c r="A2730" s="3">
        <v>46023</v>
      </c>
      <c r="B2730" s="4" t="s">
        <v>334</v>
      </c>
      <c r="C2730" s="4" t="s">
        <v>165</v>
      </c>
      <c r="D2730" s="4"/>
      <c r="E2730" s="4" t="s">
        <v>921</v>
      </c>
      <c r="F2730" s="4" t="s">
        <v>1532</v>
      </c>
      <c r="G2730" s="4" t="s">
        <v>336</v>
      </c>
      <c r="H2730" s="4" t="s">
        <v>380</v>
      </c>
      <c r="I2730" s="4">
        <v>0.1</v>
      </c>
      <c r="J2730" s="49">
        <v>250</v>
      </c>
      <c r="K2730" s="21">
        <v>25</v>
      </c>
      <c r="L2730" s="5">
        <v>0</v>
      </c>
      <c r="M2730" s="4"/>
      <c r="N2730" s="4"/>
      <c r="O2730" s="5"/>
      <c r="P2730" s="5"/>
      <c r="Q2730" s="21">
        <v>0</v>
      </c>
      <c r="R2730" s="21">
        <v>0</v>
      </c>
      <c r="S2730" s="5">
        <f t="shared" si="171"/>
        <v>18635.201120151993</v>
      </c>
      <c r="T2730" cm="1">
        <f t="array" ref="T2730">IF(OR(B2730="MAL ALIMI", B2730="ÜRETİM GİRİŞ"), MIN(I2730, MAX(0, I2730 + SUM(SUMIFS($I$1:I2729, $C$1:C2729, C2730, $B$1:B2729, {"MAL ALIMI","ÜRETİM GİRİŞ"})) - VLOOKUP(C2730, 'STOK RAPORU'!$C$2:$I$1000, 4, 0))), 0)</f>
        <v>0</v>
      </c>
      <c r="U2730" s="22">
        <f t="shared" si="168"/>
        <v>0</v>
      </c>
      <c r="V2730">
        <f t="shared" si="169"/>
        <v>0</v>
      </c>
      <c r="W2730" s="22">
        <f t="shared" si="170"/>
        <v>0</v>
      </c>
    </row>
    <row r="2731" spans="1:23" hidden="1" x14ac:dyDescent="0.25">
      <c r="A2731" s="3">
        <v>46023</v>
      </c>
      <c r="B2731" s="4" t="s">
        <v>334</v>
      </c>
      <c r="C2731" s="4" t="s">
        <v>126</v>
      </c>
      <c r="D2731" s="4"/>
      <c r="E2731" s="4"/>
      <c r="F2731" s="4" t="s">
        <v>1533</v>
      </c>
      <c r="G2731" s="4" t="s">
        <v>336</v>
      </c>
      <c r="H2731" s="4" t="s">
        <v>289</v>
      </c>
      <c r="I2731" s="4">
        <v>0.20156250000000001</v>
      </c>
      <c r="J2731" s="21">
        <v>640</v>
      </c>
      <c r="K2731" s="21">
        <v>0</v>
      </c>
      <c r="L2731" s="5">
        <v>0</v>
      </c>
      <c r="M2731" s="4"/>
      <c r="N2731" s="4"/>
      <c r="O2731" s="5"/>
      <c r="P2731" s="5"/>
      <c r="Q2731" s="21">
        <v>129</v>
      </c>
      <c r="R2731" s="21">
        <v>0</v>
      </c>
      <c r="S2731" s="5">
        <f t="shared" si="171"/>
        <v>18764.201120151993</v>
      </c>
      <c r="T2731" cm="1">
        <f t="array" ref="T2731">IF(OR(B2731="MAL ALIMI", B2731="ÜRETİM GİRİŞ"), MIN(I2731, MAX(0, I2731 + SUM(SUMIFS($I$1:I2730, $C$1:C2730, C2731, $B$1:B2730, {"MAL ALIMI","ÜRETİM GİRİŞ"})) - VLOOKUP(C2731, 'STOK RAPORU'!$C$2:$I$1000, 4, 0))), 0)</f>
        <v>0</v>
      </c>
      <c r="U2731" s="22">
        <f t="shared" si="168"/>
        <v>0</v>
      </c>
      <c r="V2731">
        <f t="shared" si="169"/>
        <v>0</v>
      </c>
      <c r="W2731" s="22">
        <f t="shared" si="170"/>
        <v>0</v>
      </c>
    </row>
    <row r="2732" spans="1:23" hidden="1" x14ac:dyDescent="0.25">
      <c r="A2732" s="3">
        <v>46023</v>
      </c>
      <c r="B2732" s="4" t="s">
        <v>334</v>
      </c>
      <c r="C2732" s="4" t="s">
        <v>129</v>
      </c>
      <c r="D2732" s="4"/>
      <c r="E2732" s="4"/>
      <c r="F2732" s="4" t="s">
        <v>1533</v>
      </c>
      <c r="G2732" s="4" t="s">
        <v>336</v>
      </c>
      <c r="H2732" s="4" t="s">
        <v>289</v>
      </c>
      <c r="I2732" s="4">
        <v>0.2</v>
      </c>
      <c r="J2732" s="21">
        <v>390</v>
      </c>
      <c r="K2732" s="21">
        <v>0</v>
      </c>
      <c r="L2732" s="5">
        <v>0</v>
      </c>
      <c r="M2732" s="4"/>
      <c r="N2732" s="4"/>
      <c r="O2732" s="5"/>
      <c r="P2732" s="5"/>
      <c r="Q2732" s="21">
        <v>78</v>
      </c>
      <c r="R2732" s="21">
        <v>0</v>
      </c>
      <c r="S2732" s="5">
        <f t="shared" si="171"/>
        <v>18842.201120151993</v>
      </c>
      <c r="T2732" cm="1">
        <f t="array" ref="T2732">IF(OR(B2732="MAL ALIMI", B2732="ÜRETİM GİRİŞ"), MIN(I2732, MAX(0, I2732 + SUM(SUMIFS($I$1:I2731, $C$1:C2731, C2732, $B$1:B2731, {"MAL ALIMI","ÜRETİM GİRİŞ"})) - VLOOKUP(C2732, 'STOK RAPORU'!$C$2:$I$1000, 4, 0))), 0)</f>
        <v>0</v>
      </c>
      <c r="U2732" s="22">
        <f t="shared" si="168"/>
        <v>0</v>
      </c>
      <c r="V2732">
        <f t="shared" si="169"/>
        <v>0</v>
      </c>
      <c r="W2732" s="22">
        <f t="shared" si="170"/>
        <v>0</v>
      </c>
    </row>
    <row r="2733" spans="1:23" hidden="1" x14ac:dyDescent="0.25">
      <c r="A2733" s="3">
        <v>46023</v>
      </c>
      <c r="B2733" s="4" t="s">
        <v>334</v>
      </c>
      <c r="C2733" s="4" t="s">
        <v>463</v>
      </c>
      <c r="D2733" s="4"/>
      <c r="E2733" s="4"/>
      <c r="F2733" s="4" t="s">
        <v>1533</v>
      </c>
      <c r="G2733" s="4" t="s">
        <v>336</v>
      </c>
      <c r="H2733" s="4" t="s">
        <v>289</v>
      </c>
      <c r="I2733" s="4">
        <v>0.21351351351351353</v>
      </c>
      <c r="J2733" s="21">
        <v>370</v>
      </c>
      <c r="K2733" s="21">
        <v>0</v>
      </c>
      <c r="L2733" s="5">
        <v>0</v>
      </c>
      <c r="M2733" s="4"/>
      <c r="N2733" s="4"/>
      <c r="O2733" s="5"/>
      <c r="P2733" s="5"/>
      <c r="Q2733" s="21">
        <v>79</v>
      </c>
      <c r="R2733" s="21">
        <v>0</v>
      </c>
      <c r="S2733" s="5">
        <f t="shared" si="171"/>
        <v>18921.201120151993</v>
      </c>
      <c r="T2733" cm="1">
        <f t="array" ref="T2733">IF(OR(B2733="MAL ALIMI", B2733="ÜRETİM GİRİŞ"), MIN(I2733, MAX(0, I2733 + SUM(SUMIFS($I$1:I2732, $C$1:C2732, C2733, $B$1:B2732, {"MAL ALIMI","ÜRETİM GİRİŞ"})) - VLOOKUP(C2733, 'STOK RAPORU'!$C$2:$I$1000, 4, 0))), 0)</f>
        <v>0</v>
      </c>
      <c r="U2733" s="22">
        <f t="shared" si="168"/>
        <v>0</v>
      </c>
      <c r="V2733">
        <f t="shared" si="169"/>
        <v>0</v>
      </c>
      <c r="W2733" s="22">
        <f t="shared" si="170"/>
        <v>0</v>
      </c>
    </row>
    <row r="2734" spans="1:23" hidden="1" x14ac:dyDescent="0.25">
      <c r="A2734" s="3">
        <v>46023</v>
      </c>
      <c r="B2734" s="4" t="s">
        <v>334</v>
      </c>
      <c r="C2734" s="4" t="s">
        <v>163</v>
      </c>
      <c r="D2734" s="4"/>
      <c r="E2734" s="4"/>
      <c r="F2734" s="4" t="s">
        <v>1533</v>
      </c>
      <c r="G2734" s="4" t="s">
        <v>336</v>
      </c>
      <c r="H2734" s="4" t="s">
        <v>289</v>
      </c>
      <c r="I2734" s="4">
        <v>0.25</v>
      </c>
      <c r="J2734" s="21">
        <v>420</v>
      </c>
      <c r="K2734" s="21">
        <v>0</v>
      </c>
      <c r="L2734" s="5">
        <v>0</v>
      </c>
      <c r="M2734" s="4"/>
      <c r="N2734" s="4"/>
      <c r="O2734" s="5"/>
      <c r="P2734" s="5"/>
      <c r="Q2734" s="21">
        <v>105</v>
      </c>
      <c r="R2734" s="21">
        <v>0</v>
      </c>
      <c r="S2734" s="5">
        <f t="shared" si="171"/>
        <v>19026.201120151993</v>
      </c>
      <c r="T2734" cm="1">
        <f t="array" ref="T2734">IF(OR(B2734="MAL ALIMI", B2734="ÜRETİM GİRİŞ"), MIN(I2734, MAX(0, I2734 + SUM(SUMIFS($I$1:I2733, $C$1:C2733, C2734, $B$1:B2733, {"MAL ALIMI","ÜRETİM GİRİŞ"})) - VLOOKUP(C2734, 'STOK RAPORU'!$C$2:$I$1000, 4, 0))), 0)</f>
        <v>0</v>
      </c>
      <c r="U2734" s="22">
        <f t="shared" si="168"/>
        <v>0</v>
      </c>
      <c r="V2734">
        <f t="shared" si="169"/>
        <v>0</v>
      </c>
      <c r="W2734" s="22">
        <f t="shared" si="170"/>
        <v>0</v>
      </c>
    </row>
    <row r="2735" spans="1:23" hidden="1" x14ac:dyDescent="0.25">
      <c r="A2735" s="3">
        <v>46023</v>
      </c>
      <c r="B2735" s="4" t="s">
        <v>334</v>
      </c>
      <c r="C2735" s="4" t="s">
        <v>131</v>
      </c>
      <c r="D2735" s="4"/>
      <c r="E2735" s="4"/>
      <c r="F2735" s="4" t="s">
        <v>1533</v>
      </c>
      <c r="G2735" s="4" t="s">
        <v>336</v>
      </c>
      <c r="H2735" s="4" t="s">
        <v>289</v>
      </c>
      <c r="I2735" s="4">
        <v>0.1075</v>
      </c>
      <c r="J2735" s="21">
        <v>400</v>
      </c>
      <c r="K2735" s="21">
        <v>0</v>
      </c>
      <c r="L2735" s="5">
        <v>0</v>
      </c>
      <c r="M2735" s="4"/>
      <c r="N2735" s="4"/>
      <c r="O2735" s="5"/>
      <c r="P2735" s="5"/>
      <c r="Q2735" s="21">
        <v>43</v>
      </c>
      <c r="R2735" s="21">
        <v>0</v>
      </c>
      <c r="S2735" s="5">
        <f t="shared" si="171"/>
        <v>19069.201120151993</v>
      </c>
      <c r="T2735" cm="1">
        <f t="array" ref="T2735">IF(OR(B2735="MAL ALIMI", B2735="ÜRETİM GİRİŞ"), MIN(I2735, MAX(0, I2735 + SUM(SUMIFS($I$1:I2734, $C$1:C2734, C2735, $B$1:B2734, {"MAL ALIMI","ÜRETİM GİRİŞ"})) - VLOOKUP(C2735, 'STOK RAPORU'!$C$2:$I$1000, 4, 0))), 0)</f>
        <v>0</v>
      </c>
      <c r="U2735" s="22">
        <f t="shared" si="168"/>
        <v>0</v>
      </c>
      <c r="V2735">
        <f t="shared" si="169"/>
        <v>0</v>
      </c>
      <c r="W2735" s="22">
        <f t="shared" si="170"/>
        <v>0</v>
      </c>
    </row>
    <row r="2736" spans="1:23" hidden="1" x14ac:dyDescent="0.25">
      <c r="A2736" s="3">
        <v>46023</v>
      </c>
      <c r="B2736" s="4" t="s">
        <v>334</v>
      </c>
      <c r="C2736" s="4" t="s">
        <v>1399</v>
      </c>
      <c r="D2736" s="4"/>
      <c r="E2736" s="4" t="s">
        <v>921</v>
      </c>
      <c r="F2736" s="4" t="s">
        <v>1534</v>
      </c>
      <c r="G2736" s="4" t="s">
        <v>336</v>
      </c>
      <c r="H2736" s="4" t="s">
        <v>380</v>
      </c>
      <c r="I2736" s="4">
        <v>1</v>
      </c>
      <c r="J2736" s="21">
        <v>170</v>
      </c>
      <c r="K2736" s="21">
        <v>170</v>
      </c>
      <c r="L2736" s="5">
        <v>0</v>
      </c>
      <c r="M2736" s="4"/>
      <c r="N2736" s="4"/>
      <c r="O2736" s="5"/>
      <c r="P2736" s="5"/>
      <c r="Q2736" s="21">
        <v>0</v>
      </c>
      <c r="R2736" s="21">
        <v>0</v>
      </c>
      <c r="S2736" s="5">
        <f t="shared" si="171"/>
        <v>19069.201120151993</v>
      </c>
      <c r="T2736" cm="1">
        <f t="array" ref="T2736">IF(OR(B2736="MAL ALIMI", B2736="ÜRETİM GİRİŞ"), MIN(I2736, MAX(0, I2736 + SUM(SUMIFS($I$1:I2735, $C$1:C2735, C2736, $B$1:B2735, {"MAL ALIMI","ÜRETİM GİRİŞ"})) - VLOOKUP(C2736, 'STOK RAPORU'!$C$2:$I$1000, 4, 0))), 0)</f>
        <v>0</v>
      </c>
      <c r="U2736" s="22">
        <f t="shared" si="168"/>
        <v>0</v>
      </c>
      <c r="V2736">
        <f t="shared" si="169"/>
        <v>0</v>
      </c>
      <c r="W2736" s="22">
        <f t="shared" si="170"/>
        <v>0</v>
      </c>
    </row>
    <row r="2737" spans="1:23" hidden="1" x14ac:dyDescent="0.25">
      <c r="A2737" s="3">
        <v>46023</v>
      </c>
      <c r="B2737" s="4" t="s">
        <v>334</v>
      </c>
      <c r="C2737" s="4" t="s">
        <v>265</v>
      </c>
      <c r="D2737" s="4"/>
      <c r="E2737" s="4"/>
      <c r="F2737" s="4" t="s">
        <v>1535</v>
      </c>
      <c r="G2737" s="4" t="s">
        <v>336</v>
      </c>
      <c r="H2737" s="4" t="s">
        <v>289</v>
      </c>
      <c r="I2737" s="4">
        <v>1</v>
      </c>
      <c r="J2737" s="21">
        <v>130</v>
      </c>
      <c r="K2737" s="21">
        <v>0</v>
      </c>
      <c r="L2737" s="5">
        <v>0</v>
      </c>
      <c r="M2737" s="4"/>
      <c r="N2737" s="4"/>
      <c r="O2737" s="5"/>
      <c r="P2737" s="5"/>
      <c r="Q2737" s="21">
        <v>130</v>
      </c>
      <c r="R2737" s="21">
        <v>0</v>
      </c>
      <c r="S2737" s="5">
        <f t="shared" si="171"/>
        <v>19199.201120151993</v>
      </c>
      <c r="T2737" cm="1">
        <f t="array" ref="T2737">IF(OR(B2737="MAL ALIMI", B2737="ÜRETİM GİRİŞ"), MIN(I2737, MAX(0, I2737 + SUM(SUMIFS($I$1:I2736, $C$1:C2736, C2737, $B$1:B2736, {"MAL ALIMI","ÜRETİM GİRİŞ"})) - VLOOKUP(C2737, 'STOK RAPORU'!$C$2:$I$1000, 4, 0))), 0)</f>
        <v>0</v>
      </c>
      <c r="U2737" s="22">
        <f t="shared" si="168"/>
        <v>0</v>
      </c>
      <c r="V2737">
        <f t="shared" si="169"/>
        <v>0</v>
      </c>
      <c r="W2737" s="22">
        <f t="shared" si="170"/>
        <v>0</v>
      </c>
    </row>
    <row r="2738" spans="1:23" hidden="1" x14ac:dyDescent="0.25">
      <c r="A2738" s="3">
        <v>46023</v>
      </c>
      <c r="B2738" s="4" t="s">
        <v>334</v>
      </c>
      <c r="C2738" s="4" t="s">
        <v>260</v>
      </c>
      <c r="D2738" s="4"/>
      <c r="E2738" s="4" t="s">
        <v>921</v>
      </c>
      <c r="F2738" s="4" t="s">
        <v>1536</v>
      </c>
      <c r="G2738" s="4" t="s">
        <v>336</v>
      </c>
      <c r="H2738" s="4" t="s">
        <v>380</v>
      </c>
      <c r="I2738" s="4">
        <v>1</v>
      </c>
      <c r="J2738" s="21">
        <v>140</v>
      </c>
      <c r="K2738" s="21">
        <v>140</v>
      </c>
      <c r="L2738" s="5">
        <v>0</v>
      </c>
      <c r="M2738" s="4"/>
      <c r="N2738" s="4"/>
      <c r="O2738" s="5"/>
      <c r="P2738" s="5"/>
      <c r="Q2738" s="21">
        <v>0</v>
      </c>
      <c r="R2738" s="21">
        <v>0</v>
      </c>
      <c r="S2738" s="5">
        <f t="shared" si="171"/>
        <v>19199.201120151993</v>
      </c>
      <c r="T2738" cm="1">
        <f t="array" ref="T2738">IF(OR(B2738="MAL ALIMI", B2738="ÜRETİM GİRİŞ"), MIN(I2738, MAX(0, I2738 + SUM(SUMIFS($I$1:I2737, $C$1:C2737, C2738, $B$1:B2737, {"MAL ALIMI","ÜRETİM GİRİŞ"})) - VLOOKUP(C2738, 'STOK RAPORU'!$C$2:$I$1000, 4, 0))), 0)</f>
        <v>0</v>
      </c>
      <c r="U2738" s="22">
        <f t="shared" si="168"/>
        <v>0</v>
      </c>
      <c r="V2738">
        <f t="shared" si="169"/>
        <v>0</v>
      </c>
      <c r="W2738" s="22">
        <f t="shared" si="170"/>
        <v>0</v>
      </c>
    </row>
    <row r="2739" spans="1:23" hidden="1" x14ac:dyDescent="0.25">
      <c r="A2739" s="3">
        <v>46023</v>
      </c>
      <c r="B2739" s="4" t="s">
        <v>334</v>
      </c>
      <c r="C2739" s="4" t="s">
        <v>764</v>
      </c>
      <c r="D2739" s="4"/>
      <c r="E2739" s="4"/>
      <c r="F2739" s="4" t="s">
        <v>1537</v>
      </c>
      <c r="G2739" s="4" t="s">
        <v>336</v>
      </c>
      <c r="H2739" s="4" t="s">
        <v>289</v>
      </c>
      <c r="I2739" s="4">
        <v>1</v>
      </c>
      <c r="J2739" s="21">
        <v>125</v>
      </c>
      <c r="K2739" s="21">
        <v>0</v>
      </c>
      <c r="L2739" s="5">
        <v>0</v>
      </c>
      <c r="M2739" s="4"/>
      <c r="N2739" s="4"/>
      <c r="O2739" s="5"/>
      <c r="P2739" s="5"/>
      <c r="Q2739" s="21">
        <v>125</v>
      </c>
      <c r="R2739" s="21">
        <v>0</v>
      </c>
      <c r="S2739" s="5">
        <f t="shared" si="171"/>
        <v>19324.201120151993</v>
      </c>
      <c r="T2739" cm="1">
        <f t="array" ref="T2739">IF(OR(B2739="MAL ALIMI", B2739="ÜRETİM GİRİŞ"), MIN(I2739, MAX(0, I2739 + SUM(SUMIFS($I$1:I2738, $C$1:C2738, C2739, $B$1:B2738, {"MAL ALIMI","ÜRETİM GİRİŞ"})) - VLOOKUP(C2739, 'STOK RAPORU'!$C$2:$I$1000, 4, 0))), 0)</f>
        <v>0</v>
      </c>
      <c r="U2739" s="22">
        <f t="shared" si="168"/>
        <v>0</v>
      </c>
      <c r="V2739">
        <f t="shared" si="169"/>
        <v>0</v>
      </c>
      <c r="W2739" s="22">
        <f t="shared" si="170"/>
        <v>0</v>
      </c>
    </row>
    <row r="2740" spans="1:23" hidden="1" x14ac:dyDescent="0.25">
      <c r="A2740" s="45">
        <v>46023</v>
      </c>
      <c r="B2740" s="46" t="s">
        <v>334</v>
      </c>
      <c r="C2740" s="46" t="s">
        <v>463</v>
      </c>
      <c r="D2740" s="46"/>
      <c r="E2740" s="46"/>
      <c r="F2740" s="46" t="s">
        <v>1538</v>
      </c>
      <c r="G2740" s="46" t="s">
        <v>439</v>
      </c>
      <c r="H2740" s="46" t="s">
        <v>289</v>
      </c>
      <c r="I2740" s="46">
        <v>0.63600000000000001</v>
      </c>
      <c r="J2740" s="47">
        <v>300</v>
      </c>
      <c r="K2740" s="47">
        <v>0</v>
      </c>
      <c r="L2740" s="48">
        <v>0</v>
      </c>
      <c r="M2740" s="4"/>
      <c r="N2740" s="4"/>
      <c r="O2740" s="5"/>
      <c r="P2740" s="5"/>
      <c r="Q2740" s="47">
        <v>190.8</v>
      </c>
      <c r="R2740" s="21">
        <v>0</v>
      </c>
      <c r="S2740" s="5">
        <f t="shared" si="171"/>
        <v>19515.001120151992</v>
      </c>
      <c r="T2740" cm="1">
        <f t="array" ref="T2740">IF(OR(B2740="MAL ALIMI", B2740="ÜRETİM GİRİŞ"), MIN(I2740, MAX(0, I2740 + SUM(SUMIFS($I$1:I2739, $C$1:C2739, C2740, $B$1:B2739, {"MAL ALIMI","ÜRETİM GİRİŞ"})) - VLOOKUP(C2740, 'STOK RAPORU'!$C$2:$I$1000, 4, 0))), 0)</f>
        <v>0</v>
      </c>
      <c r="U2740" s="22">
        <f t="shared" si="168"/>
        <v>0</v>
      </c>
      <c r="V2740">
        <f t="shared" si="169"/>
        <v>0</v>
      </c>
      <c r="W2740" s="22">
        <f t="shared" si="170"/>
        <v>0</v>
      </c>
    </row>
    <row r="2741" spans="1:23" hidden="1" x14ac:dyDescent="0.25">
      <c r="A2741" s="3">
        <v>46023</v>
      </c>
      <c r="B2741" s="4" t="s">
        <v>334</v>
      </c>
      <c r="C2741" s="4" t="s">
        <v>98</v>
      </c>
      <c r="D2741" s="4"/>
      <c r="E2741" s="4"/>
      <c r="F2741" s="4" t="s">
        <v>1541</v>
      </c>
      <c r="G2741" s="4" t="s">
        <v>336</v>
      </c>
      <c r="H2741" s="4" t="s">
        <v>289</v>
      </c>
      <c r="I2741" s="4">
        <v>0.12</v>
      </c>
      <c r="J2741" s="21">
        <v>400</v>
      </c>
      <c r="K2741" s="21">
        <v>0</v>
      </c>
      <c r="L2741" s="5">
        <v>0</v>
      </c>
      <c r="M2741" s="4"/>
      <c r="N2741" s="4"/>
      <c r="O2741" s="5"/>
      <c r="P2741" s="5"/>
      <c r="Q2741" s="21">
        <v>48</v>
      </c>
      <c r="R2741" s="21">
        <v>0</v>
      </c>
      <c r="S2741" s="5">
        <f t="shared" si="171"/>
        <v>19563.001120151992</v>
      </c>
      <c r="T2741" cm="1">
        <f t="array" ref="T2741">IF(OR(B2741="MAL ALIMI", B2741="ÜRETİM GİRİŞ"), MIN(I2741, MAX(0, I2741 + SUM(SUMIFS($I$1:I2740, $C$1:C2740, C2741, $B$1:B2740, {"MAL ALIMI","ÜRETİM GİRİŞ"})) - VLOOKUP(C2741, 'STOK RAPORU'!$C$2:$I$1000, 4, 0))), 0)</f>
        <v>0</v>
      </c>
      <c r="U2741" s="22">
        <f t="shared" si="168"/>
        <v>0</v>
      </c>
      <c r="V2741">
        <f t="shared" si="169"/>
        <v>0</v>
      </c>
      <c r="W2741" s="22">
        <f t="shared" si="170"/>
        <v>0</v>
      </c>
    </row>
    <row r="2742" spans="1:23" hidden="1" x14ac:dyDescent="0.25">
      <c r="A2742" s="3">
        <v>46023</v>
      </c>
      <c r="B2742" s="4" t="s">
        <v>334</v>
      </c>
      <c r="C2742" s="4" t="s">
        <v>140</v>
      </c>
      <c r="D2742" s="4"/>
      <c r="E2742" s="4"/>
      <c r="F2742" s="4" t="s">
        <v>1541</v>
      </c>
      <c r="G2742" s="4" t="s">
        <v>336</v>
      </c>
      <c r="H2742" s="4" t="s">
        <v>289</v>
      </c>
      <c r="I2742" s="4">
        <v>0.12</v>
      </c>
      <c r="J2742" s="21">
        <v>300</v>
      </c>
      <c r="K2742" s="21">
        <v>0</v>
      </c>
      <c r="L2742" s="5">
        <v>0</v>
      </c>
      <c r="M2742" s="4"/>
      <c r="N2742" s="4"/>
      <c r="O2742" s="5"/>
      <c r="P2742" s="5"/>
      <c r="Q2742" s="21">
        <v>36</v>
      </c>
      <c r="R2742" s="21">
        <v>0</v>
      </c>
      <c r="S2742" s="5">
        <f t="shared" si="171"/>
        <v>19599.001120151992</v>
      </c>
      <c r="T2742" cm="1">
        <f t="array" ref="T2742">IF(OR(B2742="MAL ALIMI", B2742="ÜRETİM GİRİŞ"), MIN(I2742, MAX(0, I2742 + SUM(SUMIFS($I$1:I2741, $C$1:C2741, C2742, $B$1:B2741, {"MAL ALIMI","ÜRETİM GİRİŞ"})) - VLOOKUP(C2742, 'STOK RAPORU'!$C$2:$I$1000, 4, 0))), 0)</f>
        <v>0</v>
      </c>
      <c r="U2742" s="22">
        <f t="shared" si="168"/>
        <v>0</v>
      </c>
      <c r="V2742">
        <f t="shared" si="169"/>
        <v>0</v>
      </c>
      <c r="W2742" s="22">
        <f t="shared" si="170"/>
        <v>0</v>
      </c>
    </row>
    <row r="2743" spans="1:23" hidden="1" x14ac:dyDescent="0.25">
      <c r="A2743" s="3">
        <v>46023</v>
      </c>
      <c r="B2743" s="4" t="s">
        <v>334</v>
      </c>
      <c r="C2743" s="4" t="s">
        <v>131</v>
      </c>
      <c r="D2743" s="4"/>
      <c r="E2743" s="4"/>
      <c r="F2743" s="4" t="s">
        <v>1541</v>
      </c>
      <c r="G2743" s="4" t="s">
        <v>336</v>
      </c>
      <c r="H2743" s="4" t="s">
        <v>289</v>
      </c>
      <c r="I2743" s="4">
        <v>0.06</v>
      </c>
      <c r="J2743" s="21">
        <v>400</v>
      </c>
      <c r="K2743" s="21">
        <v>0</v>
      </c>
      <c r="L2743" s="5">
        <v>0</v>
      </c>
      <c r="M2743" s="4"/>
      <c r="N2743" s="4"/>
      <c r="O2743" s="5"/>
      <c r="P2743" s="5"/>
      <c r="Q2743" s="21">
        <v>24</v>
      </c>
      <c r="R2743" s="21">
        <v>0</v>
      </c>
      <c r="S2743" s="5">
        <f t="shared" si="171"/>
        <v>19623.001120151992</v>
      </c>
      <c r="T2743" cm="1">
        <f t="array" ref="T2743">IF(OR(B2743="MAL ALIMI", B2743="ÜRETİM GİRİŞ"), MIN(I2743, MAX(0, I2743 + SUM(SUMIFS($I$1:I2742, $C$1:C2742, C2743, $B$1:B2742, {"MAL ALIMI","ÜRETİM GİRİŞ"})) - VLOOKUP(C2743, 'STOK RAPORU'!$C$2:$I$1000, 4, 0))), 0)</f>
        <v>0</v>
      </c>
      <c r="U2743" s="22">
        <f t="shared" si="168"/>
        <v>0</v>
      </c>
      <c r="V2743">
        <f t="shared" si="169"/>
        <v>0</v>
      </c>
      <c r="W2743" s="22">
        <f t="shared" si="170"/>
        <v>0</v>
      </c>
    </row>
    <row r="2744" spans="1:23" hidden="1" x14ac:dyDescent="0.25">
      <c r="A2744" s="3">
        <v>46023</v>
      </c>
      <c r="B2744" s="4" t="s">
        <v>334</v>
      </c>
      <c r="C2744" s="4" t="s">
        <v>91</v>
      </c>
      <c r="D2744" s="4"/>
      <c r="E2744" s="4"/>
      <c r="F2744" s="4" t="s">
        <v>1541</v>
      </c>
      <c r="G2744" s="4" t="s">
        <v>336</v>
      </c>
      <c r="H2744" s="4" t="s">
        <v>289</v>
      </c>
      <c r="I2744" s="4">
        <v>0.06</v>
      </c>
      <c r="J2744" s="21">
        <v>760</v>
      </c>
      <c r="K2744" s="21">
        <v>0</v>
      </c>
      <c r="L2744" s="5">
        <v>0</v>
      </c>
      <c r="M2744" s="4"/>
      <c r="N2744" s="4"/>
      <c r="O2744" s="5"/>
      <c r="P2744" s="5"/>
      <c r="Q2744" s="21">
        <v>45.6</v>
      </c>
      <c r="R2744" s="21">
        <v>0</v>
      </c>
      <c r="S2744" s="5">
        <f t="shared" si="171"/>
        <v>19668.60112015199</v>
      </c>
      <c r="T2744" cm="1">
        <f t="array" ref="T2744">IF(OR(B2744="MAL ALIMI", B2744="ÜRETİM GİRİŞ"), MIN(I2744, MAX(0, I2744 + SUM(SUMIFS($I$1:I2743, $C$1:C2743, C2744, $B$1:B2743, {"MAL ALIMI","ÜRETİM GİRİŞ"})) - VLOOKUP(C2744, 'STOK RAPORU'!$C$2:$I$1000, 4, 0))), 0)</f>
        <v>0</v>
      </c>
      <c r="U2744" s="22">
        <f t="shared" si="168"/>
        <v>0</v>
      </c>
      <c r="V2744">
        <f t="shared" si="169"/>
        <v>0</v>
      </c>
      <c r="W2744" s="22">
        <f t="shared" si="170"/>
        <v>0</v>
      </c>
    </row>
    <row r="2745" spans="1:23" hidden="1" x14ac:dyDescent="0.25">
      <c r="A2745" s="3">
        <v>46023</v>
      </c>
      <c r="B2745" s="4" t="s">
        <v>334</v>
      </c>
      <c r="C2745" s="4" t="s">
        <v>587</v>
      </c>
      <c r="D2745" s="4"/>
      <c r="E2745" s="4"/>
      <c r="F2745" s="4" t="s">
        <v>1541</v>
      </c>
      <c r="G2745" s="4" t="s">
        <v>336</v>
      </c>
      <c r="H2745" s="4" t="s">
        <v>289</v>
      </c>
      <c r="I2745" s="4">
        <v>1</v>
      </c>
      <c r="J2745" s="21">
        <v>150</v>
      </c>
      <c r="K2745" s="21">
        <v>0</v>
      </c>
      <c r="L2745" s="5">
        <v>0</v>
      </c>
      <c r="M2745" s="4"/>
      <c r="N2745" s="4"/>
      <c r="O2745" s="5"/>
      <c r="P2745" s="5"/>
      <c r="Q2745" s="21">
        <v>150</v>
      </c>
      <c r="R2745" s="21">
        <v>0</v>
      </c>
      <c r="S2745" s="5">
        <f t="shared" si="171"/>
        <v>19818.60112015199</v>
      </c>
      <c r="T2745" cm="1">
        <f t="array" ref="T2745">IF(OR(B2745="MAL ALIMI", B2745="ÜRETİM GİRİŞ"), MIN(I2745, MAX(0, I2745 + SUM(SUMIFS($I$1:I2744, $C$1:C2744, C2745, $B$1:B2744, {"MAL ALIMI","ÜRETİM GİRİŞ"})) - VLOOKUP(C2745, 'STOK RAPORU'!$C$2:$I$1000, 4, 0))), 0)</f>
        <v>0</v>
      </c>
      <c r="U2745" s="22">
        <f t="shared" si="168"/>
        <v>0</v>
      </c>
      <c r="V2745">
        <f t="shared" si="169"/>
        <v>0</v>
      </c>
      <c r="W2745" s="22">
        <f t="shared" si="170"/>
        <v>0</v>
      </c>
    </row>
    <row r="2746" spans="1:23" hidden="1" x14ac:dyDescent="0.25">
      <c r="A2746" s="3">
        <v>46023</v>
      </c>
      <c r="B2746" s="4" t="s">
        <v>334</v>
      </c>
      <c r="C2746" s="4" t="s">
        <v>977</v>
      </c>
      <c r="D2746" s="4"/>
      <c r="E2746" s="4"/>
      <c r="F2746" s="4" t="s">
        <v>1541</v>
      </c>
      <c r="G2746" s="4" t="s">
        <v>336</v>
      </c>
      <c r="H2746" s="4" t="s">
        <v>289</v>
      </c>
      <c r="I2746" s="4">
        <v>0.3125</v>
      </c>
      <c r="J2746" s="21">
        <v>320</v>
      </c>
      <c r="K2746" s="21">
        <v>0</v>
      </c>
      <c r="L2746" s="5">
        <v>0</v>
      </c>
      <c r="M2746" s="4"/>
      <c r="N2746" s="4"/>
      <c r="O2746" s="5"/>
      <c r="P2746" s="5"/>
      <c r="Q2746" s="21">
        <v>100</v>
      </c>
      <c r="R2746" s="21">
        <v>0</v>
      </c>
      <c r="S2746" s="5">
        <f t="shared" si="171"/>
        <v>19918.60112015199</v>
      </c>
      <c r="T2746" cm="1">
        <f t="array" ref="T2746">IF(OR(B2746="MAL ALIMI", B2746="ÜRETİM GİRİŞ"), MIN(I2746, MAX(0, I2746 + SUM(SUMIFS($I$1:I2745, $C$1:C2745, C2746, $B$1:B2745, {"MAL ALIMI","ÜRETİM GİRİŞ"})) - VLOOKUP(C2746, 'STOK RAPORU'!$C$2:$I$1000, 4, 0))), 0)</f>
        <v>0</v>
      </c>
      <c r="U2746" s="22">
        <f t="shared" si="168"/>
        <v>0</v>
      </c>
      <c r="V2746">
        <f t="shared" si="169"/>
        <v>0</v>
      </c>
      <c r="W2746" s="22">
        <f t="shared" si="170"/>
        <v>0</v>
      </c>
    </row>
    <row r="2747" spans="1:23" hidden="1" x14ac:dyDescent="0.25">
      <c r="A2747" s="3">
        <v>46023</v>
      </c>
      <c r="B2747" s="4" t="s">
        <v>946</v>
      </c>
      <c r="C2747" s="4"/>
      <c r="D2747" s="4"/>
      <c r="E2747" s="4" t="s">
        <v>921</v>
      </c>
      <c r="F2747" s="4"/>
      <c r="G2747" s="4" t="s">
        <v>946</v>
      </c>
      <c r="H2747" s="4" t="s">
        <v>380</v>
      </c>
      <c r="I2747" s="4">
        <v>1</v>
      </c>
      <c r="J2747" s="105">
        <v>880</v>
      </c>
      <c r="K2747" s="21">
        <v>0</v>
      </c>
      <c r="L2747" s="102">
        <v>880</v>
      </c>
      <c r="M2747" s="21">
        <v>989</v>
      </c>
      <c r="N2747" s="4"/>
      <c r="O2747" s="5"/>
      <c r="P2747" s="5"/>
      <c r="Q2747" s="21">
        <v>880</v>
      </c>
      <c r="R2747" s="21">
        <v>0</v>
      </c>
      <c r="S2747" s="5">
        <f t="shared" si="171"/>
        <v>20798.60112015199</v>
      </c>
      <c r="T2747" cm="1">
        <f t="array" ref="T2747">IF(OR(B2747="MAL ALIMI", B2747="ÜRETİM GİRİŞ"), MIN(I2747, MAX(0, I2747 + SUM(SUMIFS($I$1:I2746, $C$1:C2746, C2747, $B$1:B2746, {"MAL ALIMI","ÜRETİM GİRİŞ"})) - VLOOKUP(C2747, 'STOK RAPORU'!$C$2:$I$1000, 4, 0))), 0)</f>
        <v>0</v>
      </c>
      <c r="U2747" s="22">
        <f t="shared" si="168"/>
        <v>0</v>
      </c>
      <c r="V2747">
        <f t="shared" si="169"/>
        <v>0</v>
      </c>
      <c r="W2747" s="22">
        <f t="shared" si="170"/>
        <v>0</v>
      </c>
    </row>
    <row r="2748" spans="1:23" hidden="1" x14ac:dyDescent="0.25">
      <c r="A2748" s="3">
        <v>46024</v>
      </c>
      <c r="B2748" s="4" t="s">
        <v>334</v>
      </c>
      <c r="C2748" s="4" t="s">
        <v>634</v>
      </c>
      <c r="D2748" s="4"/>
      <c r="E2748" s="4"/>
      <c r="F2748" s="4" t="s">
        <v>1542</v>
      </c>
      <c r="G2748" s="4" t="s">
        <v>336</v>
      </c>
      <c r="H2748" s="4" t="s">
        <v>289</v>
      </c>
      <c r="I2748" s="4">
        <v>0.2</v>
      </c>
      <c r="J2748" s="21">
        <v>850</v>
      </c>
      <c r="K2748" s="21">
        <v>0</v>
      </c>
      <c r="L2748" s="5">
        <v>0</v>
      </c>
      <c r="M2748" s="4"/>
      <c r="N2748" s="4"/>
      <c r="O2748" s="5"/>
      <c r="P2748" s="5"/>
      <c r="Q2748" s="21">
        <v>170</v>
      </c>
      <c r="R2748" s="21">
        <v>0</v>
      </c>
      <c r="S2748" s="5">
        <f t="shared" si="171"/>
        <v>20968.60112015199</v>
      </c>
      <c r="T2748" cm="1">
        <f t="array" ref="T2748">IF(OR(B2748="MAL ALIMI", B2748="ÜRETİM GİRİŞ"), MIN(I2748, MAX(0, I2748 + SUM(SUMIFS($I$1:I2747, $C$1:C2747, C2748, $B$1:B2747, {"MAL ALIMI","ÜRETİM GİRİŞ"})) - VLOOKUP(C2748, 'STOK RAPORU'!$C$2:$I$1000, 4, 0))), 0)</f>
        <v>0</v>
      </c>
      <c r="U2748" s="22">
        <f t="shared" si="168"/>
        <v>0</v>
      </c>
      <c r="V2748">
        <f t="shared" si="169"/>
        <v>0</v>
      </c>
      <c r="W2748" s="22">
        <f t="shared" si="170"/>
        <v>0</v>
      </c>
    </row>
    <row r="2749" spans="1:23" hidden="1" x14ac:dyDescent="0.25">
      <c r="A2749" s="3">
        <v>46024</v>
      </c>
      <c r="B2749" s="4" t="s">
        <v>334</v>
      </c>
      <c r="C2749" s="4" t="s">
        <v>132</v>
      </c>
      <c r="D2749" s="4"/>
      <c r="E2749" s="4" t="s">
        <v>921</v>
      </c>
      <c r="F2749" s="4" t="s">
        <v>1543</v>
      </c>
      <c r="G2749" s="4" t="s">
        <v>336</v>
      </c>
      <c r="H2749" s="4" t="s">
        <v>380</v>
      </c>
      <c r="I2749" s="4">
        <v>1</v>
      </c>
      <c r="J2749" s="21">
        <v>500</v>
      </c>
      <c r="K2749" s="21">
        <v>500</v>
      </c>
      <c r="L2749" s="5">
        <v>0</v>
      </c>
      <c r="M2749" s="4"/>
      <c r="N2749" s="4"/>
      <c r="O2749" s="5"/>
      <c r="P2749" s="5"/>
      <c r="Q2749" s="21">
        <v>0</v>
      </c>
      <c r="R2749" s="21">
        <v>0</v>
      </c>
      <c r="S2749" s="5">
        <f t="shared" si="171"/>
        <v>20968.60112015199</v>
      </c>
      <c r="T2749" cm="1">
        <f t="array" ref="T2749">IF(OR(B2749="MAL ALIMI", B2749="ÜRETİM GİRİŞ"), MIN(I2749, MAX(0, I2749 + SUM(SUMIFS($I$1:I2748, $C$1:C2748, C2749, $B$1:B2748, {"MAL ALIMI","ÜRETİM GİRİŞ"})) - VLOOKUP(C2749, 'STOK RAPORU'!$C$2:$I$1000, 4, 0))), 0)</f>
        <v>0</v>
      </c>
      <c r="U2749" s="22">
        <f t="shared" si="168"/>
        <v>0</v>
      </c>
      <c r="V2749">
        <f t="shared" si="169"/>
        <v>0</v>
      </c>
      <c r="W2749" s="22">
        <f t="shared" si="170"/>
        <v>0</v>
      </c>
    </row>
    <row r="2750" spans="1:23" hidden="1" x14ac:dyDescent="0.25">
      <c r="A2750" s="3">
        <v>46024</v>
      </c>
      <c r="B2750" s="4" t="s">
        <v>334</v>
      </c>
      <c r="C2750" s="4" t="s">
        <v>136</v>
      </c>
      <c r="D2750" s="4"/>
      <c r="E2750" s="4" t="s">
        <v>921</v>
      </c>
      <c r="F2750" s="4" t="s">
        <v>1543</v>
      </c>
      <c r="G2750" s="4" t="s">
        <v>336</v>
      </c>
      <c r="H2750" s="4" t="s">
        <v>380</v>
      </c>
      <c r="I2750" s="4">
        <v>0.25</v>
      </c>
      <c r="J2750" s="21">
        <v>180</v>
      </c>
      <c r="K2750" s="21">
        <v>45</v>
      </c>
      <c r="L2750" s="5">
        <v>0</v>
      </c>
      <c r="M2750" s="4"/>
      <c r="N2750" s="4"/>
      <c r="O2750" s="5"/>
      <c r="P2750" s="5"/>
      <c r="Q2750" s="21">
        <v>0</v>
      </c>
      <c r="R2750" s="21">
        <v>0</v>
      </c>
      <c r="S2750" s="5">
        <f t="shared" si="171"/>
        <v>20968.60112015199</v>
      </c>
      <c r="T2750" cm="1">
        <f t="array" ref="T2750">IF(OR(B2750="MAL ALIMI", B2750="ÜRETİM GİRİŞ"), MIN(I2750, MAX(0, I2750 + SUM(SUMIFS($I$1:I2749, $C$1:C2749, C2750, $B$1:B2749, {"MAL ALIMI","ÜRETİM GİRİŞ"})) - VLOOKUP(C2750, 'STOK RAPORU'!$C$2:$I$1000, 4, 0))), 0)</f>
        <v>0</v>
      </c>
      <c r="U2750" s="22">
        <f t="shared" si="168"/>
        <v>0</v>
      </c>
      <c r="V2750">
        <f t="shared" si="169"/>
        <v>0</v>
      </c>
      <c r="W2750" s="22">
        <f t="shared" si="170"/>
        <v>0</v>
      </c>
    </row>
    <row r="2751" spans="1:23" hidden="1" x14ac:dyDescent="0.25">
      <c r="A2751" s="3">
        <v>46024</v>
      </c>
      <c r="B2751" s="4" t="s">
        <v>334</v>
      </c>
      <c r="C2751" s="4" t="s">
        <v>91</v>
      </c>
      <c r="D2751" s="4"/>
      <c r="E2751" s="4"/>
      <c r="F2751" s="4" t="s">
        <v>1544</v>
      </c>
      <c r="G2751" s="4" t="s">
        <v>336</v>
      </c>
      <c r="H2751" s="4" t="s">
        <v>289</v>
      </c>
      <c r="I2751" s="4">
        <v>7.3684210526315783E-2</v>
      </c>
      <c r="J2751" s="21">
        <v>760</v>
      </c>
      <c r="K2751" s="21">
        <v>0</v>
      </c>
      <c r="L2751" s="5">
        <v>0</v>
      </c>
      <c r="M2751" s="4"/>
      <c r="N2751" s="4"/>
      <c r="O2751" s="5"/>
      <c r="P2751" s="5"/>
      <c r="Q2751" s="21">
        <v>55.999999999999993</v>
      </c>
      <c r="R2751" s="21">
        <v>0</v>
      </c>
      <c r="S2751" s="5">
        <f t="shared" si="171"/>
        <v>21024.60112015199</v>
      </c>
      <c r="T2751" cm="1">
        <f t="array" ref="T2751">IF(OR(B2751="MAL ALIMI", B2751="ÜRETİM GİRİŞ"), MIN(I2751, MAX(0, I2751 + SUM(SUMIFS($I$1:I2750, $C$1:C2750, C2751, $B$1:B2750, {"MAL ALIMI","ÜRETİM GİRİŞ"})) - VLOOKUP(C2751, 'STOK RAPORU'!$C$2:$I$1000, 4, 0))), 0)</f>
        <v>0</v>
      </c>
      <c r="U2751" s="22">
        <f t="shared" si="168"/>
        <v>0</v>
      </c>
      <c r="V2751">
        <f t="shared" si="169"/>
        <v>0</v>
      </c>
      <c r="W2751" s="22">
        <f t="shared" si="170"/>
        <v>0</v>
      </c>
    </row>
    <row r="2752" spans="1:23" hidden="1" x14ac:dyDescent="0.25">
      <c r="A2752" s="3">
        <v>46024</v>
      </c>
      <c r="B2752" s="4" t="s">
        <v>334</v>
      </c>
      <c r="C2752" s="4" t="s">
        <v>1357</v>
      </c>
      <c r="D2752" s="4"/>
      <c r="E2752" s="4"/>
      <c r="F2752" s="4" t="s">
        <v>1545</v>
      </c>
      <c r="G2752" s="4" t="s">
        <v>336</v>
      </c>
      <c r="H2752" s="4" t="s">
        <v>289</v>
      </c>
      <c r="I2752" s="4">
        <v>0.13157894736842105</v>
      </c>
      <c r="J2752" s="21">
        <v>570</v>
      </c>
      <c r="K2752" s="21">
        <v>0</v>
      </c>
      <c r="L2752" s="5">
        <v>0</v>
      </c>
      <c r="M2752" s="4"/>
      <c r="N2752" s="4"/>
      <c r="O2752" s="5"/>
      <c r="P2752" s="5"/>
      <c r="Q2752" s="21">
        <v>75</v>
      </c>
      <c r="R2752" s="21">
        <v>0</v>
      </c>
      <c r="S2752" s="5">
        <f t="shared" si="171"/>
        <v>21099.60112015199</v>
      </c>
      <c r="T2752" cm="1">
        <f t="array" ref="T2752">IF(OR(B2752="MAL ALIMI", B2752="ÜRETİM GİRİŞ"), MIN(I2752, MAX(0, I2752 + SUM(SUMIFS($I$1:I2751, $C$1:C2751, C2752, $B$1:B2751, {"MAL ALIMI","ÜRETİM GİRİŞ"})) - VLOOKUP(C2752, 'STOK RAPORU'!$C$2:$I$1000, 4, 0))), 0)</f>
        <v>0</v>
      </c>
      <c r="U2752" s="22">
        <f t="shared" si="168"/>
        <v>0</v>
      </c>
      <c r="V2752">
        <f t="shared" si="169"/>
        <v>0</v>
      </c>
      <c r="W2752" s="22">
        <f t="shared" si="170"/>
        <v>0</v>
      </c>
    </row>
    <row r="2753" spans="1:23" hidden="1" x14ac:dyDescent="0.25">
      <c r="A2753" s="3">
        <v>46024</v>
      </c>
      <c r="B2753" s="4" t="s">
        <v>334</v>
      </c>
      <c r="C2753" s="4" t="s">
        <v>246</v>
      </c>
      <c r="D2753" s="4"/>
      <c r="E2753" s="4"/>
      <c r="F2753" s="4" t="s">
        <v>1545</v>
      </c>
      <c r="G2753" s="4" t="s">
        <v>336</v>
      </c>
      <c r="H2753" s="4" t="s">
        <v>289</v>
      </c>
      <c r="I2753" s="4">
        <v>0.1</v>
      </c>
      <c r="J2753" s="21">
        <v>1250</v>
      </c>
      <c r="K2753" s="21">
        <v>0</v>
      </c>
      <c r="L2753" s="5">
        <v>0</v>
      </c>
      <c r="M2753" s="4"/>
      <c r="N2753" s="4"/>
      <c r="O2753" s="5"/>
      <c r="P2753" s="5"/>
      <c r="Q2753" s="21">
        <v>125</v>
      </c>
      <c r="R2753" s="21">
        <v>0</v>
      </c>
      <c r="S2753" s="5">
        <f t="shared" si="171"/>
        <v>21224.60112015199</v>
      </c>
      <c r="T2753" cm="1">
        <f t="array" ref="T2753">IF(OR(B2753="MAL ALIMI", B2753="ÜRETİM GİRİŞ"), MIN(I2753, MAX(0, I2753 + SUM(SUMIFS($I$1:I2752, $C$1:C2752, C2753, $B$1:B2752, {"MAL ALIMI","ÜRETİM GİRİŞ"})) - VLOOKUP(C2753, 'STOK RAPORU'!$C$2:$I$1000, 4, 0))), 0)</f>
        <v>0</v>
      </c>
      <c r="U2753" s="22">
        <f t="shared" si="168"/>
        <v>0</v>
      </c>
      <c r="V2753">
        <f t="shared" si="169"/>
        <v>0</v>
      </c>
      <c r="W2753" s="22">
        <f t="shared" si="170"/>
        <v>0</v>
      </c>
    </row>
    <row r="2754" spans="1:23" hidden="1" x14ac:dyDescent="0.25">
      <c r="A2754" s="3">
        <v>46024</v>
      </c>
      <c r="B2754" s="4" t="s">
        <v>334</v>
      </c>
      <c r="C2754" s="4" t="s">
        <v>247</v>
      </c>
      <c r="D2754" s="4"/>
      <c r="E2754" s="4"/>
      <c r="F2754" s="4" t="s">
        <v>1545</v>
      </c>
      <c r="G2754" s="4" t="s">
        <v>336</v>
      </c>
      <c r="H2754" s="4" t="s">
        <v>289</v>
      </c>
      <c r="I2754" s="4">
        <v>8.5000000000000006E-2</v>
      </c>
      <c r="J2754" s="21">
        <v>1200</v>
      </c>
      <c r="K2754" s="21">
        <v>0</v>
      </c>
      <c r="L2754" s="5">
        <v>0</v>
      </c>
      <c r="M2754" s="4"/>
      <c r="N2754" s="4"/>
      <c r="O2754" s="5"/>
      <c r="P2754" s="5"/>
      <c r="Q2754" s="21">
        <v>102.00000000000001</v>
      </c>
      <c r="R2754" s="21">
        <v>0</v>
      </c>
      <c r="S2754" s="5">
        <f t="shared" si="171"/>
        <v>21326.60112015199</v>
      </c>
      <c r="T2754" cm="1">
        <f t="array" ref="T2754">IF(OR(B2754="MAL ALIMI", B2754="ÜRETİM GİRİŞ"), MIN(I2754, MAX(0, I2754 + SUM(SUMIFS($I$1:I2753, $C$1:C2753, C2754, $B$1:B2753, {"MAL ALIMI","ÜRETİM GİRİŞ"})) - VLOOKUP(C2754, 'STOK RAPORU'!$C$2:$I$1000, 4, 0))), 0)</f>
        <v>0</v>
      </c>
      <c r="U2754" s="22">
        <f t="shared" si="168"/>
        <v>0</v>
      </c>
      <c r="V2754">
        <f t="shared" si="169"/>
        <v>0</v>
      </c>
      <c r="W2754" s="22">
        <f t="shared" si="170"/>
        <v>0</v>
      </c>
    </row>
    <row r="2755" spans="1:23" hidden="1" x14ac:dyDescent="0.25">
      <c r="A2755" s="3">
        <v>46024</v>
      </c>
      <c r="B2755" s="4" t="s">
        <v>334</v>
      </c>
      <c r="C2755" s="4" t="s">
        <v>245</v>
      </c>
      <c r="D2755" s="4"/>
      <c r="E2755" s="4"/>
      <c r="F2755" s="4" t="s">
        <v>1545</v>
      </c>
      <c r="G2755" s="4" t="s">
        <v>336</v>
      </c>
      <c r="H2755" s="4" t="s">
        <v>289</v>
      </c>
      <c r="I2755" s="4">
        <v>0.23200000000000001</v>
      </c>
      <c r="J2755" s="21">
        <v>650</v>
      </c>
      <c r="K2755" s="21">
        <v>0</v>
      </c>
      <c r="L2755" s="5">
        <v>0</v>
      </c>
      <c r="M2755" s="4"/>
      <c r="N2755" s="4"/>
      <c r="O2755" s="5"/>
      <c r="P2755" s="5"/>
      <c r="Q2755" s="21">
        <v>150.80000000000001</v>
      </c>
      <c r="R2755" s="21">
        <v>0</v>
      </c>
      <c r="S2755" s="5">
        <f t="shared" si="171"/>
        <v>21477.40112015199</v>
      </c>
      <c r="T2755" cm="1">
        <f t="array" ref="T2755">IF(OR(B2755="MAL ALIMI", B2755="ÜRETİM GİRİŞ"), MIN(I2755, MAX(0, I2755 + SUM(SUMIFS($I$1:I2754, $C$1:C2754, C2755, $B$1:B2754, {"MAL ALIMI","ÜRETİM GİRİŞ"})) - VLOOKUP(C2755, 'STOK RAPORU'!$C$2:$I$1000, 4, 0))), 0)</f>
        <v>0</v>
      </c>
      <c r="U2755" s="22">
        <f t="shared" ref="U2755:U2818" si="172">T2755*J2755</f>
        <v>0</v>
      </c>
      <c r="V2755">
        <f t="shared" ref="V2755:V2818" si="173">IF(OR(B2755="MAL ALIMI", B2755="ÜRETİM GİRİŞ"), I2755 * J2755, 0)</f>
        <v>0</v>
      </c>
      <c r="W2755" s="22">
        <f t="shared" ref="W2755:W2818" si="174">V2755-U2755</f>
        <v>0</v>
      </c>
    </row>
    <row r="2756" spans="1:23" hidden="1" x14ac:dyDescent="0.25">
      <c r="A2756" s="3">
        <v>46024</v>
      </c>
      <c r="B2756" s="4" t="s">
        <v>334</v>
      </c>
      <c r="C2756" s="4" t="s">
        <v>1041</v>
      </c>
      <c r="D2756" s="4"/>
      <c r="E2756" s="4"/>
      <c r="F2756" s="4" t="s">
        <v>1546</v>
      </c>
      <c r="G2756" s="4" t="s">
        <v>336</v>
      </c>
      <c r="H2756" s="4" t="s">
        <v>289</v>
      </c>
      <c r="I2756" s="4">
        <v>3.3</v>
      </c>
      <c r="J2756" s="21">
        <v>250</v>
      </c>
      <c r="K2756" s="21">
        <v>0</v>
      </c>
      <c r="L2756" s="5">
        <v>0</v>
      </c>
      <c r="M2756" s="4"/>
      <c r="N2756" s="4"/>
      <c r="O2756" s="5"/>
      <c r="P2756" s="5"/>
      <c r="Q2756" s="21">
        <v>825</v>
      </c>
      <c r="R2756" s="21">
        <v>0</v>
      </c>
      <c r="S2756" s="5">
        <f t="shared" ref="S2756:S2819" si="175">S2755+Q2756-R2756</f>
        <v>22302.40112015199</v>
      </c>
      <c r="T2756" cm="1">
        <f t="array" ref="T2756">IF(OR(B2756="MAL ALIMI", B2756="ÜRETİM GİRİŞ"), MIN(I2756, MAX(0, I2756 + SUM(SUMIFS($I$1:I2755, $C$1:C2755, C2756, $B$1:B2755, {"MAL ALIMI","ÜRETİM GİRİŞ"})) - VLOOKUP(C2756, 'STOK RAPORU'!$C$2:$I$1000, 4, 0))), 0)</f>
        <v>0</v>
      </c>
      <c r="U2756" s="22">
        <f t="shared" si="172"/>
        <v>0</v>
      </c>
      <c r="V2756">
        <f t="shared" si="173"/>
        <v>0</v>
      </c>
      <c r="W2756" s="22">
        <f t="shared" si="174"/>
        <v>0</v>
      </c>
    </row>
    <row r="2757" spans="1:23" hidden="1" x14ac:dyDescent="0.25">
      <c r="A2757" s="3">
        <v>46024</v>
      </c>
      <c r="B2757" s="4" t="s">
        <v>334</v>
      </c>
      <c r="C2757" s="4" t="s">
        <v>1359</v>
      </c>
      <c r="D2757" s="4"/>
      <c r="E2757" s="4"/>
      <c r="F2757" s="4" t="s">
        <v>1547</v>
      </c>
      <c r="G2757" s="4" t="s">
        <v>336</v>
      </c>
      <c r="H2757" s="4" t="s">
        <v>289</v>
      </c>
      <c r="I2757" s="4">
        <v>0.22</v>
      </c>
      <c r="J2757" s="21">
        <v>460</v>
      </c>
      <c r="K2757" s="21">
        <v>0</v>
      </c>
      <c r="L2757" s="5">
        <v>0</v>
      </c>
      <c r="M2757" s="4"/>
      <c r="N2757" s="4"/>
      <c r="O2757" s="5"/>
      <c r="P2757" s="5"/>
      <c r="Q2757" s="21">
        <v>101.2</v>
      </c>
      <c r="R2757" s="21">
        <v>0</v>
      </c>
      <c r="S2757" s="5">
        <f t="shared" si="175"/>
        <v>22403.60112015199</v>
      </c>
      <c r="T2757" cm="1">
        <f t="array" ref="T2757">IF(OR(B2757="MAL ALIMI", B2757="ÜRETİM GİRİŞ"), MIN(I2757, MAX(0, I2757 + SUM(SUMIFS($I$1:I2756, $C$1:C2756, C2757, $B$1:B2756, {"MAL ALIMI","ÜRETİM GİRİŞ"})) - VLOOKUP(C2757, 'STOK RAPORU'!$C$2:$I$1000, 4, 0))), 0)</f>
        <v>0</v>
      </c>
      <c r="U2757" s="22">
        <f t="shared" si="172"/>
        <v>0</v>
      </c>
      <c r="V2757">
        <f t="shared" si="173"/>
        <v>0</v>
      </c>
      <c r="W2757" s="22">
        <f t="shared" si="174"/>
        <v>0</v>
      </c>
    </row>
    <row r="2758" spans="1:23" hidden="1" x14ac:dyDescent="0.25">
      <c r="A2758" s="3">
        <v>46024</v>
      </c>
      <c r="B2758" s="4" t="s">
        <v>334</v>
      </c>
      <c r="C2758" s="4" t="s">
        <v>1360</v>
      </c>
      <c r="D2758" s="4"/>
      <c r="E2758" s="4" t="s">
        <v>921</v>
      </c>
      <c r="F2758" s="4" t="s">
        <v>1548</v>
      </c>
      <c r="G2758" s="4" t="s">
        <v>336</v>
      </c>
      <c r="H2758" s="4" t="s">
        <v>380</v>
      </c>
      <c r="I2758" s="4">
        <v>0.25</v>
      </c>
      <c r="J2758" s="21">
        <v>400</v>
      </c>
      <c r="K2758" s="21">
        <v>100</v>
      </c>
      <c r="L2758" s="5">
        <v>0</v>
      </c>
      <c r="M2758" s="4"/>
      <c r="N2758" s="4"/>
      <c r="O2758" s="5"/>
      <c r="P2758" s="5"/>
      <c r="Q2758" s="21">
        <v>0</v>
      </c>
      <c r="R2758" s="21">
        <v>0</v>
      </c>
      <c r="S2758" s="5">
        <f t="shared" si="175"/>
        <v>22403.60112015199</v>
      </c>
      <c r="T2758" cm="1">
        <f t="array" ref="T2758">IF(OR(B2758="MAL ALIMI", B2758="ÜRETİM GİRİŞ"), MIN(I2758, MAX(0, I2758 + SUM(SUMIFS($I$1:I2757, $C$1:C2757, C2758, $B$1:B2757, {"MAL ALIMI","ÜRETİM GİRİŞ"})) - VLOOKUP(C2758, 'STOK RAPORU'!$C$2:$I$1000, 4, 0))), 0)</f>
        <v>0</v>
      </c>
      <c r="U2758" s="22">
        <f t="shared" si="172"/>
        <v>0</v>
      </c>
      <c r="V2758">
        <f t="shared" si="173"/>
        <v>0</v>
      </c>
      <c r="W2758" s="22">
        <f t="shared" si="174"/>
        <v>0</v>
      </c>
    </row>
    <row r="2759" spans="1:23" hidden="1" x14ac:dyDescent="0.25">
      <c r="A2759" s="3">
        <v>46024</v>
      </c>
      <c r="B2759" s="4" t="s">
        <v>334</v>
      </c>
      <c r="C2759" s="4" t="s">
        <v>89</v>
      </c>
      <c r="D2759" s="4"/>
      <c r="E2759" s="4" t="s">
        <v>921</v>
      </c>
      <c r="F2759" s="4" t="s">
        <v>1548</v>
      </c>
      <c r="G2759" s="4" t="s">
        <v>336</v>
      </c>
      <c r="H2759" s="4" t="s">
        <v>380</v>
      </c>
      <c r="I2759" s="4">
        <v>0.2</v>
      </c>
      <c r="J2759" s="21">
        <v>650</v>
      </c>
      <c r="K2759" s="21">
        <v>130</v>
      </c>
      <c r="L2759" s="5">
        <v>0</v>
      </c>
      <c r="M2759" s="4"/>
      <c r="N2759" s="4"/>
      <c r="O2759" s="5"/>
      <c r="P2759" s="5"/>
      <c r="Q2759" s="21">
        <v>0</v>
      </c>
      <c r="R2759" s="21">
        <v>0</v>
      </c>
      <c r="S2759" s="5">
        <f t="shared" si="175"/>
        <v>22403.60112015199</v>
      </c>
      <c r="T2759" cm="1">
        <f t="array" ref="T2759">IF(OR(B2759="MAL ALIMI", B2759="ÜRETİM GİRİŞ"), MIN(I2759, MAX(0, I2759 + SUM(SUMIFS($I$1:I2758, $C$1:C2758, C2759, $B$1:B2758, {"MAL ALIMI","ÜRETİM GİRİŞ"})) - VLOOKUP(C2759, 'STOK RAPORU'!$C$2:$I$1000, 4, 0))), 0)</f>
        <v>0</v>
      </c>
      <c r="U2759" s="22">
        <f t="shared" si="172"/>
        <v>0</v>
      </c>
      <c r="V2759">
        <f t="shared" si="173"/>
        <v>0</v>
      </c>
      <c r="W2759" s="22">
        <f t="shared" si="174"/>
        <v>0</v>
      </c>
    </row>
    <row r="2760" spans="1:23" hidden="1" x14ac:dyDescent="0.25">
      <c r="A2760" s="3">
        <v>46024</v>
      </c>
      <c r="B2760" s="4" t="s">
        <v>334</v>
      </c>
      <c r="C2760" s="4" t="s">
        <v>247</v>
      </c>
      <c r="D2760" s="4"/>
      <c r="E2760" s="4" t="s">
        <v>921</v>
      </c>
      <c r="F2760" s="4" t="s">
        <v>1548</v>
      </c>
      <c r="G2760" s="4" t="s">
        <v>336</v>
      </c>
      <c r="H2760" s="4" t="s">
        <v>380</v>
      </c>
      <c r="I2760" s="4">
        <v>8.5000000000000006E-2</v>
      </c>
      <c r="J2760" s="21">
        <v>1200</v>
      </c>
      <c r="K2760" s="21">
        <v>102.00000000000001</v>
      </c>
      <c r="L2760" s="5">
        <v>0</v>
      </c>
      <c r="M2760" s="4"/>
      <c r="N2760" s="4"/>
      <c r="O2760" s="5"/>
      <c r="P2760" s="5"/>
      <c r="Q2760" s="21">
        <v>0</v>
      </c>
      <c r="R2760" s="21">
        <v>0</v>
      </c>
      <c r="S2760" s="5">
        <f t="shared" si="175"/>
        <v>22403.60112015199</v>
      </c>
      <c r="T2760" cm="1">
        <f t="array" ref="T2760">IF(OR(B2760="MAL ALIMI", B2760="ÜRETİM GİRİŞ"), MIN(I2760, MAX(0, I2760 + SUM(SUMIFS($I$1:I2759, $C$1:C2759, C2760, $B$1:B2759, {"MAL ALIMI","ÜRETİM GİRİŞ"})) - VLOOKUP(C2760, 'STOK RAPORU'!$C$2:$I$1000, 4, 0))), 0)</f>
        <v>0</v>
      </c>
      <c r="U2760" s="22">
        <f t="shared" si="172"/>
        <v>0</v>
      </c>
      <c r="V2760">
        <f t="shared" si="173"/>
        <v>0</v>
      </c>
      <c r="W2760" s="22">
        <f t="shared" si="174"/>
        <v>0</v>
      </c>
    </row>
    <row r="2761" spans="1:23" hidden="1" x14ac:dyDescent="0.25">
      <c r="A2761" s="3">
        <v>46024</v>
      </c>
      <c r="B2761" s="4" t="s">
        <v>334</v>
      </c>
      <c r="C2761" s="4" t="s">
        <v>246</v>
      </c>
      <c r="D2761" s="4"/>
      <c r="E2761" s="4" t="s">
        <v>921</v>
      </c>
      <c r="F2761" s="4" t="s">
        <v>1548</v>
      </c>
      <c r="G2761" s="4" t="s">
        <v>336</v>
      </c>
      <c r="H2761" s="4" t="s">
        <v>380</v>
      </c>
      <c r="I2761" s="4">
        <v>0.1</v>
      </c>
      <c r="J2761" s="21">
        <v>1250</v>
      </c>
      <c r="K2761" s="21">
        <v>125</v>
      </c>
      <c r="L2761" s="5">
        <v>0</v>
      </c>
      <c r="M2761" s="4"/>
      <c r="N2761" s="4"/>
      <c r="O2761" s="5"/>
      <c r="P2761" s="5"/>
      <c r="Q2761" s="21">
        <v>0</v>
      </c>
      <c r="R2761" s="21">
        <v>0</v>
      </c>
      <c r="S2761" s="5">
        <f t="shared" si="175"/>
        <v>22403.60112015199</v>
      </c>
      <c r="T2761" cm="1">
        <f t="array" ref="T2761">IF(OR(B2761="MAL ALIMI", B2761="ÜRETİM GİRİŞ"), MIN(I2761, MAX(0, I2761 + SUM(SUMIFS($I$1:I2760, $C$1:C2760, C2761, $B$1:B2760, {"MAL ALIMI","ÜRETİM GİRİŞ"})) - VLOOKUP(C2761, 'STOK RAPORU'!$C$2:$I$1000, 4, 0))), 0)</f>
        <v>0</v>
      </c>
      <c r="U2761" s="22">
        <f t="shared" si="172"/>
        <v>0</v>
      </c>
      <c r="V2761">
        <f t="shared" si="173"/>
        <v>0</v>
      </c>
      <c r="W2761" s="22">
        <f t="shared" si="174"/>
        <v>0</v>
      </c>
    </row>
    <row r="2762" spans="1:23" hidden="1" x14ac:dyDescent="0.25">
      <c r="A2762" s="3">
        <v>46024</v>
      </c>
      <c r="B2762" s="4" t="s">
        <v>334</v>
      </c>
      <c r="C2762" s="4" t="s">
        <v>530</v>
      </c>
      <c r="D2762" s="4"/>
      <c r="E2762" s="4"/>
      <c r="F2762" s="4" t="s">
        <v>1549</v>
      </c>
      <c r="G2762" s="4" t="s">
        <v>336</v>
      </c>
      <c r="H2762" s="4" t="s">
        <v>289</v>
      </c>
      <c r="I2762" s="4">
        <v>0.5</v>
      </c>
      <c r="J2762" s="21">
        <v>280</v>
      </c>
      <c r="K2762" s="21">
        <v>0</v>
      </c>
      <c r="L2762" s="5">
        <v>0</v>
      </c>
      <c r="M2762" s="4"/>
      <c r="N2762" s="4"/>
      <c r="O2762" s="5"/>
      <c r="P2762" s="5"/>
      <c r="Q2762" s="21">
        <v>140</v>
      </c>
      <c r="R2762" s="21">
        <v>0</v>
      </c>
      <c r="S2762" s="5">
        <f t="shared" si="175"/>
        <v>22543.60112015199</v>
      </c>
      <c r="T2762" cm="1">
        <f t="array" ref="T2762">IF(OR(B2762="MAL ALIMI", B2762="ÜRETİM GİRİŞ"), MIN(I2762, MAX(0, I2762 + SUM(SUMIFS($I$1:I2761, $C$1:C2761, C2762, $B$1:B2761, {"MAL ALIMI","ÜRETİM GİRİŞ"})) - VLOOKUP(C2762, 'STOK RAPORU'!$C$2:$I$1000, 4, 0))), 0)</f>
        <v>0</v>
      </c>
      <c r="U2762" s="22">
        <f t="shared" si="172"/>
        <v>0</v>
      </c>
      <c r="V2762">
        <f t="shared" si="173"/>
        <v>0</v>
      </c>
      <c r="W2762" s="22">
        <f t="shared" si="174"/>
        <v>0</v>
      </c>
    </row>
    <row r="2763" spans="1:23" hidden="1" x14ac:dyDescent="0.25">
      <c r="A2763" s="3">
        <v>46024</v>
      </c>
      <c r="B2763" s="4" t="s">
        <v>334</v>
      </c>
      <c r="C2763" s="4" t="s">
        <v>89</v>
      </c>
      <c r="D2763" s="4"/>
      <c r="E2763" s="4"/>
      <c r="F2763" s="4" t="s">
        <v>1549</v>
      </c>
      <c r="G2763" s="4" t="s">
        <v>336</v>
      </c>
      <c r="H2763" s="4" t="s">
        <v>289</v>
      </c>
      <c r="I2763" s="4">
        <v>0.1</v>
      </c>
      <c r="J2763" s="21">
        <v>650</v>
      </c>
      <c r="K2763" s="21">
        <v>0</v>
      </c>
      <c r="L2763" s="5">
        <v>0</v>
      </c>
      <c r="M2763" s="4"/>
      <c r="N2763" s="4"/>
      <c r="O2763" s="5"/>
      <c r="P2763" s="5"/>
      <c r="Q2763" s="21">
        <v>65</v>
      </c>
      <c r="R2763" s="21">
        <v>0</v>
      </c>
      <c r="S2763" s="5">
        <f t="shared" si="175"/>
        <v>22608.60112015199</v>
      </c>
      <c r="T2763" cm="1">
        <f t="array" ref="T2763">IF(OR(B2763="MAL ALIMI", B2763="ÜRETİM GİRİŞ"), MIN(I2763, MAX(0, I2763 + SUM(SUMIFS($I$1:I2762, $C$1:C2762, C2763, $B$1:B2762, {"MAL ALIMI","ÜRETİM GİRİŞ"})) - VLOOKUP(C2763, 'STOK RAPORU'!$C$2:$I$1000, 4, 0))), 0)</f>
        <v>0</v>
      </c>
      <c r="U2763" s="22">
        <f t="shared" si="172"/>
        <v>0</v>
      </c>
      <c r="V2763">
        <f t="shared" si="173"/>
        <v>0</v>
      </c>
      <c r="W2763" s="22">
        <f t="shared" si="174"/>
        <v>0</v>
      </c>
    </row>
    <row r="2764" spans="1:23" hidden="1" x14ac:dyDescent="0.25">
      <c r="A2764" s="3">
        <v>46024</v>
      </c>
      <c r="B2764" s="4" t="s">
        <v>334</v>
      </c>
      <c r="C2764" s="4" t="s">
        <v>1501</v>
      </c>
      <c r="D2764" s="4"/>
      <c r="E2764" s="4"/>
      <c r="F2764" s="4" t="s">
        <v>1549</v>
      </c>
      <c r="G2764" s="4" t="s">
        <v>336</v>
      </c>
      <c r="H2764" s="4" t="s">
        <v>289</v>
      </c>
      <c r="I2764" s="4">
        <v>0.17</v>
      </c>
      <c r="J2764" s="21">
        <v>600</v>
      </c>
      <c r="K2764" s="21">
        <v>0</v>
      </c>
      <c r="L2764" s="5">
        <v>0</v>
      </c>
      <c r="M2764" s="4"/>
      <c r="N2764" s="4"/>
      <c r="O2764" s="5"/>
      <c r="P2764" s="5"/>
      <c r="Q2764" s="21">
        <v>102.00000000000001</v>
      </c>
      <c r="R2764" s="21">
        <v>0</v>
      </c>
      <c r="S2764" s="5">
        <f t="shared" si="175"/>
        <v>22710.60112015199</v>
      </c>
      <c r="T2764" cm="1">
        <f t="array" ref="T2764">IF(OR(B2764="MAL ALIMI", B2764="ÜRETİM GİRİŞ"), MIN(I2764, MAX(0, I2764 + SUM(SUMIFS($I$1:I2763, $C$1:C2763, C2764, $B$1:B2763, {"MAL ALIMI","ÜRETİM GİRİŞ"})) - VLOOKUP(C2764, 'STOK RAPORU'!$C$2:$I$1000, 4, 0))), 0)</f>
        <v>0</v>
      </c>
      <c r="U2764" s="22">
        <f t="shared" si="172"/>
        <v>0</v>
      </c>
      <c r="V2764">
        <f t="shared" si="173"/>
        <v>0</v>
      </c>
      <c r="W2764" s="22">
        <f t="shared" si="174"/>
        <v>0</v>
      </c>
    </row>
    <row r="2765" spans="1:23" hidden="1" x14ac:dyDescent="0.25">
      <c r="A2765" s="3">
        <v>46024</v>
      </c>
      <c r="B2765" s="4" t="s">
        <v>334</v>
      </c>
      <c r="C2765" s="4" t="s">
        <v>697</v>
      </c>
      <c r="D2765" s="4"/>
      <c r="E2765" s="4"/>
      <c r="F2765" s="4" t="s">
        <v>1549</v>
      </c>
      <c r="G2765" s="4" t="s">
        <v>336</v>
      </c>
      <c r="H2765" s="4" t="s">
        <v>289</v>
      </c>
      <c r="I2765" s="4">
        <v>0.1</v>
      </c>
      <c r="J2765" s="21">
        <v>600</v>
      </c>
      <c r="K2765" s="21">
        <v>0</v>
      </c>
      <c r="L2765" s="5">
        <v>0</v>
      </c>
      <c r="M2765" s="4"/>
      <c r="N2765" s="4"/>
      <c r="O2765" s="5"/>
      <c r="P2765" s="5"/>
      <c r="Q2765" s="21">
        <v>60</v>
      </c>
      <c r="R2765" s="21">
        <v>0</v>
      </c>
      <c r="S2765" s="5">
        <f t="shared" si="175"/>
        <v>22770.60112015199</v>
      </c>
      <c r="T2765" cm="1">
        <f t="array" ref="T2765">IF(OR(B2765="MAL ALIMI", B2765="ÜRETİM GİRİŞ"), MIN(I2765, MAX(0, I2765 + SUM(SUMIFS($I$1:I2764, $C$1:C2764, C2765, $B$1:B2764, {"MAL ALIMI","ÜRETİM GİRİŞ"})) - VLOOKUP(C2765, 'STOK RAPORU'!$C$2:$I$1000, 4, 0))), 0)</f>
        <v>0</v>
      </c>
      <c r="U2765" s="22">
        <f t="shared" si="172"/>
        <v>0</v>
      </c>
      <c r="V2765">
        <f t="shared" si="173"/>
        <v>0</v>
      </c>
      <c r="W2765" s="22">
        <f t="shared" si="174"/>
        <v>0</v>
      </c>
    </row>
    <row r="2766" spans="1:23" hidden="1" x14ac:dyDescent="0.25">
      <c r="A2766" s="3">
        <v>46024</v>
      </c>
      <c r="B2766" s="4" t="s">
        <v>334</v>
      </c>
      <c r="C2766" s="4" t="s">
        <v>728</v>
      </c>
      <c r="D2766" s="4"/>
      <c r="E2766" s="4"/>
      <c r="F2766" s="4" t="s">
        <v>1550</v>
      </c>
      <c r="G2766" s="4" t="s">
        <v>336</v>
      </c>
      <c r="H2766" s="4" t="s">
        <v>289</v>
      </c>
      <c r="I2766" s="4">
        <v>0.52400000000000002</v>
      </c>
      <c r="J2766" s="21">
        <v>690</v>
      </c>
      <c r="K2766" s="21">
        <v>0</v>
      </c>
      <c r="L2766" s="5">
        <v>0</v>
      </c>
      <c r="M2766" s="4"/>
      <c r="N2766" s="4"/>
      <c r="O2766" s="5"/>
      <c r="P2766" s="5"/>
      <c r="Q2766" s="21">
        <v>361.56</v>
      </c>
      <c r="R2766" s="21">
        <v>0</v>
      </c>
      <c r="S2766" s="5">
        <f t="shared" si="175"/>
        <v>23132.161120151992</v>
      </c>
      <c r="T2766" cm="1">
        <f t="array" ref="T2766">IF(OR(B2766="MAL ALIMI", B2766="ÜRETİM GİRİŞ"), MIN(I2766, MAX(0, I2766 + SUM(SUMIFS($I$1:I2765, $C$1:C2765, C2766, $B$1:B2765, {"MAL ALIMI","ÜRETİM GİRİŞ"})) - VLOOKUP(C2766, 'STOK RAPORU'!$C$2:$I$1000, 4, 0))), 0)</f>
        <v>0</v>
      </c>
      <c r="U2766" s="22">
        <f t="shared" si="172"/>
        <v>0</v>
      </c>
      <c r="V2766">
        <f t="shared" si="173"/>
        <v>0</v>
      </c>
      <c r="W2766" s="22">
        <f t="shared" si="174"/>
        <v>0</v>
      </c>
    </row>
    <row r="2767" spans="1:23" hidden="1" x14ac:dyDescent="0.25">
      <c r="A2767" s="3">
        <v>46024</v>
      </c>
      <c r="B2767" s="4" t="s">
        <v>334</v>
      </c>
      <c r="C2767" s="4" t="s">
        <v>266</v>
      </c>
      <c r="D2767" s="4"/>
      <c r="E2767" s="4"/>
      <c r="F2767" s="4" t="s">
        <v>1550</v>
      </c>
      <c r="G2767" s="4" t="s">
        <v>336</v>
      </c>
      <c r="H2767" s="4" t="s">
        <v>289</v>
      </c>
      <c r="I2767" s="4">
        <v>0.17799999999999999</v>
      </c>
      <c r="J2767" s="21">
        <v>250</v>
      </c>
      <c r="K2767" s="21">
        <v>0</v>
      </c>
      <c r="L2767" s="5">
        <v>0</v>
      </c>
      <c r="M2767" s="4"/>
      <c r="N2767" s="4"/>
      <c r="O2767" s="5"/>
      <c r="P2767" s="5"/>
      <c r="Q2767" s="21">
        <v>44.5</v>
      </c>
      <c r="R2767" s="21">
        <v>0</v>
      </c>
      <c r="S2767" s="5">
        <f t="shared" si="175"/>
        <v>23176.661120151992</v>
      </c>
      <c r="T2767" cm="1">
        <f t="array" ref="T2767">IF(OR(B2767="MAL ALIMI", B2767="ÜRETİM GİRİŞ"), MIN(I2767, MAX(0, I2767 + SUM(SUMIFS($I$1:I2766, $C$1:C2766, C2767, $B$1:B2766, {"MAL ALIMI","ÜRETİM GİRİŞ"})) - VLOOKUP(C2767, 'STOK RAPORU'!$C$2:$I$1000, 4, 0))), 0)</f>
        <v>0</v>
      </c>
      <c r="U2767" s="22">
        <f t="shared" si="172"/>
        <v>0</v>
      </c>
      <c r="V2767">
        <f t="shared" si="173"/>
        <v>0</v>
      </c>
      <c r="W2767" s="22">
        <f t="shared" si="174"/>
        <v>0</v>
      </c>
    </row>
    <row r="2768" spans="1:23" hidden="1" x14ac:dyDescent="0.25">
      <c r="A2768" s="3">
        <v>46024</v>
      </c>
      <c r="B2768" s="4" t="s">
        <v>334</v>
      </c>
      <c r="C2768" s="4" t="s">
        <v>131</v>
      </c>
      <c r="D2768" s="4"/>
      <c r="E2768" s="4"/>
      <c r="F2768" s="4" t="s">
        <v>1551</v>
      </c>
      <c r="G2768" s="4" t="s">
        <v>336</v>
      </c>
      <c r="H2768" s="4" t="s">
        <v>289</v>
      </c>
      <c r="I2768" s="4">
        <v>0.25</v>
      </c>
      <c r="J2768" s="21">
        <v>400</v>
      </c>
      <c r="K2768" s="21">
        <v>0</v>
      </c>
      <c r="L2768" s="5">
        <v>0</v>
      </c>
      <c r="M2768" s="4"/>
      <c r="N2768" s="4"/>
      <c r="O2768" s="5"/>
      <c r="P2768" s="5"/>
      <c r="Q2768" s="21">
        <v>100</v>
      </c>
      <c r="R2768" s="21">
        <v>0</v>
      </c>
      <c r="S2768" s="5">
        <f t="shared" si="175"/>
        <v>23276.661120151992</v>
      </c>
      <c r="T2768" cm="1">
        <f t="array" ref="T2768">IF(OR(B2768="MAL ALIMI", B2768="ÜRETİM GİRİŞ"), MIN(I2768, MAX(0, I2768 + SUM(SUMIFS($I$1:I2767, $C$1:C2767, C2768, $B$1:B2767, {"MAL ALIMI","ÜRETİM GİRİŞ"})) - VLOOKUP(C2768, 'STOK RAPORU'!$C$2:$I$1000, 4, 0))), 0)</f>
        <v>0</v>
      </c>
      <c r="U2768" s="22">
        <f t="shared" si="172"/>
        <v>0</v>
      </c>
      <c r="V2768">
        <f t="shared" si="173"/>
        <v>0</v>
      </c>
      <c r="W2768" s="22">
        <f t="shared" si="174"/>
        <v>0</v>
      </c>
    </row>
    <row r="2769" spans="1:23" hidden="1" x14ac:dyDescent="0.25">
      <c r="A2769" s="3">
        <v>46024</v>
      </c>
      <c r="B2769" s="4" t="s">
        <v>334</v>
      </c>
      <c r="C2769" s="4" t="s">
        <v>1359</v>
      </c>
      <c r="D2769" s="4"/>
      <c r="E2769" s="4" t="s">
        <v>921</v>
      </c>
      <c r="F2769" s="4" t="s">
        <v>1552</v>
      </c>
      <c r="G2769" s="4" t="s">
        <v>336</v>
      </c>
      <c r="H2769" s="4" t="s">
        <v>380</v>
      </c>
      <c r="I2769" s="4">
        <v>0.22222222222222221</v>
      </c>
      <c r="J2769" s="21">
        <v>450</v>
      </c>
      <c r="K2769" s="21">
        <v>100</v>
      </c>
      <c r="L2769" s="5">
        <v>0</v>
      </c>
      <c r="M2769" s="4"/>
      <c r="N2769" s="4"/>
      <c r="O2769" s="5"/>
      <c r="P2769" s="5"/>
      <c r="Q2769" s="21">
        <v>0</v>
      </c>
      <c r="R2769" s="21">
        <v>0</v>
      </c>
      <c r="S2769" s="5">
        <f t="shared" si="175"/>
        <v>23276.661120151992</v>
      </c>
      <c r="T2769" cm="1">
        <f t="array" ref="T2769">IF(OR(B2769="MAL ALIMI", B2769="ÜRETİM GİRİŞ"), MIN(I2769, MAX(0, I2769 + SUM(SUMIFS($I$1:I2768, $C$1:C2768, C2769, $B$1:B2768, {"MAL ALIMI","ÜRETİM GİRİŞ"})) - VLOOKUP(C2769, 'STOK RAPORU'!$C$2:$I$1000, 4, 0))), 0)</f>
        <v>0</v>
      </c>
      <c r="U2769" s="22">
        <f t="shared" si="172"/>
        <v>0</v>
      </c>
      <c r="V2769">
        <f t="shared" si="173"/>
        <v>0</v>
      </c>
      <c r="W2769" s="22">
        <f t="shared" si="174"/>
        <v>0</v>
      </c>
    </row>
    <row r="2770" spans="1:23" hidden="1" x14ac:dyDescent="0.25">
      <c r="A2770" s="3">
        <v>46024</v>
      </c>
      <c r="B2770" s="4" t="s">
        <v>334</v>
      </c>
      <c r="C2770" s="4" t="s">
        <v>137</v>
      </c>
      <c r="D2770" s="4"/>
      <c r="E2770" s="4" t="s">
        <v>921</v>
      </c>
      <c r="F2770" s="4" t="s">
        <v>1552</v>
      </c>
      <c r="G2770" s="4" t="s">
        <v>336</v>
      </c>
      <c r="H2770" s="4" t="s">
        <v>380</v>
      </c>
      <c r="I2770" s="4">
        <v>0.25</v>
      </c>
      <c r="J2770" s="21">
        <v>180</v>
      </c>
      <c r="K2770" s="21">
        <v>45</v>
      </c>
      <c r="L2770" s="5">
        <v>0</v>
      </c>
      <c r="M2770" s="4"/>
      <c r="N2770" s="4"/>
      <c r="O2770" s="5"/>
      <c r="P2770" s="5"/>
      <c r="Q2770" s="21">
        <v>0</v>
      </c>
      <c r="R2770" s="21">
        <v>0</v>
      </c>
      <c r="S2770" s="5">
        <f t="shared" si="175"/>
        <v>23276.661120151992</v>
      </c>
      <c r="T2770" cm="1">
        <f t="array" ref="T2770">IF(OR(B2770="MAL ALIMI", B2770="ÜRETİM GİRİŞ"), MIN(I2770, MAX(0, I2770 + SUM(SUMIFS($I$1:I2769, $C$1:C2769, C2770, $B$1:B2769, {"MAL ALIMI","ÜRETİM GİRİŞ"})) - VLOOKUP(C2770, 'STOK RAPORU'!$C$2:$I$1000, 4, 0))), 0)</f>
        <v>0</v>
      </c>
      <c r="U2770" s="22">
        <f t="shared" si="172"/>
        <v>0</v>
      </c>
      <c r="V2770">
        <f t="shared" si="173"/>
        <v>0</v>
      </c>
      <c r="W2770" s="22">
        <f t="shared" si="174"/>
        <v>0</v>
      </c>
    </row>
    <row r="2771" spans="1:23" hidden="1" x14ac:dyDescent="0.25">
      <c r="A2771" s="3">
        <v>46024</v>
      </c>
      <c r="B2771" s="4" t="s">
        <v>334</v>
      </c>
      <c r="C2771" s="4" t="s">
        <v>825</v>
      </c>
      <c r="D2771" s="4"/>
      <c r="E2771" s="4"/>
      <c r="F2771" s="4" t="s">
        <v>1553</v>
      </c>
      <c r="G2771" s="4" t="s">
        <v>336</v>
      </c>
      <c r="H2771" s="4" t="s">
        <v>289</v>
      </c>
      <c r="I2771" s="4">
        <v>1</v>
      </c>
      <c r="J2771" s="21">
        <v>180</v>
      </c>
      <c r="K2771" s="21">
        <v>0</v>
      </c>
      <c r="L2771" s="5">
        <v>0</v>
      </c>
      <c r="M2771" s="4"/>
      <c r="N2771" s="4"/>
      <c r="O2771" s="5"/>
      <c r="P2771" s="5"/>
      <c r="Q2771" s="21">
        <v>180</v>
      </c>
      <c r="R2771" s="21">
        <v>0</v>
      </c>
      <c r="S2771" s="5">
        <f t="shared" si="175"/>
        <v>23456.661120151992</v>
      </c>
      <c r="T2771" cm="1">
        <f t="array" ref="T2771">IF(OR(B2771="MAL ALIMI", B2771="ÜRETİM GİRİŞ"), MIN(I2771, MAX(0, I2771 + SUM(SUMIFS($I$1:I2770, $C$1:C2770, C2771, $B$1:B2770, {"MAL ALIMI","ÜRETİM GİRİŞ"})) - VLOOKUP(C2771, 'STOK RAPORU'!$C$2:$I$1000, 4, 0))), 0)</f>
        <v>0</v>
      </c>
      <c r="U2771" s="22">
        <f t="shared" si="172"/>
        <v>0</v>
      </c>
      <c r="V2771">
        <f t="shared" si="173"/>
        <v>0</v>
      </c>
      <c r="W2771" s="22">
        <f t="shared" si="174"/>
        <v>0</v>
      </c>
    </row>
    <row r="2772" spans="1:23" hidden="1" x14ac:dyDescent="0.25">
      <c r="A2772" s="3">
        <v>46024</v>
      </c>
      <c r="B2772" s="4" t="s">
        <v>334</v>
      </c>
      <c r="C2772" s="4" t="s">
        <v>463</v>
      </c>
      <c r="D2772" s="4"/>
      <c r="E2772" s="4"/>
      <c r="F2772" s="4" t="s">
        <v>1554</v>
      </c>
      <c r="G2772" s="4" t="s">
        <v>336</v>
      </c>
      <c r="H2772" s="4" t="s">
        <v>289</v>
      </c>
      <c r="I2772" s="4">
        <v>0.21621621621621623</v>
      </c>
      <c r="J2772" s="21">
        <v>370</v>
      </c>
      <c r="K2772" s="21">
        <v>0</v>
      </c>
      <c r="L2772" s="5">
        <v>0</v>
      </c>
      <c r="M2772" s="4"/>
      <c r="N2772" s="4"/>
      <c r="O2772" s="5"/>
      <c r="P2772" s="5"/>
      <c r="Q2772" s="21">
        <v>80</v>
      </c>
      <c r="R2772" s="21">
        <v>0</v>
      </c>
      <c r="S2772" s="5">
        <f t="shared" si="175"/>
        <v>23536.661120151992</v>
      </c>
      <c r="T2772" cm="1">
        <f t="array" ref="T2772">IF(OR(B2772="MAL ALIMI", B2772="ÜRETİM GİRİŞ"), MIN(I2772, MAX(0, I2772 + SUM(SUMIFS($I$1:I2771, $C$1:C2771, C2772, $B$1:B2771, {"MAL ALIMI","ÜRETİM GİRİŞ"})) - VLOOKUP(C2772, 'STOK RAPORU'!$C$2:$I$1000, 4, 0))), 0)</f>
        <v>0</v>
      </c>
      <c r="U2772" s="22">
        <f t="shared" si="172"/>
        <v>0</v>
      </c>
      <c r="V2772">
        <f t="shared" si="173"/>
        <v>0</v>
      </c>
      <c r="W2772" s="22">
        <f t="shared" si="174"/>
        <v>0</v>
      </c>
    </row>
    <row r="2773" spans="1:23" hidden="1" x14ac:dyDescent="0.25">
      <c r="A2773" s="3">
        <v>46024</v>
      </c>
      <c r="B2773" s="4" t="s">
        <v>334</v>
      </c>
      <c r="C2773" s="4" t="s">
        <v>160</v>
      </c>
      <c r="D2773" s="4"/>
      <c r="E2773" s="4"/>
      <c r="F2773" s="4" t="s">
        <v>1555</v>
      </c>
      <c r="G2773" s="4" t="s">
        <v>336</v>
      </c>
      <c r="H2773" s="4" t="s">
        <v>289</v>
      </c>
      <c r="I2773" s="4">
        <v>1</v>
      </c>
      <c r="J2773" s="21">
        <v>240</v>
      </c>
      <c r="K2773" s="21">
        <v>0</v>
      </c>
      <c r="L2773" s="5">
        <v>0</v>
      </c>
      <c r="M2773" s="4"/>
      <c r="N2773" s="4"/>
      <c r="O2773" s="5"/>
      <c r="P2773" s="5"/>
      <c r="Q2773" s="21">
        <v>240</v>
      </c>
      <c r="R2773" s="21">
        <v>0</v>
      </c>
      <c r="S2773" s="5">
        <f t="shared" si="175"/>
        <v>23776.661120151992</v>
      </c>
      <c r="T2773" cm="1">
        <f t="array" ref="T2773">IF(OR(B2773="MAL ALIMI", B2773="ÜRETİM GİRİŞ"), MIN(I2773, MAX(0, I2773 + SUM(SUMIFS($I$1:I2772, $C$1:C2772, C2773, $B$1:B2772, {"MAL ALIMI","ÜRETİM GİRİŞ"})) - VLOOKUP(C2773, 'STOK RAPORU'!$C$2:$I$1000, 4, 0))), 0)</f>
        <v>0</v>
      </c>
      <c r="U2773" s="22">
        <f t="shared" si="172"/>
        <v>0</v>
      </c>
      <c r="V2773">
        <f t="shared" si="173"/>
        <v>0</v>
      </c>
      <c r="W2773" s="22">
        <f t="shared" si="174"/>
        <v>0</v>
      </c>
    </row>
    <row r="2774" spans="1:23" hidden="1" x14ac:dyDescent="0.25">
      <c r="A2774" s="3">
        <v>46024</v>
      </c>
      <c r="B2774" s="4" t="s">
        <v>334</v>
      </c>
      <c r="C2774" s="4" t="s">
        <v>161</v>
      </c>
      <c r="D2774" s="4"/>
      <c r="E2774" s="4"/>
      <c r="F2774" s="4" t="s">
        <v>1555</v>
      </c>
      <c r="G2774" s="4" t="s">
        <v>336</v>
      </c>
      <c r="H2774" s="4" t="s">
        <v>289</v>
      </c>
      <c r="I2774" s="4">
        <v>1</v>
      </c>
      <c r="J2774" s="21">
        <v>230</v>
      </c>
      <c r="K2774" s="21">
        <v>0</v>
      </c>
      <c r="L2774" s="5">
        <v>0</v>
      </c>
      <c r="M2774" s="4"/>
      <c r="N2774" s="4"/>
      <c r="O2774" s="5"/>
      <c r="P2774" s="5"/>
      <c r="Q2774" s="21">
        <v>230</v>
      </c>
      <c r="R2774" s="21">
        <v>0</v>
      </c>
      <c r="S2774" s="5">
        <f t="shared" si="175"/>
        <v>24006.661120151992</v>
      </c>
      <c r="T2774" cm="1">
        <f t="array" ref="T2774">IF(OR(B2774="MAL ALIMI", B2774="ÜRETİM GİRİŞ"), MIN(I2774, MAX(0, I2774 + SUM(SUMIFS($I$1:I2773, $C$1:C2773, C2774, $B$1:B2773, {"MAL ALIMI","ÜRETİM GİRİŞ"})) - VLOOKUP(C2774, 'STOK RAPORU'!$C$2:$I$1000, 4, 0))), 0)</f>
        <v>0</v>
      </c>
      <c r="U2774" s="22">
        <f t="shared" si="172"/>
        <v>0</v>
      </c>
      <c r="V2774">
        <f t="shared" si="173"/>
        <v>0</v>
      </c>
      <c r="W2774" s="22">
        <f t="shared" si="174"/>
        <v>0</v>
      </c>
    </row>
    <row r="2775" spans="1:23" hidden="1" x14ac:dyDescent="0.25">
      <c r="A2775" s="3">
        <v>46024</v>
      </c>
      <c r="B2775" s="4" t="s">
        <v>334</v>
      </c>
      <c r="C2775" s="4" t="s">
        <v>1150</v>
      </c>
      <c r="D2775" s="4"/>
      <c r="E2775" s="4"/>
      <c r="F2775" s="4" t="s">
        <v>1555</v>
      </c>
      <c r="G2775" s="4" t="s">
        <v>336</v>
      </c>
      <c r="H2775" s="4" t="s">
        <v>289</v>
      </c>
      <c r="I2775" s="4">
        <v>5.6000000000000001E-2</v>
      </c>
      <c r="J2775" s="21">
        <v>540</v>
      </c>
      <c r="K2775" s="21">
        <v>0</v>
      </c>
      <c r="L2775" s="5">
        <v>0</v>
      </c>
      <c r="M2775" s="4"/>
      <c r="N2775" s="4"/>
      <c r="O2775" s="5"/>
      <c r="P2775" s="5"/>
      <c r="Q2775" s="21">
        <v>30.240000000000002</v>
      </c>
      <c r="R2775" s="21">
        <v>0</v>
      </c>
      <c r="S2775" s="5">
        <f t="shared" si="175"/>
        <v>24036.901120151993</v>
      </c>
      <c r="T2775" cm="1">
        <f t="array" ref="T2775">IF(OR(B2775="MAL ALIMI", B2775="ÜRETİM GİRİŞ"), MIN(I2775, MAX(0, I2775 + SUM(SUMIFS($I$1:I2774, $C$1:C2774, C2775, $B$1:B2774, {"MAL ALIMI","ÜRETİM GİRİŞ"})) - VLOOKUP(C2775, 'STOK RAPORU'!$C$2:$I$1000, 4, 0))), 0)</f>
        <v>0</v>
      </c>
      <c r="U2775" s="22">
        <f t="shared" si="172"/>
        <v>0</v>
      </c>
      <c r="V2775">
        <f t="shared" si="173"/>
        <v>0</v>
      </c>
      <c r="W2775" s="22">
        <f t="shared" si="174"/>
        <v>0</v>
      </c>
    </row>
    <row r="2776" spans="1:23" hidden="1" x14ac:dyDescent="0.25">
      <c r="A2776" s="3">
        <v>46024</v>
      </c>
      <c r="B2776" s="4" t="s">
        <v>334</v>
      </c>
      <c r="C2776" s="4" t="s">
        <v>729</v>
      </c>
      <c r="D2776" s="4"/>
      <c r="E2776" s="4" t="s">
        <v>921</v>
      </c>
      <c r="F2776" s="4" t="s">
        <v>1556</v>
      </c>
      <c r="G2776" s="4" t="s">
        <v>336</v>
      </c>
      <c r="H2776" s="4" t="s">
        <v>380</v>
      </c>
      <c r="I2776" s="4">
        <v>1</v>
      </c>
      <c r="J2776" s="21">
        <v>90</v>
      </c>
      <c r="K2776" s="21">
        <v>90</v>
      </c>
      <c r="L2776" s="5">
        <v>0</v>
      </c>
      <c r="M2776" s="4"/>
      <c r="N2776" s="4"/>
      <c r="O2776" s="5"/>
      <c r="P2776" s="5"/>
      <c r="Q2776" s="21">
        <v>0</v>
      </c>
      <c r="R2776" s="21">
        <v>0</v>
      </c>
      <c r="S2776" s="5">
        <f t="shared" si="175"/>
        <v>24036.901120151993</v>
      </c>
      <c r="T2776" cm="1">
        <f t="array" ref="T2776">IF(OR(B2776="MAL ALIMI", B2776="ÜRETİM GİRİŞ"), MIN(I2776, MAX(0, I2776 + SUM(SUMIFS($I$1:I2775, $C$1:C2775, C2776, $B$1:B2775, {"MAL ALIMI","ÜRETİM GİRİŞ"})) - VLOOKUP(C2776, 'STOK RAPORU'!$C$2:$I$1000, 4, 0))), 0)</f>
        <v>0</v>
      </c>
      <c r="U2776" s="22">
        <f t="shared" si="172"/>
        <v>0</v>
      </c>
      <c r="V2776">
        <f t="shared" si="173"/>
        <v>0</v>
      </c>
      <c r="W2776" s="22">
        <f t="shared" si="174"/>
        <v>0</v>
      </c>
    </row>
    <row r="2777" spans="1:23" hidden="1" x14ac:dyDescent="0.25">
      <c r="A2777" s="3">
        <v>46024</v>
      </c>
      <c r="B2777" s="4" t="s">
        <v>334</v>
      </c>
      <c r="C2777" s="4" t="s">
        <v>1360</v>
      </c>
      <c r="D2777" s="4"/>
      <c r="E2777" s="4" t="s">
        <v>921</v>
      </c>
      <c r="F2777" s="4" t="s">
        <v>1557</v>
      </c>
      <c r="G2777" s="4" t="s">
        <v>336</v>
      </c>
      <c r="H2777" s="4" t="s">
        <v>380</v>
      </c>
      <c r="I2777" s="4">
        <v>0.5</v>
      </c>
      <c r="J2777" s="21">
        <v>400</v>
      </c>
      <c r="K2777" s="21">
        <v>200</v>
      </c>
      <c r="L2777" s="5">
        <v>0</v>
      </c>
      <c r="M2777" s="4"/>
      <c r="N2777" s="4"/>
      <c r="O2777" s="5"/>
      <c r="P2777" s="5"/>
      <c r="Q2777" s="21">
        <v>0</v>
      </c>
      <c r="R2777" s="21">
        <v>0</v>
      </c>
      <c r="S2777" s="5">
        <f t="shared" si="175"/>
        <v>24036.901120151993</v>
      </c>
      <c r="T2777" cm="1">
        <f t="array" ref="T2777">IF(OR(B2777="MAL ALIMI", B2777="ÜRETİM GİRİŞ"), MIN(I2777, MAX(0, I2777 + SUM(SUMIFS($I$1:I2776, $C$1:C2776, C2777, $B$1:B2776, {"MAL ALIMI","ÜRETİM GİRİŞ"})) - VLOOKUP(C2777, 'STOK RAPORU'!$C$2:$I$1000, 4, 0))), 0)</f>
        <v>0</v>
      </c>
      <c r="U2777" s="22">
        <f t="shared" si="172"/>
        <v>0</v>
      </c>
      <c r="V2777">
        <f t="shared" si="173"/>
        <v>0</v>
      </c>
      <c r="W2777" s="22">
        <f t="shared" si="174"/>
        <v>0</v>
      </c>
    </row>
    <row r="2778" spans="1:23" hidden="1" x14ac:dyDescent="0.25">
      <c r="A2778" s="45">
        <v>46024</v>
      </c>
      <c r="B2778" s="46" t="s">
        <v>334</v>
      </c>
      <c r="C2778" s="46" t="s">
        <v>585</v>
      </c>
      <c r="D2778" s="46"/>
      <c r="E2778" s="46"/>
      <c r="F2778" s="46" t="s">
        <v>1558</v>
      </c>
      <c r="G2778" s="46" t="s">
        <v>336</v>
      </c>
      <c r="H2778" s="46" t="s">
        <v>289</v>
      </c>
      <c r="I2778" s="46">
        <v>2.0699999999999998</v>
      </c>
      <c r="J2778" s="47">
        <v>200</v>
      </c>
      <c r="K2778" s="47">
        <v>0</v>
      </c>
      <c r="L2778" s="48">
        <v>0</v>
      </c>
      <c r="M2778" s="46"/>
      <c r="N2778" s="46"/>
      <c r="O2778" s="48"/>
      <c r="P2778" s="48"/>
      <c r="Q2778" s="47">
        <v>413.99999999999994</v>
      </c>
      <c r="R2778" s="47">
        <v>0</v>
      </c>
      <c r="S2778" s="5">
        <f t="shared" si="175"/>
        <v>24450.901120151993</v>
      </c>
      <c r="T2778" cm="1">
        <f t="array" ref="T2778">IF(OR(B2778="MAL ALIMI", B2778="ÜRETİM GİRİŞ"), MIN(I2778, MAX(0, I2778 + SUM(SUMIFS($I$1:I2777, $C$1:C2777, C2778, $B$1:B2777, {"MAL ALIMI","ÜRETİM GİRİŞ"})) - VLOOKUP(C2778, 'STOK RAPORU'!$C$2:$I$1000, 4, 0))), 0)</f>
        <v>0</v>
      </c>
      <c r="U2778" s="22">
        <f t="shared" si="172"/>
        <v>0</v>
      </c>
      <c r="V2778">
        <f t="shared" si="173"/>
        <v>0</v>
      </c>
      <c r="W2778" s="22">
        <f t="shared" si="174"/>
        <v>0</v>
      </c>
    </row>
    <row r="2779" spans="1:23" hidden="1" x14ac:dyDescent="0.25">
      <c r="A2779" s="45">
        <v>46024</v>
      </c>
      <c r="B2779" s="46" t="s">
        <v>334</v>
      </c>
      <c r="C2779" s="46" t="s">
        <v>92</v>
      </c>
      <c r="D2779" s="46"/>
      <c r="E2779" s="46"/>
      <c r="F2779" s="46" t="s">
        <v>1558</v>
      </c>
      <c r="G2779" s="46" t="s">
        <v>336</v>
      </c>
      <c r="H2779" s="46" t="s">
        <v>289</v>
      </c>
      <c r="I2779" s="46">
        <v>0.2</v>
      </c>
      <c r="J2779" s="47">
        <v>500</v>
      </c>
      <c r="K2779" s="47">
        <v>0</v>
      </c>
      <c r="L2779" s="48">
        <v>0</v>
      </c>
      <c r="M2779" s="46"/>
      <c r="N2779" s="46"/>
      <c r="O2779" s="48"/>
      <c r="P2779" s="48"/>
      <c r="Q2779" s="47">
        <v>100</v>
      </c>
      <c r="R2779" s="47">
        <v>0</v>
      </c>
      <c r="S2779" s="5">
        <f t="shared" si="175"/>
        <v>24550.901120151993</v>
      </c>
      <c r="T2779" cm="1">
        <f t="array" ref="T2779">IF(OR(B2779="MAL ALIMI", B2779="ÜRETİM GİRİŞ"), MIN(I2779, MAX(0, I2779 + SUM(SUMIFS($I$1:I2778, $C$1:C2778, C2779, $B$1:B2778, {"MAL ALIMI","ÜRETİM GİRİŞ"})) - VLOOKUP(C2779, 'STOK RAPORU'!$C$2:$I$1000, 4, 0))), 0)</f>
        <v>0</v>
      </c>
      <c r="U2779" s="22">
        <f t="shared" si="172"/>
        <v>0</v>
      </c>
      <c r="V2779">
        <f t="shared" si="173"/>
        <v>0</v>
      </c>
      <c r="W2779" s="22">
        <f t="shared" si="174"/>
        <v>0</v>
      </c>
    </row>
    <row r="2780" spans="1:23" hidden="1" x14ac:dyDescent="0.25">
      <c r="A2780" s="45">
        <v>46024</v>
      </c>
      <c r="B2780" s="46" t="s">
        <v>334</v>
      </c>
      <c r="C2780" s="46" t="s">
        <v>96</v>
      </c>
      <c r="D2780" s="46"/>
      <c r="E2780" s="46"/>
      <c r="F2780" s="46" t="s">
        <v>1558</v>
      </c>
      <c r="G2780" s="46" t="s">
        <v>336</v>
      </c>
      <c r="H2780" s="46" t="s">
        <v>289</v>
      </c>
      <c r="I2780" s="46">
        <v>0.2</v>
      </c>
      <c r="J2780" s="47">
        <v>380</v>
      </c>
      <c r="K2780" s="47">
        <v>0</v>
      </c>
      <c r="L2780" s="48">
        <v>0</v>
      </c>
      <c r="M2780" s="46"/>
      <c r="N2780" s="46"/>
      <c r="O2780" s="48"/>
      <c r="P2780" s="48"/>
      <c r="Q2780" s="47">
        <v>76</v>
      </c>
      <c r="R2780" s="47">
        <v>0</v>
      </c>
      <c r="S2780" s="5">
        <f t="shared" si="175"/>
        <v>24626.901120151993</v>
      </c>
      <c r="T2780" cm="1">
        <f t="array" ref="T2780">IF(OR(B2780="MAL ALIMI", B2780="ÜRETİM GİRİŞ"), MIN(I2780, MAX(0, I2780 + SUM(SUMIFS($I$1:I2779, $C$1:C2779, C2780, $B$1:B2779, {"MAL ALIMI","ÜRETİM GİRİŞ"})) - VLOOKUP(C2780, 'STOK RAPORU'!$C$2:$I$1000, 4, 0))), 0)</f>
        <v>0</v>
      </c>
      <c r="U2780" s="22">
        <f t="shared" si="172"/>
        <v>0</v>
      </c>
      <c r="V2780">
        <f t="shared" si="173"/>
        <v>0</v>
      </c>
      <c r="W2780" s="22">
        <f t="shared" si="174"/>
        <v>0</v>
      </c>
    </row>
    <row r="2781" spans="1:23" hidden="1" x14ac:dyDescent="0.25">
      <c r="A2781" s="3">
        <v>46024</v>
      </c>
      <c r="B2781" s="4" t="s">
        <v>334</v>
      </c>
      <c r="C2781" s="4" t="s">
        <v>209</v>
      </c>
      <c r="D2781" s="4"/>
      <c r="E2781" s="4" t="s">
        <v>921</v>
      </c>
      <c r="F2781" s="4" t="s">
        <v>1559</v>
      </c>
      <c r="G2781" s="4" t="s">
        <v>336</v>
      </c>
      <c r="H2781" s="4" t="s">
        <v>380</v>
      </c>
      <c r="I2781" s="4">
        <v>0.1</v>
      </c>
      <c r="J2781" s="21">
        <v>2600</v>
      </c>
      <c r="K2781" s="21">
        <v>260</v>
      </c>
      <c r="L2781" s="5">
        <v>0</v>
      </c>
      <c r="M2781" s="4"/>
      <c r="N2781" s="4"/>
      <c r="O2781" s="5"/>
      <c r="P2781" s="5"/>
      <c r="Q2781" s="21">
        <v>0</v>
      </c>
      <c r="R2781" s="21">
        <v>0</v>
      </c>
      <c r="S2781" s="5">
        <f t="shared" si="175"/>
        <v>24626.901120151993</v>
      </c>
      <c r="T2781" cm="1">
        <f t="array" ref="T2781">IF(OR(B2781="MAL ALIMI", B2781="ÜRETİM GİRİŞ"), MIN(I2781, MAX(0, I2781 + SUM(SUMIFS($I$1:I2780, $C$1:C2780, C2781, $B$1:B2780, {"MAL ALIMI","ÜRETİM GİRİŞ"})) - VLOOKUP(C2781, 'STOK RAPORU'!$C$2:$I$1000, 4, 0))), 0)</f>
        <v>0</v>
      </c>
      <c r="U2781" s="22">
        <f t="shared" si="172"/>
        <v>0</v>
      </c>
      <c r="V2781">
        <f t="shared" si="173"/>
        <v>0</v>
      </c>
      <c r="W2781" s="22">
        <f t="shared" si="174"/>
        <v>0</v>
      </c>
    </row>
    <row r="2782" spans="1:23" hidden="1" x14ac:dyDescent="0.25">
      <c r="A2782" s="3">
        <v>46024</v>
      </c>
      <c r="B2782" s="4" t="s">
        <v>334</v>
      </c>
      <c r="C2782" s="4" t="s">
        <v>140</v>
      </c>
      <c r="D2782" s="4"/>
      <c r="E2782" s="4"/>
      <c r="F2782" s="4" t="s">
        <v>1560</v>
      </c>
      <c r="G2782" s="4" t="s">
        <v>336</v>
      </c>
      <c r="H2782" s="4" t="s">
        <v>289</v>
      </c>
      <c r="I2782" s="4">
        <v>0.214</v>
      </c>
      <c r="J2782" s="21">
        <v>281</v>
      </c>
      <c r="K2782" s="21">
        <v>0</v>
      </c>
      <c r="L2782" s="5">
        <v>0</v>
      </c>
      <c r="M2782" s="4"/>
      <c r="N2782" s="4"/>
      <c r="O2782" s="5"/>
      <c r="P2782" s="5"/>
      <c r="Q2782" s="21">
        <v>60.134</v>
      </c>
      <c r="R2782" s="21">
        <v>0</v>
      </c>
      <c r="S2782" s="5">
        <f t="shared" si="175"/>
        <v>24687.035120151992</v>
      </c>
      <c r="T2782" cm="1">
        <f t="array" ref="T2782">IF(OR(B2782="MAL ALIMI", B2782="ÜRETİM GİRİŞ"), MIN(I2782, MAX(0, I2782 + SUM(SUMIFS($I$1:I2781, $C$1:C2781, C2782, $B$1:B2781, {"MAL ALIMI","ÜRETİM GİRİŞ"})) - VLOOKUP(C2782, 'STOK RAPORU'!$C$2:$I$1000, 4, 0))), 0)</f>
        <v>0</v>
      </c>
      <c r="U2782" s="22">
        <f t="shared" si="172"/>
        <v>0</v>
      </c>
      <c r="V2782">
        <f t="shared" si="173"/>
        <v>0</v>
      </c>
      <c r="W2782" s="22">
        <f t="shared" si="174"/>
        <v>0</v>
      </c>
    </row>
    <row r="2783" spans="1:23" hidden="1" x14ac:dyDescent="0.25">
      <c r="A2783" s="3">
        <v>46024</v>
      </c>
      <c r="B2783" s="4" t="s">
        <v>334</v>
      </c>
      <c r="C2783" s="4" t="s">
        <v>1180</v>
      </c>
      <c r="D2783" s="4"/>
      <c r="E2783" s="4" t="s">
        <v>921</v>
      </c>
      <c r="F2783" s="4" t="s">
        <v>1561</v>
      </c>
      <c r="G2783" s="4" t="s">
        <v>336</v>
      </c>
      <c r="H2783" s="4" t="s">
        <v>380</v>
      </c>
      <c r="I2783" s="4">
        <v>1</v>
      </c>
      <c r="J2783" s="21">
        <v>490</v>
      </c>
      <c r="K2783" s="21">
        <v>490</v>
      </c>
      <c r="L2783" s="5">
        <v>0</v>
      </c>
      <c r="M2783" s="4"/>
      <c r="N2783" s="4"/>
      <c r="O2783" s="5"/>
      <c r="P2783" s="5"/>
      <c r="Q2783" s="21">
        <v>0</v>
      </c>
      <c r="R2783" s="21">
        <v>0</v>
      </c>
      <c r="S2783" s="5">
        <f t="shared" si="175"/>
        <v>24687.035120151992</v>
      </c>
      <c r="T2783" cm="1">
        <f t="array" ref="T2783">IF(OR(B2783="MAL ALIMI", B2783="ÜRETİM GİRİŞ"), MIN(I2783, MAX(0, I2783 + SUM(SUMIFS($I$1:I2782, $C$1:C2782, C2783, $B$1:B2782, {"MAL ALIMI","ÜRETİM GİRİŞ"})) - VLOOKUP(C2783, 'STOK RAPORU'!$C$2:$I$1000, 4, 0))), 0)</f>
        <v>0</v>
      </c>
      <c r="U2783" s="22">
        <f t="shared" si="172"/>
        <v>0</v>
      </c>
      <c r="V2783">
        <f t="shared" si="173"/>
        <v>0</v>
      </c>
      <c r="W2783" s="22">
        <f t="shared" si="174"/>
        <v>0</v>
      </c>
    </row>
    <row r="2784" spans="1:23" hidden="1" x14ac:dyDescent="0.25">
      <c r="A2784" s="3">
        <v>46024</v>
      </c>
      <c r="B2784" s="3" t="s">
        <v>3945</v>
      </c>
      <c r="C2784" s="4"/>
      <c r="D2784" s="4"/>
      <c r="E2784" s="4" t="s">
        <v>115</v>
      </c>
      <c r="F2784" s="4"/>
      <c r="G2784" s="4" t="s">
        <v>1506</v>
      </c>
      <c r="H2784" s="4" t="s">
        <v>289</v>
      </c>
      <c r="I2784" s="4">
        <v>1</v>
      </c>
      <c r="J2784" s="21">
        <v>45800</v>
      </c>
      <c r="K2784" s="21">
        <v>0</v>
      </c>
      <c r="L2784" s="5">
        <v>45800</v>
      </c>
      <c r="M2784" s="21">
        <v>0</v>
      </c>
      <c r="N2784" s="21">
        <v>10000</v>
      </c>
      <c r="O2784" s="5"/>
      <c r="P2784" s="5"/>
      <c r="Q2784" s="21">
        <v>45800</v>
      </c>
      <c r="R2784" s="21">
        <v>0</v>
      </c>
      <c r="S2784" s="5">
        <f t="shared" si="175"/>
        <v>70487.035120151995</v>
      </c>
      <c r="T2784" cm="1">
        <f t="array" ref="T2784">IF(OR(B2784="MAL ALIMI", B2784="ÜRETİM GİRİŞ"), MIN(I2784, MAX(0, I2784 + SUM(SUMIFS($I$1:I2783, $C$1:C2783, C2784, $B$1:B2783, {"MAL ALIMI","ÜRETİM GİRİŞ"})) - VLOOKUP(C2784, 'STOK RAPORU'!$C$2:$I$1000, 4, 0))), 0)</f>
        <v>0</v>
      </c>
      <c r="U2784" s="22">
        <f t="shared" si="172"/>
        <v>0</v>
      </c>
      <c r="V2784">
        <f t="shared" si="173"/>
        <v>0</v>
      </c>
      <c r="W2784" s="22">
        <f t="shared" si="174"/>
        <v>0</v>
      </c>
    </row>
    <row r="2785" spans="1:23" hidden="1" x14ac:dyDescent="0.25">
      <c r="A2785" s="3">
        <v>46024</v>
      </c>
      <c r="B2785" s="4" t="s">
        <v>917</v>
      </c>
      <c r="C2785" s="4"/>
      <c r="D2785" s="4"/>
      <c r="E2785" s="4" t="s">
        <v>1361</v>
      </c>
      <c r="F2785" s="4"/>
      <c r="G2785" s="4" t="s">
        <v>1780</v>
      </c>
      <c r="H2785" s="4" t="s">
        <v>289</v>
      </c>
      <c r="I2785" s="4">
        <v>1</v>
      </c>
      <c r="J2785" s="21">
        <v>0</v>
      </c>
      <c r="K2785" s="21">
        <v>11643.5</v>
      </c>
      <c r="L2785" s="5">
        <v>0</v>
      </c>
      <c r="M2785" s="21">
        <v>10000</v>
      </c>
      <c r="N2785" s="5"/>
      <c r="O2785" s="5"/>
      <c r="P2785" s="21">
        <v>0</v>
      </c>
      <c r="Q2785" s="21">
        <v>0</v>
      </c>
      <c r="R2785" s="21">
        <v>11643.5</v>
      </c>
      <c r="S2785" s="5">
        <f t="shared" si="175"/>
        <v>58843.535120151995</v>
      </c>
      <c r="T2785" cm="1">
        <f t="array" ref="T2785">IF(OR(B2785="MAL ALIMI", B2785="ÜRETİM GİRİŞ"), MIN(I2785, MAX(0, I2785 + SUM(SUMIFS($I$1:I2784, $C$1:C2784, C2785, $B$1:B2784, {"MAL ALIMI","ÜRETİM GİRİŞ"})) - VLOOKUP(C2785, 'STOK RAPORU'!$C$2:$I$1000, 4, 0))), 0)</f>
        <v>0</v>
      </c>
      <c r="U2785" s="22">
        <f t="shared" si="172"/>
        <v>0</v>
      </c>
      <c r="V2785">
        <f t="shared" si="173"/>
        <v>0</v>
      </c>
      <c r="W2785" s="22">
        <f t="shared" si="174"/>
        <v>0</v>
      </c>
    </row>
    <row r="2786" spans="1:23" hidden="1" x14ac:dyDescent="0.25">
      <c r="A2786" s="3">
        <v>46024</v>
      </c>
      <c r="B2786" s="4" t="s">
        <v>285</v>
      </c>
      <c r="C2786" s="4"/>
      <c r="D2786" s="4" t="s">
        <v>108</v>
      </c>
      <c r="E2786" s="4"/>
      <c r="F2786" s="4"/>
      <c r="G2786" s="4" t="s">
        <v>3273</v>
      </c>
      <c r="H2786" s="4" t="s">
        <v>289</v>
      </c>
      <c r="I2786" s="4">
        <v>1</v>
      </c>
      <c r="J2786" s="21">
        <v>22000</v>
      </c>
      <c r="K2786" s="21">
        <v>0</v>
      </c>
      <c r="L2786" s="5">
        <v>0</v>
      </c>
      <c r="M2786" s="4"/>
      <c r="N2786" s="5"/>
      <c r="O2786" s="5"/>
      <c r="P2786" s="21">
        <v>0</v>
      </c>
      <c r="Q2786" s="21">
        <v>0</v>
      </c>
      <c r="R2786" s="21">
        <v>22000</v>
      </c>
      <c r="S2786" s="5">
        <f t="shared" si="175"/>
        <v>36843.535120151995</v>
      </c>
      <c r="T2786" cm="1">
        <f t="array" ref="T2786">IF(OR(B2786="MAL ALIMI", B2786="ÜRETİM GİRİŞ"), MIN(I2786, MAX(0, I2786 + SUM(SUMIFS($I$1:I2785, $C$1:C2785, C2786, $B$1:B2785, {"MAL ALIMI","ÜRETİM GİRİŞ"})) - VLOOKUP(C2786, 'STOK RAPORU'!$C$2:$I$1000, 4, 0))), 0)</f>
        <v>0</v>
      </c>
      <c r="U2786" s="22">
        <f t="shared" si="172"/>
        <v>0</v>
      </c>
      <c r="V2786">
        <f t="shared" si="173"/>
        <v>0</v>
      </c>
      <c r="W2786" s="22">
        <f t="shared" si="174"/>
        <v>0</v>
      </c>
    </row>
    <row r="2787" spans="1:23" hidden="1" x14ac:dyDescent="0.25">
      <c r="A2787" s="3">
        <v>46024</v>
      </c>
      <c r="B2787" s="4" t="s">
        <v>917</v>
      </c>
      <c r="C2787" s="4"/>
      <c r="D2787" s="4"/>
      <c r="E2787" s="4" t="s">
        <v>350</v>
      </c>
      <c r="F2787" s="4"/>
      <c r="G2787" s="4" t="s">
        <v>1781</v>
      </c>
      <c r="H2787" s="4" t="s">
        <v>289</v>
      </c>
      <c r="I2787" s="4">
        <v>1</v>
      </c>
      <c r="J2787" s="21">
        <v>0</v>
      </c>
      <c r="K2787" s="21">
        <v>15000</v>
      </c>
      <c r="L2787" s="5">
        <v>0</v>
      </c>
      <c r="M2787" s="21">
        <v>10000</v>
      </c>
      <c r="N2787" s="5"/>
      <c r="O2787" s="5"/>
      <c r="P2787" s="21">
        <v>0</v>
      </c>
      <c r="Q2787" s="21">
        <v>0</v>
      </c>
      <c r="R2787" s="21">
        <v>15000</v>
      </c>
      <c r="S2787" s="5">
        <f t="shared" si="175"/>
        <v>21843.535120151995</v>
      </c>
      <c r="T2787" cm="1">
        <f t="array" ref="T2787">IF(OR(B2787="MAL ALIMI", B2787="ÜRETİM GİRİŞ"), MIN(I2787, MAX(0, I2787 + SUM(SUMIFS($I$1:I2786, $C$1:C2786, C2787, $B$1:B2786, {"MAL ALIMI","ÜRETİM GİRİŞ"})) - VLOOKUP(C2787, 'STOK RAPORU'!$C$2:$I$1000, 4, 0))), 0)</f>
        <v>0</v>
      </c>
      <c r="U2787" s="22">
        <f t="shared" si="172"/>
        <v>0</v>
      </c>
      <c r="V2787">
        <f t="shared" si="173"/>
        <v>0</v>
      </c>
      <c r="W2787" s="22">
        <f t="shared" si="174"/>
        <v>0</v>
      </c>
    </row>
    <row r="2788" spans="1:23" hidden="1" x14ac:dyDescent="0.25">
      <c r="A2788" s="3">
        <v>46024</v>
      </c>
      <c r="B2788" s="4" t="s">
        <v>917</v>
      </c>
      <c r="C2788" s="4"/>
      <c r="D2788" s="4"/>
      <c r="E2788" s="4" t="s">
        <v>855</v>
      </c>
      <c r="F2788" s="4"/>
      <c r="G2788" s="4" t="s">
        <v>1782</v>
      </c>
      <c r="H2788" s="4" t="s">
        <v>289</v>
      </c>
      <c r="I2788" s="4">
        <v>1</v>
      </c>
      <c r="J2788" s="21">
        <v>0</v>
      </c>
      <c r="K2788" s="21">
        <v>15000</v>
      </c>
      <c r="L2788" s="5">
        <v>0</v>
      </c>
      <c r="M2788" s="21">
        <v>10000</v>
      </c>
      <c r="N2788" s="5"/>
      <c r="O2788" s="5"/>
      <c r="P2788" s="21">
        <v>0</v>
      </c>
      <c r="Q2788" s="21">
        <v>0</v>
      </c>
      <c r="R2788" s="21">
        <v>15000</v>
      </c>
      <c r="S2788" s="5">
        <f t="shared" si="175"/>
        <v>6843.5351201519952</v>
      </c>
      <c r="T2788" cm="1">
        <f t="array" ref="T2788">IF(OR(B2788="MAL ALIMI", B2788="ÜRETİM GİRİŞ"), MIN(I2788, MAX(0, I2788 + SUM(SUMIFS($I$1:I2787, $C$1:C2787, C2788, $B$1:B2787, {"MAL ALIMI","ÜRETİM GİRİŞ"})) - VLOOKUP(C2788, 'STOK RAPORU'!$C$2:$I$1000, 4, 0))), 0)</f>
        <v>0</v>
      </c>
      <c r="U2788" s="22">
        <f t="shared" si="172"/>
        <v>0</v>
      </c>
      <c r="V2788">
        <f t="shared" si="173"/>
        <v>0</v>
      </c>
      <c r="W2788" s="22">
        <f t="shared" si="174"/>
        <v>0</v>
      </c>
    </row>
    <row r="2789" spans="1:23" hidden="1" x14ac:dyDescent="0.25">
      <c r="A2789" s="3">
        <v>46024</v>
      </c>
      <c r="B2789" s="4" t="s">
        <v>1467</v>
      </c>
      <c r="C2789" s="4" t="s">
        <v>246</v>
      </c>
      <c r="D2789" s="4"/>
      <c r="E2789" s="4"/>
      <c r="F2789" s="4"/>
      <c r="G2789" s="4" t="s">
        <v>1468</v>
      </c>
      <c r="H2789" s="4" t="s">
        <v>1466</v>
      </c>
      <c r="I2789" s="4">
        <v>0.7</v>
      </c>
      <c r="J2789" s="21">
        <v>1150</v>
      </c>
      <c r="K2789" s="21">
        <v>0</v>
      </c>
      <c r="L2789" s="5">
        <v>0</v>
      </c>
      <c r="M2789" s="4"/>
      <c r="N2789" s="4"/>
      <c r="O2789" s="5"/>
      <c r="P2789" s="5"/>
      <c r="Q2789" s="21">
        <v>804.99999999999989</v>
      </c>
      <c r="R2789" s="21">
        <v>0</v>
      </c>
      <c r="S2789" s="5">
        <f t="shared" si="175"/>
        <v>7648.5351201519952</v>
      </c>
      <c r="T2789" cm="1">
        <f t="array" ref="T2789">IF(OR(B2789="MAL ALIMI", B2789="ÜRETİM GİRİŞ"), MIN(I2789, MAX(0, I2789 + SUM(SUMIFS($I$1:I2788, $C$1:C2788, C2789, $B$1:B2788, {"MAL ALIMI","ÜRETİM GİRİŞ"})) - VLOOKUP(C2789, 'STOK RAPORU'!$C$2:$I$1000, 4, 0))), 0)</f>
        <v>0</v>
      </c>
      <c r="U2789" s="22">
        <f t="shared" si="172"/>
        <v>0</v>
      </c>
      <c r="V2789">
        <f t="shared" si="173"/>
        <v>0</v>
      </c>
      <c r="W2789" s="22">
        <f t="shared" si="174"/>
        <v>0</v>
      </c>
    </row>
    <row r="2790" spans="1:23" hidden="1" x14ac:dyDescent="0.25">
      <c r="A2790" s="3">
        <v>46024</v>
      </c>
      <c r="B2790" s="4" t="s">
        <v>1467</v>
      </c>
      <c r="C2790" s="4" t="s">
        <v>247</v>
      </c>
      <c r="D2790" s="4"/>
      <c r="E2790" s="4"/>
      <c r="F2790" s="4"/>
      <c r="G2790" s="4" t="s">
        <v>1468</v>
      </c>
      <c r="H2790" s="4" t="s">
        <v>1466</v>
      </c>
      <c r="I2790" s="4">
        <v>0.7</v>
      </c>
      <c r="J2790" s="21">
        <v>1050</v>
      </c>
      <c r="K2790" s="21">
        <v>0</v>
      </c>
      <c r="L2790" s="5">
        <v>0</v>
      </c>
      <c r="M2790" s="4"/>
      <c r="N2790" s="4"/>
      <c r="O2790" s="5"/>
      <c r="P2790" s="5"/>
      <c r="Q2790" s="21">
        <v>735</v>
      </c>
      <c r="R2790" s="21">
        <v>0</v>
      </c>
      <c r="S2790" s="5">
        <f t="shared" si="175"/>
        <v>8383.5351201519952</v>
      </c>
      <c r="T2790" cm="1">
        <f t="array" ref="T2790">IF(OR(B2790="MAL ALIMI", B2790="ÜRETİM GİRİŞ"), MIN(I2790, MAX(0, I2790 + SUM(SUMIFS($I$1:I2789, $C$1:C2789, C2790, $B$1:B2789, {"MAL ALIMI","ÜRETİM GİRİŞ"})) - VLOOKUP(C2790, 'STOK RAPORU'!$C$2:$I$1000, 4, 0))), 0)</f>
        <v>0</v>
      </c>
      <c r="U2790" s="22">
        <f t="shared" si="172"/>
        <v>0</v>
      </c>
      <c r="V2790">
        <f t="shared" si="173"/>
        <v>0</v>
      </c>
      <c r="W2790" s="22">
        <f t="shared" si="174"/>
        <v>0</v>
      </c>
    </row>
    <row r="2791" spans="1:23" hidden="1" x14ac:dyDescent="0.25">
      <c r="A2791" s="3">
        <v>46024</v>
      </c>
      <c r="B2791" s="4" t="s">
        <v>1467</v>
      </c>
      <c r="C2791" s="4" t="s">
        <v>648</v>
      </c>
      <c r="D2791" s="4"/>
      <c r="E2791" s="4"/>
      <c r="F2791" s="4"/>
      <c r="G2791" s="4" t="s">
        <v>1468</v>
      </c>
      <c r="H2791" s="4" t="s">
        <v>1466</v>
      </c>
      <c r="I2791" s="4">
        <v>1.4</v>
      </c>
      <c r="J2791" s="21">
        <v>435</v>
      </c>
      <c r="K2791" s="21">
        <v>0</v>
      </c>
      <c r="L2791" s="5">
        <v>0</v>
      </c>
      <c r="M2791" s="4"/>
      <c r="N2791" s="4"/>
      <c r="O2791" s="5"/>
      <c r="P2791" s="5"/>
      <c r="Q2791" s="21">
        <v>609</v>
      </c>
      <c r="R2791" s="21">
        <v>0</v>
      </c>
      <c r="S2791" s="5">
        <f t="shared" si="175"/>
        <v>8992.5351201519952</v>
      </c>
      <c r="T2791" cm="1">
        <f t="array" ref="T2791">IF(OR(B2791="MAL ALIMI", B2791="ÜRETİM GİRİŞ"), MIN(I2791, MAX(0, I2791 + SUM(SUMIFS($I$1:I2790, $C$1:C2790, C2791, $B$1:B2790, {"MAL ALIMI","ÜRETİM GİRİŞ"})) - VLOOKUP(C2791, 'STOK RAPORU'!$C$2:$I$1000, 4, 0))), 0)</f>
        <v>0</v>
      </c>
      <c r="U2791" s="22">
        <f t="shared" si="172"/>
        <v>0</v>
      </c>
      <c r="V2791">
        <f t="shared" si="173"/>
        <v>0</v>
      </c>
      <c r="W2791" s="22">
        <f t="shared" si="174"/>
        <v>0</v>
      </c>
    </row>
    <row r="2792" spans="1:23" hidden="1" x14ac:dyDescent="0.25">
      <c r="A2792" s="3">
        <v>46024</v>
      </c>
      <c r="B2792" s="4" t="s">
        <v>1467</v>
      </c>
      <c r="C2792" s="4" t="s">
        <v>244</v>
      </c>
      <c r="D2792" s="4"/>
      <c r="E2792" s="4"/>
      <c r="F2792" s="4"/>
      <c r="G2792" s="4" t="s">
        <v>1468</v>
      </c>
      <c r="H2792" s="4" t="s">
        <v>1466</v>
      </c>
      <c r="I2792" s="4">
        <v>1.4</v>
      </c>
      <c r="J2792" s="21">
        <v>495</v>
      </c>
      <c r="K2792" s="21">
        <v>0</v>
      </c>
      <c r="L2792" s="5">
        <v>0</v>
      </c>
      <c r="M2792" s="4"/>
      <c r="N2792" s="4"/>
      <c r="O2792" s="5"/>
      <c r="P2792" s="5"/>
      <c r="Q2792" s="21">
        <v>693</v>
      </c>
      <c r="R2792" s="21">
        <v>0</v>
      </c>
      <c r="S2792" s="5">
        <f t="shared" si="175"/>
        <v>9685.5351201519952</v>
      </c>
      <c r="T2792" cm="1">
        <f t="array" ref="T2792">IF(OR(B2792="MAL ALIMI", B2792="ÜRETİM GİRİŞ"), MIN(I2792, MAX(0, I2792 + SUM(SUMIFS($I$1:I2791, $C$1:C2791, C2792, $B$1:B2791, {"MAL ALIMI","ÜRETİM GİRİŞ"})) - VLOOKUP(C2792, 'STOK RAPORU'!$C$2:$I$1000, 4, 0))), 0)</f>
        <v>0</v>
      </c>
      <c r="U2792" s="22">
        <f t="shared" si="172"/>
        <v>0</v>
      </c>
      <c r="V2792">
        <f t="shared" si="173"/>
        <v>0</v>
      </c>
      <c r="W2792" s="22">
        <f t="shared" si="174"/>
        <v>0</v>
      </c>
    </row>
    <row r="2793" spans="1:23" hidden="1" x14ac:dyDescent="0.25">
      <c r="A2793" s="3">
        <v>46024</v>
      </c>
      <c r="B2793" s="4" t="s">
        <v>1469</v>
      </c>
      <c r="C2793" s="4" t="s">
        <v>634</v>
      </c>
      <c r="D2793" s="4"/>
      <c r="E2793" s="4"/>
      <c r="F2793" s="4"/>
      <c r="G2793" s="4" t="s">
        <v>1468</v>
      </c>
      <c r="H2793" s="4" t="s">
        <v>1466</v>
      </c>
      <c r="I2793" s="4">
        <v>4.2</v>
      </c>
      <c r="J2793" s="4">
        <v>676.66666666666663</v>
      </c>
      <c r="K2793" s="21">
        <v>0</v>
      </c>
      <c r="L2793" s="5">
        <v>0</v>
      </c>
      <c r="M2793" s="4"/>
      <c r="N2793" s="4"/>
      <c r="O2793" s="5"/>
      <c r="P2793" s="5"/>
      <c r="Q2793" s="21">
        <v>0</v>
      </c>
      <c r="R2793" s="21">
        <v>2842</v>
      </c>
      <c r="S2793" s="5">
        <f t="shared" si="175"/>
        <v>6843.5351201519952</v>
      </c>
      <c r="T2793" cm="1">
        <f t="array" ref="T2793">IF(OR(B2793="MAL ALIMI", B2793="ÜRETİM GİRİŞ"), MIN(I2793, MAX(0, I2793 + SUM(SUMIFS($I$1:I2792, $C$1:C2792, C2793, $B$1:B2792, {"MAL ALIMI","ÜRETİM GİRİŞ"})) - VLOOKUP(C2793, 'STOK RAPORU'!$C$2:$I$1000, 4, 0))), 0)</f>
        <v>0</v>
      </c>
      <c r="U2793" s="22">
        <f t="shared" si="172"/>
        <v>0</v>
      </c>
      <c r="V2793">
        <f t="shared" si="173"/>
        <v>2842</v>
      </c>
      <c r="W2793" s="22">
        <f t="shared" si="174"/>
        <v>2842</v>
      </c>
    </row>
    <row r="2794" spans="1:23" hidden="1" x14ac:dyDescent="0.25">
      <c r="A2794" s="3">
        <v>46024</v>
      </c>
      <c r="B2794" s="4" t="s">
        <v>298</v>
      </c>
      <c r="C2794" s="4" t="s">
        <v>690</v>
      </c>
      <c r="D2794" s="4"/>
      <c r="E2794" s="4" t="s">
        <v>350</v>
      </c>
      <c r="F2794" s="4"/>
      <c r="G2794" s="4" t="s">
        <v>350</v>
      </c>
      <c r="H2794" s="4" t="s">
        <v>304</v>
      </c>
      <c r="I2794" s="4">
        <v>10</v>
      </c>
      <c r="J2794" s="21">
        <v>225</v>
      </c>
      <c r="K2794" s="21">
        <v>0</v>
      </c>
      <c r="L2794" s="5">
        <v>2250</v>
      </c>
      <c r="M2794" s="4"/>
      <c r="N2794" s="4"/>
      <c r="O2794" s="5"/>
      <c r="P2794" s="5"/>
      <c r="Q2794" s="21">
        <v>0</v>
      </c>
      <c r="R2794" s="21">
        <v>0</v>
      </c>
      <c r="S2794" s="5">
        <f t="shared" si="175"/>
        <v>6843.5351201519952</v>
      </c>
      <c r="T2794" cm="1">
        <f t="array" ref="T2794">IF(OR(B2794="MAL ALIMI", B2794="ÜRETİM GİRİŞ"), MIN(I2794, MAX(0, I2794 + SUM(SUMIFS($I$1:I2793, $C$1:C2793, C2794, $B$1:B2793, {"MAL ALIMI","ÜRETİM GİRİŞ"})) - VLOOKUP(C2794, 'STOK RAPORU'!$C$2:$I$1000, 4, 0))), 0)</f>
        <v>0</v>
      </c>
      <c r="U2794" s="22">
        <f t="shared" si="172"/>
        <v>0</v>
      </c>
      <c r="V2794">
        <f t="shared" si="173"/>
        <v>2250</v>
      </c>
      <c r="W2794" s="22">
        <f t="shared" si="174"/>
        <v>2250</v>
      </c>
    </row>
    <row r="2795" spans="1:23" hidden="1" x14ac:dyDescent="0.25">
      <c r="A2795" s="3">
        <v>46024</v>
      </c>
      <c r="B2795" s="4" t="s">
        <v>298</v>
      </c>
      <c r="C2795" s="4" t="s">
        <v>60</v>
      </c>
      <c r="D2795" s="4"/>
      <c r="E2795" s="4" t="s">
        <v>350</v>
      </c>
      <c r="F2795" s="4"/>
      <c r="G2795" s="4" t="s">
        <v>350</v>
      </c>
      <c r="H2795" s="4" t="s">
        <v>304</v>
      </c>
      <c r="I2795" s="4">
        <v>2</v>
      </c>
      <c r="J2795" s="21">
        <v>570</v>
      </c>
      <c r="K2795" s="21">
        <v>0</v>
      </c>
      <c r="L2795" s="5">
        <v>1140</v>
      </c>
      <c r="M2795" s="4"/>
      <c r="N2795" s="4"/>
      <c r="O2795" s="5"/>
      <c r="P2795" s="5"/>
      <c r="Q2795" s="21">
        <v>0</v>
      </c>
      <c r="R2795" s="21">
        <v>0</v>
      </c>
      <c r="S2795" s="5">
        <f t="shared" si="175"/>
        <v>6843.5351201519952</v>
      </c>
      <c r="T2795" cm="1">
        <f t="array" ref="T2795">IF(OR(B2795="MAL ALIMI", B2795="ÜRETİM GİRİŞ"), MIN(I2795, MAX(0, I2795 + SUM(SUMIFS($I$1:I2794, $C$1:C2794, C2795, $B$1:B2794, {"MAL ALIMI","ÜRETİM GİRİŞ"})) - VLOOKUP(C2795, 'STOK RAPORU'!$C$2:$I$1000, 4, 0))), 0)</f>
        <v>0</v>
      </c>
      <c r="U2795" s="22">
        <f t="shared" si="172"/>
        <v>0</v>
      </c>
      <c r="V2795">
        <f t="shared" si="173"/>
        <v>1140</v>
      </c>
      <c r="W2795" s="22">
        <f t="shared" si="174"/>
        <v>1140</v>
      </c>
    </row>
    <row r="2796" spans="1:23" hidden="1" x14ac:dyDescent="0.25">
      <c r="A2796" s="3">
        <v>46024</v>
      </c>
      <c r="B2796" s="4" t="s">
        <v>298</v>
      </c>
      <c r="C2796" s="4" t="s">
        <v>1399</v>
      </c>
      <c r="D2796" s="4"/>
      <c r="E2796" s="4" t="s">
        <v>350</v>
      </c>
      <c r="F2796" s="4"/>
      <c r="G2796" s="4" t="s">
        <v>350</v>
      </c>
      <c r="H2796" s="4" t="s">
        <v>304</v>
      </c>
      <c r="I2796" s="4">
        <v>12</v>
      </c>
      <c r="J2796" s="21">
        <v>95</v>
      </c>
      <c r="K2796" s="21">
        <v>0</v>
      </c>
      <c r="L2796" s="5">
        <v>1140</v>
      </c>
      <c r="M2796" s="4"/>
      <c r="N2796" s="4"/>
      <c r="O2796" s="5"/>
      <c r="P2796" s="5"/>
      <c r="Q2796" s="21">
        <v>0</v>
      </c>
      <c r="R2796" s="21">
        <v>0</v>
      </c>
      <c r="S2796" s="5">
        <f t="shared" si="175"/>
        <v>6843.5351201519952</v>
      </c>
      <c r="T2796" cm="1">
        <f t="array" ref="T2796">IF(OR(B2796="MAL ALIMI", B2796="ÜRETİM GİRİŞ"), MIN(I2796, MAX(0, I2796 + SUM(SUMIFS($I$1:I2795, $C$1:C2795, C2796, $B$1:B2795, {"MAL ALIMI","ÜRETİM GİRİŞ"})) - VLOOKUP(C2796, 'STOK RAPORU'!$C$2:$I$1000, 4, 0))), 0)</f>
        <v>6</v>
      </c>
      <c r="U2796" s="22">
        <f t="shared" si="172"/>
        <v>570</v>
      </c>
      <c r="V2796">
        <f t="shared" si="173"/>
        <v>1140</v>
      </c>
      <c r="W2796" s="22">
        <f t="shared" si="174"/>
        <v>570</v>
      </c>
    </row>
    <row r="2797" spans="1:23" hidden="1" x14ac:dyDescent="0.25">
      <c r="A2797" s="3">
        <v>46025</v>
      </c>
      <c r="B2797" s="4" t="s">
        <v>334</v>
      </c>
      <c r="C2797" s="4" t="s">
        <v>1634</v>
      </c>
      <c r="D2797" s="4"/>
      <c r="E2797" s="4"/>
      <c r="F2797" s="4" t="s">
        <v>1562</v>
      </c>
      <c r="G2797" s="4" t="s">
        <v>336</v>
      </c>
      <c r="H2797" s="4" t="s">
        <v>289</v>
      </c>
      <c r="I2797" s="4">
        <v>1.5</v>
      </c>
      <c r="J2797" s="21">
        <v>400</v>
      </c>
      <c r="K2797" s="21">
        <v>0</v>
      </c>
      <c r="L2797" s="5">
        <v>0</v>
      </c>
      <c r="M2797" s="4"/>
      <c r="N2797" s="4"/>
      <c r="O2797" s="5"/>
      <c r="P2797" s="5"/>
      <c r="Q2797" s="21">
        <v>600</v>
      </c>
      <c r="R2797" s="21">
        <v>0</v>
      </c>
      <c r="S2797" s="5">
        <f t="shared" si="175"/>
        <v>7443.5351201519952</v>
      </c>
      <c r="T2797" cm="1">
        <f t="array" ref="T2797">IF(OR(B2797="MAL ALIMI", B2797="ÜRETİM GİRİŞ"), MIN(I2797, MAX(0, I2797 + SUM(SUMIFS($I$1:I2796, $C$1:C2796, C2797, $B$1:B2796, {"MAL ALIMI","ÜRETİM GİRİŞ"})) - VLOOKUP(C2797, 'STOK RAPORU'!$C$2:$I$1000, 4, 0))), 0)</f>
        <v>0</v>
      </c>
      <c r="U2797" s="22">
        <f t="shared" si="172"/>
        <v>0</v>
      </c>
      <c r="V2797">
        <f t="shared" si="173"/>
        <v>0</v>
      </c>
      <c r="W2797" s="22">
        <f t="shared" si="174"/>
        <v>0</v>
      </c>
    </row>
    <row r="2798" spans="1:23" hidden="1" x14ac:dyDescent="0.25">
      <c r="A2798" s="3">
        <v>46025</v>
      </c>
      <c r="B2798" s="4" t="s">
        <v>334</v>
      </c>
      <c r="C2798" s="4" t="s">
        <v>1359</v>
      </c>
      <c r="D2798" s="4"/>
      <c r="E2798" s="4"/>
      <c r="F2798" s="4" t="s">
        <v>1563</v>
      </c>
      <c r="G2798" s="4" t="s">
        <v>336</v>
      </c>
      <c r="H2798" s="4" t="s">
        <v>289</v>
      </c>
      <c r="I2798" s="4">
        <v>0.10888888888888888</v>
      </c>
      <c r="J2798" s="21">
        <v>450</v>
      </c>
      <c r="K2798" s="21">
        <v>0</v>
      </c>
      <c r="L2798" s="5">
        <v>0</v>
      </c>
      <c r="M2798" s="4"/>
      <c r="N2798" s="4"/>
      <c r="O2798" s="5"/>
      <c r="P2798" s="5"/>
      <c r="Q2798" s="21">
        <v>49</v>
      </c>
      <c r="R2798" s="21">
        <v>0</v>
      </c>
      <c r="S2798" s="5">
        <f t="shared" si="175"/>
        <v>7492.5351201519952</v>
      </c>
      <c r="T2798" cm="1">
        <f t="array" ref="T2798">IF(OR(B2798="MAL ALIMI", B2798="ÜRETİM GİRİŞ"), MIN(I2798, MAX(0, I2798 + SUM(SUMIFS($I$1:I2797, $C$1:C2797, C2798, $B$1:B2797, {"MAL ALIMI","ÜRETİM GİRİŞ"})) - VLOOKUP(C2798, 'STOK RAPORU'!$C$2:$I$1000, 4, 0))), 0)</f>
        <v>0</v>
      </c>
      <c r="U2798" s="22">
        <f t="shared" si="172"/>
        <v>0</v>
      </c>
      <c r="V2798">
        <f t="shared" si="173"/>
        <v>0</v>
      </c>
      <c r="W2798" s="22">
        <f t="shared" si="174"/>
        <v>0</v>
      </c>
    </row>
    <row r="2799" spans="1:23" hidden="1" x14ac:dyDescent="0.25">
      <c r="A2799" s="3">
        <v>46025</v>
      </c>
      <c r="B2799" s="4" t="s">
        <v>334</v>
      </c>
      <c r="C2799" s="4" t="s">
        <v>1041</v>
      </c>
      <c r="D2799" s="4"/>
      <c r="E2799" s="4"/>
      <c r="F2799" s="4" t="s">
        <v>1564</v>
      </c>
      <c r="G2799" s="4" t="s">
        <v>336</v>
      </c>
      <c r="H2799" s="4" t="s">
        <v>289</v>
      </c>
      <c r="I2799" s="4">
        <v>0.8</v>
      </c>
      <c r="J2799" s="21">
        <v>250</v>
      </c>
      <c r="K2799" s="21">
        <v>0</v>
      </c>
      <c r="L2799" s="5">
        <v>0</v>
      </c>
      <c r="M2799" s="4"/>
      <c r="N2799" s="4"/>
      <c r="O2799" s="5"/>
      <c r="P2799" s="5"/>
      <c r="Q2799" s="21">
        <v>200</v>
      </c>
      <c r="R2799" s="21">
        <v>0</v>
      </c>
      <c r="S2799" s="5">
        <f t="shared" si="175"/>
        <v>7692.5351201519952</v>
      </c>
      <c r="T2799" cm="1">
        <f t="array" ref="T2799">IF(OR(B2799="MAL ALIMI", B2799="ÜRETİM GİRİŞ"), MIN(I2799, MAX(0, I2799 + SUM(SUMIFS($I$1:I2798, $C$1:C2798, C2799, $B$1:B2798, {"MAL ALIMI","ÜRETİM GİRİŞ"})) - VLOOKUP(C2799, 'STOK RAPORU'!$C$2:$I$1000, 4, 0))), 0)</f>
        <v>0</v>
      </c>
      <c r="U2799" s="22">
        <f t="shared" si="172"/>
        <v>0</v>
      </c>
      <c r="V2799">
        <f t="shared" si="173"/>
        <v>0</v>
      </c>
      <c r="W2799" s="22">
        <f t="shared" si="174"/>
        <v>0</v>
      </c>
    </row>
    <row r="2800" spans="1:23" hidden="1" x14ac:dyDescent="0.25">
      <c r="A2800" s="3">
        <v>46025</v>
      </c>
      <c r="B2800" s="4" t="s">
        <v>334</v>
      </c>
      <c r="C2800" s="4" t="s">
        <v>1443</v>
      </c>
      <c r="D2800" s="4"/>
      <c r="E2800" s="4"/>
      <c r="F2800" s="4" t="s">
        <v>1564</v>
      </c>
      <c r="G2800" s="4" t="s">
        <v>336</v>
      </c>
      <c r="H2800" s="4" t="s">
        <v>289</v>
      </c>
      <c r="I2800" s="4">
        <v>5</v>
      </c>
      <c r="J2800" s="21">
        <v>10</v>
      </c>
      <c r="K2800" s="21">
        <v>0</v>
      </c>
      <c r="L2800" s="5">
        <v>0</v>
      </c>
      <c r="M2800" s="4"/>
      <c r="N2800" s="4"/>
      <c r="O2800" s="5"/>
      <c r="P2800" s="5"/>
      <c r="Q2800" s="21">
        <v>50</v>
      </c>
      <c r="R2800" s="21">
        <v>0</v>
      </c>
      <c r="S2800" s="5">
        <f t="shared" si="175"/>
        <v>7742.5351201519952</v>
      </c>
      <c r="T2800" cm="1">
        <f t="array" ref="T2800">IF(OR(B2800="MAL ALIMI", B2800="ÜRETİM GİRİŞ"), MIN(I2800, MAX(0, I2800 + SUM(SUMIFS($I$1:I2799, $C$1:C2799, C2800, $B$1:B2799, {"MAL ALIMI","ÜRETİM GİRİŞ"})) - VLOOKUP(C2800, 'STOK RAPORU'!$C$2:$I$1000, 4, 0))), 0)</f>
        <v>0</v>
      </c>
      <c r="U2800" s="22">
        <f t="shared" si="172"/>
        <v>0</v>
      </c>
      <c r="V2800">
        <f t="shared" si="173"/>
        <v>0</v>
      </c>
      <c r="W2800" s="22">
        <f t="shared" si="174"/>
        <v>0</v>
      </c>
    </row>
    <row r="2801" spans="1:23" hidden="1" x14ac:dyDescent="0.25">
      <c r="A2801" s="3">
        <v>46025</v>
      </c>
      <c r="B2801" s="4" t="s">
        <v>334</v>
      </c>
      <c r="C2801" s="4" t="s">
        <v>126</v>
      </c>
      <c r="D2801" s="4"/>
      <c r="E2801" s="4"/>
      <c r="F2801" s="4" t="s">
        <v>1565</v>
      </c>
      <c r="G2801" s="4" t="s">
        <v>336</v>
      </c>
      <c r="H2801" s="4" t="s">
        <v>289</v>
      </c>
      <c r="I2801" s="4">
        <v>0.10312499999999999</v>
      </c>
      <c r="J2801" s="21">
        <v>640</v>
      </c>
      <c r="K2801" s="21">
        <v>0</v>
      </c>
      <c r="L2801" s="5">
        <v>0</v>
      </c>
      <c r="M2801" s="4"/>
      <c r="N2801" s="4"/>
      <c r="O2801" s="5"/>
      <c r="P2801" s="5"/>
      <c r="Q2801" s="21">
        <v>66</v>
      </c>
      <c r="R2801" s="21">
        <v>0</v>
      </c>
      <c r="S2801" s="5">
        <f t="shared" si="175"/>
        <v>7808.5351201519952</v>
      </c>
      <c r="T2801" cm="1">
        <f t="array" ref="T2801">IF(OR(B2801="MAL ALIMI", B2801="ÜRETİM GİRİŞ"), MIN(I2801, MAX(0, I2801 + SUM(SUMIFS($I$1:I2800, $C$1:C2800, C2801, $B$1:B2800, {"MAL ALIMI","ÜRETİM GİRİŞ"})) - VLOOKUP(C2801, 'STOK RAPORU'!$C$2:$I$1000, 4, 0))), 0)</f>
        <v>0</v>
      </c>
      <c r="U2801" s="22">
        <f t="shared" si="172"/>
        <v>0</v>
      </c>
      <c r="V2801">
        <f t="shared" si="173"/>
        <v>0</v>
      </c>
      <c r="W2801" s="22">
        <f t="shared" si="174"/>
        <v>0</v>
      </c>
    </row>
    <row r="2802" spans="1:23" hidden="1" x14ac:dyDescent="0.25">
      <c r="A2802" s="3">
        <v>46025</v>
      </c>
      <c r="B2802" s="4" t="s">
        <v>334</v>
      </c>
      <c r="C2802" s="4" t="s">
        <v>129</v>
      </c>
      <c r="D2802" s="4"/>
      <c r="E2802" s="4"/>
      <c r="F2802" s="4" t="s">
        <v>1565</v>
      </c>
      <c r="G2802" s="4" t="s">
        <v>336</v>
      </c>
      <c r="H2802" s="4" t="s">
        <v>289</v>
      </c>
      <c r="I2802" s="4">
        <v>0.12051282051282051</v>
      </c>
      <c r="J2802" s="21">
        <v>390</v>
      </c>
      <c r="K2802" s="21">
        <v>0</v>
      </c>
      <c r="L2802" s="5">
        <v>0</v>
      </c>
      <c r="M2802" s="4"/>
      <c r="N2802" s="4"/>
      <c r="O2802" s="5"/>
      <c r="P2802" s="5"/>
      <c r="Q2802" s="21">
        <v>47</v>
      </c>
      <c r="R2802" s="21">
        <v>0</v>
      </c>
      <c r="S2802" s="5">
        <f t="shared" si="175"/>
        <v>7855.5351201519952</v>
      </c>
      <c r="T2802" cm="1">
        <f t="array" ref="T2802">IF(OR(B2802="MAL ALIMI", B2802="ÜRETİM GİRİŞ"), MIN(I2802, MAX(0, I2802 + SUM(SUMIFS($I$1:I2801, $C$1:C2801, C2802, $B$1:B2801, {"MAL ALIMI","ÜRETİM GİRİŞ"})) - VLOOKUP(C2802, 'STOK RAPORU'!$C$2:$I$1000, 4, 0))), 0)</f>
        <v>0</v>
      </c>
      <c r="U2802" s="22">
        <f t="shared" si="172"/>
        <v>0</v>
      </c>
      <c r="V2802">
        <f t="shared" si="173"/>
        <v>0</v>
      </c>
      <c r="W2802" s="22">
        <f t="shared" si="174"/>
        <v>0</v>
      </c>
    </row>
    <row r="2803" spans="1:23" hidden="1" x14ac:dyDescent="0.25">
      <c r="A2803" s="3">
        <v>46025</v>
      </c>
      <c r="B2803" s="4" t="s">
        <v>334</v>
      </c>
      <c r="C2803" s="4" t="s">
        <v>129</v>
      </c>
      <c r="D2803" s="4"/>
      <c r="E2803" s="4"/>
      <c r="F2803" s="4" t="s">
        <v>1566</v>
      </c>
      <c r="G2803" s="4" t="s">
        <v>336</v>
      </c>
      <c r="H2803" s="4" t="s">
        <v>289</v>
      </c>
      <c r="I2803" s="4">
        <v>0.12820512820512819</v>
      </c>
      <c r="J2803" s="21">
        <v>390</v>
      </c>
      <c r="K2803" s="21">
        <v>0</v>
      </c>
      <c r="L2803" s="5">
        <v>0</v>
      </c>
      <c r="M2803" s="4"/>
      <c r="N2803" s="4"/>
      <c r="O2803" s="5"/>
      <c r="P2803" s="5"/>
      <c r="Q2803" s="21">
        <v>49.999999999999993</v>
      </c>
      <c r="R2803" s="21">
        <v>0</v>
      </c>
      <c r="S2803" s="5">
        <f t="shared" si="175"/>
        <v>7905.5351201519952</v>
      </c>
      <c r="T2803" cm="1">
        <f t="array" ref="T2803">IF(OR(B2803="MAL ALIMI", B2803="ÜRETİM GİRİŞ"), MIN(I2803, MAX(0, I2803 + SUM(SUMIFS($I$1:I2802, $C$1:C2802, C2803, $B$1:B2802, {"MAL ALIMI","ÜRETİM GİRİŞ"})) - VLOOKUP(C2803, 'STOK RAPORU'!$C$2:$I$1000, 4, 0))), 0)</f>
        <v>0</v>
      </c>
      <c r="U2803" s="22">
        <f t="shared" si="172"/>
        <v>0</v>
      </c>
      <c r="V2803">
        <f t="shared" si="173"/>
        <v>0</v>
      </c>
      <c r="W2803" s="22">
        <f t="shared" si="174"/>
        <v>0</v>
      </c>
    </row>
    <row r="2804" spans="1:23" hidden="1" x14ac:dyDescent="0.25">
      <c r="A2804" s="3">
        <v>46025</v>
      </c>
      <c r="B2804" s="4" t="s">
        <v>334</v>
      </c>
      <c r="C2804" s="4" t="s">
        <v>126</v>
      </c>
      <c r="D2804" s="4"/>
      <c r="E2804" s="4"/>
      <c r="F2804" s="4" t="s">
        <v>1566</v>
      </c>
      <c r="G2804" s="4" t="s">
        <v>336</v>
      </c>
      <c r="H2804" s="4" t="s">
        <v>289</v>
      </c>
      <c r="I2804" s="4">
        <v>0.125</v>
      </c>
      <c r="J2804" s="21">
        <v>640</v>
      </c>
      <c r="K2804" s="21">
        <v>0</v>
      </c>
      <c r="L2804" s="5">
        <v>0</v>
      </c>
      <c r="M2804" s="4"/>
      <c r="N2804" s="4"/>
      <c r="O2804" s="5"/>
      <c r="P2804" s="5"/>
      <c r="Q2804" s="21">
        <v>80</v>
      </c>
      <c r="R2804" s="21">
        <v>0</v>
      </c>
      <c r="S2804" s="5">
        <f t="shared" si="175"/>
        <v>7985.5351201519952</v>
      </c>
      <c r="T2804" cm="1">
        <f t="array" ref="T2804">IF(OR(B2804="MAL ALIMI", B2804="ÜRETİM GİRİŞ"), MIN(I2804, MAX(0, I2804 + SUM(SUMIFS($I$1:I2803, $C$1:C2803, C2804, $B$1:B2803, {"MAL ALIMI","ÜRETİM GİRİŞ"})) - VLOOKUP(C2804, 'STOK RAPORU'!$C$2:$I$1000, 4, 0))), 0)</f>
        <v>0</v>
      </c>
      <c r="U2804" s="22">
        <f t="shared" si="172"/>
        <v>0</v>
      </c>
      <c r="V2804">
        <f t="shared" si="173"/>
        <v>0</v>
      </c>
      <c r="W2804" s="22">
        <f t="shared" si="174"/>
        <v>0</v>
      </c>
    </row>
    <row r="2805" spans="1:23" hidden="1" x14ac:dyDescent="0.25">
      <c r="A2805" s="3">
        <v>46025</v>
      </c>
      <c r="B2805" s="4" t="s">
        <v>334</v>
      </c>
      <c r="C2805" s="4" t="s">
        <v>834</v>
      </c>
      <c r="D2805" s="4"/>
      <c r="E2805" s="4"/>
      <c r="F2805" s="4" t="s">
        <v>1567</v>
      </c>
      <c r="G2805" s="4" t="s">
        <v>336</v>
      </c>
      <c r="H2805" s="4" t="s">
        <v>289</v>
      </c>
      <c r="I2805" s="4">
        <v>1</v>
      </c>
      <c r="J2805" s="21">
        <v>110</v>
      </c>
      <c r="K2805" s="21">
        <v>0</v>
      </c>
      <c r="L2805" s="5">
        <v>0</v>
      </c>
      <c r="M2805" s="4"/>
      <c r="N2805" s="4"/>
      <c r="O2805" s="5"/>
      <c r="P2805" s="5"/>
      <c r="Q2805" s="21">
        <v>110</v>
      </c>
      <c r="R2805" s="21">
        <v>0</v>
      </c>
      <c r="S2805" s="5">
        <f t="shared" si="175"/>
        <v>8095.5351201519952</v>
      </c>
      <c r="T2805" cm="1">
        <f t="array" ref="T2805">IF(OR(B2805="MAL ALIMI", B2805="ÜRETİM GİRİŞ"), MIN(I2805, MAX(0, I2805 + SUM(SUMIFS($I$1:I2804, $C$1:C2804, C2805, $B$1:B2804, {"MAL ALIMI","ÜRETİM GİRİŞ"})) - VLOOKUP(C2805, 'STOK RAPORU'!$C$2:$I$1000, 4, 0))), 0)</f>
        <v>0</v>
      </c>
      <c r="U2805" s="22">
        <f t="shared" si="172"/>
        <v>0</v>
      </c>
      <c r="V2805">
        <f t="shared" si="173"/>
        <v>0</v>
      </c>
      <c r="W2805" s="22">
        <f t="shared" si="174"/>
        <v>0</v>
      </c>
    </row>
    <row r="2806" spans="1:23" hidden="1" x14ac:dyDescent="0.25">
      <c r="A2806" s="3">
        <v>46025</v>
      </c>
      <c r="B2806" s="4" t="s">
        <v>334</v>
      </c>
      <c r="C2806" s="4" t="s">
        <v>818</v>
      </c>
      <c r="D2806" s="4"/>
      <c r="E2806" s="4" t="s">
        <v>921</v>
      </c>
      <c r="F2806" s="4" t="s">
        <v>1568</v>
      </c>
      <c r="G2806" s="4" t="s">
        <v>336</v>
      </c>
      <c r="H2806" s="4" t="s">
        <v>380</v>
      </c>
      <c r="I2806" s="4">
        <v>1</v>
      </c>
      <c r="J2806" s="21">
        <v>110</v>
      </c>
      <c r="K2806" s="21">
        <v>110</v>
      </c>
      <c r="L2806" s="5">
        <v>0</v>
      </c>
      <c r="M2806" s="4"/>
      <c r="N2806" s="4"/>
      <c r="O2806" s="5"/>
      <c r="P2806" s="5"/>
      <c r="Q2806" s="21">
        <v>0</v>
      </c>
      <c r="R2806" s="21">
        <v>0</v>
      </c>
      <c r="S2806" s="5">
        <f t="shared" si="175"/>
        <v>8095.5351201519952</v>
      </c>
      <c r="T2806" cm="1">
        <f t="array" ref="T2806">IF(OR(B2806="MAL ALIMI", B2806="ÜRETİM GİRİŞ"), MIN(I2806, MAX(0, I2806 + SUM(SUMIFS($I$1:I2805, $C$1:C2805, C2806, $B$1:B2805, {"MAL ALIMI","ÜRETİM GİRİŞ"})) - VLOOKUP(C2806, 'STOK RAPORU'!$C$2:$I$1000, 4, 0))), 0)</f>
        <v>0</v>
      </c>
      <c r="U2806" s="22">
        <f t="shared" si="172"/>
        <v>0</v>
      </c>
      <c r="V2806">
        <f t="shared" si="173"/>
        <v>0</v>
      </c>
      <c r="W2806" s="22">
        <f t="shared" si="174"/>
        <v>0</v>
      </c>
    </row>
    <row r="2807" spans="1:23" hidden="1" x14ac:dyDescent="0.25">
      <c r="A2807" s="3">
        <v>46025</v>
      </c>
      <c r="B2807" s="4" t="s">
        <v>334</v>
      </c>
      <c r="C2807" s="4" t="s">
        <v>835</v>
      </c>
      <c r="D2807" s="4"/>
      <c r="E2807" s="4" t="s">
        <v>921</v>
      </c>
      <c r="F2807" s="4" t="s">
        <v>1568</v>
      </c>
      <c r="G2807" s="4" t="s">
        <v>336</v>
      </c>
      <c r="H2807" s="4" t="s">
        <v>380</v>
      </c>
      <c r="I2807" s="4">
        <v>1</v>
      </c>
      <c r="J2807" s="21">
        <v>130</v>
      </c>
      <c r="K2807" s="21">
        <v>130</v>
      </c>
      <c r="L2807" s="5">
        <v>0</v>
      </c>
      <c r="M2807" s="4"/>
      <c r="N2807" s="4"/>
      <c r="O2807" s="5"/>
      <c r="P2807" s="5"/>
      <c r="Q2807" s="21">
        <v>0</v>
      </c>
      <c r="R2807" s="21">
        <v>0</v>
      </c>
      <c r="S2807" s="5">
        <f t="shared" si="175"/>
        <v>8095.5351201519952</v>
      </c>
      <c r="T2807" cm="1">
        <f t="array" ref="T2807">IF(OR(B2807="MAL ALIMI", B2807="ÜRETİM GİRİŞ"), MIN(I2807, MAX(0, I2807 + SUM(SUMIFS($I$1:I2806, $C$1:C2806, C2807, $B$1:B2806, {"MAL ALIMI","ÜRETİM GİRİŞ"})) - VLOOKUP(C2807, 'STOK RAPORU'!$C$2:$I$1000, 4, 0))), 0)</f>
        <v>0</v>
      </c>
      <c r="U2807" s="22">
        <f t="shared" si="172"/>
        <v>0</v>
      </c>
      <c r="V2807">
        <f t="shared" si="173"/>
        <v>0</v>
      </c>
      <c r="W2807" s="22">
        <f t="shared" si="174"/>
        <v>0</v>
      </c>
    </row>
    <row r="2808" spans="1:23" hidden="1" x14ac:dyDescent="0.25">
      <c r="A2808" s="3">
        <v>46025</v>
      </c>
      <c r="B2808" s="4" t="s">
        <v>334</v>
      </c>
      <c r="C2808" s="4" t="s">
        <v>728</v>
      </c>
      <c r="D2808" s="4"/>
      <c r="E2808" s="4" t="s">
        <v>921</v>
      </c>
      <c r="F2808" s="4" t="s">
        <v>1569</v>
      </c>
      <c r="G2808" s="4" t="s">
        <v>336</v>
      </c>
      <c r="H2808" s="4" t="s">
        <v>380</v>
      </c>
      <c r="I2808" s="4">
        <v>0.18840579710144928</v>
      </c>
      <c r="J2808" s="21">
        <v>690</v>
      </c>
      <c r="K2808" s="21">
        <v>130</v>
      </c>
      <c r="L2808" s="5">
        <v>0</v>
      </c>
      <c r="M2808" s="4"/>
      <c r="N2808" s="4"/>
      <c r="O2808" s="5"/>
      <c r="P2808" s="5"/>
      <c r="Q2808" s="21">
        <v>0</v>
      </c>
      <c r="R2808" s="21">
        <v>0</v>
      </c>
      <c r="S2808" s="5">
        <f t="shared" si="175"/>
        <v>8095.5351201519952</v>
      </c>
      <c r="T2808" cm="1">
        <f t="array" ref="T2808">IF(OR(B2808="MAL ALIMI", B2808="ÜRETİM GİRİŞ"), MIN(I2808, MAX(0, I2808 + SUM(SUMIFS($I$1:I2807, $C$1:C2807, C2808, $B$1:B2807, {"MAL ALIMI","ÜRETİM GİRİŞ"})) - VLOOKUP(C2808, 'STOK RAPORU'!$C$2:$I$1000, 4, 0))), 0)</f>
        <v>0</v>
      </c>
      <c r="U2808" s="22">
        <f t="shared" si="172"/>
        <v>0</v>
      </c>
      <c r="V2808">
        <f t="shared" si="173"/>
        <v>0</v>
      </c>
      <c r="W2808" s="22">
        <f t="shared" si="174"/>
        <v>0</v>
      </c>
    </row>
    <row r="2809" spans="1:23" hidden="1" x14ac:dyDescent="0.25">
      <c r="A2809" s="3">
        <v>46025</v>
      </c>
      <c r="B2809" s="4" t="s">
        <v>334</v>
      </c>
      <c r="C2809" s="4" t="s">
        <v>161</v>
      </c>
      <c r="D2809" s="4"/>
      <c r="E2809" s="4" t="s">
        <v>921</v>
      </c>
      <c r="F2809" s="4" t="s">
        <v>1570</v>
      </c>
      <c r="G2809" s="4" t="s">
        <v>336</v>
      </c>
      <c r="H2809" s="4" t="s">
        <v>380</v>
      </c>
      <c r="I2809" s="4">
        <v>1</v>
      </c>
      <c r="J2809" s="21">
        <v>230</v>
      </c>
      <c r="K2809" s="21">
        <v>230</v>
      </c>
      <c r="L2809" s="5">
        <v>0</v>
      </c>
      <c r="M2809" s="4"/>
      <c r="N2809" s="4"/>
      <c r="O2809" s="5"/>
      <c r="P2809" s="5"/>
      <c r="Q2809" s="21">
        <v>0</v>
      </c>
      <c r="R2809" s="21">
        <v>0</v>
      </c>
      <c r="S2809" s="5">
        <f t="shared" si="175"/>
        <v>8095.5351201519952</v>
      </c>
      <c r="T2809" cm="1">
        <f t="array" ref="T2809">IF(OR(B2809="MAL ALIMI", B2809="ÜRETİM GİRİŞ"), MIN(I2809, MAX(0, I2809 + SUM(SUMIFS($I$1:I2808, $C$1:C2808, C2809, $B$1:B2808, {"MAL ALIMI","ÜRETİM GİRİŞ"})) - VLOOKUP(C2809, 'STOK RAPORU'!$C$2:$I$1000, 4, 0))), 0)</f>
        <v>0</v>
      </c>
      <c r="U2809" s="22">
        <f t="shared" si="172"/>
        <v>0</v>
      </c>
      <c r="V2809">
        <f t="shared" si="173"/>
        <v>0</v>
      </c>
      <c r="W2809" s="22">
        <f t="shared" si="174"/>
        <v>0</v>
      </c>
    </row>
    <row r="2810" spans="1:23" hidden="1" x14ac:dyDescent="0.25">
      <c r="A2810" s="3">
        <v>46025</v>
      </c>
      <c r="B2810" s="4" t="s">
        <v>334</v>
      </c>
      <c r="C2810" s="4" t="s">
        <v>1041</v>
      </c>
      <c r="D2810" s="4"/>
      <c r="E2810" s="4" t="s">
        <v>921</v>
      </c>
      <c r="F2810" s="4" t="s">
        <v>1570</v>
      </c>
      <c r="G2810" s="4" t="s">
        <v>336</v>
      </c>
      <c r="H2810" s="4" t="s">
        <v>380</v>
      </c>
      <c r="I2810" s="4">
        <v>0.61199999999999999</v>
      </c>
      <c r="J2810" s="21">
        <v>250</v>
      </c>
      <c r="K2810" s="21">
        <v>153</v>
      </c>
      <c r="L2810" s="5">
        <v>0</v>
      </c>
      <c r="M2810" s="4"/>
      <c r="N2810" s="4"/>
      <c r="O2810" s="5"/>
      <c r="P2810" s="5"/>
      <c r="Q2810" s="21">
        <v>0</v>
      </c>
      <c r="R2810" s="21">
        <v>0</v>
      </c>
      <c r="S2810" s="5">
        <f t="shared" si="175"/>
        <v>8095.5351201519952</v>
      </c>
      <c r="T2810" cm="1">
        <f t="array" ref="T2810">IF(OR(B2810="MAL ALIMI", B2810="ÜRETİM GİRİŞ"), MIN(I2810, MAX(0, I2810 + SUM(SUMIFS($I$1:I2809, $C$1:C2809, C2810, $B$1:B2809, {"MAL ALIMI","ÜRETİM GİRİŞ"})) - VLOOKUP(C2810, 'STOK RAPORU'!$C$2:$I$1000, 4, 0))), 0)</f>
        <v>0</v>
      </c>
      <c r="U2810" s="22">
        <f t="shared" si="172"/>
        <v>0</v>
      </c>
      <c r="V2810">
        <f t="shared" si="173"/>
        <v>0</v>
      </c>
      <c r="W2810" s="22">
        <f t="shared" si="174"/>
        <v>0</v>
      </c>
    </row>
    <row r="2811" spans="1:23" hidden="1" x14ac:dyDescent="0.25">
      <c r="A2811" s="3">
        <v>46025</v>
      </c>
      <c r="B2811" s="4" t="s">
        <v>334</v>
      </c>
      <c r="C2811" s="4" t="s">
        <v>204</v>
      </c>
      <c r="D2811" s="4"/>
      <c r="E2811" s="4" t="s">
        <v>921</v>
      </c>
      <c r="F2811" s="4" t="s">
        <v>1571</v>
      </c>
      <c r="G2811" s="4" t="s">
        <v>336</v>
      </c>
      <c r="H2811" s="4" t="s">
        <v>380</v>
      </c>
      <c r="I2811" s="4">
        <v>0.05</v>
      </c>
      <c r="J2811" s="21">
        <v>1400</v>
      </c>
      <c r="K2811" s="21">
        <v>70</v>
      </c>
      <c r="L2811" s="5">
        <v>0</v>
      </c>
      <c r="M2811" s="4"/>
      <c r="N2811" s="4"/>
      <c r="O2811" s="5"/>
      <c r="P2811" s="5"/>
      <c r="Q2811" s="21">
        <v>0</v>
      </c>
      <c r="R2811" s="21">
        <v>0</v>
      </c>
      <c r="S2811" s="5">
        <f t="shared" si="175"/>
        <v>8095.5351201519952</v>
      </c>
      <c r="T2811" cm="1">
        <f t="array" ref="T2811">IF(OR(B2811="MAL ALIMI", B2811="ÜRETİM GİRİŞ"), MIN(I2811, MAX(0, I2811 + SUM(SUMIFS($I$1:I2810, $C$1:C2810, C2811, $B$1:B2810, {"MAL ALIMI","ÜRETİM GİRİŞ"})) - VLOOKUP(C2811, 'STOK RAPORU'!$C$2:$I$1000, 4, 0))), 0)</f>
        <v>0</v>
      </c>
      <c r="U2811" s="22">
        <f t="shared" si="172"/>
        <v>0</v>
      </c>
      <c r="V2811">
        <f t="shared" si="173"/>
        <v>0</v>
      </c>
      <c r="W2811" s="22">
        <f t="shared" si="174"/>
        <v>0</v>
      </c>
    </row>
    <row r="2812" spans="1:23" hidden="1" x14ac:dyDescent="0.25">
      <c r="A2812" s="3">
        <v>46025</v>
      </c>
      <c r="B2812" s="4" t="s">
        <v>334</v>
      </c>
      <c r="C2812" s="4" t="s">
        <v>647</v>
      </c>
      <c r="D2812" s="4"/>
      <c r="E2812" s="4" t="s">
        <v>921</v>
      </c>
      <c r="F2812" s="4" t="s">
        <v>1571</v>
      </c>
      <c r="G2812" s="4" t="s">
        <v>336</v>
      </c>
      <c r="H2812" s="4" t="s">
        <v>380</v>
      </c>
      <c r="I2812" s="4">
        <v>0.25</v>
      </c>
      <c r="J2812" s="21">
        <v>400</v>
      </c>
      <c r="K2812" s="21">
        <v>100</v>
      </c>
      <c r="L2812" s="5">
        <v>0</v>
      </c>
      <c r="M2812" s="4"/>
      <c r="N2812" s="4"/>
      <c r="O2812" s="5"/>
      <c r="P2812" s="5"/>
      <c r="Q2812" s="21">
        <v>0</v>
      </c>
      <c r="R2812" s="21">
        <v>0</v>
      </c>
      <c r="S2812" s="5">
        <f t="shared" si="175"/>
        <v>8095.5351201519952</v>
      </c>
      <c r="T2812" cm="1">
        <f t="array" ref="T2812">IF(OR(B2812="MAL ALIMI", B2812="ÜRETİM GİRİŞ"), MIN(I2812, MAX(0, I2812 + SUM(SUMIFS($I$1:I2811, $C$1:C2811, C2812, $B$1:B2811, {"MAL ALIMI","ÜRETİM GİRİŞ"})) - VLOOKUP(C2812, 'STOK RAPORU'!$C$2:$I$1000, 4, 0))), 0)</f>
        <v>0</v>
      </c>
      <c r="U2812" s="22">
        <f t="shared" si="172"/>
        <v>0</v>
      </c>
      <c r="V2812">
        <f t="shared" si="173"/>
        <v>0</v>
      </c>
      <c r="W2812" s="22">
        <f t="shared" si="174"/>
        <v>0</v>
      </c>
    </row>
    <row r="2813" spans="1:23" hidden="1" x14ac:dyDescent="0.25">
      <c r="A2813" s="3">
        <v>46025</v>
      </c>
      <c r="B2813" s="4" t="s">
        <v>334</v>
      </c>
      <c r="C2813" s="4" t="s">
        <v>60</v>
      </c>
      <c r="D2813" s="4"/>
      <c r="E2813" s="4" t="s">
        <v>921</v>
      </c>
      <c r="F2813" s="4" t="s">
        <v>1571</v>
      </c>
      <c r="G2813" s="4" t="s">
        <v>336</v>
      </c>
      <c r="H2813" s="4" t="s">
        <v>380</v>
      </c>
      <c r="I2813" s="4">
        <v>0.05</v>
      </c>
      <c r="J2813" s="21">
        <v>1200</v>
      </c>
      <c r="K2813" s="21">
        <v>60</v>
      </c>
      <c r="L2813" s="5">
        <v>0</v>
      </c>
      <c r="M2813" s="4"/>
      <c r="N2813" s="4"/>
      <c r="O2813" s="5"/>
      <c r="P2813" s="5"/>
      <c r="Q2813" s="21">
        <v>0</v>
      </c>
      <c r="R2813" s="21">
        <v>0</v>
      </c>
      <c r="S2813" s="5">
        <f t="shared" si="175"/>
        <v>8095.5351201519952</v>
      </c>
      <c r="T2813" cm="1">
        <f t="array" ref="T2813">IF(OR(B2813="MAL ALIMI", B2813="ÜRETİM GİRİŞ"), MIN(I2813, MAX(0, I2813 + SUM(SUMIFS($I$1:I2812, $C$1:C2812, C2813, $B$1:B2812, {"MAL ALIMI","ÜRETİM GİRİŞ"})) - VLOOKUP(C2813, 'STOK RAPORU'!$C$2:$I$1000, 4, 0))), 0)</f>
        <v>0</v>
      </c>
      <c r="U2813" s="22">
        <f t="shared" si="172"/>
        <v>0</v>
      </c>
      <c r="V2813">
        <f t="shared" si="173"/>
        <v>0</v>
      </c>
      <c r="W2813" s="22">
        <f t="shared" si="174"/>
        <v>0</v>
      </c>
    </row>
    <row r="2814" spans="1:23" hidden="1" x14ac:dyDescent="0.25">
      <c r="A2814" s="3">
        <v>46025</v>
      </c>
      <c r="B2814" s="4" t="s">
        <v>334</v>
      </c>
      <c r="C2814" s="4" t="s">
        <v>1443</v>
      </c>
      <c r="D2814" s="4"/>
      <c r="E2814" s="4"/>
      <c r="F2814" s="4" t="s">
        <v>1572</v>
      </c>
      <c r="G2814" s="4" t="s">
        <v>336</v>
      </c>
      <c r="H2814" s="4" t="s">
        <v>289</v>
      </c>
      <c r="I2814" s="4">
        <v>2</v>
      </c>
      <c r="J2814" s="21">
        <v>10</v>
      </c>
      <c r="K2814" s="21">
        <v>0</v>
      </c>
      <c r="L2814" s="5">
        <v>0</v>
      </c>
      <c r="M2814" s="4"/>
      <c r="N2814" s="4"/>
      <c r="O2814" s="5"/>
      <c r="P2814" s="5"/>
      <c r="Q2814" s="21">
        <v>20</v>
      </c>
      <c r="R2814" s="21">
        <v>0</v>
      </c>
      <c r="S2814" s="5">
        <f t="shared" si="175"/>
        <v>8115.5351201519952</v>
      </c>
      <c r="T2814" cm="1">
        <f t="array" ref="T2814">IF(OR(B2814="MAL ALIMI", B2814="ÜRETİM GİRİŞ"), MIN(I2814, MAX(0, I2814 + SUM(SUMIFS($I$1:I2813, $C$1:C2813, C2814, $B$1:B2813, {"MAL ALIMI","ÜRETİM GİRİŞ"})) - VLOOKUP(C2814, 'STOK RAPORU'!$C$2:$I$1000, 4, 0))), 0)</f>
        <v>0</v>
      </c>
      <c r="U2814" s="22">
        <f t="shared" si="172"/>
        <v>0</v>
      </c>
      <c r="V2814">
        <f t="shared" si="173"/>
        <v>0</v>
      </c>
      <c r="W2814" s="22">
        <f t="shared" si="174"/>
        <v>0</v>
      </c>
    </row>
    <row r="2815" spans="1:23" hidden="1" x14ac:dyDescent="0.25">
      <c r="A2815" s="3">
        <v>46025</v>
      </c>
      <c r="B2815" s="4" t="s">
        <v>334</v>
      </c>
      <c r="C2815" s="4" t="s">
        <v>248</v>
      </c>
      <c r="D2815" s="4"/>
      <c r="E2815" s="4"/>
      <c r="F2815" s="4" t="s">
        <v>1573</v>
      </c>
      <c r="G2815" s="4" t="s">
        <v>336</v>
      </c>
      <c r="H2815" s="4" t="s">
        <v>289</v>
      </c>
      <c r="I2815" s="4">
        <v>0.1</v>
      </c>
      <c r="J2815" s="21">
        <v>1000</v>
      </c>
      <c r="K2815" s="21">
        <v>0</v>
      </c>
      <c r="L2815" s="5">
        <v>0</v>
      </c>
      <c r="M2815" s="4"/>
      <c r="N2815" s="4"/>
      <c r="O2815" s="5"/>
      <c r="P2815" s="5"/>
      <c r="Q2815" s="21">
        <v>100</v>
      </c>
      <c r="R2815" s="21">
        <v>0</v>
      </c>
      <c r="S2815" s="5">
        <f t="shared" si="175"/>
        <v>8215.5351201519952</v>
      </c>
      <c r="T2815" cm="1">
        <f t="array" ref="T2815">IF(OR(B2815="MAL ALIMI", B2815="ÜRETİM GİRİŞ"), MIN(I2815, MAX(0, I2815 + SUM(SUMIFS($I$1:I2814, $C$1:C2814, C2815, $B$1:B2814, {"MAL ALIMI","ÜRETİM GİRİŞ"})) - VLOOKUP(C2815, 'STOK RAPORU'!$C$2:$I$1000, 4, 0))), 0)</f>
        <v>0</v>
      </c>
      <c r="U2815" s="22">
        <f t="shared" si="172"/>
        <v>0</v>
      </c>
      <c r="V2815">
        <f t="shared" si="173"/>
        <v>0</v>
      </c>
      <c r="W2815" s="22">
        <f t="shared" si="174"/>
        <v>0</v>
      </c>
    </row>
    <row r="2816" spans="1:23" hidden="1" x14ac:dyDescent="0.25">
      <c r="A2816" s="3">
        <v>46025</v>
      </c>
      <c r="B2816" s="4" t="s">
        <v>334</v>
      </c>
      <c r="C2816" s="4" t="s">
        <v>1360</v>
      </c>
      <c r="D2816" s="4"/>
      <c r="E2816" s="4"/>
      <c r="F2816" s="4" t="s">
        <v>1573</v>
      </c>
      <c r="G2816" s="4" t="s">
        <v>336</v>
      </c>
      <c r="H2816" s="4" t="s">
        <v>289</v>
      </c>
      <c r="I2816" s="4">
        <v>1.25</v>
      </c>
      <c r="J2816" s="21">
        <v>400</v>
      </c>
      <c r="K2816" s="21">
        <v>0</v>
      </c>
      <c r="L2816" s="5">
        <v>0</v>
      </c>
      <c r="M2816" s="4"/>
      <c r="N2816" s="4"/>
      <c r="O2816" s="5"/>
      <c r="P2816" s="5"/>
      <c r="Q2816" s="21">
        <v>500</v>
      </c>
      <c r="R2816" s="21">
        <v>0</v>
      </c>
      <c r="S2816" s="5">
        <f t="shared" si="175"/>
        <v>8715.5351201519952</v>
      </c>
      <c r="T2816" cm="1">
        <f t="array" ref="T2816">IF(OR(B2816="MAL ALIMI", B2816="ÜRETİM GİRİŞ"), MIN(I2816, MAX(0, I2816 + SUM(SUMIFS($I$1:I2815, $C$1:C2815, C2816, $B$1:B2815, {"MAL ALIMI","ÜRETİM GİRİŞ"})) - VLOOKUP(C2816, 'STOK RAPORU'!$C$2:$I$1000, 4, 0))), 0)</f>
        <v>0</v>
      </c>
      <c r="U2816" s="22">
        <f t="shared" si="172"/>
        <v>0</v>
      </c>
      <c r="V2816">
        <f t="shared" si="173"/>
        <v>0</v>
      </c>
      <c r="W2816" s="22">
        <f t="shared" si="174"/>
        <v>0</v>
      </c>
    </row>
    <row r="2817" spans="1:23" hidden="1" x14ac:dyDescent="0.25">
      <c r="A2817" s="3">
        <v>46025</v>
      </c>
      <c r="B2817" s="4" t="s">
        <v>334</v>
      </c>
      <c r="C2817" s="4" t="s">
        <v>815</v>
      </c>
      <c r="D2817" s="4"/>
      <c r="E2817" s="4"/>
      <c r="F2817" s="4" t="s">
        <v>1573</v>
      </c>
      <c r="G2817" s="4" t="s">
        <v>336</v>
      </c>
      <c r="H2817" s="4" t="s">
        <v>289</v>
      </c>
      <c r="I2817" s="4">
        <v>1</v>
      </c>
      <c r="J2817" s="21">
        <v>130</v>
      </c>
      <c r="K2817" s="21">
        <v>0</v>
      </c>
      <c r="L2817" s="5">
        <v>0</v>
      </c>
      <c r="M2817" s="4"/>
      <c r="N2817" s="4"/>
      <c r="O2817" s="5"/>
      <c r="P2817" s="5"/>
      <c r="Q2817" s="21">
        <v>130</v>
      </c>
      <c r="R2817" s="21">
        <v>0</v>
      </c>
      <c r="S2817" s="5">
        <f t="shared" si="175"/>
        <v>8845.5351201519952</v>
      </c>
      <c r="T2817" cm="1">
        <f t="array" ref="T2817">IF(OR(B2817="MAL ALIMI", B2817="ÜRETİM GİRİŞ"), MIN(I2817, MAX(0, I2817 + SUM(SUMIFS($I$1:I2816, $C$1:C2816, C2817, $B$1:B2816, {"MAL ALIMI","ÜRETİM GİRİŞ"})) - VLOOKUP(C2817, 'STOK RAPORU'!$C$2:$I$1000, 4, 0))), 0)</f>
        <v>0</v>
      </c>
      <c r="U2817" s="22">
        <f t="shared" si="172"/>
        <v>0</v>
      </c>
      <c r="V2817">
        <f t="shared" si="173"/>
        <v>0</v>
      </c>
      <c r="W2817" s="22">
        <f t="shared" si="174"/>
        <v>0</v>
      </c>
    </row>
    <row r="2818" spans="1:23" hidden="1" x14ac:dyDescent="0.25">
      <c r="A2818" s="3">
        <v>46025</v>
      </c>
      <c r="B2818" s="4" t="s">
        <v>334</v>
      </c>
      <c r="C2818" s="4" t="s">
        <v>601</v>
      </c>
      <c r="D2818" s="4"/>
      <c r="E2818" s="4"/>
      <c r="F2818" s="4" t="s">
        <v>1573</v>
      </c>
      <c r="G2818" s="4" t="s">
        <v>336</v>
      </c>
      <c r="H2818" s="4" t="s">
        <v>289</v>
      </c>
      <c r="I2818" s="4">
        <v>0.54600000000000004</v>
      </c>
      <c r="J2818" s="21">
        <v>550</v>
      </c>
      <c r="K2818" s="21">
        <v>0</v>
      </c>
      <c r="L2818" s="5">
        <v>0</v>
      </c>
      <c r="M2818" s="4"/>
      <c r="N2818" s="4"/>
      <c r="O2818" s="5"/>
      <c r="P2818" s="5"/>
      <c r="Q2818" s="21">
        <v>300.3</v>
      </c>
      <c r="R2818" s="21">
        <v>0</v>
      </c>
      <c r="S2818" s="5">
        <f t="shared" si="175"/>
        <v>9145.8351201519945</v>
      </c>
      <c r="T2818" cm="1">
        <f t="array" ref="T2818">IF(OR(B2818="MAL ALIMI", B2818="ÜRETİM GİRİŞ"), MIN(I2818, MAX(0, I2818 + SUM(SUMIFS($I$1:I2817, $C$1:C2817, C2818, $B$1:B2817, {"MAL ALIMI","ÜRETİM GİRİŞ"})) - VLOOKUP(C2818, 'STOK RAPORU'!$C$2:$I$1000, 4, 0))), 0)</f>
        <v>0</v>
      </c>
      <c r="U2818" s="22">
        <f t="shared" si="172"/>
        <v>0</v>
      </c>
      <c r="V2818">
        <f t="shared" si="173"/>
        <v>0</v>
      </c>
      <c r="W2818" s="22">
        <f t="shared" si="174"/>
        <v>0</v>
      </c>
    </row>
    <row r="2819" spans="1:23" hidden="1" x14ac:dyDescent="0.25">
      <c r="A2819" s="3">
        <v>46025</v>
      </c>
      <c r="B2819" s="4" t="s">
        <v>334</v>
      </c>
      <c r="C2819" s="4" t="s">
        <v>1357</v>
      </c>
      <c r="D2819" s="4"/>
      <c r="E2819" s="4"/>
      <c r="F2819" s="4" t="s">
        <v>1573</v>
      </c>
      <c r="G2819" s="4" t="s">
        <v>336</v>
      </c>
      <c r="H2819" s="4" t="s">
        <v>289</v>
      </c>
      <c r="I2819" s="4">
        <v>1</v>
      </c>
      <c r="J2819" s="21">
        <v>570</v>
      </c>
      <c r="K2819" s="21">
        <v>0</v>
      </c>
      <c r="L2819" s="5">
        <v>0</v>
      </c>
      <c r="M2819" s="4"/>
      <c r="N2819" s="4"/>
      <c r="O2819" s="5"/>
      <c r="P2819" s="5"/>
      <c r="Q2819" s="21">
        <v>570</v>
      </c>
      <c r="R2819" s="21">
        <v>0</v>
      </c>
      <c r="S2819" s="5">
        <f t="shared" si="175"/>
        <v>9715.8351201519945</v>
      </c>
      <c r="T2819" cm="1">
        <f t="array" ref="T2819">IF(OR(B2819="MAL ALIMI", B2819="ÜRETİM GİRİŞ"), MIN(I2819, MAX(0, I2819 + SUM(SUMIFS($I$1:I2818, $C$1:C2818, C2819, $B$1:B2818, {"MAL ALIMI","ÜRETİM GİRİŞ"})) - VLOOKUP(C2819, 'STOK RAPORU'!$C$2:$I$1000, 4, 0))), 0)</f>
        <v>0</v>
      </c>
      <c r="U2819" s="22">
        <f t="shared" ref="U2819:U2882" si="176">T2819*J2819</f>
        <v>0</v>
      </c>
      <c r="V2819">
        <f t="shared" ref="V2819:V2882" si="177">IF(OR(B2819="MAL ALIMI", B2819="ÜRETİM GİRİŞ"), I2819 * J2819, 0)</f>
        <v>0</v>
      </c>
      <c r="W2819" s="22">
        <f t="shared" ref="W2819:W2882" si="178">V2819-U2819</f>
        <v>0</v>
      </c>
    </row>
    <row r="2820" spans="1:23" hidden="1" x14ac:dyDescent="0.25">
      <c r="A2820" s="3">
        <v>46025</v>
      </c>
      <c r="B2820" s="4" t="s">
        <v>334</v>
      </c>
      <c r="C2820" s="4" t="s">
        <v>634</v>
      </c>
      <c r="D2820" s="4"/>
      <c r="E2820" s="4"/>
      <c r="F2820" s="4" t="s">
        <v>1573</v>
      </c>
      <c r="G2820" s="4" t="s">
        <v>336</v>
      </c>
      <c r="H2820" s="4" t="s">
        <v>289</v>
      </c>
      <c r="I2820" s="4">
        <v>0.47099999999999997</v>
      </c>
      <c r="J2820" s="21">
        <v>850</v>
      </c>
      <c r="K2820" s="21">
        <v>0</v>
      </c>
      <c r="L2820" s="5">
        <v>0</v>
      </c>
      <c r="M2820" s="4"/>
      <c r="N2820" s="4"/>
      <c r="O2820" s="5"/>
      <c r="P2820" s="5"/>
      <c r="Q2820" s="21">
        <v>400.34999999999997</v>
      </c>
      <c r="R2820" s="21">
        <v>0</v>
      </c>
      <c r="S2820" s="5">
        <f t="shared" ref="S2820:S2883" si="179">S2819+Q2820-R2820</f>
        <v>10116.185120151995</v>
      </c>
      <c r="T2820" cm="1">
        <f t="array" ref="T2820">IF(OR(B2820="MAL ALIMI", B2820="ÜRETİM GİRİŞ"), MIN(I2820, MAX(0, I2820 + SUM(SUMIFS($I$1:I2819, $C$1:C2819, C2820, $B$1:B2819, {"MAL ALIMI","ÜRETİM GİRİŞ"})) - VLOOKUP(C2820, 'STOK RAPORU'!$C$2:$I$1000, 4, 0))), 0)</f>
        <v>0</v>
      </c>
      <c r="U2820" s="22">
        <f t="shared" si="176"/>
        <v>0</v>
      </c>
      <c r="V2820">
        <f t="shared" si="177"/>
        <v>0</v>
      </c>
      <c r="W2820" s="22">
        <f t="shared" si="178"/>
        <v>0</v>
      </c>
    </row>
    <row r="2821" spans="1:23" hidden="1" x14ac:dyDescent="0.25">
      <c r="A2821" s="3">
        <v>46025</v>
      </c>
      <c r="B2821" s="4" t="s">
        <v>334</v>
      </c>
      <c r="C2821" s="4" t="s">
        <v>505</v>
      </c>
      <c r="D2821" s="4"/>
      <c r="E2821" s="4"/>
      <c r="F2821" s="4" t="s">
        <v>1573</v>
      </c>
      <c r="G2821" s="4" t="s">
        <v>336</v>
      </c>
      <c r="H2821" s="4" t="s">
        <v>289</v>
      </c>
      <c r="I2821" s="4">
        <v>1</v>
      </c>
      <c r="J2821" s="21">
        <v>230</v>
      </c>
      <c r="K2821" s="21">
        <v>0</v>
      </c>
      <c r="L2821" s="5">
        <v>0</v>
      </c>
      <c r="M2821" s="4"/>
      <c r="N2821" s="4"/>
      <c r="O2821" s="5"/>
      <c r="P2821" s="5"/>
      <c r="Q2821" s="21">
        <v>230</v>
      </c>
      <c r="R2821" s="21">
        <v>0</v>
      </c>
      <c r="S2821" s="5">
        <f t="shared" si="179"/>
        <v>10346.185120151995</v>
      </c>
      <c r="T2821" cm="1">
        <f t="array" ref="T2821">IF(OR(B2821="MAL ALIMI", B2821="ÜRETİM GİRİŞ"), MIN(I2821, MAX(0, I2821 + SUM(SUMIFS($I$1:I2820, $C$1:C2820, C2821, $B$1:B2820, {"MAL ALIMI","ÜRETİM GİRİŞ"})) - VLOOKUP(C2821, 'STOK RAPORU'!$C$2:$I$1000, 4, 0))), 0)</f>
        <v>0</v>
      </c>
      <c r="U2821" s="22">
        <f t="shared" si="176"/>
        <v>0</v>
      </c>
      <c r="V2821">
        <f t="shared" si="177"/>
        <v>0</v>
      </c>
      <c r="W2821" s="22">
        <f t="shared" si="178"/>
        <v>0</v>
      </c>
    </row>
    <row r="2822" spans="1:23" hidden="1" x14ac:dyDescent="0.25">
      <c r="A2822" s="3">
        <v>46025</v>
      </c>
      <c r="B2822" s="4" t="s">
        <v>334</v>
      </c>
      <c r="C2822" s="4" t="s">
        <v>1501</v>
      </c>
      <c r="D2822" s="4"/>
      <c r="E2822" s="4"/>
      <c r="F2822" s="4" t="s">
        <v>1573</v>
      </c>
      <c r="G2822" s="4" t="s">
        <v>336</v>
      </c>
      <c r="H2822" s="4" t="s">
        <v>289</v>
      </c>
      <c r="I2822" s="4">
        <v>1</v>
      </c>
      <c r="J2822" s="21">
        <v>750</v>
      </c>
      <c r="K2822" s="21">
        <v>0</v>
      </c>
      <c r="L2822" s="5">
        <v>0</v>
      </c>
      <c r="M2822" s="4"/>
      <c r="N2822" s="4"/>
      <c r="O2822" s="5"/>
      <c r="P2822" s="5"/>
      <c r="Q2822" s="21">
        <v>750</v>
      </c>
      <c r="R2822" s="21">
        <v>0</v>
      </c>
      <c r="S2822" s="5">
        <f t="shared" si="179"/>
        <v>11096.185120151995</v>
      </c>
      <c r="T2822" cm="1">
        <f t="array" ref="T2822">IF(OR(B2822="MAL ALIMI", B2822="ÜRETİM GİRİŞ"), MIN(I2822, MAX(0, I2822 + SUM(SUMIFS($I$1:I2821, $C$1:C2821, C2822, $B$1:B2821, {"MAL ALIMI","ÜRETİM GİRİŞ"})) - VLOOKUP(C2822, 'STOK RAPORU'!$C$2:$I$1000, 4, 0))), 0)</f>
        <v>0</v>
      </c>
      <c r="U2822" s="22">
        <f t="shared" si="176"/>
        <v>0</v>
      </c>
      <c r="V2822">
        <f t="shared" si="177"/>
        <v>0</v>
      </c>
      <c r="W2822" s="22">
        <f t="shared" si="178"/>
        <v>0</v>
      </c>
    </row>
    <row r="2823" spans="1:23" hidden="1" x14ac:dyDescent="0.25">
      <c r="A2823" s="3">
        <v>46025</v>
      </c>
      <c r="B2823" s="4" t="s">
        <v>334</v>
      </c>
      <c r="C2823" s="4" t="s">
        <v>587</v>
      </c>
      <c r="D2823" s="4"/>
      <c r="E2823" s="4"/>
      <c r="F2823" s="4" t="s">
        <v>1573</v>
      </c>
      <c r="G2823" s="4" t="s">
        <v>336</v>
      </c>
      <c r="H2823" s="4" t="s">
        <v>289</v>
      </c>
      <c r="I2823" s="4">
        <v>4</v>
      </c>
      <c r="J2823" s="21">
        <v>150</v>
      </c>
      <c r="K2823" s="21">
        <v>0</v>
      </c>
      <c r="L2823" s="5">
        <v>0</v>
      </c>
      <c r="M2823" s="4"/>
      <c r="N2823" s="4"/>
      <c r="O2823" s="5"/>
      <c r="P2823" s="5"/>
      <c r="Q2823" s="21">
        <v>600</v>
      </c>
      <c r="R2823" s="21">
        <v>0</v>
      </c>
      <c r="S2823" s="5">
        <f t="shared" si="179"/>
        <v>11696.185120151995</v>
      </c>
      <c r="T2823" cm="1">
        <f t="array" ref="T2823">IF(OR(B2823="MAL ALIMI", B2823="ÜRETİM GİRİŞ"), MIN(I2823, MAX(0, I2823 + SUM(SUMIFS($I$1:I2822, $C$1:C2822, C2823, $B$1:B2822, {"MAL ALIMI","ÜRETİM GİRİŞ"})) - VLOOKUP(C2823, 'STOK RAPORU'!$C$2:$I$1000, 4, 0))), 0)</f>
        <v>0</v>
      </c>
      <c r="U2823" s="22">
        <f t="shared" si="176"/>
        <v>0</v>
      </c>
      <c r="V2823">
        <f t="shared" si="177"/>
        <v>0</v>
      </c>
      <c r="W2823" s="22">
        <f t="shared" si="178"/>
        <v>0</v>
      </c>
    </row>
    <row r="2824" spans="1:23" hidden="1" x14ac:dyDescent="0.25">
      <c r="A2824" s="3">
        <v>46025</v>
      </c>
      <c r="B2824" s="4" t="s">
        <v>334</v>
      </c>
      <c r="C2824" s="4" t="s">
        <v>586</v>
      </c>
      <c r="D2824" s="4"/>
      <c r="E2824" s="4"/>
      <c r="F2824" s="4" t="s">
        <v>1573</v>
      </c>
      <c r="G2824" s="4" t="s">
        <v>336</v>
      </c>
      <c r="H2824" s="4" t="s">
        <v>289</v>
      </c>
      <c r="I2824" s="4">
        <v>2</v>
      </c>
      <c r="J2824" s="21">
        <v>200</v>
      </c>
      <c r="K2824" s="21">
        <v>0</v>
      </c>
      <c r="L2824" s="5">
        <v>0</v>
      </c>
      <c r="M2824" s="4"/>
      <c r="N2824" s="4"/>
      <c r="O2824" s="5"/>
      <c r="P2824" s="5"/>
      <c r="Q2824" s="21">
        <v>400</v>
      </c>
      <c r="R2824" s="21">
        <v>0</v>
      </c>
      <c r="S2824" s="5">
        <f t="shared" si="179"/>
        <v>12096.185120151995</v>
      </c>
      <c r="T2824" cm="1">
        <f t="array" ref="T2824">IF(OR(B2824="MAL ALIMI", B2824="ÜRETİM GİRİŞ"), MIN(I2824, MAX(0, I2824 + SUM(SUMIFS($I$1:I2823, $C$1:C2823, C2824, $B$1:B2823, {"MAL ALIMI","ÜRETİM GİRİŞ"})) - VLOOKUP(C2824, 'STOK RAPORU'!$C$2:$I$1000, 4, 0))), 0)</f>
        <v>0</v>
      </c>
      <c r="U2824" s="22">
        <f t="shared" si="176"/>
        <v>0</v>
      </c>
      <c r="V2824">
        <f t="shared" si="177"/>
        <v>0</v>
      </c>
      <c r="W2824" s="22">
        <f t="shared" si="178"/>
        <v>0</v>
      </c>
    </row>
    <row r="2825" spans="1:23" hidden="1" x14ac:dyDescent="0.25">
      <c r="A2825" s="3">
        <v>46025</v>
      </c>
      <c r="B2825" s="4" t="s">
        <v>334</v>
      </c>
      <c r="C2825" s="4" t="s">
        <v>588</v>
      </c>
      <c r="D2825" s="4"/>
      <c r="E2825" s="4" t="s">
        <v>921</v>
      </c>
      <c r="F2825" s="4" t="s">
        <v>1585</v>
      </c>
      <c r="G2825" s="4" t="s">
        <v>336</v>
      </c>
      <c r="H2825" s="4" t="s">
        <v>380</v>
      </c>
      <c r="I2825" s="4">
        <v>1</v>
      </c>
      <c r="J2825" s="21">
        <v>350</v>
      </c>
      <c r="K2825" s="21">
        <v>350</v>
      </c>
      <c r="L2825" s="5">
        <v>0</v>
      </c>
      <c r="M2825" s="4"/>
      <c r="N2825" s="4"/>
      <c r="O2825" s="5"/>
      <c r="P2825" s="5"/>
      <c r="Q2825" s="21">
        <v>0</v>
      </c>
      <c r="R2825" s="21">
        <v>0</v>
      </c>
      <c r="S2825" s="5">
        <f t="shared" si="179"/>
        <v>12096.185120151995</v>
      </c>
      <c r="T2825" cm="1">
        <f t="array" ref="T2825">IF(OR(B2825="MAL ALIMI", B2825="ÜRETİM GİRİŞ"), MIN(I2825, MAX(0, I2825 + SUM(SUMIFS($I$1:I2824, $C$1:C2824, C2825, $B$1:B2824, {"MAL ALIMI","ÜRETİM GİRİŞ"})) - VLOOKUP(C2825, 'STOK RAPORU'!$C$2:$I$1000, 4, 0))), 0)</f>
        <v>0</v>
      </c>
      <c r="U2825" s="22">
        <f t="shared" si="176"/>
        <v>0</v>
      </c>
      <c r="V2825">
        <f t="shared" si="177"/>
        <v>0</v>
      </c>
      <c r="W2825" s="22">
        <f t="shared" si="178"/>
        <v>0</v>
      </c>
    </row>
    <row r="2826" spans="1:23" hidden="1" x14ac:dyDescent="0.25">
      <c r="A2826" s="3">
        <v>46025</v>
      </c>
      <c r="B2826" s="4" t="s">
        <v>334</v>
      </c>
      <c r="C2826" s="4" t="s">
        <v>591</v>
      </c>
      <c r="D2826" s="4"/>
      <c r="E2826" s="4" t="s">
        <v>921</v>
      </c>
      <c r="F2826" s="4" t="s">
        <v>1585</v>
      </c>
      <c r="G2826" s="4" t="s">
        <v>336</v>
      </c>
      <c r="H2826" s="4" t="s">
        <v>380</v>
      </c>
      <c r="I2826" s="4">
        <v>1</v>
      </c>
      <c r="J2826" s="21">
        <v>350</v>
      </c>
      <c r="K2826" s="21">
        <v>350</v>
      </c>
      <c r="L2826" s="5">
        <v>0</v>
      </c>
      <c r="M2826" s="4"/>
      <c r="N2826" s="4"/>
      <c r="O2826" s="5"/>
      <c r="P2826" s="5"/>
      <c r="Q2826" s="21">
        <v>0</v>
      </c>
      <c r="R2826" s="21">
        <v>0</v>
      </c>
      <c r="S2826" s="5">
        <f t="shared" si="179"/>
        <v>12096.185120151995</v>
      </c>
      <c r="T2826" cm="1">
        <f t="array" ref="T2826">IF(OR(B2826="MAL ALIMI", B2826="ÜRETİM GİRİŞ"), MIN(I2826, MAX(0, I2826 + SUM(SUMIFS($I$1:I2825, $C$1:C2825, C2826, $B$1:B2825, {"MAL ALIMI","ÜRETİM GİRİŞ"})) - VLOOKUP(C2826, 'STOK RAPORU'!$C$2:$I$1000, 4, 0))), 0)</f>
        <v>0</v>
      </c>
      <c r="U2826" s="22">
        <f t="shared" si="176"/>
        <v>0</v>
      </c>
      <c r="V2826">
        <f t="shared" si="177"/>
        <v>0</v>
      </c>
      <c r="W2826" s="22">
        <f t="shared" si="178"/>
        <v>0</v>
      </c>
    </row>
    <row r="2827" spans="1:23" hidden="1" x14ac:dyDescent="0.25">
      <c r="A2827" s="3">
        <v>46025</v>
      </c>
      <c r="B2827" s="4" t="s">
        <v>334</v>
      </c>
      <c r="C2827" s="4" t="s">
        <v>591</v>
      </c>
      <c r="D2827" s="4"/>
      <c r="E2827" s="4" t="s">
        <v>921</v>
      </c>
      <c r="F2827" s="4" t="s">
        <v>1586</v>
      </c>
      <c r="G2827" s="4" t="s">
        <v>336</v>
      </c>
      <c r="H2827" s="4" t="s">
        <v>380</v>
      </c>
      <c r="I2827" s="4">
        <v>1</v>
      </c>
      <c r="J2827" s="21">
        <v>350</v>
      </c>
      <c r="K2827" s="21">
        <v>350</v>
      </c>
      <c r="L2827" s="5">
        <v>0</v>
      </c>
      <c r="M2827" s="4"/>
      <c r="N2827" s="4"/>
      <c r="O2827" s="5"/>
      <c r="P2827" s="5"/>
      <c r="Q2827" s="21">
        <v>0</v>
      </c>
      <c r="R2827" s="21">
        <v>0</v>
      </c>
      <c r="S2827" s="5">
        <f t="shared" si="179"/>
        <v>12096.185120151995</v>
      </c>
      <c r="T2827" cm="1">
        <f t="array" ref="T2827">IF(OR(B2827="MAL ALIMI", B2827="ÜRETİM GİRİŞ"), MIN(I2827, MAX(0, I2827 + SUM(SUMIFS($I$1:I2826, $C$1:C2826, C2827, $B$1:B2826, {"MAL ALIMI","ÜRETİM GİRİŞ"})) - VLOOKUP(C2827, 'STOK RAPORU'!$C$2:$I$1000, 4, 0))), 0)</f>
        <v>0</v>
      </c>
      <c r="U2827" s="22">
        <f t="shared" si="176"/>
        <v>0</v>
      </c>
      <c r="V2827">
        <f t="shared" si="177"/>
        <v>0</v>
      </c>
      <c r="W2827" s="22">
        <f t="shared" si="178"/>
        <v>0</v>
      </c>
    </row>
    <row r="2828" spans="1:23" hidden="1" x14ac:dyDescent="0.25">
      <c r="A2828" s="3">
        <v>46025</v>
      </c>
      <c r="B2828" s="4" t="s">
        <v>946</v>
      </c>
      <c r="C2828" s="4"/>
      <c r="D2828" s="4"/>
      <c r="E2828" s="4" t="s">
        <v>921</v>
      </c>
      <c r="F2828" s="4"/>
      <c r="G2828" s="4" t="s">
        <v>946</v>
      </c>
      <c r="H2828" s="4" t="s">
        <v>380</v>
      </c>
      <c r="I2828" s="4">
        <v>1</v>
      </c>
      <c r="J2828" s="105">
        <v>285</v>
      </c>
      <c r="K2828" s="21">
        <v>0</v>
      </c>
      <c r="L2828" s="102">
        <v>285</v>
      </c>
      <c r="M2828" s="21">
        <v>880</v>
      </c>
      <c r="N2828" s="21">
        <v>0</v>
      </c>
      <c r="O2828" s="5">
        <v>-10288.138239847995</v>
      </c>
      <c r="P2828" s="5"/>
      <c r="Q2828" s="21">
        <v>285</v>
      </c>
      <c r="R2828" s="21">
        <v>0</v>
      </c>
      <c r="S2828" s="5">
        <f t="shared" si="179"/>
        <v>12381.185120151995</v>
      </c>
      <c r="T2828" cm="1">
        <f t="array" ref="T2828">IF(OR(B2828="MAL ALIMI", B2828="ÜRETİM GİRİŞ"), MIN(I2828, MAX(0, I2828 + SUM(SUMIFS($I$1:I2827, $C$1:C2827, C2828, $B$1:B2827, {"MAL ALIMI","ÜRETİM GİRİŞ"})) - VLOOKUP(C2828, 'STOK RAPORU'!$C$2:$I$1000, 4, 0))), 0)</f>
        <v>0</v>
      </c>
      <c r="U2828" s="22">
        <f t="shared" si="176"/>
        <v>0</v>
      </c>
      <c r="V2828">
        <f t="shared" si="177"/>
        <v>0</v>
      </c>
      <c r="W2828" s="22">
        <f t="shared" si="178"/>
        <v>0</v>
      </c>
    </row>
    <row r="2829" spans="1:23" hidden="1" x14ac:dyDescent="0.25">
      <c r="A2829" s="3">
        <v>46025</v>
      </c>
      <c r="B2829" s="4" t="s">
        <v>946</v>
      </c>
      <c r="C2829" s="4"/>
      <c r="D2829" s="4"/>
      <c r="E2829" s="4" t="s">
        <v>921</v>
      </c>
      <c r="F2829" s="4"/>
      <c r="G2829" s="4" t="s">
        <v>946</v>
      </c>
      <c r="H2829" s="4" t="s">
        <v>380</v>
      </c>
      <c r="I2829" s="4">
        <v>1</v>
      </c>
      <c r="J2829" s="105">
        <v>1718</v>
      </c>
      <c r="K2829" s="21">
        <v>0</v>
      </c>
      <c r="L2829" s="102">
        <v>1718</v>
      </c>
      <c r="M2829" s="4"/>
      <c r="N2829" s="4"/>
      <c r="O2829" s="5"/>
      <c r="P2829" s="5"/>
      <c r="Q2829" s="21">
        <v>1718</v>
      </c>
      <c r="R2829" s="21">
        <v>0</v>
      </c>
      <c r="S2829" s="5">
        <f t="shared" si="179"/>
        <v>14099.185120151995</v>
      </c>
      <c r="T2829" cm="1">
        <f t="array" ref="T2829">IF(OR(B2829="MAL ALIMI", B2829="ÜRETİM GİRİŞ"), MIN(I2829, MAX(0, I2829 + SUM(SUMIFS($I$1:I2828, $C$1:C2828, C2829, $B$1:B2828, {"MAL ALIMI","ÜRETİM GİRİŞ"})) - VLOOKUP(C2829, 'STOK RAPORU'!$C$2:$I$1000, 4, 0))), 0)</f>
        <v>0</v>
      </c>
      <c r="U2829" s="22">
        <f t="shared" si="176"/>
        <v>0</v>
      </c>
      <c r="V2829">
        <f t="shared" si="177"/>
        <v>0</v>
      </c>
      <c r="W2829" s="22">
        <f t="shared" si="178"/>
        <v>0</v>
      </c>
    </row>
    <row r="2830" spans="1:23" x14ac:dyDescent="0.25">
      <c r="A2830" s="3">
        <v>46025</v>
      </c>
      <c r="B2830" s="4" t="s">
        <v>659</v>
      </c>
      <c r="C2830" s="4" t="s">
        <v>588</v>
      </c>
      <c r="D2830" s="4"/>
      <c r="E2830" s="4" t="s">
        <v>350</v>
      </c>
      <c r="F2830" s="4"/>
      <c r="G2830" s="4" t="s">
        <v>3159</v>
      </c>
      <c r="H2830" s="4" t="s">
        <v>304</v>
      </c>
      <c r="I2830" s="4">
        <v>1</v>
      </c>
      <c r="J2830" s="21">
        <v>235</v>
      </c>
      <c r="K2830" s="21">
        <v>235</v>
      </c>
      <c r="L2830" s="5">
        <v>0</v>
      </c>
      <c r="M2830" s="4"/>
      <c r="N2830" s="4"/>
      <c r="O2830" s="5"/>
      <c r="P2830" s="5"/>
      <c r="Q2830" s="21">
        <v>0</v>
      </c>
      <c r="R2830" s="21">
        <v>0</v>
      </c>
      <c r="S2830" s="5">
        <f t="shared" si="179"/>
        <v>14099.185120151995</v>
      </c>
      <c r="T2830" cm="1">
        <f t="array" ref="T2830">IF(OR(B2830="MAL ALIMI", B2830="ÜRETİM GİRİŞ"), MIN(I2830, MAX(0, I2830 + SUM(SUMIFS($I$1:I2829, $C$1:C2829, C2830, $B$1:B2829, {"MAL ALIMI","ÜRETİM GİRİŞ"})) - VLOOKUP(C2830, 'STOK RAPORU'!$C$2:$I$1000, 4, 0))), 0)</f>
        <v>0</v>
      </c>
      <c r="U2830" s="22">
        <f t="shared" si="176"/>
        <v>0</v>
      </c>
      <c r="V2830">
        <f t="shared" si="177"/>
        <v>0</v>
      </c>
      <c r="W2830" s="22">
        <f t="shared" si="178"/>
        <v>0</v>
      </c>
    </row>
    <row r="2831" spans="1:23" x14ac:dyDescent="0.25">
      <c r="A2831" s="3">
        <v>46025</v>
      </c>
      <c r="B2831" s="4" t="s">
        <v>659</v>
      </c>
      <c r="C2831" s="4" t="s">
        <v>649</v>
      </c>
      <c r="D2831" s="4"/>
      <c r="E2831" s="4" t="s">
        <v>350</v>
      </c>
      <c r="F2831" s="4"/>
      <c r="G2831" s="4" t="s">
        <v>3159</v>
      </c>
      <c r="H2831" s="4" t="s">
        <v>304</v>
      </c>
      <c r="I2831" s="4">
        <v>1</v>
      </c>
      <c r="J2831" s="21">
        <v>205</v>
      </c>
      <c r="K2831" s="21">
        <v>205</v>
      </c>
      <c r="L2831" s="5">
        <v>0</v>
      </c>
      <c r="M2831" s="4"/>
      <c r="N2831" s="4"/>
      <c r="O2831" s="5"/>
      <c r="P2831" s="5"/>
      <c r="Q2831" s="21">
        <v>0</v>
      </c>
      <c r="R2831" s="21">
        <v>0</v>
      </c>
      <c r="S2831" s="5">
        <f t="shared" si="179"/>
        <v>14099.185120151995</v>
      </c>
      <c r="T2831" cm="1">
        <f t="array" ref="T2831">IF(OR(B2831="MAL ALIMI", B2831="ÜRETİM GİRİŞ"), MIN(I2831, MAX(0, I2831 + SUM(SUMIFS($I$1:I2830, $C$1:C2830, C2831, $B$1:B2830, {"MAL ALIMI","ÜRETİM GİRİŞ"})) - VLOOKUP(C2831, 'STOK RAPORU'!$C$2:$I$1000, 4, 0))), 0)</f>
        <v>0</v>
      </c>
      <c r="U2831" s="22">
        <f t="shared" si="176"/>
        <v>0</v>
      </c>
      <c r="V2831">
        <f t="shared" si="177"/>
        <v>0</v>
      </c>
      <c r="W2831" s="22">
        <f t="shared" si="178"/>
        <v>0</v>
      </c>
    </row>
    <row r="2832" spans="1:23" hidden="1" x14ac:dyDescent="0.25">
      <c r="A2832" s="3">
        <v>46026</v>
      </c>
      <c r="B2832" s="4" t="s">
        <v>334</v>
      </c>
      <c r="C2832" s="4" t="s">
        <v>132</v>
      </c>
      <c r="D2832" s="4"/>
      <c r="E2832" s="4"/>
      <c r="F2832" s="4" t="s">
        <v>1574</v>
      </c>
      <c r="G2832" s="4" t="s">
        <v>336</v>
      </c>
      <c r="H2832" s="4" t="s">
        <v>289</v>
      </c>
      <c r="I2832" s="4">
        <v>0.52</v>
      </c>
      <c r="J2832" s="21">
        <v>500</v>
      </c>
      <c r="K2832" s="21">
        <v>0</v>
      </c>
      <c r="L2832" s="5">
        <v>0</v>
      </c>
      <c r="M2832" s="4"/>
      <c r="N2832" s="4"/>
      <c r="O2832" s="5"/>
      <c r="P2832" s="5"/>
      <c r="Q2832" s="21">
        <v>260</v>
      </c>
      <c r="R2832" s="21">
        <v>0</v>
      </c>
      <c r="S2832" s="5">
        <f t="shared" si="179"/>
        <v>14359.185120151995</v>
      </c>
      <c r="T2832" cm="1">
        <f t="array" ref="T2832">IF(OR(B2832="MAL ALIMI", B2832="ÜRETİM GİRİŞ"), MIN(I2832, MAX(0, I2832 + SUM(SUMIFS($I$1:I2831, $C$1:C2831, C2832, $B$1:B2831, {"MAL ALIMI","ÜRETİM GİRİŞ"})) - VLOOKUP(C2832, 'STOK RAPORU'!$C$2:$I$1000, 4, 0))), 0)</f>
        <v>0</v>
      </c>
      <c r="U2832" s="22">
        <f t="shared" si="176"/>
        <v>0</v>
      </c>
      <c r="V2832">
        <f t="shared" si="177"/>
        <v>0</v>
      </c>
      <c r="W2832" s="22">
        <f t="shared" si="178"/>
        <v>0</v>
      </c>
    </row>
    <row r="2833" spans="1:23" hidden="1" x14ac:dyDescent="0.25">
      <c r="A2833" s="3">
        <v>46026</v>
      </c>
      <c r="B2833" s="4" t="s">
        <v>334</v>
      </c>
      <c r="C2833" s="4" t="s">
        <v>133</v>
      </c>
      <c r="D2833" s="4"/>
      <c r="E2833" s="4"/>
      <c r="F2833" s="4" t="s">
        <v>1574</v>
      </c>
      <c r="G2833" s="4" t="s">
        <v>336</v>
      </c>
      <c r="H2833" s="4" t="s">
        <v>289</v>
      </c>
      <c r="I2833" s="4">
        <v>0.55400000000000005</v>
      </c>
      <c r="J2833" s="21">
        <v>380</v>
      </c>
      <c r="K2833" s="21">
        <v>0</v>
      </c>
      <c r="L2833" s="5">
        <v>0</v>
      </c>
      <c r="M2833" s="4"/>
      <c r="N2833" s="4"/>
      <c r="O2833" s="5"/>
      <c r="P2833" s="5"/>
      <c r="Q2833" s="21">
        <v>210.52</v>
      </c>
      <c r="R2833" s="21">
        <v>0</v>
      </c>
      <c r="S2833" s="5">
        <f t="shared" si="179"/>
        <v>14569.705120151995</v>
      </c>
      <c r="T2833" cm="1">
        <f t="array" ref="T2833">IF(OR(B2833="MAL ALIMI", B2833="ÜRETİM GİRİŞ"), MIN(I2833, MAX(0, I2833 + SUM(SUMIFS($I$1:I2832, $C$1:C2832, C2833, $B$1:B2832, {"MAL ALIMI","ÜRETİM GİRİŞ"})) - VLOOKUP(C2833, 'STOK RAPORU'!$C$2:$I$1000, 4, 0))), 0)</f>
        <v>0</v>
      </c>
      <c r="U2833" s="22">
        <f t="shared" si="176"/>
        <v>0</v>
      </c>
      <c r="V2833">
        <f t="shared" si="177"/>
        <v>0</v>
      </c>
      <c r="W2833" s="22">
        <f t="shared" si="178"/>
        <v>0</v>
      </c>
    </row>
    <row r="2834" spans="1:23" hidden="1" x14ac:dyDescent="0.25">
      <c r="A2834" s="3">
        <v>46026</v>
      </c>
      <c r="B2834" s="4" t="s">
        <v>334</v>
      </c>
      <c r="C2834" s="4" t="s">
        <v>598</v>
      </c>
      <c r="D2834" s="4"/>
      <c r="E2834" s="4"/>
      <c r="F2834" s="4" t="s">
        <v>1574</v>
      </c>
      <c r="G2834" s="4" t="s">
        <v>336</v>
      </c>
      <c r="H2834" s="4" t="s">
        <v>289</v>
      </c>
      <c r="I2834" s="4">
        <v>0.46400000000000002</v>
      </c>
      <c r="J2834" s="21">
        <v>290</v>
      </c>
      <c r="K2834" s="21">
        <v>0</v>
      </c>
      <c r="L2834" s="5">
        <v>0</v>
      </c>
      <c r="M2834" s="4"/>
      <c r="N2834" s="4"/>
      <c r="O2834" s="5"/>
      <c r="P2834" s="5"/>
      <c r="Q2834" s="21">
        <v>134.56</v>
      </c>
      <c r="R2834" s="21">
        <v>0</v>
      </c>
      <c r="S2834" s="5">
        <f t="shared" si="179"/>
        <v>14704.265120151995</v>
      </c>
      <c r="T2834" cm="1">
        <f t="array" ref="T2834">IF(OR(B2834="MAL ALIMI", B2834="ÜRETİM GİRİŞ"), MIN(I2834, MAX(0, I2834 + SUM(SUMIFS($I$1:I2833, $C$1:C2833, C2834, $B$1:B2833, {"MAL ALIMI","ÜRETİM GİRİŞ"})) - VLOOKUP(C2834, 'STOK RAPORU'!$C$2:$I$1000, 4, 0))), 0)</f>
        <v>0</v>
      </c>
      <c r="U2834" s="22">
        <f t="shared" si="176"/>
        <v>0</v>
      </c>
      <c r="V2834">
        <f t="shared" si="177"/>
        <v>0</v>
      </c>
      <c r="W2834" s="22">
        <f t="shared" si="178"/>
        <v>0</v>
      </c>
    </row>
    <row r="2835" spans="1:23" hidden="1" x14ac:dyDescent="0.25">
      <c r="A2835" s="3">
        <v>46026</v>
      </c>
      <c r="B2835" s="4" t="s">
        <v>334</v>
      </c>
      <c r="C2835" s="4" t="s">
        <v>523</v>
      </c>
      <c r="D2835" s="4"/>
      <c r="E2835" s="4"/>
      <c r="F2835" s="4" t="s">
        <v>1574</v>
      </c>
      <c r="G2835" s="4" t="s">
        <v>336</v>
      </c>
      <c r="H2835" s="4" t="s">
        <v>289</v>
      </c>
      <c r="I2835" s="4">
        <v>0.2</v>
      </c>
      <c r="J2835" s="21">
        <v>650</v>
      </c>
      <c r="K2835" s="21">
        <v>0</v>
      </c>
      <c r="L2835" s="5">
        <v>0</v>
      </c>
      <c r="M2835" s="4"/>
      <c r="N2835" s="4"/>
      <c r="O2835" s="5"/>
      <c r="P2835" s="5"/>
      <c r="Q2835" s="21">
        <v>130</v>
      </c>
      <c r="R2835" s="21">
        <v>0</v>
      </c>
      <c r="S2835" s="5">
        <f t="shared" si="179"/>
        <v>14834.265120151995</v>
      </c>
      <c r="T2835" cm="1">
        <f t="array" ref="T2835">IF(OR(B2835="MAL ALIMI", B2835="ÜRETİM GİRİŞ"), MIN(I2835, MAX(0, I2835 + SUM(SUMIFS($I$1:I2834, $C$1:C2834, C2835, $B$1:B2834, {"MAL ALIMI","ÜRETİM GİRİŞ"})) - VLOOKUP(C2835, 'STOK RAPORU'!$C$2:$I$1000, 4, 0))), 0)</f>
        <v>0</v>
      </c>
      <c r="U2835" s="22">
        <f t="shared" si="176"/>
        <v>0</v>
      </c>
      <c r="V2835">
        <f t="shared" si="177"/>
        <v>0</v>
      </c>
      <c r="W2835" s="22">
        <f t="shared" si="178"/>
        <v>0</v>
      </c>
    </row>
    <row r="2836" spans="1:23" hidden="1" x14ac:dyDescent="0.25">
      <c r="A2836" s="3">
        <v>46026</v>
      </c>
      <c r="B2836" s="4" t="s">
        <v>334</v>
      </c>
      <c r="C2836" s="4" t="s">
        <v>91</v>
      </c>
      <c r="D2836" s="4"/>
      <c r="E2836" s="4"/>
      <c r="F2836" s="4" t="s">
        <v>1574</v>
      </c>
      <c r="G2836" s="4" t="s">
        <v>336</v>
      </c>
      <c r="H2836" s="4" t="s">
        <v>289</v>
      </c>
      <c r="I2836" s="4">
        <v>7.5999999999999998E-2</v>
      </c>
      <c r="J2836" s="21">
        <v>760</v>
      </c>
      <c r="K2836" s="21">
        <v>0</v>
      </c>
      <c r="L2836" s="5">
        <v>0</v>
      </c>
      <c r="M2836" s="4"/>
      <c r="N2836" s="4"/>
      <c r="O2836" s="5"/>
      <c r="P2836" s="5"/>
      <c r="Q2836" s="21">
        <v>57.76</v>
      </c>
      <c r="R2836" s="21">
        <v>0</v>
      </c>
      <c r="S2836" s="5">
        <f t="shared" si="179"/>
        <v>14892.025120151995</v>
      </c>
      <c r="T2836" cm="1">
        <f t="array" ref="T2836">IF(OR(B2836="MAL ALIMI", B2836="ÜRETİM GİRİŞ"), MIN(I2836, MAX(0, I2836 + SUM(SUMIFS($I$1:I2835, $C$1:C2835, C2836, $B$1:B2835, {"MAL ALIMI","ÜRETİM GİRİŞ"})) - VLOOKUP(C2836, 'STOK RAPORU'!$C$2:$I$1000, 4, 0))), 0)</f>
        <v>0</v>
      </c>
      <c r="U2836" s="22">
        <f t="shared" si="176"/>
        <v>0</v>
      </c>
      <c r="V2836">
        <f t="shared" si="177"/>
        <v>0</v>
      </c>
      <c r="W2836" s="22">
        <f t="shared" si="178"/>
        <v>0</v>
      </c>
    </row>
    <row r="2837" spans="1:23" hidden="1" x14ac:dyDescent="0.25">
      <c r="A2837" s="3">
        <v>46026</v>
      </c>
      <c r="B2837" s="4" t="s">
        <v>334</v>
      </c>
      <c r="C2837" s="4" t="s">
        <v>91</v>
      </c>
      <c r="D2837" s="4"/>
      <c r="E2837" s="4"/>
      <c r="F2837" s="4" t="s">
        <v>1574</v>
      </c>
      <c r="G2837" s="4" t="s">
        <v>336</v>
      </c>
      <c r="H2837" s="4" t="s">
        <v>289</v>
      </c>
      <c r="I2837" s="4">
        <v>6.4000000000000001E-2</v>
      </c>
      <c r="J2837" s="21">
        <v>760</v>
      </c>
      <c r="K2837" s="21">
        <v>0</v>
      </c>
      <c r="L2837" s="5">
        <v>0</v>
      </c>
      <c r="M2837" s="4"/>
      <c r="N2837" s="4"/>
      <c r="O2837" s="5"/>
      <c r="P2837" s="5"/>
      <c r="Q2837" s="21">
        <v>48.64</v>
      </c>
      <c r="R2837" s="21">
        <v>0</v>
      </c>
      <c r="S2837" s="5">
        <f t="shared" si="179"/>
        <v>14940.665120151994</v>
      </c>
      <c r="T2837" cm="1">
        <f t="array" ref="T2837">IF(OR(B2837="MAL ALIMI", B2837="ÜRETİM GİRİŞ"), MIN(I2837, MAX(0, I2837 + SUM(SUMIFS($I$1:I2836, $C$1:C2836, C2837, $B$1:B2836, {"MAL ALIMI","ÜRETİM GİRİŞ"})) - VLOOKUP(C2837, 'STOK RAPORU'!$C$2:$I$1000, 4, 0))), 0)</f>
        <v>0</v>
      </c>
      <c r="U2837" s="22">
        <f t="shared" si="176"/>
        <v>0</v>
      </c>
      <c r="V2837">
        <f t="shared" si="177"/>
        <v>0</v>
      </c>
      <c r="W2837" s="22">
        <f t="shared" si="178"/>
        <v>0</v>
      </c>
    </row>
    <row r="2838" spans="1:23" hidden="1" x14ac:dyDescent="0.25">
      <c r="A2838" s="3">
        <v>46026</v>
      </c>
      <c r="B2838" s="4" t="s">
        <v>334</v>
      </c>
      <c r="C2838" s="4" t="s">
        <v>154</v>
      </c>
      <c r="D2838" s="4"/>
      <c r="E2838" s="4"/>
      <c r="F2838" s="4" t="s">
        <v>1574</v>
      </c>
      <c r="G2838" s="4" t="s">
        <v>336</v>
      </c>
      <c r="H2838" s="4" t="s">
        <v>289</v>
      </c>
      <c r="I2838" s="4">
        <v>0.1</v>
      </c>
      <c r="J2838" s="21">
        <v>400</v>
      </c>
      <c r="K2838" s="21">
        <v>0</v>
      </c>
      <c r="L2838" s="5">
        <v>0</v>
      </c>
      <c r="M2838" s="4"/>
      <c r="N2838" s="4"/>
      <c r="O2838" s="5"/>
      <c r="P2838" s="5"/>
      <c r="Q2838" s="21">
        <v>40</v>
      </c>
      <c r="R2838" s="21">
        <v>0</v>
      </c>
      <c r="S2838" s="5">
        <f t="shared" si="179"/>
        <v>14980.665120151994</v>
      </c>
      <c r="T2838" cm="1">
        <f t="array" ref="T2838">IF(OR(B2838="MAL ALIMI", B2838="ÜRETİM GİRİŞ"), MIN(I2838, MAX(0, I2838 + SUM(SUMIFS($I$1:I2837, $C$1:C2837, C2838, $B$1:B2837, {"MAL ALIMI","ÜRETİM GİRİŞ"})) - VLOOKUP(C2838, 'STOK RAPORU'!$C$2:$I$1000, 4, 0))), 0)</f>
        <v>0</v>
      </c>
      <c r="U2838" s="22">
        <f t="shared" si="176"/>
        <v>0</v>
      </c>
      <c r="V2838">
        <f t="shared" si="177"/>
        <v>0</v>
      </c>
      <c r="W2838" s="22">
        <f t="shared" si="178"/>
        <v>0</v>
      </c>
    </row>
    <row r="2839" spans="1:23" hidden="1" x14ac:dyDescent="0.25">
      <c r="A2839" s="3">
        <v>46026</v>
      </c>
      <c r="B2839" s="4" t="s">
        <v>334</v>
      </c>
      <c r="C2839" s="4" t="s">
        <v>152</v>
      </c>
      <c r="D2839" s="4"/>
      <c r="E2839" s="4"/>
      <c r="F2839" s="4" t="s">
        <v>1574</v>
      </c>
      <c r="G2839" s="4" t="s">
        <v>336</v>
      </c>
      <c r="H2839" s="4" t="s">
        <v>289</v>
      </c>
      <c r="I2839" s="4">
        <v>0.1</v>
      </c>
      <c r="J2839" s="21">
        <v>400</v>
      </c>
      <c r="K2839" s="21">
        <v>0</v>
      </c>
      <c r="L2839" s="5">
        <v>0</v>
      </c>
      <c r="M2839" s="4"/>
      <c r="N2839" s="4"/>
      <c r="O2839" s="5"/>
      <c r="P2839" s="5"/>
      <c r="Q2839" s="21">
        <v>40</v>
      </c>
      <c r="R2839" s="21">
        <v>0</v>
      </c>
      <c r="S2839" s="5">
        <f t="shared" si="179"/>
        <v>15020.665120151994</v>
      </c>
      <c r="T2839" cm="1">
        <f t="array" ref="T2839">IF(OR(B2839="MAL ALIMI", B2839="ÜRETİM GİRİŞ"), MIN(I2839, MAX(0, I2839 + SUM(SUMIFS($I$1:I2838, $C$1:C2838, C2839, $B$1:B2838, {"MAL ALIMI","ÜRETİM GİRİŞ"})) - VLOOKUP(C2839, 'STOK RAPORU'!$C$2:$I$1000, 4, 0))), 0)</f>
        <v>0</v>
      </c>
      <c r="U2839" s="22">
        <f t="shared" si="176"/>
        <v>0</v>
      </c>
      <c r="V2839">
        <f t="shared" si="177"/>
        <v>0</v>
      </c>
      <c r="W2839" s="22">
        <f t="shared" si="178"/>
        <v>0</v>
      </c>
    </row>
    <row r="2840" spans="1:23" hidden="1" x14ac:dyDescent="0.25">
      <c r="A2840" s="3">
        <v>46026</v>
      </c>
      <c r="B2840" s="4" t="s">
        <v>334</v>
      </c>
      <c r="C2840" s="4" t="s">
        <v>136</v>
      </c>
      <c r="D2840" s="4"/>
      <c r="E2840" s="4"/>
      <c r="F2840" s="4" t="s">
        <v>1574</v>
      </c>
      <c r="G2840" s="4" t="s">
        <v>336</v>
      </c>
      <c r="H2840" s="4" t="s">
        <v>289</v>
      </c>
      <c r="I2840" s="4">
        <v>0.25</v>
      </c>
      <c r="J2840" s="21">
        <v>180</v>
      </c>
      <c r="K2840" s="21">
        <v>0</v>
      </c>
      <c r="L2840" s="5">
        <v>0</v>
      </c>
      <c r="M2840" s="4"/>
      <c r="N2840" s="4"/>
      <c r="O2840" s="5"/>
      <c r="P2840" s="5"/>
      <c r="Q2840" s="21">
        <v>45</v>
      </c>
      <c r="R2840" s="21">
        <v>0</v>
      </c>
      <c r="S2840" s="5">
        <f t="shared" si="179"/>
        <v>15065.665120151994</v>
      </c>
      <c r="T2840" cm="1">
        <f t="array" ref="T2840">IF(OR(B2840="MAL ALIMI", B2840="ÜRETİM GİRİŞ"), MIN(I2840, MAX(0, I2840 + SUM(SUMIFS($I$1:I2839, $C$1:C2839, C2840, $B$1:B2839, {"MAL ALIMI","ÜRETİM GİRİŞ"})) - VLOOKUP(C2840, 'STOK RAPORU'!$C$2:$I$1000, 4, 0))), 0)</f>
        <v>0</v>
      </c>
      <c r="U2840" s="22">
        <f t="shared" si="176"/>
        <v>0</v>
      </c>
      <c r="V2840">
        <f t="shared" si="177"/>
        <v>0</v>
      </c>
      <c r="W2840" s="22">
        <f t="shared" si="178"/>
        <v>0</v>
      </c>
    </row>
    <row r="2841" spans="1:23" hidden="1" x14ac:dyDescent="0.25">
      <c r="A2841" s="3">
        <v>46026</v>
      </c>
      <c r="B2841" s="4" t="s">
        <v>334</v>
      </c>
      <c r="C2841" s="4" t="s">
        <v>89</v>
      </c>
      <c r="D2841" s="4"/>
      <c r="E2841" s="4"/>
      <c r="F2841" s="4" t="s">
        <v>1574</v>
      </c>
      <c r="G2841" s="4" t="s">
        <v>336</v>
      </c>
      <c r="H2841" s="4" t="s">
        <v>289</v>
      </c>
      <c r="I2841" s="4">
        <v>0.1</v>
      </c>
      <c r="J2841" s="21">
        <v>650</v>
      </c>
      <c r="K2841" s="21">
        <v>0</v>
      </c>
      <c r="L2841" s="5">
        <v>0</v>
      </c>
      <c r="M2841" s="4"/>
      <c r="N2841" s="4"/>
      <c r="O2841" s="5"/>
      <c r="P2841" s="5"/>
      <c r="Q2841" s="21">
        <v>65</v>
      </c>
      <c r="R2841" s="21">
        <v>0</v>
      </c>
      <c r="S2841" s="5">
        <f t="shared" si="179"/>
        <v>15130.665120151994</v>
      </c>
      <c r="T2841" cm="1">
        <f t="array" ref="T2841">IF(OR(B2841="MAL ALIMI", B2841="ÜRETİM GİRİŞ"), MIN(I2841, MAX(0, I2841 + SUM(SUMIFS($I$1:I2840, $C$1:C2840, C2841, $B$1:B2840, {"MAL ALIMI","ÜRETİM GİRİŞ"})) - VLOOKUP(C2841, 'STOK RAPORU'!$C$2:$I$1000, 4, 0))), 0)</f>
        <v>0</v>
      </c>
      <c r="U2841" s="22">
        <f t="shared" si="176"/>
        <v>0</v>
      </c>
      <c r="V2841">
        <f t="shared" si="177"/>
        <v>0</v>
      </c>
      <c r="W2841" s="22">
        <f t="shared" si="178"/>
        <v>0</v>
      </c>
    </row>
    <row r="2842" spans="1:23" hidden="1" x14ac:dyDescent="0.25">
      <c r="A2842" s="3">
        <v>46026</v>
      </c>
      <c r="B2842" s="4" t="s">
        <v>334</v>
      </c>
      <c r="C2842" s="4" t="s">
        <v>463</v>
      </c>
      <c r="D2842" s="4"/>
      <c r="E2842" s="4"/>
      <c r="F2842" s="4" t="s">
        <v>1574</v>
      </c>
      <c r="G2842" s="4" t="s">
        <v>336</v>
      </c>
      <c r="H2842" s="4" t="s">
        <v>289</v>
      </c>
      <c r="I2842" s="4">
        <v>0.124</v>
      </c>
      <c r="J2842" s="21">
        <v>370</v>
      </c>
      <c r="K2842" s="21">
        <v>0</v>
      </c>
      <c r="L2842" s="5">
        <v>0</v>
      </c>
      <c r="M2842" s="4"/>
      <c r="N2842" s="4"/>
      <c r="O2842" s="5"/>
      <c r="P2842" s="5"/>
      <c r="Q2842" s="21">
        <v>45.88</v>
      </c>
      <c r="R2842" s="21">
        <v>0</v>
      </c>
      <c r="S2842" s="5">
        <f t="shared" si="179"/>
        <v>15176.545120151994</v>
      </c>
      <c r="T2842" cm="1">
        <f t="array" ref="T2842">IF(OR(B2842="MAL ALIMI", B2842="ÜRETİM GİRİŞ"), MIN(I2842, MAX(0, I2842 + SUM(SUMIFS($I$1:I2841, $C$1:C2841, C2842, $B$1:B2841, {"MAL ALIMI","ÜRETİM GİRİŞ"})) - VLOOKUP(C2842, 'STOK RAPORU'!$C$2:$I$1000, 4, 0))), 0)</f>
        <v>0</v>
      </c>
      <c r="U2842" s="22">
        <f t="shared" si="176"/>
        <v>0</v>
      </c>
      <c r="V2842">
        <f t="shared" si="177"/>
        <v>0</v>
      </c>
      <c r="W2842" s="22">
        <f t="shared" si="178"/>
        <v>0</v>
      </c>
    </row>
    <row r="2843" spans="1:23" hidden="1" x14ac:dyDescent="0.25">
      <c r="A2843" s="3">
        <v>46026</v>
      </c>
      <c r="B2843" s="4" t="s">
        <v>334</v>
      </c>
      <c r="C2843" s="4" t="s">
        <v>463</v>
      </c>
      <c r="D2843" s="4"/>
      <c r="E2843" s="4"/>
      <c r="F2843" s="4" t="s">
        <v>1574</v>
      </c>
      <c r="G2843" s="4" t="s">
        <v>336</v>
      </c>
      <c r="H2843" s="4" t="s">
        <v>289</v>
      </c>
      <c r="I2843" s="4">
        <v>0.186</v>
      </c>
      <c r="J2843" s="21">
        <v>370</v>
      </c>
      <c r="K2843" s="21">
        <v>0</v>
      </c>
      <c r="L2843" s="5">
        <v>0</v>
      </c>
      <c r="M2843" s="4"/>
      <c r="N2843" s="4"/>
      <c r="O2843" s="5"/>
      <c r="P2843" s="5"/>
      <c r="Q2843" s="21">
        <v>68.819999999999993</v>
      </c>
      <c r="R2843" s="21">
        <v>0</v>
      </c>
      <c r="S2843" s="5">
        <f t="shared" si="179"/>
        <v>15245.365120151993</v>
      </c>
      <c r="T2843" cm="1">
        <f t="array" ref="T2843">IF(OR(B2843="MAL ALIMI", B2843="ÜRETİM GİRİŞ"), MIN(I2843, MAX(0, I2843 + SUM(SUMIFS($I$1:I2842, $C$1:C2842, C2843, $B$1:B2842, {"MAL ALIMI","ÜRETİM GİRİŞ"})) - VLOOKUP(C2843, 'STOK RAPORU'!$C$2:$I$1000, 4, 0))), 0)</f>
        <v>0</v>
      </c>
      <c r="U2843" s="22">
        <f t="shared" si="176"/>
        <v>0</v>
      </c>
      <c r="V2843">
        <f t="shared" si="177"/>
        <v>0</v>
      </c>
      <c r="W2843" s="22">
        <f t="shared" si="178"/>
        <v>0</v>
      </c>
    </row>
    <row r="2844" spans="1:23" hidden="1" x14ac:dyDescent="0.25">
      <c r="A2844" s="3">
        <v>46026</v>
      </c>
      <c r="B2844" s="4" t="s">
        <v>334</v>
      </c>
      <c r="C2844" s="4" t="s">
        <v>212</v>
      </c>
      <c r="D2844" s="4"/>
      <c r="E2844" s="4"/>
      <c r="F2844" s="4" t="s">
        <v>1574</v>
      </c>
      <c r="G2844" s="4" t="s">
        <v>336</v>
      </c>
      <c r="H2844" s="4" t="s">
        <v>289</v>
      </c>
      <c r="I2844" s="4">
        <v>0.1</v>
      </c>
      <c r="J2844" s="21">
        <v>1100</v>
      </c>
      <c r="K2844" s="21">
        <v>0</v>
      </c>
      <c r="L2844" s="5">
        <v>0</v>
      </c>
      <c r="M2844" s="4"/>
      <c r="N2844" s="4"/>
      <c r="O2844" s="5"/>
      <c r="P2844" s="5"/>
      <c r="Q2844" s="21">
        <v>110</v>
      </c>
      <c r="R2844" s="21">
        <v>0</v>
      </c>
      <c r="S2844" s="5">
        <f t="shared" si="179"/>
        <v>15355.365120151993</v>
      </c>
      <c r="T2844" cm="1">
        <f t="array" ref="T2844">IF(OR(B2844="MAL ALIMI", B2844="ÜRETİM GİRİŞ"), MIN(I2844, MAX(0, I2844 + SUM(SUMIFS($I$1:I2843, $C$1:C2843, C2844, $B$1:B2843, {"MAL ALIMI","ÜRETİM GİRİŞ"})) - VLOOKUP(C2844, 'STOK RAPORU'!$C$2:$I$1000, 4, 0))), 0)</f>
        <v>0</v>
      </c>
      <c r="U2844" s="22">
        <f t="shared" si="176"/>
        <v>0</v>
      </c>
      <c r="V2844">
        <f t="shared" si="177"/>
        <v>0</v>
      </c>
      <c r="W2844" s="22">
        <f t="shared" si="178"/>
        <v>0</v>
      </c>
    </row>
    <row r="2845" spans="1:23" hidden="1" x14ac:dyDescent="0.25">
      <c r="A2845" s="3">
        <v>46026</v>
      </c>
      <c r="B2845" s="4" t="s">
        <v>334</v>
      </c>
      <c r="C2845" s="4" t="s">
        <v>620</v>
      </c>
      <c r="D2845" s="4"/>
      <c r="E2845" s="4"/>
      <c r="F2845" s="4" t="s">
        <v>1574</v>
      </c>
      <c r="G2845" s="4" t="s">
        <v>336</v>
      </c>
      <c r="H2845" s="4" t="s">
        <v>289</v>
      </c>
      <c r="I2845" s="4">
        <v>0.40600000000000003</v>
      </c>
      <c r="J2845" s="21">
        <v>195</v>
      </c>
      <c r="K2845" s="21">
        <v>0</v>
      </c>
      <c r="L2845" s="5">
        <v>0</v>
      </c>
      <c r="M2845" s="4"/>
      <c r="N2845" s="4"/>
      <c r="O2845" s="5"/>
      <c r="P2845" s="5"/>
      <c r="Q2845" s="21">
        <v>79.17</v>
      </c>
      <c r="R2845" s="21">
        <v>0</v>
      </c>
      <c r="S2845" s="5">
        <f t="shared" si="179"/>
        <v>15434.535120151993</v>
      </c>
      <c r="T2845" cm="1">
        <f t="array" ref="T2845">IF(OR(B2845="MAL ALIMI", B2845="ÜRETİM GİRİŞ"), MIN(I2845, MAX(0, I2845 + SUM(SUMIFS($I$1:I2844, $C$1:C2844, C2845, $B$1:B2844, {"MAL ALIMI","ÜRETİM GİRİŞ"})) - VLOOKUP(C2845, 'STOK RAPORU'!$C$2:$I$1000, 4, 0))), 0)</f>
        <v>0</v>
      </c>
      <c r="U2845" s="22">
        <f t="shared" si="176"/>
        <v>0</v>
      </c>
      <c r="V2845">
        <f t="shared" si="177"/>
        <v>0</v>
      </c>
      <c r="W2845" s="22">
        <f t="shared" si="178"/>
        <v>0</v>
      </c>
    </row>
    <row r="2846" spans="1:23" hidden="1" x14ac:dyDescent="0.25">
      <c r="A2846" s="3">
        <v>46026</v>
      </c>
      <c r="B2846" s="4" t="s">
        <v>334</v>
      </c>
      <c r="C2846" s="4" t="s">
        <v>731</v>
      </c>
      <c r="D2846" s="4"/>
      <c r="E2846" s="4"/>
      <c r="F2846" s="4" t="s">
        <v>1574</v>
      </c>
      <c r="G2846" s="4" t="s">
        <v>336</v>
      </c>
      <c r="H2846" s="4" t="s">
        <v>289</v>
      </c>
      <c r="I2846" s="4">
        <v>1</v>
      </c>
      <c r="J2846" s="21">
        <v>90</v>
      </c>
      <c r="K2846" s="21">
        <v>0</v>
      </c>
      <c r="L2846" s="5">
        <v>0</v>
      </c>
      <c r="M2846" s="4"/>
      <c r="N2846" s="4"/>
      <c r="O2846" s="5"/>
      <c r="P2846" s="5"/>
      <c r="Q2846" s="21">
        <v>90</v>
      </c>
      <c r="R2846" s="21">
        <v>0</v>
      </c>
      <c r="S2846" s="5">
        <f t="shared" si="179"/>
        <v>15524.535120151993</v>
      </c>
      <c r="T2846" cm="1">
        <f t="array" ref="T2846">IF(OR(B2846="MAL ALIMI", B2846="ÜRETİM GİRİŞ"), MIN(I2846, MAX(0, I2846 + SUM(SUMIFS($I$1:I2845, $C$1:C2845, C2846, $B$1:B2845, {"MAL ALIMI","ÜRETİM GİRİŞ"})) - VLOOKUP(C2846, 'STOK RAPORU'!$C$2:$I$1000, 4, 0))), 0)</f>
        <v>0</v>
      </c>
      <c r="U2846" s="22">
        <f t="shared" si="176"/>
        <v>0</v>
      </c>
      <c r="V2846">
        <f t="shared" si="177"/>
        <v>0</v>
      </c>
      <c r="W2846" s="22">
        <f t="shared" si="178"/>
        <v>0</v>
      </c>
    </row>
    <row r="2847" spans="1:23" hidden="1" x14ac:dyDescent="0.25">
      <c r="A2847" s="3">
        <v>46026</v>
      </c>
      <c r="B2847" s="4" t="s">
        <v>334</v>
      </c>
      <c r="C2847" s="46" t="s">
        <v>585</v>
      </c>
      <c r="D2847" s="4"/>
      <c r="E2847" s="4"/>
      <c r="F2847" s="4" t="s">
        <v>1574</v>
      </c>
      <c r="G2847" s="4" t="s">
        <v>336</v>
      </c>
      <c r="H2847" s="4" t="s">
        <v>289</v>
      </c>
      <c r="I2847" s="4">
        <v>0.5</v>
      </c>
      <c r="J2847" s="21">
        <v>200</v>
      </c>
      <c r="K2847" s="21">
        <v>0</v>
      </c>
      <c r="L2847" s="5">
        <v>0</v>
      </c>
      <c r="M2847" s="4"/>
      <c r="N2847" s="4"/>
      <c r="O2847" s="5"/>
      <c r="P2847" s="5"/>
      <c r="Q2847" s="21">
        <v>100</v>
      </c>
      <c r="R2847" s="21">
        <v>0</v>
      </c>
      <c r="S2847" s="5">
        <f t="shared" si="179"/>
        <v>15624.535120151993</v>
      </c>
      <c r="T2847" cm="1">
        <f t="array" ref="T2847">IF(OR(B2847="MAL ALIMI", B2847="ÜRETİM GİRİŞ"), MIN(I2847, MAX(0, I2847 + SUM(SUMIFS($I$1:I2846, $C$1:C2846, C2847, $B$1:B2846, {"MAL ALIMI","ÜRETİM GİRİŞ"})) - VLOOKUP(C2847, 'STOK RAPORU'!$C$2:$I$1000, 4, 0))), 0)</f>
        <v>0</v>
      </c>
      <c r="U2847" s="22">
        <f t="shared" si="176"/>
        <v>0</v>
      </c>
      <c r="V2847">
        <f t="shared" si="177"/>
        <v>0</v>
      </c>
      <c r="W2847" s="22">
        <f t="shared" si="178"/>
        <v>0</v>
      </c>
    </row>
    <row r="2848" spans="1:23" hidden="1" x14ac:dyDescent="0.25">
      <c r="A2848" s="3">
        <v>46026</v>
      </c>
      <c r="B2848" s="4" t="s">
        <v>334</v>
      </c>
      <c r="C2848" s="4" t="s">
        <v>586</v>
      </c>
      <c r="D2848" s="4"/>
      <c r="E2848" s="4"/>
      <c r="F2848" s="4" t="s">
        <v>1574</v>
      </c>
      <c r="G2848" s="4" t="s">
        <v>336</v>
      </c>
      <c r="H2848" s="4" t="s">
        <v>289</v>
      </c>
      <c r="I2848" s="4">
        <v>0.5</v>
      </c>
      <c r="J2848" s="21">
        <v>200</v>
      </c>
      <c r="K2848" s="21">
        <v>0</v>
      </c>
      <c r="L2848" s="5">
        <v>0</v>
      </c>
      <c r="M2848" s="4"/>
      <c r="N2848" s="4"/>
      <c r="O2848" s="5"/>
      <c r="P2848" s="5"/>
      <c r="Q2848" s="21">
        <v>100</v>
      </c>
      <c r="R2848" s="21">
        <v>0</v>
      </c>
      <c r="S2848" s="5">
        <f t="shared" si="179"/>
        <v>15724.535120151993</v>
      </c>
      <c r="T2848" cm="1">
        <f t="array" ref="T2848">IF(OR(B2848="MAL ALIMI", B2848="ÜRETİM GİRİŞ"), MIN(I2848, MAX(0, I2848 + SUM(SUMIFS($I$1:I2847, $C$1:C2847, C2848, $B$1:B2847, {"MAL ALIMI","ÜRETİM GİRİŞ"})) - VLOOKUP(C2848, 'STOK RAPORU'!$C$2:$I$1000, 4, 0))), 0)</f>
        <v>0</v>
      </c>
      <c r="U2848" s="22">
        <f t="shared" si="176"/>
        <v>0</v>
      </c>
      <c r="V2848">
        <f t="shared" si="177"/>
        <v>0</v>
      </c>
      <c r="W2848" s="22">
        <f t="shared" si="178"/>
        <v>0</v>
      </c>
    </row>
    <row r="2849" spans="1:23" hidden="1" x14ac:dyDescent="0.25">
      <c r="A2849" s="3">
        <v>46026</v>
      </c>
      <c r="B2849" s="4" t="s">
        <v>334</v>
      </c>
      <c r="C2849" s="4" t="s">
        <v>587</v>
      </c>
      <c r="D2849" s="4"/>
      <c r="E2849" s="4"/>
      <c r="F2849" s="4" t="s">
        <v>1574</v>
      </c>
      <c r="G2849" s="4" t="s">
        <v>336</v>
      </c>
      <c r="H2849" s="4" t="s">
        <v>289</v>
      </c>
      <c r="I2849" s="4">
        <v>1</v>
      </c>
      <c r="J2849" s="21">
        <v>150</v>
      </c>
      <c r="K2849" s="21">
        <v>0</v>
      </c>
      <c r="L2849" s="5">
        <v>0</v>
      </c>
      <c r="M2849" s="4"/>
      <c r="N2849" s="4"/>
      <c r="O2849" s="5"/>
      <c r="P2849" s="5"/>
      <c r="Q2849" s="21">
        <v>150</v>
      </c>
      <c r="R2849" s="21">
        <v>0</v>
      </c>
      <c r="S2849" s="5">
        <f t="shared" si="179"/>
        <v>15874.535120151993</v>
      </c>
      <c r="T2849" cm="1">
        <f t="array" ref="T2849">IF(OR(B2849="MAL ALIMI", B2849="ÜRETİM GİRİŞ"), MIN(I2849, MAX(0, I2849 + SUM(SUMIFS($I$1:I2848, $C$1:C2848, C2849, $B$1:B2848, {"MAL ALIMI","ÜRETİM GİRİŞ"})) - VLOOKUP(C2849, 'STOK RAPORU'!$C$2:$I$1000, 4, 0))), 0)</f>
        <v>0</v>
      </c>
      <c r="U2849" s="22">
        <f t="shared" si="176"/>
        <v>0</v>
      </c>
      <c r="V2849">
        <f t="shared" si="177"/>
        <v>0</v>
      </c>
      <c r="W2849" s="22">
        <f t="shared" si="178"/>
        <v>0</v>
      </c>
    </row>
    <row r="2850" spans="1:23" hidden="1" x14ac:dyDescent="0.25">
      <c r="A2850" s="3">
        <v>46026</v>
      </c>
      <c r="B2850" s="4" t="s">
        <v>334</v>
      </c>
      <c r="C2850" s="4" t="s">
        <v>692</v>
      </c>
      <c r="D2850" s="4"/>
      <c r="E2850" s="4"/>
      <c r="F2850" s="4" t="s">
        <v>1574</v>
      </c>
      <c r="G2850" s="4" t="s">
        <v>336</v>
      </c>
      <c r="H2850" s="4" t="s">
        <v>289</v>
      </c>
      <c r="I2850" s="4">
        <v>0.504</v>
      </c>
      <c r="J2850" s="21">
        <v>60</v>
      </c>
      <c r="K2850" s="21">
        <v>0</v>
      </c>
      <c r="L2850" s="5">
        <v>0</v>
      </c>
      <c r="M2850" s="4"/>
      <c r="N2850" s="4"/>
      <c r="O2850" s="5"/>
      <c r="P2850" s="5"/>
      <c r="Q2850" s="21">
        <v>30.240000000000002</v>
      </c>
      <c r="R2850" s="21">
        <v>0</v>
      </c>
      <c r="S2850" s="5">
        <f t="shared" si="179"/>
        <v>15904.775120151993</v>
      </c>
      <c r="T2850" cm="1">
        <f t="array" ref="T2850">IF(OR(B2850="MAL ALIMI", B2850="ÜRETİM GİRİŞ"), MIN(I2850, MAX(0, I2850 + SUM(SUMIFS($I$1:I2849, $C$1:C2849, C2850, $B$1:B2849, {"MAL ALIMI","ÜRETİM GİRİŞ"})) - VLOOKUP(C2850, 'STOK RAPORU'!$C$2:$I$1000, 4, 0))), 0)</f>
        <v>0</v>
      </c>
      <c r="U2850" s="22">
        <f t="shared" si="176"/>
        <v>0</v>
      </c>
      <c r="V2850">
        <f t="shared" si="177"/>
        <v>0</v>
      </c>
      <c r="W2850" s="22">
        <f t="shared" si="178"/>
        <v>0</v>
      </c>
    </row>
    <row r="2851" spans="1:23" hidden="1" x14ac:dyDescent="0.25">
      <c r="A2851" s="3">
        <v>46026</v>
      </c>
      <c r="B2851" s="4" t="s">
        <v>334</v>
      </c>
      <c r="C2851" s="4" t="s">
        <v>60</v>
      </c>
      <c r="D2851" s="4"/>
      <c r="E2851" s="4"/>
      <c r="F2851" s="4" t="s">
        <v>1574</v>
      </c>
      <c r="G2851" s="4" t="s">
        <v>336</v>
      </c>
      <c r="H2851" s="4" t="s">
        <v>289</v>
      </c>
      <c r="I2851" s="4">
        <v>0.05</v>
      </c>
      <c r="J2851" s="21">
        <v>1200</v>
      </c>
      <c r="K2851" s="21">
        <v>0</v>
      </c>
      <c r="L2851" s="5">
        <v>0</v>
      </c>
      <c r="M2851" s="4"/>
      <c r="N2851" s="4"/>
      <c r="O2851" s="5"/>
      <c r="P2851" s="5"/>
      <c r="Q2851" s="21">
        <v>60</v>
      </c>
      <c r="R2851" s="21">
        <v>0</v>
      </c>
      <c r="S2851" s="5">
        <f t="shared" si="179"/>
        <v>15964.775120151993</v>
      </c>
      <c r="T2851" cm="1">
        <f t="array" ref="T2851">IF(OR(B2851="MAL ALIMI", B2851="ÜRETİM GİRİŞ"), MIN(I2851, MAX(0, I2851 + SUM(SUMIFS($I$1:I2850, $C$1:C2850, C2851, $B$1:B2850, {"MAL ALIMI","ÜRETİM GİRİŞ"})) - VLOOKUP(C2851, 'STOK RAPORU'!$C$2:$I$1000, 4, 0))), 0)</f>
        <v>0</v>
      </c>
      <c r="U2851" s="22">
        <f t="shared" si="176"/>
        <v>0</v>
      </c>
      <c r="V2851">
        <f t="shared" si="177"/>
        <v>0</v>
      </c>
      <c r="W2851" s="22">
        <f t="shared" si="178"/>
        <v>0</v>
      </c>
    </row>
    <row r="2852" spans="1:23" hidden="1" x14ac:dyDescent="0.25">
      <c r="A2852" s="3">
        <v>46026</v>
      </c>
      <c r="B2852" s="4" t="s">
        <v>334</v>
      </c>
      <c r="C2852" s="4" t="s">
        <v>226</v>
      </c>
      <c r="D2852" s="4"/>
      <c r="E2852" s="4"/>
      <c r="F2852" s="4" t="s">
        <v>1574</v>
      </c>
      <c r="G2852" s="4" t="s">
        <v>336</v>
      </c>
      <c r="H2852" s="4" t="s">
        <v>289</v>
      </c>
      <c r="I2852" s="4">
        <v>0.24</v>
      </c>
      <c r="J2852" s="21">
        <v>220</v>
      </c>
      <c r="K2852" s="21">
        <v>0</v>
      </c>
      <c r="L2852" s="5">
        <v>0</v>
      </c>
      <c r="M2852" s="4"/>
      <c r="N2852" s="4"/>
      <c r="O2852" s="5"/>
      <c r="P2852" s="5"/>
      <c r="Q2852" s="21">
        <v>52.8</v>
      </c>
      <c r="R2852" s="21">
        <v>0</v>
      </c>
      <c r="S2852" s="5">
        <f t="shared" si="179"/>
        <v>16017.575120151992</v>
      </c>
      <c r="T2852" cm="1">
        <f t="array" ref="T2852">IF(OR(B2852="MAL ALIMI", B2852="ÜRETİM GİRİŞ"), MIN(I2852, MAX(0, I2852 + SUM(SUMIFS($I$1:I2851, $C$1:C2851, C2852, $B$1:B2851, {"MAL ALIMI","ÜRETİM GİRİŞ"})) - VLOOKUP(C2852, 'STOK RAPORU'!$C$2:$I$1000, 4, 0))), 0)</f>
        <v>0</v>
      </c>
      <c r="U2852" s="22">
        <f t="shared" si="176"/>
        <v>0</v>
      </c>
      <c r="V2852">
        <f t="shared" si="177"/>
        <v>0</v>
      </c>
      <c r="W2852" s="22">
        <f t="shared" si="178"/>
        <v>0</v>
      </c>
    </row>
    <row r="2853" spans="1:23" hidden="1" x14ac:dyDescent="0.25">
      <c r="A2853" s="3">
        <v>46026</v>
      </c>
      <c r="B2853" s="4" t="s">
        <v>334</v>
      </c>
      <c r="C2853" s="4" t="s">
        <v>892</v>
      </c>
      <c r="D2853" s="4"/>
      <c r="E2853" s="4"/>
      <c r="F2853" s="4" t="s">
        <v>1574</v>
      </c>
      <c r="G2853" s="4" t="s">
        <v>336</v>
      </c>
      <c r="H2853" s="4" t="s">
        <v>289</v>
      </c>
      <c r="I2853" s="4">
        <v>0.5</v>
      </c>
      <c r="J2853" s="21">
        <v>60</v>
      </c>
      <c r="K2853" s="21">
        <v>0</v>
      </c>
      <c r="L2853" s="5">
        <v>0</v>
      </c>
      <c r="M2853" s="4"/>
      <c r="N2853" s="4"/>
      <c r="O2853" s="5"/>
      <c r="P2853" s="5"/>
      <c r="Q2853" s="21">
        <v>30</v>
      </c>
      <c r="R2853" s="21">
        <v>0</v>
      </c>
      <c r="S2853" s="5">
        <f t="shared" si="179"/>
        <v>16047.575120151992</v>
      </c>
      <c r="T2853" cm="1">
        <f t="array" ref="T2853">IF(OR(B2853="MAL ALIMI", B2853="ÜRETİM GİRİŞ"), MIN(I2853, MAX(0, I2853 + SUM(SUMIFS($I$1:I2852, $C$1:C2852, C2853, $B$1:B2852, {"MAL ALIMI","ÜRETİM GİRİŞ"})) - VLOOKUP(C2853, 'STOK RAPORU'!$C$2:$I$1000, 4, 0))), 0)</f>
        <v>0</v>
      </c>
      <c r="U2853" s="22">
        <f t="shared" si="176"/>
        <v>0</v>
      </c>
      <c r="V2853">
        <f t="shared" si="177"/>
        <v>0</v>
      </c>
      <c r="W2853" s="22">
        <f t="shared" si="178"/>
        <v>0</v>
      </c>
    </row>
    <row r="2854" spans="1:23" hidden="1" x14ac:dyDescent="0.25">
      <c r="A2854" s="3">
        <v>46026</v>
      </c>
      <c r="B2854" s="4" t="s">
        <v>334</v>
      </c>
      <c r="C2854" s="4" t="s">
        <v>60</v>
      </c>
      <c r="D2854" s="4"/>
      <c r="E2854" s="4"/>
      <c r="F2854" s="4" t="s">
        <v>1575</v>
      </c>
      <c r="G2854" s="4" t="s">
        <v>336</v>
      </c>
      <c r="H2854" s="4" t="s">
        <v>289</v>
      </c>
      <c r="I2854" s="4">
        <v>0.05</v>
      </c>
      <c r="J2854" s="21">
        <v>1200</v>
      </c>
      <c r="K2854" s="21">
        <v>0</v>
      </c>
      <c r="L2854" s="5">
        <v>0</v>
      </c>
      <c r="M2854" s="4"/>
      <c r="N2854" s="4"/>
      <c r="O2854" s="5"/>
      <c r="P2854" s="5"/>
      <c r="Q2854" s="21">
        <v>60</v>
      </c>
      <c r="R2854" s="21">
        <v>0</v>
      </c>
      <c r="S2854" s="5">
        <f t="shared" si="179"/>
        <v>16107.575120151992</v>
      </c>
      <c r="T2854" cm="1">
        <f t="array" ref="T2854">IF(OR(B2854="MAL ALIMI", B2854="ÜRETİM GİRİŞ"), MIN(I2854, MAX(0, I2854 + SUM(SUMIFS($I$1:I2853, $C$1:C2853, C2854, $B$1:B2853, {"MAL ALIMI","ÜRETİM GİRİŞ"})) - VLOOKUP(C2854, 'STOK RAPORU'!$C$2:$I$1000, 4, 0))), 0)</f>
        <v>0</v>
      </c>
      <c r="U2854" s="22">
        <f t="shared" si="176"/>
        <v>0</v>
      </c>
      <c r="V2854">
        <f t="shared" si="177"/>
        <v>0</v>
      </c>
      <c r="W2854" s="22">
        <f t="shared" si="178"/>
        <v>0</v>
      </c>
    </row>
    <row r="2855" spans="1:23" hidden="1" x14ac:dyDescent="0.25">
      <c r="A2855" s="3">
        <v>46026</v>
      </c>
      <c r="B2855" s="4" t="s">
        <v>334</v>
      </c>
      <c r="C2855" s="4" t="s">
        <v>92</v>
      </c>
      <c r="D2855" s="4"/>
      <c r="E2855" s="4"/>
      <c r="F2855" s="4" t="s">
        <v>1575</v>
      </c>
      <c r="G2855" s="4" t="s">
        <v>336</v>
      </c>
      <c r="H2855" s="4" t="s">
        <v>289</v>
      </c>
      <c r="I2855" s="4">
        <v>0.224</v>
      </c>
      <c r="J2855" s="21">
        <v>500</v>
      </c>
      <c r="K2855" s="21">
        <v>0</v>
      </c>
      <c r="L2855" s="5">
        <v>0</v>
      </c>
      <c r="M2855" s="4"/>
      <c r="N2855" s="4"/>
      <c r="O2855" s="5"/>
      <c r="P2855" s="5"/>
      <c r="Q2855" s="21">
        <v>112</v>
      </c>
      <c r="R2855" s="21">
        <v>0</v>
      </c>
      <c r="S2855" s="5">
        <f t="shared" si="179"/>
        <v>16219.575120151992</v>
      </c>
      <c r="T2855" cm="1">
        <f t="array" ref="T2855">IF(OR(B2855="MAL ALIMI", B2855="ÜRETİM GİRİŞ"), MIN(I2855, MAX(0, I2855 + SUM(SUMIFS($I$1:I2854, $C$1:C2854, C2855, $B$1:B2854, {"MAL ALIMI","ÜRETİM GİRİŞ"})) - VLOOKUP(C2855, 'STOK RAPORU'!$C$2:$I$1000, 4, 0))), 0)</f>
        <v>0</v>
      </c>
      <c r="U2855" s="22">
        <f t="shared" si="176"/>
        <v>0</v>
      </c>
      <c r="V2855">
        <f t="shared" si="177"/>
        <v>0</v>
      </c>
      <c r="W2855" s="22">
        <f t="shared" si="178"/>
        <v>0</v>
      </c>
    </row>
    <row r="2856" spans="1:23" hidden="1" x14ac:dyDescent="0.25">
      <c r="A2856" s="3">
        <v>46026</v>
      </c>
      <c r="B2856" s="4" t="s">
        <v>334</v>
      </c>
      <c r="C2856" s="4" t="s">
        <v>465</v>
      </c>
      <c r="D2856" s="4"/>
      <c r="E2856" s="4"/>
      <c r="F2856" s="4" t="s">
        <v>1575</v>
      </c>
      <c r="G2856" s="4" t="s">
        <v>336</v>
      </c>
      <c r="H2856" s="4" t="s">
        <v>289</v>
      </c>
      <c r="I2856" s="4">
        <v>2</v>
      </c>
      <c r="J2856" s="21">
        <v>50</v>
      </c>
      <c r="K2856" s="21">
        <v>0</v>
      </c>
      <c r="L2856" s="5">
        <v>0</v>
      </c>
      <c r="M2856" s="4"/>
      <c r="N2856" s="4"/>
      <c r="O2856" s="5"/>
      <c r="P2856" s="5"/>
      <c r="Q2856" s="21">
        <v>100</v>
      </c>
      <c r="R2856" s="21">
        <v>0</v>
      </c>
      <c r="S2856" s="5">
        <f t="shared" si="179"/>
        <v>16319.575120151992</v>
      </c>
      <c r="T2856" cm="1">
        <f t="array" ref="T2856">IF(OR(B2856="MAL ALIMI", B2856="ÜRETİM GİRİŞ"), MIN(I2856, MAX(0, I2856 + SUM(SUMIFS($I$1:I2855, $C$1:C2855, C2856, $B$1:B2855, {"MAL ALIMI","ÜRETİM GİRİŞ"})) - VLOOKUP(C2856, 'STOK RAPORU'!$C$2:$I$1000, 4, 0))), 0)</f>
        <v>0</v>
      </c>
      <c r="U2856" s="22">
        <f t="shared" si="176"/>
        <v>0</v>
      </c>
      <c r="V2856">
        <f t="shared" si="177"/>
        <v>0</v>
      </c>
      <c r="W2856" s="22">
        <f t="shared" si="178"/>
        <v>0</v>
      </c>
    </row>
    <row r="2857" spans="1:23" hidden="1" x14ac:dyDescent="0.25">
      <c r="A2857" s="3">
        <v>46026</v>
      </c>
      <c r="B2857" s="4" t="s">
        <v>334</v>
      </c>
      <c r="C2857" s="4" t="s">
        <v>822</v>
      </c>
      <c r="D2857" s="4"/>
      <c r="E2857" s="4"/>
      <c r="F2857" s="4" t="s">
        <v>1575</v>
      </c>
      <c r="G2857" s="4" t="s">
        <v>336</v>
      </c>
      <c r="H2857" s="4" t="s">
        <v>289</v>
      </c>
      <c r="I2857" s="4">
        <v>1</v>
      </c>
      <c r="J2857" s="21">
        <v>170</v>
      </c>
      <c r="K2857" s="21">
        <v>0</v>
      </c>
      <c r="L2857" s="5">
        <v>0</v>
      </c>
      <c r="M2857" s="4"/>
      <c r="N2857" s="4"/>
      <c r="O2857" s="5"/>
      <c r="P2857" s="5"/>
      <c r="Q2857" s="21">
        <v>170</v>
      </c>
      <c r="R2857" s="21">
        <v>0</v>
      </c>
      <c r="S2857" s="5">
        <f t="shared" si="179"/>
        <v>16489.575120151992</v>
      </c>
      <c r="T2857" cm="1">
        <f t="array" ref="T2857">IF(OR(B2857="MAL ALIMI", B2857="ÜRETİM GİRİŞ"), MIN(I2857, MAX(0, I2857 + SUM(SUMIFS($I$1:I2856, $C$1:C2856, C2857, $B$1:B2856, {"MAL ALIMI","ÜRETİM GİRİŞ"})) - VLOOKUP(C2857, 'STOK RAPORU'!$C$2:$I$1000, 4, 0))), 0)</f>
        <v>0</v>
      </c>
      <c r="U2857" s="22">
        <f t="shared" si="176"/>
        <v>0</v>
      </c>
      <c r="V2857">
        <f t="shared" si="177"/>
        <v>0</v>
      </c>
      <c r="W2857" s="22">
        <f t="shared" si="178"/>
        <v>0</v>
      </c>
    </row>
    <row r="2858" spans="1:23" hidden="1" x14ac:dyDescent="0.25">
      <c r="A2858" s="3">
        <v>46026</v>
      </c>
      <c r="B2858" s="4" t="s">
        <v>334</v>
      </c>
      <c r="C2858" s="4" t="s">
        <v>820</v>
      </c>
      <c r="D2858" s="4"/>
      <c r="E2858" s="4"/>
      <c r="F2858" s="4" t="s">
        <v>1575</v>
      </c>
      <c r="G2858" s="4" t="s">
        <v>336</v>
      </c>
      <c r="H2858" s="4" t="s">
        <v>289</v>
      </c>
      <c r="I2858" s="4">
        <v>1</v>
      </c>
      <c r="J2858" s="21">
        <v>130</v>
      </c>
      <c r="K2858" s="21">
        <v>0</v>
      </c>
      <c r="L2858" s="5">
        <v>0</v>
      </c>
      <c r="M2858" s="4"/>
      <c r="N2858" s="4"/>
      <c r="O2858" s="5"/>
      <c r="P2858" s="5"/>
      <c r="Q2858" s="21">
        <v>130</v>
      </c>
      <c r="R2858" s="21">
        <v>0</v>
      </c>
      <c r="S2858" s="5">
        <f t="shared" si="179"/>
        <v>16619.575120151992</v>
      </c>
      <c r="T2858" cm="1">
        <f t="array" ref="T2858">IF(OR(B2858="MAL ALIMI", B2858="ÜRETİM GİRİŞ"), MIN(I2858, MAX(0, I2858 + SUM(SUMIFS($I$1:I2857, $C$1:C2857, C2858, $B$1:B2857, {"MAL ALIMI","ÜRETİM GİRİŞ"})) - VLOOKUP(C2858, 'STOK RAPORU'!$C$2:$I$1000, 4, 0))), 0)</f>
        <v>0</v>
      </c>
      <c r="U2858" s="22">
        <f t="shared" si="176"/>
        <v>0</v>
      </c>
      <c r="V2858">
        <f t="shared" si="177"/>
        <v>0</v>
      </c>
      <c r="W2858" s="22">
        <f t="shared" si="178"/>
        <v>0</v>
      </c>
    </row>
    <row r="2859" spans="1:23" hidden="1" x14ac:dyDescent="0.25">
      <c r="A2859" s="3">
        <v>46026</v>
      </c>
      <c r="B2859" s="4" t="s">
        <v>334</v>
      </c>
      <c r="C2859" s="4" t="s">
        <v>147</v>
      </c>
      <c r="D2859" s="4"/>
      <c r="E2859" s="4"/>
      <c r="F2859" s="4" t="s">
        <v>1575</v>
      </c>
      <c r="G2859" s="4" t="s">
        <v>336</v>
      </c>
      <c r="H2859" s="4" t="s">
        <v>289</v>
      </c>
      <c r="I2859" s="4">
        <v>1</v>
      </c>
      <c r="J2859" s="21">
        <v>65</v>
      </c>
      <c r="K2859" s="21">
        <v>0</v>
      </c>
      <c r="L2859" s="5">
        <v>0</v>
      </c>
      <c r="M2859" s="4"/>
      <c r="N2859" s="4"/>
      <c r="O2859" s="5"/>
      <c r="P2859" s="5"/>
      <c r="Q2859" s="21">
        <v>65</v>
      </c>
      <c r="R2859" s="21">
        <v>0</v>
      </c>
      <c r="S2859" s="5">
        <f t="shared" si="179"/>
        <v>16684.575120151992</v>
      </c>
      <c r="T2859" cm="1">
        <f t="array" ref="T2859">IF(OR(B2859="MAL ALIMI", B2859="ÜRETİM GİRİŞ"), MIN(I2859, MAX(0, I2859 + SUM(SUMIFS($I$1:I2858, $C$1:C2858, C2859, $B$1:B2858, {"MAL ALIMI","ÜRETİM GİRİŞ"})) - VLOOKUP(C2859, 'STOK RAPORU'!$C$2:$I$1000, 4, 0))), 0)</f>
        <v>0</v>
      </c>
      <c r="U2859" s="22">
        <f t="shared" si="176"/>
        <v>0</v>
      </c>
      <c r="V2859">
        <f t="shared" si="177"/>
        <v>0</v>
      </c>
      <c r="W2859" s="22">
        <f t="shared" si="178"/>
        <v>0</v>
      </c>
    </row>
    <row r="2860" spans="1:23" hidden="1" x14ac:dyDescent="0.25">
      <c r="A2860" s="3">
        <v>46026</v>
      </c>
      <c r="B2860" s="4" t="s">
        <v>334</v>
      </c>
      <c r="C2860" s="4" t="s">
        <v>1871</v>
      </c>
      <c r="D2860" s="4"/>
      <c r="E2860" s="4"/>
      <c r="F2860" s="4" t="s">
        <v>1575</v>
      </c>
      <c r="G2860" s="4" t="s">
        <v>336</v>
      </c>
      <c r="H2860" s="4" t="s">
        <v>289</v>
      </c>
      <c r="I2860" s="4">
        <v>2</v>
      </c>
      <c r="J2860" s="21">
        <v>150</v>
      </c>
      <c r="K2860" s="21">
        <v>0</v>
      </c>
      <c r="L2860" s="5">
        <v>0</v>
      </c>
      <c r="M2860" s="4"/>
      <c r="N2860" s="4"/>
      <c r="O2860" s="5"/>
      <c r="P2860" s="5"/>
      <c r="Q2860" s="21">
        <v>300</v>
      </c>
      <c r="R2860" s="21">
        <v>0</v>
      </c>
      <c r="S2860" s="5">
        <f t="shared" si="179"/>
        <v>16984.575120151992</v>
      </c>
      <c r="T2860" cm="1">
        <f t="array" ref="T2860">IF(OR(B2860="MAL ALIMI", B2860="ÜRETİM GİRİŞ"), MIN(I2860, MAX(0, I2860 + SUM(SUMIFS($I$1:I2859, $C$1:C2859, C2860, $B$1:B2859, {"MAL ALIMI","ÜRETİM GİRİŞ"})) - VLOOKUP(C2860, 'STOK RAPORU'!$C$2:$I$1000, 4, 0))), 0)</f>
        <v>0</v>
      </c>
      <c r="U2860" s="22">
        <f t="shared" si="176"/>
        <v>0</v>
      </c>
      <c r="V2860">
        <f t="shared" si="177"/>
        <v>0</v>
      </c>
      <c r="W2860" s="22">
        <f t="shared" si="178"/>
        <v>0</v>
      </c>
    </row>
    <row r="2861" spans="1:23" hidden="1" x14ac:dyDescent="0.25">
      <c r="A2861" s="3">
        <v>46026</v>
      </c>
      <c r="B2861" s="4" t="s">
        <v>334</v>
      </c>
      <c r="C2861" s="4" t="s">
        <v>750</v>
      </c>
      <c r="D2861" s="4"/>
      <c r="E2861" s="4"/>
      <c r="F2861" s="4" t="s">
        <v>1575</v>
      </c>
      <c r="G2861" s="4" t="s">
        <v>336</v>
      </c>
      <c r="H2861" s="4" t="s">
        <v>289</v>
      </c>
      <c r="I2861" s="4">
        <v>1</v>
      </c>
      <c r="J2861" s="21">
        <v>220</v>
      </c>
      <c r="K2861" s="21">
        <v>0</v>
      </c>
      <c r="L2861" s="5">
        <v>0</v>
      </c>
      <c r="M2861" s="4"/>
      <c r="N2861" s="4"/>
      <c r="O2861" s="5"/>
      <c r="P2861" s="5"/>
      <c r="Q2861" s="21">
        <v>220</v>
      </c>
      <c r="R2861" s="21">
        <v>0</v>
      </c>
      <c r="S2861" s="5">
        <f t="shared" si="179"/>
        <v>17204.575120151992</v>
      </c>
      <c r="T2861" cm="1">
        <f t="array" ref="T2861">IF(OR(B2861="MAL ALIMI", B2861="ÜRETİM GİRİŞ"), MIN(I2861, MAX(0, I2861 + SUM(SUMIFS($I$1:I2860, $C$1:C2860, C2861, $B$1:B2860, {"MAL ALIMI","ÜRETİM GİRİŞ"})) - VLOOKUP(C2861, 'STOK RAPORU'!$C$2:$I$1000, 4, 0))), 0)</f>
        <v>0</v>
      </c>
      <c r="U2861" s="22">
        <f t="shared" si="176"/>
        <v>0</v>
      </c>
      <c r="V2861">
        <f t="shared" si="177"/>
        <v>0</v>
      </c>
      <c r="W2861" s="22">
        <f t="shared" si="178"/>
        <v>0</v>
      </c>
    </row>
    <row r="2862" spans="1:23" hidden="1" x14ac:dyDescent="0.25">
      <c r="A2862" s="45">
        <v>46026</v>
      </c>
      <c r="B2862" s="46" t="s">
        <v>334</v>
      </c>
      <c r="C2862" s="46" t="s">
        <v>96</v>
      </c>
      <c r="D2862" s="46"/>
      <c r="E2862" s="46"/>
      <c r="F2862" s="46" t="s">
        <v>1576</v>
      </c>
      <c r="G2862" s="46" t="s">
        <v>336</v>
      </c>
      <c r="H2862" s="46" t="s">
        <v>289</v>
      </c>
      <c r="I2862" s="46">
        <v>0.3</v>
      </c>
      <c r="J2862" s="47">
        <v>380</v>
      </c>
      <c r="K2862" s="47">
        <v>0</v>
      </c>
      <c r="L2862" s="48">
        <v>0</v>
      </c>
      <c r="M2862" s="46"/>
      <c r="N2862" s="46"/>
      <c r="O2862" s="48"/>
      <c r="P2862" s="48"/>
      <c r="Q2862" s="47">
        <v>114</v>
      </c>
      <c r="R2862" s="47">
        <v>0</v>
      </c>
      <c r="S2862" s="5">
        <f t="shared" si="179"/>
        <v>17318.575120151992</v>
      </c>
      <c r="T2862" cm="1">
        <f t="array" ref="T2862">IF(OR(B2862="MAL ALIMI", B2862="ÜRETİM GİRİŞ"), MIN(I2862, MAX(0, I2862 + SUM(SUMIFS($I$1:I2861, $C$1:C2861, C2862, $B$1:B2861, {"MAL ALIMI","ÜRETİM GİRİŞ"})) - VLOOKUP(C2862, 'STOK RAPORU'!$C$2:$I$1000, 4, 0))), 0)</f>
        <v>0</v>
      </c>
      <c r="U2862" s="22">
        <f t="shared" si="176"/>
        <v>0</v>
      </c>
      <c r="V2862">
        <f t="shared" si="177"/>
        <v>0</v>
      </c>
      <c r="W2862" s="22">
        <f t="shared" si="178"/>
        <v>0</v>
      </c>
    </row>
    <row r="2863" spans="1:23" hidden="1" x14ac:dyDescent="0.25">
      <c r="A2863" s="45">
        <v>46026</v>
      </c>
      <c r="B2863" s="46" t="s">
        <v>334</v>
      </c>
      <c r="C2863" s="46" t="s">
        <v>218</v>
      </c>
      <c r="D2863" s="46"/>
      <c r="E2863" s="46"/>
      <c r="F2863" s="46" t="s">
        <v>1576</v>
      </c>
      <c r="G2863" s="46" t="s">
        <v>336</v>
      </c>
      <c r="H2863" s="46" t="s">
        <v>289</v>
      </c>
      <c r="I2863" s="46">
        <v>1</v>
      </c>
      <c r="J2863" s="47">
        <v>295</v>
      </c>
      <c r="K2863" s="47">
        <v>0</v>
      </c>
      <c r="L2863" s="48">
        <v>0</v>
      </c>
      <c r="M2863" s="46"/>
      <c r="N2863" s="46"/>
      <c r="O2863" s="48"/>
      <c r="P2863" s="48"/>
      <c r="Q2863" s="47">
        <v>295</v>
      </c>
      <c r="R2863" s="47">
        <v>0</v>
      </c>
      <c r="S2863" s="5">
        <f t="shared" si="179"/>
        <v>17613.575120151992</v>
      </c>
      <c r="T2863" cm="1">
        <f t="array" ref="T2863">IF(OR(B2863="MAL ALIMI", B2863="ÜRETİM GİRİŞ"), MIN(I2863, MAX(0, I2863 + SUM(SUMIFS($I$1:I2862, $C$1:C2862, C2863, $B$1:B2862, {"MAL ALIMI","ÜRETİM GİRİŞ"})) - VLOOKUP(C2863, 'STOK RAPORU'!$C$2:$I$1000, 4, 0))), 0)</f>
        <v>0</v>
      </c>
      <c r="U2863" s="22">
        <f t="shared" si="176"/>
        <v>0</v>
      </c>
      <c r="V2863">
        <f t="shared" si="177"/>
        <v>0</v>
      </c>
      <c r="W2863" s="22">
        <f t="shared" si="178"/>
        <v>0</v>
      </c>
    </row>
    <row r="2864" spans="1:23" hidden="1" x14ac:dyDescent="0.25">
      <c r="A2864" s="3">
        <v>46026</v>
      </c>
      <c r="B2864" s="4" t="s">
        <v>334</v>
      </c>
      <c r="C2864" s="4" t="s">
        <v>98</v>
      </c>
      <c r="D2864" s="4"/>
      <c r="E2864" s="4" t="s">
        <v>921</v>
      </c>
      <c r="F2864" s="4" t="s">
        <v>1577</v>
      </c>
      <c r="G2864" s="4" t="s">
        <v>336</v>
      </c>
      <c r="H2864" s="4" t="s">
        <v>380</v>
      </c>
      <c r="I2864" s="4">
        <v>0.17749999999999999</v>
      </c>
      <c r="J2864" s="21">
        <v>400</v>
      </c>
      <c r="K2864" s="21">
        <v>71</v>
      </c>
      <c r="L2864" s="5">
        <v>0</v>
      </c>
      <c r="M2864" s="4"/>
      <c r="N2864" s="4"/>
      <c r="O2864" s="5"/>
      <c r="P2864" s="5"/>
      <c r="Q2864" s="21">
        <v>0</v>
      </c>
      <c r="R2864" s="21">
        <v>0</v>
      </c>
      <c r="S2864" s="5">
        <f t="shared" si="179"/>
        <v>17613.575120151992</v>
      </c>
      <c r="T2864" cm="1">
        <f t="array" ref="T2864">IF(OR(B2864="MAL ALIMI", B2864="ÜRETİM GİRİŞ"), MIN(I2864, MAX(0, I2864 + SUM(SUMIFS($I$1:I2863, $C$1:C2863, C2864, $B$1:B2863, {"MAL ALIMI","ÜRETİM GİRİŞ"})) - VLOOKUP(C2864, 'STOK RAPORU'!$C$2:$I$1000, 4, 0))), 0)</f>
        <v>0</v>
      </c>
      <c r="U2864" s="22">
        <f t="shared" si="176"/>
        <v>0</v>
      </c>
      <c r="V2864">
        <f t="shared" si="177"/>
        <v>0</v>
      </c>
      <c r="W2864" s="22">
        <f t="shared" si="178"/>
        <v>0</v>
      </c>
    </row>
    <row r="2865" spans="1:23" hidden="1" x14ac:dyDescent="0.25">
      <c r="A2865" s="3">
        <v>46026</v>
      </c>
      <c r="B2865" s="4" t="s">
        <v>334</v>
      </c>
      <c r="C2865" s="4" t="s">
        <v>76</v>
      </c>
      <c r="D2865" s="4"/>
      <c r="E2865" s="4" t="s">
        <v>921</v>
      </c>
      <c r="F2865" s="4" t="s">
        <v>1577</v>
      </c>
      <c r="G2865" s="4" t="s">
        <v>336</v>
      </c>
      <c r="H2865" s="4" t="s">
        <v>380</v>
      </c>
      <c r="I2865" s="4">
        <v>0.25</v>
      </c>
      <c r="J2865" s="21">
        <v>400</v>
      </c>
      <c r="K2865" s="21">
        <v>100</v>
      </c>
      <c r="L2865" s="5">
        <v>0</v>
      </c>
      <c r="M2865" s="4"/>
      <c r="N2865" s="4"/>
      <c r="O2865" s="5"/>
      <c r="P2865" s="5"/>
      <c r="Q2865" s="21">
        <v>0</v>
      </c>
      <c r="R2865" s="21">
        <v>0</v>
      </c>
      <c r="S2865" s="5">
        <f t="shared" si="179"/>
        <v>17613.575120151992</v>
      </c>
      <c r="T2865" cm="1">
        <f t="array" ref="T2865">IF(OR(B2865="MAL ALIMI", B2865="ÜRETİM GİRİŞ"), MIN(I2865, MAX(0, I2865 + SUM(SUMIFS($I$1:I2864, $C$1:C2864, C2865, $B$1:B2864, {"MAL ALIMI","ÜRETİM GİRİŞ"})) - VLOOKUP(C2865, 'STOK RAPORU'!$C$2:$I$1000, 4, 0))), 0)</f>
        <v>0</v>
      </c>
      <c r="U2865" s="22">
        <f t="shared" si="176"/>
        <v>0</v>
      </c>
      <c r="V2865">
        <f t="shared" si="177"/>
        <v>0</v>
      </c>
      <c r="W2865" s="22">
        <f t="shared" si="178"/>
        <v>0</v>
      </c>
    </row>
    <row r="2866" spans="1:23" hidden="1" x14ac:dyDescent="0.25">
      <c r="A2866" s="3">
        <v>46026</v>
      </c>
      <c r="B2866" s="4" t="s">
        <v>334</v>
      </c>
      <c r="C2866" s="4" t="s">
        <v>137</v>
      </c>
      <c r="D2866" s="4"/>
      <c r="E2866" s="4" t="s">
        <v>921</v>
      </c>
      <c r="F2866" s="4" t="s">
        <v>1577</v>
      </c>
      <c r="G2866" s="4" t="s">
        <v>336</v>
      </c>
      <c r="H2866" s="4" t="s">
        <v>380</v>
      </c>
      <c r="I2866" s="4">
        <v>0.25</v>
      </c>
      <c r="J2866" s="21">
        <v>180</v>
      </c>
      <c r="K2866" s="21">
        <v>45</v>
      </c>
      <c r="L2866" s="5">
        <v>0</v>
      </c>
      <c r="M2866" s="4"/>
      <c r="N2866" s="4"/>
      <c r="O2866" s="5"/>
      <c r="P2866" s="5"/>
      <c r="Q2866" s="21">
        <v>0</v>
      </c>
      <c r="R2866" s="21">
        <v>0</v>
      </c>
      <c r="S2866" s="5">
        <f t="shared" si="179"/>
        <v>17613.575120151992</v>
      </c>
      <c r="T2866" cm="1">
        <f t="array" ref="T2866">IF(OR(B2866="MAL ALIMI", B2866="ÜRETİM GİRİŞ"), MIN(I2866, MAX(0, I2866 + SUM(SUMIFS($I$1:I2865, $C$1:C2865, C2866, $B$1:B2865, {"MAL ALIMI","ÜRETİM GİRİŞ"})) - VLOOKUP(C2866, 'STOK RAPORU'!$C$2:$I$1000, 4, 0))), 0)</f>
        <v>0</v>
      </c>
      <c r="U2866" s="22">
        <f t="shared" si="176"/>
        <v>0</v>
      </c>
      <c r="V2866">
        <f t="shared" si="177"/>
        <v>0</v>
      </c>
      <c r="W2866" s="22">
        <f t="shared" si="178"/>
        <v>0</v>
      </c>
    </row>
    <row r="2867" spans="1:23" hidden="1" x14ac:dyDescent="0.25">
      <c r="A2867" s="3">
        <v>46026</v>
      </c>
      <c r="B2867" s="4" t="s">
        <v>334</v>
      </c>
      <c r="C2867" s="4" t="s">
        <v>679</v>
      </c>
      <c r="D2867" s="4"/>
      <c r="E2867" s="4"/>
      <c r="F2867" s="4" t="s">
        <v>1578</v>
      </c>
      <c r="G2867" s="4" t="s">
        <v>336</v>
      </c>
      <c r="H2867" s="4" t="s">
        <v>289</v>
      </c>
      <c r="I2867" s="4">
        <v>0.5</v>
      </c>
      <c r="J2867" s="21">
        <v>400</v>
      </c>
      <c r="K2867" s="21">
        <v>0</v>
      </c>
      <c r="L2867" s="5">
        <v>0</v>
      </c>
      <c r="M2867" s="4"/>
      <c r="N2867" s="4"/>
      <c r="O2867" s="5"/>
      <c r="P2867" s="5"/>
      <c r="Q2867" s="21">
        <v>200</v>
      </c>
      <c r="R2867" s="21">
        <v>0</v>
      </c>
      <c r="S2867" s="5">
        <f t="shared" si="179"/>
        <v>17813.575120151992</v>
      </c>
      <c r="T2867" cm="1">
        <f t="array" ref="T2867">IF(OR(B2867="MAL ALIMI", B2867="ÜRETİM GİRİŞ"), MIN(I2867, MAX(0, I2867 + SUM(SUMIFS($I$1:I2866, $C$1:C2866, C2867, $B$1:B2866, {"MAL ALIMI","ÜRETİM GİRİŞ"})) - VLOOKUP(C2867, 'STOK RAPORU'!$C$2:$I$1000, 4, 0))), 0)</f>
        <v>0</v>
      </c>
      <c r="U2867" s="22">
        <f t="shared" si="176"/>
        <v>0</v>
      </c>
      <c r="V2867">
        <f t="shared" si="177"/>
        <v>0</v>
      </c>
      <c r="W2867" s="22">
        <f t="shared" si="178"/>
        <v>0</v>
      </c>
    </row>
    <row r="2868" spans="1:23" hidden="1" x14ac:dyDescent="0.25">
      <c r="A2868" s="3">
        <v>46026</v>
      </c>
      <c r="B2868" s="4" t="s">
        <v>334</v>
      </c>
      <c r="C2868" s="4" t="s">
        <v>236</v>
      </c>
      <c r="D2868" s="4"/>
      <c r="E2868" s="4"/>
      <c r="F2868" s="4" t="s">
        <v>1579</v>
      </c>
      <c r="G2868" s="4" t="s">
        <v>336</v>
      </c>
      <c r="H2868" s="4" t="s">
        <v>289</v>
      </c>
      <c r="I2868" s="4">
        <v>0.68571428571428572</v>
      </c>
      <c r="J2868" s="21">
        <v>350</v>
      </c>
      <c r="K2868" s="21">
        <v>0</v>
      </c>
      <c r="L2868" s="5">
        <v>0</v>
      </c>
      <c r="M2868" s="4"/>
      <c r="N2868" s="4"/>
      <c r="O2868" s="5"/>
      <c r="P2868" s="5"/>
      <c r="Q2868" s="21">
        <v>240</v>
      </c>
      <c r="R2868" s="21">
        <v>0</v>
      </c>
      <c r="S2868" s="5">
        <f t="shared" si="179"/>
        <v>18053.575120151992</v>
      </c>
      <c r="T2868" cm="1">
        <f t="array" ref="T2868">IF(OR(B2868="MAL ALIMI", B2868="ÜRETİM GİRİŞ"), MIN(I2868, MAX(0, I2868 + SUM(SUMIFS($I$1:I2867, $C$1:C2867, C2868, $B$1:B2867, {"MAL ALIMI","ÜRETİM GİRİŞ"})) - VLOOKUP(C2868, 'STOK RAPORU'!$C$2:$I$1000, 4, 0))), 0)</f>
        <v>0</v>
      </c>
      <c r="U2868" s="22">
        <f t="shared" si="176"/>
        <v>0</v>
      </c>
      <c r="V2868">
        <f t="shared" si="177"/>
        <v>0</v>
      </c>
      <c r="W2868" s="22">
        <f t="shared" si="178"/>
        <v>0</v>
      </c>
    </row>
    <row r="2869" spans="1:23" hidden="1" x14ac:dyDescent="0.25">
      <c r="A2869" s="3">
        <v>46026</v>
      </c>
      <c r="B2869" s="4" t="s">
        <v>334</v>
      </c>
      <c r="C2869" s="4" t="s">
        <v>132</v>
      </c>
      <c r="D2869" s="4"/>
      <c r="E2869" s="4"/>
      <c r="F2869" s="4" t="s">
        <v>1580</v>
      </c>
      <c r="G2869" s="4" t="s">
        <v>336</v>
      </c>
      <c r="H2869" s="4" t="s">
        <v>289</v>
      </c>
      <c r="I2869" s="4">
        <v>0.08</v>
      </c>
      <c r="J2869" s="21">
        <v>500</v>
      </c>
      <c r="K2869" s="21">
        <v>0</v>
      </c>
      <c r="L2869" s="5">
        <v>0</v>
      </c>
      <c r="M2869" s="4"/>
      <c r="N2869" s="4"/>
      <c r="O2869" s="5"/>
      <c r="P2869" s="5"/>
      <c r="Q2869" s="21">
        <v>40</v>
      </c>
      <c r="R2869" s="21">
        <v>0</v>
      </c>
      <c r="S2869" s="5">
        <f t="shared" si="179"/>
        <v>18093.575120151992</v>
      </c>
      <c r="T2869" cm="1">
        <f t="array" ref="T2869">IF(OR(B2869="MAL ALIMI", B2869="ÜRETİM GİRİŞ"), MIN(I2869, MAX(0, I2869 + SUM(SUMIFS($I$1:I2868, $C$1:C2868, C2869, $B$1:B2868, {"MAL ALIMI","ÜRETİM GİRİŞ"})) - VLOOKUP(C2869, 'STOK RAPORU'!$C$2:$I$1000, 4, 0))), 0)</f>
        <v>0</v>
      </c>
      <c r="U2869" s="22">
        <f t="shared" si="176"/>
        <v>0</v>
      </c>
      <c r="V2869">
        <f t="shared" si="177"/>
        <v>0</v>
      </c>
      <c r="W2869" s="22">
        <f t="shared" si="178"/>
        <v>0</v>
      </c>
    </row>
    <row r="2870" spans="1:23" hidden="1" x14ac:dyDescent="0.25">
      <c r="A2870" s="3">
        <v>46026</v>
      </c>
      <c r="B2870" s="4" t="s">
        <v>334</v>
      </c>
      <c r="C2870" s="4" t="s">
        <v>1041</v>
      </c>
      <c r="D2870" s="4"/>
      <c r="E2870" s="4"/>
      <c r="F2870" s="4" t="s">
        <v>1581</v>
      </c>
      <c r="G2870" s="4" t="s">
        <v>336</v>
      </c>
      <c r="H2870" s="4" t="s">
        <v>289</v>
      </c>
      <c r="I2870" s="4">
        <v>1</v>
      </c>
      <c r="J2870" s="21">
        <v>250</v>
      </c>
      <c r="K2870" s="21">
        <v>0</v>
      </c>
      <c r="L2870" s="5">
        <v>0</v>
      </c>
      <c r="M2870" s="4"/>
      <c r="N2870" s="4"/>
      <c r="O2870" s="5"/>
      <c r="P2870" s="5"/>
      <c r="Q2870" s="21">
        <v>250</v>
      </c>
      <c r="R2870" s="21">
        <v>0</v>
      </c>
      <c r="S2870" s="5">
        <f t="shared" si="179"/>
        <v>18343.575120151992</v>
      </c>
      <c r="T2870" cm="1">
        <f t="array" ref="T2870">IF(OR(B2870="MAL ALIMI", B2870="ÜRETİM GİRİŞ"), MIN(I2870, MAX(0, I2870 + SUM(SUMIFS($I$1:I2869, $C$1:C2869, C2870, $B$1:B2869, {"MAL ALIMI","ÜRETİM GİRİŞ"})) - VLOOKUP(C2870, 'STOK RAPORU'!$C$2:$I$1000, 4, 0))), 0)</f>
        <v>0</v>
      </c>
      <c r="U2870" s="22">
        <f t="shared" si="176"/>
        <v>0</v>
      </c>
      <c r="V2870">
        <f t="shared" si="177"/>
        <v>0</v>
      </c>
      <c r="W2870" s="22">
        <f t="shared" si="178"/>
        <v>0</v>
      </c>
    </row>
    <row r="2871" spans="1:23" hidden="1" x14ac:dyDescent="0.25">
      <c r="A2871" s="3">
        <v>46026</v>
      </c>
      <c r="B2871" s="4" t="s">
        <v>334</v>
      </c>
      <c r="C2871" s="4" t="s">
        <v>132</v>
      </c>
      <c r="D2871" s="4"/>
      <c r="E2871" s="4"/>
      <c r="F2871" s="4" t="s">
        <v>1582</v>
      </c>
      <c r="G2871" s="4" t="s">
        <v>336</v>
      </c>
      <c r="H2871" s="4" t="s">
        <v>289</v>
      </c>
      <c r="I2871" s="4">
        <v>0.52800000000000002</v>
      </c>
      <c r="J2871" s="21">
        <v>500</v>
      </c>
      <c r="K2871" s="21">
        <v>0</v>
      </c>
      <c r="L2871" s="5">
        <v>0</v>
      </c>
      <c r="M2871" s="4"/>
      <c r="N2871" s="4"/>
      <c r="O2871" s="5"/>
      <c r="P2871" s="5"/>
      <c r="Q2871" s="21">
        <v>264</v>
      </c>
      <c r="R2871" s="21">
        <v>0</v>
      </c>
      <c r="S2871" s="5">
        <f t="shared" si="179"/>
        <v>18607.575120151992</v>
      </c>
      <c r="T2871" cm="1">
        <f t="array" ref="T2871">IF(OR(B2871="MAL ALIMI", B2871="ÜRETİM GİRİŞ"), MIN(I2871, MAX(0, I2871 + SUM(SUMIFS($I$1:I2870, $C$1:C2870, C2871, $B$1:B2870, {"MAL ALIMI","ÜRETİM GİRİŞ"})) - VLOOKUP(C2871, 'STOK RAPORU'!$C$2:$I$1000, 4, 0))), 0)</f>
        <v>0</v>
      </c>
      <c r="U2871" s="22">
        <f t="shared" si="176"/>
        <v>0</v>
      </c>
      <c r="V2871">
        <f t="shared" si="177"/>
        <v>0</v>
      </c>
      <c r="W2871" s="22">
        <f t="shared" si="178"/>
        <v>0</v>
      </c>
    </row>
    <row r="2872" spans="1:23" hidden="1" x14ac:dyDescent="0.25">
      <c r="A2872" s="3">
        <v>46026</v>
      </c>
      <c r="B2872" s="4" t="s">
        <v>334</v>
      </c>
      <c r="C2872" s="4" t="s">
        <v>92</v>
      </c>
      <c r="D2872" s="4"/>
      <c r="E2872" s="4"/>
      <c r="F2872" s="4" t="s">
        <v>1582</v>
      </c>
      <c r="G2872" s="4" t="s">
        <v>336</v>
      </c>
      <c r="H2872" s="4" t="s">
        <v>289</v>
      </c>
      <c r="I2872" s="4">
        <v>0.128</v>
      </c>
      <c r="J2872" s="21">
        <v>500</v>
      </c>
      <c r="K2872" s="21">
        <v>0</v>
      </c>
      <c r="L2872" s="5">
        <v>0</v>
      </c>
      <c r="M2872" s="4"/>
      <c r="N2872" s="4"/>
      <c r="O2872" s="5"/>
      <c r="P2872" s="5"/>
      <c r="Q2872" s="21">
        <v>64</v>
      </c>
      <c r="R2872" s="21">
        <v>0</v>
      </c>
      <c r="S2872" s="5">
        <f t="shared" si="179"/>
        <v>18671.575120151992</v>
      </c>
      <c r="T2872" cm="1">
        <f t="array" ref="T2872">IF(OR(B2872="MAL ALIMI", B2872="ÜRETİM GİRİŞ"), MIN(I2872, MAX(0, I2872 + SUM(SUMIFS($I$1:I2871, $C$1:C2871, C2872, $B$1:B2871, {"MAL ALIMI","ÜRETİM GİRİŞ"})) - VLOOKUP(C2872, 'STOK RAPORU'!$C$2:$I$1000, 4, 0))), 0)</f>
        <v>0</v>
      </c>
      <c r="U2872" s="22">
        <f t="shared" si="176"/>
        <v>0</v>
      </c>
      <c r="V2872">
        <f t="shared" si="177"/>
        <v>0</v>
      </c>
      <c r="W2872" s="22">
        <f t="shared" si="178"/>
        <v>0</v>
      </c>
    </row>
    <row r="2873" spans="1:23" hidden="1" x14ac:dyDescent="0.25">
      <c r="A2873" s="3">
        <v>46026</v>
      </c>
      <c r="B2873" s="4" t="s">
        <v>334</v>
      </c>
      <c r="C2873" s="4" t="s">
        <v>587</v>
      </c>
      <c r="D2873" s="4"/>
      <c r="E2873" s="4"/>
      <c r="F2873" s="4" t="s">
        <v>1582</v>
      </c>
      <c r="G2873" s="4" t="s">
        <v>336</v>
      </c>
      <c r="H2873" s="4" t="s">
        <v>289</v>
      </c>
      <c r="I2873" s="4">
        <v>0.5</v>
      </c>
      <c r="J2873" s="21">
        <v>150</v>
      </c>
      <c r="K2873" s="21">
        <v>0</v>
      </c>
      <c r="L2873" s="5">
        <v>0</v>
      </c>
      <c r="M2873" s="4"/>
      <c r="N2873" s="4"/>
      <c r="O2873" s="5"/>
      <c r="P2873" s="5"/>
      <c r="Q2873" s="21">
        <v>75</v>
      </c>
      <c r="R2873" s="21">
        <v>0</v>
      </c>
      <c r="S2873" s="5">
        <f t="shared" si="179"/>
        <v>18746.575120151992</v>
      </c>
      <c r="T2873" cm="1">
        <f t="array" ref="T2873">IF(OR(B2873="MAL ALIMI", B2873="ÜRETİM GİRİŞ"), MIN(I2873, MAX(0, I2873 + SUM(SUMIFS($I$1:I2872, $C$1:C2872, C2873, $B$1:B2872, {"MAL ALIMI","ÜRETİM GİRİŞ"})) - VLOOKUP(C2873, 'STOK RAPORU'!$C$2:$I$1000, 4, 0))), 0)</f>
        <v>0</v>
      </c>
      <c r="U2873" s="22">
        <f t="shared" si="176"/>
        <v>0</v>
      </c>
      <c r="V2873">
        <f t="shared" si="177"/>
        <v>0</v>
      </c>
      <c r="W2873" s="22">
        <f t="shared" si="178"/>
        <v>0</v>
      </c>
    </row>
    <row r="2874" spans="1:23" hidden="1" x14ac:dyDescent="0.25">
      <c r="A2874" s="3">
        <v>46026</v>
      </c>
      <c r="B2874" s="4" t="s">
        <v>334</v>
      </c>
      <c r="C2874" s="4" t="s">
        <v>892</v>
      </c>
      <c r="D2874" s="4"/>
      <c r="E2874" s="4"/>
      <c r="F2874" s="4" t="s">
        <v>1582</v>
      </c>
      <c r="G2874" s="4" t="s">
        <v>336</v>
      </c>
      <c r="H2874" s="4" t="s">
        <v>289</v>
      </c>
      <c r="I2874" s="4">
        <v>0.5</v>
      </c>
      <c r="J2874" s="21">
        <v>60</v>
      </c>
      <c r="K2874" s="21">
        <v>0</v>
      </c>
      <c r="L2874" s="5">
        <v>0</v>
      </c>
      <c r="M2874" s="4"/>
      <c r="N2874" s="4"/>
      <c r="O2874" s="5"/>
      <c r="P2874" s="5"/>
      <c r="Q2874" s="21">
        <v>30</v>
      </c>
      <c r="R2874" s="21">
        <v>0</v>
      </c>
      <c r="S2874" s="5">
        <f t="shared" si="179"/>
        <v>18776.575120151992</v>
      </c>
      <c r="T2874" cm="1">
        <f t="array" ref="T2874">IF(OR(B2874="MAL ALIMI", B2874="ÜRETİM GİRİŞ"), MIN(I2874, MAX(0, I2874 + SUM(SUMIFS($I$1:I2873, $C$1:C2873, C2874, $B$1:B2873, {"MAL ALIMI","ÜRETİM GİRİŞ"})) - VLOOKUP(C2874, 'STOK RAPORU'!$C$2:$I$1000, 4, 0))), 0)</f>
        <v>0</v>
      </c>
      <c r="U2874" s="22">
        <f t="shared" si="176"/>
        <v>0</v>
      </c>
      <c r="V2874">
        <f t="shared" si="177"/>
        <v>0</v>
      </c>
      <c r="W2874" s="22">
        <f t="shared" si="178"/>
        <v>0</v>
      </c>
    </row>
    <row r="2875" spans="1:23" hidden="1" x14ac:dyDescent="0.25">
      <c r="A2875" s="3">
        <v>46026</v>
      </c>
      <c r="B2875" s="4" t="s">
        <v>334</v>
      </c>
      <c r="C2875" s="4" t="s">
        <v>587</v>
      </c>
      <c r="D2875" s="4"/>
      <c r="E2875" s="4"/>
      <c r="F2875" s="4" t="s">
        <v>1583</v>
      </c>
      <c r="G2875" s="4" t="s">
        <v>336</v>
      </c>
      <c r="H2875" s="4" t="s">
        <v>289</v>
      </c>
      <c r="I2875" s="4">
        <v>1</v>
      </c>
      <c r="J2875" s="21">
        <v>150</v>
      </c>
      <c r="K2875" s="21">
        <v>0</v>
      </c>
      <c r="L2875" s="5">
        <v>0</v>
      </c>
      <c r="M2875" s="4"/>
      <c r="N2875" s="4"/>
      <c r="O2875" s="5"/>
      <c r="P2875" s="5"/>
      <c r="Q2875" s="21">
        <v>150</v>
      </c>
      <c r="R2875" s="21">
        <v>0</v>
      </c>
      <c r="S2875" s="5">
        <f t="shared" si="179"/>
        <v>18926.575120151992</v>
      </c>
      <c r="T2875" cm="1">
        <f t="array" ref="T2875">IF(OR(B2875="MAL ALIMI", B2875="ÜRETİM GİRİŞ"), MIN(I2875, MAX(0, I2875 + SUM(SUMIFS($I$1:I2874, $C$1:C2874, C2875, $B$1:B2874, {"MAL ALIMI","ÜRETİM GİRİŞ"})) - VLOOKUP(C2875, 'STOK RAPORU'!$C$2:$I$1000, 4, 0))), 0)</f>
        <v>0</v>
      </c>
      <c r="U2875" s="22">
        <f t="shared" si="176"/>
        <v>0</v>
      </c>
      <c r="V2875">
        <f t="shared" si="177"/>
        <v>0</v>
      </c>
      <c r="W2875" s="22">
        <f t="shared" si="178"/>
        <v>0</v>
      </c>
    </row>
    <row r="2876" spans="1:23" hidden="1" x14ac:dyDescent="0.25">
      <c r="A2876" s="3">
        <v>46026</v>
      </c>
      <c r="B2876" s="4" t="s">
        <v>334</v>
      </c>
      <c r="C2876" s="4" t="s">
        <v>586</v>
      </c>
      <c r="D2876" s="4"/>
      <c r="E2876" s="4"/>
      <c r="F2876" s="4" t="s">
        <v>1583</v>
      </c>
      <c r="G2876" s="4" t="s">
        <v>336</v>
      </c>
      <c r="H2876" s="4" t="s">
        <v>289</v>
      </c>
      <c r="I2876" s="4">
        <v>1</v>
      </c>
      <c r="J2876" s="21">
        <v>200</v>
      </c>
      <c r="K2876" s="21">
        <v>0</v>
      </c>
      <c r="L2876" s="5">
        <v>0</v>
      </c>
      <c r="M2876" s="4"/>
      <c r="N2876" s="4"/>
      <c r="O2876" s="5"/>
      <c r="P2876" s="5"/>
      <c r="Q2876" s="21">
        <v>200</v>
      </c>
      <c r="R2876" s="21">
        <v>0</v>
      </c>
      <c r="S2876" s="5">
        <f t="shared" si="179"/>
        <v>19126.575120151992</v>
      </c>
      <c r="T2876" cm="1">
        <f t="array" ref="T2876">IF(OR(B2876="MAL ALIMI", B2876="ÜRETİM GİRİŞ"), MIN(I2876, MAX(0, I2876 + SUM(SUMIFS($I$1:I2875, $C$1:C2875, C2876, $B$1:B2875, {"MAL ALIMI","ÜRETİM GİRİŞ"})) - VLOOKUP(C2876, 'STOK RAPORU'!$C$2:$I$1000, 4, 0))), 0)</f>
        <v>0</v>
      </c>
      <c r="U2876" s="22">
        <f t="shared" si="176"/>
        <v>0</v>
      </c>
      <c r="V2876">
        <f t="shared" si="177"/>
        <v>0</v>
      </c>
      <c r="W2876" s="22">
        <f t="shared" si="178"/>
        <v>0</v>
      </c>
    </row>
    <row r="2877" spans="1:23" hidden="1" x14ac:dyDescent="0.25">
      <c r="A2877" s="3">
        <v>46026</v>
      </c>
      <c r="B2877" s="4" t="s">
        <v>334</v>
      </c>
      <c r="C2877" s="4" t="s">
        <v>822</v>
      </c>
      <c r="D2877" s="4"/>
      <c r="E2877" s="4" t="s">
        <v>921</v>
      </c>
      <c r="F2877" s="4" t="s">
        <v>1584</v>
      </c>
      <c r="G2877" s="4" t="s">
        <v>336</v>
      </c>
      <c r="H2877" s="4" t="s">
        <v>380</v>
      </c>
      <c r="I2877" s="4">
        <v>1</v>
      </c>
      <c r="J2877" s="21">
        <v>170</v>
      </c>
      <c r="K2877" s="21">
        <v>170</v>
      </c>
      <c r="L2877" s="5">
        <v>0</v>
      </c>
      <c r="M2877" s="4"/>
      <c r="N2877" s="4"/>
      <c r="O2877" s="5"/>
      <c r="P2877" s="5"/>
      <c r="Q2877" s="21">
        <v>0</v>
      </c>
      <c r="R2877" s="21">
        <v>0</v>
      </c>
      <c r="S2877" s="5">
        <f t="shared" si="179"/>
        <v>19126.575120151992</v>
      </c>
      <c r="T2877" cm="1">
        <f t="array" ref="T2877">IF(OR(B2877="MAL ALIMI", B2877="ÜRETİM GİRİŞ"), MIN(I2877, MAX(0, I2877 + SUM(SUMIFS($I$1:I2876, $C$1:C2876, C2877, $B$1:B2876, {"MAL ALIMI","ÜRETİM GİRİŞ"})) - VLOOKUP(C2877, 'STOK RAPORU'!$C$2:$I$1000, 4, 0))), 0)</f>
        <v>0</v>
      </c>
      <c r="U2877" s="22">
        <f t="shared" si="176"/>
        <v>0</v>
      </c>
      <c r="V2877">
        <f t="shared" si="177"/>
        <v>0</v>
      </c>
      <c r="W2877" s="22">
        <f t="shared" si="178"/>
        <v>0</v>
      </c>
    </row>
    <row r="2878" spans="1:23" hidden="1" x14ac:dyDescent="0.25">
      <c r="A2878" s="3">
        <v>46026</v>
      </c>
      <c r="B2878" s="4" t="s">
        <v>334</v>
      </c>
      <c r="C2878" s="4" t="s">
        <v>213</v>
      </c>
      <c r="D2878" s="4"/>
      <c r="E2878" s="4" t="s">
        <v>921</v>
      </c>
      <c r="F2878" s="4" t="s">
        <v>1584</v>
      </c>
      <c r="G2878" s="4" t="s">
        <v>336</v>
      </c>
      <c r="H2878" s="4" t="s">
        <v>380</v>
      </c>
      <c r="I2878" s="4">
        <v>0.05</v>
      </c>
      <c r="J2878" s="21">
        <v>1400</v>
      </c>
      <c r="K2878" s="21">
        <v>70</v>
      </c>
      <c r="L2878" s="5">
        <v>0</v>
      </c>
      <c r="M2878" s="4"/>
      <c r="N2878" s="4"/>
      <c r="O2878" s="5"/>
      <c r="P2878" s="5"/>
      <c r="Q2878" s="21">
        <v>0</v>
      </c>
      <c r="R2878" s="21">
        <v>0</v>
      </c>
      <c r="S2878" s="5">
        <f t="shared" si="179"/>
        <v>19126.575120151992</v>
      </c>
      <c r="T2878" cm="1">
        <f t="array" ref="T2878">IF(OR(B2878="MAL ALIMI", B2878="ÜRETİM GİRİŞ"), MIN(I2878, MAX(0, I2878 + SUM(SUMIFS($I$1:I2877, $C$1:C2877, C2878, $B$1:B2877, {"MAL ALIMI","ÜRETİM GİRİŞ"})) - VLOOKUP(C2878, 'STOK RAPORU'!$C$2:$I$1000, 4, 0))), 0)</f>
        <v>0</v>
      </c>
      <c r="U2878" s="22">
        <f t="shared" si="176"/>
        <v>0</v>
      </c>
      <c r="V2878">
        <f t="shared" si="177"/>
        <v>0</v>
      </c>
      <c r="W2878" s="22">
        <f t="shared" si="178"/>
        <v>0</v>
      </c>
    </row>
    <row r="2879" spans="1:23" hidden="1" x14ac:dyDescent="0.25">
      <c r="A2879" s="3">
        <v>46026</v>
      </c>
      <c r="B2879" s="4" t="s">
        <v>334</v>
      </c>
      <c r="C2879" s="4" t="s">
        <v>219</v>
      </c>
      <c r="D2879" s="4"/>
      <c r="E2879" s="4" t="s">
        <v>921</v>
      </c>
      <c r="F2879" s="4" t="s">
        <v>1584</v>
      </c>
      <c r="G2879" s="4" t="s">
        <v>336</v>
      </c>
      <c r="H2879" s="4" t="s">
        <v>380</v>
      </c>
      <c r="I2879" s="4">
        <v>0.05</v>
      </c>
      <c r="J2879" s="21">
        <v>2000</v>
      </c>
      <c r="K2879" s="21">
        <v>100</v>
      </c>
      <c r="L2879" s="5">
        <v>0</v>
      </c>
      <c r="M2879" s="4"/>
      <c r="N2879" s="4"/>
      <c r="O2879" s="5"/>
      <c r="P2879" s="5"/>
      <c r="Q2879" s="21">
        <v>0</v>
      </c>
      <c r="R2879" s="21">
        <v>0</v>
      </c>
      <c r="S2879" s="5">
        <f t="shared" si="179"/>
        <v>19126.575120151992</v>
      </c>
      <c r="T2879" cm="1">
        <f t="array" ref="T2879">IF(OR(B2879="MAL ALIMI", B2879="ÜRETİM GİRİŞ"), MIN(I2879, MAX(0, I2879 + SUM(SUMIFS($I$1:I2878, $C$1:C2878, C2879, $B$1:B2878, {"MAL ALIMI","ÜRETİM GİRİŞ"})) - VLOOKUP(C2879, 'STOK RAPORU'!$C$2:$I$1000, 4, 0))), 0)</f>
        <v>0</v>
      </c>
      <c r="U2879" s="22">
        <f t="shared" si="176"/>
        <v>0</v>
      </c>
      <c r="V2879">
        <f t="shared" si="177"/>
        <v>0</v>
      </c>
      <c r="W2879" s="22">
        <f t="shared" si="178"/>
        <v>0</v>
      </c>
    </row>
    <row r="2880" spans="1:23" hidden="1" x14ac:dyDescent="0.25">
      <c r="A2880" s="3">
        <v>46026</v>
      </c>
      <c r="B2880" s="4" t="s">
        <v>946</v>
      </c>
      <c r="C2880" s="4"/>
      <c r="D2880" s="4"/>
      <c r="E2880" s="4" t="s">
        <v>921</v>
      </c>
      <c r="F2880" s="4"/>
      <c r="G2880" s="4" t="s">
        <v>946</v>
      </c>
      <c r="H2880" s="4" t="s">
        <v>380</v>
      </c>
      <c r="I2880" s="4">
        <v>1</v>
      </c>
      <c r="J2880" s="105">
        <v>240</v>
      </c>
      <c r="K2880" s="21">
        <v>0</v>
      </c>
      <c r="L2880" s="102">
        <v>240</v>
      </c>
      <c r="M2880" s="4"/>
      <c r="N2880" s="4"/>
      <c r="O2880" s="5"/>
      <c r="P2880" s="5"/>
      <c r="Q2880" s="21">
        <v>240</v>
      </c>
      <c r="R2880" s="21">
        <v>0</v>
      </c>
      <c r="S2880" s="5">
        <f t="shared" si="179"/>
        <v>19366.575120151992</v>
      </c>
      <c r="T2880" cm="1">
        <f t="array" ref="T2880">IF(OR(B2880="MAL ALIMI", B2880="ÜRETİM GİRİŞ"), MIN(I2880, MAX(0, I2880 + SUM(SUMIFS($I$1:I2879, $C$1:C2879, C2880, $B$1:B2879, {"MAL ALIMI","ÜRETİM GİRİŞ"})) - VLOOKUP(C2880, 'STOK RAPORU'!$C$2:$I$1000, 4, 0))), 0)</f>
        <v>0</v>
      </c>
      <c r="U2880" s="22">
        <f t="shared" si="176"/>
        <v>0</v>
      </c>
      <c r="V2880">
        <f t="shared" si="177"/>
        <v>0</v>
      </c>
      <c r="W2880" s="22">
        <f t="shared" si="178"/>
        <v>0</v>
      </c>
    </row>
    <row r="2881" spans="1:23" hidden="1" x14ac:dyDescent="0.25">
      <c r="A2881" s="3">
        <v>46026</v>
      </c>
      <c r="B2881" s="4" t="s">
        <v>946</v>
      </c>
      <c r="C2881" s="4"/>
      <c r="D2881" s="4"/>
      <c r="E2881" s="4" t="s">
        <v>921</v>
      </c>
      <c r="F2881" s="4"/>
      <c r="G2881" s="4" t="s">
        <v>946</v>
      </c>
      <c r="H2881" s="4" t="s">
        <v>380</v>
      </c>
      <c r="I2881" s="4">
        <v>1</v>
      </c>
      <c r="J2881" s="105">
        <v>940</v>
      </c>
      <c r="K2881" s="21">
        <v>0</v>
      </c>
      <c r="L2881" s="102">
        <v>940</v>
      </c>
      <c r="M2881" s="4"/>
      <c r="N2881" s="4"/>
      <c r="O2881" s="5"/>
      <c r="P2881" s="5"/>
      <c r="Q2881" s="21">
        <v>940</v>
      </c>
      <c r="R2881" s="21">
        <v>0</v>
      </c>
      <c r="S2881" s="5">
        <f t="shared" si="179"/>
        <v>20306.575120151992</v>
      </c>
      <c r="T2881" cm="1">
        <f t="array" ref="T2881">IF(OR(B2881="MAL ALIMI", B2881="ÜRETİM GİRİŞ"), MIN(I2881, MAX(0, I2881 + SUM(SUMIFS($I$1:I2880, $C$1:C2880, C2881, $B$1:B2880, {"MAL ALIMI","ÜRETİM GİRİŞ"})) - VLOOKUP(C2881, 'STOK RAPORU'!$C$2:$I$1000, 4, 0))), 0)</f>
        <v>0</v>
      </c>
      <c r="U2881" s="22">
        <f t="shared" si="176"/>
        <v>0</v>
      </c>
      <c r="V2881">
        <f t="shared" si="177"/>
        <v>0</v>
      </c>
      <c r="W2881" s="22">
        <f t="shared" si="178"/>
        <v>0</v>
      </c>
    </row>
    <row r="2882" spans="1:23" hidden="1" x14ac:dyDescent="0.25">
      <c r="A2882" s="3">
        <v>46026</v>
      </c>
      <c r="B2882" s="4" t="s">
        <v>946</v>
      </c>
      <c r="C2882" s="4"/>
      <c r="D2882" s="4"/>
      <c r="E2882" s="4" t="s">
        <v>921</v>
      </c>
      <c r="F2882" s="4"/>
      <c r="G2882" s="4" t="s">
        <v>946</v>
      </c>
      <c r="H2882" s="4" t="s">
        <v>380</v>
      </c>
      <c r="I2882" s="4">
        <v>1</v>
      </c>
      <c r="J2882" s="105">
        <v>2560</v>
      </c>
      <c r="K2882" s="21">
        <v>0</v>
      </c>
      <c r="L2882" s="102">
        <v>2560</v>
      </c>
      <c r="M2882" s="4"/>
      <c r="N2882" s="4"/>
      <c r="O2882" s="5"/>
      <c r="P2882" s="5"/>
      <c r="Q2882" s="21">
        <v>2560</v>
      </c>
      <c r="R2882" s="21">
        <v>0</v>
      </c>
      <c r="S2882" s="5">
        <f t="shared" si="179"/>
        <v>22866.575120151992</v>
      </c>
      <c r="T2882" cm="1">
        <f t="array" ref="T2882">IF(OR(B2882="MAL ALIMI", B2882="ÜRETİM GİRİŞ"), MIN(I2882, MAX(0, I2882 + SUM(SUMIFS($I$1:I2881, $C$1:C2881, C2882, $B$1:B2881, {"MAL ALIMI","ÜRETİM GİRİŞ"})) - VLOOKUP(C2882, 'STOK RAPORU'!$C$2:$I$1000, 4, 0))), 0)</f>
        <v>0</v>
      </c>
      <c r="U2882" s="22">
        <f t="shared" si="176"/>
        <v>0</v>
      </c>
      <c r="V2882">
        <f t="shared" si="177"/>
        <v>0</v>
      </c>
      <c r="W2882" s="22">
        <f t="shared" si="178"/>
        <v>0</v>
      </c>
    </row>
    <row r="2883" spans="1:23" hidden="1" x14ac:dyDescent="0.25">
      <c r="A2883" s="3">
        <v>46027</v>
      </c>
      <c r="B2883" s="4" t="s">
        <v>298</v>
      </c>
      <c r="C2883" s="4" t="s">
        <v>196</v>
      </c>
      <c r="D2883" s="4"/>
      <c r="E2883" s="4" t="s">
        <v>350</v>
      </c>
      <c r="F2883" s="4">
        <v>995518</v>
      </c>
      <c r="G2883" s="4" t="s">
        <v>350</v>
      </c>
      <c r="H2883" s="4" t="s">
        <v>304</v>
      </c>
      <c r="I2883" s="4">
        <v>3</v>
      </c>
      <c r="J2883" s="21">
        <v>130</v>
      </c>
      <c r="K2883" s="21">
        <v>0</v>
      </c>
      <c r="L2883" s="5">
        <v>390</v>
      </c>
      <c r="M2883" s="4"/>
      <c r="N2883" s="4"/>
      <c r="O2883" s="5"/>
      <c r="P2883" s="5"/>
      <c r="Q2883" s="21">
        <v>0</v>
      </c>
      <c r="R2883" s="21">
        <v>0</v>
      </c>
      <c r="S2883" s="5">
        <f t="shared" si="179"/>
        <v>22866.575120151992</v>
      </c>
      <c r="T2883" cm="1">
        <f t="array" ref="T2883">IF(OR(B2883="MAL ALIMI", B2883="ÜRETİM GİRİŞ"), MIN(I2883, MAX(0, I2883 + SUM(SUMIFS($I$1:I2882, $C$1:C2882, C2883, $B$1:B2882, {"MAL ALIMI","ÜRETİM GİRİŞ"})) - VLOOKUP(C2883, 'STOK RAPORU'!$C$2:$I$1000, 4, 0))), 0)</f>
        <v>0</v>
      </c>
      <c r="U2883" s="22">
        <f t="shared" ref="U2883:U2946" si="180">T2883*J2883</f>
        <v>0</v>
      </c>
      <c r="V2883">
        <f t="shared" ref="V2883:V2946" si="181">IF(OR(B2883="MAL ALIMI", B2883="ÜRETİM GİRİŞ"), I2883 * J2883, 0)</f>
        <v>390</v>
      </c>
      <c r="W2883" s="22">
        <f t="shared" ref="W2883:W2946" si="182">V2883-U2883</f>
        <v>390</v>
      </c>
    </row>
    <row r="2884" spans="1:23" hidden="1" x14ac:dyDescent="0.25">
      <c r="A2884" s="3">
        <v>46027</v>
      </c>
      <c r="B2884" s="4" t="s">
        <v>298</v>
      </c>
      <c r="C2884" s="4" t="s">
        <v>197</v>
      </c>
      <c r="D2884" s="4"/>
      <c r="E2884" s="4" t="s">
        <v>350</v>
      </c>
      <c r="F2884" s="4">
        <v>995518</v>
      </c>
      <c r="G2884" s="4" t="s">
        <v>350</v>
      </c>
      <c r="H2884" s="4" t="s">
        <v>304</v>
      </c>
      <c r="I2884" s="4">
        <v>3</v>
      </c>
      <c r="J2884" s="21">
        <v>140</v>
      </c>
      <c r="K2884" s="21">
        <v>0</v>
      </c>
      <c r="L2884" s="5">
        <v>420</v>
      </c>
      <c r="M2884" s="4"/>
      <c r="N2884" s="4"/>
      <c r="O2884" s="5"/>
      <c r="P2884" s="5"/>
      <c r="Q2884" s="21">
        <v>0</v>
      </c>
      <c r="R2884" s="21">
        <v>0</v>
      </c>
      <c r="S2884" s="5">
        <f t="shared" ref="S2884:S2947" si="183">S2883+Q2884-R2884</f>
        <v>22866.575120151992</v>
      </c>
      <c r="T2884" cm="1">
        <f t="array" ref="T2884">IF(OR(B2884="MAL ALIMI", B2884="ÜRETİM GİRİŞ"), MIN(I2884, MAX(0, I2884 + SUM(SUMIFS($I$1:I2883, $C$1:C2883, C2884, $B$1:B2883, {"MAL ALIMI","ÜRETİM GİRİŞ"})) - VLOOKUP(C2884, 'STOK RAPORU'!$C$2:$I$1000, 4, 0))), 0)</f>
        <v>0</v>
      </c>
      <c r="U2884" s="22">
        <f t="shared" si="180"/>
        <v>0</v>
      </c>
      <c r="V2884">
        <f t="shared" si="181"/>
        <v>420</v>
      </c>
      <c r="W2884" s="22">
        <f t="shared" si="182"/>
        <v>420</v>
      </c>
    </row>
    <row r="2885" spans="1:23" hidden="1" x14ac:dyDescent="0.25">
      <c r="A2885" s="3">
        <v>46027</v>
      </c>
      <c r="B2885" s="4" t="s">
        <v>298</v>
      </c>
      <c r="C2885" s="4" t="s">
        <v>253</v>
      </c>
      <c r="D2885" s="4"/>
      <c r="E2885" s="4" t="s">
        <v>350</v>
      </c>
      <c r="F2885" s="4">
        <v>995518</v>
      </c>
      <c r="G2885" s="4" t="s">
        <v>350</v>
      </c>
      <c r="H2885" s="4" t="s">
        <v>304</v>
      </c>
      <c r="I2885" s="4">
        <v>3</v>
      </c>
      <c r="J2885" s="21">
        <v>170</v>
      </c>
      <c r="K2885" s="21">
        <v>0</v>
      </c>
      <c r="L2885" s="5">
        <v>510</v>
      </c>
      <c r="M2885" s="4"/>
      <c r="N2885" s="4"/>
      <c r="O2885" s="5"/>
      <c r="P2885" s="5"/>
      <c r="Q2885" s="21">
        <v>0</v>
      </c>
      <c r="R2885" s="21">
        <v>0</v>
      </c>
      <c r="S2885" s="5">
        <f t="shared" si="183"/>
        <v>22866.575120151992</v>
      </c>
      <c r="T2885" cm="1">
        <f t="array" ref="T2885">IF(OR(B2885="MAL ALIMI", B2885="ÜRETİM GİRİŞ"), MIN(I2885, MAX(0, I2885 + SUM(SUMIFS($I$1:I2884, $C$1:C2884, C2885, $B$1:B2884, {"MAL ALIMI","ÜRETİM GİRİŞ"})) - VLOOKUP(C2885, 'STOK RAPORU'!$C$2:$I$1000, 4, 0))), 0)</f>
        <v>0</v>
      </c>
      <c r="U2885" s="22">
        <f t="shared" si="180"/>
        <v>0</v>
      </c>
      <c r="V2885">
        <f t="shared" si="181"/>
        <v>510</v>
      </c>
      <c r="W2885" s="22">
        <f t="shared" si="182"/>
        <v>510</v>
      </c>
    </row>
    <row r="2886" spans="1:23" hidden="1" x14ac:dyDescent="0.25">
      <c r="A2886" s="3">
        <v>46027</v>
      </c>
      <c r="B2886" s="4" t="s">
        <v>298</v>
      </c>
      <c r="C2886" s="4" t="s">
        <v>1619</v>
      </c>
      <c r="D2886" s="4"/>
      <c r="E2886" s="4" t="s">
        <v>350</v>
      </c>
      <c r="F2886" s="4">
        <v>995518</v>
      </c>
      <c r="G2886" s="4" t="s">
        <v>350</v>
      </c>
      <c r="H2886" s="4" t="s">
        <v>304</v>
      </c>
      <c r="I2886" s="4">
        <v>3</v>
      </c>
      <c r="J2886" s="21">
        <v>70</v>
      </c>
      <c r="K2886" s="21">
        <v>0</v>
      </c>
      <c r="L2886" s="5">
        <v>210</v>
      </c>
      <c r="M2886" s="4"/>
      <c r="N2886" s="4"/>
      <c r="O2886" s="5"/>
      <c r="P2886" s="5"/>
      <c r="Q2886" s="21">
        <v>0</v>
      </c>
      <c r="R2886" s="21">
        <v>0</v>
      </c>
      <c r="S2886" s="5">
        <f t="shared" si="183"/>
        <v>22866.575120151992</v>
      </c>
      <c r="T2886" cm="1">
        <f t="array" ref="T2886">IF(OR(B2886="MAL ALIMI", B2886="ÜRETİM GİRİŞ"), MIN(I2886, MAX(0, I2886 + SUM(SUMIFS($I$1:I2885, $C$1:C2885, C2886, $B$1:B2885, {"MAL ALIMI","ÜRETİM GİRİŞ"})) - VLOOKUP(C2886, 'STOK RAPORU'!$C$2:$I$1000, 4, 0))), 0)</f>
        <v>1</v>
      </c>
      <c r="U2886" s="22">
        <f t="shared" si="180"/>
        <v>70</v>
      </c>
      <c r="V2886">
        <f t="shared" si="181"/>
        <v>210</v>
      </c>
      <c r="W2886" s="22">
        <f t="shared" si="182"/>
        <v>140</v>
      </c>
    </row>
    <row r="2887" spans="1:23" hidden="1" x14ac:dyDescent="0.25">
      <c r="A2887" s="3">
        <v>46027</v>
      </c>
      <c r="B2887" s="4" t="s">
        <v>298</v>
      </c>
      <c r="C2887" s="4" t="s">
        <v>1620</v>
      </c>
      <c r="D2887" s="4"/>
      <c r="E2887" s="4" t="s">
        <v>350</v>
      </c>
      <c r="F2887" s="4">
        <v>995518</v>
      </c>
      <c r="G2887" s="4" t="s">
        <v>350</v>
      </c>
      <c r="H2887" s="4" t="s">
        <v>304</v>
      </c>
      <c r="I2887" s="4">
        <v>3</v>
      </c>
      <c r="J2887" s="21">
        <v>65</v>
      </c>
      <c r="K2887" s="21">
        <v>0</v>
      </c>
      <c r="L2887" s="5">
        <v>195</v>
      </c>
      <c r="M2887" s="4"/>
      <c r="N2887" s="4"/>
      <c r="O2887" s="5"/>
      <c r="P2887" s="5"/>
      <c r="Q2887" s="21">
        <v>0</v>
      </c>
      <c r="R2887" s="21">
        <v>0</v>
      </c>
      <c r="S2887" s="5">
        <f t="shared" si="183"/>
        <v>22866.575120151992</v>
      </c>
      <c r="T2887" cm="1">
        <f t="array" ref="T2887">IF(OR(B2887="MAL ALIMI", B2887="ÜRETİM GİRİŞ"), MIN(I2887, MAX(0, I2887 + SUM(SUMIFS($I$1:I2886, $C$1:C2886, C2887, $B$1:B2886, {"MAL ALIMI","ÜRETİM GİRİŞ"})) - VLOOKUP(C2887, 'STOK RAPORU'!$C$2:$I$1000, 4, 0))), 0)</f>
        <v>1</v>
      </c>
      <c r="U2887" s="22">
        <f t="shared" si="180"/>
        <v>65</v>
      </c>
      <c r="V2887">
        <f t="shared" si="181"/>
        <v>195</v>
      </c>
      <c r="W2887" s="22">
        <f t="shared" si="182"/>
        <v>130</v>
      </c>
    </row>
    <row r="2888" spans="1:23" hidden="1" x14ac:dyDescent="0.25">
      <c r="A2888" s="3">
        <v>46027</v>
      </c>
      <c r="B2888" s="4" t="s">
        <v>298</v>
      </c>
      <c r="C2888" s="4" t="s">
        <v>1635</v>
      </c>
      <c r="D2888" s="4"/>
      <c r="E2888" s="4" t="s">
        <v>350</v>
      </c>
      <c r="F2888" s="4">
        <v>995518</v>
      </c>
      <c r="G2888" s="4" t="s">
        <v>350</v>
      </c>
      <c r="H2888" s="4" t="s">
        <v>304</v>
      </c>
      <c r="I2888" s="4">
        <v>3</v>
      </c>
      <c r="J2888" s="21">
        <v>70</v>
      </c>
      <c r="K2888" s="21">
        <v>0</v>
      </c>
      <c r="L2888" s="5">
        <v>210</v>
      </c>
      <c r="M2888" s="4"/>
      <c r="N2888" s="4"/>
      <c r="O2888" s="5"/>
      <c r="P2888" s="5"/>
      <c r="Q2888" s="21">
        <v>0</v>
      </c>
      <c r="R2888" s="21">
        <v>0</v>
      </c>
      <c r="S2888" s="5">
        <f t="shared" si="183"/>
        <v>22866.575120151992</v>
      </c>
      <c r="T2888" cm="1">
        <f t="array" ref="T2888">IF(OR(B2888="MAL ALIMI", B2888="ÜRETİM GİRİŞ"), MIN(I2888, MAX(0, I2888 + SUM(SUMIFS($I$1:I2887, $C$1:C2887, C2888, $B$1:B2887, {"MAL ALIMI","ÜRETİM GİRİŞ"})) - VLOOKUP(C2888, 'STOK RAPORU'!$C$2:$I$1000, 4, 0))), 0)</f>
        <v>3</v>
      </c>
      <c r="U2888" s="22">
        <f t="shared" si="180"/>
        <v>210</v>
      </c>
      <c r="V2888">
        <f t="shared" si="181"/>
        <v>210</v>
      </c>
      <c r="W2888" s="22">
        <f t="shared" si="182"/>
        <v>0</v>
      </c>
    </row>
    <row r="2889" spans="1:23" hidden="1" x14ac:dyDescent="0.25">
      <c r="A2889" s="3">
        <v>46027</v>
      </c>
      <c r="B2889" s="4" t="s">
        <v>298</v>
      </c>
      <c r="C2889" s="4" t="s">
        <v>1636</v>
      </c>
      <c r="D2889" s="4"/>
      <c r="E2889" s="4" t="s">
        <v>350</v>
      </c>
      <c r="F2889" s="4">
        <v>995518</v>
      </c>
      <c r="G2889" s="4" t="s">
        <v>350</v>
      </c>
      <c r="H2889" s="4" t="s">
        <v>304</v>
      </c>
      <c r="I2889" s="4">
        <v>3</v>
      </c>
      <c r="J2889" s="21">
        <v>85</v>
      </c>
      <c r="K2889" s="21">
        <v>0</v>
      </c>
      <c r="L2889" s="5">
        <v>255</v>
      </c>
      <c r="M2889" s="4"/>
      <c r="N2889" s="4"/>
      <c r="O2889" s="5"/>
      <c r="P2889" s="5"/>
      <c r="Q2889" s="21">
        <v>0</v>
      </c>
      <c r="R2889" s="21">
        <v>0</v>
      </c>
      <c r="S2889" s="5">
        <f t="shared" si="183"/>
        <v>22866.575120151992</v>
      </c>
      <c r="T2889" cm="1">
        <f t="array" ref="T2889">IF(OR(B2889="MAL ALIMI", B2889="ÜRETİM GİRİŞ"), MIN(I2889, MAX(0, I2889 + SUM(SUMIFS($I$1:I2888, $C$1:C2888, C2889, $B$1:B2888, {"MAL ALIMI","ÜRETİM GİRİŞ"})) - VLOOKUP(C2889, 'STOK RAPORU'!$C$2:$I$1000, 4, 0))), 0)</f>
        <v>0</v>
      </c>
      <c r="U2889" s="22">
        <f t="shared" si="180"/>
        <v>0</v>
      </c>
      <c r="V2889">
        <f t="shared" si="181"/>
        <v>255</v>
      </c>
      <c r="W2889" s="22">
        <f t="shared" si="182"/>
        <v>255</v>
      </c>
    </row>
    <row r="2890" spans="1:23" hidden="1" x14ac:dyDescent="0.25">
      <c r="A2890" s="3">
        <v>46027</v>
      </c>
      <c r="B2890" s="4" t="s">
        <v>298</v>
      </c>
      <c r="C2890" s="4" t="s">
        <v>1637</v>
      </c>
      <c r="D2890" s="4"/>
      <c r="E2890" s="4" t="s">
        <v>350</v>
      </c>
      <c r="F2890" s="4">
        <v>995518</v>
      </c>
      <c r="G2890" s="4" t="s">
        <v>350</v>
      </c>
      <c r="H2890" s="4" t="s">
        <v>304</v>
      </c>
      <c r="I2890" s="4">
        <v>3</v>
      </c>
      <c r="J2890" s="21">
        <v>100</v>
      </c>
      <c r="K2890" s="21">
        <v>0</v>
      </c>
      <c r="L2890" s="5">
        <v>300</v>
      </c>
      <c r="M2890" s="4"/>
      <c r="N2890" s="4"/>
      <c r="O2890" s="5"/>
      <c r="P2890" s="5"/>
      <c r="Q2890" s="21">
        <v>0</v>
      </c>
      <c r="R2890" s="21">
        <v>0</v>
      </c>
      <c r="S2890" s="5">
        <f t="shared" si="183"/>
        <v>22866.575120151992</v>
      </c>
      <c r="T2890" cm="1">
        <f t="array" ref="T2890">IF(OR(B2890="MAL ALIMI", B2890="ÜRETİM GİRİŞ"), MIN(I2890, MAX(0, I2890 + SUM(SUMIFS($I$1:I2889, $C$1:C2889, C2890, $B$1:B2889, {"MAL ALIMI","ÜRETİM GİRİŞ"})) - VLOOKUP(C2890, 'STOK RAPORU'!$C$2:$I$1000, 4, 0))), 0)</f>
        <v>1</v>
      </c>
      <c r="U2890" s="22">
        <f t="shared" si="180"/>
        <v>100</v>
      </c>
      <c r="V2890">
        <f t="shared" si="181"/>
        <v>300</v>
      </c>
      <c r="W2890" s="22">
        <f t="shared" si="182"/>
        <v>200</v>
      </c>
    </row>
    <row r="2891" spans="1:23" hidden="1" x14ac:dyDescent="0.25">
      <c r="A2891" s="3">
        <v>46027</v>
      </c>
      <c r="B2891" s="4" t="s">
        <v>298</v>
      </c>
      <c r="C2891" s="4" t="s">
        <v>1638</v>
      </c>
      <c r="D2891" s="4"/>
      <c r="E2891" s="4" t="s">
        <v>350</v>
      </c>
      <c r="F2891" s="4">
        <v>995518</v>
      </c>
      <c r="G2891" s="4" t="s">
        <v>350</v>
      </c>
      <c r="H2891" s="4" t="s">
        <v>304</v>
      </c>
      <c r="I2891" s="4">
        <v>3</v>
      </c>
      <c r="J2891" s="21">
        <v>70</v>
      </c>
      <c r="K2891" s="21">
        <v>0</v>
      </c>
      <c r="L2891" s="5">
        <v>210</v>
      </c>
      <c r="M2891" s="4"/>
      <c r="N2891" s="4"/>
      <c r="O2891" s="5"/>
      <c r="P2891" s="5"/>
      <c r="Q2891" s="21">
        <v>0</v>
      </c>
      <c r="R2891" s="21">
        <v>0</v>
      </c>
      <c r="S2891" s="5">
        <f t="shared" si="183"/>
        <v>22866.575120151992</v>
      </c>
      <c r="T2891" cm="1">
        <f t="array" ref="T2891">IF(OR(B2891="MAL ALIMI", B2891="ÜRETİM GİRİŞ"), MIN(I2891, MAX(0, I2891 + SUM(SUMIFS($I$1:I2890, $C$1:C2890, C2891, $B$1:B2890, {"MAL ALIMI","ÜRETİM GİRİŞ"})) - VLOOKUP(C2891, 'STOK RAPORU'!$C$2:$I$1000, 4, 0))), 0)</f>
        <v>1</v>
      </c>
      <c r="U2891" s="22">
        <f t="shared" si="180"/>
        <v>70</v>
      </c>
      <c r="V2891">
        <f t="shared" si="181"/>
        <v>210</v>
      </c>
      <c r="W2891" s="22">
        <f t="shared" si="182"/>
        <v>140</v>
      </c>
    </row>
    <row r="2892" spans="1:23" hidden="1" x14ac:dyDescent="0.25">
      <c r="A2892" s="3">
        <v>46027</v>
      </c>
      <c r="B2892" s="4" t="s">
        <v>298</v>
      </c>
      <c r="C2892" s="4" t="s">
        <v>241</v>
      </c>
      <c r="D2892" s="4"/>
      <c r="E2892" s="4" t="s">
        <v>350</v>
      </c>
      <c r="F2892" s="4">
        <v>995518</v>
      </c>
      <c r="G2892" s="4" t="s">
        <v>350</v>
      </c>
      <c r="H2892" s="4" t="s">
        <v>304</v>
      </c>
      <c r="I2892" s="4">
        <v>3</v>
      </c>
      <c r="J2892" s="21">
        <v>290</v>
      </c>
      <c r="K2892" s="21">
        <v>0</v>
      </c>
      <c r="L2892" s="5">
        <v>870</v>
      </c>
      <c r="M2892" s="4"/>
      <c r="N2892" s="4"/>
      <c r="O2892" s="5"/>
      <c r="P2892" s="5"/>
      <c r="Q2892" s="21">
        <v>0</v>
      </c>
      <c r="R2892" s="21">
        <v>0</v>
      </c>
      <c r="S2892" s="5">
        <f t="shared" si="183"/>
        <v>22866.575120151992</v>
      </c>
      <c r="T2892" cm="1">
        <f t="array" ref="T2892">IF(OR(B2892="MAL ALIMI", B2892="ÜRETİM GİRİŞ"), MIN(I2892, MAX(0, I2892 + SUM(SUMIFS($I$1:I2891, $C$1:C2891, C2892, $B$1:B2891, {"MAL ALIMI","ÜRETİM GİRİŞ"})) - VLOOKUP(C2892, 'STOK RAPORU'!$C$2:$I$1000, 4, 0))), 0)</f>
        <v>0</v>
      </c>
      <c r="U2892" s="22">
        <f t="shared" si="180"/>
        <v>0</v>
      </c>
      <c r="V2892">
        <f t="shared" si="181"/>
        <v>870</v>
      </c>
      <c r="W2892" s="22">
        <f t="shared" si="182"/>
        <v>870</v>
      </c>
    </row>
    <row r="2893" spans="1:23" hidden="1" x14ac:dyDescent="0.25">
      <c r="A2893" s="3">
        <v>46027</v>
      </c>
      <c r="B2893" s="4" t="s">
        <v>298</v>
      </c>
      <c r="C2893" s="4" t="s">
        <v>266</v>
      </c>
      <c r="D2893" s="4"/>
      <c r="E2893" s="4" t="s">
        <v>350</v>
      </c>
      <c r="F2893" s="4">
        <v>995518</v>
      </c>
      <c r="G2893" s="4" t="s">
        <v>350</v>
      </c>
      <c r="H2893" s="4" t="s">
        <v>304</v>
      </c>
      <c r="I2893" s="4">
        <v>5</v>
      </c>
      <c r="J2893" s="21">
        <v>170</v>
      </c>
      <c r="K2893" s="21">
        <v>0</v>
      </c>
      <c r="L2893" s="5">
        <v>850</v>
      </c>
      <c r="M2893" s="4"/>
      <c r="N2893" s="4"/>
      <c r="O2893" s="5"/>
      <c r="P2893" s="5"/>
      <c r="Q2893" s="21">
        <v>0</v>
      </c>
      <c r="R2893" s="21">
        <v>0</v>
      </c>
      <c r="S2893" s="5">
        <f t="shared" si="183"/>
        <v>22866.575120151992</v>
      </c>
      <c r="T2893" cm="1">
        <f t="array" ref="T2893">IF(OR(B2893="MAL ALIMI", B2893="ÜRETİM GİRİŞ"), MIN(I2893, MAX(0, I2893 + SUM(SUMIFS($I$1:I2892, $C$1:C2892, C2893, $B$1:B2892, {"MAL ALIMI","ÜRETİM GİRİŞ"})) - VLOOKUP(C2893, 'STOK RAPORU'!$C$2:$I$1000, 4, 0))), 0)</f>
        <v>0</v>
      </c>
      <c r="U2893" s="22">
        <f t="shared" si="180"/>
        <v>0</v>
      </c>
      <c r="V2893">
        <f t="shared" si="181"/>
        <v>850</v>
      </c>
      <c r="W2893" s="22">
        <f t="shared" si="182"/>
        <v>850</v>
      </c>
    </row>
    <row r="2894" spans="1:23" hidden="1" x14ac:dyDescent="0.25">
      <c r="A2894" s="3">
        <v>46027</v>
      </c>
      <c r="B2894" s="4" t="s">
        <v>334</v>
      </c>
      <c r="C2894" s="4" t="s">
        <v>599</v>
      </c>
      <c r="D2894" s="4"/>
      <c r="E2894" s="4"/>
      <c r="F2894" s="4" t="s">
        <v>1587</v>
      </c>
      <c r="G2894" s="4" t="s">
        <v>336</v>
      </c>
      <c r="H2894" s="4" t="s">
        <v>289</v>
      </c>
      <c r="I2894" s="4">
        <v>1</v>
      </c>
      <c r="J2894" s="21">
        <v>50</v>
      </c>
      <c r="K2894" s="21">
        <v>0</v>
      </c>
      <c r="L2894" s="5">
        <v>0</v>
      </c>
      <c r="M2894" s="4"/>
      <c r="N2894" s="4"/>
      <c r="O2894" s="5"/>
      <c r="P2894" s="5"/>
      <c r="Q2894" s="21">
        <v>50</v>
      </c>
      <c r="R2894" s="21">
        <v>0</v>
      </c>
      <c r="S2894" s="5">
        <f t="shared" si="183"/>
        <v>22916.575120151992</v>
      </c>
      <c r="T2894" cm="1">
        <f t="array" ref="T2894">IF(OR(B2894="MAL ALIMI", B2894="ÜRETİM GİRİŞ"), MIN(I2894, MAX(0, I2894 + SUM(SUMIFS($I$1:I2893, $C$1:C2893, C2894, $B$1:B2893, {"MAL ALIMI","ÜRETİM GİRİŞ"})) - VLOOKUP(C2894, 'STOK RAPORU'!$C$2:$I$1000, 4, 0))), 0)</f>
        <v>0</v>
      </c>
      <c r="U2894" s="22">
        <f t="shared" si="180"/>
        <v>0</v>
      </c>
      <c r="V2894">
        <f t="shared" si="181"/>
        <v>0</v>
      </c>
      <c r="W2894" s="22">
        <f t="shared" si="182"/>
        <v>0</v>
      </c>
    </row>
    <row r="2895" spans="1:23" hidden="1" x14ac:dyDescent="0.25">
      <c r="A2895" s="3">
        <v>46027</v>
      </c>
      <c r="B2895" s="4" t="s">
        <v>334</v>
      </c>
      <c r="C2895" s="4" t="s">
        <v>133</v>
      </c>
      <c r="D2895" s="4"/>
      <c r="E2895" s="4"/>
      <c r="F2895" s="4" t="s">
        <v>1588</v>
      </c>
      <c r="G2895" s="4" t="s">
        <v>336</v>
      </c>
      <c r="H2895" s="4" t="s">
        <v>289</v>
      </c>
      <c r="I2895" s="4">
        <v>0.13157894736842105</v>
      </c>
      <c r="J2895" s="21">
        <v>380</v>
      </c>
      <c r="K2895" s="21">
        <v>0</v>
      </c>
      <c r="L2895" s="5">
        <v>0</v>
      </c>
      <c r="M2895" s="4"/>
      <c r="N2895" s="4"/>
      <c r="O2895" s="5"/>
      <c r="P2895" s="5"/>
      <c r="Q2895" s="21">
        <v>50</v>
      </c>
      <c r="R2895" s="21">
        <v>0</v>
      </c>
      <c r="S2895" s="5">
        <f t="shared" si="183"/>
        <v>22966.575120151992</v>
      </c>
      <c r="T2895" cm="1">
        <f t="array" ref="T2895">IF(OR(B2895="MAL ALIMI", B2895="ÜRETİM GİRİŞ"), MIN(I2895, MAX(0, I2895 + SUM(SUMIFS($I$1:I2894, $C$1:C2894, C2895, $B$1:B2894, {"MAL ALIMI","ÜRETİM GİRİŞ"})) - VLOOKUP(C2895, 'STOK RAPORU'!$C$2:$I$1000, 4, 0))), 0)</f>
        <v>0</v>
      </c>
      <c r="U2895" s="22">
        <f t="shared" si="180"/>
        <v>0</v>
      </c>
      <c r="V2895">
        <f t="shared" si="181"/>
        <v>0</v>
      </c>
      <c r="W2895" s="22">
        <f t="shared" si="182"/>
        <v>0</v>
      </c>
    </row>
    <row r="2896" spans="1:23" hidden="1" x14ac:dyDescent="0.25">
      <c r="A2896" s="3">
        <v>46027</v>
      </c>
      <c r="B2896" s="4" t="s">
        <v>334</v>
      </c>
      <c r="C2896" s="4" t="s">
        <v>597</v>
      </c>
      <c r="D2896" s="4"/>
      <c r="E2896" s="4"/>
      <c r="F2896" s="4" t="s">
        <v>1589</v>
      </c>
      <c r="G2896" s="4" t="s">
        <v>336</v>
      </c>
      <c r="H2896" s="4" t="s">
        <v>289</v>
      </c>
      <c r="I2896" s="4">
        <v>1</v>
      </c>
      <c r="J2896" s="21">
        <v>290</v>
      </c>
      <c r="K2896" s="21">
        <v>0</v>
      </c>
      <c r="L2896" s="5">
        <v>0</v>
      </c>
      <c r="M2896" s="4"/>
      <c r="N2896" s="4"/>
      <c r="O2896" s="5"/>
      <c r="P2896" s="5"/>
      <c r="Q2896" s="21">
        <v>290</v>
      </c>
      <c r="R2896" s="21">
        <v>0</v>
      </c>
      <c r="S2896" s="5">
        <f t="shared" si="183"/>
        <v>23256.575120151992</v>
      </c>
      <c r="T2896" cm="1">
        <f t="array" ref="T2896">IF(OR(B2896="MAL ALIMI", B2896="ÜRETİM GİRİŞ"), MIN(I2896, MAX(0, I2896 + SUM(SUMIFS($I$1:I2895, $C$1:C2895, C2896, $B$1:B2895, {"MAL ALIMI","ÜRETİM GİRİŞ"})) - VLOOKUP(C2896, 'STOK RAPORU'!$C$2:$I$1000, 4, 0))), 0)</f>
        <v>0</v>
      </c>
      <c r="U2896" s="22">
        <f t="shared" si="180"/>
        <v>0</v>
      </c>
      <c r="V2896">
        <f t="shared" si="181"/>
        <v>0</v>
      </c>
      <c r="W2896" s="22">
        <f t="shared" si="182"/>
        <v>0</v>
      </c>
    </row>
    <row r="2897" spans="1:23" hidden="1" x14ac:dyDescent="0.25">
      <c r="A2897" s="3">
        <v>46027</v>
      </c>
      <c r="B2897" s="4" t="s">
        <v>334</v>
      </c>
      <c r="C2897" s="4" t="s">
        <v>160</v>
      </c>
      <c r="D2897" s="4"/>
      <c r="E2897" s="4"/>
      <c r="F2897" s="4" t="s">
        <v>1590</v>
      </c>
      <c r="G2897" s="4" t="s">
        <v>336</v>
      </c>
      <c r="H2897" s="4" t="s">
        <v>289</v>
      </c>
      <c r="I2897" s="4">
        <v>1</v>
      </c>
      <c r="J2897" s="21">
        <v>250</v>
      </c>
      <c r="K2897" s="21">
        <v>0</v>
      </c>
      <c r="L2897" s="5">
        <v>0</v>
      </c>
      <c r="M2897" s="4"/>
      <c r="N2897" s="4"/>
      <c r="O2897" s="5"/>
      <c r="P2897" s="5"/>
      <c r="Q2897" s="21">
        <v>250</v>
      </c>
      <c r="R2897" s="21">
        <v>0</v>
      </c>
      <c r="S2897" s="5">
        <f t="shared" si="183"/>
        <v>23506.575120151992</v>
      </c>
      <c r="T2897" cm="1">
        <f t="array" ref="T2897">IF(OR(B2897="MAL ALIMI", B2897="ÜRETİM GİRİŞ"), MIN(I2897, MAX(0, I2897 + SUM(SUMIFS($I$1:I2896, $C$1:C2896, C2897, $B$1:B2896, {"MAL ALIMI","ÜRETİM GİRİŞ"})) - VLOOKUP(C2897, 'STOK RAPORU'!$C$2:$I$1000, 4, 0))), 0)</f>
        <v>0</v>
      </c>
      <c r="U2897" s="22">
        <f t="shared" si="180"/>
        <v>0</v>
      </c>
      <c r="V2897">
        <f t="shared" si="181"/>
        <v>0</v>
      </c>
      <c r="W2897" s="22">
        <f t="shared" si="182"/>
        <v>0</v>
      </c>
    </row>
    <row r="2898" spans="1:23" hidden="1" x14ac:dyDescent="0.25">
      <c r="A2898" s="3">
        <v>46027</v>
      </c>
      <c r="B2898" s="4" t="s">
        <v>334</v>
      </c>
      <c r="C2898" s="4" t="s">
        <v>1501</v>
      </c>
      <c r="D2898" s="4"/>
      <c r="E2898" s="4"/>
      <c r="F2898" s="4" t="s">
        <v>1591</v>
      </c>
      <c r="G2898" s="4" t="s">
        <v>336</v>
      </c>
      <c r="H2898" s="4" t="s">
        <v>289</v>
      </c>
      <c r="I2898" s="4">
        <v>0.16666666666666666</v>
      </c>
      <c r="J2898" s="21">
        <v>600</v>
      </c>
      <c r="K2898" s="21">
        <v>0</v>
      </c>
      <c r="L2898" s="5">
        <v>0</v>
      </c>
      <c r="M2898" s="4"/>
      <c r="N2898" s="4"/>
      <c r="O2898" s="5"/>
      <c r="P2898" s="5"/>
      <c r="Q2898" s="21">
        <v>100</v>
      </c>
      <c r="R2898" s="21">
        <v>0</v>
      </c>
      <c r="S2898" s="5">
        <f t="shared" si="183"/>
        <v>23606.575120151992</v>
      </c>
      <c r="T2898" cm="1">
        <f t="array" ref="T2898">IF(OR(B2898="MAL ALIMI", B2898="ÜRETİM GİRİŞ"), MIN(I2898, MAX(0, I2898 + SUM(SUMIFS($I$1:I2897, $C$1:C2897, C2898, $B$1:B2897, {"MAL ALIMI","ÜRETİM GİRİŞ"})) - VLOOKUP(C2898, 'STOK RAPORU'!$C$2:$I$1000, 4, 0))), 0)</f>
        <v>0</v>
      </c>
      <c r="U2898" s="22">
        <f t="shared" si="180"/>
        <v>0</v>
      </c>
      <c r="V2898">
        <f t="shared" si="181"/>
        <v>0</v>
      </c>
      <c r="W2898" s="22">
        <f t="shared" si="182"/>
        <v>0</v>
      </c>
    </row>
    <row r="2899" spans="1:23" hidden="1" x14ac:dyDescent="0.25">
      <c r="A2899" s="3">
        <v>46027</v>
      </c>
      <c r="B2899" s="4" t="s">
        <v>334</v>
      </c>
      <c r="C2899" s="4" t="s">
        <v>463</v>
      </c>
      <c r="D2899" s="4"/>
      <c r="E2899" s="4"/>
      <c r="F2899" s="4" t="s">
        <v>1591</v>
      </c>
      <c r="G2899" s="4" t="s">
        <v>336</v>
      </c>
      <c r="H2899" s="4" t="s">
        <v>289</v>
      </c>
      <c r="I2899" s="4">
        <v>0.27027027027027029</v>
      </c>
      <c r="J2899" s="21">
        <v>370</v>
      </c>
      <c r="K2899" s="21">
        <v>0</v>
      </c>
      <c r="L2899" s="5">
        <v>0</v>
      </c>
      <c r="M2899" s="4"/>
      <c r="N2899" s="4"/>
      <c r="O2899" s="5"/>
      <c r="P2899" s="5"/>
      <c r="Q2899" s="21">
        <v>100</v>
      </c>
      <c r="R2899" s="21">
        <v>0</v>
      </c>
      <c r="S2899" s="5">
        <f t="shared" si="183"/>
        <v>23706.575120151992</v>
      </c>
      <c r="T2899" cm="1">
        <f t="array" ref="T2899">IF(OR(B2899="MAL ALIMI", B2899="ÜRETİM GİRİŞ"), MIN(I2899, MAX(0, I2899 + SUM(SUMIFS($I$1:I2898, $C$1:C2898, C2899, $B$1:B2898, {"MAL ALIMI","ÜRETİM GİRİŞ"})) - VLOOKUP(C2899, 'STOK RAPORU'!$C$2:$I$1000, 4, 0))), 0)</f>
        <v>0</v>
      </c>
      <c r="U2899" s="22">
        <f t="shared" si="180"/>
        <v>0</v>
      </c>
      <c r="V2899">
        <f t="shared" si="181"/>
        <v>0</v>
      </c>
      <c r="W2899" s="22">
        <f t="shared" si="182"/>
        <v>0</v>
      </c>
    </row>
    <row r="2900" spans="1:23" hidden="1" x14ac:dyDescent="0.25">
      <c r="A2900" s="3">
        <v>46027</v>
      </c>
      <c r="B2900" s="4" t="s">
        <v>334</v>
      </c>
      <c r="C2900" s="4" t="s">
        <v>131</v>
      </c>
      <c r="D2900" s="4"/>
      <c r="E2900" s="4" t="s">
        <v>921</v>
      </c>
      <c r="F2900" s="4" t="s">
        <v>1592</v>
      </c>
      <c r="G2900" s="4" t="s">
        <v>336</v>
      </c>
      <c r="H2900" s="4" t="s">
        <v>380</v>
      </c>
      <c r="I2900" s="4">
        <v>0.04</v>
      </c>
      <c r="J2900" s="21">
        <v>400</v>
      </c>
      <c r="K2900" s="21">
        <v>16</v>
      </c>
      <c r="L2900" s="5">
        <v>0</v>
      </c>
      <c r="M2900" s="4"/>
      <c r="N2900" s="4"/>
      <c r="O2900" s="5"/>
      <c r="P2900" s="5"/>
      <c r="Q2900" s="21">
        <v>0</v>
      </c>
      <c r="R2900" s="21">
        <v>0</v>
      </c>
      <c r="S2900" s="5">
        <f t="shared" si="183"/>
        <v>23706.575120151992</v>
      </c>
      <c r="T2900" cm="1">
        <f t="array" ref="T2900">IF(OR(B2900="MAL ALIMI", B2900="ÜRETİM GİRİŞ"), MIN(I2900, MAX(0, I2900 + SUM(SUMIFS($I$1:I2899, $C$1:C2899, C2900, $B$1:B2899, {"MAL ALIMI","ÜRETİM GİRİŞ"})) - VLOOKUP(C2900, 'STOK RAPORU'!$C$2:$I$1000, 4, 0))), 0)</f>
        <v>0</v>
      </c>
      <c r="U2900" s="22">
        <f t="shared" si="180"/>
        <v>0</v>
      </c>
      <c r="V2900">
        <f t="shared" si="181"/>
        <v>0</v>
      </c>
      <c r="W2900" s="22">
        <f t="shared" si="182"/>
        <v>0</v>
      </c>
    </row>
    <row r="2901" spans="1:23" hidden="1" x14ac:dyDescent="0.25">
      <c r="A2901" s="3">
        <v>46027</v>
      </c>
      <c r="B2901" s="4" t="s">
        <v>334</v>
      </c>
      <c r="C2901" s="4" t="s">
        <v>126</v>
      </c>
      <c r="D2901" s="4"/>
      <c r="E2901" s="4" t="s">
        <v>921</v>
      </c>
      <c r="F2901" s="4" t="s">
        <v>1592</v>
      </c>
      <c r="G2901" s="4" t="s">
        <v>336</v>
      </c>
      <c r="H2901" s="4" t="s">
        <v>380</v>
      </c>
      <c r="I2901" s="4">
        <v>0.10625</v>
      </c>
      <c r="J2901" s="21">
        <v>640</v>
      </c>
      <c r="K2901" s="21">
        <v>68</v>
      </c>
      <c r="L2901" s="5">
        <v>0</v>
      </c>
      <c r="M2901" s="4"/>
      <c r="N2901" s="4"/>
      <c r="O2901" s="5"/>
      <c r="P2901" s="5"/>
      <c r="Q2901" s="21">
        <v>0</v>
      </c>
      <c r="R2901" s="21">
        <v>0</v>
      </c>
      <c r="S2901" s="5">
        <f t="shared" si="183"/>
        <v>23706.575120151992</v>
      </c>
      <c r="T2901" cm="1">
        <f t="array" ref="T2901">IF(OR(B2901="MAL ALIMI", B2901="ÜRETİM GİRİŞ"), MIN(I2901, MAX(0, I2901 + SUM(SUMIFS($I$1:I2900, $C$1:C2900, C2901, $B$1:B2900, {"MAL ALIMI","ÜRETİM GİRİŞ"})) - VLOOKUP(C2901, 'STOK RAPORU'!$C$2:$I$1000, 4, 0))), 0)</f>
        <v>0</v>
      </c>
      <c r="U2901" s="22">
        <f t="shared" si="180"/>
        <v>0</v>
      </c>
      <c r="V2901">
        <f t="shared" si="181"/>
        <v>0</v>
      </c>
      <c r="W2901" s="22">
        <f t="shared" si="182"/>
        <v>0</v>
      </c>
    </row>
    <row r="2902" spans="1:23" hidden="1" x14ac:dyDescent="0.25">
      <c r="A2902" s="3">
        <v>46027</v>
      </c>
      <c r="B2902" s="4" t="s">
        <v>334</v>
      </c>
      <c r="C2902" s="4" t="s">
        <v>1151</v>
      </c>
      <c r="D2902" s="4"/>
      <c r="E2902" s="4" t="s">
        <v>921</v>
      </c>
      <c r="F2902" s="4" t="s">
        <v>1592</v>
      </c>
      <c r="G2902" s="4" t="s">
        <v>336</v>
      </c>
      <c r="H2902" s="4" t="s">
        <v>380</v>
      </c>
      <c r="I2902" s="4">
        <v>0.15277777777777779</v>
      </c>
      <c r="J2902" s="21">
        <v>360</v>
      </c>
      <c r="K2902" s="21">
        <v>55.000000000000007</v>
      </c>
      <c r="L2902" s="5">
        <v>0</v>
      </c>
      <c r="M2902" s="4"/>
      <c r="N2902" s="4"/>
      <c r="O2902" s="5"/>
      <c r="P2902" s="5"/>
      <c r="Q2902" s="21">
        <v>0</v>
      </c>
      <c r="R2902" s="21">
        <v>0</v>
      </c>
      <c r="S2902" s="5">
        <f t="shared" si="183"/>
        <v>23706.575120151992</v>
      </c>
      <c r="T2902" cm="1">
        <f t="array" ref="T2902">IF(OR(B2902="MAL ALIMI", B2902="ÜRETİM GİRİŞ"), MIN(I2902, MAX(0, I2902 + SUM(SUMIFS($I$1:I2901, $C$1:C2901, C2902, $B$1:B2901, {"MAL ALIMI","ÜRETİM GİRİŞ"})) - VLOOKUP(C2902, 'STOK RAPORU'!$C$2:$I$1000, 4, 0))), 0)</f>
        <v>0</v>
      </c>
      <c r="U2902" s="22">
        <f t="shared" si="180"/>
        <v>0</v>
      </c>
      <c r="V2902">
        <f t="shared" si="181"/>
        <v>0</v>
      </c>
      <c r="W2902" s="22">
        <f t="shared" si="182"/>
        <v>0</v>
      </c>
    </row>
    <row r="2903" spans="1:23" hidden="1" x14ac:dyDescent="0.25">
      <c r="A2903" s="3">
        <v>46027</v>
      </c>
      <c r="B2903" s="4" t="s">
        <v>334</v>
      </c>
      <c r="C2903" s="4" t="s">
        <v>152</v>
      </c>
      <c r="D2903" s="4"/>
      <c r="E2903" s="4" t="s">
        <v>921</v>
      </c>
      <c r="F2903" s="4" t="s">
        <v>1592</v>
      </c>
      <c r="G2903" s="4" t="s">
        <v>336</v>
      </c>
      <c r="H2903" s="4" t="s">
        <v>380</v>
      </c>
      <c r="I2903" s="4">
        <v>0.2</v>
      </c>
      <c r="J2903" s="21">
        <v>400</v>
      </c>
      <c r="K2903" s="21">
        <v>80</v>
      </c>
      <c r="L2903" s="5">
        <v>0</v>
      </c>
      <c r="M2903" s="4"/>
      <c r="N2903" s="4"/>
      <c r="O2903" s="5"/>
      <c r="P2903" s="5"/>
      <c r="Q2903" s="21">
        <v>0</v>
      </c>
      <c r="R2903" s="21">
        <v>0</v>
      </c>
      <c r="S2903" s="5">
        <f t="shared" si="183"/>
        <v>23706.575120151992</v>
      </c>
      <c r="T2903" cm="1">
        <f t="array" ref="T2903">IF(OR(B2903="MAL ALIMI", B2903="ÜRETİM GİRİŞ"), MIN(I2903, MAX(0, I2903 + SUM(SUMIFS($I$1:I2902, $C$1:C2902, C2903, $B$1:B2902, {"MAL ALIMI","ÜRETİM GİRİŞ"})) - VLOOKUP(C2903, 'STOK RAPORU'!$C$2:$I$1000, 4, 0))), 0)</f>
        <v>0</v>
      </c>
      <c r="U2903" s="22">
        <f t="shared" si="180"/>
        <v>0</v>
      </c>
      <c r="V2903">
        <f t="shared" si="181"/>
        <v>0</v>
      </c>
      <c r="W2903" s="22">
        <f t="shared" si="182"/>
        <v>0</v>
      </c>
    </row>
    <row r="2904" spans="1:23" hidden="1" x14ac:dyDescent="0.25">
      <c r="A2904" s="3">
        <v>46027</v>
      </c>
      <c r="B2904" s="4" t="s">
        <v>334</v>
      </c>
      <c r="C2904" s="4" t="s">
        <v>225</v>
      </c>
      <c r="D2904" s="4"/>
      <c r="E2904" s="4" t="s">
        <v>921</v>
      </c>
      <c r="F2904" s="4" t="s">
        <v>1593</v>
      </c>
      <c r="G2904" s="4" t="s">
        <v>336</v>
      </c>
      <c r="H2904" s="4" t="s">
        <v>380</v>
      </c>
      <c r="I2904" s="4">
        <v>0.36666666666666664</v>
      </c>
      <c r="J2904" s="21">
        <v>750</v>
      </c>
      <c r="K2904" s="21">
        <v>275</v>
      </c>
      <c r="L2904" s="5">
        <v>0</v>
      </c>
      <c r="M2904" s="4"/>
      <c r="N2904" s="4"/>
      <c r="O2904" s="5"/>
      <c r="P2904" s="5"/>
      <c r="Q2904" s="21">
        <v>0</v>
      </c>
      <c r="R2904" s="21">
        <v>0</v>
      </c>
      <c r="S2904" s="5">
        <f t="shared" si="183"/>
        <v>23706.575120151992</v>
      </c>
      <c r="T2904" cm="1">
        <f t="array" ref="T2904">IF(OR(B2904="MAL ALIMI", B2904="ÜRETİM GİRİŞ"), MIN(I2904, MAX(0, I2904 + SUM(SUMIFS($I$1:I2903, $C$1:C2903, C2904, $B$1:B2903, {"MAL ALIMI","ÜRETİM GİRİŞ"})) - VLOOKUP(C2904, 'STOK RAPORU'!$C$2:$I$1000, 4, 0))), 0)</f>
        <v>0</v>
      </c>
      <c r="U2904" s="22">
        <f t="shared" si="180"/>
        <v>0</v>
      </c>
      <c r="V2904">
        <f t="shared" si="181"/>
        <v>0</v>
      </c>
      <c r="W2904" s="22">
        <f t="shared" si="182"/>
        <v>0</v>
      </c>
    </row>
    <row r="2905" spans="1:23" hidden="1" x14ac:dyDescent="0.25">
      <c r="A2905" s="3">
        <v>46027</v>
      </c>
      <c r="B2905" s="4" t="s">
        <v>334</v>
      </c>
      <c r="C2905" s="4" t="s">
        <v>1359</v>
      </c>
      <c r="D2905" s="4"/>
      <c r="E2905" s="4" t="s">
        <v>921</v>
      </c>
      <c r="F2905" s="4" t="s">
        <v>1594</v>
      </c>
      <c r="G2905" s="4" t="s">
        <v>336</v>
      </c>
      <c r="H2905" s="4" t="s">
        <v>380</v>
      </c>
      <c r="I2905" s="4">
        <v>0.22222222222222221</v>
      </c>
      <c r="J2905" s="21">
        <v>450</v>
      </c>
      <c r="K2905" s="21">
        <v>100</v>
      </c>
      <c r="L2905" s="5">
        <v>0</v>
      </c>
      <c r="M2905" s="4"/>
      <c r="N2905" s="4"/>
      <c r="O2905" s="5"/>
      <c r="P2905" s="5"/>
      <c r="Q2905" s="21">
        <v>0</v>
      </c>
      <c r="R2905" s="21">
        <v>0</v>
      </c>
      <c r="S2905" s="5">
        <f t="shared" si="183"/>
        <v>23706.575120151992</v>
      </c>
      <c r="T2905" cm="1">
        <f t="array" ref="T2905">IF(OR(B2905="MAL ALIMI", B2905="ÜRETİM GİRİŞ"), MIN(I2905, MAX(0, I2905 + SUM(SUMIFS($I$1:I2904, $C$1:C2904, C2905, $B$1:B2904, {"MAL ALIMI","ÜRETİM GİRİŞ"})) - VLOOKUP(C2905, 'STOK RAPORU'!$C$2:$I$1000, 4, 0))), 0)</f>
        <v>0</v>
      </c>
      <c r="U2905" s="22">
        <f t="shared" si="180"/>
        <v>0</v>
      </c>
      <c r="V2905">
        <f t="shared" si="181"/>
        <v>0</v>
      </c>
      <c r="W2905" s="22">
        <f t="shared" si="182"/>
        <v>0</v>
      </c>
    </row>
    <row r="2906" spans="1:23" hidden="1" x14ac:dyDescent="0.25">
      <c r="A2906" s="3">
        <v>46027</v>
      </c>
      <c r="B2906" s="4" t="s">
        <v>334</v>
      </c>
      <c r="C2906" s="4" t="s">
        <v>223</v>
      </c>
      <c r="D2906" s="4"/>
      <c r="E2906" s="4" t="s">
        <v>921</v>
      </c>
      <c r="F2906" s="4" t="s">
        <v>1594</v>
      </c>
      <c r="G2906" s="4" t="s">
        <v>336</v>
      </c>
      <c r="H2906" s="4" t="s">
        <v>380</v>
      </c>
      <c r="I2906" s="4">
        <v>0.34749999999999998</v>
      </c>
      <c r="J2906" s="21">
        <v>800</v>
      </c>
      <c r="K2906" s="21">
        <v>278</v>
      </c>
      <c r="L2906" s="5">
        <v>0</v>
      </c>
      <c r="M2906" s="4"/>
      <c r="N2906" s="4"/>
      <c r="O2906" s="5"/>
      <c r="P2906" s="5"/>
      <c r="Q2906" s="21">
        <v>0</v>
      </c>
      <c r="R2906" s="21">
        <v>0</v>
      </c>
      <c r="S2906" s="5">
        <f t="shared" si="183"/>
        <v>23706.575120151992</v>
      </c>
      <c r="T2906" cm="1">
        <f t="array" ref="T2906">IF(OR(B2906="MAL ALIMI", B2906="ÜRETİM GİRİŞ"), MIN(I2906, MAX(0, I2906 + SUM(SUMIFS($I$1:I2905, $C$1:C2905, C2906, $B$1:B2905, {"MAL ALIMI","ÜRETİM GİRİŞ"})) - VLOOKUP(C2906, 'STOK RAPORU'!$C$2:$I$1000, 4, 0))), 0)</f>
        <v>0</v>
      </c>
      <c r="U2906" s="22">
        <f t="shared" si="180"/>
        <v>0</v>
      </c>
      <c r="V2906">
        <f t="shared" si="181"/>
        <v>0</v>
      </c>
      <c r="W2906" s="22">
        <f t="shared" si="182"/>
        <v>0</v>
      </c>
    </row>
    <row r="2907" spans="1:23" hidden="1" x14ac:dyDescent="0.25">
      <c r="A2907" s="3">
        <v>46027</v>
      </c>
      <c r="B2907" s="4" t="s">
        <v>334</v>
      </c>
      <c r="C2907" s="4" t="s">
        <v>829</v>
      </c>
      <c r="D2907" s="4"/>
      <c r="E2907" s="4" t="s">
        <v>921</v>
      </c>
      <c r="F2907" s="4" t="s">
        <v>1594</v>
      </c>
      <c r="G2907" s="4" t="s">
        <v>336</v>
      </c>
      <c r="H2907" s="4" t="s">
        <v>380</v>
      </c>
      <c r="I2907" s="4">
        <v>1</v>
      </c>
      <c r="J2907" s="21">
        <v>145</v>
      </c>
      <c r="K2907" s="21">
        <v>145</v>
      </c>
      <c r="L2907" s="5">
        <v>0</v>
      </c>
      <c r="M2907" s="4"/>
      <c r="N2907" s="4"/>
      <c r="O2907" s="5"/>
      <c r="P2907" s="5"/>
      <c r="Q2907" s="21">
        <v>0</v>
      </c>
      <c r="R2907" s="21">
        <v>0</v>
      </c>
      <c r="S2907" s="5">
        <f t="shared" si="183"/>
        <v>23706.575120151992</v>
      </c>
      <c r="T2907" cm="1">
        <f t="array" ref="T2907">IF(OR(B2907="MAL ALIMI", B2907="ÜRETİM GİRİŞ"), MIN(I2907, MAX(0, I2907 + SUM(SUMIFS($I$1:I2906, $C$1:C2906, C2907, $B$1:B2906, {"MAL ALIMI","ÜRETİM GİRİŞ"})) - VLOOKUP(C2907, 'STOK RAPORU'!$C$2:$I$1000, 4, 0))), 0)</f>
        <v>0</v>
      </c>
      <c r="U2907" s="22">
        <f t="shared" si="180"/>
        <v>0</v>
      </c>
      <c r="V2907">
        <f t="shared" si="181"/>
        <v>0</v>
      </c>
      <c r="W2907" s="22">
        <f t="shared" si="182"/>
        <v>0</v>
      </c>
    </row>
    <row r="2908" spans="1:23" hidden="1" x14ac:dyDescent="0.25">
      <c r="A2908" s="3">
        <v>46027</v>
      </c>
      <c r="B2908" s="4" t="s">
        <v>334</v>
      </c>
      <c r="C2908" s="4" t="s">
        <v>843</v>
      </c>
      <c r="D2908" s="4"/>
      <c r="E2908" s="4" t="s">
        <v>921</v>
      </c>
      <c r="F2908" s="4" t="s">
        <v>1595</v>
      </c>
      <c r="G2908" s="4" t="s">
        <v>336</v>
      </c>
      <c r="H2908" s="4" t="s">
        <v>380</v>
      </c>
      <c r="I2908" s="4">
        <v>0.1</v>
      </c>
      <c r="J2908" s="21">
        <v>900</v>
      </c>
      <c r="K2908" s="21">
        <v>90</v>
      </c>
      <c r="L2908" s="5">
        <v>0</v>
      </c>
      <c r="M2908" s="4"/>
      <c r="N2908" s="4"/>
      <c r="O2908" s="5"/>
      <c r="P2908" s="5"/>
      <c r="Q2908" s="21">
        <v>0</v>
      </c>
      <c r="R2908" s="21">
        <v>0</v>
      </c>
      <c r="S2908" s="5">
        <f t="shared" si="183"/>
        <v>23706.575120151992</v>
      </c>
      <c r="T2908" cm="1">
        <f t="array" ref="T2908">IF(OR(B2908="MAL ALIMI", B2908="ÜRETİM GİRİŞ"), MIN(I2908, MAX(0, I2908 + SUM(SUMIFS($I$1:I2907, $C$1:C2907, C2908, $B$1:B2907, {"MAL ALIMI","ÜRETİM GİRİŞ"})) - VLOOKUP(C2908, 'STOK RAPORU'!$C$2:$I$1000, 4, 0))), 0)</f>
        <v>0</v>
      </c>
      <c r="U2908" s="22">
        <f t="shared" si="180"/>
        <v>0</v>
      </c>
      <c r="V2908">
        <f t="shared" si="181"/>
        <v>0</v>
      </c>
      <c r="W2908" s="22">
        <f t="shared" si="182"/>
        <v>0</v>
      </c>
    </row>
    <row r="2909" spans="1:23" hidden="1" x14ac:dyDescent="0.25">
      <c r="A2909" s="3">
        <v>46027</v>
      </c>
      <c r="B2909" s="4" t="s">
        <v>334</v>
      </c>
      <c r="C2909" s="4" t="s">
        <v>141</v>
      </c>
      <c r="D2909" s="4"/>
      <c r="E2909" s="4"/>
      <c r="F2909" s="4" t="s">
        <v>1596</v>
      </c>
      <c r="G2909" s="4" t="s">
        <v>336</v>
      </c>
      <c r="H2909" s="4" t="s">
        <v>289</v>
      </c>
      <c r="I2909" s="4">
        <v>0.2857142857142857</v>
      </c>
      <c r="J2909" s="21">
        <v>140</v>
      </c>
      <c r="K2909" s="21">
        <v>0</v>
      </c>
      <c r="L2909" s="5">
        <v>0</v>
      </c>
      <c r="M2909" s="4"/>
      <c r="N2909" s="4"/>
      <c r="O2909" s="5"/>
      <c r="P2909" s="5"/>
      <c r="Q2909" s="21">
        <v>40</v>
      </c>
      <c r="R2909" s="21">
        <v>0</v>
      </c>
      <c r="S2909" s="5">
        <f t="shared" si="183"/>
        <v>23746.575120151992</v>
      </c>
      <c r="T2909" cm="1">
        <f t="array" ref="T2909">IF(OR(B2909="MAL ALIMI", B2909="ÜRETİM GİRİŞ"), MIN(I2909, MAX(0, I2909 + SUM(SUMIFS($I$1:I2908, $C$1:C2908, C2909, $B$1:B2908, {"MAL ALIMI","ÜRETİM GİRİŞ"})) - VLOOKUP(C2909, 'STOK RAPORU'!$C$2:$I$1000, 4, 0))), 0)</f>
        <v>0</v>
      </c>
      <c r="U2909" s="22">
        <f t="shared" si="180"/>
        <v>0</v>
      </c>
      <c r="V2909">
        <f t="shared" si="181"/>
        <v>0</v>
      </c>
      <c r="W2909" s="22">
        <f t="shared" si="182"/>
        <v>0</v>
      </c>
    </row>
    <row r="2910" spans="1:23" hidden="1" x14ac:dyDescent="0.25">
      <c r="A2910" s="3">
        <v>46027</v>
      </c>
      <c r="B2910" s="4" t="s">
        <v>334</v>
      </c>
      <c r="C2910" s="4" t="s">
        <v>523</v>
      </c>
      <c r="D2910" s="4"/>
      <c r="E2910" s="4"/>
      <c r="F2910" s="4" t="s">
        <v>1597</v>
      </c>
      <c r="G2910" s="4" t="s">
        <v>336</v>
      </c>
      <c r="H2910" s="4" t="s">
        <v>289</v>
      </c>
      <c r="I2910" s="4">
        <v>0.1</v>
      </c>
      <c r="J2910" s="21">
        <v>650</v>
      </c>
      <c r="K2910" s="21">
        <v>0</v>
      </c>
      <c r="L2910" s="5">
        <v>0</v>
      </c>
      <c r="M2910" s="4"/>
      <c r="N2910" s="4"/>
      <c r="O2910" s="5"/>
      <c r="P2910" s="5"/>
      <c r="Q2910" s="21">
        <v>65</v>
      </c>
      <c r="R2910" s="21">
        <v>0</v>
      </c>
      <c r="S2910" s="5">
        <f t="shared" si="183"/>
        <v>23811.575120151992</v>
      </c>
      <c r="T2910" cm="1">
        <f t="array" ref="T2910">IF(OR(B2910="MAL ALIMI", B2910="ÜRETİM GİRİŞ"), MIN(I2910, MAX(0, I2910 + SUM(SUMIFS($I$1:I2909, $C$1:C2909, C2910, $B$1:B2909, {"MAL ALIMI","ÜRETİM GİRİŞ"})) - VLOOKUP(C2910, 'STOK RAPORU'!$C$2:$I$1000, 4, 0))), 0)</f>
        <v>0</v>
      </c>
      <c r="U2910" s="22">
        <f t="shared" si="180"/>
        <v>0</v>
      </c>
      <c r="V2910">
        <f t="shared" si="181"/>
        <v>0</v>
      </c>
      <c r="W2910" s="22">
        <f t="shared" si="182"/>
        <v>0</v>
      </c>
    </row>
    <row r="2911" spans="1:23" hidden="1" x14ac:dyDescent="0.25">
      <c r="A2911" s="3">
        <v>46027</v>
      </c>
      <c r="B2911" s="4" t="s">
        <v>334</v>
      </c>
      <c r="C2911" s="4" t="s">
        <v>209</v>
      </c>
      <c r="D2911" s="4"/>
      <c r="E2911" s="4"/>
      <c r="F2911" s="4" t="s">
        <v>1598</v>
      </c>
      <c r="G2911" s="4" t="s">
        <v>336</v>
      </c>
      <c r="H2911" s="4" t="s">
        <v>289</v>
      </c>
      <c r="I2911" s="4">
        <v>0.05</v>
      </c>
      <c r="J2911" s="21">
        <v>2600</v>
      </c>
      <c r="K2911" s="21">
        <v>0</v>
      </c>
      <c r="L2911" s="5">
        <v>0</v>
      </c>
      <c r="M2911" s="4"/>
      <c r="N2911" s="4"/>
      <c r="O2911" s="5"/>
      <c r="P2911" s="5"/>
      <c r="Q2911" s="21">
        <v>130</v>
      </c>
      <c r="R2911" s="21">
        <v>0</v>
      </c>
      <c r="S2911" s="5">
        <f t="shared" si="183"/>
        <v>23941.575120151992</v>
      </c>
      <c r="T2911" cm="1">
        <f t="array" ref="T2911">IF(OR(B2911="MAL ALIMI", B2911="ÜRETİM GİRİŞ"), MIN(I2911, MAX(0, I2911 + SUM(SUMIFS($I$1:I2910, $C$1:C2910, C2911, $B$1:B2910, {"MAL ALIMI","ÜRETİM GİRİŞ"})) - VLOOKUP(C2911, 'STOK RAPORU'!$C$2:$I$1000, 4, 0))), 0)</f>
        <v>0</v>
      </c>
      <c r="U2911" s="22">
        <f t="shared" si="180"/>
        <v>0</v>
      </c>
      <c r="V2911">
        <f t="shared" si="181"/>
        <v>0</v>
      </c>
      <c r="W2911" s="22">
        <f t="shared" si="182"/>
        <v>0</v>
      </c>
    </row>
    <row r="2912" spans="1:23" hidden="1" x14ac:dyDescent="0.25">
      <c r="A2912" s="3">
        <v>46027</v>
      </c>
      <c r="B2912" s="4" t="s">
        <v>334</v>
      </c>
      <c r="C2912" s="4" t="s">
        <v>265</v>
      </c>
      <c r="D2912" s="4"/>
      <c r="E2912" s="4"/>
      <c r="F2912" s="4" t="s">
        <v>1598</v>
      </c>
      <c r="G2912" s="4" t="s">
        <v>336</v>
      </c>
      <c r="H2912" s="4" t="s">
        <v>289</v>
      </c>
      <c r="I2912" s="4">
        <v>1</v>
      </c>
      <c r="J2912" s="21">
        <v>130</v>
      </c>
      <c r="K2912" s="21">
        <v>0</v>
      </c>
      <c r="L2912" s="5">
        <v>0</v>
      </c>
      <c r="M2912" s="4"/>
      <c r="N2912" s="4"/>
      <c r="O2912" s="5"/>
      <c r="P2912" s="5"/>
      <c r="Q2912" s="21">
        <v>130</v>
      </c>
      <c r="R2912" s="21">
        <v>0</v>
      </c>
      <c r="S2912" s="5">
        <f t="shared" si="183"/>
        <v>24071.575120151992</v>
      </c>
      <c r="T2912" cm="1">
        <f t="array" ref="T2912">IF(OR(B2912="MAL ALIMI", B2912="ÜRETİM GİRİŞ"), MIN(I2912, MAX(0, I2912 + SUM(SUMIFS($I$1:I2911, $C$1:C2911, C2912, $B$1:B2911, {"MAL ALIMI","ÜRETİM GİRİŞ"})) - VLOOKUP(C2912, 'STOK RAPORU'!$C$2:$I$1000, 4, 0))), 0)</f>
        <v>0</v>
      </c>
      <c r="U2912" s="22">
        <f t="shared" si="180"/>
        <v>0</v>
      </c>
      <c r="V2912">
        <f t="shared" si="181"/>
        <v>0</v>
      </c>
      <c r="W2912" s="22">
        <f t="shared" si="182"/>
        <v>0</v>
      </c>
    </row>
    <row r="2913" spans="1:23" hidden="1" x14ac:dyDescent="0.25">
      <c r="A2913" s="3">
        <v>46027</v>
      </c>
      <c r="B2913" s="4" t="s">
        <v>334</v>
      </c>
      <c r="C2913" s="4" t="s">
        <v>1501</v>
      </c>
      <c r="D2913" s="4"/>
      <c r="E2913" s="4"/>
      <c r="F2913" s="4" t="s">
        <v>1599</v>
      </c>
      <c r="G2913" s="4" t="s">
        <v>1603</v>
      </c>
      <c r="H2913" s="4" t="s">
        <v>289</v>
      </c>
      <c r="I2913" s="4">
        <v>1</v>
      </c>
      <c r="J2913" s="21">
        <v>600</v>
      </c>
      <c r="K2913" s="21">
        <v>0</v>
      </c>
      <c r="L2913" s="5">
        <v>0</v>
      </c>
      <c r="M2913" s="4"/>
      <c r="N2913" s="4"/>
      <c r="O2913" s="5"/>
      <c r="P2913" s="5"/>
      <c r="Q2913" s="21">
        <v>600</v>
      </c>
      <c r="R2913" s="21">
        <v>0</v>
      </c>
      <c r="S2913" s="5">
        <f t="shared" si="183"/>
        <v>24671.575120151992</v>
      </c>
      <c r="T2913" cm="1">
        <f t="array" ref="T2913">IF(OR(B2913="MAL ALIMI", B2913="ÜRETİM GİRİŞ"), MIN(I2913, MAX(0, I2913 + SUM(SUMIFS($I$1:I2912, $C$1:C2912, C2913, $B$1:B2912, {"MAL ALIMI","ÜRETİM GİRİŞ"})) - VLOOKUP(C2913, 'STOK RAPORU'!$C$2:$I$1000, 4, 0))), 0)</f>
        <v>0</v>
      </c>
      <c r="U2913" s="22">
        <f t="shared" si="180"/>
        <v>0</v>
      </c>
      <c r="V2913">
        <f t="shared" si="181"/>
        <v>0</v>
      </c>
      <c r="W2913" s="22">
        <f t="shared" si="182"/>
        <v>0</v>
      </c>
    </row>
    <row r="2914" spans="1:23" hidden="1" x14ac:dyDescent="0.25">
      <c r="A2914" s="3">
        <v>46027</v>
      </c>
      <c r="B2914" s="4" t="s">
        <v>334</v>
      </c>
      <c r="C2914" s="4" t="s">
        <v>92</v>
      </c>
      <c r="D2914" s="4"/>
      <c r="E2914" s="4"/>
      <c r="F2914" s="4" t="s">
        <v>1599</v>
      </c>
      <c r="G2914" s="4" t="s">
        <v>1603</v>
      </c>
      <c r="H2914" s="4" t="s">
        <v>289</v>
      </c>
      <c r="I2914" s="4">
        <v>0.2</v>
      </c>
      <c r="J2914" s="21">
        <v>500</v>
      </c>
      <c r="K2914" s="21">
        <v>0</v>
      </c>
      <c r="L2914" s="5">
        <v>0</v>
      </c>
      <c r="M2914" s="4"/>
      <c r="N2914" s="4"/>
      <c r="O2914" s="5"/>
      <c r="P2914" s="5"/>
      <c r="Q2914" s="21">
        <v>100</v>
      </c>
      <c r="R2914" s="21">
        <v>0</v>
      </c>
      <c r="S2914" s="5">
        <f t="shared" si="183"/>
        <v>24771.575120151992</v>
      </c>
      <c r="T2914" cm="1">
        <f t="array" ref="T2914">IF(OR(B2914="MAL ALIMI", B2914="ÜRETİM GİRİŞ"), MIN(I2914, MAX(0, I2914 + SUM(SUMIFS($I$1:I2913, $C$1:C2913, C2914, $B$1:B2913, {"MAL ALIMI","ÜRETİM GİRİŞ"})) - VLOOKUP(C2914, 'STOK RAPORU'!$C$2:$I$1000, 4, 0))), 0)</f>
        <v>0</v>
      </c>
      <c r="U2914" s="22">
        <f t="shared" si="180"/>
        <v>0</v>
      </c>
      <c r="V2914">
        <f t="shared" si="181"/>
        <v>0</v>
      </c>
      <c r="W2914" s="22">
        <f t="shared" si="182"/>
        <v>0</v>
      </c>
    </row>
    <row r="2915" spans="1:23" hidden="1" x14ac:dyDescent="0.25">
      <c r="A2915" s="3">
        <v>46027</v>
      </c>
      <c r="B2915" s="4" t="s">
        <v>334</v>
      </c>
      <c r="C2915" s="4" t="s">
        <v>1150</v>
      </c>
      <c r="D2915" s="4"/>
      <c r="E2915" s="4"/>
      <c r="F2915" s="4" t="s">
        <v>1599</v>
      </c>
      <c r="G2915" s="4" t="s">
        <v>1603</v>
      </c>
      <c r="H2915" s="4" t="s">
        <v>289</v>
      </c>
      <c r="I2915" s="4">
        <v>0.186</v>
      </c>
      <c r="J2915" s="21">
        <v>540</v>
      </c>
      <c r="K2915" s="21">
        <v>0</v>
      </c>
      <c r="L2915" s="5">
        <v>0</v>
      </c>
      <c r="M2915" s="4"/>
      <c r="N2915" s="4"/>
      <c r="O2915" s="5"/>
      <c r="P2915" s="5"/>
      <c r="Q2915" s="21">
        <v>100.44</v>
      </c>
      <c r="R2915" s="21">
        <v>0</v>
      </c>
      <c r="S2915" s="5">
        <f t="shared" si="183"/>
        <v>24872.015120151991</v>
      </c>
      <c r="T2915" cm="1">
        <f t="array" ref="T2915">IF(OR(B2915="MAL ALIMI", B2915="ÜRETİM GİRİŞ"), MIN(I2915, MAX(0, I2915 + SUM(SUMIFS($I$1:I2914, $C$1:C2914, C2915, $B$1:B2914, {"MAL ALIMI","ÜRETİM GİRİŞ"})) - VLOOKUP(C2915, 'STOK RAPORU'!$C$2:$I$1000, 4, 0))), 0)</f>
        <v>0</v>
      </c>
      <c r="U2915" s="22">
        <f t="shared" si="180"/>
        <v>0</v>
      </c>
      <c r="V2915">
        <f t="shared" si="181"/>
        <v>0</v>
      </c>
      <c r="W2915" s="22">
        <f t="shared" si="182"/>
        <v>0</v>
      </c>
    </row>
    <row r="2916" spans="1:23" hidden="1" x14ac:dyDescent="0.25">
      <c r="A2916" s="45">
        <v>46027</v>
      </c>
      <c r="B2916" s="46" t="s">
        <v>334</v>
      </c>
      <c r="C2916" s="46" t="s">
        <v>1501</v>
      </c>
      <c r="D2916" s="46"/>
      <c r="E2916" s="46"/>
      <c r="F2916" s="46" t="s">
        <v>1600</v>
      </c>
      <c r="G2916" s="46" t="s">
        <v>1604</v>
      </c>
      <c r="H2916" s="46" t="s">
        <v>289</v>
      </c>
      <c r="I2916" s="46">
        <v>1</v>
      </c>
      <c r="J2916" s="47">
        <v>600</v>
      </c>
      <c r="K2916" s="47">
        <v>0</v>
      </c>
      <c r="L2916" s="48">
        <v>0</v>
      </c>
      <c r="M2916" s="46"/>
      <c r="N2916" s="46"/>
      <c r="O2916" s="48"/>
      <c r="P2916" s="48"/>
      <c r="Q2916" s="47">
        <v>600</v>
      </c>
      <c r="R2916" s="47">
        <v>0</v>
      </c>
      <c r="S2916" s="5">
        <f t="shared" si="183"/>
        <v>25472.015120151991</v>
      </c>
      <c r="T2916" cm="1">
        <f t="array" ref="T2916">IF(OR(B2916="MAL ALIMI", B2916="ÜRETİM GİRİŞ"), MIN(I2916, MAX(0, I2916 + SUM(SUMIFS($I$1:I2915, $C$1:C2915, C2916, $B$1:B2915, {"MAL ALIMI","ÜRETİM GİRİŞ"})) - VLOOKUP(C2916, 'STOK RAPORU'!$C$2:$I$1000, 4, 0))), 0)</f>
        <v>0</v>
      </c>
      <c r="U2916" s="22">
        <f t="shared" si="180"/>
        <v>0</v>
      </c>
      <c r="V2916">
        <f t="shared" si="181"/>
        <v>0</v>
      </c>
      <c r="W2916" s="22">
        <f t="shared" si="182"/>
        <v>0</v>
      </c>
    </row>
    <row r="2917" spans="1:23" hidden="1" x14ac:dyDescent="0.25">
      <c r="A2917" s="45">
        <v>46027</v>
      </c>
      <c r="B2917" s="46" t="s">
        <v>334</v>
      </c>
      <c r="C2917" s="46" t="s">
        <v>1041</v>
      </c>
      <c r="D2917" s="46"/>
      <c r="E2917" s="46"/>
      <c r="F2917" s="46" t="s">
        <v>1600</v>
      </c>
      <c r="G2917" s="46" t="s">
        <v>1604</v>
      </c>
      <c r="H2917" s="46" t="s">
        <v>289</v>
      </c>
      <c r="I2917" s="46">
        <v>2</v>
      </c>
      <c r="J2917" s="47">
        <v>250</v>
      </c>
      <c r="K2917" s="47">
        <v>0</v>
      </c>
      <c r="L2917" s="48">
        <v>0</v>
      </c>
      <c r="M2917" s="46"/>
      <c r="N2917" s="46"/>
      <c r="O2917" s="48"/>
      <c r="P2917" s="48"/>
      <c r="Q2917" s="47">
        <v>500</v>
      </c>
      <c r="R2917" s="47">
        <v>0</v>
      </c>
      <c r="S2917" s="5">
        <f t="shared" si="183"/>
        <v>25972.015120151991</v>
      </c>
      <c r="T2917" cm="1">
        <f t="array" ref="T2917">IF(OR(B2917="MAL ALIMI", B2917="ÜRETİM GİRİŞ"), MIN(I2917, MAX(0, I2917 + SUM(SUMIFS($I$1:I2916, $C$1:C2916, C2917, $B$1:B2916, {"MAL ALIMI","ÜRETİM GİRİŞ"})) - VLOOKUP(C2917, 'STOK RAPORU'!$C$2:$I$1000, 4, 0))), 0)</f>
        <v>0</v>
      </c>
      <c r="U2917" s="22">
        <f t="shared" si="180"/>
        <v>0</v>
      </c>
      <c r="V2917">
        <f t="shared" si="181"/>
        <v>0</v>
      </c>
      <c r="W2917" s="22">
        <f t="shared" si="182"/>
        <v>0</v>
      </c>
    </row>
    <row r="2918" spans="1:23" hidden="1" x14ac:dyDescent="0.25">
      <c r="A2918" s="3">
        <v>46027</v>
      </c>
      <c r="B2918" s="4" t="s">
        <v>334</v>
      </c>
      <c r="C2918" s="4" t="s">
        <v>1041</v>
      </c>
      <c r="D2918" s="4"/>
      <c r="E2918" s="4"/>
      <c r="F2918" s="4" t="s">
        <v>1601</v>
      </c>
      <c r="G2918" s="4" t="s">
        <v>1606</v>
      </c>
      <c r="H2918" s="4" t="s">
        <v>289</v>
      </c>
      <c r="I2918" s="4">
        <v>2</v>
      </c>
      <c r="J2918" s="21">
        <v>250</v>
      </c>
      <c r="K2918" s="21">
        <v>0</v>
      </c>
      <c r="L2918" s="5">
        <v>0</v>
      </c>
      <c r="M2918" s="4"/>
      <c r="N2918" s="4"/>
      <c r="O2918" s="5"/>
      <c r="P2918" s="5"/>
      <c r="Q2918" s="21">
        <v>500</v>
      </c>
      <c r="R2918" s="43">
        <v>0</v>
      </c>
      <c r="S2918" s="5">
        <f t="shared" si="183"/>
        <v>26472.015120151991</v>
      </c>
      <c r="T2918" cm="1">
        <f t="array" ref="T2918">IF(OR(B2918="MAL ALIMI", B2918="ÜRETİM GİRİŞ"), MIN(I2918, MAX(0, I2918 + SUM(SUMIFS($I$1:I2917, $C$1:C2917, C2918, $B$1:B2917, {"MAL ALIMI","ÜRETİM GİRİŞ"})) - VLOOKUP(C2918, 'STOK RAPORU'!$C$2:$I$1000, 4, 0))), 0)</f>
        <v>0</v>
      </c>
      <c r="U2918" s="22">
        <f t="shared" si="180"/>
        <v>0</v>
      </c>
      <c r="V2918">
        <f t="shared" si="181"/>
        <v>0</v>
      </c>
      <c r="W2918" s="22">
        <f t="shared" si="182"/>
        <v>0</v>
      </c>
    </row>
    <row r="2919" spans="1:23" hidden="1" x14ac:dyDescent="0.25">
      <c r="A2919" s="3">
        <v>46027</v>
      </c>
      <c r="B2919" s="4" t="s">
        <v>334</v>
      </c>
      <c r="C2919" s="4" t="s">
        <v>1501</v>
      </c>
      <c r="D2919" s="4"/>
      <c r="E2919" s="4"/>
      <c r="F2919" s="4" t="s">
        <v>1601</v>
      </c>
      <c r="G2919" s="4" t="s">
        <v>1606</v>
      </c>
      <c r="H2919" s="4" t="s">
        <v>289</v>
      </c>
      <c r="I2919" s="4">
        <v>1</v>
      </c>
      <c r="J2919" s="21">
        <v>600</v>
      </c>
      <c r="K2919" s="21">
        <v>0</v>
      </c>
      <c r="L2919" s="5">
        <v>0</v>
      </c>
      <c r="M2919" s="4"/>
      <c r="N2919" s="4"/>
      <c r="O2919" s="5"/>
      <c r="P2919" s="5"/>
      <c r="Q2919" s="21">
        <v>600</v>
      </c>
      <c r="R2919" s="43">
        <v>0</v>
      </c>
      <c r="S2919" s="5">
        <f t="shared" si="183"/>
        <v>27072.015120151991</v>
      </c>
      <c r="T2919" cm="1">
        <f t="array" ref="T2919">IF(OR(B2919="MAL ALIMI", B2919="ÜRETİM GİRİŞ"), MIN(I2919, MAX(0, I2919 + SUM(SUMIFS($I$1:I2918, $C$1:C2918, C2919, $B$1:B2918, {"MAL ALIMI","ÜRETİM GİRİŞ"})) - VLOOKUP(C2919, 'STOK RAPORU'!$C$2:$I$1000, 4, 0))), 0)</f>
        <v>0</v>
      </c>
      <c r="U2919" s="22">
        <f t="shared" si="180"/>
        <v>0</v>
      </c>
      <c r="V2919">
        <f t="shared" si="181"/>
        <v>0</v>
      </c>
      <c r="W2919" s="22">
        <f t="shared" si="182"/>
        <v>0</v>
      </c>
    </row>
    <row r="2920" spans="1:23" hidden="1" x14ac:dyDescent="0.25">
      <c r="A2920" s="3">
        <v>46027</v>
      </c>
      <c r="B2920" s="4" t="s">
        <v>334</v>
      </c>
      <c r="C2920" s="4" t="s">
        <v>524</v>
      </c>
      <c r="D2920" s="4"/>
      <c r="E2920" s="4"/>
      <c r="F2920" s="4" t="s">
        <v>1601</v>
      </c>
      <c r="G2920" s="4" t="s">
        <v>1606</v>
      </c>
      <c r="H2920" s="4" t="s">
        <v>289</v>
      </c>
      <c r="I2920" s="4">
        <v>0.1</v>
      </c>
      <c r="J2920" s="21">
        <v>400</v>
      </c>
      <c r="K2920" s="21">
        <v>0</v>
      </c>
      <c r="L2920" s="5">
        <v>0</v>
      </c>
      <c r="M2920" s="4"/>
      <c r="N2920" s="4"/>
      <c r="O2920" s="5"/>
      <c r="P2920" s="5"/>
      <c r="Q2920" s="21">
        <v>40</v>
      </c>
      <c r="R2920" s="43">
        <v>0</v>
      </c>
      <c r="S2920" s="5">
        <f t="shared" si="183"/>
        <v>27112.015120151991</v>
      </c>
      <c r="T2920" cm="1">
        <f t="array" ref="T2920">IF(OR(B2920="MAL ALIMI", B2920="ÜRETİM GİRİŞ"), MIN(I2920, MAX(0, I2920 + SUM(SUMIFS($I$1:I2919, $C$1:C2919, C2920, $B$1:B2919, {"MAL ALIMI","ÜRETİM GİRİŞ"})) - VLOOKUP(C2920, 'STOK RAPORU'!$C$2:$I$1000, 4, 0))), 0)</f>
        <v>0</v>
      </c>
      <c r="U2920" s="22">
        <f t="shared" si="180"/>
        <v>0</v>
      </c>
      <c r="V2920">
        <f t="shared" si="181"/>
        <v>0</v>
      </c>
      <c r="W2920" s="22">
        <f t="shared" si="182"/>
        <v>0</v>
      </c>
    </row>
    <row r="2921" spans="1:23" hidden="1" x14ac:dyDescent="0.25">
      <c r="A2921" s="3">
        <v>46027</v>
      </c>
      <c r="B2921" s="4" t="s">
        <v>334</v>
      </c>
      <c r="C2921" s="4" t="s">
        <v>129</v>
      </c>
      <c r="D2921" s="4"/>
      <c r="E2921" s="4"/>
      <c r="F2921" s="4" t="s">
        <v>1601</v>
      </c>
      <c r="G2921" s="4" t="s">
        <v>1606</v>
      </c>
      <c r="H2921" s="4" t="s">
        <v>289</v>
      </c>
      <c r="I2921" s="4">
        <v>0.25700000000000001</v>
      </c>
      <c r="J2921" s="21">
        <v>390</v>
      </c>
      <c r="K2921" s="21">
        <v>0</v>
      </c>
      <c r="L2921" s="5">
        <v>0</v>
      </c>
      <c r="M2921" s="4"/>
      <c r="N2921" s="4"/>
      <c r="O2921" s="5"/>
      <c r="P2921" s="5"/>
      <c r="Q2921" s="21">
        <v>100.23</v>
      </c>
      <c r="R2921" s="43">
        <v>0</v>
      </c>
      <c r="S2921" s="5">
        <f t="shared" si="183"/>
        <v>27212.245120151991</v>
      </c>
      <c r="T2921" cm="1">
        <f t="array" ref="T2921">IF(OR(B2921="MAL ALIMI", B2921="ÜRETİM GİRİŞ"), MIN(I2921, MAX(0, I2921 + SUM(SUMIFS($I$1:I2920, $C$1:C2920, C2921, $B$1:B2920, {"MAL ALIMI","ÜRETİM GİRİŞ"})) - VLOOKUP(C2921, 'STOK RAPORU'!$C$2:$I$1000, 4, 0))), 0)</f>
        <v>0</v>
      </c>
      <c r="U2921" s="22">
        <f t="shared" si="180"/>
        <v>0</v>
      </c>
      <c r="V2921">
        <f t="shared" si="181"/>
        <v>0</v>
      </c>
      <c r="W2921" s="22">
        <f t="shared" si="182"/>
        <v>0</v>
      </c>
    </row>
    <row r="2922" spans="1:23" hidden="1" x14ac:dyDescent="0.25">
      <c r="A2922" s="3">
        <v>46027</v>
      </c>
      <c r="B2922" s="4" t="s">
        <v>334</v>
      </c>
      <c r="C2922" s="4" t="s">
        <v>154</v>
      </c>
      <c r="D2922" s="4"/>
      <c r="E2922" s="4"/>
      <c r="F2922" s="4" t="s">
        <v>1601</v>
      </c>
      <c r="G2922" s="4" t="s">
        <v>1606</v>
      </c>
      <c r="H2922" s="4" t="s">
        <v>289</v>
      </c>
      <c r="I2922" s="4">
        <v>0.1</v>
      </c>
      <c r="J2922" s="21">
        <v>400</v>
      </c>
      <c r="K2922" s="21">
        <v>0</v>
      </c>
      <c r="L2922" s="5">
        <v>0</v>
      </c>
      <c r="M2922" s="4"/>
      <c r="N2922" s="4"/>
      <c r="O2922" s="5"/>
      <c r="P2922" s="5"/>
      <c r="Q2922" s="21">
        <v>40</v>
      </c>
      <c r="R2922" s="43">
        <v>0</v>
      </c>
      <c r="S2922" s="5">
        <f t="shared" si="183"/>
        <v>27252.245120151991</v>
      </c>
      <c r="T2922" cm="1">
        <f t="array" ref="T2922">IF(OR(B2922="MAL ALIMI", B2922="ÜRETİM GİRİŞ"), MIN(I2922, MAX(0, I2922 + SUM(SUMIFS($I$1:I2921, $C$1:C2921, C2922, $B$1:B2921, {"MAL ALIMI","ÜRETİM GİRİŞ"})) - VLOOKUP(C2922, 'STOK RAPORU'!$C$2:$I$1000, 4, 0))), 0)</f>
        <v>0</v>
      </c>
      <c r="U2922" s="22">
        <f t="shared" si="180"/>
        <v>0</v>
      </c>
      <c r="V2922">
        <f t="shared" si="181"/>
        <v>0</v>
      </c>
      <c r="W2922" s="22">
        <f t="shared" si="182"/>
        <v>0</v>
      </c>
    </row>
    <row r="2923" spans="1:23" hidden="1" x14ac:dyDescent="0.25">
      <c r="A2923" s="3">
        <v>46027</v>
      </c>
      <c r="B2923" s="4" t="s">
        <v>334</v>
      </c>
      <c r="C2923" s="4" t="s">
        <v>1501</v>
      </c>
      <c r="D2923" s="4"/>
      <c r="E2923" s="4"/>
      <c r="F2923" s="4" t="s">
        <v>1602</v>
      </c>
      <c r="G2923" s="4" t="s">
        <v>1605</v>
      </c>
      <c r="H2923" s="4" t="s">
        <v>289</v>
      </c>
      <c r="I2923" s="4">
        <v>1</v>
      </c>
      <c r="J2923" s="21">
        <v>600</v>
      </c>
      <c r="K2923" s="21">
        <v>0</v>
      </c>
      <c r="L2923" s="5">
        <v>0</v>
      </c>
      <c r="M2923" s="4"/>
      <c r="N2923" s="4"/>
      <c r="O2923" s="5"/>
      <c r="P2923" s="5"/>
      <c r="Q2923" s="21">
        <v>600</v>
      </c>
      <c r="R2923" s="43">
        <v>0</v>
      </c>
      <c r="S2923" s="5">
        <f t="shared" si="183"/>
        <v>27852.245120151991</v>
      </c>
      <c r="T2923" cm="1">
        <f t="array" ref="T2923">IF(OR(B2923="MAL ALIMI", B2923="ÜRETİM GİRİŞ"), MIN(I2923, MAX(0, I2923 + SUM(SUMIFS($I$1:I2922, $C$1:C2922, C2923, $B$1:B2922, {"MAL ALIMI","ÜRETİM GİRİŞ"})) - VLOOKUP(C2923, 'STOK RAPORU'!$C$2:$I$1000, 4, 0))), 0)</f>
        <v>0</v>
      </c>
      <c r="U2923" s="22">
        <f t="shared" si="180"/>
        <v>0</v>
      </c>
      <c r="V2923">
        <f t="shared" si="181"/>
        <v>0</v>
      </c>
      <c r="W2923" s="22">
        <f t="shared" si="182"/>
        <v>0</v>
      </c>
    </row>
    <row r="2924" spans="1:23" hidden="1" x14ac:dyDescent="0.25">
      <c r="A2924" s="3">
        <v>46027</v>
      </c>
      <c r="B2924" s="4" t="s">
        <v>334</v>
      </c>
      <c r="C2924" s="4" t="s">
        <v>1041</v>
      </c>
      <c r="D2924" s="4"/>
      <c r="E2924" s="4"/>
      <c r="F2924" s="4" t="s">
        <v>1602</v>
      </c>
      <c r="G2924" s="4" t="s">
        <v>1605</v>
      </c>
      <c r="H2924" s="4" t="s">
        <v>289</v>
      </c>
      <c r="I2924" s="4">
        <v>1.6</v>
      </c>
      <c r="J2924" s="21">
        <v>250</v>
      </c>
      <c r="K2924" s="21">
        <v>0</v>
      </c>
      <c r="L2924" s="5">
        <v>0</v>
      </c>
      <c r="M2924" s="4"/>
      <c r="N2924" s="4"/>
      <c r="O2924" s="5"/>
      <c r="P2924" s="5"/>
      <c r="Q2924" s="21">
        <v>400</v>
      </c>
      <c r="R2924" s="43">
        <v>0</v>
      </c>
      <c r="S2924" s="5">
        <f t="shared" si="183"/>
        <v>28252.245120151991</v>
      </c>
      <c r="T2924" cm="1">
        <f t="array" ref="T2924">IF(OR(B2924="MAL ALIMI", B2924="ÜRETİM GİRİŞ"), MIN(I2924, MAX(0, I2924 + SUM(SUMIFS($I$1:I2923, $C$1:C2923, C2924, $B$1:B2923, {"MAL ALIMI","ÜRETİM GİRİŞ"})) - VLOOKUP(C2924, 'STOK RAPORU'!$C$2:$I$1000, 4, 0))), 0)</f>
        <v>0</v>
      </c>
      <c r="U2924" s="22">
        <f t="shared" si="180"/>
        <v>0</v>
      </c>
      <c r="V2924">
        <f t="shared" si="181"/>
        <v>0</v>
      </c>
      <c r="W2924" s="22">
        <f t="shared" si="182"/>
        <v>0</v>
      </c>
    </row>
    <row r="2925" spans="1:23" hidden="1" x14ac:dyDescent="0.25">
      <c r="A2925" s="3">
        <v>46027</v>
      </c>
      <c r="B2925" s="4" t="s">
        <v>334</v>
      </c>
      <c r="C2925" s="4" t="s">
        <v>89</v>
      </c>
      <c r="D2925" s="4"/>
      <c r="E2925" s="4"/>
      <c r="F2925" s="46" t="s">
        <v>1608</v>
      </c>
      <c r="G2925" s="4" t="s">
        <v>1607</v>
      </c>
      <c r="H2925" s="4" t="s">
        <v>289</v>
      </c>
      <c r="I2925" s="4">
        <v>0.1</v>
      </c>
      <c r="J2925" s="21">
        <v>650</v>
      </c>
      <c r="K2925" s="21">
        <v>0</v>
      </c>
      <c r="L2925" s="5">
        <v>0</v>
      </c>
      <c r="M2925" s="4"/>
      <c r="N2925" s="4"/>
      <c r="O2925" s="5"/>
      <c r="P2925" s="5"/>
      <c r="Q2925" s="21">
        <v>65</v>
      </c>
      <c r="R2925" s="21">
        <v>0</v>
      </c>
      <c r="S2925" s="5">
        <f t="shared" si="183"/>
        <v>28317.245120151991</v>
      </c>
      <c r="T2925" cm="1">
        <f t="array" ref="T2925">IF(OR(B2925="MAL ALIMI", B2925="ÜRETİM GİRİŞ"), MIN(I2925, MAX(0, I2925 + SUM(SUMIFS($I$1:I2924, $C$1:C2924, C2925, $B$1:B2924, {"MAL ALIMI","ÜRETİM GİRİŞ"})) - VLOOKUP(C2925, 'STOK RAPORU'!$C$2:$I$1000, 4, 0))), 0)</f>
        <v>0</v>
      </c>
      <c r="U2925" s="22">
        <f t="shared" si="180"/>
        <v>0</v>
      </c>
      <c r="V2925">
        <f t="shared" si="181"/>
        <v>0</v>
      </c>
      <c r="W2925" s="22">
        <f t="shared" si="182"/>
        <v>0</v>
      </c>
    </row>
    <row r="2926" spans="1:23" hidden="1" x14ac:dyDescent="0.25">
      <c r="A2926" s="3">
        <v>46027</v>
      </c>
      <c r="B2926" s="4" t="s">
        <v>334</v>
      </c>
      <c r="C2926" s="4" t="s">
        <v>1041</v>
      </c>
      <c r="D2926" s="4"/>
      <c r="E2926" s="4"/>
      <c r="F2926" s="46" t="s">
        <v>1608</v>
      </c>
      <c r="G2926" s="4" t="s">
        <v>1607</v>
      </c>
      <c r="H2926" s="4" t="s">
        <v>289</v>
      </c>
      <c r="I2926" s="4">
        <v>0.49</v>
      </c>
      <c r="J2926" s="21">
        <v>250</v>
      </c>
      <c r="K2926" s="21">
        <v>0</v>
      </c>
      <c r="L2926" s="5">
        <v>0</v>
      </c>
      <c r="M2926" s="4"/>
      <c r="N2926" s="4"/>
      <c r="O2926" s="5"/>
      <c r="P2926" s="5"/>
      <c r="Q2926" s="21">
        <v>122.5</v>
      </c>
      <c r="R2926" s="21">
        <v>0</v>
      </c>
      <c r="S2926" s="5">
        <f t="shared" si="183"/>
        <v>28439.745120151991</v>
      </c>
      <c r="T2926" cm="1">
        <f t="array" ref="T2926">IF(OR(B2926="MAL ALIMI", B2926="ÜRETİM GİRİŞ"), MIN(I2926, MAX(0, I2926 + SUM(SUMIFS($I$1:I2925, $C$1:C2925, C2926, $B$1:B2925, {"MAL ALIMI","ÜRETİM GİRİŞ"})) - VLOOKUP(C2926, 'STOK RAPORU'!$C$2:$I$1000, 4, 0))), 0)</f>
        <v>0</v>
      </c>
      <c r="U2926" s="22">
        <f t="shared" si="180"/>
        <v>0</v>
      </c>
      <c r="V2926">
        <f t="shared" si="181"/>
        <v>0</v>
      </c>
      <c r="W2926" s="22">
        <f t="shared" si="182"/>
        <v>0</v>
      </c>
    </row>
    <row r="2927" spans="1:23" hidden="1" x14ac:dyDescent="0.25">
      <c r="A2927" s="3">
        <v>46027</v>
      </c>
      <c r="B2927" s="4" t="s">
        <v>334</v>
      </c>
      <c r="C2927" s="4" t="s">
        <v>225</v>
      </c>
      <c r="D2927" s="4"/>
      <c r="E2927" s="4"/>
      <c r="F2927" s="46" t="s">
        <v>1608</v>
      </c>
      <c r="G2927" s="4" t="s">
        <v>1607</v>
      </c>
      <c r="H2927" s="4" t="s">
        <v>289</v>
      </c>
      <c r="I2927" s="4">
        <v>0.28999999999999998</v>
      </c>
      <c r="J2927" s="21">
        <v>750</v>
      </c>
      <c r="K2927" s="21">
        <v>0</v>
      </c>
      <c r="L2927" s="5">
        <v>0</v>
      </c>
      <c r="M2927" s="4"/>
      <c r="N2927" s="4"/>
      <c r="O2927" s="5"/>
      <c r="P2927" s="5"/>
      <c r="Q2927" s="21">
        <v>217.49999999999997</v>
      </c>
      <c r="R2927" s="21">
        <v>0</v>
      </c>
      <c r="S2927" s="5">
        <f t="shared" si="183"/>
        <v>28657.245120151991</v>
      </c>
      <c r="T2927" cm="1">
        <f t="array" ref="T2927">IF(OR(B2927="MAL ALIMI", B2927="ÜRETİM GİRİŞ"), MIN(I2927, MAX(0, I2927 + SUM(SUMIFS($I$1:I2926, $C$1:C2926, C2927, $B$1:B2926, {"MAL ALIMI","ÜRETİM GİRİŞ"})) - VLOOKUP(C2927, 'STOK RAPORU'!$C$2:$I$1000, 4, 0))), 0)</f>
        <v>0</v>
      </c>
      <c r="U2927" s="22">
        <f t="shared" si="180"/>
        <v>0</v>
      </c>
      <c r="V2927">
        <f t="shared" si="181"/>
        <v>0</v>
      </c>
      <c r="W2927" s="22">
        <f t="shared" si="182"/>
        <v>0</v>
      </c>
    </row>
    <row r="2928" spans="1:23" hidden="1" x14ac:dyDescent="0.25">
      <c r="A2928" s="3">
        <v>46027</v>
      </c>
      <c r="B2928" s="4" t="s">
        <v>334</v>
      </c>
      <c r="C2928" s="4" t="s">
        <v>1501</v>
      </c>
      <c r="D2928" s="4"/>
      <c r="E2928" s="4"/>
      <c r="F2928" s="46" t="s">
        <v>1608</v>
      </c>
      <c r="G2928" s="4" t="s">
        <v>1607</v>
      </c>
      <c r="H2928" s="4" t="s">
        <v>289</v>
      </c>
      <c r="I2928" s="4">
        <v>0.5</v>
      </c>
      <c r="J2928" s="21">
        <v>600</v>
      </c>
      <c r="K2928" s="21">
        <v>0</v>
      </c>
      <c r="L2928" s="5">
        <v>0</v>
      </c>
      <c r="M2928" s="4"/>
      <c r="N2928" s="4"/>
      <c r="O2928" s="5"/>
      <c r="P2928" s="5"/>
      <c r="Q2928" s="21">
        <v>300</v>
      </c>
      <c r="R2928" s="21">
        <v>0</v>
      </c>
      <c r="S2928" s="5">
        <f t="shared" si="183"/>
        <v>28957.245120151991</v>
      </c>
      <c r="T2928" cm="1">
        <f t="array" ref="T2928">IF(OR(B2928="MAL ALIMI", B2928="ÜRETİM GİRİŞ"), MIN(I2928, MAX(0, I2928 + SUM(SUMIFS($I$1:I2927, $C$1:C2927, C2928, $B$1:B2927, {"MAL ALIMI","ÜRETİM GİRİŞ"})) - VLOOKUP(C2928, 'STOK RAPORU'!$C$2:$I$1000, 4, 0))), 0)</f>
        <v>0</v>
      </c>
      <c r="U2928" s="22">
        <f t="shared" si="180"/>
        <v>0</v>
      </c>
      <c r="V2928">
        <f t="shared" si="181"/>
        <v>0</v>
      </c>
      <c r="W2928" s="22">
        <f t="shared" si="182"/>
        <v>0</v>
      </c>
    </row>
    <row r="2929" spans="1:23" hidden="1" x14ac:dyDescent="0.25">
      <c r="A2929" s="3">
        <v>46027</v>
      </c>
      <c r="B2929" s="4" t="s">
        <v>334</v>
      </c>
      <c r="C2929" s="4" t="s">
        <v>1023</v>
      </c>
      <c r="D2929" s="4"/>
      <c r="E2929" s="4"/>
      <c r="F2929" s="46" t="s">
        <v>1608</v>
      </c>
      <c r="G2929" s="4" t="s">
        <v>1607</v>
      </c>
      <c r="H2929" s="4" t="s">
        <v>289</v>
      </c>
      <c r="I2929" s="4">
        <v>1</v>
      </c>
      <c r="J2929" s="21">
        <v>65</v>
      </c>
      <c r="K2929" s="21">
        <v>0</v>
      </c>
      <c r="L2929" s="5">
        <v>0</v>
      </c>
      <c r="M2929" s="4"/>
      <c r="N2929" s="4"/>
      <c r="O2929" s="5"/>
      <c r="P2929" s="5"/>
      <c r="Q2929" s="21">
        <v>65</v>
      </c>
      <c r="R2929" s="21">
        <v>0</v>
      </c>
      <c r="S2929" s="5">
        <f t="shared" si="183"/>
        <v>29022.245120151991</v>
      </c>
      <c r="T2929" cm="1">
        <f t="array" ref="T2929">IF(OR(B2929="MAL ALIMI", B2929="ÜRETİM GİRİŞ"), MIN(I2929, MAX(0, I2929 + SUM(SUMIFS($I$1:I2928, $C$1:C2928, C2929, $B$1:B2928, {"MAL ALIMI","ÜRETİM GİRİŞ"})) - VLOOKUP(C2929, 'STOK RAPORU'!$C$2:$I$1000, 4, 0))), 0)</f>
        <v>0</v>
      </c>
      <c r="U2929" s="22">
        <f t="shared" si="180"/>
        <v>0</v>
      </c>
      <c r="V2929">
        <f t="shared" si="181"/>
        <v>0</v>
      </c>
      <c r="W2929" s="22">
        <f t="shared" si="182"/>
        <v>0</v>
      </c>
    </row>
    <row r="2930" spans="1:23" hidden="1" x14ac:dyDescent="0.25">
      <c r="A2930" s="3">
        <v>46027</v>
      </c>
      <c r="B2930" s="4" t="s">
        <v>334</v>
      </c>
      <c r="C2930" s="4" t="s">
        <v>463</v>
      </c>
      <c r="D2930" s="4"/>
      <c r="E2930" s="4"/>
      <c r="F2930" s="46" t="s">
        <v>1608</v>
      </c>
      <c r="G2930" s="4" t="s">
        <v>1607</v>
      </c>
      <c r="H2930" s="4" t="s">
        <v>289</v>
      </c>
      <c r="I2930" s="4">
        <v>0.2</v>
      </c>
      <c r="J2930" s="21">
        <v>370</v>
      </c>
      <c r="K2930" s="21">
        <v>0</v>
      </c>
      <c r="L2930" s="5">
        <v>0</v>
      </c>
      <c r="M2930" s="4"/>
      <c r="N2930" s="4"/>
      <c r="O2930" s="5"/>
      <c r="P2930" s="5"/>
      <c r="Q2930" s="21">
        <v>74</v>
      </c>
      <c r="R2930" s="21">
        <v>0</v>
      </c>
      <c r="S2930" s="5">
        <f t="shared" si="183"/>
        <v>29096.245120151991</v>
      </c>
      <c r="T2930" cm="1">
        <f t="array" ref="T2930">IF(OR(B2930="MAL ALIMI", B2930="ÜRETİM GİRİŞ"), MIN(I2930, MAX(0, I2930 + SUM(SUMIFS($I$1:I2929, $C$1:C2929, C2930, $B$1:B2929, {"MAL ALIMI","ÜRETİM GİRİŞ"})) - VLOOKUP(C2930, 'STOK RAPORU'!$C$2:$I$1000, 4, 0))), 0)</f>
        <v>0</v>
      </c>
      <c r="U2930" s="22">
        <f t="shared" si="180"/>
        <v>0</v>
      </c>
      <c r="V2930">
        <f t="shared" si="181"/>
        <v>0</v>
      </c>
      <c r="W2930" s="22">
        <f t="shared" si="182"/>
        <v>0</v>
      </c>
    </row>
    <row r="2931" spans="1:23" hidden="1" x14ac:dyDescent="0.25">
      <c r="A2931" s="3">
        <v>46027</v>
      </c>
      <c r="B2931" s="4" t="s">
        <v>334</v>
      </c>
      <c r="C2931" s="4" t="s">
        <v>690</v>
      </c>
      <c r="D2931" s="4"/>
      <c r="E2931" s="4"/>
      <c r="F2931" s="46" t="s">
        <v>1608</v>
      </c>
      <c r="G2931" s="4" t="s">
        <v>1607</v>
      </c>
      <c r="H2931" s="4" t="s">
        <v>289</v>
      </c>
      <c r="I2931" s="4">
        <v>0.31</v>
      </c>
      <c r="J2931" s="21">
        <v>340</v>
      </c>
      <c r="K2931" s="21">
        <v>0</v>
      </c>
      <c r="L2931" s="5">
        <v>0</v>
      </c>
      <c r="M2931" s="4"/>
      <c r="N2931" s="4"/>
      <c r="O2931" s="5"/>
      <c r="P2931" s="5"/>
      <c r="Q2931" s="21">
        <v>105.4</v>
      </c>
      <c r="R2931" s="21">
        <v>0</v>
      </c>
      <c r="S2931" s="5">
        <f t="shared" si="183"/>
        <v>29201.645120151992</v>
      </c>
      <c r="T2931" cm="1">
        <f t="array" ref="T2931">IF(OR(B2931="MAL ALIMI", B2931="ÜRETİM GİRİŞ"), MIN(I2931, MAX(0, I2931 + SUM(SUMIFS($I$1:I2930, $C$1:C2930, C2931, $B$1:B2930, {"MAL ALIMI","ÜRETİM GİRİŞ"})) - VLOOKUP(C2931, 'STOK RAPORU'!$C$2:$I$1000, 4, 0))), 0)</f>
        <v>0</v>
      </c>
      <c r="U2931" s="22">
        <f t="shared" si="180"/>
        <v>0</v>
      </c>
      <c r="V2931">
        <f t="shared" si="181"/>
        <v>0</v>
      </c>
      <c r="W2931" s="22">
        <f t="shared" si="182"/>
        <v>0</v>
      </c>
    </row>
    <row r="2932" spans="1:23" hidden="1" x14ac:dyDescent="0.25">
      <c r="A2932" s="3">
        <v>46027</v>
      </c>
      <c r="B2932" s="4" t="s">
        <v>334</v>
      </c>
      <c r="C2932" s="4" t="s">
        <v>129</v>
      </c>
      <c r="D2932" s="4"/>
      <c r="E2932" s="4"/>
      <c r="F2932" s="46" t="s">
        <v>1608</v>
      </c>
      <c r="G2932" s="4" t="s">
        <v>1607</v>
      </c>
      <c r="H2932" s="4" t="s">
        <v>289</v>
      </c>
      <c r="I2932" s="4">
        <v>0.2</v>
      </c>
      <c r="J2932" s="21">
        <v>390</v>
      </c>
      <c r="K2932" s="21">
        <v>0</v>
      </c>
      <c r="L2932" s="5">
        <v>0</v>
      </c>
      <c r="M2932" s="4"/>
      <c r="N2932" s="4"/>
      <c r="O2932" s="5"/>
      <c r="P2932" s="5"/>
      <c r="Q2932" s="21">
        <v>78</v>
      </c>
      <c r="R2932" s="21">
        <v>0</v>
      </c>
      <c r="S2932" s="5">
        <f t="shared" si="183"/>
        <v>29279.645120151992</v>
      </c>
      <c r="T2932" cm="1">
        <f t="array" ref="T2932">IF(OR(B2932="MAL ALIMI", B2932="ÜRETİM GİRİŞ"), MIN(I2932, MAX(0, I2932 + SUM(SUMIFS($I$1:I2931, $C$1:C2931, C2932, $B$1:B2931, {"MAL ALIMI","ÜRETİM GİRİŞ"})) - VLOOKUP(C2932, 'STOK RAPORU'!$C$2:$I$1000, 4, 0))), 0)</f>
        <v>0</v>
      </c>
      <c r="U2932" s="22">
        <f t="shared" si="180"/>
        <v>0</v>
      </c>
      <c r="V2932">
        <f t="shared" si="181"/>
        <v>0</v>
      </c>
      <c r="W2932" s="22">
        <f t="shared" si="182"/>
        <v>0</v>
      </c>
    </row>
    <row r="2933" spans="1:23" hidden="1" x14ac:dyDescent="0.25">
      <c r="A2933" s="3">
        <v>46027</v>
      </c>
      <c r="B2933" s="4" t="s">
        <v>334</v>
      </c>
      <c r="C2933" s="4" t="s">
        <v>160</v>
      </c>
      <c r="D2933" s="4"/>
      <c r="E2933" s="4"/>
      <c r="F2933" s="46" t="s">
        <v>1608</v>
      </c>
      <c r="G2933" s="4" t="s">
        <v>1607</v>
      </c>
      <c r="H2933" s="4" t="s">
        <v>289</v>
      </c>
      <c r="I2933" s="4">
        <v>1</v>
      </c>
      <c r="J2933" s="21">
        <v>250</v>
      </c>
      <c r="K2933" s="21">
        <v>0</v>
      </c>
      <c r="L2933" s="5">
        <v>0</v>
      </c>
      <c r="M2933" s="4"/>
      <c r="N2933" s="4"/>
      <c r="O2933" s="5"/>
      <c r="P2933" s="5"/>
      <c r="Q2933" s="21">
        <v>250</v>
      </c>
      <c r="R2933" s="21">
        <v>0</v>
      </c>
      <c r="S2933" s="5">
        <f t="shared" si="183"/>
        <v>29529.645120151992</v>
      </c>
      <c r="T2933" cm="1">
        <f t="array" ref="T2933">IF(OR(B2933="MAL ALIMI", B2933="ÜRETİM GİRİŞ"), MIN(I2933, MAX(0, I2933 + SUM(SUMIFS($I$1:I2932, $C$1:C2932, C2933, $B$1:B2932, {"MAL ALIMI","ÜRETİM GİRİŞ"})) - VLOOKUP(C2933, 'STOK RAPORU'!$C$2:$I$1000, 4, 0))), 0)</f>
        <v>0</v>
      </c>
      <c r="U2933" s="22">
        <f t="shared" si="180"/>
        <v>0</v>
      </c>
      <c r="V2933">
        <f t="shared" si="181"/>
        <v>0</v>
      </c>
      <c r="W2933" s="22">
        <f t="shared" si="182"/>
        <v>0</v>
      </c>
    </row>
    <row r="2934" spans="1:23" hidden="1" x14ac:dyDescent="0.25">
      <c r="A2934" s="3">
        <v>46027</v>
      </c>
      <c r="B2934" s="4" t="s">
        <v>334</v>
      </c>
      <c r="C2934" s="4" t="s">
        <v>161</v>
      </c>
      <c r="D2934" s="4"/>
      <c r="E2934" s="4"/>
      <c r="F2934" s="46" t="s">
        <v>1608</v>
      </c>
      <c r="G2934" s="4" t="s">
        <v>1607</v>
      </c>
      <c r="H2934" s="4" t="s">
        <v>289</v>
      </c>
      <c r="I2934" s="4">
        <v>1</v>
      </c>
      <c r="J2934" s="21">
        <v>230</v>
      </c>
      <c r="K2934" s="21">
        <v>0</v>
      </c>
      <c r="L2934" s="5">
        <v>0</v>
      </c>
      <c r="M2934" s="4"/>
      <c r="N2934" s="4"/>
      <c r="O2934" s="5"/>
      <c r="P2934" s="5"/>
      <c r="Q2934" s="21">
        <v>230</v>
      </c>
      <c r="R2934" s="21">
        <v>0</v>
      </c>
      <c r="S2934" s="5">
        <f t="shared" si="183"/>
        <v>29759.645120151992</v>
      </c>
      <c r="T2934" cm="1">
        <f t="array" ref="T2934">IF(OR(B2934="MAL ALIMI", B2934="ÜRETİM GİRİŞ"), MIN(I2934, MAX(0, I2934 + SUM(SUMIFS($I$1:I2933, $C$1:C2933, C2934, $B$1:B2933, {"MAL ALIMI","ÜRETİM GİRİŞ"})) - VLOOKUP(C2934, 'STOK RAPORU'!$C$2:$I$1000, 4, 0))), 0)</f>
        <v>0</v>
      </c>
      <c r="U2934" s="22">
        <f t="shared" si="180"/>
        <v>0</v>
      </c>
      <c r="V2934">
        <f t="shared" si="181"/>
        <v>0</v>
      </c>
      <c r="W2934" s="22">
        <f t="shared" si="182"/>
        <v>0</v>
      </c>
    </row>
    <row r="2935" spans="1:23" hidden="1" x14ac:dyDescent="0.25">
      <c r="A2935" s="3">
        <v>46027</v>
      </c>
      <c r="B2935" s="4" t="s">
        <v>334</v>
      </c>
      <c r="C2935" s="4" t="s">
        <v>162</v>
      </c>
      <c r="D2935" s="4"/>
      <c r="E2935" s="4"/>
      <c r="F2935" s="46" t="s">
        <v>1608</v>
      </c>
      <c r="G2935" s="4" t="s">
        <v>1607</v>
      </c>
      <c r="H2935" s="4" t="s">
        <v>289</v>
      </c>
      <c r="I2935" s="4">
        <v>1</v>
      </c>
      <c r="J2935" s="21">
        <v>250</v>
      </c>
      <c r="K2935" s="21">
        <v>0</v>
      </c>
      <c r="L2935" s="5">
        <v>0</v>
      </c>
      <c r="M2935" s="4"/>
      <c r="N2935" s="4"/>
      <c r="O2935" s="5"/>
      <c r="P2935" s="5"/>
      <c r="Q2935" s="21">
        <v>250</v>
      </c>
      <c r="R2935" s="21">
        <v>0</v>
      </c>
      <c r="S2935" s="5">
        <f t="shared" si="183"/>
        <v>30009.645120151992</v>
      </c>
      <c r="T2935" cm="1">
        <f t="array" ref="T2935">IF(OR(B2935="MAL ALIMI", B2935="ÜRETİM GİRİŞ"), MIN(I2935, MAX(0, I2935 + SUM(SUMIFS($I$1:I2934, $C$1:C2934, C2935, $B$1:B2934, {"MAL ALIMI","ÜRETİM GİRİŞ"})) - VLOOKUP(C2935, 'STOK RAPORU'!$C$2:$I$1000, 4, 0))), 0)</f>
        <v>0</v>
      </c>
      <c r="U2935" s="22">
        <f t="shared" si="180"/>
        <v>0</v>
      </c>
      <c r="V2935">
        <f t="shared" si="181"/>
        <v>0</v>
      </c>
      <c r="W2935" s="22">
        <f t="shared" si="182"/>
        <v>0</v>
      </c>
    </row>
    <row r="2936" spans="1:23" hidden="1" x14ac:dyDescent="0.25">
      <c r="A2936" s="3">
        <v>46027</v>
      </c>
      <c r="B2936" s="4" t="s">
        <v>334</v>
      </c>
      <c r="C2936" s="4" t="s">
        <v>468</v>
      </c>
      <c r="D2936" s="4"/>
      <c r="E2936" s="4"/>
      <c r="F2936" s="46" t="s">
        <v>1608</v>
      </c>
      <c r="G2936" s="4" t="s">
        <v>1607</v>
      </c>
      <c r="H2936" s="4" t="s">
        <v>289</v>
      </c>
      <c r="I2936" s="4">
        <v>1</v>
      </c>
      <c r="J2936" s="21">
        <v>50</v>
      </c>
      <c r="K2936" s="21">
        <v>0</v>
      </c>
      <c r="L2936" s="5">
        <v>0</v>
      </c>
      <c r="M2936" s="4"/>
      <c r="N2936" s="4"/>
      <c r="O2936" s="5"/>
      <c r="P2936" s="5"/>
      <c r="Q2936" s="21">
        <v>50</v>
      </c>
      <c r="R2936" s="21">
        <v>0</v>
      </c>
      <c r="S2936" s="5">
        <f t="shared" si="183"/>
        <v>30059.645120151992</v>
      </c>
      <c r="T2936" cm="1">
        <f t="array" ref="T2936">IF(OR(B2936="MAL ALIMI", B2936="ÜRETİM GİRİŞ"), MIN(I2936, MAX(0, I2936 + SUM(SUMIFS($I$1:I2935, $C$1:C2935, C2936, $B$1:B2935, {"MAL ALIMI","ÜRETİM GİRİŞ"})) - VLOOKUP(C2936, 'STOK RAPORU'!$C$2:$I$1000, 4, 0))), 0)</f>
        <v>0</v>
      </c>
      <c r="U2936" s="22">
        <f t="shared" si="180"/>
        <v>0</v>
      </c>
      <c r="V2936">
        <f t="shared" si="181"/>
        <v>0</v>
      </c>
      <c r="W2936" s="22">
        <f t="shared" si="182"/>
        <v>0</v>
      </c>
    </row>
    <row r="2937" spans="1:23" hidden="1" x14ac:dyDescent="0.25">
      <c r="A2937" s="3">
        <v>46027</v>
      </c>
      <c r="B2937" s="4" t="s">
        <v>334</v>
      </c>
      <c r="C2937" s="4" t="s">
        <v>2130</v>
      </c>
      <c r="D2937" s="4"/>
      <c r="E2937" s="4"/>
      <c r="F2937" s="46" t="s">
        <v>1609</v>
      </c>
      <c r="G2937" s="4" t="s">
        <v>338</v>
      </c>
      <c r="H2937" s="4" t="s">
        <v>289</v>
      </c>
      <c r="I2937" s="4">
        <v>0.59199999999999997</v>
      </c>
      <c r="J2937" s="21">
        <v>450</v>
      </c>
      <c r="K2937" s="21">
        <v>0</v>
      </c>
      <c r="L2937" s="5">
        <v>0</v>
      </c>
      <c r="M2937" s="4"/>
      <c r="N2937" s="4"/>
      <c r="O2937" s="5"/>
      <c r="P2937" s="5"/>
      <c r="Q2937" s="21">
        <v>266.39999999999998</v>
      </c>
      <c r="R2937" s="21">
        <v>0</v>
      </c>
      <c r="S2937" s="5">
        <f t="shared" si="183"/>
        <v>30326.045120151994</v>
      </c>
      <c r="T2937" cm="1">
        <f t="array" ref="T2937">IF(OR(B2937="MAL ALIMI", B2937="ÜRETİM GİRİŞ"), MIN(I2937, MAX(0, I2937 + SUM(SUMIFS($I$1:I2936, $C$1:C2936, C2937, $B$1:B2936, {"MAL ALIMI","ÜRETİM GİRİŞ"})) - VLOOKUP(C2937, 'STOK RAPORU'!$C$2:$I$1000, 4, 0))), 0)</f>
        <v>0</v>
      </c>
      <c r="U2937" s="22">
        <f t="shared" si="180"/>
        <v>0</v>
      </c>
      <c r="V2937">
        <f t="shared" si="181"/>
        <v>0</v>
      </c>
      <c r="W2937" s="22">
        <f t="shared" si="182"/>
        <v>0</v>
      </c>
    </row>
    <row r="2938" spans="1:23" hidden="1" x14ac:dyDescent="0.25">
      <c r="A2938" s="3">
        <v>46027</v>
      </c>
      <c r="B2938" s="4" t="s">
        <v>334</v>
      </c>
      <c r="C2938" s="4" t="s">
        <v>204</v>
      </c>
      <c r="D2938" s="4"/>
      <c r="E2938" s="4"/>
      <c r="F2938" s="46" t="s">
        <v>1609</v>
      </c>
      <c r="G2938" s="4" t="s">
        <v>338</v>
      </c>
      <c r="H2938" s="4" t="s">
        <v>289</v>
      </c>
      <c r="I2938" s="4">
        <v>4.8000000000000001E-2</v>
      </c>
      <c r="J2938" s="21">
        <v>1400</v>
      </c>
      <c r="K2938" s="21">
        <v>0</v>
      </c>
      <c r="L2938" s="5">
        <v>0</v>
      </c>
      <c r="M2938" s="4"/>
      <c r="N2938" s="4"/>
      <c r="O2938" s="5"/>
      <c r="P2938" s="5"/>
      <c r="Q2938" s="21">
        <v>67.2</v>
      </c>
      <c r="R2938" s="21">
        <v>0</v>
      </c>
      <c r="S2938" s="5">
        <f t="shared" si="183"/>
        <v>30393.245120151994</v>
      </c>
      <c r="T2938" cm="1">
        <f t="array" ref="T2938">IF(OR(B2938="MAL ALIMI", B2938="ÜRETİM GİRİŞ"), MIN(I2938, MAX(0, I2938 + SUM(SUMIFS($I$1:I2937, $C$1:C2937, C2938, $B$1:B2937, {"MAL ALIMI","ÜRETİM GİRİŞ"})) - VLOOKUP(C2938, 'STOK RAPORU'!$C$2:$I$1000, 4, 0))), 0)</f>
        <v>0</v>
      </c>
      <c r="U2938" s="22">
        <f t="shared" si="180"/>
        <v>0</v>
      </c>
      <c r="V2938">
        <f t="shared" si="181"/>
        <v>0</v>
      </c>
      <c r="W2938" s="22">
        <f t="shared" si="182"/>
        <v>0</v>
      </c>
    </row>
    <row r="2939" spans="1:23" hidden="1" x14ac:dyDescent="0.25">
      <c r="A2939" s="3">
        <v>46027</v>
      </c>
      <c r="B2939" s="4" t="s">
        <v>334</v>
      </c>
      <c r="C2939" s="4" t="s">
        <v>1359</v>
      </c>
      <c r="D2939" s="4"/>
      <c r="E2939" s="4"/>
      <c r="F2939" s="46" t="s">
        <v>1609</v>
      </c>
      <c r="G2939" s="4" t="s">
        <v>338</v>
      </c>
      <c r="H2939" s="4" t="s">
        <v>289</v>
      </c>
      <c r="I2939" s="4">
        <v>0.224</v>
      </c>
      <c r="J2939" s="21">
        <v>450</v>
      </c>
      <c r="K2939" s="21">
        <v>0</v>
      </c>
      <c r="L2939" s="5">
        <v>0</v>
      </c>
      <c r="M2939" s="4"/>
      <c r="N2939" s="4"/>
      <c r="O2939" s="5"/>
      <c r="P2939" s="5"/>
      <c r="Q2939" s="21">
        <v>100.8</v>
      </c>
      <c r="R2939" s="21">
        <v>0</v>
      </c>
      <c r="S2939" s="5">
        <f t="shared" si="183"/>
        <v>30494.045120151994</v>
      </c>
      <c r="T2939" cm="1">
        <f t="array" ref="T2939">IF(OR(B2939="MAL ALIMI", B2939="ÜRETİM GİRİŞ"), MIN(I2939, MAX(0, I2939 + SUM(SUMIFS($I$1:I2938, $C$1:C2938, C2939, $B$1:B2938, {"MAL ALIMI","ÜRETİM GİRİŞ"})) - VLOOKUP(C2939, 'STOK RAPORU'!$C$2:$I$1000, 4, 0))), 0)</f>
        <v>0</v>
      </c>
      <c r="U2939" s="22">
        <f t="shared" si="180"/>
        <v>0</v>
      </c>
      <c r="V2939">
        <f t="shared" si="181"/>
        <v>0</v>
      </c>
      <c r="W2939" s="22">
        <f t="shared" si="182"/>
        <v>0</v>
      </c>
    </row>
    <row r="2940" spans="1:23" hidden="1" x14ac:dyDescent="0.25">
      <c r="A2940" s="3">
        <v>46027</v>
      </c>
      <c r="B2940" s="4" t="s">
        <v>334</v>
      </c>
      <c r="C2940" s="4" t="s">
        <v>1126</v>
      </c>
      <c r="D2940" s="4"/>
      <c r="E2940" s="4"/>
      <c r="F2940" s="46" t="s">
        <v>1609</v>
      </c>
      <c r="G2940" s="4" t="s">
        <v>338</v>
      </c>
      <c r="H2940" s="4" t="s">
        <v>289</v>
      </c>
      <c r="I2940" s="4">
        <v>1</v>
      </c>
      <c r="J2940" s="21">
        <v>290</v>
      </c>
      <c r="K2940" s="21">
        <v>0</v>
      </c>
      <c r="L2940" s="5">
        <v>0</v>
      </c>
      <c r="M2940" s="4"/>
      <c r="N2940" s="4"/>
      <c r="O2940" s="5"/>
      <c r="P2940" s="5"/>
      <c r="Q2940" s="21">
        <v>290</v>
      </c>
      <c r="R2940" s="21">
        <v>0</v>
      </c>
      <c r="S2940" s="5">
        <f t="shared" si="183"/>
        <v>30784.045120151994</v>
      </c>
      <c r="T2940" cm="1">
        <f t="array" ref="T2940">IF(OR(B2940="MAL ALIMI", B2940="ÜRETİM GİRİŞ"), MIN(I2940, MAX(0, I2940 + SUM(SUMIFS($I$1:I2939, $C$1:C2939, C2940, $B$1:B2939, {"MAL ALIMI","ÜRETİM GİRİŞ"})) - VLOOKUP(C2940, 'STOK RAPORU'!$C$2:$I$1000, 4, 0))), 0)</f>
        <v>0</v>
      </c>
      <c r="U2940" s="22">
        <f t="shared" si="180"/>
        <v>0</v>
      </c>
      <c r="V2940">
        <f t="shared" si="181"/>
        <v>0</v>
      </c>
      <c r="W2940" s="22">
        <f t="shared" si="182"/>
        <v>0</v>
      </c>
    </row>
    <row r="2941" spans="1:23" hidden="1" x14ac:dyDescent="0.25">
      <c r="A2941" s="3">
        <v>46027</v>
      </c>
      <c r="B2941" s="4" t="s">
        <v>334</v>
      </c>
      <c r="C2941" s="4" t="s">
        <v>911</v>
      </c>
      <c r="D2941" s="4"/>
      <c r="E2941" s="4"/>
      <c r="F2941" s="46" t="s">
        <v>1609</v>
      </c>
      <c r="G2941" s="4" t="s">
        <v>338</v>
      </c>
      <c r="H2941" s="4" t="s">
        <v>289</v>
      </c>
      <c r="I2941" s="4">
        <v>1</v>
      </c>
      <c r="J2941" s="21">
        <v>130</v>
      </c>
      <c r="K2941" s="21">
        <v>0</v>
      </c>
      <c r="L2941" s="5">
        <v>0</v>
      </c>
      <c r="M2941" s="4"/>
      <c r="N2941" s="4"/>
      <c r="O2941" s="5"/>
      <c r="P2941" s="5"/>
      <c r="Q2941" s="21">
        <v>130</v>
      </c>
      <c r="R2941" s="21">
        <v>0</v>
      </c>
      <c r="S2941" s="5">
        <f t="shared" si="183"/>
        <v>30914.045120151994</v>
      </c>
      <c r="T2941" cm="1">
        <f t="array" ref="T2941">IF(OR(B2941="MAL ALIMI", B2941="ÜRETİM GİRİŞ"), MIN(I2941, MAX(0, I2941 + SUM(SUMIFS($I$1:I2940, $C$1:C2940, C2941, $B$1:B2940, {"MAL ALIMI","ÜRETİM GİRİŞ"})) - VLOOKUP(C2941, 'STOK RAPORU'!$C$2:$I$1000, 4, 0))), 0)</f>
        <v>0</v>
      </c>
      <c r="U2941" s="22">
        <f t="shared" si="180"/>
        <v>0</v>
      </c>
      <c r="V2941">
        <f t="shared" si="181"/>
        <v>0</v>
      </c>
      <c r="W2941" s="22">
        <f t="shared" si="182"/>
        <v>0</v>
      </c>
    </row>
    <row r="2942" spans="1:23" hidden="1" x14ac:dyDescent="0.25">
      <c r="A2942" s="3">
        <v>46027</v>
      </c>
      <c r="B2942" s="4" t="s">
        <v>334</v>
      </c>
      <c r="C2942" s="4" t="s">
        <v>1327</v>
      </c>
      <c r="D2942" s="4"/>
      <c r="E2942" s="4"/>
      <c r="F2942" s="46" t="s">
        <v>1609</v>
      </c>
      <c r="G2942" s="4" t="s">
        <v>338</v>
      </c>
      <c r="H2942" s="4" t="s">
        <v>289</v>
      </c>
      <c r="I2942" s="4">
        <v>1</v>
      </c>
      <c r="J2942" s="21">
        <v>135</v>
      </c>
      <c r="K2942" s="21">
        <v>0</v>
      </c>
      <c r="L2942" s="5">
        <v>0</v>
      </c>
      <c r="M2942" s="4"/>
      <c r="N2942" s="4"/>
      <c r="O2942" s="5"/>
      <c r="P2942" s="5"/>
      <c r="Q2942" s="21">
        <v>135</v>
      </c>
      <c r="R2942" s="21">
        <v>0</v>
      </c>
      <c r="S2942" s="5">
        <f t="shared" si="183"/>
        <v>31049.045120151994</v>
      </c>
      <c r="T2942" cm="1">
        <f t="array" ref="T2942">IF(OR(B2942="MAL ALIMI", B2942="ÜRETİM GİRİŞ"), MIN(I2942, MAX(0, I2942 + SUM(SUMIFS($I$1:I2941, $C$1:C2941, C2942, $B$1:B2941, {"MAL ALIMI","ÜRETİM GİRİŞ"})) - VLOOKUP(C2942, 'STOK RAPORU'!$C$2:$I$1000, 4, 0))), 0)</f>
        <v>0</v>
      </c>
      <c r="U2942" s="22">
        <f t="shared" si="180"/>
        <v>0</v>
      </c>
      <c r="V2942">
        <f t="shared" si="181"/>
        <v>0</v>
      </c>
      <c r="W2942" s="22">
        <f t="shared" si="182"/>
        <v>0</v>
      </c>
    </row>
    <row r="2943" spans="1:23" hidden="1" x14ac:dyDescent="0.25">
      <c r="A2943" s="3">
        <v>46027</v>
      </c>
      <c r="B2943" s="4" t="s">
        <v>334</v>
      </c>
      <c r="C2943" s="4" t="s">
        <v>748</v>
      </c>
      <c r="D2943" s="4"/>
      <c r="E2943" s="4"/>
      <c r="F2943" s="46" t="s">
        <v>1609</v>
      </c>
      <c r="G2943" s="4" t="s">
        <v>338</v>
      </c>
      <c r="H2943" s="4" t="s">
        <v>289</v>
      </c>
      <c r="I2943" s="4">
        <v>1</v>
      </c>
      <c r="J2943" s="21">
        <v>220</v>
      </c>
      <c r="K2943" s="21">
        <v>0</v>
      </c>
      <c r="L2943" s="5">
        <v>0</v>
      </c>
      <c r="M2943" s="4"/>
      <c r="N2943" s="4"/>
      <c r="O2943" s="5"/>
      <c r="P2943" s="5"/>
      <c r="Q2943" s="21">
        <v>220</v>
      </c>
      <c r="R2943" s="21">
        <v>0</v>
      </c>
      <c r="S2943" s="5">
        <f t="shared" si="183"/>
        <v>31269.045120151994</v>
      </c>
      <c r="T2943" cm="1">
        <f t="array" ref="T2943">IF(OR(B2943="MAL ALIMI", B2943="ÜRETİM GİRİŞ"), MIN(I2943, MAX(0, I2943 + SUM(SUMIFS($I$1:I2942, $C$1:C2942, C2943, $B$1:B2942, {"MAL ALIMI","ÜRETİM GİRİŞ"})) - VLOOKUP(C2943, 'STOK RAPORU'!$C$2:$I$1000, 4, 0))), 0)</f>
        <v>0</v>
      </c>
      <c r="U2943" s="22">
        <f t="shared" si="180"/>
        <v>0</v>
      </c>
      <c r="V2943">
        <f t="shared" si="181"/>
        <v>0</v>
      </c>
      <c r="W2943" s="22">
        <f t="shared" si="182"/>
        <v>0</v>
      </c>
    </row>
    <row r="2944" spans="1:23" hidden="1" x14ac:dyDescent="0.25">
      <c r="A2944" s="3">
        <v>46027</v>
      </c>
      <c r="B2944" s="4" t="s">
        <v>334</v>
      </c>
      <c r="C2944" s="4" t="s">
        <v>129</v>
      </c>
      <c r="D2944" s="4"/>
      <c r="E2944" s="4"/>
      <c r="F2944" s="46" t="s">
        <v>1609</v>
      </c>
      <c r="G2944" s="4" t="s">
        <v>338</v>
      </c>
      <c r="H2944" s="4" t="s">
        <v>289</v>
      </c>
      <c r="I2944" s="4">
        <v>0.19600000000000001</v>
      </c>
      <c r="J2944" s="21">
        <v>390</v>
      </c>
      <c r="K2944" s="21">
        <v>0</v>
      </c>
      <c r="L2944" s="5">
        <v>0</v>
      </c>
      <c r="M2944" s="4"/>
      <c r="N2944" s="4"/>
      <c r="O2944" s="5"/>
      <c r="P2944" s="5"/>
      <c r="Q2944" s="21">
        <v>76.44</v>
      </c>
      <c r="R2944" s="21">
        <v>0</v>
      </c>
      <c r="S2944" s="5">
        <f t="shared" si="183"/>
        <v>31345.485120151992</v>
      </c>
      <c r="T2944" cm="1">
        <f t="array" ref="T2944">IF(OR(B2944="MAL ALIMI", B2944="ÜRETİM GİRİŞ"), MIN(I2944, MAX(0, I2944 + SUM(SUMIFS($I$1:I2943, $C$1:C2943, C2944, $B$1:B2943, {"MAL ALIMI","ÜRETİM GİRİŞ"})) - VLOOKUP(C2944, 'STOK RAPORU'!$C$2:$I$1000, 4, 0))), 0)</f>
        <v>0</v>
      </c>
      <c r="U2944" s="22">
        <f t="shared" si="180"/>
        <v>0</v>
      </c>
      <c r="V2944">
        <f t="shared" si="181"/>
        <v>0</v>
      </c>
      <c r="W2944" s="22">
        <f t="shared" si="182"/>
        <v>0</v>
      </c>
    </row>
    <row r="2945" spans="1:23" hidden="1" x14ac:dyDescent="0.25">
      <c r="A2945" s="3">
        <v>46027</v>
      </c>
      <c r="B2945" s="4" t="s">
        <v>334</v>
      </c>
      <c r="C2945" s="4" t="s">
        <v>96</v>
      </c>
      <c r="D2945" s="4"/>
      <c r="E2945" s="4"/>
      <c r="F2945" s="46" t="s">
        <v>1609</v>
      </c>
      <c r="G2945" s="4" t="s">
        <v>338</v>
      </c>
      <c r="H2945" s="4" t="s">
        <v>289</v>
      </c>
      <c r="I2945" s="4">
        <v>0.16</v>
      </c>
      <c r="J2945" s="21">
        <v>380</v>
      </c>
      <c r="K2945" s="21">
        <v>0</v>
      </c>
      <c r="L2945" s="5">
        <v>0</v>
      </c>
      <c r="M2945" s="4"/>
      <c r="N2945" s="4"/>
      <c r="O2945" s="5"/>
      <c r="P2945" s="5"/>
      <c r="Q2945" s="21">
        <v>60.800000000000004</v>
      </c>
      <c r="R2945" s="21">
        <v>0</v>
      </c>
      <c r="S2945" s="5">
        <f t="shared" si="183"/>
        <v>31406.285120151992</v>
      </c>
      <c r="T2945" cm="1">
        <f t="array" ref="T2945">IF(OR(B2945="MAL ALIMI", B2945="ÜRETİM GİRİŞ"), MIN(I2945, MAX(0, I2945 + SUM(SUMIFS($I$1:I2944, $C$1:C2944, C2945, $B$1:B2944, {"MAL ALIMI","ÜRETİM GİRİŞ"})) - VLOOKUP(C2945, 'STOK RAPORU'!$C$2:$I$1000, 4, 0))), 0)</f>
        <v>0</v>
      </c>
      <c r="U2945" s="22">
        <f t="shared" si="180"/>
        <v>0</v>
      </c>
      <c r="V2945">
        <f t="shared" si="181"/>
        <v>0</v>
      </c>
      <c r="W2945" s="22">
        <f t="shared" si="182"/>
        <v>0</v>
      </c>
    </row>
    <row r="2946" spans="1:23" hidden="1" x14ac:dyDescent="0.25">
      <c r="A2946" s="3">
        <v>46027</v>
      </c>
      <c r="B2946" s="4" t="s">
        <v>334</v>
      </c>
      <c r="C2946" s="4" t="s">
        <v>131</v>
      </c>
      <c r="D2946" s="4"/>
      <c r="E2946" s="4"/>
      <c r="F2946" s="46" t="s">
        <v>1609</v>
      </c>
      <c r="G2946" s="4" t="s">
        <v>338</v>
      </c>
      <c r="H2946" s="4" t="s">
        <v>289</v>
      </c>
      <c r="I2946" s="4">
        <v>7.8E-2</v>
      </c>
      <c r="J2946" s="21">
        <v>400</v>
      </c>
      <c r="K2946" s="21">
        <v>0</v>
      </c>
      <c r="L2946" s="5">
        <v>0</v>
      </c>
      <c r="M2946" s="4"/>
      <c r="N2946" s="4"/>
      <c r="O2946" s="5"/>
      <c r="P2946" s="5"/>
      <c r="Q2946" s="21">
        <v>31.2</v>
      </c>
      <c r="R2946" s="21">
        <v>0</v>
      </c>
      <c r="S2946" s="5">
        <f t="shared" si="183"/>
        <v>31437.485120151992</v>
      </c>
      <c r="T2946" cm="1">
        <f t="array" ref="T2946">IF(OR(B2946="MAL ALIMI", B2946="ÜRETİM GİRİŞ"), MIN(I2946, MAX(0, I2946 + SUM(SUMIFS($I$1:I2945, $C$1:C2945, C2946, $B$1:B2945, {"MAL ALIMI","ÜRETİM GİRİŞ"})) - VLOOKUP(C2946, 'STOK RAPORU'!$C$2:$I$1000, 4, 0))), 0)</f>
        <v>0</v>
      </c>
      <c r="U2946" s="22">
        <f t="shared" si="180"/>
        <v>0</v>
      </c>
      <c r="V2946">
        <f t="shared" si="181"/>
        <v>0</v>
      </c>
      <c r="W2946" s="22">
        <f t="shared" si="182"/>
        <v>0</v>
      </c>
    </row>
    <row r="2947" spans="1:23" hidden="1" x14ac:dyDescent="0.25">
      <c r="A2947" s="3">
        <v>46027</v>
      </c>
      <c r="B2947" s="4" t="s">
        <v>334</v>
      </c>
      <c r="C2947" s="4" t="s">
        <v>132</v>
      </c>
      <c r="D2947" s="4"/>
      <c r="E2947" s="4"/>
      <c r="F2947" s="46" t="s">
        <v>1609</v>
      </c>
      <c r="G2947" s="4" t="s">
        <v>338</v>
      </c>
      <c r="H2947" s="4" t="s">
        <v>289</v>
      </c>
      <c r="I2947" s="4">
        <v>0.188</v>
      </c>
      <c r="J2947" s="21">
        <v>500</v>
      </c>
      <c r="K2947" s="21">
        <v>0</v>
      </c>
      <c r="L2947" s="5">
        <v>0</v>
      </c>
      <c r="M2947" s="4"/>
      <c r="N2947" s="4"/>
      <c r="O2947" s="5"/>
      <c r="P2947" s="5"/>
      <c r="Q2947" s="21">
        <v>94</v>
      </c>
      <c r="R2947" s="21">
        <v>0</v>
      </c>
      <c r="S2947" s="5">
        <f t="shared" si="183"/>
        <v>31531.485120151992</v>
      </c>
      <c r="T2947" cm="1">
        <f t="array" ref="T2947">IF(OR(B2947="MAL ALIMI", B2947="ÜRETİM GİRİŞ"), MIN(I2947, MAX(0, I2947 + SUM(SUMIFS($I$1:I2946, $C$1:C2946, C2947, $B$1:B2946, {"MAL ALIMI","ÜRETİM GİRİŞ"})) - VLOOKUP(C2947, 'STOK RAPORU'!$C$2:$I$1000, 4, 0))), 0)</f>
        <v>0</v>
      </c>
      <c r="U2947" s="22">
        <f t="shared" ref="U2947:U3010" si="184">T2947*J2947</f>
        <v>0</v>
      </c>
      <c r="V2947">
        <f t="shared" ref="V2947:V3010" si="185">IF(OR(B2947="MAL ALIMI", B2947="ÜRETİM GİRİŞ"), I2947 * J2947, 0)</f>
        <v>0</v>
      </c>
      <c r="W2947" s="22">
        <f t="shared" ref="W2947:W3010" si="186">V2947-U2947</f>
        <v>0</v>
      </c>
    </row>
    <row r="2948" spans="1:23" hidden="1" x14ac:dyDescent="0.25">
      <c r="A2948" s="3">
        <v>46027</v>
      </c>
      <c r="B2948" s="4" t="s">
        <v>334</v>
      </c>
      <c r="C2948" s="4" t="s">
        <v>202</v>
      </c>
      <c r="D2948" s="4"/>
      <c r="E2948" s="4"/>
      <c r="F2948" s="46" t="s">
        <v>1609</v>
      </c>
      <c r="G2948" s="4" t="s">
        <v>338</v>
      </c>
      <c r="H2948" s="4" t="s">
        <v>289</v>
      </c>
      <c r="I2948" s="4">
        <v>0.5</v>
      </c>
      <c r="J2948" s="21">
        <v>80</v>
      </c>
      <c r="K2948" s="21">
        <v>0</v>
      </c>
      <c r="L2948" s="5">
        <v>0</v>
      </c>
      <c r="M2948" s="4"/>
      <c r="N2948" s="4"/>
      <c r="O2948" s="5"/>
      <c r="P2948" s="5"/>
      <c r="Q2948" s="21">
        <v>40</v>
      </c>
      <c r="R2948" s="21">
        <v>0</v>
      </c>
      <c r="S2948" s="5">
        <f t="shared" ref="S2948:S3011" si="187">S2947+Q2948-R2948</f>
        <v>31571.485120151992</v>
      </c>
      <c r="T2948" cm="1">
        <f t="array" ref="T2948">IF(OR(B2948="MAL ALIMI", B2948="ÜRETİM GİRİŞ"), MIN(I2948, MAX(0, I2948 + SUM(SUMIFS($I$1:I2947, $C$1:C2947, C2948, $B$1:B2947, {"MAL ALIMI","ÜRETİM GİRİŞ"})) - VLOOKUP(C2948, 'STOK RAPORU'!$C$2:$I$1000, 4, 0))), 0)</f>
        <v>0</v>
      </c>
      <c r="U2948" s="22">
        <f t="shared" si="184"/>
        <v>0</v>
      </c>
      <c r="V2948">
        <f t="shared" si="185"/>
        <v>0</v>
      </c>
      <c r="W2948" s="22">
        <f t="shared" si="186"/>
        <v>0</v>
      </c>
    </row>
    <row r="2949" spans="1:23" hidden="1" x14ac:dyDescent="0.25">
      <c r="A2949" s="3">
        <v>46027</v>
      </c>
      <c r="B2949" s="4" t="s">
        <v>334</v>
      </c>
      <c r="C2949" s="4" t="s">
        <v>126</v>
      </c>
      <c r="D2949" s="4"/>
      <c r="E2949" s="4"/>
      <c r="F2949" s="46" t="s">
        <v>1609</v>
      </c>
      <c r="G2949" s="4" t="s">
        <v>338</v>
      </c>
      <c r="H2949" s="4" t="s">
        <v>289</v>
      </c>
      <c r="I2949" s="4">
        <v>9.8000000000000004E-2</v>
      </c>
      <c r="J2949" s="21">
        <v>640</v>
      </c>
      <c r="K2949" s="21">
        <v>0</v>
      </c>
      <c r="L2949" s="5">
        <v>0</v>
      </c>
      <c r="M2949" s="4"/>
      <c r="N2949" s="4"/>
      <c r="O2949" s="5"/>
      <c r="P2949" s="5"/>
      <c r="Q2949" s="21">
        <v>62.72</v>
      </c>
      <c r="R2949" s="21">
        <v>0</v>
      </c>
      <c r="S2949" s="5">
        <f t="shared" si="187"/>
        <v>31634.205120151993</v>
      </c>
      <c r="T2949" cm="1">
        <f t="array" ref="T2949">IF(OR(B2949="MAL ALIMI", B2949="ÜRETİM GİRİŞ"), MIN(I2949, MAX(0, I2949 + SUM(SUMIFS($I$1:I2948, $C$1:C2948, C2949, $B$1:B2948, {"MAL ALIMI","ÜRETİM GİRİŞ"})) - VLOOKUP(C2949, 'STOK RAPORU'!$C$2:$I$1000, 4, 0))), 0)</f>
        <v>0</v>
      </c>
      <c r="U2949" s="22">
        <f t="shared" si="184"/>
        <v>0</v>
      </c>
      <c r="V2949">
        <f t="shared" si="185"/>
        <v>0</v>
      </c>
      <c r="W2949" s="22">
        <f t="shared" si="186"/>
        <v>0</v>
      </c>
    </row>
    <row r="2950" spans="1:23" hidden="1" x14ac:dyDescent="0.25">
      <c r="A2950" s="3">
        <v>46027</v>
      </c>
      <c r="B2950" s="4" t="s">
        <v>334</v>
      </c>
      <c r="C2950" s="4" t="s">
        <v>208</v>
      </c>
      <c r="D2950" s="4"/>
      <c r="E2950" s="4"/>
      <c r="F2950" s="46" t="s">
        <v>1609</v>
      </c>
      <c r="G2950" s="4" t="s">
        <v>338</v>
      </c>
      <c r="H2950" s="4" t="s">
        <v>289</v>
      </c>
      <c r="I2950" s="4">
        <v>0.5</v>
      </c>
      <c r="J2950" s="21">
        <v>140</v>
      </c>
      <c r="K2950" s="21">
        <v>0</v>
      </c>
      <c r="L2950" s="5">
        <v>0</v>
      </c>
      <c r="M2950" s="4"/>
      <c r="N2950" s="4"/>
      <c r="O2950" s="5"/>
      <c r="P2950" s="5"/>
      <c r="Q2950" s="21">
        <v>70</v>
      </c>
      <c r="R2950" s="21">
        <v>0</v>
      </c>
      <c r="S2950" s="5">
        <f t="shared" si="187"/>
        <v>31704.205120151993</v>
      </c>
      <c r="T2950" cm="1">
        <f t="array" ref="T2950">IF(OR(B2950="MAL ALIMI", B2950="ÜRETİM GİRİŞ"), MIN(I2950, MAX(0, I2950 + SUM(SUMIFS($I$1:I2949, $C$1:C2949, C2950, $B$1:B2949, {"MAL ALIMI","ÜRETİM GİRİŞ"})) - VLOOKUP(C2950, 'STOK RAPORU'!$C$2:$I$1000, 4, 0))), 0)</f>
        <v>0</v>
      </c>
      <c r="U2950" s="22">
        <f t="shared" si="184"/>
        <v>0</v>
      </c>
      <c r="V2950">
        <f t="shared" si="185"/>
        <v>0</v>
      </c>
      <c r="W2950" s="22">
        <f t="shared" si="186"/>
        <v>0</v>
      </c>
    </row>
    <row r="2951" spans="1:23" hidden="1" x14ac:dyDescent="0.25">
      <c r="A2951" s="3">
        <v>46027</v>
      </c>
      <c r="B2951" s="4" t="s">
        <v>334</v>
      </c>
      <c r="C2951" s="4" t="s">
        <v>651</v>
      </c>
      <c r="D2951" s="4"/>
      <c r="E2951" s="4"/>
      <c r="F2951" s="46" t="s">
        <v>1609</v>
      </c>
      <c r="G2951" s="4" t="s">
        <v>338</v>
      </c>
      <c r="H2951" s="4" t="s">
        <v>289</v>
      </c>
      <c r="I2951" s="4">
        <v>1</v>
      </c>
      <c r="J2951" s="21">
        <v>400</v>
      </c>
      <c r="K2951" s="21">
        <v>0</v>
      </c>
      <c r="L2951" s="5">
        <v>0</v>
      </c>
      <c r="M2951" s="4"/>
      <c r="N2951" s="4"/>
      <c r="O2951" s="5"/>
      <c r="P2951" s="5"/>
      <c r="Q2951" s="21">
        <v>400</v>
      </c>
      <c r="R2951" s="21">
        <v>0</v>
      </c>
      <c r="S2951" s="5">
        <f t="shared" si="187"/>
        <v>32104.205120151993</v>
      </c>
      <c r="T2951" cm="1">
        <f t="array" ref="T2951">IF(OR(B2951="MAL ALIMI", B2951="ÜRETİM GİRİŞ"), MIN(I2951, MAX(0, I2951 + SUM(SUMIFS($I$1:I2950, $C$1:C2950, C2951, $B$1:B2950, {"MAL ALIMI","ÜRETİM GİRİŞ"})) - VLOOKUP(C2951, 'STOK RAPORU'!$C$2:$I$1000, 4, 0))), 0)</f>
        <v>0</v>
      </c>
      <c r="U2951" s="22">
        <f t="shared" si="184"/>
        <v>0</v>
      </c>
      <c r="V2951">
        <f t="shared" si="185"/>
        <v>0</v>
      </c>
      <c r="W2951" s="22">
        <f t="shared" si="186"/>
        <v>0</v>
      </c>
    </row>
    <row r="2952" spans="1:23" hidden="1" x14ac:dyDescent="0.25">
      <c r="A2952" s="3">
        <v>46027</v>
      </c>
      <c r="B2952" s="4" t="s">
        <v>334</v>
      </c>
      <c r="C2952" s="4" t="s">
        <v>587</v>
      </c>
      <c r="D2952" s="4"/>
      <c r="E2952" s="4"/>
      <c r="F2952" s="46" t="s">
        <v>1609</v>
      </c>
      <c r="G2952" s="4" t="s">
        <v>338</v>
      </c>
      <c r="H2952" s="4" t="s">
        <v>289</v>
      </c>
      <c r="I2952" s="4">
        <v>1</v>
      </c>
      <c r="J2952" s="21">
        <v>150</v>
      </c>
      <c r="K2952" s="21">
        <v>0</v>
      </c>
      <c r="L2952" s="5">
        <v>0</v>
      </c>
      <c r="M2952" s="4"/>
      <c r="N2952" s="4"/>
      <c r="O2952" s="5"/>
      <c r="P2952" s="5"/>
      <c r="Q2952" s="21">
        <v>150</v>
      </c>
      <c r="R2952" s="21">
        <v>0</v>
      </c>
      <c r="S2952" s="5">
        <f t="shared" si="187"/>
        <v>32254.205120151993</v>
      </c>
      <c r="T2952" cm="1">
        <f t="array" ref="T2952">IF(OR(B2952="MAL ALIMI", B2952="ÜRETİM GİRİŞ"), MIN(I2952, MAX(0, I2952 + SUM(SUMIFS($I$1:I2951, $C$1:C2951, C2952, $B$1:B2951, {"MAL ALIMI","ÜRETİM GİRİŞ"})) - VLOOKUP(C2952, 'STOK RAPORU'!$C$2:$I$1000, 4, 0))), 0)</f>
        <v>0</v>
      </c>
      <c r="U2952" s="22">
        <f t="shared" si="184"/>
        <v>0</v>
      </c>
      <c r="V2952">
        <f t="shared" si="185"/>
        <v>0</v>
      </c>
      <c r="W2952" s="22">
        <f t="shared" si="186"/>
        <v>0</v>
      </c>
    </row>
    <row r="2953" spans="1:23" hidden="1" x14ac:dyDescent="0.25">
      <c r="A2953" s="3">
        <v>46027</v>
      </c>
      <c r="B2953" s="4" t="s">
        <v>334</v>
      </c>
      <c r="C2953" s="46" t="s">
        <v>585</v>
      </c>
      <c r="D2953" s="4"/>
      <c r="E2953" s="4"/>
      <c r="F2953" s="46" t="s">
        <v>1609</v>
      </c>
      <c r="G2953" s="4" t="s">
        <v>338</v>
      </c>
      <c r="H2953" s="4" t="s">
        <v>289</v>
      </c>
      <c r="I2953" s="4">
        <v>1</v>
      </c>
      <c r="J2953" s="21">
        <v>200</v>
      </c>
      <c r="K2953" s="21">
        <v>0</v>
      </c>
      <c r="L2953" s="5">
        <v>0</v>
      </c>
      <c r="M2953" s="4"/>
      <c r="N2953" s="4"/>
      <c r="O2953" s="5"/>
      <c r="P2953" s="5"/>
      <c r="Q2953" s="21">
        <v>200</v>
      </c>
      <c r="R2953" s="21">
        <v>0</v>
      </c>
      <c r="S2953" s="5">
        <f t="shared" si="187"/>
        <v>32454.205120151993</v>
      </c>
      <c r="T2953" cm="1">
        <f t="array" ref="T2953">IF(OR(B2953="MAL ALIMI", B2953="ÜRETİM GİRİŞ"), MIN(I2953, MAX(0, I2953 + SUM(SUMIFS($I$1:I2952, $C$1:C2952, C2953, $B$1:B2952, {"MAL ALIMI","ÜRETİM GİRİŞ"})) - VLOOKUP(C2953, 'STOK RAPORU'!$C$2:$I$1000, 4, 0))), 0)</f>
        <v>0</v>
      </c>
      <c r="U2953" s="22">
        <f t="shared" si="184"/>
        <v>0</v>
      </c>
      <c r="V2953">
        <f t="shared" si="185"/>
        <v>0</v>
      </c>
      <c r="W2953" s="22">
        <f t="shared" si="186"/>
        <v>0</v>
      </c>
    </row>
    <row r="2954" spans="1:23" hidden="1" x14ac:dyDescent="0.25">
      <c r="A2954" s="3">
        <v>46027</v>
      </c>
      <c r="B2954" s="4" t="s">
        <v>334</v>
      </c>
      <c r="C2954" s="4" t="s">
        <v>466</v>
      </c>
      <c r="D2954" s="4"/>
      <c r="E2954" s="4"/>
      <c r="F2954" s="46" t="s">
        <v>1609</v>
      </c>
      <c r="G2954" s="4" t="s">
        <v>338</v>
      </c>
      <c r="H2954" s="4" t="s">
        <v>289</v>
      </c>
      <c r="I2954" s="4">
        <v>1</v>
      </c>
      <c r="J2954" s="21">
        <v>35</v>
      </c>
      <c r="K2954" s="21">
        <v>0</v>
      </c>
      <c r="L2954" s="5">
        <v>0</v>
      </c>
      <c r="M2954" s="4"/>
      <c r="N2954" s="4"/>
      <c r="O2954" s="5"/>
      <c r="P2954" s="5"/>
      <c r="Q2954" s="21">
        <v>35</v>
      </c>
      <c r="R2954" s="21">
        <v>0</v>
      </c>
      <c r="S2954" s="5">
        <f t="shared" si="187"/>
        <v>32489.205120151993</v>
      </c>
      <c r="T2954" cm="1">
        <f t="array" ref="T2954">IF(OR(B2954="MAL ALIMI", B2954="ÜRETİM GİRİŞ"), MIN(I2954, MAX(0, I2954 + SUM(SUMIFS($I$1:I2953, $C$1:C2953, C2954, $B$1:B2953, {"MAL ALIMI","ÜRETİM GİRİŞ"})) - VLOOKUP(C2954, 'STOK RAPORU'!$C$2:$I$1000, 4, 0))), 0)</f>
        <v>0</v>
      </c>
      <c r="U2954" s="22">
        <f t="shared" si="184"/>
        <v>0</v>
      </c>
      <c r="V2954">
        <f t="shared" si="185"/>
        <v>0</v>
      </c>
      <c r="W2954" s="22">
        <f t="shared" si="186"/>
        <v>0</v>
      </c>
    </row>
    <row r="2955" spans="1:23" hidden="1" x14ac:dyDescent="0.25">
      <c r="A2955" s="3">
        <v>46027</v>
      </c>
      <c r="B2955" s="4" t="s">
        <v>334</v>
      </c>
      <c r="C2955" s="4" t="s">
        <v>465</v>
      </c>
      <c r="D2955" s="4"/>
      <c r="E2955" s="4"/>
      <c r="F2955" s="46" t="s">
        <v>1609</v>
      </c>
      <c r="G2955" s="4" t="s">
        <v>338</v>
      </c>
      <c r="H2955" s="4" t="s">
        <v>289</v>
      </c>
      <c r="I2955" s="4">
        <v>1</v>
      </c>
      <c r="J2955" s="21">
        <v>35</v>
      </c>
      <c r="K2955" s="21">
        <v>0</v>
      </c>
      <c r="L2955" s="5">
        <v>0</v>
      </c>
      <c r="M2955" s="4"/>
      <c r="N2955" s="4"/>
      <c r="O2955" s="5"/>
      <c r="P2955" s="5"/>
      <c r="Q2955" s="21">
        <v>35</v>
      </c>
      <c r="R2955" s="21">
        <v>0</v>
      </c>
      <c r="S2955" s="5">
        <f t="shared" si="187"/>
        <v>32524.205120151993</v>
      </c>
      <c r="T2955" cm="1">
        <f t="array" ref="T2955">IF(OR(B2955="MAL ALIMI", B2955="ÜRETİM GİRİŞ"), MIN(I2955, MAX(0, I2955 + SUM(SUMIFS($I$1:I2954, $C$1:C2954, C2955, $B$1:B2954, {"MAL ALIMI","ÜRETİM GİRİŞ"})) - VLOOKUP(C2955, 'STOK RAPORU'!$C$2:$I$1000, 4, 0))), 0)</f>
        <v>0</v>
      </c>
      <c r="U2955" s="22">
        <f t="shared" si="184"/>
        <v>0</v>
      </c>
      <c r="V2955">
        <f t="shared" si="185"/>
        <v>0</v>
      </c>
      <c r="W2955" s="22">
        <f t="shared" si="186"/>
        <v>0</v>
      </c>
    </row>
    <row r="2956" spans="1:23" hidden="1" x14ac:dyDescent="0.25">
      <c r="A2956" s="3">
        <v>46027</v>
      </c>
      <c r="B2956" s="4" t="s">
        <v>334</v>
      </c>
      <c r="C2956" s="4" t="s">
        <v>467</v>
      </c>
      <c r="D2956" s="4"/>
      <c r="E2956" s="4"/>
      <c r="F2956" s="46" t="s">
        <v>1609</v>
      </c>
      <c r="G2956" s="4" t="s">
        <v>338</v>
      </c>
      <c r="H2956" s="4" t="s">
        <v>289</v>
      </c>
      <c r="I2956" s="4">
        <v>1</v>
      </c>
      <c r="J2956" s="21">
        <v>35</v>
      </c>
      <c r="K2956" s="21">
        <v>0</v>
      </c>
      <c r="L2956" s="5">
        <v>0</v>
      </c>
      <c r="M2956" s="4"/>
      <c r="N2956" s="4"/>
      <c r="O2956" s="5"/>
      <c r="P2956" s="5"/>
      <c r="Q2956" s="21">
        <v>35</v>
      </c>
      <c r="R2956" s="21">
        <v>0</v>
      </c>
      <c r="S2956" s="5">
        <f t="shared" si="187"/>
        <v>32559.205120151993</v>
      </c>
      <c r="T2956" cm="1">
        <f t="array" ref="T2956">IF(OR(B2956="MAL ALIMI", B2956="ÜRETİM GİRİŞ"), MIN(I2956, MAX(0, I2956 + SUM(SUMIFS($I$1:I2955, $C$1:C2955, C2956, $B$1:B2955, {"MAL ALIMI","ÜRETİM GİRİŞ"})) - VLOOKUP(C2956, 'STOK RAPORU'!$C$2:$I$1000, 4, 0))), 0)</f>
        <v>0</v>
      </c>
      <c r="U2956" s="22">
        <f t="shared" si="184"/>
        <v>0</v>
      </c>
      <c r="V2956">
        <f t="shared" si="185"/>
        <v>0</v>
      </c>
      <c r="W2956" s="22">
        <f t="shared" si="186"/>
        <v>0</v>
      </c>
    </row>
    <row r="2957" spans="1:23" hidden="1" x14ac:dyDescent="0.25">
      <c r="A2957" s="3">
        <v>46027</v>
      </c>
      <c r="B2957" s="4" t="s">
        <v>334</v>
      </c>
      <c r="C2957" s="4" t="s">
        <v>468</v>
      </c>
      <c r="D2957" s="4"/>
      <c r="E2957" s="4"/>
      <c r="F2957" s="46" t="s">
        <v>1609</v>
      </c>
      <c r="G2957" s="4" t="s">
        <v>338</v>
      </c>
      <c r="H2957" s="4" t="s">
        <v>289</v>
      </c>
      <c r="I2957" s="4">
        <v>1</v>
      </c>
      <c r="J2957" s="21">
        <v>35</v>
      </c>
      <c r="K2957" s="21">
        <v>0</v>
      </c>
      <c r="L2957" s="5">
        <v>0</v>
      </c>
      <c r="M2957" s="4"/>
      <c r="N2957" s="4"/>
      <c r="O2957" s="5"/>
      <c r="P2957" s="5"/>
      <c r="Q2957" s="21">
        <v>35</v>
      </c>
      <c r="R2957" s="21">
        <v>0</v>
      </c>
      <c r="S2957" s="5">
        <f t="shared" si="187"/>
        <v>32594.205120151993</v>
      </c>
      <c r="T2957" cm="1">
        <f t="array" ref="T2957">IF(OR(B2957="MAL ALIMI", B2957="ÜRETİM GİRİŞ"), MIN(I2957, MAX(0, I2957 + SUM(SUMIFS($I$1:I2956, $C$1:C2956, C2957, $B$1:B2956, {"MAL ALIMI","ÜRETİM GİRİŞ"})) - VLOOKUP(C2957, 'STOK RAPORU'!$C$2:$I$1000, 4, 0))), 0)</f>
        <v>0</v>
      </c>
      <c r="U2957" s="22">
        <f t="shared" si="184"/>
        <v>0</v>
      </c>
      <c r="V2957">
        <f t="shared" si="185"/>
        <v>0</v>
      </c>
      <c r="W2957" s="22">
        <f t="shared" si="186"/>
        <v>0</v>
      </c>
    </row>
    <row r="2958" spans="1:23" hidden="1" x14ac:dyDescent="0.25">
      <c r="A2958" s="3">
        <v>46027</v>
      </c>
      <c r="B2958" s="4" t="s">
        <v>334</v>
      </c>
      <c r="C2958" s="4" t="s">
        <v>467</v>
      </c>
      <c r="D2958" s="4"/>
      <c r="E2958" s="4"/>
      <c r="F2958" s="46" t="s">
        <v>1609</v>
      </c>
      <c r="G2958" s="4" t="s">
        <v>338</v>
      </c>
      <c r="H2958" s="4" t="s">
        <v>289</v>
      </c>
      <c r="I2958" s="4">
        <v>1</v>
      </c>
      <c r="J2958" s="21">
        <v>35</v>
      </c>
      <c r="K2958" s="21">
        <v>0</v>
      </c>
      <c r="L2958" s="5">
        <v>0</v>
      </c>
      <c r="M2958" s="4"/>
      <c r="N2958" s="4"/>
      <c r="O2958" s="5"/>
      <c r="P2958" s="5"/>
      <c r="Q2958" s="21">
        <v>35</v>
      </c>
      <c r="R2958" s="21">
        <v>0</v>
      </c>
      <c r="S2958" s="5">
        <f t="shared" si="187"/>
        <v>32629.205120151993</v>
      </c>
      <c r="T2958" cm="1">
        <f t="array" ref="T2958">IF(OR(B2958="MAL ALIMI", B2958="ÜRETİM GİRİŞ"), MIN(I2958, MAX(0, I2958 + SUM(SUMIFS($I$1:I2957, $C$1:C2957, C2958, $B$1:B2957, {"MAL ALIMI","ÜRETİM GİRİŞ"})) - VLOOKUP(C2958, 'STOK RAPORU'!$C$2:$I$1000, 4, 0))), 0)</f>
        <v>0</v>
      </c>
      <c r="U2958" s="22">
        <f t="shared" si="184"/>
        <v>0</v>
      </c>
      <c r="V2958">
        <f t="shared" si="185"/>
        <v>0</v>
      </c>
      <c r="W2958" s="22">
        <f t="shared" si="186"/>
        <v>0</v>
      </c>
    </row>
    <row r="2959" spans="1:23" hidden="1" x14ac:dyDescent="0.25">
      <c r="A2959" s="3">
        <v>46027</v>
      </c>
      <c r="B2959" s="4" t="s">
        <v>334</v>
      </c>
      <c r="C2959" s="4" t="s">
        <v>467</v>
      </c>
      <c r="D2959" s="4"/>
      <c r="E2959" s="4"/>
      <c r="F2959" s="46" t="s">
        <v>1609</v>
      </c>
      <c r="G2959" s="4" t="s">
        <v>338</v>
      </c>
      <c r="H2959" s="4" t="s">
        <v>289</v>
      </c>
      <c r="I2959" s="4">
        <v>1</v>
      </c>
      <c r="J2959" s="21">
        <v>35</v>
      </c>
      <c r="K2959" s="21">
        <v>0</v>
      </c>
      <c r="L2959" s="5">
        <v>0</v>
      </c>
      <c r="M2959" s="4"/>
      <c r="N2959" s="4"/>
      <c r="O2959" s="5"/>
      <c r="P2959" s="5"/>
      <c r="Q2959" s="21">
        <v>35</v>
      </c>
      <c r="R2959" s="21">
        <v>0</v>
      </c>
      <c r="S2959" s="5">
        <f t="shared" si="187"/>
        <v>32664.205120151993</v>
      </c>
      <c r="T2959" cm="1">
        <f t="array" ref="T2959">IF(OR(B2959="MAL ALIMI", B2959="ÜRETİM GİRİŞ"), MIN(I2959, MAX(0, I2959 + SUM(SUMIFS($I$1:I2958, $C$1:C2958, C2959, $B$1:B2958, {"MAL ALIMI","ÜRETİM GİRİŞ"})) - VLOOKUP(C2959, 'STOK RAPORU'!$C$2:$I$1000, 4, 0))), 0)</f>
        <v>0</v>
      </c>
      <c r="U2959" s="22">
        <f t="shared" si="184"/>
        <v>0</v>
      </c>
      <c r="V2959">
        <f t="shared" si="185"/>
        <v>0</v>
      </c>
      <c r="W2959" s="22">
        <f t="shared" si="186"/>
        <v>0</v>
      </c>
    </row>
    <row r="2960" spans="1:23" hidden="1" x14ac:dyDescent="0.25">
      <c r="A2960" s="3">
        <v>46027</v>
      </c>
      <c r="B2960" s="4" t="s">
        <v>334</v>
      </c>
      <c r="C2960" s="4" t="s">
        <v>466</v>
      </c>
      <c r="D2960" s="4"/>
      <c r="E2960" s="4"/>
      <c r="F2960" s="46" t="s">
        <v>1609</v>
      </c>
      <c r="G2960" s="4" t="s">
        <v>338</v>
      </c>
      <c r="H2960" s="4" t="s">
        <v>289</v>
      </c>
      <c r="I2960" s="4">
        <v>1</v>
      </c>
      <c r="J2960" s="21">
        <v>35</v>
      </c>
      <c r="K2960" s="21">
        <v>0</v>
      </c>
      <c r="L2960" s="5">
        <v>0</v>
      </c>
      <c r="M2960" s="4"/>
      <c r="N2960" s="4"/>
      <c r="O2960" s="5"/>
      <c r="P2960" s="5"/>
      <c r="Q2960" s="21">
        <v>35</v>
      </c>
      <c r="R2960" s="21">
        <v>0</v>
      </c>
      <c r="S2960" s="5">
        <f t="shared" si="187"/>
        <v>32699.205120151993</v>
      </c>
      <c r="T2960" cm="1">
        <f t="array" ref="T2960">IF(OR(B2960="MAL ALIMI", B2960="ÜRETİM GİRİŞ"), MIN(I2960, MAX(0, I2960 + SUM(SUMIFS($I$1:I2959, $C$1:C2959, C2960, $B$1:B2959, {"MAL ALIMI","ÜRETİM GİRİŞ"})) - VLOOKUP(C2960, 'STOK RAPORU'!$C$2:$I$1000, 4, 0))), 0)</f>
        <v>0</v>
      </c>
      <c r="U2960" s="22">
        <f t="shared" si="184"/>
        <v>0</v>
      </c>
      <c r="V2960">
        <f t="shared" si="185"/>
        <v>0</v>
      </c>
      <c r="W2960" s="22">
        <f t="shared" si="186"/>
        <v>0</v>
      </c>
    </row>
    <row r="2961" spans="1:23" hidden="1" x14ac:dyDescent="0.25">
      <c r="A2961" s="3">
        <v>46027</v>
      </c>
      <c r="B2961" s="4" t="s">
        <v>334</v>
      </c>
      <c r="C2961" s="4" t="s">
        <v>241</v>
      </c>
      <c r="D2961" s="4"/>
      <c r="E2961" s="4"/>
      <c r="F2961" s="46" t="s">
        <v>1609</v>
      </c>
      <c r="G2961" s="4" t="s">
        <v>338</v>
      </c>
      <c r="H2961" s="4" t="s">
        <v>289</v>
      </c>
      <c r="I2961" s="4">
        <v>0.78400000000000003</v>
      </c>
      <c r="J2961" s="21">
        <v>350</v>
      </c>
      <c r="K2961" s="21">
        <v>0</v>
      </c>
      <c r="L2961" s="5">
        <v>0</v>
      </c>
      <c r="M2961" s="4"/>
      <c r="N2961" s="4"/>
      <c r="O2961" s="5"/>
      <c r="P2961" s="5"/>
      <c r="Q2961" s="21">
        <v>274.40000000000003</v>
      </c>
      <c r="R2961" s="21">
        <v>0</v>
      </c>
      <c r="S2961" s="5">
        <f t="shared" si="187"/>
        <v>32973.605120151995</v>
      </c>
      <c r="T2961" cm="1">
        <f t="array" ref="T2961">IF(OR(B2961="MAL ALIMI", B2961="ÜRETİM GİRİŞ"), MIN(I2961, MAX(0, I2961 + SUM(SUMIFS($I$1:I2960, $C$1:C2960, C2961, $B$1:B2960, {"MAL ALIMI","ÜRETİM GİRİŞ"})) - VLOOKUP(C2961, 'STOK RAPORU'!$C$2:$I$1000, 4, 0))), 0)</f>
        <v>0</v>
      </c>
      <c r="U2961" s="22">
        <f t="shared" si="184"/>
        <v>0</v>
      </c>
      <c r="V2961">
        <f t="shared" si="185"/>
        <v>0</v>
      </c>
      <c r="W2961" s="22">
        <f t="shared" si="186"/>
        <v>0</v>
      </c>
    </row>
    <row r="2962" spans="1:23" hidden="1" x14ac:dyDescent="0.25">
      <c r="A2962" s="3">
        <v>46027</v>
      </c>
      <c r="B2962" s="4" t="s">
        <v>334</v>
      </c>
      <c r="C2962" s="4" t="s">
        <v>129</v>
      </c>
      <c r="D2962" s="4"/>
      <c r="E2962" s="4"/>
      <c r="F2962" s="46" t="s">
        <v>1611</v>
      </c>
      <c r="G2962" s="4" t="s">
        <v>1610</v>
      </c>
      <c r="H2962" s="4" t="s">
        <v>289</v>
      </c>
      <c r="I2962" s="4">
        <v>1.3</v>
      </c>
      <c r="J2962" s="21">
        <v>390</v>
      </c>
      <c r="K2962" s="21">
        <v>0</v>
      </c>
      <c r="L2962" s="5">
        <v>0</v>
      </c>
      <c r="M2962" s="4"/>
      <c r="N2962" s="4"/>
      <c r="O2962" s="5"/>
      <c r="P2962" s="5"/>
      <c r="Q2962" s="21">
        <v>507</v>
      </c>
      <c r="R2962" s="21">
        <v>0</v>
      </c>
      <c r="S2962" s="5">
        <f t="shared" si="187"/>
        <v>33480.605120151995</v>
      </c>
      <c r="T2962" cm="1">
        <f t="array" ref="T2962">IF(OR(B2962="MAL ALIMI", B2962="ÜRETİM GİRİŞ"), MIN(I2962, MAX(0, I2962 + SUM(SUMIFS($I$1:I2961, $C$1:C2961, C2962, $B$1:B2961, {"MAL ALIMI","ÜRETİM GİRİŞ"})) - VLOOKUP(C2962, 'STOK RAPORU'!$C$2:$I$1000, 4, 0))), 0)</f>
        <v>0</v>
      </c>
      <c r="U2962" s="22">
        <f t="shared" si="184"/>
        <v>0</v>
      </c>
      <c r="V2962">
        <f t="shared" si="185"/>
        <v>0</v>
      </c>
      <c r="W2962" s="22">
        <f t="shared" si="186"/>
        <v>0</v>
      </c>
    </row>
    <row r="2963" spans="1:23" hidden="1" x14ac:dyDescent="0.25">
      <c r="A2963" s="3">
        <v>46027</v>
      </c>
      <c r="B2963" s="4" t="s">
        <v>334</v>
      </c>
      <c r="C2963" s="4" t="s">
        <v>1150</v>
      </c>
      <c r="D2963" s="4"/>
      <c r="E2963" s="4"/>
      <c r="F2963" s="46" t="s">
        <v>1611</v>
      </c>
      <c r="G2963" s="4" t="s">
        <v>1610</v>
      </c>
      <c r="H2963" s="4" t="s">
        <v>289</v>
      </c>
      <c r="I2963" s="4">
        <v>0.74399999999999999</v>
      </c>
      <c r="J2963" s="21">
        <v>540</v>
      </c>
      <c r="K2963" s="21">
        <v>0</v>
      </c>
      <c r="L2963" s="5">
        <v>0</v>
      </c>
      <c r="M2963" s="4"/>
      <c r="N2963" s="4"/>
      <c r="O2963" s="5"/>
      <c r="P2963" s="5"/>
      <c r="Q2963" s="21">
        <v>401.76</v>
      </c>
      <c r="R2963" s="21">
        <v>0</v>
      </c>
      <c r="S2963" s="5">
        <f t="shared" si="187"/>
        <v>33882.365120151997</v>
      </c>
      <c r="T2963" cm="1">
        <f t="array" ref="T2963">IF(OR(B2963="MAL ALIMI", B2963="ÜRETİM GİRİŞ"), MIN(I2963, MAX(0, I2963 + SUM(SUMIFS($I$1:I2962, $C$1:C2962, C2963, $B$1:B2962, {"MAL ALIMI","ÜRETİM GİRİŞ"})) - VLOOKUP(C2963, 'STOK RAPORU'!$C$2:$I$1000, 4, 0))), 0)</f>
        <v>0</v>
      </c>
      <c r="U2963" s="22">
        <f t="shared" si="184"/>
        <v>0</v>
      </c>
      <c r="V2963">
        <f t="shared" si="185"/>
        <v>0</v>
      </c>
      <c r="W2963" s="22">
        <f t="shared" si="186"/>
        <v>0</v>
      </c>
    </row>
    <row r="2964" spans="1:23" hidden="1" x14ac:dyDescent="0.25">
      <c r="A2964" s="3">
        <v>46027</v>
      </c>
      <c r="B2964" s="4" t="s">
        <v>334</v>
      </c>
      <c r="C2964" s="4" t="s">
        <v>126</v>
      </c>
      <c r="D2964" s="4"/>
      <c r="E2964" s="4"/>
      <c r="F2964" s="46" t="s">
        <v>1611</v>
      </c>
      <c r="G2964" s="4" t="s">
        <v>1610</v>
      </c>
      <c r="H2964" s="4" t="s">
        <v>289</v>
      </c>
      <c r="I2964" s="4">
        <v>0.46799999999999997</v>
      </c>
      <c r="J2964" s="21">
        <v>640</v>
      </c>
      <c r="K2964" s="21">
        <v>0</v>
      </c>
      <c r="L2964" s="5">
        <v>0</v>
      </c>
      <c r="M2964" s="4"/>
      <c r="N2964" s="4"/>
      <c r="O2964" s="5"/>
      <c r="P2964" s="5"/>
      <c r="Q2964" s="21">
        <v>299.52</v>
      </c>
      <c r="R2964" s="21">
        <v>0</v>
      </c>
      <c r="S2964" s="5">
        <f t="shared" si="187"/>
        <v>34181.885120151994</v>
      </c>
      <c r="T2964" cm="1">
        <f t="array" ref="T2964">IF(OR(B2964="MAL ALIMI", B2964="ÜRETİM GİRİŞ"), MIN(I2964, MAX(0, I2964 + SUM(SUMIFS($I$1:I2963, $C$1:C2963, C2964, $B$1:B2963, {"MAL ALIMI","ÜRETİM GİRİŞ"})) - VLOOKUP(C2964, 'STOK RAPORU'!$C$2:$I$1000, 4, 0))), 0)</f>
        <v>0</v>
      </c>
      <c r="U2964" s="22">
        <f t="shared" si="184"/>
        <v>0</v>
      </c>
      <c r="V2964">
        <f t="shared" si="185"/>
        <v>0</v>
      </c>
      <c r="W2964" s="22">
        <f t="shared" si="186"/>
        <v>0</v>
      </c>
    </row>
    <row r="2965" spans="1:23" hidden="1" x14ac:dyDescent="0.25">
      <c r="A2965" s="3">
        <v>46027</v>
      </c>
      <c r="B2965" s="4" t="s">
        <v>334</v>
      </c>
      <c r="C2965" s="4" t="s">
        <v>132</v>
      </c>
      <c r="D2965" s="4"/>
      <c r="E2965" s="4"/>
      <c r="F2965" s="46" t="s">
        <v>1611</v>
      </c>
      <c r="G2965" s="4" t="s">
        <v>1610</v>
      </c>
      <c r="H2965" s="4" t="s">
        <v>289</v>
      </c>
      <c r="I2965" s="4">
        <v>1</v>
      </c>
      <c r="J2965" s="21">
        <v>500</v>
      </c>
      <c r="K2965" s="21">
        <v>0</v>
      </c>
      <c r="L2965" s="5">
        <v>0</v>
      </c>
      <c r="M2965" s="4"/>
      <c r="N2965" s="4"/>
      <c r="O2965" s="5"/>
      <c r="P2965" s="5"/>
      <c r="Q2965" s="21">
        <v>500</v>
      </c>
      <c r="R2965" s="21">
        <v>0</v>
      </c>
      <c r="S2965" s="5">
        <f t="shared" si="187"/>
        <v>34681.885120151994</v>
      </c>
      <c r="T2965" cm="1">
        <f t="array" ref="T2965">IF(OR(B2965="MAL ALIMI", B2965="ÜRETİM GİRİŞ"), MIN(I2965, MAX(0, I2965 + SUM(SUMIFS($I$1:I2964, $C$1:C2964, C2965, $B$1:B2964, {"MAL ALIMI","ÜRETİM GİRİŞ"})) - VLOOKUP(C2965, 'STOK RAPORU'!$C$2:$I$1000, 4, 0))), 0)</f>
        <v>0</v>
      </c>
      <c r="U2965" s="22">
        <f t="shared" si="184"/>
        <v>0</v>
      </c>
      <c r="V2965">
        <f t="shared" si="185"/>
        <v>0</v>
      </c>
      <c r="W2965" s="22">
        <f t="shared" si="186"/>
        <v>0</v>
      </c>
    </row>
    <row r="2966" spans="1:23" hidden="1" x14ac:dyDescent="0.25">
      <c r="A2966" s="3">
        <v>46027</v>
      </c>
      <c r="B2966" s="4" t="s">
        <v>334</v>
      </c>
      <c r="C2966" s="4" t="s">
        <v>133</v>
      </c>
      <c r="D2966" s="4"/>
      <c r="E2966" s="4"/>
      <c r="F2966" s="46" t="s">
        <v>1611</v>
      </c>
      <c r="G2966" s="4" t="s">
        <v>1610</v>
      </c>
      <c r="H2966" s="4" t="s">
        <v>289</v>
      </c>
      <c r="I2966" s="4">
        <v>1.06</v>
      </c>
      <c r="J2966" s="21">
        <v>380</v>
      </c>
      <c r="K2966" s="21">
        <v>0</v>
      </c>
      <c r="L2966" s="5">
        <v>0</v>
      </c>
      <c r="M2966" s="4"/>
      <c r="N2966" s="4"/>
      <c r="O2966" s="5"/>
      <c r="P2966" s="5"/>
      <c r="Q2966" s="21">
        <v>402.8</v>
      </c>
      <c r="R2966" s="21">
        <v>0</v>
      </c>
      <c r="S2966" s="5">
        <f t="shared" si="187"/>
        <v>35084.685120151997</v>
      </c>
      <c r="T2966" cm="1">
        <f t="array" ref="T2966">IF(OR(B2966="MAL ALIMI", B2966="ÜRETİM GİRİŞ"), MIN(I2966, MAX(0, I2966 + SUM(SUMIFS($I$1:I2965, $C$1:C2965, C2966, $B$1:B2965, {"MAL ALIMI","ÜRETİM GİRİŞ"})) - VLOOKUP(C2966, 'STOK RAPORU'!$C$2:$I$1000, 4, 0))), 0)</f>
        <v>0</v>
      </c>
      <c r="U2966" s="22">
        <f t="shared" si="184"/>
        <v>0</v>
      </c>
      <c r="V2966">
        <f t="shared" si="185"/>
        <v>0</v>
      </c>
      <c r="W2966" s="22">
        <f t="shared" si="186"/>
        <v>0</v>
      </c>
    </row>
    <row r="2967" spans="1:23" hidden="1" x14ac:dyDescent="0.25">
      <c r="A2967" s="3">
        <v>46027</v>
      </c>
      <c r="B2967" s="4" t="s">
        <v>334</v>
      </c>
      <c r="C2967" s="4" t="s">
        <v>92</v>
      </c>
      <c r="D2967" s="4"/>
      <c r="E2967" s="4"/>
      <c r="F2967" s="46" t="s">
        <v>1611</v>
      </c>
      <c r="G2967" s="4" t="s">
        <v>1610</v>
      </c>
      <c r="H2967" s="4" t="s">
        <v>289</v>
      </c>
      <c r="I2967" s="4">
        <v>0.2</v>
      </c>
      <c r="J2967" s="21">
        <v>500</v>
      </c>
      <c r="K2967" s="21">
        <v>0</v>
      </c>
      <c r="L2967" s="5">
        <v>0</v>
      </c>
      <c r="M2967" s="4"/>
      <c r="N2967" s="4"/>
      <c r="O2967" s="5"/>
      <c r="P2967" s="5"/>
      <c r="Q2967" s="21">
        <v>100</v>
      </c>
      <c r="R2967" s="21">
        <v>0</v>
      </c>
      <c r="S2967" s="5">
        <f t="shared" si="187"/>
        <v>35184.685120151997</v>
      </c>
      <c r="T2967" cm="1">
        <f t="array" ref="T2967">IF(OR(B2967="MAL ALIMI", B2967="ÜRETİM GİRİŞ"), MIN(I2967, MAX(0, I2967 + SUM(SUMIFS($I$1:I2966, $C$1:C2966, C2967, $B$1:B2966, {"MAL ALIMI","ÜRETİM GİRİŞ"})) - VLOOKUP(C2967, 'STOK RAPORU'!$C$2:$I$1000, 4, 0))), 0)</f>
        <v>0</v>
      </c>
      <c r="U2967" s="22">
        <f t="shared" si="184"/>
        <v>0</v>
      </c>
      <c r="V2967">
        <f t="shared" si="185"/>
        <v>0</v>
      </c>
      <c r="W2967" s="22">
        <f t="shared" si="186"/>
        <v>0</v>
      </c>
    </row>
    <row r="2968" spans="1:23" hidden="1" x14ac:dyDescent="0.25">
      <c r="A2968" s="3">
        <v>46027</v>
      </c>
      <c r="B2968" s="4" t="s">
        <v>334</v>
      </c>
      <c r="C2968" s="4" t="s">
        <v>131</v>
      </c>
      <c r="D2968" s="4"/>
      <c r="E2968" s="4"/>
      <c r="F2968" s="46" t="s">
        <v>1611</v>
      </c>
      <c r="G2968" s="4" t="s">
        <v>1610</v>
      </c>
      <c r="H2968" s="4" t="s">
        <v>289</v>
      </c>
      <c r="I2968" s="4">
        <v>1.024</v>
      </c>
      <c r="J2968" s="21">
        <v>400</v>
      </c>
      <c r="K2968" s="21">
        <v>0</v>
      </c>
      <c r="L2968" s="5">
        <v>0</v>
      </c>
      <c r="M2968" s="4"/>
      <c r="N2968" s="4"/>
      <c r="O2968" s="5"/>
      <c r="P2968" s="5"/>
      <c r="Q2968" s="21">
        <v>409.6</v>
      </c>
      <c r="R2968" s="21">
        <v>0</v>
      </c>
      <c r="S2968" s="5">
        <f t="shared" si="187"/>
        <v>35594.285120151995</v>
      </c>
      <c r="T2968" cm="1">
        <f t="array" ref="T2968">IF(OR(B2968="MAL ALIMI", B2968="ÜRETİM GİRİŞ"), MIN(I2968, MAX(0, I2968 + SUM(SUMIFS($I$1:I2967, $C$1:C2967, C2968, $B$1:B2967, {"MAL ALIMI","ÜRETİM GİRİŞ"})) - VLOOKUP(C2968, 'STOK RAPORU'!$C$2:$I$1000, 4, 0))), 0)</f>
        <v>0</v>
      </c>
      <c r="U2968" s="22">
        <f t="shared" si="184"/>
        <v>0</v>
      </c>
      <c r="V2968">
        <f t="shared" si="185"/>
        <v>0</v>
      </c>
      <c r="W2968" s="22">
        <f t="shared" si="186"/>
        <v>0</v>
      </c>
    </row>
    <row r="2969" spans="1:23" hidden="1" x14ac:dyDescent="0.25">
      <c r="A2969" s="3">
        <v>46027</v>
      </c>
      <c r="B2969" s="4" t="s">
        <v>334</v>
      </c>
      <c r="C2969" s="4" t="s">
        <v>91</v>
      </c>
      <c r="D2969" s="4"/>
      <c r="E2969" s="4"/>
      <c r="F2969" s="46" t="s">
        <v>1611</v>
      </c>
      <c r="G2969" s="4" t="s">
        <v>1610</v>
      </c>
      <c r="H2969" s="4" t="s">
        <v>289</v>
      </c>
      <c r="I2969" s="4">
        <v>0.34</v>
      </c>
      <c r="J2969" s="21">
        <v>760</v>
      </c>
      <c r="K2969" s="21">
        <v>0</v>
      </c>
      <c r="L2969" s="5">
        <v>0</v>
      </c>
      <c r="M2969" s="4"/>
      <c r="N2969" s="4"/>
      <c r="O2969" s="5"/>
      <c r="P2969" s="5"/>
      <c r="Q2969" s="21">
        <v>258.40000000000003</v>
      </c>
      <c r="R2969" s="21">
        <v>0</v>
      </c>
      <c r="S2969" s="5">
        <f t="shared" si="187"/>
        <v>35852.685120151997</v>
      </c>
      <c r="T2969" cm="1">
        <f t="array" ref="T2969">IF(OR(B2969="MAL ALIMI", B2969="ÜRETİM GİRİŞ"), MIN(I2969, MAX(0, I2969 + SUM(SUMIFS($I$1:I2968, $C$1:C2968, C2969, $B$1:B2968, {"MAL ALIMI","ÜRETİM GİRİŞ"})) - VLOOKUP(C2969, 'STOK RAPORU'!$C$2:$I$1000, 4, 0))), 0)</f>
        <v>0</v>
      </c>
      <c r="U2969" s="22">
        <f t="shared" si="184"/>
        <v>0</v>
      </c>
      <c r="V2969">
        <f t="shared" si="185"/>
        <v>0</v>
      </c>
      <c r="W2969" s="22">
        <f t="shared" si="186"/>
        <v>0</v>
      </c>
    </row>
    <row r="2970" spans="1:23" hidden="1" x14ac:dyDescent="0.25">
      <c r="A2970" s="3">
        <v>46027</v>
      </c>
      <c r="B2970" s="4" t="s">
        <v>334</v>
      </c>
      <c r="C2970" s="4" t="s">
        <v>463</v>
      </c>
      <c r="D2970" s="4"/>
      <c r="E2970" s="4"/>
      <c r="F2970" s="46" t="s">
        <v>1611</v>
      </c>
      <c r="G2970" s="4" t="s">
        <v>1610</v>
      </c>
      <c r="H2970" s="4" t="s">
        <v>289</v>
      </c>
      <c r="I2970" s="4">
        <v>0.82200000000000006</v>
      </c>
      <c r="J2970" s="21">
        <v>370</v>
      </c>
      <c r="K2970" s="21">
        <v>0</v>
      </c>
      <c r="L2970" s="5">
        <v>0</v>
      </c>
      <c r="M2970" s="4"/>
      <c r="N2970" s="4"/>
      <c r="O2970" s="5"/>
      <c r="P2970" s="5"/>
      <c r="Q2970" s="21">
        <v>304.14000000000004</v>
      </c>
      <c r="R2970" s="21">
        <v>0</v>
      </c>
      <c r="S2970" s="5">
        <f t="shared" si="187"/>
        <v>36156.825120151996</v>
      </c>
      <c r="T2970" cm="1">
        <f t="array" ref="T2970">IF(OR(B2970="MAL ALIMI", B2970="ÜRETİM GİRİŞ"), MIN(I2970, MAX(0, I2970 + SUM(SUMIFS($I$1:I2969, $C$1:C2969, C2970, $B$1:B2969, {"MAL ALIMI","ÜRETİM GİRİŞ"})) - VLOOKUP(C2970, 'STOK RAPORU'!$C$2:$I$1000, 4, 0))), 0)</f>
        <v>0</v>
      </c>
      <c r="U2970" s="22">
        <f t="shared" si="184"/>
        <v>0</v>
      </c>
      <c r="V2970">
        <f t="shared" si="185"/>
        <v>0</v>
      </c>
      <c r="W2970" s="22">
        <f t="shared" si="186"/>
        <v>0</v>
      </c>
    </row>
    <row r="2971" spans="1:23" hidden="1" x14ac:dyDescent="0.25">
      <c r="A2971" s="3">
        <v>46027</v>
      </c>
      <c r="B2971" s="4" t="s">
        <v>334</v>
      </c>
      <c r="C2971" s="4" t="s">
        <v>1501</v>
      </c>
      <c r="D2971" s="4"/>
      <c r="E2971" s="4"/>
      <c r="F2971" s="46" t="s">
        <v>1611</v>
      </c>
      <c r="G2971" s="4" t="s">
        <v>1610</v>
      </c>
      <c r="H2971" s="4" t="s">
        <v>289</v>
      </c>
      <c r="I2971" s="4">
        <v>1</v>
      </c>
      <c r="J2971" s="21">
        <v>600</v>
      </c>
      <c r="K2971" s="21">
        <v>0</v>
      </c>
      <c r="L2971" s="5">
        <v>0</v>
      </c>
      <c r="M2971" s="4"/>
      <c r="N2971" s="4"/>
      <c r="O2971" s="5"/>
      <c r="P2971" s="5"/>
      <c r="Q2971" s="21">
        <v>600</v>
      </c>
      <c r="R2971" s="21">
        <v>0</v>
      </c>
      <c r="S2971" s="5">
        <f t="shared" si="187"/>
        <v>36756.825120151996</v>
      </c>
      <c r="T2971" cm="1">
        <f t="array" ref="T2971">IF(OR(B2971="MAL ALIMI", B2971="ÜRETİM GİRİŞ"), MIN(I2971, MAX(0, I2971 + SUM(SUMIFS($I$1:I2970, $C$1:C2970, C2971, $B$1:B2970, {"MAL ALIMI","ÜRETİM GİRİŞ"})) - VLOOKUP(C2971, 'STOK RAPORU'!$C$2:$I$1000, 4, 0))), 0)</f>
        <v>0</v>
      </c>
      <c r="U2971" s="22">
        <f t="shared" si="184"/>
        <v>0</v>
      </c>
      <c r="V2971">
        <f t="shared" si="185"/>
        <v>0</v>
      </c>
      <c r="W2971" s="22">
        <f t="shared" si="186"/>
        <v>0</v>
      </c>
    </row>
    <row r="2972" spans="1:23" hidden="1" x14ac:dyDescent="0.25">
      <c r="A2972" s="3">
        <v>46027</v>
      </c>
      <c r="B2972" s="4" t="s">
        <v>334</v>
      </c>
      <c r="C2972" s="4" t="s">
        <v>160</v>
      </c>
      <c r="D2972" s="4"/>
      <c r="E2972" s="4"/>
      <c r="F2972" s="46" t="s">
        <v>1611</v>
      </c>
      <c r="G2972" s="4" t="s">
        <v>1610</v>
      </c>
      <c r="H2972" s="4" t="s">
        <v>289</v>
      </c>
      <c r="I2972" s="4">
        <v>5</v>
      </c>
      <c r="J2972" s="21">
        <v>250</v>
      </c>
      <c r="K2972" s="21">
        <v>0</v>
      </c>
      <c r="L2972" s="5">
        <v>0</v>
      </c>
      <c r="M2972" s="4"/>
      <c r="N2972" s="4"/>
      <c r="O2972" s="5"/>
      <c r="P2972" s="5"/>
      <c r="Q2972" s="21">
        <v>1250</v>
      </c>
      <c r="R2972" s="21">
        <v>0</v>
      </c>
      <c r="S2972" s="5">
        <f t="shared" si="187"/>
        <v>38006.825120151996</v>
      </c>
      <c r="T2972" cm="1">
        <f t="array" ref="T2972">IF(OR(B2972="MAL ALIMI", B2972="ÜRETİM GİRİŞ"), MIN(I2972, MAX(0, I2972 + SUM(SUMIFS($I$1:I2971, $C$1:C2971, C2972, $B$1:B2971, {"MAL ALIMI","ÜRETİM GİRİŞ"})) - VLOOKUP(C2972, 'STOK RAPORU'!$C$2:$I$1000, 4, 0))), 0)</f>
        <v>0</v>
      </c>
      <c r="U2972" s="22">
        <f t="shared" si="184"/>
        <v>0</v>
      </c>
      <c r="V2972">
        <f t="shared" si="185"/>
        <v>0</v>
      </c>
      <c r="W2972" s="22">
        <f t="shared" si="186"/>
        <v>0</v>
      </c>
    </row>
    <row r="2973" spans="1:23" hidden="1" x14ac:dyDescent="0.25">
      <c r="A2973" s="3">
        <v>46027</v>
      </c>
      <c r="B2973" s="4" t="s">
        <v>334</v>
      </c>
      <c r="C2973" s="4" t="s">
        <v>161</v>
      </c>
      <c r="D2973" s="4"/>
      <c r="E2973" s="4"/>
      <c r="F2973" s="46" t="s">
        <v>1611</v>
      </c>
      <c r="G2973" s="4" t="s">
        <v>1610</v>
      </c>
      <c r="H2973" s="4" t="s">
        <v>289</v>
      </c>
      <c r="I2973" s="4">
        <v>3</v>
      </c>
      <c r="J2973" s="21">
        <v>230</v>
      </c>
      <c r="K2973" s="21">
        <v>0</v>
      </c>
      <c r="L2973" s="5">
        <v>0</v>
      </c>
      <c r="M2973" s="4"/>
      <c r="N2973" s="4"/>
      <c r="O2973" s="5"/>
      <c r="P2973" s="5"/>
      <c r="Q2973" s="21">
        <v>690</v>
      </c>
      <c r="R2973" s="21">
        <v>0</v>
      </c>
      <c r="S2973" s="5">
        <f t="shared" si="187"/>
        <v>38696.825120151996</v>
      </c>
      <c r="T2973" cm="1">
        <f t="array" ref="T2973">IF(OR(B2973="MAL ALIMI", B2973="ÜRETİM GİRİŞ"), MIN(I2973, MAX(0, I2973 + SUM(SUMIFS($I$1:I2972, $C$1:C2972, C2973, $B$1:B2972, {"MAL ALIMI","ÜRETİM GİRİŞ"})) - VLOOKUP(C2973, 'STOK RAPORU'!$C$2:$I$1000, 4, 0))), 0)</f>
        <v>0</v>
      </c>
      <c r="U2973" s="22">
        <f t="shared" si="184"/>
        <v>0</v>
      </c>
      <c r="V2973">
        <f t="shared" si="185"/>
        <v>0</v>
      </c>
      <c r="W2973" s="22">
        <f t="shared" si="186"/>
        <v>0</v>
      </c>
    </row>
    <row r="2974" spans="1:23" hidden="1" x14ac:dyDescent="0.25">
      <c r="A2974" s="3">
        <v>46027</v>
      </c>
      <c r="B2974" s="4" t="s">
        <v>334</v>
      </c>
      <c r="C2974" s="4" t="s">
        <v>162</v>
      </c>
      <c r="D2974" s="4"/>
      <c r="E2974" s="4"/>
      <c r="F2974" s="46" t="s">
        <v>1611</v>
      </c>
      <c r="G2974" s="4" t="s">
        <v>1610</v>
      </c>
      <c r="H2974" s="4" t="s">
        <v>289</v>
      </c>
      <c r="I2974" s="4">
        <v>3</v>
      </c>
      <c r="J2974" s="21">
        <v>250</v>
      </c>
      <c r="K2974" s="21">
        <v>0</v>
      </c>
      <c r="L2974" s="5">
        <v>0</v>
      </c>
      <c r="M2974" s="4"/>
      <c r="N2974" s="4"/>
      <c r="O2974" s="5"/>
      <c r="P2974" s="5"/>
      <c r="Q2974" s="21">
        <v>750</v>
      </c>
      <c r="R2974" s="21">
        <v>0</v>
      </c>
      <c r="S2974" s="5">
        <f t="shared" si="187"/>
        <v>39446.825120151996</v>
      </c>
      <c r="T2974" cm="1">
        <f t="array" ref="T2974">IF(OR(B2974="MAL ALIMI", B2974="ÜRETİM GİRİŞ"), MIN(I2974, MAX(0, I2974 + SUM(SUMIFS($I$1:I2973, $C$1:C2973, C2974, $B$1:B2973, {"MAL ALIMI","ÜRETİM GİRİŞ"})) - VLOOKUP(C2974, 'STOK RAPORU'!$C$2:$I$1000, 4, 0))), 0)</f>
        <v>0</v>
      </c>
      <c r="U2974" s="22">
        <f t="shared" si="184"/>
        <v>0</v>
      </c>
      <c r="V2974">
        <f t="shared" si="185"/>
        <v>0</v>
      </c>
      <c r="W2974" s="22">
        <f t="shared" si="186"/>
        <v>0</v>
      </c>
    </row>
    <row r="2975" spans="1:23" hidden="1" x14ac:dyDescent="0.25">
      <c r="A2975" s="3">
        <v>46027</v>
      </c>
      <c r="B2975" s="4" t="s">
        <v>946</v>
      </c>
      <c r="C2975" s="4"/>
      <c r="D2975" s="4"/>
      <c r="E2975" s="4" t="s">
        <v>921</v>
      </c>
      <c r="F2975" s="4"/>
      <c r="G2975" s="4" t="s">
        <v>946</v>
      </c>
      <c r="H2975" s="4" t="s">
        <v>380</v>
      </c>
      <c r="I2975" s="4">
        <v>1</v>
      </c>
      <c r="J2975" s="105">
        <v>355</v>
      </c>
      <c r="K2975" s="21">
        <v>0</v>
      </c>
      <c r="L2975" s="102">
        <v>355</v>
      </c>
      <c r="M2975" s="4"/>
      <c r="N2975" s="4"/>
      <c r="O2975" s="5"/>
      <c r="P2975" s="5"/>
      <c r="Q2975" s="21">
        <v>355</v>
      </c>
      <c r="R2975" s="21">
        <v>0</v>
      </c>
      <c r="S2975" s="5">
        <f t="shared" si="187"/>
        <v>39801.825120151996</v>
      </c>
      <c r="T2975" cm="1">
        <f t="array" ref="T2975">IF(OR(B2975="MAL ALIMI", B2975="ÜRETİM GİRİŞ"), MIN(I2975, MAX(0, I2975 + SUM(SUMIFS($I$1:I2974, $C$1:C2974, C2975, $B$1:B2974, {"MAL ALIMI","ÜRETİM GİRİŞ"})) - VLOOKUP(C2975, 'STOK RAPORU'!$C$2:$I$1000, 4, 0))), 0)</f>
        <v>0</v>
      </c>
      <c r="U2975" s="22">
        <f t="shared" si="184"/>
        <v>0</v>
      </c>
      <c r="V2975">
        <f t="shared" si="185"/>
        <v>0</v>
      </c>
      <c r="W2975" s="22">
        <f t="shared" si="186"/>
        <v>0</v>
      </c>
    </row>
    <row r="2976" spans="1:23" hidden="1" x14ac:dyDescent="0.25">
      <c r="A2976" s="3">
        <v>46027</v>
      </c>
      <c r="B2976" s="4" t="s">
        <v>946</v>
      </c>
      <c r="C2976" s="4"/>
      <c r="D2976" s="4"/>
      <c r="E2976" s="4" t="s">
        <v>921</v>
      </c>
      <c r="F2976" s="4"/>
      <c r="G2976" s="4" t="s">
        <v>946</v>
      </c>
      <c r="H2976" s="4" t="s">
        <v>380</v>
      </c>
      <c r="I2976" s="4">
        <v>1</v>
      </c>
      <c r="J2976" s="105">
        <v>499</v>
      </c>
      <c r="K2976" s="21">
        <v>0</v>
      </c>
      <c r="L2976" s="102">
        <v>499</v>
      </c>
      <c r="M2976" s="4"/>
      <c r="N2976" s="4"/>
      <c r="O2976" s="5"/>
      <c r="P2976" s="5"/>
      <c r="Q2976" s="21">
        <v>499</v>
      </c>
      <c r="R2976" s="21">
        <v>0</v>
      </c>
      <c r="S2976" s="5">
        <f t="shared" si="187"/>
        <v>40300.825120151996</v>
      </c>
      <c r="T2976" cm="1">
        <f t="array" ref="T2976">IF(OR(B2976="MAL ALIMI", B2976="ÜRETİM GİRİŞ"), MIN(I2976, MAX(0, I2976 + SUM(SUMIFS($I$1:I2975, $C$1:C2975, C2976, $B$1:B2975, {"MAL ALIMI","ÜRETİM GİRİŞ"})) - VLOOKUP(C2976, 'STOK RAPORU'!$C$2:$I$1000, 4, 0))), 0)</f>
        <v>0</v>
      </c>
      <c r="U2976" s="22">
        <f t="shared" si="184"/>
        <v>0</v>
      </c>
      <c r="V2976">
        <f t="shared" si="185"/>
        <v>0</v>
      </c>
      <c r="W2976" s="22">
        <f t="shared" si="186"/>
        <v>0</v>
      </c>
    </row>
    <row r="2977" spans="1:23" hidden="1" x14ac:dyDescent="0.25">
      <c r="A2977" s="3">
        <v>46028</v>
      </c>
      <c r="B2977" s="4" t="s">
        <v>334</v>
      </c>
      <c r="C2977" s="4" t="s">
        <v>224</v>
      </c>
      <c r="D2977" s="4"/>
      <c r="E2977" s="4"/>
      <c r="F2977" s="4" t="s">
        <v>2076</v>
      </c>
      <c r="G2977" s="4" t="s">
        <v>336</v>
      </c>
      <c r="H2977" s="4" t="s">
        <v>289</v>
      </c>
      <c r="I2977" s="4">
        <v>0.1</v>
      </c>
      <c r="J2977" s="21">
        <v>900</v>
      </c>
      <c r="K2977" s="21">
        <v>0</v>
      </c>
      <c r="L2977" s="5">
        <v>0</v>
      </c>
      <c r="M2977" s="4"/>
      <c r="N2977" s="4"/>
      <c r="O2977" s="5"/>
      <c r="P2977" s="5"/>
      <c r="Q2977" s="21">
        <v>90</v>
      </c>
      <c r="R2977" s="21">
        <v>0</v>
      </c>
      <c r="S2977" s="5">
        <f t="shared" si="187"/>
        <v>40390.825120151996</v>
      </c>
      <c r="T2977" cm="1">
        <f t="array" ref="T2977">IF(OR(B2977="MAL ALIMI", B2977="ÜRETİM GİRİŞ"), MIN(I2977, MAX(0, I2977 + SUM(SUMIFS($I$1:I2976, $C$1:C2976, C2977, $B$1:B2976, {"MAL ALIMI","ÜRETİM GİRİŞ"})) - VLOOKUP(C2977, 'STOK RAPORU'!$C$2:$I$1000, 4, 0))), 0)</f>
        <v>0</v>
      </c>
      <c r="U2977" s="22">
        <f t="shared" si="184"/>
        <v>0</v>
      </c>
      <c r="V2977">
        <f t="shared" si="185"/>
        <v>0</v>
      </c>
      <c r="W2977" s="22">
        <f t="shared" si="186"/>
        <v>0</v>
      </c>
    </row>
    <row r="2978" spans="1:23" hidden="1" x14ac:dyDescent="0.25">
      <c r="A2978" s="3">
        <v>46028</v>
      </c>
      <c r="B2978" s="4" t="s">
        <v>334</v>
      </c>
      <c r="C2978" s="4" t="s">
        <v>60</v>
      </c>
      <c r="D2978" s="4"/>
      <c r="E2978" s="4" t="s">
        <v>921</v>
      </c>
      <c r="F2978" s="4" t="s">
        <v>1613</v>
      </c>
      <c r="G2978" s="4" t="s">
        <v>336</v>
      </c>
      <c r="H2978" s="4" t="s">
        <v>380</v>
      </c>
      <c r="I2978" s="4">
        <v>0.05</v>
      </c>
      <c r="J2978" s="21">
        <v>1200</v>
      </c>
      <c r="K2978" s="21">
        <v>60</v>
      </c>
      <c r="L2978" s="5">
        <v>0</v>
      </c>
      <c r="M2978" s="4"/>
      <c r="N2978" s="4"/>
      <c r="O2978" s="5"/>
      <c r="P2978" s="5"/>
      <c r="Q2978" s="21">
        <v>0</v>
      </c>
      <c r="R2978" s="21">
        <v>0</v>
      </c>
      <c r="S2978" s="5">
        <f t="shared" si="187"/>
        <v>40390.825120151996</v>
      </c>
      <c r="T2978" cm="1">
        <f t="array" ref="T2978">IF(OR(B2978="MAL ALIMI", B2978="ÜRETİM GİRİŞ"), MIN(I2978, MAX(0, I2978 + SUM(SUMIFS($I$1:I2977, $C$1:C2977, C2978, $B$1:B2977, {"MAL ALIMI","ÜRETİM GİRİŞ"})) - VLOOKUP(C2978, 'STOK RAPORU'!$C$2:$I$1000, 4, 0))), 0)</f>
        <v>0</v>
      </c>
      <c r="U2978" s="22">
        <f t="shared" si="184"/>
        <v>0</v>
      </c>
      <c r="V2978">
        <f t="shared" si="185"/>
        <v>0</v>
      </c>
      <c r="W2978" s="22">
        <f t="shared" si="186"/>
        <v>0</v>
      </c>
    </row>
    <row r="2979" spans="1:23" hidden="1" x14ac:dyDescent="0.25">
      <c r="A2979" s="3">
        <v>46028</v>
      </c>
      <c r="B2979" s="4" t="s">
        <v>334</v>
      </c>
      <c r="C2979" s="4" t="s">
        <v>728</v>
      </c>
      <c r="D2979" s="4"/>
      <c r="E2979" s="4" t="s">
        <v>921</v>
      </c>
      <c r="F2979" s="4" t="s">
        <v>1613</v>
      </c>
      <c r="G2979" s="4" t="s">
        <v>336</v>
      </c>
      <c r="H2979" s="4" t="s">
        <v>380</v>
      </c>
      <c r="I2979" s="4">
        <v>0.10299999999999999</v>
      </c>
      <c r="J2979" s="21">
        <v>690</v>
      </c>
      <c r="K2979" s="21">
        <v>71.069999999999993</v>
      </c>
      <c r="L2979" s="5">
        <v>0</v>
      </c>
      <c r="M2979" s="4"/>
      <c r="N2979" s="4"/>
      <c r="O2979" s="5"/>
      <c r="P2979" s="5"/>
      <c r="Q2979" s="21">
        <v>0</v>
      </c>
      <c r="R2979" s="21">
        <v>0</v>
      </c>
      <c r="S2979" s="5">
        <f t="shared" si="187"/>
        <v>40390.825120151996</v>
      </c>
      <c r="T2979" cm="1">
        <f t="array" ref="T2979">IF(OR(B2979="MAL ALIMI", B2979="ÜRETİM GİRİŞ"), MIN(I2979, MAX(0, I2979 + SUM(SUMIFS($I$1:I2978, $C$1:C2978, C2979, $B$1:B2978, {"MAL ALIMI","ÜRETİM GİRİŞ"})) - VLOOKUP(C2979, 'STOK RAPORU'!$C$2:$I$1000, 4, 0))), 0)</f>
        <v>0</v>
      </c>
      <c r="U2979" s="22">
        <f t="shared" si="184"/>
        <v>0</v>
      </c>
      <c r="V2979">
        <f t="shared" si="185"/>
        <v>0</v>
      </c>
      <c r="W2979" s="22">
        <f t="shared" si="186"/>
        <v>0</v>
      </c>
    </row>
    <row r="2980" spans="1:23" hidden="1" x14ac:dyDescent="0.25">
      <c r="A2980" s="3">
        <v>46028</v>
      </c>
      <c r="B2980" s="4" t="s">
        <v>334</v>
      </c>
      <c r="C2980" s="4" t="s">
        <v>1359</v>
      </c>
      <c r="D2980" s="4"/>
      <c r="E2980" s="4" t="s">
        <v>921</v>
      </c>
      <c r="F2980" s="4" t="s">
        <v>1614</v>
      </c>
      <c r="G2980" s="4" t="s">
        <v>336</v>
      </c>
      <c r="H2980" s="4" t="s">
        <v>380</v>
      </c>
      <c r="I2980" s="4">
        <v>0.223</v>
      </c>
      <c r="J2980" s="21">
        <v>450</v>
      </c>
      <c r="K2980" s="21">
        <v>100.35000000000001</v>
      </c>
      <c r="L2980" s="5">
        <v>0</v>
      </c>
      <c r="M2980" s="4"/>
      <c r="N2980" s="4"/>
      <c r="O2980" s="5"/>
      <c r="P2980" s="5"/>
      <c r="Q2980" s="21">
        <v>0</v>
      </c>
      <c r="R2980" s="21">
        <v>0</v>
      </c>
      <c r="S2980" s="5">
        <f t="shared" si="187"/>
        <v>40390.825120151996</v>
      </c>
      <c r="T2980" cm="1">
        <f t="array" ref="T2980">IF(OR(B2980="MAL ALIMI", B2980="ÜRETİM GİRİŞ"), MIN(I2980, MAX(0, I2980 + SUM(SUMIFS($I$1:I2979, $C$1:C2979, C2980, $B$1:B2979, {"MAL ALIMI","ÜRETİM GİRİŞ"})) - VLOOKUP(C2980, 'STOK RAPORU'!$C$2:$I$1000, 4, 0))), 0)</f>
        <v>0</v>
      </c>
      <c r="U2980" s="22">
        <f t="shared" si="184"/>
        <v>0</v>
      </c>
      <c r="V2980">
        <f t="shared" si="185"/>
        <v>0</v>
      </c>
      <c r="W2980" s="22">
        <f t="shared" si="186"/>
        <v>0</v>
      </c>
    </row>
    <row r="2981" spans="1:23" hidden="1" x14ac:dyDescent="0.25">
      <c r="A2981" s="3">
        <v>46028</v>
      </c>
      <c r="B2981" s="4" t="s">
        <v>334</v>
      </c>
      <c r="C2981" s="4" t="s">
        <v>160</v>
      </c>
      <c r="D2981" s="4"/>
      <c r="E2981" s="4" t="s">
        <v>921</v>
      </c>
      <c r="F2981" s="4" t="s">
        <v>1615</v>
      </c>
      <c r="G2981" s="4" t="s">
        <v>336</v>
      </c>
      <c r="H2981" s="4" t="s">
        <v>380</v>
      </c>
      <c r="I2981" s="4">
        <v>1</v>
      </c>
      <c r="J2981" s="21">
        <v>200</v>
      </c>
      <c r="K2981" s="21">
        <v>200</v>
      </c>
      <c r="L2981" s="5">
        <v>0</v>
      </c>
      <c r="M2981" s="4"/>
      <c r="N2981" s="4"/>
      <c r="O2981" s="5"/>
      <c r="P2981" s="5"/>
      <c r="Q2981" s="21">
        <v>0</v>
      </c>
      <c r="R2981" s="21">
        <v>0</v>
      </c>
      <c r="S2981" s="5">
        <f t="shared" si="187"/>
        <v>40390.825120151996</v>
      </c>
      <c r="T2981" cm="1">
        <f t="array" ref="T2981">IF(OR(B2981="MAL ALIMI", B2981="ÜRETİM GİRİŞ"), MIN(I2981, MAX(0, I2981 + SUM(SUMIFS($I$1:I2980, $C$1:C2980, C2981, $B$1:B2980, {"MAL ALIMI","ÜRETİM GİRİŞ"})) - VLOOKUP(C2981, 'STOK RAPORU'!$C$2:$I$1000, 4, 0))), 0)</f>
        <v>0</v>
      </c>
      <c r="U2981" s="22">
        <f t="shared" si="184"/>
        <v>0</v>
      </c>
      <c r="V2981">
        <f t="shared" si="185"/>
        <v>0</v>
      </c>
      <c r="W2981" s="22">
        <f t="shared" si="186"/>
        <v>0</v>
      </c>
    </row>
    <row r="2982" spans="1:23" hidden="1" x14ac:dyDescent="0.25">
      <c r="A2982" s="3">
        <v>46028</v>
      </c>
      <c r="B2982" s="4" t="s">
        <v>334</v>
      </c>
      <c r="C2982" s="4" t="s">
        <v>167</v>
      </c>
      <c r="D2982" s="4"/>
      <c r="E2982" s="4" t="s">
        <v>921</v>
      </c>
      <c r="F2982" s="4" t="s">
        <v>1615</v>
      </c>
      <c r="G2982" s="4" t="s">
        <v>336</v>
      </c>
      <c r="H2982" s="4" t="s">
        <v>380</v>
      </c>
      <c r="I2982" s="4">
        <v>1</v>
      </c>
      <c r="J2982" s="21">
        <v>200</v>
      </c>
      <c r="K2982" s="21">
        <v>200</v>
      </c>
      <c r="L2982" s="5">
        <v>0</v>
      </c>
      <c r="M2982" s="4"/>
      <c r="N2982" s="4"/>
      <c r="O2982" s="5"/>
      <c r="P2982" s="5"/>
      <c r="Q2982" s="21">
        <v>0</v>
      </c>
      <c r="R2982" s="21">
        <v>0</v>
      </c>
      <c r="S2982" s="5">
        <f t="shared" si="187"/>
        <v>40390.825120151996</v>
      </c>
      <c r="T2982" cm="1">
        <f t="array" ref="T2982">IF(OR(B2982="MAL ALIMI", B2982="ÜRETİM GİRİŞ"), MIN(I2982, MAX(0, I2982 + SUM(SUMIFS($I$1:I2981, $C$1:C2981, C2982, $B$1:B2981, {"MAL ALIMI","ÜRETİM GİRİŞ"})) - VLOOKUP(C2982, 'STOK RAPORU'!$C$2:$I$1000, 4, 0))), 0)</f>
        <v>0</v>
      </c>
      <c r="U2982" s="22">
        <f t="shared" si="184"/>
        <v>0</v>
      </c>
      <c r="V2982">
        <f t="shared" si="185"/>
        <v>0</v>
      </c>
      <c r="W2982" s="22">
        <f t="shared" si="186"/>
        <v>0</v>
      </c>
    </row>
    <row r="2983" spans="1:23" hidden="1" x14ac:dyDescent="0.25">
      <c r="A2983" s="3">
        <v>46028</v>
      </c>
      <c r="B2983" s="4" t="s">
        <v>334</v>
      </c>
      <c r="C2983" s="4" t="s">
        <v>160</v>
      </c>
      <c r="D2983" s="4"/>
      <c r="E2983" s="4"/>
      <c r="F2983" s="4" t="s">
        <v>1615</v>
      </c>
      <c r="G2983" s="4" t="s">
        <v>336</v>
      </c>
      <c r="H2983" s="4" t="s">
        <v>289</v>
      </c>
      <c r="I2983" s="4">
        <v>1</v>
      </c>
      <c r="J2983" s="21">
        <v>200</v>
      </c>
      <c r="K2983" s="21">
        <v>0</v>
      </c>
      <c r="L2983" s="5">
        <v>0</v>
      </c>
      <c r="M2983" s="4"/>
      <c r="N2983" s="4"/>
      <c r="O2983" s="5"/>
      <c r="P2983" s="5"/>
      <c r="Q2983" s="21">
        <v>200</v>
      </c>
      <c r="R2983" s="21">
        <v>0</v>
      </c>
      <c r="S2983" s="5">
        <f t="shared" si="187"/>
        <v>40590.825120151996</v>
      </c>
      <c r="T2983" cm="1">
        <f t="array" ref="T2983">IF(OR(B2983="MAL ALIMI", B2983="ÜRETİM GİRİŞ"), MIN(I2983, MAX(0, I2983 + SUM(SUMIFS($I$1:I2982, $C$1:C2982, C2983, $B$1:B2982, {"MAL ALIMI","ÜRETİM GİRİŞ"})) - VLOOKUP(C2983, 'STOK RAPORU'!$C$2:$I$1000, 4, 0))), 0)</f>
        <v>0</v>
      </c>
      <c r="U2983" s="22">
        <f t="shared" si="184"/>
        <v>0</v>
      </c>
      <c r="V2983">
        <f t="shared" si="185"/>
        <v>0</v>
      </c>
      <c r="W2983" s="22">
        <f t="shared" si="186"/>
        <v>0</v>
      </c>
    </row>
    <row r="2984" spans="1:23" hidden="1" x14ac:dyDescent="0.25">
      <c r="A2984" s="3">
        <v>46028</v>
      </c>
      <c r="B2984" s="4" t="s">
        <v>334</v>
      </c>
      <c r="C2984" s="4" t="s">
        <v>91</v>
      </c>
      <c r="D2984" s="4"/>
      <c r="E2984" s="4"/>
      <c r="F2984" s="4" t="s">
        <v>1616</v>
      </c>
      <c r="G2984" s="4" t="s">
        <v>336</v>
      </c>
      <c r="H2984" s="4" t="s">
        <v>289</v>
      </c>
      <c r="I2984" s="4">
        <v>0.03</v>
      </c>
      <c r="J2984" s="21">
        <v>760</v>
      </c>
      <c r="K2984" s="21">
        <v>0</v>
      </c>
      <c r="L2984" s="5">
        <v>0</v>
      </c>
      <c r="M2984" s="4"/>
      <c r="N2984" s="4"/>
      <c r="O2984" s="5"/>
      <c r="P2984" s="5"/>
      <c r="Q2984" s="21">
        <v>22.8</v>
      </c>
      <c r="R2984" s="21">
        <v>0</v>
      </c>
      <c r="S2984" s="5">
        <f t="shared" si="187"/>
        <v>40613.625120151999</v>
      </c>
      <c r="T2984" cm="1">
        <f t="array" ref="T2984">IF(OR(B2984="MAL ALIMI", B2984="ÜRETİM GİRİŞ"), MIN(I2984, MAX(0, I2984 + SUM(SUMIFS($I$1:I2983, $C$1:C2983, C2984, $B$1:B2983, {"MAL ALIMI","ÜRETİM GİRİŞ"})) - VLOOKUP(C2984, 'STOK RAPORU'!$C$2:$I$1000, 4, 0))), 0)</f>
        <v>0</v>
      </c>
      <c r="U2984" s="22">
        <f t="shared" si="184"/>
        <v>0</v>
      </c>
      <c r="V2984">
        <f t="shared" si="185"/>
        <v>0</v>
      </c>
      <c r="W2984" s="22">
        <f t="shared" si="186"/>
        <v>0</v>
      </c>
    </row>
    <row r="2985" spans="1:23" hidden="1" x14ac:dyDescent="0.25">
      <c r="A2985" s="3">
        <v>46028</v>
      </c>
      <c r="B2985" s="4" t="s">
        <v>334</v>
      </c>
      <c r="C2985" s="4" t="s">
        <v>140</v>
      </c>
      <c r="D2985" s="4"/>
      <c r="E2985" s="4"/>
      <c r="F2985" s="4" t="s">
        <v>1616</v>
      </c>
      <c r="G2985" s="4" t="s">
        <v>336</v>
      </c>
      <c r="H2985" s="4" t="s">
        <v>289</v>
      </c>
      <c r="I2985" s="4">
        <v>6.8000000000000005E-2</v>
      </c>
      <c r="J2985" s="21">
        <v>300</v>
      </c>
      <c r="K2985" s="21">
        <v>0</v>
      </c>
      <c r="L2985" s="5">
        <v>0</v>
      </c>
      <c r="M2985" s="4"/>
      <c r="N2985" s="4"/>
      <c r="O2985" s="5"/>
      <c r="P2985" s="5"/>
      <c r="Q2985" s="21">
        <v>20.400000000000002</v>
      </c>
      <c r="R2985" s="21">
        <v>0</v>
      </c>
      <c r="S2985" s="5">
        <f t="shared" si="187"/>
        <v>40634.025120152</v>
      </c>
      <c r="T2985" cm="1">
        <f t="array" ref="T2985">IF(OR(B2985="MAL ALIMI", B2985="ÜRETİM GİRİŞ"), MIN(I2985, MAX(0, I2985 + SUM(SUMIFS($I$1:I2984, $C$1:C2984, C2985, $B$1:B2984, {"MAL ALIMI","ÜRETİM GİRİŞ"})) - VLOOKUP(C2985, 'STOK RAPORU'!$C$2:$I$1000, 4, 0))), 0)</f>
        <v>0</v>
      </c>
      <c r="U2985" s="22">
        <f t="shared" si="184"/>
        <v>0</v>
      </c>
      <c r="V2985">
        <f t="shared" si="185"/>
        <v>0</v>
      </c>
      <c r="W2985" s="22">
        <f t="shared" si="186"/>
        <v>0</v>
      </c>
    </row>
    <row r="2986" spans="1:23" hidden="1" x14ac:dyDescent="0.25">
      <c r="A2986" s="3">
        <v>46028</v>
      </c>
      <c r="B2986" s="4" t="s">
        <v>334</v>
      </c>
      <c r="C2986" s="4" t="s">
        <v>132</v>
      </c>
      <c r="D2986" s="4"/>
      <c r="E2986" s="4"/>
      <c r="F2986" s="4" t="s">
        <v>1616</v>
      </c>
      <c r="G2986" s="4" t="s">
        <v>336</v>
      </c>
      <c r="H2986" s="4" t="s">
        <v>289</v>
      </c>
      <c r="I2986" s="4">
        <v>0.14199999999999999</v>
      </c>
      <c r="J2986" s="21">
        <v>500</v>
      </c>
      <c r="K2986" s="21">
        <v>0</v>
      </c>
      <c r="L2986" s="5">
        <v>0</v>
      </c>
      <c r="M2986" s="4"/>
      <c r="N2986" s="4"/>
      <c r="O2986" s="5"/>
      <c r="P2986" s="5"/>
      <c r="Q2986" s="21">
        <v>71</v>
      </c>
      <c r="R2986" s="21">
        <v>0</v>
      </c>
      <c r="S2986" s="5">
        <f t="shared" si="187"/>
        <v>40705.025120152</v>
      </c>
      <c r="T2986" cm="1">
        <f t="array" ref="T2986">IF(OR(B2986="MAL ALIMI", B2986="ÜRETİM GİRİŞ"), MIN(I2986, MAX(0, I2986 + SUM(SUMIFS($I$1:I2985, $C$1:C2985, C2986, $B$1:B2985, {"MAL ALIMI","ÜRETİM GİRİŞ"})) - VLOOKUP(C2986, 'STOK RAPORU'!$C$2:$I$1000, 4, 0))), 0)</f>
        <v>0</v>
      </c>
      <c r="U2986" s="22">
        <f t="shared" si="184"/>
        <v>0</v>
      </c>
      <c r="V2986">
        <f t="shared" si="185"/>
        <v>0</v>
      </c>
      <c r="W2986" s="22">
        <f t="shared" si="186"/>
        <v>0</v>
      </c>
    </row>
    <row r="2987" spans="1:23" hidden="1" x14ac:dyDescent="0.25">
      <c r="A2987" s="3">
        <v>46028</v>
      </c>
      <c r="B2987" s="4" t="s">
        <v>334</v>
      </c>
      <c r="C2987" s="4" t="s">
        <v>463</v>
      </c>
      <c r="D2987" s="4"/>
      <c r="E2987" s="4"/>
      <c r="F2987" s="4" t="s">
        <v>1616</v>
      </c>
      <c r="G2987" s="4" t="s">
        <v>336</v>
      </c>
      <c r="H2987" s="4" t="s">
        <v>289</v>
      </c>
      <c r="I2987" s="4">
        <v>9.1999999999999998E-2</v>
      </c>
      <c r="J2987" s="21">
        <v>370</v>
      </c>
      <c r="K2987" s="21">
        <v>0</v>
      </c>
      <c r="L2987" s="5">
        <v>0</v>
      </c>
      <c r="M2987" s="4"/>
      <c r="N2987" s="4"/>
      <c r="O2987" s="5"/>
      <c r="P2987" s="5"/>
      <c r="Q2987" s="21">
        <v>34.04</v>
      </c>
      <c r="R2987" s="21">
        <v>0</v>
      </c>
      <c r="S2987" s="5">
        <f t="shared" si="187"/>
        <v>40739.065120152001</v>
      </c>
      <c r="T2987" cm="1">
        <f t="array" ref="T2987">IF(OR(B2987="MAL ALIMI", B2987="ÜRETİM GİRİŞ"), MIN(I2987, MAX(0, I2987 + SUM(SUMIFS($I$1:I2986, $C$1:C2986, C2987, $B$1:B2986, {"MAL ALIMI","ÜRETİM GİRİŞ"})) - VLOOKUP(C2987, 'STOK RAPORU'!$C$2:$I$1000, 4, 0))), 0)</f>
        <v>0</v>
      </c>
      <c r="U2987" s="22">
        <f t="shared" si="184"/>
        <v>0</v>
      </c>
      <c r="V2987">
        <f t="shared" si="185"/>
        <v>0</v>
      </c>
      <c r="W2987" s="22">
        <f t="shared" si="186"/>
        <v>0</v>
      </c>
    </row>
    <row r="2988" spans="1:23" hidden="1" x14ac:dyDescent="0.25">
      <c r="A2988" s="3">
        <v>46028</v>
      </c>
      <c r="B2988" s="4" t="s">
        <v>334</v>
      </c>
      <c r="C2988" s="4" t="s">
        <v>1365</v>
      </c>
      <c r="D2988" s="4"/>
      <c r="E2988" s="4" t="s">
        <v>921</v>
      </c>
      <c r="F2988" s="4" t="s">
        <v>1617</v>
      </c>
      <c r="G2988" s="4" t="s">
        <v>336</v>
      </c>
      <c r="H2988" s="4" t="s">
        <v>380</v>
      </c>
      <c r="I2988" s="4">
        <v>1</v>
      </c>
      <c r="J2988" s="21">
        <v>140</v>
      </c>
      <c r="K2988" s="21">
        <v>140</v>
      </c>
      <c r="L2988" s="5">
        <v>0</v>
      </c>
      <c r="M2988" s="4"/>
      <c r="N2988" s="4"/>
      <c r="O2988" s="5"/>
      <c r="P2988" s="5"/>
      <c r="Q2988" s="21">
        <v>0</v>
      </c>
      <c r="R2988" s="21">
        <v>0</v>
      </c>
      <c r="S2988" s="5">
        <f t="shared" si="187"/>
        <v>40739.065120152001</v>
      </c>
      <c r="T2988" cm="1">
        <f t="array" ref="T2988">IF(OR(B2988="MAL ALIMI", B2988="ÜRETİM GİRİŞ"), MIN(I2988, MAX(0, I2988 + SUM(SUMIFS($I$1:I2987, $C$1:C2987, C2988, $B$1:B2987, {"MAL ALIMI","ÜRETİM GİRİŞ"})) - VLOOKUP(C2988, 'STOK RAPORU'!$C$2:$I$1000, 4, 0))), 0)</f>
        <v>0</v>
      </c>
      <c r="U2988" s="22">
        <f t="shared" si="184"/>
        <v>0</v>
      </c>
      <c r="V2988">
        <f t="shared" si="185"/>
        <v>0</v>
      </c>
      <c r="W2988" s="22">
        <f t="shared" si="186"/>
        <v>0</v>
      </c>
    </row>
    <row r="2989" spans="1:23" hidden="1" x14ac:dyDescent="0.25">
      <c r="A2989" s="3">
        <v>46028</v>
      </c>
      <c r="B2989" s="4" t="s">
        <v>334</v>
      </c>
      <c r="C2989" s="4" t="s">
        <v>523</v>
      </c>
      <c r="D2989" s="4"/>
      <c r="E2989" s="4"/>
      <c r="F2989" s="4" t="s">
        <v>1618</v>
      </c>
      <c r="G2989" s="4" t="s">
        <v>336</v>
      </c>
      <c r="H2989" s="4" t="s">
        <v>289</v>
      </c>
      <c r="I2989" s="4">
        <v>0.1</v>
      </c>
      <c r="J2989" s="21">
        <v>650</v>
      </c>
      <c r="K2989" s="21">
        <v>0</v>
      </c>
      <c r="L2989" s="5">
        <v>0</v>
      </c>
      <c r="M2989" s="4"/>
      <c r="N2989" s="4"/>
      <c r="O2989" s="5"/>
      <c r="P2989" s="5"/>
      <c r="Q2989" s="21">
        <v>65</v>
      </c>
      <c r="R2989" s="21">
        <v>0</v>
      </c>
      <c r="S2989" s="5">
        <f t="shared" si="187"/>
        <v>40804.065120152001</v>
      </c>
      <c r="T2989" cm="1">
        <f t="array" ref="T2989">IF(OR(B2989="MAL ALIMI", B2989="ÜRETİM GİRİŞ"), MIN(I2989, MAX(0, I2989 + SUM(SUMIFS($I$1:I2988, $C$1:C2988, C2989, $B$1:B2988, {"MAL ALIMI","ÜRETİM GİRİŞ"})) - VLOOKUP(C2989, 'STOK RAPORU'!$C$2:$I$1000, 4, 0))), 0)</f>
        <v>0</v>
      </c>
      <c r="U2989" s="22">
        <f t="shared" si="184"/>
        <v>0</v>
      </c>
      <c r="V2989">
        <f t="shared" si="185"/>
        <v>0</v>
      </c>
      <c r="W2989" s="22">
        <f t="shared" si="186"/>
        <v>0</v>
      </c>
    </row>
    <row r="2990" spans="1:23" hidden="1" x14ac:dyDescent="0.25">
      <c r="A2990" s="3">
        <v>46028</v>
      </c>
      <c r="B2990" s="4" t="s">
        <v>334</v>
      </c>
      <c r="C2990" s="4" t="s">
        <v>529</v>
      </c>
      <c r="D2990" s="4"/>
      <c r="E2990" s="4"/>
      <c r="F2990" s="4" t="s">
        <v>1618</v>
      </c>
      <c r="G2990" s="4" t="s">
        <v>336</v>
      </c>
      <c r="H2990" s="4" t="s">
        <v>289</v>
      </c>
      <c r="I2990" s="4">
        <v>0.1</v>
      </c>
      <c r="J2990" s="21">
        <v>600</v>
      </c>
      <c r="K2990" s="21">
        <v>0</v>
      </c>
      <c r="L2990" s="5">
        <v>0</v>
      </c>
      <c r="M2990" s="4"/>
      <c r="N2990" s="4"/>
      <c r="O2990" s="5"/>
      <c r="P2990" s="5"/>
      <c r="Q2990" s="21">
        <v>60</v>
      </c>
      <c r="R2990" s="21">
        <v>0</v>
      </c>
      <c r="S2990" s="5">
        <f t="shared" si="187"/>
        <v>40864.065120152001</v>
      </c>
      <c r="T2990" cm="1">
        <f t="array" ref="T2990">IF(OR(B2990="MAL ALIMI", B2990="ÜRETİM GİRİŞ"), MIN(I2990, MAX(0, I2990 + SUM(SUMIFS($I$1:I2989, $C$1:C2989, C2990, $B$1:B2989, {"MAL ALIMI","ÜRETİM GİRİŞ"})) - VLOOKUP(C2990, 'STOK RAPORU'!$C$2:$I$1000, 4, 0))), 0)</f>
        <v>0</v>
      </c>
      <c r="U2990" s="22">
        <f t="shared" si="184"/>
        <v>0</v>
      </c>
      <c r="V2990">
        <f t="shared" si="185"/>
        <v>0</v>
      </c>
      <c r="W2990" s="22">
        <f t="shared" si="186"/>
        <v>0</v>
      </c>
    </row>
    <row r="2991" spans="1:23" hidden="1" x14ac:dyDescent="0.25">
      <c r="A2991" s="3">
        <v>46028</v>
      </c>
      <c r="B2991" s="4" t="s">
        <v>334</v>
      </c>
      <c r="C2991" s="4" t="s">
        <v>219</v>
      </c>
      <c r="D2991" s="4"/>
      <c r="E2991" s="4"/>
      <c r="F2991" s="4" t="s">
        <v>1618</v>
      </c>
      <c r="G2991" s="4" t="s">
        <v>336</v>
      </c>
      <c r="H2991" s="4" t="s">
        <v>289</v>
      </c>
      <c r="I2991" s="4">
        <v>7.4999999999999997E-2</v>
      </c>
      <c r="J2991" s="21">
        <v>2000</v>
      </c>
      <c r="K2991" s="21">
        <v>0</v>
      </c>
      <c r="L2991" s="5">
        <v>0</v>
      </c>
      <c r="M2991" s="4"/>
      <c r="N2991" s="4"/>
      <c r="O2991" s="5"/>
      <c r="P2991" s="5"/>
      <c r="Q2991" s="21">
        <v>150</v>
      </c>
      <c r="R2991" s="21">
        <v>0</v>
      </c>
      <c r="S2991" s="5">
        <f t="shared" si="187"/>
        <v>41014.065120152001</v>
      </c>
      <c r="T2991" cm="1">
        <f t="array" ref="T2991">IF(OR(B2991="MAL ALIMI", B2991="ÜRETİM GİRİŞ"), MIN(I2991, MAX(0, I2991 + SUM(SUMIFS($I$1:I2990, $C$1:C2990, C2991, $B$1:B2990, {"MAL ALIMI","ÜRETİM GİRİŞ"})) - VLOOKUP(C2991, 'STOK RAPORU'!$C$2:$I$1000, 4, 0))), 0)</f>
        <v>0</v>
      </c>
      <c r="U2991" s="22">
        <f t="shared" si="184"/>
        <v>0</v>
      </c>
      <c r="V2991">
        <f t="shared" si="185"/>
        <v>0</v>
      </c>
      <c r="W2991" s="22">
        <f t="shared" si="186"/>
        <v>0</v>
      </c>
    </row>
    <row r="2992" spans="1:23" hidden="1" x14ac:dyDescent="0.25">
      <c r="A2992" s="3">
        <v>46028</v>
      </c>
      <c r="B2992" s="4" t="s">
        <v>334</v>
      </c>
      <c r="C2992" s="4" t="s">
        <v>587</v>
      </c>
      <c r="D2992" s="4"/>
      <c r="E2992" s="4"/>
      <c r="F2992" s="4" t="s">
        <v>1621</v>
      </c>
      <c r="G2992" s="4" t="s">
        <v>336</v>
      </c>
      <c r="H2992" s="4" t="s">
        <v>289</v>
      </c>
      <c r="I2992" s="4">
        <v>0.5</v>
      </c>
      <c r="J2992" s="21">
        <v>150</v>
      </c>
      <c r="K2992" s="21">
        <v>0</v>
      </c>
      <c r="L2992" s="5">
        <v>0</v>
      </c>
      <c r="M2992" s="4"/>
      <c r="N2992" s="4"/>
      <c r="O2992" s="5"/>
      <c r="P2992" s="5"/>
      <c r="Q2992" s="21">
        <v>75</v>
      </c>
      <c r="R2992" s="21">
        <v>0</v>
      </c>
      <c r="S2992" s="5">
        <f t="shared" si="187"/>
        <v>41089.065120152001</v>
      </c>
      <c r="T2992" cm="1">
        <f t="array" ref="T2992">IF(OR(B2992="MAL ALIMI", B2992="ÜRETİM GİRİŞ"), MIN(I2992, MAX(0, I2992 + SUM(SUMIFS($I$1:I2991, $C$1:C2991, C2992, $B$1:B2991, {"MAL ALIMI","ÜRETİM GİRİŞ"})) - VLOOKUP(C2992, 'STOK RAPORU'!$C$2:$I$1000, 4, 0))), 0)</f>
        <v>0</v>
      </c>
      <c r="U2992" s="22">
        <f t="shared" si="184"/>
        <v>0</v>
      </c>
      <c r="V2992">
        <f t="shared" si="185"/>
        <v>0</v>
      </c>
      <c r="W2992" s="22">
        <f t="shared" si="186"/>
        <v>0</v>
      </c>
    </row>
    <row r="2993" spans="1:23" hidden="1" x14ac:dyDescent="0.25">
      <c r="A2993" s="3">
        <v>46028</v>
      </c>
      <c r="B2993" s="4" t="s">
        <v>334</v>
      </c>
      <c r="C2993" s="4" t="s">
        <v>129</v>
      </c>
      <c r="D2993" s="4"/>
      <c r="E2993" s="4"/>
      <c r="F2993" s="4" t="s">
        <v>1621</v>
      </c>
      <c r="G2993" s="4" t="s">
        <v>336</v>
      </c>
      <c r="H2993" s="4" t="s">
        <v>289</v>
      </c>
      <c r="I2993" s="4">
        <v>8.5999999999999993E-2</v>
      </c>
      <c r="J2993" s="21">
        <v>390</v>
      </c>
      <c r="K2993" s="21">
        <v>0</v>
      </c>
      <c r="L2993" s="5">
        <v>0</v>
      </c>
      <c r="M2993" s="4"/>
      <c r="N2993" s="4"/>
      <c r="O2993" s="5"/>
      <c r="P2993" s="5"/>
      <c r="Q2993" s="21">
        <v>33.54</v>
      </c>
      <c r="R2993" s="21">
        <v>0</v>
      </c>
      <c r="S2993" s="5">
        <f t="shared" si="187"/>
        <v>41122.605120152002</v>
      </c>
      <c r="T2993" cm="1">
        <f t="array" ref="T2993">IF(OR(B2993="MAL ALIMI", B2993="ÜRETİM GİRİŞ"), MIN(I2993, MAX(0, I2993 + SUM(SUMIFS($I$1:I2992, $C$1:C2992, C2993, $B$1:B2992, {"MAL ALIMI","ÜRETİM GİRİŞ"})) - VLOOKUP(C2993, 'STOK RAPORU'!$C$2:$I$1000, 4, 0))), 0)</f>
        <v>0</v>
      </c>
      <c r="U2993" s="22">
        <f t="shared" si="184"/>
        <v>0</v>
      </c>
      <c r="V2993">
        <f t="shared" si="185"/>
        <v>0</v>
      </c>
      <c r="W2993" s="22">
        <f t="shared" si="186"/>
        <v>0</v>
      </c>
    </row>
    <row r="2994" spans="1:23" hidden="1" x14ac:dyDescent="0.25">
      <c r="A2994" s="3">
        <v>46028</v>
      </c>
      <c r="B2994" s="4" t="s">
        <v>334</v>
      </c>
      <c r="C2994" s="4" t="s">
        <v>1359</v>
      </c>
      <c r="D2994" s="4"/>
      <c r="E2994" s="4"/>
      <c r="F2994" s="4" t="s">
        <v>1621</v>
      </c>
      <c r="G2994" s="4" t="s">
        <v>336</v>
      </c>
      <c r="H2994" s="4" t="s">
        <v>289</v>
      </c>
      <c r="I2994" s="4">
        <v>0.28599999999999998</v>
      </c>
      <c r="J2994" s="21">
        <v>450</v>
      </c>
      <c r="K2994" s="21">
        <v>0</v>
      </c>
      <c r="L2994" s="5">
        <v>0</v>
      </c>
      <c r="M2994" s="4"/>
      <c r="N2994" s="4"/>
      <c r="O2994" s="5"/>
      <c r="P2994" s="5"/>
      <c r="Q2994" s="21">
        <v>128.69999999999999</v>
      </c>
      <c r="R2994" s="21">
        <v>0</v>
      </c>
      <c r="S2994" s="5">
        <f t="shared" si="187"/>
        <v>41251.305120151999</v>
      </c>
      <c r="T2994" cm="1">
        <f t="array" ref="T2994">IF(OR(B2994="MAL ALIMI", B2994="ÜRETİM GİRİŞ"), MIN(I2994, MAX(0, I2994 + SUM(SUMIFS($I$1:I2993, $C$1:C2993, C2994, $B$1:B2993, {"MAL ALIMI","ÜRETİM GİRİŞ"})) - VLOOKUP(C2994, 'STOK RAPORU'!$C$2:$I$1000, 4, 0))), 0)</f>
        <v>0</v>
      </c>
      <c r="U2994" s="22">
        <f t="shared" si="184"/>
        <v>0</v>
      </c>
      <c r="V2994">
        <f t="shared" si="185"/>
        <v>0</v>
      </c>
      <c r="W2994" s="22">
        <f t="shared" si="186"/>
        <v>0</v>
      </c>
    </row>
    <row r="2995" spans="1:23" hidden="1" x14ac:dyDescent="0.25">
      <c r="A2995" s="3">
        <v>46028</v>
      </c>
      <c r="B2995" s="4" t="s">
        <v>334</v>
      </c>
      <c r="C2995" s="4" t="s">
        <v>601</v>
      </c>
      <c r="D2995" s="4"/>
      <c r="E2995" s="4"/>
      <c r="F2995" s="4" t="s">
        <v>1621</v>
      </c>
      <c r="G2995" s="4" t="s">
        <v>336</v>
      </c>
      <c r="H2995" s="4" t="s">
        <v>289</v>
      </c>
      <c r="I2995" s="4">
        <v>0.29799999999999999</v>
      </c>
      <c r="J2995" s="21">
        <v>550</v>
      </c>
      <c r="K2995" s="21">
        <v>0</v>
      </c>
      <c r="L2995" s="5">
        <v>0</v>
      </c>
      <c r="M2995" s="4"/>
      <c r="N2995" s="4"/>
      <c r="O2995" s="5"/>
      <c r="P2995" s="5"/>
      <c r="Q2995" s="21">
        <v>163.9</v>
      </c>
      <c r="R2995" s="21">
        <v>0</v>
      </c>
      <c r="S2995" s="5">
        <f t="shared" si="187"/>
        <v>41415.205120152001</v>
      </c>
      <c r="T2995" cm="1">
        <f t="array" ref="T2995">IF(OR(B2995="MAL ALIMI", B2995="ÜRETİM GİRİŞ"), MIN(I2995, MAX(0, I2995 + SUM(SUMIFS($I$1:I2994, $C$1:C2994, C2995, $B$1:B2994, {"MAL ALIMI","ÜRETİM GİRİŞ"})) - VLOOKUP(C2995, 'STOK RAPORU'!$C$2:$I$1000, 4, 0))), 0)</f>
        <v>0</v>
      </c>
      <c r="U2995" s="22">
        <f t="shared" si="184"/>
        <v>0</v>
      </c>
      <c r="V2995">
        <f t="shared" si="185"/>
        <v>0</v>
      </c>
      <c r="W2995" s="22">
        <f t="shared" si="186"/>
        <v>0</v>
      </c>
    </row>
    <row r="2996" spans="1:23" hidden="1" x14ac:dyDescent="0.25">
      <c r="A2996" s="3">
        <v>46028</v>
      </c>
      <c r="B2996" s="4" t="s">
        <v>334</v>
      </c>
      <c r="C2996" s="4" t="s">
        <v>690</v>
      </c>
      <c r="D2996" s="4"/>
      <c r="E2996" s="4"/>
      <c r="F2996" s="4" t="s">
        <v>1621</v>
      </c>
      <c r="G2996" s="4" t="s">
        <v>336</v>
      </c>
      <c r="H2996" s="4" t="s">
        <v>289</v>
      </c>
      <c r="I2996" s="4">
        <v>0.34399999999999997</v>
      </c>
      <c r="J2996" s="21">
        <v>340</v>
      </c>
      <c r="K2996" s="21">
        <v>0</v>
      </c>
      <c r="L2996" s="5">
        <v>0</v>
      </c>
      <c r="M2996" s="4"/>
      <c r="N2996" s="4"/>
      <c r="O2996" s="5"/>
      <c r="P2996" s="5"/>
      <c r="Q2996" s="21">
        <v>116.96</v>
      </c>
      <c r="R2996" s="21">
        <v>0</v>
      </c>
      <c r="S2996" s="5">
        <f t="shared" si="187"/>
        <v>41532.165120152</v>
      </c>
      <c r="T2996" cm="1">
        <f t="array" ref="T2996">IF(OR(B2996="MAL ALIMI", B2996="ÜRETİM GİRİŞ"), MIN(I2996, MAX(0, I2996 + SUM(SUMIFS($I$1:I2995, $C$1:C2995, C2996, $B$1:B2995, {"MAL ALIMI","ÜRETİM GİRİŞ"})) - VLOOKUP(C2996, 'STOK RAPORU'!$C$2:$I$1000, 4, 0))), 0)</f>
        <v>0</v>
      </c>
      <c r="U2996" s="22">
        <f t="shared" si="184"/>
        <v>0</v>
      </c>
      <c r="V2996">
        <f t="shared" si="185"/>
        <v>0</v>
      </c>
      <c r="W2996" s="22">
        <f t="shared" si="186"/>
        <v>0</v>
      </c>
    </row>
    <row r="2997" spans="1:23" hidden="1" x14ac:dyDescent="0.25">
      <c r="A2997" s="3">
        <v>46028</v>
      </c>
      <c r="B2997" s="4" t="s">
        <v>334</v>
      </c>
      <c r="C2997" s="46" t="s">
        <v>585</v>
      </c>
      <c r="D2997" s="4"/>
      <c r="E2997" s="4"/>
      <c r="F2997" s="4" t="s">
        <v>1621</v>
      </c>
      <c r="G2997" s="4" t="s">
        <v>336</v>
      </c>
      <c r="H2997" s="4" t="s">
        <v>289</v>
      </c>
      <c r="I2997" s="4">
        <v>0.5</v>
      </c>
      <c r="J2997" s="21">
        <v>200</v>
      </c>
      <c r="K2997" s="21">
        <v>0</v>
      </c>
      <c r="L2997" s="5">
        <v>0</v>
      </c>
      <c r="M2997" s="4"/>
      <c r="N2997" s="4"/>
      <c r="O2997" s="5"/>
      <c r="P2997" s="5"/>
      <c r="Q2997" s="21">
        <v>100</v>
      </c>
      <c r="R2997" s="21">
        <v>0</v>
      </c>
      <c r="S2997" s="5">
        <f t="shared" si="187"/>
        <v>41632.165120152</v>
      </c>
      <c r="T2997" cm="1">
        <f t="array" ref="T2997">IF(OR(B2997="MAL ALIMI", B2997="ÜRETİM GİRİŞ"), MIN(I2997, MAX(0, I2997 + SUM(SUMIFS($I$1:I2996, $C$1:C2996, C2997, $B$1:B2996, {"MAL ALIMI","ÜRETİM GİRİŞ"})) - VLOOKUP(C2997, 'STOK RAPORU'!$C$2:$I$1000, 4, 0))), 0)</f>
        <v>0</v>
      </c>
      <c r="U2997" s="22">
        <f t="shared" si="184"/>
        <v>0</v>
      </c>
      <c r="V2997">
        <f t="shared" si="185"/>
        <v>0</v>
      </c>
      <c r="W2997" s="22">
        <f t="shared" si="186"/>
        <v>0</v>
      </c>
    </row>
    <row r="2998" spans="1:23" hidden="1" x14ac:dyDescent="0.25">
      <c r="A2998" s="3">
        <v>46028</v>
      </c>
      <c r="B2998" s="4" t="s">
        <v>334</v>
      </c>
      <c r="C2998" s="4" t="s">
        <v>586</v>
      </c>
      <c r="D2998" s="4"/>
      <c r="E2998" s="4"/>
      <c r="F2998" s="4" t="s">
        <v>1621</v>
      </c>
      <c r="G2998" s="4" t="s">
        <v>336</v>
      </c>
      <c r="H2998" s="4" t="s">
        <v>289</v>
      </c>
      <c r="I2998" s="4">
        <v>0.5</v>
      </c>
      <c r="J2998" s="21">
        <v>200</v>
      </c>
      <c r="K2998" s="21">
        <v>0</v>
      </c>
      <c r="L2998" s="5">
        <v>0</v>
      </c>
      <c r="M2998" s="4"/>
      <c r="N2998" s="4"/>
      <c r="O2998" s="5"/>
      <c r="P2998" s="5"/>
      <c r="Q2998" s="21">
        <v>100</v>
      </c>
      <c r="R2998" s="21">
        <v>0</v>
      </c>
      <c r="S2998" s="5">
        <f t="shared" si="187"/>
        <v>41732.165120152</v>
      </c>
      <c r="T2998" cm="1">
        <f t="array" ref="T2998">IF(OR(B2998="MAL ALIMI", B2998="ÜRETİM GİRİŞ"), MIN(I2998, MAX(0, I2998 + SUM(SUMIFS($I$1:I2997, $C$1:C2997, C2998, $B$1:B2997, {"MAL ALIMI","ÜRETİM GİRİŞ"})) - VLOOKUP(C2998, 'STOK RAPORU'!$C$2:$I$1000, 4, 0))), 0)</f>
        <v>0</v>
      </c>
      <c r="U2998" s="22">
        <f t="shared" si="184"/>
        <v>0</v>
      </c>
      <c r="V2998">
        <f t="shared" si="185"/>
        <v>0</v>
      </c>
      <c r="W2998" s="22">
        <f t="shared" si="186"/>
        <v>0</v>
      </c>
    </row>
    <row r="2999" spans="1:23" hidden="1" x14ac:dyDescent="0.25">
      <c r="A2999" s="3">
        <v>46028</v>
      </c>
      <c r="B2999" s="4" t="s">
        <v>334</v>
      </c>
      <c r="C2999" s="4" t="s">
        <v>523</v>
      </c>
      <c r="D2999" s="4"/>
      <c r="E2999" s="4"/>
      <c r="F2999" s="4" t="s">
        <v>1621</v>
      </c>
      <c r="G2999" s="4" t="s">
        <v>336</v>
      </c>
      <c r="H2999" s="4" t="s">
        <v>289</v>
      </c>
      <c r="I2999" s="4">
        <v>0.1</v>
      </c>
      <c r="J2999" s="21">
        <v>650</v>
      </c>
      <c r="K2999" s="21">
        <v>0</v>
      </c>
      <c r="L2999" s="5">
        <v>0</v>
      </c>
      <c r="M2999" s="4"/>
      <c r="N2999" s="4"/>
      <c r="O2999" s="5"/>
      <c r="P2999" s="5"/>
      <c r="Q2999" s="21">
        <v>65</v>
      </c>
      <c r="R2999" s="21">
        <v>0</v>
      </c>
      <c r="S2999" s="5">
        <f t="shared" si="187"/>
        <v>41797.165120152</v>
      </c>
      <c r="T2999" cm="1">
        <f t="array" ref="T2999">IF(OR(B2999="MAL ALIMI", B2999="ÜRETİM GİRİŞ"), MIN(I2999, MAX(0, I2999 + SUM(SUMIFS($I$1:I2998, $C$1:C2998, C2999, $B$1:B2998, {"MAL ALIMI","ÜRETİM GİRİŞ"})) - VLOOKUP(C2999, 'STOK RAPORU'!$C$2:$I$1000, 4, 0))), 0)</f>
        <v>0</v>
      </c>
      <c r="U2999" s="22">
        <f t="shared" si="184"/>
        <v>0</v>
      </c>
      <c r="V2999">
        <f t="shared" si="185"/>
        <v>0</v>
      </c>
      <c r="W2999" s="22">
        <f t="shared" si="186"/>
        <v>0</v>
      </c>
    </row>
    <row r="3000" spans="1:23" hidden="1" x14ac:dyDescent="0.25">
      <c r="A3000" s="3">
        <v>46028</v>
      </c>
      <c r="B3000" s="4" t="s">
        <v>334</v>
      </c>
      <c r="C3000" s="4" t="s">
        <v>134</v>
      </c>
      <c r="D3000" s="4"/>
      <c r="E3000" s="4"/>
      <c r="F3000" s="4" t="s">
        <v>1621</v>
      </c>
      <c r="G3000" s="4" t="s">
        <v>336</v>
      </c>
      <c r="H3000" s="4" t="s">
        <v>289</v>
      </c>
      <c r="I3000" s="4">
        <v>0.1</v>
      </c>
      <c r="J3000" s="21">
        <v>600</v>
      </c>
      <c r="K3000" s="21">
        <v>0</v>
      </c>
      <c r="L3000" s="5">
        <v>0</v>
      </c>
      <c r="M3000" s="4"/>
      <c r="N3000" s="4"/>
      <c r="O3000" s="5"/>
      <c r="P3000" s="5"/>
      <c r="Q3000" s="21">
        <v>60</v>
      </c>
      <c r="R3000" s="21">
        <v>0</v>
      </c>
      <c r="S3000" s="5">
        <f t="shared" si="187"/>
        <v>41857.165120152</v>
      </c>
      <c r="T3000" cm="1">
        <f t="array" ref="T3000">IF(OR(B3000="MAL ALIMI", B3000="ÜRETİM GİRİŞ"), MIN(I3000, MAX(0, I3000 + SUM(SUMIFS($I$1:I2999, $C$1:C2999, C3000, $B$1:B2999, {"MAL ALIMI","ÜRETİM GİRİŞ"})) - VLOOKUP(C3000, 'STOK RAPORU'!$C$2:$I$1000, 4, 0))), 0)</f>
        <v>0</v>
      </c>
      <c r="U3000" s="22">
        <f t="shared" si="184"/>
        <v>0</v>
      </c>
      <c r="V3000">
        <f t="shared" si="185"/>
        <v>0</v>
      </c>
      <c r="W3000" s="22">
        <f t="shared" si="186"/>
        <v>0</v>
      </c>
    </row>
    <row r="3001" spans="1:23" hidden="1" x14ac:dyDescent="0.25">
      <c r="A3001" s="3">
        <v>46028</v>
      </c>
      <c r="B3001" s="4" t="s">
        <v>334</v>
      </c>
      <c r="C3001" s="4" t="s">
        <v>131</v>
      </c>
      <c r="D3001" s="4"/>
      <c r="E3001" s="4"/>
      <c r="F3001" s="4" t="s">
        <v>1621</v>
      </c>
      <c r="G3001" s="4" t="s">
        <v>336</v>
      </c>
      <c r="H3001" s="4" t="s">
        <v>289</v>
      </c>
      <c r="I3001" s="4">
        <v>0.14199999999999999</v>
      </c>
      <c r="J3001" s="21">
        <v>400</v>
      </c>
      <c r="K3001" s="21">
        <v>0</v>
      </c>
      <c r="L3001" s="5">
        <v>0</v>
      </c>
      <c r="M3001" s="4"/>
      <c r="N3001" s="4"/>
      <c r="O3001" s="5"/>
      <c r="P3001" s="5"/>
      <c r="Q3001" s="21">
        <v>56.8</v>
      </c>
      <c r="R3001" s="21">
        <v>0</v>
      </c>
      <c r="S3001" s="5">
        <f t="shared" si="187"/>
        <v>41913.965120152003</v>
      </c>
      <c r="T3001" cm="1">
        <f t="array" ref="T3001">IF(OR(B3001="MAL ALIMI", B3001="ÜRETİM GİRİŞ"), MIN(I3001, MAX(0, I3001 + SUM(SUMIFS($I$1:I3000, $C$1:C3000, C3001, $B$1:B3000, {"MAL ALIMI","ÜRETİM GİRİŞ"})) - VLOOKUP(C3001, 'STOK RAPORU'!$C$2:$I$1000, 4, 0))), 0)</f>
        <v>0</v>
      </c>
      <c r="U3001" s="22">
        <f t="shared" si="184"/>
        <v>0</v>
      </c>
      <c r="V3001">
        <f t="shared" si="185"/>
        <v>0</v>
      </c>
      <c r="W3001" s="22">
        <f t="shared" si="186"/>
        <v>0</v>
      </c>
    </row>
    <row r="3002" spans="1:23" hidden="1" x14ac:dyDescent="0.25">
      <c r="A3002" s="3">
        <v>46028</v>
      </c>
      <c r="B3002" s="4" t="s">
        <v>334</v>
      </c>
      <c r="C3002" s="4" t="s">
        <v>196</v>
      </c>
      <c r="D3002" s="4"/>
      <c r="E3002" s="4"/>
      <c r="F3002" s="4" t="s">
        <v>1622</v>
      </c>
      <c r="G3002" s="4" t="s">
        <v>336</v>
      </c>
      <c r="H3002" s="4" t="s">
        <v>289</v>
      </c>
      <c r="I3002" s="4">
        <v>0.26400000000000001</v>
      </c>
      <c r="J3002" s="21">
        <v>266</v>
      </c>
      <c r="K3002" s="21">
        <v>0</v>
      </c>
      <c r="L3002" s="5">
        <v>0</v>
      </c>
      <c r="M3002" s="4"/>
      <c r="N3002" s="4"/>
      <c r="O3002" s="5"/>
      <c r="P3002" s="5"/>
      <c r="Q3002" s="21">
        <v>70.224000000000004</v>
      </c>
      <c r="R3002" s="21">
        <v>0</v>
      </c>
      <c r="S3002" s="5">
        <f t="shared" si="187"/>
        <v>41984.189120152005</v>
      </c>
      <c r="T3002" cm="1">
        <f t="array" ref="T3002">IF(OR(B3002="MAL ALIMI", B3002="ÜRETİM GİRİŞ"), MIN(I3002, MAX(0, I3002 + SUM(SUMIFS($I$1:I3001, $C$1:C3001, C3002, $B$1:B3001, {"MAL ALIMI","ÜRETİM GİRİŞ"})) - VLOOKUP(C3002, 'STOK RAPORU'!$C$2:$I$1000, 4, 0))), 0)</f>
        <v>0</v>
      </c>
      <c r="U3002" s="22">
        <f t="shared" si="184"/>
        <v>0</v>
      </c>
      <c r="V3002">
        <f t="shared" si="185"/>
        <v>0</v>
      </c>
      <c r="W3002" s="22">
        <f t="shared" si="186"/>
        <v>0</v>
      </c>
    </row>
    <row r="3003" spans="1:23" hidden="1" x14ac:dyDescent="0.25">
      <c r="A3003" s="3">
        <v>46028</v>
      </c>
      <c r="B3003" s="4" t="s">
        <v>334</v>
      </c>
      <c r="C3003" s="4" t="s">
        <v>1443</v>
      </c>
      <c r="D3003" s="4"/>
      <c r="E3003" s="4"/>
      <c r="F3003" s="4" t="s">
        <v>1622</v>
      </c>
      <c r="G3003" s="4" t="s">
        <v>336</v>
      </c>
      <c r="H3003" s="4" t="s">
        <v>289</v>
      </c>
      <c r="I3003" s="4">
        <v>2</v>
      </c>
      <c r="J3003" s="21">
        <v>10</v>
      </c>
      <c r="K3003" s="21">
        <v>0</v>
      </c>
      <c r="L3003" s="5">
        <v>0</v>
      </c>
      <c r="M3003" s="4"/>
      <c r="N3003" s="4"/>
      <c r="O3003" s="5"/>
      <c r="P3003" s="5"/>
      <c r="Q3003" s="21">
        <v>20</v>
      </c>
      <c r="R3003" s="21">
        <v>0</v>
      </c>
      <c r="S3003" s="5">
        <f t="shared" si="187"/>
        <v>42004.189120152005</v>
      </c>
      <c r="T3003" cm="1">
        <f t="array" ref="T3003">IF(OR(B3003="MAL ALIMI", B3003="ÜRETİM GİRİŞ"), MIN(I3003, MAX(0, I3003 + SUM(SUMIFS($I$1:I3002, $C$1:C3002, C3003, $B$1:B3002, {"MAL ALIMI","ÜRETİM GİRİŞ"})) - VLOOKUP(C3003, 'STOK RAPORU'!$C$2:$I$1000, 4, 0))), 0)</f>
        <v>0</v>
      </c>
      <c r="U3003" s="22">
        <f t="shared" si="184"/>
        <v>0</v>
      </c>
      <c r="V3003">
        <f t="shared" si="185"/>
        <v>0</v>
      </c>
      <c r="W3003" s="22">
        <f t="shared" si="186"/>
        <v>0</v>
      </c>
    </row>
    <row r="3004" spans="1:23" hidden="1" x14ac:dyDescent="0.25">
      <c r="A3004" s="3">
        <v>46028</v>
      </c>
      <c r="B3004" s="4" t="s">
        <v>334</v>
      </c>
      <c r="C3004" s="4" t="s">
        <v>749</v>
      </c>
      <c r="D3004" s="4"/>
      <c r="E3004" s="4"/>
      <c r="F3004" s="4" t="s">
        <v>1622</v>
      </c>
      <c r="G3004" s="4" t="s">
        <v>336</v>
      </c>
      <c r="H3004" s="4" t="s">
        <v>289</v>
      </c>
      <c r="I3004" s="4">
        <v>1</v>
      </c>
      <c r="J3004" s="21">
        <v>220</v>
      </c>
      <c r="K3004" s="21">
        <v>0</v>
      </c>
      <c r="L3004" s="5">
        <v>0</v>
      </c>
      <c r="M3004" s="4"/>
      <c r="N3004" s="4"/>
      <c r="O3004" s="5"/>
      <c r="P3004" s="5"/>
      <c r="Q3004" s="21">
        <v>220</v>
      </c>
      <c r="R3004" s="21">
        <v>0</v>
      </c>
      <c r="S3004" s="5">
        <f t="shared" si="187"/>
        <v>42224.189120152005</v>
      </c>
      <c r="T3004" cm="1">
        <f t="array" ref="T3004">IF(OR(B3004="MAL ALIMI", B3004="ÜRETİM GİRİŞ"), MIN(I3004, MAX(0, I3004 + SUM(SUMIFS($I$1:I3003, $C$1:C3003, C3004, $B$1:B3003, {"MAL ALIMI","ÜRETİM GİRİŞ"})) - VLOOKUP(C3004, 'STOK RAPORU'!$C$2:$I$1000, 4, 0))), 0)</f>
        <v>0</v>
      </c>
      <c r="U3004" s="22">
        <f t="shared" si="184"/>
        <v>0</v>
      </c>
      <c r="V3004">
        <f t="shared" si="185"/>
        <v>0</v>
      </c>
      <c r="W3004" s="22">
        <f t="shared" si="186"/>
        <v>0</v>
      </c>
    </row>
    <row r="3005" spans="1:23" hidden="1" x14ac:dyDescent="0.25">
      <c r="A3005" s="3">
        <v>46028</v>
      </c>
      <c r="B3005" s="4" t="s">
        <v>334</v>
      </c>
      <c r="C3005" s="4" t="s">
        <v>223</v>
      </c>
      <c r="D3005" s="4"/>
      <c r="E3005" s="4"/>
      <c r="F3005" s="4" t="s">
        <v>1622</v>
      </c>
      <c r="G3005" s="4" t="s">
        <v>336</v>
      </c>
      <c r="H3005" s="4" t="s">
        <v>289</v>
      </c>
      <c r="I3005" s="4">
        <v>0.5</v>
      </c>
      <c r="J3005" s="21">
        <v>800</v>
      </c>
      <c r="K3005" s="21">
        <v>0</v>
      </c>
      <c r="L3005" s="5">
        <v>0</v>
      </c>
      <c r="M3005" s="4"/>
      <c r="N3005" s="4"/>
      <c r="O3005" s="5"/>
      <c r="P3005" s="5"/>
      <c r="Q3005" s="21">
        <v>400</v>
      </c>
      <c r="R3005" s="21">
        <v>0</v>
      </c>
      <c r="S3005" s="5">
        <f t="shared" si="187"/>
        <v>42624.189120152005</v>
      </c>
      <c r="T3005" cm="1">
        <f t="array" ref="T3005">IF(OR(B3005="MAL ALIMI", B3005="ÜRETİM GİRİŞ"), MIN(I3005, MAX(0, I3005 + SUM(SUMIFS($I$1:I3004, $C$1:C3004, C3005, $B$1:B3004, {"MAL ALIMI","ÜRETİM GİRİŞ"})) - VLOOKUP(C3005, 'STOK RAPORU'!$C$2:$I$1000, 4, 0))), 0)</f>
        <v>0</v>
      </c>
      <c r="U3005" s="22">
        <f t="shared" si="184"/>
        <v>0</v>
      </c>
      <c r="V3005">
        <f t="shared" si="185"/>
        <v>0</v>
      </c>
      <c r="W3005" s="22">
        <f t="shared" si="186"/>
        <v>0</v>
      </c>
    </row>
    <row r="3006" spans="1:23" hidden="1" x14ac:dyDescent="0.25">
      <c r="A3006" s="3">
        <v>46028</v>
      </c>
      <c r="B3006" s="4" t="s">
        <v>946</v>
      </c>
      <c r="C3006" s="4"/>
      <c r="D3006" s="4"/>
      <c r="E3006" s="4" t="s">
        <v>921</v>
      </c>
      <c r="F3006" s="4"/>
      <c r="G3006" s="4" t="s">
        <v>946</v>
      </c>
      <c r="H3006" s="4" t="s">
        <v>380</v>
      </c>
      <c r="I3006" s="4">
        <v>1</v>
      </c>
      <c r="J3006" s="105">
        <v>847</v>
      </c>
      <c r="K3006" s="21">
        <v>0</v>
      </c>
      <c r="L3006" s="102">
        <v>847</v>
      </c>
      <c r="M3006" s="4"/>
      <c r="N3006" s="4"/>
      <c r="O3006" s="5"/>
      <c r="P3006" s="5"/>
      <c r="Q3006" s="21">
        <v>847</v>
      </c>
      <c r="R3006" s="21">
        <v>0</v>
      </c>
      <c r="S3006" s="5">
        <f t="shared" si="187"/>
        <v>43471.189120152005</v>
      </c>
      <c r="T3006" cm="1">
        <f t="array" ref="T3006">IF(OR(B3006="MAL ALIMI", B3006="ÜRETİM GİRİŞ"), MIN(I3006, MAX(0, I3006 + SUM(SUMIFS($I$1:I3005, $C$1:C3005, C3006, $B$1:B3005, {"MAL ALIMI","ÜRETİM GİRİŞ"})) - VLOOKUP(C3006, 'STOK RAPORU'!$C$2:$I$1000, 4, 0))), 0)</f>
        <v>0</v>
      </c>
      <c r="U3006" s="22">
        <f t="shared" si="184"/>
        <v>0</v>
      </c>
      <c r="V3006">
        <f t="shared" si="185"/>
        <v>0</v>
      </c>
      <c r="W3006" s="22">
        <f t="shared" si="186"/>
        <v>0</v>
      </c>
    </row>
    <row r="3007" spans="1:23" hidden="1" x14ac:dyDescent="0.25">
      <c r="A3007" s="3">
        <v>46029</v>
      </c>
      <c r="B3007" s="4" t="s">
        <v>334</v>
      </c>
      <c r="C3007" s="4" t="s">
        <v>198</v>
      </c>
      <c r="D3007" s="4"/>
      <c r="E3007" s="4" t="s">
        <v>921</v>
      </c>
      <c r="F3007" s="4" t="s">
        <v>1623</v>
      </c>
      <c r="G3007" s="4" t="s">
        <v>336</v>
      </c>
      <c r="H3007" s="4" t="s">
        <v>380</v>
      </c>
      <c r="I3007" s="4">
        <v>0.05</v>
      </c>
      <c r="J3007" s="21">
        <v>1400</v>
      </c>
      <c r="K3007" s="21">
        <v>70</v>
      </c>
      <c r="L3007" s="5">
        <v>0</v>
      </c>
      <c r="M3007" s="4"/>
      <c r="N3007" s="4"/>
      <c r="O3007" s="5"/>
      <c r="P3007" s="5"/>
      <c r="Q3007" s="21">
        <v>0</v>
      </c>
      <c r="R3007" s="21">
        <v>0</v>
      </c>
      <c r="S3007" s="5">
        <f t="shared" si="187"/>
        <v>43471.189120152005</v>
      </c>
      <c r="T3007" cm="1">
        <f t="array" ref="T3007">IF(OR(B3007="MAL ALIMI", B3007="ÜRETİM GİRİŞ"), MIN(I3007, MAX(0, I3007 + SUM(SUMIFS($I$1:I3006, $C$1:C3006, C3007, $B$1:B3006, {"MAL ALIMI","ÜRETİM GİRİŞ"})) - VLOOKUP(C3007, 'STOK RAPORU'!$C$2:$I$1000, 4, 0))), 0)</f>
        <v>0</v>
      </c>
      <c r="U3007" s="22">
        <f t="shared" si="184"/>
        <v>0</v>
      </c>
      <c r="V3007">
        <f t="shared" si="185"/>
        <v>0</v>
      </c>
      <c r="W3007" s="22">
        <f t="shared" si="186"/>
        <v>0</v>
      </c>
    </row>
    <row r="3008" spans="1:23" hidden="1" x14ac:dyDescent="0.25">
      <c r="A3008" s="3">
        <v>46029</v>
      </c>
      <c r="B3008" s="4" t="s">
        <v>334</v>
      </c>
      <c r="C3008" s="4" t="s">
        <v>160</v>
      </c>
      <c r="D3008" s="4"/>
      <c r="E3008" s="4" t="s">
        <v>921</v>
      </c>
      <c r="F3008" s="4" t="s">
        <v>1624</v>
      </c>
      <c r="G3008" s="4" t="s">
        <v>336</v>
      </c>
      <c r="H3008" s="4" t="s">
        <v>380</v>
      </c>
      <c r="I3008" s="4">
        <v>0.5</v>
      </c>
      <c r="J3008" s="21">
        <v>250</v>
      </c>
      <c r="K3008" s="21">
        <v>125</v>
      </c>
      <c r="L3008" s="5">
        <v>0</v>
      </c>
      <c r="M3008" s="4"/>
      <c r="N3008" s="4"/>
      <c r="O3008" s="5"/>
      <c r="P3008" s="5"/>
      <c r="Q3008" s="21">
        <v>0</v>
      </c>
      <c r="R3008" s="21">
        <v>0</v>
      </c>
      <c r="S3008" s="5">
        <f t="shared" si="187"/>
        <v>43471.189120152005</v>
      </c>
      <c r="T3008" cm="1">
        <f t="array" ref="T3008">IF(OR(B3008="MAL ALIMI", B3008="ÜRETİM GİRİŞ"), MIN(I3008, MAX(0, I3008 + SUM(SUMIFS($I$1:I3007, $C$1:C3007, C3008, $B$1:B3007, {"MAL ALIMI","ÜRETİM GİRİŞ"})) - VLOOKUP(C3008, 'STOK RAPORU'!$C$2:$I$1000, 4, 0))), 0)</f>
        <v>0</v>
      </c>
      <c r="U3008" s="22">
        <f t="shared" si="184"/>
        <v>0</v>
      </c>
      <c r="V3008">
        <f t="shared" si="185"/>
        <v>0</v>
      </c>
      <c r="W3008" s="22">
        <f t="shared" si="186"/>
        <v>0</v>
      </c>
    </row>
    <row r="3009" spans="1:23" hidden="1" x14ac:dyDescent="0.25">
      <c r="A3009" s="3">
        <v>46029</v>
      </c>
      <c r="B3009" s="4" t="s">
        <v>334</v>
      </c>
      <c r="C3009" s="4" t="s">
        <v>161</v>
      </c>
      <c r="D3009" s="4"/>
      <c r="E3009" s="4" t="s">
        <v>921</v>
      </c>
      <c r="F3009" s="4" t="s">
        <v>1624</v>
      </c>
      <c r="G3009" s="4" t="s">
        <v>336</v>
      </c>
      <c r="H3009" s="4" t="s">
        <v>380</v>
      </c>
      <c r="I3009" s="4">
        <v>0.5</v>
      </c>
      <c r="J3009" s="21">
        <v>230</v>
      </c>
      <c r="K3009" s="21">
        <v>115</v>
      </c>
      <c r="L3009" s="5">
        <v>0</v>
      </c>
      <c r="M3009" s="4"/>
      <c r="N3009" s="4"/>
      <c r="O3009" s="5"/>
      <c r="P3009" s="5"/>
      <c r="Q3009" s="21">
        <v>0</v>
      </c>
      <c r="R3009" s="21">
        <v>0</v>
      </c>
      <c r="S3009" s="5">
        <f t="shared" si="187"/>
        <v>43471.189120152005</v>
      </c>
      <c r="T3009" cm="1">
        <f t="array" ref="T3009">IF(OR(B3009="MAL ALIMI", B3009="ÜRETİM GİRİŞ"), MIN(I3009, MAX(0, I3009 + SUM(SUMIFS($I$1:I3008, $C$1:C3008, C3009, $B$1:B3008, {"MAL ALIMI","ÜRETİM GİRİŞ"})) - VLOOKUP(C3009, 'STOK RAPORU'!$C$2:$I$1000, 4, 0))), 0)</f>
        <v>0</v>
      </c>
      <c r="U3009" s="22">
        <f t="shared" si="184"/>
        <v>0</v>
      </c>
      <c r="V3009">
        <f t="shared" si="185"/>
        <v>0</v>
      </c>
      <c r="W3009" s="22">
        <f t="shared" si="186"/>
        <v>0</v>
      </c>
    </row>
    <row r="3010" spans="1:23" hidden="1" x14ac:dyDescent="0.25">
      <c r="A3010" s="3">
        <v>46029</v>
      </c>
      <c r="B3010" s="4" t="s">
        <v>334</v>
      </c>
      <c r="C3010" s="4" t="s">
        <v>1150</v>
      </c>
      <c r="D3010" s="4"/>
      <c r="E3010" s="4" t="s">
        <v>921</v>
      </c>
      <c r="F3010" s="4" t="s">
        <v>1624</v>
      </c>
      <c r="G3010" s="4" t="s">
        <v>336</v>
      </c>
      <c r="H3010" s="4" t="s">
        <v>380</v>
      </c>
      <c r="I3010" s="4">
        <v>0.112</v>
      </c>
      <c r="J3010" s="21">
        <v>540</v>
      </c>
      <c r="K3010" s="21">
        <v>60.480000000000004</v>
      </c>
      <c r="L3010" s="5">
        <v>0</v>
      </c>
      <c r="M3010" s="4"/>
      <c r="N3010" s="4"/>
      <c r="O3010" s="5"/>
      <c r="P3010" s="5"/>
      <c r="Q3010" s="21">
        <v>0</v>
      </c>
      <c r="R3010" s="21">
        <v>0</v>
      </c>
      <c r="S3010" s="5">
        <f t="shared" si="187"/>
        <v>43471.189120152005</v>
      </c>
      <c r="T3010" cm="1">
        <f t="array" ref="T3010">IF(OR(B3010="MAL ALIMI", B3010="ÜRETİM GİRİŞ"), MIN(I3010, MAX(0, I3010 + SUM(SUMIFS($I$1:I3009, $C$1:C3009, C3010, $B$1:B3009, {"MAL ALIMI","ÜRETİM GİRİŞ"})) - VLOOKUP(C3010, 'STOK RAPORU'!$C$2:$I$1000, 4, 0))), 0)</f>
        <v>0</v>
      </c>
      <c r="U3010" s="22">
        <f t="shared" si="184"/>
        <v>0</v>
      </c>
      <c r="V3010">
        <f t="shared" si="185"/>
        <v>0</v>
      </c>
      <c r="W3010" s="22">
        <f t="shared" si="186"/>
        <v>0</v>
      </c>
    </row>
    <row r="3011" spans="1:23" hidden="1" x14ac:dyDescent="0.25">
      <c r="A3011" s="3">
        <v>46029</v>
      </c>
      <c r="B3011" s="4" t="s">
        <v>334</v>
      </c>
      <c r="C3011" s="4" t="s">
        <v>160</v>
      </c>
      <c r="D3011" s="4"/>
      <c r="E3011" s="4" t="s">
        <v>921</v>
      </c>
      <c r="F3011" s="4" t="s">
        <v>1625</v>
      </c>
      <c r="G3011" s="4" t="s">
        <v>336</v>
      </c>
      <c r="H3011" s="4" t="s">
        <v>380</v>
      </c>
      <c r="I3011" s="4">
        <v>0.5</v>
      </c>
      <c r="J3011" s="21">
        <v>250</v>
      </c>
      <c r="K3011" s="21">
        <v>125</v>
      </c>
      <c r="L3011" s="5">
        <v>0</v>
      </c>
      <c r="M3011" s="4"/>
      <c r="N3011" s="4"/>
      <c r="O3011" s="5"/>
      <c r="P3011" s="5"/>
      <c r="Q3011" s="21">
        <v>0</v>
      </c>
      <c r="R3011" s="21">
        <v>0</v>
      </c>
      <c r="S3011" s="5">
        <f t="shared" si="187"/>
        <v>43471.189120152005</v>
      </c>
      <c r="T3011" cm="1">
        <f t="array" ref="T3011">IF(OR(B3011="MAL ALIMI", B3011="ÜRETİM GİRİŞ"), MIN(I3011, MAX(0, I3011 + SUM(SUMIFS($I$1:I3010, $C$1:C3010, C3011, $B$1:B3010, {"MAL ALIMI","ÜRETİM GİRİŞ"})) - VLOOKUP(C3011, 'STOK RAPORU'!$C$2:$I$1000, 4, 0))), 0)</f>
        <v>0</v>
      </c>
      <c r="U3011" s="22">
        <f t="shared" ref="U3011:U3073" si="188">T3011*J3011</f>
        <v>0</v>
      </c>
      <c r="V3011">
        <f t="shared" ref="V3011:V3073" si="189">IF(OR(B3011="MAL ALIMI", B3011="ÜRETİM GİRİŞ"), I3011 * J3011, 0)</f>
        <v>0</v>
      </c>
      <c r="W3011" s="22">
        <f t="shared" ref="W3011:W3073" si="190">V3011-U3011</f>
        <v>0</v>
      </c>
    </row>
    <row r="3012" spans="1:23" hidden="1" x14ac:dyDescent="0.25">
      <c r="A3012" s="3">
        <v>46029</v>
      </c>
      <c r="B3012" s="4" t="s">
        <v>334</v>
      </c>
      <c r="C3012" s="4" t="s">
        <v>161</v>
      </c>
      <c r="D3012" s="4"/>
      <c r="E3012" s="4" t="s">
        <v>921</v>
      </c>
      <c r="F3012" s="4" t="s">
        <v>1625</v>
      </c>
      <c r="G3012" s="4" t="s">
        <v>336</v>
      </c>
      <c r="H3012" s="4" t="s">
        <v>380</v>
      </c>
      <c r="I3012" s="4">
        <v>0.5</v>
      </c>
      <c r="J3012" s="21">
        <v>230</v>
      </c>
      <c r="K3012" s="21">
        <v>115</v>
      </c>
      <c r="L3012" s="5">
        <v>0</v>
      </c>
      <c r="M3012" s="4"/>
      <c r="N3012" s="4"/>
      <c r="O3012" s="5"/>
      <c r="P3012" s="5"/>
      <c r="Q3012" s="21">
        <v>0</v>
      </c>
      <c r="R3012" s="21">
        <v>0</v>
      </c>
      <c r="S3012" s="5">
        <f t="shared" ref="S3012:S3075" si="191">S3011+Q3012-R3012</f>
        <v>43471.189120152005</v>
      </c>
      <c r="T3012" cm="1">
        <f t="array" ref="T3012">IF(OR(B3012="MAL ALIMI", B3012="ÜRETİM GİRİŞ"), MIN(I3012, MAX(0, I3012 + SUM(SUMIFS($I$1:I3011, $C$1:C3011, C3012, $B$1:B3011, {"MAL ALIMI","ÜRETİM GİRİŞ"})) - VLOOKUP(C3012, 'STOK RAPORU'!$C$2:$I$1000, 4, 0))), 0)</f>
        <v>0</v>
      </c>
      <c r="U3012" s="22">
        <f t="shared" si="188"/>
        <v>0</v>
      </c>
      <c r="V3012">
        <f t="shared" si="189"/>
        <v>0</v>
      </c>
      <c r="W3012" s="22">
        <f t="shared" si="190"/>
        <v>0</v>
      </c>
    </row>
    <row r="3013" spans="1:23" hidden="1" x14ac:dyDescent="0.25">
      <c r="A3013" s="3">
        <v>46029</v>
      </c>
      <c r="B3013" s="4" t="s">
        <v>334</v>
      </c>
      <c r="C3013" s="4" t="s">
        <v>166</v>
      </c>
      <c r="D3013" s="4"/>
      <c r="E3013" s="4" t="s">
        <v>921</v>
      </c>
      <c r="F3013" s="4" t="s">
        <v>1626</v>
      </c>
      <c r="G3013" s="4" t="s">
        <v>336</v>
      </c>
      <c r="H3013" s="4" t="s">
        <v>380</v>
      </c>
      <c r="I3013" s="4">
        <v>9.8000000000000004E-2</v>
      </c>
      <c r="J3013" s="21">
        <v>770</v>
      </c>
      <c r="K3013" s="21">
        <v>75.460000000000008</v>
      </c>
      <c r="L3013" s="5">
        <v>0</v>
      </c>
      <c r="M3013" s="4"/>
      <c r="N3013" s="4"/>
      <c r="O3013" s="5"/>
      <c r="P3013" s="5"/>
      <c r="Q3013" s="21">
        <v>0</v>
      </c>
      <c r="R3013" s="21">
        <v>0</v>
      </c>
      <c r="S3013" s="5">
        <f t="shared" si="191"/>
        <v>43471.189120152005</v>
      </c>
      <c r="T3013" cm="1">
        <f t="array" ref="T3013">IF(OR(B3013="MAL ALIMI", B3013="ÜRETİM GİRİŞ"), MIN(I3013, MAX(0, I3013 + SUM(SUMIFS($I$1:I3012, $C$1:C3012, C3013, $B$1:B3012, {"MAL ALIMI","ÜRETİM GİRİŞ"})) - VLOOKUP(C3013, 'STOK RAPORU'!$C$2:$I$1000, 4, 0))), 0)</f>
        <v>0</v>
      </c>
      <c r="U3013" s="22">
        <f t="shared" si="188"/>
        <v>0</v>
      </c>
      <c r="V3013">
        <f t="shared" si="189"/>
        <v>0</v>
      </c>
      <c r="W3013" s="22">
        <f t="shared" si="190"/>
        <v>0</v>
      </c>
    </row>
    <row r="3014" spans="1:23" hidden="1" x14ac:dyDescent="0.25">
      <c r="A3014" s="3">
        <v>46029</v>
      </c>
      <c r="B3014" s="4" t="s">
        <v>334</v>
      </c>
      <c r="C3014" s="4" t="s">
        <v>1367</v>
      </c>
      <c r="D3014" s="4"/>
      <c r="E3014" s="4" t="s">
        <v>921</v>
      </c>
      <c r="F3014" s="4" t="s">
        <v>1626</v>
      </c>
      <c r="G3014" s="4" t="s">
        <v>336</v>
      </c>
      <c r="H3014" s="4" t="s">
        <v>380</v>
      </c>
      <c r="I3014" s="4">
        <v>1</v>
      </c>
      <c r="J3014" s="21">
        <v>180</v>
      </c>
      <c r="K3014" s="21">
        <v>180</v>
      </c>
      <c r="L3014" s="5">
        <v>0</v>
      </c>
      <c r="M3014" s="4"/>
      <c r="N3014" s="4"/>
      <c r="O3014" s="5"/>
      <c r="P3014" s="5"/>
      <c r="Q3014" s="21">
        <v>0</v>
      </c>
      <c r="R3014" s="21">
        <v>0</v>
      </c>
      <c r="S3014" s="5">
        <f t="shared" si="191"/>
        <v>43471.189120152005</v>
      </c>
      <c r="T3014" cm="1">
        <f t="array" ref="T3014">IF(OR(B3014="MAL ALIMI", B3014="ÜRETİM GİRİŞ"), MIN(I3014, MAX(0, I3014 + SUM(SUMIFS($I$1:I3013, $C$1:C3013, C3014, $B$1:B3013, {"MAL ALIMI","ÜRETİM GİRİŞ"})) - VLOOKUP(C3014, 'STOK RAPORU'!$C$2:$I$1000, 4, 0))), 0)</f>
        <v>0</v>
      </c>
      <c r="U3014" s="22">
        <f t="shared" si="188"/>
        <v>0</v>
      </c>
      <c r="V3014">
        <f t="shared" si="189"/>
        <v>0</v>
      </c>
      <c r="W3014" s="22">
        <f t="shared" si="190"/>
        <v>0</v>
      </c>
    </row>
    <row r="3015" spans="1:23" hidden="1" x14ac:dyDescent="0.25">
      <c r="A3015" s="3">
        <v>46029</v>
      </c>
      <c r="B3015" s="4" t="s">
        <v>334</v>
      </c>
      <c r="C3015" s="4" t="s">
        <v>1634</v>
      </c>
      <c r="D3015" s="4"/>
      <c r="E3015" s="4" t="s">
        <v>921</v>
      </c>
      <c r="F3015" s="4" t="s">
        <v>1626</v>
      </c>
      <c r="G3015" s="4" t="s">
        <v>336</v>
      </c>
      <c r="H3015" s="4" t="s">
        <v>380</v>
      </c>
      <c r="I3015" s="4">
        <v>1</v>
      </c>
      <c r="J3015" s="21">
        <v>400</v>
      </c>
      <c r="K3015" s="21">
        <v>400</v>
      </c>
      <c r="L3015" s="5">
        <v>0</v>
      </c>
      <c r="M3015" s="4"/>
      <c r="N3015" s="4"/>
      <c r="O3015" s="5"/>
      <c r="P3015" s="5"/>
      <c r="Q3015" s="21">
        <v>0</v>
      </c>
      <c r="R3015" s="21">
        <v>0</v>
      </c>
      <c r="S3015" s="5">
        <f t="shared" si="191"/>
        <v>43471.189120152005</v>
      </c>
      <c r="T3015" cm="1">
        <f t="array" ref="T3015">IF(OR(B3015="MAL ALIMI", B3015="ÜRETİM GİRİŞ"), MIN(I3015, MAX(0, I3015 + SUM(SUMIFS($I$1:I3014, $C$1:C3014, C3015, $B$1:B3014, {"MAL ALIMI","ÜRETİM GİRİŞ"})) - VLOOKUP(C3015, 'STOK RAPORU'!$C$2:$I$1000, 4, 0))), 0)</f>
        <v>0</v>
      </c>
      <c r="U3015" s="22">
        <f t="shared" si="188"/>
        <v>0</v>
      </c>
      <c r="V3015">
        <f t="shared" si="189"/>
        <v>0</v>
      </c>
      <c r="W3015" s="22">
        <f t="shared" si="190"/>
        <v>0</v>
      </c>
    </row>
    <row r="3016" spans="1:23" hidden="1" x14ac:dyDescent="0.25">
      <c r="A3016" s="3">
        <v>46029</v>
      </c>
      <c r="B3016" s="4" t="s">
        <v>334</v>
      </c>
      <c r="C3016" s="4" t="s">
        <v>523</v>
      </c>
      <c r="D3016" s="4"/>
      <c r="E3016" s="4"/>
      <c r="F3016" s="4" t="s">
        <v>1627</v>
      </c>
      <c r="G3016" s="4" t="s">
        <v>336</v>
      </c>
      <c r="H3016" s="4" t="s">
        <v>289</v>
      </c>
      <c r="I3016" s="4">
        <v>0.1</v>
      </c>
      <c r="J3016" s="21">
        <v>650</v>
      </c>
      <c r="K3016" s="21">
        <v>0</v>
      </c>
      <c r="L3016" s="5">
        <v>0</v>
      </c>
      <c r="M3016" s="4"/>
      <c r="N3016" s="4"/>
      <c r="O3016" s="5"/>
      <c r="P3016" s="5"/>
      <c r="Q3016" s="21">
        <v>65</v>
      </c>
      <c r="R3016" s="21">
        <v>0</v>
      </c>
      <c r="S3016" s="5">
        <f t="shared" si="191"/>
        <v>43536.189120152005</v>
      </c>
      <c r="T3016" cm="1">
        <f t="array" ref="T3016">IF(OR(B3016="MAL ALIMI", B3016="ÜRETİM GİRİŞ"), MIN(I3016, MAX(0, I3016 + SUM(SUMIFS($I$1:I3015, $C$1:C3015, C3016, $B$1:B3015, {"MAL ALIMI","ÜRETİM GİRİŞ"})) - VLOOKUP(C3016, 'STOK RAPORU'!$C$2:$I$1000, 4, 0))), 0)</f>
        <v>0</v>
      </c>
      <c r="U3016" s="22">
        <f t="shared" si="188"/>
        <v>0</v>
      </c>
      <c r="V3016">
        <f t="shared" si="189"/>
        <v>0</v>
      </c>
      <c r="W3016" s="22">
        <f t="shared" si="190"/>
        <v>0</v>
      </c>
    </row>
    <row r="3017" spans="1:23" hidden="1" x14ac:dyDescent="0.25">
      <c r="A3017" s="3">
        <v>46029</v>
      </c>
      <c r="B3017" s="4" t="s">
        <v>334</v>
      </c>
      <c r="C3017" s="4" t="s">
        <v>60</v>
      </c>
      <c r="D3017" s="4"/>
      <c r="E3017" s="4"/>
      <c r="F3017" s="4" t="s">
        <v>1627</v>
      </c>
      <c r="G3017" s="4" t="s">
        <v>336</v>
      </c>
      <c r="H3017" s="4" t="s">
        <v>289</v>
      </c>
      <c r="I3017" s="4">
        <v>0.05</v>
      </c>
      <c r="J3017" s="21">
        <v>1200</v>
      </c>
      <c r="K3017" s="21">
        <v>0</v>
      </c>
      <c r="L3017" s="5">
        <v>0</v>
      </c>
      <c r="M3017" s="4"/>
      <c r="N3017" s="4"/>
      <c r="O3017" s="5"/>
      <c r="P3017" s="5"/>
      <c r="Q3017" s="21">
        <v>60</v>
      </c>
      <c r="R3017" s="21">
        <v>0</v>
      </c>
      <c r="S3017" s="5">
        <f t="shared" si="191"/>
        <v>43596.189120152005</v>
      </c>
      <c r="T3017" cm="1">
        <f t="array" ref="T3017">IF(OR(B3017="MAL ALIMI", B3017="ÜRETİM GİRİŞ"), MIN(I3017, MAX(0, I3017 + SUM(SUMIFS($I$1:I3016, $C$1:C3016, C3017, $B$1:B3016, {"MAL ALIMI","ÜRETİM GİRİŞ"})) - VLOOKUP(C3017, 'STOK RAPORU'!$C$2:$I$1000, 4, 0))), 0)</f>
        <v>0</v>
      </c>
      <c r="U3017" s="22">
        <f t="shared" si="188"/>
        <v>0</v>
      </c>
      <c r="V3017">
        <f t="shared" si="189"/>
        <v>0</v>
      </c>
      <c r="W3017" s="22">
        <f t="shared" si="190"/>
        <v>0</v>
      </c>
    </row>
    <row r="3018" spans="1:23" hidden="1" x14ac:dyDescent="0.25">
      <c r="A3018" s="3">
        <v>46029</v>
      </c>
      <c r="B3018" s="4" t="s">
        <v>334</v>
      </c>
      <c r="C3018" s="4" t="s">
        <v>151</v>
      </c>
      <c r="D3018" s="4"/>
      <c r="E3018" s="4"/>
      <c r="F3018" s="4" t="s">
        <v>1628</v>
      </c>
      <c r="G3018" s="4" t="s">
        <v>336</v>
      </c>
      <c r="H3018" s="4" t="s">
        <v>289</v>
      </c>
      <c r="I3018" s="4">
        <v>0.05</v>
      </c>
      <c r="J3018" s="21">
        <v>400</v>
      </c>
      <c r="K3018" s="21">
        <v>0</v>
      </c>
      <c r="L3018" s="5">
        <v>0</v>
      </c>
      <c r="M3018" s="4"/>
      <c r="N3018" s="4"/>
      <c r="O3018" s="5"/>
      <c r="P3018" s="5"/>
      <c r="Q3018" s="21">
        <v>20</v>
      </c>
      <c r="R3018" s="21">
        <v>0</v>
      </c>
      <c r="S3018" s="5">
        <f t="shared" si="191"/>
        <v>43616.189120152005</v>
      </c>
      <c r="T3018" cm="1">
        <f t="array" ref="T3018">IF(OR(B3018="MAL ALIMI", B3018="ÜRETİM GİRİŞ"), MIN(I3018, MAX(0, I3018 + SUM(SUMIFS($I$1:I3017, $C$1:C3017, C3018, $B$1:B3017, {"MAL ALIMI","ÜRETİM GİRİŞ"})) - VLOOKUP(C3018, 'STOK RAPORU'!$C$2:$I$1000, 4, 0))), 0)</f>
        <v>0</v>
      </c>
      <c r="U3018" s="22">
        <f t="shared" si="188"/>
        <v>0</v>
      </c>
      <c r="V3018">
        <f t="shared" si="189"/>
        <v>0</v>
      </c>
      <c r="W3018" s="22">
        <f t="shared" si="190"/>
        <v>0</v>
      </c>
    </row>
    <row r="3019" spans="1:23" hidden="1" x14ac:dyDescent="0.25">
      <c r="A3019" s="3">
        <v>46029</v>
      </c>
      <c r="B3019" s="4" t="s">
        <v>334</v>
      </c>
      <c r="C3019" s="4" t="s">
        <v>840</v>
      </c>
      <c r="D3019" s="4"/>
      <c r="E3019" s="4"/>
      <c r="F3019" s="4" t="s">
        <v>1628</v>
      </c>
      <c r="G3019" s="4" t="s">
        <v>336</v>
      </c>
      <c r="H3019" s="4" t="s">
        <v>289</v>
      </c>
      <c r="I3019" s="4">
        <v>0.25</v>
      </c>
      <c r="J3019" s="21">
        <v>360</v>
      </c>
      <c r="K3019" s="21">
        <v>0</v>
      </c>
      <c r="L3019" s="5">
        <v>0</v>
      </c>
      <c r="M3019" s="4"/>
      <c r="N3019" s="4"/>
      <c r="O3019" s="5"/>
      <c r="P3019" s="5"/>
      <c r="Q3019" s="21">
        <v>90</v>
      </c>
      <c r="R3019" s="21">
        <v>0</v>
      </c>
      <c r="S3019" s="5">
        <f t="shared" si="191"/>
        <v>43706.189120152005</v>
      </c>
      <c r="T3019" cm="1">
        <f t="array" ref="T3019">IF(OR(B3019="MAL ALIMI", B3019="ÜRETİM GİRİŞ"), MIN(I3019, MAX(0, I3019 + SUM(SUMIFS($I$1:I3018, $C$1:C3018, C3019, $B$1:B3018, {"MAL ALIMI","ÜRETİM GİRİŞ"})) - VLOOKUP(C3019, 'STOK RAPORU'!$C$2:$I$1000, 4, 0))), 0)</f>
        <v>0</v>
      </c>
      <c r="U3019" s="22">
        <f t="shared" si="188"/>
        <v>0</v>
      </c>
      <c r="V3019">
        <f t="shared" si="189"/>
        <v>0</v>
      </c>
      <c r="W3019" s="22">
        <f t="shared" si="190"/>
        <v>0</v>
      </c>
    </row>
    <row r="3020" spans="1:23" hidden="1" x14ac:dyDescent="0.25">
      <c r="A3020" s="3">
        <v>46029</v>
      </c>
      <c r="B3020" s="4" t="s">
        <v>334</v>
      </c>
      <c r="C3020" s="4" t="s">
        <v>161</v>
      </c>
      <c r="D3020" s="4"/>
      <c r="E3020" s="4"/>
      <c r="F3020" s="4" t="s">
        <v>1629</v>
      </c>
      <c r="G3020" s="4" t="s">
        <v>336</v>
      </c>
      <c r="H3020" s="4" t="s">
        <v>289</v>
      </c>
      <c r="I3020" s="4">
        <v>0.5</v>
      </c>
      <c r="J3020" s="21">
        <v>200</v>
      </c>
      <c r="K3020" s="21">
        <v>0</v>
      </c>
      <c r="L3020" s="5">
        <v>0</v>
      </c>
      <c r="M3020" s="4"/>
      <c r="N3020" s="4"/>
      <c r="O3020" s="5"/>
      <c r="P3020" s="5"/>
      <c r="Q3020" s="21">
        <v>100</v>
      </c>
      <c r="R3020" s="21">
        <v>0</v>
      </c>
      <c r="S3020" s="5">
        <f t="shared" si="191"/>
        <v>43806.189120152005</v>
      </c>
      <c r="T3020" cm="1">
        <f t="array" ref="T3020">IF(OR(B3020="MAL ALIMI", B3020="ÜRETİM GİRİŞ"), MIN(I3020, MAX(0, I3020 + SUM(SUMIFS($I$1:I3019, $C$1:C3019, C3020, $B$1:B3019, {"MAL ALIMI","ÜRETİM GİRİŞ"})) - VLOOKUP(C3020, 'STOK RAPORU'!$C$2:$I$1000, 4, 0))), 0)</f>
        <v>0</v>
      </c>
      <c r="U3020" s="22">
        <f t="shared" si="188"/>
        <v>0</v>
      </c>
      <c r="V3020">
        <f t="shared" si="189"/>
        <v>0</v>
      </c>
      <c r="W3020" s="22">
        <f t="shared" si="190"/>
        <v>0</v>
      </c>
    </row>
    <row r="3021" spans="1:23" hidden="1" x14ac:dyDescent="0.25">
      <c r="A3021" s="3">
        <v>46029</v>
      </c>
      <c r="B3021" s="4" t="s">
        <v>334</v>
      </c>
      <c r="C3021" s="4" t="s">
        <v>266</v>
      </c>
      <c r="D3021" s="4"/>
      <c r="E3021" s="4"/>
      <c r="F3021" s="4" t="s">
        <v>1629</v>
      </c>
      <c r="G3021" s="4" t="s">
        <v>336</v>
      </c>
      <c r="H3021" s="4" t="s">
        <v>289</v>
      </c>
      <c r="I3021" s="4">
        <v>0.4</v>
      </c>
      <c r="J3021" s="21">
        <v>250</v>
      </c>
      <c r="K3021" s="21">
        <v>0</v>
      </c>
      <c r="L3021" s="5">
        <v>0</v>
      </c>
      <c r="M3021" s="4"/>
      <c r="N3021" s="4"/>
      <c r="O3021" s="5"/>
      <c r="P3021" s="5"/>
      <c r="Q3021" s="21">
        <v>100</v>
      </c>
      <c r="R3021" s="21">
        <v>0</v>
      </c>
      <c r="S3021" s="5">
        <f t="shared" si="191"/>
        <v>43906.189120152005</v>
      </c>
      <c r="T3021" cm="1">
        <f t="array" ref="T3021">IF(OR(B3021="MAL ALIMI", B3021="ÜRETİM GİRİŞ"), MIN(I3021, MAX(0, I3021 + SUM(SUMIFS($I$1:I3020, $C$1:C3020, C3021, $B$1:B3020, {"MAL ALIMI","ÜRETİM GİRİŞ"})) - VLOOKUP(C3021, 'STOK RAPORU'!$C$2:$I$1000, 4, 0))), 0)</f>
        <v>0</v>
      </c>
      <c r="U3021" s="22">
        <f t="shared" si="188"/>
        <v>0</v>
      </c>
      <c r="V3021">
        <f t="shared" si="189"/>
        <v>0</v>
      </c>
      <c r="W3021" s="22">
        <f t="shared" si="190"/>
        <v>0</v>
      </c>
    </row>
    <row r="3022" spans="1:23" hidden="1" x14ac:dyDescent="0.25">
      <c r="A3022" s="3">
        <v>46029</v>
      </c>
      <c r="B3022" s="4" t="s">
        <v>334</v>
      </c>
      <c r="C3022" s="4" t="s">
        <v>977</v>
      </c>
      <c r="D3022" s="4"/>
      <c r="E3022" s="4" t="s">
        <v>921</v>
      </c>
      <c r="F3022" s="4" t="s">
        <v>1630</v>
      </c>
      <c r="G3022" s="4" t="s">
        <v>336</v>
      </c>
      <c r="H3022" s="4" t="s">
        <v>380</v>
      </c>
      <c r="I3022" s="4">
        <v>0.15625</v>
      </c>
      <c r="J3022" s="21">
        <v>320</v>
      </c>
      <c r="K3022" s="21">
        <v>50</v>
      </c>
      <c r="L3022" s="5">
        <v>0</v>
      </c>
      <c r="M3022" s="4"/>
      <c r="N3022" s="4"/>
      <c r="O3022" s="5"/>
      <c r="P3022" s="5"/>
      <c r="Q3022" s="21">
        <v>0</v>
      </c>
      <c r="R3022" s="21">
        <v>0</v>
      </c>
      <c r="S3022" s="5">
        <f t="shared" si="191"/>
        <v>43906.189120152005</v>
      </c>
      <c r="T3022" cm="1">
        <f t="array" ref="T3022">IF(OR(B3022="MAL ALIMI", B3022="ÜRETİM GİRİŞ"), MIN(I3022, MAX(0, I3022 + SUM(SUMIFS($I$1:I3021, $C$1:C3021, C3022, $B$1:B3021, {"MAL ALIMI","ÜRETİM GİRİŞ"})) - VLOOKUP(C3022, 'STOK RAPORU'!$C$2:$I$1000, 4, 0))), 0)</f>
        <v>0</v>
      </c>
      <c r="U3022" s="22">
        <f t="shared" si="188"/>
        <v>0</v>
      </c>
      <c r="V3022">
        <f t="shared" si="189"/>
        <v>0</v>
      </c>
      <c r="W3022" s="22">
        <f t="shared" si="190"/>
        <v>0</v>
      </c>
    </row>
    <row r="3023" spans="1:23" hidden="1" x14ac:dyDescent="0.25">
      <c r="A3023" s="3">
        <v>46029</v>
      </c>
      <c r="B3023" s="4" t="s">
        <v>334</v>
      </c>
      <c r="C3023" s="4" t="s">
        <v>1041</v>
      </c>
      <c r="D3023" s="4"/>
      <c r="E3023" s="4" t="s">
        <v>921</v>
      </c>
      <c r="F3023" s="4" t="s">
        <v>1630</v>
      </c>
      <c r="G3023" s="4" t="s">
        <v>336</v>
      </c>
      <c r="H3023" s="4" t="s">
        <v>380</v>
      </c>
      <c r="I3023" s="4">
        <v>1</v>
      </c>
      <c r="J3023" s="21">
        <v>250</v>
      </c>
      <c r="K3023" s="21">
        <v>250</v>
      </c>
      <c r="L3023" s="5">
        <v>0</v>
      </c>
      <c r="M3023" s="4"/>
      <c r="N3023" s="4"/>
      <c r="O3023" s="5"/>
      <c r="P3023" s="5"/>
      <c r="Q3023" s="21">
        <v>0</v>
      </c>
      <c r="R3023" s="21">
        <v>0</v>
      </c>
      <c r="S3023" s="5">
        <f t="shared" si="191"/>
        <v>43906.189120152005</v>
      </c>
      <c r="T3023" cm="1">
        <f t="array" ref="T3023">IF(OR(B3023="MAL ALIMI", B3023="ÜRETİM GİRİŞ"), MIN(I3023, MAX(0, I3023 + SUM(SUMIFS($I$1:I3022, $C$1:C3022, C3023, $B$1:B3022, {"MAL ALIMI","ÜRETİM GİRİŞ"})) - VLOOKUP(C3023, 'STOK RAPORU'!$C$2:$I$1000, 4, 0))), 0)</f>
        <v>0</v>
      </c>
      <c r="U3023" s="22">
        <f t="shared" si="188"/>
        <v>0</v>
      </c>
      <c r="V3023">
        <f t="shared" si="189"/>
        <v>0</v>
      </c>
      <c r="W3023" s="22">
        <f t="shared" si="190"/>
        <v>0</v>
      </c>
    </row>
    <row r="3024" spans="1:23" hidden="1" x14ac:dyDescent="0.25">
      <c r="A3024" s="3">
        <v>46029</v>
      </c>
      <c r="B3024" s="4" t="s">
        <v>334</v>
      </c>
      <c r="C3024" s="4" t="s">
        <v>728</v>
      </c>
      <c r="D3024" s="4"/>
      <c r="E3024" s="4" t="s">
        <v>921</v>
      </c>
      <c r="F3024" s="4" t="s">
        <v>1631</v>
      </c>
      <c r="G3024" s="4" t="s">
        <v>336</v>
      </c>
      <c r="H3024" s="4" t="s">
        <v>380</v>
      </c>
      <c r="I3024" s="4">
        <v>0.5</v>
      </c>
      <c r="J3024" s="21">
        <v>690</v>
      </c>
      <c r="K3024" s="21">
        <v>345</v>
      </c>
      <c r="L3024" s="5">
        <v>0</v>
      </c>
      <c r="M3024" s="4"/>
      <c r="N3024" s="4"/>
      <c r="O3024" s="5"/>
      <c r="P3024" s="5"/>
      <c r="Q3024" s="21">
        <v>0</v>
      </c>
      <c r="R3024" s="21">
        <v>0</v>
      </c>
      <c r="S3024" s="5">
        <f t="shared" si="191"/>
        <v>43906.189120152005</v>
      </c>
      <c r="T3024" cm="1">
        <f t="array" ref="T3024">IF(OR(B3024="MAL ALIMI", B3024="ÜRETİM GİRİŞ"), MIN(I3024, MAX(0, I3024 + SUM(SUMIFS($I$1:I3023, $C$1:C3023, C3024, $B$1:B3023, {"MAL ALIMI","ÜRETİM GİRİŞ"})) - VLOOKUP(C3024, 'STOK RAPORU'!$C$2:$I$1000, 4, 0))), 0)</f>
        <v>0</v>
      </c>
      <c r="U3024" s="22">
        <f t="shared" si="188"/>
        <v>0</v>
      </c>
      <c r="V3024">
        <f t="shared" si="189"/>
        <v>0</v>
      </c>
      <c r="W3024" s="22">
        <f t="shared" si="190"/>
        <v>0</v>
      </c>
    </row>
    <row r="3025" spans="1:23" hidden="1" x14ac:dyDescent="0.25">
      <c r="A3025" s="3">
        <v>46029</v>
      </c>
      <c r="B3025" s="4" t="s">
        <v>334</v>
      </c>
      <c r="C3025" s="4" t="s">
        <v>265</v>
      </c>
      <c r="D3025" s="4"/>
      <c r="E3025" s="4" t="s">
        <v>921</v>
      </c>
      <c r="F3025" s="4" t="s">
        <v>1631</v>
      </c>
      <c r="G3025" s="4" t="s">
        <v>336</v>
      </c>
      <c r="H3025" s="4" t="s">
        <v>380</v>
      </c>
      <c r="I3025" s="4">
        <v>1</v>
      </c>
      <c r="J3025" s="21">
        <v>130</v>
      </c>
      <c r="K3025" s="21">
        <v>130</v>
      </c>
      <c r="L3025" s="5">
        <v>0</v>
      </c>
      <c r="M3025" s="4"/>
      <c r="N3025" s="4"/>
      <c r="O3025" s="5"/>
      <c r="P3025" s="5"/>
      <c r="Q3025" s="21">
        <v>0</v>
      </c>
      <c r="R3025" s="21">
        <v>0</v>
      </c>
      <c r="S3025" s="5">
        <f t="shared" si="191"/>
        <v>43906.189120152005</v>
      </c>
      <c r="T3025" cm="1">
        <f t="array" ref="T3025">IF(OR(B3025="MAL ALIMI", B3025="ÜRETİM GİRİŞ"), MIN(I3025, MAX(0, I3025 + SUM(SUMIFS($I$1:I3024, $C$1:C3024, C3025, $B$1:B3024, {"MAL ALIMI","ÜRETİM GİRİŞ"})) - VLOOKUP(C3025, 'STOK RAPORU'!$C$2:$I$1000, 4, 0))), 0)</f>
        <v>0</v>
      </c>
      <c r="U3025" s="22">
        <f t="shared" si="188"/>
        <v>0</v>
      </c>
      <c r="V3025">
        <f t="shared" si="189"/>
        <v>0</v>
      </c>
      <c r="W3025" s="22">
        <f t="shared" si="190"/>
        <v>0</v>
      </c>
    </row>
    <row r="3026" spans="1:23" hidden="1" x14ac:dyDescent="0.25">
      <c r="A3026" s="3">
        <v>46029</v>
      </c>
      <c r="B3026" s="4" t="s">
        <v>334</v>
      </c>
      <c r="C3026" s="4" t="s">
        <v>1143</v>
      </c>
      <c r="D3026" s="4"/>
      <c r="E3026" s="4" t="s">
        <v>921</v>
      </c>
      <c r="F3026" s="4" t="s">
        <v>1631</v>
      </c>
      <c r="G3026" s="4" t="s">
        <v>336</v>
      </c>
      <c r="H3026" s="4" t="s">
        <v>380</v>
      </c>
      <c r="I3026" s="4">
        <v>1</v>
      </c>
      <c r="J3026" s="21">
        <v>135</v>
      </c>
      <c r="K3026" s="21">
        <v>135</v>
      </c>
      <c r="L3026" s="5">
        <v>0</v>
      </c>
      <c r="M3026" s="4"/>
      <c r="N3026" s="4"/>
      <c r="O3026" s="5"/>
      <c r="P3026" s="5"/>
      <c r="Q3026" s="21">
        <v>0</v>
      </c>
      <c r="R3026" s="21">
        <v>0</v>
      </c>
      <c r="S3026" s="5">
        <f t="shared" si="191"/>
        <v>43906.189120152005</v>
      </c>
      <c r="T3026" cm="1">
        <f t="array" ref="T3026">IF(OR(B3026="MAL ALIMI", B3026="ÜRETİM GİRİŞ"), MIN(I3026, MAX(0, I3026 + SUM(SUMIFS($I$1:I3025, $C$1:C3025, C3026, $B$1:B3025, {"MAL ALIMI","ÜRETİM GİRİŞ"})) - VLOOKUP(C3026, 'STOK RAPORU'!$C$2:$I$1000, 4, 0))), 0)</f>
        <v>0</v>
      </c>
      <c r="U3026" s="22">
        <f t="shared" si="188"/>
        <v>0</v>
      </c>
      <c r="V3026">
        <f t="shared" si="189"/>
        <v>0</v>
      </c>
      <c r="W3026" s="22">
        <f t="shared" si="190"/>
        <v>0</v>
      </c>
    </row>
    <row r="3027" spans="1:23" hidden="1" x14ac:dyDescent="0.25">
      <c r="A3027" s="3">
        <v>46029</v>
      </c>
      <c r="B3027" s="4" t="s">
        <v>334</v>
      </c>
      <c r="C3027" s="4" t="s">
        <v>1143</v>
      </c>
      <c r="D3027" s="4"/>
      <c r="E3027" s="4"/>
      <c r="F3027" s="4" t="s">
        <v>1632</v>
      </c>
      <c r="G3027" s="4" t="s">
        <v>336</v>
      </c>
      <c r="H3027" s="4" t="s">
        <v>289</v>
      </c>
      <c r="I3027" s="4">
        <v>1</v>
      </c>
      <c r="J3027" s="21">
        <v>135</v>
      </c>
      <c r="K3027" s="21">
        <v>0</v>
      </c>
      <c r="L3027" s="5">
        <v>0</v>
      </c>
      <c r="M3027" s="4"/>
      <c r="N3027" s="4"/>
      <c r="O3027" s="5"/>
      <c r="P3027" s="5"/>
      <c r="Q3027" s="21">
        <v>100</v>
      </c>
      <c r="R3027" s="21">
        <v>0</v>
      </c>
      <c r="S3027" s="5">
        <f t="shared" si="191"/>
        <v>44006.189120152005</v>
      </c>
      <c r="T3027" cm="1">
        <f t="array" ref="T3027">IF(OR(B3027="MAL ALIMI", B3027="ÜRETİM GİRİŞ"), MIN(I3027, MAX(0, I3027 + SUM(SUMIFS($I$1:I3026, $C$1:C3026, C3027, $B$1:B3026, {"MAL ALIMI","ÜRETİM GİRİŞ"})) - VLOOKUP(C3027, 'STOK RAPORU'!$C$2:$I$1000, 4, 0))), 0)</f>
        <v>0</v>
      </c>
      <c r="U3027" s="22">
        <f t="shared" si="188"/>
        <v>0</v>
      </c>
      <c r="V3027">
        <f t="shared" si="189"/>
        <v>0</v>
      </c>
      <c r="W3027" s="22">
        <f t="shared" si="190"/>
        <v>0</v>
      </c>
    </row>
    <row r="3028" spans="1:23" hidden="1" x14ac:dyDescent="0.25">
      <c r="A3028" s="3">
        <v>46029</v>
      </c>
      <c r="B3028" s="4" t="s">
        <v>334</v>
      </c>
      <c r="C3028" s="4" t="s">
        <v>137</v>
      </c>
      <c r="D3028" s="4"/>
      <c r="E3028" s="4"/>
      <c r="F3028" s="4" t="s">
        <v>1632</v>
      </c>
      <c r="G3028" s="4" t="s">
        <v>336</v>
      </c>
      <c r="H3028" s="4" t="s">
        <v>289</v>
      </c>
      <c r="I3028" s="4">
        <v>0.25</v>
      </c>
      <c r="J3028" s="21">
        <v>180</v>
      </c>
      <c r="K3028" s="21">
        <v>0</v>
      </c>
      <c r="L3028" s="5">
        <v>0</v>
      </c>
      <c r="M3028" s="4"/>
      <c r="N3028" s="4"/>
      <c r="O3028" s="5"/>
      <c r="P3028" s="5"/>
      <c r="Q3028" s="21">
        <v>45</v>
      </c>
      <c r="R3028" s="21">
        <v>0</v>
      </c>
      <c r="S3028" s="5">
        <f t="shared" si="191"/>
        <v>44051.189120152005</v>
      </c>
      <c r="T3028" cm="1">
        <f t="array" ref="T3028">IF(OR(B3028="MAL ALIMI", B3028="ÜRETİM GİRİŞ"), MIN(I3028, MAX(0, I3028 + SUM(SUMIFS($I$1:I3027, $C$1:C3027, C3028, $B$1:B3027, {"MAL ALIMI","ÜRETİM GİRİŞ"})) - VLOOKUP(C3028, 'STOK RAPORU'!$C$2:$I$1000, 4, 0))), 0)</f>
        <v>0</v>
      </c>
      <c r="U3028" s="22">
        <f t="shared" si="188"/>
        <v>0</v>
      </c>
      <c r="V3028">
        <f t="shared" si="189"/>
        <v>0</v>
      </c>
      <c r="W3028" s="22">
        <f t="shared" si="190"/>
        <v>0</v>
      </c>
    </row>
    <row r="3029" spans="1:23" hidden="1" x14ac:dyDescent="0.25">
      <c r="A3029" s="3">
        <v>46029</v>
      </c>
      <c r="B3029" s="4" t="s">
        <v>334</v>
      </c>
      <c r="C3029" s="4" t="s">
        <v>826</v>
      </c>
      <c r="D3029" s="4"/>
      <c r="E3029" s="4"/>
      <c r="F3029" s="4" t="s">
        <v>1632</v>
      </c>
      <c r="G3029" s="4" t="s">
        <v>336</v>
      </c>
      <c r="H3029" s="4" t="s">
        <v>289</v>
      </c>
      <c r="I3029" s="4">
        <v>1</v>
      </c>
      <c r="J3029" s="21">
        <v>130</v>
      </c>
      <c r="K3029" s="21">
        <v>0</v>
      </c>
      <c r="L3029" s="5">
        <v>0</v>
      </c>
      <c r="M3029" s="4"/>
      <c r="N3029" s="4"/>
      <c r="O3029" s="5"/>
      <c r="P3029" s="5"/>
      <c r="Q3029" s="21">
        <v>130</v>
      </c>
      <c r="R3029" s="21">
        <v>0</v>
      </c>
      <c r="S3029" s="5">
        <f t="shared" si="191"/>
        <v>44181.189120152005</v>
      </c>
      <c r="T3029" cm="1">
        <f t="array" ref="T3029">IF(OR(B3029="MAL ALIMI", B3029="ÜRETİM GİRİŞ"), MIN(I3029, MAX(0, I3029 + SUM(SUMIFS($I$1:I3028, $C$1:C3028, C3029, $B$1:B3028, {"MAL ALIMI","ÜRETİM GİRİŞ"})) - VLOOKUP(C3029, 'STOK RAPORU'!$C$2:$I$1000, 4, 0))), 0)</f>
        <v>0</v>
      </c>
      <c r="U3029" s="22">
        <f t="shared" si="188"/>
        <v>0</v>
      </c>
      <c r="V3029">
        <f t="shared" si="189"/>
        <v>0</v>
      </c>
      <c r="W3029" s="22">
        <f t="shared" si="190"/>
        <v>0</v>
      </c>
    </row>
    <row r="3030" spans="1:23" hidden="1" x14ac:dyDescent="0.25">
      <c r="A3030" s="3">
        <v>46029</v>
      </c>
      <c r="B3030" s="4" t="s">
        <v>334</v>
      </c>
      <c r="C3030" s="4" t="s">
        <v>226</v>
      </c>
      <c r="D3030" s="4"/>
      <c r="E3030" s="4" t="s">
        <v>921</v>
      </c>
      <c r="F3030" s="4" t="s">
        <v>1633</v>
      </c>
      <c r="G3030" s="4" t="s">
        <v>336</v>
      </c>
      <c r="H3030" s="4" t="s">
        <v>380</v>
      </c>
      <c r="I3030" s="4">
        <v>0.18</v>
      </c>
      <c r="J3030" s="21">
        <v>220</v>
      </c>
      <c r="K3030" s="21">
        <v>39.6</v>
      </c>
      <c r="L3030" s="5">
        <v>0</v>
      </c>
      <c r="M3030" s="4"/>
      <c r="N3030" s="4"/>
      <c r="O3030" s="5"/>
      <c r="P3030" s="5"/>
      <c r="Q3030" s="21">
        <v>0</v>
      </c>
      <c r="R3030" s="21">
        <v>0</v>
      </c>
      <c r="S3030" s="5">
        <f t="shared" si="191"/>
        <v>44181.189120152005</v>
      </c>
      <c r="T3030" cm="1">
        <f t="array" ref="T3030">IF(OR(B3030="MAL ALIMI", B3030="ÜRETİM GİRİŞ"), MIN(I3030, MAX(0, I3030 + SUM(SUMIFS($I$1:I3029, $C$1:C3029, C3030, $B$1:B3029, {"MAL ALIMI","ÜRETİM GİRİŞ"})) - VLOOKUP(C3030, 'STOK RAPORU'!$C$2:$I$1000, 4, 0))), 0)</f>
        <v>0</v>
      </c>
      <c r="U3030" s="22">
        <f t="shared" si="188"/>
        <v>0</v>
      </c>
      <c r="V3030">
        <f t="shared" si="189"/>
        <v>0</v>
      </c>
      <c r="W3030" s="22">
        <f t="shared" si="190"/>
        <v>0</v>
      </c>
    </row>
    <row r="3031" spans="1:23" hidden="1" x14ac:dyDescent="0.25">
      <c r="A3031" s="3">
        <v>46029</v>
      </c>
      <c r="B3031" s="4" t="s">
        <v>334</v>
      </c>
      <c r="C3031" s="4" t="s">
        <v>728</v>
      </c>
      <c r="D3031" s="4"/>
      <c r="E3031" s="4" t="s">
        <v>921</v>
      </c>
      <c r="F3031" s="4" t="s">
        <v>1633</v>
      </c>
      <c r="G3031" s="4" t="s">
        <v>336</v>
      </c>
      <c r="H3031" s="4" t="s">
        <v>380</v>
      </c>
      <c r="I3031" s="4">
        <v>0.39800000000000002</v>
      </c>
      <c r="J3031" s="21">
        <v>690</v>
      </c>
      <c r="K3031" s="21">
        <v>274.62</v>
      </c>
      <c r="L3031" s="5">
        <v>0</v>
      </c>
      <c r="M3031" s="4"/>
      <c r="N3031" s="4"/>
      <c r="O3031" s="5"/>
      <c r="P3031" s="5"/>
      <c r="Q3031" s="21">
        <v>0</v>
      </c>
      <c r="R3031" s="21">
        <v>0</v>
      </c>
      <c r="S3031" s="5">
        <f t="shared" si="191"/>
        <v>44181.189120152005</v>
      </c>
      <c r="T3031" cm="1">
        <f t="array" ref="T3031">IF(OR(B3031="MAL ALIMI", B3031="ÜRETİM GİRİŞ"), MIN(I3031, MAX(0, I3031 + SUM(SUMIFS($I$1:I3030, $C$1:C3030, C3031, $B$1:B3030, {"MAL ALIMI","ÜRETİM GİRİŞ"})) - VLOOKUP(C3031, 'STOK RAPORU'!$C$2:$I$1000, 4, 0))), 0)</f>
        <v>0</v>
      </c>
      <c r="U3031" s="22">
        <f t="shared" si="188"/>
        <v>0</v>
      </c>
      <c r="V3031">
        <f t="shared" si="189"/>
        <v>0</v>
      </c>
      <c r="W3031" s="22">
        <f t="shared" si="190"/>
        <v>0</v>
      </c>
    </row>
    <row r="3032" spans="1:23" hidden="1" x14ac:dyDescent="0.25">
      <c r="A3032" s="3">
        <v>46029</v>
      </c>
      <c r="B3032" s="4" t="s">
        <v>334</v>
      </c>
      <c r="C3032" s="4" t="s">
        <v>198</v>
      </c>
      <c r="D3032" s="4"/>
      <c r="E3032" s="4" t="s">
        <v>921</v>
      </c>
      <c r="F3032" s="4" t="s">
        <v>1633</v>
      </c>
      <c r="G3032" s="4" t="s">
        <v>336</v>
      </c>
      <c r="H3032" s="4" t="s">
        <v>380</v>
      </c>
      <c r="I3032" s="4">
        <v>0.05</v>
      </c>
      <c r="J3032" s="21">
        <v>1400</v>
      </c>
      <c r="K3032" s="21">
        <v>70</v>
      </c>
      <c r="L3032" s="5">
        <v>0</v>
      </c>
      <c r="M3032" s="4"/>
      <c r="N3032" s="4"/>
      <c r="O3032" s="5"/>
      <c r="P3032" s="5"/>
      <c r="Q3032" s="21">
        <v>0</v>
      </c>
      <c r="R3032" s="21">
        <v>0</v>
      </c>
      <c r="S3032" s="5">
        <f t="shared" si="191"/>
        <v>44181.189120152005</v>
      </c>
      <c r="T3032" cm="1">
        <f t="array" ref="T3032">IF(OR(B3032="MAL ALIMI", B3032="ÜRETİM GİRİŞ"), MIN(I3032, MAX(0, I3032 + SUM(SUMIFS($I$1:I3031, $C$1:C3031, C3032, $B$1:B3031, {"MAL ALIMI","ÜRETİM GİRİŞ"})) - VLOOKUP(C3032, 'STOK RAPORU'!$C$2:$I$1000, 4, 0))), 0)</f>
        <v>0</v>
      </c>
      <c r="U3032" s="22">
        <f t="shared" si="188"/>
        <v>0</v>
      </c>
      <c r="V3032">
        <f t="shared" si="189"/>
        <v>0</v>
      </c>
      <c r="W3032" s="22">
        <f t="shared" si="190"/>
        <v>0</v>
      </c>
    </row>
    <row r="3033" spans="1:23" hidden="1" x14ac:dyDescent="0.25">
      <c r="A3033" s="3">
        <v>46029</v>
      </c>
      <c r="B3033" s="4" t="s">
        <v>334</v>
      </c>
      <c r="C3033" s="4" t="s">
        <v>160</v>
      </c>
      <c r="D3033" s="4"/>
      <c r="E3033" s="4" t="s">
        <v>921</v>
      </c>
      <c r="F3033" s="4" t="s">
        <v>1633</v>
      </c>
      <c r="G3033" s="4" t="s">
        <v>336</v>
      </c>
      <c r="H3033" s="4" t="s">
        <v>380</v>
      </c>
      <c r="I3033" s="4">
        <v>1</v>
      </c>
      <c r="J3033" s="21">
        <v>250</v>
      </c>
      <c r="K3033" s="21">
        <v>250</v>
      </c>
      <c r="L3033" s="5">
        <v>0</v>
      </c>
      <c r="M3033" s="4"/>
      <c r="N3033" s="4"/>
      <c r="O3033" s="5"/>
      <c r="P3033" s="5"/>
      <c r="Q3033" s="21">
        <v>0</v>
      </c>
      <c r="R3033" s="21">
        <v>0</v>
      </c>
      <c r="S3033" s="5">
        <f t="shared" si="191"/>
        <v>44181.189120152005</v>
      </c>
      <c r="T3033" cm="1">
        <f t="array" ref="T3033">IF(OR(B3033="MAL ALIMI", B3033="ÜRETİM GİRİŞ"), MIN(I3033, MAX(0, I3033 + SUM(SUMIFS($I$1:I3032, $C$1:C3032, C3033, $B$1:B3032, {"MAL ALIMI","ÜRETİM GİRİŞ"})) - VLOOKUP(C3033, 'STOK RAPORU'!$C$2:$I$1000, 4, 0))), 0)</f>
        <v>0</v>
      </c>
      <c r="U3033" s="22">
        <f t="shared" si="188"/>
        <v>0</v>
      </c>
      <c r="V3033">
        <f t="shared" si="189"/>
        <v>0</v>
      </c>
      <c r="W3033" s="22">
        <f t="shared" si="190"/>
        <v>0</v>
      </c>
    </row>
    <row r="3034" spans="1:23" hidden="1" x14ac:dyDescent="0.25">
      <c r="A3034" s="3">
        <v>46029</v>
      </c>
      <c r="B3034" s="4" t="s">
        <v>334</v>
      </c>
      <c r="C3034" s="4" t="s">
        <v>161</v>
      </c>
      <c r="D3034" s="4"/>
      <c r="E3034" s="4" t="s">
        <v>921</v>
      </c>
      <c r="F3034" s="4" t="s">
        <v>1633</v>
      </c>
      <c r="G3034" s="4" t="s">
        <v>336</v>
      </c>
      <c r="H3034" s="4" t="s">
        <v>380</v>
      </c>
      <c r="I3034" s="4">
        <v>0.5</v>
      </c>
      <c r="J3034" s="21">
        <v>230</v>
      </c>
      <c r="K3034" s="21">
        <v>115</v>
      </c>
      <c r="L3034" s="5">
        <v>0</v>
      </c>
      <c r="M3034" s="4"/>
      <c r="N3034" s="4"/>
      <c r="O3034" s="5"/>
      <c r="P3034" s="5"/>
      <c r="Q3034" s="21">
        <v>0</v>
      </c>
      <c r="R3034" s="21">
        <v>0</v>
      </c>
      <c r="S3034" s="5">
        <f t="shared" si="191"/>
        <v>44181.189120152005</v>
      </c>
      <c r="T3034" cm="1">
        <f t="array" ref="T3034">IF(OR(B3034="MAL ALIMI", B3034="ÜRETİM GİRİŞ"), MIN(I3034, MAX(0, I3034 + SUM(SUMIFS($I$1:I3033, $C$1:C3033, C3034, $B$1:B3033, {"MAL ALIMI","ÜRETİM GİRİŞ"})) - VLOOKUP(C3034, 'STOK RAPORU'!$C$2:$I$1000, 4, 0))), 0)</f>
        <v>0</v>
      </c>
      <c r="U3034" s="22">
        <f t="shared" si="188"/>
        <v>0</v>
      </c>
      <c r="V3034">
        <f t="shared" si="189"/>
        <v>0</v>
      </c>
      <c r="W3034" s="22">
        <f t="shared" si="190"/>
        <v>0</v>
      </c>
    </row>
    <row r="3035" spans="1:23" hidden="1" x14ac:dyDescent="0.25">
      <c r="A3035" s="3">
        <v>46029</v>
      </c>
      <c r="B3035" s="4" t="s">
        <v>334</v>
      </c>
      <c r="C3035" s="4" t="s">
        <v>651</v>
      </c>
      <c r="D3035" s="4"/>
      <c r="E3035" s="4" t="s">
        <v>921</v>
      </c>
      <c r="F3035" s="4" t="s">
        <v>1633</v>
      </c>
      <c r="G3035" s="4" t="s">
        <v>336</v>
      </c>
      <c r="H3035" s="4" t="s">
        <v>380</v>
      </c>
      <c r="I3035" s="4">
        <v>1</v>
      </c>
      <c r="J3035" s="21">
        <v>400</v>
      </c>
      <c r="K3035" s="21">
        <v>400</v>
      </c>
      <c r="L3035" s="5">
        <v>0</v>
      </c>
      <c r="M3035" s="4"/>
      <c r="N3035" s="4"/>
      <c r="O3035" s="5"/>
      <c r="P3035" s="5"/>
      <c r="Q3035" s="21">
        <v>0</v>
      </c>
      <c r="R3035" s="21">
        <v>0</v>
      </c>
      <c r="S3035" s="5">
        <f t="shared" si="191"/>
        <v>44181.189120152005</v>
      </c>
      <c r="T3035" cm="1">
        <f t="array" ref="T3035">IF(OR(B3035="MAL ALIMI", B3035="ÜRETİM GİRİŞ"), MIN(I3035, MAX(0, I3035 + SUM(SUMIFS($I$1:I3034, $C$1:C3034, C3035, $B$1:B3034, {"MAL ALIMI","ÜRETİM GİRİŞ"})) - VLOOKUP(C3035, 'STOK RAPORU'!$C$2:$I$1000, 4, 0))), 0)</f>
        <v>0</v>
      </c>
      <c r="U3035" s="22">
        <f t="shared" si="188"/>
        <v>0</v>
      </c>
      <c r="V3035">
        <f t="shared" si="189"/>
        <v>0</v>
      </c>
      <c r="W3035" s="22">
        <f t="shared" si="190"/>
        <v>0</v>
      </c>
    </row>
    <row r="3036" spans="1:23" hidden="1" x14ac:dyDescent="0.25">
      <c r="A3036" s="3">
        <v>46029</v>
      </c>
      <c r="B3036" s="4" t="s">
        <v>334</v>
      </c>
      <c r="C3036" s="4" t="s">
        <v>598</v>
      </c>
      <c r="D3036" s="4"/>
      <c r="E3036" s="4" t="s">
        <v>921</v>
      </c>
      <c r="F3036" s="4" t="s">
        <v>1633</v>
      </c>
      <c r="G3036" s="4" t="s">
        <v>336</v>
      </c>
      <c r="H3036" s="4" t="s">
        <v>380</v>
      </c>
      <c r="I3036" s="4">
        <v>0.55400000000000005</v>
      </c>
      <c r="J3036" s="21">
        <v>290</v>
      </c>
      <c r="K3036" s="21">
        <v>160.66000000000003</v>
      </c>
      <c r="L3036" s="5">
        <v>0</v>
      </c>
      <c r="M3036" s="4"/>
      <c r="N3036" s="4"/>
      <c r="O3036" s="5"/>
      <c r="P3036" s="5"/>
      <c r="Q3036" s="21">
        <v>0</v>
      </c>
      <c r="R3036" s="21">
        <v>0</v>
      </c>
      <c r="S3036" s="5">
        <f t="shared" si="191"/>
        <v>44181.189120152005</v>
      </c>
      <c r="T3036" cm="1">
        <f t="array" ref="T3036">IF(OR(B3036="MAL ALIMI", B3036="ÜRETİM GİRİŞ"), MIN(I3036, MAX(0, I3036 + SUM(SUMIFS($I$1:I3035, $C$1:C3035, C3036, $B$1:B3035, {"MAL ALIMI","ÜRETİM GİRİŞ"})) - VLOOKUP(C3036, 'STOK RAPORU'!$C$2:$I$1000, 4, 0))), 0)</f>
        <v>0</v>
      </c>
      <c r="U3036" s="22">
        <f t="shared" si="188"/>
        <v>0</v>
      </c>
      <c r="V3036">
        <f t="shared" si="189"/>
        <v>0</v>
      </c>
      <c r="W3036" s="22">
        <f t="shared" si="190"/>
        <v>0</v>
      </c>
    </row>
    <row r="3037" spans="1:23" hidden="1" x14ac:dyDescent="0.25">
      <c r="A3037" s="3">
        <v>46029</v>
      </c>
      <c r="B3037" s="4" t="s">
        <v>334</v>
      </c>
      <c r="C3037" s="4" t="s">
        <v>587</v>
      </c>
      <c r="D3037" s="4"/>
      <c r="E3037" s="4" t="s">
        <v>921</v>
      </c>
      <c r="F3037" s="4" t="s">
        <v>1633</v>
      </c>
      <c r="G3037" s="4" t="s">
        <v>336</v>
      </c>
      <c r="H3037" s="4" t="s">
        <v>380</v>
      </c>
      <c r="I3037" s="4">
        <v>1</v>
      </c>
      <c r="J3037" s="21">
        <v>150</v>
      </c>
      <c r="K3037" s="21">
        <v>150</v>
      </c>
      <c r="L3037" s="5">
        <v>0</v>
      </c>
      <c r="M3037" s="4"/>
      <c r="N3037" s="4"/>
      <c r="O3037" s="5"/>
      <c r="P3037" s="5"/>
      <c r="Q3037" s="21">
        <v>0</v>
      </c>
      <c r="R3037" s="21">
        <v>0</v>
      </c>
      <c r="S3037" s="5">
        <f t="shared" si="191"/>
        <v>44181.189120152005</v>
      </c>
      <c r="T3037" cm="1">
        <f t="array" ref="T3037">IF(OR(B3037="MAL ALIMI", B3037="ÜRETİM GİRİŞ"), MIN(I3037, MAX(0, I3037 + SUM(SUMIFS($I$1:I3036, $C$1:C3036, C3037, $B$1:B3036, {"MAL ALIMI","ÜRETİM GİRİŞ"})) - VLOOKUP(C3037, 'STOK RAPORU'!$C$2:$I$1000, 4, 0))), 0)</f>
        <v>0</v>
      </c>
      <c r="U3037" s="22">
        <f t="shared" si="188"/>
        <v>0</v>
      </c>
      <c r="V3037">
        <f t="shared" si="189"/>
        <v>0</v>
      </c>
      <c r="W3037" s="22">
        <f t="shared" si="190"/>
        <v>0</v>
      </c>
    </row>
    <row r="3038" spans="1:23" hidden="1" x14ac:dyDescent="0.25">
      <c r="A3038" s="3">
        <v>46029</v>
      </c>
      <c r="B3038" s="4" t="s">
        <v>946</v>
      </c>
      <c r="C3038" s="4"/>
      <c r="D3038" s="4"/>
      <c r="E3038" s="4" t="s">
        <v>921</v>
      </c>
      <c r="F3038" s="4"/>
      <c r="G3038" s="4" t="s">
        <v>946</v>
      </c>
      <c r="H3038" s="4" t="s">
        <v>380</v>
      </c>
      <c r="I3038" s="4">
        <v>1</v>
      </c>
      <c r="J3038" s="105">
        <v>880</v>
      </c>
      <c r="K3038" s="21">
        <v>0</v>
      </c>
      <c r="L3038" s="102">
        <v>880</v>
      </c>
      <c r="M3038" s="4"/>
      <c r="N3038" s="4"/>
      <c r="O3038" s="5"/>
      <c r="P3038" s="5"/>
      <c r="Q3038" s="21">
        <v>880</v>
      </c>
      <c r="R3038" s="21">
        <v>0</v>
      </c>
      <c r="S3038" s="5">
        <f t="shared" si="191"/>
        <v>45061.189120152005</v>
      </c>
      <c r="T3038" cm="1">
        <f t="array" ref="T3038">IF(OR(B3038="MAL ALIMI", B3038="ÜRETİM GİRİŞ"), MIN(I3038, MAX(0, I3038 + SUM(SUMIFS($I$1:I3037, $C$1:C3037, C3038, $B$1:B3037, {"MAL ALIMI","ÜRETİM GİRİŞ"})) - VLOOKUP(C3038, 'STOK RAPORU'!$C$2:$I$1000, 4, 0))), 0)</f>
        <v>0</v>
      </c>
      <c r="U3038" s="22">
        <f t="shared" si="188"/>
        <v>0</v>
      </c>
      <c r="V3038">
        <f t="shared" si="189"/>
        <v>0</v>
      </c>
      <c r="W3038" s="22">
        <f t="shared" si="190"/>
        <v>0</v>
      </c>
    </row>
    <row r="3039" spans="1:23" hidden="1" x14ac:dyDescent="0.25">
      <c r="A3039" s="3">
        <v>46029</v>
      </c>
      <c r="B3039" s="4" t="s">
        <v>946</v>
      </c>
      <c r="C3039" s="4"/>
      <c r="D3039" s="4"/>
      <c r="E3039" s="4" t="s">
        <v>921</v>
      </c>
      <c r="F3039" s="4"/>
      <c r="G3039" s="4" t="s">
        <v>946</v>
      </c>
      <c r="H3039" s="4" t="s">
        <v>380</v>
      </c>
      <c r="I3039" s="4">
        <v>1</v>
      </c>
      <c r="J3039" s="105">
        <v>734</v>
      </c>
      <c r="K3039" s="21">
        <v>0</v>
      </c>
      <c r="L3039" s="102">
        <v>734</v>
      </c>
      <c r="M3039" s="4"/>
      <c r="N3039" s="4"/>
      <c r="O3039" s="5"/>
      <c r="P3039" s="5"/>
      <c r="Q3039" s="21">
        <v>734</v>
      </c>
      <c r="R3039" s="21">
        <v>0</v>
      </c>
      <c r="S3039" s="5">
        <f t="shared" si="191"/>
        <v>45795.189120152005</v>
      </c>
      <c r="T3039" cm="1">
        <f t="array" ref="T3039">IF(OR(B3039="MAL ALIMI", B3039="ÜRETİM GİRİŞ"), MIN(I3039, MAX(0, I3039 + SUM(SUMIFS($I$1:I3038, $C$1:C3038, C3039, $B$1:B3038, {"MAL ALIMI","ÜRETİM GİRİŞ"})) - VLOOKUP(C3039, 'STOK RAPORU'!$C$2:$I$1000, 4, 0))), 0)</f>
        <v>0</v>
      </c>
      <c r="U3039" s="22">
        <f t="shared" si="188"/>
        <v>0</v>
      </c>
      <c r="V3039">
        <f t="shared" si="189"/>
        <v>0</v>
      </c>
      <c r="W3039" s="22">
        <f t="shared" si="190"/>
        <v>0</v>
      </c>
    </row>
    <row r="3040" spans="1:23" hidden="1" x14ac:dyDescent="0.25">
      <c r="A3040" s="3">
        <v>46030</v>
      </c>
      <c r="B3040" s="4" t="s">
        <v>334</v>
      </c>
      <c r="C3040" s="4" t="s">
        <v>826</v>
      </c>
      <c r="D3040" s="4"/>
      <c r="E3040" s="4" t="s">
        <v>921</v>
      </c>
      <c r="F3040" s="4" t="s">
        <v>1654</v>
      </c>
      <c r="G3040" s="4" t="s">
        <v>336</v>
      </c>
      <c r="H3040" s="4" t="s">
        <v>380</v>
      </c>
      <c r="I3040" s="4">
        <v>1</v>
      </c>
      <c r="J3040" s="21">
        <v>150</v>
      </c>
      <c r="K3040" s="21">
        <v>150</v>
      </c>
      <c r="L3040" s="5">
        <v>0</v>
      </c>
      <c r="M3040" s="4"/>
      <c r="N3040" s="4"/>
      <c r="O3040" s="5"/>
      <c r="P3040" s="5"/>
      <c r="Q3040" s="21">
        <v>0</v>
      </c>
      <c r="R3040" s="21">
        <v>0</v>
      </c>
      <c r="S3040" s="5">
        <f t="shared" si="191"/>
        <v>45795.189120152005</v>
      </c>
      <c r="T3040" cm="1">
        <f t="array" ref="T3040">IF(OR(B3040="MAL ALIMI", B3040="ÜRETİM GİRİŞ"), MIN(I3040, MAX(0, I3040 + SUM(SUMIFS($I$1:I3039, $C$1:C3039, C3040, $B$1:B3039, {"MAL ALIMI","ÜRETİM GİRİŞ"})) - VLOOKUP(C3040, 'STOK RAPORU'!$C$2:$I$1000, 4, 0))), 0)</f>
        <v>0</v>
      </c>
      <c r="U3040" s="22">
        <f t="shared" si="188"/>
        <v>0</v>
      </c>
      <c r="V3040">
        <f t="shared" si="189"/>
        <v>0</v>
      </c>
      <c r="W3040" s="22">
        <f t="shared" si="190"/>
        <v>0</v>
      </c>
    </row>
    <row r="3041" spans="1:23" hidden="1" x14ac:dyDescent="0.25">
      <c r="A3041" s="3">
        <v>46030</v>
      </c>
      <c r="B3041" s="4" t="s">
        <v>334</v>
      </c>
      <c r="C3041" s="4" t="s">
        <v>486</v>
      </c>
      <c r="D3041" s="4"/>
      <c r="E3041" s="4" t="s">
        <v>921</v>
      </c>
      <c r="F3041" s="4" t="s">
        <v>1654</v>
      </c>
      <c r="G3041" s="4" t="s">
        <v>336</v>
      </c>
      <c r="H3041" s="4" t="s">
        <v>380</v>
      </c>
      <c r="I3041" s="4">
        <v>1</v>
      </c>
      <c r="J3041" s="21">
        <v>180</v>
      </c>
      <c r="K3041" s="21">
        <v>180</v>
      </c>
      <c r="L3041" s="5">
        <v>0</v>
      </c>
      <c r="M3041" s="4"/>
      <c r="N3041" s="4"/>
      <c r="O3041" s="5"/>
      <c r="P3041" s="5"/>
      <c r="Q3041" s="21">
        <v>0</v>
      </c>
      <c r="R3041" s="21">
        <v>0</v>
      </c>
      <c r="S3041" s="5">
        <f t="shared" si="191"/>
        <v>45795.189120152005</v>
      </c>
      <c r="T3041" cm="1">
        <f t="array" ref="T3041">IF(OR(B3041="MAL ALIMI", B3041="ÜRETİM GİRİŞ"), MIN(I3041, MAX(0, I3041 + SUM(SUMIFS($I$1:I3040, $C$1:C3040, C3041, $B$1:B3040, {"MAL ALIMI","ÜRETİM GİRİŞ"})) - VLOOKUP(C3041, 'STOK RAPORU'!$C$2:$I$1000, 4, 0))), 0)</f>
        <v>0</v>
      </c>
      <c r="U3041" s="22">
        <f t="shared" si="188"/>
        <v>0</v>
      </c>
      <c r="V3041">
        <f t="shared" si="189"/>
        <v>0</v>
      </c>
      <c r="W3041" s="22">
        <f t="shared" si="190"/>
        <v>0</v>
      </c>
    </row>
    <row r="3042" spans="1:23" hidden="1" x14ac:dyDescent="0.25">
      <c r="A3042" s="3">
        <v>46030</v>
      </c>
      <c r="B3042" s="4" t="s">
        <v>334</v>
      </c>
      <c r="C3042" s="4" t="s">
        <v>1443</v>
      </c>
      <c r="D3042" s="4"/>
      <c r="E3042" s="4" t="s">
        <v>921</v>
      </c>
      <c r="F3042" s="4" t="s">
        <v>1654</v>
      </c>
      <c r="G3042" s="4" t="s">
        <v>336</v>
      </c>
      <c r="H3042" s="4" t="s">
        <v>380</v>
      </c>
      <c r="I3042" s="4">
        <v>2</v>
      </c>
      <c r="J3042" s="21">
        <v>10</v>
      </c>
      <c r="K3042" s="21">
        <v>20</v>
      </c>
      <c r="L3042" s="5">
        <v>0</v>
      </c>
      <c r="M3042" s="4"/>
      <c r="N3042" s="4"/>
      <c r="O3042" s="5"/>
      <c r="P3042" s="5"/>
      <c r="Q3042" s="21">
        <v>0</v>
      </c>
      <c r="R3042" s="21">
        <v>0</v>
      </c>
      <c r="S3042" s="5">
        <f t="shared" si="191"/>
        <v>45795.189120152005</v>
      </c>
      <c r="T3042" cm="1">
        <f t="array" ref="T3042">IF(OR(B3042="MAL ALIMI", B3042="ÜRETİM GİRİŞ"), MIN(I3042, MAX(0, I3042 + SUM(SUMIFS($I$1:I3041, $C$1:C3041, C3042, $B$1:B3041, {"MAL ALIMI","ÜRETİM GİRİŞ"})) - VLOOKUP(C3042, 'STOK RAPORU'!$C$2:$I$1000, 4, 0))), 0)</f>
        <v>0</v>
      </c>
      <c r="U3042" s="22">
        <f t="shared" si="188"/>
        <v>0</v>
      </c>
      <c r="V3042">
        <f t="shared" si="189"/>
        <v>0</v>
      </c>
      <c r="W3042" s="22">
        <f t="shared" si="190"/>
        <v>0</v>
      </c>
    </row>
    <row r="3043" spans="1:23" hidden="1" x14ac:dyDescent="0.25">
      <c r="A3043" s="3">
        <v>46030</v>
      </c>
      <c r="B3043" s="4" t="s">
        <v>334</v>
      </c>
      <c r="C3043" s="4" t="s">
        <v>1357</v>
      </c>
      <c r="D3043" s="4"/>
      <c r="E3043" s="4"/>
      <c r="F3043" s="4" t="s">
        <v>1655</v>
      </c>
      <c r="G3043" s="4" t="s">
        <v>336</v>
      </c>
      <c r="H3043" s="4" t="s">
        <v>289</v>
      </c>
      <c r="I3043" s="4">
        <v>0.35087719298245612</v>
      </c>
      <c r="J3043" s="21">
        <v>570</v>
      </c>
      <c r="K3043" s="21">
        <v>0</v>
      </c>
      <c r="L3043" s="5">
        <v>0</v>
      </c>
      <c r="M3043" s="4"/>
      <c r="N3043" s="4"/>
      <c r="O3043" s="5"/>
      <c r="P3043" s="5"/>
      <c r="Q3043" s="21">
        <v>200</v>
      </c>
      <c r="R3043" s="21">
        <v>0</v>
      </c>
      <c r="S3043" s="5">
        <f t="shared" si="191"/>
        <v>45995.189120152005</v>
      </c>
      <c r="T3043" cm="1">
        <f t="array" ref="T3043">IF(OR(B3043="MAL ALIMI", B3043="ÜRETİM GİRİŞ"), MIN(I3043, MAX(0, I3043 + SUM(SUMIFS($I$1:I3042, $C$1:C3042, C3043, $B$1:B3042, {"MAL ALIMI","ÜRETİM GİRİŞ"})) - VLOOKUP(C3043, 'STOK RAPORU'!$C$2:$I$1000, 4, 0))), 0)</f>
        <v>0</v>
      </c>
      <c r="U3043" s="22">
        <f t="shared" si="188"/>
        <v>0</v>
      </c>
      <c r="V3043">
        <f t="shared" si="189"/>
        <v>0</v>
      </c>
      <c r="W3043" s="22">
        <f t="shared" si="190"/>
        <v>0</v>
      </c>
    </row>
    <row r="3044" spans="1:23" hidden="1" x14ac:dyDescent="0.25">
      <c r="A3044" s="3">
        <v>46030</v>
      </c>
      <c r="B3044" s="4" t="s">
        <v>334</v>
      </c>
      <c r="C3044" s="4" t="s">
        <v>587</v>
      </c>
      <c r="D3044" s="4"/>
      <c r="E3044" s="4"/>
      <c r="F3044" s="4" t="s">
        <v>1656</v>
      </c>
      <c r="G3044" s="4" t="s">
        <v>336</v>
      </c>
      <c r="H3044" s="4" t="s">
        <v>289</v>
      </c>
      <c r="I3044" s="4">
        <v>0.5</v>
      </c>
      <c r="J3044" s="21">
        <v>150</v>
      </c>
      <c r="K3044" s="21">
        <v>0</v>
      </c>
      <c r="L3044" s="5">
        <v>0</v>
      </c>
      <c r="M3044" s="4"/>
      <c r="N3044" s="4"/>
      <c r="O3044" s="5"/>
      <c r="P3044" s="5"/>
      <c r="Q3044" s="21">
        <v>75</v>
      </c>
      <c r="R3044" s="21">
        <v>0</v>
      </c>
      <c r="S3044" s="5">
        <f t="shared" si="191"/>
        <v>46070.189120152005</v>
      </c>
      <c r="T3044" cm="1">
        <f t="array" ref="T3044">IF(OR(B3044="MAL ALIMI", B3044="ÜRETİM GİRİŞ"), MIN(I3044, MAX(0, I3044 + SUM(SUMIFS($I$1:I3043, $C$1:C3043, C3044, $B$1:B3043, {"MAL ALIMI","ÜRETİM GİRİŞ"})) - VLOOKUP(C3044, 'STOK RAPORU'!$C$2:$I$1000, 4, 0))), 0)</f>
        <v>0</v>
      </c>
      <c r="U3044" s="22">
        <f t="shared" si="188"/>
        <v>0</v>
      </c>
      <c r="V3044">
        <f t="shared" si="189"/>
        <v>0</v>
      </c>
      <c r="W3044" s="22">
        <f t="shared" si="190"/>
        <v>0</v>
      </c>
    </row>
    <row r="3045" spans="1:23" hidden="1" x14ac:dyDescent="0.25">
      <c r="A3045" s="3">
        <v>46030</v>
      </c>
      <c r="B3045" s="4" t="s">
        <v>334</v>
      </c>
      <c r="C3045" s="46" t="s">
        <v>585</v>
      </c>
      <c r="D3045" s="4"/>
      <c r="E3045" s="4"/>
      <c r="F3045" s="4" t="s">
        <v>1656</v>
      </c>
      <c r="G3045" s="4" t="s">
        <v>336</v>
      </c>
      <c r="H3045" s="4" t="s">
        <v>289</v>
      </c>
      <c r="I3045" s="4">
        <v>0.15</v>
      </c>
      <c r="J3045" s="21">
        <v>200</v>
      </c>
      <c r="K3045" s="21">
        <v>0</v>
      </c>
      <c r="L3045" s="5">
        <v>0</v>
      </c>
      <c r="M3045" s="4"/>
      <c r="N3045" s="4"/>
      <c r="O3045" s="5"/>
      <c r="P3045" s="5"/>
      <c r="Q3045" s="21">
        <v>30</v>
      </c>
      <c r="R3045" s="21">
        <v>0</v>
      </c>
      <c r="S3045" s="5">
        <f t="shared" si="191"/>
        <v>46100.189120152005</v>
      </c>
      <c r="T3045" cm="1">
        <f t="array" ref="T3045">IF(OR(B3045="MAL ALIMI", B3045="ÜRETİM GİRİŞ"), MIN(I3045, MAX(0, I3045 + SUM(SUMIFS($I$1:I3044, $C$1:C3044, C3045, $B$1:B3044, {"MAL ALIMI","ÜRETİM GİRİŞ"})) - VLOOKUP(C3045, 'STOK RAPORU'!$C$2:$I$1000, 4, 0))), 0)</f>
        <v>0</v>
      </c>
      <c r="U3045" s="22">
        <f t="shared" si="188"/>
        <v>0</v>
      </c>
      <c r="V3045">
        <f t="shared" si="189"/>
        <v>0</v>
      </c>
      <c r="W3045" s="22">
        <f t="shared" si="190"/>
        <v>0</v>
      </c>
    </row>
    <row r="3046" spans="1:23" hidden="1" x14ac:dyDescent="0.25">
      <c r="A3046" s="3">
        <v>46030</v>
      </c>
      <c r="B3046" s="4" t="s">
        <v>334</v>
      </c>
      <c r="C3046" s="4" t="s">
        <v>163</v>
      </c>
      <c r="D3046" s="4"/>
      <c r="E3046" s="4"/>
      <c r="F3046" s="4" t="s">
        <v>1657</v>
      </c>
      <c r="G3046" s="4" t="s">
        <v>336</v>
      </c>
      <c r="H3046" s="4" t="s">
        <v>289</v>
      </c>
      <c r="I3046" s="4">
        <v>0.15952380952380951</v>
      </c>
      <c r="J3046" s="21">
        <v>420</v>
      </c>
      <c r="K3046" s="21">
        <v>0</v>
      </c>
      <c r="L3046" s="5">
        <v>0</v>
      </c>
      <c r="M3046" s="4"/>
      <c r="N3046" s="4"/>
      <c r="O3046" s="5"/>
      <c r="P3046" s="5"/>
      <c r="Q3046" s="21">
        <v>67</v>
      </c>
      <c r="R3046" s="21">
        <v>0</v>
      </c>
      <c r="S3046" s="5">
        <f t="shared" si="191"/>
        <v>46167.189120152005</v>
      </c>
      <c r="T3046" cm="1">
        <f t="array" ref="T3046">IF(OR(B3046="MAL ALIMI", B3046="ÜRETİM GİRİŞ"), MIN(I3046, MAX(0, I3046 + SUM(SUMIFS($I$1:I3045, $C$1:C3045, C3046, $B$1:B3045, {"MAL ALIMI","ÜRETİM GİRİŞ"})) - VLOOKUP(C3046, 'STOK RAPORU'!$C$2:$I$1000, 4, 0))), 0)</f>
        <v>0</v>
      </c>
      <c r="U3046" s="22">
        <f t="shared" si="188"/>
        <v>0</v>
      </c>
      <c r="V3046">
        <f t="shared" si="189"/>
        <v>0</v>
      </c>
      <c r="W3046" s="22">
        <f t="shared" si="190"/>
        <v>0</v>
      </c>
    </row>
    <row r="3047" spans="1:23" hidden="1" x14ac:dyDescent="0.25">
      <c r="A3047" s="3">
        <v>46030</v>
      </c>
      <c r="B3047" s="4" t="s">
        <v>334</v>
      </c>
      <c r="C3047" s="4" t="s">
        <v>140</v>
      </c>
      <c r="D3047" s="4"/>
      <c r="E3047" s="4"/>
      <c r="F3047" s="4" t="s">
        <v>1657</v>
      </c>
      <c r="G3047" s="4" t="s">
        <v>336</v>
      </c>
      <c r="H3047" s="4" t="s">
        <v>289</v>
      </c>
      <c r="I3047" s="4">
        <v>0.16333333333333333</v>
      </c>
      <c r="J3047" s="21">
        <v>300</v>
      </c>
      <c r="K3047" s="21">
        <v>0</v>
      </c>
      <c r="L3047" s="5">
        <v>0</v>
      </c>
      <c r="M3047" s="4"/>
      <c r="N3047" s="4"/>
      <c r="O3047" s="5"/>
      <c r="P3047" s="5"/>
      <c r="Q3047" s="21">
        <v>49</v>
      </c>
      <c r="R3047" s="21">
        <v>0</v>
      </c>
      <c r="S3047" s="5">
        <f t="shared" si="191"/>
        <v>46216.189120152005</v>
      </c>
      <c r="T3047" cm="1">
        <f t="array" ref="T3047">IF(OR(B3047="MAL ALIMI", B3047="ÜRETİM GİRİŞ"), MIN(I3047, MAX(0, I3047 + SUM(SUMIFS($I$1:I3046, $C$1:C3046, C3047, $B$1:B3046, {"MAL ALIMI","ÜRETİM GİRİŞ"})) - VLOOKUP(C3047, 'STOK RAPORU'!$C$2:$I$1000, 4, 0))), 0)</f>
        <v>0</v>
      </c>
      <c r="U3047" s="22">
        <f t="shared" si="188"/>
        <v>0</v>
      </c>
      <c r="V3047">
        <f t="shared" si="189"/>
        <v>0</v>
      </c>
      <c r="W3047" s="22">
        <f t="shared" si="190"/>
        <v>0</v>
      </c>
    </row>
    <row r="3048" spans="1:23" hidden="1" x14ac:dyDescent="0.25">
      <c r="A3048" s="3">
        <v>46030</v>
      </c>
      <c r="B3048" s="4" t="s">
        <v>334</v>
      </c>
      <c r="C3048" s="4" t="s">
        <v>458</v>
      </c>
      <c r="D3048" s="4"/>
      <c r="E3048" s="4"/>
      <c r="F3048" s="4" t="s">
        <v>1658</v>
      </c>
      <c r="G3048" s="4" t="s">
        <v>336</v>
      </c>
      <c r="H3048" s="4" t="s">
        <v>289</v>
      </c>
      <c r="I3048" s="4">
        <v>0.5</v>
      </c>
      <c r="J3048" s="21">
        <v>80</v>
      </c>
      <c r="K3048" s="21">
        <v>0</v>
      </c>
      <c r="L3048" s="5">
        <v>0</v>
      </c>
      <c r="M3048" s="4"/>
      <c r="N3048" s="4"/>
      <c r="O3048" s="5"/>
      <c r="P3048" s="5"/>
      <c r="Q3048" s="21">
        <v>40</v>
      </c>
      <c r="R3048" s="21">
        <v>0</v>
      </c>
      <c r="S3048" s="5">
        <f t="shared" si="191"/>
        <v>46256.189120152005</v>
      </c>
      <c r="T3048" cm="1">
        <f t="array" ref="T3048">IF(OR(B3048="MAL ALIMI", B3048="ÜRETİM GİRİŞ"), MIN(I3048, MAX(0, I3048 + SUM(SUMIFS($I$1:I3047, $C$1:C3047, C3048, $B$1:B3047, {"MAL ALIMI","ÜRETİM GİRİŞ"})) - VLOOKUP(C3048, 'STOK RAPORU'!$C$2:$I$1000, 4, 0))), 0)</f>
        <v>0</v>
      </c>
      <c r="U3048" s="22">
        <f t="shared" si="188"/>
        <v>0</v>
      </c>
      <c r="V3048">
        <f t="shared" si="189"/>
        <v>0</v>
      </c>
      <c r="W3048" s="22">
        <f t="shared" si="190"/>
        <v>0</v>
      </c>
    </row>
    <row r="3049" spans="1:23" hidden="1" x14ac:dyDescent="0.25">
      <c r="A3049" s="3">
        <v>46030</v>
      </c>
      <c r="B3049" s="4" t="s">
        <v>334</v>
      </c>
      <c r="C3049" s="4" t="s">
        <v>529</v>
      </c>
      <c r="D3049" s="4"/>
      <c r="E3049" s="4"/>
      <c r="F3049" s="4" t="s">
        <v>1658</v>
      </c>
      <c r="G3049" s="4" t="s">
        <v>336</v>
      </c>
      <c r="H3049" s="4" t="s">
        <v>289</v>
      </c>
      <c r="I3049" s="4">
        <v>0.1</v>
      </c>
      <c r="J3049" s="21">
        <v>600</v>
      </c>
      <c r="K3049" s="21">
        <v>0</v>
      </c>
      <c r="L3049" s="5">
        <v>0</v>
      </c>
      <c r="M3049" s="4"/>
      <c r="N3049" s="4"/>
      <c r="O3049" s="5"/>
      <c r="P3049" s="5"/>
      <c r="Q3049" s="21">
        <v>60</v>
      </c>
      <c r="R3049" s="21">
        <v>0</v>
      </c>
      <c r="S3049" s="5">
        <f t="shared" si="191"/>
        <v>46316.189120152005</v>
      </c>
      <c r="T3049" cm="1">
        <f t="array" ref="T3049">IF(OR(B3049="MAL ALIMI", B3049="ÜRETİM GİRİŞ"), MIN(I3049, MAX(0, I3049 + SUM(SUMIFS($I$1:I3048, $C$1:C3048, C3049, $B$1:B3048, {"MAL ALIMI","ÜRETİM GİRİŞ"})) - VLOOKUP(C3049, 'STOK RAPORU'!$C$2:$I$1000, 4, 0))), 0)</f>
        <v>0</v>
      </c>
      <c r="U3049" s="22">
        <f t="shared" si="188"/>
        <v>0</v>
      </c>
      <c r="V3049">
        <f t="shared" si="189"/>
        <v>0</v>
      </c>
      <c r="W3049" s="22">
        <f t="shared" si="190"/>
        <v>0</v>
      </c>
    </row>
    <row r="3050" spans="1:23" hidden="1" x14ac:dyDescent="0.25">
      <c r="A3050" s="3">
        <v>46030</v>
      </c>
      <c r="B3050" s="4" t="s">
        <v>334</v>
      </c>
      <c r="C3050" s="4" t="s">
        <v>202</v>
      </c>
      <c r="D3050" s="4"/>
      <c r="E3050" s="4"/>
      <c r="F3050" s="4" t="s">
        <v>1659</v>
      </c>
      <c r="G3050" s="4" t="s">
        <v>336</v>
      </c>
      <c r="H3050" s="4" t="s">
        <v>289</v>
      </c>
      <c r="I3050" s="4">
        <v>0.5</v>
      </c>
      <c r="J3050" s="21">
        <v>80</v>
      </c>
      <c r="K3050" s="21">
        <v>0</v>
      </c>
      <c r="L3050" s="5">
        <v>0</v>
      </c>
      <c r="M3050" s="4"/>
      <c r="N3050" s="4"/>
      <c r="O3050" s="5"/>
      <c r="P3050" s="5"/>
      <c r="Q3050" s="21">
        <v>40</v>
      </c>
      <c r="R3050" s="21">
        <v>0</v>
      </c>
      <c r="S3050" s="5">
        <f t="shared" si="191"/>
        <v>46356.189120152005</v>
      </c>
      <c r="T3050" cm="1">
        <f t="array" ref="T3050">IF(OR(B3050="MAL ALIMI", B3050="ÜRETİM GİRİŞ"), MIN(I3050, MAX(0, I3050 + SUM(SUMIFS($I$1:I3049, $C$1:C3049, C3050, $B$1:B3049, {"MAL ALIMI","ÜRETİM GİRİŞ"})) - VLOOKUP(C3050, 'STOK RAPORU'!$C$2:$I$1000, 4, 0))), 0)</f>
        <v>0</v>
      </c>
      <c r="U3050" s="22">
        <f t="shared" si="188"/>
        <v>0</v>
      </c>
      <c r="V3050">
        <f t="shared" si="189"/>
        <v>0</v>
      </c>
      <c r="W3050" s="22">
        <f t="shared" si="190"/>
        <v>0</v>
      </c>
    </row>
    <row r="3051" spans="1:23" hidden="1" x14ac:dyDescent="0.25">
      <c r="A3051" s="3">
        <v>46030</v>
      </c>
      <c r="B3051" s="4" t="s">
        <v>334</v>
      </c>
      <c r="C3051" s="4" t="s">
        <v>1359</v>
      </c>
      <c r="D3051" s="4"/>
      <c r="E3051" s="4"/>
      <c r="F3051" s="4" t="s">
        <v>1660</v>
      </c>
      <c r="G3051" s="4" t="s">
        <v>336</v>
      </c>
      <c r="H3051" s="4" t="s">
        <v>289</v>
      </c>
      <c r="I3051" s="4">
        <v>0.44444444444444442</v>
      </c>
      <c r="J3051" s="21">
        <v>450</v>
      </c>
      <c r="K3051" s="21">
        <v>0</v>
      </c>
      <c r="L3051" s="5">
        <v>0</v>
      </c>
      <c r="M3051" s="4"/>
      <c r="N3051" s="4"/>
      <c r="O3051" s="5"/>
      <c r="P3051" s="5"/>
      <c r="Q3051" s="21">
        <v>200</v>
      </c>
      <c r="R3051" s="21">
        <v>0</v>
      </c>
      <c r="S3051" s="5">
        <f t="shared" si="191"/>
        <v>46556.189120152005</v>
      </c>
      <c r="T3051" cm="1">
        <f t="array" ref="T3051">IF(OR(B3051="MAL ALIMI", B3051="ÜRETİM GİRİŞ"), MIN(I3051, MAX(0, I3051 + SUM(SUMIFS($I$1:I3050, $C$1:C3050, C3051, $B$1:B3050, {"MAL ALIMI","ÜRETİM GİRİŞ"})) - VLOOKUP(C3051, 'STOK RAPORU'!$C$2:$I$1000, 4, 0))), 0)</f>
        <v>0</v>
      </c>
      <c r="U3051" s="22">
        <f t="shared" si="188"/>
        <v>0</v>
      </c>
      <c r="V3051">
        <f t="shared" si="189"/>
        <v>0</v>
      </c>
      <c r="W3051" s="22">
        <f t="shared" si="190"/>
        <v>0</v>
      </c>
    </row>
    <row r="3052" spans="1:23" hidden="1" x14ac:dyDescent="0.25">
      <c r="A3052" s="3">
        <v>46030</v>
      </c>
      <c r="B3052" s="4" t="s">
        <v>334</v>
      </c>
      <c r="C3052" s="4" t="s">
        <v>651</v>
      </c>
      <c r="D3052" s="4"/>
      <c r="E3052" s="4" t="s">
        <v>921</v>
      </c>
      <c r="F3052" s="4" t="s">
        <v>1661</v>
      </c>
      <c r="G3052" s="4" t="s">
        <v>336</v>
      </c>
      <c r="H3052" s="4" t="s">
        <v>380</v>
      </c>
      <c r="I3052" s="4">
        <v>1</v>
      </c>
      <c r="J3052" s="21">
        <v>400</v>
      </c>
      <c r="K3052" s="21">
        <v>400</v>
      </c>
      <c r="L3052" s="5">
        <v>0</v>
      </c>
      <c r="M3052" s="4"/>
      <c r="N3052" s="4"/>
      <c r="O3052" s="5"/>
      <c r="P3052" s="5"/>
      <c r="Q3052" s="21">
        <v>0</v>
      </c>
      <c r="R3052" s="21">
        <v>0</v>
      </c>
      <c r="S3052" s="5">
        <f t="shared" si="191"/>
        <v>46556.189120152005</v>
      </c>
      <c r="T3052" cm="1">
        <f t="array" ref="T3052">IF(OR(B3052="MAL ALIMI", B3052="ÜRETİM GİRİŞ"), MIN(I3052, MAX(0, I3052 + SUM(SUMIFS($I$1:I3051, $C$1:C3051, C3052, $B$1:B3051, {"MAL ALIMI","ÜRETİM GİRİŞ"})) - VLOOKUP(C3052, 'STOK RAPORU'!$C$2:$I$1000, 4, 0))), 0)</f>
        <v>0</v>
      </c>
      <c r="U3052" s="22">
        <f t="shared" si="188"/>
        <v>0</v>
      </c>
      <c r="V3052">
        <f t="shared" si="189"/>
        <v>0</v>
      </c>
      <c r="W3052" s="22">
        <f t="shared" si="190"/>
        <v>0</v>
      </c>
    </row>
    <row r="3053" spans="1:23" hidden="1" x14ac:dyDescent="0.25">
      <c r="A3053" s="3">
        <v>46030</v>
      </c>
      <c r="B3053" s="4" t="s">
        <v>334</v>
      </c>
      <c r="C3053" s="4" t="s">
        <v>651</v>
      </c>
      <c r="D3053" s="4"/>
      <c r="E3053" s="4" t="s">
        <v>921</v>
      </c>
      <c r="F3053" s="4" t="s">
        <v>1662</v>
      </c>
      <c r="G3053" s="4" t="s">
        <v>336</v>
      </c>
      <c r="H3053" s="4" t="s">
        <v>380</v>
      </c>
      <c r="I3053" s="4">
        <v>1</v>
      </c>
      <c r="J3053" s="21">
        <v>400</v>
      </c>
      <c r="K3053" s="21">
        <v>400</v>
      </c>
      <c r="L3053" s="5">
        <v>0</v>
      </c>
      <c r="M3053" s="4"/>
      <c r="N3053" s="4"/>
      <c r="O3053" s="5"/>
      <c r="P3053" s="5"/>
      <c r="Q3053" s="21">
        <v>0</v>
      </c>
      <c r="R3053" s="21">
        <v>0</v>
      </c>
      <c r="S3053" s="5">
        <f t="shared" si="191"/>
        <v>46556.189120152005</v>
      </c>
      <c r="T3053" cm="1">
        <f t="array" ref="T3053">IF(OR(B3053="MAL ALIMI", B3053="ÜRETİM GİRİŞ"), MIN(I3053, MAX(0, I3053 + SUM(SUMIFS($I$1:I3052, $C$1:C3052, C3053, $B$1:B3052, {"MAL ALIMI","ÜRETİM GİRİŞ"})) - VLOOKUP(C3053, 'STOK RAPORU'!$C$2:$I$1000, 4, 0))), 0)</f>
        <v>0</v>
      </c>
      <c r="U3053" s="22">
        <f t="shared" si="188"/>
        <v>0</v>
      </c>
      <c r="V3053">
        <f t="shared" si="189"/>
        <v>0</v>
      </c>
      <c r="W3053" s="22">
        <f t="shared" si="190"/>
        <v>0</v>
      </c>
    </row>
    <row r="3054" spans="1:23" hidden="1" x14ac:dyDescent="0.25">
      <c r="A3054" s="3">
        <v>46030</v>
      </c>
      <c r="B3054" s="4" t="s">
        <v>334</v>
      </c>
      <c r="C3054" s="4" t="s">
        <v>1176</v>
      </c>
      <c r="D3054" s="4"/>
      <c r="E3054" s="4"/>
      <c r="F3054" s="4" t="s">
        <v>1663</v>
      </c>
      <c r="G3054" s="4" t="s">
        <v>336</v>
      </c>
      <c r="H3054" s="4" t="s">
        <v>289</v>
      </c>
      <c r="I3054" s="4">
        <v>0.1</v>
      </c>
      <c r="J3054" s="21">
        <v>1500</v>
      </c>
      <c r="K3054" s="21">
        <v>0</v>
      </c>
      <c r="L3054" s="5">
        <v>0</v>
      </c>
      <c r="M3054" s="4"/>
      <c r="N3054" s="4"/>
      <c r="O3054" s="5"/>
      <c r="P3054" s="5"/>
      <c r="Q3054" s="21">
        <v>150</v>
      </c>
      <c r="R3054" s="21">
        <v>0</v>
      </c>
      <c r="S3054" s="5">
        <f t="shared" si="191"/>
        <v>46706.189120152005</v>
      </c>
      <c r="T3054" cm="1">
        <f t="array" ref="T3054">IF(OR(B3054="MAL ALIMI", B3054="ÜRETİM GİRİŞ"), MIN(I3054, MAX(0, I3054 + SUM(SUMIFS($I$1:I3053, $C$1:C3053, C3054, $B$1:B3053, {"MAL ALIMI","ÜRETİM GİRİŞ"})) - VLOOKUP(C3054, 'STOK RAPORU'!$C$2:$I$1000, 4, 0))), 0)</f>
        <v>0</v>
      </c>
      <c r="U3054" s="22">
        <f t="shared" si="188"/>
        <v>0</v>
      </c>
      <c r="V3054">
        <f t="shared" si="189"/>
        <v>0</v>
      </c>
      <c r="W3054" s="22">
        <f t="shared" si="190"/>
        <v>0</v>
      </c>
    </row>
    <row r="3055" spans="1:23" hidden="1" x14ac:dyDescent="0.25">
      <c r="A3055" s="3">
        <v>46030</v>
      </c>
      <c r="B3055" s="4" t="s">
        <v>334</v>
      </c>
      <c r="C3055" s="4" t="s">
        <v>209</v>
      </c>
      <c r="D3055" s="4"/>
      <c r="E3055" s="4" t="s">
        <v>921</v>
      </c>
      <c r="F3055" s="4" t="s">
        <v>1666</v>
      </c>
      <c r="G3055" s="4" t="s">
        <v>336</v>
      </c>
      <c r="H3055" s="4" t="s">
        <v>380</v>
      </c>
      <c r="I3055" s="4">
        <v>0.05</v>
      </c>
      <c r="J3055" s="21">
        <v>2600</v>
      </c>
      <c r="K3055" s="21">
        <v>130</v>
      </c>
      <c r="L3055" s="5">
        <v>0</v>
      </c>
      <c r="M3055" s="4"/>
      <c r="N3055" s="4"/>
      <c r="O3055" s="5"/>
      <c r="P3055" s="5"/>
      <c r="Q3055" s="21">
        <v>0</v>
      </c>
      <c r="R3055" s="21">
        <v>0</v>
      </c>
      <c r="S3055" s="5">
        <f t="shared" si="191"/>
        <v>46706.189120152005</v>
      </c>
      <c r="T3055" cm="1">
        <f t="array" ref="T3055">IF(OR(B3055="MAL ALIMI", B3055="ÜRETİM GİRİŞ"), MIN(I3055, MAX(0, I3055 + SUM(SUMIFS($I$1:I3054, $C$1:C3054, C3055, $B$1:B3054, {"MAL ALIMI","ÜRETİM GİRİŞ"})) - VLOOKUP(C3055, 'STOK RAPORU'!$C$2:$I$1000, 4, 0))), 0)</f>
        <v>0</v>
      </c>
      <c r="U3055" s="22">
        <f t="shared" si="188"/>
        <v>0</v>
      </c>
      <c r="V3055">
        <f t="shared" si="189"/>
        <v>0</v>
      </c>
      <c r="W3055" s="22">
        <f t="shared" si="190"/>
        <v>0</v>
      </c>
    </row>
    <row r="3056" spans="1:23" hidden="1" x14ac:dyDescent="0.25">
      <c r="A3056" s="3">
        <v>46030</v>
      </c>
      <c r="B3056" s="4" t="s">
        <v>946</v>
      </c>
      <c r="C3056" s="4"/>
      <c r="D3056" s="4"/>
      <c r="E3056" s="4" t="s">
        <v>921</v>
      </c>
      <c r="F3056" s="4"/>
      <c r="G3056" s="4" t="s">
        <v>946</v>
      </c>
      <c r="H3056" s="4" t="s">
        <v>380</v>
      </c>
      <c r="I3056" s="4">
        <v>1</v>
      </c>
      <c r="J3056" s="105">
        <v>820</v>
      </c>
      <c r="K3056" s="21">
        <v>0</v>
      </c>
      <c r="L3056" s="102">
        <v>820</v>
      </c>
      <c r="M3056" s="4"/>
      <c r="N3056" s="4"/>
      <c r="O3056" s="5"/>
      <c r="P3056" s="5"/>
      <c r="Q3056" s="21">
        <v>820</v>
      </c>
      <c r="R3056" s="21">
        <v>0</v>
      </c>
      <c r="S3056" s="5">
        <f t="shared" si="191"/>
        <v>47526.189120152005</v>
      </c>
      <c r="T3056" cm="1">
        <f t="array" ref="T3056">IF(OR(B3056="MAL ALIMI", B3056="ÜRETİM GİRİŞ"), MIN(I3056, MAX(0, I3056 + SUM(SUMIFS($I$1:I3055, $C$1:C3055, C3056, $B$1:B3055, {"MAL ALIMI","ÜRETİM GİRİŞ"})) - VLOOKUP(C3056, 'STOK RAPORU'!$C$2:$I$1000, 4, 0))), 0)</f>
        <v>0</v>
      </c>
      <c r="U3056" s="22">
        <f t="shared" si="188"/>
        <v>0</v>
      </c>
      <c r="V3056">
        <f t="shared" si="189"/>
        <v>0</v>
      </c>
      <c r="W3056" s="22">
        <f t="shared" si="190"/>
        <v>0</v>
      </c>
    </row>
    <row r="3057" spans="1:23" hidden="1" x14ac:dyDescent="0.25">
      <c r="A3057" s="3">
        <v>46031</v>
      </c>
      <c r="B3057" s="4" t="s">
        <v>334</v>
      </c>
      <c r="C3057" s="4" t="s">
        <v>76</v>
      </c>
      <c r="D3057" s="4"/>
      <c r="E3057" s="4"/>
      <c r="F3057" s="4" t="s">
        <v>1667</v>
      </c>
      <c r="G3057" s="4" t="s">
        <v>336</v>
      </c>
      <c r="H3057" s="4" t="s">
        <v>289</v>
      </c>
      <c r="I3057" s="4">
        <v>6.25E-2</v>
      </c>
      <c r="J3057" s="21">
        <v>400</v>
      </c>
      <c r="K3057" s="21">
        <v>0</v>
      </c>
      <c r="L3057" s="5">
        <v>0</v>
      </c>
      <c r="M3057" s="4"/>
      <c r="N3057" s="4"/>
      <c r="O3057" s="5"/>
      <c r="P3057" s="5"/>
      <c r="Q3057" s="21">
        <v>25</v>
      </c>
      <c r="R3057" s="21">
        <v>0</v>
      </c>
      <c r="S3057" s="5">
        <f t="shared" si="191"/>
        <v>47551.189120152005</v>
      </c>
      <c r="T3057" cm="1">
        <f t="array" ref="T3057">IF(OR(B3057="MAL ALIMI", B3057="ÜRETİM GİRİŞ"), MIN(I3057, MAX(0, I3057 + SUM(SUMIFS($I$1:I3056, $C$1:C3056, C3057, $B$1:B3056, {"MAL ALIMI","ÜRETİM GİRİŞ"})) - VLOOKUP(C3057, 'STOK RAPORU'!$C$2:$I$1000, 4, 0))), 0)</f>
        <v>0</v>
      </c>
      <c r="U3057" s="22">
        <f t="shared" si="188"/>
        <v>0</v>
      </c>
      <c r="V3057">
        <f t="shared" si="189"/>
        <v>0</v>
      </c>
      <c r="W3057" s="22">
        <f t="shared" si="190"/>
        <v>0</v>
      </c>
    </row>
    <row r="3058" spans="1:23" hidden="1" x14ac:dyDescent="0.25">
      <c r="A3058" s="3">
        <v>46031</v>
      </c>
      <c r="B3058" s="4" t="s">
        <v>334</v>
      </c>
      <c r="C3058" s="4" t="s">
        <v>457</v>
      </c>
      <c r="D3058" s="4"/>
      <c r="E3058" s="4"/>
      <c r="F3058" s="4" t="s">
        <v>1668</v>
      </c>
      <c r="G3058" s="4" t="s">
        <v>336</v>
      </c>
      <c r="H3058" s="4" t="s">
        <v>289</v>
      </c>
      <c r="I3058" s="4">
        <v>0.1</v>
      </c>
      <c r="J3058" s="21">
        <v>700</v>
      </c>
      <c r="K3058" s="21">
        <v>0</v>
      </c>
      <c r="L3058" s="5">
        <v>0</v>
      </c>
      <c r="M3058" s="4"/>
      <c r="N3058" s="4"/>
      <c r="O3058" s="5"/>
      <c r="P3058" s="5"/>
      <c r="Q3058" s="21">
        <v>70</v>
      </c>
      <c r="R3058" s="21">
        <v>0</v>
      </c>
      <c r="S3058" s="5">
        <f t="shared" si="191"/>
        <v>47621.189120152005</v>
      </c>
      <c r="T3058" cm="1">
        <f t="array" ref="T3058">IF(OR(B3058="MAL ALIMI", B3058="ÜRETİM GİRİŞ"), MIN(I3058, MAX(0, I3058 + SUM(SUMIFS($I$1:I3057, $C$1:C3057, C3058, $B$1:B3057, {"MAL ALIMI","ÜRETİM GİRİŞ"})) - VLOOKUP(C3058, 'STOK RAPORU'!$C$2:$I$1000, 4, 0))), 0)</f>
        <v>0</v>
      </c>
      <c r="U3058" s="22">
        <f t="shared" si="188"/>
        <v>0</v>
      </c>
      <c r="V3058">
        <f t="shared" si="189"/>
        <v>0</v>
      </c>
      <c r="W3058" s="22">
        <f t="shared" si="190"/>
        <v>0</v>
      </c>
    </row>
    <row r="3059" spans="1:23" hidden="1" x14ac:dyDescent="0.25">
      <c r="A3059" s="3">
        <v>46031</v>
      </c>
      <c r="B3059" s="4" t="s">
        <v>334</v>
      </c>
      <c r="C3059" s="4" t="s">
        <v>209</v>
      </c>
      <c r="D3059" s="4"/>
      <c r="E3059" s="4"/>
      <c r="F3059" s="4" t="s">
        <v>1668</v>
      </c>
      <c r="G3059" s="4" t="s">
        <v>336</v>
      </c>
      <c r="H3059" s="4" t="s">
        <v>289</v>
      </c>
      <c r="I3059" s="4">
        <v>0.05</v>
      </c>
      <c r="J3059" s="21">
        <v>2600</v>
      </c>
      <c r="K3059" s="21">
        <v>0</v>
      </c>
      <c r="L3059" s="5">
        <v>0</v>
      </c>
      <c r="M3059" s="4"/>
      <c r="N3059" s="4"/>
      <c r="O3059" s="5"/>
      <c r="P3059" s="5"/>
      <c r="Q3059" s="21">
        <v>130</v>
      </c>
      <c r="R3059" s="21">
        <v>0</v>
      </c>
      <c r="S3059" s="5">
        <f t="shared" si="191"/>
        <v>47751.189120152005</v>
      </c>
      <c r="T3059" cm="1">
        <f t="array" ref="T3059">IF(OR(B3059="MAL ALIMI", B3059="ÜRETİM GİRİŞ"), MIN(I3059, MAX(0, I3059 + SUM(SUMIFS($I$1:I3058, $C$1:C3058, C3059, $B$1:B3058, {"MAL ALIMI","ÜRETİM GİRİŞ"})) - VLOOKUP(C3059, 'STOK RAPORU'!$C$2:$I$1000, 4, 0))), 0)</f>
        <v>0</v>
      </c>
      <c r="U3059" s="22">
        <f t="shared" si="188"/>
        <v>0</v>
      </c>
      <c r="V3059">
        <f t="shared" si="189"/>
        <v>0</v>
      </c>
      <c r="W3059" s="22">
        <f t="shared" si="190"/>
        <v>0</v>
      </c>
    </row>
    <row r="3060" spans="1:23" hidden="1" x14ac:dyDescent="0.25">
      <c r="A3060" s="3">
        <v>46031</v>
      </c>
      <c r="B3060" s="4" t="s">
        <v>334</v>
      </c>
      <c r="C3060" s="4" t="s">
        <v>160</v>
      </c>
      <c r="D3060" s="4"/>
      <c r="E3060" s="4"/>
      <c r="F3060" s="4" t="s">
        <v>1669</v>
      </c>
      <c r="G3060" s="4" t="s">
        <v>336</v>
      </c>
      <c r="H3060" s="4" t="s">
        <v>289</v>
      </c>
      <c r="I3060" s="4">
        <v>1</v>
      </c>
      <c r="J3060" s="21">
        <v>250</v>
      </c>
      <c r="K3060" s="21">
        <v>0</v>
      </c>
      <c r="L3060" s="5">
        <v>0</v>
      </c>
      <c r="M3060" s="4"/>
      <c r="N3060" s="4"/>
      <c r="O3060" s="5"/>
      <c r="P3060" s="5"/>
      <c r="Q3060" s="21">
        <v>250</v>
      </c>
      <c r="R3060" s="21">
        <v>0</v>
      </c>
      <c r="S3060" s="5">
        <f t="shared" si="191"/>
        <v>48001.189120152005</v>
      </c>
      <c r="T3060" cm="1">
        <f t="array" ref="T3060">IF(OR(B3060="MAL ALIMI", B3060="ÜRETİM GİRİŞ"), MIN(I3060, MAX(0, I3060 + SUM(SUMIFS($I$1:I3059, $C$1:C3059, C3060, $B$1:B3059, {"MAL ALIMI","ÜRETİM GİRİŞ"})) - VLOOKUP(C3060, 'STOK RAPORU'!$C$2:$I$1000, 4, 0))), 0)</f>
        <v>0</v>
      </c>
      <c r="U3060" s="22">
        <f t="shared" si="188"/>
        <v>0</v>
      </c>
      <c r="V3060">
        <f t="shared" si="189"/>
        <v>0</v>
      </c>
      <c r="W3060" s="22">
        <f t="shared" si="190"/>
        <v>0</v>
      </c>
    </row>
    <row r="3061" spans="1:23" hidden="1" x14ac:dyDescent="0.25">
      <c r="A3061" s="3">
        <v>46031</v>
      </c>
      <c r="B3061" s="4" t="s">
        <v>334</v>
      </c>
      <c r="C3061" s="4" t="s">
        <v>162</v>
      </c>
      <c r="D3061" s="4"/>
      <c r="E3061" s="4"/>
      <c r="F3061" s="4" t="s">
        <v>1669</v>
      </c>
      <c r="G3061" s="4" t="s">
        <v>336</v>
      </c>
      <c r="H3061" s="4" t="s">
        <v>289</v>
      </c>
      <c r="I3061" s="4">
        <v>0.5</v>
      </c>
      <c r="J3061" s="21">
        <v>250</v>
      </c>
      <c r="K3061" s="21">
        <v>0</v>
      </c>
      <c r="L3061" s="5">
        <v>0</v>
      </c>
      <c r="M3061" s="4"/>
      <c r="N3061" s="4"/>
      <c r="O3061" s="5"/>
      <c r="P3061" s="5"/>
      <c r="Q3061" s="21">
        <v>125</v>
      </c>
      <c r="R3061" s="21">
        <v>0</v>
      </c>
      <c r="S3061" s="5">
        <f t="shared" si="191"/>
        <v>48126.189120152005</v>
      </c>
      <c r="T3061" cm="1">
        <f t="array" ref="T3061">IF(OR(B3061="MAL ALIMI", B3061="ÜRETİM GİRİŞ"), MIN(I3061, MAX(0, I3061 + SUM(SUMIFS($I$1:I3060, $C$1:C3060, C3061, $B$1:B3060, {"MAL ALIMI","ÜRETİM GİRİŞ"})) - VLOOKUP(C3061, 'STOK RAPORU'!$C$2:$I$1000, 4, 0))), 0)</f>
        <v>0</v>
      </c>
      <c r="U3061" s="22">
        <f t="shared" si="188"/>
        <v>0</v>
      </c>
      <c r="V3061">
        <f t="shared" si="189"/>
        <v>0</v>
      </c>
      <c r="W3061" s="22">
        <f t="shared" si="190"/>
        <v>0</v>
      </c>
    </row>
    <row r="3062" spans="1:23" hidden="1" x14ac:dyDescent="0.25">
      <c r="A3062" s="3">
        <v>46031</v>
      </c>
      <c r="B3062" s="4" t="s">
        <v>334</v>
      </c>
      <c r="C3062" s="4" t="s">
        <v>1634</v>
      </c>
      <c r="D3062" s="4"/>
      <c r="E3062" s="4"/>
      <c r="F3062" s="4" t="s">
        <v>1670</v>
      </c>
      <c r="G3062" s="4" t="s">
        <v>336</v>
      </c>
      <c r="H3062" s="4" t="s">
        <v>289</v>
      </c>
      <c r="I3062" s="4">
        <v>1</v>
      </c>
      <c r="J3062" s="21">
        <v>300</v>
      </c>
      <c r="K3062" s="21">
        <v>0</v>
      </c>
      <c r="L3062" s="5">
        <v>0</v>
      </c>
      <c r="M3062" s="4"/>
      <c r="N3062" s="4"/>
      <c r="O3062" s="5"/>
      <c r="P3062" s="5"/>
      <c r="Q3062" s="21">
        <v>300</v>
      </c>
      <c r="R3062" s="21">
        <v>0</v>
      </c>
      <c r="S3062" s="5">
        <f t="shared" si="191"/>
        <v>48426.189120152005</v>
      </c>
      <c r="T3062" cm="1">
        <f t="array" ref="T3062">IF(OR(B3062="MAL ALIMI", B3062="ÜRETİM GİRİŞ"), MIN(I3062, MAX(0, I3062 + SUM(SUMIFS($I$1:I3061, $C$1:C3061, C3062, $B$1:B3061, {"MAL ALIMI","ÜRETİM GİRİŞ"})) - VLOOKUP(C3062, 'STOK RAPORU'!$C$2:$I$1000, 4, 0))), 0)</f>
        <v>0</v>
      </c>
      <c r="U3062" s="22">
        <f t="shared" si="188"/>
        <v>0</v>
      </c>
      <c r="V3062">
        <f t="shared" si="189"/>
        <v>0</v>
      </c>
      <c r="W3062" s="22">
        <f t="shared" si="190"/>
        <v>0</v>
      </c>
    </row>
    <row r="3063" spans="1:23" hidden="1" x14ac:dyDescent="0.25">
      <c r="A3063" s="3">
        <v>46031</v>
      </c>
      <c r="B3063" s="4" t="s">
        <v>334</v>
      </c>
      <c r="C3063" s="4" t="s">
        <v>717</v>
      </c>
      <c r="D3063" s="4"/>
      <c r="E3063" s="4" t="s">
        <v>921</v>
      </c>
      <c r="F3063" s="4" t="s">
        <v>1671</v>
      </c>
      <c r="G3063" s="4" t="s">
        <v>336</v>
      </c>
      <c r="H3063" s="4" t="s">
        <v>380</v>
      </c>
      <c r="I3063" s="4">
        <v>1</v>
      </c>
      <c r="J3063" s="21">
        <v>350</v>
      </c>
      <c r="K3063" s="21">
        <v>350</v>
      </c>
      <c r="L3063" s="5">
        <v>0</v>
      </c>
      <c r="M3063" s="4"/>
      <c r="N3063" s="4"/>
      <c r="O3063" s="5"/>
      <c r="P3063" s="5"/>
      <c r="Q3063" s="21">
        <v>0</v>
      </c>
      <c r="R3063" s="21">
        <v>0</v>
      </c>
      <c r="S3063" s="5">
        <f t="shared" si="191"/>
        <v>48426.189120152005</v>
      </c>
      <c r="T3063" cm="1">
        <f t="array" ref="T3063">IF(OR(B3063="MAL ALIMI", B3063="ÜRETİM GİRİŞ"), MIN(I3063, MAX(0, I3063 + SUM(SUMIFS($I$1:I3062, $C$1:C3062, C3063, $B$1:B3062, {"MAL ALIMI","ÜRETİM GİRİŞ"})) - VLOOKUP(C3063, 'STOK RAPORU'!$C$2:$I$1000, 4, 0))), 0)</f>
        <v>0</v>
      </c>
      <c r="U3063" s="22">
        <f t="shared" si="188"/>
        <v>0</v>
      </c>
      <c r="V3063">
        <f t="shared" si="189"/>
        <v>0</v>
      </c>
      <c r="W3063" s="22">
        <f t="shared" si="190"/>
        <v>0</v>
      </c>
    </row>
    <row r="3064" spans="1:23" hidden="1" x14ac:dyDescent="0.25">
      <c r="A3064" s="3">
        <v>46031</v>
      </c>
      <c r="B3064" s="4" t="s">
        <v>334</v>
      </c>
      <c r="C3064" s="4" t="s">
        <v>223</v>
      </c>
      <c r="D3064" s="4"/>
      <c r="E3064" s="4" t="s">
        <v>921</v>
      </c>
      <c r="F3064" s="4" t="s">
        <v>1672</v>
      </c>
      <c r="G3064" s="4" t="s">
        <v>336</v>
      </c>
      <c r="H3064" s="4" t="s">
        <v>380</v>
      </c>
      <c r="I3064" s="4">
        <v>0.11749999999999999</v>
      </c>
      <c r="J3064" s="21">
        <v>800</v>
      </c>
      <c r="K3064" s="21">
        <v>94</v>
      </c>
      <c r="L3064" s="5">
        <v>0</v>
      </c>
      <c r="M3064" s="4"/>
      <c r="N3064" s="4"/>
      <c r="O3064" s="5"/>
      <c r="P3064" s="5"/>
      <c r="Q3064" s="21">
        <v>0</v>
      </c>
      <c r="R3064" s="21">
        <v>0</v>
      </c>
      <c r="S3064" s="5">
        <f t="shared" si="191"/>
        <v>48426.189120152005</v>
      </c>
      <c r="T3064" cm="1">
        <f t="array" ref="T3064">IF(OR(B3064="MAL ALIMI", B3064="ÜRETİM GİRİŞ"), MIN(I3064, MAX(0, I3064 + SUM(SUMIFS($I$1:I3063, $C$1:C3063, C3064, $B$1:B3063, {"MAL ALIMI","ÜRETİM GİRİŞ"})) - VLOOKUP(C3064, 'STOK RAPORU'!$C$2:$I$1000, 4, 0))), 0)</f>
        <v>0</v>
      </c>
      <c r="U3064" s="22">
        <f t="shared" si="188"/>
        <v>0</v>
      </c>
      <c r="V3064">
        <f t="shared" si="189"/>
        <v>0</v>
      </c>
      <c r="W3064" s="22">
        <f t="shared" si="190"/>
        <v>0</v>
      </c>
    </row>
    <row r="3065" spans="1:23" hidden="1" x14ac:dyDescent="0.25">
      <c r="A3065" s="3">
        <v>46031</v>
      </c>
      <c r="B3065" s="4" t="s">
        <v>334</v>
      </c>
      <c r="C3065" s="4" t="s">
        <v>1357</v>
      </c>
      <c r="D3065" s="4"/>
      <c r="E3065" s="4" t="s">
        <v>921</v>
      </c>
      <c r="F3065" s="4" t="s">
        <v>1672</v>
      </c>
      <c r="G3065" s="4" t="s">
        <v>336</v>
      </c>
      <c r="H3065" s="4" t="s">
        <v>380</v>
      </c>
      <c r="I3065" s="4">
        <v>7.3684210526315783E-2</v>
      </c>
      <c r="J3065" s="21">
        <v>570</v>
      </c>
      <c r="K3065" s="21">
        <v>41.999999999999993</v>
      </c>
      <c r="L3065" s="5">
        <v>0</v>
      </c>
      <c r="M3065" s="4"/>
      <c r="N3065" s="4"/>
      <c r="O3065" s="5"/>
      <c r="P3065" s="5"/>
      <c r="Q3065" s="21">
        <v>0</v>
      </c>
      <c r="R3065" s="21">
        <v>0</v>
      </c>
      <c r="S3065" s="5">
        <f t="shared" si="191"/>
        <v>48426.189120152005</v>
      </c>
      <c r="T3065" cm="1">
        <f t="array" ref="T3065">IF(OR(B3065="MAL ALIMI", B3065="ÜRETİM GİRİŞ"), MIN(I3065, MAX(0, I3065 + SUM(SUMIFS($I$1:I3064, $C$1:C3064, C3065, $B$1:B3064, {"MAL ALIMI","ÜRETİM GİRİŞ"})) - VLOOKUP(C3065, 'STOK RAPORU'!$C$2:$I$1000, 4, 0))), 0)</f>
        <v>0</v>
      </c>
      <c r="U3065" s="22">
        <f t="shared" si="188"/>
        <v>0</v>
      </c>
      <c r="V3065">
        <f t="shared" si="189"/>
        <v>0</v>
      </c>
      <c r="W3065" s="22">
        <f t="shared" si="190"/>
        <v>0</v>
      </c>
    </row>
    <row r="3066" spans="1:23" hidden="1" x14ac:dyDescent="0.25">
      <c r="A3066" s="3">
        <v>46031</v>
      </c>
      <c r="B3066" s="4" t="s">
        <v>334</v>
      </c>
      <c r="C3066" s="4" t="s">
        <v>728</v>
      </c>
      <c r="D3066" s="4"/>
      <c r="E3066" s="4" t="s">
        <v>921</v>
      </c>
      <c r="F3066" s="4" t="s">
        <v>1672</v>
      </c>
      <c r="G3066" s="4" t="s">
        <v>336</v>
      </c>
      <c r="H3066" s="4" t="s">
        <v>380</v>
      </c>
      <c r="I3066" s="4">
        <v>0.16521739130434782</v>
      </c>
      <c r="J3066" s="21">
        <v>690</v>
      </c>
      <c r="K3066" s="21">
        <v>114</v>
      </c>
      <c r="L3066" s="5">
        <v>0</v>
      </c>
      <c r="M3066" s="4"/>
      <c r="N3066" s="4"/>
      <c r="O3066" s="5"/>
      <c r="P3066" s="5"/>
      <c r="Q3066" s="21">
        <v>0</v>
      </c>
      <c r="R3066" s="21">
        <v>0</v>
      </c>
      <c r="S3066" s="5">
        <f t="shared" si="191"/>
        <v>48426.189120152005</v>
      </c>
      <c r="T3066" cm="1">
        <f t="array" ref="T3066">IF(OR(B3066="MAL ALIMI", B3066="ÜRETİM GİRİŞ"), MIN(I3066, MAX(0, I3066 + SUM(SUMIFS($I$1:I3065, $C$1:C3065, C3066, $B$1:B3065, {"MAL ALIMI","ÜRETİM GİRİŞ"})) - VLOOKUP(C3066, 'STOK RAPORU'!$C$2:$I$1000, 4, 0))), 0)</f>
        <v>0</v>
      </c>
      <c r="U3066" s="22">
        <f t="shared" si="188"/>
        <v>0</v>
      </c>
      <c r="V3066">
        <f t="shared" si="189"/>
        <v>0</v>
      </c>
      <c r="W3066" s="22">
        <f t="shared" si="190"/>
        <v>0</v>
      </c>
    </row>
    <row r="3067" spans="1:23" hidden="1" x14ac:dyDescent="0.25">
      <c r="A3067" s="3">
        <v>46031</v>
      </c>
      <c r="B3067" s="4" t="s">
        <v>334</v>
      </c>
      <c r="C3067" s="4" t="s">
        <v>253</v>
      </c>
      <c r="D3067" s="4"/>
      <c r="E3067" s="4" t="s">
        <v>921</v>
      </c>
      <c r="F3067" s="4" t="s">
        <v>1672</v>
      </c>
      <c r="G3067" s="4" t="s">
        <v>336</v>
      </c>
      <c r="H3067" s="4" t="s">
        <v>380</v>
      </c>
      <c r="I3067" s="4">
        <v>0.21</v>
      </c>
      <c r="J3067" s="21">
        <v>240</v>
      </c>
      <c r="K3067" s="21">
        <v>50.4</v>
      </c>
      <c r="L3067" s="5">
        <v>0</v>
      </c>
      <c r="M3067" s="4"/>
      <c r="N3067" s="4"/>
      <c r="O3067" s="5"/>
      <c r="P3067" s="5"/>
      <c r="Q3067" s="21">
        <v>0</v>
      </c>
      <c r="R3067" s="21">
        <v>0</v>
      </c>
      <c r="S3067" s="5">
        <f t="shared" si="191"/>
        <v>48426.189120152005</v>
      </c>
      <c r="T3067" cm="1">
        <f t="array" ref="T3067">IF(OR(B3067="MAL ALIMI", B3067="ÜRETİM GİRİŞ"), MIN(I3067, MAX(0, I3067 + SUM(SUMIFS($I$1:I3066, $C$1:C3066, C3067, $B$1:B3066, {"MAL ALIMI","ÜRETİM GİRİŞ"})) - VLOOKUP(C3067, 'STOK RAPORU'!$C$2:$I$1000, 4, 0))), 0)</f>
        <v>0</v>
      </c>
      <c r="U3067" s="22">
        <f t="shared" si="188"/>
        <v>0</v>
      </c>
      <c r="V3067">
        <f t="shared" si="189"/>
        <v>0</v>
      </c>
      <c r="W3067" s="22">
        <f t="shared" si="190"/>
        <v>0</v>
      </c>
    </row>
    <row r="3068" spans="1:23" hidden="1" x14ac:dyDescent="0.25">
      <c r="A3068" s="3">
        <v>46031</v>
      </c>
      <c r="B3068" s="4" t="s">
        <v>334</v>
      </c>
      <c r="C3068" s="4" t="s">
        <v>651</v>
      </c>
      <c r="D3068" s="4"/>
      <c r="E3068" s="4" t="s">
        <v>921</v>
      </c>
      <c r="F3068" s="4" t="s">
        <v>1673</v>
      </c>
      <c r="G3068" s="4" t="s">
        <v>336</v>
      </c>
      <c r="H3068" s="4" t="s">
        <v>380</v>
      </c>
      <c r="I3068" s="4">
        <v>1</v>
      </c>
      <c r="J3068" s="21">
        <v>400</v>
      </c>
      <c r="K3068" s="21">
        <v>400</v>
      </c>
      <c r="L3068" s="5">
        <v>0</v>
      </c>
      <c r="M3068" s="4"/>
      <c r="N3068" s="4"/>
      <c r="O3068" s="5"/>
      <c r="P3068" s="5"/>
      <c r="Q3068" s="21">
        <v>0</v>
      </c>
      <c r="R3068" s="21">
        <v>0</v>
      </c>
      <c r="S3068" s="5">
        <f t="shared" si="191"/>
        <v>48426.189120152005</v>
      </c>
      <c r="T3068" cm="1">
        <f t="array" ref="T3068">IF(OR(B3068="MAL ALIMI", B3068="ÜRETİM GİRİŞ"), MIN(I3068, MAX(0, I3068 + SUM(SUMIFS($I$1:I3067, $C$1:C3067, C3068, $B$1:B3067, {"MAL ALIMI","ÜRETİM GİRİŞ"})) - VLOOKUP(C3068, 'STOK RAPORU'!$C$2:$I$1000, 4, 0))), 0)</f>
        <v>0</v>
      </c>
      <c r="U3068" s="22">
        <f t="shared" si="188"/>
        <v>0</v>
      </c>
      <c r="V3068">
        <f t="shared" si="189"/>
        <v>0</v>
      </c>
      <c r="W3068" s="22">
        <f t="shared" si="190"/>
        <v>0</v>
      </c>
    </row>
    <row r="3069" spans="1:23" hidden="1" x14ac:dyDescent="0.25">
      <c r="A3069" s="3">
        <v>46031</v>
      </c>
      <c r="B3069" s="4" t="s">
        <v>334</v>
      </c>
      <c r="C3069" s="4" t="s">
        <v>132</v>
      </c>
      <c r="D3069" s="4"/>
      <c r="E3069" s="4" t="s">
        <v>921</v>
      </c>
      <c r="F3069" s="4" t="s">
        <v>1674</v>
      </c>
      <c r="G3069" s="4" t="s">
        <v>336</v>
      </c>
      <c r="H3069" s="4" t="s">
        <v>380</v>
      </c>
      <c r="I3069" s="4">
        <v>0.5</v>
      </c>
      <c r="J3069" s="21">
        <v>500</v>
      </c>
      <c r="K3069" s="21">
        <v>250</v>
      </c>
      <c r="L3069" s="5">
        <v>0</v>
      </c>
      <c r="M3069" s="4"/>
      <c r="N3069" s="4"/>
      <c r="O3069" s="5"/>
      <c r="P3069" s="5"/>
      <c r="Q3069" s="21">
        <v>0</v>
      </c>
      <c r="R3069" s="21">
        <v>0</v>
      </c>
      <c r="S3069" s="5">
        <f t="shared" si="191"/>
        <v>48426.189120152005</v>
      </c>
      <c r="T3069" cm="1">
        <f t="array" ref="T3069">IF(OR(B3069="MAL ALIMI", B3069="ÜRETİM GİRİŞ"), MIN(I3069, MAX(0, I3069 + SUM(SUMIFS($I$1:I3068, $C$1:C3068, C3069, $B$1:B3068, {"MAL ALIMI","ÜRETİM GİRİŞ"})) - VLOOKUP(C3069, 'STOK RAPORU'!$C$2:$I$1000, 4, 0))), 0)</f>
        <v>0</v>
      </c>
      <c r="U3069" s="22">
        <f t="shared" si="188"/>
        <v>0</v>
      </c>
      <c r="V3069">
        <f t="shared" si="189"/>
        <v>0</v>
      </c>
      <c r="W3069" s="22">
        <f t="shared" si="190"/>
        <v>0</v>
      </c>
    </row>
    <row r="3070" spans="1:23" hidden="1" x14ac:dyDescent="0.25">
      <c r="A3070" s="3">
        <v>46031</v>
      </c>
      <c r="B3070" s="4" t="s">
        <v>334</v>
      </c>
      <c r="C3070" s="4" t="s">
        <v>168</v>
      </c>
      <c r="D3070" s="4"/>
      <c r="E3070" s="4" t="s">
        <v>921</v>
      </c>
      <c r="F3070" s="4" t="s">
        <v>1675</v>
      </c>
      <c r="G3070" s="4" t="s">
        <v>336</v>
      </c>
      <c r="H3070" s="4" t="s">
        <v>380</v>
      </c>
      <c r="I3070" s="4">
        <v>1</v>
      </c>
      <c r="J3070" s="21">
        <v>230</v>
      </c>
      <c r="K3070" s="21">
        <v>230</v>
      </c>
      <c r="L3070" s="5">
        <v>0</v>
      </c>
      <c r="M3070" s="4"/>
      <c r="N3070" s="4"/>
      <c r="O3070" s="5"/>
      <c r="P3070" s="5"/>
      <c r="Q3070" s="21">
        <v>0</v>
      </c>
      <c r="R3070" s="21">
        <v>0</v>
      </c>
      <c r="S3070" s="5">
        <f t="shared" si="191"/>
        <v>48426.189120152005</v>
      </c>
      <c r="T3070" cm="1">
        <f t="array" ref="T3070">IF(OR(B3070="MAL ALIMI", B3070="ÜRETİM GİRİŞ"), MIN(I3070, MAX(0, I3070 + SUM(SUMIFS($I$1:I3069, $C$1:C3069, C3070, $B$1:B3069, {"MAL ALIMI","ÜRETİM GİRİŞ"})) - VLOOKUP(C3070, 'STOK RAPORU'!$C$2:$I$1000, 4, 0))), 0)</f>
        <v>0</v>
      </c>
      <c r="U3070" s="22">
        <f t="shared" si="188"/>
        <v>0</v>
      </c>
      <c r="V3070">
        <f t="shared" si="189"/>
        <v>0</v>
      </c>
      <c r="W3070" s="22">
        <f t="shared" si="190"/>
        <v>0</v>
      </c>
    </row>
    <row r="3071" spans="1:23" hidden="1" x14ac:dyDescent="0.25">
      <c r="A3071" s="3">
        <v>46031</v>
      </c>
      <c r="B3071" s="4" t="s">
        <v>334</v>
      </c>
      <c r="C3071" s="4" t="s">
        <v>60</v>
      </c>
      <c r="D3071" s="4"/>
      <c r="E3071" s="4" t="s">
        <v>921</v>
      </c>
      <c r="F3071" s="4" t="s">
        <v>1675</v>
      </c>
      <c r="G3071" s="4" t="s">
        <v>336</v>
      </c>
      <c r="H3071" s="4" t="s">
        <v>380</v>
      </c>
      <c r="I3071" s="4">
        <v>0.05</v>
      </c>
      <c r="J3071" s="21">
        <v>1200</v>
      </c>
      <c r="K3071" s="21">
        <v>60</v>
      </c>
      <c r="L3071" s="5">
        <v>0</v>
      </c>
      <c r="M3071" s="4"/>
      <c r="N3071" s="4"/>
      <c r="O3071" s="5"/>
      <c r="P3071" s="5"/>
      <c r="Q3071" s="21">
        <v>0</v>
      </c>
      <c r="R3071" s="21">
        <v>0</v>
      </c>
      <c r="S3071" s="5">
        <f t="shared" si="191"/>
        <v>48426.189120152005</v>
      </c>
      <c r="T3071" cm="1">
        <f t="array" ref="T3071">IF(OR(B3071="MAL ALIMI", B3071="ÜRETİM GİRİŞ"), MIN(I3071, MAX(0, I3071 + SUM(SUMIFS($I$1:I3070, $C$1:C3070, C3071, $B$1:B3070, {"MAL ALIMI","ÜRETİM GİRİŞ"})) - VLOOKUP(C3071, 'STOK RAPORU'!$C$2:$I$1000, 4, 0))), 0)</f>
        <v>0</v>
      </c>
      <c r="U3071" s="22">
        <f t="shared" si="188"/>
        <v>0</v>
      </c>
      <c r="V3071">
        <f t="shared" si="189"/>
        <v>0</v>
      </c>
      <c r="W3071" s="22">
        <f t="shared" si="190"/>
        <v>0</v>
      </c>
    </row>
    <row r="3072" spans="1:23" hidden="1" x14ac:dyDescent="0.25">
      <c r="A3072" s="3">
        <v>46031</v>
      </c>
      <c r="B3072" s="4" t="s">
        <v>334</v>
      </c>
      <c r="C3072" s="4" t="s">
        <v>1443</v>
      </c>
      <c r="D3072" s="4"/>
      <c r="E3072" s="4"/>
      <c r="F3072" s="4" t="s">
        <v>1675</v>
      </c>
      <c r="G3072" s="4" t="s">
        <v>336</v>
      </c>
      <c r="H3072" s="4" t="s">
        <v>289</v>
      </c>
      <c r="I3072" s="4">
        <v>1</v>
      </c>
      <c r="J3072" s="21">
        <v>10</v>
      </c>
      <c r="K3072" s="21">
        <v>0</v>
      </c>
      <c r="L3072" s="5">
        <v>0</v>
      </c>
      <c r="M3072" s="4"/>
      <c r="N3072" s="4"/>
      <c r="O3072" s="5"/>
      <c r="P3072" s="5"/>
      <c r="Q3072" s="21">
        <v>10</v>
      </c>
      <c r="R3072" s="21">
        <v>0</v>
      </c>
      <c r="S3072" s="5">
        <f t="shared" si="191"/>
        <v>48436.189120152005</v>
      </c>
      <c r="T3072" cm="1">
        <f t="array" ref="T3072">IF(OR(B3072="MAL ALIMI", B3072="ÜRETİM GİRİŞ"), MIN(I3072, MAX(0, I3072 + SUM(SUMIFS($I$1:I3071, $C$1:C3071, C3072, $B$1:B3071, {"MAL ALIMI","ÜRETİM GİRİŞ"})) - VLOOKUP(C3072, 'STOK RAPORU'!$C$2:$I$1000, 4, 0))), 0)</f>
        <v>0</v>
      </c>
      <c r="U3072" s="22">
        <f t="shared" si="188"/>
        <v>0</v>
      </c>
      <c r="V3072">
        <f t="shared" si="189"/>
        <v>0</v>
      </c>
      <c r="W3072" s="22">
        <f t="shared" si="190"/>
        <v>0</v>
      </c>
    </row>
    <row r="3073" spans="1:23" hidden="1" x14ac:dyDescent="0.25">
      <c r="A3073" s="3">
        <v>46031</v>
      </c>
      <c r="B3073" s="4" t="s">
        <v>334</v>
      </c>
      <c r="C3073" s="4" t="s">
        <v>91</v>
      </c>
      <c r="D3073" s="4"/>
      <c r="E3073" s="4"/>
      <c r="F3073" s="4" t="s">
        <v>1676</v>
      </c>
      <c r="G3073" s="4" t="s">
        <v>336</v>
      </c>
      <c r="H3073" s="4" t="s">
        <v>289</v>
      </c>
      <c r="I3073" s="4">
        <v>8.2000000000000003E-2</v>
      </c>
      <c r="J3073" s="21">
        <v>760</v>
      </c>
      <c r="K3073" s="21">
        <v>0</v>
      </c>
      <c r="L3073" s="5">
        <v>0</v>
      </c>
      <c r="M3073" s="4"/>
      <c r="N3073" s="4"/>
      <c r="O3073" s="5"/>
      <c r="P3073" s="5"/>
      <c r="Q3073" s="21">
        <v>62.32</v>
      </c>
      <c r="R3073" s="21">
        <v>0</v>
      </c>
      <c r="S3073" s="5">
        <f t="shared" si="191"/>
        <v>48498.509120152004</v>
      </c>
      <c r="T3073" cm="1">
        <f t="array" ref="T3073">IF(OR(B3073="MAL ALIMI", B3073="ÜRETİM GİRİŞ"), MIN(I3073, MAX(0, I3073 + SUM(SUMIFS($I$1:I3072, $C$1:C3072, C3073, $B$1:B3072, {"MAL ALIMI","ÜRETİM GİRİŞ"})) - VLOOKUP(C3073, 'STOK RAPORU'!$C$2:$I$1000, 4, 0))), 0)</f>
        <v>0</v>
      </c>
      <c r="U3073" s="22">
        <f t="shared" si="188"/>
        <v>0</v>
      </c>
      <c r="V3073">
        <f t="shared" si="189"/>
        <v>0</v>
      </c>
      <c r="W3073" s="22">
        <f t="shared" si="190"/>
        <v>0</v>
      </c>
    </row>
    <row r="3074" spans="1:23" hidden="1" x14ac:dyDescent="0.25">
      <c r="A3074" s="3">
        <v>46031</v>
      </c>
      <c r="B3074" s="4" t="s">
        <v>334</v>
      </c>
      <c r="C3074" s="4" t="s">
        <v>131</v>
      </c>
      <c r="D3074" s="4"/>
      <c r="E3074" s="4"/>
      <c r="F3074" s="4" t="s">
        <v>1676</v>
      </c>
      <c r="G3074" s="4" t="s">
        <v>336</v>
      </c>
      <c r="H3074" s="4" t="s">
        <v>289</v>
      </c>
      <c r="I3074" s="4">
        <v>9.8000000000000004E-2</v>
      </c>
      <c r="J3074" s="21">
        <v>400</v>
      </c>
      <c r="K3074" s="21">
        <v>0</v>
      </c>
      <c r="L3074" s="5">
        <v>0</v>
      </c>
      <c r="M3074" s="4"/>
      <c r="N3074" s="4"/>
      <c r="O3074" s="5"/>
      <c r="P3074" s="5"/>
      <c r="Q3074" s="21">
        <v>39.200000000000003</v>
      </c>
      <c r="R3074" s="21">
        <v>0</v>
      </c>
      <c r="S3074" s="5">
        <f t="shared" si="191"/>
        <v>48537.709120152002</v>
      </c>
      <c r="T3074" cm="1">
        <f t="array" ref="T3074">IF(OR(B3074="MAL ALIMI", B3074="ÜRETİM GİRİŞ"), MIN(I3074, MAX(0, I3074 + SUM(SUMIFS($I$1:I3073, $C$1:C3073, C3074, $B$1:B3073, {"MAL ALIMI","ÜRETİM GİRİŞ"})) - VLOOKUP(C3074, 'STOK RAPORU'!$C$2:$I$1000, 4, 0))), 0)</f>
        <v>0</v>
      </c>
      <c r="U3074" s="22">
        <f t="shared" ref="U3074:U3136" si="192">T3074*J3074</f>
        <v>0</v>
      </c>
      <c r="V3074">
        <f t="shared" ref="V3074:V3136" si="193">IF(OR(B3074="MAL ALIMI", B3074="ÜRETİM GİRİŞ"), I3074 * J3074, 0)</f>
        <v>0</v>
      </c>
      <c r="W3074" s="22">
        <f t="shared" ref="W3074:W3136" si="194">V3074-U3074</f>
        <v>0</v>
      </c>
    </row>
    <row r="3075" spans="1:23" hidden="1" x14ac:dyDescent="0.25">
      <c r="A3075" s="3">
        <v>46031</v>
      </c>
      <c r="B3075" s="4" t="s">
        <v>334</v>
      </c>
      <c r="C3075" s="4" t="s">
        <v>133</v>
      </c>
      <c r="D3075" s="4"/>
      <c r="E3075" s="4" t="s">
        <v>921</v>
      </c>
      <c r="F3075" s="4" t="s">
        <v>1677</v>
      </c>
      <c r="G3075" s="4" t="s">
        <v>336</v>
      </c>
      <c r="H3075" s="4" t="s">
        <v>380</v>
      </c>
      <c r="I3075" s="4">
        <v>0.25800000000000001</v>
      </c>
      <c r="J3075" s="21">
        <v>350</v>
      </c>
      <c r="K3075" s="21">
        <v>90.3</v>
      </c>
      <c r="L3075" s="5">
        <v>0</v>
      </c>
      <c r="M3075" s="4"/>
      <c r="N3075" s="4"/>
      <c r="O3075" s="5"/>
      <c r="P3075" s="5"/>
      <c r="Q3075" s="21">
        <v>0</v>
      </c>
      <c r="R3075" s="21">
        <v>0</v>
      </c>
      <c r="S3075" s="5">
        <f t="shared" si="191"/>
        <v>48537.709120152002</v>
      </c>
      <c r="T3075" cm="1">
        <f t="array" ref="T3075">IF(OR(B3075="MAL ALIMI", B3075="ÜRETİM GİRİŞ"), MIN(I3075, MAX(0, I3075 + SUM(SUMIFS($I$1:I3074, $C$1:C3074, C3075, $B$1:B3074, {"MAL ALIMI","ÜRETİM GİRİŞ"})) - VLOOKUP(C3075, 'STOK RAPORU'!$C$2:$I$1000, 4, 0))), 0)</f>
        <v>0</v>
      </c>
      <c r="U3075" s="22">
        <f t="shared" si="192"/>
        <v>0</v>
      </c>
      <c r="V3075">
        <f t="shared" si="193"/>
        <v>0</v>
      </c>
      <c r="W3075" s="22">
        <f t="shared" si="194"/>
        <v>0</v>
      </c>
    </row>
    <row r="3076" spans="1:23" hidden="1" x14ac:dyDescent="0.25">
      <c r="A3076" s="3">
        <v>46031</v>
      </c>
      <c r="B3076" s="4" t="s">
        <v>334</v>
      </c>
      <c r="C3076" s="4" t="s">
        <v>92</v>
      </c>
      <c r="D3076" s="4"/>
      <c r="E3076" s="4" t="s">
        <v>921</v>
      </c>
      <c r="F3076" s="4" t="s">
        <v>1677</v>
      </c>
      <c r="G3076" s="4" t="s">
        <v>336</v>
      </c>
      <c r="H3076" s="4" t="s">
        <v>380</v>
      </c>
      <c r="I3076" s="4">
        <v>0.14799999999999999</v>
      </c>
      <c r="J3076" s="21">
        <v>450</v>
      </c>
      <c r="K3076" s="21">
        <v>66.599999999999994</v>
      </c>
      <c r="L3076" s="5">
        <v>0</v>
      </c>
      <c r="M3076" s="4"/>
      <c r="N3076" s="4"/>
      <c r="O3076" s="5"/>
      <c r="P3076" s="5"/>
      <c r="Q3076" s="21">
        <v>0</v>
      </c>
      <c r="R3076" s="21">
        <v>0</v>
      </c>
      <c r="S3076" s="5">
        <f t="shared" ref="S3076:S3139" si="195">S3075+Q3076-R3076</f>
        <v>48537.709120152002</v>
      </c>
      <c r="T3076" cm="1">
        <f t="array" ref="T3076">IF(OR(B3076="MAL ALIMI", B3076="ÜRETİM GİRİŞ"), MIN(I3076, MAX(0, I3076 + SUM(SUMIFS($I$1:I3075, $C$1:C3075, C3076, $B$1:B3075, {"MAL ALIMI","ÜRETİM GİRİŞ"})) - VLOOKUP(C3076, 'STOK RAPORU'!$C$2:$I$1000, 4, 0))), 0)</f>
        <v>0</v>
      </c>
      <c r="U3076" s="22">
        <f t="shared" si="192"/>
        <v>0</v>
      </c>
      <c r="V3076">
        <f t="shared" si="193"/>
        <v>0</v>
      </c>
      <c r="W3076" s="22">
        <f t="shared" si="194"/>
        <v>0</v>
      </c>
    </row>
    <row r="3077" spans="1:23" hidden="1" x14ac:dyDescent="0.25">
      <c r="A3077" s="3">
        <v>46031</v>
      </c>
      <c r="B3077" s="4" t="s">
        <v>334</v>
      </c>
      <c r="C3077" s="4" t="s">
        <v>129</v>
      </c>
      <c r="D3077" s="4"/>
      <c r="E3077" s="4" t="s">
        <v>921</v>
      </c>
      <c r="F3077" s="4" t="s">
        <v>1677</v>
      </c>
      <c r="G3077" s="4" t="s">
        <v>336</v>
      </c>
      <c r="H3077" s="4" t="s">
        <v>380</v>
      </c>
      <c r="I3077" s="4">
        <v>0.16600000000000001</v>
      </c>
      <c r="J3077" s="21">
        <v>350</v>
      </c>
      <c r="K3077" s="21">
        <v>58.1</v>
      </c>
      <c r="L3077" s="5">
        <v>0</v>
      </c>
      <c r="M3077" s="4"/>
      <c r="N3077" s="4"/>
      <c r="O3077" s="5"/>
      <c r="P3077" s="5"/>
      <c r="Q3077" s="21">
        <v>0</v>
      </c>
      <c r="R3077" s="21">
        <v>0</v>
      </c>
      <c r="S3077" s="5">
        <f t="shared" si="195"/>
        <v>48537.709120152002</v>
      </c>
      <c r="T3077" cm="1">
        <f t="array" ref="T3077">IF(OR(B3077="MAL ALIMI", B3077="ÜRETİM GİRİŞ"), MIN(I3077, MAX(0, I3077 + SUM(SUMIFS($I$1:I3076, $C$1:C3076, C3077, $B$1:B3076, {"MAL ALIMI","ÜRETİM GİRİŞ"})) - VLOOKUP(C3077, 'STOK RAPORU'!$C$2:$I$1000, 4, 0))), 0)</f>
        <v>0</v>
      </c>
      <c r="U3077" s="22">
        <f t="shared" si="192"/>
        <v>0</v>
      </c>
      <c r="V3077">
        <f t="shared" si="193"/>
        <v>0</v>
      </c>
      <c r="W3077" s="22">
        <f t="shared" si="194"/>
        <v>0</v>
      </c>
    </row>
    <row r="3078" spans="1:23" hidden="1" x14ac:dyDescent="0.25">
      <c r="A3078" s="3">
        <v>46031</v>
      </c>
      <c r="B3078" s="4" t="s">
        <v>334</v>
      </c>
      <c r="C3078" s="4" t="s">
        <v>131</v>
      </c>
      <c r="D3078" s="4"/>
      <c r="E3078" s="4" t="s">
        <v>921</v>
      </c>
      <c r="F3078" s="4" t="s">
        <v>1677</v>
      </c>
      <c r="G3078" s="4" t="s">
        <v>336</v>
      </c>
      <c r="H3078" s="4" t="s">
        <v>380</v>
      </c>
      <c r="I3078" s="4">
        <v>6.4000000000000001E-2</v>
      </c>
      <c r="J3078" s="21">
        <v>300</v>
      </c>
      <c r="K3078" s="21">
        <v>19.2</v>
      </c>
      <c r="L3078" s="5">
        <v>0</v>
      </c>
      <c r="M3078" s="4"/>
      <c r="N3078" s="4"/>
      <c r="O3078" s="5"/>
      <c r="P3078" s="5"/>
      <c r="Q3078" s="21">
        <v>0</v>
      </c>
      <c r="R3078" s="21">
        <v>0</v>
      </c>
      <c r="S3078" s="5">
        <f t="shared" si="195"/>
        <v>48537.709120152002</v>
      </c>
      <c r="T3078" cm="1">
        <f t="array" ref="T3078">IF(OR(B3078="MAL ALIMI", B3078="ÜRETİM GİRİŞ"), MIN(I3078, MAX(0, I3078 + SUM(SUMIFS($I$1:I3077, $C$1:C3077, C3078, $B$1:B3077, {"MAL ALIMI","ÜRETİM GİRİŞ"})) - VLOOKUP(C3078, 'STOK RAPORU'!$C$2:$I$1000, 4, 0))), 0)</f>
        <v>0</v>
      </c>
      <c r="U3078" s="22">
        <f t="shared" si="192"/>
        <v>0</v>
      </c>
      <c r="V3078">
        <f t="shared" si="193"/>
        <v>0</v>
      </c>
      <c r="W3078" s="22">
        <f t="shared" si="194"/>
        <v>0</v>
      </c>
    </row>
    <row r="3079" spans="1:23" hidden="1" x14ac:dyDescent="0.25">
      <c r="A3079" s="3">
        <v>46031</v>
      </c>
      <c r="B3079" s="4" t="s">
        <v>334</v>
      </c>
      <c r="C3079" s="4" t="s">
        <v>126</v>
      </c>
      <c r="D3079" s="4"/>
      <c r="E3079" s="4" t="s">
        <v>921</v>
      </c>
      <c r="F3079" s="4" t="s">
        <v>1677</v>
      </c>
      <c r="G3079" s="4" t="s">
        <v>336</v>
      </c>
      <c r="H3079" s="4" t="s">
        <v>380</v>
      </c>
      <c r="I3079" s="4">
        <v>7.3999999999999996E-2</v>
      </c>
      <c r="J3079" s="21">
        <v>600</v>
      </c>
      <c r="K3079" s="21">
        <v>44.4</v>
      </c>
      <c r="L3079" s="5">
        <v>0</v>
      </c>
      <c r="M3079" s="4"/>
      <c r="N3079" s="4"/>
      <c r="O3079" s="5"/>
      <c r="P3079" s="5"/>
      <c r="Q3079" s="21">
        <v>0</v>
      </c>
      <c r="R3079" s="21">
        <v>0</v>
      </c>
      <c r="S3079" s="5">
        <f t="shared" si="195"/>
        <v>48537.709120152002</v>
      </c>
      <c r="T3079" cm="1">
        <f t="array" ref="T3079">IF(OR(B3079="MAL ALIMI", B3079="ÜRETİM GİRİŞ"), MIN(I3079, MAX(0, I3079 + SUM(SUMIFS($I$1:I3078, $C$1:C3078, C3079, $B$1:B3078, {"MAL ALIMI","ÜRETİM GİRİŞ"})) - VLOOKUP(C3079, 'STOK RAPORU'!$C$2:$I$1000, 4, 0))), 0)</f>
        <v>0</v>
      </c>
      <c r="U3079" s="22">
        <f t="shared" si="192"/>
        <v>0</v>
      </c>
      <c r="V3079">
        <f t="shared" si="193"/>
        <v>0</v>
      </c>
      <c r="W3079" s="22">
        <f t="shared" si="194"/>
        <v>0</v>
      </c>
    </row>
    <row r="3080" spans="1:23" hidden="1" x14ac:dyDescent="0.25">
      <c r="A3080" s="3">
        <v>46031</v>
      </c>
      <c r="B3080" s="4" t="s">
        <v>334</v>
      </c>
      <c r="C3080" s="4" t="s">
        <v>91</v>
      </c>
      <c r="D3080" s="4"/>
      <c r="E3080" s="4" t="s">
        <v>921</v>
      </c>
      <c r="F3080" s="4" t="s">
        <v>1677</v>
      </c>
      <c r="G3080" s="4" t="s">
        <v>336</v>
      </c>
      <c r="H3080" s="4" t="s">
        <v>380</v>
      </c>
      <c r="I3080" s="4">
        <v>3.4000000000000002E-2</v>
      </c>
      <c r="J3080" s="21">
        <v>630</v>
      </c>
      <c r="K3080" s="21">
        <v>21.42</v>
      </c>
      <c r="L3080" s="5">
        <v>0</v>
      </c>
      <c r="M3080" s="4"/>
      <c r="N3080" s="4"/>
      <c r="O3080" s="5"/>
      <c r="P3080" s="5"/>
      <c r="Q3080" s="21">
        <v>0</v>
      </c>
      <c r="R3080" s="21">
        <v>0</v>
      </c>
      <c r="S3080" s="5">
        <f t="shared" si="195"/>
        <v>48537.709120152002</v>
      </c>
      <c r="T3080" cm="1">
        <f t="array" ref="T3080">IF(OR(B3080="MAL ALIMI", B3080="ÜRETİM GİRİŞ"), MIN(I3080, MAX(0, I3080 + SUM(SUMIFS($I$1:I3079, $C$1:C3079, C3080, $B$1:B3079, {"MAL ALIMI","ÜRETİM GİRİŞ"})) - VLOOKUP(C3080, 'STOK RAPORU'!$C$2:$I$1000, 4, 0))), 0)</f>
        <v>0</v>
      </c>
      <c r="U3080" s="22">
        <f t="shared" si="192"/>
        <v>0</v>
      </c>
      <c r="V3080">
        <f t="shared" si="193"/>
        <v>0</v>
      </c>
      <c r="W3080" s="22">
        <f t="shared" si="194"/>
        <v>0</v>
      </c>
    </row>
    <row r="3081" spans="1:23" hidden="1" x14ac:dyDescent="0.25">
      <c r="A3081" s="3">
        <v>46031</v>
      </c>
      <c r="B3081" s="4" t="s">
        <v>334</v>
      </c>
      <c r="C3081" s="4" t="s">
        <v>728</v>
      </c>
      <c r="D3081" s="4"/>
      <c r="E3081" s="4" t="s">
        <v>921</v>
      </c>
      <c r="F3081" s="4" t="s">
        <v>1678</v>
      </c>
      <c r="G3081" s="4" t="s">
        <v>336</v>
      </c>
      <c r="H3081" s="4" t="s">
        <v>380</v>
      </c>
      <c r="I3081" s="4">
        <v>0.27600000000000002</v>
      </c>
      <c r="J3081" s="21">
        <v>730</v>
      </c>
      <c r="K3081" s="21">
        <v>201.48000000000002</v>
      </c>
      <c r="L3081" s="5">
        <v>0</v>
      </c>
      <c r="M3081" s="4"/>
      <c r="N3081" s="4"/>
      <c r="O3081" s="5"/>
      <c r="P3081" s="5"/>
      <c r="Q3081" s="21">
        <v>0</v>
      </c>
      <c r="R3081" s="21">
        <v>0</v>
      </c>
      <c r="S3081" s="5">
        <f t="shared" si="195"/>
        <v>48537.709120152002</v>
      </c>
      <c r="T3081" cm="1">
        <f t="array" ref="T3081">IF(OR(B3081="MAL ALIMI", B3081="ÜRETİM GİRİŞ"), MIN(I3081, MAX(0, I3081 + SUM(SUMIFS($I$1:I3080, $C$1:C3080, C3081, $B$1:B3080, {"MAL ALIMI","ÜRETİM GİRİŞ"})) - VLOOKUP(C3081, 'STOK RAPORU'!$C$2:$I$1000, 4, 0))), 0)</f>
        <v>0</v>
      </c>
      <c r="U3081" s="22">
        <f t="shared" si="192"/>
        <v>0</v>
      </c>
      <c r="V3081">
        <f t="shared" si="193"/>
        <v>0</v>
      </c>
      <c r="W3081" s="22">
        <f t="shared" si="194"/>
        <v>0</v>
      </c>
    </row>
    <row r="3082" spans="1:23" hidden="1" x14ac:dyDescent="0.25">
      <c r="A3082" s="3">
        <v>46031</v>
      </c>
      <c r="B3082" s="4" t="s">
        <v>917</v>
      </c>
      <c r="C3082" s="4"/>
      <c r="D3082" s="4"/>
      <c r="E3082" s="4" t="s">
        <v>856</v>
      </c>
      <c r="F3082" s="4"/>
      <c r="G3082" s="4" t="s">
        <v>920</v>
      </c>
      <c r="H3082" s="4" t="s">
        <v>289</v>
      </c>
      <c r="I3082" s="4">
        <v>1</v>
      </c>
      <c r="J3082" s="21">
        <v>0</v>
      </c>
      <c r="K3082" s="21">
        <v>42049.46</v>
      </c>
      <c r="L3082" s="5">
        <v>0</v>
      </c>
      <c r="M3082" s="4"/>
      <c r="N3082" s="4"/>
      <c r="O3082" s="5"/>
      <c r="P3082" s="5"/>
      <c r="Q3082" s="21">
        <v>0</v>
      </c>
      <c r="R3082" s="21">
        <v>42049.46</v>
      </c>
      <c r="S3082" s="5">
        <f t="shared" si="195"/>
        <v>6488.2491201520024</v>
      </c>
      <c r="T3082" cm="1">
        <f t="array" ref="T3082">IF(OR(B3082="MAL ALIMI", B3082="ÜRETİM GİRİŞ"), MIN(I3082, MAX(0, I3082 + SUM(SUMIFS($I$1:I3081, $C$1:C3081, C3082, $B$1:B3081, {"MAL ALIMI","ÜRETİM GİRİŞ"})) - VLOOKUP(C3082, 'STOK RAPORU'!$C$2:$I$1000, 4, 0))), 0)</f>
        <v>0</v>
      </c>
      <c r="U3082" s="22">
        <f t="shared" si="192"/>
        <v>0</v>
      </c>
      <c r="V3082">
        <f t="shared" si="193"/>
        <v>0</v>
      </c>
      <c r="W3082" s="22">
        <f t="shared" si="194"/>
        <v>0</v>
      </c>
    </row>
    <row r="3083" spans="1:23" hidden="1" x14ac:dyDescent="0.25">
      <c r="A3083" s="3">
        <v>46031</v>
      </c>
      <c r="B3083" s="4" t="s">
        <v>946</v>
      </c>
      <c r="C3083" s="4"/>
      <c r="D3083" s="4"/>
      <c r="E3083" s="4" t="s">
        <v>921</v>
      </c>
      <c r="F3083" s="4"/>
      <c r="G3083" s="4" t="s">
        <v>946</v>
      </c>
      <c r="H3083" s="4" t="s">
        <v>380</v>
      </c>
      <c r="I3083" s="4">
        <v>1</v>
      </c>
      <c r="J3083" s="105">
        <v>1105</v>
      </c>
      <c r="K3083" s="21">
        <v>0</v>
      </c>
      <c r="L3083" s="102">
        <v>1105</v>
      </c>
      <c r="M3083" s="4"/>
      <c r="N3083" s="4"/>
      <c r="O3083" s="5"/>
      <c r="P3083" s="5"/>
      <c r="Q3083" s="21">
        <v>1105</v>
      </c>
      <c r="R3083" s="21">
        <v>0</v>
      </c>
      <c r="S3083" s="5">
        <f t="shared" si="195"/>
        <v>7593.2491201520024</v>
      </c>
      <c r="T3083" cm="1">
        <f t="array" ref="T3083">IF(OR(B3083="MAL ALIMI", B3083="ÜRETİM GİRİŞ"), MIN(I3083, MAX(0, I3083 + SUM(SUMIFS($I$1:I3082, $C$1:C3082, C3083, $B$1:B3082, {"MAL ALIMI","ÜRETİM GİRİŞ"})) - VLOOKUP(C3083, 'STOK RAPORU'!$C$2:$I$1000, 4, 0))), 0)</f>
        <v>0</v>
      </c>
      <c r="U3083" s="22">
        <f t="shared" si="192"/>
        <v>0</v>
      </c>
      <c r="V3083">
        <f t="shared" si="193"/>
        <v>0</v>
      </c>
      <c r="W3083" s="22">
        <f t="shared" si="194"/>
        <v>0</v>
      </c>
    </row>
    <row r="3084" spans="1:23" hidden="1" x14ac:dyDescent="0.25">
      <c r="A3084" s="3">
        <v>46031</v>
      </c>
      <c r="B3084" s="4" t="s">
        <v>946</v>
      </c>
      <c r="C3084" s="4"/>
      <c r="D3084" s="4"/>
      <c r="E3084" s="4" t="s">
        <v>921</v>
      </c>
      <c r="F3084" s="4"/>
      <c r="G3084" s="4" t="s">
        <v>946</v>
      </c>
      <c r="H3084" s="4" t="s">
        <v>380</v>
      </c>
      <c r="I3084" s="4">
        <v>1</v>
      </c>
      <c r="J3084" s="105">
        <v>744</v>
      </c>
      <c r="K3084" s="21">
        <v>0</v>
      </c>
      <c r="L3084" s="102">
        <v>744</v>
      </c>
      <c r="M3084" s="4"/>
      <c r="N3084" s="4"/>
      <c r="O3084" s="5"/>
      <c r="P3084" s="5"/>
      <c r="Q3084" s="21">
        <v>744</v>
      </c>
      <c r="R3084" s="21">
        <v>0</v>
      </c>
      <c r="S3084" s="5">
        <f t="shared" si="195"/>
        <v>8337.2491201520024</v>
      </c>
      <c r="T3084" cm="1">
        <f t="array" ref="T3084">IF(OR(B3084="MAL ALIMI", B3084="ÜRETİM GİRİŞ"), MIN(I3084, MAX(0, I3084 + SUM(SUMIFS($I$1:I3083, $C$1:C3083, C3084, $B$1:B3083, {"MAL ALIMI","ÜRETİM GİRİŞ"})) - VLOOKUP(C3084, 'STOK RAPORU'!$C$2:$I$1000, 4, 0))), 0)</f>
        <v>0</v>
      </c>
      <c r="U3084" s="22">
        <f t="shared" si="192"/>
        <v>0</v>
      </c>
      <c r="V3084">
        <f t="shared" si="193"/>
        <v>0</v>
      </c>
      <c r="W3084" s="22">
        <f t="shared" si="194"/>
        <v>0</v>
      </c>
    </row>
    <row r="3085" spans="1:23" hidden="1" x14ac:dyDescent="0.25">
      <c r="A3085" s="3">
        <v>46032</v>
      </c>
      <c r="B3085" s="4" t="s">
        <v>334</v>
      </c>
      <c r="C3085" s="4" t="s">
        <v>524</v>
      </c>
      <c r="D3085" s="4"/>
      <c r="E3085" s="4"/>
      <c r="F3085" s="4" t="s">
        <v>1679</v>
      </c>
      <c r="G3085" s="4" t="s">
        <v>336</v>
      </c>
      <c r="H3085" s="4" t="s">
        <v>289</v>
      </c>
      <c r="I3085" s="4">
        <v>0.1</v>
      </c>
      <c r="J3085" s="21">
        <v>400</v>
      </c>
      <c r="K3085" s="21">
        <v>0</v>
      </c>
      <c r="L3085" s="5">
        <v>0</v>
      </c>
      <c r="M3085" s="4"/>
      <c r="N3085" s="4"/>
      <c r="O3085" s="5"/>
      <c r="P3085" s="5"/>
      <c r="Q3085" s="21">
        <v>40</v>
      </c>
      <c r="R3085" s="21">
        <v>0</v>
      </c>
      <c r="S3085" s="5">
        <f t="shared" si="195"/>
        <v>8377.2491201520024</v>
      </c>
      <c r="T3085" cm="1">
        <f t="array" ref="T3085">IF(OR(B3085="MAL ALIMI", B3085="ÜRETİM GİRİŞ"), MIN(I3085, MAX(0, I3085 + SUM(SUMIFS($I$1:I3084, $C$1:C3084, C3085, $B$1:B3084, {"MAL ALIMI","ÜRETİM GİRİŞ"})) - VLOOKUP(C3085, 'STOK RAPORU'!$C$2:$I$1000, 4, 0))), 0)</f>
        <v>0</v>
      </c>
      <c r="U3085" s="22">
        <f t="shared" si="192"/>
        <v>0</v>
      </c>
      <c r="V3085">
        <f t="shared" si="193"/>
        <v>0</v>
      </c>
      <c r="W3085" s="22">
        <f t="shared" si="194"/>
        <v>0</v>
      </c>
    </row>
    <row r="3086" spans="1:23" hidden="1" x14ac:dyDescent="0.25">
      <c r="A3086" s="3">
        <v>46032</v>
      </c>
      <c r="B3086" s="4" t="s">
        <v>334</v>
      </c>
      <c r="C3086" s="4" t="s">
        <v>507</v>
      </c>
      <c r="D3086" s="4"/>
      <c r="E3086" s="4"/>
      <c r="F3086" s="4" t="s">
        <v>1680</v>
      </c>
      <c r="G3086" s="4" t="s">
        <v>336</v>
      </c>
      <c r="H3086" s="4" t="s">
        <v>289</v>
      </c>
      <c r="I3086" s="4">
        <v>1</v>
      </c>
      <c r="J3086" s="21">
        <v>190</v>
      </c>
      <c r="K3086" s="21">
        <v>0</v>
      </c>
      <c r="L3086" s="5">
        <v>0</v>
      </c>
      <c r="M3086" s="4"/>
      <c r="N3086" s="4"/>
      <c r="O3086" s="5"/>
      <c r="P3086" s="5"/>
      <c r="Q3086" s="21">
        <v>190</v>
      </c>
      <c r="R3086" s="21">
        <v>0</v>
      </c>
      <c r="S3086" s="5">
        <f t="shared" si="195"/>
        <v>8567.2491201520024</v>
      </c>
      <c r="T3086" cm="1">
        <f t="array" ref="T3086">IF(OR(B3086="MAL ALIMI", B3086="ÜRETİM GİRİŞ"), MIN(I3086, MAX(0, I3086 + SUM(SUMIFS($I$1:I3085, $C$1:C3085, C3086, $B$1:B3085, {"MAL ALIMI","ÜRETİM GİRİŞ"})) - VLOOKUP(C3086, 'STOK RAPORU'!$C$2:$I$1000, 4, 0))), 0)</f>
        <v>0</v>
      </c>
      <c r="U3086" s="22">
        <f t="shared" si="192"/>
        <v>0</v>
      </c>
      <c r="V3086">
        <f t="shared" si="193"/>
        <v>0</v>
      </c>
      <c r="W3086" s="22">
        <f t="shared" si="194"/>
        <v>0</v>
      </c>
    </row>
    <row r="3087" spans="1:23" hidden="1" x14ac:dyDescent="0.25">
      <c r="A3087" s="3">
        <v>46032</v>
      </c>
      <c r="B3087" s="4" t="s">
        <v>334</v>
      </c>
      <c r="C3087" s="4" t="s">
        <v>1041</v>
      </c>
      <c r="D3087" s="4"/>
      <c r="E3087" s="4"/>
      <c r="F3087" s="4" t="s">
        <v>1681</v>
      </c>
      <c r="G3087" s="4" t="s">
        <v>336</v>
      </c>
      <c r="H3087" s="4" t="s">
        <v>289</v>
      </c>
      <c r="I3087" s="4">
        <v>2</v>
      </c>
      <c r="J3087" s="21">
        <v>250</v>
      </c>
      <c r="K3087" s="21">
        <v>0</v>
      </c>
      <c r="L3087" s="5">
        <v>0</v>
      </c>
      <c r="M3087" s="4"/>
      <c r="N3087" s="4"/>
      <c r="O3087" s="5"/>
      <c r="P3087" s="5"/>
      <c r="Q3087" s="21">
        <v>500</v>
      </c>
      <c r="R3087" s="21">
        <v>0</v>
      </c>
      <c r="S3087" s="5">
        <f t="shared" si="195"/>
        <v>9067.2491201520024</v>
      </c>
      <c r="T3087" cm="1">
        <f t="array" ref="T3087">IF(OR(B3087="MAL ALIMI", B3087="ÜRETİM GİRİŞ"), MIN(I3087, MAX(0, I3087 + SUM(SUMIFS($I$1:I3086, $C$1:C3086, C3087, $B$1:B3086, {"MAL ALIMI","ÜRETİM GİRİŞ"})) - VLOOKUP(C3087, 'STOK RAPORU'!$C$2:$I$1000, 4, 0))), 0)</f>
        <v>0</v>
      </c>
      <c r="U3087" s="22">
        <f t="shared" si="192"/>
        <v>0</v>
      </c>
      <c r="V3087">
        <f t="shared" si="193"/>
        <v>0</v>
      </c>
      <c r="W3087" s="22">
        <f t="shared" si="194"/>
        <v>0</v>
      </c>
    </row>
    <row r="3088" spans="1:23" hidden="1" x14ac:dyDescent="0.25">
      <c r="A3088" s="3">
        <v>46032</v>
      </c>
      <c r="B3088" s="4" t="s">
        <v>334</v>
      </c>
      <c r="C3088" s="4" t="s">
        <v>1151</v>
      </c>
      <c r="D3088" s="4"/>
      <c r="E3088" s="4"/>
      <c r="F3088" s="4" t="s">
        <v>1682</v>
      </c>
      <c r="G3088" s="4" t="s">
        <v>336</v>
      </c>
      <c r="H3088" s="4" t="s">
        <v>289</v>
      </c>
      <c r="I3088" s="4">
        <v>0.5</v>
      </c>
      <c r="J3088" s="21">
        <v>300</v>
      </c>
      <c r="K3088" s="21">
        <v>0</v>
      </c>
      <c r="L3088" s="5">
        <v>0</v>
      </c>
      <c r="M3088" s="4"/>
      <c r="N3088" s="4"/>
      <c r="O3088" s="5"/>
      <c r="P3088" s="5"/>
      <c r="Q3088" s="21">
        <v>150</v>
      </c>
      <c r="R3088" s="21">
        <v>0</v>
      </c>
      <c r="S3088" s="5">
        <f t="shared" si="195"/>
        <v>9217.2491201520024</v>
      </c>
      <c r="T3088" cm="1">
        <f t="array" ref="T3088">IF(OR(B3088="MAL ALIMI", B3088="ÜRETİM GİRİŞ"), MIN(I3088, MAX(0, I3088 + SUM(SUMIFS($I$1:I3087, $C$1:C3087, C3088, $B$1:B3087, {"MAL ALIMI","ÜRETİM GİRİŞ"})) - VLOOKUP(C3088, 'STOK RAPORU'!$C$2:$I$1000, 4, 0))), 0)</f>
        <v>0</v>
      </c>
      <c r="U3088" s="22">
        <f t="shared" si="192"/>
        <v>0</v>
      </c>
      <c r="V3088">
        <f t="shared" si="193"/>
        <v>0</v>
      </c>
      <c r="W3088" s="22">
        <f t="shared" si="194"/>
        <v>0</v>
      </c>
    </row>
    <row r="3089" spans="1:23" hidden="1" x14ac:dyDescent="0.25">
      <c r="A3089" s="3">
        <v>46032</v>
      </c>
      <c r="B3089" s="4" t="s">
        <v>334</v>
      </c>
      <c r="C3089" s="4" t="s">
        <v>241</v>
      </c>
      <c r="D3089" s="4"/>
      <c r="E3089" s="4" t="s">
        <v>921</v>
      </c>
      <c r="F3089" s="4" t="s">
        <v>1683</v>
      </c>
      <c r="G3089" s="4" t="s">
        <v>336</v>
      </c>
      <c r="H3089" s="4" t="s">
        <v>380</v>
      </c>
      <c r="I3089" s="4">
        <v>0.28000000000000003</v>
      </c>
      <c r="J3089" s="21">
        <v>430</v>
      </c>
      <c r="K3089" s="21">
        <v>120.4</v>
      </c>
      <c r="L3089" s="5">
        <v>0</v>
      </c>
      <c r="M3089" s="4"/>
      <c r="N3089" s="4"/>
      <c r="O3089" s="5"/>
      <c r="P3089" s="5"/>
      <c r="Q3089" s="21">
        <v>0</v>
      </c>
      <c r="R3089" s="21">
        <v>0</v>
      </c>
      <c r="S3089" s="5">
        <f t="shared" si="195"/>
        <v>9217.2491201520024</v>
      </c>
      <c r="T3089" cm="1">
        <f t="array" ref="T3089">IF(OR(B3089="MAL ALIMI", B3089="ÜRETİM GİRİŞ"), MIN(I3089, MAX(0, I3089 + SUM(SUMIFS($I$1:I3088, $C$1:C3088, C3089, $B$1:B3088, {"MAL ALIMI","ÜRETİM GİRİŞ"})) - VLOOKUP(C3089, 'STOK RAPORU'!$C$2:$I$1000, 4, 0))), 0)</f>
        <v>0</v>
      </c>
      <c r="U3089" s="22">
        <f t="shared" si="192"/>
        <v>0</v>
      </c>
      <c r="V3089">
        <f t="shared" si="193"/>
        <v>0</v>
      </c>
      <c r="W3089" s="22">
        <f t="shared" si="194"/>
        <v>0</v>
      </c>
    </row>
    <row r="3090" spans="1:23" hidden="1" x14ac:dyDescent="0.25">
      <c r="A3090" s="3">
        <v>46032</v>
      </c>
      <c r="B3090" s="4" t="s">
        <v>334</v>
      </c>
      <c r="C3090" s="4" t="s">
        <v>523</v>
      </c>
      <c r="D3090" s="4"/>
      <c r="E3090" s="4" t="s">
        <v>921</v>
      </c>
      <c r="F3090" s="4" t="s">
        <v>1683</v>
      </c>
      <c r="G3090" s="4" t="s">
        <v>336</v>
      </c>
      <c r="H3090" s="4" t="s">
        <v>380</v>
      </c>
      <c r="I3090" s="4">
        <v>0.1</v>
      </c>
      <c r="J3090" s="21">
        <v>650</v>
      </c>
      <c r="K3090" s="21">
        <v>65</v>
      </c>
      <c r="L3090" s="5">
        <v>0</v>
      </c>
      <c r="M3090" s="4"/>
      <c r="N3090" s="4"/>
      <c r="O3090" s="5"/>
      <c r="P3090" s="5"/>
      <c r="Q3090" s="21">
        <v>0</v>
      </c>
      <c r="R3090" s="21">
        <v>0</v>
      </c>
      <c r="S3090" s="5">
        <f t="shared" si="195"/>
        <v>9217.2491201520024</v>
      </c>
      <c r="T3090" cm="1">
        <f t="array" ref="T3090">IF(OR(B3090="MAL ALIMI", B3090="ÜRETİM GİRİŞ"), MIN(I3090, MAX(0, I3090 + SUM(SUMIFS($I$1:I3089, $C$1:C3089, C3090, $B$1:B3089, {"MAL ALIMI","ÜRETİM GİRİŞ"})) - VLOOKUP(C3090, 'STOK RAPORU'!$C$2:$I$1000, 4, 0))), 0)</f>
        <v>0</v>
      </c>
      <c r="U3090" s="22">
        <f t="shared" si="192"/>
        <v>0</v>
      </c>
      <c r="V3090">
        <f t="shared" si="193"/>
        <v>0</v>
      </c>
      <c r="W3090" s="22">
        <f t="shared" si="194"/>
        <v>0</v>
      </c>
    </row>
    <row r="3091" spans="1:23" hidden="1" x14ac:dyDescent="0.25">
      <c r="A3091" s="45">
        <v>46032</v>
      </c>
      <c r="B3091" s="46" t="s">
        <v>334</v>
      </c>
      <c r="C3091" s="46" t="s">
        <v>157</v>
      </c>
      <c r="D3091" s="46"/>
      <c r="E3091" s="46"/>
      <c r="F3091" s="46" t="s">
        <v>1684</v>
      </c>
      <c r="G3091" s="46" t="s">
        <v>439</v>
      </c>
      <c r="H3091" s="46" t="s">
        <v>289</v>
      </c>
      <c r="I3091" s="46">
        <v>19.350000000000001</v>
      </c>
      <c r="J3091" s="47">
        <v>134.36689999999999</v>
      </c>
      <c r="K3091" s="47">
        <v>0</v>
      </c>
      <c r="L3091" s="48">
        <v>0</v>
      </c>
      <c r="M3091" s="4"/>
      <c r="N3091" s="4"/>
      <c r="O3091" s="5"/>
      <c r="P3091" s="5"/>
      <c r="Q3091" s="47">
        <v>2599.999515</v>
      </c>
      <c r="R3091" s="21">
        <v>0</v>
      </c>
      <c r="S3091" s="5">
        <f t="shared" si="195"/>
        <v>11817.248635152002</v>
      </c>
      <c r="T3091" cm="1">
        <f t="array" ref="T3091">IF(OR(B3091="MAL ALIMI", B3091="ÜRETİM GİRİŞ"), MIN(I3091, MAX(0, I3091 + SUM(SUMIFS($I$1:I3090, $C$1:C3090, C3091, $B$1:B3090, {"MAL ALIMI","ÜRETİM GİRİŞ"})) - VLOOKUP(C3091, 'STOK RAPORU'!$C$2:$I$1000, 4, 0))), 0)</f>
        <v>0</v>
      </c>
      <c r="U3091" s="22">
        <f t="shared" si="192"/>
        <v>0</v>
      </c>
      <c r="V3091">
        <f t="shared" si="193"/>
        <v>0</v>
      </c>
      <c r="W3091" s="22">
        <f t="shared" si="194"/>
        <v>0</v>
      </c>
    </row>
    <row r="3092" spans="1:23" hidden="1" x14ac:dyDescent="0.25">
      <c r="A3092" s="45">
        <v>46032</v>
      </c>
      <c r="B3092" s="46" t="s">
        <v>334</v>
      </c>
      <c r="C3092" s="46" t="s">
        <v>226</v>
      </c>
      <c r="D3092" s="46"/>
      <c r="E3092" s="46"/>
      <c r="F3092" s="46" t="s">
        <v>1685</v>
      </c>
      <c r="G3092" s="46" t="s">
        <v>1690</v>
      </c>
      <c r="H3092" s="46" t="s">
        <v>289</v>
      </c>
      <c r="I3092" s="46">
        <v>0.2</v>
      </c>
      <c r="J3092" s="47">
        <v>220</v>
      </c>
      <c r="K3092" s="47">
        <v>0</v>
      </c>
      <c r="L3092" s="48">
        <v>0</v>
      </c>
      <c r="M3092" s="46"/>
      <c r="N3092" s="46"/>
      <c r="O3092" s="48"/>
      <c r="P3092" s="48"/>
      <c r="Q3092" s="47">
        <v>44</v>
      </c>
      <c r="R3092" s="43">
        <v>0</v>
      </c>
      <c r="S3092" s="5">
        <f t="shared" si="195"/>
        <v>11861.248635152002</v>
      </c>
      <c r="T3092" cm="1">
        <f t="array" ref="T3092">IF(OR(B3092="MAL ALIMI", B3092="ÜRETİM GİRİŞ"), MIN(I3092, MAX(0, I3092 + SUM(SUMIFS($I$1:I3091, $C$1:C3091, C3092, $B$1:B3091, {"MAL ALIMI","ÜRETİM GİRİŞ"})) - VLOOKUP(C3092, 'STOK RAPORU'!$C$2:$I$1000, 4, 0))), 0)</f>
        <v>0</v>
      </c>
      <c r="U3092" s="22">
        <f t="shared" si="192"/>
        <v>0</v>
      </c>
      <c r="V3092">
        <f t="shared" si="193"/>
        <v>0</v>
      </c>
      <c r="W3092" s="22">
        <f t="shared" si="194"/>
        <v>0</v>
      </c>
    </row>
    <row r="3093" spans="1:23" hidden="1" x14ac:dyDescent="0.25">
      <c r="A3093" s="45">
        <v>46032</v>
      </c>
      <c r="B3093" s="46" t="s">
        <v>334</v>
      </c>
      <c r="C3093" s="46" t="s">
        <v>1326</v>
      </c>
      <c r="D3093" s="46"/>
      <c r="E3093" s="46"/>
      <c r="F3093" s="46" t="s">
        <v>1685</v>
      </c>
      <c r="G3093" s="46" t="s">
        <v>1690</v>
      </c>
      <c r="H3093" s="46" t="s">
        <v>289</v>
      </c>
      <c r="I3093" s="46">
        <v>1</v>
      </c>
      <c r="J3093" s="47">
        <v>135</v>
      </c>
      <c r="K3093" s="47">
        <v>0</v>
      </c>
      <c r="L3093" s="48">
        <v>0</v>
      </c>
      <c r="M3093" s="46"/>
      <c r="N3093" s="46"/>
      <c r="O3093" s="48"/>
      <c r="P3093" s="48"/>
      <c r="Q3093" s="47">
        <v>135</v>
      </c>
      <c r="R3093" s="43">
        <v>0</v>
      </c>
      <c r="S3093" s="5">
        <f t="shared" si="195"/>
        <v>11996.248635152002</v>
      </c>
      <c r="T3093" cm="1">
        <f t="array" ref="T3093">IF(OR(B3093="MAL ALIMI", B3093="ÜRETİM GİRİŞ"), MIN(I3093, MAX(0, I3093 + SUM(SUMIFS($I$1:I3092, $C$1:C3092, C3093, $B$1:B3092, {"MAL ALIMI","ÜRETİM GİRİŞ"})) - VLOOKUP(C3093, 'STOK RAPORU'!$C$2:$I$1000, 4, 0))), 0)</f>
        <v>0</v>
      </c>
      <c r="U3093" s="22">
        <f t="shared" si="192"/>
        <v>0</v>
      </c>
      <c r="V3093">
        <f t="shared" si="193"/>
        <v>0</v>
      </c>
      <c r="W3093" s="22">
        <f t="shared" si="194"/>
        <v>0</v>
      </c>
    </row>
    <row r="3094" spans="1:23" hidden="1" x14ac:dyDescent="0.25">
      <c r="A3094" s="45">
        <v>46032</v>
      </c>
      <c r="B3094" s="46" t="s">
        <v>334</v>
      </c>
      <c r="C3094" s="46" t="s">
        <v>523</v>
      </c>
      <c r="D3094" s="46"/>
      <c r="E3094" s="46"/>
      <c r="F3094" s="46" t="s">
        <v>1685</v>
      </c>
      <c r="G3094" s="46" t="s">
        <v>1690</v>
      </c>
      <c r="H3094" s="46" t="s">
        <v>289</v>
      </c>
      <c r="I3094" s="46">
        <v>0.1</v>
      </c>
      <c r="J3094" s="47">
        <v>650</v>
      </c>
      <c r="K3094" s="47">
        <v>0</v>
      </c>
      <c r="L3094" s="48">
        <v>0</v>
      </c>
      <c r="M3094" s="46"/>
      <c r="N3094" s="46"/>
      <c r="O3094" s="48"/>
      <c r="P3094" s="48"/>
      <c r="Q3094" s="47">
        <v>65</v>
      </c>
      <c r="R3094" s="43">
        <v>0</v>
      </c>
      <c r="S3094" s="5">
        <f t="shared" si="195"/>
        <v>12061.248635152002</v>
      </c>
      <c r="T3094" cm="1">
        <f t="array" ref="T3094">IF(OR(B3094="MAL ALIMI", B3094="ÜRETİM GİRİŞ"), MIN(I3094, MAX(0, I3094 + SUM(SUMIFS($I$1:I3093, $C$1:C3093, C3094, $B$1:B3093, {"MAL ALIMI","ÜRETİM GİRİŞ"})) - VLOOKUP(C3094, 'STOK RAPORU'!$C$2:$I$1000, 4, 0))), 0)</f>
        <v>0</v>
      </c>
      <c r="U3094" s="22">
        <f t="shared" si="192"/>
        <v>0</v>
      </c>
      <c r="V3094">
        <f t="shared" si="193"/>
        <v>0</v>
      </c>
      <c r="W3094" s="22">
        <f t="shared" si="194"/>
        <v>0</v>
      </c>
    </row>
    <row r="3095" spans="1:23" hidden="1" x14ac:dyDescent="0.25">
      <c r="A3095" s="45">
        <v>46032</v>
      </c>
      <c r="B3095" s="46" t="s">
        <v>334</v>
      </c>
      <c r="C3095" s="46" t="s">
        <v>243</v>
      </c>
      <c r="D3095" s="46"/>
      <c r="E3095" s="46"/>
      <c r="F3095" s="46" t="s">
        <v>1685</v>
      </c>
      <c r="G3095" s="46" t="s">
        <v>1690</v>
      </c>
      <c r="H3095" s="46" t="s">
        <v>289</v>
      </c>
      <c r="I3095" s="46">
        <v>1</v>
      </c>
      <c r="J3095" s="47">
        <v>180</v>
      </c>
      <c r="K3095" s="47">
        <v>0</v>
      </c>
      <c r="L3095" s="48">
        <v>0</v>
      </c>
      <c r="M3095" s="46"/>
      <c r="N3095" s="46"/>
      <c r="O3095" s="48"/>
      <c r="P3095" s="48"/>
      <c r="Q3095" s="47">
        <v>180</v>
      </c>
      <c r="R3095" s="43">
        <v>0</v>
      </c>
      <c r="S3095" s="5">
        <f t="shared" si="195"/>
        <v>12241.248635152002</v>
      </c>
      <c r="T3095" cm="1">
        <f t="array" ref="T3095">IF(OR(B3095="MAL ALIMI", B3095="ÜRETİM GİRİŞ"), MIN(I3095, MAX(0, I3095 + SUM(SUMIFS($I$1:I3094, $C$1:C3094, C3095, $B$1:B3094, {"MAL ALIMI","ÜRETİM GİRİŞ"})) - VLOOKUP(C3095, 'STOK RAPORU'!$C$2:$I$1000, 4, 0))), 0)</f>
        <v>0</v>
      </c>
      <c r="U3095" s="22">
        <f t="shared" si="192"/>
        <v>0</v>
      </c>
      <c r="V3095">
        <f t="shared" si="193"/>
        <v>0</v>
      </c>
      <c r="W3095" s="22">
        <f t="shared" si="194"/>
        <v>0</v>
      </c>
    </row>
    <row r="3096" spans="1:23" hidden="1" x14ac:dyDescent="0.25">
      <c r="A3096" s="3">
        <v>46032</v>
      </c>
      <c r="B3096" s="4" t="s">
        <v>334</v>
      </c>
      <c r="C3096" s="4" t="s">
        <v>208</v>
      </c>
      <c r="D3096" s="4"/>
      <c r="E3096" s="4" t="s">
        <v>921</v>
      </c>
      <c r="F3096" s="4" t="s">
        <v>1686</v>
      </c>
      <c r="G3096" s="4" t="s">
        <v>336</v>
      </c>
      <c r="H3096" s="4" t="s">
        <v>380</v>
      </c>
      <c r="I3096" s="4">
        <v>1.45</v>
      </c>
      <c r="J3096" s="21">
        <v>140</v>
      </c>
      <c r="K3096" s="21">
        <v>203</v>
      </c>
      <c r="L3096" s="5">
        <v>0</v>
      </c>
      <c r="M3096" s="4"/>
      <c r="N3096" s="4"/>
      <c r="O3096" s="5"/>
      <c r="P3096" s="5"/>
      <c r="Q3096" s="21">
        <v>0</v>
      </c>
      <c r="R3096" s="21">
        <v>0</v>
      </c>
      <c r="S3096" s="5">
        <f t="shared" si="195"/>
        <v>12241.248635152002</v>
      </c>
      <c r="T3096" cm="1">
        <f t="array" ref="T3096">IF(OR(B3096="MAL ALIMI", B3096="ÜRETİM GİRİŞ"), MIN(I3096, MAX(0, I3096 + SUM(SUMIFS($I$1:I3095, $C$1:C3095, C3096, $B$1:B3095, {"MAL ALIMI","ÜRETİM GİRİŞ"})) - VLOOKUP(C3096, 'STOK RAPORU'!$C$2:$I$1000, 4, 0))), 0)</f>
        <v>0</v>
      </c>
      <c r="U3096" s="22">
        <f t="shared" si="192"/>
        <v>0</v>
      </c>
      <c r="V3096">
        <f t="shared" si="193"/>
        <v>0</v>
      </c>
      <c r="W3096" s="22">
        <f t="shared" si="194"/>
        <v>0</v>
      </c>
    </row>
    <row r="3097" spans="1:23" hidden="1" x14ac:dyDescent="0.25">
      <c r="A3097" s="3">
        <v>46032</v>
      </c>
      <c r="B3097" s="4" t="s">
        <v>334</v>
      </c>
      <c r="C3097" s="4" t="s">
        <v>1359</v>
      </c>
      <c r="D3097" s="4"/>
      <c r="E3097" s="4" t="s">
        <v>921</v>
      </c>
      <c r="F3097" s="4" t="s">
        <v>1687</v>
      </c>
      <c r="G3097" s="4" t="s">
        <v>336</v>
      </c>
      <c r="H3097" s="4" t="s">
        <v>380</v>
      </c>
      <c r="I3097" s="4">
        <v>0.22222222222222221</v>
      </c>
      <c r="J3097" s="21">
        <v>450</v>
      </c>
      <c r="K3097" s="21">
        <v>100</v>
      </c>
      <c r="L3097" s="5">
        <v>0</v>
      </c>
      <c r="M3097" s="4"/>
      <c r="N3097" s="4"/>
      <c r="O3097" s="5"/>
      <c r="P3097" s="5"/>
      <c r="Q3097" s="21">
        <v>0</v>
      </c>
      <c r="R3097" s="21">
        <v>0</v>
      </c>
      <c r="S3097" s="5">
        <f t="shared" si="195"/>
        <v>12241.248635152002</v>
      </c>
      <c r="T3097" cm="1">
        <f t="array" ref="T3097">IF(OR(B3097="MAL ALIMI", B3097="ÜRETİM GİRİŞ"), MIN(I3097, MAX(0, I3097 + SUM(SUMIFS($I$1:I3096, $C$1:C3096, C3097, $B$1:B3096, {"MAL ALIMI","ÜRETİM GİRİŞ"})) - VLOOKUP(C3097, 'STOK RAPORU'!$C$2:$I$1000, 4, 0))), 0)</f>
        <v>0</v>
      </c>
      <c r="U3097" s="22">
        <f t="shared" si="192"/>
        <v>0</v>
      </c>
      <c r="V3097">
        <f t="shared" si="193"/>
        <v>0</v>
      </c>
      <c r="W3097" s="22">
        <f t="shared" si="194"/>
        <v>0</v>
      </c>
    </row>
    <row r="3098" spans="1:23" hidden="1" x14ac:dyDescent="0.25">
      <c r="A3098" s="3">
        <v>46032</v>
      </c>
      <c r="B3098" s="4" t="s">
        <v>334</v>
      </c>
      <c r="C3098" s="4" t="s">
        <v>266</v>
      </c>
      <c r="D3098" s="4"/>
      <c r="E3098" s="4" t="s">
        <v>921</v>
      </c>
      <c r="F3098" s="4" t="s">
        <v>1687</v>
      </c>
      <c r="G3098" s="4" t="s">
        <v>336</v>
      </c>
      <c r="H3098" s="4" t="s">
        <v>380</v>
      </c>
      <c r="I3098" s="4">
        <v>0.46400000000000002</v>
      </c>
      <c r="J3098" s="21">
        <v>250</v>
      </c>
      <c r="K3098" s="21">
        <v>116</v>
      </c>
      <c r="L3098" s="5">
        <v>0</v>
      </c>
      <c r="M3098" s="4"/>
      <c r="N3098" s="4"/>
      <c r="O3098" s="5"/>
      <c r="P3098" s="5"/>
      <c r="Q3098" s="21">
        <v>0</v>
      </c>
      <c r="R3098" s="21">
        <v>0</v>
      </c>
      <c r="S3098" s="5">
        <f t="shared" si="195"/>
        <v>12241.248635152002</v>
      </c>
      <c r="T3098" cm="1">
        <f t="array" ref="T3098">IF(OR(B3098="MAL ALIMI", B3098="ÜRETİM GİRİŞ"), MIN(I3098, MAX(0, I3098 + SUM(SUMIFS($I$1:I3097, $C$1:C3097, C3098, $B$1:B3097, {"MAL ALIMI","ÜRETİM GİRİŞ"})) - VLOOKUP(C3098, 'STOK RAPORU'!$C$2:$I$1000, 4, 0))), 0)</f>
        <v>0</v>
      </c>
      <c r="U3098" s="22">
        <f t="shared" si="192"/>
        <v>0</v>
      </c>
      <c r="V3098">
        <f t="shared" si="193"/>
        <v>0</v>
      </c>
      <c r="W3098" s="22">
        <f t="shared" si="194"/>
        <v>0</v>
      </c>
    </row>
    <row r="3099" spans="1:23" hidden="1" x14ac:dyDescent="0.25">
      <c r="A3099" s="3">
        <v>46032</v>
      </c>
      <c r="B3099" s="4" t="s">
        <v>946</v>
      </c>
      <c r="C3099" s="4"/>
      <c r="D3099" s="4"/>
      <c r="E3099" s="4" t="s">
        <v>921</v>
      </c>
      <c r="F3099" s="4"/>
      <c r="G3099" s="4" t="s">
        <v>946</v>
      </c>
      <c r="H3099" s="4" t="s">
        <v>380</v>
      </c>
      <c r="I3099" s="4">
        <v>1</v>
      </c>
      <c r="J3099" s="105">
        <v>1960</v>
      </c>
      <c r="K3099" s="21">
        <v>0</v>
      </c>
      <c r="L3099" s="102">
        <v>1960</v>
      </c>
      <c r="M3099" s="4"/>
      <c r="N3099" s="4"/>
      <c r="O3099" s="5"/>
      <c r="P3099" s="5"/>
      <c r="Q3099" s="21">
        <v>1960</v>
      </c>
      <c r="R3099" s="21">
        <v>0</v>
      </c>
      <c r="S3099" s="5">
        <f t="shared" si="195"/>
        <v>14201.248635152002</v>
      </c>
      <c r="T3099" cm="1">
        <f t="array" ref="T3099">IF(OR(B3099="MAL ALIMI", B3099="ÜRETİM GİRİŞ"), MIN(I3099, MAX(0, I3099 + SUM(SUMIFS($I$1:I3098, $C$1:C3098, C3099, $B$1:B3098, {"MAL ALIMI","ÜRETİM GİRİŞ"})) - VLOOKUP(C3099, 'STOK RAPORU'!$C$2:$I$1000, 4, 0))), 0)</f>
        <v>0</v>
      </c>
      <c r="U3099" s="22">
        <f t="shared" si="192"/>
        <v>0</v>
      </c>
      <c r="V3099">
        <f t="shared" si="193"/>
        <v>0</v>
      </c>
      <c r="W3099" s="22">
        <f t="shared" si="194"/>
        <v>0</v>
      </c>
    </row>
    <row r="3100" spans="1:23" hidden="1" x14ac:dyDescent="0.25">
      <c r="A3100" s="3">
        <v>46032</v>
      </c>
      <c r="B3100" s="4" t="s">
        <v>946</v>
      </c>
      <c r="C3100" s="4"/>
      <c r="D3100" s="4"/>
      <c r="E3100" s="4" t="s">
        <v>921</v>
      </c>
      <c r="F3100" s="4"/>
      <c r="G3100" s="4" t="s">
        <v>946</v>
      </c>
      <c r="H3100" s="4" t="s">
        <v>380</v>
      </c>
      <c r="I3100" s="4">
        <v>1</v>
      </c>
      <c r="J3100" s="105">
        <v>306</v>
      </c>
      <c r="K3100" s="21">
        <v>0</v>
      </c>
      <c r="L3100" s="102">
        <v>306</v>
      </c>
      <c r="M3100" s="4"/>
      <c r="N3100" s="4"/>
      <c r="O3100" s="5"/>
      <c r="P3100" s="5"/>
      <c r="Q3100" s="21">
        <v>306</v>
      </c>
      <c r="R3100" s="21">
        <v>0</v>
      </c>
      <c r="S3100" s="5">
        <f t="shared" si="195"/>
        <v>14507.248635152002</v>
      </c>
      <c r="T3100" cm="1">
        <f t="array" ref="T3100">IF(OR(B3100="MAL ALIMI", B3100="ÜRETİM GİRİŞ"), MIN(I3100, MAX(0, I3100 + SUM(SUMIFS($I$1:I3099, $C$1:C3099, C3100, $B$1:B3099, {"MAL ALIMI","ÜRETİM GİRİŞ"})) - VLOOKUP(C3100, 'STOK RAPORU'!$C$2:$I$1000, 4, 0))), 0)</f>
        <v>0</v>
      </c>
      <c r="U3100" s="22">
        <f t="shared" si="192"/>
        <v>0</v>
      </c>
      <c r="V3100">
        <f t="shared" si="193"/>
        <v>0</v>
      </c>
      <c r="W3100" s="22">
        <f t="shared" si="194"/>
        <v>0</v>
      </c>
    </row>
    <row r="3101" spans="1:23" hidden="1" x14ac:dyDescent="0.25">
      <c r="A3101" s="3">
        <v>46033</v>
      </c>
      <c r="B3101" s="4" t="s">
        <v>334</v>
      </c>
      <c r="C3101" s="46" t="s">
        <v>585</v>
      </c>
      <c r="D3101" s="4"/>
      <c r="E3101" s="4"/>
      <c r="F3101" s="4" t="s">
        <v>1688</v>
      </c>
      <c r="G3101" s="4" t="s">
        <v>336</v>
      </c>
      <c r="H3101" s="4" t="s">
        <v>289</v>
      </c>
      <c r="I3101" s="4">
        <v>1</v>
      </c>
      <c r="J3101" s="21">
        <v>200</v>
      </c>
      <c r="K3101" s="21">
        <v>0</v>
      </c>
      <c r="L3101" s="5">
        <v>0</v>
      </c>
      <c r="M3101" s="4"/>
      <c r="N3101" s="4"/>
      <c r="O3101" s="5"/>
      <c r="P3101" s="5"/>
      <c r="Q3101" s="21">
        <v>200</v>
      </c>
      <c r="R3101" s="21">
        <v>0</v>
      </c>
      <c r="S3101" s="5">
        <f t="shared" si="195"/>
        <v>14707.248635152002</v>
      </c>
      <c r="T3101" cm="1">
        <f t="array" ref="T3101">IF(OR(B3101="MAL ALIMI", B3101="ÜRETİM GİRİŞ"), MIN(I3101, MAX(0, I3101 + SUM(SUMIFS($I$1:I3100, $C$1:C3100, C3101, $B$1:B3100, {"MAL ALIMI","ÜRETİM GİRİŞ"})) - VLOOKUP(C3101, 'STOK RAPORU'!$C$2:$I$1000, 4, 0))), 0)</f>
        <v>0</v>
      </c>
      <c r="U3101" s="22">
        <f t="shared" si="192"/>
        <v>0</v>
      </c>
      <c r="V3101">
        <f t="shared" si="193"/>
        <v>0</v>
      </c>
      <c r="W3101" s="22">
        <f t="shared" si="194"/>
        <v>0</v>
      </c>
    </row>
    <row r="3102" spans="1:23" hidden="1" x14ac:dyDescent="0.25">
      <c r="A3102" s="3">
        <v>46033</v>
      </c>
      <c r="B3102" s="4" t="s">
        <v>334</v>
      </c>
      <c r="C3102" s="4" t="s">
        <v>60</v>
      </c>
      <c r="D3102" s="4"/>
      <c r="E3102" s="4"/>
      <c r="F3102" s="4" t="s">
        <v>1688</v>
      </c>
      <c r="G3102" s="4" t="s">
        <v>336</v>
      </c>
      <c r="H3102" s="4" t="s">
        <v>289</v>
      </c>
      <c r="I3102" s="4">
        <v>0.05</v>
      </c>
      <c r="J3102" s="21">
        <v>1200</v>
      </c>
      <c r="K3102" s="21">
        <v>0</v>
      </c>
      <c r="L3102" s="5">
        <v>0</v>
      </c>
      <c r="M3102" s="4"/>
      <c r="N3102" s="4"/>
      <c r="O3102" s="5"/>
      <c r="P3102" s="5"/>
      <c r="Q3102" s="21">
        <v>60</v>
      </c>
      <c r="R3102" s="21">
        <v>0</v>
      </c>
      <c r="S3102" s="5">
        <f t="shared" si="195"/>
        <v>14767.248635152002</v>
      </c>
      <c r="T3102" cm="1">
        <f t="array" ref="T3102">IF(OR(B3102="MAL ALIMI", B3102="ÜRETİM GİRİŞ"), MIN(I3102, MAX(0, I3102 + SUM(SUMIFS($I$1:I3101, $C$1:C3101, C3102, $B$1:B3101, {"MAL ALIMI","ÜRETİM GİRİŞ"})) - VLOOKUP(C3102, 'STOK RAPORU'!$C$2:$I$1000, 4, 0))), 0)</f>
        <v>0</v>
      </c>
      <c r="U3102" s="22">
        <f t="shared" si="192"/>
        <v>0</v>
      </c>
      <c r="V3102">
        <f t="shared" si="193"/>
        <v>0</v>
      </c>
      <c r="W3102" s="22">
        <f t="shared" si="194"/>
        <v>0</v>
      </c>
    </row>
    <row r="3103" spans="1:23" hidden="1" x14ac:dyDescent="0.25">
      <c r="A3103" s="3">
        <v>46033</v>
      </c>
      <c r="B3103" s="4" t="s">
        <v>334</v>
      </c>
      <c r="C3103" s="4" t="s">
        <v>154</v>
      </c>
      <c r="D3103" s="4"/>
      <c r="E3103" s="4"/>
      <c r="F3103" s="4" t="s">
        <v>1688</v>
      </c>
      <c r="G3103" s="4" t="s">
        <v>336</v>
      </c>
      <c r="H3103" s="4" t="s">
        <v>289</v>
      </c>
      <c r="I3103" s="4">
        <v>0.1</v>
      </c>
      <c r="J3103" s="21">
        <v>600</v>
      </c>
      <c r="K3103" s="21">
        <v>0</v>
      </c>
      <c r="L3103" s="5">
        <v>0</v>
      </c>
      <c r="M3103" s="4"/>
      <c r="N3103" s="4"/>
      <c r="O3103" s="5"/>
      <c r="P3103" s="5"/>
      <c r="Q3103" s="21">
        <v>60</v>
      </c>
      <c r="R3103" s="21">
        <v>0</v>
      </c>
      <c r="S3103" s="5">
        <f t="shared" si="195"/>
        <v>14827.248635152002</v>
      </c>
      <c r="T3103" cm="1">
        <f t="array" ref="T3103">IF(OR(B3103="MAL ALIMI", B3103="ÜRETİM GİRİŞ"), MIN(I3103, MAX(0, I3103 + SUM(SUMIFS($I$1:I3102, $C$1:C3102, C3103, $B$1:B3102, {"MAL ALIMI","ÜRETİM GİRİŞ"})) - VLOOKUP(C3103, 'STOK RAPORU'!$C$2:$I$1000, 4, 0))), 0)</f>
        <v>0</v>
      </c>
      <c r="U3103" s="22">
        <f t="shared" si="192"/>
        <v>0</v>
      </c>
      <c r="V3103">
        <f t="shared" si="193"/>
        <v>0</v>
      </c>
      <c r="W3103" s="22">
        <f t="shared" si="194"/>
        <v>0</v>
      </c>
    </row>
    <row r="3104" spans="1:23" hidden="1" x14ac:dyDescent="0.25">
      <c r="A3104" s="3">
        <v>46033</v>
      </c>
      <c r="B3104" s="4" t="s">
        <v>334</v>
      </c>
      <c r="C3104" s="4" t="s">
        <v>634</v>
      </c>
      <c r="D3104" s="4"/>
      <c r="E3104" s="4"/>
      <c r="F3104" s="4" t="s">
        <v>1689</v>
      </c>
      <c r="G3104" s="4" t="s">
        <v>336</v>
      </c>
      <c r="H3104" s="4" t="s">
        <v>289</v>
      </c>
      <c r="I3104" s="4">
        <v>0.47099999999999997</v>
      </c>
      <c r="J3104" s="21">
        <v>850</v>
      </c>
      <c r="K3104" s="21">
        <v>0</v>
      </c>
      <c r="L3104" s="5">
        <v>0</v>
      </c>
      <c r="M3104" s="4"/>
      <c r="N3104" s="4"/>
      <c r="O3104" s="5"/>
      <c r="P3104" s="5"/>
      <c r="Q3104" s="21">
        <v>400.34999999999997</v>
      </c>
      <c r="R3104" s="21">
        <v>0</v>
      </c>
      <c r="S3104" s="5">
        <f t="shared" si="195"/>
        <v>15227.598635152002</v>
      </c>
      <c r="T3104" cm="1">
        <f t="array" ref="T3104">IF(OR(B3104="MAL ALIMI", B3104="ÜRETİM GİRİŞ"), MIN(I3104, MAX(0, I3104 + SUM(SUMIFS($I$1:I3103, $C$1:C3103, C3104, $B$1:B3103, {"MAL ALIMI","ÜRETİM GİRİŞ"})) - VLOOKUP(C3104, 'STOK RAPORU'!$C$2:$I$1000, 4, 0))), 0)</f>
        <v>0</v>
      </c>
      <c r="U3104" s="22">
        <f t="shared" si="192"/>
        <v>0</v>
      </c>
      <c r="V3104">
        <f t="shared" si="193"/>
        <v>0</v>
      </c>
      <c r="W3104" s="22">
        <f t="shared" si="194"/>
        <v>0</v>
      </c>
    </row>
    <row r="3105" spans="1:23" hidden="1" x14ac:dyDescent="0.25">
      <c r="A3105" s="3">
        <v>46033</v>
      </c>
      <c r="B3105" s="4" t="s">
        <v>334</v>
      </c>
      <c r="C3105" s="4" t="s">
        <v>241</v>
      </c>
      <c r="D3105" s="4"/>
      <c r="E3105" s="4"/>
      <c r="F3105" s="4" t="s">
        <v>1689</v>
      </c>
      <c r="G3105" s="4" t="s">
        <v>336</v>
      </c>
      <c r="H3105" s="4" t="s">
        <v>289</v>
      </c>
      <c r="I3105" s="4">
        <v>0.28000000000000003</v>
      </c>
      <c r="J3105" s="21">
        <v>430</v>
      </c>
      <c r="K3105" s="21">
        <v>0</v>
      </c>
      <c r="L3105" s="5">
        <v>0</v>
      </c>
      <c r="M3105" s="4"/>
      <c r="N3105" s="4"/>
      <c r="O3105" s="5"/>
      <c r="P3105" s="5"/>
      <c r="Q3105" s="21">
        <v>120.4</v>
      </c>
      <c r="R3105" s="21">
        <v>0</v>
      </c>
      <c r="S3105" s="5">
        <f t="shared" si="195"/>
        <v>15347.998635152002</v>
      </c>
      <c r="T3105" cm="1">
        <f t="array" ref="T3105">IF(OR(B3105="MAL ALIMI", B3105="ÜRETİM GİRİŞ"), MIN(I3105, MAX(0, I3105 + SUM(SUMIFS($I$1:I3104, $C$1:C3104, C3105, $B$1:B3104, {"MAL ALIMI","ÜRETİM GİRİŞ"})) - VLOOKUP(C3105, 'STOK RAPORU'!$C$2:$I$1000, 4, 0))), 0)</f>
        <v>0</v>
      </c>
      <c r="U3105" s="22">
        <f t="shared" si="192"/>
        <v>0</v>
      </c>
      <c r="V3105">
        <f t="shared" si="193"/>
        <v>0</v>
      </c>
      <c r="W3105" s="22">
        <f t="shared" si="194"/>
        <v>0</v>
      </c>
    </row>
    <row r="3106" spans="1:23" hidden="1" x14ac:dyDescent="0.25">
      <c r="A3106" s="3">
        <v>46033</v>
      </c>
      <c r="B3106" s="4" t="s">
        <v>334</v>
      </c>
      <c r="C3106" s="4" t="s">
        <v>1359</v>
      </c>
      <c r="D3106" s="4"/>
      <c r="E3106" s="4"/>
      <c r="F3106" s="4" t="s">
        <v>1689</v>
      </c>
      <c r="G3106" s="4" t="s">
        <v>336</v>
      </c>
      <c r="H3106" s="4" t="s">
        <v>289</v>
      </c>
      <c r="I3106" s="4">
        <v>0.22222222222222221</v>
      </c>
      <c r="J3106" s="21">
        <v>450</v>
      </c>
      <c r="K3106" s="21">
        <v>0</v>
      </c>
      <c r="L3106" s="5">
        <v>0</v>
      </c>
      <c r="M3106" s="4"/>
      <c r="N3106" s="4"/>
      <c r="O3106" s="5"/>
      <c r="P3106" s="5"/>
      <c r="Q3106" s="21">
        <v>100</v>
      </c>
      <c r="R3106" s="21">
        <v>0</v>
      </c>
      <c r="S3106" s="5">
        <f t="shared" si="195"/>
        <v>15447.998635152002</v>
      </c>
      <c r="T3106" cm="1">
        <f t="array" ref="T3106">IF(OR(B3106="MAL ALIMI", B3106="ÜRETİM GİRİŞ"), MIN(I3106, MAX(0, I3106 + SUM(SUMIFS($I$1:I3105, $C$1:C3105, C3106, $B$1:B3105, {"MAL ALIMI","ÜRETİM GİRİŞ"})) - VLOOKUP(C3106, 'STOK RAPORU'!$C$2:$I$1000, 4, 0))), 0)</f>
        <v>0</v>
      </c>
      <c r="U3106" s="22">
        <f t="shared" si="192"/>
        <v>0</v>
      </c>
      <c r="V3106">
        <f t="shared" si="193"/>
        <v>0</v>
      </c>
      <c r="W3106" s="22">
        <f t="shared" si="194"/>
        <v>0</v>
      </c>
    </row>
    <row r="3107" spans="1:23" hidden="1" x14ac:dyDescent="0.25">
      <c r="A3107" s="3">
        <v>46033</v>
      </c>
      <c r="B3107" s="4" t="s">
        <v>334</v>
      </c>
      <c r="C3107" s="4" t="s">
        <v>691</v>
      </c>
      <c r="D3107" s="4"/>
      <c r="E3107" s="4"/>
      <c r="F3107" s="4" t="s">
        <v>1689</v>
      </c>
      <c r="G3107" s="4" t="s">
        <v>336</v>
      </c>
      <c r="H3107" s="4" t="s">
        <v>289</v>
      </c>
      <c r="I3107" s="4">
        <v>0.33043478260869563</v>
      </c>
      <c r="J3107" s="21">
        <v>230</v>
      </c>
      <c r="K3107" s="21">
        <v>0</v>
      </c>
      <c r="L3107" s="5">
        <v>0</v>
      </c>
      <c r="M3107" s="4"/>
      <c r="N3107" s="4"/>
      <c r="O3107" s="5"/>
      <c r="P3107" s="5"/>
      <c r="Q3107" s="21">
        <v>76</v>
      </c>
      <c r="R3107" s="21">
        <v>0</v>
      </c>
      <c r="S3107" s="5">
        <f t="shared" si="195"/>
        <v>15523.998635152002</v>
      </c>
      <c r="T3107" cm="1">
        <f t="array" ref="T3107">IF(OR(B3107="MAL ALIMI", B3107="ÜRETİM GİRİŞ"), MIN(I3107, MAX(0, I3107 + SUM(SUMIFS($I$1:I3106, $C$1:C3106, C3107, $B$1:B3106, {"MAL ALIMI","ÜRETİM GİRİŞ"})) - VLOOKUP(C3107, 'STOK RAPORU'!$C$2:$I$1000, 4, 0))), 0)</f>
        <v>0</v>
      </c>
      <c r="U3107" s="22">
        <f t="shared" si="192"/>
        <v>0</v>
      </c>
      <c r="V3107">
        <f t="shared" si="193"/>
        <v>0</v>
      </c>
      <c r="W3107" s="22">
        <f t="shared" si="194"/>
        <v>0</v>
      </c>
    </row>
    <row r="3108" spans="1:23" hidden="1" x14ac:dyDescent="0.25">
      <c r="A3108" s="3">
        <v>46033</v>
      </c>
      <c r="B3108" s="4" t="s">
        <v>946</v>
      </c>
      <c r="C3108" s="4"/>
      <c r="D3108" s="4"/>
      <c r="E3108" s="4" t="s">
        <v>921</v>
      </c>
      <c r="F3108" s="4"/>
      <c r="G3108" s="4" t="s">
        <v>946</v>
      </c>
      <c r="H3108" s="4" t="s">
        <v>380</v>
      </c>
      <c r="I3108" s="4">
        <v>1</v>
      </c>
      <c r="J3108" s="105">
        <v>425</v>
      </c>
      <c r="K3108" s="21">
        <v>0</v>
      </c>
      <c r="L3108" s="102">
        <v>425</v>
      </c>
      <c r="M3108" s="4"/>
      <c r="N3108" s="4"/>
      <c r="O3108" s="5"/>
      <c r="P3108" s="5"/>
      <c r="Q3108" s="21">
        <v>425</v>
      </c>
      <c r="R3108" s="21">
        <v>0</v>
      </c>
      <c r="S3108" s="5">
        <f t="shared" si="195"/>
        <v>15948.998635152002</v>
      </c>
      <c r="T3108" cm="1">
        <f t="array" ref="T3108">IF(OR(B3108="MAL ALIMI", B3108="ÜRETİM GİRİŞ"), MIN(I3108, MAX(0, I3108 + SUM(SUMIFS($I$1:I3107, $C$1:C3107, C3108, $B$1:B3107, {"MAL ALIMI","ÜRETİM GİRİŞ"})) - VLOOKUP(C3108, 'STOK RAPORU'!$C$2:$I$1000, 4, 0))), 0)</f>
        <v>0</v>
      </c>
      <c r="U3108" s="22">
        <f t="shared" si="192"/>
        <v>0</v>
      </c>
      <c r="V3108">
        <f t="shared" si="193"/>
        <v>0</v>
      </c>
      <c r="W3108" s="22">
        <f t="shared" si="194"/>
        <v>0</v>
      </c>
    </row>
    <row r="3109" spans="1:23" hidden="1" x14ac:dyDescent="0.25">
      <c r="A3109" s="3">
        <v>46033</v>
      </c>
      <c r="B3109" s="4" t="s">
        <v>946</v>
      </c>
      <c r="C3109" s="4"/>
      <c r="D3109" s="4"/>
      <c r="E3109" s="4" t="s">
        <v>921</v>
      </c>
      <c r="F3109" s="4"/>
      <c r="G3109" s="4" t="s">
        <v>946</v>
      </c>
      <c r="H3109" s="4" t="s">
        <v>380</v>
      </c>
      <c r="I3109" s="4">
        <v>1</v>
      </c>
      <c r="J3109" s="105">
        <v>2282</v>
      </c>
      <c r="K3109" s="21">
        <v>0</v>
      </c>
      <c r="L3109" s="102">
        <v>2282</v>
      </c>
      <c r="M3109" s="4"/>
      <c r="N3109" s="4"/>
      <c r="O3109" s="5"/>
      <c r="P3109" s="5"/>
      <c r="Q3109" s="21">
        <v>2282</v>
      </c>
      <c r="R3109" s="21">
        <v>0</v>
      </c>
      <c r="S3109" s="5">
        <f t="shared" si="195"/>
        <v>18230.998635152002</v>
      </c>
      <c r="T3109" cm="1">
        <f t="array" ref="T3109">IF(OR(B3109="MAL ALIMI", B3109="ÜRETİM GİRİŞ"), MIN(I3109, MAX(0, I3109 + SUM(SUMIFS($I$1:I3108, $C$1:C3108, C3109, $B$1:B3108, {"MAL ALIMI","ÜRETİM GİRİŞ"})) - VLOOKUP(C3109, 'STOK RAPORU'!$C$2:$I$1000, 4, 0))), 0)</f>
        <v>0</v>
      </c>
      <c r="U3109" s="22">
        <f t="shared" si="192"/>
        <v>0</v>
      </c>
      <c r="V3109">
        <f t="shared" si="193"/>
        <v>0</v>
      </c>
      <c r="W3109" s="22">
        <f t="shared" si="194"/>
        <v>0</v>
      </c>
    </row>
    <row r="3110" spans="1:23" hidden="1" x14ac:dyDescent="0.25">
      <c r="A3110" s="3">
        <v>46034</v>
      </c>
      <c r="B3110" s="4" t="s">
        <v>334</v>
      </c>
      <c r="C3110" s="4" t="s">
        <v>1041</v>
      </c>
      <c r="D3110" s="4"/>
      <c r="E3110" s="4"/>
      <c r="F3110" s="4" t="s">
        <v>1692</v>
      </c>
      <c r="G3110" s="4" t="s">
        <v>336</v>
      </c>
      <c r="H3110" s="4" t="s">
        <v>289</v>
      </c>
      <c r="I3110" s="4">
        <v>1</v>
      </c>
      <c r="J3110" s="21">
        <v>250</v>
      </c>
      <c r="K3110" s="21">
        <v>0</v>
      </c>
      <c r="L3110" s="5">
        <v>0</v>
      </c>
      <c r="M3110" s="4"/>
      <c r="N3110" s="4"/>
      <c r="O3110" s="5"/>
      <c r="P3110" s="5"/>
      <c r="Q3110" s="21">
        <v>250</v>
      </c>
      <c r="R3110" s="21">
        <v>0</v>
      </c>
      <c r="S3110" s="5">
        <f t="shared" si="195"/>
        <v>18480.998635152002</v>
      </c>
      <c r="T3110" cm="1">
        <f t="array" ref="T3110">IF(OR(B3110="MAL ALIMI", B3110="ÜRETİM GİRİŞ"), MIN(I3110, MAX(0, I3110 + SUM(SUMIFS($I$1:I3109, $C$1:C3109, C3110, $B$1:B3109, {"MAL ALIMI","ÜRETİM GİRİŞ"})) - VLOOKUP(C3110, 'STOK RAPORU'!$C$2:$I$1000, 4, 0))), 0)</f>
        <v>0</v>
      </c>
      <c r="U3110" s="22">
        <f t="shared" si="192"/>
        <v>0</v>
      </c>
      <c r="V3110">
        <f t="shared" si="193"/>
        <v>0</v>
      </c>
      <c r="W3110" s="22">
        <f t="shared" si="194"/>
        <v>0</v>
      </c>
    </row>
    <row r="3111" spans="1:23" hidden="1" x14ac:dyDescent="0.25">
      <c r="A3111" s="3">
        <v>46034</v>
      </c>
      <c r="B3111" s="4" t="s">
        <v>334</v>
      </c>
      <c r="C3111" s="4" t="s">
        <v>204</v>
      </c>
      <c r="D3111" s="4"/>
      <c r="E3111" s="4"/>
      <c r="F3111" s="4" t="s">
        <v>1693</v>
      </c>
      <c r="G3111" s="4" t="s">
        <v>336</v>
      </c>
      <c r="H3111" s="4" t="s">
        <v>289</v>
      </c>
      <c r="I3111" s="4">
        <v>2.8571428571428571E-2</v>
      </c>
      <c r="J3111" s="21">
        <v>1400</v>
      </c>
      <c r="K3111" s="21">
        <v>0</v>
      </c>
      <c r="L3111" s="5">
        <v>0</v>
      </c>
      <c r="M3111" s="4"/>
      <c r="N3111" s="4"/>
      <c r="O3111" s="5"/>
      <c r="P3111" s="5"/>
      <c r="Q3111" s="21">
        <v>40</v>
      </c>
      <c r="R3111" s="21">
        <v>0</v>
      </c>
      <c r="S3111" s="5">
        <f t="shared" si="195"/>
        <v>18520.998635152002</v>
      </c>
      <c r="T3111" cm="1">
        <f t="array" ref="T3111">IF(OR(B3111="MAL ALIMI", B3111="ÜRETİM GİRİŞ"), MIN(I3111, MAX(0, I3111 + SUM(SUMIFS($I$1:I3110, $C$1:C3110, C3111, $B$1:B3110, {"MAL ALIMI","ÜRETİM GİRİŞ"})) - VLOOKUP(C3111, 'STOK RAPORU'!$C$2:$I$1000, 4, 0))), 0)</f>
        <v>0</v>
      </c>
      <c r="U3111" s="22">
        <f t="shared" si="192"/>
        <v>0</v>
      </c>
      <c r="V3111">
        <f t="shared" si="193"/>
        <v>0</v>
      </c>
      <c r="W3111" s="22">
        <f t="shared" si="194"/>
        <v>0</v>
      </c>
    </row>
    <row r="3112" spans="1:23" hidden="1" x14ac:dyDescent="0.25">
      <c r="A3112" s="3">
        <v>46034</v>
      </c>
      <c r="B3112" s="4" t="s">
        <v>334</v>
      </c>
      <c r="C3112" s="4" t="s">
        <v>126</v>
      </c>
      <c r="D3112" s="4"/>
      <c r="E3112" s="4"/>
      <c r="F3112" s="4" t="s">
        <v>1694</v>
      </c>
      <c r="G3112" s="4" t="s">
        <v>336</v>
      </c>
      <c r="H3112" s="4" t="s">
        <v>289</v>
      </c>
      <c r="I3112" s="4">
        <v>0.11874999999999999</v>
      </c>
      <c r="J3112" s="21">
        <v>640</v>
      </c>
      <c r="K3112" s="21">
        <v>0</v>
      </c>
      <c r="L3112" s="5">
        <v>0</v>
      </c>
      <c r="M3112" s="4"/>
      <c r="N3112" s="4"/>
      <c r="O3112" s="5"/>
      <c r="P3112" s="5"/>
      <c r="Q3112" s="21">
        <v>76</v>
      </c>
      <c r="R3112" s="21">
        <v>0</v>
      </c>
      <c r="S3112" s="5">
        <f t="shared" si="195"/>
        <v>18596.998635152002</v>
      </c>
      <c r="T3112" cm="1">
        <f t="array" ref="T3112">IF(OR(B3112="MAL ALIMI", B3112="ÜRETİM GİRİŞ"), MIN(I3112, MAX(0, I3112 + SUM(SUMIFS($I$1:I3111, $C$1:C3111, C3112, $B$1:B3111, {"MAL ALIMI","ÜRETİM GİRİŞ"})) - VLOOKUP(C3112, 'STOK RAPORU'!$C$2:$I$1000, 4, 0))), 0)</f>
        <v>0</v>
      </c>
      <c r="U3112" s="22">
        <f t="shared" si="192"/>
        <v>0</v>
      </c>
      <c r="V3112">
        <f t="shared" si="193"/>
        <v>0</v>
      </c>
      <c r="W3112" s="22">
        <f t="shared" si="194"/>
        <v>0</v>
      </c>
    </row>
    <row r="3113" spans="1:23" hidden="1" x14ac:dyDescent="0.25">
      <c r="A3113" s="3">
        <v>46034</v>
      </c>
      <c r="B3113" s="4" t="s">
        <v>334</v>
      </c>
      <c r="C3113" s="4" t="s">
        <v>524</v>
      </c>
      <c r="D3113" s="4"/>
      <c r="E3113" s="4"/>
      <c r="F3113" s="4" t="s">
        <v>1694</v>
      </c>
      <c r="G3113" s="4" t="s">
        <v>336</v>
      </c>
      <c r="H3113" s="4" t="s">
        <v>289</v>
      </c>
      <c r="I3113" s="4">
        <v>0.1</v>
      </c>
      <c r="J3113" s="21">
        <v>400</v>
      </c>
      <c r="K3113" s="21">
        <v>0</v>
      </c>
      <c r="L3113" s="5">
        <v>0</v>
      </c>
      <c r="M3113" s="4"/>
      <c r="N3113" s="4"/>
      <c r="O3113" s="5"/>
      <c r="P3113" s="5"/>
      <c r="Q3113" s="21">
        <v>40</v>
      </c>
      <c r="R3113" s="21">
        <v>0</v>
      </c>
      <c r="S3113" s="5">
        <f t="shared" si="195"/>
        <v>18636.998635152002</v>
      </c>
      <c r="T3113" cm="1">
        <f t="array" ref="T3113">IF(OR(B3113="MAL ALIMI", B3113="ÜRETİM GİRİŞ"), MIN(I3113, MAX(0, I3113 + SUM(SUMIFS($I$1:I3112, $C$1:C3112, C3113, $B$1:B3112, {"MAL ALIMI","ÜRETİM GİRİŞ"})) - VLOOKUP(C3113, 'STOK RAPORU'!$C$2:$I$1000, 4, 0))), 0)</f>
        <v>0</v>
      </c>
      <c r="U3113" s="22">
        <f t="shared" si="192"/>
        <v>0</v>
      </c>
      <c r="V3113">
        <f t="shared" si="193"/>
        <v>0</v>
      </c>
      <c r="W3113" s="22">
        <f t="shared" si="194"/>
        <v>0</v>
      </c>
    </row>
    <row r="3114" spans="1:23" hidden="1" x14ac:dyDescent="0.25">
      <c r="A3114" s="3">
        <v>46034</v>
      </c>
      <c r="B3114" s="4" t="s">
        <v>334</v>
      </c>
      <c r="C3114" s="4" t="s">
        <v>133</v>
      </c>
      <c r="D3114" s="4"/>
      <c r="E3114" s="4"/>
      <c r="F3114" s="4" t="s">
        <v>1695</v>
      </c>
      <c r="G3114" s="4" t="s">
        <v>336</v>
      </c>
      <c r="H3114" s="4" t="s">
        <v>289</v>
      </c>
      <c r="I3114" s="4">
        <v>0.26319999999999999</v>
      </c>
      <c r="J3114" s="21">
        <v>380</v>
      </c>
      <c r="K3114" s="21">
        <v>0</v>
      </c>
      <c r="L3114" s="5">
        <v>0</v>
      </c>
      <c r="M3114" s="4"/>
      <c r="N3114" s="4"/>
      <c r="O3114" s="5"/>
      <c r="P3114" s="5"/>
      <c r="Q3114" s="21">
        <v>100.01599999999999</v>
      </c>
      <c r="R3114" s="21">
        <v>0</v>
      </c>
      <c r="S3114" s="5">
        <f t="shared" si="195"/>
        <v>18737.014635152002</v>
      </c>
      <c r="T3114" cm="1">
        <f t="array" ref="T3114">IF(OR(B3114="MAL ALIMI", B3114="ÜRETİM GİRİŞ"), MIN(I3114, MAX(0, I3114 + SUM(SUMIFS($I$1:I3113, $C$1:C3113, C3114, $B$1:B3113, {"MAL ALIMI","ÜRETİM GİRİŞ"})) - VLOOKUP(C3114, 'STOK RAPORU'!$C$2:$I$1000, 4, 0))), 0)</f>
        <v>0</v>
      </c>
      <c r="U3114" s="22">
        <f t="shared" si="192"/>
        <v>0</v>
      </c>
      <c r="V3114">
        <f t="shared" si="193"/>
        <v>0</v>
      </c>
      <c r="W3114" s="22">
        <f t="shared" si="194"/>
        <v>0</v>
      </c>
    </row>
    <row r="3115" spans="1:23" hidden="1" x14ac:dyDescent="0.25">
      <c r="A3115" s="3">
        <v>46034</v>
      </c>
      <c r="B3115" s="4" t="s">
        <v>334</v>
      </c>
      <c r="C3115" s="4" t="s">
        <v>588</v>
      </c>
      <c r="D3115" s="4"/>
      <c r="E3115" s="4"/>
      <c r="F3115" s="4" t="s">
        <v>1696</v>
      </c>
      <c r="G3115" s="4" t="s">
        <v>336</v>
      </c>
      <c r="H3115" s="4" t="s">
        <v>289</v>
      </c>
      <c r="I3115" s="4">
        <v>1</v>
      </c>
      <c r="J3115" s="21">
        <v>350</v>
      </c>
      <c r="K3115" s="21">
        <v>0</v>
      </c>
      <c r="L3115" s="5">
        <v>0</v>
      </c>
      <c r="M3115" s="4"/>
      <c r="N3115" s="4"/>
      <c r="O3115" s="5"/>
      <c r="P3115" s="5"/>
      <c r="Q3115" s="21">
        <v>350</v>
      </c>
      <c r="R3115" s="21">
        <v>0</v>
      </c>
      <c r="S3115" s="5">
        <f t="shared" si="195"/>
        <v>19087.014635152002</v>
      </c>
      <c r="T3115" cm="1">
        <f t="array" ref="T3115">IF(OR(B3115="MAL ALIMI", B3115="ÜRETİM GİRİŞ"), MIN(I3115, MAX(0, I3115 + SUM(SUMIFS($I$1:I3114, $C$1:C3114, C3115, $B$1:B3114, {"MAL ALIMI","ÜRETİM GİRİŞ"})) - VLOOKUP(C3115, 'STOK RAPORU'!$C$2:$I$1000, 4, 0))), 0)</f>
        <v>0</v>
      </c>
      <c r="U3115" s="22">
        <f t="shared" si="192"/>
        <v>0</v>
      </c>
      <c r="V3115">
        <f t="shared" si="193"/>
        <v>0</v>
      </c>
      <c r="W3115" s="22">
        <f t="shared" si="194"/>
        <v>0</v>
      </c>
    </row>
    <row r="3116" spans="1:23" hidden="1" x14ac:dyDescent="0.25">
      <c r="A3116" s="3">
        <v>46034</v>
      </c>
      <c r="B3116" s="4" t="s">
        <v>334</v>
      </c>
      <c r="C3116" s="4" t="s">
        <v>591</v>
      </c>
      <c r="D3116" s="4"/>
      <c r="E3116" s="4"/>
      <c r="F3116" s="4" t="s">
        <v>1696</v>
      </c>
      <c r="G3116" s="4" t="s">
        <v>336</v>
      </c>
      <c r="H3116" s="4" t="s">
        <v>289</v>
      </c>
      <c r="I3116" s="4">
        <v>1</v>
      </c>
      <c r="J3116" s="21">
        <v>350</v>
      </c>
      <c r="K3116" s="21">
        <v>0</v>
      </c>
      <c r="L3116" s="5">
        <v>0</v>
      </c>
      <c r="M3116" s="4"/>
      <c r="N3116" s="4"/>
      <c r="O3116" s="5"/>
      <c r="P3116" s="5"/>
      <c r="Q3116" s="21">
        <v>350</v>
      </c>
      <c r="R3116" s="21">
        <v>0</v>
      </c>
      <c r="S3116" s="5">
        <f t="shared" si="195"/>
        <v>19437.014635152002</v>
      </c>
      <c r="T3116" cm="1">
        <f t="array" ref="T3116">IF(OR(B3116="MAL ALIMI", B3116="ÜRETİM GİRİŞ"), MIN(I3116, MAX(0, I3116 + SUM(SUMIFS($I$1:I3115, $C$1:C3115, C3116, $B$1:B3115, {"MAL ALIMI","ÜRETİM GİRİŞ"})) - VLOOKUP(C3116, 'STOK RAPORU'!$C$2:$I$1000, 4, 0))), 0)</f>
        <v>0</v>
      </c>
      <c r="U3116" s="22">
        <f t="shared" si="192"/>
        <v>0</v>
      </c>
      <c r="V3116">
        <f t="shared" si="193"/>
        <v>0</v>
      </c>
      <c r="W3116" s="22">
        <f t="shared" si="194"/>
        <v>0</v>
      </c>
    </row>
    <row r="3117" spans="1:23" hidden="1" x14ac:dyDescent="0.25">
      <c r="A3117" s="3">
        <v>46034</v>
      </c>
      <c r="B3117" s="4" t="s">
        <v>334</v>
      </c>
      <c r="C3117" s="4" t="s">
        <v>1634</v>
      </c>
      <c r="D3117" s="4"/>
      <c r="E3117" s="4"/>
      <c r="F3117" s="4" t="s">
        <v>1696</v>
      </c>
      <c r="G3117" s="4" t="s">
        <v>336</v>
      </c>
      <c r="H3117" s="4" t="s">
        <v>289</v>
      </c>
      <c r="I3117" s="4">
        <v>0.5</v>
      </c>
      <c r="J3117" s="21">
        <v>300</v>
      </c>
      <c r="K3117" s="21">
        <v>0</v>
      </c>
      <c r="L3117" s="5">
        <v>0</v>
      </c>
      <c r="M3117" s="4"/>
      <c r="N3117" s="4"/>
      <c r="O3117" s="5"/>
      <c r="P3117" s="5"/>
      <c r="Q3117" s="21">
        <v>150</v>
      </c>
      <c r="R3117" s="21">
        <v>0</v>
      </c>
      <c r="S3117" s="5">
        <f t="shared" si="195"/>
        <v>19587.014635152002</v>
      </c>
      <c r="T3117" cm="1">
        <f t="array" ref="T3117">IF(OR(B3117="MAL ALIMI", B3117="ÜRETİM GİRİŞ"), MIN(I3117, MAX(0, I3117 + SUM(SUMIFS($I$1:I3116, $C$1:C3116, C3117, $B$1:B3116, {"MAL ALIMI","ÜRETİM GİRİŞ"})) - VLOOKUP(C3117, 'STOK RAPORU'!$C$2:$I$1000, 4, 0))), 0)</f>
        <v>0</v>
      </c>
      <c r="U3117" s="22">
        <f t="shared" si="192"/>
        <v>0</v>
      </c>
      <c r="V3117">
        <f t="shared" si="193"/>
        <v>0</v>
      </c>
      <c r="W3117" s="22">
        <f t="shared" si="194"/>
        <v>0</v>
      </c>
    </row>
    <row r="3118" spans="1:23" hidden="1" x14ac:dyDescent="0.25">
      <c r="A3118" s="3">
        <v>46034</v>
      </c>
      <c r="B3118" s="4" t="s">
        <v>334</v>
      </c>
      <c r="C3118" s="4" t="s">
        <v>692</v>
      </c>
      <c r="D3118" s="4"/>
      <c r="E3118" s="4" t="s">
        <v>921</v>
      </c>
      <c r="F3118" s="4" t="s">
        <v>1697</v>
      </c>
      <c r="G3118" s="4" t="s">
        <v>336</v>
      </c>
      <c r="H3118" s="4" t="s">
        <v>380</v>
      </c>
      <c r="I3118" s="4">
        <v>0.5</v>
      </c>
      <c r="J3118" s="21">
        <v>60</v>
      </c>
      <c r="K3118" s="21">
        <v>30</v>
      </c>
      <c r="L3118" s="5">
        <v>0</v>
      </c>
      <c r="M3118" s="4"/>
      <c r="N3118" s="4"/>
      <c r="O3118" s="5"/>
      <c r="P3118" s="5"/>
      <c r="Q3118" s="21">
        <v>0</v>
      </c>
      <c r="R3118" s="21">
        <v>0</v>
      </c>
      <c r="S3118" s="5">
        <f t="shared" si="195"/>
        <v>19587.014635152002</v>
      </c>
      <c r="T3118" cm="1">
        <f t="array" ref="T3118">IF(OR(B3118="MAL ALIMI", B3118="ÜRETİM GİRİŞ"), MIN(I3118, MAX(0, I3118 + SUM(SUMIFS($I$1:I3117, $C$1:C3117, C3118, $B$1:B3117, {"MAL ALIMI","ÜRETİM GİRİŞ"})) - VLOOKUP(C3118, 'STOK RAPORU'!$C$2:$I$1000, 4, 0))), 0)</f>
        <v>0</v>
      </c>
      <c r="U3118" s="22">
        <f t="shared" si="192"/>
        <v>0</v>
      </c>
      <c r="V3118">
        <f t="shared" si="193"/>
        <v>0</v>
      </c>
      <c r="W3118" s="22">
        <f t="shared" si="194"/>
        <v>0</v>
      </c>
    </row>
    <row r="3119" spans="1:23" hidden="1" x14ac:dyDescent="0.25">
      <c r="A3119" s="3">
        <v>46034</v>
      </c>
      <c r="B3119" s="4" t="s">
        <v>334</v>
      </c>
      <c r="C3119" s="4" t="s">
        <v>209</v>
      </c>
      <c r="D3119" s="4"/>
      <c r="E3119" s="4" t="s">
        <v>921</v>
      </c>
      <c r="F3119" s="4" t="s">
        <v>1697</v>
      </c>
      <c r="G3119" s="4" t="s">
        <v>336</v>
      </c>
      <c r="H3119" s="4" t="s">
        <v>380</v>
      </c>
      <c r="I3119" s="4">
        <v>0.05</v>
      </c>
      <c r="J3119" s="21">
        <v>2600</v>
      </c>
      <c r="K3119" s="21">
        <v>130</v>
      </c>
      <c r="L3119" s="5">
        <v>0</v>
      </c>
      <c r="M3119" s="4"/>
      <c r="N3119" s="4"/>
      <c r="O3119" s="5"/>
      <c r="P3119" s="5"/>
      <c r="Q3119" s="21">
        <v>0</v>
      </c>
      <c r="R3119" s="21">
        <v>0</v>
      </c>
      <c r="S3119" s="5">
        <f t="shared" si="195"/>
        <v>19587.014635152002</v>
      </c>
      <c r="T3119" cm="1">
        <f t="array" ref="T3119">IF(OR(B3119="MAL ALIMI", B3119="ÜRETİM GİRİŞ"), MIN(I3119, MAX(0, I3119 + SUM(SUMIFS($I$1:I3118, $C$1:C3118, C3119, $B$1:B3118, {"MAL ALIMI","ÜRETİM GİRİŞ"})) - VLOOKUP(C3119, 'STOK RAPORU'!$C$2:$I$1000, 4, 0))), 0)</f>
        <v>0</v>
      </c>
      <c r="U3119" s="22">
        <f t="shared" si="192"/>
        <v>0</v>
      </c>
      <c r="V3119">
        <f t="shared" si="193"/>
        <v>0</v>
      </c>
      <c r="W3119" s="22">
        <f t="shared" si="194"/>
        <v>0</v>
      </c>
    </row>
    <row r="3120" spans="1:23" hidden="1" x14ac:dyDescent="0.25">
      <c r="A3120" s="3">
        <v>46034</v>
      </c>
      <c r="B3120" s="4" t="s">
        <v>334</v>
      </c>
      <c r="C3120" s="46" t="s">
        <v>585</v>
      </c>
      <c r="D3120" s="4"/>
      <c r="E3120" s="4" t="s">
        <v>921</v>
      </c>
      <c r="F3120" s="4" t="s">
        <v>1698</v>
      </c>
      <c r="G3120" s="4" t="s">
        <v>336</v>
      </c>
      <c r="H3120" s="4" t="s">
        <v>380</v>
      </c>
      <c r="I3120" s="4">
        <v>0.5</v>
      </c>
      <c r="J3120" s="21">
        <v>200</v>
      </c>
      <c r="K3120" s="21">
        <v>100</v>
      </c>
      <c r="L3120" s="5">
        <v>0</v>
      </c>
      <c r="M3120" s="4"/>
      <c r="N3120" s="4"/>
      <c r="O3120" s="5"/>
      <c r="P3120" s="5"/>
      <c r="Q3120" s="21">
        <v>0</v>
      </c>
      <c r="R3120" s="21">
        <v>0</v>
      </c>
      <c r="S3120" s="5">
        <f t="shared" si="195"/>
        <v>19587.014635152002</v>
      </c>
      <c r="T3120" cm="1">
        <f t="array" ref="T3120">IF(OR(B3120="MAL ALIMI", B3120="ÜRETİM GİRİŞ"), MIN(I3120, MAX(0, I3120 + SUM(SUMIFS($I$1:I3119, $C$1:C3119, C3120, $B$1:B3119, {"MAL ALIMI","ÜRETİM GİRİŞ"})) - VLOOKUP(C3120, 'STOK RAPORU'!$C$2:$I$1000, 4, 0))), 0)</f>
        <v>0</v>
      </c>
      <c r="U3120" s="22">
        <f t="shared" si="192"/>
        <v>0</v>
      </c>
      <c r="V3120">
        <f t="shared" si="193"/>
        <v>0</v>
      </c>
      <c r="W3120" s="22">
        <f t="shared" si="194"/>
        <v>0</v>
      </c>
    </row>
    <row r="3121" spans="1:23" hidden="1" x14ac:dyDescent="0.25">
      <c r="A3121" s="3">
        <v>46034</v>
      </c>
      <c r="B3121" s="4" t="s">
        <v>334</v>
      </c>
      <c r="C3121" s="4" t="s">
        <v>586</v>
      </c>
      <c r="D3121" s="4"/>
      <c r="E3121" s="4" t="s">
        <v>921</v>
      </c>
      <c r="F3121" s="4" t="s">
        <v>1698</v>
      </c>
      <c r="G3121" s="4" t="s">
        <v>336</v>
      </c>
      <c r="H3121" s="4" t="s">
        <v>380</v>
      </c>
      <c r="I3121" s="4">
        <v>0.5</v>
      </c>
      <c r="J3121" s="21">
        <v>200</v>
      </c>
      <c r="K3121" s="21">
        <v>100</v>
      </c>
      <c r="L3121" s="5">
        <v>0</v>
      </c>
      <c r="M3121" s="4"/>
      <c r="N3121" s="4"/>
      <c r="O3121" s="5"/>
      <c r="P3121" s="5"/>
      <c r="Q3121" s="21">
        <v>0</v>
      </c>
      <c r="R3121" s="21">
        <v>0</v>
      </c>
      <c r="S3121" s="5">
        <f t="shared" si="195"/>
        <v>19587.014635152002</v>
      </c>
      <c r="T3121" cm="1">
        <f t="array" ref="T3121">IF(OR(B3121="MAL ALIMI", B3121="ÜRETİM GİRİŞ"), MIN(I3121, MAX(0, I3121 + SUM(SUMIFS($I$1:I3120, $C$1:C3120, C3121, $B$1:B3120, {"MAL ALIMI","ÜRETİM GİRİŞ"})) - VLOOKUP(C3121, 'STOK RAPORU'!$C$2:$I$1000, 4, 0))), 0)</f>
        <v>0</v>
      </c>
      <c r="U3121" s="22">
        <f t="shared" si="192"/>
        <v>0</v>
      </c>
      <c r="V3121">
        <f t="shared" si="193"/>
        <v>0</v>
      </c>
      <c r="W3121" s="22">
        <f t="shared" si="194"/>
        <v>0</v>
      </c>
    </row>
    <row r="3122" spans="1:23" hidden="1" x14ac:dyDescent="0.25">
      <c r="A3122" s="3">
        <v>46034</v>
      </c>
      <c r="B3122" s="4" t="s">
        <v>334</v>
      </c>
      <c r="C3122" s="46" t="s">
        <v>585</v>
      </c>
      <c r="D3122" s="4"/>
      <c r="E3122" s="4"/>
      <c r="F3122" s="4" t="s">
        <v>1699</v>
      </c>
      <c r="G3122" s="4" t="s">
        <v>336</v>
      </c>
      <c r="H3122" s="4" t="s">
        <v>289</v>
      </c>
      <c r="I3122" s="4">
        <v>0.5</v>
      </c>
      <c r="J3122" s="21">
        <v>200</v>
      </c>
      <c r="K3122" s="21">
        <v>0</v>
      </c>
      <c r="L3122" s="5">
        <v>0</v>
      </c>
      <c r="M3122" s="4"/>
      <c r="N3122" s="4"/>
      <c r="O3122" s="5"/>
      <c r="P3122" s="5"/>
      <c r="Q3122" s="21">
        <v>100</v>
      </c>
      <c r="R3122" s="21">
        <v>0</v>
      </c>
      <c r="S3122" s="5">
        <f t="shared" si="195"/>
        <v>19687.014635152002</v>
      </c>
      <c r="T3122" cm="1">
        <f t="array" ref="T3122">IF(OR(B3122="MAL ALIMI", B3122="ÜRETİM GİRİŞ"), MIN(I3122, MAX(0, I3122 + SUM(SUMIFS($I$1:I3121, $C$1:C3121, C3122, $B$1:B3121, {"MAL ALIMI","ÜRETİM GİRİŞ"})) - VLOOKUP(C3122, 'STOK RAPORU'!$C$2:$I$1000, 4, 0))), 0)</f>
        <v>0</v>
      </c>
      <c r="U3122" s="22">
        <f t="shared" si="192"/>
        <v>0</v>
      </c>
      <c r="V3122">
        <f t="shared" si="193"/>
        <v>0</v>
      </c>
      <c r="W3122" s="22">
        <f t="shared" si="194"/>
        <v>0</v>
      </c>
    </row>
    <row r="3123" spans="1:23" hidden="1" x14ac:dyDescent="0.25">
      <c r="A3123" s="3">
        <v>46034</v>
      </c>
      <c r="B3123" s="4" t="s">
        <v>334</v>
      </c>
      <c r="C3123" s="4" t="s">
        <v>586</v>
      </c>
      <c r="D3123" s="4"/>
      <c r="E3123" s="4"/>
      <c r="F3123" s="4" t="s">
        <v>1699</v>
      </c>
      <c r="G3123" s="4" t="s">
        <v>336</v>
      </c>
      <c r="H3123" s="4" t="s">
        <v>289</v>
      </c>
      <c r="I3123" s="4">
        <v>0.5</v>
      </c>
      <c r="J3123" s="21">
        <v>200</v>
      </c>
      <c r="K3123" s="21">
        <v>0</v>
      </c>
      <c r="L3123" s="5">
        <v>0</v>
      </c>
      <c r="M3123" s="4"/>
      <c r="N3123" s="4"/>
      <c r="O3123" s="5"/>
      <c r="P3123" s="5"/>
      <c r="Q3123" s="21">
        <v>100</v>
      </c>
      <c r="R3123" s="21">
        <v>0</v>
      </c>
      <c r="S3123" s="5">
        <f t="shared" si="195"/>
        <v>19787.014635152002</v>
      </c>
      <c r="T3123" cm="1">
        <f t="array" ref="T3123">IF(OR(B3123="MAL ALIMI", B3123="ÜRETİM GİRİŞ"), MIN(I3123, MAX(0, I3123 + SUM(SUMIFS($I$1:I3122, $C$1:C3122, C3123, $B$1:B3122, {"MAL ALIMI","ÜRETİM GİRİŞ"})) - VLOOKUP(C3123, 'STOK RAPORU'!$C$2:$I$1000, 4, 0))), 0)</f>
        <v>0</v>
      </c>
      <c r="U3123" s="22">
        <f t="shared" si="192"/>
        <v>0</v>
      </c>
      <c r="V3123">
        <f t="shared" si="193"/>
        <v>0</v>
      </c>
      <c r="W3123" s="22">
        <f t="shared" si="194"/>
        <v>0</v>
      </c>
    </row>
    <row r="3124" spans="1:23" hidden="1" x14ac:dyDescent="0.25">
      <c r="A3124" s="3">
        <v>46034</v>
      </c>
      <c r="B3124" s="4" t="s">
        <v>334</v>
      </c>
      <c r="C3124" s="4" t="s">
        <v>601</v>
      </c>
      <c r="D3124" s="4"/>
      <c r="E3124" s="4" t="s">
        <v>921</v>
      </c>
      <c r="F3124" s="4" t="s">
        <v>1700</v>
      </c>
      <c r="G3124" s="4" t="s">
        <v>336</v>
      </c>
      <c r="H3124" s="4" t="s">
        <v>380</v>
      </c>
      <c r="I3124" s="4">
        <v>0.30727272727272725</v>
      </c>
      <c r="J3124" s="21">
        <v>500</v>
      </c>
      <c r="K3124" s="21">
        <v>153.63636363636363</v>
      </c>
      <c r="L3124" s="5">
        <v>0</v>
      </c>
      <c r="M3124" s="4"/>
      <c r="N3124" s="4"/>
      <c r="O3124" s="5"/>
      <c r="P3124" s="5"/>
      <c r="Q3124" s="21">
        <v>0</v>
      </c>
      <c r="R3124" s="21">
        <v>0</v>
      </c>
      <c r="S3124" s="5">
        <f t="shared" si="195"/>
        <v>19787.014635152002</v>
      </c>
      <c r="T3124" cm="1">
        <f t="array" ref="T3124">IF(OR(B3124="MAL ALIMI", B3124="ÜRETİM GİRİŞ"), MIN(I3124, MAX(0, I3124 + SUM(SUMIFS($I$1:I3123, $C$1:C3123, C3124, $B$1:B3123, {"MAL ALIMI","ÜRETİM GİRİŞ"})) - VLOOKUP(C3124, 'STOK RAPORU'!$C$2:$I$1000, 4, 0))), 0)</f>
        <v>0</v>
      </c>
      <c r="U3124" s="22">
        <f t="shared" si="192"/>
        <v>0</v>
      </c>
      <c r="V3124">
        <f t="shared" si="193"/>
        <v>0</v>
      </c>
      <c r="W3124" s="22">
        <f t="shared" si="194"/>
        <v>0</v>
      </c>
    </row>
    <row r="3125" spans="1:23" hidden="1" x14ac:dyDescent="0.25">
      <c r="A3125" s="3">
        <v>46034</v>
      </c>
      <c r="B3125" s="4" t="s">
        <v>334</v>
      </c>
      <c r="C3125" s="4" t="s">
        <v>245</v>
      </c>
      <c r="D3125" s="4"/>
      <c r="E3125" s="4" t="s">
        <v>921</v>
      </c>
      <c r="F3125" s="4" t="s">
        <v>1700</v>
      </c>
      <c r="G3125" s="4" t="s">
        <v>336</v>
      </c>
      <c r="H3125" s="4" t="s">
        <v>380</v>
      </c>
      <c r="I3125" s="4">
        <v>0.23076923076923078</v>
      </c>
      <c r="J3125" s="21">
        <v>635</v>
      </c>
      <c r="K3125" s="21">
        <v>146.53846153846155</v>
      </c>
      <c r="L3125" s="5">
        <v>0</v>
      </c>
      <c r="M3125" s="4"/>
      <c r="N3125" s="4"/>
      <c r="O3125" s="5"/>
      <c r="P3125" s="5"/>
      <c r="Q3125" s="21">
        <v>0</v>
      </c>
      <c r="R3125" s="21">
        <v>0</v>
      </c>
      <c r="S3125" s="5">
        <f t="shared" si="195"/>
        <v>19787.014635152002</v>
      </c>
      <c r="T3125" cm="1">
        <f t="array" ref="T3125">IF(OR(B3125="MAL ALIMI", B3125="ÜRETİM GİRİŞ"), MIN(I3125, MAX(0, I3125 + SUM(SUMIFS($I$1:I3124, $C$1:C3124, C3125, $B$1:B3124, {"MAL ALIMI","ÜRETİM GİRİŞ"})) - VLOOKUP(C3125, 'STOK RAPORU'!$C$2:$I$1000, 4, 0))), 0)</f>
        <v>0</v>
      </c>
      <c r="U3125" s="22">
        <f t="shared" si="192"/>
        <v>0</v>
      </c>
      <c r="V3125">
        <f t="shared" si="193"/>
        <v>0</v>
      </c>
      <c r="W3125" s="22">
        <f t="shared" si="194"/>
        <v>0</v>
      </c>
    </row>
    <row r="3126" spans="1:23" hidden="1" x14ac:dyDescent="0.25">
      <c r="A3126" s="3">
        <v>46034</v>
      </c>
      <c r="B3126" s="4" t="s">
        <v>334</v>
      </c>
      <c r="C3126" s="4" t="s">
        <v>1634</v>
      </c>
      <c r="D3126" s="4"/>
      <c r="E3126" s="4" t="s">
        <v>921</v>
      </c>
      <c r="F3126" s="4" t="s">
        <v>1700</v>
      </c>
      <c r="G3126" s="4" t="s">
        <v>336</v>
      </c>
      <c r="H3126" s="4" t="s">
        <v>380</v>
      </c>
      <c r="I3126" s="4">
        <v>1</v>
      </c>
      <c r="J3126" s="21">
        <v>300</v>
      </c>
      <c r="K3126" s="21">
        <v>300</v>
      </c>
      <c r="L3126" s="5">
        <v>0</v>
      </c>
      <c r="M3126" s="4"/>
      <c r="N3126" s="4"/>
      <c r="O3126" s="5"/>
      <c r="P3126" s="5"/>
      <c r="Q3126" s="21">
        <v>0</v>
      </c>
      <c r="R3126" s="21">
        <v>0</v>
      </c>
      <c r="S3126" s="5">
        <f t="shared" si="195"/>
        <v>19787.014635152002</v>
      </c>
      <c r="T3126" cm="1">
        <f t="array" ref="T3126">IF(OR(B3126="MAL ALIMI", B3126="ÜRETİM GİRİŞ"), MIN(I3126, MAX(0, I3126 + SUM(SUMIFS($I$1:I3125, $C$1:C3125, C3126, $B$1:B3125, {"MAL ALIMI","ÜRETİM GİRİŞ"})) - VLOOKUP(C3126, 'STOK RAPORU'!$C$2:$I$1000, 4, 0))), 0)</f>
        <v>0</v>
      </c>
      <c r="U3126" s="22">
        <f t="shared" si="192"/>
        <v>0</v>
      </c>
      <c r="V3126">
        <f t="shared" si="193"/>
        <v>0</v>
      </c>
      <c r="W3126" s="22">
        <f t="shared" si="194"/>
        <v>0</v>
      </c>
    </row>
    <row r="3127" spans="1:23" hidden="1" x14ac:dyDescent="0.25">
      <c r="A3127" s="3">
        <v>46034</v>
      </c>
      <c r="B3127" s="4" t="s">
        <v>334</v>
      </c>
      <c r="C3127" s="4" t="s">
        <v>1501</v>
      </c>
      <c r="D3127" s="4"/>
      <c r="E3127" s="4"/>
      <c r="F3127" s="4" t="s">
        <v>1700</v>
      </c>
      <c r="G3127" s="4" t="s">
        <v>336</v>
      </c>
      <c r="H3127" s="4" t="s">
        <v>289</v>
      </c>
      <c r="I3127" s="4">
        <v>1.218</v>
      </c>
      <c r="J3127" s="21">
        <v>600</v>
      </c>
      <c r="K3127" s="21">
        <v>0</v>
      </c>
      <c r="L3127" s="5">
        <v>0</v>
      </c>
      <c r="M3127" s="4"/>
      <c r="N3127" s="4"/>
      <c r="O3127" s="5"/>
      <c r="P3127" s="5"/>
      <c r="Q3127" s="21">
        <v>730.8</v>
      </c>
      <c r="R3127" s="21">
        <v>0</v>
      </c>
      <c r="S3127" s="5">
        <f t="shared" si="195"/>
        <v>20517.814635152001</v>
      </c>
      <c r="T3127" cm="1">
        <f t="array" ref="T3127">IF(OR(B3127="MAL ALIMI", B3127="ÜRETİM GİRİŞ"), MIN(I3127, MAX(0, I3127 + SUM(SUMIFS($I$1:I3126, $C$1:C3126, C3127, $B$1:B3126, {"MAL ALIMI","ÜRETİM GİRİŞ"})) - VLOOKUP(C3127, 'STOK RAPORU'!$C$2:$I$1000, 4, 0))), 0)</f>
        <v>0</v>
      </c>
      <c r="U3127" s="22">
        <f t="shared" si="192"/>
        <v>0</v>
      </c>
      <c r="V3127">
        <f t="shared" si="193"/>
        <v>0</v>
      </c>
      <c r="W3127" s="22">
        <f t="shared" si="194"/>
        <v>0</v>
      </c>
    </row>
    <row r="3128" spans="1:23" hidden="1" x14ac:dyDescent="0.25">
      <c r="A3128" s="3">
        <v>46034</v>
      </c>
      <c r="B3128" s="4" t="s">
        <v>334</v>
      </c>
      <c r="C3128" s="4" t="s">
        <v>1443</v>
      </c>
      <c r="D3128" s="4"/>
      <c r="E3128" s="4"/>
      <c r="F3128" s="4" t="s">
        <v>1700</v>
      </c>
      <c r="G3128" s="4" t="s">
        <v>336</v>
      </c>
      <c r="H3128" s="4" t="s">
        <v>289</v>
      </c>
      <c r="I3128" s="4">
        <v>2</v>
      </c>
      <c r="J3128" s="21">
        <v>10</v>
      </c>
      <c r="K3128" s="21">
        <v>0</v>
      </c>
      <c r="L3128" s="5">
        <v>0</v>
      </c>
      <c r="M3128" s="4"/>
      <c r="N3128" s="4"/>
      <c r="O3128" s="5"/>
      <c r="P3128" s="5"/>
      <c r="Q3128" s="21">
        <v>20</v>
      </c>
      <c r="R3128" s="21">
        <v>0</v>
      </c>
      <c r="S3128" s="5">
        <f t="shared" si="195"/>
        <v>20537.814635152001</v>
      </c>
      <c r="T3128" cm="1">
        <f t="array" ref="T3128">IF(OR(B3128="MAL ALIMI", B3128="ÜRETİM GİRİŞ"), MIN(I3128, MAX(0, I3128 + SUM(SUMIFS($I$1:I3127, $C$1:C3127, C3128, $B$1:B3127, {"MAL ALIMI","ÜRETİM GİRİŞ"})) - VLOOKUP(C3128, 'STOK RAPORU'!$C$2:$I$1000, 4, 0))), 0)</f>
        <v>0</v>
      </c>
      <c r="U3128" s="22">
        <f t="shared" si="192"/>
        <v>0</v>
      </c>
      <c r="V3128">
        <f t="shared" si="193"/>
        <v>0</v>
      </c>
      <c r="W3128" s="22">
        <f t="shared" si="194"/>
        <v>0</v>
      </c>
    </row>
    <row r="3129" spans="1:23" hidden="1" x14ac:dyDescent="0.25">
      <c r="A3129" s="3">
        <v>46034</v>
      </c>
      <c r="B3129" s="4" t="s">
        <v>334</v>
      </c>
      <c r="C3129" s="4" t="s">
        <v>651</v>
      </c>
      <c r="D3129" s="4"/>
      <c r="E3129" s="4" t="s">
        <v>921</v>
      </c>
      <c r="F3129" s="4" t="s">
        <v>1700</v>
      </c>
      <c r="G3129" s="4" t="s">
        <v>336</v>
      </c>
      <c r="H3129" s="4" t="s">
        <v>380</v>
      </c>
      <c r="I3129" s="4">
        <v>1</v>
      </c>
      <c r="J3129" s="21">
        <v>400</v>
      </c>
      <c r="K3129" s="21">
        <v>400</v>
      </c>
      <c r="L3129" s="5">
        <v>0</v>
      </c>
      <c r="M3129" s="4"/>
      <c r="N3129" s="4"/>
      <c r="O3129" s="5"/>
      <c r="P3129" s="5"/>
      <c r="Q3129" s="21">
        <v>0</v>
      </c>
      <c r="R3129" s="21">
        <v>0</v>
      </c>
      <c r="S3129" s="5">
        <f t="shared" si="195"/>
        <v>20537.814635152001</v>
      </c>
      <c r="T3129" cm="1">
        <f t="array" ref="T3129">IF(OR(B3129="MAL ALIMI", B3129="ÜRETİM GİRİŞ"), MIN(I3129, MAX(0, I3129 + SUM(SUMIFS($I$1:I3128, $C$1:C3128, C3129, $B$1:B3128, {"MAL ALIMI","ÜRETİM GİRİŞ"})) - VLOOKUP(C3129, 'STOK RAPORU'!$C$2:$I$1000, 4, 0))), 0)</f>
        <v>0</v>
      </c>
      <c r="U3129" s="22">
        <f t="shared" si="192"/>
        <v>0</v>
      </c>
      <c r="V3129">
        <f t="shared" si="193"/>
        <v>0</v>
      </c>
      <c r="W3129" s="22">
        <f t="shared" si="194"/>
        <v>0</v>
      </c>
    </row>
    <row r="3130" spans="1:23" hidden="1" x14ac:dyDescent="0.25">
      <c r="A3130" s="3">
        <v>46034</v>
      </c>
      <c r="B3130" s="4" t="s">
        <v>334</v>
      </c>
      <c r="C3130" s="4" t="s">
        <v>131</v>
      </c>
      <c r="D3130" s="4"/>
      <c r="E3130" s="4"/>
      <c r="F3130" s="4" t="s">
        <v>1701</v>
      </c>
      <c r="G3130" s="4" t="s">
        <v>336</v>
      </c>
      <c r="H3130" s="4" t="s">
        <v>289</v>
      </c>
      <c r="I3130" s="4">
        <v>0.16250000000000001</v>
      </c>
      <c r="J3130" s="21">
        <v>400</v>
      </c>
      <c r="K3130" s="21">
        <v>0</v>
      </c>
      <c r="L3130" s="5">
        <v>0</v>
      </c>
      <c r="M3130" s="4"/>
      <c r="N3130" s="4"/>
      <c r="O3130" s="5"/>
      <c r="P3130" s="5"/>
      <c r="Q3130" s="21">
        <v>65</v>
      </c>
      <c r="R3130" s="21">
        <v>0</v>
      </c>
      <c r="S3130" s="5">
        <f t="shared" si="195"/>
        <v>20602.814635152001</v>
      </c>
      <c r="T3130" cm="1">
        <f t="array" ref="T3130">IF(OR(B3130="MAL ALIMI", B3130="ÜRETİM GİRİŞ"), MIN(I3130, MAX(0, I3130 + SUM(SUMIFS($I$1:I3129, $C$1:C3129, C3130, $B$1:B3129, {"MAL ALIMI","ÜRETİM GİRİŞ"})) - VLOOKUP(C3130, 'STOK RAPORU'!$C$2:$I$1000, 4, 0))), 0)</f>
        <v>0</v>
      </c>
      <c r="U3130" s="22">
        <f t="shared" si="192"/>
        <v>0</v>
      </c>
      <c r="V3130">
        <f t="shared" si="193"/>
        <v>0</v>
      </c>
      <c r="W3130" s="22">
        <f t="shared" si="194"/>
        <v>0</v>
      </c>
    </row>
    <row r="3131" spans="1:23" hidden="1" x14ac:dyDescent="0.25">
      <c r="A3131" s="3">
        <v>46034</v>
      </c>
      <c r="B3131" s="4" t="s">
        <v>334</v>
      </c>
      <c r="C3131" s="4" t="s">
        <v>691</v>
      </c>
      <c r="D3131" s="4"/>
      <c r="E3131" s="4"/>
      <c r="F3131" s="4" t="s">
        <v>1701</v>
      </c>
      <c r="G3131" s="4" t="s">
        <v>336</v>
      </c>
      <c r="H3131" s="4" t="s">
        <v>289</v>
      </c>
      <c r="I3131" s="4">
        <v>0.23599999999999999</v>
      </c>
      <c r="J3131" s="21">
        <v>230</v>
      </c>
      <c r="K3131" s="21">
        <v>0</v>
      </c>
      <c r="L3131" s="5">
        <v>0</v>
      </c>
      <c r="M3131" s="4"/>
      <c r="N3131" s="4"/>
      <c r="O3131" s="5"/>
      <c r="P3131" s="5"/>
      <c r="Q3131" s="21">
        <v>54.279999999999994</v>
      </c>
      <c r="R3131" s="21">
        <v>0</v>
      </c>
      <c r="S3131" s="5">
        <f t="shared" si="195"/>
        <v>20657.094635152</v>
      </c>
      <c r="T3131" cm="1">
        <f t="array" ref="T3131">IF(OR(B3131="MAL ALIMI", B3131="ÜRETİM GİRİŞ"), MIN(I3131, MAX(0, I3131 + SUM(SUMIFS($I$1:I3130, $C$1:C3130, C3131, $B$1:B3130, {"MAL ALIMI","ÜRETİM GİRİŞ"})) - VLOOKUP(C3131, 'STOK RAPORU'!$C$2:$I$1000, 4, 0))), 0)</f>
        <v>0</v>
      </c>
      <c r="U3131" s="22">
        <f t="shared" si="192"/>
        <v>0</v>
      </c>
      <c r="V3131">
        <f t="shared" si="193"/>
        <v>0</v>
      </c>
      <c r="W3131" s="22">
        <f t="shared" si="194"/>
        <v>0</v>
      </c>
    </row>
    <row r="3132" spans="1:23" hidden="1" x14ac:dyDescent="0.25">
      <c r="A3132" s="3">
        <v>46034</v>
      </c>
      <c r="B3132" s="4" t="s">
        <v>946</v>
      </c>
      <c r="C3132" s="4"/>
      <c r="D3132" s="4"/>
      <c r="E3132" s="4" t="s">
        <v>921</v>
      </c>
      <c r="F3132" s="4"/>
      <c r="G3132" s="4" t="s">
        <v>946</v>
      </c>
      <c r="H3132" s="4" t="s">
        <v>380</v>
      </c>
      <c r="I3132" s="4">
        <v>1</v>
      </c>
      <c r="J3132" s="105">
        <v>1510</v>
      </c>
      <c r="K3132" s="21">
        <v>0</v>
      </c>
      <c r="L3132" s="102">
        <v>1510</v>
      </c>
      <c r="M3132" s="4"/>
      <c r="N3132" s="4"/>
      <c r="O3132" s="5"/>
      <c r="P3132" s="5"/>
      <c r="Q3132" s="21">
        <v>1510</v>
      </c>
      <c r="R3132" s="21">
        <v>0</v>
      </c>
      <c r="S3132" s="5">
        <f t="shared" si="195"/>
        <v>22167.094635152</v>
      </c>
      <c r="T3132" cm="1">
        <f t="array" ref="T3132">IF(OR(B3132="MAL ALIMI", B3132="ÜRETİM GİRİŞ"), MIN(I3132, MAX(0, I3132 + SUM(SUMIFS($I$1:I3131, $C$1:C3131, C3132, $B$1:B3131, {"MAL ALIMI","ÜRETİM GİRİŞ"})) - VLOOKUP(C3132, 'STOK RAPORU'!$C$2:$I$1000, 4, 0))), 0)</f>
        <v>0</v>
      </c>
      <c r="U3132" s="22">
        <f t="shared" si="192"/>
        <v>0</v>
      </c>
      <c r="V3132">
        <f t="shared" si="193"/>
        <v>0</v>
      </c>
      <c r="W3132" s="22">
        <f t="shared" si="194"/>
        <v>0</v>
      </c>
    </row>
    <row r="3133" spans="1:23" hidden="1" x14ac:dyDescent="0.25">
      <c r="A3133" s="3">
        <v>46034</v>
      </c>
      <c r="B3133" s="4" t="s">
        <v>946</v>
      </c>
      <c r="C3133" s="4"/>
      <c r="D3133" s="4"/>
      <c r="E3133" s="4" t="s">
        <v>921</v>
      </c>
      <c r="F3133" s="4"/>
      <c r="G3133" s="4" t="s">
        <v>946</v>
      </c>
      <c r="H3133" s="4" t="s">
        <v>380</v>
      </c>
      <c r="I3133" s="4">
        <v>1</v>
      </c>
      <c r="J3133" s="105">
        <v>681</v>
      </c>
      <c r="K3133" s="21">
        <v>0</v>
      </c>
      <c r="L3133" s="102">
        <v>681</v>
      </c>
      <c r="M3133" s="4"/>
      <c r="N3133" s="4"/>
      <c r="O3133" s="5"/>
      <c r="P3133" s="5"/>
      <c r="Q3133" s="21">
        <v>681</v>
      </c>
      <c r="R3133" s="21">
        <v>0</v>
      </c>
      <c r="S3133" s="5">
        <f t="shared" si="195"/>
        <v>22848.094635152</v>
      </c>
      <c r="T3133" cm="1">
        <f t="array" ref="T3133">IF(OR(B3133="MAL ALIMI", B3133="ÜRETİM GİRİŞ"), MIN(I3133, MAX(0, I3133 + SUM(SUMIFS($I$1:I3132, $C$1:C3132, C3133, $B$1:B3132, {"MAL ALIMI","ÜRETİM GİRİŞ"})) - VLOOKUP(C3133, 'STOK RAPORU'!$C$2:$I$1000, 4, 0))), 0)</f>
        <v>0</v>
      </c>
      <c r="U3133" s="22">
        <f t="shared" si="192"/>
        <v>0</v>
      </c>
      <c r="V3133">
        <f t="shared" si="193"/>
        <v>0</v>
      </c>
      <c r="W3133" s="22">
        <f t="shared" si="194"/>
        <v>0</v>
      </c>
    </row>
    <row r="3134" spans="1:23" hidden="1" x14ac:dyDescent="0.25">
      <c r="A3134" s="3">
        <v>46035</v>
      </c>
      <c r="B3134" s="4" t="s">
        <v>334</v>
      </c>
      <c r="C3134" s="4" t="s">
        <v>1041</v>
      </c>
      <c r="D3134" s="4"/>
      <c r="E3134" s="4"/>
      <c r="F3134" s="4" t="s">
        <v>1702</v>
      </c>
      <c r="G3134" s="4" t="s">
        <v>336</v>
      </c>
      <c r="H3134" s="4" t="s">
        <v>289</v>
      </c>
      <c r="I3134" s="4">
        <v>1</v>
      </c>
      <c r="J3134" s="21">
        <v>250</v>
      </c>
      <c r="K3134" s="21">
        <v>0</v>
      </c>
      <c r="L3134" s="5">
        <v>0</v>
      </c>
      <c r="M3134" s="4"/>
      <c r="N3134" s="4"/>
      <c r="O3134" s="5"/>
      <c r="P3134" s="5"/>
      <c r="Q3134" s="21">
        <v>250</v>
      </c>
      <c r="R3134" s="21">
        <v>0</v>
      </c>
      <c r="S3134" s="5">
        <f t="shared" si="195"/>
        <v>23098.094635152</v>
      </c>
      <c r="T3134" cm="1">
        <f t="array" ref="T3134">IF(OR(B3134="MAL ALIMI", B3134="ÜRETİM GİRİŞ"), MIN(I3134, MAX(0, I3134 + SUM(SUMIFS($I$1:I3133, $C$1:C3133, C3134, $B$1:B3133, {"MAL ALIMI","ÜRETİM GİRİŞ"})) - VLOOKUP(C3134, 'STOK RAPORU'!$C$2:$I$1000, 4, 0))), 0)</f>
        <v>0</v>
      </c>
      <c r="U3134" s="22">
        <f t="shared" si="192"/>
        <v>0</v>
      </c>
      <c r="V3134">
        <f t="shared" si="193"/>
        <v>0</v>
      </c>
      <c r="W3134" s="22">
        <f t="shared" si="194"/>
        <v>0</v>
      </c>
    </row>
    <row r="3135" spans="1:23" hidden="1" x14ac:dyDescent="0.25">
      <c r="A3135" s="3">
        <v>46035</v>
      </c>
      <c r="B3135" s="4" t="s">
        <v>334</v>
      </c>
      <c r="C3135" s="4" t="s">
        <v>161</v>
      </c>
      <c r="D3135" s="4"/>
      <c r="E3135" s="4"/>
      <c r="F3135" s="4" t="s">
        <v>1703</v>
      </c>
      <c r="G3135" s="4" t="s">
        <v>336</v>
      </c>
      <c r="H3135" s="4" t="s">
        <v>289</v>
      </c>
      <c r="I3135" s="4">
        <v>1</v>
      </c>
      <c r="J3135" s="21">
        <v>230</v>
      </c>
      <c r="K3135" s="21">
        <v>0</v>
      </c>
      <c r="L3135" s="5">
        <v>0</v>
      </c>
      <c r="M3135" s="4"/>
      <c r="N3135" s="4"/>
      <c r="O3135" s="5"/>
      <c r="P3135" s="5"/>
      <c r="Q3135" s="21">
        <v>230</v>
      </c>
      <c r="R3135" s="21">
        <v>0</v>
      </c>
      <c r="S3135" s="5">
        <f t="shared" si="195"/>
        <v>23328.094635152</v>
      </c>
      <c r="T3135" cm="1">
        <f t="array" ref="T3135">IF(OR(B3135="MAL ALIMI", B3135="ÜRETİM GİRİŞ"), MIN(I3135, MAX(0, I3135 + SUM(SUMIFS($I$1:I3134, $C$1:C3134, C3135, $B$1:B3134, {"MAL ALIMI","ÜRETİM GİRİŞ"})) - VLOOKUP(C3135, 'STOK RAPORU'!$C$2:$I$1000, 4, 0))), 0)</f>
        <v>0</v>
      </c>
      <c r="U3135" s="22">
        <f t="shared" si="192"/>
        <v>0</v>
      </c>
      <c r="V3135">
        <f t="shared" si="193"/>
        <v>0</v>
      </c>
      <c r="W3135" s="22">
        <f t="shared" si="194"/>
        <v>0</v>
      </c>
    </row>
    <row r="3136" spans="1:23" hidden="1" x14ac:dyDescent="0.25">
      <c r="A3136" s="3">
        <v>46035</v>
      </c>
      <c r="B3136" s="4" t="s">
        <v>334</v>
      </c>
      <c r="C3136" s="4" t="s">
        <v>224</v>
      </c>
      <c r="D3136" s="4"/>
      <c r="E3136" s="4" t="s">
        <v>921</v>
      </c>
      <c r="F3136" s="4" t="s">
        <v>1704</v>
      </c>
      <c r="G3136" s="4" t="s">
        <v>336</v>
      </c>
      <c r="H3136" s="4" t="s">
        <v>380</v>
      </c>
      <c r="I3136" s="4">
        <v>0.05</v>
      </c>
      <c r="J3136" s="21">
        <v>900</v>
      </c>
      <c r="K3136" s="21">
        <v>45</v>
      </c>
      <c r="L3136" s="5">
        <v>0</v>
      </c>
      <c r="M3136" s="4"/>
      <c r="N3136" s="4"/>
      <c r="O3136" s="5"/>
      <c r="P3136" s="5"/>
      <c r="Q3136" s="21">
        <v>0</v>
      </c>
      <c r="R3136" s="21">
        <v>0</v>
      </c>
      <c r="S3136" s="5">
        <f t="shared" si="195"/>
        <v>23328.094635152</v>
      </c>
      <c r="T3136" cm="1">
        <f t="array" ref="T3136">IF(OR(B3136="MAL ALIMI", B3136="ÜRETİM GİRİŞ"), MIN(I3136, MAX(0, I3136 + SUM(SUMIFS($I$1:I3135, $C$1:C3135, C3136, $B$1:B3135, {"MAL ALIMI","ÜRETİM GİRİŞ"})) - VLOOKUP(C3136, 'STOK RAPORU'!$C$2:$I$1000, 4, 0))), 0)</f>
        <v>0</v>
      </c>
      <c r="U3136" s="22">
        <f t="shared" si="192"/>
        <v>0</v>
      </c>
      <c r="V3136">
        <f t="shared" si="193"/>
        <v>0</v>
      </c>
      <c r="W3136" s="22">
        <f t="shared" si="194"/>
        <v>0</v>
      </c>
    </row>
    <row r="3137" spans="1:23" hidden="1" x14ac:dyDescent="0.25">
      <c r="A3137" s="3">
        <v>46035</v>
      </c>
      <c r="B3137" s="4" t="s">
        <v>334</v>
      </c>
      <c r="C3137" s="4" t="s">
        <v>60</v>
      </c>
      <c r="D3137" s="4"/>
      <c r="E3137" s="4" t="s">
        <v>921</v>
      </c>
      <c r="F3137" s="4" t="s">
        <v>1704</v>
      </c>
      <c r="G3137" s="4" t="s">
        <v>336</v>
      </c>
      <c r="H3137" s="4" t="s">
        <v>380</v>
      </c>
      <c r="I3137" s="4">
        <v>0.05</v>
      </c>
      <c r="J3137" s="21">
        <v>1200</v>
      </c>
      <c r="K3137" s="21">
        <v>60</v>
      </c>
      <c r="L3137" s="5">
        <v>0</v>
      </c>
      <c r="M3137" s="4"/>
      <c r="N3137" s="4"/>
      <c r="O3137" s="5"/>
      <c r="P3137" s="5"/>
      <c r="Q3137" s="21">
        <v>0</v>
      </c>
      <c r="R3137" s="21">
        <v>0</v>
      </c>
      <c r="S3137" s="5">
        <f t="shared" si="195"/>
        <v>23328.094635152</v>
      </c>
      <c r="T3137" cm="1">
        <f t="array" ref="T3137">IF(OR(B3137="MAL ALIMI", B3137="ÜRETİM GİRİŞ"), MIN(I3137, MAX(0, I3137 + SUM(SUMIFS($I$1:I3136, $C$1:C3136, C3137, $B$1:B3136, {"MAL ALIMI","ÜRETİM GİRİŞ"})) - VLOOKUP(C3137, 'STOK RAPORU'!$C$2:$I$1000, 4, 0))), 0)</f>
        <v>0</v>
      </c>
      <c r="U3137" s="22">
        <f t="shared" ref="U3137:U3200" si="196">T3137*J3137</f>
        <v>0</v>
      </c>
      <c r="V3137">
        <f t="shared" ref="V3137:V3200" si="197">IF(OR(B3137="MAL ALIMI", B3137="ÜRETİM GİRİŞ"), I3137 * J3137, 0)</f>
        <v>0</v>
      </c>
      <c r="W3137" s="22">
        <f t="shared" ref="W3137:W3200" si="198">V3137-U3137</f>
        <v>0</v>
      </c>
    </row>
    <row r="3138" spans="1:23" hidden="1" x14ac:dyDescent="0.25">
      <c r="A3138" s="3">
        <v>46035</v>
      </c>
      <c r="B3138" s="4" t="s">
        <v>334</v>
      </c>
      <c r="C3138" s="4" t="s">
        <v>204</v>
      </c>
      <c r="D3138" s="4"/>
      <c r="E3138" s="4" t="s">
        <v>921</v>
      </c>
      <c r="F3138" s="4" t="s">
        <v>1704</v>
      </c>
      <c r="G3138" s="4" t="s">
        <v>336</v>
      </c>
      <c r="H3138" s="4" t="s">
        <v>380</v>
      </c>
      <c r="I3138" s="4">
        <v>0.05</v>
      </c>
      <c r="J3138" s="21">
        <v>1400</v>
      </c>
      <c r="K3138" s="21">
        <v>70</v>
      </c>
      <c r="L3138" s="5">
        <v>0</v>
      </c>
      <c r="M3138" s="4"/>
      <c r="N3138" s="4"/>
      <c r="O3138" s="5"/>
      <c r="P3138" s="5"/>
      <c r="Q3138" s="21">
        <v>0</v>
      </c>
      <c r="R3138" s="21">
        <v>0</v>
      </c>
      <c r="S3138" s="5">
        <f t="shared" si="195"/>
        <v>23328.094635152</v>
      </c>
      <c r="T3138" cm="1">
        <f t="array" ref="T3138">IF(OR(B3138="MAL ALIMI", B3138="ÜRETİM GİRİŞ"), MIN(I3138, MAX(0, I3138 + SUM(SUMIFS($I$1:I3137, $C$1:C3137, C3138, $B$1:B3137, {"MAL ALIMI","ÜRETİM GİRİŞ"})) - VLOOKUP(C3138, 'STOK RAPORU'!$C$2:$I$1000, 4, 0))), 0)</f>
        <v>0</v>
      </c>
      <c r="U3138" s="22">
        <f t="shared" si="196"/>
        <v>0</v>
      </c>
      <c r="V3138">
        <f t="shared" si="197"/>
        <v>0</v>
      </c>
      <c r="W3138" s="22">
        <f t="shared" si="198"/>
        <v>0</v>
      </c>
    </row>
    <row r="3139" spans="1:23" hidden="1" x14ac:dyDescent="0.25">
      <c r="A3139" s="3">
        <v>46035</v>
      </c>
      <c r="B3139" s="4" t="s">
        <v>334</v>
      </c>
      <c r="C3139" s="4" t="s">
        <v>151</v>
      </c>
      <c r="D3139" s="4"/>
      <c r="E3139" s="4" t="s">
        <v>921</v>
      </c>
      <c r="F3139" s="4" t="s">
        <v>1704</v>
      </c>
      <c r="G3139" s="4" t="s">
        <v>336</v>
      </c>
      <c r="H3139" s="4" t="s">
        <v>380</v>
      </c>
      <c r="I3139" s="4">
        <v>2.5000000000000001E-2</v>
      </c>
      <c r="J3139" s="21">
        <v>400</v>
      </c>
      <c r="K3139" s="21">
        <v>10</v>
      </c>
      <c r="L3139" s="5">
        <v>0</v>
      </c>
      <c r="M3139" s="4"/>
      <c r="N3139" s="4"/>
      <c r="O3139" s="5"/>
      <c r="P3139" s="5"/>
      <c r="Q3139" s="21">
        <v>0</v>
      </c>
      <c r="R3139" s="21">
        <v>0</v>
      </c>
      <c r="S3139" s="5">
        <f t="shared" si="195"/>
        <v>23328.094635152</v>
      </c>
      <c r="T3139" cm="1">
        <f t="array" ref="T3139">IF(OR(B3139="MAL ALIMI", B3139="ÜRETİM GİRİŞ"), MIN(I3139, MAX(0, I3139 + SUM(SUMIFS($I$1:I3138, $C$1:C3138, C3139, $B$1:B3138, {"MAL ALIMI","ÜRETİM GİRİŞ"})) - VLOOKUP(C3139, 'STOK RAPORU'!$C$2:$I$1000, 4, 0))), 0)</f>
        <v>0</v>
      </c>
      <c r="U3139" s="22">
        <f t="shared" si="196"/>
        <v>0</v>
      </c>
      <c r="V3139">
        <f t="shared" si="197"/>
        <v>0</v>
      </c>
      <c r="W3139" s="22">
        <f t="shared" si="198"/>
        <v>0</v>
      </c>
    </row>
    <row r="3140" spans="1:23" hidden="1" x14ac:dyDescent="0.25">
      <c r="A3140" s="3">
        <v>46035</v>
      </c>
      <c r="B3140" s="4" t="s">
        <v>334</v>
      </c>
      <c r="C3140" s="4" t="s">
        <v>163</v>
      </c>
      <c r="D3140" s="4"/>
      <c r="E3140" s="4" t="s">
        <v>921</v>
      </c>
      <c r="F3140" s="4" t="s">
        <v>1705</v>
      </c>
      <c r="G3140" s="4" t="s">
        <v>336</v>
      </c>
      <c r="H3140" s="4" t="s">
        <v>380</v>
      </c>
      <c r="I3140" s="4">
        <v>0.47619047619047616</v>
      </c>
      <c r="J3140" s="21">
        <v>420</v>
      </c>
      <c r="K3140" s="21">
        <v>200</v>
      </c>
      <c r="L3140" s="5">
        <v>0</v>
      </c>
      <c r="M3140" s="4"/>
      <c r="N3140" s="4"/>
      <c r="O3140" s="5"/>
      <c r="P3140" s="5"/>
      <c r="Q3140" s="21">
        <v>0</v>
      </c>
      <c r="R3140" s="21">
        <v>0</v>
      </c>
      <c r="S3140" s="5">
        <f t="shared" ref="S3140:S3203" si="199">S3139+Q3140-R3140</f>
        <v>23328.094635152</v>
      </c>
      <c r="T3140" cm="1">
        <f t="array" ref="T3140">IF(OR(B3140="MAL ALIMI", B3140="ÜRETİM GİRİŞ"), MIN(I3140, MAX(0, I3140 + SUM(SUMIFS($I$1:I3139, $C$1:C3139, C3140, $B$1:B3139, {"MAL ALIMI","ÜRETİM GİRİŞ"})) - VLOOKUP(C3140, 'STOK RAPORU'!$C$2:$I$1000, 4, 0))), 0)</f>
        <v>0</v>
      </c>
      <c r="U3140" s="22">
        <f t="shared" si="196"/>
        <v>0</v>
      </c>
      <c r="V3140">
        <f t="shared" si="197"/>
        <v>0</v>
      </c>
      <c r="W3140" s="22">
        <f t="shared" si="198"/>
        <v>0</v>
      </c>
    </row>
    <row r="3141" spans="1:23" hidden="1" x14ac:dyDescent="0.25">
      <c r="A3141" s="3">
        <v>46035</v>
      </c>
      <c r="B3141" s="4" t="s">
        <v>334</v>
      </c>
      <c r="C3141" s="4" t="s">
        <v>132</v>
      </c>
      <c r="D3141" s="4"/>
      <c r="E3141" s="4" t="s">
        <v>921</v>
      </c>
      <c r="F3141" s="4" t="s">
        <v>1705</v>
      </c>
      <c r="G3141" s="4" t="s">
        <v>336</v>
      </c>
      <c r="H3141" s="4" t="s">
        <v>380</v>
      </c>
      <c r="I3141" s="4">
        <v>0.41</v>
      </c>
      <c r="J3141" s="21">
        <v>500</v>
      </c>
      <c r="K3141" s="21">
        <v>205</v>
      </c>
      <c r="L3141" s="5">
        <v>0</v>
      </c>
      <c r="M3141" s="4"/>
      <c r="N3141" s="4"/>
      <c r="O3141" s="5"/>
      <c r="P3141" s="5"/>
      <c r="Q3141" s="21">
        <v>0</v>
      </c>
      <c r="R3141" s="21">
        <v>0</v>
      </c>
      <c r="S3141" s="5">
        <f t="shared" si="199"/>
        <v>23328.094635152</v>
      </c>
      <c r="T3141" cm="1">
        <f t="array" ref="T3141">IF(OR(B3141="MAL ALIMI", B3141="ÜRETİM GİRİŞ"), MIN(I3141, MAX(0, I3141 + SUM(SUMIFS($I$1:I3140, $C$1:C3140, C3141, $B$1:B3140, {"MAL ALIMI","ÜRETİM GİRİŞ"})) - VLOOKUP(C3141, 'STOK RAPORU'!$C$2:$I$1000, 4, 0))), 0)</f>
        <v>0</v>
      </c>
      <c r="U3141" s="22">
        <f t="shared" si="196"/>
        <v>0</v>
      </c>
      <c r="V3141">
        <f t="shared" si="197"/>
        <v>0</v>
      </c>
      <c r="W3141" s="22">
        <f t="shared" si="198"/>
        <v>0</v>
      </c>
    </row>
    <row r="3142" spans="1:23" hidden="1" x14ac:dyDescent="0.25">
      <c r="A3142" s="3">
        <v>46035</v>
      </c>
      <c r="B3142" s="4" t="s">
        <v>334</v>
      </c>
      <c r="C3142" s="4" t="s">
        <v>91</v>
      </c>
      <c r="D3142" s="4"/>
      <c r="E3142" s="4" t="s">
        <v>921</v>
      </c>
      <c r="F3142" s="4" t="s">
        <v>1705</v>
      </c>
      <c r="G3142" s="4" t="s">
        <v>336</v>
      </c>
      <c r="H3142" s="4" t="s">
        <v>380</v>
      </c>
      <c r="I3142" s="4">
        <v>0.125</v>
      </c>
      <c r="J3142" s="21">
        <v>760</v>
      </c>
      <c r="K3142" s="21">
        <v>95</v>
      </c>
      <c r="L3142" s="5">
        <v>0</v>
      </c>
      <c r="M3142" s="4"/>
      <c r="N3142" s="4"/>
      <c r="O3142" s="5"/>
      <c r="P3142" s="5"/>
      <c r="Q3142" s="21">
        <v>0</v>
      </c>
      <c r="R3142" s="21">
        <v>0</v>
      </c>
      <c r="S3142" s="5">
        <f t="shared" si="199"/>
        <v>23328.094635152</v>
      </c>
      <c r="T3142" cm="1">
        <f t="array" ref="T3142">IF(OR(B3142="MAL ALIMI", B3142="ÜRETİM GİRİŞ"), MIN(I3142, MAX(0, I3142 + SUM(SUMIFS($I$1:I3141, $C$1:C3141, C3142, $B$1:B3141, {"MAL ALIMI","ÜRETİM GİRİŞ"})) - VLOOKUP(C3142, 'STOK RAPORU'!$C$2:$I$1000, 4, 0))), 0)</f>
        <v>0</v>
      </c>
      <c r="U3142" s="22">
        <f t="shared" si="196"/>
        <v>0</v>
      </c>
      <c r="V3142">
        <f t="shared" si="197"/>
        <v>0</v>
      </c>
      <c r="W3142" s="22">
        <f t="shared" si="198"/>
        <v>0</v>
      </c>
    </row>
    <row r="3143" spans="1:23" hidden="1" x14ac:dyDescent="0.25">
      <c r="A3143" s="3">
        <v>46035</v>
      </c>
      <c r="B3143" s="4" t="s">
        <v>334</v>
      </c>
      <c r="C3143" s="4" t="s">
        <v>141</v>
      </c>
      <c r="D3143" s="4"/>
      <c r="E3143" s="4"/>
      <c r="F3143" s="4" t="s">
        <v>1705</v>
      </c>
      <c r="G3143" s="4" t="s">
        <v>336</v>
      </c>
      <c r="H3143" s="4" t="s">
        <v>289</v>
      </c>
      <c r="I3143" s="4">
        <v>0.35714285714285715</v>
      </c>
      <c r="J3143" s="21">
        <v>140</v>
      </c>
      <c r="K3143" s="21">
        <v>0</v>
      </c>
      <c r="L3143" s="5">
        <v>0</v>
      </c>
      <c r="M3143" s="4"/>
      <c r="N3143" s="4"/>
      <c r="O3143" s="5"/>
      <c r="P3143" s="5"/>
      <c r="Q3143" s="21">
        <v>50</v>
      </c>
      <c r="R3143" s="21">
        <v>0</v>
      </c>
      <c r="S3143" s="5">
        <f t="shared" si="199"/>
        <v>23378.094635152</v>
      </c>
      <c r="T3143" cm="1">
        <f t="array" ref="T3143">IF(OR(B3143="MAL ALIMI", B3143="ÜRETİM GİRİŞ"), MIN(I3143, MAX(0, I3143 + SUM(SUMIFS($I$1:I3142, $C$1:C3142, C3143, $B$1:B3142, {"MAL ALIMI","ÜRETİM GİRİŞ"})) - VLOOKUP(C3143, 'STOK RAPORU'!$C$2:$I$1000, 4, 0))), 0)</f>
        <v>0</v>
      </c>
      <c r="U3143" s="22">
        <f t="shared" si="196"/>
        <v>0</v>
      </c>
      <c r="V3143">
        <f t="shared" si="197"/>
        <v>0</v>
      </c>
      <c r="W3143" s="22">
        <f t="shared" si="198"/>
        <v>0</v>
      </c>
    </row>
    <row r="3144" spans="1:23" hidden="1" x14ac:dyDescent="0.25">
      <c r="A3144" s="3">
        <v>46035</v>
      </c>
      <c r="B3144" s="4" t="s">
        <v>334</v>
      </c>
      <c r="C3144" s="4" t="s">
        <v>463</v>
      </c>
      <c r="D3144" s="4"/>
      <c r="E3144" s="4"/>
      <c r="F3144" s="4" t="s">
        <v>1705</v>
      </c>
      <c r="G3144" s="4" t="s">
        <v>336</v>
      </c>
      <c r="H3144" s="4" t="s">
        <v>289</v>
      </c>
      <c r="I3144" s="4">
        <v>0.14864864864864866</v>
      </c>
      <c r="J3144" s="21">
        <v>370</v>
      </c>
      <c r="K3144" s="21">
        <v>0</v>
      </c>
      <c r="L3144" s="5">
        <v>0</v>
      </c>
      <c r="M3144" s="4"/>
      <c r="N3144" s="4"/>
      <c r="O3144" s="5"/>
      <c r="P3144" s="5"/>
      <c r="Q3144" s="21">
        <v>55</v>
      </c>
      <c r="R3144" s="21">
        <v>0</v>
      </c>
      <c r="S3144" s="5">
        <f t="shared" si="199"/>
        <v>23433.094635152</v>
      </c>
      <c r="T3144" cm="1">
        <f t="array" ref="T3144">IF(OR(B3144="MAL ALIMI", B3144="ÜRETİM GİRİŞ"), MIN(I3144, MAX(0, I3144 + SUM(SUMIFS($I$1:I3143, $C$1:C3143, C3144, $B$1:B3143, {"MAL ALIMI","ÜRETİM GİRİŞ"})) - VLOOKUP(C3144, 'STOK RAPORU'!$C$2:$I$1000, 4, 0))), 0)</f>
        <v>0</v>
      </c>
      <c r="U3144" s="22">
        <f t="shared" si="196"/>
        <v>0</v>
      </c>
      <c r="V3144">
        <f t="shared" si="197"/>
        <v>0</v>
      </c>
      <c r="W3144" s="22">
        <f t="shared" si="198"/>
        <v>0</v>
      </c>
    </row>
    <row r="3145" spans="1:23" hidden="1" x14ac:dyDescent="0.25">
      <c r="A3145" s="3">
        <v>46035</v>
      </c>
      <c r="B3145" s="4" t="s">
        <v>334</v>
      </c>
      <c r="C3145" s="4" t="s">
        <v>129</v>
      </c>
      <c r="D3145" s="4"/>
      <c r="E3145" s="4"/>
      <c r="F3145" s="4" t="s">
        <v>1705</v>
      </c>
      <c r="G3145" s="4" t="s">
        <v>336</v>
      </c>
      <c r="H3145" s="4" t="s">
        <v>289</v>
      </c>
      <c r="I3145" s="4">
        <v>0.11538461538461539</v>
      </c>
      <c r="J3145" s="21">
        <v>390</v>
      </c>
      <c r="K3145" s="21">
        <v>0</v>
      </c>
      <c r="L3145" s="5">
        <v>0</v>
      </c>
      <c r="M3145" s="4"/>
      <c r="N3145" s="4"/>
      <c r="O3145" s="5"/>
      <c r="P3145" s="5"/>
      <c r="Q3145" s="21">
        <v>45</v>
      </c>
      <c r="R3145" s="21">
        <v>0</v>
      </c>
      <c r="S3145" s="5">
        <f t="shared" si="199"/>
        <v>23478.094635152</v>
      </c>
      <c r="T3145" cm="1">
        <f t="array" ref="T3145">IF(OR(B3145="MAL ALIMI", B3145="ÜRETİM GİRİŞ"), MIN(I3145, MAX(0, I3145 + SUM(SUMIFS($I$1:I3144, $C$1:C3144, C3145, $B$1:B3144, {"MAL ALIMI","ÜRETİM GİRİŞ"})) - VLOOKUP(C3145, 'STOK RAPORU'!$C$2:$I$1000, 4, 0))), 0)</f>
        <v>0</v>
      </c>
      <c r="U3145" s="22">
        <f t="shared" si="196"/>
        <v>0</v>
      </c>
      <c r="V3145">
        <f t="shared" si="197"/>
        <v>0</v>
      </c>
      <c r="W3145" s="22">
        <f t="shared" si="198"/>
        <v>0</v>
      </c>
    </row>
    <row r="3146" spans="1:23" hidden="1" x14ac:dyDescent="0.25">
      <c r="A3146" s="3">
        <v>46035</v>
      </c>
      <c r="B3146" s="4" t="s">
        <v>334</v>
      </c>
      <c r="C3146" s="4" t="s">
        <v>89</v>
      </c>
      <c r="D3146" s="4"/>
      <c r="E3146" s="4" t="s">
        <v>921</v>
      </c>
      <c r="F3146" s="4" t="s">
        <v>1706</v>
      </c>
      <c r="G3146" s="4" t="s">
        <v>336</v>
      </c>
      <c r="H3146" s="4" t="s">
        <v>380</v>
      </c>
      <c r="I3146" s="4">
        <v>0.2</v>
      </c>
      <c r="J3146" s="21">
        <v>650</v>
      </c>
      <c r="K3146" s="21">
        <v>130</v>
      </c>
      <c r="L3146" s="5">
        <v>0</v>
      </c>
      <c r="M3146" s="4"/>
      <c r="N3146" s="4"/>
      <c r="O3146" s="5"/>
      <c r="P3146" s="5"/>
      <c r="Q3146" s="21">
        <v>0</v>
      </c>
      <c r="R3146" s="21">
        <v>0</v>
      </c>
      <c r="S3146" s="5">
        <f t="shared" si="199"/>
        <v>23478.094635152</v>
      </c>
      <c r="T3146" cm="1">
        <f t="array" ref="T3146">IF(OR(B3146="MAL ALIMI", B3146="ÜRETİM GİRİŞ"), MIN(I3146, MAX(0, I3146 + SUM(SUMIFS($I$1:I3145, $C$1:C3145, C3146, $B$1:B3145, {"MAL ALIMI","ÜRETİM GİRİŞ"})) - VLOOKUP(C3146, 'STOK RAPORU'!$C$2:$I$1000, 4, 0))), 0)</f>
        <v>0</v>
      </c>
      <c r="U3146" s="22">
        <f t="shared" si="196"/>
        <v>0</v>
      </c>
      <c r="V3146">
        <f t="shared" si="197"/>
        <v>0</v>
      </c>
      <c r="W3146" s="22">
        <f t="shared" si="198"/>
        <v>0</v>
      </c>
    </row>
    <row r="3147" spans="1:23" hidden="1" x14ac:dyDescent="0.25">
      <c r="A3147" s="3">
        <v>46035</v>
      </c>
      <c r="B3147" s="4" t="s">
        <v>334</v>
      </c>
      <c r="C3147" s="4" t="s">
        <v>153</v>
      </c>
      <c r="D3147" s="4"/>
      <c r="E3147" s="4"/>
      <c r="F3147" s="4" t="s">
        <v>1707</v>
      </c>
      <c r="G3147" s="4" t="s">
        <v>336</v>
      </c>
      <c r="H3147" s="4" t="s">
        <v>289</v>
      </c>
      <c r="I3147" s="4">
        <v>0.1</v>
      </c>
      <c r="J3147" s="21">
        <v>400</v>
      </c>
      <c r="K3147" s="21">
        <v>0</v>
      </c>
      <c r="L3147" s="5">
        <v>0</v>
      </c>
      <c r="M3147" s="4"/>
      <c r="N3147" s="4"/>
      <c r="O3147" s="5"/>
      <c r="P3147" s="5"/>
      <c r="Q3147" s="21">
        <v>40</v>
      </c>
      <c r="R3147" s="21">
        <v>0</v>
      </c>
      <c r="S3147" s="5">
        <f t="shared" si="199"/>
        <v>23518.094635152</v>
      </c>
      <c r="T3147" cm="1">
        <f t="array" ref="T3147">IF(OR(B3147="MAL ALIMI", B3147="ÜRETİM GİRİŞ"), MIN(I3147, MAX(0, I3147 + SUM(SUMIFS($I$1:I3146, $C$1:C3146, C3147, $B$1:B3146, {"MAL ALIMI","ÜRETİM GİRİŞ"})) - VLOOKUP(C3147, 'STOK RAPORU'!$C$2:$I$1000, 4, 0))), 0)</f>
        <v>0</v>
      </c>
      <c r="U3147" s="22">
        <f t="shared" si="196"/>
        <v>0</v>
      </c>
      <c r="V3147">
        <f t="shared" si="197"/>
        <v>0</v>
      </c>
      <c r="W3147" s="22">
        <f t="shared" si="198"/>
        <v>0</v>
      </c>
    </row>
    <row r="3148" spans="1:23" hidden="1" x14ac:dyDescent="0.25">
      <c r="A3148" s="3">
        <v>46035</v>
      </c>
      <c r="B3148" s="4" t="s">
        <v>334</v>
      </c>
      <c r="C3148" s="4" t="s">
        <v>160</v>
      </c>
      <c r="D3148" s="4"/>
      <c r="E3148" s="4"/>
      <c r="F3148" s="4" t="s">
        <v>1707</v>
      </c>
      <c r="G3148" s="4" t="s">
        <v>336</v>
      </c>
      <c r="H3148" s="4" t="s">
        <v>289</v>
      </c>
      <c r="I3148" s="4">
        <v>0.5</v>
      </c>
      <c r="J3148" s="21">
        <v>250</v>
      </c>
      <c r="K3148" s="21">
        <v>0</v>
      </c>
      <c r="L3148" s="5">
        <v>0</v>
      </c>
      <c r="M3148" s="4"/>
      <c r="N3148" s="4"/>
      <c r="O3148" s="5"/>
      <c r="P3148" s="5"/>
      <c r="Q3148" s="21">
        <v>125</v>
      </c>
      <c r="R3148" s="21">
        <v>0</v>
      </c>
      <c r="S3148" s="5">
        <f t="shared" si="199"/>
        <v>23643.094635152</v>
      </c>
      <c r="T3148" cm="1">
        <f t="array" ref="T3148">IF(OR(B3148="MAL ALIMI", B3148="ÜRETİM GİRİŞ"), MIN(I3148, MAX(0, I3148 + SUM(SUMIFS($I$1:I3147, $C$1:C3147, C3148, $B$1:B3147, {"MAL ALIMI","ÜRETİM GİRİŞ"})) - VLOOKUP(C3148, 'STOK RAPORU'!$C$2:$I$1000, 4, 0))), 0)</f>
        <v>0</v>
      </c>
      <c r="U3148" s="22">
        <f t="shared" si="196"/>
        <v>0</v>
      </c>
      <c r="V3148">
        <f t="shared" si="197"/>
        <v>0</v>
      </c>
      <c r="W3148" s="22">
        <f t="shared" si="198"/>
        <v>0</v>
      </c>
    </row>
    <row r="3149" spans="1:23" hidden="1" x14ac:dyDescent="0.25">
      <c r="A3149" s="3">
        <v>46035</v>
      </c>
      <c r="B3149" s="4" t="s">
        <v>334</v>
      </c>
      <c r="C3149" s="4" t="s">
        <v>161</v>
      </c>
      <c r="D3149" s="4"/>
      <c r="E3149" s="4"/>
      <c r="F3149" s="4" t="s">
        <v>1707</v>
      </c>
      <c r="G3149" s="4" t="s">
        <v>336</v>
      </c>
      <c r="H3149" s="4" t="s">
        <v>289</v>
      </c>
      <c r="I3149" s="4">
        <v>0.5</v>
      </c>
      <c r="J3149" s="21">
        <v>230</v>
      </c>
      <c r="K3149" s="21">
        <v>0</v>
      </c>
      <c r="L3149" s="5">
        <v>0</v>
      </c>
      <c r="M3149" s="4"/>
      <c r="N3149" s="4"/>
      <c r="O3149" s="5"/>
      <c r="P3149" s="5"/>
      <c r="Q3149" s="21">
        <v>115</v>
      </c>
      <c r="R3149" s="21">
        <v>0</v>
      </c>
      <c r="S3149" s="5">
        <f t="shared" si="199"/>
        <v>23758.094635152</v>
      </c>
      <c r="T3149" cm="1">
        <f t="array" ref="T3149">IF(OR(B3149="MAL ALIMI", B3149="ÜRETİM GİRİŞ"), MIN(I3149, MAX(0, I3149 + SUM(SUMIFS($I$1:I3148, $C$1:C3148, C3149, $B$1:B3148, {"MAL ALIMI","ÜRETİM GİRİŞ"})) - VLOOKUP(C3149, 'STOK RAPORU'!$C$2:$I$1000, 4, 0))), 0)</f>
        <v>0</v>
      </c>
      <c r="U3149" s="22">
        <f t="shared" si="196"/>
        <v>0</v>
      </c>
      <c r="V3149">
        <f t="shared" si="197"/>
        <v>0</v>
      </c>
      <c r="W3149" s="22">
        <f t="shared" si="198"/>
        <v>0</v>
      </c>
    </row>
    <row r="3150" spans="1:23" hidden="1" x14ac:dyDescent="0.25">
      <c r="A3150" s="3">
        <v>46035</v>
      </c>
      <c r="B3150" s="4" t="s">
        <v>334</v>
      </c>
      <c r="C3150" s="4" t="s">
        <v>162</v>
      </c>
      <c r="D3150" s="4"/>
      <c r="E3150" s="4"/>
      <c r="F3150" s="4" t="s">
        <v>1707</v>
      </c>
      <c r="G3150" s="4" t="s">
        <v>336</v>
      </c>
      <c r="H3150" s="4" t="s">
        <v>289</v>
      </c>
      <c r="I3150" s="4">
        <v>0.2</v>
      </c>
      <c r="J3150" s="21">
        <v>250</v>
      </c>
      <c r="K3150" s="21">
        <v>0</v>
      </c>
      <c r="L3150" s="5">
        <v>0</v>
      </c>
      <c r="M3150" s="4"/>
      <c r="N3150" s="4"/>
      <c r="O3150" s="5"/>
      <c r="P3150" s="5"/>
      <c r="Q3150" s="21">
        <v>50</v>
      </c>
      <c r="R3150" s="21">
        <v>0</v>
      </c>
      <c r="S3150" s="5">
        <f t="shared" si="199"/>
        <v>23808.094635152</v>
      </c>
      <c r="T3150" cm="1">
        <f t="array" ref="T3150">IF(OR(B3150="MAL ALIMI", B3150="ÜRETİM GİRİŞ"), MIN(I3150, MAX(0, I3150 + SUM(SUMIFS($I$1:I3149, $C$1:C3149, C3150, $B$1:B3149, {"MAL ALIMI","ÜRETİM GİRİŞ"})) - VLOOKUP(C3150, 'STOK RAPORU'!$C$2:$I$1000, 4, 0))), 0)</f>
        <v>0</v>
      </c>
      <c r="U3150" s="22">
        <f t="shared" si="196"/>
        <v>0</v>
      </c>
      <c r="V3150">
        <f t="shared" si="197"/>
        <v>0</v>
      </c>
      <c r="W3150" s="22">
        <f t="shared" si="198"/>
        <v>0</v>
      </c>
    </row>
    <row r="3151" spans="1:23" hidden="1" x14ac:dyDescent="0.25">
      <c r="A3151" s="3">
        <v>46035</v>
      </c>
      <c r="B3151" s="4" t="s">
        <v>334</v>
      </c>
      <c r="C3151" s="4" t="s">
        <v>202</v>
      </c>
      <c r="D3151" s="4"/>
      <c r="E3151" s="4"/>
      <c r="F3151" s="4" t="s">
        <v>1707</v>
      </c>
      <c r="G3151" s="4" t="s">
        <v>336</v>
      </c>
      <c r="H3151" s="4" t="s">
        <v>289</v>
      </c>
      <c r="I3151" s="4">
        <v>0.5</v>
      </c>
      <c r="J3151" s="21">
        <v>80</v>
      </c>
      <c r="K3151" s="21">
        <v>0</v>
      </c>
      <c r="L3151" s="5">
        <v>0</v>
      </c>
      <c r="M3151" s="4"/>
      <c r="N3151" s="4"/>
      <c r="O3151" s="5"/>
      <c r="P3151" s="5"/>
      <c r="Q3151" s="21">
        <v>40</v>
      </c>
      <c r="R3151" s="21">
        <v>0</v>
      </c>
      <c r="S3151" s="5">
        <f t="shared" si="199"/>
        <v>23848.094635152</v>
      </c>
      <c r="T3151" cm="1">
        <f t="array" ref="T3151">IF(OR(B3151="MAL ALIMI", B3151="ÜRETİM GİRİŞ"), MIN(I3151, MAX(0, I3151 + SUM(SUMIFS($I$1:I3150, $C$1:C3150, C3151, $B$1:B3150, {"MAL ALIMI","ÜRETİM GİRİŞ"})) - VLOOKUP(C3151, 'STOK RAPORU'!$C$2:$I$1000, 4, 0))), 0)</f>
        <v>0</v>
      </c>
      <c r="U3151" s="22">
        <f t="shared" si="196"/>
        <v>0</v>
      </c>
      <c r="V3151">
        <f t="shared" si="197"/>
        <v>0</v>
      </c>
      <c r="W3151" s="22">
        <f t="shared" si="198"/>
        <v>0</v>
      </c>
    </row>
    <row r="3152" spans="1:23" hidden="1" x14ac:dyDescent="0.25">
      <c r="A3152" s="3">
        <v>46035</v>
      </c>
      <c r="B3152" s="4" t="s">
        <v>334</v>
      </c>
      <c r="C3152" s="4" t="s">
        <v>651</v>
      </c>
      <c r="D3152" s="4"/>
      <c r="E3152" s="4" t="s">
        <v>921</v>
      </c>
      <c r="F3152" s="4" t="s">
        <v>1708</v>
      </c>
      <c r="G3152" s="4" t="s">
        <v>336</v>
      </c>
      <c r="H3152" s="4" t="s">
        <v>380</v>
      </c>
      <c r="I3152" s="4">
        <v>1</v>
      </c>
      <c r="J3152" s="21">
        <v>400</v>
      </c>
      <c r="K3152" s="21">
        <v>400</v>
      </c>
      <c r="L3152" s="5">
        <v>0</v>
      </c>
      <c r="M3152" s="4"/>
      <c r="N3152" s="4"/>
      <c r="O3152" s="5"/>
      <c r="P3152" s="5"/>
      <c r="Q3152" s="21">
        <v>0</v>
      </c>
      <c r="R3152" s="21">
        <v>0</v>
      </c>
      <c r="S3152" s="5">
        <f t="shared" si="199"/>
        <v>23848.094635152</v>
      </c>
      <c r="T3152" cm="1">
        <f t="array" ref="T3152">IF(OR(B3152="MAL ALIMI", B3152="ÜRETİM GİRİŞ"), MIN(I3152, MAX(0, I3152 + SUM(SUMIFS($I$1:I3151, $C$1:C3151, C3152, $B$1:B3151, {"MAL ALIMI","ÜRETİM GİRİŞ"})) - VLOOKUP(C3152, 'STOK RAPORU'!$C$2:$I$1000, 4, 0))), 0)</f>
        <v>0</v>
      </c>
      <c r="U3152" s="22">
        <f t="shared" si="196"/>
        <v>0</v>
      </c>
      <c r="V3152">
        <f t="shared" si="197"/>
        <v>0</v>
      </c>
      <c r="W3152" s="22">
        <f t="shared" si="198"/>
        <v>0</v>
      </c>
    </row>
    <row r="3153" spans="1:23" hidden="1" x14ac:dyDescent="0.25">
      <c r="A3153" s="3">
        <v>46035</v>
      </c>
      <c r="B3153" s="4" t="s">
        <v>334</v>
      </c>
      <c r="C3153" s="4" t="s">
        <v>209</v>
      </c>
      <c r="D3153" s="4"/>
      <c r="E3153" s="4" t="s">
        <v>921</v>
      </c>
      <c r="F3153" s="4" t="s">
        <v>1709</v>
      </c>
      <c r="G3153" s="4" t="s">
        <v>336</v>
      </c>
      <c r="H3153" s="4" t="s">
        <v>380</v>
      </c>
      <c r="I3153" s="4">
        <v>0.05</v>
      </c>
      <c r="J3153" s="21">
        <v>2600</v>
      </c>
      <c r="K3153" s="21">
        <v>130</v>
      </c>
      <c r="L3153" s="5">
        <v>0</v>
      </c>
      <c r="M3153" s="4"/>
      <c r="N3153" s="4"/>
      <c r="O3153" s="5"/>
      <c r="P3153" s="5"/>
      <c r="Q3153" s="21">
        <v>0</v>
      </c>
      <c r="R3153" s="21">
        <v>0</v>
      </c>
      <c r="S3153" s="5">
        <f t="shared" si="199"/>
        <v>23848.094635152</v>
      </c>
      <c r="T3153" cm="1">
        <f t="array" ref="T3153">IF(OR(B3153="MAL ALIMI", B3153="ÜRETİM GİRİŞ"), MIN(I3153, MAX(0, I3153 + SUM(SUMIFS($I$1:I3152, $C$1:C3152, C3153, $B$1:B3152, {"MAL ALIMI","ÜRETİM GİRİŞ"})) - VLOOKUP(C3153, 'STOK RAPORU'!$C$2:$I$1000, 4, 0))), 0)</f>
        <v>0</v>
      </c>
      <c r="U3153" s="22">
        <f t="shared" si="196"/>
        <v>0</v>
      </c>
      <c r="V3153">
        <f t="shared" si="197"/>
        <v>0</v>
      </c>
      <c r="W3153" s="22">
        <f t="shared" si="198"/>
        <v>0</v>
      </c>
    </row>
    <row r="3154" spans="1:23" hidden="1" x14ac:dyDescent="0.25">
      <c r="A3154" s="3">
        <v>46035</v>
      </c>
      <c r="B3154" s="4" t="s">
        <v>334</v>
      </c>
      <c r="C3154" s="46" t="s">
        <v>585</v>
      </c>
      <c r="D3154" s="4"/>
      <c r="E3154" s="4" t="s">
        <v>921</v>
      </c>
      <c r="F3154" s="4" t="s">
        <v>1710</v>
      </c>
      <c r="G3154" s="4" t="s">
        <v>336</v>
      </c>
      <c r="H3154" s="4" t="s">
        <v>380</v>
      </c>
      <c r="I3154" s="4">
        <v>1</v>
      </c>
      <c r="J3154" s="21">
        <v>200</v>
      </c>
      <c r="K3154" s="21">
        <v>200</v>
      </c>
      <c r="L3154" s="5">
        <v>0</v>
      </c>
      <c r="M3154" s="4"/>
      <c r="N3154" s="4"/>
      <c r="O3154" s="5"/>
      <c r="P3154" s="5"/>
      <c r="Q3154" s="21">
        <v>0</v>
      </c>
      <c r="R3154" s="21">
        <v>0</v>
      </c>
      <c r="S3154" s="5">
        <f t="shared" si="199"/>
        <v>23848.094635152</v>
      </c>
      <c r="T3154" cm="1">
        <f t="array" ref="T3154">IF(OR(B3154="MAL ALIMI", B3154="ÜRETİM GİRİŞ"), MIN(I3154, MAX(0, I3154 + SUM(SUMIFS($I$1:I3153, $C$1:C3153, C3154, $B$1:B3153, {"MAL ALIMI","ÜRETİM GİRİŞ"})) - VLOOKUP(C3154, 'STOK RAPORU'!$C$2:$I$1000, 4, 0))), 0)</f>
        <v>0</v>
      </c>
      <c r="U3154" s="22">
        <f t="shared" si="196"/>
        <v>0</v>
      </c>
      <c r="V3154">
        <f t="shared" si="197"/>
        <v>0</v>
      </c>
      <c r="W3154" s="22">
        <f t="shared" si="198"/>
        <v>0</v>
      </c>
    </row>
    <row r="3155" spans="1:23" hidden="1" x14ac:dyDescent="0.25">
      <c r="A3155" s="3">
        <v>46035</v>
      </c>
      <c r="B3155" s="4" t="s">
        <v>334</v>
      </c>
      <c r="C3155" s="4" t="s">
        <v>131</v>
      </c>
      <c r="D3155" s="4"/>
      <c r="E3155" s="4"/>
      <c r="F3155" s="4" t="s">
        <v>1711</v>
      </c>
      <c r="G3155" s="4" t="s">
        <v>336</v>
      </c>
      <c r="H3155" s="4" t="s">
        <v>289</v>
      </c>
      <c r="I3155" s="4">
        <v>0.125</v>
      </c>
      <c r="J3155" s="21">
        <v>400</v>
      </c>
      <c r="K3155" s="21">
        <v>0</v>
      </c>
      <c r="L3155" s="5">
        <v>0</v>
      </c>
      <c r="M3155" s="4"/>
      <c r="N3155" s="4"/>
      <c r="O3155" s="5"/>
      <c r="P3155" s="5"/>
      <c r="Q3155" s="21">
        <v>50</v>
      </c>
      <c r="R3155" s="21">
        <v>0</v>
      </c>
      <c r="S3155" s="5">
        <f t="shared" si="199"/>
        <v>23898.094635152</v>
      </c>
      <c r="T3155" cm="1">
        <f t="array" ref="T3155">IF(OR(B3155="MAL ALIMI", B3155="ÜRETİM GİRİŞ"), MIN(I3155, MAX(0, I3155 + SUM(SUMIFS($I$1:I3154, $C$1:C3154, C3155, $B$1:B3154, {"MAL ALIMI","ÜRETİM GİRİŞ"})) - VLOOKUP(C3155, 'STOK RAPORU'!$C$2:$I$1000, 4, 0))), 0)</f>
        <v>0</v>
      </c>
      <c r="U3155" s="22">
        <f t="shared" si="196"/>
        <v>0</v>
      </c>
      <c r="V3155">
        <f t="shared" si="197"/>
        <v>0</v>
      </c>
      <c r="W3155" s="22">
        <f t="shared" si="198"/>
        <v>0</v>
      </c>
    </row>
    <row r="3156" spans="1:23" hidden="1" x14ac:dyDescent="0.25">
      <c r="A3156" s="3">
        <v>46035</v>
      </c>
      <c r="B3156" s="4" t="s">
        <v>334</v>
      </c>
      <c r="C3156" s="4" t="s">
        <v>224</v>
      </c>
      <c r="D3156" s="4"/>
      <c r="E3156" s="4"/>
      <c r="F3156" s="4" t="s">
        <v>1711</v>
      </c>
      <c r="G3156" s="4" t="s">
        <v>336</v>
      </c>
      <c r="H3156" s="4" t="s">
        <v>289</v>
      </c>
      <c r="I3156" s="4">
        <v>0.05</v>
      </c>
      <c r="J3156" s="21">
        <v>900</v>
      </c>
      <c r="K3156" s="21">
        <v>0</v>
      </c>
      <c r="L3156" s="5">
        <v>0</v>
      </c>
      <c r="M3156" s="4"/>
      <c r="N3156" s="4"/>
      <c r="O3156" s="5"/>
      <c r="P3156" s="5"/>
      <c r="Q3156" s="21">
        <v>45</v>
      </c>
      <c r="R3156" s="21">
        <v>0</v>
      </c>
      <c r="S3156" s="5">
        <f t="shared" si="199"/>
        <v>23943.094635152</v>
      </c>
      <c r="T3156" cm="1">
        <f t="array" ref="T3156">IF(OR(B3156="MAL ALIMI", B3156="ÜRETİM GİRİŞ"), MIN(I3156, MAX(0, I3156 + SUM(SUMIFS($I$1:I3155, $C$1:C3155, C3156, $B$1:B3155, {"MAL ALIMI","ÜRETİM GİRİŞ"})) - VLOOKUP(C3156, 'STOK RAPORU'!$C$2:$I$1000, 4, 0))), 0)</f>
        <v>0</v>
      </c>
      <c r="U3156" s="22">
        <f t="shared" si="196"/>
        <v>0</v>
      </c>
      <c r="V3156">
        <f t="shared" si="197"/>
        <v>0</v>
      </c>
      <c r="W3156" s="22">
        <f t="shared" si="198"/>
        <v>0</v>
      </c>
    </row>
    <row r="3157" spans="1:23" hidden="1" x14ac:dyDescent="0.25">
      <c r="A3157" s="3">
        <v>46035</v>
      </c>
      <c r="B3157" s="4" t="s">
        <v>334</v>
      </c>
      <c r="C3157" s="4" t="s">
        <v>522</v>
      </c>
      <c r="D3157" s="4"/>
      <c r="E3157" s="4" t="s">
        <v>921</v>
      </c>
      <c r="F3157" s="4" t="s">
        <v>1712</v>
      </c>
      <c r="G3157" s="4" t="s">
        <v>336</v>
      </c>
      <c r="H3157" s="4" t="s">
        <v>380</v>
      </c>
      <c r="I3157" s="4">
        <v>1</v>
      </c>
      <c r="J3157" s="21">
        <v>250</v>
      </c>
      <c r="K3157" s="21">
        <v>250</v>
      </c>
      <c r="L3157" s="5">
        <v>0</v>
      </c>
      <c r="M3157" s="4"/>
      <c r="N3157" s="4"/>
      <c r="O3157" s="5"/>
      <c r="P3157" s="5"/>
      <c r="Q3157" s="21">
        <v>0</v>
      </c>
      <c r="R3157" s="21">
        <v>0</v>
      </c>
      <c r="S3157" s="5">
        <f t="shared" si="199"/>
        <v>23943.094635152</v>
      </c>
      <c r="T3157" cm="1">
        <f t="array" ref="T3157">IF(OR(B3157="MAL ALIMI", B3157="ÜRETİM GİRİŞ"), MIN(I3157, MAX(0, I3157 + SUM(SUMIFS($I$1:I3156, $C$1:C3156, C3157, $B$1:B3156, {"MAL ALIMI","ÜRETİM GİRİŞ"})) - VLOOKUP(C3157, 'STOK RAPORU'!$C$2:$I$1000, 4, 0))), 0)</f>
        <v>0</v>
      </c>
      <c r="U3157" s="22">
        <f t="shared" si="196"/>
        <v>0</v>
      </c>
      <c r="V3157">
        <f t="shared" si="197"/>
        <v>0</v>
      </c>
      <c r="W3157" s="22">
        <f t="shared" si="198"/>
        <v>0</v>
      </c>
    </row>
    <row r="3158" spans="1:23" hidden="1" x14ac:dyDescent="0.25">
      <c r="A3158" s="3">
        <v>46035</v>
      </c>
      <c r="B3158" s="4" t="s">
        <v>334</v>
      </c>
      <c r="C3158" s="4" t="s">
        <v>238</v>
      </c>
      <c r="D3158" s="4"/>
      <c r="E3158" s="4"/>
      <c r="F3158" s="4" t="s">
        <v>1713</v>
      </c>
      <c r="G3158" s="4" t="s">
        <v>336</v>
      </c>
      <c r="H3158" s="4" t="s">
        <v>289</v>
      </c>
      <c r="I3158" s="4">
        <v>0.1</v>
      </c>
      <c r="J3158" s="21">
        <v>1350</v>
      </c>
      <c r="K3158" s="21">
        <v>0</v>
      </c>
      <c r="L3158" s="5">
        <v>0</v>
      </c>
      <c r="M3158" s="4"/>
      <c r="N3158" s="4"/>
      <c r="O3158" s="5"/>
      <c r="P3158" s="5"/>
      <c r="Q3158" s="21">
        <v>135</v>
      </c>
      <c r="R3158" s="21">
        <v>0</v>
      </c>
      <c r="S3158" s="5">
        <f t="shared" si="199"/>
        <v>24078.094635152</v>
      </c>
      <c r="T3158" cm="1">
        <f t="array" ref="T3158">IF(OR(B3158="MAL ALIMI", B3158="ÜRETİM GİRİŞ"), MIN(I3158, MAX(0, I3158 + SUM(SUMIFS($I$1:I3157, $C$1:C3157, C3158, $B$1:B3157, {"MAL ALIMI","ÜRETİM GİRİŞ"})) - VLOOKUP(C3158, 'STOK RAPORU'!$C$2:$I$1000, 4, 0))), 0)</f>
        <v>0</v>
      </c>
      <c r="U3158" s="22">
        <f t="shared" si="196"/>
        <v>0</v>
      </c>
      <c r="V3158">
        <f t="shared" si="197"/>
        <v>0</v>
      </c>
      <c r="W3158" s="22">
        <f t="shared" si="198"/>
        <v>0</v>
      </c>
    </row>
    <row r="3159" spans="1:23" hidden="1" x14ac:dyDescent="0.25">
      <c r="A3159" s="3">
        <v>46035</v>
      </c>
      <c r="B3159" s="4" t="s">
        <v>334</v>
      </c>
      <c r="C3159" s="4" t="s">
        <v>586</v>
      </c>
      <c r="D3159" s="4"/>
      <c r="E3159" s="4" t="s">
        <v>921</v>
      </c>
      <c r="F3159" s="4" t="s">
        <v>1714</v>
      </c>
      <c r="G3159" s="4" t="s">
        <v>336</v>
      </c>
      <c r="H3159" s="4" t="s">
        <v>380</v>
      </c>
      <c r="I3159" s="4">
        <v>1</v>
      </c>
      <c r="J3159" s="21">
        <v>200</v>
      </c>
      <c r="K3159" s="21">
        <v>200</v>
      </c>
      <c r="L3159" s="5">
        <v>0</v>
      </c>
      <c r="M3159" s="4"/>
      <c r="N3159" s="4"/>
      <c r="O3159" s="5"/>
      <c r="P3159" s="5"/>
      <c r="Q3159" s="21">
        <v>0</v>
      </c>
      <c r="R3159" s="21">
        <v>0</v>
      </c>
      <c r="S3159" s="5">
        <f t="shared" si="199"/>
        <v>24078.094635152</v>
      </c>
      <c r="T3159" cm="1">
        <f t="array" ref="T3159">IF(OR(B3159="MAL ALIMI", B3159="ÜRETİM GİRİŞ"), MIN(I3159, MAX(0, I3159 + SUM(SUMIFS($I$1:I3158, $C$1:C3158, C3159, $B$1:B3158, {"MAL ALIMI","ÜRETİM GİRİŞ"})) - VLOOKUP(C3159, 'STOK RAPORU'!$C$2:$I$1000, 4, 0))), 0)</f>
        <v>0</v>
      </c>
      <c r="U3159" s="22">
        <f t="shared" si="196"/>
        <v>0</v>
      </c>
      <c r="V3159">
        <f t="shared" si="197"/>
        <v>0</v>
      </c>
      <c r="W3159" s="22">
        <f t="shared" si="198"/>
        <v>0</v>
      </c>
    </row>
    <row r="3160" spans="1:23" hidden="1" x14ac:dyDescent="0.25">
      <c r="A3160" s="45">
        <v>46035</v>
      </c>
      <c r="B3160" s="46" t="s">
        <v>334</v>
      </c>
      <c r="C3160" s="4" t="s">
        <v>586</v>
      </c>
      <c r="D3160" s="46"/>
      <c r="E3160" s="46"/>
      <c r="F3160" s="46" t="s">
        <v>1715</v>
      </c>
      <c r="G3160" s="46" t="s">
        <v>1716</v>
      </c>
      <c r="H3160" s="46" t="s">
        <v>289</v>
      </c>
      <c r="I3160" s="46">
        <v>3</v>
      </c>
      <c r="J3160" s="47">
        <v>200</v>
      </c>
      <c r="K3160" s="47">
        <v>0</v>
      </c>
      <c r="L3160" s="48">
        <v>0</v>
      </c>
      <c r="M3160" s="42"/>
      <c r="N3160" s="42"/>
      <c r="O3160" s="44"/>
      <c r="P3160" s="44"/>
      <c r="Q3160" s="47">
        <v>600</v>
      </c>
      <c r="R3160" s="47">
        <v>0</v>
      </c>
      <c r="S3160" s="5">
        <f t="shared" si="199"/>
        <v>24678.094635152</v>
      </c>
      <c r="T3160" cm="1">
        <f t="array" ref="T3160">IF(OR(B3160="MAL ALIMI", B3160="ÜRETİM GİRİŞ"), MIN(I3160, MAX(0, I3160 + SUM(SUMIFS($I$1:I3159, $C$1:C3159, C3160, $B$1:B3159, {"MAL ALIMI","ÜRETİM GİRİŞ"})) - VLOOKUP(C3160, 'STOK RAPORU'!$C$2:$I$1000, 4, 0))), 0)</f>
        <v>0</v>
      </c>
      <c r="U3160" s="22">
        <f t="shared" si="196"/>
        <v>0</v>
      </c>
      <c r="V3160">
        <f t="shared" si="197"/>
        <v>0</v>
      </c>
      <c r="W3160" s="22">
        <f t="shared" si="198"/>
        <v>0</v>
      </c>
    </row>
    <row r="3161" spans="1:23" hidden="1" x14ac:dyDescent="0.25">
      <c r="A3161" s="3">
        <v>46035</v>
      </c>
      <c r="B3161" s="4" t="s">
        <v>946</v>
      </c>
      <c r="C3161" s="4"/>
      <c r="D3161" s="4"/>
      <c r="E3161" s="4" t="s">
        <v>921</v>
      </c>
      <c r="F3161" s="4"/>
      <c r="G3161" s="4" t="s">
        <v>946</v>
      </c>
      <c r="H3161" s="4" t="s">
        <v>380</v>
      </c>
      <c r="I3161" s="4">
        <v>1</v>
      </c>
      <c r="J3161" s="105">
        <v>1020</v>
      </c>
      <c r="K3161" s="21">
        <v>0</v>
      </c>
      <c r="L3161" s="102">
        <v>1020</v>
      </c>
      <c r="M3161" s="4"/>
      <c r="N3161" s="4"/>
      <c r="O3161" s="5"/>
      <c r="P3161" s="5"/>
      <c r="Q3161" s="21">
        <v>1020</v>
      </c>
      <c r="R3161" s="21">
        <v>0</v>
      </c>
      <c r="S3161" s="5">
        <f t="shared" si="199"/>
        <v>25698.094635152</v>
      </c>
      <c r="T3161" cm="1">
        <f t="array" ref="T3161">IF(OR(B3161="MAL ALIMI", B3161="ÜRETİM GİRİŞ"), MIN(I3161, MAX(0, I3161 + SUM(SUMIFS($I$1:I3160, $C$1:C3160, C3161, $B$1:B3160, {"MAL ALIMI","ÜRETİM GİRİŞ"})) - VLOOKUP(C3161, 'STOK RAPORU'!$C$2:$I$1000, 4, 0))), 0)</f>
        <v>0</v>
      </c>
      <c r="U3161" s="22">
        <f t="shared" si="196"/>
        <v>0</v>
      </c>
      <c r="V3161">
        <f t="shared" si="197"/>
        <v>0</v>
      </c>
      <c r="W3161" s="22">
        <f t="shared" si="198"/>
        <v>0</v>
      </c>
    </row>
    <row r="3162" spans="1:23" hidden="1" x14ac:dyDescent="0.25">
      <c r="A3162" s="3">
        <v>46035</v>
      </c>
      <c r="B3162" s="4" t="s">
        <v>946</v>
      </c>
      <c r="C3162" s="4"/>
      <c r="D3162" s="4"/>
      <c r="E3162" s="4" t="s">
        <v>921</v>
      </c>
      <c r="F3162" s="4"/>
      <c r="G3162" s="4" t="s">
        <v>946</v>
      </c>
      <c r="H3162" s="4" t="s">
        <v>380</v>
      </c>
      <c r="I3162" s="4">
        <v>1</v>
      </c>
      <c r="J3162" s="105">
        <v>980</v>
      </c>
      <c r="K3162" s="21">
        <v>0</v>
      </c>
      <c r="L3162" s="102">
        <v>980</v>
      </c>
      <c r="M3162" s="4"/>
      <c r="N3162" s="4"/>
      <c r="O3162" s="5"/>
      <c r="P3162" s="5"/>
      <c r="Q3162" s="21">
        <v>980</v>
      </c>
      <c r="R3162" s="21">
        <v>0</v>
      </c>
      <c r="S3162" s="5">
        <f t="shared" si="199"/>
        <v>26678.094635152</v>
      </c>
      <c r="T3162" cm="1">
        <f t="array" ref="T3162">IF(OR(B3162="MAL ALIMI", B3162="ÜRETİM GİRİŞ"), MIN(I3162, MAX(0, I3162 + SUM(SUMIFS($I$1:I3161, $C$1:C3161, C3162, $B$1:B3161, {"MAL ALIMI","ÜRETİM GİRİŞ"})) - VLOOKUP(C3162, 'STOK RAPORU'!$C$2:$I$1000, 4, 0))), 0)</f>
        <v>0</v>
      </c>
      <c r="U3162" s="22">
        <f t="shared" si="196"/>
        <v>0</v>
      </c>
      <c r="V3162">
        <f t="shared" si="197"/>
        <v>0</v>
      </c>
      <c r="W3162" s="22">
        <f t="shared" si="198"/>
        <v>0</v>
      </c>
    </row>
    <row r="3163" spans="1:23" hidden="1" x14ac:dyDescent="0.25">
      <c r="A3163" s="3">
        <v>46036</v>
      </c>
      <c r="B3163" s="4" t="s">
        <v>298</v>
      </c>
      <c r="C3163" s="4" t="s">
        <v>465</v>
      </c>
      <c r="D3163" s="4"/>
      <c r="E3163" s="4" t="s">
        <v>350</v>
      </c>
      <c r="F3163" s="4">
        <v>996144</v>
      </c>
      <c r="G3163" s="4" t="s">
        <v>350</v>
      </c>
      <c r="H3163" s="4" t="s">
        <v>304</v>
      </c>
      <c r="I3163" s="4">
        <v>16</v>
      </c>
      <c r="J3163" s="21">
        <v>29.612500000000001</v>
      </c>
      <c r="K3163" s="21">
        <v>0</v>
      </c>
      <c r="L3163" s="5">
        <v>473.8</v>
      </c>
      <c r="M3163" s="4"/>
      <c r="N3163" s="4"/>
      <c r="O3163" s="5"/>
      <c r="P3163" s="5"/>
      <c r="Q3163" s="21">
        <v>0</v>
      </c>
      <c r="R3163" s="21">
        <v>0</v>
      </c>
      <c r="S3163" s="5">
        <f t="shared" si="199"/>
        <v>26678.094635152</v>
      </c>
      <c r="T3163" cm="1">
        <f t="array" ref="T3163">IF(OR(B3163="MAL ALIMI", B3163="ÜRETİM GİRİŞ"), MIN(I3163, MAX(0, I3163 + SUM(SUMIFS($I$1:I3162, $C$1:C3162, C3163, $B$1:B3162, {"MAL ALIMI","ÜRETİM GİRİŞ"})) - VLOOKUP(C3163, 'STOK RAPORU'!$C$2:$I$1000, 4, 0))), 0)</f>
        <v>0</v>
      </c>
      <c r="U3163" s="22">
        <f t="shared" si="196"/>
        <v>0</v>
      </c>
      <c r="V3163">
        <f t="shared" si="197"/>
        <v>473.8</v>
      </c>
      <c r="W3163" s="22">
        <f t="shared" si="198"/>
        <v>473.8</v>
      </c>
    </row>
    <row r="3164" spans="1:23" hidden="1" x14ac:dyDescent="0.25">
      <c r="A3164" s="3">
        <v>46036</v>
      </c>
      <c r="B3164" s="4" t="s">
        <v>298</v>
      </c>
      <c r="C3164" s="4" t="s">
        <v>587</v>
      </c>
      <c r="D3164" s="4"/>
      <c r="E3164" s="4" t="s">
        <v>350</v>
      </c>
      <c r="F3164" s="4">
        <v>996144</v>
      </c>
      <c r="G3164" s="4" t="s">
        <v>350</v>
      </c>
      <c r="H3164" s="4" t="s">
        <v>304</v>
      </c>
      <c r="I3164" s="4">
        <v>38.700000000000003</v>
      </c>
      <c r="J3164" s="21">
        <v>74.94</v>
      </c>
      <c r="K3164" s="21">
        <v>0</v>
      </c>
      <c r="L3164" s="5">
        <v>2900.1780000000003</v>
      </c>
      <c r="M3164" s="4"/>
      <c r="N3164" s="4"/>
      <c r="O3164" s="5"/>
      <c r="P3164" s="5"/>
      <c r="Q3164" s="21">
        <v>0</v>
      </c>
      <c r="R3164" s="21">
        <v>0</v>
      </c>
      <c r="S3164" s="5">
        <f t="shared" si="199"/>
        <v>26678.094635152</v>
      </c>
      <c r="T3164" cm="1">
        <f t="array" ref="T3164">IF(OR(B3164="MAL ALIMI", B3164="ÜRETİM GİRİŞ"), MIN(I3164, MAX(0, I3164 + SUM(SUMIFS($I$1:I3163, $C$1:C3163, C3164, $B$1:B3163, {"MAL ALIMI","ÜRETİM GİRİŞ"})) - VLOOKUP(C3164, 'STOK RAPORU'!$C$2:$I$1000, 4, 0))), 0)</f>
        <v>0</v>
      </c>
      <c r="U3164" s="22">
        <f t="shared" si="196"/>
        <v>0</v>
      </c>
      <c r="V3164">
        <f t="shared" si="197"/>
        <v>2900.1780000000003</v>
      </c>
      <c r="W3164" s="22">
        <f t="shared" si="198"/>
        <v>2900.1780000000003</v>
      </c>
    </row>
    <row r="3165" spans="1:23" hidden="1" x14ac:dyDescent="0.25">
      <c r="A3165" s="3">
        <v>46036</v>
      </c>
      <c r="B3165" s="4" t="s">
        <v>298</v>
      </c>
      <c r="C3165" s="4" t="s">
        <v>218</v>
      </c>
      <c r="D3165" s="4"/>
      <c r="E3165" s="4" t="s">
        <v>350</v>
      </c>
      <c r="F3165" s="4">
        <v>996144</v>
      </c>
      <c r="G3165" s="4" t="s">
        <v>350</v>
      </c>
      <c r="H3165" s="4" t="s">
        <v>304</v>
      </c>
      <c r="I3165" s="4">
        <v>12</v>
      </c>
      <c r="J3165" s="21">
        <v>225</v>
      </c>
      <c r="K3165" s="21">
        <v>0</v>
      </c>
      <c r="L3165" s="5">
        <v>2700</v>
      </c>
      <c r="M3165" s="4"/>
      <c r="N3165" s="4"/>
      <c r="O3165" s="5"/>
      <c r="P3165" s="5"/>
      <c r="Q3165" s="21">
        <v>0</v>
      </c>
      <c r="R3165" s="21">
        <v>0</v>
      </c>
      <c r="S3165" s="5">
        <f t="shared" si="199"/>
        <v>26678.094635152</v>
      </c>
      <c r="T3165" cm="1">
        <f t="array" ref="T3165">IF(OR(B3165="MAL ALIMI", B3165="ÜRETİM GİRİŞ"), MIN(I3165, MAX(0, I3165 + SUM(SUMIFS($I$1:I3164, $C$1:C3164, C3165, $B$1:B3164, {"MAL ALIMI","ÜRETİM GİRİŞ"})) - VLOOKUP(C3165, 'STOK RAPORU'!$C$2:$I$1000, 4, 0))), 0)</f>
        <v>0</v>
      </c>
      <c r="U3165" s="22">
        <f t="shared" si="196"/>
        <v>0</v>
      </c>
      <c r="V3165">
        <f t="shared" si="197"/>
        <v>2700</v>
      </c>
      <c r="W3165" s="22">
        <f t="shared" si="198"/>
        <v>2700</v>
      </c>
    </row>
    <row r="3166" spans="1:23" hidden="1" x14ac:dyDescent="0.25">
      <c r="A3166" s="3">
        <v>46036</v>
      </c>
      <c r="B3166" s="4" t="s">
        <v>298</v>
      </c>
      <c r="C3166" s="4" t="s">
        <v>1143</v>
      </c>
      <c r="D3166" s="4"/>
      <c r="E3166" s="4" t="s">
        <v>350</v>
      </c>
      <c r="F3166" s="4">
        <v>996144</v>
      </c>
      <c r="G3166" s="4" t="s">
        <v>350</v>
      </c>
      <c r="H3166" s="4" t="s">
        <v>304</v>
      </c>
      <c r="I3166" s="4">
        <v>12</v>
      </c>
      <c r="J3166" s="21">
        <v>75</v>
      </c>
      <c r="K3166" s="21">
        <v>0</v>
      </c>
      <c r="L3166" s="5">
        <v>900</v>
      </c>
      <c r="M3166" s="4"/>
      <c r="N3166" s="4"/>
      <c r="O3166" s="5"/>
      <c r="P3166" s="5"/>
      <c r="Q3166" s="21">
        <v>0</v>
      </c>
      <c r="R3166" s="21">
        <v>0</v>
      </c>
      <c r="S3166" s="5">
        <f t="shared" si="199"/>
        <v>26678.094635152</v>
      </c>
      <c r="T3166" cm="1">
        <f t="array" ref="T3166">IF(OR(B3166="MAL ALIMI", B3166="ÜRETİM GİRİŞ"), MIN(I3166, MAX(0, I3166 + SUM(SUMIFS($I$1:I3165, $C$1:C3165, C3166, $B$1:B3165, {"MAL ALIMI","ÜRETİM GİRİŞ"})) - VLOOKUP(C3166, 'STOK RAPORU'!$C$2:$I$1000, 4, 0))), 0)</f>
        <v>3</v>
      </c>
      <c r="U3166" s="22">
        <f t="shared" si="196"/>
        <v>225</v>
      </c>
      <c r="V3166">
        <f t="shared" si="197"/>
        <v>900</v>
      </c>
      <c r="W3166" s="22">
        <f t="shared" si="198"/>
        <v>675</v>
      </c>
    </row>
    <row r="3167" spans="1:23" hidden="1" x14ac:dyDescent="0.25">
      <c r="A3167" s="3">
        <v>46036</v>
      </c>
      <c r="B3167" s="4" t="s">
        <v>298</v>
      </c>
      <c r="C3167" s="4" t="s">
        <v>1443</v>
      </c>
      <c r="D3167" s="4"/>
      <c r="E3167" s="4" t="s">
        <v>350</v>
      </c>
      <c r="F3167" s="4">
        <v>996144</v>
      </c>
      <c r="G3167" s="4" t="s">
        <v>350</v>
      </c>
      <c r="H3167" s="4" t="s">
        <v>304</v>
      </c>
      <c r="I3167" s="4">
        <v>75</v>
      </c>
      <c r="J3167" s="4">
        <v>4.6666699999999999</v>
      </c>
      <c r="K3167" s="21">
        <v>0</v>
      </c>
      <c r="L3167" s="5">
        <v>350.00024999999999</v>
      </c>
      <c r="M3167" s="4"/>
      <c r="N3167" s="4"/>
      <c r="O3167" s="5"/>
      <c r="P3167" s="5"/>
      <c r="Q3167" s="21">
        <v>0</v>
      </c>
      <c r="R3167" s="21">
        <v>0</v>
      </c>
      <c r="S3167" s="5">
        <f t="shared" si="199"/>
        <v>26678.094635152</v>
      </c>
      <c r="T3167" cm="1">
        <f t="array" ref="T3167">IF(OR(B3167="MAL ALIMI", B3167="ÜRETİM GİRİŞ"), MIN(I3167, MAX(0, I3167 + SUM(SUMIFS($I$1:I3166, $C$1:C3166, C3167, $B$1:B3166, {"MAL ALIMI","ÜRETİM GİRİŞ"})) - VLOOKUP(C3167, 'STOK RAPORU'!$C$2:$I$1000, 4, 0))), 0)</f>
        <v>26</v>
      </c>
      <c r="U3167" s="22">
        <f t="shared" si="196"/>
        <v>121.33341999999999</v>
      </c>
      <c r="V3167">
        <f t="shared" si="197"/>
        <v>350.00024999999999</v>
      </c>
      <c r="W3167" s="22">
        <f t="shared" si="198"/>
        <v>228.66683</v>
      </c>
    </row>
    <row r="3168" spans="1:23" hidden="1" x14ac:dyDescent="0.25">
      <c r="A3168" s="3">
        <v>46036</v>
      </c>
      <c r="B3168" s="4" t="s">
        <v>298</v>
      </c>
      <c r="C3168" s="4" t="s">
        <v>601</v>
      </c>
      <c r="D3168" s="4"/>
      <c r="E3168" s="4" t="s">
        <v>350</v>
      </c>
      <c r="F3168" s="4">
        <v>996144</v>
      </c>
      <c r="G3168" s="4" t="s">
        <v>350</v>
      </c>
      <c r="H3168" s="4" t="s">
        <v>304</v>
      </c>
      <c r="I3168" s="4">
        <v>5</v>
      </c>
      <c r="J3168" s="21">
        <v>350</v>
      </c>
      <c r="K3168" s="21">
        <v>0</v>
      </c>
      <c r="L3168" s="5">
        <v>1750</v>
      </c>
      <c r="M3168" s="4"/>
      <c r="N3168" s="4"/>
      <c r="O3168" s="5"/>
      <c r="P3168" s="5"/>
      <c r="Q3168" s="21">
        <v>0</v>
      </c>
      <c r="R3168" s="21">
        <v>0</v>
      </c>
      <c r="S3168" s="5">
        <f t="shared" si="199"/>
        <v>26678.094635152</v>
      </c>
      <c r="T3168" cm="1">
        <f t="array" ref="T3168">IF(OR(B3168="MAL ALIMI", B3168="ÜRETİM GİRİŞ"), MIN(I3168, MAX(0, I3168 + SUM(SUMIFS($I$1:I3167, $C$1:C3167, C3168, $B$1:B3167, {"MAL ALIMI","ÜRETİM GİRİŞ"})) - VLOOKUP(C3168, 'STOK RAPORU'!$C$2:$I$1000, 4, 0))), 0)</f>
        <v>0.24625454545454595</v>
      </c>
      <c r="U3168" s="22">
        <f t="shared" si="196"/>
        <v>86.189090909091078</v>
      </c>
      <c r="V3168">
        <f t="shared" si="197"/>
        <v>1750</v>
      </c>
      <c r="W3168" s="22">
        <f t="shared" si="198"/>
        <v>1663.8109090909088</v>
      </c>
    </row>
    <row r="3169" spans="1:23" hidden="1" x14ac:dyDescent="0.25">
      <c r="A3169" s="3">
        <v>46036</v>
      </c>
      <c r="B3169" s="4" t="s">
        <v>298</v>
      </c>
      <c r="C3169" s="4" t="s">
        <v>977</v>
      </c>
      <c r="D3169" s="4"/>
      <c r="E3169" s="4" t="s">
        <v>350</v>
      </c>
      <c r="F3169" s="4">
        <v>996144</v>
      </c>
      <c r="G3169" s="4" t="s">
        <v>350</v>
      </c>
      <c r="H3169" s="4" t="s">
        <v>304</v>
      </c>
      <c r="I3169" s="4">
        <v>3</v>
      </c>
      <c r="J3169" s="21">
        <v>160</v>
      </c>
      <c r="K3169" s="21">
        <v>0</v>
      </c>
      <c r="L3169" s="5">
        <v>480</v>
      </c>
      <c r="M3169" s="4"/>
      <c r="N3169" s="4"/>
      <c r="O3169" s="5"/>
      <c r="P3169" s="5"/>
      <c r="Q3169" s="21">
        <v>0</v>
      </c>
      <c r="R3169" s="21">
        <v>0</v>
      </c>
      <c r="S3169" s="5">
        <f t="shared" si="199"/>
        <v>26678.094635152</v>
      </c>
      <c r="T3169" cm="1">
        <f t="array" ref="T3169">IF(OR(B3169="MAL ALIMI", B3169="ÜRETİM GİRİŞ"), MIN(I3169, MAX(0, I3169 + SUM(SUMIFS($I$1:I3168, $C$1:C3168, C3169, $B$1:B3168, {"MAL ALIMI","ÜRETİM GİRİŞ"})) - VLOOKUP(C3169, 'STOK RAPORU'!$C$2:$I$1000, 4, 0))), 0)</f>
        <v>1.4343750000000002</v>
      </c>
      <c r="U3169" s="22">
        <f t="shared" si="196"/>
        <v>229.50000000000003</v>
      </c>
      <c r="V3169">
        <f t="shared" si="197"/>
        <v>480</v>
      </c>
      <c r="W3169" s="22">
        <f t="shared" si="198"/>
        <v>250.49999999999997</v>
      </c>
    </row>
    <row r="3170" spans="1:23" hidden="1" x14ac:dyDescent="0.25">
      <c r="A3170" s="3">
        <v>46036</v>
      </c>
      <c r="B3170" s="4" t="s">
        <v>334</v>
      </c>
      <c r="C3170" s="4" t="s">
        <v>98</v>
      </c>
      <c r="D3170" s="4"/>
      <c r="E3170" s="4" t="s">
        <v>921</v>
      </c>
      <c r="F3170" s="4" t="s">
        <v>1717</v>
      </c>
      <c r="G3170" s="4" t="s">
        <v>336</v>
      </c>
      <c r="H3170" s="4" t="s">
        <v>380</v>
      </c>
      <c r="I3170" s="4">
        <v>0.06</v>
      </c>
      <c r="J3170" s="21">
        <v>400</v>
      </c>
      <c r="K3170" s="21">
        <v>24</v>
      </c>
      <c r="L3170" s="5">
        <v>0</v>
      </c>
      <c r="M3170" s="4"/>
      <c r="N3170" s="4"/>
      <c r="O3170" s="5"/>
      <c r="P3170" s="5"/>
      <c r="Q3170" s="21">
        <v>0</v>
      </c>
      <c r="R3170" s="21">
        <v>0</v>
      </c>
      <c r="S3170" s="5">
        <f t="shared" si="199"/>
        <v>26678.094635152</v>
      </c>
      <c r="T3170" cm="1">
        <f t="array" ref="T3170">IF(OR(B3170="MAL ALIMI", B3170="ÜRETİM GİRİŞ"), MIN(I3170, MAX(0, I3170 + SUM(SUMIFS($I$1:I3169, $C$1:C3169, C3170, $B$1:B3169, {"MAL ALIMI","ÜRETİM GİRİŞ"})) - VLOOKUP(C3170, 'STOK RAPORU'!$C$2:$I$1000, 4, 0))), 0)</f>
        <v>0</v>
      </c>
      <c r="U3170" s="22">
        <f t="shared" si="196"/>
        <v>0</v>
      </c>
      <c r="V3170">
        <f t="shared" si="197"/>
        <v>0</v>
      </c>
      <c r="W3170" s="22">
        <f t="shared" si="198"/>
        <v>0</v>
      </c>
    </row>
    <row r="3171" spans="1:23" hidden="1" x14ac:dyDescent="0.25">
      <c r="A3171" s="3">
        <v>46036</v>
      </c>
      <c r="B3171" s="4" t="s">
        <v>334</v>
      </c>
      <c r="C3171" s="4" t="s">
        <v>92</v>
      </c>
      <c r="D3171" s="4"/>
      <c r="E3171" s="4" t="s">
        <v>921</v>
      </c>
      <c r="F3171" s="4" t="s">
        <v>1717</v>
      </c>
      <c r="G3171" s="4" t="s">
        <v>336</v>
      </c>
      <c r="H3171" s="4" t="s">
        <v>380</v>
      </c>
      <c r="I3171" s="4">
        <v>0.15</v>
      </c>
      <c r="J3171" s="21">
        <v>500</v>
      </c>
      <c r="K3171" s="21">
        <v>75</v>
      </c>
      <c r="L3171" s="5">
        <v>0</v>
      </c>
      <c r="M3171" s="4"/>
      <c r="N3171" s="4"/>
      <c r="O3171" s="5"/>
      <c r="P3171" s="5"/>
      <c r="Q3171" s="21">
        <v>0</v>
      </c>
      <c r="R3171" s="21">
        <v>0</v>
      </c>
      <c r="S3171" s="5">
        <f t="shared" si="199"/>
        <v>26678.094635152</v>
      </c>
      <c r="T3171" cm="1">
        <f t="array" ref="T3171">IF(OR(B3171="MAL ALIMI", B3171="ÜRETİM GİRİŞ"), MIN(I3171, MAX(0, I3171 + SUM(SUMIFS($I$1:I3170, $C$1:C3170, C3171, $B$1:B3170, {"MAL ALIMI","ÜRETİM GİRİŞ"})) - VLOOKUP(C3171, 'STOK RAPORU'!$C$2:$I$1000, 4, 0))), 0)</f>
        <v>0</v>
      </c>
      <c r="U3171" s="22">
        <f t="shared" si="196"/>
        <v>0</v>
      </c>
      <c r="V3171">
        <f t="shared" si="197"/>
        <v>0</v>
      </c>
      <c r="W3171" s="22">
        <f t="shared" si="198"/>
        <v>0</v>
      </c>
    </row>
    <row r="3172" spans="1:23" hidden="1" x14ac:dyDescent="0.25">
      <c r="A3172" s="3">
        <v>46036</v>
      </c>
      <c r="B3172" s="4" t="s">
        <v>334</v>
      </c>
      <c r="C3172" s="4" t="s">
        <v>60</v>
      </c>
      <c r="D3172" s="4"/>
      <c r="E3172" s="4" t="s">
        <v>921</v>
      </c>
      <c r="F3172" s="4" t="s">
        <v>1717</v>
      </c>
      <c r="G3172" s="4" t="s">
        <v>336</v>
      </c>
      <c r="H3172" s="4" t="s">
        <v>380</v>
      </c>
      <c r="I3172" s="4">
        <v>0.05</v>
      </c>
      <c r="J3172" s="21">
        <v>1200</v>
      </c>
      <c r="K3172" s="21">
        <v>60</v>
      </c>
      <c r="L3172" s="5">
        <v>0</v>
      </c>
      <c r="M3172" s="4"/>
      <c r="N3172" s="4"/>
      <c r="O3172" s="5"/>
      <c r="P3172" s="5"/>
      <c r="Q3172" s="21">
        <v>0</v>
      </c>
      <c r="R3172" s="21">
        <v>0</v>
      </c>
      <c r="S3172" s="5">
        <f t="shared" si="199"/>
        <v>26678.094635152</v>
      </c>
      <c r="T3172" cm="1">
        <f t="array" ref="T3172">IF(OR(B3172="MAL ALIMI", B3172="ÜRETİM GİRİŞ"), MIN(I3172, MAX(0, I3172 + SUM(SUMIFS($I$1:I3171, $C$1:C3171, C3172, $B$1:B3171, {"MAL ALIMI","ÜRETİM GİRİŞ"})) - VLOOKUP(C3172, 'STOK RAPORU'!$C$2:$I$1000, 4, 0))), 0)</f>
        <v>0</v>
      </c>
      <c r="U3172" s="22">
        <f t="shared" si="196"/>
        <v>0</v>
      </c>
      <c r="V3172">
        <f t="shared" si="197"/>
        <v>0</v>
      </c>
      <c r="W3172" s="22">
        <f t="shared" si="198"/>
        <v>0</v>
      </c>
    </row>
    <row r="3173" spans="1:23" hidden="1" x14ac:dyDescent="0.25">
      <c r="A3173" s="3">
        <v>46036</v>
      </c>
      <c r="B3173" s="4" t="s">
        <v>334</v>
      </c>
      <c r="C3173" s="4" t="s">
        <v>975</v>
      </c>
      <c r="D3173" s="4"/>
      <c r="E3173" s="4" t="s">
        <v>921</v>
      </c>
      <c r="F3173" s="4" t="s">
        <v>1717</v>
      </c>
      <c r="G3173" s="4" t="s">
        <v>336</v>
      </c>
      <c r="H3173" s="4" t="s">
        <v>380</v>
      </c>
      <c r="I3173" s="4">
        <v>1</v>
      </c>
      <c r="J3173" s="21">
        <v>225</v>
      </c>
      <c r="K3173" s="21">
        <v>225</v>
      </c>
      <c r="L3173" s="5">
        <v>0</v>
      </c>
      <c r="M3173" s="4"/>
      <c r="N3173" s="4"/>
      <c r="O3173" s="5"/>
      <c r="P3173" s="5"/>
      <c r="Q3173" s="21">
        <v>0</v>
      </c>
      <c r="R3173" s="21">
        <v>0</v>
      </c>
      <c r="S3173" s="5">
        <f t="shared" si="199"/>
        <v>26678.094635152</v>
      </c>
      <c r="T3173" cm="1">
        <f t="array" ref="T3173">IF(OR(B3173="MAL ALIMI", B3173="ÜRETİM GİRİŞ"), MIN(I3173, MAX(0, I3173 + SUM(SUMIFS($I$1:I3172, $C$1:C3172, C3173, $B$1:B3172, {"MAL ALIMI","ÜRETİM GİRİŞ"})) - VLOOKUP(C3173, 'STOK RAPORU'!$C$2:$I$1000, 4, 0))), 0)</f>
        <v>0</v>
      </c>
      <c r="U3173" s="22">
        <f t="shared" si="196"/>
        <v>0</v>
      </c>
      <c r="V3173">
        <f t="shared" si="197"/>
        <v>0</v>
      </c>
      <c r="W3173" s="22">
        <f t="shared" si="198"/>
        <v>0</v>
      </c>
    </row>
    <row r="3174" spans="1:23" hidden="1" x14ac:dyDescent="0.25">
      <c r="A3174" s="3">
        <v>46036</v>
      </c>
      <c r="B3174" s="4" t="s">
        <v>334</v>
      </c>
      <c r="C3174" s="4" t="s">
        <v>1271</v>
      </c>
      <c r="D3174" s="4"/>
      <c r="E3174" s="4" t="s">
        <v>921</v>
      </c>
      <c r="F3174" s="4" t="s">
        <v>1718</v>
      </c>
      <c r="G3174" s="4" t="s">
        <v>336</v>
      </c>
      <c r="H3174" s="4" t="s">
        <v>380</v>
      </c>
      <c r="I3174" s="4">
        <v>1</v>
      </c>
      <c r="J3174" s="21">
        <v>190</v>
      </c>
      <c r="K3174" s="21">
        <v>190</v>
      </c>
      <c r="L3174" s="5">
        <v>0</v>
      </c>
      <c r="M3174" s="4"/>
      <c r="N3174" s="4"/>
      <c r="O3174" s="5"/>
      <c r="P3174" s="5"/>
      <c r="Q3174" s="21">
        <v>0</v>
      </c>
      <c r="R3174" s="21">
        <v>0</v>
      </c>
      <c r="S3174" s="5">
        <f t="shared" si="199"/>
        <v>26678.094635152</v>
      </c>
      <c r="T3174" cm="1">
        <f t="array" ref="T3174">IF(OR(B3174="MAL ALIMI", B3174="ÜRETİM GİRİŞ"), MIN(I3174, MAX(0, I3174 + SUM(SUMIFS($I$1:I3173, $C$1:C3173, C3174, $B$1:B3173, {"MAL ALIMI","ÜRETİM GİRİŞ"})) - VLOOKUP(C3174, 'STOK RAPORU'!$C$2:$I$1000, 4, 0))), 0)</f>
        <v>0</v>
      </c>
      <c r="U3174" s="22">
        <f t="shared" si="196"/>
        <v>0</v>
      </c>
      <c r="V3174">
        <f t="shared" si="197"/>
        <v>0</v>
      </c>
      <c r="W3174" s="22">
        <f t="shared" si="198"/>
        <v>0</v>
      </c>
    </row>
    <row r="3175" spans="1:23" hidden="1" x14ac:dyDescent="0.25">
      <c r="A3175" s="3">
        <v>46036</v>
      </c>
      <c r="B3175" s="4" t="s">
        <v>334</v>
      </c>
      <c r="C3175" s="4" t="s">
        <v>160</v>
      </c>
      <c r="D3175" s="4"/>
      <c r="E3175" s="4"/>
      <c r="F3175" s="4" t="s">
        <v>1719</v>
      </c>
      <c r="G3175" s="4" t="s">
        <v>336</v>
      </c>
      <c r="H3175" s="4" t="s">
        <v>289</v>
      </c>
      <c r="I3175" s="4">
        <v>0.5</v>
      </c>
      <c r="J3175" s="21">
        <v>250</v>
      </c>
      <c r="K3175" s="21">
        <v>0</v>
      </c>
      <c r="L3175" s="5">
        <v>0</v>
      </c>
      <c r="M3175" s="4"/>
      <c r="N3175" s="4"/>
      <c r="O3175" s="5"/>
      <c r="P3175" s="5"/>
      <c r="Q3175" s="21">
        <v>125</v>
      </c>
      <c r="R3175" s="21">
        <v>0</v>
      </c>
      <c r="S3175" s="5">
        <f t="shared" si="199"/>
        <v>26803.094635152</v>
      </c>
      <c r="T3175" cm="1">
        <f t="array" ref="T3175">IF(OR(B3175="MAL ALIMI", B3175="ÜRETİM GİRİŞ"), MIN(I3175, MAX(0, I3175 + SUM(SUMIFS($I$1:I3174, $C$1:C3174, C3175, $B$1:B3174, {"MAL ALIMI","ÜRETİM GİRİŞ"})) - VLOOKUP(C3175, 'STOK RAPORU'!$C$2:$I$1000, 4, 0))), 0)</f>
        <v>0</v>
      </c>
      <c r="U3175" s="22">
        <f t="shared" si="196"/>
        <v>0</v>
      </c>
      <c r="V3175">
        <f t="shared" si="197"/>
        <v>0</v>
      </c>
      <c r="W3175" s="22">
        <f t="shared" si="198"/>
        <v>0</v>
      </c>
    </row>
    <row r="3176" spans="1:23" hidden="1" x14ac:dyDescent="0.25">
      <c r="A3176" s="3">
        <v>46036</v>
      </c>
      <c r="B3176" s="4" t="s">
        <v>334</v>
      </c>
      <c r="C3176" s="4" t="s">
        <v>161</v>
      </c>
      <c r="D3176" s="4"/>
      <c r="E3176" s="4"/>
      <c r="F3176" s="4" t="s">
        <v>1719</v>
      </c>
      <c r="G3176" s="4" t="s">
        <v>336</v>
      </c>
      <c r="H3176" s="4" t="s">
        <v>289</v>
      </c>
      <c r="I3176" s="4">
        <v>0.5</v>
      </c>
      <c r="J3176" s="21">
        <v>230</v>
      </c>
      <c r="K3176" s="21">
        <v>0</v>
      </c>
      <c r="L3176" s="5">
        <v>0</v>
      </c>
      <c r="M3176" s="4"/>
      <c r="N3176" s="4"/>
      <c r="O3176" s="5"/>
      <c r="P3176" s="5"/>
      <c r="Q3176" s="21">
        <v>115</v>
      </c>
      <c r="R3176" s="21">
        <v>0</v>
      </c>
      <c r="S3176" s="5">
        <f t="shared" si="199"/>
        <v>26918.094635152</v>
      </c>
      <c r="T3176" cm="1">
        <f t="array" ref="T3176">IF(OR(B3176="MAL ALIMI", B3176="ÜRETİM GİRİŞ"), MIN(I3176, MAX(0, I3176 + SUM(SUMIFS($I$1:I3175, $C$1:C3175, C3176, $B$1:B3175, {"MAL ALIMI","ÜRETİM GİRİŞ"})) - VLOOKUP(C3176, 'STOK RAPORU'!$C$2:$I$1000, 4, 0))), 0)</f>
        <v>0</v>
      </c>
      <c r="U3176" s="22">
        <f t="shared" si="196"/>
        <v>0</v>
      </c>
      <c r="V3176">
        <f t="shared" si="197"/>
        <v>0</v>
      </c>
      <c r="W3176" s="22">
        <f t="shared" si="198"/>
        <v>0</v>
      </c>
    </row>
    <row r="3177" spans="1:23" hidden="1" x14ac:dyDescent="0.25">
      <c r="A3177" s="3">
        <v>46036</v>
      </c>
      <c r="B3177" s="4" t="s">
        <v>334</v>
      </c>
      <c r="C3177" s="4" t="s">
        <v>162</v>
      </c>
      <c r="D3177" s="4"/>
      <c r="E3177" s="4"/>
      <c r="F3177" s="4" t="s">
        <v>1719</v>
      </c>
      <c r="G3177" s="4" t="s">
        <v>336</v>
      </c>
      <c r="H3177" s="4" t="s">
        <v>289</v>
      </c>
      <c r="I3177" s="4">
        <v>0.24</v>
      </c>
      <c r="J3177" s="21">
        <v>250</v>
      </c>
      <c r="K3177" s="21">
        <v>0</v>
      </c>
      <c r="L3177" s="5">
        <v>0</v>
      </c>
      <c r="M3177" s="4"/>
      <c r="N3177" s="4"/>
      <c r="O3177" s="5"/>
      <c r="P3177" s="5"/>
      <c r="Q3177" s="21">
        <v>60</v>
      </c>
      <c r="R3177" s="21">
        <v>0</v>
      </c>
      <c r="S3177" s="5">
        <f t="shared" si="199"/>
        <v>26978.094635152</v>
      </c>
      <c r="T3177" cm="1">
        <f t="array" ref="T3177">IF(OR(B3177="MAL ALIMI", B3177="ÜRETİM GİRİŞ"), MIN(I3177, MAX(0, I3177 + SUM(SUMIFS($I$1:I3176, $C$1:C3176, C3177, $B$1:B3176, {"MAL ALIMI","ÜRETİM GİRİŞ"})) - VLOOKUP(C3177, 'STOK RAPORU'!$C$2:$I$1000, 4, 0))), 0)</f>
        <v>0</v>
      </c>
      <c r="U3177" s="22">
        <f t="shared" si="196"/>
        <v>0</v>
      </c>
      <c r="V3177">
        <f t="shared" si="197"/>
        <v>0</v>
      </c>
      <c r="W3177" s="22">
        <f t="shared" si="198"/>
        <v>0</v>
      </c>
    </row>
    <row r="3178" spans="1:23" hidden="1" x14ac:dyDescent="0.25">
      <c r="A3178" s="3">
        <v>46036</v>
      </c>
      <c r="B3178" s="4" t="s">
        <v>334</v>
      </c>
      <c r="C3178" s="4" t="s">
        <v>1634</v>
      </c>
      <c r="D3178" s="4"/>
      <c r="E3178" s="4" t="s">
        <v>921</v>
      </c>
      <c r="F3178" s="4" t="s">
        <v>1720</v>
      </c>
      <c r="G3178" s="4" t="s">
        <v>336</v>
      </c>
      <c r="H3178" s="4" t="s">
        <v>380</v>
      </c>
      <c r="I3178" s="4">
        <v>0.5</v>
      </c>
      <c r="J3178" s="21">
        <v>300</v>
      </c>
      <c r="K3178" s="21">
        <v>150</v>
      </c>
      <c r="L3178" s="5">
        <v>0</v>
      </c>
      <c r="M3178" s="4"/>
      <c r="N3178" s="4"/>
      <c r="O3178" s="5"/>
      <c r="P3178" s="5"/>
      <c r="Q3178" s="21">
        <v>0</v>
      </c>
      <c r="R3178" s="21">
        <v>0</v>
      </c>
      <c r="S3178" s="5">
        <f t="shared" si="199"/>
        <v>26978.094635152</v>
      </c>
      <c r="T3178" cm="1">
        <f t="array" ref="T3178">IF(OR(B3178="MAL ALIMI", B3178="ÜRETİM GİRİŞ"), MIN(I3178, MAX(0, I3178 + SUM(SUMIFS($I$1:I3177, $C$1:C3177, C3178, $B$1:B3177, {"MAL ALIMI","ÜRETİM GİRİŞ"})) - VLOOKUP(C3178, 'STOK RAPORU'!$C$2:$I$1000, 4, 0))), 0)</f>
        <v>0</v>
      </c>
      <c r="U3178" s="22">
        <f t="shared" si="196"/>
        <v>0</v>
      </c>
      <c r="V3178">
        <f t="shared" si="197"/>
        <v>0</v>
      </c>
      <c r="W3178" s="22">
        <f t="shared" si="198"/>
        <v>0</v>
      </c>
    </row>
    <row r="3179" spans="1:23" hidden="1" x14ac:dyDescent="0.25">
      <c r="A3179" s="3">
        <v>46036</v>
      </c>
      <c r="B3179" s="4" t="s">
        <v>334</v>
      </c>
      <c r="C3179" s="4" t="s">
        <v>692</v>
      </c>
      <c r="D3179" s="4"/>
      <c r="E3179" s="4"/>
      <c r="F3179" s="4" t="s">
        <v>1721</v>
      </c>
      <c r="G3179" s="4" t="s">
        <v>336</v>
      </c>
      <c r="H3179" s="4" t="s">
        <v>289</v>
      </c>
      <c r="I3179" s="4">
        <v>0.5</v>
      </c>
      <c r="J3179" s="21">
        <v>60</v>
      </c>
      <c r="K3179" s="21">
        <v>0</v>
      </c>
      <c r="L3179" s="5">
        <v>0</v>
      </c>
      <c r="M3179" s="4"/>
      <c r="N3179" s="4"/>
      <c r="O3179" s="5"/>
      <c r="P3179" s="5"/>
      <c r="Q3179" s="21">
        <v>30</v>
      </c>
      <c r="R3179" s="21">
        <v>0</v>
      </c>
      <c r="S3179" s="5">
        <f t="shared" si="199"/>
        <v>27008.094635152</v>
      </c>
      <c r="T3179" cm="1">
        <f t="array" ref="T3179">IF(OR(B3179="MAL ALIMI", B3179="ÜRETİM GİRİŞ"), MIN(I3179, MAX(0, I3179 + SUM(SUMIFS($I$1:I3178, $C$1:C3178, C3179, $B$1:B3178, {"MAL ALIMI","ÜRETİM GİRİŞ"})) - VLOOKUP(C3179, 'STOK RAPORU'!$C$2:$I$1000, 4, 0))), 0)</f>
        <v>0</v>
      </c>
      <c r="U3179" s="22">
        <f t="shared" si="196"/>
        <v>0</v>
      </c>
      <c r="V3179">
        <f t="shared" si="197"/>
        <v>0</v>
      </c>
      <c r="W3179" s="22">
        <f t="shared" si="198"/>
        <v>0</v>
      </c>
    </row>
    <row r="3180" spans="1:23" hidden="1" x14ac:dyDescent="0.25">
      <c r="A3180" s="3">
        <v>46036</v>
      </c>
      <c r="B3180" s="4" t="s">
        <v>334</v>
      </c>
      <c r="C3180" s="4" t="s">
        <v>265</v>
      </c>
      <c r="D3180" s="4"/>
      <c r="E3180" s="4"/>
      <c r="F3180" s="4" t="s">
        <v>1722</v>
      </c>
      <c r="G3180" s="4" t="s">
        <v>336</v>
      </c>
      <c r="H3180" s="4" t="s">
        <v>289</v>
      </c>
      <c r="I3180" s="4">
        <v>1</v>
      </c>
      <c r="J3180" s="21">
        <v>130</v>
      </c>
      <c r="K3180" s="21">
        <v>0</v>
      </c>
      <c r="L3180" s="5">
        <v>0</v>
      </c>
      <c r="M3180" s="4"/>
      <c r="N3180" s="4"/>
      <c r="O3180" s="5"/>
      <c r="P3180" s="5"/>
      <c r="Q3180" s="21">
        <v>130</v>
      </c>
      <c r="R3180" s="21">
        <v>0</v>
      </c>
      <c r="S3180" s="5">
        <f t="shared" si="199"/>
        <v>27138.094635152</v>
      </c>
      <c r="T3180" cm="1">
        <f t="array" ref="T3180">IF(OR(B3180="MAL ALIMI", B3180="ÜRETİM GİRİŞ"), MIN(I3180, MAX(0, I3180 + SUM(SUMIFS($I$1:I3179, $C$1:C3179, C3180, $B$1:B3179, {"MAL ALIMI","ÜRETİM GİRİŞ"})) - VLOOKUP(C3180, 'STOK RAPORU'!$C$2:$I$1000, 4, 0))), 0)</f>
        <v>0</v>
      </c>
      <c r="U3180" s="22">
        <f t="shared" si="196"/>
        <v>0</v>
      </c>
      <c r="V3180">
        <f t="shared" si="197"/>
        <v>0</v>
      </c>
      <c r="W3180" s="22">
        <f t="shared" si="198"/>
        <v>0</v>
      </c>
    </row>
    <row r="3181" spans="1:23" hidden="1" x14ac:dyDescent="0.25">
      <c r="A3181" s="3">
        <v>46036</v>
      </c>
      <c r="B3181" s="4" t="s">
        <v>334</v>
      </c>
      <c r="C3181" s="4" t="s">
        <v>228</v>
      </c>
      <c r="D3181" s="4"/>
      <c r="E3181" s="4" t="s">
        <v>921</v>
      </c>
      <c r="F3181" s="4" t="s">
        <v>1723</v>
      </c>
      <c r="G3181" s="4" t="s">
        <v>336</v>
      </c>
      <c r="H3181" s="4" t="s">
        <v>380</v>
      </c>
      <c r="I3181" s="4">
        <v>1</v>
      </c>
      <c r="J3181" s="21">
        <v>260</v>
      </c>
      <c r="K3181" s="21">
        <v>260</v>
      </c>
      <c r="L3181" s="5">
        <v>0</v>
      </c>
      <c r="M3181" s="4"/>
      <c r="N3181" s="4"/>
      <c r="O3181" s="5"/>
      <c r="P3181" s="5"/>
      <c r="Q3181" s="21">
        <v>0</v>
      </c>
      <c r="R3181" s="21">
        <v>0</v>
      </c>
      <c r="S3181" s="5">
        <f t="shared" si="199"/>
        <v>27138.094635152</v>
      </c>
      <c r="T3181" cm="1">
        <f t="array" ref="T3181">IF(OR(B3181="MAL ALIMI", B3181="ÜRETİM GİRİŞ"), MIN(I3181, MAX(0, I3181 + SUM(SUMIFS($I$1:I3180, $C$1:C3180, C3181, $B$1:B3180, {"MAL ALIMI","ÜRETİM GİRİŞ"})) - VLOOKUP(C3181, 'STOK RAPORU'!$C$2:$I$1000, 4, 0))), 0)</f>
        <v>0</v>
      </c>
      <c r="U3181" s="22">
        <f t="shared" si="196"/>
        <v>0</v>
      </c>
      <c r="V3181">
        <f t="shared" si="197"/>
        <v>0</v>
      </c>
      <c r="W3181" s="22">
        <f t="shared" si="198"/>
        <v>0</v>
      </c>
    </row>
    <row r="3182" spans="1:23" hidden="1" x14ac:dyDescent="0.25">
      <c r="A3182" s="45">
        <v>46036</v>
      </c>
      <c r="B3182" s="46" t="s">
        <v>334</v>
      </c>
      <c r="C3182" s="46" t="s">
        <v>463</v>
      </c>
      <c r="D3182" s="46"/>
      <c r="E3182" s="46"/>
      <c r="F3182" s="46" t="s">
        <v>1724</v>
      </c>
      <c r="G3182" s="46" t="s">
        <v>439</v>
      </c>
      <c r="H3182" s="46" t="s">
        <v>289</v>
      </c>
      <c r="I3182" s="46">
        <v>0.71499999999999997</v>
      </c>
      <c r="J3182" s="47">
        <v>280</v>
      </c>
      <c r="K3182" s="47">
        <v>0</v>
      </c>
      <c r="L3182" s="48">
        <v>0</v>
      </c>
      <c r="M3182" s="4"/>
      <c r="N3182" s="4"/>
      <c r="O3182" s="5"/>
      <c r="P3182" s="5"/>
      <c r="Q3182" s="47">
        <v>200.2</v>
      </c>
      <c r="R3182" s="21">
        <v>0</v>
      </c>
      <c r="S3182" s="5">
        <f t="shared" si="199"/>
        <v>27338.294635152</v>
      </c>
      <c r="T3182" cm="1">
        <f t="array" ref="T3182">IF(OR(B3182="MAL ALIMI", B3182="ÜRETİM GİRİŞ"), MIN(I3182, MAX(0, I3182 + SUM(SUMIFS($I$1:I3181, $C$1:C3181, C3182, $B$1:B3181, {"MAL ALIMI","ÜRETİM GİRİŞ"})) - VLOOKUP(C3182, 'STOK RAPORU'!$C$2:$I$1000, 4, 0))), 0)</f>
        <v>0</v>
      </c>
      <c r="U3182" s="22">
        <f t="shared" si="196"/>
        <v>0</v>
      </c>
      <c r="V3182">
        <f t="shared" si="197"/>
        <v>0</v>
      </c>
      <c r="W3182" s="22">
        <f t="shared" si="198"/>
        <v>0</v>
      </c>
    </row>
    <row r="3183" spans="1:23" hidden="1" x14ac:dyDescent="0.25">
      <c r="A3183" s="3">
        <v>46036</v>
      </c>
      <c r="B3183" s="4" t="s">
        <v>334</v>
      </c>
      <c r="C3183" s="4" t="s">
        <v>131</v>
      </c>
      <c r="D3183" s="4"/>
      <c r="E3183" s="4" t="s">
        <v>921</v>
      </c>
      <c r="F3183" s="4" t="s">
        <v>1725</v>
      </c>
      <c r="G3183" s="4" t="s">
        <v>336</v>
      </c>
      <c r="H3183" s="4" t="s">
        <v>380</v>
      </c>
      <c r="I3183" s="4">
        <v>8.7999999999999995E-2</v>
      </c>
      <c r="J3183" s="21">
        <v>400</v>
      </c>
      <c r="K3183" s="21">
        <v>35.199999999999996</v>
      </c>
      <c r="L3183" s="5">
        <v>0</v>
      </c>
      <c r="M3183" s="4"/>
      <c r="N3183" s="4"/>
      <c r="O3183" s="5"/>
      <c r="P3183" s="5"/>
      <c r="Q3183" s="21">
        <v>0</v>
      </c>
      <c r="R3183" s="21">
        <v>0</v>
      </c>
      <c r="S3183" s="5">
        <f t="shared" si="199"/>
        <v>27338.294635152</v>
      </c>
      <c r="T3183" cm="1">
        <f t="array" ref="T3183">IF(OR(B3183="MAL ALIMI", B3183="ÜRETİM GİRİŞ"), MIN(I3183, MAX(0, I3183 + SUM(SUMIFS($I$1:I3182, $C$1:C3182, C3183, $B$1:B3182, {"MAL ALIMI","ÜRETİM GİRİŞ"})) - VLOOKUP(C3183, 'STOK RAPORU'!$C$2:$I$1000, 4, 0))), 0)</f>
        <v>0</v>
      </c>
      <c r="U3183" s="22">
        <f t="shared" si="196"/>
        <v>0</v>
      </c>
      <c r="V3183">
        <f t="shared" si="197"/>
        <v>0</v>
      </c>
      <c r="W3183" s="22">
        <f t="shared" si="198"/>
        <v>0</v>
      </c>
    </row>
    <row r="3184" spans="1:23" hidden="1" x14ac:dyDescent="0.25">
      <c r="A3184" s="3">
        <v>46036</v>
      </c>
      <c r="B3184" s="4" t="s">
        <v>334</v>
      </c>
      <c r="C3184" s="4" t="s">
        <v>126</v>
      </c>
      <c r="D3184" s="4"/>
      <c r="E3184" s="4" t="s">
        <v>921</v>
      </c>
      <c r="F3184" s="4" t="s">
        <v>1725</v>
      </c>
      <c r="G3184" s="4" t="s">
        <v>336</v>
      </c>
      <c r="H3184" s="4" t="s">
        <v>380</v>
      </c>
      <c r="I3184" s="4">
        <v>9.6000000000000002E-2</v>
      </c>
      <c r="J3184" s="21">
        <v>610</v>
      </c>
      <c r="K3184" s="21">
        <v>58.56</v>
      </c>
      <c r="L3184" s="5">
        <v>0</v>
      </c>
      <c r="M3184" s="4"/>
      <c r="N3184" s="4"/>
      <c r="O3184" s="5"/>
      <c r="P3184" s="5"/>
      <c r="Q3184" s="21">
        <v>0</v>
      </c>
      <c r="R3184" s="21">
        <v>0</v>
      </c>
      <c r="S3184" s="5">
        <f t="shared" si="199"/>
        <v>27338.294635152</v>
      </c>
      <c r="T3184" cm="1">
        <f t="array" ref="T3184">IF(OR(B3184="MAL ALIMI", B3184="ÜRETİM GİRİŞ"), MIN(I3184, MAX(0, I3184 + SUM(SUMIFS($I$1:I3183, $C$1:C3183, C3184, $B$1:B3183, {"MAL ALIMI","ÜRETİM GİRİŞ"})) - VLOOKUP(C3184, 'STOK RAPORU'!$C$2:$I$1000, 4, 0))), 0)</f>
        <v>0</v>
      </c>
      <c r="U3184" s="22">
        <f t="shared" si="196"/>
        <v>0</v>
      </c>
      <c r="V3184">
        <f t="shared" si="197"/>
        <v>0</v>
      </c>
      <c r="W3184" s="22">
        <f t="shared" si="198"/>
        <v>0</v>
      </c>
    </row>
    <row r="3185" spans="1:23" hidden="1" x14ac:dyDescent="0.25">
      <c r="A3185" s="3">
        <v>46036</v>
      </c>
      <c r="B3185" s="4" t="s">
        <v>334</v>
      </c>
      <c r="C3185" s="4" t="s">
        <v>140</v>
      </c>
      <c r="D3185" s="4"/>
      <c r="E3185" s="4" t="s">
        <v>921</v>
      </c>
      <c r="F3185" s="4" t="s">
        <v>1725</v>
      </c>
      <c r="G3185" s="4" t="s">
        <v>336</v>
      </c>
      <c r="H3185" s="4" t="s">
        <v>380</v>
      </c>
      <c r="I3185" s="4">
        <v>0.11</v>
      </c>
      <c r="J3185" s="21">
        <v>300</v>
      </c>
      <c r="K3185" s="21">
        <v>33</v>
      </c>
      <c r="L3185" s="5">
        <v>0</v>
      </c>
      <c r="M3185" s="4"/>
      <c r="N3185" s="4"/>
      <c r="O3185" s="5"/>
      <c r="P3185" s="5"/>
      <c r="Q3185" s="21">
        <v>0</v>
      </c>
      <c r="R3185" s="21">
        <v>0</v>
      </c>
      <c r="S3185" s="5">
        <f t="shared" si="199"/>
        <v>27338.294635152</v>
      </c>
      <c r="T3185" cm="1">
        <f t="array" ref="T3185">IF(OR(B3185="MAL ALIMI", B3185="ÜRETİM GİRİŞ"), MIN(I3185, MAX(0, I3185 + SUM(SUMIFS($I$1:I3184, $C$1:C3184, C3185, $B$1:B3184, {"MAL ALIMI","ÜRETİM GİRİŞ"})) - VLOOKUP(C3185, 'STOK RAPORU'!$C$2:$I$1000, 4, 0))), 0)</f>
        <v>0</v>
      </c>
      <c r="U3185" s="22">
        <f t="shared" si="196"/>
        <v>0</v>
      </c>
      <c r="V3185">
        <f t="shared" si="197"/>
        <v>0</v>
      </c>
      <c r="W3185" s="22">
        <f t="shared" si="198"/>
        <v>0</v>
      </c>
    </row>
    <row r="3186" spans="1:23" hidden="1" x14ac:dyDescent="0.25">
      <c r="A3186" s="3">
        <v>46036</v>
      </c>
      <c r="B3186" s="4" t="s">
        <v>334</v>
      </c>
      <c r="C3186" s="4" t="s">
        <v>163</v>
      </c>
      <c r="D3186" s="4"/>
      <c r="E3186" s="4" t="s">
        <v>921</v>
      </c>
      <c r="F3186" s="4" t="s">
        <v>1725</v>
      </c>
      <c r="G3186" s="4" t="s">
        <v>336</v>
      </c>
      <c r="H3186" s="4" t="s">
        <v>380</v>
      </c>
      <c r="I3186" s="4">
        <v>0.15</v>
      </c>
      <c r="J3186" s="21">
        <v>420</v>
      </c>
      <c r="K3186" s="21">
        <v>63</v>
      </c>
      <c r="L3186" s="5">
        <v>0</v>
      </c>
      <c r="M3186" s="4"/>
      <c r="N3186" s="4"/>
      <c r="O3186" s="5"/>
      <c r="P3186" s="5"/>
      <c r="Q3186" s="21">
        <v>0</v>
      </c>
      <c r="R3186" s="21">
        <v>0</v>
      </c>
      <c r="S3186" s="5">
        <f t="shared" si="199"/>
        <v>27338.294635152</v>
      </c>
      <c r="T3186" cm="1">
        <f t="array" ref="T3186">IF(OR(B3186="MAL ALIMI", B3186="ÜRETİM GİRİŞ"), MIN(I3186, MAX(0, I3186 + SUM(SUMIFS($I$1:I3185, $C$1:C3185, C3186, $B$1:B3185, {"MAL ALIMI","ÜRETİM GİRİŞ"})) - VLOOKUP(C3186, 'STOK RAPORU'!$C$2:$I$1000, 4, 0))), 0)</f>
        <v>0</v>
      </c>
      <c r="U3186" s="22">
        <f t="shared" si="196"/>
        <v>0</v>
      </c>
      <c r="V3186">
        <f t="shared" si="197"/>
        <v>0</v>
      </c>
      <c r="W3186" s="22">
        <f t="shared" si="198"/>
        <v>0</v>
      </c>
    </row>
    <row r="3187" spans="1:23" hidden="1" x14ac:dyDescent="0.25">
      <c r="A3187" s="3">
        <v>46036</v>
      </c>
      <c r="B3187" s="4" t="s">
        <v>334</v>
      </c>
      <c r="C3187" s="4" t="s">
        <v>91</v>
      </c>
      <c r="D3187" s="4"/>
      <c r="E3187" s="4" t="s">
        <v>921</v>
      </c>
      <c r="F3187" s="4" t="s">
        <v>1725</v>
      </c>
      <c r="G3187" s="4" t="s">
        <v>336</v>
      </c>
      <c r="H3187" s="4" t="s">
        <v>380</v>
      </c>
      <c r="I3187" s="4">
        <v>0.04</v>
      </c>
      <c r="J3187" s="21">
        <v>760</v>
      </c>
      <c r="K3187" s="21">
        <v>30.400000000000002</v>
      </c>
      <c r="L3187" s="5">
        <v>0</v>
      </c>
      <c r="M3187" s="4"/>
      <c r="N3187" s="4"/>
      <c r="O3187" s="5"/>
      <c r="P3187" s="5"/>
      <c r="Q3187" s="21">
        <v>0</v>
      </c>
      <c r="R3187" s="21">
        <v>0</v>
      </c>
      <c r="S3187" s="5">
        <f t="shared" si="199"/>
        <v>27338.294635152</v>
      </c>
      <c r="T3187" cm="1">
        <f t="array" ref="T3187">IF(OR(B3187="MAL ALIMI", B3187="ÜRETİM GİRİŞ"), MIN(I3187, MAX(0, I3187 + SUM(SUMIFS($I$1:I3186, $C$1:C3186, C3187, $B$1:B3186, {"MAL ALIMI","ÜRETİM GİRİŞ"})) - VLOOKUP(C3187, 'STOK RAPORU'!$C$2:$I$1000, 4, 0))), 0)</f>
        <v>0</v>
      </c>
      <c r="U3187" s="22">
        <f t="shared" si="196"/>
        <v>0</v>
      </c>
      <c r="V3187">
        <f t="shared" si="197"/>
        <v>0</v>
      </c>
      <c r="W3187" s="22">
        <f t="shared" si="198"/>
        <v>0</v>
      </c>
    </row>
    <row r="3188" spans="1:23" hidden="1" x14ac:dyDescent="0.25">
      <c r="A3188" s="3">
        <v>46036</v>
      </c>
      <c r="B3188" s="4" t="s">
        <v>334</v>
      </c>
      <c r="C3188" s="4" t="s">
        <v>137</v>
      </c>
      <c r="D3188" s="4"/>
      <c r="E3188" s="4" t="s">
        <v>921</v>
      </c>
      <c r="F3188" s="4" t="s">
        <v>1725</v>
      </c>
      <c r="G3188" s="4" t="s">
        <v>336</v>
      </c>
      <c r="H3188" s="4" t="s">
        <v>380</v>
      </c>
      <c r="I3188" s="4">
        <v>0.25</v>
      </c>
      <c r="J3188" s="21">
        <v>180</v>
      </c>
      <c r="K3188" s="21">
        <v>45</v>
      </c>
      <c r="L3188" s="5">
        <v>0</v>
      </c>
      <c r="M3188" s="4"/>
      <c r="N3188" s="4"/>
      <c r="O3188" s="5"/>
      <c r="P3188" s="5"/>
      <c r="Q3188" s="21">
        <v>0</v>
      </c>
      <c r="R3188" s="21">
        <v>0</v>
      </c>
      <c r="S3188" s="5">
        <f t="shared" si="199"/>
        <v>27338.294635152</v>
      </c>
      <c r="T3188" cm="1">
        <f t="array" ref="T3188">IF(OR(B3188="MAL ALIMI", B3188="ÜRETİM GİRİŞ"), MIN(I3188, MAX(0, I3188 + SUM(SUMIFS($I$1:I3187, $C$1:C3187, C3188, $B$1:B3187, {"MAL ALIMI","ÜRETİM GİRİŞ"})) - VLOOKUP(C3188, 'STOK RAPORU'!$C$2:$I$1000, 4, 0))), 0)</f>
        <v>0</v>
      </c>
      <c r="U3188" s="22">
        <f t="shared" si="196"/>
        <v>0</v>
      </c>
      <c r="V3188">
        <f t="shared" si="197"/>
        <v>0</v>
      </c>
      <c r="W3188" s="22">
        <f t="shared" si="198"/>
        <v>0</v>
      </c>
    </row>
    <row r="3189" spans="1:23" hidden="1" x14ac:dyDescent="0.25">
      <c r="A3189" s="3">
        <v>46036</v>
      </c>
      <c r="B3189" s="4" t="s">
        <v>334</v>
      </c>
      <c r="C3189" s="4" t="s">
        <v>830</v>
      </c>
      <c r="D3189" s="4"/>
      <c r="E3189" s="4" t="s">
        <v>921</v>
      </c>
      <c r="F3189" s="4" t="s">
        <v>1725</v>
      </c>
      <c r="G3189" s="4" t="s">
        <v>336</v>
      </c>
      <c r="H3189" s="4" t="s">
        <v>380</v>
      </c>
      <c r="I3189" s="4">
        <v>1</v>
      </c>
      <c r="J3189" s="21">
        <v>130</v>
      </c>
      <c r="K3189" s="21">
        <v>130</v>
      </c>
      <c r="L3189" s="5">
        <v>0</v>
      </c>
      <c r="M3189" s="4"/>
      <c r="N3189" s="4"/>
      <c r="O3189" s="5"/>
      <c r="P3189" s="5"/>
      <c r="Q3189" s="21">
        <v>0</v>
      </c>
      <c r="R3189" s="21">
        <v>0</v>
      </c>
      <c r="S3189" s="5">
        <f t="shared" si="199"/>
        <v>27338.294635152</v>
      </c>
      <c r="T3189" cm="1">
        <f t="array" ref="T3189">IF(OR(B3189="MAL ALIMI", B3189="ÜRETİM GİRİŞ"), MIN(I3189, MAX(0, I3189 + SUM(SUMIFS($I$1:I3188, $C$1:C3188, C3189, $B$1:B3188, {"MAL ALIMI","ÜRETİM GİRİŞ"})) - VLOOKUP(C3189, 'STOK RAPORU'!$C$2:$I$1000, 4, 0))), 0)</f>
        <v>0</v>
      </c>
      <c r="U3189" s="22">
        <f t="shared" si="196"/>
        <v>0</v>
      </c>
      <c r="V3189">
        <f t="shared" si="197"/>
        <v>0</v>
      </c>
      <c r="W3189" s="22">
        <f t="shared" si="198"/>
        <v>0</v>
      </c>
    </row>
    <row r="3190" spans="1:23" hidden="1" x14ac:dyDescent="0.25">
      <c r="A3190" s="3">
        <v>46036</v>
      </c>
      <c r="B3190" s="4" t="s">
        <v>334</v>
      </c>
      <c r="C3190" s="4" t="s">
        <v>1428</v>
      </c>
      <c r="D3190" s="4"/>
      <c r="E3190" s="4" t="s">
        <v>921</v>
      </c>
      <c r="F3190" s="4" t="s">
        <v>1725</v>
      </c>
      <c r="G3190" s="4" t="s">
        <v>336</v>
      </c>
      <c r="H3190" s="4" t="s">
        <v>380</v>
      </c>
      <c r="I3190" s="4">
        <v>0.1</v>
      </c>
      <c r="J3190" s="21">
        <v>800</v>
      </c>
      <c r="K3190" s="21">
        <v>80</v>
      </c>
      <c r="L3190" s="5">
        <v>0</v>
      </c>
      <c r="M3190" s="4"/>
      <c r="N3190" s="4"/>
      <c r="O3190" s="5"/>
      <c r="P3190" s="5"/>
      <c r="Q3190" s="21">
        <v>0</v>
      </c>
      <c r="R3190" s="21">
        <v>0</v>
      </c>
      <c r="S3190" s="5">
        <f t="shared" si="199"/>
        <v>27338.294635152</v>
      </c>
      <c r="T3190" cm="1">
        <f t="array" ref="T3190">IF(OR(B3190="MAL ALIMI", B3190="ÜRETİM GİRİŞ"), MIN(I3190, MAX(0, I3190 + SUM(SUMIFS($I$1:I3189, $C$1:C3189, C3190, $B$1:B3189, {"MAL ALIMI","ÜRETİM GİRİŞ"})) - VLOOKUP(C3190, 'STOK RAPORU'!$C$2:$I$1000, 4, 0))), 0)</f>
        <v>0</v>
      </c>
      <c r="U3190" s="22">
        <f t="shared" si="196"/>
        <v>0</v>
      </c>
      <c r="V3190">
        <f t="shared" si="197"/>
        <v>0</v>
      </c>
      <c r="W3190" s="22">
        <f t="shared" si="198"/>
        <v>0</v>
      </c>
    </row>
    <row r="3191" spans="1:23" hidden="1" x14ac:dyDescent="0.25">
      <c r="A3191" s="3">
        <v>46036</v>
      </c>
      <c r="B3191" s="4" t="s">
        <v>334</v>
      </c>
      <c r="C3191" s="4" t="s">
        <v>165</v>
      </c>
      <c r="D3191" s="4"/>
      <c r="E3191" s="4" t="s">
        <v>921</v>
      </c>
      <c r="F3191" s="4" t="s">
        <v>1725</v>
      </c>
      <c r="G3191" s="4" t="s">
        <v>336</v>
      </c>
      <c r="H3191" s="4" t="s">
        <v>380</v>
      </c>
      <c r="I3191" s="4">
        <v>0.1</v>
      </c>
      <c r="J3191" s="21">
        <v>250</v>
      </c>
      <c r="K3191" s="21">
        <v>25</v>
      </c>
      <c r="L3191" s="5">
        <v>0</v>
      </c>
      <c r="M3191" s="4"/>
      <c r="N3191" s="4"/>
      <c r="O3191" s="5"/>
      <c r="P3191" s="5"/>
      <c r="Q3191" s="21">
        <v>0</v>
      </c>
      <c r="R3191" s="21">
        <v>0</v>
      </c>
      <c r="S3191" s="5">
        <f t="shared" si="199"/>
        <v>27338.294635152</v>
      </c>
      <c r="T3191" cm="1">
        <f t="array" ref="T3191">IF(OR(B3191="MAL ALIMI", B3191="ÜRETİM GİRİŞ"), MIN(I3191, MAX(0, I3191 + SUM(SUMIFS($I$1:I3190, $C$1:C3190, C3191, $B$1:B3190, {"MAL ALIMI","ÜRETİM GİRİŞ"})) - VLOOKUP(C3191, 'STOK RAPORU'!$C$2:$I$1000, 4, 0))), 0)</f>
        <v>0</v>
      </c>
      <c r="U3191" s="22">
        <f t="shared" si="196"/>
        <v>0</v>
      </c>
      <c r="V3191">
        <f t="shared" si="197"/>
        <v>0</v>
      </c>
      <c r="W3191" s="22">
        <f t="shared" si="198"/>
        <v>0</v>
      </c>
    </row>
    <row r="3192" spans="1:23" hidden="1" x14ac:dyDescent="0.25">
      <c r="A3192" s="3">
        <v>46036</v>
      </c>
      <c r="B3192" s="4" t="s">
        <v>917</v>
      </c>
      <c r="C3192" s="4"/>
      <c r="D3192" s="4"/>
      <c r="E3192" s="4" t="s">
        <v>855</v>
      </c>
      <c r="F3192" s="4"/>
      <c r="G3192" s="4" t="s">
        <v>1280</v>
      </c>
      <c r="H3192" s="4" t="s">
        <v>289</v>
      </c>
      <c r="I3192" s="4">
        <v>1</v>
      </c>
      <c r="J3192" s="21">
        <v>0</v>
      </c>
      <c r="K3192" s="21">
        <v>20000</v>
      </c>
      <c r="L3192" s="5">
        <v>0</v>
      </c>
      <c r="M3192" s="4"/>
      <c r="N3192" s="4"/>
      <c r="O3192" s="5"/>
      <c r="P3192" s="5"/>
      <c r="Q3192" s="21">
        <v>0</v>
      </c>
      <c r="R3192" s="21">
        <v>20000</v>
      </c>
      <c r="S3192" s="5">
        <f t="shared" si="199"/>
        <v>7338.2946351520004</v>
      </c>
      <c r="T3192" cm="1">
        <f t="array" ref="T3192">IF(OR(B3192="MAL ALIMI", B3192="ÜRETİM GİRİŞ"), MIN(I3192, MAX(0, I3192 + SUM(SUMIFS($I$1:I3191, $C$1:C3191, C3192, $B$1:B3191, {"MAL ALIMI","ÜRETİM GİRİŞ"})) - VLOOKUP(C3192, 'STOK RAPORU'!$C$2:$I$1000, 4, 0))), 0)</f>
        <v>0</v>
      </c>
      <c r="U3192" s="22">
        <f t="shared" si="196"/>
        <v>0</v>
      </c>
      <c r="V3192">
        <f t="shared" si="197"/>
        <v>0</v>
      </c>
      <c r="W3192" s="22">
        <f t="shared" si="198"/>
        <v>0</v>
      </c>
    </row>
    <row r="3193" spans="1:23" hidden="1" x14ac:dyDescent="0.25">
      <c r="A3193" s="3">
        <v>46036</v>
      </c>
      <c r="B3193" s="4" t="s">
        <v>946</v>
      </c>
      <c r="C3193" s="4"/>
      <c r="D3193" s="4"/>
      <c r="E3193" s="4" t="s">
        <v>921</v>
      </c>
      <c r="F3193" s="4"/>
      <c r="G3193" s="4" t="s">
        <v>946</v>
      </c>
      <c r="H3193" s="4" t="s">
        <v>380</v>
      </c>
      <c r="I3193" s="4">
        <v>1</v>
      </c>
      <c r="J3193" s="105">
        <v>641</v>
      </c>
      <c r="K3193" s="21">
        <v>0</v>
      </c>
      <c r="L3193" s="102">
        <v>641</v>
      </c>
      <c r="M3193" s="4"/>
      <c r="N3193" s="4"/>
      <c r="O3193" s="5"/>
      <c r="P3193" s="5"/>
      <c r="Q3193" s="21">
        <v>641</v>
      </c>
      <c r="R3193" s="21">
        <v>0</v>
      </c>
      <c r="S3193" s="5">
        <f t="shared" si="199"/>
        <v>7979.2946351520004</v>
      </c>
      <c r="T3193" cm="1">
        <f t="array" ref="T3193">IF(OR(B3193="MAL ALIMI", B3193="ÜRETİM GİRİŞ"), MIN(I3193, MAX(0, I3193 + SUM(SUMIFS($I$1:I3192, $C$1:C3192, C3193, $B$1:B3192, {"MAL ALIMI","ÜRETİM GİRİŞ"})) - VLOOKUP(C3193, 'STOK RAPORU'!$C$2:$I$1000, 4, 0))), 0)</f>
        <v>0</v>
      </c>
      <c r="U3193" s="22">
        <f t="shared" si="196"/>
        <v>0</v>
      </c>
      <c r="V3193">
        <f t="shared" si="197"/>
        <v>0</v>
      </c>
      <c r="W3193" s="22">
        <f t="shared" si="198"/>
        <v>0</v>
      </c>
    </row>
    <row r="3194" spans="1:23" hidden="1" x14ac:dyDescent="0.25">
      <c r="A3194" s="3">
        <v>46037</v>
      </c>
      <c r="B3194" s="4" t="s">
        <v>334</v>
      </c>
      <c r="C3194" s="4" t="s">
        <v>92</v>
      </c>
      <c r="D3194" s="4"/>
      <c r="E3194" s="4"/>
      <c r="F3194" s="4" t="s">
        <v>1726</v>
      </c>
      <c r="G3194" s="4" t="s">
        <v>336</v>
      </c>
      <c r="H3194" s="4" t="s">
        <v>289</v>
      </c>
      <c r="I3194" s="4">
        <v>0.06</v>
      </c>
      <c r="J3194" s="21">
        <v>500</v>
      </c>
      <c r="K3194" s="21">
        <v>0</v>
      </c>
      <c r="L3194" s="5">
        <v>0</v>
      </c>
      <c r="M3194" s="4"/>
      <c r="N3194" s="4"/>
      <c r="O3194" s="5"/>
      <c r="P3194" s="5"/>
      <c r="Q3194" s="21">
        <v>30</v>
      </c>
      <c r="R3194" s="21">
        <v>0</v>
      </c>
      <c r="S3194" s="5">
        <f t="shared" si="199"/>
        <v>8009.2946351520004</v>
      </c>
      <c r="T3194" cm="1">
        <f t="array" ref="T3194">IF(OR(B3194="MAL ALIMI", B3194="ÜRETİM GİRİŞ"), MIN(I3194, MAX(0, I3194 + SUM(SUMIFS($I$1:I3193, $C$1:C3193, C3194, $B$1:B3193, {"MAL ALIMI","ÜRETİM GİRİŞ"})) - VLOOKUP(C3194, 'STOK RAPORU'!$C$2:$I$1000, 4, 0))), 0)</f>
        <v>0</v>
      </c>
      <c r="U3194" s="22">
        <f t="shared" si="196"/>
        <v>0</v>
      </c>
      <c r="V3194">
        <f t="shared" si="197"/>
        <v>0</v>
      </c>
      <c r="W3194" s="22">
        <f t="shared" si="198"/>
        <v>0</v>
      </c>
    </row>
    <row r="3195" spans="1:23" hidden="1" x14ac:dyDescent="0.25">
      <c r="A3195" s="3">
        <v>46037</v>
      </c>
      <c r="B3195" s="4" t="s">
        <v>334</v>
      </c>
      <c r="C3195" s="4" t="s">
        <v>163</v>
      </c>
      <c r="D3195" s="4"/>
      <c r="E3195" s="4"/>
      <c r="F3195" s="4" t="s">
        <v>1726</v>
      </c>
      <c r="G3195" s="4" t="s">
        <v>336</v>
      </c>
      <c r="H3195" s="4" t="s">
        <v>289</v>
      </c>
      <c r="I3195" s="4">
        <v>0.11904761904761904</v>
      </c>
      <c r="J3195" s="21">
        <v>420</v>
      </c>
      <c r="K3195" s="21">
        <v>0</v>
      </c>
      <c r="L3195" s="5">
        <v>0</v>
      </c>
      <c r="M3195" s="4"/>
      <c r="N3195" s="4"/>
      <c r="O3195" s="5"/>
      <c r="P3195" s="5"/>
      <c r="Q3195" s="21">
        <v>50</v>
      </c>
      <c r="R3195" s="21">
        <v>0</v>
      </c>
      <c r="S3195" s="5">
        <f t="shared" si="199"/>
        <v>8059.2946351520004</v>
      </c>
      <c r="T3195" cm="1">
        <f t="array" ref="T3195">IF(OR(B3195="MAL ALIMI", B3195="ÜRETİM GİRİŞ"), MIN(I3195, MAX(0, I3195 + SUM(SUMIFS($I$1:I3194, $C$1:C3194, C3195, $B$1:B3194, {"MAL ALIMI","ÜRETİM GİRİŞ"})) - VLOOKUP(C3195, 'STOK RAPORU'!$C$2:$I$1000, 4, 0))), 0)</f>
        <v>0</v>
      </c>
      <c r="U3195" s="22">
        <f t="shared" si="196"/>
        <v>0</v>
      </c>
      <c r="V3195">
        <f t="shared" si="197"/>
        <v>0</v>
      </c>
      <c r="W3195" s="22">
        <f t="shared" si="198"/>
        <v>0</v>
      </c>
    </row>
    <row r="3196" spans="1:23" hidden="1" x14ac:dyDescent="0.25">
      <c r="A3196" s="3">
        <v>46037</v>
      </c>
      <c r="B3196" s="4" t="s">
        <v>334</v>
      </c>
      <c r="C3196" s="4" t="s">
        <v>1023</v>
      </c>
      <c r="D3196" s="4"/>
      <c r="E3196" s="4"/>
      <c r="F3196" s="4" t="s">
        <v>1726</v>
      </c>
      <c r="G3196" s="4" t="s">
        <v>336</v>
      </c>
      <c r="H3196" s="4" t="s">
        <v>289</v>
      </c>
      <c r="I3196" s="4">
        <v>0.46153846153846156</v>
      </c>
      <c r="J3196" s="21">
        <v>65</v>
      </c>
      <c r="K3196" s="21">
        <v>0</v>
      </c>
      <c r="L3196" s="5">
        <v>0</v>
      </c>
      <c r="M3196" s="4"/>
      <c r="N3196" s="4"/>
      <c r="O3196" s="5"/>
      <c r="P3196" s="5"/>
      <c r="Q3196" s="21">
        <v>30</v>
      </c>
      <c r="R3196" s="21">
        <v>0</v>
      </c>
      <c r="S3196" s="5">
        <f t="shared" si="199"/>
        <v>8089.2946351520004</v>
      </c>
      <c r="T3196" cm="1">
        <f t="array" ref="T3196">IF(OR(B3196="MAL ALIMI", B3196="ÜRETİM GİRİŞ"), MIN(I3196, MAX(0, I3196 + SUM(SUMIFS($I$1:I3195, $C$1:C3195, C3196, $B$1:B3195, {"MAL ALIMI","ÜRETİM GİRİŞ"})) - VLOOKUP(C3196, 'STOK RAPORU'!$C$2:$I$1000, 4, 0))), 0)</f>
        <v>0</v>
      </c>
      <c r="U3196" s="22">
        <f t="shared" si="196"/>
        <v>0</v>
      </c>
      <c r="V3196">
        <f t="shared" si="197"/>
        <v>0</v>
      </c>
      <c r="W3196" s="22">
        <f t="shared" si="198"/>
        <v>0</v>
      </c>
    </row>
    <row r="3197" spans="1:23" hidden="1" x14ac:dyDescent="0.25">
      <c r="A3197" s="3">
        <v>46037</v>
      </c>
      <c r="B3197" s="4" t="s">
        <v>334</v>
      </c>
      <c r="C3197" s="4" t="s">
        <v>750</v>
      </c>
      <c r="D3197" s="4"/>
      <c r="E3197" s="4" t="s">
        <v>921</v>
      </c>
      <c r="F3197" s="4" t="s">
        <v>1727</v>
      </c>
      <c r="G3197" s="4" t="s">
        <v>336</v>
      </c>
      <c r="H3197" s="4" t="s">
        <v>380</v>
      </c>
      <c r="I3197" s="4">
        <v>1</v>
      </c>
      <c r="J3197" s="21">
        <v>220</v>
      </c>
      <c r="K3197" s="21">
        <v>220</v>
      </c>
      <c r="L3197" s="5">
        <v>0</v>
      </c>
      <c r="M3197" s="4"/>
      <c r="N3197" s="4"/>
      <c r="O3197" s="5"/>
      <c r="P3197" s="5"/>
      <c r="Q3197" s="21">
        <v>0</v>
      </c>
      <c r="R3197" s="21">
        <v>0</v>
      </c>
      <c r="S3197" s="5">
        <f t="shared" si="199"/>
        <v>8089.2946351520004</v>
      </c>
      <c r="T3197" cm="1">
        <f t="array" ref="T3197">IF(OR(B3197="MAL ALIMI", B3197="ÜRETİM GİRİŞ"), MIN(I3197, MAX(0, I3197 + SUM(SUMIFS($I$1:I3196, $C$1:C3196, C3197, $B$1:B3196, {"MAL ALIMI","ÜRETİM GİRİŞ"})) - VLOOKUP(C3197, 'STOK RAPORU'!$C$2:$I$1000, 4, 0))), 0)</f>
        <v>0</v>
      </c>
      <c r="U3197" s="22">
        <f t="shared" si="196"/>
        <v>0</v>
      </c>
      <c r="V3197">
        <f t="shared" si="197"/>
        <v>0</v>
      </c>
      <c r="W3197" s="22">
        <f t="shared" si="198"/>
        <v>0</v>
      </c>
    </row>
    <row r="3198" spans="1:23" hidden="1" x14ac:dyDescent="0.25">
      <c r="A3198" s="3">
        <v>46037</v>
      </c>
      <c r="B3198" s="4" t="s">
        <v>334</v>
      </c>
      <c r="C3198" s="4" t="s">
        <v>160</v>
      </c>
      <c r="D3198" s="4"/>
      <c r="E3198" s="4" t="s">
        <v>921</v>
      </c>
      <c r="F3198" s="4" t="s">
        <v>1727</v>
      </c>
      <c r="G3198" s="4" t="s">
        <v>336</v>
      </c>
      <c r="H3198" s="4" t="s">
        <v>380</v>
      </c>
      <c r="I3198" s="4">
        <v>1</v>
      </c>
      <c r="J3198" s="21">
        <v>250</v>
      </c>
      <c r="K3198" s="21">
        <v>250</v>
      </c>
      <c r="L3198" s="5">
        <v>0</v>
      </c>
      <c r="M3198" s="4"/>
      <c r="N3198" s="4"/>
      <c r="O3198" s="5"/>
      <c r="P3198" s="5"/>
      <c r="Q3198" s="21">
        <v>0</v>
      </c>
      <c r="R3198" s="21">
        <v>0</v>
      </c>
      <c r="S3198" s="5">
        <f t="shared" si="199"/>
        <v>8089.2946351520004</v>
      </c>
      <c r="T3198" cm="1">
        <f t="array" ref="T3198">IF(OR(B3198="MAL ALIMI", B3198="ÜRETİM GİRİŞ"), MIN(I3198, MAX(0, I3198 + SUM(SUMIFS($I$1:I3197, $C$1:C3197, C3198, $B$1:B3197, {"MAL ALIMI","ÜRETİM GİRİŞ"})) - VLOOKUP(C3198, 'STOK RAPORU'!$C$2:$I$1000, 4, 0))), 0)</f>
        <v>0</v>
      </c>
      <c r="U3198" s="22">
        <f t="shared" si="196"/>
        <v>0</v>
      </c>
      <c r="V3198">
        <f t="shared" si="197"/>
        <v>0</v>
      </c>
      <c r="W3198" s="22">
        <f t="shared" si="198"/>
        <v>0</v>
      </c>
    </row>
    <row r="3199" spans="1:23" hidden="1" x14ac:dyDescent="0.25">
      <c r="A3199" s="3">
        <v>46037</v>
      </c>
      <c r="B3199" s="4" t="s">
        <v>334</v>
      </c>
      <c r="C3199" s="4" t="s">
        <v>161</v>
      </c>
      <c r="D3199" s="4"/>
      <c r="E3199" s="4" t="s">
        <v>921</v>
      </c>
      <c r="F3199" s="4" t="s">
        <v>1727</v>
      </c>
      <c r="G3199" s="4" t="s">
        <v>336</v>
      </c>
      <c r="H3199" s="4" t="s">
        <v>380</v>
      </c>
      <c r="I3199" s="4">
        <v>1</v>
      </c>
      <c r="J3199" s="21">
        <v>230</v>
      </c>
      <c r="K3199" s="21">
        <v>230</v>
      </c>
      <c r="L3199" s="5">
        <v>0</v>
      </c>
      <c r="M3199" s="4"/>
      <c r="N3199" s="4"/>
      <c r="O3199" s="5"/>
      <c r="P3199" s="5"/>
      <c r="Q3199" s="21">
        <v>0</v>
      </c>
      <c r="R3199" s="21">
        <v>0</v>
      </c>
      <c r="S3199" s="5">
        <f t="shared" si="199"/>
        <v>8089.2946351520004</v>
      </c>
      <c r="T3199" cm="1">
        <f t="array" ref="T3199">IF(OR(B3199="MAL ALIMI", B3199="ÜRETİM GİRİŞ"), MIN(I3199, MAX(0, I3199 + SUM(SUMIFS($I$1:I3198, $C$1:C3198, C3199, $B$1:B3198, {"MAL ALIMI","ÜRETİM GİRİŞ"})) - VLOOKUP(C3199, 'STOK RAPORU'!$C$2:$I$1000, 4, 0))), 0)</f>
        <v>0</v>
      </c>
      <c r="U3199" s="22">
        <f t="shared" si="196"/>
        <v>0</v>
      </c>
      <c r="V3199">
        <f t="shared" si="197"/>
        <v>0</v>
      </c>
      <c r="W3199" s="22">
        <f t="shared" si="198"/>
        <v>0</v>
      </c>
    </row>
    <row r="3200" spans="1:23" hidden="1" x14ac:dyDescent="0.25">
      <c r="A3200" s="3">
        <v>46037</v>
      </c>
      <c r="B3200" s="4" t="s">
        <v>334</v>
      </c>
      <c r="C3200" s="4" t="s">
        <v>148</v>
      </c>
      <c r="D3200" s="4"/>
      <c r="E3200" s="4"/>
      <c r="F3200" s="4" t="s">
        <v>1728</v>
      </c>
      <c r="G3200" s="4" t="s">
        <v>336</v>
      </c>
      <c r="H3200" s="4" t="s">
        <v>289</v>
      </c>
      <c r="I3200" s="4">
        <v>1</v>
      </c>
      <c r="J3200" s="21">
        <v>65</v>
      </c>
      <c r="K3200" s="21">
        <v>0</v>
      </c>
      <c r="L3200" s="5">
        <v>0</v>
      </c>
      <c r="M3200" s="4"/>
      <c r="N3200" s="4"/>
      <c r="O3200" s="5"/>
      <c r="P3200" s="5"/>
      <c r="Q3200" s="21">
        <v>65</v>
      </c>
      <c r="R3200" s="21">
        <v>0</v>
      </c>
      <c r="S3200" s="5">
        <f t="shared" si="199"/>
        <v>8154.2946351520004</v>
      </c>
      <c r="T3200" cm="1">
        <f t="array" ref="T3200">IF(OR(B3200="MAL ALIMI", B3200="ÜRETİM GİRİŞ"), MIN(I3200, MAX(0, I3200 + SUM(SUMIFS($I$1:I3199, $C$1:C3199, C3200, $B$1:B3199, {"MAL ALIMI","ÜRETİM GİRİŞ"})) - VLOOKUP(C3200, 'STOK RAPORU'!$C$2:$I$1000, 4, 0))), 0)</f>
        <v>0</v>
      </c>
      <c r="U3200" s="22">
        <f t="shared" si="196"/>
        <v>0</v>
      </c>
      <c r="V3200">
        <f t="shared" si="197"/>
        <v>0</v>
      </c>
      <c r="W3200" s="22">
        <f t="shared" si="198"/>
        <v>0</v>
      </c>
    </row>
    <row r="3201" spans="1:23" hidden="1" x14ac:dyDescent="0.25">
      <c r="A3201" s="3">
        <v>46037</v>
      </c>
      <c r="B3201" s="4" t="s">
        <v>334</v>
      </c>
      <c r="C3201" s="4" t="s">
        <v>151</v>
      </c>
      <c r="D3201" s="4"/>
      <c r="E3201" s="4"/>
      <c r="F3201" s="4" t="s">
        <v>1729</v>
      </c>
      <c r="G3201" s="4" t="s">
        <v>336</v>
      </c>
      <c r="H3201" s="4" t="s">
        <v>289</v>
      </c>
      <c r="I3201" s="4">
        <v>3.7499999999999999E-2</v>
      </c>
      <c r="J3201" s="21">
        <v>400</v>
      </c>
      <c r="K3201" s="21">
        <v>0</v>
      </c>
      <c r="L3201" s="5">
        <v>0</v>
      </c>
      <c r="M3201" s="4"/>
      <c r="N3201" s="4"/>
      <c r="O3201" s="5"/>
      <c r="P3201" s="5"/>
      <c r="Q3201" s="21">
        <v>15</v>
      </c>
      <c r="R3201" s="21">
        <v>0</v>
      </c>
      <c r="S3201" s="5">
        <f t="shared" si="199"/>
        <v>8169.2946351520004</v>
      </c>
      <c r="T3201" cm="1">
        <f t="array" ref="T3201">IF(OR(B3201="MAL ALIMI", B3201="ÜRETİM GİRİŞ"), MIN(I3201, MAX(0, I3201 + SUM(SUMIFS($I$1:I3200, $C$1:C3200, C3201, $B$1:B3200, {"MAL ALIMI","ÜRETİM GİRİŞ"})) - VLOOKUP(C3201, 'STOK RAPORU'!$C$2:$I$1000, 4, 0))), 0)</f>
        <v>0</v>
      </c>
      <c r="U3201" s="22">
        <f t="shared" ref="U3201:U3264" si="200">T3201*J3201</f>
        <v>0</v>
      </c>
      <c r="V3201">
        <f t="shared" ref="V3201:V3264" si="201">IF(OR(B3201="MAL ALIMI", B3201="ÜRETİM GİRİŞ"), I3201 * J3201, 0)</f>
        <v>0</v>
      </c>
      <c r="W3201" s="22">
        <f t="shared" ref="W3201:W3264" si="202">V3201-U3201</f>
        <v>0</v>
      </c>
    </row>
    <row r="3202" spans="1:23" hidden="1" x14ac:dyDescent="0.25">
      <c r="A3202" s="3">
        <v>46037</v>
      </c>
      <c r="B3202" s="4" t="s">
        <v>334</v>
      </c>
      <c r="C3202" s="4" t="s">
        <v>587</v>
      </c>
      <c r="D3202" s="4"/>
      <c r="E3202" s="4"/>
      <c r="F3202" s="4" t="s">
        <v>1730</v>
      </c>
      <c r="G3202" s="4" t="s">
        <v>336</v>
      </c>
      <c r="H3202" s="4" t="s">
        <v>289</v>
      </c>
      <c r="I3202" s="4">
        <v>1</v>
      </c>
      <c r="J3202" s="21">
        <v>150</v>
      </c>
      <c r="K3202" s="21">
        <v>0</v>
      </c>
      <c r="L3202" s="5">
        <v>0</v>
      </c>
      <c r="M3202" s="4"/>
      <c r="N3202" s="4"/>
      <c r="O3202" s="5"/>
      <c r="P3202" s="5"/>
      <c r="Q3202" s="21">
        <v>150</v>
      </c>
      <c r="R3202" s="21">
        <v>0</v>
      </c>
      <c r="S3202" s="5">
        <f t="shared" si="199"/>
        <v>8319.2946351520004</v>
      </c>
      <c r="T3202" cm="1">
        <f t="array" ref="T3202">IF(OR(B3202="MAL ALIMI", B3202="ÜRETİM GİRİŞ"), MIN(I3202, MAX(0, I3202 + SUM(SUMIFS($I$1:I3201, $C$1:C3201, C3202, $B$1:B3201, {"MAL ALIMI","ÜRETİM GİRİŞ"})) - VLOOKUP(C3202, 'STOK RAPORU'!$C$2:$I$1000, 4, 0))), 0)</f>
        <v>0</v>
      </c>
      <c r="U3202" s="22">
        <f t="shared" si="200"/>
        <v>0</v>
      </c>
      <c r="V3202">
        <f t="shared" si="201"/>
        <v>0</v>
      </c>
      <c r="W3202" s="22">
        <f t="shared" si="202"/>
        <v>0</v>
      </c>
    </row>
    <row r="3203" spans="1:23" hidden="1" x14ac:dyDescent="0.25">
      <c r="A3203" s="45">
        <v>46037</v>
      </c>
      <c r="B3203" s="46" t="s">
        <v>334</v>
      </c>
      <c r="C3203" s="46" t="s">
        <v>126</v>
      </c>
      <c r="D3203" s="46"/>
      <c r="E3203" s="46" t="s">
        <v>921</v>
      </c>
      <c r="F3203" s="46" t="s">
        <v>1731</v>
      </c>
      <c r="G3203" s="46" t="s">
        <v>439</v>
      </c>
      <c r="H3203" s="46" t="s">
        <v>380</v>
      </c>
      <c r="I3203" s="46">
        <v>0.5</v>
      </c>
      <c r="J3203" s="47">
        <v>500</v>
      </c>
      <c r="K3203" s="47">
        <v>250</v>
      </c>
      <c r="L3203" s="48">
        <v>0</v>
      </c>
      <c r="M3203" s="4"/>
      <c r="N3203" s="4"/>
      <c r="O3203" s="5"/>
      <c r="P3203" s="5"/>
      <c r="Q3203" s="47">
        <v>0</v>
      </c>
      <c r="R3203" s="21">
        <v>0</v>
      </c>
      <c r="S3203" s="5">
        <f t="shared" si="199"/>
        <v>8319.2946351520004</v>
      </c>
      <c r="T3203" cm="1">
        <f t="array" ref="T3203">IF(OR(B3203="MAL ALIMI", B3203="ÜRETİM GİRİŞ"), MIN(I3203, MAX(0, I3203 + SUM(SUMIFS($I$1:I3202, $C$1:C3202, C3203, $B$1:B3202, {"MAL ALIMI","ÜRETİM GİRİŞ"})) - VLOOKUP(C3203, 'STOK RAPORU'!$C$2:$I$1000, 4, 0))), 0)</f>
        <v>0</v>
      </c>
      <c r="U3203" s="22">
        <f t="shared" si="200"/>
        <v>0</v>
      </c>
      <c r="V3203">
        <f t="shared" si="201"/>
        <v>0</v>
      </c>
      <c r="W3203" s="22">
        <f t="shared" si="202"/>
        <v>0</v>
      </c>
    </row>
    <row r="3204" spans="1:23" hidden="1" x14ac:dyDescent="0.25">
      <c r="A3204" s="3">
        <v>46037</v>
      </c>
      <c r="B3204" s="4" t="s">
        <v>334</v>
      </c>
      <c r="C3204" s="4" t="s">
        <v>161</v>
      </c>
      <c r="D3204" s="4"/>
      <c r="E3204" s="4"/>
      <c r="F3204" s="4" t="s">
        <v>1732</v>
      </c>
      <c r="G3204" s="4" t="s">
        <v>336</v>
      </c>
      <c r="H3204" s="4" t="s">
        <v>289</v>
      </c>
      <c r="I3204" s="4">
        <v>0.5</v>
      </c>
      <c r="J3204" s="21">
        <v>230</v>
      </c>
      <c r="K3204" s="21">
        <v>0</v>
      </c>
      <c r="L3204" s="5">
        <v>0</v>
      </c>
      <c r="M3204" s="4"/>
      <c r="N3204" s="4"/>
      <c r="O3204" s="5"/>
      <c r="P3204" s="5"/>
      <c r="Q3204" s="21">
        <v>115</v>
      </c>
      <c r="R3204" s="21">
        <v>0</v>
      </c>
      <c r="S3204" s="5">
        <f t="shared" ref="S3204:S3267" si="203">S3203+Q3204-R3204</f>
        <v>8434.2946351520004</v>
      </c>
      <c r="T3204" cm="1">
        <f t="array" ref="T3204">IF(OR(B3204="MAL ALIMI", B3204="ÜRETİM GİRİŞ"), MIN(I3204, MAX(0, I3204 + SUM(SUMIFS($I$1:I3203, $C$1:C3203, C3204, $B$1:B3203, {"MAL ALIMI","ÜRETİM GİRİŞ"})) - VLOOKUP(C3204, 'STOK RAPORU'!$C$2:$I$1000, 4, 0))), 0)</f>
        <v>0</v>
      </c>
      <c r="U3204" s="22">
        <f t="shared" si="200"/>
        <v>0</v>
      </c>
      <c r="V3204">
        <f t="shared" si="201"/>
        <v>0</v>
      </c>
      <c r="W3204" s="22">
        <f t="shared" si="202"/>
        <v>0</v>
      </c>
    </row>
    <row r="3205" spans="1:23" hidden="1" x14ac:dyDescent="0.25">
      <c r="A3205" s="3">
        <v>46037</v>
      </c>
      <c r="B3205" s="4" t="s">
        <v>334</v>
      </c>
      <c r="C3205" s="4" t="s">
        <v>167</v>
      </c>
      <c r="D3205" s="4"/>
      <c r="E3205" s="4"/>
      <c r="F3205" s="4" t="s">
        <v>1732</v>
      </c>
      <c r="G3205" s="4" t="s">
        <v>336</v>
      </c>
      <c r="H3205" s="4" t="s">
        <v>289</v>
      </c>
      <c r="I3205" s="4">
        <v>0.5</v>
      </c>
      <c r="J3205" s="21">
        <v>230</v>
      </c>
      <c r="K3205" s="21">
        <v>0</v>
      </c>
      <c r="L3205" s="5">
        <v>0</v>
      </c>
      <c r="M3205" s="4"/>
      <c r="N3205" s="4"/>
      <c r="O3205" s="5"/>
      <c r="P3205" s="5"/>
      <c r="Q3205" s="21">
        <v>115</v>
      </c>
      <c r="R3205" s="21">
        <v>0</v>
      </c>
      <c r="S3205" s="5">
        <f t="shared" si="203"/>
        <v>8549.2946351520004</v>
      </c>
      <c r="T3205" cm="1">
        <f t="array" ref="T3205">IF(OR(B3205="MAL ALIMI", B3205="ÜRETİM GİRİŞ"), MIN(I3205, MAX(0, I3205 + SUM(SUMIFS($I$1:I3204, $C$1:C3204, C3205, $B$1:B3204, {"MAL ALIMI","ÜRETİM GİRİŞ"})) - VLOOKUP(C3205, 'STOK RAPORU'!$C$2:$I$1000, 4, 0))), 0)</f>
        <v>0</v>
      </c>
      <c r="U3205" s="22">
        <f t="shared" si="200"/>
        <v>0</v>
      </c>
      <c r="V3205">
        <f t="shared" si="201"/>
        <v>0</v>
      </c>
      <c r="W3205" s="22">
        <f t="shared" si="202"/>
        <v>0</v>
      </c>
    </row>
    <row r="3206" spans="1:23" hidden="1" x14ac:dyDescent="0.25">
      <c r="A3206" s="3">
        <v>46037</v>
      </c>
      <c r="B3206" s="4" t="s">
        <v>334</v>
      </c>
      <c r="C3206" s="4" t="s">
        <v>193</v>
      </c>
      <c r="D3206" s="4"/>
      <c r="E3206" s="4" t="s">
        <v>921</v>
      </c>
      <c r="F3206" s="4" t="s">
        <v>1733</v>
      </c>
      <c r="G3206" s="4" t="s">
        <v>336</v>
      </c>
      <c r="H3206" s="4" t="s">
        <v>380</v>
      </c>
      <c r="I3206" s="4">
        <v>0.1</v>
      </c>
      <c r="J3206" s="21">
        <v>1400</v>
      </c>
      <c r="K3206" s="21">
        <v>140</v>
      </c>
      <c r="L3206" s="5">
        <v>0</v>
      </c>
      <c r="M3206" s="4"/>
      <c r="N3206" s="4"/>
      <c r="O3206" s="5"/>
      <c r="P3206" s="5"/>
      <c r="Q3206" s="21">
        <v>0</v>
      </c>
      <c r="R3206" s="21">
        <v>0</v>
      </c>
      <c r="S3206" s="5">
        <f t="shared" si="203"/>
        <v>8549.2946351520004</v>
      </c>
      <c r="T3206" cm="1">
        <f t="array" ref="T3206">IF(OR(B3206="MAL ALIMI", B3206="ÜRETİM GİRİŞ"), MIN(I3206, MAX(0, I3206 + SUM(SUMIFS($I$1:I3205, $C$1:C3205, C3206, $B$1:B3205, {"MAL ALIMI","ÜRETİM GİRİŞ"})) - VLOOKUP(C3206, 'STOK RAPORU'!$C$2:$I$1000, 4, 0))), 0)</f>
        <v>0</v>
      </c>
      <c r="U3206" s="22">
        <f t="shared" si="200"/>
        <v>0</v>
      </c>
      <c r="V3206">
        <f t="shared" si="201"/>
        <v>0</v>
      </c>
      <c r="W3206" s="22">
        <f t="shared" si="202"/>
        <v>0</v>
      </c>
    </row>
    <row r="3207" spans="1:23" hidden="1" x14ac:dyDescent="0.25">
      <c r="A3207" s="3">
        <v>46037</v>
      </c>
      <c r="B3207" s="4" t="s">
        <v>334</v>
      </c>
      <c r="C3207" s="4" t="s">
        <v>828</v>
      </c>
      <c r="D3207" s="4"/>
      <c r="E3207" s="4" t="s">
        <v>921</v>
      </c>
      <c r="F3207" s="4" t="s">
        <v>1733</v>
      </c>
      <c r="G3207" s="4" t="s">
        <v>336</v>
      </c>
      <c r="H3207" s="4" t="s">
        <v>380</v>
      </c>
      <c r="I3207" s="4">
        <v>1</v>
      </c>
      <c r="J3207" s="21">
        <v>145</v>
      </c>
      <c r="K3207" s="21">
        <v>145</v>
      </c>
      <c r="L3207" s="5">
        <v>0</v>
      </c>
      <c r="M3207" s="4"/>
      <c r="N3207" s="4"/>
      <c r="O3207" s="5"/>
      <c r="P3207" s="5"/>
      <c r="Q3207" s="21">
        <v>0</v>
      </c>
      <c r="R3207" s="21">
        <v>0</v>
      </c>
      <c r="S3207" s="5">
        <f t="shared" si="203"/>
        <v>8549.2946351520004</v>
      </c>
      <c r="T3207" cm="1">
        <f t="array" ref="T3207">IF(OR(B3207="MAL ALIMI", B3207="ÜRETİM GİRİŞ"), MIN(I3207, MAX(0, I3207 + SUM(SUMIFS($I$1:I3206, $C$1:C3206, C3207, $B$1:B3206, {"MAL ALIMI","ÜRETİM GİRİŞ"})) - VLOOKUP(C3207, 'STOK RAPORU'!$C$2:$I$1000, 4, 0))), 0)</f>
        <v>0</v>
      </c>
      <c r="U3207" s="22">
        <f t="shared" si="200"/>
        <v>0</v>
      </c>
      <c r="V3207">
        <f t="shared" si="201"/>
        <v>0</v>
      </c>
      <c r="W3207" s="22">
        <f t="shared" si="202"/>
        <v>0</v>
      </c>
    </row>
    <row r="3208" spans="1:23" hidden="1" x14ac:dyDescent="0.25">
      <c r="A3208" s="3">
        <v>46037</v>
      </c>
      <c r="B3208" s="4" t="s">
        <v>334</v>
      </c>
      <c r="C3208" s="4" t="s">
        <v>589</v>
      </c>
      <c r="D3208" s="4"/>
      <c r="E3208" s="4"/>
      <c r="F3208" s="4" t="s">
        <v>1734</v>
      </c>
      <c r="G3208" s="4" t="s">
        <v>336</v>
      </c>
      <c r="H3208" s="4" t="s">
        <v>289</v>
      </c>
      <c r="I3208" s="4">
        <v>6.25E-2</v>
      </c>
      <c r="J3208" s="21">
        <v>800</v>
      </c>
      <c r="K3208" s="21">
        <v>0</v>
      </c>
      <c r="L3208" s="5">
        <v>0</v>
      </c>
      <c r="M3208" s="4"/>
      <c r="N3208" s="4"/>
      <c r="O3208" s="5"/>
      <c r="P3208" s="5"/>
      <c r="Q3208" s="21">
        <v>50</v>
      </c>
      <c r="R3208" s="21">
        <v>0</v>
      </c>
      <c r="S3208" s="5">
        <f t="shared" si="203"/>
        <v>8599.2946351520004</v>
      </c>
      <c r="T3208" cm="1">
        <f t="array" ref="T3208">IF(OR(B3208="MAL ALIMI", B3208="ÜRETİM GİRİŞ"), MIN(I3208, MAX(0, I3208 + SUM(SUMIFS($I$1:I3207, $C$1:C3207, C3208, $B$1:B3207, {"MAL ALIMI","ÜRETİM GİRİŞ"})) - VLOOKUP(C3208, 'STOK RAPORU'!$C$2:$I$1000, 4, 0))), 0)</f>
        <v>0</v>
      </c>
      <c r="U3208" s="22">
        <f t="shared" si="200"/>
        <v>0</v>
      </c>
      <c r="V3208">
        <f t="shared" si="201"/>
        <v>0</v>
      </c>
      <c r="W3208" s="22">
        <f t="shared" si="202"/>
        <v>0</v>
      </c>
    </row>
    <row r="3209" spans="1:23" hidden="1" x14ac:dyDescent="0.25">
      <c r="A3209" s="3">
        <v>46037</v>
      </c>
      <c r="B3209" s="4" t="s">
        <v>334</v>
      </c>
      <c r="C3209" s="4" t="s">
        <v>98</v>
      </c>
      <c r="D3209" s="4"/>
      <c r="E3209" s="4"/>
      <c r="F3209" s="4" t="s">
        <v>1734</v>
      </c>
      <c r="G3209" s="4" t="s">
        <v>336</v>
      </c>
      <c r="H3209" s="4" t="s">
        <v>289</v>
      </c>
      <c r="I3209" s="4">
        <v>0.125</v>
      </c>
      <c r="J3209" s="21">
        <v>400</v>
      </c>
      <c r="K3209" s="21">
        <v>0</v>
      </c>
      <c r="L3209" s="5">
        <v>0</v>
      </c>
      <c r="M3209" s="4"/>
      <c r="N3209" s="4"/>
      <c r="O3209" s="5"/>
      <c r="P3209" s="5"/>
      <c r="Q3209" s="21">
        <v>50</v>
      </c>
      <c r="R3209" s="21">
        <v>0</v>
      </c>
      <c r="S3209" s="5">
        <f t="shared" si="203"/>
        <v>8649.2946351520004</v>
      </c>
      <c r="T3209" cm="1">
        <f t="array" ref="T3209">IF(OR(B3209="MAL ALIMI", B3209="ÜRETİM GİRİŞ"), MIN(I3209, MAX(0, I3209 + SUM(SUMIFS($I$1:I3208, $C$1:C3208, C3209, $B$1:B3208, {"MAL ALIMI","ÜRETİM GİRİŞ"})) - VLOOKUP(C3209, 'STOK RAPORU'!$C$2:$I$1000, 4, 0))), 0)</f>
        <v>0</v>
      </c>
      <c r="U3209" s="22">
        <f t="shared" si="200"/>
        <v>0</v>
      </c>
      <c r="V3209">
        <f t="shared" si="201"/>
        <v>0</v>
      </c>
      <c r="W3209" s="22">
        <f t="shared" si="202"/>
        <v>0</v>
      </c>
    </row>
    <row r="3210" spans="1:23" hidden="1" x14ac:dyDescent="0.25">
      <c r="A3210" s="3">
        <v>46037</v>
      </c>
      <c r="B3210" s="4" t="s">
        <v>334</v>
      </c>
      <c r="C3210" s="4" t="s">
        <v>126</v>
      </c>
      <c r="D3210" s="4"/>
      <c r="E3210" s="4"/>
      <c r="F3210" s="4" t="s">
        <v>1734</v>
      </c>
      <c r="G3210" s="4" t="s">
        <v>336</v>
      </c>
      <c r="H3210" s="4" t="s">
        <v>289</v>
      </c>
      <c r="I3210" s="4">
        <v>0.11562500000000001</v>
      </c>
      <c r="J3210" s="21">
        <v>640</v>
      </c>
      <c r="K3210" s="21">
        <v>0</v>
      </c>
      <c r="L3210" s="5">
        <v>0</v>
      </c>
      <c r="M3210" s="4"/>
      <c r="N3210" s="4"/>
      <c r="O3210" s="5"/>
      <c r="P3210" s="5"/>
      <c r="Q3210" s="21">
        <v>74</v>
      </c>
      <c r="R3210" s="21">
        <v>0</v>
      </c>
      <c r="S3210" s="5">
        <f t="shared" si="203"/>
        <v>8723.2946351520004</v>
      </c>
      <c r="T3210" cm="1">
        <f t="array" ref="T3210">IF(OR(B3210="MAL ALIMI", B3210="ÜRETİM GİRİŞ"), MIN(I3210, MAX(0, I3210 + SUM(SUMIFS($I$1:I3209, $C$1:C3209, C3210, $B$1:B3209, {"MAL ALIMI","ÜRETİM GİRİŞ"})) - VLOOKUP(C3210, 'STOK RAPORU'!$C$2:$I$1000, 4, 0))), 0)</f>
        <v>0</v>
      </c>
      <c r="U3210" s="22">
        <f t="shared" si="200"/>
        <v>0</v>
      </c>
      <c r="V3210">
        <f t="shared" si="201"/>
        <v>0</v>
      </c>
      <c r="W3210" s="22">
        <f t="shared" si="202"/>
        <v>0</v>
      </c>
    </row>
    <row r="3211" spans="1:23" hidden="1" x14ac:dyDescent="0.25">
      <c r="A3211" s="3">
        <v>46037</v>
      </c>
      <c r="B3211" s="4" t="s">
        <v>334</v>
      </c>
      <c r="C3211" s="4" t="s">
        <v>96</v>
      </c>
      <c r="D3211" s="4"/>
      <c r="E3211" s="4"/>
      <c r="F3211" s="4" t="s">
        <v>1735</v>
      </c>
      <c r="G3211" s="4" t="s">
        <v>336</v>
      </c>
      <c r="H3211" s="4" t="s">
        <v>289</v>
      </c>
      <c r="I3211" s="4">
        <v>0.26315789473684209</v>
      </c>
      <c r="J3211" s="21">
        <v>380</v>
      </c>
      <c r="K3211" s="21">
        <v>0</v>
      </c>
      <c r="L3211" s="5">
        <v>0</v>
      </c>
      <c r="M3211" s="4"/>
      <c r="N3211" s="4"/>
      <c r="O3211" s="5"/>
      <c r="P3211" s="5"/>
      <c r="Q3211" s="21">
        <v>100</v>
      </c>
      <c r="R3211" s="21">
        <v>0</v>
      </c>
      <c r="S3211" s="5">
        <f t="shared" si="203"/>
        <v>8823.2946351520004</v>
      </c>
      <c r="T3211" cm="1">
        <f t="array" ref="T3211">IF(OR(B3211="MAL ALIMI", B3211="ÜRETİM GİRİŞ"), MIN(I3211, MAX(0, I3211 + SUM(SUMIFS($I$1:I3210, $C$1:C3210, C3211, $B$1:B3210, {"MAL ALIMI","ÜRETİM GİRİŞ"})) - VLOOKUP(C3211, 'STOK RAPORU'!$C$2:$I$1000, 4, 0))), 0)</f>
        <v>0</v>
      </c>
      <c r="U3211" s="22">
        <f t="shared" si="200"/>
        <v>0</v>
      </c>
      <c r="V3211">
        <f t="shared" si="201"/>
        <v>0</v>
      </c>
      <c r="W3211" s="22">
        <f t="shared" si="202"/>
        <v>0</v>
      </c>
    </row>
    <row r="3212" spans="1:23" hidden="1" x14ac:dyDescent="0.25">
      <c r="A3212" s="3">
        <v>46037</v>
      </c>
      <c r="B3212" s="4" t="s">
        <v>334</v>
      </c>
      <c r="C3212" s="4" t="s">
        <v>96</v>
      </c>
      <c r="D3212" s="4"/>
      <c r="E3212" s="4" t="s">
        <v>921</v>
      </c>
      <c r="F3212" s="4" t="s">
        <v>1736</v>
      </c>
      <c r="G3212" s="4" t="s">
        <v>336</v>
      </c>
      <c r="H3212" s="4" t="s">
        <v>380</v>
      </c>
      <c r="I3212" s="4">
        <v>0.48</v>
      </c>
      <c r="J3212" s="21">
        <v>380</v>
      </c>
      <c r="K3212" s="21">
        <v>182.4</v>
      </c>
      <c r="L3212" s="5">
        <v>0</v>
      </c>
      <c r="M3212" s="4"/>
      <c r="N3212" s="4"/>
      <c r="O3212" s="5"/>
      <c r="P3212" s="5"/>
      <c r="Q3212" s="21">
        <v>0</v>
      </c>
      <c r="R3212" s="21">
        <v>0</v>
      </c>
      <c r="S3212" s="5">
        <f t="shared" si="203"/>
        <v>8823.2946351520004</v>
      </c>
      <c r="T3212" cm="1">
        <f t="array" ref="T3212">IF(OR(B3212="MAL ALIMI", B3212="ÜRETİM GİRİŞ"), MIN(I3212, MAX(0, I3212 + SUM(SUMIFS($I$1:I3211, $C$1:C3211, C3212, $B$1:B3211, {"MAL ALIMI","ÜRETİM GİRİŞ"})) - VLOOKUP(C3212, 'STOK RAPORU'!$C$2:$I$1000, 4, 0))), 0)</f>
        <v>0</v>
      </c>
      <c r="U3212" s="22">
        <f t="shared" si="200"/>
        <v>0</v>
      </c>
      <c r="V3212">
        <f t="shared" si="201"/>
        <v>0</v>
      </c>
      <c r="W3212" s="22">
        <f t="shared" si="202"/>
        <v>0</v>
      </c>
    </row>
    <row r="3213" spans="1:23" hidden="1" x14ac:dyDescent="0.25">
      <c r="A3213" s="3">
        <v>46037</v>
      </c>
      <c r="B3213" s="4" t="s">
        <v>334</v>
      </c>
      <c r="C3213" s="4" t="s">
        <v>153</v>
      </c>
      <c r="D3213" s="4"/>
      <c r="E3213" s="4" t="s">
        <v>921</v>
      </c>
      <c r="F3213" s="4" t="s">
        <v>1736</v>
      </c>
      <c r="G3213" s="4" t="s">
        <v>336</v>
      </c>
      <c r="H3213" s="4" t="s">
        <v>380</v>
      </c>
      <c r="I3213" s="4">
        <v>0.47199999999999998</v>
      </c>
      <c r="J3213" s="21">
        <v>350</v>
      </c>
      <c r="K3213" s="21">
        <v>165.2</v>
      </c>
      <c r="L3213" s="5">
        <v>0</v>
      </c>
      <c r="M3213" s="4"/>
      <c r="N3213" s="4"/>
      <c r="O3213" s="5"/>
      <c r="P3213" s="5"/>
      <c r="Q3213" s="21">
        <v>0</v>
      </c>
      <c r="R3213" s="21">
        <v>0</v>
      </c>
      <c r="S3213" s="5">
        <f t="shared" si="203"/>
        <v>8823.2946351520004</v>
      </c>
      <c r="T3213" cm="1">
        <f t="array" ref="T3213">IF(OR(B3213="MAL ALIMI", B3213="ÜRETİM GİRİŞ"), MIN(I3213, MAX(0, I3213 + SUM(SUMIFS($I$1:I3212, $C$1:C3212, C3213, $B$1:B3212, {"MAL ALIMI","ÜRETİM GİRİŞ"})) - VLOOKUP(C3213, 'STOK RAPORU'!$C$2:$I$1000, 4, 0))), 0)</f>
        <v>0</v>
      </c>
      <c r="U3213" s="22">
        <f t="shared" si="200"/>
        <v>0</v>
      </c>
      <c r="V3213">
        <f t="shared" si="201"/>
        <v>0</v>
      </c>
      <c r="W3213" s="22">
        <f t="shared" si="202"/>
        <v>0</v>
      </c>
    </row>
    <row r="3214" spans="1:23" hidden="1" x14ac:dyDescent="0.25">
      <c r="A3214" s="3">
        <v>46037</v>
      </c>
      <c r="B3214" s="4" t="s">
        <v>334</v>
      </c>
      <c r="C3214" s="4" t="s">
        <v>141</v>
      </c>
      <c r="D3214" s="4"/>
      <c r="E3214" s="4" t="s">
        <v>921</v>
      </c>
      <c r="F3214" s="4" t="s">
        <v>1736</v>
      </c>
      <c r="G3214" s="4" t="s">
        <v>336</v>
      </c>
      <c r="H3214" s="4" t="s">
        <v>380</v>
      </c>
      <c r="I3214" s="4">
        <v>0.23599999999999999</v>
      </c>
      <c r="J3214" s="21">
        <v>140</v>
      </c>
      <c r="K3214" s="21">
        <v>33.04</v>
      </c>
      <c r="L3214" s="5">
        <v>0</v>
      </c>
      <c r="M3214" s="4"/>
      <c r="N3214" s="4"/>
      <c r="O3214" s="5"/>
      <c r="P3214" s="5"/>
      <c r="Q3214" s="21">
        <v>0</v>
      </c>
      <c r="R3214" s="21">
        <v>0</v>
      </c>
      <c r="S3214" s="5">
        <f t="shared" si="203"/>
        <v>8823.2946351520004</v>
      </c>
      <c r="T3214" cm="1">
        <f t="array" ref="T3214">IF(OR(B3214="MAL ALIMI", B3214="ÜRETİM GİRİŞ"), MIN(I3214, MAX(0, I3214 + SUM(SUMIFS($I$1:I3213, $C$1:C3213, C3214, $B$1:B3213, {"MAL ALIMI","ÜRETİM GİRİŞ"})) - VLOOKUP(C3214, 'STOK RAPORU'!$C$2:$I$1000, 4, 0))), 0)</f>
        <v>0</v>
      </c>
      <c r="U3214" s="22">
        <f t="shared" si="200"/>
        <v>0</v>
      </c>
      <c r="V3214">
        <f t="shared" si="201"/>
        <v>0</v>
      </c>
      <c r="W3214" s="22">
        <f t="shared" si="202"/>
        <v>0</v>
      </c>
    </row>
    <row r="3215" spans="1:23" hidden="1" x14ac:dyDescent="0.25">
      <c r="A3215" s="3">
        <v>46037</v>
      </c>
      <c r="B3215" s="4" t="s">
        <v>334</v>
      </c>
      <c r="C3215" s="4" t="s">
        <v>129</v>
      </c>
      <c r="D3215" s="4"/>
      <c r="E3215" s="4" t="s">
        <v>921</v>
      </c>
      <c r="F3215" s="4" t="s">
        <v>1736</v>
      </c>
      <c r="G3215" s="4" t="s">
        <v>336</v>
      </c>
      <c r="H3215" s="4" t="s">
        <v>380</v>
      </c>
      <c r="I3215" s="4">
        <v>0.128</v>
      </c>
      <c r="J3215" s="21">
        <v>390</v>
      </c>
      <c r="K3215" s="21">
        <v>49.92</v>
      </c>
      <c r="L3215" s="5">
        <v>0</v>
      </c>
      <c r="M3215" s="4"/>
      <c r="N3215" s="4"/>
      <c r="O3215" s="5"/>
      <c r="P3215" s="5"/>
      <c r="Q3215" s="21">
        <v>0</v>
      </c>
      <c r="R3215" s="21">
        <v>0</v>
      </c>
      <c r="S3215" s="5">
        <f t="shared" si="203"/>
        <v>8823.2946351520004</v>
      </c>
      <c r="T3215" cm="1">
        <f t="array" ref="T3215">IF(OR(B3215="MAL ALIMI", B3215="ÜRETİM GİRİŞ"), MIN(I3215, MAX(0, I3215 + SUM(SUMIFS($I$1:I3214, $C$1:C3214, C3215, $B$1:B3214, {"MAL ALIMI","ÜRETİM GİRİŞ"})) - VLOOKUP(C3215, 'STOK RAPORU'!$C$2:$I$1000, 4, 0))), 0)</f>
        <v>0</v>
      </c>
      <c r="U3215" s="22">
        <f t="shared" si="200"/>
        <v>0</v>
      </c>
      <c r="V3215">
        <f t="shared" si="201"/>
        <v>0</v>
      </c>
      <c r="W3215" s="22">
        <f t="shared" si="202"/>
        <v>0</v>
      </c>
    </row>
    <row r="3216" spans="1:23" hidden="1" x14ac:dyDescent="0.25">
      <c r="A3216" s="3">
        <v>46037</v>
      </c>
      <c r="B3216" s="4" t="s">
        <v>334</v>
      </c>
      <c r="C3216" s="4" t="s">
        <v>137</v>
      </c>
      <c r="D3216" s="4"/>
      <c r="E3216" s="4" t="s">
        <v>921</v>
      </c>
      <c r="F3216" s="4" t="s">
        <v>1736</v>
      </c>
      <c r="G3216" s="4" t="s">
        <v>336</v>
      </c>
      <c r="H3216" s="4" t="s">
        <v>380</v>
      </c>
      <c r="I3216" s="4">
        <v>0.25</v>
      </c>
      <c r="J3216" s="21">
        <v>180</v>
      </c>
      <c r="K3216" s="21">
        <v>45</v>
      </c>
      <c r="L3216" s="5">
        <v>0</v>
      </c>
      <c r="M3216" s="4"/>
      <c r="N3216" s="4"/>
      <c r="O3216" s="5"/>
      <c r="P3216" s="5"/>
      <c r="Q3216" s="21">
        <v>0</v>
      </c>
      <c r="R3216" s="21">
        <v>0</v>
      </c>
      <c r="S3216" s="5">
        <f t="shared" si="203"/>
        <v>8823.2946351520004</v>
      </c>
      <c r="T3216" cm="1">
        <f t="array" ref="T3216">IF(OR(B3216="MAL ALIMI", B3216="ÜRETİM GİRİŞ"), MIN(I3216, MAX(0, I3216 + SUM(SUMIFS($I$1:I3215, $C$1:C3215, C3216, $B$1:B3215, {"MAL ALIMI","ÜRETİM GİRİŞ"})) - VLOOKUP(C3216, 'STOK RAPORU'!$C$2:$I$1000, 4, 0))), 0)</f>
        <v>0</v>
      </c>
      <c r="U3216" s="22">
        <f t="shared" si="200"/>
        <v>0</v>
      </c>
      <c r="V3216">
        <f t="shared" si="201"/>
        <v>0</v>
      </c>
      <c r="W3216" s="22">
        <f t="shared" si="202"/>
        <v>0</v>
      </c>
    </row>
    <row r="3217" spans="1:23" hidden="1" x14ac:dyDescent="0.25">
      <c r="A3217" s="3">
        <v>46037</v>
      </c>
      <c r="B3217" s="4" t="s">
        <v>334</v>
      </c>
      <c r="C3217" s="46" t="s">
        <v>585</v>
      </c>
      <c r="D3217" s="4"/>
      <c r="E3217" s="4" t="s">
        <v>921</v>
      </c>
      <c r="F3217" s="4" t="s">
        <v>1736</v>
      </c>
      <c r="G3217" s="4" t="s">
        <v>336</v>
      </c>
      <c r="H3217" s="4" t="s">
        <v>380</v>
      </c>
      <c r="I3217" s="4">
        <v>0.5</v>
      </c>
      <c r="J3217" s="21">
        <v>200</v>
      </c>
      <c r="K3217" s="21">
        <v>100</v>
      </c>
      <c r="L3217" s="5">
        <v>0</v>
      </c>
      <c r="M3217" s="4"/>
      <c r="N3217" s="4"/>
      <c r="O3217" s="5"/>
      <c r="P3217" s="5"/>
      <c r="Q3217" s="21">
        <v>0</v>
      </c>
      <c r="R3217" s="21">
        <v>0</v>
      </c>
      <c r="S3217" s="5">
        <f t="shared" si="203"/>
        <v>8823.2946351520004</v>
      </c>
      <c r="T3217" cm="1">
        <f t="array" ref="T3217">IF(OR(B3217="MAL ALIMI", B3217="ÜRETİM GİRİŞ"), MIN(I3217, MAX(0, I3217 + SUM(SUMIFS($I$1:I3216, $C$1:C3216, C3217, $B$1:B3216, {"MAL ALIMI","ÜRETİM GİRİŞ"})) - VLOOKUP(C3217, 'STOK RAPORU'!$C$2:$I$1000, 4, 0))), 0)</f>
        <v>0</v>
      </c>
      <c r="U3217" s="22">
        <f t="shared" si="200"/>
        <v>0</v>
      </c>
      <c r="V3217">
        <f t="shared" si="201"/>
        <v>0</v>
      </c>
      <c r="W3217" s="22">
        <f t="shared" si="202"/>
        <v>0</v>
      </c>
    </row>
    <row r="3218" spans="1:23" hidden="1" x14ac:dyDescent="0.25">
      <c r="A3218" s="3">
        <v>46037</v>
      </c>
      <c r="B3218" s="4" t="s">
        <v>334</v>
      </c>
      <c r="C3218" s="4" t="s">
        <v>586</v>
      </c>
      <c r="D3218" s="4"/>
      <c r="E3218" s="4" t="s">
        <v>921</v>
      </c>
      <c r="F3218" s="4" t="s">
        <v>1736</v>
      </c>
      <c r="G3218" s="4" t="s">
        <v>336</v>
      </c>
      <c r="H3218" s="4" t="s">
        <v>380</v>
      </c>
      <c r="I3218" s="4">
        <v>0.5</v>
      </c>
      <c r="J3218" s="21">
        <v>200</v>
      </c>
      <c r="K3218" s="21">
        <v>100</v>
      </c>
      <c r="L3218" s="5">
        <v>0</v>
      </c>
      <c r="M3218" s="4"/>
      <c r="N3218" s="4"/>
      <c r="O3218" s="5"/>
      <c r="P3218" s="5"/>
      <c r="Q3218" s="21">
        <v>0</v>
      </c>
      <c r="R3218" s="21">
        <v>0</v>
      </c>
      <c r="S3218" s="5">
        <f t="shared" si="203"/>
        <v>8823.2946351520004</v>
      </c>
      <c r="T3218" cm="1">
        <f t="array" ref="T3218">IF(OR(B3218="MAL ALIMI", B3218="ÜRETİM GİRİŞ"), MIN(I3218, MAX(0, I3218 + SUM(SUMIFS($I$1:I3217, $C$1:C3217, C3218, $B$1:B3217, {"MAL ALIMI","ÜRETİM GİRİŞ"})) - VLOOKUP(C3218, 'STOK RAPORU'!$C$2:$I$1000, 4, 0))), 0)</f>
        <v>0</v>
      </c>
      <c r="U3218" s="22">
        <f t="shared" si="200"/>
        <v>0</v>
      </c>
      <c r="V3218">
        <f t="shared" si="201"/>
        <v>0</v>
      </c>
      <c r="W3218" s="22">
        <f t="shared" si="202"/>
        <v>0</v>
      </c>
    </row>
    <row r="3219" spans="1:23" hidden="1" x14ac:dyDescent="0.25">
      <c r="A3219" s="3">
        <v>46037</v>
      </c>
      <c r="B3219" s="4" t="s">
        <v>334</v>
      </c>
      <c r="C3219" s="4" t="s">
        <v>126</v>
      </c>
      <c r="D3219" s="4"/>
      <c r="E3219" s="4" t="s">
        <v>921</v>
      </c>
      <c r="F3219" s="4" t="s">
        <v>1736</v>
      </c>
      <c r="G3219" s="4" t="s">
        <v>336</v>
      </c>
      <c r="H3219" s="4" t="s">
        <v>380</v>
      </c>
      <c r="I3219" s="4">
        <v>0.13200000000000001</v>
      </c>
      <c r="J3219" s="21">
        <v>640</v>
      </c>
      <c r="K3219" s="21">
        <v>84.48</v>
      </c>
      <c r="L3219" s="5">
        <v>0</v>
      </c>
      <c r="M3219" s="4"/>
      <c r="N3219" s="4"/>
      <c r="O3219" s="5"/>
      <c r="P3219" s="5"/>
      <c r="Q3219" s="21">
        <v>0</v>
      </c>
      <c r="R3219" s="21">
        <v>0</v>
      </c>
      <c r="S3219" s="5">
        <f t="shared" si="203"/>
        <v>8823.2946351520004</v>
      </c>
      <c r="T3219" cm="1">
        <f t="array" ref="T3219">IF(OR(B3219="MAL ALIMI", B3219="ÜRETİM GİRİŞ"), MIN(I3219, MAX(0, I3219 + SUM(SUMIFS($I$1:I3218, $C$1:C3218, C3219, $B$1:B3218, {"MAL ALIMI","ÜRETİM GİRİŞ"})) - VLOOKUP(C3219, 'STOK RAPORU'!$C$2:$I$1000, 4, 0))), 0)</f>
        <v>0</v>
      </c>
      <c r="U3219" s="22">
        <f t="shared" si="200"/>
        <v>0</v>
      </c>
      <c r="V3219">
        <f t="shared" si="201"/>
        <v>0</v>
      </c>
      <c r="W3219" s="22">
        <f t="shared" si="202"/>
        <v>0</v>
      </c>
    </row>
    <row r="3220" spans="1:23" hidden="1" x14ac:dyDescent="0.25">
      <c r="A3220" s="3">
        <v>46037</v>
      </c>
      <c r="B3220" s="4" t="s">
        <v>334</v>
      </c>
      <c r="C3220" s="4" t="s">
        <v>1360</v>
      </c>
      <c r="D3220" s="4"/>
      <c r="E3220" s="4"/>
      <c r="F3220" s="4" t="s">
        <v>1737</v>
      </c>
      <c r="G3220" s="4" t="s">
        <v>336</v>
      </c>
      <c r="H3220" s="4" t="s">
        <v>289</v>
      </c>
      <c r="I3220" s="4">
        <v>0.33400000000000002</v>
      </c>
      <c r="J3220" s="21">
        <v>400</v>
      </c>
      <c r="K3220" s="21">
        <v>0</v>
      </c>
      <c r="L3220" s="5">
        <v>0</v>
      </c>
      <c r="M3220" s="4"/>
      <c r="N3220" s="4"/>
      <c r="O3220" s="5"/>
      <c r="P3220" s="5"/>
      <c r="Q3220" s="21">
        <v>133.6</v>
      </c>
      <c r="R3220" s="21">
        <v>0</v>
      </c>
      <c r="S3220" s="5">
        <f t="shared" si="203"/>
        <v>8956.8946351520008</v>
      </c>
      <c r="T3220" cm="1">
        <f t="array" ref="T3220">IF(OR(B3220="MAL ALIMI", B3220="ÜRETİM GİRİŞ"), MIN(I3220, MAX(0, I3220 + SUM(SUMIFS($I$1:I3219, $C$1:C3219, C3220, $B$1:B3219, {"MAL ALIMI","ÜRETİM GİRİŞ"})) - VLOOKUP(C3220, 'STOK RAPORU'!$C$2:$I$1000, 4, 0))), 0)</f>
        <v>0</v>
      </c>
      <c r="U3220" s="22">
        <f t="shared" si="200"/>
        <v>0</v>
      </c>
      <c r="V3220">
        <f t="shared" si="201"/>
        <v>0</v>
      </c>
      <c r="W3220" s="22">
        <f t="shared" si="202"/>
        <v>0</v>
      </c>
    </row>
    <row r="3221" spans="1:23" hidden="1" x14ac:dyDescent="0.25">
      <c r="A3221" s="3">
        <v>46037</v>
      </c>
      <c r="B3221" s="4" t="s">
        <v>334</v>
      </c>
      <c r="C3221" s="4" t="s">
        <v>160</v>
      </c>
      <c r="D3221" s="4"/>
      <c r="E3221" s="4"/>
      <c r="F3221" s="4" t="s">
        <v>1737</v>
      </c>
      <c r="G3221" s="4" t="s">
        <v>336</v>
      </c>
      <c r="H3221" s="4" t="s">
        <v>289</v>
      </c>
      <c r="I3221" s="4">
        <v>0.5</v>
      </c>
      <c r="J3221" s="21">
        <v>250</v>
      </c>
      <c r="K3221" s="21">
        <v>0</v>
      </c>
      <c r="L3221" s="5">
        <v>0</v>
      </c>
      <c r="M3221" s="4"/>
      <c r="N3221" s="4"/>
      <c r="O3221" s="5"/>
      <c r="P3221" s="5"/>
      <c r="Q3221" s="21">
        <v>125</v>
      </c>
      <c r="R3221" s="21">
        <v>0</v>
      </c>
      <c r="S3221" s="5">
        <f t="shared" si="203"/>
        <v>9081.8946351520008</v>
      </c>
      <c r="T3221" cm="1">
        <f t="array" ref="T3221">IF(OR(B3221="MAL ALIMI", B3221="ÜRETİM GİRİŞ"), MIN(I3221, MAX(0, I3221 + SUM(SUMIFS($I$1:I3220, $C$1:C3220, C3221, $B$1:B3220, {"MAL ALIMI","ÜRETİM GİRİŞ"})) - VLOOKUP(C3221, 'STOK RAPORU'!$C$2:$I$1000, 4, 0))), 0)</f>
        <v>0</v>
      </c>
      <c r="U3221" s="22">
        <f t="shared" si="200"/>
        <v>0</v>
      </c>
      <c r="V3221">
        <f t="shared" si="201"/>
        <v>0</v>
      </c>
      <c r="W3221" s="22">
        <f t="shared" si="202"/>
        <v>0</v>
      </c>
    </row>
    <row r="3222" spans="1:23" hidden="1" x14ac:dyDescent="0.25">
      <c r="A3222" s="3">
        <v>46037</v>
      </c>
      <c r="B3222" s="4" t="s">
        <v>334</v>
      </c>
      <c r="C3222" s="4" t="s">
        <v>161</v>
      </c>
      <c r="D3222" s="4"/>
      <c r="E3222" s="4"/>
      <c r="F3222" s="4" t="s">
        <v>1737</v>
      </c>
      <c r="G3222" s="4" t="s">
        <v>336</v>
      </c>
      <c r="H3222" s="4" t="s">
        <v>289</v>
      </c>
      <c r="I3222" s="4">
        <v>0.5</v>
      </c>
      <c r="J3222" s="21">
        <v>230</v>
      </c>
      <c r="K3222" s="21">
        <v>0</v>
      </c>
      <c r="L3222" s="5">
        <v>0</v>
      </c>
      <c r="M3222" s="4"/>
      <c r="N3222" s="4"/>
      <c r="O3222" s="5"/>
      <c r="P3222" s="5"/>
      <c r="Q3222" s="21">
        <v>115</v>
      </c>
      <c r="R3222" s="21">
        <v>0</v>
      </c>
      <c r="S3222" s="5">
        <f t="shared" si="203"/>
        <v>9196.8946351520008</v>
      </c>
      <c r="T3222" cm="1">
        <f t="array" ref="T3222">IF(OR(B3222="MAL ALIMI", B3222="ÜRETİM GİRİŞ"), MIN(I3222, MAX(0, I3222 + SUM(SUMIFS($I$1:I3221, $C$1:C3221, C3222, $B$1:B3221, {"MAL ALIMI","ÜRETİM GİRİŞ"})) - VLOOKUP(C3222, 'STOK RAPORU'!$C$2:$I$1000, 4, 0))), 0)</f>
        <v>0</v>
      </c>
      <c r="U3222" s="22">
        <f t="shared" si="200"/>
        <v>0</v>
      </c>
      <c r="V3222">
        <f t="shared" si="201"/>
        <v>0</v>
      </c>
      <c r="W3222" s="22">
        <f t="shared" si="202"/>
        <v>0</v>
      </c>
    </row>
    <row r="3223" spans="1:23" hidden="1" x14ac:dyDescent="0.25">
      <c r="A3223" s="3">
        <v>46037</v>
      </c>
      <c r="B3223" s="4" t="s">
        <v>334</v>
      </c>
      <c r="C3223" s="4" t="s">
        <v>162</v>
      </c>
      <c r="D3223" s="4"/>
      <c r="E3223" s="4"/>
      <c r="F3223" s="4" t="s">
        <v>1737</v>
      </c>
      <c r="G3223" s="4" t="s">
        <v>336</v>
      </c>
      <c r="H3223" s="4" t="s">
        <v>289</v>
      </c>
      <c r="I3223" s="4">
        <v>0.5</v>
      </c>
      <c r="J3223" s="21">
        <v>250</v>
      </c>
      <c r="K3223" s="21">
        <v>0</v>
      </c>
      <c r="L3223" s="5">
        <v>0</v>
      </c>
      <c r="M3223" s="4"/>
      <c r="N3223" s="4"/>
      <c r="O3223" s="5"/>
      <c r="P3223" s="5"/>
      <c r="Q3223" s="21">
        <v>125</v>
      </c>
      <c r="R3223" s="21">
        <v>0</v>
      </c>
      <c r="S3223" s="5">
        <f t="shared" si="203"/>
        <v>9321.8946351520008</v>
      </c>
      <c r="T3223" cm="1">
        <f t="array" ref="T3223">IF(OR(B3223="MAL ALIMI", B3223="ÜRETİM GİRİŞ"), MIN(I3223, MAX(0, I3223 + SUM(SUMIFS($I$1:I3222, $C$1:C3222, C3223, $B$1:B3222, {"MAL ALIMI","ÜRETİM GİRİŞ"})) - VLOOKUP(C3223, 'STOK RAPORU'!$C$2:$I$1000, 4, 0))), 0)</f>
        <v>0</v>
      </c>
      <c r="U3223" s="22">
        <f t="shared" si="200"/>
        <v>0</v>
      </c>
      <c r="V3223">
        <f t="shared" si="201"/>
        <v>0</v>
      </c>
      <c r="W3223" s="22">
        <f t="shared" si="202"/>
        <v>0</v>
      </c>
    </row>
    <row r="3224" spans="1:23" hidden="1" x14ac:dyDescent="0.25">
      <c r="A3224" s="3">
        <v>46037</v>
      </c>
      <c r="B3224" s="4" t="s">
        <v>334</v>
      </c>
      <c r="C3224" s="4" t="s">
        <v>1357</v>
      </c>
      <c r="D3224" s="4"/>
      <c r="E3224" s="4"/>
      <c r="F3224" s="4" t="s">
        <v>1737</v>
      </c>
      <c r="G3224" s="4" t="s">
        <v>336</v>
      </c>
      <c r="H3224" s="4" t="s">
        <v>289</v>
      </c>
      <c r="I3224" s="4">
        <v>0.33400000000000002</v>
      </c>
      <c r="J3224" s="21">
        <v>570</v>
      </c>
      <c r="K3224" s="21">
        <v>0</v>
      </c>
      <c r="L3224" s="5">
        <v>0</v>
      </c>
      <c r="M3224" s="4"/>
      <c r="N3224" s="4"/>
      <c r="O3224" s="5"/>
      <c r="P3224" s="5"/>
      <c r="Q3224" s="21">
        <v>190.38000000000002</v>
      </c>
      <c r="R3224" s="21">
        <v>0</v>
      </c>
      <c r="S3224" s="5">
        <f t="shared" si="203"/>
        <v>9512.274635152</v>
      </c>
      <c r="T3224" cm="1">
        <f t="array" ref="T3224">IF(OR(B3224="MAL ALIMI", B3224="ÜRETİM GİRİŞ"), MIN(I3224, MAX(0, I3224 + SUM(SUMIFS($I$1:I3223, $C$1:C3223, C3224, $B$1:B3223, {"MAL ALIMI","ÜRETİM GİRİŞ"})) - VLOOKUP(C3224, 'STOK RAPORU'!$C$2:$I$1000, 4, 0))), 0)</f>
        <v>0</v>
      </c>
      <c r="U3224" s="22">
        <f t="shared" si="200"/>
        <v>0</v>
      </c>
      <c r="V3224">
        <f t="shared" si="201"/>
        <v>0</v>
      </c>
      <c r="W3224" s="22">
        <f t="shared" si="202"/>
        <v>0</v>
      </c>
    </row>
    <row r="3225" spans="1:23" hidden="1" x14ac:dyDescent="0.25">
      <c r="A3225" s="45">
        <v>46037</v>
      </c>
      <c r="B3225" s="46" t="s">
        <v>334</v>
      </c>
      <c r="C3225" s="46" t="s">
        <v>1501</v>
      </c>
      <c r="D3225" s="46"/>
      <c r="E3225" s="46"/>
      <c r="F3225" s="46" t="s">
        <v>1738</v>
      </c>
      <c r="G3225" s="46" t="s">
        <v>336</v>
      </c>
      <c r="H3225" s="46" t="s">
        <v>289</v>
      </c>
      <c r="I3225" s="46">
        <v>0.5</v>
      </c>
      <c r="J3225" s="47">
        <v>500</v>
      </c>
      <c r="K3225" s="47">
        <v>0</v>
      </c>
      <c r="L3225" s="48">
        <v>0</v>
      </c>
      <c r="M3225" s="46"/>
      <c r="N3225" s="46"/>
      <c r="O3225" s="48"/>
      <c r="P3225" s="48"/>
      <c r="Q3225" s="47">
        <v>250</v>
      </c>
      <c r="R3225" s="47">
        <v>0</v>
      </c>
      <c r="S3225" s="5">
        <f t="shared" si="203"/>
        <v>9762.274635152</v>
      </c>
      <c r="T3225" cm="1">
        <f t="array" ref="T3225">IF(OR(B3225="MAL ALIMI", B3225="ÜRETİM GİRİŞ"), MIN(I3225, MAX(0, I3225 + SUM(SUMIFS($I$1:I3224, $C$1:C3224, C3225, $B$1:B3224, {"MAL ALIMI","ÜRETİM GİRİŞ"})) - VLOOKUP(C3225, 'STOK RAPORU'!$C$2:$I$1000, 4, 0))), 0)</f>
        <v>0</v>
      </c>
      <c r="U3225" s="22">
        <f t="shared" si="200"/>
        <v>0</v>
      </c>
      <c r="V3225">
        <f t="shared" si="201"/>
        <v>0</v>
      </c>
      <c r="W3225" s="22">
        <f t="shared" si="202"/>
        <v>0</v>
      </c>
    </row>
    <row r="3226" spans="1:23" hidden="1" x14ac:dyDescent="0.25">
      <c r="A3226" s="3">
        <v>46037</v>
      </c>
      <c r="B3226" s="4" t="s">
        <v>334</v>
      </c>
      <c r="C3226" s="4" t="s">
        <v>196</v>
      </c>
      <c r="D3226" s="4"/>
      <c r="E3226" s="4"/>
      <c r="F3226" s="4" t="s">
        <v>1739</v>
      </c>
      <c r="G3226" s="4" t="s">
        <v>336</v>
      </c>
      <c r="H3226" s="4" t="s">
        <v>289</v>
      </c>
      <c r="I3226" s="4">
        <v>0.26200000000000001</v>
      </c>
      <c r="J3226" s="21">
        <v>230</v>
      </c>
      <c r="K3226" s="21">
        <v>0</v>
      </c>
      <c r="L3226" s="5">
        <v>0</v>
      </c>
      <c r="M3226" s="4"/>
      <c r="N3226" s="4"/>
      <c r="O3226" s="5"/>
      <c r="P3226" s="5"/>
      <c r="Q3226" s="21">
        <v>60.260000000000005</v>
      </c>
      <c r="R3226" s="21">
        <v>0</v>
      </c>
      <c r="S3226" s="5">
        <f t="shared" si="203"/>
        <v>9822.5346351520002</v>
      </c>
      <c r="T3226" cm="1">
        <f t="array" ref="T3226">IF(OR(B3226="MAL ALIMI", B3226="ÜRETİM GİRİŞ"), MIN(I3226, MAX(0, I3226 + SUM(SUMIFS($I$1:I3225, $C$1:C3225, C3226, $B$1:B3225, {"MAL ALIMI","ÜRETİM GİRİŞ"})) - VLOOKUP(C3226, 'STOK RAPORU'!$C$2:$I$1000, 4, 0))), 0)</f>
        <v>0</v>
      </c>
      <c r="U3226" s="22">
        <f t="shared" si="200"/>
        <v>0</v>
      </c>
      <c r="V3226">
        <f t="shared" si="201"/>
        <v>0</v>
      </c>
      <c r="W3226" s="22">
        <f t="shared" si="202"/>
        <v>0</v>
      </c>
    </row>
    <row r="3227" spans="1:23" hidden="1" x14ac:dyDescent="0.25">
      <c r="A3227" s="3">
        <v>46037</v>
      </c>
      <c r="B3227" s="4" t="s">
        <v>334</v>
      </c>
      <c r="C3227" s="4" t="s">
        <v>591</v>
      </c>
      <c r="D3227" s="4"/>
      <c r="E3227" s="4"/>
      <c r="F3227" s="4" t="s">
        <v>1740</v>
      </c>
      <c r="G3227" s="4" t="s">
        <v>336</v>
      </c>
      <c r="H3227" s="4" t="s">
        <v>289</v>
      </c>
      <c r="I3227" s="4">
        <v>1</v>
      </c>
      <c r="J3227" s="21">
        <v>350</v>
      </c>
      <c r="K3227" s="21">
        <v>0</v>
      </c>
      <c r="L3227" s="5">
        <v>0</v>
      </c>
      <c r="M3227" s="4"/>
      <c r="N3227" s="4"/>
      <c r="O3227" s="5"/>
      <c r="P3227" s="5"/>
      <c r="Q3227" s="21">
        <v>350</v>
      </c>
      <c r="R3227" s="21">
        <v>0</v>
      </c>
      <c r="S3227" s="5">
        <f t="shared" si="203"/>
        <v>10172.534635152</v>
      </c>
      <c r="T3227" cm="1">
        <f t="array" ref="T3227">IF(OR(B3227="MAL ALIMI", B3227="ÜRETİM GİRİŞ"), MIN(I3227, MAX(0, I3227 + SUM(SUMIFS($I$1:I3226, $C$1:C3226, C3227, $B$1:B3226, {"MAL ALIMI","ÜRETİM GİRİŞ"})) - VLOOKUP(C3227, 'STOK RAPORU'!$C$2:$I$1000, 4, 0))), 0)</f>
        <v>0</v>
      </c>
      <c r="U3227" s="22">
        <f t="shared" si="200"/>
        <v>0</v>
      </c>
      <c r="V3227">
        <f t="shared" si="201"/>
        <v>0</v>
      </c>
      <c r="W3227" s="22">
        <f t="shared" si="202"/>
        <v>0</v>
      </c>
    </row>
    <row r="3228" spans="1:23" hidden="1" x14ac:dyDescent="0.25">
      <c r="A3228" s="3">
        <v>46037</v>
      </c>
      <c r="B3228" s="4" t="s">
        <v>334</v>
      </c>
      <c r="C3228" s="4" t="s">
        <v>160</v>
      </c>
      <c r="D3228" s="4"/>
      <c r="E3228" s="4"/>
      <c r="F3228" s="4" t="s">
        <v>1740</v>
      </c>
      <c r="G3228" s="4" t="s">
        <v>336</v>
      </c>
      <c r="H3228" s="4" t="s">
        <v>289</v>
      </c>
      <c r="I3228" s="4">
        <v>0.5</v>
      </c>
      <c r="J3228" s="21">
        <v>250</v>
      </c>
      <c r="K3228" s="21">
        <v>0</v>
      </c>
      <c r="L3228" s="5">
        <v>0</v>
      </c>
      <c r="M3228" s="4"/>
      <c r="N3228" s="4"/>
      <c r="O3228" s="5"/>
      <c r="P3228" s="5"/>
      <c r="Q3228" s="21">
        <v>125</v>
      </c>
      <c r="R3228" s="21">
        <v>0</v>
      </c>
      <c r="S3228" s="5">
        <f t="shared" si="203"/>
        <v>10297.534635152</v>
      </c>
      <c r="T3228" cm="1">
        <f t="array" ref="T3228">IF(OR(B3228="MAL ALIMI", B3228="ÜRETİM GİRİŞ"), MIN(I3228, MAX(0, I3228 + SUM(SUMIFS($I$1:I3227, $C$1:C3227, C3228, $B$1:B3227, {"MAL ALIMI","ÜRETİM GİRİŞ"})) - VLOOKUP(C3228, 'STOK RAPORU'!$C$2:$I$1000, 4, 0))), 0)</f>
        <v>0</v>
      </c>
      <c r="U3228" s="22">
        <f t="shared" si="200"/>
        <v>0</v>
      </c>
      <c r="V3228">
        <f t="shared" si="201"/>
        <v>0</v>
      </c>
      <c r="W3228" s="22">
        <f t="shared" si="202"/>
        <v>0</v>
      </c>
    </row>
    <row r="3229" spans="1:23" hidden="1" x14ac:dyDescent="0.25">
      <c r="A3229" s="3">
        <v>46037</v>
      </c>
      <c r="B3229" s="4" t="s">
        <v>334</v>
      </c>
      <c r="C3229" s="4" t="s">
        <v>161</v>
      </c>
      <c r="D3229" s="4"/>
      <c r="E3229" s="4"/>
      <c r="F3229" s="4" t="s">
        <v>1740</v>
      </c>
      <c r="G3229" s="4" t="s">
        <v>336</v>
      </c>
      <c r="H3229" s="4" t="s">
        <v>289</v>
      </c>
      <c r="I3229" s="4">
        <v>0.5</v>
      </c>
      <c r="J3229" s="21">
        <v>230</v>
      </c>
      <c r="K3229" s="21">
        <v>0</v>
      </c>
      <c r="L3229" s="5">
        <v>0</v>
      </c>
      <c r="M3229" s="4"/>
      <c r="N3229" s="4"/>
      <c r="O3229" s="5"/>
      <c r="P3229" s="5"/>
      <c r="Q3229" s="21">
        <v>115</v>
      </c>
      <c r="R3229" s="21">
        <v>0</v>
      </c>
      <c r="S3229" s="5">
        <f t="shared" si="203"/>
        <v>10412.534635152</v>
      </c>
      <c r="T3229" cm="1">
        <f t="array" ref="T3229">IF(OR(B3229="MAL ALIMI", B3229="ÜRETİM GİRİŞ"), MIN(I3229, MAX(0, I3229 + SUM(SUMIFS($I$1:I3228, $C$1:C3228, C3229, $B$1:B3228, {"MAL ALIMI","ÜRETİM GİRİŞ"})) - VLOOKUP(C3229, 'STOK RAPORU'!$C$2:$I$1000, 4, 0))), 0)</f>
        <v>0</v>
      </c>
      <c r="U3229" s="22">
        <f t="shared" si="200"/>
        <v>0</v>
      </c>
      <c r="V3229">
        <f t="shared" si="201"/>
        <v>0</v>
      </c>
      <c r="W3229" s="22">
        <f t="shared" si="202"/>
        <v>0</v>
      </c>
    </row>
    <row r="3230" spans="1:23" hidden="1" x14ac:dyDescent="0.25">
      <c r="A3230" s="3">
        <v>46037</v>
      </c>
      <c r="B3230" s="4" t="s">
        <v>946</v>
      </c>
      <c r="C3230" s="4"/>
      <c r="D3230" s="4"/>
      <c r="E3230" s="4" t="s">
        <v>921</v>
      </c>
      <c r="F3230" s="4"/>
      <c r="G3230" s="4" t="s">
        <v>946</v>
      </c>
      <c r="H3230" s="4" t="s">
        <v>380</v>
      </c>
      <c r="I3230" s="4">
        <v>1</v>
      </c>
      <c r="J3230" s="105">
        <v>3053</v>
      </c>
      <c r="K3230" s="21">
        <v>0</v>
      </c>
      <c r="L3230" s="102">
        <v>3053</v>
      </c>
      <c r="M3230" s="4"/>
      <c r="N3230" s="4"/>
      <c r="O3230" s="5"/>
      <c r="P3230" s="5"/>
      <c r="Q3230" s="21">
        <v>3053</v>
      </c>
      <c r="R3230" s="21">
        <v>0</v>
      </c>
      <c r="S3230" s="5">
        <f t="shared" si="203"/>
        <v>13465.534635152</v>
      </c>
      <c r="T3230" cm="1">
        <f t="array" ref="T3230">IF(OR(B3230="MAL ALIMI", B3230="ÜRETİM GİRİŞ"), MIN(I3230, MAX(0, I3230 + SUM(SUMIFS($I$1:I3229, $C$1:C3229, C3230, $B$1:B3229, {"MAL ALIMI","ÜRETİM GİRİŞ"})) - VLOOKUP(C3230, 'STOK RAPORU'!$C$2:$I$1000, 4, 0))), 0)</f>
        <v>0</v>
      </c>
      <c r="U3230" s="22">
        <f t="shared" si="200"/>
        <v>0</v>
      </c>
      <c r="V3230">
        <f t="shared" si="201"/>
        <v>0</v>
      </c>
      <c r="W3230" s="22">
        <f t="shared" si="202"/>
        <v>0</v>
      </c>
    </row>
    <row r="3231" spans="1:23" hidden="1" x14ac:dyDescent="0.25">
      <c r="A3231" s="3">
        <v>46037</v>
      </c>
      <c r="B3231" s="4" t="s">
        <v>946</v>
      </c>
      <c r="C3231" s="4"/>
      <c r="D3231" s="4"/>
      <c r="E3231" s="4" t="s">
        <v>921</v>
      </c>
      <c r="F3231" s="4"/>
      <c r="G3231" s="4" t="s">
        <v>946</v>
      </c>
      <c r="H3231" s="4" t="s">
        <v>380</v>
      </c>
      <c r="I3231" s="4">
        <v>1</v>
      </c>
      <c r="J3231" s="105">
        <v>950</v>
      </c>
      <c r="K3231" s="21">
        <v>0</v>
      </c>
      <c r="L3231" s="102">
        <v>950</v>
      </c>
      <c r="M3231" s="4"/>
      <c r="N3231" s="4"/>
      <c r="O3231" s="5"/>
      <c r="P3231" s="5"/>
      <c r="Q3231" s="21">
        <v>950</v>
      </c>
      <c r="R3231" s="21">
        <v>0</v>
      </c>
      <c r="S3231" s="5">
        <f t="shared" si="203"/>
        <v>14415.534635152</v>
      </c>
      <c r="T3231" cm="1">
        <f t="array" ref="T3231">IF(OR(B3231="MAL ALIMI", B3231="ÜRETİM GİRİŞ"), MIN(I3231, MAX(0, I3231 + SUM(SUMIFS($I$1:I3230, $C$1:C3230, C3231, $B$1:B3230, {"MAL ALIMI","ÜRETİM GİRİŞ"})) - VLOOKUP(C3231, 'STOK RAPORU'!$C$2:$I$1000, 4, 0))), 0)</f>
        <v>0</v>
      </c>
      <c r="U3231" s="22">
        <f t="shared" si="200"/>
        <v>0</v>
      </c>
      <c r="V3231">
        <f t="shared" si="201"/>
        <v>0</v>
      </c>
      <c r="W3231" s="22">
        <f t="shared" si="202"/>
        <v>0</v>
      </c>
    </row>
    <row r="3232" spans="1:23" hidden="1" x14ac:dyDescent="0.25">
      <c r="A3232" s="3">
        <v>46038</v>
      </c>
      <c r="B3232" s="4" t="s">
        <v>334</v>
      </c>
      <c r="C3232" s="4" t="s">
        <v>1366</v>
      </c>
      <c r="D3232" s="4"/>
      <c r="E3232" s="4"/>
      <c r="F3232" s="4" t="s">
        <v>1742</v>
      </c>
      <c r="G3232" s="4" t="s">
        <v>336</v>
      </c>
      <c r="H3232" s="4" t="s">
        <v>289</v>
      </c>
      <c r="I3232" s="4">
        <v>1</v>
      </c>
      <c r="J3232" s="21">
        <v>195</v>
      </c>
      <c r="K3232" s="21">
        <v>0</v>
      </c>
      <c r="L3232" s="5">
        <v>0</v>
      </c>
      <c r="M3232" s="4"/>
      <c r="N3232" s="4"/>
      <c r="O3232" s="5"/>
      <c r="P3232" s="5"/>
      <c r="Q3232" s="21">
        <v>195</v>
      </c>
      <c r="R3232" s="21">
        <v>0</v>
      </c>
      <c r="S3232" s="5">
        <f t="shared" si="203"/>
        <v>14610.534635152</v>
      </c>
      <c r="T3232" cm="1">
        <f t="array" ref="T3232">IF(OR(B3232="MAL ALIMI", B3232="ÜRETİM GİRİŞ"), MIN(I3232, MAX(0, I3232 + SUM(SUMIFS($I$1:I3231, $C$1:C3231, C3232, $B$1:B3231, {"MAL ALIMI","ÜRETİM GİRİŞ"})) - VLOOKUP(C3232, 'STOK RAPORU'!$C$2:$I$1000, 4, 0))), 0)</f>
        <v>0</v>
      </c>
      <c r="U3232" s="22">
        <f t="shared" si="200"/>
        <v>0</v>
      </c>
      <c r="V3232">
        <f t="shared" si="201"/>
        <v>0</v>
      </c>
      <c r="W3232" s="22">
        <f t="shared" si="202"/>
        <v>0</v>
      </c>
    </row>
    <row r="3233" spans="1:23" hidden="1" x14ac:dyDescent="0.25">
      <c r="A3233" s="3">
        <v>46038</v>
      </c>
      <c r="B3233" s="4" t="s">
        <v>334</v>
      </c>
      <c r="C3233" s="4" t="s">
        <v>60</v>
      </c>
      <c r="D3233" s="4"/>
      <c r="E3233" s="4"/>
      <c r="F3233" s="4" t="s">
        <v>1743</v>
      </c>
      <c r="G3233" s="4" t="s">
        <v>336</v>
      </c>
      <c r="H3233" s="4" t="s">
        <v>289</v>
      </c>
      <c r="I3233" s="4">
        <v>0.05</v>
      </c>
      <c r="J3233" s="21">
        <v>1200</v>
      </c>
      <c r="K3233" s="21">
        <v>0</v>
      </c>
      <c r="L3233" s="5">
        <v>0</v>
      </c>
      <c r="M3233" s="4"/>
      <c r="N3233" s="4"/>
      <c r="O3233" s="5"/>
      <c r="P3233" s="5"/>
      <c r="Q3233" s="21">
        <v>60</v>
      </c>
      <c r="R3233" s="21">
        <v>0</v>
      </c>
      <c r="S3233" s="5">
        <f t="shared" si="203"/>
        <v>14670.534635152</v>
      </c>
      <c r="T3233" cm="1">
        <f t="array" ref="T3233">IF(OR(B3233="MAL ALIMI", B3233="ÜRETİM GİRİŞ"), MIN(I3233, MAX(0, I3233 + SUM(SUMIFS($I$1:I3232, $C$1:C3232, C3233, $B$1:B3232, {"MAL ALIMI","ÜRETİM GİRİŞ"})) - VLOOKUP(C3233, 'STOK RAPORU'!$C$2:$I$1000, 4, 0))), 0)</f>
        <v>0</v>
      </c>
      <c r="U3233" s="22">
        <f t="shared" si="200"/>
        <v>0</v>
      </c>
      <c r="V3233">
        <f t="shared" si="201"/>
        <v>0</v>
      </c>
      <c r="W3233" s="22">
        <f t="shared" si="202"/>
        <v>0</v>
      </c>
    </row>
    <row r="3234" spans="1:23" hidden="1" x14ac:dyDescent="0.25">
      <c r="A3234" s="3">
        <v>46038</v>
      </c>
      <c r="B3234" s="4" t="s">
        <v>334</v>
      </c>
      <c r="C3234" s="4" t="s">
        <v>651</v>
      </c>
      <c r="D3234" s="4"/>
      <c r="E3234" s="4" t="s">
        <v>921</v>
      </c>
      <c r="F3234" s="4" t="s">
        <v>1744</v>
      </c>
      <c r="G3234" s="4" t="s">
        <v>336</v>
      </c>
      <c r="H3234" s="4" t="s">
        <v>380</v>
      </c>
      <c r="I3234" s="4">
        <v>1</v>
      </c>
      <c r="J3234" s="21">
        <v>400</v>
      </c>
      <c r="K3234" s="21">
        <v>400</v>
      </c>
      <c r="L3234" s="5">
        <v>0</v>
      </c>
      <c r="M3234" s="4"/>
      <c r="N3234" s="4"/>
      <c r="O3234" s="5"/>
      <c r="P3234" s="5"/>
      <c r="Q3234" s="21">
        <v>0</v>
      </c>
      <c r="R3234" s="21">
        <v>0</v>
      </c>
      <c r="S3234" s="5">
        <f t="shared" si="203"/>
        <v>14670.534635152</v>
      </c>
      <c r="T3234" cm="1">
        <f t="array" ref="T3234">IF(OR(B3234="MAL ALIMI", B3234="ÜRETİM GİRİŞ"), MIN(I3234, MAX(0, I3234 + SUM(SUMIFS($I$1:I3233, $C$1:C3233, C3234, $B$1:B3233, {"MAL ALIMI","ÜRETİM GİRİŞ"})) - VLOOKUP(C3234, 'STOK RAPORU'!$C$2:$I$1000, 4, 0))), 0)</f>
        <v>0</v>
      </c>
      <c r="U3234" s="22">
        <f t="shared" si="200"/>
        <v>0</v>
      </c>
      <c r="V3234">
        <f t="shared" si="201"/>
        <v>0</v>
      </c>
      <c r="W3234" s="22">
        <f t="shared" si="202"/>
        <v>0</v>
      </c>
    </row>
    <row r="3235" spans="1:23" hidden="1" x14ac:dyDescent="0.25">
      <c r="A3235" s="3">
        <v>46038</v>
      </c>
      <c r="B3235" s="4" t="s">
        <v>334</v>
      </c>
      <c r="C3235" s="4" t="s">
        <v>1357</v>
      </c>
      <c r="D3235" s="4"/>
      <c r="E3235" s="4" t="s">
        <v>921</v>
      </c>
      <c r="F3235" s="4" t="s">
        <v>1745</v>
      </c>
      <c r="G3235" s="4" t="s">
        <v>336</v>
      </c>
      <c r="H3235" s="4" t="s">
        <v>380</v>
      </c>
      <c r="I3235" s="4">
        <v>1</v>
      </c>
      <c r="J3235" s="21">
        <v>570</v>
      </c>
      <c r="K3235" s="21">
        <v>570</v>
      </c>
      <c r="L3235" s="5">
        <v>0</v>
      </c>
      <c r="M3235" s="4"/>
      <c r="N3235" s="4"/>
      <c r="O3235" s="5"/>
      <c r="P3235" s="5"/>
      <c r="Q3235" s="21">
        <v>0</v>
      </c>
      <c r="R3235" s="21">
        <v>0</v>
      </c>
      <c r="S3235" s="5">
        <f t="shared" si="203"/>
        <v>14670.534635152</v>
      </c>
      <c r="T3235" cm="1">
        <f t="array" ref="T3235">IF(OR(B3235="MAL ALIMI", B3235="ÜRETİM GİRİŞ"), MIN(I3235, MAX(0, I3235 + SUM(SUMIFS($I$1:I3234, $C$1:C3234, C3235, $B$1:B3234, {"MAL ALIMI","ÜRETİM GİRİŞ"})) - VLOOKUP(C3235, 'STOK RAPORU'!$C$2:$I$1000, 4, 0))), 0)</f>
        <v>0</v>
      </c>
      <c r="U3235" s="22">
        <f t="shared" si="200"/>
        <v>0</v>
      </c>
      <c r="V3235">
        <f t="shared" si="201"/>
        <v>0</v>
      </c>
      <c r="W3235" s="22">
        <f t="shared" si="202"/>
        <v>0</v>
      </c>
    </row>
    <row r="3236" spans="1:23" hidden="1" x14ac:dyDescent="0.25">
      <c r="A3236" s="3">
        <v>46038</v>
      </c>
      <c r="B3236" s="4" t="s">
        <v>334</v>
      </c>
      <c r="C3236" s="4" t="s">
        <v>209</v>
      </c>
      <c r="D3236" s="4"/>
      <c r="E3236" s="4" t="s">
        <v>921</v>
      </c>
      <c r="F3236" s="4" t="s">
        <v>1745</v>
      </c>
      <c r="G3236" s="4" t="s">
        <v>336</v>
      </c>
      <c r="H3236" s="4" t="s">
        <v>380</v>
      </c>
      <c r="I3236" s="4">
        <v>0.05</v>
      </c>
      <c r="J3236" s="21">
        <v>2600</v>
      </c>
      <c r="K3236" s="21">
        <v>130</v>
      </c>
      <c r="L3236" s="5">
        <v>0</v>
      </c>
      <c r="M3236" s="4"/>
      <c r="N3236" s="4"/>
      <c r="O3236" s="5"/>
      <c r="P3236" s="5"/>
      <c r="Q3236" s="21">
        <v>0</v>
      </c>
      <c r="R3236" s="21">
        <v>0</v>
      </c>
      <c r="S3236" s="5">
        <f t="shared" si="203"/>
        <v>14670.534635152</v>
      </c>
      <c r="T3236" cm="1">
        <f t="array" ref="T3236">IF(OR(B3236="MAL ALIMI", B3236="ÜRETİM GİRİŞ"), MIN(I3236, MAX(0, I3236 + SUM(SUMIFS($I$1:I3235, $C$1:C3235, C3236, $B$1:B3235, {"MAL ALIMI","ÜRETİM GİRİŞ"})) - VLOOKUP(C3236, 'STOK RAPORU'!$C$2:$I$1000, 4, 0))), 0)</f>
        <v>0</v>
      </c>
      <c r="U3236" s="22">
        <f t="shared" si="200"/>
        <v>0</v>
      </c>
      <c r="V3236">
        <f t="shared" si="201"/>
        <v>0</v>
      </c>
      <c r="W3236" s="22">
        <f t="shared" si="202"/>
        <v>0</v>
      </c>
    </row>
    <row r="3237" spans="1:23" hidden="1" x14ac:dyDescent="0.25">
      <c r="A3237" s="3">
        <v>46038</v>
      </c>
      <c r="B3237" s="4" t="s">
        <v>334</v>
      </c>
      <c r="C3237" s="4" t="s">
        <v>237</v>
      </c>
      <c r="D3237" s="4"/>
      <c r="E3237" s="4" t="s">
        <v>921</v>
      </c>
      <c r="F3237" s="4" t="s">
        <v>1745</v>
      </c>
      <c r="G3237" s="4" t="s">
        <v>336</v>
      </c>
      <c r="H3237" s="4" t="s">
        <v>380</v>
      </c>
      <c r="I3237" s="4">
        <v>0.04</v>
      </c>
      <c r="J3237" s="21">
        <v>2250</v>
      </c>
      <c r="K3237" s="21">
        <v>90</v>
      </c>
      <c r="L3237" s="5">
        <v>0</v>
      </c>
      <c r="M3237" s="4"/>
      <c r="N3237" s="4"/>
      <c r="O3237" s="5"/>
      <c r="P3237" s="5"/>
      <c r="Q3237" s="21">
        <v>0</v>
      </c>
      <c r="R3237" s="21">
        <v>0</v>
      </c>
      <c r="S3237" s="5">
        <f t="shared" si="203"/>
        <v>14670.534635152</v>
      </c>
      <c r="T3237" cm="1">
        <f t="array" ref="T3237">IF(OR(B3237="MAL ALIMI", B3237="ÜRETİM GİRİŞ"), MIN(I3237, MAX(0, I3237 + SUM(SUMIFS($I$1:I3236, $C$1:C3236, C3237, $B$1:B3236, {"MAL ALIMI","ÜRETİM GİRİŞ"})) - VLOOKUP(C3237, 'STOK RAPORU'!$C$2:$I$1000, 4, 0))), 0)</f>
        <v>0</v>
      </c>
      <c r="U3237" s="22">
        <f t="shared" si="200"/>
        <v>0</v>
      </c>
      <c r="V3237">
        <f t="shared" si="201"/>
        <v>0</v>
      </c>
      <c r="W3237" s="22">
        <f t="shared" si="202"/>
        <v>0</v>
      </c>
    </row>
    <row r="3238" spans="1:23" hidden="1" x14ac:dyDescent="0.25">
      <c r="A3238" s="3">
        <v>46038</v>
      </c>
      <c r="B3238" s="4" t="s">
        <v>334</v>
      </c>
      <c r="C3238" s="4" t="s">
        <v>249</v>
      </c>
      <c r="D3238" s="4"/>
      <c r="E3238" s="4" t="s">
        <v>921</v>
      </c>
      <c r="F3238" s="4" t="s">
        <v>1746</v>
      </c>
      <c r="G3238" s="4" t="s">
        <v>336</v>
      </c>
      <c r="H3238" s="4" t="s">
        <v>380</v>
      </c>
      <c r="I3238" s="4">
        <v>0.1</v>
      </c>
      <c r="J3238" s="21">
        <v>900</v>
      </c>
      <c r="K3238" s="21">
        <v>90</v>
      </c>
      <c r="L3238" s="5">
        <v>0</v>
      </c>
      <c r="M3238" s="4"/>
      <c r="N3238" s="4"/>
      <c r="O3238" s="5"/>
      <c r="P3238" s="5"/>
      <c r="Q3238" s="21">
        <v>0</v>
      </c>
      <c r="R3238" s="21">
        <v>0</v>
      </c>
      <c r="S3238" s="5">
        <f t="shared" si="203"/>
        <v>14670.534635152</v>
      </c>
      <c r="T3238" cm="1">
        <f t="array" ref="T3238">IF(OR(B3238="MAL ALIMI", B3238="ÜRETİM GİRİŞ"), MIN(I3238, MAX(0, I3238 + SUM(SUMIFS($I$1:I3237, $C$1:C3237, C3238, $B$1:B3237, {"MAL ALIMI","ÜRETİM GİRİŞ"})) - VLOOKUP(C3238, 'STOK RAPORU'!$C$2:$I$1000, 4, 0))), 0)</f>
        <v>0</v>
      </c>
      <c r="U3238" s="22">
        <f t="shared" si="200"/>
        <v>0</v>
      </c>
      <c r="V3238">
        <f t="shared" si="201"/>
        <v>0</v>
      </c>
      <c r="W3238" s="22">
        <f t="shared" si="202"/>
        <v>0</v>
      </c>
    </row>
    <row r="3239" spans="1:23" hidden="1" x14ac:dyDescent="0.25">
      <c r="A3239" s="3">
        <v>46038</v>
      </c>
      <c r="B3239" s="4" t="s">
        <v>285</v>
      </c>
      <c r="C3239" s="4"/>
      <c r="D3239" s="4" t="s">
        <v>113</v>
      </c>
      <c r="E3239" s="4"/>
      <c r="F3239" s="4"/>
      <c r="G3239" s="4" t="s">
        <v>1741</v>
      </c>
      <c r="H3239" s="4" t="s">
        <v>289</v>
      </c>
      <c r="I3239" s="4">
        <v>1</v>
      </c>
      <c r="J3239" s="21">
        <v>1500</v>
      </c>
      <c r="K3239" s="21">
        <v>0</v>
      </c>
      <c r="L3239" s="5">
        <v>0</v>
      </c>
      <c r="M3239" s="4"/>
      <c r="N3239" s="4"/>
      <c r="O3239" s="5"/>
      <c r="P3239" s="5"/>
      <c r="Q3239" s="21">
        <v>0</v>
      </c>
      <c r="R3239" s="21">
        <v>1500</v>
      </c>
      <c r="S3239" s="5">
        <f t="shared" si="203"/>
        <v>13170.534635152</v>
      </c>
      <c r="T3239" cm="1">
        <f t="array" ref="T3239">IF(OR(B3239="MAL ALIMI", B3239="ÜRETİM GİRİŞ"), MIN(I3239, MAX(0, I3239 + SUM(SUMIFS($I$1:I3238, $C$1:C3238, C3239, $B$1:B3238, {"MAL ALIMI","ÜRETİM GİRİŞ"})) - VLOOKUP(C3239, 'STOK RAPORU'!$C$2:$I$1000, 4, 0))), 0)</f>
        <v>0</v>
      </c>
      <c r="U3239" s="22">
        <f t="shared" si="200"/>
        <v>0</v>
      </c>
      <c r="V3239">
        <f t="shared" si="201"/>
        <v>0</v>
      </c>
      <c r="W3239" s="22">
        <f t="shared" si="202"/>
        <v>0</v>
      </c>
    </row>
    <row r="3240" spans="1:23" hidden="1" x14ac:dyDescent="0.25">
      <c r="A3240" s="3">
        <v>46038</v>
      </c>
      <c r="B3240" s="4" t="s">
        <v>917</v>
      </c>
      <c r="C3240" s="4"/>
      <c r="D3240" s="4"/>
      <c r="E3240" s="4" t="s">
        <v>350</v>
      </c>
      <c r="F3240" s="4"/>
      <c r="G3240" s="4" t="s">
        <v>918</v>
      </c>
      <c r="H3240" s="4" t="s">
        <v>289</v>
      </c>
      <c r="I3240" s="4">
        <v>1</v>
      </c>
      <c r="J3240" s="21">
        <v>0</v>
      </c>
      <c r="K3240" s="21">
        <v>10000</v>
      </c>
      <c r="L3240" s="5">
        <v>0</v>
      </c>
      <c r="M3240" s="4"/>
      <c r="N3240" s="4"/>
      <c r="O3240" s="5"/>
      <c r="P3240" s="5"/>
      <c r="Q3240" s="21">
        <v>0</v>
      </c>
      <c r="R3240" s="21">
        <v>10000</v>
      </c>
      <c r="S3240" s="5">
        <f t="shared" si="203"/>
        <v>3170.5346351520002</v>
      </c>
      <c r="T3240" cm="1">
        <f t="array" ref="T3240">IF(OR(B3240="MAL ALIMI", B3240="ÜRETİM GİRİŞ"), MIN(I3240, MAX(0, I3240 + SUM(SUMIFS($I$1:I3239, $C$1:C3239, C3240, $B$1:B3239, {"MAL ALIMI","ÜRETİM GİRİŞ"})) - VLOOKUP(C3240, 'STOK RAPORU'!$C$2:$I$1000, 4, 0))), 0)</f>
        <v>0</v>
      </c>
      <c r="U3240" s="22">
        <f t="shared" si="200"/>
        <v>0</v>
      </c>
      <c r="V3240">
        <f t="shared" si="201"/>
        <v>0</v>
      </c>
      <c r="W3240" s="22">
        <f t="shared" si="202"/>
        <v>0</v>
      </c>
    </row>
    <row r="3241" spans="1:23" hidden="1" x14ac:dyDescent="0.25">
      <c r="A3241" s="3">
        <v>46038</v>
      </c>
      <c r="B3241" s="4" t="s">
        <v>946</v>
      </c>
      <c r="C3241" s="4"/>
      <c r="D3241" s="4"/>
      <c r="E3241" s="4" t="s">
        <v>921</v>
      </c>
      <c r="F3241" s="4"/>
      <c r="G3241" s="4" t="s">
        <v>946</v>
      </c>
      <c r="H3241" s="4" t="s">
        <v>380</v>
      </c>
      <c r="I3241" s="4">
        <v>1</v>
      </c>
      <c r="J3241" s="105">
        <v>1585</v>
      </c>
      <c r="K3241" s="21">
        <v>0</v>
      </c>
      <c r="L3241" s="102">
        <v>1585</v>
      </c>
      <c r="M3241" s="21">
        <v>950</v>
      </c>
      <c r="N3241" s="4"/>
      <c r="O3241" s="5"/>
      <c r="P3241" s="5"/>
      <c r="Q3241" s="21">
        <v>1585</v>
      </c>
      <c r="R3241" s="21">
        <v>0</v>
      </c>
      <c r="S3241" s="5">
        <f t="shared" si="203"/>
        <v>4755.5346351520002</v>
      </c>
      <c r="T3241" cm="1">
        <f t="array" ref="T3241">IF(OR(B3241="MAL ALIMI", B3241="ÜRETİM GİRİŞ"), MIN(I3241, MAX(0, I3241 + SUM(SUMIFS($I$1:I3240, $C$1:C3240, C3241, $B$1:B3240, {"MAL ALIMI","ÜRETİM GİRİŞ"})) - VLOOKUP(C3241, 'STOK RAPORU'!$C$2:$I$1000, 4, 0))), 0)</f>
        <v>0</v>
      </c>
      <c r="U3241" s="22">
        <f t="shared" si="200"/>
        <v>0</v>
      </c>
      <c r="V3241">
        <f t="shared" si="201"/>
        <v>0</v>
      </c>
      <c r="W3241" s="22">
        <f t="shared" si="202"/>
        <v>0</v>
      </c>
    </row>
    <row r="3242" spans="1:23" hidden="1" x14ac:dyDescent="0.25">
      <c r="A3242" s="3">
        <v>46039</v>
      </c>
      <c r="B3242" s="4" t="s">
        <v>334</v>
      </c>
      <c r="C3242" s="4" t="s">
        <v>1041</v>
      </c>
      <c r="D3242" s="4"/>
      <c r="E3242" s="4"/>
      <c r="F3242" s="4" t="s">
        <v>1747</v>
      </c>
      <c r="G3242" s="4" t="s">
        <v>336</v>
      </c>
      <c r="H3242" s="4" t="s">
        <v>289</v>
      </c>
      <c r="I3242" s="4">
        <v>1</v>
      </c>
      <c r="J3242" s="21">
        <v>250</v>
      </c>
      <c r="K3242" s="21">
        <v>0</v>
      </c>
      <c r="L3242" s="5">
        <v>0</v>
      </c>
      <c r="M3242" s="4"/>
      <c r="N3242" s="4"/>
      <c r="O3242" s="5"/>
      <c r="P3242" s="5"/>
      <c r="Q3242" s="21">
        <v>250</v>
      </c>
      <c r="R3242" s="21">
        <v>0</v>
      </c>
      <c r="S3242" s="5">
        <f t="shared" si="203"/>
        <v>5005.5346351520002</v>
      </c>
      <c r="T3242" cm="1">
        <f t="array" ref="T3242">IF(OR(B3242="MAL ALIMI", B3242="ÜRETİM GİRİŞ"), MIN(I3242, MAX(0, I3242 + SUM(SUMIFS($I$1:I3241, $C$1:C3241, C3242, $B$1:B3241, {"MAL ALIMI","ÜRETİM GİRİŞ"})) - VLOOKUP(C3242, 'STOK RAPORU'!$C$2:$I$1000, 4, 0))), 0)</f>
        <v>0</v>
      </c>
      <c r="U3242" s="22">
        <f t="shared" si="200"/>
        <v>0</v>
      </c>
      <c r="V3242">
        <f t="shared" si="201"/>
        <v>0</v>
      </c>
      <c r="W3242" s="22">
        <f t="shared" si="202"/>
        <v>0</v>
      </c>
    </row>
    <row r="3243" spans="1:23" hidden="1" x14ac:dyDescent="0.25">
      <c r="A3243" s="45">
        <v>46039</v>
      </c>
      <c r="B3243" s="46" t="s">
        <v>334</v>
      </c>
      <c r="C3243" s="4" t="s">
        <v>587</v>
      </c>
      <c r="D3243" s="46"/>
      <c r="E3243" s="46"/>
      <c r="F3243" s="46" t="s">
        <v>1747</v>
      </c>
      <c r="G3243" s="46" t="s">
        <v>336</v>
      </c>
      <c r="H3243" s="46" t="s">
        <v>289</v>
      </c>
      <c r="I3243" s="46">
        <v>2</v>
      </c>
      <c r="J3243" s="47">
        <v>150</v>
      </c>
      <c r="K3243" s="47">
        <v>0</v>
      </c>
      <c r="L3243" s="48">
        <v>0</v>
      </c>
      <c r="M3243" s="46"/>
      <c r="N3243" s="46"/>
      <c r="O3243" s="48"/>
      <c r="P3243" s="48"/>
      <c r="Q3243" s="47">
        <v>300</v>
      </c>
      <c r="R3243" s="47">
        <v>0</v>
      </c>
      <c r="S3243" s="5">
        <f t="shared" si="203"/>
        <v>5305.5346351520002</v>
      </c>
      <c r="T3243" cm="1">
        <f t="array" ref="T3243">IF(OR(B3243="MAL ALIMI", B3243="ÜRETİM GİRİŞ"), MIN(I3243, MAX(0, I3243 + SUM(SUMIFS($I$1:I3242, $C$1:C3242, C3243, $B$1:B3242, {"MAL ALIMI","ÜRETİM GİRİŞ"})) - VLOOKUP(C3243, 'STOK RAPORU'!$C$2:$I$1000, 4, 0))), 0)</f>
        <v>0</v>
      </c>
      <c r="U3243" s="22">
        <f t="shared" si="200"/>
        <v>0</v>
      </c>
      <c r="V3243">
        <f t="shared" si="201"/>
        <v>0</v>
      </c>
      <c r="W3243" s="22">
        <f t="shared" si="202"/>
        <v>0</v>
      </c>
    </row>
    <row r="3244" spans="1:23" hidden="1" x14ac:dyDescent="0.25">
      <c r="A3244" s="45">
        <v>46039</v>
      </c>
      <c r="B3244" s="46" t="s">
        <v>334</v>
      </c>
      <c r="C3244" s="4" t="s">
        <v>586</v>
      </c>
      <c r="D3244" s="46"/>
      <c r="E3244" s="46"/>
      <c r="F3244" s="46" t="s">
        <v>1747</v>
      </c>
      <c r="G3244" s="46" t="s">
        <v>336</v>
      </c>
      <c r="H3244" s="46" t="s">
        <v>289</v>
      </c>
      <c r="I3244" s="46">
        <v>1</v>
      </c>
      <c r="J3244" s="47">
        <v>200</v>
      </c>
      <c r="K3244" s="47">
        <v>0</v>
      </c>
      <c r="L3244" s="48">
        <v>0</v>
      </c>
      <c r="M3244" s="46"/>
      <c r="N3244" s="46"/>
      <c r="O3244" s="48"/>
      <c r="P3244" s="48"/>
      <c r="Q3244" s="47">
        <v>200</v>
      </c>
      <c r="R3244" s="47">
        <v>0</v>
      </c>
      <c r="S3244" s="5">
        <f t="shared" si="203"/>
        <v>5505.5346351520002</v>
      </c>
      <c r="T3244" cm="1">
        <f t="array" ref="T3244">IF(OR(B3244="MAL ALIMI", B3244="ÜRETİM GİRİŞ"), MIN(I3244, MAX(0, I3244 + SUM(SUMIFS($I$1:I3243, $C$1:C3243, C3244, $B$1:B3243, {"MAL ALIMI","ÜRETİM GİRİŞ"})) - VLOOKUP(C3244, 'STOK RAPORU'!$C$2:$I$1000, 4, 0))), 0)</f>
        <v>0</v>
      </c>
      <c r="U3244" s="22">
        <f t="shared" si="200"/>
        <v>0</v>
      </c>
      <c r="V3244">
        <f t="shared" si="201"/>
        <v>0</v>
      </c>
      <c r="W3244" s="22">
        <f t="shared" si="202"/>
        <v>0</v>
      </c>
    </row>
    <row r="3245" spans="1:23" hidden="1" x14ac:dyDescent="0.25">
      <c r="A3245" s="3">
        <v>46039</v>
      </c>
      <c r="B3245" s="4" t="s">
        <v>334</v>
      </c>
      <c r="C3245" s="4" t="s">
        <v>523</v>
      </c>
      <c r="D3245" s="4"/>
      <c r="E3245" s="4"/>
      <c r="F3245" s="4" t="s">
        <v>1748</v>
      </c>
      <c r="G3245" s="4" t="s">
        <v>336</v>
      </c>
      <c r="H3245" s="4" t="s">
        <v>289</v>
      </c>
      <c r="I3245" s="4">
        <v>0.1</v>
      </c>
      <c r="J3245" s="21">
        <v>650</v>
      </c>
      <c r="K3245" s="21">
        <v>0</v>
      </c>
      <c r="L3245" s="5">
        <v>0</v>
      </c>
      <c r="M3245" s="4"/>
      <c r="N3245" s="4"/>
      <c r="O3245" s="5"/>
      <c r="P3245" s="5"/>
      <c r="Q3245" s="21">
        <v>65</v>
      </c>
      <c r="R3245" s="21">
        <v>0</v>
      </c>
      <c r="S3245" s="5">
        <f t="shared" si="203"/>
        <v>5570.5346351520002</v>
      </c>
      <c r="T3245" cm="1">
        <f t="array" ref="T3245">IF(OR(B3245="MAL ALIMI", B3245="ÜRETİM GİRİŞ"), MIN(I3245, MAX(0, I3245 + SUM(SUMIFS($I$1:I3244, $C$1:C3244, C3245, $B$1:B3244, {"MAL ALIMI","ÜRETİM GİRİŞ"})) - VLOOKUP(C3245, 'STOK RAPORU'!$C$2:$I$1000, 4, 0))), 0)</f>
        <v>0</v>
      </c>
      <c r="U3245" s="22">
        <f t="shared" si="200"/>
        <v>0</v>
      </c>
      <c r="V3245">
        <f t="shared" si="201"/>
        <v>0</v>
      </c>
      <c r="W3245" s="22">
        <f t="shared" si="202"/>
        <v>0</v>
      </c>
    </row>
    <row r="3246" spans="1:23" hidden="1" x14ac:dyDescent="0.25">
      <c r="A3246" s="3">
        <v>46039</v>
      </c>
      <c r="B3246" s="4" t="s">
        <v>334</v>
      </c>
      <c r="C3246" s="4" t="s">
        <v>132</v>
      </c>
      <c r="D3246" s="4"/>
      <c r="E3246" s="4" t="s">
        <v>921</v>
      </c>
      <c r="F3246" s="4" t="s">
        <v>1749</v>
      </c>
      <c r="G3246" s="4" t="s">
        <v>336</v>
      </c>
      <c r="H3246" s="4" t="s">
        <v>380</v>
      </c>
      <c r="I3246" s="4">
        <v>0.2</v>
      </c>
      <c r="J3246" s="21">
        <v>500</v>
      </c>
      <c r="K3246" s="21">
        <v>100</v>
      </c>
      <c r="L3246" s="5">
        <v>0</v>
      </c>
      <c r="M3246" s="4"/>
      <c r="N3246" s="4"/>
      <c r="O3246" s="5"/>
      <c r="P3246" s="5"/>
      <c r="Q3246" s="21">
        <v>0</v>
      </c>
      <c r="R3246" s="21">
        <v>0</v>
      </c>
      <c r="S3246" s="5">
        <f t="shared" si="203"/>
        <v>5570.5346351520002</v>
      </c>
      <c r="T3246" cm="1">
        <f t="array" ref="T3246">IF(OR(B3246="MAL ALIMI", B3246="ÜRETİM GİRİŞ"), MIN(I3246, MAX(0, I3246 + SUM(SUMIFS($I$1:I3245, $C$1:C3245, C3246, $B$1:B3245, {"MAL ALIMI","ÜRETİM GİRİŞ"})) - VLOOKUP(C3246, 'STOK RAPORU'!$C$2:$I$1000, 4, 0))), 0)</f>
        <v>0</v>
      </c>
      <c r="U3246" s="22">
        <f t="shared" si="200"/>
        <v>0</v>
      </c>
      <c r="V3246">
        <f t="shared" si="201"/>
        <v>0</v>
      </c>
      <c r="W3246" s="22">
        <f t="shared" si="202"/>
        <v>0</v>
      </c>
    </row>
    <row r="3247" spans="1:23" hidden="1" x14ac:dyDescent="0.25">
      <c r="A3247" s="3">
        <v>46039</v>
      </c>
      <c r="B3247" s="4" t="s">
        <v>334</v>
      </c>
      <c r="C3247" s="4" t="s">
        <v>586</v>
      </c>
      <c r="D3247" s="4"/>
      <c r="E3247" s="4" t="s">
        <v>921</v>
      </c>
      <c r="F3247" s="4" t="s">
        <v>1749</v>
      </c>
      <c r="G3247" s="4" t="s">
        <v>336</v>
      </c>
      <c r="H3247" s="4" t="s">
        <v>380</v>
      </c>
      <c r="I3247" s="4">
        <v>0.5</v>
      </c>
      <c r="J3247" s="21">
        <v>200</v>
      </c>
      <c r="K3247" s="21">
        <v>100</v>
      </c>
      <c r="L3247" s="5">
        <v>0</v>
      </c>
      <c r="M3247" s="4"/>
      <c r="N3247" s="4"/>
      <c r="O3247" s="5"/>
      <c r="P3247" s="5"/>
      <c r="Q3247" s="21">
        <v>0</v>
      </c>
      <c r="R3247" s="21">
        <v>0</v>
      </c>
      <c r="S3247" s="5">
        <f t="shared" si="203"/>
        <v>5570.5346351520002</v>
      </c>
      <c r="T3247" cm="1">
        <f t="array" ref="T3247">IF(OR(B3247="MAL ALIMI", B3247="ÜRETİM GİRİŞ"), MIN(I3247, MAX(0, I3247 + SUM(SUMIFS($I$1:I3246, $C$1:C3246, C3247, $B$1:B3246, {"MAL ALIMI","ÜRETİM GİRİŞ"})) - VLOOKUP(C3247, 'STOK RAPORU'!$C$2:$I$1000, 4, 0))), 0)</f>
        <v>0</v>
      </c>
      <c r="U3247" s="22">
        <f t="shared" si="200"/>
        <v>0</v>
      </c>
      <c r="V3247">
        <f t="shared" si="201"/>
        <v>0</v>
      </c>
      <c r="W3247" s="22">
        <f t="shared" si="202"/>
        <v>0</v>
      </c>
    </row>
    <row r="3248" spans="1:23" hidden="1" x14ac:dyDescent="0.25">
      <c r="A3248" s="3">
        <v>46039</v>
      </c>
      <c r="B3248" s="4" t="s">
        <v>334</v>
      </c>
      <c r="C3248" s="4" t="s">
        <v>132</v>
      </c>
      <c r="D3248" s="4"/>
      <c r="E3248" s="4" t="s">
        <v>921</v>
      </c>
      <c r="F3248" s="4" t="s">
        <v>1750</v>
      </c>
      <c r="G3248" s="4" t="s">
        <v>336</v>
      </c>
      <c r="H3248" s="4" t="s">
        <v>380</v>
      </c>
      <c r="I3248" s="4">
        <v>0.2</v>
      </c>
      <c r="J3248" s="21">
        <v>500</v>
      </c>
      <c r="K3248" s="21">
        <v>100</v>
      </c>
      <c r="L3248" s="5">
        <v>0</v>
      </c>
      <c r="M3248" s="4"/>
      <c r="N3248" s="4"/>
      <c r="O3248" s="5"/>
      <c r="P3248" s="5"/>
      <c r="Q3248" s="21">
        <v>0</v>
      </c>
      <c r="R3248" s="21">
        <v>0</v>
      </c>
      <c r="S3248" s="5">
        <f t="shared" si="203"/>
        <v>5570.5346351520002</v>
      </c>
      <c r="T3248" cm="1">
        <f t="array" ref="T3248">IF(OR(B3248="MAL ALIMI", B3248="ÜRETİM GİRİŞ"), MIN(I3248, MAX(0, I3248 + SUM(SUMIFS($I$1:I3247, $C$1:C3247, C3248, $B$1:B3247, {"MAL ALIMI","ÜRETİM GİRİŞ"})) - VLOOKUP(C3248, 'STOK RAPORU'!$C$2:$I$1000, 4, 0))), 0)</f>
        <v>0</v>
      </c>
      <c r="U3248" s="22">
        <f t="shared" si="200"/>
        <v>0</v>
      </c>
      <c r="V3248">
        <f t="shared" si="201"/>
        <v>0</v>
      </c>
      <c r="W3248" s="22">
        <f t="shared" si="202"/>
        <v>0</v>
      </c>
    </row>
    <row r="3249" spans="1:23" hidden="1" x14ac:dyDescent="0.25">
      <c r="A3249" s="3">
        <v>46039</v>
      </c>
      <c r="B3249" s="4" t="s">
        <v>334</v>
      </c>
      <c r="C3249" s="4" t="s">
        <v>711</v>
      </c>
      <c r="D3249" s="4"/>
      <c r="E3249" s="4" t="s">
        <v>921</v>
      </c>
      <c r="F3249" s="4" t="s">
        <v>1750</v>
      </c>
      <c r="G3249" s="4" t="s">
        <v>336</v>
      </c>
      <c r="H3249" s="4" t="s">
        <v>380</v>
      </c>
      <c r="I3249" s="4">
        <v>1</v>
      </c>
      <c r="J3249" s="21">
        <v>170</v>
      </c>
      <c r="K3249" s="21">
        <v>170</v>
      </c>
      <c r="L3249" s="5">
        <v>0</v>
      </c>
      <c r="M3249" s="4"/>
      <c r="N3249" s="4"/>
      <c r="O3249" s="5"/>
      <c r="P3249" s="5"/>
      <c r="Q3249" s="21">
        <v>0</v>
      </c>
      <c r="R3249" s="21">
        <v>0</v>
      </c>
      <c r="S3249" s="5">
        <f t="shared" si="203"/>
        <v>5570.5346351520002</v>
      </c>
      <c r="T3249" cm="1">
        <f t="array" ref="T3249">IF(OR(B3249="MAL ALIMI", B3249="ÜRETİM GİRİŞ"), MIN(I3249, MAX(0, I3249 + SUM(SUMIFS($I$1:I3248, $C$1:C3248, C3249, $B$1:B3248, {"MAL ALIMI","ÜRETİM GİRİŞ"})) - VLOOKUP(C3249, 'STOK RAPORU'!$C$2:$I$1000, 4, 0))), 0)</f>
        <v>0</v>
      </c>
      <c r="U3249" s="22">
        <f t="shared" si="200"/>
        <v>0</v>
      </c>
      <c r="V3249">
        <f t="shared" si="201"/>
        <v>0</v>
      </c>
      <c r="W3249" s="22">
        <f t="shared" si="202"/>
        <v>0</v>
      </c>
    </row>
    <row r="3250" spans="1:23" hidden="1" x14ac:dyDescent="0.25">
      <c r="A3250" s="3">
        <v>46039</v>
      </c>
      <c r="B3250" s="4" t="s">
        <v>334</v>
      </c>
      <c r="C3250" s="4" t="s">
        <v>586</v>
      </c>
      <c r="D3250" s="4"/>
      <c r="E3250" s="4" t="s">
        <v>921</v>
      </c>
      <c r="F3250" s="4" t="s">
        <v>1751</v>
      </c>
      <c r="G3250" s="4" t="s">
        <v>336</v>
      </c>
      <c r="H3250" s="4" t="s">
        <v>380</v>
      </c>
      <c r="I3250" s="4">
        <v>0.5</v>
      </c>
      <c r="J3250" s="21">
        <v>200</v>
      </c>
      <c r="K3250" s="21">
        <v>100</v>
      </c>
      <c r="L3250" s="5">
        <v>0</v>
      </c>
      <c r="M3250" s="4"/>
      <c r="N3250" s="4"/>
      <c r="O3250" s="5"/>
      <c r="P3250" s="5"/>
      <c r="Q3250" s="21">
        <v>0</v>
      </c>
      <c r="R3250" s="21">
        <v>0</v>
      </c>
      <c r="S3250" s="5">
        <f t="shared" si="203"/>
        <v>5570.5346351520002</v>
      </c>
      <c r="T3250" cm="1">
        <f t="array" ref="T3250">IF(OR(B3250="MAL ALIMI", B3250="ÜRETİM GİRİŞ"), MIN(I3250, MAX(0, I3250 + SUM(SUMIFS($I$1:I3249, $C$1:C3249, C3250, $B$1:B3249, {"MAL ALIMI","ÜRETİM GİRİŞ"})) - VLOOKUP(C3250, 'STOK RAPORU'!$C$2:$I$1000, 4, 0))), 0)</f>
        <v>0</v>
      </c>
      <c r="U3250" s="22">
        <f t="shared" si="200"/>
        <v>0</v>
      </c>
      <c r="V3250">
        <f t="shared" si="201"/>
        <v>0</v>
      </c>
      <c r="W3250" s="22">
        <f t="shared" si="202"/>
        <v>0</v>
      </c>
    </row>
    <row r="3251" spans="1:23" hidden="1" x14ac:dyDescent="0.25">
      <c r="A3251" s="3">
        <v>46039</v>
      </c>
      <c r="B3251" s="4" t="s">
        <v>334</v>
      </c>
      <c r="C3251" s="46" t="s">
        <v>585</v>
      </c>
      <c r="D3251" s="4"/>
      <c r="E3251" s="4" t="s">
        <v>921</v>
      </c>
      <c r="F3251" s="4" t="s">
        <v>1751</v>
      </c>
      <c r="G3251" s="4" t="s">
        <v>336</v>
      </c>
      <c r="H3251" s="4" t="s">
        <v>380</v>
      </c>
      <c r="I3251" s="4">
        <v>0.5</v>
      </c>
      <c r="J3251" s="21">
        <v>200</v>
      </c>
      <c r="K3251" s="21">
        <v>100</v>
      </c>
      <c r="L3251" s="5">
        <v>0</v>
      </c>
      <c r="M3251" s="4"/>
      <c r="N3251" s="4"/>
      <c r="O3251" s="5"/>
      <c r="P3251" s="5"/>
      <c r="Q3251" s="21">
        <v>0</v>
      </c>
      <c r="R3251" s="21">
        <v>0</v>
      </c>
      <c r="S3251" s="5">
        <f t="shared" si="203"/>
        <v>5570.5346351520002</v>
      </c>
      <c r="T3251" cm="1">
        <f t="array" ref="T3251">IF(OR(B3251="MAL ALIMI", B3251="ÜRETİM GİRİŞ"), MIN(I3251, MAX(0, I3251 + SUM(SUMIFS($I$1:I3250, $C$1:C3250, C3251, $B$1:B3250, {"MAL ALIMI","ÜRETİM GİRİŞ"})) - VLOOKUP(C3251, 'STOK RAPORU'!$C$2:$I$1000, 4, 0))), 0)</f>
        <v>0</v>
      </c>
      <c r="U3251" s="22">
        <f t="shared" si="200"/>
        <v>0</v>
      </c>
      <c r="V3251">
        <f t="shared" si="201"/>
        <v>0</v>
      </c>
      <c r="W3251" s="22">
        <f t="shared" si="202"/>
        <v>0</v>
      </c>
    </row>
    <row r="3252" spans="1:23" hidden="1" x14ac:dyDescent="0.25">
      <c r="A3252" s="3">
        <v>46039</v>
      </c>
      <c r="B3252" s="4" t="s">
        <v>334</v>
      </c>
      <c r="C3252" s="4" t="s">
        <v>587</v>
      </c>
      <c r="D3252" s="4"/>
      <c r="E3252" s="4" t="s">
        <v>921</v>
      </c>
      <c r="F3252" s="4" t="s">
        <v>1751</v>
      </c>
      <c r="G3252" s="4" t="s">
        <v>336</v>
      </c>
      <c r="H3252" s="4" t="s">
        <v>380</v>
      </c>
      <c r="I3252" s="4">
        <v>1</v>
      </c>
      <c r="J3252" s="21">
        <v>150</v>
      </c>
      <c r="K3252" s="21">
        <v>150</v>
      </c>
      <c r="L3252" s="5">
        <v>0</v>
      </c>
      <c r="M3252" s="4"/>
      <c r="N3252" s="4"/>
      <c r="O3252" s="5"/>
      <c r="P3252" s="5"/>
      <c r="Q3252" s="21">
        <v>0</v>
      </c>
      <c r="R3252" s="21">
        <v>0</v>
      </c>
      <c r="S3252" s="5">
        <f t="shared" si="203"/>
        <v>5570.5346351520002</v>
      </c>
      <c r="T3252" cm="1">
        <f t="array" ref="T3252">IF(OR(B3252="MAL ALIMI", B3252="ÜRETİM GİRİŞ"), MIN(I3252, MAX(0, I3252 + SUM(SUMIFS($I$1:I3251, $C$1:C3251, C3252, $B$1:B3251, {"MAL ALIMI","ÜRETİM GİRİŞ"})) - VLOOKUP(C3252, 'STOK RAPORU'!$C$2:$I$1000, 4, 0))), 0)</f>
        <v>0</v>
      </c>
      <c r="U3252" s="22">
        <f t="shared" si="200"/>
        <v>0</v>
      </c>
      <c r="V3252">
        <f t="shared" si="201"/>
        <v>0</v>
      </c>
      <c r="W3252" s="22">
        <f t="shared" si="202"/>
        <v>0</v>
      </c>
    </row>
    <row r="3253" spans="1:23" hidden="1" x14ac:dyDescent="0.25">
      <c r="A3253" s="3">
        <v>46039</v>
      </c>
      <c r="B3253" s="4" t="s">
        <v>334</v>
      </c>
      <c r="C3253" s="4" t="s">
        <v>1365</v>
      </c>
      <c r="D3253" s="4"/>
      <c r="E3253" s="4"/>
      <c r="F3253" s="4" t="s">
        <v>1752</v>
      </c>
      <c r="G3253" s="4" t="s">
        <v>336</v>
      </c>
      <c r="H3253" s="4" t="s">
        <v>289</v>
      </c>
      <c r="I3253" s="4">
        <v>1</v>
      </c>
      <c r="J3253" s="21">
        <v>140</v>
      </c>
      <c r="K3253" s="21">
        <v>0</v>
      </c>
      <c r="L3253" s="5">
        <v>0</v>
      </c>
      <c r="M3253" s="4"/>
      <c r="N3253" s="4"/>
      <c r="O3253" s="5"/>
      <c r="P3253" s="5"/>
      <c r="Q3253" s="21">
        <v>140</v>
      </c>
      <c r="R3253" s="21">
        <v>0</v>
      </c>
      <c r="S3253" s="5">
        <f t="shared" si="203"/>
        <v>5710.5346351520002</v>
      </c>
      <c r="T3253" cm="1">
        <f t="array" ref="T3253">IF(OR(B3253="MAL ALIMI", B3253="ÜRETİM GİRİŞ"), MIN(I3253, MAX(0, I3253 + SUM(SUMIFS($I$1:I3252, $C$1:C3252, C3253, $B$1:B3252, {"MAL ALIMI","ÜRETİM GİRİŞ"})) - VLOOKUP(C3253, 'STOK RAPORU'!$C$2:$I$1000, 4, 0))), 0)</f>
        <v>0</v>
      </c>
      <c r="U3253" s="22">
        <f t="shared" si="200"/>
        <v>0</v>
      </c>
      <c r="V3253">
        <f t="shared" si="201"/>
        <v>0</v>
      </c>
      <c r="W3253" s="22">
        <f t="shared" si="202"/>
        <v>0</v>
      </c>
    </row>
    <row r="3254" spans="1:23" hidden="1" x14ac:dyDescent="0.25">
      <c r="A3254" s="3">
        <v>46039</v>
      </c>
      <c r="B3254" s="4" t="s">
        <v>334</v>
      </c>
      <c r="C3254" s="4" t="s">
        <v>241</v>
      </c>
      <c r="D3254" s="4"/>
      <c r="E3254" s="4"/>
      <c r="F3254" s="4" t="s">
        <v>1752</v>
      </c>
      <c r="G3254" s="4" t="s">
        <v>336</v>
      </c>
      <c r="H3254" s="4" t="s">
        <v>289</v>
      </c>
      <c r="I3254" s="4">
        <v>0.28000000000000003</v>
      </c>
      <c r="J3254" s="21">
        <v>430</v>
      </c>
      <c r="K3254" s="21">
        <v>0</v>
      </c>
      <c r="L3254" s="5">
        <v>0</v>
      </c>
      <c r="M3254" s="4"/>
      <c r="N3254" s="4"/>
      <c r="O3254" s="5"/>
      <c r="P3254" s="5"/>
      <c r="Q3254" s="21">
        <v>120.4</v>
      </c>
      <c r="R3254" s="21">
        <v>0</v>
      </c>
      <c r="S3254" s="5">
        <f t="shared" si="203"/>
        <v>5830.9346351519998</v>
      </c>
      <c r="T3254" cm="1">
        <f t="array" ref="T3254">IF(OR(B3254="MAL ALIMI", B3254="ÜRETİM GİRİŞ"), MIN(I3254, MAX(0, I3254 + SUM(SUMIFS($I$1:I3253, $C$1:C3253, C3254, $B$1:B3253, {"MAL ALIMI","ÜRETİM GİRİŞ"})) - VLOOKUP(C3254, 'STOK RAPORU'!$C$2:$I$1000, 4, 0))), 0)</f>
        <v>0</v>
      </c>
      <c r="U3254" s="22">
        <f t="shared" si="200"/>
        <v>0</v>
      </c>
      <c r="V3254">
        <f t="shared" si="201"/>
        <v>0</v>
      </c>
      <c r="W3254" s="22">
        <f t="shared" si="202"/>
        <v>0</v>
      </c>
    </row>
    <row r="3255" spans="1:23" hidden="1" x14ac:dyDescent="0.25">
      <c r="A3255" s="3">
        <v>46039</v>
      </c>
      <c r="B3255" s="4" t="s">
        <v>334</v>
      </c>
      <c r="C3255" s="4" t="s">
        <v>651</v>
      </c>
      <c r="D3255" s="4"/>
      <c r="E3255" s="4"/>
      <c r="F3255" s="4" t="s">
        <v>1753</v>
      </c>
      <c r="G3255" s="4" t="s">
        <v>336</v>
      </c>
      <c r="H3255" s="4" t="s">
        <v>289</v>
      </c>
      <c r="I3255" s="4">
        <v>1</v>
      </c>
      <c r="J3255" s="21">
        <v>400</v>
      </c>
      <c r="K3255" s="21">
        <v>0</v>
      </c>
      <c r="L3255" s="5">
        <v>0</v>
      </c>
      <c r="M3255" s="4"/>
      <c r="N3255" s="4"/>
      <c r="O3255" s="5"/>
      <c r="P3255" s="5"/>
      <c r="Q3255" s="21">
        <v>400</v>
      </c>
      <c r="R3255" s="21">
        <v>0</v>
      </c>
      <c r="S3255" s="5">
        <f t="shared" si="203"/>
        <v>6230.9346351519998</v>
      </c>
      <c r="T3255" cm="1">
        <f t="array" ref="T3255">IF(OR(B3255="MAL ALIMI", B3255="ÜRETİM GİRİŞ"), MIN(I3255, MAX(0, I3255 + SUM(SUMIFS($I$1:I3254, $C$1:C3254, C3255, $B$1:B3254, {"MAL ALIMI","ÜRETİM GİRİŞ"})) - VLOOKUP(C3255, 'STOK RAPORU'!$C$2:$I$1000, 4, 0))), 0)</f>
        <v>0</v>
      </c>
      <c r="U3255" s="22">
        <f t="shared" si="200"/>
        <v>0</v>
      </c>
      <c r="V3255">
        <f t="shared" si="201"/>
        <v>0</v>
      </c>
      <c r="W3255" s="22">
        <f t="shared" si="202"/>
        <v>0</v>
      </c>
    </row>
    <row r="3256" spans="1:23" hidden="1" x14ac:dyDescent="0.25">
      <c r="A3256" s="3">
        <v>46039</v>
      </c>
      <c r="B3256" s="4" t="s">
        <v>334</v>
      </c>
      <c r="C3256" s="4" t="s">
        <v>840</v>
      </c>
      <c r="D3256" s="4"/>
      <c r="E3256" s="4"/>
      <c r="F3256" s="4" t="s">
        <v>1754</v>
      </c>
      <c r="G3256" s="4" t="s">
        <v>336</v>
      </c>
      <c r="H3256" s="4" t="s">
        <v>289</v>
      </c>
      <c r="I3256" s="4">
        <v>0.25</v>
      </c>
      <c r="J3256" s="21">
        <v>360</v>
      </c>
      <c r="K3256" s="21">
        <v>0</v>
      </c>
      <c r="L3256" s="5">
        <v>0</v>
      </c>
      <c r="M3256" s="4"/>
      <c r="N3256" s="4"/>
      <c r="O3256" s="5"/>
      <c r="P3256" s="5"/>
      <c r="Q3256" s="21">
        <v>90</v>
      </c>
      <c r="R3256" s="21">
        <v>0</v>
      </c>
      <c r="S3256" s="5">
        <f t="shared" si="203"/>
        <v>6320.9346351519998</v>
      </c>
      <c r="T3256" cm="1">
        <f t="array" ref="T3256">IF(OR(B3256="MAL ALIMI", B3256="ÜRETİM GİRİŞ"), MIN(I3256, MAX(0, I3256 + SUM(SUMIFS($I$1:I3255, $C$1:C3255, C3256, $B$1:B3255, {"MAL ALIMI","ÜRETİM GİRİŞ"})) - VLOOKUP(C3256, 'STOK RAPORU'!$C$2:$I$1000, 4, 0))), 0)</f>
        <v>0</v>
      </c>
      <c r="U3256" s="22">
        <f t="shared" si="200"/>
        <v>0</v>
      </c>
      <c r="V3256">
        <f t="shared" si="201"/>
        <v>0</v>
      </c>
      <c r="W3256" s="22">
        <f t="shared" si="202"/>
        <v>0</v>
      </c>
    </row>
    <row r="3257" spans="1:23" hidden="1" x14ac:dyDescent="0.25">
      <c r="A3257" s="3">
        <v>46039</v>
      </c>
      <c r="B3257" s="4" t="s">
        <v>334</v>
      </c>
      <c r="C3257" s="4" t="s">
        <v>126</v>
      </c>
      <c r="D3257" s="4"/>
      <c r="E3257" s="4"/>
      <c r="F3257" s="4" t="s">
        <v>1754</v>
      </c>
      <c r="G3257" s="4" t="s">
        <v>336</v>
      </c>
      <c r="H3257" s="4" t="s">
        <v>289</v>
      </c>
      <c r="I3257" s="4">
        <v>1.7187500000000001E-2</v>
      </c>
      <c r="J3257" s="21">
        <v>640</v>
      </c>
      <c r="K3257" s="21">
        <v>0</v>
      </c>
      <c r="L3257" s="5">
        <v>0</v>
      </c>
      <c r="M3257" s="4"/>
      <c r="N3257" s="4"/>
      <c r="O3257" s="5"/>
      <c r="P3257" s="5"/>
      <c r="Q3257" s="21">
        <v>11</v>
      </c>
      <c r="R3257" s="21">
        <v>0</v>
      </c>
      <c r="S3257" s="5">
        <f t="shared" si="203"/>
        <v>6331.9346351519998</v>
      </c>
      <c r="T3257" cm="1">
        <f t="array" ref="T3257">IF(OR(B3257="MAL ALIMI", B3257="ÜRETİM GİRİŞ"), MIN(I3257, MAX(0, I3257 + SUM(SUMIFS($I$1:I3256, $C$1:C3256, C3257, $B$1:B3256, {"MAL ALIMI","ÜRETİM GİRİŞ"})) - VLOOKUP(C3257, 'STOK RAPORU'!$C$2:$I$1000, 4, 0))), 0)</f>
        <v>0</v>
      </c>
      <c r="U3257" s="22">
        <f t="shared" si="200"/>
        <v>0</v>
      </c>
      <c r="V3257">
        <f t="shared" si="201"/>
        <v>0</v>
      </c>
      <c r="W3257" s="22">
        <f t="shared" si="202"/>
        <v>0</v>
      </c>
    </row>
    <row r="3258" spans="1:23" hidden="1" x14ac:dyDescent="0.25">
      <c r="A3258" s="3">
        <v>46039</v>
      </c>
      <c r="B3258" s="4" t="s">
        <v>334</v>
      </c>
      <c r="C3258" s="4" t="s">
        <v>193</v>
      </c>
      <c r="D3258" s="4"/>
      <c r="E3258" s="4" t="s">
        <v>921</v>
      </c>
      <c r="F3258" s="4" t="s">
        <v>1755</v>
      </c>
      <c r="G3258" s="4" t="s">
        <v>336</v>
      </c>
      <c r="H3258" s="4" t="s">
        <v>380</v>
      </c>
      <c r="I3258" s="4">
        <v>0.1</v>
      </c>
      <c r="J3258" s="21">
        <v>1400</v>
      </c>
      <c r="K3258" s="21">
        <v>140</v>
      </c>
      <c r="L3258" s="5">
        <v>0</v>
      </c>
      <c r="M3258" s="4"/>
      <c r="N3258" s="4"/>
      <c r="O3258" s="5"/>
      <c r="P3258" s="5"/>
      <c r="Q3258" s="21">
        <v>0</v>
      </c>
      <c r="R3258" s="21">
        <v>0</v>
      </c>
      <c r="S3258" s="5">
        <f t="shared" si="203"/>
        <v>6331.9346351519998</v>
      </c>
      <c r="T3258" cm="1">
        <f t="array" ref="T3258">IF(OR(B3258="MAL ALIMI", B3258="ÜRETİM GİRİŞ"), MIN(I3258, MAX(0, I3258 + SUM(SUMIFS($I$1:I3257, $C$1:C3257, C3258, $B$1:B3257, {"MAL ALIMI","ÜRETİM GİRİŞ"})) - VLOOKUP(C3258, 'STOK RAPORU'!$C$2:$I$1000, 4, 0))), 0)</f>
        <v>0</v>
      </c>
      <c r="U3258" s="22">
        <f t="shared" si="200"/>
        <v>0</v>
      </c>
      <c r="V3258">
        <f t="shared" si="201"/>
        <v>0</v>
      </c>
      <c r="W3258" s="22">
        <f t="shared" si="202"/>
        <v>0</v>
      </c>
    </row>
    <row r="3259" spans="1:23" hidden="1" x14ac:dyDescent="0.25">
      <c r="A3259" s="3">
        <v>46039</v>
      </c>
      <c r="B3259" s="4" t="s">
        <v>334</v>
      </c>
      <c r="C3259" s="4" t="s">
        <v>1041</v>
      </c>
      <c r="D3259" s="4"/>
      <c r="E3259" s="4"/>
      <c r="F3259" s="4" t="s">
        <v>1756</v>
      </c>
      <c r="G3259" s="4" t="s">
        <v>336</v>
      </c>
      <c r="H3259" s="4" t="s">
        <v>289</v>
      </c>
      <c r="I3259" s="4">
        <v>0.85</v>
      </c>
      <c r="J3259" s="21">
        <v>250</v>
      </c>
      <c r="K3259" s="21">
        <v>0</v>
      </c>
      <c r="L3259" s="5">
        <v>0</v>
      </c>
      <c r="M3259" s="4"/>
      <c r="N3259" s="4"/>
      <c r="O3259" s="5"/>
      <c r="P3259" s="5"/>
      <c r="Q3259" s="21">
        <v>212.5</v>
      </c>
      <c r="R3259" s="21">
        <v>0</v>
      </c>
      <c r="S3259" s="5">
        <f t="shared" si="203"/>
        <v>6544.4346351519998</v>
      </c>
      <c r="T3259" cm="1">
        <f t="array" ref="T3259">IF(OR(B3259="MAL ALIMI", B3259="ÜRETİM GİRİŞ"), MIN(I3259, MAX(0, I3259 + SUM(SUMIFS($I$1:I3258, $C$1:C3258, C3259, $B$1:B3258, {"MAL ALIMI","ÜRETİM GİRİŞ"})) - VLOOKUP(C3259, 'STOK RAPORU'!$C$2:$I$1000, 4, 0))), 0)</f>
        <v>0</v>
      </c>
      <c r="U3259" s="22">
        <f t="shared" si="200"/>
        <v>0</v>
      </c>
      <c r="V3259">
        <f t="shared" si="201"/>
        <v>0</v>
      </c>
      <c r="W3259" s="22">
        <f t="shared" si="202"/>
        <v>0</v>
      </c>
    </row>
    <row r="3260" spans="1:23" hidden="1" x14ac:dyDescent="0.25">
      <c r="A3260" s="3">
        <v>46039</v>
      </c>
      <c r="B3260" s="4" t="s">
        <v>334</v>
      </c>
      <c r="C3260" s="4" t="s">
        <v>693</v>
      </c>
      <c r="D3260" s="4"/>
      <c r="E3260" s="4"/>
      <c r="F3260" s="4" t="s">
        <v>1757</v>
      </c>
      <c r="G3260" s="4" t="s">
        <v>336</v>
      </c>
      <c r="H3260" s="4" t="s">
        <v>289</v>
      </c>
      <c r="I3260" s="4">
        <v>0.25641025641025639</v>
      </c>
      <c r="J3260" s="21">
        <v>195</v>
      </c>
      <c r="K3260" s="21">
        <v>0</v>
      </c>
      <c r="L3260" s="5">
        <v>0</v>
      </c>
      <c r="M3260" s="4"/>
      <c r="N3260" s="4"/>
      <c r="O3260" s="5"/>
      <c r="P3260" s="5"/>
      <c r="Q3260" s="21">
        <v>49.999999999999993</v>
      </c>
      <c r="R3260" s="21">
        <v>0</v>
      </c>
      <c r="S3260" s="5">
        <f t="shared" si="203"/>
        <v>6594.4346351519998</v>
      </c>
      <c r="T3260" cm="1">
        <f t="array" ref="T3260">IF(OR(B3260="MAL ALIMI", B3260="ÜRETİM GİRİŞ"), MIN(I3260, MAX(0, I3260 + SUM(SUMIFS($I$1:I3259, $C$1:C3259, C3260, $B$1:B3259, {"MAL ALIMI","ÜRETİM GİRİŞ"})) - VLOOKUP(C3260, 'STOK RAPORU'!$C$2:$I$1000, 4, 0))), 0)</f>
        <v>0</v>
      </c>
      <c r="U3260" s="22">
        <f t="shared" si="200"/>
        <v>0</v>
      </c>
      <c r="V3260">
        <f t="shared" si="201"/>
        <v>0</v>
      </c>
      <c r="W3260" s="22">
        <f t="shared" si="202"/>
        <v>0</v>
      </c>
    </row>
    <row r="3261" spans="1:23" hidden="1" x14ac:dyDescent="0.25">
      <c r="A3261" s="3">
        <v>46039</v>
      </c>
      <c r="B3261" s="4" t="s">
        <v>334</v>
      </c>
      <c r="C3261" s="4" t="s">
        <v>690</v>
      </c>
      <c r="D3261" s="4"/>
      <c r="E3261" s="4"/>
      <c r="F3261" s="4" t="s">
        <v>1757</v>
      </c>
      <c r="G3261" s="4" t="s">
        <v>336</v>
      </c>
      <c r="H3261" s="4" t="s">
        <v>289</v>
      </c>
      <c r="I3261" s="4">
        <v>0.33823529411764708</v>
      </c>
      <c r="J3261" s="21">
        <v>340</v>
      </c>
      <c r="K3261" s="21">
        <v>0</v>
      </c>
      <c r="L3261" s="5">
        <v>0</v>
      </c>
      <c r="M3261" s="4"/>
      <c r="N3261" s="4"/>
      <c r="O3261" s="5"/>
      <c r="P3261" s="5"/>
      <c r="Q3261" s="21">
        <v>115</v>
      </c>
      <c r="R3261" s="21">
        <v>0</v>
      </c>
      <c r="S3261" s="5">
        <f t="shared" si="203"/>
        <v>6709.4346351519998</v>
      </c>
      <c r="T3261" cm="1">
        <f t="array" ref="T3261">IF(OR(B3261="MAL ALIMI", B3261="ÜRETİM GİRİŞ"), MIN(I3261, MAX(0, I3261 + SUM(SUMIFS($I$1:I3260, $C$1:C3260, C3261, $B$1:B3260, {"MAL ALIMI","ÜRETİM GİRİŞ"})) - VLOOKUP(C3261, 'STOK RAPORU'!$C$2:$I$1000, 4, 0))), 0)</f>
        <v>0</v>
      </c>
      <c r="U3261" s="22">
        <f t="shared" si="200"/>
        <v>0</v>
      </c>
      <c r="V3261">
        <f t="shared" si="201"/>
        <v>0</v>
      </c>
      <c r="W3261" s="22">
        <f t="shared" si="202"/>
        <v>0</v>
      </c>
    </row>
    <row r="3262" spans="1:23" hidden="1" x14ac:dyDescent="0.25">
      <c r="A3262" s="3">
        <v>46039</v>
      </c>
      <c r="B3262" s="4" t="s">
        <v>334</v>
      </c>
      <c r="C3262" s="4" t="s">
        <v>163</v>
      </c>
      <c r="D3262" s="4"/>
      <c r="E3262" s="4"/>
      <c r="F3262" s="4" t="s">
        <v>1758</v>
      </c>
      <c r="G3262" s="4" t="s">
        <v>336</v>
      </c>
      <c r="H3262" s="4" t="s">
        <v>289</v>
      </c>
      <c r="I3262" s="4">
        <v>0.23809523809523808</v>
      </c>
      <c r="J3262" s="21">
        <v>420</v>
      </c>
      <c r="K3262" s="21">
        <v>0</v>
      </c>
      <c r="L3262" s="5">
        <v>0</v>
      </c>
      <c r="M3262" s="4"/>
      <c r="N3262" s="4"/>
      <c r="O3262" s="5"/>
      <c r="P3262" s="5"/>
      <c r="Q3262" s="21">
        <v>100</v>
      </c>
      <c r="R3262" s="21">
        <v>0</v>
      </c>
      <c r="S3262" s="5">
        <f t="shared" si="203"/>
        <v>6809.4346351519998</v>
      </c>
      <c r="T3262" cm="1">
        <f t="array" ref="T3262">IF(OR(B3262="MAL ALIMI", B3262="ÜRETİM GİRİŞ"), MIN(I3262, MAX(0, I3262 + SUM(SUMIFS($I$1:I3261, $C$1:C3261, C3262, $B$1:B3261, {"MAL ALIMI","ÜRETİM GİRİŞ"})) - VLOOKUP(C3262, 'STOK RAPORU'!$C$2:$I$1000, 4, 0))), 0)</f>
        <v>0</v>
      </c>
      <c r="U3262" s="22">
        <f t="shared" si="200"/>
        <v>0</v>
      </c>
      <c r="V3262">
        <f t="shared" si="201"/>
        <v>0</v>
      </c>
      <c r="W3262" s="22">
        <f t="shared" si="202"/>
        <v>0</v>
      </c>
    </row>
    <row r="3263" spans="1:23" hidden="1" x14ac:dyDescent="0.25">
      <c r="A3263" s="3">
        <v>46039</v>
      </c>
      <c r="B3263" s="4" t="s">
        <v>334</v>
      </c>
      <c r="C3263" s="4" t="s">
        <v>523</v>
      </c>
      <c r="D3263" s="4"/>
      <c r="E3263" s="4"/>
      <c r="F3263" s="4" t="s">
        <v>1758</v>
      </c>
      <c r="G3263" s="4" t="s">
        <v>336</v>
      </c>
      <c r="H3263" s="4" t="s">
        <v>289</v>
      </c>
      <c r="I3263" s="4">
        <v>0.1</v>
      </c>
      <c r="J3263" s="21">
        <v>650</v>
      </c>
      <c r="K3263" s="21">
        <v>0</v>
      </c>
      <c r="L3263" s="5">
        <v>0</v>
      </c>
      <c r="M3263" s="4"/>
      <c r="N3263" s="4"/>
      <c r="O3263" s="5"/>
      <c r="P3263" s="5"/>
      <c r="Q3263" s="21">
        <v>65</v>
      </c>
      <c r="R3263" s="21">
        <v>0</v>
      </c>
      <c r="S3263" s="5">
        <f t="shared" si="203"/>
        <v>6874.4346351519998</v>
      </c>
      <c r="T3263" cm="1">
        <f t="array" ref="T3263">IF(OR(B3263="MAL ALIMI", B3263="ÜRETİM GİRİŞ"), MIN(I3263, MAX(0, I3263 + SUM(SUMIFS($I$1:I3262, $C$1:C3262, C3263, $B$1:B3262, {"MAL ALIMI","ÜRETİM GİRİŞ"})) - VLOOKUP(C3263, 'STOK RAPORU'!$C$2:$I$1000, 4, 0))), 0)</f>
        <v>0</v>
      </c>
      <c r="U3263" s="22">
        <f t="shared" si="200"/>
        <v>0</v>
      </c>
      <c r="V3263">
        <f t="shared" si="201"/>
        <v>0</v>
      </c>
      <c r="W3263" s="22">
        <f t="shared" si="202"/>
        <v>0</v>
      </c>
    </row>
    <row r="3264" spans="1:23" hidden="1" x14ac:dyDescent="0.25">
      <c r="A3264" s="3">
        <v>46039</v>
      </c>
      <c r="B3264" s="4" t="s">
        <v>334</v>
      </c>
      <c r="C3264" s="4" t="s">
        <v>634</v>
      </c>
      <c r="D3264" s="4"/>
      <c r="E3264" s="4"/>
      <c r="F3264" s="4" t="s">
        <v>1759</v>
      </c>
      <c r="G3264" s="4" t="s">
        <v>336</v>
      </c>
      <c r="H3264" s="4" t="s">
        <v>289</v>
      </c>
      <c r="I3264" s="4">
        <v>0.23529411764705882</v>
      </c>
      <c r="J3264" s="21">
        <v>850</v>
      </c>
      <c r="K3264" s="21">
        <v>0</v>
      </c>
      <c r="L3264" s="5">
        <v>0</v>
      </c>
      <c r="M3264" s="4"/>
      <c r="N3264" s="4"/>
      <c r="O3264" s="5"/>
      <c r="P3264" s="5"/>
      <c r="Q3264" s="21">
        <v>200</v>
      </c>
      <c r="R3264" s="21">
        <v>0</v>
      </c>
      <c r="S3264" s="5">
        <f t="shared" si="203"/>
        <v>7074.4346351519998</v>
      </c>
      <c r="T3264" cm="1">
        <f t="array" ref="T3264">IF(OR(B3264="MAL ALIMI", B3264="ÜRETİM GİRİŞ"), MIN(I3264, MAX(0, I3264 + SUM(SUMIFS($I$1:I3263, $C$1:C3263, C3264, $B$1:B3263, {"MAL ALIMI","ÜRETİM GİRİŞ"})) - VLOOKUP(C3264, 'STOK RAPORU'!$C$2:$I$1000, 4, 0))), 0)</f>
        <v>0</v>
      </c>
      <c r="U3264" s="22">
        <f t="shared" si="200"/>
        <v>0</v>
      </c>
      <c r="V3264">
        <f t="shared" si="201"/>
        <v>0</v>
      </c>
      <c r="W3264" s="22">
        <f t="shared" si="202"/>
        <v>0</v>
      </c>
    </row>
    <row r="3265" spans="1:23" hidden="1" x14ac:dyDescent="0.25">
      <c r="A3265" s="3">
        <v>46039</v>
      </c>
      <c r="B3265" s="4" t="s">
        <v>334</v>
      </c>
      <c r="C3265" s="4" t="s">
        <v>241</v>
      </c>
      <c r="D3265" s="4"/>
      <c r="E3265" s="4"/>
      <c r="F3265" s="4" t="s">
        <v>1759</v>
      </c>
      <c r="G3265" s="4" t="s">
        <v>336</v>
      </c>
      <c r="H3265" s="4" t="s">
        <v>289</v>
      </c>
      <c r="I3265" s="4">
        <v>0.27906976744186046</v>
      </c>
      <c r="J3265" s="21">
        <v>430</v>
      </c>
      <c r="K3265" s="21">
        <v>0</v>
      </c>
      <c r="L3265" s="5">
        <v>0</v>
      </c>
      <c r="M3265" s="4"/>
      <c r="N3265" s="4"/>
      <c r="O3265" s="5"/>
      <c r="P3265" s="5"/>
      <c r="Q3265" s="21">
        <v>120</v>
      </c>
      <c r="R3265" s="21">
        <v>0</v>
      </c>
      <c r="S3265" s="5">
        <f t="shared" si="203"/>
        <v>7194.4346351519998</v>
      </c>
      <c r="T3265" cm="1">
        <f t="array" ref="T3265">IF(OR(B3265="MAL ALIMI", B3265="ÜRETİM GİRİŞ"), MIN(I3265, MAX(0, I3265 + SUM(SUMIFS($I$1:I3264, $C$1:C3264, C3265, $B$1:B3264, {"MAL ALIMI","ÜRETİM GİRİŞ"})) - VLOOKUP(C3265, 'STOK RAPORU'!$C$2:$I$1000, 4, 0))), 0)</f>
        <v>0</v>
      </c>
      <c r="U3265" s="22">
        <f t="shared" ref="U3265:U3328" si="204">T3265*J3265</f>
        <v>0</v>
      </c>
      <c r="V3265">
        <f t="shared" ref="V3265:V3328" si="205">IF(OR(B3265="MAL ALIMI", B3265="ÜRETİM GİRİŞ"), I3265 * J3265, 0)</f>
        <v>0</v>
      </c>
      <c r="W3265" s="22">
        <f t="shared" ref="W3265:W3328" si="206">V3265-U3265</f>
        <v>0</v>
      </c>
    </row>
    <row r="3266" spans="1:23" hidden="1" x14ac:dyDescent="0.25">
      <c r="A3266" s="3">
        <v>46039</v>
      </c>
      <c r="B3266" s="4" t="s">
        <v>334</v>
      </c>
      <c r="C3266" s="4" t="s">
        <v>224</v>
      </c>
      <c r="D3266" s="4"/>
      <c r="E3266" s="4"/>
      <c r="F3266" s="4" t="s">
        <v>1759</v>
      </c>
      <c r="G3266" s="4" t="s">
        <v>336</v>
      </c>
      <c r="H3266" s="4" t="s">
        <v>289</v>
      </c>
      <c r="I3266" s="4">
        <v>0.05</v>
      </c>
      <c r="J3266" s="21">
        <v>900</v>
      </c>
      <c r="K3266" s="21">
        <v>0</v>
      </c>
      <c r="L3266" s="5">
        <v>0</v>
      </c>
      <c r="M3266" s="4"/>
      <c r="N3266" s="4"/>
      <c r="O3266" s="5"/>
      <c r="P3266" s="5"/>
      <c r="Q3266" s="21">
        <v>45</v>
      </c>
      <c r="R3266" s="21">
        <v>0</v>
      </c>
      <c r="S3266" s="5">
        <f t="shared" si="203"/>
        <v>7239.4346351519998</v>
      </c>
      <c r="T3266" cm="1">
        <f t="array" ref="T3266">IF(OR(B3266="MAL ALIMI", B3266="ÜRETİM GİRİŞ"), MIN(I3266, MAX(0, I3266 + SUM(SUMIFS($I$1:I3265, $C$1:C3265, C3266, $B$1:B3265, {"MAL ALIMI","ÜRETİM GİRİŞ"})) - VLOOKUP(C3266, 'STOK RAPORU'!$C$2:$I$1000, 4, 0))), 0)</f>
        <v>0</v>
      </c>
      <c r="U3266" s="22">
        <f t="shared" si="204"/>
        <v>0</v>
      </c>
      <c r="V3266">
        <f t="shared" si="205"/>
        <v>0</v>
      </c>
      <c r="W3266" s="22">
        <f t="shared" si="206"/>
        <v>0</v>
      </c>
    </row>
    <row r="3267" spans="1:23" hidden="1" x14ac:dyDescent="0.25">
      <c r="A3267" s="3">
        <v>46039</v>
      </c>
      <c r="B3267" s="4" t="s">
        <v>334</v>
      </c>
      <c r="C3267" s="4" t="s">
        <v>60</v>
      </c>
      <c r="D3267" s="4"/>
      <c r="E3267" s="4"/>
      <c r="F3267" s="4" t="s">
        <v>1759</v>
      </c>
      <c r="G3267" s="4" t="s">
        <v>336</v>
      </c>
      <c r="H3267" s="4" t="s">
        <v>289</v>
      </c>
      <c r="I3267" s="4">
        <v>0.05</v>
      </c>
      <c r="J3267" s="21">
        <v>1200</v>
      </c>
      <c r="K3267" s="21">
        <v>0</v>
      </c>
      <c r="L3267" s="5">
        <v>0</v>
      </c>
      <c r="M3267" s="4"/>
      <c r="N3267" s="4"/>
      <c r="O3267" s="5"/>
      <c r="P3267" s="5"/>
      <c r="Q3267" s="21">
        <v>60</v>
      </c>
      <c r="R3267" s="21">
        <v>0</v>
      </c>
      <c r="S3267" s="5">
        <f t="shared" si="203"/>
        <v>7299.4346351519998</v>
      </c>
      <c r="T3267" cm="1">
        <f t="array" ref="T3267">IF(OR(B3267="MAL ALIMI", B3267="ÜRETİM GİRİŞ"), MIN(I3267, MAX(0, I3267 + SUM(SUMIFS($I$1:I3266, $C$1:C3266, C3267, $B$1:B3266, {"MAL ALIMI","ÜRETİM GİRİŞ"})) - VLOOKUP(C3267, 'STOK RAPORU'!$C$2:$I$1000, 4, 0))), 0)</f>
        <v>0</v>
      </c>
      <c r="U3267" s="22">
        <f t="shared" si="204"/>
        <v>0</v>
      </c>
      <c r="V3267">
        <f t="shared" si="205"/>
        <v>0</v>
      </c>
      <c r="W3267" s="22">
        <f t="shared" si="206"/>
        <v>0</v>
      </c>
    </row>
    <row r="3268" spans="1:23" hidden="1" x14ac:dyDescent="0.25">
      <c r="A3268" s="3">
        <v>46039</v>
      </c>
      <c r="B3268" s="4" t="s">
        <v>334</v>
      </c>
      <c r="C3268" s="4" t="s">
        <v>96</v>
      </c>
      <c r="D3268" s="4"/>
      <c r="E3268" s="4" t="s">
        <v>921</v>
      </c>
      <c r="F3268" s="4" t="s">
        <v>1760</v>
      </c>
      <c r="G3268" s="4" t="s">
        <v>336</v>
      </c>
      <c r="H3268" s="4" t="s">
        <v>380</v>
      </c>
      <c r="I3268" s="4">
        <v>0.2</v>
      </c>
      <c r="J3268" s="21">
        <v>380</v>
      </c>
      <c r="K3268" s="21">
        <v>76</v>
      </c>
      <c r="L3268" s="5">
        <v>0</v>
      </c>
      <c r="M3268" s="4"/>
      <c r="N3268" s="4"/>
      <c r="O3268" s="5"/>
      <c r="P3268" s="5"/>
      <c r="Q3268" s="21">
        <v>0</v>
      </c>
      <c r="R3268" s="21">
        <v>0</v>
      </c>
      <c r="S3268" s="5">
        <f t="shared" ref="S3268:S3331" si="207">S3267+Q3268-R3268</f>
        <v>7299.4346351519998</v>
      </c>
      <c r="T3268" cm="1">
        <f t="array" ref="T3268">IF(OR(B3268="MAL ALIMI", B3268="ÜRETİM GİRİŞ"), MIN(I3268, MAX(0, I3268 + SUM(SUMIFS($I$1:I3267, $C$1:C3267, C3268, $B$1:B3267, {"MAL ALIMI","ÜRETİM GİRİŞ"})) - VLOOKUP(C3268, 'STOK RAPORU'!$C$2:$I$1000, 4, 0))), 0)</f>
        <v>0</v>
      </c>
      <c r="U3268" s="22">
        <f t="shared" si="204"/>
        <v>0</v>
      </c>
      <c r="V3268">
        <f t="shared" si="205"/>
        <v>0</v>
      </c>
      <c r="W3268" s="22">
        <f t="shared" si="206"/>
        <v>0</v>
      </c>
    </row>
    <row r="3269" spans="1:23" hidden="1" x14ac:dyDescent="0.25">
      <c r="A3269" s="3">
        <v>46039</v>
      </c>
      <c r="B3269" s="4" t="s">
        <v>334</v>
      </c>
      <c r="C3269" s="4" t="s">
        <v>200</v>
      </c>
      <c r="D3269" s="4"/>
      <c r="E3269" s="4" t="s">
        <v>921</v>
      </c>
      <c r="F3269" s="4" t="s">
        <v>1760</v>
      </c>
      <c r="G3269" s="4" t="s">
        <v>336</v>
      </c>
      <c r="H3269" s="4" t="s">
        <v>380</v>
      </c>
      <c r="I3269" s="4">
        <v>0.25</v>
      </c>
      <c r="J3269" s="21">
        <v>380</v>
      </c>
      <c r="K3269" s="21">
        <v>95</v>
      </c>
      <c r="L3269" s="5">
        <v>0</v>
      </c>
      <c r="M3269" s="4"/>
      <c r="N3269" s="4"/>
      <c r="O3269" s="5"/>
      <c r="P3269" s="5"/>
      <c r="Q3269" s="21">
        <v>0</v>
      </c>
      <c r="R3269" s="21">
        <v>0</v>
      </c>
      <c r="S3269" s="5">
        <f t="shared" si="207"/>
        <v>7299.4346351519998</v>
      </c>
      <c r="T3269" cm="1">
        <f t="array" ref="T3269">IF(OR(B3269="MAL ALIMI", B3269="ÜRETİM GİRİŞ"), MIN(I3269, MAX(0, I3269 + SUM(SUMIFS($I$1:I3268, $C$1:C3268, C3269, $B$1:B3268, {"MAL ALIMI","ÜRETİM GİRİŞ"})) - VLOOKUP(C3269, 'STOK RAPORU'!$C$2:$I$1000, 4, 0))), 0)</f>
        <v>0</v>
      </c>
      <c r="U3269" s="22">
        <f t="shared" si="204"/>
        <v>0</v>
      </c>
      <c r="V3269">
        <f t="shared" si="205"/>
        <v>0</v>
      </c>
      <c r="W3269" s="22">
        <f t="shared" si="206"/>
        <v>0</v>
      </c>
    </row>
    <row r="3270" spans="1:23" hidden="1" x14ac:dyDescent="0.25">
      <c r="A3270" s="3">
        <v>46039</v>
      </c>
      <c r="B3270" s="4" t="s">
        <v>334</v>
      </c>
      <c r="C3270" s="46" t="s">
        <v>585</v>
      </c>
      <c r="D3270" s="4"/>
      <c r="E3270" s="4" t="s">
        <v>921</v>
      </c>
      <c r="F3270" s="4" t="s">
        <v>1760</v>
      </c>
      <c r="G3270" s="4" t="s">
        <v>336</v>
      </c>
      <c r="H3270" s="4" t="s">
        <v>380</v>
      </c>
      <c r="I3270" s="4">
        <v>1</v>
      </c>
      <c r="J3270" s="21">
        <v>200</v>
      </c>
      <c r="K3270" s="21">
        <v>200</v>
      </c>
      <c r="L3270" s="5">
        <v>0</v>
      </c>
      <c r="M3270" s="4"/>
      <c r="N3270" s="4"/>
      <c r="O3270" s="5"/>
      <c r="P3270" s="5"/>
      <c r="Q3270" s="21">
        <v>0</v>
      </c>
      <c r="R3270" s="21">
        <v>0</v>
      </c>
      <c r="S3270" s="5">
        <f t="shared" si="207"/>
        <v>7299.4346351519998</v>
      </c>
      <c r="T3270" cm="1">
        <f t="array" ref="T3270">IF(OR(B3270="MAL ALIMI", B3270="ÜRETİM GİRİŞ"), MIN(I3270, MAX(0, I3270 + SUM(SUMIFS($I$1:I3269, $C$1:C3269, C3270, $B$1:B3269, {"MAL ALIMI","ÜRETİM GİRİŞ"})) - VLOOKUP(C3270, 'STOK RAPORU'!$C$2:$I$1000, 4, 0))), 0)</f>
        <v>0</v>
      </c>
      <c r="U3270" s="22">
        <f t="shared" si="204"/>
        <v>0</v>
      </c>
      <c r="V3270">
        <f t="shared" si="205"/>
        <v>0</v>
      </c>
      <c r="W3270" s="22">
        <f t="shared" si="206"/>
        <v>0</v>
      </c>
    </row>
    <row r="3271" spans="1:23" hidden="1" x14ac:dyDescent="0.25">
      <c r="A3271" s="3">
        <v>46039</v>
      </c>
      <c r="B3271" s="4" t="s">
        <v>334</v>
      </c>
      <c r="C3271" s="4" t="s">
        <v>140</v>
      </c>
      <c r="D3271" s="4"/>
      <c r="E3271" s="4" t="s">
        <v>921</v>
      </c>
      <c r="F3271" s="4" t="s">
        <v>1760</v>
      </c>
      <c r="G3271" s="4" t="s">
        <v>336</v>
      </c>
      <c r="H3271" s="4" t="s">
        <v>380</v>
      </c>
      <c r="I3271" s="4">
        <v>0.124</v>
      </c>
      <c r="J3271" s="21">
        <v>300</v>
      </c>
      <c r="K3271" s="21">
        <v>37.200000000000003</v>
      </c>
      <c r="L3271" s="5">
        <v>0</v>
      </c>
      <c r="M3271" s="4"/>
      <c r="N3271" s="4"/>
      <c r="O3271" s="5"/>
      <c r="P3271" s="5"/>
      <c r="Q3271" s="21">
        <v>0</v>
      </c>
      <c r="R3271" s="21">
        <v>0</v>
      </c>
      <c r="S3271" s="5">
        <f t="shared" si="207"/>
        <v>7299.4346351519998</v>
      </c>
      <c r="T3271" cm="1">
        <f t="array" ref="T3271">IF(OR(B3271="MAL ALIMI", B3271="ÜRETİM GİRİŞ"), MIN(I3271, MAX(0, I3271 + SUM(SUMIFS($I$1:I3270, $C$1:C3270, C3271, $B$1:B3270, {"MAL ALIMI","ÜRETİM GİRİŞ"})) - VLOOKUP(C3271, 'STOK RAPORU'!$C$2:$I$1000, 4, 0))), 0)</f>
        <v>0</v>
      </c>
      <c r="U3271" s="22">
        <f t="shared" si="204"/>
        <v>0</v>
      </c>
      <c r="V3271">
        <f t="shared" si="205"/>
        <v>0</v>
      </c>
      <c r="W3271" s="22">
        <f t="shared" si="206"/>
        <v>0</v>
      </c>
    </row>
    <row r="3272" spans="1:23" hidden="1" x14ac:dyDescent="0.25">
      <c r="A3272" s="3">
        <v>46039</v>
      </c>
      <c r="B3272" s="4" t="s">
        <v>334</v>
      </c>
      <c r="C3272" s="4" t="s">
        <v>529</v>
      </c>
      <c r="D3272" s="4"/>
      <c r="E3272" s="4" t="s">
        <v>921</v>
      </c>
      <c r="F3272" s="4" t="s">
        <v>1760</v>
      </c>
      <c r="G3272" s="4" t="s">
        <v>336</v>
      </c>
      <c r="H3272" s="4" t="s">
        <v>380</v>
      </c>
      <c r="I3272" s="4">
        <v>0.1</v>
      </c>
      <c r="J3272" s="21">
        <v>600</v>
      </c>
      <c r="K3272" s="21">
        <v>60</v>
      </c>
      <c r="L3272" s="5">
        <v>0</v>
      </c>
      <c r="M3272" s="4"/>
      <c r="N3272" s="4"/>
      <c r="O3272" s="5"/>
      <c r="P3272" s="5"/>
      <c r="Q3272" s="21">
        <v>0</v>
      </c>
      <c r="R3272" s="21">
        <v>0</v>
      </c>
      <c r="S3272" s="5">
        <f t="shared" si="207"/>
        <v>7299.4346351519998</v>
      </c>
      <c r="T3272" cm="1">
        <f t="array" ref="T3272">IF(OR(B3272="MAL ALIMI", B3272="ÜRETİM GİRİŞ"), MIN(I3272, MAX(0, I3272 + SUM(SUMIFS($I$1:I3271, $C$1:C3271, C3272, $B$1:B3271, {"MAL ALIMI","ÜRETİM GİRİŞ"})) - VLOOKUP(C3272, 'STOK RAPORU'!$C$2:$I$1000, 4, 0))), 0)</f>
        <v>0</v>
      </c>
      <c r="U3272" s="22">
        <f t="shared" si="204"/>
        <v>0</v>
      </c>
      <c r="V3272">
        <f t="shared" si="205"/>
        <v>0</v>
      </c>
      <c r="W3272" s="22">
        <f t="shared" si="206"/>
        <v>0</v>
      </c>
    </row>
    <row r="3273" spans="1:23" hidden="1" x14ac:dyDescent="0.25">
      <c r="A3273" s="3">
        <v>46039</v>
      </c>
      <c r="B3273" s="4" t="s">
        <v>334</v>
      </c>
      <c r="C3273" s="4" t="s">
        <v>161</v>
      </c>
      <c r="D3273" s="4"/>
      <c r="E3273" s="4" t="s">
        <v>921</v>
      </c>
      <c r="F3273" s="4" t="s">
        <v>1760</v>
      </c>
      <c r="G3273" s="4" t="s">
        <v>336</v>
      </c>
      <c r="H3273" s="4" t="s">
        <v>380</v>
      </c>
      <c r="I3273" s="4">
        <v>1</v>
      </c>
      <c r="J3273" s="21">
        <v>230</v>
      </c>
      <c r="K3273" s="21">
        <v>230</v>
      </c>
      <c r="L3273" s="5">
        <v>0</v>
      </c>
      <c r="M3273" s="4"/>
      <c r="N3273" s="4"/>
      <c r="O3273" s="5"/>
      <c r="P3273" s="5"/>
      <c r="Q3273" s="21">
        <v>0</v>
      </c>
      <c r="R3273" s="21">
        <v>0</v>
      </c>
      <c r="S3273" s="5">
        <f t="shared" si="207"/>
        <v>7299.4346351519998</v>
      </c>
      <c r="T3273" cm="1">
        <f t="array" ref="T3273">IF(OR(B3273="MAL ALIMI", B3273="ÜRETİM GİRİŞ"), MIN(I3273, MAX(0, I3273 + SUM(SUMIFS($I$1:I3272, $C$1:C3272, C3273, $B$1:B3272, {"MAL ALIMI","ÜRETİM GİRİŞ"})) - VLOOKUP(C3273, 'STOK RAPORU'!$C$2:$I$1000, 4, 0))), 0)</f>
        <v>0</v>
      </c>
      <c r="U3273" s="22">
        <f t="shared" si="204"/>
        <v>0</v>
      </c>
      <c r="V3273">
        <f t="shared" si="205"/>
        <v>0</v>
      </c>
      <c r="W3273" s="22">
        <f t="shared" si="206"/>
        <v>0</v>
      </c>
    </row>
    <row r="3274" spans="1:23" hidden="1" x14ac:dyDescent="0.25">
      <c r="A3274" s="3">
        <v>46039</v>
      </c>
      <c r="B3274" s="4" t="s">
        <v>334</v>
      </c>
      <c r="C3274" s="4" t="s">
        <v>1391</v>
      </c>
      <c r="D3274" s="4"/>
      <c r="E3274" s="4"/>
      <c r="F3274" s="4" t="s">
        <v>1761</v>
      </c>
      <c r="G3274" s="4" t="s">
        <v>336</v>
      </c>
      <c r="H3274" s="4" t="s">
        <v>289</v>
      </c>
      <c r="I3274" s="4">
        <v>1</v>
      </c>
      <c r="J3274" s="21">
        <v>170</v>
      </c>
      <c r="K3274" s="21">
        <v>0</v>
      </c>
      <c r="L3274" s="5">
        <v>0</v>
      </c>
      <c r="M3274" s="4"/>
      <c r="N3274" s="4"/>
      <c r="O3274" s="5"/>
      <c r="P3274" s="5"/>
      <c r="Q3274" s="21">
        <v>170</v>
      </c>
      <c r="R3274" s="21">
        <v>0</v>
      </c>
      <c r="S3274" s="5">
        <f t="shared" si="207"/>
        <v>7469.4346351519998</v>
      </c>
      <c r="T3274" cm="1">
        <f t="array" ref="T3274">IF(OR(B3274="MAL ALIMI", B3274="ÜRETİM GİRİŞ"), MIN(I3274, MAX(0, I3274 + SUM(SUMIFS($I$1:I3273, $C$1:C3273, C3274, $B$1:B3273, {"MAL ALIMI","ÜRETİM GİRİŞ"})) - VLOOKUP(C3274, 'STOK RAPORU'!$C$2:$I$1000, 4, 0))), 0)</f>
        <v>0</v>
      </c>
      <c r="U3274" s="22">
        <f t="shared" si="204"/>
        <v>0</v>
      </c>
      <c r="V3274">
        <f t="shared" si="205"/>
        <v>0</v>
      </c>
      <c r="W3274" s="22">
        <f t="shared" si="206"/>
        <v>0</v>
      </c>
    </row>
    <row r="3275" spans="1:23" hidden="1" x14ac:dyDescent="0.25">
      <c r="A3275" s="3">
        <v>46039</v>
      </c>
      <c r="B3275" s="4" t="s">
        <v>334</v>
      </c>
      <c r="C3275" s="4" t="s">
        <v>266</v>
      </c>
      <c r="D3275" s="4"/>
      <c r="E3275" s="4"/>
      <c r="F3275" s="4" t="s">
        <v>1761</v>
      </c>
      <c r="G3275" s="4" t="s">
        <v>336</v>
      </c>
      <c r="H3275" s="4" t="s">
        <v>289</v>
      </c>
      <c r="I3275" s="4">
        <v>0.52</v>
      </c>
      <c r="J3275" s="21">
        <v>250</v>
      </c>
      <c r="K3275" s="21">
        <v>0</v>
      </c>
      <c r="L3275" s="5">
        <v>0</v>
      </c>
      <c r="M3275" s="4"/>
      <c r="N3275" s="4"/>
      <c r="O3275" s="5"/>
      <c r="P3275" s="5"/>
      <c r="Q3275" s="21">
        <v>130</v>
      </c>
      <c r="R3275" s="21">
        <v>0</v>
      </c>
      <c r="S3275" s="5">
        <f t="shared" si="207"/>
        <v>7599.4346351519998</v>
      </c>
      <c r="T3275" cm="1">
        <f t="array" ref="T3275">IF(OR(B3275="MAL ALIMI", B3275="ÜRETİM GİRİŞ"), MIN(I3275, MAX(0, I3275 + SUM(SUMIFS($I$1:I3274, $C$1:C3274, C3275, $B$1:B3274, {"MAL ALIMI","ÜRETİM GİRİŞ"})) - VLOOKUP(C3275, 'STOK RAPORU'!$C$2:$I$1000, 4, 0))), 0)</f>
        <v>0</v>
      </c>
      <c r="U3275" s="22">
        <f t="shared" si="204"/>
        <v>0</v>
      </c>
      <c r="V3275">
        <f t="shared" si="205"/>
        <v>0</v>
      </c>
      <c r="W3275" s="22">
        <f t="shared" si="206"/>
        <v>0</v>
      </c>
    </row>
    <row r="3276" spans="1:23" hidden="1" x14ac:dyDescent="0.25">
      <c r="A3276" s="3">
        <v>46039</v>
      </c>
      <c r="B3276" s="4" t="s">
        <v>334</v>
      </c>
      <c r="C3276" s="4" t="s">
        <v>1500</v>
      </c>
      <c r="D3276" s="4"/>
      <c r="E3276" s="4"/>
      <c r="F3276" s="4" t="s">
        <v>1762</v>
      </c>
      <c r="G3276" s="4" t="s">
        <v>336</v>
      </c>
      <c r="H3276" s="4" t="s">
        <v>289</v>
      </c>
      <c r="I3276" s="4">
        <v>1</v>
      </c>
      <c r="J3276" s="21">
        <v>300</v>
      </c>
      <c r="K3276" s="21">
        <v>0</v>
      </c>
      <c r="L3276" s="5">
        <v>0</v>
      </c>
      <c r="M3276" s="4"/>
      <c r="N3276" s="4"/>
      <c r="O3276" s="5"/>
      <c r="P3276" s="5"/>
      <c r="Q3276" s="21">
        <v>300</v>
      </c>
      <c r="R3276" s="21">
        <v>0</v>
      </c>
      <c r="S3276" s="5">
        <f t="shared" si="207"/>
        <v>7899.4346351519998</v>
      </c>
      <c r="T3276" cm="1">
        <f t="array" ref="T3276">IF(OR(B3276="MAL ALIMI", B3276="ÜRETİM GİRİŞ"), MIN(I3276, MAX(0, I3276 + SUM(SUMIFS($I$1:I3275, $C$1:C3275, C3276, $B$1:B3275, {"MAL ALIMI","ÜRETİM GİRİŞ"})) - VLOOKUP(C3276, 'STOK RAPORU'!$C$2:$I$1000, 4, 0))), 0)</f>
        <v>0</v>
      </c>
      <c r="U3276" s="22">
        <f t="shared" si="204"/>
        <v>0</v>
      </c>
      <c r="V3276">
        <f t="shared" si="205"/>
        <v>0</v>
      </c>
      <c r="W3276" s="22">
        <f t="shared" si="206"/>
        <v>0</v>
      </c>
    </row>
    <row r="3277" spans="1:23" hidden="1" x14ac:dyDescent="0.25">
      <c r="A3277" s="3">
        <v>46039</v>
      </c>
      <c r="B3277" s="4" t="s">
        <v>334</v>
      </c>
      <c r="C3277" s="4" t="s">
        <v>1636</v>
      </c>
      <c r="D3277" s="4"/>
      <c r="E3277" s="4"/>
      <c r="F3277" s="4" t="s">
        <v>1762</v>
      </c>
      <c r="G3277" s="4" t="s">
        <v>336</v>
      </c>
      <c r="H3277" s="4" t="s">
        <v>289</v>
      </c>
      <c r="I3277" s="4">
        <v>1</v>
      </c>
      <c r="J3277" s="21">
        <v>150</v>
      </c>
      <c r="K3277" s="21">
        <v>0</v>
      </c>
      <c r="L3277" s="5">
        <v>0</v>
      </c>
      <c r="M3277" s="4"/>
      <c r="N3277" s="4"/>
      <c r="O3277" s="5"/>
      <c r="P3277" s="5"/>
      <c r="Q3277" s="21">
        <v>150</v>
      </c>
      <c r="R3277" s="21">
        <v>0</v>
      </c>
      <c r="S3277" s="5">
        <f t="shared" si="207"/>
        <v>8049.4346351519998</v>
      </c>
      <c r="T3277" cm="1">
        <f t="array" ref="T3277">IF(OR(B3277="MAL ALIMI", B3277="ÜRETİM GİRİŞ"), MIN(I3277, MAX(0, I3277 + SUM(SUMIFS($I$1:I3276, $C$1:C3276, C3277, $B$1:B3276, {"MAL ALIMI","ÜRETİM GİRİŞ"})) - VLOOKUP(C3277, 'STOK RAPORU'!$C$2:$I$1000, 4, 0))), 0)</f>
        <v>0</v>
      </c>
      <c r="U3277" s="22">
        <f t="shared" si="204"/>
        <v>0</v>
      </c>
      <c r="V3277">
        <f t="shared" si="205"/>
        <v>0</v>
      </c>
      <c r="W3277" s="22">
        <f t="shared" si="206"/>
        <v>0</v>
      </c>
    </row>
    <row r="3278" spans="1:23" hidden="1" x14ac:dyDescent="0.25">
      <c r="A3278" s="3">
        <v>46039</v>
      </c>
      <c r="B3278" s="4" t="s">
        <v>334</v>
      </c>
      <c r="C3278" s="4" t="s">
        <v>1357</v>
      </c>
      <c r="D3278" s="4"/>
      <c r="E3278" s="4" t="s">
        <v>921</v>
      </c>
      <c r="F3278" s="4" t="s">
        <v>1763</v>
      </c>
      <c r="G3278" s="4" t="s">
        <v>336</v>
      </c>
      <c r="H3278" s="4" t="s">
        <v>380</v>
      </c>
      <c r="I3278" s="4">
        <v>1</v>
      </c>
      <c r="J3278" s="21">
        <v>570</v>
      </c>
      <c r="K3278" s="21">
        <v>570</v>
      </c>
      <c r="L3278" s="5">
        <v>0</v>
      </c>
      <c r="M3278" s="4"/>
      <c r="N3278" s="4"/>
      <c r="O3278" s="5"/>
      <c r="P3278" s="5"/>
      <c r="Q3278" s="21">
        <v>0</v>
      </c>
      <c r="R3278" s="21">
        <v>0</v>
      </c>
      <c r="S3278" s="5">
        <f t="shared" si="207"/>
        <v>8049.4346351519998</v>
      </c>
      <c r="T3278" cm="1">
        <f t="array" ref="T3278">IF(OR(B3278="MAL ALIMI", B3278="ÜRETİM GİRİŞ"), MIN(I3278, MAX(0, I3278 + SUM(SUMIFS($I$1:I3277, $C$1:C3277, C3278, $B$1:B3277, {"MAL ALIMI","ÜRETİM GİRİŞ"})) - VLOOKUP(C3278, 'STOK RAPORU'!$C$2:$I$1000, 4, 0))), 0)</f>
        <v>0</v>
      </c>
      <c r="U3278" s="22">
        <f t="shared" si="204"/>
        <v>0</v>
      </c>
      <c r="V3278">
        <f t="shared" si="205"/>
        <v>0</v>
      </c>
      <c r="W3278" s="22">
        <f t="shared" si="206"/>
        <v>0</v>
      </c>
    </row>
    <row r="3279" spans="1:23" hidden="1" x14ac:dyDescent="0.25">
      <c r="A3279" s="3">
        <v>46039</v>
      </c>
      <c r="B3279" s="4" t="s">
        <v>334</v>
      </c>
      <c r="C3279" s="4" t="s">
        <v>1041</v>
      </c>
      <c r="D3279" s="4"/>
      <c r="E3279" s="4" t="s">
        <v>921</v>
      </c>
      <c r="F3279" s="4" t="s">
        <v>1764</v>
      </c>
      <c r="G3279" s="4" t="s">
        <v>336</v>
      </c>
      <c r="H3279" s="4" t="s">
        <v>380</v>
      </c>
      <c r="I3279" s="4">
        <v>1</v>
      </c>
      <c r="J3279" s="21">
        <v>250</v>
      </c>
      <c r="K3279" s="21">
        <v>250</v>
      </c>
      <c r="L3279" s="5">
        <v>0</v>
      </c>
      <c r="M3279" s="4"/>
      <c r="N3279" s="4"/>
      <c r="O3279" s="5"/>
      <c r="P3279" s="5"/>
      <c r="Q3279" s="21">
        <v>0</v>
      </c>
      <c r="R3279" s="21">
        <v>0</v>
      </c>
      <c r="S3279" s="5">
        <f t="shared" si="207"/>
        <v>8049.4346351519998</v>
      </c>
      <c r="T3279" cm="1">
        <f t="array" ref="T3279">IF(OR(B3279="MAL ALIMI", B3279="ÜRETİM GİRİŞ"), MIN(I3279, MAX(0, I3279 + SUM(SUMIFS($I$1:I3278, $C$1:C3278, C3279, $B$1:B3278, {"MAL ALIMI","ÜRETİM GİRİŞ"})) - VLOOKUP(C3279, 'STOK RAPORU'!$C$2:$I$1000, 4, 0))), 0)</f>
        <v>0</v>
      </c>
      <c r="U3279" s="22">
        <f t="shared" si="204"/>
        <v>0</v>
      </c>
      <c r="V3279">
        <f t="shared" si="205"/>
        <v>0</v>
      </c>
      <c r="W3279" s="22">
        <f t="shared" si="206"/>
        <v>0</v>
      </c>
    </row>
    <row r="3280" spans="1:23" hidden="1" x14ac:dyDescent="0.25">
      <c r="A3280" s="3">
        <v>46039</v>
      </c>
      <c r="B3280" s="4" t="s">
        <v>334</v>
      </c>
      <c r="C3280" s="4" t="s">
        <v>691</v>
      </c>
      <c r="D3280" s="4"/>
      <c r="E3280" s="4" t="s">
        <v>921</v>
      </c>
      <c r="F3280" s="4" t="s">
        <v>1764</v>
      </c>
      <c r="G3280" s="4" t="s">
        <v>336</v>
      </c>
      <c r="H3280" s="4" t="s">
        <v>380</v>
      </c>
      <c r="I3280" s="4">
        <v>0.15217391304347827</v>
      </c>
      <c r="J3280" s="21">
        <v>230</v>
      </c>
      <c r="K3280" s="21">
        <v>35</v>
      </c>
      <c r="L3280" s="5">
        <v>0</v>
      </c>
      <c r="M3280" s="4"/>
      <c r="N3280" s="4"/>
      <c r="O3280" s="5"/>
      <c r="P3280" s="5"/>
      <c r="Q3280" s="21">
        <v>0</v>
      </c>
      <c r="R3280" s="21">
        <v>0</v>
      </c>
      <c r="S3280" s="5">
        <f t="shared" si="207"/>
        <v>8049.4346351519998</v>
      </c>
      <c r="T3280" cm="1">
        <f t="array" ref="T3280">IF(OR(B3280="MAL ALIMI", B3280="ÜRETİM GİRİŞ"), MIN(I3280, MAX(0, I3280 + SUM(SUMIFS($I$1:I3279, $C$1:C3279, C3280, $B$1:B3279, {"MAL ALIMI","ÜRETİM GİRİŞ"})) - VLOOKUP(C3280, 'STOK RAPORU'!$C$2:$I$1000, 4, 0))), 0)</f>
        <v>0</v>
      </c>
      <c r="U3280" s="22">
        <f t="shared" si="204"/>
        <v>0</v>
      </c>
      <c r="V3280">
        <f t="shared" si="205"/>
        <v>0</v>
      </c>
      <c r="W3280" s="22">
        <f t="shared" si="206"/>
        <v>0</v>
      </c>
    </row>
    <row r="3281" spans="1:23" hidden="1" x14ac:dyDescent="0.25">
      <c r="A3281" s="3">
        <v>46039</v>
      </c>
      <c r="B3281" s="4" t="s">
        <v>334</v>
      </c>
      <c r="C3281" s="4" t="s">
        <v>827</v>
      </c>
      <c r="D3281" s="4"/>
      <c r="E3281" s="4" t="s">
        <v>921</v>
      </c>
      <c r="F3281" s="4" t="s">
        <v>1765</v>
      </c>
      <c r="G3281" s="4" t="s">
        <v>336</v>
      </c>
      <c r="H3281" s="4" t="s">
        <v>380</v>
      </c>
      <c r="I3281" s="4">
        <v>1</v>
      </c>
      <c r="J3281" s="21">
        <v>130</v>
      </c>
      <c r="K3281" s="21">
        <v>130</v>
      </c>
      <c r="L3281" s="5">
        <v>0</v>
      </c>
      <c r="M3281" s="4"/>
      <c r="N3281" s="4"/>
      <c r="O3281" s="5"/>
      <c r="P3281" s="5"/>
      <c r="Q3281" s="21">
        <v>0</v>
      </c>
      <c r="R3281" s="21">
        <v>0</v>
      </c>
      <c r="S3281" s="5">
        <f t="shared" si="207"/>
        <v>8049.4346351519998</v>
      </c>
      <c r="T3281" cm="1">
        <f t="array" ref="T3281">IF(OR(B3281="MAL ALIMI", B3281="ÜRETİM GİRİŞ"), MIN(I3281, MAX(0, I3281 + SUM(SUMIFS($I$1:I3280, $C$1:C3280, C3281, $B$1:B3280, {"MAL ALIMI","ÜRETİM GİRİŞ"})) - VLOOKUP(C3281, 'STOK RAPORU'!$C$2:$I$1000, 4, 0))), 0)</f>
        <v>0</v>
      </c>
      <c r="U3281" s="22">
        <f t="shared" si="204"/>
        <v>0</v>
      </c>
      <c r="V3281">
        <f t="shared" si="205"/>
        <v>0</v>
      </c>
      <c r="W3281" s="22">
        <f t="shared" si="206"/>
        <v>0</v>
      </c>
    </row>
    <row r="3282" spans="1:23" hidden="1" x14ac:dyDescent="0.25">
      <c r="A3282" s="3">
        <v>46039</v>
      </c>
      <c r="B3282" s="4" t="s">
        <v>334</v>
      </c>
      <c r="C3282" s="4" t="s">
        <v>237</v>
      </c>
      <c r="D3282" s="4"/>
      <c r="E3282" s="4"/>
      <c r="F3282" s="4" t="s">
        <v>1766</v>
      </c>
      <c r="G3282" s="4" t="s">
        <v>336</v>
      </c>
      <c r="H3282" s="4" t="s">
        <v>289</v>
      </c>
      <c r="I3282" s="4">
        <v>0.04</v>
      </c>
      <c r="J3282" s="21">
        <v>1250</v>
      </c>
      <c r="K3282" s="21">
        <v>0</v>
      </c>
      <c r="L3282" s="5">
        <v>0</v>
      </c>
      <c r="M3282" s="4"/>
      <c r="N3282" s="4"/>
      <c r="O3282" s="5"/>
      <c r="P3282" s="5"/>
      <c r="Q3282" s="21">
        <v>50</v>
      </c>
      <c r="R3282" s="21">
        <v>0</v>
      </c>
      <c r="S3282" s="5">
        <f t="shared" si="207"/>
        <v>8099.4346351519998</v>
      </c>
      <c r="T3282" cm="1">
        <f t="array" ref="T3282">IF(OR(B3282="MAL ALIMI", B3282="ÜRETİM GİRİŞ"), MIN(I3282, MAX(0, I3282 + SUM(SUMIFS($I$1:I3281, $C$1:C3281, C3282, $B$1:B3281, {"MAL ALIMI","ÜRETİM GİRİŞ"})) - VLOOKUP(C3282, 'STOK RAPORU'!$C$2:$I$1000, 4, 0))), 0)</f>
        <v>0</v>
      </c>
      <c r="U3282" s="22">
        <f t="shared" si="204"/>
        <v>0</v>
      </c>
      <c r="V3282">
        <f t="shared" si="205"/>
        <v>0</v>
      </c>
      <c r="W3282" s="22">
        <f t="shared" si="206"/>
        <v>0</v>
      </c>
    </row>
    <row r="3283" spans="1:23" hidden="1" x14ac:dyDescent="0.25">
      <c r="A3283" s="3">
        <v>46039</v>
      </c>
      <c r="B3283" s="4" t="s">
        <v>334</v>
      </c>
      <c r="C3283" s="4" t="s">
        <v>1041</v>
      </c>
      <c r="D3283" s="4"/>
      <c r="E3283" s="4"/>
      <c r="F3283" s="4" t="s">
        <v>1766</v>
      </c>
      <c r="G3283" s="4" t="s">
        <v>336</v>
      </c>
      <c r="H3283" s="4" t="s">
        <v>289</v>
      </c>
      <c r="I3283" s="4">
        <v>2</v>
      </c>
      <c r="J3283" s="21">
        <v>250</v>
      </c>
      <c r="K3283" s="21">
        <v>0</v>
      </c>
      <c r="L3283" s="5">
        <v>0</v>
      </c>
      <c r="M3283" s="4"/>
      <c r="N3283" s="4"/>
      <c r="O3283" s="5"/>
      <c r="P3283" s="5"/>
      <c r="Q3283" s="21">
        <v>500</v>
      </c>
      <c r="R3283" s="21">
        <v>0</v>
      </c>
      <c r="S3283" s="5">
        <f t="shared" si="207"/>
        <v>8599.4346351519998</v>
      </c>
      <c r="T3283" cm="1">
        <f t="array" ref="T3283">IF(OR(B3283="MAL ALIMI", B3283="ÜRETİM GİRİŞ"), MIN(I3283, MAX(0, I3283 + SUM(SUMIFS($I$1:I3282, $C$1:C3282, C3283, $B$1:B3282, {"MAL ALIMI","ÜRETİM GİRİŞ"})) - VLOOKUP(C3283, 'STOK RAPORU'!$C$2:$I$1000, 4, 0))), 0)</f>
        <v>0</v>
      </c>
      <c r="U3283" s="22">
        <f t="shared" si="204"/>
        <v>0</v>
      </c>
      <c r="V3283">
        <f t="shared" si="205"/>
        <v>0</v>
      </c>
      <c r="W3283" s="22">
        <f t="shared" si="206"/>
        <v>0</v>
      </c>
    </row>
    <row r="3284" spans="1:23" hidden="1" x14ac:dyDescent="0.25">
      <c r="A3284" s="3">
        <v>46039</v>
      </c>
      <c r="B3284" s="4" t="s">
        <v>946</v>
      </c>
      <c r="C3284" s="4"/>
      <c r="D3284" s="4"/>
      <c r="E3284" s="4" t="s">
        <v>921</v>
      </c>
      <c r="F3284" s="4"/>
      <c r="G3284" s="4" t="s">
        <v>946</v>
      </c>
      <c r="H3284" s="4" t="s">
        <v>380</v>
      </c>
      <c r="I3284" s="4">
        <v>1</v>
      </c>
      <c r="J3284" s="105">
        <v>590</v>
      </c>
      <c r="K3284" s="21">
        <v>0</v>
      </c>
      <c r="L3284" s="102">
        <v>590</v>
      </c>
      <c r="M3284" s="4"/>
      <c r="N3284" s="4"/>
      <c r="O3284" s="5"/>
      <c r="P3284" s="5"/>
      <c r="Q3284" s="21">
        <v>590</v>
      </c>
      <c r="R3284" s="21">
        <v>0</v>
      </c>
      <c r="S3284" s="5">
        <f t="shared" si="207"/>
        <v>9189.4346351519998</v>
      </c>
      <c r="T3284" cm="1">
        <f t="array" ref="T3284">IF(OR(B3284="MAL ALIMI", B3284="ÜRETİM GİRİŞ"), MIN(I3284, MAX(0, I3284 + SUM(SUMIFS($I$1:I3283, $C$1:C3283, C3284, $B$1:B3283, {"MAL ALIMI","ÜRETİM GİRİŞ"})) - VLOOKUP(C3284, 'STOK RAPORU'!$C$2:$I$1000, 4, 0))), 0)</f>
        <v>0</v>
      </c>
      <c r="U3284" s="22">
        <f t="shared" si="204"/>
        <v>0</v>
      </c>
      <c r="V3284">
        <f t="shared" si="205"/>
        <v>0</v>
      </c>
      <c r="W3284" s="22">
        <f t="shared" si="206"/>
        <v>0</v>
      </c>
    </row>
    <row r="3285" spans="1:23" hidden="1" x14ac:dyDescent="0.25">
      <c r="A3285" s="3">
        <v>46039</v>
      </c>
      <c r="B3285" s="4" t="s">
        <v>946</v>
      </c>
      <c r="C3285" s="4"/>
      <c r="D3285" s="4"/>
      <c r="E3285" s="4" t="s">
        <v>921</v>
      </c>
      <c r="F3285" s="4"/>
      <c r="G3285" s="4" t="s">
        <v>946</v>
      </c>
      <c r="H3285" s="4" t="s">
        <v>380</v>
      </c>
      <c r="I3285" s="4">
        <v>1</v>
      </c>
      <c r="J3285" s="105">
        <v>1065</v>
      </c>
      <c r="K3285" s="21">
        <v>0</v>
      </c>
      <c r="L3285" s="102">
        <v>1065</v>
      </c>
      <c r="M3285" s="4"/>
      <c r="N3285" s="4"/>
      <c r="O3285" s="5"/>
      <c r="P3285" s="5"/>
      <c r="Q3285" s="21">
        <v>1065</v>
      </c>
      <c r="R3285" s="21">
        <v>0</v>
      </c>
      <c r="S3285" s="5">
        <f t="shared" si="207"/>
        <v>10254.434635152</v>
      </c>
      <c r="T3285" cm="1">
        <f t="array" ref="T3285">IF(OR(B3285="MAL ALIMI", B3285="ÜRETİM GİRİŞ"), MIN(I3285, MAX(0, I3285 + SUM(SUMIFS($I$1:I3284, $C$1:C3284, C3285, $B$1:B3284, {"MAL ALIMI","ÜRETİM GİRİŞ"})) - VLOOKUP(C3285, 'STOK RAPORU'!$C$2:$I$1000, 4, 0))), 0)</f>
        <v>0</v>
      </c>
      <c r="U3285" s="22">
        <f t="shared" si="204"/>
        <v>0</v>
      </c>
      <c r="V3285">
        <f t="shared" si="205"/>
        <v>0</v>
      </c>
      <c r="W3285" s="22">
        <f t="shared" si="206"/>
        <v>0</v>
      </c>
    </row>
    <row r="3286" spans="1:23" hidden="1" x14ac:dyDescent="0.25">
      <c r="A3286" s="3">
        <v>46040</v>
      </c>
      <c r="B3286" s="4" t="s">
        <v>334</v>
      </c>
      <c r="C3286" s="4" t="s">
        <v>728</v>
      </c>
      <c r="D3286" s="4"/>
      <c r="E3286" s="4" t="s">
        <v>921</v>
      </c>
      <c r="F3286" s="4" t="s">
        <v>1767</v>
      </c>
      <c r="G3286" s="4" t="s">
        <v>336</v>
      </c>
      <c r="H3286" s="4" t="s">
        <v>380</v>
      </c>
      <c r="I3286" s="4">
        <v>0.28999999999999998</v>
      </c>
      <c r="J3286" s="21">
        <v>690</v>
      </c>
      <c r="K3286" s="21">
        <v>200.1</v>
      </c>
      <c r="L3286" s="5">
        <v>0</v>
      </c>
      <c r="M3286" s="4"/>
      <c r="N3286" s="4"/>
      <c r="O3286" s="5"/>
      <c r="P3286" s="5"/>
      <c r="Q3286" s="21">
        <v>0</v>
      </c>
      <c r="R3286" s="21">
        <v>0</v>
      </c>
      <c r="S3286" s="5">
        <f t="shared" si="207"/>
        <v>10254.434635152</v>
      </c>
      <c r="T3286" cm="1">
        <f t="array" ref="T3286">IF(OR(B3286="MAL ALIMI", B3286="ÜRETİM GİRİŞ"), MIN(I3286, MAX(0, I3286 + SUM(SUMIFS($I$1:I3285, $C$1:C3285, C3286, $B$1:B3285, {"MAL ALIMI","ÜRETİM GİRİŞ"})) - VLOOKUP(C3286, 'STOK RAPORU'!$C$2:$I$1000, 4, 0))), 0)</f>
        <v>0</v>
      </c>
      <c r="U3286" s="22">
        <f t="shared" si="204"/>
        <v>0</v>
      </c>
      <c r="V3286">
        <f t="shared" si="205"/>
        <v>0</v>
      </c>
      <c r="W3286" s="22">
        <f t="shared" si="206"/>
        <v>0</v>
      </c>
    </row>
    <row r="3287" spans="1:23" hidden="1" x14ac:dyDescent="0.25">
      <c r="A3287" s="3">
        <v>46040</v>
      </c>
      <c r="B3287" s="4" t="s">
        <v>334</v>
      </c>
      <c r="C3287" s="4" t="s">
        <v>463</v>
      </c>
      <c r="D3287" s="4"/>
      <c r="E3287" s="4" t="s">
        <v>921</v>
      </c>
      <c r="F3287" s="4" t="s">
        <v>1767</v>
      </c>
      <c r="G3287" s="4" t="s">
        <v>336</v>
      </c>
      <c r="H3287" s="4" t="s">
        <v>380</v>
      </c>
      <c r="I3287" s="4">
        <v>9.6000000000000002E-2</v>
      </c>
      <c r="J3287" s="21">
        <v>370</v>
      </c>
      <c r="K3287" s="21">
        <v>35.520000000000003</v>
      </c>
      <c r="L3287" s="5">
        <v>0</v>
      </c>
      <c r="M3287" s="4"/>
      <c r="N3287" s="4"/>
      <c r="O3287" s="5"/>
      <c r="P3287" s="5"/>
      <c r="Q3287" s="21">
        <v>0</v>
      </c>
      <c r="R3287" s="21">
        <v>0</v>
      </c>
      <c r="S3287" s="5">
        <f t="shared" si="207"/>
        <v>10254.434635152</v>
      </c>
      <c r="T3287" cm="1">
        <f t="array" ref="T3287">IF(OR(B3287="MAL ALIMI", B3287="ÜRETİM GİRİŞ"), MIN(I3287, MAX(0, I3287 + SUM(SUMIFS($I$1:I3286, $C$1:C3286, C3287, $B$1:B3286, {"MAL ALIMI","ÜRETİM GİRİŞ"})) - VLOOKUP(C3287, 'STOK RAPORU'!$C$2:$I$1000, 4, 0))), 0)</f>
        <v>0</v>
      </c>
      <c r="U3287" s="22">
        <f t="shared" si="204"/>
        <v>0</v>
      </c>
      <c r="V3287">
        <f t="shared" si="205"/>
        <v>0</v>
      </c>
      <c r="W3287" s="22">
        <f t="shared" si="206"/>
        <v>0</v>
      </c>
    </row>
    <row r="3288" spans="1:23" hidden="1" x14ac:dyDescent="0.25">
      <c r="A3288" s="3">
        <v>46040</v>
      </c>
      <c r="B3288" s="4" t="s">
        <v>334</v>
      </c>
      <c r="C3288" s="4" t="s">
        <v>131</v>
      </c>
      <c r="D3288" s="4"/>
      <c r="E3288" s="4" t="s">
        <v>921</v>
      </c>
      <c r="F3288" s="4" t="s">
        <v>1767</v>
      </c>
      <c r="G3288" s="4" t="s">
        <v>336</v>
      </c>
      <c r="H3288" s="4" t="s">
        <v>380</v>
      </c>
      <c r="I3288" s="4">
        <v>3.4000000000000002E-2</v>
      </c>
      <c r="J3288" s="21">
        <v>400</v>
      </c>
      <c r="K3288" s="21">
        <v>13.600000000000001</v>
      </c>
      <c r="L3288" s="5">
        <v>0</v>
      </c>
      <c r="M3288" s="4"/>
      <c r="N3288" s="4"/>
      <c r="O3288" s="5"/>
      <c r="P3288" s="5"/>
      <c r="Q3288" s="21">
        <v>0</v>
      </c>
      <c r="R3288" s="21">
        <v>0</v>
      </c>
      <c r="S3288" s="5">
        <f t="shared" si="207"/>
        <v>10254.434635152</v>
      </c>
      <c r="T3288" cm="1">
        <f t="array" ref="T3288">IF(OR(B3288="MAL ALIMI", B3288="ÜRETİM GİRİŞ"), MIN(I3288, MAX(0, I3288 + SUM(SUMIFS($I$1:I3287, $C$1:C3287, C3288, $B$1:B3287, {"MAL ALIMI","ÜRETİM GİRİŞ"})) - VLOOKUP(C3288, 'STOK RAPORU'!$C$2:$I$1000, 4, 0))), 0)</f>
        <v>0</v>
      </c>
      <c r="U3288" s="22">
        <f t="shared" si="204"/>
        <v>0</v>
      </c>
      <c r="V3288">
        <f t="shared" si="205"/>
        <v>0</v>
      </c>
      <c r="W3288" s="22">
        <f t="shared" si="206"/>
        <v>0</v>
      </c>
    </row>
    <row r="3289" spans="1:23" hidden="1" x14ac:dyDescent="0.25">
      <c r="A3289" s="3">
        <v>46040</v>
      </c>
      <c r="B3289" s="4" t="s">
        <v>334</v>
      </c>
      <c r="C3289" s="4" t="s">
        <v>91</v>
      </c>
      <c r="D3289" s="4"/>
      <c r="E3289" s="4" t="s">
        <v>921</v>
      </c>
      <c r="F3289" s="4" t="s">
        <v>1767</v>
      </c>
      <c r="G3289" s="4" t="s">
        <v>336</v>
      </c>
      <c r="H3289" s="4" t="s">
        <v>380</v>
      </c>
      <c r="I3289" s="4">
        <v>1.7999999999999999E-2</v>
      </c>
      <c r="J3289" s="21">
        <v>760</v>
      </c>
      <c r="K3289" s="21">
        <v>13.68</v>
      </c>
      <c r="L3289" s="5">
        <v>0</v>
      </c>
      <c r="M3289" s="4"/>
      <c r="N3289" s="4"/>
      <c r="O3289" s="5"/>
      <c r="P3289" s="5"/>
      <c r="Q3289" s="21">
        <v>0</v>
      </c>
      <c r="R3289" s="21">
        <v>0</v>
      </c>
      <c r="S3289" s="5">
        <f t="shared" si="207"/>
        <v>10254.434635152</v>
      </c>
      <c r="T3289" cm="1">
        <f t="array" ref="T3289">IF(OR(B3289="MAL ALIMI", B3289="ÜRETİM GİRİŞ"), MIN(I3289, MAX(0, I3289 + SUM(SUMIFS($I$1:I3288, $C$1:C3288, C3289, $B$1:B3288, {"MAL ALIMI","ÜRETİM GİRİŞ"})) - VLOOKUP(C3289, 'STOK RAPORU'!$C$2:$I$1000, 4, 0))), 0)</f>
        <v>0</v>
      </c>
      <c r="U3289" s="22">
        <f t="shared" si="204"/>
        <v>0</v>
      </c>
      <c r="V3289">
        <f t="shared" si="205"/>
        <v>0</v>
      </c>
      <c r="W3289" s="22">
        <f t="shared" si="206"/>
        <v>0</v>
      </c>
    </row>
    <row r="3290" spans="1:23" hidden="1" x14ac:dyDescent="0.25">
      <c r="A3290" s="3">
        <v>46040</v>
      </c>
      <c r="B3290" s="4" t="s">
        <v>334</v>
      </c>
      <c r="C3290" s="4" t="s">
        <v>224</v>
      </c>
      <c r="D3290" s="4"/>
      <c r="E3290" s="4" t="s">
        <v>921</v>
      </c>
      <c r="F3290" s="4" t="s">
        <v>1767</v>
      </c>
      <c r="G3290" s="4" t="s">
        <v>336</v>
      </c>
      <c r="H3290" s="4" t="s">
        <v>380</v>
      </c>
      <c r="I3290" s="4">
        <v>0.05</v>
      </c>
      <c r="J3290" s="21">
        <v>800</v>
      </c>
      <c r="K3290" s="21">
        <v>40</v>
      </c>
      <c r="L3290" s="5">
        <v>0</v>
      </c>
      <c r="M3290" s="4"/>
      <c r="N3290" s="4"/>
      <c r="O3290" s="5"/>
      <c r="P3290" s="5"/>
      <c r="Q3290" s="21">
        <v>0</v>
      </c>
      <c r="R3290" s="21">
        <v>0</v>
      </c>
      <c r="S3290" s="5">
        <f t="shared" si="207"/>
        <v>10254.434635152</v>
      </c>
      <c r="T3290" cm="1">
        <f t="array" ref="T3290">IF(OR(B3290="MAL ALIMI", B3290="ÜRETİM GİRİŞ"), MIN(I3290, MAX(0, I3290 + SUM(SUMIFS($I$1:I3289, $C$1:C3289, C3290, $B$1:B3289, {"MAL ALIMI","ÜRETİM GİRİŞ"})) - VLOOKUP(C3290, 'STOK RAPORU'!$C$2:$I$1000, 4, 0))), 0)</f>
        <v>0</v>
      </c>
      <c r="U3290" s="22">
        <f t="shared" si="204"/>
        <v>0</v>
      </c>
      <c r="V3290">
        <f t="shared" si="205"/>
        <v>0</v>
      </c>
      <c r="W3290" s="22">
        <f t="shared" si="206"/>
        <v>0</v>
      </c>
    </row>
    <row r="3291" spans="1:23" hidden="1" x14ac:dyDescent="0.25">
      <c r="A3291" s="3">
        <v>46040</v>
      </c>
      <c r="B3291" s="4" t="s">
        <v>334</v>
      </c>
      <c r="C3291" s="4" t="s">
        <v>834</v>
      </c>
      <c r="D3291" s="4"/>
      <c r="E3291" s="4" t="s">
        <v>921</v>
      </c>
      <c r="F3291" s="4" t="s">
        <v>1767</v>
      </c>
      <c r="G3291" s="4" t="s">
        <v>336</v>
      </c>
      <c r="H3291" s="4" t="s">
        <v>380</v>
      </c>
      <c r="I3291" s="4">
        <v>1</v>
      </c>
      <c r="J3291" s="21">
        <v>110</v>
      </c>
      <c r="K3291" s="21">
        <v>110</v>
      </c>
      <c r="L3291" s="5">
        <v>0</v>
      </c>
      <c r="M3291" s="4"/>
      <c r="N3291" s="4"/>
      <c r="O3291" s="5"/>
      <c r="P3291" s="5"/>
      <c r="Q3291" s="21">
        <v>0</v>
      </c>
      <c r="R3291" s="21">
        <v>0</v>
      </c>
      <c r="S3291" s="5">
        <f t="shared" si="207"/>
        <v>10254.434635152</v>
      </c>
      <c r="T3291" cm="1">
        <f t="array" ref="T3291">IF(OR(B3291="MAL ALIMI", B3291="ÜRETİM GİRİŞ"), MIN(I3291, MAX(0, I3291 + SUM(SUMIFS($I$1:I3290, $C$1:C3290, C3291, $B$1:B3290, {"MAL ALIMI","ÜRETİM GİRİŞ"})) - VLOOKUP(C3291, 'STOK RAPORU'!$C$2:$I$1000, 4, 0))), 0)</f>
        <v>0</v>
      </c>
      <c r="U3291" s="22">
        <f t="shared" si="204"/>
        <v>0</v>
      </c>
      <c r="V3291">
        <f t="shared" si="205"/>
        <v>0</v>
      </c>
      <c r="W3291" s="22">
        <f t="shared" si="206"/>
        <v>0</v>
      </c>
    </row>
    <row r="3292" spans="1:23" hidden="1" x14ac:dyDescent="0.25">
      <c r="A3292" s="3">
        <v>46040</v>
      </c>
      <c r="B3292" s="4" t="s">
        <v>334</v>
      </c>
      <c r="C3292" s="4" t="s">
        <v>266</v>
      </c>
      <c r="D3292" s="4"/>
      <c r="E3292" s="4" t="s">
        <v>921</v>
      </c>
      <c r="F3292" s="4" t="s">
        <v>1767</v>
      </c>
      <c r="G3292" s="4" t="s">
        <v>336</v>
      </c>
      <c r="H3292" s="4" t="s">
        <v>380</v>
      </c>
      <c r="I3292" s="4">
        <v>0.35199999999999998</v>
      </c>
      <c r="J3292" s="21">
        <v>250</v>
      </c>
      <c r="K3292" s="21">
        <v>88</v>
      </c>
      <c r="L3292" s="5">
        <v>0</v>
      </c>
      <c r="M3292" s="4"/>
      <c r="N3292" s="4"/>
      <c r="O3292" s="5"/>
      <c r="P3292" s="5"/>
      <c r="Q3292" s="21">
        <v>0</v>
      </c>
      <c r="R3292" s="21">
        <v>0</v>
      </c>
      <c r="S3292" s="5">
        <f t="shared" si="207"/>
        <v>10254.434635152</v>
      </c>
      <c r="T3292" cm="1">
        <f t="array" ref="T3292">IF(OR(B3292="MAL ALIMI", B3292="ÜRETİM GİRİŞ"), MIN(I3292, MAX(0, I3292 + SUM(SUMIFS($I$1:I3291, $C$1:C3291, C3292, $B$1:B3291, {"MAL ALIMI","ÜRETİM GİRİŞ"})) - VLOOKUP(C3292, 'STOK RAPORU'!$C$2:$I$1000, 4, 0))), 0)</f>
        <v>0</v>
      </c>
      <c r="U3292" s="22">
        <f t="shared" si="204"/>
        <v>0</v>
      </c>
      <c r="V3292">
        <f t="shared" si="205"/>
        <v>0</v>
      </c>
      <c r="W3292" s="22">
        <f t="shared" si="206"/>
        <v>0</v>
      </c>
    </row>
    <row r="3293" spans="1:23" hidden="1" x14ac:dyDescent="0.25">
      <c r="A3293" s="3">
        <v>46040</v>
      </c>
      <c r="B3293" s="4" t="s">
        <v>334</v>
      </c>
      <c r="C3293" s="4" t="s">
        <v>192</v>
      </c>
      <c r="D3293" s="4"/>
      <c r="E3293" s="4" t="s">
        <v>921</v>
      </c>
      <c r="F3293" s="4" t="s">
        <v>1768</v>
      </c>
      <c r="G3293" s="4" t="s">
        <v>336</v>
      </c>
      <c r="H3293" s="4" t="s">
        <v>380</v>
      </c>
      <c r="I3293" s="4">
        <v>9.6000000000000002E-2</v>
      </c>
      <c r="J3293" s="21">
        <v>420</v>
      </c>
      <c r="K3293" s="21">
        <v>40.32</v>
      </c>
      <c r="L3293" s="5">
        <v>0</v>
      </c>
      <c r="M3293" s="4"/>
      <c r="N3293" s="4"/>
      <c r="O3293" s="5"/>
      <c r="P3293" s="5"/>
      <c r="Q3293" s="21">
        <v>0</v>
      </c>
      <c r="R3293" s="21">
        <v>0</v>
      </c>
      <c r="S3293" s="5">
        <f t="shared" si="207"/>
        <v>10254.434635152</v>
      </c>
      <c r="T3293" cm="1">
        <f t="array" ref="T3293">IF(OR(B3293="MAL ALIMI", B3293="ÜRETİM GİRİŞ"), MIN(I3293, MAX(0, I3293 + SUM(SUMIFS($I$1:I3292, $C$1:C3292, C3293, $B$1:B3292, {"MAL ALIMI","ÜRETİM GİRİŞ"})) - VLOOKUP(C3293, 'STOK RAPORU'!$C$2:$I$1000, 4, 0))), 0)</f>
        <v>0</v>
      </c>
      <c r="U3293" s="22">
        <f t="shared" si="204"/>
        <v>0</v>
      </c>
      <c r="V3293">
        <f t="shared" si="205"/>
        <v>0</v>
      </c>
      <c r="W3293" s="22">
        <f t="shared" si="206"/>
        <v>0</v>
      </c>
    </row>
    <row r="3294" spans="1:23" hidden="1" x14ac:dyDescent="0.25">
      <c r="A3294" s="45">
        <v>46040</v>
      </c>
      <c r="B3294" s="46" t="s">
        <v>334</v>
      </c>
      <c r="C3294" s="46" t="s">
        <v>585</v>
      </c>
      <c r="D3294" s="46"/>
      <c r="E3294" s="46"/>
      <c r="F3294" s="46" t="s">
        <v>1769</v>
      </c>
      <c r="G3294" s="46" t="s">
        <v>1771</v>
      </c>
      <c r="H3294" s="46" t="s">
        <v>289</v>
      </c>
      <c r="I3294" s="46">
        <v>2</v>
      </c>
      <c r="J3294" s="47">
        <v>200</v>
      </c>
      <c r="K3294" s="47">
        <v>0</v>
      </c>
      <c r="L3294" s="48">
        <v>0</v>
      </c>
      <c r="M3294" s="46"/>
      <c r="N3294" s="46"/>
      <c r="O3294" s="48"/>
      <c r="P3294" s="48"/>
      <c r="Q3294" s="47">
        <v>400</v>
      </c>
      <c r="R3294" s="47">
        <v>0</v>
      </c>
      <c r="S3294" s="5">
        <f t="shared" si="207"/>
        <v>10654.434635152</v>
      </c>
      <c r="T3294" cm="1">
        <f t="array" ref="T3294">IF(OR(B3294="MAL ALIMI", B3294="ÜRETİM GİRİŞ"), MIN(I3294, MAX(0, I3294 + SUM(SUMIFS($I$1:I3293, $C$1:C3293, C3294, $B$1:B3293, {"MAL ALIMI","ÜRETİM GİRİŞ"})) - VLOOKUP(C3294, 'STOK RAPORU'!$C$2:$I$1000, 4, 0))), 0)</f>
        <v>0</v>
      </c>
      <c r="U3294" s="22">
        <f t="shared" si="204"/>
        <v>0</v>
      </c>
      <c r="V3294">
        <f t="shared" si="205"/>
        <v>0</v>
      </c>
      <c r="W3294" s="22">
        <f t="shared" si="206"/>
        <v>0</v>
      </c>
    </row>
    <row r="3295" spans="1:23" hidden="1" x14ac:dyDescent="0.25">
      <c r="A3295" s="45">
        <v>46040</v>
      </c>
      <c r="B3295" s="46" t="s">
        <v>334</v>
      </c>
      <c r="C3295" s="4" t="s">
        <v>587</v>
      </c>
      <c r="D3295" s="46"/>
      <c r="E3295" s="46"/>
      <c r="F3295" s="46" t="s">
        <v>1769</v>
      </c>
      <c r="G3295" s="46" t="s">
        <v>1771</v>
      </c>
      <c r="H3295" s="46" t="s">
        <v>289</v>
      </c>
      <c r="I3295" s="46">
        <v>2</v>
      </c>
      <c r="J3295" s="47">
        <v>150</v>
      </c>
      <c r="K3295" s="47">
        <v>0</v>
      </c>
      <c r="L3295" s="48">
        <v>0</v>
      </c>
      <c r="M3295" s="46"/>
      <c r="N3295" s="46"/>
      <c r="O3295" s="48"/>
      <c r="P3295" s="48"/>
      <c r="Q3295" s="47">
        <v>300</v>
      </c>
      <c r="R3295" s="47">
        <v>0</v>
      </c>
      <c r="S3295" s="5">
        <f t="shared" si="207"/>
        <v>10954.434635152</v>
      </c>
      <c r="T3295" cm="1">
        <f t="array" ref="T3295">IF(OR(B3295="MAL ALIMI", B3295="ÜRETİM GİRİŞ"), MIN(I3295, MAX(0, I3295 + SUM(SUMIFS($I$1:I3294, $C$1:C3294, C3295, $B$1:B3294, {"MAL ALIMI","ÜRETİM GİRİŞ"})) - VLOOKUP(C3295, 'STOK RAPORU'!$C$2:$I$1000, 4, 0))), 0)</f>
        <v>0</v>
      </c>
      <c r="U3295" s="22">
        <f t="shared" si="204"/>
        <v>0</v>
      </c>
      <c r="V3295">
        <f t="shared" si="205"/>
        <v>0</v>
      </c>
      <c r="W3295" s="22">
        <f t="shared" si="206"/>
        <v>0</v>
      </c>
    </row>
    <row r="3296" spans="1:23" hidden="1" x14ac:dyDescent="0.25">
      <c r="A3296" s="45">
        <v>46040</v>
      </c>
      <c r="B3296" s="46" t="s">
        <v>334</v>
      </c>
      <c r="C3296" s="46" t="s">
        <v>1501</v>
      </c>
      <c r="D3296" s="46"/>
      <c r="E3296" s="46"/>
      <c r="F3296" s="46" t="s">
        <v>1770</v>
      </c>
      <c r="G3296" s="46" t="s">
        <v>1772</v>
      </c>
      <c r="H3296" s="46" t="s">
        <v>289</v>
      </c>
      <c r="I3296" s="46">
        <v>13</v>
      </c>
      <c r="J3296" s="47">
        <v>600</v>
      </c>
      <c r="K3296" s="47">
        <v>0</v>
      </c>
      <c r="L3296" s="48">
        <v>0</v>
      </c>
      <c r="M3296" s="46"/>
      <c r="N3296" s="46"/>
      <c r="O3296" s="48"/>
      <c r="P3296" s="48"/>
      <c r="Q3296" s="47">
        <v>7800</v>
      </c>
      <c r="R3296" s="47">
        <v>0</v>
      </c>
      <c r="S3296" s="5">
        <f t="shared" si="207"/>
        <v>18754.434635152</v>
      </c>
      <c r="T3296" cm="1">
        <f t="array" ref="T3296">IF(OR(B3296="MAL ALIMI", B3296="ÜRETİM GİRİŞ"), MIN(I3296, MAX(0, I3296 + SUM(SUMIFS($I$1:I3295, $C$1:C3295, C3296, $B$1:B3295, {"MAL ALIMI","ÜRETİM GİRİŞ"})) - VLOOKUP(C3296, 'STOK RAPORU'!$C$2:$I$1000, 4, 0))), 0)</f>
        <v>0</v>
      </c>
      <c r="U3296" s="22">
        <f t="shared" si="204"/>
        <v>0</v>
      </c>
      <c r="V3296">
        <f t="shared" si="205"/>
        <v>0</v>
      </c>
      <c r="W3296" s="22">
        <f t="shared" si="206"/>
        <v>0</v>
      </c>
    </row>
    <row r="3297" spans="1:23" hidden="1" x14ac:dyDescent="0.25">
      <c r="A3297" s="45">
        <v>46040</v>
      </c>
      <c r="B3297" s="46" t="s">
        <v>334</v>
      </c>
      <c r="C3297" s="46" t="s">
        <v>182</v>
      </c>
      <c r="D3297" s="46"/>
      <c r="E3297" s="46"/>
      <c r="F3297" s="46" t="s">
        <v>1773</v>
      </c>
      <c r="G3297" s="46" t="s">
        <v>1774</v>
      </c>
      <c r="H3297" s="46" t="s">
        <v>289</v>
      </c>
      <c r="I3297" s="46">
        <v>1</v>
      </c>
      <c r="J3297" s="47">
        <v>190</v>
      </c>
      <c r="K3297" s="47">
        <v>0</v>
      </c>
      <c r="L3297" s="48">
        <v>0</v>
      </c>
      <c r="M3297" s="46"/>
      <c r="N3297" s="46"/>
      <c r="O3297" s="48"/>
      <c r="P3297" s="48"/>
      <c r="Q3297" s="47">
        <v>190</v>
      </c>
      <c r="R3297" s="47">
        <v>0</v>
      </c>
      <c r="S3297" s="5">
        <f t="shared" si="207"/>
        <v>18944.434635152</v>
      </c>
      <c r="T3297" cm="1">
        <f t="array" ref="T3297">IF(OR(B3297="MAL ALIMI", B3297="ÜRETİM GİRİŞ"), MIN(I3297, MAX(0, I3297 + SUM(SUMIFS($I$1:I3296, $C$1:C3296, C3297, $B$1:B3296, {"MAL ALIMI","ÜRETİM GİRİŞ"})) - VLOOKUP(C3297, 'STOK RAPORU'!$C$2:$I$1000, 4, 0))), 0)</f>
        <v>0</v>
      </c>
      <c r="U3297" s="22">
        <f t="shared" si="204"/>
        <v>0</v>
      </c>
      <c r="V3297">
        <f t="shared" si="205"/>
        <v>0</v>
      </c>
      <c r="W3297" s="22">
        <f t="shared" si="206"/>
        <v>0</v>
      </c>
    </row>
    <row r="3298" spans="1:23" hidden="1" x14ac:dyDescent="0.25">
      <c r="A3298" s="45">
        <v>46040</v>
      </c>
      <c r="B3298" s="46" t="s">
        <v>334</v>
      </c>
      <c r="C3298" s="46" t="s">
        <v>822</v>
      </c>
      <c r="D3298" s="46"/>
      <c r="E3298" s="46"/>
      <c r="F3298" s="46" t="s">
        <v>1773</v>
      </c>
      <c r="G3298" s="46" t="s">
        <v>1774</v>
      </c>
      <c r="H3298" s="46" t="s">
        <v>289</v>
      </c>
      <c r="I3298" s="46">
        <v>1</v>
      </c>
      <c r="J3298" s="47">
        <v>170</v>
      </c>
      <c r="K3298" s="47">
        <v>0</v>
      </c>
      <c r="L3298" s="48">
        <v>0</v>
      </c>
      <c r="M3298" s="46"/>
      <c r="N3298" s="46"/>
      <c r="O3298" s="48"/>
      <c r="P3298" s="48"/>
      <c r="Q3298" s="47">
        <v>170</v>
      </c>
      <c r="R3298" s="47">
        <v>0</v>
      </c>
      <c r="S3298" s="5">
        <f t="shared" si="207"/>
        <v>19114.434635152</v>
      </c>
      <c r="T3298" cm="1">
        <f t="array" ref="T3298">IF(OR(B3298="MAL ALIMI", B3298="ÜRETİM GİRİŞ"), MIN(I3298, MAX(0, I3298 + SUM(SUMIFS($I$1:I3297, $C$1:C3297, C3298, $B$1:B3297, {"MAL ALIMI","ÜRETİM GİRİŞ"})) - VLOOKUP(C3298, 'STOK RAPORU'!$C$2:$I$1000, 4, 0))), 0)</f>
        <v>0</v>
      </c>
      <c r="U3298" s="22">
        <f t="shared" si="204"/>
        <v>0</v>
      </c>
      <c r="V3298">
        <f t="shared" si="205"/>
        <v>0</v>
      </c>
      <c r="W3298" s="22">
        <f t="shared" si="206"/>
        <v>0</v>
      </c>
    </row>
    <row r="3299" spans="1:23" hidden="1" x14ac:dyDescent="0.25">
      <c r="A3299" s="45">
        <v>46040</v>
      </c>
      <c r="B3299" s="46" t="s">
        <v>334</v>
      </c>
      <c r="C3299" s="46" t="s">
        <v>835</v>
      </c>
      <c r="D3299" s="46"/>
      <c r="E3299" s="46"/>
      <c r="F3299" s="46" t="s">
        <v>1773</v>
      </c>
      <c r="G3299" s="46" t="s">
        <v>1774</v>
      </c>
      <c r="H3299" s="46" t="s">
        <v>289</v>
      </c>
      <c r="I3299" s="46">
        <v>1</v>
      </c>
      <c r="J3299" s="47">
        <v>130</v>
      </c>
      <c r="K3299" s="47">
        <v>0</v>
      </c>
      <c r="L3299" s="48">
        <v>0</v>
      </c>
      <c r="M3299" s="46"/>
      <c r="N3299" s="46"/>
      <c r="O3299" s="48"/>
      <c r="P3299" s="48"/>
      <c r="Q3299" s="47">
        <v>130</v>
      </c>
      <c r="R3299" s="47">
        <v>0</v>
      </c>
      <c r="S3299" s="5">
        <f t="shared" si="207"/>
        <v>19244.434635152</v>
      </c>
      <c r="T3299" cm="1">
        <f t="array" ref="T3299">IF(OR(B3299="MAL ALIMI", B3299="ÜRETİM GİRİŞ"), MIN(I3299, MAX(0, I3299 + SUM(SUMIFS($I$1:I3298, $C$1:C3298, C3299, $B$1:B3298, {"MAL ALIMI","ÜRETİM GİRİŞ"})) - VLOOKUP(C3299, 'STOK RAPORU'!$C$2:$I$1000, 4, 0))), 0)</f>
        <v>0</v>
      </c>
      <c r="U3299" s="22">
        <f t="shared" si="204"/>
        <v>0</v>
      </c>
      <c r="V3299">
        <f t="shared" si="205"/>
        <v>0</v>
      </c>
      <c r="W3299" s="22">
        <f t="shared" si="206"/>
        <v>0</v>
      </c>
    </row>
    <row r="3300" spans="1:23" hidden="1" x14ac:dyDescent="0.25">
      <c r="A3300" s="45">
        <v>46040</v>
      </c>
      <c r="B3300" s="46" t="s">
        <v>334</v>
      </c>
      <c r="C3300" s="46" t="s">
        <v>249</v>
      </c>
      <c r="D3300" s="46"/>
      <c r="E3300" s="46"/>
      <c r="F3300" s="46" t="s">
        <v>1775</v>
      </c>
      <c r="G3300" s="46" t="s">
        <v>1776</v>
      </c>
      <c r="H3300" s="46" t="s">
        <v>289</v>
      </c>
      <c r="I3300" s="46">
        <v>0.1</v>
      </c>
      <c r="J3300" s="47">
        <v>900</v>
      </c>
      <c r="K3300" s="47">
        <v>0</v>
      </c>
      <c r="L3300" s="48">
        <v>0</v>
      </c>
      <c r="M3300" s="46"/>
      <c r="N3300" s="46"/>
      <c r="O3300" s="48"/>
      <c r="P3300" s="48"/>
      <c r="Q3300" s="47">
        <v>90</v>
      </c>
      <c r="R3300" s="47">
        <v>0</v>
      </c>
      <c r="S3300" s="5">
        <f t="shared" si="207"/>
        <v>19334.434635152</v>
      </c>
      <c r="T3300" cm="1">
        <f t="array" ref="T3300">IF(OR(B3300="MAL ALIMI", B3300="ÜRETİM GİRİŞ"), MIN(I3300, MAX(0, I3300 + SUM(SUMIFS($I$1:I3299, $C$1:C3299, C3300, $B$1:B3299, {"MAL ALIMI","ÜRETİM GİRİŞ"})) - VLOOKUP(C3300, 'STOK RAPORU'!$C$2:$I$1000, 4, 0))), 0)</f>
        <v>0</v>
      </c>
      <c r="U3300" s="22">
        <f t="shared" si="204"/>
        <v>0</v>
      </c>
      <c r="V3300">
        <f t="shared" si="205"/>
        <v>0</v>
      </c>
      <c r="W3300" s="22">
        <f t="shared" si="206"/>
        <v>0</v>
      </c>
    </row>
    <row r="3301" spans="1:23" hidden="1" x14ac:dyDescent="0.25">
      <c r="A3301" s="45">
        <v>46040</v>
      </c>
      <c r="B3301" s="46" t="s">
        <v>334</v>
      </c>
      <c r="C3301" s="46" t="s">
        <v>835</v>
      </c>
      <c r="D3301" s="46"/>
      <c r="E3301" s="46"/>
      <c r="F3301" s="46" t="s">
        <v>1777</v>
      </c>
      <c r="G3301" s="46" t="s">
        <v>1776</v>
      </c>
      <c r="H3301" s="46" t="s">
        <v>289</v>
      </c>
      <c r="I3301" s="46">
        <v>1</v>
      </c>
      <c r="J3301" s="47">
        <v>130</v>
      </c>
      <c r="K3301" s="47">
        <v>0</v>
      </c>
      <c r="L3301" s="48">
        <v>0</v>
      </c>
      <c r="M3301" s="46"/>
      <c r="N3301" s="46"/>
      <c r="O3301" s="48"/>
      <c r="P3301" s="48"/>
      <c r="Q3301" s="47">
        <v>130</v>
      </c>
      <c r="R3301" s="47">
        <v>0</v>
      </c>
      <c r="S3301" s="5">
        <f t="shared" si="207"/>
        <v>19464.434635152</v>
      </c>
      <c r="T3301" cm="1">
        <f t="array" ref="T3301">IF(OR(B3301="MAL ALIMI", B3301="ÜRETİM GİRİŞ"), MIN(I3301, MAX(0, I3301 + SUM(SUMIFS($I$1:I3300, $C$1:C3300, C3301, $B$1:B3300, {"MAL ALIMI","ÜRETİM GİRİŞ"})) - VLOOKUP(C3301, 'STOK RAPORU'!$C$2:$I$1000, 4, 0))), 0)</f>
        <v>0</v>
      </c>
      <c r="U3301" s="22">
        <f t="shared" si="204"/>
        <v>0</v>
      </c>
      <c r="V3301">
        <f t="shared" si="205"/>
        <v>0</v>
      </c>
      <c r="W3301" s="22">
        <f t="shared" si="206"/>
        <v>0</v>
      </c>
    </row>
    <row r="3302" spans="1:23" hidden="1" x14ac:dyDescent="0.25">
      <c r="A3302" s="45">
        <v>46040</v>
      </c>
      <c r="B3302" s="46" t="s">
        <v>334</v>
      </c>
      <c r="C3302" s="46" t="s">
        <v>195</v>
      </c>
      <c r="D3302" s="46"/>
      <c r="E3302" s="46"/>
      <c r="F3302" s="46" t="s">
        <v>1778</v>
      </c>
      <c r="G3302" s="46" t="s">
        <v>1776</v>
      </c>
      <c r="H3302" s="46" t="s">
        <v>289</v>
      </c>
      <c r="I3302" s="46">
        <v>0.1</v>
      </c>
      <c r="J3302" s="47">
        <v>1000</v>
      </c>
      <c r="K3302" s="47">
        <v>0</v>
      </c>
      <c r="L3302" s="48">
        <v>0</v>
      </c>
      <c r="M3302" s="46"/>
      <c r="N3302" s="46"/>
      <c r="O3302" s="48"/>
      <c r="P3302" s="48"/>
      <c r="Q3302" s="47">
        <v>100</v>
      </c>
      <c r="R3302" s="47">
        <v>0</v>
      </c>
      <c r="S3302" s="5">
        <f t="shared" si="207"/>
        <v>19564.434635152</v>
      </c>
      <c r="T3302" cm="1">
        <f t="array" ref="T3302">IF(OR(B3302="MAL ALIMI", B3302="ÜRETİM GİRİŞ"), MIN(I3302, MAX(0, I3302 + SUM(SUMIFS($I$1:I3301, $C$1:C3301, C3302, $B$1:B3301, {"MAL ALIMI","ÜRETİM GİRİŞ"})) - VLOOKUP(C3302, 'STOK RAPORU'!$C$2:$I$1000, 4, 0))), 0)</f>
        <v>0</v>
      </c>
      <c r="U3302" s="22">
        <f t="shared" si="204"/>
        <v>0</v>
      </c>
      <c r="V3302">
        <f t="shared" si="205"/>
        <v>0</v>
      </c>
      <c r="W3302" s="22">
        <f t="shared" si="206"/>
        <v>0</v>
      </c>
    </row>
    <row r="3303" spans="1:23" hidden="1" x14ac:dyDescent="0.25">
      <c r="A3303" s="45">
        <v>46040</v>
      </c>
      <c r="B3303" s="46" t="s">
        <v>334</v>
      </c>
      <c r="C3303" s="46" t="s">
        <v>204</v>
      </c>
      <c r="D3303" s="46"/>
      <c r="E3303" s="46"/>
      <c r="F3303" s="46" t="s">
        <v>1779</v>
      </c>
      <c r="G3303" s="46" t="s">
        <v>1776</v>
      </c>
      <c r="H3303" s="46" t="s">
        <v>289</v>
      </c>
      <c r="I3303" s="46">
        <v>0.05</v>
      </c>
      <c r="J3303" s="47">
        <v>1400</v>
      </c>
      <c r="K3303" s="47">
        <v>0</v>
      </c>
      <c r="L3303" s="48">
        <v>0</v>
      </c>
      <c r="M3303" s="46"/>
      <c r="N3303" s="46"/>
      <c r="O3303" s="48"/>
      <c r="P3303" s="48"/>
      <c r="Q3303" s="47">
        <v>70</v>
      </c>
      <c r="R3303" s="47">
        <v>0</v>
      </c>
      <c r="S3303" s="5">
        <f t="shared" si="207"/>
        <v>19634.434635152</v>
      </c>
      <c r="T3303" cm="1">
        <f t="array" ref="T3303">IF(OR(B3303="MAL ALIMI", B3303="ÜRETİM GİRİŞ"), MIN(I3303, MAX(0, I3303 + SUM(SUMIFS($I$1:I3302, $C$1:C3302, C3303, $B$1:B3302, {"MAL ALIMI","ÜRETİM GİRİŞ"})) - VLOOKUP(C3303, 'STOK RAPORU'!$C$2:$I$1000, 4, 0))), 0)</f>
        <v>0</v>
      </c>
      <c r="U3303" s="22">
        <f t="shared" si="204"/>
        <v>0</v>
      </c>
      <c r="V3303">
        <f t="shared" si="205"/>
        <v>0</v>
      </c>
      <c r="W3303" s="22">
        <f t="shared" si="206"/>
        <v>0</v>
      </c>
    </row>
    <row r="3304" spans="1:23" hidden="1" x14ac:dyDescent="0.25">
      <c r="A3304" s="3">
        <v>46040</v>
      </c>
      <c r="B3304" s="4" t="s">
        <v>334</v>
      </c>
      <c r="C3304" s="4" t="s">
        <v>591</v>
      </c>
      <c r="D3304" s="4"/>
      <c r="E3304" s="4" t="s">
        <v>921</v>
      </c>
      <c r="F3304" s="46" t="s">
        <v>1783</v>
      </c>
      <c r="G3304" s="4" t="s">
        <v>336</v>
      </c>
      <c r="H3304" s="4" t="s">
        <v>380</v>
      </c>
      <c r="I3304" s="4">
        <v>1</v>
      </c>
      <c r="J3304" s="21">
        <v>350</v>
      </c>
      <c r="K3304" s="21">
        <v>350</v>
      </c>
      <c r="L3304" s="5">
        <v>0</v>
      </c>
      <c r="M3304" s="4"/>
      <c r="N3304" s="4"/>
      <c r="O3304" s="5"/>
      <c r="P3304" s="5"/>
      <c r="Q3304" s="21">
        <v>0</v>
      </c>
      <c r="R3304" s="21">
        <v>0</v>
      </c>
      <c r="S3304" s="5">
        <f t="shared" si="207"/>
        <v>19634.434635152</v>
      </c>
      <c r="T3304" cm="1">
        <f t="array" ref="T3304">IF(OR(B3304="MAL ALIMI", B3304="ÜRETİM GİRİŞ"), MIN(I3304, MAX(0, I3304 + SUM(SUMIFS($I$1:I3303, $C$1:C3303, C3304, $B$1:B3303, {"MAL ALIMI","ÜRETİM GİRİŞ"})) - VLOOKUP(C3304, 'STOK RAPORU'!$C$2:$I$1000, 4, 0))), 0)</f>
        <v>0</v>
      </c>
      <c r="U3304" s="22">
        <f t="shared" si="204"/>
        <v>0</v>
      </c>
      <c r="V3304">
        <f t="shared" si="205"/>
        <v>0</v>
      </c>
      <c r="W3304" s="22">
        <f t="shared" si="206"/>
        <v>0</v>
      </c>
    </row>
    <row r="3305" spans="1:23" hidden="1" x14ac:dyDescent="0.25">
      <c r="A3305" s="3">
        <v>46040</v>
      </c>
      <c r="B3305" s="4" t="s">
        <v>946</v>
      </c>
      <c r="C3305" s="4"/>
      <c r="D3305" s="4"/>
      <c r="E3305" s="4" t="s">
        <v>921</v>
      </c>
      <c r="F3305" s="4"/>
      <c r="G3305" s="4" t="s">
        <v>946</v>
      </c>
      <c r="H3305" s="4" t="s">
        <v>380</v>
      </c>
      <c r="I3305" s="4">
        <v>1</v>
      </c>
      <c r="J3305" s="105">
        <v>1235</v>
      </c>
      <c r="K3305" s="21">
        <v>0</v>
      </c>
      <c r="L3305" s="102">
        <v>1235</v>
      </c>
      <c r="M3305" s="4"/>
      <c r="N3305" s="4"/>
      <c r="O3305" s="5"/>
      <c r="P3305" s="5"/>
      <c r="Q3305" s="21">
        <v>1235</v>
      </c>
      <c r="R3305" s="21">
        <v>0</v>
      </c>
      <c r="S3305" s="5">
        <f t="shared" si="207"/>
        <v>20869.434635152</v>
      </c>
      <c r="T3305" cm="1">
        <f t="array" ref="T3305">IF(OR(B3305="MAL ALIMI", B3305="ÜRETİM GİRİŞ"), MIN(I3305, MAX(0, I3305 + SUM(SUMIFS($I$1:I3304, $C$1:C3304, C3305, $B$1:B3304, {"MAL ALIMI","ÜRETİM GİRİŞ"})) - VLOOKUP(C3305, 'STOK RAPORU'!$C$2:$I$1000, 4, 0))), 0)</f>
        <v>0</v>
      </c>
      <c r="U3305" s="22">
        <f t="shared" si="204"/>
        <v>0</v>
      </c>
      <c r="V3305">
        <f t="shared" si="205"/>
        <v>0</v>
      </c>
      <c r="W3305" s="22">
        <f t="shared" si="206"/>
        <v>0</v>
      </c>
    </row>
    <row r="3306" spans="1:23" hidden="1" x14ac:dyDescent="0.25">
      <c r="A3306" s="3">
        <v>46040</v>
      </c>
      <c r="B3306" s="4" t="s">
        <v>946</v>
      </c>
      <c r="C3306" s="4"/>
      <c r="D3306" s="4"/>
      <c r="E3306" s="4" t="s">
        <v>921</v>
      </c>
      <c r="F3306" s="4"/>
      <c r="G3306" s="4" t="s">
        <v>946</v>
      </c>
      <c r="H3306" s="4" t="s">
        <v>380</v>
      </c>
      <c r="I3306" s="4">
        <v>1</v>
      </c>
      <c r="J3306" s="105">
        <v>950</v>
      </c>
      <c r="K3306" s="21">
        <v>0</v>
      </c>
      <c r="L3306" s="102">
        <v>950</v>
      </c>
      <c r="M3306" s="4"/>
      <c r="N3306" s="4"/>
      <c r="O3306" s="5"/>
      <c r="P3306" s="5"/>
      <c r="Q3306" s="21">
        <v>950</v>
      </c>
      <c r="R3306" s="21">
        <v>0</v>
      </c>
      <c r="S3306" s="5">
        <f t="shared" si="207"/>
        <v>21819.434635152</v>
      </c>
      <c r="T3306" cm="1">
        <f t="array" ref="T3306">IF(OR(B3306="MAL ALIMI", B3306="ÜRETİM GİRİŞ"), MIN(I3306, MAX(0, I3306 + SUM(SUMIFS($I$1:I3305, $C$1:C3305, C3306, $B$1:B3305, {"MAL ALIMI","ÜRETİM GİRİŞ"})) - VLOOKUP(C3306, 'STOK RAPORU'!$C$2:$I$1000, 4, 0))), 0)</f>
        <v>0</v>
      </c>
      <c r="U3306" s="22">
        <f t="shared" si="204"/>
        <v>0</v>
      </c>
      <c r="V3306">
        <f t="shared" si="205"/>
        <v>0</v>
      </c>
      <c r="W3306" s="22">
        <f t="shared" si="206"/>
        <v>0</v>
      </c>
    </row>
    <row r="3307" spans="1:23" hidden="1" x14ac:dyDescent="0.25">
      <c r="A3307" s="3">
        <v>46041</v>
      </c>
      <c r="B3307" s="4" t="s">
        <v>334</v>
      </c>
      <c r="C3307" s="4" t="s">
        <v>60</v>
      </c>
      <c r="D3307" s="4"/>
      <c r="E3307" s="4"/>
      <c r="F3307" s="46" t="s">
        <v>1784</v>
      </c>
      <c r="G3307" s="4" t="s">
        <v>336</v>
      </c>
      <c r="H3307" s="4" t="s">
        <v>289</v>
      </c>
      <c r="I3307" s="4">
        <v>0.05</v>
      </c>
      <c r="J3307" s="21">
        <v>800</v>
      </c>
      <c r="K3307" s="21">
        <v>0</v>
      </c>
      <c r="L3307" s="5">
        <v>0</v>
      </c>
      <c r="M3307" s="4"/>
      <c r="N3307" s="4"/>
      <c r="O3307" s="5"/>
      <c r="P3307" s="5"/>
      <c r="Q3307" s="21">
        <v>40</v>
      </c>
      <c r="R3307" s="21">
        <v>0</v>
      </c>
      <c r="S3307" s="5">
        <f t="shared" si="207"/>
        <v>21859.434635152</v>
      </c>
      <c r="T3307" cm="1">
        <f t="array" ref="T3307">IF(OR(B3307="MAL ALIMI", B3307="ÜRETİM GİRİŞ"), MIN(I3307, MAX(0, I3307 + SUM(SUMIFS($I$1:I3306, $C$1:C3306, C3307, $B$1:B3306, {"MAL ALIMI","ÜRETİM GİRİŞ"})) - VLOOKUP(C3307, 'STOK RAPORU'!$C$2:$I$1000, 4, 0))), 0)</f>
        <v>0</v>
      </c>
      <c r="U3307" s="22">
        <f t="shared" si="204"/>
        <v>0</v>
      </c>
      <c r="V3307">
        <f t="shared" si="205"/>
        <v>0</v>
      </c>
      <c r="W3307" s="22">
        <f t="shared" si="206"/>
        <v>0</v>
      </c>
    </row>
    <row r="3308" spans="1:23" hidden="1" x14ac:dyDescent="0.25">
      <c r="A3308" s="3">
        <v>46041</v>
      </c>
      <c r="B3308" s="4" t="s">
        <v>334</v>
      </c>
      <c r="C3308" s="4" t="s">
        <v>154</v>
      </c>
      <c r="D3308" s="4"/>
      <c r="E3308" s="4"/>
      <c r="F3308" s="46" t="s">
        <v>1784</v>
      </c>
      <c r="G3308" s="4" t="s">
        <v>336</v>
      </c>
      <c r="H3308" s="4" t="s">
        <v>289</v>
      </c>
      <c r="I3308" s="4">
        <v>0.1</v>
      </c>
      <c r="J3308" s="21">
        <v>400</v>
      </c>
      <c r="K3308" s="21">
        <v>0</v>
      </c>
      <c r="L3308" s="5">
        <v>0</v>
      </c>
      <c r="M3308" s="4"/>
      <c r="N3308" s="4"/>
      <c r="O3308" s="5"/>
      <c r="P3308" s="5"/>
      <c r="Q3308" s="21">
        <v>40</v>
      </c>
      <c r="R3308" s="21">
        <v>0</v>
      </c>
      <c r="S3308" s="5">
        <f t="shared" si="207"/>
        <v>21899.434635152</v>
      </c>
      <c r="T3308" cm="1">
        <f t="array" ref="T3308">IF(OR(B3308="MAL ALIMI", B3308="ÜRETİM GİRİŞ"), MIN(I3308, MAX(0, I3308 + SUM(SUMIFS($I$1:I3307, $C$1:C3307, C3308, $B$1:B3307, {"MAL ALIMI","ÜRETİM GİRİŞ"})) - VLOOKUP(C3308, 'STOK RAPORU'!$C$2:$I$1000, 4, 0))), 0)</f>
        <v>0</v>
      </c>
      <c r="U3308" s="22">
        <f t="shared" si="204"/>
        <v>0</v>
      </c>
      <c r="V3308">
        <f t="shared" si="205"/>
        <v>0</v>
      </c>
      <c r="W3308" s="22">
        <f t="shared" si="206"/>
        <v>0</v>
      </c>
    </row>
    <row r="3309" spans="1:23" hidden="1" x14ac:dyDescent="0.25">
      <c r="A3309" s="3">
        <v>46041</v>
      </c>
      <c r="B3309" s="4" t="s">
        <v>334</v>
      </c>
      <c r="C3309" s="4" t="s">
        <v>131</v>
      </c>
      <c r="D3309" s="4"/>
      <c r="E3309" s="4"/>
      <c r="F3309" s="46" t="s">
        <v>1784</v>
      </c>
      <c r="G3309" s="4" t="s">
        <v>336</v>
      </c>
      <c r="H3309" s="4" t="s">
        <v>289</v>
      </c>
      <c r="I3309" s="4">
        <v>0.05</v>
      </c>
      <c r="J3309" s="21">
        <v>400</v>
      </c>
      <c r="K3309" s="21">
        <v>0</v>
      </c>
      <c r="L3309" s="5">
        <v>0</v>
      </c>
      <c r="M3309" s="4"/>
      <c r="N3309" s="4"/>
      <c r="O3309" s="5"/>
      <c r="P3309" s="5"/>
      <c r="Q3309" s="21">
        <v>20</v>
      </c>
      <c r="R3309" s="21">
        <v>0</v>
      </c>
      <c r="S3309" s="5">
        <f t="shared" si="207"/>
        <v>21919.434635152</v>
      </c>
      <c r="T3309" cm="1">
        <f t="array" ref="T3309">IF(OR(B3309="MAL ALIMI", B3309="ÜRETİM GİRİŞ"), MIN(I3309, MAX(0, I3309 + SUM(SUMIFS($I$1:I3308, $C$1:C3308, C3309, $B$1:B3308, {"MAL ALIMI","ÜRETİM GİRİŞ"})) - VLOOKUP(C3309, 'STOK RAPORU'!$C$2:$I$1000, 4, 0))), 0)</f>
        <v>0</v>
      </c>
      <c r="U3309" s="22">
        <f t="shared" si="204"/>
        <v>0</v>
      </c>
      <c r="V3309">
        <f t="shared" si="205"/>
        <v>0</v>
      </c>
      <c r="W3309" s="22">
        <f t="shared" si="206"/>
        <v>0</v>
      </c>
    </row>
    <row r="3310" spans="1:23" hidden="1" x14ac:dyDescent="0.25">
      <c r="A3310" s="3">
        <v>46041</v>
      </c>
      <c r="B3310" s="4" t="s">
        <v>334</v>
      </c>
      <c r="C3310" s="4" t="s">
        <v>3167</v>
      </c>
      <c r="D3310" s="4"/>
      <c r="E3310" s="4"/>
      <c r="F3310" s="46" t="s">
        <v>1784</v>
      </c>
      <c r="G3310" s="4" t="s">
        <v>336</v>
      </c>
      <c r="H3310" s="4" t="s">
        <v>289</v>
      </c>
      <c r="I3310" s="4">
        <v>0.13513513513513514</v>
      </c>
      <c r="J3310" s="21">
        <v>370</v>
      </c>
      <c r="K3310" s="21">
        <v>0</v>
      </c>
      <c r="L3310" s="5">
        <v>0</v>
      </c>
      <c r="M3310" s="4"/>
      <c r="N3310" s="4"/>
      <c r="O3310" s="5"/>
      <c r="P3310" s="5"/>
      <c r="Q3310" s="21">
        <v>50</v>
      </c>
      <c r="R3310" s="21">
        <v>0</v>
      </c>
      <c r="S3310" s="5">
        <f t="shared" si="207"/>
        <v>21969.434635152</v>
      </c>
      <c r="T3310" cm="1">
        <f t="array" ref="T3310">IF(OR(B3310="MAL ALIMI", B3310="ÜRETİM GİRİŞ"), MIN(I3310, MAX(0, I3310 + SUM(SUMIFS($I$1:I3309, $C$1:C3309, C3310, $B$1:B3309, {"MAL ALIMI","ÜRETİM GİRİŞ"})) - VLOOKUP(C3310, 'STOK RAPORU'!$C$2:$I$1000, 4, 0))), 0)</f>
        <v>0</v>
      </c>
      <c r="U3310" s="22">
        <f t="shared" si="204"/>
        <v>0</v>
      </c>
      <c r="V3310">
        <f t="shared" si="205"/>
        <v>0</v>
      </c>
      <c r="W3310" s="22">
        <f t="shared" si="206"/>
        <v>0</v>
      </c>
    </row>
    <row r="3311" spans="1:23" hidden="1" x14ac:dyDescent="0.25">
      <c r="A3311" s="3">
        <v>46041</v>
      </c>
      <c r="B3311" s="4" t="s">
        <v>334</v>
      </c>
      <c r="C3311" s="4" t="s">
        <v>126</v>
      </c>
      <c r="D3311" s="4"/>
      <c r="E3311" s="4"/>
      <c r="F3311" s="46" t="s">
        <v>1784</v>
      </c>
      <c r="G3311" s="4" t="s">
        <v>336</v>
      </c>
      <c r="H3311" s="4" t="s">
        <v>289</v>
      </c>
      <c r="I3311" s="4">
        <v>4.6875E-2</v>
      </c>
      <c r="J3311" s="21">
        <v>640</v>
      </c>
      <c r="K3311" s="21">
        <v>0</v>
      </c>
      <c r="L3311" s="5">
        <v>0</v>
      </c>
      <c r="M3311" s="4"/>
      <c r="N3311" s="4"/>
      <c r="O3311" s="5"/>
      <c r="P3311" s="5"/>
      <c r="Q3311" s="21">
        <v>30</v>
      </c>
      <c r="R3311" s="21">
        <v>0</v>
      </c>
      <c r="S3311" s="5">
        <f t="shared" si="207"/>
        <v>21999.434635152</v>
      </c>
      <c r="T3311" cm="1">
        <f t="array" ref="T3311">IF(OR(B3311="MAL ALIMI", B3311="ÜRETİM GİRİŞ"), MIN(I3311, MAX(0, I3311 + SUM(SUMIFS($I$1:I3310, $C$1:C3310, C3311, $B$1:B3310, {"MAL ALIMI","ÜRETİM GİRİŞ"})) - VLOOKUP(C3311, 'STOK RAPORU'!$C$2:$I$1000, 4, 0))), 0)</f>
        <v>0</v>
      </c>
      <c r="U3311" s="22">
        <f t="shared" si="204"/>
        <v>0</v>
      </c>
      <c r="V3311">
        <f t="shared" si="205"/>
        <v>0</v>
      </c>
      <c r="W3311" s="22">
        <f t="shared" si="206"/>
        <v>0</v>
      </c>
    </row>
    <row r="3312" spans="1:23" hidden="1" x14ac:dyDescent="0.25">
      <c r="A3312" s="3">
        <v>46041</v>
      </c>
      <c r="B3312" s="4" t="s">
        <v>334</v>
      </c>
      <c r="C3312" s="4" t="s">
        <v>133</v>
      </c>
      <c r="D3312" s="4"/>
      <c r="E3312" s="4"/>
      <c r="F3312" s="46" t="s">
        <v>1785</v>
      </c>
      <c r="G3312" s="4" t="s">
        <v>336</v>
      </c>
      <c r="H3312" s="4" t="s">
        <v>289</v>
      </c>
      <c r="I3312" s="4">
        <v>0.26400000000000001</v>
      </c>
      <c r="J3312" s="21">
        <v>380</v>
      </c>
      <c r="K3312" s="21">
        <v>0</v>
      </c>
      <c r="L3312" s="5">
        <v>0</v>
      </c>
      <c r="M3312" s="4"/>
      <c r="N3312" s="4"/>
      <c r="O3312" s="5"/>
      <c r="P3312" s="5"/>
      <c r="Q3312" s="21">
        <v>100.32000000000001</v>
      </c>
      <c r="R3312" s="21">
        <v>0</v>
      </c>
      <c r="S3312" s="5">
        <f t="shared" si="207"/>
        <v>22099.754635152</v>
      </c>
      <c r="T3312" cm="1">
        <f t="array" ref="T3312">IF(OR(B3312="MAL ALIMI", B3312="ÜRETİM GİRİŞ"), MIN(I3312, MAX(0, I3312 + SUM(SUMIFS($I$1:I3311, $C$1:C3311, C3312, $B$1:B3311, {"MAL ALIMI","ÜRETİM GİRİŞ"})) - VLOOKUP(C3312, 'STOK RAPORU'!$C$2:$I$1000, 4, 0))), 0)</f>
        <v>0</v>
      </c>
      <c r="U3312" s="22">
        <f t="shared" si="204"/>
        <v>0</v>
      </c>
      <c r="V3312">
        <f t="shared" si="205"/>
        <v>0</v>
      </c>
      <c r="W3312" s="22">
        <f t="shared" si="206"/>
        <v>0</v>
      </c>
    </row>
    <row r="3313" spans="1:23" hidden="1" x14ac:dyDescent="0.25">
      <c r="A3313" s="3">
        <v>46041</v>
      </c>
      <c r="B3313" s="4" t="s">
        <v>334</v>
      </c>
      <c r="C3313" s="4" t="s">
        <v>91</v>
      </c>
      <c r="D3313" s="4"/>
      <c r="E3313" s="4"/>
      <c r="F3313" s="46" t="s">
        <v>1785</v>
      </c>
      <c r="G3313" s="4" t="s">
        <v>336</v>
      </c>
      <c r="H3313" s="4" t="s">
        <v>289</v>
      </c>
      <c r="I3313" s="4">
        <v>6.5789473684210523E-2</v>
      </c>
      <c r="J3313" s="21">
        <v>760</v>
      </c>
      <c r="K3313" s="21">
        <v>0</v>
      </c>
      <c r="L3313" s="5">
        <v>0</v>
      </c>
      <c r="M3313" s="4"/>
      <c r="N3313" s="4"/>
      <c r="O3313" s="5"/>
      <c r="P3313" s="5"/>
      <c r="Q3313" s="21">
        <v>50</v>
      </c>
      <c r="R3313" s="21">
        <v>0</v>
      </c>
      <c r="S3313" s="5">
        <f t="shared" si="207"/>
        <v>22149.754635152</v>
      </c>
      <c r="T3313" cm="1">
        <f t="array" ref="T3313">IF(OR(B3313="MAL ALIMI", B3313="ÜRETİM GİRİŞ"), MIN(I3313, MAX(0, I3313 + SUM(SUMIFS($I$1:I3312, $C$1:C3312, C3313, $B$1:B3312, {"MAL ALIMI","ÜRETİM GİRİŞ"})) - VLOOKUP(C3313, 'STOK RAPORU'!$C$2:$I$1000, 4, 0))), 0)</f>
        <v>0</v>
      </c>
      <c r="U3313" s="22">
        <f t="shared" si="204"/>
        <v>0</v>
      </c>
      <c r="V3313">
        <f t="shared" si="205"/>
        <v>0</v>
      </c>
      <c r="W3313" s="22">
        <f t="shared" si="206"/>
        <v>0</v>
      </c>
    </row>
    <row r="3314" spans="1:23" hidden="1" x14ac:dyDescent="0.25">
      <c r="A3314" s="3">
        <v>46041</v>
      </c>
      <c r="B3314" s="4" t="s">
        <v>334</v>
      </c>
      <c r="C3314" s="4" t="s">
        <v>265</v>
      </c>
      <c r="D3314" s="4"/>
      <c r="E3314" s="4"/>
      <c r="F3314" s="46" t="s">
        <v>1785</v>
      </c>
      <c r="G3314" s="4" t="s">
        <v>336</v>
      </c>
      <c r="H3314" s="4" t="s">
        <v>289</v>
      </c>
      <c r="I3314" s="4">
        <v>1</v>
      </c>
      <c r="J3314" s="21">
        <v>100</v>
      </c>
      <c r="K3314" s="21">
        <v>0</v>
      </c>
      <c r="L3314" s="5">
        <v>0</v>
      </c>
      <c r="M3314" s="4"/>
      <c r="N3314" s="4"/>
      <c r="O3314" s="5"/>
      <c r="P3314" s="5"/>
      <c r="Q3314" s="21">
        <v>100</v>
      </c>
      <c r="R3314" s="21">
        <v>0</v>
      </c>
      <c r="S3314" s="5">
        <f t="shared" si="207"/>
        <v>22249.754635152</v>
      </c>
      <c r="T3314" cm="1">
        <f t="array" ref="T3314">IF(OR(B3314="MAL ALIMI", B3314="ÜRETİM GİRİŞ"), MIN(I3314, MAX(0, I3314 + SUM(SUMIFS($I$1:I3313, $C$1:C3313, C3314, $B$1:B3313, {"MAL ALIMI","ÜRETİM GİRİŞ"})) - VLOOKUP(C3314, 'STOK RAPORU'!$C$2:$I$1000, 4, 0))), 0)</f>
        <v>0</v>
      </c>
      <c r="U3314" s="22">
        <f t="shared" si="204"/>
        <v>0</v>
      </c>
      <c r="V3314">
        <f t="shared" si="205"/>
        <v>0</v>
      </c>
      <c r="W3314" s="22">
        <f t="shared" si="206"/>
        <v>0</v>
      </c>
    </row>
    <row r="3315" spans="1:23" hidden="1" x14ac:dyDescent="0.25">
      <c r="A3315" s="3">
        <v>46041</v>
      </c>
      <c r="B3315" s="4" t="s">
        <v>334</v>
      </c>
      <c r="C3315" s="4" t="s">
        <v>1501</v>
      </c>
      <c r="D3315" s="4"/>
      <c r="E3315" s="4"/>
      <c r="F3315" s="46" t="s">
        <v>1785</v>
      </c>
      <c r="G3315" s="4" t="s">
        <v>336</v>
      </c>
      <c r="H3315" s="4" t="s">
        <v>289</v>
      </c>
      <c r="I3315" s="4">
        <v>0.16800000000000001</v>
      </c>
      <c r="J3315" s="21">
        <v>600</v>
      </c>
      <c r="K3315" s="21">
        <v>0</v>
      </c>
      <c r="L3315" s="5">
        <v>0</v>
      </c>
      <c r="M3315" s="4"/>
      <c r="N3315" s="4"/>
      <c r="O3315" s="5"/>
      <c r="P3315" s="5"/>
      <c r="Q3315" s="21">
        <v>100.80000000000001</v>
      </c>
      <c r="R3315" s="21">
        <v>0</v>
      </c>
      <c r="S3315" s="5">
        <f t="shared" si="207"/>
        <v>22350.554635151999</v>
      </c>
      <c r="T3315" cm="1">
        <f t="array" ref="T3315">IF(OR(B3315="MAL ALIMI", B3315="ÜRETİM GİRİŞ"), MIN(I3315, MAX(0, I3315 + SUM(SUMIFS($I$1:I3314, $C$1:C3314, C3315, $B$1:B3314, {"MAL ALIMI","ÜRETİM GİRİŞ"})) - VLOOKUP(C3315, 'STOK RAPORU'!$C$2:$I$1000, 4, 0))), 0)</f>
        <v>0</v>
      </c>
      <c r="U3315" s="22">
        <f t="shared" si="204"/>
        <v>0</v>
      </c>
      <c r="V3315">
        <f t="shared" si="205"/>
        <v>0</v>
      </c>
      <c r="W3315" s="22">
        <f t="shared" si="206"/>
        <v>0</v>
      </c>
    </row>
    <row r="3316" spans="1:23" hidden="1" x14ac:dyDescent="0.25">
      <c r="A3316" s="3">
        <v>46041</v>
      </c>
      <c r="B3316" s="4" t="s">
        <v>334</v>
      </c>
      <c r="C3316" s="4" t="s">
        <v>91</v>
      </c>
      <c r="D3316" s="4"/>
      <c r="E3316" s="4"/>
      <c r="F3316" s="46" t="s">
        <v>1786</v>
      </c>
      <c r="G3316" s="4" t="s">
        <v>336</v>
      </c>
      <c r="H3316" s="4" t="s">
        <v>289</v>
      </c>
      <c r="I3316" s="4">
        <v>6.5789473684210523E-2</v>
      </c>
      <c r="J3316" s="21">
        <v>760</v>
      </c>
      <c r="K3316" s="21">
        <v>0</v>
      </c>
      <c r="L3316" s="5">
        <v>0</v>
      </c>
      <c r="M3316" s="4"/>
      <c r="N3316" s="4"/>
      <c r="O3316" s="5"/>
      <c r="P3316" s="5"/>
      <c r="Q3316" s="21">
        <v>50</v>
      </c>
      <c r="R3316" s="21">
        <v>0</v>
      </c>
      <c r="S3316" s="5">
        <f t="shared" si="207"/>
        <v>22400.554635151999</v>
      </c>
      <c r="T3316" cm="1">
        <f t="array" ref="T3316">IF(OR(B3316="MAL ALIMI", B3316="ÜRETİM GİRİŞ"), MIN(I3316, MAX(0, I3316 + SUM(SUMIFS($I$1:I3315, $C$1:C3315, C3316, $B$1:B3315, {"MAL ALIMI","ÜRETİM GİRİŞ"})) - VLOOKUP(C3316, 'STOK RAPORU'!$C$2:$I$1000, 4, 0))), 0)</f>
        <v>0</v>
      </c>
      <c r="U3316" s="22">
        <f t="shared" si="204"/>
        <v>0</v>
      </c>
      <c r="V3316">
        <f t="shared" si="205"/>
        <v>0</v>
      </c>
      <c r="W3316" s="22">
        <f t="shared" si="206"/>
        <v>0</v>
      </c>
    </row>
    <row r="3317" spans="1:23" hidden="1" x14ac:dyDescent="0.25">
      <c r="A3317" s="3">
        <v>46041</v>
      </c>
      <c r="B3317" s="4" t="s">
        <v>334</v>
      </c>
      <c r="C3317" s="46" t="s">
        <v>585</v>
      </c>
      <c r="D3317" s="4"/>
      <c r="E3317" s="4"/>
      <c r="F3317" s="46" t="s">
        <v>1786</v>
      </c>
      <c r="G3317" s="4" t="s">
        <v>336</v>
      </c>
      <c r="H3317" s="4" t="s">
        <v>289</v>
      </c>
      <c r="I3317" s="4">
        <v>2</v>
      </c>
      <c r="J3317" s="21">
        <v>200</v>
      </c>
      <c r="K3317" s="21">
        <v>0</v>
      </c>
      <c r="L3317" s="5">
        <v>0</v>
      </c>
      <c r="M3317" s="4"/>
      <c r="N3317" s="4"/>
      <c r="O3317" s="5"/>
      <c r="P3317" s="5"/>
      <c r="Q3317" s="21">
        <v>400</v>
      </c>
      <c r="R3317" s="21">
        <v>0</v>
      </c>
      <c r="S3317" s="5">
        <f t="shared" si="207"/>
        <v>22800.554635151999</v>
      </c>
      <c r="T3317" cm="1">
        <f t="array" ref="T3317">IF(OR(B3317="MAL ALIMI", B3317="ÜRETİM GİRİŞ"), MIN(I3317, MAX(0, I3317 + SUM(SUMIFS($I$1:I3316, $C$1:C3316, C3317, $B$1:B3316, {"MAL ALIMI","ÜRETİM GİRİŞ"})) - VLOOKUP(C3317, 'STOK RAPORU'!$C$2:$I$1000, 4, 0))), 0)</f>
        <v>0</v>
      </c>
      <c r="U3317" s="22">
        <f t="shared" si="204"/>
        <v>0</v>
      </c>
      <c r="V3317">
        <f t="shared" si="205"/>
        <v>0</v>
      </c>
      <c r="W3317" s="22">
        <f t="shared" si="206"/>
        <v>0</v>
      </c>
    </row>
    <row r="3318" spans="1:23" hidden="1" x14ac:dyDescent="0.25">
      <c r="A3318" s="3">
        <v>46041</v>
      </c>
      <c r="B3318" s="4" t="s">
        <v>334</v>
      </c>
      <c r="C3318" s="4" t="s">
        <v>651</v>
      </c>
      <c r="D3318" s="4"/>
      <c r="E3318" s="4" t="s">
        <v>921</v>
      </c>
      <c r="F3318" s="46" t="s">
        <v>1787</v>
      </c>
      <c r="G3318" s="4" t="s">
        <v>336</v>
      </c>
      <c r="H3318" s="4" t="s">
        <v>380</v>
      </c>
      <c r="I3318" s="4">
        <v>1</v>
      </c>
      <c r="J3318" s="21">
        <v>400</v>
      </c>
      <c r="K3318" s="21">
        <v>400</v>
      </c>
      <c r="L3318" s="5">
        <v>0</v>
      </c>
      <c r="M3318" s="4"/>
      <c r="N3318" s="4"/>
      <c r="O3318" s="5"/>
      <c r="P3318" s="5"/>
      <c r="Q3318" s="21">
        <v>0</v>
      </c>
      <c r="R3318" s="21">
        <v>0</v>
      </c>
      <c r="S3318" s="5">
        <f t="shared" si="207"/>
        <v>22800.554635151999</v>
      </c>
      <c r="T3318" cm="1">
        <f t="array" ref="T3318">IF(OR(B3318="MAL ALIMI", B3318="ÜRETİM GİRİŞ"), MIN(I3318, MAX(0, I3318 + SUM(SUMIFS($I$1:I3317, $C$1:C3317, C3318, $B$1:B3317, {"MAL ALIMI","ÜRETİM GİRİŞ"})) - VLOOKUP(C3318, 'STOK RAPORU'!$C$2:$I$1000, 4, 0))), 0)</f>
        <v>0</v>
      </c>
      <c r="U3318" s="22">
        <f t="shared" si="204"/>
        <v>0</v>
      </c>
      <c r="V3318">
        <f t="shared" si="205"/>
        <v>0</v>
      </c>
      <c r="W3318" s="22">
        <f t="shared" si="206"/>
        <v>0</v>
      </c>
    </row>
    <row r="3319" spans="1:23" hidden="1" x14ac:dyDescent="0.25">
      <c r="A3319" s="3">
        <v>46041</v>
      </c>
      <c r="B3319" s="4" t="s">
        <v>334</v>
      </c>
      <c r="C3319" s="4" t="s">
        <v>1357</v>
      </c>
      <c r="D3319" s="4"/>
      <c r="E3319" s="4" t="s">
        <v>921</v>
      </c>
      <c r="F3319" s="46" t="s">
        <v>1787</v>
      </c>
      <c r="G3319" s="4" t="s">
        <v>336</v>
      </c>
      <c r="H3319" s="4" t="s">
        <v>380</v>
      </c>
      <c r="I3319" s="4">
        <v>1</v>
      </c>
      <c r="J3319" s="21">
        <v>570</v>
      </c>
      <c r="K3319" s="21">
        <v>570</v>
      </c>
      <c r="L3319" s="5">
        <v>0</v>
      </c>
      <c r="M3319" s="4"/>
      <c r="N3319" s="4"/>
      <c r="O3319" s="5"/>
      <c r="P3319" s="5"/>
      <c r="Q3319" s="21">
        <v>0</v>
      </c>
      <c r="R3319" s="21">
        <v>0</v>
      </c>
      <c r="S3319" s="5">
        <f t="shared" si="207"/>
        <v>22800.554635151999</v>
      </c>
      <c r="T3319" cm="1">
        <f t="array" ref="T3319">IF(OR(B3319="MAL ALIMI", B3319="ÜRETİM GİRİŞ"), MIN(I3319, MAX(0, I3319 + SUM(SUMIFS($I$1:I3318, $C$1:C3318, C3319, $B$1:B3318, {"MAL ALIMI","ÜRETİM GİRİŞ"})) - VLOOKUP(C3319, 'STOK RAPORU'!$C$2:$I$1000, 4, 0))), 0)</f>
        <v>0</v>
      </c>
      <c r="U3319" s="22">
        <f t="shared" si="204"/>
        <v>0</v>
      </c>
      <c r="V3319">
        <f t="shared" si="205"/>
        <v>0</v>
      </c>
      <c r="W3319" s="22">
        <f t="shared" si="206"/>
        <v>0</v>
      </c>
    </row>
    <row r="3320" spans="1:23" hidden="1" x14ac:dyDescent="0.25">
      <c r="A3320" s="3">
        <v>46041</v>
      </c>
      <c r="B3320" s="4" t="s">
        <v>334</v>
      </c>
      <c r="C3320" s="4" t="s">
        <v>592</v>
      </c>
      <c r="D3320" s="4"/>
      <c r="E3320" s="4" t="s">
        <v>921</v>
      </c>
      <c r="F3320" s="46" t="s">
        <v>1787</v>
      </c>
      <c r="G3320" s="4" t="s">
        <v>336</v>
      </c>
      <c r="H3320" s="4" t="s">
        <v>380</v>
      </c>
      <c r="I3320" s="4">
        <v>2</v>
      </c>
      <c r="J3320" s="21">
        <v>35</v>
      </c>
      <c r="K3320" s="21">
        <v>70</v>
      </c>
      <c r="L3320" s="5">
        <v>0</v>
      </c>
      <c r="M3320" s="4"/>
      <c r="N3320" s="4"/>
      <c r="O3320" s="5"/>
      <c r="P3320" s="5"/>
      <c r="Q3320" s="21">
        <v>0</v>
      </c>
      <c r="R3320" s="21">
        <v>0</v>
      </c>
      <c r="S3320" s="5">
        <f t="shared" si="207"/>
        <v>22800.554635151999</v>
      </c>
      <c r="T3320" cm="1">
        <f t="array" ref="T3320">IF(OR(B3320="MAL ALIMI", B3320="ÜRETİM GİRİŞ"), MIN(I3320, MAX(0, I3320 + SUM(SUMIFS($I$1:I3319, $C$1:C3319, C3320, $B$1:B3319, {"MAL ALIMI","ÜRETİM GİRİŞ"})) - VLOOKUP(C3320, 'STOK RAPORU'!$C$2:$I$1000, 4, 0))), 0)</f>
        <v>0</v>
      </c>
      <c r="U3320" s="22">
        <f t="shared" si="204"/>
        <v>0</v>
      </c>
      <c r="V3320">
        <f t="shared" si="205"/>
        <v>0</v>
      </c>
      <c r="W3320" s="22">
        <f t="shared" si="206"/>
        <v>0</v>
      </c>
    </row>
    <row r="3321" spans="1:23" hidden="1" x14ac:dyDescent="0.25">
      <c r="A3321" s="3">
        <v>46041</v>
      </c>
      <c r="B3321" s="4" t="s">
        <v>334</v>
      </c>
      <c r="C3321" s="4" t="s">
        <v>1041</v>
      </c>
      <c r="D3321" s="4"/>
      <c r="E3321" s="4" t="s">
        <v>921</v>
      </c>
      <c r="F3321" s="46" t="s">
        <v>1787</v>
      </c>
      <c r="G3321" s="4" t="s">
        <v>336</v>
      </c>
      <c r="H3321" s="4" t="s">
        <v>380</v>
      </c>
      <c r="I3321" s="4">
        <v>1</v>
      </c>
      <c r="J3321" s="21">
        <v>250</v>
      </c>
      <c r="K3321" s="21">
        <v>250</v>
      </c>
      <c r="L3321" s="5">
        <v>0</v>
      </c>
      <c r="M3321" s="4"/>
      <c r="N3321" s="4"/>
      <c r="O3321" s="5"/>
      <c r="P3321" s="5"/>
      <c r="Q3321" s="21">
        <v>0</v>
      </c>
      <c r="R3321" s="21">
        <v>0</v>
      </c>
      <c r="S3321" s="5">
        <f t="shared" si="207"/>
        <v>22800.554635151999</v>
      </c>
      <c r="T3321" cm="1">
        <f t="array" ref="T3321">IF(OR(B3321="MAL ALIMI", B3321="ÜRETİM GİRİŞ"), MIN(I3321, MAX(0, I3321 + SUM(SUMIFS($I$1:I3320, $C$1:C3320, C3321, $B$1:B3320, {"MAL ALIMI","ÜRETİM GİRİŞ"})) - VLOOKUP(C3321, 'STOK RAPORU'!$C$2:$I$1000, 4, 0))), 0)</f>
        <v>0</v>
      </c>
      <c r="U3321" s="22">
        <f t="shared" si="204"/>
        <v>0</v>
      </c>
      <c r="V3321">
        <f t="shared" si="205"/>
        <v>0</v>
      </c>
      <c r="W3321" s="22">
        <f t="shared" si="206"/>
        <v>0</v>
      </c>
    </row>
    <row r="3322" spans="1:23" hidden="1" x14ac:dyDescent="0.25">
      <c r="A3322" s="3">
        <v>46041</v>
      </c>
      <c r="B3322" s="4" t="s">
        <v>334</v>
      </c>
      <c r="C3322" s="4" t="s">
        <v>1140</v>
      </c>
      <c r="D3322" s="4"/>
      <c r="E3322" s="4" t="s">
        <v>921</v>
      </c>
      <c r="F3322" s="46" t="s">
        <v>1788</v>
      </c>
      <c r="G3322" s="4" t="s">
        <v>336</v>
      </c>
      <c r="H3322" s="4" t="s">
        <v>380</v>
      </c>
      <c r="I3322" s="4">
        <v>1</v>
      </c>
      <c r="J3322" s="21">
        <v>350</v>
      </c>
      <c r="K3322" s="21">
        <v>350</v>
      </c>
      <c r="L3322" s="5">
        <v>0</v>
      </c>
      <c r="M3322" s="4"/>
      <c r="N3322" s="4"/>
      <c r="O3322" s="5"/>
      <c r="P3322" s="5"/>
      <c r="Q3322" s="21">
        <v>0</v>
      </c>
      <c r="R3322" s="21">
        <v>0</v>
      </c>
      <c r="S3322" s="5">
        <f t="shared" si="207"/>
        <v>22800.554635151999</v>
      </c>
      <c r="T3322" cm="1">
        <f t="array" ref="T3322">IF(OR(B3322="MAL ALIMI", B3322="ÜRETİM GİRİŞ"), MIN(I3322, MAX(0, I3322 + SUM(SUMIFS($I$1:I3321, $C$1:C3321, C3322, $B$1:B3321, {"MAL ALIMI","ÜRETİM GİRİŞ"})) - VLOOKUP(C3322, 'STOK RAPORU'!$C$2:$I$1000, 4, 0))), 0)</f>
        <v>0</v>
      </c>
      <c r="U3322" s="22">
        <f t="shared" si="204"/>
        <v>0</v>
      </c>
      <c r="V3322">
        <f t="shared" si="205"/>
        <v>0</v>
      </c>
      <c r="W3322" s="22">
        <f t="shared" si="206"/>
        <v>0</v>
      </c>
    </row>
    <row r="3323" spans="1:23" hidden="1" x14ac:dyDescent="0.25">
      <c r="A3323" s="3">
        <v>46041</v>
      </c>
      <c r="B3323" s="4" t="s">
        <v>334</v>
      </c>
      <c r="C3323" s="4" t="s">
        <v>465</v>
      </c>
      <c r="D3323" s="4"/>
      <c r="E3323" s="4" t="s">
        <v>921</v>
      </c>
      <c r="F3323" s="46" t="s">
        <v>1788</v>
      </c>
      <c r="G3323" s="4" t="s">
        <v>336</v>
      </c>
      <c r="H3323" s="4" t="s">
        <v>380</v>
      </c>
      <c r="I3323" s="4">
        <v>1</v>
      </c>
      <c r="J3323" s="21">
        <v>50</v>
      </c>
      <c r="K3323" s="21">
        <v>50</v>
      </c>
      <c r="L3323" s="5">
        <v>0</v>
      </c>
      <c r="M3323" s="4"/>
      <c r="N3323" s="4"/>
      <c r="O3323" s="5"/>
      <c r="P3323" s="5"/>
      <c r="Q3323" s="21">
        <v>0</v>
      </c>
      <c r="R3323" s="21">
        <v>0</v>
      </c>
      <c r="S3323" s="5">
        <f t="shared" si="207"/>
        <v>22800.554635151999</v>
      </c>
      <c r="T3323" cm="1">
        <f t="array" ref="T3323">IF(OR(B3323="MAL ALIMI", B3323="ÜRETİM GİRİŞ"), MIN(I3323, MAX(0, I3323 + SUM(SUMIFS($I$1:I3322, $C$1:C3322, C3323, $B$1:B3322, {"MAL ALIMI","ÜRETİM GİRİŞ"})) - VLOOKUP(C3323, 'STOK RAPORU'!$C$2:$I$1000, 4, 0))), 0)</f>
        <v>0</v>
      </c>
      <c r="U3323" s="22">
        <f t="shared" si="204"/>
        <v>0</v>
      </c>
      <c r="V3323">
        <f t="shared" si="205"/>
        <v>0</v>
      </c>
      <c r="W3323" s="22">
        <f t="shared" si="206"/>
        <v>0</v>
      </c>
    </row>
    <row r="3324" spans="1:23" hidden="1" x14ac:dyDescent="0.25">
      <c r="A3324" s="3">
        <v>46041</v>
      </c>
      <c r="B3324" s="4" t="s">
        <v>334</v>
      </c>
      <c r="C3324" s="4" t="s">
        <v>163</v>
      </c>
      <c r="D3324" s="4"/>
      <c r="E3324" s="4"/>
      <c r="F3324" s="46" t="s">
        <v>1789</v>
      </c>
      <c r="G3324" s="4" t="s">
        <v>336</v>
      </c>
      <c r="H3324" s="4" t="s">
        <v>289</v>
      </c>
      <c r="I3324" s="4">
        <v>0.16800000000000001</v>
      </c>
      <c r="J3324" s="21">
        <v>420</v>
      </c>
      <c r="K3324" s="21">
        <v>0</v>
      </c>
      <c r="L3324" s="5">
        <v>0</v>
      </c>
      <c r="M3324" s="4"/>
      <c r="N3324" s="4"/>
      <c r="O3324" s="5"/>
      <c r="P3324" s="5"/>
      <c r="Q3324" s="21">
        <v>70.56</v>
      </c>
      <c r="R3324" s="21">
        <v>0</v>
      </c>
      <c r="S3324" s="5">
        <f t="shared" si="207"/>
        <v>22871.114635152</v>
      </c>
      <c r="T3324" cm="1">
        <f t="array" ref="T3324">IF(OR(B3324="MAL ALIMI", B3324="ÜRETİM GİRİŞ"), MIN(I3324, MAX(0, I3324 + SUM(SUMIFS($I$1:I3323, $C$1:C3323, C3324, $B$1:B3323, {"MAL ALIMI","ÜRETİM GİRİŞ"})) - VLOOKUP(C3324, 'STOK RAPORU'!$C$2:$I$1000, 4, 0))), 0)</f>
        <v>0</v>
      </c>
      <c r="U3324" s="22">
        <f t="shared" si="204"/>
        <v>0</v>
      </c>
      <c r="V3324">
        <f t="shared" si="205"/>
        <v>0</v>
      </c>
      <c r="W3324" s="22">
        <f t="shared" si="206"/>
        <v>0</v>
      </c>
    </row>
    <row r="3325" spans="1:23" hidden="1" x14ac:dyDescent="0.25">
      <c r="A3325" s="3">
        <v>46041</v>
      </c>
      <c r="B3325" s="4" t="s">
        <v>334</v>
      </c>
      <c r="C3325" s="4" t="s">
        <v>96</v>
      </c>
      <c r="D3325" s="4"/>
      <c r="E3325" s="4"/>
      <c r="F3325" s="46" t="s">
        <v>1789</v>
      </c>
      <c r="G3325" s="4" t="s">
        <v>336</v>
      </c>
      <c r="H3325" s="4" t="s">
        <v>289</v>
      </c>
      <c r="I3325" s="4">
        <v>0.14799999999999999</v>
      </c>
      <c r="J3325" s="21">
        <v>380</v>
      </c>
      <c r="K3325" s="21">
        <v>0</v>
      </c>
      <c r="L3325" s="5">
        <v>0</v>
      </c>
      <c r="M3325" s="4"/>
      <c r="N3325" s="4"/>
      <c r="O3325" s="5"/>
      <c r="P3325" s="5"/>
      <c r="Q3325" s="21">
        <v>56.239999999999995</v>
      </c>
      <c r="R3325" s="21">
        <v>0</v>
      </c>
      <c r="S3325" s="5">
        <f t="shared" si="207"/>
        <v>22927.354635152002</v>
      </c>
      <c r="T3325" cm="1">
        <f t="array" ref="T3325">IF(OR(B3325="MAL ALIMI", B3325="ÜRETİM GİRİŞ"), MIN(I3325, MAX(0, I3325 + SUM(SUMIFS($I$1:I3324, $C$1:C3324, C3325, $B$1:B3324, {"MAL ALIMI","ÜRETİM GİRİŞ"})) - VLOOKUP(C3325, 'STOK RAPORU'!$C$2:$I$1000, 4, 0))), 0)</f>
        <v>0</v>
      </c>
      <c r="U3325" s="22">
        <f t="shared" si="204"/>
        <v>0</v>
      </c>
      <c r="V3325">
        <f t="shared" si="205"/>
        <v>0</v>
      </c>
      <c r="W3325" s="22">
        <f t="shared" si="206"/>
        <v>0</v>
      </c>
    </row>
    <row r="3326" spans="1:23" hidden="1" x14ac:dyDescent="0.25">
      <c r="A3326" s="3">
        <v>46041</v>
      </c>
      <c r="B3326" s="4" t="s">
        <v>334</v>
      </c>
      <c r="C3326" s="4" t="s">
        <v>465</v>
      </c>
      <c r="D3326" s="4"/>
      <c r="E3326" s="4"/>
      <c r="F3326" s="46" t="s">
        <v>1790</v>
      </c>
      <c r="G3326" s="4" t="s">
        <v>336</v>
      </c>
      <c r="H3326" s="4" t="s">
        <v>289</v>
      </c>
      <c r="I3326" s="4">
        <v>1</v>
      </c>
      <c r="J3326" s="21">
        <v>50</v>
      </c>
      <c r="K3326" s="21">
        <v>0</v>
      </c>
      <c r="L3326" s="5">
        <v>0</v>
      </c>
      <c r="M3326" s="4"/>
      <c r="N3326" s="4"/>
      <c r="O3326" s="5"/>
      <c r="P3326" s="5"/>
      <c r="Q3326" s="21">
        <v>50</v>
      </c>
      <c r="R3326" s="21">
        <v>0</v>
      </c>
      <c r="S3326" s="5">
        <f t="shared" si="207"/>
        <v>22977.354635152002</v>
      </c>
      <c r="T3326" cm="1">
        <f t="array" ref="T3326">IF(OR(B3326="MAL ALIMI", B3326="ÜRETİM GİRİŞ"), MIN(I3326, MAX(0, I3326 + SUM(SUMIFS($I$1:I3325, $C$1:C3325, C3326, $B$1:B3325, {"MAL ALIMI","ÜRETİM GİRİŞ"})) - VLOOKUP(C3326, 'STOK RAPORU'!$C$2:$I$1000, 4, 0))), 0)</f>
        <v>0</v>
      </c>
      <c r="U3326" s="22">
        <f t="shared" si="204"/>
        <v>0</v>
      </c>
      <c r="V3326">
        <f t="shared" si="205"/>
        <v>0</v>
      </c>
      <c r="W3326" s="22">
        <f t="shared" si="206"/>
        <v>0</v>
      </c>
    </row>
    <row r="3327" spans="1:23" hidden="1" x14ac:dyDescent="0.25">
      <c r="A3327" s="3">
        <v>46041</v>
      </c>
      <c r="B3327" s="4" t="s">
        <v>334</v>
      </c>
      <c r="C3327" s="4" t="s">
        <v>468</v>
      </c>
      <c r="D3327" s="4"/>
      <c r="E3327" s="4"/>
      <c r="F3327" s="46" t="s">
        <v>1790</v>
      </c>
      <c r="G3327" s="4" t="s">
        <v>336</v>
      </c>
      <c r="H3327" s="4" t="s">
        <v>289</v>
      </c>
      <c r="I3327" s="4">
        <v>1</v>
      </c>
      <c r="J3327" s="21">
        <v>50</v>
      </c>
      <c r="K3327" s="21">
        <v>0</v>
      </c>
      <c r="L3327" s="5">
        <v>0</v>
      </c>
      <c r="M3327" s="4"/>
      <c r="N3327" s="4"/>
      <c r="O3327" s="5"/>
      <c r="P3327" s="5"/>
      <c r="Q3327" s="21">
        <v>50</v>
      </c>
      <c r="R3327" s="21">
        <v>0</v>
      </c>
      <c r="S3327" s="5">
        <f t="shared" si="207"/>
        <v>23027.354635152002</v>
      </c>
      <c r="T3327" cm="1">
        <f t="array" ref="T3327">IF(OR(B3327="MAL ALIMI", B3327="ÜRETİM GİRİŞ"), MIN(I3327, MAX(0, I3327 + SUM(SUMIFS($I$1:I3326, $C$1:C3326, C3327, $B$1:B3326, {"MAL ALIMI","ÜRETİM GİRİŞ"})) - VLOOKUP(C3327, 'STOK RAPORU'!$C$2:$I$1000, 4, 0))), 0)</f>
        <v>0</v>
      </c>
      <c r="U3327" s="22">
        <f t="shared" si="204"/>
        <v>0</v>
      </c>
      <c r="V3327">
        <f t="shared" si="205"/>
        <v>0</v>
      </c>
      <c r="W3327" s="22">
        <f t="shared" si="206"/>
        <v>0</v>
      </c>
    </row>
    <row r="3328" spans="1:23" hidden="1" x14ac:dyDescent="0.25">
      <c r="A3328" s="45">
        <v>46041</v>
      </c>
      <c r="B3328" s="46" t="s">
        <v>334</v>
      </c>
      <c r="C3328" s="46" t="s">
        <v>152</v>
      </c>
      <c r="D3328" s="46"/>
      <c r="E3328" s="46"/>
      <c r="F3328" s="46" t="s">
        <v>1791</v>
      </c>
      <c r="G3328" s="46" t="s">
        <v>439</v>
      </c>
      <c r="H3328" s="46" t="s">
        <v>289</v>
      </c>
      <c r="I3328" s="46">
        <v>4</v>
      </c>
      <c r="J3328" s="47">
        <v>120</v>
      </c>
      <c r="K3328" s="47">
        <v>0</v>
      </c>
      <c r="L3328" s="48">
        <v>0</v>
      </c>
      <c r="M3328" s="4"/>
      <c r="N3328" s="4"/>
      <c r="O3328" s="5"/>
      <c r="P3328" s="5"/>
      <c r="Q3328" s="47">
        <v>480</v>
      </c>
      <c r="R3328" s="21">
        <v>0</v>
      </c>
      <c r="S3328" s="5">
        <f t="shared" si="207"/>
        <v>23507.354635152002</v>
      </c>
      <c r="T3328" cm="1">
        <f t="array" ref="T3328">IF(OR(B3328="MAL ALIMI", B3328="ÜRETİM GİRİŞ"), MIN(I3328, MAX(0, I3328 + SUM(SUMIFS($I$1:I3327, $C$1:C3327, C3328, $B$1:B3327, {"MAL ALIMI","ÜRETİM GİRİŞ"})) - VLOOKUP(C3328, 'STOK RAPORU'!$C$2:$I$1000, 4, 0))), 0)</f>
        <v>0</v>
      </c>
      <c r="U3328" s="22">
        <f t="shared" si="204"/>
        <v>0</v>
      </c>
      <c r="V3328">
        <f t="shared" si="205"/>
        <v>0</v>
      </c>
      <c r="W3328" s="22">
        <f t="shared" si="206"/>
        <v>0</v>
      </c>
    </row>
    <row r="3329" spans="1:23" hidden="1" x14ac:dyDescent="0.25">
      <c r="A3329" s="45">
        <v>46041</v>
      </c>
      <c r="B3329" s="46" t="s">
        <v>334</v>
      </c>
      <c r="C3329" s="46" t="s">
        <v>92</v>
      </c>
      <c r="D3329" s="46"/>
      <c r="E3329" s="46"/>
      <c r="F3329" s="46" t="s">
        <v>1791</v>
      </c>
      <c r="G3329" s="46" t="s">
        <v>439</v>
      </c>
      <c r="H3329" s="46" t="s">
        <v>289</v>
      </c>
      <c r="I3329" s="46">
        <v>1</v>
      </c>
      <c r="J3329" s="47">
        <v>300</v>
      </c>
      <c r="K3329" s="47">
        <v>0</v>
      </c>
      <c r="L3329" s="48">
        <v>0</v>
      </c>
      <c r="M3329" s="4"/>
      <c r="N3329" s="4"/>
      <c r="O3329" s="5"/>
      <c r="P3329" s="5"/>
      <c r="Q3329" s="47">
        <v>300</v>
      </c>
      <c r="R3329" s="21">
        <v>0</v>
      </c>
      <c r="S3329" s="5">
        <f t="shared" si="207"/>
        <v>23807.354635152002</v>
      </c>
      <c r="T3329" cm="1">
        <f t="array" ref="T3329">IF(OR(B3329="MAL ALIMI", B3329="ÜRETİM GİRİŞ"), MIN(I3329, MAX(0, I3329 + SUM(SUMIFS($I$1:I3328, $C$1:C3328, C3329, $B$1:B3328, {"MAL ALIMI","ÜRETİM GİRİŞ"})) - VLOOKUP(C3329, 'STOK RAPORU'!$C$2:$I$1000, 4, 0))), 0)</f>
        <v>0</v>
      </c>
      <c r="U3329" s="22">
        <f t="shared" ref="U3329:U3392" si="208">T3329*J3329</f>
        <v>0</v>
      </c>
      <c r="V3329">
        <f t="shared" ref="V3329:V3392" si="209">IF(OR(B3329="MAL ALIMI", B3329="ÜRETİM GİRİŞ"), I3329 * J3329, 0)</f>
        <v>0</v>
      </c>
      <c r="W3329" s="22">
        <f t="shared" ref="W3329:W3392" si="210">V3329-U3329</f>
        <v>0</v>
      </c>
    </row>
    <row r="3330" spans="1:23" hidden="1" x14ac:dyDescent="0.25">
      <c r="A3330" s="45">
        <v>46041</v>
      </c>
      <c r="B3330" s="46" t="s">
        <v>334</v>
      </c>
      <c r="C3330" s="46" t="s">
        <v>587</v>
      </c>
      <c r="D3330" s="46"/>
      <c r="E3330" s="46"/>
      <c r="F3330" s="46" t="s">
        <v>1791</v>
      </c>
      <c r="G3330" s="46" t="s">
        <v>439</v>
      </c>
      <c r="H3330" s="46" t="s">
        <v>289</v>
      </c>
      <c r="I3330" s="46">
        <v>19.350000000000001</v>
      </c>
      <c r="J3330" s="47">
        <v>100</v>
      </c>
      <c r="K3330" s="47">
        <v>0</v>
      </c>
      <c r="L3330" s="48">
        <v>0</v>
      </c>
      <c r="M3330" s="4"/>
      <c r="N3330" s="4"/>
      <c r="O3330" s="5"/>
      <c r="P3330" s="5"/>
      <c r="Q3330" s="47">
        <v>1935.0000000000002</v>
      </c>
      <c r="R3330" s="21">
        <v>0</v>
      </c>
      <c r="S3330" s="5">
        <f t="shared" si="207"/>
        <v>25742.354635152002</v>
      </c>
      <c r="T3330" cm="1">
        <f t="array" ref="T3330">IF(OR(B3330="MAL ALIMI", B3330="ÜRETİM GİRİŞ"), MIN(I3330, MAX(0, I3330 + SUM(SUMIFS($I$1:I3329, $C$1:C3329, C3330, $B$1:B3329, {"MAL ALIMI","ÜRETİM GİRİŞ"})) - VLOOKUP(C3330, 'STOK RAPORU'!$C$2:$I$1000, 4, 0))), 0)</f>
        <v>0</v>
      </c>
      <c r="U3330" s="22">
        <f t="shared" si="208"/>
        <v>0</v>
      </c>
      <c r="V3330">
        <f t="shared" si="209"/>
        <v>0</v>
      </c>
      <c r="W3330" s="22">
        <f t="shared" si="210"/>
        <v>0</v>
      </c>
    </row>
    <row r="3331" spans="1:23" hidden="1" x14ac:dyDescent="0.25">
      <c r="A3331" s="3">
        <v>46041</v>
      </c>
      <c r="B3331" s="4" t="s">
        <v>946</v>
      </c>
      <c r="C3331" s="4"/>
      <c r="D3331" s="4"/>
      <c r="E3331" s="4" t="s">
        <v>921</v>
      </c>
      <c r="F3331" s="4"/>
      <c r="G3331" s="4" t="s">
        <v>946</v>
      </c>
      <c r="H3331" s="4" t="s">
        <v>380</v>
      </c>
      <c r="I3331" s="4">
        <v>1</v>
      </c>
      <c r="J3331" s="105">
        <v>1080</v>
      </c>
      <c r="K3331" s="21">
        <v>0</v>
      </c>
      <c r="L3331" s="102">
        <v>1080</v>
      </c>
      <c r="M3331" s="4"/>
      <c r="N3331" s="4"/>
      <c r="O3331" s="5"/>
      <c r="P3331" s="5"/>
      <c r="Q3331" s="21">
        <v>1080</v>
      </c>
      <c r="R3331" s="21">
        <v>0</v>
      </c>
      <c r="S3331" s="5">
        <f t="shared" si="207"/>
        <v>26822.354635152002</v>
      </c>
      <c r="T3331" cm="1">
        <f t="array" ref="T3331">IF(OR(B3331="MAL ALIMI", B3331="ÜRETİM GİRİŞ"), MIN(I3331, MAX(0, I3331 + SUM(SUMIFS($I$1:I3330, $C$1:C3330, C3331, $B$1:B3330, {"MAL ALIMI","ÜRETİM GİRİŞ"})) - VLOOKUP(C3331, 'STOK RAPORU'!$C$2:$I$1000, 4, 0))), 0)</f>
        <v>0</v>
      </c>
      <c r="U3331" s="22">
        <f t="shared" si="208"/>
        <v>0</v>
      </c>
      <c r="V3331">
        <f t="shared" si="209"/>
        <v>0</v>
      </c>
      <c r="W3331" s="22">
        <f t="shared" si="210"/>
        <v>0</v>
      </c>
    </row>
    <row r="3332" spans="1:23" hidden="1" x14ac:dyDescent="0.25">
      <c r="A3332" s="45">
        <v>46042</v>
      </c>
      <c r="B3332" s="4" t="s">
        <v>298</v>
      </c>
      <c r="C3332" s="4" t="s">
        <v>585</v>
      </c>
      <c r="D3332" s="4"/>
      <c r="E3332" s="4" t="s">
        <v>350</v>
      </c>
      <c r="F3332" s="4">
        <v>996500</v>
      </c>
      <c r="G3332" s="4" t="s">
        <v>350</v>
      </c>
      <c r="H3332" s="4" t="s">
        <v>304</v>
      </c>
      <c r="I3332" s="4">
        <v>19.350000000000001</v>
      </c>
      <c r="J3332" s="21">
        <v>95.61</v>
      </c>
      <c r="K3332" s="21">
        <v>0</v>
      </c>
      <c r="L3332" s="5">
        <v>1850</v>
      </c>
      <c r="M3332" s="4"/>
      <c r="N3332" s="4"/>
      <c r="O3332" s="5"/>
      <c r="P3332" s="5"/>
      <c r="Q3332" s="21">
        <v>0</v>
      </c>
      <c r="R3332" s="21">
        <v>0</v>
      </c>
      <c r="S3332" s="5">
        <f t="shared" ref="S3332:S3395" si="211">S3331+Q3332-R3332</f>
        <v>26822.354635152002</v>
      </c>
      <c r="T3332" cm="1">
        <f t="array" ref="T3332">IF(OR(B3332="MAL ALIMI", B3332="ÜRETİM GİRİŞ"), MIN(I3332, MAX(0, I3332 + SUM(SUMIFS($I$1:I3331, $C$1:C3331, C3332, $B$1:B3331, {"MAL ALIMI","ÜRETİM GİRİŞ"})) - VLOOKUP(C3332, 'STOK RAPORU'!$C$2:$I$1000, 4, 0))), 0)</f>
        <v>0</v>
      </c>
      <c r="U3332" s="22">
        <f t="shared" si="208"/>
        <v>0</v>
      </c>
      <c r="V3332">
        <f t="shared" si="209"/>
        <v>1850.0535000000002</v>
      </c>
      <c r="W3332" s="22">
        <f t="shared" si="210"/>
        <v>1850.0535000000002</v>
      </c>
    </row>
    <row r="3333" spans="1:23" hidden="1" x14ac:dyDescent="0.25">
      <c r="A3333" s="45">
        <v>46042</v>
      </c>
      <c r="B3333" s="4" t="s">
        <v>298</v>
      </c>
      <c r="C3333" s="4" t="s">
        <v>587</v>
      </c>
      <c r="D3333" s="4"/>
      <c r="E3333" s="4" t="s">
        <v>350</v>
      </c>
      <c r="F3333" s="4">
        <v>996500</v>
      </c>
      <c r="G3333" s="4" t="s">
        <v>350</v>
      </c>
      <c r="H3333" s="4" t="s">
        <v>304</v>
      </c>
      <c r="I3333" s="4">
        <v>19.350000000000001</v>
      </c>
      <c r="J3333" s="21">
        <v>74.94</v>
      </c>
      <c r="K3333" s="21">
        <v>0</v>
      </c>
      <c r="L3333" s="5">
        <v>1450</v>
      </c>
      <c r="M3333" s="4"/>
      <c r="N3333" s="4"/>
      <c r="O3333" s="5"/>
      <c r="P3333" s="5"/>
      <c r="Q3333" s="21">
        <v>0</v>
      </c>
      <c r="R3333" s="21">
        <v>0</v>
      </c>
      <c r="S3333" s="5">
        <f t="shared" si="211"/>
        <v>26822.354635152002</v>
      </c>
      <c r="T3333" cm="1">
        <f t="array" ref="T3333">IF(OR(B3333="MAL ALIMI", B3333="ÜRETİM GİRİŞ"), MIN(I3333, MAX(0, I3333 + SUM(SUMIFS($I$1:I3332, $C$1:C3332, C3333, $B$1:B3332, {"MAL ALIMI","ÜRETİM GİRİŞ"})) - VLOOKUP(C3333, 'STOK RAPORU'!$C$2:$I$1000, 4, 0))), 0)</f>
        <v>0</v>
      </c>
      <c r="U3333" s="22">
        <f t="shared" si="208"/>
        <v>0</v>
      </c>
      <c r="V3333">
        <f t="shared" si="209"/>
        <v>1450.0890000000002</v>
      </c>
      <c r="W3333" s="22">
        <f t="shared" si="210"/>
        <v>1450.0890000000002</v>
      </c>
    </row>
    <row r="3334" spans="1:23" hidden="1" x14ac:dyDescent="0.25">
      <c r="A3334" s="45">
        <v>46042</v>
      </c>
      <c r="B3334" s="4" t="s">
        <v>298</v>
      </c>
      <c r="C3334" s="4" t="s">
        <v>586</v>
      </c>
      <c r="D3334" s="4"/>
      <c r="E3334" s="4" t="s">
        <v>350</v>
      </c>
      <c r="F3334" s="4">
        <v>996500</v>
      </c>
      <c r="G3334" s="4" t="s">
        <v>350</v>
      </c>
      <c r="H3334" s="4" t="s">
        <v>304</v>
      </c>
      <c r="I3334" s="4">
        <v>19.350000000000001</v>
      </c>
      <c r="J3334" s="21">
        <v>95.61</v>
      </c>
      <c r="K3334" s="21">
        <v>0</v>
      </c>
      <c r="L3334" s="5">
        <v>1850</v>
      </c>
      <c r="M3334" s="4"/>
      <c r="N3334" s="4"/>
      <c r="O3334" s="5"/>
      <c r="P3334" s="5"/>
      <c r="Q3334" s="21">
        <v>0</v>
      </c>
      <c r="R3334" s="21">
        <v>0</v>
      </c>
      <c r="S3334" s="5">
        <f t="shared" si="211"/>
        <v>26822.354635152002</v>
      </c>
      <c r="T3334" cm="1">
        <f t="array" ref="T3334">IF(OR(B3334="MAL ALIMI", B3334="ÜRETİM GİRİŞ"), MIN(I3334, MAX(0, I3334 + SUM(SUMIFS($I$1:I3333, $C$1:C3333, C3334, $B$1:B3333, {"MAL ALIMI","ÜRETİM GİRİŞ"})) - VLOOKUP(C3334, 'STOK RAPORU'!$C$2:$I$1000, 4, 0))), 0)</f>
        <v>0</v>
      </c>
      <c r="U3334" s="22">
        <f t="shared" si="208"/>
        <v>0</v>
      </c>
      <c r="V3334">
        <f t="shared" si="209"/>
        <v>1850.0535000000002</v>
      </c>
      <c r="W3334" s="22">
        <f t="shared" si="210"/>
        <v>1850.0535000000002</v>
      </c>
    </row>
    <row r="3335" spans="1:23" hidden="1" x14ac:dyDescent="0.25">
      <c r="A3335" s="45">
        <v>46042</v>
      </c>
      <c r="B3335" s="4" t="s">
        <v>298</v>
      </c>
      <c r="C3335" s="4" t="s">
        <v>692</v>
      </c>
      <c r="D3335" s="4"/>
      <c r="E3335" s="4" t="s">
        <v>350</v>
      </c>
      <c r="F3335" s="4">
        <v>996500</v>
      </c>
      <c r="G3335" s="4" t="s">
        <v>350</v>
      </c>
      <c r="H3335" s="4" t="s">
        <v>304</v>
      </c>
      <c r="I3335" s="4">
        <v>9.9499999999999993</v>
      </c>
      <c r="J3335" s="21">
        <v>33</v>
      </c>
      <c r="K3335" s="21">
        <v>0</v>
      </c>
      <c r="L3335" s="5">
        <v>328.34999999999997</v>
      </c>
      <c r="M3335" s="4"/>
      <c r="N3335" s="4"/>
      <c r="O3335" s="5"/>
      <c r="P3335" s="5"/>
      <c r="Q3335" s="21">
        <v>0</v>
      </c>
      <c r="R3335" s="21">
        <v>0</v>
      </c>
      <c r="S3335" s="5">
        <f t="shared" si="211"/>
        <v>26822.354635152002</v>
      </c>
      <c r="T3335" cm="1">
        <f t="array" ref="T3335">IF(OR(B3335="MAL ALIMI", B3335="ÜRETİM GİRİŞ"), MIN(I3335, MAX(0, I3335 + SUM(SUMIFS($I$1:I3334, $C$1:C3334, C3335, $B$1:B3334, {"MAL ALIMI","ÜRETİM GİRİŞ"})) - VLOOKUP(C3335, 'STOK RAPORU'!$C$2:$I$1000, 4, 0))), 0)</f>
        <v>8.0146666666666668</v>
      </c>
      <c r="U3335" s="22">
        <f t="shared" si="208"/>
        <v>264.48399999999998</v>
      </c>
      <c r="V3335">
        <f t="shared" si="209"/>
        <v>328.34999999999997</v>
      </c>
      <c r="W3335" s="22">
        <f t="shared" si="210"/>
        <v>63.865999999999985</v>
      </c>
    </row>
    <row r="3336" spans="1:23" hidden="1" x14ac:dyDescent="0.25">
      <c r="A3336" s="45">
        <v>46042</v>
      </c>
      <c r="B3336" s="4" t="s">
        <v>298</v>
      </c>
      <c r="C3336" s="4" t="s">
        <v>241</v>
      </c>
      <c r="D3336" s="4"/>
      <c r="E3336" s="4" t="s">
        <v>350</v>
      </c>
      <c r="F3336" s="4">
        <v>996500</v>
      </c>
      <c r="G3336" s="4" t="s">
        <v>350</v>
      </c>
      <c r="H3336" s="4" t="s">
        <v>304</v>
      </c>
      <c r="I3336" s="4">
        <v>5</v>
      </c>
      <c r="J3336" s="21">
        <v>290</v>
      </c>
      <c r="K3336" s="21">
        <v>0</v>
      </c>
      <c r="L3336" s="5">
        <v>1450</v>
      </c>
      <c r="M3336" s="4"/>
      <c r="N3336" s="4"/>
      <c r="O3336" s="5"/>
      <c r="P3336" s="5"/>
      <c r="Q3336" s="21">
        <v>0</v>
      </c>
      <c r="R3336" s="21">
        <v>0</v>
      </c>
      <c r="S3336" s="5">
        <f t="shared" si="211"/>
        <v>26822.354635152002</v>
      </c>
      <c r="T3336" cm="1">
        <f t="array" ref="T3336">IF(OR(B3336="MAL ALIMI", B3336="ÜRETİM GİRİŞ"), MIN(I3336, MAX(0, I3336 + SUM(SUMIFS($I$1:I3335, $C$1:C3335, C3336, $B$1:B3335, {"MAL ALIMI","ÜRETİM GİRİŞ"})) - VLOOKUP(C3336, 'STOK RAPORU'!$C$2:$I$1000, 4, 0))), 0)</f>
        <v>0</v>
      </c>
      <c r="U3336" s="22">
        <f t="shared" si="208"/>
        <v>0</v>
      </c>
      <c r="V3336">
        <f t="shared" si="209"/>
        <v>1450</v>
      </c>
      <c r="W3336" s="22">
        <f t="shared" si="210"/>
        <v>1450</v>
      </c>
    </row>
    <row r="3337" spans="1:23" hidden="1" x14ac:dyDescent="0.25">
      <c r="A3337" s="45">
        <v>46042</v>
      </c>
      <c r="B3337" s="4" t="s">
        <v>298</v>
      </c>
      <c r="C3337" s="4" t="s">
        <v>266</v>
      </c>
      <c r="D3337" s="4"/>
      <c r="E3337" s="4" t="s">
        <v>350</v>
      </c>
      <c r="F3337" s="4">
        <v>996500</v>
      </c>
      <c r="G3337" s="4" t="s">
        <v>350</v>
      </c>
      <c r="H3337" s="4" t="s">
        <v>304</v>
      </c>
      <c r="I3337" s="4">
        <v>5</v>
      </c>
      <c r="J3337" s="21">
        <v>170</v>
      </c>
      <c r="K3337" s="21">
        <v>0</v>
      </c>
      <c r="L3337" s="5">
        <v>850</v>
      </c>
      <c r="M3337" s="4"/>
      <c r="N3337" s="4"/>
      <c r="O3337" s="5"/>
      <c r="P3337" s="5"/>
      <c r="Q3337" s="21">
        <v>0</v>
      </c>
      <c r="R3337" s="21">
        <v>0</v>
      </c>
      <c r="S3337" s="5">
        <f t="shared" si="211"/>
        <v>26822.354635152002</v>
      </c>
      <c r="T3337" cm="1">
        <f t="array" ref="T3337">IF(OR(B3337="MAL ALIMI", B3337="ÜRETİM GİRİŞ"), MIN(I3337, MAX(0, I3337 + SUM(SUMIFS($I$1:I3336, $C$1:C3336, C3337, $B$1:B3336, {"MAL ALIMI","ÜRETİM GİRİŞ"})) - VLOOKUP(C3337, 'STOK RAPORU'!$C$2:$I$1000, 4, 0))), 0)</f>
        <v>0</v>
      </c>
      <c r="U3337" s="22">
        <f t="shared" si="208"/>
        <v>0</v>
      </c>
      <c r="V3337">
        <f t="shared" si="209"/>
        <v>850</v>
      </c>
      <c r="W3337" s="22">
        <f t="shared" si="210"/>
        <v>850</v>
      </c>
    </row>
    <row r="3338" spans="1:23" hidden="1" x14ac:dyDescent="0.25">
      <c r="A3338" s="45">
        <v>46042</v>
      </c>
      <c r="B3338" s="46" t="s">
        <v>334</v>
      </c>
      <c r="C3338" s="4" t="s">
        <v>160</v>
      </c>
      <c r="D3338" s="4"/>
      <c r="E3338" s="4"/>
      <c r="F3338" s="46" t="s">
        <v>1792</v>
      </c>
      <c r="G3338" s="4" t="s">
        <v>336</v>
      </c>
      <c r="H3338" s="46" t="s">
        <v>289</v>
      </c>
      <c r="I3338" s="4">
        <v>1</v>
      </c>
      <c r="J3338" s="21">
        <v>250</v>
      </c>
      <c r="K3338" s="21">
        <v>0</v>
      </c>
      <c r="L3338" s="5">
        <v>0</v>
      </c>
      <c r="M3338" s="4"/>
      <c r="N3338" s="4"/>
      <c r="O3338" s="5"/>
      <c r="P3338" s="5"/>
      <c r="Q3338" s="21">
        <v>250</v>
      </c>
      <c r="R3338" s="21">
        <v>0</v>
      </c>
      <c r="S3338" s="5">
        <f t="shared" si="211"/>
        <v>27072.354635152002</v>
      </c>
      <c r="T3338" cm="1">
        <f t="array" ref="T3338">IF(OR(B3338="MAL ALIMI", B3338="ÜRETİM GİRİŞ"), MIN(I3338, MAX(0, I3338 + SUM(SUMIFS($I$1:I3337, $C$1:C3337, C3338, $B$1:B3337, {"MAL ALIMI","ÜRETİM GİRİŞ"})) - VLOOKUP(C3338, 'STOK RAPORU'!$C$2:$I$1000, 4, 0))), 0)</f>
        <v>0</v>
      </c>
      <c r="U3338" s="22">
        <f t="shared" si="208"/>
        <v>0</v>
      </c>
      <c r="V3338">
        <f t="shared" si="209"/>
        <v>0</v>
      </c>
      <c r="W3338" s="22">
        <f t="shared" si="210"/>
        <v>0</v>
      </c>
    </row>
    <row r="3339" spans="1:23" hidden="1" x14ac:dyDescent="0.25">
      <c r="A3339" s="45">
        <v>46042</v>
      </c>
      <c r="B3339" s="46" t="s">
        <v>334</v>
      </c>
      <c r="C3339" s="4" t="s">
        <v>200</v>
      </c>
      <c r="D3339" s="4"/>
      <c r="E3339" s="4"/>
      <c r="F3339" s="46" t="s">
        <v>1792</v>
      </c>
      <c r="G3339" s="4" t="s">
        <v>336</v>
      </c>
      <c r="H3339" s="46" t="s">
        <v>289</v>
      </c>
      <c r="I3339" s="4">
        <v>0.25</v>
      </c>
      <c r="J3339" s="21">
        <v>360</v>
      </c>
      <c r="K3339" s="21">
        <v>0</v>
      </c>
      <c r="L3339" s="5">
        <v>0</v>
      </c>
      <c r="M3339" s="4"/>
      <c r="N3339" s="4"/>
      <c r="O3339" s="5"/>
      <c r="P3339" s="5"/>
      <c r="Q3339" s="21">
        <v>90</v>
      </c>
      <c r="R3339" s="21">
        <v>0</v>
      </c>
      <c r="S3339" s="5">
        <f t="shared" si="211"/>
        <v>27162.354635152002</v>
      </c>
      <c r="T3339" cm="1">
        <f t="array" ref="T3339">IF(OR(B3339="MAL ALIMI", B3339="ÜRETİM GİRİŞ"), MIN(I3339, MAX(0, I3339 + SUM(SUMIFS($I$1:I3338, $C$1:C3338, C3339, $B$1:B3338, {"MAL ALIMI","ÜRETİM GİRİŞ"})) - VLOOKUP(C3339, 'STOK RAPORU'!$C$2:$I$1000, 4, 0))), 0)</f>
        <v>0</v>
      </c>
      <c r="U3339" s="22">
        <f t="shared" si="208"/>
        <v>0</v>
      </c>
      <c r="V3339">
        <f t="shared" si="209"/>
        <v>0</v>
      </c>
      <c r="W3339" s="22">
        <f t="shared" si="210"/>
        <v>0</v>
      </c>
    </row>
    <row r="3340" spans="1:23" hidden="1" x14ac:dyDescent="0.25">
      <c r="A3340" s="45">
        <v>46042</v>
      </c>
      <c r="B3340" s="46" t="s">
        <v>334</v>
      </c>
      <c r="C3340" s="4" t="s">
        <v>161</v>
      </c>
      <c r="D3340" s="4"/>
      <c r="E3340" s="4"/>
      <c r="F3340" s="46" t="s">
        <v>1792</v>
      </c>
      <c r="G3340" s="4" t="s">
        <v>336</v>
      </c>
      <c r="H3340" s="46" t="s">
        <v>289</v>
      </c>
      <c r="I3340" s="4">
        <v>1</v>
      </c>
      <c r="J3340" s="21">
        <v>230</v>
      </c>
      <c r="K3340" s="21">
        <v>0</v>
      </c>
      <c r="L3340" s="5">
        <v>0</v>
      </c>
      <c r="M3340" s="4"/>
      <c r="N3340" s="4"/>
      <c r="O3340" s="5"/>
      <c r="P3340" s="5"/>
      <c r="Q3340" s="21">
        <v>230</v>
      </c>
      <c r="R3340" s="21">
        <v>0</v>
      </c>
      <c r="S3340" s="5">
        <f t="shared" si="211"/>
        <v>27392.354635152002</v>
      </c>
      <c r="T3340" cm="1">
        <f t="array" ref="T3340">IF(OR(B3340="MAL ALIMI", B3340="ÜRETİM GİRİŞ"), MIN(I3340, MAX(0, I3340 + SUM(SUMIFS($I$1:I3339, $C$1:C3339, C3340, $B$1:B3339, {"MAL ALIMI","ÜRETİM GİRİŞ"})) - VLOOKUP(C3340, 'STOK RAPORU'!$C$2:$I$1000, 4, 0))), 0)</f>
        <v>0</v>
      </c>
      <c r="U3340" s="22">
        <f t="shared" si="208"/>
        <v>0</v>
      </c>
      <c r="V3340">
        <f t="shared" si="209"/>
        <v>0</v>
      </c>
      <c r="W3340" s="22">
        <f t="shared" si="210"/>
        <v>0</v>
      </c>
    </row>
    <row r="3341" spans="1:23" hidden="1" x14ac:dyDescent="0.25">
      <c r="A3341" s="45">
        <v>46042</v>
      </c>
      <c r="B3341" s="46" t="s">
        <v>334</v>
      </c>
      <c r="C3341" s="4" t="s">
        <v>766</v>
      </c>
      <c r="D3341" s="4"/>
      <c r="E3341" s="4" t="s">
        <v>921</v>
      </c>
      <c r="F3341" s="46" t="s">
        <v>1793</v>
      </c>
      <c r="G3341" s="4" t="s">
        <v>336</v>
      </c>
      <c r="H3341" s="46" t="s">
        <v>380</v>
      </c>
      <c r="I3341" s="4">
        <v>1</v>
      </c>
      <c r="J3341" s="21">
        <v>170</v>
      </c>
      <c r="K3341" s="21">
        <v>170</v>
      </c>
      <c r="L3341" s="5">
        <v>0</v>
      </c>
      <c r="M3341" s="4"/>
      <c r="N3341" s="4"/>
      <c r="O3341" s="5"/>
      <c r="P3341" s="5"/>
      <c r="Q3341" s="21">
        <v>0</v>
      </c>
      <c r="R3341" s="21">
        <v>0</v>
      </c>
      <c r="S3341" s="5">
        <f t="shared" si="211"/>
        <v>27392.354635152002</v>
      </c>
      <c r="T3341" cm="1">
        <f t="array" ref="T3341">IF(OR(B3341="MAL ALIMI", B3341="ÜRETİM GİRİŞ"), MIN(I3341, MAX(0, I3341 + SUM(SUMIFS($I$1:I3340, $C$1:C3340, C3341, $B$1:B3340, {"MAL ALIMI","ÜRETİM GİRİŞ"})) - VLOOKUP(C3341, 'STOK RAPORU'!$C$2:$I$1000, 4, 0))), 0)</f>
        <v>0</v>
      </c>
      <c r="U3341" s="22">
        <f t="shared" si="208"/>
        <v>0</v>
      </c>
      <c r="V3341">
        <f t="shared" si="209"/>
        <v>0</v>
      </c>
      <c r="W3341" s="22">
        <f t="shared" si="210"/>
        <v>0</v>
      </c>
    </row>
    <row r="3342" spans="1:23" hidden="1" x14ac:dyDescent="0.25">
      <c r="A3342" s="45">
        <v>46042</v>
      </c>
      <c r="B3342" s="46" t="s">
        <v>334</v>
      </c>
      <c r="C3342" s="4" t="s">
        <v>209</v>
      </c>
      <c r="D3342" s="4"/>
      <c r="E3342" s="4" t="s">
        <v>921</v>
      </c>
      <c r="F3342" s="46" t="s">
        <v>1793</v>
      </c>
      <c r="G3342" s="4" t="s">
        <v>336</v>
      </c>
      <c r="H3342" s="46" t="s">
        <v>380</v>
      </c>
      <c r="I3342" s="4">
        <v>0.05</v>
      </c>
      <c r="J3342" s="21">
        <v>2600</v>
      </c>
      <c r="K3342" s="21">
        <v>130</v>
      </c>
      <c r="L3342" s="5">
        <v>0</v>
      </c>
      <c r="M3342" s="4"/>
      <c r="N3342" s="4"/>
      <c r="O3342" s="5"/>
      <c r="P3342" s="5"/>
      <c r="Q3342" s="21">
        <v>0</v>
      </c>
      <c r="R3342" s="21">
        <v>0</v>
      </c>
      <c r="S3342" s="5">
        <f t="shared" si="211"/>
        <v>27392.354635152002</v>
      </c>
      <c r="T3342" cm="1">
        <f t="array" ref="T3342">IF(OR(B3342="MAL ALIMI", B3342="ÜRETİM GİRİŞ"), MIN(I3342, MAX(0, I3342 + SUM(SUMIFS($I$1:I3341, $C$1:C3341, C3342, $B$1:B3341, {"MAL ALIMI","ÜRETİM GİRİŞ"})) - VLOOKUP(C3342, 'STOK RAPORU'!$C$2:$I$1000, 4, 0))), 0)</f>
        <v>0</v>
      </c>
      <c r="U3342" s="22">
        <f t="shared" si="208"/>
        <v>0</v>
      </c>
      <c r="V3342">
        <f t="shared" si="209"/>
        <v>0</v>
      </c>
      <c r="W3342" s="22">
        <f t="shared" si="210"/>
        <v>0</v>
      </c>
    </row>
    <row r="3343" spans="1:23" hidden="1" x14ac:dyDescent="0.25">
      <c r="A3343" s="45">
        <v>46042</v>
      </c>
      <c r="B3343" s="46" t="s">
        <v>334</v>
      </c>
      <c r="C3343" s="4" t="s">
        <v>597</v>
      </c>
      <c r="D3343" s="4"/>
      <c r="E3343" s="4" t="s">
        <v>921</v>
      </c>
      <c r="F3343" s="46" t="s">
        <v>1793</v>
      </c>
      <c r="G3343" s="4" t="s">
        <v>336</v>
      </c>
      <c r="H3343" s="46" t="s">
        <v>380</v>
      </c>
      <c r="I3343" s="4">
        <v>1</v>
      </c>
      <c r="J3343" s="21">
        <v>290</v>
      </c>
      <c r="K3343" s="21">
        <v>290</v>
      </c>
      <c r="L3343" s="5">
        <v>0</v>
      </c>
      <c r="M3343" s="4"/>
      <c r="N3343" s="4"/>
      <c r="O3343" s="5"/>
      <c r="P3343" s="5"/>
      <c r="Q3343" s="21">
        <v>0</v>
      </c>
      <c r="R3343" s="21">
        <v>0</v>
      </c>
      <c r="S3343" s="5">
        <f t="shared" si="211"/>
        <v>27392.354635152002</v>
      </c>
      <c r="T3343" cm="1">
        <f t="array" ref="T3343">IF(OR(B3343="MAL ALIMI", B3343="ÜRETİM GİRİŞ"), MIN(I3343, MAX(0, I3343 + SUM(SUMIFS($I$1:I3342, $C$1:C3342, C3343, $B$1:B3342, {"MAL ALIMI","ÜRETİM GİRİŞ"})) - VLOOKUP(C3343, 'STOK RAPORU'!$C$2:$I$1000, 4, 0))), 0)</f>
        <v>0</v>
      </c>
      <c r="U3343" s="22">
        <f t="shared" si="208"/>
        <v>0</v>
      </c>
      <c r="V3343">
        <f t="shared" si="209"/>
        <v>0</v>
      </c>
      <c r="W3343" s="22">
        <f t="shared" si="210"/>
        <v>0</v>
      </c>
    </row>
    <row r="3344" spans="1:23" hidden="1" x14ac:dyDescent="0.25">
      <c r="A3344" s="45">
        <v>46042</v>
      </c>
      <c r="B3344" s="46" t="s">
        <v>334</v>
      </c>
      <c r="C3344" s="4" t="s">
        <v>1399</v>
      </c>
      <c r="D3344" s="4"/>
      <c r="E3344" s="4"/>
      <c r="F3344" s="46" t="s">
        <v>1794</v>
      </c>
      <c r="G3344" s="4" t="s">
        <v>336</v>
      </c>
      <c r="H3344" s="46" t="s">
        <v>289</v>
      </c>
      <c r="I3344" s="4">
        <v>1</v>
      </c>
      <c r="J3344" s="21">
        <v>170</v>
      </c>
      <c r="K3344" s="21">
        <v>0</v>
      </c>
      <c r="L3344" s="5">
        <v>0</v>
      </c>
      <c r="M3344" s="4"/>
      <c r="N3344" s="4"/>
      <c r="O3344" s="5"/>
      <c r="P3344" s="5"/>
      <c r="Q3344" s="21">
        <v>170</v>
      </c>
      <c r="R3344" s="21">
        <v>0</v>
      </c>
      <c r="S3344" s="5">
        <f t="shared" si="211"/>
        <v>27562.354635152002</v>
      </c>
      <c r="T3344" cm="1">
        <f t="array" ref="T3344">IF(OR(B3344="MAL ALIMI", B3344="ÜRETİM GİRİŞ"), MIN(I3344, MAX(0, I3344 + SUM(SUMIFS($I$1:I3343, $C$1:C3343, C3344, $B$1:B3343, {"MAL ALIMI","ÜRETİM GİRİŞ"})) - VLOOKUP(C3344, 'STOK RAPORU'!$C$2:$I$1000, 4, 0))), 0)</f>
        <v>0</v>
      </c>
      <c r="U3344" s="22">
        <f t="shared" si="208"/>
        <v>0</v>
      </c>
      <c r="V3344">
        <f t="shared" si="209"/>
        <v>0</v>
      </c>
      <c r="W3344" s="22">
        <f t="shared" si="210"/>
        <v>0</v>
      </c>
    </row>
    <row r="3345" spans="1:23" hidden="1" x14ac:dyDescent="0.25">
      <c r="A3345" s="45">
        <v>46042</v>
      </c>
      <c r="B3345" s="46" t="s">
        <v>334</v>
      </c>
      <c r="C3345" s="4" t="s">
        <v>163</v>
      </c>
      <c r="D3345" s="4"/>
      <c r="E3345" s="4" t="s">
        <v>921</v>
      </c>
      <c r="F3345" s="46" t="s">
        <v>1795</v>
      </c>
      <c r="G3345" s="4" t="s">
        <v>336</v>
      </c>
      <c r="H3345" s="46" t="s">
        <v>380</v>
      </c>
      <c r="I3345" s="4">
        <v>0.24399999999999999</v>
      </c>
      <c r="J3345" s="21">
        <v>410</v>
      </c>
      <c r="K3345" s="21">
        <v>100.03999999999999</v>
      </c>
      <c r="L3345" s="5">
        <v>0</v>
      </c>
      <c r="M3345" s="4"/>
      <c r="N3345" s="4"/>
      <c r="O3345" s="5"/>
      <c r="P3345" s="5"/>
      <c r="Q3345" s="21">
        <v>0</v>
      </c>
      <c r="R3345" s="21">
        <v>0</v>
      </c>
      <c r="S3345" s="5">
        <f t="shared" si="211"/>
        <v>27562.354635152002</v>
      </c>
      <c r="T3345" cm="1">
        <f t="array" ref="T3345">IF(OR(B3345="MAL ALIMI", B3345="ÜRETİM GİRİŞ"), MIN(I3345, MAX(0, I3345 + SUM(SUMIFS($I$1:I3344, $C$1:C3344, C3345, $B$1:B3344, {"MAL ALIMI","ÜRETİM GİRİŞ"})) - VLOOKUP(C3345, 'STOK RAPORU'!$C$2:$I$1000, 4, 0))), 0)</f>
        <v>0</v>
      </c>
      <c r="U3345" s="22">
        <f t="shared" si="208"/>
        <v>0</v>
      </c>
      <c r="V3345">
        <f t="shared" si="209"/>
        <v>0</v>
      </c>
      <c r="W3345" s="22">
        <f t="shared" si="210"/>
        <v>0</v>
      </c>
    </row>
    <row r="3346" spans="1:23" hidden="1" x14ac:dyDescent="0.25">
      <c r="A3346" s="45">
        <v>46042</v>
      </c>
      <c r="B3346" s="46" t="s">
        <v>334</v>
      </c>
      <c r="C3346" s="4" t="s">
        <v>91</v>
      </c>
      <c r="D3346" s="4"/>
      <c r="E3346" s="4" t="s">
        <v>921</v>
      </c>
      <c r="F3346" s="46" t="s">
        <v>1795</v>
      </c>
      <c r="G3346" s="4" t="s">
        <v>336</v>
      </c>
      <c r="H3346" s="46" t="s">
        <v>380</v>
      </c>
      <c r="I3346" s="4">
        <v>6.6000000000000003E-2</v>
      </c>
      <c r="J3346" s="21">
        <v>760</v>
      </c>
      <c r="K3346" s="21">
        <v>50.160000000000004</v>
      </c>
      <c r="L3346" s="5">
        <v>0</v>
      </c>
      <c r="M3346" s="4"/>
      <c r="N3346" s="4"/>
      <c r="O3346" s="5"/>
      <c r="P3346" s="5"/>
      <c r="Q3346" s="21">
        <v>0</v>
      </c>
      <c r="R3346" s="21">
        <v>0</v>
      </c>
      <c r="S3346" s="5">
        <f t="shared" si="211"/>
        <v>27562.354635152002</v>
      </c>
      <c r="T3346" cm="1">
        <f t="array" ref="T3346">IF(OR(B3346="MAL ALIMI", B3346="ÜRETİM GİRİŞ"), MIN(I3346, MAX(0, I3346 + SUM(SUMIFS($I$1:I3345, $C$1:C3345, C3346, $B$1:B3345, {"MAL ALIMI","ÜRETİM GİRİŞ"})) - VLOOKUP(C3346, 'STOK RAPORU'!$C$2:$I$1000, 4, 0))), 0)</f>
        <v>0</v>
      </c>
      <c r="U3346" s="22">
        <f t="shared" si="208"/>
        <v>0</v>
      </c>
      <c r="V3346">
        <f t="shared" si="209"/>
        <v>0</v>
      </c>
      <c r="W3346" s="22">
        <f t="shared" si="210"/>
        <v>0</v>
      </c>
    </row>
    <row r="3347" spans="1:23" hidden="1" x14ac:dyDescent="0.25">
      <c r="A3347" s="45">
        <v>46042</v>
      </c>
      <c r="B3347" s="46" t="s">
        <v>334</v>
      </c>
      <c r="C3347" s="4" t="s">
        <v>695</v>
      </c>
      <c r="D3347" s="4"/>
      <c r="E3347" s="4" t="s">
        <v>921</v>
      </c>
      <c r="F3347" s="46" t="s">
        <v>1795</v>
      </c>
      <c r="G3347" s="4" t="s">
        <v>336</v>
      </c>
      <c r="H3347" s="46" t="s">
        <v>380</v>
      </c>
      <c r="I3347" s="4">
        <v>0.5</v>
      </c>
      <c r="J3347" s="21">
        <v>120</v>
      </c>
      <c r="K3347" s="21">
        <v>60</v>
      </c>
      <c r="L3347" s="5">
        <v>0</v>
      </c>
      <c r="M3347" s="4"/>
      <c r="N3347" s="4"/>
      <c r="O3347" s="5"/>
      <c r="P3347" s="5"/>
      <c r="Q3347" s="21">
        <v>0</v>
      </c>
      <c r="R3347" s="21">
        <v>0</v>
      </c>
      <c r="S3347" s="5">
        <f t="shared" si="211"/>
        <v>27562.354635152002</v>
      </c>
      <c r="T3347" cm="1">
        <f t="array" ref="T3347">IF(OR(B3347="MAL ALIMI", B3347="ÜRETİM GİRİŞ"), MIN(I3347, MAX(0, I3347 + SUM(SUMIFS($I$1:I3346, $C$1:C3346, C3347, $B$1:B3346, {"MAL ALIMI","ÜRETİM GİRİŞ"})) - VLOOKUP(C3347, 'STOK RAPORU'!$C$2:$I$1000, 4, 0))), 0)</f>
        <v>0</v>
      </c>
      <c r="U3347" s="22">
        <f t="shared" si="208"/>
        <v>0</v>
      </c>
      <c r="V3347">
        <f t="shared" si="209"/>
        <v>0</v>
      </c>
      <c r="W3347" s="22">
        <f t="shared" si="210"/>
        <v>0</v>
      </c>
    </row>
    <row r="3348" spans="1:23" hidden="1" x14ac:dyDescent="0.25">
      <c r="A3348" s="45">
        <v>46042</v>
      </c>
      <c r="B3348" s="46" t="s">
        <v>334</v>
      </c>
      <c r="C3348" s="4" t="s">
        <v>92</v>
      </c>
      <c r="D3348" s="4"/>
      <c r="E3348" s="4" t="s">
        <v>921</v>
      </c>
      <c r="F3348" s="46" t="s">
        <v>1795</v>
      </c>
      <c r="G3348" s="4" t="s">
        <v>336</v>
      </c>
      <c r="H3348" s="46" t="s">
        <v>380</v>
      </c>
      <c r="I3348" s="4">
        <v>0.20399999999999999</v>
      </c>
      <c r="J3348" s="21">
        <v>490</v>
      </c>
      <c r="K3348" s="21">
        <v>99.96</v>
      </c>
      <c r="L3348" s="5">
        <v>0</v>
      </c>
      <c r="M3348" s="4"/>
      <c r="N3348" s="4"/>
      <c r="O3348" s="5"/>
      <c r="P3348" s="5"/>
      <c r="Q3348" s="21">
        <v>0</v>
      </c>
      <c r="R3348" s="21">
        <v>0</v>
      </c>
      <c r="S3348" s="5">
        <f t="shared" si="211"/>
        <v>27562.354635152002</v>
      </c>
      <c r="T3348" cm="1">
        <f t="array" ref="T3348">IF(OR(B3348="MAL ALIMI", B3348="ÜRETİM GİRİŞ"), MIN(I3348, MAX(0, I3348 + SUM(SUMIFS($I$1:I3347, $C$1:C3347, C3348, $B$1:B3347, {"MAL ALIMI","ÜRETİM GİRİŞ"})) - VLOOKUP(C3348, 'STOK RAPORU'!$C$2:$I$1000, 4, 0))), 0)</f>
        <v>0</v>
      </c>
      <c r="U3348" s="22">
        <f t="shared" si="208"/>
        <v>0</v>
      </c>
      <c r="V3348">
        <f t="shared" si="209"/>
        <v>0</v>
      </c>
      <c r="W3348" s="22">
        <f t="shared" si="210"/>
        <v>0</v>
      </c>
    </row>
    <row r="3349" spans="1:23" hidden="1" x14ac:dyDescent="0.25">
      <c r="A3349" s="45">
        <v>46042</v>
      </c>
      <c r="B3349" s="46" t="s">
        <v>334</v>
      </c>
      <c r="C3349" s="4" t="s">
        <v>241</v>
      </c>
      <c r="D3349" s="4"/>
      <c r="E3349" s="4"/>
      <c r="F3349" s="46" t="s">
        <v>1796</v>
      </c>
      <c r="G3349" s="4" t="s">
        <v>336</v>
      </c>
      <c r="H3349" s="46" t="s">
        <v>289</v>
      </c>
      <c r="I3349" s="4">
        <v>0.28000000000000003</v>
      </c>
      <c r="J3349" s="21">
        <v>390</v>
      </c>
      <c r="K3349" s="21">
        <v>0</v>
      </c>
      <c r="L3349" s="5">
        <v>0</v>
      </c>
      <c r="M3349" s="4"/>
      <c r="N3349" s="4"/>
      <c r="O3349" s="5"/>
      <c r="P3349" s="5"/>
      <c r="Q3349" s="21">
        <v>109.20000000000002</v>
      </c>
      <c r="R3349" s="21">
        <v>0</v>
      </c>
      <c r="S3349" s="5">
        <f t="shared" si="211"/>
        <v>27671.554635152002</v>
      </c>
      <c r="T3349" cm="1">
        <f t="array" ref="T3349">IF(OR(B3349="MAL ALIMI", B3349="ÜRETİM GİRİŞ"), MIN(I3349, MAX(0, I3349 + SUM(SUMIFS($I$1:I3348, $C$1:C3348, C3349, $B$1:B3348, {"MAL ALIMI","ÜRETİM GİRİŞ"})) - VLOOKUP(C3349, 'STOK RAPORU'!$C$2:$I$1000, 4, 0))), 0)</f>
        <v>0</v>
      </c>
      <c r="U3349" s="22">
        <f t="shared" si="208"/>
        <v>0</v>
      </c>
      <c r="V3349">
        <f t="shared" si="209"/>
        <v>0</v>
      </c>
      <c r="W3349" s="22">
        <f t="shared" si="210"/>
        <v>0</v>
      </c>
    </row>
    <row r="3350" spans="1:23" hidden="1" x14ac:dyDescent="0.25">
      <c r="A3350" s="45">
        <v>46042</v>
      </c>
      <c r="B3350" s="46" t="s">
        <v>334</v>
      </c>
      <c r="C3350" s="4" t="s">
        <v>132</v>
      </c>
      <c r="D3350" s="4"/>
      <c r="E3350" s="4" t="s">
        <v>921</v>
      </c>
      <c r="F3350" s="46" t="s">
        <v>1797</v>
      </c>
      <c r="G3350" s="4" t="s">
        <v>336</v>
      </c>
      <c r="H3350" s="46" t="s">
        <v>380</v>
      </c>
      <c r="I3350" s="4">
        <v>0.372</v>
      </c>
      <c r="J3350" s="21">
        <v>500</v>
      </c>
      <c r="K3350" s="21">
        <v>186</v>
      </c>
      <c r="L3350" s="5">
        <v>0</v>
      </c>
      <c r="M3350" s="4"/>
      <c r="N3350" s="4"/>
      <c r="O3350" s="5"/>
      <c r="P3350" s="5"/>
      <c r="Q3350" s="21">
        <v>0</v>
      </c>
      <c r="R3350" s="21">
        <v>0</v>
      </c>
      <c r="S3350" s="5">
        <f t="shared" si="211"/>
        <v>27671.554635152002</v>
      </c>
      <c r="T3350" cm="1">
        <f t="array" ref="T3350">IF(OR(B3350="MAL ALIMI", B3350="ÜRETİM GİRİŞ"), MIN(I3350, MAX(0, I3350 + SUM(SUMIFS($I$1:I3349, $C$1:C3349, C3350, $B$1:B3349, {"MAL ALIMI","ÜRETİM GİRİŞ"})) - VLOOKUP(C3350, 'STOK RAPORU'!$C$2:$I$1000, 4, 0))), 0)</f>
        <v>0</v>
      </c>
      <c r="U3350" s="22">
        <f t="shared" si="208"/>
        <v>0</v>
      </c>
      <c r="V3350">
        <f t="shared" si="209"/>
        <v>0</v>
      </c>
      <c r="W3350" s="22">
        <f t="shared" si="210"/>
        <v>0</v>
      </c>
    </row>
    <row r="3351" spans="1:23" hidden="1" x14ac:dyDescent="0.25">
      <c r="A3351" s="45">
        <v>46042</v>
      </c>
      <c r="B3351" s="46" t="s">
        <v>334</v>
      </c>
      <c r="C3351" s="4" t="s">
        <v>161</v>
      </c>
      <c r="D3351" s="4"/>
      <c r="E3351" s="4"/>
      <c r="F3351" s="46" t="s">
        <v>1798</v>
      </c>
      <c r="G3351" s="4" t="s">
        <v>336</v>
      </c>
      <c r="H3351" s="46" t="s">
        <v>289</v>
      </c>
      <c r="I3351" s="4">
        <v>1</v>
      </c>
      <c r="J3351" s="21">
        <v>230</v>
      </c>
      <c r="K3351" s="21">
        <v>0</v>
      </c>
      <c r="L3351" s="5">
        <v>0</v>
      </c>
      <c r="M3351" s="4"/>
      <c r="N3351" s="4"/>
      <c r="O3351" s="5"/>
      <c r="P3351" s="5"/>
      <c r="Q3351" s="21">
        <v>230</v>
      </c>
      <c r="R3351" s="21">
        <v>0</v>
      </c>
      <c r="S3351" s="5">
        <f t="shared" si="211"/>
        <v>27901.554635152002</v>
      </c>
      <c r="T3351" cm="1">
        <f t="array" ref="T3351">IF(OR(B3351="MAL ALIMI", B3351="ÜRETİM GİRİŞ"), MIN(I3351, MAX(0, I3351 + SUM(SUMIFS($I$1:I3350, $C$1:C3350, C3351, $B$1:B3350, {"MAL ALIMI","ÜRETİM GİRİŞ"})) - VLOOKUP(C3351, 'STOK RAPORU'!$C$2:$I$1000, 4, 0))), 0)</f>
        <v>0</v>
      </c>
      <c r="U3351" s="22">
        <f t="shared" si="208"/>
        <v>0</v>
      </c>
      <c r="V3351">
        <f t="shared" si="209"/>
        <v>0</v>
      </c>
      <c r="W3351" s="22">
        <f t="shared" si="210"/>
        <v>0</v>
      </c>
    </row>
    <row r="3352" spans="1:23" hidden="1" x14ac:dyDescent="0.25">
      <c r="A3352" s="45">
        <v>46042</v>
      </c>
      <c r="B3352" s="46" t="s">
        <v>334</v>
      </c>
      <c r="C3352" s="4" t="s">
        <v>160</v>
      </c>
      <c r="D3352" s="4"/>
      <c r="E3352" s="4"/>
      <c r="F3352" s="46" t="s">
        <v>1798</v>
      </c>
      <c r="G3352" s="4" t="s">
        <v>336</v>
      </c>
      <c r="H3352" s="46" t="s">
        <v>289</v>
      </c>
      <c r="I3352" s="4">
        <v>1</v>
      </c>
      <c r="J3352" s="21">
        <v>250</v>
      </c>
      <c r="K3352" s="21">
        <v>0</v>
      </c>
      <c r="L3352" s="5">
        <v>0</v>
      </c>
      <c r="M3352" s="4"/>
      <c r="N3352" s="4"/>
      <c r="O3352" s="5"/>
      <c r="P3352" s="5"/>
      <c r="Q3352" s="21">
        <v>250</v>
      </c>
      <c r="R3352" s="21">
        <v>0</v>
      </c>
      <c r="S3352" s="5">
        <f t="shared" si="211"/>
        <v>28151.554635152002</v>
      </c>
      <c r="T3352" cm="1">
        <f t="array" ref="T3352">IF(OR(B3352="MAL ALIMI", B3352="ÜRETİM GİRİŞ"), MIN(I3352, MAX(0, I3352 + SUM(SUMIFS($I$1:I3351, $C$1:C3351, C3352, $B$1:B3351, {"MAL ALIMI","ÜRETİM GİRİŞ"})) - VLOOKUP(C3352, 'STOK RAPORU'!$C$2:$I$1000, 4, 0))), 0)</f>
        <v>0</v>
      </c>
      <c r="U3352" s="22">
        <f t="shared" si="208"/>
        <v>0</v>
      </c>
      <c r="V3352">
        <f t="shared" si="209"/>
        <v>0</v>
      </c>
      <c r="W3352" s="22">
        <f t="shared" si="210"/>
        <v>0</v>
      </c>
    </row>
    <row r="3353" spans="1:23" hidden="1" x14ac:dyDescent="0.25">
      <c r="A3353" s="45">
        <v>46042</v>
      </c>
      <c r="B3353" s="46" t="s">
        <v>334</v>
      </c>
      <c r="C3353" s="4" t="s">
        <v>162</v>
      </c>
      <c r="D3353" s="4"/>
      <c r="E3353" s="4"/>
      <c r="F3353" s="46" t="s">
        <v>1798</v>
      </c>
      <c r="G3353" s="4" t="s">
        <v>336</v>
      </c>
      <c r="H3353" s="46" t="s">
        <v>289</v>
      </c>
      <c r="I3353" s="4">
        <v>1</v>
      </c>
      <c r="J3353" s="21">
        <v>250</v>
      </c>
      <c r="K3353" s="21">
        <v>0</v>
      </c>
      <c r="L3353" s="5">
        <v>0</v>
      </c>
      <c r="M3353" s="4"/>
      <c r="N3353" s="4"/>
      <c r="O3353" s="5"/>
      <c r="P3353" s="5"/>
      <c r="Q3353" s="21">
        <v>250</v>
      </c>
      <c r="R3353" s="21">
        <v>0</v>
      </c>
      <c r="S3353" s="5">
        <f t="shared" si="211"/>
        <v>28401.554635152002</v>
      </c>
      <c r="T3353" cm="1">
        <f t="array" ref="T3353">IF(OR(B3353="MAL ALIMI", B3353="ÜRETİM GİRİŞ"), MIN(I3353, MAX(0, I3353 + SUM(SUMIFS($I$1:I3352, $C$1:C3352, C3353, $B$1:B3352, {"MAL ALIMI","ÜRETİM GİRİŞ"})) - VLOOKUP(C3353, 'STOK RAPORU'!$C$2:$I$1000, 4, 0))), 0)</f>
        <v>0</v>
      </c>
      <c r="U3353" s="22">
        <f t="shared" si="208"/>
        <v>0</v>
      </c>
      <c r="V3353">
        <f t="shared" si="209"/>
        <v>0</v>
      </c>
      <c r="W3353" s="22">
        <f t="shared" si="210"/>
        <v>0</v>
      </c>
    </row>
    <row r="3354" spans="1:23" hidden="1" x14ac:dyDescent="0.25">
      <c r="A3354" s="45">
        <v>46042</v>
      </c>
      <c r="B3354" s="46" t="s">
        <v>334</v>
      </c>
      <c r="C3354" s="4" t="s">
        <v>1143</v>
      </c>
      <c r="D3354" s="4"/>
      <c r="E3354" s="4"/>
      <c r="F3354" s="46" t="s">
        <v>1798</v>
      </c>
      <c r="G3354" s="4" t="s">
        <v>336</v>
      </c>
      <c r="H3354" s="46" t="s">
        <v>289</v>
      </c>
      <c r="I3354" s="4">
        <v>1</v>
      </c>
      <c r="J3354" s="21">
        <v>135</v>
      </c>
      <c r="K3354" s="21">
        <v>0</v>
      </c>
      <c r="L3354" s="5">
        <v>0</v>
      </c>
      <c r="M3354" s="4"/>
      <c r="N3354" s="4"/>
      <c r="O3354" s="5"/>
      <c r="P3354" s="5"/>
      <c r="Q3354" s="21">
        <v>135</v>
      </c>
      <c r="R3354" s="21">
        <v>0</v>
      </c>
      <c r="S3354" s="5">
        <f t="shared" si="211"/>
        <v>28536.554635152002</v>
      </c>
      <c r="T3354" cm="1">
        <f t="array" ref="T3354">IF(OR(B3354="MAL ALIMI", B3354="ÜRETİM GİRİŞ"), MIN(I3354, MAX(0, I3354 + SUM(SUMIFS($I$1:I3353, $C$1:C3353, C3354, $B$1:B3353, {"MAL ALIMI","ÜRETİM GİRİŞ"})) - VLOOKUP(C3354, 'STOK RAPORU'!$C$2:$I$1000, 4, 0))), 0)</f>
        <v>0</v>
      </c>
      <c r="U3354" s="22">
        <f t="shared" si="208"/>
        <v>0</v>
      </c>
      <c r="V3354">
        <f t="shared" si="209"/>
        <v>0</v>
      </c>
      <c r="W3354" s="22">
        <f t="shared" si="210"/>
        <v>0</v>
      </c>
    </row>
    <row r="3355" spans="1:23" hidden="1" x14ac:dyDescent="0.25">
      <c r="A3355" s="45">
        <v>46042</v>
      </c>
      <c r="B3355" s="46" t="s">
        <v>334</v>
      </c>
      <c r="C3355" s="4" t="s">
        <v>267</v>
      </c>
      <c r="D3355" s="4"/>
      <c r="E3355" s="4"/>
      <c r="F3355" s="46" t="s">
        <v>1798</v>
      </c>
      <c r="G3355" s="4" t="s">
        <v>336</v>
      </c>
      <c r="H3355" s="46" t="s">
        <v>289</v>
      </c>
      <c r="I3355" s="4">
        <v>1</v>
      </c>
      <c r="J3355" s="21">
        <v>190</v>
      </c>
      <c r="K3355" s="21">
        <v>0</v>
      </c>
      <c r="L3355" s="5">
        <v>0</v>
      </c>
      <c r="M3355" s="4"/>
      <c r="N3355" s="4"/>
      <c r="O3355" s="5"/>
      <c r="P3355" s="5"/>
      <c r="Q3355" s="21">
        <v>190</v>
      </c>
      <c r="R3355" s="21">
        <v>0</v>
      </c>
      <c r="S3355" s="5">
        <f t="shared" si="211"/>
        <v>28726.554635152002</v>
      </c>
      <c r="T3355" cm="1">
        <f t="array" ref="T3355">IF(OR(B3355="MAL ALIMI", B3355="ÜRETİM GİRİŞ"), MIN(I3355, MAX(0, I3355 + SUM(SUMIFS($I$1:I3354, $C$1:C3354, C3355, $B$1:B3354, {"MAL ALIMI","ÜRETİM GİRİŞ"})) - VLOOKUP(C3355, 'STOK RAPORU'!$C$2:$I$1000, 4, 0))), 0)</f>
        <v>0</v>
      </c>
      <c r="U3355" s="22">
        <f t="shared" si="208"/>
        <v>0</v>
      </c>
      <c r="V3355">
        <f t="shared" si="209"/>
        <v>0</v>
      </c>
      <c r="W3355" s="22">
        <f t="shared" si="210"/>
        <v>0</v>
      </c>
    </row>
    <row r="3356" spans="1:23" hidden="1" x14ac:dyDescent="0.25">
      <c r="A3356" s="45">
        <v>46042</v>
      </c>
      <c r="B3356" s="46" t="s">
        <v>334</v>
      </c>
      <c r="C3356" s="4" t="s">
        <v>1443</v>
      </c>
      <c r="D3356" s="4"/>
      <c r="E3356" s="4"/>
      <c r="F3356" s="46" t="s">
        <v>1798</v>
      </c>
      <c r="G3356" s="4" t="s">
        <v>336</v>
      </c>
      <c r="H3356" s="46" t="s">
        <v>289</v>
      </c>
      <c r="I3356" s="4">
        <v>15</v>
      </c>
      <c r="J3356" s="21">
        <v>10</v>
      </c>
      <c r="K3356" s="21">
        <v>0</v>
      </c>
      <c r="L3356" s="5">
        <v>0</v>
      </c>
      <c r="M3356" s="4"/>
      <c r="N3356" s="4"/>
      <c r="O3356" s="5"/>
      <c r="P3356" s="5"/>
      <c r="Q3356" s="21">
        <v>150</v>
      </c>
      <c r="R3356" s="21">
        <v>0</v>
      </c>
      <c r="S3356" s="5">
        <f t="shared" si="211"/>
        <v>28876.554635152002</v>
      </c>
      <c r="T3356" cm="1">
        <f t="array" ref="T3356">IF(OR(B3356="MAL ALIMI", B3356="ÜRETİM GİRİŞ"), MIN(I3356, MAX(0, I3356 + SUM(SUMIFS($I$1:I3355, $C$1:C3355, C3356, $B$1:B3355, {"MAL ALIMI","ÜRETİM GİRİŞ"})) - VLOOKUP(C3356, 'STOK RAPORU'!$C$2:$I$1000, 4, 0))), 0)</f>
        <v>0</v>
      </c>
      <c r="U3356" s="22">
        <f t="shared" si="208"/>
        <v>0</v>
      </c>
      <c r="V3356">
        <f t="shared" si="209"/>
        <v>0</v>
      </c>
      <c r="W3356" s="22">
        <f t="shared" si="210"/>
        <v>0</v>
      </c>
    </row>
    <row r="3357" spans="1:23" hidden="1" x14ac:dyDescent="0.25">
      <c r="A3357" s="45">
        <v>46042</v>
      </c>
      <c r="B3357" s="46" t="s">
        <v>334</v>
      </c>
      <c r="C3357" s="4" t="s">
        <v>200</v>
      </c>
      <c r="D3357" s="4"/>
      <c r="E3357" s="4"/>
      <c r="F3357" s="46" t="s">
        <v>1798</v>
      </c>
      <c r="G3357" s="4" t="s">
        <v>336</v>
      </c>
      <c r="H3357" s="46" t="s">
        <v>289</v>
      </c>
      <c r="I3357" s="4">
        <v>0.25</v>
      </c>
      <c r="J3357" s="21">
        <v>360</v>
      </c>
      <c r="K3357" s="21">
        <v>0</v>
      </c>
      <c r="L3357" s="5">
        <v>0</v>
      </c>
      <c r="M3357" s="4"/>
      <c r="N3357" s="4"/>
      <c r="O3357" s="5"/>
      <c r="P3357" s="5"/>
      <c r="Q3357" s="21">
        <v>90</v>
      </c>
      <c r="R3357" s="21">
        <v>0</v>
      </c>
      <c r="S3357" s="5">
        <f t="shared" si="211"/>
        <v>28966.554635152002</v>
      </c>
      <c r="T3357" cm="1">
        <f t="array" ref="T3357">IF(OR(B3357="MAL ALIMI", B3357="ÜRETİM GİRİŞ"), MIN(I3357, MAX(0, I3357 + SUM(SUMIFS($I$1:I3356, $C$1:C3356, C3357, $B$1:B3356, {"MAL ALIMI","ÜRETİM GİRİŞ"})) - VLOOKUP(C3357, 'STOK RAPORU'!$C$2:$I$1000, 4, 0))), 0)</f>
        <v>0</v>
      </c>
      <c r="U3357" s="22">
        <f t="shared" si="208"/>
        <v>0</v>
      </c>
      <c r="V3357">
        <f t="shared" si="209"/>
        <v>0</v>
      </c>
      <c r="W3357" s="22">
        <f t="shared" si="210"/>
        <v>0</v>
      </c>
    </row>
    <row r="3358" spans="1:23" hidden="1" x14ac:dyDescent="0.25">
      <c r="A3358" s="45">
        <v>46042</v>
      </c>
      <c r="B3358" s="46" t="s">
        <v>334</v>
      </c>
      <c r="C3358" s="4" t="s">
        <v>245</v>
      </c>
      <c r="D3358" s="4"/>
      <c r="E3358" s="4"/>
      <c r="F3358" s="46" t="s">
        <v>1798</v>
      </c>
      <c r="G3358" s="4" t="s">
        <v>336</v>
      </c>
      <c r="H3358" s="46" t="s">
        <v>289</v>
      </c>
      <c r="I3358" s="4">
        <v>0.23200000000000001</v>
      </c>
      <c r="J3358" s="21">
        <v>650</v>
      </c>
      <c r="K3358" s="21">
        <v>0</v>
      </c>
      <c r="L3358" s="5">
        <v>0</v>
      </c>
      <c r="M3358" s="4"/>
      <c r="N3358" s="4"/>
      <c r="O3358" s="5"/>
      <c r="P3358" s="5"/>
      <c r="Q3358" s="21">
        <v>150.80000000000001</v>
      </c>
      <c r="R3358" s="21">
        <v>0</v>
      </c>
      <c r="S3358" s="5">
        <f t="shared" si="211"/>
        <v>29117.354635152002</v>
      </c>
      <c r="T3358" cm="1">
        <f t="array" ref="T3358">IF(OR(B3358="MAL ALIMI", B3358="ÜRETİM GİRİŞ"), MIN(I3358, MAX(0, I3358 + SUM(SUMIFS($I$1:I3357, $C$1:C3357, C3358, $B$1:B3357, {"MAL ALIMI","ÜRETİM GİRİŞ"})) - VLOOKUP(C3358, 'STOK RAPORU'!$C$2:$I$1000, 4, 0))), 0)</f>
        <v>0</v>
      </c>
      <c r="U3358" s="22">
        <f t="shared" si="208"/>
        <v>0</v>
      </c>
      <c r="V3358">
        <f t="shared" si="209"/>
        <v>0</v>
      </c>
      <c r="W3358" s="22">
        <f t="shared" si="210"/>
        <v>0</v>
      </c>
    </row>
    <row r="3359" spans="1:23" hidden="1" x14ac:dyDescent="0.25">
      <c r="A3359" s="45">
        <v>46042</v>
      </c>
      <c r="B3359" s="46" t="s">
        <v>334</v>
      </c>
      <c r="C3359" s="4" t="s">
        <v>60</v>
      </c>
      <c r="D3359" s="4"/>
      <c r="E3359" s="4"/>
      <c r="F3359" s="46" t="s">
        <v>1799</v>
      </c>
      <c r="G3359" s="4" t="s">
        <v>336</v>
      </c>
      <c r="H3359" s="46" t="s">
        <v>289</v>
      </c>
      <c r="I3359" s="4">
        <v>0.05</v>
      </c>
      <c r="J3359" s="21">
        <v>1200</v>
      </c>
      <c r="K3359" s="21">
        <v>0</v>
      </c>
      <c r="L3359" s="5">
        <v>0</v>
      </c>
      <c r="M3359" s="4"/>
      <c r="N3359" s="4"/>
      <c r="O3359" s="5"/>
      <c r="P3359" s="5"/>
      <c r="Q3359" s="21">
        <v>60</v>
      </c>
      <c r="R3359" s="21">
        <v>0</v>
      </c>
      <c r="S3359" s="5">
        <f t="shared" si="211"/>
        <v>29177.354635152002</v>
      </c>
      <c r="T3359" cm="1">
        <f t="array" ref="T3359">IF(OR(B3359="MAL ALIMI", B3359="ÜRETİM GİRİŞ"), MIN(I3359, MAX(0, I3359 + SUM(SUMIFS($I$1:I3358, $C$1:C3358, C3359, $B$1:B3358, {"MAL ALIMI","ÜRETİM GİRİŞ"})) - VLOOKUP(C3359, 'STOK RAPORU'!$C$2:$I$1000, 4, 0))), 0)</f>
        <v>0</v>
      </c>
      <c r="U3359" s="22">
        <f t="shared" si="208"/>
        <v>0</v>
      </c>
      <c r="V3359">
        <f t="shared" si="209"/>
        <v>0</v>
      </c>
      <c r="W3359" s="22">
        <f t="shared" si="210"/>
        <v>0</v>
      </c>
    </row>
    <row r="3360" spans="1:23" hidden="1" x14ac:dyDescent="0.25">
      <c r="A3360" s="45">
        <v>46042</v>
      </c>
      <c r="B3360" s="46" t="s">
        <v>334</v>
      </c>
      <c r="C3360" s="4" t="s">
        <v>160</v>
      </c>
      <c r="D3360" s="4"/>
      <c r="E3360" s="4"/>
      <c r="F3360" s="46" t="s">
        <v>1800</v>
      </c>
      <c r="G3360" s="4" t="s">
        <v>336</v>
      </c>
      <c r="H3360" s="46" t="s">
        <v>289</v>
      </c>
      <c r="I3360" s="4">
        <v>1</v>
      </c>
      <c r="J3360" s="21">
        <v>250</v>
      </c>
      <c r="K3360" s="21">
        <v>0</v>
      </c>
      <c r="L3360" s="5">
        <v>0</v>
      </c>
      <c r="M3360" s="4"/>
      <c r="N3360" s="4"/>
      <c r="O3360" s="5"/>
      <c r="P3360" s="5"/>
      <c r="Q3360" s="21">
        <v>250</v>
      </c>
      <c r="R3360" s="21">
        <v>0</v>
      </c>
      <c r="S3360" s="5">
        <f t="shared" si="211"/>
        <v>29427.354635152002</v>
      </c>
      <c r="T3360" cm="1">
        <f t="array" ref="T3360">IF(OR(B3360="MAL ALIMI", B3360="ÜRETİM GİRİŞ"), MIN(I3360, MAX(0, I3360 + SUM(SUMIFS($I$1:I3359, $C$1:C3359, C3360, $B$1:B3359, {"MAL ALIMI","ÜRETİM GİRİŞ"})) - VLOOKUP(C3360, 'STOK RAPORU'!$C$2:$I$1000, 4, 0))), 0)</f>
        <v>0</v>
      </c>
      <c r="U3360" s="22">
        <f t="shared" si="208"/>
        <v>0</v>
      </c>
      <c r="V3360">
        <f t="shared" si="209"/>
        <v>0</v>
      </c>
      <c r="W3360" s="22">
        <f t="shared" si="210"/>
        <v>0</v>
      </c>
    </row>
    <row r="3361" spans="1:23" hidden="1" x14ac:dyDescent="0.25">
      <c r="A3361" s="45">
        <v>46042</v>
      </c>
      <c r="B3361" s="46" t="s">
        <v>334</v>
      </c>
      <c r="C3361" s="4" t="s">
        <v>168</v>
      </c>
      <c r="D3361" s="4"/>
      <c r="E3361" s="4"/>
      <c r="F3361" s="46" t="s">
        <v>1800</v>
      </c>
      <c r="G3361" s="4" t="s">
        <v>336</v>
      </c>
      <c r="H3361" s="46" t="s">
        <v>289</v>
      </c>
      <c r="I3361" s="4">
        <v>1</v>
      </c>
      <c r="J3361" s="21">
        <v>230</v>
      </c>
      <c r="K3361" s="21">
        <v>0</v>
      </c>
      <c r="L3361" s="5">
        <v>0</v>
      </c>
      <c r="M3361" s="4"/>
      <c r="N3361" s="4"/>
      <c r="O3361" s="5"/>
      <c r="P3361" s="5"/>
      <c r="Q3361" s="21">
        <v>230</v>
      </c>
      <c r="R3361" s="21">
        <v>0</v>
      </c>
      <c r="S3361" s="5">
        <f t="shared" si="211"/>
        <v>29657.354635152002</v>
      </c>
      <c r="T3361" cm="1">
        <f t="array" ref="T3361">IF(OR(B3361="MAL ALIMI", B3361="ÜRETİM GİRİŞ"), MIN(I3361, MAX(0, I3361 + SUM(SUMIFS($I$1:I3360, $C$1:C3360, C3361, $B$1:B3360, {"MAL ALIMI","ÜRETİM GİRİŞ"})) - VLOOKUP(C3361, 'STOK RAPORU'!$C$2:$I$1000, 4, 0))), 0)</f>
        <v>0</v>
      </c>
      <c r="U3361" s="22">
        <f t="shared" si="208"/>
        <v>0</v>
      </c>
      <c r="V3361">
        <f t="shared" si="209"/>
        <v>0</v>
      </c>
      <c r="W3361" s="22">
        <f t="shared" si="210"/>
        <v>0</v>
      </c>
    </row>
    <row r="3362" spans="1:23" hidden="1" x14ac:dyDescent="0.25">
      <c r="A3362" s="45">
        <v>46042</v>
      </c>
      <c r="B3362" s="46" t="s">
        <v>334</v>
      </c>
      <c r="C3362" s="4" t="s">
        <v>74</v>
      </c>
      <c r="D3362" s="4"/>
      <c r="E3362" s="4"/>
      <c r="F3362" s="46" t="s">
        <v>1800</v>
      </c>
      <c r="G3362" s="4" t="s">
        <v>336</v>
      </c>
      <c r="H3362" s="46" t="s">
        <v>289</v>
      </c>
      <c r="I3362" s="4">
        <v>0.05</v>
      </c>
      <c r="J3362" s="21">
        <v>1500</v>
      </c>
      <c r="K3362" s="21">
        <v>0</v>
      </c>
      <c r="L3362" s="5">
        <v>0</v>
      </c>
      <c r="M3362" s="4"/>
      <c r="N3362" s="4"/>
      <c r="O3362" s="5"/>
      <c r="P3362" s="5"/>
      <c r="Q3362" s="21">
        <v>75</v>
      </c>
      <c r="R3362" s="21">
        <v>0</v>
      </c>
      <c r="S3362" s="5">
        <f t="shared" si="211"/>
        <v>29732.354635152002</v>
      </c>
      <c r="T3362" cm="1">
        <f t="array" ref="T3362">IF(OR(B3362="MAL ALIMI", B3362="ÜRETİM GİRİŞ"), MIN(I3362, MAX(0, I3362 + SUM(SUMIFS($I$1:I3361, $C$1:C3361, C3362, $B$1:B3361, {"MAL ALIMI","ÜRETİM GİRİŞ"})) - VLOOKUP(C3362, 'STOK RAPORU'!$C$2:$I$1000, 4, 0))), 0)</f>
        <v>0</v>
      </c>
      <c r="U3362" s="22">
        <f t="shared" si="208"/>
        <v>0</v>
      </c>
      <c r="V3362">
        <f t="shared" si="209"/>
        <v>0</v>
      </c>
      <c r="W3362" s="22">
        <f t="shared" si="210"/>
        <v>0</v>
      </c>
    </row>
    <row r="3363" spans="1:23" hidden="1" x14ac:dyDescent="0.25">
      <c r="A3363" s="45">
        <v>46042</v>
      </c>
      <c r="B3363" s="46" t="s">
        <v>334</v>
      </c>
      <c r="C3363" s="4" t="s">
        <v>1041</v>
      </c>
      <c r="D3363" s="4"/>
      <c r="E3363" s="4"/>
      <c r="F3363" s="46" t="s">
        <v>1800</v>
      </c>
      <c r="G3363" s="4" t="s">
        <v>336</v>
      </c>
      <c r="H3363" s="46" t="s">
        <v>289</v>
      </c>
      <c r="I3363" s="4">
        <v>0.8</v>
      </c>
      <c r="J3363" s="21">
        <v>250</v>
      </c>
      <c r="K3363" s="21">
        <v>0</v>
      </c>
      <c r="L3363" s="5">
        <v>0</v>
      </c>
      <c r="M3363" s="4"/>
      <c r="N3363" s="4"/>
      <c r="O3363" s="5"/>
      <c r="P3363" s="5"/>
      <c r="Q3363" s="21">
        <v>200</v>
      </c>
      <c r="R3363" s="21">
        <v>0</v>
      </c>
      <c r="S3363" s="5">
        <f t="shared" si="211"/>
        <v>29932.354635152002</v>
      </c>
      <c r="T3363" cm="1">
        <f t="array" ref="T3363">IF(OR(B3363="MAL ALIMI", B3363="ÜRETİM GİRİŞ"), MIN(I3363, MAX(0, I3363 + SUM(SUMIFS($I$1:I3362, $C$1:C3362, C3363, $B$1:B3362, {"MAL ALIMI","ÜRETİM GİRİŞ"})) - VLOOKUP(C3363, 'STOK RAPORU'!$C$2:$I$1000, 4, 0))), 0)</f>
        <v>0</v>
      </c>
      <c r="U3363" s="22">
        <f t="shared" si="208"/>
        <v>0</v>
      </c>
      <c r="V3363">
        <f t="shared" si="209"/>
        <v>0</v>
      </c>
      <c r="W3363" s="22">
        <f t="shared" si="210"/>
        <v>0</v>
      </c>
    </row>
    <row r="3364" spans="1:23" hidden="1" x14ac:dyDescent="0.25">
      <c r="A3364" s="45">
        <v>46042</v>
      </c>
      <c r="B3364" s="46" t="s">
        <v>334</v>
      </c>
      <c r="C3364" s="4" t="s">
        <v>1501</v>
      </c>
      <c r="D3364" s="4"/>
      <c r="E3364" s="4" t="s">
        <v>921</v>
      </c>
      <c r="F3364" s="46" t="s">
        <v>1801</v>
      </c>
      <c r="G3364" s="4" t="s">
        <v>336</v>
      </c>
      <c r="H3364" s="46" t="s">
        <v>380</v>
      </c>
      <c r="I3364" s="4">
        <v>0.22500000000000001</v>
      </c>
      <c r="J3364" s="21">
        <v>600</v>
      </c>
      <c r="K3364" s="21">
        <v>135</v>
      </c>
      <c r="L3364" s="5">
        <v>0</v>
      </c>
      <c r="M3364" s="4"/>
      <c r="N3364" s="4"/>
      <c r="O3364" s="5"/>
      <c r="P3364" s="5"/>
      <c r="Q3364" s="21">
        <v>0</v>
      </c>
      <c r="R3364" s="21">
        <v>0</v>
      </c>
      <c r="S3364" s="5">
        <f t="shared" si="211"/>
        <v>29932.354635152002</v>
      </c>
      <c r="T3364" cm="1">
        <f t="array" ref="T3364">IF(OR(B3364="MAL ALIMI", B3364="ÜRETİM GİRİŞ"), MIN(I3364, MAX(0, I3364 + SUM(SUMIFS($I$1:I3363, $C$1:C3363, C3364, $B$1:B3363, {"MAL ALIMI","ÜRETİM GİRİŞ"})) - VLOOKUP(C3364, 'STOK RAPORU'!$C$2:$I$1000, 4, 0))), 0)</f>
        <v>0</v>
      </c>
      <c r="U3364" s="22">
        <f t="shared" si="208"/>
        <v>0</v>
      </c>
      <c r="V3364">
        <f t="shared" si="209"/>
        <v>0</v>
      </c>
      <c r="W3364" s="22">
        <f t="shared" si="210"/>
        <v>0</v>
      </c>
    </row>
    <row r="3365" spans="1:23" hidden="1" x14ac:dyDescent="0.25">
      <c r="A3365" s="45">
        <v>46042</v>
      </c>
      <c r="B3365" s="46" t="s">
        <v>334</v>
      </c>
      <c r="C3365" s="4" t="s">
        <v>1041</v>
      </c>
      <c r="D3365" s="4"/>
      <c r="E3365" s="4"/>
      <c r="F3365" s="46" t="s">
        <v>1802</v>
      </c>
      <c r="G3365" s="4" t="s">
        <v>336</v>
      </c>
      <c r="H3365" s="46" t="s">
        <v>289</v>
      </c>
      <c r="I3365" s="4">
        <v>1</v>
      </c>
      <c r="J3365" s="21">
        <v>250</v>
      </c>
      <c r="K3365" s="21">
        <v>0</v>
      </c>
      <c r="L3365" s="5">
        <v>0</v>
      </c>
      <c r="M3365" s="4"/>
      <c r="N3365" s="4"/>
      <c r="O3365" s="5"/>
      <c r="P3365" s="5"/>
      <c r="Q3365" s="21">
        <v>250</v>
      </c>
      <c r="R3365" s="21">
        <v>0</v>
      </c>
      <c r="S3365" s="5">
        <f t="shared" si="211"/>
        <v>30182.354635152002</v>
      </c>
      <c r="T3365" cm="1">
        <f t="array" ref="T3365">IF(OR(B3365="MAL ALIMI", B3365="ÜRETİM GİRİŞ"), MIN(I3365, MAX(0, I3365 + SUM(SUMIFS($I$1:I3364, $C$1:C3364, C3365, $B$1:B3364, {"MAL ALIMI","ÜRETİM GİRİŞ"})) - VLOOKUP(C3365, 'STOK RAPORU'!$C$2:$I$1000, 4, 0))), 0)</f>
        <v>0</v>
      </c>
      <c r="U3365" s="22">
        <f t="shared" si="208"/>
        <v>0</v>
      </c>
      <c r="V3365">
        <f t="shared" si="209"/>
        <v>0</v>
      </c>
      <c r="W3365" s="22">
        <f t="shared" si="210"/>
        <v>0</v>
      </c>
    </row>
    <row r="3366" spans="1:23" hidden="1" x14ac:dyDescent="0.25">
      <c r="A3366" s="45">
        <v>46042</v>
      </c>
      <c r="B3366" s="46" t="s">
        <v>334</v>
      </c>
      <c r="C3366" s="4" t="s">
        <v>729</v>
      </c>
      <c r="D3366" s="4"/>
      <c r="E3366" s="4"/>
      <c r="F3366" s="46" t="s">
        <v>1802</v>
      </c>
      <c r="G3366" s="4" t="s">
        <v>336</v>
      </c>
      <c r="H3366" s="46" t="s">
        <v>289</v>
      </c>
      <c r="I3366" s="4">
        <v>1</v>
      </c>
      <c r="J3366" s="21">
        <v>90</v>
      </c>
      <c r="K3366" s="21">
        <v>0</v>
      </c>
      <c r="L3366" s="5">
        <v>0</v>
      </c>
      <c r="M3366" s="4"/>
      <c r="N3366" s="4"/>
      <c r="O3366" s="5"/>
      <c r="P3366" s="5"/>
      <c r="Q3366" s="21">
        <v>90</v>
      </c>
      <c r="R3366" s="21">
        <v>0</v>
      </c>
      <c r="S3366" s="5">
        <f t="shared" si="211"/>
        <v>30272.354635152002</v>
      </c>
      <c r="T3366" cm="1">
        <f t="array" ref="T3366">IF(OR(B3366="MAL ALIMI", B3366="ÜRETİM GİRİŞ"), MIN(I3366, MAX(0, I3366 + SUM(SUMIFS($I$1:I3365, $C$1:C3365, C3366, $B$1:B3365, {"MAL ALIMI","ÜRETİM GİRİŞ"})) - VLOOKUP(C3366, 'STOK RAPORU'!$C$2:$I$1000, 4, 0))), 0)</f>
        <v>0</v>
      </c>
      <c r="U3366" s="22">
        <f t="shared" si="208"/>
        <v>0</v>
      </c>
      <c r="V3366">
        <f t="shared" si="209"/>
        <v>0</v>
      </c>
      <c r="W3366" s="22">
        <f t="shared" si="210"/>
        <v>0</v>
      </c>
    </row>
    <row r="3367" spans="1:23" hidden="1" x14ac:dyDescent="0.25">
      <c r="A3367" s="45">
        <v>46042</v>
      </c>
      <c r="B3367" s="46" t="s">
        <v>334</v>
      </c>
      <c r="C3367" s="4" t="s">
        <v>251</v>
      </c>
      <c r="D3367" s="4"/>
      <c r="E3367" s="4"/>
      <c r="F3367" s="46" t="s">
        <v>1802</v>
      </c>
      <c r="G3367" s="4" t="s">
        <v>336</v>
      </c>
      <c r="H3367" s="46" t="s">
        <v>289</v>
      </c>
      <c r="I3367" s="4">
        <v>0.2537313432835821</v>
      </c>
      <c r="J3367" s="21">
        <v>670</v>
      </c>
      <c r="K3367" s="21">
        <v>0</v>
      </c>
      <c r="L3367" s="5">
        <v>0</v>
      </c>
      <c r="M3367" s="4"/>
      <c r="N3367" s="4"/>
      <c r="O3367" s="5"/>
      <c r="P3367" s="5"/>
      <c r="Q3367" s="21">
        <v>170</v>
      </c>
      <c r="R3367" s="21">
        <v>0</v>
      </c>
      <c r="S3367" s="5">
        <f t="shared" si="211"/>
        <v>30442.354635152002</v>
      </c>
      <c r="T3367" cm="1">
        <f t="array" ref="T3367">IF(OR(B3367="MAL ALIMI", B3367="ÜRETİM GİRİŞ"), MIN(I3367, MAX(0, I3367 + SUM(SUMIFS($I$1:I3366, $C$1:C3366, C3367, $B$1:B3366, {"MAL ALIMI","ÜRETİM GİRİŞ"})) - VLOOKUP(C3367, 'STOK RAPORU'!$C$2:$I$1000, 4, 0))), 0)</f>
        <v>0</v>
      </c>
      <c r="U3367" s="22">
        <f t="shared" si="208"/>
        <v>0</v>
      </c>
      <c r="V3367">
        <f t="shared" si="209"/>
        <v>0</v>
      </c>
      <c r="W3367" s="22">
        <f t="shared" si="210"/>
        <v>0</v>
      </c>
    </row>
    <row r="3368" spans="1:23" hidden="1" x14ac:dyDescent="0.25">
      <c r="A3368" s="45">
        <v>46042</v>
      </c>
      <c r="B3368" s="3" t="s">
        <v>3945</v>
      </c>
      <c r="C3368" s="4"/>
      <c r="D3368" s="4"/>
      <c r="E3368" s="4" t="s">
        <v>115</v>
      </c>
      <c r="F3368" s="4"/>
      <c r="G3368" s="4" t="s">
        <v>288</v>
      </c>
      <c r="H3368" s="4" t="s">
        <v>304</v>
      </c>
      <c r="I3368" s="4">
        <v>1</v>
      </c>
      <c r="J3368" s="21">
        <v>55000</v>
      </c>
      <c r="K3368" s="21">
        <v>0</v>
      </c>
      <c r="L3368" s="5">
        <v>55000</v>
      </c>
      <c r="M3368" s="4"/>
      <c r="N3368" s="4"/>
      <c r="O3368" s="5"/>
      <c r="P3368" s="5"/>
      <c r="Q3368" s="21">
        <v>55000</v>
      </c>
      <c r="R3368" s="21">
        <v>0</v>
      </c>
      <c r="S3368" s="5">
        <f t="shared" si="211"/>
        <v>85442.354635152005</v>
      </c>
      <c r="T3368" cm="1">
        <f t="array" ref="T3368">IF(OR(B3368="MAL ALIMI", B3368="ÜRETİM GİRİŞ"), MIN(I3368, MAX(0, I3368 + SUM(SUMIFS($I$1:I3367, $C$1:C3367, C3368, $B$1:B3367, {"MAL ALIMI","ÜRETİM GİRİŞ"})) - VLOOKUP(C3368, 'STOK RAPORU'!$C$2:$I$1000, 4, 0))), 0)</f>
        <v>0</v>
      </c>
      <c r="U3368" s="22">
        <f t="shared" si="208"/>
        <v>0</v>
      </c>
      <c r="V3368">
        <f t="shared" si="209"/>
        <v>0</v>
      </c>
      <c r="W3368" s="22">
        <f t="shared" si="210"/>
        <v>0</v>
      </c>
    </row>
    <row r="3369" spans="1:23" hidden="1" x14ac:dyDescent="0.25">
      <c r="A3369" s="45">
        <v>46042</v>
      </c>
      <c r="B3369" s="4" t="s">
        <v>917</v>
      </c>
      <c r="C3369" s="4"/>
      <c r="D3369" s="4"/>
      <c r="E3369" s="4" t="s">
        <v>1505</v>
      </c>
      <c r="F3369" s="4"/>
      <c r="G3369" s="4" t="s">
        <v>1803</v>
      </c>
      <c r="H3369" s="4" t="s">
        <v>289</v>
      </c>
      <c r="I3369" s="4">
        <v>1</v>
      </c>
      <c r="J3369" s="21">
        <v>0</v>
      </c>
      <c r="K3369" s="21">
        <v>63800</v>
      </c>
      <c r="L3369" s="5">
        <v>0</v>
      </c>
      <c r="M3369" s="4"/>
      <c r="N3369" s="4"/>
      <c r="O3369" s="5"/>
      <c r="P3369" s="5"/>
      <c r="Q3369" s="21">
        <v>0</v>
      </c>
      <c r="R3369" s="21">
        <v>63800</v>
      </c>
      <c r="S3369" s="5">
        <f t="shared" si="211"/>
        <v>21642.354635152005</v>
      </c>
      <c r="T3369" cm="1">
        <f t="array" ref="T3369">IF(OR(B3369="MAL ALIMI", B3369="ÜRETİM GİRİŞ"), MIN(I3369, MAX(0, I3369 + SUM(SUMIFS($I$1:I3368, $C$1:C3368, C3369, $B$1:B3368, {"MAL ALIMI","ÜRETİM GİRİŞ"})) - VLOOKUP(C3369, 'STOK RAPORU'!$C$2:$I$1000, 4, 0))), 0)</f>
        <v>0</v>
      </c>
      <c r="U3369" s="22">
        <f t="shared" si="208"/>
        <v>0</v>
      </c>
      <c r="V3369">
        <f t="shared" si="209"/>
        <v>0</v>
      </c>
      <c r="W3369" s="22">
        <f t="shared" si="210"/>
        <v>0</v>
      </c>
    </row>
    <row r="3370" spans="1:23" hidden="1" x14ac:dyDescent="0.25">
      <c r="A3370" s="3">
        <v>46042</v>
      </c>
      <c r="B3370" s="4" t="s">
        <v>946</v>
      </c>
      <c r="C3370" s="4"/>
      <c r="D3370" s="4"/>
      <c r="E3370" s="4" t="s">
        <v>921</v>
      </c>
      <c r="F3370" s="4"/>
      <c r="G3370" s="4" t="s">
        <v>946</v>
      </c>
      <c r="H3370" s="4" t="s">
        <v>380</v>
      </c>
      <c r="I3370" s="4">
        <v>1</v>
      </c>
      <c r="J3370" s="105">
        <v>2546</v>
      </c>
      <c r="K3370" s="21">
        <v>0</v>
      </c>
      <c r="L3370" s="102">
        <v>2546</v>
      </c>
      <c r="M3370" s="4"/>
      <c r="N3370" s="4"/>
      <c r="O3370" s="5"/>
      <c r="P3370" s="5"/>
      <c r="Q3370" s="21">
        <v>2546</v>
      </c>
      <c r="R3370" s="21">
        <v>0</v>
      </c>
      <c r="S3370" s="5">
        <f t="shared" si="211"/>
        <v>24188.354635152005</v>
      </c>
      <c r="T3370" cm="1">
        <f t="array" ref="T3370">IF(OR(B3370="MAL ALIMI", B3370="ÜRETİM GİRİŞ"), MIN(I3370, MAX(0, I3370 + SUM(SUMIFS($I$1:I3369, $C$1:C3369, C3370, $B$1:B3369, {"MAL ALIMI","ÜRETİM GİRİŞ"})) - VLOOKUP(C3370, 'STOK RAPORU'!$C$2:$I$1000, 4, 0))), 0)</f>
        <v>0</v>
      </c>
      <c r="U3370" s="22">
        <f t="shared" si="208"/>
        <v>0</v>
      </c>
      <c r="V3370">
        <f t="shared" si="209"/>
        <v>0</v>
      </c>
      <c r="W3370" s="22">
        <f t="shared" si="210"/>
        <v>0</v>
      </c>
    </row>
    <row r="3371" spans="1:23" hidden="1" x14ac:dyDescent="0.25">
      <c r="A3371" s="3">
        <v>46042</v>
      </c>
      <c r="B3371" s="4" t="s">
        <v>946</v>
      </c>
      <c r="C3371" s="4"/>
      <c r="D3371" s="4"/>
      <c r="E3371" s="4" t="s">
        <v>921</v>
      </c>
      <c r="F3371" s="4"/>
      <c r="G3371" s="4" t="s">
        <v>946</v>
      </c>
      <c r="H3371" s="4" t="s">
        <v>380</v>
      </c>
      <c r="I3371" s="4">
        <v>1</v>
      </c>
      <c r="J3371" s="105">
        <v>215</v>
      </c>
      <c r="K3371" s="21">
        <v>0</v>
      </c>
      <c r="L3371" s="102">
        <v>215</v>
      </c>
      <c r="M3371" s="4"/>
      <c r="N3371" s="4"/>
      <c r="O3371" s="5"/>
      <c r="P3371" s="5"/>
      <c r="Q3371" s="21">
        <v>215</v>
      </c>
      <c r="R3371" s="21">
        <v>0</v>
      </c>
      <c r="S3371" s="5">
        <f t="shared" si="211"/>
        <v>24403.354635152005</v>
      </c>
      <c r="T3371" cm="1">
        <f t="array" ref="T3371">IF(OR(B3371="MAL ALIMI", B3371="ÜRETİM GİRİŞ"), MIN(I3371, MAX(0, I3371 + SUM(SUMIFS($I$1:I3370, $C$1:C3370, C3371, $B$1:B3370, {"MAL ALIMI","ÜRETİM GİRİŞ"})) - VLOOKUP(C3371, 'STOK RAPORU'!$C$2:$I$1000, 4, 0))), 0)</f>
        <v>0</v>
      </c>
      <c r="U3371" s="22">
        <f t="shared" si="208"/>
        <v>0</v>
      </c>
      <c r="V3371">
        <f t="shared" si="209"/>
        <v>0</v>
      </c>
      <c r="W3371" s="22">
        <f t="shared" si="210"/>
        <v>0</v>
      </c>
    </row>
    <row r="3372" spans="1:23" hidden="1" x14ac:dyDescent="0.25">
      <c r="A3372" s="45">
        <v>46043</v>
      </c>
      <c r="B3372" s="46" t="s">
        <v>334</v>
      </c>
      <c r="C3372" s="4" t="s">
        <v>587</v>
      </c>
      <c r="D3372" s="4"/>
      <c r="E3372" s="4" t="s">
        <v>921</v>
      </c>
      <c r="F3372" s="46" t="s">
        <v>1804</v>
      </c>
      <c r="G3372" s="4" t="s">
        <v>336</v>
      </c>
      <c r="H3372" s="46" t="s">
        <v>380</v>
      </c>
      <c r="I3372" s="4">
        <v>1</v>
      </c>
      <c r="J3372" s="21">
        <v>150</v>
      </c>
      <c r="K3372" s="21">
        <v>150</v>
      </c>
      <c r="L3372" s="5">
        <v>0</v>
      </c>
      <c r="M3372" s="4"/>
      <c r="N3372" s="4"/>
      <c r="O3372" s="5"/>
      <c r="P3372" s="5"/>
      <c r="Q3372" s="21">
        <v>0</v>
      </c>
      <c r="R3372" s="21">
        <v>0</v>
      </c>
      <c r="S3372" s="5">
        <f t="shared" si="211"/>
        <v>24403.354635152005</v>
      </c>
      <c r="T3372" cm="1">
        <f t="array" ref="T3372">IF(OR(B3372="MAL ALIMI", B3372="ÜRETİM GİRİŞ"), MIN(I3372, MAX(0, I3372 + SUM(SUMIFS($I$1:I3371, $C$1:C3371, C3372, $B$1:B3371, {"MAL ALIMI","ÜRETİM GİRİŞ"})) - VLOOKUP(C3372, 'STOK RAPORU'!$C$2:$I$1000, 4, 0))), 0)</f>
        <v>0</v>
      </c>
      <c r="U3372" s="22">
        <f t="shared" si="208"/>
        <v>0</v>
      </c>
      <c r="V3372">
        <f t="shared" si="209"/>
        <v>0</v>
      </c>
      <c r="W3372" s="22">
        <f t="shared" si="210"/>
        <v>0</v>
      </c>
    </row>
    <row r="3373" spans="1:23" hidden="1" x14ac:dyDescent="0.25">
      <c r="A3373" s="45">
        <v>46043</v>
      </c>
      <c r="B3373" s="46" t="s">
        <v>334</v>
      </c>
      <c r="C3373" s="4" t="s">
        <v>160</v>
      </c>
      <c r="D3373" s="4"/>
      <c r="E3373" s="4"/>
      <c r="F3373" s="46" t="s">
        <v>1805</v>
      </c>
      <c r="G3373" s="4" t="s">
        <v>336</v>
      </c>
      <c r="H3373" s="46" t="s">
        <v>289</v>
      </c>
      <c r="I3373" s="4">
        <v>1</v>
      </c>
      <c r="J3373" s="21">
        <v>250</v>
      </c>
      <c r="K3373" s="21">
        <v>0</v>
      </c>
      <c r="L3373" s="5">
        <v>0</v>
      </c>
      <c r="M3373" s="4"/>
      <c r="N3373" s="4"/>
      <c r="O3373" s="5"/>
      <c r="P3373" s="5"/>
      <c r="Q3373" s="21">
        <v>250</v>
      </c>
      <c r="R3373" s="21">
        <v>0</v>
      </c>
      <c r="S3373" s="5">
        <f t="shared" si="211"/>
        <v>24653.354635152005</v>
      </c>
      <c r="T3373" cm="1">
        <f t="array" ref="T3373">IF(OR(B3373="MAL ALIMI", B3373="ÜRETİM GİRİŞ"), MIN(I3373, MAX(0, I3373 + SUM(SUMIFS($I$1:I3372, $C$1:C3372, C3373, $B$1:B3372, {"MAL ALIMI","ÜRETİM GİRİŞ"})) - VLOOKUP(C3373, 'STOK RAPORU'!$C$2:$I$1000, 4, 0))), 0)</f>
        <v>0</v>
      </c>
      <c r="U3373" s="22">
        <f t="shared" si="208"/>
        <v>0</v>
      </c>
      <c r="V3373">
        <f t="shared" si="209"/>
        <v>0</v>
      </c>
      <c r="W3373" s="22">
        <f t="shared" si="210"/>
        <v>0</v>
      </c>
    </row>
    <row r="3374" spans="1:23" hidden="1" x14ac:dyDescent="0.25">
      <c r="A3374" s="45">
        <v>46043</v>
      </c>
      <c r="B3374" s="46" t="s">
        <v>334</v>
      </c>
      <c r="C3374" s="4" t="s">
        <v>218</v>
      </c>
      <c r="D3374" s="4"/>
      <c r="E3374" s="4" t="s">
        <v>921</v>
      </c>
      <c r="F3374" s="46" t="s">
        <v>1806</v>
      </c>
      <c r="G3374" s="4" t="s">
        <v>336</v>
      </c>
      <c r="H3374" s="46" t="s">
        <v>380</v>
      </c>
      <c r="I3374" s="4">
        <v>1</v>
      </c>
      <c r="J3374" s="21">
        <v>305</v>
      </c>
      <c r="K3374" s="21">
        <v>305</v>
      </c>
      <c r="L3374" s="5">
        <v>0</v>
      </c>
      <c r="M3374" s="4"/>
      <c r="N3374" s="4"/>
      <c r="O3374" s="5"/>
      <c r="P3374" s="5"/>
      <c r="Q3374" s="21">
        <v>0</v>
      </c>
      <c r="R3374" s="21">
        <v>0</v>
      </c>
      <c r="S3374" s="5">
        <f t="shared" si="211"/>
        <v>24653.354635152005</v>
      </c>
      <c r="T3374" cm="1">
        <f t="array" ref="T3374">IF(OR(B3374="MAL ALIMI", B3374="ÜRETİM GİRİŞ"), MIN(I3374, MAX(0, I3374 + SUM(SUMIFS($I$1:I3373, $C$1:C3373, C3374, $B$1:B3373, {"MAL ALIMI","ÜRETİM GİRİŞ"})) - VLOOKUP(C3374, 'STOK RAPORU'!$C$2:$I$1000, 4, 0))), 0)</f>
        <v>0</v>
      </c>
      <c r="U3374" s="22">
        <f t="shared" si="208"/>
        <v>0</v>
      </c>
      <c r="V3374">
        <f t="shared" si="209"/>
        <v>0</v>
      </c>
      <c r="W3374" s="22">
        <f t="shared" si="210"/>
        <v>0</v>
      </c>
    </row>
    <row r="3375" spans="1:23" hidden="1" x14ac:dyDescent="0.25">
      <c r="A3375" s="45">
        <v>46043</v>
      </c>
      <c r="B3375" s="46" t="s">
        <v>334</v>
      </c>
      <c r="C3375" s="4" t="s">
        <v>92</v>
      </c>
      <c r="D3375" s="4"/>
      <c r="E3375" s="4" t="s">
        <v>921</v>
      </c>
      <c r="F3375" s="46" t="s">
        <v>1806</v>
      </c>
      <c r="G3375" s="4" t="s">
        <v>336</v>
      </c>
      <c r="H3375" s="46" t="s">
        <v>380</v>
      </c>
      <c r="I3375" s="4">
        <v>0.28999999999999998</v>
      </c>
      <c r="J3375" s="21">
        <v>500</v>
      </c>
      <c r="K3375" s="21">
        <v>145</v>
      </c>
      <c r="L3375" s="5">
        <v>0</v>
      </c>
      <c r="M3375" s="4"/>
      <c r="N3375" s="4"/>
      <c r="O3375" s="5"/>
      <c r="P3375" s="5"/>
      <c r="Q3375" s="21">
        <v>0</v>
      </c>
      <c r="R3375" s="21">
        <v>0</v>
      </c>
      <c r="S3375" s="5">
        <f t="shared" si="211"/>
        <v>24653.354635152005</v>
      </c>
      <c r="T3375" cm="1">
        <f t="array" ref="T3375">IF(OR(B3375="MAL ALIMI", B3375="ÜRETİM GİRİŞ"), MIN(I3375, MAX(0, I3375 + SUM(SUMIFS($I$1:I3374, $C$1:C3374, C3375, $B$1:B3374, {"MAL ALIMI","ÜRETİM GİRİŞ"})) - VLOOKUP(C3375, 'STOK RAPORU'!$C$2:$I$1000, 4, 0))), 0)</f>
        <v>0</v>
      </c>
      <c r="U3375" s="22">
        <f t="shared" si="208"/>
        <v>0</v>
      </c>
      <c r="V3375">
        <f t="shared" si="209"/>
        <v>0</v>
      </c>
      <c r="W3375" s="22">
        <f t="shared" si="210"/>
        <v>0</v>
      </c>
    </row>
    <row r="3376" spans="1:23" hidden="1" x14ac:dyDescent="0.25">
      <c r="A3376" s="45">
        <v>46043</v>
      </c>
      <c r="B3376" s="46" t="s">
        <v>334</v>
      </c>
      <c r="C3376" s="4" t="s">
        <v>1501</v>
      </c>
      <c r="D3376" s="4"/>
      <c r="E3376" s="4" t="s">
        <v>921</v>
      </c>
      <c r="F3376" s="46" t="s">
        <v>1806</v>
      </c>
      <c r="G3376" s="4" t="s">
        <v>336</v>
      </c>
      <c r="H3376" s="46" t="s">
        <v>380</v>
      </c>
      <c r="I3376" s="4">
        <v>1</v>
      </c>
      <c r="J3376" s="21">
        <v>600</v>
      </c>
      <c r="K3376" s="21">
        <v>600</v>
      </c>
      <c r="L3376" s="5">
        <v>0</v>
      </c>
      <c r="M3376" s="4"/>
      <c r="N3376" s="4"/>
      <c r="O3376" s="5"/>
      <c r="P3376" s="5"/>
      <c r="Q3376" s="21">
        <v>0</v>
      </c>
      <c r="R3376" s="21">
        <v>0</v>
      </c>
      <c r="S3376" s="5">
        <f t="shared" si="211"/>
        <v>24653.354635152005</v>
      </c>
      <c r="T3376" cm="1">
        <f t="array" ref="T3376">IF(OR(B3376="MAL ALIMI", B3376="ÜRETİM GİRİŞ"), MIN(I3376, MAX(0, I3376 + SUM(SUMIFS($I$1:I3375, $C$1:C3375, C3376, $B$1:B3375, {"MAL ALIMI","ÜRETİM GİRİŞ"})) - VLOOKUP(C3376, 'STOK RAPORU'!$C$2:$I$1000, 4, 0))), 0)</f>
        <v>0</v>
      </c>
      <c r="U3376" s="22">
        <f t="shared" si="208"/>
        <v>0</v>
      </c>
      <c r="V3376">
        <f t="shared" si="209"/>
        <v>0</v>
      </c>
      <c r="W3376" s="22">
        <f t="shared" si="210"/>
        <v>0</v>
      </c>
    </row>
    <row r="3377" spans="1:23" hidden="1" x14ac:dyDescent="0.25">
      <c r="A3377" s="45">
        <v>46043</v>
      </c>
      <c r="B3377" s="46" t="s">
        <v>334</v>
      </c>
      <c r="C3377" s="4" t="s">
        <v>160</v>
      </c>
      <c r="D3377" s="4"/>
      <c r="E3377" s="4" t="s">
        <v>921</v>
      </c>
      <c r="F3377" s="46" t="s">
        <v>1807</v>
      </c>
      <c r="G3377" s="4" t="s">
        <v>336</v>
      </c>
      <c r="H3377" s="46" t="s">
        <v>380</v>
      </c>
      <c r="I3377" s="4">
        <v>1</v>
      </c>
      <c r="J3377" s="21">
        <v>200</v>
      </c>
      <c r="K3377" s="21">
        <v>200</v>
      </c>
      <c r="L3377" s="5">
        <v>0</v>
      </c>
      <c r="M3377" s="4"/>
      <c r="N3377" s="4"/>
      <c r="O3377" s="5"/>
      <c r="P3377" s="5"/>
      <c r="Q3377" s="21">
        <v>0</v>
      </c>
      <c r="R3377" s="21">
        <v>0</v>
      </c>
      <c r="S3377" s="5">
        <f t="shared" si="211"/>
        <v>24653.354635152005</v>
      </c>
      <c r="T3377" cm="1">
        <f t="array" ref="T3377">IF(OR(B3377="MAL ALIMI", B3377="ÜRETİM GİRİŞ"), MIN(I3377, MAX(0, I3377 + SUM(SUMIFS($I$1:I3376, $C$1:C3376, C3377, $B$1:B3376, {"MAL ALIMI","ÜRETİM GİRİŞ"})) - VLOOKUP(C3377, 'STOK RAPORU'!$C$2:$I$1000, 4, 0))), 0)</f>
        <v>0</v>
      </c>
      <c r="U3377" s="22">
        <f t="shared" si="208"/>
        <v>0</v>
      </c>
      <c r="V3377">
        <f t="shared" si="209"/>
        <v>0</v>
      </c>
      <c r="W3377" s="22">
        <f t="shared" si="210"/>
        <v>0</v>
      </c>
    </row>
    <row r="3378" spans="1:23" hidden="1" x14ac:dyDescent="0.25">
      <c r="A3378" s="45">
        <v>46043</v>
      </c>
      <c r="B3378" s="46" t="s">
        <v>334</v>
      </c>
      <c r="C3378" s="4" t="s">
        <v>160</v>
      </c>
      <c r="D3378" s="4"/>
      <c r="E3378" s="4" t="s">
        <v>921</v>
      </c>
      <c r="F3378" s="46" t="s">
        <v>1808</v>
      </c>
      <c r="G3378" s="4" t="s">
        <v>336</v>
      </c>
      <c r="H3378" s="46" t="s">
        <v>380</v>
      </c>
      <c r="I3378" s="4">
        <v>1</v>
      </c>
      <c r="J3378" s="21">
        <v>250</v>
      </c>
      <c r="K3378" s="21">
        <v>250</v>
      </c>
      <c r="L3378" s="5">
        <v>0</v>
      </c>
      <c r="M3378" s="4"/>
      <c r="N3378" s="4"/>
      <c r="O3378" s="5"/>
      <c r="P3378" s="5"/>
      <c r="Q3378" s="21">
        <v>0</v>
      </c>
      <c r="R3378" s="21">
        <v>0</v>
      </c>
      <c r="S3378" s="5">
        <f t="shared" si="211"/>
        <v>24653.354635152005</v>
      </c>
      <c r="T3378" cm="1">
        <f t="array" ref="T3378">IF(OR(B3378="MAL ALIMI", B3378="ÜRETİM GİRİŞ"), MIN(I3378, MAX(0, I3378 + SUM(SUMIFS($I$1:I3377, $C$1:C3377, C3378, $B$1:B3377, {"MAL ALIMI","ÜRETİM GİRİŞ"})) - VLOOKUP(C3378, 'STOK RAPORU'!$C$2:$I$1000, 4, 0))), 0)</f>
        <v>0</v>
      </c>
      <c r="U3378" s="22">
        <f t="shared" si="208"/>
        <v>0</v>
      </c>
      <c r="V3378">
        <f t="shared" si="209"/>
        <v>0</v>
      </c>
      <c r="W3378" s="22">
        <f t="shared" si="210"/>
        <v>0</v>
      </c>
    </row>
    <row r="3379" spans="1:23" hidden="1" x14ac:dyDescent="0.25">
      <c r="A3379" s="45">
        <v>46043</v>
      </c>
      <c r="B3379" s="46" t="s">
        <v>334</v>
      </c>
      <c r="C3379" s="4" t="s">
        <v>160</v>
      </c>
      <c r="D3379" s="4"/>
      <c r="E3379" s="4"/>
      <c r="F3379" s="46" t="s">
        <v>1809</v>
      </c>
      <c r="G3379" s="4" t="s">
        <v>336</v>
      </c>
      <c r="H3379" s="46" t="s">
        <v>289</v>
      </c>
      <c r="I3379" s="4">
        <v>1</v>
      </c>
      <c r="J3379" s="21">
        <v>250</v>
      </c>
      <c r="K3379" s="21">
        <v>0</v>
      </c>
      <c r="L3379" s="5">
        <v>0</v>
      </c>
      <c r="M3379" s="4"/>
      <c r="N3379" s="4"/>
      <c r="O3379" s="5"/>
      <c r="P3379" s="5"/>
      <c r="Q3379" s="21">
        <v>250</v>
      </c>
      <c r="R3379" s="21">
        <v>0</v>
      </c>
      <c r="S3379" s="5">
        <f t="shared" si="211"/>
        <v>24903.354635152005</v>
      </c>
      <c r="T3379" cm="1">
        <f t="array" ref="T3379">IF(OR(B3379="MAL ALIMI", B3379="ÜRETİM GİRİŞ"), MIN(I3379, MAX(0, I3379 + SUM(SUMIFS($I$1:I3378, $C$1:C3378, C3379, $B$1:B3378, {"MAL ALIMI","ÜRETİM GİRİŞ"})) - VLOOKUP(C3379, 'STOK RAPORU'!$C$2:$I$1000, 4, 0))), 0)</f>
        <v>0</v>
      </c>
      <c r="U3379" s="22">
        <f t="shared" si="208"/>
        <v>0</v>
      </c>
      <c r="V3379">
        <f t="shared" si="209"/>
        <v>0</v>
      </c>
      <c r="W3379" s="22">
        <f t="shared" si="210"/>
        <v>0</v>
      </c>
    </row>
    <row r="3380" spans="1:23" hidden="1" x14ac:dyDescent="0.25">
      <c r="A3380" s="45">
        <v>46043</v>
      </c>
      <c r="B3380" s="46" t="s">
        <v>334</v>
      </c>
      <c r="C3380" s="4" t="s">
        <v>264</v>
      </c>
      <c r="D3380" s="4"/>
      <c r="E3380" s="4"/>
      <c r="F3380" s="46" t="s">
        <v>1810</v>
      </c>
      <c r="G3380" s="4" t="s">
        <v>336</v>
      </c>
      <c r="H3380" s="46" t="s">
        <v>289</v>
      </c>
      <c r="I3380" s="4">
        <v>1</v>
      </c>
      <c r="J3380" s="21">
        <v>140</v>
      </c>
      <c r="K3380" s="21">
        <v>0</v>
      </c>
      <c r="L3380" s="5">
        <v>0</v>
      </c>
      <c r="M3380" s="4"/>
      <c r="N3380" s="4"/>
      <c r="O3380" s="5"/>
      <c r="P3380" s="5"/>
      <c r="Q3380" s="21">
        <v>140</v>
      </c>
      <c r="R3380" s="21">
        <v>0</v>
      </c>
      <c r="S3380" s="5">
        <f t="shared" si="211"/>
        <v>25043.354635152005</v>
      </c>
      <c r="T3380" cm="1">
        <f t="array" ref="T3380">IF(OR(B3380="MAL ALIMI", B3380="ÜRETİM GİRİŞ"), MIN(I3380, MAX(0, I3380 + SUM(SUMIFS($I$1:I3379, $C$1:C3379, C3380, $B$1:B3379, {"MAL ALIMI","ÜRETİM GİRİŞ"})) - VLOOKUP(C3380, 'STOK RAPORU'!$C$2:$I$1000, 4, 0))), 0)</f>
        <v>0</v>
      </c>
      <c r="U3380" s="22">
        <f t="shared" si="208"/>
        <v>0</v>
      </c>
      <c r="V3380">
        <f t="shared" si="209"/>
        <v>0</v>
      </c>
      <c r="W3380" s="22">
        <f t="shared" si="210"/>
        <v>0</v>
      </c>
    </row>
    <row r="3381" spans="1:23" hidden="1" x14ac:dyDescent="0.25">
      <c r="A3381" s="45">
        <v>46043</v>
      </c>
      <c r="B3381" s="46" t="s">
        <v>334</v>
      </c>
      <c r="C3381" s="4" t="s">
        <v>131</v>
      </c>
      <c r="D3381" s="4"/>
      <c r="E3381" s="4"/>
      <c r="F3381" s="46" t="s">
        <v>1810</v>
      </c>
      <c r="G3381" s="4" t="s">
        <v>336</v>
      </c>
      <c r="H3381" s="46" t="s">
        <v>289</v>
      </c>
      <c r="I3381" s="4">
        <v>2.75E-2</v>
      </c>
      <c r="J3381" s="21">
        <v>400</v>
      </c>
      <c r="K3381" s="21">
        <v>0</v>
      </c>
      <c r="L3381" s="5">
        <v>0</v>
      </c>
      <c r="M3381" s="4"/>
      <c r="N3381" s="4"/>
      <c r="O3381" s="5"/>
      <c r="P3381" s="5"/>
      <c r="Q3381" s="21">
        <v>11</v>
      </c>
      <c r="R3381" s="21">
        <v>0</v>
      </c>
      <c r="S3381" s="5">
        <f t="shared" si="211"/>
        <v>25054.354635152005</v>
      </c>
      <c r="T3381" cm="1">
        <f t="array" ref="T3381">IF(OR(B3381="MAL ALIMI", B3381="ÜRETİM GİRİŞ"), MIN(I3381, MAX(0, I3381 + SUM(SUMIFS($I$1:I3380, $C$1:C3380, C3381, $B$1:B3380, {"MAL ALIMI","ÜRETİM GİRİŞ"})) - VLOOKUP(C3381, 'STOK RAPORU'!$C$2:$I$1000, 4, 0))), 0)</f>
        <v>0</v>
      </c>
      <c r="U3381" s="22">
        <f t="shared" si="208"/>
        <v>0</v>
      </c>
      <c r="V3381">
        <f t="shared" si="209"/>
        <v>0</v>
      </c>
      <c r="W3381" s="22">
        <f t="shared" si="210"/>
        <v>0</v>
      </c>
    </row>
    <row r="3382" spans="1:23" hidden="1" x14ac:dyDescent="0.25">
      <c r="A3382" s="45">
        <v>46043</v>
      </c>
      <c r="B3382" s="46" t="s">
        <v>334</v>
      </c>
      <c r="C3382" s="4" t="s">
        <v>843</v>
      </c>
      <c r="D3382" s="4"/>
      <c r="E3382" s="4"/>
      <c r="F3382" s="46" t="s">
        <v>1811</v>
      </c>
      <c r="G3382" s="4" t="s">
        <v>336</v>
      </c>
      <c r="H3382" s="46" t="s">
        <v>289</v>
      </c>
      <c r="I3382" s="4">
        <v>0.1</v>
      </c>
      <c r="J3382" s="21">
        <v>900</v>
      </c>
      <c r="K3382" s="21">
        <v>0</v>
      </c>
      <c r="L3382" s="5">
        <v>0</v>
      </c>
      <c r="M3382" s="4"/>
      <c r="N3382" s="4"/>
      <c r="O3382" s="5"/>
      <c r="P3382" s="5"/>
      <c r="Q3382" s="21">
        <v>90</v>
      </c>
      <c r="R3382" s="21">
        <v>0</v>
      </c>
      <c r="S3382" s="5">
        <f t="shared" si="211"/>
        <v>25144.354635152005</v>
      </c>
      <c r="T3382" cm="1">
        <f t="array" ref="T3382">IF(OR(B3382="MAL ALIMI", B3382="ÜRETİM GİRİŞ"), MIN(I3382, MAX(0, I3382 + SUM(SUMIFS($I$1:I3381, $C$1:C3381, C3382, $B$1:B3381, {"MAL ALIMI","ÜRETİM GİRİŞ"})) - VLOOKUP(C3382, 'STOK RAPORU'!$C$2:$I$1000, 4, 0))), 0)</f>
        <v>0</v>
      </c>
      <c r="U3382" s="22">
        <f t="shared" si="208"/>
        <v>0</v>
      </c>
      <c r="V3382">
        <f t="shared" si="209"/>
        <v>0</v>
      </c>
      <c r="W3382" s="22">
        <f t="shared" si="210"/>
        <v>0</v>
      </c>
    </row>
    <row r="3383" spans="1:23" hidden="1" x14ac:dyDescent="0.25">
      <c r="A3383" s="45">
        <v>46043</v>
      </c>
      <c r="B3383" s="46" t="s">
        <v>334</v>
      </c>
      <c r="C3383" s="4" t="s">
        <v>160</v>
      </c>
      <c r="D3383" s="4"/>
      <c r="E3383" s="4" t="s">
        <v>921</v>
      </c>
      <c r="F3383" s="46" t="s">
        <v>1812</v>
      </c>
      <c r="G3383" s="4" t="s">
        <v>336</v>
      </c>
      <c r="H3383" s="46" t="s">
        <v>380</v>
      </c>
      <c r="I3383" s="4">
        <v>1</v>
      </c>
      <c r="J3383" s="21">
        <v>250</v>
      </c>
      <c r="K3383" s="21">
        <v>250</v>
      </c>
      <c r="L3383" s="5">
        <v>0</v>
      </c>
      <c r="M3383" s="4"/>
      <c r="N3383" s="4"/>
      <c r="O3383" s="5"/>
      <c r="P3383" s="5"/>
      <c r="Q3383" s="21">
        <v>0</v>
      </c>
      <c r="R3383" s="21">
        <v>0</v>
      </c>
      <c r="S3383" s="5">
        <f t="shared" si="211"/>
        <v>25144.354635152005</v>
      </c>
      <c r="T3383" cm="1">
        <f t="array" ref="T3383">IF(OR(B3383="MAL ALIMI", B3383="ÜRETİM GİRİŞ"), MIN(I3383, MAX(0, I3383 + SUM(SUMIFS($I$1:I3382, $C$1:C3382, C3383, $B$1:B3382, {"MAL ALIMI","ÜRETİM GİRİŞ"})) - VLOOKUP(C3383, 'STOK RAPORU'!$C$2:$I$1000, 4, 0))), 0)</f>
        <v>0</v>
      </c>
      <c r="U3383" s="22">
        <f t="shared" si="208"/>
        <v>0</v>
      </c>
      <c r="V3383">
        <f t="shared" si="209"/>
        <v>0</v>
      </c>
      <c r="W3383" s="22">
        <f t="shared" si="210"/>
        <v>0</v>
      </c>
    </row>
    <row r="3384" spans="1:23" hidden="1" x14ac:dyDescent="0.25">
      <c r="A3384" s="45">
        <v>46043</v>
      </c>
      <c r="B3384" s="46" t="s">
        <v>334</v>
      </c>
      <c r="C3384" s="4" t="s">
        <v>587</v>
      </c>
      <c r="D3384" s="4"/>
      <c r="E3384" s="4"/>
      <c r="F3384" s="46" t="s">
        <v>1813</v>
      </c>
      <c r="G3384" s="4" t="s">
        <v>336</v>
      </c>
      <c r="H3384" s="46" t="s">
        <v>289</v>
      </c>
      <c r="I3384" s="4">
        <v>1</v>
      </c>
      <c r="J3384" s="21">
        <v>150</v>
      </c>
      <c r="K3384" s="21">
        <v>0</v>
      </c>
      <c r="L3384" s="5">
        <v>0</v>
      </c>
      <c r="M3384" s="4"/>
      <c r="N3384" s="4"/>
      <c r="O3384" s="5"/>
      <c r="P3384" s="5"/>
      <c r="Q3384" s="21">
        <v>150</v>
      </c>
      <c r="R3384" s="21">
        <v>0</v>
      </c>
      <c r="S3384" s="5">
        <f t="shared" si="211"/>
        <v>25294.354635152005</v>
      </c>
      <c r="T3384" cm="1">
        <f t="array" ref="T3384">IF(OR(B3384="MAL ALIMI", B3384="ÜRETİM GİRİŞ"), MIN(I3384, MAX(0, I3384 + SUM(SUMIFS($I$1:I3383, $C$1:C3383, C3384, $B$1:B3383, {"MAL ALIMI","ÜRETİM GİRİŞ"})) - VLOOKUP(C3384, 'STOK RAPORU'!$C$2:$I$1000, 4, 0))), 0)</f>
        <v>0</v>
      </c>
      <c r="U3384" s="22">
        <f t="shared" si="208"/>
        <v>0</v>
      </c>
      <c r="V3384">
        <f t="shared" si="209"/>
        <v>0</v>
      </c>
      <c r="W3384" s="22">
        <f t="shared" si="210"/>
        <v>0</v>
      </c>
    </row>
    <row r="3385" spans="1:23" hidden="1" x14ac:dyDescent="0.25">
      <c r="A3385" s="45">
        <v>46043</v>
      </c>
      <c r="B3385" s="46" t="s">
        <v>334</v>
      </c>
      <c r="C3385" s="4" t="s">
        <v>163</v>
      </c>
      <c r="D3385" s="4"/>
      <c r="E3385" s="4"/>
      <c r="F3385" s="46" t="s">
        <v>1814</v>
      </c>
      <c r="G3385" s="4" t="s">
        <v>336</v>
      </c>
      <c r="H3385" s="46" t="s">
        <v>289</v>
      </c>
      <c r="I3385" s="4">
        <v>0.47619047619047616</v>
      </c>
      <c r="J3385" s="21">
        <v>420</v>
      </c>
      <c r="K3385" s="21">
        <v>0</v>
      </c>
      <c r="L3385" s="5">
        <v>0</v>
      </c>
      <c r="M3385" s="4"/>
      <c r="N3385" s="4"/>
      <c r="O3385" s="5"/>
      <c r="P3385" s="5"/>
      <c r="Q3385" s="21">
        <v>200</v>
      </c>
      <c r="R3385" s="21">
        <v>0</v>
      </c>
      <c r="S3385" s="5">
        <f t="shared" si="211"/>
        <v>25494.354635152005</v>
      </c>
      <c r="T3385" cm="1">
        <f t="array" ref="T3385">IF(OR(B3385="MAL ALIMI", B3385="ÜRETİM GİRİŞ"), MIN(I3385, MAX(0, I3385 + SUM(SUMIFS($I$1:I3384, $C$1:C3384, C3385, $B$1:B3384, {"MAL ALIMI","ÜRETİM GİRİŞ"})) - VLOOKUP(C3385, 'STOK RAPORU'!$C$2:$I$1000, 4, 0))), 0)</f>
        <v>0</v>
      </c>
      <c r="U3385" s="22">
        <f t="shared" si="208"/>
        <v>0</v>
      </c>
      <c r="V3385">
        <f t="shared" si="209"/>
        <v>0</v>
      </c>
      <c r="W3385" s="22">
        <f t="shared" si="210"/>
        <v>0</v>
      </c>
    </row>
    <row r="3386" spans="1:23" hidden="1" x14ac:dyDescent="0.25">
      <c r="A3386" s="45">
        <v>46043</v>
      </c>
      <c r="B3386" s="46" t="s">
        <v>334</v>
      </c>
      <c r="C3386" s="46" t="s">
        <v>585</v>
      </c>
      <c r="D3386" s="4"/>
      <c r="E3386" s="4"/>
      <c r="F3386" s="46" t="s">
        <v>1814</v>
      </c>
      <c r="G3386" s="4" t="s">
        <v>336</v>
      </c>
      <c r="H3386" s="46" t="s">
        <v>289</v>
      </c>
      <c r="I3386" s="4">
        <v>0.5</v>
      </c>
      <c r="J3386" s="21">
        <v>200</v>
      </c>
      <c r="K3386" s="21">
        <v>0</v>
      </c>
      <c r="L3386" s="5">
        <v>0</v>
      </c>
      <c r="M3386" s="4"/>
      <c r="N3386" s="4"/>
      <c r="O3386" s="5"/>
      <c r="P3386" s="5"/>
      <c r="Q3386" s="21">
        <v>100</v>
      </c>
      <c r="R3386" s="21">
        <v>0</v>
      </c>
      <c r="S3386" s="5">
        <f t="shared" si="211"/>
        <v>25594.354635152005</v>
      </c>
      <c r="T3386" cm="1">
        <f t="array" ref="T3386">IF(OR(B3386="MAL ALIMI", B3386="ÜRETİM GİRİŞ"), MIN(I3386, MAX(0, I3386 + SUM(SUMIFS($I$1:I3385, $C$1:C3385, C3386, $B$1:B3385, {"MAL ALIMI","ÜRETİM GİRİŞ"})) - VLOOKUP(C3386, 'STOK RAPORU'!$C$2:$I$1000, 4, 0))), 0)</f>
        <v>0</v>
      </c>
      <c r="U3386" s="22">
        <f t="shared" si="208"/>
        <v>0</v>
      </c>
      <c r="V3386">
        <f t="shared" si="209"/>
        <v>0</v>
      </c>
      <c r="W3386" s="22">
        <f t="shared" si="210"/>
        <v>0</v>
      </c>
    </row>
    <row r="3387" spans="1:23" hidden="1" x14ac:dyDescent="0.25">
      <c r="A3387" s="3">
        <v>46043</v>
      </c>
      <c r="B3387" s="4" t="s">
        <v>946</v>
      </c>
      <c r="C3387" s="4"/>
      <c r="D3387" s="4"/>
      <c r="E3387" s="4" t="s">
        <v>921</v>
      </c>
      <c r="F3387" s="4"/>
      <c r="G3387" s="4" t="s">
        <v>946</v>
      </c>
      <c r="H3387" s="4" t="s">
        <v>380</v>
      </c>
      <c r="I3387" s="4">
        <v>1</v>
      </c>
      <c r="J3387" s="105">
        <v>1107</v>
      </c>
      <c r="K3387" s="21">
        <v>0</v>
      </c>
      <c r="L3387" s="102">
        <v>1107</v>
      </c>
      <c r="M3387" s="4"/>
      <c r="N3387" s="4"/>
      <c r="O3387" s="5"/>
      <c r="P3387" s="5"/>
      <c r="Q3387" s="21">
        <v>1107</v>
      </c>
      <c r="R3387" s="21">
        <v>0</v>
      </c>
      <c r="S3387" s="5">
        <f t="shared" si="211"/>
        <v>26701.354635152005</v>
      </c>
      <c r="T3387" cm="1">
        <f t="array" ref="T3387">IF(OR(B3387="MAL ALIMI", B3387="ÜRETİM GİRİŞ"), MIN(I3387, MAX(0, I3387 + SUM(SUMIFS($I$1:I3386, $C$1:C3386, C3387, $B$1:B3386, {"MAL ALIMI","ÜRETİM GİRİŞ"})) - VLOOKUP(C3387, 'STOK RAPORU'!$C$2:$I$1000, 4, 0))), 0)</f>
        <v>0</v>
      </c>
      <c r="U3387" s="22">
        <f t="shared" si="208"/>
        <v>0</v>
      </c>
      <c r="V3387">
        <f t="shared" si="209"/>
        <v>0</v>
      </c>
      <c r="W3387" s="22">
        <f t="shared" si="210"/>
        <v>0</v>
      </c>
    </row>
    <row r="3388" spans="1:23" hidden="1" x14ac:dyDescent="0.25">
      <c r="A3388" s="3">
        <v>46043</v>
      </c>
      <c r="B3388" s="4" t="s">
        <v>946</v>
      </c>
      <c r="C3388" s="4"/>
      <c r="D3388" s="4"/>
      <c r="E3388" s="4" t="s">
        <v>921</v>
      </c>
      <c r="F3388" s="4"/>
      <c r="G3388" s="4" t="s">
        <v>946</v>
      </c>
      <c r="H3388" s="4" t="s">
        <v>380</v>
      </c>
      <c r="I3388" s="4">
        <v>1</v>
      </c>
      <c r="J3388" s="105">
        <v>1227</v>
      </c>
      <c r="K3388" s="21">
        <v>0</v>
      </c>
      <c r="L3388" s="102">
        <v>1227</v>
      </c>
      <c r="M3388" s="4"/>
      <c r="N3388" s="4"/>
      <c r="O3388" s="5"/>
      <c r="P3388" s="5"/>
      <c r="Q3388" s="21">
        <v>1227</v>
      </c>
      <c r="R3388" s="21">
        <v>0</v>
      </c>
      <c r="S3388" s="5">
        <f t="shared" si="211"/>
        <v>27928.354635152005</v>
      </c>
      <c r="T3388" cm="1">
        <f t="array" ref="T3388">IF(OR(B3388="MAL ALIMI", B3388="ÜRETİM GİRİŞ"), MIN(I3388, MAX(0, I3388 + SUM(SUMIFS($I$1:I3387, $C$1:C3387, C3388, $B$1:B3387, {"MAL ALIMI","ÜRETİM GİRİŞ"})) - VLOOKUP(C3388, 'STOK RAPORU'!$C$2:$I$1000, 4, 0))), 0)</f>
        <v>0</v>
      </c>
      <c r="U3388" s="22">
        <f t="shared" si="208"/>
        <v>0</v>
      </c>
      <c r="V3388">
        <f t="shared" si="209"/>
        <v>0</v>
      </c>
      <c r="W3388" s="22">
        <f t="shared" si="210"/>
        <v>0</v>
      </c>
    </row>
    <row r="3389" spans="1:23" hidden="1" x14ac:dyDescent="0.25">
      <c r="A3389" s="3">
        <v>46044</v>
      </c>
      <c r="B3389" s="46" t="s">
        <v>334</v>
      </c>
      <c r="C3389" s="46" t="s">
        <v>585</v>
      </c>
      <c r="D3389" s="4"/>
      <c r="E3389" s="4"/>
      <c r="F3389" s="46" t="s">
        <v>1817</v>
      </c>
      <c r="G3389" s="4" t="s">
        <v>336</v>
      </c>
      <c r="H3389" s="4" t="s">
        <v>289</v>
      </c>
      <c r="I3389" s="4">
        <v>0.3</v>
      </c>
      <c r="J3389" s="21">
        <v>200</v>
      </c>
      <c r="K3389" s="21">
        <v>0</v>
      </c>
      <c r="L3389" s="5">
        <v>0</v>
      </c>
      <c r="M3389" s="4"/>
      <c r="N3389" s="4"/>
      <c r="O3389" s="5"/>
      <c r="P3389" s="5"/>
      <c r="Q3389" s="21">
        <v>60</v>
      </c>
      <c r="R3389" s="21">
        <v>0</v>
      </c>
      <c r="S3389" s="5">
        <f t="shared" si="211"/>
        <v>27988.354635152005</v>
      </c>
      <c r="T3389" cm="1">
        <f t="array" ref="T3389">IF(OR(B3389="MAL ALIMI", B3389="ÜRETİM GİRİŞ"), MIN(I3389, MAX(0, I3389 + SUM(SUMIFS($I$1:I3388, $C$1:C3388, C3389, $B$1:B3388, {"MAL ALIMI","ÜRETİM GİRİŞ"})) - VLOOKUP(C3389, 'STOK RAPORU'!$C$2:$I$1000, 4, 0))), 0)</f>
        <v>0</v>
      </c>
      <c r="U3389" s="22">
        <f t="shared" si="208"/>
        <v>0</v>
      </c>
      <c r="V3389">
        <f t="shared" si="209"/>
        <v>0</v>
      </c>
      <c r="W3389" s="22">
        <f t="shared" si="210"/>
        <v>0</v>
      </c>
    </row>
    <row r="3390" spans="1:23" hidden="1" x14ac:dyDescent="0.25">
      <c r="A3390" s="3">
        <v>46044</v>
      </c>
      <c r="B3390" s="46" t="s">
        <v>334</v>
      </c>
      <c r="C3390" s="4" t="s">
        <v>161</v>
      </c>
      <c r="D3390" s="4"/>
      <c r="E3390" s="4"/>
      <c r="F3390" s="46" t="s">
        <v>1817</v>
      </c>
      <c r="G3390" s="4" t="s">
        <v>336</v>
      </c>
      <c r="H3390" s="4" t="s">
        <v>289</v>
      </c>
      <c r="I3390" s="4">
        <v>1</v>
      </c>
      <c r="J3390" s="21">
        <v>230</v>
      </c>
      <c r="K3390" s="21">
        <v>0</v>
      </c>
      <c r="L3390" s="5">
        <v>0</v>
      </c>
      <c r="M3390" s="4"/>
      <c r="N3390" s="4"/>
      <c r="O3390" s="5"/>
      <c r="P3390" s="5"/>
      <c r="Q3390" s="21">
        <v>230</v>
      </c>
      <c r="R3390" s="21">
        <v>0</v>
      </c>
      <c r="S3390" s="5">
        <f t="shared" si="211"/>
        <v>28218.354635152005</v>
      </c>
      <c r="T3390" cm="1">
        <f t="array" ref="T3390">IF(OR(B3390="MAL ALIMI", B3390="ÜRETİM GİRİŞ"), MIN(I3390, MAX(0, I3390 + SUM(SUMIFS($I$1:I3389, $C$1:C3389, C3390, $B$1:B3389, {"MAL ALIMI","ÜRETİM GİRİŞ"})) - VLOOKUP(C3390, 'STOK RAPORU'!$C$2:$I$1000, 4, 0))), 0)</f>
        <v>0</v>
      </c>
      <c r="U3390" s="22">
        <f t="shared" si="208"/>
        <v>0</v>
      </c>
      <c r="V3390">
        <f t="shared" si="209"/>
        <v>0</v>
      </c>
      <c r="W3390" s="22">
        <f t="shared" si="210"/>
        <v>0</v>
      </c>
    </row>
    <row r="3391" spans="1:23" hidden="1" x14ac:dyDescent="0.25">
      <c r="A3391" s="3">
        <v>46044</v>
      </c>
      <c r="B3391" s="46" t="s">
        <v>334</v>
      </c>
      <c r="C3391" s="4" t="s">
        <v>1126</v>
      </c>
      <c r="D3391" s="4"/>
      <c r="E3391" s="4" t="s">
        <v>921</v>
      </c>
      <c r="F3391" s="46" t="s">
        <v>1818</v>
      </c>
      <c r="G3391" s="4" t="s">
        <v>336</v>
      </c>
      <c r="H3391" s="4" t="s">
        <v>380</v>
      </c>
      <c r="I3391" s="4">
        <v>1</v>
      </c>
      <c r="J3391" s="21">
        <v>290</v>
      </c>
      <c r="K3391" s="21">
        <v>290</v>
      </c>
      <c r="L3391" s="5">
        <v>0</v>
      </c>
      <c r="M3391" s="4"/>
      <c r="N3391" s="4"/>
      <c r="O3391" s="5"/>
      <c r="P3391" s="5"/>
      <c r="Q3391" s="21">
        <v>0</v>
      </c>
      <c r="R3391" s="21">
        <v>0</v>
      </c>
      <c r="S3391" s="5">
        <f t="shared" si="211"/>
        <v>28218.354635152005</v>
      </c>
      <c r="T3391" cm="1">
        <f t="array" ref="T3391">IF(OR(B3391="MAL ALIMI", B3391="ÜRETİM GİRİŞ"), MIN(I3391, MAX(0, I3391 + SUM(SUMIFS($I$1:I3390, $C$1:C3390, C3391, $B$1:B3390, {"MAL ALIMI","ÜRETİM GİRİŞ"})) - VLOOKUP(C3391, 'STOK RAPORU'!$C$2:$I$1000, 4, 0))), 0)</f>
        <v>0</v>
      </c>
      <c r="U3391" s="22">
        <f t="shared" si="208"/>
        <v>0</v>
      </c>
      <c r="V3391">
        <f t="shared" si="209"/>
        <v>0</v>
      </c>
      <c r="W3391" s="22">
        <f t="shared" si="210"/>
        <v>0</v>
      </c>
    </row>
    <row r="3392" spans="1:23" hidden="1" x14ac:dyDescent="0.25">
      <c r="A3392" s="3">
        <v>46044</v>
      </c>
      <c r="B3392" s="46" t="s">
        <v>334</v>
      </c>
      <c r="C3392" s="4" t="s">
        <v>823</v>
      </c>
      <c r="D3392" s="4"/>
      <c r="E3392" s="4"/>
      <c r="F3392" s="46" t="s">
        <v>1819</v>
      </c>
      <c r="G3392" s="4" t="s">
        <v>336</v>
      </c>
      <c r="H3392" s="4" t="s">
        <v>289</v>
      </c>
      <c r="I3392" s="4">
        <v>1</v>
      </c>
      <c r="J3392" s="21">
        <v>125</v>
      </c>
      <c r="K3392" s="21">
        <v>0</v>
      </c>
      <c r="L3392" s="5">
        <v>0</v>
      </c>
      <c r="M3392" s="4"/>
      <c r="N3392" s="4"/>
      <c r="O3392" s="5"/>
      <c r="P3392" s="5"/>
      <c r="Q3392" s="21">
        <v>125</v>
      </c>
      <c r="R3392" s="21">
        <v>0</v>
      </c>
      <c r="S3392" s="5">
        <f t="shared" si="211"/>
        <v>28343.354635152005</v>
      </c>
      <c r="T3392" cm="1">
        <f t="array" ref="T3392">IF(OR(B3392="MAL ALIMI", B3392="ÜRETİM GİRİŞ"), MIN(I3392, MAX(0, I3392 + SUM(SUMIFS($I$1:I3391, $C$1:C3391, C3392, $B$1:B3391, {"MAL ALIMI","ÜRETİM GİRİŞ"})) - VLOOKUP(C3392, 'STOK RAPORU'!$C$2:$I$1000, 4, 0))), 0)</f>
        <v>0</v>
      </c>
      <c r="U3392" s="22">
        <f t="shared" si="208"/>
        <v>0</v>
      </c>
      <c r="V3392">
        <f t="shared" si="209"/>
        <v>0</v>
      </c>
      <c r="W3392" s="22">
        <f t="shared" si="210"/>
        <v>0</v>
      </c>
    </row>
    <row r="3393" spans="1:23" hidden="1" x14ac:dyDescent="0.25">
      <c r="A3393" s="3">
        <v>46044</v>
      </c>
      <c r="B3393" s="46" t="s">
        <v>334</v>
      </c>
      <c r="C3393" s="4" t="s">
        <v>160</v>
      </c>
      <c r="D3393" s="4"/>
      <c r="E3393" s="4" t="s">
        <v>921</v>
      </c>
      <c r="F3393" s="46" t="s">
        <v>1820</v>
      </c>
      <c r="G3393" s="4" t="s">
        <v>336</v>
      </c>
      <c r="H3393" s="4" t="s">
        <v>380</v>
      </c>
      <c r="I3393" s="4">
        <v>1</v>
      </c>
      <c r="J3393" s="21">
        <v>250</v>
      </c>
      <c r="K3393" s="21">
        <v>250</v>
      </c>
      <c r="L3393" s="5">
        <v>0</v>
      </c>
      <c r="M3393" s="4"/>
      <c r="N3393" s="4"/>
      <c r="O3393" s="5"/>
      <c r="P3393" s="5"/>
      <c r="Q3393" s="21">
        <v>0</v>
      </c>
      <c r="R3393" s="21">
        <v>0</v>
      </c>
      <c r="S3393" s="5">
        <f t="shared" si="211"/>
        <v>28343.354635152005</v>
      </c>
      <c r="T3393" cm="1">
        <f t="array" ref="T3393">IF(OR(B3393="MAL ALIMI", B3393="ÜRETİM GİRİŞ"), MIN(I3393, MAX(0, I3393 + SUM(SUMIFS($I$1:I3392, $C$1:C3392, C3393, $B$1:B3392, {"MAL ALIMI","ÜRETİM GİRİŞ"})) - VLOOKUP(C3393, 'STOK RAPORU'!$C$2:$I$1000, 4, 0))), 0)</f>
        <v>0</v>
      </c>
      <c r="U3393" s="22">
        <f t="shared" ref="U3393:U3456" si="212">T3393*J3393</f>
        <v>0</v>
      </c>
      <c r="V3393">
        <f t="shared" ref="V3393:V3456" si="213">IF(OR(B3393="MAL ALIMI", B3393="ÜRETİM GİRİŞ"), I3393 * J3393, 0)</f>
        <v>0</v>
      </c>
      <c r="W3393" s="22">
        <f t="shared" ref="W3393:W3456" si="214">V3393-U3393</f>
        <v>0</v>
      </c>
    </row>
    <row r="3394" spans="1:23" hidden="1" x14ac:dyDescent="0.25">
      <c r="A3394" s="3">
        <v>46044</v>
      </c>
      <c r="B3394" s="46" t="s">
        <v>334</v>
      </c>
      <c r="C3394" s="4" t="s">
        <v>161</v>
      </c>
      <c r="D3394" s="4"/>
      <c r="E3394" s="4" t="s">
        <v>921</v>
      </c>
      <c r="F3394" s="46" t="s">
        <v>1820</v>
      </c>
      <c r="G3394" s="4" t="s">
        <v>336</v>
      </c>
      <c r="H3394" s="4" t="s">
        <v>380</v>
      </c>
      <c r="I3394" s="4">
        <v>1</v>
      </c>
      <c r="J3394" s="21">
        <v>230</v>
      </c>
      <c r="K3394" s="21">
        <v>230</v>
      </c>
      <c r="L3394" s="5">
        <v>0</v>
      </c>
      <c r="M3394" s="4"/>
      <c r="N3394" s="4"/>
      <c r="O3394" s="5"/>
      <c r="P3394" s="5"/>
      <c r="Q3394" s="21">
        <v>0</v>
      </c>
      <c r="R3394" s="21">
        <v>0</v>
      </c>
      <c r="S3394" s="5">
        <f t="shared" si="211"/>
        <v>28343.354635152005</v>
      </c>
      <c r="T3394" cm="1">
        <f t="array" ref="T3394">IF(OR(B3394="MAL ALIMI", B3394="ÜRETİM GİRİŞ"), MIN(I3394, MAX(0, I3394 + SUM(SUMIFS($I$1:I3393, $C$1:C3393, C3394, $B$1:B3393, {"MAL ALIMI","ÜRETİM GİRİŞ"})) - VLOOKUP(C3394, 'STOK RAPORU'!$C$2:$I$1000, 4, 0))), 0)</f>
        <v>0</v>
      </c>
      <c r="U3394" s="22">
        <f t="shared" si="212"/>
        <v>0</v>
      </c>
      <c r="V3394">
        <f t="shared" si="213"/>
        <v>0</v>
      </c>
      <c r="W3394" s="22">
        <f t="shared" si="214"/>
        <v>0</v>
      </c>
    </row>
    <row r="3395" spans="1:23" hidden="1" x14ac:dyDescent="0.25">
      <c r="A3395" s="3">
        <v>46044</v>
      </c>
      <c r="B3395" s="46" t="s">
        <v>334</v>
      </c>
      <c r="C3395" s="4" t="s">
        <v>131</v>
      </c>
      <c r="D3395" s="4"/>
      <c r="E3395" s="4"/>
      <c r="F3395" s="46" t="s">
        <v>1821</v>
      </c>
      <c r="G3395" s="4" t="s">
        <v>336</v>
      </c>
      <c r="H3395" s="4" t="s">
        <v>289</v>
      </c>
      <c r="I3395" s="4">
        <v>8.2000000000000003E-2</v>
      </c>
      <c r="J3395" s="21">
        <v>400</v>
      </c>
      <c r="K3395" s="21">
        <v>0</v>
      </c>
      <c r="L3395" s="5">
        <v>0</v>
      </c>
      <c r="M3395" s="4"/>
      <c r="N3395" s="4"/>
      <c r="O3395" s="5"/>
      <c r="P3395" s="5"/>
      <c r="Q3395" s="21">
        <v>32.800000000000004</v>
      </c>
      <c r="R3395" s="21">
        <v>0</v>
      </c>
      <c r="S3395" s="5">
        <f t="shared" si="211"/>
        <v>28376.154635152005</v>
      </c>
      <c r="T3395" cm="1">
        <f t="array" ref="T3395">IF(OR(B3395="MAL ALIMI", B3395="ÜRETİM GİRİŞ"), MIN(I3395, MAX(0, I3395 + SUM(SUMIFS($I$1:I3394, $C$1:C3394, C3395, $B$1:B3394, {"MAL ALIMI","ÜRETİM GİRİŞ"})) - VLOOKUP(C3395, 'STOK RAPORU'!$C$2:$I$1000, 4, 0))), 0)</f>
        <v>0</v>
      </c>
      <c r="U3395" s="22">
        <f t="shared" si="212"/>
        <v>0</v>
      </c>
      <c r="V3395">
        <f t="shared" si="213"/>
        <v>0</v>
      </c>
      <c r="W3395" s="22">
        <f t="shared" si="214"/>
        <v>0</v>
      </c>
    </row>
    <row r="3396" spans="1:23" hidden="1" x14ac:dyDescent="0.25">
      <c r="A3396" s="3">
        <v>46044</v>
      </c>
      <c r="B3396" s="46" t="s">
        <v>334</v>
      </c>
      <c r="C3396" s="4" t="s">
        <v>129</v>
      </c>
      <c r="D3396" s="4"/>
      <c r="E3396" s="4"/>
      <c r="F3396" s="46" t="s">
        <v>1821</v>
      </c>
      <c r="G3396" s="4" t="s">
        <v>336</v>
      </c>
      <c r="H3396" s="4" t="s">
        <v>289</v>
      </c>
      <c r="I3396" s="4">
        <v>9.1999999999999998E-2</v>
      </c>
      <c r="J3396" s="21">
        <v>390</v>
      </c>
      <c r="K3396" s="21">
        <v>0</v>
      </c>
      <c r="L3396" s="5">
        <v>0</v>
      </c>
      <c r="M3396" s="4"/>
      <c r="N3396" s="4"/>
      <c r="O3396" s="5"/>
      <c r="P3396" s="5"/>
      <c r="Q3396" s="21">
        <v>35.880000000000003</v>
      </c>
      <c r="R3396" s="21">
        <v>0</v>
      </c>
      <c r="S3396" s="5">
        <f t="shared" ref="S3396:S3459" si="215">S3395+Q3396-R3396</f>
        <v>28412.034635152006</v>
      </c>
      <c r="T3396" cm="1">
        <f t="array" ref="T3396">IF(OR(B3396="MAL ALIMI", B3396="ÜRETİM GİRİŞ"), MIN(I3396, MAX(0, I3396 + SUM(SUMIFS($I$1:I3395, $C$1:C3395, C3396, $B$1:B3395, {"MAL ALIMI","ÜRETİM GİRİŞ"})) - VLOOKUP(C3396, 'STOK RAPORU'!$C$2:$I$1000, 4, 0))), 0)</f>
        <v>0</v>
      </c>
      <c r="U3396" s="22">
        <f t="shared" si="212"/>
        <v>0</v>
      </c>
      <c r="V3396">
        <f t="shared" si="213"/>
        <v>0</v>
      </c>
      <c r="W3396" s="22">
        <f t="shared" si="214"/>
        <v>0</v>
      </c>
    </row>
    <row r="3397" spans="1:23" hidden="1" x14ac:dyDescent="0.25">
      <c r="A3397" s="3">
        <v>46044</v>
      </c>
      <c r="B3397" s="46" t="s">
        <v>334</v>
      </c>
      <c r="C3397" s="4" t="s">
        <v>140</v>
      </c>
      <c r="D3397" s="4"/>
      <c r="E3397" s="4"/>
      <c r="F3397" s="46" t="s">
        <v>1821</v>
      </c>
      <c r="G3397" s="4" t="s">
        <v>336</v>
      </c>
      <c r="H3397" s="4" t="s">
        <v>289</v>
      </c>
      <c r="I3397" s="4">
        <v>0.156</v>
      </c>
      <c r="J3397" s="21">
        <v>300</v>
      </c>
      <c r="K3397" s="21">
        <v>0</v>
      </c>
      <c r="L3397" s="5">
        <v>0</v>
      </c>
      <c r="M3397" s="4"/>
      <c r="N3397" s="4"/>
      <c r="O3397" s="5"/>
      <c r="P3397" s="5"/>
      <c r="Q3397" s="21">
        <v>46.8</v>
      </c>
      <c r="R3397" s="21">
        <v>0</v>
      </c>
      <c r="S3397" s="5">
        <f t="shared" si="215"/>
        <v>28458.834635152005</v>
      </c>
      <c r="T3397" cm="1">
        <f t="array" ref="T3397">IF(OR(B3397="MAL ALIMI", B3397="ÜRETİM GİRİŞ"), MIN(I3397, MAX(0, I3397 + SUM(SUMIFS($I$1:I3396, $C$1:C3396, C3397, $B$1:B3396, {"MAL ALIMI","ÜRETİM GİRİŞ"})) - VLOOKUP(C3397, 'STOK RAPORU'!$C$2:$I$1000, 4, 0))), 0)</f>
        <v>0</v>
      </c>
      <c r="U3397" s="22">
        <f t="shared" si="212"/>
        <v>0</v>
      </c>
      <c r="V3397">
        <f t="shared" si="213"/>
        <v>0</v>
      </c>
      <c r="W3397" s="22">
        <f t="shared" si="214"/>
        <v>0</v>
      </c>
    </row>
    <row r="3398" spans="1:23" hidden="1" x14ac:dyDescent="0.25">
      <c r="A3398" s="3">
        <v>46044</v>
      </c>
      <c r="B3398" s="46" t="s">
        <v>334</v>
      </c>
      <c r="C3398" s="4" t="s">
        <v>92</v>
      </c>
      <c r="D3398" s="4"/>
      <c r="E3398" s="4"/>
      <c r="F3398" s="46" t="s">
        <v>1821</v>
      </c>
      <c r="G3398" s="4" t="s">
        <v>336</v>
      </c>
      <c r="H3398" s="4" t="s">
        <v>289</v>
      </c>
      <c r="I3398" s="4">
        <v>0.1</v>
      </c>
      <c r="J3398" s="21">
        <v>500</v>
      </c>
      <c r="K3398" s="21">
        <v>0</v>
      </c>
      <c r="L3398" s="5">
        <v>0</v>
      </c>
      <c r="M3398" s="4"/>
      <c r="N3398" s="4"/>
      <c r="O3398" s="5"/>
      <c r="P3398" s="5"/>
      <c r="Q3398" s="21">
        <v>50</v>
      </c>
      <c r="R3398" s="21">
        <v>0</v>
      </c>
      <c r="S3398" s="5">
        <f t="shared" si="215"/>
        <v>28508.834635152005</v>
      </c>
      <c r="T3398" cm="1">
        <f t="array" ref="T3398">IF(OR(B3398="MAL ALIMI", B3398="ÜRETİM GİRİŞ"), MIN(I3398, MAX(0, I3398 + SUM(SUMIFS($I$1:I3397, $C$1:C3397, C3398, $B$1:B3397, {"MAL ALIMI","ÜRETİM GİRİŞ"})) - VLOOKUP(C3398, 'STOK RAPORU'!$C$2:$I$1000, 4, 0))), 0)</f>
        <v>0</v>
      </c>
      <c r="U3398" s="22">
        <f t="shared" si="212"/>
        <v>0</v>
      </c>
      <c r="V3398">
        <f t="shared" si="213"/>
        <v>0</v>
      </c>
      <c r="W3398" s="22">
        <f t="shared" si="214"/>
        <v>0</v>
      </c>
    </row>
    <row r="3399" spans="1:23" hidden="1" x14ac:dyDescent="0.25">
      <c r="A3399" s="3">
        <v>46044</v>
      </c>
      <c r="B3399" s="46" t="s">
        <v>334</v>
      </c>
      <c r="C3399" s="4" t="s">
        <v>152</v>
      </c>
      <c r="D3399" s="4"/>
      <c r="E3399" s="4"/>
      <c r="F3399" s="46" t="s">
        <v>1821</v>
      </c>
      <c r="G3399" s="4" t="s">
        <v>336</v>
      </c>
      <c r="H3399" s="4" t="s">
        <v>289</v>
      </c>
      <c r="I3399" s="4">
        <v>0.1</v>
      </c>
      <c r="J3399" s="21">
        <v>400</v>
      </c>
      <c r="K3399" s="21">
        <v>0</v>
      </c>
      <c r="L3399" s="5">
        <v>0</v>
      </c>
      <c r="M3399" s="4"/>
      <c r="N3399" s="4"/>
      <c r="O3399" s="5"/>
      <c r="P3399" s="5"/>
      <c r="Q3399" s="21">
        <v>40</v>
      </c>
      <c r="R3399" s="21">
        <v>0</v>
      </c>
      <c r="S3399" s="5">
        <f t="shared" si="215"/>
        <v>28548.834635152005</v>
      </c>
      <c r="T3399" cm="1">
        <f t="array" ref="T3399">IF(OR(B3399="MAL ALIMI", B3399="ÜRETİM GİRİŞ"), MIN(I3399, MAX(0, I3399 + SUM(SUMIFS($I$1:I3398, $C$1:C3398, C3399, $B$1:B3398, {"MAL ALIMI","ÜRETİM GİRİŞ"})) - VLOOKUP(C3399, 'STOK RAPORU'!$C$2:$I$1000, 4, 0))), 0)</f>
        <v>0</v>
      </c>
      <c r="U3399" s="22">
        <f t="shared" si="212"/>
        <v>0</v>
      </c>
      <c r="V3399">
        <f t="shared" si="213"/>
        <v>0</v>
      </c>
      <c r="W3399" s="22">
        <f t="shared" si="214"/>
        <v>0</v>
      </c>
    </row>
    <row r="3400" spans="1:23" hidden="1" x14ac:dyDescent="0.25">
      <c r="A3400" s="3">
        <v>46044</v>
      </c>
      <c r="B3400" s="46" t="s">
        <v>334</v>
      </c>
      <c r="C3400" s="4" t="s">
        <v>134</v>
      </c>
      <c r="D3400" s="4"/>
      <c r="E3400" s="4"/>
      <c r="F3400" s="46" t="s">
        <v>1821</v>
      </c>
      <c r="G3400" s="4" t="s">
        <v>336</v>
      </c>
      <c r="H3400" s="4" t="s">
        <v>289</v>
      </c>
      <c r="I3400" s="4">
        <v>0.1</v>
      </c>
      <c r="J3400" s="21">
        <v>350</v>
      </c>
      <c r="K3400" s="21">
        <v>0</v>
      </c>
      <c r="L3400" s="5">
        <v>0</v>
      </c>
      <c r="M3400" s="4"/>
      <c r="N3400" s="4"/>
      <c r="O3400" s="5"/>
      <c r="P3400" s="5"/>
      <c r="Q3400" s="21">
        <v>35</v>
      </c>
      <c r="R3400" s="21">
        <v>0</v>
      </c>
      <c r="S3400" s="5">
        <f t="shared" si="215"/>
        <v>28583.834635152005</v>
      </c>
      <c r="T3400" cm="1">
        <f t="array" ref="T3400">IF(OR(B3400="MAL ALIMI", B3400="ÜRETİM GİRİŞ"), MIN(I3400, MAX(0, I3400 + SUM(SUMIFS($I$1:I3399, $C$1:C3399, C3400, $B$1:B3399, {"MAL ALIMI","ÜRETİM GİRİŞ"})) - VLOOKUP(C3400, 'STOK RAPORU'!$C$2:$I$1000, 4, 0))), 0)</f>
        <v>0</v>
      </c>
      <c r="U3400" s="22">
        <f t="shared" si="212"/>
        <v>0</v>
      </c>
      <c r="V3400">
        <f t="shared" si="213"/>
        <v>0</v>
      </c>
      <c r="W3400" s="22">
        <f t="shared" si="214"/>
        <v>0</v>
      </c>
    </row>
    <row r="3401" spans="1:23" hidden="1" x14ac:dyDescent="0.25">
      <c r="A3401" s="3">
        <v>46044</v>
      </c>
      <c r="B3401" s="46" t="s">
        <v>334</v>
      </c>
      <c r="C3401" s="4" t="s">
        <v>463</v>
      </c>
      <c r="D3401" s="4"/>
      <c r="E3401" s="4" t="s">
        <v>921</v>
      </c>
      <c r="F3401" s="46" t="s">
        <v>1822</v>
      </c>
      <c r="G3401" s="4" t="s">
        <v>439</v>
      </c>
      <c r="H3401" s="4" t="s">
        <v>380</v>
      </c>
      <c r="I3401" s="4">
        <v>2</v>
      </c>
      <c r="J3401" s="21">
        <v>250</v>
      </c>
      <c r="K3401" s="21">
        <v>500</v>
      </c>
      <c r="L3401" s="5">
        <v>0</v>
      </c>
      <c r="M3401" s="4"/>
      <c r="N3401" s="4"/>
      <c r="O3401" s="5"/>
      <c r="P3401" s="5"/>
      <c r="Q3401" s="21">
        <v>0</v>
      </c>
      <c r="R3401" s="21">
        <v>0</v>
      </c>
      <c r="S3401" s="5">
        <f t="shared" si="215"/>
        <v>28583.834635152005</v>
      </c>
      <c r="T3401" cm="1">
        <f t="array" ref="T3401">IF(OR(B3401="MAL ALIMI", B3401="ÜRETİM GİRİŞ"), MIN(I3401, MAX(0, I3401 + SUM(SUMIFS($I$1:I3400, $C$1:C3400, C3401, $B$1:B3400, {"MAL ALIMI","ÜRETİM GİRİŞ"})) - VLOOKUP(C3401, 'STOK RAPORU'!$C$2:$I$1000, 4, 0))), 0)</f>
        <v>0</v>
      </c>
      <c r="U3401" s="22">
        <f t="shared" si="212"/>
        <v>0</v>
      </c>
      <c r="V3401">
        <f t="shared" si="213"/>
        <v>0</v>
      </c>
      <c r="W3401" s="22">
        <f t="shared" si="214"/>
        <v>0</v>
      </c>
    </row>
    <row r="3402" spans="1:23" hidden="1" x14ac:dyDescent="0.25">
      <c r="A3402" s="3">
        <v>46044</v>
      </c>
      <c r="B3402" s="46" t="s">
        <v>334</v>
      </c>
      <c r="C3402" s="4" t="s">
        <v>92</v>
      </c>
      <c r="D3402" s="4"/>
      <c r="E3402" s="4" t="s">
        <v>921</v>
      </c>
      <c r="F3402" s="46" t="s">
        <v>1822</v>
      </c>
      <c r="G3402" s="4" t="s">
        <v>439</v>
      </c>
      <c r="H3402" s="4" t="s">
        <v>380</v>
      </c>
      <c r="I3402" s="4">
        <v>1</v>
      </c>
      <c r="J3402" s="21">
        <v>260</v>
      </c>
      <c r="K3402" s="21">
        <v>260</v>
      </c>
      <c r="L3402" s="5">
        <v>0</v>
      </c>
      <c r="M3402" s="4"/>
      <c r="N3402" s="4"/>
      <c r="O3402" s="5"/>
      <c r="P3402" s="5"/>
      <c r="Q3402" s="21">
        <v>0</v>
      </c>
      <c r="R3402" s="21">
        <v>0</v>
      </c>
      <c r="S3402" s="5">
        <f t="shared" si="215"/>
        <v>28583.834635152005</v>
      </c>
      <c r="T3402" cm="1">
        <f t="array" ref="T3402">IF(OR(B3402="MAL ALIMI", B3402="ÜRETİM GİRİŞ"), MIN(I3402, MAX(0, I3402 + SUM(SUMIFS($I$1:I3401, $C$1:C3401, C3402, $B$1:B3401, {"MAL ALIMI","ÜRETİM GİRİŞ"})) - VLOOKUP(C3402, 'STOK RAPORU'!$C$2:$I$1000, 4, 0))), 0)</f>
        <v>0</v>
      </c>
      <c r="U3402" s="22">
        <f t="shared" si="212"/>
        <v>0</v>
      </c>
      <c r="V3402">
        <f t="shared" si="213"/>
        <v>0</v>
      </c>
      <c r="W3402" s="22">
        <f t="shared" si="214"/>
        <v>0</v>
      </c>
    </row>
    <row r="3403" spans="1:23" hidden="1" x14ac:dyDescent="0.25">
      <c r="A3403" s="3">
        <v>46044</v>
      </c>
      <c r="B3403" s="46" t="s">
        <v>334</v>
      </c>
      <c r="C3403" s="4" t="s">
        <v>133</v>
      </c>
      <c r="D3403" s="4"/>
      <c r="E3403" s="4" t="s">
        <v>921</v>
      </c>
      <c r="F3403" s="46" t="s">
        <v>1822</v>
      </c>
      <c r="G3403" s="4" t="s">
        <v>439</v>
      </c>
      <c r="H3403" s="4" t="s">
        <v>380</v>
      </c>
      <c r="I3403" s="4">
        <v>1</v>
      </c>
      <c r="J3403" s="21">
        <v>235</v>
      </c>
      <c r="K3403" s="21">
        <v>235</v>
      </c>
      <c r="L3403" s="5">
        <v>0</v>
      </c>
      <c r="M3403" s="4"/>
      <c r="N3403" s="4"/>
      <c r="O3403" s="5"/>
      <c r="P3403" s="5"/>
      <c r="Q3403" s="21">
        <v>0</v>
      </c>
      <c r="R3403" s="21">
        <v>0</v>
      </c>
      <c r="S3403" s="5">
        <f t="shared" si="215"/>
        <v>28583.834635152005</v>
      </c>
      <c r="T3403" cm="1">
        <f t="array" ref="T3403">IF(OR(B3403="MAL ALIMI", B3403="ÜRETİM GİRİŞ"), MIN(I3403, MAX(0, I3403 + SUM(SUMIFS($I$1:I3402, $C$1:C3402, C3403, $B$1:B3402, {"MAL ALIMI","ÜRETİM GİRİŞ"})) - VLOOKUP(C3403, 'STOK RAPORU'!$C$2:$I$1000, 4, 0))), 0)</f>
        <v>0</v>
      </c>
      <c r="U3403" s="22">
        <f t="shared" si="212"/>
        <v>0</v>
      </c>
      <c r="V3403">
        <f t="shared" si="213"/>
        <v>0</v>
      </c>
      <c r="W3403" s="22">
        <f t="shared" si="214"/>
        <v>0</v>
      </c>
    </row>
    <row r="3404" spans="1:23" hidden="1" x14ac:dyDescent="0.25">
      <c r="A3404" s="3">
        <v>46044</v>
      </c>
      <c r="B3404" s="46" t="s">
        <v>334</v>
      </c>
      <c r="C3404" s="4" t="s">
        <v>96</v>
      </c>
      <c r="D3404" s="4"/>
      <c r="E3404" s="4" t="s">
        <v>921</v>
      </c>
      <c r="F3404" s="46" t="s">
        <v>1822</v>
      </c>
      <c r="G3404" s="4" t="s">
        <v>439</v>
      </c>
      <c r="H3404" s="4" t="s">
        <v>380</v>
      </c>
      <c r="I3404" s="4">
        <v>1</v>
      </c>
      <c r="J3404" s="21">
        <v>235</v>
      </c>
      <c r="K3404" s="21">
        <v>235</v>
      </c>
      <c r="L3404" s="5">
        <v>0</v>
      </c>
      <c r="M3404" s="4"/>
      <c r="N3404" s="4"/>
      <c r="O3404" s="5"/>
      <c r="P3404" s="5"/>
      <c r="Q3404" s="21">
        <v>0</v>
      </c>
      <c r="R3404" s="21">
        <v>0</v>
      </c>
      <c r="S3404" s="5">
        <f t="shared" si="215"/>
        <v>28583.834635152005</v>
      </c>
      <c r="T3404" cm="1">
        <f t="array" ref="T3404">IF(OR(B3404="MAL ALIMI", B3404="ÜRETİM GİRİŞ"), MIN(I3404, MAX(0, I3404 + SUM(SUMIFS($I$1:I3403, $C$1:C3403, C3404, $B$1:B3403, {"MAL ALIMI","ÜRETİM GİRİŞ"})) - VLOOKUP(C3404, 'STOK RAPORU'!$C$2:$I$1000, 4, 0))), 0)</f>
        <v>0</v>
      </c>
      <c r="U3404" s="22">
        <f t="shared" si="212"/>
        <v>0</v>
      </c>
      <c r="V3404">
        <f t="shared" si="213"/>
        <v>0</v>
      </c>
      <c r="W3404" s="22">
        <f t="shared" si="214"/>
        <v>0</v>
      </c>
    </row>
    <row r="3405" spans="1:23" hidden="1" x14ac:dyDescent="0.25">
      <c r="A3405" s="3">
        <v>46044</v>
      </c>
      <c r="B3405" s="46" t="s">
        <v>334</v>
      </c>
      <c r="C3405" s="4" t="s">
        <v>691</v>
      </c>
      <c r="D3405" s="4"/>
      <c r="E3405" s="4" t="s">
        <v>921</v>
      </c>
      <c r="F3405" s="46" t="s">
        <v>1823</v>
      </c>
      <c r="G3405" s="4" t="s">
        <v>336</v>
      </c>
      <c r="H3405" s="4" t="s">
        <v>380</v>
      </c>
      <c r="I3405" s="4">
        <v>0.45652173913043476</v>
      </c>
      <c r="J3405" s="21">
        <v>230</v>
      </c>
      <c r="K3405" s="21">
        <v>105</v>
      </c>
      <c r="L3405" s="5">
        <v>0</v>
      </c>
      <c r="M3405" s="4"/>
      <c r="N3405" s="4"/>
      <c r="O3405" s="5"/>
      <c r="P3405" s="5"/>
      <c r="Q3405" s="21">
        <v>0</v>
      </c>
      <c r="R3405" s="21">
        <v>0</v>
      </c>
      <c r="S3405" s="5">
        <f t="shared" si="215"/>
        <v>28583.834635152005</v>
      </c>
      <c r="T3405" cm="1">
        <f t="array" ref="T3405">IF(OR(B3405="MAL ALIMI", B3405="ÜRETİM GİRİŞ"), MIN(I3405, MAX(0, I3405 + SUM(SUMIFS($I$1:I3404, $C$1:C3404, C3405, $B$1:B3404, {"MAL ALIMI","ÜRETİM GİRİŞ"})) - VLOOKUP(C3405, 'STOK RAPORU'!$C$2:$I$1000, 4, 0))), 0)</f>
        <v>0</v>
      </c>
      <c r="U3405" s="22">
        <f t="shared" si="212"/>
        <v>0</v>
      </c>
      <c r="V3405">
        <f t="shared" si="213"/>
        <v>0</v>
      </c>
      <c r="W3405" s="22">
        <f t="shared" si="214"/>
        <v>0</v>
      </c>
    </row>
    <row r="3406" spans="1:23" hidden="1" x14ac:dyDescent="0.25">
      <c r="A3406" s="3">
        <v>46044</v>
      </c>
      <c r="B3406" s="46" t="s">
        <v>334</v>
      </c>
      <c r="C3406" s="4" t="s">
        <v>1634</v>
      </c>
      <c r="D3406" s="4"/>
      <c r="E3406" s="4" t="s">
        <v>921</v>
      </c>
      <c r="F3406" s="46" t="s">
        <v>1823</v>
      </c>
      <c r="G3406" s="4" t="s">
        <v>336</v>
      </c>
      <c r="H3406" s="4" t="s">
        <v>380</v>
      </c>
      <c r="I3406" s="4">
        <v>0.5</v>
      </c>
      <c r="J3406" s="21">
        <v>300</v>
      </c>
      <c r="K3406" s="21">
        <v>150</v>
      </c>
      <c r="L3406" s="5">
        <v>0</v>
      </c>
      <c r="M3406" s="4"/>
      <c r="N3406" s="4"/>
      <c r="O3406" s="5"/>
      <c r="P3406" s="5"/>
      <c r="Q3406" s="21">
        <v>0</v>
      </c>
      <c r="R3406" s="21">
        <v>0</v>
      </c>
      <c r="S3406" s="5">
        <f t="shared" si="215"/>
        <v>28583.834635152005</v>
      </c>
      <c r="T3406" cm="1">
        <f t="array" ref="T3406">IF(OR(B3406="MAL ALIMI", B3406="ÜRETİM GİRİŞ"), MIN(I3406, MAX(0, I3406 + SUM(SUMIFS($I$1:I3405, $C$1:C3405, C3406, $B$1:B3405, {"MAL ALIMI","ÜRETİM GİRİŞ"})) - VLOOKUP(C3406, 'STOK RAPORU'!$C$2:$I$1000, 4, 0))), 0)</f>
        <v>0</v>
      </c>
      <c r="U3406" s="22">
        <f t="shared" si="212"/>
        <v>0</v>
      </c>
      <c r="V3406">
        <f t="shared" si="213"/>
        <v>0</v>
      </c>
      <c r="W3406" s="22">
        <f t="shared" si="214"/>
        <v>0</v>
      </c>
    </row>
    <row r="3407" spans="1:23" hidden="1" x14ac:dyDescent="0.25">
      <c r="A3407" s="3">
        <v>46044</v>
      </c>
      <c r="B3407" s="46" t="s">
        <v>334</v>
      </c>
      <c r="C3407" s="4" t="s">
        <v>227</v>
      </c>
      <c r="D3407" s="4"/>
      <c r="E3407" s="4"/>
      <c r="F3407" s="46" t="s">
        <v>1824</v>
      </c>
      <c r="G3407" s="4" t="s">
        <v>336</v>
      </c>
      <c r="H3407" s="4" t="s">
        <v>289</v>
      </c>
      <c r="I3407" s="4">
        <v>0.1</v>
      </c>
      <c r="J3407" s="21">
        <v>500</v>
      </c>
      <c r="K3407" s="21">
        <v>0</v>
      </c>
      <c r="L3407" s="5">
        <v>0</v>
      </c>
      <c r="M3407" s="4"/>
      <c r="N3407" s="4"/>
      <c r="O3407" s="5"/>
      <c r="P3407" s="5"/>
      <c r="Q3407" s="21">
        <v>50</v>
      </c>
      <c r="R3407" s="21">
        <v>0</v>
      </c>
      <c r="S3407" s="5">
        <f t="shared" si="215"/>
        <v>28633.834635152005</v>
      </c>
      <c r="T3407" cm="1">
        <f t="array" ref="T3407">IF(OR(B3407="MAL ALIMI", B3407="ÜRETİM GİRİŞ"), MIN(I3407, MAX(0, I3407 + SUM(SUMIFS($I$1:I3406, $C$1:C3406, C3407, $B$1:B3406, {"MAL ALIMI","ÜRETİM GİRİŞ"})) - VLOOKUP(C3407, 'STOK RAPORU'!$C$2:$I$1000, 4, 0))), 0)</f>
        <v>0</v>
      </c>
      <c r="U3407" s="22">
        <f t="shared" si="212"/>
        <v>0</v>
      </c>
      <c r="V3407">
        <f t="shared" si="213"/>
        <v>0</v>
      </c>
      <c r="W3407" s="22">
        <f t="shared" si="214"/>
        <v>0</v>
      </c>
    </row>
    <row r="3408" spans="1:23" hidden="1" x14ac:dyDescent="0.25">
      <c r="A3408" s="3">
        <v>46044</v>
      </c>
      <c r="B3408" s="46" t="s">
        <v>334</v>
      </c>
      <c r="C3408" s="4" t="s">
        <v>192</v>
      </c>
      <c r="D3408" s="4"/>
      <c r="E3408" s="4"/>
      <c r="F3408" s="46" t="s">
        <v>1825</v>
      </c>
      <c r="G3408" s="4" t="s">
        <v>336</v>
      </c>
      <c r="H3408" s="4" t="s">
        <v>289</v>
      </c>
      <c r="I3408" s="4">
        <v>0.12</v>
      </c>
      <c r="J3408" s="21">
        <v>420</v>
      </c>
      <c r="K3408" s="21">
        <v>0</v>
      </c>
      <c r="L3408" s="5">
        <v>0</v>
      </c>
      <c r="M3408" s="4"/>
      <c r="N3408" s="4"/>
      <c r="O3408" s="5"/>
      <c r="P3408" s="5"/>
      <c r="Q3408" s="21">
        <v>50.4</v>
      </c>
      <c r="R3408" s="21">
        <v>0</v>
      </c>
      <c r="S3408" s="5">
        <f t="shared" si="215"/>
        <v>28684.234635152006</v>
      </c>
      <c r="T3408" cm="1">
        <f t="array" ref="T3408">IF(OR(B3408="MAL ALIMI", B3408="ÜRETİM GİRİŞ"), MIN(I3408, MAX(0, I3408 + SUM(SUMIFS($I$1:I3407, $C$1:C3407, C3408, $B$1:B3407, {"MAL ALIMI","ÜRETİM GİRİŞ"})) - VLOOKUP(C3408, 'STOK RAPORU'!$C$2:$I$1000, 4, 0))), 0)</f>
        <v>0</v>
      </c>
      <c r="U3408" s="22">
        <f t="shared" si="212"/>
        <v>0</v>
      </c>
      <c r="V3408">
        <f t="shared" si="213"/>
        <v>0</v>
      </c>
      <c r="W3408" s="22">
        <f t="shared" si="214"/>
        <v>0</v>
      </c>
    </row>
    <row r="3409" spans="1:23" hidden="1" x14ac:dyDescent="0.25">
      <c r="A3409" s="3">
        <v>46044</v>
      </c>
      <c r="B3409" s="46" t="s">
        <v>334</v>
      </c>
      <c r="C3409" s="4" t="s">
        <v>692</v>
      </c>
      <c r="D3409" s="4"/>
      <c r="E3409" s="4"/>
      <c r="F3409" s="46" t="s">
        <v>1825</v>
      </c>
      <c r="G3409" s="4" t="s">
        <v>336</v>
      </c>
      <c r="H3409" s="4" t="s">
        <v>289</v>
      </c>
      <c r="I3409" s="4">
        <v>0.5</v>
      </c>
      <c r="J3409" s="21">
        <v>60</v>
      </c>
      <c r="K3409" s="21">
        <v>0</v>
      </c>
      <c r="L3409" s="5">
        <v>0</v>
      </c>
      <c r="M3409" s="4"/>
      <c r="N3409" s="4"/>
      <c r="O3409" s="5"/>
      <c r="P3409" s="5"/>
      <c r="Q3409" s="21">
        <v>30</v>
      </c>
      <c r="R3409" s="21">
        <v>0</v>
      </c>
      <c r="S3409" s="5">
        <f t="shared" si="215"/>
        <v>28714.234635152006</v>
      </c>
      <c r="T3409" cm="1">
        <f t="array" ref="T3409">IF(OR(B3409="MAL ALIMI", B3409="ÜRETİM GİRİŞ"), MIN(I3409, MAX(0, I3409 + SUM(SUMIFS($I$1:I3408, $C$1:C3408, C3409, $B$1:B3408, {"MAL ALIMI","ÜRETİM GİRİŞ"})) - VLOOKUP(C3409, 'STOK RAPORU'!$C$2:$I$1000, 4, 0))), 0)</f>
        <v>0</v>
      </c>
      <c r="U3409" s="22">
        <f t="shared" si="212"/>
        <v>0</v>
      </c>
      <c r="V3409">
        <f t="shared" si="213"/>
        <v>0</v>
      </c>
      <c r="W3409" s="22">
        <f t="shared" si="214"/>
        <v>0</v>
      </c>
    </row>
    <row r="3410" spans="1:23" hidden="1" x14ac:dyDescent="0.25">
      <c r="A3410" s="3">
        <v>46044</v>
      </c>
      <c r="B3410" s="46" t="s">
        <v>334</v>
      </c>
      <c r="C3410" s="4" t="s">
        <v>89</v>
      </c>
      <c r="D3410" s="4"/>
      <c r="E3410" s="4" t="s">
        <v>921</v>
      </c>
      <c r="F3410" s="46" t="s">
        <v>1826</v>
      </c>
      <c r="G3410" s="4" t="s">
        <v>336</v>
      </c>
      <c r="H3410" s="4" t="s">
        <v>380</v>
      </c>
      <c r="I3410" s="4">
        <v>0.1</v>
      </c>
      <c r="J3410" s="21">
        <v>650</v>
      </c>
      <c r="K3410" s="21">
        <v>65</v>
      </c>
      <c r="L3410" s="5">
        <v>0</v>
      </c>
      <c r="M3410" s="4"/>
      <c r="N3410" s="4"/>
      <c r="O3410" s="5"/>
      <c r="P3410" s="5"/>
      <c r="Q3410" s="21">
        <v>0</v>
      </c>
      <c r="R3410" s="21">
        <v>0</v>
      </c>
      <c r="S3410" s="5">
        <f t="shared" si="215"/>
        <v>28714.234635152006</v>
      </c>
      <c r="T3410" cm="1">
        <f t="array" ref="T3410">IF(OR(B3410="MAL ALIMI", B3410="ÜRETİM GİRİŞ"), MIN(I3410, MAX(0, I3410 + SUM(SUMIFS($I$1:I3409, $C$1:C3409, C3410, $B$1:B3409, {"MAL ALIMI","ÜRETİM GİRİŞ"})) - VLOOKUP(C3410, 'STOK RAPORU'!$C$2:$I$1000, 4, 0))), 0)</f>
        <v>0</v>
      </c>
      <c r="U3410" s="22">
        <f t="shared" si="212"/>
        <v>0</v>
      </c>
      <c r="V3410">
        <f t="shared" si="213"/>
        <v>0</v>
      </c>
      <c r="W3410" s="22">
        <f t="shared" si="214"/>
        <v>0</v>
      </c>
    </row>
    <row r="3411" spans="1:23" hidden="1" x14ac:dyDescent="0.25">
      <c r="A3411" s="3">
        <v>46044</v>
      </c>
      <c r="B3411" s="46" t="s">
        <v>334</v>
      </c>
      <c r="C3411" s="4" t="s">
        <v>140</v>
      </c>
      <c r="D3411" s="4"/>
      <c r="E3411" s="4" t="s">
        <v>921</v>
      </c>
      <c r="F3411" s="46" t="s">
        <v>1827</v>
      </c>
      <c r="G3411" s="4" t="s">
        <v>336</v>
      </c>
      <c r="H3411" s="4" t="s">
        <v>380</v>
      </c>
      <c r="I3411" s="4">
        <v>0.182</v>
      </c>
      <c r="J3411" s="21">
        <v>300</v>
      </c>
      <c r="K3411" s="21">
        <v>54.6</v>
      </c>
      <c r="L3411" s="5">
        <v>0</v>
      </c>
      <c r="M3411" s="4"/>
      <c r="N3411" s="4"/>
      <c r="O3411" s="5"/>
      <c r="P3411" s="5"/>
      <c r="Q3411" s="21">
        <v>0</v>
      </c>
      <c r="R3411" s="21">
        <v>0</v>
      </c>
      <c r="S3411" s="5">
        <f t="shared" si="215"/>
        <v>28714.234635152006</v>
      </c>
      <c r="T3411" cm="1">
        <f t="array" ref="T3411">IF(OR(B3411="MAL ALIMI", B3411="ÜRETİM GİRİŞ"), MIN(I3411, MAX(0, I3411 + SUM(SUMIFS($I$1:I3410, $C$1:C3410, C3411, $B$1:B3410, {"MAL ALIMI","ÜRETİM GİRİŞ"})) - VLOOKUP(C3411, 'STOK RAPORU'!$C$2:$I$1000, 4, 0))), 0)</f>
        <v>0</v>
      </c>
      <c r="U3411" s="22">
        <f t="shared" si="212"/>
        <v>0</v>
      </c>
      <c r="V3411">
        <f t="shared" si="213"/>
        <v>0</v>
      </c>
      <c r="W3411" s="22">
        <f t="shared" si="214"/>
        <v>0</v>
      </c>
    </row>
    <row r="3412" spans="1:23" hidden="1" x14ac:dyDescent="0.25">
      <c r="A3412" s="3">
        <v>46044</v>
      </c>
      <c r="B3412" s="46" t="s">
        <v>334</v>
      </c>
      <c r="C3412" s="4" t="s">
        <v>98</v>
      </c>
      <c r="D3412" s="4"/>
      <c r="E3412" s="4" t="s">
        <v>921</v>
      </c>
      <c r="F3412" s="46" t="s">
        <v>1827</v>
      </c>
      <c r="G3412" s="4" t="s">
        <v>336</v>
      </c>
      <c r="H3412" s="4" t="s">
        <v>380</v>
      </c>
      <c r="I3412" s="4">
        <v>0.21</v>
      </c>
      <c r="J3412" s="21">
        <v>400</v>
      </c>
      <c r="K3412" s="21">
        <v>84</v>
      </c>
      <c r="L3412" s="5">
        <v>0</v>
      </c>
      <c r="M3412" s="4"/>
      <c r="N3412" s="4"/>
      <c r="O3412" s="5"/>
      <c r="P3412" s="5"/>
      <c r="Q3412" s="21">
        <v>0</v>
      </c>
      <c r="R3412" s="21">
        <v>0</v>
      </c>
      <c r="S3412" s="5">
        <f t="shared" si="215"/>
        <v>28714.234635152006</v>
      </c>
      <c r="T3412" cm="1">
        <f t="array" ref="T3412">IF(OR(B3412="MAL ALIMI", B3412="ÜRETİM GİRİŞ"), MIN(I3412, MAX(0, I3412 + SUM(SUMIFS($I$1:I3411, $C$1:C3411, C3412, $B$1:B3411, {"MAL ALIMI","ÜRETİM GİRİŞ"})) - VLOOKUP(C3412, 'STOK RAPORU'!$C$2:$I$1000, 4, 0))), 0)</f>
        <v>0</v>
      </c>
      <c r="U3412" s="22">
        <f t="shared" si="212"/>
        <v>0</v>
      </c>
      <c r="V3412">
        <f t="shared" si="213"/>
        <v>0</v>
      </c>
      <c r="W3412" s="22">
        <f t="shared" si="214"/>
        <v>0</v>
      </c>
    </row>
    <row r="3413" spans="1:23" hidden="1" x14ac:dyDescent="0.25">
      <c r="A3413" s="3">
        <v>46044</v>
      </c>
      <c r="B3413" s="46" t="s">
        <v>334</v>
      </c>
      <c r="C3413" s="4" t="s">
        <v>132</v>
      </c>
      <c r="D3413" s="4"/>
      <c r="E3413" s="4" t="s">
        <v>921</v>
      </c>
      <c r="F3413" s="46" t="s">
        <v>1827</v>
      </c>
      <c r="G3413" s="4" t="s">
        <v>336</v>
      </c>
      <c r="H3413" s="4" t="s">
        <v>380</v>
      </c>
      <c r="I3413" s="4">
        <v>0.378</v>
      </c>
      <c r="J3413" s="21">
        <v>500</v>
      </c>
      <c r="K3413" s="21">
        <v>189</v>
      </c>
      <c r="L3413" s="5">
        <v>0</v>
      </c>
      <c r="M3413" s="4"/>
      <c r="N3413" s="4"/>
      <c r="O3413" s="5"/>
      <c r="P3413" s="5"/>
      <c r="Q3413" s="21">
        <v>0</v>
      </c>
      <c r="R3413" s="21">
        <v>0</v>
      </c>
      <c r="S3413" s="5">
        <f t="shared" si="215"/>
        <v>28714.234635152006</v>
      </c>
      <c r="T3413" cm="1">
        <f t="array" ref="T3413">IF(OR(B3413="MAL ALIMI", B3413="ÜRETİM GİRİŞ"), MIN(I3413, MAX(0, I3413 + SUM(SUMIFS($I$1:I3412, $C$1:C3412, C3413, $B$1:B3412, {"MAL ALIMI","ÜRETİM GİRİŞ"})) - VLOOKUP(C3413, 'STOK RAPORU'!$C$2:$I$1000, 4, 0))), 0)</f>
        <v>0</v>
      </c>
      <c r="U3413" s="22">
        <f t="shared" si="212"/>
        <v>0</v>
      </c>
      <c r="V3413">
        <f t="shared" si="213"/>
        <v>0</v>
      </c>
      <c r="W3413" s="22">
        <f t="shared" si="214"/>
        <v>0</v>
      </c>
    </row>
    <row r="3414" spans="1:23" hidden="1" x14ac:dyDescent="0.25">
      <c r="A3414" s="3">
        <v>46044</v>
      </c>
      <c r="B3414" s="4" t="s">
        <v>946</v>
      </c>
      <c r="C3414" s="4"/>
      <c r="D3414" s="4"/>
      <c r="E3414" s="4" t="s">
        <v>921</v>
      </c>
      <c r="F3414" s="4"/>
      <c r="G3414" s="4" t="s">
        <v>946</v>
      </c>
      <c r="H3414" s="4" t="s">
        <v>380</v>
      </c>
      <c r="I3414" s="4">
        <v>1</v>
      </c>
      <c r="J3414" s="105">
        <v>540</v>
      </c>
      <c r="K3414" s="21">
        <v>0</v>
      </c>
      <c r="L3414" s="102">
        <v>540</v>
      </c>
      <c r="M3414" s="4"/>
      <c r="N3414" s="4"/>
      <c r="O3414" s="5"/>
      <c r="P3414" s="5"/>
      <c r="Q3414" s="21">
        <v>540</v>
      </c>
      <c r="R3414" s="21">
        <v>0</v>
      </c>
      <c r="S3414" s="5">
        <f t="shared" si="215"/>
        <v>29254.234635152006</v>
      </c>
      <c r="T3414" cm="1">
        <f t="array" ref="T3414">IF(OR(B3414="MAL ALIMI", B3414="ÜRETİM GİRİŞ"), MIN(I3414, MAX(0, I3414 + SUM(SUMIFS($I$1:I3413, $C$1:C3413, C3414, $B$1:B3413, {"MAL ALIMI","ÜRETİM GİRİŞ"})) - VLOOKUP(C3414, 'STOK RAPORU'!$C$2:$I$1000, 4, 0))), 0)</f>
        <v>0</v>
      </c>
      <c r="U3414" s="22">
        <f t="shared" si="212"/>
        <v>0</v>
      </c>
      <c r="V3414">
        <f t="shared" si="213"/>
        <v>0</v>
      </c>
      <c r="W3414" s="22">
        <f t="shared" si="214"/>
        <v>0</v>
      </c>
    </row>
    <row r="3415" spans="1:23" hidden="1" x14ac:dyDescent="0.25">
      <c r="A3415" s="3">
        <v>46045</v>
      </c>
      <c r="B3415" s="46" t="s">
        <v>334</v>
      </c>
      <c r="C3415" s="4" t="s">
        <v>728</v>
      </c>
      <c r="D3415" s="4"/>
      <c r="E3415" s="4"/>
      <c r="F3415" s="46" t="s">
        <v>1828</v>
      </c>
      <c r="G3415" s="4" t="s">
        <v>336</v>
      </c>
      <c r="H3415" s="4" t="s">
        <v>289</v>
      </c>
      <c r="I3415" s="4">
        <v>0.27536231884057971</v>
      </c>
      <c r="J3415" s="21">
        <v>727</v>
      </c>
      <c r="K3415" s="21">
        <v>0</v>
      </c>
      <c r="L3415" s="5">
        <v>0</v>
      </c>
      <c r="M3415" s="4"/>
      <c r="N3415" s="4"/>
      <c r="O3415" s="5"/>
      <c r="P3415" s="5"/>
      <c r="Q3415" s="21">
        <v>200.18840579710144</v>
      </c>
      <c r="R3415" s="21">
        <v>0</v>
      </c>
      <c r="S3415" s="5">
        <f t="shared" si="215"/>
        <v>29454.423040949107</v>
      </c>
      <c r="T3415" cm="1">
        <f t="array" ref="T3415">IF(OR(B3415="MAL ALIMI", B3415="ÜRETİM GİRİŞ"), MIN(I3415, MAX(0, I3415 + SUM(SUMIFS($I$1:I3414, $C$1:C3414, C3415, $B$1:B3414, {"MAL ALIMI","ÜRETİM GİRİŞ"})) - VLOOKUP(C3415, 'STOK RAPORU'!$C$2:$I$1000, 4, 0))), 0)</f>
        <v>0</v>
      </c>
      <c r="U3415" s="22">
        <f t="shared" si="212"/>
        <v>0</v>
      </c>
      <c r="V3415">
        <f t="shared" si="213"/>
        <v>0</v>
      </c>
      <c r="W3415" s="22">
        <f t="shared" si="214"/>
        <v>0</v>
      </c>
    </row>
    <row r="3416" spans="1:23" hidden="1" x14ac:dyDescent="0.25">
      <c r="A3416" s="3">
        <v>46045</v>
      </c>
      <c r="B3416" s="46" t="s">
        <v>334</v>
      </c>
      <c r="C3416" s="4" t="s">
        <v>196</v>
      </c>
      <c r="D3416" s="4"/>
      <c r="E3416" s="4"/>
      <c r="F3416" s="46" t="s">
        <v>1829</v>
      </c>
      <c r="G3416" s="4" t="s">
        <v>336</v>
      </c>
      <c r="H3416" s="4" t="s">
        <v>289</v>
      </c>
      <c r="I3416" s="4">
        <v>0.2608695652173913</v>
      </c>
      <c r="J3416" s="21">
        <v>230</v>
      </c>
      <c r="K3416" s="21">
        <v>0</v>
      </c>
      <c r="L3416" s="5">
        <v>0</v>
      </c>
      <c r="M3416" s="4"/>
      <c r="N3416" s="4"/>
      <c r="O3416" s="5"/>
      <c r="P3416" s="5"/>
      <c r="Q3416" s="21">
        <v>60</v>
      </c>
      <c r="R3416" s="21">
        <v>0</v>
      </c>
      <c r="S3416" s="5">
        <f t="shared" si="215"/>
        <v>29514.423040949107</v>
      </c>
      <c r="T3416" cm="1">
        <f t="array" ref="T3416">IF(OR(B3416="MAL ALIMI", B3416="ÜRETİM GİRİŞ"), MIN(I3416, MAX(0, I3416 + SUM(SUMIFS($I$1:I3415, $C$1:C3415, C3416, $B$1:B3415, {"MAL ALIMI","ÜRETİM GİRİŞ"})) - VLOOKUP(C3416, 'STOK RAPORU'!$C$2:$I$1000, 4, 0))), 0)</f>
        <v>0</v>
      </c>
      <c r="U3416" s="22">
        <f t="shared" si="212"/>
        <v>0</v>
      </c>
      <c r="V3416">
        <f t="shared" si="213"/>
        <v>0</v>
      </c>
      <c r="W3416" s="22">
        <f t="shared" si="214"/>
        <v>0</v>
      </c>
    </row>
    <row r="3417" spans="1:23" hidden="1" x14ac:dyDescent="0.25">
      <c r="A3417" s="3">
        <v>46045</v>
      </c>
      <c r="B3417" s="46" t="s">
        <v>334</v>
      </c>
      <c r="C3417" s="4" t="s">
        <v>98</v>
      </c>
      <c r="D3417" s="4"/>
      <c r="E3417" s="4"/>
      <c r="F3417" s="46" t="s">
        <v>1829</v>
      </c>
      <c r="G3417" s="4" t="s">
        <v>336</v>
      </c>
      <c r="H3417" s="4" t="s">
        <v>289</v>
      </c>
      <c r="I3417" s="4">
        <v>0.1875</v>
      </c>
      <c r="J3417" s="21">
        <v>400</v>
      </c>
      <c r="K3417" s="21">
        <v>0</v>
      </c>
      <c r="L3417" s="5">
        <v>0</v>
      </c>
      <c r="M3417" s="4"/>
      <c r="N3417" s="4"/>
      <c r="O3417" s="5"/>
      <c r="P3417" s="5"/>
      <c r="Q3417" s="21">
        <v>75</v>
      </c>
      <c r="R3417" s="21">
        <v>0</v>
      </c>
      <c r="S3417" s="5">
        <f t="shared" si="215"/>
        <v>29589.423040949107</v>
      </c>
      <c r="T3417" cm="1">
        <f t="array" ref="T3417">IF(OR(B3417="MAL ALIMI", B3417="ÜRETİM GİRİŞ"), MIN(I3417, MAX(0, I3417 + SUM(SUMIFS($I$1:I3416, $C$1:C3416, C3417, $B$1:B3416, {"MAL ALIMI","ÜRETİM GİRİŞ"})) - VLOOKUP(C3417, 'STOK RAPORU'!$C$2:$I$1000, 4, 0))), 0)</f>
        <v>0</v>
      </c>
      <c r="U3417" s="22">
        <f t="shared" si="212"/>
        <v>0</v>
      </c>
      <c r="V3417">
        <f t="shared" si="213"/>
        <v>0</v>
      </c>
      <c r="W3417" s="22">
        <f t="shared" si="214"/>
        <v>0</v>
      </c>
    </row>
    <row r="3418" spans="1:23" hidden="1" x14ac:dyDescent="0.25">
      <c r="A3418" s="3">
        <v>46045</v>
      </c>
      <c r="B3418" s="46" t="s">
        <v>334</v>
      </c>
      <c r="C3418" s="4" t="s">
        <v>1359</v>
      </c>
      <c r="D3418" s="4"/>
      <c r="E3418" s="4"/>
      <c r="F3418" s="46" t="s">
        <v>1829</v>
      </c>
      <c r="G3418" s="4" t="s">
        <v>336</v>
      </c>
      <c r="H3418" s="4" t="s">
        <v>289</v>
      </c>
      <c r="I3418" s="4">
        <v>0.22222222222222221</v>
      </c>
      <c r="J3418" s="21">
        <v>450</v>
      </c>
      <c r="K3418" s="21">
        <v>0</v>
      </c>
      <c r="L3418" s="5">
        <v>0</v>
      </c>
      <c r="M3418" s="4"/>
      <c r="N3418" s="4"/>
      <c r="O3418" s="5"/>
      <c r="P3418" s="5"/>
      <c r="Q3418" s="21">
        <v>100</v>
      </c>
      <c r="R3418" s="21">
        <v>0</v>
      </c>
      <c r="S3418" s="5">
        <f t="shared" si="215"/>
        <v>29689.423040949107</v>
      </c>
      <c r="T3418" cm="1">
        <f t="array" ref="T3418">IF(OR(B3418="MAL ALIMI", B3418="ÜRETİM GİRİŞ"), MIN(I3418, MAX(0, I3418 + SUM(SUMIFS($I$1:I3417, $C$1:C3417, C3418, $B$1:B3417, {"MAL ALIMI","ÜRETİM GİRİŞ"})) - VLOOKUP(C3418, 'STOK RAPORU'!$C$2:$I$1000, 4, 0))), 0)</f>
        <v>0</v>
      </c>
      <c r="U3418" s="22">
        <f t="shared" si="212"/>
        <v>0</v>
      </c>
      <c r="V3418">
        <f t="shared" si="213"/>
        <v>0</v>
      </c>
      <c r="W3418" s="22">
        <f t="shared" si="214"/>
        <v>0</v>
      </c>
    </row>
    <row r="3419" spans="1:23" hidden="1" x14ac:dyDescent="0.25">
      <c r="A3419" s="3">
        <v>46045</v>
      </c>
      <c r="B3419" s="46" t="s">
        <v>334</v>
      </c>
      <c r="C3419" s="4" t="s">
        <v>695</v>
      </c>
      <c r="D3419" s="4"/>
      <c r="E3419" s="4"/>
      <c r="F3419" s="46" t="s">
        <v>1830</v>
      </c>
      <c r="G3419" s="4" t="s">
        <v>336</v>
      </c>
      <c r="H3419" s="4" t="s">
        <v>289</v>
      </c>
      <c r="I3419" s="4">
        <v>1.5</v>
      </c>
      <c r="J3419" s="21">
        <v>120</v>
      </c>
      <c r="K3419" s="21">
        <v>0</v>
      </c>
      <c r="L3419" s="5">
        <v>0</v>
      </c>
      <c r="M3419" s="4"/>
      <c r="N3419" s="4"/>
      <c r="O3419" s="5"/>
      <c r="P3419" s="5"/>
      <c r="Q3419" s="21">
        <v>180</v>
      </c>
      <c r="R3419" s="21">
        <v>0</v>
      </c>
      <c r="S3419" s="5">
        <f t="shared" si="215"/>
        <v>29869.423040949107</v>
      </c>
      <c r="T3419" cm="1">
        <f t="array" ref="T3419">IF(OR(B3419="MAL ALIMI", B3419="ÜRETİM GİRİŞ"), MIN(I3419, MAX(0, I3419 + SUM(SUMIFS($I$1:I3418, $C$1:C3418, C3419, $B$1:B3418, {"MAL ALIMI","ÜRETİM GİRİŞ"})) - VLOOKUP(C3419, 'STOK RAPORU'!$C$2:$I$1000, 4, 0))), 0)</f>
        <v>0</v>
      </c>
      <c r="U3419" s="22">
        <f t="shared" si="212"/>
        <v>0</v>
      </c>
      <c r="V3419">
        <f t="shared" si="213"/>
        <v>0</v>
      </c>
      <c r="W3419" s="22">
        <f t="shared" si="214"/>
        <v>0</v>
      </c>
    </row>
    <row r="3420" spans="1:23" hidden="1" x14ac:dyDescent="0.25">
      <c r="A3420" s="3">
        <v>46045</v>
      </c>
      <c r="B3420" s="46" t="s">
        <v>334</v>
      </c>
      <c r="C3420" s="4" t="s">
        <v>251</v>
      </c>
      <c r="D3420" s="4"/>
      <c r="E3420" s="4" t="s">
        <v>921</v>
      </c>
      <c r="F3420" s="46" t="s">
        <v>1831</v>
      </c>
      <c r="G3420" s="4" t="s">
        <v>336</v>
      </c>
      <c r="H3420" s="4" t="s">
        <v>380</v>
      </c>
      <c r="I3420" s="4">
        <v>1</v>
      </c>
      <c r="J3420" s="21">
        <v>650</v>
      </c>
      <c r="K3420" s="21">
        <v>650</v>
      </c>
      <c r="L3420" s="5">
        <v>0</v>
      </c>
      <c r="M3420" s="4"/>
      <c r="N3420" s="4"/>
      <c r="O3420" s="5"/>
      <c r="P3420" s="5"/>
      <c r="Q3420" s="21">
        <v>0</v>
      </c>
      <c r="R3420" s="21">
        <v>0</v>
      </c>
      <c r="S3420" s="5">
        <f t="shared" si="215"/>
        <v>29869.423040949107</v>
      </c>
      <c r="T3420" cm="1">
        <f t="array" ref="T3420">IF(OR(B3420="MAL ALIMI", B3420="ÜRETİM GİRİŞ"), MIN(I3420, MAX(0, I3420 + SUM(SUMIFS($I$1:I3419, $C$1:C3419, C3420, $B$1:B3419, {"MAL ALIMI","ÜRETİM GİRİŞ"})) - VLOOKUP(C3420, 'STOK RAPORU'!$C$2:$I$1000, 4, 0))), 0)</f>
        <v>0</v>
      </c>
      <c r="U3420" s="22">
        <f t="shared" si="212"/>
        <v>0</v>
      </c>
      <c r="V3420">
        <f t="shared" si="213"/>
        <v>0</v>
      </c>
      <c r="W3420" s="22">
        <f t="shared" si="214"/>
        <v>0</v>
      </c>
    </row>
    <row r="3421" spans="1:23" hidden="1" x14ac:dyDescent="0.25">
      <c r="A3421" s="3">
        <v>46045</v>
      </c>
      <c r="B3421" s="46" t="s">
        <v>334</v>
      </c>
      <c r="C3421" s="4" t="s">
        <v>98</v>
      </c>
      <c r="D3421" s="4"/>
      <c r="E3421" s="4"/>
      <c r="F3421" s="46" t="s">
        <v>1832</v>
      </c>
      <c r="G3421" s="4" t="s">
        <v>336</v>
      </c>
      <c r="H3421" s="4" t="s">
        <v>289</v>
      </c>
      <c r="I3421" s="4">
        <v>9.8000000000000004E-2</v>
      </c>
      <c r="J3421" s="21">
        <v>400</v>
      </c>
      <c r="K3421" s="21">
        <v>0</v>
      </c>
      <c r="L3421" s="5">
        <v>0</v>
      </c>
      <c r="M3421" s="4"/>
      <c r="N3421" s="4"/>
      <c r="O3421" s="5"/>
      <c r="P3421" s="5"/>
      <c r="Q3421" s="21">
        <v>39.200000000000003</v>
      </c>
      <c r="R3421" s="21">
        <v>0</v>
      </c>
      <c r="S3421" s="5">
        <f t="shared" si="215"/>
        <v>29908.623040949107</v>
      </c>
      <c r="T3421" cm="1">
        <f t="array" ref="T3421">IF(OR(B3421="MAL ALIMI", B3421="ÜRETİM GİRİŞ"), MIN(I3421, MAX(0, I3421 + SUM(SUMIFS($I$1:I3420, $C$1:C3420, C3421, $B$1:B3420, {"MAL ALIMI","ÜRETİM GİRİŞ"})) - VLOOKUP(C3421, 'STOK RAPORU'!$C$2:$I$1000, 4, 0))), 0)</f>
        <v>0</v>
      </c>
      <c r="U3421" s="22">
        <f t="shared" si="212"/>
        <v>0</v>
      </c>
      <c r="V3421">
        <f t="shared" si="213"/>
        <v>0</v>
      </c>
      <c r="W3421" s="22">
        <f t="shared" si="214"/>
        <v>0</v>
      </c>
    </row>
    <row r="3422" spans="1:23" hidden="1" x14ac:dyDescent="0.25">
      <c r="A3422" s="3">
        <v>46045</v>
      </c>
      <c r="B3422" s="46" t="s">
        <v>334</v>
      </c>
      <c r="C3422" s="4" t="s">
        <v>270</v>
      </c>
      <c r="D3422" s="4"/>
      <c r="E3422" s="4" t="s">
        <v>921</v>
      </c>
      <c r="F3422" s="46" t="s">
        <v>1833</v>
      </c>
      <c r="G3422" s="4" t="s">
        <v>336</v>
      </c>
      <c r="H3422" s="4" t="s">
        <v>380</v>
      </c>
      <c r="I3422" s="4">
        <v>1</v>
      </c>
      <c r="J3422" s="21">
        <v>165</v>
      </c>
      <c r="K3422" s="21">
        <v>165</v>
      </c>
      <c r="L3422" s="5">
        <v>0</v>
      </c>
      <c r="M3422" s="4"/>
      <c r="N3422" s="4"/>
      <c r="O3422" s="5"/>
      <c r="P3422" s="5"/>
      <c r="Q3422" s="21">
        <v>0</v>
      </c>
      <c r="R3422" s="21">
        <v>0</v>
      </c>
      <c r="S3422" s="5">
        <f t="shared" si="215"/>
        <v>29908.623040949107</v>
      </c>
      <c r="T3422" cm="1">
        <f t="array" ref="T3422">IF(OR(B3422="MAL ALIMI", B3422="ÜRETİM GİRİŞ"), MIN(I3422, MAX(0, I3422 + SUM(SUMIFS($I$1:I3421, $C$1:C3421, C3422, $B$1:B3421, {"MAL ALIMI","ÜRETİM GİRİŞ"})) - VLOOKUP(C3422, 'STOK RAPORU'!$C$2:$I$1000, 4, 0))), 0)</f>
        <v>0</v>
      </c>
      <c r="U3422" s="22">
        <f t="shared" si="212"/>
        <v>0</v>
      </c>
      <c r="V3422">
        <f t="shared" si="213"/>
        <v>0</v>
      </c>
      <c r="W3422" s="22">
        <f t="shared" si="214"/>
        <v>0</v>
      </c>
    </row>
    <row r="3423" spans="1:23" hidden="1" x14ac:dyDescent="0.25">
      <c r="A3423" s="3">
        <v>46045</v>
      </c>
      <c r="B3423" s="46" t="s">
        <v>334</v>
      </c>
      <c r="C3423" s="4" t="s">
        <v>692</v>
      </c>
      <c r="D3423" s="4"/>
      <c r="E3423" s="4" t="s">
        <v>921</v>
      </c>
      <c r="F3423" s="46" t="s">
        <v>1833</v>
      </c>
      <c r="G3423" s="4" t="s">
        <v>336</v>
      </c>
      <c r="H3423" s="4" t="s">
        <v>380</v>
      </c>
      <c r="I3423" s="4">
        <v>0.5</v>
      </c>
      <c r="J3423" s="21">
        <v>60</v>
      </c>
      <c r="K3423" s="21">
        <v>30</v>
      </c>
      <c r="L3423" s="5">
        <v>0</v>
      </c>
      <c r="M3423" s="4"/>
      <c r="N3423" s="4"/>
      <c r="O3423" s="5"/>
      <c r="P3423" s="5"/>
      <c r="Q3423" s="21">
        <v>0</v>
      </c>
      <c r="R3423" s="21">
        <v>0</v>
      </c>
      <c r="S3423" s="5">
        <f t="shared" si="215"/>
        <v>29908.623040949107</v>
      </c>
      <c r="T3423" cm="1">
        <f t="array" ref="T3423">IF(OR(B3423="MAL ALIMI", B3423="ÜRETİM GİRİŞ"), MIN(I3423, MAX(0, I3423 + SUM(SUMIFS($I$1:I3422, $C$1:C3422, C3423, $B$1:B3422, {"MAL ALIMI","ÜRETİM GİRİŞ"})) - VLOOKUP(C3423, 'STOK RAPORU'!$C$2:$I$1000, 4, 0))), 0)</f>
        <v>0</v>
      </c>
      <c r="U3423" s="22">
        <f t="shared" si="212"/>
        <v>0</v>
      </c>
      <c r="V3423">
        <f t="shared" si="213"/>
        <v>0</v>
      </c>
      <c r="W3423" s="22">
        <f t="shared" si="214"/>
        <v>0</v>
      </c>
    </row>
    <row r="3424" spans="1:23" hidden="1" x14ac:dyDescent="0.25">
      <c r="A3424" s="3">
        <v>46045</v>
      </c>
      <c r="B3424" s="46" t="s">
        <v>334</v>
      </c>
      <c r="C3424" s="4" t="s">
        <v>724</v>
      </c>
      <c r="D3424" s="4"/>
      <c r="E3424" s="4"/>
      <c r="F3424" s="46" t="s">
        <v>1833</v>
      </c>
      <c r="G3424" s="4" t="s">
        <v>336</v>
      </c>
      <c r="H3424" s="4" t="s">
        <v>289</v>
      </c>
      <c r="I3424" s="4">
        <v>1</v>
      </c>
      <c r="J3424" s="21">
        <v>270</v>
      </c>
      <c r="K3424" s="21">
        <v>0</v>
      </c>
      <c r="L3424" s="5">
        <v>0</v>
      </c>
      <c r="M3424" s="4"/>
      <c r="N3424" s="4"/>
      <c r="O3424" s="5"/>
      <c r="P3424" s="5"/>
      <c r="Q3424" s="21">
        <v>270</v>
      </c>
      <c r="R3424" s="21">
        <v>0</v>
      </c>
      <c r="S3424" s="5">
        <f t="shared" si="215"/>
        <v>30178.623040949107</v>
      </c>
      <c r="T3424" cm="1">
        <f t="array" ref="T3424">IF(OR(B3424="MAL ALIMI", B3424="ÜRETİM GİRİŞ"), MIN(I3424, MAX(0, I3424 + SUM(SUMIFS($I$1:I3423, $C$1:C3423, C3424, $B$1:B3423, {"MAL ALIMI","ÜRETİM GİRİŞ"})) - VLOOKUP(C3424, 'STOK RAPORU'!$C$2:$I$1000, 4, 0))), 0)</f>
        <v>0</v>
      </c>
      <c r="U3424" s="22">
        <f t="shared" si="212"/>
        <v>0</v>
      </c>
      <c r="V3424">
        <f t="shared" si="213"/>
        <v>0</v>
      </c>
      <c r="W3424" s="22">
        <f t="shared" si="214"/>
        <v>0</v>
      </c>
    </row>
    <row r="3425" spans="1:23" hidden="1" x14ac:dyDescent="0.25">
      <c r="A3425" s="3">
        <v>46045</v>
      </c>
      <c r="B3425" s="46" t="s">
        <v>334</v>
      </c>
      <c r="C3425" s="4" t="s">
        <v>751</v>
      </c>
      <c r="D3425" s="4"/>
      <c r="E3425" s="4"/>
      <c r="F3425" s="46" t="s">
        <v>1834</v>
      </c>
      <c r="G3425" s="4" t="s">
        <v>336</v>
      </c>
      <c r="H3425" s="4" t="s">
        <v>289</v>
      </c>
      <c r="I3425" s="4">
        <v>1</v>
      </c>
      <c r="J3425" s="21">
        <v>220</v>
      </c>
      <c r="K3425" s="21">
        <v>0</v>
      </c>
      <c r="L3425" s="5">
        <v>0</v>
      </c>
      <c r="M3425" s="4"/>
      <c r="N3425" s="4"/>
      <c r="O3425" s="5"/>
      <c r="P3425" s="5"/>
      <c r="Q3425" s="21">
        <v>220</v>
      </c>
      <c r="R3425" s="21">
        <v>0</v>
      </c>
      <c r="S3425" s="5">
        <f t="shared" si="215"/>
        <v>30398.623040949107</v>
      </c>
      <c r="T3425" cm="1">
        <f t="array" ref="T3425">IF(OR(B3425="MAL ALIMI", B3425="ÜRETİM GİRİŞ"), MIN(I3425, MAX(0, I3425 + SUM(SUMIFS($I$1:I3424, $C$1:C3424, C3425, $B$1:B3424, {"MAL ALIMI","ÜRETİM GİRİŞ"})) - VLOOKUP(C3425, 'STOK RAPORU'!$C$2:$I$1000, 4, 0))), 0)</f>
        <v>0</v>
      </c>
      <c r="U3425" s="22">
        <f t="shared" si="212"/>
        <v>0</v>
      </c>
      <c r="V3425">
        <f t="shared" si="213"/>
        <v>0</v>
      </c>
      <c r="W3425" s="22">
        <f t="shared" si="214"/>
        <v>0</v>
      </c>
    </row>
    <row r="3426" spans="1:23" hidden="1" x14ac:dyDescent="0.25">
      <c r="A3426" s="3">
        <v>46045</v>
      </c>
      <c r="B3426" s="46" t="s">
        <v>334</v>
      </c>
      <c r="C3426" s="4" t="s">
        <v>89</v>
      </c>
      <c r="D3426" s="4"/>
      <c r="E3426" s="4"/>
      <c r="F3426" s="46" t="s">
        <v>1835</v>
      </c>
      <c r="G3426" s="4" t="s">
        <v>336</v>
      </c>
      <c r="H3426" s="4" t="s">
        <v>289</v>
      </c>
      <c r="I3426" s="4">
        <v>0.1</v>
      </c>
      <c r="J3426" s="21">
        <v>650</v>
      </c>
      <c r="K3426" s="21">
        <v>0</v>
      </c>
      <c r="L3426" s="5">
        <v>0</v>
      </c>
      <c r="M3426" s="4"/>
      <c r="N3426" s="4"/>
      <c r="O3426" s="5"/>
      <c r="P3426" s="5"/>
      <c r="Q3426" s="21">
        <v>65</v>
      </c>
      <c r="R3426" s="21">
        <v>0</v>
      </c>
      <c r="S3426" s="5">
        <f t="shared" si="215"/>
        <v>30463.623040949107</v>
      </c>
      <c r="T3426" cm="1">
        <f t="array" ref="T3426">IF(OR(B3426="MAL ALIMI", B3426="ÜRETİM GİRİŞ"), MIN(I3426, MAX(0, I3426 + SUM(SUMIFS($I$1:I3425, $C$1:C3425, C3426, $B$1:B3425, {"MAL ALIMI","ÜRETİM GİRİŞ"})) - VLOOKUP(C3426, 'STOK RAPORU'!$C$2:$I$1000, 4, 0))), 0)</f>
        <v>0</v>
      </c>
      <c r="U3426" s="22">
        <f t="shared" si="212"/>
        <v>0</v>
      </c>
      <c r="V3426">
        <f t="shared" si="213"/>
        <v>0</v>
      </c>
      <c r="W3426" s="22">
        <f t="shared" si="214"/>
        <v>0</v>
      </c>
    </row>
    <row r="3427" spans="1:23" hidden="1" x14ac:dyDescent="0.25">
      <c r="A3427" s="3">
        <v>46045</v>
      </c>
      <c r="B3427" s="46" t="s">
        <v>334</v>
      </c>
      <c r="C3427" s="4" t="s">
        <v>1360</v>
      </c>
      <c r="D3427" s="4"/>
      <c r="E3427" s="4"/>
      <c r="F3427" s="46" t="s">
        <v>1836</v>
      </c>
      <c r="G3427" s="4" t="s">
        <v>336</v>
      </c>
      <c r="H3427" s="4" t="s">
        <v>289</v>
      </c>
      <c r="I3427" s="4">
        <v>0.5</v>
      </c>
      <c r="J3427" s="21">
        <v>400</v>
      </c>
      <c r="K3427" s="21">
        <v>0</v>
      </c>
      <c r="L3427" s="5">
        <v>0</v>
      </c>
      <c r="M3427" s="4"/>
      <c r="N3427" s="4"/>
      <c r="O3427" s="5"/>
      <c r="P3427" s="5"/>
      <c r="Q3427" s="21">
        <v>200</v>
      </c>
      <c r="R3427" s="21">
        <v>0</v>
      </c>
      <c r="S3427" s="5">
        <f t="shared" si="215"/>
        <v>30663.623040949107</v>
      </c>
      <c r="T3427" cm="1">
        <f t="array" ref="T3427">IF(OR(B3427="MAL ALIMI", B3427="ÜRETİM GİRİŞ"), MIN(I3427, MAX(0, I3427 + SUM(SUMIFS($I$1:I3426, $C$1:C3426, C3427, $B$1:B3426, {"MAL ALIMI","ÜRETİM GİRİŞ"})) - VLOOKUP(C3427, 'STOK RAPORU'!$C$2:$I$1000, 4, 0))), 0)</f>
        <v>0</v>
      </c>
      <c r="U3427" s="22">
        <f t="shared" si="212"/>
        <v>0</v>
      </c>
      <c r="V3427">
        <f t="shared" si="213"/>
        <v>0</v>
      </c>
      <c r="W3427" s="22">
        <f t="shared" si="214"/>
        <v>0</v>
      </c>
    </row>
    <row r="3428" spans="1:23" hidden="1" x14ac:dyDescent="0.25">
      <c r="A3428" s="3">
        <v>46045</v>
      </c>
      <c r="B3428" s="4" t="s">
        <v>917</v>
      </c>
      <c r="C3428" s="4"/>
      <c r="D3428" s="4"/>
      <c r="E3428" s="4" t="s">
        <v>350</v>
      </c>
      <c r="F3428" s="4"/>
      <c r="G3428" s="4" t="s">
        <v>1781</v>
      </c>
      <c r="H3428" s="4" t="s">
        <v>289</v>
      </c>
      <c r="I3428" s="4">
        <v>1</v>
      </c>
      <c r="J3428" s="21">
        <v>0</v>
      </c>
      <c r="K3428" s="21">
        <v>20000</v>
      </c>
      <c r="L3428" s="5">
        <v>0</v>
      </c>
      <c r="M3428" s="4"/>
      <c r="N3428" s="4"/>
      <c r="O3428" s="5"/>
      <c r="P3428" s="5"/>
      <c r="Q3428" s="21">
        <v>0</v>
      </c>
      <c r="R3428" s="21">
        <v>20000</v>
      </c>
      <c r="S3428" s="5">
        <f t="shared" si="215"/>
        <v>10663.623040949107</v>
      </c>
      <c r="T3428" cm="1">
        <f t="array" ref="T3428">IF(OR(B3428="MAL ALIMI", B3428="ÜRETİM GİRİŞ"), MIN(I3428, MAX(0, I3428 + SUM(SUMIFS($I$1:I3427, $C$1:C3427, C3428, $B$1:B3427, {"MAL ALIMI","ÜRETİM GİRİŞ"})) - VLOOKUP(C3428, 'STOK RAPORU'!$C$2:$I$1000, 4, 0))), 0)</f>
        <v>0</v>
      </c>
      <c r="U3428" s="22">
        <f t="shared" si="212"/>
        <v>0</v>
      </c>
      <c r="V3428">
        <f t="shared" si="213"/>
        <v>0</v>
      </c>
      <c r="W3428" s="22">
        <f t="shared" si="214"/>
        <v>0</v>
      </c>
    </row>
    <row r="3429" spans="1:23" hidden="1" x14ac:dyDescent="0.25">
      <c r="A3429" s="3">
        <v>46045</v>
      </c>
      <c r="B3429" s="4" t="s">
        <v>946</v>
      </c>
      <c r="C3429" s="4"/>
      <c r="D3429" s="4"/>
      <c r="E3429" s="4" t="s">
        <v>921</v>
      </c>
      <c r="F3429" s="4"/>
      <c r="G3429" s="4" t="s">
        <v>946</v>
      </c>
      <c r="H3429" s="4" t="s">
        <v>380</v>
      </c>
      <c r="I3429" s="4">
        <v>1</v>
      </c>
      <c r="J3429" s="105">
        <v>680</v>
      </c>
      <c r="K3429" s="21">
        <v>0</v>
      </c>
      <c r="L3429" s="102">
        <v>680</v>
      </c>
      <c r="M3429" s="21">
        <v>540</v>
      </c>
      <c r="N3429" s="4"/>
      <c r="O3429" s="5"/>
      <c r="P3429" s="5"/>
      <c r="Q3429" s="21">
        <v>680</v>
      </c>
      <c r="R3429" s="21">
        <v>0</v>
      </c>
      <c r="S3429" s="5">
        <f t="shared" si="215"/>
        <v>11343.623040949107</v>
      </c>
      <c r="T3429" cm="1">
        <f t="array" ref="T3429">IF(OR(B3429="MAL ALIMI", B3429="ÜRETİM GİRİŞ"), MIN(I3429, MAX(0, I3429 + SUM(SUMIFS($I$1:I3428, $C$1:C3428, C3429, $B$1:B3428, {"MAL ALIMI","ÜRETİM GİRİŞ"})) - VLOOKUP(C3429, 'STOK RAPORU'!$C$2:$I$1000, 4, 0))), 0)</f>
        <v>0</v>
      </c>
      <c r="U3429" s="22">
        <f t="shared" si="212"/>
        <v>0</v>
      </c>
      <c r="V3429">
        <f t="shared" si="213"/>
        <v>0</v>
      </c>
      <c r="W3429" s="22">
        <f t="shared" si="214"/>
        <v>0</v>
      </c>
    </row>
    <row r="3430" spans="1:23" hidden="1" x14ac:dyDescent="0.25">
      <c r="A3430" s="3">
        <v>46045</v>
      </c>
      <c r="B3430" s="4" t="s">
        <v>946</v>
      </c>
      <c r="C3430" s="4"/>
      <c r="D3430" s="4"/>
      <c r="E3430" s="4" t="s">
        <v>921</v>
      </c>
      <c r="F3430" s="4"/>
      <c r="G3430" s="4" t="s">
        <v>946</v>
      </c>
      <c r="H3430" s="4" t="s">
        <v>380</v>
      </c>
      <c r="I3430" s="4">
        <v>1</v>
      </c>
      <c r="J3430" s="105">
        <v>3914</v>
      </c>
      <c r="K3430" s="21">
        <v>0</v>
      </c>
      <c r="L3430" s="111">
        <v>3914</v>
      </c>
      <c r="M3430" s="4"/>
      <c r="N3430" s="4"/>
      <c r="O3430" s="5"/>
      <c r="P3430" s="5"/>
      <c r="Q3430" s="21">
        <v>3914</v>
      </c>
      <c r="R3430" s="21">
        <v>0</v>
      </c>
      <c r="S3430" s="5">
        <f t="shared" si="215"/>
        <v>15257.623040949107</v>
      </c>
      <c r="T3430" cm="1">
        <f t="array" ref="T3430">IF(OR(B3430="MAL ALIMI", B3430="ÜRETİM GİRİŞ"), MIN(I3430, MAX(0, I3430 + SUM(SUMIFS($I$1:I3429, $C$1:C3429, C3430, $B$1:B3429, {"MAL ALIMI","ÜRETİM GİRİŞ"})) - VLOOKUP(C3430, 'STOK RAPORU'!$C$2:$I$1000, 4, 0))), 0)</f>
        <v>0</v>
      </c>
      <c r="U3430" s="22">
        <f t="shared" si="212"/>
        <v>0</v>
      </c>
      <c r="V3430">
        <f t="shared" si="213"/>
        <v>0</v>
      </c>
      <c r="W3430" s="22">
        <f t="shared" si="214"/>
        <v>0</v>
      </c>
    </row>
    <row r="3431" spans="1:23" hidden="1" x14ac:dyDescent="0.25">
      <c r="A3431" s="3">
        <v>46046</v>
      </c>
      <c r="B3431" s="46" t="s">
        <v>334</v>
      </c>
      <c r="C3431" s="4" t="s">
        <v>192</v>
      </c>
      <c r="D3431" s="4"/>
      <c r="E3431" s="4" t="s">
        <v>921</v>
      </c>
      <c r="F3431" s="46" t="s">
        <v>1837</v>
      </c>
      <c r="G3431" s="4" t="s">
        <v>336</v>
      </c>
      <c r="H3431" s="4" t="s">
        <v>380</v>
      </c>
      <c r="I3431" s="4">
        <v>0.12</v>
      </c>
      <c r="J3431" s="21">
        <v>417</v>
      </c>
      <c r="K3431" s="21">
        <v>50.04</v>
      </c>
      <c r="L3431" s="5">
        <v>0</v>
      </c>
      <c r="M3431" s="4"/>
      <c r="N3431" s="4"/>
      <c r="O3431" s="5"/>
      <c r="P3431" s="5"/>
      <c r="Q3431" s="21">
        <v>0</v>
      </c>
      <c r="R3431" s="21">
        <v>0</v>
      </c>
      <c r="S3431" s="5">
        <f t="shared" si="215"/>
        <v>15257.623040949107</v>
      </c>
      <c r="T3431" cm="1">
        <f t="array" ref="T3431">IF(OR(B3431="MAL ALIMI", B3431="ÜRETİM GİRİŞ"), MIN(I3431, MAX(0, I3431 + SUM(SUMIFS($I$1:I3430, $C$1:C3430, C3431, $B$1:B3430, {"MAL ALIMI","ÜRETİM GİRİŞ"})) - VLOOKUP(C3431, 'STOK RAPORU'!$C$2:$I$1000, 4, 0))), 0)</f>
        <v>0</v>
      </c>
      <c r="U3431" s="22">
        <f t="shared" si="212"/>
        <v>0</v>
      </c>
      <c r="V3431">
        <f t="shared" si="213"/>
        <v>0</v>
      </c>
      <c r="W3431" s="22">
        <f t="shared" si="214"/>
        <v>0</v>
      </c>
    </row>
    <row r="3432" spans="1:23" hidden="1" x14ac:dyDescent="0.25">
      <c r="A3432" s="3">
        <v>46046</v>
      </c>
      <c r="B3432" s="46" t="s">
        <v>334</v>
      </c>
      <c r="C3432" s="4" t="s">
        <v>1359</v>
      </c>
      <c r="D3432" s="4"/>
      <c r="E3432" s="4" t="s">
        <v>921</v>
      </c>
      <c r="F3432" s="46" t="s">
        <v>1838</v>
      </c>
      <c r="G3432" s="4" t="s">
        <v>336</v>
      </c>
      <c r="H3432" s="4" t="s">
        <v>380</v>
      </c>
      <c r="I3432" s="4">
        <v>0.22222222222222221</v>
      </c>
      <c r="J3432" s="21">
        <v>450</v>
      </c>
      <c r="K3432" s="21">
        <v>100</v>
      </c>
      <c r="L3432" s="5">
        <v>0</v>
      </c>
      <c r="M3432" s="4"/>
      <c r="N3432" s="4"/>
      <c r="O3432" s="5"/>
      <c r="P3432" s="5"/>
      <c r="Q3432" s="21">
        <v>0</v>
      </c>
      <c r="R3432" s="21">
        <v>0</v>
      </c>
      <c r="S3432" s="5">
        <f t="shared" si="215"/>
        <v>15257.623040949107</v>
      </c>
      <c r="T3432" cm="1">
        <f t="array" ref="T3432">IF(OR(B3432="MAL ALIMI", B3432="ÜRETİM GİRİŞ"), MIN(I3432, MAX(0, I3432 + SUM(SUMIFS($I$1:I3431, $C$1:C3431, C3432, $B$1:B3431, {"MAL ALIMI","ÜRETİM GİRİŞ"})) - VLOOKUP(C3432, 'STOK RAPORU'!$C$2:$I$1000, 4, 0))), 0)</f>
        <v>0</v>
      </c>
      <c r="U3432" s="22">
        <f t="shared" si="212"/>
        <v>0</v>
      </c>
      <c r="V3432">
        <f t="shared" si="213"/>
        <v>0</v>
      </c>
      <c r="W3432" s="22">
        <f t="shared" si="214"/>
        <v>0</v>
      </c>
    </row>
    <row r="3433" spans="1:23" hidden="1" x14ac:dyDescent="0.25">
      <c r="A3433" s="3">
        <v>46046</v>
      </c>
      <c r="B3433" s="46" t="s">
        <v>334</v>
      </c>
      <c r="C3433" s="4" t="s">
        <v>152</v>
      </c>
      <c r="D3433" s="4"/>
      <c r="E3433" s="4" t="s">
        <v>921</v>
      </c>
      <c r="F3433" s="46" t="s">
        <v>1838</v>
      </c>
      <c r="G3433" s="4" t="s">
        <v>336</v>
      </c>
      <c r="H3433" s="4" t="s">
        <v>380</v>
      </c>
      <c r="I3433" s="4">
        <v>0.1</v>
      </c>
      <c r="J3433" s="21">
        <v>400</v>
      </c>
      <c r="K3433" s="21">
        <v>40</v>
      </c>
      <c r="L3433" s="5">
        <v>0</v>
      </c>
      <c r="M3433" s="4"/>
      <c r="N3433" s="4"/>
      <c r="O3433" s="5"/>
      <c r="P3433" s="5"/>
      <c r="Q3433" s="21">
        <v>0</v>
      </c>
      <c r="R3433" s="21">
        <v>0</v>
      </c>
      <c r="S3433" s="5">
        <f t="shared" si="215"/>
        <v>15257.623040949107</v>
      </c>
      <c r="T3433" cm="1">
        <f t="array" ref="T3433">IF(OR(B3433="MAL ALIMI", B3433="ÜRETİM GİRİŞ"), MIN(I3433, MAX(0, I3433 + SUM(SUMIFS($I$1:I3432, $C$1:C3432, C3433, $B$1:B3432, {"MAL ALIMI","ÜRETİM GİRİŞ"})) - VLOOKUP(C3433, 'STOK RAPORU'!$C$2:$I$1000, 4, 0))), 0)</f>
        <v>0</v>
      </c>
      <c r="U3433" s="22">
        <f t="shared" si="212"/>
        <v>0</v>
      </c>
      <c r="V3433">
        <f t="shared" si="213"/>
        <v>0</v>
      </c>
      <c r="W3433" s="22">
        <f t="shared" si="214"/>
        <v>0</v>
      </c>
    </row>
    <row r="3434" spans="1:23" hidden="1" x14ac:dyDescent="0.25">
      <c r="A3434" s="3">
        <v>46046</v>
      </c>
      <c r="B3434" s="46" t="s">
        <v>334</v>
      </c>
      <c r="C3434" s="4" t="s">
        <v>692</v>
      </c>
      <c r="D3434" s="4"/>
      <c r="E3434" s="4"/>
      <c r="F3434" s="46" t="s">
        <v>1839</v>
      </c>
      <c r="G3434" s="4" t="s">
        <v>336</v>
      </c>
      <c r="H3434" s="4" t="s">
        <v>289</v>
      </c>
      <c r="I3434" s="4">
        <v>1</v>
      </c>
      <c r="J3434" s="21">
        <v>60</v>
      </c>
      <c r="K3434" s="21">
        <v>0</v>
      </c>
      <c r="L3434" s="5">
        <v>0</v>
      </c>
      <c r="M3434" s="4"/>
      <c r="N3434" s="4"/>
      <c r="O3434" s="5"/>
      <c r="P3434" s="5"/>
      <c r="Q3434" s="21">
        <v>60</v>
      </c>
      <c r="R3434" s="21">
        <v>0</v>
      </c>
      <c r="S3434" s="5">
        <f t="shared" si="215"/>
        <v>15317.623040949107</v>
      </c>
      <c r="T3434" cm="1">
        <f t="array" ref="T3434">IF(OR(B3434="MAL ALIMI", B3434="ÜRETİM GİRİŞ"), MIN(I3434, MAX(0, I3434 + SUM(SUMIFS($I$1:I3433, $C$1:C3433, C3434, $B$1:B3433, {"MAL ALIMI","ÜRETİM GİRİŞ"})) - VLOOKUP(C3434, 'STOK RAPORU'!$C$2:$I$1000, 4, 0))), 0)</f>
        <v>0</v>
      </c>
      <c r="U3434" s="22">
        <f t="shared" si="212"/>
        <v>0</v>
      </c>
      <c r="V3434">
        <f t="shared" si="213"/>
        <v>0</v>
      </c>
      <c r="W3434" s="22">
        <f t="shared" si="214"/>
        <v>0</v>
      </c>
    </row>
    <row r="3435" spans="1:23" hidden="1" x14ac:dyDescent="0.25">
      <c r="A3435" s="3">
        <v>46046</v>
      </c>
      <c r="B3435" s="46" t="s">
        <v>334</v>
      </c>
      <c r="C3435" s="4" t="s">
        <v>463</v>
      </c>
      <c r="D3435" s="4"/>
      <c r="E3435" s="4"/>
      <c r="F3435" s="46" t="s">
        <v>1839</v>
      </c>
      <c r="G3435" s="4" t="s">
        <v>336</v>
      </c>
      <c r="H3435" s="4" t="s">
        <v>289</v>
      </c>
      <c r="I3435" s="4">
        <v>0.51351351351351349</v>
      </c>
      <c r="J3435" s="21">
        <v>370</v>
      </c>
      <c r="K3435" s="21">
        <v>0</v>
      </c>
      <c r="L3435" s="5">
        <v>0</v>
      </c>
      <c r="M3435" s="4"/>
      <c r="N3435" s="4"/>
      <c r="O3435" s="5"/>
      <c r="P3435" s="5"/>
      <c r="Q3435" s="21">
        <v>190</v>
      </c>
      <c r="R3435" s="21">
        <v>0</v>
      </c>
      <c r="S3435" s="5">
        <f t="shared" si="215"/>
        <v>15507.623040949107</v>
      </c>
      <c r="T3435" cm="1">
        <f t="array" ref="T3435">IF(OR(B3435="MAL ALIMI", B3435="ÜRETİM GİRİŞ"), MIN(I3435, MAX(0, I3435 + SUM(SUMIFS($I$1:I3434, $C$1:C3434, C3435, $B$1:B3434, {"MAL ALIMI","ÜRETİM GİRİŞ"})) - VLOOKUP(C3435, 'STOK RAPORU'!$C$2:$I$1000, 4, 0))), 0)</f>
        <v>0</v>
      </c>
      <c r="U3435" s="22">
        <f t="shared" si="212"/>
        <v>0</v>
      </c>
      <c r="V3435">
        <f t="shared" si="213"/>
        <v>0</v>
      </c>
      <c r="W3435" s="22">
        <f t="shared" si="214"/>
        <v>0</v>
      </c>
    </row>
    <row r="3436" spans="1:23" hidden="1" x14ac:dyDescent="0.25">
      <c r="A3436" s="3">
        <v>46046</v>
      </c>
      <c r="B3436" s="46" t="s">
        <v>334</v>
      </c>
      <c r="C3436" s="4" t="s">
        <v>1041</v>
      </c>
      <c r="D3436" s="4"/>
      <c r="E3436" s="4"/>
      <c r="F3436" s="46" t="s">
        <v>1839</v>
      </c>
      <c r="G3436" s="4" t="s">
        <v>336</v>
      </c>
      <c r="H3436" s="4" t="s">
        <v>289</v>
      </c>
      <c r="I3436" s="4">
        <v>1</v>
      </c>
      <c r="J3436" s="21">
        <v>250</v>
      </c>
      <c r="K3436" s="21">
        <v>0</v>
      </c>
      <c r="L3436" s="5">
        <v>0</v>
      </c>
      <c r="M3436" s="4"/>
      <c r="N3436" s="4"/>
      <c r="O3436" s="5"/>
      <c r="P3436" s="5"/>
      <c r="Q3436" s="21">
        <v>250</v>
      </c>
      <c r="R3436" s="21">
        <v>0</v>
      </c>
      <c r="S3436" s="5">
        <f t="shared" si="215"/>
        <v>15757.623040949107</v>
      </c>
      <c r="T3436" cm="1">
        <f t="array" ref="T3436">IF(OR(B3436="MAL ALIMI", B3436="ÜRETİM GİRİŞ"), MIN(I3436, MAX(0, I3436 + SUM(SUMIFS($I$1:I3435, $C$1:C3435, C3436, $B$1:B3435, {"MAL ALIMI","ÜRETİM GİRİŞ"})) - VLOOKUP(C3436, 'STOK RAPORU'!$C$2:$I$1000, 4, 0))), 0)</f>
        <v>0</v>
      </c>
      <c r="U3436" s="22">
        <f t="shared" si="212"/>
        <v>0</v>
      </c>
      <c r="V3436">
        <f t="shared" si="213"/>
        <v>0</v>
      </c>
      <c r="W3436" s="22">
        <f t="shared" si="214"/>
        <v>0</v>
      </c>
    </row>
    <row r="3437" spans="1:23" hidden="1" x14ac:dyDescent="0.25">
      <c r="A3437" s="3">
        <v>46046</v>
      </c>
      <c r="B3437" s="46" t="s">
        <v>334</v>
      </c>
      <c r="C3437" s="4" t="s">
        <v>1151</v>
      </c>
      <c r="D3437" s="4"/>
      <c r="E3437" s="4"/>
      <c r="F3437" s="46" t="s">
        <v>1839</v>
      </c>
      <c r="G3437" s="4" t="s">
        <v>336</v>
      </c>
      <c r="H3437" s="4" t="s">
        <v>289</v>
      </c>
      <c r="I3437" s="4">
        <v>0.55555555555555558</v>
      </c>
      <c r="J3437" s="21">
        <v>360</v>
      </c>
      <c r="K3437" s="21">
        <v>0</v>
      </c>
      <c r="L3437" s="5">
        <v>0</v>
      </c>
      <c r="M3437" s="4"/>
      <c r="N3437" s="4"/>
      <c r="O3437" s="5"/>
      <c r="P3437" s="5"/>
      <c r="Q3437" s="21">
        <v>200</v>
      </c>
      <c r="R3437" s="21">
        <v>0</v>
      </c>
      <c r="S3437" s="5">
        <f t="shared" si="215"/>
        <v>15957.623040949107</v>
      </c>
      <c r="T3437" cm="1">
        <f t="array" ref="T3437">IF(OR(B3437="MAL ALIMI", B3437="ÜRETİM GİRİŞ"), MIN(I3437, MAX(0, I3437 + SUM(SUMIFS($I$1:I3436, $C$1:C3436, C3437, $B$1:B3436, {"MAL ALIMI","ÜRETİM GİRİŞ"})) - VLOOKUP(C3437, 'STOK RAPORU'!$C$2:$I$1000, 4, 0))), 0)</f>
        <v>0</v>
      </c>
      <c r="U3437" s="22">
        <f t="shared" si="212"/>
        <v>0</v>
      </c>
      <c r="V3437">
        <f t="shared" si="213"/>
        <v>0</v>
      </c>
      <c r="W3437" s="22">
        <f t="shared" si="214"/>
        <v>0</v>
      </c>
    </row>
    <row r="3438" spans="1:23" hidden="1" x14ac:dyDescent="0.25">
      <c r="A3438" s="3">
        <v>46046</v>
      </c>
      <c r="B3438" s="46" t="s">
        <v>334</v>
      </c>
      <c r="C3438" s="4" t="s">
        <v>1357</v>
      </c>
      <c r="D3438" s="4"/>
      <c r="E3438" s="4"/>
      <c r="F3438" s="46" t="s">
        <v>1840</v>
      </c>
      <c r="G3438" s="4" t="s">
        <v>336</v>
      </c>
      <c r="H3438" s="4" t="s">
        <v>289</v>
      </c>
      <c r="I3438" s="4">
        <v>1</v>
      </c>
      <c r="J3438" s="21">
        <v>600</v>
      </c>
      <c r="K3438" s="21">
        <v>0</v>
      </c>
      <c r="L3438" s="5">
        <v>0</v>
      </c>
      <c r="M3438" s="4"/>
      <c r="N3438" s="4"/>
      <c r="O3438" s="5"/>
      <c r="P3438" s="5"/>
      <c r="Q3438" s="21">
        <v>600</v>
      </c>
      <c r="R3438" s="21">
        <v>0</v>
      </c>
      <c r="S3438" s="5">
        <f t="shared" si="215"/>
        <v>16557.623040949107</v>
      </c>
      <c r="T3438" cm="1">
        <f t="array" ref="T3438">IF(OR(B3438="MAL ALIMI", B3438="ÜRETİM GİRİŞ"), MIN(I3438, MAX(0, I3438 + SUM(SUMIFS($I$1:I3437, $C$1:C3437, C3438, $B$1:B3437, {"MAL ALIMI","ÜRETİM GİRİŞ"})) - VLOOKUP(C3438, 'STOK RAPORU'!$C$2:$I$1000, 4, 0))), 0)</f>
        <v>0</v>
      </c>
      <c r="U3438" s="22">
        <f t="shared" si="212"/>
        <v>0</v>
      </c>
      <c r="V3438">
        <f t="shared" si="213"/>
        <v>0</v>
      </c>
      <c r="W3438" s="22">
        <f t="shared" si="214"/>
        <v>0</v>
      </c>
    </row>
    <row r="3439" spans="1:23" hidden="1" x14ac:dyDescent="0.25">
      <c r="A3439" s="3">
        <v>46046</v>
      </c>
      <c r="B3439" s="46" t="s">
        <v>334</v>
      </c>
      <c r="C3439" s="4" t="s">
        <v>160</v>
      </c>
      <c r="D3439" s="4"/>
      <c r="E3439" s="4" t="s">
        <v>921</v>
      </c>
      <c r="F3439" s="46" t="s">
        <v>1841</v>
      </c>
      <c r="G3439" s="4" t="s">
        <v>336</v>
      </c>
      <c r="H3439" s="4" t="s">
        <v>380</v>
      </c>
      <c r="I3439" s="4">
        <v>0.5</v>
      </c>
      <c r="J3439" s="21">
        <v>250</v>
      </c>
      <c r="K3439" s="21">
        <v>125</v>
      </c>
      <c r="L3439" s="5">
        <v>0</v>
      </c>
      <c r="M3439" s="4"/>
      <c r="N3439" s="4"/>
      <c r="O3439" s="5"/>
      <c r="P3439" s="5"/>
      <c r="Q3439" s="21">
        <v>0</v>
      </c>
      <c r="R3439" s="21">
        <v>0</v>
      </c>
      <c r="S3439" s="5">
        <f t="shared" si="215"/>
        <v>16557.623040949107</v>
      </c>
      <c r="T3439" cm="1">
        <f t="array" ref="T3439">IF(OR(B3439="MAL ALIMI", B3439="ÜRETİM GİRİŞ"), MIN(I3439, MAX(0, I3439 + SUM(SUMIFS($I$1:I3438, $C$1:C3438, C3439, $B$1:B3438, {"MAL ALIMI","ÜRETİM GİRİŞ"})) - VLOOKUP(C3439, 'STOK RAPORU'!$C$2:$I$1000, 4, 0))), 0)</f>
        <v>0</v>
      </c>
      <c r="U3439" s="22">
        <f t="shared" si="212"/>
        <v>0</v>
      </c>
      <c r="V3439">
        <f t="shared" si="213"/>
        <v>0</v>
      </c>
      <c r="W3439" s="22">
        <f t="shared" si="214"/>
        <v>0</v>
      </c>
    </row>
    <row r="3440" spans="1:23" hidden="1" x14ac:dyDescent="0.25">
      <c r="A3440" s="3">
        <v>46046</v>
      </c>
      <c r="B3440" s="46" t="s">
        <v>334</v>
      </c>
      <c r="C3440" s="4" t="s">
        <v>161</v>
      </c>
      <c r="D3440" s="4"/>
      <c r="E3440" s="4" t="s">
        <v>921</v>
      </c>
      <c r="F3440" s="46" t="s">
        <v>1841</v>
      </c>
      <c r="G3440" s="4" t="s">
        <v>336</v>
      </c>
      <c r="H3440" s="4" t="s">
        <v>380</v>
      </c>
      <c r="I3440" s="4">
        <v>0.5</v>
      </c>
      <c r="J3440" s="21">
        <v>230</v>
      </c>
      <c r="K3440" s="21">
        <v>115</v>
      </c>
      <c r="L3440" s="5">
        <v>0</v>
      </c>
      <c r="M3440" s="4"/>
      <c r="N3440" s="4"/>
      <c r="O3440" s="5"/>
      <c r="P3440" s="5"/>
      <c r="Q3440" s="21">
        <v>0</v>
      </c>
      <c r="R3440" s="21">
        <v>0</v>
      </c>
      <c r="S3440" s="5">
        <f t="shared" si="215"/>
        <v>16557.623040949107</v>
      </c>
      <c r="T3440" cm="1">
        <f t="array" ref="T3440">IF(OR(B3440="MAL ALIMI", B3440="ÜRETİM GİRİŞ"), MIN(I3440, MAX(0, I3440 + SUM(SUMIFS($I$1:I3439, $C$1:C3439, C3440, $B$1:B3439, {"MAL ALIMI","ÜRETİM GİRİŞ"})) - VLOOKUP(C3440, 'STOK RAPORU'!$C$2:$I$1000, 4, 0))), 0)</f>
        <v>0</v>
      </c>
      <c r="U3440" s="22">
        <f t="shared" si="212"/>
        <v>0</v>
      </c>
      <c r="V3440">
        <f t="shared" si="213"/>
        <v>0</v>
      </c>
      <c r="W3440" s="22">
        <f t="shared" si="214"/>
        <v>0</v>
      </c>
    </row>
    <row r="3441" spans="1:23" hidden="1" x14ac:dyDescent="0.25">
      <c r="A3441" s="3">
        <v>46046</v>
      </c>
      <c r="B3441" s="46" t="s">
        <v>334</v>
      </c>
      <c r="C3441" s="4" t="s">
        <v>1634</v>
      </c>
      <c r="D3441" s="4"/>
      <c r="E3441" s="4" t="s">
        <v>921</v>
      </c>
      <c r="F3441" s="46" t="s">
        <v>1842</v>
      </c>
      <c r="G3441" s="4" t="s">
        <v>336</v>
      </c>
      <c r="H3441" s="4" t="s">
        <v>380</v>
      </c>
      <c r="I3441" s="4">
        <v>0.5</v>
      </c>
      <c r="J3441" s="21">
        <v>300</v>
      </c>
      <c r="K3441" s="21">
        <v>150</v>
      </c>
      <c r="L3441" s="5">
        <v>0</v>
      </c>
      <c r="M3441" s="4"/>
      <c r="N3441" s="4"/>
      <c r="O3441" s="5"/>
      <c r="P3441" s="5"/>
      <c r="Q3441" s="21">
        <v>0</v>
      </c>
      <c r="R3441" s="21">
        <v>0</v>
      </c>
      <c r="S3441" s="5">
        <f t="shared" si="215"/>
        <v>16557.623040949107</v>
      </c>
      <c r="T3441" cm="1">
        <f t="array" ref="T3441">IF(OR(B3441="MAL ALIMI", B3441="ÜRETİM GİRİŞ"), MIN(I3441, MAX(0, I3441 + SUM(SUMIFS($I$1:I3440, $C$1:C3440, C3441, $B$1:B3440, {"MAL ALIMI","ÜRETİM GİRİŞ"})) - VLOOKUP(C3441, 'STOK RAPORU'!$C$2:$I$1000, 4, 0))), 0)</f>
        <v>0</v>
      </c>
      <c r="U3441" s="22">
        <f t="shared" si="212"/>
        <v>0</v>
      </c>
      <c r="V3441">
        <f t="shared" si="213"/>
        <v>0</v>
      </c>
      <c r="W3441" s="22">
        <f t="shared" si="214"/>
        <v>0</v>
      </c>
    </row>
    <row r="3442" spans="1:23" hidden="1" x14ac:dyDescent="0.25">
      <c r="A3442" s="3">
        <v>46046</v>
      </c>
      <c r="B3442" s="46" t="s">
        <v>334</v>
      </c>
      <c r="C3442" s="4" t="s">
        <v>651</v>
      </c>
      <c r="D3442" s="4"/>
      <c r="E3442" s="4"/>
      <c r="F3442" s="46" t="s">
        <v>1843</v>
      </c>
      <c r="G3442" s="4" t="s">
        <v>336</v>
      </c>
      <c r="H3442" s="4" t="s">
        <v>289</v>
      </c>
      <c r="I3442" s="4">
        <v>1</v>
      </c>
      <c r="J3442" s="21">
        <v>400</v>
      </c>
      <c r="K3442" s="21">
        <v>0</v>
      </c>
      <c r="L3442" s="5">
        <v>0</v>
      </c>
      <c r="M3442" s="4"/>
      <c r="N3442" s="4"/>
      <c r="O3442" s="5"/>
      <c r="P3442" s="5"/>
      <c r="Q3442" s="21">
        <v>400</v>
      </c>
      <c r="R3442" s="21">
        <v>0</v>
      </c>
      <c r="S3442" s="5">
        <f t="shared" si="215"/>
        <v>16957.623040949107</v>
      </c>
      <c r="T3442" cm="1">
        <f t="array" ref="T3442">IF(OR(B3442="MAL ALIMI", B3442="ÜRETİM GİRİŞ"), MIN(I3442, MAX(0, I3442 + SUM(SUMIFS($I$1:I3441, $C$1:C3441, C3442, $B$1:B3441, {"MAL ALIMI","ÜRETİM GİRİŞ"})) - VLOOKUP(C3442, 'STOK RAPORU'!$C$2:$I$1000, 4, 0))), 0)</f>
        <v>0</v>
      </c>
      <c r="U3442" s="22">
        <f t="shared" si="212"/>
        <v>0</v>
      </c>
      <c r="V3442">
        <f t="shared" si="213"/>
        <v>0</v>
      </c>
      <c r="W3442" s="22">
        <f t="shared" si="214"/>
        <v>0</v>
      </c>
    </row>
    <row r="3443" spans="1:23" hidden="1" x14ac:dyDescent="0.25">
      <c r="A3443" s="3">
        <v>46046</v>
      </c>
      <c r="B3443" s="46" t="s">
        <v>334</v>
      </c>
      <c r="C3443" s="4" t="s">
        <v>160</v>
      </c>
      <c r="D3443" s="4"/>
      <c r="E3443" s="4"/>
      <c r="F3443" s="46" t="s">
        <v>1843</v>
      </c>
      <c r="G3443" s="4" t="s">
        <v>336</v>
      </c>
      <c r="H3443" s="4" t="s">
        <v>289</v>
      </c>
      <c r="I3443" s="4">
        <v>0.5</v>
      </c>
      <c r="J3443" s="21">
        <v>250</v>
      </c>
      <c r="K3443" s="21">
        <v>0</v>
      </c>
      <c r="L3443" s="5">
        <v>0</v>
      </c>
      <c r="M3443" s="4"/>
      <c r="N3443" s="4"/>
      <c r="O3443" s="5"/>
      <c r="P3443" s="5"/>
      <c r="Q3443" s="21">
        <v>125</v>
      </c>
      <c r="R3443" s="21">
        <v>0</v>
      </c>
      <c r="S3443" s="5">
        <f t="shared" si="215"/>
        <v>17082.623040949107</v>
      </c>
      <c r="T3443" cm="1">
        <f t="array" ref="T3443">IF(OR(B3443="MAL ALIMI", B3443="ÜRETİM GİRİŞ"), MIN(I3443, MAX(0, I3443 + SUM(SUMIFS($I$1:I3442, $C$1:C3442, C3443, $B$1:B3442, {"MAL ALIMI","ÜRETİM GİRİŞ"})) - VLOOKUP(C3443, 'STOK RAPORU'!$C$2:$I$1000, 4, 0))), 0)</f>
        <v>0</v>
      </c>
      <c r="U3443" s="22">
        <f t="shared" si="212"/>
        <v>0</v>
      </c>
      <c r="V3443">
        <f t="shared" si="213"/>
        <v>0</v>
      </c>
      <c r="W3443" s="22">
        <f t="shared" si="214"/>
        <v>0</v>
      </c>
    </row>
    <row r="3444" spans="1:23" hidden="1" x14ac:dyDescent="0.25">
      <c r="A3444" s="3">
        <v>46046</v>
      </c>
      <c r="B3444" s="46" t="s">
        <v>334</v>
      </c>
      <c r="C3444" s="4" t="s">
        <v>161</v>
      </c>
      <c r="D3444" s="4"/>
      <c r="E3444" s="4"/>
      <c r="F3444" s="46" t="s">
        <v>1843</v>
      </c>
      <c r="G3444" s="4" t="s">
        <v>336</v>
      </c>
      <c r="H3444" s="4" t="s">
        <v>289</v>
      </c>
      <c r="I3444" s="4">
        <v>0.5</v>
      </c>
      <c r="J3444" s="21">
        <v>230</v>
      </c>
      <c r="K3444" s="21">
        <v>0</v>
      </c>
      <c r="L3444" s="5">
        <v>0</v>
      </c>
      <c r="M3444" s="4"/>
      <c r="N3444" s="4"/>
      <c r="O3444" s="5"/>
      <c r="P3444" s="5"/>
      <c r="Q3444" s="21">
        <v>115</v>
      </c>
      <c r="R3444" s="21">
        <v>0</v>
      </c>
      <c r="S3444" s="5">
        <f t="shared" si="215"/>
        <v>17197.623040949107</v>
      </c>
      <c r="T3444" cm="1">
        <f t="array" ref="T3444">IF(OR(B3444="MAL ALIMI", B3444="ÜRETİM GİRİŞ"), MIN(I3444, MAX(0, I3444 + SUM(SUMIFS($I$1:I3443, $C$1:C3443, C3444, $B$1:B3443, {"MAL ALIMI","ÜRETİM GİRİŞ"})) - VLOOKUP(C3444, 'STOK RAPORU'!$C$2:$I$1000, 4, 0))), 0)</f>
        <v>0</v>
      </c>
      <c r="U3444" s="22">
        <f t="shared" si="212"/>
        <v>0</v>
      </c>
      <c r="V3444">
        <f t="shared" si="213"/>
        <v>0</v>
      </c>
      <c r="W3444" s="22">
        <f t="shared" si="214"/>
        <v>0</v>
      </c>
    </row>
    <row r="3445" spans="1:23" hidden="1" x14ac:dyDescent="0.25">
      <c r="A3445" s="3">
        <v>46046</v>
      </c>
      <c r="B3445" s="46" t="s">
        <v>334</v>
      </c>
      <c r="C3445" s="4" t="s">
        <v>132</v>
      </c>
      <c r="D3445" s="4"/>
      <c r="E3445" s="4"/>
      <c r="F3445" s="46" t="s">
        <v>1843</v>
      </c>
      <c r="G3445" s="4" t="s">
        <v>336</v>
      </c>
      <c r="H3445" s="4" t="s">
        <v>289</v>
      </c>
      <c r="I3445" s="4">
        <v>0.26600000000000001</v>
      </c>
      <c r="J3445" s="21">
        <v>500</v>
      </c>
      <c r="K3445" s="21">
        <v>0</v>
      </c>
      <c r="L3445" s="5">
        <v>0</v>
      </c>
      <c r="M3445" s="4"/>
      <c r="N3445" s="4"/>
      <c r="O3445" s="5"/>
      <c r="P3445" s="5"/>
      <c r="Q3445" s="21">
        <v>133</v>
      </c>
      <c r="R3445" s="21">
        <v>0</v>
      </c>
      <c r="S3445" s="5">
        <f t="shared" si="215"/>
        <v>17330.623040949107</v>
      </c>
      <c r="T3445" cm="1">
        <f t="array" ref="T3445">IF(OR(B3445="MAL ALIMI", B3445="ÜRETİM GİRİŞ"), MIN(I3445, MAX(0, I3445 + SUM(SUMIFS($I$1:I3444, $C$1:C3444, C3445, $B$1:B3444, {"MAL ALIMI","ÜRETİM GİRİŞ"})) - VLOOKUP(C3445, 'STOK RAPORU'!$C$2:$I$1000, 4, 0))), 0)</f>
        <v>0</v>
      </c>
      <c r="U3445" s="22">
        <f t="shared" si="212"/>
        <v>0</v>
      </c>
      <c r="V3445">
        <f t="shared" si="213"/>
        <v>0</v>
      </c>
      <c r="W3445" s="22">
        <f t="shared" si="214"/>
        <v>0</v>
      </c>
    </row>
    <row r="3446" spans="1:23" hidden="1" x14ac:dyDescent="0.25">
      <c r="A3446" s="3">
        <v>46046</v>
      </c>
      <c r="B3446" s="46" t="s">
        <v>334</v>
      </c>
      <c r="C3446" s="4" t="s">
        <v>89</v>
      </c>
      <c r="D3446" s="4"/>
      <c r="E3446" s="4" t="s">
        <v>921</v>
      </c>
      <c r="F3446" s="46" t="s">
        <v>1844</v>
      </c>
      <c r="G3446" s="4" t="s">
        <v>336</v>
      </c>
      <c r="H3446" s="4" t="s">
        <v>380</v>
      </c>
      <c r="I3446" s="4">
        <v>0.374</v>
      </c>
      <c r="J3446" s="21">
        <v>650</v>
      </c>
      <c r="K3446" s="21">
        <v>243.1</v>
      </c>
      <c r="L3446" s="5">
        <v>0</v>
      </c>
      <c r="M3446" s="4"/>
      <c r="N3446" s="4"/>
      <c r="O3446" s="5"/>
      <c r="P3446" s="5"/>
      <c r="Q3446" s="21">
        <v>0</v>
      </c>
      <c r="R3446" s="21">
        <v>0</v>
      </c>
      <c r="S3446" s="5">
        <f t="shared" si="215"/>
        <v>17330.623040949107</v>
      </c>
      <c r="T3446" cm="1">
        <f t="array" ref="T3446">IF(OR(B3446="MAL ALIMI", B3446="ÜRETİM GİRİŞ"), MIN(I3446, MAX(0, I3446 + SUM(SUMIFS($I$1:I3445, $C$1:C3445, C3446, $B$1:B3445, {"MAL ALIMI","ÜRETİM GİRİŞ"})) - VLOOKUP(C3446, 'STOK RAPORU'!$C$2:$I$1000, 4, 0))), 0)</f>
        <v>0</v>
      </c>
      <c r="U3446" s="22">
        <f t="shared" si="212"/>
        <v>0</v>
      </c>
      <c r="V3446">
        <f t="shared" si="213"/>
        <v>0</v>
      </c>
      <c r="W3446" s="22">
        <f t="shared" si="214"/>
        <v>0</v>
      </c>
    </row>
    <row r="3447" spans="1:23" hidden="1" x14ac:dyDescent="0.25">
      <c r="A3447" s="3">
        <v>46046</v>
      </c>
      <c r="B3447" s="46" t="s">
        <v>334</v>
      </c>
      <c r="C3447" s="4" t="s">
        <v>241</v>
      </c>
      <c r="D3447" s="4"/>
      <c r="E3447" s="4" t="s">
        <v>921</v>
      </c>
      <c r="F3447" s="46" t="s">
        <v>1844</v>
      </c>
      <c r="G3447" s="4" t="s">
        <v>336</v>
      </c>
      <c r="H3447" s="4" t="s">
        <v>380</v>
      </c>
      <c r="I3447" s="4">
        <v>0.28000000000000003</v>
      </c>
      <c r="J3447" s="21">
        <v>430</v>
      </c>
      <c r="K3447" s="21">
        <v>120.4</v>
      </c>
      <c r="L3447" s="5">
        <v>0</v>
      </c>
      <c r="M3447" s="4"/>
      <c r="N3447" s="4"/>
      <c r="O3447" s="5"/>
      <c r="P3447" s="5"/>
      <c r="Q3447" s="21">
        <v>0</v>
      </c>
      <c r="R3447" s="21">
        <v>0</v>
      </c>
      <c r="S3447" s="5">
        <f t="shared" si="215"/>
        <v>17330.623040949107</v>
      </c>
      <c r="T3447" cm="1">
        <f t="array" ref="T3447">IF(OR(B3447="MAL ALIMI", B3447="ÜRETİM GİRİŞ"), MIN(I3447, MAX(0, I3447 + SUM(SUMIFS($I$1:I3446, $C$1:C3446, C3447, $B$1:B3446, {"MAL ALIMI","ÜRETİM GİRİŞ"})) - VLOOKUP(C3447, 'STOK RAPORU'!$C$2:$I$1000, 4, 0))), 0)</f>
        <v>0</v>
      </c>
      <c r="U3447" s="22">
        <f t="shared" si="212"/>
        <v>0</v>
      </c>
      <c r="V3447">
        <f t="shared" si="213"/>
        <v>0</v>
      </c>
      <c r="W3447" s="22">
        <f t="shared" si="214"/>
        <v>0</v>
      </c>
    </row>
    <row r="3448" spans="1:23" hidden="1" x14ac:dyDescent="0.25">
      <c r="A3448" s="3">
        <v>46046</v>
      </c>
      <c r="B3448" s="46" t="s">
        <v>334</v>
      </c>
      <c r="C3448" s="4" t="s">
        <v>728</v>
      </c>
      <c r="D3448" s="4"/>
      <c r="E3448" s="4"/>
      <c r="F3448" s="46" t="s">
        <v>1845</v>
      </c>
      <c r="G3448" s="4" t="s">
        <v>336</v>
      </c>
      <c r="H3448" s="4" t="s">
        <v>289</v>
      </c>
      <c r="I3448" s="4">
        <v>0.22</v>
      </c>
      <c r="J3448" s="21">
        <v>690</v>
      </c>
      <c r="K3448" s="21">
        <v>0</v>
      </c>
      <c r="L3448" s="5">
        <v>0</v>
      </c>
      <c r="M3448" s="4"/>
      <c r="N3448" s="4"/>
      <c r="O3448" s="5"/>
      <c r="P3448" s="5"/>
      <c r="Q3448" s="21">
        <v>151.80000000000001</v>
      </c>
      <c r="R3448" s="21">
        <v>0</v>
      </c>
      <c r="S3448" s="5">
        <f t="shared" si="215"/>
        <v>17482.423040949107</v>
      </c>
      <c r="T3448" cm="1">
        <f t="array" ref="T3448">IF(OR(B3448="MAL ALIMI", B3448="ÜRETİM GİRİŞ"), MIN(I3448, MAX(0, I3448 + SUM(SUMIFS($I$1:I3447, $C$1:C3447, C3448, $B$1:B3447, {"MAL ALIMI","ÜRETİM GİRİŞ"})) - VLOOKUP(C3448, 'STOK RAPORU'!$C$2:$I$1000, 4, 0))), 0)</f>
        <v>0</v>
      </c>
      <c r="U3448" s="22">
        <f t="shared" si="212"/>
        <v>0</v>
      </c>
      <c r="V3448">
        <f t="shared" si="213"/>
        <v>0</v>
      </c>
      <c r="W3448" s="22">
        <f t="shared" si="214"/>
        <v>0</v>
      </c>
    </row>
    <row r="3449" spans="1:23" hidden="1" x14ac:dyDescent="0.25">
      <c r="A3449" s="3">
        <v>46046</v>
      </c>
      <c r="B3449" s="46" t="s">
        <v>334</v>
      </c>
      <c r="C3449" s="4" t="s">
        <v>1357</v>
      </c>
      <c r="D3449" s="4"/>
      <c r="E3449" s="4"/>
      <c r="F3449" s="46" t="s">
        <v>1845</v>
      </c>
      <c r="G3449" s="4" t="s">
        <v>336</v>
      </c>
      <c r="H3449" s="4" t="s">
        <v>289</v>
      </c>
      <c r="I3449" s="4">
        <v>0.23200000000000001</v>
      </c>
      <c r="J3449" s="21">
        <v>570</v>
      </c>
      <c r="K3449" s="21">
        <v>0</v>
      </c>
      <c r="L3449" s="5">
        <v>0</v>
      </c>
      <c r="M3449" s="4"/>
      <c r="N3449" s="4"/>
      <c r="O3449" s="5"/>
      <c r="P3449" s="5"/>
      <c r="Q3449" s="21">
        <v>132.24</v>
      </c>
      <c r="R3449" s="21">
        <v>0</v>
      </c>
      <c r="S3449" s="5">
        <f t="shared" si="215"/>
        <v>17614.663040949108</v>
      </c>
      <c r="T3449" cm="1">
        <f t="array" ref="T3449">IF(OR(B3449="MAL ALIMI", B3449="ÜRETİM GİRİŞ"), MIN(I3449, MAX(0, I3449 + SUM(SUMIFS($I$1:I3448, $C$1:C3448, C3449, $B$1:B3448, {"MAL ALIMI","ÜRETİM GİRİŞ"})) - VLOOKUP(C3449, 'STOK RAPORU'!$C$2:$I$1000, 4, 0))), 0)</f>
        <v>0</v>
      </c>
      <c r="U3449" s="22">
        <f t="shared" si="212"/>
        <v>0</v>
      </c>
      <c r="V3449">
        <f t="shared" si="213"/>
        <v>0</v>
      </c>
      <c r="W3449" s="22">
        <f t="shared" si="214"/>
        <v>0</v>
      </c>
    </row>
    <row r="3450" spans="1:23" hidden="1" x14ac:dyDescent="0.25">
      <c r="A3450" s="3">
        <v>46046</v>
      </c>
      <c r="B3450" s="46" t="s">
        <v>334</v>
      </c>
      <c r="C3450" s="4" t="s">
        <v>1023</v>
      </c>
      <c r="D3450" s="4"/>
      <c r="E3450" s="4"/>
      <c r="F3450" s="46" t="s">
        <v>1845</v>
      </c>
      <c r="G3450" s="4" t="s">
        <v>336</v>
      </c>
      <c r="H3450" s="4" t="s">
        <v>289</v>
      </c>
      <c r="I3450" s="4">
        <v>2.27</v>
      </c>
      <c r="J3450" s="21">
        <v>65</v>
      </c>
      <c r="K3450" s="21">
        <v>0</v>
      </c>
      <c r="L3450" s="5">
        <v>0</v>
      </c>
      <c r="M3450" s="4"/>
      <c r="N3450" s="4"/>
      <c r="O3450" s="5"/>
      <c r="P3450" s="5"/>
      <c r="Q3450" s="21">
        <v>147.55000000000001</v>
      </c>
      <c r="R3450" s="21">
        <v>0</v>
      </c>
      <c r="S3450" s="5">
        <f t="shared" si="215"/>
        <v>17762.213040949107</v>
      </c>
      <c r="T3450" cm="1">
        <f t="array" ref="T3450">IF(OR(B3450="MAL ALIMI", B3450="ÜRETİM GİRİŞ"), MIN(I3450, MAX(0, I3450 + SUM(SUMIFS($I$1:I3449, $C$1:C3449, C3450, $B$1:B3449, {"MAL ALIMI","ÜRETİM GİRİŞ"})) - VLOOKUP(C3450, 'STOK RAPORU'!$C$2:$I$1000, 4, 0))), 0)</f>
        <v>0</v>
      </c>
      <c r="U3450" s="22">
        <f t="shared" si="212"/>
        <v>0</v>
      </c>
      <c r="V3450">
        <f t="shared" si="213"/>
        <v>0</v>
      </c>
      <c r="W3450" s="22">
        <f t="shared" si="214"/>
        <v>0</v>
      </c>
    </row>
    <row r="3451" spans="1:23" hidden="1" x14ac:dyDescent="0.25">
      <c r="A3451" s="3">
        <v>46046</v>
      </c>
      <c r="B3451" s="46" t="s">
        <v>334</v>
      </c>
      <c r="C3451" s="4" t="s">
        <v>3167</v>
      </c>
      <c r="D3451" s="4"/>
      <c r="E3451" s="4"/>
      <c r="F3451" s="46" t="s">
        <v>1845</v>
      </c>
      <c r="G3451" s="4" t="s">
        <v>336</v>
      </c>
      <c r="H3451" s="4" t="s">
        <v>289</v>
      </c>
      <c r="I3451" s="4">
        <v>0.25</v>
      </c>
      <c r="J3451" s="21">
        <v>370</v>
      </c>
      <c r="K3451" s="21">
        <v>0</v>
      </c>
      <c r="L3451" s="5">
        <v>0</v>
      </c>
      <c r="M3451" s="4"/>
      <c r="N3451" s="4"/>
      <c r="O3451" s="5"/>
      <c r="P3451" s="5"/>
      <c r="Q3451" s="21">
        <v>92.5</v>
      </c>
      <c r="R3451" s="21">
        <v>0</v>
      </c>
      <c r="S3451" s="5">
        <f t="shared" si="215"/>
        <v>17854.713040949107</v>
      </c>
      <c r="T3451" cm="1">
        <f t="array" ref="T3451">IF(OR(B3451="MAL ALIMI", B3451="ÜRETİM GİRİŞ"), MIN(I3451, MAX(0, I3451 + SUM(SUMIFS($I$1:I3450, $C$1:C3450, C3451, $B$1:B3450, {"MAL ALIMI","ÜRETİM GİRİŞ"})) - VLOOKUP(C3451, 'STOK RAPORU'!$C$2:$I$1000, 4, 0))), 0)</f>
        <v>0</v>
      </c>
      <c r="U3451" s="22">
        <f t="shared" si="212"/>
        <v>0</v>
      </c>
      <c r="V3451">
        <f t="shared" si="213"/>
        <v>0</v>
      </c>
      <c r="W3451" s="22">
        <f t="shared" si="214"/>
        <v>0</v>
      </c>
    </row>
    <row r="3452" spans="1:23" hidden="1" x14ac:dyDescent="0.25">
      <c r="A3452" s="3">
        <v>46046</v>
      </c>
      <c r="B3452" s="46" t="s">
        <v>334</v>
      </c>
      <c r="C3452" s="4" t="s">
        <v>463</v>
      </c>
      <c r="D3452" s="4"/>
      <c r="E3452" s="4"/>
      <c r="F3452" s="46" t="s">
        <v>1845</v>
      </c>
      <c r="G3452" s="4" t="s">
        <v>336</v>
      </c>
      <c r="H3452" s="4" t="s">
        <v>289</v>
      </c>
      <c r="I3452" s="4">
        <v>0.25</v>
      </c>
      <c r="J3452" s="21">
        <v>370</v>
      </c>
      <c r="K3452" s="21">
        <v>0</v>
      </c>
      <c r="L3452" s="5">
        <v>0</v>
      </c>
      <c r="M3452" s="4"/>
      <c r="N3452" s="4"/>
      <c r="O3452" s="5"/>
      <c r="P3452" s="5"/>
      <c r="Q3452" s="21">
        <v>92.5</v>
      </c>
      <c r="R3452" s="21">
        <v>0</v>
      </c>
      <c r="S3452" s="5">
        <f t="shared" si="215"/>
        <v>17947.213040949107</v>
      </c>
      <c r="T3452" cm="1">
        <f t="array" ref="T3452">IF(OR(B3452="MAL ALIMI", B3452="ÜRETİM GİRİŞ"), MIN(I3452, MAX(0, I3452 + SUM(SUMIFS($I$1:I3451, $C$1:C3451, C3452, $B$1:B3451, {"MAL ALIMI","ÜRETİM GİRİŞ"})) - VLOOKUP(C3452, 'STOK RAPORU'!$C$2:$I$1000, 4, 0))), 0)</f>
        <v>0</v>
      </c>
      <c r="U3452" s="22">
        <f t="shared" si="212"/>
        <v>0</v>
      </c>
      <c r="V3452">
        <f t="shared" si="213"/>
        <v>0</v>
      </c>
      <c r="W3452" s="22">
        <f t="shared" si="214"/>
        <v>0</v>
      </c>
    </row>
    <row r="3453" spans="1:23" hidden="1" x14ac:dyDescent="0.25">
      <c r="A3453" s="3">
        <v>46046</v>
      </c>
      <c r="B3453" s="46" t="s">
        <v>334</v>
      </c>
      <c r="C3453" s="4" t="s">
        <v>132</v>
      </c>
      <c r="D3453" s="4"/>
      <c r="E3453" s="4"/>
      <c r="F3453" s="46" t="s">
        <v>1845</v>
      </c>
      <c r="G3453" s="4" t="s">
        <v>336</v>
      </c>
      <c r="H3453" s="4" t="s">
        <v>289</v>
      </c>
      <c r="I3453" s="4">
        <v>0.20399999999999999</v>
      </c>
      <c r="J3453" s="21">
        <v>500</v>
      </c>
      <c r="K3453" s="21">
        <v>0</v>
      </c>
      <c r="L3453" s="5">
        <v>0</v>
      </c>
      <c r="M3453" s="4"/>
      <c r="N3453" s="4"/>
      <c r="O3453" s="5"/>
      <c r="P3453" s="5"/>
      <c r="Q3453" s="21">
        <v>102</v>
      </c>
      <c r="R3453" s="21">
        <v>0</v>
      </c>
      <c r="S3453" s="5">
        <f t="shared" si="215"/>
        <v>18049.213040949107</v>
      </c>
      <c r="T3453" cm="1">
        <f t="array" ref="T3453">IF(OR(B3453="MAL ALIMI", B3453="ÜRETİM GİRİŞ"), MIN(I3453, MAX(0, I3453 + SUM(SUMIFS($I$1:I3452, $C$1:C3452, C3453, $B$1:B3452, {"MAL ALIMI","ÜRETİM GİRİŞ"})) - VLOOKUP(C3453, 'STOK RAPORU'!$C$2:$I$1000, 4, 0))), 0)</f>
        <v>0</v>
      </c>
      <c r="U3453" s="22">
        <f t="shared" si="212"/>
        <v>0</v>
      </c>
      <c r="V3453">
        <f t="shared" si="213"/>
        <v>0</v>
      </c>
      <c r="W3453" s="22">
        <f t="shared" si="214"/>
        <v>0</v>
      </c>
    </row>
    <row r="3454" spans="1:23" hidden="1" x14ac:dyDescent="0.25">
      <c r="A3454" s="3">
        <v>46046</v>
      </c>
      <c r="B3454" s="46" t="s">
        <v>334</v>
      </c>
      <c r="C3454" s="4" t="s">
        <v>1041</v>
      </c>
      <c r="D3454" s="4"/>
      <c r="E3454" s="4"/>
      <c r="F3454" s="46" t="s">
        <v>1845</v>
      </c>
      <c r="G3454" s="4" t="s">
        <v>336</v>
      </c>
      <c r="H3454" s="4" t="s">
        <v>289</v>
      </c>
      <c r="I3454" s="4">
        <v>1.1499999999999999</v>
      </c>
      <c r="J3454" s="21">
        <v>250</v>
      </c>
      <c r="K3454" s="21">
        <v>0</v>
      </c>
      <c r="L3454" s="5">
        <v>0</v>
      </c>
      <c r="M3454" s="4"/>
      <c r="N3454" s="4"/>
      <c r="O3454" s="5"/>
      <c r="P3454" s="5"/>
      <c r="Q3454" s="21">
        <v>287.5</v>
      </c>
      <c r="R3454" s="21">
        <v>0</v>
      </c>
      <c r="S3454" s="5">
        <f t="shared" si="215"/>
        <v>18336.713040949107</v>
      </c>
      <c r="T3454" cm="1">
        <f t="array" ref="T3454">IF(OR(B3454="MAL ALIMI", B3454="ÜRETİM GİRİŞ"), MIN(I3454, MAX(0, I3454 + SUM(SUMIFS($I$1:I3453, $C$1:C3453, C3454, $B$1:B3453, {"MAL ALIMI","ÜRETİM GİRİŞ"})) - VLOOKUP(C3454, 'STOK RAPORU'!$C$2:$I$1000, 4, 0))), 0)</f>
        <v>0</v>
      </c>
      <c r="U3454" s="22">
        <f t="shared" si="212"/>
        <v>0</v>
      </c>
      <c r="V3454">
        <f t="shared" si="213"/>
        <v>0</v>
      </c>
      <c r="W3454" s="22">
        <f t="shared" si="214"/>
        <v>0</v>
      </c>
    </row>
    <row r="3455" spans="1:23" hidden="1" x14ac:dyDescent="0.25">
      <c r="A3455" s="3">
        <v>46046</v>
      </c>
      <c r="B3455" s="46" t="s">
        <v>334</v>
      </c>
      <c r="C3455" s="4" t="s">
        <v>162</v>
      </c>
      <c r="D3455" s="4"/>
      <c r="E3455" s="4" t="s">
        <v>921</v>
      </c>
      <c r="F3455" s="46" t="s">
        <v>1846</v>
      </c>
      <c r="G3455" s="4" t="s">
        <v>336</v>
      </c>
      <c r="H3455" s="4" t="s">
        <v>380</v>
      </c>
      <c r="I3455" s="4">
        <v>1</v>
      </c>
      <c r="J3455" s="21">
        <v>250</v>
      </c>
      <c r="K3455" s="21">
        <v>250</v>
      </c>
      <c r="L3455" s="5">
        <v>0</v>
      </c>
      <c r="M3455" s="4"/>
      <c r="N3455" s="4"/>
      <c r="O3455" s="5"/>
      <c r="P3455" s="5"/>
      <c r="Q3455" s="21">
        <v>0</v>
      </c>
      <c r="R3455" s="21">
        <v>0</v>
      </c>
      <c r="S3455" s="5">
        <f t="shared" si="215"/>
        <v>18336.713040949107</v>
      </c>
      <c r="T3455" cm="1">
        <f t="array" ref="T3455">IF(OR(B3455="MAL ALIMI", B3455="ÜRETİM GİRİŞ"), MIN(I3455, MAX(0, I3455 + SUM(SUMIFS($I$1:I3454, $C$1:C3454, C3455, $B$1:B3454, {"MAL ALIMI","ÜRETİM GİRİŞ"})) - VLOOKUP(C3455, 'STOK RAPORU'!$C$2:$I$1000, 4, 0))), 0)</f>
        <v>0</v>
      </c>
      <c r="U3455" s="22">
        <f t="shared" si="212"/>
        <v>0</v>
      </c>
      <c r="V3455">
        <f t="shared" si="213"/>
        <v>0</v>
      </c>
      <c r="W3455" s="22">
        <f t="shared" si="214"/>
        <v>0</v>
      </c>
    </row>
    <row r="3456" spans="1:23" hidden="1" x14ac:dyDescent="0.25">
      <c r="A3456" s="3">
        <v>46046</v>
      </c>
      <c r="B3456" s="46" t="s">
        <v>334</v>
      </c>
      <c r="C3456" s="4" t="s">
        <v>160</v>
      </c>
      <c r="D3456" s="4"/>
      <c r="E3456" s="4" t="s">
        <v>921</v>
      </c>
      <c r="F3456" s="46" t="s">
        <v>1846</v>
      </c>
      <c r="G3456" s="4" t="s">
        <v>336</v>
      </c>
      <c r="H3456" s="4" t="s">
        <v>380</v>
      </c>
      <c r="I3456" s="4">
        <v>1</v>
      </c>
      <c r="J3456" s="21">
        <v>250</v>
      </c>
      <c r="K3456" s="21">
        <v>250</v>
      </c>
      <c r="L3456" s="5">
        <v>0</v>
      </c>
      <c r="M3456" s="4"/>
      <c r="N3456" s="4"/>
      <c r="O3456" s="5"/>
      <c r="P3456" s="5"/>
      <c r="Q3456" s="21">
        <v>0</v>
      </c>
      <c r="R3456" s="21">
        <v>0</v>
      </c>
      <c r="S3456" s="5">
        <f t="shared" si="215"/>
        <v>18336.713040949107</v>
      </c>
      <c r="T3456" cm="1">
        <f t="array" ref="T3456">IF(OR(B3456="MAL ALIMI", B3456="ÜRETİM GİRİŞ"), MIN(I3456, MAX(0, I3456 + SUM(SUMIFS($I$1:I3455, $C$1:C3455, C3456, $B$1:B3455, {"MAL ALIMI","ÜRETİM GİRİŞ"})) - VLOOKUP(C3456, 'STOK RAPORU'!$C$2:$I$1000, 4, 0))), 0)</f>
        <v>0</v>
      </c>
      <c r="U3456" s="22">
        <f t="shared" si="212"/>
        <v>0</v>
      </c>
      <c r="V3456">
        <f t="shared" si="213"/>
        <v>0</v>
      </c>
      <c r="W3456" s="22">
        <f t="shared" si="214"/>
        <v>0</v>
      </c>
    </row>
    <row r="3457" spans="1:23" hidden="1" x14ac:dyDescent="0.25">
      <c r="A3457" s="3">
        <v>46046</v>
      </c>
      <c r="B3457" s="46" t="s">
        <v>334</v>
      </c>
      <c r="C3457" s="4" t="s">
        <v>588</v>
      </c>
      <c r="D3457" s="4"/>
      <c r="E3457" s="4" t="s">
        <v>921</v>
      </c>
      <c r="F3457" s="46" t="s">
        <v>1846</v>
      </c>
      <c r="G3457" s="4" t="s">
        <v>336</v>
      </c>
      <c r="H3457" s="4" t="s">
        <v>380</v>
      </c>
      <c r="I3457" s="4">
        <v>1</v>
      </c>
      <c r="J3457" s="21">
        <v>350</v>
      </c>
      <c r="K3457" s="21">
        <v>350</v>
      </c>
      <c r="L3457" s="5">
        <v>0</v>
      </c>
      <c r="M3457" s="4"/>
      <c r="N3457" s="4"/>
      <c r="O3457" s="5"/>
      <c r="P3457" s="5"/>
      <c r="Q3457" s="21">
        <v>0</v>
      </c>
      <c r="R3457" s="21">
        <v>0</v>
      </c>
      <c r="S3457" s="5">
        <f t="shared" si="215"/>
        <v>18336.713040949107</v>
      </c>
      <c r="T3457" cm="1">
        <f t="array" ref="T3457">IF(OR(B3457="MAL ALIMI", B3457="ÜRETİM GİRİŞ"), MIN(I3457, MAX(0, I3457 + SUM(SUMIFS($I$1:I3456, $C$1:C3456, C3457, $B$1:B3456, {"MAL ALIMI","ÜRETİM GİRİŞ"})) - VLOOKUP(C3457, 'STOK RAPORU'!$C$2:$I$1000, 4, 0))), 0)</f>
        <v>0</v>
      </c>
      <c r="U3457" s="22">
        <f t="shared" ref="U3457:U3520" si="216">T3457*J3457</f>
        <v>0</v>
      </c>
      <c r="V3457">
        <f t="shared" ref="V3457:V3520" si="217">IF(OR(B3457="MAL ALIMI", B3457="ÜRETİM GİRİŞ"), I3457 * J3457, 0)</f>
        <v>0</v>
      </c>
      <c r="W3457" s="22">
        <f t="shared" ref="W3457:W3520" si="218">V3457-U3457</f>
        <v>0</v>
      </c>
    </row>
    <row r="3458" spans="1:23" hidden="1" x14ac:dyDescent="0.25">
      <c r="A3458" s="3">
        <v>46046</v>
      </c>
      <c r="B3458" s="46" t="s">
        <v>334</v>
      </c>
      <c r="C3458" s="4" t="s">
        <v>133</v>
      </c>
      <c r="D3458" s="4"/>
      <c r="E3458" s="4" t="s">
        <v>921</v>
      </c>
      <c r="F3458" s="46" t="s">
        <v>1846</v>
      </c>
      <c r="G3458" s="4" t="s">
        <v>336</v>
      </c>
      <c r="H3458" s="4" t="s">
        <v>380</v>
      </c>
      <c r="I3458" s="4">
        <v>0.13900000000000001</v>
      </c>
      <c r="J3458" s="21">
        <v>360</v>
      </c>
      <c r="K3458" s="21">
        <v>50.040000000000006</v>
      </c>
      <c r="L3458" s="5">
        <v>0</v>
      </c>
      <c r="M3458" s="4"/>
      <c r="N3458" s="4"/>
      <c r="O3458" s="5"/>
      <c r="P3458" s="5"/>
      <c r="Q3458" s="21">
        <v>0</v>
      </c>
      <c r="R3458" s="21">
        <v>0</v>
      </c>
      <c r="S3458" s="5">
        <f t="shared" si="215"/>
        <v>18336.713040949107</v>
      </c>
      <c r="T3458" cm="1">
        <f t="array" ref="T3458">IF(OR(B3458="MAL ALIMI", B3458="ÜRETİM GİRİŞ"), MIN(I3458, MAX(0, I3458 + SUM(SUMIFS($I$1:I3457, $C$1:C3457, C3458, $B$1:B3457, {"MAL ALIMI","ÜRETİM GİRİŞ"})) - VLOOKUP(C3458, 'STOK RAPORU'!$C$2:$I$1000, 4, 0))), 0)</f>
        <v>0</v>
      </c>
      <c r="U3458" s="22">
        <f t="shared" si="216"/>
        <v>0</v>
      </c>
      <c r="V3458">
        <f t="shared" si="217"/>
        <v>0</v>
      </c>
      <c r="W3458" s="22">
        <f t="shared" si="218"/>
        <v>0</v>
      </c>
    </row>
    <row r="3459" spans="1:23" hidden="1" x14ac:dyDescent="0.25">
      <c r="A3459" s="3">
        <v>46046</v>
      </c>
      <c r="B3459" s="46" t="s">
        <v>334</v>
      </c>
      <c r="C3459" s="4" t="s">
        <v>137</v>
      </c>
      <c r="D3459" s="4"/>
      <c r="E3459" s="4" t="s">
        <v>921</v>
      </c>
      <c r="F3459" s="46" t="s">
        <v>1846</v>
      </c>
      <c r="G3459" s="4" t="s">
        <v>336</v>
      </c>
      <c r="H3459" s="4" t="s">
        <v>380</v>
      </c>
      <c r="I3459" s="4">
        <v>0.25</v>
      </c>
      <c r="J3459" s="21">
        <v>180</v>
      </c>
      <c r="K3459" s="21">
        <v>45</v>
      </c>
      <c r="L3459" s="5">
        <v>0</v>
      </c>
      <c r="M3459" s="4"/>
      <c r="N3459" s="4"/>
      <c r="O3459" s="5"/>
      <c r="P3459" s="5"/>
      <c r="Q3459" s="21">
        <v>0</v>
      </c>
      <c r="R3459" s="21">
        <v>0</v>
      </c>
      <c r="S3459" s="5">
        <f t="shared" si="215"/>
        <v>18336.713040949107</v>
      </c>
      <c r="T3459" cm="1">
        <f t="array" ref="T3459">IF(OR(B3459="MAL ALIMI", B3459="ÜRETİM GİRİŞ"), MIN(I3459, MAX(0, I3459 + SUM(SUMIFS($I$1:I3458, $C$1:C3458, C3459, $B$1:B3458, {"MAL ALIMI","ÜRETİM GİRİŞ"})) - VLOOKUP(C3459, 'STOK RAPORU'!$C$2:$I$1000, 4, 0))), 0)</f>
        <v>0</v>
      </c>
      <c r="U3459" s="22">
        <f t="shared" si="216"/>
        <v>0</v>
      </c>
      <c r="V3459">
        <f t="shared" si="217"/>
        <v>0</v>
      </c>
      <c r="W3459" s="22">
        <f t="shared" si="218"/>
        <v>0</v>
      </c>
    </row>
    <row r="3460" spans="1:23" hidden="1" x14ac:dyDescent="0.25">
      <c r="A3460" s="3">
        <v>46046</v>
      </c>
      <c r="B3460" s="46" t="s">
        <v>334</v>
      </c>
      <c r="C3460" s="4" t="s">
        <v>1634</v>
      </c>
      <c r="D3460" s="4"/>
      <c r="E3460" s="4" t="s">
        <v>921</v>
      </c>
      <c r="F3460" s="46" t="s">
        <v>1846</v>
      </c>
      <c r="G3460" s="4" t="s">
        <v>336</v>
      </c>
      <c r="H3460" s="4" t="s">
        <v>380</v>
      </c>
      <c r="I3460" s="4">
        <v>0.5</v>
      </c>
      <c r="J3460" s="21">
        <v>300</v>
      </c>
      <c r="K3460" s="21">
        <v>150</v>
      </c>
      <c r="L3460" s="5">
        <v>0</v>
      </c>
      <c r="M3460" s="4"/>
      <c r="N3460" s="4"/>
      <c r="O3460" s="5"/>
      <c r="P3460" s="5"/>
      <c r="Q3460" s="21">
        <v>0</v>
      </c>
      <c r="R3460" s="21">
        <v>0</v>
      </c>
      <c r="S3460" s="5">
        <f t="shared" ref="S3460:S3523" si="219">S3459+Q3460-R3460</f>
        <v>18336.713040949107</v>
      </c>
      <c r="T3460" cm="1">
        <f t="array" ref="T3460">IF(OR(B3460="MAL ALIMI", B3460="ÜRETİM GİRİŞ"), MIN(I3460, MAX(0, I3460 + SUM(SUMIFS($I$1:I3459, $C$1:C3459, C3460, $B$1:B3459, {"MAL ALIMI","ÜRETİM GİRİŞ"})) - VLOOKUP(C3460, 'STOK RAPORU'!$C$2:$I$1000, 4, 0))), 0)</f>
        <v>0</v>
      </c>
      <c r="U3460" s="22">
        <f t="shared" si="216"/>
        <v>0</v>
      </c>
      <c r="V3460">
        <f t="shared" si="217"/>
        <v>0</v>
      </c>
      <c r="W3460" s="22">
        <f t="shared" si="218"/>
        <v>0</v>
      </c>
    </row>
    <row r="3461" spans="1:23" hidden="1" x14ac:dyDescent="0.25">
      <c r="A3461" s="3">
        <v>46046</v>
      </c>
      <c r="B3461" s="4" t="s">
        <v>946</v>
      </c>
      <c r="C3461" s="4"/>
      <c r="D3461" s="4"/>
      <c r="E3461" s="4" t="s">
        <v>921</v>
      </c>
      <c r="F3461" s="4"/>
      <c r="G3461" s="4" t="s">
        <v>946</v>
      </c>
      <c r="H3461" s="4" t="s">
        <v>380</v>
      </c>
      <c r="I3461" s="4">
        <v>1</v>
      </c>
      <c r="J3461" s="105">
        <v>530</v>
      </c>
      <c r="K3461" s="21">
        <v>0</v>
      </c>
      <c r="L3461" s="111">
        <v>530</v>
      </c>
      <c r="M3461" s="4"/>
      <c r="N3461" s="4"/>
      <c r="O3461" s="5"/>
      <c r="P3461" s="5"/>
      <c r="Q3461" s="21">
        <v>530</v>
      </c>
      <c r="R3461" s="21">
        <v>0</v>
      </c>
      <c r="S3461" s="5">
        <f t="shared" si="219"/>
        <v>18866.713040949107</v>
      </c>
      <c r="T3461" cm="1">
        <f t="array" ref="T3461">IF(OR(B3461="MAL ALIMI", B3461="ÜRETİM GİRİŞ"), MIN(I3461, MAX(0, I3461 + SUM(SUMIFS($I$1:I3460, $C$1:C3460, C3461, $B$1:B3460, {"MAL ALIMI","ÜRETİM GİRİŞ"})) - VLOOKUP(C3461, 'STOK RAPORU'!$C$2:$I$1000, 4, 0))), 0)</f>
        <v>0</v>
      </c>
      <c r="U3461" s="22">
        <f t="shared" si="216"/>
        <v>0</v>
      </c>
      <c r="V3461">
        <f t="shared" si="217"/>
        <v>0</v>
      </c>
      <c r="W3461" s="22">
        <f t="shared" si="218"/>
        <v>0</v>
      </c>
    </row>
    <row r="3462" spans="1:23" hidden="1" x14ac:dyDescent="0.25">
      <c r="A3462" s="3">
        <v>46046</v>
      </c>
      <c r="B3462" s="4" t="s">
        <v>946</v>
      </c>
      <c r="C3462" s="4"/>
      <c r="D3462" s="4"/>
      <c r="E3462" s="4" t="s">
        <v>921</v>
      </c>
      <c r="F3462" s="4"/>
      <c r="G3462" s="4" t="s">
        <v>946</v>
      </c>
      <c r="H3462" s="4" t="s">
        <v>380</v>
      </c>
      <c r="I3462" s="4">
        <v>1</v>
      </c>
      <c r="J3462" s="105">
        <v>1203</v>
      </c>
      <c r="K3462" s="21">
        <v>0</v>
      </c>
      <c r="L3462" s="111">
        <v>1203</v>
      </c>
      <c r="M3462" s="4"/>
      <c r="N3462" s="4"/>
      <c r="O3462" s="5"/>
      <c r="P3462" s="5"/>
      <c r="Q3462" s="21">
        <v>1203</v>
      </c>
      <c r="R3462" s="21">
        <v>0</v>
      </c>
      <c r="S3462" s="5">
        <f t="shared" si="219"/>
        <v>20069.713040949107</v>
      </c>
      <c r="T3462" cm="1">
        <f t="array" ref="T3462">IF(OR(B3462="MAL ALIMI", B3462="ÜRETİM GİRİŞ"), MIN(I3462, MAX(0, I3462 + SUM(SUMIFS($I$1:I3461, $C$1:C3461, C3462, $B$1:B3461, {"MAL ALIMI","ÜRETİM GİRİŞ"})) - VLOOKUP(C3462, 'STOK RAPORU'!$C$2:$I$1000, 4, 0))), 0)</f>
        <v>0</v>
      </c>
      <c r="U3462" s="22">
        <f t="shared" si="216"/>
        <v>0</v>
      </c>
      <c r="V3462">
        <f t="shared" si="217"/>
        <v>0</v>
      </c>
      <c r="W3462" s="22">
        <f t="shared" si="218"/>
        <v>0</v>
      </c>
    </row>
    <row r="3463" spans="1:23" hidden="1" x14ac:dyDescent="0.25">
      <c r="A3463" s="3">
        <v>46047</v>
      </c>
      <c r="B3463" s="46" t="s">
        <v>334</v>
      </c>
      <c r="C3463" s="4" t="s">
        <v>1360</v>
      </c>
      <c r="D3463" s="4"/>
      <c r="E3463" s="4"/>
      <c r="F3463" s="46" t="s">
        <v>1847</v>
      </c>
      <c r="G3463" s="4" t="s">
        <v>336</v>
      </c>
      <c r="H3463" s="4" t="s">
        <v>289</v>
      </c>
      <c r="I3463" s="4">
        <v>1</v>
      </c>
      <c r="J3463" s="21">
        <v>400</v>
      </c>
      <c r="K3463" s="21">
        <v>0</v>
      </c>
      <c r="L3463" s="5">
        <v>0</v>
      </c>
      <c r="M3463" s="4"/>
      <c r="N3463" s="4"/>
      <c r="O3463" s="5"/>
      <c r="P3463" s="5"/>
      <c r="Q3463" s="21">
        <v>400</v>
      </c>
      <c r="R3463" s="21">
        <v>0</v>
      </c>
      <c r="S3463" s="5">
        <f t="shared" si="219"/>
        <v>20469.713040949107</v>
      </c>
      <c r="T3463" cm="1">
        <f t="array" ref="T3463">IF(OR(B3463="MAL ALIMI", B3463="ÜRETİM GİRİŞ"), MIN(I3463, MAX(0, I3463 + SUM(SUMIFS($I$1:I3462, $C$1:C3462, C3463, $B$1:B3462, {"MAL ALIMI","ÜRETİM GİRİŞ"})) - VLOOKUP(C3463, 'STOK RAPORU'!$C$2:$I$1000, 4, 0))), 0)</f>
        <v>0</v>
      </c>
      <c r="U3463" s="22">
        <f t="shared" si="216"/>
        <v>0</v>
      </c>
      <c r="V3463">
        <f t="shared" si="217"/>
        <v>0</v>
      </c>
      <c r="W3463" s="22">
        <f t="shared" si="218"/>
        <v>0</v>
      </c>
    </row>
    <row r="3464" spans="1:23" hidden="1" x14ac:dyDescent="0.25">
      <c r="A3464" s="3">
        <v>46047</v>
      </c>
      <c r="B3464" s="46" t="s">
        <v>334</v>
      </c>
      <c r="C3464" s="4" t="s">
        <v>92</v>
      </c>
      <c r="D3464" s="4"/>
      <c r="E3464" s="4"/>
      <c r="F3464" s="46" t="s">
        <v>1847</v>
      </c>
      <c r="G3464" s="4" t="s">
        <v>336</v>
      </c>
      <c r="H3464" s="4" t="s">
        <v>289</v>
      </c>
      <c r="I3464" s="4">
        <v>0.2</v>
      </c>
      <c r="J3464" s="21">
        <v>500</v>
      </c>
      <c r="K3464" s="21">
        <v>0</v>
      </c>
      <c r="L3464" s="5">
        <v>0</v>
      </c>
      <c r="M3464" s="4"/>
      <c r="N3464" s="4"/>
      <c r="O3464" s="5"/>
      <c r="P3464" s="5"/>
      <c r="Q3464" s="21">
        <v>100</v>
      </c>
      <c r="R3464" s="21">
        <v>0</v>
      </c>
      <c r="S3464" s="5">
        <f t="shared" si="219"/>
        <v>20569.713040949107</v>
      </c>
      <c r="T3464" cm="1">
        <f t="array" ref="T3464">IF(OR(B3464="MAL ALIMI", B3464="ÜRETİM GİRİŞ"), MIN(I3464, MAX(0, I3464 + SUM(SUMIFS($I$1:I3463, $C$1:C3463, C3464, $B$1:B3463, {"MAL ALIMI","ÜRETİM GİRİŞ"})) - VLOOKUP(C3464, 'STOK RAPORU'!$C$2:$I$1000, 4, 0))), 0)</f>
        <v>0</v>
      </c>
      <c r="U3464" s="22">
        <f t="shared" si="216"/>
        <v>0</v>
      </c>
      <c r="V3464">
        <f t="shared" si="217"/>
        <v>0</v>
      </c>
      <c r="W3464" s="22">
        <f t="shared" si="218"/>
        <v>0</v>
      </c>
    </row>
    <row r="3465" spans="1:23" hidden="1" x14ac:dyDescent="0.25">
      <c r="A3465" s="3">
        <v>46047</v>
      </c>
      <c r="B3465" s="46" t="s">
        <v>334</v>
      </c>
      <c r="C3465" s="4" t="s">
        <v>893</v>
      </c>
      <c r="D3465" s="4"/>
      <c r="E3465" s="4"/>
      <c r="F3465" s="46" t="s">
        <v>1847</v>
      </c>
      <c r="G3465" s="4" t="s">
        <v>336</v>
      </c>
      <c r="H3465" s="4" t="s">
        <v>289</v>
      </c>
      <c r="I3465" s="4">
        <v>1</v>
      </c>
      <c r="J3465" s="21">
        <v>170</v>
      </c>
      <c r="K3465" s="21">
        <v>0</v>
      </c>
      <c r="L3465" s="5">
        <v>0</v>
      </c>
      <c r="M3465" s="4"/>
      <c r="N3465" s="4"/>
      <c r="O3465" s="5"/>
      <c r="P3465" s="5"/>
      <c r="Q3465" s="21">
        <v>170</v>
      </c>
      <c r="R3465" s="21">
        <v>0</v>
      </c>
      <c r="S3465" s="5">
        <f t="shared" si="219"/>
        <v>20739.713040949107</v>
      </c>
      <c r="T3465" cm="1">
        <f t="array" ref="T3465">IF(OR(B3465="MAL ALIMI", B3465="ÜRETİM GİRİŞ"), MIN(I3465, MAX(0, I3465 + SUM(SUMIFS($I$1:I3464, $C$1:C3464, C3465, $B$1:B3464, {"MAL ALIMI","ÜRETİM GİRİŞ"})) - VLOOKUP(C3465, 'STOK RAPORU'!$C$2:$I$1000, 4, 0))), 0)</f>
        <v>0</v>
      </c>
      <c r="U3465" s="22">
        <f t="shared" si="216"/>
        <v>0</v>
      </c>
      <c r="V3465">
        <f t="shared" si="217"/>
        <v>0</v>
      </c>
      <c r="W3465" s="22">
        <f t="shared" si="218"/>
        <v>0</v>
      </c>
    </row>
    <row r="3466" spans="1:23" hidden="1" x14ac:dyDescent="0.25">
      <c r="A3466" s="3">
        <v>46047</v>
      </c>
      <c r="B3466" s="46" t="s">
        <v>334</v>
      </c>
      <c r="C3466" s="4" t="s">
        <v>160</v>
      </c>
      <c r="D3466" s="4"/>
      <c r="E3466" s="4"/>
      <c r="F3466" s="46" t="s">
        <v>1847</v>
      </c>
      <c r="G3466" s="4" t="s">
        <v>336</v>
      </c>
      <c r="H3466" s="4" t="s">
        <v>289</v>
      </c>
      <c r="I3466" s="4">
        <v>0.5</v>
      </c>
      <c r="J3466" s="21">
        <v>250</v>
      </c>
      <c r="K3466" s="21">
        <v>0</v>
      </c>
      <c r="L3466" s="5">
        <v>0</v>
      </c>
      <c r="M3466" s="4"/>
      <c r="N3466" s="4"/>
      <c r="O3466" s="5"/>
      <c r="P3466" s="5"/>
      <c r="Q3466" s="21">
        <v>125</v>
      </c>
      <c r="R3466" s="21">
        <v>0</v>
      </c>
      <c r="S3466" s="5">
        <f t="shared" si="219"/>
        <v>20864.713040949107</v>
      </c>
      <c r="T3466" cm="1">
        <f t="array" ref="T3466">IF(OR(B3466="MAL ALIMI", B3466="ÜRETİM GİRİŞ"), MIN(I3466, MAX(0, I3466 + SUM(SUMIFS($I$1:I3465, $C$1:C3465, C3466, $B$1:B3465, {"MAL ALIMI","ÜRETİM GİRİŞ"})) - VLOOKUP(C3466, 'STOK RAPORU'!$C$2:$I$1000, 4, 0))), 0)</f>
        <v>0</v>
      </c>
      <c r="U3466" s="22">
        <f t="shared" si="216"/>
        <v>0</v>
      </c>
      <c r="V3466">
        <f t="shared" si="217"/>
        <v>0</v>
      </c>
      <c r="W3466" s="22">
        <f t="shared" si="218"/>
        <v>0</v>
      </c>
    </row>
    <row r="3467" spans="1:23" hidden="1" x14ac:dyDescent="0.25">
      <c r="A3467" s="3">
        <v>46047</v>
      </c>
      <c r="B3467" s="46" t="s">
        <v>334</v>
      </c>
      <c r="C3467" s="4" t="s">
        <v>161</v>
      </c>
      <c r="D3467" s="4"/>
      <c r="E3467" s="4"/>
      <c r="F3467" s="46" t="s">
        <v>1847</v>
      </c>
      <c r="G3467" s="4" t="s">
        <v>336</v>
      </c>
      <c r="H3467" s="4" t="s">
        <v>289</v>
      </c>
      <c r="I3467" s="4">
        <v>0.5</v>
      </c>
      <c r="J3467" s="21">
        <v>230</v>
      </c>
      <c r="K3467" s="21">
        <v>0</v>
      </c>
      <c r="L3467" s="5">
        <v>0</v>
      </c>
      <c r="M3467" s="4"/>
      <c r="N3467" s="4"/>
      <c r="O3467" s="5"/>
      <c r="P3467" s="5"/>
      <c r="Q3467" s="21">
        <v>115</v>
      </c>
      <c r="R3467" s="21">
        <v>0</v>
      </c>
      <c r="S3467" s="5">
        <f t="shared" si="219"/>
        <v>20979.713040949107</v>
      </c>
      <c r="T3467" cm="1">
        <f t="array" ref="T3467">IF(OR(B3467="MAL ALIMI", B3467="ÜRETİM GİRİŞ"), MIN(I3467, MAX(0, I3467 + SUM(SUMIFS($I$1:I3466, $C$1:C3466, C3467, $B$1:B3466, {"MAL ALIMI","ÜRETİM GİRİŞ"})) - VLOOKUP(C3467, 'STOK RAPORU'!$C$2:$I$1000, 4, 0))), 0)</f>
        <v>0</v>
      </c>
      <c r="U3467" s="22">
        <f t="shared" si="216"/>
        <v>0</v>
      </c>
      <c r="V3467">
        <f t="shared" si="217"/>
        <v>0</v>
      </c>
      <c r="W3467" s="22">
        <f t="shared" si="218"/>
        <v>0</v>
      </c>
    </row>
    <row r="3468" spans="1:23" hidden="1" x14ac:dyDescent="0.25">
      <c r="A3468" s="3">
        <v>46047</v>
      </c>
      <c r="B3468" s="46" t="s">
        <v>334</v>
      </c>
      <c r="C3468" s="4" t="s">
        <v>463</v>
      </c>
      <c r="D3468" s="4"/>
      <c r="E3468" s="4"/>
      <c r="F3468" s="46" t="s">
        <v>1848</v>
      </c>
      <c r="G3468" s="4" t="s">
        <v>336</v>
      </c>
      <c r="H3468" s="4" t="s">
        <v>289</v>
      </c>
      <c r="I3468" s="4">
        <v>0.14799999999999999</v>
      </c>
      <c r="J3468" s="21">
        <v>370</v>
      </c>
      <c r="K3468" s="21">
        <v>0</v>
      </c>
      <c r="L3468" s="5">
        <v>0</v>
      </c>
      <c r="M3468" s="4"/>
      <c r="N3468" s="4"/>
      <c r="O3468" s="5"/>
      <c r="P3468" s="5"/>
      <c r="Q3468" s="21">
        <v>54.76</v>
      </c>
      <c r="R3468" s="21">
        <v>0</v>
      </c>
      <c r="S3468" s="5">
        <f t="shared" si="219"/>
        <v>21034.473040949106</v>
      </c>
      <c r="T3468" cm="1">
        <f t="array" ref="T3468">IF(OR(B3468="MAL ALIMI", B3468="ÜRETİM GİRİŞ"), MIN(I3468, MAX(0, I3468 + SUM(SUMIFS($I$1:I3467, $C$1:C3467, C3468, $B$1:B3467, {"MAL ALIMI","ÜRETİM GİRİŞ"})) - VLOOKUP(C3468, 'STOK RAPORU'!$C$2:$I$1000, 4, 0))), 0)</f>
        <v>0</v>
      </c>
      <c r="U3468" s="22">
        <f t="shared" si="216"/>
        <v>0</v>
      </c>
      <c r="V3468">
        <f t="shared" si="217"/>
        <v>0</v>
      </c>
      <c r="W3468" s="22">
        <f t="shared" si="218"/>
        <v>0</v>
      </c>
    </row>
    <row r="3469" spans="1:23" hidden="1" x14ac:dyDescent="0.25">
      <c r="A3469" s="3">
        <v>46047</v>
      </c>
      <c r="B3469" s="46" t="s">
        <v>334</v>
      </c>
      <c r="C3469" s="4" t="s">
        <v>92</v>
      </c>
      <c r="D3469" s="4"/>
      <c r="E3469" s="4"/>
      <c r="F3469" s="46" t="s">
        <v>1848</v>
      </c>
      <c r="G3469" s="4" t="s">
        <v>336</v>
      </c>
      <c r="H3469" s="4" t="s">
        <v>289</v>
      </c>
      <c r="I3469" s="4">
        <v>0.184</v>
      </c>
      <c r="J3469" s="21">
        <v>500</v>
      </c>
      <c r="K3469" s="21">
        <v>0</v>
      </c>
      <c r="L3469" s="5">
        <v>0</v>
      </c>
      <c r="M3469" s="4"/>
      <c r="N3469" s="4"/>
      <c r="O3469" s="5"/>
      <c r="P3469" s="5"/>
      <c r="Q3469" s="21">
        <v>92</v>
      </c>
      <c r="R3469" s="21">
        <v>0</v>
      </c>
      <c r="S3469" s="5">
        <f t="shared" si="219"/>
        <v>21126.473040949106</v>
      </c>
      <c r="T3469" cm="1">
        <f t="array" ref="T3469">IF(OR(B3469="MAL ALIMI", B3469="ÜRETİM GİRİŞ"), MIN(I3469, MAX(0, I3469 + SUM(SUMIFS($I$1:I3468, $C$1:C3468, C3469, $B$1:B3468, {"MAL ALIMI","ÜRETİM GİRİŞ"})) - VLOOKUP(C3469, 'STOK RAPORU'!$C$2:$I$1000, 4, 0))), 0)</f>
        <v>0</v>
      </c>
      <c r="U3469" s="22">
        <f t="shared" si="216"/>
        <v>0</v>
      </c>
      <c r="V3469">
        <f t="shared" si="217"/>
        <v>0</v>
      </c>
      <c r="W3469" s="22">
        <f t="shared" si="218"/>
        <v>0</v>
      </c>
    </row>
    <row r="3470" spans="1:23" hidden="1" x14ac:dyDescent="0.25">
      <c r="A3470" s="3">
        <v>46047</v>
      </c>
      <c r="B3470" s="46" t="s">
        <v>334</v>
      </c>
      <c r="C3470" s="4" t="s">
        <v>132</v>
      </c>
      <c r="D3470" s="4"/>
      <c r="E3470" s="4"/>
      <c r="F3470" s="46" t="s">
        <v>1848</v>
      </c>
      <c r="G3470" s="4" t="s">
        <v>336</v>
      </c>
      <c r="H3470" s="4" t="s">
        <v>289</v>
      </c>
      <c r="I3470" s="4">
        <v>0.186</v>
      </c>
      <c r="J3470" s="21">
        <v>500</v>
      </c>
      <c r="K3470" s="21">
        <v>0</v>
      </c>
      <c r="L3470" s="5">
        <v>0</v>
      </c>
      <c r="M3470" s="4"/>
      <c r="N3470" s="4"/>
      <c r="O3470" s="5"/>
      <c r="P3470" s="5"/>
      <c r="Q3470" s="21">
        <v>93</v>
      </c>
      <c r="R3470" s="21">
        <v>0</v>
      </c>
      <c r="S3470" s="5">
        <f t="shared" si="219"/>
        <v>21219.473040949106</v>
      </c>
      <c r="T3470" cm="1">
        <f t="array" ref="T3470">IF(OR(B3470="MAL ALIMI", B3470="ÜRETİM GİRİŞ"), MIN(I3470, MAX(0, I3470 + SUM(SUMIFS($I$1:I3469, $C$1:C3469, C3470, $B$1:B3469, {"MAL ALIMI","ÜRETİM GİRİŞ"})) - VLOOKUP(C3470, 'STOK RAPORU'!$C$2:$I$1000, 4, 0))), 0)</f>
        <v>0</v>
      </c>
      <c r="U3470" s="22">
        <f t="shared" si="216"/>
        <v>0</v>
      </c>
      <c r="V3470">
        <f t="shared" si="217"/>
        <v>0</v>
      </c>
      <c r="W3470" s="22">
        <f t="shared" si="218"/>
        <v>0</v>
      </c>
    </row>
    <row r="3471" spans="1:23" hidden="1" x14ac:dyDescent="0.25">
      <c r="A3471" s="3">
        <v>46047</v>
      </c>
      <c r="B3471" s="46" t="s">
        <v>334</v>
      </c>
      <c r="C3471" s="4" t="s">
        <v>1365</v>
      </c>
      <c r="D3471" s="4"/>
      <c r="E3471" s="4"/>
      <c r="F3471" s="46" t="s">
        <v>1848</v>
      </c>
      <c r="G3471" s="4" t="s">
        <v>336</v>
      </c>
      <c r="H3471" s="4" t="s">
        <v>289</v>
      </c>
      <c r="I3471" s="4">
        <v>1</v>
      </c>
      <c r="J3471" s="21">
        <v>140</v>
      </c>
      <c r="K3471" s="21">
        <v>0</v>
      </c>
      <c r="L3471" s="5">
        <v>0</v>
      </c>
      <c r="M3471" s="4"/>
      <c r="N3471" s="4"/>
      <c r="O3471" s="5"/>
      <c r="P3471" s="5"/>
      <c r="Q3471" s="21">
        <v>140</v>
      </c>
      <c r="R3471" s="21">
        <v>0</v>
      </c>
      <c r="S3471" s="5">
        <f t="shared" si="219"/>
        <v>21359.473040949106</v>
      </c>
      <c r="T3471" cm="1">
        <f t="array" ref="T3471">IF(OR(B3471="MAL ALIMI", B3471="ÜRETİM GİRİŞ"), MIN(I3471, MAX(0, I3471 + SUM(SUMIFS($I$1:I3470, $C$1:C3470, C3471, $B$1:B3470, {"MAL ALIMI","ÜRETİM GİRİŞ"})) - VLOOKUP(C3471, 'STOK RAPORU'!$C$2:$I$1000, 4, 0))), 0)</f>
        <v>0</v>
      </c>
      <c r="U3471" s="22">
        <f t="shared" si="216"/>
        <v>0</v>
      </c>
      <c r="V3471">
        <f t="shared" si="217"/>
        <v>0</v>
      </c>
      <c r="W3471" s="22">
        <f t="shared" si="218"/>
        <v>0</v>
      </c>
    </row>
    <row r="3472" spans="1:23" hidden="1" x14ac:dyDescent="0.25">
      <c r="A3472" s="3">
        <v>46047</v>
      </c>
      <c r="B3472" s="46" t="s">
        <v>334</v>
      </c>
      <c r="C3472" s="4" t="s">
        <v>463</v>
      </c>
      <c r="D3472" s="4"/>
      <c r="E3472" s="4"/>
      <c r="F3472" s="46" t="s">
        <v>1849</v>
      </c>
      <c r="G3472" s="4" t="s">
        <v>336</v>
      </c>
      <c r="H3472" s="4" t="s">
        <v>289</v>
      </c>
      <c r="I3472" s="4">
        <v>0.14799999999999999</v>
      </c>
      <c r="J3472" s="21">
        <v>370</v>
      </c>
      <c r="K3472" s="21">
        <v>0</v>
      </c>
      <c r="L3472" s="5">
        <v>0</v>
      </c>
      <c r="M3472" s="4"/>
      <c r="N3472" s="4"/>
      <c r="O3472" s="5"/>
      <c r="P3472" s="5"/>
      <c r="Q3472" s="21">
        <v>54.76</v>
      </c>
      <c r="R3472" s="21">
        <v>0</v>
      </c>
      <c r="S3472" s="5">
        <f t="shared" si="219"/>
        <v>21414.233040949104</v>
      </c>
      <c r="T3472" cm="1">
        <f t="array" ref="T3472">IF(OR(B3472="MAL ALIMI", B3472="ÜRETİM GİRİŞ"), MIN(I3472, MAX(0, I3472 + SUM(SUMIFS($I$1:I3471, $C$1:C3471, C3472, $B$1:B3471, {"MAL ALIMI","ÜRETİM GİRİŞ"})) - VLOOKUP(C3472, 'STOK RAPORU'!$C$2:$I$1000, 4, 0))), 0)</f>
        <v>0</v>
      </c>
      <c r="U3472" s="22">
        <f t="shared" si="216"/>
        <v>0</v>
      </c>
      <c r="V3472">
        <f t="shared" si="217"/>
        <v>0</v>
      </c>
      <c r="W3472" s="22">
        <f t="shared" si="218"/>
        <v>0</v>
      </c>
    </row>
    <row r="3473" spans="1:23" hidden="1" x14ac:dyDescent="0.25">
      <c r="A3473" s="3">
        <v>46047</v>
      </c>
      <c r="B3473" s="46" t="s">
        <v>334</v>
      </c>
      <c r="C3473" s="4" t="s">
        <v>1151</v>
      </c>
      <c r="D3473" s="4"/>
      <c r="E3473" s="4"/>
      <c r="F3473" s="46" t="s">
        <v>1849</v>
      </c>
      <c r="G3473" s="4" t="s">
        <v>336</v>
      </c>
      <c r="H3473" s="4" t="s">
        <v>289</v>
      </c>
      <c r="I3473" s="4">
        <v>0.32200000000000001</v>
      </c>
      <c r="J3473" s="21">
        <v>360</v>
      </c>
      <c r="K3473" s="21">
        <v>0</v>
      </c>
      <c r="L3473" s="5">
        <v>0</v>
      </c>
      <c r="M3473" s="4"/>
      <c r="N3473" s="4"/>
      <c r="O3473" s="5"/>
      <c r="P3473" s="5"/>
      <c r="Q3473" s="21">
        <v>115.92</v>
      </c>
      <c r="R3473" s="21">
        <v>0</v>
      </c>
      <c r="S3473" s="5">
        <f t="shared" si="219"/>
        <v>21530.153040949102</v>
      </c>
      <c r="T3473" cm="1">
        <f t="array" ref="T3473">IF(OR(B3473="MAL ALIMI", B3473="ÜRETİM GİRİŞ"), MIN(I3473, MAX(0, I3473 + SUM(SUMIFS($I$1:I3472, $C$1:C3472, C3473, $B$1:B3472, {"MAL ALIMI","ÜRETİM GİRİŞ"})) - VLOOKUP(C3473, 'STOK RAPORU'!$C$2:$I$1000, 4, 0))), 0)</f>
        <v>0</v>
      </c>
      <c r="U3473" s="22">
        <f t="shared" si="216"/>
        <v>0</v>
      </c>
      <c r="V3473">
        <f t="shared" si="217"/>
        <v>0</v>
      </c>
      <c r="W3473" s="22">
        <f t="shared" si="218"/>
        <v>0</v>
      </c>
    </row>
    <row r="3474" spans="1:23" hidden="1" x14ac:dyDescent="0.25">
      <c r="A3474" s="3">
        <v>46047</v>
      </c>
      <c r="B3474" s="46" t="s">
        <v>334</v>
      </c>
      <c r="C3474" s="4" t="s">
        <v>60</v>
      </c>
      <c r="D3474" s="4"/>
      <c r="E3474" s="4"/>
      <c r="F3474" s="46" t="s">
        <v>1849</v>
      </c>
      <c r="G3474" s="4" t="s">
        <v>336</v>
      </c>
      <c r="H3474" s="4" t="s">
        <v>289</v>
      </c>
      <c r="I3474" s="4">
        <v>0.05</v>
      </c>
      <c r="J3474" s="21">
        <v>1200</v>
      </c>
      <c r="K3474" s="21">
        <v>0</v>
      </c>
      <c r="L3474" s="5">
        <v>0</v>
      </c>
      <c r="M3474" s="4"/>
      <c r="N3474" s="4"/>
      <c r="O3474" s="5"/>
      <c r="P3474" s="5"/>
      <c r="Q3474" s="21">
        <v>60</v>
      </c>
      <c r="R3474" s="21">
        <v>0</v>
      </c>
      <c r="S3474" s="5">
        <f t="shared" si="219"/>
        <v>21590.153040949102</v>
      </c>
      <c r="T3474" cm="1">
        <f t="array" ref="T3474">IF(OR(B3474="MAL ALIMI", B3474="ÜRETİM GİRİŞ"), MIN(I3474, MAX(0, I3474 + SUM(SUMIFS($I$1:I3473, $C$1:C3473, C3474, $B$1:B3473, {"MAL ALIMI","ÜRETİM GİRİŞ"})) - VLOOKUP(C3474, 'STOK RAPORU'!$C$2:$I$1000, 4, 0))), 0)</f>
        <v>0</v>
      </c>
      <c r="U3474" s="22">
        <f t="shared" si="216"/>
        <v>0</v>
      </c>
      <c r="V3474">
        <f t="shared" si="217"/>
        <v>0</v>
      </c>
      <c r="W3474" s="22">
        <f t="shared" si="218"/>
        <v>0</v>
      </c>
    </row>
    <row r="3475" spans="1:23" hidden="1" x14ac:dyDescent="0.25">
      <c r="A3475" s="3">
        <v>46047</v>
      </c>
      <c r="B3475" s="46" t="s">
        <v>334</v>
      </c>
      <c r="C3475" s="4" t="s">
        <v>265</v>
      </c>
      <c r="D3475" s="4"/>
      <c r="E3475" s="4" t="s">
        <v>921</v>
      </c>
      <c r="F3475" s="46" t="s">
        <v>1850</v>
      </c>
      <c r="G3475" s="4" t="s">
        <v>336</v>
      </c>
      <c r="H3475" s="4" t="s">
        <v>380</v>
      </c>
      <c r="I3475" s="4">
        <v>1</v>
      </c>
      <c r="J3475" s="21">
        <v>100</v>
      </c>
      <c r="K3475" s="21">
        <v>100</v>
      </c>
      <c r="L3475" s="5">
        <v>0</v>
      </c>
      <c r="M3475" s="4"/>
      <c r="N3475" s="4"/>
      <c r="O3475" s="5"/>
      <c r="P3475" s="5"/>
      <c r="Q3475" s="21">
        <v>0</v>
      </c>
      <c r="R3475" s="21">
        <v>0</v>
      </c>
      <c r="S3475" s="5">
        <f t="shared" si="219"/>
        <v>21590.153040949102</v>
      </c>
      <c r="T3475" cm="1">
        <f t="array" ref="T3475">IF(OR(B3475="MAL ALIMI", B3475="ÜRETİM GİRİŞ"), MIN(I3475, MAX(0, I3475 + SUM(SUMIFS($I$1:I3474, $C$1:C3474, C3475, $B$1:B3474, {"MAL ALIMI","ÜRETİM GİRİŞ"})) - VLOOKUP(C3475, 'STOK RAPORU'!$C$2:$I$1000, 4, 0))), 0)</f>
        <v>0</v>
      </c>
      <c r="U3475" s="22">
        <f t="shared" si="216"/>
        <v>0</v>
      </c>
      <c r="V3475">
        <f t="shared" si="217"/>
        <v>0</v>
      </c>
      <c r="W3475" s="22">
        <f t="shared" si="218"/>
        <v>0</v>
      </c>
    </row>
    <row r="3476" spans="1:23" hidden="1" x14ac:dyDescent="0.25">
      <c r="A3476" s="3">
        <v>46047</v>
      </c>
      <c r="B3476" s="46" t="s">
        <v>334</v>
      </c>
      <c r="C3476" s="4" t="s">
        <v>1041</v>
      </c>
      <c r="D3476" s="4"/>
      <c r="E3476" s="4" t="s">
        <v>921</v>
      </c>
      <c r="F3476" s="46" t="s">
        <v>1850</v>
      </c>
      <c r="G3476" s="4" t="s">
        <v>336</v>
      </c>
      <c r="H3476" s="4" t="s">
        <v>380</v>
      </c>
      <c r="I3476" s="4">
        <v>0.67</v>
      </c>
      <c r="J3476" s="21">
        <v>250</v>
      </c>
      <c r="K3476" s="21">
        <v>167.5</v>
      </c>
      <c r="L3476" s="5">
        <v>0</v>
      </c>
      <c r="M3476" s="4"/>
      <c r="N3476" s="4"/>
      <c r="O3476" s="5"/>
      <c r="P3476" s="5"/>
      <c r="Q3476" s="21">
        <v>0</v>
      </c>
      <c r="R3476" s="21">
        <v>0</v>
      </c>
      <c r="S3476" s="5">
        <f t="shared" si="219"/>
        <v>21590.153040949102</v>
      </c>
      <c r="T3476" cm="1">
        <f t="array" ref="T3476">IF(OR(B3476="MAL ALIMI", B3476="ÜRETİM GİRİŞ"), MIN(I3476, MAX(0, I3476 + SUM(SUMIFS($I$1:I3475, $C$1:C3475, C3476, $B$1:B3475, {"MAL ALIMI","ÜRETİM GİRİŞ"})) - VLOOKUP(C3476, 'STOK RAPORU'!$C$2:$I$1000, 4, 0))), 0)</f>
        <v>0</v>
      </c>
      <c r="U3476" s="22">
        <f t="shared" si="216"/>
        <v>0</v>
      </c>
      <c r="V3476">
        <f t="shared" si="217"/>
        <v>0</v>
      </c>
      <c r="W3476" s="22">
        <f t="shared" si="218"/>
        <v>0</v>
      </c>
    </row>
    <row r="3477" spans="1:23" hidden="1" x14ac:dyDescent="0.25">
      <c r="A3477" s="3">
        <v>46047</v>
      </c>
      <c r="B3477" s="46" t="s">
        <v>334</v>
      </c>
      <c r="C3477" s="4" t="s">
        <v>1501</v>
      </c>
      <c r="D3477" s="4"/>
      <c r="E3477" s="4"/>
      <c r="F3477" s="46" t="s">
        <v>1851</v>
      </c>
      <c r="G3477" s="4" t="s">
        <v>336</v>
      </c>
      <c r="H3477" s="4" t="s">
        <v>289</v>
      </c>
      <c r="I3477" s="4">
        <v>0.5</v>
      </c>
      <c r="J3477" s="21">
        <v>600</v>
      </c>
      <c r="K3477" s="21">
        <v>0</v>
      </c>
      <c r="L3477" s="5">
        <v>0</v>
      </c>
      <c r="M3477" s="4"/>
      <c r="N3477" s="4"/>
      <c r="O3477" s="5"/>
      <c r="P3477" s="5"/>
      <c r="Q3477" s="21">
        <v>300</v>
      </c>
      <c r="R3477" s="21">
        <v>0</v>
      </c>
      <c r="S3477" s="5">
        <f t="shared" si="219"/>
        <v>21890.153040949102</v>
      </c>
      <c r="T3477" cm="1">
        <f t="array" ref="T3477">IF(OR(B3477="MAL ALIMI", B3477="ÜRETİM GİRİŞ"), MIN(I3477, MAX(0, I3477 + SUM(SUMIFS($I$1:I3476, $C$1:C3476, C3477, $B$1:B3476, {"MAL ALIMI","ÜRETİM GİRİŞ"})) - VLOOKUP(C3477, 'STOK RAPORU'!$C$2:$I$1000, 4, 0))), 0)</f>
        <v>0</v>
      </c>
      <c r="U3477" s="22">
        <f t="shared" si="216"/>
        <v>0</v>
      </c>
      <c r="V3477">
        <f t="shared" si="217"/>
        <v>0</v>
      </c>
      <c r="W3477" s="22">
        <f t="shared" si="218"/>
        <v>0</v>
      </c>
    </row>
    <row r="3478" spans="1:23" hidden="1" x14ac:dyDescent="0.25">
      <c r="A3478" s="3">
        <v>46047</v>
      </c>
      <c r="B3478" s="46" t="s">
        <v>334</v>
      </c>
      <c r="C3478" s="4" t="s">
        <v>3167</v>
      </c>
      <c r="D3478" s="4"/>
      <c r="E3478" s="4"/>
      <c r="F3478" s="46" t="s">
        <v>1851</v>
      </c>
      <c r="G3478" s="4" t="s">
        <v>336</v>
      </c>
      <c r="H3478" s="4" t="s">
        <v>289</v>
      </c>
      <c r="I3478" s="4">
        <v>0.13800000000000001</v>
      </c>
      <c r="J3478" s="21">
        <v>370</v>
      </c>
      <c r="K3478" s="21">
        <v>0</v>
      </c>
      <c r="L3478" s="5">
        <v>0</v>
      </c>
      <c r="M3478" s="4"/>
      <c r="N3478" s="4"/>
      <c r="O3478" s="5"/>
      <c r="P3478" s="5"/>
      <c r="Q3478" s="21">
        <v>51.06</v>
      </c>
      <c r="R3478" s="21">
        <v>0</v>
      </c>
      <c r="S3478" s="5">
        <f t="shared" si="219"/>
        <v>21941.213040949104</v>
      </c>
      <c r="T3478" cm="1">
        <f t="array" ref="T3478">IF(OR(B3478="MAL ALIMI", B3478="ÜRETİM GİRİŞ"), MIN(I3478, MAX(0, I3478 + SUM(SUMIFS($I$1:I3477, $C$1:C3477, C3478, $B$1:B3477, {"MAL ALIMI","ÜRETİM GİRİŞ"})) - VLOOKUP(C3478, 'STOK RAPORU'!$C$2:$I$1000, 4, 0))), 0)</f>
        <v>0</v>
      </c>
      <c r="U3478" s="22">
        <f t="shared" si="216"/>
        <v>0</v>
      </c>
      <c r="V3478">
        <f t="shared" si="217"/>
        <v>0</v>
      </c>
      <c r="W3478" s="22">
        <f t="shared" si="218"/>
        <v>0</v>
      </c>
    </row>
    <row r="3479" spans="1:23" hidden="1" x14ac:dyDescent="0.25">
      <c r="A3479" s="3">
        <v>46047</v>
      </c>
      <c r="B3479" s="46" t="s">
        <v>334</v>
      </c>
      <c r="C3479" s="4" t="s">
        <v>690</v>
      </c>
      <c r="D3479" s="4"/>
      <c r="E3479" s="4"/>
      <c r="F3479" s="46" t="s">
        <v>1851</v>
      </c>
      <c r="G3479" s="4" t="s">
        <v>336</v>
      </c>
      <c r="H3479" s="4" t="s">
        <v>289</v>
      </c>
      <c r="I3479" s="4">
        <v>0.35799999999999998</v>
      </c>
      <c r="J3479" s="21">
        <v>340</v>
      </c>
      <c r="K3479" s="21">
        <v>0</v>
      </c>
      <c r="L3479" s="5">
        <v>0</v>
      </c>
      <c r="M3479" s="4"/>
      <c r="N3479" s="4"/>
      <c r="O3479" s="5"/>
      <c r="P3479" s="5"/>
      <c r="Q3479" s="21">
        <v>121.72</v>
      </c>
      <c r="R3479" s="21">
        <v>0</v>
      </c>
      <c r="S3479" s="5">
        <f t="shared" si="219"/>
        <v>22062.933040949105</v>
      </c>
      <c r="T3479" cm="1">
        <f t="array" ref="T3479">IF(OR(B3479="MAL ALIMI", B3479="ÜRETİM GİRİŞ"), MIN(I3479, MAX(0, I3479 + SUM(SUMIFS($I$1:I3478, $C$1:C3478, C3479, $B$1:B3478, {"MAL ALIMI","ÜRETİM GİRİŞ"})) - VLOOKUP(C3479, 'STOK RAPORU'!$C$2:$I$1000, 4, 0))), 0)</f>
        <v>0</v>
      </c>
      <c r="U3479" s="22">
        <f t="shared" si="216"/>
        <v>0</v>
      </c>
      <c r="V3479">
        <f t="shared" si="217"/>
        <v>0</v>
      </c>
      <c r="W3479" s="22">
        <f t="shared" si="218"/>
        <v>0</v>
      </c>
    </row>
    <row r="3480" spans="1:23" hidden="1" x14ac:dyDescent="0.25">
      <c r="A3480" s="3">
        <v>46047</v>
      </c>
      <c r="B3480" s="46" t="s">
        <v>334</v>
      </c>
      <c r="C3480" s="4" t="s">
        <v>241</v>
      </c>
      <c r="D3480" s="4"/>
      <c r="E3480" s="4"/>
      <c r="F3480" s="46" t="s">
        <v>1851</v>
      </c>
      <c r="G3480" s="4" t="s">
        <v>336</v>
      </c>
      <c r="H3480" s="4" t="s">
        <v>289</v>
      </c>
      <c r="I3480" s="4">
        <v>0.28000000000000003</v>
      </c>
      <c r="J3480" s="21">
        <v>430</v>
      </c>
      <c r="K3480" s="21">
        <v>0</v>
      </c>
      <c r="L3480" s="5">
        <v>0</v>
      </c>
      <c r="M3480" s="4"/>
      <c r="N3480" s="4"/>
      <c r="O3480" s="5"/>
      <c r="P3480" s="5"/>
      <c r="Q3480" s="21">
        <v>120.4</v>
      </c>
      <c r="R3480" s="21">
        <v>0</v>
      </c>
      <c r="S3480" s="5">
        <f t="shared" si="219"/>
        <v>22183.333040949106</v>
      </c>
      <c r="T3480" cm="1">
        <f t="array" ref="T3480">IF(OR(B3480="MAL ALIMI", B3480="ÜRETİM GİRİŞ"), MIN(I3480, MAX(0, I3480 + SUM(SUMIFS($I$1:I3479, $C$1:C3479, C3480, $B$1:B3479, {"MAL ALIMI","ÜRETİM GİRİŞ"})) - VLOOKUP(C3480, 'STOK RAPORU'!$C$2:$I$1000, 4, 0))), 0)</f>
        <v>0</v>
      </c>
      <c r="U3480" s="22">
        <f t="shared" si="216"/>
        <v>0</v>
      </c>
      <c r="V3480">
        <f t="shared" si="217"/>
        <v>0</v>
      </c>
      <c r="W3480" s="22">
        <f t="shared" si="218"/>
        <v>0</v>
      </c>
    </row>
    <row r="3481" spans="1:23" hidden="1" x14ac:dyDescent="0.25">
      <c r="A3481" s="3">
        <v>46047</v>
      </c>
      <c r="B3481" s="46" t="s">
        <v>334</v>
      </c>
      <c r="C3481" s="4" t="s">
        <v>196</v>
      </c>
      <c r="D3481" s="4"/>
      <c r="E3481" s="4"/>
      <c r="F3481" s="46" t="s">
        <v>1851</v>
      </c>
      <c r="G3481" s="4" t="s">
        <v>336</v>
      </c>
      <c r="H3481" s="4" t="s">
        <v>289</v>
      </c>
      <c r="I3481" s="4">
        <v>0.52800000000000002</v>
      </c>
      <c r="J3481" s="21">
        <v>230</v>
      </c>
      <c r="K3481" s="21">
        <v>0</v>
      </c>
      <c r="L3481" s="5">
        <v>0</v>
      </c>
      <c r="M3481" s="4"/>
      <c r="N3481" s="4"/>
      <c r="O3481" s="5"/>
      <c r="P3481" s="5"/>
      <c r="Q3481" s="21">
        <v>121.44000000000001</v>
      </c>
      <c r="R3481" s="21">
        <v>0</v>
      </c>
      <c r="S3481" s="5">
        <f t="shared" si="219"/>
        <v>22304.773040949105</v>
      </c>
      <c r="T3481" cm="1">
        <f t="array" ref="T3481">IF(OR(B3481="MAL ALIMI", B3481="ÜRETİM GİRİŞ"), MIN(I3481, MAX(0, I3481 + SUM(SUMIFS($I$1:I3480, $C$1:C3480, C3481, $B$1:B3480, {"MAL ALIMI","ÜRETİM GİRİŞ"})) - VLOOKUP(C3481, 'STOK RAPORU'!$C$2:$I$1000, 4, 0))), 0)</f>
        <v>0</v>
      </c>
      <c r="U3481" s="22">
        <f t="shared" si="216"/>
        <v>0</v>
      </c>
      <c r="V3481">
        <f t="shared" si="217"/>
        <v>0</v>
      </c>
      <c r="W3481" s="22">
        <f t="shared" si="218"/>
        <v>0</v>
      </c>
    </row>
    <row r="3482" spans="1:23" hidden="1" x14ac:dyDescent="0.25">
      <c r="A3482" s="3">
        <v>46047</v>
      </c>
      <c r="B3482" s="46" t="s">
        <v>334</v>
      </c>
      <c r="C3482" s="4" t="s">
        <v>690</v>
      </c>
      <c r="D3482" s="4"/>
      <c r="E3482" s="4"/>
      <c r="F3482" s="46" t="s">
        <v>1851</v>
      </c>
      <c r="G3482" s="4" t="s">
        <v>336</v>
      </c>
      <c r="H3482" s="4" t="s">
        <v>289</v>
      </c>
      <c r="I3482" s="4">
        <v>0.30199999999999999</v>
      </c>
      <c r="J3482" s="21">
        <v>340</v>
      </c>
      <c r="K3482" s="21">
        <v>0</v>
      </c>
      <c r="L3482" s="5">
        <v>0</v>
      </c>
      <c r="M3482" s="4"/>
      <c r="N3482" s="4"/>
      <c r="O3482" s="5"/>
      <c r="P3482" s="5"/>
      <c r="Q3482" s="21">
        <v>102.67999999999999</v>
      </c>
      <c r="R3482" s="21">
        <v>0</v>
      </c>
      <c r="S3482" s="5">
        <f t="shared" si="219"/>
        <v>22407.453040949105</v>
      </c>
      <c r="T3482" cm="1">
        <f t="array" ref="T3482">IF(OR(B3482="MAL ALIMI", B3482="ÜRETİM GİRİŞ"), MIN(I3482, MAX(0, I3482 + SUM(SUMIFS($I$1:I3481, $C$1:C3481, C3482, $B$1:B3481, {"MAL ALIMI","ÜRETİM GİRİŞ"})) - VLOOKUP(C3482, 'STOK RAPORU'!$C$2:$I$1000, 4, 0))), 0)</f>
        <v>0</v>
      </c>
      <c r="U3482" s="22">
        <f t="shared" si="216"/>
        <v>0</v>
      </c>
      <c r="V3482">
        <f t="shared" si="217"/>
        <v>0</v>
      </c>
      <c r="W3482" s="22">
        <f t="shared" si="218"/>
        <v>0</v>
      </c>
    </row>
    <row r="3483" spans="1:23" hidden="1" x14ac:dyDescent="0.25">
      <c r="A3483" s="3">
        <v>46047</v>
      </c>
      <c r="B3483" s="46" t="s">
        <v>334</v>
      </c>
      <c r="C3483" s="4" t="s">
        <v>1357</v>
      </c>
      <c r="D3483" s="4"/>
      <c r="E3483" s="4"/>
      <c r="F3483" s="46" t="s">
        <v>1851</v>
      </c>
      <c r="G3483" s="4" t="s">
        <v>336</v>
      </c>
      <c r="H3483" s="4" t="s">
        <v>289</v>
      </c>
      <c r="I3483" s="4">
        <v>1</v>
      </c>
      <c r="J3483" s="21">
        <v>570</v>
      </c>
      <c r="K3483" s="21">
        <v>0</v>
      </c>
      <c r="L3483" s="5">
        <v>0</v>
      </c>
      <c r="M3483" s="4"/>
      <c r="N3483" s="4"/>
      <c r="O3483" s="5"/>
      <c r="P3483" s="5"/>
      <c r="Q3483" s="21">
        <v>570</v>
      </c>
      <c r="R3483" s="21">
        <v>0</v>
      </c>
      <c r="S3483" s="5">
        <f t="shared" si="219"/>
        <v>22977.453040949105</v>
      </c>
      <c r="T3483" cm="1">
        <f t="array" ref="T3483">IF(OR(B3483="MAL ALIMI", B3483="ÜRETİM GİRİŞ"), MIN(I3483, MAX(0, I3483 + SUM(SUMIFS($I$1:I3482, $C$1:C3482, C3483, $B$1:B3482, {"MAL ALIMI","ÜRETİM GİRİŞ"})) - VLOOKUP(C3483, 'STOK RAPORU'!$C$2:$I$1000, 4, 0))), 0)</f>
        <v>0</v>
      </c>
      <c r="U3483" s="22">
        <f t="shared" si="216"/>
        <v>0</v>
      </c>
      <c r="V3483">
        <f t="shared" si="217"/>
        <v>0</v>
      </c>
      <c r="W3483" s="22">
        <f t="shared" si="218"/>
        <v>0</v>
      </c>
    </row>
    <row r="3484" spans="1:23" hidden="1" x14ac:dyDescent="0.25">
      <c r="A3484" s="3">
        <v>46047</v>
      </c>
      <c r="B3484" s="46" t="s">
        <v>334</v>
      </c>
      <c r="C3484" s="46" t="s">
        <v>585</v>
      </c>
      <c r="D3484" s="4"/>
      <c r="E3484" s="4"/>
      <c r="F3484" s="46" t="s">
        <v>1851</v>
      </c>
      <c r="G3484" s="4" t="s">
        <v>336</v>
      </c>
      <c r="H3484" s="4" t="s">
        <v>289</v>
      </c>
      <c r="I3484" s="4">
        <v>1</v>
      </c>
      <c r="J3484" s="21">
        <v>200</v>
      </c>
      <c r="K3484" s="21">
        <v>0</v>
      </c>
      <c r="L3484" s="5">
        <v>0</v>
      </c>
      <c r="M3484" s="4"/>
      <c r="N3484" s="4"/>
      <c r="O3484" s="5"/>
      <c r="P3484" s="5"/>
      <c r="Q3484" s="21">
        <v>200</v>
      </c>
      <c r="R3484" s="21">
        <v>0</v>
      </c>
      <c r="S3484" s="5">
        <f t="shared" si="219"/>
        <v>23177.453040949105</v>
      </c>
      <c r="T3484" cm="1">
        <f t="array" ref="T3484">IF(OR(B3484="MAL ALIMI", B3484="ÜRETİM GİRİŞ"), MIN(I3484, MAX(0, I3484 + SUM(SUMIFS($I$1:I3483, $C$1:C3483, C3484, $B$1:B3483, {"MAL ALIMI","ÜRETİM GİRİŞ"})) - VLOOKUP(C3484, 'STOK RAPORU'!$C$2:$I$1000, 4, 0))), 0)</f>
        <v>0</v>
      </c>
      <c r="U3484" s="22">
        <f t="shared" si="216"/>
        <v>0</v>
      </c>
      <c r="V3484">
        <f t="shared" si="217"/>
        <v>0</v>
      </c>
      <c r="W3484" s="22">
        <f t="shared" si="218"/>
        <v>0</v>
      </c>
    </row>
    <row r="3485" spans="1:23" hidden="1" x14ac:dyDescent="0.25">
      <c r="A3485" s="3">
        <v>46047</v>
      </c>
      <c r="B3485" s="46" t="s">
        <v>334</v>
      </c>
      <c r="C3485" s="4" t="s">
        <v>1326</v>
      </c>
      <c r="D3485" s="4"/>
      <c r="E3485" s="4"/>
      <c r="F3485" s="46" t="s">
        <v>1851</v>
      </c>
      <c r="G3485" s="4" t="s">
        <v>336</v>
      </c>
      <c r="H3485" s="4" t="s">
        <v>289</v>
      </c>
      <c r="I3485" s="4">
        <v>1</v>
      </c>
      <c r="J3485" s="21">
        <v>135</v>
      </c>
      <c r="K3485" s="21">
        <v>0</v>
      </c>
      <c r="L3485" s="5">
        <v>0</v>
      </c>
      <c r="M3485" s="4"/>
      <c r="N3485" s="4"/>
      <c r="O3485" s="5"/>
      <c r="P3485" s="5"/>
      <c r="Q3485" s="21">
        <v>135</v>
      </c>
      <c r="R3485" s="21">
        <v>0</v>
      </c>
      <c r="S3485" s="5">
        <f t="shared" si="219"/>
        <v>23312.453040949105</v>
      </c>
      <c r="T3485" cm="1">
        <f t="array" ref="T3485">IF(OR(B3485="MAL ALIMI", B3485="ÜRETİM GİRİŞ"), MIN(I3485, MAX(0, I3485 + SUM(SUMIFS($I$1:I3484, $C$1:C3484, C3485, $B$1:B3484, {"MAL ALIMI","ÜRETİM GİRİŞ"})) - VLOOKUP(C3485, 'STOK RAPORU'!$C$2:$I$1000, 4, 0))), 0)</f>
        <v>0</v>
      </c>
      <c r="U3485" s="22">
        <f t="shared" si="216"/>
        <v>0</v>
      </c>
      <c r="V3485">
        <f t="shared" si="217"/>
        <v>0</v>
      </c>
      <c r="W3485" s="22">
        <f t="shared" si="218"/>
        <v>0</v>
      </c>
    </row>
    <row r="3486" spans="1:23" hidden="1" x14ac:dyDescent="0.25">
      <c r="A3486" s="3">
        <v>46047</v>
      </c>
      <c r="B3486" s="46" t="s">
        <v>334</v>
      </c>
      <c r="C3486" s="4" t="s">
        <v>149</v>
      </c>
      <c r="D3486" s="4"/>
      <c r="E3486" s="4"/>
      <c r="F3486" s="46" t="s">
        <v>1851</v>
      </c>
      <c r="G3486" s="4" t="s">
        <v>336</v>
      </c>
      <c r="H3486" s="4" t="s">
        <v>289</v>
      </c>
      <c r="I3486" s="4">
        <v>1</v>
      </c>
      <c r="J3486" s="21">
        <v>65</v>
      </c>
      <c r="K3486" s="21">
        <v>0</v>
      </c>
      <c r="L3486" s="5">
        <v>0</v>
      </c>
      <c r="M3486" s="4"/>
      <c r="N3486" s="4"/>
      <c r="O3486" s="5"/>
      <c r="P3486" s="5"/>
      <c r="Q3486" s="21">
        <v>65</v>
      </c>
      <c r="R3486" s="21">
        <v>0</v>
      </c>
      <c r="S3486" s="5">
        <f t="shared" si="219"/>
        <v>23377.453040949105</v>
      </c>
      <c r="T3486" cm="1">
        <f t="array" ref="T3486">IF(OR(B3486="MAL ALIMI", B3486="ÜRETİM GİRİŞ"), MIN(I3486, MAX(0, I3486 + SUM(SUMIFS($I$1:I3485, $C$1:C3485, C3486, $B$1:B3485, {"MAL ALIMI","ÜRETİM GİRİŞ"})) - VLOOKUP(C3486, 'STOK RAPORU'!$C$2:$I$1000, 4, 0))), 0)</f>
        <v>0</v>
      </c>
      <c r="U3486" s="22">
        <f t="shared" si="216"/>
        <v>0</v>
      </c>
      <c r="V3486">
        <f t="shared" si="217"/>
        <v>0</v>
      </c>
      <c r="W3486" s="22">
        <f t="shared" si="218"/>
        <v>0</v>
      </c>
    </row>
    <row r="3487" spans="1:23" hidden="1" x14ac:dyDescent="0.25">
      <c r="A3487" s="3">
        <v>46047</v>
      </c>
      <c r="B3487" s="46" t="s">
        <v>334</v>
      </c>
      <c r="C3487" s="4" t="s">
        <v>147</v>
      </c>
      <c r="D3487" s="4"/>
      <c r="E3487" s="4"/>
      <c r="F3487" s="46" t="s">
        <v>1851</v>
      </c>
      <c r="G3487" s="4" t="s">
        <v>336</v>
      </c>
      <c r="H3487" s="4" t="s">
        <v>289</v>
      </c>
      <c r="I3487" s="4">
        <v>1</v>
      </c>
      <c r="J3487" s="21">
        <v>65</v>
      </c>
      <c r="K3487" s="21">
        <v>0</v>
      </c>
      <c r="L3487" s="5">
        <v>0</v>
      </c>
      <c r="M3487" s="4"/>
      <c r="N3487" s="4"/>
      <c r="O3487" s="5"/>
      <c r="P3487" s="5"/>
      <c r="Q3487" s="21">
        <v>65</v>
      </c>
      <c r="R3487" s="21">
        <v>0</v>
      </c>
      <c r="S3487" s="5">
        <f t="shared" si="219"/>
        <v>23442.453040949105</v>
      </c>
      <c r="T3487" cm="1">
        <f t="array" ref="T3487">IF(OR(B3487="MAL ALIMI", B3487="ÜRETİM GİRİŞ"), MIN(I3487, MAX(0, I3487 + SUM(SUMIFS($I$1:I3486, $C$1:C3486, C3487, $B$1:B3486, {"MAL ALIMI","ÜRETİM GİRİŞ"})) - VLOOKUP(C3487, 'STOK RAPORU'!$C$2:$I$1000, 4, 0))), 0)</f>
        <v>0</v>
      </c>
      <c r="U3487" s="22">
        <f t="shared" si="216"/>
        <v>0</v>
      </c>
      <c r="V3487">
        <f t="shared" si="217"/>
        <v>0</v>
      </c>
      <c r="W3487" s="22">
        <f t="shared" si="218"/>
        <v>0</v>
      </c>
    </row>
    <row r="3488" spans="1:23" hidden="1" x14ac:dyDescent="0.25">
      <c r="A3488" s="3">
        <v>46047</v>
      </c>
      <c r="B3488" s="46" t="s">
        <v>334</v>
      </c>
      <c r="C3488" s="4" t="s">
        <v>1327</v>
      </c>
      <c r="D3488" s="4"/>
      <c r="E3488" s="4"/>
      <c r="F3488" s="46" t="s">
        <v>1851</v>
      </c>
      <c r="G3488" s="4" t="s">
        <v>336</v>
      </c>
      <c r="H3488" s="4" t="s">
        <v>289</v>
      </c>
      <c r="I3488" s="4">
        <v>1</v>
      </c>
      <c r="J3488" s="21">
        <v>135</v>
      </c>
      <c r="K3488" s="21">
        <v>0</v>
      </c>
      <c r="L3488" s="5">
        <v>0</v>
      </c>
      <c r="M3488" s="4"/>
      <c r="N3488" s="4"/>
      <c r="O3488" s="5"/>
      <c r="P3488" s="5"/>
      <c r="Q3488" s="21">
        <v>135</v>
      </c>
      <c r="R3488" s="21">
        <v>0</v>
      </c>
      <c r="S3488" s="5">
        <f t="shared" si="219"/>
        <v>23577.453040949105</v>
      </c>
      <c r="T3488" cm="1">
        <f t="array" ref="T3488">IF(OR(B3488="MAL ALIMI", B3488="ÜRETİM GİRİŞ"), MIN(I3488, MAX(0, I3488 + SUM(SUMIFS($I$1:I3487, $C$1:C3487, C3488, $B$1:B3487, {"MAL ALIMI","ÜRETİM GİRİŞ"})) - VLOOKUP(C3488, 'STOK RAPORU'!$C$2:$I$1000, 4, 0))), 0)</f>
        <v>0</v>
      </c>
      <c r="U3488" s="22">
        <f t="shared" si="216"/>
        <v>0</v>
      </c>
      <c r="V3488">
        <f t="shared" si="217"/>
        <v>0</v>
      </c>
      <c r="W3488" s="22">
        <f t="shared" si="218"/>
        <v>0</v>
      </c>
    </row>
    <row r="3489" spans="1:23" hidden="1" x14ac:dyDescent="0.25">
      <c r="A3489" s="3">
        <v>46047</v>
      </c>
      <c r="B3489" s="46" t="s">
        <v>334</v>
      </c>
      <c r="C3489" s="4" t="s">
        <v>131</v>
      </c>
      <c r="D3489" s="4"/>
      <c r="E3489" s="4"/>
      <c r="F3489" s="46" t="s">
        <v>1851</v>
      </c>
      <c r="G3489" s="4" t="s">
        <v>336</v>
      </c>
      <c r="H3489" s="4" t="s">
        <v>289</v>
      </c>
      <c r="I3489" s="4">
        <v>8.4000000000000005E-2</v>
      </c>
      <c r="J3489" s="21">
        <v>400</v>
      </c>
      <c r="K3489" s="21">
        <v>0</v>
      </c>
      <c r="L3489" s="5">
        <v>0</v>
      </c>
      <c r="M3489" s="4"/>
      <c r="N3489" s="4"/>
      <c r="O3489" s="5"/>
      <c r="P3489" s="5"/>
      <c r="Q3489" s="21">
        <v>33.6</v>
      </c>
      <c r="R3489" s="21">
        <v>0</v>
      </c>
      <c r="S3489" s="5">
        <f t="shared" si="219"/>
        <v>23611.053040949104</v>
      </c>
      <c r="T3489" cm="1">
        <f t="array" ref="T3489">IF(OR(B3489="MAL ALIMI", B3489="ÜRETİM GİRİŞ"), MIN(I3489, MAX(0, I3489 + SUM(SUMIFS($I$1:I3488, $C$1:C3488, C3489, $B$1:B3488, {"MAL ALIMI","ÜRETİM GİRİŞ"})) - VLOOKUP(C3489, 'STOK RAPORU'!$C$2:$I$1000, 4, 0))), 0)</f>
        <v>0</v>
      </c>
      <c r="U3489" s="22">
        <f t="shared" si="216"/>
        <v>0</v>
      </c>
      <c r="V3489">
        <f t="shared" si="217"/>
        <v>0</v>
      </c>
      <c r="W3489" s="22">
        <f t="shared" si="218"/>
        <v>0</v>
      </c>
    </row>
    <row r="3490" spans="1:23" hidden="1" x14ac:dyDescent="0.25">
      <c r="A3490" s="3">
        <v>46047</v>
      </c>
      <c r="B3490" s="46" t="s">
        <v>334</v>
      </c>
      <c r="C3490" s="4" t="s">
        <v>91</v>
      </c>
      <c r="D3490" s="4"/>
      <c r="E3490" s="4"/>
      <c r="F3490" s="46" t="s">
        <v>1851</v>
      </c>
      <c r="G3490" s="4" t="s">
        <v>336</v>
      </c>
      <c r="H3490" s="4" t="s">
        <v>289</v>
      </c>
      <c r="I3490" s="4">
        <v>6.6000000000000003E-2</v>
      </c>
      <c r="J3490" s="21">
        <v>760</v>
      </c>
      <c r="K3490" s="21">
        <v>0</v>
      </c>
      <c r="L3490" s="5">
        <v>0</v>
      </c>
      <c r="M3490" s="4"/>
      <c r="N3490" s="4"/>
      <c r="O3490" s="5"/>
      <c r="P3490" s="5"/>
      <c r="Q3490" s="21">
        <v>50.160000000000004</v>
      </c>
      <c r="R3490" s="21">
        <v>0</v>
      </c>
      <c r="S3490" s="5">
        <f t="shared" si="219"/>
        <v>23661.213040949104</v>
      </c>
      <c r="T3490" cm="1">
        <f t="array" ref="T3490">IF(OR(B3490="MAL ALIMI", B3490="ÜRETİM GİRİŞ"), MIN(I3490, MAX(0, I3490 + SUM(SUMIFS($I$1:I3489, $C$1:C3489, C3490, $B$1:B3489, {"MAL ALIMI","ÜRETİM GİRİŞ"})) - VLOOKUP(C3490, 'STOK RAPORU'!$C$2:$I$1000, 4, 0))), 0)</f>
        <v>0</v>
      </c>
      <c r="U3490" s="22">
        <f t="shared" si="216"/>
        <v>0</v>
      </c>
      <c r="V3490">
        <f t="shared" si="217"/>
        <v>0</v>
      </c>
      <c r="W3490" s="22">
        <f t="shared" si="218"/>
        <v>0</v>
      </c>
    </row>
    <row r="3491" spans="1:23" hidden="1" x14ac:dyDescent="0.25">
      <c r="A3491" s="3">
        <v>46047</v>
      </c>
      <c r="B3491" s="46" t="s">
        <v>334</v>
      </c>
      <c r="C3491" s="4" t="s">
        <v>132</v>
      </c>
      <c r="D3491" s="4"/>
      <c r="E3491" s="4"/>
      <c r="F3491" s="46" t="s">
        <v>1851</v>
      </c>
      <c r="G3491" s="4" t="s">
        <v>336</v>
      </c>
      <c r="H3491" s="4" t="s">
        <v>289</v>
      </c>
      <c r="I3491" s="4">
        <v>0.19</v>
      </c>
      <c r="J3491" s="21">
        <v>500</v>
      </c>
      <c r="K3491" s="21">
        <v>0</v>
      </c>
      <c r="L3491" s="5">
        <v>0</v>
      </c>
      <c r="M3491" s="4"/>
      <c r="N3491" s="4"/>
      <c r="O3491" s="5"/>
      <c r="P3491" s="5"/>
      <c r="Q3491" s="21">
        <v>95</v>
      </c>
      <c r="R3491" s="21">
        <v>0</v>
      </c>
      <c r="S3491" s="5">
        <f t="shared" si="219"/>
        <v>23756.213040949104</v>
      </c>
      <c r="T3491" cm="1">
        <f t="array" ref="T3491">IF(OR(B3491="MAL ALIMI", B3491="ÜRETİM GİRİŞ"), MIN(I3491, MAX(0, I3491 + SUM(SUMIFS($I$1:I3490, $C$1:C3490, C3491, $B$1:B3490, {"MAL ALIMI","ÜRETİM GİRİŞ"})) - VLOOKUP(C3491, 'STOK RAPORU'!$C$2:$I$1000, 4, 0))), 0)</f>
        <v>0</v>
      </c>
      <c r="U3491" s="22">
        <f t="shared" si="216"/>
        <v>0</v>
      </c>
      <c r="V3491">
        <f t="shared" si="217"/>
        <v>0</v>
      </c>
      <c r="W3491" s="22">
        <f t="shared" si="218"/>
        <v>0</v>
      </c>
    </row>
    <row r="3492" spans="1:23" hidden="1" x14ac:dyDescent="0.25">
      <c r="A3492" s="3">
        <v>46047</v>
      </c>
      <c r="B3492" s="46" t="s">
        <v>334</v>
      </c>
      <c r="C3492" s="4" t="s">
        <v>141</v>
      </c>
      <c r="D3492" s="4"/>
      <c r="E3492" s="4"/>
      <c r="F3492" s="46" t="s">
        <v>1851</v>
      </c>
      <c r="G3492" s="4" t="s">
        <v>336</v>
      </c>
      <c r="H3492" s="4" t="s">
        <v>289</v>
      </c>
      <c r="I3492" s="4">
        <v>0.14799999999999999</v>
      </c>
      <c r="J3492" s="21">
        <v>140</v>
      </c>
      <c r="K3492" s="21">
        <v>0</v>
      </c>
      <c r="L3492" s="5">
        <v>0</v>
      </c>
      <c r="M3492" s="4"/>
      <c r="N3492" s="4"/>
      <c r="O3492" s="5"/>
      <c r="P3492" s="5"/>
      <c r="Q3492" s="21">
        <v>20.72</v>
      </c>
      <c r="R3492" s="21">
        <v>0</v>
      </c>
      <c r="S3492" s="5">
        <f t="shared" si="219"/>
        <v>23776.933040949105</v>
      </c>
      <c r="T3492" cm="1">
        <f t="array" ref="T3492">IF(OR(B3492="MAL ALIMI", B3492="ÜRETİM GİRİŞ"), MIN(I3492, MAX(0, I3492 + SUM(SUMIFS($I$1:I3491, $C$1:C3491, C3492, $B$1:B3491, {"MAL ALIMI","ÜRETİM GİRİŞ"})) - VLOOKUP(C3492, 'STOK RAPORU'!$C$2:$I$1000, 4, 0))), 0)</f>
        <v>0</v>
      </c>
      <c r="U3492" s="22">
        <f t="shared" si="216"/>
        <v>0</v>
      </c>
      <c r="V3492">
        <f t="shared" si="217"/>
        <v>0</v>
      </c>
      <c r="W3492" s="22">
        <f t="shared" si="218"/>
        <v>0</v>
      </c>
    </row>
    <row r="3493" spans="1:23" hidden="1" x14ac:dyDescent="0.25">
      <c r="A3493" s="3">
        <v>46047</v>
      </c>
      <c r="B3493" s="46" t="s">
        <v>334</v>
      </c>
      <c r="C3493" s="4" t="s">
        <v>96</v>
      </c>
      <c r="D3493" s="4"/>
      <c r="E3493" s="4"/>
      <c r="F3493" s="46" t="s">
        <v>1851</v>
      </c>
      <c r="G3493" s="4" t="s">
        <v>336</v>
      </c>
      <c r="H3493" s="4" t="s">
        <v>289</v>
      </c>
      <c r="I3493" s="4">
        <v>0.20200000000000001</v>
      </c>
      <c r="J3493" s="21">
        <v>380</v>
      </c>
      <c r="K3493" s="21">
        <v>0</v>
      </c>
      <c r="L3493" s="5">
        <v>0</v>
      </c>
      <c r="M3493" s="4"/>
      <c r="N3493" s="4"/>
      <c r="O3493" s="5"/>
      <c r="P3493" s="5"/>
      <c r="Q3493" s="21">
        <v>76.760000000000005</v>
      </c>
      <c r="R3493" s="21">
        <v>0</v>
      </c>
      <c r="S3493" s="5">
        <f t="shared" si="219"/>
        <v>23853.693040949103</v>
      </c>
      <c r="T3493" cm="1">
        <f t="array" ref="T3493">IF(OR(B3493="MAL ALIMI", B3493="ÜRETİM GİRİŞ"), MIN(I3493, MAX(0, I3493 + SUM(SUMIFS($I$1:I3492, $C$1:C3492, C3493, $B$1:B3492, {"MAL ALIMI","ÜRETİM GİRİŞ"})) - VLOOKUP(C3493, 'STOK RAPORU'!$C$2:$I$1000, 4, 0))), 0)</f>
        <v>0</v>
      </c>
      <c r="U3493" s="22">
        <f t="shared" si="216"/>
        <v>0</v>
      </c>
      <c r="V3493">
        <f t="shared" si="217"/>
        <v>0</v>
      </c>
      <c r="W3493" s="22">
        <f t="shared" si="218"/>
        <v>0</v>
      </c>
    </row>
    <row r="3494" spans="1:23" hidden="1" x14ac:dyDescent="0.25">
      <c r="A3494" s="3">
        <v>46047</v>
      </c>
      <c r="B3494" s="46" t="s">
        <v>334</v>
      </c>
      <c r="C3494" s="4" t="s">
        <v>92</v>
      </c>
      <c r="D3494" s="4"/>
      <c r="E3494" s="4"/>
      <c r="F3494" s="46" t="s">
        <v>1851</v>
      </c>
      <c r="G3494" s="4" t="s">
        <v>336</v>
      </c>
      <c r="H3494" s="4" t="s">
        <v>289</v>
      </c>
      <c r="I3494" s="4">
        <v>0.29799999999999999</v>
      </c>
      <c r="J3494" s="21">
        <v>500</v>
      </c>
      <c r="K3494" s="21">
        <v>0</v>
      </c>
      <c r="L3494" s="5">
        <v>0</v>
      </c>
      <c r="M3494" s="4"/>
      <c r="N3494" s="4"/>
      <c r="O3494" s="5"/>
      <c r="P3494" s="5"/>
      <c r="Q3494" s="21">
        <v>149</v>
      </c>
      <c r="R3494" s="21">
        <v>0</v>
      </c>
      <c r="S3494" s="5">
        <f t="shared" si="219"/>
        <v>24002.693040949103</v>
      </c>
      <c r="T3494" cm="1">
        <f t="array" ref="T3494">IF(OR(B3494="MAL ALIMI", B3494="ÜRETİM GİRİŞ"), MIN(I3494, MAX(0, I3494 + SUM(SUMIFS($I$1:I3493, $C$1:C3493, C3494, $B$1:B3493, {"MAL ALIMI","ÜRETİM GİRİŞ"})) - VLOOKUP(C3494, 'STOK RAPORU'!$C$2:$I$1000, 4, 0))), 0)</f>
        <v>0</v>
      </c>
      <c r="U3494" s="22">
        <f t="shared" si="216"/>
        <v>0</v>
      </c>
      <c r="V3494">
        <f t="shared" si="217"/>
        <v>0</v>
      </c>
      <c r="W3494" s="22">
        <f t="shared" si="218"/>
        <v>0</v>
      </c>
    </row>
    <row r="3495" spans="1:23" hidden="1" x14ac:dyDescent="0.25">
      <c r="A3495" s="3">
        <v>46047</v>
      </c>
      <c r="B3495" s="46" t="s">
        <v>334</v>
      </c>
      <c r="C3495" s="4" t="s">
        <v>130</v>
      </c>
      <c r="D3495" s="4"/>
      <c r="E3495" s="4"/>
      <c r="F3495" s="46" t="s">
        <v>1851</v>
      </c>
      <c r="G3495" s="4" t="s">
        <v>336</v>
      </c>
      <c r="H3495" s="4" t="s">
        <v>289</v>
      </c>
      <c r="I3495" s="4">
        <v>0.17399999999999999</v>
      </c>
      <c r="J3495" s="21">
        <v>410</v>
      </c>
      <c r="K3495" s="21">
        <v>0</v>
      </c>
      <c r="L3495" s="5">
        <v>0</v>
      </c>
      <c r="M3495" s="4"/>
      <c r="N3495" s="4"/>
      <c r="O3495" s="5"/>
      <c r="P3495" s="5"/>
      <c r="Q3495" s="21">
        <v>71.339999999999989</v>
      </c>
      <c r="R3495" s="21">
        <v>0</v>
      </c>
      <c r="S3495" s="5">
        <f t="shared" si="219"/>
        <v>24074.033040949103</v>
      </c>
      <c r="T3495" cm="1">
        <f t="array" ref="T3495">IF(OR(B3495="MAL ALIMI", B3495="ÜRETİM GİRİŞ"), MIN(I3495, MAX(0, I3495 + SUM(SUMIFS($I$1:I3494, $C$1:C3494, C3495, $B$1:B3494, {"MAL ALIMI","ÜRETİM GİRİŞ"})) - VLOOKUP(C3495, 'STOK RAPORU'!$C$2:$I$1000, 4, 0))), 0)</f>
        <v>0</v>
      </c>
      <c r="U3495" s="22">
        <f t="shared" si="216"/>
        <v>0</v>
      </c>
      <c r="V3495">
        <f t="shared" si="217"/>
        <v>0</v>
      </c>
      <c r="W3495" s="22">
        <f t="shared" si="218"/>
        <v>0</v>
      </c>
    </row>
    <row r="3496" spans="1:23" hidden="1" x14ac:dyDescent="0.25">
      <c r="A3496" s="3">
        <v>46047</v>
      </c>
      <c r="B3496" s="46" t="s">
        <v>334</v>
      </c>
      <c r="C3496" s="4" t="s">
        <v>1619</v>
      </c>
      <c r="D3496" s="4"/>
      <c r="E3496" s="4"/>
      <c r="F3496" s="46" t="s">
        <v>1851</v>
      </c>
      <c r="G3496" s="4" t="s">
        <v>336</v>
      </c>
      <c r="H3496" s="4" t="s">
        <v>289</v>
      </c>
      <c r="I3496" s="4">
        <v>1</v>
      </c>
      <c r="J3496" s="21">
        <v>150</v>
      </c>
      <c r="K3496" s="21">
        <v>0</v>
      </c>
      <c r="L3496" s="5">
        <v>0</v>
      </c>
      <c r="M3496" s="4"/>
      <c r="N3496" s="4"/>
      <c r="O3496" s="5"/>
      <c r="P3496" s="5"/>
      <c r="Q3496" s="21">
        <v>150</v>
      </c>
      <c r="R3496" s="21">
        <v>0</v>
      </c>
      <c r="S3496" s="5">
        <f t="shared" si="219"/>
        <v>24224.033040949103</v>
      </c>
      <c r="T3496" cm="1">
        <f t="array" ref="T3496">IF(OR(B3496="MAL ALIMI", B3496="ÜRETİM GİRİŞ"), MIN(I3496, MAX(0, I3496 + SUM(SUMIFS($I$1:I3495, $C$1:C3495, C3496, $B$1:B3495, {"MAL ALIMI","ÜRETİM GİRİŞ"})) - VLOOKUP(C3496, 'STOK RAPORU'!$C$2:$I$1000, 4, 0))), 0)</f>
        <v>0</v>
      </c>
      <c r="U3496" s="22">
        <f t="shared" si="216"/>
        <v>0</v>
      </c>
      <c r="V3496">
        <f t="shared" si="217"/>
        <v>0</v>
      </c>
      <c r="W3496" s="22">
        <f t="shared" si="218"/>
        <v>0</v>
      </c>
    </row>
    <row r="3497" spans="1:23" hidden="1" x14ac:dyDescent="0.25">
      <c r="A3497" s="3">
        <v>46047</v>
      </c>
      <c r="B3497" s="46" t="s">
        <v>334</v>
      </c>
      <c r="C3497" s="4" t="s">
        <v>160</v>
      </c>
      <c r="D3497" s="4"/>
      <c r="E3497" s="4"/>
      <c r="F3497" s="46" t="s">
        <v>1851</v>
      </c>
      <c r="G3497" s="4" t="s">
        <v>336</v>
      </c>
      <c r="H3497" s="4" t="s">
        <v>289</v>
      </c>
      <c r="I3497" s="4">
        <v>1</v>
      </c>
      <c r="J3497" s="21">
        <v>250</v>
      </c>
      <c r="K3497" s="21">
        <v>0</v>
      </c>
      <c r="L3497" s="5">
        <v>0</v>
      </c>
      <c r="M3497" s="4"/>
      <c r="N3497" s="4"/>
      <c r="O3497" s="5"/>
      <c r="P3497" s="5"/>
      <c r="Q3497" s="21">
        <v>250</v>
      </c>
      <c r="R3497" s="21">
        <v>0</v>
      </c>
      <c r="S3497" s="5">
        <f t="shared" si="219"/>
        <v>24474.033040949103</v>
      </c>
      <c r="T3497" cm="1">
        <f t="array" ref="T3497">IF(OR(B3497="MAL ALIMI", B3497="ÜRETİM GİRİŞ"), MIN(I3497, MAX(0, I3497 + SUM(SUMIFS($I$1:I3496, $C$1:C3496, C3497, $B$1:B3496, {"MAL ALIMI","ÜRETİM GİRİŞ"})) - VLOOKUP(C3497, 'STOK RAPORU'!$C$2:$I$1000, 4, 0))), 0)</f>
        <v>0</v>
      </c>
      <c r="U3497" s="22">
        <f t="shared" si="216"/>
        <v>0</v>
      </c>
      <c r="V3497">
        <f t="shared" si="217"/>
        <v>0</v>
      </c>
      <c r="W3497" s="22">
        <f t="shared" si="218"/>
        <v>0</v>
      </c>
    </row>
    <row r="3498" spans="1:23" hidden="1" x14ac:dyDescent="0.25">
      <c r="A3498" s="3">
        <v>46047</v>
      </c>
      <c r="B3498" s="46" t="s">
        <v>334</v>
      </c>
      <c r="C3498" s="4" t="s">
        <v>161</v>
      </c>
      <c r="D3498" s="4"/>
      <c r="E3498" s="4"/>
      <c r="F3498" s="46" t="s">
        <v>1851</v>
      </c>
      <c r="G3498" s="4" t="s">
        <v>336</v>
      </c>
      <c r="H3498" s="4" t="s">
        <v>289</v>
      </c>
      <c r="I3498" s="4">
        <v>1</v>
      </c>
      <c r="J3498" s="21">
        <v>230</v>
      </c>
      <c r="K3498" s="21">
        <v>0</v>
      </c>
      <c r="L3498" s="5">
        <v>0</v>
      </c>
      <c r="M3498" s="4"/>
      <c r="N3498" s="4"/>
      <c r="O3498" s="5"/>
      <c r="P3498" s="5"/>
      <c r="Q3498" s="21">
        <v>230</v>
      </c>
      <c r="R3498" s="21">
        <v>0</v>
      </c>
      <c r="S3498" s="5">
        <f t="shared" si="219"/>
        <v>24704.033040949103</v>
      </c>
      <c r="T3498" cm="1">
        <f t="array" ref="T3498">IF(OR(B3498="MAL ALIMI", B3498="ÜRETİM GİRİŞ"), MIN(I3498, MAX(0, I3498 + SUM(SUMIFS($I$1:I3497, $C$1:C3497, C3498, $B$1:B3497, {"MAL ALIMI","ÜRETİM GİRİŞ"})) - VLOOKUP(C3498, 'STOK RAPORU'!$C$2:$I$1000, 4, 0))), 0)</f>
        <v>0</v>
      </c>
      <c r="U3498" s="22">
        <f t="shared" si="216"/>
        <v>0</v>
      </c>
      <c r="V3498">
        <f t="shared" si="217"/>
        <v>0</v>
      </c>
      <c r="W3498" s="22">
        <f t="shared" si="218"/>
        <v>0</v>
      </c>
    </row>
    <row r="3499" spans="1:23" hidden="1" x14ac:dyDescent="0.25">
      <c r="A3499" s="3">
        <v>46047</v>
      </c>
      <c r="B3499" s="46" t="s">
        <v>334</v>
      </c>
      <c r="C3499" s="4" t="s">
        <v>162</v>
      </c>
      <c r="D3499" s="4"/>
      <c r="E3499" s="4"/>
      <c r="F3499" s="46" t="s">
        <v>1851</v>
      </c>
      <c r="G3499" s="4" t="s">
        <v>336</v>
      </c>
      <c r="H3499" s="4" t="s">
        <v>289</v>
      </c>
      <c r="I3499" s="4">
        <v>1</v>
      </c>
      <c r="J3499" s="21">
        <v>250</v>
      </c>
      <c r="K3499" s="21">
        <v>0</v>
      </c>
      <c r="L3499" s="5">
        <v>0</v>
      </c>
      <c r="M3499" s="4"/>
      <c r="N3499" s="4"/>
      <c r="O3499" s="5"/>
      <c r="P3499" s="5"/>
      <c r="Q3499" s="21">
        <v>250</v>
      </c>
      <c r="R3499" s="21">
        <v>0</v>
      </c>
      <c r="S3499" s="5">
        <f t="shared" si="219"/>
        <v>24954.033040949103</v>
      </c>
      <c r="T3499" cm="1">
        <f t="array" ref="T3499">IF(OR(B3499="MAL ALIMI", B3499="ÜRETİM GİRİŞ"), MIN(I3499, MAX(0, I3499 + SUM(SUMIFS($I$1:I3498, $C$1:C3498, C3499, $B$1:B3498, {"MAL ALIMI","ÜRETİM GİRİŞ"})) - VLOOKUP(C3499, 'STOK RAPORU'!$C$2:$I$1000, 4, 0))), 0)</f>
        <v>0</v>
      </c>
      <c r="U3499" s="22">
        <f t="shared" si="216"/>
        <v>0</v>
      </c>
      <c r="V3499">
        <f t="shared" si="217"/>
        <v>0</v>
      </c>
      <c r="W3499" s="22">
        <f t="shared" si="218"/>
        <v>0</v>
      </c>
    </row>
    <row r="3500" spans="1:23" hidden="1" x14ac:dyDescent="0.25">
      <c r="A3500" s="3">
        <v>46047</v>
      </c>
      <c r="B3500" s="4" t="s">
        <v>946</v>
      </c>
      <c r="C3500" s="4"/>
      <c r="D3500" s="4"/>
      <c r="E3500" s="4" t="s">
        <v>921</v>
      </c>
      <c r="F3500" s="4"/>
      <c r="G3500" s="4" t="s">
        <v>946</v>
      </c>
      <c r="H3500" s="4" t="s">
        <v>380</v>
      </c>
      <c r="I3500" s="4">
        <v>1</v>
      </c>
      <c r="J3500" s="105">
        <v>1200</v>
      </c>
      <c r="K3500" s="21">
        <v>0</v>
      </c>
      <c r="L3500" s="111">
        <v>1200</v>
      </c>
      <c r="M3500" s="4"/>
      <c r="N3500" s="4"/>
      <c r="O3500" s="5"/>
      <c r="P3500" s="5"/>
      <c r="Q3500" s="21">
        <v>1200</v>
      </c>
      <c r="R3500" s="21">
        <v>0</v>
      </c>
      <c r="S3500" s="5">
        <f t="shared" si="219"/>
        <v>26154.033040949103</v>
      </c>
      <c r="T3500" cm="1">
        <f t="array" ref="T3500">IF(OR(B3500="MAL ALIMI", B3500="ÜRETİM GİRİŞ"), MIN(I3500, MAX(0, I3500 + SUM(SUMIFS($I$1:I3499, $C$1:C3499, C3500, $B$1:B3499, {"MAL ALIMI","ÜRETİM GİRİŞ"})) - VLOOKUP(C3500, 'STOK RAPORU'!$C$2:$I$1000, 4, 0))), 0)</f>
        <v>0</v>
      </c>
      <c r="U3500" s="22">
        <f t="shared" si="216"/>
        <v>0</v>
      </c>
      <c r="V3500">
        <f t="shared" si="217"/>
        <v>0</v>
      </c>
      <c r="W3500" s="22">
        <f t="shared" si="218"/>
        <v>0</v>
      </c>
    </row>
    <row r="3501" spans="1:23" hidden="1" x14ac:dyDescent="0.25">
      <c r="A3501" s="3">
        <v>46048</v>
      </c>
      <c r="B3501" s="46" t="s">
        <v>334</v>
      </c>
      <c r="C3501" s="4" t="s">
        <v>1634</v>
      </c>
      <c r="D3501" s="4"/>
      <c r="E3501" s="4" t="s">
        <v>921</v>
      </c>
      <c r="F3501" s="46" t="s">
        <v>1852</v>
      </c>
      <c r="G3501" s="4" t="s">
        <v>336</v>
      </c>
      <c r="H3501" s="4" t="s">
        <v>380</v>
      </c>
      <c r="I3501" s="4">
        <v>1</v>
      </c>
      <c r="J3501" s="21">
        <v>300</v>
      </c>
      <c r="K3501" s="21">
        <v>300</v>
      </c>
      <c r="L3501" s="5">
        <v>0</v>
      </c>
      <c r="M3501" s="4"/>
      <c r="N3501" s="4"/>
      <c r="O3501" s="5"/>
      <c r="P3501" s="5"/>
      <c r="Q3501" s="21">
        <v>0</v>
      </c>
      <c r="R3501" s="21">
        <v>0</v>
      </c>
      <c r="S3501" s="5">
        <f t="shared" si="219"/>
        <v>26154.033040949103</v>
      </c>
      <c r="T3501" cm="1">
        <f t="array" ref="T3501">IF(OR(B3501="MAL ALIMI", B3501="ÜRETİM GİRİŞ"), MIN(I3501, MAX(0, I3501 + SUM(SUMIFS($I$1:I3500, $C$1:C3500, C3501, $B$1:B3500, {"MAL ALIMI","ÜRETİM GİRİŞ"})) - VLOOKUP(C3501, 'STOK RAPORU'!$C$2:$I$1000, 4, 0))), 0)</f>
        <v>0</v>
      </c>
      <c r="U3501" s="22">
        <f t="shared" si="216"/>
        <v>0</v>
      </c>
      <c r="V3501">
        <f t="shared" si="217"/>
        <v>0</v>
      </c>
      <c r="W3501" s="22">
        <f t="shared" si="218"/>
        <v>0</v>
      </c>
    </row>
    <row r="3502" spans="1:23" hidden="1" x14ac:dyDescent="0.25">
      <c r="A3502" s="3">
        <v>46048</v>
      </c>
      <c r="B3502" s="46" t="s">
        <v>334</v>
      </c>
      <c r="C3502" s="4" t="s">
        <v>587</v>
      </c>
      <c r="D3502" s="4"/>
      <c r="E3502" s="4"/>
      <c r="F3502" s="46" t="s">
        <v>1853</v>
      </c>
      <c r="G3502" s="4" t="s">
        <v>336</v>
      </c>
      <c r="H3502" s="4" t="s">
        <v>289</v>
      </c>
      <c r="I3502" s="4">
        <v>0.5</v>
      </c>
      <c r="J3502" s="21">
        <v>150</v>
      </c>
      <c r="K3502" s="21">
        <v>0</v>
      </c>
      <c r="L3502" s="5">
        <v>0</v>
      </c>
      <c r="M3502" s="4"/>
      <c r="N3502" s="4"/>
      <c r="O3502" s="5"/>
      <c r="P3502" s="5"/>
      <c r="Q3502" s="21">
        <v>75</v>
      </c>
      <c r="R3502" s="21">
        <v>0</v>
      </c>
      <c r="S3502" s="5">
        <f t="shared" si="219"/>
        <v>26229.033040949103</v>
      </c>
      <c r="T3502" cm="1">
        <f t="array" ref="T3502">IF(OR(B3502="MAL ALIMI", B3502="ÜRETİM GİRİŞ"), MIN(I3502, MAX(0, I3502 + SUM(SUMIFS($I$1:I3501, $C$1:C3501, C3502, $B$1:B3501, {"MAL ALIMI","ÜRETİM GİRİŞ"})) - VLOOKUP(C3502, 'STOK RAPORU'!$C$2:$I$1000, 4, 0))), 0)</f>
        <v>0</v>
      </c>
      <c r="U3502" s="22">
        <f t="shared" si="216"/>
        <v>0</v>
      </c>
      <c r="V3502">
        <f t="shared" si="217"/>
        <v>0</v>
      </c>
      <c r="W3502" s="22">
        <f t="shared" si="218"/>
        <v>0</v>
      </c>
    </row>
    <row r="3503" spans="1:23" hidden="1" x14ac:dyDescent="0.25">
      <c r="A3503" s="3">
        <v>46048</v>
      </c>
      <c r="B3503" s="46" t="s">
        <v>334</v>
      </c>
      <c r="C3503" s="4" t="s">
        <v>679</v>
      </c>
      <c r="D3503" s="4"/>
      <c r="E3503" s="4" t="s">
        <v>921</v>
      </c>
      <c r="F3503" s="46" t="s">
        <v>1854</v>
      </c>
      <c r="G3503" s="4" t="s">
        <v>336</v>
      </c>
      <c r="H3503" s="4" t="s">
        <v>380</v>
      </c>
      <c r="I3503" s="4">
        <v>0.25</v>
      </c>
      <c r="J3503" s="21">
        <v>400</v>
      </c>
      <c r="K3503" s="21">
        <v>100</v>
      </c>
      <c r="L3503" s="5">
        <v>0</v>
      </c>
      <c r="M3503" s="4"/>
      <c r="N3503" s="4"/>
      <c r="O3503" s="5"/>
      <c r="P3503" s="5"/>
      <c r="Q3503" s="21">
        <v>0</v>
      </c>
      <c r="R3503" s="21">
        <v>0</v>
      </c>
      <c r="S3503" s="5">
        <f t="shared" si="219"/>
        <v>26229.033040949103</v>
      </c>
      <c r="T3503" cm="1">
        <f t="array" ref="T3503">IF(OR(B3503="MAL ALIMI", B3503="ÜRETİM GİRİŞ"), MIN(I3503, MAX(0, I3503 + SUM(SUMIFS($I$1:I3502, $C$1:C3502, C3503, $B$1:B3502, {"MAL ALIMI","ÜRETİM GİRİŞ"})) - VLOOKUP(C3503, 'STOK RAPORU'!$C$2:$I$1000, 4, 0))), 0)</f>
        <v>0</v>
      </c>
      <c r="U3503" s="22">
        <f t="shared" si="216"/>
        <v>0</v>
      </c>
      <c r="V3503">
        <f t="shared" si="217"/>
        <v>0</v>
      </c>
      <c r="W3503" s="22">
        <f t="shared" si="218"/>
        <v>0</v>
      </c>
    </row>
    <row r="3504" spans="1:23" hidden="1" x14ac:dyDescent="0.25">
      <c r="A3504" s="3">
        <v>46048</v>
      </c>
      <c r="B3504" s="46" t="s">
        <v>334</v>
      </c>
      <c r="C3504" s="4" t="s">
        <v>829</v>
      </c>
      <c r="D3504" s="4"/>
      <c r="E3504" s="4" t="s">
        <v>921</v>
      </c>
      <c r="F3504" s="46" t="s">
        <v>1854</v>
      </c>
      <c r="G3504" s="4" t="s">
        <v>336</v>
      </c>
      <c r="H3504" s="4" t="s">
        <v>380</v>
      </c>
      <c r="I3504" s="4">
        <v>1</v>
      </c>
      <c r="J3504" s="21">
        <v>145</v>
      </c>
      <c r="K3504" s="21">
        <v>145</v>
      </c>
      <c r="L3504" s="5">
        <v>0</v>
      </c>
      <c r="M3504" s="4"/>
      <c r="N3504" s="4"/>
      <c r="O3504" s="5"/>
      <c r="P3504" s="5"/>
      <c r="Q3504" s="21">
        <v>0</v>
      </c>
      <c r="R3504" s="21">
        <v>0</v>
      </c>
      <c r="S3504" s="5">
        <f t="shared" si="219"/>
        <v>26229.033040949103</v>
      </c>
      <c r="T3504" cm="1">
        <f t="array" ref="T3504">IF(OR(B3504="MAL ALIMI", B3504="ÜRETİM GİRİŞ"), MIN(I3504, MAX(0, I3504 + SUM(SUMIFS($I$1:I3503, $C$1:C3503, C3504, $B$1:B3503, {"MAL ALIMI","ÜRETİM GİRİŞ"})) - VLOOKUP(C3504, 'STOK RAPORU'!$C$2:$I$1000, 4, 0))), 0)</f>
        <v>0</v>
      </c>
      <c r="U3504" s="22">
        <f t="shared" si="216"/>
        <v>0</v>
      </c>
      <c r="V3504">
        <f t="shared" si="217"/>
        <v>0</v>
      </c>
      <c r="W3504" s="22">
        <f t="shared" si="218"/>
        <v>0</v>
      </c>
    </row>
    <row r="3505" spans="1:23" hidden="1" x14ac:dyDescent="0.25">
      <c r="A3505" s="3">
        <v>46048</v>
      </c>
      <c r="B3505" s="46" t="s">
        <v>334</v>
      </c>
      <c r="C3505" s="4" t="s">
        <v>248</v>
      </c>
      <c r="D3505" s="4"/>
      <c r="E3505" s="4" t="s">
        <v>921</v>
      </c>
      <c r="F3505" s="46" t="s">
        <v>1854</v>
      </c>
      <c r="G3505" s="4" t="s">
        <v>336</v>
      </c>
      <c r="H3505" s="4" t="s">
        <v>380</v>
      </c>
      <c r="I3505" s="4">
        <v>0.16800000000000001</v>
      </c>
      <c r="J3505" s="21">
        <v>1200</v>
      </c>
      <c r="K3505" s="21">
        <v>201.60000000000002</v>
      </c>
      <c r="L3505" s="5">
        <v>0</v>
      </c>
      <c r="M3505" s="4"/>
      <c r="N3505" s="4"/>
      <c r="O3505" s="5"/>
      <c r="P3505" s="5"/>
      <c r="Q3505" s="21">
        <v>0</v>
      </c>
      <c r="R3505" s="21">
        <v>0</v>
      </c>
      <c r="S3505" s="5">
        <f t="shared" si="219"/>
        <v>26229.033040949103</v>
      </c>
      <c r="T3505" cm="1">
        <f t="array" ref="T3505">IF(OR(B3505="MAL ALIMI", B3505="ÜRETİM GİRİŞ"), MIN(I3505, MAX(0, I3505 + SUM(SUMIFS($I$1:I3504, $C$1:C3504, C3505, $B$1:B3504, {"MAL ALIMI","ÜRETİM GİRİŞ"})) - VLOOKUP(C3505, 'STOK RAPORU'!$C$2:$I$1000, 4, 0))), 0)</f>
        <v>0</v>
      </c>
      <c r="U3505" s="22">
        <f t="shared" si="216"/>
        <v>0</v>
      </c>
      <c r="V3505">
        <f t="shared" si="217"/>
        <v>0</v>
      </c>
      <c r="W3505" s="22">
        <f t="shared" si="218"/>
        <v>0</v>
      </c>
    </row>
    <row r="3506" spans="1:23" hidden="1" x14ac:dyDescent="0.25">
      <c r="A3506" s="3">
        <v>46048</v>
      </c>
      <c r="B3506" s="46" t="s">
        <v>334</v>
      </c>
      <c r="C3506" s="4" t="s">
        <v>1357</v>
      </c>
      <c r="D3506" s="4"/>
      <c r="E3506" s="4" t="s">
        <v>921</v>
      </c>
      <c r="F3506" s="46" t="s">
        <v>1854</v>
      </c>
      <c r="G3506" s="4" t="s">
        <v>336</v>
      </c>
      <c r="H3506" s="4" t="s">
        <v>380</v>
      </c>
      <c r="I3506" s="4">
        <v>0.17599999999999999</v>
      </c>
      <c r="J3506" s="21">
        <v>570</v>
      </c>
      <c r="K3506" s="21">
        <v>100.32</v>
      </c>
      <c r="L3506" s="5">
        <v>0</v>
      </c>
      <c r="M3506" s="4"/>
      <c r="N3506" s="4"/>
      <c r="O3506" s="5"/>
      <c r="P3506" s="5"/>
      <c r="Q3506" s="21">
        <v>0</v>
      </c>
      <c r="R3506" s="21">
        <v>0</v>
      </c>
      <c r="S3506" s="5">
        <f t="shared" si="219"/>
        <v>26229.033040949103</v>
      </c>
      <c r="T3506" cm="1">
        <f t="array" ref="T3506">IF(OR(B3506="MAL ALIMI", B3506="ÜRETİM GİRİŞ"), MIN(I3506, MAX(0, I3506 + SUM(SUMIFS($I$1:I3505, $C$1:C3505, C3506, $B$1:B3505, {"MAL ALIMI","ÜRETİM GİRİŞ"})) - VLOOKUP(C3506, 'STOK RAPORU'!$C$2:$I$1000, 4, 0))), 0)</f>
        <v>0</v>
      </c>
      <c r="U3506" s="22">
        <f t="shared" si="216"/>
        <v>0</v>
      </c>
      <c r="V3506">
        <f t="shared" si="217"/>
        <v>0</v>
      </c>
      <c r="W3506" s="22">
        <f t="shared" si="218"/>
        <v>0</v>
      </c>
    </row>
    <row r="3507" spans="1:23" hidden="1" x14ac:dyDescent="0.25">
      <c r="A3507" s="3">
        <v>46048</v>
      </c>
      <c r="B3507" s="46" t="s">
        <v>334</v>
      </c>
      <c r="C3507" s="4" t="s">
        <v>96</v>
      </c>
      <c r="D3507" s="4"/>
      <c r="E3507" s="4"/>
      <c r="F3507" s="46" t="s">
        <v>1855</v>
      </c>
      <c r="G3507" s="4" t="s">
        <v>336</v>
      </c>
      <c r="H3507" s="4" t="s">
        <v>289</v>
      </c>
      <c r="I3507" s="4">
        <v>0.52400000000000002</v>
      </c>
      <c r="J3507" s="21">
        <v>380</v>
      </c>
      <c r="K3507" s="21">
        <v>0</v>
      </c>
      <c r="L3507" s="5">
        <v>0</v>
      </c>
      <c r="M3507" s="4"/>
      <c r="N3507" s="4"/>
      <c r="O3507" s="5"/>
      <c r="P3507" s="5"/>
      <c r="Q3507" s="21">
        <v>199.12</v>
      </c>
      <c r="R3507" s="21">
        <v>0</v>
      </c>
      <c r="S3507" s="5">
        <f t="shared" si="219"/>
        <v>26428.153040949102</v>
      </c>
      <c r="T3507" cm="1">
        <f t="array" ref="T3507">IF(OR(B3507="MAL ALIMI", B3507="ÜRETİM GİRİŞ"), MIN(I3507, MAX(0, I3507 + SUM(SUMIFS($I$1:I3506, $C$1:C3506, C3507, $B$1:B3506, {"MAL ALIMI","ÜRETİM GİRİŞ"})) - VLOOKUP(C3507, 'STOK RAPORU'!$C$2:$I$1000, 4, 0))), 0)</f>
        <v>0</v>
      </c>
      <c r="U3507" s="22">
        <f t="shared" si="216"/>
        <v>0</v>
      </c>
      <c r="V3507">
        <f t="shared" si="217"/>
        <v>0</v>
      </c>
      <c r="W3507" s="22">
        <f t="shared" si="218"/>
        <v>0</v>
      </c>
    </row>
    <row r="3508" spans="1:23" hidden="1" x14ac:dyDescent="0.25">
      <c r="A3508" s="3">
        <v>46048</v>
      </c>
      <c r="B3508" s="46" t="s">
        <v>334</v>
      </c>
      <c r="C3508" s="4" t="s">
        <v>463</v>
      </c>
      <c r="D3508" s="4"/>
      <c r="E3508" s="4"/>
      <c r="F3508" s="46" t="s">
        <v>1855</v>
      </c>
      <c r="G3508" s="4" t="s">
        <v>336</v>
      </c>
      <c r="H3508" s="4" t="s">
        <v>289</v>
      </c>
      <c r="I3508" s="4">
        <v>0.5</v>
      </c>
      <c r="J3508" s="21">
        <v>370</v>
      </c>
      <c r="K3508" s="21">
        <v>0</v>
      </c>
      <c r="L3508" s="5">
        <v>0</v>
      </c>
      <c r="M3508" s="4"/>
      <c r="N3508" s="4"/>
      <c r="O3508" s="5"/>
      <c r="P3508" s="5"/>
      <c r="Q3508" s="21">
        <v>185</v>
      </c>
      <c r="R3508" s="21">
        <v>0</v>
      </c>
      <c r="S3508" s="5">
        <f t="shared" si="219"/>
        <v>26613.153040949102</v>
      </c>
      <c r="T3508" cm="1">
        <f t="array" ref="T3508">IF(OR(B3508="MAL ALIMI", B3508="ÜRETİM GİRİŞ"), MIN(I3508, MAX(0, I3508 + SUM(SUMIFS($I$1:I3507, $C$1:C3507, C3508, $B$1:B3507, {"MAL ALIMI","ÜRETİM GİRİŞ"})) - VLOOKUP(C3508, 'STOK RAPORU'!$C$2:$I$1000, 4, 0))), 0)</f>
        <v>0</v>
      </c>
      <c r="U3508" s="22">
        <f t="shared" si="216"/>
        <v>0</v>
      </c>
      <c r="V3508">
        <f t="shared" si="217"/>
        <v>0</v>
      </c>
      <c r="W3508" s="22">
        <f t="shared" si="218"/>
        <v>0</v>
      </c>
    </row>
    <row r="3509" spans="1:23" hidden="1" x14ac:dyDescent="0.25">
      <c r="A3509" s="3">
        <v>46048</v>
      </c>
      <c r="B3509" s="46" t="s">
        <v>334</v>
      </c>
      <c r="C3509" s="4" t="s">
        <v>695</v>
      </c>
      <c r="D3509" s="4"/>
      <c r="E3509" s="4"/>
      <c r="F3509" s="46" t="s">
        <v>1855</v>
      </c>
      <c r="G3509" s="4" t="s">
        <v>336</v>
      </c>
      <c r="H3509" s="4" t="s">
        <v>289</v>
      </c>
      <c r="I3509" s="4">
        <v>0.5</v>
      </c>
      <c r="J3509" s="21">
        <v>120</v>
      </c>
      <c r="K3509" s="21">
        <v>0</v>
      </c>
      <c r="L3509" s="5">
        <v>0</v>
      </c>
      <c r="M3509" s="4"/>
      <c r="N3509" s="4"/>
      <c r="O3509" s="5"/>
      <c r="P3509" s="5"/>
      <c r="Q3509" s="21">
        <v>60</v>
      </c>
      <c r="R3509" s="21">
        <v>0</v>
      </c>
      <c r="S3509" s="5">
        <f t="shared" si="219"/>
        <v>26673.153040949102</v>
      </c>
      <c r="T3509" cm="1">
        <f t="array" ref="T3509">IF(OR(B3509="MAL ALIMI", B3509="ÜRETİM GİRİŞ"), MIN(I3509, MAX(0, I3509 + SUM(SUMIFS($I$1:I3508, $C$1:C3508, C3509, $B$1:B3508, {"MAL ALIMI","ÜRETİM GİRİŞ"})) - VLOOKUP(C3509, 'STOK RAPORU'!$C$2:$I$1000, 4, 0))), 0)</f>
        <v>0</v>
      </c>
      <c r="U3509" s="22">
        <f t="shared" si="216"/>
        <v>0</v>
      </c>
      <c r="V3509">
        <f t="shared" si="217"/>
        <v>0</v>
      </c>
      <c r="W3509" s="22">
        <f t="shared" si="218"/>
        <v>0</v>
      </c>
    </row>
    <row r="3510" spans="1:23" hidden="1" x14ac:dyDescent="0.25">
      <c r="A3510" s="3">
        <v>46048</v>
      </c>
      <c r="B3510" s="46" t="s">
        <v>334</v>
      </c>
      <c r="C3510" s="4" t="s">
        <v>586</v>
      </c>
      <c r="D3510" s="4"/>
      <c r="E3510" s="4"/>
      <c r="F3510" s="46" t="s">
        <v>1855</v>
      </c>
      <c r="G3510" s="4" t="s">
        <v>336</v>
      </c>
      <c r="H3510" s="4" t="s">
        <v>289</v>
      </c>
      <c r="I3510" s="4">
        <v>0.5</v>
      </c>
      <c r="J3510" s="21">
        <v>200</v>
      </c>
      <c r="K3510" s="21">
        <v>0</v>
      </c>
      <c r="L3510" s="5">
        <v>0</v>
      </c>
      <c r="M3510" s="4"/>
      <c r="N3510" s="4"/>
      <c r="O3510" s="5"/>
      <c r="P3510" s="5"/>
      <c r="Q3510" s="21">
        <v>100</v>
      </c>
      <c r="R3510" s="21">
        <v>0</v>
      </c>
      <c r="S3510" s="5">
        <f t="shared" si="219"/>
        <v>26773.153040949102</v>
      </c>
      <c r="T3510" cm="1">
        <f t="array" ref="T3510">IF(OR(B3510="MAL ALIMI", B3510="ÜRETİM GİRİŞ"), MIN(I3510, MAX(0, I3510 + SUM(SUMIFS($I$1:I3509, $C$1:C3509, C3510, $B$1:B3509, {"MAL ALIMI","ÜRETİM GİRİŞ"})) - VLOOKUP(C3510, 'STOK RAPORU'!$C$2:$I$1000, 4, 0))), 0)</f>
        <v>0</v>
      </c>
      <c r="U3510" s="22">
        <f t="shared" si="216"/>
        <v>0</v>
      </c>
      <c r="V3510">
        <f t="shared" si="217"/>
        <v>0</v>
      </c>
      <c r="W3510" s="22">
        <f t="shared" si="218"/>
        <v>0</v>
      </c>
    </row>
    <row r="3511" spans="1:23" hidden="1" x14ac:dyDescent="0.25">
      <c r="A3511" s="3">
        <v>46048</v>
      </c>
      <c r="B3511" s="46" t="s">
        <v>334</v>
      </c>
      <c r="C3511" s="4" t="s">
        <v>751</v>
      </c>
      <c r="D3511" s="4"/>
      <c r="E3511" s="4"/>
      <c r="F3511" s="46" t="s">
        <v>1856</v>
      </c>
      <c r="G3511" s="4" t="s">
        <v>336</v>
      </c>
      <c r="H3511" s="4" t="s">
        <v>289</v>
      </c>
      <c r="I3511" s="4">
        <v>2</v>
      </c>
      <c r="J3511" s="21">
        <v>220</v>
      </c>
      <c r="K3511" s="21">
        <v>0</v>
      </c>
      <c r="L3511" s="5">
        <v>0</v>
      </c>
      <c r="M3511" s="4"/>
      <c r="N3511" s="4"/>
      <c r="O3511" s="5"/>
      <c r="P3511" s="5"/>
      <c r="Q3511" s="21">
        <v>440</v>
      </c>
      <c r="R3511" s="21">
        <v>0</v>
      </c>
      <c r="S3511" s="5">
        <f t="shared" si="219"/>
        <v>27213.153040949102</v>
      </c>
      <c r="T3511" cm="1">
        <f t="array" ref="T3511">IF(OR(B3511="MAL ALIMI", B3511="ÜRETİM GİRİŞ"), MIN(I3511, MAX(0, I3511 + SUM(SUMIFS($I$1:I3510, $C$1:C3510, C3511, $B$1:B3510, {"MAL ALIMI","ÜRETİM GİRİŞ"})) - VLOOKUP(C3511, 'STOK RAPORU'!$C$2:$I$1000, 4, 0))), 0)</f>
        <v>0</v>
      </c>
      <c r="U3511" s="22">
        <f t="shared" si="216"/>
        <v>0</v>
      </c>
      <c r="V3511">
        <f t="shared" si="217"/>
        <v>0</v>
      </c>
      <c r="W3511" s="22">
        <f t="shared" si="218"/>
        <v>0</v>
      </c>
    </row>
    <row r="3512" spans="1:23" hidden="1" x14ac:dyDescent="0.25">
      <c r="A3512" s="3">
        <v>46048</v>
      </c>
      <c r="B3512" s="46" t="s">
        <v>334</v>
      </c>
      <c r="C3512" s="4" t="s">
        <v>60</v>
      </c>
      <c r="D3512" s="4"/>
      <c r="E3512" s="4"/>
      <c r="F3512" s="46" t="s">
        <v>1856</v>
      </c>
      <c r="G3512" s="4" t="s">
        <v>336</v>
      </c>
      <c r="H3512" s="4" t="s">
        <v>289</v>
      </c>
      <c r="I3512" s="4">
        <v>0.05</v>
      </c>
      <c r="J3512" s="21">
        <v>1200</v>
      </c>
      <c r="K3512" s="21">
        <v>0</v>
      </c>
      <c r="L3512" s="5">
        <v>0</v>
      </c>
      <c r="M3512" s="4"/>
      <c r="N3512" s="4"/>
      <c r="O3512" s="5"/>
      <c r="P3512" s="5"/>
      <c r="Q3512" s="21">
        <v>60</v>
      </c>
      <c r="R3512" s="21">
        <v>0</v>
      </c>
      <c r="S3512" s="5">
        <f t="shared" si="219"/>
        <v>27273.153040949102</v>
      </c>
      <c r="T3512" cm="1">
        <f t="array" ref="T3512">IF(OR(B3512="MAL ALIMI", B3512="ÜRETİM GİRİŞ"), MIN(I3512, MAX(0, I3512 + SUM(SUMIFS($I$1:I3511, $C$1:C3511, C3512, $B$1:B3511, {"MAL ALIMI","ÜRETİM GİRİŞ"})) - VLOOKUP(C3512, 'STOK RAPORU'!$C$2:$I$1000, 4, 0))), 0)</f>
        <v>0</v>
      </c>
      <c r="U3512" s="22">
        <f t="shared" si="216"/>
        <v>0</v>
      </c>
      <c r="V3512">
        <f t="shared" si="217"/>
        <v>0</v>
      </c>
      <c r="W3512" s="22">
        <f t="shared" si="218"/>
        <v>0</v>
      </c>
    </row>
    <row r="3513" spans="1:23" hidden="1" x14ac:dyDescent="0.25">
      <c r="A3513" s="3">
        <v>46048</v>
      </c>
      <c r="B3513" s="46" t="s">
        <v>334</v>
      </c>
      <c r="C3513" s="4" t="s">
        <v>192</v>
      </c>
      <c r="D3513" s="4"/>
      <c r="E3513" s="4"/>
      <c r="F3513" s="46" t="s">
        <v>1856</v>
      </c>
      <c r="G3513" s="4" t="s">
        <v>336</v>
      </c>
      <c r="H3513" s="4" t="s">
        <v>289</v>
      </c>
      <c r="I3513" s="4">
        <v>0.12</v>
      </c>
      <c r="J3513" s="21">
        <v>417</v>
      </c>
      <c r="K3513" s="21">
        <v>0</v>
      </c>
      <c r="L3513" s="5">
        <v>0</v>
      </c>
      <c r="M3513" s="4"/>
      <c r="N3513" s="4"/>
      <c r="O3513" s="5"/>
      <c r="P3513" s="5"/>
      <c r="Q3513" s="21">
        <v>50.04</v>
      </c>
      <c r="R3513" s="21">
        <v>0</v>
      </c>
      <c r="S3513" s="5">
        <f t="shared" si="219"/>
        <v>27323.193040949103</v>
      </c>
      <c r="T3513" cm="1">
        <f t="array" ref="T3513">IF(OR(B3513="MAL ALIMI", B3513="ÜRETİM GİRİŞ"), MIN(I3513, MAX(0, I3513 + SUM(SUMIFS($I$1:I3512, $C$1:C3512, C3513, $B$1:B3512, {"MAL ALIMI","ÜRETİM GİRİŞ"})) - VLOOKUP(C3513, 'STOK RAPORU'!$C$2:$I$1000, 4, 0))), 0)</f>
        <v>0</v>
      </c>
      <c r="U3513" s="22">
        <f t="shared" si="216"/>
        <v>0</v>
      </c>
      <c r="V3513">
        <f t="shared" si="217"/>
        <v>0</v>
      </c>
      <c r="W3513" s="22">
        <f t="shared" si="218"/>
        <v>0</v>
      </c>
    </row>
    <row r="3514" spans="1:23" hidden="1" x14ac:dyDescent="0.25">
      <c r="A3514" s="3">
        <v>46048</v>
      </c>
      <c r="B3514" s="46" t="s">
        <v>334</v>
      </c>
      <c r="C3514" s="4" t="s">
        <v>225</v>
      </c>
      <c r="D3514" s="4"/>
      <c r="E3514" s="4"/>
      <c r="F3514" s="46" t="s">
        <v>1857</v>
      </c>
      <c r="G3514" s="4" t="s">
        <v>336</v>
      </c>
      <c r="H3514" s="4" t="s">
        <v>289</v>
      </c>
      <c r="I3514" s="4">
        <v>0.16533333333333333</v>
      </c>
      <c r="J3514" s="21">
        <v>750</v>
      </c>
      <c r="K3514" s="21">
        <v>0</v>
      </c>
      <c r="L3514" s="5">
        <v>0</v>
      </c>
      <c r="M3514" s="4"/>
      <c r="N3514" s="4"/>
      <c r="O3514" s="5"/>
      <c r="P3514" s="5"/>
      <c r="Q3514" s="21">
        <v>124</v>
      </c>
      <c r="R3514" s="21">
        <v>0</v>
      </c>
      <c r="S3514" s="5">
        <f t="shared" si="219"/>
        <v>27447.193040949103</v>
      </c>
      <c r="T3514" cm="1">
        <f t="array" ref="T3514">IF(OR(B3514="MAL ALIMI", B3514="ÜRETİM GİRİŞ"), MIN(I3514, MAX(0, I3514 + SUM(SUMIFS($I$1:I3513, $C$1:C3513, C3514, $B$1:B3513, {"MAL ALIMI","ÜRETİM GİRİŞ"})) - VLOOKUP(C3514, 'STOK RAPORU'!$C$2:$I$1000, 4, 0))), 0)</f>
        <v>0</v>
      </c>
      <c r="U3514" s="22">
        <f t="shared" si="216"/>
        <v>0</v>
      </c>
      <c r="V3514">
        <f t="shared" si="217"/>
        <v>0</v>
      </c>
      <c r="W3514" s="22">
        <f t="shared" si="218"/>
        <v>0</v>
      </c>
    </row>
    <row r="3515" spans="1:23" hidden="1" x14ac:dyDescent="0.25">
      <c r="A3515" s="3">
        <v>46048</v>
      </c>
      <c r="B3515" s="46" t="s">
        <v>334</v>
      </c>
      <c r="C3515" s="4" t="s">
        <v>266</v>
      </c>
      <c r="D3515" s="4"/>
      <c r="E3515" s="4"/>
      <c r="F3515" s="46" t="s">
        <v>1858</v>
      </c>
      <c r="G3515" s="4" t="s">
        <v>336</v>
      </c>
      <c r="H3515" s="4" t="s">
        <v>289</v>
      </c>
      <c r="I3515" s="4">
        <v>0.39400000000000002</v>
      </c>
      <c r="J3515" s="21">
        <v>250</v>
      </c>
      <c r="K3515" s="21">
        <v>0</v>
      </c>
      <c r="L3515" s="5">
        <v>0</v>
      </c>
      <c r="M3515" s="4"/>
      <c r="N3515" s="4"/>
      <c r="O3515" s="5"/>
      <c r="P3515" s="5"/>
      <c r="Q3515" s="21">
        <v>98.5</v>
      </c>
      <c r="R3515" s="21">
        <v>0</v>
      </c>
      <c r="S3515" s="5">
        <f t="shared" si="219"/>
        <v>27545.693040949103</v>
      </c>
      <c r="T3515" cm="1">
        <f t="array" ref="T3515">IF(OR(B3515="MAL ALIMI", B3515="ÜRETİM GİRİŞ"), MIN(I3515, MAX(0, I3515 + SUM(SUMIFS($I$1:I3514, $C$1:C3514, C3515, $B$1:B3514, {"MAL ALIMI","ÜRETİM GİRİŞ"})) - VLOOKUP(C3515, 'STOK RAPORU'!$C$2:$I$1000, 4, 0))), 0)</f>
        <v>0</v>
      </c>
      <c r="U3515" s="22">
        <f t="shared" si="216"/>
        <v>0</v>
      </c>
      <c r="V3515">
        <f t="shared" si="217"/>
        <v>0</v>
      </c>
      <c r="W3515" s="22">
        <f t="shared" si="218"/>
        <v>0</v>
      </c>
    </row>
    <row r="3516" spans="1:23" hidden="1" x14ac:dyDescent="0.25">
      <c r="A3516" s="3">
        <v>46048</v>
      </c>
      <c r="B3516" s="46" t="s">
        <v>334</v>
      </c>
      <c r="C3516" s="4" t="s">
        <v>728</v>
      </c>
      <c r="D3516" s="4"/>
      <c r="E3516" s="4"/>
      <c r="F3516" s="46" t="s">
        <v>1858</v>
      </c>
      <c r="G3516" s="4" t="s">
        <v>336</v>
      </c>
      <c r="H3516" s="4" t="s">
        <v>289</v>
      </c>
      <c r="I3516" s="4">
        <v>0.376</v>
      </c>
      <c r="J3516" s="21">
        <v>690</v>
      </c>
      <c r="K3516" s="21">
        <v>0</v>
      </c>
      <c r="L3516" s="5">
        <v>0</v>
      </c>
      <c r="M3516" s="4"/>
      <c r="N3516" s="4"/>
      <c r="O3516" s="5"/>
      <c r="P3516" s="5"/>
      <c r="Q3516" s="21">
        <v>259.44</v>
      </c>
      <c r="R3516" s="21">
        <v>0</v>
      </c>
      <c r="S3516" s="5">
        <f t="shared" si="219"/>
        <v>27805.133040949102</v>
      </c>
      <c r="T3516" cm="1">
        <f t="array" ref="T3516">IF(OR(B3516="MAL ALIMI", B3516="ÜRETİM GİRİŞ"), MIN(I3516, MAX(0, I3516 + SUM(SUMIFS($I$1:I3515, $C$1:C3515, C3516, $B$1:B3515, {"MAL ALIMI","ÜRETİM GİRİŞ"})) - VLOOKUP(C3516, 'STOK RAPORU'!$C$2:$I$1000, 4, 0))), 0)</f>
        <v>0</v>
      </c>
      <c r="U3516" s="22">
        <f t="shared" si="216"/>
        <v>0</v>
      </c>
      <c r="V3516">
        <f t="shared" si="217"/>
        <v>0</v>
      </c>
      <c r="W3516" s="22">
        <f t="shared" si="218"/>
        <v>0</v>
      </c>
    </row>
    <row r="3517" spans="1:23" hidden="1" x14ac:dyDescent="0.25">
      <c r="A3517" s="3">
        <v>46048</v>
      </c>
      <c r="B3517" s="46" t="s">
        <v>334</v>
      </c>
      <c r="C3517" s="4" t="s">
        <v>691</v>
      </c>
      <c r="D3517" s="4"/>
      <c r="E3517" s="4"/>
      <c r="F3517" s="46" t="s">
        <v>1858</v>
      </c>
      <c r="G3517" s="4" t="s">
        <v>336</v>
      </c>
      <c r="H3517" s="4" t="s">
        <v>289</v>
      </c>
      <c r="I3517" s="4">
        <v>0.374</v>
      </c>
      <c r="J3517" s="21">
        <v>230</v>
      </c>
      <c r="K3517" s="21">
        <v>0</v>
      </c>
      <c r="L3517" s="5">
        <v>0</v>
      </c>
      <c r="M3517" s="4"/>
      <c r="N3517" s="4"/>
      <c r="O3517" s="5"/>
      <c r="P3517" s="5"/>
      <c r="Q3517" s="21">
        <v>86.02</v>
      </c>
      <c r="R3517" s="21">
        <v>0</v>
      </c>
      <c r="S3517" s="5">
        <f t="shared" si="219"/>
        <v>27891.153040949102</v>
      </c>
      <c r="T3517" cm="1">
        <f t="array" ref="T3517">IF(OR(B3517="MAL ALIMI", B3517="ÜRETİM GİRİŞ"), MIN(I3517, MAX(0, I3517 + SUM(SUMIFS($I$1:I3516, $C$1:C3516, C3517, $B$1:B3516, {"MAL ALIMI","ÜRETİM GİRİŞ"})) - VLOOKUP(C3517, 'STOK RAPORU'!$C$2:$I$1000, 4, 0))), 0)</f>
        <v>0</v>
      </c>
      <c r="U3517" s="22">
        <f t="shared" si="216"/>
        <v>0</v>
      </c>
      <c r="V3517">
        <f t="shared" si="217"/>
        <v>0</v>
      </c>
      <c r="W3517" s="22">
        <f t="shared" si="218"/>
        <v>0</v>
      </c>
    </row>
    <row r="3518" spans="1:23" hidden="1" x14ac:dyDescent="0.25">
      <c r="A3518" s="3">
        <v>46048</v>
      </c>
      <c r="B3518" s="46" t="s">
        <v>334</v>
      </c>
      <c r="C3518" s="4" t="s">
        <v>2130</v>
      </c>
      <c r="D3518" s="4"/>
      <c r="E3518" s="4"/>
      <c r="F3518" s="46" t="s">
        <v>1858</v>
      </c>
      <c r="G3518" s="4" t="s">
        <v>336</v>
      </c>
      <c r="H3518" s="4" t="s">
        <v>289</v>
      </c>
      <c r="I3518" s="4">
        <v>0.24199999999999999</v>
      </c>
      <c r="J3518" s="21">
        <v>450</v>
      </c>
      <c r="K3518" s="21">
        <v>0</v>
      </c>
      <c r="L3518" s="5">
        <v>0</v>
      </c>
      <c r="M3518" s="4"/>
      <c r="N3518" s="4"/>
      <c r="O3518" s="5"/>
      <c r="P3518" s="5"/>
      <c r="Q3518" s="21">
        <v>108.89999999999999</v>
      </c>
      <c r="R3518" s="21">
        <v>0</v>
      </c>
      <c r="S3518" s="5">
        <f t="shared" si="219"/>
        <v>28000.053040949104</v>
      </c>
      <c r="T3518" cm="1">
        <f t="array" ref="T3518">IF(OR(B3518="MAL ALIMI", B3518="ÜRETİM GİRİŞ"), MIN(I3518, MAX(0, I3518 + SUM(SUMIFS($I$1:I3517, $C$1:C3517, C3518, $B$1:B3517, {"MAL ALIMI","ÜRETİM GİRİŞ"})) - VLOOKUP(C3518, 'STOK RAPORU'!$C$2:$I$1000, 4, 0))), 0)</f>
        <v>0</v>
      </c>
      <c r="U3518" s="22">
        <f t="shared" si="216"/>
        <v>0</v>
      </c>
      <c r="V3518">
        <f t="shared" si="217"/>
        <v>0</v>
      </c>
      <c r="W3518" s="22">
        <f t="shared" si="218"/>
        <v>0</v>
      </c>
    </row>
    <row r="3519" spans="1:23" hidden="1" x14ac:dyDescent="0.25">
      <c r="A3519" s="3">
        <v>46048</v>
      </c>
      <c r="B3519" s="46" t="s">
        <v>334</v>
      </c>
      <c r="C3519" s="4" t="s">
        <v>587</v>
      </c>
      <c r="D3519" s="4"/>
      <c r="E3519" s="4" t="s">
        <v>921</v>
      </c>
      <c r="F3519" s="46" t="s">
        <v>1859</v>
      </c>
      <c r="G3519" s="4" t="s">
        <v>336</v>
      </c>
      <c r="H3519" s="4" t="s">
        <v>380</v>
      </c>
      <c r="I3519" s="4">
        <v>0.5</v>
      </c>
      <c r="J3519" s="21">
        <v>150</v>
      </c>
      <c r="K3519" s="21">
        <v>75</v>
      </c>
      <c r="L3519" s="5">
        <v>0</v>
      </c>
      <c r="M3519" s="4"/>
      <c r="N3519" s="4"/>
      <c r="O3519" s="5"/>
      <c r="P3519" s="5"/>
      <c r="Q3519" s="21">
        <v>0</v>
      </c>
      <c r="R3519" s="21">
        <v>0</v>
      </c>
      <c r="S3519" s="5">
        <f t="shared" si="219"/>
        <v>28000.053040949104</v>
      </c>
      <c r="T3519" cm="1">
        <f t="array" ref="T3519">IF(OR(B3519="MAL ALIMI", B3519="ÜRETİM GİRİŞ"), MIN(I3519, MAX(0, I3519 + SUM(SUMIFS($I$1:I3518, $C$1:C3518, C3519, $B$1:B3518, {"MAL ALIMI","ÜRETİM GİRİŞ"})) - VLOOKUP(C3519, 'STOK RAPORU'!$C$2:$I$1000, 4, 0))), 0)</f>
        <v>0</v>
      </c>
      <c r="U3519" s="22">
        <f t="shared" si="216"/>
        <v>0</v>
      </c>
      <c r="V3519">
        <f t="shared" si="217"/>
        <v>0</v>
      </c>
      <c r="W3519" s="22">
        <f t="shared" si="218"/>
        <v>0</v>
      </c>
    </row>
    <row r="3520" spans="1:23" hidden="1" x14ac:dyDescent="0.25">
      <c r="A3520" s="3">
        <v>46048</v>
      </c>
      <c r="B3520" s="46" t="s">
        <v>334</v>
      </c>
      <c r="C3520" s="4" t="s">
        <v>586</v>
      </c>
      <c r="D3520" s="4"/>
      <c r="E3520" s="4" t="s">
        <v>921</v>
      </c>
      <c r="F3520" s="46" t="s">
        <v>1859</v>
      </c>
      <c r="G3520" s="4" t="s">
        <v>336</v>
      </c>
      <c r="H3520" s="4" t="s">
        <v>380</v>
      </c>
      <c r="I3520" s="4">
        <v>0.5</v>
      </c>
      <c r="J3520" s="21">
        <v>200</v>
      </c>
      <c r="K3520" s="21">
        <v>100</v>
      </c>
      <c r="L3520" s="5">
        <v>0</v>
      </c>
      <c r="M3520" s="4"/>
      <c r="N3520" s="4"/>
      <c r="O3520" s="5"/>
      <c r="P3520" s="5"/>
      <c r="Q3520" s="21">
        <v>0</v>
      </c>
      <c r="R3520" s="21">
        <v>0</v>
      </c>
      <c r="S3520" s="5">
        <f t="shared" si="219"/>
        <v>28000.053040949104</v>
      </c>
      <c r="T3520" cm="1">
        <f t="array" ref="T3520">IF(OR(B3520="MAL ALIMI", B3520="ÜRETİM GİRİŞ"), MIN(I3520, MAX(0, I3520 + SUM(SUMIFS($I$1:I3519, $C$1:C3519, C3520, $B$1:B3519, {"MAL ALIMI","ÜRETİM GİRİŞ"})) - VLOOKUP(C3520, 'STOK RAPORU'!$C$2:$I$1000, 4, 0))), 0)</f>
        <v>0</v>
      </c>
      <c r="U3520" s="22">
        <f t="shared" si="216"/>
        <v>0</v>
      </c>
      <c r="V3520">
        <f t="shared" si="217"/>
        <v>0</v>
      </c>
      <c r="W3520" s="22">
        <f t="shared" si="218"/>
        <v>0</v>
      </c>
    </row>
    <row r="3521" spans="1:23" hidden="1" x14ac:dyDescent="0.25">
      <c r="A3521" s="3">
        <v>46048</v>
      </c>
      <c r="B3521" s="4" t="s">
        <v>285</v>
      </c>
      <c r="C3521" s="4"/>
      <c r="D3521" s="4" t="s">
        <v>1815</v>
      </c>
      <c r="E3521" s="4"/>
      <c r="F3521" s="4"/>
      <c r="G3521" s="4" t="s">
        <v>1986</v>
      </c>
      <c r="H3521" s="4" t="s">
        <v>289</v>
      </c>
      <c r="I3521" s="4">
        <v>1</v>
      </c>
      <c r="J3521" s="21">
        <v>441</v>
      </c>
      <c r="K3521" s="21">
        <v>0</v>
      </c>
      <c r="L3521" s="5">
        <v>0</v>
      </c>
      <c r="M3521" s="4"/>
      <c r="N3521" s="4"/>
      <c r="O3521" s="5"/>
      <c r="P3521" s="5"/>
      <c r="Q3521" s="21">
        <v>0</v>
      </c>
      <c r="R3521" s="21">
        <v>441</v>
      </c>
      <c r="S3521" s="5">
        <f t="shared" si="219"/>
        <v>27559.053040949104</v>
      </c>
      <c r="T3521" cm="1">
        <f t="array" ref="T3521">IF(OR(B3521="MAL ALIMI", B3521="ÜRETİM GİRİŞ"), MIN(I3521, MAX(0, I3521 + SUM(SUMIFS($I$1:I3520, $C$1:C3520, C3521, $B$1:B3520, {"MAL ALIMI","ÜRETİM GİRİŞ"})) - VLOOKUP(C3521, 'STOK RAPORU'!$C$2:$I$1000, 4, 0))), 0)</f>
        <v>0</v>
      </c>
      <c r="U3521" s="22">
        <f t="shared" ref="U3521:U3584" si="220">T3521*J3521</f>
        <v>0</v>
      </c>
      <c r="V3521">
        <f t="shared" ref="V3521:V3584" si="221">IF(OR(B3521="MAL ALIMI", B3521="ÜRETİM GİRİŞ"), I3521 * J3521, 0)</f>
        <v>0</v>
      </c>
      <c r="W3521" s="22">
        <f t="shared" ref="W3521:W3584" si="222">V3521-U3521</f>
        <v>0</v>
      </c>
    </row>
    <row r="3522" spans="1:23" hidden="1" x14ac:dyDescent="0.25">
      <c r="A3522" s="3">
        <v>46048</v>
      </c>
      <c r="B3522" s="4" t="s">
        <v>946</v>
      </c>
      <c r="C3522" s="4"/>
      <c r="D3522" s="4"/>
      <c r="E3522" s="4" t="s">
        <v>921</v>
      </c>
      <c r="F3522" s="4"/>
      <c r="G3522" s="4" t="s">
        <v>946</v>
      </c>
      <c r="H3522" s="4" t="s">
        <v>380</v>
      </c>
      <c r="I3522" s="4">
        <v>1</v>
      </c>
      <c r="J3522" s="105">
        <v>385</v>
      </c>
      <c r="K3522" s="21">
        <v>0</v>
      </c>
      <c r="L3522" s="111">
        <v>385</v>
      </c>
      <c r="M3522" s="4"/>
      <c r="N3522" s="4"/>
      <c r="O3522" s="5"/>
      <c r="P3522" s="5"/>
      <c r="Q3522" s="21">
        <v>385</v>
      </c>
      <c r="R3522" s="21">
        <v>0</v>
      </c>
      <c r="S3522" s="5">
        <f t="shared" si="219"/>
        <v>27944.053040949104</v>
      </c>
      <c r="T3522" cm="1">
        <f t="array" ref="T3522">IF(OR(B3522="MAL ALIMI", B3522="ÜRETİM GİRİŞ"), MIN(I3522, MAX(0, I3522 + SUM(SUMIFS($I$1:I3521, $C$1:C3521, C3522, $B$1:B3521, {"MAL ALIMI","ÜRETİM GİRİŞ"})) - VLOOKUP(C3522, 'STOK RAPORU'!$C$2:$I$1000, 4, 0))), 0)</f>
        <v>0</v>
      </c>
      <c r="U3522" s="22">
        <f t="shared" si="220"/>
        <v>0</v>
      </c>
      <c r="V3522">
        <f t="shared" si="221"/>
        <v>0</v>
      </c>
      <c r="W3522" s="22">
        <f t="shared" si="222"/>
        <v>0</v>
      </c>
    </row>
    <row r="3523" spans="1:23" hidden="1" x14ac:dyDescent="0.25">
      <c r="A3523" s="3">
        <v>46049</v>
      </c>
      <c r="B3523" s="46" t="s">
        <v>334</v>
      </c>
      <c r="C3523" s="46" t="s">
        <v>585</v>
      </c>
      <c r="D3523" s="4"/>
      <c r="E3523" s="4"/>
      <c r="F3523" s="46" t="s">
        <v>1860</v>
      </c>
      <c r="G3523" s="4" t="s">
        <v>336</v>
      </c>
      <c r="H3523" s="4" t="s">
        <v>289</v>
      </c>
      <c r="I3523" s="4">
        <v>1</v>
      </c>
      <c r="J3523" s="21">
        <v>200</v>
      </c>
      <c r="K3523" s="21">
        <v>0</v>
      </c>
      <c r="L3523" s="5">
        <v>0</v>
      </c>
      <c r="M3523" s="4"/>
      <c r="N3523" s="4"/>
      <c r="O3523" s="5"/>
      <c r="P3523" s="5"/>
      <c r="Q3523" s="21">
        <v>200</v>
      </c>
      <c r="R3523" s="21">
        <v>0</v>
      </c>
      <c r="S3523" s="5">
        <f t="shared" si="219"/>
        <v>28144.053040949104</v>
      </c>
      <c r="T3523" cm="1">
        <f t="array" ref="T3523">IF(OR(B3523="MAL ALIMI", B3523="ÜRETİM GİRİŞ"), MIN(I3523, MAX(0, I3523 + SUM(SUMIFS($I$1:I3522, $C$1:C3522, C3523, $B$1:B3522, {"MAL ALIMI","ÜRETİM GİRİŞ"})) - VLOOKUP(C3523, 'STOK RAPORU'!$C$2:$I$1000, 4, 0))), 0)</f>
        <v>0</v>
      </c>
      <c r="U3523" s="22">
        <f t="shared" si="220"/>
        <v>0</v>
      </c>
      <c r="V3523">
        <f t="shared" si="221"/>
        <v>0</v>
      </c>
      <c r="W3523" s="22">
        <f t="shared" si="222"/>
        <v>0</v>
      </c>
    </row>
    <row r="3524" spans="1:23" hidden="1" x14ac:dyDescent="0.25">
      <c r="A3524" s="3">
        <v>46049</v>
      </c>
      <c r="B3524" s="46" t="s">
        <v>334</v>
      </c>
      <c r="C3524" s="4" t="s">
        <v>587</v>
      </c>
      <c r="D3524" s="4"/>
      <c r="E3524" s="4"/>
      <c r="F3524" s="46" t="s">
        <v>1861</v>
      </c>
      <c r="G3524" s="4" t="s">
        <v>336</v>
      </c>
      <c r="H3524" s="4" t="s">
        <v>289</v>
      </c>
      <c r="I3524" s="4">
        <v>1</v>
      </c>
      <c r="J3524" s="21">
        <v>150</v>
      </c>
      <c r="K3524" s="21">
        <v>0</v>
      </c>
      <c r="L3524" s="5">
        <v>0</v>
      </c>
      <c r="M3524" s="4"/>
      <c r="N3524" s="4"/>
      <c r="O3524" s="5"/>
      <c r="P3524" s="5"/>
      <c r="Q3524" s="21">
        <v>150</v>
      </c>
      <c r="R3524" s="21">
        <v>0</v>
      </c>
      <c r="S3524" s="5">
        <f t="shared" ref="S3524:S3587" si="223">S3523+Q3524-R3524</f>
        <v>28294.053040949104</v>
      </c>
      <c r="T3524" cm="1">
        <f t="array" ref="T3524">IF(OR(B3524="MAL ALIMI", B3524="ÜRETİM GİRİŞ"), MIN(I3524, MAX(0, I3524 + SUM(SUMIFS($I$1:I3523, $C$1:C3523, C3524, $B$1:B3523, {"MAL ALIMI","ÜRETİM GİRİŞ"})) - VLOOKUP(C3524, 'STOK RAPORU'!$C$2:$I$1000, 4, 0))), 0)</f>
        <v>0</v>
      </c>
      <c r="U3524" s="22">
        <f t="shared" si="220"/>
        <v>0</v>
      </c>
      <c r="V3524">
        <f t="shared" si="221"/>
        <v>0</v>
      </c>
      <c r="W3524" s="22">
        <f t="shared" si="222"/>
        <v>0</v>
      </c>
    </row>
    <row r="3525" spans="1:23" hidden="1" x14ac:dyDescent="0.25">
      <c r="A3525" s="3">
        <v>46049</v>
      </c>
      <c r="B3525" s="46" t="s">
        <v>334</v>
      </c>
      <c r="C3525" s="4" t="s">
        <v>181</v>
      </c>
      <c r="D3525" s="4"/>
      <c r="E3525" s="4"/>
      <c r="F3525" s="46" t="s">
        <v>1862</v>
      </c>
      <c r="G3525" s="4" t="s">
        <v>336</v>
      </c>
      <c r="H3525" s="4" t="s">
        <v>289</v>
      </c>
      <c r="I3525" s="4">
        <v>1</v>
      </c>
      <c r="J3525" s="21">
        <v>95</v>
      </c>
      <c r="K3525" s="21">
        <v>0</v>
      </c>
      <c r="L3525" s="5">
        <v>0</v>
      </c>
      <c r="M3525" s="4"/>
      <c r="N3525" s="4"/>
      <c r="O3525" s="5"/>
      <c r="P3525" s="5"/>
      <c r="Q3525" s="21">
        <v>95</v>
      </c>
      <c r="R3525" s="21">
        <v>0</v>
      </c>
      <c r="S3525" s="5">
        <f t="shared" si="223"/>
        <v>28389.053040949104</v>
      </c>
      <c r="T3525" cm="1">
        <f t="array" ref="T3525">IF(OR(B3525="MAL ALIMI", B3525="ÜRETİM GİRİŞ"), MIN(I3525, MAX(0, I3525 + SUM(SUMIFS($I$1:I3524, $C$1:C3524, C3525, $B$1:B3524, {"MAL ALIMI","ÜRETİM GİRİŞ"})) - VLOOKUP(C3525, 'STOK RAPORU'!$C$2:$I$1000, 4, 0))), 0)</f>
        <v>0</v>
      </c>
      <c r="U3525" s="22">
        <f t="shared" si="220"/>
        <v>0</v>
      </c>
      <c r="V3525">
        <f t="shared" si="221"/>
        <v>0</v>
      </c>
      <c r="W3525" s="22">
        <f t="shared" si="222"/>
        <v>0</v>
      </c>
    </row>
    <row r="3526" spans="1:23" hidden="1" x14ac:dyDescent="0.25">
      <c r="A3526" s="3">
        <v>46049</v>
      </c>
      <c r="B3526" s="46" t="s">
        <v>334</v>
      </c>
      <c r="C3526" s="4" t="s">
        <v>695</v>
      </c>
      <c r="D3526" s="4"/>
      <c r="E3526" s="4"/>
      <c r="F3526" s="46" t="s">
        <v>1863</v>
      </c>
      <c r="G3526" s="4" t="s">
        <v>336</v>
      </c>
      <c r="H3526" s="4" t="s">
        <v>289</v>
      </c>
      <c r="I3526" s="4">
        <v>0.5</v>
      </c>
      <c r="J3526" s="21">
        <v>120</v>
      </c>
      <c r="K3526" s="21">
        <v>0</v>
      </c>
      <c r="L3526" s="5">
        <v>0</v>
      </c>
      <c r="M3526" s="4"/>
      <c r="N3526" s="4"/>
      <c r="O3526" s="5"/>
      <c r="P3526" s="5"/>
      <c r="Q3526" s="21">
        <v>60</v>
      </c>
      <c r="R3526" s="21">
        <v>0</v>
      </c>
      <c r="S3526" s="5">
        <f t="shared" si="223"/>
        <v>28449.053040949104</v>
      </c>
      <c r="T3526" cm="1">
        <f t="array" ref="T3526">IF(OR(B3526="MAL ALIMI", B3526="ÜRETİM GİRİŞ"), MIN(I3526, MAX(0, I3526 + SUM(SUMIFS($I$1:I3525, $C$1:C3525, C3526, $B$1:B3525, {"MAL ALIMI","ÜRETİM GİRİŞ"})) - VLOOKUP(C3526, 'STOK RAPORU'!$C$2:$I$1000, 4, 0))), 0)</f>
        <v>0</v>
      </c>
      <c r="U3526" s="22">
        <f t="shared" si="220"/>
        <v>0</v>
      </c>
      <c r="V3526">
        <f t="shared" si="221"/>
        <v>0</v>
      </c>
      <c r="W3526" s="22">
        <f t="shared" si="222"/>
        <v>0</v>
      </c>
    </row>
    <row r="3527" spans="1:23" hidden="1" x14ac:dyDescent="0.25">
      <c r="A3527" s="3">
        <v>46049</v>
      </c>
      <c r="B3527" s="46" t="s">
        <v>334</v>
      </c>
      <c r="C3527" s="4" t="s">
        <v>153</v>
      </c>
      <c r="D3527" s="4"/>
      <c r="E3527" s="4"/>
      <c r="F3527" s="46" t="s">
        <v>1864</v>
      </c>
      <c r="G3527" s="4" t="s">
        <v>439</v>
      </c>
      <c r="H3527" s="4" t="s">
        <v>289</v>
      </c>
      <c r="I3527" s="4">
        <v>0.52800000000000002</v>
      </c>
      <c r="J3527" s="21">
        <v>95</v>
      </c>
      <c r="K3527" s="21">
        <v>0</v>
      </c>
      <c r="L3527" s="5">
        <v>0</v>
      </c>
      <c r="M3527" s="4"/>
      <c r="N3527" s="4"/>
      <c r="O3527" s="5"/>
      <c r="P3527" s="5"/>
      <c r="Q3527" s="21">
        <v>50.160000000000004</v>
      </c>
      <c r="R3527" s="21">
        <v>0</v>
      </c>
      <c r="S3527" s="5">
        <f t="shared" si="223"/>
        <v>28499.213040949104</v>
      </c>
      <c r="T3527" cm="1">
        <f t="array" ref="T3527">IF(OR(B3527="MAL ALIMI", B3527="ÜRETİM GİRİŞ"), MIN(I3527, MAX(0, I3527 + SUM(SUMIFS($I$1:I3526, $C$1:C3526, C3527, $B$1:B3526, {"MAL ALIMI","ÜRETİM GİRİŞ"})) - VLOOKUP(C3527, 'STOK RAPORU'!$C$2:$I$1000, 4, 0))), 0)</f>
        <v>0</v>
      </c>
      <c r="U3527" s="22">
        <f t="shared" si="220"/>
        <v>0</v>
      </c>
      <c r="V3527">
        <f t="shared" si="221"/>
        <v>0</v>
      </c>
      <c r="W3527" s="22">
        <f t="shared" si="222"/>
        <v>0</v>
      </c>
    </row>
    <row r="3528" spans="1:23" hidden="1" x14ac:dyDescent="0.25">
      <c r="A3528" s="3">
        <v>46049</v>
      </c>
      <c r="B3528" s="46" t="s">
        <v>334</v>
      </c>
      <c r="C3528" s="4" t="s">
        <v>134</v>
      </c>
      <c r="D3528" s="4"/>
      <c r="E3528" s="4"/>
      <c r="F3528" s="46" t="s">
        <v>1865</v>
      </c>
      <c r="G3528" s="4" t="s">
        <v>336</v>
      </c>
      <c r="H3528" s="4" t="s">
        <v>289</v>
      </c>
      <c r="I3528" s="4">
        <v>0.2</v>
      </c>
      <c r="J3528" s="21">
        <v>600</v>
      </c>
      <c r="K3528" s="21">
        <v>0</v>
      </c>
      <c r="L3528" s="5">
        <v>0</v>
      </c>
      <c r="M3528" s="4"/>
      <c r="N3528" s="4"/>
      <c r="O3528" s="5"/>
      <c r="P3528" s="5"/>
      <c r="Q3528" s="21">
        <v>120</v>
      </c>
      <c r="R3528" s="21">
        <v>0</v>
      </c>
      <c r="S3528" s="5">
        <f t="shared" si="223"/>
        <v>28619.213040949104</v>
      </c>
      <c r="T3528" cm="1">
        <f t="array" ref="T3528">IF(OR(B3528="MAL ALIMI", B3528="ÜRETİM GİRİŞ"), MIN(I3528, MAX(0, I3528 + SUM(SUMIFS($I$1:I3527, $C$1:C3527, C3528, $B$1:B3527, {"MAL ALIMI","ÜRETİM GİRİŞ"})) - VLOOKUP(C3528, 'STOK RAPORU'!$C$2:$I$1000, 4, 0))), 0)</f>
        <v>0</v>
      </c>
      <c r="U3528" s="22">
        <f t="shared" si="220"/>
        <v>0</v>
      </c>
      <c r="V3528">
        <f t="shared" si="221"/>
        <v>0</v>
      </c>
      <c r="W3528" s="22">
        <f t="shared" si="222"/>
        <v>0</v>
      </c>
    </row>
    <row r="3529" spans="1:23" hidden="1" x14ac:dyDescent="0.25">
      <c r="A3529" s="3">
        <v>46049</v>
      </c>
      <c r="B3529" s="46" t="s">
        <v>334</v>
      </c>
      <c r="C3529" s="4" t="s">
        <v>153</v>
      </c>
      <c r="D3529" s="4"/>
      <c r="E3529" s="4"/>
      <c r="F3529" s="46" t="s">
        <v>1865</v>
      </c>
      <c r="G3529" s="4" t="s">
        <v>336</v>
      </c>
      <c r="H3529" s="4" t="s">
        <v>289</v>
      </c>
      <c r="I3529" s="4">
        <v>0.4</v>
      </c>
      <c r="J3529" s="21">
        <v>400</v>
      </c>
      <c r="K3529" s="21">
        <v>0</v>
      </c>
      <c r="L3529" s="5">
        <v>0</v>
      </c>
      <c r="M3529" s="4"/>
      <c r="N3529" s="4"/>
      <c r="O3529" s="5"/>
      <c r="P3529" s="5"/>
      <c r="Q3529" s="21">
        <v>160</v>
      </c>
      <c r="R3529" s="21">
        <v>0</v>
      </c>
      <c r="S3529" s="5">
        <f t="shared" si="223"/>
        <v>28779.213040949104</v>
      </c>
      <c r="T3529" cm="1">
        <f t="array" ref="T3529">IF(OR(B3529="MAL ALIMI", B3529="ÜRETİM GİRİŞ"), MIN(I3529, MAX(0, I3529 + SUM(SUMIFS($I$1:I3528, $C$1:C3528, C3529, $B$1:B3528, {"MAL ALIMI","ÜRETİM GİRİŞ"})) - VLOOKUP(C3529, 'STOK RAPORU'!$C$2:$I$1000, 4, 0))), 0)</f>
        <v>0</v>
      </c>
      <c r="U3529" s="22">
        <f t="shared" si="220"/>
        <v>0</v>
      </c>
      <c r="V3529">
        <f t="shared" si="221"/>
        <v>0</v>
      </c>
      <c r="W3529" s="22">
        <f t="shared" si="222"/>
        <v>0</v>
      </c>
    </row>
    <row r="3530" spans="1:23" hidden="1" x14ac:dyDescent="0.25">
      <c r="A3530" s="3">
        <v>46049</v>
      </c>
      <c r="B3530" s="46" t="s">
        <v>334</v>
      </c>
      <c r="C3530" s="4" t="s">
        <v>1176</v>
      </c>
      <c r="D3530" s="4"/>
      <c r="E3530" s="4"/>
      <c r="F3530" s="46" t="s">
        <v>1865</v>
      </c>
      <c r="G3530" s="4" t="s">
        <v>336</v>
      </c>
      <c r="H3530" s="4" t="s">
        <v>289</v>
      </c>
      <c r="I3530" s="4">
        <v>0.1</v>
      </c>
      <c r="J3530" s="21">
        <v>1500</v>
      </c>
      <c r="K3530" s="21">
        <v>0</v>
      </c>
      <c r="L3530" s="5">
        <v>0</v>
      </c>
      <c r="M3530" s="4"/>
      <c r="N3530" s="4"/>
      <c r="O3530" s="5"/>
      <c r="P3530" s="5"/>
      <c r="Q3530" s="21">
        <v>150</v>
      </c>
      <c r="R3530" s="21">
        <v>0</v>
      </c>
      <c r="S3530" s="5">
        <f t="shared" si="223"/>
        <v>28929.213040949104</v>
      </c>
      <c r="T3530" cm="1">
        <f t="array" ref="T3530">IF(OR(B3530="MAL ALIMI", B3530="ÜRETİM GİRİŞ"), MIN(I3530, MAX(0, I3530 + SUM(SUMIFS($I$1:I3529, $C$1:C3529, C3530, $B$1:B3529, {"MAL ALIMI","ÜRETİM GİRİŞ"})) - VLOOKUP(C3530, 'STOK RAPORU'!$C$2:$I$1000, 4, 0))), 0)</f>
        <v>0</v>
      </c>
      <c r="U3530" s="22">
        <f t="shared" si="220"/>
        <v>0</v>
      </c>
      <c r="V3530">
        <f t="shared" si="221"/>
        <v>0</v>
      </c>
      <c r="W3530" s="22">
        <f t="shared" si="222"/>
        <v>0</v>
      </c>
    </row>
    <row r="3531" spans="1:23" hidden="1" x14ac:dyDescent="0.25">
      <c r="A3531" s="3">
        <v>46049</v>
      </c>
      <c r="B3531" s="46" t="s">
        <v>334</v>
      </c>
      <c r="C3531" s="4" t="s">
        <v>829</v>
      </c>
      <c r="D3531" s="4"/>
      <c r="E3531" s="4"/>
      <c r="F3531" s="46" t="s">
        <v>1865</v>
      </c>
      <c r="G3531" s="4" t="s">
        <v>336</v>
      </c>
      <c r="H3531" s="4" t="s">
        <v>289</v>
      </c>
      <c r="I3531" s="4">
        <v>1</v>
      </c>
      <c r="J3531" s="21">
        <v>145</v>
      </c>
      <c r="K3531" s="21">
        <v>0</v>
      </c>
      <c r="L3531" s="5">
        <v>0</v>
      </c>
      <c r="M3531" s="4"/>
      <c r="N3531" s="4"/>
      <c r="O3531" s="5"/>
      <c r="P3531" s="5"/>
      <c r="Q3531" s="21">
        <v>145</v>
      </c>
      <c r="R3531" s="21">
        <v>0</v>
      </c>
      <c r="S3531" s="5">
        <f t="shared" si="223"/>
        <v>29074.213040949104</v>
      </c>
      <c r="T3531" cm="1">
        <f t="array" ref="T3531">IF(OR(B3531="MAL ALIMI", B3531="ÜRETİM GİRİŞ"), MIN(I3531, MAX(0, I3531 + SUM(SUMIFS($I$1:I3530, $C$1:C3530, C3531, $B$1:B3530, {"MAL ALIMI","ÜRETİM GİRİŞ"})) - VLOOKUP(C3531, 'STOK RAPORU'!$C$2:$I$1000, 4, 0))), 0)</f>
        <v>0</v>
      </c>
      <c r="U3531" s="22">
        <f t="shared" si="220"/>
        <v>0</v>
      </c>
      <c r="V3531">
        <f t="shared" si="221"/>
        <v>0</v>
      </c>
      <c r="W3531" s="22">
        <f t="shared" si="222"/>
        <v>0</v>
      </c>
    </row>
    <row r="3532" spans="1:23" hidden="1" x14ac:dyDescent="0.25">
      <c r="A3532" s="3">
        <v>46049</v>
      </c>
      <c r="B3532" s="46" t="s">
        <v>334</v>
      </c>
      <c r="C3532" s="4" t="s">
        <v>260</v>
      </c>
      <c r="D3532" s="4"/>
      <c r="E3532" s="4" t="s">
        <v>921</v>
      </c>
      <c r="F3532" s="46" t="s">
        <v>1866</v>
      </c>
      <c r="G3532" s="4" t="s">
        <v>336</v>
      </c>
      <c r="H3532" s="4" t="s">
        <v>380</v>
      </c>
      <c r="I3532" s="4">
        <v>1</v>
      </c>
      <c r="J3532" s="21">
        <v>140</v>
      </c>
      <c r="K3532" s="21">
        <v>140</v>
      </c>
      <c r="L3532" s="5">
        <v>0</v>
      </c>
      <c r="M3532" s="4"/>
      <c r="N3532" s="4"/>
      <c r="O3532" s="5"/>
      <c r="P3532" s="5"/>
      <c r="Q3532" s="21">
        <v>0</v>
      </c>
      <c r="R3532" s="21">
        <v>0</v>
      </c>
      <c r="S3532" s="5">
        <f t="shared" si="223"/>
        <v>29074.213040949104</v>
      </c>
      <c r="T3532" cm="1">
        <f t="array" ref="T3532">IF(OR(B3532="MAL ALIMI", B3532="ÜRETİM GİRİŞ"), MIN(I3532, MAX(0, I3532 + SUM(SUMIFS($I$1:I3531, $C$1:C3531, C3532, $B$1:B3531, {"MAL ALIMI","ÜRETİM GİRİŞ"})) - VLOOKUP(C3532, 'STOK RAPORU'!$C$2:$I$1000, 4, 0))), 0)</f>
        <v>0</v>
      </c>
      <c r="U3532" s="22">
        <f t="shared" si="220"/>
        <v>0</v>
      </c>
      <c r="V3532">
        <f t="shared" si="221"/>
        <v>0</v>
      </c>
      <c r="W3532" s="22">
        <f t="shared" si="222"/>
        <v>0</v>
      </c>
    </row>
    <row r="3533" spans="1:23" hidden="1" x14ac:dyDescent="0.25">
      <c r="A3533" s="3">
        <v>46049</v>
      </c>
      <c r="B3533" s="46" t="s">
        <v>334</v>
      </c>
      <c r="C3533" s="4" t="s">
        <v>226</v>
      </c>
      <c r="D3533" s="4"/>
      <c r="E3533" s="4" t="s">
        <v>921</v>
      </c>
      <c r="F3533" s="46" t="s">
        <v>1866</v>
      </c>
      <c r="G3533" s="4" t="s">
        <v>336</v>
      </c>
      <c r="H3533" s="4" t="s">
        <v>380</v>
      </c>
      <c r="I3533" s="4">
        <v>0.35799999999999998</v>
      </c>
      <c r="J3533" s="21">
        <v>220</v>
      </c>
      <c r="K3533" s="21">
        <v>78.759999999999991</v>
      </c>
      <c r="L3533" s="5">
        <v>0</v>
      </c>
      <c r="M3533" s="4"/>
      <c r="N3533" s="4"/>
      <c r="O3533" s="5"/>
      <c r="P3533" s="5"/>
      <c r="Q3533" s="21">
        <v>0</v>
      </c>
      <c r="R3533" s="21">
        <v>0</v>
      </c>
      <c r="S3533" s="5">
        <f t="shared" si="223"/>
        <v>29074.213040949104</v>
      </c>
      <c r="T3533" cm="1">
        <f t="array" ref="T3533">IF(OR(B3533="MAL ALIMI", B3533="ÜRETİM GİRİŞ"), MIN(I3533, MAX(0, I3533 + SUM(SUMIFS($I$1:I3532, $C$1:C3532, C3533, $B$1:B3532, {"MAL ALIMI","ÜRETİM GİRİŞ"})) - VLOOKUP(C3533, 'STOK RAPORU'!$C$2:$I$1000, 4, 0))), 0)</f>
        <v>0</v>
      </c>
      <c r="U3533" s="22">
        <f t="shared" si="220"/>
        <v>0</v>
      </c>
      <c r="V3533">
        <f t="shared" si="221"/>
        <v>0</v>
      </c>
      <c r="W3533" s="22">
        <f t="shared" si="222"/>
        <v>0</v>
      </c>
    </row>
    <row r="3534" spans="1:23" hidden="1" x14ac:dyDescent="0.25">
      <c r="A3534" s="3">
        <v>46049</v>
      </c>
      <c r="B3534" s="46" t="s">
        <v>334</v>
      </c>
      <c r="C3534" s="4" t="s">
        <v>1502</v>
      </c>
      <c r="D3534" s="4"/>
      <c r="E3534" s="4" t="s">
        <v>921</v>
      </c>
      <c r="F3534" s="46" t="s">
        <v>1866</v>
      </c>
      <c r="G3534" s="4" t="s">
        <v>336</v>
      </c>
      <c r="H3534" s="4" t="s">
        <v>380</v>
      </c>
      <c r="I3534" s="4">
        <v>0.05</v>
      </c>
      <c r="J3534" s="21">
        <v>900</v>
      </c>
      <c r="K3534" s="21">
        <v>45</v>
      </c>
      <c r="L3534" s="5">
        <v>0</v>
      </c>
      <c r="M3534" s="4"/>
      <c r="N3534" s="4"/>
      <c r="O3534" s="5"/>
      <c r="P3534" s="5"/>
      <c r="Q3534" s="21">
        <v>0</v>
      </c>
      <c r="R3534" s="21">
        <v>0</v>
      </c>
      <c r="S3534" s="5">
        <f t="shared" si="223"/>
        <v>29074.213040949104</v>
      </c>
      <c r="T3534" cm="1">
        <f t="array" ref="T3534">IF(OR(B3534="MAL ALIMI", B3534="ÜRETİM GİRİŞ"), MIN(I3534, MAX(0, I3534 + SUM(SUMIFS($I$1:I3533, $C$1:C3533, C3534, $B$1:B3533, {"MAL ALIMI","ÜRETİM GİRİŞ"})) - VLOOKUP(C3534, 'STOK RAPORU'!$C$2:$I$1000, 4, 0))), 0)</f>
        <v>0</v>
      </c>
      <c r="U3534" s="22">
        <f t="shared" si="220"/>
        <v>0</v>
      </c>
      <c r="V3534">
        <f t="shared" si="221"/>
        <v>0</v>
      </c>
      <c r="W3534" s="22">
        <f t="shared" si="222"/>
        <v>0</v>
      </c>
    </row>
    <row r="3535" spans="1:23" hidden="1" x14ac:dyDescent="0.25">
      <c r="A3535" s="3">
        <v>46049</v>
      </c>
      <c r="B3535" s="46" t="s">
        <v>334</v>
      </c>
      <c r="C3535" s="4" t="s">
        <v>1357</v>
      </c>
      <c r="D3535" s="4"/>
      <c r="E3535" s="4" t="s">
        <v>921</v>
      </c>
      <c r="F3535" s="46" t="s">
        <v>1866</v>
      </c>
      <c r="G3535" s="4" t="s">
        <v>336</v>
      </c>
      <c r="H3535" s="4" t="s">
        <v>380</v>
      </c>
      <c r="I3535" s="4">
        <v>1</v>
      </c>
      <c r="J3535" s="21">
        <v>570</v>
      </c>
      <c r="K3535" s="21">
        <v>570</v>
      </c>
      <c r="L3535" s="5">
        <v>0</v>
      </c>
      <c r="M3535" s="4"/>
      <c r="N3535" s="4"/>
      <c r="O3535" s="5"/>
      <c r="P3535" s="5"/>
      <c r="Q3535" s="21">
        <v>0</v>
      </c>
      <c r="R3535" s="21">
        <v>0</v>
      </c>
      <c r="S3535" s="5">
        <f t="shared" si="223"/>
        <v>29074.213040949104</v>
      </c>
      <c r="T3535" cm="1">
        <f t="array" ref="T3535">IF(OR(B3535="MAL ALIMI", B3535="ÜRETİM GİRİŞ"), MIN(I3535, MAX(0, I3535 + SUM(SUMIFS($I$1:I3534, $C$1:C3534, C3535, $B$1:B3534, {"MAL ALIMI","ÜRETİM GİRİŞ"})) - VLOOKUP(C3535, 'STOK RAPORU'!$C$2:$I$1000, 4, 0))), 0)</f>
        <v>0</v>
      </c>
      <c r="U3535" s="22">
        <f t="shared" si="220"/>
        <v>0</v>
      </c>
      <c r="V3535">
        <f t="shared" si="221"/>
        <v>0</v>
      </c>
      <c r="W3535" s="22">
        <f t="shared" si="222"/>
        <v>0</v>
      </c>
    </row>
    <row r="3536" spans="1:23" hidden="1" x14ac:dyDescent="0.25">
      <c r="A3536" s="3">
        <v>46049</v>
      </c>
      <c r="B3536" s="46" t="s">
        <v>334</v>
      </c>
      <c r="C3536" s="4" t="s">
        <v>193</v>
      </c>
      <c r="D3536" s="4"/>
      <c r="E3536" s="4" t="s">
        <v>921</v>
      </c>
      <c r="F3536" s="46" t="s">
        <v>1866</v>
      </c>
      <c r="G3536" s="4" t="s">
        <v>336</v>
      </c>
      <c r="H3536" s="4" t="s">
        <v>380</v>
      </c>
      <c r="I3536" s="4">
        <v>0.1</v>
      </c>
      <c r="J3536" s="21">
        <v>1000</v>
      </c>
      <c r="K3536" s="21">
        <v>100</v>
      </c>
      <c r="L3536" s="5">
        <v>0</v>
      </c>
      <c r="M3536" s="4"/>
      <c r="N3536" s="4"/>
      <c r="O3536" s="5"/>
      <c r="P3536" s="5"/>
      <c r="Q3536" s="21">
        <v>0</v>
      </c>
      <c r="R3536" s="21">
        <v>0</v>
      </c>
      <c r="S3536" s="5">
        <f t="shared" si="223"/>
        <v>29074.213040949104</v>
      </c>
      <c r="T3536" cm="1">
        <f t="array" ref="T3536">IF(OR(B3536="MAL ALIMI", B3536="ÜRETİM GİRİŞ"), MIN(I3536, MAX(0, I3536 + SUM(SUMIFS($I$1:I3535, $C$1:C3535, C3536, $B$1:B3535, {"MAL ALIMI","ÜRETİM GİRİŞ"})) - VLOOKUP(C3536, 'STOK RAPORU'!$C$2:$I$1000, 4, 0))), 0)</f>
        <v>0</v>
      </c>
      <c r="U3536" s="22">
        <f t="shared" si="220"/>
        <v>0</v>
      </c>
      <c r="V3536">
        <f t="shared" si="221"/>
        <v>0</v>
      </c>
      <c r="W3536" s="22">
        <f t="shared" si="222"/>
        <v>0</v>
      </c>
    </row>
    <row r="3537" spans="1:23" hidden="1" x14ac:dyDescent="0.25">
      <c r="A3537" s="3">
        <v>46049</v>
      </c>
      <c r="B3537" s="46" t="s">
        <v>334</v>
      </c>
      <c r="C3537" s="4" t="s">
        <v>60</v>
      </c>
      <c r="D3537" s="4"/>
      <c r="E3537" s="4" t="s">
        <v>921</v>
      </c>
      <c r="F3537" s="46" t="s">
        <v>1866</v>
      </c>
      <c r="G3537" s="4" t="s">
        <v>336</v>
      </c>
      <c r="H3537" s="4" t="s">
        <v>380</v>
      </c>
      <c r="I3537" s="4">
        <v>0.05</v>
      </c>
      <c r="J3537" s="21">
        <v>1200</v>
      </c>
      <c r="K3537" s="21">
        <v>60</v>
      </c>
      <c r="L3537" s="5">
        <v>0</v>
      </c>
      <c r="M3537" s="4"/>
      <c r="N3537" s="4"/>
      <c r="O3537" s="5"/>
      <c r="P3537" s="5"/>
      <c r="Q3537" s="21">
        <v>0</v>
      </c>
      <c r="R3537" s="21">
        <v>0</v>
      </c>
      <c r="S3537" s="5">
        <f t="shared" si="223"/>
        <v>29074.213040949104</v>
      </c>
      <c r="T3537" cm="1">
        <f t="array" ref="T3537">IF(OR(B3537="MAL ALIMI", B3537="ÜRETİM GİRİŞ"), MIN(I3537, MAX(0, I3537 + SUM(SUMIFS($I$1:I3536, $C$1:C3536, C3537, $B$1:B3536, {"MAL ALIMI","ÜRETİM GİRİŞ"})) - VLOOKUP(C3537, 'STOK RAPORU'!$C$2:$I$1000, 4, 0))), 0)</f>
        <v>0</v>
      </c>
      <c r="U3537" s="22">
        <f t="shared" si="220"/>
        <v>0</v>
      </c>
      <c r="V3537">
        <f t="shared" si="221"/>
        <v>0</v>
      </c>
      <c r="W3537" s="22">
        <f t="shared" si="222"/>
        <v>0</v>
      </c>
    </row>
    <row r="3538" spans="1:23" hidden="1" x14ac:dyDescent="0.25">
      <c r="A3538" s="3">
        <v>46049</v>
      </c>
      <c r="B3538" s="46" t="s">
        <v>334</v>
      </c>
      <c r="C3538" s="4" t="s">
        <v>1359</v>
      </c>
      <c r="D3538" s="4"/>
      <c r="E3538" s="4" t="s">
        <v>921</v>
      </c>
      <c r="F3538" s="46" t="s">
        <v>1866</v>
      </c>
      <c r="G3538" s="4" t="s">
        <v>336</v>
      </c>
      <c r="H3538" s="4" t="s">
        <v>380</v>
      </c>
      <c r="I3538" s="4">
        <v>0.374</v>
      </c>
      <c r="J3538" s="21">
        <v>450</v>
      </c>
      <c r="K3538" s="21">
        <v>168.3</v>
      </c>
      <c r="L3538" s="5">
        <v>0</v>
      </c>
      <c r="M3538" s="4"/>
      <c r="N3538" s="4"/>
      <c r="O3538" s="5"/>
      <c r="P3538" s="5"/>
      <c r="Q3538" s="21">
        <v>0</v>
      </c>
      <c r="R3538" s="21">
        <v>0</v>
      </c>
      <c r="S3538" s="5">
        <f t="shared" si="223"/>
        <v>29074.213040949104</v>
      </c>
      <c r="T3538" cm="1">
        <f t="array" ref="T3538">IF(OR(B3538="MAL ALIMI", B3538="ÜRETİM GİRİŞ"), MIN(I3538, MAX(0, I3538 + SUM(SUMIFS($I$1:I3537, $C$1:C3537, C3538, $B$1:B3537, {"MAL ALIMI","ÜRETİM GİRİŞ"})) - VLOOKUP(C3538, 'STOK RAPORU'!$C$2:$I$1000, 4, 0))), 0)</f>
        <v>0</v>
      </c>
      <c r="U3538" s="22">
        <f t="shared" si="220"/>
        <v>0</v>
      </c>
      <c r="V3538">
        <f t="shared" si="221"/>
        <v>0</v>
      </c>
      <c r="W3538" s="22">
        <f t="shared" si="222"/>
        <v>0</v>
      </c>
    </row>
    <row r="3539" spans="1:23" hidden="1" x14ac:dyDescent="0.25">
      <c r="A3539" s="3">
        <v>46049</v>
      </c>
      <c r="B3539" s="46" t="s">
        <v>334</v>
      </c>
      <c r="C3539" s="4" t="s">
        <v>91</v>
      </c>
      <c r="D3539" s="4"/>
      <c r="E3539" s="4" t="s">
        <v>921</v>
      </c>
      <c r="F3539" s="46" t="s">
        <v>1866</v>
      </c>
      <c r="G3539" s="4" t="s">
        <v>336</v>
      </c>
      <c r="H3539" s="4" t="s">
        <v>380</v>
      </c>
      <c r="I3539" s="4">
        <v>7.5999999999999998E-2</v>
      </c>
      <c r="J3539" s="21">
        <v>760</v>
      </c>
      <c r="K3539" s="21">
        <v>57.76</v>
      </c>
      <c r="L3539" s="5">
        <v>0</v>
      </c>
      <c r="M3539" s="4"/>
      <c r="N3539" s="4"/>
      <c r="O3539" s="5"/>
      <c r="P3539" s="5"/>
      <c r="Q3539" s="21">
        <v>0</v>
      </c>
      <c r="R3539" s="21">
        <v>0</v>
      </c>
      <c r="S3539" s="5">
        <f t="shared" si="223"/>
        <v>29074.213040949104</v>
      </c>
      <c r="T3539" cm="1">
        <f t="array" ref="T3539">IF(OR(B3539="MAL ALIMI", B3539="ÜRETİM GİRİŞ"), MIN(I3539, MAX(0, I3539 + SUM(SUMIFS($I$1:I3538, $C$1:C3538, C3539, $B$1:B3538, {"MAL ALIMI","ÜRETİM GİRİŞ"})) - VLOOKUP(C3539, 'STOK RAPORU'!$C$2:$I$1000, 4, 0))), 0)</f>
        <v>0</v>
      </c>
      <c r="U3539" s="22">
        <f t="shared" si="220"/>
        <v>0</v>
      </c>
      <c r="V3539">
        <f t="shared" si="221"/>
        <v>0</v>
      </c>
      <c r="W3539" s="22">
        <f t="shared" si="222"/>
        <v>0</v>
      </c>
    </row>
    <row r="3540" spans="1:23" hidden="1" x14ac:dyDescent="0.25">
      <c r="A3540" s="3">
        <v>46049</v>
      </c>
      <c r="B3540" s="46" t="s">
        <v>334</v>
      </c>
      <c r="C3540" s="4" t="s">
        <v>196</v>
      </c>
      <c r="D3540" s="4"/>
      <c r="E3540" s="4" t="s">
        <v>921</v>
      </c>
      <c r="F3540" s="46" t="s">
        <v>1866</v>
      </c>
      <c r="G3540" s="4" t="s">
        <v>336</v>
      </c>
      <c r="H3540" s="4" t="s">
        <v>380</v>
      </c>
      <c r="I3540" s="4">
        <v>0.26400000000000001</v>
      </c>
      <c r="J3540" s="21">
        <v>230</v>
      </c>
      <c r="K3540" s="21">
        <v>60.720000000000006</v>
      </c>
      <c r="L3540" s="5">
        <v>0</v>
      </c>
      <c r="M3540" s="4"/>
      <c r="N3540" s="4"/>
      <c r="O3540" s="5"/>
      <c r="P3540" s="5"/>
      <c r="Q3540" s="21">
        <v>0</v>
      </c>
      <c r="R3540" s="21">
        <v>0</v>
      </c>
      <c r="S3540" s="5">
        <f t="shared" si="223"/>
        <v>29074.213040949104</v>
      </c>
      <c r="T3540" cm="1">
        <f t="array" ref="T3540">IF(OR(B3540="MAL ALIMI", B3540="ÜRETİM GİRİŞ"), MIN(I3540, MAX(0, I3540 + SUM(SUMIFS($I$1:I3539, $C$1:C3539, C3540, $B$1:B3539, {"MAL ALIMI","ÜRETİM GİRİŞ"})) - VLOOKUP(C3540, 'STOK RAPORU'!$C$2:$I$1000, 4, 0))), 0)</f>
        <v>0</v>
      </c>
      <c r="U3540" s="22">
        <f t="shared" si="220"/>
        <v>0</v>
      </c>
      <c r="V3540">
        <f t="shared" si="221"/>
        <v>0</v>
      </c>
      <c r="W3540" s="22">
        <f t="shared" si="222"/>
        <v>0</v>
      </c>
    </row>
    <row r="3541" spans="1:23" hidden="1" x14ac:dyDescent="0.25">
      <c r="A3541" s="3">
        <v>46049</v>
      </c>
      <c r="B3541" s="46" t="s">
        <v>334</v>
      </c>
      <c r="C3541" s="4" t="s">
        <v>1372</v>
      </c>
      <c r="D3541" s="4"/>
      <c r="E3541" s="4" t="s">
        <v>921</v>
      </c>
      <c r="F3541" s="46" t="s">
        <v>1866</v>
      </c>
      <c r="G3541" s="4" t="s">
        <v>336</v>
      </c>
      <c r="H3541" s="4" t="s">
        <v>380</v>
      </c>
      <c r="I3541" s="4">
        <v>1</v>
      </c>
      <c r="J3541" s="21">
        <v>220</v>
      </c>
      <c r="K3541" s="21">
        <v>220</v>
      </c>
      <c r="L3541" s="5">
        <v>0</v>
      </c>
      <c r="M3541" s="4"/>
      <c r="N3541" s="4"/>
      <c r="O3541" s="5"/>
      <c r="P3541" s="5"/>
      <c r="Q3541" s="21">
        <v>0</v>
      </c>
      <c r="R3541" s="21">
        <v>0</v>
      </c>
      <c r="S3541" s="5">
        <f t="shared" si="223"/>
        <v>29074.213040949104</v>
      </c>
      <c r="T3541" cm="1">
        <f t="array" ref="T3541">IF(OR(B3541="MAL ALIMI", B3541="ÜRETİM GİRİŞ"), MIN(I3541, MAX(0, I3541 + SUM(SUMIFS($I$1:I3540, $C$1:C3540, C3541, $B$1:B3540, {"MAL ALIMI","ÜRETİM GİRİŞ"})) - VLOOKUP(C3541, 'STOK RAPORU'!$C$2:$I$1000, 4, 0))), 0)</f>
        <v>0</v>
      </c>
      <c r="U3541" s="22">
        <f t="shared" si="220"/>
        <v>0</v>
      </c>
      <c r="V3541">
        <f t="shared" si="221"/>
        <v>0</v>
      </c>
      <c r="W3541" s="22">
        <f t="shared" si="222"/>
        <v>0</v>
      </c>
    </row>
    <row r="3542" spans="1:23" hidden="1" x14ac:dyDescent="0.25">
      <c r="A3542" s="45">
        <v>46049</v>
      </c>
      <c r="B3542" s="46" t="s">
        <v>334</v>
      </c>
      <c r="C3542" s="46" t="s">
        <v>1501</v>
      </c>
      <c r="D3542" s="46"/>
      <c r="E3542" s="46"/>
      <c r="F3542" s="46" t="s">
        <v>1867</v>
      </c>
      <c r="G3542" s="46" t="s">
        <v>1772</v>
      </c>
      <c r="H3542" s="46" t="s">
        <v>289</v>
      </c>
      <c r="I3542" s="46">
        <v>2</v>
      </c>
      <c r="J3542" s="47">
        <v>600</v>
      </c>
      <c r="K3542" s="47">
        <v>0</v>
      </c>
      <c r="L3542" s="48">
        <v>0</v>
      </c>
      <c r="M3542" s="46"/>
      <c r="N3542" s="46"/>
      <c r="O3542" s="48"/>
      <c r="P3542" s="48"/>
      <c r="Q3542" s="47">
        <v>1200</v>
      </c>
      <c r="R3542" s="47">
        <v>0</v>
      </c>
      <c r="S3542" s="5">
        <f t="shared" si="223"/>
        <v>30274.213040949104</v>
      </c>
      <c r="T3542" cm="1">
        <f t="array" ref="T3542">IF(OR(B3542="MAL ALIMI", B3542="ÜRETİM GİRİŞ"), MIN(I3542, MAX(0, I3542 + SUM(SUMIFS($I$1:I3541, $C$1:C3541, C3542, $B$1:B3541, {"MAL ALIMI","ÜRETİM GİRİŞ"})) - VLOOKUP(C3542, 'STOK RAPORU'!$C$2:$I$1000, 4, 0))), 0)</f>
        <v>0</v>
      </c>
      <c r="U3542" s="22">
        <f t="shared" si="220"/>
        <v>0</v>
      </c>
      <c r="V3542">
        <f t="shared" si="221"/>
        <v>0</v>
      </c>
      <c r="W3542" s="22">
        <f t="shared" si="222"/>
        <v>0</v>
      </c>
    </row>
    <row r="3543" spans="1:23" hidden="1" x14ac:dyDescent="0.25">
      <c r="A3543" s="45">
        <v>46049</v>
      </c>
      <c r="B3543" s="46" t="s">
        <v>334</v>
      </c>
      <c r="C3543" s="46" t="s">
        <v>1357</v>
      </c>
      <c r="D3543" s="46"/>
      <c r="E3543" s="46"/>
      <c r="F3543" s="46" t="s">
        <v>1867</v>
      </c>
      <c r="G3543" s="46" t="s">
        <v>1772</v>
      </c>
      <c r="H3543" s="46" t="s">
        <v>289</v>
      </c>
      <c r="I3543" s="46">
        <v>1</v>
      </c>
      <c r="J3543" s="47">
        <v>570</v>
      </c>
      <c r="K3543" s="47">
        <v>0</v>
      </c>
      <c r="L3543" s="48">
        <v>0</v>
      </c>
      <c r="M3543" s="46"/>
      <c r="N3543" s="46"/>
      <c r="O3543" s="48"/>
      <c r="P3543" s="48"/>
      <c r="Q3543" s="47">
        <v>570</v>
      </c>
      <c r="R3543" s="47">
        <v>0</v>
      </c>
      <c r="S3543" s="5">
        <f t="shared" si="223"/>
        <v>30844.213040949104</v>
      </c>
      <c r="T3543" cm="1">
        <f t="array" ref="T3543">IF(OR(B3543="MAL ALIMI", B3543="ÜRETİM GİRİŞ"), MIN(I3543, MAX(0, I3543 + SUM(SUMIFS($I$1:I3542, $C$1:C3542, C3543, $B$1:B3542, {"MAL ALIMI","ÜRETİM GİRİŞ"})) - VLOOKUP(C3543, 'STOK RAPORU'!$C$2:$I$1000, 4, 0))), 0)</f>
        <v>0</v>
      </c>
      <c r="U3543" s="22">
        <f t="shared" si="220"/>
        <v>0</v>
      </c>
      <c r="V3543">
        <f t="shared" si="221"/>
        <v>0</v>
      </c>
      <c r="W3543" s="22">
        <f t="shared" si="222"/>
        <v>0</v>
      </c>
    </row>
    <row r="3544" spans="1:23" hidden="1" x14ac:dyDescent="0.25">
      <c r="A3544" s="45">
        <v>46049</v>
      </c>
      <c r="B3544" s="46" t="s">
        <v>334</v>
      </c>
      <c r="C3544" s="46" t="s">
        <v>822</v>
      </c>
      <c r="D3544" s="46"/>
      <c r="E3544" s="46"/>
      <c r="F3544" s="46" t="s">
        <v>1867</v>
      </c>
      <c r="G3544" s="46" t="s">
        <v>1772</v>
      </c>
      <c r="H3544" s="46" t="s">
        <v>289</v>
      </c>
      <c r="I3544" s="46">
        <v>1</v>
      </c>
      <c r="J3544" s="47">
        <v>170</v>
      </c>
      <c r="K3544" s="47">
        <v>0</v>
      </c>
      <c r="L3544" s="48">
        <v>0</v>
      </c>
      <c r="M3544" s="46"/>
      <c r="N3544" s="46"/>
      <c r="O3544" s="48"/>
      <c r="P3544" s="48"/>
      <c r="Q3544" s="47">
        <v>170</v>
      </c>
      <c r="R3544" s="47">
        <v>0</v>
      </c>
      <c r="S3544" s="5">
        <f t="shared" si="223"/>
        <v>31014.213040949104</v>
      </c>
      <c r="T3544" cm="1">
        <f t="array" ref="T3544">IF(OR(B3544="MAL ALIMI", B3544="ÜRETİM GİRİŞ"), MIN(I3544, MAX(0, I3544 + SUM(SUMIFS($I$1:I3543, $C$1:C3543, C3544, $B$1:B3543, {"MAL ALIMI","ÜRETİM GİRİŞ"})) - VLOOKUP(C3544, 'STOK RAPORU'!$C$2:$I$1000, 4, 0))), 0)</f>
        <v>0</v>
      </c>
      <c r="U3544" s="22">
        <f t="shared" si="220"/>
        <v>0</v>
      </c>
      <c r="V3544">
        <f t="shared" si="221"/>
        <v>0</v>
      </c>
      <c r="W3544" s="22">
        <f t="shared" si="222"/>
        <v>0</v>
      </c>
    </row>
    <row r="3545" spans="1:23" hidden="1" x14ac:dyDescent="0.25">
      <c r="A3545" s="45">
        <v>46049</v>
      </c>
      <c r="B3545" s="46" t="s">
        <v>334</v>
      </c>
      <c r="C3545" s="46" t="s">
        <v>1143</v>
      </c>
      <c r="D3545" s="46"/>
      <c r="E3545" s="46"/>
      <c r="F3545" s="46" t="s">
        <v>1867</v>
      </c>
      <c r="G3545" s="46" t="s">
        <v>1772</v>
      </c>
      <c r="H3545" s="46" t="s">
        <v>289</v>
      </c>
      <c r="I3545" s="46">
        <v>2</v>
      </c>
      <c r="J3545" s="47">
        <v>135</v>
      </c>
      <c r="K3545" s="47">
        <v>0</v>
      </c>
      <c r="L3545" s="48">
        <v>0</v>
      </c>
      <c r="M3545" s="46"/>
      <c r="N3545" s="46"/>
      <c r="O3545" s="48"/>
      <c r="P3545" s="48"/>
      <c r="Q3545" s="47">
        <v>270</v>
      </c>
      <c r="R3545" s="47">
        <v>0</v>
      </c>
      <c r="S3545" s="5">
        <f t="shared" si="223"/>
        <v>31284.213040949104</v>
      </c>
      <c r="T3545" cm="1">
        <f t="array" ref="T3545">IF(OR(B3545="MAL ALIMI", B3545="ÜRETİM GİRİŞ"), MIN(I3545, MAX(0, I3545 + SUM(SUMIFS($I$1:I3544, $C$1:C3544, C3545, $B$1:B3544, {"MAL ALIMI","ÜRETİM GİRİŞ"})) - VLOOKUP(C3545, 'STOK RAPORU'!$C$2:$I$1000, 4, 0))), 0)</f>
        <v>0</v>
      </c>
      <c r="U3545" s="22">
        <f t="shared" si="220"/>
        <v>0</v>
      </c>
      <c r="V3545">
        <f t="shared" si="221"/>
        <v>0</v>
      </c>
      <c r="W3545" s="22">
        <f t="shared" si="222"/>
        <v>0</v>
      </c>
    </row>
    <row r="3546" spans="1:23" hidden="1" x14ac:dyDescent="0.25">
      <c r="A3546" s="45">
        <v>46049</v>
      </c>
      <c r="B3546" s="46" t="s">
        <v>334</v>
      </c>
      <c r="C3546" s="46" t="s">
        <v>178</v>
      </c>
      <c r="D3546" s="46"/>
      <c r="E3546" s="46"/>
      <c r="F3546" s="46" t="s">
        <v>1867</v>
      </c>
      <c r="G3546" s="46" t="s">
        <v>1772</v>
      </c>
      <c r="H3546" s="46" t="s">
        <v>289</v>
      </c>
      <c r="I3546" s="46">
        <v>1</v>
      </c>
      <c r="J3546" s="47">
        <v>95</v>
      </c>
      <c r="K3546" s="47">
        <v>0</v>
      </c>
      <c r="L3546" s="48">
        <v>0</v>
      </c>
      <c r="M3546" s="46"/>
      <c r="N3546" s="46"/>
      <c r="O3546" s="48"/>
      <c r="P3546" s="48"/>
      <c r="Q3546" s="47">
        <v>95</v>
      </c>
      <c r="R3546" s="47">
        <v>0</v>
      </c>
      <c r="S3546" s="5">
        <f t="shared" si="223"/>
        <v>31379.213040949104</v>
      </c>
      <c r="T3546" cm="1">
        <f t="array" ref="T3546">IF(OR(B3546="MAL ALIMI", B3546="ÜRETİM GİRİŞ"), MIN(I3546, MAX(0, I3546 + SUM(SUMIFS($I$1:I3545, $C$1:C3545, C3546, $B$1:B3545, {"MAL ALIMI","ÜRETİM GİRİŞ"})) - VLOOKUP(C3546, 'STOK RAPORU'!$C$2:$I$1000, 4, 0))), 0)</f>
        <v>0</v>
      </c>
      <c r="U3546" s="22">
        <f t="shared" si="220"/>
        <v>0</v>
      </c>
      <c r="V3546">
        <f t="shared" si="221"/>
        <v>0</v>
      </c>
      <c r="W3546" s="22">
        <f t="shared" si="222"/>
        <v>0</v>
      </c>
    </row>
    <row r="3547" spans="1:23" hidden="1" x14ac:dyDescent="0.25">
      <c r="A3547" s="45">
        <v>46049</v>
      </c>
      <c r="B3547" s="46" t="s">
        <v>334</v>
      </c>
      <c r="C3547" s="46" t="s">
        <v>1423</v>
      </c>
      <c r="D3547" s="46"/>
      <c r="E3547" s="46"/>
      <c r="F3547" s="46" t="s">
        <v>1867</v>
      </c>
      <c r="G3547" s="46" t="s">
        <v>1772</v>
      </c>
      <c r="H3547" s="46" t="s">
        <v>289</v>
      </c>
      <c r="I3547" s="46">
        <v>2</v>
      </c>
      <c r="J3547" s="47">
        <v>100</v>
      </c>
      <c r="K3547" s="47">
        <v>0</v>
      </c>
      <c r="L3547" s="48">
        <v>0</v>
      </c>
      <c r="M3547" s="46"/>
      <c r="N3547" s="46"/>
      <c r="O3547" s="48"/>
      <c r="P3547" s="48"/>
      <c r="Q3547" s="47">
        <v>200</v>
      </c>
      <c r="R3547" s="47">
        <v>0</v>
      </c>
      <c r="S3547" s="5">
        <f t="shared" si="223"/>
        <v>31579.213040949104</v>
      </c>
      <c r="T3547" cm="1">
        <f t="array" ref="T3547">IF(OR(B3547="MAL ALIMI", B3547="ÜRETİM GİRİŞ"), MIN(I3547, MAX(0, I3547 + SUM(SUMIFS($I$1:I3546, $C$1:C3546, C3547, $B$1:B3546, {"MAL ALIMI","ÜRETİM GİRİŞ"})) - VLOOKUP(C3547, 'STOK RAPORU'!$C$2:$I$1000, 4, 0))), 0)</f>
        <v>0</v>
      </c>
      <c r="U3547" s="22">
        <f t="shared" si="220"/>
        <v>0</v>
      </c>
      <c r="V3547">
        <f t="shared" si="221"/>
        <v>0</v>
      </c>
      <c r="W3547" s="22">
        <f t="shared" si="222"/>
        <v>0</v>
      </c>
    </row>
    <row r="3548" spans="1:23" hidden="1" x14ac:dyDescent="0.25">
      <c r="A3548" s="45">
        <v>46049</v>
      </c>
      <c r="B3548" s="46" t="s">
        <v>334</v>
      </c>
      <c r="C3548" s="46" t="s">
        <v>60</v>
      </c>
      <c r="D3548" s="46"/>
      <c r="E3548" s="46"/>
      <c r="F3548" s="46" t="s">
        <v>1867</v>
      </c>
      <c r="G3548" s="46" t="s">
        <v>1772</v>
      </c>
      <c r="H3548" s="46" t="s">
        <v>289</v>
      </c>
      <c r="I3548" s="46">
        <v>0.05</v>
      </c>
      <c r="J3548" s="47">
        <v>1200</v>
      </c>
      <c r="K3548" s="47">
        <v>0</v>
      </c>
      <c r="L3548" s="48">
        <v>0</v>
      </c>
      <c r="M3548" s="46"/>
      <c r="N3548" s="46"/>
      <c r="O3548" s="48"/>
      <c r="P3548" s="48"/>
      <c r="Q3548" s="47">
        <v>60</v>
      </c>
      <c r="R3548" s="47">
        <v>0</v>
      </c>
      <c r="S3548" s="5">
        <f t="shared" si="223"/>
        <v>31639.213040949104</v>
      </c>
      <c r="T3548" cm="1">
        <f t="array" ref="T3548">IF(OR(B3548="MAL ALIMI", B3548="ÜRETİM GİRİŞ"), MIN(I3548, MAX(0, I3548 + SUM(SUMIFS($I$1:I3547, $C$1:C3547, C3548, $B$1:B3547, {"MAL ALIMI","ÜRETİM GİRİŞ"})) - VLOOKUP(C3548, 'STOK RAPORU'!$C$2:$I$1000, 4, 0))), 0)</f>
        <v>0</v>
      </c>
      <c r="U3548" s="22">
        <f t="shared" si="220"/>
        <v>0</v>
      </c>
      <c r="V3548">
        <f t="shared" si="221"/>
        <v>0</v>
      </c>
      <c r="W3548" s="22">
        <f t="shared" si="222"/>
        <v>0</v>
      </c>
    </row>
    <row r="3549" spans="1:23" hidden="1" x14ac:dyDescent="0.25">
      <c r="A3549" s="45">
        <v>46049</v>
      </c>
      <c r="B3549" s="46" t="s">
        <v>334</v>
      </c>
      <c r="C3549" s="46" t="s">
        <v>1637</v>
      </c>
      <c r="D3549" s="46"/>
      <c r="E3549" s="46"/>
      <c r="F3549" s="46" t="s">
        <v>1867</v>
      </c>
      <c r="G3549" s="46" t="s">
        <v>1772</v>
      </c>
      <c r="H3549" s="46" t="s">
        <v>289</v>
      </c>
      <c r="I3549" s="46">
        <v>1</v>
      </c>
      <c r="J3549" s="47">
        <v>150</v>
      </c>
      <c r="K3549" s="47">
        <v>0</v>
      </c>
      <c r="L3549" s="48">
        <v>0</v>
      </c>
      <c r="M3549" s="46"/>
      <c r="N3549" s="46"/>
      <c r="O3549" s="48"/>
      <c r="P3549" s="48"/>
      <c r="Q3549" s="47">
        <v>150</v>
      </c>
      <c r="R3549" s="47">
        <v>0</v>
      </c>
      <c r="S3549" s="5">
        <f t="shared" si="223"/>
        <v>31789.213040949104</v>
      </c>
      <c r="T3549" cm="1">
        <f t="array" ref="T3549">IF(OR(B3549="MAL ALIMI", B3549="ÜRETİM GİRİŞ"), MIN(I3549, MAX(0, I3549 + SUM(SUMIFS($I$1:I3548, $C$1:C3548, C3549, $B$1:B3548, {"MAL ALIMI","ÜRETİM GİRİŞ"})) - VLOOKUP(C3549, 'STOK RAPORU'!$C$2:$I$1000, 4, 0))), 0)</f>
        <v>0</v>
      </c>
      <c r="U3549" s="22">
        <f t="shared" si="220"/>
        <v>0</v>
      </c>
      <c r="V3549">
        <f t="shared" si="221"/>
        <v>0</v>
      </c>
      <c r="W3549" s="22">
        <f t="shared" si="222"/>
        <v>0</v>
      </c>
    </row>
    <row r="3550" spans="1:23" hidden="1" x14ac:dyDescent="0.25">
      <c r="A3550" s="45">
        <v>46049</v>
      </c>
      <c r="B3550" s="46" t="s">
        <v>334</v>
      </c>
      <c r="C3550" s="46" t="s">
        <v>195</v>
      </c>
      <c r="D3550" s="46"/>
      <c r="E3550" s="46"/>
      <c r="F3550" s="46" t="s">
        <v>1867</v>
      </c>
      <c r="G3550" s="46" t="s">
        <v>1772</v>
      </c>
      <c r="H3550" s="46" t="s">
        <v>289</v>
      </c>
      <c r="I3550" s="46">
        <v>0.1</v>
      </c>
      <c r="J3550" s="47">
        <v>1000</v>
      </c>
      <c r="K3550" s="47">
        <v>0</v>
      </c>
      <c r="L3550" s="48">
        <v>0</v>
      </c>
      <c r="M3550" s="46"/>
      <c r="N3550" s="46"/>
      <c r="O3550" s="48"/>
      <c r="P3550" s="48"/>
      <c r="Q3550" s="47">
        <v>100</v>
      </c>
      <c r="R3550" s="47">
        <v>0</v>
      </c>
      <c r="S3550" s="5">
        <f t="shared" si="223"/>
        <v>31889.213040949104</v>
      </c>
      <c r="T3550" cm="1">
        <f t="array" ref="T3550">IF(OR(B3550="MAL ALIMI", B3550="ÜRETİM GİRİŞ"), MIN(I3550, MAX(0, I3550 + SUM(SUMIFS($I$1:I3549, $C$1:C3549, C3550, $B$1:B3549, {"MAL ALIMI","ÜRETİM GİRİŞ"})) - VLOOKUP(C3550, 'STOK RAPORU'!$C$2:$I$1000, 4, 0))), 0)</f>
        <v>0</v>
      </c>
      <c r="U3550" s="22">
        <f t="shared" si="220"/>
        <v>0</v>
      </c>
      <c r="V3550">
        <f t="shared" si="221"/>
        <v>0</v>
      </c>
      <c r="W3550" s="22">
        <f t="shared" si="222"/>
        <v>0</v>
      </c>
    </row>
    <row r="3551" spans="1:23" hidden="1" x14ac:dyDescent="0.25">
      <c r="A3551" s="45">
        <v>46049</v>
      </c>
      <c r="B3551" s="46" t="s">
        <v>334</v>
      </c>
      <c r="C3551" s="46" t="s">
        <v>1359</v>
      </c>
      <c r="D3551" s="46"/>
      <c r="E3551" s="46"/>
      <c r="F3551" s="46" t="s">
        <v>1867</v>
      </c>
      <c r="G3551" s="46" t="s">
        <v>1772</v>
      </c>
      <c r="H3551" s="46" t="s">
        <v>289</v>
      </c>
      <c r="I3551" s="46">
        <v>0.35</v>
      </c>
      <c r="J3551" s="47">
        <v>450</v>
      </c>
      <c r="K3551" s="47">
        <v>0</v>
      </c>
      <c r="L3551" s="48">
        <v>0</v>
      </c>
      <c r="M3551" s="46"/>
      <c r="N3551" s="46"/>
      <c r="O3551" s="48"/>
      <c r="P3551" s="48"/>
      <c r="Q3551" s="47">
        <v>157.5</v>
      </c>
      <c r="R3551" s="47">
        <v>0</v>
      </c>
      <c r="S3551" s="5">
        <f t="shared" si="223"/>
        <v>32046.713040949104</v>
      </c>
      <c r="T3551" cm="1">
        <f t="array" ref="T3551">IF(OR(B3551="MAL ALIMI", B3551="ÜRETİM GİRİŞ"), MIN(I3551, MAX(0, I3551 + SUM(SUMIFS($I$1:I3550, $C$1:C3550, C3551, $B$1:B3550, {"MAL ALIMI","ÜRETİM GİRİŞ"})) - VLOOKUP(C3551, 'STOK RAPORU'!$C$2:$I$1000, 4, 0))), 0)</f>
        <v>0</v>
      </c>
      <c r="U3551" s="22">
        <f t="shared" si="220"/>
        <v>0</v>
      </c>
      <c r="V3551">
        <f t="shared" si="221"/>
        <v>0</v>
      </c>
      <c r="W3551" s="22">
        <f t="shared" si="222"/>
        <v>0</v>
      </c>
    </row>
    <row r="3552" spans="1:23" hidden="1" x14ac:dyDescent="0.25">
      <c r="A3552" s="45">
        <v>46049</v>
      </c>
      <c r="B3552" s="46" t="s">
        <v>334</v>
      </c>
      <c r="C3552" s="46" t="s">
        <v>717</v>
      </c>
      <c r="D3552" s="46"/>
      <c r="E3552" s="46"/>
      <c r="F3552" s="46" t="s">
        <v>1867</v>
      </c>
      <c r="G3552" s="46" t="s">
        <v>1772</v>
      </c>
      <c r="H3552" s="46" t="s">
        <v>289</v>
      </c>
      <c r="I3552" s="46">
        <v>1</v>
      </c>
      <c r="J3552" s="47">
        <v>350</v>
      </c>
      <c r="K3552" s="47">
        <v>0</v>
      </c>
      <c r="L3552" s="48">
        <v>0</v>
      </c>
      <c r="M3552" s="46"/>
      <c r="N3552" s="46"/>
      <c r="O3552" s="48"/>
      <c r="P3552" s="48"/>
      <c r="Q3552" s="47">
        <v>350</v>
      </c>
      <c r="R3552" s="47">
        <v>0</v>
      </c>
      <c r="S3552" s="5">
        <f t="shared" si="223"/>
        <v>32396.713040949104</v>
      </c>
      <c r="T3552" cm="1">
        <f t="array" ref="T3552">IF(OR(B3552="MAL ALIMI", B3552="ÜRETİM GİRİŞ"), MIN(I3552, MAX(0, I3552 + SUM(SUMIFS($I$1:I3551, $C$1:C3551, C3552, $B$1:B3551, {"MAL ALIMI","ÜRETİM GİRİŞ"})) - VLOOKUP(C3552, 'STOK RAPORU'!$C$2:$I$1000, 4, 0))), 0)</f>
        <v>0</v>
      </c>
      <c r="U3552" s="22">
        <f t="shared" si="220"/>
        <v>0</v>
      </c>
      <c r="V3552">
        <f t="shared" si="221"/>
        <v>0</v>
      </c>
      <c r="W3552" s="22">
        <f t="shared" si="222"/>
        <v>0</v>
      </c>
    </row>
    <row r="3553" spans="1:23" hidden="1" x14ac:dyDescent="0.25">
      <c r="A3553" s="45">
        <v>46049</v>
      </c>
      <c r="B3553" s="46" t="s">
        <v>334</v>
      </c>
      <c r="C3553" s="46" t="s">
        <v>496</v>
      </c>
      <c r="D3553" s="46"/>
      <c r="E3553" s="46"/>
      <c r="F3553" s="46" t="s">
        <v>1867</v>
      </c>
      <c r="G3553" s="46" t="s">
        <v>1772</v>
      </c>
      <c r="H3553" s="46" t="s">
        <v>289</v>
      </c>
      <c r="I3553" s="46">
        <v>1</v>
      </c>
      <c r="J3553" s="47">
        <v>149</v>
      </c>
      <c r="K3553" s="47">
        <v>0</v>
      </c>
      <c r="L3553" s="48">
        <v>0</v>
      </c>
      <c r="M3553" s="46"/>
      <c r="N3553" s="46"/>
      <c r="O3553" s="48"/>
      <c r="P3553" s="48"/>
      <c r="Q3553" s="47">
        <v>149</v>
      </c>
      <c r="R3553" s="47">
        <v>0</v>
      </c>
      <c r="S3553" s="5">
        <f t="shared" si="223"/>
        <v>32545.713040949104</v>
      </c>
      <c r="T3553" cm="1">
        <f t="array" ref="T3553">IF(OR(B3553="MAL ALIMI", B3553="ÜRETİM GİRİŞ"), MIN(I3553, MAX(0, I3553 + SUM(SUMIFS($I$1:I3552, $C$1:C3552, C3553, $B$1:B3552, {"MAL ALIMI","ÜRETİM GİRİŞ"})) - VLOOKUP(C3553, 'STOK RAPORU'!$C$2:$I$1000, 4, 0))), 0)</f>
        <v>0</v>
      </c>
      <c r="U3553" s="22">
        <f t="shared" si="220"/>
        <v>0</v>
      </c>
      <c r="V3553">
        <f t="shared" si="221"/>
        <v>0</v>
      </c>
      <c r="W3553" s="22">
        <f t="shared" si="222"/>
        <v>0</v>
      </c>
    </row>
    <row r="3554" spans="1:23" hidden="1" x14ac:dyDescent="0.25">
      <c r="A3554" s="45">
        <v>46049</v>
      </c>
      <c r="B3554" s="46" t="s">
        <v>334</v>
      </c>
      <c r="C3554" s="46" t="s">
        <v>1367</v>
      </c>
      <c r="D3554" s="46"/>
      <c r="E3554" s="46"/>
      <c r="F3554" s="46" t="s">
        <v>1867</v>
      </c>
      <c r="G3554" s="46" t="s">
        <v>1772</v>
      </c>
      <c r="H3554" s="46" t="s">
        <v>289</v>
      </c>
      <c r="I3554" s="46">
        <v>1</v>
      </c>
      <c r="J3554" s="47">
        <v>180</v>
      </c>
      <c r="K3554" s="47">
        <v>0</v>
      </c>
      <c r="L3554" s="48">
        <v>0</v>
      </c>
      <c r="M3554" s="46"/>
      <c r="N3554" s="46"/>
      <c r="O3554" s="48"/>
      <c r="P3554" s="48"/>
      <c r="Q3554" s="47">
        <v>180</v>
      </c>
      <c r="R3554" s="47">
        <v>0</v>
      </c>
      <c r="S3554" s="5">
        <f t="shared" si="223"/>
        <v>32725.713040949104</v>
      </c>
      <c r="T3554" cm="1">
        <f t="array" ref="T3554">IF(OR(B3554="MAL ALIMI", B3554="ÜRETİM GİRİŞ"), MIN(I3554, MAX(0, I3554 + SUM(SUMIFS($I$1:I3553, $C$1:C3553, C3554, $B$1:B3553, {"MAL ALIMI","ÜRETİM GİRİŞ"})) - VLOOKUP(C3554, 'STOK RAPORU'!$C$2:$I$1000, 4, 0))), 0)</f>
        <v>0</v>
      </c>
      <c r="U3554" s="22">
        <f t="shared" si="220"/>
        <v>0</v>
      </c>
      <c r="V3554">
        <f t="shared" si="221"/>
        <v>0</v>
      </c>
      <c r="W3554" s="22">
        <f t="shared" si="222"/>
        <v>0</v>
      </c>
    </row>
    <row r="3555" spans="1:23" hidden="1" x14ac:dyDescent="0.25">
      <c r="A3555" s="45">
        <v>46049</v>
      </c>
      <c r="B3555" s="46" t="s">
        <v>334</v>
      </c>
      <c r="C3555" s="46" t="s">
        <v>260</v>
      </c>
      <c r="D3555" s="46"/>
      <c r="E3555" s="46"/>
      <c r="F3555" s="46" t="s">
        <v>1867</v>
      </c>
      <c r="G3555" s="46" t="s">
        <v>1772</v>
      </c>
      <c r="H3555" s="46" t="s">
        <v>289</v>
      </c>
      <c r="I3555" s="46">
        <v>2</v>
      </c>
      <c r="J3555" s="47">
        <v>140</v>
      </c>
      <c r="K3555" s="47">
        <v>0</v>
      </c>
      <c r="L3555" s="48">
        <v>0</v>
      </c>
      <c r="M3555" s="46"/>
      <c r="N3555" s="46"/>
      <c r="O3555" s="48"/>
      <c r="P3555" s="48"/>
      <c r="Q3555" s="47">
        <v>280</v>
      </c>
      <c r="R3555" s="47">
        <v>0</v>
      </c>
      <c r="S3555" s="5">
        <f t="shared" si="223"/>
        <v>33005.713040949107</v>
      </c>
      <c r="T3555" cm="1">
        <f t="array" ref="T3555">IF(OR(B3555="MAL ALIMI", B3555="ÜRETİM GİRİŞ"), MIN(I3555, MAX(0, I3555 + SUM(SUMIFS($I$1:I3554, $C$1:C3554, C3555, $B$1:B3554, {"MAL ALIMI","ÜRETİM GİRİŞ"})) - VLOOKUP(C3555, 'STOK RAPORU'!$C$2:$I$1000, 4, 0))), 0)</f>
        <v>0</v>
      </c>
      <c r="U3555" s="22">
        <f t="shared" si="220"/>
        <v>0</v>
      </c>
      <c r="V3555">
        <f t="shared" si="221"/>
        <v>0</v>
      </c>
      <c r="W3555" s="22">
        <f t="shared" si="222"/>
        <v>0</v>
      </c>
    </row>
    <row r="3556" spans="1:23" hidden="1" x14ac:dyDescent="0.25">
      <c r="A3556" s="45">
        <v>46049</v>
      </c>
      <c r="B3556" s="46" t="s">
        <v>334</v>
      </c>
      <c r="C3556" s="46" t="s">
        <v>238</v>
      </c>
      <c r="D3556" s="46"/>
      <c r="E3556" s="46"/>
      <c r="F3556" s="46" t="s">
        <v>1867</v>
      </c>
      <c r="G3556" s="46" t="s">
        <v>1772</v>
      </c>
      <c r="H3556" s="46" t="s">
        <v>289</v>
      </c>
      <c r="I3556" s="46">
        <v>0.1</v>
      </c>
      <c r="J3556" s="47">
        <v>1350</v>
      </c>
      <c r="K3556" s="47">
        <v>0</v>
      </c>
      <c r="L3556" s="48">
        <v>0</v>
      </c>
      <c r="M3556" s="46"/>
      <c r="N3556" s="46"/>
      <c r="O3556" s="48"/>
      <c r="P3556" s="48"/>
      <c r="Q3556" s="47">
        <v>135</v>
      </c>
      <c r="R3556" s="47">
        <v>0</v>
      </c>
      <c r="S3556" s="5">
        <f t="shared" si="223"/>
        <v>33140.713040949107</v>
      </c>
      <c r="T3556" cm="1">
        <f t="array" ref="T3556">IF(OR(B3556="MAL ALIMI", B3556="ÜRETİM GİRİŞ"), MIN(I3556, MAX(0, I3556 + SUM(SUMIFS($I$1:I3555, $C$1:C3555, C3556, $B$1:B3555, {"MAL ALIMI","ÜRETİM GİRİŞ"})) - VLOOKUP(C3556, 'STOK RAPORU'!$C$2:$I$1000, 4, 0))), 0)</f>
        <v>0</v>
      </c>
      <c r="U3556" s="22">
        <f t="shared" si="220"/>
        <v>0</v>
      </c>
      <c r="V3556">
        <f t="shared" si="221"/>
        <v>0</v>
      </c>
      <c r="W3556" s="22">
        <f t="shared" si="222"/>
        <v>0</v>
      </c>
    </row>
    <row r="3557" spans="1:23" hidden="1" x14ac:dyDescent="0.25">
      <c r="A3557" s="45">
        <v>46049</v>
      </c>
      <c r="B3557" s="46" t="s">
        <v>334</v>
      </c>
      <c r="C3557" s="46" t="s">
        <v>237</v>
      </c>
      <c r="D3557" s="46"/>
      <c r="E3557" s="46"/>
      <c r="F3557" s="46" t="s">
        <v>1867</v>
      </c>
      <c r="G3557" s="46" t="s">
        <v>1772</v>
      </c>
      <c r="H3557" s="46" t="s">
        <v>289</v>
      </c>
      <c r="I3557" s="46">
        <v>0.05</v>
      </c>
      <c r="J3557" s="47">
        <v>1800</v>
      </c>
      <c r="K3557" s="47">
        <v>0</v>
      </c>
      <c r="L3557" s="48">
        <v>0</v>
      </c>
      <c r="M3557" s="46"/>
      <c r="N3557" s="46"/>
      <c r="O3557" s="48"/>
      <c r="P3557" s="48"/>
      <c r="Q3557" s="47">
        <v>90</v>
      </c>
      <c r="R3557" s="47">
        <v>0</v>
      </c>
      <c r="S3557" s="5">
        <f t="shared" si="223"/>
        <v>33230.713040949107</v>
      </c>
      <c r="T3557" cm="1">
        <f t="array" ref="T3557">IF(OR(B3557="MAL ALIMI", B3557="ÜRETİM GİRİŞ"), MIN(I3557, MAX(0, I3557 + SUM(SUMIFS($I$1:I3556, $C$1:C3556, C3557, $B$1:B3556, {"MAL ALIMI","ÜRETİM GİRİŞ"})) - VLOOKUP(C3557, 'STOK RAPORU'!$C$2:$I$1000, 4, 0))), 0)</f>
        <v>0</v>
      </c>
      <c r="U3557" s="22">
        <f t="shared" si="220"/>
        <v>0</v>
      </c>
      <c r="V3557">
        <f t="shared" si="221"/>
        <v>0</v>
      </c>
      <c r="W3557" s="22">
        <f t="shared" si="222"/>
        <v>0</v>
      </c>
    </row>
    <row r="3558" spans="1:23" hidden="1" x14ac:dyDescent="0.25">
      <c r="A3558" s="45">
        <v>46049</v>
      </c>
      <c r="B3558" s="46" t="s">
        <v>334</v>
      </c>
      <c r="C3558" s="46" t="s">
        <v>149</v>
      </c>
      <c r="D3558" s="46"/>
      <c r="E3558" s="46"/>
      <c r="F3558" s="46" t="s">
        <v>1867</v>
      </c>
      <c r="G3558" s="46" t="s">
        <v>1772</v>
      </c>
      <c r="H3558" s="46" t="s">
        <v>289</v>
      </c>
      <c r="I3558" s="46">
        <v>2</v>
      </c>
      <c r="J3558" s="47">
        <v>65</v>
      </c>
      <c r="K3558" s="47">
        <v>0</v>
      </c>
      <c r="L3558" s="48">
        <v>0</v>
      </c>
      <c r="M3558" s="46"/>
      <c r="N3558" s="46"/>
      <c r="O3558" s="48"/>
      <c r="P3558" s="48"/>
      <c r="Q3558" s="47">
        <v>130</v>
      </c>
      <c r="R3558" s="21">
        <v>0</v>
      </c>
      <c r="S3558" s="5">
        <f t="shared" si="223"/>
        <v>33360.713040949107</v>
      </c>
      <c r="T3558" cm="1">
        <f t="array" ref="T3558">IF(OR(B3558="MAL ALIMI", B3558="ÜRETİM GİRİŞ"), MIN(I3558, MAX(0, I3558 + SUM(SUMIFS($I$1:I3557, $C$1:C3557, C3558, $B$1:B3557, {"MAL ALIMI","ÜRETİM GİRİŞ"})) - VLOOKUP(C3558, 'STOK RAPORU'!$C$2:$I$1000, 4, 0))), 0)</f>
        <v>0</v>
      </c>
      <c r="U3558" s="22">
        <f t="shared" si="220"/>
        <v>0</v>
      </c>
      <c r="V3558">
        <f t="shared" si="221"/>
        <v>0</v>
      </c>
      <c r="W3558" s="22">
        <f t="shared" si="222"/>
        <v>0</v>
      </c>
    </row>
    <row r="3559" spans="1:23" hidden="1" x14ac:dyDescent="0.25">
      <c r="A3559" s="45">
        <v>46049</v>
      </c>
      <c r="B3559" s="46" t="s">
        <v>334</v>
      </c>
      <c r="C3559" s="4" t="s">
        <v>1502</v>
      </c>
      <c r="D3559" s="4"/>
      <c r="E3559" s="4"/>
      <c r="F3559" s="46" t="s">
        <v>1867</v>
      </c>
      <c r="G3559" s="46" t="s">
        <v>1772</v>
      </c>
      <c r="H3559" s="46" t="s">
        <v>289</v>
      </c>
      <c r="I3559" s="4">
        <v>0.05</v>
      </c>
      <c r="J3559" s="21">
        <v>900</v>
      </c>
      <c r="K3559" s="21">
        <v>0</v>
      </c>
      <c r="L3559" s="5">
        <v>0</v>
      </c>
      <c r="M3559" s="4"/>
      <c r="N3559" s="4"/>
      <c r="O3559" s="5"/>
      <c r="P3559" s="5"/>
      <c r="Q3559" s="21">
        <v>45</v>
      </c>
      <c r="R3559" s="21">
        <v>0</v>
      </c>
      <c r="S3559" s="5">
        <f t="shared" si="223"/>
        <v>33405.713040949107</v>
      </c>
      <c r="T3559" cm="1">
        <f t="array" ref="T3559">IF(OR(B3559="MAL ALIMI", B3559="ÜRETİM GİRİŞ"), MIN(I3559, MAX(0, I3559 + SUM(SUMIFS($I$1:I3558, $C$1:C3558, C3559, $B$1:B3558, {"MAL ALIMI","ÜRETİM GİRİŞ"})) - VLOOKUP(C3559, 'STOK RAPORU'!$C$2:$I$1000, 4, 0))), 0)</f>
        <v>0</v>
      </c>
      <c r="U3559" s="22">
        <f t="shared" si="220"/>
        <v>0</v>
      </c>
      <c r="V3559">
        <f t="shared" si="221"/>
        <v>0</v>
      </c>
      <c r="W3559" s="22">
        <f t="shared" si="222"/>
        <v>0</v>
      </c>
    </row>
    <row r="3560" spans="1:23" hidden="1" x14ac:dyDescent="0.25">
      <c r="A3560" s="45">
        <v>46049</v>
      </c>
      <c r="B3560" s="46" t="s">
        <v>334</v>
      </c>
      <c r="C3560" s="4" t="s">
        <v>1140</v>
      </c>
      <c r="D3560" s="4"/>
      <c r="E3560" s="4"/>
      <c r="F3560" s="46" t="s">
        <v>1867</v>
      </c>
      <c r="G3560" s="46" t="s">
        <v>1772</v>
      </c>
      <c r="H3560" s="46" t="s">
        <v>289</v>
      </c>
      <c r="I3560" s="4">
        <v>1</v>
      </c>
      <c r="J3560" s="21">
        <v>350</v>
      </c>
      <c r="K3560" s="21">
        <v>0</v>
      </c>
      <c r="L3560" s="5">
        <v>0</v>
      </c>
      <c r="M3560" s="4"/>
      <c r="N3560" s="4"/>
      <c r="O3560" s="5"/>
      <c r="P3560" s="5"/>
      <c r="Q3560" s="21">
        <v>350</v>
      </c>
      <c r="R3560" s="21">
        <v>0</v>
      </c>
      <c r="S3560" s="5">
        <f t="shared" si="223"/>
        <v>33755.713040949107</v>
      </c>
      <c r="T3560" cm="1">
        <f t="array" ref="T3560">IF(OR(B3560="MAL ALIMI", B3560="ÜRETİM GİRİŞ"), MIN(I3560, MAX(0, I3560 + SUM(SUMIFS($I$1:I3559, $C$1:C3559, C3560, $B$1:B3559, {"MAL ALIMI","ÜRETİM GİRİŞ"})) - VLOOKUP(C3560, 'STOK RAPORU'!$C$2:$I$1000, 4, 0))), 0)</f>
        <v>0</v>
      </c>
      <c r="U3560" s="22">
        <f t="shared" si="220"/>
        <v>0</v>
      </c>
      <c r="V3560">
        <f t="shared" si="221"/>
        <v>0</v>
      </c>
      <c r="W3560" s="22">
        <f t="shared" si="222"/>
        <v>0</v>
      </c>
    </row>
    <row r="3561" spans="1:23" hidden="1" x14ac:dyDescent="0.25">
      <c r="A3561" s="45">
        <v>46049</v>
      </c>
      <c r="B3561" s="46" t="s">
        <v>334</v>
      </c>
      <c r="C3561" s="46" t="s">
        <v>1501</v>
      </c>
      <c r="D3561" s="46"/>
      <c r="E3561" s="46"/>
      <c r="F3561" s="46" t="s">
        <v>1868</v>
      </c>
      <c r="G3561" s="46" t="s">
        <v>1771</v>
      </c>
      <c r="H3561" s="46" t="s">
        <v>289</v>
      </c>
      <c r="I3561" s="46">
        <v>2</v>
      </c>
      <c r="J3561" s="47">
        <v>600</v>
      </c>
      <c r="K3561" s="47">
        <v>0</v>
      </c>
      <c r="L3561" s="48">
        <v>0</v>
      </c>
      <c r="M3561" s="42"/>
      <c r="N3561" s="42"/>
      <c r="O3561" s="44"/>
      <c r="P3561" s="44"/>
      <c r="Q3561" s="47">
        <v>1200</v>
      </c>
      <c r="R3561" s="47">
        <v>0</v>
      </c>
      <c r="S3561" s="5">
        <f t="shared" si="223"/>
        <v>34955.713040949107</v>
      </c>
      <c r="T3561" cm="1">
        <f t="array" ref="T3561">IF(OR(B3561="MAL ALIMI", B3561="ÜRETİM GİRİŞ"), MIN(I3561, MAX(0, I3561 + SUM(SUMIFS($I$1:I3560, $C$1:C3560, C3561, $B$1:B3560, {"MAL ALIMI","ÜRETİM GİRİŞ"})) - VLOOKUP(C3561, 'STOK RAPORU'!$C$2:$I$1000, 4, 0))), 0)</f>
        <v>0</v>
      </c>
      <c r="U3561" s="22">
        <f t="shared" si="220"/>
        <v>0</v>
      </c>
      <c r="V3561">
        <f t="shared" si="221"/>
        <v>0</v>
      </c>
      <c r="W3561" s="22">
        <f t="shared" si="222"/>
        <v>0</v>
      </c>
    </row>
    <row r="3562" spans="1:23" hidden="1" x14ac:dyDescent="0.25">
      <c r="A3562" s="45">
        <v>46049</v>
      </c>
      <c r="B3562" s="46" t="s">
        <v>334</v>
      </c>
      <c r="C3562" s="46" t="s">
        <v>151</v>
      </c>
      <c r="D3562" s="46"/>
      <c r="E3562" s="46"/>
      <c r="F3562" s="46" t="s">
        <v>1868</v>
      </c>
      <c r="G3562" s="46" t="s">
        <v>1771</v>
      </c>
      <c r="H3562" s="46" t="s">
        <v>289</v>
      </c>
      <c r="I3562" s="46">
        <v>6.4000000000000001E-2</v>
      </c>
      <c r="J3562" s="47">
        <v>400</v>
      </c>
      <c r="K3562" s="47">
        <v>0</v>
      </c>
      <c r="L3562" s="48">
        <v>0</v>
      </c>
      <c r="M3562" s="42"/>
      <c r="N3562" s="42"/>
      <c r="O3562" s="44"/>
      <c r="P3562" s="44"/>
      <c r="Q3562" s="47">
        <v>25.6</v>
      </c>
      <c r="R3562" s="47">
        <v>0</v>
      </c>
      <c r="S3562" s="5">
        <f t="shared" si="223"/>
        <v>34981.313040949106</v>
      </c>
      <c r="T3562" cm="1">
        <f t="array" ref="T3562">IF(OR(B3562="MAL ALIMI", B3562="ÜRETİM GİRİŞ"), MIN(I3562, MAX(0, I3562 + SUM(SUMIFS($I$1:I3561, $C$1:C3561, C3562, $B$1:B3561, {"MAL ALIMI","ÜRETİM GİRİŞ"})) - VLOOKUP(C3562, 'STOK RAPORU'!$C$2:$I$1000, 4, 0))), 0)</f>
        <v>0</v>
      </c>
      <c r="U3562" s="22">
        <f t="shared" si="220"/>
        <v>0</v>
      </c>
      <c r="V3562">
        <f t="shared" si="221"/>
        <v>0</v>
      </c>
      <c r="W3562" s="22">
        <f t="shared" si="222"/>
        <v>0</v>
      </c>
    </row>
    <row r="3563" spans="1:23" hidden="1" x14ac:dyDescent="0.25">
      <c r="A3563" s="45">
        <v>46049</v>
      </c>
      <c r="B3563" s="46" t="s">
        <v>334</v>
      </c>
      <c r="C3563" s="46" t="s">
        <v>209</v>
      </c>
      <c r="D3563" s="46"/>
      <c r="E3563" s="46"/>
      <c r="F3563" s="46" t="s">
        <v>1868</v>
      </c>
      <c r="G3563" s="46" t="s">
        <v>1771</v>
      </c>
      <c r="H3563" s="46" t="s">
        <v>289</v>
      </c>
      <c r="I3563" s="46">
        <v>0.1</v>
      </c>
      <c r="J3563" s="47">
        <v>2500</v>
      </c>
      <c r="K3563" s="47">
        <v>0</v>
      </c>
      <c r="L3563" s="48">
        <v>0</v>
      </c>
      <c r="M3563" s="42"/>
      <c r="N3563" s="42"/>
      <c r="O3563" s="44"/>
      <c r="P3563" s="44"/>
      <c r="Q3563" s="47">
        <v>250</v>
      </c>
      <c r="R3563" s="47">
        <v>0</v>
      </c>
      <c r="S3563" s="5">
        <f t="shared" si="223"/>
        <v>35231.313040949106</v>
      </c>
      <c r="T3563" cm="1">
        <f t="array" ref="T3563">IF(OR(B3563="MAL ALIMI", B3563="ÜRETİM GİRİŞ"), MIN(I3563, MAX(0, I3563 + SUM(SUMIFS($I$1:I3562, $C$1:C3562, C3563, $B$1:B3562, {"MAL ALIMI","ÜRETİM GİRİŞ"})) - VLOOKUP(C3563, 'STOK RAPORU'!$C$2:$I$1000, 4, 0))), 0)</f>
        <v>0</v>
      </c>
      <c r="U3563" s="22">
        <f t="shared" si="220"/>
        <v>0</v>
      </c>
      <c r="V3563">
        <f t="shared" si="221"/>
        <v>0</v>
      </c>
      <c r="W3563" s="22">
        <f t="shared" si="222"/>
        <v>0</v>
      </c>
    </row>
    <row r="3564" spans="1:23" hidden="1" x14ac:dyDescent="0.25">
      <c r="A3564" s="45">
        <v>46049</v>
      </c>
      <c r="B3564" s="46" t="s">
        <v>334</v>
      </c>
      <c r="C3564" s="46" t="s">
        <v>237</v>
      </c>
      <c r="D3564" s="46"/>
      <c r="E3564" s="46"/>
      <c r="F3564" s="46" t="s">
        <v>1868</v>
      </c>
      <c r="G3564" s="46" t="s">
        <v>1771</v>
      </c>
      <c r="H3564" s="46" t="s">
        <v>289</v>
      </c>
      <c r="I3564" s="46">
        <v>0.1</v>
      </c>
      <c r="J3564" s="47">
        <v>1750</v>
      </c>
      <c r="K3564" s="47">
        <v>0</v>
      </c>
      <c r="L3564" s="48">
        <v>0</v>
      </c>
      <c r="M3564" s="42"/>
      <c r="N3564" s="42"/>
      <c r="O3564" s="44"/>
      <c r="P3564" s="44"/>
      <c r="Q3564" s="47">
        <v>175</v>
      </c>
      <c r="R3564" s="47">
        <v>0</v>
      </c>
      <c r="S3564" s="5">
        <f t="shared" si="223"/>
        <v>35406.313040949106</v>
      </c>
      <c r="T3564" cm="1">
        <f t="array" ref="T3564">IF(OR(B3564="MAL ALIMI", B3564="ÜRETİM GİRİŞ"), MIN(I3564, MAX(0, I3564 + SUM(SUMIFS($I$1:I3563, $C$1:C3563, C3564, $B$1:B3563, {"MAL ALIMI","ÜRETİM GİRİŞ"})) - VLOOKUP(C3564, 'STOK RAPORU'!$C$2:$I$1000, 4, 0))), 0)</f>
        <v>0</v>
      </c>
      <c r="U3564" s="22">
        <f t="shared" si="220"/>
        <v>0</v>
      </c>
      <c r="V3564">
        <f t="shared" si="221"/>
        <v>0</v>
      </c>
      <c r="W3564" s="22">
        <f t="shared" si="222"/>
        <v>0</v>
      </c>
    </row>
    <row r="3565" spans="1:23" hidden="1" x14ac:dyDescent="0.25">
      <c r="A3565" s="45">
        <v>46049</v>
      </c>
      <c r="B3565" s="46" t="s">
        <v>334</v>
      </c>
      <c r="C3565" s="46" t="s">
        <v>726</v>
      </c>
      <c r="D3565" s="46"/>
      <c r="E3565" s="46"/>
      <c r="F3565" s="46" t="s">
        <v>1868</v>
      </c>
      <c r="G3565" s="46" t="s">
        <v>1771</v>
      </c>
      <c r="H3565" s="46" t="s">
        <v>289</v>
      </c>
      <c r="I3565" s="46">
        <v>1</v>
      </c>
      <c r="J3565" s="47">
        <v>250</v>
      </c>
      <c r="K3565" s="47">
        <v>0</v>
      </c>
      <c r="L3565" s="48">
        <v>0</v>
      </c>
      <c r="M3565" s="42"/>
      <c r="N3565" s="42"/>
      <c r="O3565" s="44"/>
      <c r="P3565" s="44"/>
      <c r="Q3565" s="47">
        <v>250</v>
      </c>
      <c r="R3565" s="47">
        <v>0</v>
      </c>
      <c r="S3565" s="5">
        <f t="shared" si="223"/>
        <v>35656.313040949106</v>
      </c>
      <c r="T3565" cm="1">
        <f t="array" ref="T3565">IF(OR(B3565="MAL ALIMI", B3565="ÜRETİM GİRİŞ"), MIN(I3565, MAX(0, I3565 + SUM(SUMIFS($I$1:I3564, $C$1:C3564, C3565, $B$1:B3564, {"MAL ALIMI","ÜRETİM GİRİŞ"})) - VLOOKUP(C3565, 'STOK RAPORU'!$C$2:$I$1000, 4, 0))), 0)</f>
        <v>0</v>
      </c>
      <c r="U3565" s="22">
        <f t="shared" si="220"/>
        <v>0</v>
      </c>
      <c r="V3565">
        <f t="shared" si="221"/>
        <v>0</v>
      </c>
      <c r="W3565" s="22">
        <f t="shared" si="222"/>
        <v>0</v>
      </c>
    </row>
    <row r="3566" spans="1:23" hidden="1" x14ac:dyDescent="0.25">
      <c r="A3566" s="45">
        <v>46049</v>
      </c>
      <c r="B3566" s="46" t="s">
        <v>334</v>
      </c>
      <c r="C3566" s="46" t="s">
        <v>726</v>
      </c>
      <c r="D3566" s="46"/>
      <c r="E3566" s="46"/>
      <c r="F3566" s="46" t="s">
        <v>1868</v>
      </c>
      <c r="G3566" s="46" t="s">
        <v>1882</v>
      </c>
      <c r="H3566" s="46" t="s">
        <v>289</v>
      </c>
      <c r="I3566" s="46">
        <v>1</v>
      </c>
      <c r="J3566" s="47">
        <v>250</v>
      </c>
      <c r="K3566" s="47">
        <v>0</v>
      </c>
      <c r="L3566" s="48">
        <v>0</v>
      </c>
      <c r="M3566" s="42"/>
      <c r="N3566" s="42"/>
      <c r="O3566" s="44"/>
      <c r="P3566" s="44"/>
      <c r="Q3566" s="47">
        <v>250</v>
      </c>
      <c r="R3566" s="47">
        <v>0</v>
      </c>
      <c r="S3566" s="5">
        <f t="shared" si="223"/>
        <v>35906.313040949106</v>
      </c>
      <c r="T3566" cm="1">
        <f t="array" ref="T3566">IF(OR(B3566="MAL ALIMI", B3566="ÜRETİM GİRİŞ"), MIN(I3566, MAX(0, I3566 + SUM(SUMIFS($I$1:I3565, $C$1:C3565, C3566, $B$1:B3565, {"MAL ALIMI","ÜRETİM GİRİŞ"})) - VLOOKUP(C3566, 'STOK RAPORU'!$C$2:$I$1000, 4, 0))), 0)</f>
        <v>0</v>
      </c>
      <c r="U3566" s="22">
        <f t="shared" si="220"/>
        <v>0</v>
      </c>
      <c r="V3566">
        <f t="shared" si="221"/>
        <v>0</v>
      </c>
      <c r="W3566" s="22">
        <f t="shared" si="222"/>
        <v>0</v>
      </c>
    </row>
    <row r="3567" spans="1:23" hidden="1" x14ac:dyDescent="0.25">
      <c r="A3567" s="45">
        <v>46049</v>
      </c>
      <c r="B3567" s="46" t="s">
        <v>334</v>
      </c>
      <c r="C3567" s="46" t="s">
        <v>725</v>
      </c>
      <c r="D3567" s="46"/>
      <c r="E3567" s="46"/>
      <c r="F3567" s="46" t="s">
        <v>1868</v>
      </c>
      <c r="G3567" s="46" t="s">
        <v>1882</v>
      </c>
      <c r="H3567" s="46" t="s">
        <v>289</v>
      </c>
      <c r="I3567" s="46">
        <v>1</v>
      </c>
      <c r="J3567" s="47">
        <v>250</v>
      </c>
      <c r="K3567" s="47">
        <v>0</v>
      </c>
      <c r="L3567" s="48">
        <v>0</v>
      </c>
      <c r="M3567" s="42"/>
      <c r="N3567" s="42"/>
      <c r="O3567" s="44"/>
      <c r="P3567" s="44"/>
      <c r="Q3567" s="47">
        <v>250</v>
      </c>
      <c r="R3567" s="47">
        <v>0</v>
      </c>
      <c r="S3567" s="5">
        <f t="shared" si="223"/>
        <v>36156.313040949106</v>
      </c>
      <c r="T3567" cm="1">
        <f t="array" ref="T3567">IF(OR(B3567="MAL ALIMI", B3567="ÜRETİM GİRİŞ"), MIN(I3567, MAX(0, I3567 + SUM(SUMIFS($I$1:I3566, $C$1:C3566, C3567, $B$1:B3566, {"MAL ALIMI","ÜRETİM GİRİŞ"})) - VLOOKUP(C3567, 'STOK RAPORU'!$C$2:$I$1000, 4, 0))), 0)</f>
        <v>0</v>
      </c>
      <c r="U3567" s="22">
        <f t="shared" si="220"/>
        <v>0</v>
      </c>
      <c r="V3567">
        <f t="shared" si="221"/>
        <v>0</v>
      </c>
      <c r="W3567" s="22">
        <f t="shared" si="222"/>
        <v>0</v>
      </c>
    </row>
    <row r="3568" spans="1:23" hidden="1" x14ac:dyDescent="0.25">
      <c r="A3568" s="45">
        <v>46049</v>
      </c>
      <c r="B3568" s="46" t="s">
        <v>334</v>
      </c>
      <c r="C3568" s="4" t="s">
        <v>1041</v>
      </c>
      <c r="D3568" s="4"/>
      <c r="E3568" s="4" t="s">
        <v>921</v>
      </c>
      <c r="F3568" s="46" t="s">
        <v>1869</v>
      </c>
      <c r="G3568" s="4" t="s">
        <v>336</v>
      </c>
      <c r="H3568" s="4" t="s">
        <v>380</v>
      </c>
      <c r="I3568" s="4">
        <v>1</v>
      </c>
      <c r="J3568" s="21">
        <v>250</v>
      </c>
      <c r="K3568" s="21">
        <v>250</v>
      </c>
      <c r="L3568" s="5">
        <v>0</v>
      </c>
      <c r="M3568" s="4"/>
      <c r="N3568" s="4"/>
      <c r="O3568" s="5"/>
      <c r="P3568" s="5"/>
      <c r="Q3568" s="21">
        <v>0</v>
      </c>
      <c r="R3568" s="21">
        <v>0</v>
      </c>
      <c r="S3568" s="5">
        <f t="shared" si="223"/>
        <v>36156.313040949106</v>
      </c>
      <c r="T3568" cm="1">
        <f t="array" ref="T3568">IF(OR(B3568="MAL ALIMI", B3568="ÜRETİM GİRİŞ"), MIN(I3568, MAX(0, I3568 + SUM(SUMIFS($I$1:I3567, $C$1:C3567, C3568, $B$1:B3567, {"MAL ALIMI","ÜRETİM GİRİŞ"})) - VLOOKUP(C3568, 'STOK RAPORU'!$C$2:$I$1000, 4, 0))), 0)</f>
        <v>0</v>
      </c>
      <c r="U3568" s="22">
        <f t="shared" si="220"/>
        <v>0</v>
      </c>
      <c r="V3568">
        <f t="shared" si="221"/>
        <v>0</v>
      </c>
      <c r="W3568" s="22">
        <f t="shared" si="222"/>
        <v>0</v>
      </c>
    </row>
    <row r="3569" spans="1:23" hidden="1" x14ac:dyDescent="0.25">
      <c r="A3569" s="45">
        <v>46049</v>
      </c>
      <c r="B3569" s="46" t="s">
        <v>334</v>
      </c>
      <c r="C3569" s="4" t="s">
        <v>634</v>
      </c>
      <c r="D3569" s="4"/>
      <c r="E3569" s="4" t="s">
        <v>921</v>
      </c>
      <c r="F3569" s="46" t="s">
        <v>1869</v>
      </c>
      <c r="G3569" s="4" t="s">
        <v>336</v>
      </c>
      <c r="H3569" s="4" t="s">
        <v>380</v>
      </c>
      <c r="I3569" s="4">
        <v>0.23599999999999999</v>
      </c>
      <c r="J3569" s="21">
        <v>850</v>
      </c>
      <c r="K3569" s="21">
        <v>200.6</v>
      </c>
      <c r="L3569" s="5">
        <v>0</v>
      </c>
      <c r="M3569" s="4"/>
      <c r="N3569" s="4"/>
      <c r="O3569" s="5"/>
      <c r="P3569" s="5"/>
      <c r="Q3569" s="21">
        <v>0</v>
      </c>
      <c r="R3569" s="21">
        <v>0</v>
      </c>
      <c r="S3569" s="5">
        <f t="shared" si="223"/>
        <v>36156.313040949106</v>
      </c>
      <c r="T3569" cm="1">
        <f t="array" ref="T3569">IF(OR(B3569="MAL ALIMI", B3569="ÜRETİM GİRİŞ"), MIN(I3569, MAX(0, I3569 + SUM(SUMIFS($I$1:I3568, $C$1:C3568, C3569, $B$1:B3568, {"MAL ALIMI","ÜRETİM GİRİŞ"})) - VLOOKUP(C3569, 'STOK RAPORU'!$C$2:$I$1000, 4, 0))), 0)</f>
        <v>0</v>
      </c>
      <c r="U3569" s="22">
        <f t="shared" si="220"/>
        <v>0</v>
      </c>
      <c r="V3569">
        <f t="shared" si="221"/>
        <v>0</v>
      </c>
      <c r="W3569" s="22">
        <f t="shared" si="222"/>
        <v>0</v>
      </c>
    </row>
    <row r="3570" spans="1:23" hidden="1" x14ac:dyDescent="0.25">
      <c r="A3570" s="45">
        <v>46049</v>
      </c>
      <c r="B3570" s="46" t="s">
        <v>334</v>
      </c>
      <c r="C3570" s="4" t="s">
        <v>728</v>
      </c>
      <c r="D3570" s="4"/>
      <c r="E3570" s="4" t="s">
        <v>921</v>
      </c>
      <c r="F3570" s="46" t="s">
        <v>1869</v>
      </c>
      <c r="G3570" s="4" t="s">
        <v>336</v>
      </c>
      <c r="H3570" s="4" t="s">
        <v>380</v>
      </c>
      <c r="I3570" s="4">
        <v>0.41594202898550725</v>
      </c>
      <c r="J3570" s="21">
        <v>650</v>
      </c>
      <c r="K3570" s="21">
        <v>270.36231884057969</v>
      </c>
      <c r="L3570" s="5">
        <v>0</v>
      </c>
      <c r="M3570" s="4"/>
      <c r="N3570" s="4"/>
      <c r="O3570" s="5"/>
      <c r="P3570" s="5"/>
      <c r="Q3570" s="21">
        <v>0</v>
      </c>
      <c r="R3570" s="21">
        <v>0</v>
      </c>
      <c r="S3570" s="5">
        <f t="shared" si="223"/>
        <v>36156.313040949106</v>
      </c>
      <c r="T3570" cm="1">
        <f t="array" ref="T3570">IF(OR(B3570="MAL ALIMI", B3570="ÜRETİM GİRİŞ"), MIN(I3570, MAX(0, I3570 + SUM(SUMIFS($I$1:I3569, $C$1:C3569, C3570, $B$1:B3569, {"MAL ALIMI","ÜRETİM GİRİŞ"})) - VLOOKUP(C3570, 'STOK RAPORU'!$C$2:$I$1000, 4, 0))), 0)</f>
        <v>0</v>
      </c>
      <c r="U3570" s="22">
        <f t="shared" si="220"/>
        <v>0</v>
      </c>
      <c r="V3570">
        <f t="shared" si="221"/>
        <v>0</v>
      </c>
      <c r="W3570" s="22">
        <f t="shared" si="222"/>
        <v>0</v>
      </c>
    </row>
    <row r="3571" spans="1:23" hidden="1" x14ac:dyDescent="0.25">
      <c r="A3571" s="45">
        <v>46049</v>
      </c>
      <c r="B3571" s="46" t="s">
        <v>334</v>
      </c>
      <c r="C3571" s="4" t="s">
        <v>691</v>
      </c>
      <c r="D3571" s="4"/>
      <c r="E3571" s="4" t="s">
        <v>921</v>
      </c>
      <c r="F3571" s="46" t="s">
        <v>1869</v>
      </c>
      <c r="G3571" s="4" t="s">
        <v>336</v>
      </c>
      <c r="H3571" s="4" t="s">
        <v>380</v>
      </c>
      <c r="I3571" s="4">
        <v>0.34782608695652173</v>
      </c>
      <c r="J3571" s="21">
        <v>230</v>
      </c>
      <c r="K3571" s="21">
        <v>80</v>
      </c>
      <c r="L3571" s="5">
        <v>0</v>
      </c>
      <c r="M3571" s="4"/>
      <c r="N3571" s="4"/>
      <c r="O3571" s="5"/>
      <c r="P3571" s="5"/>
      <c r="Q3571" s="21">
        <v>0</v>
      </c>
      <c r="R3571" s="21">
        <v>0</v>
      </c>
      <c r="S3571" s="5">
        <f t="shared" si="223"/>
        <v>36156.313040949106</v>
      </c>
      <c r="T3571" cm="1">
        <f t="array" ref="T3571">IF(OR(B3571="MAL ALIMI", B3571="ÜRETİM GİRİŞ"), MIN(I3571, MAX(0, I3571 + SUM(SUMIFS($I$1:I3570, $C$1:C3570, C3571, $B$1:B3570, {"MAL ALIMI","ÜRETİM GİRİŞ"})) - VLOOKUP(C3571, 'STOK RAPORU'!$C$2:$I$1000, 4, 0))), 0)</f>
        <v>0</v>
      </c>
      <c r="U3571" s="22">
        <f t="shared" si="220"/>
        <v>0</v>
      </c>
      <c r="V3571">
        <f t="shared" si="221"/>
        <v>0</v>
      </c>
      <c r="W3571" s="22">
        <f t="shared" si="222"/>
        <v>0</v>
      </c>
    </row>
    <row r="3572" spans="1:23" hidden="1" x14ac:dyDescent="0.25">
      <c r="A3572" s="45">
        <v>46049</v>
      </c>
      <c r="B3572" s="46" t="s">
        <v>334</v>
      </c>
      <c r="C3572" s="4" t="s">
        <v>465</v>
      </c>
      <c r="D3572" s="4"/>
      <c r="E3572" s="4"/>
      <c r="F3572" s="46" t="s">
        <v>1870</v>
      </c>
      <c r="G3572" s="4" t="s">
        <v>336</v>
      </c>
      <c r="H3572" s="4" t="s">
        <v>289</v>
      </c>
      <c r="I3572" s="4">
        <v>1</v>
      </c>
      <c r="J3572" s="21">
        <v>50</v>
      </c>
      <c r="K3572" s="21">
        <v>0</v>
      </c>
      <c r="L3572" s="5">
        <v>0</v>
      </c>
      <c r="M3572" s="4"/>
      <c r="N3572" s="4"/>
      <c r="O3572" s="5"/>
      <c r="P3572" s="5"/>
      <c r="Q3572" s="21">
        <v>50</v>
      </c>
      <c r="R3572" s="21">
        <v>0</v>
      </c>
      <c r="S3572" s="5">
        <f t="shared" si="223"/>
        <v>36206.313040949106</v>
      </c>
      <c r="T3572" cm="1">
        <f t="array" ref="T3572">IF(OR(B3572="MAL ALIMI", B3572="ÜRETİM GİRİŞ"), MIN(I3572, MAX(0, I3572 + SUM(SUMIFS($I$1:I3571, $C$1:C3571, C3572, $B$1:B3571, {"MAL ALIMI","ÜRETİM GİRİŞ"})) - VLOOKUP(C3572, 'STOK RAPORU'!$C$2:$I$1000, 4, 0))), 0)</f>
        <v>0</v>
      </c>
      <c r="U3572" s="22">
        <f t="shared" si="220"/>
        <v>0</v>
      </c>
      <c r="V3572">
        <f t="shared" si="221"/>
        <v>0</v>
      </c>
      <c r="W3572" s="22">
        <f t="shared" si="222"/>
        <v>0</v>
      </c>
    </row>
    <row r="3573" spans="1:23" hidden="1" x14ac:dyDescent="0.25">
      <c r="A3573" s="45">
        <v>46049</v>
      </c>
      <c r="B3573" s="46" t="s">
        <v>334</v>
      </c>
      <c r="C3573" s="4" t="s">
        <v>236</v>
      </c>
      <c r="D3573" s="4"/>
      <c r="E3573" s="4"/>
      <c r="F3573" s="46" t="s">
        <v>1870</v>
      </c>
      <c r="G3573" s="4" t="s">
        <v>336</v>
      </c>
      <c r="H3573" s="4" t="s">
        <v>289</v>
      </c>
      <c r="I3573" s="4">
        <v>0.09</v>
      </c>
      <c r="J3573" s="21">
        <v>350</v>
      </c>
      <c r="K3573" s="21">
        <v>0</v>
      </c>
      <c r="L3573" s="5">
        <v>0</v>
      </c>
      <c r="M3573" s="4"/>
      <c r="N3573" s="4"/>
      <c r="O3573" s="5"/>
      <c r="P3573" s="5"/>
      <c r="Q3573" s="21">
        <v>31.5</v>
      </c>
      <c r="R3573" s="21">
        <v>0</v>
      </c>
      <c r="S3573" s="5">
        <f t="shared" si="223"/>
        <v>36237.813040949106</v>
      </c>
      <c r="T3573" cm="1">
        <f t="array" ref="T3573">IF(OR(B3573="MAL ALIMI", B3573="ÜRETİM GİRİŞ"), MIN(I3573, MAX(0, I3573 + SUM(SUMIFS($I$1:I3572, $C$1:C3572, C3573, $B$1:B3572, {"MAL ALIMI","ÜRETİM GİRİŞ"})) - VLOOKUP(C3573, 'STOK RAPORU'!$C$2:$I$1000, 4, 0))), 0)</f>
        <v>0</v>
      </c>
      <c r="U3573" s="22">
        <f t="shared" si="220"/>
        <v>0</v>
      </c>
      <c r="V3573">
        <f t="shared" si="221"/>
        <v>0</v>
      </c>
      <c r="W3573" s="22">
        <f t="shared" si="222"/>
        <v>0</v>
      </c>
    </row>
    <row r="3574" spans="1:23" hidden="1" x14ac:dyDescent="0.25">
      <c r="A3574" s="45">
        <v>46049</v>
      </c>
      <c r="B3574" s="46" t="s">
        <v>334</v>
      </c>
      <c r="C3574" s="4" t="s">
        <v>1357</v>
      </c>
      <c r="D3574" s="4"/>
      <c r="E3574" s="4"/>
      <c r="F3574" s="46" t="s">
        <v>1870</v>
      </c>
      <c r="G3574" s="4" t="s">
        <v>336</v>
      </c>
      <c r="H3574" s="4" t="s">
        <v>289</v>
      </c>
      <c r="I3574" s="4">
        <v>0.17599999999999999</v>
      </c>
      <c r="J3574" s="21">
        <v>570</v>
      </c>
      <c r="K3574" s="21">
        <v>0</v>
      </c>
      <c r="L3574" s="5">
        <v>0</v>
      </c>
      <c r="M3574" s="4"/>
      <c r="N3574" s="4"/>
      <c r="O3574" s="5"/>
      <c r="P3574" s="5"/>
      <c r="Q3574" s="21">
        <v>100.32</v>
      </c>
      <c r="R3574" s="21">
        <v>0</v>
      </c>
      <c r="S3574" s="5">
        <f t="shared" si="223"/>
        <v>36338.133040949106</v>
      </c>
      <c r="T3574" cm="1">
        <f t="array" ref="T3574">IF(OR(B3574="MAL ALIMI", B3574="ÜRETİM GİRİŞ"), MIN(I3574, MAX(0, I3574 + SUM(SUMIFS($I$1:I3573, $C$1:C3573, C3574, $B$1:B3573, {"MAL ALIMI","ÜRETİM GİRİŞ"})) - VLOOKUP(C3574, 'STOK RAPORU'!$C$2:$I$1000, 4, 0))), 0)</f>
        <v>0</v>
      </c>
      <c r="U3574" s="22">
        <f t="shared" si="220"/>
        <v>0</v>
      </c>
      <c r="V3574">
        <f t="shared" si="221"/>
        <v>0</v>
      </c>
      <c r="W3574" s="22">
        <f t="shared" si="222"/>
        <v>0</v>
      </c>
    </row>
    <row r="3575" spans="1:23" hidden="1" x14ac:dyDescent="0.25">
      <c r="A3575" s="45">
        <v>46049</v>
      </c>
      <c r="B3575" s="46" t="s">
        <v>334</v>
      </c>
      <c r="C3575" s="4" t="s">
        <v>587</v>
      </c>
      <c r="D3575" s="46"/>
      <c r="E3575" s="46"/>
      <c r="F3575" s="46" t="s">
        <v>1910</v>
      </c>
      <c r="G3575" s="46" t="s">
        <v>1911</v>
      </c>
      <c r="H3575" s="46" t="s">
        <v>289</v>
      </c>
      <c r="I3575" s="46">
        <v>2</v>
      </c>
      <c r="J3575" s="47">
        <v>150</v>
      </c>
      <c r="K3575" s="47">
        <v>0</v>
      </c>
      <c r="L3575" s="48">
        <v>0</v>
      </c>
      <c r="M3575" s="42"/>
      <c r="N3575" s="42"/>
      <c r="O3575" s="44"/>
      <c r="P3575" s="44"/>
      <c r="Q3575" s="47">
        <v>300</v>
      </c>
      <c r="R3575" s="47">
        <v>0</v>
      </c>
      <c r="S3575" s="5">
        <f t="shared" si="223"/>
        <v>36638.133040949106</v>
      </c>
      <c r="T3575" cm="1">
        <f t="array" ref="T3575">IF(OR(B3575="MAL ALIMI", B3575="ÜRETİM GİRİŞ"), MIN(I3575, MAX(0, I3575 + SUM(SUMIFS($I$1:I3574, $C$1:C3574, C3575, $B$1:B3574, {"MAL ALIMI","ÜRETİM GİRİŞ"})) - VLOOKUP(C3575, 'STOK RAPORU'!$C$2:$I$1000, 4, 0))), 0)</f>
        <v>0</v>
      </c>
      <c r="U3575" s="22">
        <f t="shared" si="220"/>
        <v>0</v>
      </c>
      <c r="V3575">
        <f t="shared" si="221"/>
        <v>0</v>
      </c>
      <c r="W3575" s="22">
        <f t="shared" si="222"/>
        <v>0</v>
      </c>
    </row>
    <row r="3576" spans="1:23" hidden="1" x14ac:dyDescent="0.25">
      <c r="A3576" s="45">
        <v>46049</v>
      </c>
      <c r="B3576" s="4" t="s">
        <v>946</v>
      </c>
      <c r="C3576" s="4"/>
      <c r="D3576" s="4"/>
      <c r="E3576" s="4" t="s">
        <v>921</v>
      </c>
      <c r="F3576" s="4"/>
      <c r="G3576" s="4" t="s">
        <v>1885</v>
      </c>
      <c r="H3576" s="4" t="s">
        <v>380</v>
      </c>
      <c r="I3576" s="4">
        <v>1</v>
      </c>
      <c r="J3576" s="105">
        <v>12855.54</v>
      </c>
      <c r="K3576" s="21">
        <v>0</v>
      </c>
      <c r="L3576" s="102">
        <v>12855.54</v>
      </c>
      <c r="M3576" s="4">
        <v>912.4</v>
      </c>
      <c r="N3576" s="4"/>
      <c r="O3576" s="5"/>
      <c r="P3576" s="5"/>
      <c r="Q3576" s="102">
        <v>12855.54</v>
      </c>
      <c r="R3576" s="21">
        <v>0</v>
      </c>
      <c r="S3576" s="5">
        <f t="shared" si="223"/>
        <v>49493.673040949107</v>
      </c>
      <c r="T3576" cm="1">
        <f t="array" ref="T3576">IF(OR(B3576="MAL ALIMI", B3576="ÜRETİM GİRİŞ"), MIN(I3576, MAX(0, I3576 + SUM(SUMIFS($I$1:I3575, $C$1:C3575, C3576, $B$1:B3575, {"MAL ALIMI","ÜRETİM GİRİŞ"})) - VLOOKUP(C3576, 'STOK RAPORU'!$C$2:$I$1000, 4, 0))), 0)</f>
        <v>0</v>
      </c>
      <c r="U3576" s="22">
        <f t="shared" si="220"/>
        <v>0</v>
      </c>
      <c r="V3576">
        <f t="shared" si="221"/>
        <v>0</v>
      </c>
      <c r="W3576" s="22">
        <f t="shared" si="222"/>
        <v>0</v>
      </c>
    </row>
    <row r="3577" spans="1:23" hidden="1" x14ac:dyDescent="0.25">
      <c r="A3577" s="45">
        <v>46049</v>
      </c>
      <c r="B3577" s="4" t="s">
        <v>285</v>
      </c>
      <c r="C3577" s="4"/>
      <c r="D3577" s="4" t="s">
        <v>673</v>
      </c>
      <c r="E3577" s="4"/>
      <c r="F3577" s="4"/>
      <c r="G3577" s="4" t="s">
        <v>1885</v>
      </c>
      <c r="H3577" s="4" t="s">
        <v>289</v>
      </c>
      <c r="I3577" s="4">
        <v>1</v>
      </c>
      <c r="J3577" s="21">
        <v>12855.54</v>
      </c>
      <c r="K3577" s="21">
        <v>0</v>
      </c>
      <c r="L3577" s="5">
        <v>0</v>
      </c>
      <c r="M3577" s="4"/>
      <c r="N3577" s="4"/>
      <c r="O3577" s="5"/>
      <c r="P3577" s="5"/>
      <c r="Q3577" s="21">
        <v>0</v>
      </c>
      <c r="R3577" s="21">
        <v>12855.54</v>
      </c>
      <c r="S3577" s="5">
        <f t="shared" si="223"/>
        <v>36638.133040949106</v>
      </c>
      <c r="T3577" cm="1">
        <f t="array" ref="T3577">IF(OR(B3577="MAL ALIMI", B3577="ÜRETİM GİRİŞ"), MIN(I3577, MAX(0, I3577 + SUM(SUMIFS($I$1:I3576, $C$1:C3576, C3577, $B$1:B3576, {"MAL ALIMI","ÜRETİM GİRİŞ"})) - VLOOKUP(C3577, 'STOK RAPORU'!$C$2:$I$1000, 4, 0))), 0)</f>
        <v>0</v>
      </c>
      <c r="U3577" s="22">
        <f t="shared" si="220"/>
        <v>0</v>
      </c>
      <c r="V3577">
        <f t="shared" si="221"/>
        <v>0</v>
      </c>
      <c r="W3577" s="22">
        <f t="shared" si="222"/>
        <v>0</v>
      </c>
    </row>
    <row r="3578" spans="1:23" hidden="1" x14ac:dyDescent="0.25">
      <c r="A3578" s="45">
        <v>46049</v>
      </c>
      <c r="B3578" s="4" t="s">
        <v>946</v>
      </c>
      <c r="C3578" s="4"/>
      <c r="D3578" s="4"/>
      <c r="E3578" s="4" t="s">
        <v>921</v>
      </c>
      <c r="F3578" s="4"/>
      <c r="G3578" s="4" t="s">
        <v>947</v>
      </c>
      <c r="H3578" s="4" t="s">
        <v>380</v>
      </c>
      <c r="I3578" s="4">
        <v>1</v>
      </c>
      <c r="J3578" s="105">
        <v>791</v>
      </c>
      <c r="K3578" s="21">
        <v>0</v>
      </c>
      <c r="L3578" s="102">
        <v>791</v>
      </c>
      <c r="M3578" s="4"/>
      <c r="N3578" s="4"/>
      <c r="O3578" s="5"/>
      <c r="P3578" s="5"/>
      <c r="Q3578" s="102">
        <v>791</v>
      </c>
      <c r="R3578" s="21">
        <v>0</v>
      </c>
      <c r="S3578" s="5">
        <f t="shared" si="223"/>
        <v>37429.133040949106</v>
      </c>
      <c r="T3578" cm="1">
        <f t="array" ref="T3578">IF(OR(B3578="MAL ALIMI", B3578="ÜRETİM GİRİŞ"), MIN(I3578, MAX(0, I3578 + SUM(SUMIFS($I$1:I3577, $C$1:C3577, C3578, $B$1:B3577, {"MAL ALIMI","ÜRETİM GİRİŞ"})) - VLOOKUP(C3578, 'STOK RAPORU'!$C$2:$I$1000, 4, 0))), 0)</f>
        <v>0</v>
      </c>
      <c r="U3578" s="22">
        <f t="shared" si="220"/>
        <v>0</v>
      </c>
      <c r="V3578">
        <f t="shared" si="221"/>
        <v>0</v>
      </c>
      <c r="W3578" s="22">
        <f t="shared" si="222"/>
        <v>0</v>
      </c>
    </row>
    <row r="3579" spans="1:23" hidden="1" x14ac:dyDescent="0.25">
      <c r="A3579" s="45">
        <v>46049</v>
      </c>
      <c r="B3579" s="4" t="s">
        <v>285</v>
      </c>
      <c r="C3579" s="4"/>
      <c r="D3579" s="4" t="s">
        <v>673</v>
      </c>
      <c r="E3579" s="4"/>
      <c r="F3579" s="4"/>
      <c r="G3579" s="4" t="s">
        <v>947</v>
      </c>
      <c r="H3579" s="4" t="s">
        <v>289</v>
      </c>
      <c r="I3579" s="4">
        <v>1</v>
      </c>
      <c r="J3579" s="21">
        <v>791</v>
      </c>
      <c r="K3579" s="21">
        <v>0</v>
      </c>
      <c r="L3579" s="5">
        <v>0</v>
      </c>
      <c r="M3579" s="4"/>
      <c r="N3579" s="4"/>
      <c r="O3579" s="5"/>
      <c r="P3579" s="5"/>
      <c r="Q3579" s="21">
        <v>0</v>
      </c>
      <c r="R3579" s="21">
        <v>791</v>
      </c>
      <c r="S3579" s="5">
        <f t="shared" si="223"/>
        <v>36638.133040949106</v>
      </c>
      <c r="T3579" cm="1">
        <f t="array" ref="T3579">IF(OR(B3579="MAL ALIMI", B3579="ÜRETİM GİRİŞ"), MIN(I3579, MAX(0, I3579 + SUM(SUMIFS($I$1:I3578, $C$1:C3578, C3579, $B$1:B3578, {"MAL ALIMI","ÜRETİM GİRİŞ"})) - VLOOKUP(C3579, 'STOK RAPORU'!$C$2:$I$1000, 4, 0))), 0)</f>
        <v>0</v>
      </c>
      <c r="U3579" s="22">
        <f t="shared" si="220"/>
        <v>0</v>
      </c>
      <c r="V3579">
        <f t="shared" si="221"/>
        <v>0</v>
      </c>
      <c r="W3579" s="22">
        <f t="shared" si="222"/>
        <v>0</v>
      </c>
    </row>
    <row r="3580" spans="1:23" hidden="1" x14ac:dyDescent="0.25">
      <c r="A3580" s="3">
        <v>46049</v>
      </c>
      <c r="B3580" s="4" t="s">
        <v>298</v>
      </c>
      <c r="C3580" s="4" t="s">
        <v>751</v>
      </c>
      <c r="D3580" s="4"/>
      <c r="E3580" s="4" t="s">
        <v>856</v>
      </c>
      <c r="F3580" s="4"/>
      <c r="G3580" s="4" t="s">
        <v>753</v>
      </c>
      <c r="H3580" s="4" t="s">
        <v>1329</v>
      </c>
      <c r="I3580" s="4">
        <v>4</v>
      </c>
      <c r="J3580" s="4">
        <v>169.9</v>
      </c>
      <c r="K3580" s="21">
        <v>0</v>
      </c>
      <c r="L3580" s="5">
        <v>679.6</v>
      </c>
      <c r="M3580" s="4"/>
      <c r="N3580" s="4"/>
      <c r="O3580" s="5"/>
      <c r="P3580" s="5"/>
      <c r="Q3580" s="21">
        <v>0</v>
      </c>
      <c r="R3580" s="21">
        <v>0</v>
      </c>
      <c r="S3580" s="5">
        <f t="shared" si="223"/>
        <v>36638.133040949106</v>
      </c>
      <c r="T3580" cm="1">
        <f t="array" ref="T3580">IF(OR(B3580="MAL ALIMI", B3580="ÜRETİM GİRİŞ"), MIN(I3580, MAX(0, I3580 + SUM(SUMIFS($I$1:I3579, $C$1:C3579, C3580, $B$1:B3579, {"MAL ALIMI","ÜRETİM GİRİŞ"})) - VLOOKUP(C3580, 'STOK RAPORU'!$C$2:$I$1000, 4, 0))), 0)</f>
        <v>0</v>
      </c>
      <c r="U3580" s="22">
        <f t="shared" si="220"/>
        <v>0</v>
      </c>
      <c r="V3580">
        <f t="shared" si="221"/>
        <v>679.6</v>
      </c>
      <c r="W3580" s="22">
        <f t="shared" si="222"/>
        <v>679.6</v>
      </c>
    </row>
    <row r="3581" spans="1:23" hidden="1" x14ac:dyDescent="0.25">
      <c r="A3581" s="3">
        <v>46049</v>
      </c>
      <c r="B3581" s="4" t="s">
        <v>298</v>
      </c>
      <c r="C3581" s="4" t="s">
        <v>751</v>
      </c>
      <c r="D3581" s="4"/>
      <c r="E3581" s="4" t="s">
        <v>856</v>
      </c>
      <c r="F3581" s="4"/>
      <c r="G3581" s="4" t="s">
        <v>753</v>
      </c>
      <c r="H3581" s="4" t="s">
        <v>1329</v>
      </c>
      <c r="I3581" s="4">
        <v>4</v>
      </c>
      <c r="J3581" s="4">
        <v>169.9</v>
      </c>
      <c r="K3581" s="21">
        <v>0</v>
      </c>
      <c r="L3581" s="5">
        <v>679.6</v>
      </c>
      <c r="M3581" s="4"/>
      <c r="N3581" s="4"/>
      <c r="O3581" s="5"/>
      <c r="P3581" s="5"/>
      <c r="Q3581" s="21">
        <v>0</v>
      </c>
      <c r="R3581" s="21">
        <v>0</v>
      </c>
      <c r="S3581" s="5">
        <f t="shared" si="223"/>
        <v>36638.133040949106</v>
      </c>
      <c r="T3581" cm="1">
        <f t="array" ref="T3581">IF(OR(B3581="MAL ALIMI", B3581="ÜRETİM GİRİŞ"), MIN(I3581, MAX(0, I3581 + SUM(SUMIFS($I$1:I3580, $C$1:C3580, C3581, $B$1:B3580, {"MAL ALIMI","ÜRETİM GİRİŞ"})) - VLOOKUP(C3581, 'STOK RAPORU'!$C$2:$I$1000, 4, 0))), 0)</f>
        <v>0</v>
      </c>
      <c r="U3581" s="22">
        <f t="shared" si="220"/>
        <v>0</v>
      </c>
      <c r="V3581">
        <f t="shared" si="221"/>
        <v>679.6</v>
      </c>
      <c r="W3581" s="22">
        <f t="shared" si="222"/>
        <v>679.6</v>
      </c>
    </row>
    <row r="3582" spans="1:23" hidden="1" x14ac:dyDescent="0.25">
      <c r="A3582" s="3">
        <v>46050</v>
      </c>
      <c r="B3582" s="4" t="s">
        <v>298</v>
      </c>
      <c r="C3582" s="4" t="s">
        <v>192</v>
      </c>
      <c r="D3582" s="4"/>
      <c r="E3582" s="4" t="s">
        <v>350</v>
      </c>
      <c r="F3582" s="4">
        <v>997058</v>
      </c>
      <c r="G3582" s="4" t="s">
        <v>350</v>
      </c>
      <c r="H3582" s="4" t="s">
        <v>304</v>
      </c>
      <c r="I3582" s="4">
        <v>2</v>
      </c>
      <c r="J3582" s="21">
        <v>85</v>
      </c>
      <c r="K3582" s="21">
        <v>0</v>
      </c>
      <c r="L3582" s="5">
        <v>170</v>
      </c>
      <c r="M3582" s="4"/>
      <c r="N3582" s="4"/>
      <c r="O3582" s="5"/>
      <c r="P3582" s="5"/>
      <c r="Q3582" s="21">
        <v>0</v>
      </c>
      <c r="R3582" s="21">
        <v>0</v>
      </c>
      <c r="S3582" s="5">
        <f t="shared" si="223"/>
        <v>36638.133040949106</v>
      </c>
      <c r="T3582" cm="1">
        <f t="array" ref="T3582">IF(OR(B3582="MAL ALIMI", B3582="ÜRETİM GİRİŞ"), MIN(I3582, MAX(0, I3582 + SUM(SUMIFS($I$1:I3581, $C$1:C3581, C3582, $B$1:B3581, {"MAL ALIMI","ÜRETİM GİRİŞ"})) - VLOOKUP(C3582, 'STOK RAPORU'!$C$2:$I$1000, 4, 0))), 0)</f>
        <v>0</v>
      </c>
      <c r="U3582" s="22">
        <f t="shared" si="220"/>
        <v>0</v>
      </c>
      <c r="V3582">
        <f t="shared" si="221"/>
        <v>170</v>
      </c>
      <c r="W3582" s="22">
        <f t="shared" si="222"/>
        <v>170</v>
      </c>
    </row>
    <row r="3583" spans="1:23" hidden="1" x14ac:dyDescent="0.25">
      <c r="A3583" s="3">
        <v>46050</v>
      </c>
      <c r="B3583" s="4" t="s">
        <v>298</v>
      </c>
      <c r="C3583" s="4" t="s">
        <v>196</v>
      </c>
      <c r="D3583" s="4"/>
      <c r="E3583" s="4" t="s">
        <v>350</v>
      </c>
      <c r="F3583" s="4">
        <v>997058</v>
      </c>
      <c r="G3583" s="4" t="s">
        <v>350</v>
      </c>
      <c r="H3583" s="4" t="s">
        <v>304</v>
      </c>
      <c r="I3583" s="4">
        <v>3</v>
      </c>
      <c r="J3583" s="21">
        <v>130</v>
      </c>
      <c r="K3583" s="21">
        <v>0</v>
      </c>
      <c r="L3583" s="5">
        <v>390</v>
      </c>
      <c r="M3583" s="4"/>
      <c r="N3583" s="4"/>
      <c r="O3583" s="5"/>
      <c r="P3583" s="5"/>
      <c r="Q3583" s="21">
        <v>0</v>
      </c>
      <c r="R3583" s="21">
        <v>0</v>
      </c>
      <c r="S3583" s="5">
        <f t="shared" si="223"/>
        <v>36638.133040949106</v>
      </c>
      <c r="T3583" cm="1">
        <f t="array" ref="T3583">IF(OR(B3583="MAL ALIMI", B3583="ÜRETİM GİRİŞ"), MIN(I3583, MAX(0, I3583 + SUM(SUMIFS($I$1:I3582, $C$1:C3582, C3583, $B$1:B3582, {"MAL ALIMI","ÜRETİM GİRİŞ"})) - VLOOKUP(C3583, 'STOK RAPORU'!$C$2:$I$1000, 4, 0))), 0)</f>
        <v>0</v>
      </c>
      <c r="U3583" s="22">
        <f t="shared" si="220"/>
        <v>0</v>
      </c>
      <c r="V3583">
        <f t="shared" si="221"/>
        <v>390</v>
      </c>
      <c r="W3583" s="22">
        <f t="shared" si="222"/>
        <v>390</v>
      </c>
    </row>
    <row r="3584" spans="1:23" hidden="1" x14ac:dyDescent="0.25">
      <c r="A3584" s="3">
        <v>46050</v>
      </c>
      <c r="B3584" s="4" t="s">
        <v>298</v>
      </c>
      <c r="C3584" s="4" t="s">
        <v>197</v>
      </c>
      <c r="D3584" s="4"/>
      <c r="E3584" s="4" t="s">
        <v>350</v>
      </c>
      <c r="F3584" s="4">
        <v>997058</v>
      </c>
      <c r="G3584" s="4" t="s">
        <v>350</v>
      </c>
      <c r="H3584" s="4" t="s">
        <v>304</v>
      </c>
      <c r="I3584" s="4">
        <v>3</v>
      </c>
      <c r="J3584" s="21">
        <v>140</v>
      </c>
      <c r="K3584" s="21">
        <v>0</v>
      </c>
      <c r="L3584" s="5">
        <v>420</v>
      </c>
      <c r="M3584" s="4"/>
      <c r="N3584" s="4"/>
      <c r="O3584" s="5"/>
      <c r="P3584" s="5"/>
      <c r="Q3584" s="21">
        <v>0</v>
      </c>
      <c r="R3584" s="21">
        <v>0</v>
      </c>
      <c r="S3584" s="5">
        <f t="shared" si="223"/>
        <v>36638.133040949106</v>
      </c>
      <c r="T3584" cm="1">
        <f t="array" ref="T3584">IF(OR(B3584="MAL ALIMI", B3584="ÜRETİM GİRİŞ"), MIN(I3584, MAX(0, I3584 + SUM(SUMIFS($I$1:I3583, $C$1:C3583, C3584, $B$1:B3583, {"MAL ALIMI","ÜRETİM GİRİŞ"})) - VLOOKUP(C3584, 'STOK RAPORU'!$C$2:$I$1000, 4, 0))), 0)</f>
        <v>0.32991121281464686</v>
      </c>
      <c r="U3584" s="22">
        <f t="shared" si="220"/>
        <v>46.18756979405056</v>
      </c>
      <c r="V3584">
        <f t="shared" si="221"/>
        <v>420</v>
      </c>
      <c r="W3584" s="22">
        <f t="shared" si="222"/>
        <v>373.81243020594945</v>
      </c>
    </row>
    <row r="3585" spans="1:23" hidden="1" x14ac:dyDescent="0.25">
      <c r="A3585" s="3">
        <v>46050</v>
      </c>
      <c r="B3585" s="4" t="s">
        <v>298</v>
      </c>
      <c r="C3585" s="4" t="s">
        <v>1894</v>
      </c>
      <c r="D3585" s="4"/>
      <c r="E3585" s="4" t="s">
        <v>350</v>
      </c>
      <c r="F3585" s="4">
        <v>997058</v>
      </c>
      <c r="G3585" s="4" t="s">
        <v>350</v>
      </c>
      <c r="H3585" s="4" t="s">
        <v>304</v>
      </c>
      <c r="I3585" s="4">
        <v>5</v>
      </c>
      <c r="J3585" s="21">
        <v>35</v>
      </c>
      <c r="K3585" s="21">
        <v>0</v>
      </c>
      <c r="L3585" s="5">
        <v>175</v>
      </c>
      <c r="M3585" s="4"/>
      <c r="N3585" s="4"/>
      <c r="O3585" s="5"/>
      <c r="P3585" s="5"/>
      <c r="Q3585" s="21">
        <v>0</v>
      </c>
      <c r="R3585" s="21">
        <v>0</v>
      </c>
      <c r="S3585" s="5">
        <f t="shared" si="223"/>
        <v>36638.133040949106</v>
      </c>
      <c r="T3585" cm="1">
        <f t="array" ref="T3585">IF(OR(B3585="MAL ALIMI", B3585="ÜRETİM GİRİŞ"), MIN(I3585, MAX(0, I3585 + SUM(SUMIFS($I$1:I3584, $C$1:C3584, C3585, $B$1:B3584, {"MAL ALIMI","ÜRETİM GİRİŞ"})) - VLOOKUP(C3585, 'STOK RAPORU'!$C$2:$I$1000, 4, 0))), 0)</f>
        <v>1</v>
      </c>
      <c r="U3585" s="22">
        <f t="shared" ref="U3585:U3648" si="224">T3585*J3585</f>
        <v>35</v>
      </c>
      <c r="V3585">
        <f t="shared" ref="V3585:V3648" si="225">IF(OR(B3585="MAL ALIMI", B3585="ÜRETİM GİRİŞ"), I3585 * J3585, 0)</f>
        <v>175</v>
      </c>
      <c r="W3585" s="22">
        <f t="shared" ref="W3585:W3648" si="226">V3585-U3585</f>
        <v>140</v>
      </c>
    </row>
    <row r="3586" spans="1:23" hidden="1" x14ac:dyDescent="0.25">
      <c r="A3586" s="3">
        <v>46050</v>
      </c>
      <c r="B3586" s="4" t="s">
        <v>298</v>
      </c>
      <c r="C3586" s="4" t="s">
        <v>691</v>
      </c>
      <c r="D3586" s="4"/>
      <c r="E3586" s="4" t="s">
        <v>350</v>
      </c>
      <c r="F3586" s="4">
        <v>997058</v>
      </c>
      <c r="G3586" s="4" t="s">
        <v>350</v>
      </c>
      <c r="H3586" s="4" t="s">
        <v>304</v>
      </c>
      <c r="I3586" s="4">
        <v>5</v>
      </c>
      <c r="J3586" s="21">
        <v>125</v>
      </c>
      <c r="K3586" s="21">
        <v>0</v>
      </c>
      <c r="L3586" s="5">
        <v>625</v>
      </c>
      <c r="M3586" s="4"/>
      <c r="N3586" s="4"/>
      <c r="O3586" s="5"/>
      <c r="P3586" s="5"/>
      <c r="Q3586" s="21">
        <v>0</v>
      </c>
      <c r="R3586" s="21">
        <v>0</v>
      </c>
      <c r="S3586" s="5">
        <f t="shared" si="223"/>
        <v>36638.133040949106</v>
      </c>
      <c r="T3586" cm="1">
        <f t="array" ref="T3586">IF(OR(B3586="MAL ALIMI", B3586="ÜRETİM GİRİŞ"), MIN(I3586, MAX(0, I3586 + SUM(SUMIFS($I$1:I3585, $C$1:C3585, C3586, $B$1:B3585, {"MAL ALIMI","ÜRETİM GİRİŞ"})) - VLOOKUP(C3586, 'STOK RAPORU'!$C$2:$I$1000, 4, 0))), 0)</f>
        <v>0</v>
      </c>
      <c r="U3586" s="22">
        <f t="shared" si="224"/>
        <v>0</v>
      </c>
      <c r="V3586">
        <f t="shared" si="225"/>
        <v>625</v>
      </c>
      <c r="W3586" s="22">
        <f t="shared" si="226"/>
        <v>625</v>
      </c>
    </row>
    <row r="3587" spans="1:23" hidden="1" x14ac:dyDescent="0.25">
      <c r="A3587" s="3">
        <v>46050</v>
      </c>
      <c r="B3587" s="4" t="s">
        <v>298</v>
      </c>
      <c r="C3587" s="4" t="s">
        <v>651</v>
      </c>
      <c r="D3587" s="4"/>
      <c r="E3587" s="4" t="s">
        <v>350</v>
      </c>
      <c r="F3587" s="4">
        <v>997058</v>
      </c>
      <c r="G3587" s="4" t="s">
        <v>350</v>
      </c>
      <c r="H3587" s="4" t="s">
        <v>304</v>
      </c>
      <c r="I3587" s="4">
        <v>5</v>
      </c>
      <c r="J3587" s="21">
        <v>265</v>
      </c>
      <c r="K3587" s="21">
        <v>0</v>
      </c>
      <c r="L3587" s="5">
        <v>1325</v>
      </c>
      <c r="M3587" s="4"/>
      <c r="N3587" s="4"/>
      <c r="O3587" s="5"/>
      <c r="P3587" s="5"/>
      <c r="Q3587" s="21">
        <v>0</v>
      </c>
      <c r="R3587" s="21">
        <v>0</v>
      </c>
      <c r="S3587" s="5">
        <f t="shared" si="223"/>
        <v>36638.133040949106</v>
      </c>
      <c r="T3587" cm="1">
        <f t="array" ref="T3587">IF(OR(B3587="MAL ALIMI", B3587="ÜRETİM GİRİŞ"), MIN(I3587, MAX(0, I3587 + SUM(SUMIFS($I$1:I3586, $C$1:C3586, C3587, $B$1:B3586, {"MAL ALIMI","ÜRETİM GİRİŞ"})) - VLOOKUP(C3587, 'STOK RAPORU'!$C$2:$I$1000, 4, 0))), 0)</f>
        <v>0</v>
      </c>
      <c r="U3587" s="22">
        <f t="shared" si="224"/>
        <v>0</v>
      </c>
      <c r="V3587">
        <f t="shared" si="225"/>
        <v>1325</v>
      </c>
      <c r="W3587" s="22">
        <f t="shared" si="226"/>
        <v>1325</v>
      </c>
    </row>
    <row r="3588" spans="1:23" hidden="1" x14ac:dyDescent="0.25">
      <c r="A3588" s="3">
        <v>46050</v>
      </c>
      <c r="B3588" s="4" t="s">
        <v>298</v>
      </c>
      <c r="C3588" s="4" t="s">
        <v>236</v>
      </c>
      <c r="D3588" s="4"/>
      <c r="E3588" s="4" t="s">
        <v>350</v>
      </c>
      <c r="F3588" s="4">
        <v>997058</v>
      </c>
      <c r="G3588" s="4" t="s">
        <v>350</v>
      </c>
      <c r="H3588" s="4" t="s">
        <v>304</v>
      </c>
      <c r="I3588" s="4">
        <v>3</v>
      </c>
      <c r="J3588" s="21">
        <v>140</v>
      </c>
      <c r="K3588" s="21">
        <v>0</v>
      </c>
      <c r="L3588" s="5">
        <v>420</v>
      </c>
      <c r="M3588" s="4"/>
      <c r="N3588" s="4"/>
      <c r="O3588" s="5"/>
      <c r="P3588" s="5"/>
      <c r="Q3588" s="21">
        <v>0</v>
      </c>
      <c r="R3588" s="21">
        <v>0</v>
      </c>
      <c r="S3588" s="5">
        <f t="shared" ref="S3588:S3651" si="227">S3587+Q3588-R3588</f>
        <v>36638.133040949106</v>
      </c>
      <c r="T3588" cm="1">
        <f t="array" ref="T3588">IF(OR(B3588="MAL ALIMI", B3588="ÜRETİM GİRİŞ"), MIN(I3588, MAX(0, I3588 + SUM(SUMIFS($I$1:I3587, $C$1:C3587, C3588, $B$1:B3587, {"MAL ALIMI","ÜRETİM GİRİŞ"})) - VLOOKUP(C3588, 'STOK RAPORU'!$C$2:$I$1000, 4, 0))), 0)</f>
        <v>0</v>
      </c>
      <c r="U3588" s="22">
        <f t="shared" si="224"/>
        <v>0</v>
      </c>
      <c r="V3588">
        <f t="shared" si="225"/>
        <v>420</v>
      </c>
      <c r="W3588" s="22">
        <f t="shared" si="226"/>
        <v>420</v>
      </c>
    </row>
    <row r="3589" spans="1:23" x14ac:dyDescent="0.25">
      <c r="A3589" s="3">
        <v>46050</v>
      </c>
      <c r="B3589" s="4" t="s">
        <v>659</v>
      </c>
      <c r="C3589" s="4" t="s">
        <v>139</v>
      </c>
      <c r="D3589" s="4"/>
      <c r="E3589" s="4" t="s">
        <v>855</v>
      </c>
      <c r="F3589" s="4">
        <v>5477425</v>
      </c>
      <c r="G3589" s="4" t="s">
        <v>1895</v>
      </c>
      <c r="H3589" s="4" t="s">
        <v>304</v>
      </c>
      <c r="I3589" s="4">
        <v>21</v>
      </c>
      <c r="J3589" s="21">
        <v>115</v>
      </c>
      <c r="K3589" s="5">
        <v>2415</v>
      </c>
      <c r="L3589" s="5">
        <v>0</v>
      </c>
      <c r="M3589" s="4"/>
      <c r="N3589" s="4"/>
      <c r="O3589" s="5"/>
      <c r="P3589" s="5"/>
      <c r="Q3589" s="21">
        <v>0</v>
      </c>
      <c r="R3589" s="21">
        <v>0</v>
      </c>
      <c r="S3589" s="5">
        <f t="shared" si="227"/>
        <v>36638.133040949106</v>
      </c>
      <c r="T3589" cm="1">
        <f t="array" ref="T3589">IF(OR(B3589="MAL ALIMI", B3589="ÜRETİM GİRİŞ"), MIN(I3589, MAX(0, I3589 + SUM(SUMIFS($I$1:I3588, $C$1:C3588, C3589, $B$1:B3588, {"MAL ALIMI","ÜRETİM GİRİŞ"})) - VLOOKUP(C3589, 'STOK RAPORU'!$C$2:$I$1000, 4, 0))), 0)</f>
        <v>0</v>
      </c>
      <c r="U3589" s="22">
        <f t="shared" si="224"/>
        <v>0</v>
      </c>
      <c r="V3589">
        <f t="shared" si="225"/>
        <v>0</v>
      </c>
      <c r="W3589" s="22">
        <f t="shared" si="226"/>
        <v>0</v>
      </c>
    </row>
    <row r="3590" spans="1:23" x14ac:dyDescent="0.25">
      <c r="A3590" s="3">
        <v>46050</v>
      </c>
      <c r="B3590" s="4" t="s">
        <v>659</v>
      </c>
      <c r="C3590" s="4" t="s">
        <v>165</v>
      </c>
      <c r="D3590" s="4"/>
      <c r="E3590" s="4" t="s">
        <v>855</v>
      </c>
      <c r="F3590" s="4">
        <v>5477426</v>
      </c>
      <c r="G3590" s="4" t="s">
        <v>1895</v>
      </c>
      <c r="H3590" s="4" t="s">
        <v>304</v>
      </c>
      <c r="I3590" s="4">
        <v>6.94</v>
      </c>
      <c r="J3590" s="21">
        <v>125</v>
      </c>
      <c r="K3590" s="5">
        <v>867.5</v>
      </c>
      <c r="L3590" s="5">
        <v>0</v>
      </c>
      <c r="M3590" s="4"/>
      <c r="N3590" s="4"/>
      <c r="O3590" s="5"/>
      <c r="P3590" s="5"/>
      <c r="Q3590" s="21">
        <v>0</v>
      </c>
      <c r="R3590" s="21">
        <v>0</v>
      </c>
      <c r="S3590" s="5">
        <f t="shared" si="227"/>
        <v>36638.133040949106</v>
      </c>
      <c r="T3590" cm="1">
        <f t="array" ref="T3590">IF(OR(B3590="MAL ALIMI", B3590="ÜRETİM GİRİŞ"), MIN(I3590, MAX(0, I3590 + SUM(SUMIFS($I$1:I3589, $C$1:C3589, C3590, $B$1:B3589, {"MAL ALIMI","ÜRETİM GİRİŞ"})) - VLOOKUP(C3590, 'STOK RAPORU'!$C$2:$I$1000, 4, 0))), 0)</f>
        <v>0</v>
      </c>
      <c r="U3590" s="22">
        <f t="shared" si="224"/>
        <v>0</v>
      </c>
      <c r="V3590">
        <f t="shared" si="225"/>
        <v>0</v>
      </c>
      <c r="W3590" s="22">
        <f t="shared" si="226"/>
        <v>0</v>
      </c>
    </row>
    <row r="3591" spans="1:23" x14ac:dyDescent="0.25">
      <c r="A3591" s="3">
        <v>46050</v>
      </c>
      <c r="B3591" s="4" t="s">
        <v>659</v>
      </c>
      <c r="C3591" s="4" t="s">
        <v>150</v>
      </c>
      <c r="D3591" s="4"/>
      <c r="E3591" s="4" t="s">
        <v>855</v>
      </c>
      <c r="F3591" s="4">
        <v>5477427</v>
      </c>
      <c r="G3591" s="4" t="s">
        <v>1895</v>
      </c>
      <c r="H3591" s="4" t="s">
        <v>304</v>
      </c>
      <c r="I3591" s="4">
        <v>1.85</v>
      </c>
      <c r="J3591" s="21">
        <v>550</v>
      </c>
      <c r="K3591" s="5">
        <v>1017.5</v>
      </c>
      <c r="L3591" s="5">
        <v>0</v>
      </c>
      <c r="M3591" s="4"/>
      <c r="N3591" s="4"/>
      <c r="O3591" s="5"/>
      <c r="P3591" s="5"/>
      <c r="Q3591" s="21">
        <v>0</v>
      </c>
      <c r="R3591" s="21">
        <v>0</v>
      </c>
      <c r="S3591" s="5">
        <f t="shared" si="227"/>
        <v>36638.133040949106</v>
      </c>
      <c r="T3591" cm="1">
        <f t="array" ref="T3591">IF(OR(B3591="MAL ALIMI", B3591="ÜRETİM GİRİŞ"), MIN(I3591, MAX(0, I3591 + SUM(SUMIFS($I$1:I3590, $C$1:C3590, C3591, $B$1:B3590, {"MAL ALIMI","ÜRETİM GİRİŞ"})) - VLOOKUP(C3591, 'STOK RAPORU'!$C$2:$I$1000, 4, 0))), 0)</f>
        <v>0</v>
      </c>
      <c r="U3591" s="22">
        <f t="shared" si="224"/>
        <v>0</v>
      </c>
      <c r="V3591">
        <f t="shared" si="225"/>
        <v>0</v>
      </c>
      <c r="W3591" s="22">
        <f t="shared" si="226"/>
        <v>0</v>
      </c>
    </row>
    <row r="3592" spans="1:23" x14ac:dyDescent="0.25">
      <c r="A3592" s="3">
        <v>46050</v>
      </c>
      <c r="B3592" s="4" t="s">
        <v>659</v>
      </c>
      <c r="C3592" s="4" t="s">
        <v>134</v>
      </c>
      <c r="D3592" s="4"/>
      <c r="E3592" s="4" t="s">
        <v>855</v>
      </c>
      <c r="F3592" s="4">
        <v>5477428</v>
      </c>
      <c r="G3592" s="4" t="s">
        <v>1895</v>
      </c>
      <c r="H3592" s="4" t="s">
        <v>304</v>
      </c>
      <c r="I3592" s="4">
        <v>13.5</v>
      </c>
      <c r="J3592" s="21">
        <v>150</v>
      </c>
      <c r="K3592" s="5">
        <v>2025</v>
      </c>
      <c r="L3592" s="5">
        <v>0</v>
      </c>
      <c r="M3592" s="4"/>
      <c r="N3592" s="4"/>
      <c r="O3592" s="5"/>
      <c r="P3592" s="5"/>
      <c r="Q3592" s="21">
        <v>0</v>
      </c>
      <c r="R3592" s="21">
        <v>0</v>
      </c>
      <c r="S3592" s="5">
        <f t="shared" si="227"/>
        <v>36638.133040949106</v>
      </c>
      <c r="T3592" cm="1">
        <f t="array" ref="T3592">IF(OR(B3592="MAL ALIMI", B3592="ÜRETİM GİRİŞ"), MIN(I3592, MAX(0, I3592 + SUM(SUMIFS($I$1:I3591, $C$1:C3591, C3592, $B$1:B3591, {"MAL ALIMI","ÜRETİM GİRİŞ"})) - VLOOKUP(C3592, 'STOK RAPORU'!$C$2:$I$1000, 4, 0))), 0)</f>
        <v>0</v>
      </c>
      <c r="U3592" s="22">
        <f t="shared" si="224"/>
        <v>0</v>
      </c>
      <c r="V3592">
        <f t="shared" si="225"/>
        <v>0</v>
      </c>
      <c r="W3592" s="22">
        <f t="shared" si="226"/>
        <v>0</v>
      </c>
    </row>
    <row r="3593" spans="1:23" x14ac:dyDescent="0.25">
      <c r="A3593" s="3">
        <v>46050</v>
      </c>
      <c r="B3593" s="4" t="s">
        <v>659</v>
      </c>
      <c r="C3593" s="4" t="s">
        <v>153</v>
      </c>
      <c r="D3593" s="4"/>
      <c r="E3593" s="4" t="s">
        <v>855</v>
      </c>
      <c r="F3593" s="4">
        <v>5477429</v>
      </c>
      <c r="G3593" s="4" t="s">
        <v>1895</v>
      </c>
      <c r="H3593" s="4" t="s">
        <v>304</v>
      </c>
      <c r="I3593" s="4">
        <v>7.86</v>
      </c>
      <c r="J3593" s="21">
        <v>70</v>
      </c>
      <c r="K3593" s="5">
        <v>550.20000000000005</v>
      </c>
      <c r="L3593" s="5">
        <v>0</v>
      </c>
      <c r="M3593" s="4"/>
      <c r="N3593" s="4"/>
      <c r="O3593" s="5"/>
      <c r="P3593" s="5"/>
      <c r="Q3593" s="21">
        <v>0</v>
      </c>
      <c r="R3593" s="21">
        <v>0</v>
      </c>
      <c r="S3593" s="5">
        <f t="shared" si="227"/>
        <v>36638.133040949106</v>
      </c>
      <c r="T3593" cm="1">
        <f t="array" ref="T3593">IF(OR(B3593="MAL ALIMI", B3593="ÜRETİM GİRİŞ"), MIN(I3593, MAX(0, I3593 + SUM(SUMIFS($I$1:I3592, $C$1:C3592, C3593, $B$1:B3592, {"MAL ALIMI","ÜRETİM GİRİŞ"})) - VLOOKUP(C3593, 'STOK RAPORU'!$C$2:$I$1000, 4, 0))), 0)</f>
        <v>0</v>
      </c>
      <c r="U3593" s="22">
        <f t="shared" si="224"/>
        <v>0</v>
      </c>
      <c r="V3593">
        <f t="shared" si="225"/>
        <v>0</v>
      </c>
      <c r="W3593" s="22">
        <f t="shared" si="226"/>
        <v>0</v>
      </c>
    </row>
    <row r="3594" spans="1:23" x14ac:dyDescent="0.25">
      <c r="A3594" s="3">
        <v>46050</v>
      </c>
      <c r="B3594" s="4" t="s">
        <v>659</v>
      </c>
      <c r="C3594" s="4" t="s">
        <v>74</v>
      </c>
      <c r="D3594" s="4"/>
      <c r="E3594" s="4" t="s">
        <v>855</v>
      </c>
      <c r="F3594" s="4">
        <v>5477430</v>
      </c>
      <c r="G3594" s="4" t="s">
        <v>1895</v>
      </c>
      <c r="H3594" s="4" t="s">
        <v>304</v>
      </c>
      <c r="I3594" s="4">
        <v>1</v>
      </c>
      <c r="J3594" s="21">
        <v>500</v>
      </c>
      <c r="K3594" s="5">
        <v>500</v>
      </c>
      <c r="L3594" s="5">
        <v>0</v>
      </c>
      <c r="M3594" s="4"/>
      <c r="N3594" s="4"/>
      <c r="O3594" s="5"/>
      <c r="P3594" s="5"/>
      <c r="Q3594" s="21">
        <v>0</v>
      </c>
      <c r="R3594" s="21">
        <v>0</v>
      </c>
      <c r="S3594" s="5">
        <f t="shared" si="227"/>
        <v>36638.133040949106</v>
      </c>
      <c r="T3594" cm="1">
        <f t="array" ref="T3594">IF(OR(B3594="MAL ALIMI", B3594="ÜRETİM GİRİŞ"), MIN(I3594, MAX(0, I3594 + SUM(SUMIFS($I$1:I3593, $C$1:C3593, C3594, $B$1:B3593, {"MAL ALIMI","ÜRETİM GİRİŞ"})) - VLOOKUP(C3594, 'STOK RAPORU'!$C$2:$I$1000, 4, 0))), 0)</f>
        <v>0</v>
      </c>
      <c r="U3594" s="22">
        <f t="shared" si="224"/>
        <v>0</v>
      </c>
      <c r="V3594">
        <f t="shared" si="225"/>
        <v>0</v>
      </c>
      <c r="W3594" s="22">
        <f t="shared" si="226"/>
        <v>0</v>
      </c>
    </row>
    <row r="3595" spans="1:23" x14ac:dyDescent="0.25">
      <c r="A3595" s="3">
        <v>46050</v>
      </c>
      <c r="B3595" s="4" t="s">
        <v>659</v>
      </c>
      <c r="C3595" s="4" t="s">
        <v>152</v>
      </c>
      <c r="D3595" s="4"/>
      <c r="E3595" s="4" t="s">
        <v>855</v>
      </c>
      <c r="F3595" s="4">
        <v>5477431</v>
      </c>
      <c r="G3595" s="4" t="s">
        <v>1895</v>
      </c>
      <c r="H3595" s="4" t="s">
        <v>304</v>
      </c>
      <c r="I3595" s="4">
        <v>11</v>
      </c>
      <c r="J3595" s="21">
        <v>80</v>
      </c>
      <c r="K3595" s="5">
        <v>880</v>
      </c>
      <c r="L3595" s="5">
        <v>0</v>
      </c>
      <c r="M3595" s="4"/>
      <c r="N3595" s="4"/>
      <c r="O3595" s="5"/>
      <c r="P3595" s="5"/>
      <c r="Q3595" s="21">
        <v>0</v>
      </c>
      <c r="R3595" s="21">
        <v>0</v>
      </c>
      <c r="S3595" s="5">
        <f t="shared" si="227"/>
        <v>36638.133040949106</v>
      </c>
      <c r="T3595" cm="1">
        <f t="array" ref="T3595">IF(OR(B3595="MAL ALIMI", B3595="ÜRETİM GİRİŞ"), MIN(I3595, MAX(0, I3595 + SUM(SUMIFS($I$1:I3594, $C$1:C3594, C3595, $B$1:B3594, {"MAL ALIMI","ÜRETİM GİRİŞ"})) - VLOOKUP(C3595, 'STOK RAPORU'!$C$2:$I$1000, 4, 0))), 0)</f>
        <v>0</v>
      </c>
      <c r="U3595" s="22">
        <f t="shared" si="224"/>
        <v>0</v>
      </c>
      <c r="V3595">
        <f t="shared" si="225"/>
        <v>0</v>
      </c>
      <c r="W3595" s="22">
        <f t="shared" si="226"/>
        <v>0</v>
      </c>
    </row>
    <row r="3596" spans="1:23" x14ac:dyDescent="0.25">
      <c r="A3596" s="3">
        <v>46050</v>
      </c>
      <c r="B3596" s="4" t="s">
        <v>659</v>
      </c>
      <c r="C3596" s="4" t="s">
        <v>3167</v>
      </c>
      <c r="D3596" s="4"/>
      <c r="E3596" s="4" t="s">
        <v>855</v>
      </c>
      <c r="F3596" s="4">
        <v>5477432</v>
      </c>
      <c r="G3596" s="4" t="s">
        <v>1895</v>
      </c>
      <c r="H3596" s="4" t="s">
        <v>304</v>
      </c>
      <c r="I3596" s="4">
        <v>16.2</v>
      </c>
      <c r="J3596" s="21">
        <v>160</v>
      </c>
      <c r="K3596" s="5">
        <v>2592</v>
      </c>
      <c r="L3596" s="5">
        <v>0</v>
      </c>
      <c r="M3596" s="4"/>
      <c r="N3596" s="4"/>
      <c r="O3596" s="5"/>
      <c r="P3596" s="5"/>
      <c r="Q3596" s="21">
        <v>0</v>
      </c>
      <c r="R3596" s="21">
        <v>0</v>
      </c>
      <c r="S3596" s="5">
        <f t="shared" si="227"/>
        <v>36638.133040949106</v>
      </c>
      <c r="T3596" cm="1">
        <f t="array" ref="T3596">IF(OR(B3596="MAL ALIMI", B3596="ÜRETİM GİRİŞ"), MIN(I3596, MAX(0, I3596 + SUM(SUMIFS($I$1:I3595, $C$1:C3595, C3596, $B$1:B3595, {"MAL ALIMI","ÜRETİM GİRİŞ"})) - VLOOKUP(C3596, 'STOK RAPORU'!$C$2:$I$1000, 4, 0))), 0)</f>
        <v>0</v>
      </c>
      <c r="U3596" s="22">
        <f t="shared" si="224"/>
        <v>0</v>
      </c>
      <c r="V3596">
        <f t="shared" si="225"/>
        <v>0</v>
      </c>
      <c r="W3596" s="22">
        <f t="shared" si="226"/>
        <v>0</v>
      </c>
    </row>
    <row r="3597" spans="1:23" hidden="1" x14ac:dyDescent="0.25">
      <c r="A3597" s="3">
        <v>46050</v>
      </c>
      <c r="B3597" s="4" t="s">
        <v>3944</v>
      </c>
      <c r="C3597" s="4"/>
      <c r="D3597" s="4" t="s">
        <v>116</v>
      </c>
      <c r="E3597" s="4" t="s">
        <v>855</v>
      </c>
      <c r="F3597" s="4">
        <v>5477432</v>
      </c>
      <c r="G3597" s="4" t="s">
        <v>1895</v>
      </c>
      <c r="H3597" s="4" t="s">
        <v>304</v>
      </c>
      <c r="I3597" s="4">
        <v>1</v>
      </c>
      <c r="J3597" s="21">
        <v>67.69</v>
      </c>
      <c r="K3597" s="5">
        <v>67.69</v>
      </c>
      <c r="L3597" s="5">
        <v>0</v>
      </c>
      <c r="M3597" s="4"/>
      <c r="N3597" s="4"/>
      <c r="O3597" s="5"/>
      <c r="P3597" s="5"/>
      <c r="Q3597" s="21">
        <v>0</v>
      </c>
      <c r="R3597" s="21">
        <v>0</v>
      </c>
      <c r="S3597" s="5">
        <f t="shared" si="227"/>
        <v>36638.133040949106</v>
      </c>
      <c r="T3597" cm="1">
        <f t="array" ref="T3597">IF(OR(B3597="MAL ALIMI", B3597="ÜRETİM GİRİŞ"), MIN(I3597, MAX(0, I3597 + SUM(SUMIFS($I$1:I3596, $C$1:C3596, C3597, $B$1:B3596, {"MAL ALIMI","ÜRETİM GİRİŞ"})) - VLOOKUP(C3597, 'STOK RAPORU'!$C$2:$I$1000, 4, 0))), 0)</f>
        <v>0</v>
      </c>
      <c r="U3597" s="22">
        <f t="shared" si="224"/>
        <v>0</v>
      </c>
      <c r="V3597">
        <f t="shared" si="225"/>
        <v>0</v>
      </c>
      <c r="W3597" s="22">
        <f t="shared" si="226"/>
        <v>0</v>
      </c>
    </row>
    <row r="3598" spans="1:23" hidden="1" x14ac:dyDescent="0.25">
      <c r="A3598" s="45">
        <v>46050</v>
      </c>
      <c r="B3598" s="46" t="s">
        <v>334</v>
      </c>
      <c r="C3598" s="4" t="s">
        <v>463</v>
      </c>
      <c r="D3598" s="4"/>
      <c r="E3598" s="4"/>
      <c r="F3598" s="46" t="s">
        <v>1869</v>
      </c>
      <c r="G3598" s="4" t="s">
        <v>439</v>
      </c>
      <c r="H3598" s="46" t="s">
        <v>289</v>
      </c>
      <c r="I3598" s="4">
        <v>1</v>
      </c>
      <c r="J3598" s="21">
        <v>250</v>
      </c>
      <c r="K3598" s="21">
        <v>0</v>
      </c>
      <c r="L3598" s="5">
        <v>0</v>
      </c>
      <c r="M3598" s="4"/>
      <c r="N3598" s="4"/>
      <c r="O3598" s="5"/>
      <c r="P3598" s="5"/>
      <c r="Q3598" s="21">
        <v>250</v>
      </c>
      <c r="R3598" s="21">
        <v>0</v>
      </c>
      <c r="S3598" s="5">
        <f t="shared" si="227"/>
        <v>36888.133040949106</v>
      </c>
      <c r="T3598" cm="1">
        <f t="array" ref="T3598">IF(OR(B3598="MAL ALIMI", B3598="ÜRETİM GİRİŞ"), MIN(I3598, MAX(0, I3598 + SUM(SUMIFS($I$1:I3597, $C$1:C3597, C3598, $B$1:B3597, {"MAL ALIMI","ÜRETİM GİRİŞ"})) - VLOOKUP(C3598, 'STOK RAPORU'!$C$2:$I$1000, 4, 0))), 0)</f>
        <v>0</v>
      </c>
      <c r="U3598" s="22">
        <f t="shared" si="224"/>
        <v>0</v>
      </c>
      <c r="V3598">
        <f t="shared" si="225"/>
        <v>0</v>
      </c>
      <c r="W3598" s="22">
        <f t="shared" si="226"/>
        <v>0</v>
      </c>
    </row>
    <row r="3599" spans="1:23" hidden="1" x14ac:dyDescent="0.25">
      <c r="A3599" s="45">
        <v>46050</v>
      </c>
      <c r="B3599" s="46" t="s">
        <v>334</v>
      </c>
      <c r="C3599" s="4" t="s">
        <v>160</v>
      </c>
      <c r="D3599" s="4"/>
      <c r="E3599" s="4" t="s">
        <v>921</v>
      </c>
      <c r="F3599" s="46" t="s">
        <v>1870</v>
      </c>
      <c r="G3599" s="4" t="s">
        <v>336</v>
      </c>
      <c r="H3599" s="46" t="s">
        <v>380</v>
      </c>
      <c r="I3599" s="4">
        <v>1</v>
      </c>
      <c r="J3599" s="21">
        <v>250</v>
      </c>
      <c r="K3599" s="21">
        <v>250</v>
      </c>
      <c r="L3599" s="5">
        <v>0</v>
      </c>
      <c r="M3599" s="4"/>
      <c r="N3599" s="4"/>
      <c r="O3599" s="5"/>
      <c r="P3599" s="5"/>
      <c r="Q3599" s="21">
        <v>0</v>
      </c>
      <c r="R3599" s="21">
        <v>0</v>
      </c>
      <c r="S3599" s="5">
        <f t="shared" si="227"/>
        <v>36888.133040949106</v>
      </c>
      <c r="T3599" cm="1">
        <f t="array" ref="T3599">IF(OR(B3599="MAL ALIMI", B3599="ÜRETİM GİRİŞ"), MIN(I3599, MAX(0, I3599 + SUM(SUMIFS($I$1:I3598, $C$1:C3598, C3599, $B$1:B3598, {"MAL ALIMI","ÜRETİM GİRİŞ"})) - VLOOKUP(C3599, 'STOK RAPORU'!$C$2:$I$1000, 4, 0))), 0)</f>
        <v>0</v>
      </c>
      <c r="U3599" s="22">
        <f t="shared" si="224"/>
        <v>0</v>
      </c>
      <c r="V3599">
        <f t="shared" si="225"/>
        <v>0</v>
      </c>
      <c r="W3599" s="22">
        <f t="shared" si="226"/>
        <v>0</v>
      </c>
    </row>
    <row r="3600" spans="1:23" hidden="1" x14ac:dyDescent="0.25">
      <c r="A3600" s="45">
        <v>46050</v>
      </c>
      <c r="B3600" s="46" t="s">
        <v>334</v>
      </c>
      <c r="C3600" s="4" t="s">
        <v>161</v>
      </c>
      <c r="D3600" s="4"/>
      <c r="E3600" s="4" t="s">
        <v>921</v>
      </c>
      <c r="F3600" s="46" t="s">
        <v>1870</v>
      </c>
      <c r="G3600" s="4" t="s">
        <v>336</v>
      </c>
      <c r="H3600" s="46" t="s">
        <v>380</v>
      </c>
      <c r="I3600" s="4">
        <v>1</v>
      </c>
      <c r="J3600" s="21">
        <v>230</v>
      </c>
      <c r="K3600" s="21">
        <v>230</v>
      </c>
      <c r="L3600" s="5">
        <v>0</v>
      </c>
      <c r="M3600" s="4"/>
      <c r="N3600" s="4"/>
      <c r="O3600" s="5"/>
      <c r="P3600" s="5"/>
      <c r="Q3600" s="21">
        <v>0</v>
      </c>
      <c r="R3600" s="21">
        <v>0</v>
      </c>
      <c r="S3600" s="5">
        <f t="shared" si="227"/>
        <v>36888.133040949106</v>
      </c>
      <c r="T3600" cm="1">
        <f t="array" ref="T3600">IF(OR(B3600="MAL ALIMI", B3600="ÜRETİM GİRİŞ"), MIN(I3600, MAX(0, I3600 + SUM(SUMIFS($I$1:I3599, $C$1:C3599, C3600, $B$1:B3599, {"MAL ALIMI","ÜRETİM GİRİŞ"})) - VLOOKUP(C3600, 'STOK RAPORU'!$C$2:$I$1000, 4, 0))), 0)</f>
        <v>0</v>
      </c>
      <c r="U3600" s="22">
        <f t="shared" si="224"/>
        <v>0</v>
      </c>
      <c r="V3600">
        <f t="shared" si="225"/>
        <v>0</v>
      </c>
      <c r="W3600" s="22">
        <f t="shared" si="226"/>
        <v>0</v>
      </c>
    </row>
    <row r="3601" spans="1:23" hidden="1" x14ac:dyDescent="0.25">
      <c r="A3601" s="45">
        <v>46050</v>
      </c>
      <c r="B3601" s="46" t="s">
        <v>334</v>
      </c>
      <c r="C3601" s="4" t="s">
        <v>1041</v>
      </c>
      <c r="D3601" s="4"/>
      <c r="E3601" s="4" t="s">
        <v>921</v>
      </c>
      <c r="F3601" s="46" t="s">
        <v>1872</v>
      </c>
      <c r="G3601" s="4" t="s">
        <v>336</v>
      </c>
      <c r="H3601" s="46" t="s">
        <v>380</v>
      </c>
      <c r="I3601" s="4">
        <v>2</v>
      </c>
      <c r="J3601" s="21">
        <v>250</v>
      </c>
      <c r="K3601" s="21">
        <v>500</v>
      </c>
      <c r="L3601" s="5">
        <v>0</v>
      </c>
      <c r="M3601" s="4"/>
      <c r="N3601" s="4"/>
      <c r="O3601" s="5"/>
      <c r="P3601" s="5"/>
      <c r="Q3601" s="21">
        <v>0</v>
      </c>
      <c r="R3601" s="21">
        <v>0</v>
      </c>
      <c r="S3601" s="5">
        <f t="shared" si="227"/>
        <v>36888.133040949106</v>
      </c>
      <c r="T3601" cm="1">
        <f t="array" ref="T3601">IF(OR(B3601="MAL ALIMI", B3601="ÜRETİM GİRİŞ"), MIN(I3601, MAX(0, I3601 + SUM(SUMIFS($I$1:I3600, $C$1:C3600, C3601, $B$1:B3600, {"MAL ALIMI","ÜRETİM GİRİŞ"})) - VLOOKUP(C3601, 'STOK RAPORU'!$C$2:$I$1000, 4, 0))), 0)</f>
        <v>0</v>
      </c>
      <c r="U3601" s="22">
        <f t="shared" si="224"/>
        <v>0</v>
      </c>
      <c r="V3601">
        <f t="shared" si="225"/>
        <v>0</v>
      </c>
      <c r="W3601" s="22">
        <f t="shared" si="226"/>
        <v>0</v>
      </c>
    </row>
    <row r="3602" spans="1:23" hidden="1" x14ac:dyDescent="0.25">
      <c r="A3602" s="45">
        <v>46050</v>
      </c>
      <c r="B3602" s="46" t="s">
        <v>334</v>
      </c>
      <c r="C3602" s="4" t="s">
        <v>1041</v>
      </c>
      <c r="D3602" s="4"/>
      <c r="E3602" s="4" t="s">
        <v>921</v>
      </c>
      <c r="F3602" s="46" t="s">
        <v>1873</v>
      </c>
      <c r="G3602" s="4" t="s">
        <v>336</v>
      </c>
      <c r="H3602" s="46" t="s">
        <v>380</v>
      </c>
      <c r="I3602" s="4">
        <v>1</v>
      </c>
      <c r="J3602" s="21">
        <v>250</v>
      </c>
      <c r="K3602" s="21">
        <v>250</v>
      </c>
      <c r="L3602" s="5">
        <v>0</v>
      </c>
      <c r="M3602" s="4"/>
      <c r="N3602" s="4"/>
      <c r="O3602" s="5"/>
      <c r="P3602" s="5"/>
      <c r="Q3602" s="21">
        <v>0</v>
      </c>
      <c r="R3602" s="21">
        <v>0</v>
      </c>
      <c r="S3602" s="5">
        <f t="shared" si="227"/>
        <v>36888.133040949106</v>
      </c>
      <c r="T3602" cm="1">
        <f t="array" ref="T3602">IF(OR(B3602="MAL ALIMI", B3602="ÜRETİM GİRİŞ"), MIN(I3602, MAX(0, I3602 + SUM(SUMIFS($I$1:I3601, $C$1:C3601, C3602, $B$1:B3601, {"MAL ALIMI","ÜRETİM GİRİŞ"})) - VLOOKUP(C3602, 'STOK RAPORU'!$C$2:$I$1000, 4, 0))), 0)</f>
        <v>0</v>
      </c>
      <c r="U3602" s="22">
        <f t="shared" si="224"/>
        <v>0</v>
      </c>
      <c r="V3602">
        <f t="shared" si="225"/>
        <v>0</v>
      </c>
      <c r="W3602" s="22">
        <f t="shared" si="226"/>
        <v>0</v>
      </c>
    </row>
    <row r="3603" spans="1:23" hidden="1" x14ac:dyDescent="0.25">
      <c r="A3603" s="45">
        <v>46050</v>
      </c>
      <c r="B3603" s="46" t="s">
        <v>334</v>
      </c>
      <c r="C3603" s="4" t="s">
        <v>1326</v>
      </c>
      <c r="D3603" s="4"/>
      <c r="E3603" s="4" t="s">
        <v>921</v>
      </c>
      <c r="F3603" s="46" t="s">
        <v>1874</v>
      </c>
      <c r="G3603" s="4" t="s">
        <v>336</v>
      </c>
      <c r="H3603" s="46" t="s">
        <v>380</v>
      </c>
      <c r="I3603" s="4">
        <v>1</v>
      </c>
      <c r="J3603" s="21">
        <v>135</v>
      </c>
      <c r="K3603" s="21">
        <v>135</v>
      </c>
      <c r="L3603" s="5">
        <v>0</v>
      </c>
      <c r="M3603" s="4"/>
      <c r="N3603" s="4"/>
      <c r="O3603" s="5"/>
      <c r="P3603" s="5"/>
      <c r="Q3603" s="21">
        <v>0</v>
      </c>
      <c r="R3603" s="21">
        <v>0</v>
      </c>
      <c r="S3603" s="5">
        <f t="shared" si="227"/>
        <v>36888.133040949106</v>
      </c>
      <c r="T3603" cm="1">
        <f t="array" ref="T3603">IF(OR(B3603="MAL ALIMI", B3603="ÜRETİM GİRİŞ"), MIN(I3603, MAX(0, I3603 + SUM(SUMIFS($I$1:I3602, $C$1:C3602, C3603, $B$1:B3602, {"MAL ALIMI","ÜRETİM GİRİŞ"})) - VLOOKUP(C3603, 'STOK RAPORU'!$C$2:$I$1000, 4, 0))), 0)</f>
        <v>0</v>
      </c>
      <c r="U3603" s="22">
        <f t="shared" si="224"/>
        <v>0</v>
      </c>
      <c r="V3603">
        <f t="shared" si="225"/>
        <v>0</v>
      </c>
      <c r="W3603" s="22">
        <f t="shared" si="226"/>
        <v>0</v>
      </c>
    </row>
    <row r="3604" spans="1:23" hidden="1" x14ac:dyDescent="0.25">
      <c r="A3604" s="45">
        <v>46050</v>
      </c>
      <c r="B3604" s="46" t="s">
        <v>334</v>
      </c>
      <c r="C3604" s="4" t="s">
        <v>1620</v>
      </c>
      <c r="D3604" s="4"/>
      <c r="E3604" s="4" t="s">
        <v>921</v>
      </c>
      <c r="F3604" s="46" t="s">
        <v>1874</v>
      </c>
      <c r="G3604" s="4" t="s">
        <v>336</v>
      </c>
      <c r="H3604" s="46" t="s">
        <v>380</v>
      </c>
      <c r="I3604" s="4">
        <v>1</v>
      </c>
      <c r="J3604" s="21">
        <v>100</v>
      </c>
      <c r="K3604" s="21">
        <v>100</v>
      </c>
      <c r="L3604" s="5">
        <v>0</v>
      </c>
      <c r="M3604" s="4"/>
      <c r="N3604" s="4"/>
      <c r="O3604" s="5"/>
      <c r="P3604" s="5"/>
      <c r="Q3604" s="21">
        <v>0</v>
      </c>
      <c r="R3604" s="21">
        <v>0</v>
      </c>
      <c r="S3604" s="5">
        <f t="shared" si="227"/>
        <v>36888.133040949106</v>
      </c>
      <c r="T3604" cm="1">
        <f t="array" ref="T3604">IF(OR(B3604="MAL ALIMI", B3604="ÜRETİM GİRİŞ"), MIN(I3604, MAX(0, I3604 + SUM(SUMIFS($I$1:I3603, $C$1:C3603, C3604, $B$1:B3603, {"MAL ALIMI","ÜRETİM GİRİŞ"})) - VLOOKUP(C3604, 'STOK RAPORU'!$C$2:$I$1000, 4, 0))), 0)</f>
        <v>0</v>
      </c>
      <c r="U3604" s="22">
        <f t="shared" si="224"/>
        <v>0</v>
      </c>
      <c r="V3604">
        <f t="shared" si="225"/>
        <v>0</v>
      </c>
      <c r="W3604" s="22">
        <f t="shared" si="226"/>
        <v>0</v>
      </c>
    </row>
    <row r="3605" spans="1:23" hidden="1" x14ac:dyDescent="0.25">
      <c r="A3605" s="45">
        <v>46050</v>
      </c>
      <c r="B3605" s="46" t="s">
        <v>334</v>
      </c>
      <c r="C3605" s="4" t="s">
        <v>163</v>
      </c>
      <c r="D3605" s="4"/>
      <c r="E3605" s="4"/>
      <c r="F3605" s="46" t="s">
        <v>1875</v>
      </c>
      <c r="G3605" s="4" t="s">
        <v>336</v>
      </c>
      <c r="H3605" s="46" t="s">
        <v>289</v>
      </c>
      <c r="I3605" s="4">
        <v>0.19</v>
      </c>
      <c r="J3605" s="21">
        <v>450</v>
      </c>
      <c r="K3605" s="21">
        <v>0</v>
      </c>
      <c r="L3605" s="5">
        <v>0</v>
      </c>
      <c r="M3605" s="4"/>
      <c r="N3605" s="4"/>
      <c r="O3605" s="5"/>
      <c r="P3605" s="5"/>
      <c r="Q3605" s="21">
        <v>85.5</v>
      </c>
      <c r="R3605" s="21">
        <v>0</v>
      </c>
      <c r="S3605" s="5">
        <f t="shared" si="227"/>
        <v>36973.633040949106</v>
      </c>
      <c r="T3605" cm="1">
        <f t="array" ref="T3605">IF(OR(B3605="MAL ALIMI", B3605="ÜRETİM GİRİŞ"), MIN(I3605, MAX(0, I3605 + SUM(SUMIFS($I$1:I3604, $C$1:C3604, C3605, $B$1:B3604, {"MAL ALIMI","ÜRETİM GİRİŞ"})) - VLOOKUP(C3605, 'STOK RAPORU'!$C$2:$I$1000, 4, 0))), 0)</f>
        <v>0</v>
      </c>
      <c r="U3605" s="22">
        <f t="shared" si="224"/>
        <v>0</v>
      </c>
      <c r="V3605">
        <f t="shared" si="225"/>
        <v>0</v>
      </c>
      <c r="W3605" s="22">
        <f t="shared" si="226"/>
        <v>0</v>
      </c>
    </row>
    <row r="3606" spans="1:23" hidden="1" x14ac:dyDescent="0.25">
      <c r="A3606" s="45">
        <v>46050</v>
      </c>
      <c r="B3606" s="46" t="s">
        <v>334</v>
      </c>
      <c r="C3606" s="4" t="s">
        <v>92</v>
      </c>
      <c r="D3606" s="4"/>
      <c r="E3606" s="4"/>
      <c r="F3606" s="46" t="s">
        <v>1875</v>
      </c>
      <c r="G3606" s="4" t="s">
        <v>336</v>
      </c>
      <c r="H3606" s="46" t="s">
        <v>289</v>
      </c>
      <c r="I3606" s="4">
        <v>0.21</v>
      </c>
      <c r="J3606" s="21">
        <v>500</v>
      </c>
      <c r="K3606" s="21">
        <v>0</v>
      </c>
      <c r="L3606" s="5">
        <v>0</v>
      </c>
      <c r="M3606" s="4"/>
      <c r="N3606" s="4"/>
      <c r="O3606" s="5"/>
      <c r="P3606" s="5"/>
      <c r="Q3606" s="21">
        <v>105</v>
      </c>
      <c r="R3606" s="21">
        <v>0</v>
      </c>
      <c r="S3606" s="5">
        <f t="shared" si="227"/>
        <v>37078.633040949106</v>
      </c>
      <c r="T3606" cm="1">
        <f t="array" ref="T3606">IF(OR(B3606="MAL ALIMI", B3606="ÜRETİM GİRİŞ"), MIN(I3606, MAX(0, I3606 + SUM(SUMIFS($I$1:I3605, $C$1:C3605, C3606, $B$1:B3605, {"MAL ALIMI","ÜRETİM GİRİŞ"})) - VLOOKUP(C3606, 'STOK RAPORU'!$C$2:$I$1000, 4, 0))), 0)</f>
        <v>0</v>
      </c>
      <c r="U3606" s="22">
        <f t="shared" si="224"/>
        <v>0</v>
      </c>
      <c r="V3606">
        <f t="shared" si="225"/>
        <v>0</v>
      </c>
      <c r="W3606" s="22">
        <f t="shared" si="226"/>
        <v>0</v>
      </c>
    </row>
    <row r="3607" spans="1:23" hidden="1" x14ac:dyDescent="0.25">
      <c r="A3607" s="45">
        <v>46050</v>
      </c>
      <c r="B3607" s="46" t="s">
        <v>334</v>
      </c>
      <c r="C3607" s="4" t="s">
        <v>151</v>
      </c>
      <c r="D3607" s="4"/>
      <c r="E3607" s="4"/>
      <c r="F3607" s="46" t="s">
        <v>1875</v>
      </c>
      <c r="G3607" s="4" t="s">
        <v>336</v>
      </c>
      <c r="H3607" s="46" t="s">
        <v>289</v>
      </c>
      <c r="I3607" s="4">
        <v>7.1999999999999995E-2</v>
      </c>
      <c r="J3607" s="21">
        <v>400</v>
      </c>
      <c r="K3607" s="21">
        <v>0</v>
      </c>
      <c r="L3607" s="5">
        <v>0</v>
      </c>
      <c r="M3607" s="4"/>
      <c r="N3607" s="4"/>
      <c r="O3607" s="5"/>
      <c r="P3607" s="5"/>
      <c r="Q3607" s="21">
        <v>28.799999999999997</v>
      </c>
      <c r="R3607" s="21">
        <v>0</v>
      </c>
      <c r="S3607" s="5">
        <f t="shared" si="227"/>
        <v>37107.433040949109</v>
      </c>
      <c r="T3607" cm="1">
        <f t="array" ref="T3607">IF(OR(B3607="MAL ALIMI", B3607="ÜRETİM GİRİŞ"), MIN(I3607, MAX(0, I3607 + SUM(SUMIFS($I$1:I3606, $C$1:C3606, C3607, $B$1:B3606, {"MAL ALIMI","ÜRETİM GİRİŞ"})) - VLOOKUP(C3607, 'STOK RAPORU'!$C$2:$I$1000, 4, 0))), 0)</f>
        <v>0</v>
      </c>
      <c r="U3607" s="22">
        <f t="shared" si="224"/>
        <v>0</v>
      </c>
      <c r="V3607">
        <f t="shared" si="225"/>
        <v>0</v>
      </c>
      <c r="W3607" s="22">
        <f t="shared" si="226"/>
        <v>0</v>
      </c>
    </row>
    <row r="3608" spans="1:23" hidden="1" x14ac:dyDescent="0.25">
      <c r="A3608" s="45">
        <v>46050</v>
      </c>
      <c r="B3608" s="46" t="s">
        <v>334</v>
      </c>
      <c r="C3608" s="4" t="s">
        <v>132</v>
      </c>
      <c r="D3608" s="4"/>
      <c r="E3608" s="4"/>
      <c r="F3608" s="46" t="s">
        <v>1875</v>
      </c>
      <c r="G3608" s="4" t="s">
        <v>336</v>
      </c>
      <c r="H3608" s="46" t="s">
        <v>289</v>
      </c>
      <c r="I3608" s="4">
        <v>0.14599999999999999</v>
      </c>
      <c r="J3608" s="21">
        <v>500</v>
      </c>
      <c r="K3608" s="21">
        <v>0</v>
      </c>
      <c r="L3608" s="5">
        <v>0</v>
      </c>
      <c r="M3608" s="4"/>
      <c r="N3608" s="4"/>
      <c r="O3608" s="5"/>
      <c r="P3608" s="5"/>
      <c r="Q3608" s="21">
        <v>73</v>
      </c>
      <c r="R3608" s="21">
        <v>0</v>
      </c>
      <c r="S3608" s="5">
        <f t="shared" si="227"/>
        <v>37180.433040949109</v>
      </c>
      <c r="T3608" cm="1">
        <f t="array" ref="T3608">IF(OR(B3608="MAL ALIMI", B3608="ÜRETİM GİRİŞ"), MIN(I3608, MAX(0, I3608 + SUM(SUMIFS($I$1:I3607, $C$1:C3607, C3608, $B$1:B3607, {"MAL ALIMI","ÜRETİM GİRİŞ"})) - VLOOKUP(C3608, 'STOK RAPORU'!$C$2:$I$1000, 4, 0))), 0)</f>
        <v>0</v>
      </c>
      <c r="U3608" s="22">
        <f t="shared" si="224"/>
        <v>0</v>
      </c>
      <c r="V3608">
        <f t="shared" si="225"/>
        <v>0</v>
      </c>
      <c r="W3608" s="22">
        <f t="shared" si="226"/>
        <v>0</v>
      </c>
    </row>
    <row r="3609" spans="1:23" hidden="1" x14ac:dyDescent="0.25">
      <c r="A3609" s="45">
        <v>46050</v>
      </c>
      <c r="B3609" s="46" t="s">
        <v>334</v>
      </c>
      <c r="C3609" s="4" t="s">
        <v>141</v>
      </c>
      <c r="D3609" s="4"/>
      <c r="E3609" s="4"/>
      <c r="F3609" s="46" t="s">
        <v>1875</v>
      </c>
      <c r="G3609" s="4" t="s">
        <v>336</v>
      </c>
      <c r="H3609" s="46" t="s">
        <v>289</v>
      </c>
      <c r="I3609" s="4">
        <v>0.14199999999999999</v>
      </c>
      <c r="J3609" s="21">
        <v>140</v>
      </c>
      <c r="K3609" s="21">
        <v>0</v>
      </c>
      <c r="L3609" s="5">
        <v>0</v>
      </c>
      <c r="M3609" s="4"/>
      <c r="N3609" s="4"/>
      <c r="O3609" s="5"/>
      <c r="P3609" s="5"/>
      <c r="Q3609" s="21">
        <v>19.88</v>
      </c>
      <c r="R3609" s="21">
        <v>0</v>
      </c>
      <c r="S3609" s="5">
        <f t="shared" si="227"/>
        <v>37200.313040949106</v>
      </c>
      <c r="T3609" cm="1">
        <f t="array" ref="T3609">IF(OR(B3609="MAL ALIMI", B3609="ÜRETİM GİRİŞ"), MIN(I3609, MAX(0, I3609 + SUM(SUMIFS($I$1:I3608, $C$1:C3608, C3609, $B$1:B3608, {"MAL ALIMI","ÜRETİM GİRİŞ"})) - VLOOKUP(C3609, 'STOK RAPORU'!$C$2:$I$1000, 4, 0))), 0)</f>
        <v>0</v>
      </c>
      <c r="U3609" s="22">
        <f t="shared" si="224"/>
        <v>0</v>
      </c>
      <c r="V3609">
        <f t="shared" si="225"/>
        <v>0</v>
      </c>
      <c r="W3609" s="22">
        <f t="shared" si="226"/>
        <v>0</v>
      </c>
    </row>
    <row r="3610" spans="1:23" hidden="1" x14ac:dyDescent="0.25">
      <c r="A3610" s="45">
        <v>46050</v>
      </c>
      <c r="B3610" s="46" t="s">
        <v>334</v>
      </c>
      <c r="C3610" s="4" t="s">
        <v>486</v>
      </c>
      <c r="D3610" s="4"/>
      <c r="E3610" s="4" t="s">
        <v>921</v>
      </c>
      <c r="F3610" s="46" t="s">
        <v>1876</v>
      </c>
      <c r="G3610" s="4" t="s">
        <v>336</v>
      </c>
      <c r="H3610" s="46" t="s">
        <v>380</v>
      </c>
      <c r="I3610" s="4">
        <v>1</v>
      </c>
      <c r="J3610" s="21">
        <v>180</v>
      </c>
      <c r="K3610" s="21">
        <v>180</v>
      </c>
      <c r="L3610" s="5">
        <v>0</v>
      </c>
      <c r="M3610" s="4"/>
      <c r="N3610" s="4"/>
      <c r="O3610" s="5"/>
      <c r="P3610" s="5"/>
      <c r="Q3610" s="21">
        <v>0</v>
      </c>
      <c r="R3610" s="21">
        <v>0</v>
      </c>
      <c r="S3610" s="5">
        <f t="shared" si="227"/>
        <v>37200.313040949106</v>
      </c>
      <c r="T3610" cm="1">
        <f t="array" ref="T3610">IF(OR(B3610="MAL ALIMI", B3610="ÜRETİM GİRİŞ"), MIN(I3610, MAX(0, I3610 + SUM(SUMIFS($I$1:I3609, $C$1:C3609, C3610, $B$1:B3609, {"MAL ALIMI","ÜRETİM GİRİŞ"})) - VLOOKUP(C3610, 'STOK RAPORU'!$C$2:$I$1000, 4, 0))), 0)</f>
        <v>0</v>
      </c>
      <c r="U3610" s="22">
        <f t="shared" si="224"/>
        <v>0</v>
      </c>
      <c r="V3610">
        <f t="shared" si="225"/>
        <v>0</v>
      </c>
      <c r="W3610" s="22">
        <f t="shared" si="226"/>
        <v>0</v>
      </c>
    </row>
    <row r="3611" spans="1:23" hidden="1" x14ac:dyDescent="0.25">
      <c r="A3611" s="45">
        <v>46050</v>
      </c>
      <c r="B3611" s="46" t="s">
        <v>334</v>
      </c>
      <c r="C3611" s="4" t="s">
        <v>1360</v>
      </c>
      <c r="D3611" s="4"/>
      <c r="E3611" s="4" t="s">
        <v>921</v>
      </c>
      <c r="F3611" s="46" t="s">
        <v>1876</v>
      </c>
      <c r="G3611" s="4" t="s">
        <v>336</v>
      </c>
      <c r="H3611" s="46" t="s">
        <v>380</v>
      </c>
      <c r="I3611" s="4">
        <v>1.03</v>
      </c>
      <c r="J3611" s="21">
        <v>400</v>
      </c>
      <c r="K3611" s="21">
        <v>412</v>
      </c>
      <c r="L3611" s="5">
        <v>0</v>
      </c>
      <c r="M3611" s="4"/>
      <c r="N3611" s="4"/>
      <c r="O3611" s="5"/>
      <c r="P3611" s="5"/>
      <c r="Q3611" s="21">
        <v>0</v>
      </c>
      <c r="R3611" s="21">
        <v>0</v>
      </c>
      <c r="S3611" s="5">
        <f t="shared" si="227"/>
        <v>37200.313040949106</v>
      </c>
      <c r="T3611" cm="1">
        <f t="array" ref="T3611">IF(OR(B3611="MAL ALIMI", B3611="ÜRETİM GİRİŞ"), MIN(I3611, MAX(0, I3611 + SUM(SUMIFS($I$1:I3610, $C$1:C3610, C3611, $B$1:B3610, {"MAL ALIMI","ÜRETİM GİRİŞ"})) - VLOOKUP(C3611, 'STOK RAPORU'!$C$2:$I$1000, 4, 0))), 0)</f>
        <v>0</v>
      </c>
      <c r="U3611" s="22">
        <f t="shared" si="224"/>
        <v>0</v>
      </c>
      <c r="V3611">
        <f t="shared" si="225"/>
        <v>0</v>
      </c>
      <c r="W3611" s="22">
        <f t="shared" si="226"/>
        <v>0</v>
      </c>
    </row>
    <row r="3612" spans="1:23" hidden="1" x14ac:dyDescent="0.25">
      <c r="A3612" s="45">
        <v>46050</v>
      </c>
      <c r="B3612" s="46" t="s">
        <v>334</v>
      </c>
      <c r="C3612" s="4" t="s">
        <v>1041</v>
      </c>
      <c r="D3612" s="4"/>
      <c r="E3612" s="4" t="s">
        <v>921</v>
      </c>
      <c r="F3612" s="46" t="s">
        <v>1876</v>
      </c>
      <c r="G3612" s="4" t="s">
        <v>336</v>
      </c>
      <c r="H3612" s="46" t="s">
        <v>380</v>
      </c>
      <c r="I3612" s="4">
        <v>2.84</v>
      </c>
      <c r="J3612" s="21">
        <v>250</v>
      </c>
      <c r="K3612" s="21">
        <v>710</v>
      </c>
      <c r="L3612" s="5">
        <v>0</v>
      </c>
      <c r="M3612" s="4"/>
      <c r="N3612" s="4"/>
      <c r="O3612" s="5"/>
      <c r="P3612" s="5"/>
      <c r="Q3612" s="21">
        <v>0</v>
      </c>
      <c r="R3612" s="21">
        <v>0</v>
      </c>
      <c r="S3612" s="5">
        <f t="shared" si="227"/>
        <v>37200.313040949106</v>
      </c>
      <c r="T3612" cm="1">
        <f t="array" ref="T3612">IF(OR(B3612="MAL ALIMI", B3612="ÜRETİM GİRİŞ"), MIN(I3612, MAX(0, I3612 + SUM(SUMIFS($I$1:I3611, $C$1:C3611, C3612, $B$1:B3611, {"MAL ALIMI","ÜRETİM GİRİŞ"})) - VLOOKUP(C3612, 'STOK RAPORU'!$C$2:$I$1000, 4, 0))), 0)</f>
        <v>0</v>
      </c>
      <c r="U3612" s="22">
        <f t="shared" si="224"/>
        <v>0</v>
      </c>
      <c r="V3612">
        <f t="shared" si="225"/>
        <v>0</v>
      </c>
      <c r="W3612" s="22">
        <f t="shared" si="226"/>
        <v>0</v>
      </c>
    </row>
    <row r="3613" spans="1:23" hidden="1" x14ac:dyDescent="0.25">
      <c r="A3613" s="45">
        <v>46050</v>
      </c>
      <c r="B3613" s="46" t="s">
        <v>334</v>
      </c>
      <c r="C3613" s="4" t="s">
        <v>161</v>
      </c>
      <c r="D3613" s="4"/>
      <c r="E3613" s="4" t="s">
        <v>921</v>
      </c>
      <c r="F3613" s="46" t="s">
        <v>1876</v>
      </c>
      <c r="G3613" s="4" t="s">
        <v>336</v>
      </c>
      <c r="H3613" s="46" t="s">
        <v>380</v>
      </c>
      <c r="I3613" s="4">
        <v>1</v>
      </c>
      <c r="J3613" s="21">
        <v>230</v>
      </c>
      <c r="K3613" s="21">
        <v>230</v>
      </c>
      <c r="L3613" s="5">
        <v>0</v>
      </c>
      <c r="M3613" s="4"/>
      <c r="N3613" s="4"/>
      <c r="O3613" s="5"/>
      <c r="P3613" s="5"/>
      <c r="Q3613" s="21">
        <v>0</v>
      </c>
      <c r="R3613" s="21">
        <v>0</v>
      </c>
      <c r="S3613" s="5">
        <f t="shared" si="227"/>
        <v>37200.313040949106</v>
      </c>
      <c r="T3613" cm="1">
        <f t="array" ref="T3613">IF(OR(B3613="MAL ALIMI", B3613="ÜRETİM GİRİŞ"), MIN(I3613, MAX(0, I3613 + SUM(SUMIFS($I$1:I3612, $C$1:C3612, C3613, $B$1:B3612, {"MAL ALIMI","ÜRETİM GİRİŞ"})) - VLOOKUP(C3613, 'STOK RAPORU'!$C$2:$I$1000, 4, 0))), 0)</f>
        <v>0</v>
      </c>
      <c r="U3613" s="22">
        <f t="shared" si="224"/>
        <v>0</v>
      </c>
      <c r="V3613">
        <f t="shared" si="225"/>
        <v>0</v>
      </c>
      <c r="W3613" s="22">
        <f t="shared" si="226"/>
        <v>0</v>
      </c>
    </row>
    <row r="3614" spans="1:23" hidden="1" x14ac:dyDescent="0.25">
      <c r="A3614" s="45">
        <v>46050</v>
      </c>
      <c r="B3614" s="46" t="s">
        <v>334</v>
      </c>
      <c r="C3614" s="4" t="s">
        <v>160</v>
      </c>
      <c r="D3614" s="4"/>
      <c r="E3614" s="4" t="s">
        <v>921</v>
      </c>
      <c r="F3614" s="46" t="s">
        <v>1876</v>
      </c>
      <c r="G3614" s="4" t="s">
        <v>336</v>
      </c>
      <c r="H3614" s="46" t="s">
        <v>380</v>
      </c>
      <c r="I3614" s="4">
        <v>1</v>
      </c>
      <c r="J3614" s="21">
        <v>250</v>
      </c>
      <c r="K3614" s="21">
        <v>250</v>
      </c>
      <c r="L3614" s="5">
        <v>0</v>
      </c>
      <c r="M3614" s="4"/>
      <c r="N3614" s="4"/>
      <c r="O3614" s="5"/>
      <c r="P3614" s="5"/>
      <c r="Q3614" s="21">
        <v>0</v>
      </c>
      <c r="R3614" s="21">
        <v>0</v>
      </c>
      <c r="S3614" s="5">
        <f t="shared" si="227"/>
        <v>37200.313040949106</v>
      </c>
      <c r="T3614" cm="1">
        <f t="array" ref="T3614">IF(OR(B3614="MAL ALIMI", B3614="ÜRETİM GİRİŞ"), MIN(I3614, MAX(0, I3614 + SUM(SUMIFS($I$1:I3613, $C$1:C3613, C3614, $B$1:B3613, {"MAL ALIMI","ÜRETİM GİRİŞ"})) - VLOOKUP(C3614, 'STOK RAPORU'!$C$2:$I$1000, 4, 0))), 0)</f>
        <v>0</v>
      </c>
      <c r="U3614" s="22">
        <f t="shared" si="224"/>
        <v>0</v>
      </c>
      <c r="V3614">
        <f t="shared" si="225"/>
        <v>0</v>
      </c>
      <c r="W3614" s="22">
        <f t="shared" si="226"/>
        <v>0</v>
      </c>
    </row>
    <row r="3615" spans="1:23" hidden="1" x14ac:dyDescent="0.25">
      <c r="A3615" s="45">
        <v>46050</v>
      </c>
      <c r="B3615" s="46" t="s">
        <v>334</v>
      </c>
      <c r="C3615" s="4" t="s">
        <v>1041</v>
      </c>
      <c r="D3615" s="4"/>
      <c r="E3615" s="4" t="s">
        <v>921</v>
      </c>
      <c r="F3615" s="46" t="s">
        <v>1877</v>
      </c>
      <c r="G3615" s="4" t="s">
        <v>336</v>
      </c>
      <c r="H3615" s="46" t="s">
        <v>380</v>
      </c>
      <c r="I3615" s="4">
        <v>2</v>
      </c>
      <c r="J3615" s="21">
        <v>250</v>
      </c>
      <c r="K3615" s="21">
        <v>500</v>
      </c>
      <c r="L3615" s="5">
        <v>0</v>
      </c>
      <c r="M3615" s="4"/>
      <c r="N3615" s="4"/>
      <c r="O3615" s="5"/>
      <c r="P3615" s="5"/>
      <c r="Q3615" s="21">
        <v>0</v>
      </c>
      <c r="R3615" s="21">
        <v>0</v>
      </c>
      <c r="S3615" s="5">
        <f t="shared" si="227"/>
        <v>37200.313040949106</v>
      </c>
      <c r="T3615" cm="1">
        <f t="array" ref="T3615">IF(OR(B3615="MAL ALIMI", B3615="ÜRETİM GİRİŞ"), MIN(I3615, MAX(0, I3615 + SUM(SUMIFS($I$1:I3614, $C$1:C3614, C3615, $B$1:B3614, {"MAL ALIMI","ÜRETİM GİRİŞ"})) - VLOOKUP(C3615, 'STOK RAPORU'!$C$2:$I$1000, 4, 0))), 0)</f>
        <v>0</v>
      </c>
      <c r="U3615" s="22">
        <f t="shared" si="224"/>
        <v>0</v>
      </c>
      <c r="V3615">
        <f t="shared" si="225"/>
        <v>0</v>
      </c>
      <c r="W3615" s="22">
        <f t="shared" si="226"/>
        <v>0</v>
      </c>
    </row>
    <row r="3616" spans="1:23" hidden="1" x14ac:dyDescent="0.25">
      <c r="A3616" s="45">
        <v>46050</v>
      </c>
      <c r="B3616" s="46" t="s">
        <v>334</v>
      </c>
      <c r="C3616" s="4" t="s">
        <v>1360</v>
      </c>
      <c r="D3616" s="4"/>
      <c r="E3616" s="4" t="s">
        <v>921</v>
      </c>
      <c r="F3616" s="46" t="s">
        <v>1877</v>
      </c>
      <c r="G3616" s="4" t="s">
        <v>336</v>
      </c>
      <c r="H3616" s="46" t="s">
        <v>380</v>
      </c>
      <c r="I3616" s="4">
        <v>1</v>
      </c>
      <c r="J3616" s="21">
        <v>400</v>
      </c>
      <c r="K3616" s="21">
        <v>400</v>
      </c>
      <c r="L3616" s="5">
        <v>0</v>
      </c>
      <c r="M3616" s="4"/>
      <c r="N3616" s="4"/>
      <c r="O3616" s="5"/>
      <c r="P3616" s="5"/>
      <c r="Q3616" s="21">
        <v>0</v>
      </c>
      <c r="R3616" s="21">
        <v>0</v>
      </c>
      <c r="S3616" s="5">
        <f t="shared" si="227"/>
        <v>37200.313040949106</v>
      </c>
      <c r="T3616" cm="1">
        <f t="array" ref="T3616">IF(OR(B3616="MAL ALIMI", B3616="ÜRETİM GİRİŞ"), MIN(I3616, MAX(0, I3616 + SUM(SUMIFS($I$1:I3615, $C$1:C3615, C3616, $B$1:B3615, {"MAL ALIMI","ÜRETİM GİRİŞ"})) - VLOOKUP(C3616, 'STOK RAPORU'!$C$2:$I$1000, 4, 0))), 0)</f>
        <v>0</v>
      </c>
      <c r="U3616" s="22">
        <f t="shared" si="224"/>
        <v>0</v>
      </c>
      <c r="V3616">
        <f t="shared" si="225"/>
        <v>0</v>
      </c>
      <c r="W3616" s="22">
        <f t="shared" si="226"/>
        <v>0</v>
      </c>
    </row>
    <row r="3617" spans="1:23" hidden="1" x14ac:dyDescent="0.25">
      <c r="A3617" s="45">
        <v>46050</v>
      </c>
      <c r="B3617" s="46" t="s">
        <v>334</v>
      </c>
      <c r="C3617" s="4" t="s">
        <v>463</v>
      </c>
      <c r="D3617" s="4"/>
      <c r="E3617" s="4"/>
      <c r="F3617" s="46" t="s">
        <v>1878</v>
      </c>
      <c r="G3617" s="4" t="s">
        <v>439</v>
      </c>
      <c r="H3617" s="46" t="s">
        <v>289</v>
      </c>
      <c r="I3617" s="4">
        <v>0.754</v>
      </c>
      <c r="J3617" s="21">
        <v>266</v>
      </c>
      <c r="K3617" s="21">
        <v>0</v>
      </c>
      <c r="L3617" s="5">
        <v>0</v>
      </c>
      <c r="M3617" s="4"/>
      <c r="N3617" s="4"/>
      <c r="O3617" s="5"/>
      <c r="P3617" s="5"/>
      <c r="Q3617" s="21">
        <v>200.56399999999999</v>
      </c>
      <c r="R3617" s="21">
        <v>0</v>
      </c>
      <c r="S3617" s="5">
        <f t="shared" si="227"/>
        <v>37400.877040949104</v>
      </c>
      <c r="T3617" cm="1">
        <f t="array" ref="T3617">IF(OR(B3617="MAL ALIMI", B3617="ÜRETİM GİRİŞ"), MIN(I3617, MAX(0, I3617 + SUM(SUMIFS($I$1:I3616, $C$1:C3616, C3617, $B$1:B3616, {"MAL ALIMI","ÜRETİM GİRİŞ"})) - VLOOKUP(C3617, 'STOK RAPORU'!$C$2:$I$1000, 4, 0))), 0)</f>
        <v>0</v>
      </c>
      <c r="U3617" s="22">
        <f t="shared" si="224"/>
        <v>0</v>
      </c>
      <c r="V3617">
        <f t="shared" si="225"/>
        <v>0</v>
      </c>
      <c r="W3617" s="22">
        <f t="shared" si="226"/>
        <v>0</v>
      </c>
    </row>
    <row r="3618" spans="1:23" hidden="1" x14ac:dyDescent="0.25">
      <c r="A3618" s="45">
        <v>46050</v>
      </c>
      <c r="B3618" s="46" t="s">
        <v>334</v>
      </c>
      <c r="C3618" s="4" t="s">
        <v>649</v>
      </c>
      <c r="D3618" s="4"/>
      <c r="E3618" s="4"/>
      <c r="F3618" s="46" t="s">
        <v>1879</v>
      </c>
      <c r="G3618" s="4" t="s">
        <v>336</v>
      </c>
      <c r="H3618" s="46" t="s">
        <v>289</v>
      </c>
      <c r="I3618" s="4">
        <v>1</v>
      </c>
      <c r="J3618" s="21">
        <v>300</v>
      </c>
      <c r="K3618" s="21">
        <v>0</v>
      </c>
      <c r="L3618" s="5">
        <v>0</v>
      </c>
      <c r="M3618" s="4"/>
      <c r="N3618" s="4"/>
      <c r="O3618" s="5"/>
      <c r="P3618" s="5"/>
      <c r="Q3618" s="21">
        <v>300</v>
      </c>
      <c r="R3618" s="21">
        <v>0</v>
      </c>
      <c r="S3618" s="5">
        <f t="shared" si="227"/>
        <v>37700.877040949104</v>
      </c>
      <c r="T3618" cm="1">
        <f t="array" ref="T3618">IF(OR(B3618="MAL ALIMI", B3618="ÜRETİM GİRİŞ"), MIN(I3618, MAX(0, I3618 + SUM(SUMIFS($I$1:I3617, $C$1:C3617, C3618, $B$1:B3617, {"MAL ALIMI","ÜRETİM GİRİŞ"})) - VLOOKUP(C3618, 'STOK RAPORU'!$C$2:$I$1000, 4, 0))), 0)</f>
        <v>0</v>
      </c>
      <c r="U3618" s="22">
        <f t="shared" si="224"/>
        <v>0</v>
      </c>
      <c r="V3618">
        <f t="shared" si="225"/>
        <v>0</v>
      </c>
      <c r="W3618" s="22">
        <f t="shared" si="226"/>
        <v>0</v>
      </c>
    </row>
    <row r="3619" spans="1:23" hidden="1" x14ac:dyDescent="0.25">
      <c r="A3619" s="45">
        <v>46050</v>
      </c>
      <c r="B3619" s="46" t="s">
        <v>334</v>
      </c>
      <c r="C3619" s="4" t="s">
        <v>2130</v>
      </c>
      <c r="D3619" s="4"/>
      <c r="E3619" s="4"/>
      <c r="F3619" s="46" t="s">
        <v>1880</v>
      </c>
      <c r="G3619" s="4" t="s">
        <v>336</v>
      </c>
      <c r="H3619" s="46" t="s">
        <v>289</v>
      </c>
      <c r="I3619" s="4">
        <v>1</v>
      </c>
      <c r="J3619" s="21">
        <v>450</v>
      </c>
      <c r="K3619" s="21">
        <v>0</v>
      </c>
      <c r="L3619" s="5">
        <v>0</v>
      </c>
      <c r="M3619" s="4"/>
      <c r="N3619" s="4"/>
      <c r="O3619" s="5"/>
      <c r="P3619" s="5"/>
      <c r="Q3619" s="21">
        <v>450</v>
      </c>
      <c r="R3619" s="21">
        <v>0</v>
      </c>
      <c r="S3619" s="5">
        <f t="shared" si="227"/>
        <v>38150.877040949104</v>
      </c>
      <c r="T3619" cm="1">
        <f t="array" ref="T3619">IF(OR(B3619="MAL ALIMI", B3619="ÜRETİM GİRİŞ"), MIN(I3619, MAX(0, I3619 + SUM(SUMIFS($I$1:I3618, $C$1:C3618, C3619, $B$1:B3618, {"MAL ALIMI","ÜRETİM GİRİŞ"})) - VLOOKUP(C3619, 'STOK RAPORU'!$C$2:$I$1000, 4, 0))), 0)</f>
        <v>0</v>
      </c>
      <c r="U3619" s="22">
        <f t="shared" si="224"/>
        <v>0</v>
      </c>
      <c r="V3619">
        <f t="shared" si="225"/>
        <v>0</v>
      </c>
      <c r="W3619" s="22">
        <f t="shared" si="226"/>
        <v>0</v>
      </c>
    </row>
    <row r="3620" spans="1:23" hidden="1" x14ac:dyDescent="0.25">
      <c r="A3620" s="45">
        <v>46050</v>
      </c>
      <c r="B3620" s="46" t="s">
        <v>334</v>
      </c>
      <c r="C3620" s="4" t="s">
        <v>203</v>
      </c>
      <c r="D3620" s="4"/>
      <c r="E3620" s="4" t="s">
        <v>921</v>
      </c>
      <c r="F3620" s="46" t="s">
        <v>1881</v>
      </c>
      <c r="G3620" s="4" t="s">
        <v>336</v>
      </c>
      <c r="H3620" s="46" t="s">
        <v>380</v>
      </c>
      <c r="I3620" s="4">
        <v>0.5</v>
      </c>
      <c r="J3620" s="21">
        <v>80</v>
      </c>
      <c r="K3620" s="21">
        <v>40</v>
      </c>
      <c r="L3620" s="5">
        <v>0</v>
      </c>
      <c r="M3620" s="4"/>
      <c r="N3620" s="4"/>
      <c r="O3620" s="5"/>
      <c r="P3620" s="5"/>
      <c r="Q3620" s="21">
        <v>0</v>
      </c>
      <c r="R3620" s="21">
        <v>0</v>
      </c>
      <c r="S3620" s="5">
        <f t="shared" si="227"/>
        <v>38150.877040949104</v>
      </c>
      <c r="T3620" cm="1">
        <f t="array" ref="T3620">IF(OR(B3620="MAL ALIMI", B3620="ÜRETİM GİRİŞ"), MIN(I3620, MAX(0, I3620 + SUM(SUMIFS($I$1:I3619, $C$1:C3619, C3620, $B$1:B3619, {"MAL ALIMI","ÜRETİM GİRİŞ"})) - VLOOKUP(C3620, 'STOK RAPORU'!$C$2:$I$1000, 4, 0))), 0)</f>
        <v>0</v>
      </c>
      <c r="U3620" s="22">
        <f t="shared" si="224"/>
        <v>0</v>
      </c>
      <c r="V3620">
        <f t="shared" si="225"/>
        <v>0</v>
      </c>
      <c r="W3620" s="22">
        <f t="shared" si="226"/>
        <v>0</v>
      </c>
    </row>
    <row r="3621" spans="1:23" hidden="1" x14ac:dyDescent="0.25">
      <c r="A3621" s="45">
        <v>46050</v>
      </c>
      <c r="B3621" s="46" t="s">
        <v>334</v>
      </c>
      <c r="C3621" s="4" t="s">
        <v>264</v>
      </c>
      <c r="D3621" s="4"/>
      <c r="E3621" s="4" t="s">
        <v>921</v>
      </c>
      <c r="F3621" s="46" t="s">
        <v>1881</v>
      </c>
      <c r="G3621" s="4" t="s">
        <v>336</v>
      </c>
      <c r="H3621" s="46" t="s">
        <v>380</v>
      </c>
      <c r="I3621" s="4">
        <v>1</v>
      </c>
      <c r="J3621" s="21">
        <v>140</v>
      </c>
      <c r="K3621" s="21">
        <v>140</v>
      </c>
      <c r="L3621" s="5">
        <v>0</v>
      </c>
      <c r="M3621" s="4"/>
      <c r="N3621" s="4"/>
      <c r="O3621" s="5"/>
      <c r="P3621" s="5"/>
      <c r="Q3621" s="21">
        <v>0</v>
      </c>
      <c r="R3621" s="21">
        <v>0</v>
      </c>
      <c r="S3621" s="5">
        <f t="shared" si="227"/>
        <v>38150.877040949104</v>
      </c>
      <c r="T3621" cm="1">
        <f t="array" ref="T3621">IF(OR(B3621="MAL ALIMI", B3621="ÜRETİM GİRİŞ"), MIN(I3621, MAX(0, I3621 + SUM(SUMIFS($I$1:I3620, $C$1:C3620, C3621, $B$1:B3620, {"MAL ALIMI","ÜRETİM GİRİŞ"})) - VLOOKUP(C3621, 'STOK RAPORU'!$C$2:$I$1000, 4, 0))), 0)</f>
        <v>0</v>
      </c>
      <c r="U3621" s="22">
        <f t="shared" si="224"/>
        <v>0</v>
      </c>
      <c r="V3621">
        <f t="shared" si="225"/>
        <v>0</v>
      </c>
      <c r="W3621" s="22">
        <f t="shared" si="226"/>
        <v>0</v>
      </c>
    </row>
    <row r="3622" spans="1:23" hidden="1" x14ac:dyDescent="0.25">
      <c r="A3622" s="45">
        <v>46050</v>
      </c>
      <c r="B3622" s="46" t="s">
        <v>334</v>
      </c>
      <c r="C3622" s="4" t="s">
        <v>151</v>
      </c>
      <c r="D3622" s="4"/>
      <c r="E3622" s="4" t="s">
        <v>921</v>
      </c>
      <c r="F3622" s="46" t="s">
        <v>1881</v>
      </c>
      <c r="G3622" s="4" t="s">
        <v>336</v>
      </c>
      <c r="H3622" s="46" t="s">
        <v>380</v>
      </c>
      <c r="I3622" s="4">
        <v>3.7499999999999999E-2</v>
      </c>
      <c r="J3622" s="21">
        <v>400</v>
      </c>
      <c r="K3622" s="21">
        <v>15</v>
      </c>
      <c r="L3622" s="5">
        <v>0</v>
      </c>
      <c r="M3622" s="4"/>
      <c r="N3622" s="4"/>
      <c r="O3622" s="5"/>
      <c r="P3622" s="5"/>
      <c r="Q3622" s="21">
        <v>0</v>
      </c>
      <c r="R3622" s="21">
        <v>0</v>
      </c>
      <c r="S3622" s="5">
        <f t="shared" si="227"/>
        <v>38150.877040949104</v>
      </c>
      <c r="T3622" cm="1">
        <f t="array" ref="T3622">IF(OR(B3622="MAL ALIMI", B3622="ÜRETİM GİRİŞ"), MIN(I3622, MAX(0, I3622 + SUM(SUMIFS($I$1:I3621, $C$1:C3621, C3622, $B$1:B3621, {"MAL ALIMI","ÜRETİM GİRİŞ"})) - VLOOKUP(C3622, 'STOK RAPORU'!$C$2:$I$1000, 4, 0))), 0)</f>
        <v>0</v>
      </c>
      <c r="U3622" s="22">
        <f t="shared" si="224"/>
        <v>0</v>
      </c>
      <c r="V3622">
        <f t="shared" si="225"/>
        <v>0</v>
      </c>
      <c r="W3622" s="22">
        <f t="shared" si="226"/>
        <v>0</v>
      </c>
    </row>
    <row r="3623" spans="1:23" hidden="1" x14ac:dyDescent="0.25">
      <c r="A3623" s="45">
        <v>46050</v>
      </c>
      <c r="B3623" s="46" t="s">
        <v>334</v>
      </c>
      <c r="C3623" s="4" t="s">
        <v>192</v>
      </c>
      <c r="D3623" s="4"/>
      <c r="E3623" s="4"/>
      <c r="F3623" s="46" t="s">
        <v>1883</v>
      </c>
      <c r="G3623" s="4" t="s">
        <v>1884</v>
      </c>
      <c r="H3623" s="4" t="s">
        <v>289</v>
      </c>
      <c r="I3623" s="4">
        <v>0.4</v>
      </c>
      <c r="J3623" s="21">
        <v>270</v>
      </c>
      <c r="K3623" s="21">
        <v>0</v>
      </c>
      <c r="L3623" s="5">
        <v>0</v>
      </c>
      <c r="M3623" s="4"/>
      <c r="N3623" s="4"/>
      <c r="O3623" s="5"/>
      <c r="P3623" s="5"/>
      <c r="Q3623" s="21">
        <v>108</v>
      </c>
      <c r="R3623" s="21">
        <v>0</v>
      </c>
      <c r="S3623" s="5">
        <f t="shared" si="227"/>
        <v>38258.877040949104</v>
      </c>
      <c r="T3623" cm="1">
        <f t="array" ref="T3623">IF(OR(B3623="MAL ALIMI", B3623="ÜRETİM GİRİŞ"), MIN(I3623, MAX(0, I3623 + SUM(SUMIFS($I$1:I3622, $C$1:C3622, C3623, $B$1:B3622, {"MAL ALIMI","ÜRETİM GİRİŞ"})) - VLOOKUP(C3623, 'STOK RAPORU'!$C$2:$I$1000, 4, 0))), 0)</f>
        <v>0</v>
      </c>
      <c r="U3623" s="22">
        <f t="shared" si="224"/>
        <v>0</v>
      </c>
      <c r="V3623">
        <f t="shared" si="225"/>
        <v>0</v>
      </c>
      <c r="W3623" s="22">
        <f t="shared" si="226"/>
        <v>0</v>
      </c>
    </row>
    <row r="3624" spans="1:23" hidden="1" x14ac:dyDescent="0.25">
      <c r="A3624" s="45">
        <v>46051</v>
      </c>
      <c r="B3624" s="46" t="s">
        <v>334</v>
      </c>
      <c r="C3624" s="4" t="s">
        <v>160</v>
      </c>
      <c r="D3624" s="4"/>
      <c r="E3624" s="4"/>
      <c r="F3624" s="46" t="s">
        <v>1886</v>
      </c>
      <c r="G3624" s="4" t="s">
        <v>336</v>
      </c>
      <c r="H3624" s="4" t="s">
        <v>289</v>
      </c>
      <c r="I3624" s="4">
        <v>5</v>
      </c>
      <c r="J3624" s="21">
        <v>230</v>
      </c>
      <c r="K3624" s="21">
        <v>0</v>
      </c>
      <c r="L3624" s="5">
        <v>0</v>
      </c>
      <c r="M3624" s="4"/>
      <c r="N3624" s="4"/>
      <c r="O3624" s="5"/>
      <c r="P3624" s="5"/>
      <c r="Q3624" s="21">
        <v>1150</v>
      </c>
      <c r="R3624" s="21">
        <v>0</v>
      </c>
      <c r="S3624" s="5">
        <f t="shared" si="227"/>
        <v>39408.877040949104</v>
      </c>
      <c r="T3624" cm="1">
        <f t="array" ref="T3624">IF(OR(B3624="MAL ALIMI", B3624="ÜRETİM GİRİŞ"), MIN(I3624, MAX(0, I3624 + SUM(SUMIFS($I$1:I3623, $C$1:C3623, C3624, $B$1:B3623, {"MAL ALIMI","ÜRETİM GİRİŞ"})) - VLOOKUP(C3624, 'STOK RAPORU'!$C$2:$I$1000, 4, 0))), 0)</f>
        <v>0</v>
      </c>
      <c r="U3624" s="22">
        <f t="shared" si="224"/>
        <v>0</v>
      </c>
      <c r="V3624">
        <f t="shared" si="225"/>
        <v>0</v>
      </c>
      <c r="W3624" s="22">
        <f t="shared" si="226"/>
        <v>0</v>
      </c>
    </row>
    <row r="3625" spans="1:23" hidden="1" x14ac:dyDescent="0.25">
      <c r="A3625" s="45">
        <v>46051</v>
      </c>
      <c r="B3625" s="46" t="s">
        <v>334</v>
      </c>
      <c r="C3625" s="4" t="s">
        <v>167</v>
      </c>
      <c r="D3625" s="4"/>
      <c r="E3625" s="4"/>
      <c r="F3625" s="46" t="s">
        <v>1886</v>
      </c>
      <c r="G3625" s="4" t="s">
        <v>336</v>
      </c>
      <c r="H3625" s="4" t="s">
        <v>289</v>
      </c>
      <c r="I3625" s="4">
        <v>8</v>
      </c>
      <c r="J3625" s="21">
        <v>230</v>
      </c>
      <c r="K3625" s="21">
        <v>0</v>
      </c>
      <c r="L3625" s="5">
        <v>0</v>
      </c>
      <c r="M3625" s="4"/>
      <c r="N3625" s="4"/>
      <c r="O3625" s="5"/>
      <c r="P3625" s="5"/>
      <c r="Q3625" s="21">
        <v>1840</v>
      </c>
      <c r="R3625" s="21">
        <v>0</v>
      </c>
      <c r="S3625" s="5">
        <f t="shared" si="227"/>
        <v>41248.877040949104</v>
      </c>
      <c r="T3625" cm="1">
        <f t="array" ref="T3625">IF(OR(B3625="MAL ALIMI", B3625="ÜRETİM GİRİŞ"), MIN(I3625, MAX(0, I3625 + SUM(SUMIFS($I$1:I3624, $C$1:C3624, C3625, $B$1:B3624, {"MAL ALIMI","ÜRETİM GİRİŞ"})) - VLOOKUP(C3625, 'STOK RAPORU'!$C$2:$I$1000, 4, 0))), 0)</f>
        <v>0</v>
      </c>
      <c r="U3625" s="22">
        <f t="shared" si="224"/>
        <v>0</v>
      </c>
      <c r="V3625">
        <f t="shared" si="225"/>
        <v>0</v>
      </c>
      <c r="W3625" s="22">
        <f t="shared" si="226"/>
        <v>0</v>
      </c>
    </row>
    <row r="3626" spans="1:23" hidden="1" x14ac:dyDescent="0.25">
      <c r="A3626" s="45">
        <v>46051</v>
      </c>
      <c r="B3626" s="46" t="s">
        <v>334</v>
      </c>
      <c r="C3626" s="4" t="s">
        <v>161</v>
      </c>
      <c r="D3626" s="4"/>
      <c r="E3626" s="4"/>
      <c r="F3626" s="46" t="s">
        <v>1886</v>
      </c>
      <c r="G3626" s="4" t="s">
        <v>336</v>
      </c>
      <c r="H3626" s="4" t="s">
        <v>289</v>
      </c>
      <c r="I3626" s="4">
        <v>5</v>
      </c>
      <c r="J3626" s="21">
        <v>230</v>
      </c>
      <c r="K3626" s="21">
        <v>0</v>
      </c>
      <c r="L3626" s="5">
        <v>0</v>
      </c>
      <c r="M3626" s="4"/>
      <c r="N3626" s="4"/>
      <c r="O3626" s="5"/>
      <c r="P3626" s="5"/>
      <c r="Q3626" s="21">
        <v>1150</v>
      </c>
      <c r="R3626" s="21">
        <v>0</v>
      </c>
      <c r="S3626" s="5">
        <f t="shared" si="227"/>
        <v>42398.877040949104</v>
      </c>
      <c r="T3626" cm="1">
        <f t="array" ref="T3626">IF(OR(B3626="MAL ALIMI", B3626="ÜRETİM GİRİŞ"), MIN(I3626, MAX(0, I3626 + SUM(SUMIFS($I$1:I3625, $C$1:C3625, C3626, $B$1:B3625, {"MAL ALIMI","ÜRETİM GİRİŞ"})) - VLOOKUP(C3626, 'STOK RAPORU'!$C$2:$I$1000, 4, 0))), 0)</f>
        <v>0</v>
      </c>
      <c r="U3626" s="22">
        <f t="shared" si="224"/>
        <v>0</v>
      </c>
      <c r="V3626">
        <f t="shared" si="225"/>
        <v>0</v>
      </c>
      <c r="W3626" s="22">
        <f t="shared" si="226"/>
        <v>0</v>
      </c>
    </row>
    <row r="3627" spans="1:23" hidden="1" x14ac:dyDescent="0.25">
      <c r="A3627" s="45">
        <v>46051</v>
      </c>
      <c r="B3627" s="46" t="s">
        <v>334</v>
      </c>
      <c r="C3627" s="4" t="s">
        <v>1499</v>
      </c>
      <c r="D3627" s="4"/>
      <c r="E3627" s="4"/>
      <c r="F3627" s="46" t="s">
        <v>1886</v>
      </c>
      <c r="G3627" s="4" t="s">
        <v>336</v>
      </c>
      <c r="H3627" s="4" t="s">
        <v>289</v>
      </c>
      <c r="I3627" s="4">
        <v>4</v>
      </c>
      <c r="J3627" s="21">
        <v>515</v>
      </c>
      <c r="K3627" s="21">
        <v>0</v>
      </c>
      <c r="L3627" s="5">
        <v>0</v>
      </c>
      <c r="M3627" s="4"/>
      <c r="N3627" s="4"/>
      <c r="O3627" s="5"/>
      <c r="P3627" s="5"/>
      <c r="Q3627" s="21">
        <v>2060</v>
      </c>
      <c r="R3627" s="21">
        <v>0</v>
      </c>
      <c r="S3627" s="5">
        <f t="shared" si="227"/>
        <v>44458.877040949104</v>
      </c>
      <c r="T3627" cm="1">
        <f t="array" ref="T3627">IF(OR(B3627="MAL ALIMI", B3627="ÜRETİM GİRİŞ"), MIN(I3627, MAX(0, I3627 + SUM(SUMIFS($I$1:I3626, $C$1:C3626, C3627, $B$1:B3626, {"MAL ALIMI","ÜRETİM GİRİŞ"})) - VLOOKUP(C3627, 'STOK RAPORU'!$C$2:$I$1000, 4, 0))), 0)</f>
        <v>0</v>
      </c>
      <c r="U3627" s="22">
        <f t="shared" si="224"/>
        <v>0</v>
      </c>
      <c r="V3627">
        <f t="shared" si="225"/>
        <v>0</v>
      </c>
      <c r="W3627" s="22">
        <f t="shared" si="226"/>
        <v>0</v>
      </c>
    </row>
    <row r="3628" spans="1:23" hidden="1" x14ac:dyDescent="0.25">
      <c r="A3628" s="45">
        <v>46051</v>
      </c>
      <c r="B3628" s="46" t="s">
        <v>334</v>
      </c>
      <c r="C3628" s="4" t="s">
        <v>586</v>
      </c>
      <c r="D3628" s="4"/>
      <c r="E3628" s="4"/>
      <c r="F3628" s="46" t="s">
        <v>1887</v>
      </c>
      <c r="G3628" s="4" t="s">
        <v>336</v>
      </c>
      <c r="H3628" s="4" t="s">
        <v>289</v>
      </c>
      <c r="I3628" s="4">
        <v>0.5</v>
      </c>
      <c r="J3628" s="21">
        <v>200</v>
      </c>
      <c r="K3628" s="21">
        <v>0</v>
      </c>
      <c r="L3628" s="5">
        <v>0</v>
      </c>
      <c r="M3628" s="4"/>
      <c r="N3628" s="4"/>
      <c r="O3628" s="5"/>
      <c r="P3628" s="5"/>
      <c r="Q3628" s="21">
        <v>100</v>
      </c>
      <c r="R3628" s="21">
        <v>0</v>
      </c>
      <c r="S3628" s="5">
        <f t="shared" si="227"/>
        <v>44558.877040949104</v>
      </c>
      <c r="T3628" cm="1">
        <f t="array" ref="T3628">IF(OR(B3628="MAL ALIMI", B3628="ÜRETİM GİRİŞ"), MIN(I3628, MAX(0, I3628 + SUM(SUMIFS($I$1:I3627, $C$1:C3627, C3628, $B$1:B3627, {"MAL ALIMI","ÜRETİM GİRİŞ"})) - VLOOKUP(C3628, 'STOK RAPORU'!$C$2:$I$1000, 4, 0))), 0)</f>
        <v>0</v>
      </c>
      <c r="U3628" s="22">
        <f t="shared" si="224"/>
        <v>0</v>
      </c>
      <c r="V3628">
        <f t="shared" si="225"/>
        <v>0</v>
      </c>
      <c r="W3628" s="22">
        <f t="shared" si="226"/>
        <v>0</v>
      </c>
    </row>
    <row r="3629" spans="1:23" hidden="1" x14ac:dyDescent="0.25">
      <c r="A3629" s="45">
        <v>46051</v>
      </c>
      <c r="B3629" s="46" t="s">
        <v>334</v>
      </c>
      <c r="C3629" s="4" t="s">
        <v>223</v>
      </c>
      <c r="D3629" s="4"/>
      <c r="E3629" s="4"/>
      <c r="F3629" s="46" t="s">
        <v>1888</v>
      </c>
      <c r="G3629" s="4" t="s">
        <v>336</v>
      </c>
      <c r="H3629" s="4" t="s">
        <v>289</v>
      </c>
      <c r="I3629" s="4">
        <v>0.25</v>
      </c>
      <c r="J3629" s="21">
        <v>800</v>
      </c>
      <c r="K3629" s="21">
        <v>0</v>
      </c>
      <c r="L3629" s="5">
        <v>0</v>
      </c>
      <c r="M3629" s="4"/>
      <c r="N3629" s="4"/>
      <c r="O3629" s="5"/>
      <c r="P3629" s="5"/>
      <c r="Q3629" s="21">
        <v>200</v>
      </c>
      <c r="R3629" s="21">
        <v>0</v>
      </c>
      <c r="S3629" s="5">
        <f t="shared" si="227"/>
        <v>44758.877040949104</v>
      </c>
      <c r="T3629" cm="1">
        <f t="array" ref="T3629">IF(OR(B3629="MAL ALIMI", B3629="ÜRETİM GİRİŞ"), MIN(I3629, MAX(0, I3629 + SUM(SUMIFS($I$1:I3628, $C$1:C3628, C3629, $B$1:B3628, {"MAL ALIMI","ÜRETİM GİRİŞ"})) - VLOOKUP(C3629, 'STOK RAPORU'!$C$2:$I$1000, 4, 0))), 0)</f>
        <v>0</v>
      </c>
      <c r="U3629" s="22">
        <f t="shared" si="224"/>
        <v>0</v>
      </c>
      <c r="V3629">
        <f t="shared" si="225"/>
        <v>0</v>
      </c>
      <c r="W3629" s="22">
        <f t="shared" si="226"/>
        <v>0</v>
      </c>
    </row>
    <row r="3630" spans="1:23" hidden="1" x14ac:dyDescent="0.25">
      <c r="A3630" s="45">
        <v>46051</v>
      </c>
      <c r="B3630" s="46" t="s">
        <v>334</v>
      </c>
      <c r="C3630" s="4" t="s">
        <v>160</v>
      </c>
      <c r="D3630" s="4"/>
      <c r="E3630" s="4"/>
      <c r="F3630" s="46" t="s">
        <v>1889</v>
      </c>
      <c r="G3630" s="4" t="s">
        <v>336</v>
      </c>
      <c r="H3630" s="4" t="s">
        <v>289</v>
      </c>
      <c r="I3630" s="4">
        <v>0.5</v>
      </c>
      <c r="J3630" s="21">
        <v>230</v>
      </c>
      <c r="K3630" s="21">
        <v>0</v>
      </c>
      <c r="L3630" s="5">
        <v>0</v>
      </c>
      <c r="M3630" s="4"/>
      <c r="N3630" s="4"/>
      <c r="O3630" s="5"/>
      <c r="P3630" s="5"/>
      <c r="Q3630" s="21">
        <v>115</v>
      </c>
      <c r="R3630" s="21">
        <v>0</v>
      </c>
      <c r="S3630" s="5">
        <f t="shared" si="227"/>
        <v>44873.877040949104</v>
      </c>
      <c r="T3630" cm="1">
        <f t="array" ref="T3630">IF(OR(B3630="MAL ALIMI", B3630="ÜRETİM GİRİŞ"), MIN(I3630, MAX(0, I3630 + SUM(SUMIFS($I$1:I3629, $C$1:C3629, C3630, $B$1:B3629, {"MAL ALIMI","ÜRETİM GİRİŞ"})) - VLOOKUP(C3630, 'STOK RAPORU'!$C$2:$I$1000, 4, 0))), 0)</f>
        <v>0</v>
      </c>
      <c r="U3630" s="22">
        <f t="shared" si="224"/>
        <v>0</v>
      </c>
      <c r="V3630">
        <f t="shared" si="225"/>
        <v>0</v>
      </c>
      <c r="W3630" s="22">
        <f t="shared" si="226"/>
        <v>0</v>
      </c>
    </row>
    <row r="3631" spans="1:23" hidden="1" x14ac:dyDescent="0.25">
      <c r="A3631" s="45">
        <v>46051</v>
      </c>
      <c r="B3631" s="46" t="s">
        <v>334</v>
      </c>
      <c r="C3631" s="4" t="s">
        <v>161</v>
      </c>
      <c r="D3631" s="4"/>
      <c r="E3631" s="4"/>
      <c r="F3631" s="46" t="s">
        <v>1889</v>
      </c>
      <c r="G3631" s="4" t="s">
        <v>336</v>
      </c>
      <c r="H3631" s="4" t="s">
        <v>289</v>
      </c>
      <c r="I3631" s="4">
        <v>0.5</v>
      </c>
      <c r="J3631" s="21">
        <v>250</v>
      </c>
      <c r="K3631" s="21">
        <v>0</v>
      </c>
      <c r="L3631" s="5">
        <v>0</v>
      </c>
      <c r="M3631" s="4"/>
      <c r="N3631" s="4"/>
      <c r="O3631" s="5"/>
      <c r="P3631" s="5"/>
      <c r="Q3631" s="21">
        <v>125</v>
      </c>
      <c r="R3631" s="21">
        <v>0</v>
      </c>
      <c r="S3631" s="5">
        <f t="shared" si="227"/>
        <v>44998.877040949104</v>
      </c>
      <c r="T3631" cm="1">
        <f t="array" ref="T3631">IF(OR(B3631="MAL ALIMI", B3631="ÜRETİM GİRİŞ"), MIN(I3631, MAX(0, I3631 + SUM(SUMIFS($I$1:I3630, $C$1:C3630, C3631, $B$1:B3630, {"MAL ALIMI","ÜRETİM GİRİŞ"})) - VLOOKUP(C3631, 'STOK RAPORU'!$C$2:$I$1000, 4, 0))), 0)</f>
        <v>0</v>
      </c>
      <c r="U3631" s="22">
        <f t="shared" si="224"/>
        <v>0</v>
      </c>
      <c r="V3631">
        <f t="shared" si="225"/>
        <v>0</v>
      </c>
      <c r="W3631" s="22">
        <f t="shared" si="226"/>
        <v>0</v>
      </c>
    </row>
    <row r="3632" spans="1:23" hidden="1" x14ac:dyDescent="0.25">
      <c r="A3632" s="45">
        <v>46051</v>
      </c>
      <c r="B3632" s="46" t="s">
        <v>334</v>
      </c>
      <c r="C3632" s="4" t="s">
        <v>192</v>
      </c>
      <c r="D3632" s="4"/>
      <c r="E3632" s="4"/>
      <c r="F3632" s="46" t="s">
        <v>1890</v>
      </c>
      <c r="G3632" s="4" t="s">
        <v>336</v>
      </c>
      <c r="H3632" s="4" t="s">
        <v>289</v>
      </c>
      <c r="I3632" s="4">
        <v>0.1</v>
      </c>
      <c r="J3632" s="21">
        <v>400</v>
      </c>
      <c r="K3632" s="21">
        <v>0</v>
      </c>
      <c r="L3632" s="5">
        <v>0</v>
      </c>
      <c r="M3632" s="4"/>
      <c r="N3632" s="4"/>
      <c r="O3632" s="5"/>
      <c r="P3632" s="5"/>
      <c r="Q3632" s="21">
        <v>40</v>
      </c>
      <c r="R3632" s="21">
        <v>0</v>
      </c>
      <c r="S3632" s="5">
        <f t="shared" si="227"/>
        <v>45038.877040949104</v>
      </c>
      <c r="T3632" cm="1">
        <f t="array" ref="T3632">IF(OR(B3632="MAL ALIMI", B3632="ÜRETİM GİRİŞ"), MIN(I3632, MAX(0, I3632 + SUM(SUMIFS($I$1:I3631, $C$1:C3631, C3632, $B$1:B3631, {"MAL ALIMI","ÜRETİM GİRİŞ"})) - VLOOKUP(C3632, 'STOK RAPORU'!$C$2:$I$1000, 4, 0))), 0)</f>
        <v>0</v>
      </c>
      <c r="U3632" s="22">
        <f t="shared" si="224"/>
        <v>0</v>
      </c>
      <c r="V3632">
        <f t="shared" si="225"/>
        <v>0</v>
      </c>
      <c r="W3632" s="22">
        <f t="shared" si="226"/>
        <v>0</v>
      </c>
    </row>
    <row r="3633" spans="1:23" hidden="1" x14ac:dyDescent="0.25">
      <c r="A3633" s="45">
        <v>46051</v>
      </c>
      <c r="B3633" s="46" t="s">
        <v>334</v>
      </c>
      <c r="C3633" s="4" t="s">
        <v>523</v>
      </c>
      <c r="D3633" s="4"/>
      <c r="E3633" s="4"/>
      <c r="F3633" s="46" t="s">
        <v>1891</v>
      </c>
      <c r="G3633" s="4" t="s">
        <v>336</v>
      </c>
      <c r="H3633" s="4" t="s">
        <v>289</v>
      </c>
      <c r="I3633" s="4">
        <v>0.1</v>
      </c>
      <c r="J3633" s="21">
        <v>650</v>
      </c>
      <c r="K3633" s="21">
        <v>0</v>
      </c>
      <c r="L3633" s="5">
        <v>0</v>
      </c>
      <c r="M3633" s="4"/>
      <c r="N3633" s="4"/>
      <c r="O3633" s="5"/>
      <c r="P3633" s="5"/>
      <c r="Q3633" s="21">
        <v>65</v>
      </c>
      <c r="R3633" s="21">
        <v>0</v>
      </c>
      <c r="S3633" s="5">
        <f t="shared" si="227"/>
        <v>45103.877040949104</v>
      </c>
      <c r="T3633" cm="1">
        <f t="array" ref="T3633">IF(OR(B3633="MAL ALIMI", B3633="ÜRETİM GİRİŞ"), MIN(I3633, MAX(0, I3633 + SUM(SUMIFS($I$1:I3632, $C$1:C3632, C3633, $B$1:B3632, {"MAL ALIMI","ÜRETİM GİRİŞ"})) - VLOOKUP(C3633, 'STOK RAPORU'!$C$2:$I$1000, 4, 0))), 0)</f>
        <v>0</v>
      </c>
      <c r="U3633" s="22">
        <f t="shared" si="224"/>
        <v>0</v>
      </c>
      <c r="V3633">
        <f t="shared" si="225"/>
        <v>0</v>
      </c>
      <c r="W3633" s="22">
        <f t="shared" si="226"/>
        <v>0</v>
      </c>
    </row>
    <row r="3634" spans="1:23" hidden="1" x14ac:dyDescent="0.25">
      <c r="A3634" s="45">
        <v>46051</v>
      </c>
      <c r="B3634" s="46" t="s">
        <v>334</v>
      </c>
      <c r="C3634" s="4" t="s">
        <v>1041</v>
      </c>
      <c r="D3634" s="4"/>
      <c r="E3634" s="4" t="s">
        <v>921</v>
      </c>
      <c r="F3634" s="46" t="s">
        <v>1892</v>
      </c>
      <c r="G3634" s="4" t="s">
        <v>336</v>
      </c>
      <c r="H3634" s="4" t="s">
        <v>380</v>
      </c>
      <c r="I3634" s="4">
        <v>1</v>
      </c>
      <c r="J3634" s="21">
        <v>250</v>
      </c>
      <c r="K3634" s="21">
        <v>250</v>
      </c>
      <c r="L3634" s="5">
        <v>0</v>
      </c>
      <c r="M3634" s="4"/>
      <c r="N3634" s="4"/>
      <c r="O3634" s="5"/>
      <c r="P3634" s="5"/>
      <c r="Q3634" s="21">
        <v>0</v>
      </c>
      <c r="R3634" s="21">
        <v>0</v>
      </c>
      <c r="S3634" s="5">
        <f t="shared" si="227"/>
        <v>45103.877040949104</v>
      </c>
      <c r="T3634" cm="1">
        <f t="array" ref="T3634">IF(OR(B3634="MAL ALIMI", B3634="ÜRETİM GİRİŞ"), MIN(I3634, MAX(0, I3634 + SUM(SUMIFS($I$1:I3633, $C$1:C3633, C3634, $B$1:B3633, {"MAL ALIMI","ÜRETİM GİRİŞ"})) - VLOOKUP(C3634, 'STOK RAPORU'!$C$2:$I$1000, 4, 0))), 0)</f>
        <v>0</v>
      </c>
      <c r="U3634" s="22">
        <f t="shared" si="224"/>
        <v>0</v>
      </c>
      <c r="V3634">
        <f t="shared" si="225"/>
        <v>0</v>
      </c>
      <c r="W3634" s="22">
        <f t="shared" si="226"/>
        <v>0</v>
      </c>
    </row>
    <row r="3635" spans="1:23" hidden="1" x14ac:dyDescent="0.25">
      <c r="A3635" s="45">
        <v>46051</v>
      </c>
      <c r="B3635" s="46" t="s">
        <v>334</v>
      </c>
      <c r="C3635" s="4" t="s">
        <v>218</v>
      </c>
      <c r="D3635" s="4"/>
      <c r="E3635" s="4" t="s">
        <v>921</v>
      </c>
      <c r="F3635" s="46" t="s">
        <v>1893</v>
      </c>
      <c r="G3635" s="4" t="s">
        <v>336</v>
      </c>
      <c r="H3635" s="4" t="s">
        <v>380</v>
      </c>
      <c r="I3635" s="4">
        <v>1</v>
      </c>
      <c r="J3635" s="21">
        <v>340</v>
      </c>
      <c r="K3635" s="21">
        <v>340</v>
      </c>
      <c r="L3635" s="5">
        <v>0</v>
      </c>
      <c r="M3635" s="4"/>
      <c r="N3635" s="4"/>
      <c r="O3635" s="5"/>
      <c r="P3635" s="5"/>
      <c r="Q3635" s="21">
        <v>0</v>
      </c>
      <c r="R3635" s="21">
        <v>0</v>
      </c>
      <c r="S3635" s="5">
        <f t="shared" si="227"/>
        <v>45103.877040949104</v>
      </c>
      <c r="T3635" cm="1">
        <f t="array" ref="T3635">IF(OR(B3635="MAL ALIMI", B3635="ÜRETİM GİRİŞ"), MIN(I3635, MAX(0, I3635 + SUM(SUMIFS($I$1:I3634, $C$1:C3634, C3635, $B$1:B3634, {"MAL ALIMI","ÜRETİM GİRİŞ"})) - VLOOKUP(C3635, 'STOK RAPORU'!$C$2:$I$1000, 4, 0))), 0)</f>
        <v>0</v>
      </c>
      <c r="U3635" s="22">
        <f t="shared" si="224"/>
        <v>0</v>
      </c>
      <c r="V3635">
        <f t="shared" si="225"/>
        <v>0</v>
      </c>
      <c r="W3635" s="22">
        <f t="shared" si="226"/>
        <v>0</v>
      </c>
    </row>
    <row r="3636" spans="1:23" hidden="1" x14ac:dyDescent="0.25">
      <c r="A3636" s="45">
        <v>46051</v>
      </c>
      <c r="B3636" s="46" t="s">
        <v>334</v>
      </c>
      <c r="C3636" s="4" t="s">
        <v>1041</v>
      </c>
      <c r="D3636" s="4"/>
      <c r="E3636" s="4" t="s">
        <v>921</v>
      </c>
      <c r="F3636" s="46" t="s">
        <v>1893</v>
      </c>
      <c r="G3636" s="4" t="s">
        <v>336</v>
      </c>
      <c r="H3636" s="4" t="s">
        <v>380</v>
      </c>
      <c r="I3636" s="4">
        <v>2</v>
      </c>
      <c r="J3636" s="21">
        <v>250</v>
      </c>
      <c r="K3636" s="21">
        <v>500</v>
      </c>
      <c r="L3636" s="5">
        <v>0</v>
      </c>
      <c r="M3636" s="4"/>
      <c r="N3636" s="4"/>
      <c r="O3636" s="5"/>
      <c r="P3636" s="5"/>
      <c r="Q3636" s="21">
        <v>0</v>
      </c>
      <c r="R3636" s="21">
        <v>0</v>
      </c>
      <c r="S3636" s="5">
        <f t="shared" si="227"/>
        <v>45103.877040949104</v>
      </c>
      <c r="T3636" cm="1">
        <f t="array" ref="T3636">IF(OR(B3636="MAL ALIMI", B3636="ÜRETİM GİRİŞ"), MIN(I3636, MAX(0, I3636 + SUM(SUMIFS($I$1:I3635, $C$1:C3635, C3636, $B$1:B3635, {"MAL ALIMI","ÜRETİM GİRİŞ"})) - VLOOKUP(C3636, 'STOK RAPORU'!$C$2:$I$1000, 4, 0))), 0)</f>
        <v>0</v>
      </c>
      <c r="U3636" s="22">
        <f t="shared" si="224"/>
        <v>0</v>
      </c>
      <c r="V3636">
        <f t="shared" si="225"/>
        <v>0</v>
      </c>
      <c r="W3636" s="22">
        <f t="shared" si="226"/>
        <v>0</v>
      </c>
    </row>
    <row r="3637" spans="1:23" hidden="1" x14ac:dyDescent="0.25">
      <c r="A3637" s="45">
        <v>46051</v>
      </c>
      <c r="B3637" s="46" t="s">
        <v>334</v>
      </c>
      <c r="C3637" s="4" t="s">
        <v>634</v>
      </c>
      <c r="D3637" s="4"/>
      <c r="E3637" s="4" t="s">
        <v>921</v>
      </c>
      <c r="F3637" s="46" t="s">
        <v>1893</v>
      </c>
      <c r="G3637" s="4" t="s">
        <v>336</v>
      </c>
      <c r="H3637" s="4" t="s">
        <v>380</v>
      </c>
      <c r="I3637" s="4">
        <v>0.47199999999999998</v>
      </c>
      <c r="J3637" s="21">
        <v>850</v>
      </c>
      <c r="K3637" s="21">
        <v>401.2</v>
      </c>
      <c r="L3637" s="5">
        <v>0</v>
      </c>
      <c r="M3637" s="4"/>
      <c r="N3637" s="4"/>
      <c r="O3637" s="5"/>
      <c r="P3637" s="5"/>
      <c r="Q3637" s="21">
        <v>0</v>
      </c>
      <c r="R3637" s="21">
        <v>0</v>
      </c>
      <c r="S3637" s="5">
        <f t="shared" si="227"/>
        <v>45103.877040949104</v>
      </c>
      <c r="T3637" cm="1">
        <f t="array" ref="T3637">IF(OR(B3637="MAL ALIMI", B3637="ÜRETİM GİRİŞ"), MIN(I3637, MAX(0, I3637 + SUM(SUMIFS($I$1:I3636, $C$1:C3636, C3637, $B$1:B3636, {"MAL ALIMI","ÜRETİM GİRİŞ"})) - VLOOKUP(C3637, 'STOK RAPORU'!$C$2:$I$1000, 4, 0))), 0)</f>
        <v>0</v>
      </c>
      <c r="U3637" s="22">
        <f t="shared" si="224"/>
        <v>0</v>
      </c>
      <c r="V3637">
        <f t="shared" si="225"/>
        <v>0</v>
      </c>
      <c r="W3637" s="22">
        <f t="shared" si="226"/>
        <v>0</v>
      </c>
    </row>
    <row r="3638" spans="1:23" hidden="1" x14ac:dyDescent="0.25">
      <c r="A3638" s="45">
        <v>46051</v>
      </c>
      <c r="B3638" s="46" t="s">
        <v>334</v>
      </c>
      <c r="C3638" s="4" t="s">
        <v>241</v>
      </c>
      <c r="D3638" s="4"/>
      <c r="E3638" s="4" t="s">
        <v>921</v>
      </c>
      <c r="F3638" s="46" t="s">
        <v>1893</v>
      </c>
      <c r="G3638" s="4" t="s">
        <v>336</v>
      </c>
      <c r="H3638" s="4" t="s">
        <v>380</v>
      </c>
      <c r="I3638" s="4">
        <v>0.28000000000000003</v>
      </c>
      <c r="J3638" s="21">
        <v>400</v>
      </c>
      <c r="K3638" s="21">
        <v>112.00000000000001</v>
      </c>
      <c r="L3638" s="5">
        <v>0</v>
      </c>
      <c r="M3638" s="4"/>
      <c r="N3638" s="4"/>
      <c r="O3638" s="5"/>
      <c r="P3638" s="5"/>
      <c r="Q3638" s="21">
        <v>0</v>
      </c>
      <c r="R3638" s="21">
        <v>0</v>
      </c>
      <c r="S3638" s="5">
        <f t="shared" si="227"/>
        <v>45103.877040949104</v>
      </c>
      <c r="T3638" cm="1">
        <f t="array" ref="T3638">IF(OR(B3638="MAL ALIMI", B3638="ÜRETİM GİRİŞ"), MIN(I3638, MAX(0, I3638 + SUM(SUMIFS($I$1:I3637, $C$1:C3637, C3638, $B$1:B3637, {"MAL ALIMI","ÜRETİM GİRİŞ"})) - VLOOKUP(C3638, 'STOK RAPORU'!$C$2:$I$1000, 4, 0))), 0)</f>
        <v>0</v>
      </c>
      <c r="U3638" s="22">
        <f t="shared" si="224"/>
        <v>0</v>
      </c>
      <c r="V3638">
        <f t="shared" si="225"/>
        <v>0</v>
      </c>
      <c r="W3638" s="22">
        <f t="shared" si="226"/>
        <v>0</v>
      </c>
    </row>
    <row r="3639" spans="1:23" hidden="1" x14ac:dyDescent="0.25">
      <c r="A3639" s="45">
        <v>46051</v>
      </c>
      <c r="B3639" s="46" t="s">
        <v>334</v>
      </c>
      <c r="C3639" s="4" t="s">
        <v>196</v>
      </c>
      <c r="D3639" s="4"/>
      <c r="E3639" s="4" t="s">
        <v>921</v>
      </c>
      <c r="F3639" s="46" t="s">
        <v>1893</v>
      </c>
      <c r="G3639" s="4" t="s">
        <v>336</v>
      </c>
      <c r="H3639" s="4" t="s">
        <v>380</v>
      </c>
      <c r="I3639" s="4">
        <v>0.26200000000000001</v>
      </c>
      <c r="J3639" s="21">
        <v>180</v>
      </c>
      <c r="K3639" s="21">
        <v>47.160000000000004</v>
      </c>
      <c r="L3639" s="5">
        <v>0</v>
      </c>
      <c r="M3639" s="4"/>
      <c r="N3639" s="4"/>
      <c r="O3639" s="5"/>
      <c r="P3639" s="5"/>
      <c r="Q3639" s="21">
        <v>0</v>
      </c>
      <c r="R3639" s="21">
        <v>0</v>
      </c>
      <c r="S3639" s="5">
        <f t="shared" si="227"/>
        <v>45103.877040949104</v>
      </c>
      <c r="T3639" cm="1">
        <f t="array" ref="T3639">IF(OR(B3639="MAL ALIMI", B3639="ÜRETİM GİRİŞ"), MIN(I3639, MAX(0, I3639 + SUM(SUMIFS($I$1:I3638, $C$1:C3638, C3639, $B$1:B3638, {"MAL ALIMI","ÜRETİM GİRİŞ"})) - VLOOKUP(C3639, 'STOK RAPORU'!$C$2:$I$1000, 4, 0))), 0)</f>
        <v>0</v>
      </c>
      <c r="U3639" s="22">
        <f t="shared" si="224"/>
        <v>0</v>
      </c>
      <c r="V3639">
        <f t="shared" si="225"/>
        <v>0</v>
      </c>
      <c r="W3639" s="22">
        <f t="shared" si="226"/>
        <v>0</v>
      </c>
    </row>
    <row r="3640" spans="1:23" hidden="1" x14ac:dyDescent="0.25">
      <c r="A3640" s="45">
        <v>46051</v>
      </c>
      <c r="B3640" s="46" t="s">
        <v>334</v>
      </c>
      <c r="C3640" s="4" t="s">
        <v>225</v>
      </c>
      <c r="D3640" s="4"/>
      <c r="E3640" s="4" t="s">
        <v>921</v>
      </c>
      <c r="F3640" s="46" t="s">
        <v>1893</v>
      </c>
      <c r="G3640" s="4" t="s">
        <v>336</v>
      </c>
      <c r="H3640" s="4" t="s">
        <v>380</v>
      </c>
      <c r="I3640" s="4">
        <v>1</v>
      </c>
      <c r="J3640" s="21">
        <v>750</v>
      </c>
      <c r="K3640" s="21">
        <v>750</v>
      </c>
      <c r="L3640" s="5">
        <v>0</v>
      </c>
      <c r="M3640" s="4"/>
      <c r="N3640" s="4"/>
      <c r="O3640" s="5"/>
      <c r="P3640" s="5"/>
      <c r="Q3640" s="21">
        <v>0</v>
      </c>
      <c r="R3640" s="21">
        <v>0</v>
      </c>
      <c r="S3640" s="5">
        <f t="shared" si="227"/>
        <v>45103.877040949104</v>
      </c>
      <c r="T3640" cm="1">
        <f t="array" ref="T3640">IF(OR(B3640="MAL ALIMI", B3640="ÜRETİM GİRİŞ"), MIN(I3640, MAX(0, I3640 + SUM(SUMIFS($I$1:I3639, $C$1:C3639, C3640, $B$1:B3639, {"MAL ALIMI","ÜRETİM GİRİŞ"})) - VLOOKUP(C3640, 'STOK RAPORU'!$C$2:$I$1000, 4, 0))), 0)</f>
        <v>0</v>
      </c>
      <c r="U3640" s="22">
        <f t="shared" si="224"/>
        <v>0</v>
      </c>
      <c r="V3640">
        <f t="shared" si="225"/>
        <v>0</v>
      </c>
      <c r="W3640" s="22">
        <f t="shared" si="226"/>
        <v>0</v>
      </c>
    </row>
    <row r="3641" spans="1:23" hidden="1" x14ac:dyDescent="0.25">
      <c r="A3641" s="3">
        <v>46052</v>
      </c>
      <c r="B3641" s="4" t="s">
        <v>298</v>
      </c>
      <c r="C3641" s="4" t="s">
        <v>587</v>
      </c>
      <c r="D3641" s="4"/>
      <c r="E3641" s="4" t="s">
        <v>350</v>
      </c>
      <c r="F3641" s="4">
        <v>997217</v>
      </c>
      <c r="G3641" s="4" t="s">
        <v>350</v>
      </c>
      <c r="H3641" s="4" t="s">
        <v>304</v>
      </c>
      <c r="I3641" s="4">
        <v>19.350000000000001</v>
      </c>
      <c r="J3641" s="4">
        <v>74.935400516795866</v>
      </c>
      <c r="K3641" s="21">
        <v>0</v>
      </c>
      <c r="L3641" s="5">
        <v>1450.0000000000002</v>
      </c>
      <c r="M3641" s="4"/>
      <c r="N3641" s="4"/>
      <c r="O3641" s="5"/>
      <c r="P3641" s="5"/>
      <c r="Q3641" s="21">
        <v>0</v>
      </c>
      <c r="R3641" s="21">
        <v>0</v>
      </c>
      <c r="S3641" s="5">
        <f t="shared" si="227"/>
        <v>45103.877040949104</v>
      </c>
      <c r="T3641" cm="1">
        <f t="array" ref="T3641">IF(OR(B3641="MAL ALIMI", B3641="ÜRETİM GİRİŞ"), MIN(I3641, MAX(0, I3641 + SUM(SUMIFS($I$1:I3640, $C$1:C3640, C3641, $B$1:B3640, {"MAL ALIMI","ÜRETİM GİRİŞ"})) - VLOOKUP(C3641, 'STOK RAPORU'!$C$2:$I$1000, 4, 0))), 0)</f>
        <v>0</v>
      </c>
      <c r="U3641" s="22">
        <f t="shared" si="224"/>
        <v>0</v>
      </c>
      <c r="V3641">
        <f t="shared" si="225"/>
        <v>1450.0000000000002</v>
      </c>
      <c r="W3641" s="22">
        <f t="shared" si="226"/>
        <v>1450.0000000000002</v>
      </c>
    </row>
    <row r="3642" spans="1:23" hidden="1" x14ac:dyDescent="0.25">
      <c r="A3642" s="3">
        <v>46052</v>
      </c>
      <c r="B3642" s="4" t="s">
        <v>298</v>
      </c>
      <c r="C3642" s="4" t="s">
        <v>1896</v>
      </c>
      <c r="D3642" s="4"/>
      <c r="E3642" s="4" t="s">
        <v>350</v>
      </c>
      <c r="F3642" s="4">
        <v>997217</v>
      </c>
      <c r="G3642" s="4" t="s">
        <v>350</v>
      </c>
      <c r="H3642" s="4" t="s">
        <v>304</v>
      </c>
      <c r="I3642" s="4">
        <v>1</v>
      </c>
      <c r="J3642" s="21">
        <v>120</v>
      </c>
      <c r="K3642" s="21">
        <v>0</v>
      </c>
      <c r="L3642" s="5">
        <v>120</v>
      </c>
      <c r="M3642" s="4"/>
      <c r="N3642" s="4"/>
      <c r="O3642" s="5"/>
      <c r="P3642" s="5"/>
      <c r="Q3642" s="21">
        <v>0</v>
      </c>
      <c r="R3642" s="21">
        <v>0</v>
      </c>
      <c r="S3642" s="5">
        <f t="shared" si="227"/>
        <v>45103.877040949104</v>
      </c>
      <c r="T3642" cm="1">
        <f t="array" ref="T3642">IF(OR(B3642="MAL ALIMI", B3642="ÜRETİM GİRİŞ"), MIN(I3642, MAX(0, I3642 + SUM(SUMIFS($I$1:I3641, $C$1:C3641, C3642, $B$1:B3641, {"MAL ALIMI","ÜRETİM GİRİŞ"})) - VLOOKUP(C3642, 'STOK RAPORU'!$C$2:$I$1000, 4, 0))), 0)</f>
        <v>0</v>
      </c>
      <c r="U3642" s="22">
        <f t="shared" si="224"/>
        <v>0</v>
      </c>
      <c r="V3642">
        <f t="shared" si="225"/>
        <v>120</v>
      </c>
      <c r="W3642" s="22">
        <f t="shared" si="226"/>
        <v>120</v>
      </c>
    </row>
    <row r="3643" spans="1:23" hidden="1" x14ac:dyDescent="0.25">
      <c r="A3643" s="3">
        <v>46052</v>
      </c>
      <c r="B3643" s="4" t="s">
        <v>298</v>
      </c>
      <c r="C3643" s="4" t="s">
        <v>1897</v>
      </c>
      <c r="D3643" s="4"/>
      <c r="E3643" s="4" t="s">
        <v>350</v>
      </c>
      <c r="F3643" s="4">
        <v>997217</v>
      </c>
      <c r="G3643" s="4" t="s">
        <v>350</v>
      </c>
      <c r="H3643" s="4" t="s">
        <v>304</v>
      </c>
      <c r="I3643" s="4">
        <v>10</v>
      </c>
      <c r="J3643" s="21">
        <v>215</v>
      </c>
      <c r="K3643" s="21">
        <v>0</v>
      </c>
      <c r="L3643" s="5">
        <v>2150</v>
      </c>
      <c r="M3643" s="4"/>
      <c r="N3643" s="4"/>
      <c r="O3643" s="5"/>
      <c r="P3643" s="5"/>
      <c r="Q3643" s="21">
        <v>0</v>
      </c>
      <c r="R3643" s="21">
        <v>0</v>
      </c>
      <c r="S3643" s="5">
        <f t="shared" si="227"/>
        <v>45103.877040949104</v>
      </c>
      <c r="T3643" cm="1">
        <f t="array" ref="T3643">IF(OR(B3643="MAL ALIMI", B3643="ÜRETİM GİRİŞ"), MIN(I3643, MAX(0, I3643 + SUM(SUMIFS($I$1:I3642, $C$1:C3642, C3643, $B$1:B3642, {"MAL ALIMI","ÜRETİM GİRİŞ"})) - VLOOKUP(C3643, 'STOK RAPORU'!$C$2:$I$1000, 4, 0))), 0)</f>
        <v>0</v>
      </c>
      <c r="U3643" s="22">
        <f t="shared" si="224"/>
        <v>0</v>
      </c>
      <c r="V3643">
        <f t="shared" si="225"/>
        <v>2150</v>
      </c>
      <c r="W3643" s="22">
        <f t="shared" si="226"/>
        <v>2150</v>
      </c>
    </row>
    <row r="3644" spans="1:23" hidden="1" x14ac:dyDescent="0.25">
      <c r="A3644" s="45">
        <v>46052</v>
      </c>
      <c r="B3644" s="46" t="s">
        <v>334</v>
      </c>
      <c r="C3644" s="4" t="s">
        <v>1359</v>
      </c>
      <c r="D3644" s="4"/>
      <c r="E3644" s="4" t="s">
        <v>921</v>
      </c>
      <c r="F3644" s="46" t="s">
        <v>1904</v>
      </c>
      <c r="G3644" s="46" t="s">
        <v>336</v>
      </c>
      <c r="H3644" s="46" t="s">
        <v>380</v>
      </c>
      <c r="I3644" s="4">
        <v>0.44444444444444442</v>
      </c>
      <c r="J3644" s="21">
        <v>450</v>
      </c>
      <c r="K3644" s="21">
        <v>200</v>
      </c>
      <c r="L3644" s="5">
        <v>0</v>
      </c>
      <c r="M3644" s="4"/>
      <c r="N3644" s="4"/>
      <c r="O3644" s="5"/>
      <c r="P3644" s="5"/>
      <c r="Q3644" s="21">
        <v>0</v>
      </c>
      <c r="R3644" s="21">
        <v>0</v>
      </c>
      <c r="S3644" s="5">
        <f t="shared" si="227"/>
        <v>45103.877040949104</v>
      </c>
      <c r="T3644" cm="1">
        <f t="array" ref="T3644">IF(OR(B3644="MAL ALIMI", B3644="ÜRETİM GİRİŞ"), MIN(I3644, MAX(0, I3644 + SUM(SUMIFS($I$1:I3643, $C$1:C3643, C3644, $B$1:B3643, {"MAL ALIMI","ÜRETİM GİRİŞ"})) - VLOOKUP(C3644, 'STOK RAPORU'!$C$2:$I$1000, 4, 0))), 0)</f>
        <v>0</v>
      </c>
      <c r="U3644" s="22">
        <f t="shared" si="224"/>
        <v>0</v>
      </c>
      <c r="V3644">
        <f t="shared" si="225"/>
        <v>0</v>
      </c>
      <c r="W3644" s="22">
        <f t="shared" si="226"/>
        <v>0</v>
      </c>
    </row>
    <row r="3645" spans="1:23" hidden="1" x14ac:dyDescent="0.25">
      <c r="A3645" s="45">
        <v>46052</v>
      </c>
      <c r="B3645" s="46" t="s">
        <v>334</v>
      </c>
      <c r="C3645" s="4" t="s">
        <v>129</v>
      </c>
      <c r="D3645" s="4"/>
      <c r="E3645" s="4" t="s">
        <v>921</v>
      </c>
      <c r="F3645" s="46" t="s">
        <v>1904</v>
      </c>
      <c r="G3645" s="46" t="s">
        <v>336</v>
      </c>
      <c r="H3645" s="46" t="s">
        <v>380</v>
      </c>
      <c r="I3645" s="4">
        <v>7.4999999999999997E-2</v>
      </c>
      <c r="J3645" s="21">
        <v>400</v>
      </c>
      <c r="K3645" s="21">
        <v>30</v>
      </c>
      <c r="L3645" s="5">
        <v>0</v>
      </c>
      <c r="M3645" s="4"/>
      <c r="N3645" s="4"/>
      <c r="O3645" s="5"/>
      <c r="P3645" s="5"/>
      <c r="Q3645" s="21">
        <v>0</v>
      </c>
      <c r="R3645" s="21">
        <v>0</v>
      </c>
      <c r="S3645" s="5">
        <f t="shared" si="227"/>
        <v>45103.877040949104</v>
      </c>
      <c r="T3645" cm="1">
        <f t="array" ref="T3645">IF(OR(B3645="MAL ALIMI", B3645="ÜRETİM GİRİŞ"), MIN(I3645, MAX(0, I3645 + SUM(SUMIFS($I$1:I3644, $C$1:C3644, C3645, $B$1:B3644, {"MAL ALIMI","ÜRETİM GİRİŞ"})) - VLOOKUP(C3645, 'STOK RAPORU'!$C$2:$I$1000, 4, 0))), 0)</f>
        <v>0</v>
      </c>
      <c r="U3645" s="22">
        <f t="shared" si="224"/>
        <v>0</v>
      </c>
      <c r="V3645">
        <f t="shared" si="225"/>
        <v>0</v>
      </c>
      <c r="W3645" s="22">
        <f t="shared" si="226"/>
        <v>0</v>
      </c>
    </row>
    <row r="3646" spans="1:23" hidden="1" x14ac:dyDescent="0.25">
      <c r="A3646" s="45">
        <v>46052</v>
      </c>
      <c r="B3646" s="46" t="s">
        <v>334</v>
      </c>
      <c r="C3646" s="4" t="s">
        <v>126</v>
      </c>
      <c r="D3646" s="4"/>
      <c r="E3646" s="4"/>
      <c r="F3646" s="46" t="s">
        <v>1905</v>
      </c>
      <c r="G3646" s="46" t="s">
        <v>336</v>
      </c>
      <c r="H3646" s="46" t="s">
        <v>289</v>
      </c>
      <c r="I3646" s="4">
        <v>0.15384615384615385</v>
      </c>
      <c r="J3646" s="21">
        <v>650</v>
      </c>
      <c r="K3646" s="21">
        <v>0</v>
      </c>
      <c r="L3646" s="5">
        <v>0</v>
      </c>
      <c r="M3646" s="4"/>
      <c r="N3646" s="4"/>
      <c r="O3646" s="5"/>
      <c r="P3646" s="5"/>
      <c r="Q3646" s="21">
        <v>100</v>
      </c>
      <c r="R3646" s="21">
        <v>0</v>
      </c>
      <c r="S3646" s="5">
        <f t="shared" si="227"/>
        <v>45203.877040949104</v>
      </c>
      <c r="T3646" cm="1">
        <f t="array" ref="T3646">IF(OR(B3646="MAL ALIMI", B3646="ÜRETİM GİRİŞ"), MIN(I3646, MAX(0, I3646 + SUM(SUMIFS($I$1:I3645, $C$1:C3645, C3646, $B$1:B3645, {"MAL ALIMI","ÜRETİM GİRİŞ"})) - VLOOKUP(C3646, 'STOK RAPORU'!$C$2:$I$1000, 4, 0))), 0)</f>
        <v>0</v>
      </c>
      <c r="U3646" s="22">
        <f t="shared" si="224"/>
        <v>0</v>
      </c>
      <c r="V3646">
        <f t="shared" si="225"/>
        <v>0</v>
      </c>
      <c r="W3646" s="22">
        <f t="shared" si="226"/>
        <v>0</v>
      </c>
    </row>
    <row r="3647" spans="1:23" hidden="1" x14ac:dyDescent="0.25">
      <c r="A3647" s="45">
        <v>46052</v>
      </c>
      <c r="B3647" s="46" t="s">
        <v>334</v>
      </c>
      <c r="C3647" s="4" t="s">
        <v>132</v>
      </c>
      <c r="D3647" s="4"/>
      <c r="E3647" s="4"/>
      <c r="F3647" s="46" t="s">
        <v>1905</v>
      </c>
      <c r="G3647" s="46" t="s">
        <v>336</v>
      </c>
      <c r="H3647" s="46" t="s">
        <v>289</v>
      </c>
      <c r="I3647" s="4">
        <v>0.2</v>
      </c>
      <c r="J3647" s="21">
        <v>500</v>
      </c>
      <c r="K3647" s="21">
        <v>0</v>
      </c>
      <c r="L3647" s="5">
        <v>0</v>
      </c>
      <c r="M3647" s="4"/>
      <c r="N3647" s="4"/>
      <c r="O3647" s="5"/>
      <c r="P3647" s="5"/>
      <c r="Q3647" s="21">
        <v>100</v>
      </c>
      <c r="R3647" s="21">
        <v>0</v>
      </c>
      <c r="S3647" s="5">
        <f t="shared" si="227"/>
        <v>45303.877040949104</v>
      </c>
      <c r="T3647" cm="1">
        <f t="array" ref="T3647">IF(OR(B3647="MAL ALIMI", B3647="ÜRETİM GİRİŞ"), MIN(I3647, MAX(0, I3647 + SUM(SUMIFS($I$1:I3646, $C$1:C3646, C3647, $B$1:B3646, {"MAL ALIMI","ÜRETİM GİRİŞ"})) - VLOOKUP(C3647, 'STOK RAPORU'!$C$2:$I$1000, 4, 0))), 0)</f>
        <v>0</v>
      </c>
      <c r="U3647" s="22">
        <f t="shared" si="224"/>
        <v>0</v>
      </c>
      <c r="V3647">
        <f t="shared" si="225"/>
        <v>0</v>
      </c>
      <c r="W3647" s="22">
        <f t="shared" si="226"/>
        <v>0</v>
      </c>
    </row>
    <row r="3648" spans="1:23" hidden="1" x14ac:dyDescent="0.25">
      <c r="A3648" s="45">
        <v>46052</v>
      </c>
      <c r="B3648" s="46" t="s">
        <v>334</v>
      </c>
      <c r="C3648" s="4" t="s">
        <v>586</v>
      </c>
      <c r="D3648" s="4"/>
      <c r="E3648" s="4"/>
      <c r="F3648" s="46" t="s">
        <v>1905</v>
      </c>
      <c r="G3648" s="46" t="s">
        <v>336</v>
      </c>
      <c r="H3648" s="46" t="s">
        <v>289</v>
      </c>
      <c r="I3648" s="4">
        <v>0.4</v>
      </c>
      <c r="J3648" s="21">
        <v>200</v>
      </c>
      <c r="K3648" s="21">
        <v>0</v>
      </c>
      <c r="L3648" s="5">
        <v>0</v>
      </c>
      <c r="M3648" s="4"/>
      <c r="N3648" s="4"/>
      <c r="O3648" s="5"/>
      <c r="P3648" s="5"/>
      <c r="Q3648" s="21">
        <v>80</v>
      </c>
      <c r="R3648" s="21">
        <v>0</v>
      </c>
      <c r="S3648" s="5">
        <f t="shared" si="227"/>
        <v>45383.877040949104</v>
      </c>
      <c r="T3648" cm="1">
        <f t="array" ref="T3648">IF(OR(B3648="MAL ALIMI", B3648="ÜRETİM GİRİŞ"), MIN(I3648, MAX(0, I3648 + SUM(SUMIFS($I$1:I3647, $C$1:C3647, C3648, $B$1:B3647, {"MAL ALIMI","ÜRETİM GİRİŞ"})) - VLOOKUP(C3648, 'STOK RAPORU'!$C$2:$I$1000, 4, 0))), 0)</f>
        <v>0</v>
      </c>
      <c r="U3648" s="22">
        <f t="shared" si="224"/>
        <v>0</v>
      </c>
      <c r="V3648">
        <f t="shared" si="225"/>
        <v>0</v>
      </c>
      <c r="W3648" s="22">
        <f t="shared" si="226"/>
        <v>0</v>
      </c>
    </row>
    <row r="3649" spans="1:23" hidden="1" x14ac:dyDescent="0.25">
      <c r="A3649" s="45">
        <v>46052</v>
      </c>
      <c r="B3649" s="46" t="s">
        <v>334</v>
      </c>
      <c r="C3649" s="46" t="s">
        <v>585</v>
      </c>
      <c r="D3649" s="4"/>
      <c r="E3649" s="4"/>
      <c r="F3649" s="46" t="s">
        <v>1905</v>
      </c>
      <c r="G3649" s="46" t="s">
        <v>336</v>
      </c>
      <c r="H3649" s="46" t="s">
        <v>289</v>
      </c>
      <c r="I3649" s="4">
        <v>0.6</v>
      </c>
      <c r="J3649" s="21">
        <v>200</v>
      </c>
      <c r="K3649" s="21">
        <v>0</v>
      </c>
      <c r="L3649" s="5">
        <v>0</v>
      </c>
      <c r="M3649" s="4"/>
      <c r="N3649" s="4"/>
      <c r="O3649" s="5"/>
      <c r="P3649" s="5"/>
      <c r="Q3649" s="21">
        <v>120</v>
      </c>
      <c r="R3649" s="21">
        <v>0</v>
      </c>
      <c r="S3649" s="5">
        <f t="shared" si="227"/>
        <v>45503.877040949104</v>
      </c>
      <c r="T3649" cm="1">
        <f t="array" ref="T3649">IF(OR(B3649="MAL ALIMI", B3649="ÜRETİM GİRİŞ"), MIN(I3649, MAX(0, I3649 + SUM(SUMIFS($I$1:I3648, $C$1:C3648, C3649, $B$1:B3648, {"MAL ALIMI","ÜRETİM GİRİŞ"})) - VLOOKUP(C3649, 'STOK RAPORU'!$C$2:$I$1000, 4, 0))), 0)</f>
        <v>0</v>
      </c>
      <c r="U3649" s="22">
        <f t="shared" ref="U3649:U3712" si="228">T3649*J3649</f>
        <v>0</v>
      </c>
      <c r="V3649">
        <f t="shared" ref="V3649:V3712" si="229">IF(OR(B3649="MAL ALIMI", B3649="ÜRETİM GİRİŞ"), I3649 * J3649, 0)</f>
        <v>0</v>
      </c>
      <c r="W3649" s="22">
        <f t="shared" ref="W3649:W3712" si="230">V3649-U3649</f>
        <v>0</v>
      </c>
    </row>
    <row r="3650" spans="1:23" hidden="1" x14ac:dyDescent="0.25">
      <c r="A3650" s="45">
        <v>46052</v>
      </c>
      <c r="B3650" s="46" t="s">
        <v>334</v>
      </c>
      <c r="C3650" s="4" t="s">
        <v>832</v>
      </c>
      <c r="D3650" s="4"/>
      <c r="E3650" s="4" t="s">
        <v>921</v>
      </c>
      <c r="F3650" s="46" t="s">
        <v>1906</v>
      </c>
      <c r="G3650" s="46" t="s">
        <v>336</v>
      </c>
      <c r="H3650" s="46" t="s">
        <v>380</v>
      </c>
      <c r="I3650" s="4">
        <v>2</v>
      </c>
      <c r="J3650" s="21">
        <v>145</v>
      </c>
      <c r="K3650" s="21">
        <v>290</v>
      </c>
      <c r="L3650" s="5">
        <v>0</v>
      </c>
      <c r="M3650" s="4"/>
      <c r="N3650" s="4"/>
      <c r="O3650" s="5"/>
      <c r="P3650" s="5"/>
      <c r="Q3650" s="21">
        <v>0</v>
      </c>
      <c r="R3650" s="21">
        <v>0</v>
      </c>
      <c r="S3650" s="5">
        <f t="shared" si="227"/>
        <v>45503.877040949104</v>
      </c>
      <c r="T3650" cm="1">
        <f t="array" ref="T3650">IF(OR(B3650="MAL ALIMI", B3650="ÜRETİM GİRİŞ"), MIN(I3650, MAX(0, I3650 + SUM(SUMIFS($I$1:I3649, $C$1:C3649, C3650, $B$1:B3649, {"MAL ALIMI","ÜRETİM GİRİŞ"})) - VLOOKUP(C3650, 'STOK RAPORU'!$C$2:$I$1000, 4, 0))), 0)</f>
        <v>0</v>
      </c>
      <c r="U3650" s="22">
        <f t="shared" si="228"/>
        <v>0</v>
      </c>
      <c r="V3650">
        <f t="shared" si="229"/>
        <v>0</v>
      </c>
      <c r="W3650" s="22">
        <f t="shared" si="230"/>
        <v>0</v>
      </c>
    </row>
    <row r="3651" spans="1:23" hidden="1" x14ac:dyDescent="0.25">
      <c r="A3651" s="45">
        <v>46052</v>
      </c>
      <c r="B3651" s="46" t="s">
        <v>334</v>
      </c>
      <c r="C3651" s="4" t="s">
        <v>821</v>
      </c>
      <c r="D3651" s="4"/>
      <c r="E3651" s="4" t="s">
        <v>921</v>
      </c>
      <c r="F3651" s="46" t="s">
        <v>1906</v>
      </c>
      <c r="G3651" s="46" t="s">
        <v>336</v>
      </c>
      <c r="H3651" s="46" t="s">
        <v>380</v>
      </c>
      <c r="I3651" s="4">
        <v>1</v>
      </c>
      <c r="J3651" s="21">
        <v>110</v>
      </c>
      <c r="K3651" s="21">
        <v>110</v>
      </c>
      <c r="L3651" s="5">
        <v>0</v>
      </c>
      <c r="M3651" s="4"/>
      <c r="N3651" s="4"/>
      <c r="O3651" s="5"/>
      <c r="P3651" s="5"/>
      <c r="Q3651" s="21">
        <v>0</v>
      </c>
      <c r="R3651" s="21">
        <v>0</v>
      </c>
      <c r="S3651" s="5">
        <f t="shared" si="227"/>
        <v>45503.877040949104</v>
      </c>
      <c r="T3651" cm="1">
        <f t="array" ref="T3651">IF(OR(B3651="MAL ALIMI", B3651="ÜRETİM GİRİŞ"), MIN(I3651, MAX(0, I3651 + SUM(SUMIFS($I$1:I3650, $C$1:C3650, C3651, $B$1:B3650, {"MAL ALIMI","ÜRETİM GİRİŞ"})) - VLOOKUP(C3651, 'STOK RAPORU'!$C$2:$I$1000, 4, 0))), 0)</f>
        <v>0</v>
      </c>
      <c r="U3651" s="22">
        <f t="shared" si="228"/>
        <v>0</v>
      </c>
      <c r="V3651">
        <f t="shared" si="229"/>
        <v>0</v>
      </c>
      <c r="W3651" s="22">
        <f t="shared" si="230"/>
        <v>0</v>
      </c>
    </row>
    <row r="3652" spans="1:23" hidden="1" x14ac:dyDescent="0.25">
      <c r="A3652" s="45">
        <v>46052</v>
      </c>
      <c r="B3652" s="46" t="s">
        <v>334</v>
      </c>
      <c r="C3652" s="4" t="s">
        <v>213</v>
      </c>
      <c r="D3652" s="4"/>
      <c r="E3652" s="4"/>
      <c r="F3652" s="46" t="s">
        <v>1907</v>
      </c>
      <c r="G3652" s="46" t="s">
        <v>336</v>
      </c>
      <c r="H3652" s="46" t="s">
        <v>289</v>
      </c>
      <c r="I3652" s="4">
        <v>0.04</v>
      </c>
      <c r="J3652" s="21">
        <v>1400</v>
      </c>
      <c r="K3652" s="21">
        <v>0</v>
      </c>
      <c r="L3652" s="5">
        <v>0</v>
      </c>
      <c r="M3652" s="4"/>
      <c r="N3652" s="4"/>
      <c r="O3652" s="5"/>
      <c r="P3652" s="5"/>
      <c r="Q3652" s="21">
        <v>56</v>
      </c>
      <c r="R3652" s="21">
        <v>0</v>
      </c>
      <c r="S3652" s="5">
        <f t="shared" ref="S3652:S3715" si="231">S3651+Q3652-R3652</f>
        <v>45559.877040949104</v>
      </c>
      <c r="T3652" cm="1">
        <f t="array" ref="T3652">IF(OR(B3652="MAL ALIMI", B3652="ÜRETİM GİRİŞ"), MIN(I3652, MAX(0, I3652 + SUM(SUMIFS($I$1:I3651, $C$1:C3651, C3652, $B$1:B3651, {"MAL ALIMI","ÜRETİM GİRİŞ"})) - VLOOKUP(C3652, 'STOK RAPORU'!$C$2:$I$1000, 4, 0))), 0)</f>
        <v>0</v>
      </c>
      <c r="U3652" s="22">
        <f t="shared" si="228"/>
        <v>0</v>
      </c>
      <c r="V3652">
        <f t="shared" si="229"/>
        <v>0</v>
      </c>
      <c r="W3652" s="22">
        <f t="shared" si="230"/>
        <v>0</v>
      </c>
    </row>
    <row r="3653" spans="1:23" hidden="1" x14ac:dyDescent="0.25">
      <c r="A3653" s="45">
        <v>46052</v>
      </c>
      <c r="B3653" s="46" t="s">
        <v>334</v>
      </c>
      <c r="C3653" s="4" t="s">
        <v>1642</v>
      </c>
      <c r="D3653" s="4"/>
      <c r="E3653" s="4"/>
      <c r="F3653" s="46" t="s">
        <v>1907</v>
      </c>
      <c r="G3653" s="46" t="s">
        <v>336</v>
      </c>
      <c r="H3653" s="46" t="s">
        <v>289</v>
      </c>
      <c r="I3653" s="4">
        <v>0.1</v>
      </c>
      <c r="J3653" s="21">
        <v>820</v>
      </c>
      <c r="K3653" s="21">
        <v>0</v>
      </c>
      <c r="L3653" s="5">
        <v>0</v>
      </c>
      <c r="M3653" s="4"/>
      <c r="N3653" s="4"/>
      <c r="O3653" s="5"/>
      <c r="P3653" s="5"/>
      <c r="Q3653" s="21">
        <v>82</v>
      </c>
      <c r="R3653" s="21">
        <v>0</v>
      </c>
      <c r="S3653" s="5">
        <f t="shared" si="231"/>
        <v>45641.877040949104</v>
      </c>
      <c r="T3653" cm="1">
        <f t="array" ref="T3653">IF(OR(B3653="MAL ALIMI", B3653="ÜRETİM GİRİŞ"), MIN(I3653, MAX(0, I3653 + SUM(SUMIFS($I$1:I3652, $C$1:C3652, C3653, $B$1:B3652, {"MAL ALIMI","ÜRETİM GİRİŞ"})) - VLOOKUP(C3653, 'STOK RAPORU'!$C$2:$I$1000, 4, 0))), 0)</f>
        <v>0</v>
      </c>
      <c r="U3653" s="22">
        <f t="shared" si="228"/>
        <v>0</v>
      </c>
      <c r="V3653">
        <f t="shared" si="229"/>
        <v>0</v>
      </c>
      <c r="W3653" s="22">
        <f t="shared" si="230"/>
        <v>0</v>
      </c>
    </row>
    <row r="3654" spans="1:23" hidden="1" x14ac:dyDescent="0.25">
      <c r="A3654" s="45">
        <v>46052</v>
      </c>
      <c r="B3654" s="46" t="s">
        <v>334</v>
      </c>
      <c r="C3654" s="4" t="s">
        <v>1641</v>
      </c>
      <c r="D3654" s="4"/>
      <c r="E3654" s="4"/>
      <c r="F3654" s="46" t="s">
        <v>1907</v>
      </c>
      <c r="G3654" s="46" t="s">
        <v>336</v>
      </c>
      <c r="H3654" s="46" t="s">
        <v>289</v>
      </c>
      <c r="I3654" s="4">
        <v>0.1</v>
      </c>
      <c r="J3654" s="21">
        <v>980</v>
      </c>
      <c r="K3654" s="21">
        <v>0</v>
      </c>
      <c r="L3654" s="5">
        <v>0</v>
      </c>
      <c r="M3654" s="4"/>
      <c r="N3654" s="4"/>
      <c r="O3654" s="5"/>
      <c r="P3654" s="5"/>
      <c r="Q3654" s="21">
        <v>98</v>
      </c>
      <c r="R3654" s="21">
        <v>0</v>
      </c>
      <c r="S3654" s="5">
        <f t="shared" si="231"/>
        <v>45739.877040949104</v>
      </c>
      <c r="T3654" cm="1">
        <f t="array" ref="T3654">IF(OR(B3654="MAL ALIMI", B3654="ÜRETİM GİRİŞ"), MIN(I3654, MAX(0, I3654 + SUM(SUMIFS($I$1:I3653, $C$1:C3653, C3654, $B$1:B3653, {"MAL ALIMI","ÜRETİM GİRİŞ"})) - VLOOKUP(C3654, 'STOK RAPORU'!$C$2:$I$1000, 4, 0))), 0)</f>
        <v>0</v>
      </c>
      <c r="U3654" s="22">
        <f t="shared" si="228"/>
        <v>0</v>
      </c>
      <c r="V3654">
        <f t="shared" si="229"/>
        <v>0</v>
      </c>
      <c r="W3654" s="22">
        <f t="shared" si="230"/>
        <v>0</v>
      </c>
    </row>
    <row r="3655" spans="1:23" hidden="1" x14ac:dyDescent="0.25">
      <c r="A3655" s="45">
        <v>46052</v>
      </c>
      <c r="B3655" s="46" t="s">
        <v>334</v>
      </c>
      <c r="C3655" s="4" t="s">
        <v>219</v>
      </c>
      <c r="D3655" s="4"/>
      <c r="E3655" s="4"/>
      <c r="F3655" s="46" t="s">
        <v>1907</v>
      </c>
      <c r="G3655" s="46" t="s">
        <v>336</v>
      </c>
      <c r="H3655" s="46" t="s">
        <v>289</v>
      </c>
      <c r="I3655" s="4">
        <v>2.5999999999999999E-2</v>
      </c>
      <c r="J3655" s="21">
        <v>2000</v>
      </c>
      <c r="K3655" s="21">
        <v>0</v>
      </c>
      <c r="L3655" s="5">
        <v>0</v>
      </c>
      <c r="M3655" s="4"/>
      <c r="N3655" s="4"/>
      <c r="O3655" s="5"/>
      <c r="P3655" s="5"/>
      <c r="Q3655" s="21">
        <v>52</v>
      </c>
      <c r="R3655" s="21">
        <v>0</v>
      </c>
      <c r="S3655" s="5">
        <f t="shared" si="231"/>
        <v>45791.877040949104</v>
      </c>
      <c r="T3655" cm="1">
        <f t="array" ref="T3655">IF(OR(B3655="MAL ALIMI", B3655="ÜRETİM GİRİŞ"), MIN(I3655, MAX(0, I3655 + SUM(SUMIFS($I$1:I3654, $C$1:C3654, C3655, $B$1:B3654, {"MAL ALIMI","ÜRETİM GİRİŞ"})) - VLOOKUP(C3655, 'STOK RAPORU'!$C$2:$I$1000, 4, 0))), 0)</f>
        <v>0</v>
      </c>
      <c r="U3655" s="22">
        <f t="shared" si="228"/>
        <v>0</v>
      </c>
      <c r="V3655">
        <f t="shared" si="229"/>
        <v>0</v>
      </c>
      <c r="W3655" s="22">
        <f t="shared" si="230"/>
        <v>0</v>
      </c>
    </row>
    <row r="3656" spans="1:23" hidden="1" x14ac:dyDescent="0.25">
      <c r="A3656" s="45">
        <v>46052</v>
      </c>
      <c r="B3656" s="46" t="s">
        <v>334</v>
      </c>
      <c r="C3656" s="4" t="s">
        <v>587</v>
      </c>
      <c r="D3656" s="4"/>
      <c r="E3656" s="4" t="s">
        <v>921</v>
      </c>
      <c r="F3656" s="46" t="s">
        <v>1908</v>
      </c>
      <c r="G3656" s="46" t="s">
        <v>336</v>
      </c>
      <c r="H3656" s="46" t="s">
        <v>380</v>
      </c>
      <c r="I3656" s="4">
        <v>1</v>
      </c>
      <c r="J3656" s="21">
        <v>150</v>
      </c>
      <c r="K3656" s="21">
        <v>150</v>
      </c>
      <c r="L3656" s="5">
        <v>0</v>
      </c>
      <c r="M3656" s="4"/>
      <c r="N3656" s="4"/>
      <c r="O3656" s="5"/>
      <c r="P3656" s="5"/>
      <c r="Q3656" s="21">
        <v>0</v>
      </c>
      <c r="R3656" s="21">
        <v>0</v>
      </c>
      <c r="S3656" s="5">
        <f t="shared" si="231"/>
        <v>45791.877040949104</v>
      </c>
      <c r="T3656" cm="1">
        <f t="array" ref="T3656">IF(OR(B3656="MAL ALIMI", B3656="ÜRETİM GİRİŞ"), MIN(I3656, MAX(0, I3656 + SUM(SUMIFS($I$1:I3655, $C$1:C3655, C3656, $B$1:B3655, {"MAL ALIMI","ÜRETİM GİRİŞ"})) - VLOOKUP(C3656, 'STOK RAPORU'!$C$2:$I$1000, 4, 0))), 0)</f>
        <v>0</v>
      </c>
      <c r="U3656" s="22">
        <f t="shared" si="228"/>
        <v>0</v>
      </c>
      <c r="V3656">
        <f t="shared" si="229"/>
        <v>0</v>
      </c>
      <c r="W3656" s="22">
        <f t="shared" si="230"/>
        <v>0</v>
      </c>
    </row>
    <row r="3657" spans="1:23" hidden="1" x14ac:dyDescent="0.25">
      <c r="A3657" s="45">
        <v>46052</v>
      </c>
      <c r="B3657" s="46" t="s">
        <v>334</v>
      </c>
      <c r="C3657" s="46" t="s">
        <v>585</v>
      </c>
      <c r="D3657" s="4"/>
      <c r="E3657" s="4" t="s">
        <v>921</v>
      </c>
      <c r="F3657" s="46" t="s">
        <v>1908</v>
      </c>
      <c r="G3657" s="46" t="s">
        <v>336</v>
      </c>
      <c r="H3657" s="46" t="s">
        <v>380</v>
      </c>
      <c r="I3657" s="4">
        <v>1</v>
      </c>
      <c r="J3657" s="21">
        <v>200</v>
      </c>
      <c r="K3657" s="21">
        <v>200</v>
      </c>
      <c r="L3657" s="5">
        <v>0</v>
      </c>
      <c r="M3657" s="4"/>
      <c r="N3657" s="4"/>
      <c r="O3657" s="5"/>
      <c r="P3657" s="5"/>
      <c r="Q3657" s="21">
        <v>0</v>
      </c>
      <c r="R3657" s="21">
        <v>0</v>
      </c>
      <c r="S3657" s="5">
        <f t="shared" si="231"/>
        <v>45791.877040949104</v>
      </c>
      <c r="T3657" cm="1">
        <f t="array" ref="T3657">IF(OR(B3657="MAL ALIMI", B3657="ÜRETİM GİRİŞ"), MIN(I3657, MAX(0, I3657 + SUM(SUMIFS($I$1:I3656, $C$1:C3656, C3657, $B$1:B3656, {"MAL ALIMI","ÜRETİM GİRİŞ"})) - VLOOKUP(C3657, 'STOK RAPORU'!$C$2:$I$1000, 4, 0))), 0)</f>
        <v>0</v>
      </c>
      <c r="U3657" s="22">
        <f t="shared" si="228"/>
        <v>0</v>
      </c>
      <c r="V3657">
        <f t="shared" si="229"/>
        <v>0</v>
      </c>
      <c r="W3657" s="22">
        <f t="shared" si="230"/>
        <v>0</v>
      </c>
    </row>
    <row r="3658" spans="1:23" hidden="1" x14ac:dyDescent="0.25">
      <c r="A3658" s="45">
        <v>46052</v>
      </c>
      <c r="B3658" s="46" t="s">
        <v>334</v>
      </c>
      <c r="C3658" s="4" t="s">
        <v>586</v>
      </c>
      <c r="D3658" s="4"/>
      <c r="E3658" s="4" t="s">
        <v>921</v>
      </c>
      <c r="F3658" s="46" t="s">
        <v>1908</v>
      </c>
      <c r="G3658" s="46" t="s">
        <v>336</v>
      </c>
      <c r="H3658" s="46" t="s">
        <v>380</v>
      </c>
      <c r="I3658" s="4">
        <v>1</v>
      </c>
      <c r="J3658" s="21">
        <v>200</v>
      </c>
      <c r="K3658" s="21">
        <v>200</v>
      </c>
      <c r="L3658" s="5">
        <v>0</v>
      </c>
      <c r="M3658" s="4"/>
      <c r="N3658" s="4"/>
      <c r="O3658" s="5"/>
      <c r="P3658" s="5"/>
      <c r="Q3658" s="21">
        <v>0</v>
      </c>
      <c r="R3658" s="21">
        <v>0</v>
      </c>
      <c r="S3658" s="5">
        <f t="shared" si="231"/>
        <v>45791.877040949104</v>
      </c>
      <c r="T3658" cm="1">
        <f t="array" ref="T3658">IF(OR(B3658="MAL ALIMI", B3658="ÜRETİM GİRİŞ"), MIN(I3658, MAX(0, I3658 + SUM(SUMIFS($I$1:I3657, $C$1:C3657, C3658, $B$1:B3657, {"MAL ALIMI","ÜRETİM GİRİŞ"})) - VLOOKUP(C3658, 'STOK RAPORU'!$C$2:$I$1000, 4, 0))), 0)</f>
        <v>0</v>
      </c>
      <c r="U3658" s="22">
        <f t="shared" si="228"/>
        <v>0</v>
      </c>
      <c r="V3658">
        <f t="shared" si="229"/>
        <v>0</v>
      </c>
      <c r="W3658" s="22">
        <f t="shared" si="230"/>
        <v>0</v>
      </c>
    </row>
    <row r="3659" spans="1:23" hidden="1" x14ac:dyDescent="0.25">
      <c r="A3659" s="45">
        <v>46052</v>
      </c>
      <c r="B3659" s="46" t="s">
        <v>334</v>
      </c>
      <c r="C3659" s="4" t="s">
        <v>1399</v>
      </c>
      <c r="D3659" s="4"/>
      <c r="E3659" s="4" t="s">
        <v>921</v>
      </c>
      <c r="F3659" s="46" t="s">
        <v>1909</v>
      </c>
      <c r="G3659" s="46" t="s">
        <v>336</v>
      </c>
      <c r="H3659" s="46" t="s">
        <v>380</v>
      </c>
      <c r="I3659" s="4">
        <v>1</v>
      </c>
      <c r="J3659" s="21">
        <v>170</v>
      </c>
      <c r="K3659" s="21">
        <v>170</v>
      </c>
      <c r="L3659" s="5">
        <v>0</v>
      </c>
      <c r="M3659" s="4"/>
      <c r="N3659" s="4"/>
      <c r="O3659" s="5"/>
      <c r="P3659" s="5"/>
      <c r="Q3659" s="21">
        <v>0</v>
      </c>
      <c r="R3659" s="21">
        <v>0</v>
      </c>
      <c r="S3659" s="5">
        <f t="shared" si="231"/>
        <v>45791.877040949104</v>
      </c>
      <c r="T3659" cm="1">
        <f t="array" ref="T3659">IF(OR(B3659="MAL ALIMI", B3659="ÜRETİM GİRİŞ"), MIN(I3659, MAX(0, I3659 + SUM(SUMIFS($I$1:I3658, $C$1:C3658, C3659, $B$1:B3658, {"MAL ALIMI","ÜRETİM GİRİŞ"})) - VLOOKUP(C3659, 'STOK RAPORU'!$C$2:$I$1000, 4, 0))), 0)</f>
        <v>0</v>
      </c>
      <c r="U3659" s="22">
        <f t="shared" si="228"/>
        <v>0</v>
      </c>
      <c r="V3659">
        <f t="shared" si="229"/>
        <v>0</v>
      </c>
      <c r="W3659" s="22">
        <f t="shared" si="230"/>
        <v>0</v>
      </c>
    </row>
    <row r="3660" spans="1:23" hidden="1" x14ac:dyDescent="0.25">
      <c r="A3660" s="45">
        <v>46053</v>
      </c>
      <c r="B3660" s="46" t="s">
        <v>334</v>
      </c>
      <c r="C3660" s="4" t="s">
        <v>1041</v>
      </c>
      <c r="D3660" s="4"/>
      <c r="E3660" s="4"/>
      <c r="F3660" s="46" t="s">
        <v>1898</v>
      </c>
      <c r="G3660" s="4" t="s">
        <v>336</v>
      </c>
      <c r="H3660" s="4" t="s">
        <v>289</v>
      </c>
      <c r="I3660" s="4">
        <v>1.6</v>
      </c>
      <c r="J3660" s="21">
        <v>250</v>
      </c>
      <c r="K3660" s="21">
        <v>0</v>
      </c>
      <c r="L3660" s="5">
        <v>0</v>
      </c>
      <c r="M3660" s="4"/>
      <c r="N3660" s="4"/>
      <c r="O3660" s="5"/>
      <c r="P3660" s="5"/>
      <c r="Q3660" s="21">
        <v>400</v>
      </c>
      <c r="R3660" s="21">
        <v>0</v>
      </c>
      <c r="S3660" s="5">
        <f t="shared" si="231"/>
        <v>46191.877040949104</v>
      </c>
      <c r="T3660" cm="1">
        <f t="array" ref="T3660">IF(OR(B3660="MAL ALIMI", B3660="ÜRETİM GİRİŞ"), MIN(I3660, MAX(0, I3660 + SUM(SUMIFS($I$1:I3659, $C$1:C3659, C3660, $B$1:B3659, {"MAL ALIMI","ÜRETİM GİRİŞ"})) - VLOOKUP(C3660, 'STOK RAPORU'!$C$2:$I$1000, 4, 0))), 0)</f>
        <v>0</v>
      </c>
      <c r="U3660" s="22">
        <f t="shared" si="228"/>
        <v>0</v>
      </c>
      <c r="V3660">
        <f t="shared" si="229"/>
        <v>0</v>
      </c>
      <c r="W3660" s="22">
        <f t="shared" si="230"/>
        <v>0</v>
      </c>
    </row>
    <row r="3661" spans="1:23" hidden="1" x14ac:dyDescent="0.25">
      <c r="A3661" s="45">
        <v>46053</v>
      </c>
      <c r="B3661" s="46" t="s">
        <v>334</v>
      </c>
      <c r="C3661" s="4" t="s">
        <v>715</v>
      </c>
      <c r="D3661" s="4"/>
      <c r="E3661" s="4"/>
      <c r="F3661" s="46" t="s">
        <v>1899</v>
      </c>
      <c r="G3661" s="4" t="s">
        <v>336</v>
      </c>
      <c r="H3661" s="4" t="s">
        <v>289</v>
      </c>
      <c r="I3661" s="4">
        <v>1</v>
      </c>
      <c r="J3661" s="21">
        <v>350</v>
      </c>
      <c r="K3661" s="21">
        <v>0</v>
      </c>
      <c r="L3661" s="5">
        <v>0</v>
      </c>
      <c r="M3661" s="4"/>
      <c r="N3661" s="4"/>
      <c r="O3661" s="5"/>
      <c r="P3661" s="5"/>
      <c r="Q3661" s="21">
        <v>350</v>
      </c>
      <c r="R3661" s="21">
        <v>0</v>
      </c>
      <c r="S3661" s="5">
        <f t="shared" si="231"/>
        <v>46541.877040949104</v>
      </c>
      <c r="T3661" cm="1">
        <f t="array" ref="T3661">IF(OR(B3661="MAL ALIMI", B3661="ÜRETİM GİRİŞ"), MIN(I3661, MAX(0, I3661 + SUM(SUMIFS($I$1:I3660, $C$1:C3660, C3661, $B$1:B3660, {"MAL ALIMI","ÜRETİM GİRİŞ"})) - VLOOKUP(C3661, 'STOK RAPORU'!$C$2:$I$1000, 4, 0))), 0)</f>
        <v>0</v>
      </c>
      <c r="U3661" s="22">
        <f t="shared" si="228"/>
        <v>0</v>
      </c>
      <c r="V3661">
        <f t="shared" si="229"/>
        <v>0</v>
      </c>
      <c r="W3661" s="22">
        <f t="shared" si="230"/>
        <v>0</v>
      </c>
    </row>
    <row r="3662" spans="1:23" hidden="1" x14ac:dyDescent="0.25">
      <c r="A3662" s="45">
        <v>46053</v>
      </c>
      <c r="B3662" s="46" t="s">
        <v>334</v>
      </c>
      <c r="C3662" s="4" t="s">
        <v>463</v>
      </c>
      <c r="D3662" s="4"/>
      <c r="E3662" s="4"/>
      <c r="F3662" s="46" t="s">
        <v>1899</v>
      </c>
      <c r="G3662" s="4" t="s">
        <v>336</v>
      </c>
      <c r="H3662" s="4" t="s">
        <v>289</v>
      </c>
      <c r="I3662" s="4">
        <v>0.125</v>
      </c>
      <c r="J3662" s="21">
        <v>400</v>
      </c>
      <c r="K3662" s="21">
        <v>0</v>
      </c>
      <c r="L3662" s="5">
        <v>0</v>
      </c>
      <c r="M3662" s="4"/>
      <c r="N3662" s="4"/>
      <c r="O3662" s="5"/>
      <c r="P3662" s="5"/>
      <c r="Q3662" s="21">
        <v>50</v>
      </c>
      <c r="R3662" s="21">
        <v>0</v>
      </c>
      <c r="S3662" s="5">
        <f t="shared" si="231"/>
        <v>46591.877040949104</v>
      </c>
      <c r="T3662" cm="1">
        <f t="array" ref="T3662">IF(OR(B3662="MAL ALIMI", B3662="ÜRETİM GİRİŞ"), MIN(I3662, MAX(0, I3662 + SUM(SUMIFS($I$1:I3661, $C$1:C3661, C3662, $B$1:B3661, {"MAL ALIMI","ÜRETİM GİRİŞ"})) - VLOOKUP(C3662, 'STOK RAPORU'!$C$2:$I$1000, 4, 0))), 0)</f>
        <v>0</v>
      </c>
      <c r="U3662" s="22">
        <f t="shared" si="228"/>
        <v>0</v>
      </c>
      <c r="V3662">
        <f t="shared" si="229"/>
        <v>0</v>
      </c>
      <c r="W3662" s="22">
        <f t="shared" si="230"/>
        <v>0</v>
      </c>
    </row>
    <row r="3663" spans="1:23" hidden="1" x14ac:dyDescent="0.25">
      <c r="A3663" s="45">
        <v>46053</v>
      </c>
      <c r="B3663" s="46" t="s">
        <v>334</v>
      </c>
      <c r="C3663" s="4" t="s">
        <v>1041</v>
      </c>
      <c r="D3663" s="4"/>
      <c r="E3663" s="4"/>
      <c r="F3663" s="46" t="s">
        <v>1900</v>
      </c>
      <c r="G3663" s="4" t="s">
        <v>336</v>
      </c>
      <c r="H3663" s="4" t="s">
        <v>289</v>
      </c>
      <c r="I3663" s="4">
        <v>1.08</v>
      </c>
      <c r="J3663" s="21">
        <v>250</v>
      </c>
      <c r="K3663" s="21">
        <v>0</v>
      </c>
      <c r="L3663" s="5">
        <v>0</v>
      </c>
      <c r="M3663" s="4"/>
      <c r="N3663" s="4"/>
      <c r="O3663" s="5"/>
      <c r="P3663" s="5"/>
      <c r="Q3663" s="21">
        <v>270</v>
      </c>
      <c r="R3663" s="21">
        <v>0</v>
      </c>
      <c r="S3663" s="5">
        <f t="shared" si="231"/>
        <v>46861.877040949104</v>
      </c>
      <c r="T3663" cm="1">
        <f t="array" ref="T3663">IF(OR(B3663="MAL ALIMI", B3663="ÜRETİM GİRİŞ"), MIN(I3663, MAX(0, I3663 + SUM(SUMIFS($I$1:I3662, $C$1:C3662, C3663, $B$1:B3662, {"MAL ALIMI","ÜRETİM GİRİŞ"})) - VLOOKUP(C3663, 'STOK RAPORU'!$C$2:$I$1000, 4, 0))), 0)</f>
        <v>0</v>
      </c>
      <c r="U3663" s="22">
        <f t="shared" si="228"/>
        <v>0</v>
      </c>
      <c r="V3663">
        <f t="shared" si="229"/>
        <v>0</v>
      </c>
      <c r="W3663" s="22">
        <f t="shared" si="230"/>
        <v>0</v>
      </c>
    </row>
    <row r="3664" spans="1:23" hidden="1" x14ac:dyDescent="0.25">
      <c r="A3664" s="45">
        <v>46053</v>
      </c>
      <c r="B3664" s="46" t="s">
        <v>334</v>
      </c>
      <c r="C3664" s="4" t="s">
        <v>486</v>
      </c>
      <c r="D3664" s="4"/>
      <c r="E3664" s="4" t="s">
        <v>921</v>
      </c>
      <c r="F3664" s="46" t="s">
        <v>1901</v>
      </c>
      <c r="G3664" s="4" t="s">
        <v>336</v>
      </c>
      <c r="H3664" s="4" t="s">
        <v>380</v>
      </c>
      <c r="I3664" s="4">
        <v>1</v>
      </c>
      <c r="J3664" s="21">
        <v>180</v>
      </c>
      <c r="K3664" s="21">
        <v>180</v>
      </c>
      <c r="L3664" s="5">
        <v>0</v>
      </c>
      <c r="M3664" s="4"/>
      <c r="N3664" s="4"/>
      <c r="O3664" s="5"/>
      <c r="P3664" s="5"/>
      <c r="Q3664" s="21">
        <v>0</v>
      </c>
      <c r="R3664" s="21">
        <v>0</v>
      </c>
      <c r="S3664" s="5">
        <f t="shared" si="231"/>
        <v>46861.877040949104</v>
      </c>
      <c r="T3664" cm="1">
        <f t="array" ref="T3664">IF(OR(B3664="MAL ALIMI", B3664="ÜRETİM GİRİŞ"), MIN(I3664, MAX(0, I3664 + SUM(SUMIFS($I$1:I3663, $C$1:C3663, C3664, $B$1:B3663, {"MAL ALIMI","ÜRETİM GİRİŞ"})) - VLOOKUP(C3664, 'STOK RAPORU'!$C$2:$I$1000, 4, 0))), 0)</f>
        <v>0</v>
      </c>
      <c r="U3664" s="22">
        <f t="shared" si="228"/>
        <v>0</v>
      </c>
      <c r="V3664">
        <f t="shared" si="229"/>
        <v>0</v>
      </c>
      <c r="W3664" s="22">
        <f t="shared" si="230"/>
        <v>0</v>
      </c>
    </row>
    <row r="3665" spans="1:23" hidden="1" x14ac:dyDescent="0.25">
      <c r="A3665" s="45">
        <v>46053</v>
      </c>
      <c r="B3665" s="46" t="s">
        <v>334</v>
      </c>
      <c r="C3665" s="4" t="s">
        <v>691</v>
      </c>
      <c r="D3665" s="4"/>
      <c r="E3665" s="4"/>
      <c r="F3665" s="46" t="s">
        <v>1902</v>
      </c>
      <c r="G3665" s="4" t="s">
        <v>336</v>
      </c>
      <c r="H3665" s="4" t="s">
        <v>289</v>
      </c>
      <c r="I3665" s="4">
        <v>0.21739130434782608</v>
      </c>
      <c r="J3665" s="21">
        <v>230</v>
      </c>
      <c r="K3665" s="21">
        <v>0</v>
      </c>
      <c r="L3665" s="5">
        <v>0</v>
      </c>
      <c r="M3665" s="4"/>
      <c r="N3665" s="4"/>
      <c r="O3665" s="5"/>
      <c r="P3665" s="5"/>
      <c r="Q3665" s="21">
        <v>50</v>
      </c>
      <c r="R3665" s="21">
        <v>0</v>
      </c>
      <c r="S3665" s="5">
        <f t="shared" si="231"/>
        <v>46911.877040949104</v>
      </c>
      <c r="T3665" cm="1">
        <f t="array" ref="T3665">IF(OR(B3665="MAL ALIMI", B3665="ÜRETİM GİRİŞ"), MIN(I3665, MAX(0, I3665 + SUM(SUMIFS($I$1:I3664, $C$1:C3664, C3665, $B$1:B3664, {"MAL ALIMI","ÜRETİM GİRİŞ"})) - VLOOKUP(C3665, 'STOK RAPORU'!$C$2:$I$1000, 4, 0))), 0)</f>
        <v>0</v>
      </c>
      <c r="U3665" s="22">
        <f t="shared" si="228"/>
        <v>0</v>
      </c>
      <c r="V3665">
        <f t="shared" si="229"/>
        <v>0</v>
      </c>
      <c r="W3665" s="22">
        <f t="shared" si="230"/>
        <v>0</v>
      </c>
    </row>
    <row r="3666" spans="1:23" hidden="1" x14ac:dyDescent="0.25">
      <c r="A3666" s="45">
        <v>46053</v>
      </c>
      <c r="B3666" s="46" t="s">
        <v>334</v>
      </c>
      <c r="C3666" s="4" t="s">
        <v>196</v>
      </c>
      <c r="D3666" s="4"/>
      <c r="E3666" s="4"/>
      <c r="F3666" s="46" t="s">
        <v>1902</v>
      </c>
      <c r="G3666" s="4" t="s">
        <v>336</v>
      </c>
      <c r="H3666" s="4" t="s">
        <v>289</v>
      </c>
      <c r="I3666" s="4">
        <v>0.2608695652173913</v>
      </c>
      <c r="J3666" s="21">
        <v>230</v>
      </c>
      <c r="K3666" s="21">
        <v>0</v>
      </c>
      <c r="L3666" s="5">
        <v>0</v>
      </c>
      <c r="M3666" s="4"/>
      <c r="N3666" s="4"/>
      <c r="O3666" s="5"/>
      <c r="P3666" s="5"/>
      <c r="Q3666" s="21">
        <v>60</v>
      </c>
      <c r="R3666" s="21">
        <v>0</v>
      </c>
      <c r="S3666" s="5">
        <f t="shared" si="231"/>
        <v>46971.877040949104</v>
      </c>
      <c r="T3666" cm="1">
        <f t="array" ref="T3666">IF(OR(B3666="MAL ALIMI", B3666="ÜRETİM GİRİŞ"), MIN(I3666, MAX(0, I3666 + SUM(SUMIFS($I$1:I3665, $C$1:C3665, C3666, $B$1:B3665, {"MAL ALIMI","ÜRETİM GİRİŞ"})) - VLOOKUP(C3666, 'STOK RAPORU'!$C$2:$I$1000, 4, 0))), 0)</f>
        <v>0</v>
      </c>
      <c r="U3666" s="22">
        <f t="shared" si="228"/>
        <v>0</v>
      </c>
      <c r="V3666">
        <f t="shared" si="229"/>
        <v>0</v>
      </c>
      <c r="W3666" s="22">
        <f t="shared" si="230"/>
        <v>0</v>
      </c>
    </row>
    <row r="3667" spans="1:23" hidden="1" x14ac:dyDescent="0.25">
      <c r="A3667" s="45">
        <v>46053</v>
      </c>
      <c r="B3667" s="46" t="s">
        <v>334</v>
      </c>
      <c r="C3667" s="4" t="s">
        <v>241</v>
      </c>
      <c r="D3667" s="4"/>
      <c r="E3667" s="4"/>
      <c r="F3667" s="46" t="s">
        <v>1902</v>
      </c>
      <c r="G3667" s="4" t="s">
        <v>336</v>
      </c>
      <c r="H3667" s="4" t="s">
        <v>289</v>
      </c>
      <c r="I3667" s="4">
        <v>0.27906976744186046</v>
      </c>
      <c r="J3667" s="21">
        <v>430</v>
      </c>
      <c r="K3667" s="21">
        <v>0</v>
      </c>
      <c r="L3667" s="5">
        <v>0</v>
      </c>
      <c r="M3667" s="4"/>
      <c r="N3667" s="4"/>
      <c r="O3667" s="5"/>
      <c r="P3667" s="5"/>
      <c r="Q3667" s="21">
        <v>120</v>
      </c>
      <c r="R3667" s="21">
        <v>0</v>
      </c>
      <c r="S3667" s="5">
        <f t="shared" si="231"/>
        <v>47091.877040949104</v>
      </c>
      <c r="T3667" cm="1">
        <f t="array" ref="T3667">IF(OR(B3667="MAL ALIMI", B3667="ÜRETİM GİRİŞ"), MIN(I3667, MAX(0, I3667 + SUM(SUMIFS($I$1:I3666, $C$1:C3666, C3667, $B$1:B3666, {"MAL ALIMI","ÜRETİM GİRİŞ"})) - VLOOKUP(C3667, 'STOK RAPORU'!$C$2:$I$1000, 4, 0))), 0)</f>
        <v>0</v>
      </c>
      <c r="U3667" s="22">
        <f t="shared" si="228"/>
        <v>0</v>
      </c>
      <c r="V3667">
        <f t="shared" si="229"/>
        <v>0</v>
      </c>
      <c r="W3667" s="22">
        <f t="shared" si="230"/>
        <v>0</v>
      </c>
    </row>
    <row r="3668" spans="1:23" hidden="1" x14ac:dyDescent="0.25">
      <c r="A3668" s="45">
        <v>46053</v>
      </c>
      <c r="B3668" s="46" t="s">
        <v>334</v>
      </c>
      <c r="C3668" s="4" t="s">
        <v>252</v>
      </c>
      <c r="D3668" s="4"/>
      <c r="E3668" s="4"/>
      <c r="F3668" s="46" t="s">
        <v>1902</v>
      </c>
      <c r="G3668" s="4" t="s">
        <v>336</v>
      </c>
      <c r="H3668" s="4" t="s">
        <v>289</v>
      </c>
      <c r="I3668" s="4">
        <v>0.25</v>
      </c>
      <c r="J3668" s="21">
        <v>200</v>
      </c>
      <c r="K3668" s="21">
        <v>0</v>
      </c>
      <c r="L3668" s="5">
        <v>0</v>
      </c>
      <c r="M3668" s="4"/>
      <c r="N3668" s="4"/>
      <c r="O3668" s="5"/>
      <c r="P3668" s="5"/>
      <c r="Q3668" s="21">
        <v>50</v>
      </c>
      <c r="R3668" s="21">
        <v>0</v>
      </c>
      <c r="S3668" s="5">
        <f t="shared" si="231"/>
        <v>47141.877040949104</v>
      </c>
      <c r="T3668" cm="1">
        <f t="array" ref="T3668">IF(OR(B3668="MAL ALIMI", B3668="ÜRETİM GİRİŞ"), MIN(I3668, MAX(0, I3668 + SUM(SUMIFS($I$1:I3667, $C$1:C3667, C3668, $B$1:B3667, {"MAL ALIMI","ÜRETİM GİRİŞ"})) - VLOOKUP(C3668, 'STOK RAPORU'!$C$2:$I$1000, 4, 0))), 0)</f>
        <v>0</v>
      </c>
      <c r="U3668" s="22">
        <f t="shared" si="228"/>
        <v>0</v>
      </c>
      <c r="V3668">
        <f t="shared" si="229"/>
        <v>0</v>
      </c>
      <c r="W3668" s="22">
        <f t="shared" si="230"/>
        <v>0</v>
      </c>
    </row>
    <row r="3669" spans="1:23" hidden="1" x14ac:dyDescent="0.25">
      <c r="A3669" s="45">
        <v>46053</v>
      </c>
      <c r="B3669" s="46" t="s">
        <v>334</v>
      </c>
      <c r="C3669" s="4" t="s">
        <v>648</v>
      </c>
      <c r="D3669" s="4"/>
      <c r="E3669" s="4"/>
      <c r="F3669" s="46" t="s">
        <v>1902</v>
      </c>
      <c r="G3669" s="4" t="s">
        <v>336</v>
      </c>
      <c r="H3669" s="4" t="s">
        <v>289</v>
      </c>
      <c r="I3669" s="4">
        <v>0.154</v>
      </c>
      <c r="J3669" s="21">
        <v>650</v>
      </c>
      <c r="K3669" s="21">
        <v>0</v>
      </c>
      <c r="L3669" s="5">
        <v>0</v>
      </c>
      <c r="M3669" s="4"/>
      <c r="N3669" s="4"/>
      <c r="O3669" s="5"/>
      <c r="P3669" s="5"/>
      <c r="Q3669" s="21">
        <v>100.1</v>
      </c>
      <c r="R3669" s="21">
        <v>0</v>
      </c>
      <c r="S3669" s="5">
        <f t="shared" si="231"/>
        <v>47241.977040949103</v>
      </c>
      <c r="T3669" cm="1">
        <f t="array" ref="T3669">IF(OR(B3669="MAL ALIMI", B3669="ÜRETİM GİRİŞ"), MIN(I3669, MAX(0, I3669 + SUM(SUMIFS($I$1:I3668, $C$1:C3668, C3669, $B$1:B3668, {"MAL ALIMI","ÜRETİM GİRİŞ"})) - VLOOKUP(C3669, 'STOK RAPORU'!$C$2:$I$1000, 4, 0))), 0)</f>
        <v>0</v>
      </c>
      <c r="U3669" s="22">
        <f t="shared" si="228"/>
        <v>0</v>
      </c>
      <c r="V3669">
        <f t="shared" si="229"/>
        <v>0</v>
      </c>
      <c r="W3669" s="22">
        <f t="shared" si="230"/>
        <v>0</v>
      </c>
    </row>
    <row r="3670" spans="1:23" hidden="1" x14ac:dyDescent="0.25">
      <c r="A3670" s="45">
        <v>46053</v>
      </c>
      <c r="B3670" s="46" t="s">
        <v>334</v>
      </c>
      <c r="C3670" s="46" t="s">
        <v>826</v>
      </c>
      <c r="D3670" s="46"/>
      <c r="E3670" s="46"/>
      <c r="F3670" s="46" t="s">
        <v>1903</v>
      </c>
      <c r="G3670" s="46" t="s">
        <v>336</v>
      </c>
      <c r="H3670" s="46" t="s">
        <v>289</v>
      </c>
      <c r="I3670" s="46">
        <v>1</v>
      </c>
      <c r="J3670" s="47">
        <v>130</v>
      </c>
      <c r="K3670" s="47">
        <v>0</v>
      </c>
      <c r="L3670" s="48">
        <v>0</v>
      </c>
      <c r="M3670" s="46"/>
      <c r="N3670" s="46"/>
      <c r="O3670" s="48"/>
      <c r="P3670" s="48"/>
      <c r="Q3670" s="47">
        <v>130</v>
      </c>
      <c r="R3670" s="21">
        <v>0</v>
      </c>
      <c r="S3670" s="5">
        <f t="shared" si="231"/>
        <v>47371.977040949103</v>
      </c>
      <c r="T3670" cm="1">
        <f t="array" ref="T3670">IF(OR(B3670="MAL ALIMI", B3670="ÜRETİM GİRİŞ"), MIN(I3670, MAX(0, I3670 + SUM(SUMIFS($I$1:I3669, $C$1:C3669, C3670, $B$1:B3669, {"MAL ALIMI","ÜRETİM GİRİŞ"})) - VLOOKUP(C3670, 'STOK RAPORU'!$C$2:$I$1000, 4, 0))), 0)</f>
        <v>0</v>
      </c>
      <c r="U3670" s="22">
        <f t="shared" si="228"/>
        <v>0</v>
      </c>
      <c r="V3670">
        <f t="shared" si="229"/>
        <v>0</v>
      </c>
      <c r="W3670" s="22">
        <f t="shared" si="230"/>
        <v>0</v>
      </c>
    </row>
    <row r="3671" spans="1:23" hidden="1" x14ac:dyDescent="0.25">
      <c r="A3671" s="45">
        <v>46053</v>
      </c>
      <c r="B3671" s="46" t="s">
        <v>334</v>
      </c>
      <c r="C3671" s="46" t="s">
        <v>160</v>
      </c>
      <c r="D3671" s="46"/>
      <c r="E3671" s="46"/>
      <c r="F3671" s="46" t="s">
        <v>1903</v>
      </c>
      <c r="G3671" s="46" t="s">
        <v>439</v>
      </c>
      <c r="H3671" s="46" t="s">
        <v>289</v>
      </c>
      <c r="I3671" s="46">
        <v>2</v>
      </c>
      <c r="J3671" s="47">
        <v>200</v>
      </c>
      <c r="K3671" s="47">
        <v>0</v>
      </c>
      <c r="L3671" s="48">
        <v>0</v>
      </c>
      <c r="M3671" s="46"/>
      <c r="N3671" s="46"/>
      <c r="O3671" s="48"/>
      <c r="P3671" s="48"/>
      <c r="Q3671" s="47">
        <v>400</v>
      </c>
      <c r="R3671" s="21">
        <v>0</v>
      </c>
      <c r="S3671" s="5">
        <f t="shared" si="231"/>
        <v>47771.977040949103</v>
      </c>
      <c r="T3671" cm="1">
        <f t="array" ref="T3671">IF(OR(B3671="MAL ALIMI", B3671="ÜRETİM GİRİŞ"), MIN(I3671, MAX(0, I3671 + SUM(SUMIFS($I$1:I3670, $C$1:C3670, C3671, $B$1:B3670, {"MAL ALIMI","ÜRETİM GİRİŞ"})) - VLOOKUP(C3671, 'STOK RAPORU'!$C$2:$I$1000, 4, 0))), 0)</f>
        <v>0</v>
      </c>
      <c r="U3671" s="22">
        <f t="shared" si="228"/>
        <v>0</v>
      </c>
      <c r="V3671">
        <f t="shared" si="229"/>
        <v>0</v>
      </c>
      <c r="W3671" s="22">
        <f t="shared" si="230"/>
        <v>0</v>
      </c>
    </row>
    <row r="3672" spans="1:23" hidden="1" x14ac:dyDescent="0.25">
      <c r="A3672" s="45">
        <v>46053</v>
      </c>
      <c r="B3672" s="46" t="s">
        <v>334</v>
      </c>
      <c r="C3672" s="4" t="s">
        <v>161</v>
      </c>
      <c r="D3672" s="4"/>
      <c r="E3672" s="4"/>
      <c r="F3672" s="46" t="s">
        <v>1903</v>
      </c>
      <c r="G3672" s="4" t="s">
        <v>439</v>
      </c>
      <c r="H3672" s="4" t="s">
        <v>289</v>
      </c>
      <c r="I3672" s="4">
        <v>1</v>
      </c>
      <c r="J3672" s="21">
        <v>180</v>
      </c>
      <c r="K3672" s="21">
        <v>0</v>
      </c>
      <c r="L3672" s="5">
        <v>0</v>
      </c>
      <c r="M3672" s="4"/>
      <c r="N3672" s="4"/>
      <c r="O3672" s="5"/>
      <c r="P3672" s="5"/>
      <c r="Q3672" s="21">
        <v>180</v>
      </c>
      <c r="R3672" s="21">
        <v>0</v>
      </c>
      <c r="S3672" s="5">
        <f t="shared" si="231"/>
        <v>47951.977040949103</v>
      </c>
      <c r="T3672" cm="1">
        <f t="array" ref="T3672">IF(OR(B3672="MAL ALIMI", B3672="ÜRETİM GİRİŞ"), MIN(I3672, MAX(0, I3672 + SUM(SUMIFS($I$1:I3671, $C$1:C3671, C3672, $B$1:B3671, {"MAL ALIMI","ÜRETİM GİRİŞ"})) - VLOOKUP(C3672, 'STOK RAPORU'!$C$2:$I$1000, 4, 0))), 0)</f>
        <v>0</v>
      </c>
      <c r="U3672" s="22">
        <f t="shared" si="228"/>
        <v>0</v>
      </c>
      <c r="V3672">
        <f t="shared" si="229"/>
        <v>0</v>
      </c>
      <c r="W3672" s="22">
        <f t="shared" si="230"/>
        <v>0</v>
      </c>
    </row>
    <row r="3673" spans="1:23" hidden="1" x14ac:dyDescent="0.25">
      <c r="A3673" s="45">
        <v>46053</v>
      </c>
      <c r="B3673" s="46" t="s">
        <v>334</v>
      </c>
      <c r="C3673" s="4" t="s">
        <v>154</v>
      </c>
      <c r="D3673" s="4"/>
      <c r="E3673" s="4"/>
      <c r="F3673" s="46" t="s">
        <v>1903</v>
      </c>
      <c r="G3673" s="4" t="s">
        <v>439</v>
      </c>
      <c r="H3673" s="4" t="s">
        <v>289</v>
      </c>
      <c r="I3673" s="4">
        <v>0.26666666666666666</v>
      </c>
      <c r="J3673" s="21">
        <v>225</v>
      </c>
      <c r="K3673" s="21">
        <v>0</v>
      </c>
      <c r="L3673" s="5">
        <v>0</v>
      </c>
      <c r="M3673" s="4"/>
      <c r="N3673" s="4"/>
      <c r="O3673" s="5"/>
      <c r="P3673" s="5"/>
      <c r="Q3673" s="21">
        <v>60</v>
      </c>
      <c r="R3673" s="21">
        <v>0</v>
      </c>
      <c r="S3673" s="5">
        <f t="shared" si="231"/>
        <v>48011.977040949103</v>
      </c>
      <c r="T3673" cm="1">
        <f t="array" ref="T3673">IF(OR(B3673="MAL ALIMI", B3673="ÜRETİM GİRİŞ"), MIN(I3673, MAX(0, I3673 + SUM(SUMIFS($I$1:I3672, $C$1:C3672, C3673, $B$1:B3672, {"MAL ALIMI","ÜRETİM GİRİŞ"})) - VLOOKUP(C3673, 'STOK RAPORU'!$C$2:$I$1000, 4, 0))), 0)</f>
        <v>0</v>
      </c>
      <c r="U3673" s="22">
        <f t="shared" si="228"/>
        <v>0</v>
      </c>
      <c r="V3673">
        <f t="shared" si="229"/>
        <v>0</v>
      </c>
      <c r="W3673" s="22">
        <f t="shared" si="230"/>
        <v>0</v>
      </c>
    </row>
    <row r="3674" spans="1:23" hidden="1" x14ac:dyDescent="0.25">
      <c r="A3674" s="45">
        <v>46053</v>
      </c>
      <c r="B3674" s="46" t="s">
        <v>334</v>
      </c>
      <c r="C3674" s="4" t="s">
        <v>486</v>
      </c>
      <c r="D3674" s="4"/>
      <c r="E3674" s="4"/>
      <c r="F3674" s="46" t="s">
        <v>1903</v>
      </c>
      <c r="G3674" s="4" t="s">
        <v>336</v>
      </c>
      <c r="H3674" s="4" t="s">
        <v>289</v>
      </c>
      <c r="I3674" s="4">
        <v>1</v>
      </c>
      <c r="J3674" s="21">
        <v>180</v>
      </c>
      <c r="K3674" s="21">
        <v>0</v>
      </c>
      <c r="L3674" s="5">
        <v>0</v>
      </c>
      <c r="M3674" s="4"/>
      <c r="N3674" s="4"/>
      <c r="O3674" s="5"/>
      <c r="P3674" s="5"/>
      <c r="Q3674" s="21">
        <v>180</v>
      </c>
      <c r="R3674" s="21">
        <v>0</v>
      </c>
      <c r="S3674" s="5">
        <f t="shared" si="231"/>
        <v>48191.977040949103</v>
      </c>
      <c r="T3674" cm="1">
        <f t="array" ref="T3674">IF(OR(B3674="MAL ALIMI", B3674="ÜRETİM GİRİŞ"), MIN(I3674, MAX(0, I3674 + SUM(SUMIFS($I$1:I3673, $C$1:C3673, C3674, $B$1:B3673, {"MAL ALIMI","ÜRETİM GİRİŞ"})) - VLOOKUP(C3674, 'STOK RAPORU'!$C$2:$I$1000, 4, 0))), 0)</f>
        <v>0</v>
      </c>
      <c r="U3674" s="22">
        <f t="shared" si="228"/>
        <v>0</v>
      </c>
      <c r="V3674">
        <f t="shared" si="229"/>
        <v>0</v>
      </c>
      <c r="W3674" s="22">
        <f t="shared" si="230"/>
        <v>0</v>
      </c>
    </row>
    <row r="3675" spans="1:23" hidden="1" x14ac:dyDescent="0.25">
      <c r="A3675" s="45">
        <v>46053</v>
      </c>
      <c r="B3675" s="46" t="s">
        <v>334</v>
      </c>
      <c r="C3675" s="46" t="s">
        <v>219</v>
      </c>
      <c r="D3675" s="42"/>
      <c r="E3675" s="42"/>
      <c r="F3675" s="46" t="s">
        <v>1903</v>
      </c>
      <c r="G3675" s="46" t="s">
        <v>336</v>
      </c>
      <c r="H3675" s="46" t="s">
        <v>289</v>
      </c>
      <c r="I3675" s="46">
        <v>2.5000000000000001E-2</v>
      </c>
      <c r="J3675" s="47">
        <v>2000</v>
      </c>
      <c r="K3675" s="47">
        <v>0</v>
      </c>
      <c r="L3675" s="48">
        <v>0</v>
      </c>
      <c r="M3675" s="46"/>
      <c r="N3675" s="46"/>
      <c r="O3675" s="48"/>
      <c r="P3675" s="48"/>
      <c r="Q3675" s="47">
        <v>50</v>
      </c>
      <c r="R3675" s="47">
        <v>0</v>
      </c>
      <c r="S3675" s="5">
        <f t="shared" si="231"/>
        <v>48241.977040949103</v>
      </c>
      <c r="T3675" cm="1">
        <f t="array" ref="T3675">IF(OR(B3675="MAL ALIMI", B3675="ÜRETİM GİRİŞ"), MIN(I3675, MAX(0, I3675 + SUM(SUMIFS($I$1:I3674, $C$1:C3674, C3675, $B$1:B3674, {"MAL ALIMI","ÜRETİM GİRİŞ"})) - VLOOKUP(C3675, 'STOK RAPORU'!$C$2:$I$1000, 4, 0))), 0)</f>
        <v>0</v>
      </c>
      <c r="U3675" s="22">
        <f t="shared" si="228"/>
        <v>0</v>
      </c>
      <c r="V3675">
        <f t="shared" si="229"/>
        <v>0</v>
      </c>
      <c r="W3675" s="22">
        <f t="shared" si="230"/>
        <v>0</v>
      </c>
    </row>
    <row r="3676" spans="1:23" hidden="1" x14ac:dyDescent="0.25">
      <c r="A3676" s="45">
        <v>46053</v>
      </c>
      <c r="B3676" s="46" t="s">
        <v>334</v>
      </c>
      <c r="C3676" s="4" t="s">
        <v>91</v>
      </c>
      <c r="D3676" s="4"/>
      <c r="E3676" s="4" t="s">
        <v>921</v>
      </c>
      <c r="F3676" s="46" t="s">
        <v>1904</v>
      </c>
      <c r="G3676" s="4" t="s">
        <v>336</v>
      </c>
      <c r="H3676" s="4" t="s">
        <v>380</v>
      </c>
      <c r="I3676" s="4">
        <v>0.04</v>
      </c>
      <c r="J3676" s="21">
        <v>750</v>
      </c>
      <c r="K3676" s="21">
        <v>30</v>
      </c>
      <c r="L3676" s="5">
        <v>0</v>
      </c>
      <c r="M3676" s="4"/>
      <c r="N3676" s="4"/>
      <c r="O3676" s="5"/>
      <c r="P3676" s="5"/>
      <c r="Q3676" s="21">
        <v>0</v>
      </c>
      <c r="R3676" s="21">
        <v>0</v>
      </c>
      <c r="S3676" s="5">
        <f t="shared" si="231"/>
        <v>48241.977040949103</v>
      </c>
      <c r="T3676" cm="1">
        <f t="array" ref="T3676">IF(OR(B3676="MAL ALIMI", B3676="ÜRETİM GİRİŞ"), MIN(I3676, MAX(0, I3676 + SUM(SUMIFS($I$1:I3675, $C$1:C3675, C3676, $B$1:B3675, {"MAL ALIMI","ÜRETİM GİRİŞ"})) - VLOOKUP(C3676, 'STOK RAPORU'!$C$2:$I$1000, 4, 0))), 0)</f>
        <v>0</v>
      </c>
      <c r="U3676" s="22">
        <f t="shared" si="228"/>
        <v>0</v>
      </c>
      <c r="V3676">
        <f t="shared" si="229"/>
        <v>0</v>
      </c>
      <c r="W3676" s="22">
        <f t="shared" si="230"/>
        <v>0</v>
      </c>
    </row>
    <row r="3677" spans="1:23" hidden="1" x14ac:dyDescent="0.25">
      <c r="A3677" s="45">
        <v>46053</v>
      </c>
      <c r="B3677" s="46" t="s">
        <v>334</v>
      </c>
      <c r="C3677" s="4" t="s">
        <v>163</v>
      </c>
      <c r="D3677" s="4"/>
      <c r="E3677" s="4" t="s">
        <v>921</v>
      </c>
      <c r="F3677" s="46" t="s">
        <v>1904</v>
      </c>
      <c r="G3677" s="4" t="s">
        <v>336</v>
      </c>
      <c r="H3677" s="4" t="s">
        <v>380</v>
      </c>
      <c r="I3677" s="4">
        <v>9.5000000000000001E-2</v>
      </c>
      <c r="J3677" s="21">
        <v>400</v>
      </c>
      <c r="K3677" s="21">
        <v>38</v>
      </c>
      <c r="L3677" s="5">
        <v>0</v>
      </c>
      <c r="M3677" s="4"/>
      <c r="N3677" s="4"/>
      <c r="O3677" s="5"/>
      <c r="P3677" s="5"/>
      <c r="Q3677" s="21">
        <v>0</v>
      </c>
      <c r="R3677" s="21">
        <v>0</v>
      </c>
      <c r="S3677" s="5">
        <f t="shared" si="231"/>
        <v>48241.977040949103</v>
      </c>
      <c r="T3677" cm="1">
        <f t="array" ref="T3677">IF(OR(B3677="MAL ALIMI", B3677="ÜRETİM GİRİŞ"), MIN(I3677, MAX(0, I3677 + SUM(SUMIFS($I$1:I3676, $C$1:C3676, C3677, $B$1:B3676, {"MAL ALIMI","ÜRETİM GİRİŞ"})) - VLOOKUP(C3677, 'STOK RAPORU'!$C$2:$I$1000, 4, 0))), 0)</f>
        <v>0</v>
      </c>
      <c r="U3677" s="22">
        <f t="shared" si="228"/>
        <v>0</v>
      </c>
      <c r="V3677">
        <f t="shared" si="229"/>
        <v>0</v>
      </c>
      <c r="W3677" s="22">
        <f t="shared" si="230"/>
        <v>0</v>
      </c>
    </row>
    <row r="3678" spans="1:23" hidden="1" x14ac:dyDescent="0.25">
      <c r="A3678" s="45">
        <v>46053</v>
      </c>
      <c r="B3678" s="46" t="s">
        <v>334</v>
      </c>
      <c r="C3678" s="4" t="s">
        <v>977</v>
      </c>
      <c r="D3678" s="4"/>
      <c r="E3678" s="4" t="s">
        <v>921</v>
      </c>
      <c r="F3678" s="46" t="s">
        <v>1904</v>
      </c>
      <c r="G3678" s="4" t="s">
        <v>336</v>
      </c>
      <c r="H3678" s="4" t="s">
        <v>380</v>
      </c>
      <c r="I3678" s="4">
        <v>0.20937500000000001</v>
      </c>
      <c r="J3678" s="21">
        <v>320</v>
      </c>
      <c r="K3678" s="21">
        <v>67</v>
      </c>
      <c r="L3678" s="5">
        <v>0</v>
      </c>
      <c r="M3678" s="4"/>
      <c r="N3678" s="4"/>
      <c r="O3678" s="5"/>
      <c r="P3678" s="5"/>
      <c r="Q3678" s="21">
        <v>0</v>
      </c>
      <c r="R3678" s="21">
        <v>0</v>
      </c>
      <c r="S3678" s="5">
        <f t="shared" si="231"/>
        <v>48241.977040949103</v>
      </c>
      <c r="T3678" cm="1">
        <f t="array" ref="T3678">IF(OR(B3678="MAL ALIMI", B3678="ÜRETİM GİRİŞ"), MIN(I3678, MAX(0, I3678 + SUM(SUMIFS($I$1:I3677, $C$1:C3677, C3678, $B$1:B3677, {"MAL ALIMI","ÜRETİM GİRİŞ"})) - VLOOKUP(C3678, 'STOK RAPORU'!$C$2:$I$1000, 4, 0))), 0)</f>
        <v>0</v>
      </c>
      <c r="U3678" s="22">
        <f t="shared" si="228"/>
        <v>0</v>
      </c>
      <c r="V3678">
        <f t="shared" si="229"/>
        <v>0</v>
      </c>
      <c r="W3678" s="22">
        <f t="shared" si="230"/>
        <v>0</v>
      </c>
    </row>
    <row r="3679" spans="1:23" hidden="1" x14ac:dyDescent="0.25">
      <c r="A3679" s="45">
        <v>46053</v>
      </c>
      <c r="B3679" s="46" t="s">
        <v>334</v>
      </c>
      <c r="C3679" s="4" t="s">
        <v>204</v>
      </c>
      <c r="D3679" s="4"/>
      <c r="E3679" s="4" t="s">
        <v>921</v>
      </c>
      <c r="F3679" s="46" t="s">
        <v>1904</v>
      </c>
      <c r="G3679" s="4" t="s">
        <v>336</v>
      </c>
      <c r="H3679" s="4" t="s">
        <v>380</v>
      </c>
      <c r="I3679" s="4">
        <v>2.1428571428571429E-2</v>
      </c>
      <c r="J3679" s="21">
        <v>950</v>
      </c>
      <c r="K3679" s="21">
        <v>20.357142857142858</v>
      </c>
      <c r="L3679" s="5">
        <v>0</v>
      </c>
      <c r="M3679" s="4"/>
      <c r="N3679" s="4"/>
      <c r="O3679" s="5"/>
      <c r="P3679" s="5"/>
      <c r="Q3679" s="21">
        <v>0</v>
      </c>
      <c r="R3679" s="21">
        <v>0</v>
      </c>
      <c r="S3679" s="5">
        <f t="shared" si="231"/>
        <v>48241.977040949103</v>
      </c>
      <c r="T3679" cm="1">
        <f t="array" ref="T3679">IF(OR(B3679="MAL ALIMI", B3679="ÜRETİM GİRİŞ"), MIN(I3679, MAX(0, I3679 + SUM(SUMIFS($I$1:I3678, $C$1:C3678, C3679, $B$1:B3678, {"MAL ALIMI","ÜRETİM GİRİŞ"})) - VLOOKUP(C3679, 'STOK RAPORU'!$C$2:$I$1000, 4, 0))), 0)</f>
        <v>0</v>
      </c>
      <c r="U3679" s="22">
        <f t="shared" si="228"/>
        <v>0</v>
      </c>
      <c r="V3679">
        <f t="shared" si="229"/>
        <v>0</v>
      </c>
      <c r="W3679" s="22">
        <f t="shared" si="230"/>
        <v>0</v>
      </c>
    </row>
    <row r="3680" spans="1:23" hidden="1" x14ac:dyDescent="0.25">
      <c r="A3680" s="45">
        <v>46053</v>
      </c>
      <c r="B3680" s="46" t="s">
        <v>334</v>
      </c>
      <c r="C3680" s="4" t="s">
        <v>224</v>
      </c>
      <c r="D3680" s="4"/>
      <c r="E3680" s="4" t="s">
        <v>921</v>
      </c>
      <c r="F3680" s="46" t="s">
        <v>1904</v>
      </c>
      <c r="G3680" s="4" t="s">
        <v>336</v>
      </c>
      <c r="H3680" s="4" t="s">
        <v>380</v>
      </c>
      <c r="I3680" s="4">
        <v>0.05</v>
      </c>
      <c r="J3680" s="21">
        <v>900</v>
      </c>
      <c r="K3680" s="21">
        <v>45</v>
      </c>
      <c r="L3680" s="5">
        <v>0</v>
      </c>
      <c r="M3680" s="4"/>
      <c r="N3680" s="4"/>
      <c r="O3680" s="5"/>
      <c r="P3680" s="5"/>
      <c r="Q3680" s="21">
        <v>0</v>
      </c>
      <c r="R3680" s="21">
        <v>0</v>
      </c>
      <c r="S3680" s="5">
        <f t="shared" si="231"/>
        <v>48241.977040949103</v>
      </c>
      <c r="T3680" cm="1">
        <f t="array" ref="T3680">IF(OR(B3680="MAL ALIMI", B3680="ÜRETİM GİRİŞ"), MIN(I3680, MAX(0, I3680 + SUM(SUMIFS($I$1:I3679, $C$1:C3679, C3680, $B$1:B3679, {"MAL ALIMI","ÜRETİM GİRİŞ"})) - VLOOKUP(C3680, 'STOK RAPORU'!$C$2:$I$1000, 4, 0))), 0)</f>
        <v>0</v>
      </c>
      <c r="U3680" s="22">
        <f t="shared" si="228"/>
        <v>0</v>
      </c>
      <c r="V3680">
        <f t="shared" si="229"/>
        <v>0</v>
      </c>
      <c r="W3680" s="22">
        <f t="shared" si="230"/>
        <v>0</v>
      </c>
    </row>
    <row r="3681" spans="1:23" hidden="1" x14ac:dyDescent="0.25">
      <c r="A3681" s="45">
        <v>46053</v>
      </c>
      <c r="B3681" s="46" t="s">
        <v>334</v>
      </c>
      <c r="C3681" s="4" t="s">
        <v>1897</v>
      </c>
      <c r="D3681" s="4"/>
      <c r="E3681" s="4"/>
      <c r="F3681" s="46" t="s">
        <v>1905</v>
      </c>
      <c r="G3681" s="4" t="s">
        <v>336</v>
      </c>
      <c r="H3681" s="4" t="s">
        <v>289</v>
      </c>
      <c r="I3681" s="4">
        <v>1</v>
      </c>
      <c r="J3681" s="21">
        <v>290</v>
      </c>
      <c r="K3681" s="21">
        <v>0</v>
      </c>
      <c r="L3681" s="5">
        <v>0</v>
      </c>
      <c r="M3681" s="4"/>
      <c r="N3681" s="4"/>
      <c r="O3681" s="5"/>
      <c r="P3681" s="5"/>
      <c r="Q3681" s="21">
        <v>290</v>
      </c>
      <c r="R3681" s="21">
        <v>0</v>
      </c>
      <c r="S3681" s="5">
        <f t="shared" si="231"/>
        <v>48531.977040949103</v>
      </c>
      <c r="T3681" cm="1">
        <f t="array" ref="T3681">IF(OR(B3681="MAL ALIMI", B3681="ÜRETİM GİRİŞ"), MIN(I3681, MAX(0, I3681 + SUM(SUMIFS($I$1:I3680, $C$1:C3680, C3681, $B$1:B3680, {"MAL ALIMI","ÜRETİM GİRİŞ"})) - VLOOKUP(C3681, 'STOK RAPORU'!$C$2:$I$1000, 4, 0))), 0)</f>
        <v>0</v>
      </c>
      <c r="U3681" s="22">
        <f t="shared" si="228"/>
        <v>0</v>
      </c>
      <c r="V3681">
        <f t="shared" si="229"/>
        <v>0</v>
      </c>
      <c r="W3681" s="22">
        <f t="shared" si="230"/>
        <v>0</v>
      </c>
    </row>
    <row r="3682" spans="1:23" hidden="1" x14ac:dyDescent="0.25">
      <c r="A3682" s="45">
        <v>46053</v>
      </c>
      <c r="B3682" s="46" t="s">
        <v>334</v>
      </c>
      <c r="C3682" s="4" t="s">
        <v>587</v>
      </c>
      <c r="D3682" s="4"/>
      <c r="E3682" s="4"/>
      <c r="F3682" s="46" t="s">
        <v>1905</v>
      </c>
      <c r="G3682" s="4" t="s">
        <v>336</v>
      </c>
      <c r="H3682" s="4" t="s">
        <v>289</v>
      </c>
      <c r="I3682" s="4">
        <v>1</v>
      </c>
      <c r="J3682" s="21">
        <v>150</v>
      </c>
      <c r="K3682" s="21">
        <v>0</v>
      </c>
      <c r="L3682" s="5">
        <v>0</v>
      </c>
      <c r="M3682" s="4"/>
      <c r="N3682" s="4"/>
      <c r="O3682" s="5"/>
      <c r="P3682" s="5"/>
      <c r="Q3682" s="21">
        <v>150</v>
      </c>
      <c r="R3682" s="21">
        <v>0</v>
      </c>
      <c r="S3682" s="5">
        <f t="shared" si="231"/>
        <v>48681.977040949103</v>
      </c>
      <c r="T3682" cm="1">
        <f t="array" ref="T3682">IF(OR(B3682="MAL ALIMI", B3682="ÜRETİM GİRİŞ"), MIN(I3682, MAX(0, I3682 + SUM(SUMIFS($I$1:I3681, $C$1:C3681, C3682, $B$1:B3681, {"MAL ALIMI","ÜRETİM GİRİŞ"})) - VLOOKUP(C3682, 'STOK RAPORU'!$C$2:$I$1000, 4, 0))), 0)</f>
        <v>0</v>
      </c>
      <c r="U3682" s="22">
        <f t="shared" si="228"/>
        <v>0</v>
      </c>
      <c r="V3682">
        <f t="shared" si="229"/>
        <v>0</v>
      </c>
      <c r="W3682" s="22">
        <f t="shared" si="230"/>
        <v>0</v>
      </c>
    </row>
    <row r="3683" spans="1:23" hidden="1" x14ac:dyDescent="0.25">
      <c r="A3683" s="45">
        <v>46053</v>
      </c>
      <c r="B3683" s="46" t="s">
        <v>334</v>
      </c>
      <c r="C3683" s="4" t="s">
        <v>587</v>
      </c>
      <c r="D3683" s="4"/>
      <c r="E3683" s="4"/>
      <c r="F3683" s="46" t="s">
        <v>1906</v>
      </c>
      <c r="G3683" s="4" t="s">
        <v>336</v>
      </c>
      <c r="H3683" s="4" t="s">
        <v>289</v>
      </c>
      <c r="I3683" s="4">
        <v>1</v>
      </c>
      <c r="J3683" s="21">
        <v>150</v>
      </c>
      <c r="K3683" s="21">
        <v>0</v>
      </c>
      <c r="L3683" s="5">
        <v>0</v>
      </c>
      <c r="M3683" s="4"/>
      <c r="N3683" s="4"/>
      <c r="O3683" s="5"/>
      <c r="P3683" s="5"/>
      <c r="Q3683" s="21">
        <v>150</v>
      </c>
      <c r="R3683" s="21">
        <v>0</v>
      </c>
      <c r="S3683" s="5">
        <f t="shared" si="231"/>
        <v>48831.977040949103</v>
      </c>
      <c r="T3683" cm="1">
        <f t="array" ref="T3683">IF(OR(B3683="MAL ALIMI", B3683="ÜRETİM GİRİŞ"), MIN(I3683, MAX(0, I3683 + SUM(SUMIFS($I$1:I3682, $C$1:C3682, C3683, $B$1:B3682, {"MAL ALIMI","ÜRETİM GİRİŞ"})) - VLOOKUP(C3683, 'STOK RAPORU'!$C$2:$I$1000, 4, 0))), 0)</f>
        <v>0</v>
      </c>
      <c r="U3683" s="22">
        <f t="shared" si="228"/>
        <v>0</v>
      </c>
      <c r="V3683">
        <f t="shared" si="229"/>
        <v>0</v>
      </c>
      <c r="W3683" s="22">
        <f t="shared" si="230"/>
        <v>0</v>
      </c>
    </row>
    <row r="3684" spans="1:23" hidden="1" x14ac:dyDescent="0.25">
      <c r="A3684" s="45">
        <v>46053</v>
      </c>
      <c r="B3684" s="46" t="s">
        <v>334</v>
      </c>
      <c r="C3684" s="4" t="s">
        <v>463</v>
      </c>
      <c r="D3684" s="4"/>
      <c r="E3684" s="4"/>
      <c r="F3684" s="46" t="s">
        <v>1906</v>
      </c>
      <c r="G3684" s="4" t="s">
        <v>336</v>
      </c>
      <c r="H3684" s="4" t="s">
        <v>289</v>
      </c>
      <c r="I3684" s="4">
        <v>0.125</v>
      </c>
      <c r="J3684" s="21">
        <v>400</v>
      </c>
      <c r="K3684" s="21">
        <v>0</v>
      </c>
      <c r="L3684" s="5">
        <v>0</v>
      </c>
      <c r="M3684" s="4"/>
      <c r="N3684" s="4"/>
      <c r="O3684" s="5"/>
      <c r="P3684" s="5"/>
      <c r="Q3684" s="21">
        <v>50</v>
      </c>
      <c r="R3684" s="21">
        <v>0</v>
      </c>
      <c r="S3684" s="5">
        <f t="shared" si="231"/>
        <v>48881.977040949103</v>
      </c>
      <c r="T3684" cm="1">
        <f t="array" ref="T3684">IF(OR(B3684="MAL ALIMI", B3684="ÜRETİM GİRİŞ"), MIN(I3684, MAX(0, I3684 + SUM(SUMIFS($I$1:I3683, $C$1:C3683, C3684, $B$1:B3683, {"MAL ALIMI","ÜRETİM GİRİŞ"})) - VLOOKUP(C3684, 'STOK RAPORU'!$C$2:$I$1000, 4, 0))), 0)</f>
        <v>0</v>
      </c>
      <c r="U3684" s="22">
        <f t="shared" si="228"/>
        <v>0</v>
      </c>
      <c r="V3684">
        <f t="shared" si="229"/>
        <v>0</v>
      </c>
      <c r="W3684" s="22">
        <f t="shared" si="230"/>
        <v>0</v>
      </c>
    </row>
    <row r="3685" spans="1:23" hidden="1" x14ac:dyDescent="0.25">
      <c r="A3685" s="45">
        <v>46053</v>
      </c>
      <c r="B3685" s="46" t="s">
        <v>334</v>
      </c>
      <c r="C3685" s="4" t="s">
        <v>748</v>
      </c>
      <c r="D3685" s="4"/>
      <c r="E3685" s="4" t="s">
        <v>921</v>
      </c>
      <c r="F3685" s="46" t="s">
        <v>1907</v>
      </c>
      <c r="G3685" s="4" t="s">
        <v>336</v>
      </c>
      <c r="H3685" s="4" t="s">
        <v>380</v>
      </c>
      <c r="I3685" s="4">
        <v>1</v>
      </c>
      <c r="J3685" s="21">
        <v>240</v>
      </c>
      <c r="K3685" s="21">
        <v>240</v>
      </c>
      <c r="L3685" s="5">
        <v>0</v>
      </c>
      <c r="M3685" s="4"/>
      <c r="N3685" s="4"/>
      <c r="O3685" s="5"/>
      <c r="P3685" s="5"/>
      <c r="Q3685" s="21">
        <v>0</v>
      </c>
      <c r="R3685" s="21">
        <v>0</v>
      </c>
      <c r="S3685" s="5">
        <f t="shared" si="231"/>
        <v>48881.977040949103</v>
      </c>
      <c r="T3685" cm="1">
        <f t="array" ref="T3685">IF(OR(B3685="MAL ALIMI", B3685="ÜRETİM GİRİŞ"), MIN(I3685, MAX(0, I3685 + SUM(SUMIFS($I$1:I3684, $C$1:C3684, C3685, $B$1:B3684, {"MAL ALIMI","ÜRETİM GİRİŞ"})) - VLOOKUP(C3685, 'STOK RAPORU'!$C$2:$I$1000, 4, 0))), 0)</f>
        <v>0</v>
      </c>
      <c r="U3685" s="22">
        <f t="shared" si="228"/>
        <v>0</v>
      </c>
      <c r="V3685">
        <f t="shared" si="229"/>
        <v>0</v>
      </c>
      <c r="W3685" s="22">
        <f t="shared" si="230"/>
        <v>0</v>
      </c>
    </row>
    <row r="3686" spans="1:23" hidden="1" x14ac:dyDescent="0.25">
      <c r="A3686" s="45">
        <v>46053</v>
      </c>
      <c r="B3686" s="46" t="s">
        <v>334</v>
      </c>
      <c r="C3686" s="4" t="s">
        <v>265</v>
      </c>
      <c r="D3686" s="4"/>
      <c r="E3686" s="4" t="s">
        <v>921</v>
      </c>
      <c r="F3686" s="46" t="s">
        <v>1907</v>
      </c>
      <c r="G3686" s="4" t="s">
        <v>336</v>
      </c>
      <c r="H3686" s="4" t="s">
        <v>380</v>
      </c>
      <c r="I3686" s="4">
        <v>1</v>
      </c>
      <c r="J3686" s="21">
        <v>130</v>
      </c>
      <c r="K3686" s="21">
        <v>130</v>
      </c>
      <c r="L3686" s="5">
        <v>0</v>
      </c>
      <c r="M3686" s="4"/>
      <c r="N3686" s="4"/>
      <c r="O3686" s="5"/>
      <c r="P3686" s="5"/>
      <c r="Q3686" s="21">
        <v>0</v>
      </c>
      <c r="R3686" s="21">
        <v>0</v>
      </c>
      <c r="S3686" s="5">
        <f t="shared" si="231"/>
        <v>48881.977040949103</v>
      </c>
      <c r="T3686" cm="1">
        <f t="array" ref="T3686">IF(OR(B3686="MAL ALIMI", B3686="ÜRETİM GİRİŞ"), MIN(I3686, MAX(0, I3686 + SUM(SUMIFS($I$1:I3685, $C$1:C3685, C3686, $B$1:B3685, {"MAL ALIMI","ÜRETİM GİRİŞ"})) - VLOOKUP(C3686, 'STOK RAPORU'!$C$2:$I$1000, 4, 0))), 0)</f>
        <v>0</v>
      </c>
      <c r="U3686" s="22">
        <f t="shared" si="228"/>
        <v>0</v>
      </c>
      <c r="V3686">
        <f t="shared" si="229"/>
        <v>0</v>
      </c>
      <c r="W3686" s="22">
        <f t="shared" si="230"/>
        <v>0</v>
      </c>
    </row>
    <row r="3687" spans="1:23" hidden="1" x14ac:dyDescent="0.25">
      <c r="A3687" s="45">
        <v>46053</v>
      </c>
      <c r="B3687" s="46" t="s">
        <v>334</v>
      </c>
      <c r="C3687" s="4" t="s">
        <v>209</v>
      </c>
      <c r="D3687" s="4"/>
      <c r="E3687" s="4" t="s">
        <v>921</v>
      </c>
      <c r="F3687" s="46" t="s">
        <v>1907</v>
      </c>
      <c r="G3687" s="4" t="s">
        <v>336</v>
      </c>
      <c r="H3687" s="4" t="s">
        <v>380</v>
      </c>
      <c r="I3687" s="4">
        <v>0.05</v>
      </c>
      <c r="J3687" s="21">
        <v>2600</v>
      </c>
      <c r="K3687" s="21">
        <v>130</v>
      </c>
      <c r="L3687" s="5">
        <v>0</v>
      </c>
      <c r="M3687" s="4"/>
      <c r="N3687" s="4"/>
      <c r="O3687" s="5"/>
      <c r="P3687" s="5"/>
      <c r="Q3687" s="21">
        <v>0</v>
      </c>
      <c r="R3687" s="21">
        <v>0</v>
      </c>
      <c r="S3687" s="5">
        <f t="shared" si="231"/>
        <v>48881.977040949103</v>
      </c>
      <c r="T3687" cm="1">
        <f t="array" ref="T3687">IF(OR(B3687="MAL ALIMI", B3687="ÜRETİM GİRİŞ"), MIN(I3687, MAX(0, I3687 + SUM(SUMIFS($I$1:I3686, $C$1:C3686, C3687, $B$1:B3686, {"MAL ALIMI","ÜRETİM GİRİŞ"})) - VLOOKUP(C3687, 'STOK RAPORU'!$C$2:$I$1000, 4, 0))), 0)</f>
        <v>0</v>
      </c>
      <c r="U3687" s="22">
        <f t="shared" si="228"/>
        <v>0</v>
      </c>
      <c r="V3687">
        <f t="shared" si="229"/>
        <v>0</v>
      </c>
      <c r="W3687" s="22">
        <f t="shared" si="230"/>
        <v>0</v>
      </c>
    </row>
    <row r="3688" spans="1:23" hidden="1" x14ac:dyDescent="0.25">
      <c r="A3688" s="45">
        <v>46053</v>
      </c>
      <c r="B3688" s="46" t="s">
        <v>334</v>
      </c>
      <c r="C3688" s="4" t="s">
        <v>150</v>
      </c>
      <c r="D3688" s="4"/>
      <c r="E3688" s="4"/>
      <c r="F3688" s="46" t="s">
        <v>1908</v>
      </c>
      <c r="G3688" s="4" t="s">
        <v>336</v>
      </c>
      <c r="H3688" s="4" t="s">
        <v>289</v>
      </c>
      <c r="I3688" s="4">
        <v>2.5000000000000001E-2</v>
      </c>
      <c r="J3688" s="21">
        <v>2000</v>
      </c>
      <c r="K3688" s="21">
        <v>0</v>
      </c>
      <c r="L3688" s="5">
        <v>0</v>
      </c>
      <c r="M3688" s="4"/>
      <c r="N3688" s="4"/>
      <c r="O3688" s="5"/>
      <c r="P3688" s="5"/>
      <c r="Q3688" s="21">
        <v>50</v>
      </c>
      <c r="R3688" s="21">
        <v>0</v>
      </c>
      <c r="S3688" s="5">
        <f t="shared" si="231"/>
        <v>48931.977040949103</v>
      </c>
      <c r="T3688" cm="1">
        <f t="array" ref="T3688">IF(OR(B3688="MAL ALIMI", B3688="ÜRETİM GİRİŞ"), MIN(I3688, MAX(0, I3688 + SUM(SUMIFS($I$1:I3687, $C$1:C3687, C3688, $B$1:B3687, {"MAL ALIMI","ÜRETİM GİRİŞ"})) - VLOOKUP(C3688, 'STOK RAPORU'!$C$2:$I$1000, 4, 0))), 0)</f>
        <v>0</v>
      </c>
      <c r="U3688" s="22">
        <f t="shared" si="228"/>
        <v>0</v>
      </c>
      <c r="V3688">
        <f t="shared" si="229"/>
        <v>0</v>
      </c>
      <c r="W3688" s="22">
        <f t="shared" si="230"/>
        <v>0</v>
      </c>
    </row>
    <row r="3689" spans="1:23" hidden="1" x14ac:dyDescent="0.25">
      <c r="A3689" s="45">
        <v>46053</v>
      </c>
      <c r="B3689" s="46" t="s">
        <v>334</v>
      </c>
      <c r="C3689" s="4" t="s">
        <v>196</v>
      </c>
      <c r="D3689" s="4"/>
      <c r="E3689" s="4"/>
      <c r="F3689" s="46" t="s">
        <v>1908</v>
      </c>
      <c r="G3689" s="4" t="s">
        <v>336</v>
      </c>
      <c r="H3689" s="4" t="s">
        <v>289</v>
      </c>
      <c r="I3689" s="4">
        <v>0.2608695652173913</v>
      </c>
      <c r="J3689" s="21">
        <v>192</v>
      </c>
      <c r="K3689" s="21">
        <v>0</v>
      </c>
      <c r="L3689" s="5">
        <v>0</v>
      </c>
      <c r="M3689" s="4"/>
      <c r="N3689" s="4"/>
      <c r="O3689" s="5"/>
      <c r="P3689" s="5"/>
      <c r="Q3689" s="21">
        <v>50.086956521739125</v>
      </c>
      <c r="R3689" s="21">
        <v>0</v>
      </c>
      <c r="S3689" s="5">
        <f t="shared" si="231"/>
        <v>48982.063997470839</v>
      </c>
      <c r="T3689" cm="1">
        <f t="array" ref="T3689">IF(OR(B3689="MAL ALIMI", B3689="ÜRETİM GİRİŞ"), MIN(I3689, MAX(0, I3689 + SUM(SUMIFS($I$1:I3688, $C$1:C3688, C3689, $B$1:B3688, {"MAL ALIMI","ÜRETİM GİRİŞ"})) - VLOOKUP(C3689, 'STOK RAPORU'!$C$2:$I$1000, 4, 0))), 0)</f>
        <v>0</v>
      </c>
      <c r="U3689" s="22">
        <f t="shared" si="228"/>
        <v>0</v>
      </c>
      <c r="V3689">
        <f t="shared" si="229"/>
        <v>0</v>
      </c>
      <c r="W3689" s="22">
        <f t="shared" si="230"/>
        <v>0</v>
      </c>
    </row>
    <row r="3690" spans="1:23" hidden="1" x14ac:dyDescent="0.25">
      <c r="A3690" s="45">
        <v>46053</v>
      </c>
      <c r="B3690" s="46" t="s">
        <v>334</v>
      </c>
      <c r="C3690" s="4" t="s">
        <v>1365</v>
      </c>
      <c r="D3690" s="4"/>
      <c r="E3690" s="4"/>
      <c r="F3690" s="46" t="s">
        <v>1909</v>
      </c>
      <c r="G3690" s="4" t="s">
        <v>336</v>
      </c>
      <c r="H3690" s="4" t="s">
        <v>289</v>
      </c>
      <c r="I3690" s="4">
        <v>1</v>
      </c>
      <c r="J3690" s="21">
        <v>140</v>
      </c>
      <c r="K3690" s="21">
        <v>0</v>
      </c>
      <c r="L3690" s="5">
        <v>0</v>
      </c>
      <c r="M3690" s="4"/>
      <c r="N3690" s="4"/>
      <c r="O3690" s="5"/>
      <c r="P3690" s="5"/>
      <c r="Q3690" s="21">
        <v>140</v>
      </c>
      <c r="R3690" s="21">
        <v>0</v>
      </c>
      <c r="S3690" s="5">
        <f t="shared" si="231"/>
        <v>49122.063997470839</v>
      </c>
      <c r="T3690" cm="1">
        <f t="array" ref="T3690">IF(OR(B3690="MAL ALIMI", B3690="ÜRETİM GİRİŞ"), MIN(I3690, MAX(0, I3690 + SUM(SUMIFS($I$1:I3689, $C$1:C3689, C3690, $B$1:B3689, {"MAL ALIMI","ÜRETİM GİRİŞ"})) - VLOOKUP(C3690, 'STOK RAPORU'!$C$2:$I$1000, 4, 0))), 0)</f>
        <v>0</v>
      </c>
      <c r="U3690" s="22">
        <f t="shared" si="228"/>
        <v>0</v>
      </c>
      <c r="V3690">
        <f t="shared" si="229"/>
        <v>0</v>
      </c>
      <c r="W3690" s="22">
        <f t="shared" si="230"/>
        <v>0</v>
      </c>
    </row>
    <row r="3691" spans="1:23" hidden="1" x14ac:dyDescent="0.25">
      <c r="A3691" s="45">
        <v>46053</v>
      </c>
      <c r="B3691" s="46" t="s">
        <v>334</v>
      </c>
      <c r="C3691" s="4" t="s">
        <v>202</v>
      </c>
      <c r="D3691" s="4"/>
      <c r="E3691" s="4"/>
      <c r="F3691" s="46" t="s">
        <v>1909</v>
      </c>
      <c r="G3691" s="4" t="s">
        <v>336</v>
      </c>
      <c r="H3691" s="4" t="s">
        <v>289</v>
      </c>
      <c r="I3691" s="4">
        <v>1</v>
      </c>
      <c r="J3691" s="21">
        <v>80</v>
      </c>
      <c r="K3691" s="21">
        <v>0</v>
      </c>
      <c r="L3691" s="5">
        <v>0</v>
      </c>
      <c r="M3691" s="4"/>
      <c r="N3691" s="4"/>
      <c r="O3691" s="5"/>
      <c r="P3691" s="5"/>
      <c r="Q3691" s="21">
        <v>80</v>
      </c>
      <c r="R3691" s="21">
        <v>0</v>
      </c>
      <c r="S3691" s="5">
        <f t="shared" si="231"/>
        <v>49202.063997470839</v>
      </c>
      <c r="T3691" cm="1">
        <f t="array" ref="T3691">IF(OR(B3691="MAL ALIMI", B3691="ÜRETİM GİRİŞ"), MIN(I3691, MAX(0, I3691 + SUM(SUMIFS($I$1:I3690, $C$1:C3690, C3691, $B$1:B3690, {"MAL ALIMI","ÜRETİM GİRİŞ"})) - VLOOKUP(C3691, 'STOK RAPORU'!$C$2:$I$1000, 4, 0))), 0)</f>
        <v>0</v>
      </c>
      <c r="U3691" s="22">
        <f t="shared" si="228"/>
        <v>0</v>
      </c>
      <c r="V3691">
        <f t="shared" si="229"/>
        <v>0</v>
      </c>
      <c r="W3691" s="22">
        <f t="shared" si="230"/>
        <v>0</v>
      </c>
    </row>
    <row r="3692" spans="1:23" hidden="1" x14ac:dyDescent="0.25">
      <c r="A3692" s="45">
        <v>46053</v>
      </c>
      <c r="B3692" s="46" t="s">
        <v>334</v>
      </c>
      <c r="C3692" s="4" t="s">
        <v>213</v>
      </c>
      <c r="D3692" s="4"/>
      <c r="E3692" s="4"/>
      <c r="F3692" s="46" t="s">
        <v>1909</v>
      </c>
      <c r="G3692" s="4" t="s">
        <v>336</v>
      </c>
      <c r="H3692" s="4" t="s">
        <v>289</v>
      </c>
      <c r="I3692" s="4">
        <v>3.2000000000000001E-2</v>
      </c>
      <c r="J3692" s="21">
        <v>1400</v>
      </c>
      <c r="K3692" s="21">
        <v>0</v>
      </c>
      <c r="L3692" s="5">
        <v>0</v>
      </c>
      <c r="M3692" s="4"/>
      <c r="N3692" s="4"/>
      <c r="O3692" s="5"/>
      <c r="P3692" s="5"/>
      <c r="Q3692" s="21">
        <v>44.800000000000004</v>
      </c>
      <c r="R3692" s="21">
        <v>0</v>
      </c>
      <c r="S3692" s="5">
        <f t="shared" si="231"/>
        <v>49246.863997470842</v>
      </c>
      <c r="T3692" cm="1">
        <f t="array" ref="T3692">IF(OR(B3692="MAL ALIMI", B3692="ÜRETİM GİRİŞ"), MIN(I3692, MAX(0, I3692 + SUM(SUMIFS($I$1:I3691, $C$1:C3691, C3692, $B$1:B3691, {"MAL ALIMI","ÜRETİM GİRİŞ"})) - VLOOKUP(C3692, 'STOK RAPORU'!$C$2:$I$1000, 4, 0))), 0)</f>
        <v>0</v>
      </c>
      <c r="U3692" s="22">
        <f t="shared" si="228"/>
        <v>0</v>
      </c>
      <c r="V3692">
        <f t="shared" si="229"/>
        <v>0</v>
      </c>
      <c r="W3692" s="22">
        <f t="shared" si="230"/>
        <v>0</v>
      </c>
    </row>
    <row r="3693" spans="1:23" hidden="1" x14ac:dyDescent="0.25">
      <c r="A3693" s="45">
        <v>46053</v>
      </c>
      <c r="B3693" s="46" t="s">
        <v>334</v>
      </c>
      <c r="C3693" s="4" t="s">
        <v>601</v>
      </c>
      <c r="D3693" s="4"/>
      <c r="E3693" s="4"/>
      <c r="F3693" s="46" t="s">
        <v>1909</v>
      </c>
      <c r="G3693" s="4" t="s">
        <v>336</v>
      </c>
      <c r="H3693" s="4" t="s">
        <v>289</v>
      </c>
      <c r="I3693" s="4">
        <v>0.36399999999999999</v>
      </c>
      <c r="J3693" s="21">
        <v>550</v>
      </c>
      <c r="K3693" s="21">
        <v>0</v>
      </c>
      <c r="L3693" s="5">
        <v>0</v>
      </c>
      <c r="M3693" s="4"/>
      <c r="N3693" s="4"/>
      <c r="O3693" s="5"/>
      <c r="P3693" s="5"/>
      <c r="Q3693" s="21">
        <v>200.2</v>
      </c>
      <c r="R3693" s="21">
        <v>0</v>
      </c>
      <c r="S3693" s="5">
        <f t="shared" si="231"/>
        <v>49447.063997470839</v>
      </c>
      <c r="T3693" cm="1">
        <f t="array" ref="T3693">IF(OR(B3693="MAL ALIMI", B3693="ÜRETİM GİRİŞ"), MIN(I3693, MAX(0, I3693 + SUM(SUMIFS($I$1:I3692, $C$1:C3692, C3693, $B$1:B3692, {"MAL ALIMI","ÜRETİM GİRİŞ"})) - VLOOKUP(C3693, 'STOK RAPORU'!$C$2:$I$1000, 4, 0))), 0)</f>
        <v>0</v>
      </c>
      <c r="U3693" s="22">
        <f t="shared" si="228"/>
        <v>0</v>
      </c>
      <c r="V3693">
        <f t="shared" si="229"/>
        <v>0</v>
      </c>
      <c r="W3693" s="22">
        <f t="shared" si="230"/>
        <v>0</v>
      </c>
    </row>
    <row r="3694" spans="1:23" hidden="1" x14ac:dyDescent="0.25">
      <c r="A3694" s="3">
        <v>46054</v>
      </c>
      <c r="B3694" s="46" t="s">
        <v>334</v>
      </c>
      <c r="C3694" s="4" t="s">
        <v>160</v>
      </c>
      <c r="D3694" s="4"/>
      <c r="E3694" s="4" t="s">
        <v>921</v>
      </c>
      <c r="F3694" s="46" t="s">
        <v>1910</v>
      </c>
      <c r="G3694" s="46" t="s">
        <v>336</v>
      </c>
      <c r="H3694" s="46" t="s">
        <v>380</v>
      </c>
      <c r="I3694" s="4">
        <v>1</v>
      </c>
      <c r="J3694" s="21">
        <v>250</v>
      </c>
      <c r="K3694" s="21">
        <v>250</v>
      </c>
      <c r="L3694" s="5">
        <v>0</v>
      </c>
      <c r="M3694" s="4"/>
      <c r="N3694" s="4"/>
      <c r="O3694" s="5"/>
      <c r="P3694" s="5"/>
      <c r="Q3694" s="21">
        <v>0</v>
      </c>
      <c r="R3694" s="21">
        <v>0</v>
      </c>
      <c r="S3694" s="5">
        <f t="shared" si="231"/>
        <v>49447.063997470839</v>
      </c>
      <c r="T3694" cm="1">
        <f t="array" ref="T3694">IF(OR(B3694="MAL ALIMI", B3694="ÜRETİM GİRİŞ"), MIN(I3694, MAX(0, I3694 + SUM(SUMIFS($I$1:I3693, $C$1:C3693, C3694, $B$1:B3693, {"MAL ALIMI","ÜRETİM GİRİŞ"})) - VLOOKUP(C3694, 'STOK RAPORU'!$C$2:$I$1000, 4, 0))), 0)</f>
        <v>0</v>
      </c>
      <c r="U3694" s="22">
        <f t="shared" si="228"/>
        <v>0</v>
      </c>
      <c r="V3694">
        <f t="shared" si="229"/>
        <v>0</v>
      </c>
      <c r="W3694" s="22">
        <f t="shared" si="230"/>
        <v>0</v>
      </c>
    </row>
    <row r="3695" spans="1:23" hidden="1" x14ac:dyDescent="0.25">
      <c r="A3695" s="3">
        <v>46054</v>
      </c>
      <c r="B3695" s="46" t="s">
        <v>334</v>
      </c>
      <c r="C3695" s="4" t="s">
        <v>1634</v>
      </c>
      <c r="D3695" s="4"/>
      <c r="E3695" s="4" t="s">
        <v>921</v>
      </c>
      <c r="F3695" s="46" t="s">
        <v>1910</v>
      </c>
      <c r="G3695" s="46" t="s">
        <v>336</v>
      </c>
      <c r="H3695" s="46" t="s">
        <v>380</v>
      </c>
      <c r="I3695" s="4">
        <v>1</v>
      </c>
      <c r="J3695" s="21">
        <v>335</v>
      </c>
      <c r="K3695" s="21">
        <v>335</v>
      </c>
      <c r="L3695" s="5">
        <v>0</v>
      </c>
      <c r="M3695" s="4"/>
      <c r="N3695" s="4"/>
      <c r="O3695" s="5"/>
      <c r="P3695" s="5"/>
      <c r="Q3695" s="21">
        <v>0</v>
      </c>
      <c r="R3695" s="21">
        <v>0</v>
      </c>
      <c r="S3695" s="5">
        <f t="shared" si="231"/>
        <v>49447.063997470839</v>
      </c>
      <c r="T3695" cm="1">
        <f t="array" ref="T3695">IF(OR(B3695="MAL ALIMI", B3695="ÜRETİM GİRİŞ"), MIN(I3695, MAX(0, I3695 + SUM(SUMIFS($I$1:I3694, $C$1:C3694, C3695, $B$1:B3694, {"MAL ALIMI","ÜRETİM GİRİŞ"})) - VLOOKUP(C3695, 'STOK RAPORU'!$C$2:$I$1000, 4, 0))), 0)</f>
        <v>0</v>
      </c>
      <c r="U3695" s="22">
        <f t="shared" si="228"/>
        <v>0</v>
      </c>
      <c r="V3695">
        <f t="shared" si="229"/>
        <v>0</v>
      </c>
      <c r="W3695" s="22">
        <f t="shared" si="230"/>
        <v>0</v>
      </c>
    </row>
    <row r="3696" spans="1:23" hidden="1" x14ac:dyDescent="0.25">
      <c r="A3696" s="3">
        <v>46054</v>
      </c>
      <c r="B3696" s="46" t="s">
        <v>334</v>
      </c>
      <c r="C3696" s="4" t="s">
        <v>523</v>
      </c>
      <c r="D3696" s="4"/>
      <c r="E3696" s="4" t="s">
        <v>921</v>
      </c>
      <c r="F3696" s="46" t="s">
        <v>1910</v>
      </c>
      <c r="G3696" s="46" t="s">
        <v>336</v>
      </c>
      <c r="H3696" s="46" t="s">
        <v>380</v>
      </c>
      <c r="I3696" s="4">
        <v>0.1</v>
      </c>
      <c r="J3696" s="21">
        <v>650</v>
      </c>
      <c r="K3696" s="21">
        <v>65</v>
      </c>
      <c r="L3696" s="5">
        <v>0</v>
      </c>
      <c r="M3696" s="4"/>
      <c r="N3696" s="4"/>
      <c r="O3696" s="5"/>
      <c r="P3696" s="5"/>
      <c r="Q3696" s="21">
        <v>0</v>
      </c>
      <c r="R3696" s="21">
        <v>0</v>
      </c>
      <c r="S3696" s="5">
        <f t="shared" si="231"/>
        <v>49447.063997470839</v>
      </c>
      <c r="T3696" cm="1">
        <f t="array" ref="T3696">IF(OR(B3696="MAL ALIMI", B3696="ÜRETİM GİRİŞ"), MIN(I3696, MAX(0, I3696 + SUM(SUMIFS($I$1:I3695, $C$1:C3695, C3696, $B$1:B3695, {"MAL ALIMI","ÜRETİM GİRİŞ"})) - VLOOKUP(C3696, 'STOK RAPORU'!$C$2:$I$1000, 4, 0))), 0)</f>
        <v>0</v>
      </c>
      <c r="U3696" s="22">
        <f t="shared" si="228"/>
        <v>0</v>
      </c>
      <c r="V3696">
        <f t="shared" si="229"/>
        <v>0</v>
      </c>
      <c r="W3696" s="22">
        <f t="shared" si="230"/>
        <v>0</v>
      </c>
    </row>
    <row r="3697" spans="1:23" hidden="1" x14ac:dyDescent="0.25">
      <c r="A3697" s="3">
        <v>46054</v>
      </c>
      <c r="B3697" s="46" t="s">
        <v>334</v>
      </c>
      <c r="C3697" s="4" t="s">
        <v>203</v>
      </c>
      <c r="D3697" s="4"/>
      <c r="E3697" s="4"/>
      <c r="F3697" s="46" t="s">
        <v>1912</v>
      </c>
      <c r="G3697" s="46" t="s">
        <v>336</v>
      </c>
      <c r="H3697" s="4" t="s">
        <v>289</v>
      </c>
      <c r="I3697" s="4">
        <v>0.5</v>
      </c>
      <c r="J3697" s="21">
        <v>80</v>
      </c>
      <c r="K3697" s="21">
        <v>0</v>
      </c>
      <c r="L3697" s="5">
        <v>0</v>
      </c>
      <c r="M3697" s="4"/>
      <c r="N3697" s="4"/>
      <c r="O3697" s="5"/>
      <c r="P3697" s="5"/>
      <c r="Q3697" s="21">
        <v>40</v>
      </c>
      <c r="R3697" s="21">
        <v>0</v>
      </c>
      <c r="S3697" s="5">
        <f t="shared" si="231"/>
        <v>49487.063997470839</v>
      </c>
      <c r="T3697" cm="1">
        <f t="array" ref="T3697">IF(OR(B3697="MAL ALIMI", B3697="ÜRETİM GİRİŞ"), MIN(I3697, MAX(0, I3697 + SUM(SUMIFS($I$1:I3696, $C$1:C3696, C3697, $B$1:B3696, {"MAL ALIMI","ÜRETİM GİRİŞ"})) - VLOOKUP(C3697, 'STOK RAPORU'!$C$2:$I$1000, 4, 0))), 0)</f>
        <v>0</v>
      </c>
      <c r="U3697" s="22">
        <f t="shared" si="228"/>
        <v>0</v>
      </c>
      <c r="V3697">
        <f t="shared" si="229"/>
        <v>0</v>
      </c>
      <c r="W3697" s="22">
        <f t="shared" si="230"/>
        <v>0</v>
      </c>
    </row>
    <row r="3698" spans="1:23" hidden="1" x14ac:dyDescent="0.25">
      <c r="A3698" s="3">
        <v>46054</v>
      </c>
      <c r="B3698" s="46" t="s">
        <v>334</v>
      </c>
      <c r="C3698" s="4" t="s">
        <v>1443</v>
      </c>
      <c r="D3698" s="4"/>
      <c r="E3698" s="4"/>
      <c r="F3698" s="46" t="s">
        <v>1912</v>
      </c>
      <c r="G3698" s="46" t="s">
        <v>336</v>
      </c>
      <c r="H3698" s="4" t="s">
        <v>289</v>
      </c>
      <c r="I3698" s="4">
        <v>2</v>
      </c>
      <c r="J3698" s="21">
        <v>10</v>
      </c>
      <c r="K3698" s="21">
        <v>0</v>
      </c>
      <c r="L3698" s="5">
        <v>0</v>
      </c>
      <c r="M3698" s="4"/>
      <c r="N3698" s="4"/>
      <c r="O3698" s="5"/>
      <c r="P3698" s="5"/>
      <c r="Q3698" s="21">
        <v>20</v>
      </c>
      <c r="R3698" s="21">
        <v>0</v>
      </c>
      <c r="S3698" s="5">
        <f t="shared" si="231"/>
        <v>49507.063997470839</v>
      </c>
      <c r="T3698" cm="1">
        <f t="array" ref="T3698">IF(OR(B3698="MAL ALIMI", B3698="ÜRETİM GİRİŞ"), MIN(I3698, MAX(0, I3698 + SUM(SUMIFS($I$1:I3697, $C$1:C3697, C3698, $B$1:B3697, {"MAL ALIMI","ÜRETİM GİRİŞ"})) - VLOOKUP(C3698, 'STOK RAPORU'!$C$2:$I$1000, 4, 0))), 0)</f>
        <v>0</v>
      </c>
      <c r="U3698" s="22">
        <f t="shared" si="228"/>
        <v>0</v>
      </c>
      <c r="V3698">
        <f t="shared" si="229"/>
        <v>0</v>
      </c>
      <c r="W3698" s="22">
        <f t="shared" si="230"/>
        <v>0</v>
      </c>
    </row>
    <row r="3699" spans="1:23" hidden="1" x14ac:dyDescent="0.25">
      <c r="A3699" s="3">
        <v>46054</v>
      </c>
      <c r="B3699" s="46" t="s">
        <v>334</v>
      </c>
      <c r="C3699" s="4" t="s">
        <v>1896</v>
      </c>
      <c r="D3699" s="4"/>
      <c r="E3699" s="4"/>
      <c r="F3699" s="46" t="s">
        <v>1913</v>
      </c>
      <c r="G3699" s="46" t="s">
        <v>336</v>
      </c>
      <c r="H3699" s="4" t="s">
        <v>289</v>
      </c>
      <c r="I3699" s="4">
        <v>0.1275</v>
      </c>
      <c r="J3699" s="21">
        <v>400</v>
      </c>
      <c r="K3699" s="21">
        <v>0</v>
      </c>
      <c r="L3699" s="5">
        <v>0</v>
      </c>
      <c r="M3699" s="4"/>
      <c r="N3699" s="4"/>
      <c r="O3699" s="5"/>
      <c r="P3699" s="5"/>
      <c r="Q3699" s="21">
        <v>51</v>
      </c>
      <c r="R3699" s="21">
        <v>0</v>
      </c>
      <c r="S3699" s="5">
        <f t="shared" si="231"/>
        <v>49558.063997470839</v>
      </c>
      <c r="T3699" cm="1">
        <f t="array" ref="T3699">IF(OR(B3699="MAL ALIMI", B3699="ÜRETİM GİRİŞ"), MIN(I3699, MAX(0, I3699 + SUM(SUMIFS($I$1:I3698, $C$1:C3698, C3699, $B$1:B3698, {"MAL ALIMI","ÜRETİM GİRİŞ"})) - VLOOKUP(C3699, 'STOK RAPORU'!$C$2:$I$1000, 4, 0))), 0)</f>
        <v>0</v>
      </c>
      <c r="U3699" s="22">
        <f t="shared" si="228"/>
        <v>0</v>
      </c>
      <c r="V3699">
        <f t="shared" si="229"/>
        <v>0</v>
      </c>
      <c r="W3699" s="22">
        <f t="shared" si="230"/>
        <v>0</v>
      </c>
    </row>
    <row r="3700" spans="1:23" hidden="1" x14ac:dyDescent="0.25">
      <c r="A3700" s="3">
        <v>46054</v>
      </c>
      <c r="B3700" s="46" t="s">
        <v>334</v>
      </c>
      <c r="C3700" s="4" t="s">
        <v>691</v>
      </c>
      <c r="D3700" s="4"/>
      <c r="E3700" s="4"/>
      <c r="F3700" s="46" t="s">
        <v>1914</v>
      </c>
      <c r="G3700" s="46" t="s">
        <v>336</v>
      </c>
      <c r="H3700" s="4" t="s">
        <v>289</v>
      </c>
      <c r="I3700" s="4">
        <v>0.218</v>
      </c>
      <c r="J3700" s="21">
        <v>230</v>
      </c>
      <c r="K3700" s="21">
        <v>0</v>
      </c>
      <c r="L3700" s="5">
        <v>0</v>
      </c>
      <c r="M3700" s="4"/>
      <c r="N3700" s="4"/>
      <c r="O3700" s="5"/>
      <c r="P3700" s="5"/>
      <c r="Q3700" s="21">
        <v>50.14</v>
      </c>
      <c r="R3700" s="21">
        <v>0</v>
      </c>
      <c r="S3700" s="5">
        <f t="shared" si="231"/>
        <v>49608.203997470839</v>
      </c>
      <c r="T3700" cm="1">
        <f t="array" ref="T3700">IF(OR(B3700="MAL ALIMI", B3700="ÜRETİM GİRİŞ"), MIN(I3700, MAX(0, I3700 + SUM(SUMIFS($I$1:I3699, $C$1:C3699, C3700, $B$1:B3699, {"MAL ALIMI","ÜRETİM GİRİŞ"})) - VLOOKUP(C3700, 'STOK RAPORU'!$C$2:$I$1000, 4, 0))), 0)</f>
        <v>0</v>
      </c>
      <c r="U3700" s="22">
        <f t="shared" si="228"/>
        <v>0</v>
      </c>
      <c r="V3700">
        <f t="shared" si="229"/>
        <v>0</v>
      </c>
      <c r="W3700" s="22">
        <f t="shared" si="230"/>
        <v>0</v>
      </c>
    </row>
    <row r="3701" spans="1:23" hidden="1" x14ac:dyDescent="0.25">
      <c r="A3701" s="3">
        <v>46054</v>
      </c>
      <c r="B3701" s="46" t="s">
        <v>334</v>
      </c>
      <c r="C3701" s="4" t="s">
        <v>764</v>
      </c>
      <c r="D3701" s="4"/>
      <c r="E3701" s="4" t="s">
        <v>921</v>
      </c>
      <c r="F3701" s="46" t="s">
        <v>1915</v>
      </c>
      <c r="G3701" s="46" t="s">
        <v>336</v>
      </c>
      <c r="H3701" s="4" t="s">
        <v>380</v>
      </c>
      <c r="I3701" s="4">
        <v>1</v>
      </c>
      <c r="J3701" s="21">
        <v>125</v>
      </c>
      <c r="K3701" s="21">
        <v>125</v>
      </c>
      <c r="L3701" s="5">
        <v>0</v>
      </c>
      <c r="M3701" s="4"/>
      <c r="N3701" s="4"/>
      <c r="O3701" s="5"/>
      <c r="P3701" s="5"/>
      <c r="Q3701" s="21">
        <v>0</v>
      </c>
      <c r="R3701" s="21">
        <v>0</v>
      </c>
      <c r="S3701" s="5">
        <f t="shared" si="231"/>
        <v>49608.203997470839</v>
      </c>
      <c r="T3701" cm="1">
        <f t="array" ref="T3701">IF(OR(B3701="MAL ALIMI", B3701="ÜRETİM GİRİŞ"), MIN(I3701, MAX(0, I3701 + SUM(SUMIFS($I$1:I3700, $C$1:C3700, C3701, $B$1:B3700, {"MAL ALIMI","ÜRETİM GİRİŞ"})) - VLOOKUP(C3701, 'STOK RAPORU'!$C$2:$I$1000, 4, 0))), 0)</f>
        <v>0</v>
      </c>
      <c r="U3701" s="22">
        <f t="shared" si="228"/>
        <v>0</v>
      </c>
      <c r="V3701">
        <f t="shared" si="229"/>
        <v>0</v>
      </c>
      <c r="W3701" s="22">
        <f t="shared" si="230"/>
        <v>0</v>
      </c>
    </row>
    <row r="3702" spans="1:23" hidden="1" x14ac:dyDescent="0.25">
      <c r="A3702" s="3">
        <v>46054</v>
      </c>
      <c r="B3702" s="46" t="s">
        <v>334</v>
      </c>
      <c r="C3702" s="4" t="s">
        <v>150</v>
      </c>
      <c r="D3702" s="4"/>
      <c r="E3702" s="4" t="s">
        <v>921</v>
      </c>
      <c r="F3702" s="46" t="s">
        <v>1915</v>
      </c>
      <c r="G3702" s="46" t="s">
        <v>336</v>
      </c>
      <c r="H3702" s="4" t="s">
        <v>380</v>
      </c>
      <c r="I3702" s="4">
        <v>2.5000000000000001E-2</v>
      </c>
      <c r="J3702" s="21">
        <v>2000</v>
      </c>
      <c r="K3702" s="21">
        <v>50</v>
      </c>
      <c r="L3702" s="5">
        <v>0</v>
      </c>
      <c r="M3702" s="4"/>
      <c r="N3702" s="4"/>
      <c r="O3702" s="5"/>
      <c r="P3702" s="5"/>
      <c r="Q3702" s="21">
        <v>0</v>
      </c>
      <c r="R3702" s="21">
        <v>0</v>
      </c>
      <c r="S3702" s="5">
        <f t="shared" si="231"/>
        <v>49608.203997470839</v>
      </c>
      <c r="T3702" cm="1">
        <f t="array" ref="T3702">IF(OR(B3702="MAL ALIMI", B3702="ÜRETİM GİRİŞ"), MIN(I3702, MAX(0, I3702 + SUM(SUMIFS($I$1:I3701, $C$1:C3701, C3702, $B$1:B3701, {"MAL ALIMI","ÜRETİM GİRİŞ"})) - VLOOKUP(C3702, 'STOK RAPORU'!$C$2:$I$1000, 4, 0))), 0)</f>
        <v>0</v>
      </c>
      <c r="U3702" s="22">
        <f t="shared" si="228"/>
        <v>0</v>
      </c>
      <c r="V3702">
        <f t="shared" si="229"/>
        <v>0</v>
      </c>
      <c r="W3702" s="22">
        <f t="shared" si="230"/>
        <v>0</v>
      </c>
    </row>
    <row r="3703" spans="1:23" hidden="1" x14ac:dyDescent="0.25">
      <c r="A3703" s="3">
        <v>46054</v>
      </c>
      <c r="B3703" s="46" t="s">
        <v>334</v>
      </c>
      <c r="C3703" s="4" t="s">
        <v>1150</v>
      </c>
      <c r="D3703" s="4"/>
      <c r="E3703" s="4" t="s">
        <v>921</v>
      </c>
      <c r="F3703" s="46" t="s">
        <v>1915</v>
      </c>
      <c r="G3703" s="46" t="s">
        <v>336</v>
      </c>
      <c r="H3703" s="4" t="s">
        <v>380</v>
      </c>
      <c r="I3703" s="4">
        <v>8.7999999999999995E-2</v>
      </c>
      <c r="J3703" s="21">
        <v>540</v>
      </c>
      <c r="K3703" s="21">
        <v>47.519999999999996</v>
      </c>
      <c r="L3703" s="5">
        <v>0</v>
      </c>
      <c r="M3703" s="4"/>
      <c r="N3703" s="4"/>
      <c r="O3703" s="5"/>
      <c r="P3703" s="5"/>
      <c r="Q3703" s="21">
        <v>0</v>
      </c>
      <c r="R3703" s="21">
        <v>0</v>
      </c>
      <c r="S3703" s="5">
        <f t="shared" si="231"/>
        <v>49608.203997470839</v>
      </c>
      <c r="T3703" cm="1">
        <f t="array" ref="T3703">IF(OR(B3703="MAL ALIMI", B3703="ÜRETİM GİRİŞ"), MIN(I3703, MAX(0, I3703 + SUM(SUMIFS($I$1:I3702, $C$1:C3702, C3703, $B$1:B3702, {"MAL ALIMI","ÜRETİM GİRİŞ"})) - VLOOKUP(C3703, 'STOK RAPORU'!$C$2:$I$1000, 4, 0))), 0)</f>
        <v>0</v>
      </c>
      <c r="U3703" s="22">
        <f t="shared" si="228"/>
        <v>0</v>
      </c>
      <c r="V3703">
        <f t="shared" si="229"/>
        <v>0</v>
      </c>
      <c r="W3703" s="22">
        <f t="shared" si="230"/>
        <v>0</v>
      </c>
    </row>
    <row r="3704" spans="1:23" hidden="1" x14ac:dyDescent="0.25">
      <c r="A3704" s="3">
        <v>46054</v>
      </c>
      <c r="B3704" s="46" t="s">
        <v>334</v>
      </c>
      <c r="C3704" s="4" t="s">
        <v>160</v>
      </c>
      <c r="D3704" s="4"/>
      <c r="E3704" s="4" t="s">
        <v>921</v>
      </c>
      <c r="F3704" s="46" t="s">
        <v>1915</v>
      </c>
      <c r="G3704" s="46" t="s">
        <v>336</v>
      </c>
      <c r="H3704" s="4" t="s">
        <v>380</v>
      </c>
      <c r="I3704" s="4">
        <v>1</v>
      </c>
      <c r="J3704" s="21">
        <v>250</v>
      </c>
      <c r="K3704" s="21">
        <v>250</v>
      </c>
      <c r="L3704" s="5">
        <v>0</v>
      </c>
      <c r="M3704" s="4"/>
      <c r="N3704" s="4"/>
      <c r="O3704" s="5"/>
      <c r="P3704" s="5"/>
      <c r="Q3704" s="21">
        <v>0</v>
      </c>
      <c r="R3704" s="21">
        <v>0</v>
      </c>
      <c r="S3704" s="5">
        <f t="shared" si="231"/>
        <v>49608.203997470839</v>
      </c>
      <c r="T3704" cm="1">
        <f t="array" ref="T3704">IF(OR(B3704="MAL ALIMI", B3704="ÜRETİM GİRİŞ"), MIN(I3704, MAX(0, I3704 + SUM(SUMIFS($I$1:I3703, $C$1:C3703, C3704, $B$1:B3703, {"MAL ALIMI","ÜRETİM GİRİŞ"})) - VLOOKUP(C3704, 'STOK RAPORU'!$C$2:$I$1000, 4, 0))), 0)</f>
        <v>0</v>
      </c>
      <c r="U3704" s="22">
        <f t="shared" si="228"/>
        <v>0</v>
      </c>
      <c r="V3704">
        <f t="shared" si="229"/>
        <v>0</v>
      </c>
      <c r="W3704" s="22">
        <f t="shared" si="230"/>
        <v>0</v>
      </c>
    </row>
    <row r="3705" spans="1:23" hidden="1" x14ac:dyDescent="0.25">
      <c r="A3705" s="3">
        <v>46054</v>
      </c>
      <c r="B3705" s="46" t="s">
        <v>334</v>
      </c>
      <c r="C3705" s="4" t="s">
        <v>161</v>
      </c>
      <c r="D3705" s="4"/>
      <c r="E3705" s="4" t="s">
        <v>921</v>
      </c>
      <c r="F3705" s="46" t="s">
        <v>1915</v>
      </c>
      <c r="G3705" s="46" t="s">
        <v>336</v>
      </c>
      <c r="H3705" s="4" t="s">
        <v>380</v>
      </c>
      <c r="I3705" s="4">
        <v>1</v>
      </c>
      <c r="J3705" s="21">
        <v>230</v>
      </c>
      <c r="K3705" s="21">
        <v>230</v>
      </c>
      <c r="L3705" s="5">
        <v>0</v>
      </c>
      <c r="M3705" s="4"/>
      <c r="N3705" s="4"/>
      <c r="O3705" s="5"/>
      <c r="P3705" s="5"/>
      <c r="Q3705" s="21">
        <v>0</v>
      </c>
      <c r="R3705" s="21">
        <v>0</v>
      </c>
      <c r="S3705" s="5">
        <f t="shared" si="231"/>
        <v>49608.203997470839</v>
      </c>
      <c r="T3705" cm="1">
        <f t="array" ref="T3705">IF(OR(B3705="MAL ALIMI", B3705="ÜRETİM GİRİŞ"), MIN(I3705, MAX(0, I3705 + SUM(SUMIFS($I$1:I3704, $C$1:C3704, C3705, $B$1:B3704, {"MAL ALIMI","ÜRETİM GİRİŞ"})) - VLOOKUP(C3705, 'STOK RAPORU'!$C$2:$I$1000, 4, 0))), 0)</f>
        <v>0</v>
      </c>
      <c r="U3705" s="22">
        <f t="shared" si="228"/>
        <v>0</v>
      </c>
      <c r="V3705">
        <f t="shared" si="229"/>
        <v>0</v>
      </c>
      <c r="W3705" s="22">
        <f t="shared" si="230"/>
        <v>0</v>
      </c>
    </row>
    <row r="3706" spans="1:23" hidden="1" x14ac:dyDescent="0.25">
      <c r="A3706" s="3">
        <v>46054</v>
      </c>
      <c r="B3706" s="46" t="s">
        <v>334</v>
      </c>
      <c r="C3706" s="46" t="s">
        <v>585</v>
      </c>
      <c r="D3706" s="4"/>
      <c r="E3706" s="4" t="s">
        <v>921</v>
      </c>
      <c r="F3706" s="46" t="s">
        <v>1916</v>
      </c>
      <c r="G3706" s="46" t="s">
        <v>336</v>
      </c>
      <c r="H3706" s="4" t="s">
        <v>380</v>
      </c>
      <c r="I3706" s="4">
        <v>0.5</v>
      </c>
      <c r="J3706" s="21">
        <v>200</v>
      </c>
      <c r="K3706" s="21">
        <v>100</v>
      </c>
      <c r="L3706" s="5">
        <v>0</v>
      </c>
      <c r="M3706" s="4"/>
      <c r="N3706" s="4"/>
      <c r="O3706" s="5"/>
      <c r="P3706" s="5"/>
      <c r="Q3706" s="21">
        <v>0</v>
      </c>
      <c r="R3706" s="21">
        <v>0</v>
      </c>
      <c r="S3706" s="5">
        <f t="shared" si="231"/>
        <v>49608.203997470839</v>
      </c>
      <c r="T3706" cm="1">
        <f t="array" ref="T3706">IF(OR(B3706="MAL ALIMI", B3706="ÜRETİM GİRİŞ"), MIN(I3706, MAX(0, I3706 + SUM(SUMIFS($I$1:I3705, $C$1:C3705, C3706, $B$1:B3705, {"MAL ALIMI","ÜRETİM GİRİŞ"})) - VLOOKUP(C3706, 'STOK RAPORU'!$C$2:$I$1000, 4, 0))), 0)</f>
        <v>0</v>
      </c>
      <c r="U3706" s="22">
        <f t="shared" si="228"/>
        <v>0</v>
      </c>
      <c r="V3706">
        <f t="shared" si="229"/>
        <v>0</v>
      </c>
      <c r="W3706" s="22">
        <f t="shared" si="230"/>
        <v>0</v>
      </c>
    </row>
    <row r="3707" spans="1:23" hidden="1" x14ac:dyDescent="0.25">
      <c r="A3707" s="3">
        <v>46054</v>
      </c>
      <c r="B3707" s="46" t="s">
        <v>334</v>
      </c>
      <c r="C3707" s="4" t="s">
        <v>586</v>
      </c>
      <c r="D3707" s="4"/>
      <c r="E3707" s="4" t="s">
        <v>921</v>
      </c>
      <c r="F3707" s="46" t="s">
        <v>1916</v>
      </c>
      <c r="G3707" s="46" t="s">
        <v>336</v>
      </c>
      <c r="H3707" s="4" t="s">
        <v>380</v>
      </c>
      <c r="I3707" s="4">
        <v>0.5</v>
      </c>
      <c r="J3707" s="21">
        <v>200</v>
      </c>
      <c r="K3707" s="21">
        <v>100</v>
      </c>
      <c r="L3707" s="5">
        <v>0</v>
      </c>
      <c r="M3707" s="4"/>
      <c r="N3707" s="4"/>
      <c r="O3707" s="5"/>
      <c r="P3707" s="5"/>
      <c r="Q3707" s="21">
        <v>0</v>
      </c>
      <c r="R3707" s="21">
        <v>0</v>
      </c>
      <c r="S3707" s="5">
        <f t="shared" si="231"/>
        <v>49608.203997470839</v>
      </c>
      <c r="T3707" cm="1">
        <f t="array" ref="T3707">IF(OR(B3707="MAL ALIMI", B3707="ÜRETİM GİRİŞ"), MIN(I3707, MAX(0, I3707 + SUM(SUMIFS($I$1:I3706, $C$1:C3706, C3707, $B$1:B3706, {"MAL ALIMI","ÜRETİM GİRİŞ"})) - VLOOKUP(C3707, 'STOK RAPORU'!$C$2:$I$1000, 4, 0))), 0)</f>
        <v>0</v>
      </c>
      <c r="U3707" s="22">
        <f t="shared" si="228"/>
        <v>0</v>
      </c>
      <c r="V3707">
        <f t="shared" si="229"/>
        <v>0</v>
      </c>
      <c r="W3707" s="22">
        <f t="shared" si="230"/>
        <v>0</v>
      </c>
    </row>
    <row r="3708" spans="1:23" hidden="1" x14ac:dyDescent="0.25">
      <c r="A3708" s="3">
        <v>46054</v>
      </c>
      <c r="B3708" s="46" t="s">
        <v>334</v>
      </c>
      <c r="C3708" s="4" t="s">
        <v>587</v>
      </c>
      <c r="D3708" s="4"/>
      <c r="E3708" s="4" t="s">
        <v>921</v>
      </c>
      <c r="F3708" s="46" t="s">
        <v>1916</v>
      </c>
      <c r="G3708" s="46" t="s">
        <v>336</v>
      </c>
      <c r="H3708" s="4" t="s">
        <v>380</v>
      </c>
      <c r="I3708" s="4">
        <v>1</v>
      </c>
      <c r="J3708" s="21">
        <v>150</v>
      </c>
      <c r="K3708" s="21">
        <v>150</v>
      </c>
      <c r="L3708" s="5">
        <v>0</v>
      </c>
      <c r="M3708" s="4"/>
      <c r="N3708" s="4"/>
      <c r="O3708" s="5"/>
      <c r="P3708" s="5"/>
      <c r="Q3708" s="21">
        <v>0</v>
      </c>
      <c r="R3708" s="21">
        <v>0</v>
      </c>
      <c r="S3708" s="5">
        <f t="shared" si="231"/>
        <v>49608.203997470839</v>
      </c>
      <c r="T3708" cm="1">
        <f t="array" ref="T3708">IF(OR(B3708="MAL ALIMI", B3708="ÜRETİM GİRİŞ"), MIN(I3708, MAX(0, I3708 + SUM(SUMIFS($I$1:I3707, $C$1:C3707, C3708, $B$1:B3707, {"MAL ALIMI","ÜRETİM GİRİŞ"})) - VLOOKUP(C3708, 'STOK RAPORU'!$C$2:$I$1000, 4, 0))), 0)</f>
        <v>0</v>
      </c>
      <c r="U3708" s="22">
        <f t="shared" si="228"/>
        <v>0</v>
      </c>
      <c r="V3708">
        <f t="shared" si="229"/>
        <v>0</v>
      </c>
      <c r="W3708" s="22">
        <f t="shared" si="230"/>
        <v>0</v>
      </c>
    </row>
    <row r="3709" spans="1:23" hidden="1" x14ac:dyDescent="0.25">
      <c r="A3709" s="3">
        <v>46054</v>
      </c>
      <c r="B3709" s="46" t="s">
        <v>334</v>
      </c>
      <c r="C3709" s="4" t="s">
        <v>92</v>
      </c>
      <c r="D3709" s="4"/>
      <c r="E3709" s="4" t="s">
        <v>921</v>
      </c>
      <c r="F3709" s="46" t="s">
        <v>1916</v>
      </c>
      <c r="G3709" s="46" t="s">
        <v>336</v>
      </c>
      <c r="H3709" s="4" t="s">
        <v>380</v>
      </c>
      <c r="I3709" s="4">
        <v>0.114</v>
      </c>
      <c r="J3709" s="21">
        <v>500</v>
      </c>
      <c r="K3709" s="21">
        <v>57</v>
      </c>
      <c r="L3709" s="5">
        <v>0</v>
      </c>
      <c r="M3709" s="4"/>
      <c r="N3709" s="4"/>
      <c r="O3709" s="5"/>
      <c r="P3709" s="5"/>
      <c r="Q3709" s="21">
        <v>0</v>
      </c>
      <c r="R3709" s="21">
        <v>0</v>
      </c>
      <c r="S3709" s="5">
        <f t="shared" si="231"/>
        <v>49608.203997470839</v>
      </c>
      <c r="T3709" cm="1">
        <f t="array" ref="T3709">IF(OR(B3709="MAL ALIMI", B3709="ÜRETİM GİRİŞ"), MIN(I3709, MAX(0, I3709 + SUM(SUMIFS($I$1:I3708, $C$1:C3708, C3709, $B$1:B3708, {"MAL ALIMI","ÜRETİM GİRİŞ"})) - VLOOKUP(C3709, 'STOK RAPORU'!$C$2:$I$1000, 4, 0))), 0)</f>
        <v>0</v>
      </c>
      <c r="U3709" s="22">
        <f t="shared" si="228"/>
        <v>0</v>
      </c>
      <c r="V3709">
        <f t="shared" si="229"/>
        <v>0</v>
      </c>
      <c r="W3709" s="22">
        <f t="shared" si="230"/>
        <v>0</v>
      </c>
    </row>
    <row r="3710" spans="1:23" hidden="1" x14ac:dyDescent="0.25">
      <c r="A3710" s="3">
        <v>46054</v>
      </c>
      <c r="B3710" s="46" t="s">
        <v>334</v>
      </c>
      <c r="C3710" s="4" t="s">
        <v>96</v>
      </c>
      <c r="D3710" s="4"/>
      <c r="E3710" s="4" t="s">
        <v>921</v>
      </c>
      <c r="F3710" s="46" t="s">
        <v>1916</v>
      </c>
      <c r="G3710" s="46" t="s">
        <v>336</v>
      </c>
      <c r="H3710" s="4" t="s">
        <v>380</v>
      </c>
      <c r="I3710" s="4">
        <v>0.08</v>
      </c>
      <c r="J3710" s="21">
        <v>400</v>
      </c>
      <c r="K3710" s="21">
        <v>32</v>
      </c>
      <c r="L3710" s="5">
        <v>0</v>
      </c>
      <c r="M3710" s="4"/>
      <c r="N3710" s="4"/>
      <c r="O3710" s="5"/>
      <c r="P3710" s="5"/>
      <c r="Q3710" s="21">
        <v>0</v>
      </c>
      <c r="R3710" s="21">
        <v>0</v>
      </c>
      <c r="S3710" s="5">
        <f t="shared" si="231"/>
        <v>49608.203997470839</v>
      </c>
      <c r="T3710" cm="1">
        <f t="array" ref="T3710">IF(OR(B3710="MAL ALIMI", B3710="ÜRETİM GİRİŞ"), MIN(I3710, MAX(0, I3710 + SUM(SUMIFS($I$1:I3709, $C$1:C3709, C3710, $B$1:B3709, {"MAL ALIMI","ÜRETİM GİRİŞ"})) - VLOOKUP(C3710, 'STOK RAPORU'!$C$2:$I$1000, 4, 0))), 0)</f>
        <v>0</v>
      </c>
      <c r="U3710" s="22">
        <f t="shared" si="228"/>
        <v>0</v>
      </c>
      <c r="V3710">
        <f t="shared" si="229"/>
        <v>0</v>
      </c>
      <c r="W3710" s="22">
        <f t="shared" si="230"/>
        <v>0</v>
      </c>
    </row>
    <row r="3711" spans="1:23" hidden="1" x14ac:dyDescent="0.25">
      <c r="A3711" s="3">
        <v>46054</v>
      </c>
      <c r="B3711" s="46" t="s">
        <v>334</v>
      </c>
      <c r="C3711" s="4" t="s">
        <v>131</v>
      </c>
      <c r="D3711" s="4"/>
      <c r="E3711" s="4" t="s">
        <v>921</v>
      </c>
      <c r="F3711" s="46" t="s">
        <v>1916</v>
      </c>
      <c r="G3711" s="46" t="s">
        <v>336</v>
      </c>
      <c r="H3711" s="4" t="s">
        <v>380</v>
      </c>
      <c r="I3711" s="4">
        <v>6.4000000000000001E-2</v>
      </c>
      <c r="J3711" s="21">
        <v>400</v>
      </c>
      <c r="K3711" s="21">
        <v>25.6</v>
      </c>
      <c r="L3711" s="5">
        <v>0</v>
      </c>
      <c r="M3711" s="4"/>
      <c r="N3711" s="4"/>
      <c r="O3711" s="5"/>
      <c r="P3711" s="5"/>
      <c r="Q3711" s="21">
        <v>0</v>
      </c>
      <c r="R3711" s="21">
        <v>0</v>
      </c>
      <c r="S3711" s="5">
        <f t="shared" si="231"/>
        <v>49608.203997470839</v>
      </c>
      <c r="T3711" cm="1">
        <f t="array" ref="T3711">IF(OR(B3711="MAL ALIMI", B3711="ÜRETİM GİRİŞ"), MIN(I3711, MAX(0, I3711 + SUM(SUMIFS($I$1:I3710, $C$1:C3710, C3711, $B$1:B3710, {"MAL ALIMI","ÜRETİM GİRİŞ"})) - VLOOKUP(C3711, 'STOK RAPORU'!$C$2:$I$1000, 4, 0))), 0)</f>
        <v>0</v>
      </c>
      <c r="U3711" s="22">
        <f t="shared" si="228"/>
        <v>0</v>
      </c>
      <c r="V3711">
        <f t="shared" si="229"/>
        <v>0</v>
      </c>
      <c r="W3711" s="22">
        <f t="shared" si="230"/>
        <v>0</v>
      </c>
    </row>
    <row r="3712" spans="1:23" hidden="1" x14ac:dyDescent="0.25">
      <c r="A3712" s="45">
        <v>46054</v>
      </c>
      <c r="B3712" s="46" t="s">
        <v>334</v>
      </c>
      <c r="C3712" s="46" t="s">
        <v>1023</v>
      </c>
      <c r="D3712" s="46"/>
      <c r="E3712" s="46"/>
      <c r="F3712" s="46" t="s">
        <v>1917</v>
      </c>
      <c r="G3712" s="46" t="s">
        <v>1924</v>
      </c>
      <c r="H3712" s="46" t="s">
        <v>289</v>
      </c>
      <c r="I3712" s="46">
        <v>5</v>
      </c>
      <c r="J3712" s="47">
        <v>60</v>
      </c>
      <c r="K3712" s="47">
        <v>0</v>
      </c>
      <c r="L3712" s="48">
        <v>0</v>
      </c>
      <c r="M3712" s="46"/>
      <c r="N3712" s="46"/>
      <c r="O3712" s="48"/>
      <c r="P3712" s="48"/>
      <c r="Q3712" s="47">
        <v>300</v>
      </c>
      <c r="R3712" s="47">
        <v>0</v>
      </c>
      <c r="S3712" s="5">
        <f t="shared" si="231"/>
        <v>49908.203997470839</v>
      </c>
      <c r="T3712" cm="1">
        <f t="array" ref="T3712">IF(OR(B3712="MAL ALIMI", B3712="ÜRETİM GİRİŞ"), MIN(I3712, MAX(0, I3712 + SUM(SUMIFS($I$1:I3711, $C$1:C3711, C3712, $B$1:B3711, {"MAL ALIMI","ÜRETİM GİRİŞ"})) - VLOOKUP(C3712, 'STOK RAPORU'!$C$2:$I$1000, 4, 0))), 0)</f>
        <v>0</v>
      </c>
      <c r="U3712" s="22">
        <f t="shared" si="228"/>
        <v>0</v>
      </c>
      <c r="V3712">
        <f t="shared" si="229"/>
        <v>0</v>
      </c>
      <c r="W3712" s="22">
        <f t="shared" si="230"/>
        <v>0</v>
      </c>
    </row>
    <row r="3713" spans="1:23" hidden="1" x14ac:dyDescent="0.25">
      <c r="A3713" s="45">
        <v>46054</v>
      </c>
      <c r="B3713" s="46" t="s">
        <v>334</v>
      </c>
      <c r="C3713" s="46" t="s">
        <v>585</v>
      </c>
      <c r="D3713" s="46"/>
      <c r="E3713" s="46"/>
      <c r="F3713" s="46" t="s">
        <v>1917</v>
      </c>
      <c r="G3713" s="46" t="s">
        <v>1924</v>
      </c>
      <c r="H3713" s="46" t="s">
        <v>289</v>
      </c>
      <c r="I3713" s="46">
        <v>1</v>
      </c>
      <c r="J3713" s="47">
        <v>200</v>
      </c>
      <c r="K3713" s="47">
        <v>0</v>
      </c>
      <c r="L3713" s="48">
        <v>0</v>
      </c>
      <c r="M3713" s="46"/>
      <c r="N3713" s="46"/>
      <c r="O3713" s="48"/>
      <c r="P3713" s="48"/>
      <c r="Q3713" s="47">
        <v>200</v>
      </c>
      <c r="R3713" s="47">
        <v>0</v>
      </c>
      <c r="S3713" s="5">
        <f t="shared" si="231"/>
        <v>50108.203997470839</v>
      </c>
      <c r="T3713" cm="1">
        <f t="array" ref="T3713">IF(OR(B3713="MAL ALIMI", B3713="ÜRETİM GİRİŞ"), MIN(I3713, MAX(0, I3713 + SUM(SUMIFS($I$1:I3712, $C$1:C3712, C3713, $B$1:B3712, {"MAL ALIMI","ÜRETİM GİRİŞ"})) - VLOOKUP(C3713, 'STOK RAPORU'!$C$2:$I$1000, 4, 0))), 0)</f>
        <v>0</v>
      </c>
      <c r="U3713" s="22">
        <f t="shared" ref="U3713:U3776" si="232">T3713*J3713</f>
        <v>0</v>
      </c>
      <c r="V3713">
        <f t="shared" ref="V3713:V3776" si="233">IF(OR(B3713="MAL ALIMI", B3713="ÜRETİM GİRİŞ"), I3713 * J3713, 0)</f>
        <v>0</v>
      </c>
      <c r="W3713" s="22">
        <f t="shared" ref="W3713:W3776" si="234">V3713-U3713</f>
        <v>0</v>
      </c>
    </row>
    <row r="3714" spans="1:23" hidden="1" x14ac:dyDescent="0.25">
      <c r="A3714" s="45">
        <v>46054</v>
      </c>
      <c r="B3714" s="46" t="s">
        <v>334</v>
      </c>
      <c r="C3714" s="4" t="s">
        <v>586</v>
      </c>
      <c r="D3714" s="46"/>
      <c r="E3714" s="46"/>
      <c r="F3714" s="46" t="s">
        <v>1918</v>
      </c>
      <c r="G3714" s="46" t="s">
        <v>1926</v>
      </c>
      <c r="H3714" s="46" t="s">
        <v>289</v>
      </c>
      <c r="I3714" s="46">
        <v>1</v>
      </c>
      <c r="J3714" s="47">
        <v>200</v>
      </c>
      <c r="K3714" s="47">
        <v>0</v>
      </c>
      <c r="L3714" s="48">
        <v>0</v>
      </c>
      <c r="M3714" s="46"/>
      <c r="N3714" s="46"/>
      <c r="O3714" s="48"/>
      <c r="P3714" s="48"/>
      <c r="Q3714" s="47">
        <v>200</v>
      </c>
      <c r="R3714" s="47">
        <v>0</v>
      </c>
      <c r="S3714" s="5">
        <f t="shared" si="231"/>
        <v>50308.203997470839</v>
      </c>
      <c r="T3714" cm="1">
        <f t="array" ref="T3714">IF(OR(B3714="MAL ALIMI", B3714="ÜRETİM GİRİŞ"), MIN(I3714, MAX(0, I3714 + SUM(SUMIFS($I$1:I3713, $C$1:C3713, C3714, $B$1:B3713, {"MAL ALIMI","ÜRETİM GİRİŞ"})) - VLOOKUP(C3714, 'STOK RAPORU'!$C$2:$I$1000, 4, 0))), 0)</f>
        <v>0</v>
      </c>
      <c r="U3714" s="22">
        <f t="shared" si="232"/>
        <v>0</v>
      </c>
      <c r="V3714">
        <f t="shared" si="233"/>
        <v>0</v>
      </c>
      <c r="W3714" s="22">
        <f t="shared" si="234"/>
        <v>0</v>
      </c>
    </row>
    <row r="3715" spans="1:23" hidden="1" x14ac:dyDescent="0.25">
      <c r="A3715" s="45">
        <v>46054</v>
      </c>
      <c r="B3715" s="46" t="s">
        <v>334</v>
      </c>
      <c r="C3715" s="4" t="s">
        <v>587</v>
      </c>
      <c r="D3715" s="46"/>
      <c r="E3715" s="46"/>
      <c r="F3715" s="46" t="s">
        <v>1918</v>
      </c>
      <c r="G3715" s="46" t="s">
        <v>1926</v>
      </c>
      <c r="H3715" s="46" t="s">
        <v>289</v>
      </c>
      <c r="I3715" s="46">
        <v>1</v>
      </c>
      <c r="J3715" s="47">
        <v>150</v>
      </c>
      <c r="K3715" s="47">
        <v>0</v>
      </c>
      <c r="L3715" s="48">
        <v>0</v>
      </c>
      <c r="M3715" s="46"/>
      <c r="N3715" s="46"/>
      <c r="O3715" s="48"/>
      <c r="P3715" s="48"/>
      <c r="Q3715" s="47">
        <v>150</v>
      </c>
      <c r="R3715" s="47">
        <v>0</v>
      </c>
      <c r="S3715" s="5">
        <f t="shared" si="231"/>
        <v>50458.203997470839</v>
      </c>
      <c r="T3715" cm="1">
        <f t="array" ref="T3715">IF(OR(B3715="MAL ALIMI", B3715="ÜRETİM GİRİŞ"), MIN(I3715, MAX(0, I3715 + SUM(SUMIFS($I$1:I3714, $C$1:C3714, C3715, $B$1:B3714, {"MAL ALIMI","ÜRETİM GİRİŞ"})) - VLOOKUP(C3715, 'STOK RAPORU'!$C$2:$I$1000, 4, 0))), 0)</f>
        <v>0</v>
      </c>
      <c r="U3715" s="22">
        <f t="shared" si="232"/>
        <v>0</v>
      </c>
      <c r="V3715">
        <f t="shared" si="233"/>
        <v>0</v>
      </c>
      <c r="W3715" s="22">
        <f t="shared" si="234"/>
        <v>0</v>
      </c>
    </row>
    <row r="3716" spans="1:23" hidden="1" x14ac:dyDescent="0.25">
      <c r="A3716" s="45">
        <v>46054</v>
      </c>
      <c r="B3716" s="46" t="s">
        <v>334</v>
      </c>
      <c r="C3716" s="46" t="s">
        <v>160</v>
      </c>
      <c r="D3716" s="46"/>
      <c r="E3716" s="46"/>
      <c r="F3716" s="46" t="s">
        <v>1919</v>
      </c>
      <c r="G3716" s="46" t="s">
        <v>1925</v>
      </c>
      <c r="H3716" s="46" t="s">
        <v>289</v>
      </c>
      <c r="I3716" s="46">
        <v>1</v>
      </c>
      <c r="J3716" s="47">
        <v>250</v>
      </c>
      <c r="K3716" s="47">
        <v>0</v>
      </c>
      <c r="L3716" s="48">
        <v>0</v>
      </c>
      <c r="M3716" s="46"/>
      <c r="N3716" s="46"/>
      <c r="O3716" s="48"/>
      <c r="P3716" s="48"/>
      <c r="Q3716" s="47">
        <v>250</v>
      </c>
      <c r="R3716" s="47">
        <v>0</v>
      </c>
      <c r="S3716" s="5">
        <f t="shared" ref="S3716:S3779" si="235">S3715+Q3716-R3716</f>
        <v>50708.203997470839</v>
      </c>
      <c r="T3716" cm="1">
        <f t="array" ref="T3716">IF(OR(B3716="MAL ALIMI", B3716="ÜRETİM GİRİŞ"), MIN(I3716, MAX(0, I3716 + SUM(SUMIFS($I$1:I3715, $C$1:C3715, C3716, $B$1:B3715, {"MAL ALIMI","ÜRETİM GİRİŞ"})) - VLOOKUP(C3716, 'STOK RAPORU'!$C$2:$I$1000, 4, 0))), 0)</f>
        <v>0</v>
      </c>
      <c r="U3716" s="22">
        <f t="shared" si="232"/>
        <v>0</v>
      </c>
      <c r="V3716">
        <f t="shared" si="233"/>
        <v>0</v>
      </c>
      <c r="W3716" s="22">
        <f t="shared" si="234"/>
        <v>0</v>
      </c>
    </row>
    <row r="3717" spans="1:23" hidden="1" x14ac:dyDescent="0.25">
      <c r="A3717" s="45">
        <v>46054</v>
      </c>
      <c r="B3717" s="46" t="s">
        <v>334</v>
      </c>
      <c r="C3717" s="46" t="s">
        <v>161</v>
      </c>
      <c r="D3717" s="46"/>
      <c r="E3717" s="46"/>
      <c r="F3717" s="46" t="s">
        <v>1919</v>
      </c>
      <c r="G3717" s="46" t="s">
        <v>1925</v>
      </c>
      <c r="H3717" s="46" t="s">
        <v>289</v>
      </c>
      <c r="I3717" s="46">
        <v>2</v>
      </c>
      <c r="J3717" s="47">
        <v>230</v>
      </c>
      <c r="K3717" s="47">
        <v>0</v>
      </c>
      <c r="L3717" s="48">
        <v>0</v>
      </c>
      <c r="M3717" s="46"/>
      <c r="N3717" s="46"/>
      <c r="O3717" s="48"/>
      <c r="P3717" s="48"/>
      <c r="Q3717" s="47">
        <v>460</v>
      </c>
      <c r="R3717" s="47">
        <v>0</v>
      </c>
      <c r="S3717" s="5">
        <f t="shared" si="235"/>
        <v>51168.203997470839</v>
      </c>
      <c r="T3717" cm="1">
        <f t="array" ref="T3717">IF(OR(B3717="MAL ALIMI", B3717="ÜRETİM GİRİŞ"), MIN(I3717, MAX(0, I3717 + SUM(SUMIFS($I$1:I3716, $C$1:C3716, C3717, $B$1:B3716, {"MAL ALIMI","ÜRETİM GİRİŞ"})) - VLOOKUP(C3717, 'STOK RAPORU'!$C$2:$I$1000, 4, 0))), 0)</f>
        <v>0</v>
      </c>
      <c r="U3717" s="22">
        <f t="shared" si="232"/>
        <v>0</v>
      </c>
      <c r="V3717">
        <f t="shared" si="233"/>
        <v>0</v>
      </c>
      <c r="W3717" s="22">
        <f t="shared" si="234"/>
        <v>0</v>
      </c>
    </row>
    <row r="3718" spans="1:23" hidden="1" x14ac:dyDescent="0.25">
      <c r="A3718" s="45">
        <v>46054</v>
      </c>
      <c r="B3718" s="46" t="s">
        <v>334</v>
      </c>
      <c r="C3718" s="46" t="s">
        <v>129</v>
      </c>
      <c r="D3718" s="46"/>
      <c r="E3718" s="46"/>
      <c r="F3718" s="46" t="s">
        <v>1919</v>
      </c>
      <c r="G3718" s="46" t="s">
        <v>1925</v>
      </c>
      <c r="H3718" s="46" t="s">
        <v>289</v>
      </c>
      <c r="I3718" s="46">
        <v>0.75</v>
      </c>
      <c r="J3718" s="47">
        <v>400</v>
      </c>
      <c r="K3718" s="47">
        <v>0</v>
      </c>
      <c r="L3718" s="48">
        <v>0</v>
      </c>
      <c r="M3718" s="46"/>
      <c r="N3718" s="46"/>
      <c r="O3718" s="48"/>
      <c r="P3718" s="48"/>
      <c r="Q3718" s="47">
        <v>300</v>
      </c>
      <c r="R3718" s="47">
        <v>0</v>
      </c>
      <c r="S3718" s="5">
        <f t="shared" si="235"/>
        <v>51468.203997470839</v>
      </c>
      <c r="T3718" cm="1">
        <f t="array" ref="T3718">IF(OR(B3718="MAL ALIMI", B3718="ÜRETİM GİRİŞ"), MIN(I3718, MAX(0, I3718 + SUM(SUMIFS($I$1:I3717, $C$1:C3717, C3718, $B$1:B3717, {"MAL ALIMI","ÜRETİM GİRİŞ"})) - VLOOKUP(C3718, 'STOK RAPORU'!$C$2:$I$1000, 4, 0))), 0)</f>
        <v>0</v>
      </c>
      <c r="U3718" s="22">
        <f t="shared" si="232"/>
        <v>0</v>
      </c>
      <c r="V3718">
        <f t="shared" si="233"/>
        <v>0</v>
      </c>
      <c r="W3718" s="22">
        <f t="shared" si="234"/>
        <v>0</v>
      </c>
    </row>
    <row r="3719" spans="1:23" hidden="1" x14ac:dyDescent="0.25">
      <c r="A3719" s="45">
        <v>46054</v>
      </c>
      <c r="B3719" s="46" t="s">
        <v>334</v>
      </c>
      <c r="C3719" s="46" t="s">
        <v>126</v>
      </c>
      <c r="D3719" s="46"/>
      <c r="E3719" s="46"/>
      <c r="F3719" s="46" t="s">
        <v>1919</v>
      </c>
      <c r="G3719" s="46" t="s">
        <v>1925</v>
      </c>
      <c r="H3719" s="46" t="s">
        <v>289</v>
      </c>
      <c r="I3719" s="46">
        <v>0.46153846153846156</v>
      </c>
      <c r="J3719" s="47">
        <v>650</v>
      </c>
      <c r="K3719" s="47">
        <v>0</v>
      </c>
      <c r="L3719" s="48">
        <v>0</v>
      </c>
      <c r="M3719" s="46"/>
      <c r="N3719" s="46"/>
      <c r="O3719" s="48"/>
      <c r="P3719" s="48"/>
      <c r="Q3719" s="47">
        <v>300</v>
      </c>
      <c r="R3719" s="47">
        <v>0</v>
      </c>
      <c r="S3719" s="5">
        <f t="shared" si="235"/>
        <v>51768.203997470839</v>
      </c>
      <c r="T3719" cm="1">
        <f t="array" ref="T3719">IF(OR(B3719="MAL ALIMI", B3719="ÜRETİM GİRİŞ"), MIN(I3719, MAX(0, I3719 + SUM(SUMIFS($I$1:I3718, $C$1:C3718, C3719, $B$1:B3718, {"MAL ALIMI","ÜRETİM GİRİŞ"})) - VLOOKUP(C3719, 'STOK RAPORU'!$C$2:$I$1000, 4, 0))), 0)</f>
        <v>0</v>
      </c>
      <c r="U3719" s="22">
        <f t="shared" si="232"/>
        <v>0</v>
      </c>
      <c r="V3719">
        <f t="shared" si="233"/>
        <v>0</v>
      </c>
      <c r="W3719" s="22">
        <f t="shared" si="234"/>
        <v>0</v>
      </c>
    </row>
    <row r="3720" spans="1:23" hidden="1" x14ac:dyDescent="0.25">
      <c r="A3720" s="45">
        <v>46054</v>
      </c>
      <c r="B3720" s="46" t="s">
        <v>334</v>
      </c>
      <c r="C3720" s="46" t="s">
        <v>131</v>
      </c>
      <c r="D3720" s="46"/>
      <c r="E3720" s="46"/>
      <c r="F3720" s="46" t="s">
        <v>1919</v>
      </c>
      <c r="G3720" s="46" t="s">
        <v>1925</v>
      </c>
      <c r="H3720" s="46" t="s">
        <v>289</v>
      </c>
      <c r="I3720" s="46">
        <v>0.34</v>
      </c>
      <c r="J3720" s="47">
        <v>400</v>
      </c>
      <c r="K3720" s="47">
        <v>0</v>
      </c>
      <c r="L3720" s="48">
        <v>0</v>
      </c>
      <c r="M3720" s="46"/>
      <c r="N3720" s="46"/>
      <c r="O3720" s="48"/>
      <c r="P3720" s="48"/>
      <c r="Q3720" s="47">
        <v>136</v>
      </c>
      <c r="R3720" s="47">
        <v>0</v>
      </c>
      <c r="S3720" s="5">
        <f t="shared" si="235"/>
        <v>51904.203997470839</v>
      </c>
      <c r="T3720" cm="1">
        <f t="array" ref="T3720">IF(OR(B3720="MAL ALIMI", B3720="ÜRETİM GİRİŞ"), MIN(I3720, MAX(0, I3720 + SUM(SUMIFS($I$1:I3719, $C$1:C3719, C3720, $B$1:B3719, {"MAL ALIMI","ÜRETİM GİRİŞ"})) - VLOOKUP(C3720, 'STOK RAPORU'!$C$2:$I$1000, 4, 0))), 0)</f>
        <v>0</v>
      </c>
      <c r="U3720" s="22">
        <f t="shared" si="232"/>
        <v>0</v>
      </c>
      <c r="V3720">
        <f t="shared" si="233"/>
        <v>0</v>
      </c>
      <c r="W3720" s="22">
        <f t="shared" si="234"/>
        <v>0</v>
      </c>
    </row>
    <row r="3721" spans="1:23" hidden="1" x14ac:dyDescent="0.25">
      <c r="A3721" s="45">
        <v>46054</v>
      </c>
      <c r="B3721" s="46" t="s">
        <v>334</v>
      </c>
      <c r="C3721" s="46" t="s">
        <v>463</v>
      </c>
      <c r="D3721" s="46"/>
      <c r="E3721" s="46"/>
      <c r="F3721" s="46" t="s">
        <v>1919</v>
      </c>
      <c r="G3721" s="46" t="s">
        <v>1925</v>
      </c>
      <c r="H3721" s="46" t="s">
        <v>289</v>
      </c>
      <c r="I3721" s="46">
        <v>0.53200000000000003</v>
      </c>
      <c r="J3721" s="47">
        <v>400</v>
      </c>
      <c r="K3721" s="47">
        <v>0</v>
      </c>
      <c r="L3721" s="48">
        <v>0</v>
      </c>
      <c r="M3721" s="46"/>
      <c r="N3721" s="46"/>
      <c r="O3721" s="48"/>
      <c r="P3721" s="48"/>
      <c r="Q3721" s="47">
        <v>212.8</v>
      </c>
      <c r="R3721" s="47">
        <v>0</v>
      </c>
      <c r="S3721" s="5">
        <f t="shared" si="235"/>
        <v>52117.003997470842</v>
      </c>
      <c r="T3721" cm="1">
        <f t="array" ref="T3721">IF(OR(B3721="MAL ALIMI", B3721="ÜRETİM GİRİŞ"), MIN(I3721, MAX(0, I3721 + SUM(SUMIFS($I$1:I3720, $C$1:C3720, C3721, $B$1:B3720, {"MAL ALIMI","ÜRETİM GİRİŞ"})) - VLOOKUP(C3721, 'STOK RAPORU'!$C$2:$I$1000, 4, 0))), 0)</f>
        <v>0</v>
      </c>
      <c r="U3721" s="22">
        <f t="shared" si="232"/>
        <v>0</v>
      </c>
      <c r="V3721">
        <f t="shared" si="233"/>
        <v>0</v>
      </c>
      <c r="W3721" s="22">
        <f t="shared" si="234"/>
        <v>0</v>
      </c>
    </row>
    <row r="3722" spans="1:23" hidden="1" x14ac:dyDescent="0.25">
      <c r="A3722" s="45">
        <v>46054</v>
      </c>
      <c r="B3722" s="46" t="s">
        <v>334</v>
      </c>
      <c r="C3722" s="46" t="s">
        <v>133</v>
      </c>
      <c r="D3722" s="46"/>
      <c r="E3722" s="46"/>
      <c r="F3722" s="46" t="s">
        <v>1919</v>
      </c>
      <c r="G3722" s="46" t="s">
        <v>1925</v>
      </c>
      <c r="H3722" s="46" t="s">
        <v>289</v>
      </c>
      <c r="I3722" s="46">
        <v>0.52400000000000002</v>
      </c>
      <c r="J3722" s="47">
        <v>400</v>
      </c>
      <c r="K3722" s="47">
        <v>0</v>
      </c>
      <c r="L3722" s="48">
        <v>0</v>
      </c>
      <c r="M3722" s="46"/>
      <c r="N3722" s="46"/>
      <c r="O3722" s="48"/>
      <c r="P3722" s="48"/>
      <c r="Q3722" s="47">
        <v>209.60000000000002</v>
      </c>
      <c r="R3722" s="47">
        <v>0</v>
      </c>
      <c r="S3722" s="5">
        <f t="shared" si="235"/>
        <v>52326.60399747084</v>
      </c>
      <c r="T3722" cm="1">
        <f t="array" ref="T3722">IF(OR(B3722="MAL ALIMI", B3722="ÜRETİM GİRİŞ"), MIN(I3722, MAX(0, I3722 + SUM(SUMIFS($I$1:I3721, $C$1:C3721, C3722, $B$1:B3721, {"MAL ALIMI","ÜRETİM GİRİŞ"})) - VLOOKUP(C3722, 'STOK RAPORU'!$C$2:$I$1000, 4, 0))), 0)</f>
        <v>0</v>
      </c>
      <c r="U3722" s="22">
        <f t="shared" si="232"/>
        <v>0</v>
      </c>
      <c r="V3722">
        <f t="shared" si="233"/>
        <v>0</v>
      </c>
      <c r="W3722" s="22">
        <f t="shared" si="234"/>
        <v>0</v>
      </c>
    </row>
    <row r="3723" spans="1:23" hidden="1" x14ac:dyDescent="0.25">
      <c r="A3723" s="45">
        <v>46054</v>
      </c>
      <c r="B3723" s="46" t="s">
        <v>334</v>
      </c>
      <c r="C3723" s="46" t="s">
        <v>157</v>
      </c>
      <c r="D3723" s="46"/>
      <c r="E3723" s="46"/>
      <c r="F3723" s="46" t="s">
        <v>1920</v>
      </c>
      <c r="G3723" s="46" t="s">
        <v>1927</v>
      </c>
      <c r="H3723" s="46" t="s">
        <v>289</v>
      </c>
      <c r="I3723" s="46">
        <v>1</v>
      </c>
      <c r="J3723" s="47">
        <v>200</v>
      </c>
      <c r="K3723" s="47">
        <v>0</v>
      </c>
      <c r="L3723" s="48">
        <v>0</v>
      </c>
      <c r="M3723" s="46"/>
      <c r="N3723" s="46"/>
      <c r="O3723" s="48"/>
      <c r="P3723" s="48"/>
      <c r="Q3723" s="47">
        <v>200</v>
      </c>
      <c r="R3723" s="47">
        <v>0</v>
      </c>
      <c r="S3723" s="5">
        <f t="shared" si="235"/>
        <v>52526.60399747084</v>
      </c>
      <c r="T3723" cm="1">
        <f t="array" ref="T3723">IF(OR(B3723="MAL ALIMI", B3723="ÜRETİM GİRİŞ"), MIN(I3723, MAX(0, I3723 + SUM(SUMIFS($I$1:I3722, $C$1:C3722, C3723, $B$1:B3722, {"MAL ALIMI","ÜRETİM GİRİŞ"})) - VLOOKUP(C3723, 'STOK RAPORU'!$C$2:$I$1000, 4, 0))), 0)</f>
        <v>0</v>
      </c>
      <c r="U3723" s="22">
        <f t="shared" si="232"/>
        <v>0</v>
      </c>
      <c r="V3723">
        <f t="shared" si="233"/>
        <v>0</v>
      </c>
      <c r="W3723" s="22">
        <f t="shared" si="234"/>
        <v>0</v>
      </c>
    </row>
    <row r="3724" spans="1:23" hidden="1" x14ac:dyDescent="0.25">
      <c r="A3724" s="45">
        <v>46054</v>
      </c>
      <c r="B3724" s="46" t="s">
        <v>334</v>
      </c>
      <c r="C3724" s="46" t="s">
        <v>1367</v>
      </c>
      <c r="D3724" s="46"/>
      <c r="E3724" s="46"/>
      <c r="F3724" s="46" t="s">
        <v>1921</v>
      </c>
      <c r="G3724" s="46" t="s">
        <v>1603</v>
      </c>
      <c r="H3724" s="46" t="s">
        <v>289</v>
      </c>
      <c r="I3724" s="46">
        <v>1</v>
      </c>
      <c r="J3724" s="47">
        <v>150</v>
      </c>
      <c r="K3724" s="47">
        <v>0</v>
      </c>
      <c r="L3724" s="48">
        <v>0</v>
      </c>
      <c r="M3724" s="46"/>
      <c r="N3724" s="46"/>
      <c r="O3724" s="48"/>
      <c r="P3724" s="48"/>
      <c r="Q3724" s="47">
        <v>150</v>
      </c>
      <c r="R3724" s="21">
        <v>0</v>
      </c>
      <c r="S3724" s="5">
        <f t="shared" si="235"/>
        <v>52676.60399747084</v>
      </c>
      <c r="T3724" cm="1">
        <f t="array" ref="T3724">IF(OR(B3724="MAL ALIMI", B3724="ÜRETİM GİRİŞ"), MIN(I3724, MAX(0, I3724 + SUM(SUMIFS($I$1:I3723, $C$1:C3723, C3724, $B$1:B3723, {"MAL ALIMI","ÜRETİM GİRİŞ"})) - VLOOKUP(C3724, 'STOK RAPORU'!$C$2:$I$1000, 4, 0))), 0)</f>
        <v>0</v>
      </c>
      <c r="U3724" s="22">
        <f t="shared" si="232"/>
        <v>0</v>
      </c>
      <c r="V3724">
        <f t="shared" si="233"/>
        <v>0</v>
      </c>
      <c r="W3724" s="22">
        <f t="shared" si="234"/>
        <v>0</v>
      </c>
    </row>
    <row r="3725" spans="1:23" hidden="1" x14ac:dyDescent="0.25">
      <c r="A3725" s="45">
        <v>46054</v>
      </c>
      <c r="B3725" s="46" t="s">
        <v>334</v>
      </c>
      <c r="C3725" s="46" t="s">
        <v>219</v>
      </c>
      <c r="D3725" s="46"/>
      <c r="E3725" s="46"/>
      <c r="F3725" s="46" t="s">
        <v>1921</v>
      </c>
      <c r="G3725" s="46" t="s">
        <v>1603</v>
      </c>
      <c r="H3725" s="46" t="s">
        <v>289</v>
      </c>
      <c r="I3725" s="46">
        <v>0.03</v>
      </c>
      <c r="J3725" s="47">
        <v>1000</v>
      </c>
      <c r="K3725" s="47">
        <v>0</v>
      </c>
      <c r="L3725" s="48">
        <v>0</v>
      </c>
      <c r="M3725" s="46"/>
      <c r="N3725" s="46"/>
      <c r="O3725" s="48"/>
      <c r="P3725" s="48"/>
      <c r="Q3725" s="47">
        <v>30</v>
      </c>
      <c r="R3725" s="21">
        <v>0</v>
      </c>
      <c r="S3725" s="5">
        <f t="shared" si="235"/>
        <v>52706.60399747084</v>
      </c>
      <c r="T3725" cm="1">
        <f t="array" ref="T3725">IF(OR(B3725="MAL ALIMI", B3725="ÜRETİM GİRİŞ"), MIN(I3725, MAX(0, I3725 + SUM(SUMIFS($I$1:I3724, $C$1:C3724, C3725, $B$1:B3724, {"MAL ALIMI","ÜRETİM GİRİŞ"})) - VLOOKUP(C3725, 'STOK RAPORU'!$C$2:$I$1000, 4, 0))), 0)</f>
        <v>0</v>
      </c>
      <c r="U3725" s="22">
        <f t="shared" si="232"/>
        <v>0</v>
      </c>
      <c r="V3725">
        <f t="shared" si="233"/>
        <v>0</v>
      </c>
      <c r="W3725" s="22">
        <f t="shared" si="234"/>
        <v>0</v>
      </c>
    </row>
    <row r="3726" spans="1:23" hidden="1" x14ac:dyDescent="0.25">
      <c r="A3726" s="45">
        <v>46054</v>
      </c>
      <c r="B3726" s="46" t="s">
        <v>334</v>
      </c>
      <c r="C3726" s="46" t="s">
        <v>585</v>
      </c>
      <c r="D3726" s="46"/>
      <c r="E3726" s="46"/>
      <c r="F3726" s="46" t="s">
        <v>1921</v>
      </c>
      <c r="G3726" s="46" t="s">
        <v>1603</v>
      </c>
      <c r="H3726" s="46" t="s">
        <v>289</v>
      </c>
      <c r="I3726" s="46">
        <v>2</v>
      </c>
      <c r="J3726" s="47">
        <v>200</v>
      </c>
      <c r="K3726" s="47">
        <v>0</v>
      </c>
      <c r="L3726" s="48">
        <v>0</v>
      </c>
      <c r="M3726" s="46"/>
      <c r="N3726" s="46"/>
      <c r="O3726" s="48"/>
      <c r="P3726" s="48"/>
      <c r="Q3726" s="47">
        <v>400</v>
      </c>
      <c r="R3726" s="21">
        <v>0</v>
      </c>
      <c r="S3726" s="5">
        <f t="shared" si="235"/>
        <v>53106.60399747084</v>
      </c>
      <c r="T3726" cm="1">
        <f t="array" ref="T3726">IF(OR(B3726="MAL ALIMI", B3726="ÜRETİM GİRİŞ"), MIN(I3726, MAX(0, I3726 + SUM(SUMIFS($I$1:I3725, $C$1:C3725, C3726, $B$1:B3725, {"MAL ALIMI","ÜRETİM GİRİŞ"})) - VLOOKUP(C3726, 'STOK RAPORU'!$C$2:$I$1000, 4, 0))), 0)</f>
        <v>0</v>
      </c>
      <c r="U3726" s="22">
        <f t="shared" si="232"/>
        <v>0</v>
      </c>
      <c r="V3726">
        <f t="shared" si="233"/>
        <v>0</v>
      </c>
      <c r="W3726" s="22">
        <f t="shared" si="234"/>
        <v>0</v>
      </c>
    </row>
    <row r="3727" spans="1:23" hidden="1" x14ac:dyDescent="0.25">
      <c r="A3727" s="45">
        <v>46054</v>
      </c>
      <c r="B3727" s="46" t="s">
        <v>334</v>
      </c>
      <c r="C3727" s="46" t="s">
        <v>157</v>
      </c>
      <c r="D3727" s="46"/>
      <c r="E3727" s="46"/>
      <c r="F3727" s="46" t="s">
        <v>1921</v>
      </c>
      <c r="G3727" s="46" t="s">
        <v>1603</v>
      </c>
      <c r="H3727" s="46" t="s">
        <v>289</v>
      </c>
      <c r="I3727" s="46">
        <v>2</v>
      </c>
      <c r="J3727" s="47">
        <v>200</v>
      </c>
      <c r="K3727" s="47">
        <v>0</v>
      </c>
      <c r="L3727" s="48">
        <v>0</v>
      </c>
      <c r="M3727" s="46"/>
      <c r="N3727" s="46"/>
      <c r="O3727" s="48"/>
      <c r="P3727" s="48"/>
      <c r="Q3727" s="47">
        <v>400</v>
      </c>
      <c r="R3727" s="21">
        <v>0</v>
      </c>
      <c r="S3727" s="5">
        <f t="shared" si="235"/>
        <v>53506.60399747084</v>
      </c>
      <c r="T3727" cm="1">
        <f t="array" ref="T3727">IF(OR(B3727="MAL ALIMI", B3727="ÜRETİM GİRİŞ"), MIN(I3727, MAX(0, I3727 + SUM(SUMIFS($I$1:I3726, $C$1:C3726, C3727, $B$1:B3726, {"MAL ALIMI","ÜRETİM GİRİŞ"})) - VLOOKUP(C3727, 'STOK RAPORU'!$C$2:$I$1000, 4, 0))), 0)</f>
        <v>0</v>
      </c>
      <c r="U3727" s="22">
        <f t="shared" si="232"/>
        <v>0</v>
      </c>
      <c r="V3727">
        <f t="shared" si="233"/>
        <v>0</v>
      </c>
      <c r="W3727" s="22">
        <f t="shared" si="234"/>
        <v>0</v>
      </c>
    </row>
    <row r="3728" spans="1:23" hidden="1" x14ac:dyDescent="0.25">
      <c r="A3728" s="45">
        <v>46054</v>
      </c>
      <c r="B3728" s="46" t="s">
        <v>334</v>
      </c>
      <c r="C3728" s="4" t="s">
        <v>587</v>
      </c>
      <c r="D3728" s="46"/>
      <c r="E3728" s="46"/>
      <c r="F3728" s="46" t="s">
        <v>1921</v>
      </c>
      <c r="G3728" s="46" t="s">
        <v>1603</v>
      </c>
      <c r="H3728" s="46" t="s">
        <v>289</v>
      </c>
      <c r="I3728" s="46">
        <v>2</v>
      </c>
      <c r="J3728" s="47">
        <v>150</v>
      </c>
      <c r="K3728" s="47">
        <v>0</v>
      </c>
      <c r="L3728" s="48">
        <v>0</v>
      </c>
      <c r="M3728" s="46"/>
      <c r="N3728" s="46"/>
      <c r="O3728" s="48"/>
      <c r="P3728" s="48"/>
      <c r="Q3728" s="47">
        <v>300</v>
      </c>
      <c r="R3728" s="21">
        <v>0</v>
      </c>
      <c r="S3728" s="5">
        <f t="shared" si="235"/>
        <v>53806.60399747084</v>
      </c>
      <c r="T3728" cm="1">
        <f t="array" ref="T3728">IF(OR(B3728="MAL ALIMI", B3728="ÜRETİM GİRİŞ"), MIN(I3728, MAX(0, I3728 + SUM(SUMIFS($I$1:I3727, $C$1:C3727, C3728, $B$1:B3727, {"MAL ALIMI","ÜRETİM GİRİŞ"})) - VLOOKUP(C3728, 'STOK RAPORU'!$C$2:$I$1000, 4, 0))), 0)</f>
        <v>0</v>
      </c>
      <c r="U3728" s="22">
        <f t="shared" si="232"/>
        <v>0</v>
      </c>
      <c r="V3728">
        <f t="shared" si="233"/>
        <v>0</v>
      </c>
      <c r="W3728" s="22">
        <f t="shared" si="234"/>
        <v>0</v>
      </c>
    </row>
    <row r="3729" spans="1:23" hidden="1" x14ac:dyDescent="0.25">
      <c r="A3729" s="45">
        <v>46054</v>
      </c>
      <c r="B3729" s="46" t="s">
        <v>334</v>
      </c>
      <c r="C3729" s="46" t="s">
        <v>1443</v>
      </c>
      <c r="D3729" s="46"/>
      <c r="E3729" s="46"/>
      <c r="F3729" s="46" t="s">
        <v>1921</v>
      </c>
      <c r="G3729" s="46" t="s">
        <v>1603</v>
      </c>
      <c r="H3729" s="46" t="s">
        <v>289</v>
      </c>
      <c r="I3729" s="46">
        <v>15</v>
      </c>
      <c r="J3729" s="47">
        <v>10</v>
      </c>
      <c r="K3729" s="47">
        <v>0</v>
      </c>
      <c r="L3729" s="48">
        <v>0</v>
      </c>
      <c r="M3729" s="46"/>
      <c r="N3729" s="46"/>
      <c r="O3729" s="48"/>
      <c r="P3729" s="48"/>
      <c r="Q3729" s="47">
        <v>150</v>
      </c>
      <c r="R3729" s="21">
        <v>0</v>
      </c>
      <c r="S3729" s="5">
        <f t="shared" si="235"/>
        <v>53956.60399747084</v>
      </c>
      <c r="T3729" cm="1">
        <f t="array" ref="T3729">IF(OR(B3729="MAL ALIMI", B3729="ÜRETİM GİRİŞ"), MIN(I3729, MAX(0, I3729 + SUM(SUMIFS($I$1:I3728, $C$1:C3728, C3729, $B$1:B3728, {"MAL ALIMI","ÜRETİM GİRİŞ"})) - VLOOKUP(C3729, 'STOK RAPORU'!$C$2:$I$1000, 4, 0))), 0)</f>
        <v>0</v>
      </c>
      <c r="U3729" s="22">
        <f t="shared" si="232"/>
        <v>0</v>
      </c>
      <c r="V3729">
        <f t="shared" si="233"/>
        <v>0</v>
      </c>
      <c r="W3729" s="22">
        <f t="shared" si="234"/>
        <v>0</v>
      </c>
    </row>
    <row r="3730" spans="1:23" hidden="1" x14ac:dyDescent="0.25">
      <c r="A3730" s="45">
        <v>46054</v>
      </c>
      <c r="B3730" s="46" t="s">
        <v>334</v>
      </c>
      <c r="C3730" s="46" t="s">
        <v>254</v>
      </c>
      <c r="D3730" s="46"/>
      <c r="E3730" s="46"/>
      <c r="F3730" s="46" t="s">
        <v>1921</v>
      </c>
      <c r="G3730" s="46" t="s">
        <v>1603</v>
      </c>
      <c r="H3730" s="46" t="s">
        <v>289</v>
      </c>
      <c r="I3730" s="46">
        <v>0.218</v>
      </c>
      <c r="J3730" s="47">
        <v>230</v>
      </c>
      <c r="K3730" s="47">
        <v>0</v>
      </c>
      <c r="L3730" s="48">
        <v>0</v>
      </c>
      <c r="M3730" s="46"/>
      <c r="N3730" s="46"/>
      <c r="O3730" s="48"/>
      <c r="P3730" s="48"/>
      <c r="Q3730" s="47">
        <v>50.14</v>
      </c>
      <c r="R3730" s="21">
        <v>0</v>
      </c>
      <c r="S3730" s="5">
        <f t="shared" si="235"/>
        <v>54006.74399747084</v>
      </c>
      <c r="T3730" cm="1">
        <f t="array" ref="T3730">IF(OR(B3730="MAL ALIMI", B3730="ÜRETİM GİRİŞ"), MIN(I3730, MAX(0, I3730 + SUM(SUMIFS($I$1:I3729, $C$1:C3729, C3730, $B$1:B3729, {"MAL ALIMI","ÜRETİM GİRİŞ"})) - VLOOKUP(C3730, 'STOK RAPORU'!$C$2:$I$1000, 4, 0))), 0)</f>
        <v>0</v>
      </c>
      <c r="U3730" s="22">
        <f t="shared" si="232"/>
        <v>0</v>
      </c>
      <c r="V3730">
        <f t="shared" si="233"/>
        <v>0</v>
      </c>
      <c r="W3730" s="22">
        <f t="shared" si="234"/>
        <v>0</v>
      </c>
    </row>
    <row r="3731" spans="1:23" hidden="1" x14ac:dyDescent="0.25">
      <c r="A3731" s="45">
        <v>46054</v>
      </c>
      <c r="B3731" s="46" t="s">
        <v>334</v>
      </c>
      <c r="C3731" s="46" t="s">
        <v>1203</v>
      </c>
      <c r="D3731" s="46"/>
      <c r="E3731" s="46"/>
      <c r="F3731" s="46" t="s">
        <v>1921</v>
      </c>
      <c r="G3731" s="46" t="s">
        <v>1603</v>
      </c>
      <c r="H3731" s="46" t="s">
        <v>289</v>
      </c>
      <c r="I3731" s="46">
        <v>1</v>
      </c>
      <c r="J3731" s="47">
        <v>140</v>
      </c>
      <c r="K3731" s="47">
        <v>0</v>
      </c>
      <c r="L3731" s="48">
        <v>0</v>
      </c>
      <c r="M3731" s="46"/>
      <c r="N3731" s="46"/>
      <c r="O3731" s="48"/>
      <c r="P3731" s="48"/>
      <c r="Q3731" s="47">
        <v>140</v>
      </c>
      <c r="R3731" s="21">
        <v>0</v>
      </c>
      <c r="S3731" s="5">
        <f t="shared" si="235"/>
        <v>54146.74399747084</v>
      </c>
      <c r="T3731" cm="1">
        <f t="array" ref="T3731">IF(OR(B3731="MAL ALIMI", B3731="ÜRETİM GİRİŞ"), MIN(I3731, MAX(0, I3731 + SUM(SUMIFS($I$1:I3730, $C$1:C3730, C3731, $B$1:B3730, {"MAL ALIMI","ÜRETİM GİRİŞ"})) - VLOOKUP(C3731, 'STOK RAPORU'!$C$2:$I$1000, 4, 0))), 0)</f>
        <v>0</v>
      </c>
      <c r="U3731" s="22">
        <f t="shared" si="232"/>
        <v>0</v>
      </c>
      <c r="V3731">
        <f t="shared" si="233"/>
        <v>0</v>
      </c>
      <c r="W3731" s="22">
        <f t="shared" si="234"/>
        <v>0</v>
      </c>
    </row>
    <row r="3732" spans="1:23" hidden="1" x14ac:dyDescent="0.25">
      <c r="A3732" s="45">
        <v>46054</v>
      </c>
      <c r="B3732" s="46" t="s">
        <v>334</v>
      </c>
      <c r="C3732" s="46" t="s">
        <v>241</v>
      </c>
      <c r="D3732" s="46"/>
      <c r="E3732" s="46"/>
      <c r="F3732" s="46" t="s">
        <v>1922</v>
      </c>
      <c r="G3732" s="46" t="s">
        <v>1607</v>
      </c>
      <c r="H3732" s="46" t="s">
        <v>289</v>
      </c>
      <c r="I3732" s="46">
        <v>0.28000000000000003</v>
      </c>
      <c r="J3732" s="47">
        <v>430</v>
      </c>
      <c r="K3732" s="47">
        <v>0</v>
      </c>
      <c r="L3732" s="48">
        <v>0</v>
      </c>
      <c r="M3732" s="46"/>
      <c r="N3732" s="46"/>
      <c r="O3732" s="48"/>
      <c r="P3732" s="48"/>
      <c r="Q3732" s="47">
        <v>120.4</v>
      </c>
      <c r="R3732" s="21">
        <v>0</v>
      </c>
      <c r="S3732" s="5">
        <f t="shared" si="235"/>
        <v>54267.143997470841</v>
      </c>
      <c r="T3732" cm="1">
        <f t="array" ref="T3732">IF(OR(B3732="MAL ALIMI", B3732="ÜRETİM GİRİŞ"), MIN(I3732, MAX(0, I3732 + SUM(SUMIFS($I$1:I3731, $C$1:C3731, C3732, $B$1:B3731, {"MAL ALIMI","ÜRETİM GİRİŞ"})) - VLOOKUP(C3732, 'STOK RAPORU'!$C$2:$I$1000, 4, 0))), 0)</f>
        <v>0</v>
      </c>
      <c r="U3732" s="22">
        <f t="shared" si="232"/>
        <v>0</v>
      </c>
      <c r="V3732">
        <f t="shared" si="233"/>
        <v>0</v>
      </c>
      <c r="W3732" s="22">
        <f t="shared" si="234"/>
        <v>0</v>
      </c>
    </row>
    <row r="3733" spans="1:23" hidden="1" x14ac:dyDescent="0.25">
      <c r="A3733" s="45">
        <v>46054</v>
      </c>
      <c r="B3733" s="46" t="s">
        <v>334</v>
      </c>
      <c r="C3733" s="46" t="s">
        <v>253</v>
      </c>
      <c r="D3733" s="46"/>
      <c r="E3733" s="46"/>
      <c r="F3733" s="46" t="s">
        <v>1922</v>
      </c>
      <c r="G3733" s="46" t="s">
        <v>1607</v>
      </c>
      <c r="H3733" s="46" t="s">
        <v>289</v>
      </c>
      <c r="I3733" s="46">
        <v>1</v>
      </c>
      <c r="J3733" s="47">
        <v>240</v>
      </c>
      <c r="K3733" s="47">
        <v>0</v>
      </c>
      <c r="L3733" s="48">
        <v>0</v>
      </c>
      <c r="M3733" s="46"/>
      <c r="N3733" s="46"/>
      <c r="O3733" s="48"/>
      <c r="P3733" s="48"/>
      <c r="Q3733" s="47">
        <v>240</v>
      </c>
      <c r="R3733" s="21">
        <v>0</v>
      </c>
      <c r="S3733" s="5">
        <f t="shared" si="235"/>
        <v>54507.143997470841</v>
      </c>
      <c r="T3733" cm="1">
        <f t="array" ref="T3733">IF(OR(B3733="MAL ALIMI", B3733="ÜRETİM GİRİŞ"), MIN(I3733, MAX(0, I3733 + SUM(SUMIFS($I$1:I3732, $C$1:C3732, C3733, $B$1:B3732, {"MAL ALIMI","ÜRETİM GİRİŞ"})) - VLOOKUP(C3733, 'STOK RAPORU'!$C$2:$I$1000, 4, 0))), 0)</f>
        <v>0</v>
      </c>
      <c r="U3733" s="22">
        <f t="shared" si="232"/>
        <v>0</v>
      </c>
      <c r="V3733">
        <f t="shared" si="233"/>
        <v>0</v>
      </c>
      <c r="W3733" s="22">
        <f t="shared" si="234"/>
        <v>0</v>
      </c>
    </row>
    <row r="3734" spans="1:23" hidden="1" x14ac:dyDescent="0.25">
      <c r="A3734" s="45">
        <v>46054</v>
      </c>
      <c r="B3734" s="46" t="s">
        <v>334</v>
      </c>
      <c r="C3734" s="46" t="s">
        <v>598</v>
      </c>
      <c r="D3734" s="46"/>
      <c r="E3734" s="46"/>
      <c r="F3734" s="46" t="s">
        <v>1922</v>
      </c>
      <c r="G3734" s="46" t="s">
        <v>1607</v>
      </c>
      <c r="H3734" s="46" t="s">
        <v>289</v>
      </c>
      <c r="I3734" s="46">
        <v>0.51724137931034486</v>
      </c>
      <c r="J3734" s="47">
        <v>290</v>
      </c>
      <c r="K3734" s="47">
        <v>0</v>
      </c>
      <c r="L3734" s="48">
        <v>0</v>
      </c>
      <c r="M3734" s="46"/>
      <c r="N3734" s="46"/>
      <c r="O3734" s="48"/>
      <c r="P3734" s="48"/>
      <c r="Q3734" s="47">
        <v>150</v>
      </c>
      <c r="R3734" s="21">
        <v>0</v>
      </c>
      <c r="S3734" s="5">
        <f t="shared" si="235"/>
        <v>54657.143997470841</v>
      </c>
      <c r="T3734" cm="1">
        <f t="array" ref="T3734">IF(OR(B3734="MAL ALIMI", B3734="ÜRETİM GİRİŞ"), MIN(I3734, MAX(0, I3734 + SUM(SUMIFS($I$1:I3733, $C$1:C3733, C3734, $B$1:B3733, {"MAL ALIMI","ÜRETİM GİRİŞ"})) - VLOOKUP(C3734, 'STOK RAPORU'!$C$2:$I$1000, 4, 0))), 0)</f>
        <v>0</v>
      </c>
      <c r="U3734" s="22">
        <f t="shared" si="232"/>
        <v>0</v>
      </c>
      <c r="V3734">
        <f t="shared" si="233"/>
        <v>0</v>
      </c>
      <c r="W3734" s="22">
        <f t="shared" si="234"/>
        <v>0</v>
      </c>
    </row>
    <row r="3735" spans="1:23" hidden="1" x14ac:dyDescent="0.25">
      <c r="A3735" s="45">
        <v>46054</v>
      </c>
      <c r="B3735" s="46" t="s">
        <v>334</v>
      </c>
      <c r="C3735" s="46" t="s">
        <v>225</v>
      </c>
      <c r="D3735" s="46"/>
      <c r="E3735" s="46"/>
      <c r="F3735" s="46" t="s">
        <v>1922</v>
      </c>
      <c r="G3735" s="46" t="s">
        <v>1607</v>
      </c>
      <c r="H3735" s="46" t="s">
        <v>289</v>
      </c>
      <c r="I3735" s="46">
        <v>0.5</v>
      </c>
      <c r="J3735" s="47">
        <v>750</v>
      </c>
      <c r="K3735" s="47">
        <v>0</v>
      </c>
      <c r="L3735" s="48">
        <v>0</v>
      </c>
      <c r="M3735" s="46"/>
      <c r="N3735" s="46"/>
      <c r="O3735" s="48"/>
      <c r="P3735" s="48"/>
      <c r="Q3735" s="47">
        <v>375</v>
      </c>
      <c r="R3735" s="21">
        <v>0</v>
      </c>
      <c r="S3735" s="5">
        <f t="shared" si="235"/>
        <v>55032.143997470841</v>
      </c>
      <c r="T3735" cm="1">
        <f t="array" ref="T3735">IF(OR(B3735="MAL ALIMI", B3735="ÜRETİM GİRİŞ"), MIN(I3735, MAX(0, I3735 + SUM(SUMIFS($I$1:I3734, $C$1:C3734, C3735, $B$1:B3734, {"MAL ALIMI","ÜRETİM GİRİŞ"})) - VLOOKUP(C3735, 'STOK RAPORU'!$C$2:$I$1000, 4, 0))), 0)</f>
        <v>0</v>
      </c>
      <c r="U3735" s="22">
        <f t="shared" si="232"/>
        <v>0</v>
      </c>
      <c r="V3735">
        <f t="shared" si="233"/>
        <v>0</v>
      </c>
      <c r="W3735" s="22">
        <f t="shared" si="234"/>
        <v>0</v>
      </c>
    </row>
    <row r="3736" spans="1:23" hidden="1" x14ac:dyDescent="0.25">
      <c r="A3736" s="45">
        <v>46054</v>
      </c>
      <c r="B3736" s="46" t="s">
        <v>334</v>
      </c>
      <c r="C3736" s="4" t="s">
        <v>587</v>
      </c>
      <c r="D3736" s="46"/>
      <c r="E3736" s="46"/>
      <c r="F3736" s="46" t="s">
        <v>1922</v>
      </c>
      <c r="G3736" s="46" t="s">
        <v>1607</v>
      </c>
      <c r="H3736" s="46" t="s">
        <v>289</v>
      </c>
      <c r="I3736" s="46">
        <v>1</v>
      </c>
      <c r="J3736" s="47">
        <v>150</v>
      </c>
      <c r="K3736" s="47">
        <v>0</v>
      </c>
      <c r="L3736" s="48">
        <v>0</v>
      </c>
      <c r="M3736" s="46"/>
      <c r="N3736" s="46"/>
      <c r="O3736" s="48"/>
      <c r="P3736" s="48"/>
      <c r="Q3736" s="47">
        <v>150</v>
      </c>
      <c r="R3736" s="21">
        <v>0</v>
      </c>
      <c r="S3736" s="5">
        <f t="shared" si="235"/>
        <v>55182.143997470841</v>
      </c>
      <c r="T3736" cm="1">
        <f t="array" ref="T3736">IF(OR(B3736="MAL ALIMI", B3736="ÜRETİM GİRİŞ"), MIN(I3736, MAX(0, I3736 + SUM(SUMIFS($I$1:I3735, $C$1:C3735, C3736, $B$1:B3735, {"MAL ALIMI","ÜRETİM GİRİŞ"})) - VLOOKUP(C3736, 'STOK RAPORU'!$C$2:$I$1000, 4, 0))), 0)</f>
        <v>0</v>
      </c>
      <c r="U3736" s="22">
        <f t="shared" si="232"/>
        <v>0</v>
      </c>
      <c r="V3736">
        <f t="shared" si="233"/>
        <v>0</v>
      </c>
      <c r="W3736" s="22">
        <f t="shared" si="234"/>
        <v>0</v>
      </c>
    </row>
    <row r="3737" spans="1:23" hidden="1" x14ac:dyDescent="0.25">
      <c r="A3737" s="45">
        <v>46054</v>
      </c>
      <c r="B3737" s="46" t="s">
        <v>334</v>
      </c>
      <c r="C3737" s="46" t="s">
        <v>162</v>
      </c>
      <c r="D3737" s="46"/>
      <c r="E3737" s="46"/>
      <c r="F3737" s="46" t="s">
        <v>1922</v>
      </c>
      <c r="G3737" s="46" t="s">
        <v>1607</v>
      </c>
      <c r="H3737" s="46" t="s">
        <v>289</v>
      </c>
      <c r="I3737" s="46">
        <v>1</v>
      </c>
      <c r="J3737" s="47">
        <v>250</v>
      </c>
      <c r="K3737" s="47">
        <v>0</v>
      </c>
      <c r="L3737" s="48">
        <v>0</v>
      </c>
      <c r="M3737" s="46"/>
      <c r="N3737" s="46"/>
      <c r="O3737" s="48"/>
      <c r="P3737" s="48"/>
      <c r="Q3737" s="47">
        <v>250</v>
      </c>
      <c r="R3737" s="21">
        <v>0</v>
      </c>
      <c r="S3737" s="5">
        <f t="shared" si="235"/>
        <v>55432.143997470841</v>
      </c>
      <c r="T3737" cm="1">
        <f t="array" ref="T3737">IF(OR(B3737="MAL ALIMI", B3737="ÜRETİM GİRİŞ"), MIN(I3737, MAX(0, I3737 + SUM(SUMIFS($I$1:I3736, $C$1:C3736, C3737, $B$1:B3736, {"MAL ALIMI","ÜRETİM GİRİŞ"})) - VLOOKUP(C3737, 'STOK RAPORU'!$C$2:$I$1000, 4, 0))), 0)</f>
        <v>0</v>
      </c>
      <c r="U3737" s="22">
        <f t="shared" si="232"/>
        <v>0</v>
      </c>
      <c r="V3737">
        <f t="shared" si="233"/>
        <v>0</v>
      </c>
      <c r="W3737" s="22">
        <f t="shared" si="234"/>
        <v>0</v>
      </c>
    </row>
    <row r="3738" spans="1:23" hidden="1" x14ac:dyDescent="0.25">
      <c r="A3738" s="45">
        <v>46054</v>
      </c>
      <c r="B3738" s="46" t="s">
        <v>334</v>
      </c>
      <c r="C3738" s="46" t="s">
        <v>180</v>
      </c>
      <c r="D3738" s="46"/>
      <c r="E3738" s="46"/>
      <c r="F3738" s="46" t="s">
        <v>1922</v>
      </c>
      <c r="G3738" s="46" t="s">
        <v>1607</v>
      </c>
      <c r="H3738" s="46" t="s">
        <v>289</v>
      </c>
      <c r="I3738" s="46">
        <v>1</v>
      </c>
      <c r="J3738" s="47">
        <v>170</v>
      </c>
      <c r="K3738" s="47">
        <v>0</v>
      </c>
      <c r="L3738" s="48">
        <v>0</v>
      </c>
      <c r="M3738" s="46"/>
      <c r="N3738" s="46"/>
      <c r="O3738" s="48"/>
      <c r="P3738" s="48"/>
      <c r="Q3738" s="47">
        <v>170</v>
      </c>
      <c r="R3738" s="21">
        <v>0</v>
      </c>
      <c r="S3738" s="5">
        <f t="shared" si="235"/>
        <v>55602.143997470841</v>
      </c>
      <c r="T3738" cm="1">
        <f t="array" ref="T3738">IF(OR(B3738="MAL ALIMI", B3738="ÜRETİM GİRİŞ"), MIN(I3738, MAX(0, I3738 + SUM(SUMIFS($I$1:I3737, $C$1:C3737, C3738, $B$1:B3737, {"MAL ALIMI","ÜRETİM GİRİŞ"})) - VLOOKUP(C3738, 'STOK RAPORU'!$C$2:$I$1000, 4, 0))), 0)</f>
        <v>0</v>
      </c>
      <c r="U3738" s="22">
        <f t="shared" si="232"/>
        <v>0</v>
      </c>
      <c r="V3738">
        <f t="shared" si="233"/>
        <v>0</v>
      </c>
      <c r="W3738" s="22">
        <f t="shared" si="234"/>
        <v>0</v>
      </c>
    </row>
    <row r="3739" spans="1:23" hidden="1" x14ac:dyDescent="0.25">
      <c r="A3739" s="45">
        <v>46054</v>
      </c>
      <c r="B3739" s="46" t="s">
        <v>334</v>
      </c>
      <c r="C3739" s="46" t="s">
        <v>160</v>
      </c>
      <c r="D3739" s="46"/>
      <c r="E3739" s="46"/>
      <c r="F3739" s="46" t="s">
        <v>1922</v>
      </c>
      <c r="G3739" s="46" t="s">
        <v>1607</v>
      </c>
      <c r="H3739" s="46" t="s">
        <v>289</v>
      </c>
      <c r="I3739" s="46">
        <v>1</v>
      </c>
      <c r="J3739" s="47">
        <v>250</v>
      </c>
      <c r="K3739" s="47">
        <v>0</v>
      </c>
      <c r="L3739" s="48">
        <v>0</v>
      </c>
      <c r="M3739" s="46"/>
      <c r="N3739" s="46"/>
      <c r="O3739" s="48"/>
      <c r="P3739" s="48"/>
      <c r="Q3739" s="47">
        <v>250</v>
      </c>
      <c r="R3739" s="21">
        <v>0</v>
      </c>
      <c r="S3739" s="5">
        <f t="shared" si="235"/>
        <v>55852.143997470841</v>
      </c>
      <c r="T3739" cm="1">
        <f t="array" ref="T3739">IF(OR(B3739="MAL ALIMI", B3739="ÜRETİM GİRİŞ"), MIN(I3739, MAX(0, I3739 + SUM(SUMIFS($I$1:I3738, $C$1:C3738, C3739, $B$1:B3738, {"MAL ALIMI","ÜRETİM GİRİŞ"})) - VLOOKUP(C3739, 'STOK RAPORU'!$C$2:$I$1000, 4, 0))), 0)</f>
        <v>0</v>
      </c>
      <c r="U3739" s="22">
        <f t="shared" si="232"/>
        <v>0</v>
      </c>
      <c r="V3739">
        <f t="shared" si="233"/>
        <v>0</v>
      </c>
      <c r="W3739" s="22">
        <f t="shared" si="234"/>
        <v>0</v>
      </c>
    </row>
    <row r="3740" spans="1:23" hidden="1" x14ac:dyDescent="0.25">
      <c r="A3740" s="45">
        <v>46054</v>
      </c>
      <c r="B3740" s="46" t="s">
        <v>334</v>
      </c>
      <c r="C3740" s="46" t="s">
        <v>465</v>
      </c>
      <c r="D3740" s="46"/>
      <c r="E3740" s="46"/>
      <c r="F3740" s="46" t="s">
        <v>1922</v>
      </c>
      <c r="G3740" s="46" t="s">
        <v>1607</v>
      </c>
      <c r="H3740" s="46" t="s">
        <v>289</v>
      </c>
      <c r="I3740" s="4">
        <v>1</v>
      </c>
      <c r="J3740" s="21">
        <v>50</v>
      </c>
      <c r="K3740" s="47">
        <v>0</v>
      </c>
      <c r="L3740" s="48">
        <v>0</v>
      </c>
      <c r="M3740" s="46"/>
      <c r="N3740" s="46"/>
      <c r="O3740" s="48"/>
      <c r="P3740" s="48"/>
      <c r="Q3740" s="47">
        <v>50</v>
      </c>
      <c r="R3740" s="21">
        <v>0</v>
      </c>
      <c r="S3740" s="5">
        <f t="shared" si="235"/>
        <v>55902.143997470841</v>
      </c>
      <c r="T3740" cm="1">
        <f t="array" ref="T3740">IF(OR(B3740="MAL ALIMI", B3740="ÜRETİM GİRİŞ"), MIN(I3740, MAX(0, I3740 + SUM(SUMIFS($I$1:I3739, $C$1:C3739, C3740, $B$1:B3739, {"MAL ALIMI","ÜRETİM GİRİŞ"})) - VLOOKUP(C3740, 'STOK RAPORU'!$C$2:$I$1000, 4, 0))), 0)</f>
        <v>0</v>
      </c>
      <c r="U3740" s="22">
        <f t="shared" si="232"/>
        <v>0</v>
      </c>
      <c r="V3740">
        <f t="shared" si="233"/>
        <v>0</v>
      </c>
      <c r="W3740" s="22">
        <f t="shared" si="234"/>
        <v>0</v>
      </c>
    </row>
    <row r="3741" spans="1:23" hidden="1" x14ac:dyDescent="0.25">
      <c r="A3741" s="45">
        <v>46054</v>
      </c>
      <c r="B3741" s="46" t="s">
        <v>334</v>
      </c>
      <c r="C3741" s="46" t="s">
        <v>458</v>
      </c>
      <c r="D3741" s="46"/>
      <c r="E3741" s="46"/>
      <c r="F3741" s="46" t="s">
        <v>1922</v>
      </c>
      <c r="G3741" s="46" t="s">
        <v>1607</v>
      </c>
      <c r="H3741" s="46" t="s">
        <v>289</v>
      </c>
      <c r="I3741" s="46">
        <v>0.5</v>
      </c>
      <c r="J3741" s="47">
        <v>80</v>
      </c>
      <c r="K3741" s="47">
        <v>0</v>
      </c>
      <c r="L3741" s="48">
        <v>0</v>
      </c>
      <c r="M3741" s="46"/>
      <c r="N3741" s="46"/>
      <c r="O3741" s="48"/>
      <c r="P3741" s="48"/>
      <c r="Q3741" s="47">
        <v>40</v>
      </c>
      <c r="R3741" s="21">
        <v>0</v>
      </c>
      <c r="S3741" s="5">
        <f t="shared" si="235"/>
        <v>55942.143997470841</v>
      </c>
      <c r="T3741" cm="1">
        <f t="array" ref="T3741">IF(OR(B3741="MAL ALIMI", B3741="ÜRETİM GİRİŞ"), MIN(I3741, MAX(0, I3741 + SUM(SUMIFS($I$1:I3740, $C$1:C3740, C3741, $B$1:B3740, {"MAL ALIMI","ÜRETİM GİRİŞ"})) - VLOOKUP(C3741, 'STOK RAPORU'!$C$2:$I$1000, 4, 0))), 0)</f>
        <v>0</v>
      </c>
      <c r="U3741" s="22">
        <f t="shared" si="232"/>
        <v>0</v>
      </c>
      <c r="V3741">
        <f t="shared" si="233"/>
        <v>0</v>
      </c>
      <c r="W3741" s="22">
        <f t="shared" si="234"/>
        <v>0</v>
      </c>
    </row>
    <row r="3742" spans="1:23" hidden="1" x14ac:dyDescent="0.25">
      <c r="A3742" s="45">
        <v>46055</v>
      </c>
      <c r="B3742" s="46" t="s">
        <v>334</v>
      </c>
      <c r="C3742" s="4" t="s">
        <v>1024</v>
      </c>
      <c r="D3742" s="4"/>
      <c r="E3742" s="4"/>
      <c r="F3742" s="46" t="s">
        <v>1928</v>
      </c>
      <c r="G3742" s="46" t="s">
        <v>336</v>
      </c>
      <c r="H3742" s="46" t="s">
        <v>289</v>
      </c>
      <c r="I3742" s="4">
        <v>1.5386</v>
      </c>
      <c r="J3742" s="21">
        <v>65</v>
      </c>
      <c r="K3742" s="21">
        <v>0</v>
      </c>
      <c r="L3742" s="5">
        <v>0</v>
      </c>
      <c r="M3742" s="4"/>
      <c r="N3742" s="4"/>
      <c r="O3742" s="5"/>
      <c r="P3742" s="5"/>
      <c r="Q3742" s="21">
        <v>100.009</v>
      </c>
      <c r="R3742" s="21">
        <v>0</v>
      </c>
      <c r="S3742" s="5">
        <f t="shared" si="235"/>
        <v>56042.152997470839</v>
      </c>
      <c r="T3742" cm="1">
        <f t="array" ref="T3742">IF(OR(B3742="MAL ALIMI", B3742="ÜRETİM GİRİŞ"), MIN(I3742, MAX(0, I3742 + SUM(SUMIFS($I$1:I3741, $C$1:C3741, C3742, $B$1:B3741, {"MAL ALIMI","ÜRETİM GİRİŞ"})) - VLOOKUP(C3742, 'STOK RAPORU'!$C$2:$I$1000, 4, 0))), 0)</f>
        <v>0</v>
      </c>
      <c r="U3742" s="22">
        <f t="shared" si="232"/>
        <v>0</v>
      </c>
      <c r="V3742">
        <f t="shared" si="233"/>
        <v>0</v>
      </c>
      <c r="W3742" s="22">
        <f t="shared" si="234"/>
        <v>0</v>
      </c>
    </row>
    <row r="3743" spans="1:23" hidden="1" x14ac:dyDescent="0.25">
      <c r="A3743" s="45">
        <v>46055</v>
      </c>
      <c r="B3743" s="46" t="s">
        <v>334</v>
      </c>
      <c r="C3743" s="4" t="s">
        <v>241</v>
      </c>
      <c r="D3743" s="4"/>
      <c r="E3743" s="4"/>
      <c r="F3743" s="46" t="s">
        <v>1929</v>
      </c>
      <c r="G3743" s="46" t="s">
        <v>336</v>
      </c>
      <c r="H3743" s="46" t="s">
        <v>289</v>
      </c>
      <c r="I3743" s="4">
        <v>0.27906976744186046</v>
      </c>
      <c r="J3743" s="21">
        <v>430</v>
      </c>
      <c r="K3743" s="21">
        <v>0</v>
      </c>
      <c r="L3743" s="5">
        <v>0</v>
      </c>
      <c r="M3743" s="4"/>
      <c r="N3743" s="4"/>
      <c r="O3743" s="5"/>
      <c r="P3743" s="5"/>
      <c r="Q3743" s="21">
        <v>120</v>
      </c>
      <c r="R3743" s="21">
        <v>0</v>
      </c>
      <c r="S3743" s="5">
        <f t="shared" si="235"/>
        <v>56162.152997470839</v>
      </c>
      <c r="T3743" cm="1">
        <f t="array" ref="T3743">IF(OR(B3743="MAL ALIMI", B3743="ÜRETİM GİRİŞ"), MIN(I3743, MAX(0, I3743 + SUM(SUMIFS($I$1:I3742, $C$1:C3742, C3743, $B$1:B3742, {"MAL ALIMI","ÜRETİM GİRİŞ"})) - VLOOKUP(C3743, 'STOK RAPORU'!$C$2:$I$1000, 4, 0))), 0)</f>
        <v>0</v>
      </c>
      <c r="U3743" s="22">
        <f t="shared" si="232"/>
        <v>0</v>
      </c>
      <c r="V3743">
        <f t="shared" si="233"/>
        <v>0</v>
      </c>
      <c r="W3743" s="22">
        <f t="shared" si="234"/>
        <v>0</v>
      </c>
    </row>
    <row r="3744" spans="1:23" hidden="1" x14ac:dyDescent="0.25">
      <c r="A3744" s="45">
        <v>46055</v>
      </c>
      <c r="B3744" s="46" t="s">
        <v>334</v>
      </c>
      <c r="C3744" s="4" t="s">
        <v>1371</v>
      </c>
      <c r="D3744" s="4"/>
      <c r="E3744" s="4"/>
      <c r="F3744" s="46" t="s">
        <v>1930</v>
      </c>
      <c r="G3744" s="46" t="s">
        <v>336</v>
      </c>
      <c r="H3744" s="46" t="s">
        <v>289</v>
      </c>
      <c r="I3744" s="4">
        <v>1</v>
      </c>
      <c r="J3744" s="21">
        <v>220</v>
      </c>
      <c r="K3744" s="21">
        <v>0</v>
      </c>
      <c r="L3744" s="5">
        <v>0</v>
      </c>
      <c r="M3744" s="4"/>
      <c r="N3744" s="4"/>
      <c r="O3744" s="5"/>
      <c r="P3744" s="5"/>
      <c r="Q3744" s="21">
        <v>220</v>
      </c>
      <c r="R3744" s="21">
        <v>0</v>
      </c>
      <c r="S3744" s="5">
        <f t="shared" si="235"/>
        <v>56382.152997470839</v>
      </c>
      <c r="T3744" cm="1">
        <f t="array" ref="T3744">IF(OR(B3744="MAL ALIMI", B3744="ÜRETİM GİRİŞ"), MIN(I3744, MAX(0, I3744 + SUM(SUMIFS($I$1:I3743, $C$1:C3743, C3744, $B$1:B3743, {"MAL ALIMI","ÜRETİM GİRİŞ"})) - VLOOKUP(C3744, 'STOK RAPORU'!$C$2:$I$1000, 4, 0))), 0)</f>
        <v>0</v>
      </c>
      <c r="U3744" s="22">
        <f t="shared" si="232"/>
        <v>0</v>
      </c>
      <c r="V3744">
        <f t="shared" si="233"/>
        <v>0</v>
      </c>
      <c r="W3744" s="22">
        <f t="shared" si="234"/>
        <v>0</v>
      </c>
    </row>
    <row r="3745" spans="1:23" hidden="1" x14ac:dyDescent="0.25">
      <c r="A3745" s="45">
        <v>46055</v>
      </c>
      <c r="B3745" s="46" t="s">
        <v>334</v>
      </c>
      <c r="C3745" s="4" t="s">
        <v>160</v>
      </c>
      <c r="D3745" s="4"/>
      <c r="E3745" s="4" t="s">
        <v>921</v>
      </c>
      <c r="F3745" s="46" t="s">
        <v>1931</v>
      </c>
      <c r="G3745" s="46" t="s">
        <v>336</v>
      </c>
      <c r="H3745" s="46" t="s">
        <v>380</v>
      </c>
      <c r="I3745" s="4">
        <v>1</v>
      </c>
      <c r="J3745" s="21">
        <v>250</v>
      </c>
      <c r="K3745" s="21">
        <v>250</v>
      </c>
      <c r="L3745" s="5">
        <v>0</v>
      </c>
      <c r="M3745" s="4"/>
      <c r="N3745" s="4"/>
      <c r="O3745" s="5"/>
      <c r="P3745" s="5"/>
      <c r="Q3745" s="21">
        <v>0</v>
      </c>
      <c r="R3745" s="21">
        <v>0</v>
      </c>
      <c r="S3745" s="5">
        <f t="shared" si="235"/>
        <v>56382.152997470839</v>
      </c>
      <c r="T3745" cm="1">
        <f t="array" ref="T3745">IF(OR(B3745="MAL ALIMI", B3745="ÜRETİM GİRİŞ"), MIN(I3745, MAX(0, I3745 + SUM(SUMIFS($I$1:I3744, $C$1:C3744, C3745, $B$1:B3744, {"MAL ALIMI","ÜRETİM GİRİŞ"})) - VLOOKUP(C3745, 'STOK RAPORU'!$C$2:$I$1000, 4, 0))), 0)</f>
        <v>0</v>
      </c>
      <c r="U3745" s="22">
        <f t="shared" si="232"/>
        <v>0</v>
      </c>
      <c r="V3745">
        <f t="shared" si="233"/>
        <v>0</v>
      </c>
      <c r="W3745" s="22">
        <f t="shared" si="234"/>
        <v>0</v>
      </c>
    </row>
    <row r="3746" spans="1:23" hidden="1" x14ac:dyDescent="0.25">
      <c r="A3746" s="45">
        <v>46055</v>
      </c>
      <c r="B3746" s="46" t="s">
        <v>334</v>
      </c>
      <c r="C3746" s="4" t="s">
        <v>161</v>
      </c>
      <c r="D3746" s="4"/>
      <c r="E3746" s="4" t="s">
        <v>921</v>
      </c>
      <c r="F3746" s="46" t="s">
        <v>1931</v>
      </c>
      <c r="G3746" s="46" t="s">
        <v>336</v>
      </c>
      <c r="H3746" s="46" t="s">
        <v>380</v>
      </c>
      <c r="I3746" s="4">
        <v>1</v>
      </c>
      <c r="J3746" s="21">
        <v>230</v>
      </c>
      <c r="K3746" s="21">
        <v>230</v>
      </c>
      <c r="L3746" s="5">
        <v>0</v>
      </c>
      <c r="M3746" s="4"/>
      <c r="N3746" s="4"/>
      <c r="O3746" s="5"/>
      <c r="P3746" s="5"/>
      <c r="Q3746" s="21">
        <v>0</v>
      </c>
      <c r="R3746" s="21">
        <v>0</v>
      </c>
      <c r="S3746" s="5">
        <f t="shared" si="235"/>
        <v>56382.152997470839</v>
      </c>
      <c r="T3746" cm="1">
        <f t="array" ref="T3746">IF(OR(B3746="MAL ALIMI", B3746="ÜRETİM GİRİŞ"), MIN(I3746, MAX(0, I3746 + SUM(SUMIFS($I$1:I3745, $C$1:C3745, C3746, $B$1:B3745, {"MAL ALIMI","ÜRETİM GİRİŞ"})) - VLOOKUP(C3746, 'STOK RAPORU'!$C$2:$I$1000, 4, 0))), 0)</f>
        <v>0</v>
      </c>
      <c r="U3746" s="22">
        <f t="shared" si="232"/>
        <v>0</v>
      </c>
      <c r="V3746">
        <f t="shared" si="233"/>
        <v>0</v>
      </c>
      <c r="W3746" s="22">
        <f t="shared" si="234"/>
        <v>0</v>
      </c>
    </row>
    <row r="3747" spans="1:23" hidden="1" x14ac:dyDescent="0.25">
      <c r="A3747" s="45">
        <v>46055</v>
      </c>
      <c r="B3747" s="46" t="s">
        <v>334</v>
      </c>
      <c r="C3747" s="4" t="s">
        <v>236</v>
      </c>
      <c r="D3747" s="4"/>
      <c r="E3747" s="4"/>
      <c r="F3747" s="46" t="s">
        <v>1932</v>
      </c>
      <c r="G3747" s="46" t="s">
        <v>336</v>
      </c>
      <c r="H3747" s="46" t="s">
        <v>289</v>
      </c>
      <c r="I3747" s="4">
        <v>0.51</v>
      </c>
      <c r="J3747" s="21">
        <v>350</v>
      </c>
      <c r="K3747" s="21">
        <v>0</v>
      </c>
      <c r="L3747" s="5">
        <v>0</v>
      </c>
      <c r="M3747" s="4"/>
      <c r="N3747" s="4"/>
      <c r="O3747" s="5"/>
      <c r="P3747" s="5"/>
      <c r="Q3747" s="21">
        <v>178.5</v>
      </c>
      <c r="R3747" s="21">
        <v>0</v>
      </c>
      <c r="S3747" s="5">
        <f t="shared" si="235"/>
        <v>56560.652997470839</v>
      </c>
      <c r="T3747" cm="1">
        <f t="array" ref="T3747">IF(OR(B3747="MAL ALIMI", B3747="ÜRETİM GİRİŞ"), MIN(I3747, MAX(0, I3747 + SUM(SUMIFS($I$1:I3746, $C$1:C3746, C3747, $B$1:B3746, {"MAL ALIMI","ÜRETİM GİRİŞ"})) - VLOOKUP(C3747, 'STOK RAPORU'!$C$2:$I$1000, 4, 0))), 0)</f>
        <v>0</v>
      </c>
      <c r="U3747" s="22">
        <f t="shared" si="232"/>
        <v>0</v>
      </c>
      <c r="V3747">
        <f t="shared" si="233"/>
        <v>0</v>
      </c>
      <c r="W3747" s="22">
        <f t="shared" si="234"/>
        <v>0</v>
      </c>
    </row>
    <row r="3748" spans="1:23" hidden="1" x14ac:dyDescent="0.25">
      <c r="A3748" s="45">
        <v>46055</v>
      </c>
      <c r="B3748" s="46" t="s">
        <v>334</v>
      </c>
      <c r="C3748" s="4" t="s">
        <v>160</v>
      </c>
      <c r="D3748" s="4"/>
      <c r="E3748" s="4" t="s">
        <v>921</v>
      </c>
      <c r="F3748" s="46" t="s">
        <v>1933</v>
      </c>
      <c r="G3748" s="46" t="s">
        <v>336</v>
      </c>
      <c r="H3748" s="46" t="s">
        <v>380</v>
      </c>
      <c r="I3748" s="4">
        <v>1</v>
      </c>
      <c r="J3748" s="21">
        <v>250</v>
      </c>
      <c r="K3748" s="21">
        <v>250</v>
      </c>
      <c r="L3748" s="5">
        <v>0</v>
      </c>
      <c r="M3748" s="4"/>
      <c r="N3748" s="4"/>
      <c r="O3748" s="5"/>
      <c r="P3748" s="5"/>
      <c r="Q3748" s="21">
        <v>0</v>
      </c>
      <c r="R3748" s="21">
        <v>0</v>
      </c>
      <c r="S3748" s="5">
        <f t="shared" si="235"/>
        <v>56560.652997470839</v>
      </c>
      <c r="T3748" cm="1">
        <f t="array" ref="T3748">IF(OR(B3748="MAL ALIMI", B3748="ÜRETİM GİRİŞ"), MIN(I3748, MAX(0, I3748 + SUM(SUMIFS($I$1:I3747, $C$1:C3747, C3748, $B$1:B3747, {"MAL ALIMI","ÜRETİM GİRİŞ"})) - VLOOKUP(C3748, 'STOK RAPORU'!$C$2:$I$1000, 4, 0))), 0)</f>
        <v>0</v>
      </c>
      <c r="U3748" s="22">
        <f t="shared" si="232"/>
        <v>0</v>
      </c>
      <c r="V3748">
        <f t="shared" si="233"/>
        <v>0</v>
      </c>
      <c r="W3748" s="22">
        <f t="shared" si="234"/>
        <v>0</v>
      </c>
    </row>
    <row r="3749" spans="1:23" hidden="1" x14ac:dyDescent="0.25">
      <c r="A3749" s="45">
        <v>46055</v>
      </c>
      <c r="B3749" s="46" t="s">
        <v>334</v>
      </c>
      <c r="C3749" s="4" t="s">
        <v>161</v>
      </c>
      <c r="D3749" s="4"/>
      <c r="E3749" s="4" t="s">
        <v>921</v>
      </c>
      <c r="F3749" s="46" t="s">
        <v>1933</v>
      </c>
      <c r="G3749" s="46" t="s">
        <v>336</v>
      </c>
      <c r="H3749" s="46" t="s">
        <v>380</v>
      </c>
      <c r="I3749" s="4">
        <v>1</v>
      </c>
      <c r="J3749" s="21">
        <v>230</v>
      </c>
      <c r="K3749" s="21">
        <v>230</v>
      </c>
      <c r="L3749" s="5">
        <v>0</v>
      </c>
      <c r="M3749" s="4"/>
      <c r="N3749" s="4"/>
      <c r="O3749" s="5"/>
      <c r="P3749" s="5"/>
      <c r="Q3749" s="21">
        <v>0</v>
      </c>
      <c r="R3749" s="21">
        <v>0</v>
      </c>
      <c r="S3749" s="5">
        <f t="shared" si="235"/>
        <v>56560.652997470839</v>
      </c>
      <c r="T3749" cm="1">
        <f t="array" ref="T3749">IF(OR(B3749="MAL ALIMI", B3749="ÜRETİM GİRİŞ"), MIN(I3749, MAX(0, I3749 + SUM(SUMIFS($I$1:I3748, $C$1:C3748, C3749, $B$1:B3748, {"MAL ALIMI","ÜRETİM GİRİŞ"})) - VLOOKUP(C3749, 'STOK RAPORU'!$C$2:$I$1000, 4, 0))), 0)</f>
        <v>0</v>
      </c>
      <c r="U3749" s="22">
        <f t="shared" si="232"/>
        <v>0</v>
      </c>
      <c r="V3749">
        <f t="shared" si="233"/>
        <v>0</v>
      </c>
      <c r="W3749" s="22">
        <f t="shared" si="234"/>
        <v>0</v>
      </c>
    </row>
    <row r="3750" spans="1:23" hidden="1" x14ac:dyDescent="0.25">
      <c r="A3750" s="45">
        <v>46055</v>
      </c>
      <c r="B3750" s="46" t="s">
        <v>334</v>
      </c>
      <c r="C3750" s="46" t="s">
        <v>585</v>
      </c>
      <c r="D3750" s="4"/>
      <c r="E3750" s="4" t="s">
        <v>921</v>
      </c>
      <c r="F3750" s="46" t="s">
        <v>1933</v>
      </c>
      <c r="G3750" s="46" t="s">
        <v>336</v>
      </c>
      <c r="H3750" s="46" t="s">
        <v>380</v>
      </c>
      <c r="I3750" s="4">
        <v>1</v>
      </c>
      <c r="J3750" s="21">
        <v>200</v>
      </c>
      <c r="K3750" s="21">
        <v>200</v>
      </c>
      <c r="L3750" s="5">
        <v>0</v>
      </c>
      <c r="M3750" s="4"/>
      <c r="N3750" s="4"/>
      <c r="O3750" s="5"/>
      <c r="P3750" s="5"/>
      <c r="Q3750" s="21">
        <v>0</v>
      </c>
      <c r="R3750" s="21">
        <v>0</v>
      </c>
      <c r="S3750" s="5">
        <f t="shared" si="235"/>
        <v>56560.652997470839</v>
      </c>
      <c r="T3750" cm="1">
        <f t="array" ref="T3750">IF(OR(B3750="MAL ALIMI", B3750="ÜRETİM GİRİŞ"), MIN(I3750, MAX(0, I3750 + SUM(SUMIFS($I$1:I3749, $C$1:C3749, C3750, $B$1:B3749, {"MAL ALIMI","ÜRETİM GİRİŞ"})) - VLOOKUP(C3750, 'STOK RAPORU'!$C$2:$I$1000, 4, 0))), 0)</f>
        <v>0</v>
      </c>
      <c r="U3750" s="22">
        <f t="shared" si="232"/>
        <v>0</v>
      </c>
      <c r="V3750">
        <f t="shared" si="233"/>
        <v>0</v>
      </c>
      <c r="W3750" s="22">
        <f t="shared" si="234"/>
        <v>0</v>
      </c>
    </row>
    <row r="3751" spans="1:23" hidden="1" x14ac:dyDescent="0.25">
      <c r="A3751" s="45">
        <v>46055</v>
      </c>
      <c r="B3751" s="46" t="s">
        <v>334</v>
      </c>
      <c r="C3751" s="4" t="s">
        <v>126</v>
      </c>
      <c r="D3751" s="4"/>
      <c r="E3751" s="4" t="s">
        <v>921</v>
      </c>
      <c r="F3751" s="46" t="s">
        <v>1933</v>
      </c>
      <c r="G3751" s="46" t="s">
        <v>336</v>
      </c>
      <c r="H3751" s="46" t="s">
        <v>380</v>
      </c>
      <c r="I3751" s="4">
        <v>0.15384615384615385</v>
      </c>
      <c r="J3751" s="21">
        <v>650</v>
      </c>
      <c r="K3751" s="21">
        <v>100</v>
      </c>
      <c r="L3751" s="5">
        <v>0</v>
      </c>
      <c r="M3751" s="4"/>
      <c r="N3751" s="4"/>
      <c r="O3751" s="5"/>
      <c r="P3751" s="5"/>
      <c r="Q3751" s="21">
        <v>0</v>
      </c>
      <c r="R3751" s="21">
        <v>0</v>
      </c>
      <c r="S3751" s="5">
        <f t="shared" si="235"/>
        <v>56560.652997470839</v>
      </c>
      <c r="T3751" cm="1">
        <f t="array" ref="T3751">IF(OR(B3751="MAL ALIMI", B3751="ÜRETİM GİRİŞ"), MIN(I3751, MAX(0, I3751 + SUM(SUMIFS($I$1:I3750, $C$1:C3750, C3751, $B$1:B3750, {"MAL ALIMI","ÜRETİM GİRİŞ"})) - VLOOKUP(C3751, 'STOK RAPORU'!$C$2:$I$1000, 4, 0))), 0)</f>
        <v>0</v>
      </c>
      <c r="U3751" s="22">
        <f t="shared" si="232"/>
        <v>0</v>
      </c>
      <c r="V3751">
        <f t="shared" si="233"/>
        <v>0</v>
      </c>
      <c r="W3751" s="22">
        <f t="shared" si="234"/>
        <v>0</v>
      </c>
    </row>
    <row r="3752" spans="1:23" hidden="1" x14ac:dyDescent="0.25">
      <c r="A3752" s="45">
        <v>46055</v>
      </c>
      <c r="B3752" s="46" t="s">
        <v>334</v>
      </c>
      <c r="C3752" s="4" t="s">
        <v>133</v>
      </c>
      <c r="D3752" s="4"/>
      <c r="E3752" s="4" t="s">
        <v>921</v>
      </c>
      <c r="F3752" s="46" t="s">
        <v>1933</v>
      </c>
      <c r="G3752" s="46" t="s">
        <v>336</v>
      </c>
      <c r="H3752" s="46" t="s">
        <v>380</v>
      </c>
      <c r="I3752" s="4">
        <v>0.25</v>
      </c>
      <c r="J3752" s="21">
        <v>400</v>
      </c>
      <c r="K3752" s="21">
        <v>100</v>
      </c>
      <c r="L3752" s="5">
        <v>0</v>
      </c>
      <c r="M3752" s="4"/>
      <c r="N3752" s="4"/>
      <c r="O3752" s="5"/>
      <c r="P3752" s="5"/>
      <c r="Q3752" s="21">
        <v>0</v>
      </c>
      <c r="R3752" s="21">
        <v>0</v>
      </c>
      <c r="S3752" s="5">
        <f t="shared" si="235"/>
        <v>56560.652997470839</v>
      </c>
      <c r="T3752" cm="1">
        <f t="array" ref="T3752">IF(OR(B3752="MAL ALIMI", B3752="ÜRETİM GİRİŞ"), MIN(I3752, MAX(0, I3752 + SUM(SUMIFS($I$1:I3751, $C$1:C3751, C3752, $B$1:B3751, {"MAL ALIMI","ÜRETİM GİRİŞ"})) - VLOOKUP(C3752, 'STOK RAPORU'!$C$2:$I$1000, 4, 0))), 0)</f>
        <v>0</v>
      </c>
      <c r="U3752" s="22">
        <f t="shared" si="232"/>
        <v>0</v>
      </c>
      <c r="V3752">
        <f t="shared" si="233"/>
        <v>0</v>
      </c>
      <c r="W3752" s="22">
        <f t="shared" si="234"/>
        <v>0</v>
      </c>
    </row>
    <row r="3753" spans="1:23" hidden="1" x14ac:dyDescent="0.25">
      <c r="A3753" s="45">
        <v>46055</v>
      </c>
      <c r="B3753" s="46" t="s">
        <v>334</v>
      </c>
      <c r="C3753" s="4" t="s">
        <v>219</v>
      </c>
      <c r="D3753" s="4"/>
      <c r="E3753" s="4"/>
      <c r="F3753" s="46" t="s">
        <v>1933</v>
      </c>
      <c r="G3753" s="46" t="s">
        <v>336</v>
      </c>
      <c r="H3753" s="46" t="s">
        <v>289</v>
      </c>
      <c r="I3753" s="4">
        <v>2.5000000000000001E-2</v>
      </c>
      <c r="J3753" s="21">
        <v>2000</v>
      </c>
      <c r="K3753" s="21">
        <v>0</v>
      </c>
      <c r="L3753" s="5">
        <v>0</v>
      </c>
      <c r="M3753" s="4"/>
      <c r="N3753" s="4"/>
      <c r="O3753" s="5"/>
      <c r="P3753" s="5"/>
      <c r="Q3753" s="21">
        <v>50</v>
      </c>
      <c r="R3753" s="21">
        <v>0</v>
      </c>
      <c r="S3753" s="5">
        <f t="shared" si="235"/>
        <v>56610.652997470839</v>
      </c>
      <c r="T3753" cm="1">
        <f t="array" ref="T3753">IF(OR(B3753="MAL ALIMI", B3753="ÜRETİM GİRİŞ"), MIN(I3753, MAX(0, I3753 + SUM(SUMIFS($I$1:I3752, $C$1:C3752, C3753, $B$1:B3752, {"MAL ALIMI","ÜRETİM GİRİŞ"})) - VLOOKUP(C3753, 'STOK RAPORU'!$C$2:$I$1000, 4, 0))), 0)</f>
        <v>0</v>
      </c>
      <c r="U3753" s="22">
        <f t="shared" si="232"/>
        <v>0</v>
      </c>
      <c r="V3753">
        <f t="shared" si="233"/>
        <v>0</v>
      </c>
      <c r="W3753" s="22">
        <f t="shared" si="234"/>
        <v>0</v>
      </c>
    </row>
    <row r="3754" spans="1:23" hidden="1" x14ac:dyDescent="0.25">
      <c r="A3754" s="45">
        <v>46055</v>
      </c>
      <c r="B3754" s="46" t="s">
        <v>334</v>
      </c>
      <c r="C3754" s="4" t="s">
        <v>213</v>
      </c>
      <c r="D3754" s="4"/>
      <c r="E3754" s="4"/>
      <c r="F3754" s="46" t="s">
        <v>1933</v>
      </c>
      <c r="G3754" s="46" t="s">
        <v>336</v>
      </c>
      <c r="H3754" s="46" t="s">
        <v>289</v>
      </c>
      <c r="I3754" s="4">
        <v>3.5714285714285712E-2</v>
      </c>
      <c r="J3754" s="21">
        <v>1400</v>
      </c>
      <c r="K3754" s="21">
        <v>0</v>
      </c>
      <c r="L3754" s="5">
        <v>0</v>
      </c>
      <c r="M3754" s="4"/>
      <c r="N3754" s="4"/>
      <c r="O3754" s="5"/>
      <c r="P3754" s="5"/>
      <c r="Q3754" s="21">
        <v>50</v>
      </c>
      <c r="R3754" s="21">
        <v>0</v>
      </c>
      <c r="S3754" s="5">
        <f t="shared" si="235"/>
        <v>56660.652997470839</v>
      </c>
      <c r="T3754" cm="1">
        <f t="array" ref="T3754">IF(OR(B3754="MAL ALIMI", B3754="ÜRETİM GİRİŞ"), MIN(I3754, MAX(0, I3754 + SUM(SUMIFS($I$1:I3753, $C$1:C3753, C3754, $B$1:B3753, {"MAL ALIMI","ÜRETİM GİRİŞ"})) - VLOOKUP(C3754, 'STOK RAPORU'!$C$2:$I$1000, 4, 0))), 0)</f>
        <v>0</v>
      </c>
      <c r="U3754" s="22">
        <f t="shared" si="232"/>
        <v>0</v>
      </c>
      <c r="V3754">
        <f t="shared" si="233"/>
        <v>0</v>
      </c>
      <c r="W3754" s="22">
        <f t="shared" si="234"/>
        <v>0</v>
      </c>
    </row>
    <row r="3755" spans="1:23" hidden="1" x14ac:dyDescent="0.25">
      <c r="A3755" s="45">
        <v>46055</v>
      </c>
      <c r="B3755" s="46" t="s">
        <v>334</v>
      </c>
      <c r="C3755" s="4" t="s">
        <v>236</v>
      </c>
      <c r="D3755" s="4"/>
      <c r="E3755" s="4"/>
      <c r="F3755" s="46" t="s">
        <v>1934</v>
      </c>
      <c r="G3755" s="46" t="s">
        <v>336</v>
      </c>
      <c r="H3755" s="46" t="s">
        <v>289</v>
      </c>
      <c r="I3755" s="4">
        <v>0.14299999999999999</v>
      </c>
      <c r="J3755" s="21">
        <v>350</v>
      </c>
      <c r="K3755" s="21">
        <v>0</v>
      </c>
      <c r="L3755" s="5">
        <v>0</v>
      </c>
      <c r="M3755" s="4"/>
      <c r="N3755" s="4"/>
      <c r="O3755" s="5"/>
      <c r="P3755" s="5"/>
      <c r="Q3755" s="21">
        <v>50.05</v>
      </c>
      <c r="R3755" s="21">
        <v>0</v>
      </c>
      <c r="S3755" s="5">
        <f t="shared" si="235"/>
        <v>56710.702997470842</v>
      </c>
      <c r="T3755" cm="1">
        <f t="array" ref="T3755">IF(OR(B3755="MAL ALIMI", B3755="ÜRETİM GİRİŞ"), MIN(I3755, MAX(0, I3755 + SUM(SUMIFS($I$1:I3754, $C$1:C3754, C3755, $B$1:B3754, {"MAL ALIMI","ÜRETİM GİRİŞ"})) - VLOOKUP(C3755, 'STOK RAPORU'!$C$2:$I$1000, 4, 0))), 0)</f>
        <v>0</v>
      </c>
      <c r="U3755" s="22">
        <f t="shared" si="232"/>
        <v>0</v>
      </c>
      <c r="V3755">
        <f t="shared" si="233"/>
        <v>0</v>
      </c>
      <c r="W3755" s="22">
        <f t="shared" si="234"/>
        <v>0</v>
      </c>
    </row>
    <row r="3756" spans="1:23" hidden="1" x14ac:dyDescent="0.25">
      <c r="A3756" s="3">
        <v>46055</v>
      </c>
      <c r="B3756" s="4" t="s">
        <v>285</v>
      </c>
      <c r="C3756" s="4"/>
      <c r="D3756" s="4" t="s">
        <v>108</v>
      </c>
      <c r="E3756" s="4"/>
      <c r="F3756" s="4"/>
      <c r="G3756" s="4" t="s">
        <v>3272</v>
      </c>
      <c r="H3756" s="4" t="s">
        <v>289</v>
      </c>
      <c r="I3756" s="4">
        <v>1</v>
      </c>
      <c r="J3756" s="21">
        <v>22000</v>
      </c>
      <c r="K3756" s="21">
        <v>0</v>
      </c>
      <c r="L3756" s="5">
        <v>0</v>
      </c>
      <c r="M3756" s="4"/>
      <c r="N3756" s="4"/>
      <c r="O3756" s="5"/>
      <c r="P3756" s="5"/>
      <c r="Q3756" s="21">
        <v>0</v>
      </c>
      <c r="R3756" s="21">
        <v>22000</v>
      </c>
      <c r="S3756" s="5">
        <f t="shared" si="235"/>
        <v>34710.702997470842</v>
      </c>
      <c r="T3756" cm="1">
        <f t="array" ref="T3756">IF(OR(B3756="MAL ALIMI", B3756="ÜRETİM GİRİŞ"), MIN(I3756, MAX(0, I3756 + SUM(SUMIFS($I$1:I3755, $C$1:C3755, C3756, $B$1:B3755, {"MAL ALIMI","ÜRETİM GİRİŞ"})) - VLOOKUP(C3756, 'STOK RAPORU'!$C$2:$I$1000, 4, 0))), 0)</f>
        <v>0</v>
      </c>
      <c r="U3756" s="22">
        <f t="shared" si="232"/>
        <v>0</v>
      </c>
      <c r="V3756">
        <f t="shared" si="233"/>
        <v>0</v>
      </c>
      <c r="W3756" s="22">
        <f t="shared" si="234"/>
        <v>0</v>
      </c>
    </row>
    <row r="3757" spans="1:23" hidden="1" x14ac:dyDescent="0.25">
      <c r="A3757" s="45">
        <v>46056</v>
      </c>
      <c r="B3757" s="46" t="s">
        <v>334</v>
      </c>
      <c r="C3757" s="4" t="s">
        <v>1501</v>
      </c>
      <c r="D3757" s="4"/>
      <c r="E3757" s="4" t="s">
        <v>921</v>
      </c>
      <c r="F3757" s="46" t="s">
        <v>1935</v>
      </c>
      <c r="G3757" s="46" t="s">
        <v>336</v>
      </c>
      <c r="H3757" s="46" t="s">
        <v>380</v>
      </c>
      <c r="I3757" s="4">
        <v>0.5</v>
      </c>
      <c r="J3757" s="21">
        <v>600</v>
      </c>
      <c r="K3757" s="21">
        <v>300</v>
      </c>
      <c r="L3757" s="5">
        <v>0</v>
      </c>
      <c r="M3757" s="4"/>
      <c r="N3757" s="4"/>
      <c r="O3757" s="5"/>
      <c r="P3757" s="5"/>
      <c r="Q3757" s="21">
        <v>0</v>
      </c>
      <c r="R3757" s="21">
        <v>0</v>
      </c>
      <c r="S3757" s="5">
        <f t="shared" si="235"/>
        <v>34710.702997470842</v>
      </c>
      <c r="T3757" cm="1">
        <f t="array" ref="T3757">IF(OR(B3757="MAL ALIMI", B3757="ÜRETİM GİRİŞ"), MIN(I3757, MAX(0, I3757 + SUM(SUMIFS($I$1:I3756, $C$1:C3756, C3757, $B$1:B3756, {"MAL ALIMI","ÜRETİM GİRİŞ"})) - VLOOKUP(C3757, 'STOK RAPORU'!$C$2:$I$1000, 4, 0))), 0)</f>
        <v>0</v>
      </c>
      <c r="U3757" s="22">
        <f t="shared" si="232"/>
        <v>0</v>
      </c>
      <c r="V3757">
        <f t="shared" si="233"/>
        <v>0</v>
      </c>
      <c r="W3757" s="22">
        <f t="shared" si="234"/>
        <v>0</v>
      </c>
    </row>
    <row r="3758" spans="1:23" hidden="1" x14ac:dyDescent="0.25">
      <c r="A3758" s="45">
        <v>46056</v>
      </c>
      <c r="B3758" s="46" t="s">
        <v>334</v>
      </c>
      <c r="C3758" s="4" t="s">
        <v>822</v>
      </c>
      <c r="D3758" s="4"/>
      <c r="E3758" s="4" t="s">
        <v>921</v>
      </c>
      <c r="F3758" s="46" t="s">
        <v>1935</v>
      </c>
      <c r="G3758" s="46" t="s">
        <v>336</v>
      </c>
      <c r="H3758" s="46" t="s">
        <v>380</v>
      </c>
      <c r="I3758" s="4">
        <v>1</v>
      </c>
      <c r="J3758" s="21">
        <v>170</v>
      </c>
      <c r="K3758" s="21">
        <v>170</v>
      </c>
      <c r="L3758" s="5">
        <v>0</v>
      </c>
      <c r="M3758" s="4"/>
      <c r="N3758" s="4"/>
      <c r="O3758" s="5"/>
      <c r="P3758" s="5"/>
      <c r="Q3758" s="21">
        <v>0</v>
      </c>
      <c r="R3758" s="21">
        <v>0</v>
      </c>
      <c r="S3758" s="5">
        <f t="shared" si="235"/>
        <v>34710.702997470842</v>
      </c>
      <c r="T3758" cm="1">
        <f t="array" ref="T3758">IF(OR(B3758="MAL ALIMI", B3758="ÜRETİM GİRİŞ"), MIN(I3758, MAX(0, I3758 + SUM(SUMIFS($I$1:I3757, $C$1:C3757, C3758, $B$1:B3757, {"MAL ALIMI","ÜRETİM GİRİŞ"})) - VLOOKUP(C3758, 'STOK RAPORU'!$C$2:$I$1000, 4, 0))), 0)</f>
        <v>0</v>
      </c>
      <c r="U3758" s="22">
        <f t="shared" si="232"/>
        <v>0</v>
      </c>
      <c r="V3758">
        <f t="shared" si="233"/>
        <v>0</v>
      </c>
      <c r="W3758" s="22">
        <f t="shared" si="234"/>
        <v>0</v>
      </c>
    </row>
    <row r="3759" spans="1:23" hidden="1" x14ac:dyDescent="0.25">
      <c r="A3759" s="45">
        <v>46056</v>
      </c>
      <c r="B3759" s="46" t="s">
        <v>334</v>
      </c>
      <c r="C3759" s="4" t="s">
        <v>690</v>
      </c>
      <c r="D3759" s="4"/>
      <c r="E3759" s="4" t="s">
        <v>921</v>
      </c>
      <c r="F3759" s="46" t="s">
        <v>1935</v>
      </c>
      <c r="G3759" s="46" t="s">
        <v>336</v>
      </c>
      <c r="H3759" s="46" t="s">
        <v>380</v>
      </c>
      <c r="I3759" s="4">
        <v>0.39</v>
      </c>
      <c r="J3759" s="21">
        <v>340</v>
      </c>
      <c r="K3759" s="21">
        <v>132.6</v>
      </c>
      <c r="L3759" s="5">
        <v>0</v>
      </c>
      <c r="M3759" s="4"/>
      <c r="N3759" s="4"/>
      <c r="O3759" s="5"/>
      <c r="P3759" s="5"/>
      <c r="Q3759" s="21">
        <v>0</v>
      </c>
      <c r="R3759" s="21">
        <v>0</v>
      </c>
      <c r="S3759" s="5">
        <f t="shared" si="235"/>
        <v>34710.702997470842</v>
      </c>
      <c r="T3759" cm="1">
        <f t="array" ref="T3759">IF(OR(B3759="MAL ALIMI", B3759="ÜRETİM GİRİŞ"), MIN(I3759, MAX(0, I3759 + SUM(SUMIFS($I$1:I3758, $C$1:C3758, C3759, $B$1:B3758, {"MAL ALIMI","ÜRETİM GİRİŞ"})) - VLOOKUP(C3759, 'STOK RAPORU'!$C$2:$I$1000, 4, 0))), 0)</f>
        <v>0</v>
      </c>
      <c r="U3759" s="22">
        <f t="shared" si="232"/>
        <v>0</v>
      </c>
      <c r="V3759">
        <f t="shared" si="233"/>
        <v>0</v>
      </c>
      <c r="W3759" s="22">
        <f t="shared" si="234"/>
        <v>0</v>
      </c>
    </row>
    <row r="3760" spans="1:23" hidden="1" x14ac:dyDescent="0.25">
      <c r="A3760" s="45">
        <v>46056</v>
      </c>
      <c r="B3760" s="46" t="s">
        <v>334</v>
      </c>
      <c r="C3760" s="4" t="s">
        <v>1391</v>
      </c>
      <c r="D3760" s="4"/>
      <c r="E3760" s="4"/>
      <c r="F3760" s="46" t="s">
        <v>1936</v>
      </c>
      <c r="G3760" s="46" t="s">
        <v>336</v>
      </c>
      <c r="H3760" s="46" t="s">
        <v>289</v>
      </c>
      <c r="I3760" s="4">
        <v>1</v>
      </c>
      <c r="J3760" s="21">
        <v>170</v>
      </c>
      <c r="K3760" s="21">
        <v>0</v>
      </c>
      <c r="L3760" s="5">
        <v>0</v>
      </c>
      <c r="M3760" s="4"/>
      <c r="N3760" s="4"/>
      <c r="O3760" s="5"/>
      <c r="P3760" s="5"/>
      <c r="Q3760" s="21">
        <v>170</v>
      </c>
      <c r="R3760" s="21">
        <v>0</v>
      </c>
      <c r="S3760" s="5">
        <f t="shared" si="235"/>
        <v>34880.702997470842</v>
      </c>
      <c r="T3760" cm="1">
        <f t="array" ref="T3760">IF(OR(B3760="MAL ALIMI", B3760="ÜRETİM GİRİŞ"), MIN(I3760, MAX(0, I3760 + SUM(SUMIFS($I$1:I3759, $C$1:C3759, C3760, $B$1:B3759, {"MAL ALIMI","ÜRETİM GİRİŞ"})) - VLOOKUP(C3760, 'STOK RAPORU'!$C$2:$I$1000, 4, 0))), 0)</f>
        <v>0</v>
      </c>
      <c r="U3760" s="22">
        <f t="shared" si="232"/>
        <v>0</v>
      </c>
      <c r="V3760">
        <f t="shared" si="233"/>
        <v>0</v>
      </c>
      <c r="W3760" s="22">
        <f t="shared" si="234"/>
        <v>0</v>
      </c>
    </row>
    <row r="3761" spans="1:23" hidden="1" x14ac:dyDescent="0.25">
      <c r="A3761" s="45">
        <v>46056</v>
      </c>
      <c r="B3761" s="46" t="s">
        <v>334</v>
      </c>
      <c r="C3761" s="4" t="s">
        <v>60</v>
      </c>
      <c r="D3761" s="4"/>
      <c r="E3761" s="4"/>
      <c r="F3761" s="46" t="s">
        <v>1936</v>
      </c>
      <c r="G3761" s="46" t="s">
        <v>336</v>
      </c>
      <c r="H3761" s="46" t="s">
        <v>289</v>
      </c>
      <c r="I3761" s="4">
        <v>0.05</v>
      </c>
      <c r="J3761" s="21">
        <v>1200</v>
      </c>
      <c r="K3761" s="21">
        <v>0</v>
      </c>
      <c r="L3761" s="5">
        <v>0</v>
      </c>
      <c r="M3761" s="4"/>
      <c r="N3761" s="4"/>
      <c r="O3761" s="5"/>
      <c r="P3761" s="5"/>
      <c r="Q3761" s="21">
        <v>60</v>
      </c>
      <c r="R3761" s="21">
        <v>0</v>
      </c>
      <c r="S3761" s="5">
        <f t="shared" si="235"/>
        <v>34940.702997470842</v>
      </c>
      <c r="T3761" cm="1">
        <f t="array" ref="T3761">IF(OR(B3761="MAL ALIMI", B3761="ÜRETİM GİRİŞ"), MIN(I3761, MAX(0, I3761 + SUM(SUMIFS($I$1:I3760, $C$1:C3760, C3761, $B$1:B3760, {"MAL ALIMI","ÜRETİM GİRİŞ"})) - VLOOKUP(C3761, 'STOK RAPORU'!$C$2:$I$1000, 4, 0))), 0)</f>
        <v>0</v>
      </c>
      <c r="U3761" s="22">
        <f t="shared" si="232"/>
        <v>0</v>
      </c>
      <c r="V3761">
        <f t="shared" si="233"/>
        <v>0</v>
      </c>
      <c r="W3761" s="22">
        <f t="shared" si="234"/>
        <v>0</v>
      </c>
    </row>
    <row r="3762" spans="1:23" hidden="1" x14ac:dyDescent="0.25">
      <c r="A3762" s="45">
        <v>46056</v>
      </c>
      <c r="B3762" s="46" t="s">
        <v>334</v>
      </c>
      <c r="C3762" s="4" t="s">
        <v>728</v>
      </c>
      <c r="D3762" s="4"/>
      <c r="E3762" s="4"/>
      <c r="F3762" s="46" t="s">
        <v>1936</v>
      </c>
      <c r="G3762" s="46" t="s">
        <v>336</v>
      </c>
      <c r="H3762" s="46" t="s">
        <v>289</v>
      </c>
      <c r="I3762" s="4">
        <v>7.2463768115942032E-2</v>
      </c>
      <c r="J3762" s="21">
        <v>690</v>
      </c>
      <c r="K3762" s="21">
        <v>0</v>
      </c>
      <c r="L3762" s="5">
        <v>0</v>
      </c>
      <c r="M3762" s="4"/>
      <c r="N3762" s="4"/>
      <c r="O3762" s="5"/>
      <c r="P3762" s="5"/>
      <c r="Q3762" s="21">
        <v>50</v>
      </c>
      <c r="R3762" s="21">
        <v>0</v>
      </c>
      <c r="S3762" s="5">
        <f t="shared" si="235"/>
        <v>34990.702997470842</v>
      </c>
      <c r="T3762" cm="1">
        <f t="array" ref="T3762">IF(OR(B3762="MAL ALIMI", B3762="ÜRETİM GİRİŞ"), MIN(I3762, MAX(0, I3762 + SUM(SUMIFS($I$1:I3761, $C$1:C3761, C3762, $B$1:B3761, {"MAL ALIMI","ÜRETİM GİRİŞ"})) - VLOOKUP(C3762, 'STOK RAPORU'!$C$2:$I$1000, 4, 0))), 0)</f>
        <v>0</v>
      </c>
      <c r="U3762" s="22">
        <f t="shared" si="232"/>
        <v>0</v>
      </c>
      <c r="V3762">
        <f t="shared" si="233"/>
        <v>0</v>
      </c>
      <c r="W3762" s="22">
        <f t="shared" si="234"/>
        <v>0</v>
      </c>
    </row>
    <row r="3763" spans="1:23" hidden="1" x14ac:dyDescent="0.25">
      <c r="A3763" s="45">
        <v>46056</v>
      </c>
      <c r="B3763" s="46" t="s">
        <v>334</v>
      </c>
      <c r="C3763" s="4" t="s">
        <v>266</v>
      </c>
      <c r="D3763" s="4"/>
      <c r="E3763" s="4"/>
      <c r="F3763" s="46" t="s">
        <v>1936</v>
      </c>
      <c r="G3763" s="46" t="s">
        <v>336</v>
      </c>
      <c r="H3763" s="46" t="s">
        <v>289</v>
      </c>
      <c r="I3763" s="4">
        <v>0.2</v>
      </c>
      <c r="J3763" s="21">
        <v>250</v>
      </c>
      <c r="K3763" s="21">
        <v>0</v>
      </c>
      <c r="L3763" s="5">
        <v>0</v>
      </c>
      <c r="M3763" s="4"/>
      <c r="N3763" s="4"/>
      <c r="O3763" s="5"/>
      <c r="P3763" s="5"/>
      <c r="Q3763" s="21">
        <v>50</v>
      </c>
      <c r="R3763" s="21">
        <v>0</v>
      </c>
      <c r="S3763" s="5">
        <f t="shared" si="235"/>
        <v>35040.702997470842</v>
      </c>
      <c r="T3763" cm="1">
        <f t="array" ref="T3763">IF(OR(B3763="MAL ALIMI", B3763="ÜRETİM GİRİŞ"), MIN(I3763, MAX(0, I3763 + SUM(SUMIFS($I$1:I3762, $C$1:C3762, C3763, $B$1:B3762, {"MAL ALIMI","ÜRETİM GİRİŞ"})) - VLOOKUP(C3763, 'STOK RAPORU'!$C$2:$I$1000, 4, 0))), 0)</f>
        <v>0</v>
      </c>
      <c r="U3763" s="22">
        <f t="shared" si="232"/>
        <v>0</v>
      </c>
      <c r="V3763">
        <f t="shared" si="233"/>
        <v>0</v>
      </c>
      <c r="W3763" s="22">
        <f t="shared" si="234"/>
        <v>0</v>
      </c>
    </row>
    <row r="3764" spans="1:23" hidden="1" x14ac:dyDescent="0.25">
      <c r="A3764" s="45">
        <v>46056</v>
      </c>
      <c r="B3764" s="46" t="s">
        <v>334</v>
      </c>
      <c r="C3764" s="4" t="s">
        <v>1357</v>
      </c>
      <c r="D3764" s="4"/>
      <c r="E3764" s="4"/>
      <c r="F3764" s="46" t="s">
        <v>1937</v>
      </c>
      <c r="G3764" s="46" t="s">
        <v>336</v>
      </c>
      <c r="H3764" s="46" t="s">
        <v>289</v>
      </c>
      <c r="I3764" s="4">
        <v>0.26400000000000001</v>
      </c>
      <c r="J3764" s="21">
        <v>570</v>
      </c>
      <c r="K3764" s="21">
        <v>0</v>
      </c>
      <c r="L3764" s="5">
        <v>0</v>
      </c>
      <c r="M3764" s="4"/>
      <c r="N3764" s="4"/>
      <c r="O3764" s="5"/>
      <c r="P3764" s="5"/>
      <c r="Q3764" s="21">
        <v>150.48000000000002</v>
      </c>
      <c r="R3764" s="21">
        <v>0</v>
      </c>
      <c r="S3764" s="5">
        <f t="shared" si="235"/>
        <v>35191.182997470845</v>
      </c>
      <c r="T3764" cm="1">
        <f t="array" ref="T3764">IF(OR(B3764="MAL ALIMI", B3764="ÜRETİM GİRİŞ"), MIN(I3764, MAX(0, I3764 + SUM(SUMIFS($I$1:I3763, $C$1:C3763, C3764, $B$1:B3763, {"MAL ALIMI","ÜRETİM GİRİŞ"})) - VLOOKUP(C3764, 'STOK RAPORU'!$C$2:$I$1000, 4, 0))), 0)</f>
        <v>0</v>
      </c>
      <c r="U3764" s="22">
        <f t="shared" si="232"/>
        <v>0</v>
      </c>
      <c r="V3764">
        <f t="shared" si="233"/>
        <v>0</v>
      </c>
      <c r="W3764" s="22">
        <f t="shared" si="234"/>
        <v>0</v>
      </c>
    </row>
    <row r="3765" spans="1:23" hidden="1" x14ac:dyDescent="0.25">
      <c r="A3765" s="45">
        <v>46056</v>
      </c>
      <c r="B3765" s="46" t="s">
        <v>334</v>
      </c>
      <c r="C3765" s="4" t="s">
        <v>728</v>
      </c>
      <c r="D3765" s="4"/>
      <c r="E3765" s="4"/>
      <c r="F3765" s="46" t="s">
        <v>1937</v>
      </c>
      <c r="G3765" s="46" t="s">
        <v>336</v>
      </c>
      <c r="H3765" s="46" t="s">
        <v>289</v>
      </c>
      <c r="I3765" s="4">
        <v>0.218</v>
      </c>
      <c r="J3765" s="21">
        <v>690</v>
      </c>
      <c r="K3765" s="21">
        <v>0</v>
      </c>
      <c r="L3765" s="5">
        <v>0</v>
      </c>
      <c r="M3765" s="4"/>
      <c r="N3765" s="4"/>
      <c r="O3765" s="5"/>
      <c r="P3765" s="5"/>
      <c r="Q3765" s="21">
        <v>150.41999999999999</v>
      </c>
      <c r="R3765" s="21">
        <v>0</v>
      </c>
      <c r="S3765" s="5">
        <f t="shared" si="235"/>
        <v>35341.602997470844</v>
      </c>
      <c r="T3765" cm="1">
        <f t="array" ref="T3765">IF(OR(B3765="MAL ALIMI", B3765="ÜRETİM GİRİŞ"), MIN(I3765, MAX(0, I3765 + SUM(SUMIFS($I$1:I3764, $C$1:C3764, C3765, $B$1:B3764, {"MAL ALIMI","ÜRETİM GİRİŞ"})) - VLOOKUP(C3765, 'STOK RAPORU'!$C$2:$I$1000, 4, 0))), 0)</f>
        <v>0</v>
      </c>
      <c r="U3765" s="22">
        <f t="shared" si="232"/>
        <v>0</v>
      </c>
      <c r="V3765">
        <f t="shared" si="233"/>
        <v>0</v>
      </c>
      <c r="W3765" s="22">
        <f t="shared" si="234"/>
        <v>0</v>
      </c>
    </row>
    <row r="3766" spans="1:23" hidden="1" x14ac:dyDescent="0.25">
      <c r="A3766" s="45">
        <v>46056</v>
      </c>
      <c r="B3766" s="46" t="s">
        <v>334</v>
      </c>
      <c r="C3766" s="4" t="s">
        <v>692</v>
      </c>
      <c r="D3766" s="4"/>
      <c r="E3766" s="4" t="s">
        <v>921</v>
      </c>
      <c r="F3766" s="46" t="s">
        <v>1938</v>
      </c>
      <c r="G3766" s="46" t="s">
        <v>336</v>
      </c>
      <c r="H3766" s="46" t="s">
        <v>380</v>
      </c>
      <c r="I3766" s="4">
        <v>0.5</v>
      </c>
      <c r="J3766" s="21">
        <v>60</v>
      </c>
      <c r="K3766" s="21">
        <v>30</v>
      </c>
      <c r="L3766" s="5">
        <v>0</v>
      </c>
      <c r="M3766" s="4"/>
      <c r="N3766" s="4"/>
      <c r="O3766" s="5"/>
      <c r="P3766" s="5"/>
      <c r="Q3766" s="21">
        <v>0</v>
      </c>
      <c r="R3766" s="21">
        <v>0</v>
      </c>
      <c r="S3766" s="5">
        <f t="shared" si="235"/>
        <v>35341.602997470844</v>
      </c>
      <c r="T3766" cm="1">
        <f t="array" ref="T3766">IF(OR(B3766="MAL ALIMI", B3766="ÜRETİM GİRİŞ"), MIN(I3766, MAX(0, I3766 + SUM(SUMIFS($I$1:I3765, $C$1:C3765, C3766, $B$1:B3765, {"MAL ALIMI","ÜRETİM GİRİŞ"})) - VLOOKUP(C3766, 'STOK RAPORU'!$C$2:$I$1000, 4, 0))), 0)</f>
        <v>0</v>
      </c>
      <c r="U3766" s="22">
        <f t="shared" si="232"/>
        <v>0</v>
      </c>
      <c r="V3766">
        <f t="shared" si="233"/>
        <v>0</v>
      </c>
      <c r="W3766" s="22">
        <f t="shared" si="234"/>
        <v>0</v>
      </c>
    </row>
    <row r="3767" spans="1:23" hidden="1" x14ac:dyDescent="0.25">
      <c r="A3767" s="45">
        <v>46056</v>
      </c>
      <c r="B3767" s="46" t="s">
        <v>334</v>
      </c>
      <c r="C3767" s="4" t="s">
        <v>524</v>
      </c>
      <c r="D3767" s="4"/>
      <c r="E3767" s="4"/>
      <c r="F3767" s="46" t="s">
        <v>1939</v>
      </c>
      <c r="G3767" s="46" t="s">
        <v>336</v>
      </c>
      <c r="H3767" s="46" t="s">
        <v>289</v>
      </c>
      <c r="I3767" s="4">
        <v>0.1</v>
      </c>
      <c r="J3767" s="21">
        <v>400</v>
      </c>
      <c r="K3767" s="21">
        <v>0</v>
      </c>
      <c r="L3767" s="5">
        <v>0</v>
      </c>
      <c r="M3767" s="4"/>
      <c r="N3767" s="4"/>
      <c r="O3767" s="5"/>
      <c r="P3767" s="5"/>
      <c r="Q3767" s="21">
        <v>40</v>
      </c>
      <c r="R3767" s="21">
        <v>0</v>
      </c>
      <c r="S3767" s="5">
        <f t="shared" si="235"/>
        <v>35381.602997470844</v>
      </c>
      <c r="T3767" cm="1">
        <f t="array" ref="T3767">IF(OR(B3767="MAL ALIMI", B3767="ÜRETİM GİRİŞ"), MIN(I3767, MAX(0, I3767 + SUM(SUMIFS($I$1:I3766, $C$1:C3766, C3767, $B$1:B3766, {"MAL ALIMI","ÜRETİM GİRİŞ"})) - VLOOKUP(C3767, 'STOK RAPORU'!$C$2:$I$1000, 4, 0))), 0)</f>
        <v>0</v>
      </c>
      <c r="U3767" s="22">
        <f t="shared" si="232"/>
        <v>0</v>
      </c>
      <c r="V3767">
        <f t="shared" si="233"/>
        <v>0</v>
      </c>
      <c r="W3767" s="22">
        <f t="shared" si="234"/>
        <v>0</v>
      </c>
    </row>
    <row r="3768" spans="1:23" hidden="1" x14ac:dyDescent="0.25">
      <c r="A3768" s="45">
        <v>46056</v>
      </c>
      <c r="B3768" s="46" t="s">
        <v>334</v>
      </c>
      <c r="C3768" s="4" t="s">
        <v>192</v>
      </c>
      <c r="D3768" s="4"/>
      <c r="E3768" s="4"/>
      <c r="F3768" s="46" t="s">
        <v>1940</v>
      </c>
      <c r="G3768" s="46" t="s">
        <v>336</v>
      </c>
      <c r="H3768" s="46" t="s">
        <v>289</v>
      </c>
      <c r="I3768" s="4">
        <v>0.12</v>
      </c>
      <c r="J3768" s="21">
        <v>417</v>
      </c>
      <c r="K3768" s="21">
        <v>0</v>
      </c>
      <c r="L3768" s="5">
        <v>0</v>
      </c>
      <c r="M3768" s="4"/>
      <c r="N3768" s="4"/>
      <c r="O3768" s="5"/>
      <c r="P3768" s="5"/>
      <c r="Q3768" s="21">
        <v>50.04</v>
      </c>
      <c r="R3768" s="21">
        <v>0</v>
      </c>
      <c r="S3768" s="5">
        <f t="shared" si="235"/>
        <v>35431.642997470844</v>
      </c>
      <c r="T3768" cm="1">
        <f t="array" ref="T3768">IF(OR(B3768="MAL ALIMI", B3768="ÜRETİM GİRİŞ"), MIN(I3768, MAX(0, I3768 + SUM(SUMIFS($I$1:I3767, $C$1:C3767, C3768, $B$1:B3767, {"MAL ALIMI","ÜRETİM GİRİŞ"})) - VLOOKUP(C3768, 'STOK RAPORU'!$C$2:$I$1000, 4, 0))), 0)</f>
        <v>0</v>
      </c>
      <c r="U3768" s="22">
        <f t="shared" si="232"/>
        <v>0</v>
      </c>
      <c r="V3768">
        <f t="shared" si="233"/>
        <v>0</v>
      </c>
      <c r="W3768" s="22">
        <f t="shared" si="234"/>
        <v>0</v>
      </c>
    </row>
    <row r="3769" spans="1:23" hidden="1" x14ac:dyDescent="0.25">
      <c r="A3769" s="45">
        <v>46056</v>
      </c>
      <c r="B3769" s="46" t="s">
        <v>334</v>
      </c>
      <c r="C3769" s="4" t="s">
        <v>157</v>
      </c>
      <c r="D3769" s="4"/>
      <c r="E3769" s="4" t="s">
        <v>921</v>
      </c>
      <c r="F3769" s="46" t="s">
        <v>1941</v>
      </c>
      <c r="G3769" s="46" t="s">
        <v>336</v>
      </c>
      <c r="H3769" s="46" t="s">
        <v>380</v>
      </c>
      <c r="I3769" s="4">
        <v>2</v>
      </c>
      <c r="J3769" s="21">
        <v>200</v>
      </c>
      <c r="K3769" s="21">
        <v>400</v>
      </c>
      <c r="L3769" s="5">
        <v>0</v>
      </c>
      <c r="M3769" s="4"/>
      <c r="N3769" s="4"/>
      <c r="O3769" s="5"/>
      <c r="P3769" s="5"/>
      <c r="Q3769" s="21">
        <v>0</v>
      </c>
      <c r="R3769" s="21">
        <v>0</v>
      </c>
      <c r="S3769" s="5">
        <f t="shared" si="235"/>
        <v>35431.642997470844</v>
      </c>
      <c r="T3769" cm="1">
        <f t="array" ref="T3769">IF(OR(B3769="MAL ALIMI", B3769="ÜRETİM GİRİŞ"), MIN(I3769, MAX(0, I3769 + SUM(SUMIFS($I$1:I3768, $C$1:C3768, C3769, $B$1:B3768, {"MAL ALIMI","ÜRETİM GİRİŞ"})) - VLOOKUP(C3769, 'STOK RAPORU'!$C$2:$I$1000, 4, 0))), 0)</f>
        <v>0</v>
      </c>
      <c r="U3769" s="22">
        <f t="shared" si="232"/>
        <v>0</v>
      </c>
      <c r="V3769">
        <f t="shared" si="233"/>
        <v>0</v>
      </c>
      <c r="W3769" s="22">
        <f t="shared" si="234"/>
        <v>0</v>
      </c>
    </row>
    <row r="3770" spans="1:23" hidden="1" x14ac:dyDescent="0.25">
      <c r="A3770" s="45">
        <v>46056</v>
      </c>
      <c r="B3770" s="46" t="s">
        <v>334</v>
      </c>
      <c r="C3770" s="4" t="s">
        <v>132</v>
      </c>
      <c r="D3770" s="4"/>
      <c r="E3770" s="4" t="s">
        <v>921</v>
      </c>
      <c r="F3770" s="46" t="s">
        <v>1942</v>
      </c>
      <c r="G3770" s="46" t="s">
        <v>439</v>
      </c>
      <c r="H3770" s="46" t="s">
        <v>380</v>
      </c>
      <c r="I3770" s="4">
        <v>2</v>
      </c>
      <c r="J3770" s="21">
        <v>325</v>
      </c>
      <c r="K3770" s="21">
        <v>650</v>
      </c>
      <c r="L3770" s="5">
        <v>0</v>
      </c>
      <c r="M3770" s="4"/>
      <c r="N3770" s="4"/>
      <c r="O3770" s="5"/>
      <c r="P3770" s="5"/>
      <c r="Q3770" s="21">
        <v>0</v>
      </c>
      <c r="R3770" s="21">
        <v>0</v>
      </c>
      <c r="S3770" s="5">
        <f t="shared" si="235"/>
        <v>35431.642997470844</v>
      </c>
      <c r="T3770" cm="1">
        <f t="array" ref="T3770">IF(OR(B3770="MAL ALIMI", B3770="ÜRETİM GİRİŞ"), MIN(I3770, MAX(0, I3770 + SUM(SUMIFS($I$1:I3769, $C$1:C3769, C3770, $B$1:B3769, {"MAL ALIMI","ÜRETİM GİRİŞ"})) - VLOOKUP(C3770, 'STOK RAPORU'!$C$2:$I$1000, 4, 0))), 0)</f>
        <v>0</v>
      </c>
      <c r="U3770" s="22">
        <f t="shared" si="232"/>
        <v>0</v>
      </c>
      <c r="V3770">
        <f t="shared" si="233"/>
        <v>0</v>
      </c>
      <c r="W3770" s="22">
        <f t="shared" si="234"/>
        <v>0</v>
      </c>
    </row>
    <row r="3771" spans="1:23" hidden="1" x14ac:dyDescent="0.25">
      <c r="A3771" s="45">
        <v>46056</v>
      </c>
      <c r="B3771" s="46" t="s">
        <v>334</v>
      </c>
      <c r="C3771" s="4" t="s">
        <v>96</v>
      </c>
      <c r="D3771" s="4"/>
      <c r="E3771" s="4" t="s">
        <v>921</v>
      </c>
      <c r="F3771" s="46" t="s">
        <v>1942</v>
      </c>
      <c r="G3771" s="46" t="s">
        <v>439</v>
      </c>
      <c r="H3771" s="46" t="s">
        <v>380</v>
      </c>
      <c r="I3771" s="4">
        <v>1</v>
      </c>
      <c r="J3771" s="21">
        <v>250</v>
      </c>
      <c r="K3771" s="21">
        <v>250</v>
      </c>
      <c r="L3771" s="5">
        <v>0</v>
      </c>
      <c r="M3771" s="4"/>
      <c r="N3771" s="4"/>
      <c r="O3771" s="5"/>
      <c r="P3771" s="5"/>
      <c r="Q3771" s="21">
        <v>0</v>
      </c>
      <c r="R3771" s="21">
        <v>0</v>
      </c>
      <c r="S3771" s="5">
        <f t="shared" si="235"/>
        <v>35431.642997470844</v>
      </c>
      <c r="T3771" cm="1">
        <f t="array" ref="T3771">IF(OR(B3771="MAL ALIMI", B3771="ÜRETİM GİRİŞ"), MIN(I3771, MAX(0, I3771 + SUM(SUMIFS($I$1:I3770, $C$1:C3770, C3771, $B$1:B3770, {"MAL ALIMI","ÜRETİM GİRİŞ"})) - VLOOKUP(C3771, 'STOK RAPORU'!$C$2:$I$1000, 4, 0))), 0)</f>
        <v>0</v>
      </c>
      <c r="U3771" s="22">
        <f t="shared" si="232"/>
        <v>0</v>
      </c>
      <c r="V3771">
        <f t="shared" si="233"/>
        <v>0</v>
      </c>
      <c r="W3771" s="22">
        <f t="shared" si="234"/>
        <v>0</v>
      </c>
    </row>
    <row r="3772" spans="1:23" hidden="1" x14ac:dyDescent="0.25">
      <c r="A3772" s="45">
        <v>46056</v>
      </c>
      <c r="B3772" s="46" t="s">
        <v>334</v>
      </c>
      <c r="C3772" s="4" t="s">
        <v>133</v>
      </c>
      <c r="D3772" s="4"/>
      <c r="E3772" s="4"/>
      <c r="F3772" s="46" t="s">
        <v>1942</v>
      </c>
      <c r="G3772" s="46" t="s">
        <v>439</v>
      </c>
      <c r="H3772" s="46" t="s">
        <v>289</v>
      </c>
      <c r="I3772" s="4">
        <v>0.26800000000000002</v>
      </c>
      <c r="J3772" s="21">
        <v>250</v>
      </c>
      <c r="K3772" s="21">
        <v>0</v>
      </c>
      <c r="L3772" s="5">
        <v>0</v>
      </c>
      <c r="M3772" s="4"/>
      <c r="N3772" s="4"/>
      <c r="O3772" s="5"/>
      <c r="P3772" s="5"/>
      <c r="Q3772" s="21">
        <v>67</v>
      </c>
      <c r="R3772" s="21">
        <v>0</v>
      </c>
      <c r="S3772" s="5">
        <f t="shared" si="235"/>
        <v>35498.642997470844</v>
      </c>
      <c r="T3772" cm="1">
        <f t="array" ref="T3772">IF(OR(B3772="MAL ALIMI", B3772="ÜRETİM GİRİŞ"), MIN(I3772, MAX(0, I3772 + SUM(SUMIFS($I$1:I3771, $C$1:C3771, C3772, $B$1:B3771, {"MAL ALIMI","ÜRETİM GİRİŞ"})) - VLOOKUP(C3772, 'STOK RAPORU'!$C$2:$I$1000, 4, 0))), 0)</f>
        <v>0</v>
      </c>
      <c r="U3772" s="22">
        <f t="shared" si="232"/>
        <v>0</v>
      </c>
      <c r="V3772">
        <f t="shared" si="233"/>
        <v>0</v>
      </c>
      <c r="W3772" s="22">
        <f t="shared" si="234"/>
        <v>0</v>
      </c>
    </row>
    <row r="3773" spans="1:23" hidden="1" x14ac:dyDescent="0.25">
      <c r="A3773" s="45">
        <v>46056</v>
      </c>
      <c r="B3773" s="46" t="s">
        <v>334</v>
      </c>
      <c r="C3773" s="4" t="s">
        <v>1151</v>
      </c>
      <c r="D3773" s="4"/>
      <c r="E3773" s="4"/>
      <c r="F3773" s="46" t="s">
        <v>1943</v>
      </c>
      <c r="G3773" s="46" t="s">
        <v>336</v>
      </c>
      <c r="H3773" s="46" t="s">
        <v>289</v>
      </c>
      <c r="I3773" s="4">
        <v>0.55600000000000005</v>
      </c>
      <c r="J3773" s="21">
        <v>360</v>
      </c>
      <c r="K3773" s="21">
        <v>0</v>
      </c>
      <c r="L3773" s="5">
        <v>0</v>
      </c>
      <c r="M3773" s="4"/>
      <c r="N3773" s="4"/>
      <c r="O3773" s="5"/>
      <c r="P3773" s="5"/>
      <c r="Q3773" s="21">
        <v>200.16000000000003</v>
      </c>
      <c r="R3773" s="21">
        <v>0</v>
      </c>
      <c r="S3773" s="5">
        <f t="shared" si="235"/>
        <v>35698.802997470848</v>
      </c>
      <c r="T3773" cm="1">
        <f t="array" ref="T3773">IF(OR(B3773="MAL ALIMI", B3773="ÜRETİM GİRİŞ"), MIN(I3773, MAX(0, I3773 + SUM(SUMIFS($I$1:I3772, $C$1:C3772, C3773, $B$1:B3772, {"MAL ALIMI","ÜRETİM GİRİŞ"})) - VLOOKUP(C3773, 'STOK RAPORU'!$C$2:$I$1000, 4, 0))), 0)</f>
        <v>0</v>
      </c>
      <c r="U3773" s="22">
        <f t="shared" si="232"/>
        <v>0</v>
      </c>
      <c r="V3773">
        <f t="shared" si="233"/>
        <v>0</v>
      </c>
      <c r="W3773" s="22">
        <f t="shared" si="234"/>
        <v>0</v>
      </c>
    </row>
    <row r="3774" spans="1:23" hidden="1" x14ac:dyDescent="0.25">
      <c r="A3774" s="45">
        <v>46056</v>
      </c>
      <c r="B3774" s="46" t="s">
        <v>334</v>
      </c>
      <c r="C3774" s="4" t="s">
        <v>1023</v>
      </c>
      <c r="D3774" s="4"/>
      <c r="E3774" s="4"/>
      <c r="F3774" s="46" t="s">
        <v>1944</v>
      </c>
      <c r="G3774" s="46" t="s">
        <v>1945</v>
      </c>
      <c r="H3774" s="46" t="s">
        <v>289</v>
      </c>
      <c r="I3774" s="4">
        <v>1.5</v>
      </c>
      <c r="J3774" s="21">
        <v>65</v>
      </c>
      <c r="K3774" s="21">
        <v>0</v>
      </c>
      <c r="L3774" s="5">
        <v>0</v>
      </c>
      <c r="M3774" s="4"/>
      <c r="N3774" s="4"/>
      <c r="O3774" s="5"/>
      <c r="P3774" s="5"/>
      <c r="Q3774" s="21">
        <v>97.5</v>
      </c>
      <c r="R3774" s="21">
        <v>0</v>
      </c>
      <c r="S3774" s="5">
        <f t="shared" si="235"/>
        <v>35796.302997470848</v>
      </c>
      <c r="T3774" cm="1">
        <f t="array" ref="T3774">IF(OR(B3774="MAL ALIMI", B3774="ÜRETİM GİRİŞ"), MIN(I3774, MAX(0, I3774 + SUM(SUMIFS($I$1:I3773, $C$1:C3773, C3774, $B$1:B3773, {"MAL ALIMI","ÜRETİM GİRİŞ"})) - VLOOKUP(C3774, 'STOK RAPORU'!$C$2:$I$1000, 4, 0))), 0)</f>
        <v>0</v>
      </c>
      <c r="U3774" s="22">
        <f t="shared" si="232"/>
        <v>0</v>
      </c>
      <c r="V3774">
        <f t="shared" si="233"/>
        <v>0</v>
      </c>
      <c r="W3774" s="22">
        <f t="shared" si="234"/>
        <v>0</v>
      </c>
    </row>
    <row r="3775" spans="1:23" hidden="1" x14ac:dyDescent="0.25">
      <c r="A3775" s="45">
        <v>46056</v>
      </c>
      <c r="B3775" s="46" t="s">
        <v>334</v>
      </c>
      <c r="C3775" s="4" t="s">
        <v>1024</v>
      </c>
      <c r="D3775" s="4"/>
      <c r="E3775" s="4"/>
      <c r="F3775" s="46" t="s">
        <v>1944</v>
      </c>
      <c r="G3775" s="46" t="s">
        <v>1945</v>
      </c>
      <c r="H3775" s="46" t="s">
        <v>289</v>
      </c>
      <c r="I3775" s="4">
        <v>1</v>
      </c>
      <c r="J3775" s="21">
        <v>65</v>
      </c>
      <c r="K3775" s="21">
        <v>0</v>
      </c>
      <c r="L3775" s="5">
        <v>0</v>
      </c>
      <c r="M3775" s="4"/>
      <c r="N3775" s="4"/>
      <c r="O3775" s="5"/>
      <c r="P3775" s="5"/>
      <c r="Q3775" s="21">
        <v>65</v>
      </c>
      <c r="R3775" s="21">
        <v>0</v>
      </c>
      <c r="S3775" s="5">
        <f t="shared" si="235"/>
        <v>35861.302997470848</v>
      </c>
      <c r="T3775" cm="1">
        <f t="array" ref="T3775">IF(OR(B3775="MAL ALIMI", B3775="ÜRETİM GİRİŞ"), MIN(I3775, MAX(0, I3775 + SUM(SUMIFS($I$1:I3774, $C$1:C3774, C3775, $B$1:B3774, {"MAL ALIMI","ÜRETİM GİRİŞ"})) - VLOOKUP(C3775, 'STOK RAPORU'!$C$2:$I$1000, 4, 0))), 0)</f>
        <v>0</v>
      </c>
      <c r="U3775" s="22">
        <f t="shared" si="232"/>
        <v>0</v>
      </c>
      <c r="V3775">
        <f t="shared" si="233"/>
        <v>0</v>
      </c>
      <c r="W3775" s="22">
        <f t="shared" si="234"/>
        <v>0</v>
      </c>
    </row>
    <row r="3776" spans="1:23" hidden="1" x14ac:dyDescent="0.25">
      <c r="A3776" s="45">
        <v>46056</v>
      </c>
      <c r="B3776" s="46" t="s">
        <v>334</v>
      </c>
      <c r="C3776" s="4" t="s">
        <v>236</v>
      </c>
      <c r="D3776" s="4"/>
      <c r="E3776" s="4"/>
      <c r="F3776" s="46" t="s">
        <v>1944</v>
      </c>
      <c r="G3776" s="46" t="s">
        <v>1945</v>
      </c>
      <c r="H3776" s="46" t="s">
        <v>289</v>
      </c>
      <c r="I3776" s="4">
        <v>0.14299999999999999</v>
      </c>
      <c r="J3776" s="21">
        <v>350</v>
      </c>
      <c r="K3776" s="21">
        <v>0</v>
      </c>
      <c r="L3776" s="5">
        <v>0</v>
      </c>
      <c r="M3776" s="4"/>
      <c r="N3776" s="4"/>
      <c r="O3776" s="5"/>
      <c r="P3776" s="5"/>
      <c r="Q3776" s="21">
        <v>50.05</v>
      </c>
      <c r="R3776" s="21">
        <v>0</v>
      </c>
      <c r="S3776" s="5">
        <f t="shared" si="235"/>
        <v>35911.352997470851</v>
      </c>
      <c r="T3776" cm="1">
        <f t="array" ref="T3776">IF(OR(B3776="MAL ALIMI", B3776="ÜRETİM GİRİŞ"), MIN(I3776, MAX(0, I3776 + SUM(SUMIFS($I$1:I3775, $C$1:C3775, C3776, $B$1:B3775, {"MAL ALIMI","ÜRETİM GİRİŞ"})) - VLOOKUP(C3776, 'STOK RAPORU'!$C$2:$I$1000, 4, 0))), 0)</f>
        <v>0</v>
      </c>
      <c r="U3776" s="22">
        <f t="shared" si="232"/>
        <v>0</v>
      </c>
      <c r="V3776">
        <f t="shared" si="233"/>
        <v>0</v>
      </c>
      <c r="W3776" s="22">
        <f t="shared" si="234"/>
        <v>0</v>
      </c>
    </row>
    <row r="3777" spans="1:23" hidden="1" x14ac:dyDescent="0.25">
      <c r="A3777" s="45">
        <v>46056</v>
      </c>
      <c r="B3777" s="46" t="s">
        <v>334</v>
      </c>
      <c r="C3777" s="4" t="s">
        <v>465</v>
      </c>
      <c r="D3777" s="4"/>
      <c r="E3777" s="4"/>
      <c r="F3777" s="46" t="s">
        <v>1944</v>
      </c>
      <c r="G3777" s="46" t="s">
        <v>1945</v>
      </c>
      <c r="H3777" s="46" t="s">
        <v>289</v>
      </c>
      <c r="I3777" s="4">
        <v>1</v>
      </c>
      <c r="J3777" s="21">
        <v>50</v>
      </c>
      <c r="K3777" s="21">
        <v>0</v>
      </c>
      <c r="L3777" s="5">
        <v>0</v>
      </c>
      <c r="M3777" s="4"/>
      <c r="N3777" s="4"/>
      <c r="O3777" s="5"/>
      <c r="P3777" s="5"/>
      <c r="Q3777" s="21">
        <v>50</v>
      </c>
      <c r="R3777" s="21">
        <v>0</v>
      </c>
      <c r="S3777" s="5">
        <f t="shared" si="235"/>
        <v>35961.352997470851</v>
      </c>
      <c r="T3777" cm="1">
        <f t="array" ref="T3777">IF(OR(B3777="MAL ALIMI", B3777="ÜRETİM GİRİŞ"), MIN(I3777, MAX(0, I3777 + SUM(SUMIFS($I$1:I3776, $C$1:C3776, C3777, $B$1:B3776, {"MAL ALIMI","ÜRETİM GİRİŞ"})) - VLOOKUP(C3777, 'STOK RAPORU'!$C$2:$I$1000, 4, 0))), 0)</f>
        <v>0</v>
      </c>
      <c r="U3777" s="22">
        <f t="shared" ref="U3777:U3836" si="236">T3777*J3777</f>
        <v>0</v>
      </c>
      <c r="V3777">
        <f t="shared" ref="V3777:V3836" si="237">IF(OR(B3777="MAL ALIMI", B3777="ÜRETİM GİRİŞ"), I3777 * J3777, 0)</f>
        <v>0</v>
      </c>
      <c r="W3777" s="22">
        <f t="shared" ref="W3777:W3836" si="238">V3777-U3777</f>
        <v>0</v>
      </c>
    </row>
    <row r="3778" spans="1:23" hidden="1" x14ac:dyDescent="0.25">
      <c r="A3778" s="45">
        <v>46056</v>
      </c>
      <c r="B3778" s="46" t="s">
        <v>334</v>
      </c>
      <c r="C3778" s="4" t="s">
        <v>260</v>
      </c>
      <c r="D3778" s="4"/>
      <c r="E3778" s="4"/>
      <c r="F3778" s="46" t="s">
        <v>1944</v>
      </c>
      <c r="G3778" s="46" t="s">
        <v>1945</v>
      </c>
      <c r="H3778" s="46" t="s">
        <v>289</v>
      </c>
      <c r="I3778" s="4">
        <v>1</v>
      </c>
      <c r="J3778" s="21">
        <v>140</v>
      </c>
      <c r="K3778" s="21">
        <v>0</v>
      </c>
      <c r="L3778" s="5">
        <v>0</v>
      </c>
      <c r="M3778" s="4"/>
      <c r="N3778" s="4"/>
      <c r="O3778" s="5"/>
      <c r="P3778" s="5"/>
      <c r="Q3778" s="21">
        <v>140</v>
      </c>
      <c r="R3778" s="21">
        <v>0</v>
      </c>
      <c r="S3778" s="5">
        <f t="shared" si="235"/>
        <v>36101.352997470851</v>
      </c>
      <c r="T3778" cm="1">
        <f t="array" ref="T3778">IF(OR(B3778="MAL ALIMI", B3778="ÜRETİM GİRİŞ"), MIN(I3778, MAX(0, I3778 + SUM(SUMIFS($I$1:I3777, $C$1:C3777, C3778, $B$1:B3777, {"MAL ALIMI","ÜRETİM GİRİŞ"})) - VLOOKUP(C3778, 'STOK RAPORU'!$C$2:$I$1000, 4, 0))), 0)</f>
        <v>0</v>
      </c>
      <c r="U3778" s="22">
        <f t="shared" si="236"/>
        <v>0</v>
      </c>
      <c r="V3778">
        <f t="shared" si="237"/>
        <v>0</v>
      </c>
      <c r="W3778" s="22">
        <f t="shared" si="238"/>
        <v>0</v>
      </c>
    </row>
    <row r="3779" spans="1:23" hidden="1" x14ac:dyDescent="0.25">
      <c r="A3779" s="45">
        <v>46056</v>
      </c>
      <c r="B3779" s="46" t="s">
        <v>334</v>
      </c>
      <c r="C3779" s="4" t="s">
        <v>3383</v>
      </c>
      <c r="D3779" s="4"/>
      <c r="E3779" s="4"/>
      <c r="F3779" s="46" t="s">
        <v>1944</v>
      </c>
      <c r="G3779" s="46" t="s">
        <v>1945</v>
      </c>
      <c r="H3779" s="46" t="s">
        <v>289</v>
      </c>
      <c r="I3779" s="4">
        <v>1</v>
      </c>
      <c r="J3779" s="21">
        <v>55</v>
      </c>
      <c r="K3779" s="21">
        <v>0</v>
      </c>
      <c r="L3779" s="5">
        <v>0</v>
      </c>
      <c r="M3779" s="4"/>
      <c r="N3779" s="4"/>
      <c r="O3779" s="5"/>
      <c r="P3779" s="5"/>
      <c r="Q3779" s="21">
        <v>55</v>
      </c>
      <c r="R3779" s="21">
        <v>0</v>
      </c>
      <c r="S3779" s="5">
        <f t="shared" si="235"/>
        <v>36156.352997470851</v>
      </c>
      <c r="T3779" cm="1">
        <f t="array" ref="T3779">IF(OR(B3779="MAL ALIMI", B3779="ÜRETİM GİRİŞ"), MIN(I3779, MAX(0, I3779 + SUM(SUMIFS($I$1:I3778, $C$1:C3778, C3779, $B$1:B3778, {"MAL ALIMI","ÜRETİM GİRİŞ"})) - VLOOKUP(C3779, 'STOK RAPORU'!$C$2:$I$1000, 4, 0))), 0)</f>
        <v>0</v>
      </c>
      <c r="U3779" s="22">
        <f t="shared" si="236"/>
        <v>0</v>
      </c>
      <c r="V3779">
        <f t="shared" si="237"/>
        <v>0</v>
      </c>
      <c r="W3779" s="22">
        <f t="shared" si="238"/>
        <v>0</v>
      </c>
    </row>
    <row r="3780" spans="1:23" hidden="1" x14ac:dyDescent="0.25">
      <c r="A3780" s="45">
        <v>46056</v>
      </c>
      <c r="B3780" s="46" t="s">
        <v>334</v>
      </c>
      <c r="C3780" s="4" t="s">
        <v>196</v>
      </c>
      <c r="D3780" s="4"/>
      <c r="E3780" s="4"/>
      <c r="F3780" s="46" t="s">
        <v>1944</v>
      </c>
      <c r="G3780" s="46" t="s">
        <v>1945</v>
      </c>
      <c r="H3780" s="46" t="s">
        <v>289</v>
      </c>
      <c r="I3780" s="4">
        <v>0.21739130434782608</v>
      </c>
      <c r="J3780" s="21">
        <v>230</v>
      </c>
      <c r="K3780" s="21">
        <v>0</v>
      </c>
      <c r="L3780" s="5">
        <v>0</v>
      </c>
      <c r="M3780" s="4"/>
      <c r="N3780" s="4"/>
      <c r="O3780" s="5"/>
      <c r="P3780" s="5"/>
      <c r="Q3780" s="21">
        <v>50</v>
      </c>
      <c r="R3780" s="21">
        <v>0</v>
      </c>
      <c r="S3780" s="5">
        <f t="shared" ref="S3780:S3843" si="239">S3779+Q3780-R3780</f>
        <v>36206.352997470851</v>
      </c>
      <c r="T3780" cm="1">
        <f t="array" ref="T3780">IF(OR(B3780="MAL ALIMI", B3780="ÜRETİM GİRİŞ"), MIN(I3780, MAX(0, I3780 + SUM(SUMIFS($I$1:I3779, $C$1:C3779, C3780, $B$1:B3779, {"MAL ALIMI","ÜRETİM GİRİŞ"})) - VLOOKUP(C3780, 'STOK RAPORU'!$C$2:$I$1000, 4, 0))), 0)</f>
        <v>0</v>
      </c>
      <c r="U3780" s="22">
        <f t="shared" si="236"/>
        <v>0</v>
      </c>
      <c r="V3780">
        <f t="shared" si="237"/>
        <v>0</v>
      </c>
      <c r="W3780" s="22">
        <f t="shared" si="238"/>
        <v>0</v>
      </c>
    </row>
    <row r="3781" spans="1:23" hidden="1" x14ac:dyDescent="0.25">
      <c r="A3781" s="3">
        <v>46056</v>
      </c>
      <c r="B3781" s="4" t="s">
        <v>946</v>
      </c>
      <c r="C3781" s="4"/>
      <c r="D3781" s="4"/>
      <c r="E3781" s="4" t="s">
        <v>921</v>
      </c>
      <c r="F3781" s="4"/>
      <c r="G3781" s="4" t="s">
        <v>946</v>
      </c>
      <c r="H3781" s="4" t="s">
        <v>380</v>
      </c>
      <c r="I3781" s="4">
        <v>1</v>
      </c>
      <c r="J3781" s="105">
        <v>651.46</v>
      </c>
      <c r="K3781" s="21">
        <v>0</v>
      </c>
      <c r="L3781" s="111">
        <v>651.46</v>
      </c>
      <c r="M3781" s="4"/>
      <c r="N3781" s="4"/>
      <c r="O3781" s="5"/>
      <c r="P3781" s="5"/>
      <c r="Q3781" s="21">
        <v>651.46</v>
      </c>
      <c r="R3781" s="21">
        <v>0</v>
      </c>
      <c r="S3781" s="5">
        <f t="shared" si="239"/>
        <v>36857.81299747085</v>
      </c>
      <c r="T3781" cm="1">
        <f t="array" ref="T3781">IF(OR(B3781="MAL ALIMI", B3781="ÜRETİM GİRİŞ"), MIN(I3781, MAX(0, I3781 + SUM(SUMIFS($I$1:I3780, $C$1:C3780, C3781, $B$1:B3780, {"MAL ALIMI","ÜRETİM GİRİŞ"})) - VLOOKUP(C3781, 'STOK RAPORU'!$C$2:$I$1000, 4, 0))), 0)</f>
        <v>0</v>
      </c>
      <c r="U3781" s="22">
        <f t="shared" si="236"/>
        <v>0</v>
      </c>
      <c r="V3781">
        <f t="shared" si="237"/>
        <v>0</v>
      </c>
      <c r="W3781" s="22">
        <f t="shared" si="238"/>
        <v>0</v>
      </c>
    </row>
    <row r="3782" spans="1:23" hidden="1" x14ac:dyDescent="0.25">
      <c r="A3782" s="45">
        <v>46057</v>
      </c>
      <c r="B3782" s="46" t="s">
        <v>334</v>
      </c>
      <c r="C3782" s="4" t="s">
        <v>1359</v>
      </c>
      <c r="D3782" s="4"/>
      <c r="E3782" s="4" t="s">
        <v>921</v>
      </c>
      <c r="F3782" s="46" t="s">
        <v>1947</v>
      </c>
      <c r="G3782" s="71" t="s">
        <v>336</v>
      </c>
      <c r="H3782" s="71" t="s">
        <v>380</v>
      </c>
      <c r="I3782" s="71">
        <v>0.44500000000000001</v>
      </c>
      <c r="J3782" s="21">
        <v>450</v>
      </c>
      <c r="K3782" s="21">
        <v>200.25</v>
      </c>
      <c r="L3782" s="5">
        <v>0</v>
      </c>
      <c r="M3782" s="4"/>
      <c r="N3782" s="4"/>
      <c r="O3782" s="5"/>
      <c r="P3782" s="5"/>
      <c r="Q3782" s="21">
        <v>0</v>
      </c>
      <c r="R3782" s="21">
        <v>0</v>
      </c>
      <c r="S3782" s="5">
        <f t="shared" si="239"/>
        <v>36857.81299747085</v>
      </c>
      <c r="T3782" cm="1">
        <f t="array" ref="T3782">IF(OR(B3782="MAL ALIMI", B3782="ÜRETİM GİRİŞ"), MIN(I3782, MAX(0, I3782 + SUM(SUMIFS($I$1:I3781, $C$1:C3781, C3782, $B$1:B3781, {"MAL ALIMI","ÜRETİM GİRİŞ"})) - VLOOKUP(C3782, 'STOK RAPORU'!$C$2:$I$1000, 4, 0))), 0)</f>
        <v>0</v>
      </c>
      <c r="U3782" s="22">
        <f t="shared" si="236"/>
        <v>0</v>
      </c>
      <c r="V3782">
        <f t="shared" si="237"/>
        <v>0</v>
      </c>
      <c r="W3782" s="22">
        <f t="shared" si="238"/>
        <v>0</v>
      </c>
    </row>
    <row r="3783" spans="1:23" hidden="1" x14ac:dyDescent="0.25">
      <c r="A3783" s="45">
        <v>46057</v>
      </c>
      <c r="B3783" s="46" t="s">
        <v>334</v>
      </c>
      <c r="C3783" s="4" t="s">
        <v>694</v>
      </c>
      <c r="D3783" s="4"/>
      <c r="E3783" s="4" t="s">
        <v>921</v>
      </c>
      <c r="F3783" s="46" t="s">
        <v>1947</v>
      </c>
      <c r="G3783" s="46" t="s">
        <v>336</v>
      </c>
      <c r="H3783" s="46" t="s">
        <v>380</v>
      </c>
      <c r="I3783" s="4">
        <v>0.25641025641025639</v>
      </c>
      <c r="J3783" s="21">
        <v>195</v>
      </c>
      <c r="K3783" s="21">
        <v>49.999999999999993</v>
      </c>
      <c r="L3783" s="5">
        <v>0</v>
      </c>
      <c r="M3783" s="4"/>
      <c r="N3783" s="4"/>
      <c r="O3783" s="5"/>
      <c r="P3783" s="5"/>
      <c r="Q3783" s="21">
        <v>0</v>
      </c>
      <c r="R3783" s="21">
        <v>0</v>
      </c>
      <c r="S3783" s="5">
        <f t="shared" si="239"/>
        <v>36857.81299747085</v>
      </c>
      <c r="T3783" cm="1">
        <f t="array" ref="T3783">IF(OR(B3783="MAL ALIMI", B3783="ÜRETİM GİRİŞ"), MIN(I3783, MAX(0, I3783 + SUM(SUMIFS($I$1:I3782, $C$1:C3782, C3783, $B$1:B3782, {"MAL ALIMI","ÜRETİM GİRİŞ"})) - VLOOKUP(C3783, 'STOK RAPORU'!$C$2:$I$1000, 4, 0))), 0)</f>
        <v>0</v>
      </c>
      <c r="U3783" s="22">
        <f t="shared" si="236"/>
        <v>0</v>
      </c>
      <c r="V3783">
        <f t="shared" si="237"/>
        <v>0</v>
      </c>
      <c r="W3783" s="22">
        <f t="shared" si="238"/>
        <v>0</v>
      </c>
    </row>
    <row r="3784" spans="1:23" hidden="1" x14ac:dyDescent="0.25">
      <c r="A3784" s="45">
        <v>46057</v>
      </c>
      <c r="B3784" s="46" t="s">
        <v>334</v>
      </c>
      <c r="C3784" s="4" t="s">
        <v>587</v>
      </c>
      <c r="D3784" s="4"/>
      <c r="E3784" s="4" t="s">
        <v>921</v>
      </c>
      <c r="F3784" s="46" t="s">
        <v>1947</v>
      </c>
      <c r="G3784" s="46" t="s">
        <v>336</v>
      </c>
      <c r="H3784" s="46" t="s">
        <v>380</v>
      </c>
      <c r="I3784" s="4">
        <v>1</v>
      </c>
      <c r="J3784" s="21">
        <v>150</v>
      </c>
      <c r="K3784" s="21">
        <v>150</v>
      </c>
      <c r="L3784" s="5">
        <v>0</v>
      </c>
      <c r="M3784" s="4"/>
      <c r="N3784" s="4"/>
      <c r="O3784" s="5"/>
      <c r="P3784" s="5"/>
      <c r="Q3784" s="21">
        <v>0</v>
      </c>
      <c r="R3784" s="21">
        <v>0</v>
      </c>
      <c r="S3784" s="5">
        <f t="shared" si="239"/>
        <v>36857.81299747085</v>
      </c>
      <c r="T3784" cm="1">
        <f t="array" ref="T3784">IF(OR(B3784="MAL ALIMI", B3784="ÜRETİM GİRİŞ"), MIN(I3784, MAX(0, I3784 + SUM(SUMIFS($I$1:I3783, $C$1:C3783, C3784, $B$1:B3783, {"MAL ALIMI","ÜRETİM GİRİŞ"})) - VLOOKUP(C3784, 'STOK RAPORU'!$C$2:$I$1000, 4, 0))), 0)</f>
        <v>0</v>
      </c>
      <c r="U3784" s="22">
        <f t="shared" si="236"/>
        <v>0</v>
      </c>
      <c r="V3784">
        <f t="shared" si="237"/>
        <v>0</v>
      </c>
      <c r="W3784" s="22">
        <f t="shared" si="238"/>
        <v>0</v>
      </c>
    </row>
    <row r="3785" spans="1:23" hidden="1" x14ac:dyDescent="0.25">
      <c r="A3785" s="45">
        <v>46057</v>
      </c>
      <c r="B3785" s="46" t="s">
        <v>334</v>
      </c>
      <c r="C3785" s="4" t="s">
        <v>3383</v>
      </c>
      <c r="D3785" s="4"/>
      <c r="E3785" s="4"/>
      <c r="F3785" s="46" t="s">
        <v>1948</v>
      </c>
      <c r="G3785" s="46" t="s">
        <v>336</v>
      </c>
      <c r="H3785" s="46" t="s">
        <v>289</v>
      </c>
      <c r="I3785" s="4">
        <v>0.5</v>
      </c>
      <c r="J3785" s="21">
        <v>50</v>
      </c>
      <c r="K3785" s="21">
        <v>0</v>
      </c>
      <c r="L3785" s="5">
        <v>0</v>
      </c>
      <c r="M3785" s="4"/>
      <c r="N3785" s="4"/>
      <c r="O3785" s="5"/>
      <c r="P3785" s="5"/>
      <c r="Q3785" s="21">
        <v>25</v>
      </c>
      <c r="R3785" s="21">
        <v>0</v>
      </c>
      <c r="S3785" s="5">
        <f t="shared" si="239"/>
        <v>36882.81299747085</v>
      </c>
      <c r="T3785" cm="1">
        <f t="array" ref="T3785">IF(OR(B3785="MAL ALIMI", B3785="ÜRETİM GİRİŞ"), MIN(I3785, MAX(0, I3785 + SUM(SUMIFS($I$1:I3784, $C$1:C3784, C3785, $B$1:B3784, {"MAL ALIMI","ÜRETİM GİRİŞ"})) - VLOOKUP(C3785, 'STOK RAPORU'!$C$2:$I$1000, 4, 0))), 0)</f>
        <v>0</v>
      </c>
      <c r="U3785" s="22">
        <f t="shared" si="236"/>
        <v>0</v>
      </c>
      <c r="V3785">
        <f t="shared" si="237"/>
        <v>0</v>
      </c>
      <c r="W3785" s="22">
        <f t="shared" si="238"/>
        <v>0</v>
      </c>
    </row>
    <row r="3786" spans="1:23" hidden="1" x14ac:dyDescent="0.25">
      <c r="A3786" s="45">
        <v>46057</v>
      </c>
      <c r="B3786" s="46" t="s">
        <v>334</v>
      </c>
      <c r="C3786" s="4" t="s">
        <v>160</v>
      </c>
      <c r="D3786" s="4"/>
      <c r="E3786" s="4"/>
      <c r="F3786" s="46" t="s">
        <v>1949</v>
      </c>
      <c r="G3786" s="46" t="s">
        <v>336</v>
      </c>
      <c r="H3786" s="46" t="s">
        <v>289</v>
      </c>
      <c r="I3786" s="4">
        <v>1</v>
      </c>
      <c r="J3786" s="21">
        <v>250</v>
      </c>
      <c r="K3786" s="21">
        <v>0</v>
      </c>
      <c r="L3786" s="5">
        <v>0</v>
      </c>
      <c r="M3786" s="4"/>
      <c r="N3786" s="4"/>
      <c r="O3786" s="5"/>
      <c r="P3786" s="5"/>
      <c r="Q3786" s="21">
        <v>250</v>
      </c>
      <c r="R3786" s="21">
        <v>0</v>
      </c>
      <c r="S3786" s="5">
        <f t="shared" si="239"/>
        <v>37132.81299747085</v>
      </c>
      <c r="T3786" cm="1">
        <f t="array" ref="T3786">IF(OR(B3786="MAL ALIMI", B3786="ÜRETİM GİRİŞ"), MIN(I3786, MAX(0, I3786 + SUM(SUMIFS($I$1:I3785, $C$1:C3785, C3786, $B$1:B3785, {"MAL ALIMI","ÜRETİM GİRİŞ"})) - VLOOKUP(C3786, 'STOK RAPORU'!$C$2:$I$1000, 4, 0))), 0)</f>
        <v>0</v>
      </c>
      <c r="U3786" s="22">
        <f t="shared" si="236"/>
        <v>0</v>
      </c>
      <c r="V3786">
        <f t="shared" si="237"/>
        <v>0</v>
      </c>
      <c r="W3786" s="22">
        <f t="shared" si="238"/>
        <v>0</v>
      </c>
    </row>
    <row r="3787" spans="1:23" hidden="1" x14ac:dyDescent="0.25">
      <c r="A3787" s="45">
        <v>46057</v>
      </c>
      <c r="B3787" s="46" t="s">
        <v>334</v>
      </c>
      <c r="C3787" s="4" t="s">
        <v>161</v>
      </c>
      <c r="D3787" s="4"/>
      <c r="E3787" s="4"/>
      <c r="F3787" s="46" t="s">
        <v>1949</v>
      </c>
      <c r="G3787" s="46" t="s">
        <v>336</v>
      </c>
      <c r="H3787" s="46" t="s">
        <v>289</v>
      </c>
      <c r="I3787" s="4">
        <v>0.5</v>
      </c>
      <c r="J3787" s="21">
        <v>230</v>
      </c>
      <c r="K3787" s="21">
        <v>0</v>
      </c>
      <c r="L3787" s="5">
        <v>0</v>
      </c>
      <c r="M3787" s="4"/>
      <c r="N3787" s="4"/>
      <c r="O3787" s="5"/>
      <c r="P3787" s="5"/>
      <c r="Q3787" s="21">
        <v>115</v>
      </c>
      <c r="R3787" s="21">
        <v>0</v>
      </c>
      <c r="S3787" s="5">
        <f t="shared" si="239"/>
        <v>37247.81299747085</v>
      </c>
      <c r="T3787" cm="1">
        <f t="array" ref="T3787">IF(OR(B3787="MAL ALIMI", B3787="ÜRETİM GİRİŞ"), MIN(I3787, MAX(0, I3787 + SUM(SUMIFS($I$1:I3786, $C$1:C3786, C3787, $B$1:B3786, {"MAL ALIMI","ÜRETİM GİRİŞ"})) - VLOOKUP(C3787, 'STOK RAPORU'!$C$2:$I$1000, 4, 0))), 0)</f>
        <v>0</v>
      </c>
      <c r="U3787" s="22">
        <f t="shared" si="236"/>
        <v>0</v>
      </c>
      <c r="V3787">
        <f t="shared" si="237"/>
        <v>0</v>
      </c>
      <c r="W3787" s="22">
        <f t="shared" si="238"/>
        <v>0</v>
      </c>
    </row>
    <row r="3788" spans="1:23" hidden="1" x14ac:dyDescent="0.25">
      <c r="A3788" s="45">
        <v>46057</v>
      </c>
      <c r="B3788" s="46" t="s">
        <v>334</v>
      </c>
      <c r="C3788" s="4" t="s">
        <v>168</v>
      </c>
      <c r="D3788" s="4"/>
      <c r="E3788" s="4"/>
      <c r="F3788" s="46" t="s">
        <v>1949</v>
      </c>
      <c r="G3788" s="46" t="s">
        <v>336</v>
      </c>
      <c r="H3788" s="46" t="s">
        <v>289</v>
      </c>
      <c r="I3788" s="4">
        <v>0.15217391304347827</v>
      </c>
      <c r="J3788" s="21">
        <v>230</v>
      </c>
      <c r="K3788" s="21">
        <v>0</v>
      </c>
      <c r="L3788" s="5">
        <v>0</v>
      </c>
      <c r="M3788" s="4"/>
      <c r="N3788" s="4"/>
      <c r="O3788" s="5"/>
      <c r="P3788" s="5"/>
      <c r="Q3788" s="21">
        <v>35</v>
      </c>
      <c r="R3788" s="21">
        <v>0</v>
      </c>
      <c r="S3788" s="5">
        <f t="shared" si="239"/>
        <v>37282.81299747085</v>
      </c>
      <c r="T3788" cm="1">
        <f t="array" ref="T3788">IF(OR(B3788="MAL ALIMI", B3788="ÜRETİM GİRİŞ"), MIN(I3788, MAX(0, I3788 + SUM(SUMIFS($I$1:I3787, $C$1:C3787, C3788, $B$1:B3787, {"MAL ALIMI","ÜRETİM GİRİŞ"})) - VLOOKUP(C3788, 'STOK RAPORU'!$C$2:$I$1000, 4, 0))), 0)</f>
        <v>0</v>
      </c>
      <c r="U3788" s="22">
        <f t="shared" si="236"/>
        <v>0</v>
      </c>
      <c r="V3788">
        <f t="shared" si="237"/>
        <v>0</v>
      </c>
      <c r="W3788" s="22">
        <f t="shared" si="238"/>
        <v>0</v>
      </c>
    </row>
    <row r="3789" spans="1:23" hidden="1" x14ac:dyDescent="0.25">
      <c r="A3789" s="45">
        <v>46057</v>
      </c>
      <c r="B3789" s="46" t="s">
        <v>334</v>
      </c>
      <c r="C3789" s="4" t="s">
        <v>1176</v>
      </c>
      <c r="D3789" s="4"/>
      <c r="E3789" s="4"/>
      <c r="F3789" s="46" t="s">
        <v>1950</v>
      </c>
      <c r="G3789" s="46" t="s">
        <v>336</v>
      </c>
      <c r="H3789" s="46" t="s">
        <v>289</v>
      </c>
      <c r="I3789" s="4">
        <v>0.1</v>
      </c>
      <c r="J3789" s="21">
        <v>1500</v>
      </c>
      <c r="K3789" s="21">
        <v>0</v>
      </c>
      <c r="L3789" s="5">
        <v>0</v>
      </c>
      <c r="M3789" s="4"/>
      <c r="N3789" s="4"/>
      <c r="O3789" s="5"/>
      <c r="P3789" s="5"/>
      <c r="Q3789" s="21">
        <v>150</v>
      </c>
      <c r="R3789" s="21">
        <v>0</v>
      </c>
      <c r="S3789" s="5">
        <f t="shared" si="239"/>
        <v>37432.81299747085</v>
      </c>
      <c r="T3789" cm="1">
        <f t="array" ref="T3789">IF(OR(B3789="MAL ALIMI", B3789="ÜRETİM GİRİŞ"), MIN(I3789, MAX(0, I3789 + SUM(SUMIFS($I$1:I3788, $C$1:C3788, C3789, $B$1:B3788, {"MAL ALIMI","ÜRETİM GİRİŞ"})) - VLOOKUP(C3789, 'STOK RAPORU'!$C$2:$I$1000, 4, 0))), 0)</f>
        <v>0</v>
      </c>
      <c r="U3789" s="22">
        <f t="shared" si="236"/>
        <v>0</v>
      </c>
      <c r="V3789">
        <f t="shared" si="237"/>
        <v>0</v>
      </c>
      <c r="W3789" s="22">
        <f t="shared" si="238"/>
        <v>0</v>
      </c>
    </row>
    <row r="3790" spans="1:23" hidden="1" x14ac:dyDescent="0.25">
      <c r="A3790" s="45">
        <v>46057</v>
      </c>
      <c r="B3790" s="46" t="s">
        <v>334</v>
      </c>
      <c r="C3790" s="4" t="s">
        <v>160</v>
      </c>
      <c r="D3790" s="4"/>
      <c r="E3790" s="4" t="s">
        <v>921</v>
      </c>
      <c r="F3790" s="46" t="s">
        <v>1951</v>
      </c>
      <c r="G3790" s="46" t="s">
        <v>336</v>
      </c>
      <c r="H3790" s="46" t="s">
        <v>380</v>
      </c>
      <c r="I3790" s="4">
        <v>1</v>
      </c>
      <c r="J3790" s="21">
        <v>250</v>
      </c>
      <c r="K3790" s="21">
        <v>250</v>
      </c>
      <c r="L3790" s="5">
        <v>0</v>
      </c>
      <c r="M3790" s="4"/>
      <c r="N3790" s="4"/>
      <c r="O3790" s="5"/>
      <c r="P3790" s="5"/>
      <c r="Q3790" s="21">
        <v>0</v>
      </c>
      <c r="R3790" s="21">
        <v>0</v>
      </c>
      <c r="S3790" s="5">
        <f t="shared" si="239"/>
        <v>37432.81299747085</v>
      </c>
      <c r="T3790" cm="1">
        <f t="array" ref="T3790">IF(OR(B3790="MAL ALIMI", B3790="ÜRETİM GİRİŞ"), MIN(I3790, MAX(0, I3790 + SUM(SUMIFS($I$1:I3789, $C$1:C3789, C3790, $B$1:B3789, {"MAL ALIMI","ÜRETİM GİRİŞ"})) - VLOOKUP(C3790, 'STOK RAPORU'!$C$2:$I$1000, 4, 0))), 0)</f>
        <v>0</v>
      </c>
      <c r="U3790" s="22">
        <f t="shared" si="236"/>
        <v>0</v>
      </c>
      <c r="V3790">
        <f t="shared" si="237"/>
        <v>0</v>
      </c>
      <c r="W3790" s="22">
        <f t="shared" si="238"/>
        <v>0</v>
      </c>
    </row>
    <row r="3791" spans="1:23" hidden="1" x14ac:dyDescent="0.25">
      <c r="A3791" s="45">
        <v>46057</v>
      </c>
      <c r="B3791" s="46" t="s">
        <v>334</v>
      </c>
      <c r="C3791" s="4" t="s">
        <v>161</v>
      </c>
      <c r="D3791" s="4"/>
      <c r="E3791" s="4" t="s">
        <v>921</v>
      </c>
      <c r="F3791" s="46" t="s">
        <v>1951</v>
      </c>
      <c r="G3791" s="46" t="s">
        <v>336</v>
      </c>
      <c r="H3791" s="46" t="s">
        <v>380</v>
      </c>
      <c r="I3791" s="4">
        <v>0.5</v>
      </c>
      <c r="J3791" s="21">
        <v>230</v>
      </c>
      <c r="K3791" s="21">
        <v>115</v>
      </c>
      <c r="L3791" s="5">
        <v>0</v>
      </c>
      <c r="M3791" s="4"/>
      <c r="N3791" s="4"/>
      <c r="O3791" s="5"/>
      <c r="P3791" s="5"/>
      <c r="Q3791" s="21">
        <v>0</v>
      </c>
      <c r="R3791" s="21">
        <v>0</v>
      </c>
      <c r="S3791" s="5">
        <f t="shared" si="239"/>
        <v>37432.81299747085</v>
      </c>
      <c r="T3791" cm="1">
        <f t="array" ref="T3791">IF(OR(B3791="MAL ALIMI", B3791="ÜRETİM GİRİŞ"), MIN(I3791, MAX(0, I3791 + SUM(SUMIFS($I$1:I3790, $C$1:C3790, C3791, $B$1:B3790, {"MAL ALIMI","ÜRETİM GİRİŞ"})) - VLOOKUP(C3791, 'STOK RAPORU'!$C$2:$I$1000, 4, 0))), 0)</f>
        <v>0</v>
      </c>
      <c r="U3791" s="22">
        <f t="shared" si="236"/>
        <v>0</v>
      </c>
      <c r="V3791">
        <f t="shared" si="237"/>
        <v>0</v>
      </c>
      <c r="W3791" s="22">
        <f t="shared" si="238"/>
        <v>0</v>
      </c>
    </row>
    <row r="3792" spans="1:23" hidden="1" x14ac:dyDescent="0.25">
      <c r="A3792" s="3">
        <v>46057</v>
      </c>
      <c r="B3792" s="4" t="s">
        <v>946</v>
      </c>
      <c r="C3792" s="4"/>
      <c r="D3792" s="4"/>
      <c r="E3792" s="4" t="s">
        <v>921</v>
      </c>
      <c r="F3792" s="4"/>
      <c r="G3792" s="4" t="s">
        <v>946</v>
      </c>
      <c r="H3792" s="4" t="s">
        <v>380</v>
      </c>
      <c r="I3792" s="4">
        <v>1</v>
      </c>
      <c r="J3792" s="105">
        <v>1690</v>
      </c>
      <c r="K3792" s="21">
        <v>0</v>
      </c>
      <c r="L3792" s="111">
        <v>1690</v>
      </c>
      <c r="M3792" s="4"/>
      <c r="N3792" s="4"/>
      <c r="O3792" s="5"/>
      <c r="P3792" s="5"/>
      <c r="Q3792" s="21">
        <v>1690</v>
      </c>
      <c r="R3792" s="21">
        <v>0</v>
      </c>
      <c r="S3792" s="5">
        <f t="shared" si="239"/>
        <v>39122.81299747085</v>
      </c>
      <c r="T3792" cm="1">
        <f t="array" ref="T3792">IF(OR(B3792="MAL ALIMI", B3792="ÜRETİM GİRİŞ"), MIN(I3792, MAX(0, I3792 + SUM(SUMIFS($I$1:I3791, $C$1:C3791, C3792, $B$1:B3791, {"MAL ALIMI","ÜRETİM GİRİŞ"})) - VLOOKUP(C3792, 'STOK RAPORU'!$C$2:$I$1000, 4, 0))), 0)</f>
        <v>0</v>
      </c>
      <c r="U3792" s="22">
        <f t="shared" si="236"/>
        <v>0</v>
      </c>
      <c r="V3792">
        <f t="shared" si="237"/>
        <v>0</v>
      </c>
      <c r="W3792" s="22">
        <f t="shared" si="238"/>
        <v>0</v>
      </c>
    </row>
    <row r="3793" spans="1:23" hidden="1" x14ac:dyDescent="0.25">
      <c r="A3793" s="3">
        <v>46057</v>
      </c>
      <c r="B3793" s="4" t="s">
        <v>946</v>
      </c>
      <c r="C3793" s="4"/>
      <c r="D3793" s="4"/>
      <c r="E3793" s="4" t="s">
        <v>921</v>
      </c>
      <c r="F3793" s="4"/>
      <c r="G3793" s="4" t="s">
        <v>946</v>
      </c>
      <c r="H3793" s="4" t="s">
        <v>380</v>
      </c>
      <c r="I3793" s="4">
        <v>1</v>
      </c>
      <c r="J3793" s="105">
        <v>400</v>
      </c>
      <c r="K3793" s="21">
        <v>0</v>
      </c>
      <c r="L3793" s="111">
        <v>400</v>
      </c>
      <c r="M3793" s="4"/>
      <c r="N3793" s="4"/>
      <c r="O3793" s="5"/>
      <c r="P3793" s="5"/>
      <c r="Q3793" s="21">
        <v>400</v>
      </c>
      <c r="R3793" s="21">
        <v>0</v>
      </c>
      <c r="S3793" s="5">
        <f t="shared" si="239"/>
        <v>39522.81299747085</v>
      </c>
      <c r="T3793" cm="1">
        <f t="array" ref="T3793">IF(OR(B3793="MAL ALIMI", B3793="ÜRETİM GİRİŞ"), MIN(I3793, MAX(0, I3793 + SUM(SUMIFS($I$1:I3792, $C$1:C3792, C3793, $B$1:B3792, {"MAL ALIMI","ÜRETİM GİRİŞ"})) - VLOOKUP(C3793, 'STOK RAPORU'!$C$2:$I$1000, 4, 0))), 0)</f>
        <v>0</v>
      </c>
      <c r="U3793" s="22">
        <f t="shared" si="236"/>
        <v>0</v>
      </c>
      <c r="V3793">
        <f t="shared" si="237"/>
        <v>0</v>
      </c>
      <c r="W3793" s="22">
        <f t="shared" si="238"/>
        <v>0</v>
      </c>
    </row>
    <row r="3794" spans="1:23" hidden="1" x14ac:dyDescent="0.25">
      <c r="A3794" s="45">
        <v>46058</v>
      </c>
      <c r="B3794" s="46" t="s">
        <v>334</v>
      </c>
      <c r="C3794" s="4" t="s">
        <v>60</v>
      </c>
      <c r="D3794" s="4"/>
      <c r="E3794" s="4"/>
      <c r="F3794" s="46" t="s">
        <v>1952</v>
      </c>
      <c r="G3794" s="46" t="s">
        <v>336</v>
      </c>
      <c r="H3794" s="46" t="s">
        <v>289</v>
      </c>
      <c r="I3794" s="4">
        <v>0.05</v>
      </c>
      <c r="J3794" s="21">
        <v>1200</v>
      </c>
      <c r="K3794" s="21">
        <v>0</v>
      </c>
      <c r="L3794" s="5">
        <v>0</v>
      </c>
      <c r="M3794" s="4"/>
      <c r="N3794" s="4"/>
      <c r="O3794" s="5"/>
      <c r="P3794" s="5"/>
      <c r="Q3794" s="21">
        <v>60</v>
      </c>
      <c r="R3794" s="21">
        <v>0</v>
      </c>
      <c r="S3794" s="5">
        <f t="shared" si="239"/>
        <v>39582.81299747085</v>
      </c>
      <c r="T3794" cm="1">
        <f t="array" ref="T3794">IF(OR(B3794="MAL ALIMI", B3794="ÜRETİM GİRİŞ"), MIN(I3794, MAX(0, I3794 + SUM(SUMIFS($I$1:I3793, $C$1:C3793, C3794, $B$1:B3793, {"MAL ALIMI","ÜRETİM GİRİŞ"})) - VLOOKUP(C3794, 'STOK RAPORU'!$C$2:$I$1000, 4, 0))), 0)</f>
        <v>0</v>
      </c>
      <c r="U3794" s="22">
        <f t="shared" si="236"/>
        <v>0</v>
      </c>
      <c r="V3794">
        <f t="shared" si="237"/>
        <v>0</v>
      </c>
      <c r="W3794" s="22">
        <f t="shared" si="238"/>
        <v>0</v>
      </c>
    </row>
    <row r="3795" spans="1:23" hidden="1" x14ac:dyDescent="0.25">
      <c r="A3795" s="45">
        <v>46058</v>
      </c>
      <c r="B3795" s="46" t="s">
        <v>334</v>
      </c>
      <c r="C3795" s="46" t="s">
        <v>585</v>
      </c>
      <c r="D3795" s="4"/>
      <c r="E3795" s="4" t="s">
        <v>921</v>
      </c>
      <c r="F3795" s="46" t="s">
        <v>1953</v>
      </c>
      <c r="G3795" s="46" t="s">
        <v>336</v>
      </c>
      <c r="H3795" s="46" t="s">
        <v>380</v>
      </c>
      <c r="I3795" s="4">
        <v>1</v>
      </c>
      <c r="J3795" s="21">
        <v>200</v>
      </c>
      <c r="K3795" s="21">
        <v>200</v>
      </c>
      <c r="L3795" s="5">
        <v>0</v>
      </c>
      <c r="M3795" s="4"/>
      <c r="N3795" s="4"/>
      <c r="O3795" s="5"/>
      <c r="P3795" s="5"/>
      <c r="Q3795" s="21">
        <v>0</v>
      </c>
      <c r="R3795" s="21">
        <v>0</v>
      </c>
      <c r="S3795" s="5">
        <f t="shared" si="239"/>
        <v>39582.81299747085</v>
      </c>
      <c r="T3795" cm="1">
        <f t="array" ref="T3795">IF(OR(B3795="MAL ALIMI", B3795="ÜRETİM GİRİŞ"), MIN(I3795, MAX(0, I3795 + SUM(SUMIFS($I$1:I3794, $C$1:C3794, C3795, $B$1:B3794, {"MAL ALIMI","ÜRETİM GİRİŞ"})) - VLOOKUP(C3795, 'STOK RAPORU'!$C$2:$I$1000, 4, 0))), 0)</f>
        <v>0</v>
      </c>
      <c r="U3795" s="22">
        <f t="shared" si="236"/>
        <v>0</v>
      </c>
      <c r="V3795">
        <f t="shared" si="237"/>
        <v>0</v>
      </c>
      <c r="W3795" s="22">
        <f t="shared" si="238"/>
        <v>0</v>
      </c>
    </row>
    <row r="3796" spans="1:23" hidden="1" x14ac:dyDescent="0.25">
      <c r="A3796" s="45">
        <v>46058</v>
      </c>
      <c r="B3796" s="46" t="s">
        <v>334</v>
      </c>
      <c r="C3796" s="4" t="s">
        <v>587</v>
      </c>
      <c r="D3796" s="4"/>
      <c r="E3796" s="4" t="s">
        <v>921</v>
      </c>
      <c r="F3796" s="46" t="s">
        <v>1953</v>
      </c>
      <c r="G3796" s="46" t="s">
        <v>336</v>
      </c>
      <c r="H3796" s="46" t="s">
        <v>380</v>
      </c>
      <c r="I3796" s="4">
        <v>1</v>
      </c>
      <c r="J3796" s="21">
        <v>150</v>
      </c>
      <c r="K3796" s="21">
        <v>150</v>
      </c>
      <c r="L3796" s="5">
        <v>0</v>
      </c>
      <c r="M3796" s="4"/>
      <c r="N3796" s="4"/>
      <c r="O3796" s="5"/>
      <c r="P3796" s="5"/>
      <c r="Q3796" s="21">
        <v>0</v>
      </c>
      <c r="R3796" s="21">
        <v>0</v>
      </c>
      <c r="S3796" s="5">
        <f t="shared" si="239"/>
        <v>39582.81299747085</v>
      </c>
      <c r="T3796" cm="1">
        <f t="array" ref="T3796">IF(OR(B3796="MAL ALIMI", B3796="ÜRETİM GİRİŞ"), MIN(I3796, MAX(0, I3796 + SUM(SUMIFS($I$1:I3795, $C$1:C3795, C3796, $B$1:B3795, {"MAL ALIMI","ÜRETİM GİRİŞ"})) - VLOOKUP(C3796, 'STOK RAPORU'!$C$2:$I$1000, 4, 0))), 0)</f>
        <v>0</v>
      </c>
      <c r="U3796" s="22">
        <f t="shared" si="236"/>
        <v>0</v>
      </c>
      <c r="V3796">
        <f t="shared" si="237"/>
        <v>0</v>
      </c>
      <c r="W3796" s="22">
        <f t="shared" si="238"/>
        <v>0</v>
      </c>
    </row>
    <row r="3797" spans="1:23" hidden="1" x14ac:dyDescent="0.25">
      <c r="A3797" s="45">
        <v>46058</v>
      </c>
      <c r="B3797" s="46" t="s">
        <v>334</v>
      </c>
      <c r="C3797" s="4" t="s">
        <v>96</v>
      </c>
      <c r="D3797" s="4"/>
      <c r="E3797" s="4"/>
      <c r="F3797" s="46" t="s">
        <v>1954</v>
      </c>
      <c r="G3797" s="46" t="s">
        <v>336</v>
      </c>
      <c r="H3797" s="46" t="s">
        <v>289</v>
      </c>
      <c r="I3797" s="4">
        <v>0.25</v>
      </c>
      <c r="J3797" s="21">
        <v>400</v>
      </c>
      <c r="K3797" s="21">
        <v>0</v>
      </c>
      <c r="L3797" s="5">
        <v>0</v>
      </c>
      <c r="M3797" s="4"/>
      <c r="N3797" s="4"/>
      <c r="O3797" s="5"/>
      <c r="P3797" s="5"/>
      <c r="Q3797" s="21">
        <v>100</v>
      </c>
      <c r="R3797" s="21">
        <v>0</v>
      </c>
      <c r="S3797" s="5">
        <f t="shared" si="239"/>
        <v>39682.81299747085</v>
      </c>
      <c r="T3797" cm="1">
        <f t="array" ref="T3797">IF(OR(B3797="MAL ALIMI", B3797="ÜRETİM GİRİŞ"), MIN(I3797, MAX(0, I3797 + SUM(SUMIFS($I$1:I3796, $C$1:C3796, C3797, $B$1:B3796, {"MAL ALIMI","ÜRETİM GİRİŞ"})) - VLOOKUP(C3797, 'STOK RAPORU'!$C$2:$I$1000, 4, 0))), 0)</f>
        <v>0</v>
      </c>
      <c r="U3797" s="22">
        <f t="shared" si="236"/>
        <v>0</v>
      </c>
      <c r="V3797">
        <f t="shared" si="237"/>
        <v>0</v>
      </c>
      <c r="W3797" s="22">
        <f t="shared" si="238"/>
        <v>0</v>
      </c>
    </row>
    <row r="3798" spans="1:23" hidden="1" x14ac:dyDescent="0.25">
      <c r="A3798" s="45">
        <v>46058</v>
      </c>
      <c r="B3798" s="46" t="s">
        <v>334</v>
      </c>
      <c r="C3798" s="4" t="s">
        <v>160</v>
      </c>
      <c r="D3798" s="4"/>
      <c r="E3798" s="4"/>
      <c r="F3798" s="46" t="s">
        <v>1954</v>
      </c>
      <c r="G3798" s="46" t="s">
        <v>336</v>
      </c>
      <c r="H3798" s="46" t="s">
        <v>289</v>
      </c>
      <c r="I3798" s="4">
        <v>1</v>
      </c>
      <c r="J3798" s="21">
        <v>250</v>
      </c>
      <c r="K3798" s="21">
        <v>0</v>
      </c>
      <c r="L3798" s="5">
        <v>0</v>
      </c>
      <c r="M3798" s="4"/>
      <c r="N3798" s="4"/>
      <c r="O3798" s="5"/>
      <c r="P3798" s="5"/>
      <c r="Q3798" s="21">
        <v>250</v>
      </c>
      <c r="R3798" s="21">
        <v>0</v>
      </c>
      <c r="S3798" s="5">
        <f t="shared" si="239"/>
        <v>39932.81299747085</v>
      </c>
      <c r="T3798" cm="1">
        <f t="array" ref="T3798">IF(OR(B3798="MAL ALIMI", B3798="ÜRETİM GİRİŞ"), MIN(I3798, MAX(0, I3798 + SUM(SUMIFS($I$1:I3797, $C$1:C3797, C3798, $B$1:B3797, {"MAL ALIMI","ÜRETİM GİRİŞ"})) - VLOOKUP(C3798, 'STOK RAPORU'!$C$2:$I$1000, 4, 0))), 0)</f>
        <v>0</v>
      </c>
      <c r="U3798" s="22">
        <f t="shared" si="236"/>
        <v>0</v>
      </c>
      <c r="V3798">
        <f t="shared" si="237"/>
        <v>0</v>
      </c>
      <c r="W3798" s="22">
        <f t="shared" si="238"/>
        <v>0</v>
      </c>
    </row>
    <row r="3799" spans="1:23" hidden="1" x14ac:dyDescent="0.25">
      <c r="A3799" s="45">
        <v>46058</v>
      </c>
      <c r="B3799" s="46" t="s">
        <v>334</v>
      </c>
      <c r="C3799" s="4" t="s">
        <v>161</v>
      </c>
      <c r="D3799" s="4"/>
      <c r="E3799" s="4"/>
      <c r="F3799" s="46" t="s">
        <v>1954</v>
      </c>
      <c r="G3799" s="46" t="s">
        <v>336</v>
      </c>
      <c r="H3799" s="46" t="s">
        <v>289</v>
      </c>
      <c r="I3799" s="4">
        <v>1</v>
      </c>
      <c r="J3799" s="21">
        <v>230</v>
      </c>
      <c r="K3799" s="21">
        <v>0</v>
      </c>
      <c r="L3799" s="5">
        <v>0</v>
      </c>
      <c r="M3799" s="4"/>
      <c r="N3799" s="4"/>
      <c r="O3799" s="5"/>
      <c r="P3799" s="5"/>
      <c r="Q3799" s="21">
        <v>230</v>
      </c>
      <c r="R3799" s="21">
        <v>0</v>
      </c>
      <c r="S3799" s="5">
        <f t="shared" si="239"/>
        <v>40162.81299747085</v>
      </c>
      <c r="T3799" cm="1">
        <f t="array" ref="T3799">IF(OR(B3799="MAL ALIMI", B3799="ÜRETİM GİRİŞ"), MIN(I3799, MAX(0, I3799 + SUM(SUMIFS($I$1:I3798, $C$1:C3798, C3799, $B$1:B3798, {"MAL ALIMI","ÜRETİM GİRİŞ"})) - VLOOKUP(C3799, 'STOK RAPORU'!$C$2:$I$1000, 4, 0))), 0)</f>
        <v>0</v>
      </c>
      <c r="U3799" s="22">
        <f t="shared" si="236"/>
        <v>0</v>
      </c>
      <c r="V3799">
        <f t="shared" si="237"/>
        <v>0</v>
      </c>
      <c r="W3799" s="22">
        <f t="shared" si="238"/>
        <v>0</v>
      </c>
    </row>
    <row r="3800" spans="1:23" hidden="1" x14ac:dyDescent="0.25">
      <c r="A3800" s="45">
        <v>46058</v>
      </c>
      <c r="B3800" s="46" t="s">
        <v>334</v>
      </c>
      <c r="C3800" s="4" t="s">
        <v>192</v>
      </c>
      <c r="D3800" s="4"/>
      <c r="E3800" s="4"/>
      <c r="F3800" s="46" t="s">
        <v>1955</v>
      </c>
      <c r="G3800" s="46" t="s">
        <v>336</v>
      </c>
      <c r="H3800" s="46" t="s">
        <v>289</v>
      </c>
      <c r="I3800" s="4">
        <v>0.12</v>
      </c>
      <c r="J3800" s="21">
        <v>417</v>
      </c>
      <c r="K3800" s="21">
        <v>0</v>
      </c>
      <c r="L3800" s="5">
        <v>0</v>
      </c>
      <c r="M3800" s="4"/>
      <c r="N3800" s="4"/>
      <c r="O3800" s="5"/>
      <c r="P3800" s="5"/>
      <c r="Q3800" s="21">
        <v>50.04</v>
      </c>
      <c r="R3800" s="21">
        <v>0</v>
      </c>
      <c r="S3800" s="5">
        <f t="shared" si="239"/>
        <v>40212.852997470851</v>
      </c>
      <c r="T3800" cm="1">
        <f t="array" ref="T3800">IF(OR(B3800="MAL ALIMI", B3800="ÜRETİM GİRİŞ"), MIN(I3800, MAX(0, I3800 + SUM(SUMIFS($I$1:I3799, $C$1:C3799, C3800, $B$1:B3799, {"MAL ALIMI","ÜRETİM GİRİŞ"})) - VLOOKUP(C3800, 'STOK RAPORU'!$C$2:$I$1000, 4, 0))), 0)</f>
        <v>0</v>
      </c>
      <c r="U3800" s="22">
        <f t="shared" si="236"/>
        <v>0</v>
      </c>
      <c r="V3800">
        <f t="shared" si="237"/>
        <v>0</v>
      </c>
      <c r="W3800" s="22">
        <f t="shared" si="238"/>
        <v>0</v>
      </c>
    </row>
    <row r="3801" spans="1:23" hidden="1" x14ac:dyDescent="0.25">
      <c r="A3801" s="45">
        <v>46058</v>
      </c>
      <c r="B3801" s="46" t="s">
        <v>334</v>
      </c>
      <c r="C3801" s="4" t="s">
        <v>1634</v>
      </c>
      <c r="D3801" s="4"/>
      <c r="E3801" s="4"/>
      <c r="F3801" s="46" t="s">
        <v>1956</v>
      </c>
      <c r="G3801" s="46" t="s">
        <v>336</v>
      </c>
      <c r="H3801" s="46" t="s">
        <v>289</v>
      </c>
      <c r="I3801" s="4">
        <v>0.5</v>
      </c>
      <c r="J3801" s="21">
        <v>300</v>
      </c>
      <c r="K3801" s="21">
        <v>0</v>
      </c>
      <c r="L3801" s="5">
        <v>0</v>
      </c>
      <c r="M3801" s="4"/>
      <c r="N3801" s="4"/>
      <c r="O3801" s="5"/>
      <c r="P3801" s="5"/>
      <c r="Q3801" s="21">
        <v>150</v>
      </c>
      <c r="R3801" s="21">
        <v>0</v>
      </c>
      <c r="S3801" s="5">
        <f t="shared" si="239"/>
        <v>40362.852997470851</v>
      </c>
      <c r="T3801" cm="1">
        <f t="array" ref="T3801">IF(OR(B3801="MAL ALIMI", B3801="ÜRETİM GİRİŞ"), MIN(I3801, MAX(0, I3801 + SUM(SUMIFS($I$1:I3800, $C$1:C3800, C3801, $B$1:B3800, {"MAL ALIMI","ÜRETİM GİRİŞ"})) - VLOOKUP(C3801, 'STOK RAPORU'!$C$2:$I$1000, 4, 0))), 0)</f>
        <v>0</v>
      </c>
      <c r="U3801" s="22">
        <f t="shared" si="236"/>
        <v>0</v>
      </c>
      <c r="V3801">
        <f t="shared" si="237"/>
        <v>0</v>
      </c>
      <c r="W3801" s="22">
        <f t="shared" si="238"/>
        <v>0</v>
      </c>
    </row>
    <row r="3802" spans="1:23" hidden="1" x14ac:dyDescent="0.25">
      <c r="A3802" s="45">
        <v>46058</v>
      </c>
      <c r="B3802" s="46" t="s">
        <v>334</v>
      </c>
      <c r="C3802" s="4" t="s">
        <v>249</v>
      </c>
      <c r="D3802" s="4"/>
      <c r="E3802" s="4" t="s">
        <v>921</v>
      </c>
      <c r="F3802" s="46" t="s">
        <v>1957</v>
      </c>
      <c r="G3802" s="46" t="s">
        <v>336</v>
      </c>
      <c r="H3802" s="46" t="s">
        <v>380</v>
      </c>
      <c r="I3802" s="4">
        <v>0.1</v>
      </c>
      <c r="J3802" s="21">
        <v>900</v>
      </c>
      <c r="K3802" s="21">
        <v>90</v>
      </c>
      <c r="L3802" s="5">
        <v>0</v>
      </c>
      <c r="M3802" s="4"/>
      <c r="N3802" s="4"/>
      <c r="O3802" s="5"/>
      <c r="P3802" s="5"/>
      <c r="Q3802" s="21">
        <v>0</v>
      </c>
      <c r="R3802" s="21">
        <v>0</v>
      </c>
      <c r="S3802" s="5">
        <f t="shared" si="239"/>
        <v>40362.852997470851</v>
      </c>
      <c r="T3802" cm="1">
        <f t="array" ref="T3802">IF(OR(B3802="MAL ALIMI", B3802="ÜRETİM GİRİŞ"), MIN(I3802, MAX(0, I3802 + SUM(SUMIFS($I$1:I3801, $C$1:C3801, C3802, $B$1:B3801, {"MAL ALIMI","ÜRETİM GİRİŞ"})) - VLOOKUP(C3802, 'STOK RAPORU'!$C$2:$I$1000, 4, 0))), 0)</f>
        <v>0</v>
      </c>
      <c r="U3802" s="22">
        <f t="shared" si="236"/>
        <v>0</v>
      </c>
      <c r="V3802">
        <f t="shared" si="237"/>
        <v>0</v>
      </c>
      <c r="W3802" s="22">
        <f t="shared" si="238"/>
        <v>0</v>
      </c>
    </row>
    <row r="3803" spans="1:23" hidden="1" x14ac:dyDescent="0.25">
      <c r="A3803" s="45">
        <v>46058</v>
      </c>
      <c r="B3803" s="46" t="s">
        <v>334</v>
      </c>
      <c r="C3803" s="4" t="s">
        <v>195</v>
      </c>
      <c r="D3803" s="4"/>
      <c r="E3803" s="4" t="s">
        <v>921</v>
      </c>
      <c r="F3803" s="46" t="s">
        <v>1957</v>
      </c>
      <c r="G3803" s="46" t="s">
        <v>336</v>
      </c>
      <c r="H3803" s="46" t="s">
        <v>380</v>
      </c>
      <c r="I3803" s="4">
        <v>0.05</v>
      </c>
      <c r="J3803" s="21">
        <v>1000</v>
      </c>
      <c r="K3803" s="21">
        <v>50</v>
      </c>
      <c r="L3803" s="5">
        <v>0</v>
      </c>
      <c r="M3803" s="4"/>
      <c r="N3803" s="4"/>
      <c r="O3803" s="5"/>
      <c r="P3803" s="5"/>
      <c r="Q3803" s="21">
        <v>0</v>
      </c>
      <c r="R3803" s="21">
        <v>0</v>
      </c>
      <c r="S3803" s="5">
        <f t="shared" si="239"/>
        <v>40362.852997470851</v>
      </c>
      <c r="T3803" cm="1">
        <f t="array" ref="T3803">IF(OR(B3803="MAL ALIMI", B3803="ÜRETİM GİRİŞ"), MIN(I3803, MAX(0, I3803 + SUM(SUMIFS($I$1:I3802, $C$1:C3802, C3803, $B$1:B3802, {"MAL ALIMI","ÜRETİM GİRİŞ"})) - VLOOKUP(C3803, 'STOK RAPORU'!$C$2:$I$1000, 4, 0))), 0)</f>
        <v>0</v>
      </c>
      <c r="U3803" s="22">
        <f t="shared" si="236"/>
        <v>0</v>
      </c>
      <c r="V3803">
        <f t="shared" si="237"/>
        <v>0</v>
      </c>
      <c r="W3803" s="22">
        <f t="shared" si="238"/>
        <v>0</v>
      </c>
    </row>
    <row r="3804" spans="1:23" hidden="1" x14ac:dyDescent="0.25">
      <c r="A3804" s="45">
        <v>46058</v>
      </c>
      <c r="B3804" s="46" t="s">
        <v>334</v>
      </c>
      <c r="C3804" s="4" t="s">
        <v>1357</v>
      </c>
      <c r="D3804" s="4"/>
      <c r="E3804" s="4" t="s">
        <v>921</v>
      </c>
      <c r="F3804" s="46" t="s">
        <v>1957</v>
      </c>
      <c r="G3804" s="46" t="s">
        <v>336</v>
      </c>
      <c r="H3804" s="46" t="s">
        <v>380</v>
      </c>
      <c r="I3804" s="4">
        <v>1</v>
      </c>
      <c r="J3804" s="21">
        <v>570</v>
      </c>
      <c r="K3804" s="21">
        <v>570</v>
      </c>
      <c r="L3804" s="5">
        <v>0</v>
      </c>
      <c r="M3804" s="4"/>
      <c r="N3804" s="4"/>
      <c r="O3804" s="5"/>
      <c r="P3804" s="5"/>
      <c r="Q3804" s="21">
        <v>0</v>
      </c>
      <c r="R3804" s="21">
        <v>0</v>
      </c>
      <c r="S3804" s="5">
        <f t="shared" si="239"/>
        <v>40362.852997470851</v>
      </c>
      <c r="T3804" cm="1">
        <f t="array" ref="T3804">IF(OR(B3804="MAL ALIMI", B3804="ÜRETİM GİRİŞ"), MIN(I3804, MAX(0, I3804 + SUM(SUMIFS($I$1:I3803, $C$1:C3803, C3804, $B$1:B3803, {"MAL ALIMI","ÜRETİM GİRİŞ"})) - VLOOKUP(C3804, 'STOK RAPORU'!$C$2:$I$1000, 4, 0))), 0)</f>
        <v>0</v>
      </c>
      <c r="U3804" s="22">
        <f t="shared" si="236"/>
        <v>0</v>
      </c>
      <c r="V3804">
        <f t="shared" si="237"/>
        <v>0</v>
      </c>
      <c r="W3804" s="22">
        <f t="shared" si="238"/>
        <v>0</v>
      </c>
    </row>
    <row r="3805" spans="1:23" hidden="1" x14ac:dyDescent="0.25">
      <c r="A3805" s="45">
        <v>46058</v>
      </c>
      <c r="B3805" s="46" t="s">
        <v>334</v>
      </c>
      <c r="C3805" s="4" t="s">
        <v>161</v>
      </c>
      <c r="D3805" s="4"/>
      <c r="E3805" s="4" t="s">
        <v>921</v>
      </c>
      <c r="F3805" s="46" t="s">
        <v>1958</v>
      </c>
      <c r="G3805" s="46" t="s">
        <v>336</v>
      </c>
      <c r="H3805" s="46" t="s">
        <v>380</v>
      </c>
      <c r="I3805" s="4">
        <v>1</v>
      </c>
      <c r="J3805" s="21">
        <v>230</v>
      </c>
      <c r="K3805" s="21">
        <v>230</v>
      </c>
      <c r="L3805" s="5">
        <v>0</v>
      </c>
      <c r="M3805" s="4"/>
      <c r="N3805" s="4"/>
      <c r="O3805" s="5"/>
      <c r="P3805" s="5"/>
      <c r="Q3805" s="21">
        <v>0</v>
      </c>
      <c r="R3805" s="21">
        <v>0</v>
      </c>
      <c r="S3805" s="5">
        <f t="shared" si="239"/>
        <v>40362.852997470851</v>
      </c>
      <c r="T3805" cm="1">
        <f t="array" ref="T3805">IF(OR(B3805="MAL ALIMI", B3805="ÜRETİM GİRİŞ"), MIN(I3805, MAX(0, I3805 + SUM(SUMIFS($I$1:I3804, $C$1:C3804, C3805, $B$1:B3804, {"MAL ALIMI","ÜRETİM GİRİŞ"})) - VLOOKUP(C3805, 'STOK RAPORU'!$C$2:$I$1000, 4, 0))), 0)</f>
        <v>0</v>
      </c>
      <c r="U3805" s="22">
        <f t="shared" si="236"/>
        <v>0</v>
      </c>
      <c r="V3805">
        <f t="shared" si="237"/>
        <v>0</v>
      </c>
      <c r="W3805" s="22">
        <f t="shared" si="238"/>
        <v>0</v>
      </c>
    </row>
    <row r="3806" spans="1:23" hidden="1" x14ac:dyDescent="0.25">
      <c r="A3806" s="45">
        <v>46058</v>
      </c>
      <c r="B3806" s="46" t="s">
        <v>334</v>
      </c>
      <c r="C3806" s="4" t="s">
        <v>160</v>
      </c>
      <c r="D3806" s="4"/>
      <c r="E3806" s="4" t="s">
        <v>921</v>
      </c>
      <c r="F3806" s="46" t="s">
        <v>1959</v>
      </c>
      <c r="G3806" s="46" t="s">
        <v>336</v>
      </c>
      <c r="H3806" s="46" t="s">
        <v>380</v>
      </c>
      <c r="I3806" s="4">
        <v>1</v>
      </c>
      <c r="J3806" s="21">
        <v>250</v>
      </c>
      <c r="K3806" s="21">
        <v>250</v>
      </c>
      <c r="L3806" s="5">
        <v>0</v>
      </c>
      <c r="M3806" s="4"/>
      <c r="N3806" s="4"/>
      <c r="O3806" s="5"/>
      <c r="P3806" s="5"/>
      <c r="Q3806" s="21">
        <v>0</v>
      </c>
      <c r="R3806" s="21">
        <v>0</v>
      </c>
      <c r="S3806" s="5">
        <f t="shared" si="239"/>
        <v>40362.852997470851</v>
      </c>
      <c r="T3806" cm="1">
        <f t="array" ref="T3806">IF(OR(B3806="MAL ALIMI", B3806="ÜRETİM GİRİŞ"), MIN(I3806, MAX(0, I3806 + SUM(SUMIFS($I$1:I3805, $C$1:C3805, C3806, $B$1:B3805, {"MAL ALIMI","ÜRETİM GİRİŞ"})) - VLOOKUP(C3806, 'STOK RAPORU'!$C$2:$I$1000, 4, 0))), 0)</f>
        <v>0</v>
      </c>
      <c r="U3806" s="22">
        <f t="shared" si="236"/>
        <v>0</v>
      </c>
      <c r="V3806">
        <f t="shared" si="237"/>
        <v>0</v>
      </c>
      <c r="W3806" s="22">
        <f t="shared" si="238"/>
        <v>0</v>
      </c>
    </row>
    <row r="3807" spans="1:23" hidden="1" x14ac:dyDescent="0.25">
      <c r="A3807" s="45">
        <v>46058</v>
      </c>
      <c r="B3807" s="46" t="s">
        <v>334</v>
      </c>
      <c r="C3807" s="4" t="s">
        <v>161</v>
      </c>
      <c r="D3807" s="4"/>
      <c r="E3807" s="4" t="s">
        <v>921</v>
      </c>
      <c r="F3807" s="46" t="s">
        <v>1959</v>
      </c>
      <c r="G3807" s="46" t="s">
        <v>336</v>
      </c>
      <c r="H3807" s="46" t="s">
        <v>380</v>
      </c>
      <c r="I3807" s="4">
        <v>1</v>
      </c>
      <c r="J3807" s="21">
        <v>230</v>
      </c>
      <c r="K3807" s="21">
        <v>230</v>
      </c>
      <c r="L3807" s="5">
        <v>0</v>
      </c>
      <c r="M3807" s="4"/>
      <c r="N3807" s="4"/>
      <c r="O3807" s="5"/>
      <c r="P3807" s="5"/>
      <c r="Q3807" s="21">
        <v>0</v>
      </c>
      <c r="R3807" s="21">
        <v>0</v>
      </c>
      <c r="S3807" s="5">
        <f t="shared" si="239"/>
        <v>40362.852997470851</v>
      </c>
      <c r="T3807" cm="1">
        <f t="array" ref="T3807">IF(OR(B3807="MAL ALIMI", B3807="ÜRETİM GİRİŞ"), MIN(I3807, MAX(0, I3807 + SUM(SUMIFS($I$1:I3806, $C$1:C3806, C3807, $B$1:B3806, {"MAL ALIMI","ÜRETİM GİRİŞ"})) - VLOOKUP(C3807, 'STOK RAPORU'!$C$2:$I$1000, 4, 0))), 0)</f>
        <v>0</v>
      </c>
      <c r="U3807" s="22">
        <f t="shared" si="236"/>
        <v>0</v>
      </c>
      <c r="V3807">
        <f t="shared" si="237"/>
        <v>0</v>
      </c>
      <c r="W3807" s="22">
        <f t="shared" si="238"/>
        <v>0</v>
      </c>
    </row>
    <row r="3808" spans="1:23" hidden="1" x14ac:dyDescent="0.25">
      <c r="A3808" s="45">
        <v>46058</v>
      </c>
      <c r="B3808" s="46" t="s">
        <v>334</v>
      </c>
      <c r="C3808" s="4" t="s">
        <v>529</v>
      </c>
      <c r="D3808" s="4"/>
      <c r="E3808" s="4" t="s">
        <v>921</v>
      </c>
      <c r="F3808" s="46" t="s">
        <v>1959</v>
      </c>
      <c r="G3808" s="46" t="s">
        <v>336</v>
      </c>
      <c r="H3808" s="46" t="s">
        <v>380</v>
      </c>
      <c r="I3808" s="4">
        <v>0.1</v>
      </c>
      <c r="J3808" s="21">
        <v>600</v>
      </c>
      <c r="K3808" s="21">
        <v>60</v>
      </c>
      <c r="L3808" s="5">
        <v>0</v>
      </c>
      <c r="M3808" s="4"/>
      <c r="N3808" s="4"/>
      <c r="O3808" s="5"/>
      <c r="P3808" s="5"/>
      <c r="Q3808" s="21">
        <v>0</v>
      </c>
      <c r="R3808" s="21">
        <v>0</v>
      </c>
      <c r="S3808" s="5">
        <f t="shared" si="239"/>
        <v>40362.852997470851</v>
      </c>
      <c r="T3808" cm="1">
        <f t="array" ref="T3808">IF(OR(B3808="MAL ALIMI", B3808="ÜRETİM GİRİŞ"), MIN(I3808, MAX(0, I3808 + SUM(SUMIFS($I$1:I3807, $C$1:C3807, C3808, $B$1:B3807, {"MAL ALIMI","ÜRETİM GİRİŞ"})) - VLOOKUP(C3808, 'STOK RAPORU'!$C$2:$I$1000, 4, 0))), 0)</f>
        <v>0</v>
      </c>
      <c r="U3808" s="22">
        <f t="shared" si="236"/>
        <v>0</v>
      </c>
      <c r="V3808">
        <f t="shared" si="237"/>
        <v>0</v>
      </c>
      <c r="W3808" s="22">
        <f t="shared" si="238"/>
        <v>0</v>
      </c>
    </row>
    <row r="3809" spans="1:23" hidden="1" x14ac:dyDescent="0.25">
      <c r="A3809" s="45">
        <v>46058</v>
      </c>
      <c r="B3809" s="46" t="s">
        <v>334</v>
      </c>
      <c r="C3809" s="4" t="s">
        <v>601</v>
      </c>
      <c r="D3809" s="4"/>
      <c r="E3809" s="4" t="s">
        <v>921</v>
      </c>
      <c r="F3809" s="46" t="s">
        <v>1959</v>
      </c>
      <c r="G3809" s="46" t="s">
        <v>336</v>
      </c>
      <c r="H3809" s="46" t="s">
        <v>380</v>
      </c>
      <c r="I3809" s="4">
        <v>0.152</v>
      </c>
      <c r="J3809" s="21">
        <v>550</v>
      </c>
      <c r="K3809" s="21">
        <v>83.6</v>
      </c>
      <c r="L3809" s="5">
        <v>0</v>
      </c>
      <c r="M3809" s="4"/>
      <c r="N3809" s="4"/>
      <c r="O3809" s="5"/>
      <c r="P3809" s="5"/>
      <c r="Q3809" s="21">
        <v>0</v>
      </c>
      <c r="R3809" s="21">
        <v>0</v>
      </c>
      <c r="S3809" s="5">
        <f t="shared" si="239"/>
        <v>40362.852997470851</v>
      </c>
      <c r="T3809" cm="1">
        <f t="array" ref="T3809">IF(OR(B3809="MAL ALIMI", B3809="ÜRETİM GİRİŞ"), MIN(I3809, MAX(0, I3809 + SUM(SUMIFS($I$1:I3808, $C$1:C3808, C3809, $B$1:B3808, {"MAL ALIMI","ÜRETİM GİRİŞ"})) - VLOOKUP(C3809, 'STOK RAPORU'!$C$2:$I$1000, 4, 0))), 0)</f>
        <v>0</v>
      </c>
      <c r="U3809" s="22">
        <f t="shared" si="236"/>
        <v>0</v>
      </c>
      <c r="V3809">
        <f t="shared" si="237"/>
        <v>0</v>
      </c>
      <c r="W3809" s="22">
        <f t="shared" si="238"/>
        <v>0</v>
      </c>
    </row>
    <row r="3810" spans="1:23" hidden="1" x14ac:dyDescent="0.25">
      <c r="A3810" s="45">
        <v>46058</v>
      </c>
      <c r="B3810" s="46" t="s">
        <v>334</v>
      </c>
      <c r="C3810" s="4" t="s">
        <v>728</v>
      </c>
      <c r="D3810" s="4"/>
      <c r="E3810" s="4"/>
      <c r="F3810" s="46" t="s">
        <v>1960</v>
      </c>
      <c r="G3810" s="46" t="s">
        <v>336</v>
      </c>
      <c r="H3810" s="46" t="s">
        <v>289</v>
      </c>
      <c r="I3810" s="4">
        <v>0.44800000000000001</v>
      </c>
      <c r="J3810" s="21">
        <v>690</v>
      </c>
      <c r="K3810" s="21">
        <v>0</v>
      </c>
      <c r="L3810" s="5">
        <v>0</v>
      </c>
      <c r="M3810" s="4"/>
      <c r="N3810" s="4"/>
      <c r="O3810" s="5"/>
      <c r="P3810" s="5"/>
      <c r="Q3810" s="21">
        <v>309.12</v>
      </c>
      <c r="R3810" s="21">
        <v>0</v>
      </c>
      <c r="S3810" s="5">
        <f t="shared" si="239"/>
        <v>40671.972997470853</v>
      </c>
      <c r="T3810" cm="1">
        <f t="array" ref="T3810">IF(OR(B3810="MAL ALIMI", B3810="ÜRETİM GİRİŞ"), MIN(I3810, MAX(0, I3810 + SUM(SUMIFS($I$1:I3809, $C$1:C3809, C3810, $B$1:B3809, {"MAL ALIMI","ÜRETİM GİRİŞ"})) - VLOOKUP(C3810, 'STOK RAPORU'!$C$2:$I$1000, 4, 0))), 0)</f>
        <v>0</v>
      </c>
      <c r="U3810" s="22">
        <f t="shared" si="236"/>
        <v>0</v>
      </c>
      <c r="V3810">
        <f t="shared" si="237"/>
        <v>0</v>
      </c>
      <c r="W3810" s="22">
        <f t="shared" si="238"/>
        <v>0</v>
      </c>
    </row>
    <row r="3811" spans="1:23" hidden="1" x14ac:dyDescent="0.25">
      <c r="A3811" s="45">
        <v>46058</v>
      </c>
      <c r="B3811" s="46" t="s">
        <v>334</v>
      </c>
      <c r="C3811" s="4" t="s">
        <v>266</v>
      </c>
      <c r="D3811" s="4"/>
      <c r="E3811" s="4"/>
      <c r="F3811" s="46" t="s">
        <v>1960</v>
      </c>
      <c r="G3811" s="46" t="s">
        <v>336</v>
      </c>
      <c r="H3811" s="46" t="s">
        <v>289</v>
      </c>
      <c r="I3811" s="4">
        <v>0.2</v>
      </c>
      <c r="J3811" s="21">
        <v>250</v>
      </c>
      <c r="K3811" s="21">
        <v>0</v>
      </c>
      <c r="L3811" s="5">
        <v>0</v>
      </c>
      <c r="M3811" s="4"/>
      <c r="N3811" s="4"/>
      <c r="O3811" s="5"/>
      <c r="P3811" s="5"/>
      <c r="Q3811" s="21">
        <v>50</v>
      </c>
      <c r="R3811" s="21">
        <v>0</v>
      </c>
      <c r="S3811" s="5">
        <f t="shared" si="239"/>
        <v>40721.972997470853</v>
      </c>
      <c r="T3811" cm="1">
        <f t="array" ref="T3811">IF(OR(B3811="MAL ALIMI", B3811="ÜRETİM GİRİŞ"), MIN(I3811, MAX(0, I3811 + SUM(SUMIFS($I$1:I3810, $C$1:C3810, C3811, $B$1:B3810, {"MAL ALIMI","ÜRETİM GİRİŞ"})) - VLOOKUP(C3811, 'STOK RAPORU'!$C$2:$I$1000, 4, 0))), 0)</f>
        <v>0</v>
      </c>
      <c r="U3811" s="22">
        <f t="shared" si="236"/>
        <v>0</v>
      </c>
      <c r="V3811">
        <f t="shared" si="237"/>
        <v>0</v>
      </c>
      <c r="W3811" s="22">
        <f t="shared" si="238"/>
        <v>0</v>
      </c>
    </row>
    <row r="3812" spans="1:23" hidden="1" x14ac:dyDescent="0.25">
      <c r="A3812" s="45">
        <v>46058</v>
      </c>
      <c r="B3812" s="46" t="s">
        <v>334</v>
      </c>
      <c r="C3812" s="4" t="s">
        <v>1634</v>
      </c>
      <c r="D3812" s="4"/>
      <c r="E3812" s="4"/>
      <c r="F3812" s="46" t="s">
        <v>1961</v>
      </c>
      <c r="G3812" s="46" t="s">
        <v>336</v>
      </c>
      <c r="H3812" s="46" t="s">
        <v>289</v>
      </c>
      <c r="I3812" s="4">
        <v>0.5</v>
      </c>
      <c r="J3812" s="21">
        <v>300</v>
      </c>
      <c r="K3812" s="21">
        <v>0</v>
      </c>
      <c r="L3812" s="5">
        <v>0</v>
      </c>
      <c r="M3812" s="4"/>
      <c r="N3812" s="4"/>
      <c r="O3812" s="5"/>
      <c r="P3812" s="5"/>
      <c r="Q3812" s="21">
        <v>150</v>
      </c>
      <c r="R3812" s="21">
        <v>0</v>
      </c>
      <c r="S3812" s="5">
        <f t="shared" si="239"/>
        <v>40871.972997470853</v>
      </c>
      <c r="T3812" cm="1">
        <f t="array" ref="T3812">IF(OR(B3812="MAL ALIMI", B3812="ÜRETİM GİRİŞ"), MIN(I3812, MAX(0, I3812 + SUM(SUMIFS($I$1:I3811, $C$1:C3811, C3812, $B$1:B3811, {"MAL ALIMI","ÜRETİM GİRİŞ"})) - VLOOKUP(C3812, 'STOK RAPORU'!$C$2:$I$1000, 4, 0))), 0)</f>
        <v>0</v>
      </c>
      <c r="U3812" s="22">
        <f t="shared" si="236"/>
        <v>0</v>
      </c>
      <c r="V3812">
        <f t="shared" si="237"/>
        <v>0</v>
      </c>
      <c r="W3812" s="22">
        <f t="shared" si="238"/>
        <v>0</v>
      </c>
    </row>
    <row r="3813" spans="1:23" hidden="1" x14ac:dyDescent="0.25">
      <c r="A3813" s="45">
        <v>46058</v>
      </c>
      <c r="B3813" s="46" t="s">
        <v>334</v>
      </c>
      <c r="C3813" s="4" t="s">
        <v>132</v>
      </c>
      <c r="D3813" s="4"/>
      <c r="E3813" s="4"/>
      <c r="F3813" s="46" t="s">
        <v>1962</v>
      </c>
      <c r="G3813" s="46" t="s">
        <v>336</v>
      </c>
      <c r="H3813" s="46" t="s">
        <v>289</v>
      </c>
      <c r="I3813" s="4">
        <v>0.2</v>
      </c>
      <c r="J3813" s="21">
        <v>500</v>
      </c>
      <c r="K3813" s="21">
        <v>0</v>
      </c>
      <c r="L3813" s="5">
        <v>0</v>
      </c>
      <c r="M3813" s="4"/>
      <c r="N3813" s="4"/>
      <c r="O3813" s="5"/>
      <c r="P3813" s="5"/>
      <c r="Q3813" s="21">
        <v>100</v>
      </c>
      <c r="R3813" s="21">
        <v>0</v>
      </c>
      <c r="S3813" s="5">
        <f t="shared" si="239"/>
        <v>40971.972997470853</v>
      </c>
      <c r="T3813" cm="1">
        <f t="array" ref="T3813">IF(OR(B3813="MAL ALIMI", B3813="ÜRETİM GİRİŞ"), MIN(I3813, MAX(0, I3813 + SUM(SUMIFS($I$1:I3812, $C$1:C3812, C3813, $B$1:B3812, {"MAL ALIMI","ÜRETİM GİRİŞ"})) - VLOOKUP(C3813, 'STOK RAPORU'!$C$2:$I$1000, 4, 0))), 0)</f>
        <v>0</v>
      </c>
      <c r="U3813" s="22">
        <f t="shared" si="236"/>
        <v>0</v>
      </c>
      <c r="V3813">
        <f t="shared" si="237"/>
        <v>0</v>
      </c>
      <c r="W3813" s="22">
        <f t="shared" si="238"/>
        <v>0</v>
      </c>
    </row>
    <row r="3814" spans="1:23" hidden="1" x14ac:dyDescent="0.25">
      <c r="A3814" s="45">
        <v>46058</v>
      </c>
      <c r="B3814" s="46" t="s">
        <v>334</v>
      </c>
      <c r="C3814" s="4" t="s">
        <v>587</v>
      </c>
      <c r="D3814" s="4"/>
      <c r="E3814" s="4"/>
      <c r="F3814" s="46" t="s">
        <v>1963</v>
      </c>
      <c r="G3814" s="46" t="s">
        <v>336</v>
      </c>
      <c r="H3814" s="46" t="s">
        <v>289</v>
      </c>
      <c r="I3814" s="4">
        <v>1.3340000000000001</v>
      </c>
      <c r="J3814" s="21">
        <v>150</v>
      </c>
      <c r="K3814" s="21">
        <v>0</v>
      </c>
      <c r="L3814" s="5">
        <v>0</v>
      </c>
      <c r="M3814" s="4"/>
      <c r="N3814" s="4"/>
      <c r="O3814" s="5"/>
      <c r="P3814" s="5"/>
      <c r="Q3814" s="21">
        <v>200.10000000000002</v>
      </c>
      <c r="R3814" s="21">
        <v>0</v>
      </c>
      <c r="S3814" s="5">
        <f t="shared" si="239"/>
        <v>41172.072997470852</v>
      </c>
      <c r="T3814" cm="1">
        <f t="array" ref="T3814">IF(OR(B3814="MAL ALIMI", B3814="ÜRETİM GİRİŞ"), MIN(I3814, MAX(0, I3814 + SUM(SUMIFS($I$1:I3813, $C$1:C3813, C3814, $B$1:B3813, {"MAL ALIMI","ÜRETİM GİRİŞ"})) - VLOOKUP(C3814, 'STOK RAPORU'!$C$2:$I$1000, 4, 0))), 0)</f>
        <v>0</v>
      </c>
      <c r="U3814" s="22">
        <f t="shared" si="236"/>
        <v>0</v>
      </c>
      <c r="V3814">
        <f t="shared" si="237"/>
        <v>0</v>
      </c>
      <c r="W3814" s="22">
        <f t="shared" si="238"/>
        <v>0</v>
      </c>
    </row>
    <row r="3815" spans="1:23" hidden="1" x14ac:dyDescent="0.25">
      <c r="A3815" s="45">
        <v>46058</v>
      </c>
      <c r="B3815" s="46" t="s">
        <v>334</v>
      </c>
      <c r="C3815" s="4" t="s">
        <v>833</v>
      </c>
      <c r="D3815" s="4"/>
      <c r="E3815" s="4"/>
      <c r="F3815" s="46" t="s">
        <v>1964</v>
      </c>
      <c r="G3815" s="46" t="s">
        <v>336</v>
      </c>
      <c r="H3815" s="46" t="s">
        <v>289</v>
      </c>
      <c r="I3815" s="4">
        <v>1</v>
      </c>
      <c r="J3815" s="21">
        <v>175</v>
      </c>
      <c r="K3815" s="21">
        <v>0</v>
      </c>
      <c r="L3815" s="5">
        <v>0</v>
      </c>
      <c r="M3815" s="4"/>
      <c r="N3815" s="4"/>
      <c r="O3815" s="5"/>
      <c r="P3815" s="5"/>
      <c r="Q3815" s="21">
        <v>175</v>
      </c>
      <c r="R3815" s="21">
        <v>0</v>
      </c>
      <c r="S3815" s="5">
        <f t="shared" si="239"/>
        <v>41347.072997470852</v>
      </c>
      <c r="T3815" cm="1">
        <f t="array" ref="T3815">IF(OR(B3815="MAL ALIMI", B3815="ÜRETİM GİRİŞ"), MIN(I3815, MAX(0, I3815 + SUM(SUMIFS($I$1:I3814, $C$1:C3814, C3815, $B$1:B3814, {"MAL ALIMI","ÜRETİM GİRİŞ"})) - VLOOKUP(C3815, 'STOK RAPORU'!$C$2:$I$1000, 4, 0))), 0)</f>
        <v>0</v>
      </c>
      <c r="U3815" s="22">
        <f t="shared" si="236"/>
        <v>0</v>
      </c>
      <c r="V3815">
        <f t="shared" si="237"/>
        <v>0</v>
      </c>
      <c r="W3815" s="22">
        <f t="shared" si="238"/>
        <v>0</v>
      </c>
    </row>
    <row r="3816" spans="1:23" hidden="1" x14ac:dyDescent="0.25">
      <c r="A3816" s="45">
        <v>46058</v>
      </c>
      <c r="B3816" s="46" t="s">
        <v>334</v>
      </c>
      <c r="C3816" s="4" t="s">
        <v>1041</v>
      </c>
      <c r="D3816" s="4"/>
      <c r="E3816" s="4"/>
      <c r="F3816" s="46" t="s">
        <v>1964</v>
      </c>
      <c r="G3816" s="46" t="s">
        <v>336</v>
      </c>
      <c r="H3816" s="46" t="s">
        <v>289</v>
      </c>
      <c r="I3816" s="4">
        <v>1</v>
      </c>
      <c r="J3816" s="21">
        <v>250</v>
      </c>
      <c r="K3816" s="21">
        <v>0</v>
      </c>
      <c r="L3816" s="5">
        <v>0</v>
      </c>
      <c r="M3816" s="4"/>
      <c r="N3816" s="4"/>
      <c r="O3816" s="5"/>
      <c r="P3816" s="5"/>
      <c r="Q3816" s="21">
        <v>250</v>
      </c>
      <c r="R3816" s="21">
        <v>0</v>
      </c>
      <c r="S3816" s="5">
        <f t="shared" si="239"/>
        <v>41597.072997470852</v>
      </c>
      <c r="T3816" cm="1">
        <f t="array" ref="T3816">IF(OR(B3816="MAL ALIMI", B3816="ÜRETİM GİRİŞ"), MIN(I3816, MAX(0, I3816 + SUM(SUMIFS($I$1:I3815, $C$1:C3815, C3816, $B$1:B3815, {"MAL ALIMI","ÜRETİM GİRİŞ"})) - VLOOKUP(C3816, 'STOK RAPORU'!$C$2:$I$1000, 4, 0))), 0)</f>
        <v>0</v>
      </c>
      <c r="U3816" s="22">
        <f t="shared" si="236"/>
        <v>0</v>
      </c>
      <c r="V3816">
        <f t="shared" si="237"/>
        <v>0</v>
      </c>
      <c r="W3816" s="22">
        <f t="shared" si="238"/>
        <v>0</v>
      </c>
    </row>
    <row r="3817" spans="1:23" hidden="1" x14ac:dyDescent="0.25">
      <c r="A3817" s="45">
        <v>46058</v>
      </c>
      <c r="B3817" s="46" t="s">
        <v>334</v>
      </c>
      <c r="C3817" s="4" t="s">
        <v>60</v>
      </c>
      <c r="D3817" s="4"/>
      <c r="E3817" s="4"/>
      <c r="F3817" s="46" t="s">
        <v>1964</v>
      </c>
      <c r="G3817" s="46" t="s">
        <v>336</v>
      </c>
      <c r="H3817" s="46" t="s">
        <v>289</v>
      </c>
      <c r="I3817" s="4">
        <v>0.05</v>
      </c>
      <c r="J3817" s="21">
        <v>1200</v>
      </c>
      <c r="K3817" s="21">
        <v>0</v>
      </c>
      <c r="L3817" s="5">
        <v>0</v>
      </c>
      <c r="M3817" s="4"/>
      <c r="N3817" s="4"/>
      <c r="O3817" s="5"/>
      <c r="P3817" s="5"/>
      <c r="Q3817" s="21">
        <v>60</v>
      </c>
      <c r="R3817" s="21">
        <v>0</v>
      </c>
      <c r="S3817" s="5">
        <f t="shared" si="239"/>
        <v>41657.072997470852</v>
      </c>
      <c r="T3817" cm="1">
        <f t="array" ref="T3817">IF(OR(B3817="MAL ALIMI", B3817="ÜRETİM GİRİŞ"), MIN(I3817, MAX(0, I3817 + SUM(SUMIFS($I$1:I3816, $C$1:C3816, C3817, $B$1:B3816, {"MAL ALIMI","ÜRETİM GİRİŞ"})) - VLOOKUP(C3817, 'STOK RAPORU'!$C$2:$I$1000, 4, 0))), 0)</f>
        <v>0</v>
      </c>
      <c r="U3817" s="22">
        <f t="shared" si="236"/>
        <v>0</v>
      </c>
      <c r="V3817">
        <f t="shared" si="237"/>
        <v>0</v>
      </c>
      <c r="W3817" s="22">
        <f t="shared" si="238"/>
        <v>0</v>
      </c>
    </row>
    <row r="3818" spans="1:23" hidden="1" x14ac:dyDescent="0.25">
      <c r="A3818" s="45">
        <v>46058</v>
      </c>
      <c r="B3818" s="46" t="s">
        <v>334</v>
      </c>
      <c r="C3818" s="46" t="s">
        <v>154</v>
      </c>
      <c r="D3818" s="46"/>
      <c r="E3818" s="46"/>
      <c r="F3818" s="46" t="s">
        <v>1965</v>
      </c>
      <c r="G3818" s="46" t="s">
        <v>1972</v>
      </c>
      <c r="H3818" s="46" t="s">
        <v>289</v>
      </c>
      <c r="I3818" s="46">
        <v>0.1</v>
      </c>
      <c r="J3818" s="47">
        <v>400</v>
      </c>
      <c r="K3818" s="47">
        <v>0</v>
      </c>
      <c r="L3818" s="48">
        <v>0</v>
      </c>
      <c r="M3818" s="46"/>
      <c r="N3818" s="46"/>
      <c r="O3818" s="48"/>
      <c r="P3818" s="48"/>
      <c r="Q3818" s="47">
        <v>40</v>
      </c>
      <c r="R3818" s="21">
        <v>0</v>
      </c>
      <c r="S3818" s="5">
        <f t="shared" si="239"/>
        <v>41697.072997470852</v>
      </c>
      <c r="T3818" cm="1">
        <f t="array" ref="T3818">IF(OR(B3818="MAL ALIMI", B3818="ÜRETİM GİRİŞ"), MIN(I3818, MAX(0, I3818 + SUM(SUMIFS($I$1:I3817, $C$1:C3817, C3818, $B$1:B3817, {"MAL ALIMI","ÜRETİM GİRİŞ"})) - VLOOKUP(C3818, 'STOK RAPORU'!$C$2:$I$1000, 4, 0))), 0)</f>
        <v>0</v>
      </c>
      <c r="U3818" s="22">
        <f t="shared" si="236"/>
        <v>0</v>
      </c>
      <c r="V3818">
        <f t="shared" si="237"/>
        <v>0</v>
      </c>
      <c r="W3818" s="22">
        <f t="shared" si="238"/>
        <v>0</v>
      </c>
    </row>
    <row r="3819" spans="1:23" hidden="1" x14ac:dyDescent="0.25">
      <c r="A3819" s="45">
        <v>46058</v>
      </c>
      <c r="B3819" s="46" t="s">
        <v>334</v>
      </c>
      <c r="C3819" s="46" t="s">
        <v>152</v>
      </c>
      <c r="D3819" s="46"/>
      <c r="E3819" s="46"/>
      <c r="F3819" s="46" t="s">
        <v>1965</v>
      </c>
      <c r="G3819" s="46" t="s">
        <v>1972</v>
      </c>
      <c r="H3819" s="46" t="s">
        <v>289</v>
      </c>
      <c r="I3819" s="46">
        <v>0.1</v>
      </c>
      <c r="J3819" s="47">
        <v>400</v>
      </c>
      <c r="K3819" s="47">
        <v>0</v>
      </c>
      <c r="L3819" s="48">
        <v>0</v>
      </c>
      <c r="M3819" s="46"/>
      <c r="N3819" s="46"/>
      <c r="O3819" s="48"/>
      <c r="P3819" s="48"/>
      <c r="Q3819" s="47">
        <v>40</v>
      </c>
      <c r="R3819" s="21">
        <v>0</v>
      </c>
      <c r="S3819" s="5">
        <f t="shared" si="239"/>
        <v>41737.072997470852</v>
      </c>
      <c r="T3819" cm="1">
        <f t="array" ref="T3819">IF(OR(B3819="MAL ALIMI", B3819="ÜRETİM GİRİŞ"), MIN(I3819, MAX(0, I3819 + SUM(SUMIFS($I$1:I3818, $C$1:C3818, C3819, $B$1:B3818, {"MAL ALIMI","ÜRETİM GİRİŞ"})) - VLOOKUP(C3819, 'STOK RAPORU'!$C$2:$I$1000, 4, 0))), 0)</f>
        <v>0</v>
      </c>
      <c r="U3819" s="22">
        <f t="shared" si="236"/>
        <v>0</v>
      </c>
      <c r="V3819">
        <f t="shared" si="237"/>
        <v>0</v>
      </c>
      <c r="W3819" s="22">
        <f t="shared" si="238"/>
        <v>0</v>
      </c>
    </row>
    <row r="3820" spans="1:23" hidden="1" x14ac:dyDescent="0.25">
      <c r="A3820" s="45">
        <v>46058</v>
      </c>
      <c r="B3820" s="46" t="s">
        <v>334</v>
      </c>
      <c r="C3820" s="4" t="s">
        <v>486</v>
      </c>
      <c r="D3820" s="4"/>
      <c r="E3820" s="4" t="s">
        <v>921</v>
      </c>
      <c r="F3820" s="46" t="s">
        <v>1966</v>
      </c>
      <c r="G3820" s="46" t="s">
        <v>336</v>
      </c>
      <c r="H3820" s="46" t="s">
        <v>380</v>
      </c>
      <c r="I3820" s="4">
        <v>1</v>
      </c>
      <c r="J3820" s="21">
        <v>180</v>
      </c>
      <c r="K3820" s="21">
        <v>180</v>
      </c>
      <c r="L3820" s="5">
        <v>0</v>
      </c>
      <c r="M3820" s="4"/>
      <c r="N3820" s="4"/>
      <c r="O3820" s="5"/>
      <c r="P3820" s="5"/>
      <c r="Q3820" s="21">
        <v>0</v>
      </c>
      <c r="R3820" s="21">
        <v>0</v>
      </c>
      <c r="S3820" s="5">
        <f t="shared" si="239"/>
        <v>41737.072997470852</v>
      </c>
      <c r="T3820" cm="1">
        <f t="array" ref="T3820">IF(OR(B3820="MAL ALIMI", B3820="ÜRETİM GİRİŞ"), MIN(I3820, MAX(0, I3820 + SUM(SUMIFS($I$1:I3819, $C$1:C3819, C3820, $B$1:B3819, {"MAL ALIMI","ÜRETİM GİRİŞ"})) - VLOOKUP(C3820, 'STOK RAPORU'!$C$2:$I$1000, 4, 0))), 0)</f>
        <v>0</v>
      </c>
      <c r="U3820" s="22">
        <f t="shared" si="236"/>
        <v>0</v>
      </c>
      <c r="V3820">
        <f t="shared" si="237"/>
        <v>0</v>
      </c>
      <c r="W3820" s="22">
        <f t="shared" si="238"/>
        <v>0</v>
      </c>
    </row>
    <row r="3821" spans="1:23" hidden="1" x14ac:dyDescent="0.25">
      <c r="A3821" s="45">
        <v>46058</v>
      </c>
      <c r="B3821" s="46" t="s">
        <v>334</v>
      </c>
      <c r="C3821" s="4" t="s">
        <v>98</v>
      </c>
      <c r="D3821" s="4"/>
      <c r="E3821" s="4"/>
      <c r="F3821" s="46" t="s">
        <v>1967</v>
      </c>
      <c r="G3821" s="46" t="s">
        <v>336</v>
      </c>
      <c r="H3821" s="46" t="s">
        <v>289</v>
      </c>
      <c r="I3821" s="4">
        <v>7.7499999999999999E-2</v>
      </c>
      <c r="J3821" s="21">
        <v>400</v>
      </c>
      <c r="K3821" s="21">
        <v>0</v>
      </c>
      <c r="L3821" s="5">
        <v>0</v>
      </c>
      <c r="M3821" s="4"/>
      <c r="N3821" s="4"/>
      <c r="O3821" s="5"/>
      <c r="P3821" s="5"/>
      <c r="Q3821" s="21">
        <v>31</v>
      </c>
      <c r="R3821" s="21">
        <v>0</v>
      </c>
      <c r="S3821" s="5">
        <f t="shared" si="239"/>
        <v>41768.072997470852</v>
      </c>
      <c r="T3821" cm="1">
        <f t="array" ref="T3821">IF(OR(B3821="MAL ALIMI", B3821="ÜRETİM GİRİŞ"), MIN(I3821, MAX(0, I3821 + SUM(SUMIFS($I$1:I3820, $C$1:C3820, C3821, $B$1:B3820, {"MAL ALIMI","ÜRETİM GİRİŞ"})) - VLOOKUP(C3821, 'STOK RAPORU'!$C$2:$I$1000, 4, 0))), 0)</f>
        <v>0</v>
      </c>
      <c r="U3821" s="22">
        <f t="shared" si="236"/>
        <v>0</v>
      </c>
      <c r="V3821">
        <f t="shared" si="237"/>
        <v>0</v>
      </c>
      <c r="W3821" s="22">
        <f t="shared" si="238"/>
        <v>0</v>
      </c>
    </row>
    <row r="3822" spans="1:23" hidden="1" x14ac:dyDescent="0.25">
      <c r="A3822" s="45">
        <v>46058</v>
      </c>
      <c r="B3822" s="46" t="s">
        <v>334</v>
      </c>
      <c r="C3822" s="4" t="s">
        <v>140</v>
      </c>
      <c r="D3822" s="4"/>
      <c r="E3822" s="4"/>
      <c r="F3822" s="46" t="s">
        <v>1967</v>
      </c>
      <c r="G3822" s="46" t="s">
        <v>336</v>
      </c>
      <c r="H3822" s="46" t="s">
        <v>289</v>
      </c>
      <c r="I3822" s="4">
        <v>8.666666666666667E-2</v>
      </c>
      <c r="J3822" s="21">
        <v>300</v>
      </c>
      <c r="K3822" s="21">
        <v>0</v>
      </c>
      <c r="L3822" s="5">
        <v>0</v>
      </c>
      <c r="M3822" s="4"/>
      <c r="N3822" s="4"/>
      <c r="O3822" s="5"/>
      <c r="P3822" s="5"/>
      <c r="Q3822" s="21">
        <v>26</v>
      </c>
      <c r="R3822" s="21">
        <v>0</v>
      </c>
      <c r="S3822" s="5">
        <f t="shared" si="239"/>
        <v>41794.072997470852</v>
      </c>
      <c r="T3822" cm="1">
        <f t="array" ref="T3822">IF(OR(B3822="MAL ALIMI", B3822="ÜRETİM GİRİŞ"), MIN(I3822, MAX(0, I3822 + SUM(SUMIFS($I$1:I3821, $C$1:C3821, C3822, $B$1:B3821, {"MAL ALIMI","ÜRETİM GİRİŞ"})) - VLOOKUP(C3822, 'STOK RAPORU'!$C$2:$I$1000, 4, 0))), 0)</f>
        <v>0</v>
      </c>
      <c r="U3822" s="22">
        <f t="shared" si="236"/>
        <v>0</v>
      </c>
      <c r="V3822">
        <f t="shared" si="237"/>
        <v>0</v>
      </c>
      <c r="W3822" s="22">
        <f t="shared" si="238"/>
        <v>0</v>
      </c>
    </row>
    <row r="3823" spans="1:23" hidden="1" x14ac:dyDescent="0.25">
      <c r="A3823" s="45">
        <v>46058</v>
      </c>
      <c r="B3823" s="46" t="s">
        <v>334</v>
      </c>
      <c r="C3823" s="4" t="s">
        <v>60</v>
      </c>
      <c r="D3823" s="4"/>
      <c r="E3823" s="4"/>
      <c r="F3823" s="46" t="s">
        <v>1967</v>
      </c>
      <c r="G3823" s="46" t="s">
        <v>336</v>
      </c>
      <c r="H3823" s="46" t="s">
        <v>289</v>
      </c>
      <c r="I3823" s="4">
        <v>0.05</v>
      </c>
      <c r="J3823" s="21">
        <v>1200</v>
      </c>
      <c r="K3823" s="21">
        <v>0</v>
      </c>
      <c r="L3823" s="5">
        <v>0</v>
      </c>
      <c r="M3823" s="4"/>
      <c r="N3823" s="4"/>
      <c r="O3823" s="5"/>
      <c r="P3823" s="5"/>
      <c r="Q3823" s="21">
        <v>60</v>
      </c>
      <c r="R3823" s="21">
        <v>0</v>
      </c>
      <c r="S3823" s="5">
        <f t="shared" si="239"/>
        <v>41854.072997470852</v>
      </c>
      <c r="T3823" cm="1">
        <f t="array" ref="T3823">IF(OR(B3823="MAL ALIMI", B3823="ÜRETİM GİRİŞ"), MIN(I3823, MAX(0, I3823 + SUM(SUMIFS($I$1:I3822, $C$1:C3822, C3823, $B$1:B3822, {"MAL ALIMI","ÜRETİM GİRİŞ"})) - VLOOKUP(C3823, 'STOK RAPORU'!$C$2:$I$1000, 4, 0))), 0)</f>
        <v>0</v>
      </c>
      <c r="U3823" s="22">
        <f t="shared" si="236"/>
        <v>0</v>
      </c>
      <c r="V3823">
        <f t="shared" si="237"/>
        <v>0</v>
      </c>
      <c r="W3823" s="22">
        <f t="shared" si="238"/>
        <v>0</v>
      </c>
    </row>
    <row r="3824" spans="1:23" hidden="1" x14ac:dyDescent="0.25">
      <c r="A3824" s="45">
        <v>46058</v>
      </c>
      <c r="B3824" s="46" t="s">
        <v>334</v>
      </c>
      <c r="C3824" s="46" t="s">
        <v>1151</v>
      </c>
      <c r="D3824" s="46"/>
      <c r="E3824" s="46"/>
      <c r="F3824" s="46" t="s">
        <v>1968</v>
      </c>
      <c r="G3824" s="46" t="s">
        <v>1971</v>
      </c>
      <c r="H3824" s="46" t="s">
        <v>289</v>
      </c>
      <c r="I3824" s="46">
        <v>1.0820000000000001</v>
      </c>
      <c r="J3824" s="47">
        <v>250</v>
      </c>
      <c r="K3824" s="47">
        <v>0</v>
      </c>
      <c r="L3824" s="48">
        <v>0</v>
      </c>
      <c r="M3824" s="46"/>
      <c r="N3824" s="46"/>
      <c r="O3824" s="48"/>
      <c r="P3824" s="48"/>
      <c r="Q3824" s="47">
        <v>270.5</v>
      </c>
      <c r="R3824" s="47">
        <v>0</v>
      </c>
      <c r="S3824" s="5">
        <f t="shared" si="239"/>
        <v>42124.572997470852</v>
      </c>
      <c r="T3824" cm="1">
        <f t="array" ref="T3824">IF(OR(B3824="MAL ALIMI", B3824="ÜRETİM GİRİŞ"), MIN(I3824, MAX(0, I3824 + SUM(SUMIFS($I$1:I3823, $C$1:C3823, C3824, $B$1:B3823, {"MAL ALIMI","ÜRETİM GİRİŞ"})) - VLOOKUP(C3824, 'STOK RAPORU'!$C$2:$I$1000, 4, 0))), 0)</f>
        <v>0</v>
      </c>
      <c r="U3824" s="22">
        <f t="shared" si="236"/>
        <v>0</v>
      </c>
      <c r="V3824">
        <f t="shared" si="237"/>
        <v>0</v>
      </c>
      <c r="W3824" s="22">
        <f t="shared" si="238"/>
        <v>0</v>
      </c>
    </row>
    <row r="3825" spans="1:23" hidden="1" x14ac:dyDescent="0.25">
      <c r="A3825" s="45">
        <v>46058</v>
      </c>
      <c r="B3825" s="46" t="s">
        <v>334</v>
      </c>
      <c r="C3825" s="46" t="s">
        <v>160</v>
      </c>
      <c r="D3825" s="46"/>
      <c r="E3825" s="46"/>
      <c r="F3825" s="46" t="s">
        <v>1968</v>
      </c>
      <c r="G3825" s="46" t="s">
        <v>1971</v>
      </c>
      <c r="H3825" s="46" t="s">
        <v>289</v>
      </c>
      <c r="I3825" s="46">
        <v>1</v>
      </c>
      <c r="J3825" s="47">
        <v>200</v>
      </c>
      <c r="K3825" s="47">
        <v>0</v>
      </c>
      <c r="L3825" s="48">
        <v>0</v>
      </c>
      <c r="M3825" s="46"/>
      <c r="N3825" s="46"/>
      <c r="O3825" s="48"/>
      <c r="P3825" s="48"/>
      <c r="Q3825" s="47">
        <v>200</v>
      </c>
      <c r="R3825" s="47">
        <v>0</v>
      </c>
      <c r="S3825" s="5">
        <f t="shared" si="239"/>
        <v>42324.572997470852</v>
      </c>
      <c r="T3825" cm="1">
        <f t="array" ref="T3825">IF(OR(B3825="MAL ALIMI", B3825="ÜRETİM GİRİŞ"), MIN(I3825, MAX(0, I3825 + SUM(SUMIFS($I$1:I3824, $C$1:C3824, C3825, $B$1:B3824, {"MAL ALIMI","ÜRETİM GİRİŞ"})) - VLOOKUP(C3825, 'STOK RAPORU'!$C$2:$I$1000, 4, 0))), 0)</f>
        <v>0</v>
      </c>
      <c r="U3825" s="22">
        <f t="shared" si="236"/>
        <v>0</v>
      </c>
      <c r="V3825">
        <f t="shared" si="237"/>
        <v>0</v>
      </c>
      <c r="W3825" s="22">
        <f t="shared" si="238"/>
        <v>0</v>
      </c>
    </row>
    <row r="3826" spans="1:23" hidden="1" x14ac:dyDescent="0.25">
      <c r="A3826" s="45">
        <v>46058</v>
      </c>
      <c r="B3826" s="46" t="s">
        <v>334</v>
      </c>
      <c r="C3826" s="4" t="s">
        <v>463</v>
      </c>
      <c r="D3826" s="4"/>
      <c r="E3826" s="4"/>
      <c r="F3826" s="46" t="s">
        <v>1969</v>
      </c>
      <c r="G3826" s="46" t="s">
        <v>336</v>
      </c>
      <c r="H3826" s="46" t="s">
        <v>289</v>
      </c>
      <c r="I3826" s="4">
        <v>7.4999999999999997E-2</v>
      </c>
      <c r="J3826" s="21">
        <v>400</v>
      </c>
      <c r="K3826" s="21">
        <v>0</v>
      </c>
      <c r="L3826" s="5">
        <v>0</v>
      </c>
      <c r="M3826" s="4"/>
      <c r="N3826" s="4"/>
      <c r="O3826" s="5"/>
      <c r="P3826" s="5"/>
      <c r="Q3826" s="21">
        <v>30</v>
      </c>
      <c r="R3826" s="21">
        <v>0</v>
      </c>
      <c r="S3826" s="5">
        <f t="shared" si="239"/>
        <v>42354.572997470852</v>
      </c>
      <c r="T3826" cm="1">
        <f t="array" ref="T3826">IF(OR(B3826="MAL ALIMI", B3826="ÜRETİM GİRİŞ"), MIN(I3826, MAX(0, I3826 + SUM(SUMIFS($I$1:I3825, $C$1:C3825, C3826, $B$1:B3825, {"MAL ALIMI","ÜRETİM GİRİŞ"})) - VLOOKUP(C3826, 'STOK RAPORU'!$C$2:$I$1000, 4, 0))), 0)</f>
        <v>0</v>
      </c>
      <c r="U3826" s="22">
        <f t="shared" si="236"/>
        <v>0</v>
      </c>
      <c r="V3826">
        <f t="shared" si="237"/>
        <v>0</v>
      </c>
      <c r="W3826" s="22">
        <f t="shared" si="238"/>
        <v>0</v>
      </c>
    </row>
    <row r="3827" spans="1:23" hidden="1" x14ac:dyDescent="0.25">
      <c r="A3827" s="45">
        <v>46058</v>
      </c>
      <c r="B3827" s="46" t="s">
        <v>334</v>
      </c>
      <c r="C3827" s="46" t="s">
        <v>237</v>
      </c>
      <c r="D3827" s="46"/>
      <c r="E3827" s="46"/>
      <c r="F3827" s="46" t="s">
        <v>1970</v>
      </c>
      <c r="G3827" s="46" t="s">
        <v>1690</v>
      </c>
      <c r="H3827" s="46" t="s">
        <v>289</v>
      </c>
      <c r="I3827" s="46">
        <v>0.05</v>
      </c>
      <c r="J3827" s="47">
        <v>1800</v>
      </c>
      <c r="K3827" s="47">
        <v>0</v>
      </c>
      <c r="L3827" s="48">
        <v>0</v>
      </c>
      <c r="M3827" s="42"/>
      <c r="N3827" s="42"/>
      <c r="O3827" s="44"/>
      <c r="P3827" s="44"/>
      <c r="Q3827" s="47">
        <v>90</v>
      </c>
      <c r="R3827" s="47">
        <v>0</v>
      </c>
      <c r="S3827" s="5">
        <f t="shared" si="239"/>
        <v>42444.572997470852</v>
      </c>
      <c r="T3827" cm="1">
        <f t="array" ref="T3827">IF(OR(B3827="MAL ALIMI", B3827="ÜRETİM GİRİŞ"), MIN(I3827, MAX(0, I3827 + SUM(SUMIFS($I$1:I3826, $C$1:C3826, C3827, $B$1:B3826, {"MAL ALIMI","ÜRETİM GİRİŞ"})) - VLOOKUP(C3827, 'STOK RAPORU'!$C$2:$I$1000, 4, 0))), 0)</f>
        <v>0</v>
      </c>
      <c r="U3827" s="22">
        <f t="shared" si="236"/>
        <v>0</v>
      </c>
      <c r="V3827">
        <f t="shared" si="237"/>
        <v>0</v>
      </c>
      <c r="W3827" s="22">
        <f t="shared" si="238"/>
        <v>0</v>
      </c>
    </row>
    <row r="3828" spans="1:23" hidden="1" x14ac:dyDescent="0.25">
      <c r="A3828" s="45">
        <v>46058</v>
      </c>
      <c r="B3828" s="46" t="s">
        <v>334</v>
      </c>
      <c r="C3828" s="4" t="s">
        <v>587</v>
      </c>
      <c r="D3828" s="46"/>
      <c r="E3828" s="46"/>
      <c r="F3828" s="46" t="s">
        <v>1970</v>
      </c>
      <c r="G3828" s="46" t="s">
        <v>1690</v>
      </c>
      <c r="H3828" s="46" t="s">
        <v>289</v>
      </c>
      <c r="I3828" s="46">
        <v>1</v>
      </c>
      <c r="J3828" s="47">
        <v>150</v>
      </c>
      <c r="K3828" s="47">
        <v>0</v>
      </c>
      <c r="L3828" s="48">
        <v>0</v>
      </c>
      <c r="M3828" s="42"/>
      <c r="N3828" s="42"/>
      <c r="O3828" s="44"/>
      <c r="P3828" s="44"/>
      <c r="Q3828" s="47">
        <v>150</v>
      </c>
      <c r="R3828" s="47">
        <v>0</v>
      </c>
      <c r="S3828" s="5">
        <f t="shared" si="239"/>
        <v>42594.572997470852</v>
      </c>
      <c r="T3828" cm="1">
        <f t="array" ref="T3828">IF(OR(B3828="MAL ALIMI", B3828="ÜRETİM GİRİŞ"), MIN(I3828, MAX(0, I3828 + SUM(SUMIFS($I$1:I3827, $C$1:C3827, C3828, $B$1:B3827, {"MAL ALIMI","ÜRETİM GİRİŞ"})) - VLOOKUP(C3828, 'STOK RAPORU'!$C$2:$I$1000, 4, 0))), 0)</f>
        <v>0</v>
      </c>
      <c r="U3828" s="22">
        <f t="shared" si="236"/>
        <v>0</v>
      </c>
      <c r="V3828">
        <f t="shared" si="237"/>
        <v>0</v>
      </c>
      <c r="W3828" s="22">
        <f t="shared" si="238"/>
        <v>0</v>
      </c>
    </row>
    <row r="3829" spans="1:23" hidden="1" x14ac:dyDescent="0.25">
      <c r="A3829" s="45">
        <v>46058</v>
      </c>
      <c r="B3829" s="46" t="s">
        <v>334</v>
      </c>
      <c r="C3829" s="46" t="s">
        <v>585</v>
      </c>
      <c r="D3829" s="46"/>
      <c r="E3829" s="46"/>
      <c r="F3829" s="46" t="s">
        <v>1970</v>
      </c>
      <c r="G3829" s="46" t="s">
        <v>1690</v>
      </c>
      <c r="H3829" s="46" t="s">
        <v>289</v>
      </c>
      <c r="I3829" s="46">
        <v>1</v>
      </c>
      <c r="J3829" s="47">
        <v>200</v>
      </c>
      <c r="K3829" s="47">
        <v>0</v>
      </c>
      <c r="L3829" s="48">
        <v>0</v>
      </c>
      <c r="M3829" s="42"/>
      <c r="N3829" s="42"/>
      <c r="O3829" s="44"/>
      <c r="P3829" s="44"/>
      <c r="Q3829" s="47">
        <v>200</v>
      </c>
      <c r="R3829" s="47">
        <v>0</v>
      </c>
      <c r="S3829" s="5">
        <f t="shared" si="239"/>
        <v>42794.572997470852</v>
      </c>
      <c r="T3829" cm="1">
        <f t="array" ref="T3829">IF(OR(B3829="MAL ALIMI", B3829="ÜRETİM GİRİŞ"), MIN(I3829, MAX(0, I3829 + SUM(SUMIFS($I$1:I3828, $C$1:C3828, C3829, $B$1:B3828, {"MAL ALIMI","ÜRETİM GİRİŞ"})) - VLOOKUP(C3829, 'STOK RAPORU'!$C$2:$I$1000, 4, 0))), 0)</f>
        <v>0</v>
      </c>
      <c r="U3829" s="22">
        <f t="shared" si="236"/>
        <v>0</v>
      </c>
      <c r="V3829">
        <f t="shared" si="237"/>
        <v>0</v>
      </c>
      <c r="W3829" s="22">
        <f t="shared" si="238"/>
        <v>0</v>
      </c>
    </row>
    <row r="3830" spans="1:23" hidden="1" x14ac:dyDescent="0.25">
      <c r="A3830" s="45">
        <v>46058</v>
      </c>
      <c r="B3830" s="46" t="s">
        <v>334</v>
      </c>
      <c r="C3830" s="46" t="s">
        <v>158</v>
      </c>
      <c r="D3830" s="46"/>
      <c r="E3830" s="46"/>
      <c r="F3830" s="46" t="s">
        <v>1973</v>
      </c>
      <c r="G3830" s="46" t="s">
        <v>1974</v>
      </c>
      <c r="H3830" s="46" t="s">
        <v>289</v>
      </c>
      <c r="I3830" s="46">
        <v>19.350000000000001</v>
      </c>
      <c r="J3830" s="47">
        <v>103.36</v>
      </c>
      <c r="K3830" s="47">
        <v>0</v>
      </c>
      <c r="L3830" s="48">
        <v>0</v>
      </c>
      <c r="M3830" s="46"/>
      <c r="N3830" s="46"/>
      <c r="O3830" s="48"/>
      <c r="P3830" s="48"/>
      <c r="Q3830" s="47">
        <v>2000.0160000000001</v>
      </c>
      <c r="R3830" s="47">
        <v>0</v>
      </c>
      <c r="S3830" s="5">
        <f t="shared" si="239"/>
        <v>44794.588997470855</v>
      </c>
      <c r="T3830" cm="1">
        <f t="array" ref="T3830">IF(OR(B3830="MAL ALIMI", B3830="ÜRETİM GİRİŞ"), MIN(I3830, MAX(0, I3830 + SUM(SUMIFS($I$1:I3829, $C$1:C3829, C3830, $B$1:B3829, {"MAL ALIMI","ÜRETİM GİRİŞ"})) - VLOOKUP(C3830, 'STOK RAPORU'!$C$2:$I$1000, 4, 0))), 0)</f>
        <v>0</v>
      </c>
      <c r="U3830" s="22">
        <f t="shared" si="236"/>
        <v>0</v>
      </c>
      <c r="V3830">
        <f t="shared" si="237"/>
        <v>0</v>
      </c>
      <c r="W3830" s="22">
        <f t="shared" si="238"/>
        <v>0</v>
      </c>
    </row>
    <row r="3831" spans="1:23" hidden="1" x14ac:dyDescent="0.25">
      <c r="A3831" s="3">
        <v>46058</v>
      </c>
      <c r="B3831" s="4" t="s">
        <v>946</v>
      </c>
      <c r="C3831" s="4"/>
      <c r="D3831" s="4"/>
      <c r="E3831" s="4" t="s">
        <v>921</v>
      </c>
      <c r="F3831" s="4"/>
      <c r="G3831" s="4" t="s">
        <v>946</v>
      </c>
      <c r="H3831" s="4" t="s">
        <v>380</v>
      </c>
      <c r="I3831" s="4">
        <v>1</v>
      </c>
      <c r="J3831" s="105">
        <v>445</v>
      </c>
      <c r="K3831" s="21">
        <v>0</v>
      </c>
      <c r="L3831" s="111">
        <v>445</v>
      </c>
      <c r="M3831" s="4"/>
      <c r="N3831" s="4"/>
      <c r="O3831" s="5"/>
      <c r="P3831" s="5"/>
      <c r="Q3831" s="21">
        <v>445</v>
      </c>
      <c r="R3831" s="21">
        <v>0</v>
      </c>
      <c r="S3831" s="5">
        <f t="shared" si="239"/>
        <v>45239.588997470855</v>
      </c>
      <c r="T3831" cm="1">
        <f t="array" ref="T3831">IF(OR(B3831="MAL ALIMI", B3831="ÜRETİM GİRİŞ"), MIN(I3831, MAX(0, I3831 + SUM(SUMIFS($I$1:I3830, $C$1:C3830, C3831, $B$1:B3830, {"MAL ALIMI","ÜRETİM GİRİŞ"})) - VLOOKUP(C3831, 'STOK RAPORU'!$C$2:$I$1000, 4, 0))), 0)</f>
        <v>0</v>
      </c>
      <c r="U3831" s="22">
        <f t="shared" si="236"/>
        <v>0</v>
      </c>
      <c r="V3831">
        <f t="shared" si="237"/>
        <v>0</v>
      </c>
      <c r="W3831" s="22">
        <f t="shared" si="238"/>
        <v>0</v>
      </c>
    </row>
    <row r="3832" spans="1:23" hidden="1" x14ac:dyDescent="0.25">
      <c r="A3832" s="3">
        <v>46058</v>
      </c>
      <c r="B3832" s="4" t="s">
        <v>946</v>
      </c>
      <c r="C3832" s="4"/>
      <c r="D3832" s="4"/>
      <c r="E3832" s="4" t="s">
        <v>921</v>
      </c>
      <c r="F3832" s="4"/>
      <c r="G3832" s="4" t="s">
        <v>946</v>
      </c>
      <c r="H3832" s="4" t="s">
        <v>380</v>
      </c>
      <c r="I3832" s="4">
        <v>1</v>
      </c>
      <c r="J3832" s="105">
        <v>315</v>
      </c>
      <c r="K3832" s="21">
        <v>0</v>
      </c>
      <c r="L3832" s="111">
        <v>315</v>
      </c>
      <c r="M3832" s="4"/>
      <c r="N3832" s="4"/>
      <c r="O3832" s="5"/>
      <c r="P3832" s="5"/>
      <c r="Q3832" s="21">
        <v>315</v>
      </c>
      <c r="R3832" s="21">
        <v>0</v>
      </c>
      <c r="S3832" s="5">
        <f t="shared" si="239"/>
        <v>45554.588997470855</v>
      </c>
      <c r="T3832" cm="1">
        <f t="array" ref="T3832">IF(OR(B3832="MAL ALIMI", B3832="ÜRETİM GİRİŞ"), MIN(I3832, MAX(0, I3832 + SUM(SUMIFS($I$1:I3831, $C$1:C3831, C3832, $B$1:B3831, {"MAL ALIMI","ÜRETİM GİRİŞ"})) - VLOOKUP(C3832, 'STOK RAPORU'!$C$2:$I$1000, 4, 0))), 0)</f>
        <v>0</v>
      </c>
      <c r="U3832" s="22">
        <f t="shared" si="236"/>
        <v>0</v>
      </c>
      <c r="V3832">
        <f t="shared" si="237"/>
        <v>0</v>
      </c>
      <c r="W3832" s="22">
        <f t="shared" si="238"/>
        <v>0</v>
      </c>
    </row>
    <row r="3833" spans="1:23" hidden="1" x14ac:dyDescent="0.25">
      <c r="A3833" s="3">
        <v>46059</v>
      </c>
      <c r="B3833" s="46" t="s">
        <v>334</v>
      </c>
      <c r="C3833" s="4" t="s">
        <v>60</v>
      </c>
      <c r="D3833" s="4"/>
      <c r="E3833" s="4" t="s">
        <v>921</v>
      </c>
      <c r="F3833" s="46" t="s">
        <v>1975</v>
      </c>
      <c r="G3833" s="46" t="s">
        <v>336</v>
      </c>
      <c r="H3833" s="4" t="s">
        <v>380</v>
      </c>
      <c r="I3833" s="4">
        <v>0.05</v>
      </c>
      <c r="J3833" s="21">
        <v>1200</v>
      </c>
      <c r="K3833" s="21">
        <v>60</v>
      </c>
      <c r="L3833" s="5">
        <v>0</v>
      </c>
      <c r="M3833" s="4"/>
      <c r="N3833" s="4"/>
      <c r="O3833" s="5"/>
      <c r="P3833" s="5"/>
      <c r="Q3833" s="21">
        <v>0</v>
      </c>
      <c r="R3833" s="21">
        <v>0</v>
      </c>
      <c r="S3833" s="5">
        <f t="shared" si="239"/>
        <v>45554.588997470855</v>
      </c>
      <c r="T3833" cm="1">
        <f t="array" ref="T3833">IF(OR(B3833="MAL ALIMI", B3833="ÜRETİM GİRİŞ"), MIN(I3833, MAX(0, I3833 + SUM(SUMIFS($I$1:I3832, $C$1:C3832, C3833, $B$1:B3832, {"MAL ALIMI","ÜRETİM GİRİŞ"})) - VLOOKUP(C3833, 'STOK RAPORU'!$C$2:$I$1000, 4, 0))), 0)</f>
        <v>0</v>
      </c>
      <c r="U3833" s="22">
        <f t="shared" si="236"/>
        <v>0</v>
      </c>
      <c r="V3833">
        <f t="shared" si="237"/>
        <v>0</v>
      </c>
      <c r="W3833" s="22">
        <f t="shared" si="238"/>
        <v>0</v>
      </c>
    </row>
    <row r="3834" spans="1:23" hidden="1" x14ac:dyDescent="0.25">
      <c r="A3834" s="3">
        <v>46059</v>
      </c>
      <c r="B3834" s="46" t="s">
        <v>334</v>
      </c>
      <c r="C3834" s="4" t="s">
        <v>456</v>
      </c>
      <c r="D3834" s="4"/>
      <c r="E3834" s="4" t="s">
        <v>921</v>
      </c>
      <c r="F3834" s="46" t="s">
        <v>1976</v>
      </c>
      <c r="G3834" s="46" t="s">
        <v>336</v>
      </c>
      <c r="H3834" s="4" t="s">
        <v>380</v>
      </c>
      <c r="I3834" s="4">
        <v>1</v>
      </c>
      <c r="J3834" s="21">
        <v>80</v>
      </c>
      <c r="K3834" s="21">
        <v>80</v>
      </c>
      <c r="L3834" s="5">
        <v>0</v>
      </c>
      <c r="M3834" s="4"/>
      <c r="N3834" s="4"/>
      <c r="O3834" s="5"/>
      <c r="P3834" s="5"/>
      <c r="Q3834" s="21">
        <v>0</v>
      </c>
      <c r="R3834" s="21">
        <v>0</v>
      </c>
      <c r="S3834" s="5">
        <f t="shared" si="239"/>
        <v>45554.588997470855</v>
      </c>
      <c r="T3834" cm="1">
        <f t="array" ref="T3834">IF(OR(B3834="MAL ALIMI", B3834="ÜRETİM GİRİŞ"), MIN(I3834, MAX(0, I3834 + SUM(SUMIFS($I$1:I3833, $C$1:C3833, C3834, $B$1:B3833, {"MAL ALIMI","ÜRETİM GİRİŞ"})) - VLOOKUP(C3834, 'STOK RAPORU'!$C$2:$I$1000, 4, 0))), 0)</f>
        <v>0</v>
      </c>
      <c r="U3834" s="22">
        <f t="shared" si="236"/>
        <v>0</v>
      </c>
      <c r="V3834">
        <f t="shared" si="237"/>
        <v>0</v>
      </c>
      <c r="W3834" s="22">
        <f t="shared" si="238"/>
        <v>0</v>
      </c>
    </row>
    <row r="3835" spans="1:23" hidden="1" x14ac:dyDescent="0.25">
      <c r="A3835" s="3">
        <v>46059</v>
      </c>
      <c r="B3835" s="46" t="s">
        <v>334</v>
      </c>
      <c r="C3835" s="4" t="s">
        <v>1365</v>
      </c>
      <c r="D3835" s="4"/>
      <c r="E3835" s="4"/>
      <c r="F3835" s="46" t="s">
        <v>1977</v>
      </c>
      <c r="G3835" s="46" t="s">
        <v>336</v>
      </c>
      <c r="H3835" s="4" t="s">
        <v>289</v>
      </c>
      <c r="I3835" s="4">
        <v>1</v>
      </c>
      <c r="J3835" s="21">
        <v>140</v>
      </c>
      <c r="K3835" s="21">
        <v>0</v>
      </c>
      <c r="L3835" s="5">
        <v>0</v>
      </c>
      <c r="M3835" s="4"/>
      <c r="N3835" s="4"/>
      <c r="O3835" s="5"/>
      <c r="P3835" s="5"/>
      <c r="Q3835" s="21">
        <v>140</v>
      </c>
      <c r="R3835" s="21">
        <v>0</v>
      </c>
      <c r="S3835" s="5">
        <f t="shared" si="239"/>
        <v>45694.588997470855</v>
      </c>
      <c r="T3835" cm="1">
        <f t="array" ref="T3835">IF(OR(B3835="MAL ALIMI", B3835="ÜRETİM GİRİŞ"), MIN(I3835, MAX(0, I3835 + SUM(SUMIFS($I$1:I3834, $C$1:C3834, C3835, $B$1:B3834, {"MAL ALIMI","ÜRETİM GİRİŞ"})) - VLOOKUP(C3835, 'STOK RAPORU'!$C$2:$I$1000, 4, 0))), 0)</f>
        <v>0</v>
      </c>
      <c r="U3835" s="22">
        <f t="shared" si="236"/>
        <v>0</v>
      </c>
      <c r="V3835">
        <f t="shared" si="237"/>
        <v>0</v>
      </c>
      <c r="W3835" s="22">
        <f t="shared" si="238"/>
        <v>0</v>
      </c>
    </row>
    <row r="3836" spans="1:23" hidden="1" x14ac:dyDescent="0.25">
      <c r="A3836" s="3">
        <v>46059</v>
      </c>
      <c r="B3836" s="46" t="s">
        <v>334</v>
      </c>
      <c r="C3836" s="4" t="s">
        <v>1041</v>
      </c>
      <c r="D3836" s="4"/>
      <c r="E3836" s="4"/>
      <c r="F3836" s="46" t="s">
        <v>1977</v>
      </c>
      <c r="G3836" s="46" t="s">
        <v>336</v>
      </c>
      <c r="H3836" s="4" t="s">
        <v>289</v>
      </c>
      <c r="I3836" s="4">
        <v>2.4</v>
      </c>
      <c r="J3836" s="21">
        <v>250</v>
      </c>
      <c r="K3836" s="21">
        <v>0</v>
      </c>
      <c r="L3836" s="5">
        <v>0</v>
      </c>
      <c r="M3836" s="4"/>
      <c r="N3836" s="4"/>
      <c r="O3836" s="5"/>
      <c r="P3836" s="5"/>
      <c r="Q3836" s="21">
        <v>600</v>
      </c>
      <c r="R3836" s="21">
        <v>0</v>
      </c>
      <c r="S3836" s="5">
        <f t="shared" si="239"/>
        <v>46294.588997470855</v>
      </c>
      <c r="T3836" cm="1">
        <f t="array" ref="T3836">IF(OR(B3836="MAL ALIMI", B3836="ÜRETİM GİRİŞ"), MIN(I3836, MAX(0, I3836 + SUM(SUMIFS($I$1:I3835, $C$1:C3835, C3836, $B$1:B3835, {"MAL ALIMI","ÜRETİM GİRİŞ"})) - VLOOKUP(C3836, 'STOK RAPORU'!$C$2:$I$1000, 4, 0))), 0)</f>
        <v>0</v>
      </c>
      <c r="U3836" s="22">
        <f t="shared" si="236"/>
        <v>0</v>
      </c>
      <c r="V3836">
        <f t="shared" si="237"/>
        <v>0</v>
      </c>
      <c r="W3836" s="22">
        <f t="shared" si="238"/>
        <v>0</v>
      </c>
    </row>
    <row r="3837" spans="1:23" hidden="1" x14ac:dyDescent="0.25">
      <c r="A3837" s="3">
        <v>46059</v>
      </c>
      <c r="B3837" s="46" t="s">
        <v>334</v>
      </c>
      <c r="C3837" s="4" t="s">
        <v>158</v>
      </c>
      <c r="D3837" s="4"/>
      <c r="E3837" s="4"/>
      <c r="F3837" s="46" t="s">
        <v>1978</v>
      </c>
      <c r="G3837" s="46" t="s">
        <v>336</v>
      </c>
      <c r="H3837" s="4" t="s">
        <v>289</v>
      </c>
      <c r="I3837" s="4">
        <v>1</v>
      </c>
      <c r="J3837" s="21">
        <v>150</v>
      </c>
      <c r="K3837" s="21">
        <v>0</v>
      </c>
      <c r="L3837" s="5">
        <v>0</v>
      </c>
      <c r="M3837" s="4"/>
      <c r="N3837" s="4"/>
      <c r="O3837" s="5"/>
      <c r="P3837" s="5"/>
      <c r="Q3837" s="21">
        <v>150</v>
      </c>
      <c r="R3837" s="21">
        <v>0</v>
      </c>
      <c r="S3837" s="5">
        <f t="shared" si="239"/>
        <v>46444.588997470855</v>
      </c>
      <c r="T3837" cm="1">
        <f t="array" ref="T3837">IF(OR(B3837="MAL ALIMI", B3837="ÜRETİM GİRİŞ"), MIN(I3837, MAX(0, I3837 + SUM(SUMIFS($I$1:I3836, $C$1:C3836, C3837, $B$1:B3836, {"MAL ALIMI","ÜRETİM GİRİŞ"})) - VLOOKUP(C3837, 'STOK RAPORU'!$C$2:$I$1000, 4, 0))), 0)</f>
        <v>0</v>
      </c>
      <c r="U3837" s="22">
        <f t="shared" ref="U3837:U3899" si="240">T3837*J3837</f>
        <v>0</v>
      </c>
      <c r="V3837">
        <f t="shared" ref="V3837:V3899" si="241">IF(OR(B3837="MAL ALIMI", B3837="ÜRETİM GİRİŞ"), I3837 * J3837, 0)</f>
        <v>0</v>
      </c>
      <c r="W3837" s="22">
        <f t="shared" ref="W3837:W3899" si="242">V3837-U3837</f>
        <v>0</v>
      </c>
    </row>
    <row r="3838" spans="1:23" hidden="1" x14ac:dyDescent="0.25">
      <c r="A3838" s="3">
        <v>46059</v>
      </c>
      <c r="B3838" s="46" t="s">
        <v>334</v>
      </c>
      <c r="C3838" s="4" t="s">
        <v>1024</v>
      </c>
      <c r="D3838" s="4"/>
      <c r="E3838" s="4"/>
      <c r="F3838" s="46" t="s">
        <v>1978</v>
      </c>
      <c r="G3838" s="46" t="s">
        <v>336</v>
      </c>
      <c r="H3838" s="4" t="s">
        <v>289</v>
      </c>
      <c r="I3838" s="4">
        <v>1</v>
      </c>
      <c r="J3838" s="21">
        <v>65</v>
      </c>
      <c r="K3838" s="21">
        <v>0</v>
      </c>
      <c r="L3838" s="5">
        <v>0</v>
      </c>
      <c r="M3838" s="4"/>
      <c r="N3838" s="4"/>
      <c r="O3838" s="5"/>
      <c r="P3838" s="5"/>
      <c r="Q3838" s="21">
        <v>65</v>
      </c>
      <c r="R3838" s="21">
        <v>0</v>
      </c>
      <c r="S3838" s="5">
        <f t="shared" si="239"/>
        <v>46509.588997470855</v>
      </c>
      <c r="T3838" cm="1">
        <f t="array" ref="T3838">IF(OR(B3838="MAL ALIMI", B3838="ÜRETİM GİRİŞ"), MIN(I3838, MAX(0, I3838 + SUM(SUMIFS($I$1:I3837, $C$1:C3837, C3838, $B$1:B3837, {"MAL ALIMI","ÜRETİM GİRİŞ"})) - VLOOKUP(C3838, 'STOK RAPORU'!$C$2:$I$1000, 4, 0))), 0)</f>
        <v>0</v>
      </c>
      <c r="U3838" s="22">
        <f t="shared" si="240"/>
        <v>0</v>
      </c>
      <c r="V3838">
        <f t="shared" si="241"/>
        <v>0</v>
      </c>
      <c r="W3838" s="22">
        <f t="shared" si="242"/>
        <v>0</v>
      </c>
    </row>
    <row r="3839" spans="1:23" hidden="1" x14ac:dyDescent="0.25">
      <c r="A3839" s="45">
        <v>46059</v>
      </c>
      <c r="B3839" s="46" t="s">
        <v>334</v>
      </c>
      <c r="C3839" s="46" t="s">
        <v>157</v>
      </c>
      <c r="D3839" s="46"/>
      <c r="E3839" s="46"/>
      <c r="F3839" s="46" t="s">
        <v>1978</v>
      </c>
      <c r="G3839" s="46" t="s">
        <v>336</v>
      </c>
      <c r="H3839" s="46" t="s">
        <v>289</v>
      </c>
      <c r="I3839" s="46">
        <v>1</v>
      </c>
      <c r="J3839" s="47">
        <v>200</v>
      </c>
      <c r="K3839" s="47">
        <v>0</v>
      </c>
      <c r="L3839" s="48">
        <v>0</v>
      </c>
      <c r="M3839" s="46"/>
      <c r="N3839" s="46"/>
      <c r="O3839" s="48"/>
      <c r="P3839" s="48"/>
      <c r="Q3839" s="47">
        <v>200</v>
      </c>
      <c r="R3839" s="47">
        <v>0</v>
      </c>
      <c r="S3839" s="5">
        <f t="shared" si="239"/>
        <v>46709.588997470855</v>
      </c>
      <c r="T3839" cm="1">
        <f t="array" ref="T3839">IF(OR(B3839="MAL ALIMI", B3839="ÜRETİM GİRİŞ"), MIN(I3839, MAX(0, I3839 + SUM(SUMIFS($I$1:I3838, $C$1:C3838, C3839, $B$1:B3838, {"MAL ALIMI","ÜRETİM GİRİŞ"})) - VLOOKUP(C3839, 'STOK RAPORU'!$C$2:$I$1000, 4, 0))), 0)</f>
        <v>0</v>
      </c>
      <c r="U3839" s="22">
        <f t="shared" si="240"/>
        <v>0</v>
      </c>
      <c r="V3839">
        <f t="shared" si="241"/>
        <v>0</v>
      </c>
      <c r="W3839" s="22">
        <f t="shared" si="242"/>
        <v>0</v>
      </c>
    </row>
    <row r="3840" spans="1:23" hidden="1" x14ac:dyDescent="0.25">
      <c r="A3840" s="3">
        <v>46059</v>
      </c>
      <c r="B3840" s="46" t="s">
        <v>334</v>
      </c>
      <c r="C3840" s="4" t="s">
        <v>160</v>
      </c>
      <c r="D3840" s="4"/>
      <c r="E3840" s="4" t="s">
        <v>921</v>
      </c>
      <c r="F3840" s="46" t="s">
        <v>1979</v>
      </c>
      <c r="G3840" s="46" t="s">
        <v>336</v>
      </c>
      <c r="H3840" s="4" t="s">
        <v>380</v>
      </c>
      <c r="I3840" s="4">
        <v>1</v>
      </c>
      <c r="J3840" s="21">
        <v>250</v>
      </c>
      <c r="K3840" s="21">
        <v>250</v>
      </c>
      <c r="L3840" s="5">
        <v>0</v>
      </c>
      <c r="M3840" s="4"/>
      <c r="N3840" s="4"/>
      <c r="O3840" s="5"/>
      <c r="P3840" s="5"/>
      <c r="Q3840" s="21">
        <v>0</v>
      </c>
      <c r="R3840" s="21">
        <v>0</v>
      </c>
      <c r="S3840" s="5">
        <f t="shared" si="239"/>
        <v>46709.588997470855</v>
      </c>
      <c r="T3840" cm="1">
        <f t="array" ref="T3840">IF(OR(B3840="MAL ALIMI", B3840="ÜRETİM GİRİŞ"), MIN(I3840, MAX(0, I3840 + SUM(SUMIFS($I$1:I3839, $C$1:C3839, C3840, $B$1:B3839, {"MAL ALIMI","ÜRETİM GİRİŞ"})) - VLOOKUP(C3840, 'STOK RAPORU'!$C$2:$I$1000, 4, 0))), 0)</f>
        <v>0</v>
      </c>
      <c r="U3840" s="22">
        <f t="shared" si="240"/>
        <v>0</v>
      </c>
      <c r="V3840">
        <f t="shared" si="241"/>
        <v>0</v>
      </c>
      <c r="W3840" s="22">
        <f t="shared" si="242"/>
        <v>0</v>
      </c>
    </row>
    <row r="3841" spans="1:23" hidden="1" x14ac:dyDescent="0.25">
      <c r="A3841" s="3">
        <v>46059</v>
      </c>
      <c r="B3841" s="46" t="s">
        <v>334</v>
      </c>
      <c r="C3841" s="4" t="s">
        <v>266</v>
      </c>
      <c r="D3841" s="4"/>
      <c r="E3841" s="4"/>
      <c r="F3841" s="46" t="s">
        <v>1980</v>
      </c>
      <c r="G3841" s="46" t="s">
        <v>336</v>
      </c>
      <c r="H3841" s="4" t="s">
        <v>289</v>
      </c>
      <c r="I3841" s="4">
        <v>0.4</v>
      </c>
      <c r="J3841" s="21">
        <v>250</v>
      </c>
      <c r="K3841" s="21">
        <v>0</v>
      </c>
      <c r="L3841" s="5">
        <v>0</v>
      </c>
      <c r="M3841" s="4"/>
      <c r="N3841" s="4"/>
      <c r="O3841" s="5"/>
      <c r="P3841" s="5"/>
      <c r="Q3841" s="21">
        <v>100</v>
      </c>
      <c r="R3841" s="21">
        <v>0</v>
      </c>
      <c r="S3841" s="5">
        <f t="shared" si="239"/>
        <v>46809.588997470855</v>
      </c>
      <c r="T3841" cm="1">
        <f t="array" ref="T3841">IF(OR(B3841="MAL ALIMI", B3841="ÜRETİM GİRİŞ"), MIN(I3841, MAX(0, I3841 + SUM(SUMIFS($I$1:I3840, $C$1:C3840, C3841, $B$1:B3840, {"MAL ALIMI","ÜRETİM GİRİŞ"})) - VLOOKUP(C3841, 'STOK RAPORU'!$C$2:$I$1000, 4, 0))), 0)</f>
        <v>0</v>
      </c>
      <c r="U3841" s="22">
        <f t="shared" si="240"/>
        <v>0</v>
      </c>
      <c r="V3841">
        <f t="shared" si="241"/>
        <v>0</v>
      </c>
      <c r="W3841" s="22">
        <f t="shared" si="242"/>
        <v>0</v>
      </c>
    </row>
    <row r="3842" spans="1:23" hidden="1" x14ac:dyDescent="0.25">
      <c r="A3842" s="3">
        <v>46059</v>
      </c>
      <c r="B3842" s="46" t="s">
        <v>334</v>
      </c>
      <c r="C3842" s="4" t="s">
        <v>467</v>
      </c>
      <c r="D3842" s="4"/>
      <c r="E3842" s="4"/>
      <c r="F3842" s="46" t="s">
        <v>1981</v>
      </c>
      <c r="G3842" s="46" t="s">
        <v>336</v>
      </c>
      <c r="H3842" s="4" t="s">
        <v>289</v>
      </c>
      <c r="I3842" s="4">
        <v>1</v>
      </c>
      <c r="J3842" s="21">
        <v>40</v>
      </c>
      <c r="K3842" s="21">
        <v>0</v>
      </c>
      <c r="L3842" s="5">
        <v>0</v>
      </c>
      <c r="M3842" s="4"/>
      <c r="N3842" s="4"/>
      <c r="O3842" s="5"/>
      <c r="P3842" s="5"/>
      <c r="Q3842" s="21">
        <v>40</v>
      </c>
      <c r="R3842" s="21">
        <v>0</v>
      </c>
      <c r="S3842" s="5">
        <f t="shared" si="239"/>
        <v>46849.588997470855</v>
      </c>
      <c r="T3842" cm="1">
        <f t="array" ref="T3842">IF(OR(B3842="MAL ALIMI", B3842="ÜRETİM GİRİŞ"), MIN(I3842, MAX(0, I3842 + SUM(SUMIFS($I$1:I3841, $C$1:C3841, C3842, $B$1:B3841, {"MAL ALIMI","ÜRETİM GİRİŞ"})) - VLOOKUP(C3842, 'STOK RAPORU'!$C$2:$I$1000, 4, 0))), 0)</f>
        <v>0</v>
      </c>
      <c r="U3842" s="22">
        <f t="shared" si="240"/>
        <v>0</v>
      </c>
      <c r="V3842">
        <f t="shared" si="241"/>
        <v>0</v>
      </c>
      <c r="W3842" s="22">
        <f t="shared" si="242"/>
        <v>0</v>
      </c>
    </row>
    <row r="3843" spans="1:23" hidden="1" x14ac:dyDescent="0.25">
      <c r="A3843" s="3">
        <v>46059</v>
      </c>
      <c r="B3843" s="46" t="s">
        <v>334</v>
      </c>
      <c r="C3843" s="4" t="s">
        <v>728</v>
      </c>
      <c r="D3843" s="4"/>
      <c r="E3843" s="4"/>
      <c r="F3843" s="46" t="s">
        <v>1982</v>
      </c>
      <c r="G3843" s="46" t="s">
        <v>336</v>
      </c>
      <c r="H3843" s="4" t="s">
        <v>289</v>
      </c>
      <c r="I3843" s="4">
        <v>0.51</v>
      </c>
      <c r="J3843" s="21">
        <v>690</v>
      </c>
      <c r="K3843" s="21">
        <v>0</v>
      </c>
      <c r="L3843" s="5">
        <v>0</v>
      </c>
      <c r="M3843" s="4"/>
      <c r="N3843" s="4"/>
      <c r="O3843" s="5"/>
      <c r="P3843" s="5"/>
      <c r="Q3843" s="21">
        <v>351.90000000000003</v>
      </c>
      <c r="R3843" s="21">
        <v>0</v>
      </c>
      <c r="S3843" s="5">
        <f t="shared" si="239"/>
        <v>47201.488997470857</v>
      </c>
      <c r="T3843" cm="1">
        <f t="array" ref="T3843">IF(OR(B3843="MAL ALIMI", B3843="ÜRETİM GİRİŞ"), MIN(I3843, MAX(0, I3843 + SUM(SUMIFS($I$1:I3842, $C$1:C3842, C3843, $B$1:B3842, {"MAL ALIMI","ÜRETİM GİRİŞ"})) - VLOOKUP(C3843, 'STOK RAPORU'!$C$2:$I$1000, 4, 0))), 0)</f>
        <v>0</v>
      </c>
      <c r="U3843" s="22">
        <f t="shared" si="240"/>
        <v>0</v>
      </c>
      <c r="V3843">
        <f t="shared" si="241"/>
        <v>0</v>
      </c>
      <c r="W3843" s="22">
        <f t="shared" si="242"/>
        <v>0</v>
      </c>
    </row>
    <row r="3844" spans="1:23" hidden="1" x14ac:dyDescent="0.25">
      <c r="A3844" s="3">
        <v>46059</v>
      </c>
      <c r="B3844" s="46" t="s">
        <v>334</v>
      </c>
      <c r="C3844" s="4" t="s">
        <v>132</v>
      </c>
      <c r="D3844" s="4"/>
      <c r="E3844" s="4"/>
      <c r="F3844" s="46" t="s">
        <v>1982</v>
      </c>
      <c r="G3844" s="46" t="s">
        <v>336</v>
      </c>
      <c r="H3844" s="4" t="s">
        <v>289</v>
      </c>
      <c r="I3844" s="4">
        <v>0.2</v>
      </c>
      <c r="J3844" s="21">
        <v>500</v>
      </c>
      <c r="K3844" s="21">
        <v>0</v>
      </c>
      <c r="L3844" s="5">
        <v>0</v>
      </c>
      <c r="M3844" s="4"/>
      <c r="N3844" s="4"/>
      <c r="O3844" s="5"/>
      <c r="P3844" s="5"/>
      <c r="Q3844" s="21">
        <v>100</v>
      </c>
      <c r="R3844" s="21">
        <v>0</v>
      </c>
      <c r="S3844" s="5">
        <f t="shared" ref="S3844:S3907" si="243">S3843+Q3844-R3844</f>
        <v>47301.488997470857</v>
      </c>
      <c r="T3844" cm="1">
        <f t="array" ref="T3844">IF(OR(B3844="MAL ALIMI", B3844="ÜRETİM GİRİŞ"), MIN(I3844, MAX(0, I3844 + SUM(SUMIFS($I$1:I3843, $C$1:C3843, C3844, $B$1:B3843, {"MAL ALIMI","ÜRETİM GİRİŞ"})) - VLOOKUP(C3844, 'STOK RAPORU'!$C$2:$I$1000, 4, 0))), 0)</f>
        <v>0</v>
      </c>
      <c r="U3844" s="22">
        <f t="shared" si="240"/>
        <v>0</v>
      </c>
      <c r="V3844">
        <f t="shared" si="241"/>
        <v>0</v>
      </c>
      <c r="W3844" s="22">
        <f t="shared" si="242"/>
        <v>0</v>
      </c>
    </row>
    <row r="3845" spans="1:23" hidden="1" x14ac:dyDescent="0.25">
      <c r="A3845" s="3">
        <v>46059</v>
      </c>
      <c r="B3845" s="46" t="s">
        <v>334</v>
      </c>
      <c r="C3845" s="4" t="s">
        <v>241</v>
      </c>
      <c r="D3845" s="4"/>
      <c r="E3845" s="4"/>
      <c r="F3845" s="46" t="s">
        <v>1982</v>
      </c>
      <c r="G3845" s="46" t="s">
        <v>336</v>
      </c>
      <c r="H3845" s="4" t="s">
        <v>289</v>
      </c>
      <c r="I3845" s="4">
        <v>0.28000000000000003</v>
      </c>
      <c r="J3845" s="21">
        <v>358</v>
      </c>
      <c r="K3845" s="21">
        <v>0</v>
      </c>
      <c r="L3845" s="5">
        <v>0</v>
      </c>
      <c r="M3845" s="4"/>
      <c r="N3845" s="4"/>
      <c r="O3845" s="5"/>
      <c r="P3845" s="5"/>
      <c r="Q3845" s="21">
        <v>100.24000000000001</v>
      </c>
      <c r="R3845" s="21">
        <v>0</v>
      </c>
      <c r="S3845" s="5">
        <f t="shared" si="243"/>
        <v>47401.728997470855</v>
      </c>
      <c r="T3845" cm="1">
        <f t="array" ref="T3845">IF(OR(B3845="MAL ALIMI", B3845="ÜRETİM GİRİŞ"), MIN(I3845, MAX(0, I3845 + SUM(SUMIFS($I$1:I3844, $C$1:C3844, C3845, $B$1:B3844, {"MAL ALIMI","ÜRETİM GİRİŞ"})) - VLOOKUP(C3845, 'STOK RAPORU'!$C$2:$I$1000, 4, 0))), 0)</f>
        <v>0</v>
      </c>
      <c r="U3845" s="22">
        <f t="shared" si="240"/>
        <v>0</v>
      </c>
      <c r="V3845">
        <f t="shared" si="241"/>
        <v>0</v>
      </c>
      <c r="W3845" s="22">
        <f t="shared" si="242"/>
        <v>0</v>
      </c>
    </row>
    <row r="3846" spans="1:23" hidden="1" x14ac:dyDescent="0.25">
      <c r="A3846" s="3">
        <v>46059</v>
      </c>
      <c r="B3846" s="46" t="s">
        <v>334</v>
      </c>
      <c r="C3846" s="4" t="s">
        <v>193</v>
      </c>
      <c r="D3846" s="4"/>
      <c r="E3846" s="4"/>
      <c r="F3846" s="46" t="s">
        <v>1983</v>
      </c>
      <c r="G3846" s="46" t="s">
        <v>336</v>
      </c>
      <c r="H3846" s="4" t="s">
        <v>289</v>
      </c>
      <c r="I3846" s="4">
        <v>0.1</v>
      </c>
      <c r="J3846" s="21">
        <v>1400</v>
      </c>
      <c r="K3846" s="21">
        <v>0</v>
      </c>
      <c r="L3846" s="5">
        <v>0</v>
      </c>
      <c r="M3846" s="4"/>
      <c r="N3846" s="4"/>
      <c r="O3846" s="5"/>
      <c r="P3846" s="5"/>
      <c r="Q3846" s="21">
        <v>140</v>
      </c>
      <c r="R3846" s="21">
        <v>0</v>
      </c>
      <c r="S3846" s="5">
        <f t="shared" si="243"/>
        <v>47541.728997470855</v>
      </c>
      <c r="T3846" cm="1">
        <f t="array" ref="T3846">IF(OR(B3846="MAL ALIMI", B3846="ÜRETİM GİRİŞ"), MIN(I3846, MAX(0, I3846 + SUM(SUMIFS($I$1:I3845, $C$1:C3845, C3846, $B$1:B3845, {"MAL ALIMI","ÜRETİM GİRİŞ"})) - VLOOKUP(C3846, 'STOK RAPORU'!$C$2:$I$1000, 4, 0))), 0)</f>
        <v>0</v>
      </c>
      <c r="U3846" s="22">
        <f t="shared" si="240"/>
        <v>0</v>
      </c>
      <c r="V3846">
        <f t="shared" si="241"/>
        <v>0</v>
      </c>
      <c r="W3846" s="22">
        <f t="shared" si="242"/>
        <v>0</v>
      </c>
    </row>
    <row r="3847" spans="1:23" hidden="1" x14ac:dyDescent="0.25">
      <c r="A3847" s="3">
        <v>46059</v>
      </c>
      <c r="B3847" s="46" t="s">
        <v>334</v>
      </c>
      <c r="C3847" s="4" t="s">
        <v>719</v>
      </c>
      <c r="D3847" s="4"/>
      <c r="E3847" s="4"/>
      <c r="F3847" s="46" t="s">
        <v>1983</v>
      </c>
      <c r="G3847" s="46" t="s">
        <v>336</v>
      </c>
      <c r="H3847" s="4" t="s">
        <v>289</v>
      </c>
      <c r="I3847" s="4">
        <v>1</v>
      </c>
      <c r="J3847" s="21">
        <v>250</v>
      </c>
      <c r="K3847" s="21">
        <v>0</v>
      </c>
      <c r="L3847" s="5">
        <v>0</v>
      </c>
      <c r="M3847" s="4"/>
      <c r="N3847" s="4"/>
      <c r="O3847" s="5"/>
      <c r="P3847" s="5"/>
      <c r="Q3847" s="21">
        <v>250</v>
      </c>
      <c r="R3847" s="21">
        <v>0</v>
      </c>
      <c r="S3847" s="5">
        <f t="shared" si="243"/>
        <v>47791.728997470855</v>
      </c>
      <c r="T3847" cm="1">
        <f t="array" ref="T3847">IF(OR(B3847="MAL ALIMI", B3847="ÜRETİM GİRİŞ"), MIN(I3847, MAX(0, I3847 + SUM(SUMIFS($I$1:I3846, $C$1:C3846, C3847, $B$1:B3846, {"MAL ALIMI","ÜRETİM GİRİŞ"})) - VLOOKUP(C3847, 'STOK RAPORU'!$C$2:$I$1000, 4, 0))), 0)</f>
        <v>0</v>
      </c>
      <c r="U3847" s="22">
        <f t="shared" si="240"/>
        <v>0</v>
      </c>
      <c r="V3847">
        <f t="shared" si="241"/>
        <v>0</v>
      </c>
      <c r="W3847" s="22">
        <f t="shared" si="242"/>
        <v>0</v>
      </c>
    </row>
    <row r="3848" spans="1:23" hidden="1" x14ac:dyDescent="0.25">
      <c r="A3848" s="3">
        <v>46059</v>
      </c>
      <c r="B3848" s="46" t="s">
        <v>334</v>
      </c>
      <c r="C3848" s="4" t="s">
        <v>199</v>
      </c>
      <c r="D3848" s="4"/>
      <c r="E3848" s="4" t="s">
        <v>921</v>
      </c>
      <c r="F3848" s="46" t="s">
        <v>1984</v>
      </c>
      <c r="G3848" s="46" t="s">
        <v>336</v>
      </c>
      <c r="H3848" s="4" t="s">
        <v>380</v>
      </c>
      <c r="I3848" s="4">
        <v>0.42199999999999999</v>
      </c>
      <c r="J3848" s="21">
        <v>950</v>
      </c>
      <c r="K3848" s="21">
        <v>400.9</v>
      </c>
      <c r="L3848" s="5">
        <v>0</v>
      </c>
      <c r="M3848" s="4"/>
      <c r="N3848" s="4"/>
      <c r="O3848" s="5"/>
      <c r="P3848" s="5"/>
      <c r="Q3848" s="21">
        <v>0</v>
      </c>
      <c r="R3848" s="21">
        <v>0</v>
      </c>
      <c r="S3848" s="5">
        <f t="shared" si="243"/>
        <v>47791.728997470855</v>
      </c>
      <c r="T3848" cm="1">
        <f t="array" ref="T3848">IF(OR(B3848="MAL ALIMI", B3848="ÜRETİM GİRİŞ"), MIN(I3848, MAX(0, I3848 + SUM(SUMIFS($I$1:I3847, $C$1:C3847, C3848, $B$1:B3847, {"MAL ALIMI","ÜRETİM GİRİŞ"})) - VLOOKUP(C3848, 'STOK RAPORU'!$C$2:$I$1000, 4, 0))), 0)</f>
        <v>0</v>
      </c>
      <c r="U3848" s="22">
        <f t="shared" si="240"/>
        <v>0</v>
      </c>
      <c r="V3848">
        <f t="shared" si="241"/>
        <v>0</v>
      </c>
      <c r="W3848" s="22">
        <f t="shared" si="242"/>
        <v>0</v>
      </c>
    </row>
    <row r="3849" spans="1:23" hidden="1" x14ac:dyDescent="0.25">
      <c r="A3849" s="3">
        <v>46059</v>
      </c>
      <c r="B3849" s="46" t="s">
        <v>334</v>
      </c>
      <c r="C3849" s="4" t="s">
        <v>634</v>
      </c>
      <c r="D3849" s="4"/>
      <c r="E3849" s="4" t="s">
        <v>921</v>
      </c>
      <c r="F3849" s="46" t="s">
        <v>1984</v>
      </c>
      <c r="G3849" s="46" t="s">
        <v>336</v>
      </c>
      <c r="H3849" s="4" t="s">
        <v>380</v>
      </c>
      <c r="I3849" s="4">
        <v>0.48</v>
      </c>
      <c r="J3849" s="21">
        <v>850</v>
      </c>
      <c r="K3849" s="21">
        <v>408</v>
      </c>
      <c r="L3849" s="5">
        <v>0</v>
      </c>
      <c r="M3849" s="4"/>
      <c r="N3849" s="4"/>
      <c r="O3849" s="5"/>
      <c r="P3849" s="5"/>
      <c r="Q3849" s="21">
        <v>0</v>
      </c>
      <c r="R3849" s="21">
        <v>0</v>
      </c>
      <c r="S3849" s="5">
        <f t="shared" si="243"/>
        <v>47791.728997470855</v>
      </c>
      <c r="T3849" cm="1">
        <f t="array" ref="T3849">IF(OR(B3849="MAL ALIMI", B3849="ÜRETİM GİRİŞ"), MIN(I3849, MAX(0, I3849 + SUM(SUMIFS($I$1:I3848, $C$1:C3848, C3849, $B$1:B3848, {"MAL ALIMI","ÜRETİM GİRİŞ"})) - VLOOKUP(C3849, 'STOK RAPORU'!$C$2:$I$1000, 4, 0))), 0)</f>
        <v>0</v>
      </c>
      <c r="U3849" s="22">
        <f t="shared" si="240"/>
        <v>0</v>
      </c>
      <c r="V3849">
        <f t="shared" si="241"/>
        <v>0</v>
      </c>
      <c r="W3849" s="22">
        <f t="shared" si="242"/>
        <v>0</v>
      </c>
    </row>
    <row r="3850" spans="1:23" hidden="1" x14ac:dyDescent="0.25">
      <c r="A3850" s="3">
        <v>46059</v>
      </c>
      <c r="B3850" s="46" t="s">
        <v>334</v>
      </c>
      <c r="C3850" s="4" t="s">
        <v>226</v>
      </c>
      <c r="D3850" s="4"/>
      <c r="E3850" s="4" t="s">
        <v>921</v>
      </c>
      <c r="F3850" s="46" t="s">
        <v>1984</v>
      </c>
      <c r="G3850" s="46" t="s">
        <v>336</v>
      </c>
      <c r="H3850" s="4" t="s">
        <v>380</v>
      </c>
      <c r="I3850" s="4">
        <v>0.218</v>
      </c>
      <c r="J3850" s="21">
        <v>200</v>
      </c>
      <c r="K3850" s="21">
        <v>43.6</v>
      </c>
      <c r="L3850" s="5">
        <v>0</v>
      </c>
      <c r="M3850" s="4"/>
      <c r="N3850" s="4"/>
      <c r="O3850" s="5"/>
      <c r="P3850" s="5"/>
      <c r="Q3850" s="21">
        <v>0</v>
      </c>
      <c r="R3850" s="21">
        <v>0</v>
      </c>
      <c r="S3850" s="5">
        <f t="shared" si="243"/>
        <v>47791.728997470855</v>
      </c>
      <c r="T3850" cm="1">
        <f t="array" ref="T3850">IF(OR(B3850="MAL ALIMI", B3850="ÜRETİM GİRİŞ"), MIN(I3850, MAX(0, I3850 + SUM(SUMIFS($I$1:I3849, $C$1:C3849, C3850, $B$1:B3849, {"MAL ALIMI","ÜRETİM GİRİŞ"})) - VLOOKUP(C3850, 'STOK RAPORU'!$C$2:$I$1000, 4, 0))), 0)</f>
        <v>0</v>
      </c>
      <c r="U3850" s="22">
        <f t="shared" si="240"/>
        <v>0</v>
      </c>
      <c r="V3850">
        <f t="shared" si="241"/>
        <v>0</v>
      </c>
      <c r="W3850" s="22">
        <f t="shared" si="242"/>
        <v>0</v>
      </c>
    </row>
    <row r="3851" spans="1:23" hidden="1" x14ac:dyDescent="0.25">
      <c r="A3851" s="3">
        <v>46059</v>
      </c>
      <c r="B3851" s="46" t="s">
        <v>334</v>
      </c>
      <c r="C3851" s="4" t="s">
        <v>248</v>
      </c>
      <c r="D3851" s="4"/>
      <c r="E3851" s="4" t="s">
        <v>921</v>
      </c>
      <c r="F3851" s="46" t="s">
        <v>1984</v>
      </c>
      <c r="G3851" s="46" t="s">
        <v>336</v>
      </c>
      <c r="H3851" s="4" t="s">
        <v>380</v>
      </c>
      <c r="I3851" s="4">
        <v>0.2</v>
      </c>
      <c r="J3851" s="21">
        <v>1000</v>
      </c>
      <c r="K3851" s="21">
        <v>200</v>
      </c>
      <c r="L3851" s="5">
        <v>0</v>
      </c>
      <c r="M3851" s="4"/>
      <c r="N3851" s="4"/>
      <c r="O3851" s="5"/>
      <c r="P3851" s="5"/>
      <c r="Q3851" s="21">
        <v>0</v>
      </c>
      <c r="R3851" s="21">
        <v>0</v>
      </c>
      <c r="S3851" s="5">
        <f t="shared" si="243"/>
        <v>47791.728997470855</v>
      </c>
      <c r="T3851" cm="1">
        <f t="array" ref="T3851">IF(OR(B3851="MAL ALIMI", B3851="ÜRETİM GİRİŞ"), MIN(I3851, MAX(0, I3851 + SUM(SUMIFS($I$1:I3850, $C$1:C3850, C3851, $B$1:B3850, {"MAL ALIMI","ÜRETİM GİRİŞ"})) - VLOOKUP(C3851, 'STOK RAPORU'!$C$2:$I$1000, 4, 0))), 0)</f>
        <v>0</v>
      </c>
      <c r="U3851" s="22">
        <f t="shared" si="240"/>
        <v>0</v>
      </c>
      <c r="V3851">
        <f t="shared" si="241"/>
        <v>0</v>
      </c>
      <c r="W3851" s="22">
        <f t="shared" si="242"/>
        <v>0</v>
      </c>
    </row>
    <row r="3852" spans="1:23" hidden="1" x14ac:dyDescent="0.25">
      <c r="A3852" s="3">
        <v>46059</v>
      </c>
      <c r="B3852" s="46" t="s">
        <v>334</v>
      </c>
      <c r="C3852" s="4" t="s">
        <v>160</v>
      </c>
      <c r="D3852" s="4"/>
      <c r="E3852" s="4"/>
      <c r="F3852" s="46" t="s">
        <v>1985</v>
      </c>
      <c r="G3852" s="46" t="s">
        <v>336</v>
      </c>
      <c r="H3852" s="4" t="s">
        <v>289</v>
      </c>
      <c r="I3852" s="4">
        <v>1</v>
      </c>
      <c r="J3852" s="21">
        <v>200</v>
      </c>
      <c r="K3852" s="21">
        <v>0</v>
      </c>
      <c r="L3852" s="5">
        <v>0</v>
      </c>
      <c r="M3852" s="4"/>
      <c r="N3852" s="4"/>
      <c r="O3852" s="5"/>
      <c r="P3852" s="5"/>
      <c r="Q3852" s="21">
        <v>200</v>
      </c>
      <c r="R3852" s="21">
        <v>0</v>
      </c>
      <c r="S3852" s="5">
        <f t="shared" si="243"/>
        <v>47991.728997470855</v>
      </c>
      <c r="T3852" cm="1">
        <f t="array" ref="T3852">IF(OR(B3852="MAL ALIMI", B3852="ÜRETİM GİRİŞ"), MIN(I3852, MAX(0, I3852 + SUM(SUMIFS($I$1:I3851, $C$1:C3851, C3852, $B$1:B3851, {"MAL ALIMI","ÜRETİM GİRİŞ"})) - VLOOKUP(C3852, 'STOK RAPORU'!$C$2:$I$1000, 4, 0))), 0)</f>
        <v>0</v>
      </c>
      <c r="U3852" s="22">
        <f t="shared" si="240"/>
        <v>0</v>
      </c>
      <c r="V3852">
        <f t="shared" si="241"/>
        <v>0</v>
      </c>
      <c r="W3852" s="22">
        <f t="shared" si="242"/>
        <v>0</v>
      </c>
    </row>
    <row r="3853" spans="1:23" hidden="1" x14ac:dyDescent="0.25">
      <c r="A3853" s="3">
        <v>46059</v>
      </c>
      <c r="B3853" s="46" t="s">
        <v>334</v>
      </c>
      <c r="C3853" s="4" t="s">
        <v>237</v>
      </c>
      <c r="D3853" s="4"/>
      <c r="E3853" s="4"/>
      <c r="F3853" s="46" t="s">
        <v>1985</v>
      </c>
      <c r="G3853" s="46" t="s">
        <v>336</v>
      </c>
      <c r="H3853" s="4" t="s">
        <v>289</v>
      </c>
      <c r="I3853" s="4">
        <v>0.05</v>
      </c>
      <c r="J3853" s="21">
        <v>1000</v>
      </c>
      <c r="K3853" s="21">
        <v>0</v>
      </c>
      <c r="L3853" s="5">
        <v>0</v>
      </c>
      <c r="M3853" s="4"/>
      <c r="N3853" s="4"/>
      <c r="O3853" s="5"/>
      <c r="P3853" s="5"/>
      <c r="Q3853" s="21">
        <v>50</v>
      </c>
      <c r="R3853" s="21">
        <v>0</v>
      </c>
      <c r="S3853" s="5">
        <f t="shared" si="243"/>
        <v>48041.728997470855</v>
      </c>
      <c r="T3853" cm="1">
        <f t="array" ref="T3853">IF(OR(B3853="MAL ALIMI", B3853="ÜRETİM GİRİŞ"), MIN(I3853, MAX(0, I3853 + SUM(SUMIFS($I$1:I3852, $C$1:C3852, C3853, $B$1:B3852, {"MAL ALIMI","ÜRETİM GİRİŞ"})) - VLOOKUP(C3853, 'STOK RAPORU'!$C$2:$I$1000, 4, 0))), 0)</f>
        <v>0</v>
      </c>
      <c r="U3853" s="22">
        <f t="shared" si="240"/>
        <v>0</v>
      </c>
      <c r="V3853">
        <f t="shared" si="241"/>
        <v>0</v>
      </c>
      <c r="W3853" s="22">
        <f t="shared" si="242"/>
        <v>0</v>
      </c>
    </row>
    <row r="3854" spans="1:23" hidden="1" x14ac:dyDescent="0.25">
      <c r="A3854" s="3">
        <v>46059</v>
      </c>
      <c r="B3854" s="4" t="s">
        <v>946</v>
      </c>
      <c r="C3854" s="4"/>
      <c r="D3854" s="4"/>
      <c r="E3854" s="4" t="s">
        <v>921</v>
      </c>
      <c r="F3854" s="4"/>
      <c r="G3854" s="4" t="s">
        <v>946</v>
      </c>
      <c r="H3854" s="4" t="s">
        <v>380</v>
      </c>
      <c r="I3854" s="4">
        <v>1</v>
      </c>
      <c r="J3854" s="105">
        <v>850</v>
      </c>
      <c r="K3854" s="21">
        <v>0</v>
      </c>
      <c r="L3854" s="111">
        <v>850</v>
      </c>
      <c r="M3854" s="4"/>
      <c r="N3854" s="4"/>
      <c r="O3854" s="5"/>
      <c r="P3854" s="5"/>
      <c r="Q3854" s="21">
        <v>850</v>
      </c>
      <c r="R3854" s="21">
        <v>0</v>
      </c>
      <c r="S3854" s="5">
        <f t="shared" si="243"/>
        <v>48891.728997470855</v>
      </c>
      <c r="T3854" cm="1">
        <f t="array" ref="T3854">IF(OR(B3854="MAL ALIMI", B3854="ÜRETİM GİRİŞ"), MIN(I3854, MAX(0, I3854 + SUM(SUMIFS($I$1:I3853, $C$1:C3853, C3854, $B$1:B3853, {"MAL ALIMI","ÜRETİM GİRİŞ"})) - VLOOKUP(C3854, 'STOK RAPORU'!$C$2:$I$1000, 4, 0))), 0)</f>
        <v>0</v>
      </c>
      <c r="U3854" s="22">
        <f t="shared" si="240"/>
        <v>0</v>
      </c>
      <c r="V3854">
        <f t="shared" si="241"/>
        <v>0</v>
      </c>
      <c r="W3854" s="22">
        <f t="shared" si="242"/>
        <v>0</v>
      </c>
    </row>
    <row r="3855" spans="1:23" hidden="1" x14ac:dyDescent="0.25">
      <c r="A3855" s="3">
        <v>46059</v>
      </c>
      <c r="B3855" s="4" t="s">
        <v>946</v>
      </c>
      <c r="C3855" s="4"/>
      <c r="D3855" s="4"/>
      <c r="E3855" s="4" t="s">
        <v>921</v>
      </c>
      <c r="F3855" s="4"/>
      <c r="G3855" s="4" t="s">
        <v>946</v>
      </c>
      <c r="H3855" s="4" t="s">
        <v>380</v>
      </c>
      <c r="I3855" s="4">
        <v>1</v>
      </c>
      <c r="J3855" s="105">
        <v>600</v>
      </c>
      <c r="K3855" s="21">
        <v>0</v>
      </c>
      <c r="L3855" s="111">
        <v>600</v>
      </c>
      <c r="M3855" s="4"/>
      <c r="N3855" s="4"/>
      <c r="O3855" s="5"/>
      <c r="P3855" s="5"/>
      <c r="Q3855" s="21">
        <v>600</v>
      </c>
      <c r="R3855" s="21">
        <v>0</v>
      </c>
      <c r="S3855" s="5">
        <f t="shared" si="243"/>
        <v>49491.728997470855</v>
      </c>
      <c r="T3855" cm="1">
        <f t="array" ref="T3855">IF(OR(B3855="MAL ALIMI", B3855="ÜRETİM GİRİŞ"), MIN(I3855, MAX(0, I3855 + SUM(SUMIFS($I$1:I3854, $C$1:C3854, C3855, $B$1:B3854, {"MAL ALIMI","ÜRETİM GİRİŞ"})) - VLOOKUP(C3855, 'STOK RAPORU'!$C$2:$I$1000, 4, 0))), 0)</f>
        <v>0</v>
      </c>
      <c r="U3855" s="22">
        <f t="shared" si="240"/>
        <v>0</v>
      </c>
      <c r="V3855">
        <f t="shared" si="241"/>
        <v>0</v>
      </c>
      <c r="W3855" s="22">
        <f t="shared" si="242"/>
        <v>0</v>
      </c>
    </row>
    <row r="3856" spans="1:23" hidden="1" x14ac:dyDescent="0.25">
      <c r="A3856" s="45">
        <v>46060</v>
      </c>
      <c r="B3856" s="46" t="s">
        <v>298</v>
      </c>
      <c r="C3856" s="4" t="s">
        <v>161</v>
      </c>
      <c r="D3856" s="4"/>
      <c r="E3856" s="4" t="s">
        <v>855</v>
      </c>
      <c r="F3856" s="4">
        <v>2253</v>
      </c>
      <c r="G3856" s="4" t="s">
        <v>2244</v>
      </c>
      <c r="H3856" s="4" t="s">
        <v>304</v>
      </c>
      <c r="I3856" s="4">
        <v>100</v>
      </c>
      <c r="J3856" s="21">
        <v>140</v>
      </c>
      <c r="K3856" s="21">
        <v>0</v>
      </c>
      <c r="L3856" s="5">
        <v>14000</v>
      </c>
      <c r="M3856" s="4"/>
      <c r="N3856" s="4"/>
      <c r="O3856" s="5"/>
      <c r="P3856" s="5"/>
      <c r="Q3856" s="21">
        <v>0</v>
      </c>
      <c r="R3856" s="21">
        <v>0</v>
      </c>
      <c r="S3856" s="5">
        <f t="shared" si="243"/>
        <v>49491.728997470855</v>
      </c>
      <c r="T3856" cm="1">
        <f t="array" ref="T3856">IF(OR(B3856="MAL ALIMI", B3856="ÜRETİM GİRİŞ"), MIN(I3856, MAX(0, I3856 + SUM(SUMIFS($I$1:I3855, $C$1:C3855, C3856, $B$1:B3855, {"MAL ALIMI","ÜRETİM GİRİŞ"})) - VLOOKUP(C3856, 'STOK RAPORU'!$C$2:$I$1000, 4, 0))), 0)</f>
        <v>0</v>
      </c>
      <c r="U3856" s="22">
        <f t="shared" si="240"/>
        <v>0</v>
      </c>
      <c r="V3856">
        <f t="shared" si="241"/>
        <v>14000</v>
      </c>
      <c r="W3856" s="22">
        <f t="shared" si="242"/>
        <v>14000</v>
      </c>
    </row>
    <row r="3857" spans="1:23" hidden="1" x14ac:dyDescent="0.25">
      <c r="A3857" s="45">
        <v>46060</v>
      </c>
      <c r="B3857" s="46" t="s">
        <v>298</v>
      </c>
      <c r="C3857" s="4" t="s">
        <v>160</v>
      </c>
      <c r="D3857" s="4"/>
      <c r="E3857" s="4" t="s">
        <v>855</v>
      </c>
      <c r="F3857" s="4">
        <v>2253</v>
      </c>
      <c r="G3857" s="4" t="s">
        <v>2244</v>
      </c>
      <c r="H3857" s="4" t="s">
        <v>304</v>
      </c>
      <c r="I3857" s="4">
        <v>100</v>
      </c>
      <c r="J3857" s="21">
        <v>155</v>
      </c>
      <c r="K3857" s="21">
        <v>0</v>
      </c>
      <c r="L3857" s="5">
        <v>15500</v>
      </c>
      <c r="M3857" s="4"/>
      <c r="N3857" s="4"/>
      <c r="O3857" s="5"/>
      <c r="P3857" s="5"/>
      <c r="Q3857" s="21">
        <v>0</v>
      </c>
      <c r="R3857" s="21">
        <v>0</v>
      </c>
      <c r="S3857" s="5">
        <f t="shared" si="243"/>
        <v>49491.728997470855</v>
      </c>
      <c r="T3857" cm="1">
        <f t="array" ref="T3857">IF(OR(B3857="MAL ALIMI", B3857="ÜRETİM GİRİŞ"), MIN(I3857, MAX(0, I3857 + SUM(SUMIFS($I$1:I3856, $C$1:C3856, C3857, $B$1:B3856, {"MAL ALIMI","ÜRETİM GİRİŞ"})) - VLOOKUP(C3857, 'STOK RAPORU'!$C$2:$I$1000, 4, 0))), 0)</f>
        <v>0</v>
      </c>
      <c r="U3857" s="22">
        <f t="shared" si="240"/>
        <v>0</v>
      </c>
      <c r="V3857">
        <f t="shared" si="241"/>
        <v>15500</v>
      </c>
      <c r="W3857" s="22">
        <f t="shared" si="242"/>
        <v>15500</v>
      </c>
    </row>
    <row r="3858" spans="1:23" hidden="1" x14ac:dyDescent="0.25">
      <c r="A3858" s="45">
        <v>46060</v>
      </c>
      <c r="B3858" s="46" t="s">
        <v>298</v>
      </c>
      <c r="C3858" s="4" t="s">
        <v>2243</v>
      </c>
      <c r="D3858" s="4"/>
      <c r="E3858" s="4" t="s">
        <v>855</v>
      </c>
      <c r="F3858" s="4">
        <v>2253</v>
      </c>
      <c r="G3858" s="4" t="s">
        <v>2244</v>
      </c>
      <c r="H3858" s="4" t="s">
        <v>304</v>
      </c>
      <c r="I3858" s="4">
        <v>25</v>
      </c>
      <c r="J3858" s="21">
        <v>260</v>
      </c>
      <c r="K3858" s="21">
        <v>0</v>
      </c>
      <c r="L3858" s="5">
        <v>6500</v>
      </c>
      <c r="M3858" s="4"/>
      <c r="N3858" s="4"/>
      <c r="O3858" s="5"/>
      <c r="P3858" s="5"/>
      <c r="Q3858" s="21">
        <v>0</v>
      </c>
      <c r="R3858" s="21">
        <v>0</v>
      </c>
      <c r="S3858" s="5">
        <f t="shared" si="243"/>
        <v>49491.728997470855</v>
      </c>
      <c r="T3858" cm="1">
        <f t="array" ref="T3858">IF(OR(B3858="MAL ALIMI", B3858="ÜRETİM GİRİŞ"), MIN(I3858, MAX(0, I3858 + SUM(SUMIFS($I$1:I3857, $C$1:C3857, C3858, $B$1:B3857, {"MAL ALIMI","ÜRETİM GİRİŞ"})) - VLOOKUP(C3858, 'STOK RAPORU'!$C$2:$I$1000, 4, 0))), 0)</f>
        <v>19.947444555444555</v>
      </c>
      <c r="U3858" s="22">
        <f t="shared" si="240"/>
        <v>5186.335584415584</v>
      </c>
      <c r="V3858">
        <f t="shared" si="241"/>
        <v>6500</v>
      </c>
      <c r="W3858" s="22">
        <f t="shared" si="242"/>
        <v>1313.664415584416</v>
      </c>
    </row>
    <row r="3859" spans="1:23" hidden="1" x14ac:dyDescent="0.25">
      <c r="A3859" s="45">
        <v>46060</v>
      </c>
      <c r="B3859" s="46" t="s">
        <v>298</v>
      </c>
      <c r="C3859" s="4" t="s">
        <v>133</v>
      </c>
      <c r="D3859" s="4"/>
      <c r="E3859" s="4" t="s">
        <v>855</v>
      </c>
      <c r="F3859" s="4">
        <v>2253</v>
      </c>
      <c r="G3859" s="4" t="s">
        <v>2244</v>
      </c>
      <c r="H3859" s="4" t="s">
        <v>304</v>
      </c>
      <c r="I3859" s="4">
        <v>25</v>
      </c>
      <c r="J3859" s="21">
        <v>170</v>
      </c>
      <c r="K3859" s="21">
        <v>0</v>
      </c>
      <c r="L3859" s="5">
        <v>4250</v>
      </c>
      <c r="M3859" s="4"/>
      <c r="N3859" s="4"/>
      <c r="O3859" s="5"/>
      <c r="P3859" s="5"/>
      <c r="Q3859" s="21">
        <v>0</v>
      </c>
      <c r="R3859" s="21">
        <v>0</v>
      </c>
      <c r="S3859" s="5">
        <f t="shared" si="243"/>
        <v>49491.728997470855</v>
      </c>
      <c r="T3859" cm="1">
        <f t="array" ref="T3859">IF(OR(B3859="MAL ALIMI", B3859="ÜRETİM GİRİŞ"), MIN(I3859, MAX(0, I3859 + SUM(SUMIFS($I$1:I3858, $C$1:C3858, C3859, $B$1:B3858, {"MAL ALIMI","ÜRETİM GİRİŞ"})) - VLOOKUP(C3859, 'STOK RAPORU'!$C$2:$I$1000, 4, 0))), 0)</f>
        <v>0</v>
      </c>
      <c r="U3859" s="22">
        <f t="shared" si="240"/>
        <v>0</v>
      </c>
      <c r="V3859">
        <f t="shared" si="241"/>
        <v>4250</v>
      </c>
      <c r="W3859" s="22">
        <f t="shared" si="242"/>
        <v>4250</v>
      </c>
    </row>
    <row r="3860" spans="1:23" hidden="1" x14ac:dyDescent="0.25">
      <c r="A3860" s="45">
        <v>46060</v>
      </c>
      <c r="B3860" s="46" t="s">
        <v>298</v>
      </c>
      <c r="C3860" s="4" t="s">
        <v>132</v>
      </c>
      <c r="D3860" s="4"/>
      <c r="E3860" s="4" t="s">
        <v>855</v>
      </c>
      <c r="F3860" s="4">
        <v>2253</v>
      </c>
      <c r="G3860" s="4" t="s">
        <v>2244</v>
      </c>
      <c r="H3860" s="4" t="s">
        <v>304</v>
      </c>
      <c r="I3860" s="4">
        <v>20</v>
      </c>
      <c r="J3860" s="21">
        <v>260</v>
      </c>
      <c r="K3860" s="21">
        <v>0</v>
      </c>
      <c r="L3860" s="5">
        <v>5200</v>
      </c>
      <c r="M3860" s="4"/>
      <c r="N3860" s="4"/>
      <c r="O3860" s="5"/>
      <c r="P3860" s="5"/>
      <c r="Q3860" s="21">
        <v>0</v>
      </c>
      <c r="R3860" s="21">
        <v>0</v>
      </c>
      <c r="S3860" s="5">
        <f t="shared" si="243"/>
        <v>49491.728997470855</v>
      </c>
      <c r="T3860" cm="1">
        <f t="array" ref="T3860">IF(OR(B3860="MAL ALIMI", B3860="ÜRETİM GİRİŞ"), MIN(I3860, MAX(0, I3860 + SUM(SUMIFS($I$1:I3859, $C$1:C3859, C3860, $B$1:B3859, {"MAL ALIMI","ÜRETİM GİRİŞ"})) - VLOOKUP(C3860, 'STOK RAPORU'!$C$2:$I$1000, 4, 0))), 0)</f>
        <v>14.030000000000005</v>
      </c>
      <c r="U3860" s="22">
        <f t="shared" si="240"/>
        <v>3647.8000000000011</v>
      </c>
      <c r="V3860">
        <f t="shared" si="241"/>
        <v>5200</v>
      </c>
      <c r="W3860" s="22">
        <f t="shared" si="242"/>
        <v>1552.1999999999989</v>
      </c>
    </row>
    <row r="3861" spans="1:23" hidden="1" x14ac:dyDescent="0.25">
      <c r="A3861" s="45">
        <v>46060</v>
      </c>
      <c r="B3861" s="46" t="s">
        <v>298</v>
      </c>
      <c r="C3861" s="4" t="s">
        <v>157</v>
      </c>
      <c r="D3861" s="4"/>
      <c r="E3861" s="4" t="s">
        <v>855</v>
      </c>
      <c r="F3861" s="4">
        <v>2253</v>
      </c>
      <c r="G3861" s="4" t="s">
        <v>2244</v>
      </c>
      <c r="H3861" s="4" t="s">
        <v>304</v>
      </c>
      <c r="I3861" s="4">
        <v>96.75</v>
      </c>
      <c r="J3861" s="21">
        <v>98.191199999999995</v>
      </c>
      <c r="K3861" s="21">
        <v>0</v>
      </c>
      <c r="L3861" s="5">
        <v>9499.998599999999</v>
      </c>
      <c r="M3861" s="4"/>
      <c r="N3861" s="4"/>
      <c r="O3861" s="5"/>
      <c r="P3861" s="5"/>
      <c r="Q3861" s="21">
        <v>0</v>
      </c>
      <c r="R3861" s="21">
        <v>0</v>
      </c>
      <c r="S3861" s="5">
        <f t="shared" si="243"/>
        <v>49491.728997470855</v>
      </c>
      <c r="T3861" cm="1">
        <f t="array" ref="T3861">IF(OR(B3861="MAL ALIMI", B3861="ÜRETİM GİRİŞ"), MIN(I3861, MAX(0, I3861 + SUM(SUMIFS($I$1:I3860, $C$1:C3860, C3861, $B$1:B3860, {"MAL ALIMI","ÜRETİM GİRİŞ"})) - VLOOKUP(C3861, 'STOK RAPORU'!$C$2:$I$1000, 4, 0))), 0)</f>
        <v>12.024000000000001</v>
      </c>
      <c r="U3861" s="22">
        <f t="shared" si="240"/>
        <v>1180.6509888000001</v>
      </c>
      <c r="V3861">
        <f t="shared" si="241"/>
        <v>9499.998599999999</v>
      </c>
      <c r="W3861" s="22">
        <f t="shared" si="242"/>
        <v>8319.3476111999989</v>
      </c>
    </row>
    <row r="3862" spans="1:23" hidden="1" x14ac:dyDescent="0.25">
      <c r="A3862" s="45">
        <v>46060</v>
      </c>
      <c r="B3862" s="46" t="s">
        <v>298</v>
      </c>
      <c r="C3862" s="4" t="s">
        <v>156</v>
      </c>
      <c r="D3862" s="4"/>
      <c r="E3862" s="4" t="s">
        <v>855</v>
      </c>
      <c r="F3862" s="4">
        <v>2253</v>
      </c>
      <c r="G3862" s="4" t="s">
        <v>2244</v>
      </c>
      <c r="H3862" s="4" t="s">
        <v>304</v>
      </c>
      <c r="I3862" s="4">
        <v>96.75</v>
      </c>
      <c r="J3862" s="21">
        <v>98.191199999999995</v>
      </c>
      <c r="K3862" s="21">
        <v>0</v>
      </c>
      <c r="L3862" s="5">
        <v>9499.998599999999</v>
      </c>
      <c r="M3862" s="4"/>
      <c r="N3862" s="4"/>
      <c r="O3862" s="5"/>
      <c r="P3862" s="5"/>
      <c r="Q3862" s="21">
        <v>0</v>
      </c>
      <c r="R3862" s="21">
        <v>0</v>
      </c>
      <c r="S3862" s="5">
        <f t="shared" si="243"/>
        <v>49491.728997470855</v>
      </c>
      <c r="T3862" cm="1">
        <f t="array" ref="T3862">IF(OR(B3862="MAL ALIMI", B3862="ÜRETİM GİRİŞ"), MIN(I3862, MAX(0, I3862 + SUM(SUMIFS($I$1:I3861, $C$1:C3861, C3862, $B$1:B3861, {"MAL ALIMI","ÜRETİM GİRİŞ"})) - VLOOKUP(C3862, 'STOK RAPORU'!$C$2:$I$1000, 4, 0))), 0)</f>
        <v>78.525000000000006</v>
      </c>
      <c r="U3862" s="22">
        <f t="shared" si="240"/>
        <v>7710.4639800000004</v>
      </c>
      <c r="V3862">
        <f t="shared" si="241"/>
        <v>9499.998599999999</v>
      </c>
      <c r="W3862" s="22">
        <f t="shared" si="242"/>
        <v>1789.5346199999985</v>
      </c>
    </row>
    <row r="3863" spans="1:23" hidden="1" x14ac:dyDescent="0.25">
      <c r="A3863" s="45">
        <v>46060</v>
      </c>
      <c r="B3863" s="46" t="s">
        <v>298</v>
      </c>
      <c r="C3863" s="4" t="s">
        <v>158</v>
      </c>
      <c r="D3863" s="4"/>
      <c r="E3863" s="4" t="s">
        <v>855</v>
      </c>
      <c r="F3863" s="4">
        <v>2253</v>
      </c>
      <c r="G3863" s="4" t="s">
        <v>2244</v>
      </c>
      <c r="H3863" s="4" t="s">
        <v>304</v>
      </c>
      <c r="I3863" s="4">
        <v>193.5</v>
      </c>
      <c r="J3863" s="21">
        <v>62.015500000000003</v>
      </c>
      <c r="K3863" s="21">
        <v>0</v>
      </c>
      <c r="L3863" s="5">
        <v>11999.999250000001</v>
      </c>
      <c r="M3863" s="4"/>
      <c r="N3863" s="4"/>
      <c r="O3863" s="5"/>
      <c r="P3863" s="5"/>
      <c r="Q3863" s="21">
        <v>0</v>
      </c>
      <c r="R3863" s="21">
        <v>0</v>
      </c>
      <c r="S3863" s="5">
        <f t="shared" si="243"/>
        <v>49491.728997470855</v>
      </c>
      <c r="T3863" cm="1">
        <f t="array" ref="T3863">IF(OR(B3863="MAL ALIMI", B3863="ÜRETİM GİRİŞ"), MIN(I3863, MAX(0, I3863 + SUM(SUMIFS($I$1:I3862, $C$1:C3862, C3863, $B$1:B3862, {"MAL ALIMI","ÜRETİM GİRİŞ"})) - VLOOKUP(C3863, 'STOK RAPORU'!$C$2:$I$1000, 4, 0))), 0)</f>
        <v>193.5</v>
      </c>
      <c r="U3863" s="22">
        <f t="shared" si="240"/>
        <v>11999.999250000001</v>
      </c>
      <c r="V3863">
        <f t="shared" si="241"/>
        <v>11999.999250000001</v>
      </c>
      <c r="W3863" s="22">
        <f t="shared" si="242"/>
        <v>0</v>
      </c>
    </row>
    <row r="3864" spans="1:23" hidden="1" x14ac:dyDescent="0.25">
      <c r="A3864" s="3">
        <v>46060</v>
      </c>
      <c r="B3864" s="46" t="s">
        <v>334</v>
      </c>
      <c r="C3864" s="4" t="s">
        <v>1359</v>
      </c>
      <c r="D3864" s="4"/>
      <c r="E3864" s="4"/>
      <c r="F3864" s="46" t="s">
        <v>1987</v>
      </c>
      <c r="G3864" s="46" t="s">
        <v>336</v>
      </c>
      <c r="H3864" s="4" t="s">
        <v>289</v>
      </c>
      <c r="I3864" s="4">
        <v>0.5</v>
      </c>
      <c r="J3864" s="21">
        <v>450</v>
      </c>
      <c r="K3864" s="21">
        <v>0</v>
      </c>
      <c r="L3864" s="5">
        <v>0</v>
      </c>
      <c r="M3864" s="4"/>
      <c r="N3864" s="4"/>
      <c r="O3864" s="5"/>
      <c r="P3864" s="5"/>
      <c r="Q3864" s="21">
        <v>225</v>
      </c>
      <c r="R3864" s="21">
        <v>0</v>
      </c>
      <c r="S3864" s="5">
        <f t="shared" si="243"/>
        <v>49716.728997470855</v>
      </c>
      <c r="T3864" cm="1">
        <f t="array" ref="T3864">IF(OR(B3864="MAL ALIMI", B3864="ÜRETİM GİRİŞ"), MIN(I3864, MAX(0, I3864 + SUM(SUMIFS($I$1:I3863, $C$1:C3863, C3864, $B$1:B3863, {"MAL ALIMI","ÜRETİM GİRİŞ"})) - VLOOKUP(C3864, 'STOK RAPORU'!$C$2:$I$1000, 4, 0))), 0)</f>
        <v>0</v>
      </c>
      <c r="U3864" s="22">
        <f t="shared" si="240"/>
        <v>0</v>
      </c>
      <c r="V3864">
        <f t="shared" si="241"/>
        <v>0</v>
      </c>
      <c r="W3864" s="22">
        <f t="shared" si="242"/>
        <v>0</v>
      </c>
    </row>
    <row r="3865" spans="1:23" hidden="1" x14ac:dyDescent="0.25">
      <c r="A3865" s="3">
        <v>46060</v>
      </c>
      <c r="B3865" s="46" t="s">
        <v>334</v>
      </c>
      <c r="C3865" s="4" t="s">
        <v>157</v>
      </c>
      <c r="D3865" s="4"/>
      <c r="E3865" s="4"/>
      <c r="F3865" s="46" t="s">
        <v>1987</v>
      </c>
      <c r="G3865" s="46" t="s">
        <v>336</v>
      </c>
      <c r="H3865" s="4" t="s">
        <v>289</v>
      </c>
      <c r="I3865" s="4">
        <v>5</v>
      </c>
      <c r="J3865" s="21">
        <v>200</v>
      </c>
      <c r="K3865" s="21">
        <v>0</v>
      </c>
      <c r="L3865" s="5">
        <v>0</v>
      </c>
      <c r="M3865" s="4"/>
      <c r="N3865" s="4"/>
      <c r="O3865" s="5"/>
      <c r="P3865" s="5"/>
      <c r="Q3865" s="21">
        <v>1000</v>
      </c>
      <c r="R3865" s="21">
        <v>0</v>
      </c>
      <c r="S3865" s="5">
        <f t="shared" si="243"/>
        <v>50716.728997470855</v>
      </c>
      <c r="T3865" cm="1">
        <f t="array" ref="T3865">IF(OR(B3865="MAL ALIMI", B3865="ÜRETİM GİRİŞ"), MIN(I3865, MAX(0, I3865 + SUM(SUMIFS($I$1:I3864, $C$1:C3864, C3865, $B$1:B3864, {"MAL ALIMI","ÜRETİM GİRİŞ"})) - VLOOKUP(C3865, 'STOK RAPORU'!$C$2:$I$1000, 4, 0))), 0)</f>
        <v>0</v>
      </c>
      <c r="U3865" s="22">
        <f t="shared" si="240"/>
        <v>0</v>
      </c>
      <c r="V3865">
        <f t="shared" si="241"/>
        <v>0</v>
      </c>
      <c r="W3865" s="22">
        <f t="shared" si="242"/>
        <v>0</v>
      </c>
    </row>
    <row r="3866" spans="1:23" hidden="1" x14ac:dyDescent="0.25">
      <c r="A3866" s="3">
        <v>46060</v>
      </c>
      <c r="B3866" s="46" t="s">
        <v>334</v>
      </c>
      <c r="C3866" s="4" t="s">
        <v>1023</v>
      </c>
      <c r="D3866" s="4"/>
      <c r="E3866" s="4"/>
      <c r="F3866" s="46" t="s">
        <v>1987</v>
      </c>
      <c r="G3866" s="46" t="s">
        <v>336</v>
      </c>
      <c r="H3866" s="4" t="s">
        <v>289</v>
      </c>
      <c r="I3866" s="4">
        <v>1.0149999999999999</v>
      </c>
      <c r="J3866" s="21">
        <v>65</v>
      </c>
      <c r="K3866" s="21">
        <v>0</v>
      </c>
      <c r="L3866" s="5">
        <v>0</v>
      </c>
      <c r="M3866" s="4"/>
      <c r="N3866" s="4"/>
      <c r="O3866" s="5"/>
      <c r="P3866" s="5"/>
      <c r="Q3866" s="21">
        <v>65.974999999999994</v>
      </c>
      <c r="R3866" s="21">
        <v>0</v>
      </c>
      <c r="S3866" s="5">
        <f t="shared" si="243"/>
        <v>50782.703997470853</v>
      </c>
      <c r="T3866" cm="1">
        <f t="array" ref="T3866">IF(OR(B3866="MAL ALIMI", B3866="ÜRETİM GİRİŞ"), MIN(I3866, MAX(0, I3866 + SUM(SUMIFS($I$1:I3865, $C$1:C3865, C3866, $B$1:B3865, {"MAL ALIMI","ÜRETİM GİRİŞ"})) - VLOOKUP(C3866, 'STOK RAPORU'!$C$2:$I$1000, 4, 0))), 0)</f>
        <v>0</v>
      </c>
      <c r="U3866" s="22">
        <f t="shared" si="240"/>
        <v>0</v>
      </c>
      <c r="V3866">
        <f t="shared" si="241"/>
        <v>0</v>
      </c>
      <c r="W3866" s="22">
        <f t="shared" si="242"/>
        <v>0</v>
      </c>
    </row>
    <row r="3867" spans="1:23" hidden="1" x14ac:dyDescent="0.25">
      <c r="A3867" s="3">
        <v>46060</v>
      </c>
      <c r="B3867" s="46" t="s">
        <v>334</v>
      </c>
      <c r="C3867" s="4" t="s">
        <v>1023</v>
      </c>
      <c r="D3867" s="4"/>
      <c r="E3867" s="4"/>
      <c r="F3867" s="46" t="s">
        <v>1987</v>
      </c>
      <c r="G3867" s="46" t="s">
        <v>336</v>
      </c>
      <c r="H3867" s="4" t="s">
        <v>289</v>
      </c>
      <c r="I3867" s="4">
        <v>1.0149999999999999</v>
      </c>
      <c r="J3867" s="21">
        <v>65</v>
      </c>
      <c r="K3867" s="21">
        <v>0</v>
      </c>
      <c r="L3867" s="5">
        <v>0</v>
      </c>
      <c r="M3867" s="4"/>
      <c r="N3867" s="4"/>
      <c r="O3867" s="5"/>
      <c r="P3867" s="5"/>
      <c r="Q3867" s="21">
        <v>65.974999999999994</v>
      </c>
      <c r="R3867" s="21">
        <v>0</v>
      </c>
      <c r="S3867" s="5">
        <f t="shared" si="243"/>
        <v>50848.678997470852</v>
      </c>
      <c r="T3867" cm="1">
        <f t="array" ref="T3867">IF(OR(B3867="MAL ALIMI", B3867="ÜRETİM GİRİŞ"), MIN(I3867, MAX(0, I3867 + SUM(SUMIFS($I$1:I3866, $C$1:C3866, C3867, $B$1:B3866, {"MAL ALIMI","ÜRETİM GİRİŞ"})) - VLOOKUP(C3867, 'STOK RAPORU'!$C$2:$I$1000, 4, 0))), 0)</f>
        <v>0</v>
      </c>
      <c r="U3867" s="22">
        <f t="shared" si="240"/>
        <v>0</v>
      </c>
      <c r="V3867">
        <f t="shared" si="241"/>
        <v>0</v>
      </c>
      <c r="W3867" s="22">
        <f t="shared" si="242"/>
        <v>0</v>
      </c>
    </row>
    <row r="3868" spans="1:23" hidden="1" x14ac:dyDescent="0.25">
      <c r="A3868" s="3">
        <v>46060</v>
      </c>
      <c r="B3868" s="46" t="s">
        <v>334</v>
      </c>
      <c r="C3868" s="4" t="s">
        <v>223</v>
      </c>
      <c r="D3868" s="4"/>
      <c r="E3868" s="4"/>
      <c r="F3868" s="46" t="s">
        <v>1987</v>
      </c>
      <c r="G3868" s="46" t="s">
        <v>336</v>
      </c>
      <c r="H3868" s="4" t="s">
        <v>289</v>
      </c>
      <c r="I3868" s="4">
        <v>0.51200000000000001</v>
      </c>
      <c r="J3868" s="21">
        <v>800</v>
      </c>
      <c r="K3868" s="21">
        <v>0</v>
      </c>
      <c r="L3868" s="5">
        <v>0</v>
      </c>
      <c r="M3868" s="4"/>
      <c r="N3868" s="4"/>
      <c r="O3868" s="5"/>
      <c r="P3868" s="5"/>
      <c r="Q3868" s="21">
        <v>409.6</v>
      </c>
      <c r="R3868" s="21">
        <v>0</v>
      </c>
      <c r="S3868" s="5">
        <f t="shared" si="243"/>
        <v>51258.27899747085</v>
      </c>
      <c r="T3868" cm="1">
        <f t="array" ref="T3868">IF(OR(B3868="MAL ALIMI", B3868="ÜRETİM GİRİŞ"), MIN(I3868, MAX(0, I3868 + SUM(SUMIFS($I$1:I3867, $C$1:C3867, C3868, $B$1:B3867, {"MAL ALIMI","ÜRETİM GİRİŞ"})) - VLOOKUP(C3868, 'STOK RAPORU'!$C$2:$I$1000, 4, 0))), 0)</f>
        <v>0</v>
      </c>
      <c r="U3868" s="22">
        <f t="shared" si="240"/>
        <v>0</v>
      </c>
      <c r="V3868">
        <f t="shared" si="241"/>
        <v>0</v>
      </c>
      <c r="W3868" s="22">
        <f t="shared" si="242"/>
        <v>0</v>
      </c>
    </row>
    <row r="3869" spans="1:23" hidden="1" x14ac:dyDescent="0.25">
      <c r="A3869" s="3">
        <v>46060</v>
      </c>
      <c r="B3869" s="46" t="s">
        <v>334</v>
      </c>
      <c r="C3869" s="4" t="s">
        <v>130</v>
      </c>
      <c r="D3869" s="4"/>
      <c r="E3869" s="4"/>
      <c r="F3869" s="46" t="s">
        <v>1987</v>
      </c>
      <c r="G3869" s="46" t="s">
        <v>336</v>
      </c>
      <c r="H3869" s="4" t="s">
        <v>289</v>
      </c>
      <c r="I3869" s="4">
        <v>0.1</v>
      </c>
      <c r="J3869" s="21">
        <v>410</v>
      </c>
      <c r="K3869" s="21">
        <v>0</v>
      </c>
      <c r="L3869" s="5">
        <v>0</v>
      </c>
      <c r="M3869" s="4"/>
      <c r="N3869" s="4"/>
      <c r="O3869" s="5"/>
      <c r="P3869" s="5"/>
      <c r="Q3869" s="21">
        <v>41</v>
      </c>
      <c r="R3869" s="21">
        <v>0</v>
      </c>
      <c r="S3869" s="5">
        <f t="shared" si="243"/>
        <v>51299.27899747085</v>
      </c>
      <c r="T3869" cm="1">
        <f t="array" ref="T3869">IF(OR(B3869="MAL ALIMI", B3869="ÜRETİM GİRİŞ"), MIN(I3869, MAX(0, I3869 + SUM(SUMIFS($I$1:I3868, $C$1:C3868, C3869, $B$1:B3868, {"MAL ALIMI","ÜRETİM GİRİŞ"})) - VLOOKUP(C3869, 'STOK RAPORU'!$C$2:$I$1000, 4, 0))), 0)</f>
        <v>0</v>
      </c>
      <c r="U3869" s="22">
        <f t="shared" si="240"/>
        <v>0</v>
      </c>
      <c r="V3869">
        <f t="shared" si="241"/>
        <v>0</v>
      </c>
      <c r="W3869" s="22">
        <f t="shared" si="242"/>
        <v>0</v>
      </c>
    </row>
    <row r="3870" spans="1:23" hidden="1" x14ac:dyDescent="0.25">
      <c r="A3870" s="3">
        <v>46060</v>
      </c>
      <c r="B3870" s="46" t="s">
        <v>334</v>
      </c>
      <c r="C3870" s="4" t="s">
        <v>147</v>
      </c>
      <c r="D3870" s="4"/>
      <c r="E3870" s="4"/>
      <c r="F3870" s="46" t="s">
        <v>1987</v>
      </c>
      <c r="G3870" s="46" t="s">
        <v>336</v>
      </c>
      <c r="H3870" s="4" t="s">
        <v>289</v>
      </c>
      <c r="I3870" s="4">
        <v>1</v>
      </c>
      <c r="J3870" s="21">
        <v>65</v>
      </c>
      <c r="K3870" s="21">
        <v>0</v>
      </c>
      <c r="L3870" s="5">
        <v>0</v>
      </c>
      <c r="M3870" s="4"/>
      <c r="N3870" s="4"/>
      <c r="O3870" s="5"/>
      <c r="P3870" s="5"/>
      <c r="Q3870" s="21">
        <v>65</v>
      </c>
      <c r="R3870" s="21">
        <v>0</v>
      </c>
      <c r="S3870" s="5">
        <f t="shared" si="243"/>
        <v>51364.27899747085</v>
      </c>
      <c r="T3870" cm="1">
        <f t="array" ref="T3870">IF(OR(B3870="MAL ALIMI", B3870="ÜRETİM GİRİŞ"), MIN(I3870, MAX(0, I3870 + SUM(SUMIFS($I$1:I3869, $C$1:C3869, C3870, $B$1:B3869, {"MAL ALIMI","ÜRETİM GİRİŞ"})) - VLOOKUP(C3870, 'STOK RAPORU'!$C$2:$I$1000, 4, 0))), 0)</f>
        <v>0</v>
      </c>
      <c r="U3870" s="22">
        <f t="shared" si="240"/>
        <v>0</v>
      </c>
      <c r="V3870">
        <f t="shared" si="241"/>
        <v>0</v>
      </c>
      <c r="W3870" s="22">
        <f t="shared" si="242"/>
        <v>0</v>
      </c>
    </row>
    <row r="3871" spans="1:23" hidden="1" x14ac:dyDescent="0.25">
      <c r="A3871" s="3">
        <v>46060</v>
      </c>
      <c r="B3871" s="46" t="s">
        <v>334</v>
      </c>
      <c r="C3871" s="4" t="s">
        <v>196</v>
      </c>
      <c r="D3871" s="4"/>
      <c r="E3871" s="4"/>
      <c r="F3871" s="46" t="s">
        <v>1987</v>
      </c>
      <c r="G3871" s="46" t="s">
        <v>336</v>
      </c>
      <c r="H3871" s="4" t="s">
        <v>289</v>
      </c>
      <c r="I3871" s="4">
        <v>0.52800000000000002</v>
      </c>
      <c r="J3871" s="21">
        <v>230</v>
      </c>
      <c r="K3871" s="21">
        <v>0</v>
      </c>
      <c r="L3871" s="5">
        <v>0</v>
      </c>
      <c r="M3871" s="4"/>
      <c r="N3871" s="4"/>
      <c r="O3871" s="5"/>
      <c r="P3871" s="5"/>
      <c r="Q3871" s="21">
        <v>121.44000000000001</v>
      </c>
      <c r="R3871" s="21">
        <v>0</v>
      </c>
      <c r="S3871" s="5">
        <f t="shared" si="243"/>
        <v>51485.718997470853</v>
      </c>
      <c r="T3871" cm="1">
        <f t="array" ref="T3871">IF(OR(B3871="MAL ALIMI", B3871="ÜRETİM GİRİŞ"), MIN(I3871, MAX(0, I3871 + SUM(SUMIFS($I$1:I3870, $C$1:C3870, C3871, $B$1:B3870, {"MAL ALIMI","ÜRETİM GİRİŞ"})) - VLOOKUP(C3871, 'STOK RAPORU'!$C$2:$I$1000, 4, 0))), 0)</f>
        <v>0</v>
      </c>
      <c r="U3871" s="22">
        <f t="shared" si="240"/>
        <v>0</v>
      </c>
      <c r="V3871">
        <f t="shared" si="241"/>
        <v>0</v>
      </c>
      <c r="W3871" s="22">
        <f t="shared" si="242"/>
        <v>0</v>
      </c>
    </row>
    <row r="3872" spans="1:23" hidden="1" x14ac:dyDescent="0.25">
      <c r="A3872" s="3">
        <v>46060</v>
      </c>
      <c r="B3872" s="46" t="s">
        <v>334</v>
      </c>
      <c r="C3872" s="4" t="s">
        <v>197</v>
      </c>
      <c r="D3872" s="4"/>
      <c r="E3872" s="4"/>
      <c r="F3872" s="46" t="s">
        <v>1987</v>
      </c>
      <c r="G3872" s="46" t="s">
        <v>336</v>
      </c>
      <c r="H3872" s="4" t="s">
        <v>289</v>
      </c>
      <c r="I3872" s="4">
        <v>0.26400000000000001</v>
      </c>
      <c r="J3872" s="21">
        <v>230</v>
      </c>
      <c r="K3872" s="21">
        <v>0</v>
      </c>
      <c r="L3872" s="5">
        <v>0</v>
      </c>
      <c r="M3872" s="4"/>
      <c r="N3872" s="4"/>
      <c r="O3872" s="5"/>
      <c r="P3872" s="5"/>
      <c r="Q3872" s="21">
        <v>60.720000000000006</v>
      </c>
      <c r="R3872" s="21">
        <v>0</v>
      </c>
      <c r="S3872" s="5">
        <f t="shared" si="243"/>
        <v>51546.438997470854</v>
      </c>
      <c r="T3872" cm="1">
        <f t="array" ref="T3872">IF(OR(B3872="MAL ALIMI", B3872="ÜRETİM GİRİŞ"), MIN(I3872, MAX(0, I3872 + SUM(SUMIFS($I$1:I3871, $C$1:C3871, C3872, $B$1:B3871, {"MAL ALIMI","ÜRETİM GİRİŞ"})) - VLOOKUP(C3872, 'STOK RAPORU'!$C$2:$I$1000, 4, 0))), 0)</f>
        <v>0</v>
      </c>
      <c r="U3872" s="22">
        <f t="shared" si="240"/>
        <v>0</v>
      </c>
      <c r="V3872">
        <f t="shared" si="241"/>
        <v>0</v>
      </c>
      <c r="W3872" s="22">
        <f t="shared" si="242"/>
        <v>0</v>
      </c>
    </row>
    <row r="3873" spans="1:23" hidden="1" x14ac:dyDescent="0.25">
      <c r="A3873" s="3">
        <v>46060</v>
      </c>
      <c r="B3873" s="46" t="s">
        <v>334</v>
      </c>
      <c r="C3873" s="4" t="s">
        <v>241</v>
      </c>
      <c r="D3873" s="4"/>
      <c r="E3873" s="4"/>
      <c r="F3873" s="46" t="s">
        <v>1987</v>
      </c>
      <c r="G3873" s="46" t="s">
        <v>336</v>
      </c>
      <c r="H3873" s="4" t="s">
        <v>289</v>
      </c>
      <c r="I3873" s="4">
        <v>0.27800000000000002</v>
      </c>
      <c r="J3873" s="21">
        <v>430</v>
      </c>
      <c r="K3873" s="21">
        <v>0</v>
      </c>
      <c r="L3873" s="5">
        <v>0</v>
      </c>
      <c r="M3873" s="4"/>
      <c r="N3873" s="4"/>
      <c r="O3873" s="5"/>
      <c r="P3873" s="5"/>
      <c r="Q3873" s="21">
        <v>119.54</v>
      </c>
      <c r="R3873" s="21">
        <v>0</v>
      </c>
      <c r="S3873" s="5">
        <f t="shared" si="243"/>
        <v>51665.978997470855</v>
      </c>
      <c r="T3873" cm="1">
        <f t="array" ref="T3873">IF(OR(B3873="MAL ALIMI", B3873="ÜRETİM GİRİŞ"), MIN(I3873, MAX(0, I3873 + SUM(SUMIFS($I$1:I3872, $C$1:C3872, C3873, $B$1:B3872, {"MAL ALIMI","ÜRETİM GİRİŞ"})) - VLOOKUP(C3873, 'STOK RAPORU'!$C$2:$I$1000, 4, 0))), 0)</f>
        <v>0</v>
      </c>
      <c r="U3873" s="22">
        <f t="shared" si="240"/>
        <v>0</v>
      </c>
      <c r="V3873">
        <f t="shared" si="241"/>
        <v>0</v>
      </c>
      <c r="W3873" s="22">
        <f t="shared" si="242"/>
        <v>0</v>
      </c>
    </row>
    <row r="3874" spans="1:23" hidden="1" x14ac:dyDescent="0.25">
      <c r="A3874" s="3">
        <v>46060</v>
      </c>
      <c r="B3874" s="46" t="s">
        <v>334</v>
      </c>
      <c r="C3874" s="4" t="s">
        <v>152</v>
      </c>
      <c r="D3874" s="4"/>
      <c r="E3874" s="4"/>
      <c r="F3874" s="46" t="s">
        <v>1987</v>
      </c>
      <c r="G3874" s="46" t="s">
        <v>336</v>
      </c>
      <c r="H3874" s="4" t="s">
        <v>289</v>
      </c>
      <c r="I3874" s="4">
        <v>2</v>
      </c>
      <c r="J3874" s="21">
        <v>300</v>
      </c>
      <c r="K3874" s="21">
        <v>0</v>
      </c>
      <c r="L3874" s="5">
        <v>0</v>
      </c>
      <c r="M3874" s="4"/>
      <c r="N3874" s="4"/>
      <c r="O3874" s="5"/>
      <c r="P3874" s="5"/>
      <c r="Q3874" s="21">
        <v>600</v>
      </c>
      <c r="R3874" s="21">
        <v>0</v>
      </c>
      <c r="S3874" s="5">
        <f t="shared" si="243"/>
        <v>52265.978997470855</v>
      </c>
      <c r="T3874" cm="1">
        <f t="array" ref="T3874">IF(OR(B3874="MAL ALIMI", B3874="ÜRETİM GİRİŞ"), MIN(I3874, MAX(0, I3874 + SUM(SUMIFS($I$1:I3873, $C$1:C3873, C3874, $B$1:B3873, {"MAL ALIMI","ÜRETİM GİRİŞ"})) - VLOOKUP(C3874, 'STOK RAPORU'!$C$2:$I$1000, 4, 0))), 0)</f>
        <v>0</v>
      </c>
      <c r="U3874" s="22">
        <f t="shared" si="240"/>
        <v>0</v>
      </c>
      <c r="V3874">
        <f t="shared" si="241"/>
        <v>0</v>
      </c>
      <c r="W3874" s="22">
        <f t="shared" si="242"/>
        <v>0</v>
      </c>
    </row>
    <row r="3875" spans="1:23" hidden="1" x14ac:dyDescent="0.25">
      <c r="A3875" s="3">
        <v>46060</v>
      </c>
      <c r="B3875" s="46" t="s">
        <v>334</v>
      </c>
      <c r="C3875" s="4" t="s">
        <v>1120</v>
      </c>
      <c r="D3875" s="4"/>
      <c r="E3875" s="4" t="s">
        <v>921</v>
      </c>
      <c r="F3875" s="46" t="s">
        <v>1988</v>
      </c>
      <c r="G3875" s="46" t="s">
        <v>336</v>
      </c>
      <c r="H3875" s="4" t="s">
        <v>380</v>
      </c>
      <c r="I3875" s="4">
        <v>1</v>
      </c>
      <c r="J3875" s="21">
        <v>205</v>
      </c>
      <c r="K3875" s="21">
        <v>205</v>
      </c>
      <c r="L3875" s="5">
        <v>0</v>
      </c>
      <c r="M3875" s="4"/>
      <c r="N3875" s="4"/>
      <c r="O3875" s="5"/>
      <c r="P3875" s="5"/>
      <c r="Q3875" s="21">
        <v>0</v>
      </c>
      <c r="R3875" s="21">
        <v>0</v>
      </c>
      <c r="S3875" s="5">
        <f t="shared" si="243"/>
        <v>52265.978997470855</v>
      </c>
      <c r="T3875" cm="1">
        <f t="array" ref="T3875">IF(OR(B3875="MAL ALIMI", B3875="ÜRETİM GİRİŞ"), MIN(I3875, MAX(0, I3875 + SUM(SUMIFS($I$1:I3874, $C$1:C3874, C3875, $B$1:B3874, {"MAL ALIMI","ÜRETİM GİRİŞ"})) - VLOOKUP(C3875, 'STOK RAPORU'!$C$2:$I$1000, 4, 0))), 0)</f>
        <v>0</v>
      </c>
      <c r="U3875" s="22">
        <f t="shared" si="240"/>
        <v>0</v>
      </c>
      <c r="V3875">
        <f t="shared" si="241"/>
        <v>0</v>
      </c>
      <c r="W3875" s="22">
        <f t="shared" si="242"/>
        <v>0</v>
      </c>
    </row>
    <row r="3876" spans="1:23" hidden="1" x14ac:dyDescent="0.25">
      <c r="A3876" s="3">
        <v>46060</v>
      </c>
      <c r="B3876" s="46" t="s">
        <v>334</v>
      </c>
      <c r="C3876" s="4" t="s">
        <v>750</v>
      </c>
      <c r="D3876" s="4"/>
      <c r="E3876" s="4" t="s">
        <v>921</v>
      </c>
      <c r="F3876" s="46" t="s">
        <v>1988</v>
      </c>
      <c r="G3876" s="46" t="s">
        <v>336</v>
      </c>
      <c r="H3876" s="4" t="s">
        <v>380</v>
      </c>
      <c r="I3876" s="4">
        <v>1</v>
      </c>
      <c r="J3876" s="21">
        <v>220</v>
      </c>
      <c r="K3876" s="21">
        <v>220</v>
      </c>
      <c r="L3876" s="5">
        <v>0</v>
      </c>
      <c r="M3876" s="4"/>
      <c r="N3876" s="4"/>
      <c r="O3876" s="5"/>
      <c r="P3876" s="5"/>
      <c r="Q3876" s="21">
        <v>0</v>
      </c>
      <c r="R3876" s="21">
        <v>0</v>
      </c>
      <c r="S3876" s="5">
        <f t="shared" si="243"/>
        <v>52265.978997470855</v>
      </c>
      <c r="T3876" cm="1">
        <f t="array" ref="T3876">IF(OR(B3876="MAL ALIMI", B3876="ÜRETİM GİRİŞ"), MIN(I3876, MAX(0, I3876 + SUM(SUMIFS($I$1:I3875, $C$1:C3875, C3876, $B$1:B3875, {"MAL ALIMI","ÜRETİM GİRİŞ"})) - VLOOKUP(C3876, 'STOK RAPORU'!$C$2:$I$1000, 4, 0))), 0)</f>
        <v>0</v>
      </c>
      <c r="U3876" s="22">
        <f t="shared" si="240"/>
        <v>0</v>
      </c>
      <c r="V3876">
        <f t="shared" si="241"/>
        <v>0</v>
      </c>
      <c r="W3876" s="22">
        <f t="shared" si="242"/>
        <v>0</v>
      </c>
    </row>
    <row r="3877" spans="1:23" hidden="1" x14ac:dyDescent="0.25">
      <c r="A3877" s="3">
        <v>46060</v>
      </c>
      <c r="B3877" s="46" t="s">
        <v>334</v>
      </c>
      <c r="C3877" s="4" t="s">
        <v>141</v>
      </c>
      <c r="D3877" s="4"/>
      <c r="E3877" s="4" t="s">
        <v>921</v>
      </c>
      <c r="F3877" s="46" t="s">
        <v>1988</v>
      </c>
      <c r="G3877" s="46" t="s">
        <v>336</v>
      </c>
      <c r="H3877" s="4" t="s">
        <v>380</v>
      </c>
      <c r="I3877" s="4">
        <v>0.05</v>
      </c>
      <c r="J3877" s="21">
        <v>140</v>
      </c>
      <c r="K3877" s="21">
        <v>7</v>
      </c>
      <c r="L3877" s="5">
        <v>0</v>
      </c>
      <c r="M3877" s="4"/>
      <c r="N3877" s="4"/>
      <c r="O3877" s="5"/>
      <c r="P3877" s="5"/>
      <c r="Q3877" s="21">
        <v>0</v>
      </c>
      <c r="R3877" s="21">
        <v>0</v>
      </c>
      <c r="S3877" s="5">
        <f t="shared" si="243"/>
        <v>52265.978997470855</v>
      </c>
      <c r="T3877" cm="1">
        <f t="array" ref="T3877">IF(OR(B3877="MAL ALIMI", B3877="ÜRETİM GİRİŞ"), MIN(I3877, MAX(0, I3877 + SUM(SUMIFS($I$1:I3876, $C$1:C3876, C3877, $B$1:B3876, {"MAL ALIMI","ÜRETİM GİRİŞ"})) - VLOOKUP(C3877, 'STOK RAPORU'!$C$2:$I$1000, 4, 0))), 0)</f>
        <v>0</v>
      </c>
      <c r="U3877" s="22">
        <f t="shared" si="240"/>
        <v>0</v>
      </c>
      <c r="V3877">
        <f t="shared" si="241"/>
        <v>0</v>
      </c>
      <c r="W3877" s="22">
        <f t="shared" si="242"/>
        <v>0</v>
      </c>
    </row>
    <row r="3878" spans="1:23" hidden="1" x14ac:dyDescent="0.25">
      <c r="A3878" s="3">
        <v>46060</v>
      </c>
      <c r="B3878" s="46" t="s">
        <v>334</v>
      </c>
      <c r="C3878" s="4" t="s">
        <v>463</v>
      </c>
      <c r="D3878" s="4"/>
      <c r="E3878" s="4" t="s">
        <v>921</v>
      </c>
      <c r="F3878" s="46" t="s">
        <v>1988</v>
      </c>
      <c r="G3878" s="46" t="s">
        <v>336</v>
      </c>
      <c r="H3878" s="4" t="s">
        <v>380</v>
      </c>
      <c r="I3878" s="4">
        <v>9.6000000000000002E-2</v>
      </c>
      <c r="J3878" s="21">
        <v>400</v>
      </c>
      <c r="K3878" s="21">
        <v>38.4</v>
      </c>
      <c r="L3878" s="5">
        <v>0</v>
      </c>
      <c r="M3878" s="4"/>
      <c r="N3878" s="4"/>
      <c r="O3878" s="5"/>
      <c r="P3878" s="5"/>
      <c r="Q3878" s="21">
        <v>0</v>
      </c>
      <c r="R3878" s="21">
        <v>0</v>
      </c>
      <c r="S3878" s="5">
        <f t="shared" si="243"/>
        <v>52265.978997470855</v>
      </c>
      <c r="T3878" cm="1">
        <f t="array" ref="T3878">IF(OR(B3878="MAL ALIMI", B3878="ÜRETİM GİRİŞ"), MIN(I3878, MAX(0, I3878 + SUM(SUMIFS($I$1:I3877, $C$1:C3877, C3878, $B$1:B3877, {"MAL ALIMI","ÜRETİM GİRİŞ"})) - VLOOKUP(C3878, 'STOK RAPORU'!$C$2:$I$1000, 4, 0))), 0)</f>
        <v>0</v>
      </c>
      <c r="U3878" s="22">
        <f t="shared" si="240"/>
        <v>0</v>
      </c>
      <c r="V3878">
        <f t="shared" si="241"/>
        <v>0</v>
      </c>
      <c r="W3878" s="22">
        <f t="shared" si="242"/>
        <v>0</v>
      </c>
    </row>
    <row r="3879" spans="1:23" hidden="1" x14ac:dyDescent="0.25">
      <c r="A3879" s="3">
        <v>46060</v>
      </c>
      <c r="B3879" s="46" t="s">
        <v>334</v>
      </c>
      <c r="C3879" s="4" t="s">
        <v>131</v>
      </c>
      <c r="D3879" s="4"/>
      <c r="E3879" s="4" t="s">
        <v>921</v>
      </c>
      <c r="F3879" s="46" t="s">
        <v>1988</v>
      </c>
      <c r="G3879" s="46" t="s">
        <v>336</v>
      </c>
      <c r="H3879" s="4" t="s">
        <v>380</v>
      </c>
      <c r="I3879" s="4">
        <v>4.5999999999999999E-2</v>
      </c>
      <c r="J3879" s="21">
        <v>400</v>
      </c>
      <c r="K3879" s="21">
        <v>18.399999999999999</v>
      </c>
      <c r="L3879" s="5">
        <v>0</v>
      </c>
      <c r="M3879" s="4"/>
      <c r="N3879" s="4"/>
      <c r="O3879" s="5"/>
      <c r="P3879" s="5"/>
      <c r="Q3879" s="21">
        <v>0</v>
      </c>
      <c r="R3879" s="21">
        <v>0</v>
      </c>
      <c r="S3879" s="5">
        <f t="shared" si="243"/>
        <v>52265.978997470855</v>
      </c>
      <c r="T3879" cm="1">
        <f t="array" ref="T3879">IF(OR(B3879="MAL ALIMI", B3879="ÜRETİM GİRİŞ"), MIN(I3879, MAX(0, I3879 + SUM(SUMIFS($I$1:I3878, $C$1:C3878, C3879, $B$1:B3878, {"MAL ALIMI","ÜRETİM GİRİŞ"})) - VLOOKUP(C3879, 'STOK RAPORU'!$C$2:$I$1000, 4, 0))), 0)</f>
        <v>0</v>
      </c>
      <c r="U3879" s="22">
        <f t="shared" si="240"/>
        <v>0</v>
      </c>
      <c r="V3879">
        <f t="shared" si="241"/>
        <v>0</v>
      </c>
      <c r="W3879" s="22">
        <f t="shared" si="242"/>
        <v>0</v>
      </c>
    </row>
    <row r="3880" spans="1:23" hidden="1" x14ac:dyDescent="0.25">
      <c r="A3880" s="3">
        <v>46060</v>
      </c>
      <c r="B3880" s="46" t="s">
        <v>334</v>
      </c>
      <c r="C3880" s="4" t="s">
        <v>92</v>
      </c>
      <c r="D3880" s="4"/>
      <c r="E3880" s="4" t="s">
        <v>921</v>
      </c>
      <c r="F3880" s="46" t="s">
        <v>1988</v>
      </c>
      <c r="G3880" s="46" t="s">
        <v>336</v>
      </c>
      <c r="H3880" s="4" t="s">
        <v>380</v>
      </c>
      <c r="I3880" s="4">
        <v>0.14799999999999999</v>
      </c>
      <c r="J3880" s="21">
        <v>500</v>
      </c>
      <c r="K3880" s="21">
        <v>74</v>
      </c>
      <c r="L3880" s="5">
        <v>0</v>
      </c>
      <c r="M3880" s="4"/>
      <c r="N3880" s="4"/>
      <c r="O3880" s="5"/>
      <c r="P3880" s="5"/>
      <c r="Q3880" s="21">
        <v>0</v>
      </c>
      <c r="R3880" s="21">
        <v>0</v>
      </c>
      <c r="S3880" s="5">
        <f t="shared" si="243"/>
        <v>52265.978997470855</v>
      </c>
      <c r="T3880" cm="1">
        <f t="array" ref="T3880">IF(OR(B3880="MAL ALIMI", B3880="ÜRETİM GİRİŞ"), MIN(I3880, MAX(0, I3880 + SUM(SUMIFS($I$1:I3879, $C$1:C3879, C3880, $B$1:B3879, {"MAL ALIMI","ÜRETİM GİRİŞ"})) - VLOOKUP(C3880, 'STOK RAPORU'!$C$2:$I$1000, 4, 0))), 0)</f>
        <v>0</v>
      </c>
      <c r="U3880" s="22">
        <f t="shared" si="240"/>
        <v>0</v>
      </c>
      <c r="V3880">
        <f t="shared" si="241"/>
        <v>0</v>
      </c>
      <c r="W3880" s="22">
        <f t="shared" si="242"/>
        <v>0</v>
      </c>
    </row>
    <row r="3881" spans="1:23" hidden="1" x14ac:dyDescent="0.25">
      <c r="A3881" s="3">
        <v>46060</v>
      </c>
      <c r="B3881" s="46" t="s">
        <v>334</v>
      </c>
      <c r="C3881" s="4" t="s">
        <v>3383</v>
      </c>
      <c r="D3881" s="4"/>
      <c r="E3881" s="4" t="s">
        <v>921</v>
      </c>
      <c r="F3881" s="46" t="s">
        <v>1988</v>
      </c>
      <c r="G3881" s="46" t="s">
        <v>336</v>
      </c>
      <c r="H3881" s="4" t="s">
        <v>380</v>
      </c>
      <c r="I3881" s="4">
        <v>0.5</v>
      </c>
      <c r="J3881" s="21">
        <v>50</v>
      </c>
      <c r="K3881" s="21">
        <v>25</v>
      </c>
      <c r="L3881" s="5">
        <v>0</v>
      </c>
      <c r="M3881" s="4"/>
      <c r="N3881" s="4"/>
      <c r="O3881" s="5"/>
      <c r="P3881" s="5"/>
      <c r="Q3881" s="21">
        <v>0</v>
      </c>
      <c r="R3881" s="21">
        <v>0</v>
      </c>
      <c r="S3881" s="5">
        <f t="shared" si="243"/>
        <v>52265.978997470855</v>
      </c>
      <c r="T3881" cm="1">
        <f t="array" ref="T3881">IF(OR(B3881="MAL ALIMI", B3881="ÜRETİM GİRİŞ"), MIN(I3881, MAX(0, I3881 + SUM(SUMIFS($I$1:I3880, $C$1:C3880, C3881, $B$1:B3880, {"MAL ALIMI","ÜRETİM GİRİŞ"})) - VLOOKUP(C3881, 'STOK RAPORU'!$C$2:$I$1000, 4, 0))), 0)</f>
        <v>0</v>
      </c>
      <c r="U3881" s="22">
        <f t="shared" si="240"/>
        <v>0</v>
      </c>
      <c r="V3881">
        <f t="shared" si="241"/>
        <v>0</v>
      </c>
      <c r="W3881" s="22">
        <f t="shared" si="242"/>
        <v>0</v>
      </c>
    </row>
    <row r="3882" spans="1:23" hidden="1" x14ac:dyDescent="0.25">
      <c r="A3882" s="3">
        <v>46060</v>
      </c>
      <c r="B3882" s="46" t="s">
        <v>334</v>
      </c>
      <c r="C3882" s="4" t="s">
        <v>690</v>
      </c>
      <c r="D3882" s="4"/>
      <c r="E3882" s="4" t="s">
        <v>921</v>
      </c>
      <c r="F3882" s="46" t="s">
        <v>1988</v>
      </c>
      <c r="G3882" s="46" t="s">
        <v>336</v>
      </c>
      <c r="H3882" s="4" t="s">
        <v>380</v>
      </c>
      <c r="I3882" s="4">
        <v>0.39400000000000002</v>
      </c>
      <c r="J3882" s="21">
        <v>340</v>
      </c>
      <c r="K3882" s="21">
        <v>133.96</v>
      </c>
      <c r="L3882" s="5">
        <v>0</v>
      </c>
      <c r="M3882" s="4"/>
      <c r="N3882" s="4"/>
      <c r="O3882" s="5"/>
      <c r="P3882" s="5"/>
      <c r="Q3882" s="21">
        <v>0</v>
      </c>
      <c r="R3882" s="21">
        <v>0</v>
      </c>
      <c r="S3882" s="5">
        <f t="shared" si="243"/>
        <v>52265.978997470855</v>
      </c>
      <c r="T3882" cm="1">
        <f t="array" ref="T3882">IF(OR(B3882="MAL ALIMI", B3882="ÜRETİM GİRİŞ"), MIN(I3882, MAX(0, I3882 + SUM(SUMIFS($I$1:I3881, $C$1:C3881, C3882, $B$1:B3881, {"MAL ALIMI","ÜRETİM GİRİŞ"})) - VLOOKUP(C3882, 'STOK RAPORU'!$C$2:$I$1000, 4, 0))), 0)</f>
        <v>0</v>
      </c>
      <c r="U3882" s="22">
        <f t="shared" si="240"/>
        <v>0</v>
      </c>
      <c r="V3882">
        <f t="shared" si="241"/>
        <v>0</v>
      </c>
      <c r="W3882" s="22">
        <f t="shared" si="242"/>
        <v>0</v>
      </c>
    </row>
    <row r="3883" spans="1:23" hidden="1" x14ac:dyDescent="0.25">
      <c r="A3883" s="3">
        <v>46060</v>
      </c>
      <c r="B3883" s="46" t="s">
        <v>334</v>
      </c>
      <c r="C3883" s="4" t="s">
        <v>158</v>
      </c>
      <c r="D3883" s="4"/>
      <c r="E3883" s="4" t="s">
        <v>921</v>
      </c>
      <c r="F3883" s="46" t="s">
        <v>1988</v>
      </c>
      <c r="G3883" s="46" t="s">
        <v>336</v>
      </c>
      <c r="H3883" s="4" t="s">
        <v>380</v>
      </c>
      <c r="I3883" s="4">
        <v>1</v>
      </c>
      <c r="J3883" s="21">
        <v>150</v>
      </c>
      <c r="K3883" s="21">
        <v>150</v>
      </c>
      <c r="L3883" s="5">
        <v>0</v>
      </c>
      <c r="M3883" s="4"/>
      <c r="N3883" s="4"/>
      <c r="O3883" s="5"/>
      <c r="P3883" s="5"/>
      <c r="Q3883" s="21">
        <v>0</v>
      </c>
      <c r="R3883" s="21">
        <v>0</v>
      </c>
      <c r="S3883" s="5">
        <f t="shared" si="243"/>
        <v>52265.978997470855</v>
      </c>
      <c r="T3883" cm="1">
        <f t="array" ref="T3883">IF(OR(B3883="MAL ALIMI", B3883="ÜRETİM GİRİŞ"), MIN(I3883, MAX(0, I3883 + SUM(SUMIFS($I$1:I3882, $C$1:C3882, C3883, $B$1:B3882, {"MAL ALIMI","ÜRETİM GİRİŞ"})) - VLOOKUP(C3883, 'STOK RAPORU'!$C$2:$I$1000, 4, 0))), 0)</f>
        <v>0</v>
      </c>
      <c r="U3883" s="22">
        <f t="shared" si="240"/>
        <v>0</v>
      </c>
      <c r="V3883">
        <f t="shared" si="241"/>
        <v>0</v>
      </c>
      <c r="W3883" s="22">
        <f t="shared" si="242"/>
        <v>0</v>
      </c>
    </row>
    <row r="3884" spans="1:23" hidden="1" x14ac:dyDescent="0.25">
      <c r="A3884" s="3">
        <v>46060</v>
      </c>
      <c r="B3884" s="46" t="s">
        <v>334</v>
      </c>
      <c r="C3884" s="4" t="s">
        <v>730</v>
      </c>
      <c r="D3884" s="4"/>
      <c r="E3884" s="4" t="s">
        <v>921</v>
      </c>
      <c r="F3884" s="46" t="s">
        <v>1988</v>
      </c>
      <c r="G3884" s="46" t="s">
        <v>336</v>
      </c>
      <c r="H3884" s="4" t="s">
        <v>380</v>
      </c>
      <c r="I3884" s="4">
        <v>1</v>
      </c>
      <c r="J3884" s="21">
        <v>90</v>
      </c>
      <c r="K3884" s="21">
        <v>90</v>
      </c>
      <c r="L3884" s="5">
        <v>0</v>
      </c>
      <c r="M3884" s="4"/>
      <c r="N3884" s="4"/>
      <c r="O3884" s="5"/>
      <c r="P3884" s="5"/>
      <c r="Q3884" s="21">
        <v>0</v>
      </c>
      <c r="R3884" s="21">
        <v>0</v>
      </c>
      <c r="S3884" s="5">
        <f t="shared" si="243"/>
        <v>52265.978997470855</v>
      </c>
      <c r="T3884" cm="1">
        <f t="array" ref="T3884">IF(OR(B3884="MAL ALIMI", B3884="ÜRETİM GİRİŞ"), MIN(I3884, MAX(0, I3884 + SUM(SUMIFS($I$1:I3883, $C$1:C3883, C3884, $B$1:B3883, {"MAL ALIMI","ÜRETİM GİRİŞ"})) - VLOOKUP(C3884, 'STOK RAPORU'!$C$2:$I$1000, 4, 0))), 0)</f>
        <v>0</v>
      </c>
      <c r="U3884" s="22">
        <f t="shared" si="240"/>
        <v>0</v>
      </c>
      <c r="V3884">
        <f t="shared" si="241"/>
        <v>0</v>
      </c>
      <c r="W3884" s="22">
        <f t="shared" si="242"/>
        <v>0</v>
      </c>
    </row>
    <row r="3885" spans="1:23" hidden="1" x14ac:dyDescent="0.25">
      <c r="A3885" s="3">
        <v>46060</v>
      </c>
      <c r="B3885" s="46" t="s">
        <v>334</v>
      </c>
      <c r="C3885" s="4" t="s">
        <v>1041</v>
      </c>
      <c r="D3885" s="4"/>
      <c r="E3885" s="4" t="s">
        <v>921</v>
      </c>
      <c r="F3885" s="46" t="s">
        <v>1988</v>
      </c>
      <c r="G3885" s="46" t="s">
        <v>336</v>
      </c>
      <c r="H3885" s="4" t="s">
        <v>380</v>
      </c>
      <c r="I3885" s="4">
        <v>1.1319999999999999</v>
      </c>
      <c r="J3885" s="21">
        <v>250</v>
      </c>
      <c r="K3885" s="21">
        <v>283</v>
      </c>
      <c r="L3885" s="5">
        <v>0</v>
      </c>
      <c r="M3885" s="4"/>
      <c r="N3885" s="4"/>
      <c r="O3885" s="5"/>
      <c r="P3885" s="5"/>
      <c r="Q3885" s="21">
        <v>0</v>
      </c>
      <c r="R3885" s="21">
        <v>0</v>
      </c>
      <c r="S3885" s="5">
        <f t="shared" si="243"/>
        <v>52265.978997470855</v>
      </c>
      <c r="T3885" cm="1">
        <f t="array" ref="T3885">IF(OR(B3885="MAL ALIMI", B3885="ÜRETİM GİRİŞ"), MIN(I3885, MAX(0, I3885 + SUM(SUMIFS($I$1:I3884, $C$1:C3884, C3885, $B$1:B3884, {"MAL ALIMI","ÜRETİM GİRİŞ"})) - VLOOKUP(C3885, 'STOK RAPORU'!$C$2:$I$1000, 4, 0))), 0)</f>
        <v>0</v>
      </c>
      <c r="U3885" s="22">
        <f t="shared" si="240"/>
        <v>0</v>
      </c>
      <c r="V3885">
        <f t="shared" si="241"/>
        <v>0</v>
      </c>
      <c r="W3885" s="22">
        <f t="shared" si="242"/>
        <v>0</v>
      </c>
    </row>
    <row r="3886" spans="1:23" hidden="1" x14ac:dyDescent="0.25">
      <c r="A3886" s="3">
        <v>46060</v>
      </c>
      <c r="B3886" s="46" t="s">
        <v>334</v>
      </c>
      <c r="C3886" s="4" t="s">
        <v>728</v>
      </c>
      <c r="D3886" s="4"/>
      <c r="E3886" s="4" t="s">
        <v>921</v>
      </c>
      <c r="F3886" s="46" t="s">
        <v>1989</v>
      </c>
      <c r="G3886" s="46" t="s">
        <v>336</v>
      </c>
      <c r="H3886" s="4" t="s">
        <v>380</v>
      </c>
      <c r="I3886" s="4">
        <v>0.30434782608695654</v>
      </c>
      <c r="J3886" s="21">
        <v>690</v>
      </c>
      <c r="K3886" s="21">
        <v>210</v>
      </c>
      <c r="L3886" s="5">
        <v>0</v>
      </c>
      <c r="M3886" s="4"/>
      <c r="N3886" s="4"/>
      <c r="O3886" s="5"/>
      <c r="P3886" s="5"/>
      <c r="Q3886" s="21">
        <v>0</v>
      </c>
      <c r="R3886" s="21">
        <v>0</v>
      </c>
      <c r="S3886" s="5">
        <f t="shared" si="243"/>
        <v>52265.978997470855</v>
      </c>
      <c r="T3886" cm="1">
        <f t="array" ref="T3886">IF(OR(B3886="MAL ALIMI", B3886="ÜRETİM GİRİŞ"), MIN(I3886, MAX(0, I3886 + SUM(SUMIFS($I$1:I3885, $C$1:C3885, C3886, $B$1:B3885, {"MAL ALIMI","ÜRETİM GİRİŞ"})) - VLOOKUP(C3886, 'STOK RAPORU'!$C$2:$I$1000, 4, 0))), 0)</f>
        <v>0</v>
      </c>
      <c r="U3886" s="22">
        <f t="shared" si="240"/>
        <v>0</v>
      </c>
      <c r="V3886">
        <f t="shared" si="241"/>
        <v>0</v>
      </c>
      <c r="W3886" s="22">
        <f t="shared" si="242"/>
        <v>0</v>
      </c>
    </row>
    <row r="3887" spans="1:23" hidden="1" x14ac:dyDescent="0.25">
      <c r="A3887" s="3">
        <v>46060</v>
      </c>
      <c r="B3887" s="46" t="s">
        <v>334</v>
      </c>
      <c r="C3887" s="4" t="s">
        <v>252</v>
      </c>
      <c r="D3887" s="4"/>
      <c r="E3887" s="4"/>
      <c r="F3887" s="46" t="s">
        <v>1990</v>
      </c>
      <c r="G3887" s="46" t="s">
        <v>336</v>
      </c>
      <c r="H3887" s="4" t="s">
        <v>289</v>
      </c>
      <c r="I3887" s="4">
        <v>0.5</v>
      </c>
      <c r="J3887" s="21">
        <v>200</v>
      </c>
      <c r="K3887" s="21">
        <v>0</v>
      </c>
      <c r="L3887" s="5">
        <v>0</v>
      </c>
      <c r="M3887" s="4"/>
      <c r="N3887" s="4"/>
      <c r="O3887" s="5"/>
      <c r="P3887" s="5"/>
      <c r="Q3887" s="21">
        <v>100</v>
      </c>
      <c r="R3887" s="21">
        <v>0</v>
      </c>
      <c r="S3887" s="5">
        <f t="shared" si="243"/>
        <v>52365.978997470855</v>
      </c>
      <c r="T3887" cm="1">
        <f t="array" ref="T3887">IF(OR(B3887="MAL ALIMI", B3887="ÜRETİM GİRİŞ"), MIN(I3887, MAX(0, I3887 + SUM(SUMIFS($I$1:I3886, $C$1:C3886, C3887, $B$1:B3886, {"MAL ALIMI","ÜRETİM GİRİŞ"})) - VLOOKUP(C3887, 'STOK RAPORU'!$C$2:$I$1000, 4, 0))), 0)</f>
        <v>0</v>
      </c>
      <c r="U3887" s="22">
        <f t="shared" si="240"/>
        <v>0</v>
      </c>
      <c r="V3887">
        <f t="shared" si="241"/>
        <v>0</v>
      </c>
      <c r="W3887" s="22">
        <f t="shared" si="242"/>
        <v>0</v>
      </c>
    </row>
    <row r="3888" spans="1:23" hidden="1" x14ac:dyDescent="0.25">
      <c r="A3888" s="3">
        <v>46060</v>
      </c>
      <c r="B3888" s="46" t="s">
        <v>334</v>
      </c>
      <c r="C3888" s="4" t="s">
        <v>1041</v>
      </c>
      <c r="D3888" s="4"/>
      <c r="E3888" s="4"/>
      <c r="F3888" s="46" t="s">
        <v>1990</v>
      </c>
      <c r="G3888" s="46" t="s">
        <v>336</v>
      </c>
      <c r="H3888" s="4" t="s">
        <v>289</v>
      </c>
      <c r="I3888" s="4">
        <v>1</v>
      </c>
      <c r="J3888" s="21">
        <v>250</v>
      </c>
      <c r="K3888" s="21">
        <v>0</v>
      </c>
      <c r="L3888" s="5">
        <v>0</v>
      </c>
      <c r="M3888" s="4"/>
      <c r="N3888" s="4"/>
      <c r="O3888" s="5"/>
      <c r="P3888" s="5"/>
      <c r="Q3888" s="21">
        <v>250</v>
      </c>
      <c r="R3888" s="21">
        <v>0</v>
      </c>
      <c r="S3888" s="5">
        <f t="shared" si="243"/>
        <v>52615.978997470855</v>
      </c>
      <c r="T3888" cm="1">
        <f t="array" ref="T3888">IF(OR(B3888="MAL ALIMI", B3888="ÜRETİM GİRİŞ"), MIN(I3888, MAX(0, I3888 + SUM(SUMIFS($I$1:I3887, $C$1:C3887, C3888, $B$1:B3887, {"MAL ALIMI","ÜRETİM GİRİŞ"})) - VLOOKUP(C3888, 'STOK RAPORU'!$C$2:$I$1000, 4, 0))), 0)</f>
        <v>0</v>
      </c>
      <c r="U3888" s="22">
        <f t="shared" si="240"/>
        <v>0</v>
      </c>
      <c r="V3888">
        <f t="shared" si="241"/>
        <v>0</v>
      </c>
      <c r="W3888" s="22">
        <f t="shared" si="242"/>
        <v>0</v>
      </c>
    </row>
    <row r="3889" spans="1:23" hidden="1" x14ac:dyDescent="0.25">
      <c r="A3889" s="3">
        <v>46060</v>
      </c>
      <c r="B3889" s="46" t="s">
        <v>334</v>
      </c>
      <c r="C3889" s="4" t="s">
        <v>1423</v>
      </c>
      <c r="D3889" s="4"/>
      <c r="E3889" s="4"/>
      <c r="F3889" s="46" t="s">
        <v>1990</v>
      </c>
      <c r="G3889" s="46" t="s">
        <v>336</v>
      </c>
      <c r="H3889" s="4" t="s">
        <v>289</v>
      </c>
      <c r="I3889" s="4">
        <v>1</v>
      </c>
      <c r="J3889" s="21">
        <v>100</v>
      </c>
      <c r="K3889" s="21">
        <v>0</v>
      </c>
      <c r="L3889" s="5">
        <v>0</v>
      </c>
      <c r="M3889" s="4"/>
      <c r="N3889" s="4"/>
      <c r="O3889" s="5"/>
      <c r="P3889" s="5"/>
      <c r="Q3889" s="21">
        <v>100</v>
      </c>
      <c r="R3889" s="21">
        <v>0</v>
      </c>
      <c r="S3889" s="5">
        <f t="shared" si="243"/>
        <v>52715.978997470855</v>
      </c>
      <c r="T3889" cm="1">
        <f t="array" ref="T3889">IF(OR(B3889="MAL ALIMI", B3889="ÜRETİM GİRİŞ"), MIN(I3889, MAX(0, I3889 + SUM(SUMIFS($I$1:I3888, $C$1:C3888, C3889, $B$1:B3888, {"MAL ALIMI","ÜRETİM GİRİŞ"})) - VLOOKUP(C3889, 'STOK RAPORU'!$C$2:$I$1000, 4, 0))), 0)</f>
        <v>0</v>
      </c>
      <c r="U3889" s="22">
        <f t="shared" si="240"/>
        <v>0</v>
      </c>
      <c r="V3889">
        <f t="shared" si="241"/>
        <v>0</v>
      </c>
      <c r="W3889" s="22">
        <f t="shared" si="242"/>
        <v>0</v>
      </c>
    </row>
    <row r="3890" spans="1:23" hidden="1" x14ac:dyDescent="0.25">
      <c r="A3890" s="3">
        <v>46060</v>
      </c>
      <c r="B3890" s="46" t="s">
        <v>334</v>
      </c>
      <c r="C3890" s="4" t="s">
        <v>1391</v>
      </c>
      <c r="D3890" s="4"/>
      <c r="E3890" s="4"/>
      <c r="F3890" s="46" t="s">
        <v>1991</v>
      </c>
      <c r="G3890" s="46" t="s">
        <v>336</v>
      </c>
      <c r="H3890" s="4" t="s">
        <v>289</v>
      </c>
      <c r="I3890" s="4">
        <v>1</v>
      </c>
      <c r="J3890" s="21">
        <v>170</v>
      </c>
      <c r="K3890" s="21">
        <v>0</v>
      </c>
      <c r="L3890" s="5">
        <v>0</v>
      </c>
      <c r="M3890" s="4"/>
      <c r="N3890" s="4"/>
      <c r="O3890" s="5"/>
      <c r="P3890" s="5"/>
      <c r="Q3890" s="21">
        <v>170</v>
      </c>
      <c r="R3890" s="21">
        <v>0</v>
      </c>
      <c r="S3890" s="5">
        <f t="shared" si="243"/>
        <v>52885.978997470855</v>
      </c>
      <c r="T3890" cm="1">
        <f t="array" ref="T3890">IF(OR(B3890="MAL ALIMI", B3890="ÜRETİM GİRİŞ"), MIN(I3890, MAX(0, I3890 + SUM(SUMIFS($I$1:I3889, $C$1:C3889, C3890, $B$1:B3889, {"MAL ALIMI","ÜRETİM GİRİŞ"})) - VLOOKUP(C3890, 'STOK RAPORU'!$C$2:$I$1000, 4, 0))), 0)</f>
        <v>0</v>
      </c>
      <c r="U3890" s="22">
        <f t="shared" si="240"/>
        <v>0</v>
      </c>
      <c r="V3890">
        <f t="shared" si="241"/>
        <v>0</v>
      </c>
      <c r="W3890" s="22">
        <f t="shared" si="242"/>
        <v>0</v>
      </c>
    </row>
    <row r="3891" spans="1:23" hidden="1" x14ac:dyDescent="0.25">
      <c r="A3891" s="3">
        <v>46060</v>
      </c>
      <c r="B3891" s="46" t="s">
        <v>334</v>
      </c>
      <c r="C3891" s="4" t="s">
        <v>1041</v>
      </c>
      <c r="D3891" s="4"/>
      <c r="E3891" s="4"/>
      <c r="F3891" s="46" t="s">
        <v>1991</v>
      </c>
      <c r="G3891" s="46" t="s">
        <v>336</v>
      </c>
      <c r="H3891" s="4" t="s">
        <v>289</v>
      </c>
      <c r="I3891" s="4">
        <v>1</v>
      </c>
      <c r="J3891" s="21">
        <v>250</v>
      </c>
      <c r="K3891" s="21">
        <v>0</v>
      </c>
      <c r="L3891" s="5">
        <v>0</v>
      </c>
      <c r="M3891" s="4"/>
      <c r="N3891" s="4"/>
      <c r="O3891" s="5"/>
      <c r="P3891" s="5"/>
      <c r="Q3891" s="21">
        <v>250</v>
      </c>
      <c r="R3891" s="21">
        <v>0</v>
      </c>
      <c r="S3891" s="5">
        <f t="shared" si="243"/>
        <v>53135.978997470855</v>
      </c>
      <c r="T3891" cm="1">
        <f t="array" ref="T3891">IF(OR(B3891="MAL ALIMI", B3891="ÜRETİM GİRİŞ"), MIN(I3891, MAX(0, I3891 + SUM(SUMIFS($I$1:I3890, $C$1:C3890, C3891, $B$1:B3890, {"MAL ALIMI","ÜRETİM GİRİŞ"})) - VLOOKUP(C3891, 'STOK RAPORU'!$C$2:$I$1000, 4, 0))), 0)</f>
        <v>0</v>
      </c>
      <c r="U3891" s="22">
        <f t="shared" si="240"/>
        <v>0</v>
      </c>
      <c r="V3891">
        <f t="shared" si="241"/>
        <v>0</v>
      </c>
      <c r="W3891" s="22">
        <f t="shared" si="242"/>
        <v>0</v>
      </c>
    </row>
    <row r="3892" spans="1:23" hidden="1" x14ac:dyDescent="0.25">
      <c r="A3892" s="3">
        <v>46060</v>
      </c>
      <c r="B3892" s="46" t="s">
        <v>334</v>
      </c>
      <c r="C3892" s="4" t="s">
        <v>1360</v>
      </c>
      <c r="D3892" s="4"/>
      <c r="E3892" s="4"/>
      <c r="F3892" s="46" t="s">
        <v>1991</v>
      </c>
      <c r="G3892" s="46" t="s">
        <v>336</v>
      </c>
      <c r="H3892" s="4" t="s">
        <v>289</v>
      </c>
      <c r="I3892" s="4">
        <v>0.5</v>
      </c>
      <c r="J3892" s="21">
        <v>400</v>
      </c>
      <c r="K3892" s="21">
        <v>0</v>
      </c>
      <c r="L3892" s="5">
        <v>0</v>
      </c>
      <c r="M3892" s="4"/>
      <c r="N3892" s="4"/>
      <c r="O3892" s="5"/>
      <c r="P3892" s="5"/>
      <c r="Q3892" s="21">
        <v>200</v>
      </c>
      <c r="R3892" s="21">
        <v>0</v>
      </c>
      <c r="S3892" s="5">
        <f t="shared" si="243"/>
        <v>53335.978997470855</v>
      </c>
      <c r="T3892" cm="1">
        <f t="array" ref="T3892">IF(OR(B3892="MAL ALIMI", B3892="ÜRETİM GİRİŞ"), MIN(I3892, MAX(0, I3892 + SUM(SUMIFS($I$1:I3891, $C$1:C3891, C3892, $B$1:B3891, {"MAL ALIMI","ÜRETİM GİRİŞ"})) - VLOOKUP(C3892, 'STOK RAPORU'!$C$2:$I$1000, 4, 0))), 0)</f>
        <v>0</v>
      </c>
      <c r="U3892" s="22">
        <f t="shared" si="240"/>
        <v>0</v>
      </c>
      <c r="V3892">
        <f t="shared" si="241"/>
        <v>0</v>
      </c>
      <c r="W3892" s="22">
        <f t="shared" si="242"/>
        <v>0</v>
      </c>
    </row>
    <row r="3893" spans="1:23" hidden="1" x14ac:dyDescent="0.25">
      <c r="A3893" s="3">
        <v>46060</v>
      </c>
      <c r="B3893" s="46" t="s">
        <v>334</v>
      </c>
      <c r="C3893" s="4" t="s">
        <v>133</v>
      </c>
      <c r="D3893" s="4"/>
      <c r="E3893" s="4"/>
      <c r="F3893" s="46" t="s">
        <v>1992</v>
      </c>
      <c r="G3893" s="46" t="s">
        <v>336</v>
      </c>
      <c r="H3893" s="4" t="s">
        <v>289</v>
      </c>
      <c r="I3893" s="4">
        <v>0.125</v>
      </c>
      <c r="J3893" s="21">
        <v>400</v>
      </c>
      <c r="K3893" s="21">
        <v>0</v>
      </c>
      <c r="L3893" s="5">
        <v>0</v>
      </c>
      <c r="M3893" s="4"/>
      <c r="N3893" s="4"/>
      <c r="O3893" s="5"/>
      <c r="P3893" s="5"/>
      <c r="Q3893" s="21">
        <v>50</v>
      </c>
      <c r="R3893" s="21">
        <v>0</v>
      </c>
      <c r="S3893" s="5">
        <f t="shared" si="243"/>
        <v>53385.978997470855</v>
      </c>
      <c r="T3893" cm="1">
        <f t="array" ref="T3893">IF(OR(B3893="MAL ALIMI", B3893="ÜRETİM GİRİŞ"), MIN(I3893, MAX(0, I3893 + SUM(SUMIFS($I$1:I3892, $C$1:C3892, C3893, $B$1:B3892, {"MAL ALIMI","ÜRETİM GİRİŞ"})) - VLOOKUP(C3893, 'STOK RAPORU'!$C$2:$I$1000, 4, 0))), 0)</f>
        <v>0</v>
      </c>
      <c r="U3893" s="22">
        <f t="shared" si="240"/>
        <v>0</v>
      </c>
      <c r="V3893">
        <f t="shared" si="241"/>
        <v>0</v>
      </c>
      <c r="W3893" s="22">
        <f t="shared" si="242"/>
        <v>0</v>
      </c>
    </row>
    <row r="3894" spans="1:23" hidden="1" x14ac:dyDescent="0.25">
      <c r="A3894" s="3">
        <v>46060</v>
      </c>
      <c r="B3894" s="46" t="s">
        <v>334</v>
      </c>
      <c r="C3894" s="4" t="s">
        <v>126</v>
      </c>
      <c r="D3894" s="4"/>
      <c r="E3894" s="4"/>
      <c r="F3894" s="46" t="s">
        <v>1992</v>
      </c>
      <c r="G3894" s="46" t="s">
        <v>336</v>
      </c>
      <c r="H3894" s="4" t="s">
        <v>289</v>
      </c>
      <c r="I3894" s="4">
        <v>0.10307692307692308</v>
      </c>
      <c r="J3894" s="21">
        <v>650</v>
      </c>
      <c r="K3894" s="21">
        <v>0</v>
      </c>
      <c r="L3894" s="5">
        <v>0</v>
      </c>
      <c r="M3894" s="4"/>
      <c r="N3894" s="4"/>
      <c r="O3894" s="5"/>
      <c r="P3894" s="5"/>
      <c r="Q3894" s="21">
        <v>67</v>
      </c>
      <c r="R3894" s="21">
        <v>0</v>
      </c>
      <c r="S3894" s="5">
        <f t="shared" si="243"/>
        <v>53452.978997470855</v>
      </c>
      <c r="T3894" cm="1">
        <f t="array" ref="T3894">IF(OR(B3894="MAL ALIMI", B3894="ÜRETİM GİRİŞ"), MIN(I3894, MAX(0, I3894 + SUM(SUMIFS($I$1:I3893, $C$1:C3893, C3894, $B$1:B3893, {"MAL ALIMI","ÜRETİM GİRİŞ"})) - VLOOKUP(C3894, 'STOK RAPORU'!$C$2:$I$1000, 4, 0))), 0)</f>
        <v>0</v>
      </c>
      <c r="U3894" s="22">
        <f t="shared" si="240"/>
        <v>0</v>
      </c>
      <c r="V3894">
        <f t="shared" si="241"/>
        <v>0</v>
      </c>
      <c r="W3894" s="22">
        <f t="shared" si="242"/>
        <v>0</v>
      </c>
    </row>
    <row r="3895" spans="1:23" hidden="1" x14ac:dyDescent="0.25">
      <c r="A3895" s="3">
        <v>46060</v>
      </c>
      <c r="B3895" s="46" t="s">
        <v>334</v>
      </c>
      <c r="C3895" s="4" t="s">
        <v>160</v>
      </c>
      <c r="D3895" s="4"/>
      <c r="E3895" s="4"/>
      <c r="F3895" s="46" t="s">
        <v>1993</v>
      </c>
      <c r="G3895" s="46" t="s">
        <v>336</v>
      </c>
      <c r="H3895" s="4" t="s">
        <v>289</v>
      </c>
      <c r="I3895" s="4">
        <v>1</v>
      </c>
      <c r="J3895" s="21">
        <v>250</v>
      </c>
      <c r="K3895" s="21">
        <v>0</v>
      </c>
      <c r="L3895" s="5">
        <v>0</v>
      </c>
      <c r="M3895" s="4"/>
      <c r="N3895" s="4"/>
      <c r="O3895" s="5"/>
      <c r="P3895" s="5"/>
      <c r="Q3895" s="21">
        <v>250</v>
      </c>
      <c r="R3895" s="21">
        <v>0</v>
      </c>
      <c r="S3895" s="5">
        <f t="shared" si="243"/>
        <v>53702.978997470855</v>
      </c>
      <c r="T3895" cm="1">
        <f t="array" ref="T3895">IF(OR(B3895="MAL ALIMI", B3895="ÜRETİM GİRİŞ"), MIN(I3895, MAX(0, I3895 + SUM(SUMIFS($I$1:I3894, $C$1:C3894, C3895, $B$1:B3894, {"MAL ALIMI","ÜRETİM GİRİŞ"})) - VLOOKUP(C3895, 'STOK RAPORU'!$C$2:$I$1000, 4, 0))), 0)</f>
        <v>0</v>
      </c>
      <c r="U3895" s="22">
        <f t="shared" si="240"/>
        <v>0</v>
      </c>
      <c r="V3895">
        <f t="shared" si="241"/>
        <v>0</v>
      </c>
      <c r="W3895" s="22">
        <f t="shared" si="242"/>
        <v>0</v>
      </c>
    </row>
    <row r="3896" spans="1:23" hidden="1" x14ac:dyDescent="0.25">
      <c r="A3896" s="3">
        <v>46060</v>
      </c>
      <c r="B3896" s="46" t="s">
        <v>334</v>
      </c>
      <c r="C3896" s="4" t="s">
        <v>597</v>
      </c>
      <c r="D3896" s="4"/>
      <c r="E3896" s="4" t="s">
        <v>921</v>
      </c>
      <c r="F3896" s="46" t="s">
        <v>1994</v>
      </c>
      <c r="G3896" s="46" t="s">
        <v>336</v>
      </c>
      <c r="H3896" s="4" t="s">
        <v>380</v>
      </c>
      <c r="I3896" s="4">
        <v>1</v>
      </c>
      <c r="J3896" s="21">
        <v>290</v>
      </c>
      <c r="K3896" s="21">
        <v>290</v>
      </c>
      <c r="L3896" s="5">
        <v>0</v>
      </c>
      <c r="M3896" s="4"/>
      <c r="N3896" s="4"/>
      <c r="O3896" s="5"/>
      <c r="P3896" s="5"/>
      <c r="Q3896" s="21">
        <v>0</v>
      </c>
      <c r="R3896" s="21">
        <v>0</v>
      </c>
      <c r="S3896" s="5">
        <f t="shared" si="243"/>
        <v>53702.978997470855</v>
      </c>
      <c r="T3896" cm="1">
        <f t="array" ref="T3896">IF(OR(B3896="MAL ALIMI", B3896="ÜRETİM GİRİŞ"), MIN(I3896, MAX(0, I3896 + SUM(SUMIFS($I$1:I3895, $C$1:C3895, C3896, $B$1:B3895, {"MAL ALIMI","ÜRETİM GİRİŞ"})) - VLOOKUP(C3896, 'STOK RAPORU'!$C$2:$I$1000, 4, 0))), 0)</f>
        <v>0</v>
      </c>
      <c r="U3896" s="22">
        <f t="shared" si="240"/>
        <v>0</v>
      </c>
      <c r="V3896">
        <f t="shared" si="241"/>
        <v>0</v>
      </c>
      <c r="W3896" s="22">
        <f t="shared" si="242"/>
        <v>0</v>
      </c>
    </row>
    <row r="3897" spans="1:23" hidden="1" x14ac:dyDescent="0.25">
      <c r="A3897" s="3">
        <v>46060</v>
      </c>
      <c r="B3897" s="46" t="s">
        <v>334</v>
      </c>
      <c r="C3897" s="4" t="s">
        <v>160</v>
      </c>
      <c r="D3897" s="4"/>
      <c r="E3897" s="4" t="s">
        <v>921</v>
      </c>
      <c r="F3897" s="46" t="s">
        <v>1994</v>
      </c>
      <c r="G3897" s="46" t="s">
        <v>336</v>
      </c>
      <c r="H3897" s="4" t="s">
        <v>380</v>
      </c>
      <c r="I3897" s="4">
        <v>1</v>
      </c>
      <c r="J3897" s="21">
        <v>250</v>
      </c>
      <c r="K3897" s="21">
        <v>250</v>
      </c>
      <c r="L3897" s="5">
        <v>0</v>
      </c>
      <c r="M3897" s="4"/>
      <c r="N3897" s="4"/>
      <c r="O3897" s="5"/>
      <c r="P3897" s="5"/>
      <c r="Q3897" s="21">
        <v>0</v>
      </c>
      <c r="R3897" s="21">
        <v>0</v>
      </c>
      <c r="S3897" s="5">
        <f t="shared" si="243"/>
        <v>53702.978997470855</v>
      </c>
      <c r="T3897" cm="1">
        <f t="array" ref="T3897">IF(OR(B3897="MAL ALIMI", B3897="ÜRETİM GİRİŞ"), MIN(I3897, MAX(0, I3897 + SUM(SUMIFS($I$1:I3896, $C$1:C3896, C3897, $B$1:B3896, {"MAL ALIMI","ÜRETİM GİRİŞ"})) - VLOOKUP(C3897, 'STOK RAPORU'!$C$2:$I$1000, 4, 0))), 0)</f>
        <v>0</v>
      </c>
      <c r="U3897" s="22">
        <f t="shared" si="240"/>
        <v>0</v>
      </c>
      <c r="V3897">
        <f t="shared" si="241"/>
        <v>0</v>
      </c>
      <c r="W3897" s="22">
        <f t="shared" si="242"/>
        <v>0</v>
      </c>
    </row>
    <row r="3898" spans="1:23" hidden="1" x14ac:dyDescent="0.25">
      <c r="A3898" s="3">
        <v>46060</v>
      </c>
      <c r="B3898" s="46" t="s">
        <v>334</v>
      </c>
      <c r="C3898" s="4" t="s">
        <v>158</v>
      </c>
      <c r="D3898" s="4"/>
      <c r="E3898" s="4"/>
      <c r="F3898" s="46" t="s">
        <v>1995</v>
      </c>
      <c r="G3898" s="46" t="s">
        <v>336</v>
      </c>
      <c r="H3898" s="4" t="s">
        <v>289</v>
      </c>
      <c r="I3898" s="4">
        <v>5</v>
      </c>
      <c r="J3898" s="21">
        <v>150</v>
      </c>
      <c r="K3898" s="21">
        <v>0</v>
      </c>
      <c r="L3898" s="5">
        <v>0</v>
      </c>
      <c r="M3898" s="4"/>
      <c r="N3898" s="4"/>
      <c r="O3898" s="5"/>
      <c r="P3898" s="5"/>
      <c r="Q3898" s="21">
        <v>750</v>
      </c>
      <c r="R3898" s="21">
        <v>0</v>
      </c>
      <c r="S3898" s="5">
        <f t="shared" si="243"/>
        <v>54452.978997470855</v>
      </c>
      <c r="T3898" cm="1">
        <f t="array" ref="T3898">IF(OR(B3898="MAL ALIMI", B3898="ÜRETİM GİRİŞ"), MIN(I3898, MAX(0, I3898 + SUM(SUMIFS($I$1:I3897, $C$1:C3897, C3898, $B$1:B3897, {"MAL ALIMI","ÜRETİM GİRİŞ"})) - VLOOKUP(C3898, 'STOK RAPORU'!$C$2:$I$1000, 4, 0))), 0)</f>
        <v>0</v>
      </c>
      <c r="U3898" s="22">
        <f t="shared" si="240"/>
        <v>0</v>
      </c>
      <c r="V3898">
        <f t="shared" si="241"/>
        <v>0</v>
      </c>
      <c r="W3898" s="22">
        <f t="shared" si="242"/>
        <v>0</v>
      </c>
    </row>
    <row r="3899" spans="1:23" hidden="1" x14ac:dyDescent="0.25">
      <c r="A3899" s="3">
        <v>46060</v>
      </c>
      <c r="B3899" s="46" t="s">
        <v>334</v>
      </c>
      <c r="C3899" s="4" t="s">
        <v>157</v>
      </c>
      <c r="D3899" s="4"/>
      <c r="E3899" s="4"/>
      <c r="F3899" s="46" t="s">
        <v>1995</v>
      </c>
      <c r="G3899" s="46" t="s">
        <v>336</v>
      </c>
      <c r="H3899" s="4" t="s">
        <v>289</v>
      </c>
      <c r="I3899" s="4">
        <v>5</v>
      </c>
      <c r="J3899" s="21">
        <v>200</v>
      </c>
      <c r="K3899" s="21">
        <v>0</v>
      </c>
      <c r="L3899" s="5">
        <v>0</v>
      </c>
      <c r="M3899" s="4"/>
      <c r="N3899" s="4"/>
      <c r="O3899" s="5"/>
      <c r="P3899" s="5"/>
      <c r="Q3899" s="21">
        <v>1000</v>
      </c>
      <c r="R3899" s="21">
        <v>0</v>
      </c>
      <c r="S3899" s="5">
        <f t="shared" si="243"/>
        <v>55452.978997470855</v>
      </c>
      <c r="T3899" cm="1">
        <f t="array" ref="T3899">IF(OR(B3899="MAL ALIMI", B3899="ÜRETİM GİRİŞ"), MIN(I3899, MAX(0, I3899 + SUM(SUMIFS($I$1:I3898, $C$1:C3898, C3899, $B$1:B3898, {"MAL ALIMI","ÜRETİM GİRİŞ"})) - VLOOKUP(C3899, 'STOK RAPORU'!$C$2:$I$1000, 4, 0))), 0)</f>
        <v>0</v>
      </c>
      <c r="U3899" s="22">
        <f t="shared" si="240"/>
        <v>0</v>
      </c>
      <c r="V3899">
        <f t="shared" si="241"/>
        <v>0</v>
      </c>
      <c r="W3899" s="22">
        <f t="shared" si="242"/>
        <v>0</v>
      </c>
    </row>
    <row r="3900" spans="1:23" hidden="1" x14ac:dyDescent="0.25">
      <c r="A3900" s="3">
        <v>46060</v>
      </c>
      <c r="B3900" s="46" t="s">
        <v>334</v>
      </c>
      <c r="C3900" s="4" t="s">
        <v>92</v>
      </c>
      <c r="D3900" s="4"/>
      <c r="E3900" s="4"/>
      <c r="F3900" s="46" t="s">
        <v>1995</v>
      </c>
      <c r="G3900" s="46" t="s">
        <v>336</v>
      </c>
      <c r="H3900" s="4" t="s">
        <v>289</v>
      </c>
      <c r="I3900" s="4">
        <v>0.1</v>
      </c>
      <c r="J3900" s="21">
        <v>500</v>
      </c>
      <c r="K3900" s="21">
        <v>0</v>
      </c>
      <c r="L3900" s="5">
        <v>0</v>
      </c>
      <c r="M3900" s="4"/>
      <c r="N3900" s="4"/>
      <c r="O3900" s="5"/>
      <c r="P3900" s="5"/>
      <c r="Q3900" s="21">
        <v>50</v>
      </c>
      <c r="R3900" s="21">
        <v>0</v>
      </c>
      <c r="S3900" s="5">
        <f t="shared" si="243"/>
        <v>55502.978997470855</v>
      </c>
      <c r="T3900" cm="1">
        <f t="array" ref="T3900">IF(OR(B3900="MAL ALIMI", B3900="ÜRETİM GİRİŞ"), MIN(I3900, MAX(0, I3900 + SUM(SUMIFS($I$1:I3899, $C$1:C3899, C3900, $B$1:B3899, {"MAL ALIMI","ÜRETİM GİRİŞ"})) - VLOOKUP(C3900, 'STOK RAPORU'!$C$2:$I$1000, 4, 0))), 0)</f>
        <v>0</v>
      </c>
      <c r="U3900" s="22">
        <f t="shared" ref="U3900:U3961" si="244">T3900*J3900</f>
        <v>0</v>
      </c>
      <c r="V3900">
        <f t="shared" ref="V3900:V3961" si="245">IF(OR(B3900="MAL ALIMI", B3900="ÜRETİM GİRİŞ"), I3900 * J3900, 0)</f>
        <v>0</v>
      </c>
      <c r="W3900" s="22">
        <f t="shared" ref="W3900:W3961" si="246">V3900-U3900</f>
        <v>0</v>
      </c>
    </row>
    <row r="3901" spans="1:23" hidden="1" x14ac:dyDescent="0.25">
      <c r="A3901" s="3">
        <v>46060</v>
      </c>
      <c r="B3901" s="46" t="s">
        <v>334</v>
      </c>
      <c r="C3901" s="4" t="s">
        <v>89</v>
      </c>
      <c r="D3901" s="4"/>
      <c r="E3901" s="4" t="s">
        <v>921</v>
      </c>
      <c r="F3901" s="46" t="s">
        <v>1996</v>
      </c>
      <c r="G3901" s="46" t="s">
        <v>336</v>
      </c>
      <c r="H3901" s="4" t="s">
        <v>380</v>
      </c>
      <c r="I3901" s="4">
        <v>0.1</v>
      </c>
      <c r="J3901" s="21">
        <v>650</v>
      </c>
      <c r="K3901" s="21">
        <v>65</v>
      </c>
      <c r="L3901" s="5">
        <v>0</v>
      </c>
      <c r="M3901" s="4"/>
      <c r="N3901" s="4"/>
      <c r="O3901" s="5"/>
      <c r="P3901" s="5"/>
      <c r="Q3901" s="21">
        <v>0</v>
      </c>
      <c r="R3901" s="21">
        <v>0</v>
      </c>
      <c r="S3901" s="5">
        <f t="shared" si="243"/>
        <v>55502.978997470855</v>
      </c>
      <c r="T3901" cm="1">
        <f t="array" ref="T3901">IF(OR(B3901="MAL ALIMI", B3901="ÜRETİM GİRİŞ"), MIN(I3901, MAX(0, I3901 + SUM(SUMIFS($I$1:I3900, $C$1:C3900, C3901, $B$1:B3900, {"MAL ALIMI","ÜRETİM GİRİŞ"})) - VLOOKUP(C3901, 'STOK RAPORU'!$C$2:$I$1000, 4, 0))), 0)</f>
        <v>0</v>
      </c>
      <c r="U3901" s="22">
        <f t="shared" si="244"/>
        <v>0</v>
      </c>
      <c r="V3901">
        <f t="shared" si="245"/>
        <v>0</v>
      </c>
      <c r="W3901" s="22">
        <f t="shared" si="246"/>
        <v>0</v>
      </c>
    </row>
    <row r="3902" spans="1:23" hidden="1" x14ac:dyDescent="0.25">
      <c r="A3902" s="3">
        <v>46060</v>
      </c>
      <c r="B3902" s="46" t="s">
        <v>334</v>
      </c>
      <c r="C3902" s="4" t="s">
        <v>91</v>
      </c>
      <c r="D3902" s="4"/>
      <c r="E3902" s="4" t="s">
        <v>921</v>
      </c>
      <c r="F3902" s="46" t="s">
        <v>1996</v>
      </c>
      <c r="G3902" s="46" t="s">
        <v>336</v>
      </c>
      <c r="H3902" s="4" t="s">
        <v>380</v>
      </c>
      <c r="I3902" s="4">
        <v>5.3999999999999999E-2</v>
      </c>
      <c r="J3902" s="21">
        <v>750</v>
      </c>
      <c r="K3902" s="21">
        <v>40.5</v>
      </c>
      <c r="L3902" s="5">
        <v>0</v>
      </c>
      <c r="M3902" s="4"/>
      <c r="N3902" s="4"/>
      <c r="O3902" s="5"/>
      <c r="P3902" s="5"/>
      <c r="Q3902" s="21">
        <v>0</v>
      </c>
      <c r="R3902" s="21">
        <v>0</v>
      </c>
      <c r="S3902" s="5">
        <f t="shared" si="243"/>
        <v>55502.978997470855</v>
      </c>
      <c r="T3902" cm="1">
        <f t="array" ref="T3902">IF(OR(B3902="MAL ALIMI", B3902="ÜRETİM GİRİŞ"), MIN(I3902, MAX(0, I3902 + SUM(SUMIFS($I$1:I3901, $C$1:C3901, C3902, $B$1:B3901, {"MAL ALIMI","ÜRETİM GİRİŞ"})) - VLOOKUP(C3902, 'STOK RAPORU'!$C$2:$I$1000, 4, 0))), 0)</f>
        <v>0</v>
      </c>
      <c r="U3902" s="22">
        <f t="shared" si="244"/>
        <v>0</v>
      </c>
      <c r="V3902">
        <f t="shared" si="245"/>
        <v>0</v>
      </c>
      <c r="W3902" s="22">
        <f t="shared" si="246"/>
        <v>0</v>
      </c>
    </row>
    <row r="3903" spans="1:23" hidden="1" x14ac:dyDescent="0.25">
      <c r="A3903" s="3">
        <v>46060</v>
      </c>
      <c r="B3903" s="46" t="s">
        <v>334</v>
      </c>
      <c r="C3903" s="4" t="s">
        <v>131</v>
      </c>
      <c r="D3903" s="4"/>
      <c r="E3903" s="4" t="s">
        <v>921</v>
      </c>
      <c r="F3903" s="46" t="s">
        <v>1996</v>
      </c>
      <c r="G3903" s="46" t="s">
        <v>336</v>
      </c>
      <c r="H3903" s="4" t="s">
        <v>380</v>
      </c>
      <c r="I3903" s="4">
        <v>9.2499999999999999E-2</v>
      </c>
      <c r="J3903" s="21">
        <v>400</v>
      </c>
      <c r="K3903" s="21">
        <v>37</v>
      </c>
      <c r="L3903" s="5">
        <v>0</v>
      </c>
      <c r="M3903" s="4"/>
      <c r="N3903" s="4"/>
      <c r="O3903" s="5"/>
      <c r="P3903" s="5"/>
      <c r="Q3903" s="21">
        <v>0</v>
      </c>
      <c r="R3903" s="21">
        <v>0</v>
      </c>
      <c r="S3903" s="5">
        <f t="shared" si="243"/>
        <v>55502.978997470855</v>
      </c>
      <c r="T3903" cm="1">
        <f t="array" ref="T3903">IF(OR(B3903="MAL ALIMI", B3903="ÜRETİM GİRİŞ"), MIN(I3903, MAX(0, I3903 + SUM(SUMIFS($I$1:I3902, $C$1:C3902, C3903, $B$1:B3902, {"MAL ALIMI","ÜRETİM GİRİŞ"})) - VLOOKUP(C3903, 'STOK RAPORU'!$C$2:$I$1000, 4, 0))), 0)</f>
        <v>0</v>
      </c>
      <c r="U3903" s="22">
        <f t="shared" si="244"/>
        <v>0</v>
      </c>
      <c r="V3903">
        <f t="shared" si="245"/>
        <v>0</v>
      </c>
      <c r="W3903" s="22">
        <f t="shared" si="246"/>
        <v>0</v>
      </c>
    </row>
    <row r="3904" spans="1:23" hidden="1" x14ac:dyDescent="0.25">
      <c r="A3904" s="3">
        <v>46060</v>
      </c>
      <c r="B3904" s="46" t="s">
        <v>334</v>
      </c>
      <c r="C3904" s="4" t="s">
        <v>588</v>
      </c>
      <c r="D3904" s="4"/>
      <c r="E3904" s="4"/>
      <c r="F3904" s="46" t="s">
        <v>1997</v>
      </c>
      <c r="G3904" s="46" t="s">
        <v>336</v>
      </c>
      <c r="H3904" s="4" t="s">
        <v>289</v>
      </c>
      <c r="I3904" s="4">
        <v>1</v>
      </c>
      <c r="J3904" s="21">
        <v>350</v>
      </c>
      <c r="K3904" s="21">
        <v>0</v>
      </c>
      <c r="L3904" s="5">
        <v>0</v>
      </c>
      <c r="M3904" s="4"/>
      <c r="N3904" s="4"/>
      <c r="O3904" s="5"/>
      <c r="P3904" s="5"/>
      <c r="Q3904" s="21">
        <v>350</v>
      </c>
      <c r="R3904" s="21">
        <v>0</v>
      </c>
      <c r="S3904" s="5">
        <f t="shared" si="243"/>
        <v>55852.978997470855</v>
      </c>
      <c r="T3904" cm="1">
        <f t="array" ref="T3904">IF(OR(B3904="MAL ALIMI", B3904="ÜRETİM GİRİŞ"), MIN(I3904, MAX(0, I3904 + SUM(SUMIFS($I$1:I3903, $C$1:C3903, C3904, $B$1:B3903, {"MAL ALIMI","ÜRETİM GİRİŞ"})) - VLOOKUP(C3904, 'STOK RAPORU'!$C$2:$I$1000, 4, 0))), 0)</f>
        <v>0</v>
      </c>
      <c r="U3904" s="22">
        <f t="shared" si="244"/>
        <v>0</v>
      </c>
      <c r="V3904">
        <f t="shared" si="245"/>
        <v>0</v>
      </c>
      <c r="W3904" s="22">
        <f t="shared" si="246"/>
        <v>0</v>
      </c>
    </row>
    <row r="3905" spans="1:23" hidden="1" x14ac:dyDescent="0.25">
      <c r="A3905" s="3">
        <v>46060</v>
      </c>
      <c r="B3905" s="46" t="s">
        <v>334</v>
      </c>
      <c r="C3905" s="4" t="s">
        <v>1150</v>
      </c>
      <c r="D3905" s="4"/>
      <c r="E3905" s="4"/>
      <c r="F3905" s="46" t="s">
        <v>1997</v>
      </c>
      <c r="G3905" s="46" t="s">
        <v>336</v>
      </c>
      <c r="H3905" s="4" t="s">
        <v>289</v>
      </c>
      <c r="I3905" s="4">
        <v>0.6</v>
      </c>
      <c r="J3905" s="21">
        <v>500</v>
      </c>
      <c r="K3905" s="21">
        <v>0</v>
      </c>
      <c r="L3905" s="5">
        <v>0</v>
      </c>
      <c r="M3905" s="4"/>
      <c r="N3905" s="4"/>
      <c r="O3905" s="5"/>
      <c r="P3905" s="5"/>
      <c r="Q3905" s="21">
        <v>300</v>
      </c>
      <c r="R3905" s="21">
        <v>0</v>
      </c>
      <c r="S3905" s="5">
        <f t="shared" si="243"/>
        <v>56152.978997470855</v>
      </c>
      <c r="T3905" cm="1">
        <f t="array" ref="T3905">IF(OR(B3905="MAL ALIMI", B3905="ÜRETİM GİRİŞ"), MIN(I3905, MAX(0, I3905 + SUM(SUMIFS($I$1:I3904, $C$1:C3904, C3905, $B$1:B3904, {"MAL ALIMI","ÜRETİM GİRİŞ"})) - VLOOKUP(C3905, 'STOK RAPORU'!$C$2:$I$1000, 4, 0))), 0)</f>
        <v>0</v>
      </c>
      <c r="U3905" s="22">
        <f t="shared" si="244"/>
        <v>0</v>
      </c>
      <c r="V3905">
        <f t="shared" si="245"/>
        <v>0</v>
      </c>
      <c r="W3905" s="22">
        <f t="shared" si="246"/>
        <v>0</v>
      </c>
    </row>
    <row r="3906" spans="1:23" hidden="1" x14ac:dyDescent="0.25">
      <c r="A3906" s="3">
        <v>46060</v>
      </c>
      <c r="B3906" s="46" t="s">
        <v>334</v>
      </c>
      <c r="C3906" s="4" t="s">
        <v>60</v>
      </c>
      <c r="D3906" s="4"/>
      <c r="E3906" s="4"/>
      <c r="F3906" s="46" t="s">
        <v>1998</v>
      </c>
      <c r="G3906" s="46" t="s">
        <v>336</v>
      </c>
      <c r="H3906" s="4" t="s">
        <v>289</v>
      </c>
      <c r="I3906" s="4">
        <v>0.05</v>
      </c>
      <c r="J3906" s="21">
        <v>1000</v>
      </c>
      <c r="K3906" s="21">
        <v>0</v>
      </c>
      <c r="L3906" s="5">
        <v>0</v>
      </c>
      <c r="M3906" s="4"/>
      <c r="N3906" s="4"/>
      <c r="O3906" s="5"/>
      <c r="P3906" s="5"/>
      <c r="Q3906" s="21">
        <v>50</v>
      </c>
      <c r="R3906" s="21">
        <v>0</v>
      </c>
      <c r="S3906" s="5">
        <f t="shared" si="243"/>
        <v>56202.978997470855</v>
      </c>
      <c r="T3906" cm="1">
        <f t="array" ref="T3906">IF(OR(B3906="MAL ALIMI", B3906="ÜRETİM GİRİŞ"), MIN(I3906, MAX(0, I3906 + SUM(SUMIFS($I$1:I3905, $C$1:C3905, C3906, $B$1:B3905, {"MAL ALIMI","ÜRETİM GİRİŞ"})) - VLOOKUP(C3906, 'STOK RAPORU'!$C$2:$I$1000, 4, 0))), 0)</f>
        <v>0</v>
      </c>
      <c r="U3906" s="22">
        <f t="shared" si="244"/>
        <v>0</v>
      </c>
      <c r="V3906">
        <f t="shared" si="245"/>
        <v>0</v>
      </c>
      <c r="W3906" s="22">
        <f t="shared" si="246"/>
        <v>0</v>
      </c>
    </row>
    <row r="3907" spans="1:23" hidden="1" x14ac:dyDescent="0.25">
      <c r="A3907" s="3">
        <v>46060</v>
      </c>
      <c r="B3907" s="46" t="s">
        <v>334</v>
      </c>
      <c r="C3907" s="4" t="s">
        <v>1041</v>
      </c>
      <c r="D3907" s="4"/>
      <c r="E3907" s="4" t="s">
        <v>921</v>
      </c>
      <c r="F3907" s="46" t="s">
        <v>1999</v>
      </c>
      <c r="G3907" s="46" t="s">
        <v>336</v>
      </c>
      <c r="H3907" s="4" t="s">
        <v>380</v>
      </c>
      <c r="I3907" s="4">
        <v>2.4</v>
      </c>
      <c r="J3907" s="21">
        <v>250</v>
      </c>
      <c r="K3907" s="21">
        <v>600</v>
      </c>
      <c r="L3907" s="5">
        <v>0</v>
      </c>
      <c r="M3907" s="4"/>
      <c r="N3907" s="4"/>
      <c r="O3907" s="5"/>
      <c r="P3907" s="5"/>
      <c r="Q3907" s="21">
        <v>0</v>
      </c>
      <c r="R3907" s="21">
        <v>0</v>
      </c>
      <c r="S3907" s="5">
        <f t="shared" si="243"/>
        <v>56202.978997470855</v>
      </c>
      <c r="T3907" cm="1">
        <f t="array" ref="T3907">IF(OR(B3907="MAL ALIMI", B3907="ÜRETİM GİRİŞ"), MIN(I3907, MAX(0, I3907 + SUM(SUMIFS($I$1:I3906, $C$1:C3906, C3907, $B$1:B3906, {"MAL ALIMI","ÜRETİM GİRİŞ"})) - VLOOKUP(C3907, 'STOK RAPORU'!$C$2:$I$1000, 4, 0))), 0)</f>
        <v>0</v>
      </c>
      <c r="U3907" s="22">
        <f t="shared" si="244"/>
        <v>0</v>
      </c>
      <c r="V3907">
        <f t="shared" si="245"/>
        <v>0</v>
      </c>
      <c r="W3907" s="22">
        <f t="shared" si="246"/>
        <v>0</v>
      </c>
    </row>
    <row r="3908" spans="1:23" hidden="1" x14ac:dyDescent="0.25">
      <c r="A3908" s="3">
        <v>46060</v>
      </c>
      <c r="B3908" s="46" t="s">
        <v>334</v>
      </c>
      <c r="C3908" s="4" t="s">
        <v>132</v>
      </c>
      <c r="D3908" s="4"/>
      <c r="E3908" s="4" t="s">
        <v>921</v>
      </c>
      <c r="F3908" s="46" t="s">
        <v>1999</v>
      </c>
      <c r="G3908" s="46" t="s">
        <v>336</v>
      </c>
      <c r="H3908" s="4" t="s">
        <v>380</v>
      </c>
      <c r="I3908" s="4">
        <v>0.21</v>
      </c>
      <c r="J3908" s="21">
        <v>500</v>
      </c>
      <c r="K3908" s="21">
        <v>105</v>
      </c>
      <c r="L3908" s="5">
        <v>0</v>
      </c>
      <c r="M3908" s="4"/>
      <c r="N3908" s="4"/>
      <c r="O3908" s="5"/>
      <c r="P3908" s="5"/>
      <c r="Q3908" s="21">
        <v>0</v>
      </c>
      <c r="R3908" s="21">
        <v>0</v>
      </c>
      <c r="S3908" s="5">
        <f t="shared" ref="S3908:S3971" si="247">S3907+Q3908-R3908</f>
        <v>56202.978997470855</v>
      </c>
      <c r="T3908" cm="1">
        <f t="array" ref="T3908">IF(OR(B3908="MAL ALIMI", B3908="ÜRETİM GİRİŞ"), MIN(I3908, MAX(0, I3908 + SUM(SUMIFS($I$1:I3907, $C$1:C3907, C3908, $B$1:B3907, {"MAL ALIMI","ÜRETİM GİRİŞ"})) - VLOOKUP(C3908, 'STOK RAPORU'!$C$2:$I$1000, 4, 0))), 0)</f>
        <v>0</v>
      </c>
      <c r="U3908" s="22">
        <f t="shared" si="244"/>
        <v>0</v>
      </c>
      <c r="V3908">
        <f t="shared" si="245"/>
        <v>0</v>
      </c>
      <c r="W3908" s="22">
        <f t="shared" si="246"/>
        <v>0</v>
      </c>
    </row>
    <row r="3909" spans="1:23" hidden="1" x14ac:dyDescent="0.25">
      <c r="A3909" s="3">
        <v>46060</v>
      </c>
      <c r="B3909" s="46" t="s">
        <v>334</v>
      </c>
      <c r="C3909" s="4" t="s">
        <v>690</v>
      </c>
      <c r="D3909" s="4"/>
      <c r="E3909" s="4" t="s">
        <v>921</v>
      </c>
      <c r="F3909" s="46" t="s">
        <v>1999</v>
      </c>
      <c r="G3909" s="46" t="s">
        <v>336</v>
      </c>
      <c r="H3909" s="4" t="s">
        <v>380</v>
      </c>
      <c r="I3909" s="4">
        <v>0.39200000000000002</v>
      </c>
      <c r="J3909" s="21">
        <v>320</v>
      </c>
      <c r="K3909" s="21">
        <v>125.44</v>
      </c>
      <c r="L3909" s="5">
        <v>0</v>
      </c>
      <c r="M3909" s="4"/>
      <c r="N3909" s="4"/>
      <c r="O3909" s="5"/>
      <c r="P3909" s="5"/>
      <c r="Q3909" s="21">
        <v>0</v>
      </c>
      <c r="R3909" s="21">
        <v>0</v>
      </c>
      <c r="S3909" s="5">
        <f t="shared" si="247"/>
        <v>56202.978997470855</v>
      </c>
      <c r="T3909" cm="1">
        <f t="array" ref="T3909">IF(OR(B3909="MAL ALIMI", B3909="ÜRETİM GİRİŞ"), MIN(I3909, MAX(0, I3909 + SUM(SUMIFS($I$1:I3908, $C$1:C3908, C3909, $B$1:B3908, {"MAL ALIMI","ÜRETİM GİRİŞ"})) - VLOOKUP(C3909, 'STOK RAPORU'!$C$2:$I$1000, 4, 0))), 0)</f>
        <v>0</v>
      </c>
      <c r="U3909" s="22">
        <f t="shared" si="244"/>
        <v>0</v>
      </c>
      <c r="V3909">
        <f t="shared" si="245"/>
        <v>0</v>
      </c>
      <c r="W3909" s="22">
        <f t="shared" si="246"/>
        <v>0</v>
      </c>
    </row>
    <row r="3910" spans="1:23" hidden="1" x14ac:dyDescent="0.25">
      <c r="A3910" s="3">
        <v>46060</v>
      </c>
      <c r="B3910" s="46" t="s">
        <v>334</v>
      </c>
      <c r="C3910" s="4" t="s">
        <v>223</v>
      </c>
      <c r="D3910" s="4"/>
      <c r="E3910" s="4" t="s">
        <v>921</v>
      </c>
      <c r="F3910" s="46" t="s">
        <v>1999</v>
      </c>
      <c r="G3910" s="46" t="s">
        <v>336</v>
      </c>
      <c r="H3910" s="4" t="s">
        <v>380</v>
      </c>
      <c r="I3910" s="4">
        <v>0.5</v>
      </c>
      <c r="J3910" s="21">
        <v>800</v>
      </c>
      <c r="K3910" s="21">
        <v>400</v>
      </c>
      <c r="L3910" s="5">
        <v>0</v>
      </c>
      <c r="M3910" s="4"/>
      <c r="N3910" s="4"/>
      <c r="O3910" s="5"/>
      <c r="P3910" s="5"/>
      <c r="Q3910" s="21">
        <v>0</v>
      </c>
      <c r="R3910" s="21">
        <v>0</v>
      </c>
      <c r="S3910" s="5">
        <f t="shared" si="247"/>
        <v>56202.978997470855</v>
      </c>
      <c r="T3910" cm="1">
        <f t="array" ref="T3910">IF(OR(B3910="MAL ALIMI", B3910="ÜRETİM GİRİŞ"), MIN(I3910, MAX(0, I3910 + SUM(SUMIFS($I$1:I3909, $C$1:C3909, C3910, $B$1:B3909, {"MAL ALIMI","ÜRETİM GİRİŞ"})) - VLOOKUP(C3910, 'STOK RAPORU'!$C$2:$I$1000, 4, 0))), 0)</f>
        <v>0</v>
      </c>
      <c r="U3910" s="22">
        <f t="shared" si="244"/>
        <v>0</v>
      </c>
      <c r="V3910">
        <f t="shared" si="245"/>
        <v>0</v>
      </c>
      <c r="W3910" s="22">
        <f t="shared" si="246"/>
        <v>0</v>
      </c>
    </row>
    <row r="3911" spans="1:23" hidden="1" x14ac:dyDescent="0.25">
      <c r="A3911" s="3">
        <v>46060</v>
      </c>
      <c r="B3911" s="46" t="s">
        <v>334</v>
      </c>
      <c r="C3911" s="4" t="s">
        <v>92</v>
      </c>
      <c r="D3911" s="4"/>
      <c r="E3911" s="4"/>
      <c r="F3911" s="46" t="s">
        <v>2000</v>
      </c>
      <c r="G3911" s="46" t="s">
        <v>336</v>
      </c>
      <c r="H3911" s="4" t="s">
        <v>289</v>
      </c>
      <c r="I3911" s="4">
        <v>0.1</v>
      </c>
      <c r="J3911" s="21">
        <v>500</v>
      </c>
      <c r="K3911" s="21">
        <v>0</v>
      </c>
      <c r="L3911" s="5">
        <v>0</v>
      </c>
      <c r="M3911" s="4"/>
      <c r="N3911" s="4"/>
      <c r="O3911" s="5"/>
      <c r="P3911" s="5"/>
      <c r="Q3911" s="21">
        <v>50</v>
      </c>
      <c r="R3911" s="21">
        <v>0</v>
      </c>
      <c r="S3911" s="5">
        <f t="shared" si="247"/>
        <v>56252.978997470855</v>
      </c>
      <c r="T3911" cm="1">
        <f t="array" ref="T3911">IF(OR(B3911="MAL ALIMI", B3911="ÜRETİM GİRİŞ"), MIN(I3911, MAX(0, I3911 + SUM(SUMIFS($I$1:I3910, $C$1:C3910, C3911, $B$1:B3910, {"MAL ALIMI","ÜRETİM GİRİŞ"})) - VLOOKUP(C3911, 'STOK RAPORU'!$C$2:$I$1000, 4, 0))), 0)</f>
        <v>0</v>
      </c>
      <c r="U3911" s="22">
        <f t="shared" si="244"/>
        <v>0</v>
      </c>
      <c r="V3911">
        <f t="shared" si="245"/>
        <v>0</v>
      </c>
      <c r="W3911" s="22">
        <f t="shared" si="246"/>
        <v>0</v>
      </c>
    </row>
    <row r="3912" spans="1:23" hidden="1" x14ac:dyDescent="0.25">
      <c r="A3912" s="3">
        <v>46060</v>
      </c>
      <c r="B3912" s="46" t="s">
        <v>334</v>
      </c>
      <c r="C3912" s="4" t="s">
        <v>131</v>
      </c>
      <c r="D3912" s="4"/>
      <c r="E3912" s="4"/>
      <c r="F3912" s="46" t="s">
        <v>2001</v>
      </c>
      <c r="G3912" s="46" t="s">
        <v>336</v>
      </c>
      <c r="H3912" s="4" t="s">
        <v>289</v>
      </c>
      <c r="I3912" s="4">
        <v>7.4999999999999997E-2</v>
      </c>
      <c r="J3912" s="21">
        <v>400</v>
      </c>
      <c r="K3912" s="21">
        <v>0</v>
      </c>
      <c r="L3912" s="5">
        <v>0</v>
      </c>
      <c r="M3912" s="4"/>
      <c r="N3912" s="4"/>
      <c r="O3912" s="5"/>
      <c r="P3912" s="5"/>
      <c r="Q3912" s="21">
        <v>30</v>
      </c>
      <c r="R3912" s="21">
        <v>0</v>
      </c>
      <c r="S3912" s="5">
        <f t="shared" si="247"/>
        <v>56282.978997470855</v>
      </c>
      <c r="T3912" cm="1">
        <f t="array" ref="T3912">IF(OR(B3912="MAL ALIMI", B3912="ÜRETİM GİRİŞ"), MIN(I3912, MAX(0, I3912 + SUM(SUMIFS($I$1:I3911, $C$1:C3911, C3912, $B$1:B3911, {"MAL ALIMI","ÜRETİM GİRİŞ"})) - VLOOKUP(C3912, 'STOK RAPORU'!$C$2:$I$1000, 4, 0))), 0)</f>
        <v>0</v>
      </c>
      <c r="U3912" s="22">
        <f t="shared" si="244"/>
        <v>0</v>
      </c>
      <c r="V3912">
        <f t="shared" si="245"/>
        <v>0</v>
      </c>
      <c r="W3912" s="22">
        <f t="shared" si="246"/>
        <v>0</v>
      </c>
    </row>
    <row r="3913" spans="1:23" hidden="1" x14ac:dyDescent="0.25">
      <c r="A3913" s="3">
        <v>46060</v>
      </c>
      <c r="B3913" s="46" t="s">
        <v>334</v>
      </c>
      <c r="C3913" s="4" t="s">
        <v>163</v>
      </c>
      <c r="D3913" s="4"/>
      <c r="E3913" s="4"/>
      <c r="F3913" s="46" t="s">
        <v>2001</v>
      </c>
      <c r="G3913" s="46" t="s">
        <v>336</v>
      </c>
      <c r="H3913" s="4" t="s">
        <v>289</v>
      </c>
      <c r="I3913" s="4">
        <v>0.23333333333333334</v>
      </c>
      <c r="J3913" s="21">
        <v>450</v>
      </c>
      <c r="K3913" s="21">
        <v>0</v>
      </c>
      <c r="L3913" s="5">
        <v>0</v>
      </c>
      <c r="M3913" s="4"/>
      <c r="N3913" s="4"/>
      <c r="O3913" s="5"/>
      <c r="P3913" s="5"/>
      <c r="Q3913" s="21">
        <v>105</v>
      </c>
      <c r="R3913" s="21">
        <v>0</v>
      </c>
      <c r="S3913" s="5">
        <f t="shared" si="247"/>
        <v>56387.978997470855</v>
      </c>
      <c r="T3913" cm="1">
        <f t="array" ref="T3913">IF(OR(B3913="MAL ALIMI", B3913="ÜRETİM GİRİŞ"), MIN(I3913, MAX(0, I3913 + SUM(SUMIFS($I$1:I3912, $C$1:C3912, C3913, $B$1:B3912, {"MAL ALIMI","ÜRETİM GİRİŞ"})) - VLOOKUP(C3913, 'STOK RAPORU'!$C$2:$I$1000, 4, 0))), 0)</f>
        <v>0</v>
      </c>
      <c r="U3913" s="22">
        <f t="shared" si="244"/>
        <v>0</v>
      </c>
      <c r="V3913">
        <f t="shared" si="245"/>
        <v>0</v>
      </c>
      <c r="W3913" s="22">
        <f t="shared" si="246"/>
        <v>0</v>
      </c>
    </row>
    <row r="3914" spans="1:23" hidden="1" x14ac:dyDescent="0.25">
      <c r="A3914" s="3">
        <v>46060</v>
      </c>
      <c r="B3914" s="46" t="s">
        <v>334</v>
      </c>
      <c r="C3914" s="4" t="s">
        <v>91</v>
      </c>
      <c r="D3914" s="4"/>
      <c r="E3914" s="4"/>
      <c r="F3914" s="46" t="s">
        <v>2001</v>
      </c>
      <c r="G3914" s="46" t="s">
        <v>336</v>
      </c>
      <c r="H3914" s="4" t="s">
        <v>289</v>
      </c>
      <c r="I3914" s="4">
        <v>6.6666666666666666E-2</v>
      </c>
      <c r="J3914" s="21">
        <v>750</v>
      </c>
      <c r="K3914" s="21">
        <v>0</v>
      </c>
      <c r="L3914" s="5">
        <v>0</v>
      </c>
      <c r="M3914" s="4"/>
      <c r="N3914" s="4"/>
      <c r="O3914" s="5"/>
      <c r="P3914" s="5"/>
      <c r="Q3914" s="21">
        <v>50</v>
      </c>
      <c r="R3914" s="21">
        <v>0</v>
      </c>
      <c r="S3914" s="5">
        <f t="shared" si="247"/>
        <v>56437.978997470855</v>
      </c>
      <c r="T3914" cm="1">
        <f t="array" ref="T3914">IF(OR(B3914="MAL ALIMI", B3914="ÜRETİM GİRİŞ"), MIN(I3914, MAX(0, I3914 + SUM(SUMIFS($I$1:I3913, $C$1:C3913, C3914, $B$1:B3913, {"MAL ALIMI","ÜRETİM GİRİŞ"})) - VLOOKUP(C3914, 'STOK RAPORU'!$C$2:$I$1000, 4, 0))), 0)</f>
        <v>0</v>
      </c>
      <c r="U3914" s="22">
        <f t="shared" si="244"/>
        <v>0</v>
      </c>
      <c r="V3914">
        <f t="shared" si="245"/>
        <v>0</v>
      </c>
      <c r="W3914" s="22">
        <f t="shared" si="246"/>
        <v>0</v>
      </c>
    </row>
    <row r="3915" spans="1:23" hidden="1" x14ac:dyDescent="0.25">
      <c r="A3915" s="3">
        <v>46060</v>
      </c>
      <c r="B3915" s="46" t="s">
        <v>334</v>
      </c>
      <c r="C3915" s="4" t="s">
        <v>2130</v>
      </c>
      <c r="D3915" s="4"/>
      <c r="E3915" s="4" t="s">
        <v>921</v>
      </c>
      <c r="F3915" s="46" t="s">
        <v>2002</v>
      </c>
      <c r="G3915" s="46" t="s">
        <v>336</v>
      </c>
      <c r="H3915" s="4" t="s">
        <v>380</v>
      </c>
      <c r="I3915" s="4">
        <v>1</v>
      </c>
      <c r="J3915" s="21">
        <v>450</v>
      </c>
      <c r="K3915" s="21">
        <v>450</v>
      </c>
      <c r="L3915" s="5">
        <v>0</v>
      </c>
      <c r="M3915" s="4"/>
      <c r="N3915" s="4"/>
      <c r="O3915" s="5"/>
      <c r="P3915" s="5"/>
      <c r="Q3915" s="21">
        <v>0</v>
      </c>
      <c r="R3915" s="21">
        <v>0</v>
      </c>
      <c r="S3915" s="5">
        <f t="shared" si="247"/>
        <v>56437.978997470855</v>
      </c>
      <c r="T3915" cm="1">
        <f t="array" ref="T3915">IF(OR(B3915="MAL ALIMI", B3915="ÜRETİM GİRİŞ"), MIN(I3915, MAX(0, I3915 + SUM(SUMIFS($I$1:I3914, $C$1:C3914, C3915, $B$1:B3914, {"MAL ALIMI","ÜRETİM GİRİŞ"})) - VLOOKUP(C3915, 'STOK RAPORU'!$C$2:$I$1000, 4, 0))), 0)</f>
        <v>0</v>
      </c>
      <c r="U3915" s="22">
        <f t="shared" si="244"/>
        <v>0</v>
      </c>
      <c r="V3915">
        <f t="shared" si="245"/>
        <v>0</v>
      </c>
      <c r="W3915" s="22">
        <f t="shared" si="246"/>
        <v>0</v>
      </c>
    </row>
    <row r="3916" spans="1:23" hidden="1" x14ac:dyDescent="0.25">
      <c r="A3916" s="3">
        <v>46060</v>
      </c>
      <c r="B3916" s="46" t="s">
        <v>334</v>
      </c>
      <c r="C3916" s="4" t="s">
        <v>690</v>
      </c>
      <c r="D3916" s="4"/>
      <c r="E3916" s="4"/>
      <c r="F3916" s="46" t="s">
        <v>2003</v>
      </c>
      <c r="G3916" s="46" t="s">
        <v>336</v>
      </c>
      <c r="H3916" s="4" t="s">
        <v>289</v>
      </c>
      <c r="I3916" s="4">
        <v>0.32400000000000001</v>
      </c>
      <c r="J3916" s="21">
        <v>340</v>
      </c>
      <c r="K3916" s="21">
        <v>0</v>
      </c>
      <c r="L3916" s="5">
        <v>0</v>
      </c>
      <c r="M3916" s="4"/>
      <c r="N3916" s="4"/>
      <c r="O3916" s="5"/>
      <c r="P3916" s="5"/>
      <c r="Q3916" s="21">
        <v>110.16</v>
      </c>
      <c r="R3916" s="21">
        <v>0</v>
      </c>
      <c r="S3916" s="5">
        <f t="shared" si="247"/>
        <v>56548.138997470858</v>
      </c>
      <c r="T3916" cm="1">
        <f t="array" ref="T3916">IF(OR(B3916="MAL ALIMI", B3916="ÜRETİM GİRİŞ"), MIN(I3916, MAX(0, I3916 + SUM(SUMIFS($I$1:I3915, $C$1:C3915, C3916, $B$1:B3915, {"MAL ALIMI","ÜRETİM GİRİŞ"})) - VLOOKUP(C3916, 'STOK RAPORU'!$C$2:$I$1000, 4, 0))), 0)</f>
        <v>0</v>
      </c>
      <c r="U3916" s="22">
        <f t="shared" si="244"/>
        <v>0</v>
      </c>
      <c r="V3916">
        <f t="shared" si="245"/>
        <v>0</v>
      </c>
      <c r="W3916" s="22">
        <f t="shared" si="246"/>
        <v>0</v>
      </c>
    </row>
    <row r="3917" spans="1:23" hidden="1" x14ac:dyDescent="0.25">
      <c r="A3917" s="3">
        <v>46060</v>
      </c>
      <c r="B3917" s="46" t="s">
        <v>334</v>
      </c>
      <c r="C3917" s="4" t="s">
        <v>690</v>
      </c>
      <c r="D3917" s="4"/>
      <c r="E3917" s="4"/>
      <c r="F3917" s="46" t="s">
        <v>2004</v>
      </c>
      <c r="G3917" s="46" t="s">
        <v>336</v>
      </c>
      <c r="H3917" s="4" t="s">
        <v>289</v>
      </c>
      <c r="I3917" s="4">
        <v>0.41199999999999998</v>
      </c>
      <c r="J3917" s="21">
        <v>340</v>
      </c>
      <c r="K3917" s="21">
        <v>0</v>
      </c>
      <c r="L3917" s="5">
        <v>0</v>
      </c>
      <c r="M3917" s="4"/>
      <c r="N3917" s="4"/>
      <c r="O3917" s="5"/>
      <c r="P3917" s="5"/>
      <c r="Q3917" s="21">
        <v>140.07999999999998</v>
      </c>
      <c r="R3917" s="21">
        <v>0</v>
      </c>
      <c r="S3917" s="5">
        <f t="shared" si="247"/>
        <v>56688.21899747086</v>
      </c>
      <c r="T3917" cm="1">
        <f t="array" ref="T3917">IF(OR(B3917="MAL ALIMI", B3917="ÜRETİM GİRİŞ"), MIN(I3917, MAX(0, I3917 + SUM(SUMIFS($I$1:I3916, $C$1:C3916, C3917, $B$1:B3916, {"MAL ALIMI","ÜRETİM GİRİŞ"})) - VLOOKUP(C3917, 'STOK RAPORU'!$C$2:$I$1000, 4, 0))), 0)</f>
        <v>0</v>
      </c>
      <c r="U3917" s="22">
        <f t="shared" si="244"/>
        <v>0</v>
      </c>
      <c r="V3917">
        <f t="shared" si="245"/>
        <v>0</v>
      </c>
      <c r="W3917" s="22">
        <f t="shared" si="246"/>
        <v>0</v>
      </c>
    </row>
    <row r="3918" spans="1:23" hidden="1" x14ac:dyDescent="0.25">
      <c r="A3918" s="3">
        <v>46060</v>
      </c>
      <c r="B3918" s="46" t="s">
        <v>334</v>
      </c>
      <c r="C3918" s="4" t="s">
        <v>694</v>
      </c>
      <c r="D3918" s="4"/>
      <c r="E3918" s="4"/>
      <c r="F3918" s="46" t="s">
        <v>2004</v>
      </c>
      <c r="G3918" s="46" t="s">
        <v>336</v>
      </c>
      <c r="H3918" s="4" t="s">
        <v>289</v>
      </c>
      <c r="I3918" s="4">
        <v>0.25641025641025639</v>
      </c>
      <c r="J3918" s="21">
        <v>195</v>
      </c>
      <c r="K3918" s="21">
        <v>0</v>
      </c>
      <c r="L3918" s="5">
        <v>0</v>
      </c>
      <c r="M3918" s="4"/>
      <c r="N3918" s="4"/>
      <c r="O3918" s="5"/>
      <c r="P3918" s="5"/>
      <c r="Q3918" s="21">
        <v>49.999999999999993</v>
      </c>
      <c r="R3918" s="21">
        <v>0</v>
      </c>
      <c r="S3918" s="5">
        <f t="shared" si="247"/>
        <v>56738.21899747086</v>
      </c>
      <c r="T3918" cm="1">
        <f t="array" ref="T3918">IF(OR(B3918="MAL ALIMI", B3918="ÜRETİM GİRİŞ"), MIN(I3918, MAX(0, I3918 + SUM(SUMIFS($I$1:I3917, $C$1:C3917, C3918, $B$1:B3917, {"MAL ALIMI","ÜRETİM GİRİŞ"})) - VLOOKUP(C3918, 'STOK RAPORU'!$C$2:$I$1000, 4, 0))), 0)</f>
        <v>0</v>
      </c>
      <c r="U3918" s="22">
        <f t="shared" si="244"/>
        <v>0</v>
      </c>
      <c r="V3918">
        <f t="shared" si="245"/>
        <v>0</v>
      </c>
      <c r="W3918" s="22">
        <f t="shared" si="246"/>
        <v>0</v>
      </c>
    </row>
    <row r="3919" spans="1:23" hidden="1" x14ac:dyDescent="0.25">
      <c r="A3919" s="3">
        <v>46060</v>
      </c>
      <c r="B3919" s="46" t="s">
        <v>334</v>
      </c>
      <c r="C3919" s="4" t="s">
        <v>161</v>
      </c>
      <c r="D3919" s="4"/>
      <c r="E3919" s="4"/>
      <c r="F3919" s="46" t="s">
        <v>2005</v>
      </c>
      <c r="G3919" s="46" t="s">
        <v>336</v>
      </c>
      <c r="H3919" s="4" t="s">
        <v>289</v>
      </c>
      <c r="I3919" s="4">
        <v>1</v>
      </c>
      <c r="J3919" s="21">
        <v>230</v>
      </c>
      <c r="K3919" s="21">
        <v>0</v>
      </c>
      <c r="L3919" s="5">
        <v>0</v>
      </c>
      <c r="M3919" s="4"/>
      <c r="N3919" s="4"/>
      <c r="O3919" s="5"/>
      <c r="P3919" s="5"/>
      <c r="Q3919" s="21">
        <v>230</v>
      </c>
      <c r="R3919" s="21">
        <v>0</v>
      </c>
      <c r="S3919" s="5">
        <f t="shared" si="247"/>
        <v>56968.21899747086</v>
      </c>
      <c r="T3919" cm="1">
        <f t="array" ref="T3919">IF(OR(B3919="MAL ALIMI", B3919="ÜRETİM GİRİŞ"), MIN(I3919, MAX(0, I3919 + SUM(SUMIFS($I$1:I3918, $C$1:C3918, C3919, $B$1:B3918, {"MAL ALIMI","ÜRETİM GİRİŞ"})) - VLOOKUP(C3919, 'STOK RAPORU'!$C$2:$I$1000, 4, 0))), 0)</f>
        <v>0</v>
      </c>
      <c r="U3919" s="22">
        <f t="shared" si="244"/>
        <v>0</v>
      </c>
      <c r="V3919">
        <f t="shared" si="245"/>
        <v>0</v>
      </c>
      <c r="W3919" s="22">
        <f t="shared" si="246"/>
        <v>0</v>
      </c>
    </row>
    <row r="3920" spans="1:23" hidden="1" x14ac:dyDescent="0.25">
      <c r="A3920" s="3">
        <v>46060</v>
      </c>
      <c r="B3920" s="46" t="s">
        <v>334</v>
      </c>
      <c r="C3920" s="4" t="s">
        <v>160</v>
      </c>
      <c r="D3920" s="4"/>
      <c r="E3920" s="4" t="s">
        <v>921</v>
      </c>
      <c r="F3920" s="46" t="s">
        <v>2006</v>
      </c>
      <c r="G3920" s="46" t="s">
        <v>336</v>
      </c>
      <c r="H3920" s="4" t="s">
        <v>380</v>
      </c>
      <c r="I3920" s="4">
        <v>1</v>
      </c>
      <c r="J3920" s="21">
        <v>250</v>
      </c>
      <c r="K3920" s="21">
        <v>250</v>
      </c>
      <c r="L3920" s="5">
        <v>0</v>
      </c>
      <c r="M3920" s="4"/>
      <c r="N3920" s="4"/>
      <c r="O3920" s="5"/>
      <c r="P3920" s="5"/>
      <c r="Q3920" s="21">
        <v>0</v>
      </c>
      <c r="R3920" s="21">
        <v>0</v>
      </c>
      <c r="S3920" s="5">
        <f t="shared" si="247"/>
        <v>56968.21899747086</v>
      </c>
      <c r="T3920" cm="1">
        <f t="array" ref="T3920">IF(OR(B3920="MAL ALIMI", B3920="ÜRETİM GİRİŞ"), MIN(I3920, MAX(0, I3920 + SUM(SUMIFS($I$1:I3919, $C$1:C3919, C3920, $B$1:B3919, {"MAL ALIMI","ÜRETİM GİRİŞ"})) - VLOOKUP(C3920, 'STOK RAPORU'!$C$2:$I$1000, 4, 0))), 0)</f>
        <v>0</v>
      </c>
      <c r="U3920" s="22">
        <f t="shared" si="244"/>
        <v>0</v>
      </c>
      <c r="V3920">
        <f t="shared" si="245"/>
        <v>0</v>
      </c>
      <c r="W3920" s="22">
        <f t="shared" si="246"/>
        <v>0</v>
      </c>
    </row>
    <row r="3921" spans="1:23" hidden="1" x14ac:dyDescent="0.25">
      <c r="A3921" s="3">
        <v>46060</v>
      </c>
      <c r="B3921" s="46" t="s">
        <v>334</v>
      </c>
      <c r="C3921" s="4" t="s">
        <v>161</v>
      </c>
      <c r="D3921" s="4"/>
      <c r="E3921" s="4" t="s">
        <v>921</v>
      </c>
      <c r="F3921" s="46" t="s">
        <v>2006</v>
      </c>
      <c r="G3921" s="46" t="s">
        <v>336</v>
      </c>
      <c r="H3921" s="4" t="s">
        <v>380</v>
      </c>
      <c r="I3921" s="4">
        <v>1</v>
      </c>
      <c r="J3921" s="21">
        <v>230</v>
      </c>
      <c r="K3921" s="21">
        <v>230</v>
      </c>
      <c r="L3921" s="5">
        <v>0</v>
      </c>
      <c r="M3921" s="4"/>
      <c r="N3921" s="4"/>
      <c r="O3921" s="5"/>
      <c r="P3921" s="5"/>
      <c r="Q3921" s="21">
        <v>0</v>
      </c>
      <c r="R3921" s="21">
        <v>0</v>
      </c>
      <c r="S3921" s="5">
        <f t="shared" si="247"/>
        <v>56968.21899747086</v>
      </c>
      <c r="T3921" cm="1">
        <f t="array" ref="T3921">IF(OR(B3921="MAL ALIMI", B3921="ÜRETİM GİRİŞ"), MIN(I3921, MAX(0, I3921 + SUM(SUMIFS($I$1:I3920, $C$1:C3920, C3921, $B$1:B3920, {"MAL ALIMI","ÜRETİM GİRİŞ"})) - VLOOKUP(C3921, 'STOK RAPORU'!$C$2:$I$1000, 4, 0))), 0)</f>
        <v>0</v>
      </c>
      <c r="U3921" s="22">
        <f t="shared" si="244"/>
        <v>0</v>
      </c>
      <c r="V3921">
        <f t="shared" si="245"/>
        <v>0</v>
      </c>
      <c r="W3921" s="22">
        <f t="shared" si="246"/>
        <v>0</v>
      </c>
    </row>
    <row r="3922" spans="1:23" hidden="1" x14ac:dyDescent="0.25">
      <c r="A3922" s="3">
        <v>46060</v>
      </c>
      <c r="B3922" s="46" t="s">
        <v>334</v>
      </c>
      <c r="C3922" s="4" t="s">
        <v>160</v>
      </c>
      <c r="D3922" s="4"/>
      <c r="E3922" s="4"/>
      <c r="F3922" s="46" t="s">
        <v>2007</v>
      </c>
      <c r="G3922" s="46" t="s">
        <v>336</v>
      </c>
      <c r="H3922" s="4" t="s">
        <v>289</v>
      </c>
      <c r="I3922" s="4">
        <v>0.5</v>
      </c>
      <c r="J3922" s="21">
        <v>250</v>
      </c>
      <c r="K3922" s="21">
        <v>0</v>
      </c>
      <c r="L3922" s="5">
        <v>0</v>
      </c>
      <c r="M3922" s="4"/>
      <c r="N3922" s="4"/>
      <c r="O3922" s="5"/>
      <c r="P3922" s="5"/>
      <c r="Q3922" s="21">
        <v>125</v>
      </c>
      <c r="R3922" s="21">
        <v>0</v>
      </c>
      <c r="S3922" s="5">
        <f t="shared" si="247"/>
        <v>57093.21899747086</v>
      </c>
      <c r="T3922" cm="1">
        <f t="array" ref="T3922">IF(OR(B3922="MAL ALIMI", B3922="ÜRETİM GİRİŞ"), MIN(I3922, MAX(0, I3922 + SUM(SUMIFS($I$1:I3921, $C$1:C3921, C3922, $B$1:B3921, {"MAL ALIMI","ÜRETİM GİRİŞ"})) - VLOOKUP(C3922, 'STOK RAPORU'!$C$2:$I$1000, 4, 0))), 0)</f>
        <v>0</v>
      </c>
      <c r="U3922" s="22">
        <f t="shared" si="244"/>
        <v>0</v>
      </c>
      <c r="V3922">
        <f t="shared" si="245"/>
        <v>0</v>
      </c>
      <c r="W3922" s="22">
        <f t="shared" si="246"/>
        <v>0</v>
      </c>
    </row>
    <row r="3923" spans="1:23" hidden="1" x14ac:dyDescent="0.25">
      <c r="A3923" s="3">
        <v>46060</v>
      </c>
      <c r="B3923" s="46" t="s">
        <v>334</v>
      </c>
      <c r="C3923" s="4" t="s">
        <v>161</v>
      </c>
      <c r="D3923" s="4"/>
      <c r="E3923" s="4"/>
      <c r="F3923" s="46" t="s">
        <v>2007</v>
      </c>
      <c r="G3923" s="46" t="s">
        <v>336</v>
      </c>
      <c r="H3923" s="4" t="s">
        <v>289</v>
      </c>
      <c r="I3923" s="4">
        <v>0.5</v>
      </c>
      <c r="J3923" s="21">
        <v>210</v>
      </c>
      <c r="K3923" s="21">
        <v>0</v>
      </c>
      <c r="L3923" s="5">
        <v>0</v>
      </c>
      <c r="M3923" s="4"/>
      <c r="N3923" s="4"/>
      <c r="O3923" s="5"/>
      <c r="P3923" s="5"/>
      <c r="Q3923" s="21">
        <v>105</v>
      </c>
      <c r="R3923" s="21">
        <v>0</v>
      </c>
      <c r="S3923" s="5">
        <f t="shared" si="247"/>
        <v>57198.21899747086</v>
      </c>
      <c r="T3923" cm="1">
        <f t="array" ref="T3923">IF(OR(B3923="MAL ALIMI", B3923="ÜRETİM GİRİŞ"), MIN(I3923, MAX(0, I3923 + SUM(SUMIFS($I$1:I3922, $C$1:C3922, C3923, $B$1:B3922, {"MAL ALIMI","ÜRETİM GİRİŞ"})) - VLOOKUP(C3923, 'STOK RAPORU'!$C$2:$I$1000, 4, 0))), 0)</f>
        <v>0</v>
      </c>
      <c r="U3923" s="22">
        <f t="shared" si="244"/>
        <v>0</v>
      </c>
      <c r="V3923">
        <f t="shared" si="245"/>
        <v>0</v>
      </c>
      <c r="W3923" s="22">
        <f t="shared" si="246"/>
        <v>0</v>
      </c>
    </row>
    <row r="3924" spans="1:23" hidden="1" x14ac:dyDescent="0.25">
      <c r="A3924" s="3">
        <v>46060</v>
      </c>
      <c r="B3924" s="46" t="s">
        <v>334</v>
      </c>
      <c r="C3924" s="4" t="s">
        <v>168</v>
      </c>
      <c r="D3924" s="4"/>
      <c r="E3924" s="4"/>
      <c r="F3924" s="46" t="s">
        <v>2007</v>
      </c>
      <c r="G3924" s="46" t="s">
        <v>336</v>
      </c>
      <c r="H3924" s="4" t="s">
        <v>289</v>
      </c>
      <c r="I3924" s="4">
        <v>1</v>
      </c>
      <c r="J3924" s="21">
        <v>200</v>
      </c>
      <c r="K3924" s="21">
        <v>0</v>
      </c>
      <c r="L3924" s="5">
        <v>0</v>
      </c>
      <c r="M3924" s="4"/>
      <c r="N3924" s="4"/>
      <c r="O3924" s="5"/>
      <c r="P3924" s="5"/>
      <c r="Q3924" s="21">
        <v>200</v>
      </c>
      <c r="R3924" s="21">
        <v>0</v>
      </c>
      <c r="S3924" s="5">
        <f t="shared" si="247"/>
        <v>57398.21899747086</v>
      </c>
      <c r="T3924" cm="1">
        <f t="array" ref="T3924">IF(OR(B3924="MAL ALIMI", B3924="ÜRETİM GİRİŞ"), MIN(I3924, MAX(0, I3924 + SUM(SUMIFS($I$1:I3923, $C$1:C3923, C3924, $B$1:B3923, {"MAL ALIMI","ÜRETİM GİRİŞ"})) - VLOOKUP(C3924, 'STOK RAPORU'!$C$2:$I$1000, 4, 0))), 0)</f>
        <v>0</v>
      </c>
      <c r="U3924" s="22">
        <f t="shared" si="244"/>
        <v>0</v>
      </c>
      <c r="V3924">
        <f t="shared" si="245"/>
        <v>0</v>
      </c>
      <c r="W3924" s="22">
        <f t="shared" si="246"/>
        <v>0</v>
      </c>
    </row>
    <row r="3925" spans="1:23" hidden="1" x14ac:dyDescent="0.25">
      <c r="A3925" s="3">
        <v>46060</v>
      </c>
      <c r="B3925" s="46" t="s">
        <v>334</v>
      </c>
      <c r="C3925" s="4" t="s">
        <v>1501</v>
      </c>
      <c r="D3925" s="4"/>
      <c r="E3925" s="4"/>
      <c r="F3925" s="46" t="s">
        <v>2007</v>
      </c>
      <c r="G3925" s="46" t="s">
        <v>336</v>
      </c>
      <c r="H3925" s="4" t="s">
        <v>289</v>
      </c>
      <c r="I3925" s="4">
        <v>0.16666666666666666</v>
      </c>
      <c r="J3925" s="21">
        <v>600</v>
      </c>
      <c r="K3925" s="21">
        <v>0</v>
      </c>
      <c r="L3925" s="5">
        <v>0</v>
      </c>
      <c r="M3925" s="4"/>
      <c r="N3925" s="4"/>
      <c r="O3925" s="5"/>
      <c r="P3925" s="5"/>
      <c r="Q3925" s="21">
        <v>100</v>
      </c>
      <c r="R3925" s="21">
        <v>0</v>
      </c>
      <c r="S3925" s="5">
        <f t="shared" si="247"/>
        <v>57498.21899747086</v>
      </c>
      <c r="T3925" cm="1">
        <f t="array" ref="T3925">IF(OR(B3925="MAL ALIMI", B3925="ÜRETİM GİRİŞ"), MIN(I3925, MAX(0, I3925 + SUM(SUMIFS($I$1:I3924, $C$1:C3924, C3925, $B$1:B3924, {"MAL ALIMI","ÜRETİM GİRİŞ"})) - VLOOKUP(C3925, 'STOK RAPORU'!$C$2:$I$1000, 4, 0))), 0)</f>
        <v>0</v>
      </c>
      <c r="U3925" s="22">
        <f t="shared" si="244"/>
        <v>0</v>
      </c>
      <c r="V3925">
        <f t="shared" si="245"/>
        <v>0</v>
      </c>
      <c r="W3925" s="22">
        <f t="shared" si="246"/>
        <v>0</v>
      </c>
    </row>
    <row r="3926" spans="1:23" hidden="1" x14ac:dyDescent="0.25">
      <c r="A3926" s="3">
        <v>46060</v>
      </c>
      <c r="B3926" s="46" t="s">
        <v>334</v>
      </c>
      <c r="C3926" s="4" t="s">
        <v>1443</v>
      </c>
      <c r="D3926" s="4"/>
      <c r="E3926" s="4"/>
      <c r="F3926" s="46" t="s">
        <v>2007</v>
      </c>
      <c r="G3926" s="46" t="s">
        <v>336</v>
      </c>
      <c r="H3926" s="4" t="s">
        <v>289</v>
      </c>
      <c r="I3926" s="4">
        <v>2</v>
      </c>
      <c r="J3926" s="21">
        <v>10</v>
      </c>
      <c r="K3926" s="21">
        <v>0</v>
      </c>
      <c r="L3926" s="5">
        <v>0</v>
      </c>
      <c r="M3926" s="4"/>
      <c r="N3926" s="4"/>
      <c r="O3926" s="5"/>
      <c r="P3926" s="5"/>
      <c r="Q3926" s="21">
        <v>20</v>
      </c>
      <c r="R3926" s="21">
        <v>0</v>
      </c>
      <c r="S3926" s="5">
        <f t="shared" si="247"/>
        <v>57518.21899747086</v>
      </c>
      <c r="T3926" cm="1">
        <f t="array" ref="T3926">IF(OR(B3926="MAL ALIMI", B3926="ÜRETİM GİRİŞ"), MIN(I3926, MAX(0, I3926 + SUM(SUMIFS($I$1:I3925, $C$1:C3925, C3926, $B$1:B3925, {"MAL ALIMI","ÜRETİM GİRİŞ"})) - VLOOKUP(C3926, 'STOK RAPORU'!$C$2:$I$1000, 4, 0))), 0)</f>
        <v>0</v>
      </c>
      <c r="U3926" s="22">
        <f t="shared" si="244"/>
        <v>0</v>
      </c>
      <c r="V3926">
        <f t="shared" si="245"/>
        <v>0</v>
      </c>
      <c r="W3926" s="22">
        <f t="shared" si="246"/>
        <v>0</v>
      </c>
    </row>
    <row r="3927" spans="1:23" hidden="1" x14ac:dyDescent="0.25">
      <c r="A3927" s="3">
        <v>46060</v>
      </c>
      <c r="B3927" s="46" t="s">
        <v>334</v>
      </c>
      <c r="C3927" s="4" t="s">
        <v>1394</v>
      </c>
      <c r="D3927" s="4"/>
      <c r="E3927" s="4" t="s">
        <v>921</v>
      </c>
      <c r="F3927" s="46" t="s">
        <v>2008</v>
      </c>
      <c r="G3927" s="46" t="s">
        <v>336</v>
      </c>
      <c r="H3927" s="4" t="s">
        <v>380</v>
      </c>
      <c r="I3927" s="4">
        <v>1</v>
      </c>
      <c r="J3927" s="21">
        <v>135</v>
      </c>
      <c r="K3927" s="21">
        <v>135</v>
      </c>
      <c r="L3927" s="5">
        <v>0</v>
      </c>
      <c r="M3927" s="4"/>
      <c r="N3927" s="4"/>
      <c r="O3927" s="5"/>
      <c r="P3927" s="5"/>
      <c r="Q3927" s="21">
        <v>0</v>
      </c>
      <c r="R3927" s="21">
        <v>0</v>
      </c>
      <c r="S3927" s="5">
        <f t="shared" si="247"/>
        <v>57518.21899747086</v>
      </c>
      <c r="T3927" cm="1">
        <f t="array" ref="T3927">IF(OR(B3927="MAL ALIMI", B3927="ÜRETİM GİRİŞ"), MIN(I3927, MAX(0, I3927 + SUM(SUMIFS($I$1:I3926, $C$1:C3926, C3927, $B$1:B3926, {"MAL ALIMI","ÜRETİM GİRİŞ"})) - VLOOKUP(C3927, 'STOK RAPORU'!$C$2:$I$1000, 4, 0))), 0)</f>
        <v>0</v>
      </c>
      <c r="U3927" s="22">
        <f t="shared" si="244"/>
        <v>0</v>
      </c>
      <c r="V3927">
        <f t="shared" si="245"/>
        <v>0</v>
      </c>
      <c r="W3927" s="22">
        <f t="shared" si="246"/>
        <v>0</v>
      </c>
    </row>
    <row r="3928" spans="1:23" hidden="1" x14ac:dyDescent="0.25">
      <c r="A3928" s="3">
        <v>46060</v>
      </c>
      <c r="B3928" s="46" t="s">
        <v>334</v>
      </c>
      <c r="C3928" s="4" t="s">
        <v>690</v>
      </c>
      <c r="D3928" s="4"/>
      <c r="E3928" s="4" t="s">
        <v>921</v>
      </c>
      <c r="F3928" s="46" t="s">
        <v>2008</v>
      </c>
      <c r="G3928" s="46" t="s">
        <v>336</v>
      </c>
      <c r="H3928" s="4" t="s">
        <v>380</v>
      </c>
      <c r="I3928" s="4">
        <v>0.203125</v>
      </c>
      <c r="J3928" s="21">
        <v>320</v>
      </c>
      <c r="K3928" s="21">
        <v>65</v>
      </c>
      <c r="L3928" s="5">
        <v>0</v>
      </c>
      <c r="M3928" s="4"/>
      <c r="N3928" s="4"/>
      <c r="O3928" s="5"/>
      <c r="P3928" s="5"/>
      <c r="Q3928" s="21">
        <v>0</v>
      </c>
      <c r="R3928" s="21">
        <v>0</v>
      </c>
      <c r="S3928" s="5">
        <f t="shared" si="247"/>
        <v>57518.21899747086</v>
      </c>
      <c r="T3928" cm="1">
        <f t="array" ref="T3928">IF(OR(B3928="MAL ALIMI", B3928="ÜRETİM GİRİŞ"), MIN(I3928, MAX(0, I3928 + SUM(SUMIFS($I$1:I3927, $C$1:C3927, C3928, $B$1:B3927, {"MAL ALIMI","ÜRETİM GİRİŞ"})) - VLOOKUP(C3928, 'STOK RAPORU'!$C$2:$I$1000, 4, 0))), 0)</f>
        <v>0</v>
      </c>
      <c r="U3928" s="22">
        <f t="shared" si="244"/>
        <v>0</v>
      </c>
      <c r="V3928">
        <f t="shared" si="245"/>
        <v>0</v>
      </c>
      <c r="W3928" s="22">
        <f t="shared" si="246"/>
        <v>0</v>
      </c>
    </row>
    <row r="3929" spans="1:23" hidden="1" x14ac:dyDescent="0.25">
      <c r="A3929" s="3">
        <v>46060</v>
      </c>
      <c r="B3929" s="46" t="s">
        <v>334</v>
      </c>
      <c r="C3929" s="4" t="s">
        <v>468</v>
      </c>
      <c r="D3929" s="4"/>
      <c r="E3929" s="4"/>
      <c r="F3929" s="46" t="s">
        <v>2010</v>
      </c>
      <c r="G3929" s="46" t="s">
        <v>336</v>
      </c>
      <c r="H3929" s="4" t="s">
        <v>289</v>
      </c>
      <c r="I3929" s="4">
        <v>1</v>
      </c>
      <c r="J3929" s="21">
        <v>50</v>
      </c>
      <c r="K3929" s="21">
        <v>0</v>
      </c>
      <c r="L3929" s="5">
        <v>0</v>
      </c>
      <c r="M3929" s="4"/>
      <c r="N3929" s="4"/>
      <c r="O3929" s="5"/>
      <c r="P3929" s="5"/>
      <c r="Q3929" s="21">
        <v>50</v>
      </c>
      <c r="R3929" s="21">
        <v>0</v>
      </c>
      <c r="S3929" s="5">
        <f t="shared" si="247"/>
        <v>57568.21899747086</v>
      </c>
      <c r="T3929" cm="1">
        <f t="array" ref="T3929">IF(OR(B3929="MAL ALIMI", B3929="ÜRETİM GİRİŞ"), MIN(I3929, MAX(0, I3929 + SUM(SUMIFS($I$1:I3928, $C$1:C3928, C3929, $B$1:B3928, {"MAL ALIMI","ÜRETİM GİRİŞ"})) - VLOOKUP(C3929, 'STOK RAPORU'!$C$2:$I$1000, 4, 0))), 0)</f>
        <v>0</v>
      </c>
      <c r="U3929" s="22">
        <f t="shared" si="244"/>
        <v>0</v>
      </c>
      <c r="V3929">
        <f t="shared" si="245"/>
        <v>0</v>
      </c>
      <c r="W3929" s="22">
        <f t="shared" si="246"/>
        <v>0</v>
      </c>
    </row>
    <row r="3930" spans="1:23" hidden="1" x14ac:dyDescent="0.25">
      <c r="A3930" s="3">
        <v>46060</v>
      </c>
      <c r="B3930" s="46" t="s">
        <v>334</v>
      </c>
      <c r="C3930" s="4" t="s">
        <v>470</v>
      </c>
      <c r="D3930" s="4"/>
      <c r="E3930" s="4"/>
      <c r="F3930" s="46" t="s">
        <v>2010</v>
      </c>
      <c r="G3930" s="46" t="s">
        <v>336</v>
      </c>
      <c r="H3930" s="4" t="s">
        <v>289</v>
      </c>
      <c r="I3930" s="4">
        <v>1</v>
      </c>
      <c r="J3930" s="21">
        <v>50</v>
      </c>
      <c r="K3930" s="21">
        <v>0</v>
      </c>
      <c r="L3930" s="5">
        <v>0</v>
      </c>
      <c r="M3930" s="4"/>
      <c r="N3930" s="4"/>
      <c r="O3930" s="5"/>
      <c r="P3930" s="5"/>
      <c r="Q3930" s="21">
        <v>50</v>
      </c>
      <c r="R3930" s="21">
        <v>0</v>
      </c>
      <c r="S3930" s="5">
        <f t="shared" si="247"/>
        <v>57618.21899747086</v>
      </c>
      <c r="T3930" cm="1">
        <f t="array" ref="T3930">IF(OR(B3930="MAL ALIMI", B3930="ÜRETİM GİRİŞ"), MIN(I3930, MAX(0, I3930 + SUM(SUMIFS($I$1:I3929, $C$1:C3929, C3930, $B$1:B3929, {"MAL ALIMI","ÜRETİM GİRİŞ"})) - VLOOKUP(C3930, 'STOK RAPORU'!$C$2:$I$1000, 4, 0))), 0)</f>
        <v>0</v>
      </c>
      <c r="U3930" s="22">
        <f t="shared" si="244"/>
        <v>0</v>
      </c>
      <c r="V3930">
        <f t="shared" si="245"/>
        <v>0</v>
      </c>
      <c r="W3930" s="22">
        <f t="shared" si="246"/>
        <v>0</v>
      </c>
    </row>
    <row r="3931" spans="1:23" hidden="1" x14ac:dyDescent="0.25">
      <c r="A3931" s="3">
        <v>46060</v>
      </c>
      <c r="B3931" s="3" t="s">
        <v>285</v>
      </c>
      <c r="C3931" s="4"/>
      <c r="D3931" s="4" t="s">
        <v>106</v>
      </c>
      <c r="E3931" s="4" t="s">
        <v>856</v>
      </c>
      <c r="F3931" s="4"/>
      <c r="G3931" s="4" t="s">
        <v>1341</v>
      </c>
      <c r="H3931" s="4" t="s">
        <v>1329</v>
      </c>
      <c r="I3931" s="4">
        <v>1</v>
      </c>
      <c r="J3931" s="35">
        <v>880</v>
      </c>
      <c r="K3931" s="35">
        <v>0</v>
      </c>
      <c r="L3931" s="5">
        <v>880</v>
      </c>
      <c r="M3931" s="4"/>
      <c r="N3931" s="4"/>
      <c r="O3931" s="5"/>
      <c r="P3931" s="5"/>
      <c r="Q3931" s="21">
        <v>0</v>
      </c>
      <c r="R3931" s="21">
        <v>0</v>
      </c>
      <c r="S3931" s="5">
        <f t="shared" si="247"/>
        <v>57618.21899747086</v>
      </c>
      <c r="T3931" cm="1">
        <f t="array" ref="T3931">IF(OR(B3931="MAL ALIMI", B3931="ÜRETİM GİRİŞ"), MIN(I3931, MAX(0, I3931 + SUM(SUMIFS($I$1:I3930, $C$1:C3930, C3931, $B$1:B3930, {"MAL ALIMI","ÜRETİM GİRİŞ"})) - VLOOKUP(C3931, 'STOK RAPORU'!$C$2:$I$1000, 4, 0))), 0)</f>
        <v>0</v>
      </c>
      <c r="U3931" s="22">
        <f t="shared" si="244"/>
        <v>0</v>
      </c>
      <c r="V3931">
        <f t="shared" si="245"/>
        <v>0</v>
      </c>
      <c r="W3931" s="22">
        <f t="shared" si="246"/>
        <v>0</v>
      </c>
    </row>
    <row r="3932" spans="1:23" hidden="1" x14ac:dyDescent="0.25">
      <c r="A3932" s="3">
        <v>46061</v>
      </c>
      <c r="B3932" s="46" t="s">
        <v>334</v>
      </c>
      <c r="C3932" s="4" t="s">
        <v>96</v>
      </c>
      <c r="D3932" s="4"/>
      <c r="E3932" s="4"/>
      <c r="F3932" s="46" t="s">
        <v>2011</v>
      </c>
      <c r="G3932" s="46" t="s">
        <v>336</v>
      </c>
      <c r="H3932" s="4" t="s">
        <v>289</v>
      </c>
      <c r="I3932" s="4">
        <v>0.25</v>
      </c>
      <c r="J3932" s="21">
        <v>400</v>
      </c>
      <c r="K3932" s="21">
        <v>0</v>
      </c>
      <c r="L3932" s="5">
        <v>0</v>
      </c>
      <c r="M3932" s="4"/>
      <c r="N3932" s="4"/>
      <c r="O3932" s="5"/>
      <c r="P3932" s="5"/>
      <c r="Q3932" s="21">
        <v>100</v>
      </c>
      <c r="R3932" s="21">
        <v>0</v>
      </c>
      <c r="S3932" s="5">
        <f t="shared" si="247"/>
        <v>57718.21899747086</v>
      </c>
      <c r="T3932" cm="1">
        <f t="array" ref="T3932">IF(OR(B3932="MAL ALIMI", B3932="ÜRETİM GİRİŞ"), MIN(I3932, MAX(0, I3932 + SUM(SUMIFS($I$1:I3931, $C$1:C3931, C3932, $B$1:B3931, {"MAL ALIMI","ÜRETİM GİRİŞ"})) - VLOOKUP(C3932, 'STOK RAPORU'!$C$2:$I$1000, 4, 0))), 0)</f>
        <v>0</v>
      </c>
      <c r="U3932" s="22">
        <f t="shared" si="244"/>
        <v>0</v>
      </c>
      <c r="V3932">
        <f t="shared" si="245"/>
        <v>0</v>
      </c>
      <c r="W3932" s="22">
        <f t="shared" si="246"/>
        <v>0</v>
      </c>
    </row>
    <row r="3933" spans="1:23" hidden="1" x14ac:dyDescent="0.25">
      <c r="A3933" s="3">
        <v>46061</v>
      </c>
      <c r="B3933" s="46" t="s">
        <v>334</v>
      </c>
      <c r="C3933" s="4" t="s">
        <v>60</v>
      </c>
      <c r="D3933" s="4"/>
      <c r="E3933" s="4"/>
      <c r="F3933" s="46" t="s">
        <v>2012</v>
      </c>
      <c r="G3933" s="46" t="s">
        <v>336</v>
      </c>
      <c r="H3933" s="4" t="s">
        <v>289</v>
      </c>
      <c r="I3933" s="4">
        <v>0.05</v>
      </c>
      <c r="J3933" s="21">
        <v>1000</v>
      </c>
      <c r="K3933" s="21">
        <v>0</v>
      </c>
      <c r="L3933" s="5">
        <v>0</v>
      </c>
      <c r="M3933" s="4"/>
      <c r="N3933" s="4"/>
      <c r="O3933" s="5"/>
      <c r="P3933" s="5"/>
      <c r="Q3933" s="21">
        <v>50</v>
      </c>
      <c r="R3933" s="21">
        <v>0</v>
      </c>
      <c r="S3933" s="5">
        <f t="shared" si="247"/>
        <v>57768.21899747086</v>
      </c>
      <c r="T3933" cm="1">
        <f t="array" ref="T3933">IF(OR(B3933="MAL ALIMI", B3933="ÜRETİM GİRİŞ"), MIN(I3933, MAX(0, I3933 + SUM(SUMIFS($I$1:I3932, $C$1:C3932, C3933, $B$1:B3932, {"MAL ALIMI","ÜRETİM GİRİŞ"})) - VLOOKUP(C3933, 'STOK RAPORU'!$C$2:$I$1000, 4, 0))), 0)</f>
        <v>0</v>
      </c>
      <c r="U3933" s="22">
        <f t="shared" si="244"/>
        <v>0</v>
      </c>
      <c r="V3933">
        <f t="shared" si="245"/>
        <v>0</v>
      </c>
      <c r="W3933" s="22">
        <f t="shared" si="246"/>
        <v>0</v>
      </c>
    </row>
    <row r="3934" spans="1:23" hidden="1" x14ac:dyDescent="0.25">
      <c r="A3934" s="3">
        <v>46061</v>
      </c>
      <c r="B3934" s="46" t="s">
        <v>334</v>
      </c>
      <c r="C3934" s="4" t="s">
        <v>523</v>
      </c>
      <c r="D3934" s="4"/>
      <c r="E3934" s="4"/>
      <c r="F3934" s="46" t="s">
        <v>2012</v>
      </c>
      <c r="G3934" s="46" t="s">
        <v>336</v>
      </c>
      <c r="H3934" s="4" t="s">
        <v>289</v>
      </c>
      <c r="I3934" s="4">
        <v>0.1</v>
      </c>
      <c r="J3934" s="21">
        <v>500</v>
      </c>
      <c r="K3934" s="21">
        <v>0</v>
      </c>
      <c r="L3934" s="5">
        <v>0</v>
      </c>
      <c r="M3934" s="4"/>
      <c r="N3934" s="4"/>
      <c r="O3934" s="5"/>
      <c r="P3934" s="5"/>
      <c r="Q3934" s="21">
        <v>50</v>
      </c>
      <c r="R3934" s="21">
        <v>0</v>
      </c>
      <c r="S3934" s="5">
        <f t="shared" si="247"/>
        <v>57818.21899747086</v>
      </c>
      <c r="T3934" cm="1">
        <f t="array" ref="T3934">IF(OR(B3934="MAL ALIMI", B3934="ÜRETİM GİRİŞ"), MIN(I3934, MAX(0, I3934 + SUM(SUMIFS($I$1:I3933, $C$1:C3933, C3934, $B$1:B3933, {"MAL ALIMI","ÜRETİM GİRİŞ"})) - VLOOKUP(C3934, 'STOK RAPORU'!$C$2:$I$1000, 4, 0))), 0)</f>
        <v>0</v>
      </c>
      <c r="U3934" s="22">
        <f t="shared" si="244"/>
        <v>0</v>
      </c>
      <c r="V3934">
        <f t="shared" si="245"/>
        <v>0</v>
      </c>
      <c r="W3934" s="22">
        <f t="shared" si="246"/>
        <v>0</v>
      </c>
    </row>
    <row r="3935" spans="1:23" hidden="1" x14ac:dyDescent="0.25">
      <c r="A3935" s="3">
        <v>46061</v>
      </c>
      <c r="B3935" s="46" t="s">
        <v>334</v>
      </c>
      <c r="C3935" s="4" t="s">
        <v>468</v>
      </c>
      <c r="D3935" s="4"/>
      <c r="E3935" s="4" t="s">
        <v>921</v>
      </c>
      <c r="F3935" s="46" t="s">
        <v>2013</v>
      </c>
      <c r="G3935" s="46" t="s">
        <v>336</v>
      </c>
      <c r="H3935" s="4" t="s">
        <v>380</v>
      </c>
      <c r="I3935" s="4">
        <v>1</v>
      </c>
      <c r="J3935" s="21">
        <v>50</v>
      </c>
      <c r="K3935" s="21">
        <v>50</v>
      </c>
      <c r="L3935" s="5">
        <v>0</v>
      </c>
      <c r="M3935" s="4"/>
      <c r="N3935" s="4"/>
      <c r="O3935" s="5"/>
      <c r="P3935" s="5"/>
      <c r="Q3935" s="21">
        <v>0</v>
      </c>
      <c r="R3935" s="21">
        <v>0</v>
      </c>
      <c r="S3935" s="5">
        <f t="shared" si="247"/>
        <v>57818.21899747086</v>
      </c>
      <c r="T3935" cm="1">
        <f t="array" ref="T3935">IF(OR(B3935="MAL ALIMI", B3935="ÜRETİM GİRİŞ"), MIN(I3935, MAX(0, I3935 + SUM(SUMIFS($I$1:I3934, $C$1:C3934, C3935, $B$1:B3934, {"MAL ALIMI","ÜRETİM GİRİŞ"})) - VLOOKUP(C3935, 'STOK RAPORU'!$C$2:$I$1000, 4, 0))), 0)</f>
        <v>0</v>
      </c>
      <c r="U3935" s="22">
        <f t="shared" si="244"/>
        <v>0</v>
      </c>
      <c r="V3935">
        <f t="shared" si="245"/>
        <v>0</v>
      </c>
      <c r="W3935" s="22">
        <f t="shared" si="246"/>
        <v>0</v>
      </c>
    </row>
    <row r="3936" spans="1:23" hidden="1" x14ac:dyDescent="0.25">
      <c r="A3936" s="3">
        <v>46061</v>
      </c>
      <c r="B3936" s="46" t="s">
        <v>334</v>
      </c>
      <c r="C3936" s="4" t="s">
        <v>209</v>
      </c>
      <c r="D3936" s="4"/>
      <c r="E3936" s="4"/>
      <c r="F3936" s="46" t="s">
        <v>2014</v>
      </c>
      <c r="G3936" s="46" t="s">
        <v>336</v>
      </c>
      <c r="H3936" s="4" t="s">
        <v>289</v>
      </c>
      <c r="I3936" s="4">
        <v>0.05</v>
      </c>
      <c r="J3936" s="21">
        <v>2600</v>
      </c>
      <c r="K3936" s="21">
        <v>0</v>
      </c>
      <c r="L3936" s="5">
        <v>0</v>
      </c>
      <c r="M3936" s="4"/>
      <c r="N3936" s="4"/>
      <c r="O3936" s="5"/>
      <c r="P3936" s="5"/>
      <c r="Q3936" s="21">
        <v>130</v>
      </c>
      <c r="R3936" s="21">
        <v>0</v>
      </c>
      <c r="S3936" s="5">
        <f t="shared" si="247"/>
        <v>57948.21899747086</v>
      </c>
      <c r="T3936" cm="1">
        <f t="array" ref="T3936">IF(OR(B3936="MAL ALIMI", B3936="ÜRETİM GİRİŞ"), MIN(I3936, MAX(0, I3936 + SUM(SUMIFS($I$1:I3935, $C$1:C3935, C3936, $B$1:B3935, {"MAL ALIMI","ÜRETİM GİRİŞ"})) - VLOOKUP(C3936, 'STOK RAPORU'!$C$2:$I$1000, 4, 0))), 0)</f>
        <v>0</v>
      </c>
      <c r="U3936" s="22">
        <f t="shared" si="244"/>
        <v>0</v>
      </c>
      <c r="V3936">
        <f t="shared" si="245"/>
        <v>0</v>
      </c>
      <c r="W3936" s="22">
        <f t="shared" si="246"/>
        <v>0</v>
      </c>
    </row>
    <row r="3937" spans="1:23" hidden="1" x14ac:dyDescent="0.25">
      <c r="A3937" s="3">
        <v>46061</v>
      </c>
      <c r="B3937" s="46" t="s">
        <v>334</v>
      </c>
      <c r="C3937" s="4" t="s">
        <v>210</v>
      </c>
      <c r="D3937" s="4"/>
      <c r="E3937" s="4"/>
      <c r="F3937" s="46" t="s">
        <v>2014</v>
      </c>
      <c r="G3937" s="46" t="s">
        <v>336</v>
      </c>
      <c r="H3937" s="4" t="s">
        <v>289</v>
      </c>
      <c r="I3937" s="4">
        <v>0.04</v>
      </c>
      <c r="J3937" s="21">
        <v>4500</v>
      </c>
      <c r="K3937" s="21">
        <v>0</v>
      </c>
      <c r="L3937" s="5">
        <v>0</v>
      </c>
      <c r="M3937" s="4"/>
      <c r="N3937" s="4"/>
      <c r="O3937" s="5"/>
      <c r="P3937" s="5"/>
      <c r="Q3937" s="21">
        <v>180</v>
      </c>
      <c r="R3937" s="21">
        <v>0</v>
      </c>
      <c r="S3937" s="5">
        <f t="shared" si="247"/>
        <v>58128.21899747086</v>
      </c>
      <c r="T3937" cm="1">
        <f t="array" ref="T3937">IF(OR(B3937="MAL ALIMI", B3937="ÜRETİM GİRİŞ"), MIN(I3937, MAX(0, I3937 + SUM(SUMIFS($I$1:I3936, $C$1:C3936, C3937, $B$1:B3936, {"MAL ALIMI","ÜRETİM GİRİŞ"})) - VLOOKUP(C3937, 'STOK RAPORU'!$C$2:$I$1000, 4, 0))), 0)</f>
        <v>0</v>
      </c>
      <c r="U3937" s="22">
        <f t="shared" si="244"/>
        <v>0</v>
      </c>
      <c r="V3937">
        <f t="shared" si="245"/>
        <v>0</v>
      </c>
      <c r="W3937" s="22">
        <f t="shared" si="246"/>
        <v>0</v>
      </c>
    </row>
    <row r="3938" spans="1:23" hidden="1" x14ac:dyDescent="0.25">
      <c r="A3938" s="3">
        <v>46061</v>
      </c>
      <c r="B3938" s="46" t="s">
        <v>334</v>
      </c>
      <c r="C3938" s="4" t="s">
        <v>223</v>
      </c>
      <c r="D3938" s="4"/>
      <c r="E3938" s="4" t="s">
        <v>921</v>
      </c>
      <c r="F3938" s="46" t="s">
        <v>2015</v>
      </c>
      <c r="G3938" s="46" t="s">
        <v>336</v>
      </c>
      <c r="H3938" s="4" t="s">
        <v>380</v>
      </c>
      <c r="I3938" s="4">
        <v>0.5</v>
      </c>
      <c r="J3938" s="21">
        <v>800</v>
      </c>
      <c r="K3938" s="21">
        <v>400</v>
      </c>
      <c r="L3938" s="5">
        <v>0</v>
      </c>
      <c r="M3938" s="4"/>
      <c r="N3938" s="4"/>
      <c r="O3938" s="5"/>
      <c r="P3938" s="5"/>
      <c r="Q3938" s="21">
        <v>0</v>
      </c>
      <c r="R3938" s="21">
        <v>0</v>
      </c>
      <c r="S3938" s="5">
        <f t="shared" si="247"/>
        <v>58128.21899747086</v>
      </c>
      <c r="T3938" cm="1">
        <f t="array" ref="T3938">IF(OR(B3938="MAL ALIMI", B3938="ÜRETİM GİRİŞ"), MIN(I3938, MAX(0, I3938 + SUM(SUMIFS($I$1:I3937, $C$1:C3937, C3938, $B$1:B3937, {"MAL ALIMI","ÜRETİM GİRİŞ"})) - VLOOKUP(C3938, 'STOK RAPORU'!$C$2:$I$1000, 4, 0))), 0)</f>
        <v>0</v>
      </c>
      <c r="U3938" s="22">
        <f t="shared" si="244"/>
        <v>0</v>
      </c>
      <c r="V3938">
        <f t="shared" si="245"/>
        <v>0</v>
      </c>
      <c r="W3938" s="22">
        <f t="shared" si="246"/>
        <v>0</v>
      </c>
    </row>
    <row r="3939" spans="1:23" hidden="1" x14ac:dyDescent="0.25">
      <c r="A3939" s="3">
        <v>46061</v>
      </c>
      <c r="B3939" s="46" t="s">
        <v>334</v>
      </c>
      <c r="C3939" s="4" t="s">
        <v>1360</v>
      </c>
      <c r="D3939" s="4"/>
      <c r="E3939" s="4" t="s">
        <v>921</v>
      </c>
      <c r="F3939" s="46" t="s">
        <v>2015</v>
      </c>
      <c r="G3939" s="46" t="s">
        <v>336</v>
      </c>
      <c r="H3939" s="4" t="s">
        <v>380</v>
      </c>
      <c r="I3939" s="4">
        <v>0.5</v>
      </c>
      <c r="J3939" s="21">
        <v>400</v>
      </c>
      <c r="K3939" s="21">
        <v>200</v>
      </c>
      <c r="L3939" s="5">
        <v>0</v>
      </c>
      <c r="M3939" s="4"/>
      <c r="N3939" s="4"/>
      <c r="O3939" s="5"/>
      <c r="P3939" s="5"/>
      <c r="Q3939" s="21">
        <v>0</v>
      </c>
      <c r="R3939" s="21">
        <v>0</v>
      </c>
      <c r="S3939" s="5">
        <f t="shared" si="247"/>
        <v>58128.21899747086</v>
      </c>
      <c r="T3939" cm="1">
        <f t="array" ref="T3939">IF(OR(B3939="MAL ALIMI", B3939="ÜRETİM GİRİŞ"), MIN(I3939, MAX(0, I3939 + SUM(SUMIFS($I$1:I3938, $C$1:C3938, C3939, $B$1:B3938, {"MAL ALIMI","ÜRETİM GİRİŞ"})) - VLOOKUP(C3939, 'STOK RAPORU'!$C$2:$I$1000, 4, 0))), 0)</f>
        <v>0</v>
      </c>
      <c r="U3939" s="22">
        <f t="shared" si="244"/>
        <v>0</v>
      </c>
      <c r="V3939">
        <f t="shared" si="245"/>
        <v>0</v>
      </c>
      <c r="W3939" s="22">
        <f t="shared" si="246"/>
        <v>0</v>
      </c>
    </row>
    <row r="3940" spans="1:23" hidden="1" x14ac:dyDescent="0.25">
      <c r="A3940" s="3">
        <v>46061</v>
      </c>
      <c r="B3940" s="46" t="s">
        <v>334</v>
      </c>
      <c r="C3940" s="4" t="s">
        <v>1041</v>
      </c>
      <c r="D3940" s="4"/>
      <c r="E3940" s="4"/>
      <c r="F3940" s="46" t="s">
        <v>2016</v>
      </c>
      <c r="G3940" s="46" t="s">
        <v>336</v>
      </c>
      <c r="H3940" s="4" t="s">
        <v>289</v>
      </c>
      <c r="I3940" s="4">
        <v>1</v>
      </c>
      <c r="J3940" s="21">
        <v>250</v>
      </c>
      <c r="K3940" s="21">
        <v>0</v>
      </c>
      <c r="L3940" s="5">
        <v>0</v>
      </c>
      <c r="M3940" s="4"/>
      <c r="N3940" s="4"/>
      <c r="O3940" s="5"/>
      <c r="P3940" s="5"/>
      <c r="Q3940" s="21">
        <v>250</v>
      </c>
      <c r="R3940" s="21">
        <v>0</v>
      </c>
      <c r="S3940" s="5">
        <f t="shared" si="247"/>
        <v>58378.21899747086</v>
      </c>
      <c r="T3940" cm="1">
        <f t="array" ref="T3940">IF(OR(B3940="MAL ALIMI", B3940="ÜRETİM GİRİŞ"), MIN(I3940, MAX(0, I3940 + SUM(SUMIFS($I$1:I3939, $C$1:C3939, C3940, $B$1:B3939, {"MAL ALIMI","ÜRETİM GİRİŞ"})) - VLOOKUP(C3940, 'STOK RAPORU'!$C$2:$I$1000, 4, 0))), 0)</f>
        <v>0</v>
      </c>
      <c r="U3940" s="22">
        <f t="shared" si="244"/>
        <v>0</v>
      </c>
      <c r="V3940">
        <f t="shared" si="245"/>
        <v>0</v>
      </c>
      <c r="W3940" s="22">
        <f t="shared" si="246"/>
        <v>0</v>
      </c>
    </row>
    <row r="3941" spans="1:23" hidden="1" x14ac:dyDescent="0.25">
      <c r="A3941" s="3">
        <v>46061</v>
      </c>
      <c r="B3941" s="46" t="s">
        <v>334</v>
      </c>
      <c r="C3941" s="4" t="s">
        <v>691</v>
      </c>
      <c r="D3941" s="4"/>
      <c r="E3941" s="4"/>
      <c r="F3941" s="46" t="s">
        <v>2016</v>
      </c>
      <c r="G3941" s="46" t="s">
        <v>336</v>
      </c>
      <c r="H3941" s="4" t="s">
        <v>289</v>
      </c>
      <c r="I3941" s="4">
        <v>0.28260869565217389</v>
      </c>
      <c r="J3941" s="21">
        <v>230</v>
      </c>
      <c r="K3941" s="21">
        <v>0</v>
      </c>
      <c r="L3941" s="5">
        <v>0</v>
      </c>
      <c r="M3941" s="4"/>
      <c r="N3941" s="4"/>
      <c r="O3941" s="5"/>
      <c r="P3941" s="5"/>
      <c r="Q3941" s="21">
        <v>65</v>
      </c>
      <c r="R3941" s="21">
        <v>0</v>
      </c>
      <c r="S3941" s="5">
        <f t="shared" si="247"/>
        <v>58443.21899747086</v>
      </c>
      <c r="T3941" cm="1">
        <f t="array" ref="T3941">IF(OR(B3941="MAL ALIMI", B3941="ÜRETİM GİRİŞ"), MIN(I3941, MAX(0, I3941 + SUM(SUMIFS($I$1:I3940, $C$1:C3940, C3941, $B$1:B3940, {"MAL ALIMI","ÜRETİM GİRİŞ"})) - VLOOKUP(C3941, 'STOK RAPORU'!$C$2:$I$1000, 4, 0))), 0)</f>
        <v>0</v>
      </c>
      <c r="U3941" s="22">
        <f t="shared" si="244"/>
        <v>0</v>
      </c>
      <c r="V3941">
        <f t="shared" si="245"/>
        <v>0</v>
      </c>
      <c r="W3941" s="22">
        <f t="shared" si="246"/>
        <v>0</v>
      </c>
    </row>
    <row r="3942" spans="1:23" hidden="1" x14ac:dyDescent="0.25">
      <c r="A3942" s="3">
        <v>46061</v>
      </c>
      <c r="B3942" s="46" t="s">
        <v>334</v>
      </c>
      <c r="C3942" s="4" t="s">
        <v>266</v>
      </c>
      <c r="D3942" s="4"/>
      <c r="E3942" s="4"/>
      <c r="F3942" s="46" t="s">
        <v>2017</v>
      </c>
      <c r="G3942" s="46" t="s">
        <v>336</v>
      </c>
      <c r="H3942" s="4" t="s">
        <v>289</v>
      </c>
      <c r="I3942" s="4">
        <v>0.216</v>
      </c>
      <c r="J3942" s="21">
        <v>250</v>
      </c>
      <c r="K3942" s="21">
        <v>0</v>
      </c>
      <c r="L3942" s="5">
        <v>0</v>
      </c>
      <c r="M3942" s="4"/>
      <c r="N3942" s="4"/>
      <c r="O3942" s="5"/>
      <c r="P3942" s="5"/>
      <c r="Q3942" s="21">
        <v>54</v>
      </c>
      <c r="R3942" s="21">
        <v>0</v>
      </c>
      <c r="S3942" s="5">
        <f t="shared" si="247"/>
        <v>58497.21899747086</v>
      </c>
      <c r="T3942" cm="1">
        <f t="array" ref="T3942">IF(OR(B3942="MAL ALIMI", B3942="ÜRETİM GİRİŞ"), MIN(I3942, MAX(0, I3942 + SUM(SUMIFS($I$1:I3941, $C$1:C3941, C3942, $B$1:B3941, {"MAL ALIMI","ÜRETİM GİRİŞ"})) - VLOOKUP(C3942, 'STOK RAPORU'!$C$2:$I$1000, 4, 0))), 0)</f>
        <v>0</v>
      </c>
      <c r="U3942" s="22">
        <f t="shared" si="244"/>
        <v>0</v>
      </c>
      <c r="V3942">
        <f t="shared" si="245"/>
        <v>0</v>
      </c>
      <c r="W3942" s="22">
        <f t="shared" si="246"/>
        <v>0</v>
      </c>
    </row>
    <row r="3943" spans="1:23" hidden="1" x14ac:dyDescent="0.25">
      <c r="A3943" s="3">
        <v>46061</v>
      </c>
      <c r="B3943" s="46" t="s">
        <v>334</v>
      </c>
      <c r="C3943" s="4" t="s">
        <v>728</v>
      </c>
      <c r="D3943" s="4"/>
      <c r="E3943" s="4"/>
      <c r="F3943" s="46" t="s">
        <v>2017</v>
      </c>
      <c r="G3943" s="46" t="s">
        <v>336</v>
      </c>
      <c r="H3943" s="4" t="s">
        <v>289</v>
      </c>
      <c r="I3943" s="4">
        <v>0.33913043478260868</v>
      </c>
      <c r="J3943" s="21">
        <v>690</v>
      </c>
      <c r="K3943" s="21">
        <v>0</v>
      </c>
      <c r="L3943" s="5">
        <v>0</v>
      </c>
      <c r="M3943" s="4"/>
      <c r="N3943" s="4"/>
      <c r="O3943" s="5"/>
      <c r="P3943" s="5"/>
      <c r="Q3943" s="21">
        <v>234</v>
      </c>
      <c r="R3943" s="21">
        <v>0</v>
      </c>
      <c r="S3943" s="5">
        <f t="shared" si="247"/>
        <v>58731.21899747086</v>
      </c>
      <c r="T3943" cm="1">
        <f t="array" ref="T3943">IF(OR(B3943="MAL ALIMI", B3943="ÜRETİM GİRİŞ"), MIN(I3943, MAX(0, I3943 + SUM(SUMIFS($I$1:I3942, $C$1:C3942, C3943, $B$1:B3942, {"MAL ALIMI","ÜRETİM GİRİŞ"})) - VLOOKUP(C3943, 'STOK RAPORU'!$C$2:$I$1000, 4, 0))), 0)</f>
        <v>0</v>
      </c>
      <c r="U3943" s="22">
        <f t="shared" si="244"/>
        <v>0</v>
      </c>
      <c r="V3943">
        <f t="shared" si="245"/>
        <v>0</v>
      </c>
      <c r="W3943" s="22">
        <f t="shared" si="246"/>
        <v>0</v>
      </c>
    </row>
    <row r="3944" spans="1:23" hidden="1" x14ac:dyDescent="0.25">
      <c r="A3944" s="3">
        <v>46061</v>
      </c>
      <c r="B3944" s="46" t="s">
        <v>334</v>
      </c>
      <c r="C3944" s="4" t="s">
        <v>692</v>
      </c>
      <c r="D3944" s="4"/>
      <c r="E3944" s="4"/>
      <c r="F3944" s="46" t="s">
        <v>2017</v>
      </c>
      <c r="G3944" s="46" t="s">
        <v>336</v>
      </c>
      <c r="H3944" s="4" t="s">
        <v>289</v>
      </c>
      <c r="I3944" s="4">
        <v>0.5</v>
      </c>
      <c r="J3944" s="21">
        <v>60</v>
      </c>
      <c r="K3944" s="21">
        <v>0</v>
      </c>
      <c r="L3944" s="5">
        <v>0</v>
      </c>
      <c r="M3944" s="4"/>
      <c r="N3944" s="4"/>
      <c r="O3944" s="5"/>
      <c r="P3944" s="5"/>
      <c r="Q3944" s="21">
        <v>30</v>
      </c>
      <c r="R3944" s="21">
        <v>0</v>
      </c>
      <c r="S3944" s="5">
        <f t="shared" si="247"/>
        <v>58761.21899747086</v>
      </c>
      <c r="T3944" cm="1">
        <f t="array" ref="T3944">IF(OR(B3944="MAL ALIMI", B3944="ÜRETİM GİRİŞ"), MIN(I3944, MAX(0, I3944 + SUM(SUMIFS($I$1:I3943, $C$1:C3943, C3944, $B$1:B3943, {"MAL ALIMI","ÜRETİM GİRİŞ"})) - VLOOKUP(C3944, 'STOK RAPORU'!$C$2:$I$1000, 4, 0))), 0)</f>
        <v>0</v>
      </c>
      <c r="U3944" s="22">
        <f t="shared" si="244"/>
        <v>0</v>
      </c>
      <c r="V3944">
        <f t="shared" si="245"/>
        <v>0</v>
      </c>
      <c r="W3944" s="22">
        <f t="shared" si="246"/>
        <v>0</v>
      </c>
    </row>
    <row r="3945" spans="1:23" hidden="1" x14ac:dyDescent="0.25">
      <c r="A3945" s="3">
        <v>46061</v>
      </c>
      <c r="B3945" s="46" t="s">
        <v>334</v>
      </c>
      <c r="C3945" s="4" t="s">
        <v>1357</v>
      </c>
      <c r="D3945" s="4"/>
      <c r="E3945" s="4"/>
      <c r="F3945" s="46" t="s">
        <v>2017</v>
      </c>
      <c r="G3945" s="46" t="s">
        <v>336</v>
      </c>
      <c r="H3945" s="4" t="s">
        <v>289</v>
      </c>
      <c r="I3945" s="4">
        <v>0.19298245614035087</v>
      </c>
      <c r="J3945" s="21">
        <v>570</v>
      </c>
      <c r="K3945" s="21">
        <v>0</v>
      </c>
      <c r="L3945" s="5">
        <v>0</v>
      </c>
      <c r="M3945" s="4"/>
      <c r="N3945" s="4"/>
      <c r="O3945" s="5"/>
      <c r="P3945" s="5"/>
      <c r="Q3945" s="21">
        <v>110</v>
      </c>
      <c r="R3945" s="21">
        <v>0</v>
      </c>
      <c r="S3945" s="5">
        <f t="shared" si="247"/>
        <v>58871.21899747086</v>
      </c>
      <c r="T3945" cm="1">
        <f t="array" ref="T3945">IF(OR(B3945="MAL ALIMI", B3945="ÜRETİM GİRİŞ"), MIN(I3945, MAX(0, I3945 + SUM(SUMIFS($I$1:I3944, $C$1:C3944, C3945, $B$1:B3944, {"MAL ALIMI","ÜRETİM GİRİŞ"})) - VLOOKUP(C3945, 'STOK RAPORU'!$C$2:$I$1000, 4, 0))), 0)</f>
        <v>0</v>
      </c>
      <c r="U3945" s="22">
        <f t="shared" si="244"/>
        <v>0</v>
      </c>
      <c r="V3945">
        <f t="shared" si="245"/>
        <v>0</v>
      </c>
      <c r="W3945" s="22">
        <f t="shared" si="246"/>
        <v>0</v>
      </c>
    </row>
    <row r="3946" spans="1:23" hidden="1" x14ac:dyDescent="0.25">
      <c r="A3946" s="3">
        <v>46061</v>
      </c>
      <c r="B3946" s="46" t="s">
        <v>334</v>
      </c>
      <c r="C3946" s="4" t="s">
        <v>158</v>
      </c>
      <c r="D3946" s="4"/>
      <c r="E3946" s="4"/>
      <c r="F3946" s="46" t="s">
        <v>2017</v>
      </c>
      <c r="G3946" s="46" t="s">
        <v>336</v>
      </c>
      <c r="H3946" s="4" t="s">
        <v>289</v>
      </c>
      <c r="I3946" s="4">
        <v>1</v>
      </c>
      <c r="J3946" s="21">
        <v>150</v>
      </c>
      <c r="K3946" s="21">
        <v>0</v>
      </c>
      <c r="L3946" s="5">
        <v>0</v>
      </c>
      <c r="M3946" s="4"/>
      <c r="N3946" s="4"/>
      <c r="O3946" s="5"/>
      <c r="P3946" s="5"/>
      <c r="Q3946" s="21">
        <v>150</v>
      </c>
      <c r="R3946" s="21">
        <v>0</v>
      </c>
      <c r="S3946" s="5">
        <f t="shared" si="247"/>
        <v>59021.21899747086</v>
      </c>
      <c r="T3946" cm="1">
        <f t="array" ref="T3946">IF(OR(B3946="MAL ALIMI", B3946="ÜRETİM GİRİŞ"), MIN(I3946, MAX(0, I3946 + SUM(SUMIFS($I$1:I3945, $C$1:C3945, C3946, $B$1:B3945, {"MAL ALIMI","ÜRETİM GİRİŞ"})) - VLOOKUP(C3946, 'STOK RAPORU'!$C$2:$I$1000, 4, 0))), 0)</f>
        <v>0</v>
      </c>
      <c r="U3946" s="22">
        <f t="shared" si="244"/>
        <v>0</v>
      </c>
      <c r="V3946">
        <f t="shared" si="245"/>
        <v>0</v>
      </c>
      <c r="W3946" s="22">
        <f t="shared" si="246"/>
        <v>0</v>
      </c>
    </row>
    <row r="3947" spans="1:23" hidden="1" x14ac:dyDescent="0.25">
      <c r="A3947" s="3">
        <v>46061</v>
      </c>
      <c r="B3947" s="46" t="s">
        <v>334</v>
      </c>
      <c r="C3947" s="4" t="s">
        <v>60</v>
      </c>
      <c r="D3947" s="4"/>
      <c r="E3947" s="4"/>
      <c r="F3947" s="46" t="s">
        <v>2018</v>
      </c>
      <c r="G3947" s="46" t="s">
        <v>336</v>
      </c>
      <c r="H3947" s="4" t="s">
        <v>289</v>
      </c>
      <c r="I3947" s="4">
        <v>0.05</v>
      </c>
      <c r="J3947" s="21">
        <v>1000</v>
      </c>
      <c r="K3947" s="21">
        <v>0</v>
      </c>
      <c r="L3947" s="5">
        <v>0</v>
      </c>
      <c r="M3947" s="4"/>
      <c r="N3947" s="4"/>
      <c r="O3947" s="5"/>
      <c r="P3947" s="5"/>
      <c r="Q3947" s="21">
        <v>50</v>
      </c>
      <c r="R3947" s="21">
        <v>0</v>
      </c>
      <c r="S3947" s="5">
        <f t="shared" si="247"/>
        <v>59071.21899747086</v>
      </c>
      <c r="T3947" cm="1">
        <f t="array" ref="T3947">IF(OR(B3947="MAL ALIMI", B3947="ÜRETİM GİRİŞ"), MIN(I3947, MAX(0, I3947 + SUM(SUMIFS($I$1:I3946, $C$1:C3946, C3947, $B$1:B3946, {"MAL ALIMI","ÜRETİM GİRİŞ"})) - VLOOKUP(C3947, 'STOK RAPORU'!$C$2:$I$1000, 4, 0))), 0)</f>
        <v>0</v>
      </c>
      <c r="U3947" s="22">
        <f t="shared" si="244"/>
        <v>0</v>
      </c>
      <c r="V3947">
        <f t="shared" si="245"/>
        <v>0</v>
      </c>
      <c r="W3947" s="22">
        <f t="shared" si="246"/>
        <v>0</v>
      </c>
    </row>
    <row r="3948" spans="1:23" hidden="1" x14ac:dyDescent="0.25">
      <c r="A3948" s="3">
        <v>46061</v>
      </c>
      <c r="B3948" s="46" t="s">
        <v>334</v>
      </c>
      <c r="C3948" s="4" t="s">
        <v>523</v>
      </c>
      <c r="D3948" s="4"/>
      <c r="E3948" s="4"/>
      <c r="F3948" s="46" t="s">
        <v>2018</v>
      </c>
      <c r="G3948" s="46" t="s">
        <v>336</v>
      </c>
      <c r="H3948" s="4" t="s">
        <v>289</v>
      </c>
      <c r="I3948" s="4">
        <v>0.1</v>
      </c>
      <c r="J3948" s="21">
        <v>500</v>
      </c>
      <c r="K3948" s="21">
        <v>0</v>
      </c>
      <c r="L3948" s="5">
        <v>0</v>
      </c>
      <c r="M3948" s="4"/>
      <c r="N3948" s="4"/>
      <c r="O3948" s="5"/>
      <c r="P3948" s="5"/>
      <c r="Q3948" s="21">
        <v>50</v>
      </c>
      <c r="R3948" s="21">
        <v>0</v>
      </c>
      <c r="S3948" s="5">
        <f t="shared" si="247"/>
        <v>59121.21899747086</v>
      </c>
      <c r="T3948" cm="1">
        <f t="array" ref="T3948">IF(OR(B3948="MAL ALIMI", B3948="ÜRETİM GİRİŞ"), MIN(I3948, MAX(0, I3948 + SUM(SUMIFS($I$1:I3947, $C$1:C3947, C3948, $B$1:B3947, {"MAL ALIMI","ÜRETİM GİRİŞ"})) - VLOOKUP(C3948, 'STOK RAPORU'!$C$2:$I$1000, 4, 0))), 0)</f>
        <v>0</v>
      </c>
      <c r="U3948" s="22">
        <f t="shared" si="244"/>
        <v>0</v>
      </c>
      <c r="V3948">
        <f t="shared" si="245"/>
        <v>0</v>
      </c>
      <c r="W3948" s="22">
        <f t="shared" si="246"/>
        <v>0</v>
      </c>
    </row>
    <row r="3949" spans="1:23" hidden="1" x14ac:dyDescent="0.25">
      <c r="A3949" s="3">
        <v>46061</v>
      </c>
      <c r="B3949" s="46" t="s">
        <v>334</v>
      </c>
      <c r="C3949" s="4" t="s">
        <v>158</v>
      </c>
      <c r="D3949" s="4"/>
      <c r="E3949" s="4"/>
      <c r="F3949" s="46" t="s">
        <v>2018</v>
      </c>
      <c r="G3949" s="46" t="s">
        <v>336</v>
      </c>
      <c r="H3949" s="4" t="s">
        <v>289</v>
      </c>
      <c r="I3949" s="4">
        <v>1</v>
      </c>
      <c r="J3949" s="21">
        <v>150</v>
      </c>
      <c r="K3949" s="21">
        <v>0</v>
      </c>
      <c r="L3949" s="5">
        <v>0</v>
      </c>
      <c r="M3949" s="4"/>
      <c r="N3949" s="4"/>
      <c r="O3949" s="5"/>
      <c r="P3949" s="5"/>
      <c r="Q3949" s="21">
        <v>150</v>
      </c>
      <c r="R3949" s="21">
        <v>0</v>
      </c>
      <c r="S3949" s="5">
        <f t="shared" si="247"/>
        <v>59271.21899747086</v>
      </c>
      <c r="T3949" cm="1">
        <f t="array" ref="T3949">IF(OR(B3949="MAL ALIMI", B3949="ÜRETİM GİRİŞ"), MIN(I3949, MAX(0, I3949 + SUM(SUMIFS($I$1:I3948, $C$1:C3948, C3949, $B$1:B3948, {"MAL ALIMI","ÜRETİM GİRİŞ"})) - VLOOKUP(C3949, 'STOK RAPORU'!$C$2:$I$1000, 4, 0))), 0)</f>
        <v>0</v>
      </c>
      <c r="U3949" s="22">
        <f t="shared" si="244"/>
        <v>0</v>
      </c>
      <c r="V3949">
        <f t="shared" si="245"/>
        <v>0</v>
      </c>
      <c r="W3949" s="22">
        <f t="shared" si="246"/>
        <v>0</v>
      </c>
    </row>
    <row r="3950" spans="1:23" hidden="1" x14ac:dyDescent="0.25">
      <c r="A3950" s="3">
        <v>46061</v>
      </c>
      <c r="B3950" s="46" t="s">
        <v>334</v>
      </c>
      <c r="C3950" s="4" t="s">
        <v>209</v>
      </c>
      <c r="D3950" s="4"/>
      <c r="E3950" s="4"/>
      <c r="F3950" s="46" t="s">
        <v>2019</v>
      </c>
      <c r="G3950" s="46" t="s">
        <v>336</v>
      </c>
      <c r="H3950" s="4" t="s">
        <v>289</v>
      </c>
      <c r="I3950" s="4">
        <v>0.05</v>
      </c>
      <c r="J3950" s="21">
        <v>2600</v>
      </c>
      <c r="K3950" s="21">
        <v>0</v>
      </c>
      <c r="L3950" s="5">
        <v>0</v>
      </c>
      <c r="M3950" s="4"/>
      <c r="N3950" s="4"/>
      <c r="O3950" s="5"/>
      <c r="P3950" s="5"/>
      <c r="Q3950" s="21">
        <v>130</v>
      </c>
      <c r="R3950" s="21">
        <v>0</v>
      </c>
      <c r="S3950" s="5">
        <f t="shared" si="247"/>
        <v>59401.21899747086</v>
      </c>
      <c r="T3950" cm="1">
        <f t="array" ref="T3950">IF(OR(B3950="MAL ALIMI", B3950="ÜRETİM GİRİŞ"), MIN(I3950, MAX(0, I3950 + SUM(SUMIFS($I$1:I3949, $C$1:C3949, C3950, $B$1:B3949, {"MAL ALIMI","ÜRETİM GİRİŞ"})) - VLOOKUP(C3950, 'STOK RAPORU'!$C$2:$I$1000, 4, 0))), 0)</f>
        <v>0</v>
      </c>
      <c r="U3950" s="22">
        <f t="shared" si="244"/>
        <v>0</v>
      </c>
      <c r="V3950">
        <f t="shared" si="245"/>
        <v>0</v>
      </c>
      <c r="W3950" s="22">
        <f t="shared" si="246"/>
        <v>0</v>
      </c>
    </row>
    <row r="3951" spans="1:23" hidden="1" x14ac:dyDescent="0.25">
      <c r="A3951" s="3">
        <v>46061</v>
      </c>
      <c r="B3951" s="46" t="s">
        <v>334</v>
      </c>
      <c r="C3951" s="46" t="s">
        <v>585</v>
      </c>
      <c r="D3951" s="4"/>
      <c r="E3951" s="4"/>
      <c r="F3951" s="46" t="s">
        <v>2020</v>
      </c>
      <c r="G3951" s="46" t="s">
        <v>336</v>
      </c>
      <c r="H3951" s="4" t="s">
        <v>289</v>
      </c>
      <c r="I3951" s="4">
        <v>1</v>
      </c>
      <c r="J3951" s="21">
        <v>200</v>
      </c>
      <c r="K3951" s="21">
        <v>0</v>
      </c>
      <c r="L3951" s="5">
        <v>0</v>
      </c>
      <c r="M3951" s="4"/>
      <c r="N3951" s="4"/>
      <c r="O3951" s="5"/>
      <c r="P3951" s="5"/>
      <c r="Q3951" s="21">
        <v>200</v>
      </c>
      <c r="R3951" s="21">
        <v>0</v>
      </c>
      <c r="S3951" s="5">
        <f t="shared" si="247"/>
        <v>59601.21899747086</v>
      </c>
      <c r="T3951" cm="1">
        <f t="array" ref="T3951">IF(OR(B3951="MAL ALIMI", B3951="ÜRETİM GİRİŞ"), MIN(I3951, MAX(0, I3951 + SUM(SUMIFS($I$1:I3950, $C$1:C3950, C3951, $B$1:B3950, {"MAL ALIMI","ÜRETİM GİRİŞ"})) - VLOOKUP(C3951, 'STOK RAPORU'!$C$2:$I$1000, 4, 0))), 0)</f>
        <v>0</v>
      </c>
      <c r="U3951" s="22">
        <f t="shared" si="244"/>
        <v>0</v>
      </c>
      <c r="V3951">
        <f t="shared" si="245"/>
        <v>0</v>
      </c>
      <c r="W3951" s="22">
        <f t="shared" si="246"/>
        <v>0</v>
      </c>
    </row>
    <row r="3952" spans="1:23" hidden="1" x14ac:dyDescent="0.25">
      <c r="A3952" s="3">
        <v>46061</v>
      </c>
      <c r="B3952" s="46" t="s">
        <v>334</v>
      </c>
      <c r="C3952" s="4" t="s">
        <v>158</v>
      </c>
      <c r="D3952" s="4"/>
      <c r="E3952" s="4"/>
      <c r="F3952" s="46" t="s">
        <v>2021</v>
      </c>
      <c r="G3952" s="46" t="s">
        <v>336</v>
      </c>
      <c r="H3952" s="4" t="s">
        <v>289</v>
      </c>
      <c r="I3952" s="4">
        <v>1</v>
      </c>
      <c r="J3952" s="21">
        <v>150</v>
      </c>
      <c r="K3952" s="21">
        <v>0</v>
      </c>
      <c r="L3952" s="5">
        <v>0</v>
      </c>
      <c r="M3952" s="4"/>
      <c r="N3952" s="4"/>
      <c r="O3952" s="5"/>
      <c r="P3952" s="5"/>
      <c r="Q3952" s="21">
        <v>150</v>
      </c>
      <c r="R3952" s="21">
        <v>0</v>
      </c>
      <c r="S3952" s="5">
        <f t="shared" si="247"/>
        <v>59751.21899747086</v>
      </c>
      <c r="T3952" cm="1">
        <f t="array" ref="T3952">IF(OR(B3952="MAL ALIMI", B3952="ÜRETİM GİRİŞ"), MIN(I3952, MAX(0, I3952 + SUM(SUMIFS($I$1:I3951, $C$1:C3951, C3952, $B$1:B3951, {"MAL ALIMI","ÜRETİM GİRİŞ"})) - VLOOKUP(C3952, 'STOK RAPORU'!$C$2:$I$1000, 4, 0))), 0)</f>
        <v>0</v>
      </c>
      <c r="U3952" s="22">
        <f t="shared" si="244"/>
        <v>0</v>
      </c>
      <c r="V3952">
        <f t="shared" si="245"/>
        <v>0</v>
      </c>
      <c r="W3952" s="22">
        <f t="shared" si="246"/>
        <v>0</v>
      </c>
    </row>
    <row r="3953" spans="1:23" hidden="1" x14ac:dyDescent="0.25">
      <c r="A3953" s="3">
        <v>46061</v>
      </c>
      <c r="B3953" s="46" t="s">
        <v>334</v>
      </c>
      <c r="C3953" s="4" t="s">
        <v>131</v>
      </c>
      <c r="D3953" s="4"/>
      <c r="E3953" s="4"/>
      <c r="F3953" s="46" t="s">
        <v>2021</v>
      </c>
      <c r="G3953" s="46" t="s">
        <v>336</v>
      </c>
      <c r="H3953" s="4" t="s">
        <v>289</v>
      </c>
      <c r="I3953" s="4">
        <v>4.5999999999999999E-2</v>
      </c>
      <c r="J3953" s="21">
        <v>400</v>
      </c>
      <c r="K3953" s="21">
        <v>0</v>
      </c>
      <c r="L3953" s="5">
        <v>0</v>
      </c>
      <c r="M3953" s="4"/>
      <c r="N3953" s="4"/>
      <c r="O3953" s="5"/>
      <c r="P3953" s="5"/>
      <c r="Q3953" s="21">
        <v>18.399999999999999</v>
      </c>
      <c r="R3953" s="21">
        <v>0</v>
      </c>
      <c r="S3953" s="5">
        <f t="shared" si="247"/>
        <v>59769.618997470861</v>
      </c>
      <c r="T3953" cm="1">
        <f t="array" ref="T3953">IF(OR(B3953="MAL ALIMI", B3953="ÜRETİM GİRİŞ"), MIN(I3953, MAX(0, I3953 + SUM(SUMIFS($I$1:I3952, $C$1:C3952, C3953, $B$1:B3952, {"MAL ALIMI","ÜRETİM GİRİŞ"})) - VLOOKUP(C3953, 'STOK RAPORU'!$C$2:$I$1000, 4, 0))), 0)</f>
        <v>0</v>
      </c>
      <c r="U3953" s="22">
        <f t="shared" si="244"/>
        <v>0</v>
      </c>
      <c r="V3953">
        <f t="shared" si="245"/>
        <v>0</v>
      </c>
      <c r="W3953" s="22">
        <f t="shared" si="246"/>
        <v>0</v>
      </c>
    </row>
    <row r="3954" spans="1:23" hidden="1" x14ac:dyDescent="0.25">
      <c r="A3954" s="3">
        <v>46061</v>
      </c>
      <c r="B3954" s="46" t="s">
        <v>334</v>
      </c>
      <c r="C3954" s="4" t="s">
        <v>91</v>
      </c>
      <c r="D3954" s="4"/>
      <c r="E3954" s="4"/>
      <c r="F3954" s="46" t="s">
        <v>2021</v>
      </c>
      <c r="G3954" s="46" t="s">
        <v>336</v>
      </c>
      <c r="H3954" s="4" t="s">
        <v>289</v>
      </c>
      <c r="I3954" s="4">
        <v>2.1999999999999999E-2</v>
      </c>
      <c r="J3954" s="21">
        <v>750</v>
      </c>
      <c r="K3954" s="21">
        <v>0</v>
      </c>
      <c r="L3954" s="5">
        <v>0</v>
      </c>
      <c r="M3954" s="4"/>
      <c r="N3954" s="4"/>
      <c r="O3954" s="5"/>
      <c r="P3954" s="5"/>
      <c r="Q3954" s="21">
        <v>16.5</v>
      </c>
      <c r="R3954" s="21">
        <v>0</v>
      </c>
      <c r="S3954" s="5">
        <f t="shared" si="247"/>
        <v>59786.118997470861</v>
      </c>
      <c r="T3954" cm="1">
        <f t="array" ref="T3954">IF(OR(B3954="MAL ALIMI", B3954="ÜRETİM GİRİŞ"), MIN(I3954, MAX(0, I3954 + SUM(SUMIFS($I$1:I3953, $C$1:C3953, C3954, $B$1:B3953, {"MAL ALIMI","ÜRETİM GİRİŞ"})) - VLOOKUP(C3954, 'STOK RAPORU'!$C$2:$I$1000, 4, 0))), 0)</f>
        <v>0</v>
      </c>
      <c r="U3954" s="22">
        <f t="shared" si="244"/>
        <v>0</v>
      </c>
      <c r="V3954">
        <f t="shared" si="245"/>
        <v>0</v>
      </c>
      <c r="W3954" s="22">
        <f t="shared" si="246"/>
        <v>0</v>
      </c>
    </row>
    <row r="3955" spans="1:23" hidden="1" x14ac:dyDescent="0.25">
      <c r="A3955" s="3">
        <v>46061</v>
      </c>
      <c r="B3955" s="46" t="s">
        <v>334</v>
      </c>
      <c r="C3955" s="4" t="s">
        <v>196</v>
      </c>
      <c r="D3955" s="4"/>
      <c r="E3955" s="4"/>
      <c r="F3955" s="46" t="s">
        <v>2021</v>
      </c>
      <c r="G3955" s="46" t="s">
        <v>336</v>
      </c>
      <c r="H3955" s="4" t="s">
        <v>289</v>
      </c>
      <c r="I3955" s="4">
        <v>0.26200000000000001</v>
      </c>
      <c r="J3955" s="21">
        <v>230</v>
      </c>
      <c r="K3955" s="21">
        <v>0</v>
      </c>
      <c r="L3955" s="5">
        <v>0</v>
      </c>
      <c r="M3955" s="4"/>
      <c r="N3955" s="4"/>
      <c r="O3955" s="5"/>
      <c r="P3955" s="5"/>
      <c r="Q3955" s="21">
        <v>60.260000000000005</v>
      </c>
      <c r="R3955" s="21">
        <v>0</v>
      </c>
      <c r="S3955" s="5">
        <f t="shared" si="247"/>
        <v>59846.378997470863</v>
      </c>
      <c r="T3955" cm="1">
        <f t="array" ref="T3955">IF(OR(B3955="MAL ALIMI", B3955="ÜRETİM GİRİŞ"), MIN(I3955, MAX(0, I3955 + SUM(SUMIFS($I$1:I3954, $C$1:C3954, C3955, $B$1:B3954, {"MAL ALIMI","ÜRETİM GİRİŞ"})) - VLOOKUP(C3955, 'STOK RAPORU'!$C$2:$I$1000, 4, 0))), 0)</f>
        <v>0</v>
      </c>
      <c r="U3955" s="22">
        <f t="shared" si="244"/>
        <v>0</v>
      </c>
      <c r="V3955">
        <f t="shared" si="245"/>
        <v>0</v>
      </c>
      <c r="W3955" s="22">
        <f t="shared" si="246"/>
        <v>0</v>
      </c>
    </row>
    <row r="3956" spans="1:23" hidden="1" x14ac:dyDescent="0.25">
      <c r="A3956" s="3">
        <v>46061</v>
      </c>
      <c r="B3956" s="46" t="s">
        <v>334</v>
      </c>
      <c r="C3956" s="4" t="s">
        <v>197</v>
      </c>
      <c r="D3956" s="4"/>
      <c r="E3956" s="4"/>
      <c r="F3956" s="46" t="s">
        <v>2021</v>
      </c>
      <c r="G3956" s="46" t="s">
        <v>336</v>
      </c>
      <c r="H3956" s="4" t="s">
        <v>289</v>
      </c>
      <c r="I3956" s="4">
        <v>0.26200000000000001</v>
      </c>
      <c r="J3956" s="21">
        <v>230</v>
      </c>
      <c r="K3956" s="21">
        <v>0</v>
      </c>
      <c r="L3956" s="5">
        <v>0</v>
      </c>
      <c r="M3956" s="4"/>
      <c r="N3956" s="4"/>
      <c r="O3956" s="5"/>
      <c r="P3956" s="5"/>
      <c r="Q3956" s="21">
        <v>60.260000000000005</v>
      </c>
      <c r="R3956" s="21">
        <v>0</v>
      </c>
      <c r="S3956" s="5">
        <f t="shared" si="247"/>
        <v>59906.638997470865</v>
      </c>
      <c r="T3956" cm="1">
        <f t="array" ref="T3956">IF(OR(B3956="MAL ALIMI", B3956="ÜRETİM GİRİŞ"), MIN(I3956, MAX(0, I3956 + SUM(SUMIFS($I$1:I3955, $C$1:C3955, C3956, $B$1:B3955, {"MAL ALIMI","ÜRETİM GİRİŞ"})) - VLOOKUP(C3956, 'STOK RAPORU'!$C$2:$I$1000, 4, 0))), 0)</f>
        <v>0</v>
      </c>
      <c r="U3956" s="22">
        <f t="shared" si="244"/>
        <v>0</v>
      </c>
      <c r="V3956">
        <f t="shared" si="245"/>
        <v>0</v>
      </c>
      <c r="W3956" s="22">
        <f t="shared" si="246"/>
        <v>0</v>
      </c>
    </row>
    <row r="3957" spans="1:23" hidden="1" x14ac:dyDescent="0.25">
      <c r="A3957" s="3">
        <v>46061</v>
      </c>
      <c r="B3957" s="46" t="s">
        <v>334</v>
      </c>
      <c r="C3957" s="4" t="s">
        <v>256</v>
      </c>
      <c r="D3957" s="4"/>
      <c r="E3957" s="4"/>
      <c r="F3957" s="46" t="s">
        <v>2022</v>
      </c>
      <c r="G3957" s="46" t="s">
        <v>336</v>
      </c>
      <c r="H3957" s="4" t="s">
        <v>289</v>
      </c>
      <c r="I3957" s="4">
        <v>1</v>
      </c>
      <c r="J3957" s="21">
        <v>190</v>
      </c>
      <c r="K3957" s="21">
        <v>0</v>
      </c>
      <c r="L3957" s="5">
        <v>0</v>
      </c>
      <c r="M3957" s="4"/>
      <c r="N3957" s="4"/>
      <c r="O3957" s="5"/>
      <c r="P3957" s="5"/>
      <c r="Q3957" s="21">
        <v>190</v>
      </c>
      <c r="R3957" s="21">
        <v>0</v>
      </c>
      <c r="S3957" s="5">
        <f t="shared" si="247"/>
        <v>60096.638997470865</v>
      </c>
      <c r="T3957" cm="1">
        <f t="array" ref="T3957">IF(OR(B3957="MAL ALIMI", B3957="ÜRETİM GİRİŞ"), MIN(I3957, MAX(0, I3957 + SUM(SUMIFS($I$1:I3956, $C$1:C3956, C3957, $B$1:B3956, {"MAL ALIMI","ÜRETİM GİRİŞ"})) - VLOOKUP(C3957, 'STOK RAPORU'!$C$2:$I$1000, 4, 0))), 0)</f>
        <v>0</v>
      </c>
      <c r="U3957" s="22">
        <f t="shared" si="244"/>
        <v>0</v>
      </c>
      <c r="V3957">
        <f t="shared" si="245"/>
        <v>0</v>
      </c>
      <c r="W3957" s="22">
        <f t="shared" si="246"/>
        <v>0</v>
      </c>
    </row>
    <row r="3958" spans="1:23" hidden="1" x14ac:dyDescent="0.25">
      <c r="A3958" s="3">
        <v>46061</v>
      </c>
      <c r="B3958" s="46" t="s">
        <v>334</v>
      </c>
      <c r="C3958" s="4" t="s">
        <v>133</v>
      </c>
      <c r="D3958" s="4"/>
      <c r="E3958" s="4"/>
      <c r="F3958" s="46" t="s">
        <v>2022</v>
      </c>
      <c r="G3958" s="46" t="s">
        <v>336</v>
      </c>
      <c r="H3958" s="4" t="s">
        <v>289</v>
      </c>
      <c r="I3958" s="4">
        <v>8.7499999999999994E-2</v>
      </c>
      <c r="J3958" s="21">
        <v>400</v>
      </c>
      <c r="K3958" s="21">
        <v>0</v>
      </c>
      <c r="L3958" s="5">
        <v>0</v>
      </c>
      <c r="M3958" s="4"/>
      <c r="N3958" s="4"/>
      <c r="O3958" s="5"/>
      <c r="P3958" s="5"/>
      <c r="Q3958" s="21">
        <v>35</v>
      </c>
      <c r="R3958" s="21">
        <v>0</v>
      </c>
      <c r="S3958" s="5">
        <f t="shared" si="247"/>
        <v>60131.638997470865</v>
      </c>
      <c r="T3958" cm="1">
        <f t="array" ref="T3958">IF(OR(B3958="MAL ALIMI", B3958="ÜRETİM GİRİŞ"), MIN(I3958, MAX(0, I3958 + SUM(SUMIFS($I$1:I3957, $C$1:C3957, C3958, $B$1:B3957, {"MAL ALIMI","ÜRETİM GİRİŞ"})) - VLOOKUP(C3958, 'STOK RAPORU'!$C$2:$I$1000, 4, 0))), 0)</f>
        <v>0</v>
      </c>
      <c r="U3958" s="22">
        <f t="shared" si="244"/>
        <v>0</v>
      </c>
      <c r="V3958">
        <f t="shared" si="245"/>
        <v>0</v>
      </c>
      <c r="W3958" s="22">
        <f t="shared" si="246"/>
        <v>0</v>
      </c>
    </row>
    <row r="3959" spans="1:23" hidden="1" x14ac:dyDescent="0.25">
      <c r="A3959" s="3">
        <v>46061</v>
      </c>
      <c r="B3959" s="46" t="s">
        <v>334</v>
      </c>
      <c r="C3959" s="4" t="s">
        <v>91</v>
      </c>
      <c r="D3959" s="4"/>
      <c r="E3959" s="4"/>
      <c r="F3959" s="46" t="s">
        <v>2022</v>
      </c>
      <c r="G3959" s="46" t="s">
        <v>336</v>
      </c>
      <c r="H3959" s="4" t="s">
        <v>289</v>
      </c>
      <c r="I3959" s="4">
        <v>0.06</v>
      </c>
      <c r="J3959" s="21">
        <v>750</v>
      </c>
      <c r="K3959" s="21">
        <v>0</v>
      </c>
      <c r="L3959" s="5">
        <v>0</v>
      </c>
      <c r="M3959" s="4"/>
      <c r="N3959" s="4"/>
      <c r="O3959" s="5"/>
      <c r="P3959" s="5"/>
      <c r="Q3959" s="21">
        <v>45</v>
      </c>
      <c r="R3959" s="21">
        <v>0</v>
      </c>
      <c r="S3959" s="5">
        <f t="shared" si="247"/>
        <v>60176.638997470865</v>
      </c>
      <c r="T3959" cm="1">
        <f t="array" ref="T3959">IF(OR(B3959="MAL ALIMI", B3959="ÜRETİM GİRİŞ"), MIN(I3959, MAX(0, I3959 + SUM(SUMIFS($I$1:I3958, $C$1:C3958, C3959, $B$1:B3958, {"MAL ALIMI","ÜRETİM GİRİŞ"})) - VLOOKUP(C3959, 'STOK RAPORU'!$C$2:$I$1000, 4, 0))), 0)</f>
        <v>0</v>
      </c>
      <c r="U3959" s="22">
        <f t="shared" si="244"/>
        <v>0</v>
      </c>
      <c r="V3959">
        <f t="shared" si="245"/>
        <v>0</v>
      </c>
      <c r="W3959" s="22">
        <f t="shared" si="246"/>
        <v>0</v>
      </c>
    </row>
    <row r="3960" spans="1:23" hidden="1" x14ac:dyDescent="0.25">
      <c r="A3960" s="3">
        <v>46061</v>
      </c>
      <c r="B3960" s="4" t="s">
        <v>946</v>
      </c>
      <c r="C3960" s="4"/>
      <c r="D3960" s="4"/>
      <c r="E3960" s="4" t="s">
        <v>921</v>
      </c>
      <c r="F3960" s="4"/>
      <c r="G3960" s="4" t="s">
        <v>946</v>
      </c>
      <c r="H3960" s="4" t="s">
        <v>380</v>
      </c>
      <c r="I3960" s="4">
        <v>1</v>
      </c>
      <c r="J3960" s="105">
        <v>908</v>
      </c>
      <c r="K3960" s="21">
        <v>0</v>
      </c>
      <c r="L3960" s="111">
        <v>908</v>
      </c>
      <c r="M3960" s="21">
        <v>600</v>
      </c>
      <c r="N3960" s="4"/>
      <c r="O3960" s="5"/>
      <c r="P3960" s="5"/>
      <c r="Q3960" s="21">
        <v>908</v>
      </c>
      <c r="R3960" s="21">
        <v>0</v>
      </c>
      <c r="S3960" s="5">
        <f t="shared" si="247"/>
        <v>61084.638997470865</v>
      </c>
      <c r="T3960" cm="1">
        <f t="array" ref="T3960">IF(OR(B3960="MAL ALIMI", B3960="ÜRETİM GİRİŞ"), MIN(I3960, MAX(0, I3960 + SUM(SUMIFS($I$1:I3959, $C$1:C3959, C3960, $B$1:B3959, {"MAL ALIMI","ÜRETİM GİRİŞ"})) - VLOOKUP(C3960, 'STOK RAPORU'!$C$2:$I$1000, 4, 0))), 0)</f>
        <v>0</v>
      </c>
      <c r="U3960" s="22">
        <f t="shared" si="244"/>
        <v>0</v>
      </c>
      <c r="V3960">
        <f t="shared" si="245"/>
        <v>0</v>
      </c>
      <c r="W3960" s="22">
        <f t="shared" si="246"/>
        <v>0</v>
      </c>
    </row>
    <row r="3961" spans="1:23" hidden="1" x14ac:dyDescent="0.25">
      <c r="A3961" s="3">
        <v>46061</v>
      </c>
      <c r="B3961" s="4" t="s">
        <v>946</v>
      </c>
      <c r="C3961" s="4"/>
      <c r="D3961" s="4"/>
      <c r="E3961" s="4" t="s">
        <v>921</v>
      </c>
      <c r="F3961" s="4"/>
      <c r="G3961" s="4" t="s">
        <v>946</v>
      </c>
      <c r="H3961" s="4" t="s">
        <v>380</v>
      </c>
      <c r="I3961" s="4">
        <v>1</v>
      </c>
      <c r="J3961" s="105">
        <v>1345</v>
      </c>
      <c r="K3961" s="21">
        <v>0</v>
      </c>
      <c r="L3961" s="111">
        <v>1345</v>
      </c>
      <c r="M3961" s="4"/>
      <c r="N3961" s="4"/>
      <c r="O3961" s="5"/>
      <c r="P3961" s="5"/>
      <c r="Q3961" s="21">
        <v>1345</v>
      </c>
      <c r="R3961" s="21">
        <v>0</v>
      </c>
      <c r="S3961" s="5">
        <f t="shared" si="247"/>
        <v>62429.638997470865</v>
      </c>
      <c r="T3961" cm="1">
        <f t="array" ref="T3961">IF(OR(B3961="MAL ALIMI", B3961="ÜRETİM GİRİŞ"), MIN(I3961, MAX(0, I3961 + SUM(SUMIFS($I$1:I3960, $C$1:C3960, C3961, $B$1:B3960, {"MAL ALIMI","ÜRETİM GİRİŞ"})) - VLOOKUP(C3961, 'STOK RAPORU'!$C$2:$I$1000, 4, 0))), 0)</f>
        <v>0</v>
      </c>
      <c r="U3961" s="22">
        <f t="shared" si="244"/>
        <v>0</v>
      </c>
      <c r="V3961">
        <f t="shared" si="245"/>
        <v>0</v>
      </c>
      <c r="W3961" s="22">
        <f t="shared" si="246"/>
        <v>0</v>
      </c>
    </row>
    <row r="3962" spans="1:23" hidden="1" x14ac:dyDescent="0.25">
      <c r="A3962" s="3">
        <v>46062</v>
      </c>
      <c r="B3962" s="4" t="s">
        <v>298</v>
      </c>
      <c r="C3962" s="4" t="s">
        <v>196</v>
      </c>
      <c r="D3962" s="4"/>
      <c r="E3962" s="4" t="s">
        <v>350</v>
      </c>
      <c r="F3962" s="4">
        <v>997832</v>
      </c>
      <c r="G3962" s="4" t="s">
        <v>350</v>
      </c>
      <c r="H3962" s="4" t="s">
        <v>304</v>
      </c>
      <c r="I3962" s="4">
        <v>3</v>
      </c>
      <c r="J3962" s="21">
        <v>130</v>
      </c>
      <c r="K3962" s="21">
        <v>0</v>
      </c>
      <c r="L3962" s="5">
        <v>390</v>
      </c>
      <c r="M3962" s="4"/>
      <c r="N3962" s="4"/>
      <c r="O3962" s="5"/>
      <c r="P3962" s="5"/>
      <c r="Q3962" s="21">
        <v>0</v>
      </c>
      <c r="R3962" s="21">
        <v>0</v>
      </c>
      <c r="S3962" s="5">
        <f t="shared" si="247"/>
        <v>62429.638997470865</v>
      </c>
      <c r="T3962" cm="1">
        <f t="array" ref="T3962">IF(OR(B3962="MAL ALIMI", B3962="ÜRETİM GİRİŞ"), MIN(I3962, MAX(0, I3962 + SUM(SUMIFS($I$1:I3961, $C$1:C3961, C3962, $B$1:B3961, {"MAL ALIMI","ÜRETİM GİRİŞ"})) - VLOOKUP(C3962, 'STOK RAPORU'!$C$2:$I$1000, 4, 0))), 0)</f>
        <v>0</v>
      </c>
      <c r="U3962" s="22">
        <f t="shared" ref="U3962:U4023" si="248">T3962*J3962</f>
        <v>0</v>
      </c>
      <c r="V3962">
        <f t="shared" ref="V3962:V4023" si="249">IF(OR(B3962="MAL ALIMI", B3962="ÜRETİM GİRİŞ"), I3962 * J3962, 0)</f>
        <v>390</v>
      </c>
      <c r="W3962" s="22">
        <f t="shared" ref="W3962:W4023" si="250">V3962-U3962</f>
        <v>390</v>
      </c>
    </row>
    <row r="3963" spans="1:23" hidden="1" x14ac:dyDescent="0.25">
      <c r="A3963" s="3">
        <v>46062</v>
      </c>
      <c r="B3963" s="4" t="s">
        <v>298</v>
      </c>
      <c r="C3963" s="4" t="s">
        <v>587</v>
      </c>
      <c r="D3963" s="4"/>
      <c r="E3963" s="4" t="s">
        <v>350</v>
      </c>
      <c r="F3963" s="4">
        <v>997832</v>
      </c>
      <c r="G3963" s="4" t="s">
        <v>350</v>
      </c>
      <c r="H3963" s="4" t="s">
        <v>304</v>
      </c>
      <c r="I3963" s="4">
        <v>19.350000000000001</v>
      </c>
      <c r="J3963" s="21">
        <v>74.94</v>
      </c>
      <c r="K3963" s="21">
        <v>0</v>
      </c>
      <c r="L3963" s="5">
        <v>1450.0890000000002</v>
      </c>
      <c r="M3963" s="4"/>
      <c r="N3963" s="4"/>
      <c r="O3963" s="5"/>
      <c r="P3963" s="5"/>
      <c r="Q3963" s="21">
        <v>0</v>
      </c>
      <c r="R3963" s="21">
        <v>0</v>
      </c>
      <c r="S3963" s="5">
        <f t="shared" si="247"/>
        <v>62429.638997470865</v>
      </c>
      <c r="T3963" cm="1">
        <f t="array" ref="T3963">IF(OR(B3963="MAL ALIMI", B3963="ÜRETİM GİRİŞ"), MIN(I3963, MAX(0, I3963 + SUM(SUMIFS($I$1:I3962, $C$1:C3962, C3963, $B$1:B3962, {"MAL ALIMI","ÜRETİM GİRİŞ"})) - VLOOKUP(C3963, 'STOK RAPORU'!$C$2:$I$1000, 4, 0))), 0)</f>
        <v>0</v>
      </c>
      <c r="U3963" s="22">
        <f t="shared" si="248"/>
        <v>0</v>
      </c>
      <c r="V3963">
        <f t="shared" si="249"/>
        <v>1450.0890000000002</v>
      </c>
      <c r="W3963" s="22">
        <f t="shared" si="250"/>
        <v>1450.0890000000002</v>
      </c>
    </row>
    <row r="3964" spans="1:23" hidden="1" x14ac:dyDescent="0.25">
      <c r="A3964" s="3">
        <v>46062</v>
      </c>
      <c r="B3964" s="4" t="s">
        <v>298</v>
      </c>
      <c r="C3964" s="4" t="s">
        <v>586</v>
      </c>
      <c r="D3964" s="4"/>
      <c r="E3964" s="4" t="s">
        <v>350</v>
      </c>
      <c r="F3964" s="4">
        <v>997832</v>
      </c>
      <c r="G3964" s="4" t="s">
        <v>350</v>
      </c>
      <c r="H3964" s="4" t="s">
        <v>304</v>
      </c>
      <c r="I3964" s="4">
        <v>19.350000000000001</v>
      </c>
      <c r="J3964" s="21">
        <v>95.61</v>
      </c>
      <c r="K3964" s="21">
        <v>0</v>
      </c>
      <c r="L3964" s="5">
        <v>1850.0535000000002</v>
      </c>
      <c r="M3964" s="4"/>
      <c r="N3964" s="4"/>
      <c r="O3964" s="5"/>
      <c r="P3964" s="5"/>
      <c r="Q3964" s="21">
        <v>0</v>
      </c>
      <c r="R3964" s="21">
        <v>0</v>
      </c>
      <c r="S3964" s="5">
        <f t="shared" si="247"/>
        <v>62429.638997470865</v>
      </c>
      <c r="T3964" cm="1">
        <f t="array" ref="T3964">IF(OR(B3964="MAL ALIMI", B3964="ÜRETİM GİRİŞ"), MIN(I3964, MAX(0, I3964 + SUM(SUMIFS($I$1:I3963, $C$1:C3963, C3964, $B$1:B3963, {"MAL ALIMI","ÜRETİM GİRİŞ"})) - VLOOKUP(C3964, 'STOK RAPORU'!$C$2:$I$1000, 4, 0))), 0)</f>
        <v>0</v>
      </c>
      <c r="U3964" s="22">
        <f t="shared" si="248"/>
        <v>0</v>
      </c>
      <c r="V3964">
        <f t="shared" si="249"/>
        <v>1850.0535000000002</v>
      </c>
      <c r="W3964" s="22">
        <f t="shared" si="250"/>
        <v>1850.0535000000002</v>
      </c>
    </row>
    <row r="3965" spans="1:23" hidden="1" x14ac:dyDescent="0.25">
      <c r="A3965" s="3">
        <v>46062</v>
      </c>
      <c r="B3965" s="4" t="s">
        <v>298</v>
      </c>
      <c r="C3965" s="4" t="s">
        <v>223</v>
      </c>
      <c r="D3965" s="4"/>
      <c r="E3965" s="4" t="s">
        <v>350</v>
      </c>
      <c r="F3965" s="4">
        <v>997832</v>
      </c>
      <c r="G3965" s="4" t="s">
        <v>350</v>
      </c>
      <c r="H3965" s="4" t="s">
        <v>304</v>
      </c>
      <c r="I3965" s="4">
        <v>5</v>
      </c>
      <c r="J3965" s="21">
        <v>600</v>
      </c>
      <c r="K3965" s="21">
        <v>0</v>
      </c>
      <c r="L3965" s="5">
        <v>3000</v>
      </c>
      <c r="M3965" s="4"/>
      <c r="N3965" s="4"/>
      <c r="O3965" s="5"/>
      <c r="P3965" s="5"/>
      <c r="Q3965" s="21">
        <v>0</v>
      </c>
      <c r="R3965" s="21">
        <v>0</v>
      </c>
      <c r="S3965" s="5">
        <f t="shared" si="247"/>
        <v>62429.638997470865</v>
      </c>
      <c r="T3965" cm="1">
        <f t="array" ref="T3965">IF(OR(B3965="MAL ALIMI", B3965="ÜRETİM GİRİŞ"), MIN(I3965, MAX(0, I3965 + SUM(SUMIFS($I$1:I3964, $C$1:C3964, C3965, $B$1:B3964, {"MAL ALIMI","ÜRETİM GİRİŞ"})) - VLOOKUP(C3965, 'STOK RAPORU'!$C$2:$I$1000, 4, 0))), 0)</f>
        <v>0</v>
      </c>
      <c r="U3965" s="22">
        <f t="shared" si="248"/>
        <v>0</v>
      </c>
      <c r="V3965">
        <f t="shared" si="249"/>
        <v>3000</v>
      </c>
      <c r="W3965" s="22">
        <f t="shared" si="250"/>
        <v>3000</v>
      </c>
    </row>
    <row r="3966" spans="1:23" hidden="1" x14ac:dyDescent="0.25">
      <c r="A3966" s="3">
        <v>46062</v>
      </c>
      <c r="B3966" s="4" t="s">
        <v>298</v>
      </c>
      <c r="C3966" s="4" t="s">
        <v>458</v>
      </c>
      <c r="D3966" s="4"/>
      <c r="E3966" s="4" t="s">
        <v>350</v>
      </c>
      <c r="F3966" s="4">
        <v>997832</v>
      </c>
      <c r="G3966" s="4" t="s">
        <v>350</v>
      </c>
      <c r="H3966" s="4" t="s">
        <v>304</v>
      </c>
      <c r="I3966" s="4">
        <v>10</v>
      </c>
      <c r="J3966" s="21">
        <v>30</v>
      </c>
      <c r="K3966" s="21">
        <v>0</v>
      </c>
      <c r="L3966" s="5">
        <v>300</v>
      </c>
      <c r="M3966" s="4"/>
      <c r="N3966" s="4"/>
      <c r="O3966" s="5"/>
      <c r="P3966" s="5"/>
      <c r="Q3966" s="21">
        <v>0</v>
      </c>
      <c r="R3966" s="21">
        <v>0</v>
      </c>
      <c r="S3966" s="5">
        <f t="shared" si="247"/>
        <v>62429.638997470865</v>
      </c>
      <c r="T3966" cm="1">
        <f t="array" ref="T3966">IF(OR(B3966="MAL ALIMI", B3966="ÜRETİM GİRİŞ"), MIN(I3966, MAX(0, I3966 + SUM(SUMIFS($I$1:I3965, $C$1:C3965, C3966, $B$1:B3965, {"MAL ALIMI","ÜRETİM GİRİŞ"})) - VLOOKUP(C3966, 'STOK RAPORU'!$C$2:$I$1000, 4, 0))), 0)</f>
        <v>7.5</v>
      </c>
      <c r="U3966" s="22">
        <f t="shared" si="248"/>
        <v>225</v>
      </c>
      <c r="V3966">
        <f t="shared" si="249"/>
        <v>300</v>
      </c>
      <c r="W3966" s="22">
        <f t="shared" si="250"/>
        <v>75</v>
      </c>
    </row>
    <row r="3967" spans="1:23" hidden="1" x14ac:dyDescent="0.25">
      <c r="A3967" s="3">
        <v>46062</v>
      </c>
      <c r="B3967" s="4" t="s">
        <v>298</v>
      </c>
      <c r="C3967" s="4" t="s">
        <v>2117</v>
      </c>
      <c r="D3967" s="4"/>
      <c r="E3967" s="4" t="s">
        <v>350</v>
      </c>
      <c r="F3967" s="4">
        <v>997832</v>
      </c>
      <c r="G3967" s="4" t="s">
        <v>350</v>
      </c>
      <c r="H3967" s="4" t="s">
        <v>304</v>
      </c>
      <c r="I3967" s="4">
        <v>20</v>
      </c>
      <c r="J3967" s="21">
        <v>16.5</v>
      </c>
      <c r="K3967" s="21">
        <v>0</v>
      </c>
      <c r="L3967" s="5">
        <v>330</v>
      </c>
      <c r="M3967" s="4"/>
      <c r="N3967" s="4"/>
      <c r="O3967" s="5"/>
      <c r="P3967" s="5"/>
      <c r="Q3967" s="21">
        <v>0</v>
      </c>
      <c r="R3967" s="21">
        <v>0</v>
      </c>
      <c r="S3967" s="5">
        <f t="shared" si="247"/>
        <v>62429.638997470865</v>
      </c>
      <c r="T3967" cm="1">
        <f t="array" ref="T3967">IF(OR(B3967="MAL ALIMI", B3967="ÜRETİM GİRİŞ"), MIN(I3967, MAX(0, I3967 + SUM(SUMIFS($I$1:I3966, $C$1:C3966, C3967, $B$1:B3966, {"MAL ALIMI","ÜRETİM GİRİŞ"})) - VLOOKUP(C3967, 'STOK RAPORU'!$C$2:$I$1000, 4, 0))), 0)</f>
        <v>0</v>
      </c>
      <c r="U3967" s="22">
        <f t="shared" si="248"/>
        <v>0</v>
      </c>
      <c r="V3967">
        <f t="shared" si="249"/>
        <v>330</v>
      </c>
      <c r="W3967" s="22">
        <f t="shared" si="250"/>
        <v>330</v>
      </c>
    </row>
    <row r="3968" spans="1:23" hidden="1" x14ac:dyDescent="0.25">
      <c r="A3968" s="3">
        <v>46062</v>
      </c>
      <c r="B3968" s="4" t="s">
        <v>298</v>
      </c>
      <c r="C3968" s="4" t="s">
        <v>2118</v>
      </c>
      <c r="D3968" s="4"/>
      <c r="E3968" s="4" t="s">
        <v>350</v>
      </c>
      <c r="F3968" s="4">
        <v>997832</v>
      </c>
      <c r="G3968" s="4" t="s">
        <v>350</v>
      </c>
      <c r="H3968" s="4" t="s">
        <v>304</v>
      </c>
      <c r="I3968" s="4">
        <v>6</v>
      </c>
      <c r="J3968" s="21">
        <v>95</v>
      </c>
      <c r="K3968" s="21">
        <v>0</v>
      </c>
      <c r="L3968" s="5">
        <v>570</v>
      </c>
      <c r="M3968" s="4"/>
      <c r="N3968" s="4"/>
      <c r="O3968" s="5"/>
      <c r="P3968" s="5"/>
      <c r="Q3968" s="21">
        <v>0</v>
      </c>
      <c r="R3968" s="21">
        <v>0</v>
      </c>
      <c r="S3968" s="5">
        <f t="shared" si="247"/>
        <v>62429.638997470865</v>
      </c>
      <c r="T3968" cm="1">
        <f t="array" ref="T3968">IF(OR(B3968="MAL ALIMI", B3968="ÜRETİM GİRİŞ"), MIN(I3968, MAX(0, I3968 + SUM(SUMIFS($I$1:I3967, $C$1:C3967, C3968, $B$1:B3967, {"MAL ALIMI","ÜRETİM GİRİŞ"})) - VLOOKUP(C3968, 'STOK RAPORU'!$C$2:$I$1000, 4, 0))), 0)</f>
        <v>5</v>
      </c>
      <c r="U3968" s="22">
        <f t="shared" si="248"/>
        <v>475</v>
      </c>
      <c r="V3968">
        <f t="shared" si="249"/>
        <v>570</v>
      </c>
      <c r="W3968" s="22">
        <f t="shared" si="250"/>
        <v>95</v>
      </c>
    </row>
    <row r="3969" spans="1:23" hidden="1" x14ac:dyDescent="0.25">
      <c r="A3969" s="3">
        <v>46062</v>
      </c>
      <c r="B3969" s="4" t="s">
        <v>298</v>
      </c>
      <c r="C3969" s="4" t="s">
        <v>226</v>
      </c>
      <c r="D3969" s="4"/>
      <c r="E3969" s="4" t="s">
        <v>350</v>
      </c>
      <c r="F3969" s="4">
        <v>997832</v>
      </c>
      <c r="G3969" s="4" t="s">
        <v>350</v>
      </c>
      <c r="H3969" s="4" t="s">
        <v>304</v>
      </c>
      <c r="I3969" s="4">
        <v>3</v>
      </c>
      <c r="J3969" s="21">
        <v>145</v>
      </c>
      <c r="K3969" s="21">
        <v>0</v>
      </c>
      <c r="L3969" s="5">
        <v>435</v>
      </c>
      <c r="M3969" s="4"/>
      <c r="N3969" s="4"/>
      <c r="O3969" s="5"/>
      <c r="P3969" s="5"/>
      <c r="Q3969" s="21">
        <v>0</v>
      </c>
      <c r="R3969" s="21">
        <v>0</v>
      </c>
      <c r="S3969" s="5">
        <f t="shared" si="247"/>
        <v>62429.638997470865</v>
      </c>
      <c r="T3969" cm="1">
        <f t="array" ref="T3969">IF(OR(B3969="MAL ALIMI", B3969="ÜRETİM GİRİŞ"), MIN(I3969, MAX(0, I3969 + SUM(SUMIFS($I$1:I3968, $C$1:C3968, C3969, $B$1:B3968, {"MAL ALIMI","ÜRETİM GİRİŞ"})) - VLOOKUP(C3969, 'STOK RAPORU'!$C$2:$I$1000, 4, 0))), 0)</f>
        <v>0</v>
      </c>
      <c r="U3969" s="22">
        <f t="shared" si="248"/>
        <v>0</v>
      </c>
      <c r="V3969">
        <f t="shared" si="249"/>
        <v>435</v>
      </c>
      <c r="W3969" s="22">
        <f t="shared" si="250"/>
        <v>435</v>
      </c>
    </row>
    <row r="3970" spans="1:23" hidden="1" x14ac:dyDescent="0.25">
      <c r="A3970" s="3">
        <v>46062</v>
      </c>
      <c r="B3970" s="4" t="s">
        <v>298</v>
      </c>
      <c r="C3970" s="4" t="s">
        <v>1896</v>
      </c>
      <c r="D3970" s="4"/>
      <c r="E3970" s="4" t="s">
        <v>350</v>
      </c>
      <c r="F3970" s="4">
        <v>997832</v>
      </c>
      <c r="G3970" s="4" t="s">
        <v>350</v>
      </c>
      <c r="H3970" s="4" t="s">
        <v>304</v>
      </c>
      <c r="I3970" s="4">
        <v>3</v>
      </c>
      <c r="J3970" s="21">
        <v>120</v>
      </c>
      <c r="K3970" s="21">
        <v>0</v>
      </c>
      <c r="L3970" s="5">
        <v>360</v>
      </c>
      <c r="M3970" s="4"/>
      <c r="N3970" s="4"/>
      <c r="O3970" s="5"/>
      <c r="P3970" s="5"/>
      <c r="Q3970" s="21">
        <v>0</v>
      </c>
      <c r="R3970" s="21">
        <v>0</v>
      </c>
      <c r="S3970" s="5">
        <f t="shared" si="247"/>
        <v>62429.638997470865</v>
      </c>
      <c r="T3970" cm="1">
        <f t="array" ref="T3970">IF(OR(B3970="MAL ALIMI", B3970="ÜRETİM GİRİŞ"), MIN(I3970, MAX(0, I3970 + SUM(SUMIFS($I$1:I3969, $C$1:C3969, C3970, $B$1:B3969, {"MAL ALIMI","ÜRETİM GİRİŞ"})) - VLOOKUP(C3970, 'STOK RAPORU'!$C$2:$I$1000, 4, 0))), 0)</f>
        <v>1.6224999999999996</v>
      </c>
      <c r="U3970" s="22">
        <f t="shared" si="248"/>
        <v>194.69999999999996</v>
      </c>
      <c r="V3970">
        <f t="shared" si="249"/>
        <v>360</v>
      </c>
      <c r="W3970" s="22">
        <f t="shared" si="250"/>
        <v>165.30000000000004</v>
      </c>
    </row>
    <row r="3971" spans="1:23" hidden="1" x14ac:dyDescent="0.25">
      <c r="A3971" s="3">
        <v>46062</v>
      </c>
      <c r="B3971" s="4" t="s">
        <v>298</v>
      </c>
      <c r="C3971" s="4" t="s">
        <v>1023</v>
      </c>
      <c r="D3971" s="4"/>
      <c r="E3971" s="4" t="s">
        <v>350</v>
      </c>
      <c r="F3971" s="4">
        <v>997832</v>
      </c>
      <c r="G3971" s="4" t="s">
        <v>350</v>
      </c>
      <c r="H3971" s="4" t="s">
        <v>304</v>
      </c>
      <c r="I3971" s="4">
        <v>15</v>
      </c>
      <c r="J3971" s="21">
        <v>39</v>
      </c>
      <c r="K3971" s="21">
        <v>0</v>
      </c>
      <c r="L3971" s="5">
        <v>585</v>
      </c>
      <c r="M3971" s="4"/>
      <c r="N3971" s="4"/>
      <c r="O3971" s="5"/>
      <c r="P3971" s="5"/>
      <c r="Q3971" s="21">
        <v>0</v>
      </c>
      <c r="R3971" s="21">
        <v>0</v>
      </c>
      <c r="S3971" s="5">
        <f t="shared" si="247"/>
        <v>62429.638997470865</v>
      </c>
      <c r="T3971" cm="1">
        <f t="array" ref="T3971">IF(OR(B3971="MAL ALIMI", B3971="ÜRETİM GİRİŞ"), MIN(I3971, MAX(0, I3971 + SUM(SUMIFS($I$1:I3970, $C$1:C3970, C3971, $B$1:B3970, {"MAL ALIMI","ÜRETİM GİRİŞ"})) - VLOOKUP(C3971, 'STOK RAPORU'!$C$2:$I$1000, 4, 0))), 0)</f>
        <v>0</v>
      </c>
      <c r="U3971" s="22">
        <f t="shared" si="248"/>
        <v>0</v>
      </c>
      <c r="V3971">
        <f t="shared" si="249"/>
        <v>585</v>
      </c>
      <c r="W3971" s="22">
        <f t="shared" si="250"/>
        <v>585</v>
      </c>
    </row>
    <row r="3972" spans="1:23" hidden="1" x14ac:dyDescent="0.25">
      <c r="A3972" s="3">
        <v>46062</v>
      </c>
      <c r="B3972" s="4" t="s">
        <v>298</v>
      </c>
      <c r="C3972" s="4" t="s">
        <v>1024</v>
      </c>
      <c r="D3972" s="4"/>
      <c r="E3972" s="4" t="s">
        <v>350</v>
      </c>
      <c r="F3972" s="4">
        <v>997832</v>
      </c>
      <c r="G3972" s="4" t="s">
        <v>350</v>
      </c>
      <c r="H3972" s="4" t="s">
        <v>304</v>
      </c>
      <c r="I3972" s="4">
        <v>10</v>
      </c>
      <c r="J3972" s="21">
        <v>39</v>
      </c>
      <c r="K3972" s="21">
        <v>0</v>
      </c>
      <c r="L3972" s="5">
        <v>390</v>
      </c>
      <c r="M3972" s="4"/>
      <c r="N3972" s="4"/>
      <c r="O3972" s="5"/>
      <c r="P3972" s="5"/>
      <c r="Q3972" s="21">
        <v>0</v>
      </c>
      <c r="R3972" s="21">
        <v>0</v>
      </c>
      <c r="S3972" s="5">
        <f t="shared" ref="S3972:S4035" si="251">S3971+Q3972-R3972</f>
        <v>62429.638997470865</v>
      </c>
      <c r="T3972" cm="1">
        <f t="array" ref="T3972">IF(OR(B3972="MAL ALIMI", B3972="ÜRETİM GİRİŞ"), MIN(I3972, MAX(0, I3972 + SUM(SUMIFS($I$1:I3971, $C$1:C3971, C3972, $B$1:B3971, {"MAL ALIMI","ÜRETİM GİRİŞ"})) - VLOOKUP(C3972, 'STOK RAPORU'!$C$2:$I$1000, 4, 0))), 0)</f>
        <v>0</v>
      </c>
      <c r="U3972" s="22">
        <f t="shared" si="248"/>
        <v>0</v>
      </c>
      <c r="V3972">
        <f t="shared" si="249"/>
        <v>390</v>
      </c>
      <c r="W3972" s="22">
        <f t="shared" si="250"/>
        <v>390</v>
      </c>
    </row>
    <row r="3973" spans="1:23" hidden="1" x14ac:dyDescent="0.25">
      <c r="A3973" s="3">
        <v>46062</v>
      </c>
      <c r="B3973" s="4" t="s">
        <v>298</v>
      </c>
      <c r="C3973" s="4" t="s">
        <v>2119</v>
      </c>
      <c r="D3973" s="4"/>
      <c r="E3973" s="4" t="s">
        <v>350</v>
      </c>
      <c r="F3973" s="4">
        <v>997832</v>
      </c>
      <c r="G3973" s="4" t="s">
        <v>350</v>
      </c>
      <c r="H3973" s="4" t="s">
        <v>304</v>
      </c>
      <c r="I3973" s="4">
        <v>3</v>
      </c>
      <c r="J3973" s="21">
        <v>130</v>
      </c>
      <c r="K3973" s="21">
        <v>0</v>
      </c>
      <c r="L3973" s="5">
        <v>390</v>
      </c>
      <c r="M3973" s="4"/>
      <c r="N3973" s="4"/>
      <c r="O3973" s="5"/>
      <c r="P3973" s="5"/>
      <c r="Q3973" s="21">
        <v>0</v>
      </c>
      <c r="R3973" s="21">
        <v>0</v>
      </c>
      <c r="S3973" s="5">
        <f t="shared" si="251"/>
        <v>62429.638997470865</v>
      </c>
      <c r="T3973" cm="1">
        <f t="array" ref="T3973">IF(OR(B3973="MAL ALIMI", B3973="ÜRETİM GİRİŞ"), MIN(I3973, MAX(0, I3973 + SUM(SUMIFS($I$1:I3972, $C$1:C3972, C3973, $B$1:B3972, {"MAL ALIMI","ÜRETİM GİRİŞ"})) - VLOOKUP(C3973, 'STOK RAPORU'!$C$2:$I$1000, 4, 0))), 0)</f>
        <v>3</v>
      </c>
      <c r="U3973" s="22">
        <f t="shared" si="248"/>
        <v>390</v>
      </c>
      <c r="V3973">
        <f t="shared" si="249"/>
        <v>390</v>
      </c>
      <c r="W3973" s="22">
        <f t="shared" si="250"/>
        <v>0</v>
      </c>
    </row>
    <row r="3974" spans="1:23" hidden="1" x14ac:dyDescent="0.25">
      <c r="A3974" s="3">
        <v>46062</v>
      </c>
      <c r="B3974" s="4" t="s">
        <v>298</v>
      </c>
      <c r="C3974" s="4" t="s">
        <v>468</v>
      </c>
      <c r="D3974" s="4"/>
      <c r="E3974" s="4" t="s">
        <v>350</v>
      </c>
      <c r="F3974" s="4">
        <v>997832</v>
      </c>
      <c r="G3974" s="4" t="s">
        <v>350</v>
      </c>
      <c r="H3974" s="4" t="s">
        <v>304</v>
      </c>
      <c r="I3974" s="4">
        <v>16</v>
      </c>
      <c r="J3974" s="21">
        <v>21.4375</v>
      </c>
      <c r="K3974" s="21">
        <v>0</v>
      </c>
      <c r="L3974" s="5">
        <v>343</v>
      </c>
      <c r="M3974" s="4"/>
      <c r="N3974" s="4"/>
      <c r="O3974" s="5"/>
      <c r="P3974" s="5"/>
      <c r="Q3974" s="21">
        <v>0</v>
      </c>
      <c r="R3974" s="21">
        <v>0</v>
      </c>
      <c r="S3974" s="5">
        <f t="shared" si="251"/>
        <v>62429.638997470865</v>
      </c>
      <c r="T3974" cm="1">
        <f t="array" ref="T3974">IF(OR(B3974="MAL ALIMI", B3974="ÜRETİM GİRİŞ"), MIN(I3974, MAX(0, I3974 + SUM(SUMIFS($I$1:I3973, $C$1:C3973, C3974, $B$1:B3973, {"MAL ALIMI","ÜRETİM GİRİŞ"})) - VLOOKUP(C3974, 'STOK RAPORU'!$C$2:$I$1000, 4, 0))), 0)</f>
        <v>6</v>
      </c>
      <c r="U3974" s="22">
        <f t="shared" si="248"/>
        <v>128.625</v>
      </c>
      <c r="V3974">
        <f t="shared" si="249"/>
        <v>343</v>
      </c>
      <c r="W3974" s="22">
        <f t="shared" si="250"/>
        <v>214.375</v>
      </c>
    </row>
    <row r="3975" spans="1:23" hidden="1" x14ac:dyDescent="0.25">
      <c r="A3975" s="3">
        <v>46062</v>
      </c>
      <c r="B3975" s="46" t="s">
        <v>334</v>
      </c>
      <c r="C3975" s="4" t="s">
        <v>91</v>
      </c>
      <c r="D3975" s="4"/>
      <c r="E3975" s="4" t="s">
        <v>921</v>
      </c>
      <c r="F3975" s="46" t="s">
        <v>2023</v>
      </c>
      <c r="G3975" s="4" t="s">
        <v>336</v>
      </c>
      <c r="H3975" s="4" t="s">
        <v>380</v>
      </c>
      <c r="I3975" s="4">
        <v>0.04</v>
      </c>
      <c r="J3975" s="21">
        <v>750</v>
      </c>
      <c r="K3975" s="21">
        <v>30</v>
      </c>
      <c r="L3975" s="5">
        <v>0</v>
      </c>
      <c r="M3975" s="4"/>
      <c r="N3975" s="4"/>
      <c r="O3975" s="5"/>
      <c r="P3975" s="5"/>
      <c r="Q3975" s="21">
        <v>0</v>
      </c>
      <c r="R3975" s="21">
        <v>0</v>
      </c>
      <c r="S3975" s="5">
        <f t="shared" si="251"/>
        <v>62429.638997470865</v>
      </c>
      <c r="T3975" cm="1">
        <f t="array" ref="T3975">IF(OR(B3975="MAL ALIMI", B3975="ÜRETİM GİRİŞ"), MIN(I3975, MAX(0, I3975 + SUM(SUMIFS($I$1:I3974, $C$1:C3974, C3975, $B$1:B3974, {"MAL ALIMI","ÜRETİM GİRİŞ"})) - VLOOKUP(C3975, 'STOK RAPORU'!$C$2:$I$1000, 4, 0))), 0)</f>
        <v>0</v>
      </c>
      <c r="U3975" s="22">
        <f t="shared" si="248"/>
        <v>0</v>
      </c>
      <c r="V3975">
        <f t="shared" si="249"/>
        <v>0</v>
      </c>
      <c r="W3975" s="22">
        <f t="shared" si="250"/>
        <v>0</v>
      </c>
    </row>
    <row r="3976" spans="1:23" hidden="1" x14ac:dyDescent="0.25">
      <c r="A3976" s="3">
        <v>46062</v>
      </c>
      <c r="B3976" s="46" t="s">
        <v>334</v>
      </c>
      <c r="C3976" s="4" t="s">
        <v>132</v>
      </c>
      <c r="D3976" s="4"/>
      <c r="E3976" s="4" t="s">
        <v>921</v>
      </c>
      <c r="F3976" s="46" t="s">
        <v>2023</v>
      </c>
      <c r="G3976" s="4" t="s">
        <v>336</v>
      </c>
      <c r="H3976" s="4" t="s">
        <v>380</v>
      </c>
      <c r="I3976" s="4">
        <v>0.2</v>
      </c>
      <c r="J3976" s="21">
        <v>500</v>
      </c>
      <c r="K3976" s="21">
        <v>100</v>
      </c>
      <c r="L3976" s="5">
        <v>0</v>
      </c>
      <c r="M3976" s="4"/>
      <c r="N3976" s="4"/>
      <c r="O3976" s="5"/>
      <c r="P3976" s="5"/>
      <c r="Q3976" s="21">
        <v>0</v>
      </c>
      <c r="R3976" s="21">
        <v>0</v>
      </c>
      <c r="S3976" s="5">
        <f t="shared" si="251"/>
        <v>62429.638997470865</v>
      </c>
      <c r="T3976" cm="1">
        <f t="array" ref="T3976">IF(OR(B3976="MAL ALIMI", B3976="ÜRETİM GİRİŞ"), MIN(I3976, MAX(0, I3976 + SUM(SUMIFS($I$1:I3975, $C$1:C3975, C3976, $B$1:B3975, {"MAL ALIMI","ÜRETİM GİRİŞ"})) - VLOOKUP(C3976, 'STOK RAPORU'!$C$2:$I$1000, 4, 0))), 0)</f>
        <v>0</v>
      </c>
      <c r="U3976" s="22">
        <f t="shared" si="248"/>
        <v>0</v>
      </c>
      <c r="V3976">
        <f t="shared" si="249"/>
        <v>0</v>
      </c>
      <c r="W3976" s="22">
        <f t="shared" si="250"/>
        <v>0</v>
      </c>
    </row>
    <row r="3977" spans="1:23" hidden="1" x14ac:dyDescent="0.25">
      <c r="A3977" s="3">
        <v>46062</v>
      </c>
      <c r="B3977" s="46" t="s">
        <v>334</v>
      </c>
      <c r="C3977" s="4" t="s">
        <v>591</v>
      </c>
      <c r="D3977" s="4"/>
      <c r="E3977" s="4" t="s">
        <v>921</v>
      </c>
      <c r="F3977" s="46" t="s">
        <v>2024</v>
      </c>
      <c r="G3977" s="4" t="s">
        <v>336</v>
      </c>
      <c r="H3977" s="4" t="s">
        <v>380</v>
      </c>
      <c r="I3977" s="4">
        <v>3</v>
      </c>
      <c r="J3977" s="21">
        <v>350</v>
      </c>
      <c r="K3977" s="21">
        <v>1050</v>
      </c>
      <c r="L3977" s="5">
        <v>0</v>
      </c>
      <c r="M3977" s="4"/>
      <c r="N3977" s="4"/>
      <c r="O3977" s="5"/>
      <c r="P3977" s="5"/>
      <c r="Q3977" s="21">
        <v>0</v>
      </c>
      <c r="R3977" s="21">
        <v>0</v>
      </c>
      <c r="S3977" s="5">
        <f t="shared" si="251"/>
        <v>62429.638997470865</v>
      </c>
      <c r="T3977" cm="1">
        <f t="array" ref="T3977">IF(OR(B3977="MAL ALIMI", B3977="ÜRETİM GİRİŞ"), MIN(I3977, MAX(0, I3977 + SUM(SUMIFS($I$1:I3976, $C$1:C3976, C3977, $B$1:B3976, {"MAL ALIMI","ÜRETİM GİRİŞ"})) - VLOOKUP(C3977, 'STOK RAPORU'!$C$2:$I$1000, 4, 0))), 0)</f>
        <v>0</v>
      </c>
      <c r="U3977" s="22">
        <f t="shared" si="248"/>
        <v>0</v>
      </c>
      <c r="V3977">
        <f t="shared" si="249"/>
        <v>0</v>
      </c>
      <c r="W3977" s="22">
        <f t="shared" si="250"/>
        <v>0</v>
      </c>
    </row>
    <row r="3978" spans="1:23" hidden="1" x14ac:dyDescent="0.25">
      <c r="A3978" s="3">
        <v>46062</v>
      </c>
      <c r="B3978" s="46" t="s">
        <v>334</v>
      </c>
      <c r="C3978" s="4" t="s">
        <v>160</v>
      </c>
      <c r="D3978" s="4"/>
      <c r="E3978" s="4" t="s">
        <v>921</v>
      </c>
      <c r="F3978" s="46" t="s">
        <v>2025</v>
      </c>
      <c r="G3978" s="4" t="s">
        <v>336</v>
      </c>
      <c r="H3978" s="4" t="s">
        <v>380</v>
      </c>
      <c r="I3978" s="4">
        <v>1</v>
      </c>
      <c r="J3978" s="21">
        <v>250</v>
      </c>
      <c r="K3978" s="21">
        <v>250</v>
      </c>
      <c r="L3978" s="5">
        <v>0</v>
      </c>
      <c r="M3978" s="4"/>
      <c r="N3978" s="4"/>
      <c r="O3978" s="5"/>
      <c r="P3978" s="5"/>
      <c r="Q3978" s="21">
        <v>0</v>
      </c>
      <c r="R3978" s="21">
        <v>0</v>
      </c>
      <c r="S3978" s="5">
        <f t="shared" si="251"/>
        <v>62429.638997470865</v>
      </c>
      <c r="T3978" cm="1">
        <f t="array" ref="T3978">IF(OR(B3978="MAL ALIMI", B3978="ÜRETİM GİRİŞ"), MIN(I3978, MAX(0, I3978 + SUM(SUMIFS($I$1:I3977, $C$1:C3977, C3978, $B$1:B3977, {"MAL ALIMI","ÜRETİM GİRİŞ"})) - VLOOKUP(C3978, 'STOK RAPORU'!$C$2:$I$1000, 4, 0))), 0)</f>
        <v>0</v>
      </c>
      <c r="U3978" s="22">
        <f t="shared" si="248"/>
        <v>0</v>
      </c>
      <c r="V3978">
        <f t="shared" si="249"/>
        <v>0</v>
      </c>
      <c r="W3978" s="22">
        <f t="shared" si="250"/>
        <v>0</v>
      </c>
    </row>
    <row r="3979" spans="1:23" hidden="1" x14ac:dyDescent="0.25">
      <c r="A3979" s="3">
        <v>46062</v>
      </c>
      <c r="B3979" s="46" t="s">
        <v>334</v>
      </c>
      <c r="C3979" s="4" t="s">
        <v>161</v>
      </c>
      <c r="D3979" s="4"/>
      <c r="E3979" s="4" t="s">
        <v>921</v>
      </c>
      <c r="F3979" s="46" t="s">
        <v>2025</v>
      </c>
      <c r="G3979" s="4" t="s">
        <v>336</v>
      </c>
      <c r="H3979" s="4" t="s">
        <v>380</v>
      </c>
      <c r="I3979" s="4">
        <v>1</v>
      </c>
      <c r="J3979" s="21">
        <v>230</v>
      </c>
      <c r="K3979" s="21">
        <v>230</v>
      </c>
      <c r="L3979" s="5">
        <v>0</v>
      </c>
      <c r="M3979" s="4"/>
      <c r="N3979" s="4"/>
      <c r="O3979" s="5"/>
      <c r="P3979" s="5"/>
      <c r="Q3979" s="21">
        <v>0</v>
      </c>
      <c r="R3979" s="21">
        <v>0</v>
      </c>
      <c r="S3979" s="5">
        <f t="shared" si="251"/>
        <v>62429.638997470865</v>
      </c>
      <c r="T3979" cm="1">
        <f t="array" ref="T3979">IF(OR(B3979="MAL ALIMI", B3979="ÜRETİM GİRİŞ"), MIN(I3979, MAX(0, I3979 + SUM(SUMIFS($I$1:I3978, $C$1:C3978, C3979, $B$1:B3978, {"MAL ALIMI","ÜRETİM GİRİŞ"})) - VLOOKUP(C3979, 'STOK RAPORU'!$C$2:$I$1000, 4, 0))), 0)</f>
        <v>0</v>
      </c>
      <c r="U3979" s="22">
        <f t="shared" si="248"/>
        <v>0</v>
      </c>
      <c r="V3979">
        <f t="shared" si="249"/>
        <v>0</v>
      </c>
      <c r="W3979" s="22">
        <f t="shared" si="250"/>
        <v>0</v>
      </c>
    </row>
    <row r="3980" spans="1:23" hidden="1" x14ac:dyDescent="0.25">
      <c r="A3980" s="3">
        <v>46062</v>
      </c>
      <c r="B3980" s="46" t="s">
        <v>334</v>
      </c>
      <c r="C3980" s="4" t="s">
        <v>160</v>
      </c>
      <c r="D3980" s="4"/>
      <c r="E3980" s="4" t="s">
        <v>921</v>
      </c>
      <c r="F3980" s="46" t="s">
        <v>2026</v>
      </c>
      <c r="G3980" s="4" t="s">
        <v>336</v>
      </c>
      <c r="H3980" s="4" t="s">
        <v>380</v>
      </c>
      <c r="I3980" s="4">
        <v>0.5</v>
      </c>
      <c r="J3980" s="21">
        <v>250</v>
      </c>
      <c r="K3980" s="21">
        <v>125</v>
      </c>
      <c r="L3980" s="5">
        <v>0</v>
      </c>
      <c r="M3980" s="4"/>
      <c r="N3980" s="4"/>
      <c r="O3980" s="5"/>
      <c r="P3980" s="5"/>
      <c r="Q3980" s="21">
        <v>0</v>
      </c>
      <c r="R3980" s="21">
        <v>0</v>
      </c>
      <c r="S3980" s="5">
        <f t="shared" si="251"/>
        <v>62429.638997470865</v>
      </c>
      <c r="T3980" cm="1">
        <f t="array" ref="T3980">IF(OR(B3980="MAL ALIMI", B3980="ÜRETİM GİRİŞ"), MIN(I3980, MAX(0, I3980 + SUM(SUMIFS($I$1:I3979, $C$1:C3979, C3980, $B$1:B3979, {"MAL ALIMI","ÜRETİM GİRİŞ"})) - VLOOKUP(C3980, 'STOK RAPORU'!$C$2:$I$1000, 4, 0))), 0)</f>
        <v>0</v>
      </c>
      <c r="U3980" s="22">
        <f t="shared" si="248"/>
        <v>0</v>
      </c>
      <c r="V3980">
        <f t="shared" si="249"/>
        <v>0</v>
      </c>
      <c r="W3980" s="22">
        <f t="shared" si="250"/>
        <v>0</v>
      </c>
    </row>
    <row r="3981" spans="1:23" hidden="1" x14ac:dyDescent="0.25">
      <c r="A3981" s="3">
        <v>46062</v>
      </c>
      <c r="B3981" s="46" t="s">
        <v>334</v>
      </c>
      <c r="C3981" s="4" t="s">
        <v>161</v>
      </c>
      <c r="D3981" s="4"/>
      <c r="E3981" s="4" t="s">
        <v>921</v>
      </c>
      <c r="F3981" s="46" t="s">
        <v>2026</v>
      </c>
      <c r="G3981" s="4" t="s">
        <v>336</v>
      </c>
      <c r="H3981" s="4" t="s">
        <v>380</v>
      </c>
      <c r="I3981" s="4">
        <v>0.5</v>
      </c>
      <c r="J3981" s="21">
        <v>230</v>
      </c>
      <c r="K3981" s="21">
        <v>115</v>
      </c>
      <c r="L3981" s="5">
        <v>0</v>
      </c>
      <c r="M3981" s="4"/>
      <c r="N3981" s="4"/>
      <c r="O3981" s="5"/>
      <c r="P3981" s="5"/>
      <c r="Q3981" s="21">
        <v>0</v>
      </c>
      <c r="R3981" s="21">
        <v>0</v>
      </c>
      <c r="S3981" s="5">
        <f t="shared" si="251"/>
        <v>62429.638997470865</v>
      </c>
      <c r="T3981" cm="1">
        <f t="array" ref="T3981">IF(OR(B3981="MAL ALIMI", B3981="ÜRETİM GİRİŞ"), MIN(I3981, MAX(0, I3981 + SUM(SUMIFS($I$1:I3980, $C$1:C3980, C3981, $B$1:B3980, {"MAL ALIMI","ÜRETİM GİRİŞ"})) - VLOOKUP(C3981, 'STOK RAPORU'!$C$2:$I$1000, 4, 0))), 0)</f>
        <v>0</v>
      </c>
      <c r="U3981" s="22">
        <f t="shared" si="248"/>
        <v>0</v>
      </c>
      <c r="V3981">
        <f t="shared" si="249"/>
        <v>0</v>
      </c>
      <c r="W3981" s="22">
        <f t="shared" si="250"/>
        <v>0</v>
      </c>
    </row>
    <row r="3982" spans="1:23" hidden="1" x14ac:dyDescent="0.25">
      <c r="A3982" s="3">
        <v>46062</v>
      </c>
      <c r="B3982" s="46" t="s">
        <v>334</v>
      </c>
      <c r="C3982" s="4" t="s">
        <v>140</v>
      </c>
      <c r="D3982" s="4"/>
      <c r="E3982" s="4"/>
      <c r="F3982" s="46" t="s">
        <v>2027</v>
      </c>
      <c r="G3982" s="4" t="s">
        <v>336</v>
      </c>
      <c r="H3982" s="4" t="s">
        <v>289</v>
      </c>
      <c r="I3982" s="4">
        <v>0.17</v>
      </c>
      <c r="J3982" s="21">
        <v>300</v>
      </c>
      <c r="K3982" s="21">
        <v>0</v>
      </c>
      <c r="L3982" s="5">
        <v>0</v>
      </c>
      <c r="M3982" s="4"/>
      <c r="N3982" s="4"/>
      <c r="O3982" s="5"/>
      <c r="P3982" s="5"/>
      <c r="Q3982" s="21">
        <v>51.000000000000007</v>
      </c>
      <c r="R3982" s="21">
        <v>0</v>
      </c>
      <c r="S3982" s="5">
        <f t="shared" si="251"/>
        <v>62480.638997470865</v>
      </c>
      <c r="T3982" cm="1">
        <f t="array" ref="T3982">IF(OR(B3982="MAL ALIMI", B3982="ÜRETİM GİRİŞ"), MIN(I3982, MAX(0, I3982 + SUM(SUMIFS($I$1:I3981, $C$1:C3981, C3982, $B$1:B3981, {"MAL ALIMI","ÜRETİM GİRİŞ"})) - VLOOKUP(C3982, 'STOK RAPORU'!$C$2:$I$1000, 4, 0))), 0)</f>
        <v>0</v>
      </c>
      <c r="U3982" s="22">
        <f t="shared" si="248"/>
        <v>0</v>
      </c>
      <c r="V3982">
        <f t="shared" si="249"/>
        <v>0</v>
      </c>
      <c r="W3982" s="22">
        <f t="shared" si="250"/>
        <v>0</v>
      </c>
    </row>
    <row r="3983" spans="1:23" hidden="1" x14ac:dyDescent="0.25">
      <c r="A3983" s="3">
        <v>46062</v>
      </c>
      <c r="B3983" s="46" t="s">
        <v>334</v>
      </c>
      <c r="C3983" s="4" t="s">
        <v>690</v>
      </c>
      <c r="D3983" s="4"/>
      <c r="E3983" s="4"/>
      <c r="F3983" s="46" t="s">
        <v>2027</v>
      </c>
      <c r="G3983" s="4" t="s">
        <v>336</v>
      </c>
      <c r="H3983" s="4" t="s">
        <v>289</v>
      </c>
      <c r="I3983" s="4">
        <v>0.36199999999999999</v>
      </c>
      <c r="J3983" s="21">
        <v>340</v>
      </c>
      <c r="K3983" s="21">
        <v>0</v>
      </c>
      <c r="L3983" s="5">
        <v>0</v>
      </c>
      <c r="M3983" s="4"/>
      <c r="N3983" s="4"/>
      <c r="O3983" s="5"/>
      <c r="P3983" s="5"/>
      <c r="Q3983" s="21">
        <v>123.08</v>
      </c>
      <c r="R3983" s="21">
        <v>0</v>
      </c>
      <c r="S3983" s="5">
        <f t="shared" si="251"/>
        <v>62603.718997470867</v>
      </c>
      <c r="T3983" cm="1">
        <f t="array" ref="T3983">IF(OR(B3983="MAL ALIMI", B3983="ÜRETİM GİRİŞ"), MIN(I3983, MAX(0, I3983 + SUM(SUMIFS($I$1:I3982, $C$1:C3982, C3983, $B$1:B3982, {"MAL ALIMI","ÜRETİM GİRİŞ"})) - VLOOKUP(C3983, 'STOK RAPORU'!$C$2:$I$1000, 4, 0))), 0)</f>
        <v>0</v>
      </c>
      <c r="U3983" s="22">
        <f t="shared" si="248"/>
        <v>0</v>
      </c>
      <c r="V3983">
        <f t="shared" si="249"/>
        <v>0</v>
      </c>
      <c r="W3983" s="22">
        <f t="shared" si="250"/>
        <v>0</v>
      </c>
    </row>
    <row r="3984" spans="1:23" hidden="1" x14ac:dyDescent="0.25">
      <c r="A3984" s="3">
        <v>46062</v>
      </c>
      <c r="B3984" s="46" t="s">
        <v>334</v>
      </c>
      <c r="C3984" s="4" t="s">
        <v>835</v>
      </c>
      <c r="D3984" s="4"/>
      <c r="E3984" s="4"/>
      <c r="F3984" s="46" t="s">
        <v>2028</v>
      </c>
      <c r="G3984" s="4" t="s">
        <v>336</v>
      </c>
      <c r="H3984" s="4" t="s">
        <v>289</v>
      </c>
      <c r="I3984" s="4">
        <v>1</v>
      </c>
      <c r="J3984" s="21">
        <v>130</v>
      </c>
      <c r="K3984" s="21">
        <v>0</v>
      </c>
      <c r="L3984" s="5">
        <v>0</v>
      </c>
      <c r="M3984" s="4"/>
      <c r="N3984" s="4"/>
      <c r="O3984" s="5"/>
      <c r="P3984" s="5"/>
      <c r="Q3984" s="21">
        <v>130</v>
      </c>
      <c r="R3984" s="21">
        <v>0</v>
      </c>
      <c r="S3984" s="5">
        <f t="shared" si="251"/>
        <v>62733.718997470867</v>
      </c>
      <c r="T3984" cm="1">
        <f t="array" ref="T3984">IF(OR(B3984="MAL ALIMI", B3984="ÜRETİM GİRİŞ"), MIN(I3984, MAX(0, I3984 + SUM(SUMIFS($I$1:I3983, $C$1:C3983, C3984, $B$1:B3983, {"MAL ALIMI","ÜRETİM GİRİŞ"})) - VLOOKUP(C3984, 'STOK RAPORU'!$C$2:$I$1000, 4, 0))), 0)</f>
        <v>0</v>
      </c>
      <c r="U3984" s="22">
        <f t="shared" si="248"/>
        <v>0</v>
      </c>
      <c r="V3984">
        <f t="shared" si="249"/>
        <v>0</v>
      </c>
      <c r="W3984" s="22">
        <f t="shared" si="250"/>
        <v>0</v>
      </c>
    </row>
    <row r="3985" spans="1:23" hidden="1" x14ac:dyDescent="0.25">
      <c r="A3985" s="3">
        <v>46062</v>
      </c>
      <c r="B3985" s="46" t="s">
        <v>334</v>
      </c>
      <c r="C3985" s="4" t="s">
        <v>241</v>
      </c>
      <c r="D3985" s="4"/>
      <c r="E3985" s="4" t="s">
        <v>921</v>
      </c>
      <c r="F3985" s="46" t="s">
        <v>2029</v>
      </c>
      <c r="G3985" s="4" t="s">
        <v>336</v>
      </c>
      <c r="H3985" s="4" t="s">
        <v>380</v>
      </c>
      <c r="I3985" s="4">
        <v>0.28000000000000003</v>
      </c>
      <c r="J3985" s="21">
        <v>430</v>
      </c>
      <c r="K3985" s="21">
        <v>120.4</v>
      </c>
      <c r="L3985" s="5">
        <v>0</v>
      </c>
      <c r="M3985" s="4"/>
      <c r="N3985" s="4"/>
      <c r="O3985" s="5"/>
      <c r="P3985" s="5"/>
      <c r="Q3985" s="21">
        <v>0</v>
      </c>
      <c r="R3985" s="21">
        <v>0</v>
      </c>
      <c r="S3985" s="5">
        <f t="shared" si="251"/>
        <v>62733.718997470867</v>
      </c>
      <c r="T3985" cm="1">
        <f t="array" ref="T3985">IF(OR(B3985="MAL ALIMI", B3985="ÜRETİM GİRİŞ"), MIN(I3985, MAX(0, I3985 + SUM(SUMIFS($I$1:I3984, $C$1:C3984, C3985, $B$1:B3984, {"MAL ALIMI","ÜRETİM GİRİŞ"})) - VLOOKUP(C3985, 'STOK RAPORU'!$C$2:$I$1000, 4, 0))), 0)</f>
        <v>0</v>
      </c>
      <c r="U3985" s="22">
        <f t="shared" si="248"/>
        <v>0</v>
      </c>
      <c r="V3985">
        <f t="shared" si="249"/>
        <v>0</v>
      </c>
      <c r="W3985" s="22">
        <f t="shared" si="250"/>
        <v>0</v>
      </c>
    </row>
    <row r="3986" spans="1:23" hidden="1" x14ac:dyDescent="0.25">
      <c r="A3986" s="3">
        <v>46062</v>
      </c>
      <c r="B3986" s="46" t="s">
        <v>334</v>
      </c>
      <c r="C3986" s="4" t="s">
        <v>131</v>
      </c>
      <c r="D3986" s="4"/>
      <c r="E3986" s="4" t="s">
        <v>921</v>
      </c>
      <c r="F3986" s="46" t="s">
        <v>2029</v>
      </c>
      <c r="G3986" s="4" t="s">
        <v>336</v>
      </c>
      <c r="H3986" s="4" t="s">
        <v>380</v>
      </c>
      <c r="I3986" s="4">
        <v>6.7500000000000004E-2</v>
      </c>
      <c r="J3986" s="21">
        <v>400</v>
      </c>
      <c r="K3986" s="21">
        <v>27</v>
      </c>
      <c r="L3986" s="5">
        <v>0</v>
      </c>
      <c r="M3986" s="4"/>
      <c r="N3986" s="4"/>
      <c r="O3986" s="5"/>
      <c r="P3986" s="5"/>
      <c r="Q3986" s="21">
        <v>0</v>
      </c>
      <c r="R3986" s="21">
        <v>0</v>
      </c>
      <c r="S3986" s="5">
        <f t="shared" si="251"/>
        <v>62733.718997470867</v>
      </c>
      <c r="T3986" cm="1">
        <f t="array" ref="T3986">IF(OR(B3986="MAL ALIMI", B3986="ÜRETİM GİRİŞ"), MIN(I3986, MAX(0, I3986 + SUM(SUMIFS($I$1:I3985, $C$1:C3985, C3986, $B$1:B3985, {"MAL ALIMI","ÜRETİM GİRİŞ"})) - VLOOKUP(C3986, 'STOK RAPORU'!$C$2:$I$1000, 4, 0))), 0)</f>
        <v>0</v>
      </c>
      <c r="U3986" s="22">
        <f t="shared" si="248"/>
        <v>0</v>
      </c>
      <c r="V3986">
        <f t="shared" si="249"/>
        <v>0</v>
      </c>
      <c r="W3986" s="22">
        <f t="shared" si="250"/>
        <v>0</v>
      </c>
    </row>
    <row r="3987" spans="1:23" hidden="1" x14ac:dyDescent="0.25">
      <c r="A3987" s="3">
        <v>46062</v>
      </c>
      <c r="B3987" s="46" t="s">
        <v>334</v>
      </c>
      <c r="C3987" s="4" t="s">
        <v>464</v>
      </c>
      <c r="D3987" s="4"/>
      <c r="E3987" s="4" t="s">
        <v>921</v>
      </c>
      <c r="F3987" s="46" t="s">
        <v>2029</v>
      </c>
      <c r="G3987" s="4" t="s">
        <v>336</v>
      </c>
      <c r="H3987" s="4" t="s">
        <v>380</v>
      </c>
      <c r="I3987" s="4">
        <v>1</v>
      </c>
      <c r="J3987" s="21">
        <v>50</v>
      </c>
      <c r="K3987" s="21">
        <v>50</v>
      </c>
      <c r="L3987" s="5">
        <v>0</v>
      </c>
      <c r="M3987" s="4"/>
      <c r="N3987" s="4"/>
      <c r="O3987" s="5"/>
      <c r="P3987" s="5"/>
      <c r="Q3987" s="21">
        <v>0</v>
      </c>
      <c r="R3987" s="21">
        <v>0</v>
      </c>
      <c r="S3987" s="5">
        <f t="shared" si="251"/>
        <v>62733.718997470867</v>
      </c>
      <c r="T3987" cm="1">
        <f t="array" ref="T3987">IF(OR(B3987="MAL ALIMI", B3987="ÜRETİM GİRİŞ"), MIN(I3987, MAX(0, I3987 + SUM(SUMIFS($I$1:I3986, $C$1:C3986, C3987, $B$1:B3986, {"MAL ALIMI","ÜRETİM GİRİŞ"})) - VLOOKUP(C3987, 'STOK RAPORU'!$C$2:$I$1000, 4, 0))), 0)</f>
        <v>0</v>
      </c>
      <c r="U3987" s="22">
        <f t="shared" si="248"/>
        <v>0</v>
      </c>
      <c r="V3987">
        <f t="shared" si="249"/>
        <v>0</v>
      </c>
      <c r="W3987" s="22">
        <f t="shared" si="250"/>
        <v>0</v>
      </c>
    </row>
    <row r="3988" spans="1:23" hidden="1" x14ac:dyDescent="0.25">
      <c r="A3988" s="3">
        <v>46062</v>
      </c>
      <c r="B3988" s="46" t="s">
        <v>334</v>
      </c>
      <c r="C3988" s="4" t="s">
        <v>690</v>
      </c>
      <c r="D3988" s="4"/>
      <c r="E3988" s="4" t="s">
        <v>921</v>
      </c>
      <c r="F3988" s="46" t="s">
        <v>2029</v>
      </c>
      <c r="G3988" s="4" t="s">
        <v>336</v>
      </c>
      <c r="H3988" s="4" t="s">
        <v>380</v>
      </c>
      <c r="I3988" s="4">
        <v>0.39200000000000002</v>
      </c>
      <c r="J3988" s="21">
        <v>340</v>
      </c>
      <c r="K3988" s="21">
        <v>133.28</v>
      </c>
      <c r="L3988" s="5">
        <v>0</v>
      </c>
      <c r="M3988" s="4"/>
      <c r="N3988" s="4"/>
      <c r="O3988" s="5"/>
      <c r="P3988" s="5"/>
      <c r="Q3988" s="21">
        <v>0</v>
      </c>
      <c r="R3988" s="21">
        <v>0</v>
      </c>
      <c r="S3988" s="5">
        <f t="shared" si="251"/>
        <v>62733.718997470867</v>
      </c>
      <c r="T3988" cm="1">
        <f t="array" ref="T3988">IF(OR(B3988="MAL ALIMI", B3988="ÜRETİM GİRİŞ"), MIN(I3988, MAX(0, I3988 + SUM(SUMIFS($I$1:I3987, $C$1:C3987, C3988, $B$1:B3987, {"MAL ALIMI","ÜRETİM GİRİŞ"})) - VLOOKUP(C3988, 'STOK RAPORU'!$C$2:$I$1000, 4, 0))), 0)</f>
        <v>0</v>
      </c>
      <c r="U3988" s="22">
        <f t="shared" si="248"/>
        <v>0</v>
      </c>
      <c r="V3988">
        <f t="shared" si="249"/>
        <v>0</v>
      </c>
      <c r="W3988" s="22">
        <f t="shared" si="250"/>
        <v>0</v>
      </c>
    </row>
    <row r="3989" spans="1:23" hidden="1" x14ac:dyDescent="0.25">
      <c r="A3989" s="3">
        <v>46062</v>
      </c>
      <c r="B3989" s="46" t="s">
        <v>334</v>
      </c>
      <c r="C3989" s="4" t="s">
        <v>767</v>
      </c>
      <c r="D3989" s="4"/>
      <c r="E3989" s="4" t="s">
        <v>921</v>
      </c>
      <c r="F3989" s="46" t="s">
        <v>2030</v>
      </c>
      <c r="G3989" s="4" t="s">
        <v>336</v>
      </c>
      <c r="H3989" s="4" t="s">
        <v>380</v>
      </c>
      <c r="I3989" s="4">
        <v>1</v>
      </c>
      <c r="J3989" s="21">
        <v>220</v>
      </c>
      <c r="K3989" s="21">
        <v>220</v>
      </c>
      <c r="L3989" s="5">
        <v>0</v>
      </c>
      <c r="M3989" s="4"/>
      <c r="N3989" s="4"/>
      <c r="O3989" s="5"/>
      <c r="P3989" s="5"/>
      <c r="Q3989" s="21">
        <v>0</v>
      </c>
      <c r="R3989" s="21">
        <v>0</v>
      </c>
      <c r="S3989" s="5">
        <f t="shared" si="251"/>
        <v>62733.718997470867</v>
      </c>
      <c r="T3989" cm="1">
        <f t="array" ref="T3989">IF(OR(B3989="MAL ALIMI", B3989="ÜRETİM GİRİŞ"), MIN(I3989, MAX(0, I3989 + SUM(SUMIFS($I$1:I3988, $C$1:C3988, C3989, $B$1:B3988, {"MAL ALIMI","ÜRETİM GİRİŞ"})) - VLOOKUP(C3989, 'STOK RAPORU'!$C$2:$I$1000, 4, 0))), 0)</f>
        <v>0</v>
      </c>
      <c r="U3989" s="22">
        <f t="shared" si="248"/>
        <v>0</v>
      </c>
      <c r="V3989">
        <f t="shared" si="249"/>
        <v>0</v>
      </c>
      <c r="W3989" s="22">
        <f t="shared" si="250"/>
        <v>0</v>
      </c>
    </row>
    <row r="3990" spans="1:23" hidden="1" x14ac:dyDescent="0.25">
      <c r="A3990" s="3">
        <v>46062</v>
      </c>
      <c r="B3990" s="46" t="s">
        <v>334</v>
      </c>
      <c r="C3990" s="4" t="s">
        <v>524</v>
      </c>
      <c r="D3990" s="4"/>
      <c r="E3990" s="4" t="s">
        <v>921</v>
      </c>
      <c r="F3990" s="46" t="s">
        <v>2031</v>
      </c>
      <c r="G3990" s="4" t="s">
        <v>336</v>
      </c>
      <c r="H3990" s="4" t="s">
        <v>380</v>
      </c>
      <c r="I3990" s="4">
        <v>0.1</v>
      </c>
      <c r="J3990" s="21">
        <v>400</v>
      </c>
      <c r="K3990" s="21">
        <v>40</v>
      </c>
      <c r="L3990" s="5">
        <v>0</v>
      </c>
      <c r="M3990" s="4"/>
      <c r="N3990" s="4"/>
      <c r="O3990" s="5"/>
      <c r="P3990" s="5"/>
      <c r="Q3990" s="21">
        <v>0</v>
      </c>
      <c r="R3990" s="21">
        <v>0</v>
      </c>
      <c r="S3990" s="5">
        <f t="shared" si="251"/>
        <v>62733.718997470867</v>
      </c>
      <c r="T3990" cm="1">
        <f t="array" ref="T3990">IF(OR(B3990="MAL ALIMI", B3990="ÜRETİM GİRİŞ"), MIN(I3990, MAX(0, I3990 + SUM(SUMIFS($I$1:I3989, $C$1:C3989, C3990, $B$1:B3989, {"MAL ALIMI","ÜRETİM GİRİŞ"})) - VLOOKUP(C3990, 'STOK RAPORU'!$C$2:$I$1000, 4, 0))), 0)</f>
        <v>0</v>
      </c>
      <c r="U3990" s="22">
        <f t="shared" si="248"/>
        <v>0</v>
      </c>
      <c r="V3990">
        <f t="shared" si="249"/>
        <v>0</v>
      </c>
      <c r="W3990" s="22">
        <f t="shared" si="250"/>
        <v>0</v>
      </c>
    </row>
    <row r="3991" spans="1:23" hidden="1" x14ac:dyDescent="0.25">
      <c r="A3991" s="3">
        <v>46062</v>
      </c>
      <c r="B3991" s="46" t="s">
        <v>334</v>
      </c>
      <c r="C3991" s="4" t="s">
        <v>166</v>
      </c>
      <c r="D3991" s="4"/>
      <c r="E3991" s="4" t="s">
        <v>921</v>
      </c>
      <c r="F3991" s="46" t="s">
        <v>2031</v>
      </c>
      <c r="G3991" s="4" t="s">
        <v>336</v>
      </c>
      <c r="H3991" s="4" t="s">
        <v>380</v>
      </c>
      <c r="I3991" s="4">
        <v>4.5999999999999999E-2</v>
      </c>
      <c r="J3991" s="21">
        <v>770</v>
      </c>
      <c r="K3991" s="21">
        <v>35.42</v>
      </c>
      <c r="L3991" s="5">
        <v>0</v>
      </c>
      <c r="M3991" s="4"/>
      <c r="N3991" s="4"/>
      <c r="O3991" s="5"/>
      <c r="P3991" s="5"/>
      <c r="Q3991" s="21">
        <v>0</v>
      </c>
      <c r="R3991" s="21">
        <v>0</v>
      </c>
      <c r="S3991" s="5">
        <f t="shared" si="251"/>
        <v>62733.718997470867</v>
      </c>
      <c r="T3991" cm="1">
        <f t="array" ref="T3991">IF(OR(B3991="MAL ALIMI", B3991="ÜRETİM GİRİŞ"), MIN(I3991, MAX(0, I3991 + SUM(SUMIFS($I$1:I3990, $C$1:C3990, C3991, $B$1:B3990, {"MAL ALIMI","ÜRETİM GİRİŞ"})) - VLOOKUP(C3991, 'STOK RAPORU'!$C$2:$I$1000, 4, 0))), 0)</f>
        <v>0</v>
      </c>
      <c r="U3991" s="22">
        <f t="shared" si="248"/>
        <v>0</v>
      </c>
      <c r="V3991">
        <f t="shared" si="249"/>
        <v>0</v>
      </c>
      <c r="W3991" s="22">
        <f t="shared" si="250"/>
        <v>0</v>
      </c>
    </row>
    <row r="3992" spans="1:23" hidden="1" x14ac:dyDescent="0.25">
      <c r="A3992" s="3">
        <v>46062</v>
      </c>
      <c r="B3992" s="46" t="s">
        <v>334</v>
      </c>
      <c r="C3992" s="4" t="s">
        <v>597</v>
      </c>
      <c r="D3992" s="4"/>
      <c r="E3992" s="4" t="s">
        <v>921</v>
      </c>
      <c r="F3992" s="46" t="s">
        <v>2031</v>
      </c>
      <c r="G3992" s="4" t="s">
        <v>336</v>
      </c>
      <c r="H3992" s="4" t="s">
        <v>380</v>
      </c>
      <c r="I3992" s="4">
        <v>1</v>
      </c>
      <c r="J3992" s="21">
        <v>290</v>
      </c>
      <c r="K3992" s="21">
        <v>290</v>
      </c>
      <c r="L3992" s="5">
        <v>0</v>
      </c>
      <c r="M3992" s="4"/>
      <c r="N3992" s="4"/>
      <c r="O3992" s="5"/>
      <c r="P3992" s="5"/>
      <c r="Q3992" s="21">
        <v>0</v>
      </c>
      <c r="R3992" s="21">
        <v>0</v>
      </c>
      <c r="S3992" s="5">
        <f t="shared" si="251"/>
        <v>62733.718997470867</v>
      </c>
      <c r="T3992" cm="1">
        <f t="array" ref="T3992">IF(OR(B3992="MAL ALIMI", B3992="ÜRETİM GİRİŞ"), MIN(I3992, MAX(0, I3992 + SUM(SUMIFS($I$1:I3991, $C$1:C3991, C3992, $B$1:B3991, {"MAL ALIMI","ÜRETİM GİRİŞ"})) - VLOOKUP(C3992, 'STOK RAPORU'!$C$2:$I$1000, 4, 0))), 0)</f>
        <v>0</v>
      </c>
      <c r="U3992" s="22">
        <f t="shared" si="248"/>
        <v>0</v>
      </c>
      <c r="V3992">
        <f t="shared" si="249"/>
        <v>0</v>
      </c>
      <c r="W3992" s="22">
        <f t="shared" si="250"/>
        <v>0</v>
      </c>
    </row>
    <row r="3993" spans="1:23" hidden="1" x14ac:dyDescent="0.25">
      <c r="A3993" s="3">
        <v>46062</v>
      </c>
      <c r="B3993" s="46" t="s">
        <v>334</v>
      </c>
      <c r="C3993" s="4" t="s">
        <v>1634</v>
      </c>
      <c r="D3993" s="4"/>
      <c r="E3993" s="4" t="s">
        <v>921</v>
      </c>
      <c r="F3993" s="46" t="s">
        <v>2031</v>
      </c>
      <c r="G3993" s="4" t="s">
        <v>336</v>
      </c>
      <c r="H3993" s="4" t="s">
        <v>380</v>
      </c>
      <c r="I3993" s="4">
        <v>0.5</v>
      </c>
      <c r="J3993" s="21">
        <v>300</v>
      </c>
      <c r="K3993" s="21">
        <v>150</v>
      </c>
      <c r="L3993" s="5">
        <v>0</v>
      </c>
      <c r="M3993" s="4"/>
      <c r="N3993" s="4"/>
      <c r="O3993" s="5"/>
      <c r="P3993" s="5"/>
      <c r="Q3993" s="21">
        <v>0</v>
      </c>
      <c r="R3993" s="21">
        <v>0</v>
      </c>
      <c r="S3993" s="5">
        <f t="shared" si="251"/>
        <v>62733.718997470867</v>
      </c>
      <c r="T3993" cm="1">
        <f t="array" ref="T3993">IF(OR(B3993="MAL ALIMI", B3993="ÜRETİM GİRİŞ"), MIN(I3993, MAX(0, I3993 + SUM(SUMIFS($I$1:I3992, $C$1:C3992, C3993, $B$1:B3992, {"MAL ALIMI","ÜRETİM GİRİŞ"})) - VLOOKUP(C3993, 'STOK RAPORU'!$C$2:$I$1000, 4, 0))), 0)</f>
        <v>0</v>
      </c>
      <c r="U3993" s="22">
        <f t="shared" si="248"/>
        <v>0</v>
      </c>
      <c r="V3993">
        <f t="shared" si="249"/>
        <v>0</v>
      </c>
      <c r="W3993" s="22">
        <f t="shared" si="250"/>
        <v>0</v>
      </c>
    </row>
    <row r="3994" spans="1:23" hidden="1" x14ac:dyDescent="0.25">
      <c r="A3994" s="3">
        <v>46062</v>
      </c>
      <c r="B3994" s="46" t="s">
        <v>334</v>
      </c>
      <c r="C3994" s="4" t="s">
        <v>1143</v>
      </c>
      <c r="D3994" s="4"/>
      <c r="E3994" s="4" t="s">
        <v>921</v>
      </c>
      <c r="F3994" s="46" t="s">
        <v>2031</v>
      </c>
      <c r="G3994" s="4" t="s">
        <v>336</v>
      </c>
      <c r="H3994" s="4" t="s">
        <v>380</v>
      </c>
      <c r="I3994" s="4">
        <v>1</v>
      </c>
      <c r="J3994" s="21">
        <v>135</v>
      </c>
      <c r="K3994" s="21">
        <v>135</v>
      </c>
      <c r="L3994" s="5">
        <v>0</v>
      </c>
      <c r="M3994" s="4"/>
      <c r="N3994" s="4"/>
      <c r="O3994" s="5"/>
      <c r="P3994" s="5"/>
      <c r="Q3994" s="21">
        <v>0</v>
      </c>
      <c r="R3994" s="21">
        <v>0</v>
      </c>
      <c r="S3994" s="5">
        <f t="shared" si="251"/>
        <v>62733.718997470867</v>
      </c>
      <c r="T3994" cm="1">
        <f t="array" ref="T3994">IF(OR(B3994="MAL ALIMI", B3994="ÜRETİM GİRİŞ"), MIN(I3994, MAX(0, I3994 + SUM(SUMIFS($I$1:I3993, $C$1:C3993, C3994, $B$1:B3993, {"MAL ALIMI","ÜRETİM GİRİŞ"})) - VLOOKUP(C3994, 'STOK RAPORU'!$C$2:$I$1000, 4, 0))), 0)</f>
        <v>0</v>
      </c>
      <c r="U3994" s="22">
        <f t="shared" si="248"/>
        <v>0</v>
      </c>
      <c r="V3994">
        <f t="shared" si="249"/>
        <v>0</v>
      </c>
      <c r="W3994" s="22">
        <f t="shared" si="250"/>
        <v>0</v>
      </c>
    </row>
    <row r="3995" spans="1:23" hidden="1" x14ac:dyDescent="0.25">
      <c r="A3995" s="3">
        <v>46062</v>
      </c>
      <c r="B3995" s="46" t="s">
        <v>334</v>
      </c>
      <c r="C3995" s="54" t="s">
        <v>1501</v>
      </c>
      <c r="D3995" s="4"/>
      <c r="E3995" s="4"/>
      <c r="F3995" s="46" t="s">
        <v>2032</v>
      </c>
      <c r="G3995" s="4" t="s">
        <v>336</v>
      </c>
      <c r="H3995" s="4" t="s">
        <v>289</v>
      </c>
      <c r="I3995" s="4">
        <v>0.16666666666666666</v>
      </c>
      <c r="J3995" s="21">
        <v>600</v>
      </c>
      <c r="K3995" s="21">
        <v>0</v>
      </c>
      <c r="L3995" s="5">
        <v>0</v>
      </c>
      <c r="M3995" s="4"/>
      <c r="N3995" s="4"/>
      <c r="O3995" s="5"/>
      <c r="P3995" s="5"/>
      <c r="Q3995" s="21">
        <v>100</v>
      </c>
      <c r="R3995" s="21">
        <v>0</v>
      </c>
      <c r="S3995" s="5">
        <f t="shared" si="251"/>
        <v>62833.718997470867</v>
      </c>
      <c r="T3995" cm="1">
        <f t="array" ref="T3995">IF(OR(B3995="MAL ALIMI", B3995="ÜRETİM GİRİŞ"), MIN(I3995, MAX(0, I3995 + SUM(SUMIFS($I$1:I3994, $C$1:C3994, C3995, $B$1:B3994, {"MAL ALIMI","ÜRETİM GİRİŞ"})) - VLOOKUP(C3995, 'STOK RAPORU'!$C$2:$I$1000, 4, 0))), 0)</f>
        <v>0</v>
      </c>
      <c r="U3995" s="22">
        <f t="shared" si="248"/>
        <v>0</v>
      </c>
      <c r="V3995">
        <f t="shared" si="249"/>
        <v>0</v>
      </c>
      <c r="W3995" s="22">
        <f t="shared" si="250"/>
        <v>0</v>
      </c>
    </row>
    <row r="3996" spans="1:23" hidden="1" x14ac:dyDescent="0.25">
      <c r="A3996" s="3">
        <v>46062</v>
      </c>
      <c r="B3996" s="46" t="s">
        <v>334</v>
      </c>
      <c r="C3996" s="4" t="s">
        <v>465</v>
      </c>
      <c r="D3996" s="4"/>
      <c r="E3996" s="4"/>
      <c r="F3996" s="46" t="s">
        <v>2032</v>
      </c>
      <c r="G3996" s="4" t="s">
        <v>336</v>
      </c>
      <c r="H3996" s="4" t="s">
        <v>289</v>
      </c>
      <c r="I3996" s="4">
        <v>1</v>
      </c>
      <c r="J3996" s="21">
        <v>50</v>
      </c>
      <c r="K3996" s="21">
        <v>0</v>
      </c>
      <c r="L3996" s="5">
        <v>0</v>
      </c>
      <c r="M3996" s="4"/>
      <c r="N3996" s="4"/>
      <c r="O3996" s="5"/>
      <c r="P3996" s="5"/>
      <c r="Q3996" s="21">
        <v>50</v>
      </c>
      <c r="R3996" s="21">
        <v>0</v>
      </c>
      <c r="S3996" s="5">
        <f t="shared" si="251"/>
        <v>62883.718997470867</v>
      </c>
      <c r="T3996" cm="1">
        <f t="array" ref="T3996">IF(OR(B3996="MAL ALIMI", B3996="ÜRETİM GİRİŞ"), MIN(I3996, MAX(0, I3996 + SUM(SUMIFS($I$1:I3995, $C$1:C3995, C3996, $B$1:B3995, {"MAL ALIMI","ÜRETİM GİRİŞ"})) - VLOOKUP(C3996, 'STOK RAPORU'!$C$2:$I$1000, 4, 0))), 0)</f>
        <v>0</v>
      </c>
      <c r="U3996" s="22">
        <f t="shared" si="248"/>
        <v>0</v>
      </c>
      <c r="V3996">
        <f t="shared" si="249"/>
        <v>0</v>
      </c>
      <c r="W3996" s="22">
        <f t="shared" si="250"/>
        <v>0</v>
      </c>
    </row>
    <row r="3997" spans="1:23" hidden="1" x14ac:dyDescent="0.25">
      <c r="A3997" s="3">
        <v>46062</v>
      </c>
      <c r="B3997" s="46" t="s">
        <v>334</v>
      </c>
      <c r="C3997" s="4" t="s">
        <v>464</v>
      </c>
      <c r="D3997" s="4"/>
      <c r="E3997" s="4"/>
      <c r="F3997" s="46" t="s">
        <v>2032</v>
      </c>
      <c r="G3997" s="4" t="s">
        <v>336</v>
      </c>
      <c r="H3997" s="4" t="s">
        <v>289</v>
      </c>
      <c r="I3997" s="4">
        <v>1</v>
      </c>
      <c r="J3997" s="21">
        <v>50</v>
      </c>
      <c r="K3997" s="21">
        <v>0</v>
      </c>
      <c r="L3997" s="5">
        <v>0</v>
      </c>
      <c r="M3997" s="4"/>
      <c r="N3997" s="4"/>
      <c r="O3997" s="5"/>
      <c r="P3997" s="5"/>
      <c r="Q3997" s="21">
        <v>50</v>
      </c>
      <c r="R3997" s="21">
        <v>0</v>
      </c>
      <c r="S3997" s="5">
        <f t="shared" si="251"/>
        <v>62933.718997470867</v>
      </c>
      <c r="T3997" cm="1">
        <f t="array" ref="T3997">IF(OR(B3997="MAL ALIMI", B3997="ÜRETİM GİRİŞ"), MIN(I3997, MAX(0, I3997 + SUM(SUMIFS($I$1:I3996, $C$1:C3996, C3997, $B$1:B3996, {"MAL ALIMI","ÜRETİM GİRİŞ"})) - VLOOKUP(C3997, 'STOK RAPORU'!$C$2:$I$1000, 4, 0))), 0)</f>
        <v>0</v>
      </c>
      <c r="U3997" s="22">
        <f t="shared" si="248"/>
        <v>0</v>
      </c>
      <c r="V3997">
        <f t="shared" si="249"/>
        <v>0</v>
      </c>
      <c r="W3997" s="22">
        <f t="shared" si="250"/>
        <v>0</v>
      </c>
    </row>
    <row r="3998" spans="1:23" hidden="1" x14ac:dyDescent="0.25">
      <c r="A3998" s="3">
        <v>46062</v>
      </c>
      <c r="B3998" s="46" t="s">
        <v>334</v>
      </c>
      <c r="C3998" s="4" t="s">
        <v>132</v>
      </c>
      <c r="D3998" s="4"/>
      <c r="E3998" s="4"/>
      <c r="F3998" s="46" t="s">
        <v>2033</v>
      </c>
      <c r="G3998" s="4" t="s">
        <v>336</v>
      </c>
      <c r="H3998" s="4" t="s">
        <v>289</v>
      </c>
      <c r="I3998" s="4">
        <v>0.1</v>
      </c>
      <c r="J3998" s="21">
        <v>500</v>
      </c>
      <c r="K3998" s="21">
        <v>0</v>
      </c>
      <c r="L3998" s="5">
        <v>0</v>
      </c>
      <c r="M3998" s="4"/>
      <c r="N3998" s="4"/>
      <c r="O3998" s="5"/>
      <c r="P3998" s="5"/>
      <c r="Q3998" s="21">
        <v>50</v>
      </c>
      <c r="R3998" s="21">
        <v>0</v>
      </c>
      <c r="S3998" s="5">
        <f t="shared" si="251"/>
        <v>62983.718997470867</v>
      </c>
      <c r="T3998" cm="1">
        <f t="array" ref="T3998">IF(OR(B3998="MAL ALIMI", B3998="ÜRETİM GİRİŞ"), MIN(I3998, MAX(0, I3998 + SUM(SUMIFS($I$1:I3997, $C$1:C3997, C3998, $B$1:B3997, {"MAL ALIMI","ÜRETİM GİRİŞ"})) - VLOOKUP(C3998, 'STOK RAPORU'!$C$2:$I$1000, 4, 0))), 0)</f>
        <v>0</v>
      </c>
      <c r="U3998" s="22">
        <f t="shared" si="248"/>
        <v>0</v>
      </c>
      <c r="V3998">
        <f t="shared" si="249"/>
        <v>0</v>
      </c>
      <c r="W3998" s="22">
        <f t="shared" si="250"/>
        <v>0</v>
      </c>
    </row>
    <row r="3999" spans="1:23" hidden="1" x14ac:dyDescent="0.25">
      <c r="A3999" s="3">
        <v>46062</v>
      </c>
      <c r="B3999" s="46" t="s">
        <v>334</v>
      </c>
      <c r="C3999" s="4" t="s">
        <v>140</v>
      </c>
      <c r="D3999" s="4"/>
      <c r="E3999" s="4"/>
      <c r="F3999" s="46" t="s">
        <v>2033</v>
      </c>
      <c r="G3999" s="4" t="s">
        <v>336</v>
      </c>
      <c r="H3999" s="4" t="s">
        <v>289</v>
      </c>
      <c r="I3999" s="4">
        <v>0.1</v>
      </c>
      <c r="J3999" s="21">
        <v>300</v>
      </c>
      <c r="K3999" s="21">
        <v>0</v>
      </c>
      <c r="L3999" s="5">
        <v>0</v>
      </c>
      <c r="M3999" s="4"/>
      <c r="N3999" s="4"/>
      <c r="O3999" s="5"/>
      <c r="P3999" s="5"/>
      <c r="Q3999" s="21">
        <v>30</v>
      </c>
      <c r="R3999" s="21">
        <v>0</v>
      </c>
      <c r="S3999" s="5">
        <f t="shared" si="251"/>
        <v>63013.718997470867</v>
      </c>
      <c r="T3999" cm="1">
        <f t="array" ref="T3999">IF(OR(B3999="MAL ALIMI", B3999="ÜRETİM GİRİŞ"), MIN(I3999, MAX(0, I3999 + SUM(SUMIFS($I$1:I3998, $C$1:C3998, C3999, $B$1:B3998, {"MAL ALIMI","ÜRETİM GİRİŞ"})) - VLOOKUP(C3999, 'STOK RAPORU'!$C$2:$I$1000, 4, 0))), 0)</f>
        <v>0</v>
      </c>
      <c r="U3999" s="22">
        <f t="shared" si="248"/>
        <v>0</v>
      </c>
      <c r="V3999">
        <f t="shared" si="249"/>
        <v>0</v>
      </c>
      <c r="W3999" s="22">
        <f t="shared" si="250"/>
        <v>0</v>
      </c>
    </row>
    <row r="4000" spans="1:23" hidden="1" x14ac:dyDescent="0.25">
      <c r="A4000" s="3">
        <v>46062</v>
      </c>
      <c r="B4000" s="46" t="s">
        <v>334</v>
      </c>
      <c r="C4000" s="4" t="s">
        <v>60</v>
      </c>
      <c r="D4000" s="4"/>
      <c r="E4000" s="4"/>
      <c r="F4000" s="46" t="s">
        <v>2033</v>
      </c>
      <c r="G4000" s="4" t="s">
        <v>336</v>
      </c>
      <c r="H4000" s="4" t="s">
        <v>289</v>
      </c>
      <c r="I4000" s="4">
        <v>0.05</v>
      </c>
      <c r="J4000" s="21">
        <v>1000</v>
      </c>
      <c r="K4000" s="21">
        <v>0</v>
      </c>
      <c r="L4000" s="5">
        <v>0</v>
      </c>
      <c r="M4000" s="4"/>
      <c r="N4000" s="4"/>
      <c r="O4000" s="5"/>
      <c r="P4000" s="5"/>
      <c r="Q4000" s="21">
        <v>50</v>
      </c>
      <c r="R4000" s="21">
        <v>0</v>
      </c>
      <c r="S4000" s="5">
        <f t="shared" si="251"/>
        <v>63063.718997470867</v>
      </c>
      <c r="T4000" cm="1">
        <f t="array" ref="T4000">IF(OR(B4000="MAL ALIMI", B4000="ÜRETİM GİRİŞ"), MIN(I4000, MAX(0, I4000 + SUM(SUMIFS($I$1:I3999, $C$1:C3999, C4000, $B$1:B3999, {"MAL ALIMI","ÜRETİM GİRİŞ"})) - VLOOKUP(C4000, 'STOK RAPORU'!$C$2:$I$1000, 4, 0))), 0)</f>
        <v>0</v>
      </c>
      <c r="U4000" s="22">
        <f t="shared" si="248"/>
        <v>0</v>
      </c>
      <c r="V4000">
        <f t="shared" si="249"/>
        <v>0</v>
      </c>
      <c r="W4000" s="22">
        <f t="shared" si="250"/>
        <v>0</v>
      </c>
    </row>
    <row r="4001" spans="1:23" hidden="1" x14ac:dyDescent="0.25">
      <c r="A4001" s="3">
        <v>46062</v>
      </c>
      <c r="B4001" s="46" t="s">
        <v>334</v>
      </c>
      <c r="C4001" s="4" t="s">
        <v>60</v>
      </c>
      <c r="D4001" s="4"/>
      <c r="E4001" s="4"/>
      <c r="F4001" s="46" t="s">
        <v>2033</v>
      </c>
      <c r="G4001" s="4" t="s">
        <v>336</v>
      </c>
      <c r="H4001" s="4" t="s">
        <v>289</v>
      </c>
      <c r="I4001" s="4">
        <v>0.05</v>
      </c>
      <c r="J4001" s="21">
        <v>1000</v>
      </c>
      <c r="K4001" s="21">
        <v>0</v>
      </c>
      <c r="L4001" s="5">
        <v>0</v>
      </c>
      <c r="M4001" s="4"/>
      <c r="N4001" s="4"/>
      <c r="O4001" s="5"/>
      <c r="P4001" s="5"/>
      <c r="Q4001" s="21">
        <v>50</v>
      </c>
      <c r="R4001" s="21">
        <v>0</v>
      </c>
      <c r="S4001" s="5">
        <f t="shared" si="251"/>
        <v>63113.718997470867</v>
      </c>
      <c r="T4001" cm="1">
        <f t="array" ref="T4001">IF(OR(B4001="MAL ALIMI", B4001="ÜRETİM GİRİŞ"), MIN(I4001, MAX(0, I4001 + SUM(SUMIFS($I$1:I4000, $C$1:C4000, C4001, $B$1:B4000, {"MAL ALIMI","ÜRETİM GİRİŞ"})) - VLOOKUP(C4001, 'STOK RAPORU'!$C$2:$I$1000, 4, 0))), 0)</f>
        <v>0</v>
      </c>
      <c r="U4001" s="22">
        <f t="shared" si="248"/>
        <v>0</v>
      </c>
      <c r="V4001">
        <f t="shared" si="249"/>
        <v>0</v>
      </c>
      <c r="W4001" s="22">
        <f t="shared" si="250"/>
        <v>0</v>
      </c>
    </row>
    <row r="4002" spans="1:23" hidden="1" x14ac:dyDescent="0.25">
      <c r="A4002" s="3">
        <v>46062</v>
      </c>
      <c r="B4002" s="46" t="s">
        <v>334</v>
      </c>
      <c r="C4002" s="4" t="s">
        <v>597</v>
      </c>
      <c r="D4002" s="4"/>
      <c r="E4002" s="4" t="s">
        <v>921</v>
      </c>
      <c r="F4002" s="46" t="s">
        <v>2034</v>
      </c>
      <c r="G4002" s="4" t="s">
        <v>336</v>
      </c>
      <c r="H4002" s="4" t="s">
        <v>380</v>
      </c>
      <c r="I4002" s="4">
        <v>1</v>
      </c>
      <c r="J4002" s="21">
        <v>290</v>
      </c>
      <c r="K4002" s="21">
        <v>290</v>
      </c>
      <c r="L4002" s="5">
        <v>0</v>
      </c>
      <c r="M4002" s="4"/>
      <c r="N4002" s="4"/>
      <c r="O4002" s="5"/>
      <c r="P4002" s="5"/>
      <c r="Q4002" s="21">
        <v>0</v>
      </c>
      <c r="R4002" s="21">
        <v>0</v>
      </c>
      <c r="S4002" s="5">
        <f t="shared" si="251"/>
        <v>63113.718997470867</v>
      </c>
      <c r="T4002" cm="1">
        <f t="array" ref="T4002">IF(OR(B4002="MAL ALIMI", B4002="ÜRETİM GİRİŞ"), MIN(I4002, MAX(0, I4002 + SUM(SUMIFS($I$1:I4001, $C$1:C4001, C4002, $B$1:B4001, {"MAL ALIMI","ÜRETİM GİRİŞ"})) - VLOOKUP(C4002, 'STOK RAPORU'!$C$2:$I$1000, 4, 0))), 0)</f>
        <v>0</v>
      </c>
      <c r="U4002" s="22">
        <f t="shared" si="248"/>
        <v>0</v>
      </c>
      <c r="V4002">
        <f t="shared" si="249"/>
        <v>0</v>
      </c>
      <c r="W4002" s="22">
        <f t="shared" si="250"/>
        <v>0</v>
      </c>
    </row>
    <row r="4003" spans="1:23" hidden="1" x14ac:dyDescent="0.25">
      <c r="A4003" s="3">
        <v>46062</v>
      </c>
      <c r="B4003" s="46" t="s">
        <v>334</v>
      </c>
      <c r="C4003" s="4" t="s">
        <v>133</v>
      </c>
      <c r="D4003" s="4"/>
      <c r="E4003" s="4" t="s">
        <v>921</v>
      </c>
      <c r="F4003" s="46" t="s">
        <v>2035</v>
      </c>
      <c r="G4003" s="4" t="s">
        <v>336</v>
      </c>
      <c r="H4003" s="4" t="s">
        <v>380</v>
      </c>
      <c r="I4003" s="4">
        <v>0.5</v>
      </c>
      <c r="J4003" s="21">
        <v>400</v>
      </c>
      <c r="K4003" s="21">
        <v>200</v>
      </c>
      <c r="L4003" s="5">
        <v>0</v>
      </c>
      <c r="M4003" s="4"/>
      <c r="N4003" s="4"/>
      <c r="O4003" s="5"/>
      <c r="P4003" s="5"/>
      <c r="Q4003" s="21">
        <v>0</v>
      </c>
      <c r="R4003" s="21">
        <v>0</v>
      </c>
      <c r="S4003" s="5">
        <f t="shared" si="251"/>
        <v>63113.718997470867</v>
      </c>
      <c r="T4003" cm="1">
        <f t="array" ref="T4003">IF(OR(B4003="MAL ALIMI", B4003="ÜRETİM GİRİŞ"), MIN(I4003, MAX(0, I4003 + SUM(SUMIFS($I$1:I4002, $C$1:C4002, C4003, $B$1:B4002, {"MAL ALIMI","ÜRETİM GİRİŞ"})) - VLOOKUP(C4003, 'STOK RAPORU'!$C$2:$I$1000, 4, 0))), 0)</f>
        <v>0</v>
      </c>
      <c r="U4003" s="22">
        <f t="shared" si="248"/>
        <v>0</v>
      </c>
      <c r="V4003">
        <f t="shared" si="249"/>
        <v>0</v>
      </c>
      <c r="W4003" s="22">
        <f t="shared" si="250"/>
        <v>0</v>
      </c>
    </row>
    <row r="4004" spans="1:23" hidden="1" x14ac:dyDescent="0.25">
      <c r="A4004" s="3">
        <v>46062</v>
      </c>
      <c r="B4004" s="46" t="s">
        <v>334</v>
      </c>
      <c r="C4004" s="4" t="s">
        <v>163</v>
      </c>
      <c r="D4004" s="4"/>
      <c r="E4004" s="4" t="s">
        <v>921</v>
      </c>
      <c r="F4004" s="46" t="s">
        <v>2035</v>
      </c>
      <c r="G4004" s="4" t="s">
        <v>336</v>
      </c>
      <c r="H4004" s="4" t="s">
        <v>380</v>
      </c>
      <c r="I4004" s="4">
        <v>0.48888888888888887</v>
      </c>
      <c r="J4004" s="21">
        <v>450</v>
      </c>
      <c r="K4004" s="21">
        <v>220</v>
      </c>
      <c r="L4004" s="5">
        <v>0</v>
      </c>
      <c r="M4004" s="4"/>
      <c r="N4004" s="4"/>
      <c r="O4004" s="5"/>
      <c r="P4004" s="5"/>
      <c r="Q4004" s="21">
        <v>0</v>
      </c>
      <c r="R4004" s="21">
        <v>0</v>
      </c>
      <c r="S4004" s="5">
        <f t="shared" si="251"/>
        <v>63113.718997470867</v>
      </c>
      <c r="T4004" cm="1">
        <f t="array" ref="T4004">IF(OR(B4004="MAL ALIMI", B4004="ÜRETİM GİRİŞ"), MIN(I4004, MAX(0, I4004 + SUM(SUMIFS($I$1:I4003, $C$1:C4003, C4004, $B$1:B4003, {"MAL ALIMI","ÜRETİM GİRİŞ"})) - VLOOKUP(C4004, 'STOK RAPORU'!$C$2:$I$1000, 4, 0))), 0)</f>
        <v>0</v>
      </c>
      <c r="U4004" s="22">
        <f t="shared" si="248"/>
        <v>0</v>
      </c>
      <c r="V4004">
        <f t="shared" si="249"/>
        <v>0</v>
      </c>
      <c r="W4004" s="22">
        <f t="shared" si="250"/>
        <v>0</v>
      </c>
    </row>
    <row r="4005" spans="1:23" hidden="1" x14ac:dyDescent="0.25">
      <c r="A4005" s="3">
        <v>46062</v>
      </c>
      <c r="B4005" s="46" t="s">
        <v>334</v>
      </c>
      <c r="C4005" s="4" t="s">
        <v>196</v>
      </c>
      <c r="D4005" s="4"/>
      <c r="E4005" s="4" t="s">
        <v>921</v>
      </c>
      <c r="F4005" s="46" t="s">
        <v>2035</v>
      </c>
      <c r="G4005" s="4" t="s">
        <v>336</v>
      </c>
      <c r="H4005" s="4" t="s">
        <v>380</v>
      </c>
      <c r="I4005" s="4">
        <v>0.2608695652173913</v>
      </c>
      <c r="J4005" s="21">
        <v>230</v>
      </c>
      <c r="K4005" s="21">
        <v>60</v>
      </c>
      <c r="L4005" s="5">
        <v>0</v>
      </c>
      <c r="M4005" s="4"/>
      <c r="N4005" s="4"/>
      <c r="O4005" s="5"/>
      <c r="P4005" s="5"/>
      <c r="Q4005" s="21">
        <v>0</v>
      </c>
      <c r="R4005" s="21">
        <v>0</v>
      </c>
      <c r="S4005" s="5">
        <f t="shared" si="251"/>
        <v>63113.718997470867</v>
      </c>
      <c r="T4005" cm="1">
        <f t="array" ref="T4005">IF(OR(B4005="MAL ALIMI", B4005="ÜRETİM GİRİŞ"), MIN(I4005, MAX(0, I4005 + SUM(SUMIFS($I$1:I4004, $C$1:C4004, C4005, $B$1:B4004, {"MAL ALIMI","ÜRETİM GİRİŞ"})) - VLOOKUP(C4005, 'STOK RAPORU'!$C$2:$I$1000, 4, 0))), 0)</f>
        <v>0</v>
      </c>
      <c r="U4005" s="22">
        <f t="shared" si="248"/>
        <v>0</v>
      </c>
      <c r="V4005">
        <f t="shared" si="249"/>
        <v>0</v>
      </c>
      <c r="W4005" s="22">
        <f t="shared" si="250"/>
        <v>0</v>
      </c>
    </row>
    <row r="4006" spans="1:23" hidden="1" x14ac:dyDescent="0.25">
      <c r="A4006" s="3">
        <v>46062</v>
      </c>
      <c r="B4006" s="46" t="s">
        <v>334</v>
      </c>
      <c r="C4006" s="4" t="s">
        <v>690</v>
      </c>
      <c r="D4006" s="4"/>
      <c r="E4006" s="4" t="s">
        <v>921</v>
      </c>
      <c r="F4006" s="46" t="s">
        <v>2035</v>
      </c>
      <c r="G4006" s="4" t="s">
        <v>336</v>
      </c>
      <c r="H4006" s="4" t="s">
        <v>380</v>
      </c>
      <c r="I4006" s="4">
        <v>0.4</v>
      </c>
      <c r="J4006" s="21">
        <v>340</v>
      </c>
      <c r="K4006" s="21">
        <v>136</v>
      </c>
      <c r="L4006" s="5">
        <v>0</v>
      </c>
      <c r="M4006" s="4"/>
      <c r="N4006" s="4"/>
      <c r="O4006" s="5"/>
      <c r="P4006" s="5"/>
      <c r="Q4006" s="21">
        <v>0</v>
      </c>
      <c r="R4006" s="21">
        <v>0</v>
      </c>
      <c r="S4006" s="5">
        <f t="shared" si="251"/>
        <v>63113.718997470867</v>
      </c>
      <c r="T4006" cm="1">
        <f t="array" ref="T4006">IF(OR(B4006="MAL ALIMI", B4006="ÜRETİM GİRİŞ"), MIN(I4006, MAX(0, I4006 + SUM(SUMIFS($I$1:I4005, $C$1:C4005, C4006, $B$1:B4005, {"MAL ALIMI","ÜRETİM GİRİŞ"})) - VLOOKUP(C4006, 'STOK RAPORU'!$C$2:$I$1000, 4, 0))), 0)</f>
        <v>0</v>
      </c>
      <c r="U4006" s="22">
        <f t="shared" si="248"/>
        <v>0</v>
      </c>
      <c r="V4006">
        <f t="shared" si="249"/>
        <v>0</v>
      </c>
      <c r="W4006" s="22">
        <f t="shared" si="250"/>
        <v>0</v>
      </c>
    </row>
    <row r="4007" spans="1:23" hidden="1" x14ac:dyDescent="0.25">
      <c r="A4007" s="3">
        <v>46062</v>
      </c>
      <c r="B4007" s="46" t="s">
        <v>334</v>
      </c>
      <c r="C4007" s="4" t="s">
        <v>126</v>
      </c>
      <c r="D4007" s="4"/>
      <c r="E4007" s="4"/>
      <c r="F4007" s="46" t="s">
        <v>2036</v>
      </c>
      <c r="G4007" s="4" t="s">
        <v>336</v>
      </c>
      <c r="H4007" s="4" t="s">
        <v>289</v>
      </c>
      <c r="I4007" s="4">
        <v>7.1999999999999995E-2</v>
      </c>
      <c r="J4007" s="21">
        <v>650</v>
      </c>
      <c r="K4007" s="21">
        <v>0</v>
      </c>
      <c r="L4007" s="5">
        <v>0</v>
      </c>
      <c r="M4007" s="4"/>
      <c r="N4007" s="4"/>
      <c r="O4007" s="5"/>
      <c r="P4007" s="5"/>
      <c r="Q4007" s="21">
        <v>46.8</v>
      </c>
      <c r="R4007" s="21">
        <v>0</v>
      </c>
      <c r="S4007" s="5">
        <f t="shared" si="251"/>
        <v>63160.51899747087</v>
      </c>
      <c r="T4007" cm="1">
        <f t="array" ref="T4007">IF(OR(B4007="MAL ALIMI", B4007="ÜRETİM GİRİŞ"), MIN(I4007, MAX(0, I4007 + SUM(SUMIFS($I$1:I4006, $C$1:C4006, C4007, $B$1:B4006, {"MAL ALIMI","ÜRETİM GİRİŞ"})) - VLOOKUP(C4007, 'STOK RAPORU'!$C$2:$I$1000, 4, 0))), 0)</f>
        <v>0</v>
      </c>
      <c r="U4007" s="22">
        <f t="shared" si="248"/>
        <v>0</v>
      </c>
      <c r="V4007">
        <f t="shared" si="249"/>
        <v>0</v>
      </c>
      <c r="W4007" s="22">
        <f t="shared" si="250"/>
        <v>0</v>
      </c>
    </row>
    <row r="4008" spans="1:23" hidden="1" x14ac:dyDescent="0.25">
      <c r="A4008" s="3">
        <v>46062</v>
      </c>
      <c r="B4008" s="46" t="s">
        <v>334</v>
      </c>
      <c r="C4008" s="4" t="s">
        <v>76</v>
      </c>
      <c r="D4008" s="4"/>
      <c r="E4008" s="4"/>
      <c r="F4008" s="46" t="s">
        <v>2036</v>
      </c>
      <c r="G4008" s="4" t="s">
        <v>336</v>
      </c>
      <c r="H4008" s="4" t="s">
        <v>289</v>
      </c>
      <c r="I4008" s="4">
        <v>0.108</v>
      </c>
      <c r="J4008" s="21">
        <v>400</v>
      </c>
      <c r="K4008" s="21">
        <v>0</v>
      </c>
      <c r="L4008" s="5">
        <v>0</v>
      </c>
      <c r="M4008" s="4"/>
      <c r="N4008" s="4"/>
      <c r="O4008" s="5"/>
      <c r="P4008" s="5"/>
      <c r="Q4008" s="21">
        <v>43.2</v>
      </c>
      <c r="R4008" s="21">
        <v>0</v>
      </c>
      <c r="S4008" s="5">
        <f t="shared" si="251"/>
        <v>63203.718997470867</v>
      </c>
      <c r="T4008" cm="1">
        <f t="array" ref="T4008">IF(OR(B4008="MAL ALIMI", B4008="ÜRETİM GİRİŞ"), MIN(I4008, MAX(0, I4008 + SUM(SUMIFS($I$1:I4007, $C$1:C4007, C4008, $B$1:B4007, {"MAL ALIMI","ÜRETİM GİRİŞ"})) - VLOOKUP(C4008, 'STOK RAPORU'!$C$2:$I$1000, 4, 0))), 0)</f>
        <v>0</v>
      </c>
      <c r="U4008" s="22">
        <f t="shared" si="248"/>
        <v>0</v>
      </c>
      <c r="V4008">
        <f t="shared" si="249"/>
        <v>0</v>
      </c>
      <c r="W4008" s="22">
        <f t="shared" si="250"/>
        <v>0</v>
      </c>
    </row>
    <row r="4009" spans="1:23" hidden="1" x14ac:dyDescent="0.25">
      <c r="A4009" s="3">
        <v>46062</v>
      </c>
      <c r="B4009" s="46" t="s">
        <v>334</v>
      </c>
      <c r="C4009" s="4" t="s">
        <v>140</v>
      </c>
      <c r="D4009" s="4"/>
      <c r="E4009" s="4"/>
      <c r="F4009" s="46" t="s">
        <v>2036</v>
      </c>
      <c r="G4009" s="4" t="s">
        <v>336</v>
      </c>
      <c r="H4009" s="4" t="s">
        <v>289</v>
      </c>
      <c r="I4009" s="4">
        <v>0.126</v>
      </c>
      <c r="J4009" s="21">
        <v>300</v>
      </c>
      <c r="K4009" s="21">
        <v>0</v>
      </c>
      <c r="L4009" s="5">
        <v>0</v>
      </c>
      <c r="M4009" s="4"/>
      <c r="N4009" s="4"/>
      <c r="O4009" s="5"/>
      <c r="P4009" s="5"/>
      <c r="Q4009" s="21">
        <v>37.799999999999997</v>
      </c>
      <c r="R4009" s="21">
        <v>0</v>
      </c>
      <c r="S4009" s="5">
        <f t="shared" si="251"/>
        <v>63241.51899747087</v>
      </c>
      <c r="T4009" cm="1">
        <f t="array" ref="T4009">IF(OR(B4009="MAL ALIMI", B4009="ÜRETİM GİRİŞ"), MIN(I4009, MAX(0, I4009 + SUM(SUMIFS($I$1:I4008, $C$1:C4008, C4009, $B$1:B4008, {"MAL ALIMI","ÜRETİM GİRİŞ"})) - VLOOKUP(C4009, 'STOK RAPORU'!$C$2:$I$1000, 4, 0))), 0)</f>
        <v>0</v>
      </c>
      <c r="U4009" s="22">
        <f t="shared" si="248"/>
        <v>0</v>
      </c>
      <c r="V4009">
        <f t="shared" si="249"/>
        <v>0</v>
      </c>
      <c r="W4009" s="22">
        <f t="shared" si="250"/>
        <v>0</v>
      </c>
    </row>
    <row r="4010" spans="1:23" hidden="1" x14ac:dyDescent="0.25">
      <c r="A4010" s="3">
        <v>46062</v>
      </c>
      <c r="B4010" s="46" t="s">
        <v>334</v>
      </c>
      <c r="C4010" s="4" t="s">
        <v>60</v>
      </c>
      <c r="D4010" s="4"/>
      <c r="E4010" s="4"/>
      <c r="F4010" s="46" t="s">
        <v>2036</v>
      </c>
      <c r="G4010" s="4" t="s">
        <v>336</v>
      </c>
      <c r="H4010" s="4" t="s">
        <v>289</v>
      </c>
      <c r="I4010" s="4">
        <v>0.05</v>
      </c>
      <c r="J4010" s="21">
        <v>1000</v>
      </c>
      <c r="K4010" s="21">
        <v>0</v>
      </c>
      <c r="L4010" s="5">
        <v>0</v>
      </c>
      <c r="M4010" s="4"/>
      <c r="N4010" s="4"/>
      <c r="O4010" s="5"/>
      <c r="P4010" s="5"/>
      <c r="Q4010" s="21">
        <v>50</v>
      </c>
      <c r="R4010" s="21">
        <v>0</v>
      </c>
      <c r="S4010" s="5">
        <f t="shared" si="251"/>
        <v>63291.51899747087</v>
      </c>
      <c r="T4010" cm="1">
        <f t="array" ref="T4010">IF(OR(B4010="MAL ALIMI", B4010="ÜRETİM GİRİŞ"), MIN(I4010, MAX(0, I4010 + SUM(SUMIFS($I$1:I4009, $C$1:C4009, C4010, $B$1:B4009, {"MAL ALIMI","ÜRETİM GİRİŞ"})) - VLOOKUP(C4010, 'STOK RAPORU'!$C$2:$I$1000, 4, 0))), 0)</f>
        <v>0</v>
      </c>
      <c r="U4010" s="22">
        <f t="shared" si="248"/>
        <v>0</v>
      </c>
      <c r="V4010">
        <f t="shared" si="249"/>
        <v>0</v>
      </c>
      <c r="W4010" s="22">
        <f t="shared" si="250"/>
        <v>0</v>
      </c>
    </row>
    <row r="4011" spans="1:23" hidden="1" x14ac:dyDescent="0.25">
      <c r="A4011" s="3">
        <v>46062</v>
      </c>
      <c r="B4011" s="46" t="s">
        <v>334</v>
      </c>
      <c r="C4011" s="4" t="s">
        <v>523</v>
      </c>
      <c r="D4011" s="4"/>
      <c r="E4011" s="4"/>
      <c r="F4011" s="46" t="s">
        <v>2036</v>
      </c>
      <c r="G4011" s="4" t="s">
        <v>336</v>
      </c>
      <c r="H4011" s="4" t="s">
        <v>289</v>
      </c>
      <c r="I4011" s="4">
        <v>0.1</v>
      </c>
      <c r="J4011" s="21">
        <v>650</v>
      </c>
      <c r="K4011" s="21">
        <v>0</v>
      </c>
      <c r="L4011" s="5">
        <v>0</v>
      </c>
      <c r="M4011" s="4"/>
      <c r="N4011" s="4"/>
      <c r="O4011" s="5"/>
      <c r="P4011" s="5"/>
      <c r="Q4011" s="21">
        <v>65</v>
      </c>
      <c r="R4011" s="21">
        <v>0</v>
      </c>
      <c r="S4011" s="5">
        <f t="shared" si="251"/>
        <v>63356.51899747087</v>
      </c>
      <c r="T4011" cm="1">
        <f t="array" ref="T4011">IF(OR(B4011="MAL ALIMI", B4011="ÜRETİM GİRİŞ"), MIN(I4011, MAX(0, I4011 + SUM(SUMIFS($I$1:I4010, $C$1:C4010, C4011, $B$1:B4010, {"MAL ALIMI","ÜRETİM GİRİŞ"})) - VLOOKUP(C4011, 'STOK RAPORU'!$C$2:$I$1000, 4, 0))), 0)</f>
        <v>0</v>
      </c>
      <c r="U4011" s="22">
        <f t="shared" si="248"/>
        <v>0</v>
      </c>
      <c r="V4011">
        <f t="shared" si="249"/>
        <v>0</v>
      </c>
      <c r="W4011" s="22">
        <f t="shared" si="250"/>
        <v>0</v>
      </c>
    </row>
    <row r="4012" spans="1:23" hidden="1" x14ac:dyDescent="0.25">
      <c r="A4012" s="3">
        <v>46062</v>
      </c>
      <c r="B4012" s="46" t="s">
        <v>334</v>
      </c>
      <c r="C4012" s="4" t="s">
        <v>209</v>
      </c>
      <c r="D4012" s="4"/>
      <c r="E4012" s="4"/>
      <c r="F4012" s="46" t="s">
        <v>2036</v>
      </c>
      <c r="G4012" s="4" t="s">
        <v>336</v>
      </c>
      <c r="H4012" s="4" t="s">
        <v>289</v>
      </c>
      <c r="I4012" s="4">
        <v>0.05</v>
      </c>
      <c r="J4012" s="21">
        <v>2600</v>
      </c>
      <c r="K4012" s="21">
        <v>0</v>
      </c>
      <c r="L4012" s="5">
        <v>0</v>
      </c>
      <c r="M4012" s="4"/>
      <c r="N4012" s="4"/>
      <c r="O4012" s="5"/>
      <c r="P4012" s="5"/>
      <c r="Q4012" s="21">
        <v>130</v>
      </c>
      <c r="R4012" s="21">
        <v>0</v>
      </c>
      <c r="S4012" s="5">
        <f t="shared" si="251"/>
        <v>63486.51899747087</v>
      </c>
      <c r="T4012" cm="1">
        <f t="array" ref="T4012">IF(OR(B4012="MAL ALIMI", B4012="ÜRETİM GİRİŞ"), MIN(I4012, MAX(0, I4012 + SUM(SUMIFS($I$1:I4011, $C$1:C4011, C4012, $B$1:B4011, {"MAL ALIMI","ÜRETİM GİRİŞ"})) - VLOOKUP(C4012, 'STOK RAPORU'!$C$2:$I$1000, 4, 0))), 0)</f>
        <v>0</v>
      </c>
      <c r="U4012" s="22">
        <f t="shared" si="248"/>
        <v>0</v>
      </c>
      <c r="V4012">
        <f t="shared" si="249"/>
        <v>0</v>
      </c>
      <c r="W4012" s="22">
        <f t="shared" si="250"/>
        <v>0</v>
      </c>
    </row>
    <row r="4013" spans="1:23" hidden="1" x14ac:dyDescent="0.25">
      <c r="A4013" s="3">
        <v>46062</v>
      </c>
      <c r="B4013" s="46" t="s">
        <v>334</v>
      </c>
      <c r="C4013" s="4" t="s">
        <v>529</v>
      </c>
      <c r="D4013" s="4"/>
      <c r="E4013" s="4"/>
      <c r="F4013" s="46" t="s">
        <v>2036</v>
      </c>
      <c r="G4013" s="4" t="s">
        <v>336</v>
      </c>
      <c r="H4013" s="4" t="s">
        <v>289</v>
      </c>
      <c r="I4013" s="4">
        <v>0.1</v>
      </c>
      <c r="J4013" s="21">
        <v>600</v>
      </c>
      <c r="K4013" s="21">
        <v>0</v>
      </c>
      <c r="L4013" s="5">
        <v>0</v>
      </c>
      <c r="M4013" s="4"/>
      <c r="N4013" s="4"/>
      <c r="O4013" s="5"/>
      <c r="P4013" s="5"/>
      <c r="Q4013" s="21">
        <v>60</v>
      </c>
      <c r="R4013" s="21">
        <v>0</v>
      </c>
      <c r="S4013" s="5">
        <f t="shared" si="251"/>
        <v>63546.51899747087</v>
      </c>
      <c r="T4013" cm="1">
        <f t="array" ref="T4013">IF(OR(B4013="MAL ALIMI", B4013="ÜRETİM GİRİŞ"), MIN(I4013, MAX(0, I4013 + SUM(SUMIFS($I$1:I4012, $C$1:C4012, C4013, $B$1:B4012, {"MAL ALIMI","ÜRETİM GİRİŞ"})) - VLOOKUP(C4013, 'STOK RAPORU'!$C$2:$I$1000, 4, 0))), 0)</f>
        <v>0</v>
      </c>
      <c r="U4013" s="22">
        <f t="shared" si="248"/>
        <v>0</v>
      </c>
      <c r="V4013">
        <f t="shared" si="249"/>
        <v>0</v>
      </c>
      <c r="W4013" s="22">
        <f t="shared" si="250"/>
        <v>0</v>
      </c>
    </row>
    <row r="4014" spans="1:23" hidden="1" x14ac:dyDescent="0.25">
      <c r="A4014" s="3">
        <v>46062</v>
      </c>
      <c r="B4014" s="46" t="s">
        <v>334</v>
      </c>
      <c r="C4014" s="4" t="s">
        <v>840</v>
      </c>
      <c r="D4014" s="4"/>
      <c r="E4014" s="4"/>
      <c r="F4014" s="46" t="s">
        <v>2036</v>
      </c>
      <c r="G4014" s="4" t="s">
        <v>336</v>
      </c>
      <c r="H4014" s="4" t="s">
        <v>289</v>
      </c>
      <c r="I4014" s="4">
        <v>0.25</v>
      </c>
      <c r="J4014" s="21">
        <v>360</v>
      </c>
      <c r="K4014" s="21">
        <v>0</v>
      </c>
      <c r="L4014" s="5">
        <v>0</v>
      </c>
      <c r="M4014" s="4"/>
      <c r="N4014" s="4"/>
      <c r="O4014" s="5"/>
      <c r="P4014" s="5"/>
      <c r="Q4014" s="21">
        <v>90</v>
      </c>
      <c r="R4014" s="21">
        <v>0</v>
      </c>
      <c r="S4014" s="5">
        <f t="shared" si="251"/>
        <v>63636.51899747087</v>
      </c>
      <c r="T4014" cm="1">
        <f t="array" ref="T4014">IF(OR(B4014="MAL ALIMI", B4014="ÜRETİM GİRİŞ"), MIN(I4014, MAX(0, I4014 + SUM(SUMIFS($I$1:I4013, $C$1:C4013, C4014, $B$1:B4013, {"MAL ALIMI","ÜRETİM GİRİŞ"})) - VLOOKUP(C4014, 'STOK RAPORU'!$C$2:$I$1000, 4, 0))), 0)</f>
        <v>0</v>
      </c>
      <c r="U4014" s="22">
        <f t="shared" si="248"/>
        <v>0</v>
      </c>
      <c r="V4014">
        <f t="shared" si="249"/>
        <v>0</v>
      </c>
      <c r="W4014" s="22">
        <f t="shared" si="250"/>
        <v>0</v>
      </c>
    </row>
    <row r="4015" spans="1:23" hidden="1" x14ac:dyDescent="0.25">
      <c r="A4015" s="3">
        <v>46062</v>
      </c>
      <c r="B4015" s="4" t="s">
        <v>946</v>
      </c>
      <c r="C4015" s="4"/>
      <c r="D4015" s="4"/>
      <c r="E4015" s="4" t="s">
        <v>921</v>
      </c>
      <c r="F4015" s="4"/>
      <c r="G4015" s="4" t="s">
        <v>946</v>
      </c>
      <c r="H4015" s="4" t="s">
        <v>380</v>
      </c>
      <c r="I4015" s="4">
        <v>1</v>
      </c>
      <c r="J4015" s="105">
        <v>1210</v>
      </c>
      <c r="K4015" s="21">
        <v>0</v>
      </c>
      <c r="L4015" s="111">
        <v>1210</v>
      </c>
      <c r="M4015" s="4"/>
      <c r="N4015" s="4"/>
      <c r="O4015" s="5"/>
      <c r="P4015" s="5"/>
      <c r="Q4015" s="21">
        <v>1210</v>
      </c>
      <c r="R4015" s="21">
        <v>0</v>
      </c>
      <c r="S4015" s="5">
        <f t="shared" si="251"/>
        <v>64846.51899747087</v>
      </c>
      <c r="T4015" cm="1">
        <f t="array" ref="T4015">IF(OR(B4015="MAL ALIMI", B4015="ÜRETİM GİRİŞ"), MIN(I4015, MAX(0, I4015 + SUM(SUMIFS($I$1:I4014, $C$1:C4014, C4015, $B$1:B4014, {"MAL ALIMI","ÜRETİM GİRİŞ"})) - VLOOKUP(C4015, 'STOK RAPORU'!$C$2:$I$1000, 4, 0))), 0)</f>
        <v>0</v>
      </c>
      <c r="U4015" s="22">
        <f t="shared" si="248"/>
        <v>0</v>
      </c>
      <c r="V4015">
        <f t="shared" si="249"/>
        <v>0</v>
      </c>
      <c r="W4015" s="22">
        <f t="shared" si="250"/>
        <v>0</v>
      </c>
    </row>
    <row r="4016" spans="1:23" hidden="1" x14ac:dyDescent="0.25">
      <c r="A4016" s="3">
        <v>46062</v>
      </c>
      <c r="B4016" s="4" t="s">
        <v>946</v>
      </c>
      <c r="C4016" s="4"/>
      <c r="D4016" s="4"/>
      <c r="E4016" s="4" t="s">
        <v>921</v>
      </c>
      <c r="F4016" s="4"/>
      <c r="G4016" s="4" t="s">
        <v>946</v>
      </c>
      <c r="H4016" s="4" t="s">
        <v>380</v>
      </c>
      <c r="I4016" s="4">
        <v>1</v>
      </c>
      <c r="J4016" s="105">
        <v>625</v>
      </c>
      <c r="K4016" s="21">
        <v>0</v>
      </c>
      <c r="L4016" s="111">
        <v>625</v>
      </c>
      <c r="M4016" s="4"/>
      <c r="N4016" s="4"/>
      <c r="O4016" s="5"/>
      <c r="P4016" s="5"/>
      <c r="Q4016" s="21">
        <v>625</v>
      </c>
      <c r="R4016" s="21">
        <v>0</v>
      </c>
      <c r="S4016" s="5">
        <f t="shared" si="251"/>
        <v>65471.51899747087</v>
      </c>
      <c r="T4016" cm="1">
        <f t="array" ref="T4016">IF(OR(B4016="MAL ALIMI", B4016="ÜRETİM GİRİŞ"), MIN(I4016, MAX(0, I4016 + SUM(SUMIFS($I$1:I4015, $C$1:C4015, C4016, $B$1:B4015, {"MAL ALIMI","ÜRETİM GİRİŞ"})) - VLOOKUP(C4016, 'STOK RAPORU'!$C$2:$I$1000, 4, 0))), 0)</f>
        <v>0</v>
      </c>
      <c r="U4016" s="22">
        <f t="shared" si="248"/>
        <v>0</v>
      </c>
      <c r="V4016">
        <f t="shared" si="249"/>
        <v>0</v>
      </c>
      <c r="W4016" s="22">
        <f t="shared" si="250"/>
        <v>0</v>
      </c>
    </row>
    <row r="4017" spans="1:23" hidden="1" x14ac:dyDescent="0.25">
      <c r="A4017" s="3">
        <v>46062</v>
      </c>
      <c r="B4017" s="4" t="s">
        <v>917</v>
      </c>
      <c r="C4017" s="4"/>
      <c r="D4017" s="4"/>
      <c r="E4017" s="4" t="s">
        <v>856</v>
      </c>
      <c r="F4017" s="4"/>
      <c r="G4017" s="4" t="s">
        <v>920</v>
      </c>
      <c r="H4017" s="4" t="s">
        <v>289</v>
      </c>
      <c r="I4017" s="4">
        <v>1</v>
      </c>
      <c r="J4017" s="21">
        <v>0</v>
      </c>
      <c r="K4017" s="21">
        <v>7492.2</v>
      </c>
      <c r="L4017" s="5">
        <v>0</v>
      </c>
      <c r="M4017" s="21">
        <v>0</v>
      </c>
      <c r="N4017" s="21">
        <v>42049.46</v>
      </c>
      <c r="O4017" s="5"/>
      <c r="P4017" s="5"/>
      <c r="Q4017" s="21">
        <v>0</v>
      </c>
      <c r="R4017" s="21">
        <v>7492.2</v>
      </c>
      <c r="S4017" s="5">
        <f t="shared" si="251"/>
        <v>57979.318997470873</v>
      </c>
      <c r="T4017" cm="1">
        <f t="array" ref="T4017">IF(OR(B4017="MAL ALIMI", B4017="ÜRETİM GİRİŞ"), MIN(I4017, MAX(0, I4017 + SUM(SUMIFS($I$1:I4016, $C$1:C4016, C4017, $B$1:B4016, {"MAL ALIMI","ÜRETİM GİRİŞ"})) - VLOOKUP(C4017, 'STOK RAPORU'!$C$2:$I$1000, 4, 0))), 0)</f>
        <v>0</v>
      </c>
      <c r="U4017" s="22">
        <f t="shared" si="248"/>
        <v>0</v>
      </c>
      <c r="V4017">
        <f t="shared" si="249"/>
        <v>0</v>
      </c>
      <c r="W4017" s="22">
        <f t="shared" si="250"/>
        <v>0</v>
      </c>
    </row>
    <row r="4018" spans="1:23" hidden="1" x14ac:dyDescent="0.25">
      <c r="A4018" s="3">
        <v>46063</v>
      </c>
      <c r="B4018" s="46" t="s">
        <v>334</v>
      </c>
      <c r="C4018" s="4" t="s">
        <v>251</v>
      </c>
      <c r="D4018" s="4"/>
      <c r="E4018" s="4" t="s">
        <v>921</v>
      </c>
      <c r="F4018" s="46" t="s">
        <v>2037</v>
      </c>
      <c r="G4018" s="4" t="s">
        <v>336</v>
      </c>
      <c r="H4018" s="4" t="s">
        <v>380</v>
      </c>
      <c r="I4018" s="4">
        <v>0.28059701492537314</v>
      </c>
      <c r="J4018" s="21">
        <v>670</v>
      </c>
      <c r="K4018" s="21">
        <v>188</v>
      </c>
      <c r="L4018" s="5">
        <v>0</v>
      </c>
      <c r="M4018" s="4"/>
      <c r="N4018" s="4"/>
      <c r="O4018" s="5"/>
      <c r="P4018" s="5"/>
      <c r="Q4018" s="21">
        <v>0</v>
      </c>
      <c r="R4018" s="21">
        <v>0</v>
      </c>
      <c r="S4018" s="5">
        <f t="shared" si="251"/>
        <v>57979.318997470873</v>
      </c>
      <c r="T4018" cm="1">
        <f t="array" ref="T4018">IF(OR(B4018="MAL ALIMI", B4018="ÜRETİM GİRİŞ"), MIN(I4018, MAX(0, I4018 + SUM(SUMIFS($I$1:I4017, $C$1:C4017, C4018, $B$1:B4017, {"MAL ALIMI","ÜRETİM GİRİŞ"})) - VLOOKUP(C4018, 'STOK RAPORU'!$C$2:$I$1000, 4, 0))), 0)</f>
        <v>0</v>
      </c>
      <c r="U4018" s="22">
        <f t="shared" si="248"/>
        <v>0</v>
      </c>
      <c r="V4018">
        <f t="shared" si="249"/>
        <v>0</v>
      </c>
      <c r="W4018" s="22">
        <f t="shared" si="250"/>
        <v>0</v>
      </c>
    </row>
    <row r="4019" spans="1:23" hidden="1" x14ac:dyDescent="0.25">
      <c r="A4019" s="3">
        <v>46063</v>
      </c>
      <c r="B4019" s="46" t="s">
        <v>334</v>
      </c>
      <c r="C4019" s="4" t="s">
        <v>601</v>
      </c>
      <c r="D4019" s="4"/>
      <c r="E4019" s="4" t="s">
        <v>921</v>
      </c>
      <c r="F4019" s="46" t="s">
        <v>2038</v>
      </c>
      <c r="G4019" s="4" t="s">
        <v>336</v>
      </c>
      <c r="H4019" s="4" t="s">
        <v>380</v>
      </c>
      <c r="I4019" s="4">
        <v>0.44363636363636366</v>
      </c>
      <c r="J4019" s="21">
        <v>550</v>
      </c>
      <c r="K4019" s="21">
        <v>244</v>
      </c>
      <c r="L4019" s="5">
        <v>0</v>
      </c>
      <c r="M4019" s="4"/>
      <c r="N4019" s="4"/>
      <c r="O4019" s="5"/>
      <c r="P4019" s="5"/>
      <c r="Q4019" s="21">
        <v>0</v>
      </c>
      <c r="R4019" s="21">
        <v>0</v>
      </c>
      <c r="S4019" s="5">
        <f t="shared" si="251"/>
        <v>57979.318997470873</v>
      </c>
      <c r="T4019" cm="1">
        <f t="array" ref="T4019">IF(OR(B4019="MAL ALIMI", B4019="ÜRETİM GİRİŞ"), MIN(I4019, MAX(0, I4019 + SUM(SUMIFS($I$1:I4018, $C$1:C4018, C4019, $B$1:B4018, {"MAL ALIMI","ÜRETİM GİRİŞ"})) - VLOOKUP(C4019, 'STOK RAPORU'!$C$2:$I$1000, 4, 0))), 0)</f>
        <v>0</v>
      </c>
      <c r="U4019" s="22">
        <f t="shared" si="248"/>
        <v>0</v>
      </c>
      <c r="V4019">
        <f t="shared" si="249"/>
        <v>0</v>
      </c>
      <c r="W4019" s="22">
        <f t="shared" si="250"/>
        <v>0</v>
      </c>
    </row>
    <row r="4020" spans="1:23" hidden="1" x14ac:dyDescent="0.25">
      <c r="A4020" s="3">
        <v>46063</v>
      </c>
      <c r="B4020" s="46" t="s">
        <v>334</v>
      </c>
      <c r="C4020" s="4" t="s">
        <v>223</v>
      </c>
      <c r="D4020" s="4"/>
      <c r="E4020" s="4" t="s">
        <v>921</v>
      </c>
      <c r="F4020" s="46" t="s">
        <v>2038</v>
      </c>
      <c r="G4020" s="4" t="s">
        <v>336</v>
      </c>
      <c r="H4020" s="4" t="s">
        <v>380</v>
      </c>
      <c r="I4020" s="4">
        <v>0.53749999999999998</v>
      </c>
      <c r="J4020" s="21">
        <v>800</v>
      </c>
      <c r="K4020" s="21">
        <v>430</v>
      </c>
      <c r="L4020" s="5">
        <v>0</v>
      </c>
      <c r="M4020" s="4"/>
      <c r="N4020" s="4"/>
      <c r="O4020" s="5"/>
      <c r="P4020" s="5"/>
      <c r="Q4020" s="21">
        <v>0</v>
      </c>
      <c r="R4020" s="21">
        <v>0</v>
      </c>
      <c r="S4020" s="5">
        <f t="shared" si="251"/>
        <v>57979.318997470873</v>
      </c>
      <c r="T4020" cm="1">
        <f t="array" ref="T4020">IF(OR(B4020="MAL ALIMI", B4020="ÜRETİM GİRİŞ"), MIN(I4020, MAX(0, I4020 + SUM(SUMIFS($I$1:I4019, $C$1:C4019, C4020, $B$1:B4019, {"MAL ALIMI","ÜRETİM GİRİŞ"})) - VLOOKUP(C4020, 'STOK RAPORU'!$C$2:$I$1000, 4, 0))), 0)</f>
        <v>0</v>
      </c>
      <c r="U4020" s="22">
        <f t="shared" si="248"/>
        <v>0</v>
      </c>
      <c r="V4020">
        <f t="shared" si="249"/>
        <v>0</v>
      </c>
      <c r="W4020" s="22">
        <f t="shared" si="250"/>
        <v>0</v>
      </c>
    </row>
    <row r="4021" spans="1:23" hidden="1" x14ac:dyDescent="0.25">
      <c r="A4021" s="3">
        <v>46063</v>
      </c>
      <c r="B4021" s="46" t="s">
        <v>334</v>
      </c>
      <c r="C4021" s="4" t="s">
        <v>209</v>
      </c>
      <c r="D4021" s="4"/>
      <c r="E4021" s="4" t="s">
        <v>921</v>
      </c>
      <c r="F4021" s="46" t="s">
        <v>2038</v>
      </c>
      <c r="G4021" s="4" t="s">
        <v>336</v>
      </c>
      <c r="H4021" s="4" t="s">
        <v>380</v>
      </c>
      <c r="I4021" s="4">
        <v>0.05</v>
      </c>
      <c r="J4021" s="21">
        <v>2600</v>
      </c>
      <c r="K4021" s="21">
        <v>130</v>
      </c>
      <c r="L4021" s="5">
        <v>0</v>
      </c>
      <c r="M4021" s="4"/>
      <c r="N4021" s="4"/>
      <c r="O4021" s="5"/>
      <c r="P4021" s="5"/>
      <c r="Q4021" s="21">
        <v>0</v>
      </c>
      <c r="R4021" s="21">
        <v>0</v>
      </c>
      <c r="S4021" s="5">
        <f t="shared" si="251"/>
        <v>57979.318997470873</v>
      </c>
      <c r="T4021" cm="1">
        <f t="array" ref="T4021">IF(OR(B4021="MAL ALIMI", B4021="ÜRETİM GİRİŞ"), MIN(I4021, MAX(0, I4021 + SUM(SUMIFS($I$1:I4020, $C$1:C4020, C4021, $B$1:B4020, {"MAL ALIMI","ÜRETİM GİRİŞ"})) - VLOOKUP(C4021, 'STOK RAPORU'!$C$2:$I$1000, 4, 0))), 0)</f>
        <v>0</v>
      </c>
      <c r="U4021" s="22">
        <f t="shared" si="248"/>
        <v>0</v>
      </c>
      <c r="V4021">
        <f t="shared" si="249"/>
        <v>0</v>
      </c>
      <c r="W4021" s="22">
        <f t="shared" si="250"/>
        <v>0</v>
      </c>
    </row>
    <row r="4022" spans="1:23" hidden="1" x14ac:dyDescent="0.25">
      <c r="A4022" s="3">
        <v>46063</v>
      </c>
      <c r="B4022" s="46" t="s">
        <v>334</v>
      </c>
      <c r="C4022" s="4" t="s">
        <v>215</v>
      </c>
      <c r="D4022" s="4"/>
      <c r="E4022" s="4" t="s">
        <v>921</v>
      </c>
      <c r="F4022" s="46" t="s">
        <v>2039</v>
      </c>
      <c r="G4022" s="4" t="s">
        <v>336</v>
      </c>
      <c r="H4022" s="4" t="s">
        <v>380</v>
      </c>
      <c r="I4022" s="4">
        <v>1</v>
      </c>
      <c r="J4022" s="21">
        <v>225</v>
      </c>
      <c r="K4022" s="21">
        <v>225</v>
      </c>
      <c r="L4022" s="5">
        <v>0</v>
      </c>
      <c r="M4022" s="4"/>
      <c r="N4022" s="4"/>
      <c r="O4022" s="5"/>
      <c r="P4022" s="5"/>
      <c r="Q4022" s="21">
        <v>0</v>
      </c>
      <c r="R4022" s="21">
        <v>0</v>
      </c>
      <c r="S4022" s="5">
        <f t="shared" si="251"/>
        <v>57979.318997470873</v>
      </c>
      <c r="T4022" cm="1">
        <f t="array" ref="T4022">IF(OR(B4022="MAL ALIMI", B4022="ÜRETİM GİRİŞ"), MIN(I4022, MAX(0, I4022 + SUM(SUMIFS($I$1:I4021, $C$1:C4021, C4022, $B$1:B4021, {"MAL ALIMI","ÜRETİM GİRİŞ"})) - VLOOKUP(C4022, 'STOK RAPORU'!$C$2:$I$1000, 4, 0))), 0)</f>
        <v>0</v>
      </c>
      <c r="U4022" s="22">
        <f t="shared" si="248"/>
        <v>0</v>
      </c>
      <c r="V4022">
        <f t="shared" si="249"/>
        <v>0</v>
      </c>
      <c r="W4022" s="22">
        <f t="shared" si="250"/>
        <v>0</v>
      </c>
    </row>
    <row r="4023" spans="1:23" hidden="1" x14ac:dyDescent="0.25">
      <c r="A4023" s="3">
        <v>46063</v>
      </c>
      <c r="B4023" s="46" t="s">
        <v>334</v>
      </c>
      <c r="C4023" s="4" t="s">
        <v>1143</v>
      </c>
      <c r="D4023" s="4"/>
      <c r="E4023" s="4" t="s">
        <v>921</v>
      </c>
      <c r="F4023" s="46" t="s">
        <v>2040</v>
      </c>
      <c r="G4023" s="4" t="s">
        <v>336</v>
      </c>
      <c r="H4023" s="4" t="s">
        <v>380</v>
      </c>
      <c r="I4023" s="4">
        <v>1</v>
      </c>
      <c r="J4023" s="21">
        <v>135</v>
      </c>
      <c r="K4023" s="21">
        <v>135</v>
      </c>
      <c r="L4023" s="5">
        <v>0</v>
      </c>
      <c r="M4023" s="4"/>
      <c r="N4023" s="4"/>
      <c r="O4023" s="5"/>
      <c r="P4023" s="5"/>
      <c r="Q4023" s="21">
        <v>0</v>
      </c>
      <c r="R4023" s="21">
        <v>0</v>
      </c>
      <c r="S4023" s="5">
        <f t="shared" si="251"/>
        <v>57979.318997470873</v>
      </c>
      <c r="T4023" cm="1">
        <f t="array" ref="T4023">IF(OR(B4023="MAL ALIMI", B4023="ÜRETİM GİRİŞ"), MIN(I4023, MAX(0, I4023 + SUM(SUMIFS($I$1:I4022, $C$1:C4022, C4023, $B$1:B4022, {"MAL ALIMI","ÜRETİM GİRİŞ"})) - VLOOKUP(C4023, 'STOK RAPORU'!$C$2:$I$1000, 4, 0))), 0)</f>
        <v>0</v>
      </c>
      <c r="U4023" s="22">
        <f t="shared" si="248"/>
        <v>0</v>
      </c>
      <c r="V4023">
        <f t="shared" si="249"/>
        <v>0</v>
      </c>
      <c r="W4023" s="22">
        <f t="shared" si="250"/>
        <v>0</v>
      </c>
    </row>
    <row r="4024" spans="1:23" hidden="1" x14ac:dyDescent="0.25">
      <c r="A4024" s="3">
        <v>46063</v>
      </c>
      <c r="B4024" s="46" t="s">
        <v>334</v>
      </c>
      <c r="C4024" s="4" t="s">
        <v>1443</v>
      </c>
      <c r="D4024" s="4"/>
      <c r="E4024" s="4" t="s">
        <v>921</v>
      </c>
      <c r="F4024" s="46" t="s">
        <v>2040</v>
      </c>
      <c r="G4024" s="4" t="s">
        <v>336</v>
      </c>
      <c r="H4024" s="4" t="s">
        <v>380</v>
      </c>
      <c r="I4024" s="4">
        <v>1</v>
      </c>
      <c r="J4024" s="21">
        <v>10</v>
      </c>
      <c r="K4024" s="21">
        <v>10</v>
      </c>
      <c r="L4024" s="5">
        <v>0</v>
      </c>
      <c r="M4024" s="4"/>
      <c r="N4024" s="4"/>
      <c r="O4024" s="5"/>
      <c r="P4024" s="5"/>
      <c r="Q4024" s="21">
        <v>0</v>
      </c>
      <c r="R4024" s="21">
        <v>0</v>
      </c>
      <c r="S4024" s="5">
        <f t="shared" si="251"/>
        <v>57979.318997470873</v>
      </c>
      <c r="T4024" cm="1">
        <f t="array" ref="T4024">IF(OR(B4024="MAL ALIMI", B4024="ÜRETİM GİRİŞ"), MIN(I4024, MAX(0, I4024 + SUM(SUMIFS($I$1:I4023, $C$1:C4023, C4024, $B$1:B4023, {"MAL ALIMI","ÜRETİM GİRİŞ"})) - VLOOKUP(C4024, 'STOK RAPORU'!$C$2:$I$1000, 4, 0))), 0)</f>
        <v>0</v>
      </c>
      <c r="U4024" s="22">
        <f t="shared" ref="U4024:U4086" si="252">T4024*J4024</f>
        <v>0</v>
      </c>
      <c r="V4024">
        <f t="shared" ref="V4024:V4086" si="253">IF(OR(B4024="MAL ALIMI", B4024="ÜRETİM GİRİŞ"), I4024 * J4024, 0)</f>
        <v>0</v>
      </c>
      <c r="W4024" s="22">
        <f t="shared" ref="W4024:W4086" si="254">V4024-U4024</f>
        <v>0</v>
      </c>
    </row>
    <row r="4025" spans="1:23" hidden="1" x14ac:dyDescent="0.25">
      <c r="A4025" s="3">
        <v>46063</v>
      </c>
      <c r="B4025" s="46" t="s">
        <v>334</v>
      </c>
      <c r="C4025" s="4" t="s">
        <v>1041</v>
      </c>
      <c r="D4025" s="4"/>
      <c r="E4025" s="4" t="s">
        <v>921</v>
      </c>
      <c r="F4025" s="46" t="s">
        <v>2040</v>
      </c>
      <c r="G4025" s="4" t="s">
        <v>336</v>
      </c>
      <c r="H4025" s="4" t="s">
        <v>380</v>
      </c>
      <c r="I4025" s="4">
        <v>0.624</v>
      </c>
      <c r="J4025" s="21">
        <v>250</v>
      </c>
      <c r="K4025" s="21">
        <v>156</v>
      </c>
      <c r="L4025" s="5">
        <v>0</v>
      </c>
      <c r="M4025" s="4"/>
      <c r="N4025" s="4"/>
      <c r="O4025" s="5"/>
      <c r="P4025" s="5"/>
      <c r="Q4025" s="21">
        <v>0</v>
      </c>
      <c r="R4025" s="21">
        <v>0</v>
      </c>
      <c r="S4025" s="5">
        <f t="shared" si="251"/>
        <v>57979.318997470873</v>
      </c>
      <c r="T4025" cm="1">
        <f t="array" ref="T4025">IF(OR(B4025="MAL ALIMI", B4025="ÜRETİM GİRİŞ"), MIN(I4025, MAX(0, I4025 + SUM(SUMIFS($I$1:I4024, $C$1:C4024, C4025, $B$1:B4024, {"MAL ALIMI","ÜRETİM GİRİŞ"})) - VLOOKUP(C4025, 'STOK RAPORU'!$C$2:$I$1000, 4, 0))), 0)</f>
        <v>0</v>
      </c>
      <c r="U4025" s="22">
        <f t="shared" si="252"/>
        <v>0</v>
      </c>
      <c r="V4025">
        <f t="shared" si="253"/>
        <v>0</v>
      </c>
      <c r="W4025" s="22">
        <f t="shared" si="254"/>
        <v>0</v>
      </c>
    </row>
    <row r="4026" spans="1:23" hidden="1" x14ac:dyDescent="0.25">
      <c r="A4026" s="3">
        <v>46063</v>
      </c>
      <c r="B4026" s="46" t="s">
        <v>334</v>
      </c>
      <c r="C4026" s="4" t="s">
        <v>126</v>
      </c>
      <c r="D4026" s="4"/>
      <c r="E4026" s="4" t="s">
        <v>921</v>
      </c>
      <c r="F4026" s="46" t="s">
        <v>2041</v>
      </c>
      <c r="G4026" s="4" t="s">
        <v>336</v>
      </c>
      <c r="H4026" s="4" t="s">
        <v>380</v>
      </c>
      <c r="I4026" s="4">
        <v>3.2307692307692308E-2</v>
      </c>
      <c r="J4026" s="21">
        <v>650</v>
      </c>
      <c r="K4026" s="21">
        <v>21</v>
      </c>
      <c r="L4026" s="5">
        <v>0</v>
      </c>
      <c r="M4026" s="4"/>
      <c r="N4026" s="4"/>
      <c r="O4026" s="5"/>
      <c r="P4026" s="5"/>
      <c r="Q4026" s="21">
        <v>0</v>
      </c>
      <c r="R4026" s="21">
        <v>0</v>
      </c>
      <c r="S4026" s="5">
        <f t="shared" si="251"/>
        <v>57979.318997470873</v>
      </c>
      <c r="T4026" cm="1">
        <f t="array" ref="T4026">IF(OR(B4026="MAL ALIMI", B4026="ÜRETİM GİRİŞ"), MIN(I4026, MAX(0, I4026 + SUM(SUMIFS($I$1:I4025, $C$1:C4025, C4026, $B$1:B4025, {"MAL ALIMI","ÜRETİM GİRİŞ"})) - VLOOKUP(C4026, 'STOK RAPORU'!$C$2:$I$1000, 4, 0))), 0)</f>
        <v>0</v>
      </c>
      <c r="U4026" s="22">
        <f t="shared" si="252"/>
        <v>0</v>
      </c>
      <c r="V4026">
        <f t="shared" si="253"/>
        <v>0</v>
      </c>
      <c r="W4026" s="22">
        <f t="shared" si="254"/>
        <v>0</v>
      </c>
    </row>
    <row r="4027" spans="1:23" hidden="1" x14ac:dyDescent="0.25">
      <c r="A4027" s="3">
        <v>46063</v>
      </c>
      <c r="B4027" s="46" t="s">
        <v>334</v>
      </c>
      <c r="C4027" s="4" t="s">
        <v>1360</v>
      </c>
      <c r="D4027" s="4"/>
      <c r="E4027" s="4" t="s">
        <v>921</v>
      </c>
      <c r="F4027" s="46" t="s">
        <v>2041</v>
      </c>
      <c r="G4027" s="4" t="s">
        <v>336</v>
      </c>
      <c r="H4027" s="4" t="s">
        <v>380</v>
      </c>
      <c r="I4027" s="4">
        <v>0.25</v>
      </c>
      <c r="J4027" s="21">
        <v>400</v>
      </c>
      <c r="K4027" s="21">
        <v>100</v>
      </c>
      <c r="L4027" s="5">
        <v>0</v>
      </c>
      <c r="M4027" s="4"/>
      <c r="N4027" s="4"/>
      <c r="O4027" s="5"/>
      <c r="P4027" s="5"/>
      <c r="Q4027" s="21">
        <v>0</v>
      </c>
      <c r="R4027" s="21">
        <v>0</v>
      </c>
      <c r="S4027" s="5">
        <f t="shared" si="251"/>
        <v>57979.318997470873</v>
      </c>
      <c r="T4027" cm="1">
        <f t="array" ref="T4027">IF(OR(B4027="MAL ALIMI", B4027="ÜRETİM GİRİŞ"), MIN(I4027, MAX(0, I4027 + SUM(SUMIFS($I$1:I4026, $C$1:C4026, C4027, $B$1:B4026, {"MAL ALIMI","ÜRETİM GİRİŞ"})) - VLOOKUP(C4027, 'STOK RAPORU'!$C$2:$I$1000, 4, 0))), 0)</f>
        <v>0</v>
      </c>
      <c r="U4027" s="22">
        <f t="shared" si="252"/>
        <v>0</v>
      </c>
      <c r="V4027">
        <f t="shared" si="253"/>
        <v>0</v>
      </c>
      <c r="W4027" s="22">
        <f t="shared" si="254"/>
        <v>0</v>
      </c>
    </row>
    <row r="4028" spans="1:23" hidden="1" x14ac:dyDescent="0.25">
      <c r="A4028" s="3">
        <v>46063</v>
      </c>
      <c r="B4028" s="46" t="s">
        <v>334</v>
      </c>
      <c r="C4028" s="4" t="s">
        <v>1443</v>
      </c>
      <c r="D4028" s="4"/>
      <c r="E4028" s="4" t="s">
        <v>921</v>
      </c>
      <c r="F4028" s="46" t="s">
        <v>2041</v>
      </c>
      <c r="G4028" s="4" t="s">
        <v>336</v>
      </c>
      <c r="H4028" s="4" t="s">
        <v>380</v>
      </c>
      <c r="I4028" s="4">
        <v>3</v>
      </c>
      <c r="J4028" s="21">
        <v>10</v>
      </c>
      <c r="K4028" s="21">
        <v>30</v>
      </c>
      <c r="L4028" s="5">
        <v>0</v>
      </c>
      <c r="M4028" s="4"/>
      <c r="N4028" s="4"/>
      <c r="O4028" s="5"/>
      <c r="P4028" s="5"/>
      <c r="Q4028" s="21">
        <v>0</v>
      </c>
      <c r="R4028" s="21">
        <v>0</v>
      </c>
      <c r="S4028" s="5">
        <f t="shared" si="251"/>
        <v>57979.318997470873</v>
      </c>
      <c r="T4028" cm="1">
        <f t="array" ref="T4028">IF(OR(B4028="MAL ALIMI", B4028="ÜRETİM GİRİŞ"), MIN(I4028, MAX(0, I4028 + SUM(SUMIFS($I$1:I4027, $C$1:C4027, C4028, $B$1:B4027, {"MAL ALIMI","ÜRETİM GİRİŞ"})) - VLOOKUP(C4028, 'STOK RAPORU'!$C$2:$I$1000, 4, 0))), 0)</f>
        <v>0</v>
      </c>
      <c r="U4028" s="22">
        <f t="shared" si="252"/>
        <v>0</v>
      </c>
      <c r="V4028">
        <f t="shared" si="253"/>
        <v>0</v>
      </c>
      <c r="W4028" s="22">
        <f t="shared" si="254"/>
        <v>0</v>
      </c>
    </row>
    <row r="4029" spans="1:23" hidden="1" x14ac:dyDescent="0.25">
      <c r="A4029" s="3">
        <v>46063</v>
      </c>
      <c r="B4029" s="46" t="s">
        <v>334</v>
      </c>
      <c r="C4029" s="4" t="s">
        <v>266</v>
      </c>
      <c r="D4029" s="4"/>
      <c r="E4029" s="4"/>
      <c r="F4029" s="46" t="s">
        <v>2042</v>
      </c>
      <c r="G4029" s="4" t="s">
        <v>336</v>
      </c>
      <c r="H4029" s="4" t="s">
        <v>289</v>
      </c>
      <c r="I4029" s="4">
        <v>0.4</v>
      </c>
      <c r="J4029" s="21">
        <v>250</v>
      </c>
      <c r="K4029" s="21">
        <v>0</v>
      </c>
      <c r="L4029" s="5">
        <v>0</v>
      </c>
      <c r="M4029" s="4"/>
      <c r="N4029" s="4"/>
      <c r="O4029" s="5"/>
      <c r="P4029" s="5"/>
      <c r="Q4029" s="21">
        <v>100</v>
      </c>
      <c r="R4029" s="21">
        <v>0</v>
      </c>
      <c r="S4029" s="5">
        <f t="shared" si="251"/>
        <v>58079.318997470873</v>
      </c>
      <c r="T4029" cm="1">
        <f t="array" ref="T4029">IF(OR(B4029="MAL ALIMI", B4029="ÜRETİM GİRİŞ"), MIN(I4029, MAX(0, I4029 + SUM(SUMIFS($I$1:I4028, $C$1:C4028, C4029, $B$1:B4028, {"MAL ALIMI","ÜRETİM GİRİŞ"})) - VLOOKUP(C4029, 'STOK RAPORU'!$C$2:$I$1000, 4, 0))), 0)</f>
        <v>0</v>
      </c>
      <c r="U4029" s="22">
        <f t="shared" si="252"/>
        <v>0</v>
      </c>
      <c r="V4029">
        <f t="shared" si="253"/>
        <v>0</v>
      </c>
      <c r="W4029" s="22">
        <f t="shared" si="254"/>
        <v>0</v>
      </c>
    </row>
    <row r="4030" spans="1:23" hidden="1" x14ac:dyDescent="0.25">
      <c r="A4030" s="3">
        <v>46063</v>
      </c>
      <c r="B4030" s="46" t="s">
        <v>334</v>
      </c>
      <c r="C4030" s="4" t="s">
        <v>60</v>
      </c>
      <c r="D4030" s="4"/>
      <c r="E4030" s="4"/>
      <c r="F4030" s="46" t="s">
        <v>2042</v>
      </c>
      <c r="G4030" s="4" t="s">
        <v>336</v>
      </c>
      <c r="H4030" s="4" t="s">
        <v>289</v>
      </c>
      <c r="I4030" s="4">
        <v>0.05</v>
      </c>
      <c r="J4030" s="21">
        <v>1000</v>
      </c>
      <c r="K4030" s="21">
        <v>0</v>
      </c>
      <c r="L4030" s="5">
        <v>0</v>
      </c>
      <c r="M4030" s="4"/>
      <c r="N4030" s="4"/>
      <c r="O4030" s="5"/>
      <c r="P4030" s="5"/>
      <c r="Q4030" s="21">
        <v>50</v>
      </c>
      <c r="R4030" s="21">
        <v>0</v>
      </c>
      <c r="S4030" s="5">
        <f t="shared" si="251"/>
        <v>58129.318997470873</v>
      </c>
      <c r="T4030" cm="1">
        <f t="array" ref="T4030">IF(OR(B4030="MAL ALIMI", B4030="ÜRETİM GİRİŞ"), MIN(I4030, MAX(0, I4030 + SUM(SUMIFS($I$1:I4029, $C$1:C4029, C4030, $B$1:B4029, {"MAL ALIMI","ÜRETİM GİRİŞ"})) - VLOOKUP(C4030, 'STOK RAPORU'!$C$2:$I$1000, 4, 0))), 0)</f>
        <v>0</v>
      </c>
      <c r="U4030" s="22">
        <f t="shared" si="252"/>
        <v>0</v>
      </c>
      <c r="V4030">
        <f t="shared" si="253"/>
        <v>0</v>
      </c>
      <c r="W4030" s="22">
        <f t="shared" si="254"/>
        <v>0</v>
      </c>
    </row>
    <row r="4031" spans="1:23" hidden="1" x14ac:dyDescent="0.25">
      <c r="A4031" s="3">
        <v>46063</v>
      </c>
      <c r="B4031" s="46" t="s">
        <v>334</v>
      </c>
      <c r="C4031" s="4" t="s">
        <v>1641</v>
      </c>
      <c r="D4031" s="4"/>
      <c r="E4031" s="4"/>
      <c r="F4031" s="46" t="s">
        <v>2043</v>
      </c>
      <c r="G4031" s="4" t="s">
        <v>336</v>
      </c>
      <c r="H4031" s="4" t="s">
        <v>289</v>
      </c>
      <c r="I4031" s="4">
        <v>0.1</v>
      </c>
      <c r="J4031" s="21">
        <v>1000</v>
      </c>
      <c r="K4031" s="21">
        <v>0</v>
      </c>
      <c r="L4031" s="5">
        <v>0</v>
      </c>
      <c r="M4031" s="4"/>
      <c r="N4031" s="4"/>
      <c r="O4031" s="5"/>
      <c r="P4031" s="5"/>
      <c r="Q4031" s="21">
        <v>100</v>
      </c>
      <c r="R4031" s="21">
        <v>0</v>
      </c>
      <c r="S4031" s="5">
        <f t="shared" si="251"/>
        <v>58229.318997470873</v>
      </c>
      <c r="T4031" cm="1">
        <f t="array" ref="T4031">IF(OR(B4031="MAL ALIMI", B4031="ÜRETİM GİRİŞ"), MIN(I4031, MAX(0, I4031 + SUM(SUMIFS($I$1:I4030, $C$1:C4030, C4031, $B$1:B4030, {"MAL ALIMI","ÜRETİM GİRİŞ"})) - VLOOKUP(C4031, 'STOK RAPORU'!$C$2:$I$1000, 4, 0))), 0)</f>
        <v>0</v>
      </c>
      <c r="U4031" s="22">
        <f t="shared" si="252"/>
        <v>0</v>
      </c>
      <c r="V4031">
        <f t="shared" si="253"/>
        <v>0</v>
      </c>
      <c r="W4031" s="22">
        <f t="shared" si="254"/>
        <v>0</v>
      </c>
    </row>
    <row r="4032" spans="1:23" hidden="1" x14ac:dyDescent="0.25">
      <c r="A4032" s="3">
        <v>46063</v>
      </c>
      <c r="B4032" s="46" t="s">
        <v>334</v>
      </c>
      <c r="C4032" s="4" t="s">
        <v>92</v>
      </c>
      <c r="D4032" s="4"/>
      <c r="E4032" s="4"/>
      <c r="F4032" s="46" t="s">
        <v>2043</v>
      </c>
      <c r="G4032" s="4" t="s">
        <v>336</v>
      </c>
      <c r="H4032" s="4" t="s">
        <v>289</v>
      </c>
      <c r="I4032" s="4">
        <v>0.1</v>
      </c>
      <c r="J4032" s="21">
        <v>500</v>
      </c>
      <c r="K4032" s="21">
        <v>0</v>
      </c>
      <c r="L4032" s="5">
        <v>0</v>
      </c>
      <c r="M4032" s="4"/>
      <c r="N4032" s="4"/>
      <c r="O4032" s="5"/>
      <c r="P4032" s="5"/>
      <c r="Q4032" s="21">
        <v>50</v>
      </c>
      <c r="R4032" s="21">
        <v>0</v>
      </c>
      <c r="S4032" s="5">
        <f t="shared" si="251"/>
        <v>58279.318997470873</v>
      </c>
      <c r="T4032" cm="1">
        <f t="array" ref="T4032">IF(OR(B4032="MAL ALIMI", B4032="ÜRETİM GİRİŞ"), MIN(I4032, MAX(0, I4032 + SUM(SUMIFS($I$1:I4031, $C$1:C4031, C4032, $B$1:B4031, {"MAL ALIMI","ÜRETİM GİRİŞ"})) - VLOOKUP(C4032, 'STOK RAPORU'!$C$2:$I$1000, 4, 0))), 0)</f>
        <v>0</v>
      </c>
      <c r="U4032" s="22">
        <f t="shared" si="252"/>
        <v>0</v>
      </c>
      <c r="V4032">
        <f t="shared" si="253"/>
        <v>0</v>
      </c>
      <c r="W4032" s="22">
        <f t="shared" si="254"/>
        <v>0</v>
      </c>
    </row>
    <row r="4033" spans="1:23" hidden="1" x14ac:dyDescent="0.25">
      <c r="A4033" s="3">
        <v>46063</v>
      </c>
      <c r="B4033" s="46" t="s">
        <v>334</v>
      </c>
      <c r="C4033" s="4" t="s">
        <v>2117</v>
      </c>
      <c r="D4033" s="4"/>
      <c r="E4033" s="4"/>
      <c r="F4033" s="46" t="s">
        <v>2044</v>
      </c>
      <c r="G4033" s="4" t="s">
        <v>336</v>
      </c>
      <c r="H4033" s="4" t="s">
        <v>289</v>
      </c>
      <c r="I4033" s="4">
        <v>1</v>
      </c>
      <c r="J4033" s="21">
        <v>30</v>
      </c>
      <c r="K4033" s="21">
        <v>0</v>
      </c>
      <c r="L4033" s="5">
        <v>0</v>
      </c>
      <c r="M4033" s="4"/>
      <c r="N4033" s="4"/>
      <c r="O4033" s="5"/>
      <c r="P4033" s="5"/>
      <c r="Q4033" s="21">
        <v>30</v>
      </c>
      <c r="R4033" s="21">
        <v>0</v>
      </c>
      <c r="S4033" s="5">
        <f t="shared" si="251"/>
        <v>58309.318997470873</v>
      </c>
      <c r="T4033" cm="1">
        <f t="array" ref="T4033">IF(OR(B4033="MAL ALIMI", B4033="ÜRETİM GİRİŞ"), MIN(I4033, MAX(0, I4033 + SUM(SUMIFS($I$1:I4032, $C$1:C4032, C4033, $B$1:B4032, {"MAL ALIMI","ÜRETİM GİRİŞ"})) - VLOOKUP(C4033, 'STOK RAPORU'!$C$2:$I$1000, 4, 0))), 0)</f>
        <v>0</v>
      </c>
      <c r="U4033" s="22">
        <f t="shared" si="252"/>
        <v>0</v>
      </c>
      <c r="V4033">
        <f t="shared" si="253"/>
        <v>0</v>
      </c>
      <c r="W4033" s="22">
        <f t="shared" si="254"/>
        <v>0</v>
      </c>
    </row>
    <row r="4034" spans="1:23" hidden="1" x14ac:dyDescent="0.25">
      <c r="A4034" s="45">
        <v>46063</v>
      </c>
      <c r="B4034" s="46" t="s">
        <v>334</v>
      </c>
      <c r="C4034" s="46" t="s">
        <v>586</v>
      </c>
      <c r="D4034" s="46"/>
      <c r="E4034" s="46" t="s">
        <v>2343</v>
      </c>
      <c r="F4034" s="46" t="s">
        <v>2114</v>
      </c>
      <c r="G4034" s="46" t="s">
        <v>2115</v>
      </c>
      <c r="H4034" s="46" t="s">
        <v>304</v>
      </c>
      <c r="I4034" s="46">
        <v>19.350000000000001</v>
      </c>
      <c r="J4034" s="47">
        <v>130</v>
      </c>
      <c r="K4034" s="47">
        <v>2515.5</v>
      </c>
      <c r="L4034" s="48">
        <v>0</v>
      </c>
      <c r="M4034" s="42"/>
      <c r="N4034" s="42"/>
      <c r="O4034" s="44"/>
      <c r="P4034" s="44"/>
      <c r="Q4034" s="47">
        <v>0</v>
      </c>
      <c r="R4034" s="47">
        <v>0</v>
      </c>
      <c r="S4034" s="5">
        <f t="shared" si="251"/>
        <v>58309.318997470873</v>
      </c>
      <c r="T4034" cm="1">
        <f t="array" ref="T4034">IF(OR(B4034="MAL ALIMI", B4034="ÜRETİM GİRİŞ"), MIN(I4034, MAX(0, I4034 + SUM(SUMIFS($I$1:I4033, $C$1:C4033, C4034, $B$1:B4033, {"MAL ALIMI","ÜRETİM GİRİŞ"})) - VLOOKUP(C4034, 'STOK RAPORU'!$C$2:$I$1000, 4, 0))), 0)</f>
        <v>0</v>
      </c>
      <c r="U4034" s="22">
        <f t="shared" si="252"/>
        <v>0</v>
      </c>
      <c r="V4034">
        <f t="shared" si="253"/>
        <v>0</v>
      </c>
      <c r="W4034" s="22">
        <f t="shared" si="254"/>
        <v>0</v>
      </c>
    </row>
    <row r="4035" spans="1:23" hidden="1" x14ac:dyDescent="0.25">
      <c r="A4035" s="45">
        <v>46063</v>
      </c>
      <c r="B4035" s="46" t="s">
        <v>334</v>
      </c>
      <c r="C4035" s="46" t="s">
        <v>587</v>
      </c>
      <c r="D4035" s="46"/>
      <c r="E4035" s="46" t="s">
        <v>2343</v>
      </c>
      <c r="F4035" s="46" t="s">
        <v>2114</v>
      </c>
      <c r="G4035" s="46" t="s">
        <v>2115</v>
      </c>
      <c r="H4035" s="46" t="s">
        <v>304</v>
      </c>
      <c r="I4035" s="46">
        <v>19.350000000000001</v>
      </c>
      <c r="J4035" s="47">
        <v>100</v>
      </c>
      <c r="K4035" s="47">
        <v>1935</v>
      </c>
      <c r="L4035" s="48">
        <v>0</v>
      </c>
      <c r="M4035" s="42"/>
      <c r="N4035" s="42"/>
      <c r="O4035" s="44"/>
      <c r="P4035" s="44"/>
      <c r="Q4035" s="47">
        <v>0</v>
      </c>
      <c r="R4035" s="47">
        <v>0</v>
      </c>
      <c r="S4035" s="5">
        <f t="shared" si="251"/>
        <v>58309.318997470873</v>
      </c>
      <c r="T4035" cm="1">
        <f t="array" ref="T4035">IF(OR(B4035="MAL ALIMI", B4035="ÜRETİM GİRİŞ"), MIN(I4035, MAX(0, I4035 + SUM(SUMIFS($I$1:I4034, $C$1:C4034, C4035, $B$1:B4034, {"MAL ALIMI","ÜRETİM GİRİŞ"})) - VLOOKUP(C4035, 'STOK RAPORU'!$C$2:$I$1000, 4, 0))), 0)</f>
        <v>0</v>
      </c>
      <c r="U4035" s="22">
        <f t="shared" si="252"/>
        <v>0</v>
      </c>
      <c r="V4035">
        <f t="shared" si="253"/>
        <v>0</v>
      </c>
      <c r="W4035" s="22">
        <f t="shared" si="254"/>
        <v>0</v>
      </c>
    </row>
    <row r="4036" spans="1:23" hidden="1" x14ac:dyDescent="0.25">
      <c r="A4036" s="41">
        <v>46063</v>
      </c>
      <c r="B4036" s="42" t="s">
        <v>334</v>
      </c>
      <c r="C4036" s="42" t="s">
        <v>131</v>
      </c>
      <c r="D4036" s="42"/>
      <c r="E4036" s="42" t="s">
        <v>2343</v>
      </c>
      <c r="F4036" s="42" t="s">
        <v>2114</v>
      </c>
      <c r="G4036" s="42" t="s">
        <v>2115</v>
      </c>
      <c r="H4036" s="42" t="s">
        <v>304</v>
      </c>
      <c r="I4036" s="42">
        <v>0.625</v>
      </c>
      <c r="J4036" s="43">
        <v>280</v>
      </c>
      <c r="K4036" s="43">
        <v>175</v>
      </c>
      <c r="L4036" s="44">
        <v>0</v>
      </c>
      <c r="M4036" s="42"/>
      <c r="N4036" s="42"/>
      <c r="O4036" s="44"/>
      <c r="P4036" s="44"/>
      <c r="Q4036" s="43">
        <v>0</v>
      </c>
      <c r="R4036" s="43">
        <v>0</v>
      </c>
      <c r="S4036" s="5">
        <f t="shared" ref="S4036:S4099" si="255">S4035+Q4036-R4036</f>
        <v>58309.318997470873</v>
      </c>
      <c r="T4036" cm="1">
        <f t="array" ref="T4036">IF(OR(B4036="MAL ALIMI", B4036="ÜRETİM GİRİŞ"), MIN(I4036, MAX(0, I4036 + SUM(SUMIFS($I$1:I4035, $C$1:C4035, C4036, $B$1:B4035, {"MAL ALIMI","ÜRETİM GİRİŞ"})) - VLOOKUP(C4036, 'STOK RAPORU'!$C$2:$I$1000, 4, 0))), 0)</f>
        <v>0</v>
      </c>
      <c r="U4036" s="22">
        <f t="shared" si="252"/>
        <v>0</v>
      </c>
      <c r="V4036">
        <f t="shared" si="253"/>
        <v>0</v>
      </c>
      <c r="W4036" s="22">
        <f t="shared" si="254"/>
        <v>0</v>
      </c>
    </row>
    <row r="4037" spans="1:23" hidden="1" x14ac:dyDescent="0.25">
      <c r="A4037" s="41">
        <v>46063</v>
      </c>
      <c r="B4037" s="42" t="s">
        <v>334</v>
      </c>
      <c r="C4037" s="42" t="s">
        <v>91</v>
      </c>
      <c r="D4037" s="42"/>
      <c r="E4037" s="42" t="s">
        <v>2343</v>
      </c>
      <c r="F4037" s="42" t="s">
        <v>2114</v>
      </c>
      <c r="G4037" s="42" t="s">
        <v>2115</v>
      </c>
      <c r="H4037" s="42" t="s">
        <v>304</v>
      </c>
      <c r="I4037" s="42">
        <v>0.32500000000000001</v>
      </c>
      <c r="J4037" s="43">
        <v>615</v>
      </c>
      <c r="K4037" s="43">
        <v>199.875</v>
      </c>
      <c r="L4037" s="44">
        <v>0</v>
      </c>
      <c r="M4037" s="42"/>
      <c r="N4037" s="42"/>
      <c r="O4037" s="44"/>
      <c r="P4037" s="44"/>
      <c r="Q4037" s="43">
        <v>0</v>
      </c>
      <c r="R4037" s="43">
        <v>0</v>
      </c>
      <c r="S4037" s="5">
        <f t="shared" si="255"/>
        <v>58309.318997470873</v>
      </c>
      <c r="T4037" cm="1">
        <f t="array" ref="T4037">IF(OR(B4037="MAL ALIMI", B4037="ÜRETİM GİRİŞ"), MIN(I4037, MAX(0, I4037 + SUM(SUMIFS($I$1:I4036, $C$1:C4036, C4037, $B$1:B4036, {"MAL ALIMI","ÜRETİM GİRİŞ"})) - VLOOKUP(C4037, 'STOK RAPORU'!$C$2:$I$1000, 4, 0))), 0)</f>
        <v>0</v>
      </c>
      <c r="U4037" s="22">
        <f t="shared" si="252"/>
        <v>0</v>
      </c>
      <c r="V4037">
        <f t="shared" si="253"/>
        <v>0</v>
      </c>
      <c r="W4037" s="22">
        <f t="shared" si="254"/>
        <v>0</v>
      </c>
    </row>
    <row r="4038" spans="1:23" hidden="1" x14ac:dyDescent="0.25">
      <c r="A4038" s="41">
        <v>46063</v>
      </c>
      <c r="B4038" s="42" t="s">
        <v>334</v>
      </c>
      <c r="C4038" s="42" t="s">
        <v>126</v>
      </c>
      <c r="D4038" s="42"/>
      <c r="E4038" s="42" t="s">
        <v>2343</v>
      </c>
      <c r="F4038" s="42" t="s">
        <v>2114</v>
      </c>
      <c r="G4038" s="42" t="s">
        <v>2115</v>
      </c>
      <c r="H4038" s="42" t="s">
        <v>304</v>
      </c>
      <c r="I4038" s="42">
        <v>0.375</v>
      </c>
      <c r="J4038" s="43">
        <v>534</v>
      </c>
      <c r="K4038" s="43">
        <v>200.25</v>
      </c>
      <c r="L4038" s="44">
        <v>0</v>
      </c>
      <c r="M4038" s="42"/>
      <c r="N4038" s="42"/>
      <c r="O4038" s="44"/>
      <c r="P4038" s="44"/>
      <c r="Q4038" s="43">
        <v>0</v>
      </c>
      <c r="R4038" s="43">
        <v>0</v>
      </c>
      <c r="S4038" s="5">
        <f t="shared" si="255"/>
        <v>58309.318997470873</v>
      </c>
      <c r="T4038" cm="1">
        <f t="array" ref="T4038">IF(OR(B4038="MAL ALIMI", B4038="ÜRETİM GİRİŞ"), MIN(I4038, MAX(0, I4038 + SUM(SUMIFS($I$1:I4037, $C$1:C4037, C4038, $B$1:B4037, {"MAL ALIMI","ÜRETİM GİRİŞ"})) - VLOOKUP(C4038, 'STOK RAPORU'!$C$2:$I$1000, 4, 0))), 0)</f>
        <v>0</v>
      </c>
      <c r="U4038" s="22">
        <f t="shared" si="252"/>
        <v>0</v>
      </c>
      <c r="V4038">
        <f t="shared" si="253"/>
        <v>0</v>
      </c>
      <c r="W4038" s="22">
        <f t="shared" si="254"/>
        <v>0</v>
      </c>
    </row>
    <row r="4039" spans="1:23" hidden="1" x14ac:dyDescent="0.25">
      <c r="A4039" s="41">
        <v>46063</v>
      </c>
      <c r="B4039" s="42" t="s">
        <v>334</v>
      </c>
      <c r="C4039" s="42" t="s">
        <v>96</v>
      </c>
      <c r="D4039" s="42"/>
      <c r="E4039" s="42" t="s">
        <v>2343</v>
      </c>
      <c r="F4039" s="42" t="s">
        <v>2114</v>
      </c>
      <c r="G4039" s="42" t="s">
        <v>2115</v>
      </c>
      <c r="H4039" s="42" t="s">
        <v>304</v>
      </c>
      <c r="I4039" s="42">
        <v>1.25</v>
      </c>
      <c r="J4039" s="43">
        <v>300</v>
      </c>
      <c r="K4039" s="43">
        <v>375</v>
      </c>
      <c r="L4039" s="44">
        <v>0</v>
      </c>
      <c r="M4039" s="42"/>
      <c r="N4039" s="42"/>
      <c r="O4039" s="44"/>
      <c r="P4039" s="44"/>
      <c r="Q4039" s="43">
        <v>0</v>
      </c>
      <c r="R4039" s="43">
        <v>0</v>
      </c>
      <c r="S4039" s="5">
        <f t="shared" si="255"/>
        <v>58309.318997470873</v>
      </c>
      <c r="T4039" cm="1">
        <f t="array" ref="T4039">IF(OR(B4039="MAL ALIMI", B4039="ÜRETİM GİRİŞ"), MIN(I4039, MAX(0, I4039 + SUM(SUMIFS($I$1:I4038, $C$1:C4038, C4039, $B$1:B4038, {"MAL ALIMI","ÜRETİM GİRİŞ"})) - VLOOKUP(C4039, 'STOK RAPORU'!$C$2:$I$1000, 4, 0))), 0)</f>
        <v>0</v>
      </c>
      <c r="U4039" s="22">
        <f t="shared" si="252"/>
        <v>0</v>
      </c>
      <c r="V4039">
        <f t="shared" si="253"/>
        <v>0</v>
      </c>
      <c r="W4039" s="22">
        <f t="shared" si="254"/>
        <v>0</v>
      </c>
    </row>
    <row r="4040" spans="1:23" hidden="1" x14ac:dyDescent="0.25">
      <c r="A4040" s="41">
        <v>46063</v>
      </c>
      <c r="B4040" s="42" t="s">
        <v>334</v>
      </c>
      <c r="C4040" s="42" t="s">
        <v>92</v>
      </c>
      <c r="D4040" s="42"/>
      <c r="E4040" s="42" t="s">
        <v>2343</v>
      </c>
      <c r="F4040" s="42" t="s">
        <v>2114</v>
      </c>
      <c r="G4040" s="42" t="s">
        <v>2115</v>
      </c>
      <c r="H4040" s="42" t="s">
        <v>304</v>
      </c>
      <c r="I4040" s="42">
        <v>0.5</v>
      </c>
      <c r="J4040" s="43">
        <v>350</v>
      </c>
      <c r="K4040" s="43">
        <v>175</v>
      </c>
      <c r="L4040" s="44">
        <v>0</v>
      </c>
      <c r="M4040" s="42"/>
      <c r="N4040" s="42"/>
      <c r="O4040" s="44"/>
      <c r="P4040" s="44"/>
      <c r="Q4040" s="43">
        <v>0</v>
      </c>
      <c r="R4040" s="43">
        <v>0</v>
      </c>
      <c r="S4040" s="5">
        <f t="shared" si="255"/>
        <v>58309.318997470873</v>
      </c>
      <c r="T4040" cm="1">
        <f t="array" ref="T4040">IF(OR(B4040="MAL ALIMI", B4040="ÜRETİM GİRİŞ"), MIN(I4040, MAX(0, I4040 + SUM(SUMIFS($I$1:I4039, $C$1:C4039, C4040, $B$1:B4039, {"MAL ALIMI","ÜRETİM GİRİŞ"})) - VLOOKUP(C4040, 'STOK RAPORU'!$C$2:$I$1000, 4, 0))), 0)</f>
        <v>0</v>
      </c>
      <c r="U4040" s="22">
        <f t="shared" si="252"/>
        <v>0</v>
      </c>
      <c r="V4040">
        <f t="shared" si="253"/>
        <v>0</v>
      </c>
      <c r="W4040" s="22">
        <f t="shared" si="254"/>
        <v>0</v>
      </c>
    </row>
    <row r="4041" spans="1:23" hidden="1" x14ac:dyDescent="0.25">
      <c r="A4041" s="41">
        <v>46063</v>
      </c>
      <c r="B4041" s="42" t="s">
        <v>334</v>
      </c>
      <c r="C4041" s="42" t="s">
        <v>134</v>
      </c>
      <c r="D4041" s="42"/>
      <c r="E4041" s="42" t="s">
        <v>2343</v>
      </c>
      <c r="F4041" s="42" t="s">
        <v>2114</v>
      </c>
      <c r="G4041" s="42" t="s">
        <v>2115</v>
      </c>
      <c r="H4041" s="42" t="s">
        <v>304</v>
      </c>
      <c r="I4041" s="42">
        <v>0.42499999999999999</v>
      </c>
      <c r="J4041" s="43">
        <v>412</v>
      </c>
      <c r="K4041" s="43">
        <v>175.1</v>
      </c>
      <c r="L4041" s="44">
        <v>0</v>
      </c>
      <c r="M4041" s="42"/>
      <c r="N4041" s="42"/>
      <c r="O4041" s="44"/>
      <c r="P4041" s="44"/>
      <c r="Q4041" s="43">
        <v>0</v>
      </c>
      <c r="R4041" s="43">
        <v>0</v>
      </c>
      <c r="S4041" s="5">
        <f t="shared" si="255"/>
        <v>58309.318997470873</v>
      </c>
      <c r="T4041" cm="1">
        <f t="array" ref="T4041">IF(OR(B4041="MAL ALIMI", B4041="ÜRETİM GİRİŞ"), MIN(I4041, MAX(0, I4041 + SUM(SUMIFS($I$1:I4040, $C$1:C4040, C4041, $B$1:B4040, {"MAL ALIMI","ÜRETİM GİRİŞ"})) - VLOOKUP(C4041, 'STOK RAPORU'!$C$2:$I$1000, 4, 0))), 0)</f>
        <v>0</v>
      </c>
      <c r="U4041" s="22">
        <f t="shared" si="252"/>
        <v>0</v>
      </c>
      <c r="V4041">
        <f t="shared" si="253"/>
        <v>0</v>
      </c>
      <c r="W4041" s="22">
        <f t="shared" si="254"/>
        <v>0</v>
      </c>
    </row>
    <row r="4042" spans="1:23" hidden="1" x14ac:dyDescent="0.25">
      <c r="A4042" s="41">
        <v>46063</v>
      </c>
      <c r="B4042" s="42" t="s">
        <v>334</v>
      </c>
      <c r="C4042" s="42" t="s">
        <v>524</v>
      </c>
      <c r="D4042" s="42"/>
      <c r="E4042" s="42" t="s">
        <v>2343</v>
      </c>
      <c r="F4042" s="42" t="s">
        <v>2114</v>
      </c>
      <c r="G4042" s="42" t="s">
        <v>2115</v>
      </c>
      <c r="H4042" s="42" t="s">
        <v>304</v>
      </c>
      <c r="I4042" s="42">
        <v>0.5</v>
      </c>
      <c r="J4042" s="43">
        <v>350</v>
      </c>
      <c r="K4042" s="43">
        <v>175</v>
      </c>
      <c r="L4042" s="44">
        <v>0</v>
      </c>
      <c r="M4042" s="42"/>
      <c r="N4042" s="42"/>
      <c r="O4042" s="44"/>
      <c r="P4042" s="44"/>
      <c r="Q4042" s="43">
        <v>0</v>
      </c>
      <c r="R4042" s="43">
        <v>0</v>
      </c>
      <c r="S4042" s="5">
        <f t="shared" si="255"/>
        <v>58309.318997470873</v>
      </c>
      <c r="T4042" cm="1">
        <f t="array" ref="T4042">IF(OR(B4042="MAL ALIMI", B4042="ÜRETİM GİRİŞ"), MIN(I4042, MAX(0, I4042 + SUM(SUMIFS($I$1:I4041, $C$1:C4041, C4042, $B$1:B4041, {"MAL ALIMI","ÜRETİM GİRİŞ"})) - VLOOKUP(C4042, 'STOK RAPORU'!$C$2:$I$1000, 4, 0))), 0)</f>
        <v>0</v>
      </c>
      <c r="U4042" s="22">
        <f t="shared" si="252"/>
        <v>0</v>
      </c>
      <c r="V4042">
        <f t="shared" si="253"/>
        <v>0</v>
      </c>
      <c r="W4042" s="22">
        <f t="shared" si="254"/>
        <v>0</v>
      </c>
    </row>
    <row r="4043" spans="1:23" hidden="1" x14ac:dyDescent="0.25">
      <c r="A4043" s="41">
        <v>46063</v>
      </c>
      <c r="B4043" s="42" t="s">
        <v>334</v>
      </c>
      <c r="C4043" s="42" t="s">
        <v>1896</v>
      </c>
      <c r="D4043" s="42"/>
      <c r="E4043" s="42" t="s">
        <v>2343</v>
      </c>
      <c r="F4043" s="42" t="s">
        <v>2114</v>
      </c>
      <c r="G4043" s="42" t="s">
        <v>2115</v>
      </c>
      <c r="H4043" s="42" t="s">
        <v>304</v>
      </c>
      <c r="I4043" s="42">
        <v>0.55000000000000004</v>
      </c>
      <c r="J4043" s="43">
        <v>318</v>
      </c>
      <c r="K4043" s="43">
        <v>174.9</v>
      </c>
      <c r="L4043" s="44">
        <v>0</v>
      </c>
      <c r="M4043" s="42"/>
      <c r="N4043" s="42"/>
      <c r="O4043" s="44"/>
      <c r="P4043" s="44"/>
      <c r="Q4043" s="43">
        <v>0</v>
      </c>
      <c r="R4043" s="43">
        <v>0</v>
      </c>
      <c r="S4043" s="5">
        <f t="shared" si="255"/>
        <v>58309.318997470873</v>
      </c>
      <c r="T4043" cm="1">
        <f t="array" ref="T4043">IF(OR(B4043="MAL ALIMI", B4043="ÜRETİM GİRİŞ"), MIN(I4043, MAX(0, I4043 + SUM(SUMIFS($I$1:I4042, $C$1:C4042, C4043, $B$1:B4042, {"MAL ALIMI","ÜRETİM GİRİŞ"})) - VLOOKUP(C4043, 'STOK RAPORU'!$C$2:$I$1000, 4, 0))), 0)</f>
        <v>0</v>
      </c>
      <c r="U4043" s="22">
        <f t="shared" si="252"/>
        <v>0</v>
      </c>
      <c r="V4043">
        <f t="shared" si="253"/>
        <v>0</v>
      </c>
      <c r="W4043" s="22">
        <f t="shared" si="254"/>
        <v>0</v>
      </c>
    </row>
    <row r="4044" spans="1:23" hidden="1" x14ac:dyDescent="0.25">
      <c r="A4044" s="41">
        <v>46063</v>
      </c>
      <c r="B4044" s="42" t="s">
        <v>334</v>
      </c>
      <c r="C4044" s="42" t="s">
        <v>152</v>
      </c>
      <c r="D4044" s="42"/>
      <c r="E4044" s="42" t="s">
        <v>2343</v>
      </c>
      <c r="F4044" s="42" t="s">
        <v>2114</v>
      </c>
      <c r="G4044" s="42" t="s">
        <v>2115</v>
      </c>
      <c r="H4044" s="42" t="s">
        <v>304</v>
      </c>
      <c r="I4044" s="42">
        <v>0.5</v>
      </c>
      <c r="J4044" s="43">
        <v>350</v>
      </c>
      <c r="K4044" s="43">
        <v>175</v>
      </c>
      <c r="L4044" s="44">
        <v>0</v>
      </c>
      <c r="M4044" s="42"/>
      <c r="N4044" s="42"/>
      <c r="O4044" s="44"/>
      <c r="P4044" s="44"/>
      <c r="Q4044" s="43">
        <v>0</v>
      </c>
      <c r="R4044" s="43">
        <v>0</v>
      </c>
      <c r="S4044" s="5">
        <f t="shared" si="255"/>
        <v>58309.318997470873</v>
      </c>
      <c r="T4044" cm="1">
        <f t="array" ref="T4044">IF(OR(B4044="MAL ALIMI", B4044="ÜRETİM GİRİŞ"), MIN(I4044, MAX(0, I4044 + SUM(SUMIFS($I$1:I4043, $C$1:C4043, C4044, $B$1:B4043, {"MAL ALIMI","ÜRETİM GİRİŞ"})) - VLOOKUP(C4044, 'STOK RAPORU'!$C$2:$I$1000, 4, 0))), 0)</f>
        <v>0</v>
      </c>
      <c r="U4044" s="22">
        <f t="shared" si="252"/>
        <v>0</v>
      </c>
      <c r="V4044">
        <f t="shared" si="253"/>
        <v>0</v>
      </c>
      <c r="W4044" s="22">
        <f t="shared" si="254"/>
        <v>0</v>
      </c>
    </row>
    <row r="4045" spans="1:23" hidden="1" x14ac:dyDescent="0.25">
      <c r="A4045" s="41">
        <v>46063</v>
      </c>
      <c r="B4045" s="42" t="s">
        <v>334</v>
      </c>
      <c r="C4045" s="42" t="s">
        <v>60</v>
      </c>
      <c r="D4045" s="42"/>
      <c r="E4045" s="42" t="s">
        <v>2343</v>
      </c>
      <c r="F4045" s="42" t="s">
        <v>2114</v>
      </c>
      <c r="G4045" s="42" t="s">
        <v>2115</v>
      </c>
      <c r="H4045" s="42" t="s">
        <v>304</v>
      </c>
      <c r="I4045" s="42">
        <v>0.25</v>
      </c>
      <c r="J4045" s="43">
        <v>900</v>
      </c>
      <c r="K4045" s="43">
        <v>225</v>
      </c>
      <c r="L4045" s="44">
        <v>0</v>
      </c>
      <c r="M4045" s="42"/>
      <c r="N4045" s="42"/>
      <c r="O4045" s="44"/>
      <c r="P4045" s="44"/>
      <c r="Q4045" s="43">
        <v>0</v>
      </c>
      <c r="R4045" s="43">
        <v>0</v>
      </c>
      <c r="S4045" s="5">
        <f t="shared" si="255"/>
        <v>58309.318997470873</v>
      </c>
      <c r="T4045" cm="1">
        <f t="array" ref="T4045">IF(OR(B4045="MAL ALIMI", B4045="ÜRETİM GİRİŞ"), MIN(I4045, MAX(0, I4045 + SUM(SUMIFS($I$1:I4044, $C$1:C4044, C4045, $B$1:B4044, {"MAL ALIMI","ÜRETİM GİRİŞ"})) - VLOOKUP(C4045, 'STOK RAPORU'!$C$2:$I$1000, 4, 0))), 0)</f>
        <v>0</v>
      </c>
      <c r="U4045" s="22">
        <f t="shared" si="252"/>
        <v>0</v>
      </c>
      <c r="V4045">
        <f t="shared" si="253"/>
        <v>0</v>
      </c>
      <c r="W4045" s="22">
        <f t="shared" si="254"/>
        <v>0</v>
      </c>
    </row>
    <row r="4046" spans="1:23" hidden="1" x14ac:dyDescent="0.25">
      <c r="A4046" s="41">
        <v>46063</v>
      </c>
      <c r="B4046" s="42" t="s">
        <v>334</v>
      </c>
      <c r="C4046" s="42" t="s">
        <v>154</v>
      </c>
      <c r="D4046" s="42"/>
      <c r="E4046" s="42" t="s">
        <v>2343</v>
      </c>
      <c r="F4046" s="42" t="s">
        <v>2114</v>
      </c>
      <c r="G4046" s="42" t="s">
        <v>2115</v>
      </c>
      <c r="H4046" s="42" t="s">
        <v>304</v>
      </c>
      <c r="I4046" s="42">
        <v>0.5</v>
      </c>
      <c r="J4046" s="43">
        <v>350</v>
      </c>
      <c r="K4046" s="43">
        <v>175</v>
      </c>
      <c r="L4046" s="44">
        <v>0</v>
      </c>
      <c r="M4046" s="42"/>
      <c r="N4046" s="42"/>
      <c r="O4046" s="44"/>
      <c r="P4046" s="44"/>
      <c r="Q4046" s="43">
        <v>0</v>
      </c>
      <c r="R4046" s="43">
        <v>0</v>
      </c>
      <c r="S4046" s="5">
        <f t="shared" si="255"/>
        <v>58309.318997470873</v>
      </c>
      <c r="T4046" cm="1">
        <f t="array" ref="T4046">IF(OR(B4046="MAL ALIMI", B4046="ÜRETİM GİRİŞ"), MIN(I4046, MAX(0, I4046 + SUM(SUMIFS($I$1:I4045, $C$1:C4045, C4046, $B$1:B4045, {"MAL ALIMI","ÜRETİM GİRİŞ"})) - VLOOKUP(C4046, 'STOK RAPORU'!$C$2:$I$1000, 4, 0))), 0)</f>
        <v>0</v>
      </c>
      <c r="U4046" s="22">
        <f t="shared" si="252"/>
        <v>0</v>
      </c>
      <c r="V4046">
        <f t="shared" si="253"/>
        <v>0</v>
      </c>
      <c r="W4046" s="22">
        <f t="shared" si="254"/>
        <v>0</v>
      </c>
    </row>
    <row r="4047" spans="1:23" hidden="1" x14ac:dyDescent="0.25">
      <c r="A4047" s="41">
        <v>46063</v>
      </c>
      <c r="B4047" s="42" t="s">
        <v>334</v>
      </c>
      <c r="C4047" s="42" t="s">
        <v>523</v>
      </c>
      <c r="D4047" s="42"/>
      <c r="E4047" s="42" t="s">
        <v>2343</v>
      </c>
      <c r="F4047" s="42" t="s">
        <v>2114</v>
      </c>
      <c r="G4047" s="42" t="s">
        <v>2115</v>
      </c>
      <c r="H4047" s="42" t="s">
        <v>304</v>
      </c>
      <c r="I4047" s="42">
        <v>0.4</v>
      </c>
      <c r="J4047" s="43">
        <v>438</v>
      </c>
      <c r="K4047" s="43">
        <v>175.20000000000002</v>
      </c>
      <c r="L4047" s="44">
        <v>0</v>
      </c>
      <c r="M4047" s="42"/>
      <c r="N4047" s="42"/>
      <c r="O4047" s="44"/>
      <c r="P4047" s="44"/>
      <c r="Q4047" s="43">
        <v>0</v>
      </c>
      <c r="R4047" s="43">
        <v>0</v>
      </c>
      <c r="S4047" s="5">
        <f t="shared" si="255"/>
        <v>58309.318997470873</v>
      </c>
      <c r="T4047" cm="1">
        <f t="array" ref="T4047">IF(OR(B4047="MAL ALIMI", B4047="ÜRETİM GİRİŞ"), MIN(I4047, MAX(0, I4047 + SUM(SUMIFS($I$1:I4046, $C$1:C4046, C4047, $B$1:B4046, {"MAL ALIMI","ÜRETİM GİRİŞ"})) - VLOOKUP(C4047, 'STOK RAPORU'!$C$2:$I$1000, 4, 0))), 0)</f>
        <v>0</v>
      </c>
      <c r="U4047" s="22">
        <f t="shared" si="252"/>
        <v>0</v>
      </c>
      <c r="V4047">
        <f t="shared" si="253"/>
        <v>0</v>
      </c>
      <c r="W4047" s="22">
        <f t="shared" si="254"/>
        <v>0</v>
      </c>
    </row>
    <row r="4048" spans="1:23" hidden="1" x14ac:dyDescent="0.25">
      <c r="A4048" s="41">
        <v>46063</v>
      </c>
      <c r="B4048" s="42" t="s">
        <v>334</v>
      </c>
      <c r="C4048" s="42" t="s">
        <v>203</v>
      </c>
      <c r="D4048" s="42"/>
      <c r="E4048" s="42" t="s">
        <v>2343</v>
      </c>
      <c r="F4048" s="42" t="s">
        <v>2114</v>
      </c>
      <c r="G4048" s="42" t="s">
        <v>2115</v>
      </c>
      <c r="H4048" s="42" t="s">
        <v>304</v>
      </c>
      <c r="I4048" s="42">
        <v>2.5</v>
      </c>
      <c r="J4048" s="43">
        <v>60</v>
      </c>
      <c r="K4048" s="43">
        <v>150</v>
      </c>
      <c r="L4048" s="44">
        <v>0</v>
      </c>
      <c r="M4048" s="42"/>
      <c r="N4048" s="42"/>
      <c r="O4048" s="44"/>
      <c r="P4048" s="44"/>
      <c r="Q4048" s="43">
        <v>0</v>
      </c>
      <c r="R4048" s="43">
        <v>0</v>
      </c>
      <c r="S4048" s="5">
        <f t="shared" si="255"/>
        <v>58309.318997470873</v>
      </c>
      <c r="T4048" cm="1">
        <f t="array" ref="T4048">IF(OR(B4048="MAL ALIMI", B4048="ÜRETİM GİRİŞ"), MIN(I4048, MAX(0, I4048 + SUM(SUMIFS($I$1:I4047, $C$1:C4047, C4048, $B$1:B4047, {"MAL ALIMI","ÜRETİM GİRİŞ"})) - VLOOKUP(C4048, 'STOK RAPORU'!$C$2:$I$1000, 4, 0))), 0)</f>
        <v>0</v>
      </c>
      <c r="U4048" s="22">
        <f t="shared" si="252"/>
        <v>0</v>
      </c>
      <c r="V4048">
        <f t="shared" si="253"/>
        <v>0</v>
      </c>
      <c r="W4048" s="22">
        <f t="shared" si="254"/>
        <v>0</v>
      </c>
    </row>
    <row r="4049" spans="1:23" hidden="1" x14ac:dyDescent="0.25">
      <c r="A4049" s="41">
        <v>46063</v>
      </c>
      <c r="B4049" s="42" t="s">
        <v>334</v>
      </c>
      <c r="C4049" s="42" t="s">
        <v>224</v>
      </c>
      <c r="D4049" s="42"/>
      <c r="E4049" s="42" t="s">
        <v>2343</v>
      </c>
      <c r="F4049" s="42" t="s">
        <v>2114</v>
      </c>
      <c r="G4049" s="42" t="s">
        <v>2115</v>
      </c>
      <c r="H4049" s="42" t="s">
        <v>304</v>
      </c>
      <c r="I4049" s="42">
        <v>0.25</v>
      </c>
      <c r="J4049" s="43">
        <v>800</v>
      </c>
      <c r="K4049" s="43">
        <v>200</v>
      </c>
      <c r="L4049" s="44">
        <v>0</v>
      </c>
      <c r="M4049" s="42"/>
      <c r="N4049" s="42"/>
      <c r="O4049" s="44"/>
      <c r="P4049" s="44"/>
      <c r="Q4049" s="43">
        <v>0</v>
      </c>
      <c r="R4049" s="43">
        <v>0</v>
      </c>
      <c r="S4049" s="5">
        <f t="shared" si="255"/>
        <v>58309.318997470873</v>
      </c>
      <c r="T4049" cm="1">
        <f t="array" ref="T4049">IF(OR(B4049="MAL ALIMI", B4049="ÜRETİM GİRİŞ"), MIN(I4049, MAX(0, I4049 + SUM(SUMIFS($I$1:I4048, $C$1:C4048, C4049, $B$1:B4048, {"MAL ALIMI","ÜRETİM GİRİŞ"})) - VLOOKUP(C4049, 'STOK RAPORU'!$C$2:$I$1000, 4, 0))), 0)</f>
        <v>0</v>
      </c>
      <c r="U4049" s="22">
        <f t="shared" si="252"/>
        <v>0</v>
      </c>
      <c r="V4049">
        <f t="shared" si="253"/>
        <v>0</v>
      </c>
      <c r="W4049" s="22">
        <f t="shared" si="254"/>
        <v>0</v>
      </c>
    </row>
    <row r="4050" spans="1:23" hidden="1" x14ac:dyDescent="0.25">
      <c r="A4050" s="41">
        <v>46063</v>
      </c>
      <c r="B4050" s="42" t="s">
        <v>334</v>
      </c>
      <c r="C4050" s="42" t="s">
        <v>140</v>
      </c>
      <c r="D4050" s="42"/>
      <c r="E4050" s="42" t="s">
        <v>2343</v>
      </c>
      <c r="F4050" s="42" t="s">
        <v>2114</v>
      </c>
      <c r="G4050" s="42" t="s">
        <v>2115</v>
      </c>
      <c r="H4050" s="42" t="s">
        <v>304</v>
      </c>
      <c r="I4050" s="42">
        <v>0.82499999999999996</v>
      </c>
      <c r="J4050" s="43">
        <v>212</v>
      </c>
      <c r="K4050" s="43">
        <v>174.89999999999998</v>
      </c>
      <c r="L4050" s="44">
        <v>0</v>
      </c>
      <c r="M4050" s="42"/>
      <c r="N4050" s="42"/>
      <c r="O4050" s="44"/>
      <c r="P4050" s="44"/>
      <c r="Q4050" s="43">
        <v>0</v>
      </c>
      <c r="R4050" s="43">
        <v>0</v>
      </c>
      <c r="S4050" s="5">
        <f t="shared" si="255"/>
        <v>58309.318997470873</v>
      </c>
      <c r="T4050" cm="1">
        <f t="array" ref="T4050">IF(OR(B4050="MAL ALIMI", B4050="ÜRETİM GİRİŞ"), MIN(I4050, MAX(0, I4050 + SUM(SUMIFS($I$1:I4049, $C$1:C4049, C4050, $B$1:B4049, {"MAL ALIMI","ÜRETİM GİRİŞ"})) - VLOOKUP(C4050, 'STOK RAPORU'!$C$2:$I$1000, 4, 0))), 0)</f>
        <v>0</v>
      </c>
      <c r="U4050" s="22">
        <f t="shared" si="252"/>
        <v>0</v>
      </c>
      <c r="V4050">
        <f t="shared" si="253"/>
        <v>0</v>
      </c>
      <c r="W4050" s="22">
        <f t="shared" si="254"/>
        <v>0</v>
      </c>
    </row>
    <row r="4051" spans="1:23" hidden="1" x14ac:dyDescent="0.25">
      <c r="A4051" s="41">
        <v>46063</v>
      </c>
      <c r="B4051" s="42" t="s">
        <v>334</v>
      </c>
      <c r="C4051" s="42" t="s">
        <v>98</v>
      </c>
      <c r="D4051" s="42"/>
      <c r="E4051" s="42" t="s">
        <v>2343</v>
      </c>
      <c r="F4051" s="42" t="s">
        <v>2114</v>
      </c>
      <c r="G4051" s="42" t="s">
        <v>2115</v>
      </c>
      <c r="H4051" s="42" t="s">
        <v>304</v>
      </c>
      <c r="I4051" s="42">
        <v>0.625</v>
      </c>
      <c r="J4051" s="43">
        <v>280</v>
      </c>
      <c r="K4051" s="43">
        <v>175</v>
      </c>
      <c r="L4051" s="44">
        <v>0</v>
      </c>
      <c r="M4051" s="42"/>
      <c r="N4051" s="42"/>
      <c r="O4051" s="44"/>
      <c r="P4051" s="44"/>
      <c r="Q4051" s="43">
        <v>0</v>
      </c>
      <c r="R4051" s="43">
        <v>0</v>
      </c>
      <c r="S4051" s="5">
        <f t="shared" si="255"/>
        <v>58309.318997470873</v>
      </c>
      <c r="T4051" cm="1">
        <f t="array" ref="T4051">IF(OR(B4051="MAL ALIMI", B4051="ÜRETİM GİRİŞ"), MIN(I4051, MAX(0, I4051 + SUM(SUMIFS($I$1:I4050, $C$1:C4050, C4051, $B$1:B4050, {"MAL ALIMI","ÜRETİM GİRİŞ"})) - VLOOKUP(C4051, 'STOK RAPORU'!$C$2:$I$1000, 4, 0))), 0)</f>
        <v>0</v>
      </c>
      <c r="U4051" s="22">
        <f t="shared" si="252"/>
        <v>0</v>
      </c>
      <c r="V4051">
        <f t="shared" si="253"/>
        <v>0</v>
      </c>
      <c r="W4051" s="22">
        <f t="shared" si="254"/>
        <v>0</v>
      </c>
    </row>
    <row r="4052" spans="1:23" hidden="1" x14ac:dyDescent="0.25">
      <c r="A4052" s="41">
        <v>46063</v>
      </c>
      <c r="B4052" s="42" t="s">
        <v>334</v>
      </c>
      <c r="C4052" s="42" t="s">
        <v>463</v>
      </c>
      <c r="D4052" s="42"/>
      <c r="E4052" s="42" t="s">
        <v>2343</v>
      </c>
      <c r="F4052" s="42" t="s">
        <v>2114</v>
      </c>
      <c r="G4052" s="42" t="s">
        <v>2115</v>
      </c>
      <c r="H4052" s="42" t="s">
        <v>304</v>
      </c>
      <c r="I4052" s="42">
        <v>0.625</v>
      </c>
      <c r="J4052" s="43">
        <v>320</v>
      </c>
      <c r="K4052" s="43">
        <v>200</v>
      </c>
      <c r="L4052" s="44">
        <v>0</v>
      </c>
      <c r="M4052" s="42"/>
      <c r="N4052" s="42"/>
      <c r="O4052" s="44"/>
      <c r="P4052" s="44"/>
      <c r="Q4052" s="43">
        <v>0</v>
      </c>
      <c r="R4052" s="43">
        <v>0</v>
      </c>
      <c r="S4052" s="5">
        <f t="shared" si="255"/>
        <v>58309.318997470873</v>
      </c>
      <c r="T4052" cm="1">
        <f t="array" ref="T4052">IF(OR(B4052="MAL ALIMI", B4052="ÜRETİM GİRİŞ"), MIN(I4052, MAX(0, I4052 + SUM(SUMIFS($I$1:I4051, $C$1:C4051, C4052, $B$1:B4051, {"MAL ALIMI","ÜRETİM GİRİŞ"})) - VLOOKUP(C4052, 'STOK RAPORU'!$C$2:$I$1000, 4, 0))), 0)</f>
        <v>0</v>
      </c>
      <c r="U4052" s="22">
        <f t="shared" si="252"/>
        <v>0</v>
      </c>
      <c r="V4052">
        <f t="shared" si="253"/>
        <v>0</v>
      </c>
      <c r="W4052" s="22">
        <f t="shared" si="254"/>
        <v>0</v>
      </c>
    </row>
    <row r="4053" spans="1:23" hidden="1" x14ac:dyDescent="0.25">
      <c r="A4053" s="41">
        <v>46063</v>
      </c>
      <c r="B4053" s="42" t="s">
        <v>334</v>
      </c>
      <c r="C4053" s="42" t="s">
        <v>129</v>
      </c>
      <c r="D4053" s="42"/>
      <c r="E4053" s="42" t="s">
        <v>2343</v>
      </c>
      <c r="F4053" s="42" t="s">
        <v>2114</v>
      </c>
      <c r="G4053" s="42" t="s">
        <v>2115</v>
      </c>
      <c r="H4053" s="42" t="s">
        <v>304</v>
      </c>
      <c r="I4053" s="42">
        <v>0.625</v>
      </c>
      <c r="J4053" s="43">
        <v>280</v>
      </c>
      <c r="K4053" s="43">
        <v>175</v>
      </c>
      <c r="L4053" s="44">
        <v>0</v>
      </c>
      <c r="M4053" s="42"/>
      <c r="N4053" s="42"/>
      <c r="O4053" s="44"/>
      <c r="P4053" s="44"/>
      <c r="Q4053" s="43">
        <v>0</v>
      </c>
      <c r="R4053" s="43">
        <v>0</v>
      </c>
      <c r="S4053" s="5">
        <f t="shared" si="255"/>
        <v>58309.318997470873</v>
      </c>
      <c r="T4053" cm="1">
        <f t="array" ref="T4053">IF(OR(B4053="MAL ALIMI", B4053="ÜRETİM GİRİŞ"), MIN(I4053, MAX(0, I4053 + SUM(SUMIFS($I$1:I4052, $C$1:C4052, C4053, $B$1:B4052, {"MAL ALIMI","ÜRETİM GİRİŞ"})) - VLOOKUP(C4053, 'STOK RAPORU'!$C$2:$I$1000, 4, 0))), 0)</f>
        <v>0</v>
      </c>
      <c r="U4053" s="22">
        <f t="shared" si="252"/>
        <v>0</v>
      </c>
      <c r="V4053">
        <f t="shared" si="253"/>
        <v>0</v>
      </c>
      <c r="W4053" s="22">
        <f t="shared" si="254"/>
        <v>0</v>
      </c>
    </row>
    <row r="4054" spans="1:23" hidden="1" x14ac:dyDescent="0.25">
      <c r="A4054" s="41">
        <v>46063</v>
      </c>
      <c r="B4054" s="42" t="s">
        <v>334</v>
      </c>
      <c r="C4054" s="42" t="s">
        <v>133</v>
      </c>
      <c r="D4054" s="42"/>
      <c r="E4054" s="42" t="s">
        <v>2343</v>
      </c>
      <c r="F4054" s="42" t="s">
        <v>2114</v>
      </c>
      <c r="G4054" s="42" t="s">
        <v>2115</v>
      </c>
      <c r="H4054" s="42" t="s">
        <v>304</v>
      </c>
      <c r="I4054" s="42">
        <v>1.25</v>
      </c>
      <c r="J4054" s="43">
        <v>300</v>
      </c>
      <c r="K4054" s="43">
        <v>375</v>
      </c>
      <c r="L4054" s="44">
        <v>0</v>
      </c>
      <c r="M4054" s="42"/>
      <c r="N4054" s="42"/>
      <c r="O4054" s="44"/>
      <c r="P4054" s="44"/>
      <c r="Q4054" s="43">
        <v>0</v>
      </c>
      <c r="R4054" s="43">
        <v>0</v>
      </c>
      <c r="S4054" s="5">
        <f t="shared" si="255"/>
        <v>58309.318997470873</v>
      </c>
      <c r="T4054" cm="1">
        <f t="array" ref="T4054">IF(OR(B4054="MAL ALIMI", B4054="ÜRETİM GİRİŞ"), MIN(I4054, MAX(0, I4054 + SUM(SUMIFS($I$1:I4053, $C$1:C4053, C4054, $B$1:B4053, {"MAL ALIMI","ÜRETİM GİRİŞ"})) - VLOOKUP(C4054, 'STOK RAPORU'!$C$2:$I$1000, 4, 0))), 0)</f>
        <v>0</v>
      </c>
      <c r="U4054" s="22">
        <f t="shared" si="252"/>
        <v>0</v>
      </c>
      <c r="V4054">
        <f t="shared" si="253"/>
        <v>0</v>
      </c>
      <c r="W4054" s="22">
        <f t="shared" si="254"/>
        <v>0</v>
      </c>
    </row>
    <row r="4055" spans="1:23" hidden="1" x14ac:dyDescent="0.25">
      <c r="A4055" s="41">
        <v>46063</v>
      </c>
      <c r="B4055" s="42" t="s">
        <v>334</v>
      </c>
      <c r="C4055" s="42" t="s">
        <v>132</v>
      </c>
      <c r="D4055" s="42"/>
      <c r="E4055" s="42" t="s">
        <v>2343</v>
      </c>
      <c r="F4055" s="42" t="s">
        <v>2114</v>
      </c>
      <c r="G4055" s="42" t="s">
        <v>2115</v>
      </c>
      <c r="H4055" s="42" t="s">
        <v>304</v>
      </c>
      <c r="I4055" s="42">
        <v>1</v>
      </c>
      <c r="J4055" s="43">
        <v>375</v>
      </c>
      <c r="K4055" s="43">
        <v>375</v>
      </c>
      <c r="L4055" s="44">
        <v>0</v>
      </c>
      <c r="M4055" s="42"/>
      <c r="N4055" s="42"/>
      <c r="O4055" s="44"/>
      <c r="P4055" s="44"/>
      <c r="Q4055" s="43">
        <v>0</v>
      </c>
      <c r="R4055" s="43">
        <v>0</v>
      </c>
      <c r="S4055" s="5">
        <f t="shared" si="255"/>
        <v>58309.318997470873</v>
      </c>
      <c r="T4055" cm="1">
        <f t="array" ref="T4055">IF(OR(B4055="MAL ALIMI", B4055="ÜRETİM GİRİŞ"), MIN(I4055, MAX(0, I4055 + SUM(SUMIFS($I$1:I4054, $C$1:C4054, C4055, $B$1:B4054, {"MAL ALIMI","ÜRETİM GİRİŞ"})) - VLOOKUP(C4055, 'STOK RAPORU'!$C$2:$I$1000, 4, 0))), 0)</f>
        <v>0</v>
      </c>
      <c r="U4055" s="22">
        <f t="shared" si="252"/>
        <v>0</v>
      </c>
      <c r="V4055">
        <f t="shared" si="253"/>
        <v>0</v>
      </c>
      <c r="W4055" s="22">
        <f t="shared" si="254"/>
        <v>0</v>
      </c>
    </row>
    <row r="4056" spans="1:23" hidden="1" x14ac:dyDescent="0.25">
      <c r="A4056" s="41">
        <v>46063</v>
      </c>
      <c r="B4056" s="42" t="s">
        <v>334</v>
      </c>
      <c r="C4056" s="42" t="s">
        <v>137</v>
      </c>
      <c r="D4056" s="42"/>
      <c r="E4056" s="42" t="s">
        <v>2343</v>
      </c>
      <c r="F4056" s="42" t="s">
        <v>2114</v>
      </c>
      <c r="G4056" s="42" t="s">
        <v>2115</v>
      </c>
      <c r="H4056" s="42" t="s">
        <v>304</v>
      </c>
      <c r="I4056" s="42">
        <v>1.25</v>
      </c>
      <c r="J4056" s="43">
        <v>140</v>
      </c>
      <c r="K4056" s="43">
        <v>175</v>
      </c>
      <c r="L4056" s="44">
        <v>0</v>
      </c>
      <c r="M4056" s="42"/>
      <c r="N4056" s="42"/>
      <c r="O4056" s="44"/>
      <c r="P4056" s="44"/>
      <c r="Q4056" s="43">
        <v>0</v>
      </c>
      <c r="R4056" s="43">
        <v>0</v>
      </c>
      <c r="S4056" s="5">
        <f t="shared" si="255"/>
        <v>58309.318997470873</v>
      </c>
      <c r="T4056" cm="1">
        <f t="array" ref="T4056">IF(OR(B4056="MAL ALIMI", B4056="ÜRETİM GİRİŞ"), MIN(I4056, MAX(0, I4056 + SUM(SUMIFS($I$1:I4055, $C$1:C4055, C4056, $B$1:B4055, {"MAL ALIMI","ÜRETİM GİRİŞ"})) - VLOOKUP(C4056, 'STOK RAPORU'!$C$2:$I$1000, 4, 0))), 0)</f>
        <v>0</v>
      </c>
      <c r="U4056" s="22">
        <f t="shared" si="252"/>
        <v>0</v>
      </c>
      <c r="V4056">
        <f t="shared" si="253"/>
        <v>0</v>
      </c>
      <c r="W4056" s="22">
        <f t="shared" si="254"/>
        <v>0</v>
      </c>
    </row>
    <row r="4057" spans="1:23" hidden="1" x14ac:dyDescent="0.25">
      <c r="A4057" s="41">
        <v>46063</v>
      </c>
      <c r="B4057" s="42" t="s">
        <v>334</v>
      </c>
      <c r="C4057" s="42" t="s">
        <v>136</v>
      </c>
      <c r="D4057" s="42"/>
      <c r="E4057" s="42" t="s">
        <v>2343</v>
      </c>
      <c r="F4057" s="42" t="s">
        <v>2114</v>
      </c>
      <c r="G4057" s="42" t="s">
        <v>2115</v>
      </c>
      <c r="H4057" s="42" t="s">
        <v>304</v>
      </c>
      <c r="I4057" s="42">
        <v>1.25</v>
      </c>
      <c r="J4057" s="43">
        <v>140</v>
      </c>
      <c r="K4057" s="43">
        <v>175</v>
      </c>
      <c r="L4057" s="44">
        <v>0</v>
      </c>
      <c r="M4057" s="42"/>
      <c r="N4057" s="42"/>
      <c r="O4057" s="44"/>
      <c r="P4057" s="44"/>
      <c r="Q4057" s="43">
        <v>0</v>
      </c>
      <c r="R4057" s="43">
        <v>0</v>
      </c>
      <c r="S4057" s="5">
        <f t="shared" si="255"/>
        <v>58309.318997470873</v>
      </c>
      <c r="T4057" cm="1">
        <f t="array" ref="T4057">IF(OR(B4057="MAL ALIMI", B4057="ÜRETİM GİRİŞ"), MIN(I4057, MAX(0, I4057 + SUM(SUMIFS($I$1:I4056, $C$1:C4056, C4057, $B$1:B4056, {"MAL ALIMI","ÜRETİM GİRİŞ"})) - VLOOKUP(C4057, 'STOK RAPORU'!$C$2:$I$1000, 4, 0))), 0)</f>
        <v>0</v>
      </c>
      <c r="U4057" s="22">
        <f t="shared" si="252"/>
        <v>0</v>
      </c>
      <c r="V4057">
        <f t="shared" si="253"/>
        <v>0</v>
      </c>
      <c r="W4057" s="22">
        <f t="shared" si="254"/>
        <v>0</v>
      </c>
    </row>
    <row r="4058" spans="1:23" hidden="1" x14ac:dyDescent="0.25">
      <c r="A4058" s="3">
        <v>46063</v>
      </c>
      <c r="B4058" s="4" t="s">
        <v>946</v>
      </c>
      <c r="C4058" s="4"/>
      <c r="D4058" s="4"/>
      <c r="E4058" s="4" t="s">
        <v>921</v>
      </c>
      <c r="F4058" s="4"/>
      <c r="G4058" s="4" t="s">
        <v>946</v>
      </c>
      <c r="H4058" s="4" t="s">
        <v>380</v>
      </c>
      <c r="I4058" s="4">
        <v>1</v>
      </c>
      <c r="J4058" s="105">
        <v>267.5</v>
      </c>
      <c r="K4058" s="21">
        <v>0</v>
      </c>
      <c r="L4058" s="111">
        <v>267.5</v>
      </c>
      <c r="M4058" s="4"/>
      <c r="N4058" s="4"/>
      <c r="O4058" s="5"/>
      <c r="P4058" s="5"/>
      <c r="Q4058" s="21">
        <v>267.5</v>
      </c>
      <c r="R4058" s="21">
        <v>0</v>
      </c>
      <c r="S4058" s="5">
        <f t="shared" si="255"/>
        <v>58576.818997470873</v>
      </c>
      <c r="T4058" cm="1">
        <f t="array" ref="T4058">IF(OR(B4058="MAL ALIMI", B4058="ÜRETİM GİRİŞ"), MIN(I4058, MAX(0, I4058 + SUM(SUMIFS($I$1:I4057, $C$1:C4057, C4058, $B$1:B4057, {"MAL ALIMI","ÜRETİM GİRİŞ"})) - VLOOKUP(C4058, 'STOK RAPORU'!$C$2:$I$1000, 4, 0))), 0)</f>
        <v>0</v>
      </c>
      <c r="U4058" s="22">
        <f t="shared" si="252"/>
        <v>0</v>
      </c>
      <c r="V4058">
        <f t="shared" si="253"/>
        <v>0</v>
      </c>
      <c r="W4058" s="22">
        <f t="shared" si="254"/>
        <v>0</v>
      </c>
    </row>
    <row r="4059" spans="1:23" hidden="1" x14ac:dyDescent="0.25">
      <c r="A4059" s="3">
        <v>46063</v>
      </c>
      <c r="B4059" s="4" t="s">
        <v>298</v>
      </c>
      <c r="C4059" s="4" t="s">
        <v>2124</v>
      </c>
      <c r="D4059" s="4"/>
      <c r="E4059" s="4" t="s">
        <v>1361</v>
      </c>
      <c r="F4059" s="4"/>
      <c r="G4059" s="4" t="s">
        <v>1361</v>
      </c>
      <c r="H4059" s="4" t="s">
        <v>304</v>
      </c>
      <c r="I4059" s="4">
        <v>10</v>
      </c>
      <c r="J4059" s="21">
        <v>400</v>
      </c>
      <c r="K4059" s="21">
        <v>0</v>
      </c>
      <c r="L4059" s="5">
        <v>4000</v>
      </c>
      <c r="M4059" s="4"/>
      <c r="N4059" s="4"/>
      <c r="O4059" s="5"/>
      <c r="P4059" s="5"/>
      <c r="Q4059" s="21">
        <v>0</v>
      </c>
      <c r="R4059" s="21">
        <v>0</v>
      </c>
      <c r="S4059" s="5">
        <f t="shared" si="255"/>
        <v>58576.818997470873</v>
      </c>
      <c r="T4059" cm="1">
        <f t="array" ref="T4059">IF(OR(B4059="MAL ALIMI", B4059="ÜRETİM GİRİŞ"), MIN(I4059, MAX(0, I4059 + SUM(SUMIFS($I$1:I4058, $C$1:C4058, C4059, $B$1:B4058, {"MAL ALIMI","ÜRETİM GİRİŞ"})) - VLOOKUP(C4059, 'STOK RAPORU'!$C$2:$I$1000, 4, 0))), 0)</f>
        <v>0</v>
      </c>
      <c r="U4059" s="22">
        <f t="shared" si="252"/>
        <v>0</v>
      </c>
      <c r="V4059">
        <f t="shared" si="253"/>
        <v>4000</v>
      </c>
      <c r="W4059" s="22">
        <f t="shared" si="254"/>
        <v>4000</v>
      </c>
    </row>
    <row r="4060" spans="1:23" hidden="1" x14ac:dyDescent="0.25">
      <c r="A4060" s="3">
        <v>46063</v>
      </c>
      <c r="B4060" s="4" t="s">
        <v>298</v>
      </c>
      <c r="C4060" s="4" t="s">
        <v>2128</v>
      </c>
      <c r="D4060" s="4"/>
      <c r="E4060" s="4" t="s">
        <v>1361</v>
      </c>
      <c r="F4060" s="4"/>
      <c r="G4060" s="4" t="s">
        <v>1361</v>
      </c>
      <c r="H4060" s="4" t="s">
        <v>304</v>
      </c>
      <c r="I4060" s="4">
        <v>6</v>
      </c>
      <c r="J4060" s="21">
        <v>300</v>
      </c>
      <c r="K4060" s="21">
        <v>0</v>
      </c>
      <c r="L4060" s="5">
        <v>1800</v>
      </c>
      <c r="M4060" s="4"/>
      <c r="N4060" s="4"/>
      <c r="O4060" s="5"/>
      <c r="P4060" s="5"/>
      <c r="Q4060" s="21">
        <v>0</v>
      </c>
      <c r="R4060" s="21">
        <v>0</v>
      </c>
      <c r="S4060" s="5">
        <f t="shared" si="255"/>
        <v>58576.818997470873</v>
      </c>
      <c r="T4060" cm="1">
        <f t="array" ref="T4060">IF(OR(B4060="MAL ALIMI", B4060="ÜRETİM GİRİŞ"), MIN(I4060, MAX(0, I4060 + SUM(SUMIFS($I$1:I4059, $C$1:C4059, C4060, $B$1:B4059, {"MAL ALIMI","ÜRETİM GİRİŞ"})) - VLOOKUP(C4060, 'STOK RAPORU'!$C$2:$I$1000, 4, 0))), 0)</f>
        <v>1.4047619047619051</v>
      </c>
      <c r="U4060" s="22">
        <f t="shared" si="252"/>
        <v>421.42857142857156</v>
      </c>
      <c r="V4060">
        <f t="shared" si="253"/>
        <v>1800</v>
      </c>
      <c r="W4060" s="22">
        <f t="shared" si="254"/>
        <v>1378.5714285714284</v>
      </c>
    </row>
    <row r="4061" spans="1:23" hidden="1" x14ac:dyDescent="0.25">
      <c r="A4061" s="3">
        <v>46063</v>
      </c>
      <c r="B4061" s="4" t="s">
        <v>298</v>
      </c>
      <c r="C4061" s="4" t="s">
        <v>2129</v>
      </c>
      <c r="D4061" s="4"/>
      <c r="E4061" s="4" t="s">
        <v>1361</v>
      </c>
      <c r="F4061" s="4"/>
      <c r="G4061" s="4" t="s">
        <v>1361</v>
      </c>
      <c r="H4061" s="4" t="s">
        <v>304</v>
      </c>
      <c r="I4061" s="4">
        <v>10</v>
      </c>
      <c r="J4061" s="21">
        <v>305</v>
      </c>
      <c r="K4061" s="21">
        <v>0</v>
      </c>
      <c r="L4061" s="5">
        <v>3050</v>
      </c>
      <c r="M4061" s="4"/>
      <c r="N4061" s="4"/>
      <c r="O4061" s="5"/>
      <c r="P4061" s="5"/>
      <c r="Q4061" s="21">
        <v>0</v>
      </c>
      <c r="R4061" s="21">
        <v>0</v>
      </c>
      <c r="S4061" s="5">
        <f t="shared" si="255"/>
        <v>58576.818997470873</v>
      </c>
      <c r="T4061" cm="1">
        <f t="array" ref="T4061">IF(OR(B4061="MAL ALIMI", B4061="ÜRETİM GİRİŞ"), MIN(I4061, MAX(0, I4061 + SUM(SUMIFS($I$1:I4060, $C$1:C4060, C4061, $B$1:B4060, {"MAL ALIMI","ÜRETİM GİRİŞ"})) - VLOOKUP(C4061, 'STOK RAPORU'!$C$2:$I$1000, 4, 0))), 0)</f>
        <v>0.61476190476190595</v>
      </c>
      <c r="U4061" s="22">
        <f t="shared" si="252"/>
        <v>187.50238095238132</v>
      </c>
      <c r="V4061">
        <f t="shared" si="253"/>
        <v>3050</v>
      </c>
      <c r="W4061" s="22">
        <f t="shared" si="254"/>
        <v>2862.4976190476186</v>
      </c>
    </row>
    <row r="4062" spans="1:23" hidden="1" x14ac:dyDescent="0.25">
      <c r="A4062" s="3">
        <v>46063</v>
      </c>
      <c r="B4062" s="4" t="s">
        <v>298</v>
      </c>
      <c r="C4062" s="4" t="s">
        <v>2125</v>
      </c>
      <c r="D4062" s="4"/>
      <c r="E4062" s="4" t="s">
        <v>1361</v>
      </c>
      <c r="F4062" s="4"/>
      <c r="G4062" s="4" t="s">
        <v>1361</v>
      </c>
      <c r="H4062" s="4" t="s">
        <v>304</v>
      </c>
      <c r="I4062" s="4">
        <v>10</v>
      </c>
      <c r="J4062" s="21">
        <v>270</v>
      </c>
      <c r="K4062" s="21">
        <v>0</v>
      </c>
      <c r="L4062" s="5">
        <v>2700</v>
      </c>
      <c r="M4062" s="4"/>
      <c r="N4062" s="4"/>
      <c r="O4062" s="5"/>
      <c r="P4062" s="5"/>
      <c r="Q4062" s="21">
        <v>0</v>
      </c>
      <c r="R4062" s="21">
        <v>0</v>
      </c>
      <c r="S4062" s="5">
        <f t="shared" si="255"/>
        <v>58576.818997470873</v>
      </c>
      <c r="T4062" cm="1">
        <f t="array" ref="T4062">IF(OR(B4062="MAL ALIMI", B4062="ÜRETİM GİRİŞ"), MIN(I4062, MAX(0, I4062 + SUM(SUMIFS($I$1:I4061, $C$1:C4061, C4062, $B$1:B4061, {"MAL ALIMI","ÜRETİM GİRİŞ"})) - VLOOKUP(C4062, 'STOK RAPORU'!$C$2:$I$1000, 4, 0))), 0)</f>
        <v>2.7926486486486493</v>
      </c>
      <c r="U4062" s="22">
        <f t="shared" si="252"/>
        <v>754.01513513513532</v>
      </c>
      <c r="V4062">
        <f t="shared" si="253"/>
        <v>2700</v>
      </c>
      <c r="W4062" s="22">
        <f t="shared" si="254"/>
        <v>1945.9848648648647</v>
      </c>
    </row>
    <row r="4063" spans="1:23" hidden="1" x14ac:dyDescent="0.25">
      <c r="A4063" s="3">
        <v>46063</v>
      </c>
      <c r="B4063" s="4" t="s">
        <v>298</v>
      </c>
      <c r="C4063" s="4" t="s">
        <v>2126</v>
      </c>
      <c r="D4063" s="4"/>
      <c r="E4063" s="4" t="s">
        <v>1361</v>
      </c>
      <c r="F4063" s="4"/>
      <c r="G4063" s="4" t="s">
        <v>1361</v>
      </c>
      <c r="H4063" s="4" t="s">
        <v>304</v>
      </c>
      <c r="I4063" s="4">
        <v>10</v>
      </c>
      <c r="J4063" s="21">
        <v>270</v>
      </c>
      <c r="K4063" s="21">
        <v>0</v>
      </c>
      <c r="L4063" s="5">
        <v>2700</v>
      </c>
      <c r="M4063" s="4"/>
      <c r="N4063" s="4"/>
      <c r="O4063" s="5"/>
      <c r="P4063" s="5"/>
      <c r="Q4063" s="21">
        <v>0</v>
      </c>
      <c r="R4063" s="21">
        <v>0</v>
      </c>
      <c r="S4063" s="5">
        <f t="shared" si="255"/>
        <v>58576.818997470873</v>
      </c>
      <c r="T4063" cm="1">
        <f t="array" ref="T4063">IF(OR(B4063="MAL ALIMI", B4063="ÜRETİM GİRİŞ"), MIN(I4063, MAX(0, I4063 + SUM(SUMIFS($I$1:I4062, $C$1:C4062, C4063, $B$1:B4062, {"MAL ALIMI","ÜRETİM GİRİŞ"})) - VLOOKUP(C4063, 'STOK RAPORU'!$C$2:$I$1000, 4, 0))), 0)</f>
        <v>4.3023243243243243</v>
      </c>
      <c r="U4063" s="22">
        <f t="shared" si="252"/>
        <v>1161.6275675675677</v>
      </c>
      <c r="V4063">
        <f t="shared" si="253"/>
        <v>2700</v>
      </c>
      <c r="W4063" s="22">
        <f t="shared" si="254"/>
        <v>1538.3724324324323</v>
      </c>
    </row>
    <row r="4064" spans="1:23" hidden="1" x14ac:dyDescent="0.25">
      <c r="A4064" s="3">
        <v>46063</v>
      </c>
      <c r="B4064" s="4" t="s">
        <v>298</v>
      </c>
      <c r="C4064" s="4" t="s">
        <v>2127</v>
      </c>
      <c r="D4064" s="4"/>
      <c r="E4064" s="4" t="s">
        <v>1361</v>
      </c>
      <c r="F4064" s="4"/>
      <c r="G4064" s="4" t="s">
        <v>1361</v>
      </c>
      <c r="H4064" s="4" t="s">
        <v>304</v>
      </c>
      <c r="I4064" s="4">
        <v>10</v>
      </c>
      <c r="J4064" s="21">
        <v>300</v>
      </c>
      <c r="K4064" s="21">
        <v>0</v>
      </c>
      <c r="L4064" s="5">
        <v>3000</v>
      </c>
      <c r="M4064" s="4"/>
      <c r="N4064" s="4"/>
      <c r="O4064" s="5"/>
      <c r="P4064" s="5"/>
      <c r="Q4064" s="21">
        <v>0</v>
      </c>
      <c r="R4064" s="21">
        <v>0</v>
      </c>
      <c r="S4064" s="5">
        <f t="shared" si="255"/>
        <v>58576.818997470873</v>
      </c>
      <c r="T4064" cm="1">
        <f t="array" ref="T4064">IF(OR(B4064="MAL ALIMI", B4064="ÜRETİM GİRİŞ"), MIN(I4064, MAX(0, I4064 + SUM(SUMIFS($I$1:I4063, $C$1:C4063, C4064, $B$1:B4063, {"MAL ALIMI","ÜRETİM GİRİŞ"})) - VLOOKUP(C4064, 'STOK RAPORU'!$C$2:$I$1000, 4, 0))), 0)</f>
        <v>0.26800000000000068</v>
      </c>
      <c r="U4064" s="22">
        <f t="shared" si="252"/>
        <v>80.400000000000205</v>
      </c>
      <c r="V4064">
        <f t="shared" si="253"/>
        <v>3000</v>
      </c>
      <c r="W4064" s="22">
        <f t="shared" si="254"/>
        <v>2919.6</v>
      </c>
    </row>
    <row r="4065" spans="1:23" hidden="1" x14ac:dyDescent="0.25">
      <c r="A4065" s="3">
        <v>46063</v>
      </c>
      <c r="B4065" s="4" t="s">
        <v>298</v>
      </c>
      <c r="C4065" s="4" t="s">
        <v>1041</v>
      </c>
      <c r="D4065" s="4"/>
      <c r="E4065" s="4" t="s">
        <v>1361</v>
      </c>
      <c r="F4065" s="4"/>
      <c r="G4065" s="4" t="s">
        <v>1361</v>
      </c>
      <c r="H4065" s="4" t="s">
        <v>304</v>
      </c>
      <c r="I4065" s="4">
        <v>50</v>
      </c>
      <c r="J4065" s="21">
        <v>185</v>
      </c>
      <c r="K4065" s="21">
        <v>0</v>
      </c>
      <c r="L4065" s="5">
        <v>9250</v>
      </c>
      <c r="M4065" s="4"/>
      <c r="N4065" s="4"/>
      <c r="O4065" s="5"/>
      <c r="P4065" s="5"/>
      <c r="Q4065" s="21">
        <v>0</v>
      </c>
      <c r="R4065" s="21">
        <v>0</v>
      </c>
      <c r="S4065" s="5">
        <f t="shared" si="255"/>
        <v>58576.818997470873</v>
      </c>
      <c r="T4065" cm="1">
        <f t="array" ref="T4065">IF(OR(B4065="MAL ALIMI", B4065="ÜRETİM GİRİŞ"), MIN(I4065, MAX(0, I4065 + SUM(SUMIFS($I$1:I4064, $C$1:C4064, C4065, $B$1:B4064, {"MAL ALIMI","ÜRETİM GİRİŞ"})) - VLOOKUP(C4065, 'STOK RAPORU'!$C$2:$I$1000, 4, 0))), 0)</f>
        <v>15.154071964017987</v>
      </c>
      <c r="U4065" s="22">
        <f t="shared" si="252"/>
        <v>2803.5033133433276</v>
      </c>
      <c r="V4065">
        <f t="shared" si="253"/>
        <v>9250</v>
      </c>
      <c r="W4065" s="22">
        <f t="shared" si="254"/>
        <v>6446.496686656672</v>
      </c>
    </row>
    <row r="4066" spans="1:23" hidden="1" x14ac:dyDescent="0.25">
      <c r="A4066" s="3">
        <v>46063</v>
      </c>
      <c r="B4066" s="4" t="s">
        <v>298</v>
      </c>
      <c r="C4066" s="4" t="s">
        <v>728</v>
      </c>
      <c r="D4066" s="4"/>
      <c r="E4066" s="4" t="s">
        <v>1361</v>
      </c>
      <c r="F4066" s="4"/>
      <c r="G4066" s="4" t="s">
        <v>1361</v>
      </c>
      <c r="H4066" s="4" t="s">
        <v>304</v>
      </c>
      <c r="I4066" s="4">
        <v>10</v>
      </c>
      <c r="J4066" s="21">
        <v>450</v>
      </c>
      <c r="K4066" s="21">
        <v>0</v>
      </c>
      <c r="L4066" s="5">
        <v>4500</v>
      </c>
      <c r="M4066" s="4"/>
      <c r="N4066" s="4"/>
      <c r="O4066" s="5"/>
      <c r="P4066" s="5"/>
      <c r="Q4066" s="21">
        <v>0</v>
      </c>
      <c r="R4066" s="21">
        <v>0</v>
      </c>
      <c r="S4066" s="5">
        <f t="shared" si="255"/>
        <v>58576.818997470873</v>
      </c>
      <c r="T4066" cm="1">
        <f t="array" ref="T4066">IF(OR(B4066="MAL ALIMI", B4066="ÜRETİM GİRİŞ"), MIN(I4066, MAX(0, I4066 + SUM(SUMIFS($I$1:I4065, $C$1:C4065, C4066, $B$1:B4065, {"MAL ALIMI","ÜRETİM GİRİŞ"})) - VLOOKUP(C4066, 'STOK RAPORU'!$C$2:$I$1000, 4, 0))), 0)</f>
        <v>0</v>
      </c>
      <c r="U4066" s="22">
        <f t="shared" si="252"/>
        <v>0</v>
      </c>
      <c r="V4066">
        <f t="shared" si="253"/>
        <v>4500</v>
      </c>
      <c r="W4066" s="22">
        <f t="shared" si="254"/>
        <v>4500</v>
      </c>
    </row>
    <row r="4067" spans="1:23" x14ac:dyDescent="0.25">
      <c r="A4067" s="3">
        <v>46063</v>
      </c>
      <c r="B4067" s="4" t="s">
        <v>659</v>
      </c>
      <c r="C4067" s="4" t="s">
        <v>2130</v>
      </c>
      <c r="D4067" s="4"/>
      <c r="E4067" s="4" t="s">
        <v>1361</v>
      </c>
      <c r="F4067" s="4"/>
      <c r="G4067" s="4" t="s">
        <v>2131</v>
      </c>
      <c r="H4067" s="4" t="s">
        <v>304</v>
      </c>
      <c r="I4067" s="4">
        <v>5</v>
      </c>
      <c r="J4067" s="21">
        <v>300</v>
      </c>
      <c r="K4067" s="21">
        <v>1500</v>
      </c>
      <c r="L4067" s="5">
        <v>0</v>
      </c>
      <c r="M4067" s="4"/>
      <c r="N4067" s="4"/>
      <c r="O4067" s="5"/>
      <c r="P4067" s="5"/>
      <c r="Q4067" s="21">
        <v>0</v>
      </c>
      <c r="R4067" s="21">
        <v>0</v>
      </c>
      <c r="S4067" s="5">
        <f t="shared" si="255"/>
        <v>58576.818997470873</v>
      </c>
      <c r="T4067" cm="1">
        <f t="array" ref="T4067">IF(OR(B4067="MAL ALIMI", B4067="ÜRETİM GİRİŞ"), MIN(I4067, MAX(0, I4067 + SUM(SUMIFS($I$1:I4066, $C$1:C4066, C4067, $B$1:B4066, {"MAL ALIMI","ÜRETİM GİRİŞ"})) - VLOOKUP(C4067, 'STOK RAPORU'!$C$2:$I$1000, 4, 0))), 0)</f>
        <v>0</v>
      </c>
      <c r="U4067" s="22">
        <f t="shared" si="252"/>
        <v>0</v>
      </c>
      <c r="V4067">
        <f t="shared" si="253"/>
        <v>0</v>
      </c>
      <c r="W4067" s="22">
        <f t="shared" si="254"/>
        <v>0</v>
      </c>
    </row>
    <row r="4068" spans="1:23" hidden="1" x14ac:dyDescent="0.25">
      <c r="A4068" s="3">
        <v>46063</v>
      </c>
      <c r="B4068" s="4" t="s">
        <v>285</v>
      </c>
      <c r="C4068" s="4"/>
      <c r="D4068" s="4" t="s">
        <v>107</v>
      </c>
      <c r="E4068" s="4"/>
      <c r="F4068" s="4"/>
      <c r="G4068" s="4" t="s">
        <v>2134</v>
      </c>
      <c r="H4068" s="4" t="s">
        <v>289</v>
      </c>
      <c r="I4068" s="4">
        <v>1</v>
      </c>
      <c r="J4068" s="21">
        <v>4400</v>
      </c>
      <c r="K4068" s="21">
        <v>0</v>
      </c>
      <c r="L4068" s="5">
        <v>0</v>
      </c>
      <c r="M4068" s="4"/>
      <c r="N4068" s="4"/>
      <c r="O4068" s="5"/>
      <c r="P4068" s="5"/>
      <c r="Q4068" s="21">
        <v>0</v>
      </c>
      <c r="R4068" s="21">
        <v>4400</v>
      </c>
      <c r="S4068" s="5">
        <f t="shared" si="255"/>
        <v>54176.818997470873</v>
      </c>
      <c r="T4068" cm="1">
        <f t="array" ref="T4068">IF(OR(B4068="MAL ALIMI", B4068="ÜRETİM GİRİŞ"), MIN(I4068, MAX(0, I4068 + SUM(SUMIFS($I$1:I4067, $C$1:C4067, C4068, $B$1:B4067, {"MAL ALIMI","ÜRETİM GİRİŞ"})) - VLOOKUP(C4068, 'STOK RAPORU'!$C$2:$I$1000, 4, 0))), 0)</f>
        <v>0</v>
      </c>
      <c r="U4068" s="22">
        <f t="shared" si="252"/>
        <v>0</v>
      </c>
      <c r="V4068">
        <f t="shared" si="253"/>
        <v>0</v>
      </c>
      <c r="W4068" s="22">
        <f t="shared" si="254"/>
        <v>0</v>
      </c>
    </row>
    <row r="4069" spans="1:23" hidden="1" x14ac:dyDescent="0.25">
      <c r="A4069" s="3">
        <v>46064</v>
      </c>
      <c r="B4069" s="46" t="s">
        <v>334</v>
      </c>
      <c r="C4069" s="4" t="s">
        <v>3383</v>
      </c>
      <c r="D4069" s="4"/>
      <c r="E4069" s="4" t="s">
        <v>921</v>
      </c>
      <c r="F4069" s="46" t="s">
        <v>2045</v>
      </c>
      <c r="G4069" s="4" t="s">
        <v>336</v>
      </c>
      <c r="H4069" s="4" t="s">
        <v>380</v>
      </c>
      <c r="I4069" s="4">
        <v>1</v>
      </c>
      <c r="J4069" s="21">
        <v>60</v>
      </c>
      <c r="K4069" s="21">
        <v>60</v>
      </c>
      <c r="L4069" s="5">
        <v>0</v>
      </c>
      <c r="M4069" s="4"/>
      <c r="N4069" s="4"/>
      <c r="O4069" s="5"/>
      <c r="P4069" s="5"/>
      <c r="Q4069" s="21">
        <v>0</v>
      </c>
      <c r="R4069" s="21">
        <v>0</v>
      </c>
      <c r="S4069" s="5">
        <f t="shared" si="255"/>
        <v>54176.818997470873</v>
      </c>
      <c r="T4069" cm="1">
        <f t="array" ref="T4069">IF(OR(B4069="MAL ALIMI", B4069="ÜRETİM GİRİŞ"), MIN(I4069, MAX(0, I4069 + SUM(SUMIFS($I$1:I4068, $C$1:C4068, C4069, $B$1:B4068, {"MAL ALIMI","ÜRETİM GİRİŞ"})) - VLOOKUP(C4069, 'STOK RAPORU'!$C$2:$I$1000, 4, 0))), 0)</f>
        <v>0</v>
      </c>
      <c r="U4069" s="22">
        <f t="shared" si="252"/>
        <v>0</v>
      </c>
      <c r="V4069">
        <f t="shared" si="253"/>
        <v>0</v>
      </c>
      <c r="W4069" s="22">
        <f t="shared" si="254"/>
        <v>0</v>
      </c>
    </row>
    <row r="4070" spans="1:23" hidden="1" x14ac:dyDescent="0.25">
      <c r="A4070" s="3">
        <v>46064</v>
      </c>
      <c r="B4070" s="46" t="s">
        <v>334</v>
      </c>
      <c r="C4070" s="4" t="s">
        <v>1041</v>
      </c>
      <c r="D4070" s="4"/>
      <c r="E4070" s="4"/>
      <c r="F4070" s="46" t="s">
        <v>2046</v>
      </c>
      <c r="G4070" s="4" t="s">
        <v>336</v>
      </c>
      <c r="H4070" s="4" t="s">
        <v>289</v>
      </c>
      <c r="I4070" s="4">
        <v>0.4</v>
      </c>
      <c r="J4070" s="21">
        <v>250</v>
      </c>
      <c r="K4070" s="21">
        <v>0</v>
      </c>
      <c r="L4070" s="5">
        <v>0</v>
      </c>
      <c r="M4070" s="4"/>
      <c r="N4070" s="4"/>
      <c r="O4070" s="5"/>
      <c r="P4070" s="5"/>
      <c r="Q4070" s="21">
        <v>100</v>
      </c>
      <c r="R4070" s="21">
        <v>0</v>
      </c>
      <c r="S4070" s="5">
        <f t="shared" si="255"/>
        <v>54276.818997470873</v>
      </c>
      <c r="T4070" cm="1">
        <f t="array" ref="T4070">IF(OR(B4070="MAL ALIMI", B4070="ÜRETİM GİRİŞ"), MIN(I4070, MAX(0, I4070 + SUM(SUMIFS($I$1:I4069, $C$1:C4069, C4070, $B$1:B4069, {"MAL ALIMI","ÜRETİM GİRİŞ"})) - VLOOKUP(C4070, 'STOK RAPORU'!$C$2:$I$1000, 4, 0))), 0)</f>
        <v>0</v>
      </c>
      <c r="U4070" s="22">
        <f t="shared" si="252"/>
        <v>0</v>
      </c>
      <c r="V4070">
        <f t="shared" si="253"/>
        <v>0</v>
      </c>
      <c r="W4070" s="22">
        <f t="shared" si="254"/>
        <v>0</v>
      </c>
    </row>
    <row r="4071" spans="1:23" hidden="1" x14ac:dyDescent="0.25">
      <c r="A4071" s="3">
        <v>46064</v>
      </c>
      <c r="B4071" s="46" t="s">
        <v>334</v>
      </c>
      <c r="C4071" s="4" t="s">
        <v>489</v>
      </c>
      <c r="D4071" s="4"/>
      <c r="E4071" s="4"/>
      <c r="F4071" s="46" t="s">
        <v>2047</v>
      </c>
      <c r="G4071" s="4" t="s">
        <v>336</v>
      </c>
      <c r="H4071" s="4" t="s">
        <v>289</v>
      </c>
      <c r="I4071" s="4">
        <v>1</v>
      </c>
      <c r="J4071" s="21">
        <v>210</v>
      </c>
      <c r="K4071" s="21">
        <v>0</v>
      </c>
      <c r="L4071" s="5">
        <v>0</v>
      </c>
      <c r="M4071" s="4"/>
      <c r="N4071" s="4"/>
      <c r="O4071" s="5"/>
      <c r="P4071" s="5"/>
      <c r="Q4071" s="21">
        <v>210</v>
      </c>
      <c r="R4071" s="21">
        <v>0</v>
      </c>
      <c r="S4071" s="5">
        <f t="shared" si="255"/>
        <v>54486.818997470873</v>
      </c>
      <c r="T4071" cm="1">
        <f t="array" ref="T4071">IF(OR(B4071="MAL ALIMI", B4071="ÜRETİM GİRİŞ"), MIN(I4071, MAX(0, I4071 + SUM(SUMIFS($I$1:I4070, $C$1:C4070, C4071, $B$1:B4070, {"MAL ALIMI","ÜRETİM GİRİŞ"})) - VLOOKUP(C4071, 'STOK RAPORU'!$C$2:$I$1000, 4, 0))), 0)</f>
        <v>0</v>
      </c>
      <c r="U4071" s="22">
        <f t="shared" si="252"/>
        <v>0</v>
      </c>
      <c r="V4071">
        <f t="shared" si="253"/>
        <v>0</v>
      </c>
      <c r="W4071" s="22">
        <f t="shared" si="254"/>
        <v>0</v>
      </c>
    </row>
    <row r="4072" spans="1:23" hidden="1" x14ac:dyDescent="0.25">
      <c r="A4072" s="3">
        <v>46064</v>
      </c>
      <c r="B4072" s="46" t="s">
        <v>334</v>
      </c>
      <c r="C4072" s="4" t="s">
        <v>823</v>
      </c>
      <c r="D4072" s="4"/>
      <c r="E4072" s="4"/>
      <c r="F4072" s="46" t="s">
        <v>2048</v>
      </c>
      <c r="G4072" s="4" t="s">
        <v>336</v>
      </c>
      <c r="H4072" s="4" t="s">
        <v>289</v>
      </c>
      <c r="I4072" s="4">
        <v>1</v>
      </c>
      <c r="J4072" s="21">
        <v>125</v>
      </c>
      <c r="K4072" s="21">
        <v>0</v>
      </c>
      <c r="L4072" s="5">
        <v>0</v>
      </c>
      <c r="M4072" s="4"/>
      <c r="N4072" s="4"/>
      <c r="O4072" s="5"/>
      <c r="P4072" s="5"/>
      <c r="Q4072" s="21">
        <v>125</v>
      </c>
      <c r="R4072" s="21">
        <v>0</v>
      </c>
      <c r="S4072" s="5">
        <f t="shared" si="255"/>
        <v>54611.818997470873</v>
      </c>
      <c r="T4072" cm="1">
        <f t="array" ref="T4072">IF(OR(B4072="MAL ALIMI", B4072="ÜRETİM GİRİŞ"), MIN(I4072, MAX(0, I4072 + SUM(SUMIFS($I$1:I4071, $C$1:C4071, C4072, $B$1:B4071, {"MAL ALIMI","ÜRETİM GİRİŞ"})) - VLOOKUP(C4072, 'STOK RAPORU'!$C$2:$I$1000, 4, 0))), 0)</f>
        <v>0</v>
      </c>
      <c r="U4072" s="22">
        <f t="shared" si="252"/>
        <v>0</v>
      </c>
      <c r="V4072">
        <f t="shared" si="253"/>
        <v>0</v>
      </c>
      <c r="W4072" s="22">
        <f t="shared" si="254"/>
        <v>0</v>
      </c>
    </row>
    <row r="4073" spans="1:23" hidden="1" x14ac:dyDescent="0.25">
      <c r="A4073" s="3">
        <v>46064</v>
      </c>
      <c r="B4073" s="46" t="s">
        <v>334</v>
      </c>
      <c r="C4073" s="4" t="s">
        <v>168</v>
      </c>
      <c r="D4073" s="4"/>
      <c r="E4073" s="4"/>
      <c r="F4073" s="46" t="s">
        <v>2049</v>
      </c>
      <c r="G4073" s="4" t="s">
        <v>336</v>
      </c>
      <c r="H4073" s="4" t="s">
        <v>289</v>
      </c>
      <c r="I4073" s="4">
        <v>1</v>
      </c>
      <c r="J4073" s="21">
        <v>230</v>
      </c>
      <c r="K4073" s="21">
        <v>0</v>
      </c>
      <c r="L4073" s="5">
        <v>0</v>
      </c>
      <c r="M4073" s="4"/>
      <c r="N4073" s="4"/>
      <c r="O4073" s="5"/>
      <c r="P4073" s="5"/>
      <c r="Q4073" s="21">
        <v>230</v>
      </c>
      <c r="R4073" s="21">
        <v>0</v>
      </c>
      <c r="S4073" s="5">
        <f t="shared" si="255"/>
        <v>54841.818997470873</v>
      </c>
      <c r="T4073" cm="1">
        <f t="array" ref="T4073">IF(OR(B4073="MAL ALIMI", B4073="ÜRETİM GİRİŞ"), MIN(I4073, MAX(0, I4073 + SUM(SUMIFS($I$1:I4072, $C$1:C4072, C4073, $B$1:B4072, {"MAL ALIMI","ÜRETİM GİRİŞ"})) - VLOOKUP(C4073, 'STOK RAPORU'!$C$2:$I$1000, 4, 0))), 0)</f>
        <v>0</v>
      </c>
      <c r="U4073" s="22">
        <f t="shared" si="252"/>
        <v>0</v>
      </c>
      <c r="V4073">
        <f t="shared" si="253"/>
        <v>0</v>
      </c>
      <c r="W4073" s="22">
        <f t="shared" si="254"/>
        <v>0</v>
      </c>
    </row>
    <row r="4074" spans="1:23" hidden="1" x14ac:dyDescent="0.25">
      <c r="A4074" s="3">
        <v>46064</v>
      </c>
      <c r="B4074" s="46" t="s">
        <v>334</v>
      </c>
      <c r="C4074" s="4" t="s">
        <v>92</v>
      </c>
      <c r="D4074" s="4"/>
      <c r="E4074" s="4"/>
      <c r="F4074" s="46" t="s">
        <v>2049</v>
      </c>
      <c r="G4074" s="4" t="s">
        <v>336</v>
      </c>
      <c r="H4074" s="4" t="s">
        <v>289</v>
      </c>
      <c r="I4074" s="4">
        <v>0.1</v>
      </c>
      <c r="J4074" s="21">
        <v>500</v>
      </c>
      <c r="K4074" s="21">
        <v>0</v>
      </c>
      <c r="L4074" s="5">
        <v>0</v>
      </c>
      <c r="M4074" s="4"/>
      <c r="N4074" s="4"/>
      <c r="O4074" s="5"/>
      <c r="P4074" s="5"/>
      <c r="Q4074" s="21">
        <v>50</v>
      </c>
      <c r="R4074" s="21">
        <v>0</v>
      </c>
      <c r="S4074" s="5">
        <f t="shared" si="255"/>
        <v>54891.818997470873</v>
      </c>
      <c r="T4074" cm="1">
        <f t="array" ref="T4074">IF(OR(B4074="MAL ALIMI", B4074="ÜRETİM GİRİŞ"), MIN(I4074, MAX(0, I4074 + SUM(SUMIFS($I$1:I4073, $C$1:C4073, C4074, $B$1:B4073, {"MAL ALIMI","ÜRETİM GİRİŞ"})) - VLOOKUP(C4074, 'STOK RAPORU'!$C$2:$I$1000, 4, 0))), 0)</f>
        <v>0</v>
      </c>
      <c r="U4074" s="22">
        <f t="shared" si="252"/>
        <v>0</v>
      </c>
      <c r="V4074">
        <f t="shared" si="253"/>
        <v>0</v>
      </c>
      <c r="W4074" s="22">
        <f t="shared" si="254"/>
        <v>0</v>
      </c>
    </row>
    <row r="4075" spans="1:23" hidden="1" x14ac:dyDescent="0.25">
      <c r="A4075" s="3">
        <v>46064</v>
      </c>
      <c r="B4075" s="46" t="s">
        <v>334</v>
      </c>
      <c r="C4075" s="4" t="s">
        <v>160</v>
      </c>
      <c r="D4075" s="4"/>
      <c r="E4075" s="4" t="s">
        <v>921</v>
      </c>
      <c r="F4075" s="46" t="s">
        <v>2050</v>
      </c>
      <c r="G4075" s="4" t="s">
        <v>336</v>
      </c>
      <c r="H4075" s="4" t="s">
        <v>380</v>
      </c>
      <c r="I4075" s="4">
        <v>1</v>
      </c>
      <c r="J4075" s="21">
        <v>250</v>
      </c>
      <c r="K4075" s="21">
        <v>250</v>
      </c>
      <c r="L4075" s="5">
        <v>0</v>
      </c>
      <c r="M4075" s="4"/>
      <c r="N4075" s="4"/>
      <c r="O4075" s="5"/>
      <c r="P4075" s="5"/>
      <c r="Q4075" s="21">
        <v>0</v>
      </c>
      <c r="R4075" s="21">
        <v>0</v>
      </c>
      <c r="S4075" s="5">
        <f t="shared" si="255"/>
        <v>54891.818997470873</v>
      </c>
      <c r="T4075" cm="1">
        <f t="array" ref="T4075">IF(OR(B4075="MAL ALIMI", B4075="ÜRETİM GİRİŞ"), MIN(I4075, MAX(0, I4075 + SUM(SUMIFS($I$1:I4074, $C$1:C4074, C4075, $B$1:B4074, {"MAL ALIMI","ÜRETİM GİRİŞ"})) - VLOOKUP(C4075, 'STOK RAPORU'!$C$2:$I$1000, 4, 0))), 0)</f>
        <v>0</v>
      </c>
      <c r="U4075" s="22">
        <f t="shared" si="252"/>
        <v>0</v>
      </c>
      <c r="V4075">
        <f t="shared" si="253"/>
        <v>0</v>
      </c>
      <c r="W4075" s="22">
        <f t="shared" si="254"/>
        <v>0</v>
      </c>
    </row>
    <row r="4076" spans="1:23" hidden="1" x14ac:dyDescent="0.25">
      <c r="A4076" s="3">
        <v>46064</v>
      </c>
      <c r="B4076" s="46" t="s">
        <v>334</v>
      </c>
      <c r="C4076" s="4" t="s">
        <v>1424</v>
      </c>
      <c r="D4076" s="4"/>
      <c r="E4076" s="4" t="s">
        <v>921</v>
      </c>
      <c r="F4076" s="46" t="s">
        <v>2050</v>
      </c>
      <c r="G4076" s="4" t="s">
        <v>336</v>
      </c>
      <c r="H4076" s="4" t="s">
        <v>380</v>
      </c>
      <c r="I4076" s="4">
        <v>1</v>
      </c>
      <c r="J4076" s="21">
        <v>100</v>
      </c>
      <c r="K4076" s="21">
        <v>100</v>
      </c>
      <c r="L4076" s="5">
        <v>0</v>
      </c>
      <c r="M4076" s="4"/>
      <c r="N4076" s="4"/>
      <c r="O4076" s="5"/>
      <c r="P4076" s="5"/>
      <c r="Q4076" s="21">
        <v>0</v>
      </c>
      <c r="R4076" s="21">
        <v>0</v>
      </c>
      <c r="S4076" s="5">
        <f t="shared" si="255"/>
        <v>54891.818997470873</v>
      </c>
      <c r="T4076" cm="1">
        <f t="array" ref="T4076">IF(OR(B4076="MAL ALIMI", B4076="ÜRETİM GİRİŞ"), MIN(I4076, MAX(0, I4076 + SUM(SUMIFS($I$1:I4075, $C$1:C4075, C4076, $B$1:B4075, {"MAL ALIMI","ÜRETİM GİRİŞ"})) - VLOOKUP(C4076, 'STOK RAPORU'!$C$2:$I$1000, 4, 0))), 0)</f>
        <v>0</v>
      </c>
      <c r="U4076" s="22">
        <f t="shared" si="252"/>
        <v>0</v>
      </c>
      <c r="V4076">
        <f t="shared" si="253"/>
        <v>0</v>
      </c>
      <c r="W4076" s="22">
        <f t="shared" si="254"/>
        <v>0</v>
      </c>
    </row>
    <row r="4077" spans="1:23" hidden="1" x14ac:dyDescent="0.25">
      <c r="A4077" s="3">
        <v>46064</v>
      </c>
      <c r="B4077" s="46" t="s">
        <v>334</v>
      </c>
      <c r="C4077" s="4" t="s">
        <v>223</v>
      </c>
      <c r="D4077" s="4"/>
      <c r="E4077" s="4" t="s">
        <v>921</v>
      </c>
      <c r="F4077" s="46" t="s">
        <v>2051</v>
      </c>
      <c r="G4077" s="4" t="s">
        <v>336</v>
      </c>
      <c r="H4077" s="4" t="s">
        <v>380</v>
      </c>
      <c r="I4077" s="4">
        <v>0.155</v>
      </c>
      <c r="J4077" s="21">
        <v>800</v>
      </c>
      <c r="K4077" s="21">
        <v>124</v>
      </c>
      <c r="L4077" s="5">
        <v>0</v>
      </c>
      <c r="M4077" s="4"/>
      <c r="N4077" s="4"/>
      <c r="O4077" s="5"/>
      <c r="P4077" s="5"/>
      <c r="Q4077" s="21">
        <v>0</v>
      </c>
      <c r="R4077" s="21">
        <v>0</v>
      </c>
      <c r="S4077" s="5">
        <f t="shared" si="255"/>
        <v>54891.818997470873</v>
      </c>
      <c r="T4077" cm="1">
        <f t="array" ref="T4077">IF(OR(B4077="MAL ALIMI", B4077="ÜRETİM GİRİŞ"), MIN(I4077, MAX(0, I4077 + SUM(SUMIFS($I$1:I4076, $C$1:C4076, C4077, $B$1:B4076, {"MAL ALIMI","ÜRETİM GİRİŞ"})) - VLOOKUP(C4077, 'STOK RAPORU'!$C$2:$I$1000, 4, 0))), 0)</f>
        <v>0</v>
      </c>
      <c r="U4077" s="22">
        <f t="shared" si="252"/>
        <v>0</v>
      </c>
      <c r="V4077">
        <f t="shared" si="253"/>
        <v>0</v>
      </c>
      <c r="W4077" s="22">
        <f t="shared" si="254"/>
        <v>0</v>
      </c>
    </row>
    <row r="4078" spans="1:23" hidden="1" x14ac:dyDescent="0.25">
      <c r="A4078" s="3">
        <v>46064</v>
      </c>
      <c r="B4078" s="46" t="s">
        <v>334</v>
      </c>
      <c r="C4078" s="4" t="s">
        <v>728</v>
      </c>
      <c r="D4078" s="4"/>
      <c r="E4078" s="4" t="s">
        <v>921</v>
      </c>
      <c r="F4078" s="46" t="s">
        <v>2051</v>
      </c>
      <c r="G4078" s="4" t="s">
        <v>336</v>
      </c>
      <c r="H4078" s="4" t="s">
        <v>380</v>
      </c>
      <c r="I4078" s="4">
        <v>0.156</v>
      </c>
      <c r="J4078" s="21">
        <v>690</v>
      </c>
      <c r="K4078" s="21">
        <v>107.64</v>
      </c>
      <c r="L4078" s="5">
        <v>0</v>
      </c>
      <c r="M4078" s="4"/>
      <c r="N4078" s="4"/>
      <c r="O4078" s="5"/>
      <c r="P4078" s="5"/>
      <c r="Q4078" s="21">
        <v>0</v>
      </c>
      <c r="R4078" s="21">
        <v>0</v>
      </c>
      <c r="S4078" s="5">
        <f t="shared" si="255"/>
        <v>54891.818997470873</v>
      </c>
      <c r="T4078" cm="1">
        <f t="array" ref="T4078">IF(OR(B4078="MAL ALIMI", B4078="ÜRETİM GİRİŞ"), MIN(I4078, MAX(0, I4078 + SUM(SUMIFS($I$1:I4077, $C$1:C4077, C4078, $B$1:B4077, {"MAL ALIMI","ÜRETİM GİRİŞ"})) - VLOOKUP(C4078, 'STOK RAPORU'!$C$2:$I$1000, 4, 0))), 0)</f>
        <v>0</v>
      </c>
      <c r="U4078" s="22">
        <f t="shared" si="252"/>
        <v>0</v>
      </c>
      <c r="V4078">
        <f t="shared" si="253"/>
        <v>0</v>
      </c>
      <c r="W4078" s="22">
        <f t="shared" si="254"/>
        <v>0</v>
      </c>
    </row>
    <row r="4079" spans="1:23" hidden="1" x14ac:dyDescent="0.25">
      <c r="A4079" s="3">
        <v>46064</v>
      </c>
      <c r="B4079" s="46" t="s">
        <v>334</v>
      </c>
      <c r="C4079" s="4" t="s">
        <v>199</v>
      </c>
      <c r="D4079" s="4"/>
      <c r="E4079" s="4" t="s">
        <v>921</v>
      </c>
      <c r="F4079" s="46" t="s">
        <v>2051</v>
      </c>
      <c r="G4079" s="4" t="s">
        <v>336</v>
      </c>
      <c r="H4079" s="4" t="s">
        <v>380</v>
      </c>
      <c r="I4079" s="4">
        <v>0.23</v>
      </c>
      <c r="J4079" s="21">
        <v>950</v>
      </c>
      <c r="K4079" s="21">
        <v>218.5</v>
      </c>
      <c r="L4079" s="5">
        <v>0</v>
      </c>
      <c r="M4079" s="4"/>
      <c r="N4079" s="4"/>
      <c r="O4079" s="5"/>
      <c r="P4079" s="5"/>
      <c r="Q4079" s="21">
        <v>0</v>
      </c>
      <c r="R4079" s="21">
        <v>0</v>
      </c>
      <c r="S4079" s="5">
        <f t="shared" si="255"/>
        <v>54891.818997470873</v>
      </c>
      <c r="T4079" cm="1">
        <f t="array" ref="T4079">IF(OR(B4079="MAL ALIMI", B4079="ÜRETİM GİRİŞ"), MIN(I4079, MAX(0, I4079 + SUM(SUMIFS($I$1:I4078, $C$1:C4078, C4079, $B$1:B4078, {"MAL ALIMI","ÜRETİM GİRİŞ"})) - VLOOKUP(C4079, 'STOK RAPORU'!$C$2:$I$1000, 4, 0))), 0)</f>
        <v>0</v>
      </c>
      <c r="U4079" s="22">
        <f t="shared" si="252"/>
        <v>0</v>
      </c>
      <c r="V4079">
        <f t="shared" si="253"/>
        <v>0</v>
      </c>
      <c r="W4079" s="22">
        <f t="shared" si="254"/>
        <v>0</v>
      </c>
    </row>
    <row r="4080" spans="1:23" hidden="1" x14ac:dyDescent="0.25">
      <c r="A4080" s="3">
        <v>46064</v>
      </c>
      <c r="B4080" s="46" t="s">
        <v>334</v>
      </c>
      <c r="C4080" s="4" t="s">
        <v>214</v>
      </c>
      <c r="D4080" s="4"/>
      <c r="E4080" s="4" t="s">
        <v>921</v>
      </c>
      <c r="F4080" s="46" t="s">
        <v>2051</v>
      </c>
      <c r="G4080" s="4" t="s">
        <v>336</v>
      </c>
      <c r="H4080" s="4" t="s">
        <v>380</v>
      </c>
      <c r="I4080" s="4">
        <v>0.12</v>
      </c>
      <c r="J4080" s="21">
        <v>920</v>
      </c>
      <c r="K4080" s="21">
        <v>110.39999999999999</v>
      </c>
      <c r="L4080" s="5">
        <v>0</v>
      </c>
      <c r="M4080" s="4"/>
      <c r="N4080" s="4"/>
      <c r="O4080" s="5"/>
      <c r="P4080" s="5"/>
      <c r="Q4080" s="21">
        <v>0</v>
      </c>
      <c r="R4080" s="21">
        <v>0</v>
      </c>
      <c r="S4080" s="5">
        <f t="shared" si="255"/>
        <v>54891.818997470873</v>
      </c>
      <c r="T4080" cm="1">
        <f t="array" ref="T4080">IF(OR(B4080="MAL ALIMI", B4080="ÜRETİM GİRİŞ"), MIN(I4080, MAX(0, I4080 + SUM(SUMIFS($I$1:I4079, $C$1:C4079, C4080, $B$1:B4079, {"MAL ALIMI","ÜRETİM GİRİŞ"})) - VLOOKUP(C4080, 'STOK RAPORU'!$C$2:$I$1000, 4, 0))), 0)</f>
        <v>0</v>
      </c>
      <c r="U4080" s="22">
        <f t="shared" si="252"/>
        <v>0</v>
      </c>
      <c r="V4080">
        <f t="shared" si="253"/>
        <v>0</v>
      </c>
      <c r="W4080" s="22">
        <f t="shared" si="254"/>
        <v>0</v>
      </c>
    </row>
    <row r="4081" spans="1:23" hidden="1" x14ac:dyDescent="0.25">
      <c r="A4081" s="3">
        <v>46064</v>
      </c>
      <c r="B4081" s="46" t="s">
        <v>334</v>
      </c>
      <c r="C4081" s="4" t="s">
        <v>690</v>
      </c>
      <c r="D4081" s="4"/>
      <c r="E4081" s="4"/>
      <c r="F4081" s="46" t="s">
        <v>2052</v>
      </c>
      <c r="G4081" s="4" t="s">
        <v>336</v>
      </c>
      <c r="H4081" s="4" t="s">
        <v>289</v>
      </c>
      <c r="I4081" s="4">
        <v>0.39800000000000002</v>
      </c>
      <c r="J4081" s="21">
        <v>340</v>
      </c>
      <c r="K4081" s="21">
        <v>0</v>
      </c>
      <c r="L4081" s="5">
        <v>0</v>
      </c>
      <c r="M4081" s="4"/>
      <c r="N4081" s="4"/>
      <c r="O4081" s="5"/>
      <c r="P4081" s="5"/>
      <c r="Q4081" s="21">
        <v>135.32</v>
      </c>
      <c r="R4081" s="21">
        <v>0</v>
      </c>
      <c r="S4081" s="5">
        <f t="shared" si="255"/>
        <v>55027.138997470873</v>
      </c>
      <c r="T4081" cm="1">
        <f t="array" ref="T4081">IF(OR(B4081="MAL ALIMI", B4081="ÜRETİM GİRİŞ"), MIN(I4081, MAX(0, I4081 + SUM(SUMIFS($I$1:I4080, $C$1:C4080, C4081, $B$1:B4080, {"MAL ALIMI","ÜRETİM GİRİŞ"})) - VLOOKUP(C4081, 'STOK RAPORU'!$C$2:$I$1000, 4, 0))), 0)</f>
        <v>0</v>
      </c>
      <c r="U4081" s="22">
        <f t="shared" si="252"/>
        <v>0</v>
      </c>
      <c r="V4081">
        <f t="shared" si="253"/>
        <v>0</v>
      </c>
      <c r="W4081" s="22">
        <f t="shared" si="254"/>
        <v>0</v>
      </c>
    </row>
    <row r="4082" spans="1:23" hidden="1" x14ac:dyDescent="0.25">
      <c r="A4082" s="3">
        <v>46064</v>
      </c>
      <c r="B4082" s="46" t="s">
        <v>334</v>
      </c>
      <c r="C4082" s="4" t="s">
        <v>198</v>
      </c>
      <c r="D4082" s="4"/>
      <c r="E4082" s="4"/>
      <c r="F4082" s="46" t="s">
        <v>2053</v>
      </c>
      <c r="G4082" s="4" t="s">
        <v>336</v>
      </c>
      <c r="H4082" s="4" t="s">
        <v>289</v>
      </c>
      <c r="I4082" s="4">
        <v>0.05</v>
      </c>
      <c r="J4082" s="21">
        <v>1400</v>
      </c>
      <c r="K4082" s="21">
        <v>0</v>
      </c>
      <c r="L4082" s="5">
        <v>0</v>
      </c>
      <c r="M4082" s="4"/>
      <c r="N4082" s="4"/>
      <c r="O4082" s="5"/>
      <c r="P4082" s="5"/>
      <c r="Q4082" s="21">
        <v>70</v>
      </c>
      <c r="R4082" s="21">
        <v>0</v>
      </c>
      <c r="S4082" s="5">
        <f t="shared" si="255"/>
        <v>55097.138997470873</v>
      </c>
      <c r="T4082" cm="1">
        <f t="array" ref="T4082">IF(OR(B4082="MAL ALIMI", B4082="ÜRETİM GİRİŞ"), MIN(I4082, MAX(0, I4082 + SUM(SUMIFS($I$1:I4081, $C$1:C4081, C4082, $B$1:B4081, {"MAL ALIMI","ÜRETİM GİRİŞ"})) - VLOOKUP(C4082, 'STOK RAPORU'!$C$2:$I$1000, 4, 0))), 0)</f>
        <v>0</v>
      </c>
      <c r="U4082" s="22">
        <f t="shared" si="252"/>
        <v>0</v>
      </c>
      <c r="V4082">
        <f t="shared" si="253"/>
        <v>0</v>
      </c>
      <c r="W4082" s="22">
        <f t="shared" si="254"/>
        <v>0</v>
      </c>
    </row>
    <row r="4083" spans="1:23" hidden="1" x14ac:dyDescent="0.25">
      <c r="A4083" s="3">
        <v>46064</v>
      </c>
      <c r="B4083" s="46" t="s">
        <v>334</v>
      </c>
      <c r="C4083" s="4" t="s">
        <v>163</v>
      </c>
      <c r="D4083" s="4"/>
      <c r="E4083" s="4"/>
      <c r="F4083" s="46" t="s">
        <v>2054</v>
      </c>
      <c r="G4083" s="4" t="s">
        <v>336</v>
      </c>
      <c r="H4083" s="4" t="s">
        <v>289</v>
      </c>
      <c r="I4083" s="4">
        <v>0.53400000000000003</v>
      </c>
      <c r="J4083" s="21">
        <v>450</v>
      </c>
      <c r="K4083" s="21">
        <v>0</v>
      </c>
      <c r="L4083" s="5">
        <v>0</v>
      </c>
      <c r="M4083" s="4"/>
      <c r="N4083" s="4"/>
      <c r="O4083" s="5"/>
      <c r="P4083" s="5"/>
      <c r="Q4083" s="21">
        <v>240.3</v>
      </c>
      <c r="R4083" s="21">
        <v>0</v>
      </c>
      <c r="S4083" s="5">
        <f t="shared" si="255"/>
        <v>55337.438997470876</v>
      </c>
      <c r="T4083" cm="1">
        <f t="array" ref="T4083">IF(OR(B4083="MAL ALIMI", B4083="ÜRETİM GİRİŞ"), MIN(I4083, MAX(0, I4083 + SUM(SUMIFS($I$1:I4082, $C$1:C4082, C4083, $B$1:B4082, {"MAL ALIMI","ÜRETİM GİRİŞ"})) - VLOOKUP(C4083, 'STOK RAPORU'!$C$2:$I$1000, 4, 0))), 0)</f>
        <v>0</v>
      </c>
      <c r="U4083" s="22">
        <f t="shared" si="252"/>
        <v>0</v>
      </c>
      <c r="V4083">
        <f t="shared" si="253"/>
        <v>0</v>
      </c>
      <c r="W4083" s="22">
        <f t="shared" si="254"/>
        <v>0</v>
      </c>
    </row>
    <row r="4084" spans="1:23" hidden="1" x14ac:dyDescent="0.25">
      <c r="A4084" s="3">
        <v>46064</v>
      </c>
      <c r="B4084" s="46" t="s">
        <v>334</v>
      </c>
      <c r="C4084" s="4" t="s">
        <v>911</v>
      </c>
      <c r="D4084" s="4"/>
      <c r="E4084" s="4"/>
      <c r="F4084" s="46" t="s">
        <v>2055</v>
      </c>
      <c r="G4084" s="4" t="s">
        <v>336</v>
      </c>
      <c r="H4084" s="4" t="s">
        <v>289</v>
      </c>
      <c r="I4084" s="4">
        <v>1</v>
      </c>
      <c r="J4084" s="21">
        <v>130</v>
      </c>
      <c r="K4084" s="21">
        <v>0</v>
      </c>
      <c r="L4084" s="5">
        <v>0</v>
      </c>
      <c r="M4084" s="4"/>
      <c r="N4084" s="4"/>
      <c r="O4084" s="5"/>
      <c r="P4084" s="5"/>
      <c r="Q4084" s="21">
        <v>130</v>
      </c>
      <c r="R4084" s="21">
        <v>0</v>
      </c>
      <c r="S4084" s="5">
        <f t="shared" si="255"/>
        <v>55467.438997470876</v>
      </c>
      <c r="T4084" cm="1">
        <f t="array" ref="T4084">IF(OR(B4084="MAL ALIMI", B4084="ÜRETİM GİRİŞ"), MIN(I4084, MAX(0, I4084 + SUM(SUMIFS($I$1:I4083, $C$1:C4083, C4084, $B$1:B4083, {"MAL ALIMI","ÜRETİM GİRİŞ"})) - VLOOKUP(C4084, 'STOK RAPORU'!$C$2:$I$1000, 4, 0))), 0)</f>
        <v>0</v>
      </c>
      <c r="U4084" s="22">
        <f t="shared" si="252"/>
        <v>0</v>
      </c>
      <c r="V4084">
        <f t="shared" si="253"/>
        <v>0</v>
      </c>
      <c r="W4084" s="22">
        <f t="shared" si="254"/>
        <v>0</v>
      </c>
    </row>
    <row r="4085" spans="1:23" hidden="1" x14ac:dyDescent="0.25">
      <c r="A4085" s="3">
        <v>46064</v>
      </c>
      <c r="B4085" s="46" t="s">
        <v>334</v>
      </c>
      <c r="C4085" s="4" t="s">
        <v>270</v>
      </c>
      <c r="D4085" s="4"/>
      <c r="E4085" s="4"/>
      <c r="F4085" s="46" t="s">
        <v>2055</v>
      </c>
      <c r="G4085" s="4" t="s">
        <v>336</v>
      </c>
      <c r="H4085" s="4" t="s">
        <v>289</v>
      </c>
      <c r="I4085" s="4">
        <v>1</v>
      </c>
      <c r="J4085" s="21">
        <v>165</v>
      </c>
      <c r="K4085" s="21">
        <v>0</v>
      </c>
      <c r="L4085" s="5">
        <v>0</v>
      </c>
      <c r="M4085" s="4"/>
      <c r="N4085" s="4"/>
      <c r="O4085" s="5"/>
      <c r="P4085" s="5"/>
      <c r="Q4085" s="21">
        <v>165</v>
      </c>
      <c r="R4085" s="21">
        <v>0</v>
      </c>
      <c r="S4085" s="5">
        <f t="shared" si="255"/>
        <v>55632.438997470876</v>
      </c>
      <c r="T4085" cm="1">
        <f t="array" ref="T4085">IF(OR(B4085="MAL ALIMI", B4085="ÜRETİM GİRİŞ"), MIN(I4085, MAX(0, I4085 + SUM(SUMIFS($I$1:I4084, $C$1:C4084, C4085, $B$1:B4084, {"MAL ALIMI","ÜRETİM GİRİŞ"})) - VLOOKUP(C4085, 'STOK RAPORU'!$C$2:$I$1000, 4, 0))), 0)</f>
        <v>0</v>
      </c>
      <c r="U4085" s="22">
        <f t="shared" si="252"/>
        <v>0</v>
      </c>
      <c r="V4085">
        <f t="shared" si="253"/>
        <v>0</v>
      </c>
      <c r="W4085" s="22">
        <f t="shared" si="254"/>
        <v>0</v>
      </c>
    </row>
    <row r="4086" spans="1:23" hidden="1" x14ac:dyDescent="0.25">
      <c r="A4086" s="3">
        <v>46064</v>
      </c>
      <c r="B4086" s="46" t="s">
        <v>334</v>
      </c>
      <c r="C4086" s="4" t="s">
        <v>260</v>
      </c>
      <c r="D4086" s="4"/>
      <c r="E4086" s="4"/>
      <c r="F4086" s="46" t="s">
        <v>2055</v>
      </c>
      <c r="G4086" s="4" t="s">
        <v>336</v>
      </c>
      <c r="H4086" s="4" t="s">
        <v>289</v>
      </c>
      <c r="I4086" s="4">
        <v>1</v>
      </c>
      <c r="J4086" s="21">
        <v>140</v>
      </c>
      <c r="K4086" s="21">
        <v>0</v>
      </c>
      <c r="L4086" s="5">
        <v>0</v>
      </c>
      <c r="M4086" s="4"/>
      <c r="N4086" s="4"/>
      <c r="O4086" s="5"/>
      <c r="P4086" s="5"/>
      <c r="Q4086" s="21">
        <v>140</v>
      </c>
      <c r="R4086" s="21">
        <v>0</v>
      </c>
      <c r="S4086" s="5">
        <f t="shared" si="255"/>
        <v>55772.438997470876</v>
      </c>
      <c r="T4086" cm="1">
        <f t="array" ref="T4086">IF(OR(B4086="MAL ALIMI", B4086="ÜRETİM GİRİŞ"), MIN(I4086, MAX(0, I4086 + SUM(SUMIFS($I$1:I4085, $C$1:C4085, C4086, $B$1:B4085, {"MAL ALIMI","ÜRETİM GİRİŞ"})) - VLOOKUP(C4086, 'STOK RAPORU'!$C$2:$I$1000, 4, 0))), 0)</f>
        <v>0</v>
      </c>
      <c r="U4086" s="22">
        <f t="shared" si="252"/>
        <v>0</v>
      </c>
      <c r="V4086">
        <f t="shared" si="253"/>
        <v>0</v>
      </c>
      <c r="W4086" s="22">
        <f t="shared" si="254"/>
        <v>0</v>
      </c>
    </row>
    <row r="4087" spans="1:23" hidden="1" x14ac:dyDescent="0.25">
      <c r="A4087" s="3">
        <v>46064</v>
      </c>
      <c r="B4087" s="46" t="s">
        <v>334</v>
      </c>
      <c r="C4087" s="4" t="s">
        <v>1443</v>
      </c>
      <c r="D4087" s="4"/>
      <c r="E4087" s="4"/>
      <c r="F4087" s="46" t="s">
        <v>2055</v>
      </c>
      <c r="G4087" s="4" t="s">
        <v>336</v>
      </c>
      <c r="H4087" s="4" t="s">
        <v>289</v>
      </c>
      <c r="I4087" s="4">
        <v>1</v>
      </c>
      <c r="J4087" s="21">
        <v>10</v>
      </c>
      <c r="K4087" s="21">
        <v>0</v>
      </c>
      <c r="L4087" s="5">
        <v>0</v>
      </c>
      <c r="M4087" s="4"/>
      <c r="N4087" s="4"/>
      <c r="O4087" s="5"/>
      <c r="P4087" s="5"/>
      <c r="Q4087" s="21">
        <v>10</v>
      </c>
      <c r="R4087" s="21">
        <v>0</v>
      </c>
      <c r="S4087" s="5">
        <f t="shared" si="255"/>
        <v>55782.438997470876</v>
      </c>
      <c r="T4087" cm="1">
        <f t="array" ref="T4087">IF(OR(B4087="MAL ALIMI", B4087="ÜRETİM GİRİŞ"), MIN(I4087, MAX(0, I4087 + SUM(SUMIFS($I$1:I4086, $C$1:C4086, C4087, $B$1:B4086, {"MAL ALIMI","ÜRETİM GİRİŞ"})) - VLOOKUP(C4087, 'STOK RAPORU'!$C$2:$I$1000, 4, 0))), 0)</f>
        <v>0</v>
      </c>
      <c r="U4087" s="22">
        <f t="shared" ref="U4087:U4147" si="256">T4087*J4087</f>
        <v>0</v>
      </c>
      <c r="V4087">
        <f t="shared" ref="V4087:V4147" si="257">IF(OR(B4087="MAL ALIMI", B4087="ÜRETİM GİRİŞ"), I4087 * J4087, 0)</f>
        <v>0</v>
      </c>
      <c r="W4087" s="22">
        <f t="shared" ref="W4087:W4147" si="258">V4087-U4087</f>
        <v>0</v>
      </c>
    </row>
    <row r="4088" spans="1:23" hidden="1" x14ac:dyDescent="0.25">
      <c r="A4088" s="3">
        <v>46064</v>
      </c>
      <c r="B4088" s="46" t="s">
        <v>334</v>
      </c>
      <c r="C4088" s="4" t="s">
        <v>157</v>
      </c>
      <c r="D4088" s="4"/>
      <c r="E4088" s="4" t="s">
        <v>921</v>
      </c>
      <c r="F4088" s="46" t="s">
        <v>2056</v>
      </c>
      <c r="G4088" s="4" t="s">
        <v>336</v>
      </c>
      <c r="H4088" s="4" t="s">
        <v>380</v>
      </c>
      <c r="I4088" s="4">
        <v>1</v>
      </c>
      <c r="J4088" s="21">
        <v>200</v>
      </c>
      <c r="K4088" s="21">
        <v>200</v>
      </c>
      <c r="L4088" s="5">
        <v>0</v>
      </c>
      <c r="M4088" s="4"/>
      <c r="N4088" s="4"/>
      <c r="O4088" s="5"/>
      <c r="P4088" s="5"/>
      <c r="Q4088" s="21">
        <v>0</v>
      </c>
      <c r="R4088" s="21">
        <v>0</v>
      </c>
      <c r="S4088" s="5">
        <f t="shared" si="255"/>
        <v>55782.438997470876</v>
      </c>
      <c r="T4088" cm="1">
        <f t="array" ref="T4088">IF(OR(B4088="MAL ALIMI", B4088="ÜRETİM GİRİŞ"), MIN(I4088, MAX(0, I4088 + SUM(SUMIFS($I$1:I4087, $C$1:C4087, C4088, $B$1:B4087, {"MAL ALIMI","ÜRETİM GİRİŞ"})) - VLOOKUP(C4088, 'STOK RAPORU'!$C$2:$I$1000, 4, 0))), 0)</f>
        <v>0</v>
      </c>
      <c r="U4088" s="22">
        <f t="shared" si="256"/>
        <v>0</v>
      </c>
      <c r="V4088">
        <f t="shared" si="257"/>
        <v>0</v>
      </c>
      <c r="W4088" s="22">
        <f t="shared" si="258"/>
        <v>0</v>
      </c>
    </row>
    <row r="4089" spans="1:23" hidden="1" x14ac:dyDescent="0.25">
      <c r="A4089" s="3">
        <v>46064</v>
      </c>
      <c r="B4089" s="46" t="s">
        <v>334</v>
      </c>
      <c r="C4089" s="4" t="s">
        <v>158</v>
      </c>
      <c r="D4089" s="4"/>
      <c r="E4089" s="4" t="s">
        <v>921</v>
      </c>
      <c r="F4089" s="46" t="s">
        <v>2056</v>
      </c>
      <c r="G4089" s="4" t="s">
        <v>336</v>
      </c>
      <c r="H4089" s="4" t="s">
        <v>380</v>
      </c>
      <c r="I4089" s="4">
        <v>1</v>
      </c>
      <c r="J4089" s="21">
        <v>150</v>
      </c>
      <c r="K4089" s="21">
        <v>150</v>
      </c>
      <c r="L4089" s="5">
        <v>0</v>
      </c>
      <c r="M4089" s="4"/>
      <c r="N4089" s="4"/>
      <c r="O4089" s="5"/>
      <c r="P4089" s="5"/>
      <c r="Q4089" s="21">
        <v>0</v>
      </c>
      <c r="R4089" s="21">
        <v>0</v>
      </c>
      <c r="S4089" s="5">
        <f t="shared" si="255"/>
        <v>55782.438997470876</v>
      </c>
      <c r="T4089" cm="1">
        <f t="array" ref="T4089">IF(OR(B4089="MAL ALIMI", B4089="ÜRETİM GİRİŞ"), MIN(I4089, MAX(0, I4089 + SUM(SUMIFS($I$1:I4088, $C$1:C4088, C4089, $B$1:B4088, {"MAL ALIMI","ÜRETİM GİRİŞ"})) - VLOOKUP(C4089, 'STOK RAPORU'!$C$2:$I$1000, 4, 0))), 0)</f>
        <v>0</v>
      </c>
      <c r="U4089" s="22">
        <f t="shared" si="256"/>
        <v>0</v>
      </c>
      <c r="V4089">
        <f t="shared" si="257"/>
        <v>0</v>
      </c>
      <c r="W4089" s="22">
        <f t="shared" si="258"/>
        <v>0</v>
      </c>
    </row>
    <row r="4090" spans="1:23" hidden="1" x14ac:dyDescent="0.25">
      <c r="A4090" s="3">
        <v>46064</v>
      </c>
      <c r="B4090" s="46" t="s">
        <v>334</v>
      </c>
      <c r="C4090" s="4" t="s">
        <v>691</v>
      </c>
      <c r="D4090" s="4"/>
      <c r="E4090" s="4" t="s">
        <v>921</v>
      </c>
      <c r="F4090" s="46" t="s">
        <v>2056</v>
      </c>
      <c r="G4090" s="4" t="s">
        <v>336</v>
      </c>
      <c r="H4090" s="4" t="s">
        <v>380</v>
      </c>
      <c r="I4090" s="4">
        <v>0.218</v>
      </c>
      <c r="J4090" s="21">
        <v>230</v>
      </c>
      <c r="K4090" s="21">
        <v>50.14</v>
      </c>
      <c r="L4090" s="5">
        <v>0</v>
      </c>
      <c r="M4090" s="4"/>
      <c r="N4090" s="4"/>
      <c r="O4090" s="5"/>
      <c r="P4090" s="5"/>
      <c r="Q4090" s="21">
        <v>0</v>
      </c>
      <c r="R4090" s="21">
        <v>0</v>
      </c>
      <c r="S4090" s="5">
        <f t="shared" si="255"/>
        <v>55782.438997470876</v>
      </c>
      <c r="T4090" cm="1">
        <f t="array" ref="T4090">IF(OR(B4090="MAL ALIMI", B4090="ÜRETİM GİRİŞ"), MIN(I4090, MAX(0, I4090 + SUM(SUMIFS($I$1:I4089, $C$1:C4089, C4090, $B$1:B4089, {"MAL ALIMI","ÜRETİM GİRİŞ"})) - VLOOKUP(C4090, 'STOK RAPORU'!$C$2:$I$1000, 4, 0))), 0)</f>
        <v>0</v>
      </c>
      <c r="U4090" s="22">
        <f t="shared" si="256"/>
        <v>0</v>
      </c>
      <c r="V4090">
        <f t="shared" si="257"/>
        <v>0</v>
      </c>
      <c r="W4090" s="22">
        <f t="shared" si="258"/>
        <v>0</v>
      </c>
    </row>
    <row r="4091" spans="1:23" hidden="1" x14ac:dyDescent="0.25">
      <c r="A4091" s="3">
        <v>46064</v>
      </c>
      <c r="B4091" s="46" t="s">
        <v>334</v>
      </c>
      <c r="C4091" s="4" t="s">
        <v>840</v>
      </c>
      <c r="D4091" s="4"/>
      <c r="E4091" s="4"/>
      <c r="F4091" s="46" t="s">
        <v>2057</v>
      </c>
      <c r="G4091" s="4" t="s">
        <v>336</v>
      </c>
      <c r="H4091" s="4" t="s">
        <v>289</v>
      </c>
      <c r="I4091" s="4">
        <v>0.34399999999999997</v>
      </c>
      <c r="J4091" s="21">
        <v>291</v>
      </c>
      <c r="K4091" s="21">
        <v>0</v>
      </c>
      <c r="L4091" s="5">
        <v>0</v>
      </c>
      <c r="M4091" s="4"/>
      <c r="N4091" s="4"/>
      <c r="O4091" s="5"/>
      <c r="P4091" s="5"/>
      <c r="Q4091" s="21">
        <v>100.10399999999998</v>
      </c>
      <c r="R4091" s="21">
        <v>0</v>
      </c>
      <c r="S4091" s="5">
        <f t="shared" si="255"/>
        <v>55882.542997470875</v>
      </c>
      <c r="T4091" cm="1">
        <f t="array" ref="T4091">IF(OR(B4091="MAL ALIMI", B4091="ÜRETİM GİRİŞ"), MIN(I4091, MAX(0, I4091 + SUM(SUMIFS($I$1:I4090, $C$1:C4090, C4091, $B$1:B4090, {"MAL ALIMI","ÜRETİM GİRİŞ"})) - VLOOKUP(C4091, 'STOK RAPORU'!$C$2:$I$1000, 4, 0))), 0)</f>
        <v>0</v>
      </c>
      <c r="U4091" s="22">
        <f t="shared" si="256"/>
        <v>0</v>
      </c>
      <c r="V4091">
        <f t="shared" si="257"/>
        <v>0</v>
      </c>
      <c r="W4091" s="22">
        <f t="shared" si="258"/>
        <v>0</v>
      </c>
    </row>
    <row r="4092" spans="1:23" hidden="1" x14ac:dyDescent="0.25">
      <c r="A4092" s="3">
        <v>46064</v>
      </c>
      <c r="B4092" s="4" t="s">
        <v>917</v>
      </c>
      <c r="C4092" s="4"/>
      <c r="D4092" s="4"/>
      <c r="E4092" s="4" t="s">
        <v>350</v>
      </c>
      <c r="F4092" s="4"/>
      <c r="G4092" s="4" t="s">
        <v>1781</v>
      </c>
      <c r="H4092" s="4" t="s">
        <v>289</v>
      </c>
      <c r="I4092" s="4">
        <v>1</v>
      </c>
      <c r="J4092" s="21">
        <v>0</v>
      </c>
      <c r="K4092" s="21">
        <v>10000</v>
      </c>
      <c r="L4092" s="5">
        <v>0</v>
      </c>
      <c r="M4092" s="4">
        <v>0</v>
      </c>
      <c r="N4092" s="4">
        <v>20000</v>
      </c>
      <c r="O4092" s="5"/>
      <c r="P4092" s="5"/>
      <c r="Q4092" s="21">
        <v>0</v>
      </c>
      <c r="R4092" s="21">
        <v>10000</v>
      </c>
      <c r="S4092" s="5">
        <f t="shared" si="255"/>
        <v>45882.542997470875</v>
      </c>
      <c r="T4092" cm="1">
        <f t="array" ref="T4092">IF(OR(B4092="MAL ALIMI", B4092="ÜRETİM GİRİŞ"), MIN(I4092, MAX(0, I4092 + SUM(SUMIFS($I$1:I4091, $C$1:C4091, C4092, $B$1:B4091, {"MAL ALIMI","ÜRETİM GİRİŞ"})) - VLOOKUP(C4092, 'STOK RAPORU'!$C$2:$I$1000, 4, 0))), 0)</f>
        <v>0</v>
      </c>
      <c r="U4092" s="22">
        <f t="shared" si="256"/>
        <v>0</v>
      </c>
      <c r="V4092">
        <f t="shared" si="257"/>
        <v>0</v>
      </c>
      <c r="W4092" s="22">
        <f t="shared" si="258"/>
        <v>0</v>
      </c>
    </row>
    <row r="4093" spans="1:23" hidden="1" x14ac:dyDescent="0.25">
      <c r="A4093" s="3">
        <v>46064</v>
      </c>
      <c r="B4093" s="4" t="s">
        <v>946</v>
      </c>
      <c r="C4093" s="4"/>
      <c r="D4093" s="4"/>
      <c r="E4093" s="4" t="s">
        <v>921</v>
      </c>
      <c r="F4093" s="4"/>
      <c r="G4093" s="4" t="s">
        <v>946</v>
      </c>
      <c r="H4093" s="4" t="s">
        <v>380</v>
      </c>
      <c r="I4093" s="4">
        <v>1</v>
      </c>
      <c r="J4093" s="105">
        <v>520</v>
      </c>
      <c r="K4093" s="21">
        <v>0</v>
      </c>
      <c r="L4093" s="111">
        <v>520</v>
      </c>
      <c r="M4093" s="4"/>
      <c r="N4093" s="4"/>
      <c r="O4093" s="5"/>
      <c r="P4093" s="5"/>
      <c r="Q4093" s="21">
        <v>520</v>
      </c>
      <c r="R4093" s="21">
        <v>0</v>
      </c>
      <c r="S4093" s="5">
        <f t="shared" si="255"/>
        <v>46402.542997470875</v>
      </c>
      <c r="T4093" cm="1">
        <f t="array" ref="T4093">IF(OR(B4093="MAL ALIMI", B4093="ÜRETİM GİRİŞ"), MIN(I4093, MAX(0, I4093 + SUM(SUMIFS($I$1:I4092, $C$1:C4092, C4093, $B$1:B4092, {"MAL ALIMI","ÜRETİM GİRİŞ"})) - VLOOKUP(C4093, 'STOK RAPORU'!$C$2:$I$1000, 4, 0))), 0)</f>
        <v>0</v>
      </c>
      <c r="U4093" s="22">
        <f t="shared" si="256"/>
        <v>0</v>
      </c>
      <c r="V4093">
        <f t="shared" si="257"/>
        <v>0</v>
      </c>
      <c r="W4093" s="22">
        <f t="shared" si="258"/>
        <v>0</v>
      </c>
    </row>
    <row r="4094" spans="1:23" hidden="1" x14ac:dyDescent="0.25">
      <c r="A4094" s="3">
        <v>46064</v>
      </c>
      <c r="B4094" s="4" t="s">
        <v>946</v>
      </c>
      <c r="C4094" s="4"/>
      <c r="D4094" s="4"/>
      <c r="E4094" s="4" t="s">
        <v>921</v>
      </c>
      <c r="F4094" s="4"/>
      <c r="G4094" s="4" t="s">
        <v>946</v>
      </c>
      <c r="H4094" s="4" t="s">
        <v>380</v>
      </c>
      <c r="I4094" s="4">
        <v>1</v>
      </c>
      <c r="J4094" s="105">
        <v>720</v>
      </c>
      <c r="K4094" s="21">
        <v>0</v>
      </c>
      <c r="L4094" s="111">
        <v>720</v>
      </c>
      <c r="M4094" s="4"/>
      <c r="N4094" s="4"/>
      <c r="O4094" s="5"/>
      <c r="P4094" s="5"/>
      <c r="Q4094" s="21">
        <v>720</v>
      </c>
      <c r="R4094" s="21">
        <v>0</v>
      </c>
      <c r="S4094" s="5">
        <f t="shared" si="255"/>
        <v>47122.542997470875</v>
      </c>
      <c r="T4094" cm="1">
        <f t="array" ref="T4094">IF(OR(B4094="MAL ALIMI", B4094="ÜRETİM GİRİŞ"), MIN(I4094, MAX(0, I4094 + SUM(SUMIFS($I$1:I4093, $C$1:C4093, C4094, $B$1:B4093, {"MAL ALIMI","ÜRETİM GİRİŞ"})) - VLOOKUP(C4094, 'STOK RAPORU'!$C$2:$I$1000, 4, 0))), 0)</f>
        <v>0</v>
      </c>
      <c r="U4094" s="22">
        <f t="shared" si="256"/>
        <v>0</v>
      </c>
      <c r="V4094">
        <f t="shared" si="257"/>
        <v>0</v>
      </c>
      <c r="W4094" s="22">
        <f t="shared" si="258"/>
        <v>0</v>
      </c>
    </row>
    <row r="4095" spans="1:23" hidden="1" x14ac:dyDescent="0.25">
      <c r="A4095" s="3">
        <v>46065</v>
      </c>
      <c r="B4095" s="46" t="s">
        <v>334</v>
      </c>
      <c r="C4095" s="4" t="s">
        <v>236</v>
      </c>
      <c r="D4095" s="4"/>
      <c r="E4095" s="4" t="s">
        <v>921</v>
      </c>
      <c r="F4095" s="46" t="s">
        <v>2058</v>
      </c>
      <c r="G4095" s="4" t="s">
        <v>336</v>
      </c>
      <c r="H4095" s="4" t="s">
        <v>380</v>
      </c>
      <c r="I4095" s="4">
        <v>9.1428571428571428E-2</v>
      </c>
      <c r="J4095" s="21">
        <v>350</v>
      </c>
      <c r="K4095" s="21">
        <v>32</v>
      </c>
      <c r="L4095" s="5">
        <v>0</v>
      </c>
      <c r="M4095" s="4"/>
      <c r="N4095" s="4"/>
      <c r="O4095" s="5"/>
      <c r="P4095" s="5"/>
      <c r="Q4095" s="21">
        <v>0</v>
      </c>
      <c r="R4095" s="21">
        <v>0</v>
      </c>
      <c r="S4095" s="5">
        <f t="shared" si="255"/>
        <v>47122.542997470875</v>
      </c>
      <c r="T4095" cm="1">
        <f t="array" ref="T4095">IF(OR(B4095="MAL ALIMI", B4095="ÜRETİM GİRİŞ"), MIN(I4095, MAX(0, I4095 + SUM(SUMIFS($I$1:I4094, $C$1:C4094, C4095, $B$1:B4094, {"MAL ALIMI","ÜRETİM GİRİŞ"})) - VLOOKUP(C4095, 'STOK RAPORU'!$C$2:$I$1000, 4, 0))), 0)</f>
        <v>0</v>
      </c>
      <c r="U4095" s="22">
        <f t="shared" si="256"/>
        <v>0</v>
      </c>
      <c r="V4095">
        <f t="shared" si="257"/>
        <v>0</v>
      </c>
      <c r="W4095" s="22">
        <f t="shared" si="258"/>
        <v>0</v>
      </c>
    </row>
    <row r="4096" spans="1:23" hidden="1" x14ac:dyDescent="0.25">
      <c r="A4096" s="3">
        <v>46065</v>
      </c>
      <c r="B4096" s="46" t="s">
        <v>334</v>
      </c>
      <c r="C4096" s="4" t="s">
        <v>163</v>
      </c>
      <c r="D4096" s="4"/>
      <c r="E4096" s="4"/>
      <c r="F4096" s="46" t="s">
        <v>2059</v>
      </c>
      <c r="G4096" s="4" t="s">
        <v>336</v>
      </c>
      <c r="H4096" s="4" t="s">
        <v>289</v>
      </c>
      <c r="I4096" s="4">
        <v>0.22222222222222221</v>
      </c>
      <c r="J4096" s="21">
        <v>450</v>
      </c>
      <c r="K4096" s="21">
        <v>0</v>
      </c>
      <c r="L4096" s="5">
        <v>0</v>
      </c>
      <c r="M4096" s="4"/>
      <c r="N4096" s="4"/>
      <c r="O4096" s="5"/>
      <c r="P4096" s="5"/>
      <c r="Q4096" s="21">
        <v>100</v>
      </c>
      <c r="R4096" s="21">
        <v>0</v>
      </c>
      <c r="S4096" s="5">
        <f t="shared" si="255"/>
        <v>47222.542997470875</v>
      </c>
      <c r="T4096" cm="1">
        <f t="array" ref="T4096">IF(OR(B4096="MAL ALIMI", B4096="ÜRETİM GİRİŞ"), MIN(I4096, MAX(0, I4096 + SUM(SUMIFS($I$1:I4095, $C$1:C4095, C4096, $B$1:B4095, {"MAL ALIMI","ÜRETİM GİRİŞ"})) - VLOOKUP(C4096, 'STOK RAPORU'!$C$2:$I$1000, 4, 0))), 0)</f>
        <v>0</v>
      </c>
      <c r="U4096" s="22">
        <f t="shared" si="256"/>
        <v>0</v>
      </c>
      <c r="V4096">
        <f t="shared" si="257"/>
        <v>0</v>
      </c>
      <c r="W4096" s="22">
        <f t="shared" si="258"/>
        <v>0</v>
      </c>
    </row>
    <row r="4097" spans="1:23" hidden="1" x14ac:dyDescent="0.25">
      <c r="A4097" s="3">
        <v>46065</v>
      </c>
      <c r="B4097" s="46" t="s">
        <v>334</v>
      </c>
      <c r="C4097" s="4" t="s">
        <v>1443</v>
      </c>
      <c r="D4097" s="4"/>
      <c r="E4097" s="4"/>
      <c r="F4097" s="46" t="s">
        <v>2060</v>
      </c>
      <c r="G4097" s="4" t="s">
        <v>336</v>
      </c>
      <c r="H4097" s="4" t="s">
        <v>289</v>
      </c>
      <c r="I4097" s="4">
        <v>2</v>
      </c>
      <c r="J4097" s="21">
        <v>10</v>
      </c>
      <c r="K4097" s="21">
        <v>0</v>
      </c>
      <c r="L4097" s="5">
        <v>0</v>
      </c>
      <c r="M4097" s="4"/>
      <c r="N4097" s="4"/>
      <c r="O4097" s="5"/>
      <c r="P4097" s="5"/>
      <c r="Q4097" s="21">
        <v>20</v>
      </c>
      <c r="R4097" s="21">
        <v>0</v>
      </c>
      <c r="S4097" s="5">
        <f t="shared" si="255"/>
        <v>47242.542997470875</v>
      </c>
      <c r="T4097" cm="1">
        <f t="array" ref="T4097">IF(OR(B4097="MAL ALIMI", B4097="ÜRETİM GİRİŞ"), MIN(I4097, MAX(0, I4097 + SUM(SUMIFS($I$1:I4096, $C$1:C4096, C4097, $B$1:B4096, {"MAL ALIMI","ÜRETİM GİRİŞ"})) - VLOOKUP(C4097, 'STOK RAPORU'!$C$2:$I$1000, 4, 0))), 0)</f>
        <v>0</v>
      </c>
      <c r="U4097" s="22">
        <f t="shared" si="256"/>
        <v>0</v>
      </c>
      <c r="V4097">
        <f t="shared" si="257"/>
        <v>0</v>
      </c>
      <c r="W4097" s="22">
        <f t="shared" si="258"/>
        <v>0</v>
      </c>
    </row>
    <row r="4098" spans="1:23" hidden="1" x14ac:dyDescent="0.25">
      <c r="A4098" s="3">
        <v>46065</v>
      </c>
      <c r="B4098" s="46" t="s">
        <v>334</v>
      </c>
      <c r="C4098" s="4" t="s">
        <v>91</v>
      </c>
      <c r="D4098" s="4"/>
      <c r="E4098" s="4"/>
      <c r="F4098" s="46" t="s">
        <v>2061</v>
      </c>
      <c r="G4098" s="4" t="s">
        <v>336</v>
      </c>
      <c r="H4098" s="4" t="s">
        <v>289</v>
      </c>
      <c r="I4098" s="4">
        <v>6.6666666666666666E-2</v>
      </c>
      <c r="J4098" s="21">
        <v>750</v>
      </c>
      <c r="K4098" s="21">
        <v>0</v>
      </c>
      <c r="L4098" s="5">
        <v>0</v>
      </c>
      <c r="M4098" s="4"/>
      <c r="N4098" s="4"/>
      <c r="O4098" s="5"/>
      <c r="P4098" s="5"/>
      <c r="Q4098" s="21">
        <v>50</v>
      </c>
      <c r="R4098" s="21">
        <v>0</v>
      </c>
      <c r="S4098" s="5">
        <f t="shared" si="255"/>
        <v>47292.542997470875</v>
      </c>
      <c r="T4098" cm="1">
        <f t="array" ref="T4098">IF(OR(B4098="MAL ALIMI", B4098="ÜRETİM GİRİŞ"), MIN(I4098, MAX(0, I4098 + SUM(SUMIFS($I$1:I4097, $C$1:C4097, C4098, $B$1:B4097, {"MAL ALIMI","ÜRETİM GİRİŞ"})) - VLOOKUP(C4098, 'STOK RAPORU'!$C$2:$I$1000, 4, 0))), 0)</f>
        <v>0</v>
      </c>
      <c r="U4098" s="22">
        <f t="shared" si="256"/>
        <v>0</v>
      </c>
      <c r="V4098">
        <f t="shared" si="257"/>
        <v>0</v>
      </c>
      <c r="W4098" s="22">
        <f t="shared" si="258"/>
        <v>0</v>
      </c>
    </row>
    <row r="4099" spans="1:23" hidden="1" x14ac:dyDescent="0.25">
      <c r="A4099" s="3">
        <v>46065</v>
      </c>
      <c r="B4099" s="46" t="s">
        <v>334</v>
      </c>
      <c r="C4099" s="4" t="s">
        <v>131</v>
      </c>
      <c r="D4099" s="4"/>
      <c r="E4099" s="4"/>
      <c r="F4099" s="46" t="s">
        <v>2061</v>
      </c>
      <c r="G4099" s="4" t="s">
        <v>336</v>
      </c>
      <c r="H4099" s="4" t="s">
        <v>289</v>
      </c>
      <c r="I4099" s="4">
        <v>0.125</v>
      </c>
      <c r="J4099" s="21">
        <v>400</v>
      </c>
      <c r="K4099" s="21">
        <v>0</v>
      </c>
      <c r="L4099" s="5">
        <v>0</v>
      </c>
      <c r="M4099" s="4"/>
      <c r="N4099" s="4"/>
      <c r="O4099" s="5"/>
      <c r="P4099" s="5"/>
      <c r="Q4099" s="21">
        <v>50</v>
      </c>
      <c r="R4099" s="21">
        <v>0</v>
      </c>
      <c r="S4099" s="5">
        <f t="shared" si="255"/>
        <v>47342.542997470875</v>
      </c>
      <c r="T4099" cm="1">
        <f t="array" ref="T4099">IF(OR(B4099="MAL ALIMI", B4099="ÜRETİM GİRİŞ"), MIN(I4099, MAX(0, I4099 + SUM(SUMIFS($I$1:I4098, $C$1:C4098, C4099, $B$1:B4098, {"MAL ALIMI","ÜRETİM GİRİŞ"})) - VLOOKUP(C4099, 'STOK RAPORU'!$C$2:$I$1000, 4, 0))), 0)</f>
        <v>0</v>
      </c>
      <c r="U4099" s="22">
        <f t="shared" si="256"/>
        <v>0</v>
      </c>
      <c r="V4099">
        <f t="shared" si="257"/>
        <v>0</v>
      </c>
      <c r="W4099" s="22">
        <f t="shared" si="258"/>
        <v>0</v>
      </c>
    </row>
    <row r="4100" spans="1:23" hidden="1" x14ac:dyDescent="0.25">
      <c r="A4100" s="3">
        <v>46065</v>
      </c>
      <c r="B4100" s="46" t="s">
        <v>334</v>
      </c>
      <c r="C4100" s="4" t="s">
        <v>728</v>
      </c>
      <c r="D4100" s="4"/>
      <c r="E4100" s="4"/>
      <c r="F4100" s="46" t="s">
        <v>2062</v>
      </c>
      <c r="G4100" s="4" t="s">
        <v>336</v>
      </c>
      <c r="H4100" s="4" t="s">
        <v>289</v>
      </c>
      <c r="I4100" s="4">
        <v>0.43478260869565216</v>
      </c>
      <c r="J4100" s="21">
        <v>690</v>
      </c>
      <c r="K4100" s="21">
        <v>0</v>
      </c>
      <c r="L4100" s="5">
        <v>0</v>
      </c>
      <c r="M4100" s="4"/>
      <c r="N4100" s="4"/>
      <c r="O4100" s="5"/>
      <c r="P4100" s="5"/>
      <c r="Q4100" s="21">
        <v>300</v>
      </c>
      <c r="R4100" s="21">
        <v>0</v>
      </c>
      <c r="S4100" s="5">
        <f t="shared" ref="S4100:S4163" si="259">S4099+Q4100-R4100</f>
        <v>47642.542997470875</v>
      </c>
      <c r="T4100" cm="1">
        <f t="array" ref="T4100">IF(OR(B4100="MAL ALIMI", B4100="ÜRETİM GİRİŞ"), MIN(I4100, MAX(0, I4100 + SUM(SUMIFS($I$1:I4099, $C$1:C4099, C4100, $B$1:B4099, {"MAL ALIMI","ÜRETİM GİRİŞ"})) - VLOOKUP(C4100, 'STOK RAPORU'!$C$2:$I$1000, 4, 0))), 0)</f>
        <v>0</v>
      </c>
      <c r="U4100" s="22">
        <f t="shared" si="256"/>
        <v>0</v>
      </c>
      <c r="V4100">
        <f t="shared" si="257"/>
        <v>0</v>
      </c>
      <c r="W4100" s="22">
        <f t="shared" si="258"/>
        <v>0</v>
      </c>
    </row>
    <row r="4101" spans="1:23" hidden="1" x14ac:dyDescent="0.25">
      <c r="A4101" s="3">
        <v>46065</v>
      </c>
      <c r="B4101" s="46" t="s">
        <v>334</v>
      </c>
      <c r="C4101" s="4" t="s">
        <v>1501</v>
      </c>
      <c r="D4101" s="4"/>
      <c r="E4101" s="4"/>
      <c r="F4101" s="46" t="s">
        <v>2063</v>
      </c>
      <c r="G4101" s="4" t="s">
        <v>336</v>
      </c>
      <c r="H4101" s="4" t="s">
        <v>289</v>
      </c>
      <c r="I4101" s="4">
        <v>0.25</v>
      </c>
      <c r="J4101" s="21">
        <v>600</v>
      </c>
      <c r="K4101" s="21">
        <v>0</v>
      </c>
      <c r="L4101" s="5">
        <v>0</v>
      </c>
      <c r="M4101" s="4"/>
      <c r="N4101" s="4"/>
      <c r="O4101" s="5"/>
      <c r="P4101" s="5"/>
      <c r="Q4101" s="21">
        <v>150</v>
      </c>
      <c r="R4101" s="21">
        <v>0</v>
      </c>
      <c r="S4101" s="5">
        <f t="shared" si="259"/>
        <v>47792.542997470875</v>
      </c>
      <c r="T4101" cm="1">
        <f t="array" ref="T4101">IF(OR(B4101="MAL ALIMI", B4101="ÜRETİM GİRİŞ"), MIN(I4101, MAX(0, I4101 + SUM(SUMIFS($I$1:I4100, $C$1:C4100, C4101, $B$1:B4100, {"MAL ALIMI","ÜRETİM GİRİŞ"})) - VLOOKUP(C4101, 'STOK RAPORU'!$C$2:$I$1000, 4, 0))), 0)</f>
        <v>0</v>
      </c>
      <c r="U4101" s="22">
        <f t="shared" si="256"/>
        <v>0</v>
      </c>
      <c r="V4101">
        <f t="shared" si="257"/>
        <v>0</v>
      </c>
      <c r="W4101" s="22">
        <f t="shared" si="258"/>
        <v>0</v>
      </c>
    </row>
    <row r="4102" spans="1:23" hidden="1" x14ac:dyDescent="0.25">
      <c r="A4102" s="3">
        <v>46065</v>
      </c>
      <c r="B4102" s="46" t="s">
        <v>334</v>
      </c>
      <c r="C4102" s="4" t="s">
        <v>1359</v>
      </c>
      <c r="D4102" s="4"/>
      <c r="E4102" s="4"/>
      <c r="F4102" s="46" t="s">
        <v>2064</v>
      </c>
      <c r="G4102" s="4" t="s">
        <v>336</v>
      </c>
      <c r="H4102" s="4" t="s">
        <v>289</v>
      </c>
      <c r="I4102" s="4">
        <v>0.14888888888888888</v>
      </c>
      <c r="J4102" s="21">
        <v>450</v>
      </c>
      <c r="K4102" s="21">
        <v>0</v>
      </c>
      <c r="L4102" s="5">
        <v>0</v>
      </c>
      <c r="M4102" s="4"/>
      <c r="N4102" s="4"/>
      <c r="O4102" s="5"/>
      <c r="P4102" s="5"/>
      <c r="Q4102" s="21">
        <v>67</v>
      </c>
      <c r="R4102" s="21">
        <v>0</v>
      </c>
      <c r="S4102" s="5">
        <f t="shared" si="259"/>
        <v>47859.542997470875</v>
      </c>
      <c r="T4102" cm="1">
        <f t="array" ref="T4102">IF(OR(B4102="MAL ALIMI", B4102="ÜRETİM GİRİŞ"), MIN(I4102, MAX(0, I4102 + SUM(SUMIFS($I$1:I4101, $C$1:C4101, C4102, $B$1:B4101, {"MAL ALIMI","ÜRETİM GİRİŞ"})) - VLOOKUP(C4102, 'STOK RAPORU'!$C$2:$I$1000, 4, 0))), 0)</f>
        <v>0</v>
      </c>
      <c r="U4102" s="22">
        <f t="shared" si="256"/>
        <v>0</v>
      </c>
      <c r="V4102">
        <f t="shared" si="257"/>
        <v>0</v>
      </c>
      <c r="W4102" s="22">
        <f t="shared" si="258"/>
        <v>0</v>
      </c>
    </row>
    <row r="4103" spans="1:23" hidden="1" x14ac:dyDescent="0.25">
      <c r="A4103" s="3">
        <v>46065</v>
      </c>
      <c r="B4103" s="46" t="s">
        <v>334</v>
      </c>
      <c r="C4103" s="4" t="s">
        <v>162</v>
      </c>
      <c r="D4103" s="4"/>
      <c r="E4103" s="4"/>
      <c r="F4103" s="46" t="s">
        <v>2065</v>
      </c>
      <c r="G4103" s="4" t="s">
        <v>336</v>
      </c>
      <c r="H4103" s="4" t="s">
        <v>289</v>
      </c>
      <c r="I4103" s="4">
        <v>0.3</v>
      </c>
      <c r="J4103" s="21">
        <v>250</v>
      </c>
      <c r="K4103" s="21">
        <v>0</v>
      </c>
      <c r="L4103" s="5">
        <v>0</v>
      </c>
      <c r="M4103" s="4"/>
      <c r="N4103" s="4"/>
      <c r="O4103" s="5"/>
      <c r="P4103" s="5"/>
      <c r="Q4103" s="21">
        <v>75</v>
      </c>
      <c r="R4103" s="21">
        <v>0</v>
      </c>
      <c r="S4103" s="5">
        <f t="shared" si="259"/>
        <v>47934.542997470875</v>
      </c>
      <c r="T4103" cm="1">
        <f t="array" ref="T4103">IF(OR(B4103="MAL ALIMI", B4103="ÜRETİM GİRİŞ"), MIN(I4103, MAX(0, I4103 + SUM(SUMIFS($I$1:I4102, $C$1:C4102, C4103, $B$1:B4102, {"MAL ALIMI","ÜRETİM GİRİŞ"})) - VLOOKUP(C4103, 'STOK RAPORU'!$C$2:$I$1000, 4, 0))), 0)</f>
        <v>0</v>
      </c>
      <c r="U4103" s="22">
        <f t="shared" si="256"/>
        <v>0</v>
      </c>
      <c r="V4103">
        <f t="shared" si="257"/>
        <v>0</v>
      </c>
      <c r="W4103" s="22">
        <f t="shared" si="258"/>
        <v>0</v>
      </c>
    </row>
    <row r="4104" spans="1:23" hidden="1" x14ac:dyDescent="0.25">
      <c r="A4104" s="3">
        <v>46065</v>
      </c>
      <c r="B4104" s="46" t="s">
        <v>334</v>
      </c>
      <c r="C4104" s="4" t="s">
        <v>161</v>
      </c>
      <c r="D4104" s="4"/>
      <c r="E4104" s="4"/>
      <c r="F4104" s="46" t="s">
        <v>2065</v>
      </c>
      <c r="G4104" s="4" t="s">
        <v>336</v>
      </c>
      <c r="H4104" s="4" t="s">
        <v>289</v>
      </c>
      <c r="I4104" s="4">
        <v>0.22</v>
      </c>
      <c r="J4104" s="21">
        <v>230</v>
      </c>
      <c r="K4104" s="21">
        <v>0</v>
      </c>
      <c r="L4104" s="5">
        <v>0</v>
      </c>
      <c r="M4104" s="4"/>
      <c r="N4104" s="4"/>
      <c r="O4104" s="5"/>
      <c r="P4104" s="5"/>
      <c r="Q4104" s="21">
        <v>50.6</v>
      </c>
      <c r="R4104" s="21">
        <v>0</v>
      </c>
      <c r="S4104" s="5">
        <f t="shared" si="259"/>
        <v>47985.142997470874</v>
      </c>
      <c r="T4104" cm="1">
        <f t="array" ref="T4104">IF(OR(B4104="MAL ALIMI", B4104="ÜRETİM GİRİŞ"), MIN(I4104, MAX(0, I4104 + SUM(SUMIFS($I$1:I4103, $C$1:C4103, C4104, $B$1:B4103, {"MAL ALIMI","ÜRETİM GİRİŞ"})) - VLOOKUP(C4104, 'STOK RAPORU'!$C$2:$I$1000, 4, 0))), 0)</f>
        <v>0</v>
      </c>
      <c r="U4104" s="22">
        <f t="shared" si="256"/>
        <v>0</v>
      </c>
      <c r="V4104">
        <f t="shared" si="257"/>
        <v>0</v>
      </c>
      <c r="W4104" s="22">
        <f t="shared" si="258"/>
        <v>0</v>
      </c>
    </row>
    <row r="4105" spans="1:23" hidden="1" x14ac:dyDescent="0.25">
      <c r="A4105" s="3">
        <v>46065</v>
      </c>
      <c r="B4105" s="46" t="s">
        <v>334</v>
      </c>
      <c r="C4105" s="4" t="s">
        <v>160</v>
      </c>
      <c r="D4105" s="4"/>
      <c r="E4105" s="4"/>
      <c r="F4105" s="46" t="s">
        <v>2065</v>
      </c>
      <c r="G4105" s="4" t="s">
        <v>336</v>
      </c>
      <c r="H4105" s="4" t="s">
        <v>289</v>
      </c>
      <c r="I4105" s="4">
        <v>0.5</v>
      </c>
      <c r="J4105" s="21">
        <v>250</v>
      </c>
      <c r="K4105" s="21">
        <v>0</v>
      </c>
      <c r="L4105" s="5">
        <v>0</v>
      </c>
      <c r="M4105" s="4"/>
      <c r="N4105" s="4"/>
      <c r="O4105" s="5"/>
      <c r="P4105" s="5"/>
      <c r="Q4105" s="21">
        <v>125</v>
      </c>
      <c r="R4105" s="21">
        <v>0</v>
      </c>
      <c r="S4105" s="5">
        <f t="shared" si="259"/>
        <v>48110.142997470874</v>
      </c>
      <c r="T4105" cm="1">
        <f t="array" ref="T4105">IF(OR(B4105="MAL ALIMI", B4105="ÜRETİM GİRİŞ"), MIN(I4105, MAX(0, I4105 + SUM(SUMIFS($I$1:I4104, $C$1:C4104, C4105, $B$1:B4104, {"MAL ALIMI","ÜRETİM GİRİŞ"})) - VLOOKUP(C4105, 'STOK RAPORU'!$C$2:$I$1000, 4, 0))), 0)</f>
        <v>0</v>
      </c>
      <c r="U4105" s="22">
        <f t="shared" si="256"/>
        <v>0</v>
      </c>
      <c r="V4105">
        <f t="shared" si="257"/>
        <v>0</v>
      </c>
      <c r="W4105" s="22">
        <f t="shared" si="258"/>
        <v>0</v>
      </c>
    </row>
    <row r="4106" spans="1:23" hidden="1" x14ac:dyDescent="0.25">
      <c r="A4106" s="3">
        <v>46065</v>
      </c>
      <c r="B4106" s="46" t="s">
        <v>334</v>
      </c>
      <c r="C4106" s="4" t="s">
        <v>975</v>
      </c>
      <c r="D4106" s="4"/>
      <c r="E4106" s="4" t="s">
        <v>921</v>
      </c>
      <c r="F4106" s="46" t="s">
        <v>2066</v>
      </c>
      <c r="G4106" s="4" t="s">
        <v>336</v>
      </c>
      <c r="H4106" s="4" t="s">
        <v>380</v>
      </c>
      <c r="I4106" s="4">
        <v>1</v>
      </c>
      <c r="J4106" s="21">
        <v>225</v>
      </c>
      <c r="K4106" s="21">
        <v>225</v>
      </c>
      <c r="L4106" s="5">
        <v>0</v>
      </c>
      <c r="M4106" s="4"/>
      <c r="N4106" s="4"/>
      <c r="O4106" s="5"/>
      <c r="P4106" s="5"/>
      <c r="Q4106" s="21">
        <v>0</v>
      </c>
      <c r="R4106" s="21">
        <v>0</v>
      </c>
      <c r="S4106" s="5">
        <f t="shared" si="259"/>
        <v>48110.142997470874</v>
      </c>
      <c r="T4106" cm="1">
        <f t="array" ref="T4106">IF(OR(B4106="MAL ALIMI", B4106="ÜRETİM GİRİŞ"), MIN(I4106, MAX(0, I4106 + SUM(SUMIFS($I$1:I4105, $C$1:C4105, C4106, $B$1:B4105, {"MAL ALIMI","ÜRETİM GİRİŞ"})) - VLOOKUP(C4106, 'STOK RAPORU'!$C$2:$I$1000, 4, 0))), 0)</f>
        <v>0</v>
      </c>
      <c r="U4106" s="22">
        <f t="shared" si="256"/>
        <v>0</v>
      </c>
      <c r="V4106">
        <f t="shared" si="257"/>
        <v>0</v>
      </c>
      <c r="W4106" s="22">
        <f t="shared" si="258"/>
        <v>0</v>
      </c>
    </row>
    <row r="4107" spans="1:23" hidden="1" x14ac:dyDescent="0.25">
      <c r="A4107" s="3">
        <v>46065</v>
      </c>
      <c r="B4107" s="46" t="s">
        <v>334</v>
      </c>
      <c r="C4107" s="4" t="s">
        <v>976</v>
      </c>
      <c r="D4107" s="4"/>
      <c r="E4107" s="4" t="s">
        <v>921</v>
      </c>
      <c r="F4107" s="46" t="s">
        <v>2066</v>
      </c>
      <c r="G4107" s="4" t="s">
        <v>336</v>
      </c>
      <c r="H4107" s="4" t="s">
        <v>380</v>
      </c>
      <c r="I4107" s="4">
        <v>1</v>
      </c>
      <c r="J4107" s="21">
        <v>390</v>
      </c>
      <c r="K4107" s="21">
        <v>390</v>
      </c>
      <c r="L4107" s="5">
        <v>0</v>
      </c>
      <c r="M4107" s="4"/>
      <c r="N4107" s="4"/>
      <c r="O4107" s="5"/>
      <c r="P4107" s="5"/>
      <c r="Q4107" s="21">
        <v>0</v>
      </c>
      <c r="R4107" s="21">
        <v>0</v>
      </c>
      <c r="S4107" s="5">
        <f t="shared" si="259"/>
        <v>48110.142997470874</v>
      </c>
      <c r="T4107" cm="1">
        <f t="array" ref="T4107">IF(OR(B4107="MAL ALIMI", B4107="ÜRETİM GİRİŞ"), MIN(I4107, MAX(0, I4107 + SUM(SUMIFS($I$1:I4106, $C$1:C4106, C4107, $B$1:B4106, {"MAL ALIMI","ÜRETİM GİRİŞ"})) - VLOOKUP(C4107, 'STOK RAPORU'!$C$2:$I$1000, 4, 0))), 0)</f>
        <v>0</v>
      </c>
      <c r="U4107" s="22">
        <f t="shared" si="256"/>
        <v>0</v>
      </c>
      <c r="V4107">
        <f t="shared" si="257"/>
        <v>0</v>
      </c>
      <c r="W4107" s="22">
        <f t="shared" si="258"/>
        <v>0</v>
      </c>
    </row>
    <row r="4108" spans="1:23" hidden="1" x14ac:dyDescent="0.25">
      <c r="A4108" s="3">
        <v>46065</v>
      </c>
      <c r="B4108" s="46" t="s">
        <v>334</v>
      </c>
      <c r="C4108" s="4" t="s">
        <v>1634</v>
      </c>
      <c r="D4108" s="4"/>
      <c r="E4108" s="4"/>
      <c r="F4108" s="46" t="s">
        <v>2066</v>
      </c>
      <c r="G4108" s="4" t="s">
        <v>336</v>
      </c>
      <c r="H4108" s="4" t="s">
        <v>289</v>
      </c>
      <c r="I4108" s="4">
        <v>0.5</v>
      </c>
      <c r="J4108" s="21">
        <v>300</v>
      </c>
      <c r="K4108" s="21">
        <v>0</v>
      </c>
      <c r="L4108" s="5">
        <v>0</v>
      </c>
      <c r="M4108" s="4"/>
      <c r="N4108" s="4"/>
      <c r="O4108" s="5"/>
      <c r="P4108" s="5"/>
      <c r="Q4108" s="21">
        <v>150</v>
      </c>
      <c r="R4108" s="21">
        <v>0</v>
      </c>
      <c r="S4108" s="5">
        <f t="shared" si="259"/>
        <v>48260.142997470874</v>
      </c>
      <c r="T4108" cm="1">
        <f t="array" ref="T4108">IF(OR(B4108="MAL ALIMI", B4108="ÜRETİM GİRİŞ"), MIN(I4108, MAX(0, I4108 + SUM(SUMIFS($I$1:I4107, $C$1:C4107, C4108, $B$1:B4107, {"MAL ALIMI","ÜRETİM GİRİŞ"})) - VLOOKUP(C4108, 'STOK RAPORU'!$C$2:$I$1000, 4, 0))), 0)</f>
        <v>0</v>
      </c>
      <c r="U4108" s="22">
        <f t="shared" si="256"/>
        <v>0</v>
      </c>
      <c r="V4108">
        <f t="shared" si="257"/>
        <v>0</v>
      </c>
      <c r="W4108" s="22">
        <f t="shared" si="258"/>
        <v>0</v>
      </c>
    </row>
    <row r="4109" spans="1:23" hidden="1" x14ac:dyDescent="0.25">
      <c r="A4109" s="3">
        <v>46065</v>
      </c>
      <c r="B4109" s="46" t="s">
        <v>334</v>
      </c>
      <c r="C4109" s="4" t="s">
        <v>256</v>
      </c>
      <c r="D4109" s="4"/>
      <c r="E4109" s="4"/>
      <c r="F4109" s="46" t="s">
        <v>2067</v>
      </c>
      <c r="G4109" s="4" t="s">
        <v>336</v>
      </c>
      <c r="H4109" s="4" t="s">
        <v>289</v>
      </c>
      <c r="I4109" s="4">
        <v>1</v>
      </c>
      <c r="J4109" s="21">
        <v>190</v>
      </c>
      <c r="K4109" s="21">
        <v>0</v>
      </c>
      <c r="L4109" s="5">
        <v>0</v>
      </c>
      <c r="M4109" s="4"/>
      <c r="N4109" s="4"/>
      <c r="O4109" s="5"/>
      <c r="P4109" s="5"/>
      <c r="Q4109" s="21">
        <v>190</v>
      </c>
      <c r="R4109" s="21">
        <v>0</v>
      </c>
      <c r="S4109" s="5">
        <f t="shared" si="259"/>
        <v>48450.142997470874</v>
      </c>
      <c r="T4109" cm="1">
        <f t="array" ref="T4109">IF(OR(B4109="MAL ALIMI", B4109="ÜRETİM GİRİŞ"), MIN(I4109, MAX(0, I4109 + SUM(SUMIFS($I$1:I4108, $C$1:C4108, C4109, $B$1:B4108, {"MAL ALIMI","ÜRETİM GİRİŞ"})) - VLOOKUP(C4109, 'STOK RAPORU'!$C$2:$I$1000, 4, 0))), 0)</f>
        <v>0</v>
      </c>
      <c r="U4109" s="22">
        <f t="shared" si="256"/>
        <v>0</v>
      </c>
      <c r="V4109">
        <f t="shared" si="257"/>
        <v>0</v>
      </c>
      <c r="W4109" s="22">
        <f t="shared" si="258"/>
        <v>0</v>
      </c>
    </row>
    <row r="4110" spans="1:23" hidden="1" x14ac:dyDescent="0.25">
      <c r="A4110" s="3">
        <v>46065</v>
      </c>
      <c r="B4110" s="46" t="s">
        <v>334</v>
      </c>
      <c r="C4110" s="4" t="s">
        <v>219</v>
      </c>
      <c r="D4110" s="4"/>
      <c r="E4110" s="4" t="s">
        <v>921</v>
      </c>
      <c r="F4110" s="46" t="s">
        <v>2068</v>
      </c>
      <c r="G4110" s="4" t="s">
        <v>336</v>
      </c>
      <c r="H4110" s="4" t="s">
        <v>380</v>
      </c>
      <c r="I4110" s="4">
        <v>0.1</v>
      </c>
      <c r="J4110" s="21">
        <v>2000</v>
      </c>
      <c r="K4110" s="21">
        <v>200</v>
      </c>
      <c r="L4110" s="5">
        <v>0</v>
      </c>
      <c r="M4110" s="4"/>
      <c r="N4110" s="4"/>
      <c r="O4110" s="5"/>
      <c r="P4110" s="5"/>
      <c r="Q4110" s="21">
        <v>0</v>
      </c>
      <c r="R4110" s="21">
        <v>0</v>
      </c>
      <c r="S4110" s="5">
        <f t="shared" si="259"/>
        <v>48450.142997470874</v>
      </c>
      <c r="T4110" cm="1">
        <f t="array" ref="T4110">IF(OR(B4110="MAL ALIMI", B4110="ÜRETİM GİRİŞ"), MIN(I4110, MAX(0, I4110 + SUM(SUMIFS($I$1:I4109, $C$1:C4109, C4110, $B$1:B4109, {"MAL ALIMI","ÜRETİM GİRİŞ"})) - VLOOKUP(C4110, 'STOK RAPORU'!$C$2:$I$1000, 4, 0))), 0)</f>
        <v>0</v>
      </c>
      <c r="U4110" s="22">
        <f t="shared" si="256"/>
        <v>0</v>
      </c>
      <c r="V4110">
        <f t="shared" si="257"/>
        <v>0</v>
      </c>
      <c r="W4110" s="22">
        <f t="shared" si="258"/>
        <v>0</v>
      </c>
    </row>
    <row r="4111" spans="1:23" hidden="1" x14ac:dyDescent="0.25">
      <c r="A4111" s="3">
        <v>46065</v>
      </c>
      <c r="B4111" s="46" t="s">
        <v>334</v>
      </c>
      <c r="C4111" s="4" t="s">
        <v>265</v>
      </c>
      <c r="D4111" s="4"/>
      <c r="E4111" s="4" t="s">
        <v>921</v>
      </c>
      <c r="F4111" s="46" t="s">
        <v>2069</v>
      </c>
      <c r="G4111" s="4" t="s">
        <v>336</v>
      </c>
      <c r="H4111" s="4" t="s">
        <v>380</v>
      </c>
      <c r="I4111" s="4">
        <v>1</v>
      </c>
      <c r="J4111" s="21">
        <v>130</v>
      </c>
      <c r="K4111" s="21">
        <v>130</v>
      </c>
      <c r="L4111" s="5">
        <v>0</v>
      </c>
      <c r="M4111" s="4"/>
      <c r="N4111" s="4"/>
      <c r="O4111" s="5"/>
      <c r="P4111" s="5"/>
      <c r="Q4111" s="21">
        <v>0</v>
      </c>
      <c r="R4111" s="21">
        <v>0</v>
      </c>
      <c r="S4111" s="5">
        <f t="shared" si="259"/>
        <v>48450.142997470874</v>
      </c>
      <c r="T4111" cm="1">
        <f t="array" ref="T4111">IF(OR(B4111="MAL ALIMI", B4111="ÜRETİM GİRİŞ"), MIN(I4111, MAX(0, I4111 + SUM(SUMIFS($I$1:I4110, $C$1:C4110, C4111, $B$1:B4110, {"MAL ALIMI","ÜRETİM GİRİŞ"})) - VLOOKUP(C4111, 'STOK RAPORU'!$C$2:$I$1000, 4, 0))), 0)</f>
        <v>0</v>
      </c>
      <c r="U4111" s="22">
        <f t="shared" si="256"/>
        <v>0</v>
      </c>
      <c r="V4111">
        <f t="shared" si="257"/>
        <v>0</v>
      </c>
      <c r="W4111" s="22">
        <f t="shared" si="258"/>
        <v>0</v>
      </c>
    </row>
    <row r="4112" spans="1:23" hidden="1" x14ac:dyDescent="0.25">
      <c r="A4112" s="3">
        <v>46065</v>
      </c>
      <c r="B4112" s="46" t="s">
        <v>334</v>
      </c>
      <c r="C4112" s="4" t="s">
        <v>1620</v>
      </c>
      <c r="D4112" s="4"/>
      <c r="E4112" s="4" t="s">
        <v>921</v>
      </c>
      <c r="F4112" s="46" t="s">
        <v>2069</v>
      </c>
      <c r="G4112" s="4" t="s">
        <v>336</v>
      </c>
      <c r="H4112" s="4" t="s">
        <v>380</v>
      </c>
      <c r="I4112" s="4">
        <v>1</v>
      </c>
      <c r="J4112" s="21">
        <v>100</v>
      </c>
      <c r="K4112" s="21">
        <v>100</v>
      </c>
      <c r="L4112" s="5">
        <v>0</v>
      </c>
      <c r="M4112" s="4"/>
      <c r="N4112" s="4"/>
      <c r="O4112" s="5"/>
      <c r="P4112" s="5"/>
      <c r="Q4112" s="21">
        <v>0</v>
      </c>
      <c r="R4112" s="21">
        <v>0</v>
      </c>
      <c r="S4112" s="5">
        <f t="shared" si="259"/>
        <v>48450.142997470874</v>
      </c>
      <c r="T4112" cm="1">
        <f t="array" ref="T4112">IF(OR(B4112="MAL ALIMI", B4112="ÜRETİM GİRİŞ"), MIN(I4112, MAX(0, I4112 + SUM(SUMIFS($I$1:I4111, $C$1:C4111, C4112, $B$1:B4111, {"MAL ALIMI","ÜRETİM GİRİŞ"})) - VLOOKUP(C4112, 'STOK RAPORU'!$C$2:$I$1000, 4, 0))), 0)</f>
        <v>0</v>
      </c>
      <c r="U4112" s="22">
        <f t="shared" si="256"/>
        <v>0</v>
      </c>
      <c r="V4112">
        <f t="shared" si="257"/>
        <v>0</v>
      </c>
      <c r="W4112" s="22">
        <f t="shared" si="258"/>
        <v>0</v>
      </c>
    </row>
    <row r="4113" spans="1:23" hidden="1" x14ac:dyDescent="0.25">
      <c r="A4113" s="3">
        <v>46065</v>
      </c>
      <c r="B4113" s="4" t="s">
        <v>946</v>
      </c>
      <c r="C4113" s="4"/>
      <c r="D4113" s="4"/>
      <c r="E4113" s="4" t="s">
        <v>921</v>
      </c>
      <c r="F4113" s="4"/>
      <c r="G4113" s="4" t="s">
        <v>946</v>
      </c>
      <c r="H4113" s="4" t="s">
        <v>380</v>
      </c>
      <c r="I4113" s="4">
        <v>1</v>
      </c>
      <c r="J4113" s="105">
        <v>950</v>
      </c>
      <c r="K4113" s="21">
        <v>0</v>
      </c>
      <c r="L4113" s="111">
        <v>950</v>
      </c>
      <c r="M4113" s="4"/>
      <c r="N4113" s="4"/>
      <c r="O4113" s="5"/>
      <c r="P4113" s="5"/>
      <c r="Q4113" s="21">
        <v>950</v>
      </c>
      <c r="R4113" s="21">
        <v>0</v>
      </c>
      <c r="S4113" s="5">
        <f t="shared" si="259"/>
        <v>49400.142997470874</v>
      </c>
      <c r="T4113" cm="1">
        <f t="array" ref="T4113">IF(OR(B4113="MAL ALIMI", B4113="ÜRETİM GİRİŞ"), MIN(I4113, MAX(0, I4113 + SUM(SUMIFS($I$1:I4112, $C$1:C4112, C4113, $B$1:B4112, {"MAL ALIMI","ÜRETİM GİRİŞ"})) - VLOOKUP(C4113, 'STOK RAPORU'!$C$2:$I$1000, 4, 0))), 0)</f>
        <v>0</v>
      </c>
      <c r="U4113" s="22">
        <f t="shared" si="256"/>
        <v>0</v>
      </c>
      <c r="V4113">
        <f t="shared" si="257"/>
        <v>0</v>
      </c>
      <c r="W4113" s="22">
        <f t="shared" si="258"/>
        <v>0</v>
      </c>
    </row>
    <row r="4114" spans="1:23" hidden="1" x14ac:dyDescent="0.25">
      <c r="A4114" s="3">
        <v>46066</v>
      </c>
      <c r="B4114" s="46" t="s">
        <v>334</v>
      </c>
      <c r="C4114" s="4" t="s">
        <v>160</v>
      </c>
      <c r="D4114" s="4"/>
      <c r="E4114" s="4"/>
      <c r="F4114" s="46" t="s">
        <v>2070</v>
      </c>
      <c r="G4114" s="4" t="s">
        <v>336</v>
      </c>
      <c r="H4114" s="4" t="s">
        <v>289</v>
      </c>
      <c r="I4114" s="4">
        <v>1</v>
      </c>
      <c r="J4114" s="21">
        <v>250</v>
      </c>
      <c r="K4114" s="21">
        <v>0</v>
      </c>
      <c r="L4114" s="5">
        <v>0</v>
      </c>
      <c r="M4114" s="4"/>
      <c r="N4114" s="4"/>
      <c r="O4114" s="5"/>
      <c r="P4114" s="5"/>
      <c r="Q4114" s="21">
        <v>250</v>
      </c>
      <c r="R4114" s="21">
        <v>0</v>
      </c>
      <c r="S4114" s="5">
        <f t="shared" si="259"/>
        <v>49650.142997470874</v>
      </c>
      <c r="T4114" cm="1">
        <f t="array" ref="T4114">IF(OR(B4114="MAL ALIMI", B4114="ÜRETİM GİRİŞ"), MIN(I4114, MAX(0, I4114 + SUM(SUMIFS($I$1:I4113, $C$1:C4113, C4114, $B$1:B4113, {"MAL ALIMI","ÜRETİM GİRİŞ"})) - VLOOKUP(C4114, 'STOK RAPORU'!$C$2:$I$1000, 4, 0))), 0)</f>
        <v>0</v>
      </c>
      <c r="U4114" s="22">
        <f t="shared" si="256"/>
        <v>0</v>
      </c>
      <c r="V4114">
        <f t="shared" si="257"/>
        <v>0</v>
      </c>
      <c r="W4114" s="22">
        <f t="shared" si="258"/>
        <v>0</v>
      </c>
    </row>
    <row r="4115" spans="1:23" hidden="1" x14ac:dyDescent="0.25">
      <c r="A4115" s="3">
        <v>46066</v>
      </c>
      <c r="B4115" s="46" t="s">
        <v>334</v>
      </c>
      <c r="C4115" s="4" t="s">
        <v>160</v>
      </c>
      <c r="D4115" s="4"/>
      <c r="E4115" s="4" t="s">
        <v>921</v>
      </c>
      <c r="F4115" s="46" t="s">
        <v>2071</v>
      </c>
      <c r="G4115" s="4" t="s">
        <v>336</v>
      </c>
      <c r="H4115" s="4" t="s">
        <v>380</v>
      </c>
      <c r="I4115" s="4">
        <v>0.5</v>
      </c>
      <c r="J4115" s="21">
        <v>250</v>
      </c>
      <c r="K4115" s="21">
        <v>125</v>
      </c>
      <c r="L4115" s="5">
        <v>0</v>
      </c>
      <c r="M4115" s="4"/>
      <c r="N4115" s="4"/>
      <c r="O4115" s="5"/>
      <c r="P4115" s="5"/>
      <c r="Q4115" s="21">
        <v>0</v>
      </c>
      <c r="R4115" s="21">
        <v>0</v>
      </c>
      <c r="S4115" s="5">
        <f t="shared" si="259"/>
        <v>49650.142997470874</v>
      </c>
      <c r="T4115" cm="1">
        <f t="array" ref="T4115">IF(OR(B4115="MAL ALIMI", B4115="ÜRETİM GİRİŞ"), MIN(I4115, MAX(0, I4115 + SUM(SUMIFS($I$1:I4114, $C$1:C4114, C4115, $B$1:B4114, {"MAL ALIMI","ÜRETİM GİRİŞ"})) - VLOOKUP(C4115, 'STOK RAPORU'!$C$2:$I$1000, 4, 0))), 0)</f>
        <v>0</v>
      </c>
      <c r="U4115" s="22">
        <f t="shared" si="256"/>
        <v>0</v>
      </c>
      <c r="V4115">
        <f t="shared" si="257"/>
        <v>0</v>
      </c>
      <c r="W4115" s="22">
        <f t="shared" si="258"/>
        <v>0</v>
      </c>
    </row>
    <row r="4116" spans="1:23" hidden="1" x14ac:dyDescent="0.25">
      <c r="A4116" s="3">
        <v>46066</v>
      </c>
      <c r="B4116" s="46" t="s">
        <v>334</v>
      </c>
      <c r="C4116" s="4" t="s">
        <v>161</v>
      </c>
      <c r="D4116" s="4"/>
      <c r="E4116" s="4" t="s">
        <v>921</v>
      </c>
      <c r="F4116" s="46" t="s">
        <v>2071</v>
      </c>
      <c r="G4116" s="4" t="s">
        <v>336</v>
      </c>
      <c r="H4116" s="4" t="s">
        <v>380</v>
      </c>
      <c r="I4116" s="4">
        <v>0.5</v>
      </c>
      <c r="J4116" s="21">
        <v>230</v>
      </c>
      <c r="K4116" s="21">
        <v>115</v>
      </c>
      <c r="L4116" s="5">
        <v>0</v>
      </c>
      <c r="M4116" s="4"/>
      <c r="N4116" s="4"/>
      <c r="O4116" s="5"/>
      <c r="P4116" s="5"/>
      <c r="Q4116" s="21">
        <v>0</v>
      </c>
      <c r="R4116" s="21">
        <v>0</v>
      </c>
      <c r="S4116" s="5">
        <f t="shared" si="259"/>
        <v>49650.142997470874</v>
      </c>
      <c r="T4116" cm="1">
        <f t="array" ref="T4116">IF(OR(B4116="MAL ALIMI", B4116="ÜRETİM GİRİŞ"), MIN(I4116, MAX(0, I4116 + SUM(SUMIFS($I$1:I4115, $C$1:C4115, C4116, $B$1:B4115, {"MAL ALIMI","ÜRETİM GİRİŞ"})) - VLOOKUP(C4116, 'STOK RAPORU'!$C$2:$I$1000, 4, 0))), 0)</f>
        <v>0</v>
      </c>
      <c r="U4116" s="22">
        <f t="shared" si="256"/>
        <v>0</v>
      </c>
      <c r="V4116">
        <f t="shared" si="257"/>
        <v>0</v>
      </c>
      <c r="W4116" s="22">
        <f t="shared" si="258"/>
        <v>0</v>
      </c>
    </row>
    <row r="4117" spans="1:23" hidden="1" x14ac:dyDescent="0.25">
      <c r="A4117" s="3">
        <v>46066</v>
      </c>
      <c r="B4117" s="46" t="s">
        <v>334</v>
      </c>
      <c r="C4117" s="4" t="s">
        <v>1501</v>
      </c>
      <c r="D4117" s="4"/>
      <c r="E4117" s="4" t="s">
        <v>921</v>
      </c>
      <c r="F4117" s="46" t="s">
        <v>2071</v>
      </c>
      <c r="G4117" s="4" t="s">
        <v>336</v>
      </c>
      <c r="H4117" s="4" t="s">
        <v>380</v>
      </c>
      <c r="I4117" s="4">
        <v>0.25</v>
      </c>
      <c r="J4117" s="21">
        <v>600</v>
      </c>
      <c r="K4117" s="21">
        <v>150</v>
      </c>
      <c r="L4117" s="5">
        <v>0</v>
      </c>
      <c r="M4117" s="4"/>
      <c r="N4117" s="4"/>
      <c r="O4117" s="5"/>
      <c r="P4117" s="5"/>
      <c r="Q4117" s="21">
        <v>0</v>
      </c>
      <c r="R4117" s="21">
        <v>0</v>
      </c>
      <c r="S4117" s="5">
        <f t="shared" si="259"/>
        <v>49650.142997470874</v>
      </c>
      <c r="T4117" cm="1">
        <f t="array" ref="T4117">IF(OR(B4117="MAL ALIMI", B4117="ÜRETİM GİRİŞ"), MIN(I4117, MAX(0, I4117 + SUM(SUMIFS($I$1:I4116, $C$1:C4116, C4117, $B$1:B4116, {"MAL ALIMI","ÜRETİM GİRİŞ"})) - VLOOKUP(C4117, 'STOK RAPORU'!$C$2:$I$1000, 4, 0))), 0)</f>
        <v>0</v>
      </c>
      <c r="U4117" s="22">
        <f t="shared" si="256"/>
        <v>0</v>
      </c>
      <c r="V4117">
        <f t="shared" si="257"/>
        <v>0</v>
      </c>
      <c r="W4117" s="22">
        <f t="shared" si="258"/>
        <v>0</v>
      </c>
    </row>
    <row r="4118" spans="1:23" hidden="1" x14ac:dyDescent="0.25">
      <c r="A4118" s="3">
        <v>46066</v>
      </c>
      <c r="B4118" s="46" t="s">
        <v>334</v>
      </c>
      <c r="C4118" s="4" t="s">
        <v>1634</v>
      </c>
      <c r="D4118" s="4"/>
      <c r="E4118" s="4" t="s">
        <v>921</v>
      </c>
      <c r="F4118" s="46" t="s">
        <v>2071</v>
      </c>
      <c r="G4118" s="4" t="s">
        <v>336</v>
      </c>
      <c r="H4118" s="4" t="s">
        <v>380</v>
      </c>
      <c r="I4118" s="4">
        <v>0.5</v>
      </c>
      <c r="J4118" s="21">
        <v>300</v>
      </c>
      <c r="K4118" s="21">
        <v>150</v>
      </c>
      <c r="L4118" s="5">
        <v>0</v>
      </c>
      <c r="M4118" s="4"/>
      <c r="N4118" s="4"/>
      <c r="O4118" s="5"/>
      <c r="P4118" s="5"/>
      <c r="Q4118" s="21">
        <v>0</v>
      </c>
      <c r="R4118" s="21">
        <v>0</v>
      </c>
      <c r="S4118" s="5">
        <f t="shared" si="259"/>
        <v>49650.142997470874</v>
      </c>
      <c r="T4118" cm="1">
        <f t="array" ref="T4118">IF(OR(B4118="MAL ALIMI", B4118="ÜRETİM GİRİŞ"), MIN(I4118, MAX(0, I4118 + SUM(SUMIFS($I$1:I4117, $C$1:C4117, C4118, $B$1:B4117, {"MAL ALIMI","ÜRETİM GİRİŞ"})) - VLOOKUP(C4118, 'STOK RAPORU'!$C$2:$I$1000, 4, 0))), 0)</f>
        <v>0</v>
      </c>
      <c r="U4118" s="22">
        <f t="shared" si="256"/>
        <v>0</v>
      </c>
      <c r="V4118">
        <f t="shared" si="257"/>
        <v>0</v>
      </c>
      <c r="W4118" s="22">
        <f t="shared" si="258"/>
        <v>0</v>
      </c>
    </row>
    <row r="4119" spans="1:23" hidden="1" x14ac:dyDescent="0.25">
      <c r="A4119" s="3">
        <v>46066</v>
      </c>
      <c r="B4119" s="46" t="s">
        <v>334</v>
      </c>
      <c r="C4119" s="4" t="s">
        <v>89</v>
      </c>
      <c r="D4119" s="4"/>
      <c r="E4119" s="4"/>
      <c r="F4119" s="46" t="s">
        <v>2072</v>
      </c>
      <c r="G4119" s="4" t="s">
        <v>336</v>
      </c>
      <c r="H4119" s="4" t="s">
        <v>289</v>
      </c>
      <c r="I4119" s="4">
        <v>0.2</v>
      </c>
      <c r="J4119" s="21">
        <v>650</v>
      </c>
      <c r="K4119" s="21">
        <v>0</v>
      </c>
      <c r="L4119" s="5">
        <v>0</v>
      </c>
      <c r="M4119" s="4"/>
      <c r="N4119" s="4"/>
      <c r="O4119" s="5"/>
      <c r="P4119" s="5"/>
      <c r="Q4119" s="21">
        <v>130</v>
      </c>
      <c r="R4119" s="21">
        <v>0</v>
      </c>
      <c r="S4119" s="5">
        <f t="shared" si="259"/>
        <v>49780.142997470874</v>
      </c>
      <c r="T4119" cm="1">
        <f t="array" ref="T4119">IF(OR(B4119="MAL ALIMI", B4119="ÜRETİM GİRİŞ"), MIN(I4119, MAX(0, I4119 + SUM(SUMIFS($I$1:I4118, $C$1:C4118, C4119, $B$1:B4118, {"MAL ALIMI","ÜRETİM GİRİŞ"})) - VLOOKUP(C4119, 'STOK RAPORU'!$C$2:$I$1000, 4, 0))), 0)</f>
        <v>0</v>
      </c>
      <c r="U4119" s="22">
        <f t="shared" si="256"/>
        <v>0</v>
      </c>
      <c r="V4119">
        <f t="shared" si="257"/>
        <v>0</v>
      </c>
      <c r="W4119" s="22">
        <f t="shared" si="258"/>
        <v>0</v>
      </c>
    </row>
    <row r="4120" spans="1:23" hidden="1" x14ac:dyDescent="0.25">
      <c r="A4120" s="3">
        <v>46066</v>
      </c>
      <c r="B4120" s="46" t="s">
        <v>334</v>
      </c>
      <c r="C4120" s="4" t="s">
        <v>126</v>
      </c>
      <c r="D4120" s="4"/>
      <c r="E4120" s="4"/>
      <c r="F4120" s="46" t="s">
        <v>2072</v>
      </c>
      <c r="G4120" s="4" t="s">
        <v>336</v>
      </c>
      <c r="H4120" s="4" t="s">
        <v>289</v>
      </c>
      <c r="I4120" s="4">
        <v>7.6923076923076927E-2</v>
      </c>
      <c r="J4120" s="21">
        <v>650</v>
      </c>
      <c r="K4120" s="21">
        <v>0</v>
      </c>
      <c r="L4120" s="5">
        <v>0</v>
      </c>
      <c r="M4120" s="4"/>
      <c r="N4120" s="4"/>
      <c r="O4120" s="5"/>
      <c r="P4120" s="5"/>
      <c r="Q4120" s="21">
        <v>50</v>
      </c>
      <c r="R4120" s="21">
        <v>0</v>
      </c>
      <c r="S4120" s="5">
        <f t="shared" si="259"/>
        <v>49830.142997470874</v>
      </c>
      <c r="T4120" cm="1">
        <f t="array" ref="T4120">IF(OR(B4120="MAL ALIMI", B4120="ÜRETİM GİRİŞ"), MIN(I4120, MAX(0, I4120 + SUM(SUMIFS($I$1:I4119, $C$1:C4119, C4120, $B$1:B4119, {"MAL ALIMI","ÜRETİM GİRİŞ"})) - VLOOKUP(C4120, 'STOK RAPORU'!$C$2:$I$1000, 4, 0))), 0)</f>
        <v>0</v>
      </c>
      <c r="U4120" s="22">
        <f t="shared" si="256"/>
        <v>0</v>
      </c>
      <c r="V4120">
        <f t="shared" si="257"/>
        <v>0</v>
      </c>
      <c r="W4120" s="22">
        <f t="shared" si="258"/>
        <v>0</v>
      </c>
    </row>
    <row r="4121" spans="1:23" hidden="1" x14ac:dyDescent="0.25">
      <c r="A4121" s="3">
        <v>46066</v>
      </c>
      <c r="B4121" s="46" t="s">
        <v>334</v>
      </c>
      <c r="C4121" s="4" t="s">
        <v>824</v>
      </c>
      <c r="D4121" s="4"/>
      <c r="E4121" s="4"/>
      <c r="F4121" s="46" t="s">
        <v>2073</v>
      </c>
      <c r="G4121" s="4" t="s">
        <v>336</v>
      </c>
      <c r="H4121" s="4" t="s">
        <v>289</v>
      </c>
      <c r="I4121" s="4">
        <v>2</v>
      </c>
      <c r="J4121" s="21">
        <v>100</v>
      </c>
      <c r="K4121" s="21">
        <v>0</v>
      </c>
      <c r="L4121" s="5">
        <v>0</v>
      </c>
      <c r="M4121" s="4"/>
      <c r="N4121" s="4"/>
      <c r="O4121" s="5"/>
      <c r="P4121" s="5"/>
      <c r="Q4121" s="21">
        <v>200</v>
      </c>
      <c r="R4121" s="21">
        <v>0</v>
      </c>
      <c r="S4121" s="5">
        <f t="shared" si="259"/>
        <v>50030.142997470874</v>
      </c>
      <c r="T4121" cm="1">
        <f t="array" ref="T4121">IF(OR(B4121="MAL ALIMI", B4121="ÜRETİM GİRİŞ"), MIN(I4121, MAX(0, I4121 + SUM(SUMIFS($I$1:I4120, $C$1:C4120, C4121, $B$1:B4120, {"MAL ALIMI","ÜRETİM GİRİŞ"})) - VLOOKUP(C4121, 'STOK RAPORU'!$C$2:$I$1000, 4, 0))), 0)</f>
        <v>0</v>
      </c>
      <c r="U4121" s="22">
        <f t="shared" si="256"/>
        <v>0</v>
      </c>
      <c r="V4121">
        <f t="shared" si="257"/>
        <v>0</v>
      </c>
      <c r="W4121" s="22">
        <f t="shared" si="258"/>
        <v>0</v>
      </c>
    </row>
    <row r="4122" spans="1:23" hidden="1" x14ac:dyDescent="0.25">
      <c r="A4122" s="3">
        <v>46066</v>
      </c>
      <c r="B4122" s="46" t="s">
        <v>334</v>
      </c>
      <c r="C4122" s="4" t="s">
        <v>92</v>
      </c>
      <c r="D4122" s="4"/>
      <c r="E4122" s="4"/>
      <c r="F4122" s="46" t="s">
        <v>2074</v>
      </c>
      <c r="G4122" s="4" t="s">
        <v>336</v>
      </c>
      <c r="H4122" s="4" t="s">
        <v>289</v>
      </c>
      <c r="I4122" s="4">
        <v>0.2</v>
      </c>
      <c r="J4122" s="21">
        <v>500</v>
      </c>
      <c r="K4122" s="21">
        <v>0</v>
      </c>
      <c r="L4122" s="5">
        <v>0</v>
      </c>
      <c r="M4122" s="4"/>
      <c r="N4122" s="4"/>
      <c r="O4122" s="5"/>
      <c r="P4122" s="5"/>
      <c r="Q4122" s="21">
        <v>100</v>
      </c>
      <c r="R4122" s="21">
        <v>0</v>
      </c>
      <c r="S4122" s="5">
        <f t="shared" si="259"/>
        <v>50130.142997470874</v>
      </c>
      <c r="T4122" cm="1">
        <f t="array" ref="T4122">IF(OR(B4122="MAL ALIMI", B4122="ÜRETİM GİRİŞ"), MIN(I4122, MAX(0, I4122 + SUM(SUMIFS($I$1:I4121, $C$1:C4121, C4122, $B$1:B4121, {"MAL ALIMI","ÜRETİM GİRİŞ"})) - VLOOKUP(C4122, 'STOK RAPORU'!$C$2:$I$1000, 4, 0))), 0)</f>
        <v>0</v>
      </c>
      <c r="U4122" s="22">
        <f t="shared" si="256"/>
        <v>0</v>
      </c>
      <c r="V4122">
        <f t="shared" si="257"/>
        <v>0</v>
      </c>
      <c r="W4122" s="22">
        <f t="shared" si="258"/>
        <v>0</v>
      </c>
    </row>
    <row r="4123" spans="1:23" hidden="1" x14ac:dyDescent="0.25">
      <c r="A4123" s="3">
        <v>46066</v>
      </c>
      <c r="B4123" s="46" t="s">
        <v>334</v>
      </c>
      <c r="C4123" s="4" t="s">
        <v>225</v>
      </c>
      <c r="D4123" s="4"/>
      <c r="E4123" s="4"/>
      <c r="F4123" s="46" t="s">
        <v>2074</v>
      </c>
      <c r="G4123" s="4" t="s">
        <v>336</v>
      </c>
      <c r="H4123" s="4" t="s">
        <v>289</v>
      </c>
      <c r="I4123" s="4">
        <v>0.26666666666666666</v>
      </c>
      <c r="J4123" s="21">
        <v>750</v>
      </c>
      <c r="K4123" s="21">
        <v>0</v>
      </c>
      <c r="L4123" s="5">
        <v>0</v>
      </c>
      <c r="M4123" s="4"/>
      <c r="N4123" s="4"/>
      <c r="O4123" s="5"/>
      <c r="P4123" s="5"/>
      <c r="Q4123" s="21">
        <v>200</v>
      </c>
      <c r="R4123" s="21">
        <v>0</v>
      </c>
      <c r="S4123" s="5">
        <f t="shared" si="259"/>
        <v>50330.142997470874</v>
      </c>
      <c r="T4123" cm="1">
        <f t="array" ref="T4123">IF(OR(B4123="MAL ALIMI", B4123="ÜRETİM GİRİŞ"), MIN(I4123, MAX(0, I4123 + SUM(SUMIFS($I$1:I4122, $C$1:C4122, C4123, $B$1:B4122, {"MAL ALIMI","ÜRETİM GİRİŞ"})) - VLOOKUP(C4123, 'STOK RAPORU'!$C$2:$I$1000, 4, 0))), 0)</f>
        <v>0</v>
      </c>
      <c r="U4123" s="22">
        <f t="shared" si="256"/>
        <v>0</v>
      </c>
      <c r="V4123">
        <f t="shared" si="257"/>
        <v>0</v>
      </c>
      <c r="W4123" s="22">
        <f t="shared" si="258"/>
        <v>0</v>
      </c>
    </row>
    <row r="4124" spans="1:23" hidden="1" x14ac:dyDescent="0.25">
      <c r="A4124" s="3">
        <v>46066</v>
      </c>
      <c r="B4124" s="46" t="s">
        <v>334</v>
      </c>
      <c r="C4124" s="4" t="s">
        <v>1181</v>
      </c>
      <c r="D4124" s="4"/>
      <c r="E4124" s="4"/>
      <c r="F4124" s="46" t="s">
        <v>2075</v>
      </c>
      <c r="G4124" s="4" t="s">
        <v>336</v>
      </c>
      <c r="H4124" s="4" t="s">
        <v>289</v>
      </c>
      <c r="I4124" s="4">
        <v>1</v>
      </c>
      <c r="J4124" s="21">
        <v>400</v>
      </c>
      <c r="K4124" s="21">
        <v>0</v>
      </c>
      <c r="L4124" s="5">
        <v>0</v>
      </c>
      <c r="M4124" s="4"/>
      <c r="N4124" s="4"/>
      <c r="O4124" s="5"/>
      <c r="P4124" s="5"/>
      <c r="Q4124" s="21">
        <v>400</v>
      </c>
      <c r="R4124" s="21">
        <v>0</v>
      </c>
      <c r="S4124" s="5">
        <f t="shared" si="259"/>
        <v>50730.142997470874</v>
      </c>
      <c r="T4124" cm="1">
        <f t="array" ref="T4124">IF(OR(B4124="MAL ALIMI", B4124="ÜRETİM GİRİŞ"), MIN(I4124, MAX(0, I4124 + SUM(SUMIFS($I$1:I4123, $C$1:C4123, C4124, $B$1:B4123, {"MAL ALIMI","ÜRETİM GİRİŞ"})) - VLOOKUP(C4124, 'STOK RAPORU'!$C$2:$I$1000, 4, 0))), 0)</f>
        <v>0</v>
      </c>
      <c r="U4124" s="22">
        <f t="shared" si="256"/>
        <v>0</v>
      </c>
      <c r="V4124">
        <f t="shared" si="257"/>
        <v>0</v>
      </c>
      <c r="W4124" s="22">
        <f t="shared" si="258"/>
        <v>0</v>
      </c>
    </row>
    <row r="4125" spans="1:23" hidden="1" x14ac:dyDescent="0.25">
      <c r="A4125" s="3">
        <v>46066</v>
      </c>
      <c r="B4125" s="4" t="s">
        <v>946</v>
      </c>
      <c r="C4125" s="4"/>
      <c r="D4125" s="4"/>
      <c r="E4125" s="4" t="s">
        <v>921</v>
      </c>
      <c r="F4125" s="4"/>
      <c r="G4125" s="4" t="s">
        <v>946</v>
      </c>
      <c r="H4125" s="4" t="s">
        <v>380</v>
      </c>
      <c r="I4125" s="4">
        <v>1</v>
      </c>
      <c r="J4125" s="105">
        <v>950</v>
      </c>
      <c r="K4125" s="21">
        <v>0</v>
      </c>
      <c r="L4125" s="111">
        <v>950</v>
      </c>
      <c r="M4125" s="4"/>
      <c r="N4125" s="4"/>
      <c r="O4125" s="5"/>
      <c r="P4125" s="5"/>
      <c r="Q4125" s="21">
        <v>950</v>
      </c>
      <c r="R4125" s="21">
        <v>0</v>
      </c>
      <c r="S4125" s="5">
        <f t="shared" si="259"/>
        <v>51680.142997470874</v>
      </c>
      <c r="T4125" cm="1">
        <f t="array" ref="T4125">IF(OR(B4125="MAL ALIMI", B4125="ÜRETİM GİRİŞ"), MIN(I4125, MAX(0, I4125 + SUM(SUMIFS($I$1:I4124, $C$1:C4124, C4125, $B$1:B4124, {"MAL ALIMI","ÜRETİM GİRİŞ"})) - VLOOKUP(C4125, 'STOK RAPORU'!$C$2:$I$1000, 4, 0))), 0)</f>
        <v>0</v>
      </c>
      <c r="U4125" s="22">
        <f t="shared" si="256"/>
        <v>0</v>
      </c>
      <c r="V4125">
        <f t="shared" si="257"/>
        <v>0</v>
      </c>
      <c r="W4125" s="22">
        <f t="shared" si="258"/>
        <v>0</v>
      </c>
    </row>
    <row r="4126" spans="1:23" hidden="1" x14ac:dyDescent="0.25">
      <c r="A4126" s="3">
        <v>46066</v>
      </c>
      <c r="B4126" s="4" t="s">
        <v>946</v>
      </c>
      <c r="C4126" s="4"/>
      <c r="D4126" s="4"/>
      <c r="E4126" s="4" t="s">
        <v>921</v>
      </c>
      <c r="F4126" s="4"/>
      <c r="G4126" s="4" t="s">
        <v>946</v>
      </c>
      <c r="H4126" s="4" t="s">
        <v>380</v>
      </c>
      <c r="I4126" s="4">
        <v>1</v>
      </c>
      <c r="J4126" s="105">
        <v>1635</v>
      </c>
      <c r="K4126" s="21">
        <v>0</v>
      </c>
      <c r="L4126" s="111">
        <v>1635</v>
      </c>
      <c r="M4126" s="4"/>
      <c r="N4126" s="4"/>
      <c r="O4126" s="5"/>
      <c r="P4126" s="5"/>
      <c r="Q4126" s="21">
        <v>1635</v>
      </c>
      <c r="R4126" s="21">
        <v>0</v>
      </c>
      <c r="S4126" s="5">
        <f t="shared" si="259"/>
        <v>53315.142997470874</v>
      </c>
      <c r="T4126" cm="1">
        <f t="array" ref="T4126">IF(OR(B4126="MAL ALIMI", B4126="ÜRETİM GİRİŞ"), MIN(I4126, MAX(0, I4126 + SUM(SUMIFS($I$1:I4125, $C$1:C4125, C4126, $B$1:B4125, {"MAL ALIMI","ÜRETİM GİRİŞ"})) - VLOOKUP(C4126, 'STOK RAPORU'!$C$2:$I$1000, 4, 0))), 0)</f>
        <v>0</v>
      </c>
      <c r="U4126" s="22">
        <f t="shared" si="256"/>
        <v>0</v>
      </c>
      <c r="V4126">
        <f t="shared" si="257"/>
        <v>0</v>
      </c>
      <c r="W4126" s="22">
        <f t="shared" si="258"/>
        <v>0</v>
      </c>
    </row>
    <row r="4127" spans="1:23" hidden="1" x14ac:dyDescent="0.25">
      <c r="A4127" s="3">
        <v>46067</v>
      </c>
      <c r="B4127" s="4" t="s">
        <v>298</v>
      </c>
      <c r="C4127" s="4" t="s">
        <v>2120</v>
      </c>
      <c r="D4127" s="4"/>
      <c r="E4127" s="4" t="s">
        <v>350</v>
      </c>
      <c r="F4127" s="4">
        <v>998258</v>
      </c>
      <c r="G4127" s="4" t="s">
        <v>350</v>
      </c>
      <c r="H4127" s="4" t="s">
        <v>304</v>
      </c>
      <c r="I4127" s="4">
        <v>5</v>
      </c>
      <c r="J4127" s="21">
        <v>31</v>
      </c>
      <c r="K4127" s="21">
        <v>0</v>
      </c>
      <c r="L4127" s="5">
        <v>155</v>
      </c>
      <c r="M4127" s="4"/>
      <c r="N4127" s="4"/>
      <c r="O4127" s="5"/>
      <c r="P4127" s="5"/>
      <c r="Q4127" s="21">
        <v>0</v>
      </c>
      <c r="R4127" s="21">
        <v>0</v>
      </c>
      <c r="S4127" s="5">
        <f t="shared" si="259"/>
        <v>53315.142997470874</v>
      </c>
      <c r="T4127" cm="1">
        <f t="array" ref="T4127">IF(OR(B4127="MAL ALIMI", B4127="ÜRETİM GİRİŞ"), MIN(I4127, MAX(0, I4127 + SUM(SUMIFS($I$1:I4126, $C$1:C4126, C4127, $B$1:B4126, {"MAL ALIMI","ÜRETİM GİRİŞ"})) - VLOOKUP(C4127, 'STOK RAPORU'!$C$2:$I$1000, 4, 0))), 0)</f>
        <v>0</v>
      </c>
      <c r="U4127" s="22">
        <f t="shared" si="256"/>
        <v>0</v>
      </c>
      <c r="V4127">
        <f t="shared" si="257"/>
        <v>155</v>
      </c>
      <c r="W4127" s="22">
        <f t="shared" si="258"/>
        <v>155</v>
      </c>
    </row>
    <row r="4128" spans="1:23" hidden="1" x14ac:dyDescent="0.25">
      <c r="A4128" s="3">
        <v>46067</v>
      </c>
      <c r="B4128" s="4" t="s">
        <v>298</v>
      </c>
      <c r="C4128" s="4" t="s">
        <v>975</v>
      </c>
      <c r="D4128" s="4"/>
      <c r="E4128" s="4" t="s">
        <v>350</v>
      </c>
      <c r="F4128" s="4">
        <v>998258</v>
      </c>
      <c r="G4128" s="4" t="s">
        <v>350</v>
      </c>
      <c r="H4128" s="4" t="s">
        <v>304</v>
      </c>
      <c r="I4128" s="4">
        <v>6</v>
      </c>
      <c r="J4128" s="21">
        <v>195</v>
      </c>
      <c r="K4128" s="21">
        <v>0</v>
      </c>
      <c r="L4128" s="5">
        <v>1170</v>
      </c>
      <c r="M4128" s="4"/>
      <c r="N4128" s="4"/>
      <c r="O4128" s="5"/>
      <c r="P4128" s="5"/>
      <c r="Q4128" s="21">
        <v>0</v>
      </c>
      <c r="R4128" s="21">
        <v>0</v>
      </c>
      <c r="S4128" s="5">
        <f t="shared" si="259"/>
        <v>53315.142997470874</v>
      </c>
      <c r="T4128" cm="1">
        <f t="array" ref="T4128">IF(OR(B4128="MAL ALIMI", B4128="ÜRETİM GİRİŞ"), MIN(I4128, MAX(0, I4128 + SUM(SUMIFS($I$1:I4127, $C$1:C4127, C4128, $B$1:B4127, {"MAL ALIMI","ÜRETİM GİRİŞ"})) - VLOOKUP(C4128, 'STOK RAPORU'!$C$2:$I$1000, 4, 0))), 0)</f>
        <v>6</v>
      </c>
      <c r="U4128" s="22">
        <f t="shared" si="256"/>
        <v>1170</v>
      </c>
      <c r="V4128">
        <f t="shared" si="257"/>
        <v>1170</v>
      </c>
      <c r="W4128" s="22">
        <f t="shared" si="258"/>
        <v>0</v>
      </c>
    </row>
    <row r="4129" spans="1:23" hidden="1" x14ac:dyDescent="0.25">
      <c r="A4129" s="3">
        <v>46067</v>
      </c>
      <c r="B4129" s="4" t="s">
        <v>298</v>
      </c>
      <c r="C4129" s="4" t="s">
        <v>697</v>
      </c>
      <c r="D4129" s="4"/>
      <c r="E4129" s="4" t="s">
        <v>350</v>
      </c>
      <c r="F4129" s="4">
        <v>998258</v>
      </c>
      <c r="G4129" s="4" t="s">
        <v>350</v>
      </c>
      <c r="H4129" s="4" t="s">
        <v>304</v>
      </c>
      <c r="I4129" s="4">
        <v>3</v>
      </c>
      <c r="J4129" s="21">
        <v>265</v>
      </c>
      <c r="K4129" s="21">
        <v>0</v>
      </c>
      <c r="L4129" s="5">
        <v>795</v>
      </c>
      <c r="M4129" s="4"/>
      <c r="N4129" s="4"/>
      <c r="O4129" s="5"/>
      <c r="P4129" s="5"/>
      <c r="Q4129" s="21">
        <v>0</v>
      </c>
      <c r="R4129" s="21">
        <v>0</v>
      </c>
      <c r="S4129" s="5">
        <f t="shared" si="259"/>
        <v>53315.142997470874</v>
      </c>
      <c r="T4129" cm="1">
        <f t="array" ref="T4129">IF(OR(B4129="MAL ALIMI", B4129="ÜRETİM GİRİŞ"), MIN(I4129, MAX(0, I4129 + SUM(SUMIFS($I$1:I4128, $C$1:C4128, C4129, $B$1:B4128, {"MAL ALIMI","ÜRETİM GİRİŞ"})) - VLOOKUP(C4129, 'STOK RAPORU'!$C$2:$I$1000, 4, 0))), 0)</f>
        <v>0</v>
      </c>
      <c r="U4129" s="22">
        <f t="shared" si="256"/>
        <v>0</v>
      </c>
      <c r="V4129">
        <f t="shared" si="257"/>
        <v>795</v>
      </c>
      <c r="W4129" s="22">
        <f t="shared" si="258"/>
        <v>795</v>
      </c>
    </row>
    <row r="4130" spans="1:23" hidden="1" x14ac:dyDescent="0.25">
      <c r="A4130" s="3">
        <v>46067</v>
      </c>
      <c r="B4130" s="4" t="s">
        <v>298</v>
      </c>
      <c r="C4130" s="4" t="s">
        <v>690</v>
      </c>
      <c r="D4130" s="4"/>
      <c r="E4130" s="4" t="s">
        <v>350</v>
      </c>
      <c r="F4130" s="4">
        <v>998258</v>
      </c>
      <c r="G4130" s="4" t="s">
        <v>350</v>
      </c>
      <c r="H4130" s="4" t="s">
        <v>304</v>
      </c>
      <c r="I4130" s="4">
        <v>10</v>
      </c>
      <c r="J4130" s="21">
        <v>225</v>
      </c>
      <c r="K4130" s="21">
        <v>0</v>
      </c>
      <c r="L4130" s="5">
        <v>2250</v>
      </c>
      <c r="M4130" s="4"/>
      <c r="N4130" s="4"/>
      <c r="O4130" s="5"/>
      <c r="P4130" s="5"/>
      <c r="Q4130" s="21">
        <v>0</v>
      </c>
      <c r="R4130" s="21">
        <v>0</v>
      </c>
      <c r="S4130" s="5">
        <f t="shared" si="259"/>
        <v>53315.142997470874</v>
      </c>
      <c r="T4130" cm="1">
        <f t="array" ref="T4130">IF(OR(B4130="MAL ALIMI", B4130="ÜRETİM GİRİŞ"), MIN(I4130, MAX(0, I4130 + SUM(SUMIFS($I$1:I4129, $C$1:C4129, C4130, $B$1:B4129, {"MAL ALIMI","ÜRETİM GİRİŞ"})) - VLOOKUP(C4130, 'STOK RAPORU'!$C$2:$I$1000, 4, 0))), 0)</f>
        <v>5.5263876050420144</v>
      </c>
      <c r="U4130" s="22">
        <f t="shared" si="256"/>
        <v>1243.4372111344533</v>
      </c>
      <c r="V4130">
        <f t="shared" si="257"/>
        <v>2250</v>
      </c>
      <c r="W4130" s="22">
        <f t="shared" si="258"/>
        <v>1006.5627888655467</v>
      </c>
    </row>
    <row r="4131" spans="1:23" hidden="1" x14ac:dyDescent="0.25">
      <c r="A4131" s="3">
        <v>46067</v>
      </c>
      <c r="B4131" s="4" t="s">
        <v>298</v>
      </c>
      <c r="C4131" s="4" t="s">
        <v>840</v>
      </c>
      <c r="D4131" s="4"/>
      <c r="E4131" s="4" t="s">
        <v>350</v>
      </c>
      <c r="F4131" s="4">
        <v>998258</v>
      </c>
      <c r="G4131" s="4" t="s">
        <v>350</v>
      </c>
      <c r="H4131" s="4" t="s">
        <v>304</v>
      </c>
      <c r="I4131" s="4">
        <v>3</v>
      </c>
      <c r="J4131" s="21">
        <v>180</v>
      </c>
      <c r="K4131" s="21">
        <v>0</v>
      </c>
      <c r="L4131" s="5">
        <v>540</v>
      </c>
      <c r="M4131" s="4"/>
      <c r="N4131" s="4"/>
      <c r="O4131" s="5"/>
      <c r="P4131" s="5"/>
      <c r="Q4131" s="21">
        <v>0</v>
      </c>
      <c r="R4131" s="21">
        <v>0</v>
      </c>
      <c r="S4131" s="5">
        <f t="shared" si="259"/>
        <v>53315.142997470874</v>
      </c>
      <c r="T4131" cm="1">
        <f t="array" ref="T4131">IF(OR(B4131="MAL ALIMI", B4131="ÜRETİM GİRİŞ"), MIN(I4131, MAX(0, I4131 + SUM(SUMIFS($I$1:I4130, $C$1:C4130, C4131, $B$1:B4130, {"MAL ALIMI","ÜRETİM GİRİŞ"})) - VLOOKUP(C4131, 'STOK RAPORU'!$C$2:$I$1000, 4, 0))), 0)</f>
        <v>3</v>
      </c>
      <c r="U4131" s="22">
        <f t="shared" si="256"/>
        <v>540</v>
      </c>
      <c r="V4131">
        <f t="shared" si="257"/>
        <v>540</v>
      </c>
      <c r="W4131" s="22">
        <f t="shared" si="258"/>
        <v>0</v>
      </c>
    </row>
    <row r="4132" spans="1:23" hidden="1" x14ac:dyDescent="0.25">
      <c r="A4132" s="3">
        <v>46067</v>
      </c>
      <c r="B4132" s="4" t="s">
        <v>298</v>
      </c>
      <c r="C4132" s="4" t="s">
        <v>224</v>
      </c>
      <c r="D4132" s="4"/>
      <c r="E4132" s="4" t="s">
        <v>350</v>
      </c>
      <c r="F4132" s="4">
        <v>998258</v>
      </c>
      <c r="G4132" s="4" t="s">
        <v>350</v>
      </c>
      <c r="H4132" s="4" t="s">
        <v>304</v>
      </c>
      <c r="I4132" s="4">
        <v>2</v>
      </c>
      <c r="J4132" s="21">
        <v>150</v>
      </c>
      <c r="K4132" s="21">
        <v>0</v>
      </c>
      <c r="L4132" s="5">
        <v>300</v>
      </c>
      <c r="M4132" s="4"/>
      <c r="N4132" s="4"/>
      <c r="O4132" s="5"/>
      <c r="P4132" s="5"/>
      <c r="Q4132" s="21">
        <v>0</v>
      </c>
      <c r="R4132" s="21">
        <v>0</v>
      </c>
      <c r="S4132" s="5">
        <f t="shared" si="259"/>
        <v>53315.142997470874</v>
      </c>
      <c r="T4132" cm="1">
        <f t="array" ref="T4132">IF(OR(B4132="MAL ALIMI", B4132="ÜRETİM GİRİŞ"), MIN(I4132, MAX(0, I4132 + SUM(SUMIFS($I$1:I4131, $C$1:C4131, C4132, $B$1:B4131, {"MAL ALIMI","ÜRETİM GİRİŞ"})) - VLOOKUP(C4132, 'STOK RAPORU'!$C$2:$I$1000, 4, 0))), 0)</f>
        <v>0.66644444444444506</v>
      </c>
      <c r="U4132" s="22">
        <f t="shared" si="256"/>
        <v>99.966666666666754</v>
      </c>
      <c r="V4132">
        <f t="shared" si="257"/>
        <v>300</v>
      </c>
      <c r="W4132" s="22">
        <f t="shared" si="258"/>
        <v>200.03333333333325</v>
      </c>
    </row>
    <row r="4133" spans="1:23" hidden="1" x14ac:dyDescent="0.25">
      <c r="A4133" s="3">
        <v>46067</v>
      </c>
      <c r="B4133" s="4" t="s">
        <v>298</v>
      </c>
      <c r="C4133" s="4" t="s">
        <v>2121</v>
      </c>
      <c r="D4133" s="4"/>
      <c r="E4133" s="4" t="s">
        <v>350</v>
      </c>
      <c r="F4133" s="4">
        <v>998258</v>
      </c>
      <c r="G4133" s="4" t="s">
        <v>350</v>
      </c>
      <c r="H4133" s="4" t="s">
        <v>304</v>
      </c>
      <c r="I4133" s="4">
        <v>5</v>
      </c>
      <c r="J4133" s="21">
        <v>32</v>
      </c>
      <c r="K4133" s="21">
        <v>0</v>
      </c>
      <c r="L4133" s="5">
        <v>160</v>
      </c>
      <c r="M4133" s="4"/>
      <c r="N4133" s="4"/>
      <c r="O4133" s="5"/>
      <c r="P4133" s="5"/>
      <c r="Q4133" s="21">
        <v>0</v>
      </c>
      <c r="R4133" s="21">
        <v>0</v>
      </c>
      <c r="S4133" s="5">
        <f t="shared" si="259"/>
        <v>53315.142997470874</v>
      </c>
      <c r="T4133" cm="1">
        <f t="array" ref="T4133">IF(OR(B4133="MAL ALIMI", B4133="ÜRETİM GİRİŞ"), MIN(I4133, MAX(0, I4133 + SUM(SUMIFS($I$1:I4132, $C$1:C4132, C4133, $B$1:B4132, {"MAL ALIMI","ÜRETİM GİRİŞ"})) - VLOOKUP(C4133, 'STOK RAPORU'!$C$2:$I$1000, 4, 0))), 0)</f>
        <v>1.1615384615384614</v>
      </c>
      <c r="U4133" s="22">
        <f t="shared" si="256"/>
        <v>37.169230769230765</v>
      </c>
      <c r="V4133">
        <f t="shared" si="257"/>
        <v>160</v>
      </c>
      <c r="W4133" s="22">
        <f t="shared" si="258"/>
        <v>122.83076923076923</v>
      </c>
    </row>
    <row r="4134" spans="1:23" hidden="1" x14ac:dyDescent="0.25">
      <c r="A4134" s="3">
        <v>46067</v>
      </c>
      <c r="B4134" s="4" t="s">
        <v>298</v>
      </c>
      <c r="C4134" s="4" t="s">
        <v>152</v>
      </c>
      <c r="D4134" s="4"/>
      <c r="E4134" s="4" t="s">
        <v>350</v>
      </c>
      <c r="F4134" s="4">
        <v>998258</v>
      </c>
      <c r="G4134" s="4" t="s">
        <v>350</v>
      </c>
      <c r="H4134" s="4" t="s">
        <v>304</v>
      </c>
      <c r="I4134" s="4">
        <v>3</v>
      </c>
      <c r="J4134" s="21">
        <v>110</v>
      </c>
      <c r="K4134" s="21">
        <v>0</v>
      </c>
      <c r="L4134" s="5">
        <v>330</v>
      </c>
      <c r="M4134" s="4"/>
      <c r="N4134" s="4"/>
      <c r="O4134" s="5"/>
      <c r="P4134" s="5"/>
      <c r="Q4134" s="21">
        <v>0</v>
      </c>
      <c r="R4134" s="21">
        <v>0</v>
      </c>
      <c r="S4134" s="5">
        <f t="shared" si="259"/>
        <v>53315.142997470874</v>
      </c>
      <c r="T4134" cm="1">
        <f t="array" ref="T4134">IF(OR(B4134="MAL ALIMI", B4134="ÜRETİM GİRİŞ"), MIN(I4134, MAX(0, I4134 + SUM(SUMIFS($I$1:I4133, $C$1:C4133, C4134, $B$1:B4133, {"MAL ALIMI","ÜRETİM GİRİŞ"})) - VLOOKUP(C4134, 'STOK RAPORU'!$C$2:$I$1000, 4, 0))), 0)</f>
        <v>3</v>
      </c>
      <c r="U4134" s="22">
        <f t="shared" si="256"/>
        <v>330</v>
      </c>
      <c r="V4134">
        <f t="shared" si="257"/>
        <v>330</v>
      </c>
      <c r="W4134" s="22">
        <f t="shared" si="258"/>
        <v>0</v>
      </c>
    </row>
    <row r="4135" spans="1:23" hidden="1" x14ac:dyDescent="0.25">
      <c r="A4135" s="3">
        <v>46067</v>
      </c>
      <c r="B4135" s="4" t="s">
        <v>298</v>
      </c>
      <c r="C4135" s="4" t="s">
        <v>2086</v>
      </c>
      <c r="D4135" s="4"/>
      <c r="E4135" s="4" t="s">
        <v>350</v>
      </c>
      <c r="F4135" s="4">
        <v>998258</v>
      </c>
      <c r="G4135" s="4" t="s">
        <v>350</v>
      </c>
      <c r="H4135" s="4" t="s">
        <v>304</v>
      </c>
      <c r="I4135" s="4">
        <v>1</v>
      </c>
      <c r="J4135" s="21">
        <v>305</v>
      </c>
      <c r="K4135" s="21">
        <v>0</v>
      </c>
      <c r="L4135" s="5">
        <v>305</v>
      </c>
      <c r="M4135" s="4"/>
      <c r="N4135" s="4"/>
      <c r="O4135" s="5"/>
      <c r="P4135" s="5"/>
      <c r="Q4135" s="21">
        <v>0</v>
      </c>
      <c r="R4135" s="21">
        <v>0</v>
      </c>
      <c r="S4135" s="5">
        <f t="shared" si="259"/>
        <v>53315.142997470874</v>
      </c>
      <c r="T4135" cm="1">
        <f t="array" ref="T4135">IF(OR(B4135="MAL ALIMI", B4135="ÜRETİM GİRİŞ"), MIN(I4135, MAX(0, I4135 + SUM(SUMIFS($I$1:I4134, $C$1:C4134, C4135, $B$1:B4134, {"MAL ALIMI","ÜRETİM GİRİŞ"})) - VLOOKUP(C4135, 'STOK RAPORU'!$C$2:$I$1000, 4, 0))), 0)</f>
        <v>0.10000000000000009</v>
      </c>
      <c r="U4135" s="22">
        <f t="shared" si="256"/>
        <v>30.500000000000028</v>
      </c>
      <c r="V4135">
        <f t="shared" si="257"/>
        <v>305</v>
      </c>
      <c r="W4135" s="22">
        <f t="shared" si="258"/>
        <v>274.5</v>
      </c>
    </row>
    <row r="4136" spans="1:23" hidden="1" x14ac:dyDescent="0.25">
      <c r="A4136" s="3">
        <v>46067</v>
      </c>
      <c r="B4136" s="4" t="s">
        <v>298</v>
      </c>
      <c r="C4136" s="4" t="s">
        <v>2087</v>
      </c>
      <c r="D4136" s="4"/>
      <c r="E4136" s="4" t="s">
        <v>350</v>
      </c>
      <c r="F4136" s="4">
        <v>998258</v>
      </c>
      <c r="G4136" s="4" t="s">
        <v>350</v>
      </c>
      <c r="H4136" s="4" t="s">
        <v>304</v>
      </c>
      <c r="I4136" s="4">
        <v>3</v>
      </c>
      <c r="J4136" s="21">
        <v>270</v>
      </c>
      <c r="K4136" s="21">
        <v>0</v>
      </c>
      <c r="L4136" s="5">
        <v>810</v>
      </c>
      <c r="M4136" s="4"/>
      <c r="N4136" s="4"/>
      <c r="O4136" s="5"/>
      <c r="P4136" s="5"/>
      <c r="Q4136" s="21">
        <v>0</v>
      </c>
      <c r="R4136" s="21">
        <v>0</v>
      </c>
      <c r="S4136" s="5">
        <f t="shared" si="259"/>
        <v>53315.142997470874</v>
      </c>
      <c r="T4136" cm="1">
        <f t="array" ref="T4136">IF(OR(B4136="MAL ALIMI", B4136="ÜRETİM GİRİŞ"), MIN(I4136, MAX(0, I4136 + SUM(SUMIFS($I$1:I4135, $C$1:C4135, C4136, $B$1:B4135, {"MAL ALIMI","ÜRETİM GİRİŞ"})) - VLOOKUP(C4136, 'STOK RAPORU'!$C$2:$I$1000, 4, 0))), 0)</f>
        <v>0</v>
      </c>
      <c r="U4136" s="22">
        <f t="shared" si="256"/>
        <v>0</v>
      </c>
      <c r="V4136">
        <f t="shared" si="257"/>
        <v>810</v>
      </c>
      <c r="W4136" s="22">
        <f t="shared" si="258"/>
        <v>810</v>
      </c>
    </row>
    <row r="4137" spans="1:23" hidden="1" x14ac:dyDescent="0.25">
      <c r="A4137" s="3">
        <v>46067</v>
      </c>
      <c r="B4137" s="46" t="s">
        <v>334</v>
      </c>
      <c r="C4137" s="4" t="s">
        <v>74</v>
      </c>
      <c r="D4137" s="4"/>
      <c r="E4137" s="4" t="s">
        <v>921</v>
      </c>
      <c r="F4137" s="46" t="s">
        <v>2077</v>
      </c>
      <c r="G4137" s="4" t="s">
        <v>336</v>
      </c>
      <c r="H4137" s="4" t="s">
        <v>380</v>
      </c>
      <c r="I4137" s="4">
        <v>0.05</v>
      </c>
      <c r="J4137" s="21">
        <v>1500</v>
      </c>
      <c r="K4137" s="21">
        <v>75</v>
      </c>
      <c r="L4137" s="5">
        <v>0</v>
      </c>
      <c r="M4137" s="4"/>
      <c r="N4137" s="4"/>
      <c r="O4137" s="5"/>
      <c r="P4137" s="5"/>
      <c r="Q4137" s="21">
        <v>0</v>
      </c>
      <c r="R4137" s="21">
        <v>0</v>
      </c>
      <c r="S4137" s="5">
        <f t="shared" si="259"/>
        <v>53315.142997470874</v>
      </c>
      <c r="T4137" cm="1">
        <f t="array" ref="T4137">IF(OR(B4137="MAL ALIMI", B4137="ÜRETİM GİRİŞ"), MIN(I4137, MAX(0, I4137 + SUM(SUMIFS($I$1:I4136, $C$1:C4136, C4137, $B$1:B4136, {"MAL ALIMI","ÜRETİM GİRİŞ"})) - VLOOKUP(C4137, 'STOK RAPORU'!$C$2:$I$1000, 4, 0))), 0)</f>
        <v>0</v>
      </c>
      <c r="U4137" s="22">
        <f t="shared" si="256"/>
        <v>0</v>
      </c>
      <c r="V4137">
        <f t="shared" si="257"/>
        <v>0</v>
      </c>
      <c r="W4137" s="22">
        <f t="shared" si="258"/>
        <v>0</v>
      </c>
    </row>
    <row r="4138" spans="1:23" hidden="1" x14ac:dyDescent="0.25">
      <c r="A4138" s="3">
        <v>46067</v>
      </c>
      <c r="B4138" s="46" t="s">
        <v>334</v>
      </c>
      <c r="C4138" s="4" t="s">
        <v>163</v>
      </c>
      <c r="D4138" s="4"/>
      <c r="E4138" s="4"/>
      <c r="F4138" s="46" t="s">
        <v>2078</v>
      </c>
      <c r="G4138" s="4" t="s">
        <v>336</v>
      </c>
      <c r="H4138" s="4" t="s">
        <v>289</v>
      </c>
      <c r="I4138" s="4">
        <v>0.22222222222222221</v>
      </c>
      <c r="J4138" s="21">
        <v>450</v>
      </c>
      <c r="K4138" s="21">
        <v>0</v>
      </c>
      <c r="L4138" s="5">
        <v>0</v>
      </c>
      <c r="M4138" s="4"/>
      <c r="N4138" s="4"/>
      <c r="O4138" s="5"/>
      <c r="P4138" s="5"/>
      <c r="Q4138" s="21">
        <v>100</v>
      </c>
      <c r="R4138" s="21">
        <v>0</v>
      </c>
      <c r="S4138" s="5">
        <f t="shared" si="259"/>
        <v>53415.142997470874</v>
      </c>
      <c r="T4138" cm="1">
        <f t="array" ref="T4138">IF(OR(B4138="MAL ALIMI", B4138="ÜRETİM GİRİŞ"), MIN(I4138, MAX(0, I4138 + SUM(SUMIFS($I$1:I4137, $C$1:C4137, C4138, $B$1:B4137, {"MAL ALIMI","ÜRETİM GİRİŞ"})) - VLOOKUP(C4138, 'STOK RAPORU'!$C$2:$I$1000, 4, 0))), 0)</f>
        <v>0</v>
      </c>
      <c r="U4138" s="22">
        <f t="shared" si="256"/>
        <v>0</v>
      </c>
      <c r="V4138">
        <f t="shared" si="257"/>
        <v>0</v>
      </c>
      <c r="W4138" s="22">
        <f t="shared" si="258"/>
        <v>0</v>
      </c>
    </row>
    <row r="4139" spans="1:23" hidden="1" x14ac:dyDescent="0.25">
      <c r="A4139" s="3">
        <v>46067</v>
      </c>
      <c r="B4139" s="46" t="s">
        <v>334</v>
      </c>
      <c r="C4139" s="4" t="s">
        <v>634</v>
      </c>
      <c r="D4139" s="4"/>
      <c r="E4139" s="4" t="s">
        <v>921</v>
      </c>
      <c r="F4139" s="46" t="s">
        <v>2079</v>
      </c>
      <c r="G4139" s="4" t="s">
        <v>336</v>
      </c>
      <c r="H4139" s="4" t="s">
        <v>380</v>
      </c>
      <c r="I4139" s="4">
        <v>0.23529411764705882</v>
      </c>
      <c r="J4139" s="21">
        <v>850</v>
      </c>
      <c r="K4139" s="21">
        <v>200</v>
      </c>
      <c r="L4139" s="5">
        <v>0</v>
      </c>
      <c r="M4139" s="4"/>
      <c r="N4139" s="4"/>
      <c r="O4139" s="5"/>
      <c r="P4139" s="5"/>
      <c r="Q4139" s="21">
        <v>0</v>
      </c>
      <c r="R4139" s="21">
        <v>0</v>
      </c>
      <c r="S4139" s="5">
        <f t="shared" si="259"/>
        <v>53415.142997470874</v>
      </c>
      <c r="T4139" cm="1">
        <f t="array" ref="T4139">IF(OR(B4139="MAL ALIMI", B4139="ÜRETİM GİRİŞ"), MIN(I4139, MAX(0, I4139 + SUM(SUMIFS($I$1:I4138, $C$1:C4138, C4139, $B$1:B4138, {"MAL ALIMI","ÜRETİM GİRİŞ"})) - VLOOKUP(C4139, 'STOK RAPORU'!$C$2:$I$1000, 4, 0))), 0)</f>
        <v>0</v>
      </c>
      <c r="U4139" s="22">
        <f t="shared" si="256"/>
        <v>0</v>
      </c>
      <c r="V4139">
        <f t="shared" si="257"/>
        <v>0</v>
      </c>
      <c r="W4139" s="22">
        <f t="shared" si="258"/>
        <v>0</v>
      </c>
    </row>
    <row r="4140" spans="1:23" hidden="1" x14ac:dyDescent="0.25">
      <c r="A4140" s="3">
        <v>46067</v>
      </c>
      <c r="B4140" s="46" t="s">
        <v>334</v>
      </c>
      <c r="C4140" s="4" t="s">
        <v>690</v>
      </c>
      <c r="D4140" s="4"/>
      <c r="E4140" s="4" t="s">
        <v>921</v>
      </c>
      <c r="F4140" s="46" t="s">
        <v>2079</v>
      </c>
      <c r="G4140" s="4" t="s">
        <v>336</v>
      </c>
      <c r="H4140" s="4" t="s">
        <v>380</v>
      </c>
      <c r="I4140" s="4">
        <v>0.38235294117647056</v>
      </c>
      <c r="J4140" s="21">
        <v>262</v>
      </c>
      <c r="K4140" s="21">
        <v>100.17647058823529</v>
      </c>
      <c r="L4140" s="5">
        <v>0</v>
      </c>
      <c r="M4140" s="4"/>
      <c r="N4140" s="4"/>
      <c r="O4140" s="5"/>
      <c r="P4140" s="5"/>
      <c r="Q4140" s="21">
        <v>0</v>
      </c>
      <c r="R4140" s="21">
        <v>0</v>
      </c>
      <c r="S4140" s="5">
        <f t="shared" si="259"/>
        <v>53415.142997470874</v>
      </c>
      <c r="T4140" cm="1">
        <f t="array" ref="T4140">IF(OR(B4140="MAL ALIMI", B4140="ÜRETİM GİRİŞ"), MIN(I4140, MAX(0, I4140 + SUM(SUMIFS($I$1:I4139, $C$1:C4139, C4140, $B$1:B4139, {"MAL ALIMI","ÜRETİM GİRİŞ"})) - VLOOKUP(C4140, 'STOK RAPORU'!$C$2:$I$1000, 4, 0))), 0)</f>
        <v>0</v>
      </c>
      <c r="U4140" s="22">
        <f t="shared" si="256"/>
        <v>0</v>
      </c>
      <c r="V4140">
        <f t="shared" si="257"/>
        <v>0</v>
      </c>
      <c r="W4140" s="22">
        <f t="shared" si="258"/>
        <v>0</v>
      </c>
    </row>
    <row r="4141" spans="1:23" hidden="1" x14ac:dyDescent="0.25">
      <c r="A4141" s="3">
        <v>46067</v>
      </c>
      <c r="B4141" s="46" t="s">
        <v>334</v>
      </c>
      <c r="C4141" s="4" t="s">
        <v>131</v>
      </c>
      <c r="D4141" s="4"/>
      <c r="E4141" s="4" t="s">
        <v>921</v>
      </c>
      <c r="F4141" s="46" t="s">
        <v>2080</v>
      </c>
      <c r="G4141" s="4" t="s">
        <v>336</v>
      </c>
      <c r="H4141" s="4" t="s">
        <v>380</v>
      </c>
      <c r="I4141" s="4">
        <v>7.1999999999999995E-2</v>
      </c>
      <c r="J4141" s="21">
        <v>400</v>
      </c>
      <c r="K4141" s="21">
        <v>28.799999999999997</v>
      </c>
      <c r="L4141" s="5">
        <v>0</v>
      </c>
      <c r="M4141" s="4"/>
      <c r="N4141" s="4"/>
      <c r="O4141" s="5"/>
      <c r="P4141" s="5"/>
      <c r="Q4141" s="21">
        <v>0</v>
      </c>
      <c r="R4141" s="21">
        <v>0</v>
      </c>
      <c r="S4141" s="5">
        <f t="shared" si="259"/>
        <v>53415.142997470874</v>
      </c>
      <c r="T4141" cm="1">
        <f t="array" ref="T4141">IF(OR(B4141="MAL ALIMI", B4141="ÜRETİM GİRİŞ"), MIN(I4141, MAX(0, I4141 + SUM(SUMIFS($I$1:I4140, $C$1:C4140, C4141, $B$1:B4140, {"MAL ALIMI","ÜRETİM GİRİŞ"})) - VLOOKUP(C4141, 'STOK RAPORU'!$C$2:$I$1000, 4, 0))), 0)</f>
        <v>0</v>
      </c>
      <c r="U4141" s="22">
        <f t="shared" si="256"/>
        <v>0</v>
      </c>
      <c r="V4141">
        <f t="shared" si="257"/>
        <v>0</v>
      </c>
      <c r="W4141" s="22">
        <f t="shared" si="258"/>
        <v>0</v>
      </c>
    </row>
    <row r="4142" spans="1:23" hidden="1" x14ac:dyDescent="0.25">
      <c r="A4142" s="3">
        <v>46067</v>
      </c>
      <c r="B4142" s="46" t="s">
        <v>334</v>
      </c>
      <c r="C4142" s="4" t="s">
        <v>129</v>
      </c>
      <c r="D4142" s="4"/>
      <c r="E4142" s="4" t="s">
        <v>921</v>
      </c>
      <c r="F4142" s="46" t="s">
        <v>2080</v>
      </c>
      <c r="G4142" s="4" t="s">
        <v>336</v>
      </c>
      <c r="H4142" s="4" t="s">
        <v>380</v>
      </c>
      <c r="I4142" s="4">
        <v>0.11600000000000001</v>
      </c>
      <c r="J4142" s="21">
        <v>400</v>
      </c>
      <c r="K4142" s="21">
        <v>46.400000000000006</v>
      </c>
      <c r="L4142" s="5">
        <v>0</v>
      </c>
      <c r="M4142" s="4"/>
      <c r="N4142" s="4"/>
      <c r="O4142" s="5"/>
      <c r="P4142" s="5"/>
      <c r="Q4142" s="21">
        <v>0</v>
      </c>
      <c r="R4142" s="21">
        <v>0</v>
      </c>
      <c r="S4142" s="5">
        <f t="shared" si="259"/>
        <v>53415.142997470874</v>
      </c>
      <c r="T4142" cm="1">
        <f t="array" ref="T4142">IF(OR(B4142="MAL ALIMI", B4142="ÜRETİM GİRİŞ"), MIN(I4142, MAX(0, I4142 + SUM(SUMIFS($I$1:I4141, $C$1:C4141, C4142, $B$1:B4141, {"MAL ALIMI","ÜRETİM GİRİŞ"})) - VLOOKUP(C4142, 'STOK RAPORU'!$C$2:$I$1000, 4, 0))), 0)</f>
        <v>0</v>
      </c>
      <c r="U4142" s="22">
        <f t="shared" si="256"/>
        <v>0</v>
      </c>
      <c r="V4142">
        <f t="shared" si="257"/>
        <v>0</v>
      </c>
      <c r="W4142" s="22">
        <f t="shared" si="258"/>
        <v>0</v>
      </c>
    </row>
    <row r="4143" spans="1:23" hidden="1" x14ac:dyDescent="0.25">
      <c r="A4143" s="3">
        <v>46067</v>
      </c>
      <c r="B4143" s="46" t="s">
        <v>334</v>
      </c>
      <c r="C4143" s="4" t="s">
        <v>140</v>
      </c>
      <c r="D4143" s="4"/>
      <c r="E4143" s="4" t="s">
        <v>921</v>
      </c>
      <c r="F4143" s="46" t="s">
        <v>2080</v>
      </c>
      <c r="G4143" s="4" t="s">
        <v>336</v>
      </c>
      <c r="H4143" s="4" t="s">
        <v>380</v>
      </c>
      <c r="I4143" s="4">
        <v>0.192</v>
      </c>
      <c r="J4143" s="21">
        <v>300</v>
      </c>
      <c r="K4143" s="21">
        <v>57.6</v>
      </c>
      <c r="L4143" s="5">
        <v>0</v>
      </c>
      <c r="M4143" s="4"/>
      <c r="N4143" s="4"/>
      <c r="O4143" s="5"/>
      <c r="P4143" s="5"/>
      <c r="Q4143" s="21">
        <v>0</v>
      </c>
      <c r="R4143" s="21">
        <v>0</v>
      </c>
      <c r="S4143" s="5">
        <f t="shared" si="259"/>
        <v>53415.142997470874</v>
      </c>
      <c r="T4143" cm="1">
        <f t="array" ref="T4143">IF(OR(B4143="MAL ALIMI", B4143="ÜRETİM GİRİŞ"), MIN(I4143, MAX(0, I4143 + SUM(SUMIFS($I$1:I4142, $C$1:C4142, C4143, $B$1:B4142, {"MAL ALIMI","ÜRETİM GİRİŞ"})) - VLOOKUP(C4143, 'STOK RAPORU'!$C$2:$I$1000, 4, 0))), 0)</f>
        <v>0</v>
      </c>
      <c r="U4143" s="22">
        <f t="shared" si="256"/>
        <v>0</v>
      </c>
      <c r="V4143">
        <f t="shared" si="257"/>
        <v>0</v>
      </c>
      <c r="W4143" s="22">
        <f t="shared" si="258"/>
        <v>0</v>
      </c>
    </row>
    <row r="4144" spans="1:23" hidden="1" x14ac:dyDescent="0.25">
      <c r="A4144" s="3">
        <v>46067</v>
      </c>
      <c r="B4144" s="46" t="s">
        <v>334</v>
      </c>
      <c r="C4144" s="4" t="s">
        <v>126</v>
      </c>
      <c r="D4144" s="4"/>
      <c r="E4144" s="4" t="s">
        <v>921</v>
      </c>
      <c r="F4144" s="46" t="s">
        <v>2080</v>
      </c>
      <c r="G4144" s="4" t="s">
        <v>336</v>
      </c>
      <c r="H4144" s="4" t="s">
        <v>380</v>
      </c>
      <c r="I4144" s="4">
        <v>0.09</v>
      </c>
      <c r="J4144" s="21">
        <v>650</v>
      </c>
      <c r="K4144" s="21">
        <v>58.5</v>
      </c>
      <c r="L4144" s="5">
        <v>0</v>
      </c>
      <c r="M4144" s="4"/>
      <c r="N4144" s="4"/>
      <c r="O4144" s="5"/>
      <c r="P4144" s="5"/>
      <c r="Q4144" s="21">
        <v>0</v>
      </c>
      <c r="R4144" s="21">
        <v>0</v>
      </c>
      <c r="S4144" s="5">
        <f t="shared" si="259"/>
        <v>53415.142997470874</v>
      </c>
      <c r="T4144" cm="1">
        <f t="array" ref="T4144">IF(OR(B4144="MAL ALIMI", B4144="ÜRETİM GİRİŞ"), MIN(I4144, MAX(0, I4144 + SUM(SUMIFS($I$1:I4143, $C$1:C4143, C4144, $B$1:B4143, {"MAL ALIMI","ÜRETİM GİRİŞ"})) - VLOOKUP(C4144, 'STOK RAPORU'!$C$2:$I$1000, 4, 0))), 0)</f>
        <v>0</v>
      </c>
      <c r="U4144" s="22">
        <f t="shared" si="256"/>
        <v>0</v>
      </c>
      <c r="V4144">
        <f t="shared" si="257"/>
        <v>0</v>
      </c>
      <c r="W4144" s="22">
        <f t="shared" si="258"/>
        <v>0</v>
      </c>
    </row>
    <row r="4145" spans="1:23" hidden="1" x14ac:dyDescent="0.25">
      <c r="A4145" s="3">
        <v>46067</v>
      </c>
      <c r="B4145" s="46" t="s">
        <v>334</v>
      </c>
      <c r="C4145" s="4" t="s">
        <v>152</v>
      </c>
      <c r="D4145" s="4"/>
      <c r="E4145" s="4" t="s">
        <v>921</v>
      </c>
      <c r="F4145" s="46" t="s">
        <v>2080</v>
      </c>
      <c r="G4145" s="4" t="s">
        <v>336</v>
      </c>
      <c r="H4145" s="4" t="s">
        <v>380</v>
      </c>
      <c r="I4145" s="4">
        <v>0.1</v>
      </c>
      <c r="J4145" s="21">
        <v>400</v>
      </c>
      <c r="K4145" s="21">
        <v>40</v>
      </c>
      <c r="L4145" s="5">
        <v>0</v>
      </c>
      <c r="M4145" s="4"/>
      <c r="N4145" s="4"/>
      <c r="O4145" s="5"/>
      <c r="P4145" s="5"/>
      <c r="Q4145" s="21">
        <v>0</v>
      </c>
      <c r="R4145" s="21">
        <v>0</v>
      </c>
      <c r="S4145" s="5">
        <f t="shared" si="259"/>
        <v>53415.142997470874</v>
      </c>
      <c r="T4145" cm="1">
        <f t="array" ref="T4145">IF(OR(B4145="MAL ALIMI", B4145="ÜRETİM GİRİŞ"), MIN(I4145, MAX(0, I4145 + SUM(SUMIFS($I$1:I4144, $C$1:C4144, C4145, $B$1:B4144, {"MAL ALIMI","ÜRETİM GİRİŞ"})) - VLOOKUP(C4145, 'STOK RAPORU'!$C$2:$I$1000, 4, 0))), 0)</f>
        <v>0</v>
      </c>
      <c r="U4145" s="22">
        <f t="shared" si="256"/>
        <v>0</v>
      </c>
      <c r="V4145">
        <f t="shared" si="257"/>
        <v>0</v>
      </c>
      <c r="W4145" s="22">
        <f t="shared" si="258"/>
        <v>0</v>
      </c>
    </row>
    <row r="4146" spans="1:23" hidden="1" x14ac:dyDescent="0.25">
      <c r="A4146" s="3">
        <v>46067</v>
      </c>
      <c r="B4146" s="46" t="s">
        <v>334</v>
      </c>
      <c r="C4146" s="4" t="s">
        <v>154</v>
      </c>
      <c r="D4146" s="4"/>
      <c r="E4146" s="4" t="s">
        <v>921</v>
      </c>
      <c r="F4146" s="46" t="s">
        <v>2080</v>
      </c>
      <c r="G4146" s="4" t="s">
        <v>336</v>
      </c>
      <c r="H4146" s="4" t="s">
        <v>380</v>
      </c>
      <c r="I4146" s="4">
        <v>0.1</v>
      </c>
      <c r="J4146" s="21">
        <v>400</v>
      </c>
      <c r="K4146" s="21">
        <v>40</v>
      </c>
      <c r="L4146" s="5">
        <v>0</v>
      </c>
      <c r="M4146" s="4"/>
      <c r="N4146" s="4"/>
      <c r="O4146" s="5"/>
      <c r="P4146" s="5"/>
      <c r="Q4146" s="21">
        <v>0</v>
      </c>
      <c r="R4146" s="21">
        <v>0</v>
      </c>
      <c r="S4146" s="5">
        <f t="shared" si="259"/>
        <v>53415.142997470874</v>
      </c>
      <c r="T4146" cm="1">
        <f t="array" ref="T4146">IF(OR(B4146="MAL ALIMI", B4146="ÜRETİM GİRİŞ"), MIN(I4146, MAX(0, I4146 + SUM(SUMIFS($I$1:I4145, $C$1:C4145, C4146, $B$1:B4145, {"MAL ALIMI","ÜRETİM GİRİŞ"})) - VLOOKUP(C4146, 'STOK RAPORU'!$C$2:$I$1000, 4, 0))), 0)</f>
        <v>0</v>
      </c>
      <c r="U4146" s="22">
        <f t="shared" si="256"/>
        <v>0</v>
      </c>
      <c r="V4146">
        <f t="shared" si="257"/>
        <v>0</v>
      </c>
      <c r="W4146" s="22">
        <f t="shared" si="258"/>
        <v>0</v>
      </c>
    </row>
    <row r="4147" spans="1:23" hidden="1" x14ac:dyDescent="0.25">
      <c r="A4147" s="3">
        <v>46067</v>
      </c>
      <c r="B4147" s="46" t="s">
        <v>334</v>
      </c>
      <c r="C4147" s="4" t="s">
        <v>458</v>
      </c>
      <c r="D4147" s="4"/>
      <c r="E4147" s="4" t="s">
        <v>921</v>
      </c>
      <c r="F4147" s="46" t="s">
        <v>2081</v>
      </c>
      <c r="G4147" s="4" t="s">
        <v>336</v>
      </c>
      <c r="H4147" s="4" t="s">
        <v>380</v>
      </c>
      <c r="I4147" s="4">
        <v>0.5</v>
      </c>
      <c r="J4147" s="21">
        <v>80</v>
      </c>
      <c r="K4147" s="21">
        <v>40</v>
      </c>
      <c r="L4147" s="5">
        <v>0</v>
      </c>
      <c r="M4147" s="4"/>
      <c r="N4147" s="4"/>
      <c r="O4147" s="5"/>
      <c r="P4147" s="5"/>
      <c r="Q4147" s="21">
        <v>0</v>
      </c>
      <c r="R4147" s="21">
        <v>0</v>
      </c>
      <c r="S4147" s="5">
        <f t="shared" si="259"/>
        <v>53415.142997470874</v>
      </c>
      <c r="T4147" cm="1">
        <f t="array" ref="T4147">IF(OR(B4147="MAL ALIMI", B4147="ÜRETİM GİRİŞ"), MIN(I4147, MAX(0, I4147 + SUM(SUMIFS($I$1:I4146, $C$1:C4146, C4147, $B$1:B4146, {"MAL ALIMI","ÜRETİM GİRİŞ"})) - VLOOKUP(C4147, 'STOK RAPORU'!$C$2:$I$1000, 4, 0))), 0)</f>
        <v>0</v>
      </c>
      <c r="U4147" s="22">
        <f t="shared" si="256"/>
        <v>0</v>
      </c>
      <c r="V4147">
        <f t="shared" si="257"/>
        <v>0</v>
      </c>
      <c r="W4147" s="22">
        <f t="shared" si="258"/>
        <v>0</v>
      </c>
    </row>
    <row r="4148" spans="1:23" hidden="1" x14ac:dyDescent="0.25">
      <c r="A4148" s="3">
        <v>46067</v>
      </c>
      <c r="B4148" s="46" t="s">
        <v>334</v>
      </c>
      <c r="C4148" s="4" t="s">
        <v>468</v>
      </c>
      <c r="D4148" s="4"/>
      <c r="E4148" s="4" t="s">
        <v>921</v>
      </c>
      <c r="F4148" s="46" t="s">
        <v>2081</v>
      </c>
      <c r="G4148" s="4" t="s">
        <v>336</v>
      </c>
      <c r="H4148" s="4" t="s">
        <v>380</v>
      </c>
      <c r="I4148" s="4">
        <v>1</v>
      </c>
      <c r="J4148" s="21">
        <v>50</v>
      </c>
      <c r="K4148" s="21">
        <v>50</v>
      </c>
      <c r="L4148" s="5">
        <v>0</v>
      </c>
      <c r="M4148" s="4"/>
      <c r="N4148" s="4"/>
      <c r="O4148" s="5"/>
      <c r="P4148" s="5"/>
      <c r="Q4148" s="21">
        <v>0</v>
      </c>
      <c r="R4148" s="21">
        <v>0</v>
      </c>
      <c r="S4148" s="5">
        <f t="shared" si="259"/>
        <v>53415.142997470874</v>
      </c>
      <c r="T4148" cm="1">
        <f t="array" ref="T4148">IF(OR(B4148="MAL ALIMI", B4148="ÜRETİM GİRİŞ"), MIN(I4148, MAX(0, I4148 + SUM(SUMIFS($I$1:I4147, $C$1:C4147, C4148, $B$1:B4147, {"MAL ALIMI","ÜRETİM GİRİŞ"})) - VLOOKUP(C4148, 'STOK RAPORU'!$C$2:$I$1000, 4, 0))), 0)</f>
        <v>0</v>
      </c>
      <c r="U4148" s="22">
        <f t="shared" ref="U4148:U4211" si="260">T4148*J4148</f>
        <v>0</v>
      </c>
      <c r="V4148">
        <f t="shared" ref="V4148:V4211" si="261">IF(OR(B4148="MAL ALIMI", B4148="ÜRETİM GİRİŞ"), I4148 * J4148, 0)</f>
        <v>0</v>
      </c>
      <c r="W4148" s="22">
        <f t="shared" ref="W4148:W4211" si="262">V4148-U4148</f>
        <v>0</v>
      </c>
    </row>
    <row r="4149" spans="1:23" hidden="1" x14ac:dyDescent="0.25">
      <c r="A4149" s="3">
        <v>46067</v>
      </c>
      <c r="B4149" s="46" t="s">
        <v>334</v>
      </c>
      <c r="C4149" s="4" t="s">
        <v>1426</v>
      </c>
      <c r="D4149" s="4"/>
      <c r="E4149" s="4" t="s">
        <v>921</v>
      </c>
      <c r="F4149" s="46" t="s">
        <v>2081</v>
      </c>
      <c r="G4149" s="4" t="s">
        <v>336</v>
      </c>
      <c r="H4149" s="4" t="s">
        <v>380</v>
      </c>
      <c r="I4149" s="4">
        <v>1</v>
      </c>
      <c r="J4149" s="21">
        <v>80</v>
      </c>
      <c r="K4149" s="21">
        <v>80</v>
      </c>
      <c r="L4149" s="5">
        <v>0</v>
      </c>
      <c r="M4149" s="4"/>
      <c r="N4149" s="4"/>
      <c r="O4149" s="5"/>
      <c r="P4149" s="5"/>
      <c r="Q4149" s="21">
        <v>0</v>
      </c>
      <c r="R4149" s="21">
        <v>0</v>
      </c>
      <c r="S4149" s="5">
        <f t="shared" si="259"/>
        <v>53415.142997470874</v>
      </c>
      <c r="T4149" cm="1">
        <f t="array" ref="T4149">IF(OR(B4149="MAL ALIMI", B4149="ÜRETİM GİRİŞ"), MIN(I4149, MAX(0, I4149 + SUM(SUMIFS($I$1:I4148, $C$1:C4148, C4149, $B$1:B4148, {"MAL ALIMI","ÜRETİM GİRİŞ"})) - VLOOKUP(C4149, 'STOK RAPORU'!$C$2:$I$1000, 4, 0))), 0)</f>
        <v>0</v>
      </c>
      <c r="U4149" s="22">
        <f t="shared" si="260"/>
        <v>0</v>
      </c>
      <c r="V4149">
        <f t="shared" si="261"/>
        <v>0</v>
      </c>
      <c r="W4149" s="22">
        <f t="shared" si="262"/>
        <v>0</v>
      </c>
    </row>
    <row r="4150" spans="1:23" hidden="1" x14ac:dyDescent="0.25">
      <c r="A4150" s="3">
        <v>46067</v>
      </c>
      <c r="B4150" s="46" t="s">
        <v>334</v>
      </c>
      <c r="C4150" s="4" t="s">
        <v>725</v>
      </c>
      <c r="D4150" s="4"/>
      <c r="E4150" s="4" t="s">
        <v>921</v>
      </c>
      <c r="F4150" s="46" t="s">
        <v>2081</v>
      </c>
      <c r="G4150" s="4" t="s">
        <v>336</v>
      </c>
      <c r="H4150" s="4" t="s">
        <v>380</v>
      </c>
      <c r="I4150" s="4">
        <v>1</v>
      </c>
      <c r="J4150" s="21">
        <v>250</v>
      </c>
      <c r="K4150" s="21">
        <v>250</v>
      </c>
      <c r="L4150" s="5">
        <v>0</v>
      </c>
      <c r="M4150" s="4"/>
      <c r="N4150" s="4"/>
      <c r="O4150" s="5"/>
      <c r="P4150" s="5"/>
      <c r="Q4150" s="21">
        <v>0</v>
      </c>
      <c r="R4150" s="21">
        <v>0</v>
      </c>
      <c r="S4150" s="5">
        <f t="shared" si="259"/>
        <v>53415.142997470874</v>
      </c>
      <c r="T4150" cm="1">
        <f t="array" ref="T4150">IF(OR(B4150="MAL ALIMI", B4150="ÜRETİM GİRİŞ"), MIN(I4150, MAX(0, I4150 + SUM(SUMIFS($I$1:I4149, $C$1:C4149, C4150, $B$1:B4149, {"MAL ALIMI","ÜRETİM GİRİŞ"})) - VLOOKUP(C4150, 'STOK RAPORU'!$C$2:$I$1000, 4, 0))), 0)</f>
        <v>0</v>
      </c>
      <c r="U4150" s="22">
        <f t="shared" si="260"/>
        <v>0</v>
      </c>
      <c r="V4150">
        <f t="shared" si="261"/>
        <v>0</v>
      </c>
      <c r="W4150" s="22">
        <f t="shared" si="262"/>
        <v>0</v>
      </c>
    </row>
    <row r="4151" spans="1:23" hidden="1" x14ac:dyDescent="0.25">
      <c r="A4151" s="3">
        <v>46067</v>
      </c>
      <c r="B4151" s="46" t="s">
        <v>334</v>
      </c>
      <c r="C4151" s="4" t="s">
        <v>224</v>
      </c>
      <c r="D4151" s="4"/>
      <c r="E4151" s="4" t="s">
        <v>921</v>
      </c>
      <c r="F4151" s="46" t="s">
        <v>2082</v>
      </c>
      <c r="G4151" s="4" t="s">
        <v>336</v>
      </c>
      <c r="H4151" s="4" t="s">
        <v>380</v>
      </c>
      <c r="I4151" s="4">
        <v>0.1</v>
      </c>
      <c r="J4151" s="21">
        <v>900</v>
      </c>
      <c r="K4151" s="21">
        <v>90</v>
      </c>
      <c r="L4151" s="5">
        <v>0</v>
      </c>
      <c r="M4151" s="4"/>
      <c r="N4151" s="4"/>
      <c r="O4151" s="5"/>
      <c r="P4151" s="5"/>
      <c r="Q4151" s="21">
        <v>0</v>
      </c>
      <c r="R4151" s="21">
        <v>0</v>
      </c>
      <c r="S4151" s="5">
        <f t="shared" si="259"/>
        <v>53415.142997470874</v>
      </c>
      <c r="T4151" cm="1">
        <f t="array" ref="T4151">IF(OR(B4151="MAL ALIMI", B4151="ÜRETİM GİRİŞ"), MIN(I4151, MAX(0, I4151 + SUM(SUMIFS($I$1:I4150, $C$1:C4150, C4151, $B$1:B4150, {"MAL ALIMI","ÜRETİM GİRİŞ"})) - VLOOKUP(C4151, 'STOK RAPORU'!$C$2:$I$1000, 4, 0))), 0)</f>
        <v>0</v>
      </c>
      <c r="U4151" s="22">
        <f t="shared" si="260"/>
        <v>0</v>
      </c>
      <c r="V4151">
        <f t="shared" si="261"/>
        <v>0</v>
      </c>
      <c r="W4151" s="22">
        <f t="shared" si="262"/>
        <v>0</v>
      </c>
    </row>
    <row r="4152" spans="1:23" hidden="1" x14ac:dyDescent="0.25">
      <c r="A4152" s="3">
        <v>46067</v>
      </c>
      <c r="B4152" s="46" t="s">
        <v>334</v>
      </c>
      <c r="C4152" s="4" t="s">
        <v>251</v>
      </c>
      <c r="D4152" s="4"/>
      <c r="E4152" s="4" t="s">
        <v>921</v>
      </c>
      <c r="F4152" s="46" t="s">
        <v>2082</v>
      </c>
      <c r="G4152" s="4" t="s">
        <v>336</v>
      </c>
      <c r="H4152" s="4" t="s">
        <v>380</v>
      </c>
      <c r="I4152" s="4">
        <v>0.33800000000000002</v>
      </c>
      <c r="J4152" s="21">
        <v>670</v>
      </c>
      <c r="K4152" s="21">
        <v>226.46</v>
      </c>
      <c r="L4152" s="5">
        <v>0</v>
      </c>
      <c r="M4152" s="4"/>
      <c r="N4152" s="4"/>
      <c r="O4152" s="5"/>
      <c r="P4152" s="5"/>
      <c r="Q4152" s="21">
        <v>0</v>
      </c>
      <c r="R4152" s="21">
        <v>0</v>
      </c>
      <c r="S4152" s="5">
        <f t="shared" si="259"/>
        <v>53415.142997470874</v>
      </c>
      <c r="T4152" cm="1">
        <f t="array" ref="T4152">IF(OR(B4152="MAL ALIMI", B4152="ÜRETİM GİRİŞ"), MIN(I4152, MAX(0, I4152 + SUM(SUMIFS($I$1:I4151, $C$1:C4151, C4152, $B$1:B4151, {"MAL ALIMI","ÜRETİM GİRİŞ"})) - VLOOKUP(C4152, 'STOK RAPORU'!$C$2:$I$1000, 4, 0))), 0)</f>
        <v>0</v>
      </c>
      <c r="U4152" s="22">
        <f t="shared" si="260"/>
        <v>0</v>
      </c>
      <c r="V4152">
        <f t="shared" si="261"/>
        <v>0</v>
      </c>
      <c r="W4152" s="22">
        <f t="shared" si="262"/>
        <v>0</v>
      </c>
    </row>
    <row r="4153" spans="1:23" hidden="1" x14ac:dyDescent="0.25">
      <c r="A4153" s="3">
        <v>46067</v>
      </c>
      <c r="B4153" s="46" t="s">
        <v>334</v>
      </c>
      <c r="C4153" s="4" t="s">
        <v>1184</v>
      </c>
      <c r="D4153" s="4"/>
      <c r="E4153" s="4" t="s">
        <v>921</v>
      </c>
      <c r="F4153" s="46" t="s">
        <v>2082</v>
      </c>
      <c r="G4153" s="4" t="s">
        <v>336</v>
      </c>
      <c r="H4153" s="4" t="s">
        <v>380</v>
      </c>
      <c r="I4153" s="4">
        <v>0.13400000000000001</v>
      </c>
      <c r="J4153" s="21">
        <v>760</v>
      </c>
      <c r="K4153" s="21">
        <v>101.84</v>
      </c>
      <c r="L4153" s="5">
        <v>0</v>
      </c>
      <c r="M4153" s="4"/>
      <c r="N4153" s="4"/>
      <c r="O4153" s="5"/>
      <c r="P4153" s="5"/>
      <c r="Q4153" s="21">
        <v>0</v>
      </c>
      <c r="R4153" s="21">
        <v>0</v>
      </c>
      <c r="S4153" s="5">
        <f t="shared" si="259"/>
        <v>53415.142997470874</v>
      </c>
      <c r="T4153" cm="1">
        <f t="array" ref="T4153">IF(OR(B4153="MAL ALIMI", B4153="ÜRETİM GİRİŞ"), MIN(I4153, MAX(0, I4153 + SUM(SUMIFS($I$1:I4152, $C$1:C4152, C4153, $B$1:B4152, {"MAL ALIMI","ÜRETİM GİRİŞ"})) - VLOOKUP(C4153, 'STOK RAPORU'!$C$2:$I$1000, 4, 0))), 0)</f>
        <v>0</v>
      </c>
      <c r="U4153" s="22">
        <f t="shared" si="260"/>
        <v>0</v>
      </c>
      <c r="V4153">
        <f t="shared" si="261"/>
        <v>0</v>
      </c>
      <c r="W4153" s="22">
        <f t="shared" si="262"/>
        <v>0</v>
      </c>
    </row>
    <row r="4154" spans="1:23" hidden="1" x14ac:dyDescent="0.25">
      <c r="A4154" s="3">
        <v>46067</v>
      </c>
      <c r="B4154" s="46" t="s">
        <v>334</v>
      </c>
      <c r="C4154" s="4" t="s">
        <v>1634</v>
      </c>
      <c r="D4154" s="4"/>
      <c r="E4154" s="4" t="s">
        <v>921</v>
      </c>
      <c r="F4154" s="46" t="s">
        <v>2083</v>
      </c>
      <c r="G4154" s="4" t="s">
        <v>336</v>
      </c>
      <c r="H4154" s="4" t="s">
        <v>380</v>
      </c>
      <c r="I4154" s="4">
        <v>1</v>
      </c>
      <c r="J4154" s="21">
        <v>300</v>
      </c>
      <c r="K4154" s="21">
        <v>300</v>
      </c>
      <c r="L4154" s="5">
        <v>0</v>
      </c>
      <c r="M4154" s="4"/>
      <c r="N4154" s="4"/>
      <c r="O4154" s="5"/>
      <c r="P4154" s="5"/>
      <c r="Q4154" s="21">
        <v>0</v>
      </c>
      <c r="R4154" s="21">
        <v>0</v>
      </c>
      <c r="S4154" s="5">
        <f t="shared" si="259"/>
        <v>53415.142997470874</v>
      </c>
      <c r="T4154" cm="1">
        <f t="array" ref="T4154">IF(OR(B4154="MAL ALIMI", B4154="ÜRETİM GİRİŞ"), MIN(I4154, MAX(0, I4154 + SUM(SUMIFS($I$1:I4153, $C$1:C4153, C4154, $B$1:B4153, {"MAL ALIMI","ÜRETİM GİRİŞ"})) - VLOOKUP(C4154, 'STOK RAPORU'!$C$2:$I$1000, 4, 0))), 0)</f>
        <v>0</v>
      </c>
      <c r="U4154" s="22">
        <f t="shared" si="260"/>
        <v>0</v>
      </c>
      <c r="V4154">
        <f t="shared" si="261"/>
        <v>0</v>
      </c>
      <c r="W4154" s="22">
        <f t="shared" si="262"/>
        <v>0</v>
      </c>
    </row>
    <row r="4155" spans="1:23" hidden="1" x14ac:dyDescent="0.25">
      <c r="A4155" s="3">
        <v>46067</v>
      </c>
      <c r="B4155" s="46" t="s">
        <v>334</v>
      </c>
      <c r="C4155" s="4" t="s">
        <v>126</v>
      </c>
      <c r="D4155" s="4"/>
      <c r="E4155" s="4" t="s">
        <v>921</v>
      </c>
      <c r="F4155" s="46" t="s">
        <v>2083</v>
      </c>
      <c r="G4155" s="4" t="s">
        <v>336</v>
      </c>
      <c r="H4155" s="4" t="s">
        <v>380</v>
      </c>
      <c r="I4155" s="4">
        <v>7.3846153846153853E-2</v>
      </c>
      <c r="J4155" s="21">
        <v>650</v>
      </c>
      <c r="K4155" s="21">
        <v>48.000000000000007</v>
      </c>
      <c r="L4155" s="5">
        <v>0</v>
      </c>
      <c r="M4155" s="4"/>
      <c r="N4155" s="4"/>
      <c r="O4155" s="5"/>
      <c r="P4155" s="5"/>
      <c r="Q4155" s="21">
        <v>0</v>
      </c>
      <c r="R4155" s="21">
        <v>0</v>
      </c>
      <c r="S4155" s="5">
        <f t="shared" si="259"/>
        <v>53415.142997470874</v>
      </c>
      <c r="T4155" cm="1">
        <f t="array" ref="T4155">IF(OR(B4155="MAL ALIMI", B4155="ÜRETİM GİRİŞ"), MIN(I4155, MAX(0, I4155 + SUM(SUMIFS($I$1:I4154, $C$1:C4154, C4155, $B$1:B4154, {"MAL ALIMI","ÜRETİM GİRİŞ"})) - VLOOKUP(C4155, 'STOK RAPORU'!$C$2:$I$1000, 4, 0))), 0)</f>
        <v>0</v>
      </c>
      <c r="U4155" s="22">
        <f t="shared" si="260"/>
        <v>0</v>
      </c>
      <c r="V4155">
        <f t="shared" si="261"/>
        <v>0</v>
      </c>
      <c r="W4155" s="22">
        <f t="shared" si="262"/>
        <v>0</v>
      </c>
    </row>
    <row r="4156" spans="1:23" hidden="1" x14ac:dyDescent="0.25">
      <c r="A4156" s="3">
        <v>46067</v>
      </c>
      <c r="B4156" s="46" t="s">
        <v>334</v>
      </c>
      <c r="C4156" s="4" t="s">
        <v>98</v>
      </c>
      <c r="D4156" s="4"/>
      <c r="E4156" s="4"/>
      <c r="F4156" s="46" t="s">
        <v>2084</v>
      </c>
      <c r="G4156" s="4" t="s">
        <v>336</v>
      </c>
      <c r="H4156" s="4" t="s">
        <v>289</v>
      </c>
      <c r="I4156" s="4">
        <v>0.125</v>
      </c>
      <c r="J4156" s="21">
        <v>400</v>
      </c>
      <c r="K4156" s="21">
        <v>0</v>
      </c>
      <c r="L4156" s="5">
        <v>0</v>
      </c>
      <c r="M4156" s="4"/>
      <c r="N4156" s="4"/>
      <c r="O4156" s="5"/>
      <c r="P4156" s="5"/>
      <c r="Q4156" s="21">
        <v>50</v>
      </c>
      <c r="R4156" s="21">
        <v>0</v>
      </c>
      <c r="S4156" s="5">
        <f t="shared" si="259"/>
        <v>53465.142997470874</v>
      </c>
      <c r="T4156" cm="1">
        <f t="array" ref="T4156">IF(OR(B4156="MAL ALIMI", B4156="ÜRETİM GİRİŞ"), MIN(I4156, MAX(0, I4156 + SUM(SUMIFS($I$1:I4155, $C$1:C4155, C4156, $B$1:B4155, {"MAL ALIMI","ÜRETİM GİRİŞ"})) - VLOOKUP(C4156, 'STOK RAPORU'!$C$2:$I$1000, 4, 0))), 0)</f>
        <v>0</v>
      </c>
      <c r="U4156" s="22">
        <f t="shared" si="260"/>
        <v>0</v>
      </c>
      <c r="V4156">
        <f t="shared" si="261"/>
        <v>0</v>
      </c>
      <c r="W4156" s="22">
        <f t="shared" si="262"/>
        <v>0</v>
      </c>
    </row>
    <row r="4157" spans="1:23" hidden="1" x14ac:dyDescent="0.25">
      <c r="A4157" s="3">
        <v>46067</v>
      </c>
      <c r="B4157" s="46" t="s">
        <v>334</v>
      </c>
      <c r="C4157" s="4" t="s">
        <v>1501</v>
      </c>
      <c r="D4157" s="4"/>
      <c r="E4157" s="4" t="s">
        <v>921</v>
      </c>
      <c r="F4157" s="46" t="s">
        <v>2085</v>
      </c>
      <c r="G4157" s="4" t="s">
        <v>336</v>
      </c>
      <c r="H4157" s="4" t="s">
        <v>380</v>
      </c>
      <c r="I4157" s="4">
        <v>0.5</v>
      </c>
      <c r="J4157" s="21">
        <v>600</v>
      </c>
      <c r="K4157" s="21">
        <v>300</v>
      </c>
      <c r="L4157" s="5">
        <v>0</v>
      </c>
      <c r="M4157" s="4"/>
      <c r="N4157" s="4"/>
      <c r="O4157" s="5"/>
      <c r="P4157" s="5"/>
      <c r="Q4157" s="21">
        <v>0</v>
      </c>
      <c r="R4157" s="21">
        <v>0</v>
      </c>
      <c r="S4157" s="5">
        <f t="shared" si="259"/>
        <v>53465.142997470874</v>
      </c>
      <c r="T4157" cm="1">
        <f t="array" ref="T4157">IF(OR(B4157="MAL ALIMI", B4157="ÜRETİM GİRİŞ"), MIN(I4157, MAX(0, I4157 + SUM(SUMIFS($I$1:I4156, $C$1:C4156, C4157, $B$1:B4156, {"MAL ALIMI","ÜRETİM GİRİŞ"})) - VLOOKUP(C4157, 'STOK RAPORU'!$C$2:$I$1000, 4, 0))), 0)</f>
        <v>0</v>
      </c>
      <c r="U4157" s="22">
        <f t="shared" si="260"/>
        <v>0</v>
      </c>
      <c r="V4157">
        <f t="shared" si="261"/>
        <v>0</v>
      </c>
      <c r="W4157" s="22">
        <f t="shared" si="262"/>
        <v>0</v>
      </c>
    </row>
    <row r="4158" spans="1:23" hidden="1" x14ac:dyDescent="0.25">
      <c r="A4158" s="3">
        <v>46067</v>
      </c>
      <c r="B4158" s="4" t="s">
        <v>946</v>
      </c>
      <c r="C4158" s="4"/>
      <c r="D4158" s="4"/>
      <c r="E4158" s="4" t="s">
        <v>921</v>
      </c>
      <c r="F4158" s="4"/>
      <c r="G4158" s="4" t="s">
        <v>946</v>
      </c>
      <c r="H4158" s="4" t="s">
        <v>380</v>
      </c>
      <c r="I4158" s="4">
        <v>1</v>
      </c>
      <c r="J4158" s="105">
        <v>340</v>
      </c>
      <c r="K4158" s="21">
        <v>0</v>
      </c>
      <c r="L4158" s="111">
        <v>340</v>
      </c>
      <c r="M4158" s="4"/>
      <c r="N4158" s="4"/>
      <c r="O4158" s="5"/>
      <c r="P4158" s="5"/>
      <c r="Q4158" s="21">
        <v>340</v>
      </c>
      <c r="R4158" s="21">
        <v>0</v>
      </c>
      <c r="S4158" s="5">
        <f t="shared" si="259"/>
        <v>53805.142997470874</v>
      </c>
      <c r="T4158" cm="1">
        <f t="array" ref="T4158">IF(OR(B4158="MAL ALIMI", B4158="ÜRETİM GİRİŞ"), MIN(I4158, MAX(0, I4158 + SUM(SUMIFS($I$1:I4157, $C$1:C4157, C4158, $B$1:B4157, {"MAL ALIMI","ÜRETİM GİRİŞ"})) - VLOOKUP(C4158, 'STOK RAPORU'!$C$2:$I$1000, 4, 0))), 0)</f>
        <v>0</v>
      </c>
      <c r="U4158" s="22">
        <f t="shared" si="260"/>
        <v>0</v>
      </c>
      <c r="V4158">
        <f t="shared" si="261"/>
        <v>0</v>
      </c>
      <c r="W4158" s="22">
        <f t="shared" si="262"/>
        <v>0</v>
      </c>
    </row>
    <row r="4159" spans="1:23" x14ac:dyDescent="0.25">
      <c r="A4159" s="3">
        <v>46067</v>
      </c>
      <c r="B4159" s="4" t="s">
        <v>659</v>
      </c>
      <c r="C4159" s="4" t="s">
        <v>975</v>
      </c>
      <c r="D4159" s="4"/>
      <c r="E4159" s="4" t="s">
        <v>350</v>
      </c>
      <c r="F4159" s="4"/>
      <c r="G4159" s="4" t="s">
        <v>3159</v>
      </c>
      <c r="H4159" s="4" t="s">
        <v>304</v>
      </c>
      <c r="I4159" s="4">
        <v>6</v>
      </c>
      <c r="J4159" s="21">
        <v>195</v>
      </c>
      <c r="K4159" s="21">
        <v>1170</v>
      </c>
      <c r="L4159" s="5">
        <v>0</v>
      </c>
      <c r="M4159" s="4"/>
      <c r="N4159" s="4"/>
      <c r="O4159" s="5"/>
      <c r="P4159" s="5"/>
      <c r="Q4159" s="21">
        <v>0</v>
      </c>
      <c r="R4159" s="21">
        <v>0</v>
      </c>
      <c r="S4159" s="5">
        <f t="shared" si="259"/>
        <v>53805.142997470874</v>
      </c>
      <c r="T4159" cm="1">
        <f t="array" ref="T4159">IF(OR(B4159="MAL ALIMI", B4159="ÜRETİM GİRİŞ"), MIN(I4159, MAX(0, I4159 + SUM(SUMIFS($I$1:I4158, $C$1:C4158, C4159, $B$1:B4158, {"MAL ALIMI","ÜRETİM GİRİŞ"})) - VLOOKUP(C4159, 'STOK RAPORU'!$C$2:$I$1000, 4, 0))), 0)</f>
        <v>0</v>
      </c>
      <c r="U4159" s="22">
        <f t="shared" si="260"/>
        <v>0</v>
      </c>
      <c r="V4159">
        <f t="shared" si="261"/>
        <v>0</v>
      </c>
      <c r="W4159" s="22">
        <f t="shared" si="262"/>
        <v>0</v>
      </c>
    </row>
    <row r="4160" spans="1:23" hidden="1" x14ac:dyDescent="0.25">
      <c r="A4160" s="3">
        <v>46068</v>
      </c>
      <c r="B4160" s="46" t="s">
        <v>334</v>
      </c>
      <c r="C4160" s="4" t="s">
        <v>751</v>
      </c>
      <c r="D4160" s="4"/>
      <c r="E4160" s="4"/>
      <c r="F4160" s="46" t="s">
        <v>2088</v>
      </c>
      <c r="G4160" s="4" t="s">
        <v>336</v>
      </c>
      <c r="H4160" s="4" t="s">
        <v>289</v>
      </c>
      <c r="I4160" s="4">
        <v>2</v>
      </c>
      <c r="J4160" s="21">
        <v>220</v>
      </c>
      <c r="K4160" s="21">
        <v>0</v>
      </c>
      <c r="L4160" s="5">
        <v>0</v>
      </c>
      <c r="M4160" s="4"/>
      <c r="N4160" s="4"/>
      <c r="O4160" s="5"/>
      <c r="P4160" s="5"/>
      <c r="Q4160" s="21">
        <v>440</v>
      </c>
      <c r="R4160" s="21">
        <v>0</v>
      </c>
      <c r="S4160" s="5">
        <f t="shared" si="259"/>
        <v>54245.142997470874</v>
      </c>
      <c r="T4160" cm="1">
        <f t="array" ref="T4160">IF(OR(B4160="MAL ALIMI", B4160="ÜRETİM GİRİŞ"), MIN(I4160, MAX(0, I4160 + SUM(SUMIFS($I$1:I4159, $C$1:C4159, C4160, $B$1:B4159, {"MAL ALIMI","ÜRETİM GİRİŞ"})) - VLOOKUP(C4160, 'STOK RAPORU'!$C$2:$I$1000, 4, 0))), 0)</f>
        <v>0</v>
      </c>
      <c r="U4160" s="22">
        <f t="shared" si="260"/>
        <v>0</v>
      </c>
      <c r="V4160">
        <f t="shared" si="261"/>
        <v>0</v>
      </c>
      <c r="W4160" s="22">
        <f t="shared" si="262"/>
        <v>0</v>
      </c>
    </row>
    <row r="4161" spans="1:23" hidden="1" x14ac:dyDescent="0.25">
      <c r="A4161" s="3">
        <v>46068</v>
      </c>
      <c r="B4161" s="46" t="s">
        <v>334</v>
      </c>
      <c r="C4161" s="4" t="s">
        <v>529</v>
      </c>
      <c r="D4161" s="4"/>
      <c r="E4161" s="4"/>
      <c r="F4161" s="46" t="s">
        <v>2088</v>
      </c>
      <c r="G4161" s="4" t="s">
        <v>336</v>
      </c>
      <c r="H4161" s="4" t="s">
        <v>289</v>
      </c>
      <c r="I4161" s="4">
        <v>0.1</v>
      </c>
      <c r="J4161" s="21">
        <v>600</v>
      </c>
      <c r="K4161" s="21">
        <v>0</v>
      </c>
      <c r="L4161" s="5">
        <v>0</v>
      </c>
      <c r="M4161" s="4"/>
      <c r="N4161" s="4"/>
      <c r="O4161" s="5"/>
      <c r="P4161" s="5"/>
      <c r="Q4161" s="21">
        <v>60</v>
      </c>
      <c r="R4161" s="21">
        <v>0</v>
      </c>
      <c r="S4161" s="5">
        <f t="shared" si="259"/>
        <v>54305.142997470874</v>
      </c>
      <c r="T4161" cm="1">
        <f t="array" ref="T4161">IF(OR(B4161="MAL ALIMI", B4161="ÜRETİM GİRİŞ"), MIN(I4161, MAX(0, I4161 + SUM(SUMIFS($I$1:I4160, $C$1:C4160, C4161, $B$1:B4160, {"MAL ALIMI","ÜRETİM GİRİŞ"})) - VLOOKUP(C4161, 'STOK RAPORU'!$C$2:$I$1000, 4, 0))), 0)</f>
        <v>0</v>
      </c>
      <c r="U4161" s="22">
        <f t="shared" si="260"/>
        <v>0</v>
      </c>
      <c r="V4161">
        <f t="shared" si="261"/>
        <v>0</v>
      </c>
      <c r="W4161" s="22">
        <f t="shared" si="262"/>
        <v>0</v>
      </c>
    </row>
    <row r="4162" spans="1:23" hidden="1" x14ac:dyDescent="0.25">
      <c r="A4162" s="3">
        <v>46068</v>
      </c>
      <c r="B4162" s="46" t="s">
        <v>334</v>
      </c>
      <c r="C4162" s="4" t="s">
        <v>1126</v>
      </c>
      <c r="D4162" s="4"/>
      <c r="E4162" s="4"/>
      <c r="F4162" s="46" t="s">
        <v>2088</v>
      </c>
      <c r="G4162" s="4" t="s">
        <v>336</v>
      </c>
      <c r="H4162" s="4" t="s">
        <v>289</v>
      </c>
      <c r="I4162" s="4">
        <v>1</v>
      </c>
      <c r="J4162" s="21">
        <v>290</v>
      </c>
      <c r="K4162" s="21">
        <v>0</v>
      </c>
      <c r="L4162" s="5">
        <v>0</v>
      </c>
      <c r="M4162" s="4"/>
      <c r="N4162" s="4"/>
      <c r="O4162" s="5"/>
      <c r="P4162" s="5"/>
      <c r="Q4162" s="21">
        <v>290</v>
      </c>
      <c r="R4162" s="21">
        <v>0</v>
      </c>
      <c r="S4162" s="5">
        <f t="shared" si="259"/>
        <v>54595.142997470874</v>
      </c>
      <c r="T4162" cm="1">
        <f t="array" ref="T4162">IF(OR(B4162="MAL ALIMI", B4162="ÜRETİM GİRİŞ"), MIN(I4162, MAX(0, I4162 + SUM(SUMIFS($I$1:I4161, $C$1:C4161, C4162, $B$1:B4161, {"MAL ALIMI","ÜRETİM GİRİŞ"})) - VLOOKUP(C4162, 'STOK RAPORU'!$C$2:$I$1000, 4, 0))), 0)</f>
        <v>0</v>
      </c>
      <c r="U4162" s="22">
        <f t="shared" si="260"/>
        <v>0</v>
      </c>
      <c r="V4162">
        <f t="shared" si="261"/>
        <v>0</v>
      </c>
      <c r="W4162" s="22">
        <f t="shared" si="262"/>
        <v>0</v>
      </c>
    </row>
    <row r="4163" spans="1:23" hidden="1" x14ac:dyDescent="0.25">
      <c r="A4163" s="3">
        <v>46068</v>
      </c>
      <c r="B4163" s="46" t="s">
        <v>334</v>
      </c>
      <c r="C4163" s="4" t="s">
        <v>523</v>
      </c>
      <c r="D4163" s="4"/>
      <c r="E4163" s="4" t="s">
        <v>921</v>
      </c>
      <c r="F4163" s="46" t="s">
        <v>2089</v>
      </c>
      <c r="G4163" s="4" t="s">
        <v>336</v>
      </c>
      <c r="H4163" s="4" t="s">
        <v>380</v>
      </c>
      <c r="I4163" s="4">
        <v>0.1</v>
      </c>
      <c r="J4163" s="21">
        <v>650</v>
      </c>
      <c r="K4163" s="21">
        <v>65</v>
      </c>
      <c r="L4163" s="5">
        <v>0</v>
      </c>
      <c r="M4163" s="4"/>
      <c r="N4163" s="4"/>
      <c r="O4163" s="5"/>
      <c r="P4163" s="5"/>
      <c r="Q4163" s="21">
        <v>0</v>
      </c>
      <c r="R4163" s="21">
        <v>0</v>
      </c>
      <c r="S4163" s="5">
        <f t="shared" si="259"/>
        <v>54595.142997470874</v>
      </c>
      <c r="T4163" cm="1">
        <f t="array" ref="T4163">IF(OR(B4163="MAL ALIMI", B4163="ÜRETİM GİRİŞ"), MIN(I4163, MAX(0, I4163 + SUM(SUMIFS($I$1:I4162, $C$1:C4162, C4163, $B$1:B4162, {"MAL ALIMI","ÜRETİM GİRİŞ"})) - VLOOKUP(C4163, 'STOK RAPORU'!$C$2:$I$1000, 4, 0))), 0)</f>
        <v>0</v>
      </c>
      <c r="U4163" s="22">
        <f t="shared" si="260"/>
        <v>0</v>
      </c>
      <c r="V4163">
        <f t="shared" si="261"/>
        <v>0</v>
      </c>
      <c r="W4163" s="22">
        <f t="shared" si="262"/>
        <v>0</v>
      </c>
    </row>
    <row r="4164" spans="1:23" hidden="1" x14ac:dyDescent="0.25">
      <c r="A4164" s="3">
        <v>46068</v>
      </c>
      <c r="B4164" s="46" t="s">
        <v>334</v>
      </c>
      <c r="C4164" s="4" t="s">
        <v>690</v>
      </c>
      <c r="D4164" s="4"/>
      <c r="E4164" s="4" t="s">
        <v>921</v>
      </c>
      <c r="F4164" s="46" t="s">
        <v>2090</v>
      </c>
      <c r="G4164" s="4" t="s">
        <v>336</v>
      </c>
      <c r="H4164" s="4" t="s">
        <v>380</v>
      </c>
      <c r="I4164" s="4">
        <v>0.38235294117647056</v>
      </c>
      <c r="J4164" s="21">
        <v>340</v>
      </c>
      <c r="K4164" s="21">
        <v>130</v>
      </c>
      <c r="L4164" s="5">
        <v>0</v>
      </c>
      <c r="M4164" s="4"/>
      <c r="N4164" s="4"/>
      <c r="O4164" s="5"/>
      <c r="P4164" s="5"/>
      <c r="Q4164" s="21">
        <v>0</v>
      </c>
      <c r="R4164" s="21">
        <v>0</v>
      </c>
      <c r="S4164" s="5">
        <f t="shared" ref="S4164:S4227" si="263">S4163+Q4164-R4164</f>
        <v>54595.142997470874</v>
      </c>
      <c r="T4164" cm="1">
        <f t="array" ref="T4164">IF(OR(B4164="MAL ALIMI", B4164="ÜRETİM GİRİŞ"), MIN(I4164, MAX(0, I4164 + SUM(SUMIFS($I$1:I4163, $C$1:C4163, C4164, $B$1:B4163, {"MAL ALIMI","ÜRETİM GİRİŞ"})) - VLOOKUP(C4164, 'STOK RAPORU'!$C$2:$I$1000, 4, 0))), 0)</f>
        <v>0</v>
      </c>
      <c r="U4164" s="22">
        <f t="shared" si="260"/>
        <v>0</v>
      </c>
      <c r="V4164">
        <f t="shared" si="261"/>
        <v>0</v>
      </c>
      <c r="W4164" s="22">
        <f t="shared" si="262"/>
        <v>0</v>
      </c>
    </row>
    <row r="4165" spans="1:23" hidden="1" x14ac:dyDescent="0.25">
      <c r="A4165" s="3">
        <v>46068</v>
      </c>
      <c r="B4165" s="46" t="s">
        <v>334</v>
      </c>
      <c r="C4165" s="4" t="s">
        <v>223</v>
      </c>
      <c r="D4165" s="4"/>
      <c r="E4165" s="4" t="s">
        <v>921</v>
      </c>
      <c r="F4165" s="46" t="s">
        <v>2090</v>
      </c>
      <c r="G4165" s="4" t="s">
        <v>336</v>
      </c>
      <c r="H4165" s="4" t="s">
        <v>380</v>
      </c>
      <c r="I4165" s="4">
        <v>0.49375000000000002</v>
      </c>
      <c r="J4165" s="21">
        <v>800</v>
      </c>
      <c r="K4165" s="21">
        <v>395</v>
      </c>
      <c r="L4165" s="5">
        <v>0</v>
      </c>
      <c r="M4165" s="4"/>
      <c r="N4165" s="4"/>
      <c r="O4165" s="5"/>
      <c r="P4165" s="5"/>
      <c r="Q4165" s="21">
        <v>0</v>
      </c>
      <c r="R4165" s="21">
        <v>0</v>
      </c>
      <c r="S4165" s="5">
        <f t="shared" si="263"/>
        <v>54595.142997470874</v>
      </c>
      <c r="T4165" cm="1">
        <f t="array" ref="T4165">IF(OR(B4165="MAL ALIMI", B4165="ÜRETİM GİRİŞ"), MIN(I4165, MAX(0, I4165 + SUM(SUMIFS($I$1:I4164, $C$1:C4164, C4165, $B$1:B4164, {"MAL ALIMI","ÜRETİM GİRİŞ"})) - VLOOKUP(C4165, 'STOK RAPORU'!$C$2:$I$1000, 4, 0))), 0)</f>
        <v>0</v>
      </c>
      <c r="U4165" s="22">
        <f t="shared" si="260"/>
        <v>0</v>
      </c>
      <c r="V4165">
        <f t="shared" si="261"/>
        <v>0</v>
      </c>
      <c r="W4165" s="22">
        <f t="shared" si="262"/>
        <v>0</v>
      </c>
    </row>
    <row r="4166" spans="1:23" hidden="1" x14ac:dyDescent="0.25">
      <c r="A4166" s="3">
        <v>46068</v>
      </c>
      <c r="B4166" s="46" t="s">
        <v>334</v>
      </c>
      <c r="C4166" s="4" t="s">
        <v>160</v>
      </c>
      <c r="D4166" s="4"/>
      <c r="E4166" s="4"/>
      <c r="F4166" s="46" t="s">
        <v>2091</v>
      </c>
      <c r="G4166" s="4" t="s">
        <v>336</v>
      </c>
      <c r="H4166" s="4" t="s">
        <v>289</v>
      </c>
      <c r="I4166" s="4">
        <v>0.4</v>
      </c>
      <c r="J4166" s="21">
        <v>250</v>
      </c>
      <c r="K4166" s="21">
        <v>0</v>
      </c>
      <c r="L4166" s="5">
        <v>0</v>
      </c>
      <c r="M4166" s="4"/>
      <c r="N4166" s="4"/>
      <c r="O4166" s="5"/>
      <c r="P4166" s="5"/>
      <c r="Q4166" s="21">
        <v>100</v>
      </c>
      <c r="R4166" s="21">
        <v>0</v>
      </c>
      <c r="S4166" s="5">
        <f t="shared" si="263"/>
        <v>54695.142997470874</v>
      </c>
      <c r="T4166" cm="1">
        <f t="array" ref="T4166">IF(OR(B4166="MAL ALIMI", B4166="ÜRETİM GİRİŞ"), MIN(I4166, MAX(0, I4166 + SUM(SUMIFS($I$1:I4165, $C$1:C4165, C4166, $B$1:B4165, {"MAL ALIMI","ÜRETİM GİRİŞ"})) - VLOOKUP(C4166, 'STOK RAPORU'!$C$2:$I$1000, 4, 0))), 0)</f>
        <v>0</v>
      </c>
      <c r="U4166" s="22">
        <f t="shared" si="260"/>
        <v>0</v>
      </c>
      <c r="V4166">
        <f t="shared" si="261"/>
        <v>0</v>
      </c>
      <c r="W4166" s="22">
        <f t="shared" si="262"/>
        <v>0</v>
      </c>
    </row>
    <row r="4167" spans="1:23" hidden="1" x14ac:dyDescent="0.25">
      <c r="A4167" s="3">
        <v>46068</v>
      </c>
      <c r="B4167" s="46" t="s">
        <v>334</v>
      </c>
      <c r="C4167" s="4" t="s">
        <v>131</v>
      </c>
      <c r="D4167" s="4"/>
      <c r="E4167" s="4"/>
      <c r="F4167" s="46" t="s">
        <v>2092</v>
      </c>
      <c r="G4167" s="4" t="s">
        <v>336</v>
      </c>
      <c r="H4167" s="4" t="s">
        <v>289</v>
      </c>
      <c r="I4167" s="4">
        <v>0.25</v>
      </c>
      <c r="J4167" s="21">
        <v>400</v>
      </c>
      <c r="K4167" s="21">
        <v>0</v>
      </c>
      <c r="L4167" s="5">
        <v>0</v>
      </c>
      <c r="M4167" s="4"/>
      <c r="N4167" s="4"/>
      <c r="O4167" s="5"/>
      <c r="P4167" s="5"/>
      <c r="Q4167" s="21">
        <v>100</v>
      </c>
      <c r="R4167" s="21">
        <v>0</v>
      </c>
      <c r="S4167" s="5">
        <f t="shared" si="263"/>
        <v>54795.142997470874</v>
      </c>
      <c r="T4167" cm="1">
        <f t="array" ref="T4167">IF(OR(B4167="MAL ALIMI", B4167="ÜRETİM GİRİŞ"), MIN(I4167, MAX(0, I4167 + SUM(SUMIFS($I$1:I4166, $C$1:C4166, C4167, $B$1:B4166, {"MAL ALIMI","ÜRETİM GİRİŞ"})) - VLOOKUP(C4167, 'STOK RAPORU'!$C$2:$I$1000, 4, 0))), 0)</f>
        <v>0</v>
      </c>
      <c r="U4167" s="22">
        <f t="shared" si="260"/>
        <v>0</v>
      </c>
      <c r="V4167">
        <f t="shared" si="261"/>
        <v>0</v>
      </c>
      <c r="W4167" s="22">
        <f t="shared" si="262"/>
        <v>0</v>
      </c>
    </row>
    <row r="4168" spans="1:23" hidden="1" x14ac:dyDescent="0.25">
      <c r="A4168" s="3">
        <v>46068</v>
      </c>
      <c r="B4168" s="46" t="s">
        <v>334</v>
      </c>
      <c r="C4168" s="4" t="s">
        <v>651</v>
      </c>
      <c r="D4168" s="4"/>
      <c r="E4168" s="4"/>
      <c r="F4168" s="46" t="s">
        <v>2093</v>
      </c>
      <c r="G4168" s="4" t="s">
        <v>336</v>
      </c>
      <c r="H4168" s="4" t="s">
        <v>289</v>
      </c>
      <c r="I4168" s="4">
        <v>1</v>
      </c>
      <c r="J4168" s="21">
        <v>400</v>
      </c>
      <c r="K4168" s="21">
        <v>0</v>
      </c>
      <c r="L4168" s="5">
        <v>0</v>
      </c>
      <c r="M4168" s="4"/>
      <c r="N4168" s="4"/>
      <c r="O4168" s="5"/>
      <c r="P4168" s="5"/>
      <c r="Q4168" s="21">
        <v>400</v>
      </c>
      <c r="R4168" s="21">
        <v>0</v>
      </c>
      <c r="S4168" s="5">
        <f t="shared" si="263"/>
        <v>55195.142997470874</v>
      </c>
      <c r="T4168" cm="1">
        <f t="array" ref="T4168">IF(OR(B4168="MAL ALIMI", B4168="ÜRETİM GİRİŞ"), MIN(I4168, MAX(0, I4168 + SUM(SUMIFS($I$1:I4167, $C$1:C4167, C4168, $B$1:B4167, {"MAL ALIMI","ÜRETİM GİRİŞ"})) - VLOOKUP(C4168, 'STOK RAPORU'!$C$2:$I$1000, 4, 0))), 0)</f>
        <v>0</v>
      </c>
      <c r="U4168" s="22">
        <f t="shared" si="260"/>
        <v>0</v>
      </c>
      <c r="V4168">
        <f t="shared" si="261"/>
        <v>0</v>
      </c>
      <c r="W4168" s="22">
        <f t="shared" si="262"/>
        <v>0</v>
      </c>
    </row>
    <row r="4169" spans="1:23" hidden="1" x14ac:dyDescent="0.25">
      <c r="A4169" s="3">
        <v>46068</v>
      </c>
      <c r="B4169" s="46" t="s">
        <v>334</v>
      </c>
      <c r="C4169" s="46" t="s">
        <v>585</v>
      </c>
      <c r="D4169" s="4"/>
      <c r="E4169" s="4"/>
      <c r="F4169" s="46" t="s">
        <v>2094</v>
      </c>
      <c r="G4169" s="4" t="s">
        <v>336</v>
      </c>
      <c r="H4169" s="4" t="s">
        <v>289</v>
      </c>
      <c r="I4169" s="4">
        <v>1</v>
      </c>
      <c r="J4169" s="21">
        <v>200</v>
      </c>
      <c r="K4169" s="21">
        <v>0</v>
      </c>
      <c r="L4169" s="5">
        <v>0</v>
      </c>
      <c r="M4169" s="4"/>
      <c r="N4169" s="4"/>
      <c r="O4169" s="5"/>
      <c r="P4169" s="5"/>
      <c r="Q4169" s="21">
        <v>200</v>
      </c>
      <c r="R4169" s="21">
        <v>0</v>
      </c>
      <c r="S4169" s="5">
        <f t="shared" si="263"/>
        <v>55395.142997470874</v>
      </c>
      <c r="T4169" cm="1">
        <f t="array" ref="T4169">IF(OR(B4169="MAL ALIMI", B4169="ÜRETİM GİRİŞ"), MIN(I4169, MAX(0, I4169 + SUM(SUMIFS($I$1:I4168, $C$1:C4168, C4169, $B$1:B4168, {"MAL ALIMI","ÜRETİM GİRİŞ"})) - VLOOKUP(C4169, 'STOK RAPORU'!$C$2:$I$1000, 4, 0))), 0)</f>
        <v>0</v>
      </c>
      <c r="U4169" s="22">
        <f t="shared" si="260"/>
        <v>0</v>
      </c>
      <c r="V4169">
        <f t="shared" si="261"/>
        <v>0</v>
      </c>
      <c r="W4169" s="22">
        <f t="shared" si="262"/>
        <v>0</v>
      </c>
    </row>
    <row r="4170" spans="1:23" hidden="1" x14ac:dyDescent="0.25">
      <c r="A4170" s="3">
        <v>46068</v>
      </c>
      <c r="B4170" s="46" t="s">
        <v>334</v>
      </c>
      <c r="C4170" s="4" t="s">
        <v>157</v>
      </c>
      <c r="D4170" s="4"/>
      <c r="E4170" s="4"/>
      <c r="F4170" s="46" t="s">
        <v>2094</v>
      </c>
      <c r="G4170" s="4" t="s">
        <v>336</v>
      </c>
      <c r="H4170" s="4" t="s">
        <v>289</v>
      </c>
      <c r="I4170" s="4">
        <v>1</v>
      </c>
      <c r="J4170" s="21">
        <v>200</v>
      </c>
      <c r="K4170" s="21">
        <v>0</v>
      </c>
      <c r="L4170" s="5">
        <v>0</v>
      </c>
      <c r="M4170" s="4"/>
      <c r="N4170" s="4"/>
      <c r="O4170" s="5"/>
      <c r="P4170" s="5"/>
      <c r="Q4170" s="21">
        <v>200</v>
      </c>
      <c r="R4170" s="21">
        <v>0</v>
      </c>
      <c r="S4170" s="5">
        <f t="shared" si="263"/>
        <v>55595.142997470874</v>
      </c>
      <c r="T4170" cm="1">
        <f t="array" ref="T4170">IF(OR(B4170="MAL ALIMI", B4170="ÜRETİM GİRİŞ"), MIN(I4170, MAX(0, I4170 + SUM(SUMIFS($I$1:I4169, $C$1:C4169, C4170, $B$1:B4169, {"MAL ALIMI","ÜRETİM GİRİŞ"})) - VLOOKUP(C4170, 'STOK RAPORU'!$C$2:$I$1000, 4, 0))), 0)</f>
        <v>0</v>
      </c>
      <c r="U4170" s="22">
        <f t="shared" si="260"/>
        <v>0</v>
      </c>
      <c r="V4170">
        <f t="shared" si="261"/>
        <v>0</v>
      </c>
      <c r="W4170" s="22">
        <f t="shared" si="262"/>
        <v>0</v>
      </c>
    </row>
    <row r="4171" spans="1:23" hidden="1" x14ac:dyDescent="0.25">
      <c r="A4171" s="3">
        <v>46068</v>
      </c>
      <c r="B4171" s="46" t="s">
        <v>334</v>
      </c>
      <c r="C4171" s="4" t="s">
        <v>589</v>
      </c>
      <c r="D4171" s="4"/>
      <c r="E4171" s="4"/>
      <c r="F4171" s="46" t="s">
        <v>2095</v>
      </c>
      <c r="G4171" s="4" t="s">
        <v>336</v>
      </c>
      <c r="H4171" s="4" t="s">
        <v>289</v>
      </c>
      <c r="I4171" s="4">
        <v>2.5000000000000001E-2</v>
      </c>
      <c r="J4171" s="21">
        <v>800</v>
      </c>
      <c r="K4171" s="21">
        <v>0</v>
      </c>
      <c r="L4171" s="5">
        <v>0</v>
      </c>
      <c r="M4171" s="4"/>
      <c r="N4171" s="4"/>
      <c r="O4171" s="5"/>
      <c r="P4171" s="5"/>
      <c r="Q4171" s="21">
        <v>20</v>
      </c>
      <c r="R4171" s="21">
        <v>0</v>
      </c>
      <c r="S4171" s="5">
        <f t="shared" si="263"/>
        <v>55615.142997470874</v>
      </c>
      <c r="T4171" cm="1">
        <f t="array" ref="T4171">IF(OR(B4171="MAL ALIMI", B4171="ÜRETİM GİRİŞ"), MIN(I4171, MAX(0, I4171 + SUM(SUMIFS($I$1:I4170, $C$1:C4170, C4171, $B$1:B4170, {"MAL ALIMI","ÜRETİM GİRİŞ"})) - VLOOKUP(C4171, 'STOK RAPORU'!$C$2:$I$1000, 4, 0))), 0)</f>
        <v>0</v>
      </c>
      <c r="U4171" s="22">
        <f t="shared" si="260"/>
        <v>0</v>
      </c>
      <c r="V4171">
        <f t="shared" si="261"/>
        <v>0</v>
      </c>
      <c r="W4171" s="22">
        <f t="shared" si="262"/>
        <v>0</v>
      </c>
    </row>
    <row r="4172" spans="1:23" hidden="1" x14ac:dyDescent="0.25">
      <c r="A4172" s="3">
        <v>46068</v>
      </c>
      <c r="B4172" s="46" t="s">
        <v>334</v>
      </c>
      <c r="C4172" s="4" t="s">
        <v>132</v>
      </c>
      <c r="D4172" s="4"/>
      <c r="E4172" s="4" t="s">
        <v>921</v>
      </c>
      <c r="F4172" s="46" t="s">
        <v>2096</v>
      </c>
      <c r="G4172" s="4" t="s">
        <v>336</v>
      </c>
      <c r="H4172" s="4" t="s">
        <v>380</v>
      </c>
      <c r="I4172" s="4">
        <v>0.112</v>
      </c>
      <c r="J4172" s="21">
        <v>500</v>
      </c>
      <c r="K4172" s="21">
        <v>56</v>
      </c>
      <c r="L4172" s="5">
        <v>0</v>
      </c>
      <c r="M4172" s="4"/>
      <c r="N4172" s="4"/>
      <c r="O4172" s="5"/>
      <c r="P4172" s="5"/>
      <c r="Q4172" s="21">
        <v>0</v>
      </c>
      <c r="R4172" s="21">
        <v>0</v>
      </c>
      <c r="S4172" s="5">
        <f t="shared" si="263"/>
        <v>55615.142997470874</v>
      </c>
      <c r="T4172" cm="1">
        <f t="array" ref="T4172">IF(OR(B4172="MAL ALIMI", B4172="ÜRETİM GİRİŞ"), MIN(I4172, MAX(0, I4172 + SUM(SUMIFS($I$1:I4171, $C$1:C4171, C4172, $B$1:B4171, {"MAL ALIMI","ÜRETİM GİRİŞ"})) - VLOOKUP(C4172, 'STOK RAPORU'!$C$2:$I$1000, 4, 0))), 0)</f>
        <v>0</v>
      </c>
      <c r="U4172" s="22">
        <f t="shared" si="260"/>
        <v>0</v>
      </c>
      <c r="V4172">
        <f t="shared" si="261"/>
        <v>0</v>
      </c>
      <c r="W4172" s="22">
        <f t="shared" si="262"/>
        <v>0</v>
      </c>
    </row>
    <row r="4173" spans="1:23" hidden="1" x14ac:dyDescent="0.25">
      <c r="A4173" s="3">
        <v>46068</v>
      </c>
      <c r="B4173" s="46" t="s">
        <v>334</v>
      </c>
      <c r="C4173" s="4" t="s">
        <v>129</v>
      </c>
      <c r="D4173" s="4"/>
      <c r="E4173" s="4" t="s">
        <v>921</v>
      </c>
      <c r="F4173" s="46" t="s">
        <v>2096</v>
      </c>
      <c r="G4173" s="4" t="s">
        <v>336</v>
      </c>
      <c r="H4173" s="4" t="s">
        <v>380</v>
      </c>
      <c r="I4173" s="4">
        <v>8.2500000000000004E-2</v>
      </c>
      <c r="J4173" s="21">
        <v>400</v>
      </c>
      <c r="K4173" s="21">
        <v>33</v>
      </c>
      <c r="L4173" s="5">
        <v>0</v>
      </c>
      <c r="M4173" s="4"/>
      <c r="N4173" s="4"/>
      <c r="O4173" s="5"/>
      <c r="P4173" s="5"/>
      <c r="Q4173" s="21">
        <v>0</v>
      </c>
      <c r="R4173" s="21">
        <v>0</v>
      </c>
      <c r="S4173" s="5">
        <f t="shared" si="263"/>
        <v>55615.142997470874</v>
      </c>
      <c r="T4173" cm="1">
        <f t="array" ref="T4173">IF(OR(B4173="MAL ALIMI", B4173="ÜRETİM GİRİŞ"), MIN(I4173, MAX(0, I4173 + SUM(SUMIFS($I$1:I4172, $C$1:C4172, C4173, $B$1:B4172, {"MAL ALIMI","ÜRETİM GİRİŞ"})) - VLOOKUP(C4173, 'STOK RAPORU'!$C$2:$I$1000, 4, 0))), 0)</f>
        <v>0</v>
      </c>
      <c r="U4173" s="22">
        <f t="shared" si="260"/>
        <v>0</v>
      </c>
      <c r="V4173">
        <f t="shared" si="261"/>
        <v>0</v>
      </c>
      <c r="W4173" s="22">
        <f t="shared" si="262"/>
        <v>0</v>
      </c>
    </row>
    <row r="4174" spans="1:23" hidden="1" x14ac:dyDescent="0.25">
      <c r="A4174" s="3">
        <v>46068</v>
      </c>
      <c r="B4174" s="46" t="s">
        <v>334</v>
      </c>
      <c r="C4174" s="4" t="s">
        <v>131</v>
      </c>
      <c r="D4174" s="4"/>
      <c r="E4174" s="4" t="s">
        <v>921</v>
      </c>
      <c r="F4174" s="46" t="s">
        <v>2096</v>
      </c>
      <c r="G4174" s="4" t="s">
        <v>336</v>
      </c>
      <c r="H4174" s="4" t="s">
        <v>380</v>
      </c>
      <c r="I4174" s="4">
        <v>4.4999999999999998E-2</v>
      </c>
      <c r="J4174" s="21">
        <v>400</v>
      </c>
      <c r="K4174" s="21">
        <v>18</v>
      </c>
      <c r="L4174" s="5">
        <v>0</v>
      </c>
      <c r="M4174" s="4"/>
      <c r="N4174" s="4"/>
      <c r="O4174" s="5"/>
      <c r="P4174" s="5"/>
      <c r="Q4174" s="21">
        <v>0</v>
      </c>
      <c r="R4174" s="21">
        <v>0</v>
      </c>
      <c r="S4174" s="5">
        <f t="shared" si="263"/>
        <v>55615.142997470874</v>
      </c>
      <c r="T4174" cm="1">
        <f t="array" ref="T4174">IF(OR(B4174="MAL ALIMI", B4174="ÜRETİM GİRİŞ"), MIN(I4174, MAX(0, I4174 + SUM(SUMIFS($I$1:I4173, $C$1:C4173, C4174, $B$1:B4173, {"MAL ALIMI","ÜRETİM GİRİŞ"})) - VLOOKUP(C4174, 'STOK RAPORU'!$C$2:$I$1000, 4, 0))), 0)</f>
        <v>0</v>
      </c>
      <c r="U4174" s="22">
        <f t="shared" si="260"/>
        <v>0</v>
      </c>
      <c r="V4174">
        <f t="shared" si="261"/>
        <v>0</v>
      </c>
      <c r="W4174" s="22">
        <f t="shared" si="262"/>
        <v>0</v>
      </c>
    </row>
    <row r="4175" spans="1:23" hidden="1" x14ac:dyDescent="0.25">
      <c r="A4175" s="3">
        <v>46068</v>
      </c>
      <c r="B4175" s="46" t="s">
        <v>334</v>
      </c>
      <c r="C4175" s="4" t="s">
        <v>1041</v>
      </c>
      <c r="D4175" s="4"/>
      <c r="E4175" s="4" t="s">
        <v>921</v>
      </c>
      <c r="F4175" s="46" t="s">
        <v>2096</v>
      </c>
      <c r="G4175" s="4" t="s">
        <v>336</v>
      </c>
      <c r="H4175" s="4" t="s">
        <v>380</v>
      </c>
      <c r="I4175" s="4">
        <v>0.56000000000000005</v>
      </c>
      <c r="J4175" s="21">
        <v>250</v>
      </c>
      <c r="K4175" s="21">
        <v>140</v>
      </c>
      <c r="L4175" s="5">
        <v>0</v>
      </c>
      <c r="M4175" s="4"/>
      <c r="N4175" s="4"/>
      <c r="O4175" s="5"/>
      <c r="P4175" s="5"/>
      <c r="Q4175" s="21">
        <v>0</v>
      </c>
      <c r="R4175" s="21">
        <v>0</v>
      </c>
      <c r="S4175" s="5">
        <f t="shared" si="263"/>
        <v>55615.142997470874</v>
      </c>
      <c r="T4175" cm="1">
        <f t="array" ref="T4175">IF(OR(B4175="MAL ALIMI", B4175="ÜRETİM GİRİŞ"), MIN(I4175, MAX(0, I4175 + SUM(SUMIFS($I$1:I4174, $C$1:C4174, C4175, $B$1:B4174, {"MAL ALIMI","ÜRETİM GİRİŞ"})) - VLOOKUP(C4175, 'STOK RAPORU'!$C$2:$I$1000, 4, 0))), 0)</f>
        <v>0</v>
      </c>
      <c r="U4175" s="22">
        <f t="shared" si="260"/>
        <v>0</v>
      </c>
      <c r="V4175">
        <f t="shared" si="261"/>
        <v>0</v>
      </c>
      <c r="W4175" s="22">
        <f t="shared" si="262"/>
        <v>0</v>
      </c>
    </row>
    <row r="4176" spans="1:23" hidden="1" x14ac:dyDescent="0.25">
      <c r="A4176" s="3">
        <v>46068</v>
      </c>
      <c r="B4176" s="46" t="s">
        <v>334</v>
      </c>
      <c r="C4176" s="4" t="s">
        <v>131</v>
      </c>
      <c r="D4176" s="4"/>
      <c r="E4176" s="4" t="s">
        <v>921</v>
      </c>
      <c r="F4176" s="46" t="s">
        <v>2097</v>
      </c>
      <c r="G4176" s="4" t="s">
        <v>336</v>
      </c>
      <c r="H4176" s="4" t="s">
        <v>380</v>
      </c>
      <c r="I4176" s="4">
        <v>4.7500000000000001E-2</v>
      </c>
      <c r="J4176" s="21">
        <v>400</v>
      </c>
      <c r="K4176" s="21">
        <v>19</v>
      </c>
      <c r="L4176" s="5">
        <v>0</v>
      </c>
      <c r="M4176" s="4"/>
      <c r="N4176" s="4"/>
      <c r="O4176" s="5"/>
      <c r="P4176" s="5"/>
      <c r="Q4176" s="21">
        <v>0</v>
      </c>
      <c r="R4176" s="21">
        <v>0</v>
      </c>
      <c r="S4176" s="5">
        <f t="shared" si="263"/>
        <v>55615.142997470874</v>
      </c>
      <c r="T4176" cm="1">
        <f t="array" ref="T4176">IF(OR(B4176="MAL ALIMI", B4176="ÜRETİM GİRİŞ"), MIN(I4176, MAX(0, I4176 + SUM(SUMIFS($I$1:I4175, $C$1:C4175, C4176, $B$1:B4175, {"MAL ALIMI","ÜRETİM GİRİŞ"})) - VLOOKUP(C4176, 'STOK RAPORU'!$C$2:$I$1000, 4, 0))), 0)</f>
        <v>0</v>
      </c>
      <c r="U4176" s="22">
        <f t="shared" si="260"/>
        <v>0</v>
      </c>
      <c r="V4176">
        <f t="shared" si="261"/>
        <v>0</v>
      </c>
      <c r="W4176" s="22">
        <f t="shared" si="262"/>
        <v>0</v>
      </c>
    </row>
    <row r="4177" spans="1:23" hidden="1" x14ac:dyDescent="0.25">
      <c r="A4177" s="3">
        <v>46068</v>
      </c>
      <c r="B4177" s="46" t="s">
        <v>334</v>
      </c>
      <c r="C4177" s="4" t="s">
        <v>129</v>
      </c>
      <c r="D4177" s="4"/>
      <c r="E4177" s="4" t="s">
        <v>921</v>
      </c>
      <c r="F4177" s="46" t="s">
        <v>2097</v>
      </c>
      <c r="G4177" s="4" t="s">
        <v>336</v>
      </c>
      <c r="H4177" s="4" t="s">
        <v>380</v>
      </c>
      <c r="I4177" s="4">
        <v>0.09</v>
      </c>
      <c r="J4177" s="21">
        <v>400</v>
      </c>
      <c r="K4177" s="21">
        <v>36</v>
      </c>
      <c r="L4177" s="5">
        <v>0</v>
      </c>
      <c r="M4177" s="4"/>
      <c r="N4177" s="4"/>
      <c r="O4177" s="5"/>
      <c r="P4177" s="5"/>
      <c r="Q4177" s="21">
        <v>0</v>
      </c>
      <c r="R4177" s="21">
        <v>0</v>
      </c>
      <c r="S4177" s="5">
        <f t="shared" si="263"/>
        <v>55615.142997470874</v>
      </c>
      <c r="T4177" cm="1">
        <f t="array" ref="T4177">IF(OR(B4177="MAL ALIMI", B4177="ÜRETİM GİRİŞ"), MIN(I4177, MAX(0, I4177 + SUM(SUMIFS($I$1:I4176, $C$1:C4176, C4177, $B$1:B4176, {"MAL ALIMI","ÜRETİM GİRİŞ"})) - VLOOKUP(C4177, 'STOK RAPORU'!$C$2:$I$1000, 4, 0))), 0)</f>
        <v>0</v>
      </c>
      <c r="U4177" s="22">
        <f t="shared" si="260"/>
        <v>0</v>
      </c>
      <c r="V4177">
        <f t="shared" si="261"/>
        <v>0</v>
      </c>
      <c r="W4177" s="22">
        <f t="shared" si="262"/>
        <v>0</v>
      </c>
    </row>
    <row r="4178" spans="1:23" hidden="1" x14ac:dyDescent="0.25">
      <c r="A4178" s="3">
        <v>46068</v>
      </c>
      <c r="B4178" s="46" t="s">
        <v>334</v>
      </c>
      <c r="C4178" s="4" t="s">
        <v>158</v>
      </c>
      <c r="D4178" s="4"/>
      <c r="E4178" s="4" t="s">
        <v>921</v>
      </c>
      <c r="F4178" s="46" t="s">
        <v>2097</v>
      </c>
      <c r="G4178" s="4" t="s">
        <v>336</v>
      </c>
      <c r="H4178" s="4" t="s">
        <v>380</v>
      </c>
      <c r="I4178" s="4">
        <v>1</v>
      </c>
      <c r="J4178" s="21">
        <v>75</v>
      </c>
      <c r="K4178" s="21">
        <v>75</v>
      </c>
      <c r="L4178" s="5">
        <v>0</v>
      </c>
      <c r="M4178" s="4"/>
      <c r="N4178" s="4"/>
      <c r="O4178" s="5"/>
      <c r="P4178" s="5"/>
      <c r="Q4178" s="21">
        <v>0</v>
      </c>
      <c r="R4178" s="21">
        <v>0</v>
      </c>
      <c r="S4178" s="5">
        <f t="shared" si="263"/>
        <v>55615.142997470874</v>
      </c>
      <c r="T4178" cm="1">
        <f t="array" ref="T4178">IF(OR(B4178="MAL ALIMI", B4178="ÜRETİM GİRİŞ"), MIN(I4178, MAX(0, I4178 + SUM(SUMIFS($I$1:I4177, $C$1:C4177, C4178, $B$1:B4177, {"MAL ALIMI","ÜRETİM GİRİŞ"})) - VLOOKUP(C4178, 'STOK RAPORU'!$C$2:$I$1000, 4, 0))), 0)</f>
        <v>0</v>
      </c>
      <c r="U4178" s="22">
        <f t="shared" si="260"/>
        <v>0</v>
      </c>
      <c r="V4178">
        <f t="shared" si="261"/>
        <v>0</v>
      </c>
      <c r="W4178" s="22">
        <f t="shared" si="262"/>
        <v>0</v>
      </c>
    </row>
    <row r="4179" spans="1:23" hidden="1" x14ac:dyDescent="0.25">
      <c r="A4179" s="3">
        <v>46068</v>
      </c>
      <c r="B4179" s="46" t="s">
        <v>334</v>
      </c>
      <c r="C4179" s="4" t="s">
        <v>160</v>
      </c>
      <c r="D4179" s="4"/>
      <c r="E4179" s="4" t="s">
        <v>921</v>
      </c>
      <c r="F4179" s="46" t="s">
        <v>2097</v>
      </c>
      <c r="G4179" s="4" t="s">
        <v>336</v>
      </c>
      <c r="H4179" s="4" t="s">
        <v>380</v>
      </c>
      <c r="I4179" s="4">
        <v>1</v>
      </c>
      <c r="J4179" s="21">
        <v>250</v>
      </c>
      <c r="K4179" s="21">
        <v>250</v>
      </c>
      <c r="L4179" s="5">
        <v>0</v>
      </c>
      <c r="M4179" s="4"/>
      <c r="N4179" s="4"/>
      <c r="O4179" s="5"/>
      <c r="P4179" s="5"/>
      <c r="Q4179" s="21">
        <v>0</v>
      </c>
      <c r="R4179" s="21">
        <v>0</v>
      </c>
      <c r="S4179" s="5">
        <f t="shared" si="263"/>
        <v>55615.142997470874</v>
      </c>
      <c r="T4179" cm="1">
        <f t="array" ref="T4179">IF(OR(B4179="MAL ALIMI", B4179="ÜRETİM GİRİŞ"), MIN(I4179, MAX(0, I4179 + SUM(SUMIFS($I$1:I4178, $C$1:C4178, C4179, $B$1:B4178, {"MAL ALIMI","ÜRETİM GİRİŞ"})) - VLOOKUP(C4179, 'STOK RAPORU'!$C$2:$I$1000, 4, 0))), 0)</f>
        <v>0</v>
      </c>
      <c r="U4179" s="22">
        <f t="shared" si="260"/>
        <v>0</v>
      </c>
      <c r="V4179">
        <f t="shared" si="261"/>
        <v>0</v>
      </c>
      <c r="W4179" s="22">
        <f t="shared" si="262"/>
        <v>0</v>
      </c>
    </row>
    <row r="4180" spans="1:23" hidden="1" x14ac:dyDescent="0.25">
      <c r="A4180" s="3">
        <v>46068</v>
      </c>
      <c r="B4180" s="46" t="s">
        <v>334</v>
      </c>
      <c r="C4180" s="4" t="s">
        <v>161</v>
      </c>
      <c r="D4180" s="4"/>
      <c r="E4180" s="4" t="s">
        <v>921</v>
      </c>
      <c r="F4180" s="46" t="s">
        <v>2097</v>
      </c>
      <c r="G4180" s="4" t="s">
        <v>336</v>
      </c>
      <c r="H4180" s="4" t="s">
        <v>380</v>
      </c>
      <c r="I4180" s="4">
        <v>1</v>
      </c>
      <c r="J4180" s="21">
        <v>230</v>
      </c>
      <c r="K4180" s="21">
        <v>230</v>
      </c>
      <c r="L4180" s="5">
        <v>0</v>
      </c>
      <c r="M4180" s="4"/>
      <c r="N4180" s="4"/>
      <c r="O4180" s="5"/>
      <c r="P4180" s="5"/>
      <c r="Q4180" s="21">
        <v>0</v>
      </c>
      <c r="R4180" s="21">
        <v>0</v>
      </c>
      <c r="S4180" s="5">
        <f t="shared" si="263"/>
        <v>55615.142997470874</v>
      </c>
      <c r="T4180" cm="1">
        <f t="array" ref="T4180">IF(OR(B4180="MAL ALIMI", B4180="ÜRETİM GİRİŞ"), MIN(I4180, MAX(0, I4180 + SUM(SUMIFS($I$1:I4179, $C$1:C4179, C4180, $B$1:B4179, {"MAL ALIMI","ÜRETİM GİRİŞ"})) - VLOOKUP(C4180, 'STOK RAPORU'!$C$2:$I$1000, 4, 0))), 0)</f>
        <v>0</v>
      </c>
      <c r="U4180" s="22">
        <f t="shared" si="260"/>
        <v>0</v>
      </c>
      <c r="V4180">
        <f t="shared" si="261"/>
        <v>0</v>
      </c>
      <c r="W4180" s="22">
        <f t="shared" si="262"/>
        <v>0</v>
      </c>
    </row>
    <row r="4181" spans="1:23" hidden="1" x14ac:dyDescent="0.25">
      <c r="A4181" s="3">
        <v>46068</v>
      </c>
      <c r="B4181" s="46" t="s">
        <v>334</v>
      </c>
      <c r="C4181" s="4" t="s">
        <v>1181</v>
      </c>
      <c r="D4181" s="4"/>
      <c r="E4181" s="4"/>
      <c r="F4181" s="46" t="s">
        <v>2098</v>
      </c>
      <c r="G4181" s="4" t="s">
        <v>336</v>
      </c>
      <c r="H4181" s="4" t="s">
        <v>289</v>
      </c>
      <c r="I4181" s="4">
        <v>1</v>
      </c>
      <c r="J4181" s="21">
        <v>440</v>
      </c>
      <c r="K4181" s="21">
        <v>0</v>
      </c>
      <c r="L4181" s="5">
        <v>0</v>
      </c>
      <c r="M4181" s="4"/>
      <c r="N4181" s="4"/>
      <c r="O4181" s="5"/>
      <c r="P4181" s="5"/>
      <c r="Q4181" s="21">
        <v>440</v>
      </c>
      <c r="R4181" s="21">
        <v>0</v>
      </c>
      <c r="S4181" s="5">
        <f t="shared" si="263"/>
        <v>56055.142997470874</v>
      </c>
      <c r="T4181" cm="1">
        <f t="array" ref="T4181">IF(OR(B4181="MAL ALIMI", B4181="ÜRETİM GİRİŞ"), MIN(I4181, MAX(0, I4181 + SUM(SUMIFS($I$1:I4180, $C$1:C4180, C4181, $B$1:B4180, {"MAL ALIMI","ÜRETİM GİRİŞ"})) - VLOOKUP(C4181, 'STOK RAPORU'!$C$2:$I$1000, 4, 0))), 0)</f>
        <v>0</v>
      </c>
      <c r="U4181" s="22">
        <f t="shared" si="260"/>
        <v>0</v>
      </c>
      <c r="V4181">
        <f t="shared" si="261"/>
        <v>0</v>
      </c>
      <c r="W4181" s="22">
        <f t="shared" si="262"/>
        <v>0</v>
      </c>
    </row>
    <row r="4182" spans="1:23" hidden="1" x14ac:dyDescent="0.25">
      <c r="A4182" s="3">
        <v>46068</v>
      </c>
      <c r="B4182" s="46" t="s">
        <v>334</v>
      </c>
      <c r="C4182" s="4" t="s">
        <v>2087</v>
      </c>
      <c r="D4182" s="4"/>
      <c r="E4182" s="4"/>
      <c r="F4182" s="46" t="s">
        <v>2099</v>
      </c>
      <c r="G4182" s="4" t="s">
        <v>336</v>
      </c>
      <c r="H4182" s="4" t="s">
        <v>289</v>
      </c>
      <c r="I4182" s="4">
        <v>1</v>
      </c>
      <c r="J4182" s="21">
        <v>350</v>
      </c>
      <c r="K4182" s="21">
        <v>0</v>
      </c>
      <c r="L4182" s="5">
        <v>0</v>
      </c>
      <c r="M4182" s="4"/>
      <c r="N4182" s="4"/>
      <c r="O4182" s="5"/>
      <c r="P4182" s="5"/>
      <c r="Q4182" s="21">
        <v>350</v>
      </c>
      <c r="R4182" s="21">
        <v>0</v>
      </c>
      <c r="S4182" s="5">
        <f t="shared" si="263"/>
        <v>56405.142997470874</v>
      </c>
      <c r="T4182" cm="1">
        <f t="array" ref="T4182">IF(OR(B4182="MAL ALIMI", B4182="ÜRETİM GİRİŞ"), MIN(I4182, MAX(0, I4182 + SUM(SUMIFS($I$1:I4181, $C$1:C4181, C4182, $B$1:B4181, {"MAL ALIMI","ÜRETİM GİRİŞ"})) - VLOOKUP(C4182, 'STOK RAPORU'!$C$2:$I$1000, 4, 0))), 0)</f>
        <v>0</v>
      </c>
      <c r="U4182" s="22">
        <f t="shared" si="260"/>
        <v>0</v>
      </c>
      <c r="V4182">
        <f t="shared" si="261"/>
        <v>0</v>
      </c>
      <c r="W4182" s="22">
        <f t="shared" si="262"/>
        <v>0</v>
      </c>
    </row>
    <row r="4183" spans="1:23" hidden="1" x14ac:dyDescent="0.25">
      <c r="A4183" s="3">
        <v>46068</v>
      </c>
      <c r="B4183" s="46" t="s">
        <v>334</v>
      </c>
      <c r="C4183" s="4" t="s">
        <v>60</v>
      </c>
      <c r="D4183" s="4"/>
      <c r="E4183" s="4"/>
      <c r="F4183" s="46" t="s">
        <v>2099</v>
      </c>
      <c r="G4183" s="4" t="s">
        <v>336</v>
      </c>
      <c r="H4183" s="4" t="s">
        <v>289</v>
      </c>
      <c r="I4183" s="4">
        <v>0.1</v>
      </c>
      <c r="J4183" s="21">
        <v>1000</v>
      </c>
      <c r="K4183" s="21">
        <v>0</v>
      </c>
      <c r="L4183" s="5">
        <v>0</v>
      </c>
      <c r="M4183" s="4"/>
      <c r="N4183" s="4"/>
      <c r="O4183" s="5"/>
      <c r="P4183" s="5"/>
      <c r="Q4183" s="21">
        <v>100</v>
      </c>
      <c r="R4183" s="21">
        <v>0</v>
      </c>
      <c r="S4183" s="5">
        <f t="shared" si="263"/>
        <v>56505.142997470874</v>
      </c>
      <c r="T4183" cm="1">
        <f t="array" ref="T4183">IF(OR(B4183="MAL ALIMI", B4183="ÜRETİM GİRİŞ"), MIN(I4183, MAX(0, I4183 + SUM(SUMIFS($I$1:I4182, $C$1:C4182, C4183, $B$1:B4182, {"MAL ALIMI","ÜRETİM GİRİŞ"})) - VLOOKUP(C4183, 'STOK RAPORU'!$C$2:$I$1000, 4, 0))), 0)</f>
        <v>0</v>
      </c>
      <c r="U4183" s="22">
        <f t="shared" si="260"/>
        <v>0</v>
      </c>
      <c r="V4183">
        <f t="shared" si="261"/>
        <v>0</v>
      </c>
      <c r="W4183" s="22">
        <f t="shared" si="262"/>
        <v>0</v>
      </c>
    </row>
    <row r="4184" spans="1:23" hidden="1" x14ac:dyDescent="0.25">
      <c r="A4184" s="3">
        <v>46068</v>
      </c>
      <c r="B4184" s="46" t="s">
        <v>334</v>
      </c>
      <c r="C4184" s="4" t="s">
        <v>1634</v>
      </c>
      <c r="D4184" s="4"/>
      <c r="E4184" s="4"/>
      <c r="F4184" s="46" t="s">
        <v>2100</v>
      </c>
      <c r="G4184" s="4" t="s">
        <v>336</v>
      </c>
      <c r="H4184" s="4" t="s">
        <v>289</v>
      </c>
      <c r="I4184" s="4">
        <v>1.5</v>
      </c>
      <c r="J4184" s="21">
        <v>300</v>
      </c>
      <c r="K4184" s="21">
        <v>0</v>
      </c>
      <c r="L4184" s="5">
        <v>0</v>
      </c>
      <c r="M4184" s="4"/>
      <c r="N4184" s="4"/>
      <c r="O4184" s="5"/>
      <c r="P4184" s="5"/>
      <c r="Q4184" s="21">
        <v>450</v>
      </c>
      <c r="R4184" s="21">
        <v>0</v>
      </c>
      <c r="S4184" s="5">
        <f t="shared" si="263"/>
        <v>56955.142997470874</v>
      </c>
      <c r="T4184" cm="1">
        <f t="array" ref="T4184">IF(OR(B4184="MAL ALIMI", B4184="ÜRETİM GİRİŞ"), MIN(I4184, MAX(0, I4184 + SUM(SUMIFS($I$1:I4183, $C$1:C4183, C4184, $B$1:B4183, {"MAL ALIMI","ÜRETİM GİRİŞ"})) - VLOOKUP(C4184, 'STOK RAPORU'!$C$2:$I$1000, 4, 0))), 0)</f>
        <v>0</v>
      </c>
      <c r="U4184" s="22">
        <f t="shared" si="260"/>
        <v>0</v>
      </c>
      <c r="V4184">
        <f t="shared" si="261"/>
        <v>0</v>
      </c>
      <c r="W4184" s="22">
        <f t="shared" si="262"/>
        <v>0</v>
      </c>
    </row>
    <row r="4185" spans="1:23" hidden="1" x14ac:dyDescent="0.25">
      <c r="A4185" s="45">
        <v>46068</v>
      </c>
      <c r="B4185" s="46" t="s">
        <v>334</v>
      </c>
      <c r="C4185" s="46" t="s">
        <v>2086</v>
      </c>
      <c r="D4185" s="46"/>
      <c r="E4185" s="46"/>
      <c r="F4185" s="46" t="s">
        <v>2101</v>
      </c>
      <c r="G4185" s="46" t="s">
        <v>1882</v>
      </c>
      <c r="H4185" s="46" t="s">
        <v>289</v>
      </c>
      <c r="I4185" s="46">
        <v>0.1</v>
      </c>
      <c r="J4185" s="47">
        <v>900</v>
      </c>
      <c r="K4185" s="47">
        <v>0</v>
      </c>
      <c r="L4185" s="48">
        <v>0</v>
      </c>
      <c r="M4185" s="42"/>
      <c r="N4185" s="42"/>
      <c r="O4185" s="44"/>
      <c r="P4185" s="44"/>
      <c r="Q4185" s="47">
        <v>90</v>
      </c>
      <c r="R4185" s="47">
        <v>0</v>
      </c>
      <c r="S4185" s="5">
        <f t="shared" si="263"/>
        <v>57045.142997470874</v>
      </c>
      <c r="T4185" cm="1">
        <f t="array" ref="T4185">IF(OR(B4185="MAL ALIMI", B4185="ÜRETİM GİRİŞ"), MIN(I4185, MAX(0, I4185 + SUM(SUMIFS($I$1:I4184, $C$1:C4184, C4185, $B$1:B4184, {"MAL ALIMI","ÜRETİM GİRİŞ"})) - VLOOKUP(C4185, 'STOK RAPORU'!$C$2:$I$1000, 4, 0))), 0)</f>
        <v>0</v>
      </c>
      <c r="U4185" s="22">
        <f t="shared" si="260"/>
        <v>0</v>
      </c>
      <c r="V4185">
        <f t="shared" si="261"/>
        <v>0</v>
      </c>
      <c r="W4185" s="22">
        <f t="shared" si="262"/>
        <v>0</v>
      </c>
    </row>
    <row r="4186" spans="1:23" hidden="1" x14ac:dyDescent="0.25">
      <c r="A4186" s="3">
        <v>46068</v>
      </c>
      <c r="B4186" s="46" t="s">
        <v>334</v>
      </c>
      <c r="C4186" s="4" t="s">
        <v>2086</v>
      </c>
      <c r="D4186" s="4"/>
      <c r="E4186" s="4"/>
      <c r="F4186" s="46" t="s">
        <v>2102</v>
      </c>
      <c r="G4186" s="4" t="s">
        <v>336</v>
      </c>
      <c r="H4186" s="4" t="s">
        <v>289</v>
      </c>
      <c r="I4186" s="4">
        <v>0.1</v>
      </c>
      <c r="J4186" s="21">
        <v>900</v>
      </c>
      <c r="K4186" s="21">
        <v>0</v>
      </c>
      <c r="L4186" s="5">
        <v>0</v>
      </c>
      <c r="M4186" s="4"/>
      <c r="N4186" s="4"/>
      <c r="O4186" s="5"/>
      <c r="P4186" s="5"/>
      <c r="Q4186" s="21">
        <v>90</v>
      </c>
      <c r="R4186" s="21">
        <v>0</v>
      </c>
      <c r="S4186" s="5">
        <f t="shared" si="263"/>
        <v>57135.142997470874</v>
      </c>
      <c r="T4186" cm="1">
        <f t="array" ref="T4186">IF(OR(B4186="MAL ALIMI", B4186="ÜRETİM GİRİŞ"), MIN(I4186, MAX(0, I4186 + SUM(SUMIFS($I$1:I4185, $C$1:C4185, C4186, $B$1:B4185, {"MAL ALIMI","ÜRETİM GİRİŞ"})) - VLOOKUP(C4186, 'STOK RAPORU'!$C$2:$I$1000, 4, 0))), 0)</f>
        <v>0</v>
      </c>
      <c r="U4186" s="22">
        <f t="shared" si="260"/>
        <v>0</v>
      </c>
      <c r="V4186">
        <f t="shared" si="261"/>
        <v>0</v>
      </c>
      <c r="W4186" s="22">
        <f t="shared" si="262"/>
        <v>0</v>
      </c>
    </row>
    <row r="4187" spans="1:23" hidden="1" x14ac:dyDescent="0.25">
      <c r="A4187" s="3">
        <v>46068</v>
      </c>
      <c r="B4187" s="46" t="s">
        <v>334</v>
      </c>
      <c r="C4187" s="4" t="s">
        <v>195</v>
      </c>
      <c r="D4187" s="4"/>
      <c r="E4187" s="4"/>
      <c r="F4187" s="46" t="s">
        <v>2102</v>
      </c>
      <c r="G4187" s="4" t="s">
        <v>336</v>
      </c>
      <c r="H4187" s="4" t="s">
        <v>289</v>
      </c>
      <c r="I4187" s="4">
        <v>0.05</v>
      </c>
      <c r="J4187" s="21">
        <v>1000</v>
      </c>
      <c r="K4187" s="21">
        <v>0</v>
      </c>
      <c r="L4187" s="5">
        <v>0</v>
      </c>
      <c r="M4187" s="4"/>
      <c r="N4187" s="4"/>
      <c r="O4187" s="5"/>
      <c r="P4187" s="5"/>
      <c r="Q4187" s="21">
        <v>50</v>
      </c>
      <c r="R4187" s="21">
        <v>0</v>
      </c>
      <c r="S4187" s="5">
        <f t="shared" si="263"/>
        <v>57185.142997470874</v>
      </c>
      <c r="T4187" cm="1">
        <f t="array" ref="T4187">IF(OR(B4187="MAL ALIMI", B4187="ÜRETİM GİRİŞ"), MIN(I4187, MAX(0, I4187 + SUM(SUMIFS($I$1:I4186, $C$1:C4186, C4187, $B$1:B4186, {"MAL ALIMI","ÜRETİM GİRİŞ"})) - VLOOKUP(C4187, 'STOK RAPORU'!$C$2:$I$1000, 4, 0))), 0)</f>
        <v>0</v>
      </c>
      <c r="U4187" s="22">
        <f t="shared" si="260"/>
        <v>0</v>
      </c>
      <c r="V4187">
        <f t="shared" si="261"/>
        <v>0</v>
      </c>
      <c r="W4187" s="22">
        <f t="shared" si="262"/>
        <v>0</v>
      </c>
    </row>
    <row r="4188" spans="1:23" hidden="1" x14ac:dyDescent="0.25">
      <c r="A4188" s="3">
        <v>46068</v>
      </c>
      <c r="B4188" s="4" t="s">
        <v>946</v>
      </c>
      <c r="C4188" s="4"/>
      <c r="D4188" s="4"/>
      <c r="E4188" s="4" t="s">
        <v>921</v>
      </c>
      <c r="F4188" s="4"/>
      <c r="G4188" s="4" t="s">
        <v>946</v>
      </c>
      <c r="H4188" s="4" t="s">
        <v>380</v>
      </c>
      <c r="I4188" s="4">
        <v>1</v>
      </c>
      <c r="J4188" s="105">
        <v>970</v>
      </c>
      <c r="K4188" s="21">
        <v>0</v>
      </c>
      <c r="L4188" s="111">
        <v>970</v>
      </c>
      <c r="M4188" s="4"/>
      <c r="N4188" s="4"/>
      <c r="O4188" s="5"/>
      <c r="P4188" s="5"/>
      <c r="Q4188" s="21">
        <v>970</v>
      </c>
      <c r="R4188" s="21">
        <v>0</v>
      </c>
      <c r="S4188" s="5">
        <f t="shared" si="263"/>
        <v>58155.142997470874</v>
      </c>
      <c r="T4188" cm="1">
        <f t="array" ref="T4188">IF(OR(B4188="MAL ALIMI", B4188="ÜRETİM GİRİŞ"), MIN(I4188, MAX(0, I4188 + SUM(SUMIFS($I$1:I4187, $C$1:C4187, C4188, $B$1:B4187, {"MAL ALIMI","ÜRETİM GİRİŞ"})) - VLOOKUP(C4188, 'STOK RAPORU'!$C$2:$I$1000, 4, 0))), 0)</f>
        <v>0</v>
      </c>
      <c r="U4188" s="22">
        <f t="shared" si="260"/>
        <v>0</v>
      </c>
      <c r="V4188">
        <f t="shared" si="261"/>
        <v>0</v>
      </c>
      <c r="W4188" s="22">
        <f t="shared" si="262"/>
        <v>0</v>
      </c>
    </row>
    <row r="4189" spans="1:23" hidden="1" x14ac:dyDescent="0.25">
      <c r="A4189" s="3">
        <v>46069</v>
      </c>
      <c r="B4189" s="46" t="s">
        <v>334</v>
      </c>
      <c r="C4189" s="4" t="s">
        <v>1120</v>
      </c>
      <c r="D4189" s="4"/>
      <c r="E4189" s="4"/>
      <c r="F4189" s="46" t="s">
        <v>2103</v>
      </c>
      <c r="G4189" s="4" t="s">
        <v>336</v>
      </c>
      <c r="H4189" s="4" t="s">
        <v>289</v>
      </c>
      <c r="I4189" s="4">
        <v>1</v>
      </c>
      <c r="J4189" s="21">
        <v>205</v>
      </c>
      <c r="K4189" s="21">
        <v>0</v>
      </c>
      <c r="L4189" s="5">
        <v>0</v>
      </c>
      <c r="M4189" s="4"/>
      <c r="N4189" s="4"/>
      <c r="O4189" s="5"/>
      <c r="P4189" s="5"/>
      <c r="Q4189" s="21">
        <v>205</v>
      </c>
      <c r="R4189" s="21">
        <v>0</v>
      </c>
      <c r="S4189" s="5">
        <f t="shared" si="263"/>
        <v>58360.142997470874</v>
      </c>
      <c r="T4189" cm="1">
        <f t="array" ref="T4189">IF(OR(B4189="MAL ALIMI", B4189="ÜRETİM GİRİŞ"), MIN(I4189, MAX(0, I4189 + SUM(SUMIFS($I$1:I4188, $C$1:C4188, C4189, $B$1:B4188, {"MAL ALIMI","ÜRETİM GİRİŞ"})) - VLOOKUP(C4189, 'STOK RAPORU'!$C$2:$I$1000, 4, 0))), 0)</f>
        <v>0</v>
      </c>
      <c r="U4189" s="22">
        <f t="shared" si="260"/>
        <v>0</v>
      </c>
      <c r="V4189">
        <f t="shared" si="261"/>
        <v>0</v>
      </c>
      <c r="W4189" s="22">
        <f t="shared" si="262"/>
        <v>0</v>
      </c>
    </row>
    <row r="4190" spans="1:23" hidden="1" x14ac:dyDescent="0.25">
      <c r="A4190" s="3">
        <v>46069</v>
      </c>
      <c r="B4190" s="46" t="s">
        <v>334</v>
      </c>
      <c r="C4190" s="4" t="s">
        <v>218</v>
      </c>
      <c r="D4190" s="4"/>
      <c r="E4190" s="4"/>
      <c r="F4190" s="46" t="s">
        <v>2103</v>
      </c>
      <c r="G4190" s="4" t="s">
        <v>336</v>
      </c>
      <c r="H4190" s="4" t="s">
        <v>289</v>
      </c>
      <c r="I4190" s="4">
        <v>1</v>
      </c>
      <c r="J4190" s="21">
        <v>340</v>
      </c>
      <c r="K4190" s="21">
        <v>0</v>
      </c>
      <c r="L4190" s="5">
        <v>0</v>
      </c>
      <c r="M4190" s="4"/>
      <c r="N4190" s="4"/>
      <c r="O4190" s="5"/>
      <c r="P4190" s="5"/>
      <c r="Q4190" s="21">
        <v>340</v>
      </c>
      <c r="R4190" s="21">
        <v>0</v>
      </c>
      <c r="S4190" s="5">
        <f t="shared" si="263"/>
        <v>58700.142997470874</v>
      </c>
      <c r="T4190" cm="1">
        <f t="array" ref="T4190">IF(OR(B4190="MAL ALIMI", B4190="ÜRETİM GİRİŞ"), MIN(I4190, MAX(0, I4190 + SUM(SUMIFS($I$1:I4189, $C$1:C4189, C4190, $B$1:B4189, {"MAL ALIMI","ÜRETİM GİRİŞ"})) - VLOOKUP(C4190, 'STOK RAPORU'!$C$2:$I$1000, 4, 0))), 0)</f>
        <v>0</v>
      </c>
      <c r="U4190" s="22">
        <f t="shared" si="260"/>
        <v>0</v>
      </c>
      <c r="V4190">
        <f t="shared" si="261"/>
        <v>0</v>
      </c>
      <c r="W4190" s="22">
        <f t="shared" si="262"/>
        <v>0</v>
      </c>
    </row>
    <row r="4191" spans="1:23" hidden="1" x14ac:dyDescent="0.25">
      <c r="A4191" s="3">
        <v>46069</v>
      </c>
      <c r="B4191" s="46" t="s">
        <v>334</v>
      </c>
      <c r="C4191" s="4" t="s">
        <v>3167</v>
      </c>
      <c r="D4191" s="4"/>
      <c r="E4191" s="4"/>
      <c r="F4191" s="46" t="s">
        <v>2103</v>
      </c>
      <c r="G4191" s="4" t="s">
        <v>336</v>
      </c>
      <c r="H4191" s="4" t="s">
        <v>289</v>
      </c>
      <c r="I4191" s="4">
        <v>0.35</v>
      </c>
      <c r="J4191" s="21">
        <v>350</v>
      </c>
      <c r="K4191" s="21">
        <v>0</v>
      </c>
      <c r="L4191" s="5">
        <v>0</v>
      </c>
      <c r="M4191" s="4"/>
      <c r="N4191" s="4"/>
      <c r="O4191" s="5"/>
      <c r="P4191" s="5"/>
      <c r="Q4191" s="21">
        <v>122.49999999999999</v>
      </c>
      <c r="R4191" s="21">
        <v>0</v>
      </c>
      <c r="S4191" s="5">
        <f t="shared" si="263"/>
        <v>58822.642997470874</v>
      </c>
      <c r="T4191" cm="1">
        <f t="array" ref="T4191">IF(OR(B4191="MAL ALIMI", B4191="ÜRETİM GİRİŞ"), MIN(I4191, MAX(0, I4191 + SUM(SUMIFS($I$1:I4190, $C$1:C4190, C4191, $B$1:B4190, {"MAL ALIMI","ÜRETİM GİRİŞ"})) - VLOOKUP(C4191, 'STOK RAPORU'!$C$2:$I$1000, 4, 0))), 0)</f>
        <v>0</v>
      </c>
      <c r="U4191" s="22">
        <f t="shared" si="260"/>
        <v>0</v>
      </c>
      <c r="V4191">
        <f t="shared" si="261"/>
        <v>0</v>
      </c>
      <c r="W4191" s="22">
        <f t="shared" si="262"/>
        <v>0</v>
      </c>
    </row>
    <row r="4192" spans="1:23" hidden="1" x14ac:dyDescent="0.25">
      <c r="A4192" s="3">
        <v>46069</v>
      </c>
      <c r="B4192" s="46" t="s">
        <v>334</v>
      </c>
      <c r="C4192" s="4" t="s">
        <v>92</v>
      </c>
      <c r="D4192" s="4"/>
      <c r="E4192" s="4"/>
      <c r="F4192" s="46" t="s">
        <v>2103</v>
      </c>
      <c r="G4192" s="4" t="s">
        <v>336</v>
      </c>
      <c r="H4192" s="4" t="s">
        <v>289</v>
      </c>
      <c r="I4192" s="4">
        <v>0.23799999999999999</v>
      </c>
      <c r="J4192" s="21">
        <v>500</v>
      </c>
      <c r="K4192" s="21">
        <v>0</v>
      </c>
      <c r="L4192" s="5">
        <v>0</v>
      </c>
      <c r="M4192" s="4"/>
      <c r="N4192" s="4"/>
      <c r="O4192" s="5"/>
      <c r="P4192" s="5"/>
      <c r="Q4192" s="21">
        <v>119</v>
      </c>
      <c r="R4192" s="21">
        <v>0</v>
      </c>
      <c r="S4192" s="5">
        <f t="shared" si="263"/>
        <v>58941.642997470874</v>
      </c>
      <c r="T4192" cm="1">
        <f t="array" ref="T4192">IF(OR(B4192="MAL ALIMI", B4192="ÜRETİM GİRİŞ"), MIN(I4192, MAX(0, I4192 + SUM(SUMIFS($I$1:I4191, $C$1:C4191, C4192, $B$1:B4191, {"MAL ALIMI","ÜRETİM GİRİŞ"})) - VLOOKUP(C4192, 'STOK RAPORU'!$C$2:$I$1000, 4, 0))), 0)</f>
        <v>0</v>
      </c>
      <c r="U4192" s="22">
        <f t="shared" si="260"/>
        <v>0</v>
      </c>
      <c r="V4192">
        <f t="shared" si="261"/>
        <v>0</v>
      </c>
      <c r="W4192" s="22">
        <f t="shared" si="262"/>
        <v>0</v>
      </c>
    </row>
    <row r="4193" spans="1:23" hidden="1" x14ac:dyDescent="0.25">
      <c r="A4193" s="3">
        <v>46069</v>
      </c>
      <c r="B4193" s="46" t="s">
        <v>334</v>
      </c>
      <c r="C4193" s="4" t="s">
        <v>129</v>
      </c>
      <c r="D4193" s="4"/>
      <c r="E4193" s="4"/>
      <c r="F4193" s="46" t="s">
        <v>2103</v>
      </c>
      <c r="G4193" s="4" t="s">
        <v>336</v>
      </c>
      <c r="H4193" s="4" t="s">
        <v>289</v>
      </c>
      <c r="I4193" s="4">
        <v>0.78</v>
      </c>
      <c r="J4193" s="21">
        <v>400</v>
      </c>
      <c r="K4193" s="21">
        <v>0</v>
      </c>
      <c r="L4193" s="5">
        <v>0</v>
      </c>
      <c r="M4193" s="4"/>
      <c r="N4193" s="4"/>
      <c r="O4193" s="5"/>
      <c r="P4193" s="5"/>
      <c r="Q4193" s="21">
        <v>312</v>
      </c>
      <c r="R4193" s="21">
        <v>0</v>
      </c>
      <c r="S4193" s="5">
        <f t="shared" si="263"/>
        <v>59253.642997470874</v>
      </c>
      <c r="T4193" cm="1">
        <f t="array" ref="T4193">IF(OR(B4193="MAL ALIMI", B4193="ÜRETİM GİRİŞ"), MIN(I4193, MAX(0, I4193 + SUM(SUMIFS($I$1:I4192, $C$1:C4192, C4193, $B$1:B4192, {"MAL ALIMI","ÜRETİM GİRİŞ"})) - VLOOKUP(C4193, 'STOK RAPORU'!$C$2:$I$1000, 4, 0))), 0)</f>
        <v>0</v>
      </c>
      <c r="U4193" s="22">
        <f t="shared" si="260"/>
        <v>0</v>
      </c>
      <c r="V4193">
        <f t="shared" si="261"/>
        <v>0</v>
      </c>
      <c r="W4193" s="22">
        <f t="shared" si="262"/>
        <v>0</v>
      </c>
    </row>
    <row r="4194" spans="1:23" hidden="1" x14ac:dyDescent="0.25">
      <c r="A4194" s="3">
        <v>46069</v>
      </c>
      <c r="B4194" s="46" t="s">
        <v>334</v>
      </c>
      <c r="C4194" s="4" t="s">
        <v>266</v>
      </c>
      <c r="D4194" s="4"/>
      <c r="E4194" s="4"/>
      <c r="F4194" s="46" t="s">
        <v>2103</v>
      </c>
      <c r="G4194" s="4" t="s">
        <v>336</v>
      </c>
      <c r="H4194" s="4" t="s">
        <v>289</v>
      </c>
      <c r="I4194" s="4">
        <v>0.38</v>
      </c>
      <c r="J4194" s="21">
        <v>250</v>
      </c>
      <c r="K4194" s="21">
        <v>0</v>
      </c>
      <c r="L4194" s="5">
        <v>0</v>
      </c>
      <c r="M4194" s="4"/>
      <c r="N4194" s="4"/>
      <c r="O4194" s="5"/>
      <c r="P4194" s="5"/>
      <c r="Q4194" s="21">
        <v>95</v>
      </c>
      <c r="R4194" s="21">
        <v>0</v>
      </c>
      <c r="S4194" s="5">
        <f t="shared" si="263"/>
        <v>59348.642997470874</v>
      </c>
      <c r="T4194" cm="1">
        <f t="array" ref="T4194">IF(OR(B4194="MAL ALIMI", B4194="ÜRETİM GİRİŞ"), MIN(I4194, MAX(0, I4194 + SUM(SUMIFS($I$1:I4193, $C$1:C4193, C4194, $B$1:B4193, {"MAL ALIMI","ÜRETİM GİRİŞ"})) - VLOOKUP(C4194, 'STOK RAPORU'!$C$2:$I$1000, 4, 0))), 0)</f>
        <v>0</v>
      </c>
      <c r="U4194" s="22">
        <f t="shared" si="260"/>
        <v>0</v>
      </c>
      <c r="V4194">
        <f t="shared" si="261"/>
        <v>0</v>
      </c>
      <c r="W4194" s="22">
        <f t="shared" si="262"/>
        <v>0</v>
      </c>
    </row>
    <row r="4195" spans="1:23" hidden="1" x14ac:dyDescent="0.25">
      <c r="A4195" s="3">
        <v>46069</v>
      </c>
      <c r="B4195" s="46" t="s">
        <v>334</v>
      </c>
      <c r="C4195" s="4" t="s">
        <v>219</v>
      </c>
      <c r="D4195" s="4"/>
      <c r="E4195" s="4"/>
      <c r="F4195" s="46" t="s">
        <v>2103</v>
      </c>
      <c r="G4195" s="4" t="s">
        <v>336</v>
      </c>
      <c r="H4195" s="4" t="s">
        <v>289</v>
      </c>
      <c r="I4195" s="4">
        <v>0.05</v>
      </c>
      <c r="J4195" s="21">
        <v>1000</v>
      </c>
      <c r="K4195" s="21">
        <v>0</v>
      </c>
      <c r="L4195" s="5">
        <v>0</v>
      </c>
      <c r="M4195" s="4"/>
      <c r="N4195" s="4"/>
      <c r="O4195" s="5"/>
      <c r="P4195" s="5"/>
      <c r="Q4195" s="21">
        <v>50</v>
      </c>
      <c r="R4195" s="21">
        <v>0</v>
      </c>
      <c r="S4195" s="5">
        <f t="shared" si="263"/>
        <v>59398.642997470874</v>
      </c>
      <c r="T4195" cm="1">
        <f t="array" ref="T4195">IF(OR(B4195="MAL ALIMI", B4195="ÜRETİM GİRİŞ"), MIN(I4195, MAX(0, I4195 + SUM(SUMIFS($I$1:I4194, $C$1:C4194, C4195, $B$1:B4194, {"MAL ALIMI","ÜRETİM GİRİŞ"})) - VLOOKUP(C4195, 'STOK RAPORU'!$C$2:$I$1000, 4, 0))), 0)</f>
        <v>0</v>
      </c>
      <c r="U4195" s="22">
        <f t="shared" si="260"/>
        <v>0</v>
      </c>
      <c r="V4195">
        <f t="shared" si="261"/>
        <v>0</v>
      </c>
      <c r="W4195" s="22">
        <f t="shared" si="262"/>
        <v>0</v>
      </c>
    </row>
    <row r="4196" spans="1:23" hidden="1" x14ac:dyDescent="0.25">
      <c r="A4196" s="3">
        <v>46069</v>
      </c>
      <c r="B4196" s="46" t="s">
        <v>334</v>
      </c>
      <c r="C4196" s="4" t="s">
        <v>161</v>
      </c>
      <c r="D4196" s="4"/>
      <c r="E4196" s="4"/>
      <c r="F4196" s="46" t="s">
        <v>2103</v>
      </c>
      <c r="G4196" s="4" t="s">
        <v>336</v>
      </c>
      <c r="H4196" s="4" t="s">
        <v>289</v>
      </c>
      <c r="I4196" s="4">
        <v>0.7</v>
      </c>
      <c r="J4196" s="21">
        <v>210</v>
      </c>
      <c r="K4196" s="21">
        <v>0</v>
      </c>
      <c r="L4196" s="5">
        <v>0</v>
      </c>
      <c r="M4196" s="4"/>
      <c r="N4196" s="4"/>
      <c r="O4196" s="5"/>
      <c r="P4196" s="5"/>
      <c r="Q4196" s="21">
        <v>147</v>
      </c>
      <c r="R4196" s="21">
        <v>0</v>
      </c>
      <c r="S4196" s="5">
        <f t="shared" si="263"/>
        <v>59545.642997470874</v>
      </c>
      <c r="T4196" cm="1">
        <f t="array" ref="T4196">IF(OR(B4196="MAL ALIMI", B4196="ÜRETİM GİRİŞ"), MIN(I4196, MAX(0, I4196 + SUM(SUMIFS($I$1:I4195, $C$1:C4195, C4196, $B$1:B4195, {"MAL ALIMI","ÜRETİM GİRİŞ"})) - VLOOKUP(C4196, 'STOK RAPORU'!$C$2:$I$1000, 4, 0))), 0)</f>
        <v>0</v>
      </c>
      <c r="U4196" s="22">
        <f t="shared" si="260"/>
        <v>0</v>
      </c>
      <c r="V4196">
        <f t="shared" si="261"/>
        <v>0</v>
      </c>
      <c r="W4196" s="22">
        <f t="shared" si="262"/>
        <v>0</v>
      </c>
    </row>
    <row r="4197" spans="1:23" hidden="1" x14ac:dyDescent="0.25">
      <c r="A4197" s="3">
        <v>46069</v>
      </c>
      <c r="B4197" s="46" t="s">
        <v>334</v>
      </c>
      <c r="C4197" s="4" t="s">
        <v>160</v>
      </c>
      <c r="D4197" s="4"/>
      <c r="E4197" s="4"/>
      <c r="F4197" s="46" t="s">
        <v>2103</v>
      </c>
      <c r="G4197" s="4" t="s">
        <v>336</v>
      </c>
      <c r="H4197" s="4" t="s">
        <v>289</v>
      </c>
      <c r="I4197" s="4">
        <v>0.5</v>
      </c>
      <c r="J4197" s="21">
        <v>230</v>
      </c>
      <c r="K4197" s="21">
        <v>0</v>
      </c>
      <c r="L4197" s="5">
        <v>0</v>
      </c>
      <c r="M4197" s="4"/>
      <c r="N4197" s="4"/>
      <c r="O4197" s="5"/>
      <c r="P4197" s="5"/>
      <c r="Q4197" s="21">
        <v>115</v>
      </c>
      <c r="R4197" s="21">
        <v>0</v>
      </c>
      <c r="S4197" s="5">
        <f t="shared" si="263"/>
        <v>59660.642997470874</v>
      </c>
      <c r="T4197" cm="1">
        <f t="array" ref="T4197">IF(OR(B4197="MAL ALIMI", B4197="ÜRETİM GİRİŞ"), MIN(I4197, MAX(0, I4197 + SUM(SUMIFS($I$1:I4196, $C$1:C4196, C4197, $B$1:B4196, {"MAL ALIMI","ÜRETİM GİRİŞ"})) - VLOOKUP(C4197, 'STOK RAPORU'!$C$2:$I$1000, 4, 0))), 0)</f>
        <v>0</v>
      </c>
      <c r="U4197" s="22">
        <f t="shared" si="260"/>
        <v>0</v>
      </c>
      <c r="V4197">
        <f t="shared" si="261"/>
        <v>0</v>
      </c>
      <c r="W4197" s="22">
        <f t="shared" si="262"/>
        <v>0</v>
      </c>
    </row>
    <row r="4198" spans="1:23" hidden="1" x14ac:dyDescent="0.25">
      <c r="A4198" s="3">
        <v>46069</v>
      </c>
      <c r="B4198" s="46" t="s">
        <v>334</v>
      </c>
      <c r="C4198" s="4" t="s">
        <v>160</v>
      </c>
      <c r="D4198" s="4"/>
      <c r="E4198" s="4" t="s">
        <v>921</v>
      </c>
      <c r="F4198" s="46" t="s">
        <v>2104</v>
      </c>
      <c r="G4198" s="4" t="s">
        <v>336</v>
      </c>
      <c r="H4198" s="4" t="s">
        <v>380</v>
      </c>
      <c r="I4198" s="4">
        <v>1</v>
      </c>
      <c r="J4198" s="21">
        <v>250</v>
      </c>
      <c r="K4198" s="21">
        <v>250</v>
      </c>
      <c r="L4198" s="5">
        <v>0</v>
      </c>
      <c r="M4198" s="4"/>
      <c r="N4198" s="4"/>
      <c r="O4198" s="5"/>
      <c r="P4198" s="5"/>
      <c r="Q4198" s="21">
        <v>0</v>
      </c>
      <c r="R4198" s="21">
        <v>0</v>
      </c>
      <c r="S4198" s="5">
        <f t="shared" si="263"/>
        <v>59660.642997470874</v>
      </c>
      <c r="T4198" cm="1">
        <f t="array" ref="T4198">IF(OR(B4198="MAL ALIMI", B4198="ÜRETİM GİRİŞ"), MIN(I4198, MAX(0, I4198 + SUM(SUMIFS($I$1:I4197, $C$1:C4197, C4198, $B$1:B4197, {"MAL ALIMI","ÜRETİM GİRİŞ"})) - VLOOKUP(C4198, 'STOK RAPORU'!$C$2:$I$1000, 4, 0))), 0)</f>
        <v>0</v>
      </c>
      <c r="U4198" s="22">
        <f t="shared" si="260"/>
        <v>0</v>
      </c>
      <c r="V4198">
        <f t="shared" si="261"/>
        <v>0</v>
      </c>
      <c r="W4198" s="22">
        <f t="shared" si="262"/>
        <v>0</v>
      </c>
    </row>
    <row r="4199" spans="1:23" hidden="1" x14ac:dyDescent="0.25">
      <c r="A4199" s="3">
        <v>46069</v>
      </c>
      <c r="B4199" s="46" t="s">
        <v>334</v>
      </c>
      <c r="C4199" s="4" t="s">
        <v>161</v>
      </c>
      <c r="D4199" s="4"/>
      <c r="E4199" s="4" t="s">
        <v>921</v>
      </c>
      <c r="F4199" s="46" t="s">
        <v>2104</v>
      </c>
      <c r="G4199" s="4" t="s">
        <v>336</v>
      </c>
      <c r="H4199" s="4" t="s">
        <v>380</v>
      </c>
      <c r="I4199" s="4">
        <v>0.26100000000000001</v>
      </c>
      <c r="J4199" s="21">
        <v>230</v>
      </c>
      <c r="K4199" s="21">
        <v>60.03</v>
      </c>
      <c r="L4199" s="5">
        <v>0</v>
      </c>
      <c r="M4199" s="4"/>
      <c r="N4199" s="4"/>
      <c r="O4199" s="5"/>
      <c r="P4199" s="5"/>
      <c r="Q4199" s="21">
        <v>0</v>
      </c>
      <c r="R4199" s="21">
        <v>0</v>
      </c>
      <c r="S4199" s="5">
        <f t="shared" si="263"/>
        <v>59660.642997470874</v>
      </c>
      <c r="T4199" cm="1">
        <f t="array" ref="T4199">IF(OR(B4199="MAL ALIMI", B4199="ÜRETİM GİRİŞ"), MIN(I4199, MAX(0, I4199 + SUM(SUMIFS($I$1:I4198, $C$1:C4198, C4199, $B$1:B4198, {"MAL ALIMI","ÜRETİM GİRİŞ"})) - VLOOKUP(C4199, 'STOK RAPORU'!$C$2:$I$1000, 4, 0))), 0)</f>
        <v>0</v>
      </c>
      <c r="U4199" s="22">
        <f t="shared" si="260"/>
        <v>0</v>
      </c>
      <c r="V4199">
        <f t="shared" si="261"/>
        <v>0</v>
      </c>
      <c r="W4199" s="22">
        <f t="shared" si="262"/>
        <v>0</v>
      </c>
    </row>
    <row r="4200" spans="1:23" hidden="1" x14ac:dyDescent="0.25">
      <c r="A4200" s="3">
        <v>46069</v>
      </c>
      <c r="B4200" s="46" t="s">
        <v>334</v>
      </c>
      <c r="C4200" s="4" t="s">
        <v>1897</v>
      </c>
      <c r="D4200" s="4"/>
      <c r="E4200" s="4" t="s">
        <v>921</v>
      </c>
      <c r="F4200" s="46" t="s">
        <v>2105</v>
      </c>
      <c r="G4200" s="4" t="s">
        <v>336</v>
      </c>
      <c r="H4200" s="4" t="s">
        <v>380</v>
      </c>
      <c r="I4200" s="4">
        <v>1</v>
      </c>
      <c r="J4200" s="21">
        <v>295</v>
      </c>
      <c r="K4200" s="21">
        <v>295</v>
      </c>
      <c r="L4200" s="5">
        <v>0</v>
      </c>
      <c r="M4200" s="4"/>
      <c r="N4200" s="4"/>
      <c r="O4200" s="5"/>
      <c r="P4200" s="5"/>
      <c r="Q4200" s="21">
        <v>0</v>
      </c>
      <c r="R4200" s="21">
        <v>0</v>
      </c>
      <c r="S4200" s="5">
        <f t="shared" si="263"/>
        <v>59660.642997470874</v>
      </c>
      <c r="T4200" cm="1">
        <f t="array" ref="T4200">IF(OR(B4200="MAL ALIMI", B4200="ÜRETİM GİRİŞ"), MIN(I4200, MAX(0, I4200 + SUM(SUMIFS($I$1:I4199, $C$1:C4199, C4200, $B$1:B4199, {"MAL ALIMI","ÜRETİM GİRİŞ"})) - VLOOKUP(C4200, 'STOK RAPORU'!$C$2:$I$1000, 4, 0))), 0)</f>
        <v>0</v>
      </c>
      <c r="U4200" s="22">
        <f t="shared" si="260"/>
        <v>0</v>
      </c>
      <c r="V4200">
        <f t="shared" si="261"/>
        <v>0</v>
      </c>
      <c r="W4200" s="22">
        <f t="shared" si="262"/>
        <v>0</v>
      </c>
    </row>
    <row r="4201" spans="1:23" hidden="1" x14ac:dyDescent="0.25">
      <c r="A4201" s="3">
        <v>46069</v>
      </c>
      <c r="B4201" s="46" t="s">
        <v>334</v>
      </c>
      <c r="C4201" s="4" t="s">
        <v>523</v>
      </c>
      <c r="D4201" s="4"/>
      <c r="E4201" s="4" t="s">
        <v>921</v>
      </c>
      <c r="F4201" s="46" t="s">
        <v>2105</v>
      </c>
      <c r="G4201" s="4" t="s">
        <v>336</v>
      </c>
      <c r="H4201" s="4" t="s">
        <v>380</v>
      </c>
      <c r="I4201" s="4">
        <v>0.1</v>
      </c>
      <c r="J4201" s="21">
        <v>650</v>
      </c>
      <c r="K4201" s="21">
        <v>65</v>
      </c>
      <c r="L4201" s="5">
        <v>0</v>
      </c>
      <c r="M4201" s="4"/>
      <c r="N4201" s="4"/>
      <c r="O4201" s="5"/>
      <c r="P4201" s="5"/>
      <c r="Q4201" s="21">
        <v>0</v>
      </c>
      <c r="R4201" s="21">
        <v>0</v>
      </c>
      <c r="S4201" s="5">
        <f t="shared" si="263"/>
        <v>59660.642997470874</v>
      </c>
      <c r="T4201" cm="1">
        <f t="array" ref="T4201">IF(OR(B4201="MAL ALIMI", B4201="ÜRETİM GİRİŞ"), MIN(I4201, MAX(0, I4201 + SUM(SUMIFS($I$1:I4200, $C$1:C4200, C4201, $B$1:B4200, {"MAL ALIMI","ÜRETİM GİRİŞ"})) - VLOOKUP(C4201, 'STOK RAPORU'!$C$2:$I$1000, 4, 0))), 0)</f>
        <v>0</v>
      </c>
      <c r="U4201" s="22">
        <f t="shared" si="260"/>
        <v>0</v>
      </c>
      <c r="V4201">
        <f t="shared" si="261"/>
        <v>0</v>
      </c>
      <c r="W4201" s="22">
        <f t="shared" si="262"/>
        <v>0</v>
      </c>
    </row>
    <row r="4202" spans="1:23" hidden="1" x14ac:dyDescent="0.25">
      <c r="A4202" s="3">
        <v>46069</v>
      </c>
      <c r="B4202" s="46" t="s">
        <v>334</v>
      </c>
      <c r="C4202" s="4" t="s">
        <v>601</v>
      </c>
      <c r="D4202" s="4"/>
      <c r="E4202" s="4"/>
      <c r="F4202" s="46" t="s">
        <v>2106</v>
      </c>
      <c r="G4202" s="4" t="s">
        <v>336</v>
      </c>
      <c r="H4202" s="4" t="s">
        <v>289</v>
      </c>
      <c r="I4202" s="4">
        <v>0.28363636363636363</v>
      </c>
      <c r="J4202" s="21">
        <v>550</v>
      </c>
      <c r="K4202" s="21">
        <v>0</v>
      </c>
      <c r="L4202" s="5">
        <v>0</v>
      </c>
      <c r="M4202" s="4"/>
      <c r="N4202" s="4"/>
      <c r="O4202" s="5"/>
      <c r="P4202" s="5"/>
      <c r="Q4202" s="21">
        <v>156</v>
      </c>
      <c r="R4202" s="21">
        <v>0</v>
      </c>
      <c r="S4202" s="5">
        <f t="shared" si="263"/>
        <v>59816.642997470874</v>
      </c>
      <c r="T4202" cm="1">
        <f t="array" ref="T4202">IF(OR(B4202="MAL ALIMI", B4202="ÜRETİM GİRİŞ"), MIN(I4202, MAX(0, I4202 + SUM(SUMIFS($I$1:I4201, $C$1:C4201, C4202, $B$1:B4201, {"MAL ALIMI","ÜRETİM GİRİŞ"})) - VLOOKUP(C4202, 'STOK RAPORU'!$C$2:$I$1000, 4, 0))), 0)</f>
        <v>0</v>
      </c>
      <c r="U4202" s="22">
        <f t="shared" si="260"/>
        <v>0</v>
      </c>
      <c r="V4202">
        <f t="shared" si="261"/>
        <v>0</v>
      </c>
      <c r="W4202" s="22">
        <f t="shared" si="262"/>
        <v>0</v>
      </c>
    </row>
    <row r="4203" spans="1:23" hidden="1" x14ac:dyDescent="0.25">
      <c r="A4203" s="3">
        <v>46069</v>
      </c>
      <c r="B4203" s="46" t="s">
        <v>334</v>
      </c>
      <c r="C4203" s="4" t="s">
        <v>691</v>
      </c>
      <c r="D4203" s="4"/>
      <c r="E4203" s="4"/>
      <c r="F4203" s="46" t="s">
        <v>2106</v>
      </c>
      <c r="G4203" s="4" t="s">
        <v>336</v>
      </c>
      <c r="H4203" s="4" t="s">
        <v>289</v>
      </c>
      <c r="I4203" s="4">
        <v>0.12173913043478261</v>
      </c>
      <c r="J4203" s="21">
        <v>230</v>
      </c>
      <c r="K4203" s="21">
        <v>0</v>
      </c>
      <c r="L4203" s="5">
        <v>0</v>
      </c>
      <c r="M4203" s="4"/>
      <c r="N4203" s="4"/>
      <c r="O4203" s="5"/>
      <c r="P4203" s="5"/>
      <c r="Q4203" s="21">
        <v>28</v>
      </c>
      <c r="R4203" s="21">
        <v>0</v>
      </c>
      <c r="S4203" s="5">
        <f t="shared" si="263"/>
        <v>59844.642997470874</v>
      </c>
      <c r="T4203" cm="1">
        <f t="array" ref="T4203">IF(OR(B4203="MAL ALIMI", B4203="ÜRETİM GİRİŞ"), MIN(I4203, MAX(0, I4203 + SUM(SUMIFS($I$1:I4202, $C$1:C4202, C4203, $B$1:B4202, {"MAL ALIMI","ÜRETİM GİRİŞ"})) - VLOOKUP(C4203, 'STOK RAPORU'!$C$2:$I$1000, 4, 0))), 0)</f>
        <v>0</v>
      </c>
      <c r="U4203" s="22">
        <f t="shared" si="260"/>
        <v>0</v>
      </c>
      <c r="V4203">
        <f t="shared" si="261"/>
        <v>0</v>
      </c>
      <c r="W4203" s="22">
        <f t="shared" si="262"/>
        <v>0</v>
      </c>
    </row>
    <row r="4204" spans="1:23" hidden="1" x14ac:dyDescent="0.25">
      <c r="A4204" s="3">
        <v>46069</v>
      </c>
      <c r="B4204" s="46" t="s">
        <v>334</v>
      </c>
      <c r="C4204" s="4" t="s">
        <v>1041</v>
      </c>
      <c r="D4204" s="4"/>
      <c r="E4204" s="4"/>
      <c r="F4204" s="46" t="s">
        <v>2106</v>
      </c>
      <c r="G4204" s="4" t="s">
        <v>336</v>
      </c>
      <c r="H4204" s="4" t="s">
        <v>289</v>
      </c>
      <c r="I4204" s="4">
        <v>1</v>
      </c>
      <c r="J4204" s="21">
        <v>250</v>
      </c>
      <c r="K4204" s="21">
        <v>0</v>
      </c>
      <c r="L4204" s="5">
        <v>0</v>
      </c>
      <c r="M4204" s="4"/>
      <c r="N4204" s="4"/>
      <c r="O4204" s="5"/>
      <c r="P4204" s="5"/>
      <c r="Q4204" s="21">
        <v>250</v>
      </c>
      <c r="R4204" s="21">
        <v>0</v>
      </c>
      <c r="S4204" s="5">
        <f t="shared" si="263"/>
        <v>60094.642997470874</v>
      </c>
      <c r="T4204" cm="1">
        <f t="array" ref="T4204">IF(OR(B4204="MAL ALIMI", B4204="ÜRETİM GİRİŞ"), MIN(I4204, MAX(0, I4204 + SUM(SUMIFS($I$1:I4203, $C$1:C4203, C4204, $B$1:B4203, {"MAL ALIMI","ÜRETİM GİRİŞ"})) - VLOOKUP(C4204, 'STOK RAPORU'!$C$2:$I$1000, 4, 0))), 0)</f>
        <v>0</v>
      </c>
      <c r="U4204" s="22">
        <f t="shared" si="260"/>
        <v>0</v>
      </c>
      <c r="V4204">
        <f t="shared" si="261"/>
        <v>0</v>
      </c>
      <c r="W4204" s="22">
        <f t="shared" si="262"/>
        <v>0</v>
      </c>
    </row>
    <row r="4205" spans="1:23" hidden="1" x14ac:dyDescent="0.25">
      <c r="A4205" s="3">
        <v>46069</v>
      </c>
      <c r="B4205" s="46" t="s">
        <v>334</v>
      </c>
      <c r="C4205" s="4" t="s">
        <v>1367</v>
      </c>
      <c r="D4205" s="4"/>
      <c r="E4205" s="4"/>
      <c r="F4205" s="46" t="s">
        <v>2107</v>
      </c>
      <c r="G4205" s="4" t="s">
        <v>336</v>
      </c>
      <c r="H4205" s="4" t="s">
        <v>289</v>
      </c>
      <c r="I4205" s="4">
        <v>1</v>
      </c>
      <c r="J4205" s="21">
        <v>180</v>
      </c>
      <c r="K4205" s="21">
        <v>0</v>
      </c>
      <c r="L4205" s="5">
        <v>0</v>
      </c>
      <c r="M4205" s="4"/>
      <c r="N4205" s="4"/>
      <c r="O4205" s="5"/>
      <c r="P4205" s="5"/>
      <c r="Q4205" s="21">
        <v>180</v>
      </c>
      <c r="R4205" s="21">
        <v>0</v>
      </c>
      <c r="S4205" s="5">
        <f t="shared" si="263"/>
        <v>60274.642997470874</v>
      </c>
      <c r="T4205" cm="1">
        <f t="array" ref="T4205">IF(OR(B4205="MAL ALIMI", B4205="ÜRETİM GİRİŞ"), MIN(I4205, MAX(0, I4205 + SUM(SUMIFS($I$1:I4204, $C$1:C4204, C4205, $B$1:B4204, {"MAL ALIMI","ÜRETİM GİRİŞ"})) - VLOOKUP(C4205, 'STOK RAPORU'!$C$2:$I$1000, 4, 0))), 0)</f>
        <v>0</v>
      </c>
      <c r="U4205" s="22">
        <f t="shared" si="260"/>
        <v>0</v>
      </c>
      <c r="V4205">
        <f t="shared" si="261"/>
        <v>0</v>
      </c>
      <c r="W4205" s="22">
        <f t="shared" si="262"/>
        <v>0</v>
      </c>
    </row>
    <row r="4206" spans="1:23" hidden="1" x14ac:dyDescent="0.25">
      <c r="A4206" s="3">
        <v>46069</v>
      </c>
      <c r="B4206" s="46" t="s">
        <v>334</v>
      </c>
      <c r="C4206" s="4" t="s">
        <v>89</v>
      </c>
      <c r="D4206" s="4"/>
      <c r="E4206" s="4" t="s">
        <v>921</v>
      </c>
      <c r="F4206" s="46" t="s">
        <v>2108</v>
      </c>
      <c r="G4206" s="4" t="s">
        <v>336</v>
      </c>
      <c r="H4206" s="4" t="s">
        <v>380</v>
      </c>
      <c r="I4206" s="4">
        <v>0.2</v>
      </c>
      <c r="J4206" s="21">
        <v>650</v>
      </c>
      <c r="K4206" s="21">
        <v>130</v>
      </c>
      <c r="L4206" s="5">
        <v>0</v>
      </c>
      <c r="M4206" s="4"/>
      <c r="N4206" s="4"/>
      <c r="O4206" s="5"/>
      <c r="P4206" s="5"/>
      <c r="Q4206" s="21">
        <v>0</v>
      </c>
      <c r="R4206" s="21">
        <v>0</v>
      </c>
      <c r="S4206" s="5">
        <f t="shared" si="263"/>
        <v>60274.642997470874</v>
      </c>
      <c r="T4206" cm="1">
        <f t="array" ref="T4206">IF(OR(B4206="MAL ALIMI", B4206="ÜRETİM GİRİŞ"), MIN(I4206, MAX(0, I4206 + SUM(SUMIFS($I$1:I4205, $C$1:C4205, C4206, $B$1:B4205, {"MAL ALIMI","ÜRETİM GİRİŞ"})) - VLOOKUP(C4206, 'STOK RAPORU'!$C$2:$I$1000, 4, 0))), 0)</f>
        <v>0</v>
      </c>
      <c r="U4206" s="22">
        <f t="shared" si="260"/>
        <v>0</v>
      </c>
      <c r="V4206">
        <f t="shared" si="261"/>
        <v>0</v>
      </c>
      <c r="W4206" s="22">
        <f t="shared" si="262"/>
        <v>0</v>
      </c>
    </row>
    <row r="4207" spans="1:23" hidden="1" x14ac:dyDescent="0.25">
      <c r="A4207" s="3">
        <v>46069</v>
      </c>
      <c r="B4207" s="46" t="s">
        <v>334</v>
      </c>
      <c r="C4207" s="4" t="s">
        <v>157</v>
      </c>
      <c r="D4207" s="4"/>
      <c r="E4207" s="4" t="s">
        <v>921</v>
      </c>
      <c r="F4207" s="46" t="s">
        <v>2109</v>
      </c>
      <c r="G4207" s="4" t="s">
        <v>336</v>
      </c>
      <c r="H4207" s="4" t="s">
        <v>380</v>
      </c>
      <c r="I4207" s="4">
        <v>3</v>
      </c>
      <c r="J4207" s="21">
        <v>200</v>
      </c>
      <c r="K4207" s="21">
        <v>600</v>
      </c>
      <c r="L4207" s="5">
        <v>0</v>
      </c>
      <c r="M4207" s="4"/>
      <c r="N4207" s="4"/>
      <c r="O4207" s="5"/>
      <c r="P4207" s="5"/>
      <c r="Q4207" s="21">
        <v>0</v>
      </c>
      <c r="R4207" s="21">
        <v>0</v>
      </c>
      <c r="S4207" s="5">
        <f t="shared" si="263"/>
        <v>60274.642997470874</v>
      </c>
      <c r="T4207" cm="1">
        <f t="array" ref="T4207">IF(OR(B4207="MAL ALIMI", B4207="ÜRETİM GİRİŞ"), MIN(I4207, MAX(0, I4207 + SUM(SUMIFS($I$1:I4206, $C$1:C4206, C4207, $B$1:B4206, {"MAL ALIMI","ÜRETİM GİRİŞ"})) - VLOOKUP(C4207, 'STOK RAPORU'!$C$2:$I$1000, 4, 0))), 0)</f>
        <v>0</v>
      </c>
      <c r="U4207" s="22">
        <f t="shared" si="260"/>
        <v>0</v>
      </c>
      <c r="V4207">
        <f t="shared" si="261"/>
        <v>0</v>
      </c>
      <c r="W4207" s="22">
        <f t="shared" si="262"/>
        <v>0</v>
      </c>
    </row>
    <row r="4208" spans="1:23" hidden="1" x14ac:dyDescent="0.25">
      <c r="A4208" s="3">
        <v>46069</v>
      </c>
      <c r="B4208" s="46" t="s">
        <v>334</v>
      </c>
      <c r="C4208" s="4" t="s">
        <v>132</v>
      </c>
      <c r="D4208" s="4"/>
      <c r="E4208" s="4"/>
      <c r="F4208" s="46" t="s">
        <v>2110</v>
      </c>
      <c r="G4208" s="4" t="s">
        <v>336</v>
      </c>
      <c r="H4208" s="4" t="s">
        <v>289</v>
      </c>
      <c r="I4208" s="4">
        <v>0.124</v>
      </c>
      <c r="J4208" s="21">
        <v>500</v>
      </c>
      <c r="K4208" s="21">
        <v>0</v>
      </c>
      <c r="L4208" s="5">
        <v>0</v>
      </c>
      <c r="M4208" s="4"/>
      <c r="N4208" s="4"/>
      <c r="O4208" s="5"/>
      <c r="P4208" s="5"/>
      <c r="Q4208" s="21">
        <v>62</v>
      </c>
      <c r="R4208" s="21">
        <v>0</v>
      </c>
      <c r="S4208" s="5">
        <f t="shared" si="263"/>
        <v>60336.642997470874</v>
      </c>
      <c r="T4208" cm="1">
        <f t="array" ref="T4208">IF(OR(B4208="MAL ALIMI", B4208="ÜRETİM GİRİŞ"), MIN(I4208, MAX(0, I4208 + SUM(SUMIFS($I$1:I4207, $C$1:C4207, C4208, $B$1:B4207, {"MAL ALIMI","ÜRETİM GİRİŞ"})) - VLOOKUP(C4208, 'STOK RAPORU'!$C$2:$I$1000, 4, 0))), 0)</f>
        <v>0</v>
      </c>
      <c r="U4208" s="22">
        <f t="shared" si="260"/>
        <v>0</v>
      </c>
      <c r="V4208">
        <f t="shared" si="261"/>
        <v>0</v>
      </c>
      <c r="W4208" s="22">
        <f t="shared" si="262"/>
        <v>0</v>
      </c>
    </row>
    <row r="4209" spans="1:23" hidden="1" x14ac:dyDescent="0.25">
      <c r="A4209" s="3">
        <v>46069</v>
      </c>
      <c r="B4209" s="46" t="s">
        <v>334</v>
      </c>
      <c r="C4209" s="4" t="s">
        <v>131</v>
      </c>
      <c r="D4209" s="4"/>
      <c r="E4209" s="4"/>
      <c r="F4209" s="46" t="s">
        <v>2110</v>
      </c>
      <c r="G4209" s="4" t="s">
        <v>336</v>
      </c>
      <c r="H4209" s="4" t="s">
        <v>289</v>
      </c>
      <c r="I4209" s="4">
        <v>4.4000000000000004E-2</v>
      </c>
      <c r="J4209" s="21">
        <v>400</v>
      </c>
      <c r="K4209" s="21">
        <v>0</v>
      </c>
      <c r="L4209" s="5">
        <v>0</v>
      </c>
      <c r="M4209" s="4"/>
      <c r="N4209" s="4"/>
      <c r="O4209" s="5"/>
      <c r="P4209" s="5"/>
      <c r="Q4209" s="21">
        <v>17.600000000000001</v>
      </c>
      <c r="R4209" s="21">
        <v>0</v>
      </c>
      <c r="S4209" s="5">
        <f t="shared" si="263"/>
        <v>60354.242997470872</v>
      </c>
      <c r="T4209" cm="1">
        <f t="array" ref="T4209">IF(OR(B4209="MAL ALIMI", B4209="ÜRETİM GİRİŞ"), MIN(I4209, MAX(0, I4209 + SUM(SUMIFS($I$1:I4208, $C$1:C4208, C4209, $B$1:B4208, {"MAL ALIMI","ÜRETİM GİRİŞ"})) - VLOOKUP(C4209, 'STOK RAPORU'!$C$2:$I$1000, 4, 0))), 0)</f>
        <v>0</v>
      </c>
      <c r="U4209" s="22">
        <f t="shared" si="260"/>
        <v>0</v>
      </c>
      <c r="V4209">
        <f t="shared" si="261"/>
        <v>0</v>
      </c>
      <c r="W4209" s="22">
        <f t="shared" si="262"/>
        <v>0</v>
      </c>
    </row>
    <row r="4210" spans="1:23" hidden="1" x14ac:dyDescent="0.25">
      <c r="A4210" s="3">
        <v>46069</v>
      </c>
      <c r="B4210" s="46" t="s">
        <v>334</v>
      </c>
      <c r="C4210" s="4" t="s">
        <v>140</v>
      </c>
      <c r="D4210" s="4"/>
      <c r="E4210" s="4"/>
      <c r="F4210" s="46" t="s">
        <v>2110</v>
      </c>
      <c r="G4210" s="4" t="s">
        <v>336</v>
      </c>
      <c r="H4210" s="4" t="s">
        <v>289</v>
      </c>
      <c r="I4210" s="4">
        <v>0.11</v>
      </c>
      <c r="J4210" s="21">
        <v>300</v>
      </c>
      <c r="K4210" s="21">
        <v>0</v>
      </c>
      <c r="L4210" s="5">
        <v>0</v>
      </c>
      <c r="M4210" s="4"/>
      <c r="N4210" s="4"/>
      <c r="O4210" s="5"/>
      <c r="P4210" s="5"/>
      <c r="Q4210" s="21">
        <v>33</v>
      </c>
      <c r="R4210" s="21">
        <v>0</v>
      </c>
      <c r="S4210" s="5">
        <f t="shared" si="263"/>
        <v>60387.242997470872</v>
      </c>
      <c r="T4210" cm="1">
        <f t="array" ref="T4210">IF(OR(B4210="MAL ALIMI", B4210="ÜRETİM GİRİŞ"), MIN(I4210, MAX(0, I4210 + SUM(SUMIFS($I$1:I4209, $C$1:C4209, C4210, $B$1:B4209, {"MAL ALIMI","ÜRETİM GİRİŞ"})) - VLOOKUP(C4210, 'STOK RAPORU'!$C$2:$I$1000, 4, 0))), 0)</f>
        <v>0</v>
      </c>
      <c r="U4210" s="22">
        <f t="shared" si="260"/>
        <v>0</v>
      </c>
      <c r="V4210">
        <f t="shared" si="261"/>
        <v>0</v>
      </c>
      <c r="W4210" s="22">
        <f t="shared" si="262"/>
        <v>0</v>
      </c>
    </row>
    <row r="4211" spans="1:23" hidden="1" x14ac:dyDescent="0.25">
      <c r="A4211" s="3">
        <v>46069</v>
      </c>
      <c r="B4211" s="46" t="s">
        <v>334</v>
      </c>
      <c r="C4211" s="4" t="s">
        <v>158</v>
      </c>
      <c r="D4211" s="4"/>
      <c r="E4211" s="4"/>
      <c r="F4211" s="46" t="s">
        <v>2110</v>
      </c>
      <c r="G4211" s="4" t="s">
        <v>336</v>
      </c>
      <c r="H4211" s="4" t="s">
        <v>289</v>
      </c>
      <c r="I4211" s="4">
        <v>0.41333333333333333</v>
      </c>
      <c r="J4211" s="21">
        <v>150</v>
      </c>
      <c r="K4211" s="21">
        <v>0</v>
      </c>
      <c r="L4211" s="5">
        <v>0</v>
      </c>
      <c r="M4211" s="4"/>
      <c r="N4211" s="4"/>
      <c r="O4211" s="5"/>
      <c r="P4211" s="5"/>
      <c r="Q4211" s="21">
        <v>62</v>
      </c>
      <c r="R4211" s="21">
        <v>0</v>
      </c>
      <c r="S4211" s="5">
        <f t="shared" si="263"/>
        <v>60449.242997470872</v>
      </c>
      <c r="T4211" cm="1">
        <f t="array" ref="T4211">IF(OR(B4211="MAL ALIMI", B4211="ÜRETİM GİRİŞ"), MIN(I4211, MAX(0, I4211 + SUM(SUMIFS($I$1:I4210, $C$1:C4210, C4211, $B$1:B4210, {"MAL ALIMI","ÜRETİM GİRİŞ"})) - VLOOKUP(C4211, 'STOK RAPORU'!$C$2:$I$1000, 4, 0))), 0)</f>
        <v>0</v>
      </c>
      <c r="U4211" s="22">
        <f t="shared" si="260"/>
        <v>0</v>
      </c>
      <c r="V4211">
        <f t="shared" si="261"/>
        <v>0</v>
      </c>
      <c r="W4211" s="22">
        <f t="shared" si="262"/>
        <v>0</v>
      </c>
    </row>
    <row r="4212" spans="1:23" hidden="1" x14ac:dyDescent="0.25">
      <c r="A4212" s="3">
        <v>46069</v>
      </c>
      <c r="B4212" s="46" t="s">
        <v>334</v>
      </c>
      <c r="C4212" s="4" t="s">
        <v>157</v>
      </c>
      <c r="D4212" s="4"/>
      <c r="E4212" s="4"/>
      <c r="F4212" s="46" t="s">
        <v>2110</v>
      </c>
      <c r="G4212" s="4" t="s">
        <v>336</v>
      </c>
      <c r="H4212" s="4" t="s">
        <v>289</v>
      </c>
      <c r="I4212" s="4">
        <v>0.28999999999999998</v>
      </c>
      <c r="J4212" s="21">
        <v>200</v>
      </c>
      <c r="K4212" s="21">
        <v>0</v>
      </c>
      <c r="L4212" s="5">
        <v>0</v>
      </c>
      <c r="M4212" s="4"/>
      <c r="N4212" s="4"/>
      <c r="O4212" s="5"/>
      <c r="P4212" s="5"/>
      <c r="Q4212" s="21">
        <v>57.999999999999993</v>
      </c>
      <c r="R4212" s="21">
        <v>0</v>
      </c>
      <c r="S4212" s="5">
        <f t="shared" si="263"/>
        <v>60507.242997470872</v>
      </c>
      <c r="T4212" cm="1">
        <f t="array" ref="T4212">IF(OR(B4212="MAL ALIMI", B4212="ÜRETİM GİRİŞ"), MIN(I4212, MAX(0, I4212 + SUM(SUMIFS($I$1:I4211, $C$1:C4211, C4212, $B$1:B4211, {"MAL ALIMI","ÜRETİM GİRİŞ"})) - VLOOKUP(C4212, 'STOK RAPORU'!$C$2:$I$1000, 4, 0))), 0)</f>
        <v>0</v>
      </c>
      <c r="U4212" s="22">
        <f t="shared" ref="U4212:U4275" si="264">T4212*J4212</f>
        <v>0</v>
      </c>
      <c r="V4212">
        <f t="shared" ref="V4212:V4275" si="265">IF(OR(B4212="MAL ALIMI", B4212="ÜRETİM GİRİŞ"), I4212 * J4212, 0)</f>
        <v>0</v>
      </c>
      <c r="W4212" s="22">
        <f t="shared" ref="W4212:W4275" si="266">V4212-U4212</f>
        <v>0</v>
      </c>
    </row>
    <row r="4213" spans="1:23" hidden="1" x14ac:dyDescent="0.25">
      <c r="A4213" s="3">
        <v>46069</v>
      </c>
      <c r="B4213" s="46" t="s">
        <v>334</v>
      </c>
      <c r="C4213" s="4" t="s">
        <v>1357</v>
      </c>
      <c r="D4213" s="4"/>
      <c r="E4213" s="4" t="s">
        <v>921</v>
      </c>
      <c r="F4213" s="46" t="s">
        <v>2111</v>
      </c>
      <c r="G4213" s="4" t="s">
        <v>336</v>
      </c>
      <c r="H4213" s="4" t="s">
        <v>380</v>
      </c>
      <c r="I4213" s="4">
        <v>0.35964912280701755</v>
      </c>
      <c r="J4213" s="21">
        <v>570</v>
      </c>
      <c r="K4213" s="21">
        <v>205</v>
      </c>
      <c r="L4213" s="5">
        <v>0</v>
      </c>
      <c r="M4213" s="4"/>
      <c r="N4213" s="4"/>
      <c r="O4213" s="5"/>
      <c r="P4213" s="5"/>
      <c r="Q4213" s="21">
        <v>0</v>
      </c>
      <c r="R4213" s="21">
        <v>0</v>
      </c>
      <c r="S4213" s="5">
        <f t="shared" si="263"/>
        <v>60507.242997470872</v>
      </c>
      <c r="T4213" cm="1">
        <f t="array" ref="T4213">IF(OR(B4213="MAL ALIMI", B4213="ÜRETİM GİRİŞ"), MIN(I4213, MAX(0, I4213 + SUM(SUMIFS($I$1:I4212, $C$1:C4212, C4213, $B$1:B4212, {"MAL ALIMI","ÜRETİM GİRİŞ"})) - VLOOKUP(C4213, 'STOK RAPORU'!$C$2:$I$1000, 4, 0))), 0)</f>
        <v>0</v>
      </c>
      <c r="U4213" s="22">
        <f t="shared" si="264"/>
        <v>0</v>
      </c>
      <c r="V4213">
        <f t="shared" si="265"/>
        <v>0</v>
      </c>
      <c r="W4213" s="22">
        <f t="shared" si="266"/>
        <v>0</v>
      </c>
    </row>
    <row r="4214" spans="1:23" hidden="1" x14ac:dyDescent="0.25">
      <c r="A4214" s="3">
        <v>46069</v>
      </c>
      <c r="B4214" s="46" t="s">
        <v>334</v>
      </c>
      <c r="C4214" s="4" t="s">
        <v>225</v>
      </c>
      <c r="D4214" s="4"/>
      <c r="E4214" s="4" t="s">
        <v>921</v>
      </c>
      <c r="F4214" s="46" t="s">
        <v>2111</v>
      </c>
      <c r="G4214" s="4" t="s">
        <v>336</v>
      </c>
      <c r="H4214" s="4" t="s">
        <v>380</v>
      </c>
      <c r="I4214" s="4">
        <v>0.2</v>
      </c>
      <c r="J4214" s="21">
        <v>750</v>
      </c>
      <c r="K4214" s="21">
        <v>150</v>
      </c>
      <c r="L4214" s="5">
        <v>0</v>
      </c>
      <c r="M4214" s="4"/>
      <c r="N4214" s="4"/>
      <c r="O4214" s="5"/>
      <c r="P4214" s="5"/>
      <c r="Q4214" s="21">
        <v>0</v>
      </c>
      <c r="R4214" s="21">
        <v>0</v>
      </c>
      <c r="S4214" s="5">
        <f t="shared" si="263"/>
        <v>60507.242997470872</v>
      </c>
      <c r="T4214" cm="1">
        <f t="array" ref="T4214">IF(OR(B4214="MAL ALIMI", B4214="ÜRETİM GİRİŞ"), MIN(I4214, MAX(0, I4214 + SUM(SUMIFS($I$1:I4213, $C$1:C4213, C4214, $B$1:B4213, {"MAL ALIMI","ÜRETİM GİRİŞ"})) - VLOOKUP(C4214, 'STOK RAPORU'!$C$2:$I$1000, 4, 0))), 0)</f>
        <v>0</v>
      </c>
      <c r="U4214" s="22">
        <f t="shared" si="264"/>
        <v>0</v>
      </c>
      <c r="V4214">
        <f t="shared" si="265"/>
        <v>0</v>
      </c>
      <c r="W4214" s="22">
        <f t="shared" si="266"/>
        <v>0</v>
      </c>
    </row>
    <row r="4215" spans="1:23" hidden="1" x14ac:dyDescent="0.25">
      <c r="A4215" s="3">
        <v>46069</v>
      </c>
      <c r="B4215" s="46" t="s">
        <v>334</v>
      </c>
      <c r="C4215" s="4" t="s">
        <v>266</v>
      </c>
      <c r="D4215" s="4"/>
      <c r="E4215" s="4" t="s">
        <v>921</v>
      </c>
      <c r="F4215" s="46" t="s">
        <v>2111</v>
      </c>
      <c r="G4215" s="4" t="s">
        <v>336</v>
      </c>
      <c r="H4215" s="4" t="s">
        <v>380</v>
      </c>
      <c r="I4215" s="4">
        <v>1.2</v>
      </c>
      <c r="J4215" s="21">
        <v>250</v>
      </c>
      <c r="K4215" s="21">
        <v>300</v>
      </c>
      <c r="L4215" s="5">
        <v>0</v>
      </c>
      <c r="M4215" s="4"/>
      <c r="N4215" s="4"/>
      <c r="O4215" s="5"/>
      <c r="P4215" s="5"/>
      <c r="Q4215" s="21">
        <v>0</v>
      </c>
      <c r="R4215" s="21">
        <v>0</v>
      </c>
      <c r="S4215" s="5">
        <f t="shared" si="263"/>
        <v>60507.242997470872</v>
      </c>
      <c r="T4215" cm="1">
        <f t="array" ref="T4215">IF(OR(B4215="MAL ALIMI", B4215="ÜRETİM GİRİŞ"), MIN(I4215, MAX(0, I4215 + SUM(SUMIFS($I$1:I4214, $C$1:C4214, C4215, $B$1:B4214, {"MAL ALIMI","ÜRETİM GİRİŞ"})) - VLOOKUP(C4215, 'STOK RAPORU'!$C$2:$I$1000, 4, 0))), 0)</f>
        <v>0</v>
      </c>
      <c r="U4215" s="22">
        <f t="shared" si="264"/>
        <v>0</v>
      </c>
      <c r="V4215">
        <f t="shared" si="265"/>
        <v>0</v>
      </c>
      <c r="W4215" s="22">
        <f t="shared" si="266"/>
        <v>0</v>
      </c>
    </row>
    <row r="4216" spans="1:23" hidden="1" x14ac:dyDescent="0.25">
      <c r="A4216" s="3">
        <v>46069</v>
      </c>
      <c r="B4216" s="46" t="s">
        <v>334</v>
      </c>
      <c r="C4216" s="4" t="s">
        <v>1041</v>
      </c>
      <c r="D4216" s="4"/>
      <c r="E4216" s="4"/>
      <c r="F4216" s="46" t="s">
        <v>2112</v>
      </c>
      <c r="G4216" s="4" t="s">
        <v>336</v>
      </c>
      <c r="H4216" s="4" t="s">
        <v>289</v>
      </c>
      <c r="I4216" s="4">
        <v>2.6</v>
      </c>
      <c r="J4216" s="21">
        <v>250</v>
      </c>
      <c r="K4216" s="21">
        <v>0</v>
      </c>
      <c r="L4216" s="5">
        <v>0</v>
      </c>
      <c r="M4216" s="4"/>
      <c r="N4216" s="4"/>
      <c r="O4216" s="5"/>
      <c r="P4216" s="5"/>
      <c r="Q4216" s="21">
        <v>650</v>
      </c>
      <c r="R4216" s="21">
        <v>0</v>
      </c>
      <c r="S4216" s="5">
        <f t="shared" si="263"/>
        <v>61157.242997470872</v>
      </c>
      <c r="T4216" cm="1">
        <f t="array" ref="T4216">IF(OR(B4216="MAL ALIMI", B4216="ÜRETİM GİRİŞ"), MIN(I4216, MAX(0, I4216 + SUM(SUMIFS($I$1:I4215, $C$1:C4215, C4216, $B$1:B4215, {"MAL ALIMI","ÜRETİM GİRİŞ"})) - VLOOKUP(C4216, 'STOK RAPORU'!$C$2:$I$1000, 4, 0))), 0)</f>
        <v>0</v>
      </c>
      <c r="U4216" s="22">
        <f t="shared" si="264"/>
        <v>0</v>
      </c>
      <c r="V4216">
        <f t="shared" si="265"/>
        <v>0</v>
      </c>
      <c r="W4216" s="22">
        <f t="shared" si="266"/>
        <v>0</v>
      </c>
    </row>
    <row r="4217" spans="1:23" hidden="1" x14ac:dyDescent="0.25">
      <c r="A4217" s="3">
        <v>46069</v>
      </c>
      <c r="B4217" s="46" t="s">
        <v>334</v>
      </c>
      <c r="C4217" s="4" t="s">
        <v>3383</v>
      </c>
      <c r="D4217" s="4"/>
      <c r="E4217" s="4"/>
      <c r="F4217" s="46" t="s">
        <v>2113</v>
      </c>
      <c r="G4217" s="4" t="s">
        <v>336</v>
      </c>
      <c r="H4217" s="4" t="s">
        <v>289</v>
      </c>
      <c r="I4217" s="4">
        <v>0.5</v>
      </c>
      <c r="J4217" s="21">
        <v>50</v>
      </c>
      <c r="K4217" s="21">
        <v>0</v>
      </c>
      <c r="L4217" s="5">
        <v>0</v>
      </c>
      <c r="M4217" s="4"/>
      <c r="N4217" s="4"/>
      <c r="O4217" s="5"/>
      <c r="P4217" s="5"/>
      <c r="Q4217" s="21">
        <v>25</v>
      </c>
      <c r="R4217" s="21">
        <v>0</v>
      </c>
      <c r="S4217" s="5">
        <f t="shared" si="263"/>
        <v>61182.242997470872</v>
      </c>
      <c r="T4217" cm="1">
        <f t="array" ref="T4217">IF(OR(B4217="MAL ALIMI", B4217="ÜRETİM GİRİŞ"), MIN(I4217, MAX(0, I4217 + SUM(SUMIFS($I$1:I4216, $C$1:C4216, C4217, $B$1:B4216, {"MAL ALIMI","ÜRETİM GİRİŞ"})) - VLOOKUP(C4217, 'STOK RAPORU'!$C$2:$I$1000, 4, 0))), 0)</f>
        <v>0</v>
      </c>
      <c r="U4217" s="22">
        <f t="shared" si="264"/>
        <v>0</v>
      </c>
      <c r="V4217">
        <f t="shared" si="265"/>
        <v>0</v>
      </c>
      <c r="W4217" s="22">
        <f t="shared" si="266"/>
        <v>0</v>
      </c>
    </row>
    <row r="4218" spans="1:23" hidden="1" x14ac:dyDescent="0.25">
      <c r="A4218" s="3">
        <v>46069</v>
      </c>
      <c r="B4218" s="46" t="s">
        <v>334</v>
      </c>
      <c r="C4218" s="4" t="s">
        <v>829</v>
      </c>
      <c r="D4218" s="4"/>
      <c r="E4218" s="4"/>
      <c r="F4218" s="46" t="s">
        <v>2116</v>
      </c>
      <c r="G4218" s="4" t="s">
        <v>336</v>
      </c>
      <c r="H4218" s="4" t="s">
        <v>289</v>
      </c>
      <c r="I4218" s="4">
        <v>1</v>
      </c>
      <c r="J4218" s="21">
        <v>145</v>
      </c>
      <c r="K4218" s="21">
        <v>0</v>
      </c>
      <c r="L4218" s="5">
        <v>0</v>
      </c>
      <c r="M4218" s="4"/>
      <c r="N4218" s="4"/>
      <c r="O4218" s="5"/>
      <c r="P4218" s="5"/>
      <c r="Q4218" s="21">
        <v>145</v>
      </c>
      <c r="R4218" s="21">
        <v>0</v>
      </c>
      <c r="S4218" s="5">
        <f t="shared" si="263"/>
        <v>61327.242997470872</v>
      </c>
      <c r="T4218" cm="1">
        <f t="array" ref="T4218">IF(OR(B4218="MAL ALIMI", B4218="ÜRETİM GİRİŞ"), MIN(I4218, MAX(0, I4218 + SUM(SUMIFS($I$1:I4217, $C$1:C4217, C4218, $B$1:B4217, {"MAL ALIMI","ÜRETİM GİRİŞ"})) - VLOOKUP(C4218, 'STOK RAPORU'!$C$2:$I$1000, 4, 0))), 0)</f>
        <v>0</v>
      </c>
      <c r="U4218" s="22">
        <f t="shared" si="264"/>
        <v>0</v>
      </c>
      <c r="V4218">
        <f t="shared" si="265"/>
        <v>0</v>
      </c>
      <c r="W4218" s="22">
        <f t="shared" si="266"/>
        <v>0</v>
      </c>
    </row>
    <row r="4219" spans="1:23" hidden="1" x14ac:dyDescent="0.25">
      <c r="A4219" s="3">
        <v>46069</v>
      </c>
      <c r="B4219" s="4" t="s">
        <v>946</v>
      </c>
      <c r="C4219" s="4"/>
      <c r="D4219" s="4"/>
      <c r="E4219" s="4" t="s">
        <v>921</v>
      </c>
      <c r="F4219" s="4"/>
      <c r="G4219" s="4" t="s">
        <v>946</v>
      </c>
      <c r="H4219" s="4" t="s">
        <v>380</v>
      </c>
      <c r="I4219" s="4">
        <v>1</v>
      </c>
      <c r="J4219" s="105">
        <v>230</v>
      </c>
      <c r="K4219" s="21">
        <v>0</v>
      </c>
      <c r="L4219" s="111">
        <v>230</v>
      </c>
      <c r="M4219" s="4"/>
      <c r="N4219" s="4"/>
      <c r="O4219" s="5"/>
      <c r="P4219" s="5"/>
      <c r="Q4219" s="21">
        <v>230</v>
      </c>
      <c r="R4219" s="21">
        <v>0</v>
      </c>
      <c r="S4219" s="5">
        <f t="shared" si="263"/>
        <v>61557.242997470872</v>
      </c>
      <c r="T4219" cm="1">
        <f t="array" ref="T4219">IF(OR(B4219="MAL ALIMI", B4219="ÜRETİM GİRİŞ"), MIN(I4219, MAX(0, I4219 + SUM(SUMIFS($I$1:I4218, $C$1:C4218, C4219, $B$1:B4218, {"MAL ALIMI","ÜRETİM GİRİŞ"})) - VLOOKUP(C4219, 'STOK RAPORU'!$C$2:$I$1000, 4, 0))), 0)</f>
        <v>0</v>
      </c>
      <c r="U4219" s="22">
        <f t="shared" si="264"/>
        <v>0</v>
      </c>
      <c r="V4219">
        <f t="shared" si="265"/>
        <v>0</v>
      </c>
      <c r="W4219" s="22">
        <f t="shared" si="266"/>
        <v>0</v>
      </c>
    </row>
    <row r="4220" spans="1:23" hidden="1" x14ac:dyDescent="0.25">
      <c r="A4220" s="3">
        <v>46069</v>
      </c>
      <c r="B4220" s="4" t="s">
        <v>946</v>
      </c>
      <c r="C4220" s="4"/>
      <c r="D4220" s="4"/>
      <c r="E4220" s="4" t="s">
        <v>921</v>
      </c>
      <c r="F4220" s="4"/>
      <c r="G4220" s="4" t="s">
        <v>946</v>
      </c>
      <c r="H4220" s="4" t="s">
        <v>380</v>
      </c>
      <c r="I4220" s="4">
        <v>1</v>
      </c>
      <c r="J4220" s="105">
        <v>380</v>
      </c>
      <c r="K4220" s="21">
        <v>0</v>
      </c>
      <c r="L4220" s="111">
        <v>380</v>
      </c>
      <c r="M4220" s="4"/>
      <c r="N4220" s="4"/>
      <c r="O4220" s="5"/>
      <c r="P4220" s="5"/>
      <c r="Q4220" s="21">
        <v>380</v>
      </c>
      <c r="R4220" s="21">
        <v>0</v>
      </c>
      <c r="S4220" s="5">
        <f t="shared" si="263"/>
        <v>61937.242997470872</v>
      </c>
      <c r="T4220" cm="1">
        <f t="array" ref="T4220">IF(OR(B4220="MAL ALIMI", B4220="ÜRETİM GİRİŞ"), MIN(I4220, MAX(0, I4220 + SUM(SUMIFS($I$1:I4219, $C$1:C4219, C4220, $B$1:B4219, {"MAL ALIMI","ÜRETİM GİRİŞ"})) - VLOOKUP(C4220, 'STOK RAPORU'!$C$2:$I$1000, 4, 0))), 0)</f>
        <v>0</v>
      </c>
      <c r="U4220" s="22">
        <f t="shared" si="264"/>
        <v>0</v>
      </c>
      <c r="V4220">
        <f t="shared" si="265"/>
        <v>0</v>
      </c>
      <c r="W4220" s="22">
        <f t="shared" si="266"/>
        <v>0</v>
      </c>
    </row>
    <row r="4221" spans="1:23" hidden="1" x14ac:dyDescent="0.25">
      <c r="A4221" s="3">
        <v>46069</v>
      </c>
      <c r="B4221" s="4" t="s">
        <v>917</v>
      </c>
      <c r="C4221" s="4"/>
      <c r="D4221" s="4"/>
      <c r="E4221" s="4" t="s">
        <v>1361</v>
      </c>
      <c r="F4221" s="4"/>
      <c r="G4221" s="4" t="s">
        <v>2132</v>
      </c>
      <c r="H4221" s="4" t="s">
        <v>289</v>
      </c>
      <c r="I4221" s="4">
        <v>1</v>
      </c>
      <c r="J4221" s="21">
        <v>0</v>
      </c>
      <c r="K4221" s="21">
        <v>29500</v>
      </c>
      <c r="L4221" s="5">
        <v>0</v>
      </c>
      <c r="M4221" s="4"/>
      <c r="N4221" s="4"/>
      <c r="O4221" s="5"/>
      <c r="P4221" s="5"/>
      <c r="Q4221" s="21">
        <v>0</v>
      </c>
      <c r="R4221" s="21">
        <v>29500</v>
      </c>
      <c r="S4221" s="5">
        <f t="shared" si="263"/>
        <v>32437.242997470872</v>
      </c>
      <c r="T4221" cm="1">
        <f t="array" ref="T4221">IF(OR(B4221="MAL ALIMI", B4221="ÜRETİM GİRİŞ"), MIN(I4221, MAX(0, I4221 + SUM(SUMIFS($I$1:I4220, $C$1:C4220, C4221, $B$1:B4220, {"MAL ALIMI","ÜRETİM GİRİŞ"})) - VLOOKUP(C4221, 'STOK RAPORU'!$C$2:$I$1000, 4, 0))), 0)</f>
        <v>0</v>
      </c>
      <c r="U4221" s="22">
        <f t="shared" si="264"/>
        <v>0</v>
      </c>
      <c r="V4221">
        <f t="shared" si="265"/>
        <v>0</v>
      </c>
      <c r="W4221" s="22">
        <f t="shared" si="266"/>
        <v>0</v>
      </c>
    </row>
    <row r="4222" spans="1:23" hidden="1" x14ac:dyDescent="0.25">
      <c r="A4222" s="3">
        <v>46069</v>
      </c>
      <c r="B4222" s="4" t="s">
        <v>298</v>
      </c>
      <c r="C4222" s="4" t="s">
        <v>1634</v>
      </c>
      <c r="D4222" s="4"/>
      <c r="E4222" s="4"/>
      <c r="F4222" s="4"/>
      <c r="G4222" s="4" t="s">
        <v>2133</v>
      </c>
      <c r="H4222" s="4" t="s">
        <v>289</v>
      </c>
      <c r="I4222" s="4">
        <v>10</v>
      </c>
      <c r="J4222" s="21">
        <v>150</v>
      </c>
      <c r="K4222" s="21">
        <v>0</v>
      </c>
      <c r="L4222" s="5">
        <v>0</v>
      </c>
      <c r="M4222" s="4"/>
      <c r="N4222" s="4"/>
      <c r="O4222" s="5"/>
      <c r="P4222" s="5"/>
      <c r="Q4222" s="21">
        <v>0</v>
      </c>
      <c r="R4222" s="21">
        <v>1500</v>
      </c>
      <c r="S4222" s="5">
        <f t="shared" si="263"/>
        <v>30937.242997470872</v>
      </c>
      <c r="T4222" cm="1">
        <f t="array" ref="T4222">IF(OR(B4222="MAL ALIMI", B4222="ÜRETİM GİRİŞ"), MIN(I4222, MAX(0, I4222 + SUM(SUMIFS($I$1:I4221, $C$1:C4221, C4222, $B$1:B4221, {"MAL ALIMI","ÜRETİM GİRİŞ"})) - VLOOKUP(C4222, 'STOK RAPORU'!$C$2:$I$1000, 4, 0))), 0)</f>
        <v>0</v>
      </c>
      <c r="U4222" s="22">
        <f t="shared" si="264"/>
        <v>0</v>
      </c>
      <c r="V4222">
        <f t="shared" si="265"/>
        <v>1500</v>
      </c>
      <c r="W4222" s="22">
        <f t="shared" si="266"/>
        <v>1500</v>
      </c>
    </row>
    <row r="4223" spans="1:23" hidden="1" x14ac:dyDescent="0.25">
      <c r="A4223" s="3">
        <v>46070</v>
      </c>
      <c r="B4223" s="4" t="s">
        <v>334</v>
      </c>
      <c r="C4223" s="4" t="s">
        <v>463</v>
      </c>
      <c r="D4223" s="4"/>
      <c r="E4223" s="4"/>
      <c r="F4223" s="46" t="s">
        <v>2135</v>
      </c>
      <c r="G4223" s="4" t="s">
        <v>336</v>
      </c>
      <c r="H4223" s="4" t="s">
        <v>289</v>
      </c>
      <c r="I4223" s="4">
        <v>0.125</v>
      </c>
      <c r="J4223" s="21">
        <v>400</v>
      </c>
      <c r="K4223" s="21">
        <v>0</v>
      </c>
      <c r="L4223" s="5">
        <v>0</v>
      </c>
      <c r="M4223" s="4"/>
      <c r="N4223" s="4"/>
      <c r="O4223" s="5"/>
      <c r="P4223" s="5"/>
      <c r="Q4223" s="21">
        <v>50</v>
      </c>
      <c r="R4223" s="21">
        <v>0</v>
      </c>
      <c r="S4223" s="5">
        <f t="shared" si="263"/>
        <v>30987.242997470872</v>
      </c>
      <c r="T4223" cm="1">
        <f t="array" ref="T4223">IF(OR(B4223="MAL ALIMI", B4223="ÜRETİM GİRİŞ"), MIN(I4223, MAX(0, I4223 + SUM(SUMIFS($I$1:I4222, $C$1:C4222, C4223, $B$1:B4222, {"MAL ALIMI","ÜRETİM GİRİŞ"})) - VLOOKUP(C4223, 'STOK RAPORU'!$C$2:$I$1000, 4, 0))), 0)</f>
        <v>0</v>
      </c>
      <c r="U4223" s="22">
        <f t="shared" si="264"/>
        <v>0</v>
      </c>
      <c r="V4223">
        <f t="shared" si="265"/>
        <v>0</v>
      </c>
      <c r="W4223" s="22">
        <f t="shared" si="266"/>
        <v>0</v>
      </c>
    </row>
    <row r="4224" spans="1:23" hidden="1" x14ac:dyDescent="0.25">
      <c r="A4224" s="3">
        <v>46070</v>
      </c>
      <c r="B4224" s="4" t="s">
        <v>334</v>
      </c>
      <c r="C4224" s="4" t="s">
        <v>463</v>
      </c>
      <c r="D4224" s="4"/>
      <c r="E4224" s="4"/>
      <c r="F4224" s="46" t="s">
        <v>2135</v>
      </c>
      <c r="G4224" s="4" t="s">
        <v>336</v>
      </c>
      <c r="H4224" s="4" t="s">
        <v>289</v>
      </c>
      <c r="I4224" s="4">
        <v>0.125</v>
      </c>
      <c r="J4224" s="21">
        <v>400</v>
      </c>
      <c r="K4224" s="21">
        <v>0</v>
      </c>
      <c r="L4224" s="5">
        <v>0</v>
      </c>
      <c r="M4224" s="4"/>
      <c r="N4224" s="4"/>
      <c r="O4224" s="5"/>
      <c r="P4224" s="5"/>
      <c r="Q4224" s="21">
        <v>50</v>
      </c>
      <c r="R4224" s="21">
        <v>0</v>
      </c>
      <c r="S4224" s="5">
        <f t="shared" si="263"/>
        <v>31037.242997470872</v>
      </c>
      <c r="T4224" cm="1">
        <f t="array" ref="T4224">IF(OR(B4224="MAL ALIMI", B4224="ÜRETİM GİRİŞ"), MIN(I4224, MAX(0, I4224 + SUM(SUMIFS($I$1:I4223, $C$1:C4223, C4224, $B$1:B4223, {"MAL ALIMI","ÜRETİM GİRİŞ"})) - VLOOKUP(C4224, 'STOK RAPORU'!$C$2:$I$1000, 4, 0))), 0)</f>
        <v>0</v>
      </c>
      <c r="U4224" s="22">
        <f t="shared" si="264"/>
        <v>0</v>
      </c>
      <c r="V4224">
        <f t="shared" si="265"/>
        <v>0</v>
      </c>
      <c r="W4224" s="22">
        <f t="shared" si="266"/>
        <v>0</v>
      </c>
    </row>
    <row r="4225" spans="1:23" hidden="1" x14ac:dyDescent="0.25">
      <c r="A4225" s="3">
        <v>46070</v>
      </c>
      <c r="B4225" s="4" t="s">
        <v>334</v>
      </c>
      <c r="C4225" s="4" t="s">
        <v>1041</v>
      </c>
      <c r="D4225" s="4"/>
      <c r="E4225" s="4" t="s">
        <v>921</v>
      </c>
      <c r="F4225" s="46" t="s">
        <v>2136</v>
      </c>
      <c r="G4225" s="4" t="s">
        <v>336</v>
      </c>
      <c r="H4225" s="4" t="s">
        <v>380</v>
      </c>
      <c r="I4225" s="4">
        <v>2</v>
      </c>
      <c r="J4225" s="21">
        <v>250</v>
      </c>
      <c r="K4225" s="21">
        <v>500</v>
      </c>
      <c r="L4225" s="5">
        <v>0</v>
      </c>
      <c r="M4225" s="4"/>
      <c r="N4225" s="4"/>
      <c r="O4225" s="5"/>
      <c r="P4225" s="5"/>
      <c r="Q4225" s="21">
        <v>0</v>
      </c>
      <c r="R4225" s="21">
        <v>0</v>
      </c>
      <c r="S4225" s="5">
        <f t="shared" si="263"/>
        <v>31037.242997470872</v>
      </c>
      <c r="T4225" cm="1">
        <f t="array" ref="T4225">IF(OR(B4225="MAL ALIMI", B4225="ÜRETİM GİRİŞ"), MIN(I4225, MAX(0, I4225 + SUM(SUMIFS($I$1:I4224, $C$1:C4224, C4225, $B$1:B4224, {"MAL ALIMI","ÜRETİM GİRİŞ"})) - VLOOKUP(C4225, 'STOK RAPORU'!$C$2:$I$1000, 4, 0))), 0)</f>
        <v>0</v>
      </c>
      <c r="U4225" s="22">
        <f t="shared" si="264"/>
        <v>0</v>
      </c>
      <c r="V4225">
        <f t="shared" si="265"/>
        <v>0</v>
      </c>
      <c r="W4225" s="22">
        <f t="shared" si="266"/>
        <v>0</v>
      </c>
    </row>
    <row r="4226" spans="1:23" hidden="1" x14ac:dyDescent="0.25">
      <c r="A4226" s="3">
        <v>46070</v>
      </c>
      <c r="B4226" s="4" t="s">
        <v>334</v>
      </c>
      <c r="C4226" s="4" t="s">
        <v>160</v>
      </c>
      <c r="D4226" s="4"/>
      <c r="E4226" s="4" t="s">
        <v>921</v>
      </c>
      <c r="F4226" s="46" t="s">
        <v>2136</v>
      </c>
      <c r="G4226" s="4" t="s">
        <v>336</v>
      </c>
      <c r="H4226" s="4" t="s">
        <v>380</v>
      </c>
      <c r="I4226" s="4">
        <v>2</v>
      </c>
      <c r="J4226" s="21">
        <v>250</v>
      </c>
      <c r="K4226" s="21">
        <v>500</v>
      </c>
      <c r="L4226" s="5">
        <v>0</v>
      </c>
      <c r="M4226" s="4"/>
      <c r="N4226" s="4"/>
      <c r="O4226" s="5"/>
      <c r="P4226" s="5"/>
      <c r="Q4226" s="21">
        <v>0</v>
      </c>
      <c r="R4226" s="21">
        <v>0</v>
      </c>
      <c r="S4226" s="5">
        <f t="shared" si="263"/>
        <v>31037.242997470872</v>
      </c>
      <c r="T4226" cm="1">
        <f t="array" ref="T4226">IF(OR(B4226="MAL ALIMI", B4226="ÜRETİM GİRİŞ"), MIN(I4226, MAX(0, I4226 + SUM(SUMIFS($I$1:I4225, $C$1:C4225, C4226, $B$1:B4225, {"MAL ALIMI","ÜRETİM GİRİŞ"})) - VLOOKUP(C4226, 'STOK RAPORU'!$C$2:$I$1000, 4, 0))), 0)</f>
        <v>0</v>
      </c>
      <c r="U4226" s="22">
        <f t="shared" si="264"/>
        <v>0</v>
      </c>
      <c r="V4226">
        <f t="shared" si="265"/>
        <v>0</v>
      </c>
      <c r="W4226" s="22">
        <f t="shared" si="266"/>
        <v>0</v>
      </c>
    </row>
    <row r="4227" spans="1:23" hidden="1" x14ac:dyDescent="0.25">
      <c r="A4227" s="3">
        <v>46070</v>
      </c>
      <c r="B4227" s="4" t="s">
        <v>334</v>
      </c>
      <c r="C4227" s="4" t="s">
        <v>161</v>
      </c>
      <c r="D4227" s="4"/>
      <c r="E4227" s="4" t="s">
        <v>921</v>
      </c>
      <c r="F4227" s="46" t="s">
        <v>2136</v>
      </c>
      <c r="G4227" s="4" t="s">
        <v>336</v>
      </c>
      <c r="H4227" s="4" t="s">
        <v>380</v>
      </c>
      <c r="I4227" s="4">
        <v>2</v>
      </c>
      <c r="J4227" s="21">
        <v>230</v>
      </c>
      <c r="K4227" s="21">
        <v>460</v>
      </c>
      <c r="L4227" s="5">
        <v>0</v>
      </c>
      <c r="M4227" s="4"/>
      <c r="N4227" s="4"/>
      <c r="O4227" s="5"/>
      <c r="P4227" s="5"/>
      <c r="Q4227" s="21">
        <v>0</v>
      </c>
      <c r="R4227" s="21">
        <v>0</v>
      </c>
      <c r="S4227" s="5">
        <f t="shared" si="263"/>
        <v>31037.242997470872</v>
      </c>
      <c r="T4227" cm="1">
        <f t="array" ref="T4227">IF(OR(B4227="MAL ALIMI", B4227="ÜRETİM GİRİŞ"), MIN(I4227, MAX(0, I4227 + SUM(SUMIFS($I$1:I4226, $C$1:C4226, C4227, $B$1:B4226, {"MAL ALIMI","ÜRETİM GİRİŞ"})) - VLOOKUP(C4227, 'STOK RAPORU'!$C$2:$I$1000, 4, 0))), 0)</f>
        <v>0</v>
      </c>
      <c r="U4227" s="22">
        <f t="shared" si="264"/>
        <v>0</v>
      </c>
      <c r="V4227">
        <f t="shared" si="265"/>
        <v>0</v>
      </c>
      <c r="W4227" s="22">
        <f t="shared" si="266"/>
        <v>0</v>
      </c>
    </row>
    <row r="4228" spans="1:23" hidden="1" x14ac:dyDescent="0.25">
      <c r="A4228" s="3">
        <v>46070</v>
      </c>
      <c r="B4228" s="4" t="s">
        <v>334</v>
      </c>
      <c r="C4228" s="4" t="s">
        <v>168</v>
      </c>
      <c r="D4228" s="4"/>
      <c r="E4228" s="4" t="s">
        <v>921</v>
      </c>
      <c r="F4228" s="46" t="s">
        <v>2136</v>
      </c>
      <c r="G4228" s="4" t="s">
        <v>336</v>
      </c>
      <c r="H4228" s="4" t="s">
        <v>380</v>
      </c>
      <c r="I4228" s="4">
        <v>1</v>
      </c>
      <c r="J4228" s="21">
        <v>230</v>
      </c>
      <c r="K4228" s="21">
        <v>230</v>
      </c>
      <c r="L4228" s="5">
        <v>0</v>
      </c>
      <c r="M4228" s="4"/>
      <c r="N4228" s="4"/>
      <c r="O4228" s="5"/>
      <c r="P4228" s="5"/>
      <c r="Q4228" s="21">
        <v>0</v>
      </c>
      <c r="R4228" s="21">
        <v>0</v>
      </c>
      <c r="S4228" s="5">
        <f t="shared" ref="S4228:S4291" si="267">S4227+Q4228-R4228</f>
        <v>31037.242997470872</v>
      </c>
      <c r="T4228" cm="1">
        <f t="array" ref="T4228">IF(OR(B4228="MAL ALIMI", B4228="ÜRETİM GİRİŞ"), MIN(I4228, MAX(0, I4228 + SUM(SUMIFS($I$1:I4227, $C$1:C4227, C4228, $B$1:B4227, {"MAL ALIMI","ÜRETİM GİRİŞ"})) - VLOOKUP(C4228, 'STOK RAPORU'!$C$2:$I$1000, 4, 0))), 0)</f>
        <v>0</v>
      </c>
      <c r="U4228" s="22">
        <f t="shared" si="264"/>
        <v>0</v>
      </c>
      <c r="V4228">
        <f t="shared" si="265"/>
        <v>0</v>
      </c>
      <c r="W4228" s="22">
        <f t="shared" si="266"/>
        <v>0</v>
      </c>
    </row>
    <row r="4229" spans="1:23" hidden="1" x14ac:dyDescent="0.25">
      <c r="A4229" s="3">
        <v>46070</v>
      </c>
      <c r="B4229" s="4" t="s">
        <v>334</v>
      </c>
      <c r="C4229" s="4" t="s">
        <v>158</v>
      </c>
      <c r="D4229" s="4"/>
      <c r="E4229" s="4" t="s">
        <v>921</v>
      </c>
      <c r="F4229" s="46" t="s">
        <v>2136</v>
      </c>
      <c r="G4229" s="4" t="s">
        <v>336</v>
      </c>
      <c r="H4229" s="4" t="s">
        <v>380</v>
      </c>
      <c r="I4229" s="4">
        <v>1</v>
      </c>
      <c r="J4229" s="21">
        <v>150</v>
      </c>
      <c r="K4229" s="21">
        <v>150</v>
      </c>
      <c r="L4229" s="5">
        <v>0</v>
      </c>
      <c r="M4229" s="4"/>
      <c r="N4229" s="4"/>
      <c r="O4229" s="5"/>
      <c r="P4229" s="5"/>
      <c r="Q4229" s="21">
        <v>0</v>
      </c>
      <c r="R4229" s="21">
        <v>0</v>
      </c>
      <c r="S4229" s="5">
        <f t="shared" si="267"/>
        <v>31037.242997470872</v>
      </c>
      <c r="T4229" cm="1">
        <f t="array" ref="T4229">IF(OR(B4229="MAL ALIMI", B4229="ÜRETİM GİRİŞ"), MIN(I4229, MAX(0, I4229 + SUM(SUMIFS($I$1:I4228, $C$1:C4228, C4229, $B$1:B4228, {"MAL ALIMI","ÜRETİM GİRİŞ"})) - VLOOKUP(C4229, 'STOK RAPORU'!$C$2:$I$1000, 4, 0))), 0)</f>
        <v>0</v>
      </c>
      <c r="U4229" s="22">
        <f t="shared" si="264"/>
        <v>0</v>
      </c>
      <c r="V4229">
        <f t="shared" si="265"/>
        <v>0</v>
      </c>
      <c r="W4229" s="22">
        <f t="shared" si="266"/>
        <v>0</v>
      </c>
    </row>
    <row r="4230" spans="1:23" hidden="1" x14ac:dyDescent="0.25">
      <c r="A4230" s="3">
        <v>46070</v>
      </c>
      <c r="B4230" s="4" t="s">
        <v>334</v>
      </c>
      <c r="C4230" s="4" t="s">
        <v>265</v>
      </c>
      <c r="D4230" s="4"/>
      <c r="E4230" s="4"/>
      <c r="F4230" s="46" t="s">
        <v>2137</v>
      </c>
      <c r="G4230" s="4" t="s">
        <v>336</v>
      </c>
      <c r="H4230" s="4" t="s">
        <v>289</v>
      </c>
      <c r="I4230" s="4">
        <v>1</v>
      </c>
      <c r="J4230" s="21">
        <v>130</v>
      </c>
      <c r="K4230" s="21">
        <v>0</v>
      </c>
      <c r="L4230" s="5">
        <v>0</v>
      </c>
      <c r="M4230" s="4"/>
      <c r="N4230" s="4"/>
      <c r="O4230" s="5"/>
      <c r="P4230" s="5"/>
      <c r="Q4230" s="21">
        <v>130</v>
      </c>
      <c r="R4230" s="21">
        <v>0</v>
      </c>
      <c r="S4230" s="5">
        <f t="shared" si="267"/>
        <v>31167.242997470872</v>
      </c>
      <c r="T4230" cm="1">
        <f t="array" ref="T4230">IF(OR(B4230="MAL ALIMI", B4230="ÜRETİM GİRİŞ"), MIN(I4230, MAX(0, I4230 + SUM(SUMIFS($I$1:I4229, $C$1:C4229, C4230, $B$1:B4229, {"MAL ALIMI","ÜRETİM GİRİŞ"})) - VLOOKUP(C4230, 'STOK RAPORU'!$C$2:$I$1000, 4, 0))), 0)</f>
        <v>0</v>
      </c>
      <c r="U4230" s="22">
        <f t="shared" si="264"/>
        <v>0</v>
      </c>
      <c r="V4230">
        <f t="shared" si="265"/>
        <v>0</v>
      </c>
      <c r="W4230" s="22">
        <f t="shared" si="266"/>
        <v>0</v>
      </c>
    </row>
    <row r="4231" spans="1:23" hidden="1" x14ac:dyDescent="0.25">
      <c r="A4231" s="3">
        <v>46070</v>
      </c>
      <c r="B4231" s="4" t="s">
        <v>334</v>
      </c>
      <c r="C4231" s="4" t="s">
        <v>843</v>
      </c>
      <c r="D4231" s="4"/>
      <c r="E4231" s="4"/>
      <c r="F4231" s="46" t="s">
        <v>2137</v>
      </c>
      <c r="G4231" s="4" t="s">
        <v>336</v>
      </c>
      <c r="H4231" s="4" t="s">
        <v>289</v>
      </c>
      <c r="I4231" s="4">
        <v>0.1</v>
      </c>
      <c r="J4231" s="21">
        <v>900</v>
      </c>
      <c r="K4231" s="21">
        <v>0</v>
      </c>
      <c r="L4231" s="5">
        <v>0</v>
      </c>
      <c r="M4231" s="4"/>
      <c r="N4231" s="4"/>
      <c r="O4231" s="5"/>
      <c r="P4231" s="5"/>
      <c r="Q4231" s="21">
        <v>90</v>
      </c>
      <c r="R4231" s="21">
        <v>0</v>
      </c>
      <c r="S4231" s="5">
        <f t="shared" si="267"/>
        <v>31257.242997470872</v>
      </c>
      <c r="T4231" cm="1">
        <f t="array" ref="T4231">IF(OR(B4231="MAL ALIMI", B4231="ÜRETİM GİRİŞ"), MIN(I4231, MAX(0, I4231 + SUM(SUMIFS($I$1:I4230, $C$1:C4230, C4231, $B$1:B4230, {"MAL ALIMI","ÜRETİM GİRİŞ"})) - VLOOKUP(C4231, 'STOK RAPORU'!$C$2:$I$1000, 4, 0))), 0)</f>
        <v>0</v>
      </c>
      <c r="U4231" s="22">
        <f t="shared" si="264"/>
        <v>0</v>
      </c>
      <c r="V4231">
        <f t="shared" si="265"/>
        <v>0</v>
      </c>
      <c r="W4231" s="22">
        <f t="shared" si="266"/>
        <v>0</v>
      </c>
    </row>
    <row r="4232" spans="1:23" hidden="1" x14ac:dyDescent="0.25">
      <c r="A4232" s="3">
        <v>46070</v>
      </c>
      <c r="B4232" s="4" t="s">
        <v>334</v>
      </c>
      <c r="C4232" s="4" t="s">
        <v>160</v>
      </c>
      <c r="D4232" s="4"/>
      <c r="E4232" s="4"/>
      <c r="F4232" s="46" t="s">
        <v>2138</v>
      </c>
      <c r="G4232" s="4" t="s">
        <v>336</v>
      </c>
      <c r="H4232" s="4" t="s">
        <v>289</v>
      </c>
      <c r="I4232" s="4">
        <v>0.5</v>
      </c>
      <c r="J4232" s="21">
        <v>250</v>
      </c>
      <c r="K4232" s="21">
        <v>0</v>
      </c>
      <c r="L4232" s="5">
        <v>0</v>
      </c>
      <c r="M4232" s="4"/>
      <c r="N4232" s="4"/>
      <c r="O4232" s="5"/>
      <c r="P4232" s="5"/>
      <c r="Q4232" s="21">
        <v>125</v>
      </c>
      <c r="R4232" s="21">
        <v>0</v>
      </c>
      <c r="S4232" s="5">
        <f t="shared" si="267"/>
        <v>31382.242997470872</v>
      </c>
      <c r="T4232" cm="1">
        <f t="array" ref="T4232">IF(OR(B4232="MAL ALIMI", B4232="ÜRETİM GİRİŞ"), MIN(I4232, MAX(0, I4232 + SUM(SUMIFS($I$1:I4231, $C$1:C4231, C4232, $B$1:B4231, {"MAL ALIMI","ÜRETİM GİRİŞ"})) - VLOOKUP(C4232, 'STOK RAPORU'!$C$2:$I$1000, 4, 0))), 0)</f>
        <v>0</v>
      </c>
      <c r="U4232" s="22">
        <f t="shared" si="264"/>
        <v>0</v>
      </c>
      <c r="V4232">
        <f t="shared" si="265"/>
        <v>0</v>
      </c>
      <c r="W4232" s="22">
        <f t="shared" si="266"/>
        <v>0</v>
      </c>
    </row>
    <row r="4233" spans="1:23" hidden="1" x14ac:dyDescent="0.25">
      <c r="A4233" s="3">
        <v>46070</v>
      </c>
      <c r="B4233" s="4" t="s">
        <v>334</v>
      </c>
      <c r="C4233" s="4" t="s">
        <v>161</v>
      </c>
      <c r="D4233" s="4"/>
      <c r="E4233" s="4"/>
      <c r="F4233" s="46" t="s">
        <v>2138</v>
      </c>
      <c r="G4233" s="4" t="s">
        <v>336</v>
      </c>
      <c r="H4233" s="4" t="s">
        <v>289</v>
      </c>
      <c r="I4233" s="4">
        <v>0.5</v>
      </c>
      <c r="J4233" s="21">
        <v>230</v>
      </c>
      <c r="K4233" s="21">
        <v>0</v>
      </c>
      <c r="L4233" s="5">
        <v>0</v>
      </c>
      <c r="M4233" s="4"/>
      <c r="N4233" s="4"/>
      <c r="O4233" s="5"/>
      <c r="P4233" s="5"/>
      <c r="Q4233" s="21">
        <v>115</v>
      </c>
      <c r="R4233" s="21">
        <v>0</v>
      </c>
      <c r="S4233" s="5">
        <f t="shared" si="267"/>
        <v>31497.242997470872</v>
      </c>
      <c r="T4233" cm="1">
        <f t="array" ref="T4233">IF(OR(B4233="MAL ALIMI", B4233="ÜRETİM GİRİŞ"), MIN(I4233, MAX(0, I4233 + SUM(SUMIFS($I$1:I4232, $C$1:C4232, C4233, $B$1:B4232, {"MAL ALIMI","ÜRETİM GİRİŞ"})) - VLOOKUP(C4233, 'STOK RAPORU'!$C$2:$I$1000, 4, 0))), 0)</f>
        <v>0</v>
      </c>
      <c r="U4233" s="22">
        <f t="shared" si="264"/>
        <v>0</v>
      </c>
      <c r="V4233">
        <f t="shared" si="265"/>
        <v>0</v>
      </c>
      <c r="W4233" s="22">
        <f t="shared" si="266"/>
        <v>0</v>
      </c>
    </row>
    <row r="4234" spans="1:23" hidden="1" x14ac:dyDescent="0.25">
      <c r="A4234" s="3">
        <v>46070</v>
      </c>
      <c r="B4234" s="4" t="s">
        <v>334</v>
      </c>
      <c r="C4234" s="4" t="s">
        <v>2129</v>
      </c>
      <c r="D4234" s="4"/>
      <c r="E4234" s="4" t="s">
        <v>921</v>
      </c>
      <c r="F4234" s="46" t="s">
        <v>2139</v>
      </c>
      <c r="G4234" s="4" t="s">
        <v>336</v>
      </c>
      <c r="H4234" s="4" t="s">
        <v>380</v>
      </c>
      <c r="I4234" s="4">
        <v>0.54285714285714282</v>
      </c>
      <c r="J4234" s="21">
        <v>420</v>
      </c>
      <c r="K4234" s="21">
        <v>227.99999999999997</v>
      </c>
      <c r="L4234" s="5">
        <v>0</v>
      </c>
      <c r="M4234" s="4"/>
      <c r="N4234" s="4"/>
      <c r="O4234" s="5"/>
      <c r="P4234" s="5"/>
      <c r="Q4234" s="21">
        <v>0</v>
      </c>
      <c r="R4234" s="21">
        <v>0</v>
      </c>
      <c r="S4234" s="5">
        <f t="shared" si="267"/>
        <v>31497.242997470872</v>
      </c>
      <c r="T4234" cm="1">
        <f t="array" ref="T4234">IF(OR(B4234="MAL ALIMI", B4234="ÜRETİM GİRİŞ"), MIN(I4234, MAX(0, I4234 + SUM(SUMIFS($I$1:I4233, $C$1:C4233, C4234, $B$1:B4233, {"MAL ALIMI","ÜRETİM GİRİŞ"})) - VLOOKUP(C4234, 'STOK RAPORU'!$C$2:$I$1000, 4, 0))), 0)</f>
        <v>0</v>
      </c>
      <c r="U4234" s="22">
        <f t="shared" si="264"/>
        <v>0</v>
      </c>
      <c r="V4234">
        <f t="shared" si="265"/>
        <v>0</v>
      </c>
      <c r="W4234" s="22">
        <f t="shared" si="266"/>
        <v>0</v>
      </c>
    </row>
    <row r="4235" spans="1:23" hidden="1" x14ac:dyDescent="0.25">
      <c r="A4235" s="3">
        <v>46070</v>
      </c>
      <c r="B4235" s="4" t="s">
        <v>334</v>
      </c>
      <c r="C4235" s="4" t="s">
        <v>2125</v>
      </c>
      <c r="D4235" s="4"/>
      <c r="E4235" s="4" t="s">
        <v>921</v>
      </c>
      <c r="F4235" s="46" t="s">
        <v>2139</v>
      </c>
      <c r="G4235" s="4" t="s">
        <v>336</v>
      </c>
      <c r="H4235" s="4" t="s">
        <v>380</v>
      </c>
      <c r="I4235" s="4">
        <v>1.03</v>
      </c>
      <c r="J4235" s="21">
        <v>370</v>
      </c>
      <c r="K4235" s="21">
        <v>381.1</v>
      </c>
      <c r="L4235" s="5">
        <v>0</v>
      </c>
      <c r="M4235" s="4"/>
      <c r="N4235" s="4"/>
      <c r="O4235" s="5"/>
      <c r="P4235" s="5"/>
      <c r="Q4235" s="21">
        <v>0</v>
      </c>
      <c r="R4235" s="21">
        <v>0</v>
      </c>
      <c r="S4235" s="5">
        <f t="shared" si="267"/>
        <v>31497.242997470872</v>
      </c>
      <c r="T4235" cm="1">
        <f t="array" ref="T4235">IF(OR(B4235="MAL ALIMI", B4235="ÜRETİM GİRİŞ"), MIN(I4235, MAX(0, I4235 + SUM(SUMIFS($I$1:I4234, $C$1:C4234, C4235, $B$1:B4234, {"MAL ALIMI","ÜRETİM GİRİŞ"})) - VLOOKUP(C4235, 'STOK RAPORU'!$C$2:$I$1000, 4, 0))), 0)</f>
        <v>0</v>
      </c>
      <c r="U4235" s="22">
        <f t="shared" si="264"/>
        <v>0</v>
      </c>
      <c r="V4235">
        <f t="shared" si="265"/>
        <v>0</v>
      </c>
      <c r="W4235" s="22">
        <f t="shared" si="266"/>
        <v>0</v>
      </c>
    </row>
    <row r="4236" spans="1:23" hidden="1" x14ac:dyDescent="0.25">
      <c r="A4236" s="3">
        <v>46070</v>
      </c>
      <c r="B4236" s="4" t="s">
        <v>334</v>
      </c>
      <c r="C4236" s="4" t="s">
        <v>129</v>
      </c>
      <c r="D4236" s="4"/>
      <c r="E4236" s="4" t="s">
        <v>921</v>
      </c>
      <c r="F4236" s="46" t="s">
        <v>2139</v>
      </c>
      <c r="G4236" s="4" t="s">
        <v>336</v>
      </c>
      <c r="H4236" s="4" t="s">
        <v>380</v>
      </c>
      <c r="I4236" s="4">
        <v>4.2500000000000003E-2</v>
      </c>
      <c r="J4236" s="21">
        <v>400</v>
      </c>
      <c r="K4236" s="21">
        <v>17</v>
      </c>
      <c r="L4236" s="5">
        <v>0</v>
      </c>
      <c r="M4236" s="4"/>
      <c r="N4236" s="4"/>
      <c r="O4236" s="5"/>
      <c r="P4236" s="5"/>
      <c r="Q4236" s="21">
        <v>0</v>
      </c>
      <c r="R4236" s="21">
        <v>0</v>
      </c>
      <c r="S4236" s="5">
        <f t="shared" si="267"/>
        <v>31497.242997470872</v>
      </c>
      <c r="T4236" cm="1">
        <f t="array" ref="T4236">IF(OR(B4236="MAL ALIMI", B4236="ÜRETİM GİRİŞ"), MIN(I4236, MAX(0, I4236 + SUM(SUMIFS($I$1:I4235, $C$1:C4235, C4236, $B$1:B4235, {"MAL ALIMI","ÜRETİM GİRİŞ"})) - VLOOKUP(C4236, 'STOK RAPORU'!$C$2:$I$1000, 4, 0))), 0)</f>
        <v>0</v>
      </c>
      <c r="U4236" s="22">
        <f t="shared" si="264"/>
        <v>0</v>
      </c>
      <c r="V4236">
        <f t="shared" si="265"/>
        <v>0</v>
      </c>
      <c r="W4236" s="22">
        <f t="shared" si="266"/>
        <v>0</v>
      </c>
    </row>
    <row r="4237" spans="1:23" hidden="1" x14ac:dyDescent="0.25">
      <c r="A4237" s="3">
        <v>46070</v>
      </c>
      <c r="B4237" s="4" t="s">
        <v>334</v>
      </c>
      <c r="C4237" s="4" t="s">
        <v>2087</v>
      </c>
      <c r="D4237" s="4"/>
      <c r="E4237" s="4" t="s">
        <v>921</v>
      </c>
      <c r="F4237" s="46" t="s">
        <v>2139</v>
      </c>
      <c r="G4237" s="4" t="s">
        <v>336</v>
      </c>
      <c r="H4237" s="4" t="s">
        <v>380</v>
      </c>
      <c r="I4237" s="4">
        <v>0.28000000000000003</v>
      </c>
      <c r="J4237" s="21">
        <v>355</v>
      </c>
      <c r="K4237" s="21">
        <v>99.4</v>
      </c>
      <c r="L4237" s="5">
        <v>0</v>
      </c>
      <c r="M4237" s="4"/>
      <c r="N4237" s="4"/>
      <c r="O4237" s="5"/>
      <c r="P4237" s="5"/>
      <c r="Q4237" s="21">
        <v>0</v>
      </c>
      <c r="R4237" s="21">
        <v>0</v>
      </c>
      <c r="S4237" s="5">
        <f t="shared" si="267"/>
        <v>31497.242997470872</v>
      </c>
      <c r="T4237" cm="1">
        <f t="array" ref="T4237">IF(OR(B4237="MAL ALIMI", B4237="ÜRETİM GİRİŞ"), MIN(I4237, MAX(0, I4237 + SUM(SUMIFS($I$1:I4236, $C$1:C4236, C4237, $B$1:B4236, {"MAL ALIMI","ÜRETİM GİRİŞ"})) - VLOOKUP(C4237, 'STOK RAPORU'!$C$2:$I$1000, 4, 0))), 0)</f>
        <v>0</v>
      </c>
      <c r="U4237" s="22">
        <f t="shared" si="264"/>
        <v>0</v>
      </c>
      <c r="V4237">
        <f t="shared" si="265"/>
        <v>0</v>
      </c>
      <c r="W4237" s="22">
        <f t="shared" si="266"/>
        <v>0</v>
      </c>
    </row>
    <row r="4238" spans="1:23" hidden="1" x14ac:dyDescent="0.25">
      <c r="A4238" s="3">
        <v>46070</v>
      </c>
      <c r="B4238" s="4" t="s">
        <v>334</v>
      </c>
      <c r="C4238" s="4" t="s">
        <v>209</v>
      </c>
      <c r="D4238" s="4"/>
      <c r="E4238" s="4"/>
      <c r="F4238" s="46" t="s">
        <v>2140</v>
      </c>
      <c r="G4238" s="4" t="s">
        <v>336</v>
      </c>
      <c r="H4238" s="4" t="s">
        <v>289</v>
      </c>
      <c r="I4238" s="4">
        <v>0.05</v>
      </c>
      <c r="J4238" s="21">
        <v>2600</v>
      </c>
      <c r="K4238" s="21">
        <v>0</v>
      </c>
      <c r="L4238" s="5">
        <v>0</v>
      </c>
      <c r="M4238" s="4"/>
      <c r="N4238" s="4"/>
      <c r="O4238" s="5"/>
      <c r="P4238" s="5"/>
      <c r="Q4238" s="21">
        <v>130</v>
      </c>
      <c r="R4238" s="21">
        <v>0</v>
      </c>
      <c r="S4238" s="5">
        <f t="shared" si="267"/>
        <v>31627.242997470872</v>
      </c>
      <c r="T4238" cm="1">
        <f t="array" ref="T4238">IF(OR(B4238="MAL ALIMI", B4238="ÜRETİM GİRİŞ"), MIN(I4238, MAX(0, I4238 + SUM(SUMIFS($I$1:I4237, $C$1:C4237, C4238, $B$1:B4237, {"MAL ALIMI","ÜRETİM GİRİŞ"})) - VLOOKUP(C4238, 'STOK RAPORU'!$C$2:$I$1000, 4, 0))), 0)</f>
        <v>0</v>
      </c>
      <c r="U4238" s="22">
        <f t="shared" si="264"/>
        <v>0</v>
      </c>
      <c r="V4238">
        <f t="shared" si="265"/>
        <v>0</v>
      </c>
      <c r="W4238" s="22">
        <f t="shared" si="266"/>
        <v>0</v>
      </c>
    </row>
    <row r="4239" spans="1:23" hidden="1" x14ac:dyDescent="0.25">
      <c r="A4239" s="3">
        <v>46070</v>
      </c>
      <c r="B4239" s="4" t="s">
        <v>334</v>
      </c>
      <c r="C4239" s="4" t="s">
        <v>2117</v>
      </c>
      <c r="D4239" s="4"/>
      <c r="E4239" s="4"/>
      <c r="F4239" s="46" t="s">
        <v>2141</v>
      </c>
      <c r="G4239" s="4" t="s">
        <v>336</v>
      </c>
      <c r="H4239" s="4" t="s">
        <v>289</v>
      </c>
      <c r="I4239" s="4">
        <v>1</v>
      </c>
      <c r="J4239" s="21">
        <v>30</v>
      </c>
      <c r="K4239" s="21">
        <v>0</v>
      </c>
      <c r="L4239" s="5">
        <v>0</v>
      </c>
      <c r="M4239" s="4"/>
      <c r="N4239" s="4"/>
      <c r="O4239" s="5"/>
      <c r="P4239" s="5"/>
      <c r="Q4239" s="21">
        <v>30</v>
      </c>
      <c r="R4239" s="21">
        <v>0</v>
      </c>
      <c r="S4239" s="5">
        <f t="shared" si="267"/>
        <v>31657.242997470872</v>
      </c>
      <c r="T4239" cm="1">
        <f t="array" ref="T4239">IF(OR(B4239="MAL ALIMI", B4239="ÜRETİM GİRİŞ"), MIN(I4239, MAX(0, I4239 + SUM(SUMIFS($I$1:I4238, $C$1:C4238, C4239, $B$1:B4238, {"MAL ALIMI","ÜRETİM GİRİŞ"})) - VLOOKUP(C4239, 'STOK RAPORU'!$C$2:$I$1000, 4, 0))), 0)</f>
        <v>0</v>
      </c>
      <c r="U4239" s="22">
        <f t="shared" si="264"/>
        <v>0</v>
      </c>
      <c r="V4239">
        <f t="shared" si="265"/>
        <v>0</v>
      </c>
      <c r="W4239" s="22">
        <f t="shared" si="266"/>
        <v>0</v>
      </c>
    </row>
    <row r="4240" spans="1:23" hidden="1" x14ac:dyDescent="0.25">
      <c r="A4240" s="3">
        <v>46070</v>
      </c>
      <c r="B4240" s="4" t="s">
        <v>334</v>
      </c>
      <c r="C4240" s="4" t="s">
        <v>195</v>
      </c>
      <c r="D4240" s="4"/>
      <c r="E4240" s="4"/>
      <c r="F4240" s="46" t="s">
        <v>2142</v>
      </c>
      <c r="G4240" s="4" t="s">
        <v>336</v>
      </c>
      <c r="H4240" s="4" t="s">
        <v>289</v>
      </c>
      <c r="I4240" s="4">
        <v>0.05</v>
      </c>
      <c r="J4240" s="21">
        <v>1000</v>
      </c>
      <c r="K4240" s="21">
        <v>0</v>
      </c>
      <c r="L4240" s="5">
        <v>0</v>
      </c>
      <c r="M4240" s="4"/>
      <c r="N4240" s="4"/>
      <c r="O4240" s="5"/>
      <c r="P4240" s="5"/>
      <c r="Q4240" s="21">
        <v>50</v>
      </c>
      <c r="R4240" s="21">
        <v>0</v>
      </c>
      <c r="S4240" s="5">
        <f t="shared" si="267"/>
        <v>31707.242997470872</v>
      </c>
      <c r="T4240" cm="1">
        <f t="array" ref="T4240">IF(OR(B4240="MAL ALIMI", B4240="ÜRETİM GİRİŞ"), MIN(I4240, MAX(0, I4240 + SUM(SUMIFS($I$1:I4239, $C$1:C4239, C4240, $B$1:B4239, {"MAL ALIMI","ÜRETİM GİRİŞ"})) - VLOOKUP(C4240, 'STOK RAPORU'!$C$2:$I$1000, 4, 0))), 0)</f>
        <v>0</v>
      </c>
      <c r="U4240" s="22">
        <f t="shared" si="264"/>
        <v>0</v>
      </c>
      <c r="V4240">
        <f t="shared" si="265"/>
        <v>0</v>
      </c>
      <c r="W4240" s="22">
        <f t="shared" si="266"/>
        <v>0</v>
      </c>
    </row>
    <row r="4241" spans="1:23" hidden="1" x14ac:dyDescent="0.25">
      <c r="A4241" s="3">
        <v>46070</v>
      </c>
      <c r="B4241" s="4" t="s">
        <v>334</v>
      </c>
      <c r="C4241" s="4" t="s">
        <v>131</v>
      </c>
      <c r="D4241" s="4"/>
      <c r="E4241" s="4"/>
      <c r="F4241" s="46" t="s">
        <v>2143</v>
      </c>
      <c r="G4241" s="4" t="s">
        <v>336</v>
      </c>
      <c r="H4241" s="4" t="s">
        <v>289</v>
      </c>
      <c r="I4241" s="4">
        <v>7.0000000000000007E-2</v>
      </c>
      <c r="J4241" s="21">
        <v>400</v>
      </c>
      <c r="K4241" s="21">
        <v>0</v>
      </c>
      <c r="L4241" s="5">
        <v>0</v>
      </c>
      <c r="M4241" s="4"/>
      <c r="N4241" s="4"/>
      <c r="O4241" s="5"/>
      <c r="P4241" s="5"/>
      <c r="Q4241" s="21">
        <v>28.000000000000004</v>
      </c>
      <c r="R4241" s="21">
        <v>0</v>
      </c>
      <c r="S4241" s="5">
        <f t="shared" si="267"/>
        <v>31735.242997470872</v>
      </c>
      <c r="T4241" cm="1">
        <f t="array" ref="T4241">IF(OR(B4241="MAL ALIMI", B4241="ÜRETİM GİRİŞ"), MIN(I4241, MAX(0, I4241 + SUM(SUMIFS($I$1:I4240, $C$1:C4240, C4241, $B$1:B4240, {"MAL ALIMI","ÜRETİM GİRİŞ"})) - VLOOKUP(C4241, 'STOK RAPORU'!$C$2:$I$1000, 4, 0))), 0)</f>
        <v>0</v>
      </c>
      <c r="U4241" s="22">
        <f t="shared" si="264"/>
        <v>0</v>
      </c>
      <c r="V4241">
        <f t="shared" si="265"/>
        <v>0</v>
      </c>
      <c r="W4241" s="22">
        <f t="shared" si="266"/>
        <v>0</v>
      </c>
    </row>
    <row r="4242" spans="1:23" hidden="1" x14ac:dyDescent="0.25">
      <c r="A4242" s="3">
        <v>46070</v>
      </c>
      <c r="B4242" s="4" t="s">
        <v>334</v>
      </c>
      <c r="C4242" s="4" t="s">
        <v>132</v>
      </c>
      <c r="D4242" s="4"/>
      <c r="E4242" s="4"/>
      <c r="F4242" s="46" t="s">
        <v>2143</v>
      </c>
      <c r="G4242" s="4" t="s">
        <v>336</v>
      </c>
      <c r="H4242" s="4" t="s">
        <v>289</v>
      </c>
      <c r="I4242" s="4">
        <v>0.128</v>
      </c>
      <c r="J4242" s="21">
        <v>500</v>
      </c>
      <c r="K4242" s="21">
        <v>0</v>
      </c>
      <c r="L4242" s="5">
        <v>0</v>
      </c>
      <c r="M4242" s="4"/>
      <c r="N4242" s="4"/>
      <c r="O4242" s="5"/>
      <c r="P4242" s="5"/>
      <c r="Q4242" s="21">
        <v>64</v>
      </c>
      <c r="R4242" s="21">
        <v>0</v>
      </c>
      <c r="S4242" s="5">
        <f t="shared" si="267"/>
        <v>31799.242997470872</v>
      </c>
      <c r="T4242" cm="1">
        <f t="array" ref="T4242">IF(OR(B4242="MAL ALIMI", B4242="ÜRETİM GİRİŞ"), MIN(I4242, MAX(0, I4242 + SUM(SUMIFS($I$1:I4241, $C$1:C4241, C4242, $B$1:B4241, {"MAL ALIMI","ÜRETİM GİRİŞ"})) - VLOOKUP(C4242, 'STOK RAPORU'!$C$2:$I$1000, 4, 0))), 0)</f>
        <v>0</v>
      </c>
      <c r="U4242" s="22">
        <f t="shared" si="264"/>
        <v>0</v>
      </c>
      <c r="V4242">
        <f t="shared" si="265"/>
        <v>0</v>
      </c>
      <c r="W4242" s="22">
        <f t="shared" si="266"/>
        <v>0</v>
      </c>
    </row>
    <row r="4243" spans="1:23" hidden="1" x14ac:dyDescent="0.25">
      <c r="A4243" s="3">
        <v>46070</v>
      </c>
      <c r="B4243" s="4" t="s">
        <v>334</v>
      </c>
      <c r="C4243" s="4" t="s">
        <v>459</v>
      </c>
      <c r="D4243" s="4"/>
      <c r="E4243" s="4"/>
      <c r="F4243" s="46" t="s">
        <v>2143</v>
      </c>
      <c r="G4243" s="4" t="s">
        <v>336</v>
      </c>
      <c r="H4243" s="4" t="s">
        <v>289</v>
      </c>
      <c r="I4243" s="4">
        <v>0.5</v>
      </c>
      <c r="J4243" s="21">
        <v>140</v>
      </c>
      <c r="K4243" s="21">
        <v>0</v>
      </c>
      <c r="L4243" s="5">
        <v>0</v>
      </c>
      <c r="M4243" s="4"/>
      <c r="N4243" s="4"/>
      <c r="O4243" s="5"/>
      <c r="P4243" s="5"/>
      <c r="Q4243" s="21">
        <v>70</v>
      </c>
      <c r="R4243" s="21">
        <v>0</v>
      </c>
      <c r="S4243" s="5">
        <f t="shared" si="267"/>
        <v>31869.242997470872</v>
      </c>
      <c r="T4243" cm="1">
        <f t="array" ref="T4243">IF(OR(B4243="MAL ALIMI", B4243="ÜRETİM GİRİŞ"), MIN(I4243, MAX(0, I4243 + SUM(SUMIFS($I$1:I4242, $C$1:C4242, C4243, $B$1:B4242, {"MAL ALIMI","ÜRETİM GİRİŞ"})) - VLOOKUP(C4243, 'STOK RAPORU'!$C$2:$I$1000, 4, 0))), 0)</f>
        <v>0</v>
      </c>
      <c r="U4243" s="22">
        <f t="shared" si="264"/>
        <v>0</v>
      </c>
      <c r="V4243">
        <f t="shared" si="265"/>
        <v>0</v>
      </c>
      <c r="W4243" s="22">
        <f t="shared" si="266"/>
        <v>0</v>
      </c>
    </row>
    <row r="4244" spans="1:23" hidden="1" x14ac:dyDescent="0.25">
      <c r="A4244" s="3">
        <v>46070</v>
      </c>
      <c r="B4244" s="4" t="s">
        <v>334</v>
      </c>
      <c r="C4244" s="4" t="s">
        <v>530</v>
      </c>
      <c r="D4244" s="4"/>
      <c r="E4244" s="4"/>
      <c r="F4244" s="46" t="s">
        <v>2143</v>
      </c>
      <c r="G4244" s="4" t="s">
        <v>336</v>
      </c>
      <c r="H4244" s="4" t="s">
        <v>289</v>
      </c>
      <c r="I4244" s="4">
        <v>0.5</v>
      </c>
      <c r="J4244" s="21">
        <v>300</v>
      </c>
      <c r="K4244" s="21">
        <v>0</v>
      </c>
      <c r="L4244" s="5">
        <v>0</v>
      </c>
      <c r="M4244" s="4"/>
      <c r="N4244" s="4"/>
      <c r="O4244" s="5"/>
      <c r="P4244" s="5"/>
      <c r="Q4244" s="21">
        <v>150</v>
      </c>
      <c r="R4244" s="21">
        <v>0</v>
      </c>
      <c r="S4244" s="5">
        <f t="shared" si="267"/>
        <v>32019.242997470872</v>
      </c>
      <c r="T4244" cm="1">
        <f t="array" ref="T4244">IF(OR(B4244="MAL ALIMI", B4244="ÜRETİM GİRİŞ"), MIN(I4244, MAX(0, I4244 + SUM(SUMIFS($I$1:I4243, $C$1:C4243, C4244, $B$1:B4243, {"MAL ALIMI","ÜRETİM GİRİŞ"})) - VLOOKUP(C4244, 'STOK RAPORU'!$C$2:$I$1000, 4, 0))), 0)</f>
        <v>0</v>
      </c>
      <c r="U4244" s="22">
        <f t="shared" si="264"/>
        <v>0</v>
      </c>
      <c r="V4244">
        <f t="shared" si="265"/>
        <v>0</v>
      </c>
      <c r="W4244" s="22">
        <f t="shared" si="266"/>
        <v>0</v>
      </c>
    </row>
    <row r="4245" spans="1:23" hidden="1" x14ac:dyDescent="0.25">
      <c r="A4245" s="3">
        <v>46070</v>
      </c>
      <c r="B4245" s="4" t="s">
        <v>334</v>
      </c>
      <c r="C4245" s="4" t="s">
        <v>160</v>
      </c>
      <c r="D4245" s="4"/>
      <c r="E4245" s="4"/>
      <c r="F4245" s="46" t="s">
        <v>2143</v>
      </c>
      <c r="G4245" s="4" t="s">
        <v>336</v>
      </c>
      <c r="H4245" s="4" t="s">
        <v>289</v>
      </c>
      <c r="I4245" s="4">
        <v>0.5</v>
      </c>
      <c r="J4245" s="21">
        <v>250</v>
      </c>
      <c r="K4245" s="21">
        <v>0</v>
      </c>
      <c r="L4245" s="5">
        <v>0</v>
      </c>
      <c r="M4245" s="4"/>
      <c r="N4245" s="4"/>
      <c r="O4245" s="5"/>
      <c r="P4245" s="5"/>
      <c r="Q4245" s="21">
        <v>125</v>
      </c>
      <c r="R4245" s="21">
        <v>0</v>
      </c>
      <c r="S4245" s="5">
        <f t="shared" si="267"/>
        <v>32144.242997470872</v>
      </c>
      <c r="T4245" cm="1">
        <f t="array" ref="T4245">IF(OR(B4245="MAL ALIMI", B4245="ÜRETİM GİRİŞ"), MIN(I4245, MAX(0, I4245 + SUM(SUMIFS($I$1:I4244, $C$1:C4244, C4245, $B$1:B4244, {"MAL ALIMI","ÜRETİM GİRİŞ"})) - VLOOKUP(C4245, 'STOK RAPORU'!$C$2:$I$1000, 4, 0))), 0)</f>
        <v>0</v>
      </c>
      <c r="U4245" s="22">
        <f t="shared" si="264"/>
        <v>0</v>
      </c>
      <c r="V4245">
        <f t="shared" si="265"/>
        <v>0</v>
      </c>
      <c r="W4245" s="22">
        <f t="shared" si="266"/>
        <v>0</v>
      </c>
    </row>
    <row r="4246" spans="1:23" hidden="1" x14ac:dyDescent="0.25">
      <c r="A4246" s="3">
        <v>46070</v>
      </c>
      <c r="B4246" s="4" t="s">
        <v>334</v>
      </c>
      <c r="C4246" s="4" t="s">
        <v>161</v>
      </c>
      <c r="D4246" s="4"/>
      <c r="E4246" s="4"/>
      <c r="F4246" s="46" t="s">
        <v>2143</v>
      </c>
      <c r="G4246" s="4" t="s">
        <v>336</v>
      </c>
      <c r="H4246" s="4" t="s">
        <v>289</v>
      </c>
      <c r="I4246" s="4">
        <v>0.2</v>
      </c>
      <c r="J4246" s="21">
        <v>230</v>
      </c>
      <c r="K4246" s="21">
        <v>0</v>
      </c>
      <c r="L4246" s="5">
        <v>0</v>
      </c>
      <c r="M4246" s="4"/>
      <c r="N4246" s="4"/>
      <c r="O4246" s="5"/>
      <c r="P4246" s="5"/>
      <c r="Q4246" s="21">
        <v>46</v>
      </c>
      <c r="R4246" s="21">
        <v>0</v>
      </c>
      <c r="S4246" s="5">
        <f t="shared" si="267"/>
        <v>32190.242997470872</v>
      </c>
      <c r="T4246" cm="1">
        <f t="array" ref="T4246">IF(OR(B4246="MAL ALIMI", B4246="ÜRETİM GİRİŞ"), MIN(I4246, MAX(0, I4246 + SUM(SUMIFS($I$1:I4245, $C$1:C4245, C4246, $B$1:B4245, {"MAL ALIMI","ÜRETİM GİRİŞ"})) - VLOOKUP(C4246, 'STOK RAPORU'!$C$2:$I$1000, 4, 0))), 0)</f>
        <v>0</v>
      </c>
      <c r="U4246" s="22">
        <f t="shared" si="264"/>
        <v>0</v>
      </c>
      <c r="V4246">
        <f t="shared" si="265"/>
        <v>0</v>
      </c>
      <c r="W4246" s="22">
        <f t="shared" si="266"/>
        <v>0</v>
      </c>
    </row>
    <row r="4247" spans="1:23" hidden="1" x14ac:dyDescent="0.25">
      <c r="A4247" s="3">
        <v>46070</v>
      </c>
      <c r="B4247" s="4" t="s">
        <v>334</v>
      </c>
      <c r="C4247" s="4" t="s">
        <v>167</v>
      </c>
      <c r="D4247" s="4"/>
      <c r="E4247" s="4"/>
      <c r="F4247" s="46" t="s">
        <v>2143</v>
      </c>
      <c r="G4247" s="4" t="s">
        <v>336</v>
      </c>
      <c r="H4247" s="4" t="s">
        <v>289</v>
      </c>
      <c r="I4247" s="4">
        <v>0.3</v>
      </c>
      <c r="J4247" s="21">
        <v>230</v>
      </c>
      <c r="K4247" s="21">
        <v>0</v>
      </c>
      <c r="L4247" s="5">
        <v>0</v>
      </c>
      <c r="M4247" s="4"/>
      <c r="N4247" s="4"/>
      <c r="O4247" s="5"/>
      <c r="P4247" s="5"/>
      <c r="Q4247" s="21">
        <v>69</v>
      </c>
      <c r="R4247" s="21">
        <v>0</v>
      </c>
      <c r="S4247" s="5">
        <f t="shared" si="267"/>
        <v>32259.242997470872</v>
      </c>
      <c r="T4247" cm="1">
        <f t="array" ref="T4247">IF(OR(B4247="MAL ALIMI", B4247="ÜRETİM GİRİŞ"), MIN(I4247, MAX(0, I4247 + SUM(SUMIFS($I$1:I4246, $C$1:C4246, C4247, $B$1:B4246, {"MAL ALIMI","ÜRETİM GİRİŞ"})) - VLOOKUP(C4247, 'STOK RAPORU'!$C$2:$I$1000, 4, 0))), 0)</f>
        <v>0</v>
      </c>
      <c r="U4247" s="22">
        <f t="shared" si="264"/>
        <v>0</v>
      </c>
      <c r="V4247">
        <f t="shared" si="265"/>
        <v>0</v>
      </c>
      <c r="W4247" s="22">
        <f t="shared" si="266"/>
        <v>0</v>
      </c>
    </row>
    <row r="4248" spans="1:23" hidden="1" x14ac:dyDescent="0.25">
      <c r="A4248" s="3">
        <v>46070</v>
      </c>
      <c r="B4248" s="4" t="s">
        <v>334</v>
      </c>
      <c r="C4248" s="4" t="s">
        <v>1150</v>
      </c>
      <c r="D4248" s="4"/>
      <c r="E4248" s="4"/>
      <c r="F4248" s="46" t="s">
        <v>2143</v>
      </c>
      <c r="G4248" s="4" t="s">
        <v>336</v>
      </c>
      <c r="H4248" s="4" t="s">
        <v>289</v>
      </c>
      <c r="I4248" s="4">
        <v>7.3999999999999996E-2</v>
      </c>
      <c r="J4248" s="21">
        <v>540</v>
      </c>
      <c r="K4248" s="21">
        <v>0</v>
      </c>
      <c r="L4248" s="5">
        <v>0</v>
      </c>
      <c r="M4248" s="4"/>
      <c r="N4248" s="4"/>
      <c r="O4248" s="5"/>
      <c r="P4248" s="5"/>
      <c r="Q4248" s="21">
        <v>39.96</v>
      </c>
      <c r="R4248" s="21">
        <v>0</v>
      </c>
      <c r="S4248" s="5">
        <f t="shared" si="267"/>
        <v>32299.202997470871</v>
      </c>
      <c r="T4248" cm="1">
        <f t="array" ref="T4248">IF(OR(B4248="MAL ALIMI", B4248="ÜRETİM GİRİŞ"), MIN(I4248, MAX(0, I4248 + SUM(SUMIFS($I$1:I4247, $C$1:C4247, C4248, $B$1:B4247, {"MAL ALIMI","ÜRETİM GİRİŞ"})) - VLOOKUP(C4248, 'STOK RAPORU'!$C$2:$I$1000, 4, 0))), 0)</f>
        <v>0</v>
      </c>
      <c r="U4248" s="22">
        <f t="shared" si="264"/>
        <v>0</v>
      </c>
      <c r="V4248">
        <f t="shared" si="265"/>
        <v>0</v>
      </c>
      <c r="W4248" s="22">
        <f t="shared" si="266"/>
        <v>0</v>
      </c>
    </row>
    <row r="4249" spans="1:23" hidden="1" x14ac:dyDescent="0.25">
      <c r="A4249" s="3">
        <v>46070</v>
      </c>
      <c r="B4249" s="4" t="s">
        <v>946</v>
      </c>
      <c r="C4249" s="4"/>
      <c r="D4249" s="4"/>
      <c r="E4249" s="4" t="s">
        <v>921</v>
      </c>
      <c r="F4249" s="4"/>
      <c r="G4249" s="4" t="s">
        <v>946</v>
      </c>
      <c r="H4249" s="4" t="s">
        <v>380</v>
      </c>
      <c r="I4249" s="4">
        <v>1</v>
      </c>
      <c r="J4249" s="105">
        <v>2965</v>
      </c>
      <c r="K4249" s="21">
        <v>0</v>
      </c>
      <c r="L4249" s="111">
        <v>2965</v>
      </c>
      <c r="M4249" s="4"/>
      <c r="N4249" s="4"/>
      <c r="O4249" s="5"/>
      <c r="P4249" s="5"/>
      <c r="Q4249" s="21">
        <v>2965</v>
      </c>
      <c r="R4249" s="21">
        <v>0</v>
      </c>
      <c r="S4249" s="5">
        <f t="shared" si="267"/>
        <v>35264.202997470871</v>
      </c>
      <c r="T4249" cm="1">
        <f t="array" ref="T4249">IF(OR(B4249="MAL ALIMI", B4249="ÜRETİM GİRİŞ"), MIN(I4249, MAX(0, I4249 + SUM(SUMIFS($I$1:I4248, $C$1:C4248, C4249, $B$1:B4248, {"MAL ALIMI","ÜRETİM GİRİŞ"})) - VLOOKUP(C4249, 'STOK RAPORU'!$C$2:$I$1000, 4, 0))), 0)</f>
        <v>0</v>
      </c>
      <c r="U4249" s="22">
        <f t="shared" si="264"/>
        <v>0</v>
      </c>
      <c r="V4249">
        <f t="shared" si="265"/>
        <v>0</v>
      </c>
      <c r="W4249" s="22">
        <f t="shared" si="266"/>
        <v>0</v>
      </c>
    </row>
    <row r="4250" spans="1:23" hidden="1" x14ac:dyDescent="0.25">
      <c r="A4250" s="3">
        <v>46070</v>
      </c>
      <c r="B4250" s="4" t="s">
        <v>285</v>
      </c>
      <c r="C4250" s="4"/>
      <c r="D4250" s="4" t="s">
        <v>113</v>
      </c>
      <c r="E4250" s="4"/>
      <c r="F4250" s="4"/>
      <c r="G4250" s="4" t="s">
        <v>2122</v>
      </c>
      <c r="H4250" s="4" t="s">
        <v>289</v>
      </c>
      <c r="I4250" s="4">
        <v>1</v>
      </c>
      <c r="J4250" s="21">
        <v>2000</v>
      </c>
      <c r="K4250" s="21">
        <v>0</v>
      </c>
      <c r="L4250" s="5">
        <v>0</v>
      </c>
      <c r="M4250" s="4"/>
      <c r="N4250" s="4"/>
      <c r="O4250" s="5"/>
      <c r="P4250" s="5"/>
      <c r="Q4250" s="21">
        <v>0</v>
      </c>
      <c r="R4250" s="21">
        <v>2000</v>
      </c>
      <c r="S4250" s="5">
        <f t="shared" si="267"/>
        <v>33264.202997470871</v>
      </c>
      <c r="T4250" cm="1">
        <f t="array" ref="T4250">IF(OR(B4250="MAL ALIMI", B4250="ÜRETİM GİRİŞ"), MIN(I4250, MAX(0, I4250 + SUM(SUMIFS($I$1:I4249, $C$1:C4249, C4250, $B$1:B4249, {"MAL ALIMI","ÜRETİM GİRİŞ"})) - VLOOKUP(C4250, 'STOK RAPORU'!$C$2:$I$1000, 4, 0))), 0)</f>
        <v>0</v>
      </c>
      <c r="U4250" s="22">
        <f t="shared" si="264"/>
        <v>0</v>
      </c>
      <c r="V4250">
        <f t="shared" si="265"/>
        <v>0</v>
      </c>
      <c r="W4250" s="22">
        <f t="shared" si="266"/>
        <v>0</v>
      </c>
    </row>
    <row r="4251" spans="1:23" hidden="1" x14ac:dyDescent="0.25">
      <c r="A4251" s="3">
        <v>46070</v>
      </c>
      <c r="B4251" s="4" t="s">
        <v>946</v>
      </c>
      <c r="C4251" s="4"/>
      <c r="D4251" s="4"/>
      <c r="E4251" s="4" t="s">
        <v>921</v>
      </c>
      <c r="F4251" s="4"/>
      <c r="G4251" s="4" t="s">
        <v>2123</v>
      </c>
      <c r="H4251" s="4" t="s">
        <v>380</v>
      </c>
      <c r="I4251" s="4">
        <v>1</v>
      </c>
      <c r="J4251" s="105">
        <v>1085.2</v>
      </c>
      <c r="K4251" s="35">
        <v>0</v>
      </c>
      <c r="L4251" s="111">
        <v>1085.2</v>
      </c>
      <c r="M4251" s="4"/>
      <c r="N4251" s="4"/>
      <c r="O4251" s="5"/>
      <c r="P4251" s="5"/>
      <c r="Q4251" s="35">
        <v>1085.2</v>
      </c>
      <c r="R4251" s="35">
        <v>0</v>
      </c>
      <c r="S4251" s="5">
        <f t="shared" si="267"/>
        <v>34349.402997470868</v>
      </c>
      <c r="T4251" cm="1">
        <f t="array" ref="T4251">IF(OR(B4251="MAL ALIMI", B4251="ÜRETİM GİRİŞ"), MIN(I4251, MAX(0, I4251 + SUM(SUMIFS($I$1:I4250, $C$1:C4250, C4251, $B$1:B4250, {"MAL ALIMI","ÜRETİM GİRİŞ"})) - VLOOKUP(C4251, 'STOK RAPORU'!$C$2:$I$1000, 4, 0))), 0)</f>
        <v>0</v>
      </c>
      <c r="U4251" s="22">
        <f t="shared" si="264"/>
        <v>0</v>
      </c>
      <c r="V4251">
        <f t="shared" si="265"/>
        <v>0</v>
      </c>
      <c r="W4251" s="22">
        <f t="shared" si="266"/>
        <v>0</v>
      </c>
    </row>
    <row r="4252" spans="1:23" hidden="1" x14ac:dyDescent="0.25">
      <c r="A4252" s="3">
        <v>46070</v>
      </c>
      <c r="B4252" s="4" t="s">
        <v>285</v>
      </c>
      <c r="C4252" s="4"/>
      <c r="D4252" s="4" t="s">
        <v>673</v>
      </c>
      <c r="E4252" s="4"/>
      <c r="F4252" s="4"/>
      <c r="G4252" s="4" t="s">
        <v>2123</v>
      </c>
      <c r="H4252" s="4" t="s">
        <v>289</v>
      </c>
      <c r="I4252" s="4">
        <v>1</v>
      </c>
      <c r="J4252" s="35">
        <v>1085.2</v>
      </c>
      <c r="K4252" s="35">
        <v>0</v>
      </c>
      <c r="L4252" s="5">
        <v>0</v>
      </c>
      <c r="M4252" s="4"/>
      <c r="N4252" s="4"/>
      <c r="O4252" s="5"/>
      <c r="P4252" s="5"/>
      <c r="Q4252" s="35">
        <v>0</v>
      </c>
      <c r="R4252" s="35">
        <v>1085.2</v>
      </c>
      <c r="S4252" s="5">
        <f t="shared" si="267"/>
        <v>33264.202997470871</v>
      </c>
      <c r="T4252" cm="1">
        <f t="array" ref="T4252">IF(OR(B4252="MAL ALIMI", B4252="ÜRETİM GİRİŞ"), MIN(I4252, MAX(0, I4252 + SUM(SUMIFS($I$1:I4251, $C$1:C4251, C4252, $B$1:B4251, {"MAL ALIMI","ÜRETİM GİRİŞ"})) - VLOOKUP(C4252, 'STOK RAPORU'!$C$2:$I$1000, 4, 0))), 0)</f>
        <v>0</v>
      </c>
      <c r="U4252" s="22">
        <f t="shared" si="264"/>
        <v>0</v>
      </c>
      <c r="V4252">
        <f t="shared" si="265"/>
        <v>0</v>
      </c>
      <c r="W4252" s="22">
        <f t="shared" si="266"/>
        <v>0</v>
      </c>
    </row>
    <row r="4253" spans="1:23" hidden="1" x14ac:dyDescent="0.25">
      <c r="A4253" s="3">
        <v>46070</v>
      </c>
      <c r="B4253" s="4" t="s">
        <v>298</v>
      </c>
      <c r="C4253" s="4" t="s">
        <v>1126</v>
      </c>
      <c r="D4253" s="4"/>
      <c r="E4253" s="4" t="s">
        <v>856</v>
      </c>
      <c r="F4253" s="4"/>
      <c r="G4253" s="4" t="s">
        <v>753</v>
      </c>
      <c r="H4253" s="4" t="s">
        <v>1329</v>
      </c>
      <c r="I4253" s="4">
        <v>6</v>
      </c>
      <c r="J4253" s="21">
        <v>144.92666666666665</v>
      </c>
      <c r="K4253" s="21">
        <v>0</v>
      </c>
      <c r="L4253" s="5">
        <v>869.56</v>
      </c>
      <c r="M4253" s="4"/>
      <c r="N4253" s="4"/>
      <c r="O4253" s="5"/>
      <c r="P4253" s="5"/>
      <c r="Q4253" s="21">
        <v>0</v>
      </c>
      <c r="R4253" s="21">
        <v>0</v>
      </c>
      <c r="S4253" s="5">
        <f t="shared" si="267"/>
        <v>33264.202997470871</v>
      </c>
      <c r="T4253" cm="1">
        <f t="array" ref="T4253">IF(OR(B4253="MAL ALIMI", B4253="ÜRETİM GİRİŞ"), MIN(I4253, MAX(0, I4253 + SUM(SUMIFS($I$1:I4252, $C$1:C4252, C4253, $B$1:B4252, {"MAL ALIMI","ÜRETİM GİRİŞ"})) - VLOOKUP(C4253, 'STOK RAPORU'!$C$2:$I$1000, 4, 0))), 0)</f>
        <v>6</v>
      </c>
      <c r="U4253" s="22">
        <f t="shared" si="264"/>
        <v>869.56</v>
      </c>
      <c r="V4253">
        <f t="shared" si="265"/>
        <v>869.56</v>
      </c>
      <c r="W4253" s="22">
        <f t="shared" si="266"/>
        <v>0</v>
      </c>
    </row>
    <row r="4254" spans="1:23" hidden="1" x14ac:dyDescent="0.25">
      <c r="A4254" s="3">
        <v>46071</v>
      </c>
      <c r="B4254" s="4" t="s">
        <v>334</v>
      </c>
      <c r="C4254" s="4" t="s">
        <v>224</v>
      </c>
      <c r="D4254" s="4"/>
      <c r="E4254" s="4" t="s">
        <v>921</v>
      </c>
      <c r="F4254" s="46" t="s">
        <v>2145</v>
      </c>
      <c r="G4254" s="4" t="s">
        <v>336</v>
      </c>
      <c r="H4254" s="4" t="s">
        <v>380</v>
      </c>
      <c r="I4254" s="4">
        <v>0.1</v>
      </c>
      <c r="J4254" s="21">
        <v>900</v>
      </c>
      <c r="K4254" s="21">
        <v>90</v>
      </c>
      <c r="L4254" s="5">
        <v>0</v>
      </c>
      <c r="M4254" s="4"/>
      <c r="N4254" s="4"/>
      <c r="O4254" s="5"/>
      <c r="P4254" s="5"/>
      <c r="Q4254" s="21">
        <v>0</v>
      </c>
      <c r="R4254" s="21">
        <v>0</v>
      </c>
      <c r="S4254" s="5">
        <f t="shared" si="267"/>
        <v>33264.202997470871</v>
      </c>
      <c r="T4254" cm="1">
        <f t="array" ref="T4254">IF(OR(B4254="MAL ALIMI", B4254="ÜRETİM GİRİŞ"), MIN(I4254, MAX(0, I4254 + SUM(SUMIFS($I$1:I4253, $C$1:C4253, C4254, $B$1:B4253, {"MAL ALIMI","ÜRETİM GİRİŞ"})) - VLOOKUP(C4254, 'STOK RAPORU'!$C$2:$I$1000, 4, 0))), 0)</f>
        <v>0</v>
      </c>
      <c r="U4254" s="22">
        <f t="shared" si="264"/>
        <v>0</v>
      </c>
      <c r="V4254">
        <f t="shared" si="265"/>
        <v>0</v>
      </c>
      <c r="W4254" s="22">
        <f t="shared" si="266"/>
        <v>0</v>
      </c>
    </row>
    <row r="4255" spans="1:23" hidden="1" x14ac:dyDescent="0.25">
      <c r="A4255" s="3">
        <v>46071</v>
      </c>
      <c r="B4255" s="4" t="s">
        <v>334</v>
      </c>
      <c r="C4255" s="4" t="s">
        <v>2086</v>
      </c>
      <c r="D4255" s="4"/>
      <c r="E4255" s="4" t="s">
        <v>921</v>
      </c>
      <c r="F4255" s="46" t="s">
        <v>2145</v>
      </c>
      <c r="G4255" s="4" t="s">
        <v>336</v>
      </c>
      <c r="H4255" s="4" t="s">
        <v>380</v>
      </c>
      <c r="I4255" s="4">
        <v>0.1</v>
      </c>
      <c r="J4255" s="21">
        <v>900</v>
      </c>
      <c r="K4255" s="21">
        <v>90</v>
      </c>
      <c r="L4255" s="5">
        <v>0</v>
      </c>
      <c r="M4255" s="4"/>
      <c r="N4255" s="4"/>
      <c r="O4255" s="5"/>
      <c r="P4255" s="5"/>
      <c r="Q4255" s="21">
        <v>0</v>
      </c>
      <c r="R4255" s="21">
        <v>0</v>
      </c>
      <c r="S4255" s="5">
        <f t="shared" si="267"/>
        <v>33264.202997470871</v>
      </c>
      <c r="T4255" cm="1">
        <f t="array" ref="T4255">IF(OR(B4255="MAL ALIMI", B4255="ÜRETİM GİRİŞ"), MIN(I4255, MAX(0, I4255 + SUM(SUMIFS($I$1:I4254, $C$1:C4254, C4255, $B$1:B4254, {"MAL ALIMI","ÜRETİM GİRİŞ"})) - VLOOKUP(C4255, 'STOK RAPORU'!$C$2:$I$1000, 4, 0))), 0)</f>
        <v>0</v>
      </c>
      <c r="U4255" s="22">
        <f t="shared" si="264"/>
        <v>0</v>
      </c>
      <c r="V4255">
        <f t="shared" si="265"/>
        <v>0</v>
      </c>
      <c r="W4255" s="22">
        <f t="shared" si="266"/>
        <v>0</v>
      </c>
    </row>
    <row r="4256" spans="1:23" hidden="1" x14ac:dyDescent="0.25">
      <c r="A4256" s="3">
        <v>46071</v>
      </c>
      <c r="B4256" s="4" t="s">
        <v>334</v>
      </c>
      <c r="C4256" s="4" t="s">
        <v>1399</v>
      </c>
      <c r="D4256" s="4"/>
      <c r="E4256" s="4"/>
      <c r="F4256" s="46" t="s">
        <v>2146</v>
      </c>
      <c r="G4256" s="4" t="s">
        <v>336</v>
      </c>
      <c r="H4256" s="4" t="s">
        <v>289</v>
      </c>
      <c r="I4256" s="4">
        <v>1</v>
      </c>
      <c r="J4256" s="21">
        <v>170</v>
      </c>
      <c r="K4256" s="21">
        <v>0</v>
      </c>
      <c r="L4256" s="5">
        <v>0</v>
      </c>
      <c r="M4256" s="4"/>
      <c r="N4256" s="4"/>
      <c r="O4256" s="5"/>
      <c r="P4256" s="5"/>
      <c r="Q4256" s="21">
        <v>170</v>
      </c>
      <c r="R4256" s="21">
        <v>0</v>
      </c>
      <c r="S4256" s="5">
        <f t="shared" si="267"/>
        <v>33434.202997470871</v>
      </c>
      <c r="T4256" cm="1">
        <f t="array" ref="T4256">IF(OR(B4256="MAL ALIMI", B4256="ÜRETİM GİRİŞ"), MIN(I4256, MAX(0, I4256 + SUM(SUMIFS($I$1:I4255, $C$1:C4255, C4256, $B$1:B4255, {"MAL ALIMI","ÜRETİM GİRİŞ"})) - VLOOKUP(C4256, 'STOK RAPORU'!$C$2:$I$1000, 4, 0))), 0)</f>
        <v>0</v>
      </c>
      <c r="U4256" s="22">
        <f t="shared" si="264"/>
        <v>0</v>
      </c>
      <c r="V4256">
        <f t="shared" si="265"/>
        <v>0</v>
      </c>
      <c r="W4256" s="22">
        <f t="shared" si="266"/>
        <v>0</v>
      </c>
    </row>
    <row r="4257" spans="1:23" hidden="1" x14ac:dyDescent="0.25">
      <c r="A4257" s="3">
        <v>46071</v>
      </c>
      <c r="B4257" s="4" t="s">
        <v>334</v>
      </c>
      <c r="C4257" s="4" t="s">
        <v>1024</v>
      </c>
      <c r="D4257" s="4"/>
      <c r="E4257" s="4"/>
      <c r="F4257" s="46" t="s">
        <v>2147</v>
      </c>
      <c r="G4257" s="4" t="s">
        <v>336</v>
      </c>
      <c r="H4257" s="4" t="s">
        <v>289</v>
      </c>
      <c r="I4257" s="4">
        <v>0.30769230769230771</v>
      </c>
      <c r="J4257" s="21">
        <v>65</v>
      </c>
      <c r="K4257" s="21">
        <v>0</v>
      </c>
      <c r="L4257" s="5">
        <v>0</v>
      </c>
      <c r="M4257" s="4"/>
      <c r="N4257" s="4"/>
      <c r="O4257" s="5"/>
      <c r="P4257" s="5"/>
      <c r="Q4257" s="21">
        <v>20</v>
      </c>
      <c r="R4257" s="21">
        <v>0</v>
      </c>
      <c r="S4257" s="5">
        <f t="shared" si="267"/>
        <v>33454.202997470871</v>
      </c>
      <c r="T4257" cm="1">
        <f t="array" ref="T4257">IF(OR(B4257="MAL ALIMI", B4257="ÜRETİM GİRİŞ"), MIN(I4257, MAX(0, I4257 + SUM(SUMIFS($I$1:I4256, $C$1:C4256, C4257, $B$1:B4256, {"MAL ALIMI","ÜRETİM GİRİŞ"})) - VLOOKUP(C4257, 'STOK RAPORU'!$C$2:$I$1000, 4, 0))), 0)</f>
        <v>0</v>
      </c>
      <c r="U4257" s="22">
        <f t="shared" si="264"/>
        <v>0</v>
      </c>
      <c r="V4257">
        <f t="shared" si="265"/>
        <v>0</v>
      </c>
      <c r="W4257" s="22">
        <f t="shared" si="266"/>
        <v>0</v>
      </c>
    </row>
    <row r="4258" spans="1:23" hidden="1" x14ac:dyDescent="0.25">
      <c r="A4258" s="3">
        <v>46071</v>
      </c>
      <c r="B4258" s="4" t="s">
        <v>334</v>
      </c>
      <c r="C4258" s="4" t="s">
        <v>1634</v>
      </c>
      <c r="D4258" s="4"/>
      <c r="E4258" s="4"/>
      <c r="F4258" s="46" t="s">
        <v>2148</v>
      </c>
      <c r="G4258" s="4" t="s">
        <v>336</v>
      </c>
      <c r="H4258" s="4" t="s">
        <v>289</v>
      </c>
      <c r="I4258" s="4">
        <v>1.5</v>
      </c>
      <c r="J4258" s="21">
        <v>300</v>
      </c>
      <c r="K4258" s="21">
        <v>0</v>
      </c>
      <c r="L4258" s="5">
        <v>0</v>
      </c>
      <c r="M4258" s="4"/>
      <c r="N4258" s="4"/>
      <c r="O4258" s="5"/>
      <c r="P4258" s="5"/>
      <c r="Q4258" s="21">
        <v>450</v>
      </c>
      <c r="R4258" s="21">
        <v>0</v>
      </c>
      <c r="S4258" s="5">
        <f t="shared" si="267"/>
        <v>33904.202997470871</v>
      </c>
      <c r="T4258" cm="1">
        <f t="array" ref="T4258">IF(OR(B4258="MAL ALIMI", B4258="ÜRETİM GİRİŞ"), MIN(I4258, MAX(0, I4258 + SUM(SUMIFS($I$1:I4257, $C$1:C4257, C4258, $B$1:B4257, {"MAL ALIMI","ÜRETİM GİRİŞ"})) - VLOOKUP(C4258, 'STOK RAPORU'!$C$2:$I$1000, 4, 0))), 0)</f>
        <v>0</v>
      </c>
      <c r="U4258" s="22">
        <f t="shared" si="264"/>
        <v>0</v>
      </c>
      <c r="V4258">
        <f t="shared" si="265"/>
        <v>0</v>
      </c>
      <c r="W4258" s="22">
        <f t="shared" si="266"/>
        <v>0</v>
      </c>
    </row>
    <row r="4259" spans="1:23" hidden="1" x14ac:dyDescent="0.25">
      <c r="A4259" s="3">
        <v>46071</v>
      </c>
      <c r="B4259" s="4" t="s">
        <v>334</v>
      </c>
      <c r="C4259" s="46" t="s">
        <v>585</v>
      </c>
      <c r="D4259" s="4"/>
      <c r="E4259" s="4"/>
      <c r="F4259" s="46" t="s">
        <v>2149</v>
      </c>
      <c r="G4259" s="4" t="s">
        <v>336</v>
      </c>
      <c r="H4259" s="4" t="s">
        <v>289</v>
      </c>
      <c r="I4259" s="4">
        <v>1</v>
      </c>
      <c r="J4259" s="21">
        <v>200</v>
      </c>
      <c r="K4259" s="21">
        <v>0</v>
      </c>
      <c r="L4259" s="5">
        <v>0</v>
      </c>
      <c r="M4259" s="4"/>
      <c r="N4259" s="4"/>
      <c r="O4259" s="5"/>
      <c r="P4259" s="5"/>
      <c r="Q4259" s="21">
        <v>200</v>
      </c>
      <c r="R4259" s="21">
        <v>0</v>
      </c>
      <c r="S4259" s="5">
        <f t="shared" si="267"/>
        <v>34104.202997470871</v>
      </c>
      <c r="T4259" cm="1">
        <f t="array" ref="T4259">IF(OR(B4259="MAL ALIMI", B4259="ÜRETİM GİRİŞ"), MIN(I4259, MAX(0, I4259 + SUM(SUMIFS($I$1:I4258, $C$1:C4258, C4259, $B$1:B4258, {"MAL ALIMI","ÜRETİM GİRİŞ"})) - VLOOKUP(C4259, 'STOK RAPORU'!$C$2:$I$1000, 4, 0))), 0)</f>
        <v>0</v>
      </c>
      <c r="U4259" s="22">
        <f t="shared" si="264"/>
        <v>0</v>
      </c>
      <c r="V4259">
        <f t="shared" si="265"/>
        <v>0</v>
      </c>
      <c r="W4259" s="22">
        <f t="shared" si="266"/>
        <v>0</v>
      </c>
    </row>
    <row r="4260" spans="1:23" hidden="1" x14ac:dyDescent="0.25">
      <c r="A4260" s="3">
        <v>46071</v>
      </c>
      <c r="B4260" s="4" t="s">
        <v>334</v>
      </c>
      <c r="C4260" s="4" t="s">
        <v>154</v>
      </c>
      <c r="D4260" s="4"/>
      <c r="E4260" s="4"/>
      <c r="F4260" s="46" t="s">
        <v>2150</v>
      </c>
      <c r="G4260" s="4" t="s">
        <v>336</v>
      </c>
      <c r="H4260" s="4" t="s">
        <v>289</v>
      </c>
      <c r="I4260" s="4">
        <v>0.1</v>
      </c>
      <c r="J4260" s="21">
        <v>400</v>
      </c>
      <c r="K4260" s="21">
        <v>0</v>
      </c>
      <c r="L4260" s="5">
        <v>0</v>
      </c>
      <c r="M4260" s="4"/>
      <c r="N4260" s="4"/>
      <c r="O4260" s="5"/>
      <c r="P4260" s="5"/>
      <c r="Q4260" s="21">
        <v>40</v>
      </c>
      <c r="R4260" s="21">
        <v>0</v>
      </c>
      <c r="S4260" s="5">
        <f t="shared" si="267"/>
        <v>34144.202997470871</v>
      </c>
      <c r="T4260" cm="1">
        <f t="array" ref="T4260">IF(OR(B4260="MAL ALIMI", B4260="ÜRETİM GİRİŞ"), MIN(I4260, MAX(0, I4260 + SUM(SUMIFS($I$1:I4259, $C$1:C4259, C4260, $B$1:B4259, {"MAL ALIMI","ÜRETİM GİRİŞ"})) - VLOOKUP(C4260, 'STOK RAPORU'!$C$2:$I$1000, 4, 0))), 0)</f>
        <v>0</v>
      </c>
      <c r="U4260" s="22">
        <f t="shared" si="264"/>
        <v>0</v>
      </c>
      <c r="V4260">
        <f t="shared" si="265"/>
        <v>0</v>
      </c>
      <c r="W4260" s="22">
        <f t="shared" si="266"/>
        <v>0</v>
      </c>
    </row>
    <row r="4261" spans="1:23" hidden="1" x14ac:dyDescent="0.25">
      <c r="A4261" s="3">
        <v>46071</v>
      </c>
      <c r="B4261" s="4" t="s">
        <v>334</v>
      </c>
      <c r="C4261" s="4" t="s">
        <v>152</v>
      </c>
      <c r="D4261" s="4"/>
      <c r="E4261" s="4"/>
      <c r="F4261" s="46" t="s">
        <v>2150</v>
      </c>
      <c r="G4261" s="4" t="s">
        <v>336</v>
      </c>
      <c r="H4261" s="4" t="s">
        <v>289</v>
      </c>
      <c r="I4261" s="4">
        <v>0.1</v>
      </c>
      <c r="J4261" s="21">
        <v>400</v>
      </c>
      <c r="K4261" s="21">
        <v>0</v>
      </c>
      <c r="L4261" s="5">
        <v>0</v>
      </c>
      <c r="M4261" s="4"/>
      <c r="N4261" s="4"/>
      <c r="O4261" s="5"/>
      <c r="P4261" s="5"/>
      <c r="Q4261" s="21">
        <v>40</v>
      </c>
      <c r="R4261" s="21">
        <v>0</v>
      </c>
      <c r="S4261" s="5">
        <f t="shared" si="267"/>
        <v>34184.202997470871</v>
      </c>
      <c r="T4261" cm="1">
        <f t="array" ref="T4261">IF(OR(B4261="MAL ALIMI", B4261="ÜRETİM GİRİŞ"), MIN(I4261, MAX(0, I4261 + SUM(SUMIFS($I$1:I4260, $C$1:C4260, C4261, $B$1:B4260, {"MAL ALIMI","ÜRETİM GİRİŞ"})) - VLOOKUP(C4261, 'STOK RAPORU'!$C$2:$I$1000, 4, 0))), 0)</f>
        <v>0</v>
      </c>
      <c r="U4261" s="22">
        <f t="shared" si="264"/>
        <v>0</v>
      </c>
      <c r="V4261">
        <f t="shared" si="265"/>
        <v>0</v>
      </c>
      <c r="W4261" s="22">
        <f t="shared" si="266"/>
        <v>0</v>
      </c>
    </row>
    <row r="4262" spans="1:23" hidden="1" x14ac:dyDescent="0.25">
      <c r="A4262" s="3">
        <v>46071</v>
      </c>
      <c r="B4262" s="4" t="s">
        <v>334</v>
      </c>
      <c r="C4262" s="4" t="s">
        <v>161</v>
      </c>
      <c r="D4262" s="4"/>
      <c r="E4262" s="4"/>
      <c r="F4262" s="46" t="s">
        <v>2151</v>
      </c>
      <c r="G4262" s="4" t="s">
        <v>336</v>
      </c>
      <c r="H4262" s="4" t="s">
        <v>289</v>
      </c>
      <c r="I4262" s="4">
        <v>1</v>
      </c>
      <c r="J4262" s="21">
        <v>230</v>
      </c>
      <c r="K4262" s="21">
        <v>0</v>
      </c>
      <c r="L4262" s="5">
        <v>0</v>
      </c>
      <c r="M4262" s="4"/>
      <c r="N4262" s="4"/>
      <c r="O4262" s="5"/>
      <c r="P4262" s="5"/>
      <c r="Q4262" s="21">
        <v>230</v>
      </c>
      <c r="R4262" s="21">
        <v>0</v>
      </c>
      <c r="S4262" s="5">
        <f t="shared" si="267"/>
        <v>34414.202997470871</v>
      </c>
      <c r="T4262" cm="1">
        <f t="array" ref="T4262">IF(OR(B4262="MAL ALIMI", B4262="ÜRETİM GİRİŞ"), MIN(I4262, MAX(0, I4262 + SUM(SUMIFS($I$1:I4261, $C$1:C4261, C4262, $B$1:B4261, {"MAL ALIMI","ÜRETİM GİRİŞ"})) - VLOOKUP(C4262, 'STOK RAPORU'!$C$2:$I$1000, 4, 0))), 0)</f>
        <v>0</v>
      </c>
      <c r="U4262" s="22">
        <f t="shared" si="264"/>
        <v>0</v>
      </c>
      <c r="V4262">
        <f t="shared" si="265"/>
        <v>0</v>
      </c>
      <c r="W4262" s="22">
        <f t="shared" si="266"/>
        <v>0</v>
      </c>
    </row>
    <row r="4263" spans="1:23" hidden="1" x14ac:dyDescent="0.25">
      <c r="A4263" s="3">
        <v>46071</v>
      </c>
      <c r="B4263" s="4" t="s">
        <v>334</v>
      </c>
      <c r="C4263" s="4" t="s">
        <v>160</v>
      </c>
      <c r="D4263" s="4"/>
      <c r="E4263" s="4"/>
      <c r="F4263" s="46" t="s">
        <v>2151</v>
      </c>
      <c r="G4263" s="4" t="s">
        <v>336</v>
      </c>
      <c r="H4263" s="4" t="s">
        <v>289</v>
      </c>
      <c r="I4263" s="4">
        <v>1</v>
      </c>
      <c r="J4263" s="21">
        <v>250</v>
      </c>
      <c r="K4263" s="21">
        <v>0</v>
      </c>
      <c r="L4263" s="5">
        <v>0</v>
      </c>
      <c r="M4263" s="4"/>
      <c r="N4263" s="4"/>
      <c r="O4263" s="5"/>
      <c r="P4263" s="5"/>
      <c r="Q4263" s="21">
        <v>250</v>
      </c>
      <c r="R4263" s="21">
        <v>0</v>
      </c>
      <c r="S4263" s="5">
        <f t="shared" si="267"/>
        <v>34664.202997470871</v>
      </c>
      <c r="T4263" cm="1">
        <f t="array" ref="T4263">IF(OR(B4263="MAL ALIMI", B4263="ÜRETİM GİRİŞ"), MIN(I4263, MAX(0, I4263 + SUM(SUMIFS($I$1:I4262, $C$1:C4262, C4263, $B$1:B4262, {"MAL ALIMI","ÜRETİM GİRİŞ"})) - VLOOKUP(C4263, 'STOK RAPORU'!$C$2:$I$1000, 4, 0))), 0)</f>
        <v>0</v>
      </c>
      <c r="U4263" s="22">
        <f t="shared" si="264"/>
        <v>0</v>
      </c>
      <c r="V4263">
        <f t="shared" si="265"/>
        <v>0</v>
      </c>
      <c r="W4263" s="22">
        <f t="shared" si="266"/>
        <v>0</v>
      </c>
    </row>
    <row r="4264" spans="1:23" hidden="1" x14ac:dyDescent="0.25">
      <c r="A4264" s="3">
        <v>46071</v>
      </c>
      <c r="B4264" s="4" t="s">
        <v>334</v>
      </c>
      <c r="C4264" s="4" t="s">
        <v>162</v>
      </c>
      <c r="D4264" s="4"/>
      <c r="E4264" s="4"/>
      <c r="F4264" s="46" t="s">
        <v>2151</v>
      </c>
      <c r="G4264" s="4" t="s">
        <v>336</v>
      </c>
      <c r="H4264" s="4" t="s">
        <v>289</v>
      </c>
      <c r="I4264" s="4">
        <v>1</v>
      </c>
      <c r="J4264" s="21">
        <v>250</v>
      </c>
      <c r="K4264" s="21">
        <v>0</v>
      </c>
      <c r="L4264" s="5">
        <v>0</v>
      </c>
      <c r="M4264" s="4"/>
      <c r="N4264" s="4"/>
      <c r="O4264" s="5"/>
      <c r="P4264" s="5"/>
      <c r="Q4264" s="21">
        <v>250</v>
      </c>
      <c r="R4264" s="21">
        <v>0</v>
      </c>
      <c r="S4264" s="5">
        <f t="shared" si="267"/>
        <v>34914.202997470871</v>
      </c>
      <c r="T4264" cm="1">
        <f t="array" ref="T4264">IF(OR(B4264="MAL ALIMI", B4264="ÜRETİM GİRİŞ"), MIN(I4264, MAX(0, I4264 + SUM(SUMIFS($I$1:I4263, $C$1:C4263, C4264, $B$1:B4263, {"MAL ALIMI","ÜRETİM GİRİŞ"})) - VLOOKUP(C4264, 'STOK RAPORU'!$C$2:$I$1000, 4, 0))), 0)</f>
        <v>0</v>
      </c>
      <c r="U4264" s="22">
        <f t="shared" si="264"/>
        <v>0</v>
      </c>
      <c r="V4264">
        <f t="shared" si="265"/>
        <v>0</v>
      </c>
      <c r="W4264" s="22">
        <f t="shared" si="266"/>
        <v>0</v>
      </c>
    </row>
    <row r="4265" spans="1:23" hidden="1" x14ac:dyDescent="0.25">
      <c r="A4265" s="3">
        <v>46071</v>
      </c>
      <c r="B4265" s="4" t="s">
        <v>334</v>
      </c>
      <c r="C4265" s="4" t="s">
        <v>140</v>
      </c>
      <c r="D4265" s="4"/>
      <c r="E4265" s="4" t="s">
        <v>921</v>
      </c>
      <c r="F4265" s="46" t="s">
        <v>2152</v>
      </c>
      <c r="G4265" s="4" t="s">
        <v>336</v>
      </c>
      <c r="H4265" s="4" t="s">
        <v>380</v>
      </c>
      <c r="I4265" s="4">
        <v>0.1</v>
      </c>
      <c r="J4265" s="21">
        <v>300</v>
      </c>
      <c r="K4265" s="21">
        <v>30</v>
      </c>
      <c r="L4265" s="5">
        <v>0</v>
      </c>
      <c r="M4265" s="4"/>
      <c r="N4265" s="4"/>
      <c r="O4265" s="5"/>
      <c r="P4265" s="5"/>
      <c r="Q4265" s="21">
        <v>0</v>
      </c>
      <c r="R4265" s="21">
        <v>0</v>
      </c>
      <c r="S4265" s="5">
        <f t="shared" si="267"/>
        <v>34914.202997470871</v>
      </c>
      <c r="T4265" cm="1">
        <f t="array" ref="T4265">IF(OR(B4265="MAL ALIMI", B4265="ÜRETİM GİRİŞ"), MIN(I4265, MAX(0, I4265 + SUM(SUMIFS($I$1:I4264, $C$1:C4264, C4265, $B$1:B4264, {"MAL ALIMI","ÜRETİM GİRİŞ"})) - VLOOKUP(C4265, 'STOK RAPORU'!$C$2:$I$1000, 4, 0))), 0)</f>
        <v>0</v>
      </c>
      <c r="U4265" s="22">
        <f t="shared" si="264"/>
        <v>0</v>
      </c>
      <c r="V4265">
        <f t="shared" si="265"/>
        <v>0</v>
      </c>
      <c r="W4265" s="22">
        <f t="shared" si="266"/>
        <v>0</v>
      </c>
    </row>
    <row r="4266" spans="1:23" hidden="1" x14ac:dyDescent="0.25">
      <c r="A4266" s="3">
        <v>46071</v>
      </c>
      <c r="B4266" s="4" t="s">
        <v>334</v>
      </c>
      <c r="C4266" s="4" t="s">
        <v>586</v>
      </c>
      <c r="D4266" s="4"/>
      <c r="E4266" s="4" t="s">
        <v>921</v>
      </c>
      <c r="F4266" s="46" t="s">
        <v>2152</v>
      </c>
      <c r="G4266" s="4" t="s">
        <v>336</v>
      </c>
      <c r="H4266" s="4" t="s">
        <v>380</v>
      </c>
      <c r="I4266" s="4">
        <v>1</v>
      </c>
      <c r="J4266" s="21">
        <v>200</v>
      </c>
      <c r="K4266" s="21">
        <v>200</v>
      </c>
      <c r="L4266" s="5">
        <v>0</v>
      </c>
      <c r="M4266" s="4"/>
      <c r="N4266" s="4"/>
      <c r="O4266" s="5"/>
      <c r="P4266" s="5"/>
      <c r="Q4266" s="21">
        <v>0</v>
      </c>
      <c r="R4266" s="21">
        <v>0</v>
      </c>
      <c r="S4266" s="5">
        <f t="shared" si="267"/>
        <v>34914.202997470871</v>
      </c>
      <c r="T4266" cm="1">
        <f t="array" ref="T4266">IF(OR(B4266="MAL ALIMI", B4266="ÜRETİM GİRİŞ"), MIN(I4266, MAX(0, I4266 + SUM(SUMIFS($I$1:I4265, $C$1:C4265, C4266, $B$1:B4265, {"MAL ALIMI","ÜRETİM GİRİŞ"})) - VLOOKUP(C4266, 'STOK RAPORU'!$C$2:$I$1000, 4, 0))), 0)</f>
        <v>0</v>
      </c>
      <c r="U4266" s="22">
        <f t="shared" si="264"/>
        <v>0</v>
      </c>
      <c r="V4266">
        <f t="shared" si="265"/>
        <v>0</v>
      </c>
      <c r="W4266" s="22">
        <f t="shared" si="266"/>
        <v>0</v>
      </c>
    </row>
    <row r="4267" spans="1:23" hidden="1" x14ac:dyDescent="0.25">
      <c r="A4267" s="3">
        <v>46071</v>
      </c>
      <c r="B4267" s="4" t="s">
        <v>334</v>
      </c>
      <c r="C4267" s="46" t="s">
        <v>585</v>
      </c>
      <c r="D4267" s="4"/>
      <c r="E4267" s="4" t="s">
        <v>921</v>
      </c>
      <c r="F4267" s="46" t="s">
        <v>2152</v>
      </c>
      <c r="G4267" s="4" t="s">
        <v>336</v>
      </c>
      <c r="H4267" s="4" t="s">
        <v>380</v>
      </c>
      <c r="I4267" s="4">
        <v>1</v>
      </c>
      <c r="J4267" s="21">
        <v>200</v>
      </c>
      <c r="K4267" s="21">
        <v>200</v>
      </c>
      <c r="L4267" s="5">
        <v>0</v>
      </c>
      <c r="M4267" s="4"/>
      <c r="N4267" s="4"/>
      <c r="O4267" s="5"/>
      <c r="P4267" s="5"/>
      <c r="Q4267" s="21">
        <v>0</v>
      </c>
      <c r="R4267" s="21">
        <v>0</v>
      </c>
      <c r="S4267" s="5">
        <f t="shared" si="267"/>
        <v>34914.202997470871</v>
      </c>
      <c r="T4267" cm="1">
        <f t="array" ref="T4267">IF(OR(B4267="MAL ALIMI", B4267="ÜRETİM GİRİŞ"), MIN(I4267, MAX(0, I4267 + SUM(SUMIFS($I$1:I4266, $C$1:C4266, C4267, $B$1:B4266, {"MAL ALIMI","ÜRETİM GİRİŞ"})) - VLOOKUP(C4267, 'STOK RAPORU'!$C$2:$I$1000, 4, 0))), 0)</f>
        <v>0</v>
      </c>
      <c r="U4267" s="22">
        <f t="shared" si="264"/>
        <v>0</v>
      </c>
      <c r="V4267">
        <f t="shared" si="265"/>
        <v>0</v>
      </c>
      <c r="W4267" s="22">
        <f t="shared" si="266"/>
        <v>0</v>
      </c>
    </row>
    <row r="4268" spans="1:23" hidden="1" x14ac:dyDescent="0.25">
      <c r="A4268" s="3">
        <v>46071</v>
      </c>
      <c r="B4268" s="4" t="s">
        <v>334</v>
      </c>
      <c r="C4268" s="4" t="s">
        <v>158</v>
      </c>
      <c r="D4268" s="4"/>
      <c r="E4268" s="4" t="s">
        <v>921</v>
      </c>
      <c r="F4268" s="46" t="s">
        <v>2152</v>
      </c>
      <c r="G4268" s="4" t="s">
        <v>336</v>
      </c>
      <c r="H4268" s="4" t="s">
        <v>380</v>
      </c>
      <c r="I4268" s="4">
        <v>1</v>
      </c>
      <c r="J4268" s="21">
        <v>150</v>
      </c>
      <c r="K4268" s="21">
        <v>150</v>
      </c>
      <c r="L4268" s="5">
        <v>0</v>
      </c>
      <c r="M4268" s="4"/>
      <c r="N4268" s="4"/>
      <c r="O4268" s="5"/>
      <c r="P4268" s="5"/>
      <c r="Q4268" s="21">
        <v>0</v>
      </c>
      <c r="R4268" s="21">
        <v>0</v>
      </c>
      <c r="S4268" s="5">
        <f t="shared" si="267"/>
        <v>34914.202997470871</v>
      </c>
      <c r="T4268" cm="1">
        <f t="array" ref="T4268">IF(OR(B4268="MAL ALIMI", B4268="ÜRETİM GİRİŞ"), MIN(I4268, MAX(0, I4268 + SUM(SUMIFS($I$1:I4267, $C$1:C4267, C4268, $B$1:B4267, {"MAL ALIMI","ÜRETİM GİRİŞ"})) - VLOOKUP(C4268, 'STOK RAPORU'!$C$2:$I$1000, 4, 0))), 0)</f>
        <v>0</v>
      </c>
      <c r="U4268" s="22">
        <f t="shared" si="264"/>
        <v>0</v>
      </c>
      <c r="V4268">
        <f t="shared" si="265"/>
        <v>0</v>
      </c>
      <c r="W4268" s="22">
        <f t="shared" si="266"/>
        <v>0</v>
      </c>
    </row>
    <row r="4269" spans="1:23" hidden="1" x14ac:dyDescent="0.25">
      <c r="A4269" s="3">
        <v>46071</v>
      </c>
      <c r="B4269" s="4" t="s">
        <v>334</v>
      </c>
      <c r="C4269" s="4" t="s">
        <v>60</v>
      </c>
      <c r="D4269" s="4"/>
      <c r="E4269" s="4" t="s">
        <v>921</v>
      </c>
      <c r="F4269" s="46" t="s">
        <v>2152</v>
      </c>
      <c r="G4269" s="4" t="s">
        <v>336</v>
      </c>
      <c r="H4269" s="4" t="s">
        <v>380</v>
      </c>
      <c r="I4269" s="4">
        <v>0.05</v>
      </c>
      <c r="J4269" s="21">
        <v>1200</v>
      </c>
      <c r="K4269" s="21">
        <v>60</v>
      </c>
      <c r="L4269" s="5">
        <v>0</v>
      </c>
      <c r="M4269" s="4"/>
      <c r="N4269" s="4"/>
      <c r="O4269" s="5"/>
      <c r="P4269" s="5"/>
      <c r="Q4269" s="21">
        <v>0</v>
      </c>
      <c r="R4269" s="21">
        <v>0</v>
      </c>
      <c r="S4269" s="5">
        <f t="shared" si="267"/>
        <v>34914.202997470871</v>
      </c>
      <c r="T4269" cm="1">
        <f t="array" ref="T4269">IF(OR(B4269="MAL ALIMI", B4269="ÜRETİM GİRİŞ"), MIN(I4269, MAX(0, I4269 + SUM(SUMIFS($I$1:I4268, $C$1:C4268, C4269, $B$1:B4268, {"MAL ALIMI","ÜRETİM GİRİŞ"})) - VLOOKUP(C4269, 'STOK RAPORU'!$C$2:$I$1000, 4, 0))), 0)</f>
        <v>0</v>
      </c>
      <c r="U4269" s="22">
        <f t="shared" si="264"/>
        <v>0</v>
      </c>
      <c r="V4269">
        <f t="shared" si="265"/>
        <v>0</v>
      </c>
      <c r="W4269" s="22">
        <f t="shared" si="266"/>
        <v>0</v>
      </c>
    </row>
    <row r="4270" spans="1:23" hidden="1" x14ac:dyDescent="0.25">
      <c r="A4270" s="3">
        <v>46071</v>
      </c>
      <c r="B4270" s="4" t="s">
        <v>334</v>
      </c>
      <c r="C4270" s="4" t="s">
        <v>529</v>
      </c>
      <c r="D4270" s="4"/>
      <c r="E4270" s="4" t="s">
        <v>921</v>
      </c>
      <c r="F4270" s="46" t="s">
        <v>2152</v>
      </c>
      <c r="G4270" s="4" t="s">
        <v>336</v>
      </c>
      <c r="H4270" s="4" t="s">
        <v>380</v>
      </c>
      <c r="I4270" s="4">
        <v>0.1</v>
      </c>
      <c r="J4270" s="21">
        <v>600</v>
      </c>
      <c r="K4270" s="21">
        <v>60</v>
      </c>
      <c r="L4270" s="5">
        <v>0</v>
      </c>
      <c r="M4270" s="4"/>
      <c r="N4270" s="4"/>
      <c r="O4270" s="5"/>
      <c r="P4270" s="5"/>
      <c r="Q4270" s="21">
        <v>0</v>
      </c>
      <c r="R4270" s="21">
        <v>0</v>
      </c>
      <c r="S4270" s="5">
        <f t="shared" si="267"/>
        <v>34914.202997470871</v>
      </c>
      <c r="T4270" cm="1">
        <f t="array" ref="T4270">IF(OR(B4270="MAL ALIMI", B4270="ÜRETİM GİRİŞ"), MIN(I4270, MAX(0, I4270 + SUM(SUMIFS($I$1:I4269, $C$1:C4269, C4270, $B$1:B4269, {"MAL ALIMI","ÜRETİM GİRİŞ"})) - VLOOKUP(C4270, 'STOK RAPORU'!$C$2:$I$1000, 4, 0))), 0)</f>
        <v>0</v>
      </c>
      <c r="U4270" s="22">
        <f t="shared" si="264"/>
        <v>0</v>
      </c>
      <c r="V4270">
        <f t="shared" si="265"/>
        <v>0</v>
      </c>
      <c r="W4270" s="22">
        <f t="shared" si="266"/>
        <v>0</v>
      </c>
    </row>
    <row r="4271" spans="1:23" hidden="1" x14ac:dyDescent="0.25">
      <c r="A4271" s="3">
        <v>46071</v>
      </c>
      <c r="B4271" s="4" t="s">
        <v>334</v>
      </c>
      <c r="C4271" s="4" t="s">
        <v>523</v>
      </c>
      <c r="D4271" s="4"/>
      <c r="E4271" s="4" t="s">
        <v>921</v>
      </c>
      <c r="F4271" s="46" t="s">
        <v>2152</v>
      </c>
      <c r="G4271" s="4" t="s">
        <v>336</v>
      </c>
      <c r="H4271" s="4" t="s">
        <v>380</v>
      </c>
      <c r="I4271" s="4">
        <v>0.1</v>
      </c>
      <c r="J4271" s="21">
        <v>650</v>
      </c>
      <c r="K4271" s="21">
        <v>65</v>
      </c>
      <c r="L4271" s="5">
        <v>0</v>
      </c>
      <c r="M4271" s="4"/>
      <c r="N4271" s="4"/>
      <c r="O4271" s="5"/>
      <c r="P4271" s="5"/>
      <c r="Q4271" s="21">
        <v>0</v>
      </c>
      <c r="R4271" s="21">
        <v>0</v>
      </c>
      <c r="S4271" s="5">
        <f t="shared" si="267"/>
        <v>34914.202997470871</v>
      </c>
      <c r="T4271" cm="1">
        <f t="array" ref="T4271">IF(OR(B4271="MAL ALIMI", B4271="ÜRETİM GİRİŞ"), MIN(I4271, MAX(0, I4271 + SUM(SUMIFS($I$1:I4270, $C$1:C4270, C4271, $B$1:B4270, {"MAL ALIMI","ÜRETİM GİRİŞ"})) - VLOOKUP(C4271, 'STOK RAPORU'!$C$2:$I$1000, 4, 0))), 0)</f>
        <v>0</v>
      </c>
      <c r="U4271" s="22">
        <f t="shared" si="264"/>
        <v>0</v>
      </c>
      <c r="V4271">
        <f t="shared" si="265"/>
        <v>0</v>
      </c>
      <c r="W4271" s="22">
        <f t="shared" si="266"/>
        <v>0</v>
      </c>
    </row>
    <row r="4272" spans="1:23" hidden="1" x14ac:dyDescent="0.25">
      <c r="A4272" s="3">
        <v>46071</v>
      </c>
      <c r="B4272" s="4" t="s">
        <v>334</v>
      </c>
      <c r="C4272" s="4" t="s">
        <v>695</v>
      </c>
      <c r="D4272" s="4"/>
      <c r="E4272" s="4" t="s">
        <v>921</v>
      </c>
      <c r="F4272" s="46" t="s">
        <v>2152</v>
      </c>
      <c r="G4272" s="4" t="s">
        <v>336</v>
      </c>
      <c r="H4272" s="4" t="s">
        <v>380</v>
      </c>
      <c r="I4272" s="4">
        <v>1</v>
      </c>
      <c r="J4272" s="21">
        <v>120</v>
      </c>
      <c r="K4272" s="21">
        <v>120</v>
      </c>
      <c r="L4272" s="5">
        <v>0</v>
      </c>
      <c r="M4272" s="4"/>
      <c r="N4272" s="4"/>
      <c r="O4272" s="5"/>
      <c r="P4272" s="5"/>
      <c r="Q4272" s="21">
        <v>0</v>
      </c>
      <c r="R4272" s="21">
        <v>0</v>
      </c>
      <c r="S4272" s="5">
        <f t="shared" si="267"/>
        <v>34914.202997470871</v>
      </c>
      <c r="T4272" cm="1">
        <f t="array" ref="T4272">IF(OR(B4272="MAL ALIMI", B4272="ÜRETİM GİRİŞ"), MIN(I4272, MAX(0, I4272 + SUM(SUMIFS($I$1:I4271, $C$1:C4271, C4272, $B$1:B4271, {"MAL ALIMI","ÜRETİM GİRİŞ"})) - VLOOKUP(C4272, 'STOK RAPORU'!$C$2:$I$1000, 4, 0))), 0)</f>
        <v>0</v>
      </c>
      <c r="U4272" s="22">
        <f t="shared" si="264"/>
        <v>0</v>
      </c>
      <c r="V4272">
        <f t="shared" si="265"/>
        <v>0</v>
      </c>
      <c r="W4272" s="22">
        <f t="shared" si="266"/>
        <v>0</v>
      </c>
    </row>
    <row r="4273" spans="1:23" hidden="1" x14ac:dyDescent="0.25">
      <c r="A4273" s="45">
        <v>46071</v>
      </c>
      <c r="B4273" s="46" t="s">
        <v>334</v>
      </c>
      <c r="C4273" s="46" t="s">
        <v>2124</v>
      </c>
      <c r="D4273" s="46"/>
      <c r="E4273" s="46"/>
      <c r="F4273" s="46" t="s">
        <v>2153</v>
      </c>
      <c r="G4273" s="46" t="s">
        <v>2163</v>
      </c>
      <c r="H4273" s="46" t="s">
        <v>289</v>
      </c>
      <c r="I4273" s="46">
        <v>1</v>
      </c>
      <c r="J4273" s="47">
        <v>550</v>
      </c>
      <c r="K4273" s="47">
        <v>0</v>
      </c>
      <c r="L4273" s="48">
        <v>0</v>
      </c>
      <c r="M4273" s="42"/>
      <c r="N4273" s="42"/>
      <c r="O4273" s="44"/>
      <c r="P4273" s="44"/>
      <c r="Q4273" s="47">
        <v>550</v>
      </c>
      <c r="R4273" s="47">
        <v>0</v>
      </c>
      <c r="S4273" s="5">
        <f t="shared" si="267"/>
        <v>35464.202997470871</v>
      </c>
      <c r="T4273" cm="1">
        <f t="array" ref="T4273">IF(OR(B4273="MAL ALIMI", B4273="ÜRETİM GİRİŞ"), MIN(I4273, MAX(0, I4273 + SUM(SUMIFS($I$1:I4272, $C$1:C4272, C4273, $B$1:B4272, {"MAL ALIMI","ÜRETİM GİRİŞ"})) - VLOOKUP(C4273, 'STOK RAPORU'!$C$2:$I$1000, 4, 0))), 0)</f>
        <v>0</v>
      </c>
      <c r="U4273" s="22">
        <f t="shared" si="264"/>
        <v>0</v>
      </c>
      <c r="V4273">
        <f t="shared" si="265"/>
        <v>0</v>
      </c>
      <c r="W4273" s="22">
        <f t="shared" si="266"/>
        <v>0</v>
      </c>
    </row>
    <row r="4274" spans="1:23" hidden="1" x14ac:dyDescent="0.25">
      <c r="A4274" s="45">
        <v>46071</v>
      </c>
      <c r="B4274" s="46" t="s">
        <v>334</v>
      </c>
      <c r="C4274" s="46" t="s">
        <v>158</v>
      </c>
      <c r="D4274" s="46"/>
      <c r="E4274" s="46"/>
      <c r="F4274" s="46" t="s">
        <v>2153</v>
      </c>
      <c r="G4274" s="46" t="s">
        <v>2163</v>
      </c>
      <c r="H4274" s="46" t="s">
        <v>289</v>
      </c>
      <c r="I4274" s="46">
        <v>5.98</v>
      </c>
      <c r="J4274" s="47">
        <v>150</v>
      </c>
      <c r="K4274" s="47">
        <v>0</v>
      </c>
      <c r="L4274" s="48">
        <v>0</v>
      </c>
      <c r="M4274" s="42"/>
      <c r="N4274" s="42"/>
      <c r="O4274" s="44"/>
      <c r="P4274" s="44"/>
      <c r="Q4274" s="47">
        <v>897.00000000000011</v>
      </c>
      <c r="R4274" s="47">
        <v>0</v>
      </c>
      <c r="S4274" s="5">
        <f t="shared" si="267"/>
        <v>36361.202997470871</v>
      </c>
      <c r="T4274" cm="1">
        <f t="array" ref="T4274">IF(OR(B4274="MAL ALIMI", B4274="ÜRETİM GİRİŞ"), MIN(I4274, MAX(0, I4274 + SUM(SUMIFS($I$1:I4273, $C$1:C4273, C4274, $B$1:B4273, {"MAL ALIMI","ÜRETİM GİRİŞ"})) - VLOOKUP(C4274, 'STOK RAPORU'!$C$2:$I$1000, 4, 0))), 0)</f>
        <v>0</v>
      </c>
      <c r="U4274" s="22">
        <f t="shared" si="264"/>
        <v>0</v>
      </c>
      <c r="V4274">
        <f t="shared" si="265"/>
        <v>0</v>
      </c>
      <c r="W4274" s="22">
        <f t="shared" si="266"/>
        <v>0</v>
      </c>
    </row>
    <row r="4275" spans="1:23" hidden="1" x14ac:dyDescent="0.25">
      <c r="A4275" s="45">
        <v>46071</v>
      </c>
      <c r="B4275" s="46" t="s">
        <v>334</v>
      </c>
      <c r="C4275" s="46" t="s">
        <v>585</v>
      </c>
      <c r="D4275" s="46"/>
      <c r="E4275" s="46"/>
      <c r="F4275" s="46" t="s">
        <v>2153</v>
      </c>
      <c r="G4275" s="46" t="s">
        <v>2163</v>
      </c>
      <c r="H4275" s="46" t="s">
        <v>289</v>
      </c>
      <c r="I4275" s="46">
        <v>1</v>
      </c>
      <c r="J4275" s="47">
        <v>200</v>
      </c>
      <c r="K4275" s="47">
        <v>0</v>
      </c>
      <c r="L4275" s="48">
        <v>0</v>
      </c>
      <c r="M4275" s="42"/>
      <c r="N4275" s="42"/>
      <c r="O4275" s="44"/>
      <c r="P4275" s="44"/>
      <c r="Q4275" s="47">
        <v>200</v>
      </c>
      <c r="R4275" s="47">
        <v>0</v>
      </c>
      <c r="S4275" s="5">
        <f t="shared" si="267"/>
        <v>36561.202997470871</v>
      </c>
      <c r="T4275" cm="1">
        <f t="array" ref="T4275">IF(OR(B4275="MAL ALIMI", B4275="ÜRETİM GİRİŞ"), MIN(I4275, MAX(0, I4275 + SUM(SUMIFS($I$1:I4274, $C$1:C4274, C4275, $B$1:B4274, {"MAL ALIMI","ÜRETİM GİRİŞ"})) - VLOOKUP(C4275, 'STOK RAPORU'!$C$2:$I$1000, 4, 0))), 0)</f>
        <v>0</v>
      </c>
      <c r="U4275" s="22">
        <f t="shared" si="264"/>
        <v>0</v>
      </c>
      <c r="V4275">
        <f t="shared" si="265"/>
        <v>0</v>
      </c>
      <c r="W4275" s="22">
        <f t="shared" si="266"/>
        <v>0</v>
      </c>
    </row>
    <row r="4276" spans="1:23" hidden="1" x14ac:dyDescent="0.25">
      <c r="A4276" s="45">
        <v>46071</v>
      </c>
      <c r="B4276" s="46" t="s">
        <v>334</v>
      </c>
      <c r="C4276" s="46" t="s">
        <v>192</v>
      </c>
      <c r="D4276" s="46"/>
      <c r="E4276" s="46"/>
      <c r="F4276" s="46" t="s">
        <v>2153</v>
      </c>
      <c r="G4276" s="46" t="s">
        <v>2163</v>
      </c>
      <c r="H4276" s="46" t="s">
        <v>289</v>
      </c>
      <c r="I4276" s="46">
        <v>0.12</v>
      </c>
      <c r="J4276" s="47">
        <v>417</v>
      </c>
      <c r="K4276" s="47">
        <v>0</v>
      </c>
      <c r="L4276" s="48">
        <v>0</v>
      </c>
      <c r="M4276" s="42"/>
      <c r="N4276" s="42"/>
      <c r="O4276" s="44"/>
      <c r="P4276" s="44"/>
      <c r="Q4276" s="47">
        <v>50.04</v>
      </c>
      <c r="R4276" s="47">
        <v>0</v>
      </c>
      <c r="S4276" s="5">
        <f t="shared" si="267"/>
        <v>36611.242997470872</v>
      </c>
      <c r="T4276" cm="1">
        <f t="array" ref="T4276">IF(OR(B4276="MAL ALIMI", B4276="ÜRETİM GİRİŞ"), MIN(I4276, MAX(0, I4276 + SUM(SUMIFS($I$1:I4275, $C$1:C4275, C4276, $B$1:B4275, {"MAL ALIMI","ÜRETİM GİRİŞ"})) - VLOOKUP(C4276, 'STOK RAPORU'!$C$2:$I$1000, 4, 0))), 0)</f>
        <v>0</v>
      </c>
      <c r="U4276" s="22">
        <f t="shared" ref="U4276:U4339" si="268">T4276*J4276</f>
        <v>0</v>
      </c>
      <c r="V4276">
        <f t="shared" ref="V4276:V4339" si="269">IF(OR(B4276="MAL ALIMI", B4276="ÜRETİM GİRİŞ"), I4276 * J4276, 0)</f>
        <v>0</v>
      </c>
      <c r="W4276" s="22">
        <f t="shared" ref="W4276:W4339" si="270">V4276-U4276</f>
        <v>0</v>
      </c>
    </row>
    <row r="4277" spans="1:23" hidden="1" x14ac:dyDescent="0.25">
      <c r="A4277" s="45">
        <v>46071</v>
      </c>
      <c r="B4277" s="46" t="s">
        <v>334</v>
      </c>
      <c r="C4277" s="46" t="s">
        <v>196</v>
      </c>
      <c r="D4277" s="46"/>
      <c r="E4277" s="46"/>
      <c r="F4277" s="46" t="s">
        <v>2153</v>
      </c>
      <c r="G4277" s="46" t="s">
        <v>2163</v>
      </c>
      <c r="H4277" s="46" t="s">
        <v>289</v>
      </c>
      <c r="I4277" s="46">
        <v>0.52200000000000002</v>
      </c>
      <c r="J4277" s="47">
        <v>230</v>
      </c>
      <c r="K4277" s="47">
        <v>0</v>
      </c>
      <c r="L4277" s="48">
        <v>0</v>
      </c>
      <c r="M4277" s="42"/>
      <c r="N4277" s="42"/>
      <c r="O4277" s="44"/>
      <c r="P4277" s="44"/>
      <c r="Q4277" s="47">
        <v>120.06</v>
      </c>
      <c r="R4277" s="47">
        <v>0</v>
      </c>
      <c r="S4277" s="5">
        <f t="shared" si="267"/>
        <v>36731.30299747087</v>
      </c>
      <c r="T4277" cm="1">
        <f t="array" ref="T4277">IF(OR(B4277="MAL ALIMI", B4277="ÜRETİM GİRİŞ"), MIN(I4277, MAX(0, I4277 + SUM(SUMIFS($I$1:I4276, $C$1:C4276, C4277, $B$1:B4276, {"MAL ALIMI","ÜRETİM GİRİŞ"})) - VLOOKUP(C4277, 'STOK RAPORU'!$C$2:$I$1000, 4, 0))), 0)</f>
        <v>0</v>
      </c>
      <c r="U4277" s="22">
        <f t="shared" si="268"/>
        <v>0</v>
      </c>
      <c r="V4277">
        <f t="shared" si="269"/>
        <v>0</v>
      </c>
      <c r="W4277" s="22">
        <f t="shared" si="270"/>
        <v>0</v>
      </c>
    </row>
    <row r="4278" spans="1:23" hidden="1" x14ac:dyDescent="0.25">
      <c r="A4278" s="45">
        <v>46071</v>
      </c>
      <c r="B4278" s="46" t="s">
        <v>334</v>
      </c>
      <c r="C4278" s="46" t="s">
        <v>692</v>
      </c>
      <c r="D4278" s="46"/>
      <c r="E4278" s="46"/>
      <c r="F4278" s="46" t="s">
        <v>2153</v>
      </c>
      <c r="G4278" s="46" t="s">
        <v>2163</v>
      </c>
      <c r="H4278" s="46" t="s">
        <v>289</v>
      </c>
      <c r="I4278" s="46">
        <v>0.5</v>
      </c>
      <c r="J4278" s="47">
        <v>60</v>
      </c>
      <c r="K4278" s="47">
        <v>0</v>
      </c>
      <c r="L4278" s="48">
        <v>0</v>
      </c>
      <c r="M4278" s="42"/>
      <c r="N4278" s="42"/>
      <c r="O4278" s="44"/>
      <c r="P4278" s="44"/>
      <c r="Q4278" s="47">
        <v>30</v>
      </c>
      <c r="R4278" s="47">
        <v>0</v>
      </c>
      <c r="S4278" s="5">
        <f t="shared" si="267"/>
        <v>36761.30299747087</v>
      </c>
      <c r="T4278" cm="1">
        <f t="array" ref="T4278">IF(OR(B4278="MAL ALIMI", B4278="ÜRETİM GİRİŞ"), MIN(I4278, MAX(0, I4278 + SUM(SUMIFS($I$1:I4277, $C$1:C4277, C4278, $B$1:B4277, {"MAL ALIMI","ÜRETİM GİRİŞ"})) - VLOOKUP(C4278, 'STOK RAPORU'!$C$2:$I$1000, 4, 0))), 0)</f>
        <v>0</v>
      </c>
      <c r="U4278" s="22">
        <f t="shared" si="268"/>
        <v>0</v>
      </c>
      <c r="V4278">
        <f t="shared" si="269"/>
        <v>0</v>
      </c>
      <c r="W4278" s="22">
        <f t="shared" si="270"/>
        <v>0</v>
      </c>
    </row>
    <row r="4279" spans="1:23" hidden="1" x14ac:dyDescent="0.25">
      <c r="A4279" s="45">
        <v>46071</v>
      </c>
      <c r="B4279" s="46" t="s">
        <v>334</v>
      </c>
      <c r="C4279" s="46" t="s">
        <v>202</v>
      </c>
      <c r="D4279" s="46"/>
      <c r="E4279" s="46"/>
      <c r="F4279" s="46" t="s">
        <v>2153</v>
      </c>
      <c r="G4279" s="46" t="s">
        <v>2163</v>
      </c>
      <c r="H4279" s="46" t="s">
        <v>289</v>
      </c>
      <c r="I4279" s="46">
        <v>0.5</v>
      </c>
      <c r="J4279" s="47">
        <v>80</v>
      </c>
      <c r="K4279" s="47">
        <v>0</v>
      </c>
      <c r="L4279" s="48">
        <v>0</v>
      </c>
      <c r="M4279" s="42"/>
      <c r="N4279" s="42"/>
      <c r="O4279" s="44"/>
      <c r="P4279" s="44"/>
      <c r="Q4279" s="47">
        <v>40</v>
      </c>
      <c r="R4279" s="47">
        <v>0</v>
      </c>
      <c r="S4279" s="5">
        <f t="shared" si="267"/>
        <v>36801.30299747087</v>
      </c>
      <c r="T4279" cm="1">
        <f t="array" ref="T4279">IF(OR(B4279="MAL ALIMI", B4279="ÜRETİM GİRİŞ"), MIN(I4279, MAX(0, I4279 + SUM(SUMIFS($I$1:I4278, $C$1:C4278, C4279, $B$1:B4278, {"MAL ALIMI","ÜRETİM GİRİŞ"})) - VLOOKUP(C4279, 'STOK RAPORU'!$C$2:$I$1000, 4, 0))), 0)</f>
        <v>0</v>
      </c>
      <c r="U4279" s="22">
        <f t="shared" si="268"/>
        <v>0</v>
      </c>
      <c r="V4279">
        <f t="shared" si="269"/>
        <v>0</v>
      </c>
      <c r="W4279" s="22">
        <f t="shared" si="270"/>
        <v>0</v>
      </c>
    </row>
    <row r="4280" spans="1:23" hidden="1" x14ac:dyDescent="0.25">
      <c r="A4280" s="45">
        <v>46071</v>
      </c>
      <c r="B4280" s="46" t="s">
        <v>334</v>
      </c>
      <c r="C4280" s="46" t="s">
        <v>459</v>
      </c>
      <c r="D4280" s="46"/>
      <c r="E4280" s="46"/>
      <c r="F4280" s="46" t="s">
        <v>2153</v>
      </c>
      <c r="G4280" s="46" t="s">
        <v>2163</v>
      </c>
      <c r="H4280" s="46" t="s">
        <v>289</v>
      </c>
      <c r="I4280" s="46">
        <v>0.5</v>
      </c>
      <c r="J4280" s="47">
        <v>140</v>
      </c>
      <c r="K4280" s="47">
        <v>0</v>
      </c>
      <c r="L4280" s="48">
        <v>0</v>
      </c>
      <c r="M4280" s="42"/>
      <c r="N4280" s="42"/>
      <c r="O4280" s="44"/>
      <c r="P4280" s="44"/>
      <c r="Q4280" s="47">
        <v>70</v>
      </c>
      <c r="R4280" s="47">
        <v>0</v>
      </c>
      <c r="S4280" s="5">
        <f t="shared" si="267"/>
        <v>36871.30299747087</v>
      </c>
      <c r="T4280" cm="1">
        <f t="array" ref="T4280">IF(OR(B4280="MAL ALIMI", B4280="ÜRETİM GİRİŞ"), MIN(I4280, MAX(0, I4280 + SUM(SUMIFS($I$1:I4279, $C$1:C4279, C4280, $B$1:B4279, {"MAL ALIMI","ÜRETİM GİRİŞ"})) - VLOOKUP(C4280, 'STOK RAPORU'!$C$2:$I$1000, 4, 0))), 0)</f>
        <v>0</v>
      </c>
      <c r="U4280" s="22">
        <f t="shared" si="268"/>
        <v>0</v>
      </c>
      <c r="V4280">
        <f t="shared" si="269"/>
        <v>0</v>
      </c>
      <c r="W4280" s="22">
        <f t="shared" si="270"/>
        <v>0</v>
      </c>
    </row>
    <row r="4281" spans="1:23" hidden="1" x14ac:dyDescent="0.25">
      <c r="A4281" s="45">
        <v>46071</v>
      </c>
      <c r="B4281" s="46" t="s">
        <v>334</v>
      </c>
      <c r="C4281" s="46" t="s">
        <v>252</v>
      </c>
      <c r="D4281" s="46"/>
      <c r="E4281" s="46"/>
      <c r="F4281" s="46" t="s">
        <v>2154</v>
      </c>
      <c r="G4281" s="46" t="s">
        <v>336</v>
      </c>
      <c r="H4281" s="46" t="s">
        <v>289</v>
      </c>
      <c r="I4281" s="46">
        <v>0.5</v>
      </c>
      <c r="J4281" s="47">
        <v>200</v>
      </c>
      <c r="K4281" s="47">
        <v>0</v>
      </c>
      <c r="L4281" s="48">
        <v>0</v>
      </c>
      <c r="M4281" s="46"/>
      <c r="N4281" s="46"/>
      <c r="O4281" s="48"/>
      <c r="P4281" s="48"/>
      <c r="Q4281" s="47">
        <v>100</v>
      </c>
      <c r="R4281" s="47">
        <v>0</v>
      </c>
      <c r="S4281" s="5">
        <f t="shared" si="267"/>
        <v>36971.30299747087</v>
      </c>
      <c r="T4281" cm="1">
        <f t="array" ref="T4281">IF(OR(B4281="MAL ALIMI", B4281="ÜRETİM GİRİŞ"), MIN(I4281, MAX(0, I4281 + SUM(SUMIFS($I$1:I4280, $C$1:C4280, C4281, $B$1:B4280, {"MAL ALIMI","ÜRETİM GİRİŞ"})) - VLOOKUP(C4281, 'STOK RAPORU'!$C$2:$I$1000, 4, 0))), 0)</f>
        <v>0</v>
      </c>
      <c r="U4281" s="22">
        <f t="shared" si="268"/>
        <v>0</v>
      </c>
      <c r="V4281">
        <f t="shared" si="269"/>
        <v>0</v>
      </c>
      <c r="W4281" s="22">
        <f t="shared" si="270"/>
        <v>0</v>
      </c>
    </row>
    <row r="4282" spans="1:23" hidden="1" x14ac:dyDescent="0.25">
      <c r="A4282" s="3">
        <v>46071</v>
      </c>
      <c r="B4282" s="4" t="s">
        <v>334</v>
      </c>
      <c r="C4282" s="4" t="s">
        <v>158</v>
      </c>
      <c r="D4282" s="4"/>
      <c r="E4282" s="4" t="s">
        <v>921</v>
      </c>
      <c r="F4282" s="46" t="s">
        <v>2155</v>
      </c>
      <c r="G4282" s="4" t="s">
        <v>336</v>
      </c>
      <c r="H4282" s="4" t="s">
        <v>380</v>
      </c>
      <c r="I4282" s="4">
        <v>1</v>
      </c>
      <c r="J4282" s="21">
        <v>150</v>
      </c>
      <c r="K4282" s="21">
        <v>150</v>
      </c>
      <c r="L4282" s="5">
        <v>0</v>
      </c>
      <c r="M4282" s="4"/>
      <c r="N4282" s="4"/>
      <c r="O4282" s="5"/>
      <c r="P4282" s="5"/>
      <c r="Q4282" s="21">
        <v>0</v>
      </c>
      <c r="R4282" s="21">
        <v>0</v>
      </c>
      <c r="S4282" s="5">
        <f t="shared" si="267"/>
        <v>36971.30299747087</v>
      </c>
      <c r="T4282" cm="1">
        <f t="array" ref="T4282">IF(OR(B4282="MAL ALIMI", B4282="ÜRETİM GİRİŞ"), MIN(I4282, MAX(0, I4282 + SUM(SUMIFS($I$1:I4281, $C$1:C4281, C4282, $B$1:B4281, {"MAL ALIMI","ÜRETİM GİRİŞ"})) - VLOOKUP(C4282, 'STOK RAPORU'!$C$2:$I$1000, 4, 0))), 0)</f>
        <v>0</v>
      </c>
      <c r="U4282" s="22">
        <f t="shared" si="268"/>
        <v>0</v>
      </c>
      <c r="V4282">
        <f t="shared" si="269"/>
        <v>0</v>
      </c>
      <c r="W4282" s="22">
        <f t="shared" si="270"/>
        <v>0</v>
      </c>
    </row>
    <row r="4283" spans="1:23" hidden="1" x14ac:dyDescent="0.25">
      <c r="A4283" s="3">
        <v>46071</v>
      </c>
      <c r="B4283" s="4" t="s">
        <v>334</v>
      </c>
      <c r="C4283" s="4" t="s">
        <v>2144</v>
      </c>
      <c r="D4283" s="4"/>
      <c r="E4283" s="4" t="s">
        <v>921</v>
      </c>
      <c r="F4283" s="46" t="s">
        <v>2156</v>
      </c>
      <c r="G4283" s="4" t="s">
        <v>336</v>
      </c>
      <c r="H4283" s="4" t="s">
        <v>380</v>
      </c>
      <c r="I4283" s="4">
        <v>1</v>
      </c>
      <c r="J4283" s="21">
        <v>350</v>
      </c>
      <c r="K4283" s="21">
        <v>350</v>
      </c>
      <c r="L4283" s="5">
        <v>0</v>
      </c>
      <c r="M4283" s="4"/>
      <c r="N4283" s="4"/>
      <c r="O4283" s="5"/>
      <c r="P4283" s="5"/>
      <c r="Q4283" s="21">
        <v>0</v>
      </c>
      <c r="R4283" s="21">
        <v>0</v>
      </c>
      <c r="S4283" s="5">
        <f t="shared" si="267"/>
        <v>36971.30299747087</v>
      </c>
      <c r="T4283" cm="1">
        <f t="array" ref="T4283">IF(OR(B4283="MAL ALIMI", B4283="ÜRETİM GİRİŞ"), MIN(I4283, MAX(0, I4283 + SUM(SUMIFS($I$1:I4282, $C$1:C4282, C4283, $B$1:B4282, {"MAL ALIMI","ÜRETİM GİRİŞ"})) - VLOOKUP(C4283, 'STOK RAPORU'!$C$2:$I$1000, 4, 0))), 0)</f>
        <v>0</v>
      </c>
      <c r="U4283" s="22">
        <f t="shared" si="268"/>
        <v>0</v>
      </c>
      <c r="V4283">
        <f t="shared" si="269"/>
        <v>0</v>
      </c>
      <c r="W4283" s="22">
        <f t="shared" si="270"/>
        <v>0</v>
      </c>
    </row>
    <row r="4284" spans="1:23" hidden="1" x14ac:dyDescent="0.25">
      <c r="A4284" s="3">
        <v>46071</v>
      </c>
      <c r="B4284" s="4" t="s">
        <v>334</v>
      </c>
      <c r="C4284" s="4" t="s">
        <v>2124</v>
      </c>
      <c r="D4284" s="4"/>
      <c r="E4284" s="4" t="s">
        <v>921</v>
      </c>
      <c r="F4284" s="46" t="s">
        <v>2157</v>
      </c>
      <c r="G4284" s="4" t="s">
        <v>336</v>
      </c>
      <c r="H4284" s="4" t="s">
        <v>380</v>
      </c>
      <c r="I4284" s="4">
        <v>0.7</v>
      </c>
      <c r="J4284" s="21">
        <v>550</v>
      </c>
      <c r="K4284" s="21">
        <v>385</v>
      </c>
      <c r="L4284" s="5">
        <v>0</v>
      </c>
      <c r="M4284" s="4"/>
      <c r="N4284" s="4"/>
      <c r="O4284" s="5"/>
      <c r="P4284" s="5"/>
      <c r="Q4284" s="21">
        <v>0</v>
      </c>
      <c r="R4284" s="21">
        <v>0</v>
      </c>
      <c r="S4284" s="5">
        <f t="shared" si="267"/>
        <v>36971.30299747087</v>
      </c>
      <c r="T4284" cm="1">
        <f t="array" ref="T4284">IF(OR(B4284="MAL ALIMI", B4284="ÜRETİM GİRİŞ"), MIN(I4284, MAX(0, I4284 + SUM(SUMIFS($I$1:I4283, $C$1:C4283, C4284, $B$1:B4283, {"MAL ALIMI","ÜRETİM GİRİŞ"})) - VLOOKUP(C4284, 'STOK RAPORU'!$C$2:$I$1000, 4, 0))), 0)</f>
        <v>0</v>
      </c>
      <c r="U4284" s="22">
        <f t="shared" si="268"/>
        <v>0</v>
      </c>
      <c r="V4284">
        <f t="shared" si="269"/>
        <v>0</v>
      </c>
      <c r="W4284" s="22">
        <f t="shared" si="270"/>
        <v>0</v>
      </c>
    </row>
    <row r="4285" spans="1:23" hidden="1" x14ac:dyDescent="0.25">
      <c r="A4285" s="3">
        <v>46071</v>
      </c>
      <c r="B4285" s="4" t="s">
        <v>334</v>
      </c>
      <c r="C4285" s="4" t="s">
        <v>226</v>
      </c>
      <c r="D4285" s="4"/>
      <c r="E4285" s="4"/>
      <c r="F4285" s="46" t="s">
        <v>2158</v>
      </c>
      <c r="G4285" s="4" t="s">
        <v>336</v>
      </c>
      <c r="H4285" s="4" t="s">
        <v>289</v>
      </c>
      <c r="I4285" s="4">
        <v>0.45454545454545453</v>
      </c>
      <c r="J4285" s="21">
        <v>220</v>
      </c>
      <c r="K4285" s="21">
        <v>0</v>
      </c>
      <c r="L4285" s="5">
        <v>0</v>
      </c>
      <c r="M4285" s="4"/>
      <c r="N4285" s="4"/>
      <c r="O4285" s="5"/>
      <c r="P4285" s="5"/>
      <c r="Q4285" s="21">
        <v>100</v>
      </c>
      <c r="R4285" s="21">
        <v>0</v>
      </c>
      <c r="S4285" s="5">
        <f t="shared" si="267"/>
        <v>37071.30299747087</v>
      </c>
      <c r="T4285" cm="1">
        <f t="array" ref="T4285">IF(OR(B4285="MAL ALIMI", B4285="ÜRETİM GİRİŞ"), MIN(I4285, MAX(0, I4285 + SUM(SUMIFS($I$1:I4284, $C$1:C4284, C4285, $B$1:B4284, {"MAL ALIMI","ÜRETİM GİRİŞ"})) - VLOOKUP(C4285, 'STOK RAPORU'!$C$2:$I$1000, 4, 0))), 0)</f>
        <v>0</v>
      </c>
      <c r="U4285" s="22">
        <f t="shared" si="268"/>
        <v>0</v>
      </c>
      <c r="V4285">
        <f t="shared" si="269"/>
        <v>0</v>
      </c>
      <c r="W4285" s="22">
        <f t="shared" si="270"/>
        <v>0</v>
      </c>
    </row>
    <row r="4286" spans="1:23" hidden="1" x14ac:dyDescent="0.25">
      <c r="A4286" s="45">
        <v>46071</v>
      </c>
      <c r="B4286" s="46" t="s">
        <v>334</v>
      </c>
      <c r="C4286" s="46" t="s">
        <v>1501</v>
      </c>
      <c r="D4286" s="46"/>
      <c r="E4286" s="46"/>
      <c r="F4286" s="46" t="s">
        <v>2159</v>
      </c>
      <c r="G4286" s="46" t="s">
        <v>1771</v>
      </c>
      <c r="H4286" s="46" t="s">
        <v>289</v>
      </c>
      <c r="I4286" s="46">
        <v>1</v>
      </c>
      <c r="J4286" s="47">
        <v>600</v>
      </c>
      <c r="K4286" s="47">
        <v>0</v>
      </c>
      <c r="L4286" s="48">
        <v>0</v>
      </c>
      <c r="M4286" s="42"/>
      <c r="N4286" s="42"/>
      <c r="O4286" s="44"/>
      <c r="P4286" s="44"/>
      <c r="Q4286" s="47">
        <v>600</v>
      </c>
      <c r="R4286" s="47">
        <v>0</v>
      </c>
      <c r="S4286" s="5">
        <f t="shared" si="267"/>
        <v>37671.30299747087</v>
      </c>
      <c r="T4286" cm="1">
        <f t="array" ref="T4286">IF(OR(B4286="MAL ALIMI", B4286="ÜRETİM GİRİŞ"), MIN(I4286, MAX(0, I4286 + SUM(SUMIFS($I$1:I4285, $C$1:C4285, C4286, $B$1:B4285, {"MAL ALIMI","ÜRETİM GİRİŞ"})) - VLOOKUP(C4286, 'STOK RAPORU'!$C$2:$I$1000, 4, 0))), 0)</f>
        <v>0</v>
      </c>
      <c r="U4286" s="22">
        <f t="shared" si="268"/>
        <v>0</v>
      </c>
      <c r="V4286">
        <f t="shared" si="269"/>
        <v>0</v>
      </c>
      <c r="W4286" s="22">
        <f t="shared" si="270"/>
        <v>0</v>
      </c>
    </row>
    <row r="4287" spans="1:23" hidden="1" x14ac:dyDescent="0.25">
      <c r="A4287" s="3">
        <v>46071</v>
      </c>
      <c r="B4287" s="4" t="s">
        <v>334</v>
      </c>
      <c r="C4287" s="4" t="s">
        <v>460</v>
      </c>
      <c r="D4287" s="4"/>
      <c r="E4287" s="4"/>
      <c r="F4287" s="46" t="s">
        <v>2160</v>
      </c>
      <c r="G4287" s="4" t="s">
        <v>336</v>
      </c>
      <c r="H4287" s="4" t="s">
        <v>289</v>
      </c>
      <c r="I4287" s="4">
        <v>7</v>
      </c>
      <c r="J4287" s="21">
        <v>15</v>
      </c>
      <c r="K4287" s="21">
        <v>0</v>
      </c>
      <c r="L4287" s="5">
        <v>0</v>
      </c>
      <c r="M4287" s="4"/>
      <c r="N4287" s="4"/>
      <c r="O4287" s="5"/>
      <c r="P4287" s="5"/>
      <c r="Q4287" s="21">
        <v>105</v>
      </c>
      <c r="R4287" s="21">
        <v>0</v>
      </c>
      <c r="S4287" s="5">
        <f t="shared" si="267"/>
        <v>37776.30299747087</v>
      </c>
      <c r="T4287" cm="1">
        <f t="array" ref="T4287">IF(OR(B4287="MAL ALIMI", B4287="ÜRETİM GİRİŞ"), MIN(I4287, MAX(0, I4287 + SUM(SUMIFS($I$1:I4286, $C$1:C4286, C4287, $B$1:B4286, {"MAL ALIMI","ÜRETİM GİRİŞ"})) - VLOOKUP(C4287, 'STOK RAPORU'!$C$2:$I$1000, 4, 0))), 0)</f>
        <v>0</v>
      </c>
      <c r="U4287" s="22">
        <f t="shared" si="268"/>
        <v>0</v>
      </c>
      <c r="V4287">
        <f t="shared" si="269"/>
        <v>0</v>
      </c>
      <c r="W4287" s="22">
        <f t="shared" si="270"/>
        <v>0</v>
      </c>
    </row>
    <row r="4288" spans="1:23" hidden="1" x14ac:dyDescent="0.25">
      <c r="A4288" s="41">
        <v>46071</v>
      </c>
      <c r="B4288" s="42" t="s">
        <v>334</v>
      </c>
      <c r="C4288" s="42" t="s">
        <v>835</v>
      </c>
      <c r="D4288" s="42"/>
      <c r="E4288" s="42"/>
      <c r="F4288" s="42" t="s">
        <v>2161</v>
      </c>
      <c r="G4288" s="42" t="s">
        <v>2162</v>
      </c>
      <c r="H4288" s="42" t="s">
        <v>289</v>
      </c>
      <c r="I4288" s="42">
        <v>1</v>
      </c>
      <c r="J4288" s="43">
        <v>130</v>
      </c>
      <c r="K4288" s="43">
        <v>0</v>
      </c>
      <c r="L4288" s="44">
        <v>0</v>
      </c>
      <c r="M4288" s="42"/>
      <c r="N4288" s="42"/>
      <c r="O4288" s="44"/>
      <c r="P4288" s="44"/>
      <c r="Q4288" s="43">
        <v>130</v>
      </c>
      <c r="R4288" s="43">
        <v>0</v>
      </c>
      <c r="S4288" s="5">
        <f t="shared" si="267"/>
        <v>37906.30299747087</v>
      </c>
      <c r="T4288" cm="1">
        <f t="array" ref="T4288">IF(OR(B4288="MAL ALIMI", B4288="ÜRETİM GİRİŞ"), MIN(I4288, MAX(0, I4288 + SUM(SUMIFS($I$1:I4287, $C$1:C4287, C4288, $B$1:B4287, {"MAL ALIMI","ÜRETİM GİRİŞ"})) - VLOOKUP(C4288, 'STOK RAPORU'!$C$2:$I$1000, 4, 0))), 0)</f>
        <v>0</v>
      </c>
      <c r="U4288" s="22">
        <f t="shared" si="268"/>
        <v>0</v>
      </c>
      <c r="V4288">
        <f t="shared" si="269"/>
        <v>0</v>
      </c>
      <c r="W4288" s="22">
        <f t="shared" si="270"/>
        <v>0</v>
      </c>
    </row>
    <row r="4289" spans="1:23" x14ac:dyDescent="0.25">
      <c r="A4289" s="45">
        <v>46071</v>
      </c>
      <c r="B4289" s="46" t="s">
        <v>659</v>
      </c>
      <c r="C4289" s="4" t="s">
        <v>158</v>
      </c>
      <c r="D4289" s="4"/>
      <c r="E4289" s="4" t="s">
        <v>855</v>
      </c>
      <c r="F4289" s="4"/>
      <c r="G4289" s="4" t="s">
        <v>2245</v>
      </c>
      <c r="H4289" s="4" t="s">
        <v>304</v>
      </c>
      <c r="I4289" s="4">
        <v>193.5</v>
      </c>
      <c r="J4289" s="21">
        <v>62.015500000000003</v>
      </c>
      <c r="K4289" s="21">
        <v>12000</v>
      </c>
      <c r="L4289" s="5">
        <v>0</v>
      </c>
      <c r="M4289" s="4"/>
      <c r="N4289" s="4"/>
      <c r="O4289" s="5"/>
      <c r="P4289" s="5"/>
      <c r="Q4289" s="21">
        <v>0</v>
      </c>
      <c r="R4289" s="21">
        <v>0</v>
      </c>
      <c r="S4289" s="5">
        <f t="shared" si="267"/>
        <v>37906.30299747087</v>
      </c>
      <c r="T4289" cm="1">
        <f t="array" ref="T4289">IF(OR(B4289="MAL ALIMI", B4289="ÜRETİM GİRİŞ"), MIN(I4289, MAX(0, I4289 + SUM(SUMIFS($I$1:I4288, $C$1:C4288, C4289, $B$1:B4288, {"MAL ALIMI","ÜRETİM GİRİŞ"})) - VLOOKUP(C4289, 'STOK RAPORU'!$C$2:$I$1000, 4, 0))), 0)</f>
        <v>0</v>
      </c>
      <c r="U4289" s="22">
        <f t="shared" si="268"/>
        <v>0</v>
      </c>
      <c r="V4289">
        <f t="shared" si="269"/>
        <v>0</v>
      </c>
      <c r="W4289" s="22">
        <f t="shared" si="270"/>
        <v>0</v>
      </c>
    </row>
    <row r="4290" spans="1:23" hidden="1" x14ac:dyDescent="0.25">
      <c r="A4290" s="45">
        <v>46072</v>
      </c>
      <c r="B4290" s="46" t="s">
        <v>334</v>
      </c>
      <c r="C4290" s="4" t="s">
        <v>161</v>
      </c>
      <c r="D4290" s="4"/>
      <c r="E4290" s="4" t="s">
        <v>921</v>
      </c>
      <c r="F4290" s="46" t="s">
        <v>2164</v>
      </c>
      <c r="G4290" s="4" t="s">
        <v>336</v>
      </c>
      <c r="H4290" s="4" t="s">
        <v>380</v>
      </c>
      <c r="I4290" s="4">
        <v>1</v>
      </c>
      <c r="J4290" s="21">
        <v>230</v>
      </c>
      <c r="K4290" s="21">
        <v>230</v>
      </c>
      <c r="L4290" s="5">
        <v>0</v>
      </c>
      <c r="M4290" s="4"/>
      <c r="N4290" s="4"/>
      <c r="O4290" s="5"/>
      <c r="P4290" s="5"/>
      <c r="Q4290" s="21">
        <v>0</v>
      </c>
      <c r="R4290" s="21">
        <v>0</v>
      </c>
      <c r="S4290" s="5">
        <f t="shared" si="267"/>
        <v>37906.30299747087</v>
      </c>
      <c r="T4290" cm="1">
        <f t="array" ref="T4290">IF(OR(B4290="MAL ALIMI", B4290="ÜRETİM GİRİŞ"), MIN(I4290, MAX(0, I4290 + SUM(SUMIFS($I$1:I4289, $C$1:C4289, C4290, $B$1:B4289, {"MAL ALIMI","ÜRETİM GİRİŞ"})) - VLOOKUP(C4290, 'STOK RAPORU'!$C$2:$I$1000, 4, 0))), 0)</f>
        <v>0</v>
      </c>
      <c r="U4290" s="22">
        <f t="shared" si="268"/>
        <v>0</v>
      </c>
      <c r="V4290">
        <f t="shared" si="269"/>
        <v>0</v>
      </c>
      <c r="W4290" s="22">
        <f t="shared" si="270"/>
        <v>0</v>
      </c>
    </row>
    <row r="4291" spans="1:23" ht="14.25" hidden="1" customHeight="1" x14ac:dyDescent="0.25">
      <c r="A4291" s="45">
        <v>46072</v>
      </c>
      <c r="B4291" s="46" t="s">
        <v>334</v>
      </c>
      <c r="C4291" s="4" t="s">
        <v>1634</v>
      </c>
      <c r="D4291" s="4"/>
      <c r="E4291" s="4"/>
      <c r="F4291" s="46" t="s">
        <v>2165</v>
      </c>
      <c r="G4291" s="4" t="s">
        <v>336</v>
      </c>
      <c r="H4291" s="4" t="s">
        <v>289</v>
      </c>
      <c r="I4291" s="4">
        <v>0.5</v>
      </c>
      <c r="J4291" s="21">
        <v>300</v>
      </c>
      <c r="K4291" s="21">
        <v>0</v>
      </c>
      <c r="L4291" s="5">
        <v>0</v>
      </c>
      <c r="M4291" s="4"/>
      <c r="N4291" s="4"/>
      <c r="O4291" s="5"/>
      <c r="P4291" s="5"/>
      <c r="Q4291" s="21">
        <v>150</v>
      </c>
      <c r="R4291" s="21">
        <v>0</v>
      </c>
      <c r="S4291" s="5">
        <f t="shared" si="267"/>
        <v>38056.30299747087</v>
      </c>
      <c r="T4291" cm="1">
        <f t="array" ref="T4291">IF(OR(B4291="MAL ALIMI", B4291="ÜRETİM GİRİŞ"), MIN(I4291, MAX(0, I4291 + SUM(SUMIFS($I$1:I4290, $C$1:C4290, C4291, $B$1:B4290, {"MAL ALIMI","ÜRETİM GİRİŞ"})) - VLOOKUP(C4291, 'STOK RAPORU'!$C$2:$I$1000, 4, 0))), 0)</f>
        <v>0</v>
      </c>
      <c r="U4291" s="22">
        <f t="shared" si="268"/>
        <v>0</v>
      </c>
      <c r="V4291">
        <f t="shared" si="269"/>
        <v>0</v>
      </c>
      <c r="W4291" s="22">
        <f t="shared" si="270"/>
        <v>0</v>
      </c>
    </row>
    <row r="4292" spans="1:23" hidden="1" x14ac:dyDescent="0.25">
      <c r="A4292" s="45">
        <v>46072</v>
      </c>
      <c r="B4292" s="46" t="s">
        <v>334</v>
      </c>
      <c r="C4292" s="4" t="s">
        <v>1150</v>
      </c>
      <c r="D4292" s="4"/>
      <c r="E4292" s="4"/>
      <c r="F4292" s="46" t="s">
        <v>2166</v>
      </c>
      <c r="G4292" s="4" t="s">
        <v>336</v>
      </c>
      <c r="H4292" s="4" t="s">
        <v>289</v>
      </c>
      <c r="I4292" s="4">
        <v>8.4000000000000005E-2</v>
      </c>
      <c r="J4292" s="21">
        <v>490</v>
      </c>
      <c r="K4292" s="21">
        <v>0</v>
      </c>
      <c r="L4292" s="5">
        <v>0</v>
      </c>
      <c r="M4292" s="4"/>
      <c r="N4292" s="4"/>
      <c r="O4292" s="5"/>
      <c r="P4292" s="5"/>
      <c r="Q4292" s="21">
        <v>41.160000000000004</v>
      </c>
      <c r="R4292" s="21">
        <v>0</v>
      </c>
      <c r="S4292" s="5">
        <f t="shared" ref="S4292:S4355" si="271">S4291+Q4292-R4292</f>
        <v>38097.462997470873</v>
      </c>
      <c r="T4292" cm="1">
        <f t="array" ref="T4292">IF(OR(B4292="MAL ALIMI", B4292="ÜRETİM GİRİŞ"), MIN(I4292, MAX(0, I4292 + SUM(SUMIFS($I$1:I4291, $C$1:C4291, C4292, $B$1:B4291, {"MAL ALIMI","ÜRETİM GİRİŞ"})) - VLOOKUP(C4292, 'STOK RAPORU'!$C$2:$I$1000, 4, 0))), 0)</f>
        <v>0</v>
      </c>
      <c r="U4292" s="22">
        <f t="shared" si="268"/>
        <v>0</v>
      </c>
      <c r="V4292">
        <f t="shared" si="269"/>
        <v>0</v>
      </c>
      <c r="W4292" s="22">
        <f t="shared" si="270"/>
        <v>0</v>
      </c>
    </row>
    <row r="4293" spans="1:23" hidden="1" x14ac:dyDescent="0.25">
      <c r="A4293" s="45">
        <v>46072</v>
      </c>
      <c r="B4293" s="46" t="s">
        <v>334</v>
      </c>
      <c r="C4293" s="4" t="s">
        <v>92</v>
      </c>
      <c r="D4293" s="4"/>
      <c r="E4293" s="4"/>
      <c r="F4293" s="46" t="s">
        <v>2166</v>
      </c>
      <c r="G4293" s="4" t="s">
        <v>336</v>
      </c>
      <c r="H4293" s="4" t="s">
        <v>289</v>
      </c>
      <c r="I4293" s="4">
        <v>0.11799999999999999</v>
      </c>
      <c r="J4293" s="21">
        <v>500</v>
      </c>
      <c r="K4293" s="21">
        <v>0</v>
      </c>
      <c r="L4293" s="5">
        <v>0</v>
      </c>
      <c r="M4293" s="4"/>
      <c r="N4293" s="4"/>
      <c r="O4293" s="5"/>
      <c r="P4293" s="5"/>
      <c r="Q4293" s="21">
        <v>59</v>
      </c>
      <c r="R4293" s="21">
        <v>0</v>
      </c>
      <c r="S4293" s="5">
        <f t="shared" si="271"/>
        <v>38156.462997470873</v>
      </c>
      <c r="T4293" cm="1">
        <f t="array" ref="T4293">IF(OR(B4293="MAL ALIMI", B4293="ÜRETİM GİRİŞ"), MIN(I4293, MAX(0, I4293 + SUM(SUMIFS($I$1:I4292, $C$1:C4292, C4293, $B$1:B4292, {"MAL ALIMI","ÜRETİM GİRİŞ"})) - VLOOKUP(C4293, 'STOK RAPORU'!$C$2:$I$1000, 4, 0))), 0)</f>
        <v>0</v>
      </c>
      <c r="U4293" s="22">
        <f t="shared" si="268"/>
        <v>0</v>
      </c>
      <c r="V4293">
        <f t="shared" si="269"/>
        <v>0</v>
      </c>
      <c r="W4293" s="22">
        <f t="shared" si="270"/>
        <v>0</v>
      </c>
    </row>
    <row r="4294" spans="1:23" hidden="1" x14ac:dyDescent="0.25">
      <c r="A4294" s="45">
        <v>46072</v>
      </c>
      <c r="B4294" s="46" t="s">
        <v>334</v>
      </c>
      <c r="C4294" s="4" t="s">
        <v>160</v>
      </c>
      <c r="D4294" s="4"/>
      <c r="E4294" s="4"/>
      <c r="F4294" s="46" t="s">
        <v>2166</v>
      </c>
      <c r="G4294" s="4" t="s">
        <v>336</v>
      </c>
      <c r="H4294" s="4" t="s">
        <v>289</v>
      </c>
      <c r="I4294" s="4">
        <v>1</v>
      </c>
      <c r="J4294" s="21">
        <v>250</v>
      </c>
      <c r="K4294" s="21">
        <v>0</v>
      </c>
      <c r="L4294" s="5">
        <v>0</v>
      </c>
      <c r="M4294" s="4"/>
      <c r="N4294" s="4"/>
      <c r="O4294" s="5"/>
      <c r="P4294" s="5"/>
      <c r="Q4294" s="21">
        <v>250</v>
      </c>
      <c r="R4294" s="21">
        <v>0</v>
      </c>
      <c r="S4294" s="5">
        <f t="shared" si="271"/>
        <v>38406.462997470873</v>
      </c>
      <c r="T4294" cm="1">
        <f t="array" ref="T4294">IF(OR(B4294="MAL ALIMI", B4294="ÜRETİM GİRİŞ"), MIN(I4294, MAX(0, I4294 + SUM(SUMIFS($I$1:I4293, $C$1:C4293, C4294, $B$1:B4293, {"MAL ALIMI","ÜRETİM GİRİŞ"})) - VLOOKUP(C4294, 'STOK RAPORU'!$C$2:$I$1000, 4, 0))), 0)</f>
        <v>0</v>
      </c>
      <c r="U4294" s="22">
        <f t="shared" si="268"/>
        <v>0</v>
      </c>
      <c r="V4294">
        <f t="shared" si="269"/>
        <v>0</v>
      </c>
      <c r="W4294" s="22">
        <f t="shared" si="270"/>
        <v>0</v>
      </c>
    </row>
    <row r="4295" spans="1:23" hidden="1" x14ac:dyDescent="0.25">
      <c r="A4295" s="45">
        <v>46072</v>
      </c>
      <c r="B4295" s="46" t="s">
        <v>334</v>
      </c>
      <c r="C4295" s="4" t="s">
        <v>160</v>
      </c>
      <c r="D4295" s="4"/>
      <c r="E4295" s="4" t="s">
        <v>921</v>
      </c>
      <c r="F4295" s="46" t="s">
        <v>2167</v>
      </c>
      <c r="G4295" s="4" t="s">
        <v>336</v>
      </c>
      <c r="H4295" s="4" t="s">
        <v>380</v>
      </c>
      <c r="I4295" s="4">
        <v>1.5</v>
      </c>
      <c r="J4295" s="21">
        <v>250</v>
      </c>
      <c r="K4295" s="21">
        <v>375</v>
      </c>
      <c r="L4295" s="5">
        <v>0</v>
      </c>
      <c r="M4295" s="4"/>
      <c r="N4295" s="4"/>
      <c r="O4295" s="5"/>
      <c r="P4295" s="5"/>
      <c r="Q4295" s="21">
        <v>0</v>
      </c>
      <c r="R4295" s="21">
        <v>0</v>
      </c>
      <c r="S4295" s="5">
        <f t="shared" si="271"/>
        <v>38406.462997470873</v>
      </c>
      <c r="T4295" cm="1">
        <f t="array" ref="T4295">IF(OR(B4295="MAL ALIMI", B4295="ÜRETİM GİRİŞ"), MIN(I4295, MAX(0, I4295 + SUM(SUMIFS($I$1:I4294, $C$1:C4294, C4295, $B$1:B4294, {"MAL ALIMI","ÜRETİM GİRİŞ"})) - VLOOKUP(C4295, 'STOK RAPORU'!$C$2:$I$1000, 4, 0))), 0)</f>
        <v>0</v>
      </c>
      <c r="U4295" s="22">
        <f t="shared" si="268"/>
        <v>0</v>
      </c>
      <c r="V4295">
        <f t="shared" si="269"/>
        <v>0</v>
      </c>
      <c r="W4295" s="22">
        <f t="shared" si="270"/>
        <v>0</v>
      </c>
    </row>
    <row r="4296" spans="1:23" hidden="1" x14ac:dyDescent="0.25">
      <c r="A4296" s="45">
        <v>46072</v>
      </c>
      <c r="B4296" s="46" t="s">
        <v>334</v>
      </c>
      <c r="C4296" s="4" t="s">
        <v>161</v>
      </c>
      <c r="D4296" s="4"/>
      <c r="E4296" s="4" t="s">
        <v>921</v>
      </c>
      <c r="F4296" s="46" t="s">
        <v>2167</v>
      </c>
      <c r="G4296" s="4" t="s">
        <v>336</v>
      </c>
      <c r="H4296" s="4" t="s">
        <v>380</v>
      </c>
      <c r="I4296" s="4">
        <v>1</v>
      </c>
      <c r="J4296" s="21">
        <v>230</v>
      </c>
      <c r="K4296" s="21">
        <v>230</v>
      </c>
      <c r="L4296" s="5">
        <v>0</v>
      </c>
      <c r="M4296" s="4"/>
      <c r="N4296" s="4"/>
      <c r="O4296" s="5"/>
      <c r="P4296" s="5"/>
      <c r="Q4296" s="21">
        <v>0</v>
      </c>
      <c r="R4296" s="21">
        <v>0</v>
      </c>
      <c r="S4296" s="5">
        <f t="shared" si="271"/>
        <v>38406.462997470873</v>
      </c>
      <c r="T4296" cm="1">
        <f t="array" ref="T4296">IF(OR(B4296="MAL ALIMI", B4296="ÜRETİM GİRİŞ"), MIN(I4296, MAX(0, I4296 + SUM(SUMIFS($I$1:I4295, $C$1:C4295, C4296, $B$1:B4295, {"MAL ALIMI","ÜRETİM GİRİŞ"})) - VLOOKUP(C4296, 'STOK RAPORU'!$C$2:$I$1000, 4, 0))), 0)</f>
        <v>0</v>
      </c>
      <c r="U4296" s="22">
        <f t="shared" si="268"/>
        <v>0</v>
      </c>
      <c r="V4296">
        <f t="shared" si="269"/>
        <v>0</v>
      </c>
      <c r="W4296" s="22">
        <f t="shared" si="270"/>
        <v>0</v>
      </c>
    </row>
    <row r="4297" spans="1:23" hidden="1" x14ac:dyDescent="0.25">
      <c r="A4297" s="45">
        <v>46072</v>
      </c>
      <c r="B4297" s="46" t="s">
        <v>334</v>
      </c>
      <c r="C4297" s="4" t="s">
        <v>193</v>
      </c>
      <c r="D4297" s="4"/>
      <c r="E4297" s="4" t="s">
        <v>921</v>
      </c>
      <c r="F4297" s="46" t="s">
        <v>2167</v>
      </c>
      <c r="G4297" s="4" t="s">
        <v>336</v>
      </c>
      <c r="H4297" s="4" t="s">
        <v>380</v>
      </c>
      <c r="I4297" s="4">
        <v>0.1</v>
      </c>
      <c r="J4297" s="21">
        <v>1200</v>
      </c>
      <c r="K4297" s="21">
        <v>120</v>
      </c>
      <c r="L4297" s="5">
        <v>0</v>
      </c>
      <c r="M4297" s="4"/>
      <c r="N4297" s="4"/>
      <c r="O4297" s="5"/>
      <c r="P4297" s="5"/>
      <c r="Q4297" s="21">
        <v>0</v>
      </c>
      <c r="R4297" s="21">
        <v>0</v>
      </c>
      <c r="S4297" s="5">
        <f t="shared" si="271"/>
        <v>38406.462997470873</v>
      </c>
      <c r="T4297" cm="1">
        <f t="array" ref="T4297">IF(OR(B4297="MAL ALIMI", B4297="ÜRETİM GİRİŞ"), MIN(I4297, MAX(0, I4297 + SUM(SUMIFS($I$1:I4296, $C$1:C4296, C4297, $B$1:B4296, {"MAL ALIMI","ÜRETİM GİRİŞ"})) - VLOOKUP(C4297, 'STOK RAPORU'!$C$2:$I$1000, 4, 0))), 0)</f>
        <v>0</v>
      </c>
      <c r="U4297" s="22">
        <f t="shared" si="268"/>
        <v>0</v>
      </c>
      <c r="V4297">
        <f t="shared" si="269"/>
        <v>0</v>
      </c>
      <c r="W4297" s="22">
        <f t="shared" si="270"/>
        <v>0</v>
      </c>
    </row>
    <row r="4298" spans="1:23" hidden="1" x14ac:dyDescent="0.25">
      <c r="A4298" s="45">
        <v>46072</v>
      </c>
      <c r="B4298" s="46" t="s">
        <v>334</v>
      </c>
      <c r="C4298" s="4" t="s">
        <v>1368</v>
      </c>
      <c r="D4298" s="4"/>
      <c r="E4298" s="4" t="s">
        <v>921</v>
      </c>
      <c r="F4298" s="46" t="s">
        <v>2167</v>
      </c>
      <c r="G4298" s="4" t="s">
        <v>336</v>
      </c>
      <c r="H4298" s="4" t="s">
        <v>380</v>
      </c>
      <c r="I4298" s="4">
        <v>1</v>
      </c>
      <c r="J4298" s="21">
        <v>180</v>
      </c>
      <c r="K4298" s="21">
        <v>180</v>
      </c>
      <c r="L4298" s="5">
        <v>0</v>
      </c>
      <c r="M4298" s="4"/>
      <c r="N4298" s="4"/>
      <c r="O4298" s="5"/>
      <c r="P4298" s="5"/>
      <c r="Q4298" s="21">
        <v>0</v>
      </c>
      <c r="R4298" s="21">
        <v>0</v>
      </c>
      <c r="S4298" s="5">
        <f t="shared" si="271"/>
        <v>38406.462997470873</v>
      </c>
      <c r="T4298" cm="1">
        <f t="array" ref="T4298">IF(OR(B4298="MAL ALIMI", B4298="ÜRETİM GİRİŞ"), MIN(I4298, MAX(0, I4298 + SUM(SUMIFS($I$1:I4297, $C$1:C4297, C4298, $B$1:B4297, {"MAL ALIMI","ÜRETİM GİRİŞ"})) - VLOOKUP(C4298, 'STOK RAPORU'!$C$2:$I$1000, 4, 0))), 0)</f>
        <v>0</v>
      </c>
      <c r="U4298" s="22">
        <f t="shared" si="268"/>
        <v>0</v>
      </c>
      <c r="V4298">
        <f t="shared" si="269"/>
        <v>0</v>
      </c>
      <c r="W4298" s="22">
        <f t="shared" si="270"/>
        <v>0</v>
      </c>
    </row>
    <row r="4299" spans="1:23" hidden="1" x14ac:dyDescent="0.25">
      <c r="A4299" s="45">
        <v>46072</v>
      </c>
      <c r="B4299" s="46" t="s">
        <v>334</v>
      </c>
      <c r="C4299" s="4" t="s">
        <v>74</v>
      </c>
      <c r="D4299" s="4"/>
      <c r="E4299" s="4" t="s">
        <v>921</v>
      </c>
      <c r="F4299" s="46" t="s">
        <v>2167</v>
      </c>
      <c r="G4299" s="4" t="s">
        <v>336</v>
      </c>
      <c r="H4299" s="4" t="s">
        <v>380</v>
      </c>
      <c r="I4299" s="4">
        <v>0.05</v>
      </c>
      <c r="J4299" s="21">
        <v>1500</v>
      </c>
      <c r="K4299" s="21">
        <v>75</v>
      </c>
      <c r="L4299" s="5">
        <v>0</v>
      </c>
      <c r="M4299" s="4"/>
      <c r="N4299" s="4"/>
      <c r="O4299" s="5"/>
      <c r="P4299" s="5"/>
      <c r="Q4299" s="21">
        <v>0</v>
      </c>
      <c r="R4299" s="21">
        <v>0</v>
      </c>
      <c r="S4299" s="5">
        <f t="shared" si="271"/>
        <v>38406.462997470873</v>
      </c>
      <c r="T4299" cm="1">
        <f t="array" ref="T4299">IF(OR(B4299="MAL ALIMI", B4299="ÜRETİM GİRİŞ"), MIN(I4299, MAX(0, I4299 + SUM(SUMIFS($I$1:I4298, $C$1:C4298, C4299, $B$1:B4298, {"MAL ALIMI","ÜRETİM GİRİŞ"})) - VLOOKUP(C4299, 'STOK RAPORU'!$C$2:$I$1000, 4, 0))), 0)</f>
        <v>0</v>
      </c>
      <c r="U4299" s="22">
        <f t="shared" si="268"/>
        <v>0</v>
      </c>
      <c r="V4299">
        <f t="shared" si="269"/>
        <v>0</v>
      </c>
      <c r="W4299" s="22">
        <f t="shared" si="270"/>
        <v>0</v>
      </c>
    </row>
    <row r="4300" spans="1:23" hidden="1" x14ac:dyDescent="0.25">
      <c r="A4300" s="45">
        <v>46072</v>
      </c>
      <c r="B4300" s="46" t="s">
        <v>334</v>
      </c>
      <c r="C4300" s="46" t="s">
        <v>160</v>
      </c>
      <c r="D4300" s="46"/>
      <c r="E4300" s="46"/>
      <c r="F4300" s="46" t="s">
        <v>2168</v>
      </c>
      <c r="G4300" s="46" t="s">
        <v>1911</v>
      </c>
      <c r="H4300" s="46" t="s">
        <v>289</v>
      </c>
      <c r="I4300" s="46">
        <v>2</v>
      </c>
      <c r="J4300" s="47">
        <v>250</v>
      </c>
      <c r="K4300" s="47">
        <v>0</v>
      </c>
      <c r="L4300" s="48">
        <v>0</v>
      </c>
      <c r="M4300" s="46"/>
      <c r="N4300" s="46"/>
      <c r="O4300" s="48"/>
      <c r="P4300" s="48"/>
      <c r="Q4300" s="47">
        <v>500</v>
      </c>
      <c r="R4300" s="43">
        <v>0</v>
      </c>
      <c r="S4300" s="5">
        <f t="shared" si="271"/>
        <v>38906.462997470873</v>
      </c>
      <c r="T4300" cm="1">
        <f t="array" ref="T4300">IF(OR(B4300="MAL ALIMI", B4300="ÜRETİM GİRİŞ"), MIN(I4300, MAX(0, I4300 + SUM(SUMIFS($I$1:I4299, $C$1:C4299, C4300, $B$1:B4299, {"MAL ALIMI","ÜRETİM GİRİŞ"})) - VLOOKUP(C4300, 'STOK RAPORU'!$C$2:$I$1000, 4, 0))), 0)</f>
        <v>0</v>
      </c>
      <c r="U4300" s="22">
        <f t="shared" si="268"/>
        <v>0</v>
      </c>
      <c r="V4300">
        <f t="shared" si="269"/>
        <v>0</v>
      </c>
      <c r="W4300" s="22">
        <f t="shared" si="270"/>
        <v>0</v>
      </c>
    </row>
    <row r="4301" spans="1:23" hidden="1" x14ac:dyDescent="0.25">
      <c r="A4301" s="45">
        <v>46072</v>
      </c>
      <c r="B4301" s="46" t="s">
        <v>334</v>
      </c>
      <c r="C4301" s="46" t="s">
        <v>529</v>
      </c>
      <c r="D4301" s="46"/>
      <c r="E4301" s="46"/>
      <c r="F4301" s="46" t="s">
        <v>2168</v>
      </c>
      <c r="G4301" s="46" t="s">
        <v>1911</v>
      </c>
      <c r="H4301" s="46" t="s">
        <v>289</v>
      </c>
      <c r="I4301" s="46">
        <v>0.2</v>
      </c>
      <c r="J4301" s="47">
        <v>600</v>
      </c>
      <c r="K4301" s="47">
        <v>0</v>
      </c>
      <c r="L4301" s="48">
        <v>0</v>
      </c>
      <c r="M4301" s="46"/>
      <c r="N4301" s="46"/>
      <c r="O4301" s="48"/>
      <c r="P4301" s="48"/>
      <c r="Q4301" s="47">
        <v>120</v>
      </c>
      <c r="R4301" s="43">
        <v>0</v>
      </c>
      <c r="S4301" s="5">
        <f t="shared" si="271"/>
        <v>39026.462997470873</v>
      </c>
      <c r="T4301" cm="1">
        <f t="array" ref="T4301">IF(OR(B4301="MAL ALIMI", B4301="ÜRETİM GİRİŞ"), MIN(I4301, MAX(0, I4301 + SUM(SUMIFS($I$1:I4300, $C$1:C4300, C4301, $B$1:B4300, {"MAL ALIMI","ÜRETİM GİRİŞ"})) - VLOOKUP(C4301, 'STOK RAPORU'!$C$2:$I$1000, 4, 0))), 0)</f>
        <v>0</v>
      </c>
      <c r="U4301" s="22">
        <f t="shared" si="268"/>
        <v>0</v>
      </c>
      <c r="V4301">
        <f t="shared" si="269"/>
        <v>0</v>
      </c>
      <c r="W4301" s="22">
        <f t="shared" si="270"/>
        <v>0</v>
      </c>
    </row>
    <row r="4302" spans="1:23" hidden="1" x14ac:dyDescent="0.25">
      <c r="A4302" s="45">
        <v>46072</v>
      </c>
      <c r="B4302" s="46" t="s">
        <v>334</v>
      </c>
      <c r="C4302" s="46" t="s">
        <v>463</v>
      </c>
      <c r="D4302" s="46"/>
      <c r="E4302" s="46"/>
      <c r="F4302" s="46" t="s">
        <v>2168</v>
      </c>
      <c r="G4302" s="46" t="s">
        <v>1911</v>
      </c>
      <c r="H4302" s="46" t="s">
        <v>289</v>
      </c>
      <c r="I4302" s="46">
        <v>0.26600000000000001</v>
      </c>
      <c r="J4302" s="47">
        <v>400</v>
      </c>
      <c r="K4302" s="47">
        <v>0</v>
      </c>
      <c r="L4302" s="48">
        <v>0</v>
      </c>
      <c r="M4302" s="46"/>
      <c r="N4302" s="46"/>
      <c r="O4302" s="48"/>
      <c r="P4302" s="48"/>
      <c r="Q4302" s="47">
        <v>106.4</v>
      </c>
      <c r="R4302" s="43">
        <v>0</v>
      </c>
      <c r="S4302" s="5">
        <f t="shared" si="271"/>
        <v>39132.862997470875</v>
      </c>
      <c r="T4302" cm="1">
        <f t="array" ref="T4302">IF(OR(B4302="MAL ALIMI", B4302="ÜRETİM GİRİŞ"), MIN(I4302, MAX(0, I4302 + SUM(SUMIFS($I$1:I4301, $C$1:C4301, C4302, $B$1:B4301, {"MAL ALIMI","ÜRETİM GİRİŞ"})) - VLOOKUP(C4302, 'STOK RAPORU'!$C$2:$I$1000, 4, 0))), 0)</f>
        <v>0</v>
      </c>
      <c r="U4302" s="22">
        <f t="shared" si="268"/>
        <v>0</v>
      </c>
      <c r="V4302">
        <f t="shared" si="269"/>
        <v>0</v>
      </c>
      <c r="W4302" s="22">
        <f t="shared" si="270"/>
        <v>0</v>
      </c>
    </row>
    <row r="4303" spans="1:23" hidden="1" x14ac:dyDescent="0.25">
      <c r="A4303" s="45">
        <v>46072</v>
      </c>
      <c r="B4303" s="46" t="s">
        <v>334</v>
      </c>
      <c r="C4303" s="46" t="s">
        <v>92</v>
      </c>
      <c r="D4303" s="46"/>
      <c r="E4303" s="46"/>
      <c r="F4303" s="46" t="s">
        <v>2168</v>
      </c>
      <c r="G4303" s="46" t="s">
        <v>1911</v>
      </c>
      <c r="H4303" s="46" t="s">
        <v>289</v>
      </c>
      <c r="I4303" s="46">
        <v>0.23</v>
      </c>
      <c r="J4303" s="47">
        <v>500</v>
      </c>
      <c r="K4303" s="47">
        <v>0</v>
      </c>
      <c r="L4303" s="48">
        <v>0</v>
      </c>
      <c r="M4303" s="46"/>
      <c r="N4303" s="46"/>
      <c r="O4303" s="48"/>
      <c r="P4303" s="48"/>
      <c r="Q4303" s="47">
        <v>115</v>
      </c>
      <c r="R4303" s="43">
        <v>0</v>
      </c>
      <c r="S4303" s="5">
        <f t="shared" si="271"/>
        <v>39247.862997470875</v>
      </c>
      <c r="T4303" cm="1">
        <f t="array" ref="T4303">IF(OR(B4303="MAL ALIMI", B4303="ÜRETİM GİRİŞ"), MIN(I4303, MAX(0, I4303 + SUM(SUMIFS($I$1:I4302, $C$1:C4302, C4303, $B$1:B4302, {"MAL ALIMI","ÜRETİM GİRİŞ"})) - VLOOKUP(C4303, 'STOK RAPORU'!$C$2:$I$1000, 4, 0))), 0)</f>
        <v>0</v>
      </c>
      <c r="U4303" s="22">
        <f t="shared" si="268"/>
        <v>0</v>
      </c>
      <c r="V4303">
        <f t="shared" si="269"/>
        <v>0</v>
      </c>
      <c r="W4303" s="22">
        <f t="shared" si="270"/>
        <v>0</v>
      </c>
    </row>
    <row r="4304" spans="1:23" hidden="1" x14ac:dyDescent="0.25">
      <c r="A4304" s="45">
        <v>46072</v>
      </c>
      <c r="B4304" s="46" t="s">
        <v>334</v>
      </c>
      <c r="C4304" s="46" t="s">
        <v>692</v>
      </c>
      <c r="D4304" s="46"/>
      <c r="E4304" s="46"/>
      <c r="F4304" s="46" t="s">
        <v>2168</v>
      </c>
      <c r="G4304" s="46" t="s">
        <v>1911</v>
      </c>
      <c r="H4304" s="46" t="s">
        <v>289</v>
      </c>
      <c r="I4304" s="46">
        <v>1</v>
      </c>
      <c r="J4304" s="47">
        <v>60</v>
      </c>
      <c r="K4304" s="47">
        <v>0</v>
      </c>
      <c r="L4304" s="48">
        <v>0</v>
      </c>
      <c r="M4304" s="46"/>
      <c r="N4304" s="46"/>
      <c r="O4304" s="48"/>
      <c r="P4304" s="48"/>
      <c r="Q4304" s="47">
        <v>60</v>
      </c>
      <c r="R4304" s="43">
        <v>0</v>
      </c>
      <c r="S4304" s="5">
        <f t="shared" si="271"/>
        <v>39307.862997470875</v>
      </c>
      <c r="T4304" cm="1">
        <f t="array" ref="T4304">IF(OR(B4304="MAL ALIMI", B4304="ÜRETİM GİRİŞ"), MIN(I4304, MAX(0, I4304 + SUM(SUMIFS($I$1:I4303, $C$1:C4303, C4304, $B$1:B4303, {"MAL ALIMI","ÜRETİM GİRİŞ"})) - VLOOKUP(C4304, 'STOK RAPORU'!$C$2:$I$1000, 4, 0))), 0)</f>
        <v>0</v>
      </c>
      <c r="U4304" s="22">
        <f t="shared" si="268"/>
        <v>0</v>
      </c>
      <c r="V4304">
        <f t="shared" si="269"/>
        <v>0</v>
      </c>
      <c r="W4304" s="22">
        <f t="shared" si="270"/>
        <v>0</v>
      </c>
    </row>
    <row r="4305" spans="1:23" hidden="1" x14ac:dyDescent="0.25">
      <c r="A4305" s="45">
        <v>46072</v>
      </c>
      <c r="B4305" s="46" t="s">
        <v>334</v>
      </c>
      <c r="C4305" s="46" t="s">
        <v>458</v>
      </c>
      <c r="D4305" s="46"/>
      <c r="E4305" s="46"/>
      <c r="F4305" s="46" t="s">
        <v>2168</v>
      </c>
      <c r="G4305" s="46" t="s">
        <v>1911</v>
      </c>
      <c r="H4305" s="46" t="s">
        <v>289</v>
      </c>
      <c r="I4305" s="46">
        <v>0.5</v>
      </c>
      <c r="J4305" s="47">
        <v>80</v>
      </c>
      <c r="K4305" s="47">
        <v>0</v>
      </c>
      <c r="L4305" s="48">
        <v>0</v>
      </c>
      <c r="M4305" s="46"/>
      <c r="N4305" s="46"/>
      <c r="O4305" s="48"/>
      <c r="P4305" s="48"/>
      <c r="Q4305" s="47">
        <v>40</v>
      </c>
      <c r="R4305" s="43">
        <v>0</v>
      </c>
      <c r="S4305" s="5">
        <f t="shared" si="271"/>
        <v>39347.862997470875</v>
      </c>
      <c r="T4305" cm="1">
        <f t="array" ref="T4305">IF(OR(B4305="MAL ALIMI", B4305="ÜRETİM GİRİŞ"), MIN(I4305, MAX(0, I4305 + SUM(SUMIFS($I$1:I4304, $C$1:C4304, C4305, $B$1:B4304, {"MAL ALIMI","ÜRETİM GİRİŞ"})) - VLOOKUP(C4305, 'STOK RAPORU'!$C$2:$I$1000, 4, 0))), 0)</f>
        <v>0</v>
      </c>
      <c r="U4305" s="22">
        <f t="shared" si="268"/>
        <v>0</v>
      </c>
      <c r="V4305">
        <f t="shared" si="269"/>
        <v>0</v>
      </c>
      <c r="W4305" s="22">
        <f t="shared" si="270"/>
        <v>0</v>
      </c>
    </row>
    <row r="4306" spans="1:23" hidden="1" x14ac:dyDescent="0.25">
      <c r="A4306" s="45">
        <v>46072</v>
      </c>
      <c r="B4306" s="46" t="s">
        <v>334</v>
      </c>
      <c r="C4306" s="46" t="s">
        <v>89</v>
      </c>
      <c r="D4306" s="46"/>
      <c r="E4306" s="46"/>
      <c r="F4306" s="46" t="s">
        <v>2168</v>
      </c>
      <c r="G4306" s="46" t="s">
        <v>1911</v>
      </c>
      <c r="H4306" s="46" t="s">
        <v>289</v>
      </c>
      <c r="I4306" s="46">
        <v>0.1</v>
      </c>
      <c r="J4306" s="47">
        <v>650</v>
      </c>
      <c r="K4306" s="47">
        <v>0</v>
      </c>
      <c r="L4306" s="48">
        <v>0</v>
      </c>
      <c r="M4306" s="46"/>
      <c r="N4306" s="46"/>
      <c r="O4306" s="48"/>
      <c r="P4306" s="48"/>
      <c r="Q4306" s="47">
        <v>65</v>
      </c>
      <c r="R4306" s="43">
        <v>0</v>
      </c>
      <c r="S4306" s="5">
        <f t="shared" si="271"/>
        <v>39412.862997470875</v>
      </c>
      <c r="T4306" cm="1">
        <f t="array" ref="T4306">IF(OR(B4306="MAL ALIMI", B4306="ÜRETİM GİRİŞ"), MIN(I4306, MAX(0, I4306 + SUM(SUMIFS($I$1:I4305, $C$1:C4305, C4306, $B$1:B4305, {"MAL ALIMI","ÜRETİM GİRİŞ"})) - VLOOKUP(C4306, 'STOK RAPORU'!$C$2:$I$1000, 4, 0))), 0)</f>
        <v>0</v>
      </c>
      <c r="U4306" s="22">
        <f t="shared" si="268"/>
        <v>0</v>
      </c>
      <c r="V4306">
        <f t="shared" si="269"/>
        <v>0</v>
      </c>
      <c r="W4306" s="22">
        <f t="shared" si="270"/>
        <v>0</v>
      </c>
    </row>
    <row r="4307" spans="1:23" hidden="1" x14ac:dyDescent="0.25">
      <c r="A4307" s="45">
        <v>46072</v>
      </c>
      <c r="B4307" s="46" t="s">
        <v>334</v>
      </c>
      <c r="C4307" s="46" t="s">
        <v>151</v>
      </c>
      <c r="D4307" s="46"/>
      <c r="E4307" s="46"/>
      <c r="F4307" s="46" t="s">
        <v>2168</v>
      </c>
      <c r="G4307" s="46" t="s">
        <v>1911</v>
      </c>
      <c r="H4307" s="46" t="s">
        <v>289</v>
      </c>
      <c r="I4307" s="46">
        <v>0.05</v>
      </c>
      <c r="J4307" s="47">
        <v>400</v>
      </c>
      <c r="K4307" s="47">
        <v>0</v>
      </c>
      <c r="L4307" s="48">
        <v>0</v>
      </c>
      <c r="M4307" s="46"/>
      <c r="N4307" s="46"/>
      <c r="O4307" s="48"/>
      <c r="P4307" s="48"/>
      <c r="Q4307" s="47">
        <v>20</v>
      </c>
      <c r="R4307" s="43">
        <v>0</v>
      </c>
      <c r="S4307" s="5">
        <f t="shared" si="271"/>
        <v>39432.862997470875</v>
      </c>
      <c r="T4307" cm="1">
        <f t="array" ref="T4307">IF(OR(B4307="MAL ALIMI", B4307="ÜRETİM GİRİŞ"), MIN(I4307, MAX(0, I4307 + SUM(SUMIFS($I$1:I4306, $C$1:C4306, C4307, $B$1:B4306, {"MAL ALIMI","ÜRETİM GİRİŞ"})) - VLOOKUP(C4307, 'STOK RAPORU'!$C$2:$I$1000, 4, 0))), 0)</f>
        <v>0</v>
      </c>
      <c r="U4307" s="22">
        <f t="shared" si="268"/>
        <v>0</v>
      </c>
      <c r="V4307">
        <f t="shared" si="269"/>
        <v>0</v>
      </c>
      <c r="W4307" s="22">
        <f t="shared" si="270"/>
        <v>0</v>
      </c>
    </row>
    <row r="4308" spans="1:23" hidden="1" x14ac:dyDescent="0.25">
      <c r="A4308" s="45">
        <v>46072</v>
      </c>
      <c r="B4308" s="46" t="s">
        <v>334</v>
      </c>
      <c r="C4308" s="46" t="s">
        <v>1269</v>
      </c>
      <c r="D4308" s="46"/>
      <c r="E4308" s="46"/>
      <c r="F4308" s="46" t="s">
        <v>2168</v>
      </c>
      <c r="G4308" s="46" t="s">
        <v>1911</v>
      </c>
      <c r="H4308" s="46" t="s">
        <v>289</v>
      </c>
      <c r="I4308" s="46">
        <v>1</v>
      </c>
      <c r="J4308" s="47">
        <v>125</v>
      </c>
      <c r="K4308" s="47">
        <v>0</v>
      </c>
      <c r="L4308" s="48">
        <v>0</v>
      </c>
      <c r="M4308" s="46"/>
      <c r="N4308" s="46"/>
      <c r="O4308" s="48"/>
      <c r="P4308" s="48"/>
      <c r="Q4308" s="47">
        <v>125</v>
      </c>
      <c r="R4308" s="43">
        <v>0</v>
      </c>
      <c r="S4308" s="5">
        <f t="shared" si="271"/>
        <v>39557.862997470875</v>
      </c>
      <c r="T4308" cm="1">
        <f t="array" ref="T4308">IF(OR(B4308="MAL ALIMI", B4308="ÜRETİM GİRİŞ"), MIN(I4308, MAX(0, I4308 + SUM(SUMIFS($I$1:I4307, $C$1:C4307, C4308, $B$1:B4307, {"MAL ALIMI","ÜRETİM GİRİŞ"})) - VLOOKUP(C4308, 'STOK RAPORU'!$C$2:$I$1000, 4, 0))), 0)</f>
        <v>0</v>
      </c>
      <c r="U4308" s="22">
        <f t="shared" si="268"/>
        <v>0</v>
      </c>
      <c r="V4308">
        <f t="shared" si="269"/>
        <v>0</v>
      </c>
      <c r="W4308" s="22">
        <f t="shared" si="270"/>
        <v>0</v>
      </c>
    </row>
    <row r="4309" spans="1:23" hidden="1" x14ac:dyDescent="0.25">
      <c r="A4309" s="45">
        <v>46072</v>
      </c>
      <c r="B4309" s="46" t="s">
        <v>334</v>
      </c>
      <c r="C4309" s="46" t="s">
        <v>1393</v>
      </c>
      <c r="D4309" s="46"/>
      <c r="E4309" s="46"/>
      <c r="F4309" s="46" t="s">
        <v>2168</v>
      </c>
      <c r="G4309" s="46" t="s">
        <v>1911</v>
      </c>
      <c r="H4309" s="46" t="s">
        <v>289</v>
      </c>
      <c r="I4309" s="46">
        <v>1</v>
      </c>
      <c r="J4309" s="47">
        <v>135</v>
      </c>
      <c r="K4309" s="47">
        <v>0</v>
      </c>
      <c r="L4309" s="48">
        <v>0</v>
      </c>
      <c r="M4309" s="46"/>
      <c r="N4309" s="46"/>
      <c r="O4309" s="48"/>
      <c r="P4309" s="48"/>
      <c r="Q4309" s="47">
        <v>135</v>
      </c>
      <c r="R4309" s="43">
        <v>0</v>
      </c>
      <c r="S4309" s="5">
        <f t="shared" si="271"/>
        <v>39692.862997470875</v>
      </c>
      <c r="T4309" cm="1">
        <f t="array" ref="T4309">IF(OR(B4309="MAL ALIMI", B4309="ÜRETİM GİRİŞ"), MIN(I4309, MAX(0, I4309 + SUM(SUMIFS($I$1:I4308, $C$1:C4308, C4309, $B$1:B4308, {"MAL ALIMI","ÜRETİM GİRİŞ"})) - VLOOKUP(C4309, 'STOK RAPORU'!$C$2:$I$1000, 4, 0))), 0)</f>
        <v>0</v>
      </c>
      <c r="U4309" s="22">
        <f t="shared" si="268"/>
        <v>0</v>
      </c>
      <c r="V4309">
        <f t="shared" si="269"/>
        <v>0</v>
      </c>
      <c r="W4309" s="22">
        <f t="shared" si="270"/>
        <v>0</v>
      </c>
    </row>
    <row r="4310" spans="1:23" hidden="1" x14ac:dyDescent="0.25">
      <c r="A4310" s="45">
        <v>46072</v>
      </c>
      <c r="B4310" s="46" t="s">
        <v>334</v>
      </c>
      <c r="C4310" s="46" t="s">
        <v>1871</v>
      </c>
      <c r="D4310" s="46"/>
      <c r="E4310" s="46"/>
      <c r="F4310" s="46" t="s">
        <v>2168</v>
      </c>
      <c r="G4310" s="46" t="s">
        <v>1911</v>
      </c>
      <c r="H4310" s="46" t="s">
        <v>289</v>
      </c>
      <c r="I4310" s="46">
        <v>1</v>
      </c>
      <c r="J4310" s="47">
        <v>150</v>
      </c>
      <c r="K4310" s="47">
        <v>0</v>
      </c>
      <c r="L4310" s="48">
        <v>0</v>
      </c>
      <c r="M4310" s="46"/>
      <c r="N4310" s="46"/>
      <c r="O4310" s="48"/>
      <c r="P4310" s="48"/>
      <c r="Q4310" s="47">
        <v>150</v>
      </c>
      <c r="R4310" s="43">
        <v>0</v>
      </c>
      <c r="S4310" s="5">
        <f t="shared" si="271"/>
        <v>39842.862997470875</v>
      </c>
      <c r="T4310" cm="1">
        <f t="array" ref="T4310">IF(OR(B4310="MAL ALIMI", B4310="ÜRETİM GİRİŞ"), MIN(I4310, MAX(0, I4310 + SUM(SUMIFS($I$1:I4309, $C$1:C4309, C4310, $B$1:B4309, {"MAL ALIMI","ÜRETİM GİRİŞ"})) - VLOOKUP(C4310, 'STOK RAPORU'!$C$2:$I$1000, 4, 0))), 0)</f>
        <v>0</v>
      </c>
      <c r="U4310" s="22">
        <f t="shared" si="268"/>
        <v>0</v>
      </c>
      <c r="V4310">
        <f t="shared" si="269"/>
        <v>0</v>
      </c>
      <c r="W4310" s="22">
        <f t="shared" si="270"/>
        <v>0</v>
      </c>
    </row>
    <row r="4311" spans="1:23" hidden="1" x14ac:dyDescent="0.25">
      <c r="A4311" s="45">
        <v>46072</v>
      </c>
      <c r="B4311" s="46" t="s">
        <v>334</v>
      </c>
      <c r="C4311" s="4" t="s">
        <v>524</v>
      </c>
      <c r="D4311" s="4"/>
      <c r="E4311" s="4"/>
      <c r="F4311" s="46" t="s">
        <v>2169</v>
      </c>
      <c r="G4311" s="4" t="s">
        <v>336</v>
      </c>
      <c r="H4311" s="4" t="s">
        <v>289</v>
      </c>
      <c r="I4311" s="4">
        <v>0.1</v>
      </c>
      <c r="J4311" s="21">
        <v>400</v>
      </c>
      <c r="K4311" s="21">
        <v>0</v>
      </c>
      <c r="L4311" s="5">
        <v>0</v>
      </c>
      <c r="M4311" s="4"/>
      <c r="N4311" s="4"/>
      <c r="O4311" s="5"/>
      <c r="P4311" s="5"/>
      <c r="Q4311" s="21">
        <v>40</v>
      </c>
      <c r="R4311" s="21">
        <v>0</v>
      </c>
      <c r="S4311" s="5">
        <f t="shared" si="271"/>
        <v>39882.862997470875</v>
      </c>
      <c r="T4311" cm="1">
        <f t="array" ref="T4311">IF(OR(B4311="MAL ALIMI", B4311="ÜRETİM GİRİŞ"), MIN(I4311, MAX(0, I4311 + SUM(SUMIFS($I$1:I4310, $C$1:C4310, C4311, $B$1:B4310, {"MAL ALIMI","ÜRETİM GİRİŞ"})) - VLOOKUP(C4311, 'STOK RAPORU'!$C$2:$I$1000, 4, 0))), 0)</f>
        <v>0</v>
      </c>
      <c r="U4311" s="22">
        <f t="shared" si="268"/>
        <v>0</v>
      </c>
      <c r="V4311">
        <f t="shared" si="269"/>
        <v>0</v>
      </c>
      <c r="W4311" s="22">
        <f t="shared" si="270"/>
        <v>0</v>
      </c>
    </row>
    <row r="4312" spans="1:23" hidden="1" x14ac:dyDescent="0.25">
      <c r="A4312" s="45">
        <v>46072</v>
      </c>
      <c r="B4312" s="46" t="s">
        <v>334</v>
      </c>
      <c r="C4312" s="4" t="s">
        <v>241</v>
      </c>
      <c r="D4312" s="4"/>
      <c r="E4312" s="4"/>
      <c r="F4312" s="46" t="s">
        <v>2169</v>
      </c>
      <c r="G4312" s="4" t="s">
        <v>336</v>
      </c>
      <c r="H4312" s="4" t="s">
        <v>289</v>
      </c>
      <c r="I4312" s="4">
        <v>0.28000000000000003</v>
      </c>
      <c r="J4312" s="21">
        <v>430</v>
      </c>
      <c r="K4312" s="21">
        <v>0</v>
      </c>
      <c r="L4312" s="5">
        <v>0</v>
      </c>
      <c r="M4312" s="4"/>
      <c r="N4312" s="4"/>
      <c r="O4312" s="5"/>
      <c r="P4312" s="5"/>
      <c r="Q4312" s="21">
        <v>120.4</v>
      </c>
      <c r="R4312" s="21">
        <v>0</v>
      </c>
      <c r="S4312" s="5">
        <f t="shared" si="271"/>
        <v>40003.262997470876</v>
      </c>
      <c r="T4312" cm="1">
        <f t="array" ref="T4312">IF(OR(B4312="MAL ALIMI", B4312="ÜRETİM GİRİŞ"), MIN(I4312, MAX(0, I4312 + SUM(SUMIFS($I$1:I4311, $C$1:C4311, C4312, $B$1:B4311, {"MAL ALIMI","ÜRETİM GİRİŞ"})) - VLOOKUP(C4312, 'STOK RAPORU'!$C$2:$I$1000, 4, 0))), 0)</f>
        <v>0</v>
      </c>
      <c r="U4312" s="22">
        <f t="shared" si="268"/>
        <v>0</v>
      </c>
      <c r="V4312">
        <f t="shared" si="269"/>
        <v>0</v>
      </c>
      <c r="W4312" s="22">
        <f t="shared" si="270"/>
        <v>0</v>
      </c>
    </row>
    <row r="4313" spans="1:23" hidden="1" x14ac:dyDescent="0.25">
      <c r="A4313" s="45">
        <v>46072</v>
      </c>
      <c r="B4313" s="46" t="s">
        <v>334</v>
      </c>
      <c r="C4313" s="4" t="s">
        <v>463</v>
      </c>
      <c r="D4313" s="4"/>
      <c r="E4313" s="4" t="s">
        <v>921</v>
      </c>
      <c r="F4313" s="46" t="s">
        <v>2170</v>
      </c>
      <c r="G4313" s="4" t="s">
        <v>336</v>
      </c>
      <c r="H4313" s="4" t="s">
        <v>380</v>
      </c>
      <c r="I4313" s="4">
        <v>0.54749999999999999</v>
      </c>
      <c r="J4313" s="21">
        <v>400</v>
      </c>
      <c r="K4313" s="21">
        <v>219</v>
      </c>
      <c r="L4313" s="5">
        <v>0</v>
      </c>
      <c r="M4313" s="4"/>
      <c r="N4313" s="4"/>
      <c r="O4313" s="5"/>
      <c r="P4313" s="5"/>
      <c r="Q4313" s="21">
        <v>0</v>
      </c>
      <c r="R4313" s="21">
        <v>0</v>
      </c>
      <c r="S4313" s="5">
        <f t="shared" si="271"/>
        <v>40003.262997470876</v>
      </c>
      <c r="T4313" cm="1">
        <f t="array" ref="T4313">IF(OR(B4313="MAL ALIMI", B4313="ÜRETİM GİRİŞ"), MIN(I4313, MAX(0, I4313 + SUM(SUMIFS($I$1:I4312, $C$1:C4312, C4313, $B$1:B4312, {"MAL ALIMI","ÜRETİM GİRİŞ"})) - VLOOKUP(C4313, 'STOK RAPORU'!$C$2:$I$1000, 4, 0))), 0)</f>
        <v>0</v>
      </c>
      <c r="U4313" s="22">
        <f t="shared" si="268"/>
        <v>0</v>
      </c>
      <c r="V4313">
        <f t="shared" si="269"/>
        <v>0</v>
      </c>
      <c r="W4313" s="22">
        <f t="shared" si="270"/>
        <v>0</v>
      </c>
    </row>
    <row r="4314" spans="1:23" hidden="1" x14ac:dyDescent="0.25">
      <c r="A4314" s="45">
        <v>46072</v>
      </c>
      <c r="B4314" s="46" t="s">
        <v>334</v>
      </c>
      <c r="C4314" s="4" t="s">
        <v>728</v>
      </c>
      <c r="D4314" s="4"/>
      <c r="E4314" s="4" t="s">
        <v>921</v>
      </c>
      <c r="F4314" s="46" t="s">
        <v>2171</v>
      </c>
      <c r="G4314" s="4" t="s">
        <v>336</v>
      </c>
      <c r="H4314" s="4" t="s">
        <v>380</v>
      </c>
      <c r="I4314" s="4">
        <v>0.5</v>
      </c>
      <c r="J4314" s="21">
        <v>690</v>
      </c>
      <c r="K4314" s="21">
        <v>345</v>
      </c>
      <c r="L4314" s="5">
        <v>0</v>
      </c>
      <c r="M4314" s="4"/>
      <c r="N4314" s="4"/>
      <c r="O4314" s="5"/>
      <c r="P4314" s="5"/>
      <c r="Q4314" s="21">
        <v>0</v>
      </c>
      <c r="R4314" s="21">
        <v>0</v>
      </c>
      <c r="S4314" s="5">
        <f t="shared" si="271"/>
        <v>40003.262997470876</v>
      </c>
      <c r="T4314" cm="1">
        <f t="array" ref="T4314">IF(OR(B4314="MAL ALIMI", B4314="ÜRETİM GİRİŞ"), MIN(I4314, MAX(0, I4314 + SUM(SUMIFS($I$1:I4313, $C$1:C4313, C4314, $B$1:B4313, {"MAL ALIMI","ÜRETİM GİRİŞ"})) - VLOOKUP(C4314, 'STOK RAPORU'!$C$2:$I$1000, 4, 0))), 0)</f>
        <v>0</v>
      </c>
      <c r="U4314" s="22">
        <f t="shared" si="268"/>
        <v>0</v>
      </c>
      <c r="V4314">
        <f t="shared" si="269"/>
        <v>0</v>
      </c>
      <c r="W4314" s="22">
        <f t="shared" si="270"/>
        <v>0</v>
      </c>
    </row>
    <row r="4315" spans="1:23" hidden="1" x14ac:dyDescent="0.25">
      <c r="A4315" s="45">
        <v>46072</v>
      </c>
      <c r="B4315" s="46" t="s">
        <v>334</v>
      </c>
      <c r="C4315" s="4" t="s">
        <v>2124</v>
      </c>
      <c r="D4315" s="4"/>
      <c r="E4315" s="4" t="s">
        <v>921</v>
      </c>
      <c r="F4315" s="46" t="s">
        <v>2171</v>
      </c>
      <c r="G4315" s="4" t="s">
        <v>336</v>
      </c>
      <c r="H4315" s="4" t="s">
        <v>380</v>
      </c>
      <c r="I4315" s="4">
        <v>0.51</v>
      </c>
      <c r="J4315" s="21">
        <v>550</v>
      </c>
      <c r="K4315" s="21">
        <v>280.5</v>
      </c>
      <c r="L4315" s="5">
        <v>0</v>
      </c>
      <c r="M4315" s="4"/>
      <c r="N4315" s="4"/>
      <c r="O4315" s="5"/>
      <c r="P4315" s="5"/>
      <c r="Q4315" s="21">
        <v>0</v>
      </c>
      <c r="R4315" s="21">
        <v>0</v>
      </c>
      <c r="S4315" s="5">
        <f t="shared" si="271"/>
        <v>40003.262997470876</v>
      </c>
      <c r="T4315" cm="1">
        <f t="array" ref="T4315">IF(OR(B4315="MAL ALIMI", B4315="ÜRETİM GİRİŞ"), MIN(I4315, MAX(0, I4315 + SUM(SUMIFS($I$1:I4314, $C$1:C4314, C4315, $B$1:B4314, {"MAL ALIMI","ÜRETİM GİRİŞ"})) - VLOOKUP(C4315, 'STOK RAPORU'!$C$2:$I$1000, 4, 0))), 0)</f>
        <v>0</v>
      </c>
      <c r="U4315" s="22">
        <f t="shared" si="268"/>
        <v>0</v>
      </c>
      <c r="V4315">
        <f t="shared" si="269"/>
        <v>0</v>
      </c>
      <c r="W4315" s="22">
        <f t="shared" si="270"/>
        <v>0</v>
      </c>
    </row>
    <row r="4316" spans="1:23" hidden="1" x14ac:dyDescent="0.25">
      <c r="A4316" s="45">
        <v>46072</v>
      </c>
      <c r="B4316" s="46" t="s">
        <v>334</v>
      </c>
      <c r="C4316" s="4" t="s">
        <v>134</v>
      </c>
      <c r="D4316" s="4"/>
      <c r="E4316" s="4" t="s">
        <v>921</v>
      </c>
      <c r="F4316" s="46" t="s">
        <v>2171</v>
      </c>
      <c r="G4316" s="4" t="s">
        <v>336</v>
      </c>
      <c r="H4316" s="4" t="s">
        <v>380</v>
      </c>
      <c r="I4316" s="4">
        <v>0.1</v>
      </c>
      <c r="J4316" s="21">
        <v>600</v>
      </c>
      <c r="K4316" s="21">
        <v>60</v>
      </c>
      <c r="L4316" s="5">
        <v>0</v>
      </c>
      <c r="M4316" s="4"/>
      <c r="N4316" s="4"/>
      <c r="O4316" s="5"/>
      <c r="P4316" s="5"/>
      <c r="Q4316" s="21">
        <v>0</v>
      </c>
      <c r="R4316" s="21">
        <v>0</v>
      </c>
      <c r="S4316" s="5">
        <f t="shared" si="271"/>
        <v>40003.262997470876</v>
      </c>
      <c r="T4316" cm="1">
        <f t="array" ref="T4316">IF(OR(B4316="MAL ALIMI", B4316="ÜRETİM GİRİŞ"), MIN(I4316, MAX(0, I4316 + SUM(SUMIFS($I$1:I4315, $C$1:C4315, C4316, $B$1:B4315, {"MAL ALIMI","ÜRETİM GİRİŞ"})) - VLOOKUP(C4316, 'STOK RAPORU'!$C$2:$I$1000, 4, 0))), 0)</f>
        <v>0</v>
      </c>
      <c r="U4316" s="22">
        <f t="shared" si="268"/>
        <v>0</v>
      </c>
      <c r="V4316">
        <f t="shared" si="269"/>
        <v>0</v>
      </c>
      <c r="W4316" s="22">
        <f t="shared" si="270"/>
        <v>0</v>
      </c>
    </row>
    <row r="4317" spans="1:23" hidden="1" x14ac:dyDescent="0.25">
      <c r="A4317" s="45">
        <v>46072</v>
      </c>
      <c r="B4317" s="46" t="s">
        <v>334</v>
      </c>
      <c r="C4317" s="4" t="s">
        <v>697</v>
      </c>
      <c r="D4317" s="4"/>
      <c r="E4317" s="4" t="s">
        <v>921</v>
      </c>
      <c r="F4317" s="46" t="s">
        <v>2171</v>
      </c>
      <c r="G4317" s="4" t="s">
        <v>336</v>
      </c>
      <c r="H4317" s="4" t="s">
        <v>380</v>
      </c>
      <c r="I4317" s="4">
        <v>0.1</v>
      </c>
      <c r="J4317" s="21">
        <v>750</v>
      </c>
      <c r="K4317" s="21">
        <v>75</v>
      </c>
      <c r="L4317" s="5">
        <v>0</v>
      </c>
      <c r="M4317" s="4"/>
      <c r="N4317" s="4"/>
      <c r="O4317" s="5"/>
      <c r="P4317" s="5"/>
      <c r="Q4317" s="21">
        <v>0</v>
      </c>
      <c r="R4317" s="21">
        <v>0</v>
      </c>
      <c r="S4317" s="5">
        <f t="shared" si="271"/>
        <v>40003.262997470876</v>
      </c>
      <c r="T4317" cm="1">
        <f t="array" ref="T4317">IF(OR(B4317="MAL ALIMI", B4317="ÜRETİM GİRİŞ"), MIN(I4317, MAX(0, I4317 + SUM(SUMIFS($I$1:I4316, $C$1:C4316, C4317, $B$1:B4316, {"MAL ALIMI","ÜRETİM GİRİŞ"})) - VLOOKUP(C4317, 'STOK RAPORU'!$C$2:$I$1000, 4, 0))), 0)</f>
        <v>0</v>
      </c>
      <c r="U4317" s="22">
        <f t="shared" si="268"/>
        <v>0</v>
      </c>
      <c r="V4317">
        <f t="shared" si="269"/>
        <v>0</v>
      </c>
      <c r="W4317" s="22">
        <f t="shared" si="270"/>
        <v>0</v>
      </c>
    </row>
    <row r="4318" spans="1:23" hidden="1" x14ac:dyDescent="0.25">
      <c r="A4318" s="45">
        <v>46072</v>
      </c>
      <c r="B4318" s="46" t="s">
        <v>334</v>
      </c>
      <c r="C4318" s="4" t="s">
        <v>236</v>
      </c>
      <c r="D4318" s="4"/>
      <c r="E4318" s="4"/>
      <c r="F4318" s="46" t="s">
        <v>2172</v>
      </c>
      <c r="G4318" s="4" t="s">
        <v>336</v>
      </c>
      <c r="H4318" s="4" t="s">
        <v>289</v>
      </c>
      <c r="I4318" s="4">
        <v>0.11</v>
      </c>
      <c r="J4318" s="21">
        <v>350</v>
      </c>
      <c r="K4318" s="21">
        <v>0</v>
      </c>
      <c r="L4318" s="5">
        <v>0</v>
      </c>
      <c r="M4318" s="4"/>
      <c r="N4318" s="4"/>
      <c r="O4318" s="5"/>
      <c r="P4318" s="5"/>
      <c r="Q4318" s="21">
        <v>38.5</v>
      </c>
      <c r="R4318" s="21">
        <v>0</v>
      </c>
      <c r="S4318" s="5">
        <f t="shared" si="271"/>
        <v>40041.762997470876</v>
      </c>
      <c r="T4318" cm="1">
        <f t="array" ref="T4318">IF(OR(B4318="MAL ALIMI", B4318="ÜRETİM GİRİŞ"), MIN(I4318, MAX(0, I4318 + SUM(SUMIFS($I$1:I4317, $C$1:C4317, C4318, $B$1:B4317, {"MAL ALIMI","ÜRETİM GİRİŞ"})) - VLOOKUP(C4318, 'STOK RAPORU'!$C$2:$I$1000, 4, 0))), 0)</f>
        <v>0</v>
      </c>
      <c r="U4318" s="22">
        <f t="shared" si="268"/>
        <v>0</v>
      </c>
      <c r="V4318">
        <f t="shared" si="269"/>
        <v>0</v>
      </c>
      <c r="W4318" s="22">
        <f t="shared" si="270"/>
        <v>0</v>
      </c>
    </row>
    <row r="4319" spans="1:23" hidden="1" x14ac:dyDescent="0.25">
      <c r="A4319" s="45">
        <v>46072</v>
      </c>
      <c r="B4319" s="46" t="s">
        <v>334</v>
      </c>
      <c r="C4319" s="4" t="s">
        <v>160</v>
      </c>
      <c r="D4319" s="4"/>
      <c r="E4319" s="4"/>
      <c r="F4319" s="46" t="s">
        <v>2173</v>
      </c>
      <c r="G4319" s="4" t="s">
        <v>336</v>
      </c>
      <c r="H4319" s="4" t="s">
        <v>289</v>
      </c>
      <c r="I4319" s="4">
        <v>1</v>
      </c>
      <c r="J4319" s="21">
        <v>250</v>
      </c>
      <c r="K4319" s="21">
        <v>0</v>
      </c>
      <c r="L4319" s="5">
        <v>0</v>
      </c>
      <c r="M4319" s="4"/>
      <c r="N4319" s="4"/>
      <c r="O4319" s="5"/>
      <c r="P4319" s="5"/>
      <c r="Q4319" s="21">
        <v>250</v>
      </c>
      <c r="R4319" s="21">
        <v>0</v>
      </c>
      <c r="S4319" s="5">
        <f t="shared" si="271"/>
        <v>40291.762997470876</v>
      </c>
      <c r="T4319" cm="1">
        <f t="array" ref="T4319">IF(OR(B4319="MAL ALIMI", B4319="ÜRETİM GİRİŞ"), MIN(I4319, MAX(0, I4319 + SUM(SUMIFS($I$1:I4318, $C$1:C4318, C4319, $B$1:B4318, {"MAL ALIMI","ÜRETİM GİRİŞ"})) - VLOOKUP(C4319, 'STOK RAPORU'!$C$2:$I$1000, 4, 0))), 0)</f>
        <v>0</v>
      </c>
      <c r="U4319" s="22">
        <f t="shared" si="268"/>
        <v>0</v>
      </c>
      <c r="V4319">
        <f t="shared" si="269"/>
        <v>0</v>
      </c>
      <c r="W4319" s="22">
        <f t="shared" si="270"/>
        <v>0</v>
      </c>
    </row>
    <row r="4320" spans="1:23" hidden="1" x14ac:dyDescent="0.25">
      <c r="A4320" s="45">
        <v>46072</v>
      </c>
      <c r="B4320" s="46" t="s">
        <v>334</v>
      </c>
      <c r="C4320" s="4" t="s">
        <v>161</v>
      </c>
      <c r="D4320" s="4"/>
      <c r="E4320" s="4"/>
      <c r="F4320" s="46" t="s">
        <v>2173</v>
      </c>
      <c r="G4320" s="4" t="s">
        <v>336</v>
      </c>
      <c r="H4320" s="4" t="s">
        <v>289</v>
      </c>
      <c r="I4320" s="4">
        <v>1</v>
      </c>
      <c r="J4320" s="21">
        <v>230</v>
      </c>
      <c r="K4320" s="21">
        <v>0</v>
      </c>
      <c r="L4320" s="5">
        <v>0</v>
      </c>
      <c r="M4320" s="4"/>
      <c r="N4320" s="4"/>
      <c r="O4320" s="5"/>
      <c r="P4320" s="5"/>
      <c r="Q4320" s="21">
        <v>230</v>
      </c>
      <c r="R4320" s="21">
        <v>0</v>
      </c>
      <c r="S4320" s="5">
        <f t="shared" si="271"/>
        <v>40521.762997470876</v>
      </c>
      <c r="T4320" cm="1">
        <f t="array" ref="T4320">IF(OR(B4320="MAL ALIMI", B4320="ÜRETİM GİRİŞ"), MIN(I4320, MAX(0, I4320 + SUM(SUMIFS($I$1:I4319, $C$1:C4319, C4320, $B$1:B4319, {"MAL ALIMI","ÜRETİM GİRİŞ"})) - VLOOKUP(C4320, 'STOK RAPORU'!$C$2:$I$1000, 4, 0))), 0)</f>
        <v>0</v>
      </c>
      <c r="U4320" s="22">
        <f t="shared" si="268"/>
        <v>0</v>
      </c>
      <c r="V4320">
        <f t="shared" si="269"/>
        <v>0</v>
      </c>
      <c r="W4320" s="22">
        <f t="shared" si="270"/>
        <v>0</v>
      </c>
    </row>
    <row r="4321" spans="1:23" hidden="1" x14ac:dyDescent="0.25">
      <c r="A4321" s="45">
        <v>46072</v>
      </c>
      <c r="B4321" s="46" t="s">
        <v>334</v>
      </c>
      <c r="C4321" s="4" t="s">
        <v>218</v>
      </c>
      <c r="D4321" s="4"/>
      <c r="E4321" s="4"/>
      <c r="F4321" s="46" t="s">
        <v>2173</v>
      </c>
      <c r="G4321" s="4" t="s">
        <v>336</v>
      </c>
      <c r="H4321" s="4" t="s">
        <v>289</v>
      </c>
      <c r="I4321" s="4">
        <v>1</v>
      </c>
      <c r="J4321" s="21">
        <v>340</v>
      </c>
      <c r="K4321" s="21">
        <v>0</v>
      </c>
      <c r="L4321" s="5">
        <v>0</v>
      </c>
      <c r="M4321" s="4"/>
      <c r="N4321" s="4"/>
      <c r="O4321" s="5"/>
      <c r="P4321" s="5"/>
      <c r="Q4321" s="21">
        <v>340</v>
      </c>
      <c r="R4321" s="21">
        <v>0</v>
      </c>
      <c r="S4321" s="5">
        <f t="shared" si="271"/>
        <v>40861.762997470876</v>
      </c>
      <c r="T4321" cm="1">
        <f t="array" ref="T4321">IF(OR(B4321="MAL ALIMI", B4321="ÜRETİM GİRİŞ"), MIN(I4321, MAX(0, I4321 + SUM(SUMIFS($I$1:I4320, $C$1:C4320, C4321, $B$1:B4320, {"MAL ALIMI","ÜRETİM GİRİŞ"})) - VLOOKUP(C4321, 'STOK RAPORU'!$C$2:$I$1000, 4, 0))), 0)</f>
        <v>0</v>
      </c>
      <c r="U4321" s="22">
        <f t="shared" si="268"/>
        <v>0</v>
      </c>
      <c r="V4321">
        <f t="shared" si="269"/>
        <v>0</v>
      </c>
      <c r="W4321" s="22">
        <f t="shared" si="270"/>
        <v>0</v>
      </c>
    </row>
    <row r="4322" spans="1:23" hidden="1" x14ac:dyDescent="0.25">
      <c r="A4322" s="45">
        <v>46072</v>
      </c>
      <c r="B4322" s="46" t="s">
        <v>334</v>
      </c>
      <c r="C4322" s="4" t="s">
        <v>587</v>
      </c>
      <c r="D4322" s="4"/>
      <c r="E4322" s="4"/>
      <c r="F4322" s="46" t="s">
        <v>2173</v>
      </c>
      <c r="G4322" s="4" t="s">
        <v>336</v>
      </c>
      <c r="H4322" s="4" t="s">
        <v>289</v>
      </c>
      <c r="I4322" s="4">
        <v>0.5</v>
      </c>
      <c r="J4322" s="21">
        <v>150</v>
      </c>
      <c r="K4322" s="21">
        <v>0</v>
      </c>
      <c r="L4322" s="5">
        <v>0</v>
      </c>
      <c r="M4322" s="4"/>
      <c r="N4322" s="4"/>
      <c r="O4322" s="5"/>
      <c r="P4322" s="5"/>
      <c r="Q4322" s="21">
        <v>75</v>
      </c>
      <c r="R4322" s="21">
        <v>0</v>
      </c>
      <c r="S4322" s="5">
        <f t="shared" si="271"/>
        <v>40936.762997470876</v>
      </c>
      <c r="T4322" cm="1">
        <f t="array" ref="T4322">IF(OR(B4322="MAL ALIMI", B4322="ÜRETİM GİRİŞ"), MIN(I4322, MAX(0, I4322 + SUM(SUMIFS($I$1:I4321, $C$1:C4321, C4322, $B$1:B4321, {"MAL ALIMI","ÜRETİM GİRİŞ"})) - VLOOKUP(C4322, 'STOK RAPORU'!$C$2:$I$1000, 4, 0))), 0)</f>
        <v>0</v>
      </c>
      <c r="U4322" s="22">
        <f t="shared" si="268"/>
        <v>0</v>
      </c>
      <c r="V4322">
        <f t="shared" si="269"/>
        <v>0</v>
      </c>
      <c r="W4322" s="22">
        <f t="shared" si="270"/>
        <v>0</v>
      </c>
    </row>
    <row r="4323" spans="1:23" hidden="1" x14ac:dyDescent="0.25">
      <c r="A4323" s="45">
        <v>46072</v>
      </c>
      <c r="B4323" s="46" t="s">
        <v>334</v>
      </c>
      <c r="C4323" s="4" t="s">
        <v>586</v>
      </c>
      <c r="D4323" s="4"/>
      <c r="E4323" s="4"/>
      <c r="F4323" s="46" t="s">
        <v>2173</v>
      </c>
      <c r="G4323" s="4" t="s">
        <v>336</v>
      </c>
      <c r="H4323" s="4" t="s">
        <v>289</v>
      </c>
      <c r="I4323" s="4">
        <v>0.5</v>
      </c>
      <c r="J4323" s="21">
        <v>200</v>
      </c>
      <c r="K4323" s="21">
        <v>0</v>
      </c>
      <c r="L4323" s="5">
        <v>0</v>
      </c>
      <c r="M4323" s="4"/>
      <c r="N4323" s="4"/>
      <c r="O4323" s="5"/>
      <c r="P4323" s="5"/>
      <c r="Q4323" s="21">
        <v>100</v>
      </c>
      <c r="R4323" s="21">
        <v>0</v>
      </c>
      <c r="S4323" s="5">
        <f t="shared" si="271"/>
        <v>41036.762997470876</v>
      </c>
      <c r="T4323" cm="1">
        <f t="array" ref="T4323">IF(OR(B4323="MAL ALIMI", B4323="ÜRETİM GİRİŞ"), MIN(I4323, MAX(0, I4323 + SUM(SUMIFS($I$1:I4322, $C$1:C4322, C4323, $B$1:B4322, {"MAL ALIMI","ÜRETİM GİRİŞ"})) - VLOOKUP(C4323, 'STOK RAPORU'!$C$2:$I$1000, 4, 0))), 0)</f>
        <v>0</v>
      </c>
      <c r="U4323" s="22">
        <f t="shared" si="268"/>
        <v>0</v>
      </c>
      <c r="V4323">
        <f t="shared" si="269"/>
        <v>0</v>
      </c>
      <c r="W4323" s="22">
        <f t="shared" si="270"/>
        <v>0</v>
      </c>
    </row>
    <row r="4324" spans="1:23" hidden="1" x14ac:dyDescent="0.25">
      <c r="A4324" s="45">
        <v>46072</v>
      </c>
      <c r="B4324" s="46" t="s">
        <v>334</v>
      </c>
      <c r="C4324" s="4" t="s">
        <v>132</v>
      </c>
      <c r="D4324" s="4"/>
      <c r="E4324" s="4"/>
      <c r="F4324" s="46" t="s">
        <v>2173</v>
      </c>
      <c r="G4324" s="4" t="s">
        <v>336</v>
      </c>
      <c r="H4324" s="4" t="s">
        <v>289</v>
      </c>
      <c r="I4324" s="4">
        <v>0.13800000000000001</v>
      </c>
      <c r="J4324" s="21">
        <v>500</v>
      </c>
      <c r="K4324" s="21">
        <v>0</v>
      </c>
      <c r="L4324" s="5">
        <v>0</v>
      </c>
      <c r="M4324" s="4"/>
      <c r="N4324" s="4"/>
      <c r="O4324" s="5"/>
      <c r="P4324" s="5"/>
      <c r="Q4324" s="21">
        <v>69</v>
      </c>
      <c r="R4324" s="21">
        <v>0</v>
      </c>
      <c r="S4324" s="5">
        <f t="shared" si="271"/>
        <v>41105.762997470876</v>
      </c>
      <c r="T4324" cm="1">
        <f t="array" ref="T4324">IF(OR(B4324="MAL ALIMI", B4324="ÜRETİM GİRİŞ"), MIN(I4324, MAX(0, I4324 + SUM(SUMIFS($I$1:I4323, $C$1:C4323, C4324, $B$1:B4323, {"MAL ALIMI","ÜRETİM GİRİŞ"})) - VLOOKUP(C4324, 'STOK RAPORU'!$C$2:$I$1000, 4, 0))), 0)</f>
        <v>0</v>
      </c>
      <c r="U4324" s="22">
        <f t="shared" si="268"/>
        <v>0</v>
      </c>
      <c r="V4324">
        <f t="shared" si="269"/>
        <v>0</v>
      </c>
      <c r="W4324" s="22">
        <f t="shared" si="270"/>
        <v>0</v>
      </c>
    </row>
    <row r="4325" spans="1:23" hidden="1" x14ac:dyDescent="0.25">
      <c r="A4325" s="45">
        <v>46072</v>
      </c>
      <c r="B4325" s="46" t="s">
        <v>334</v>
      </c>
      <c r="C4325" s="4" t="s">
        <v>1359</v>
      </c>
      <c r="D4325" s="4"/>
      <c r="E4325" s="4" t="s">
        <v>921</v>
      </c>
      <c r="F4325" s="46" t="s">
        <v>2174</v>
      </c>
      <c r="G4325" s="4" t="s">
        <v>336</v>
      </c>
      <c r="H4325" s="4" t="s">
        <v>380</v>
      </c>
      <c r="I4325" s="4">
        <v>0.44444444444444442</v>
      </c>
      <c r="J4325" s="21">
        <v>450</v>
      </c>
      <c r="K4325" s="21">
        <v>200</v>
      </c>
      <c r="L4325" s="5">
        <v>0</v>
      </c>
      <c r="M4325" s="4"/>
      <c r="N4325" s="4"/>
      <c r="O4325" s="5"/>
      <c r="P4325" s="5"/>
      <c r="Q4325" s="21">
        <v>0</v>
      </c>
      <c r="R4325" s="21">
        <v>0</v>
      </c>
      <c r="S4325" s="5">
        <f t="shared" si="271"/>
        <v>41105.762997470876</v>
      </c>
      <c r="T4325" cm="1">
        <f t="array" ref="T4325">IF(OR(B4325="MAL ALIMI", B4325="ÜRETİM GİRİŞ"), MIN(I4325, MAX(0, I4325 + SUM(SUMIFS($I$1:I4324, $C$1:C4324, C4325, $B$1:B4324, {"MAL ALIMI","ÜRETİM GİRİŞ"})) - VLOOKUP(C4325, 'STOK RAPORU'!$C$2:$I$1000, 4, 0))), 0)</f>
        <v>0</v>
      </c>
      <c r="U4325" s="22">
        <f t="shared" si="268"/>
        <v>0</v>
      </c>
      <c r="V4325">
        <f t="shared" si="269"/>
        <v>0</v>
      </c>
      <c r="W4325" s="22">
        <f t="shared" si="270"/>
        <v>0</v>
      </c>
    </row>
    <row r="4326" spans="1:23" hidden="1" x14ac:dyDescent="0.25">
      <c r="A4326" s="45">
        <v>46072</v>
      </c>
      <c r="B4326" s="46" t="s">
        <v>334</v>
      </c>
      <c r="C4326" s="4" t="s">
        <v>651</v>
      </c>
      <c r="D4326" s="4"/>
      <c r="E4326" s="4"/>
      <c r="F4326" s="46" t="s">
        <v>2175</v>
      </c>
      <c r="G4326" s="4" t="s">
        <v>336</v>
      </c>
      <c r="H4326" s="4" t="s">
        <v>289</v>
      </c>
      <c r="I4326" s="4">
        <v>1</v>
      </c>
      <c r="J4326" s="21">
        <v>400</v>
      </c>
      <c r="K4326" s="21">
        <v>0</v>
      </c>
      <c r="L4326" s="5">
        <v>0</v>
      </c>
      <c r="M4326" s="4"/>
      <c r="N4326" s="4"/>
      <c r="O4326" s="5"/>
      <c r="P4326" s="5"/>
      <c r="Q4326" s="21">
        <v>400</v>
      </c>
      <c r="R4326" s="21">
        <v>0</v>
      </c>
      <c r="S4326" s="5">
        <f t="shared" si="271"/>
        <v>41505.762997470876</v>
      </c>
      <c r="T4326" cm="1">
        <f t="array" ref="T4326">IF(OR(B4326="MAL ALIMI", B4326="ÜRETİM GİRİŞ"), MIN(I4326, MAX(0, I4326 + SUM(SUMIFS($I$1:I4325, $C$1:C4325, C4326, $B$1:B4325, {"MAL ALIMI","ÜRETİM GİRİŞ"})) - VLOOKUP(C4326, 'STOK RAPORU'!$C$2:$I$1000, 4, 0))), 0)</f>
        <v>0</v>
      </c>
      <c r="U4326" s="22">
        <f t="shared" si="268"/>
        <v>0</v>
      </c>
      <c r="V4326">
        <f t="shared" si="269"/>
        <v>0</v>
      </c>
      <c r="W4326" s="22">
        <f t="shared" si="270"/>
        <v>0</v>
      </c>
    </row>
    <row r="4327" spans="1:23" hidden="1" x14ac:dyDescent="0.25">
      <c r="A4327" s="45">
        <v>46072</v>
      </c>
      <c r="B4327" s="46" t="s">
        <v>334</v>
      </c>
      <c r="C4327" s="4" t="s">
        <v>697</v>
      </c>
      <c r="D4327" s="4"/>
      <c r="E4327" s="4"/>
      <c r="F4327" s="46" t="s">
        <v>2175</v>
      </c>
      <c r="G4327" s="4" t="s">
        <v>336</v>
      </c>
      <c r="H4327" s="4" t="s">
        <v>289</v>
      </c>
      <c r="I4327" s="4">
        <v>0.1</v>
      </c>
      <c r="J4327" s="21">
        <v>500</v>
      </c>
      <c r="K4327" s="21">
        <v>0</v>
      </c>
      <c r="L4327" s="5">
        <v>0</v>
      </c>
      <c r="M4327" s="4"/>
      <c r="N4327" s="4"/>
      <c r="O4327" s="5"/>
      <c r="P4327" s="5"/>
      <c r="Q4327" s="21">
        <v>50</v>
      </c>
      <c r="R4327" s="21">
        <v>0</v>
      </c>
      <c r="S4327" s="5">
        <f t="shared" si="271"/>
        <v>41555.762997470876</v>
      </c>
      <c r="T4327" cm="1">
        <f t="array" ref="T4327">IF(OR(B4327="MAL ALIMI", B4327="ÜRETİM GİRİŞ"), MIN(I4327, MAX(0, I4327 + SUM(SUMIFS($I$1:I4326, $C$1:C4326, C4327, $B$1:B4326, {"MAL ALIMI","ÜRETİM GİRİŞ"})) - VLOOKUP(C4327, 'STOK RAPORU'!$C$2:$I$1000, 4, 0))), 0)</f>
        <v>0</v>
      </c>
      <c r="U4327" s="22">
        <f t="shared" si="268"/>
        <v>0</v>
      </c>
      <c r="V4327">
        <f t="shared" si="269"/>
        <v>0</v>
      </c>
      <c r="W4327" s="22">
        <f t="shared" si="270"/>
        <v>0</v>
      </c>
    </row>
    <row r="4328" spans="1:23" hidden="1" x14ac:dyDescent="0.25">
      <c r="A4328" s="45">
        <v>46072</v>
      </c>
      <c r="B4328" s="46" t="s">
        <v>334</v>
      </c>
      <c r="C4328" s="4" t="s">
        <v>241</v>
      </c>
      <c r="D4328" s="4"/>
      <c r="E4328" s="4" t="s">
        <v>921</v>
      </c>
      <c r="F4328" s="46" t="s">
        <v>2176</v>
      </c>
      <c r="G4328" s="4" t="s">
        <v>336</v>
      </c>
      <c r="H4328" s="4" t="s">
        <v>380</v>
      </c>
      <c r="I4328" s="4">
        <v>0.55813953488372092</v>
      </c>
      <c r="J4328" s="21">
        <v>430</v>
      </c>
      <c r="K4328" s="21">
        <v>240</v>
      </c>
      <c r="L4328" s="5">
        <v>0</v>
      </c>
      <c r="M4328" s="4"/>
      <c r="N4328" s="4"/>
      <c r="O4328" s="5"/>
      <c r="P4328" s="5"/>
      <c r="Q4328" s="21">
        <v>0</v>
      </c>
      <c r="R4328" s="21">
        <v>0</v>
      </c>
      <c r="S4328" s="5">
        <f t="shared" si="271"/>
        <v>41555.762997470876</v>
      </c>
      <c r="T4328" cm="1">
        <f t="array" ref="T4328">IF(OR(B4328="MAL ALIMI", B4328="ÜRETİM GİRİŞ"), MIN(I4328, MAX(0, I4328 + SUM(SUMIFS($I$1:I4327, $C$1:C4327, C4328, $B$1:B4327, {"MAL ALIMI","ÜRETİM GİRİŞ"})) - VLOOKUP(C4328, 'STOK RAPORU'!$C$2:$I$1000, 4, 0))), 0)</f>
        <v>0</v>
      </c>
      <c r="U4328" s="22">
        <f t="shared" si="268"/>
        <v>0</v>
      </c>
      <c r="V4328">
        <f t="shared" si="269"/>
        <v>0</v>
      </c>
      <c r="W4328" s="22">
        <f t="shared" si="270"/>
        <v>0</v>
      </c>
    </row>
    <row r="4329" spans="1:23" hidden="1" x14ac:dyDescent="0.25">
      <c r="A4329" s="45">
        <v>46072</v>
      </c>
      <c r="B4329" s="46" t="s">
        <v>334</v>
      </c>
      <c r="C4329" s="4" t="s">
        <v>2124</v>
      </c>
      <c r="D4329" s="4"/>
      <c r="E4329" s="4" t="s">
        <v>921</v>
      </c>
      <c r="F4329" s="46" t="s">
        <v>2177</v>
      </c>
      <c r="G4329" s="4" t="s">
        <v>336</v>
      </c>
      <c r="H4329" s="4" t="s">
        <v>380</v>
      </c>
      <c r="I4329" s="4">
        <v>0.70727272727272728</v>
      </c>
      <c r="J4329" s="21">
        <v>550</v>
      </c>
      <c r="K4329" s="21">
        <v>389</v>
      </c>
      <c r="L4329" s="5">
        <v>0</v>
      </c>
      <c r="M4329" s="4"/>
      <c r="N4329" s="4"/>
      <c r="O4329" s="5"/>
      <c r="P4329" s="5"/>
      <c r="Q4329" s="21">
        <v>0</v>
      </c>
      <c r="R4329" s="21">
        <v>0</v>
      </c>
      <c r="S4329" s="5">
        <f t="shared" si="271"/>
        <v>41555.762997470876</v>
      </c>
      <c r="T4329" cm="1">
        <f t="array" ref="T4329">IF(OR(B4329="MAL ALIMI", B4329="ÜRETİM GİRİŞ"), MIN(I4329, MAX(0, I4329 + SUM(SUMIFS($I$1:I4328, $C$1:C4328, C4329, $B$1:B4328, {"MAL ALIMI","ÜRETİM GİRİŞ"})) - VLOOKUP(C4329, 'STOK RAPORU'!$C$2:$I$1000, 4, 0))), 0)</f>
        <v>0</v>
      </c>
      <c r="U4329" s="22">
        <f t="shared" si="268"/>
        <v>0</v>
      </c>
      <c r="V4329">
        <f t="shared" si="269"/>
        <v>0</v>
      </c>
      <c r="W4329" s="22">
        <f t="shared" si="270"/>
        <v>0</v>
      </c>
    </row>
    <row r="4330" spans="1:23" hidden="1" x14ac:dyDescent="0.25">
      <c r="A4330" s="45">
        <v>46072</v>
      </c>
      <c r="B4330" s="46" t="s">
        <v>334</v>
      </c>
      <c r="C4330" s="4" t="s">
        <v>2127</v>
      </c>
      <c r="D4330" s="4"/>
      <c r="E4330" s="4" t="s">
        <v>921</v>
      </c>
      <c r="F4330" s="46" t="s">
        <v>2177</v>
      </c>
      <c r="G4330" s="4" t="s">
        <v>336</v>
      </c>
      <c r="H4330" s="4" t="s">
        <v>380</v>
      </c>
      <c r="I4330" s="4">
        <v>0.49249999999999999</v>
      </c>
      <c r="J4330" s="21">
        <v>400</v>
      </c>
      <c r="K4330" s="21">
        <v>197</v>
      </c>
      <c r="L4330" s="5">
        <v>0</v>
      </c>
      <c r="M4330" s="4"/>
      <c r="N4330" s="4"/>
      <c r="O4330" s="5"/>
      <c r="P4330" s="5"/>
      <c r="Q4330" s="21">
        <v>0</v>
      </c>
      <c r="R4330" s="21">
        <v>0</v>
      </c>
      <c r="S4330" s="5">
        <f t="shared" si="271"/>
        <v>41555.762997470876</v>
      </c>
      <c r="T4330" cm="1">
        <f t="array" ref="T4330">IF(OR(B4330="MAL ALIMI", B4330="ÜRETİM GİRİŞ"), MIN(I4330, MAX(0, I4330 + SUM(SUMIFS($I$1:I4329, $C$1:C4329, C4330, $B$1:B4329, {"MAL ALIMI","ÜRETİM GİRİŞ"})) - VLOOKUP(C4330, 'STOK RAPORU'!$C$2:$I$1000, 4, 0))), 0)</f>
        <v>0</v>
      </c>
      <c r="U4330" s="22">
        <f t="shared" si="268"/>
        <v>0</v>
      </c>
      <c r="V4330">
        <f t="shared" si="269"/>
        <v>0</v>
      </c>
      <c r="W4330" s="22">
        <f t="shared" si="270"/>
        <v>0</v>
      </c>
    </row>
    <row r="4331" spans="1:23" hidden="1" x14ac:dyDescent="0.25">
      <c r="A4331" s="45">
        <v>46072</v>
      </c>
      <c r="B4331" s="46" t="s">
        <v>334</v>
      </c>
      <c r="C4331" s="4" t="s">
        <v>1501</v>
      </c>
      <c r="D4331" s="4"/>
      <c r="E4331" s="4" t="s">
        <v>921</v>
      </c>
      <c r="F4331" s="46" t="s">
        <v>2177</v>
      </c>
      <c r="G4331" s="4" t="s">
        <v>336</v>
      </c>
      <c r="H4331" s="4" t="s">
        <v>380</v>
      </c>
      <c r="I4331" s="4">
        <v>0.25</v>
      </c>
      <c r="J4331" s="21">
        <v>600</v>
      </c>
      <c r="K4331" s="21">
        <v>150</v>
      </c>
      <c r="L4331" s="5">
        <v>0</v>
      </c>
      <c r="M4331" s="4"/>
      <c r="N4331" s="4"/>
      <c r="O4331" s="5"/>
      <c r="P4331" s="5"/>
      <c r="Q4331" s="21">
        <v>0</v>
      </c>
      <c r="R4331" s="21">
        <v>0</v>
      </c>
      <c r="S4331" s="5">
        <f t="shared" si="271"/>
        <v>41555.762997470876</v>
      </c>
      <c r="T4331" cm="1">
        <f t="array" ref="T4331">IF(OR(B4331="MAL ALIMI", B4331="ÜRETİM GİRİŞ"), MIN(I4331, MAX(0, I4331 + SUM(SUMIFS($I$1:I4330, $C$1:C4330, C4331, $B$1:B4330, {"MAL ALIMI","ÜRETİM GİRİŞ"})) - VLOOKUP(C4331, 'STOK RAPORU'!$C$2:$I$1000, 4, 0))), 0)</f>
        <v>0</v>
      </c>
      <c r="U4331" s="22">
        <f t="shared" si="268"/>
        <v>0</v>
      </c>
      <c r="V4331">
        <f t="shared" si="269"/>
        <v>0</v>
      </c>
      <c r="W4331" s="22">
        <f t="shared" si="270"/>
        <v>0</v>
      </c>
    </row>
    <row r="4332" spans="1:23" hidden="1" x14ac:dyDescent="0.25">
      <c r="A4332" s="45">
        <v>46072</v>
      </c>
      <c r="B4332" s="46" t="s">
        <v>298</v>
      </c>
      <c r="C4332" s="4" t="s">
        <v>2144</v>
      </c>
      <c r="D4332" s="4"/>
      <c r="E4332" s="4"/>
      <c r="F4332" s="4"/>
      <c r="G4332" s="4" t="s">
        <v>2242</v>
      </c>
      <c r="H4332" s="4" t="s">
        <v>289</v>
      </c>
      <c r="I4332" s="4">
        <v>5</v>
      </c>
      <c r="J4332" s="21">
        <v>200</v>
      </c>
      <c r="K4332" s="21">
        <v>0</v>
      </c>
      <c r="L4332" s="5">
        <v>0</v>
      </c>
      <c r="M4332" s="4"/>
      <c r="N4332" s="4"/>
      <c r="O4332" s="5"/>
      <c r="P4332" s="5"/>
      <c r="Q4332" s="21">
        <v>0</v>
      </c>
      <c r="R4332" s="21">
        <v>1000</v>
      </c>
      <c r="S4332" s="5">
        <f t="shared" si="271"/>
        <v>40555.762997470876</v>
      </c>
      <c r="T4332" cm="1">
        <f t="array" ref="T4332">IF(OR(B4332="MAL ALIMI", B4332="ÜRETİM GİRİŞ"), MIN(I4332, MAX(0, I4332 + SUM(SUMIFS($I$1:I4331, $C$1:C4331, C4332, $B$1:B4331, {"MAL ALIMI","ÜRETİM GİRİŞ"})) - VLOOKUP(C4332, 'STOK RAPORU'!$C$2:$I$1000, 4, 0))), 0)</f>
        <v>2</v>
      </c>
      <c r="U4332" s="22">
        <f t="shared" si="268"/>
        <v>400</v>
      </c>
      <c r="V4332">
        <f t="shared" si="269"/>
        <v>1000</v>
      </c>
      <c r="W4332" s="22">
        <f t="shared" si="270"/>
        <v>600</v>
      </c>
    </row>
    <row r="4333" spans="1:23" hidden="1" x14ac:dyDescent="0.25">
      <c r="A4333" s="3">
        <v>46072</v>
      </c>
      <c r="B4333" s="4" t="s">
        <v>946</v>
      </c>
      <c r="C4333" s="4"/>
      <c r="D4333" s="4"/>
      <c r="E4333" s="4" t="s">
        <v>921</v>
      </c>
      <c r="F4333" s="4"/>
      <c r="G4333" s="4" t="s">
        <v>946</v>
      </c>
      <c r="H4333" s="4" t="s">
        <v>380</v>
      </c>
      <c r="I4333" s="4">
        <v>1</v>
      </c>
      <c r="J4333" s="105">
        <v>894.8</v>
      </c>
      <c r="K4333" s="21">
        <v>0</v>
      </c>
      <c r="L4333" s="111">
        <v>894.8</v>
      </c>
      <c r="M4333" s="21">
        <v>2965</v>
      </c>
      <c r="N4333" s="4"/>
      <c r="O4333" s="5"/>
      <c r="P4333" s="5"/>
      <c r="Q4333" s="21">
        <v>894.8</v>
      </c>
      <c r="R4333" s="21">
        <v>0</v>
      </c>
      <c r="S4333" s="5">
        <f t="shared" si="271"/>
        <v>41450.562997470879</v>
      </c>
      <c r="T4333" cm="1">
        <f t="array" ref="T4333">IF(OR(B4333="MAL ALIMI", B4333="ÜRETİM GİRİŞ"), MIN(I4333, MAX(0, I4333 + SUM(SUMIFS($I$1:I4332, $C$1:C4332, C4333, $B$1:B4332, {"MAL ALIMI","ÜRETİM GİRİŞ"})) - VLOOKUP(C4333, 'STOK RAPORU'!$C$2:$I$1000, 4, 0))), 0)</f>
        <v>0</v>
      </c>
      <c r="U4333" s="22">
        <f t="shared" si="268"/>
        <v>0</v>
      </c>
      <c r="V4333">
        <f t="shared" si="269"/>
        <v>0</v>
      </c>
      <c r="W4333" s="22">
        <f t="shared" si="270"/>
        <v>0</v>
      </c>
    </row>
    <row r="4334" spans="1:23" hidden="1" x14ac:dyDescent="0.25">
      <c r="A4334" s="3">
        <v>46072</v>
      </c>
      <c r="B4334" s="4" t="s">
        <v>946</v>
      </c>
      <c r="C4334" s="4"/>
      <c r="D4334" s="4"/>
      <c r="E4334" s="4" t="s">
        <v>921</v>
      </c>
      <c r="F4334" s="4"/>
      <c r="G4334" s="4" t="s">
        <v>946</v>
      </c>
      <c r="H4334" s="4" t="s">
        <v>380</v>
      </c>
      <c r="I4334" s="4">
        <v>1</v>
      </c>
      <c r="J4334" s="105">
        <v>590</v>
      </c>
      <c r="K4334" s="21">
        <v>0</v>
      </c>
      <c r="L4334" s="111">
        <v>590</v>
      </c>
      <c r="M4334" s="4"/>
      <c r="N4334" s="4"/>
      <c r="O4334" s="5"/>
      <c r="P4334" s="5"/>
      <c r="Q4334" s="21">
        <v>590</v>
      </c>
      <c r="R4334" s="21">
        <v>0</v>
      </c>
      <c r="S4334" s="5">
        <f t="shared" si="271"/>
        <v>42040.562997470879</v>
      </c>
      <c r="T4334" cm="1">
        <f t="array" ref="T4334">IF(OR(B4334="MAL ALIMI", B4334="ÜRETİM GİRİŞ"), MIN(I4334, MAX(0, I4334 + SUM(SUMIFS($I$1:I4333, $C$1:C4333, C4334, $B$1:B4333, {"MAL ALIMI","ÜRETİM GİRİŞ"})) - VLOOKUP(C4334, 'STOK RAPORU'!$C$2:$I$1000, 4, 0))), 0)</f>
        <v>0</v>
      </c>
      <c r="U4334" s="22">
        <f t="shared" si="268"/>
        <v>0</v>
      </c>
      <c r="V4334">
        <f t="shared" si="269"/>
        <v>0</v>
      </c>
      <c r="W4334" s="22">
        <f t="shared" si="270"/>
        <v>0</v>
      </c>
    </row>
    <row r="4335" spans="1:23" hidden="1" x14ac:dyDescent="0.25">
      <c r="A4335" s="45">
        <v>46073</v>
      </c>
      <c r="B4335" s="46" t="s">
        <v>334</v>
      </c>
      <c r="C4335" s="4" t="s">
        <v>126</v>
      </c>
      <c r="D4335" s="4"/>
      <c r="E4335" s="4" t="s">
        <v>921</v>
      </c>
      <c r="F4335" s="46" t="s">
        <v>2178</v>
      </c>
      <c r="G4335" s="4" t="s">
        <v>336</v>
      </c>
      <c r="H4335" s="4" t="s">
        <v>380</v>
      </c>
      <c r="I4335" s="4">
        <v>0.12</v>
      </c>
      <c r="J4335" s="21">
        <v>650</v>
      </c>
      <c r="K4335" s="21">
        <v>78</v>
      </c>
      <c r="L4335" s="5">
        <v>0</v>
      </c>
      <c r="M4335" s="4"/>
      <c r="N4335" s="4"/>
      <c r="O4335" s="5"/>
      <c r="P4335" s="5"/>
      <c r="Q4335" s="21">
        <v>0</v>
      </c>
      <c r="R4335" s="21">
        <v>0</v>
      </c>
      <c r="S4335" s="5">
        <f t="shared" si="271"/>
        <v>42040.562997470879</v>
      </c>
      <c r="T4335" cm="1">
        <f t="array" ref="T4335">IF(OR(B4335="MAL ALIMI", B4335="ÜRETİM GİRİŞ"), MIN(I4335, MAX(0, I4335 + SUM(SUMIFS($I$1:I4334, $C$1:C4334, C4335, $B$1:B4334, {"MAL ALIMI","ÜRETİM GİRİŞ"})) - VLOOKUP(C4335, 'STOK RAPORU'!$C$2:$I$1000, 4, 0))), 0)</f>
        <v>0</v>
      </c>
      <c r="U4335" s="22">
        <f t="shared" si="268"/>
        <v>0</v>
      </c>
      <c r="V4335">
        <f t="shared" si="269"/>
        <v>0</v>
      </c>
      <c r="W4335" s="22">
        <f t="shared" si="270"/>
        <v>0</v>
      </c>
    </row>
    <row r="4336" spans="1:23" hidden="1" x14ac:dyDescent="0.25">
      <c r="A4336" s="45">
        <v>46073</v>
      </c>
      <c r="B4336" s="46" t="s">
        <v>334</v>
      </c>
      <c r="C4336" s="4" t="s">
        <v>76</v>
      </c>
      <c r="D4336" s="4"/>
      <c r="E4336" s="4" t="s">
        <v>921</v>
      </c>
      <c r="F4336" s="46" t="s">
        <v>2178</v>
      </c>
      <c r="G4336" s="4" t="s">
        <v>336</v>
      </c>
      <c r="H4336" s="4" t="s">
        <v>380</v>
      </c>
      <c r="I4336" s="4">
        <v>0.124</v>
      </c>
      <c r="J4336" s="21">
        <v>400</v>
      </c>
      <c r="K4336" s="21">
        <v>49.6</v>
      </c>
      <c r="L4336" s="5">
        <v>0</v>
      </c>
      <c r="M4336" s="4"/>
      <c r="N4336" s="4"/>
      <c r="O4336" s="5"/>
      <c r="P4336" s="5"/>
      <c r="Q4336" s="21">
        <v>0</v>
      </c>
      <c r="R4336" s="21">
        <v>0</v>
      </c>
      <c r="S4336" s="5">
        <f t="shared" si="271"/>
        <v>42040.562997470879</v>
      </c>
      <c r="T4336" cm="1">
        <f t="array" ref="T4336">IF(OR(B4336="MAL ALIMI", B4336="ÜRETİM GİRİŞ"), MIN(I4336, MAX(0, I4336 + SUM(SUMIFS($I$1:I4335, $C$1:C4335, C4336, $B$1:B4335, {"MAL ALIMI","ÜRETİM GİRİŞ"})) - VLOOKUP(C4336, 'STOK RAPORU'!$C$2:$I$1000, 4, 0))), 0)</f>
        <v>0</v>
      </c>
      <c r="U4336" s="22">
        <f t="shared" si="268"/>
        <v>0</v>
      </c>
      <c r="V4336">
        <f t="shared" si="269"/>
        <v>0</v>
      </c>
      <c r="W4336" s="22">
        <f t="shared" si="270"/>
        <v>0</v>
      </c>
    </row>
    <row r="4337" spans="1:23" hidden="1" x14ac:dyDescent="0.25">
      <c r="A4337" s="45">
        <v>46073</v>
      </c>
      <c r="B4337" s="46" t="s">
        <v>334</v>
      </c>
      <c r="C4337" s="4" t="s">
        <v>140</v>
      </c>
      <c r="D4337" s="4"/>
      <c r="E4337" s="4" t="s">
        <v>921</v>
      </c>
      <c r="F4337" s="46" t="s">
        <v>2178</v>
      </c>
      <c r="G4337" s="4" t="s">
        <v>336</v>
      </c>
      <c r="H4337" s="4" t="s">
        <v>380</v>
      </c>
      <c r="I4337" s="4">
        <v>0.15</v>
      </c>
      <c r="J4337" s="21">
        <v>300</v>
      </c>
      <c r="K4337" s="21">
        <v>45</v>
      </c>
      <c r="L4337" s="5">
        <v>0</v>
      </c>
      <c r="M4337" s="4"/>
      <c r="N4337" s="4"/>
      <c r="O4337" s="5"/>
      <c r="P4337" s="5"/>
      <c r="Q4337" s="21">
        <v>0</v>
      </c>
      <c r="R4337" s="21">
        <v>0</v>
      </c>
      <c r="S4337" s="5">
        <f t="shared" si="271"/>
        <v>42040.562997470879</v>
      </c>
      <c r="T4337" cm="1">
        <f t="array" ref="T4337">IF(OR(B4337="MAL ALIMI", B4337="ÜRETİM GİRİŞ"), MIN(I4337, MAX(0, I4337 + SUM(SUMIFS($I$1:I4336, $C$1:C4336, C4337, $B$1:B4336, {"MAL ALIMI","ÜRETİM GİRİŞ"})) - VLOOKUP(C4337, 'STOK RAPORU'!$C$2:$I$1000, 4, 0))), 0)</f>
        <v>0</v>
      </c>
      <c r="U4337" s="22">
        <f t="shared" si="268"/>
        <v>0</v>
      </c>
      <c r="V4337">
        <f t="shared" si="269"/>
        <v>0</v>
      </c>
      <c r="W4337" s="22">
        <f t="shared" si="270"/>
        <v>0</v>
      </c>
    </row>
    <row r="4338" spans="1:23" hidden="1" x14ac:dyDescent="0.25">
      <c r="A4338" s="45">
        <v>46073</v>
      </c>
      <c r="B4338" s="46" t="s">
        <v>334</v>
      </c>
      <c r="C4338" s="4" t="s">
        <v>1501</v>
      </c>
      <c r="D4338" s="4"/>
      <c r="E4338" s="4" t="s">
        <v>921</v>
      </c>
      <c r="F4338" s="46" t="s">
        <v>2178</v>
      </c>
      <c r="G4338" s="4" t="s">
        <v>336</v>
      </c>
      <c r="H4338" s="4" t="s">
        <v>380</v>
      </c>
      <c r="I4338" s="4">
        <v>0.25</v>
      </c>
      <c r="J4338" s="21">
        <v>600</v>
      </c>
      <c r="K4338" s="21">
        <v>150</v>
      </c>
      <c r="L4338" s="5">
        <v>0</v>
      </c>
      <c r="M4338" s="4"/>
      <c r="N4338" s="4"/>
      <c r="O4338" s="5"/>
      <c r="P4338" s="5"/>
      <c r="Q4338" s="21">
        <v>0</v>
      </c>
      <c r="R4338" s="21">
        <v>0</v>
      </c>
      <c r="S4338" s="5">
        <f t="shared" si="271"/>
        <v>42040.562997470879</v>
      </c>
      <c r="T4338" cm="1">
        <f t="array" ref="T4338">IF(OR(B4338="MAL ALIMI", B4338="ÜRETİM GİRİŞ"), MIN(I4338, MAX(0, I4338 + SUM(SUMIFS($I$1:I4337, $C$1:C4337, C4338, $B$1:B4337, {"MAL ALIMI","ÜRETİM GİRİŞ"})) - VLOOKUP(C4338, 'STOK RAPORU'!$C$2:$I$1000, 4, 0))), 0)</f>
        <v>0</v>
      </c>
      <c r="U4338" s="22">
        <f t="shared" si="268"/>
        <v>0</v>
      </c>
      <c r="V4338">
        <f t="shared" si="269"/>
        <v>0</v>
      </c>
      <c r="W4338" s="22">
        <f t="shared" si="270"/>
        <v>0</v>
      </c>
    </row>
    <row r="4339" spans="1:23" hidden="1" x14ac:dyDescent="0.25">
      <c r="A4339" s="45">
        <v>46073</v>
      </c>
      <c r="B4339" s="46" t="s">
        <v>334</v>
      </c>
      <c r="C4339" s="4" t="s">
        <v>697</v>
      </c>
      <c r="D4339" s="4"/>
      <c r="E4339" s="4" t="s">
        <v>921</v>
      </c>
      <c r="F4339" s="46" t="s">
        <v>2178</v>
      </c>
      <c r="G4339" s="4" t="s">
        <v>336</v>
      </c>
      <c r="H4339" s="4" t="s">
        <v>380</v>
      </c>
      <c r="I4339" s="4">
        <v>0.1</v>
      </c>
      <c r="J4339" s="21">
        <v>750</v>
      </c>
      <c r="K4339" s="21">
        <v>75</v>
      </c>
      <c r="L4339" s="5">
        <v>0</v>
      </c>
      <c r="M4339" s="4"/>
      <c r="N4339" s="4"/>
      <c r="O4339" s="5"/>
      <c r="P4339" s="5"/>
      <c r="Q4339" s="21">
        <v>0</v>
      </c>
      <c r="R4339" s="21">
        <v>0</v>
      </c>
      <c r="S4339" s="5">
        <f t="shared" si="271"/>
        <v>42040.562997470879</v>
      </c>
      <c r="T4339" cm="1">
        <f t="array" ref="T4339">IF(OR(B4339="MAL ALIMI", B4339="ÜRETİM GİRİŞ"), MIN(I4339, MAX(0, I4339 + SUM(SUMIFS($I$1:I4338, $C$1:C4338, C4339, $B$1:B4338, {"MAL ALIMI","ÜRETİM GİRİŞ"})) - VLOOKUP(C4339, 'STOK RAPORU'!$C$2:$I$1000, 4, 0))), 0)</f>
        <v>0</v>
      </c>
      <c r="U4339" s="22">
        <f t="shared" si="268"/>
        <v>0</v>
      </c>
      <c r="V4339">
        <f t="shared" si="269"/>
        <v>0</v>
      </c>
      <c r="W4339" s="22">
        <f t="shared" si="270"/>
        <v>0</v>
      </c>
    </row>
    <row r="4340" spans="1:23" hidden="1" x14ac:dyDescent="0.25">
      <c r="A4340" s="45">
        <v>46073</v>
      </c>
      <c r="B4340" s="46" t="s">
        <v>334</v>
      </c>
      <c r="C4340" s="4" t="s">
        <v>1443</v>
      </c>
      <c r="D4340" s="4"/>
      <c r="E4340" s="4" t="s">
        <v>921</v>
      </c>
      <c r="F4340" s="46" t="s">
        <v>2178</v>
      </c>
      <c r="G4340" s="4" t="s">
        <v>336</v>
      </c>
      <c r="H4340" s="4" t="s">
        <v>380</v>
      </c>
      <c r="I4340" s="4">
        <v>2</v>
      </c>
      <c r="J4340" s="21">
        <v>10</v>
      </c>
      <c r="K4340" s="21">
        <v>20</v>
      </c>
      <c r="L4340" s="5">
        <v>0</v>
      </c>
      <c r="M4340" s="4"/>
      <c r="N4340" s="4"/>
      <c r="O4340" s="5"/>
      <c r="P4340" s="5"/>
      <c r="Q4340" s="21">
        <v>0</v>
      </c>
      <c r="R4340" s="21">
        <v>0</v>
      </c>
      <c r="S4340" s="5">
        <f t="shared" si="271"/>
        <v>42040.562997470879</v>
      </c>
      <c r="T4340" cm="1">
        <f t="array" ref="T4340">IF(OR(B4340="MAL ALIMI", B4340="ÜRETİM GİRİŞ"), MIN(I4340, MAX(0, I4340 + SUM(SUMIFS($I$1:I4339, $C$1:C4339, C4340, $B$1:B4339, {"MAL ALIMI","ÜRETİM GİRİŞ"})) - VLOOKUP(C4340, 'STOK RAPORU'!$C$2:$I$1000, 4, 0))), 0)</f>
        <v>0</v>
      </c>
      <c r="U4340" s="22">
        <f t="shared" ref="U4340:U4403" si="272">T4340*J4340</f>
        <v>0</v>
      </c>
      <c r="V4340">
        <f t="shared" ref="V4340:V4403" si="273">IF(OR(B4340="MAL ALIMI", B4340="ÜRETİM GİRİŞ"), I4340 * J4340, 0)</f>
        <v>0</v>
      </c>
      <c r="W4340" s="22">
        <f t="shared" ref="W4340:W4403" si="274">V4340-U4340</f>
        <v>0</v>
      </c>
    </row>
    <row r="4341" spans="1:23" hidden="1" x14ac:dyDescent="0.25">
      <c r="A4341" s="45">
        <v>46073</v>
      </c>
      <c r="B4341" s="46" t="s">
        <v>334</v>
      </c>
      <c r="C4341" s="4" t="s">
        <v>796</v>
      </c>
      <c r="D4341" s="4"/>
      <c r="E4341" s="4" t="s">
        <v>921</v>
      </c>
      <c r="F4341" s="46" t="s">
        <v>2179</v>
      </c>
      <c r="G4341" s="4" t="s">
        <v>336</v>
      </c>
      <c r="H4341" s="4" t="s">
        <v>380</v>
      </c>
      <c r="I4341" s="4">
        <v>1</v>
      </c>
      <c r="J4341" s="21">
        <v>240</v>
      </c>
      <c r="K4341" s="21">
        <v>240</v>
      </c>
      <c r="L4341" s="5">
        <v>0</v>
      </c>
      <c r="M4341" s="4"/>
      <c r="N4341" s="4"/>
      <c r="O4341" s="5"/>
      <c r="P4341" s="5"/>
      <c r="Q4341" s="21">
        <v>0</v>
      </c>
      <c r="R4341" s="21">
        <v>0</v>
      </c>
      <c r="S4341" s="5">
        <f t="shared" si="271"/>
        <v>42040.562997470879</v>
      </c>
      <c r="T4341" cm="1">
        <f t="array" ref="T4341">IF(OR(B4341="MAL ALIMI", B4341="ÜRETİM GİRİŞ"), MIN(I4341, MAX(0, I4341 + SUM(SUMIFS($I$1:I4340, $C$1:C4340, C4341, $B$1:B4340, {"MAL ALIMI","ÜRETİM GİRİŞ"})) - VLOOKUP(C4341, 'STOK RAPORU'!$C$2:$I$1000, 4, 0))), 0)</f>
        <v>0</v>
      </c>
      <c r="U4341" s="22">
        <f t="shared" si="272"/>
        <v>0</v>
      </c>
      <c r="V4341">
        <f t="shared" si="273"/>
        <v>0</v>
      </c>
      <c r="W4341" s="22">
        <f t="shared" si="274"/>
        <v>0</v>
      </c>
    </row>
    <row r="4342" spans="1:23" hidden="1" x14ac:dyDescent="0.25">
      <c r="A4342" s="45">
        <v>46073</v>
      </c>
      <c r="B4342" s="46" t="s">
        <v>334</v>
      </c>
      <c r="C4342" s="4" t="s">
        <v>197</v>
      </c>
      <c r="D4342" s="4"/>
      <c r="E4342" s="4" t="s">
        <v>921</v>
      </c>
      <c r="F4342" s="46" t="s">
        <v>2180</v>
      </c>
      <c r="G4342" s="4" t="s">
        <v>336</v>
      </c>
      <c r="H4342" s="4" t="s">
        <v>380</v>
      </c>
      <c r="I4342" s="4">
        <v>0.26200000000000001</v>
      </c>
      <c r="J4342" s="21">
        <v>230</v>
      </c>
      <c r="K4342" s="21">
        <v>60.260000000000005</v>
      </c>
      <c r="L4342" s="5">
        <v>0</v>
      </c>
      <c r="M4342" s="4"/>
      <c r="N4342" s="4"/>
      <c r="O4342" s="5"/>
      <c r="P4342" s="5"/>
      <c r="Q4342" s="21">
        <v>0</v>
      </c>
      <c r="R4342" s="21">
        <v>0</v>
      </c>
      <c r="S4342" s="5">
        <f t="shared" si="271"/>
        <v>42040.562997470879</v>
      </c>
      <c r="T4342" cm="1">
        <f t="array" ref="T4342">IF(OR(B4342="MAL ALIMI", B4342="ÜRETİM GİRİŞ"), MIN(I4342, MAX(0, I4342 + SUM(SUMIFS($I$1:I4341, $C$1:C4341, C4342, $B$1:B4341, {"MAL ALIMI","ÜRETİM GİRİŞ"})) - VLOOKUP(C4342, 'STOK RAPORU'!$C$2:$I$1000, 4, 0))), 0)</f>
        <v>0</v>
      </c>
      <c r="U4342" s="22">
        <f t="shared" si="272"/>
        <v>0</v>
      </c>
      <c r="V4342">
        <f t="shared" si="273"/>
        <v>0</v>
      </c>
      <c r="W4342" s="22">
        <f t="shared" si="274"/>
        <v>0</v>
      </c>
    </row>
    <row r="4343" spans="1:23" hidden="1" x14ac:dyDescent="0.25">
      <c r="A4343" s="45">
        <v>46073</v>
      </c>
      <c r="B4343" s="46" t="s">
        <v>334</v>
      </c>
      <c r="C4343" s="4" t="s">
        <v>254</v>
      </c>
      <c r="D4343" s="4"/>
      <c r="E4343" s="4" t="s">
        <v>921</v>
      </c>
      <c r="F4343" s="46" t="s">
        <v>2180</v>
      </c>
      <c r="G4343" s="4" t="s">
        <v>336</v>
      </c>
      <c r="H4343" s="4" t="s">
        <v>380</v>
      </c>
      <c r="I4343" s="4">
        <v>0.218</v>
      </c>
      <c r="J4343" s="21">
        <v>230</v>
      </c>
      <c r="K4343" s="21">
        <v>50.14</v>
      </c>
      <c r="L4343" s="5">
        <v>0</v>
      </c>
      <c r="M4343" s="4"/>
      <c r="N4343" s="4"/>
      <c r="O4343" s="5"/>
      <c r="P4343" s="5"/>
      <c r="Q4343" s="21">
        <v>0</v>
      </c>
      <c r="R4343" s="21">
        <v>0</v>
      </c>
      <c r="S4343" s="5">
        <f t="shared" si="271"/>
        <v>42040.562997470879</v>
      </c>
      <c r="T4343" cm="1">
        <f t="array" ref="T4343">IF(OR(B4343="MAL ALIMI", B4343="ÜRETİM GİRİŞ"), MIN(I4343, MAX(0, I4343 + SUM(SUMIFS($I$1:I4342, $C$1:C4342, C4343, $B$1:B4342, {"MAL ALIMI","ÜRETİM GİRİŞ"})) - VLOOKUP(C4343, 'STOK RAPORU'!$C$2:$I$1000, 4, 0))), 0)</f>
        <v>0</v>
      </c>
      <c r="U4343" s="22">
        <f t="shared" si="272"/>
        <v>0</v>
      </c>
      <c r="V4343">
        <f t="shared" si="273"/>
        <v>0</v>
      </c>
      <c r="W4343" s="22">
        <f t="shared" si="274"/>
        <v>0</v>
      </c>
    </row>
    <row r="4344" spans="1:23" hidden="1" x14ac:dyDescent="0.25">
      <c r="A4344" s="45">
        <v>46073</v>
      </c>
      <c r="B4344" s="46" t="s">
        <v>334</v>
      </c>
      <c r="C4344" s="4" t="s">
        <v>1501</v>
      </c>
      <c r="D4344" s="4"/>
      <c r="E4344" s="4" t="s">
        <v>921</v>
      </c>
      <c r="F4344" s="46" t="s">
        <v>2180</v>
      </c>
      <c r="G4344" s="4" t="s">
        <v>336</v>
      </c>
      <c r="H4344" s="4" t="s">
        <v>380</v>
      </c>
      <c r="I4344" s="4">
        <v>0.16800000000000001</v>
      </c>
      <c r="J4344" s="21">
        <v>600</v>
      </c>
      <c r="K4344" s="21">
        <v>100.80000000000001</v>
      </c>
      <c r="L4344" s="5">
        <v>0</v>
      </c>
      <c r="M4344" s="4"/>
      <c r="N4344" s="4"/>
      <c r="O4344" s="5"/>
      <c r="P4344" s="5"/>
      <c r="Q4344" s="21">
        <v>0</v>
      </c>
      <c r="R4344" s="21">
        <v>0</v>
      </c>
      <c r="S4344" s="5">
        <f t="shared" si="271"/>
        <v>42040.562997470879</v>
      </c>
      <c r="T4344" cm="1">
        <f t="array" ref="T4344">IF(OR(B4344="MAL ALIMI", B4344="ÜRETİM GİRİŞ"), MIN(I4344, MAX(0, I4344 + SUM(SUMIFS($I$1:I4343, $C$1:C4343, C4344, $B$1:B4343, {"MAL ALIMI","ÜRETİM GİRİŞ"})) - VLOOKUP(C4344, 'STOK RAPORU'!$C$2:$I$1000, 4, 0))), 0)</f>
        <v>0</v>
      </c>
      <c r="U4344" s="22">
        <f t="shared" si="272"/>
        <v>0</v>
      </c>
      <c r="V4344">
        <f t="shared" si="273"/>
        <v>0</v>
      </c>
      <c r="W4344" s="22">
        <f t="shared" si="274"/>
        <v>0</v>
      </c>
    </row>
    <row r="4345" spans="1:23" hidden="1" x14ac:dyDescent="0.25">
      <c r="A4345" s="45">
        <v>46073</v>
      </c>
      <c r="B4345" s="46" t="s">
        <v>334</v>
      </c>
      <c r="C4345" s="4" t="s">
        <v>200</v>
      </c>
      <c r="D4345" s="4"/>
      <c r="E4345" s="4" t="s">
        <v>921</v>
      </c>
      <c r="F4345" s="46" t="s">
        <v>2180</v>
      </c>
      <c r="G4345" s="4" t="s">
        <v>336</v>
      </c>
      <c r="H4345" s="4" t="s">
        <v>380</v>
      </c>
      <c r="I4345" s="4">
        <v>0.25</v>
      </c>
      <c r="J4345" s="21">
        <v>320</v>
      </c>
      <c r="K4345" s="21">
        <v>80</v>
      </c>
      <c r="L4345" s="5">
        <v>0</v>
      </c>
      <c r="M4345" s="4"/>
      <c r="N4345" s="4"/>
      <c r="O4345" s="5"/>
      <c r="P4345" s="5"/>
      <c r="Q4345" s="21">
        <v>0</v>
      </c>
      <c r="R4345" s="21">
        <v>0</v>
      </c>
      <c r="S4345" s="5">
        <f t="shared" si="271"/>
        <v>42040.562997470879</v>
      </c>
      <c r="T4345" cm="1">
        <f t="array" ref="T4345">IF(OR(B4345="MAL ALIMI", B4345="ÜRETİM GİRİŞ"), MIN(I4345, MAX(0, I4345 + SUM(SUMIFS($I$1:I4344, $C$1:C4344, C4345, $B$1:B4344, {"MAL ALIMI","ÜRETİM GİRİŞ"})) - VLOOKUP(C4345, 'STOK RAPORU'!$C$2:$I$1000, 4, 0))), 0)</f>
        <v>0</v>
      </c>
      <c r="U4345" s="22">
        <f t="shared" si="272"/>
        <v>0</v>
      </c>
      <c r="V4345">
        <f t="shared" si="273"/>
        <v>0</v>
      </c>
      <c r="W4345" s="22">
        <f t="shared" si="274"/>
        <v>0</v>
      </c>
    </row>
    <row r="4346" spans="1:23" hidden="1" x14ac:dyDescent="0.25">
      <c r="A4346" s="45">
        <v>46073</v>
      </c>
      <c r="B4346" s="46" t="s">
        <v>334</v>
      </c>
      <c r="C4346" s="4" t="s">
        <v>265</v>
      </c>
      <c r="D4346" s="4"/>
      <c r="E4346" s="4"/>
      <c r="F4346" s="46" t="s">
        <v>2181</v>
      </c>
      <c r="G4346" s="4" t="s">
        <v>336</v>
      </c>
      <c r="H4346" s="4" t="s">
        <v>289</v>
      </c>
      <c r="I4346" s="4">
        <v>1</v>
      </c>
      <c r="J4346" s="21">
        <v>130</v>
      </c>
      <c r="K4346" s="21">
        <v>0</v>
      </c>
      <c r="L4346" s="5">
        <v>0</v>
      </c>
      <c r="M4346" s="4"/>
      <c r="N4346" s="4"/>
      <c r="O4346" s="5"/>
      <c r="P4346" s="5"/>
      <c r="Q4346" s="21">
        <v>130</v>
      </c>
      <c r="R4346" s="21">
        <v>0</v>
      </c>
      <c r="S4346" s="5">
        <f t="shared" si="271"/>
        <v>42170.562997470879</v>
      </c>
      <c r="T4346" cm="1">
        <f t="array" ref="T4346">IF(OR(B4346="MAL ALIMI", B4346="ÜRETİM GİRİŞ"), MIN(I4346, MAX(0, I4346 + SUM(SUMIFS($I$1:I4345, $C$1:C4345, C4346, $B$1:B4345, {"MAL ALIMI","ÜRETİM GİRİŞ"})) - VLOOKUP(C4346, 'STOK RAPORU'!$C$2:$I$1000, 4, 0))), 0)</f>
        <v>0</v>
      </c>
      <c r="U4346" s="22">
        <f t="shared" si="272"/>
        <v>0</v>
      </c>
      <c r="V4346">
        <f t="shared" si="273"/>
        <v>0</v>
      </c>
      <c r="W4346" s="22">
        <f t="shared" si="274"/>
        <v>0</v>
      </c>
    </row>
    <row r="4347" spans="1:23" hidden="1" x14ac:dyDescent="0.25">
      <c r="A4347" s="45">
        <v>46073</v>
      </c>
      <c r="B4347" s="46" t="s">
        <v>334</v>
      </c>
      <c r="C4347" s="4" t="s">
        <v>254</v>
      </c>
      <c r="D4347" s="4"/>
      <c r="E4347" s="4"/>
      <c r="F4347" s="46" t="s">
        <v>2182</v>
      </c>
      <c r="G4347" s="4" t="s">
        <v>336</v>
      </c>
      <c r="H4347" s="4" t="s">
        <v>289</v>
      </c>
      <c r="I4347" s="4">
        <v>0.218</v>
      </c>
      <c r="J4347" s="21">
        <v>230</v>
      </c>
      <c r="K4347" s="21">
        <v>0</v>
      </c>
      <c r="L4347" s="5">
        <v>0</v>
      </c>
      <c r="M4347" s="4"/>
      <c r="N4347" s="4"/>
      <c r="O4347" s="5"/>
      <c r="P4347" s="5"/>
      <c r="Q4347" s="21">
        <v>50.14</v>
      </c>
      <c r="R4347" s="21">
        <v>0</v>
      </c>
      <c r="S4347" s="5">
        <f t="shared" si="271"/>
        <v>42220.702997470878</v>
      </c>
      <c r="T4347" cm="1">
        <f t="array" ref="T4347">IF(OR(B4347="MAL ALIMI", B4347="ÜRETİM GİRİŞ"), MIN(I4347, MAX(0, I4347 + SUM(SUMIFS($I$1:I4346, $C$1:C4346, C4347, $B$1:B4346, {"MAL ALIMI","ÜRETİM GİRİŞ"})) - VLOOKUP(C4347, 'STOK RAPORU'!$C$2:$I$1000, 4, 0))), 0)</f>
        <v>0</v>
      </c>
      <c r="U4347" s="22">
        <f t="shared" si="272"/>
        <v>0</v>
      </c>
      <c r="V4347">
        <f t="shared" si="273"/>
        <v>0</v>
      </c>
      <c r="W4347" s="22">
        <f t="shared" si="274"/>
        <v>0</v>
      </c>
    </row>
    <row r="4348" spans="1:23" hidden="1" x14ac:dyDescent="0.25">
      <c r="A4348" s="45">
        <v>46073</v>
      </c>
      <c r="B4348" s="46" t="s">
        <v>334</v>
      </c>
      <c r="C4348" s="46" t="s">
        <v>585</v>
      </c>
      <c r="D4348" s="4"/>
      <c r="E4348" s="4"/>
      <c r="F4348" s="46" t="s">
        <v>2183</v>
      </c>
      <c r="G4348" s="4" t="s">
        <v>336</v>
      </c>
      <c r="H4348" s="4" t="s">
        <v>289</v>
      </c>
      <c r="I4348" s="4">
        <v>0.5</v>
      </c>
      <c r="J4348" s="21">
        <v>200</v>
      </c>
      <c r="K4348" s="21">
        <v>0</v>
      </c>
      <c r="L4348" s="5">
        <v>0</v>
      </c>
      <c r="M4348" s="4"/>
      <c r="N4348" s="4"/>
      <c r="O4348" s="5"/>
      <c r="P4348" s="5"/>
      <c r="Q4348" s="21">
        <v>100</v>
      </c>
      <c r="R4348" s="21">
        <v>0</v>
      </c>
      <c r="S4348" s="5">
        <f t="shared" si="271"/>
        <v>42320.702997470878</v>
      </c>
      <c r="T4348" cm="1">
        <f t="array" ref="T4348">IF(OR(B4348="MAL ALIMI", B4348="ÜRETİM GİRİŞ"), MIN(I4348, MAX(0, I4348 + SUM(SUMIFS($I$1:I4347, $C$1:C4347, C4348, $B$1:B4347, {"MAL ALIMI","ÜRETİM GİRİŞ"})) - VLOOKUP(C4348, 'STOK RAPORU'!$C$2:$I$1000, 4, 0))), 0)</f>
        <v>0</v>
      </c>
      <c r="U4348" s="22">
        <f t="shared" si="272"/>
        <v>0</v>
      </c>
      <c r="V4348">
        <f t="shared" si="273"/>
        <v>0</v>
      </c>
      <c r="W4348" s="22">
        <f t="shared" si="274"/>
        <v>0</v>
      </c>
    </row>
    <row r="4349" spans="1:23" hidden="1" x14ac:dyDescent="0.25">
      <c r="A4349" s="45">
        <v>46073</v>
      </c>
      <c r="B4349" s="46" t="s">
        <v>334</v>
      </c>
      <c r="C4349" s="4" t="s">
        <v>586</v>
      </c>
      <c r="D4349" s="4"/>
      <c r="E4349" s="4"/>
      <c r="F4349" s="46" t="s">
        <v>2183</v>
      </c>
      <c r="G4349" s="4" t="s">
        <v>336</v>
      </c>
      <c r="H4349" s="4" t="s">
        <v>289</v>
      </c>
      <c r="I4349" s="4">
        <v>0.5</v>
      </c>
      <c r="J4349" s="21">
        <v>200</v>
      </c>
      <c r="K4349" s="21">
        <v>0</v>
      </c>
      <c r="L4349" s="5">
        <v>0</v>
      </c>
      <c r="M4349" s="4"/>
      <c r="N4349" s="4"/>
      <c r="O4349" s="5"/>
      <c r="P4349" s="5"/>
      <c r="Q4349" s="21">
        <v>100</v>
      </c>
      <c r="R4349" s="21">
        <v>0</v>
      </c>
      <c r="S4349" s="5">
        <f t="shared" si="271"/>
        <v>42420.702997470878</v>
      </c>
      <c r="T4349" cm="1">
        <f t="array" ref="T4349">IF(OR(B4349="MAL ALIMI", B4349="ÜRETİM GİRİŞ"), MIN(I4349, MAX(0, I4349 + SUM(SUMIFS($I$1:I4348, $C$1:C4348, C4349, $B$1:B4348, {"MAL ALIMI","ÜRETİM GİRİŞ"})) - VLOOKUP(C4349, 'STOK RAPORU'!$C$2:$I$1000, 4, 0))), 0)</f>
        <v>0</v>
      </c>
      <c r="U4349" s="22">
        <f t="shared" si="272"/>
        <v>0</v>
      </c>
      <c r="V4349">
        <f t="shared" si="273"/>
        <v>0</v>
      </c>
      <c r="W4349" s="22">
        <f t="shared" si="274"/>
        <v>0</v>
      </c>
    </row>
    <row r="4350" spans="1:23" hidden="1" x14ac:dyDescent="0.25">
      <c r="A4350" s="45">
        <v>46073</v>
      </c>
      <c r="B4350" s="46" t="s">
        <v>334</v>
      </c>
      <c r="C4350" s="4" t="s">
        <v>203</v>
      </c>
      <c r="D4350" s="4"/>
      <c r="E4350" s="4"/>
      <c r="F4350" s="46" t="s">
        <v>2184</v>
      </c>
      <c r="G4350" s="4" t="s">
        <v>336</v>
      </c>
      <c r="H4350" s="4" t="s">
        <v>289</v>
      </c>
      <c r="I4350" s="4">
        <v>0.5</v>
      </c>
      <c r="J4350" s="21">
        <v>80</v>
      </c>
      <c r="K4350" s="21">
        <v>0</v>
      </c>
      <c r="L4350" s="5">
        <v>0</v>
      </c>
      <c r="M4350" s="4"/>
      <c r="N4350" s="4"/>
      <c r="O4350" s="5"/>
      <c r="P4350" s="5"/>
      <c r="Q4350" s="21">
        <v>40</v>
      </c>
      <c r="R4350" s="21">
        <v>0</v>
      </c>
      <c r="S4350" s="5">
        <f t="shared" si="271"/>
        <v>42460.702997470878</v>
      </c>
      <c r="T4350" cm="1">
        <f t="array" ref="T4350">IF(OR(B4350="MAL ALIMI", B4350="ÜRETİM GİRİŞ"), MIN(I4350, MAX(0, I4350 + SUM(SUMIFS($I$1:I4349, $C$1:C4349, C4350, $B$1:B4349, {"MAL ALIMI","ÜRETİM GİRİŞ"})) - VLOOKUP(C4350, 'STOK RAPORU'!$C$2:$I$1000, 4, 0))), 0)</f>
        <v>0</v>
      </c>
      <c r="U4350" s="22">
        <f t="shared" si="272"/>
        <v>0</v>
      </c>
      <c r="V4350">
        <f t="shared" si="273"/>
        <v>0</v>
      </c>
      <c r="W4350" s="22">
        <f t="shared" si="274"/>
        <v>0</v>
      </c>
    </row>
    <row r="4351" spans="1:23" hidden="1" x14ac:dyDescent="0.25">
      <c r="A4351" s="45">
        <v>46073</v>
      </c>
      <c r="B4351" s="46" t="s">
        <v>334</v>
      </c>
      <c r="C4351" s="4" t="s">
        <v>266</v>
      </c>
      <c r="D4351" s="4"/>
      <c r="E4351" s="4" t="s">
        <v>921</v>
      </c>
      <c r="F4351" s="46" t="s">
        <v>2185</v>
      </c>
      <c r="G4351" s="4" t="s">
        <v>336</v>
      </c>
      <c r="H4351" s="4" t="s">
        <v>380</v>
      </c>
      <c r="I4351" s="4">
        <v>0.2</v>
      </c>
      <c r="J4351" s="21">
        <v>250</v>
      </c>
      <c r="K4351" s="21">
        <v>50</v>
      </c>
      <c r="L4351" s="5">
        <v>0</v>
      </c>
      <c r="M4351" s="4"/>
      <c r="N4351" s="4"/>
      <c r="O4351" s="5"/>
      <c r="P4351" s="5"/>
      <c r="Q4351" s="21">
        <v>0</v>
      </c>
      <c r="R4351" s="21">
        <v>0</v>
      </c>
      <c r="S4351" s="5">
        <f t="shared" si="271"/>
        <v>42460.702997470878</v>
      </c>
      <c r="T4351" cm="1">
        <f t="array" ref="T4351">IF(OR(B4351="MAL ALIMI", B4351="ÜRETİM GİRİŞ"), MIN(I4351, MAX(0, I4351 + SUM(SUMIFS($I$1:I4350, $C$1:C4350, C4351, $B$1:B4350, {"MAL ALIMI","ÜRETİM GİRİŞ"})) - VLOOKUP(C4351, 'STOK RAPORU'!$C$2:$I$1000, 4, 0))), 0)</f>
        <v>0</v>
      </c>
      <c r="U4351" s="22">
        <f t="shared" si="272"/>
        <v>0</v>
      </c>
      <c r="V4351">
        <f t="shared" si="273"/>
        <v>0</v>
      </c>
      <c r="W4351" s="22">
        <f t="shared" si="274"/>
        <v>0</v>
      </c>
    </row>
    <row r="4352" spans="1:23" hidden="1" x14ac:dyDescent="0.25">
      <c r="A4352" s="45">
        <v>46073</v>
      </c>
      <c r="B4352" s="46" t="s">
        <v>334</v>
      </c>
      <c r="C4352" s="4" t="s">
        <v>728</v>
      </c>
      <c r="D4352" s="4"/>
      <c r="E4352" s="4" t="s">
        <v>921</v>
      </c>
      <c r="F4352" s="46" t="s">
        <v>2185</v>
      </c>
      <c r="G4352" s="4" t="s">
        <v>336</v>
      </c>
      <c r="H4352" s="4" t="s">
        <v>380</v>
      </c>
      <c r="I4352" s="4">
        <v>0.24637681159420291</v>
      </c>
      <c r="J4352" s="21">
        <v>690</v>
      </c>
      <c r="K4352" s="21">
        <v>170</v>
      </c>
      <c r="L4352" s="5">
        <v>0</v>
      </c>
      <c r="M4352" s="4"/>
      <c r="N4352" s="4"/>
      <c r="O4352" s="5"/>
      <c r="P4352" s="5"/>
      <c r="Q4352" s="21">
        <v>0</v>
      </c>
      <c r="R4352" s="21">
        <v>0</v>
      </c>
      <c r="S4352" s="5">
        <f t="shared" si="271"/>
        <v>42460.702997470878</v>
      </c>
      <c r="T4352" cm="1">
        <f t="array" ref="T4352">IF(OR(B4352="MAL ALIMI", B4352="ÜRETİM GİRİŞ"), MIN(I4352, MAX(0, I4352 + SUM(SUMIFS($I$1:I4351, $C$1:C4351, C4352, $B$1:B4351, {"MAL ALIMI","ÜRETİM GİRİŞ"})) - VLOOKUP(C4352, 'STOK RAPORU'!$C$2:$I$1000, 4, 0))), 0)</f>
        <v>0</v>
      </c>
      <c r="U4352" s="22">
        <f t="shared" si="272"/>
        <v>0</v>
      </c>
      <c r="V4352">
        <f t="shared" si="273"/>
        <v>0</v>
      </c>
      <c r="W4352" s="22">
        <f t="shared" si="274"/>
        <v>0</v>
      </c>
    </row>
    <row r="4353" spans="1:23" hidden="1" x14ac:dyDescent="0.25">
      <c r="A4353" s="45">
        <v>46073</v>
      </c>
      <c r="B4353" s="46" t="s">
        <v>334</v>
      </c>
      <c r="C4353" s="4" t="s">
        <v>241</v>
      </c>
      <c r="D4353" s="4"/>
      <c r="E4353" s="4" t="s">
        <v>921</v>
      </c>
      <c r="F4353" s="46" t="s">
        <v>2186</v>
      </c>
      <c r="G4353" s="4" t="s">
        <v>336</v>
      </c>
      <c r="H4353" s="4" t="s">
        <v>380</v>
      </c>
      <c r="I4353" s="4">
        <v>0.56000000000000005</v>
      </c>
      <c r="J4353" s="21">
        <v>430</v>
      </c>
      <c r="K4353" s="21">
        <v>240.8</v>
      </c>
      <c r="L4353" s="5">
        <v>0</v>
      </c>
      <c r="M4353" s="4"/>
      <c r="N4353" s="4"/>
      <c r="O4353" s="5"/>
      <c r="P4353" s="5"/>
      <c r="Q4353" s="21">
        <v>0</v>
      </c>
      <c r="R4353" s="21">
        <v>0</v>
      </c>
      <c r="S4353" s="5">
        <f t="shared" si="271"/>
        <v>42460.702997470878</v>
      </c>
      <c r="T4353" cm="1">
        <f t="array" ref="T4353">IF(OR(B4353="MAL ALIMI", B4353="ÜRETİM GİRİŞ"), MIN(I4353, MAX(0, I4353 + SUM(SUMIFS($I$1:I4352, $C$1:C4352, C4353, $B$1:B4352, {"MAL ALIMI","ÜRETİM GİRİŞ"})) - VLOOKUP(C4353, 'STOK RAPORU'!$C$2:$I$1000, 4, 0))), 0)</f>
        <v>0</v>
      </c>
      <c r="U4353" s="22">
        <f t="shared" si="272"/>
        <v>0</v>
      </c>
      <c r="V4353">
        <f t="shared" si="273"/>
        <v>0</v>
      </c>
      <c r="W4353" s="22">
        <f t="shared" si="274"/>
        <v>0</v>
      </c>
    </row>
    <row r="4354" spans="1:23" hidden="1" x14ac:dyDescent="0.25">
      <c r="A4354" s="45">
        <v>46073</v>
      </c>
      <c r="B4354" s="46" t="s">
        <v>334</v>
      </c>
      <c r="C4354" s="4" t="s">
        <v>197</v>
      </c>
      <c r="D4354" s="4"/>
      <c r="E4354" s="4" t="s">
        <v>921</v>
      </c>
      <c r="F4354" s="46" t="s">
        <v>2186</v>
      </c>
      <c r="G4354" s="4" t="s">
        <v>336</v>
      </c>
      <c r="H4354" s="4" t="s">
        <v>380</v>
      </c>
      <c r="I4354" s="4">
        <v>0.52200000000000002</v>
      </c>
      <c r="J4354" s="21">
        <v>230</v>
      </c>
      <c r="K4354" s="21">
        <v>120.06</v>
      </c>
      <c r="L4354" s="5">
        <v>0</v>
      </c>
      <c r="M4354" s="4"/>
      <c r="N4354" s="4"/>
      <c r="O4354" s="5"/>
      <c r="P4354" s="5"/>
      <c r="Q4354" s="21">
        <v>0</v>
      </c>
      <c r="R4354" s="21">
        <v>0</v>
      </c>
      <c r="S4354" s="5">
        <f t="shared" si="271"/>
        <v>42460.702997470878</v>
      </c>
      <c r="T4354" cm="1">
        <f t="array" ref="T4354">IF(OR(B4354="MAL ALIMI", B4354="ÜRETİM GİRİŞ"), MIN(I4354, MAX(0, I4354 + SUM(SUMIFS($I$1:I4353, $C$1:C4353, C4354, $B$1:B4353, {"MAL ALIMI","ÜRETİM GİRİŞ"})) - VLOOKUP(C4354, 'STOK RAPORU'!$C$2:$I$1000, 4, 0))), 0)</f>
        <v>0</v>
      </c>
      <c r="U4354" s="22">
        <f t="shared" si="272"/>
        <v>0</v>
      </c>
      <c r="V4354">
        <f t="shared" si="273"/>
        <v>0</v>
      </c>
      <c r="W4354" s="22">
        <f t="shared" si="274"/>
        <v>0</v>
      </c>
    </row>
    <row r="4355" spans="1:23" hidden="1" x14ac:dyDescent="0.25">
      <c r="A4355" s="45">
        <v>46073</v>
      </c>
      <c r="B4355" s="46" t="s">
        <v>334</v>
      </c>
      <c r="C4355" s="4" t="s">
        <v>634</v>
      </c>
      <c r="D4355" s="4"/>
      <c r="E4355" s="4" t="s">
        <v>921</v>
      </c>
      <c r="F4355" s="46" t="s">
        <v>2187</v>
      </c>
      <c r="G4355" s="4" t="s">
        <v>336</v>
      </c>
      <c r="H4355" s="4" t="s">
        <v>380</v>
      </c>
      <c r="I4355" s="4">
        <v>0.94199999999999995</v>
      </c>
      <c r="J4355" s="21">
        <v>850</v>
      </c>
      <c r="K4355" s="21">
        <v>800.69999999999993</v>
      </c>
      <c r="L4355" s="5">
        <v>0</v>
      </c>
      <c r="M4355" s="4"/>
      <c r="N4355" s="4"/>
      <c r="O4355" s="5"/>
      <c r="P4355" s="5"/>
      <c r="Q4355" s="21">
        <v>0</v>
      </c>
      <c r="R4355" s="21">
        <v>0</v>
      </c>
      <c r="S4355" s="5">
        <f t="shared" si="271"/>
        <v>42460.702997470878</v>
      </c>
      <c r="T4355" cm="1">
        <f t="array" ref="T4355">IF(OR(B4355="MAL ALIMI", B4355="ÜRETİM GİRİŞ"), MIN(I4355, MAX(0, I4355 + SUM(SUMIFS($I$1:I4354, $C$1:C4354, C4355, $B$1:B4354, {"MAL ALIMI","ÜRETİM GİRİŞ"})) - VLOOKUP(C4355, 'STOK RAPORU'!$C$2:$I$1000, 4, 0))), 0)</f>
        <v>0</v>
      </c>
      <c r="U4355" s="22">
        <f t="shared" si="272"/>
        <v>0</v>
      </c>
      <c r="V4355">
        <f t="shared" si="273"/>
        <v>0</v>
      </c>
      <c r="W4355" s="22">
        <f t="shared" si="274"/>
        <v>0</v>
      </c>
    </row>
    <row r="4356" spans="1:23" hidden="1" x14ac:dyDescent="0.25">
      <c r="A4356" s="45">
        <v>46073</v>
      </c>
      <c r="B4356" s="46" t="s">
        <v>334</v>
      </c>
      <c r="C4356" s="4" t="s">
        <v>246</v>
      </c>
      <c r="D4356" s="4"/>
      <c r="E4356" s="4" t="s">
        <v>921</v>
      </c>
      <c r="F4356" s="46" t="s">
        <v>2187</v>
      </c>
      <c r="G4356" s="4" t="s">
        <v>336</v>
      </c>
      <c r="H4356" s="4" t="s">
        <v>380</v>
      </c>
      <c r="I4356" s="4">
        <v>0.1</v>
      </c>
      <c r="J4356" s="21">
        <v>1000</v>
      </c>
      <c r="K4356" s="21">
        <v>100</v>
      </c>
      <c r="L4356" s="5">
        <v>0</v>
      </c>
      <c r="M4356" s="4"/>
      <c r="N4356" s="4"/>
      <c r="O4356" s="5"/>
      <c r="P4356" s="5"/>
      <c r="Q4356" s="21">
        <v>0</v>
      </c>
      <c r="R4356" s="21">
        <v>0</v>
      </c>
      <c r="S4356" s="5">
        <f t="shared" ref="S4356:S4419" si="275">S4355+Q4356-R4356</f>
        <v>42460.702997470878</v>
      </c>
      <c r="T4356" cm="1">
        <f t="array" ref="T4356">IF(OR(B4356="MAL ALIMI", B4356="ÜRETİM GİRİŞ"), MIN(I4356, MAX(0, I4356 + SUM(SUMIFS($I$1:I4355, $C$1:C4355, C4356, $B$1:B4355, {"MAL ALIMI","ÜRETİM GİRİŞ"})) - VLOOKUP(C4356, 'STOK RAPORU'!$C$2:$I$1000, 4, 0))), 0)</f>
        <v>0</v>
      </c>
      <c r="U4356" s="22">
        <f t="shared" si="272"/>
        <v>0</v>
      </c>
      <c r="V4356">
        <f t="shared" si="273"/>
        <v>0</v>
      </c>
      <c r="W4356" s="22">
        <f t="shared" si="274"/>
        <v>0</v>
      </c>
    </row>
    <row r="4357" spans="1:23" hidden="1" x14ac:dyDescent="0.25">
      <c r="A4357" s="45">
        <v>46073</v>
      </c>
      <c r="B4357" s="46" t="s">
        <v>334</v>
      </c>
      <c r="C4357" s="4" t="s">
        <v>2124</v>
      </c>
      <c r="D4357" s="4"/>
      <c r="E4357" s="4" t="s">
        <v>921</v>
      </c>
      <c r="F4357" s="46" t="s">
        <v>2187</v>
      </c>
      <c r="G4357" s="4" t="s">
        <v>336</v>
      </c>
      <c r="H4357" s="4" t="s">
        <v>380</v>
      </c>
      <c r="I4357" s="4">
        <v>1</v>
      </c>
      <c r="J4357" s="21">
        <v>550</v>
      </c>
      <c r="K4357" s="21">
        <v>550</v>
      </c>
      <c r="L4357" s="5">
        <v>0</v>
      </c>
      <c r="M4357" s="4"/>
      <c r="N4357" s="4"/>
      <c r="O4357" s="5"/>
      <c r="P4357" s="5"/>
      <c r="Q4357" s="21">
        <v>0</v>
      </c>
      <c r="R4357" s="21">
        <v>0</v>
      </c>
      <c r="S4357" s="5">
        <f t="shared" si="275"/>
        <v>42460.702997470878</v>
      </c>
      <c r="T4357" cm="1">
        <f t="array" ref="T4357">IF(OR(B4357="MAL ALIMI", B4357="ÜRETİM GİRİŞ"), MIN(I4357, MAX(0, I4357 + SUM(SUMIFS($I$1:I4356, $C$1:C4356, C4357, $B$1:B4356, {"MAL ALIMI","ÜRETİM GİRİŞ"})) - VLOOKUP(C4357, 'STOK RAPORU'!$C$2:$I$1000, 4, 0))), 0)</f>
        <v>0</v>
      </c>
      <c r="U4357" s="22">
        <f t="shared" si="272"/>
        <v>0</v>
      </c>
      <c r="V4357">
        <f t="shared" si="273"/>
        <v>0</v>
      </c>
      <c r="W4357" s="22">
        <f t="shared" si="274"/>
        <v>0</v>
      </c>
    </row>
    <row r="4358" spans="1:23" hidden="1" x14ac:dyDescent="0.25">
      <c r="A4358" s="45">
        <v>46073</v>
      </c>
      <c r="B4358" s="46" t="s">
        <v>334</v>
      </c>
      <c r="C4358" s="4" t="s">
        <v>160</v>
      </c>
      <c r="D4358" s="4"/>
      <c r="E4358" s="4" t="s">
        <v>921</v>
      </c>
      <c r="F4358" s="46" t="s">
        <v>2188</v>
      </c>
      <c r="G4358" s="4" t="s">
        <v>336</v>
      </c>
      <c r="H4358" s="4" t="s">
        <v>380</v>
      </c>
      <c r="I4358" s="4">
        <v>1</v>
      </c>
      <c r="J4358" s="21">
        <v>250</v>
      </c>
      <c r="K4358" s="21">
        <v>250</v>
      </c>
      <c r="L4358" s="5">
        <v>0</v>
      </c>
      <c r="M4358" s="4"/>
      <c r="N4358" s="4"/>
      <c r="O4358" s="5"/>
      <c r="P4358" s="5"/>
      <c r="Q4358" s="21">
        <v>0</v>
      </c>
      <c r="R4358" s="21">
        <v>0</v>
      </c>
      <c r="S4358" s="5">
        <f t="shared" si="275"/>
        <v>42460.702997470878</v>
      </c>
      <c r="T4358" cm="1">
        <f t="array" ref="T4358">IF(OR(B4358="MAL ALIMI", B4358="ÜRETİM GİRİŞ"), MIN(I4358, MAX(0, I4358 + SUM(SUMIFS($I$1:I4357, $C$1:C4357, C4358, $B$1:B4357, {"MAL ALIMI","ÜRETİM GİRİŞ"})) - VLOOKUP(C4358, 'STOK RAPORU'!$C$2:$I$1000, 4, 0))), 0)</f>
        <v>0</v>
      </c>
      <c r="U4358" s="22">
        <f t="shared" si="272"/>
        <v>0</v>
      </c>
      <c r="V4358">
        <f t="shared" si="273"/>
        <v>0</v>
      </c>
      <c r="W4358" s="22">
        <f t="shared" si="274"/>
        <v>0</v>
      </c>
    </row>
    <row r="4359" spans="1:23" hidden="1" x14ac:dyDescent="0.25">
      <c r="A4359" s="45">
        <v>46073</v>
      </c>
      <c r="B4359" s="46" t="s">
        <v>334</v>
      </c>
      <c r="C4359" s="4" t="s">
        <v>133</v>
      </c>
      <c r="D4359" s="4"/>
      <c r="E4359" s="4" t="s">
        <v>921</v>
      </c>
      <c r="F4359" s="46" t="s">
        <v>2189</v>
      </c>
      <c r="G4359" s="4" t="s">
        <v>439</v>
      </c>
      <c r="H4359" s="4" t="s">
        <v>380</v>
      </c>
      <c r="I4359" s="4">
        <v>1</v>
      </c>
      <c r="J4359" s="21">
        <v>235</v>
      </c>
      <c r="K4359" s="21">
        <v>235</v>
      </c>
      <c r="L4359" s="5">
        <v>0</v>
      </c>
      <c r="M4359" s="4"/>
      <c r="N4359" s="4"/>
      <c r="O4359" s="5"/>
      <c r="P4359" s="5"/>
      <c r="Q4359" s="21">
        <v>0</v>
      </c>
      <c r="R4359" s="21">
        <v>0</v>
      </c>
      <c r="S4359" s="5">
        <f t="shared" si="275"/>
        <v>42460.702997470878</v>
      </c>
      <c r="T4359" cm="1">
        <f t="array" ref="T4359">IF(OR(B4359="MAL ALIMI", B4359="ÜRETİM GİRİŞ"), MIN(I4359, MAX(0, I4359 + SUM(SUMIFS($I$1:I4358, $C$1:C4358, C4359, $B$1:B4358, {"MAL ALIMI","ÜRETİM GİRİŞ"})) - VLOOKUP(C4359, 'STOK RAPORU'!$C$2:$I$1000, 4, 0))), 0)</f>
        <v>0</v>
      </c>
      <c r="U4359" s="22">
        <f t="shared" si="272"/>
        <v>0</v>
      </c>
      <c r="V4359">
        <f t="shared" si="273"/>
        <v>0</v>
      </c>
      <c r="W4359" s="22">
        <f t="shared" si="274"/>
        <v>0</v>
      </c>
    </row>
    <row r="4360" spans="1:23" hidden="1" x14ac:dyDescent="0.25">
      <c r="A4360" s="45">
        <v>46073</v>
      </c>
      <c r="B4360" s="46" t="s">
        <v>334</v>
      </c>
      <c r="C4360" s="4" t="s">
        <v>463</v>
      </c>
      <c r="D4360" s="4"/>
      <c r="E4360" s="4" t="s">
        <v>921</v>
      </c>
      <c r="F4360" s="46" t="s">
        <v>2189</v>
      </c>
      <c r="G4360" s="4" t="s">
        <v>439</v>
      </c>
      <c r="H4360" s="4" t="s">
        <v>380</v>
      </c>
      <c r="I4360" s="4">
        <v>2</v>
      </c>
      <c r="J4360" s="21">
        <v>240</v>
      </c>
      <c r="K4360" s="21">
        <v>480</v>
      </c>
      <c r="L4360" s="5">
        <v>0</v>
      </c>
      <c r="M4360" s="4"/>
      <c r="N4360" s="4"/>
      <c r="O4360" s="5"/>
      <c r="P4360" s="5"/>
      <c r="Q4360" s="21">
        <v>0</v>
      </c>
      <c r="R4360" s="21">
        <v>0</v>
      </c>
      <c r="S4360" s="5">
        <f t="shared" si="275"/>
        <v>42460.702997470878</v>
      </c>
      <c r="T4360" cm="1">
        <f t="array" ref="T4360">IF(OR(B4360="MAL ALIMI", B4360="ÜRETİM GİRİŞ"), MIN(I4360, MAX(0, I4360 + SUM(SUMIFS($I$1:I4359, $C$1:C4359, C4360, $B$1:B4359, {"MAL ALIMI","ÜRETİM GİRİŞ"})) - VLOOKUP(C4360, 'STOK RAPORU'!$C$2:$I$1000, 4, 0))), 0)</f>
        <v>0</v>
      </c>
      <c r="U4360" s="22">
        <f t="shared" si="272"/>
        <v>0</v>
      </c>
      <c r="V4360">
        <f t="shared" si="273"/>
        <v>0</v>
      </c>
      <c r="W4360" s="22">
        <f t="shared" si="274"/>
        <v>0</v>
      </c>
    </row>
    <row r="4361" spans="1:23" hidden="1" x14ac:dyDescent="0.25">
      <c r="A4361" s="45">
        <v>46073</v>
      </c>
      <c r="B4361" s="46" t="s">
        <v>334</v>
      </c>
      <c r="C4361" s="4" t="s">
        <v>2117</v>
      </c>
      <c r="D4361" s="4"/>
      <c r="E4361" s="4"/>
      <c r="F4361" s="46" t="s">
        <v>2190</v>
      </c>
      <c r="G4361" s="4" t="s">
        <v>336</v>
      </c>
      <c r="H4361" s="4" t="s">
        <v>289</v>
      </c>
      <c r="I4361" s="4">
        <v>1</v>
      </c>
      <c r="J4361" s="21">
        <v>30</v>
      </c>
      <c r="K4361" s="21">
        <v>0</v>
      </c>
      <c r="L4361" s="5">
        <v>0</v>
      </c>
      <c r="M4361" s="4"/>
      <c r="N4361" s="4"/>
      <c r="O4361" s="5"/>
      <c r="P4361" s="5"/>
      <c r="Q4361" s="21">
        <v>30</v>
      </c>
      <c r="R4361" s="21">
        <v>0</v>
      </c>
      <c r="S4361" s="5">
        <f t="shared" si="275"/>
        <v>42490.702997470878</v>
      </c>
      <c r="T4361" cm="1">
        <f t="array" ref="T4361">IF(OR(B4361="MAL ALIMI", B4361="ÜRETİM GİRİŞ"), MIN(I4361, MAX(0, I4361 + SUM(SUMIFS($I$1:I4360, $C$1:C4360, C4361, $B$1:B4360, {"MAL ALIMI","ÜRETİM GİRİŞ"})) - VLOOKUP(C4361, 'STOK RAPORU'!$C$2:$I$1000, 4, 0))), 0)</f>
        <v>0</v>
      </c>
      <c r="U4361" s="22">
        <f t="shared" si="272"/>
        <v>0</v>
      </c>
      <c r="V4361">
        <f t="shared" si="273"/>
        <v>0</v>
      </c>
      <c r="W4361" s="22">
        <f t="shared" si="274"/>
        <v>0</v>
      </c>
    </row>
    <row r="4362" spans="1:23" hidden="1" x14ac:dyDescent="0.25">
      <c r="A4362" s="45">
        <v>46073</v>
      </c>
      <c r="B4362" s="46" t="s">
        <v>334</v>
      </c>
      <c r="C4362" s="4" t="s">
        <v>911</v>
      </c>
      <c r="D4362" s="4"/>
      <c r="E4362" s="4"/>
      <c r="F4362" s="46" t="s">
        <v>2190</v>
      </c>
      <c r="G4362" s="4" t="s">
        <v>336</v>
      </c>
      <c r="H4362" s="4" t="s">
        <v>289</v>
      </c>
      <c r="I4362" s="4">
        <v>1</v>
      </c>
      <c r="J4362" s="21">
        <v>100</v>
      </c>
      <c r="K4362" s="21">
        <v>0</v>
      </c>
      <c r="L4362" s="5">
        <v>0</v>
      </c>
      <c r="M4362" s="4"/>
      <c r="N4362" s="4"/>
      <c r="O4362" s="5"/>
      <c r="P4362" s="5"/>
      <c r="Q4362" s="21">
        <v>100</v>
      </c>
      <c r="R4362" s="21">
        <v>0</v>
      </c>
      <c r="S4362" s="5">
        <f t="shared" si="275"/>
        <v>42590.702997470878</v>
      </c>
      <c r="T4362" cm="1">
        <f t="array" ref="T4362">IF(OR(B4362="MAL ALIMI", B4362="ÜRETİM GİRİŞ"), MIN(I4362, MAX(0, I4362 + SUM(SUMIFS($I$1:I4361, $C$1:C4361, C4362, $B$1:B4361, {"MAL ALIMI","ÜRETİM GİRİŞ"})) - VLOOKUP(C4362, 'STOK RAPORU'!$C$2:$I$1000, 4, 0))), 0)</f>
        <v>0</v>
      </c>
      <c r="U4362" s="22">
        <f t="shared" si="272"/>
        <v>0</v>
      </c>
      <c r="V4362">
        <f t="shared" si="273"/>
        <v>0</v>
      </c>
      <c r="W4362" s="22">
        <f t="shared" si="274"/>
        <v>0</v>
      </c>
    </row>
    <row r="4363" spans="1:23" hidden="1" x14ac:dyDescent="0.25">
      <c r="A4363" s="45">
        <v>46073</v>
      </c>
      <c r="B4363" s="46" t="s">
        <v>334</v>
      </c>
      <c r="C4363" s="4" t="s">
        <v>91</v>
      </c>
      <c r="D4363" s="4"/>
      <c r="E4363" s="4"/>
      <c r="F4363" s="46" t="s">
        <v>2190</v>
      </c>
      <c r="G4363" s="4" t="s">
        <v>336</v>
      </c>
      <c r="H4363" s="4" t="s">
        <v>289</v>
      </c>
      <c r="I4363" s="4">
        <v>2.8000000000000001E-2</v>
      </c>
      <c r="J4363" s="21">
        <v>650</v>
      </c>
      <c r="K4363" s="21">
        <v>0</v>
      </c>
      <c r="L4363" s="5">
        <v>0</v>
      </c>
      <c r="M4363" s="4"/>
      <c r="N4363" s="4"/>
      <c r="O4363" s="5"/>
      <c r="P4363" s="5"/>
      <c r="Q4363" s="21">
        <v>18.2</v>
      </c>
      <c r="R4363" s="21">
        <v>0</v>
      </c>
      <c r="S4363" s="5">
        <f t="shared" si="275"/>
        <v>42608.902997470876</v>
      </c>
      <c r="T4363" cm="1">
        <f t="array" ref="T4363">IF(OR(B4363="MAL ALIMI", B4363="ÜRETİM GİRİŞ"), MIN(I4363, MAX(0, I4363 + SUM(SUMIFS($I$1:I4362, $C$1:C4362, C4363, $B$1:B4362, {"MAL ALIMI","ÜRETİM GİRİŞ"})) - VLOOKUP(C4363, 'STOK RAPORU'!$C$2:$I$1000, 4, 0))), 0)</f>
        <v>0</v>
      </c>
      <c r="U4363" s="22">
        <f t="shared" si="272"/>
        <v>0</v>
      </c>
      <c r="V4363">
        <f t="shared" si="273"/>
        <v>0</v>
      </c>
      <c r="W4363" s="22">
        <f t="shared" si="274"/>
        <v>0</v>
      </c>
    </row>
    <row r="4364" spans="1:23" hidden="1" x14ac:dyDescent="0.25">
      <c r="A4364" s="45">
        <v>46073</v>
      </c>
      <c r="B4364" s="46" t="s">
        <v>334</v>
      </c>
      <c r="C4364" s="4" t="s">
        <v>163</v>
      </c>
      <c r="D4364" s="4"/>
      <c r="E4364" s="4"/>
      <c r="F4364" s="46" t="s">
        <v>2190</v>
      </c>
      <c r="G4364" s="4" t="s">
        <v>336</v>
      </c>
      <c r="H4364" s="4" t="s">
        <v>289</v>
      </c>
      <c r="I4364" s="4">
        <v>0.22222222222222221</v>
      </c>
      <c r="J4364" s="21">
        <v>250</v>
      </c>
      <c r="K4364" s="21">
        <v>0</v>
      </c>
      <c r="L4364" s="5">
        <v>0</v>
      </c>
      <c r="M4364" s="4"/>
      <c r="N4364" s="4"/>
      <c r="O4364" s="5"/>
      <c r="P4364" s="5"/>
      <c r="Q4364" s="21">
        <v>55.55555555555555</v>
      </c>
      <c r="R4364" s="21">
        <v>0</v>
      </c>
      <c r="S4364" s="5">
        <f t="shared" si="275"/>
        <v>42664.45855302643</v>
      </c>
      <c r="T4364" cm="1">
        <f t="array" ref="T4364">IF(OR(B4364="MAL ALIMI", B4364="ÜRETİM GİRİŞ"), MIN(I4364, MAX(0, I4364 + SUM(SUMIFS($I$1:I4363, $C$1:C4363, C4364, $B$1:B4363, {"MAL ALIMI","ÜRETİM GİRİŞ"})) - VLOOKUP(C4364, 'STOK RAPORU'!$C$2:$I$1000, 4, 0))), 0)</f>
        <v>0</v>
      </c>
      <c r="U4364" s="22">
        <f t="shared" si="272"/>
        <v>0</v>
      </c>
      <c r="V4364">
        <f t="shared" si="273"/>
        <v>0</v>
      </c>
      <c r="W4364" s="22">
        <f t="shared" si="274"/>
        <v>0</v>
      </c>
    </row>
    <row r="4365" spans="1:23" hidden="1" x14ac:dyDescent="0.25">
      <c r="A4365" s="45">
        <v>46073</v>
      </c>
      <c r="B4365" s="46" t="s">
        <v>334</v>
      </c>
      <c r="C4365" s="4" t="s">
        <v>1897</v>
      </c>
      <c r="D4365" s="4"/>
      <c r="E4365" s="4" t="s">
        <v>921</v>
      </c>
      <c r="F4365" s="46" t="s">
        <v>2191</v>
      </c>
      <c r="G4365" s="4" t="s">
        <v>336</v>
      </c>
      <c r="H4365" s="4" t="s">
        <v>380</v>
      </c>
      <c r="I4365" s="4">
        <v>1</v>
      </c>
      <c r="J4365" s="21">
        <v>295</v>
      </c>
      <c r="K4365" s="21">
        <v>295</v>
      </c>
      <c r="L4365" s="5">
        <v>0</v>
      </c>
      <c r="M4365" s="4"/>
      <c r="N4365" s="4"/>
      <c r="O4365" s="5"/>
      <c r="P4365" s="5"/>
      <c r="Q4365" s="21">
        <v>0</v>
      </c>
      <c r="R4365" s="21">
        <v>0</v>
      </c>
      <c r="S4365" s="5">
        <f t="shared" si="275"/>
        <v>42664.45855302643</v>
      </c>
      <c r="T4365" cm="1">
        <f t="array" ref="T4365">IF(OR(B4365="MAL ALIMI", B4365="ÜRETİM GİRİŞ"), MIN(I4365, MAX(0, I4365 + SUM(SUMIFS($I$1:I4364, $C$1:C4364, C4365, $B$1:B4364, {"MAL ALIMI","ÜRETİM GİRİŞ"})) - VLOOKUP(C4365, 'STOK RAPORU'!$C$2:$I$1000, 4, 0))), 0)</f>
        <v>0</v>
      </c>
      <c r="U4365" s="22">
        <f t="shared" si="272"/>
        <v>0</v>
      </c>
      <c r="V4365">
        <f t="shared" si="273"/>
        <v>0</v>
      </c>
      <c r="W4365" s="22">
        <f t="shared" si="274"/>
        <v>0</v>
      </c>
    </row>
    <row r="4366" spans="1:23" hidden="1" x14ac:dyDescent="0.25">
      <c r="A4366" s="45">
        <v>46073</v>
      </c>
      <c r="B4366" s="46" t="s">
        <v>334</v>
      </c>
      <c r="C4366" s="4" t="s">
        <v>822</v>
      </c>
      <c r="D4366" s="4"/>
      <c r="E4366" s="4" t="s">
        <v>921</v>
      </c>
      <c r="F4366" s="46" t="s">
        <v>2192</v>
      </c>
      <c r="G4366" s="4" t="s">
        <v>336</v>
      </c>
      <c r="H4366" s="4" t="s">
        <v>380</v>
      </c>
      <c r="I4366" s="4">
        <v>2</v>
      </c>
      <c r="J4366" s="21">
        <v>170</v>
      </c>
      <c r="K4366" s="21">
        <v>340</v>
      </c>
      <c r="L4366" s="5">
        <v>0</v>
      </c>
      <c r="M4366" s="4"/>
      <c r="N4366" s="4"/>
      <c r="O4366" s="5"/>
      <c r="P4366" s="5"/>
      <c r="Q4366" s="21">
        <v>0</v>
      </c>
      <c r="R4366" s="21">
        <v>0</v>
      </c>
      <c r="S4366" s="5">
        <f t="shared" si="275"/>
        <v>42664.45855302643</v>
      </c>
      <c r="T4366" cm="1">
        <f t="array" ref="T4366">IF(OR(B4366="MAL ALIMI", B4366="ÜRETİM GİRİŞ"), MIN(I4366, MAX(0, I4366 + SUM(SUMIFS($I$1:I4365, $C$1:C4365, C4366, $B$1:B4365, {"MAL ALIMI","ÜRETİM GİRİŞ"})) - VLOOKUP(C4366, 'STOK RAPORU'!$C$2:$I$1000, 4, 0))), 0)</f>
        <v>0</v>
      </c>
      <c r="U4366" s="22">
        <f t="shared" si="272"/>
        <v>0</v>
      </c>
      <c r="V4366">
        <f t="shared" si="273"/>
        <v>0</v>
      </c>
      <c r="W4366" s="22">
        <f t="shared" si="274"/>
        <v>0</v>
      </c>
    </row>
    <row r="4367" spans="1:23" hidden="1" x14ac:dyDescent="0.25">
      <c r="A4367" s="45">
        <v>46073</v>
      </c>
      <c r="B4367" s="46" t="s">
        <v>334</v>
      </c>
      <c r="C4367" s="4" t="s">
        <v>162</v>
      </c>
      <c r="D4367" s="4"/>
      <c r="E4367" s="4" t="s">
        <v>921</v>
      </c>
      <c r="F4367" s="46" t="s">
        <v>2193</v>
      </c>
      <c r="G4367" s="4" t="s">
        <v>336</v>
      </c>
      <c r="H4367" s="4" t="s">
        <v>380</v>
      </c>
      <c r="I4367" s="4">
        <v>1</v>
      </c>
      <c r="J4367" s="21">
        <v>241</v>
      </c>
      <c r="K4367" s="21">
        <v>241</v>
      </c>
      <c r="L4367" s="5">
        <v>0</v>
      </c>
      <c r="M4367" s="4"/>
      <c r="N4367" s="4"/>
      <c r="O4367" s="5"/>
      <c r="P4367" s="5"/>
      <c r="Q4367" s="21">
        <v>0</v>
      </c>
      <c r="R4367" s="21">
        <v>0</v>
      </c>
      <c r="S4367" s="5">
        <f t="shared" si="275"/>
        <v>42664.45855302643</v>
      </c>
      <c r="T4367" cm="1">
        <f t="array" ref="T4367">IF(OR(B4367="MAL ALIMI", B4367="ÜRETİM GİRİŞ"), MIN(I4367, MAX(0, I4367 + SUM(SUMIFS($I$1:I4366, $C$1:C4366, C4367, $B$1:B4366, {"MAL ALIMI","ÜRETİM GİRİŞ"})) - VLOOKUP(C4367, 'STOK RAPORU'!$C$2:$I$1000, 4, 0))), 0)</f>
        <v>0</v>
      </c>
      <c r="U4367" s="22">
        <f t="shared" si="272"/>
        <v>0</v>
      </c>
      <c r="V4367">
        <f t="shared" si="273"/>
        <v>0</v>
      </c>
      <c r="W4367" s="22">
        <f t="shared" si="274"/>
        <v>0</v>
      </c>
    </row>
    <row r="4368" spans="1:23" hidden="1" x14ac:dyDescent="0.25">
      <c r="A4368" s="45">
        <v>46073</v>
      </c>
      <c r="B4368" s="46" t="s">
        <v>334</v>
      </c>
      <c r="C4368" s="4" t="s">
        <v>160</v>
      </c>
      <c r="D4368" s="4"/>
      <c r="E4368" s="4" t="s">
        <v>921</v>
      </c>
      <c r="F4368" s="46" t="s">
        <v>2193</v>
      </c>
      <c r="G4368" s="4" t="s">
        <v>336</v>
      </c>
      <c r="H4368" s="4" t="s">
        <v>380</v>
      </c>
      <c r="I4368" s="4">
        <v>1</v>
      </c>
      <c r="J4368" s="21">
        <v>250</v>
      </c>
      <c r="K4368" s="21">
        <v>250</v>
      </c>
      <c r="L4368" s="5">
        <v>0</v>
      </c>
      <c r="M4368" s="4"/>
      <c r="N4368" s="4"/>
      <c r="O4368" s="5"/>
      <c r="P4368" s="5"/>
      <c r="Q4368" s="21">
        <v>0</v>
      </c>
      <c r="R4368" s="21">
        <v>0</v>
      </c>
      <c r="S4368" s="5">
        <f t="shared" si="275"/>
        <v>42664.45855302643</v>
      </c>
      <c r="T4368" cm="1">
        <f t="array" ref="T4368">IF(OR(B4368="MAL ALIMI", B4368="ÜRETİM GİRİŞ"), MIN(I4368, MAX(0, I4368 + SUM(SUMIFS($I$1:I4367, $C$1:C4367, C4368, $B$1:B4367, {"MAL ALIMI","ÜRETİM GİRİŞ"})) - VLOOKUP(C4368, 'STOK RAPORU'!$C$2:$I$1000, 4, 0))), 0)</f>
        <v>0</v>
      </c>
      <c r="U4368" s="22">
        <f t="shared" si="272"/>
        <v>0</v>
      </c>
      <c r="V4368">
        <f t="shared" si="273"/>
        <v>0</v>
      </c>
      <c r="W4368" s="22">
        <f t="shared" si="274"/>
        <v>0</v>
      </c>
    </row>
    <row r="4369" spans="1:23" hidden="1" x14ac:dyDescent="0.25">
      <c r="A4369" s="45">
        <v>46073</v>
      </c>
      <c r="B4369" s="46" t="s">
        <v>334</v>
      </c>
      <c r="C4369" s="4" t="s">
        <v>1634</v>
      </c>
      <c r="D4369" s="4"/>
      <c r="E4369" s="4" t="s">
        <v>921</v>
      </c>
      <c r="F4369" s="46" t="s">
        <v>2193</v>
      </c>
      <c r="G4369" s="4" t="s">
        <v>336</v>
      </c>
      <c r="H4369" s="4" t="s">
        <v>380</v>
      </c>
      <c r="I4369" s="4">
        <v>0.5</v>
      </c>
      <c r="J4369" s="21">
        <v>300</v>
      </c>
      <c r="K4369" s="21">
        <v>150</v>
      </c>
      <c r="L4369" s="5">
        <v>0</v>
      </c>
      <c r="M4369" s="4"/>
      <c r="N4369" s="4"/>
      <c r="O4369" s="5"/>
      <c r="P4369" s="5"/>
      <c r="Q4369" s="21">
        <v>0</v>
      </c>
      <c r="R4369" s="21">
        <v>0</v>
      </c>
      <c r="S4369" s="5">
        <f t="shared" si="275"/>
        <v>42664.45855302643</v>
      </c>
      <c r="T4369" cm="1">
        <f t="array" ref="T4369">IF(OR(B4369="MAL ALIMI", B4369="ÜRETİM GİRİŞ"), MIN(I4369, MAX(0, I4369 + SUM(SUMIFS($I$1:I4368, $C$1:C4368, C4369, $B$1:B4368, {"MAL ALIMI","ÜRETİM GİRİŞ"})) - VLOOKUP(C4369, 'STOK RAPORU'!$C$2:$I$1000, 4, 0))), 0)</f>
        <v>0</v>
      </c>
      <c r="U4369" s="22">
        <f t="shared" si="272"/>
        <v>0</v>
      </c>
      <c r="V4369">
        <f t="shared" si="273"/>
        <v>0</v>
      </c>
      <c r="W4369" s="22">
        <f t="shared" si="274"/>
        <v>0</v>
      </c>
    </row>
    <row r="4370" spans="1:23" hidden="1" x14ac:dyDescent="0.25">
      <c r="A4370" s="45">
        <v>46073</v>
      </c>
      <c r="B4370" s="46" t="s">
        <v>334</v>
      </c>
      <c r="C4370" s="4" t="s">
        <v>1357</v>
      </c>
      <c r="D4370" s="4"/>
      <c r="E4370" s="4" t="s">
        <v>921</v>
      </c>
      <c r="F4370" s="46" t="s">
        <v>2193</v>
      </c>
      <c r="G4370" s="4" t="s">
        <v>336</v>
      </c>
      <c r="H4370" s="4" t="s">
        <v>380</v>
      </c>
      <c r="I4370" s="4">
        <v>0.38596491228070173</v>
      </c>
      <c r="J4370" s="21">
        <v>570</v>
      </c>
      <c r="K4370" s="21">
        <v>220</v>
      </c>
      <c r="L4370" s="5">
        <v>0</v>
      </c>
      <c r="M4370" s="4"/>
      <c r="N4370" s="4"/>
      <c r="O4370" s="5"/>
      <c r="P4370" s="5"/>
      <c r="Q4370" s="21">
        <v>0</v>
      </c>
      <c r="R4370" s="21">
        <v>0</v>
      </c>
      <c r="S4370" s="5">
        <f t="shared" si="275"/>
        <v>42664.45855302643</v>
      </c>
      <c r="T4370" cm="1">
        <f t="array" ref="T4370">IF(OR(B4370="MAL ALIMI", B4370="ÜRETİM GİRİŞ"), MIN(I4370, MAX(0, I4370 + SUM(SUMIFS($I$1:I4369, $C$1:C4369, C4370, $B$1:B4369, {"MAL ALIMI","ÜRETİM GİRİŞ"})) - VLOOKUP(C4370, 'STOK RAPORU'!$C$2:$I$1000, 4, 0))), 0)</f>
        <v>0</v>
      </c>
      <c r="U4370" s="22">
        <f t="shared" si="272"/>
        <v>0</v>
      </c>
      <c r="V4370">
        <f t="shared" si="273"/>
        <v>0</v>
      </c>
      <c r="W4370" s="22">
        <f t="shared" si="274"/>
        <v>0</v>
      </c>
    </row>
    <row r="4371" spans="1:23" hidden="1" x14ac:dyDescent="0.25">
      <c r="A4371" s="45">
        <v>46073</v>
      </c>
      <c r="B4371" s="46" t="s">
        <v>334</v>
      </c>
      <c r="C4371" s="4" t="s">
        <v>266</v>
      </c>
      <c r="D4371" s="4"/>
      <c r="E4371" s="4" t="s">
        <v>921</v>
      </c>
      <c r="F4371" s="46" t="s">
        <v>2193</v>
      </c>
      <c r="G4371" s="4" t="s">
        <v>336</v>
      </c>
      <c r="H4371" s="4" t="s">
        <v>380</v>
      </c>
      <c r="I4371" s="4">
        <v>0.24399999999999999</v>
      </c>
      <c r="J4371" s="21">
        <v>250</v>
      </c>
      <c r="K4371" s="21">
        <v>61</v>
      </c>
      <c r="L4371" s="5">
        <v>0</v>
      </c>
      <c r="M4371" s="4"/>
      <c r="N4371" s="4"/>
      <c r="O4371" s="5"/>
      <c r="P4371" s="5"/>
      <c r="Q4371" s="21">
        <v>0</v>
      </c>
      <c r="R4371" s="21">
        <v>0</v>
      </c>
      <c r="S4371" s="5">
        <f t="shared" si="275"/>
        <v>42664.45855302643</v>
      </c>
      <c r="T4371" cm="1">
        <f t="array" ref="T4371">IF(OR(B4371="MAL ALIMI", B4371="ÜRETİM GİRİŞ"), MIN(I4371, MAX(0, I4371 + SUM(SUMIFS($I$1:I4370, $C$1:C4370, C4371, $B$1:B4370, {"MAL ALIMI","ÜRETİM GİRİŞ"})) - VLOOKUP(C4371, 'STOK RAPORU'!$C$2:$I$1000, 4, 0))), 0)</f>
        <v>0</v>
      </c>
      <c r="U4371" s="22">
        <f t="shared" si="272"/>
        <v>0</v>
      </c>
      <c r="V4371">
        <f t="shared" si="273"/>
        <v>0</v>
      </c>
      <c r="W4371" s="22">
        <f t="shared" si="274"/>
        <v>0</v>
      </c>
    </row>
    <row r="4372" spans="1:23" hidden="1" x14ac:dyDescent="0.25">
      <c r="A4372" s="45">
        <v>46073</v>
      </c>
      <c r="B4372" s="46" t="s">
        <v>334</v>
      </c>
      <c r="C4372" s="4" t="s">
        <v>140</v>
      </c>
      <c r="D4372" s="4"/>
      <c r="E4372" s="4" t="s">
        <v>921</v>
      </c>
      <c r="F4372" s="46" t="s">
        <v>2193</v>
      </c>
      <c r="G4372" s="4" t="s">
        <v>336</v>
      </c>
      <c r="H4372" s="4" t="s">
        <v>380</v>
      </c>
      <c r="I4372" s="4">
        <v>9.5000000000000001E-2</v>
      </c>
      <c r="J4372" s="21">
        <v>300</v>
      </c>
      <c r="K4372" s="21">
        <v>28.5</v>
      </c>
      <c r="L4372" s="5">
        <v>0</v>
      </c>
      <c r="M4372" s="4"/>
      <c r="N4372" s="4"/>
      <c r="O4372" s="5"/>
      <c r="P4372" s="5"/>
      <c r="Q4372" s="21">
        <v>0</v>
      </c>
      <c r="R4372" s="21">
        <v>0</v>
      </c>
      <c r="S4372" s="5">
        <f t="shared" si="275"/>
        <v>42664.45855302643</v>
      </c>
      <c r="T4372" cm="1">
        <f t="array" ref="T4372">IF(OR(B4372="MAL ALIMI", B4372="ÜRETİM GİRİŞ"), MIN(I4372, MAX(0, I4372 + SUM(SUMIFS($I$1:I4371, $C$1:C4371, C4372, $B$1:B4371, {"MAL ALIMI","ÜRETİM GİRİŞ"})) - VLOOKUP(C4372, 'STOK RAPORU'!$C$2:$I$1000, 4, 0))), 0)</f>
        <v>0</v>
      </c>
      <c r="U4372" s="22">
        <f t="shared" si="272"/>
        <v>0</v>
      </c>
      <c r="V4372">
        <f t="shared" si="273"/>
        <v>0</v>
      </c>
      <c r="W4372" s="22">
        <f t="shared" si="274"/>
        <v>0</v>
      </c>
    </row>
    <row r="4373" spans="1:23" hidden="1" x14ac:dyDescent="0.25">
      <c r="A4373" s="45">
        <v>46073</v>
      </c>
      <c r="B4373" s="46" t="s">
        <v>334</v>
      </c>
      <c r="C4373" s="4" t="s">
        <v>161</v>
      </c>
      <c r="D4373" s="4"/>
      <c r="E4373" s="4"/>
      <c r="F4373" s="46" t="s">
        <v>2194</v>
      </c>
      <c r="G4373" s="4" t="s">
        <v>336</v>
      </c>
      <c r="H4373" s="4" t="s">
        <v>289</v>
      </c>
      <c r="I4373" s="4">
        <v>0.5</v>
      </c>
      <c r="J4373" s="21">
        <v>220</v>
      </c>
      <c r="K4373" s="21">
        <v>0</v>
      </c>
      <c r="L4373" s="5">
        <v>0</v>
      </c>
      <c r="M4373" s="4"/>
      <c r="N4373" s="4"/>
      <c r="O4373" s="5"/>
      <c r="P4373" s="5"/>
      <c r="Q4373" s="21">
        <v>110</v>
      </c>
      <c r="R4373" s="21">
        <v>0</v>
      </c>
      <c r="S4373" s="5">
        <f t="shared" si="275"/>
        <v>42774.45855302643</v>
      </c>
      <c r="T4373" cm="1">
        <f t="array" ref="T4373">IF(OR(B4373="MAL ALIMI", B4373="ÜRETİM GİRİŞ"), MIN(I4373, MAX(0, I4373 + SUM(SUMIFS($I$1:I4372, $C$1:C4372, C4373, $B$1:B4372, {"MAL ALIMI","ÜRETİM GİRİŞ"})) - VLOOKUP(C4373, 'STOK RAPORU'!$C$2:$I$1000, 4, 0))), 0)</f>
        <v>0</v>
      </c>
      <c r="U4373" s="22">
        <f t="shared" si="272"/>
        <v>0</v>
      </c>
      <c r="V4373">
        <f t="shared" si="273"/>
        <v>0</v>
      </c>
      <c r="W4373" s="22">
        <f t="shared" si="274"/>
        <v>0</v>
      </c>
    </row>
    <row r="4374" spans="1:23" hidden="1" x14ac:dyDescent="0.25">
      <c r="A4374" s="45">
        <v>46073</v>
      </c>
      <c r="B4374" s="46" t="s">
        <v>334</v>
      </c>
      <c r="C4374" s="4" t="s">
        <v>160</v>
      </c>
      <c r="D4374" s="4"/>
      <c r="E4374" s="4"/>
      <c r="F4374" s="46" t="s">
        <v>2194</v>
      </c>
      <c r="G4374" s="4" t="s">
        <v>336</v>
      </c>
      <c r="H4374" s="4" t="s">
        <v>289</v>
      </c>
      <c r="I4374" s="4">
        <v>0.5</v>
      </c>
      <c r="J4374" s="21">
        <v>250</v>
      </c>
      <c r="K4374" s="21">
        <v>0</v>
      </c>
      <c r="L4374" s="5">
        <v>0</v>
      </c>
      <c r="M4374" s="4"/>
      <c r="N4374" s="4"/>
      <c r="O4374" s="5"/>
      <c r="P4374" s="5"/>
      <c r="Q4374" s="21">
        <v>125</v>
      </c>
      <c r="R4374" s="21">
        <v>0</v>
      </c>
      <c r="S4374" s="5">
        <f t="shared" si="275"/>
        <v>42899.45855302643</v>
      </c>
      <c r="T4374" cm="1">
        <f t="array" ref="T4374">IF(OR(B4374="MAL ALIMI", B4374="ÜRETİM GİRİŞ"), MIN(I4374, MAX(0, I4374 + SUM(SUMIFS($I$1:I4373, $C$1:C4373, C4374, $B$1:B4373, {"MAL ALIMI","ÜRETİM GİRİŞ"})) - VLOOKUP(C4374, 'STOK RAPORU'!$C$2:$I$1000, 4, 0))), 0)</f>
        <v>0</v>
      </c>
      <c r="U4374" s="22">
        <f t="shared" si="272"/>
        <v>0</v>
      </c>
      <c r="V4374">
        <f t="shared" si="273"/>
        <v>0</v>
      </c>
      <c r="W4374" s="22">
        <f t="shared" si="274"/>
        <v>0</v>
      </c>
    </row>
    <row r="4375" spans="1:23" hidden="1" x14ac:dyDescent="0.25">
      <c r="A4375" s="45">
        <v>46073</v>
      </c>
      <c r="B4375" s="46" t="s">
        <v>334</v>
      </c>
      <c r="C4375" s="4" t="s">
        <v>162</v>
      </c>
      <c r="D4375" s="4"/>
      <c r="E4375" s="4"/>
      <c r="F4375" s="46" t="s">
        <v>2194</v>
      </c>
      <c r="G4375" s="4" t="s">
        <v>336</v>
      </c>
      <c r="H4375" s="4" t="s">
        <v>289</v>
      </c>
      <c r="I4375" s="4">
        <v>0.5</v>
      </c>
      <c r="J4375" s="21">
        <v>230</v>
      </c>
      <c r="K4375" s="21">
        <v>0</v>
      </c>
      <c r="L4375" s="5">
        <v>0</v>
      </c>
      <c r="M4375" s="4"/>
      <c r="N4375" s="4"/>
      <c r="O4375" s="5"/>
      <c r="P4375" s="5"/>
      <c r="Q4375" s="21">
        <v>115</v>
      </c>
      <c r="R4375" s="21">
        <v>0</v>
      </c>
      <c r="S4375" s="5">
        <f t="shared" si="275"/>
        <v>43014.45855302643</v>
      </c>
      <c r="T4375" cm="1">
        <f t="array" ref="T4375">IF(OR(B4375="MAL ALIMI", B4375="ÜRETİM GİRİŞ"), MIN(I4375, MAX(0, I4375 + SUM(SUMIFS($I$1:I4374, $C$1:C4374, C4375, $B$1:B4374, {"MAL ALIMI","ÜRETİM GİRİŞ"})) - VLOOKUP(C4375, 'STOK RAPORU'!$C$2:$I$1000, 4, 0))), 0)</f>
        <v>0</v>
      </c>
      <c r="U4375" s="22">
        <f t="shared" si="272"/>
        <v>0</v>
      </c>
      <c r="V4375">
        <f t="shared" si="273"/>
        <v>0</v>
      </c>
      <c r="W4375" s="22">
        <f t="shared" si="274"/>
        <v>0</v>
      </c>
    </row>
    <row r="4376" spans="1:23" hidden="1" x14ac:dyDescent="0.25">
      <c r="A4376" s="45">
        <v>46073</v>
      </c>
      <c r="B4376" s="46" t="s">
        <v>334</v>
      </c>
      <c r="C4376" s="4" t="s">
        <v>161</v>
      </c>
      <c r="D4376" s="4"/>
      <c r="E4376" s="4"/>
      <c r="F4376" s="46" t="s">
        <v>2195</v>
      </c>
      <c r="G4376" s="4" t="s">
        <v>336</v>
      </c>
      <c r="H4376" s="4" t="s">
        <v>289</v>
      </c>
      <c r="I4376" s="4">
        <v>0.5</v>
      </c>
      <c r="J4376" s="21">
        <v>230</v>
      </c>
      <c r="K4376" s="21">
        <v>0</v>
      </c>
      <c r="L4376" s="5">
        <v>0</v>
      </c>
      <c r="M4376" s="4"/>
      <c r="N4376" s="4"/>
      <c r="O4376" s="5"/>
      <c r="P4376" s="5"/>
      <c r="Q4376" s="21">
        <v>115</v>
      </c>
      <c r="R4376" s="21">
        <v>0</v>
      </c>
      <c r="S4376" s="5">
        <f t="shared" si="275"/>
        <v>43129.45855302643</v>
      </c>
      <c r="T4376" cm="1">
        <f t="array" ref="T4376">IF(OR(B4376="MAL ALIMI", B4376="ÜRETİM GİRİŞ"), MIN(I4376, MAX(0, I4376 + SUM(SUMIFS($I$1:I4375, $C$1:C4375, C4376, $B$1:B4375, {"MAL ALIMI","ÜRETİM GİRİŞ"})) - VLOOKUP(C4376, 'STOK RAPORU'!$C$2:$I$1000, 4, 0))), 0)</f>
        <v>0</v>
      </c>
      <c r="U4376" s="22">
        <f t="shared" si="272"/>
        <v>0</v>
      </c>
      <c r="V4376">
        <f t="shared" si="273"/>
        <v>0</v>
      </c>
      <c r="W4376" s="22">
        <f t="shared" si="274"/>
        <v>0</v>
      </c>
    </row>
    <row r="4377" spans="1:23" hidden="1" x14ac:dyDescent="0.25">
      <c r="A4377" s="45">
        <v>46073</v>
      </c>
      <c r="B4377" s="46" t="s">
        <v>334</v>
      </c>
      <c r="C4377" s="4" t="s">
        <v>160</v>
      </c>
      <c r="D4377" s="4"/>
      <c r="E4377" s="4"/>
      <c r="F4377" s="46" t="s">
        <v>2195</v>
      </c>
      <c r="G4377" s="4" t="s">
        <v>336</v>
      </c>
      <c r="H4377" s="4" t="s">
        <v>289</v>
      </c>
      <c r="I4377" s="4">
        <v>0.5</v>
      </c>
      <c r="J4377" s="21">
        <v>250</v>
      </c>
      <c r="K4377" s="21">
        <v>0</v>
      </c>
      <c r="L4377" s="5">
        <v>0</v>
      </c>
      <c r="M4377" s="4"/>
      <c r="N4377" s="4"/>
      <c r="O4377" s="5"/>
      <c r="P4377" s="5"/>
      <c r="Q4377" s="21">
        <v>125</v>
      </c>
      <c r="R4377" s="21">
        <v>0</v>
      </c>
      <c r="S4377" s="5">
        <f t="shared" si="275"/>
        <v>43254.45855302643</v>
      </c>
      <c r="T4377" cm="1">
        <f t="array" ref="T4377">IF(OR(B4377="MAL ALIMI", B4377="ÜRETİM GİRİŞ"), MIN(I4377, MAX(0, I4377 + SUM(SUMIFS($I$1:I4376, $C$1:C4376, C4377, $B$1:B4376, {"MAL ALIMI","ÜRETİM GİRİŞ"})) - VLOOKUP(C4377, 'STOK RAPORU'!$C$2:$I$1000, 4, 0))), 0)</f>
        <v>0</v>
      </c>
      <c r="U4377" s="22">
        <f t="shared" si="272"/>
        <v>0</v>
      </c>
      <c r="V4377">
        <f t="shared" si="273"/>
        <v>0</v>
      </c>
      <c r="W4377" s="22">
        <f t="shared" si="274"/>
        <v>0</v>
      </c>
    </row>
    <row r="4378" spans="1:23" hidden="1" x14ac:dyDescent="0.25">
      <c r="A4378" s="45">
        <v>46073</v>
      </c>
      <c r="B4378" s="46" t="s">
        <v>334</v>
      </c>
      <c r="C4378" s="4" t="s">
        <v>133</v>
      </c>
      <c r="D4378" s="4"/>
      <c r="E4378" s="4" t="s">
        <v>921</v>
      </c>
      <c r="F4378" s="46" t="s">
        <v>2196</v>
      </c>
      <c r="G4378" s="4" t="s">
        <v>336</v>
      </c>
      <c r="H4378" s="4" t="s">
        <v>380</v>
      </c>
      <c r="I4378" s="4">
        <v>0.12</v>
      </c>
      <c r="J4378" s="21">
        <v>400</v>
      </c>
      <c r="K4378" s="21">
        <v>48</v>
      </c>
      <c r="L4378" s="5">
        <v>0</v>
      </c>
      <c r="M4378" s="4"/>
      <c r="N4378" s="4"/>
      <c r="O4378" s="5"/>
      <c r="P4378" s="5"/>
      <c r="Q4378" s="21">
        <v>0</v>
      </c>
      <c r="R4378" s="21">
        <v>0</v>
      </c>
      <c r="S4378" s="5">
        <f t="shared" si="275"/>
        <v>43254.45855302643</v>
      </c>
      <c r="T4378" cm="1">
        <f t="array" ref="T4378">IF(OR(B4378="MAL ALIMI", B4378="ÜRETİM GİRİŞ"), MIN(I4378, MAX(0, I4378 + SUM(SUMIFS($I$1:I4377, $C$1:C4377, C4378, $B$1:B4377, {"MAL ALIMI","ÜRETİM GİRİŞ"})) - VLOOKUP(C4378, 'STOK RAPORU'!$C$2:$I$1000, 4, 0))), 0)</f>
        <v>0</v>
      </c>
      <c r="U4378" s="22">
        <f t="shared" si="272"/>
        <v>0</v>
      </c>
      <c r="V4378">
        <f t="shared" si="273"/>
        <v>0</v>
      </c>
      <c r="W4378" s="22">
        <f t="shared" si="274"/>
        <v>0</v>
      </c>
    </row>
    <row r="4379" spans="1:23" hidden="1" x14ac:dyDescent="0.25">
      <c r="A4379" s="45">
        <v>46073</v>
      </c>
      <c r="B4379" s="46" t="s">
        <v>334</v>
      </c>
      <c r="C4379" s="4" t="s">
        <v>530</v>
      </c>
      <c r="D4379" s="4"/>
      <c r="E4379" s="4" t="s">
        <v>921</v>
      </c>
      <c r="F4379" s="46" t="s">
        <v>2197</v>
      </c>
      <c r="G4379" s="4" t="s">
        <v>336</v>
      </c>
      <c r="H4379" s="4" t="s">
        <v>380</v>
      </c>
      <c r="I4379" s="4">
        <v>0.5</v>
      </c>
      <c r="J4379" s="21">
        <v>300</v>
      </c>
      <c r="K4379" s="21">
        <v>150</v>
      </c>
      <c r="L4379" s="5">
        <v>0</v>
      </c>
      <c r="M4379" s="4"/>
      <c r="N4379" s="4"/>
      <c r="O4379" s="5"/>
      <c r="P4379" s="5"/>
      <c r="Q4379" s="21">
        <v>0</v>
      </c>
      <c r="R4379" s="21">
        <v>0</v>
      </c>
      <c r="S4379" s="5">
        <f t="shared" si="275"/>
        <v>43254.45855302643</v>
      </c>
      <c r="T4379" cm="1">
        <f t="array" ref="T4379">IF(OR(B4379="MAL ALIMI", B4379="ÜRETİM GİRİŞ"), MIN(I4379, MAX(0, I4379 + SUM(SUMIFS($I$1:I4378, $C$1:C4378, C4379, $B$1:B4378, {"MAL ALIMI","ÜRETİM GİRİŞ"})) - VLOOKUP(C4379, 'STOK RAPORU'!$C$2:$I$1000, 4, 0))), 0)</f>
        <v>0</v>
      </c>
      <c r="U4379" s="22">
        <f t="shared" si="272"/>
        <v>0</v>
      </c>
      <c r="V4379">
        <f t="shared" si="273"/>
        <v>0</v>
      </c>
      <c r="W4379" s="22">
        <f t="shared" si="274"/>
        <v>0</v>
      </c>
    </row>
    <row r="4380" spans="1:23" hidden="1" x14ac:dyDescent="0.25">
      <c r="A4380" s="45">
        <v>46073</v>
      </c>
      <c r="B4380" s="46" t="s">
        <v>334</v>
      </c>
      <c r="C4380" s="4" t="s">
        <v>530</v>
      </c>
      <c r="D4380" s="4"/>
      <c r="E4380" s="4"/>
      <c r="F4380" s="46" t="s">
        <v>2198</v>
      </c>
      <c r="G4380" s="4" t="s">
        <v>336</v>
      </c>
      <c r="H4380" s="4" t="s">
        <v>289</v>
      </c>
      <c r="I4380" s="4">
        <v>0.12666666666666668</v>
      </c>
      <c r="J4380" s="21">
        <v>300</v>
      </c>
      <c r="K4380" s="21">
        <v>0</v>
      </c>
      <c r="L4380" s="5">
        <v>0</v>
      </c>
      <c r="M4380" s="4"/>
      <c r="N4380" s="4"/>
      <c r="O4380" s="5"/>
      <c r="P4380" s="5"/>
      <c r="Q4380" s="21">
        <v>38</v>
      </c>
      <c r="R4380" s="21">
        <v>0</v>
      </c>
      <c r="S4380" s="5">
        <f t="shared" si="275"/>
        <v>43292.45855302643</v>
      </c>
      <c r="T4380" cm="1">
        <f t="array" ref="T4380">IF(OR(B4380="MAL ALIMI", B4380="ÜRETİM GİRİŞ"), MIN(I4380, MAX(0, I4380 + SUM(SUMIFS($I$1:I4379, $C$1:C4379, C4380, $B$1:B4379, {"MAL ALIMI","ÜRETİM GİRİŞ"})) - VLOOKUP(C4380, 'STOK RAPORU'!$C$2:$I$1000, 4, 0))), 0)</f>
        <v>0</v>
      </c>
      <c r="U4380" s="22">
        <f t="shared" si="272"/>
        <v>0</v>
      </c>
      <c r="V4380">
        <f t="shared" si="273"/>
        <v>0</v>
      </c>
      <c r="W4380" s="22">
        <f t="shared" si="274"/>
        <v>0</v>
      </c>
    </row>
    <row r="4381" spans="1:23" hidden="1" x14ac:dyDescent="0.25">
      <c r="A4381" s="45">
        <v>46073</v>
      </c>
      <c r="B4381" s="46" t="s">
        <v>334</v>
      </c>
      <c r="C4381" s="4" t="s">
        <v>129</v>
      </c>
      <c r="D4381" s="4"/>
      <c r="E4381" s="4" t="s">
        <v>921</v>
      </c>
      <c r="F4381" s="46" t="s">
        <v>2199</v>
      </c>
      <c r="G4381" s="4" t="s">
        <v>336</v>
      </c>
      <c r="H4381" s="4" t="s">
        <v>380</v>
      </c>
      <c r="I4381" s="4">
        <v>0.13</v>
      </c>
      <c r="J4381" s="21">
        <v>300</v>
      </c>
      <c r="K4381" s="21">
        <v>39</v>
      </c>
      <c r="L4381" s="5">
        <v>0</v>
      </c>
      <c r="M4381" s="4"/>
      <c r="N4381" s="4"/>
      <c r="O4381" s="5"/>
      <c r="P4381" s="5"/>
      <c r="Q4381" s="21">
        <v>0</v>
      </c>
      <c r="R4381" s="21">
        <v>0</v>
      </c>
      <c r="S4381" s="5">
        <f t="shared" si="275"/>
        <v>43292.45855302643</v>
      </c>
      <c r="T4381" cm="1">
        <f t="array" ref="T4381">IF(OR(B4381="MAL ALIMI", B4381="ÜRETİM GİRİŞ"), MIN(I4381, MAX(0, I4381 + SUM(SUMIFS($I$1:I4380, $C$1:C4380, C4381, $B$1:B4380, {"MAL ALIMI","ÜRETİM GİRİŞ"})) - VLOOKUP(C4381, 'STOK RAPORU'!$C$2:$I$1000, 4, 0))), 0)</f>
        <v>0</v>
      </c>
      <c r="U4381" s="22">
        <f t="shared" si="272"/>
        <v>0</v>
      </c>
      <c r="V4381">
        <f t="shared" si="273"/>
        <v>0</v>
      </c>
      <c r="W4381" s="22">
        <f t="shared" si="274"/>
        <v>0</v>
      </c>
    </row>
    <row r="4382" spans="1:23" hidden="1" x14ac:dyDescent="0.25">
      <c r="A4382" s="45">
        <v>46073</v>
      </c>
      <c r="B4382" s="46" t="s">
        <v>334</v>
      </c>
      <c r="C4382" s="4" t="s">
        <v>523</v>
      </c>
      <c r="D4382" s="4"/>
      <c r="E4382" s="4" t="s">
        <v>921</v>
      </c>
      <c r="F4382" s="46" t="s">
        <v>2199</v>
      </c>
      <c r="G4382" s="4" t="s">
        <v>336</v>
      </c>
      <c r="H4382" s="4" t="s">
        <v>380</v>
      </c>
      <c r="I4382" s="4">
        <v>0.1</v>
      </c>
      <c r="J4382" s="21">
        <v>620</v>
      </c>
      <c r="K4382" s="21">
        <v>62</v>
      </c>
      <c r="L4382" s="5">
        <v>0</v>
      </c>
      <c r="M4382" s="4"/>
      <c r="N4382" s="4"/>
      <c r="O4382" s="5"/>
      <c r="P4382" s="5"/>
      <c r="Q4382" s="21">
        <v>0</v>
      </c>
      <c r="R4382" s="21">
        <v>0</v>
      </c>
      <c r="S4382" s="5">
        <f t="shared" si="275"/>
        <v>43292.45855302643</v>
      </c>
      <c r="T4382" cm="1">
        <f t="array" ref="T4382">IF(OR(B4382="MAL ALIMI", B4382="ÜRETİM GİRİŞ"), MIN(I4382, MAX(0, I4382 + SUM(SUMIFS($I$1:I4381, $C$1:C4381, C4382, $B$1:B4381, {"MAL ALIMI","ÜRETİM GİRİŞ"})) - VLOOKUP(C4382, 'STOK RAPORU'!$C$2:$I$1000, 4, 0))), 0)</f>
        <v>0</v>
      </c>
      <c r="U4382" s="22">
        <f t="shared" si="272"/>
        <v>0</v>
      </c>
      <c r="V4382">
        <f t="shared" si="273"/>
        <v>0</v>
      </c>
      <c r="W4382" s="22">
        <f t="shared" si="274"/>
        <v>0</v>
      </c>
    </row>
    <row r="4383" spans="1:23" hidden="1" x14ac:dyDescent="0.25">
      <c r="A4383" s="45">
        <v>46073</v>
      </c>
      <c r="B4383" s="46" t="s">
        <v>334</v>
      </c>
      <c r="C4383" s="4" t="s">
        <v>160</v>
      </c>
      <c r="D4383" s="4"/>
      <c r="E4383" s="4" t="s">
        <v>921</v>
      </c>
      <c r="F4383" s="46" t="s">
        <v>2199</v>
      </c>
      <c r="G4383" s="4" t="s">
        <v>336</v>
      </c>
      <c r="H4383" s="4" t="s">
        <v>380</v>
      </c>
      <c r="I4383" s="4">
        <v>1</v>
      </c>
      <c r="J4383" s="21">
        <v>230</v>
      </c>
      <c r="K4383" s="21">
        <v>230</v>
      </c>
      <c r="L4383" s="5">
        <v>0</v>
      </c>
      <c r="M4383" s="4"/>
      <c r="N4383" s="4"/>
      <c r="O4383" s="5"/>
      <c r="P4383" s="5"/>
      <c r="Q4383" s="21">
        <v>0</v>
      </c>
      <c r="R4383" s="21">
        <v>0</v>
      </c>
      <c r="S4383" s="5">
        <f t="shared" si="275"/>
        <v>43292.45855302643</v>
      </c>
      <c r="T4383" cm="1">
        <f t="array" ref="T4383">IF(OR(B4383="MAL ALIMI", B4383="ÜRETİM GİRİŞ"), MIN(I4383, MAX(0, I4383 + SUM(SUMIFS($I$1:I4382, $C$1:C4382, C4383, $B$1:B4382, {"MAL ALIMI","ÜRETİM GİRİŞ"})) - VLOOKUP(C4383, 'STOK RAPORU'!$C$2:$I$1000, 4, 0))), 0)</f>
        <v>0</v>
      </c>
      <c r="U4383" s="22">
        <f t="shared" si="272"/>
        <v>0</v>
      </c>
      <c r="V4383">
        <f t="shared" si="273"/>
        <v>0</v>
      </c>
      <c r="W4383" s="22">
        <f t="shared" si="274"/>
        <v>0</v>
      </c>
    </row>
    <row r="4384" spans="1:23" hidden="1" x14ac:dyDescent="0.25">
      <c r="A4384" s="45">
        <v>46073</v>
      </c>
      <c r="B4384" s="46" t="s">
        <v>334</v>
      </c>
      <c r="C4384" s="4" t="s">
        <v>167</v>
      </c>
      <c r="D4384" s="4"/>
      <c r="E4384" s="4" t="s">
        <v>921</v>
      </c>
      <c r="F4384" s="46" t="s">
        <v>2199</v>
      </c>
      <c r="G4384" s="4" t="s">
        <v>336</v>
      </c>
      <c r="H4384" s="4" t="s">
        <v>380</v>
      </c>
      <c r="I4384" s="4">
        <v>1</v>
      </c>
      <c r="J4384" s="21">
        <v>230</v>
      </c>
      <c r="K4384" s="21">
        <v>230</v>
      </c>
      <c r="L4384" s="5">
        <v>0</v>
      </c>
      <c r="M4384" s="4"/>
      <c r="N4384" s="4"/>
      <c r="O4384" s="5"/>
      <c r="P4384" s="5"/>
      <c r="Q4384" s="21">
        <v>0</v>
      </c>
      <c r="R4384" s="21">
        <v>0</v>
      </c>
      <c r="S4384" s="5">
        <f t="shared" si="275"/>
        <v>43292.45855302643</v>
      </c>
      <c r="T4384" cm="1">
        <f t="array" ref="T4384">IF(OR(B4384="MAL ALIMI", B4384="ÜRETİM GİRİŞ"), MIN(I4384, MAX(0, I4384 + SUM(SUMIFS($I$1:I4383, $C$1:C4383, C4384, $B$1:B4383, {"MAL ALIMI","ÜRETİM GİRİŞ"})) - VLOOKUP(C4384, 'STOK RAPORU'!$C$2:$I$1000, 4, 0))), 0)</f>
        <v>0</v>
      </c>
      <c r="U4384" s="22">
        <f t="shared" si="272"/>
        <v>0</v>
      </c>
      <c r="V4384">
        <f t="shared" si="273"/>
        <v>0</v>
      </c>
      <c r="W4384" s="22">
        <f t="shared" si="274"/>
        <v>0</v>
      </c>
    </row>
    <row r="4385" spans="1:23" hidden="1" x14ac:dyDescent="0.25">
      <c r="A4385" s="45">
        <v>46073</v>
      </c>
      <c r="B4385" s="46" t="s">
        <v>334</v>
      </c>
      <c r="C4385" s="4" t="s">
        <v>126</v>
      </c>
      <c r="D4385" s="4"/>
      <c r="E4385" s="4" t="s">
        <v>921</v>
      </c>
      <c r="F4385" s="46" t="s">
        <v>2199</v>
      </c>
      <c r="G4385" s="4" t="s">
        <v>336</v>
      </c>
      <c r="H4385" s="4" t="s">
        <v>380</v>
      </c>
      <c r="I4385" s="4">
        <v>0.13692307692307693</v>
      </c>
      <c r="J4385" s="21">
        <v>650</v>
      </c>
      <c r="K4385" s="21">
        <v>89</v>
      </c>
      <c r="L4385" s="5">
        <v>0</v>
      </c>
      <c r="M4385" s="4"/>
      <c r="N4385" s="4"/>
      <c r="O4385" s="5"/>
      <c r="P4385" s="5"/>
      <c r="Q4385" s="21">
        <v>0</v>
      </c>
      <c r="R4385" s="21">
        <v>0</v>
      </c>
      <c r="S4385" s="5">
        <f t="shared" si="275"/>
        <v>43292.45855302643</v>
      </c>
      <c r="T4385" cm="1">
        <f t="array" ref="T4385">IF(OR(B4385="MAL ALIMI", B4385="ÜRETİM GİRİŞ"), MIN(I4385, MAX(0, I4385 + SUM(SUMIFS($I$1:I4384, $C$1:C4384, C4385, $B$1:B4384, {"MAL ALIMI","ÜRETİM GİRİŞ"})) - VLOOKUP(C4385, 'STOK RAPORU'!$C$2:$I$1000, 4, 0))), 0)</f>
        <v>0</v>
      </c>
      <c r="U4385" s="22">
        <f t="shared" si="272"/>
        <v>0</v>
      </c>
      <c r="V4385">
        <f t="shared" si="273"/>
        <v>0</v>
      </c>
      <c r="W4385" s="22">
        <f t="shared" si="274"/>
        <v>0</v>
      </c>
    </row>
    <row r="4386" spans="1:23" hidden="1" x14ac:dyDescent="0.25">
      <c r="A4386" s="45">
        <v>46073</v>
      </c>
      <c r="B4386" s="46" t="s">
        <v>334</v>
      </c>
      <c r="C4386" s="4" t="s">
        <v>167</v>
      </c>
      <c r="D4386" s="4"/>
      <c r="E4386" s="4" t="s">
        <v>921</v>
      </c>
      <c r="F4386" s="46" t="s">
        <v>2200</v>
      </c>
      <c r="G4386" s="4" t="s">
        <v>336</v>
      </c>
      <c r="H4386" s="4" t="s">
        <v>380</v>
      </c>
      <c r="I4386" s="4">
        <v>1</v>
      </c>
      <c r="J4386" s="21">
        <v>220</v>
      </c>
      <c r="K4386" s="21">
        <v>220</v>
      </c>
      <c r="L4386" s="5">
        <v>0</v>
      </c>
      <c r="M4386" s="4"/>
      <c r="N4386" s="4"/>
      <c r="O4386" s="5"/>
      <c r="P4386" s="5"/>
      <c r="Q4386" s="21">
        <v>0</v>
      </c>
      <c r="R4386" s="21">
        <v>0</v>
      </c>
      <c r="S4386" s="5">
        <f t="shared" si="275"/>
        <v>43292.45855302643</v>
      </c>
      <c r="T4386" cm="1">
        <f t="array" ref="T4386">IF(OR(B4386="MAL ALIMI", B4386="ÜRETİM GİRİŞ"), MIN(I4386, MAX(0, I4386 + SUM(SUMIFS($I$1:I4385, $C$1:C4385, C4386, $B$1:B4385, {"MAL ALIMI","ÜRETİM GİRİŞ"})) - VLOOKUP(C4386, 'STOK RAPORU'!$C$2:$I$1000, 4, 0))), 0)</f>
        <v>0</v>
      </c>
      <c r="U4386" s="22">
        <f t="shared" si="272"/>
        <v>0</v>
      </c>
      <c r="V4386">
        <f t="shared" si="273"/>
        <v>0</v>
      </c>
      <c r="W4386" s="22">
        <f t="shared" si="274"/>
        <v>0</v>
      </c>
    </row>
    <row r="4387" spans="1:23" hidden="1" x14ac:dyDescent="0.25">
      <c r="A4387" s="45">
        <v>46073</v>
      </c>
      <c r="B4387" s="46" t="s">
        <v>334</v>
      </c>
      <c r="C4387" s="4" t="s">
        <v>160</v>
      </c>
      <c r="D4387" s="4"/>
      <c r="E4387" s="4" t="s">
        <v>921</v>
      </c>
      <c r="F4387" s="46" t="s">
        <v>2200</v>
      </c>
      <c r="G4387" s="4" t="s">
        <v>336</v>
      </c>
      <c r="H4387" s="4" t="s">
        <v>380</v>
      </c>
      <c r="I4387" s="4">
        <v>1</v>
      </c>
      <c r="J4387" s="21">
        <v>250</v>
      </c>
      <c r="K4387" s="21">
        <v>250</v>
      </c>
      <c r="L4387" s="5">
        <v>0</v>
      </c>
      <c r="M4387" s="4"/>
      <c r="N4387" s="4"/>
      <c r="O4387" s="5"/>
      <c r="P4387" s="5"/>
      <c r="Q4387" s="21">
        <v>0</v>
      </c>
      <c r="R4387" s="21">
        <v>0</v>
      </c>
      <c r="S4387" s="5">
        <f t="shared" si="275"/>
        <v>43292.45855302643</v>
      </c>
      <c r="T4387" cm="1">
        <f t="array" ref="T4387">IF(OR(B4387="MAL ALIMI", B4387="ÜRETİM GİRİŞ"), MIN(I4387, MAX(0, I4387 + SUM(SUMIFS($I$1:I4386, $C$1:C4386, C4387, $B$1:B4386, {"MAL ALIMI","ÜRETİM GİRİŞ"})) - VLOOKUP(C4387, 'STOK RAPORU'!$C$2:$I$1000, 4, 0))), 0)</f>
        <v>0</v>
      </c>
      <c r="U4387" s="22">
        <f t="shared" si="272"/>
        <v>0</v>
      </c>
      <c r="V4387">
        <f t="shared" si="273"/>
        <v>0</v>
      </c>
      <c r="W4387" s="22">
        <f t="shared" si="274"/>
        <v>0</v>
      </c>
    </row>
    <row r="4388" spans="1:23" hidden="1" x14ac:dyDescent="0.25">
      <c r="A4388" s="45">
        <v>46073</v>
      </c>
      <c r="B4388" s="46" t="s">
        <v>334</v>
      </c>
      <c r="C4388" s="4" t="s">
        <v>1368</v>
      </c>
      <c r="D4388" s="4"/>
      <c r="E4388" s="4" t="s">
        <v>921</v>
      </c>
      <c r="F4388" s="46" t="s">
        <v>2200</v>
      </c>
      <c r="G4388" s="4" t="s">
        <v>336</v>
      </c>
      <c r="H4388" s="4" t="s">
        <v>380</v>
      </c>
      <c r="I4388" s="4">
        <v>1</v>
      </c>
      <c r="J4388" s="21">
        <v>180</v>
      </c>
      <c r="K4388" s="21">
        <v>180</v>
      </c>
      <c r="L4388" s="5">
        <v>0</v>
      </c>
      <c r="M4388" s="4"/>
      <c r="N4388" s="4"/>
      <c r="O4388" s="5"/>
      <c r="P4388" s="5"/>
      <c r="Q4388" s="21">
        <v>0</v>
      </c>
      <c r="R4388" s="21">
        <v>0</v>
      </c>
      <c r="S4388" s="5">
        <f t="shared" si="275"/>
        <v>43292.45855302643</v>
      </c>
      <c r="T4388" cm="1">
        <f t="array" ref="T4388">IF(OR(B4388="MAL ALIMI", B4388="ÜRETİM GİRİŞ"), MIN(I4388, MAX(0, I4388 + SUM(SUMIFS($I$1:I4387, $C$1:C4387, C4388, $B$1:B4387, {"MAL ALIMI","ÜRETİM GİRİŞ"})) - VLOOKUP(C4388, 'STOK RAPORU'!$C$2:$I$1000, 4, 0))), 0)</f>
        <v>0</v>
      </c>
      <c r="U4388" s="22">
        <f t="shared" si="272"/>
        <v>0</v>
      </c>
      <c r="V4388">
        <f t="shared" si="273"/>
        <v>0</v>
      </c>
      <c r="W4388" s="22">
        <f t="shared" si="274"/>
        <v>0</v>
      </c>
    </row>
    <row r="4389" spans="1:23" hidden="1" x14ac:dyDescent="0.25">
      <c r="A4389" s="45">
        <v>46073</v>
      </c>
      <c r="B4389" s="46" t="s">
        <v>334</v>
      </c>
      <c r="C4389" s="4" t="s">
        <v>209</v>
      </c>
      <c r="D4389" s="4"/>
      <c r="E4389" s="4" t="s">
        <v>921</v>
      </c>
      <c r="F4389" s="46" t="s">
        <v>2201</v>
      </c>
      <c r="G4389" s="4" t="s">
        <v>336</v>
      </c>
      <c r="H4389" s="4" t="s">
        <v>380</v>
      </c>
      <c r="I4389" s="4">
        <v>0.05</v>
      </c>
      <c r="J4389" s="21">
        <v>2600</v>
      </c>
      <c r="K4389" s="21">
        <v>130</v>
      </c>
      <c r="L4389" s="5">
        <v>0</v>
      </c>
      <c r="M4389" s="4"/>
      <c r="N4389" s="4"/>
      <c r="O4389" s="5"/>
      <c r="P4389" s="5"/>
      <c r="Q4389" s="21">
        <v>0</v>
      </c>
      <c r="R4389" s="21">
        <v>0</v>
      </c>
      <c r="S4389" s="5">
        <f t="shared" si="275"/>
        <v>43292.45855302643</v>
      </c>
      <c r="T4389" cm="1">
        <f t="array" ref="T4389">IF(OR(B4389="MAL ALIMI", B4389="ÜRETİM GİRİŞ"), MIN(I4389, MAX(0, I4389 + SUM(SUMIFS($I$1:I4388, $C$1:C4388, C4389, $B$1:B4388, {"MAL ALIMI","ÜRETİM GİRİŞ"})) - VLOOKUP(C4389, 'STOK RAPORU'!$C$2:$I$1000, 4, 0))), 0)</f>
        <v>0</v>
      </c>
      <c r="U4389" s="22">
        <f t="shared" si="272"/>
        <v>0</v>
      </c>
      <c r="V4389">
        <f t="shared" si="273"/>
        <v>0</v>
      </c>
      <c r="W4389" s="22">
        <f t="shared" si="274"/>
        <v>0</v>
      </c>
    </row>
    <row r="4390" spans="1:23" hidden="1" x14ac:dyDescent="0.25">
      <c r="A4390" s="45">
        <v>46073</v>
      </c>
      <c r="B4390" s="46" t="s">
        <v>334</v>
      </c>
      <c r="C4390" s="4" t="s">
        <v>728</v>
      </c>
      <c r="D4390" s="4"/>
      <c r="E4390" s="4" t="s">
        <v>921</v>
      </c>
      <c r="F4390" s="46" t="s">
        <v>2201</v>
      </c>
      <c r="G4390" s="4" t="s">
        <v>336</v>
      </c>
      <c r="H4390" s="4" t="s">
        <v>380</v>
      </c>
      <c r="I4390" s="4">
        <v>0.30144927536231886</v>
      </c>
      <c r="J4390" s="21">
        <v>690</v>
      </c>
      <c r="K4390" s="21">
        <v>208</v>
      </c>
      <c r="L4390" s="5">
        <v>0</v>
      </c>
      <c r="M4390" s="4"/>
      <c r="N4390" s="4"/>
      <c r="O4390" s="5"/>
      <c r="P4390" s="5"/>
      <c r="Q4390" s="21">
        <v>0</v>
      </c>
      <c r="R4390" s="21">
        <v>0</v>
      </c>
      <c r="S4390" s="5">
        <f t="shared" si="275"/>
        <v>43292.45855302643</v>
      </c>
      <c r="T4390" cm="1">
        <f t="array" ref="T4390">IF(OR(B4390="MAL ALIMI", B4390="ÜRETİM GİRİŞ"), MIN(I4390, MAX(0, I4390 + SUM(SUMIFS($I$1:I4389, $C$1:C4389, C4390, $B$1:B4389, {"MAL ALIMI","ÜRETİM GİRİŞ"})) - VLOOKUP(C4390, 'STOK RAPORU'!$C$2:$I$1000, 4, 0))), 0)</f>
        <v>0</v>
      </c>
      <c r="U4390" s="22">
        <f t="shared" si="272"/>
        <v>0</v>
      </c>
      <c r="V4390">
        <f t="shared" si="273"/>
        <v>0</v>
      </c>
      <c r="W4390" s="22">
        <f t="shared" si="274"/>
        <v>0</v>
      </c>
    </row>
    <row r="4391" spans="1:23" hidden="1" x14ac:dyDescent="0.25">
      <c r="A4391" s="45">
        <v>46073</v>
      </c>
      <c r="B4391" s="46" t="s">
        <v>334</v>
      </c>
      <c r="C4391" s="4" t="s">
        <v>166</v>
      </c>
      <c r="D4391" s="4"/>
      <c r="E4391" s="4"/>
      <c r="F4391" s="46" t="s">
        <v>2202</v>
      </c>
      <c r="G4391" s="4" t="s">
        <v>336</v>
      </c>
      <c r="H4391" s="4" t="s">
        <v>289</v>
      </c>
      <c r="I4391" s="4">
        <v>8.3116883116883117E-2</v>
      </c>
      <c r="J4391" s="21">
        <v>770</v>
      </c>
      <c r="K4391" s="21">
        <v>0</v>
      </c>
      <c r="L4391" s="5">
        <v>0</v>
      </c>
      <c r="M4391" s="4"/>
      <c r="N4391" s="4"/>
      <c r="O4391" s="5"/>
      <c r="P4391" s="5"/>
      <c r="Q4391" s="21">
        <v>64</v>
      </c>
      <c r="R4391" s="21">
        <v>0</v>
      </c>
      <c r="S4391" s="5">
        <f t="shared" si="275"/>
        <v>43356.45855302643</v>
      </c>
      <c r="T4391" cm="1">
        <f t="array" ref="T4391">IF(OR(B4391="MAL ALIMI", B4391="ÜRETİM GİRİŞ"), MIN(I4391, MAX(0, I4391 + SUM(SUMIFS($I$1:I4390, $C$1:C4390, C4391, $B$1:B4390, {"MAL ALIMI","ÜRETİM GİRİŞ"})) - VLOOKUP(C4391, 'STOK RAPORU'!$C$2:$I$1000, 4, 0))), 0)</f>
        <v>0</v>
      </c>
      <c r="U4391" s="22">
        <f t="shared" si="272"/>
        <v>0</v>
      </c>
      <c r="V4391">
        <f t="shared" si="273"/>
        <v>0</v>
      </c>
      <c r="W4391" s="22">
        <f t="shared" si="274"/>
        <v>0</v>
      </c>
    </row>
    <row r="4392" spans="1:23" hidden="1" x14ac:dyDescent="0.25">
      <c r="A4392" s="45">
        <v>46073</v>
      </c>
      <c r="B4392" s="46" t="s">
        <v>334</v>
      </c>
      <c r="C4392" s="4" t="s">
        <v>1501</v>
      </c>
      <c r="D4392" s="4"/>
      <c r="E4392" s="4"/>
      <c r="F4392" s="46" t="s">
        <v>2202</v>
      </c>
      <c r="G4392" s="4" t="s">
        <v>336</v>
      </c>
      <c r="H4392" s="4" t="s">
        <v>289</v>
      </c>
      <c r="I4392" s="4">
        <v>0.16666666666666666</v>
      </c>
      <c r="J4392" s="21">
        <v>600</v>
      </c>
      <c r="K4392" s="21">
        <v>0</v>
      </c>
      <c r="L4392" s="5">
        <v>0</v>
      </c>
      <c r="M4392" s="4"/>
      <c r="N4392" s="4"/>
      <c r="O4392" s="5"/>
      <c r="P4392" s="5"/>
      <c r="Q4392" s="21">
        <v>100</v>
      </c>
      <c r="R4392" s="21">
        <v>0</v>
      </c>
      <c r="S4392" s="5">
        <f t="shared" si="275"/>
        <v>43456.45855302643</v>
      </c>
      <c r="T4392" cm="1">
        <f t="array" ref="T4392">IF(OR(B4392="MAL ALIMI", B4392="ÜRETİM GİRİŞ"), MIN(I4392, MAX(0, I4392 + SUM(SUMIFS($I$1:I4391, $C$1:C4391, C4392, $B$1:B4391, {"MAL ALIMI","ÜRETİM GİRİŞ"})) - VLOOKUP(C4392, 'STOK RAPORU'!$C$2:$I$1000, 4, 0))), 0)</f>
        <v>0</v>
      </c>
      <c r="U4392" s="22">
        <f t="shared" si="272"/>
        <v>0</v>
      </c>
      <c r="V4392">
        <f t="shared" si="273"/>
        <v>0</v>
      </c>
      <c r="W4392" s="22">
        <f t="shared" si="274"/>
        <v>0</v>
      </c>
    </row>
    <row r="4393" spans="1:23" hidden="1" x14ac:dyDescent="0.25">
      <c r="A4393" s="45">
        <v>46073</v>
      </c>
      <c r="B4393" s="46" t="s">
        <v>334</v>
      </c>
      <c r="C4393" s="4" t="s">
        <v>728</v>
      </c>
      <c r="D4393" s="4"/>
      <c r="E4393" s="4" t="s">
        <v>921</v>
      </c>
      <c r="F4393" s="46" t="s">
        <v>2203</v>
      </c>
      <c r="G4393" s="4" t="s">
        <v>336</v>
      </c>
      <c r="H4393" s="4" t="s">
        <v>380</v>
      </c>
      <c r="I4393" s="4">
        <v>0.21739130434782608</v>
      </c>
      <c r="J4393" s="21">
        <v>690</v>
      </c>
      <c r="K4393" s="21">
        <v>150</v>
      </c>
      <c r="L4393" s="5">
        <v>0</v>
      </c>
      <c r="M4393" s="4"/>
      <c r="N4393" s="4"/>
      <c r="O4393" s="5"/>
      <c r="P4393" s="5"/>
      <c r="Q4393" s="21">
        <v>0</v>
      </c>
      <c r="R4393" s="21">
        <v>0</v>
      </c>
      <c r="S4393" s="5">
        <f t="shared" si="275"/>
        <v>43456.45855302643</v>
      </c>
      <c r="T4393" cm="1">
        <f t="array" ref="T4393">IF(OR(B4393="MAL ALIMI", B4393="ÜRETİM GİRİŞ"), MIN(I4393, MAX(0, I4393 + SUM(SUMIFS($I$1:I4392, $C$1:C4392, C4393, $B$1:B4392, {"MAL ALIMI","ÜRETİM GİRİŞ"})) - VLOOKUP(C4393, 'STOK RAPORU'!$C$2:$I$1000, 4, 0))), 0)</f>
        <v>0</v>
      </c>
      <c r="U4393" s="22">
        <f t="shared" si="272"/>
        <v>0</v>
      </c>
      <c r="V4393">
        <f t="shared" si="273"/>
        <v>0</v>
      </c>
      <c r="W4393" s="22">
        <f t="shared" si="274"/>
        <v>0</v>
      </c>
    </row>
    <row r="4394" spans="1:23" hidden="1" x14ac:dyDescent="0.25">
      <c r="A4394" s="45">
        <v>46073</v>
      </c>
      <c r="B4394" s="46" t="s">
        <v>334</v>
      </c>
      <c r="C4394" s="4" t="s">
        <v>1897</v>
      </c>
      <c r="D4394" s="4"/>
      <c r="E4394" s="4"/>
      <c r="F4394" s="46" t="s">
        <v>2204</v>
      </c>
      <c r="G4394" s="4" t="s">
        <v>336</v>
      </c>
      <c r="H4394" s="4" t="s">
        <v>289</v>
      </c>
      <c r="I4394" s="4">
        <v>1</v>
      </c>
      <c r="J4394" s="21">
        <v>295</v>
      </c>
      <c r="K4394" s="21">
        <v>0</v>
      </c>
      <c r="L4394" s="5">
        <v>0</v>
      </c>
      <c r="M4394" s="4"/>
      <c r="N4394" s="4"/>
      <c r="O4394" s="5"/>
      <c r="P4394" s="5"/>
      <c r="Q4394" s="21">
        <v>295</v>
      </c>
      <c r="R4394" s="21">
        <v>0</v>
      </c>
      <c r="S4394" s="5">
        <f t="shared" si="275"/>
        <v>43751.45855302643</v>
      </c>
      <c r="T4394" cm="1">
        <f t="array" ref="T4394">IF(OR(B4394="MAL ALIMI", B4394="ÜRETİM GİRİŞ"), MIN(I4394, MAX(0, I4394 + SUM(SUMIFS($I$1:I4393, $C$1:C4393, C4394, $B$1:B4393, {"MAL ALIMI","ÜRETİM GİRİŞ"})) - VLOOKUP(C4394, 'STOK RAPORU'!$C$2:$I$1000, 4, 0))), 0)</f>
        <v>0</v>
      </c>
      <c r="U4394" s="22">
        <f t="shared" si="272"/>
        <v>0</v>
      </c>
      <c r="V4394">
        <f t="shared" si="273"/>
        <v>0</v>
      </c>
      <c r="W4394" s="22">
        <f t="shared" si="274"/>
        <v>0</v>
      </c>
    </row>
    <row r="4395" spans="1:23" hidden="1" x14ac:dyDescent="0.25">
      <c r="A4395" s="45">
        <v>46073</v>
      </c>
      <c r="B4395" s="46" t="s">
        <v>334</v>
      </c>
      <c r="C4395" s="4" t="s">
        <v>91</v>
      </c>
      <c r="D4395" s="4"/>
      <c r="E4395" s="4"/>
      <c r="F4395" s="46" t="s">
        <v>2205</v>
      </c>
      <c r="G4395" s="4" t="s">
        <v>336</v>
      </c>
      <c r="H4395" s="4" t="s">
        <v>289</v>
      </c>
      <c r="I4395" s="4">
        <v>6.6666666666666666E-2</v>
      </c>
      <c r="J4395" s="21">
        <v>750</v>
      </c>
      <c r="K4395" s="21">
        <v>0</v>
      </c>
      <c r="L4395" s="5">
        <v>0</v>
      </c>
      <c r="M4395" s="4"/>
      <c r="N4395" s="4"/>
      <c r="O4395" s="5"/>
      <c r="P4395" s="5"/>
      <c r="Q4395" s="21">
        <v>50</v>
      </c>
      <c r="R4395" s="21">
        <v>0</v>
      </c>
      <c r="S4395" s="5">
        <f t="shared" si="275"/>
        <v>43801.45855302643</v>
      </c>
      <c r="T4395" cm="1">
        <f t="array" ref="T4395">IF(OR(B4395="MAL ALIMI", B4395="ÜRETİM GİRİŞ"), MIN(I4395, MAX(0, I4395 + SUM(SUMIFS($I$1:I4394, $C$1:C4394, C4395, $B$1:B4394, {"MAL ALIMI","ÜRETİM GİRİŞ"})) - VLOOKUP(C4395, 'STOK RAPORU'!$C$2:$I$1000, 4, 0))), 0)</f>
        <v>0</v>
      </c>
      <c r="U4395" s="22">
        <f t="shared" si="272"/>
        <v>0</v>
      </c>
      <c r="V4395">
        <f t="shared" si="273"/>
        <v>0</v>
      </c>
      <c r="W4395" s="22">
        <f t="shared" si="274"/>
        <v>0</v>
      </c>
    </row>
    <row r="4396" spans="1:23" hidden="1" x14ac:dyDescent="0.25">
      <c r="A4396" s="3">
        <v>46073</v>
      </c>
      <c r="B4396" s="4" t="s">
        <v>946</v>
      </c>
      <c r="C4396" s="4"/>
      <c r="D4396" s="4"/>
      <c r="E4396" s="4" t="s">
        <v>921</v>
      </c>
      <c r="F4396" s="4"/>
      <c r="G4396" s="4" t="s">
        <v>946</v>
      </c>
      <c r="H4396" s="4" t="s">
        <v>380</v>
      </c>
      <c r="I4396" s="4">
        <v>1</v>
      </c>
      <c r="J4396" s="105">
        <v>216</v>
      </c>
      <c r="K4396" s="21">
        <v>0</v>
      </c>
      <c r="L4396" s="111">
        <v>216</v>
      </c>
      <c r="M4396" s="4"/>
      <c r="N4396" s="4"/>
      <c r="O4396" s="5"/>
      <c r="P4396" s="5"/>
      <c r="Q4396" s="21">
        <v>216</v>
      </c>
      <c r="R4396" s="21">
        <v>0</v>
      </c>
      <c r="S4396" s="5">
        <f t="shared" si="275"/>
        <v>44017.45855302643</v>
      </c>
      <c r="T4396" cm="1">
        <f t="array" ref="T4396">IF(OR(B4396="MAL ALIMI", B4396="ÜRETİM GİRİŞ"), MIN(I4396, MAX(0, I4396 + SUM(SUMIFS($I$1:I4395, $C$1:C4395, C4396, $B$1:B4395, {"MAL ALIMI","ÜRETİM GİRİŞ"})) - VLOOKUP(C4396, 'STOK RAPORU'!$C$2:$I$1000, 4, 0))), 0)</f>
        <v>0</v>
      </c>
      <c r="U4396" s="22">
        <f t="shared" si="272"/>
        <v>0</v>
      </c>
      <c r="V4396">
        <f t="shared" si="273"/>
        <v>0</v>
      </c>
      <c r="W4396" s="22">
        <f t="shared" si="274"/>
        <v>0</v>
      </c>
    </row>
    <row r="4397" spans="1:23" hidden="1" x14ac:dyDescent="0.25">
      <c r="A4397" s="3">
        <v>46073</v>
      </c>
      <c r="B4397" s="4" t="s">
        <v>946</v>
      </c>
      <c r="C4397" s="4"/>
      <c r="D4397" s="4"/>
      <c r="E4397" s="4" t="s">
        <v>921</v>
      </c>
      <c r="F4397" s="4"/>
      <c r="G4397" s="4" t="s">
        <v>946</v>
      </c>
      <c r="H4397" s="4" t="s">
        <v>380</v>
      </c>
      <c r="I4397" s="4">
        <v>1</v>
      </c>
      <c r="J4397" s="105">
        <v>1065</v>
      </c>
      <c r="K4397" s="21">
        <v>0</v>
      </c>
      <c r="L4397" s="111">
        <v>1065</v>
      </c>
      <c r="M4397" s="4"/>
      <c r="N4397" s="4"/>
      <c r="O4397" s="5"/>
      <c r="P4397" s="5"/>
      <c r="Q4397" s="21">
        <v>1065</v>
      </c>
      <c r="R4397" s="21">
        <v>0</v>
      </c>
      <c r="S4397" s="5">
        <f t="shared" si="275"/>
        <v>45082.45855302643</v>
      </c>
      <c r="T4397" cm="1">
        <f t="array" ref="T4397">IF(OR(B4397="MAL ALIMI", B4397="ÜRETİM GİRİŞ"), MIN(I4397, MAX(0, I4397 + SUM(SUMIFS($I$1:I4396, $C$1:C4396, C4397, $B$1:B4396, {"MAL ALIMI","ÜRETİM GİRİŞ"})) - VLOOKUP(C4397, 'STOK RAPORU'!$C$2:$I$1000, 4, 0))), 0)</f>
        <v>0</v>
      </c>
      <c r="U4397" s="22">
        <f t="shared" si="272"/>
        <v>0</v>
      </c>
      <c r="V4397">
        <f t="shared" si="273"/>
        <v>0</v>
      </c>
      <c r="W4397" s="22">
        <f t="shared" si="274"/>
        <v>0</v>
      </c>
    </row>
    <row r="4398" spans="1:23" hidden="1" x14ac:dyDescent="0.25">
      <c r="A4398" s="3">
        <v>46073</v>
      </c>
      <c r="B4398" s="4" t="s">
        <v>946</v>
      </c>
      <c r="C4398" s="4"/>
      <c r="D4398" s="4"/>
      <c r="E4398" s="4" t="s">
        <v>921</v>
      </c>
      <c r="F4398" s="4"/>
      <c r="G4398" s="4" t="s">
        <v>946</v>
      </c>
      <c r="H4398" s="4" t="s">
        <v>380</v>
      </c>
      <c r="I4398" s="4">
        <v>1</v>
      </c>
      <c r="J4398" s="108">
        <v>150</v>
      </c>
      <c r="K4398" s="21">
        <v>0</v>
      </c>
      <c r="L4398" s="111">
        <v>150</v>
      </c>
      <c r="M4398" s="4"/>
      <c r="N4398" s="4"/>
      <c r="O4398" s="5"/>
      <c r="P4398" s="5"/>
      <c r="Q4398" s="21">
        <v>150</v>
      </c>
      <c r="R4398" s="21">
        <v>0</v>
      </c>
      <c r="S4398" s="5">
        <f t="shared" si="275"/>
        <v>45232.45855302643</v>
      </c>
      <c r="T4398" cm="1">
        <f t="array" ref="T4398">IF(OR(B4398="MAL ALIMI", B4398="ÜRETİM GİRİŞ"), MIN(I4398, MAX(0, I4398 + SUM(SUMIFS($I$1:I4397, $C$1:C4397, C4398, $B$1:B4397, {"MAL ALIMI","ÜRETİM GİRİŞ"})) - VLOOKUP(C4398, 'STOK RAPORU'!$C$2:$I$1000, 4, 0))), 0)</f>
        <v>0</v>
      </c>
      <c r="U4398" s="22">
        <f t="shared" si="272"/>
        <v>0</v>
      </c>
      <c r="V4398">
        <f t="shared" si="273"/>
        <v>0</v>
      </c>
      <c r="W4398" s="22">
        <f t="shared" si="274"/>
        <v>0</v>
      </c>
    </row>
    <row r="4399" spans="1:23" hidden="1" x14ac:dyDescent="0.25">
      <c r="A4399" s="45">
        <v>46074</v>
      </c>
      <c r="B4399" s="46" t="s">
        <v>334</v>
      </c>
      <c r="C4399" s="4" t="s">
        <v>160</v>
      </c>
      <c r="D4399" s="4"/>
      <c r="E4399" s="4" t="s">
        <v>921</v>
      </c>
      <c r="F4399" s="46" t="s">
        <v>2207</v>
      </c>
      <c r="G4399" s="4" t="s">
        <v>336</v>
      </c>
      <c r="H4399" s="4" t="s">
        <v>380</v>
      </c>
      <c r="I4399" s="4">
        <v>1</v>
      </c>
      <c r="J4399" s="21">
        <v>250</v>
      </c>
      <c r="K4399" s="21">
        <v>250</v>
      </c>
      <c r="L4399" s="5">
        <v>0</v>
      </c>
      <c r="M4399" s="4"/>
      <c r="N4399" s="4"/>
      <c r="O4399" s="5"/>
      <c r="P4399" s="5"/>
      <c r="Q4399" s="21">
        <v>0</v>
      </c>
      <c r="R4399" s="21">
        <v>0</v>
      </c>
      <c r="S4399" s="5">
        <f t="shared" si="275"/>
        <v>45232.45855302643</v>
      </c>
      <c r="T4399" cm="1">
        <f t="array" ref="T4399">IF(OR(B4399="MAL ALIMI", B4399="ÜRETİM GİRİŞ"), MIN(I4399, MAX(0, I4399 + SUM(SUMIFS($I$1:I4398, $C$1:C4398, C4399, $B$1:B4398, {"MAL ALIMI","ÜRETİM GİRİŞ"})) - VLOOKUP(C4399, 'STOK RAPORU'!$C$2:$I$1000, 4, 0))), 0)</f>
        <v>0</v>
      </c>
      <c r="U4399" s="22">
        <f t="shared" si="272"/>
        <v>0</v>
      </c>
      <c r="V4399">
        <f t="shared" si="273"/>
        <v>0</v>
      </c>
      <c r="W4399" s="22">
        <f t="shared" si="274"/>
        <v>0</v>
      </c>
    </row>
    <row r="4400" spans="1:23" hidden="1" x14ac:dyDescent="0.25">
      <c r="A4400" s="45">
        <v>46074</v>
      </c>
      <c r="B4400" s="46" t="s">
        <v>334</v>
      </c>
      <c r="C4400" s="4" t="s">
        <v>129</v>
      </c>
      <c r="D4400" s="4"/>
      <c r="E4400" s="4" t="s">
        <v>921</v>
      </c>
      <c r="F4400" s="46" t="s">
        <v>2208</v>
      </c>
      <c r="G4400" s="4" t="s">
        <v>336</v>
      </c>
      <c r="H4400" s="4" t="s">
        <v>380</v>
      </c>
      <c r="I4400" s="4">
        <v>0.25</v>
      </c>
      <c r="J4400" s="21">
        <v>400</v>
      </c>
      <c r="K4400" s="21">
        <v>100</v>
      </c>
      <c r="L4400" s="5">
        <v>0</v>
      </c>
      <c r="M4400" s="4"/>
      <c r="N4400" s="4"/>
      <c r="O4400" s="5"/>
      <c r="P4400" s="5"/>
      <c r="Q4400" s="21">
        <v>0</v>
      </c>
      <c r="R4400" s="21">
        <v>0</v>
      </c>
      <c r="S4400" s="5">
        <f t="shared" si="275"/>
        <v>45232.45855302643</v>
      </c>
      <c r="T4400" cm="1">
        <f t="array" ref="T4400">IF(OR(B4400="MAL ALIMI", B4400="ÜRETİM GİRİŞ"), MIN(I4400, MAX(0, I4400 + SUM(SUMIFS($I$1:I4399, $C$1:C4399, C4400, $B$1:B4399, {"MAL ALIMI","ÜRETİM GİRİŞ"})) - VLOOKUP(C4400, 'STOK RAPORU'!$C$2:$I$1000, 4, 0))), 0)</f>
        <v>0</v>
      </c>
      <c r="U4400" s="22">
        <f t="shared" si="272"/>
        <v>0</v>
      </c>
      <c r="V4400">
        <f t="shared" si="273"/>
        <v>0</v>
      </c>
      <c r="W4400" s="22">
        <f t="shared" si="274"/>
        <v>0</v>
      </c>
    </row>
    <row r="4401" spans="1:23" hidden="1" x14ac:dyDescent="0.25">
      <c r="A4401" s="45">
        <v>46074</v>
      </c>
      <c r="B4401" s="46" t="s">
        <v>334</v>
      </c>
      <c r="C4401" s="4" t="s">
        <v>463</v>
      </c>
      <c r="D4401" s="4"/>
      <c r="E4401" s="4" t="s">
        <v>921</v>
      </c>
      <c r="F4401" s="46" t="s">
        <v>2208</v>
      </c>
      <c r="G4401" s="4" t="s">
        <v>336</v>
      </c>
      <c r="H4401" s="4" t="s">
        <v>380</v>
      </c>
      <c r="I4401" s="4">
        <v>0.16250000000000001</v>
      </c>
      <c r="J4401" s="21">
        <v>400</v>
      </c>
      <c r="K4401" s="21">
        <v>65</v>
      </c>
      <c r="L4401" s="5">
        <v>0</v>
      </c>
      <c r="M4401" s="4"/>
      <c r="N4401" s="4"/>
      <c r="O4401" s="5"/>
      <c r="P4401" s="5"/>
      <c r="Q4401" s="21">
        <v>0</v>
      </c>
      <c r="R4401" s="21">
        <v>0</v>
      </c>
      <c r="S4401" s="5">
        <f t="shared" si="275"/>
        <v>45232.45855302643</v>
      </c>
      <c r="T4401" cm="1">
        <f t="array" ref="T4401">IF(OR(B4401="MAL ALIMI", B4401="ÜRETİM GİRİŞ"), MIN(I4401, MAX(0, I4401 + SUM(SUMIFS($I$1:I4400, $C$1:C4400, C4401, $B$1:B4400, {"MAL ALIMI","ÜRETİM GİRİŞ"})) - VLOOKUP(C4401, 'STOK RAPORU'!$C$2:$I$1000, 4, 0))), 0)</f>
        <v>0</v>
      </c>
      <c r="U4401" s="22">
        <f t="shared" si="272"/>
        <v>0</v>
      </c>
      <c r="V4401">
        <f t="shared" si="273"/>
        <v>0</v>
      </c>
      <c r="W4401" s="22">
        <f t="shared" si="274"/>
        <v>0</v>
      </c>
    </row>
    <row r="4402" spans="1:23" hidden="1" x14ac:dyDescent="0.25">
      <c r="A4402" s="45">
        <v>46074</v>
      </c>
      <c r="B4402" s="46" t="s">
        <v>334</v>
      </c>
      <c r="C4402" s="4" t="s">
        <v>168</v>
      </c>
      <c r="D4402" s="4"/>
      <c r="E4402" s="4" t="s">
        <v>921</v>
      </c>
      <c r="F4402" s="46" t="s">
        <v>2208</v>
      </c>
      <c r="G4402" s="4" t="s">
        <v>336</v>
      </c>
      <c r="H4402" s="4" t="s">
        <v>380</v>
      </c>
      <c r="I4402" s="4">
        <v>1</v>
      </c>
      <c r="J4402" s="21">
        <v>230</v>
      </c>
      <c r="K4402" s="21">
        <v>230</v>
      </c>
      <c r="L4402" s="5">
        <v>0</v>
      </c>
      <c r="M4402" s="4"/>
      <c r="N4402" s="4"/>
      <c r="O4402" s="5"/>
      <c r="P4402" s="5"/>
      <c r="Q4402" s="21">
        <v>0</v>
      </c>
      <c r="R4402" s="21">
        <v>0</v>
      </c>
      <c r="S4402" s="5">
        <f t="shared" si="275"/>
        <v>45232.45855302643</v>
      </c>
      <c r="T4402" cm="1">
        <f t="array" ref="T4402">IF(OR(B4402="MAL ALIMI", B4402="ÜRETİM GİRİŞ"), MIN(I4402, MAX(0, I4402 + SUM(SUMIFS($I$1:I4401, $C$1:C4401, C4402, $B$1:B4401, {"MAL ALIMI","ÜRETİM GİRİŞ"})) - VLOOKUP(C4402, 'STOK RAPORU'!$C$2:$I$1000, 4, 0))), 0)</f>
        <v>0</v>
      </c>
      <c r="U4402" s="22">
        <f t="shared" si="272"/>
        <v>0</v>
      </c>
      <c r="V4402">
        <f t="shared" si="273"/>
        <v>0</v>
      </c>
      <c r="W4402" s="22">
        <f t="shared" si="274"/>
        <v>0</v>
      </c>
    </row>
    <row r="4403" spans="1:23" hidden="1" x14ac:dyDescent="0.25">
      <c r="A4403" s="45">
        <v>46074</v>
      </c>
      <c r="B4403" s="46" t="s">
        <v>334</v>
      </c>
      <c r="C4403" s="4" t="s">
        <v>160</v>
      </c>
      <c r="D4403" s="4"/>
      <c r="E4403" s="4" t="s">
        <v>921</v>
      </c>
      <c r="F4403" s="46" t="s">
        <v>2208</v>
      </c>
      <c r="G4403" s="4" t="s">
        <v>336</v>
      </c>
      <c r="H4403" s="4" t="s">
        <v>380</v>
      </c>
      <c r="I4403" s="4">
        <v>1</v>
      </c>
      <c r="J4403" s="21">
        <v>250</v>
      </c>
      <c r="K4403" s="21">
        <v>250</v>
      </c>
      <c r="L4403" s="5">
        <v>0</v>
      </c>
      <c r="M4403" s="4"/>
      <c r="N4403" s="4"/>
      <c r="O4403" s="5"/>
      <c r="P4403" s="5"/>
      <c r="Q4403" s="21">
        <v>0</v>
      </c>
      <c r="R4403" s="21">
        <v>0</v>
      </c>
      <c r="S4403" s="5">
        <f t="shared" si="275"/>
        <v>45232.45855302643</v>
      </c>
      <c r="T4403" cm="1">
        <f t="array" ref="T4403">IF(OR(B4403="MAL ALIMI", B4403="ÜRETİM GİRİŞ"), MIN(I4403, MAX(0, I4403 + SUM(SUMIFS($I$1:I4402, $C$1:C4402, C4403, $B$1:B4402, {"MAL ALIMI","ÜRETİM GİRİŞ"})) - VLOOKUP(C4403, 'STOK RAPORU'!$C$2:$I$1000, 4, 0))), 0)</f>
        <v>0</v>
      </c>
      <c r="U4403" s="22">
        <f t="shared" si="272"/>
        <v>0</v>
      </c>
      <c r="V4403">
        <f t="shared" si="273"/>
        <v>0</v>
      </c>
      <c r="W4403" s="22">
        <f t="shared" si="274"/>
        <v>0</v>
      </c>
    </row>
    <row r="4404" spans="1:23" hidden="1" x14ac:dyDescent="0.25">
      <c r="A4404" s="45">
        <v>46074</v>
      </c>
      <c r="B4404" s="46" t="s">
        <v>334</v>
      </c>
      <c r="C4404" s="4" t="s">
        <v>1634</v>
      </c>
      <c r="D4404" s="4"/>
      <c r="E4404" s="4"/>
      <c r="F4404" s="46" t="s">
        <v>2209</v>
      </c>
      <c r="G4404" s="4" t="s">
        <v>336</v>
      </c>
      <c r="H4404" s="4" t="s">
        <v>289</v>
      </c>
      <c r="I4404" s="4">
        <v>0.5</v>
      </c>
      <c r="J4404" s="21">
        <v>300</v>
      </c>
      <c r="K4404" s="21">
        <v>0</v>
      </c>
      <c r="L4404" s="5">
        <v>0</v>
      </c>
      <c r="M4404" s="4"/>
      <c r="N4404" s="4"/>
      <c r="O4404" s="5"/>
      <c r="P4404" s="5"/>
      <c r="Q4404" s="21">
        <v>150</v>
      </c>
      <c r="R4404" s="21">
        <v>0</v>
      </c>
      <c r="S4404" s="5">
        <f t="shared" si="275"/>
        <v>45382.45855302643</v>
      </c>
      <c r="T4404" cm="1">
        <f t="array" ref="T4404">IF(OR(B4404="MAL ALIMI", B4404="ÜRETİM GİRİŞ"), MIN(I4404, MAX(0, I4404 + SUM(SUMIFS($I$1:I4403, $C$1:C4403, C4404, $B$1:B4403, {"MAL ALIMI","ÜRETİM GİRİŞ"})) - VLOOKUP(C4404, 'STOK RAPORU'!$C$2:$I$1000, 4, 0))), 0)</f>
        <v>0</v>
      </c>
      <c r="U4404" s="22">
        <f t="shared" ref="U4404:U4467" si="276">T4404*J4404</f>
        <v>0</v>
      </c>
      <c r="V4404">
        <f t="shared" ref="V4404:V4467" si="277">IF(OR(B4404="MAL ALIMI", B4404="ÜRETİM GİRİŞ"), I4404 * J4404, 0)</f>
        <v>0</v>
      </c>
      <c r="W4404" s="22">
        <f t="shared" ref="W4404:W4467" si="278">V4404-U4404</f>
        <v>0</v>
      </c>
    </row>
    <row r="4405" spans="1:23" hidden="1" x14ac:dyDescent="0.25">
      <c r="A4405" s="45">
        <v>46074</v>
      </c>
      <c r="B4405" s="46" t="s">
        <v>334</v>
      </c>
      <c r="C4405" s="4" t="s">
        <v>198</v>
      </c>
      <c r="D4405" s="4"/>
      <c r="E4405" s="4"/>
      <c r="F4405" s="46" t="s">
        <v>2210</v>
      </c>
      <c r="G4405" s="4" t="s">
        <v>336</v>
      </c>
      <c r="H4405" s="4" t="s">
        <v>289</v>
      </c>
      <c r="I4405" s="4">
        <v>0.05</v>
      </c>
      <c r="J4405" s="21">
        <v>1400</v>
      </c>
      <c r="K4405" s="21">
        <v>0</v>
      </c>
      <c r="L4405" s="5">
        <v>0</v>
      </c>
      <c r="M4405" s="4"/>
      <c r="N4405" s="4"/>
      <c r="O4405" s="5"/>
      <c r="P4405" s="5"/>
      <c r="Q4405" s="21">
        <v>70</v>
      </c>
      <c r="R4405" s="21">
        <v>0</v>
      </c>
      <c r="S4405" s="5">
        <f t="shared" si="275"/>
        <v>45452.45855302643</v>
      </c>
      <c r="T4405" cm="1">
        <f t="array" ref="T4405">IF(OR(B4405="MAL ALIMI", B4405="ÜRETİM GİRİŞ"), MIN(I4405, MAX(0, I4405 + SUM(SUMIFS($I$1:I4404, $C$1:C4404, C4405, $B$1:B4404, {"MAL ALIMI","ÜRETİM GİRİŞ"})) - VLOOKUP(C4405, 'STOK RAPORU'!$C$2:$I$1000, 4, 0))), 0)</f>
        <v>0</v>
      </c>
      <c r="U4405" s="22">
        <f t="shared" si="276"/>
        <v>0</v>
      </c>
      <c r="V4405">
        <f t="shared" si="277"/>
        <v>0</v>
      </c>
      <c r="W4405" s="22">
        <f t="shared" si="278"/>
        <v>0</v>
      </c>
    </row>
    <row r="4406" spans="1:23" hidden="1" x14ac:dyDescent="0.25">
      <c r="A4406" s="45">
        <v>46074</v>
      </c>
      <c r="B4406" s="46" t="s">
        <v>334</v>
      </c>
      <c r="C4406" s="4" t="s">
        <v>133</v>
      </c>
      <c r="D4406" s="4"/>
      <c r="E4406" s="4"/>
      <c r="F4406" s="46" t="s">
        <v>2210</v>
      </c>
      <c r="G4406" s="4" t="s">
        <v>336</v>
      </c>
      <c r="H4406" s="4" t="s">
        <v>289</v>
      </c>
      <c r="I4406" s="4">
        <v>0.1</v>
      </c>
      <c r="J4406" s="21">
        <v>400</v>
      </c>
      <c r="K4406" s="21">
        <v>0</v>
      </c>
      <c r="L4406" s="5">
        <v>0</v>
      </c>
      <c r="M4406" s="4"/>
      <c r="N4406" s="4"/>
      <c r="O4406" s="5"/>
      <c r="P4406" s="5"/>
      <c r="Q4406" s="21">
        <v>40</v>
      </c>
      <c r="R4406" s="21">
        <v>0</v>
      </c>
      <c r="S4406" s="5">
        <f t="shared" si="275"/>
        <v>45492.45855302643</v>
      </c>
      <c r="T4406" cm="1">
        <f t="array" ref="T4406">IF(OR(B4406="MAL ALIMI", B4406="ÜRETİM GİRİŞ"), MIN(I4406, MAX(0, I4406 + SUM(SUMIFS($I$1:I4405, $C$1:C4405, C4406, $B$1:B4405, {"MAL ALIMI","ÜRETİM GİRİŞ"})) - VLOOKUP(C4406, 'STOK RAPORU'!$C$2:$I$1000, 4, 0))), 0)</f>
        <v>0</v>
      </c>
      <c r="U4406" s="22">
        <f t="shared" si="276"/>
        <v>0</v>
      </c>
      <c r="V4406">
        <f t="shared" si="277"/>
        <v>0</v>
      </c>
      <c r="W4406" s="22">
        <f t="shared" si="278"/>
        <v>0</v>
      </c>
    </row>
    <row r="4407" spans="1:23" hidden="1" x14ac:dyDescent="0.25">
      <c r="A4407" s="45">
        <v>46074</v>
      </c>
      <c r="B4407" s="46" t="s">
        <v>334</v>
      </c>
      <c r="C4407" s="4" t="s">
        <v>160</v>
      </c>
      <c r="D4407" s="4"/>
      <c r="E4407" s="4"/>
      <c r="F4407" s="46" t="s">
        <v>2211</v>
      </c>
      <c r="G4407" s="4" t="s">
        <v>336</v>
      </c>
      <c r="H4407" s="4" t="s">
        <v>289</v>
      </c>
      <c r="I4407" s="4">
        <v>1</v>
      </c>
      <c r="J4407" s="21">
        <v>250</v>
      </c>
      <c r="K4407" s="21">
        <v>0</v>
      </c>
      <c r="L4407" s="5">
        <v>0</v>
      </c>
      <c r="M4407" s="4"/>
      <c r="N4407" s="4"/>
      <c r="O4407" s="5"/>
      <c r="P4407" s="5"/>
      <c r="Q4407" s="21">
        <v>250</v>
      </c>
      <c r="R4407" s="21">
        <v>0</v>
      </c>
      <c r="S4407" s="5">
        <f t="shared" si="275"/>
        <v>45742.45855302643</v>
      </c>
      <c r="T4407" cm="1">
        <f t="array" ref="T4407">IF(OR(B4407="MAL ALIMI", B4407="ÜRETİM GİRİŞ"), MIN(I4407, MAX(0, I4407 + SUM(SUMIFS($I$1:I4406, $C$1:C4406, C4407, $B$1:B4406, {"MAL ALIMI","ÜRETİM GİRİŞ"})) - VLOOKUP(C4407, 'STOK RAPORU'!$C$2:$I$1000, 4, 0))), 0)</f>
        <v>0</v>
      </c>
      <c r="U4407" s="22">
        <f t="shared" si="276"/>
        <v>0</v>
      </c>
      <c r="V4407">
        <f t="shared" si="277"/>
        <v>0</v>
      </c>
      <c r="W4407" s="22">
        <f t="shared" si="278"/>
        <v>0</v>
      </c>
    </row>
    <row r="4408" spans="1:23" hidden="1" x14ac:dyDescent="0.25">
      <c r="A4408" s="45">
        <v>46074</v>
      </c>
      <c r="B4408" s="46" t="s">
        <v>334</v>
      </c>
      <c r="C4408" s="4" t="s">
        <v>161</v>
      </c>
      <c r="D4408" s="4"/>
      <c r="E4408" s="4"/>
      <c r="F4408" s="46" t="s">
        <v>2211</v>
      </c>
      <c r="G4408" s="4" t="s">
        <v>336</v>
      </c>
      <c r="H4408" s="4" t="s">
        <v>289</v>
      </c>
      <c r="I4408" s="4">
        <v>1</v>
      </c>
      <c r="J4408" s="21">
        <v>230</v>
      </c>
      <c r="K4408" s="21">
        <v>0</v>
      </c>
      <c r="L4408" s="5">
        <v>0</v>
      </c>
      <c r="M4408" s="4"/>
      <c r="N4408" s="4"/>
      <c r="O4408" s="5"/>
      <c r="P4408" s="5"/>
      <c r="Q4408" s="21">
        <v>230</v>
      </c>
      <c r="R4408" s="21">
        <v>0</v>
      </c>
      <c r="S4408" s="5">
        <f t="shared" si="275"/>
        <v>45972.45855302643</v>
      </c>
      <c r="T4408" cm="1">
        <f t="array" ref="T4408">IF(OR(B4408="MAL ALIMI", B4408="ÜRETİM GİRİŞ"), MIN(I4408, MAX(0, I4408 + SUM(SUMIFS($I$1:I4407, $C$1:C4407, C4408, $B$1:B4407, {"MAL ALIMI","ÜRETİM GİRİŞ"})) - VLOOKUP(C4408, 'STOK RAPORU'!$C$2:$I$1000, 4, 0))), 0)</f>
        <v>0</v>
      </c>
      <c r="U4408" s="22">
        <f t="shared" si="276"/>
        <v>0</v>
      </c>
      <c r="V4408">
        <f t="shared" si="277"/>
        <v>0</v>
      </c>
      <c r="W4408" s="22">
        <f t="shared" si="278"/>
        <v>0</v>
      </c>
    </row>
    <row r="4409" spans="1:23" hidden="1" x14ac:dyDescent="0.25">
      <c r="A4409" s="45">
        <v>46074</v>
      </c>
      <c r="B4409" s="46" t="s">
        <v>334</v>
      </c>
      <c r="C4409" s="4" t="s">
        <v>1203</v>
      </c>
      <c r="D4409" s="4"/>
      <c r="E4409" s="4" t="s">
        <v>921</v>
      </c>
      <c r="F4409" s="46" t="s">
        <v>2212</v>
      </c>
      <c r="G4409" s="4" t="s">
        <v>336</v>
      </c>
      <c r="H4409" s="4" t="s">
        <v>380</v>
      </c>
      <c r="I4409" s="4">
        <v>1</v>
      </c>
      <c r="J4409" s="21">
        <v>140</v>
      </c>
      <c r="K4409" s="21">
        <v>140</v>
      </c>
      <c r="L4409" s="5">
        <v>0</v>
      </c>
      <c r="M4409" s="4"/>
      <c r="N4409" s="4"/>
      <c r="O4409" s="5"/>
      <c r="P4409" s="5"/>
      <c r="Q4409" s="21">
        <v>0</v>
      </c>
      <c r="R4409" s="21">
        <v>0</v>
      </c>
      <c r="S4409" s="5">
        <f t="shared" si="275"/>
        <v>45972.45855302643</v>
      </c>
      <c r="T4409" cm="1">
        <f t="array" ref="T4409">IF(OR(B4409="MAL ALIMI", B4409="ÜRETİM GİRİŞ"), MIN(I4409, MAX(0, I4409 + SUM(SUMIFS($I$1:I4408, $C$1:C4408, C4409, $B$1:B4408, {"MAL ALIMI","ÜRETİM GİRİŞ"})) - VLOOKUP(C4409, 'STOK RAPORU'!$C$2:$I$1000, 4, 0))), 0)</f>
        <v>0</v>
      </c>
      <c r="U4409" s="22">
        <f t="shared" si="276"/>
        <v>0</v>
      </c>
      <c r="V4409">
        <f t="shared" si="277"/>
        <v>0</v>
      </c>
      <c r="W4409" s="22">
        <f t="shared" si="278"/>
        <v>0</v>
      </c>
    </row>
    <row r="4410" spans="1:23" hidden="1" x14ac:dyDescent="0.25">
      <c r="A4410" s="45">
        <v>46074</v>
      </c>
      <c r="B4410" s="46" t="s">
        <v>334</v>
      </c>
      <c r="C4410" s="4" t="s">
        <v>2124</v>
      </c>
      <c r="D4410" s="4"/>
      <c r="E4410" s="4" t="s">
        <v>921</v>
      </c>
      <c r="F4410" s="46" t="s">
        <v>2213</v>
      </c>
      <c r="G4410" s="4" t="s">
        <v>336</v>
      </c>
      <c r="H4410" s="4" t="s">
        <v>380</v>
      </c>
      <c r="I4410" s="4">
        <v>0.88</v>
      </c>
      <c r="J4410" s="21">
        <v>550</v>
      </c>
      <c r="K4410" s="21">
        <v>484</v>
      </c>
      <c r="L4410" s="5">
        <v>0</v>
      </c>
      <c r="M4410" s="4"/>
      <c r="N4410" s="4"/>
      <c r="O4410" s="5"/>
      <c r="P4410" s="5"/>
      <c r="Q4410" s="21">
        <v>0</v>
      </c>
      <c r="R4410" s="21">
        <v>0</v>
      </c>
      <c r="S4410" s="5">
        <f t="shared" si="275"/>
        <v>45972.45855302643</v>
      </c>
      <c r="T4410" cm="1">
        <f t="array" ref="T4410">IF(OR(B4410="MAL ALIMI", B4410="ÜRETİM GİRİŞ"), MIN(I4410, MAX(0, I4410 + SUM(SUMIFS($I$1:I4409, $C$1:C4409, C4410, $B$1:B4409, {"MAL ALIMI","ÜRETİM GİRİŞ"})) - VLOOKUP(C4410, 'STOK RAPORU'!$C$2:$I$1000, 4, 0))), 0)</f>
        <v>0</v>
      </c>
      <c r="U4410" s="22">
        <f t="shared" si="276"/>
        <v>0</v>
      </c>
      <c r="V4410">
        <f t="shared" si="277"/>
        <v>0</v>
      </c>
      <c r="W4410" s="22">
        <f t="shared" si="278"/>
        <v>0</v>
      </c>
    </row>
    <row r="4411" spans="1:23" hidden="1" x14ac:dyDescent="0.25">
      <c r="A4411" s="45">
        <v>46074</v>
      </c>
      <c r="B4411" s="46" t="s">
        <v>334</v>
      </c>
      <c r="C4411" s="4" t="s">
        <v>74</v>
      </c>
      <c r="D4411" s="4"/>
      <c r="E4411" s="4" t="s">
        <v>921</v>
      </c>
      <c r="F4411" s="46" t="s">
        <v>2213</v>
      </c>
      <c r="G4411" s="4" t="s">
        <v>336</v>
      </c>
      <c r="H4411" s="4" t="s">
        <v>380</v>
      </c>
      <c r="I4411" s="4">
        <v>0.05</v>
      </c>
      <c r="J4411" s="21">
        <v>1500</v>
      </c>
      <c r="K4411" s="21">
        <v>75</v>
      </c>
      <c r="L4411" s="5">
        <v>0</v>
      </c>
      <c r="M4411" s="4"/>
      <c r="N4411" s="4"/>
      <c r="O4411" s="5"/>
      <c r="P4411" s="5"/>
      <c r="Q4411" s="21">
        <v>0</v>
      </c>
      <c r="R4411" s="21">
        <v>0</v>
      </c>
      <c r="S4411" s="5">
        <f t="shared" si="275"/>
        <v>45972.45855302643</v>
      </c>
      <c r="T4411" cm="1">
        <f t="array" ref="T4411">IF(OR(B4411="MAL ALIMI", B4411="ÜRETİM GİRİŞ"), MIN(I4411, MAX(0, I4411 + SUM(SUMIFS($I$1:I4410, $C$1:C4410, C4411, $B$1:B4410, {"MAL ALIMI","ÜRETİM GİRİŞ"})) - VLOOKUP(C4411, 'STOK RAPORU'!$C$2:$I$1000, 4, 0))), 0)</f>
        <v>0</v>
      </c>
      <c r="U4411" s="22">
        <f t="shared" si="276"/>
        <v>0</v>
      </c>
      <c r="V4411">
        <f t="shared" si="277"/>
        <v>0</v>
      </c>
      <c r="W4411" s="22">
        <f t="shared" si="278"/>
        <v>0</v>
      </c>
    </row>
    <row r="4412" spans="1:23" hidden="1" x14ac:dyDescent="0.25">
      <c r="A4412" s="45">
        <v>46074</v>
      </c>
      <c r="B4412" s="46" t="s">
        <v>334</v>
      </c>
      <c r="C4412" s="4" t="s">
        <v>2086</v>
      </c>
      <c r="D4412" s="4"/>
      <c r="E4412" s="4" t="s">
        <v>921</v>
      </c>
      <c r="F4412" s="46" t="s">
        <v>2213</v>
      </c>
      <c r="G4412" s="4" t="s">
        <v>336</v>
      </c>
      <c r="H4412" s="4" t="s">
        <v>380</v>
      </c>
      <c r="I4412" s="4">
        <v>0.1</v>
      </c>
      <c r="J4412" s="21">
        <v>900</v>
      </c>
      <c r="K4412" s="21">
        <v>90</v>
      </c>
      <c r="L4412" s="5">
        <v>0</v>
      </c>
      <c r="M4412" s="4"/>
      <c r="N4412" s="4"/>
      <c r="O4412" s="5"/>
      <c r="P4412" s="5"/>
      <c r="Q4412" s="21">
        <v>0</v>
      </c>
      <c r="R4412" s="21">
        <v>0</v>
      </c>
      <c r="S4412" s="5">
        <f t="shared" si="275"/>
        <v>45972.45855302643</v>
      </c>
      <c r="T4412" cm="1">
        <f t="array" ref="T4412">IF(OR(B4412="MAL ALIMI", B4412="ÜRETİM GİRİŞ"), MIN(I4412, MAX(0, I4412 + SUM(SUMIFS($I$1:I4411, $C$1:C4411, C4412, $B$1:B4411, {"MAL ALIMI","ÜRETİM GİRİŞ"})) - VLOOKUP(C4412, 'STOK RAPORU'!$C$2:$I$1000, 4, 0))), 0)</f>
        <v>0</v>
      </c>
      <c r="U4412" s="22">
        <f t="shared" si="276"/>
        <v>0</v>
      </c>
      <c r="V4412">
        <f t="shared" si="277"/>
        <v>0</v>
      </c>
      <c r="W4412" s="22">
        <f t="shared" si="278"/>
        <v>0</v>
      </c>
    </row>
    <row r="4413" spans="1:23" hidden="1" x14ac:dyDescent="0.25">
      <c r="A4413" s="45">
        <v>46074</v>
      </c>
      <c r="B4413" s="46" t="s">
        <v>334</v>
      </c>
      <c r="C4413" s="4" t="s">
        <v>92</v>
      </c>
      <c r="D4413" s="4"/>
      <c r="E4413" s="4" t="s">
        <v>921</v>
      </c>
      <c r="F4413" s="46" t="s">
        <v>2214</v>
      </c>
      <c r="G4413" s="4" t="s">
        <v>336</v>
      </c>
      <c r="H4413" s="4" t="s">
        <v>380</v>
      </c>
      <c r="I4413" s="4">
        <v>0.32</v>
      </c>
      <c r="J4413" s="21">
        <v>500</v>
      </c>
      <c r="K4413" s="21">
        <v>160</v>
      </c>
      <c r="L4413" s="5">
        <v>0</v>
      </c>
      <c r="M4413" s="4"/>
      <c r="N4413" s="4"/>
      <c r="O4413" s="5"/>
      <c r="P4413" s="5"/>
      <c r="Q4413" s="21">
        <v>0</v>
      </c>
      <c r="R4413" s="21">
        <v>0</v>
      </c>
      <c r="S4413" s="5">
        <f t="shared" si="275"/>
        <v>45972.45855302643</v>
      </c>
      <c r="T4413" cm="1">
        <f t="array" ref="T4413">IF(OR(B4413="MAL ALIMI", B4413="ÜRETİM GİRİŞ"), MIN(I4413, MAX(0, I4413 + SUM(SUMIFS($I$1:I4412, $C$1:C4412, C4413, $B$1:B4412, {"MAL ALIMI","ÜRETİM GİRİŞ"})) - VLOOKUP(C4413, 'STOK RAPORU'!$C$2:$I$1000, 4, 0))), 0)</f>
        <v>0</v>
      </c>
      <c r="U4413" s="22">
        <f t="shared" si="276"/>
        <v>0</v>
      </c>
      <c r="V4413">
        <f t="shared" si="277"/>
        <v>0</v>
      </c>
      <c r="W4413" s="22">
        <f t="shared" si="278"/>
        <v>0</v>
      </c>
    </row>
    <row r="4414" spans="1:23" hidden="1" x14ac:dyDescent="0.25">
      <c r="A4414" s="45">
        <v>46074</v>
      </c>
      <c r="B4414" s="46" t="s">
        <v>334</v>
      </c>
      <c r="C4414" s="4" t="s">
        <v>126</v>
      </c>
      <c r="D4414" s="4"/>
      <c r="E4414" s="4" t="s">
        <v>921</v>
      </c>
      <c r="F4414" s="46" t="s">
        <v>2214</v>
      </c>
      <c r="G4414" s="4" t="s">
        <v>336</v>
      </c>
      <c r="H4414" s="4" t="s">
        <v>380</v>
      </c>
      <c r="I4414" s="4">
        <v>0.13846153846153847</v>
      </c>
      <c r="J4414" s="21">
        <v>650</v>
      </c>
      <c r="K4414" s="21">
        <v>90</v>
      </c>
      <c r="L4414" s="5">
        <v>0</v>
      </c>
      <c r="M4414" s="4"/>
      <c r="N4414" s="4"/>
      <c r="O4414" s="5"/>
      <c r="P4414" s="5"/>
      <c r="Q4414" s="21">
        <v>0</v>
      </c>
      <c r="R4414" s="21">
        <v>0</v>
      </c>
      <c r="S4414" s="5">
        <f t="shared" si="275"/>
        <v>45972.45855302643</v>
      </c>
      <c r="T4414" cm="1">
        <f t="array" ref="T4414">IF(OR(B4414="MAL ALIMI", B4414="ÜRETİM GİRİŞ"), MIN(I4414, MAX(0, I4414 + SUM(SUMIFS($I$1:I4413, $C$1:C4413, C4414, $B$1:B4413, {"MAL ALIMI","ÜRETİM GİRİŞ"})) - VLOOKUP(C4414, 'STOK RAPORU'!$C$2:$I$1000, 4, 0))), 0)</f>
        <v>0</v>
      </c>
      <c r="U4414" s="22">
        <f t="shared" si="276"/>
        <v>0</v>
      </c>
      <c r="V4414">
        <f t="shared" si="277"/>
        <v>0</v>
      </c>
      <c r="W4414" s="22">
        <f t="shared" si="278"/>
        <v>0</v>
      </c>
    </row>
    <row r="4415" spans="1:23" hidden="1" x14ac:dyDescent="0.25">
      <c r="A4415" s="45">
        <v>46074</v>
      </c>
      <c r="B4415" s="46" t="s">
        <v>334</v>
      </c>
      <c r="C4415" s="4" t="s">
        <v>2124</v>
      </c>
      <c r="D4415" s="4"/>
      <c r="E4415" s="4" t="s">
        <v>921</v>
      </c>
      <c r="F4415" s="46" t="s">
        <v>2215</v>
      </c>
      <c r="G4415" s="4" t="s">
        <v>336</v>
      </c>
      <c r="H4415" s="4" t="s">
        <v>380</v>
      </c>
      <c r="I4415" s="4">
        <v>0.50909090909090904</v>
      </c>
      <c r="J4415" s="21">
        <v>550</v>
      </c>
      <c r="K4415" s="21">
        <v>279.99999999999994</v>
      </c>
      <c r="L4415" s="5">
        <v>0</v>
      </c>
      <c r="M4415" s="4"/>
      <c r="N4415" s="4"/>
      <c r="O4415" s="5"/>
      <c r="P4415" s="5"/>
      <c r="Q4415" s="21">
        <v>0</v>
      </c>
      <c r="R4415" s="21">
        <v>0</v>
      </c>
      <c r="S4415" s="5">
        <f t="shared" si="275"/>
        <v>45972.45855302643</v>
      </c>
      <c r="T4415" cm="1">
        <f t="array" ref="T4415">IF(OR(B4415="MAL ALIMI", B4415="ÜRETİM GİRİŞ"), MIN(I4415, MAX(0, I4415 + SUM(SUMIFS($I$1:I4414, $C$1:C4414, C4415, $B$1:B4414, {"MAL ALIMI","ÜRETİM GİRİŞ"})) - VLOOKUP(C4415, 'STOK RAPORU'!$C$2:$I$1000, 4, 0))), 0)</f>
        <v>0</v>
      </c>
      <c r="U4415" s="22">
        <f t="shared" si="276"/>
        <v>0</v>
      </c>
      <c r="V4415">
        <f t="shared" si="277"/>
        <v>0</v>
      </c>
      <c r="W4415" s="22">
        <f t="shared" si="278"/>
        <v>0</v>
      </c>
    </row>
    <row r="4416" spans="1:23" hidden="1" x14ac:dyDescent="0.25">
      <c r="A4416" s="45">
        <v>46074</v>
      </c>
      <c r="B4416" s="46" t="s">
        <v>334</v>
      </c>
      <c r="C4416" s="4" t="s">
        <v>728</v>
      </c>
      <c r="D4416" s="4"/>
      <c r="E4416" s="4" t="s">
        <v>921</v>
      </c>
      <c r="F4416" s="46" t="s">
        <v>2215</v>
      </c>
      <c r="G4416" s="4" t="s">
        <v>336</v>
      </c>
      <c r="H4416" s="4" t="s">
        <v>380</v>
      </c>
      <c r="I4416" s="4">
        <v>0.25362318840579712</v>
      </c>
      <c r="J4416" s="21">
        <v>690</v>
      </c>
      <c r="K4416" s="21">
        <v>175</v>
      </c>
      <c r="L4416" s="5">
        <v>0</v>
      </c>
      <c r="M4416" s="4"/>
      <c r="N4416" s="4"/>
      <c r="O4416" s="5"/>
      <c r="P4416" s="5"/>
      <c r="Q4416" s="21">
        <v>0</v>
      </c>
      <c r="R4416" s="21">
        <v>0</v>
      </c>
      <c r="S4416" s="5">
        <f t="shared" si="275"/>
        <v>45972.45855302643</v>
      </c>
      <c r="T4416" cm="1">
        <f t="array" ref="T4416">IF(OR(B4416="MAL ALIMI", B4416="ÜRETİM GİRİŞ"), MIN(I4416, MAX(0, I4416 + SUM(SUMIFS($I$1:I4415, $C$1:C4415, C4416, $B$1:B4415, {"MAL ALIMI","ÜRETİM GİRİŞ"})) - VLOOKUP(C4416, 'STOK RAPORU'!$C$2:$I$1000, 4, 0))), 0)</f>
        <v>0</v>
      </c>
      <c r="U4416" s="22">
        <f t="shared" si="276"/>
        <v>0</v>
      </c>
      <c r="V4416">
        <f t="shared" si="277"/>
        <v>0</v>
      </c>
      <c r="W4416" s="22">
        <f t="shared" si="278"/>
        <v>0</v>
      </c>
    </row>
    <row r="4417" spans="1:23" hidden="1" x14ac:dyDescent="0.25">
      <c r="A4417" s="45">
        <v>46074</v>
      </c>
      <c r="B4417" s="46" t="s">
        <v>334</v>
      </c>
      <c r="C4417" s="4" t="s">
        <v>1357</v>
      </c>
      <c r="D4417" s="4"/>
      <c r="E4417" s="4" t="s">
        <v>921</v>
      </c>
      <c r="F4417" s="46" t="s">
        <v>2215</v>
      </c>
      <c r="G4417" s="4" t="s">
        <v>336</v>
      </c>
      <c r="H4417" s="4" t="s">
        <v>380</v>
      </c>
      <c r="I4417" s="4">
        <v>0.5</v>
      </c>
      <c r="J4417" s="21">
        <v>570</v>
      </c>
      <c r="K4417" s="21">
        <v>285</v>
      </c>
      <c r="L4417" s="5">
        <v>0</v>
      </c>
      <c r="M4417" s="4"/>
      <c r="N4417" s="4"/>
      <c r="O4417" s="5"/>
      <c r="P4417" s="5"/>
      <c r="Q4417" s="21">
        <v>0</v>
      </c>
      <c r="R4417" s="21">
        <v>0</v>
      </c>
      <c r="S4417" s="5">
        <f t="shared" si="275"/>
        <v>45972.45855302643</v>
      </c>
      <c r="T4417" cm="1">
        <f t="array" ref="T4417">IF(OR(B4417="MAL ALIMI", B4417="ÜRETİM GİRİŞ"), MIN(I4417, MAX(0, I4417 + SUM(SUMIFS($I$1:I4416, $C$1:C4416, C4417, $B$1:B4416, {"MAL ALIMI","ÜRETİM GİRİŞ"})) - VLOOKUP(C4417, 'STOK RAPORU'!$C$2:$I$1000, 4, 0))), 0)</f>
        <v>0</v>
      </c>
      <c r="U4417" s="22">
        <f t="shared" si="276"/>
        <v>0</v>
      </c>
      <c r="V4417">
        <f t="shared" si="277"/>
        <v>0</v>
      </c>
      <c r="W4417" s="22">
        <f t="shared" si="278"/>
        <v>0</v>
      </c>
    </row>
    <row r="4418" spans="1:23" hidden="1" x14ac:dyDescent="0.25">
      <c r="A4418" s="45">
        <v>46074</v>
      </c>
      <c r="B4418" s="46" t="s">
        <v>334</v>
      </c>
      <c r="C4418" s="4" t="s">
        <v>1041</v>
      </c>
      <c r="D4418" s="4"/>
      <c r="E4418" s="4" t="s">
        <v>921</v>
      </c>
      <c r="F4418" s="46" t="s">
        <v>2215</v>
      </c>
      <c r="G4418" s="4" t="s">
        <v>336</v>
      </c>
      <c r="H4418" s="4" t="s">
        <v>380</v>
      </c>
      <c r="I4418" s="4">
        <v>1</v>
      </c>
      <c r="J4418" s="21">
        <v>250</v>
      </c>
      <c r="K4418" s="21">
        <v>250</v>
      </c>
      <c r="L4418" s="5">
        <v>0</v>
      </c>
      <c r="M4418" s="4"/>
      <c r="N4418" s="4"/>
      <c r="O4418" s="5"/>
      <c r="P4418" s="5"/>
      <c r="Q4418" s="21">
        <v>0</v>
      </c>
      <c r="R4418" s="21">
        <v>0</v>
      </c>
      <c r="S4418" s="5">
        <f t="shared" si="275"/>
        <v>45972.45855302643</v>
      </c>
      <c r="T4418" cm="1">
        <f t="array" ref="T4418">IF(OR(B4418="MAL ALIMI", B4418="ÜRETİM GİRİŞ"), MIN(I4418, MAX(0, I4418 + SUM(SUMIFS($I$1:I4417, $C$1:C4417, C4418, $B$1:B4417, {"MAL ALIMI","ÜRETİM GİRİŞ"})) - VLOOKUP(C4418, 'STOK RAPORU'!$C$2:$I$1000, 4, 0))), 0)</f>
        <v>0</v>
      </c>
      <c r="U4418" s="22">
        <f t="shared" si="276"/>
        <v>0</v>
      </c>
      <c r="V4418">
        <f t="shared" si="277"/>
        <v>0</v>
      </c>
      <c r="W4418" s="22">
        <f t="shared" si="278"/>
        <v>0</v>
      </c>
    </row>
    <row r="4419" spans="1:23" hidden="1" x14ac:dyDescent="0.25">
      <c r="A4419" s="45">
        <v>46074</v>
      </c>
      <c r="B4419" s="46" t="s">
        <v>334</v>
      </c>
      <c r="C4419" s="4" t="s">
        <v>729</v>
      </c>
      <c r="D4419" s="4"/>
      <c r="E4419" s="4" t="s">
        <v>921</v>
      </c>
      <c r="F4419" s="46" t="s">
        <v>2215</v>
      </c>
      <c r="G4419" s="4" t="s">
        <v>336</v>
      </c>
      <c r="H4419" s="4" t="s">
        <v>380</v>
      </c>
      <c r="I4419" s="4">
        <v>1</v>
      </c>
      <c r="J4419" s="21">
        <v>90</v>
      </c>
      <c r="K4419" s="21">
        <v>90</v>
      </c>
      <c r="L4419" s="5">
        <v>0</v>
      </c>
      <c r="M4419" s="4"/>
      <c r="N4419" s="4"/>
      <c r="O4419" s="5"/>
      <c r="P4419" s="5"/>
      <c r="Q4419" s="21">
        <v>0</v>
      </c>
      <c r="R4419" s="21">
        <v>0</v>
      </c>
      <c r="S4419" s="5">
        <f t="shared" si="275"/>
        <v>45972.45855302643</v>
      </c>
      <c r="T4419" cm="1">
        <f t="array" ref="T4419">IF(OR(B4419="MAL ALIMI", B4419="ÜRETİM GİRİŞ"), MIN(I4419, MAX(0, I4419 + SUM(SUMIFS($I$1:I4418, $C$1:C4418, C4419, $B$1:B4418, {"MAL ALIMI","ÜRETİM GİRİŞ"})) - VLOOKUP(C4419, 'STOK RAPORU'!$C$2:$I$1000, 4, 0))), 0)</f>
        <v>0</v>
      </c>
      <c r="U4419" s="22">
        <f t="shared" si="276"/>
        <v>0</v>
      </c>
      <c r="V4419">
        <f t="shared" si="277"/>
        <v>0</v>
      </c>
      <c r="W4419" s="22">
        <f t="shared" si="278"/>
        <v>0</v>
      </c>
    </row>
    <row r="4420" spans="1:23" hidden="1" x14ac:dyDescent="0.25">
      <c r="A4420" s="45">
        <v>46074</v>
      </c>
      <c r="B4420" s="46" t="s">
        <v>334</v>
      </c>
      <c r="C4420" s="4" t="s">
        <v>2124</v>
      </c>
      <c r="D4420" s="4"/>
      <c r="E4420" s="4" t="s">
        <v>921</v>
      </c>
      <c r="F4420" s="46" t="s">
        <v>2216</v>
      </c>
      <c r="G4420" s="4" t="s">
        <v>336</v>
      </c>
      <c r="H4420" s="4" t="s">
        <v>380</v>
      </c>
      <c r="I4420" s="4">
        <v>0.53636363636363638</v>
      </c>
      <c r="J4420" s="21">
        <v>550</v>
      </c>
      <c r="K4420" s="21">
        <v>295</v>
      </c>
      <c r="L4420" s="5">
        <v>0</v>
      </c>
      <c r="M4420" s="4"/>
      <c r="N4420" s="4"/>
      <c r="O4420" s="5"/>
      <c r="P4420" s="5"/>
      <c r="Q4420" s="21">
        <v>0</v>
      </c>
      <c r="R4420" s="21">
        <v>0</v>
      </c>
      <c r="S4420" s="5">
        <f t="shared" ref="S4420:S4483" si="279">S4419+Q4420-R4420</f>
        <v>45972.45855302643</v>
      </c>
      <c r="T4420" cm="1">
        <f t="array" ref="T4420">IF(OR(B4420="MAL ALIMI", B4420="ÜRETİM GİRİŞ"), MIN(I4420, MAX(0, I4420 + SUM(SUMIFS($I$1:I4419, $C$1:C4419, C4420, $B$1:B4419, {"MAL ALIMI","ÜRETİM GİRİŞ"})) - VLOOKUP(C4420, 'STOK RAPORU'!$C$2:$I$1000, 4, 0))), 0)</f>
        <v>0</v>
      </c>
      <c r="U4420" s="22">
        <f t="shared" si="276"/>
        <v>0</v>
      </c>
      <c r="V4420">
        <f t="shared" si="277"/>
        <v>0</v>
      </c>
      <c r="W4420" s="22">
        <f t="shared" si="278"/>
        <v>0</v>
      </c>
    </row>
    <row r="4421" spans="1:23" hidden="1" x14ac:dyDescent="0.25">
      <c r="A4421" s="45">
        <v>46074</v>
      </c>
      <c r="B4421" s="46" t="s">
        <v>334</v>
      </c>
      <c r="C4421" s="4" t="s">
        <v>1150</v>
      </c>
      <c r="D4421" s="4"/>
      <c r="E4421" s="4" t="s">
        <v>921</v>
      </c>
      <c r="F4421" s="46" t="s">
        <v>2216</v>
      </c>
      <c r="G4421" s="4" t="s">
        <v>336</v>
      </c>
      <c r="H4421" s="4" t="s">
        <v>380</v>
      </c>
      <c r="I4421" s="4">
        <v>0.12037037037037036</v>
      </c>
      <c r="J4421" s="21">
        <v>540</v>
      </c>
      <c r="K4421" s="21">
        <v>65</v>
      </c>
      <c r="L4421" s="5">
        <v>0</v>
      </c>
      <c r="M4421" s="4"/>
      <c r="N4421" s="4"/>
      <c r="O4421" s="5"/>
      <c r="P4421" s="5"/>
      <c r="Q4421" s="21">
        <v>0</v>
      </c>
      <c r="R4421" s="21">
        <v>0</v>
      </c>
      <c r="S4421" s="5">
        <f t="shared" si="279"/>
        <v>45972.45855302643</v>
      </c>
      <c r="T4421" cm="1">
        <f t="array" ref="T4421">IF(OR(B4421="MAL ALIMI", B4421="ÜRETİM GİRİŞ"), MIN(I4421, MAX(0, I4421 + SUM(SUMIFS($I$1:I4420, $C$1:C4420, C4421, $B$1:B4420, {"MAL ALIMI","ÜRETİM GİRİŞ"})) - VLOOKUP(C4421, 'STOK RAPORU'!$C$2:$I$1000, 4, 0))), 0)</f>
        <v>0</v>
      </c>
      <c r="U4421" s="22">
        <f t="shared" si="276"/>
        <v>0</v>
      </c>
      <c r="V4421">
        <f t="shared" si="277"/>
        <v>0</v>
      </c>
      <c r="W4421" s="22">
        <f t="shared" si="278"/>
        <v>0</v>
      </c>
    </row>
    <row r="4422" spans="1:23" hidden="1" x14ac:dyDescent="0.25">
      <c r="A4422" s="45">
        <v>46074</v>
      </c>
      <c r="B4422" s="46" t="s">
        <v>334</v>
      </c>
      <c r="C4422" s="4" t="s">
        <v>92</v>
      </c>
      <c r="D4422" s="4"/>
      <c r="E4422" s="4" t="s">
        <v>921</v>
      </c>
      <c r="F4422" s="46" t="s">
        <v>2216</v>
      </c>
      <c r="G4422" s="4" t="s">
        <v>336</v>
      </c>
      <c r="H4422" s="4" t="s">
        <v>380</v>
      </c>
      <c r="I4422" s="4">
        <v>0.08</v>
      </c>
      <c r="J4422" s="21">
        <v>500</v>
      </c>
      <c r="K4422" s="21">
        <v>40</v>
      </c>
      <c r="L4422" s="5">
        <v>0</v>
      </c>
      <c r="M4422" s="4"/>
      <c r="N4422" s="4"/>
      <c r="O4422" s="5"/>
      <c r="P4422" s="5"/>
      <c r="Q4422" s="21">
        <v>0</v>
      </c>
      <c r="R4422" s="21">
        <v>0</v>
      </c>
      <c r="S4422" s="5">
        <f t="shared" si="279"/>
        <v>45972.45855302643</v>
      </c>
      <c r="T4422" cm="1">
        <f t="array" ref="T4422">IF(OR(B4422="MAL ALIMI", B4422="ÜRETİM GİRİŞ"), MIN(I4422, MAX(0, I4422 + SUM(SUMIFS($I$1:I4421, $C$1:C4421, C4422, $B$1:B4421, {"MAL ALIMI","ÜRETİM GİRİŞ"})) - VLOOKUP(C4422, 'STOK RAPORU'!$C$2:$I$1000, 4, 0))), 0)</f>
        <v>0</v>
      </c>
      <c r="U4422" s="22">
        <f t="shared" si="276"/>
        <v>0</v>
      </c>
      <c r="V4422">
        <f t="shared" si="277"/>
        <v>0</v>
      </c>
      <c r="W4422" s="22">
        <f t="shared" si="278"/>
        <v>0</v>
      </c>
    </row>
    <row r="4423" spans="1:23" hidden="1" x14ac:dyDescent="0.25">
      <c r="A4423" s="45">
        <v>46074</v>
      </c>
      <c r="B4423" s="46" t="s">
        <v>334</v>
      </c>
      <c r="C4423" s="4" t="s">
        <v>218</v>
      </c>
      <c r="D4423" s="4"/>
      <c r="E4423" s="4" t="s">
        <v>921</v>
      </c>
      <c r="F4423" s="46" t="s">
        <v>2217</v>
      </c>
      <c r="G4423" s="4" t="s">
        <v>336</v>
      </c>
      <c r="H4423" s="4" t="s">
        <v>380</v>
      </c>
      <c r="I4423" s="4">
        <v>1</v>
      </c>
      <c r="J4423" s="21">
        <v>340</v>
      </c>
      <c r="K4423" s="21">
        <v>340</v>
      </c>
      <c r="L4423" s="5">
        <v>0</v>
      </c>
      <c r="M4423" s="4"/>
      <c r="N4423" s="4"/>
      <c r="O4423" s="5"/>
      <c r="P4423" s="5"/>
      <c r="Q4423" s="21">
        <v>0</v>
      </c>
      <c r="R4423" s="21">
        <v>0</v>
      </c>
      <c r="S4423" s="5">
        <f t="shared" si="279"/>
        <v>45972.45855302643</v>
      </c>
      <c r="T4423" cm="1">
        <f t="array" ref="T4423">IF(OR(B4423="MAL ALIMI", B4423="ÜRETİM GİRİŞ"), MIN(I4423, MAX(0, I4423 + SUM(SUMIFS($I$1:I4422, $C$1:C4422, C4423, $B$1:B4422, {"MAL ALIMI","ÜRETİM GİRİŞ"})) - VLOOKUP(C4423, 'STOK RAPORU'!$C$2:$I$1000, 4, 0))), 0)</f>
        <v>0</v>
      </c>
      <c r="U4423" s="22">
        <f t="shared" si="276"/>
        <v>0</v>
      </c>
      <c r="V4423">
        <f t="shared" si="277"/>
        <v>0</v>
      </c>
      <c r="W4423" s="22">
        <f t="shared" si="278"/>
        <v>0</v>
      </c>
    </row>
    <row r="4424" spans="1:23" hidden="1" x14ac:dyDescent="0.25">
      <c r="A4424" s="45">
        <v>46074</v>
      </c>
      <c r="B4424" s="46" t="s">
        <v>334</v>
      </c>
      <c r="C4424" s="4" t="s">
        <v>2124</v>
      </c>
      <c r="D4424" s="4"/>
      <c r="E4424" s="4" t="s">
        <v>921</v>
      </c>
      <c r="F4424" s="46" t="s">
        <v>2217</v>
      </c>
      <c r="G4424" s="4" t="s">
        <v>336</v>
      </c>
      <c r="H4424" s="4" t="s">
        <v>380</v>
      </c>
      <c r="I4424" s="4">
        <v>0.18181818181818182</v>
      </c>
      <c r="J4424" s="21">
        <v>550</v>
      </c>
      <c r="K4424" s="21">
        <v>100</v>
      </c>
      <c r="L4424" s="5">
        <v>0</v>
      </c>
      <c r="M4424" s="4"/>
      <c r="N4424" s="4"/>
      <c r="O4424" s="5"/>
      <c r="P4424" s="5"/>
      <c r="Q4424" s="21">
        <v>0</v>
      </c>
      <c r="R4424" s="21">
        <v>0</v>
      </c>
      <c r="S4424" s="5">
        <f t="shared" si="279"/>
        <v>45972.45855302643</v>
      </c>
      <c r="T4424" cm="1">
        <f t="array" ref="T4424">IF(OR(B4424="MAL ALIMI", B4424="ÜRETİM GİRİŞ"), MIN(I4424, MAX(0, I4424 + SUM(SUMIFS($I$1:I4423, $C$1:C4423, C4424, $B$1:B4423, {"MAL ALIMI","ÜRETİM GİRİŞ"})) - VLOOKUP(C4424, 'STOK RAPORU'!$C$2:$I$1000, 4, 0))), 0)</f>
        <v>0</v>
      </c>
      <c r="U4424" s="22">
        <f t="shared" si="276"/>
        <v>0</v>
      </c>
      <c r="V4424">
        <f t="shared" si="277"/>
        <v>0</v>
      </c>
      <c r="W4424" s="22">
        <f t="shared" si="278"/>
        <v>0</v>
      </c>
    </row>
    <row r="4425" spans="1:23" hidden="1" x14ac:dyDescent="0.25">
      <c r="A4425" s="45">
        <v>46074</v>
      </c>
      <c r="B4425" s="46" t="s">
        <v>334</v>
      </c>
      <c r="C4425" s="4" t="s">
        <v>2129</v>
      </c>
      <c r="D4425" s="4"/>
      <c r="E4425" s="4"/>
      <c r="F4425" s="46" t="s">
        <v>2218</v>
      </c>
      <c r="G4425" s="4" t="s">
        <v>336</v>
      </c>
      <c r="H4425" s="4" t="s">
        <v>289</v>
      </c>
      <c r="I4425" s="4">
        <v>0.23809523809523808</v>
      </c>
      <c r="J4425" s="21">
        <v>420</v>
      </c>
      <c r="K4425" s="21">
        <v>0</v>
      </c>
      <c r="L4425" s="5">
        <v>0</v>
      </c>
      <c r="M4425" s="4"/>
      <c r="N4425" s="4"/>
      <c r="O4425" s="5"/>
      <c r="P4425" s="5"/>
      <c r="Q4425" s="21">
        <v>100</v>
      </c>
      <c r="R4425" s="21">
        <v>0</v>
      </c>
      <c r="S4425" s="5">
        <f t="shared" si="279"/>
        <v>46072.45855302643</v>
      </c>
      <c r="T4425" cm="1">
        <f t="array" ref="T4425">IF(OR(B4425="MAL ALIMI", B4425="ÜRETİM GİRİŞ"), MIN(I4425, MAX(0, I4425 + SUM(SUMIFS($I$1:I4424, $C$1:C4424, C4425, $B$1:B4424, {"MAL ALIMI","ÜRETİM GİRİŞ"})) - VLOOKUP(C4425, 'STOK RAPORU'!$C$2:$I$1000, 4, 0))), 0)</f>
        <v>0</v>
      </c>
      <c r="U4425" s="22">
        <f t="shared" si="276"/>
        <v>0</v>
      </c>
      <c r="V4425">
        <f t="shared" si="277"/>
        <v>0</v>
      </c>
      <c r="W4425" s="22">
        <f t="shared" si="278"/>
        <v>0</v>
      </c>
    </row>
    <row r="4426" spans="1:23" hidden="1" x14ac:dyDescent="0.25">
      <c r="A4426" s="45">
        <v>46074</v>
      </c>
      <c r="B4426" s="46" t="s">
        <v>334</v>
      </c>
      <c r="C4426" s="4" t="s">
        <v>463</v>
      </c>
      <c r="D4426" s="4"/>
      <c r="E4426" s="4" t="s">
        <v>921</v>
      </c>
      <c r="F4426" s="46" t="s">
        <v>2219</v>
      </c>
      <c r="G4426" s="4" t="s">
        <v>336</v>
      </c>
      <c r="H4426" s="4" t="s">
        <v>380</v>
      </c>
      <c r="I4426" s="4">
        <v>0.25</v>
      </c>
      <c r="J4426" s="21">
        <v>400</v>
      </c>
      <c r="K4426" s="21">
        <v>100</v>
      </c>
      <c r="L4426" s="5">
        <v>0</v>
      </c>
      <c r="M4426" s="4"/>
      <c r="N4426" s="4"/>
      <c r="O4426" s="5"/>
      <c r="P4426" s="5"/>
      <c r="Q4426" s="21">
        <v>0</v>
      </c>
      <c r="R4426" s="21">
        <v>0</v>
      </c>
      <c r="S4426" s="5">
        <f t="shared" si="279"/>
        <v>46072.45855302643</v>
      </c>
      <c r="T4426" cm="1">
        <f t="array" ref="T4426">IF(OR(B4426="MAL ALIMI", B4426="ÜRETİM GİRİŞ"), MIN(I4426, MAX(0, I4426 + SUM(SUMIFS($I$1:I4425, $C$1:C4425, C4426, $B$1:B4425, {"MAL ALIMI","ÜRETİM GİRİŞ"})) - VLOOKUP(C4426, 'STOK RAPORU'!$C$2:$I$1000, 4, 0))), 0)</f>
        <v>0</v>
      </c>
      <c r="U4426" s="22">
        <f t="shared" si="276"/>
        <v>0</v>
      </c>
      <c r="V4426">
        <f t="shared" si="277"/>
        <v>0</v>
      </c>
      <c r="W4426" s="22">
        <f t="shared" si="278"/>
        <v>0</v>
      </c>
    </row>
    <row r="4427" spans="1:23" hidden="1" x14ac:dyDescent="0.25">
      <c r="A4427" s="45">
        <v>46074</v>
      </c>
      <c r="B4427" s="46" t="s">
        <v>334</v>
      </c>
      <c r="C4427" s="46" t="s">
        <v>585</v>
      </c>
      <c r="D4427" s="4"/>
      <c r="E4427" s="4" t="s">
        <v>921</v>
      </c>
      <c r="F4427" s="46" t="s">
        <v>2219</v>
      </c>
      <c r="G4427" s="4" t="s">
        <v>336</v>
      </c>
      <c r="H4427" s="4" t="s">
        <v>380</v>
      </c>
      <c r="I4427" s="4">
        <v>1</v>
      </c>
      <c r="J4427" s="21">
        <v>200</v>
      </c>
      <c r="K4427" s="21">
        <v>200</v>
      </c>
      <c r="L4427" s="5">
        <v>0</v>
      </c>
      <c r="M4427" s="4"/>
      <c r="N4427" s="4"/>
      <c r="O4427" s="5"/>
      <c r="P4427" s="5"/>
      <c r="Q4427" s="21">
        <v>0</v>
      </c>
      <c r="R4427" s="21">
        <v>0</v>
      </c>
      <c r="S4427" s="5">
        <f t="shared" si="279"/>
        <v>46072.45855302643</v>
      </c>
      <c r="T4427" cm="1">
        <f t="array" ref="T4427">IF(OR(B4427="MAL ALIMI", B4427="ÜRETİM GİRİŞ"), MIN(I4427, MAX(0, I4427 + SUM(SUMIFS($I$1:I4426, $C$1:C4426, C4427, $B$1:B4426, {"MAL ALIMI","ÜRETİM GİRİŞ"})) - VLOOKUP(C4427, 'STOK RAPORU'!$C$2:$I$1000, 4, 0))), 0)</f>
        <v>0</v>
      </c>
      <c r="U4427" s="22">
        <f t="shared" si="276"/>
        <v>0</v>
      </c>
      <c r="V4427">
        <f t="shared" si="277"/>
        <v>0</v>
      </c>
      <c r="W4427" s="22">
        <f t="shared" si="278"/>
        <v>0</v>
      </c>
    </row>
    <row r="4428" spans="1:23" hidden="1" x14ac:dyDescent="0.25">
      <c r="A4428" s="45">
        <v>46074</v>
      </c>
      <c r="B4428" s="46" t="s">
        <v>334</v>
      </c>
      <c r="C4428" s="4" t="s">
        <v>230</v>
      </c>
      <c r="D4428" s="4"/>
      <c r="E4428" s="4"/>
      <c r="F4428" s="46" t="s">
        <v>2220</v>
      </c>
      <c r="G4428" s="4" t="s">
        <v>336</v>
      </c>
      <c r="H4428" s="4" t="s">
        <v>289</v>
      </c>
      <c r="I4428" s="4">
        <v>1</v>
      </c>
      <c r="J4428" s="21">
        <v>200</v>
      </c>
      <c r="K4428" s="21">
        <v>0</v>
      </c>
      <c r="L4428" s="5">
        <v>0</v>
      </c>
      <c r="M4428" s="4"/>
      <c r="N4428" s="4"/>
      <c r="O4428" s="5"/>
      <c r="P4428" s="5"/>
      <c r="Q4428" s="21">
        <v>200</v>
      </c>
      <c r="R4428" s="21">
        <v>0</v>
      </c>
      <c r="S4428" s="5">
        <f t="shared" si="279"/>
        <v>46272.45855302643</v>
      </c>
      <c r="T4428" cm="1">
        <f t="array" ref="T4428">IF(OR(B4428="MAL ALIMI", B4428="ÜRETİM GİRİŞ"), MIN(I4428, MAX(0, I4428 + SUM(SUMIFS($I$1:I4427, $C$1:C4427, C4428, $B$1:B4427, {"MAL ALIMI","ÜRETİM GİRİŞ"})) - VLOOKUP(C4428, 'STOK RAPORU'!$C$2:$I$1000, 4, 0))), 0)</f>
        <v>0</v>
      </c>
      <c r="U4428" s="22">
        <f t="shared" si="276"/>
        <v>0</v>
      </c>
      <c r="V4428">
        <f t="shared" si="277"/>
        <v>0</v>
      </c>
      <c r="W4428" s="22">
        <f t="shared" si="278"/>
        <v>0</v>
      </c>
    </row>
    <row r="4429" spans="1:23" hidden="1" x14ac:dyDescent="0.25">
      <c r="A4429" s="45">
        <v>46074</v>
      </c>
      <c r="B4429" s="46" t="s">
        <v>334</v>
      </c>
      <c r="C4429" s="4" t="s">
        <v>2124</v>
      </c>
      <c r="D4429" s="4"/>
      <c r="E4429" s="4" t="s">
        <v>921</v>
      </c>
      <c r="F4429" s="46" t="s">
        <v>2221</v>
      </c>
      <c r="G4429" s="4" t="s">
        <v>336</v>
      </c>
      <c r="H4429" s="4" t="s">
        <v>380</v>
      </c>
      <c r="I4429" s="4">
        <v>0.67272727272727273</v>
      </c>
      <c r="J4429" s="21">
        <v>550</v>
      </c>
      <c r="K4429" s="21">
        <v>370</v>
      </c>
      <c r="L4429" s="5">
        <v>0</v>
      </c>
      <c r="M4429" s="4"/>
      <c r="N4429" s="4"/>
      <c r="O4429" s="5"/>
      <c r="P4429" s="5"/>
      <c r="Q4429" s="21">
        <v>0</v>
      </c>
      <c r="R4429" s="21">
        <v>0</v>
      </c>
      <c r="S4429" s="5">
        <f t="shared" si="279"/>
        <v>46272.45855302643</v>
      </c>
      <c r="T4429" cm="1">
        <f t="array" ref="T4429">IF(OR(B4429="MAL ALIMI", B4429="ÜRETİM GİRİŞ"), MIN(I4429, MAX(0, I4429 + SUM(SUMIFS($I$1:I4428, $C$1:C4428, C4429, $B$1:B4428, {"MAL ALIMI","ÜRETİM GİRİŞ"})) - VLOOKUP(C4429, 'STOK RAPORU'!$C$2:$I$1000, 4, 0))), 0)</f>
        <v>0</v>
      </c>
      <c r="U4429" s="22">
        <f t="shared" si="276"/>
        <v>0</v>
      </c>
      <c r="V4429">
        <f t="shared" si="277"/>
        <v>0</v>
      </c>
      <c r="W4429" s="22">
        <f t="shared" si="278"/>
        <v>0</v>
      </c>
    </row>
    <row r="4430" spans="1:23" hidden="1" x14ac:dyDescent="0.25">
      <c r="A4430" s="45">
        <v>46074</v>
      </c>
      <c r="B4430" s="46" t="s">
        <v>334</v>
      </c>
      <c r="C4430" s="4" t="s">
        <v>728</v>
      </c>
      <c r="D4430" s="4"/>
      <c r="E4430" s="4" t="s">
        <v>921</v>
      </c>
      <c r="F4430" s="46" t="s">
        <v>2221</v>
      </c>
      <c r="G4430" s="4" t="s">
        <v>336</v>
      </c>
      <c r="H4430" s="4" t="s">
        <v>380</v>
      </c>
      <c r="I4430" s="4">
        <v>1</v>
      </c>
      <c r="J4430" s="21">
        <v>650</v>
      </c>
      <c r="K4430" s="21">
        <v>650</v>
      </c>
      <c r="L4430" s="5">
        <v>0</v>
      </c>
      <c r="M4430" s="4"/>
      <c r="N4430" s="4"/>
      <c r="O4430" s="5"/>
      <c r="P4430" s="5"/>
      <c r="Q4430" s="21">
        <v>0</v>
      </c>
      <c r="R4430" s="21">
        <v>0</v>
      </c>
      <c r="S4430" s="5">
        <f t="shared" si="279"/>
        <v>46272.45855302643</v>
      </c>
      <c r="T4430" cm="1">
        <f t="array" ref="T4430">IF(OR(B4430="MAL ALIMI", B4430="ÜRETİM GİRİŞ"), MIN(I4430, MAX(0, I4430 + SUM(SUMIFS($I$1:I4429, $C$1:C4429, C4430, $B$1:B4429, {"MAL ALIMI","ÜRETİM GİRİŞ"})) - VLOOKUP(C4430, 'STOK RAPORU'!$C$2:$I$1000, 4, 0))), 0)</f>
        <v>0</v>
      </c>
      <c r="U4430" s="22">
        <f t="shared" si="276"/>
        <v>0</v>
      </c>
      <c r="V4430">
        <f t="shared" si="277"/>
        <v>0</v>
      </c>
      <c r="W4430" s="22">
        <f t="shared" si="278"/>
        <v>0</v>
      </c>
    </row>
    <row r="4431" spans="1:23" hidden="1" x14ac:dyDescent="0.25">
      <c r="A4431" s="45">
        <v>46074</v>
      </c>
      <c r="B4431" s="46" t="s">
        <v>334</v>
      </c>
      <c r="C4431" s="4" t="s">
        <v>1359</v>
      </c>
      <c r="D4431" s="4"/>
      <c r="E4431" s="4" t="s">
        <v>921</v>
      </c>
      <c r="F4431" s="46" t="s">
        <v>2221</v>
      </c>
      <c r="G4431" s="4" t="s">
        <v>336</v>
      </c>
      <c r="H4431" s="4" t="s">
        <v>380</v>
      </c>
      <c r="I4431" s="4">
        <v>0.27777777777777779</v>
      </c>
      <c r="J4431" s="21">
        <v>450</v>
      </c>
      <c r="K4431" s="21">
        <v>125</v>
      </c>
      <c r="L4431" s="5">
        <v>0</v>
      </c>
      <c r="M4431" s="4"/>
      <c r="N4431" s="4"/>
      <c r="O4431" s="5"/>
      <c r="P4431" s="5"/>
      <c r="Q4431" s="21">
        <v>0</v>
      </c>
      <c r="R4431" s="21">
        <v>0</v>
      </c>
      <c r="S4431" s="5">
        <f t="shared" si="279"/>
        <v>46272.45855302643</v>
      </c>
      <c r="T4431" cm="1">
        <f t="array" ref="T4431">IF(OR(B4431="MAL ALIMI", B4431="ÜRETİM GİRİŞ"), MIN(I4431, MAX(0, I4431 + SUM(SUMIFS($I$1:I4430, $C$1:C4430, C4431, $B$1:B4430, {"MAL ALIMI","ÜRETİM GİRİŞ"})) - VLOOKUP(C4431, 'STOK RAPORU'!$C$2:$I$1000, 4, 0))), 0)</f>
        <v>0</v>
      </c>
      <c r="U4431" s="22">
        <f t="shared" si="276"/>
        <v>0</v>
      </c>
      <c r="V4431">
        <f t="shared" si="277"/>
        <v>0</v>
      </c>
      <c r="W4431" s="22">
        <f t="shared" si="278"/>
        <v>0</v>
      </c>
    </row>
    <row r="4432" spans="1:23" hidden="1" x14ac:dyDescent="0.25">
      <c r="A4432" s="45">
        <v>46074</v>
      </c>
      <c r="B4432" s="46" t="s">
        <v>334</v>
      </c>
      <c r="C4432" s="4" t="s">
        <v>1357</v>
      </c>
      <c r="D4432" s="4"/>
      <c r="E4432" s="4" t="s">
        <v>921</v>
      </c>
      <c r="F4432" s="46" t="s">
        <v>2221</v>
      </c>
      <c r="G4432" s="4" t="s">
        <v>336</v>
      </c>
      <c r="H4432" s="4" t="s">
        <v>380</v>
      </c>
      <c r="I4432" s="4">
        <v>1</v>
      </c>
      <c r="J4432" s="21">
        <v>570</v>
      </c>
      <c r="K4432" s="21">
        <v>570</v>
      </c>
      <c r="L4432" s="5">
        <v>0</v>
      </c>
      <c r="M4432" s="4"/>
      <c r="N4432" s="4"/>
      <c r="O4432" s="5"/>
      <c r="P4432" s="5"/>
      <c r="Q4432" s="21">
        <v>0</v>
      </c>
      <c r="R4432" s="21">
        <v>0</v>
      </c>
      <c r="S4432" s="5">
        <f t="shared" si="279"/>
        <v>46272.45855302643</v>
      </c>
      <c r="T4432" cm="1">
        <f t="array" ref="T4432">IF(OR(B4432="MAL ALIMI", B4432="ÜRETİM GİRİŞ"), MIN(I4432, MAX(0, I4432 + SUM(SUMIFS($I$1:I4431, $C$1:C4431, C4432, $B$1:B4431, {"MAL ALIMI","ÜRETİM GİRİŞ"})) - VLOOKUP(C4432, 'STOK RAPORU'!$C$2:$I$1000, 4, 0))), 0)</f>
        <v>0</v>
      </c>
      <c r="U4432" s="22">
        <f t="shared" si="276"/>
        <v>0</v>
      </c>
      <c r="V4432">
        <f t="shared" si="277"/>
        <v>0</v>
      </c>
      <c r="W4432" s="22">
        <f t="shared" si="278"/>
        <v>0</v>
      </c>
    </row>
    <row r="4433" spans="1:23" hidden="1" x14ac:dyDescent="0.25">
      <c r="A4433" s="45">
        <v>46074</v>
      </c>
      <c r="B4433" s="46" t="s">
        <v>334</v>
      </c>
      <c r="C4433" s="4" t="s">
        <v>2124</v>
      </c>
      <c r="D4433" s="4"/>
      <c r="E4433" s="4" t="s">
        <v>921</v>
      </c>
      <c r="F4433" s="46" t="s">
        <v>2222</v>
      </c>
      <c r="G4433" s="4" t="s">
        <v>336</v>
      </c>
      <c r="H4433" s="4" t="s">
        <v>380</v>
      </c>
      <c r="I4433" s="4">
        <v>1.034</v>
      </c>
      <c r="J4433" s="21">
        <v>550</v>
      </c>
      <c r="K4433" s="21">
        <v>568.70000000000005</v>
      </c>
      <c r="L4433" s="5">
        <v>0</v>
      </c>
      <c r="M4433" s="4"/>
      <c r="N4433" s="4"/>
      <c r="O4433" s="5"/>
      <c r="P4433" s="5"/>
      <c r="Q4433" s="21">
        <v>0</v>
      </c>
      <c r="R4433" s="21">
        <v>0</v>
      </c>
      <c r="S4433" s="5">
        <f t="shared" si="279"/>
        <v>46272.45855302643</v>
      </c>
      <c r="T4433" cm="1">
        <f t="array" ref="T4433">IF(OR(B4433="MAL ALIMI", B4433="ÜRETİM GİRİŞ"), MIN(I4433, MAX(0, I4433 + SUM(SUMIFS($I$1:I4432, $C$1:C4432, C4433, $B$1:B4432, {"MAL ALIMI","ÜRETİM GİRİŞ"})) - VLOOKUP(C4433, 'STOK RAPORU'!$C$2:$I$1000, 4, 0))), 0)</f>
        <v>0</v>
      </c>
      <c r="U4433" s="22">
        <f t="shared" si="276"/>
        <v>0</v>
      </c>
      <c r="V4433">
        <f t="shared" si="277"/>
        <v>0</v>
      </c>
      <c r="W4433" s="22">
        <f t="shared" si="278"/>
        <v>0</v>
      </c>
    </row>
    <row r="4434" spans="1:23" hidden="1" x14ac:dyDescent="0.25">
      <c r="A4434" s="45">
        <v>46074</v>
      </c>
      <c r="B4434" s="46" t="s">
        <v>334</v>
      </c>
      <c r="C4434" s="4" t="s">
        <v>167</v>
      </c>
      <c r="D4434" s="4"/>
      <c r="E4434" s="4" t="s">
        <v>921</v>
      </c>
      <c r="F4434" s="46" t="s">
        <v>2222</v>
      </c>
      <c r="G4434" s="4" t="s">
        <v>336</v>
      </c>
      <c r="H4434" s="4" t="s">
        <v>380</v>
      </c>
      <c r="I4434" s="4">
        <v>1</v>
      </c>
      <c r="J4434" s="21">
        <v>230</v>
      </c>
      <c r="K4434" s="21">
        <v>230</v>
      </c>
      <c r="L4434" s="5">
        <v>0</v>
      </c>
      <c r="M4434" s="4"/>
      <c r="N4434" s="4"/>
      <c r="O4434" s="5"/>
      <c r="P4434" s="5"/>
      <c r="Q4434" s="21">
        <v>0</v>
      </c>
      <c r="R4434" s="21">
        <v>0</v>
      </c>
      <c r="S4434" s="5">
        <f t="shared" si="279"/>
        <v>46272.45855302643</v>
      </c>
      <c r="T4434" cm="1">
        <f t="array" ref="T4434">IF(OR(B4434="MAL ALIMI", B4434="ÜRETİM GİRİŞ"), MIN(I4434, MAX(0, I4434 + SUM(SUMIFS($I$1:I4433, $C$1:C4433, C4434, $B$1:B4433, {"MAL ALIMI","ÜRETİM GİRİŞ"})) - VLOOKUP(C4434, 'STOK RAPORU'!$C$2:$I$1000, 4, 0))), 0)</f>
        <v>0</v>
      </c>
      <c r="U4434" s="22">
        <f t="shared" si="276"/>
        <v>0</v>
      </c>
      <c r="V4434">
        <f t="shared" si="277"/>
        <v>0</v>
      </c>
      <c r="W4434" s="22">
        <f t="shared" si="278"/>
        <v>0</v>
      </c>
    </row>
    <row r="4435" spans="1:23" hidden="1" x14ac:dyDescent="0.25">
      <c r="A4435" s="45">
        <v>46074</v>
      </c>
      <c r="B4435" s="46" t="s">
        <v>334</v>
      </c>
      <c r="C4435" s="4" t="s">
        <v>160</v>
      </c>
      <c r="D4435" s="4"/>
      <c r="E4435" s="4" t="s">
        <v>921</v>
      </c>
      <c r="F4435" s="46" t="s">
        <v>2222</v>
      </c>
      <c r="G4435" s="4" t="s">
        <v>336</v>
      </c>
      <c r="H4435" s="4" t="s">
        <v>380</v>
      </c>
      <c r="I4435" s="4">
        <v>2</v>
      </c>
      <c r="J4435" s="21">
        <v>250</v>
      </c>
      <c r="K4435" s="21">
        <v>500</v>
      </c>
      <c r="L4435" s="5">
        <v>0</v>
      </c>
      <c r="M4435" s="4"/>
      <c r="N4435" s="4"/>
      <c r="O4435" s="5"/>
      <c r="P4435" s="5"/>
      <c r="Q4435" s="21">
        <v>0</v>
      </c>
      <c r="R4435" s="21">
        <v>0</v>
      </c>
      <c r="S4435" s="5">
        <f t="shared" si="279"/>
        <v>46272.45855302643</v>
      </c>
      <c r="T4435" cm="1">
        <f t="array" ref="T4435">IF(OR(B4435="MAL ALIMI", B4435="ÜRETİM GİRİŞ"), MIN(I4435, MAX(0, I4435 + SUM(SUMIFS($I$1:I4434, $C$1:C4434, C4435, $B$1:B4434, {"MAL ALIMI","ÜRETİM GİRİŞ"})) - VLOOKUP(C4435, 'STOK RAPORU'!$C$2:$I$1000, 4, 0))), 0)</f>
        <v>0</v>
      </c>
      <c r="U4435" s="22">
        <f t="shared" si="276"/>
        <v>0</v>
      </c>
      <c r="V4435">
        <f t="shared" si="277"/>
        <v>0</v>
      </c>
      <c r="W4435" s="22">
        <f t="shared" si="278"/>
        <v>0</v>
      </c>
    </row>
    <row r="4436" spans="1:23" hidden="1" x14ac:dyDescent="0.25">
      <c r="A4436" s="45">
        <v>46074</v>
      </c>
      <c r="B4436" s="46" t="s">
        <v>334</v>
      </c>
      <c r="C4436" s="4" t="s">
        <v>587</v>
      </c>
      <c r="D4436" s="4"/>
      <c r="E4436" s="4"/>
      <c r="F4436" s="46" t="s">
        <v>2223</v>
      </c>
      <c r="G4436" s="4" t="s">
        <v>336</v>
      </c>
      <c r="H4436" s="4" t="s">
        <v>289</v>
      </c>
      <c r="I4436" s="4">
        <v>1</v>
      </c>
      <c r="J4436" s="21">
        <v>150</v>
      </c>
      <c r="K4436" s="21">
        <v>0</v>
      </c>
      <c r="L4436" s="5">
        <v>0</v>
      </c>
      <c r="M4436" s="4"/>
      <c r="N4436" s="4"/>
      <c r="O4436" s="5"/>
      <c r="P4436" s="5"/>
      <c r="Q4436" s="21">
        <v>150</v>
      </c>
      <c r="R4436" s="21">
        <v>0</v>
      </c>
      <c r="S4436" s="5">
        <f t="shared" si="279"/>
        <v>46422.45855302643</v>
      </c>
      <c r="T4436" cm="1">
        <f t="array" ref="T4436">IF(OR(B4436="MAL ALIMI", B4436="ÜRETİM GİRİŞ"), MIN(I4436, MAX(0, I4436 + SUM(SUMIFS($I$1:I4435, $C$1:C4435, C4436, $B$1:B4435, {"MAL ALIMI","ÜRETİM GİRİŞ"})) - VLOOKUP(C4436, 'STOK RAPORU'!$C$2:$I$1000, 4, 0))), 0)</f>
        <v>0</v>
      </c>
      <c r="U4436" s="22">
        <f t="shared" si="276"/>
        <v>0</v>
      </c>
      <c r="V4436">
        <f t="shared" si="277"/>
        <v>0</v>
      </c>
      <c r="W4436" s="22">
        <f t="shared" si="278"/>
        <v>0</v>
      </c>
    </row>
    <row r="4437" spans="1:23" hidden="1" x14ac:dyDescent="0.25">
      <c r="A4437" s="45">
        <v>46074</v>
      </c>
      <c r="B4437" s="46" t="s">
        <v>334</v>
      </c>
      <c r="C4437" s="4" t="s">
        <v>649</v>
      </c>
      <c r="D4437" s="4"/>
      <c r="E4437" s="4"/>
      <c r="F4437" s="46" t="s">
        <v>2223</v>
      </c>
      <c r="G4437" s="4" t="s">
        <v>336</v>
      </c>
      <c r="H4437" s="4" t="s">
        <v>289</v>
      </c>
      <c r="I4437" s="4">
        <v>1</v>
      </c>
      <c r="J4437" s="21">
        <v>300</v>
      </c>
      <c r="K4437" s="21">
        <v>0</v>
      </c>
      <c r="L4437" s="5">
        <v>0</v>
      </c>
      <c r="M4437" s="4"/>
      <c r="N4437" s="4"/>
      <c r="O4437" s="5"/>
      <c r="P4437" s="5"/>
      <c r="Q4437" s="21">
        <v>300</v>
      </c>
      <c r="R4437" s="21">
        <v>0</v>
      </c>
      <c r="S4437" s="5">
        <f t="shared" si="279"/>
        <v>46722.45855302643</v>
      </c>
      <c r="T4437" cm="1">
        <f t="array" ref="T4437">IF(OR(B4437="MAL ALIMI", B4437="ÜRETİM GİRİŞ"), MIN(I4437, MAX(0, I4437 + SUM(SUMIFS($I$1:I4436, $C$1:C4436, C4437, $B$1:B4436, {"MAL ALIMI","ÜRETİM GİRİŞ"})) - VLOOKUP(C4437, 'STOK RAPORU'!$C$2:$I$1000, 4, 0))), 0)</f>
        <v>0</v>
      </c>
      <c r="U4437" s="22">
        <f t="shared" si="276"/>
        <v>0</v>
      </c>
      <c r="V4437">
        <f t="shared" si="277"/>
        <v>0</v>
      </c>
      <c r="W4437" s="22">
        <f t="shared" si="278"/>
        <v>0</v>
      </c>
    </row>
    <row r="4438" spans="1:23" hidden="1" x14ac:dyDescent="0.25">
      <c r="A4438" s="45">
        <v>46074</v>
      </c>
      <c r="B4438" s="46" t="s">
        <v>334</v>
      </c>
      <c r="C4438" s="4" t="s">
        <v>132</v>
      </c>
      <c r="D4438" s="4"/>
      <c r="E4438" s="4" t="s">
        <v>921</v>
      </c>
      <c r="F4438" s="46" t="s">
        <v>2224</v>
      </c>
      <c r="G4438" s="4" t="s">
        <v>336</v>
      </c>
      <c r="H4438" s="4" t="s">
        <v>380</v>
      </c>
      <c r="I4438" s="4">
        <v>0.14599999999999999</v>
      </c>
      <c r="J4438" s="21">
        <v>500</v>
      </c>
      <c r="K4438" s="21">
        <v>73</v>
      </c>
      <c r="L4438" s="5">
        <v>0</v>
      </c>
      <c r="M4438" s="4"/>
      <c r="N4438" s="4"/>
      <c r="O4438" s="5"/>
      <c r="P4438" s="5"/>
      <c r="Q4438" s="21">
        <v>0</v>
      </c>
      <c r="R4438" s="21">
        <v>0</v>
      </c>
      <c r="S4438" s="5">
        <f t="shared" si="279"/>
        <v>46722.45855302643</v>
      </c>
      <c r="T4438" cm="1">
        <f t="array" ref="T4438">IF(OR(B4438="MAL ALIMI", B4438="ÜRETİM GİRİŞ"), MIN(I4438, MAX(0, I4438 + SUM(SUMIFS($I$1:I4437, $C$1:C4437, C4438, $B$1:B4437, {"MAL ALIMI","ÜRETİM GİRİŞ"})) - VLOOKUP(C4438, 'STOK RAPORU'!$C$2:$I$1000, 4, 0))), 0)</f>
        <v>0</v>
      </c>
      <c r="U4438" s="22">
        <f t="shared" si="276"/>
        <v>0</v>
      </c>
      <c r="V4438">
        <f t="shared" si="277"/>
        <v>0</v>
      </c>
      <c r="W4438" s="22">
        <f t="shared" si="278"/>
        <v>0</v>
      </c>
    </row>
    <row r="4439" spans="1:23" hidden="1" x14ac:dyDescent="0.25">
      <c r="A4439" s="45">
        <v>46074</v>
      </c>
      <c r="B4439" s="46" t="s">
        <v>334</v>
      </c>
      <c r="C4439" s="4" t="s">
        <v>96</v>
      </c>
      <c r="D4439" s="4"/>
      <c r="E4439" s="4" t="s">
        <v>921</v>
      </c>
      <c r="F4439" s="46" t="s">
        <v>2224</v>
      </c>
      <c r="G4439" s="4" t="s">
        <v>336</v>
      </c>
      <c r="H4439" s="4" t="s">
        <v>380</v>
      </c>
      <c r="I4439" s="4">
        <v>0.13750000000000001</v>
      </c>
      <c r="J4439" s="21">
        <v>380</v>
      </c>
      <c r="K4439" s="21">
        <v>52.250000000000007</v>
      </c>
      <c r="L4439" s="5">
        <v>0</v>
      </c>
      <c r="M4439" s="4"/>
      <c r="N4439" s="4"/>
      <c r="O4439" s="5"/>
      <c r="P4439" s="5"/>
      <c r="Q4439" s="21">
        <v>0</v>
      </c>
      <c r="R4439" s="21">
        <v>0</v>
      </c>
      <c r="S4439" s="5">
        <f t="shared" si="279"/>
        <v>46722.45855302643</v>
      </c>
      <c r="T4439" cm="1">
        <f t="array" ref="T4439">IF(OR(B4439="MAL ALIMI", B4439="ÜRETİM GİRİŞ"), MIN(I4439, MAX(0, I4439 + SUM(SUMIFS($I$1:I4438, $C$1:C4438, C4439, $B$1:B4438, {"MAL ALIMI","ÜRETİM GİRİŞ"})) - VLOOKUP(C4439, 'STOK RAPORU'!$C$2:$I$1000, 4, 0))), 0)</f>
        <v>0</v>
      </c>
      <c r="U4439" s="22">
        <f t="shared" si="276"/>
        <v>0</v>
      </c>
      <c r="V4439">
        <f t="shared" si="277"/>
        <v>0</v>
      </c>
      <c r="W4439" s="22">
        <f t="shared" si="278"/>
        <v>0</v>
      </c>
    </row>
    <row r="4440" spans="1:23" hidden="1" x14ac:dyDescent="0.25">
      <c r="A4440" s="45">
        <v>46074</v>
      </c>
      <c r="B4440" s="46" t="s">
        <v>334</v>
      </c>
      <c r="C4440" s="4" t="s">
        <v>828</v>
      </c>
      <c r="D4440" s="4"/>
      <c r="E4440" s="4"/>
      <c r="F4440" s="46" t="s">
        <v>2225</v>
      </c>
      <c r="G4440" s="4" t="s">
        <v>336</v>
      </c>
      <c r="H4440" s="4" t="s">
        <v>289</v>
      </c>
      <c r="I4440" s="4">
        <v>1</v>
      </c>
      <c r="J4440" s="21">
        <v>120</v>
      </c>
      <c r="K4440" s="21">
        <v>0</v>
      </c>
      <c r="L4440" s="5">
        <v>0</v>
      </c>
      <c r="M4440" s="4"/>
      <c r="N4440" s="4"/>
      <c r="O4440" s="5"/>
      <c r="P4440" s="5"/>
      <c r="Q4440" s="21">
        <v>120</v>
      </c>
      <c r="R4440" s="21">
        <v>0</v>
      </c>
      <c r="S4440" s="5">
        <f t="shared" si="279"/>
        <v>46842.45855302643</v>
      </c>
      <c r="T4440" cm="1">
        <f t="array" ref="T4440">IF(OR(B4440="MAL ALIMI", B4440="ÜRETİM GİRİŞ"), MIN(I4440, MAX(0, I4440 + SUM(SUMIFS($I$1:I4439, $C$1:C4439, C4440, $B$1:B4439, {"MAL ALIMI","ÜRETİM GİRİŞ"})) - VLOOKUP(C4440, 'STOK RAPORU'!$C$2:$I$1000, 4, 0))), 0)</f>
        <v>0</v>
      </c>
      <c r="U4440" s="22">
        <f t="shared" si="276"/>
        <v>0</v>
      </c>
      <c r="V4440">
        <f t="shared" si="277"/>
        <v>0</v>
      </c>
      <c r="W4440" s="22">
        <f t="shared" si="278"/>
        <v>0</v>
      </c>
    </row>
    <row r="4441" spans="1:23" hidden="1" x14ac:dyDescent="0.25">
      <c r="A4441" s="45">
        <v>46074</v>
      </c>
      <c r="B4441" s="46" t="s">
        <v>334</v>
      </c>
      <c r="C4441" s="4" t="s">
        <v>140</v>
      </c>
      <c r="D4441" s="4"/>
      <c r="E4441" s="4" t="s">
        <v>921</v>
      </c>
      <c r="F4441" s="46" t="s">
        <v>2226</v>
      </c>
      <c r="G4441" s="4" t="s">
        <v>336</v>
      </c>
      <c r="H4441" s="4" t="s">
        <v>380</v>
      </c>
      <c r="I4441" s="4">
        <v>9.3333333333333338E-2</v>
      </c>
      <c r="J4441" s="21">
        <v>300</v>
      </c>
      <c r="K4441" s="21">
        <v>28</v>
      </c>
      <c r="L4441" s="5">
        <v>0</v>
      </c>
      <c r="M4441" s="4"/>
      <c r="N4441" s="4"/>
      <c r="O4441" s="5"/>
      <c r="P4441" s="5"/>
      <c r="Q4441" s="21">
        <v>0</v>
      </c>
      <c r="R4441" s="21">
        <v>0</v>
      </c>
      <c r="S4441" s="5">
        <f t="shared" si="279"/>
        <v>46842.45855302643</v>
      </c>
      <c r="T4441" cm="1">
        <f t="array" ref="T4441">IF(OR(B4441="MAL ALIMI", B4441="ÜRETİM GİRİŞ"), MIN(I4441, MAX(0, I4441 + SUM(SUMIFS($I$1:I4440, $C$1:C4440, C4441, $B$1:B4440, {"MAL ALIMI","ÜRETİM GİRİŞ"})) - VLOOKUP(C4441, 'STOK RAPORU'!$C$2:$I$1000, 4, 0))), 0)</f>
        <v>0</v>
      </c>
      <c r="U4441" s="22">
        <f t="shared" si="276"/>
        <v>0</v>
      </c>
      <c r="V4441">
        <f t="shared" si="277"/>
        <v>0</v>
      </c>
      <c r="W4441" s="22">
        <f t="shared" si="278"/>
        <v>0</v>
      </c>
    </row>
    <row r="4442" spans="1:23" hidden="1" x14ac:dyDescent="0.25">
      <c r="A4442" s="45">
        <v>46074</v>
      </c>
      <c r="B4442" s="46" t="s">
        <v>334</v>
      </c>
      <c r="C4442" s="4" t="s">
        <v>193</v>
      </c>
      <c r="D4442" s="4"/>
      <c r="E4442" s="4" t="s">
        <v>921</v>
      </c>
      <c r="F4442" s="46" t="s">
        <v>2226</v>
      </c>
      <c r="G4442" s="4" t="s">
        <v>336</v>
      </c>
      <c r="H4442" s="4" t="s">
        <v>380</v>
      </c>
      <c r="I4442" s="4">
        <v>0.1</v>
      </c>
      <c r="J4442" s="21">
        <v>1070</v>
      </c>
      <c r="K4442" s="21">
        <v>107</v>
      </c>
      <c r="L4442" s="5">
        <v>0</v>
      </c>
      <c r="M4442" s="4"/>
      <c r="N4442" s="4"/>
      <c r="O4442" s="5"/>
      <c r="P4442" s="5"/>
      <c r="Q4442" s="21">
        <v>0</v>
      </c>
      <c r="R4442" s="21">
        <v>0</v>
      </c>
      <c r="S4442" s="5">
        <f t="shared" si="279"/>
        <v>46842.45855302643</v>
      </c>
      <c r="T4442" cm="1">
        <f t="array" ref="T4442">IF(OR(B4442="MAL ALIMI", B4442="ÜRETİM GİRİŞ"), MIN(I4442, MAX(0, I4442 + SUM(SUMIFS($I$1:I4441, $C$1:C4441, C4442, $B$1:B4441, {"MAL ALIMI","ÜRETİM GİRİŞ"})) - VLOOKUP(C4442, 'STOK RAPORU'!$C$2:$I$1000, 4, 0))), 0)</f>
        <v>0</v>
      </c>
      <c r="U4442" s="22">
        <f t="shared" si="276"/>
        <v>0</v>
      </c>
      <c r="V4442">
        <f t="shared" si="277"/>
        <v>0</v>
      </c>
      <c r="W4442" s="22">
        <f t="shared" si="278"/>
        <v>0</v>
      </c>
    </row>
    <row r="4443" spans="1:23" hidden="1" x14ac:dyDescent="0.25">
      <c r="A4443" s="45">
        <v>46074</v>
      </c>
      <c r="B4443" s="46" t="s">
        <v>334</v>
      </c>
      <c r="C4443" s="4" t="s">
        <v>822</v>
      </c>
      <c r="D4443" s="4"/>
      <c r="E4443" s="4" t="s">
        <v>921</v>
      </c>
      <c r="F4443" s="46" t="s">
        <v>2226</v>
      </c>
      <c r="G4443" s="4" t="s">
        <v>336</v>
      </c>
      <c r="H4443" s="4" t="s">
        <v>380</v>
      </c>
      <c r="I4443" s="4">
        <v>1</v>
      </c>
      <c r="J4443" s="21">
        <v>170</v>
      </c>
      <c r="K4443" s="21">
        <v>170</v>
      </c>
      <c r="L4443" s="5">
        <v>0</v>
      </c>
      <c r="M4443" s="4"/>
      <c r="N4443" s="4"/>
      <c r="O4443" s="5"/>
      <c r="P4443" s="5"/>
      <c r="Q4443" s="21">
        <v>0</v>
      </c>
      <c r="R4443" s="21">
        <v>0</v>
      </c>
      <c r="S4443" s="5">
        <f t="shared" si="279"/>
        <v>46842.45855302643</v>
      </c>
      <c r="T4443" cm="1">
        <f t="array" ref="T4443">IF(OR(B4443="MAL ALIMI", B4443="ÜRETİM GİRİŞ"), MIN(I4443, MAX(0, I4443 + SUM(SUMIFS($I$1:I4442, $C$1:C4442, C4443, $B$1:B4442, {"MAL ALIMI","ÜRETİM GİRİŞ"})) - VLOOKUP(C4443, 'STOK RAPORU'!$C$2:$I$1000, 4, 0))), 0)</f>
        <v>0</v>
      </c>
      <c r="U4443" s="22">
        <f t="shared" si="276"/>
        <v>0</v>
      </c>
      <c r="V4443">
        <f t="shared" si="277"/>
        <v>0</v>
      </c>
      <c r="W4443" s="22">
        <f t="shared" si="278"/>
        <v>0</v>
      </c>
    </row>
    <row r="4444" spans="1:23" hidden="1" x14ac:dyDescent="0.25">
      <c r="A4444" s="45">
        <v>46074</v>
      </c>
      <c r="B4444" s="46" t="s">
        <v>334</v>
      </c>
      <c r="C4444" s="4" t="s">
        <v>829</v>
      </c>
      <c r="D4444" s="4"/>
      <c r="E4444" s="4" t="s">
        <v>921</v>
      </c>
      <c r="F4444" s="46" t="s">
        <v>2226</v>
      </c>
      <c r="G4444" s="4" t="s">
        <v>336</v>
      </c>
      <c r="H4444" s="4" t="s">
        <v>380</v>
      </c>
      <c r="I4444" s="4">
        <v>1</v>
      </c>
      <c r="J4444" s="21">
        <v>145</v>
      </c>
      <c r="K4444" s="21">
        <v>145</v>
      </c>
      <c r="L4444" s="5">
        <v>0</v>
      </c>
      <c r="M4444" s="4"/>
      <c r="N4444" s="4"/>
      <c r="O4444" s="5"/>
      <c r="P4444" s="5"/>
      <c r="Q4444" s="21">
        <v>0</v>
      </c>
      <c r="R4444" s="21">
        <v>0</v>
      </c>
      <c r="S4444" s="5">
        <f t="shared" si="279"/>
        <v>46842.45855302643</v>
      </c>
      <c r="T4444" cm="1">
        <f t="array" ref="T4444">IF(OR(B4444="MAL ALIMI", B4444="ÜRETİM GİRİŞ"), MIN(I4444, MAX(0, I4444 + SUM(SUMIFS($I$1:I4443, $C$1:C4443, C4444, $B$1:B4443, {"MAL ALIMI","ÜRETİM GİRİŞ"})) - VLOOKUP(C4444, 'STOK RAPORU'!$C$2:$I$1000, 4, 0))), 0)</f>
        <v>0</v>
      </c>
      <c r="U4444" s="22">
        <f t="shared" si="276"/>
        <v>0</v>
      </c>
      <c r="V4444">
        <f t="shared" si="277"/>
        <v>0</v>
      </c>
      <c r="W4444" s="22">
        <f t="shared" si="278"/>
        <v>0</v>
      </c>
    </row>
    <row r="4445" spans="1:23" hidden="1" x14ac:dyDescent="0.25">
      <c r="A4445" s="45">
        <v>46074</v>
      </c>
      <c r="B4445" s="46" t="s">
        <v>334</v>
      </c>
      <c r="C4445" s="46" t="s">
        <v>585</v>
      </c>
      <c r="D4445" s="4"/>
      <c r="E4445" s="4"/>
      <c r="F4445" s="46" t="s">
        <v>2227</v>
      </c>
      <c r="G4445" s="4" t="s">
        <v>336</v>
      </c>
      <c r="H4445" s="4" t="s">
        <v>289</v>
      </c>
      <c r="I4445" s="4">
        <v>0.5</v>
      </c>
      <c r="J4445" s="21">
        <v>200</v>
      </c>
      <c r="K4445" s="21">
        <v>0</v>
      </c>
      <c r="L4445" s="5">
        <v>0</v>
      </c>
      <c r="M4445" s="4"/>
      <c r="N4445" s="4"/>
      <c r="O4445" s="5"/>
      <c r="P4445" s="5"/>
      <c r="Q4445" s="21">
        <v>100</v>
      </c>
      <c r="R4445" s="21">
        <v>0</v>
      </c>
      <c r="S4445" s="5">
        <f t="shared" si="279"/>
        <v>46942.45855302643</v>
      </c>
      <c r="T4445" cm="1">
        <f t="array" ref="T4445">IF(OR(B4445="MAL ALIMI", B4445="ÜRETİM GİRİŞ"), MIN(I4445, MAX(0, I4445 + SUM(SUMIFS($I$1:I4444, $C$1:C4444, C4445, $B$1:B4444, {"MAL ALIMI","ÜRETİM GİRİŞ"})) - VLOOKUP(C4445, 'STOK RAPORU'!$C$2:$I$1000, 4, 0))), 0)</f>
        <v>0</v>
      </c>
      <c r="U4445" s="22">
        <f t="shared" si="276"/>
        <v>0</v>
      </c>
      <c r="V4445">
        <f t="shared" si="277"/>
        <v>0</v>
      </c>
      <c r="W4445" s="22">
        <f t="shared" si="278"/>
        <v>0</v>
      </c>
    </row>
    <row r="4446" spans="1:23" hidden="1" x14ac:dyDescent="0.25">
      <c r="A4446" s="45">
        <v>46074</v>
      </c>
      <c r="B4446" s="46" t="s">
        <v>334</v>
      </c>
      <c r="C4446" s="4" t="s">
        <v>163</v>
      </c>
      <c r="D4446" s="4"/>
      <c r="E4446" s="4"/>
      <c r="F4446" s="46" t="s">
        <v>2227</v>
      </c>
      <c r="G4446" s="4" t="s">
        <v>336</v>
      </c>
      <c r="H4446" s="4" t="s">
        <v>289</v>
      </c>
      <c r="I4446" s="4">
        <v>0.1</v>
      </c>
      <c r="J4446" s="21">
        <v>450</v>
      </c>
      <c r="K4446" s="21">
        <v>0</v>
      </c>
      <c r="L4446" s="5">
        <v>0</v>
      </c>
      <c r="M4446" s="4"/>
      <c r="N4446" s="4"/>
      <c r="O4446" s="5"/>
      <c r="P4446" s="5"/>
      <c r="Q4446" s="21">
        <v>45</v>
      </c>
      <c r="R4446" s="21">
        <v>0</v>
      </c>
      <c r="S4446" s="5">
        <f t="shared" si="279"/>
        <v>46987.45855302643</v>
      </c>
      <c r="T4446" cm="1">
        <f t="array" ref="T4446">IF(OR(B4446="MAL ALIMI", B4446="ÜRETİM GİRİŞ"), MIN(I4446, MAX(0, I4446 + SUM(SUMIFS($I$1:I4445, $C$1:C4445, C4446, $B$1:B4445, {"MAL ALIMI","ÜRETİM GİRİŞ"})) - VLOOKUP(C4446, 'STOK RAPORU'!$C$2:$I$1000, 4, 0))), 0)</f>
        <v>0</v>
      </c>
      <c r="U4446" s="22">
        <f t="shared" si="276"/>
        <v>0</v>
      </c>
      <c r="V4446">
        <f t="shared" si="277"/>
        <v>0</v>
      </c>
      <c r="W4446" s="22">
        <f t="shared" si="278"/>
        <v>0</v>
      </c>
    </row>
    <row r="4447" spans="1:23" hidden="1" x14ac:dyDescent="0.25">
      <c r="A4447" s="45">
        <v>46074</v>
      </c>
      <c r="B4447" s="46" t="s">
        <v>334</v>
      </c>
      <c r="C4447" s="4" t="s">
        <v>133</v>
      </c>
      <c r="D4447" s="4"/>
      <c r="E4447" s="4"/>
      <c r="F4447" s="46" t="s">
        <v>2227</v>
      </c>
      <c r="G4447" s="4" t="s">
        <v>336</v>
      </c>
      <c r="H4447" s="4" t="s">
        <v>289</v>
      </c>
      <c r="I4447" s="4">
        <v>0.1125</v>
      </c>
      <c r="J4447" s="21">
        <v>400</v>
      </c>
      <c r="K4447" s="21">
        <v>0</v>
      </c>
      <c r="L4447" s="5">
        <v>0</v>
      </c>
      <c r="M4447" s="4"/>
      <c r="N4447" s="4"/>
      <c r="O4447" s="5"/>
      <c r="P4447" s="5"/>
      <c r="Q4447" s="21">
        <v>45</v>
      </c>
      <c r="R4447" s="21">
        <v>0</v>
      </c>
      <c r="S4447" s="5">
        <f t="shared" si="279"/>
        <v>47032.45855302643</v>
      </c>
      <c r="T4447" cm="1">
        <f t="array" ref="T4447">IF(OR(B4447="MAL ALIMI", B4447="ÜRETİM GİRİŞ"), MIN(I4447, MAX(0, I4447 + SUM(SUMIFS($I$1:I4446, $C$1:C4446, C4447, $B$1:B4446, {"MAL ALIMI","ÜRETİM GİRİŞ"})) - VLOOKUP(C4447, 'STOK RAPORU'!$C$2:$I$1000, 4, 0))), 0)</f>
        <v>0</v>
      </c>
      <c r="U4447" s="22">
        <f t="shared" si="276"/>
        <v>0</v>
      </c>
      <c r="V4447">
        <f t="shared" si="277"/>
        <v>0</v>
      </c>
      <c r="W4447" s="22">
        <f t="shared" si="278"/>
        <v>0</v>
      </c>
    </row>
    <row r="4448" spans="1:23" hidden="1" x14ac:dyDescent="0.25">
      <c r="A4448" s="45">
        <v>46074</v>
      </c>
      <c r="B4448" s="46" t="s">
        <v>334</v>
      </c>
      <c r="C4448" s="4" t="s">
        <v>1648</v>
      </c>
      <c r="D4448" s="4"/>
      <c r="E4448" s="4" t="s">
        <v>921</v>
      </c>
      <c r="F4448" s="46" t="s">
        <v>2228</v>
      </c>
      <c r="G4448" s="4" t="s">
        <v>336</v>
      </c>
      <c r="H4448" s="4" t="s">
        <v>380</v>
      </c>
      <c r="I4448" s="4">
        <v>3.7999999999999999E-2</v>
      </c>
      <c r="J4448" s="21">
        <v>1000</v>
      </c>
      <c r="K4448" s="21">
        <v>38</v>
      </c>
      <c r="L4448" s="5">
        <v>0</v>
      </c>
      <c r="M4448" s="4"/>
      <c r="N4448" s="4"/>
      <c r="O4448" s="5"/>
      <c r="P4448" s="5"/>
      <c r="Q4448" s="21">
        <v>0</v>
      </c>
      <c r="R4448" s="21">
        <v>0</v>
      </c>
      <c r="S4448" s="5">
        <f t="shared" si="279"/>
        <v>47032.45855302643</v>
      </c>
      <c r="T4448" cm="1">
        <f t="array" ref="T4448">IF(OR(B4448="MAL ALIMI", B4448="ÜRETİM GİRİŞ"), MIN(I4448, MAX(0, I4448 + SUM(SUMIFS($I$1:I4447, $C$1:C4447, C4448, $B$1:B4447, {"MAL ALIMI","ÜRETİM GİRİŞ"})) - VLOOKUP(C4448, 'STOK RAPORU'!$C$2:$I$1000, 4, 0))), 0)</f>
        <v>0</v>
      </c>
      <c r="U4448" s="22">
        <f t="shared" si="276"/>
        <v>0</v>
      </c>
      <c r="V4448">
        <f t="shared" si="277"/>
        <v>0</v>
      </c>
      <c r="W4448" s="22">
        <f t="shared" si="278"/>
        <v>0</v>
      </c>
    </row>
    <row r="4449" spans="1:23" hidden="1" x14ac:dyDescent="0.25">
      <c r="A4449" s="45">
        <v>46074</v>
      </c>
      <c r="B4449" s="46" t="s">
        <v>334</v>
      </c>
      <c r="C4449" s="4" t="s">
        <v>187</v>
      </c>
      <c r="D4449" s="4"/>
      <c r="E4449" s="4" t="s">
        <v>921</v>
      </c>
      <c r="F4449" s="46" t="s">
        <v>2228</v>
      </c>
      <c r="G4449" s="4" t="s">
        <v>336</v>
      </c>
      <c r="H4449" s="4" t="s">
        <v>380</v>
      </c>
      <c r="I4449" s="4">
        <v>1</v>
      </c>
      <c r="J4449" s="21">
        <v>60</v>
      </c>
      <c r="K4449" s="21">
        <v>60</v>
      </c>
      <c r="L4449" s="5">
        <v>0</v>
      </c>
      <c r="M4449" s="4"/>
      <c r="N4449" s="4"/>
      <c r="O4449" s="5"/>
      <c r="P4449" s="5"/>
      <c r="Q4449" s="21">
        <v>0</v>
      </c>
      <c r="R4449" s="21">
        <v>0</v>
      </c>
      <c r="S4449" s="5">
        <f t="shared" si="279"/>
        <v>47032.45855302643</v>
      </c>
      <c r="T4449" cm="1">
        <f t="array" ref="T4449">IF(OR(B4449="MAL ALIMI", B4449="ÜRETİM GİRİŞ"), MIN(I4449, MAX(0, I4449 + SUM(SUMIFS($I$1:I4448, $C$1:C4448, C4449, $B$1:B4448, {"MAL ALIMI","ÜRETİM GİRİŞ"})) - VLOOKUP(C4449, 'STOK RAPORU'!$C$2:$I$1000, 4, 0))), 0)</f>
        <v>0</v>
      </c>
      <c r="U4449" s="22">
        <f t="shared" si="276"/>
        <v>0</v>
      </c>
      <c r="V4449">
        <f t="shared" si="277"/>
        <v>0</v>
      </c>
      <c r="W4449" s="22">
        <f t="shared" si="278"/>
        <v>0</v>
      </c>
    </row>
    <row r="4450" spans="1:23" hidden="1" x14ac:dyDescent="0.25">
      <c r="A4450" s="45">
        <v>46074</v>
      </c>
      <c r="B4450" s="46" t="s">
        <v>334</v>
      </c>
      <c r="C4450" s="4" t="s">
        <v>524</v>
      </c>
      <c r="D4450" s="4"/>
      <c r="E4450" s="4" t="s">
        <v>921</v>
      </c>
      <c r="F4450" s="46" t="s">
        <v>2228</v>
      </c>
      <c r="G4450" s="4" t="s">
        <v>336</v>
      </c>
      <c r="H4450" s="4" t="s">
        <v>380</v>
      </c>
      <c r="I4450" s="4">
        <v>0.1</v>
      </c>
      <c r="J4450" s="21">
        <v>400</v>
      </c>
      <c r="K4450" s="21">
        <v>40</v>
      </c>
      <c r="L4450" s="5">
        <v>0</v>
      </c>
      <c r="M4450" s="4"/>
      <c r="N4450" s="4"/>
      <c r="O4450" s="5"/>
      <c r="P4450" s="5"/>
      <c r="Q4450" s="21">
        <v>0</v>
      </c>
      <c r="R4450" s="21">
        <v>0</v>
      </c>
      <c r="S4450" s="5">
        <f t="shared" si="279"/>
        <v>47032.45855302643</v>
      </c>
      <c r="T4450" cm="1">
        <f t="array" ref="T4450">IF(OR(B4450="MAL ALIMI", B4450="ÜRETİM GİRİŞ"), MIN(I4450, MAX(0, I4450 + SUM(SUMIFS($I$1:I4449, $C$1:C4449, C4450, $B$1:B4449, {"MAL ALIMI","ÜRETİM GİRİŞ"})) - VLOOKUP(C4450, 'STOK RAPORU'!$C$2:$I$1000, 4, 0))), 0)</f>
        <v>0</v>
      </c>
      <c r="U4450" s="22">
        <f t="shared" si="276"/>
        <v>0</v>
      </c>
      <c r="V4450">
        <f t="shared" si="277"/>
        <v>0</v>
      </c>
      <c r="W4450" s="22">
        <f t="shared" si="278"/>
        <v>0</v>
      </c>
    </row>
    <row r="4451" spans="1:23" hidden="1" x14ac:dyDescent="0.25">
      <c r="A4451" s="45">
        <v>46074</v>
      </c>
      <c r="B4451" s="46" t="s">
        <v>334</v>
      </c>
      <c r="C4451" s="4" t="s">
        <v>74</v>
      </c>
      <c r="D4451" s="4"/>
      <c r="E4451" s="4" t="s">
        <v>921</v>
      </c>
      <c r="F4451" s="46" t="s">
        <v>2228</v>
      </c>
      <c r="G4451" s="4" t="s">
        <v>336</v>
      </c>
      <c r="H4451" s="4" t="s">
        <v>380</v>
      </c>
      <c r="I4451" s="4">
        <v>0.05</v>
      </c>
      <c r="J4451" s="21">
        <v>1500</v>
      </c>
      <c r="K4451" s="21">
        <v>75</v>
      </c>
      <c r="L4451" s="5">
        <v>0</v>
      </c>
      <c r="M4451" s="4"/>
      <c r="N4451" s="4"/>
      <c r="O4451" s="5"/>
      <c r="P4451" s="5"/>
      <c r="Q4451" s="21">
        <v>0</v>
      </c>
      <c r="R4451" s="21">
        <v>0</v>
      </c>
      <c r="S4451" s="5">
        <f t="shared" si="279"/>
        <v>47032.45855302643</v>
      </c>
      <c r="T4451" cm="1">
        <f t="array" ref="T4451">IF(OR(B4451="MAL ALIMI", B4451="ÜRETİM GİRİŞ"), MIN(I4451, MAX(0, I4451 + SUM(SUMIFS($I$1:I4450, $C$1:C4450, C4451, $B$1:B4450, {"MAL ALIMI","ÜRETİM GİRİŞ"})) - VLOOKUP(C4451, 'STOK RAPORU'!$C$2:$I$1000, 4, 0))), 0)</f>
        <v>0</v>
      </c>
      <c r="U4451" s="22">
        <f t="shared" si="276"/>
        <v>0</v>
      </c>
      <c r="V4451">
        <f t="shared" si="277"/>
        <v>0</v>
      </c>
      <c r="W4451" s="22">
        <f t="shared" si="278"/>
        <v>0</v>
      </c>
    </row>
    <row r="4452" spans="1:23" hidden="1" x14ac:dyDescent="0.25">
      <c r="A4452" s="45">
        <v>46074</v>
      </c>
      <c r="B4452" s="46" t="s">
        <v>334</v>
      </c>
      <c r="C4452" s="4" t="s">
        <v>60</v>
      </c>
      <c r="D4452" s="4"/>
      <c r="E4452" s="4" t="s">
        <v>921</v>
      </c>
      <c r="F4452" s="46" t="s">
        <v>2228</v>
      </c>
      <c r="G4452" s="4" t="s">
        <v>336</v>
      </c>
      <c r="H4452" s="4" t="s">
        <v>380</v>
      </c>
      <c r="I4452" s="4">
        <v>0.05</v>
      </c>
      <c r="J4452" s="21">
        <v>1200</v>
      </c>
      <c r="K4452" s="21">
        <v>60</v>
      </c>
      <c r="L4452" s="5">
        <v>0</v>
      </c>
      <c r="M4452" s="4"/>
      <c r="N4452" s="4"/>
      <c r="O4452" s="5"/>
      <c r="P4452" s="5"/>
      <c r="Q4452" s="21">
        <v>0</v>
      </c>
      <c r="R4452" s="21">
        <v>0</v>
      </c>
      <c r="S4452" s="5">
        <f t="shared" si="279"/>
        <v>47032.45855302643</v>
      </c>
      <c r="T4452" cm="1">
        <f t="array" ref="T4452">IF(OR(B4452="MAL ALIMI", B4452="ÜRETİM GİRİŞ"), MIN(I4452, MAX(0, I4452 + SUM(SUMIFS($I$1:I4451, $C$1:C4451, C4452, $B$1:B4451, {"MAL ALIMI","ÜRETİM GİRİŞ"})) - VLOOKUP(C4452, 'STOK RAPORU'!$C$2:$I$1000, 4, 0))), 0)</f>
        <v>0</v>
      </c>
      <c r="U4452" s="22">
        <f t="shared" si="276"/>
        <v>0</v>
      </c>
      <c r="V4452">
        <f t="shared" si="277"/>
        <v>0</v>
      </c>
      <c r="W4452" s="22">
        <f t="shared" si="278"/>
        <v>0</v>
      </c>
    </row>
    <row r="4453" spans="1:23" hidden="1" x14ac:dyDescent="0.25">
      <c r="A4453" s="45">
        <v>46074</v>
      </c>
      <c r="B4453" s="46" t="s">
        <v>334</v>
      </c>
      <c r="C4453" s="4" t="s">
        <v>91</v>
      </c>
      <c r="D4453" s="4"/>
      <c r="E4453" s="4" t="s">
        <v>921</v>
      </c>
      <c r="F4453" s="46" t="s">
        <v>2228</v>
      </c>
      <c r="G4453" s="4" t="s">
        <v>336</v>
      </c>
      <c r="H4453" s="4" t="s">
        <v>380</v>
      </c>
      <c r="I4453" s="4">
        <v>3.4000000000000002E-2</v>
      </c>
      <c r="J4453" s="21">
        <v>750</v>
      </c>
      <c r="K4453" s="21">
        <v>25.500000000000004</v>
      </c>
      <c r="L4453" s="5">
        <v>0</v>
      </c>
      <c r="M4453" s="4"/>
      <c r="N4453" s="4"/>
      <c r="O4453" s="5"/>
      <c r="P4453" s="5"/>
      <c r="Q4453" s="21">
        <v>0</v>
      </c>
      <c r="R4453" s="21">
        <v>0</v>
      </c>
      <c r="S4453" s="5">
        <f t="shared" si="279"/>
        <v>47032.45855302643</v>
      </c>
      <c r="T4453" cm="1">
        <f t="array" ref="T4453">IF(OR(B4453="MAL ALIMI", B4453="ÜRETİM GİRİŞ"), MIN(I4453, MAX(0, I4453 + SUM(SUMIFS($I$1:I4452, $C$1:C4452, C4453, $B$1:B4452, {"MAL ALIMI","ÜRETİM GİRİŞ"})) - VLOOKUP(C4453, 'STOK RAPORU'!$C$2:$I$1000, 4, 0))), 0)</f>
        <v>0</v>
      </c>
      <c r="U4453" s="22">
        <f t="shared" si="276"/>
        <v>0</v>
      </c>
      <c r="V4453">
        <f t="shared" si="277"/>
        <v>0</v>
      </c>
      <c r="W4453" s="22">
        <f t="shared" si="278"/>
        <v>0</v>
      </c>
    </row>
    <row r="4454" spans="1:23" hidden="1" x14ac:dyDescent="0.25">
      <c r="A4454" s="45">
        <v>46074</v>
      </c>
      <c r="B4454" s="46" t="s">
        <v>334</v>
      </c>
      <c r="C4454" s="4" t="s">
        <v>266</v>
      </c>
      <c r="D4454" s="4"/>
      <c r="E4454" s="4" t="s">
        <v>921</v>
      </c>
      <c r="F4454" s="46" t="s">
        <v>2228</v>
      </c>
      <c r="G4454" s="4" t="s">
        <v>336</v>
      </c>
      <c r="H4454" s="4" t="s">
        <v>380</v>
      </c>
      <c r="I4454" s="4">
        <v>1.008</v>
      </c>
      <c r="J4454" s="21">
        <v>250</v>
      </c>
      <c r="K4454" s="21">
        <v>252</v>
      </c>
      <c r="L4454" s="5">
        <v>0</v>
      </c>
      <c r="M4454" s="4"/>
      <c r="N4454" s="4"/>
      <c r="O4454" s="5"/>
      <c r="P4454" s="5"/>
      <c r="Q4454" s="21">
        <v>0</v>
      </c>
      <c r="R4454" s="21">
        <v>0</v>
      </c>
      <c r="S4454" s="5">
        <f t="shared" si="279"/>
        <v>47032.45855302643</v>
      </c>
      <c r="T4454" cm="1">
        <f t="array" ref="T4454">IF(OR(B4454="MAL ALIMI", B4454="ÜRETİM GİRİŞ"), MIN(I4454, MAX(0, I4454 + SUM(SUMIFS($I$1:I4453, $C$1:C4453, C4454, $B$1:B4453, {"MAL ALIMI","ÜRETİM GİRİŞ"})) - VLOOKUP(C4454, 'STOK RAPORU'!$C$2:$I$1000, 4, 0))), 0)</f>
        <v>0</v>
      </c>
      <c r="U4454" s="22">
        <f t="shared" si="276"/>
        <v>0</v>
      </c>
      <c r="V4454">
        <f t="shared" si="277"/>
        <v>0</v>
      </c>
      <c r="W4454" s="22">
        <f t="shared" si="278"/>
        <v>0</v>
      </c>
    </row>
    <row r="4455" spans="1:23" hidden="1" x14ac:dyDescent="0.25">
      <c r="A4455" s="45">
        <v>46074</v>
      </c>
      <c r="B4455" s="46" t="s">
        <v>334</v>
      </c>
      <c r="C4455" s="4" t="s">
        <v>728</v>
      </c>
      <c r="D4455" s="4"/>
      <c r="E4455" s="4" t="s">
        <v>921</v>
      </c>
      <c r="F4455" s="46" t="s">
        <v>2228</v>
      </c>
      <c r="G4455" s="4" t="s">
        <v>336</v>
      </c>
      <c r="H4455" s="4" t="s">
        <v>380</v>
      </c>
      <c r="I4455" s="4">
        <v>0.29199999999999998</v>
      </c>
      <c r="J4455" s="21">
        <v>685</v>
      </c>
      <c r="K4455" s="21">
        <v>200.01999999999998</v>
      </c>
      <c r="L4455" s="5">
        <v>0</v>
      </c>
      <c r="M4455" s="4"/>
      <c r="N4455" s="4"/>
      <c r="O4455" s="5"/>
      <c r="P4455" s="5"/>
      <c r="Q4455" s="21">
        <v>0</v>
      </c>
      <c r="R4455" s="21">
        <v>0</v>
      </c>
      <c r="S4455" s="5">
        <f t="shared" si="279"/>
        <v>47032.45855302643</v>
      </c>
      <c r="T4455" cm="1">
        <f t="array" ref="T4455">IF(OR(B4455="MAL ALIMI", B4455="ÜRETİM GİRİŞ"), MIN(I4455, MAX(0, I4455 + SUM(SUMIFS($I$1:I4454, $C$1:C4454, C4455, $B$1:B4454, {"MAL ALIMI","ÜRETİM GİRİŞ"})) - VLOOKUP(C4455, 'STOK RAPORU'!$C$2:$I$1000, 4, 0))), 0)</f>
        <v>0</v>
      </c>
      <c r="U4455" s="22">
        <f t="shared" si="276"/>
        <v>0</v>
      </c>
      <c r="V4455">
        <f t="shared" si="277"/>
        <v>0</v>
      </c>
      <c r="W4455" s="22">
        <f t="shared" si="278"/>
        <v>0</v>
      </c>
    </row>
    <row r="4456" spans="1:23" hidden="1" x14ac:dyDescent="0.25">
      <c r="A4456" s="45">
        <v>46074</v>
      </c>
      <c r="B4456" s="46" t="s">
        <v>334</v>
      </c>
      <c r="C4456" s="4" t="s">
        <v>1041</v>
      </c>
      <c r="D4456" s="4"/>
      <c r="E4456" s="4" t="s">
        <v>921</v>
      </c>
      <c r="F4456" s="46" t="s">
        <v>2228</v>
      </c>
      <c r="G4456" s="4" t="s">
        <v>336</v>
      </c>
      <c r="H4456" s="4" t="s">
        <v>380</v>
      </c>
      <c r="I4456" s="4">
        <v>1</v>
      </c>
      <c r="J4456" s="21">
        <v>250</v>
      </c>
      <c r="K4456" s="21">
        <v>250</v>
      </c>
      <c r="L4456" s="5">
        <v>0</v>
      </c>
      <c r="M4456" s="4"/>
      <c r="N4456" s="4"/>
      <c r="O4456" s="5"/>
      <c r="P4456" s="5"/>
      <c r="Q4456" s="21">
        <v>0</v>
      </c>
      <c r="R4456" s="21">
        <v>0</v>
      </c>
      <c r="S4456" s="5">
        <f t="shared" si="279"/>
        <v>47032.45855302643</v>
      </c>
      <c r="T4456" cm="1">
        <f t="array" ref="T4456">IF(OR(B4456="MAL ALIMI", B4456="ÜRETİM GİRİŞ"), MIN(I4456, MAX(0, I4456 + SUM(SUMIFS($I$1:I4455, $C$1:C4455, C4456, $B$1:B4455, {"MAL ALIMI","ÜRETİM GİRİŞ"})) - VLOOKUP(C4456, 'STOK RAPORU'!$C$2:$I$1000, 4, 0))), 0)</f>
        <v>0</v>
      </c>
      <c r="U4456" s="22">
        <f t="shared" si="276"/>
        <v>0</v>
      </c>
      <c r="V4456">
        <f t="shared" si="277"/>
        <v>0</v>
      </c>
      <c r="W4456" s="22">
        <f t="shared" si="278"/>
        <v>0</v>
      </c>
    </row>
    <row r="4457" spans="1:23" hidden="1" x14ac:dyDescent="0.25">
      <c r="A4457" s="45">
        <v>46074</v>
      </c>
      <c r="B4457" s="46" t="s">
        <v>334</v>
      </c>
      <c r="C4457" s="4" t="s">
        <v>160</v>
      </c>
      <c r="D4457" s="4"/>
      <c r="E4457" s="4"/>
      <c r="F4457" s="46" t="s">
        <v>2229</v>
      </c>
      <c r="G4457" s="4" t="s">
        <v>336</v>
      </c>
      <c r="H4457" s="4" t="s">
        <v>289</v>
      </c>
      <c r="I4457" s="4">
        <v>1</v>
      </c>
      <c r="J4457" s="21">
        <v>250</v>
      </c>
      <c r="K4457" s="21">
        <v>0</v>
      </c>
      <c r="L4457" s="5">
        <v>0</v>
      </c>
      <c r="M4457" s="4"/>
      <c r="N4457" s="4"/>
      <c r="O4457" s="5"/>
      <c r="P4457" s="5"/>
      <c r="Q4457" s="21">
        <v>250</v>
      </c>
      <c r="R4457" s="21">
        <v>0</v>
      </c>
      <c r="S4457" s="5">
        <f t="shared" si="279"/>
        <v>47282.45855302643</v>
      </c>
      <c r="T4457" cm="1">
        <f t="array" ref="T4457">IF(OR(B4457="MAL ALIMI", B4457="ÜRETİM GİRİŞ"), MIN(I4457, MAX(0, I4457 + SUM(SUMIFS($I$1:I4456, $C$1:C4456, C4457, $B$1:B4456, {"MAL ALIMI","ÜRETİM GİRİŞ"})) - VLOOKUP(C4457, 'STOK RAPORU'!$C$2:$I$1000, 4, 0))), 0)</f>
        <v>0</v>
      </c>
      <c r="U4457" s="22">
        <f t="shared" si="276"/>
        <v>0</v>
      </c>
      <c r="V4457">
        <f t="shared" si="277"/>
        <v>0</v>
      </c>
      <c r="W4457" s="22">
        <f t="shared" si="278"/>
        <v>0</v>
      </c>
    </row>
    <row r="4458" spans="1:23" hidden="1" x14ac:dyDescent="0.25">
      <c r="A4458" s="45">
        <v>46074</v>
      </c>
      <c r="B4458" s="46" t="s">
        <v>334</v>
      </c>
      <c r="C4458" s="4" t="s">
        <v>162</v>
      </c>
      <c r="D4458" s="4"/>
      <c r="E4458" s="4"/>
      <c r="F4458" s="46" t="s">
        <v>2229</v>
      </c>
      <c r="G4458" s="4" t="s">
        <v>336</v>
      </c>
      <c r="H4458" s="4" t="s">
        <v>289</v>
      </c>
      <c r="I4458" s="4">
        <v>1</v>
      </c>
      <c r="J4458" s="21">
        <v>250</v>
      </c>
      <c r="K4458" s="21">
        <v>0</v>
      </c>
      <c r="L4458" s="5">
        <v>0</v>
      </c>
      <c r="M4458" s="4"/>
      <c r="N4458" s="4"/>
      <c r="O4458" s="5"/>
      <c r="P4458" s="5"/>
      <c r="Q4458" s="21">
        <v>250</v>
      </c>
      <c r="R4458" s="21">
        <v>0</v>
      </c>
      <c r="S4458" s="5">
        <f t="shared" si="279"/>
        <v>47532.45855302643</v>
      </c>
      <c r="T4458" cm="1">
        <f t="array" ref="T4458">IF(OR(B4458="MAL ALIMI", B4458="ÜRETİM GİRİŞ"), MIN(I4458, MAX(0, I4458 + SUM(SUMIFS($I$1:I4457, $C$1:C4457, C4458, $B$1:B4457, {"MAL ALIMI","ÜRETİM GİRİŞ"})) - VLOOKUP(C4458, 'STOK RAPORU'!$C$2:$I$1000, 4, 0))), 0)</f>
        <v>0</v>
      </c>
      <c r="U4458" s="22">
        <f t="shared" si="276"/>
        <v>0</v>
      </c>
      <c r="V4458">
        <f t="shared" si="277"/>
        <v>0</v>
      </c>
      <c r="W4458" s="22">
        <f t="shared" si="278"/>
        <v>0</v>
      </c>
    </row>
    <row r="4459" spans="1:23" hidden="1" x14ac:dyDescent="0.25">
      <c r="A4459" s="45">
        <v>46074</v>
      </c>
      <c r="B4459" s="46" t="s">
        <v>334</v>
      </c>
      <c r="C4459" s="4" t="s">
        <v>161</v>
      </c>
      <c r="D4459" s="4"/>
      <c r="E4459" s="4"/>
      <c r="F4459" s="46" t="s">
        <v>2229</v>
      </c>
      <c r="G4459" s="4" t="s">
        <v>336</v>
      </c>
      <c r="H4459" s="4" t="s">
        <v>289</v>
      </c>
      <c r="I4459" s="4">
        <v>1</v>
      </c>
      <c r="J4459" s="21">
        <v>230</v>
      </c>
      <c r="K4459" s="21">
        <v>0</v>
      </c>
      <c r="L4459" s="5">
        <v>0</v>
      </c>
      <c r="M4459" s="4"/>
      <c r="N4459" s="4"/>
      <c r="O4459" s="5"/>
      <c r="P4459" s="5"/>
      <c r="Q4459" s="21">
        <v>230</v>
      </c>
      <c r="R4459" s="21">
        <v>0</v>
      </c>
      <c r="S4459" s="5">
        <f t="shared" si="279"/>
        <v>47762.45855302643</v>
      </c>
      <c r="T4459" cm="1">
        <f t="array" ref="T4459">IF(OR(B4459="MAL ALIMI", B4459="ÜRETİM GİRİŞ"), MIN(I4459, MAX(0, I4459 + SUM(SUMIFS($I$1:I4458, $C$1:C4458, C4459, $B$1:B4458, {"MAL ALIMI","ÜRETİM GİRİŞ"})) - VLOOKUP(C4459, 'STOK RAPORU'!$C$2:$I$1000, 4, 0))), 0)</f>
        <v>0</v>
      </c>
      <c r="U4459" s="22">
        <f t="shared" si="276"/>
        <v>0</v>
      </c>
      <c r="V4459">
        <f t="shared" si="277"/>
        <v>0</v>
      </c>
      <c r="W4459" s="22">
        <f t="shared" si="278"/>
        <v>0</v>
      </c>
    </row>
    <row r="4460" spans="1:23" hidden="1" x14ac:dyDescent="0.25">
      <c r="A4460" s="45">
        <v>46074</v>
      </c>
      <c r="B4460" s="46" t="s">
        <v>334</v>
      </c>
      <c r="C4460" s="4" t="s">
        <v>587</v>
      </c>
      <c r="D4460" s="4"/>
      <c r="E4460" s="4"/>
      <c r="F4460" s="46" t="s">
        <v>2229</v>
      </c>
      <c r="G4460" s="4" t="s">
        <v>336</v>
      </c>
      <c r="H4460" s="4" t="s">
        <v>289</v>
      </c>
      <c r="I4460" s="4">
        <v>2</v>
      </c>
      <c r="J4460" s="21">
        <v>150</v>
      </c>
      <c r="K4460" s="21">
        <v>0</v>
      </c>
      <c r="L4460" s="5">
        <v>0</v>
      </c>
      <c r="M4460" s="4"/>
      <c r="N4460" s="4"/>
      <c r="O4460" s="5"/>
      <c r="P4460" s="5"/>
      <c r="Q4460" s="21">
        <v>300</v>
      </c>
      <c r="R4460" s="21">
        <v>0</v>
      </c>
      <c r="S4460" s="5">
        <f t="shared" si="279"/>
        <v>48062.45855302643</v>
      </c>
      <c r="T4460" cm="1">
        <f t="array" ref="T4460">IF(OR(B4460="MAL ALIMI", B4460="ÜRETİM GİRİŞ"), MIN(I4460, MAX(0, I4460 + SUM(SUMIFS($I$1:I4459, $C$1:C4459, C4460, $B$1:B4459, {"MAL ALIMI","ÜRETİM GİRİŞ"})) - VLOOKUP(C4460, 'STOK RAPORU'!$C$2:$I$1000, 4, 0))), 0)</f>
        <v>0</v>
      </c>
      <c r="U4460" s="22">
        <f t="shared" si="276"/>
        <v>0</v>
      </c>
      <c r="V4460">
        <f t="shared" si="277"/>
        <v>0</v>
      </c>
      <c r="W4460" s="22">
        <f t="shared" si="278"/>
        <v>0</v>
      </c>
    </row>
    <row r="4461" spans="1:23" hidden="1" x14ac:dyDescent="0.25">
      <c r="A4461" s="45">
        <v>46074</v>
      </c>
      <c r="B4461" s="46" t="s">
        <v>334</v>
      </c>
      <c r="C4461" s="4" t="s">
        <v>131</v>
      </c>
      <c r="D4461" s="4"/>
      <c r="E4461" s="4"/>
      <c r="F4461" s="46" t="s">
        <v>2229</v>
      </c>
      <c r="G4461" s="4" t="s">
        <v>336</v>
      </c>
      <c r="H4461" s="4" t="s">
        <v>289</v>
      </c>
      <c r="I4461" s="4">
        <v>0.125</v>
      </c>
      <c r="J4461" s="21">
        <v>400</v>
      </c>
      <c r="K4461" s="21">
        <v>0</v>
      </c>
      <c r="L4461" s="5">
        <v>0</v>
      </c>
      <c r="M4461" s="4"/>
      <c r="N4461" s="4"/>
      <c r="O4461" s="5"/>
      <c r="P4461" s="5"/>
      <c r="Q4461" s="21">
        <v>50</v>
      </c>
      <c r="R4461" s="21">
        <v>0</v>
      </c>
      <c r="S4461" s="5">
        <f t="shared" si="279"/>
        <v>48112.45855302643</v>
      </c>
      <c r="T4461" cm="1">
        <f t="array" ref="T4461">IF(OR(B4461="MAL ALIMI", B4461="ÜRETİM GİRİŞ"), MIN(I4461, MAX(0, I4461 + SUM(SUMIFS($I$1:I4460, $C$1:C4460, C4461, $B$1:B4460, {"MAL ALIMI","ÜRETİM GİRİŞ"})) - VLOOKUP(C4461, 'STOK RAPORU'!$C$2:$I$1000, 4, 0))), 0)</f>
        <v>0</v>
      </c>
      <c r="U4461" s="22">
        <f t="shared" si="276"/>
        <v>0</v>
      </c>
      <c r="V4461">
        <f t="shared" si="277"/>
        <v>0</v>
      </c>
      <c r="W4461" s="22">
        <f t="shared" si="278"/>
        <v>0</v>
      </c>
    </row>
    <row r="4462" spans="1:23" hidden="1" x14ac:dyDescent="0.25">
      <c r="A4462" s="45">
        <v>46074</v>
      </c>
      <c r="B4462" s="46" t="s">
        <v>334</v>
      </c>
      <c r="C4462" s="4" t="s">
        <v>126</v>
      </c>
      <c r="D4462" s="4"/>
      <c r="E4462" s="4"/>
      <c r="F4462" s="46" t="s">
        <v>2229</v>
      </c>
      <c r="G4462" s="4" t="s">
        <v>336</v>
      </c>
      <c r="H4462" s="4" t="s">
        <v>289</v>
      </c>
      <c r="I4462" s="4">
        <v>0.154</v>
      </c>
      <c r="J4462" s="21">
        <v>650</v>
      </c>
      <c r="K4462" s="21">
        <v>0</v>
      </c>
      <c r="L4462" s="5">
        <v>0</v>
      </c>
      <c r="M4462" s="4"/>
      <c r="N4462" s="4"/>
      <c r="O4462" s="5"/>
      <c r="P4462" s="5"/>
      <c r="Q4462" s="21">
        <v>100.1</v>
      </c>
      <c r="R4462" s="21">
        <v>0</v>
      </c>
      <c r="S4462" s="5">
        <f t="shared" si="279"/>
        <v>48212.558553026429</v>
      </c>
      <c r="T4462" cm="1">
        <f t="array" ref="T4462">IF(OR(B4462="MAL ALIMI", B4462="ÜRETİM GİRİŞ"), MIN(I4462, MAX(0, I4462 + SUM(SUMIFS($I$1:I4461, $C$1:C4461, C4462, $B$1:B4461, {"MAL ALIMI","ÜRETİM GİRİŞ"})) - VLOOKUP(C4462, 'STOK RAPORU'!$C$2:$I$1000, 4, 0))), 0)</f>
        <v>0</v>
      </c>
      <c r="U4462" s="22">
        <f t="shared" si="276"/>
        <v>0</v>
      </c>
      <c r="V4462">
        <f t="shared" si="277"/>
        <v>0</v>
      </c>
      <c r="W4462" s="22">
        <f t="shared" si="278"/>
        <v>0</v>
      </c>
    </row>
    <row r="4463" spans="1:23" hidden="1" x14ac:dyDescent="0.25">
      <c r="A4463" s="45">
        <v>46074</v>
      </c>
      <c r="B4463" s="46" t="s">
        <v>334</v>
      </c>
      <c r="C4463" s="4" t="s">
        <v>132</v>
      </c>
      <c r="D4463" s="4"/>
      <c r="E4463" s="4"/>
      <c r="F4463" s="46" t="s">
        <v>2229</v>
      </c>
      <c r="G4463" s="4" t="s">
        <v>336</v>
      </c>
      <c r="H4463" s="4" t="s">
        <v>289</v>
      </c>
      <c r="I4463" s="4">
        <v>0.2</v>
      </c>
      <c r="J4463" s="21">
        <v>500</v>
      </c>
      <c r="K4463" s="21">
        <v>0</v>
      </c>
      <c r="L4463" s="5">
        <v>0</v>
      </c>
      <c r="M4463" s="4"/>
      <c r="N4463" s="4"/>
      <c r="O4463" s="5"/>
      <c r="P4463" s="5"/>
      <c r="Q4463" s="21">
        <v>100</v>
      </c>
      <c r="R4463" s="21">
        <v>0</v>
      </c>
      <c r="S4463" s="5">
        <f t="shared" si="279"/>
        <v>48312.558553026429</v>
      </c>
      <c r="T4463" cm="1">
        <f t="array" ref="T4463">IF(OR(B4463="MAL ALIMI", B4463="ÜRETİM GİRİŞ"), MIN(I4463, MAX(0, I4463 + SUM(SUMIFS($I$1:I4462, $C$1:C4462, C4463, $B$1:B4462, {"MAL ALIMI","ÜRETİM GİRİŞ"})) - VLOOKUP(C4463, 'STOK RAPORU'!$C$2:$I$1000, 4, 0))), 0)</f>
        <v>0</v>
      </c>
      <c r="U4463" s="22">
        <f t="shared" si="276"/>
        <v>0</v>
      </c>
      <c r="V4463">
        <f t="shared" si="277"/>
        <v>0</v>
      </c>
      <c r="W4463" s="22">
        <f t="shared" si="278"/>
        <v>0</v>
      </c>
    </row>
    <row r="4464" spans="1:23" hidden="1" x14ac:dyDescent="0.25">
      <c r="A4464" s="45">
        <v>46074</v>
      </c>
      <c r="B4464" s="46" t="s">
        <v>334</v>
      </c>
      <c r="C4464" s="4" t="s">
        <v>1359</v>
      </c>
      <c r="D4464" s="4"/>
      <c r="E4464" s="4"/>
      <c r="F4464" s="46" t="s">
        <v>2230</v>
      </c>
      <c r="G4464" s="4" t="s">
        <v>336</v>
      </c>
      <c r="H4464" s="4" t="s">
        <v>289</v>
      </c>
      <c r="I4464" s="4">
        <v>0.38</v>
      </c>
      <c r="J4464" s="21">
        <v>450</v>
      </c>
      <c r="K4464" s="21">
        <v>0</v>
      </c>
      <c r="L4464" s="5">
        <v>0</v>
      </c>
      <c r="M4464" s="4"/>
      <c r="N4464" s="4"/>
      <c r="O4464" s="5"/>
      <c r="P4464" s="5"/>
      <c r="Q4464" s="21">
        <v>171</v>
      </c>
      <c r="R4464" s="21">
        <v>0</v>
      </c>
      <c r="S4464" s="5">
        <f t="shared" si="279"/>
        <v>48483.558553026429</v>
      </c>
      <c r="T4464" cm="1">
        <f t="array" ref="T4464">IF(OR(B4464="MAL ALIMI", B4464="ÜRETİM GİRİŞ"), MIN(I4464, MAX(0, I4464 + SUM(SUMIFS($I$1:I4463, $C$1:C4463, C4464, $B$1:B4463, {"MAL ALIMI","ÜRETİM GİRİŞ"})) - VLOOKUP(C4464, 'STOK RAPORU'!$C$2:$I$1000, 4, 0))), 0)</f>
        <v>0</v>
      </c>
      <c r="U4464" s="22">
        <f t="shared" si="276"/>
        <v>0</v>
      </c>
      <c r="V4464">
        <f t="shared" si="277"/>
        <v>0</v>
      </c>
      <c r="W4464" s="22">
        <f t="shared" si="278"/>
        <v>0</v>
      </c>
    </row>
    <row r="4465" spans="1:23" hidden="1" x14ac:dyDescent="0.25">
      <c r="A4465" s="45">
        <v>46074</v>
      </c>
      <c r="B4465" s="46" t="s">
        <v>334</v>
      </c>
      <c r="C4465" s="4" t="s">
        <v>132</v>
      </c>
      <c r="D4465" s="4"/>
      <c r="E4465" s="4"/>
      <c r="F4465" s="46" t="s">
        <v>2230</v>
      </c>
      <c r="G4465" s="4" t="s">
        <v>336</v>
      </c>
      <c r="H4465" s="4" t="s">
        <v>289</v>
      </c>
      <c r="I4465" s="4">
        <v>0.2</v>
      </c>
      <c r="J4465" s="21">
        <v>500</v>
      </c>
      <c r="K4465" s="21">
        <v>0</v>
      </c>
      <c r="L4465" s="5">
        <v>0</v>
      </c>
      <c r="M4465" s="4"/>
      <c r="N4465" s="4"/>
      <c r="O4465" s="5"/>
      <c r="P4465" s="5"/>
      <c r="Q4465" s="21">
        <v>100</v>
      </c>
      <c r="R4465" s="21">
        <v>0</v>
      </c>
      <c r="S4465" s="5">
        <f t="shared" si="279"/>
        <v>48583.558553026429</v>
      </c>
      <c r="T4465" cm="1">
        <f t="array" ref="T4465">IF(OR(B4465="MAL ALIMI", B4465="ÜRETİM GİRİŞ"), MIN(I4465, MAX(0, I4465 + SUM(SUMIFS($I$1:I4464, $C$1:C4464, C4465, $B$1:B4464, {"MAL ALIMI","ÜRETİM GİRİŞ"})) - VLOOKUP(C4465, 'STOK RAPORU'!$C$2:$I$1000, 4, 0))), 0)</f>
        <v>0</v>
      </c>
      <c r="U4465" s="22">
        <f t="shared" si="276"/>
        <v>0</v>
      </c>
      <c r="V4465">
        <f t="shared" si="277"/>
        <v>0</v>
      </c>
      <c r="W4465" s="22">
        <f t="shared" si="278"/>
        <v>0</v>
      </c>
    </row>
    <row r="4466" spans="1:23" hidden="1" x14ac:dyDescent="0.25">
      <c r="A4466" s="45">
        <v>46074</v>
      </c>
      <c r="B4466" s="46" t="s">
        <v>334</v>
      </c>
      <c r="C4466" s="4" t="s">
        <v>131</v>
      </c>
      <c r="D4466" s="4"/>
      <c r="E4466" s="4"/>
      <c r="F4466" s="46" t="s">
        <v>2230</v>
      </c>
      <c r="G4466" s="4" t="s">
        <v>336</v>
      </c>
      <c r="H4466" s="4" t="s">
        <v>289</v>
      </c>
      <c r="I4466" s="4">
        <v>0.125</v>
      </c>
      <c r="J4466" s="21">
        <v>400</v>
      </c>
      <c r="K4466" s="21">
        <v>0</v>
      </c>
      <c r="L4466" s="5">
        <v>0</v>
      </c>
      <c r="M4466" s="4"/>
      <c r="N4466" s="4"/>
      <c r="O4466" s="5"/>
      <c r="P4466" s="5"/>
      <c r="Q4466" s="21">
        <v>50</v>
      </c>
      <c r="R4466" s="21">
        <v>0</v>
      </c>
      <c r="S4466" s="5">
        <f t="shared" si="279"/>
        <v>48633.558553026429</v>
      </c>
      <c r="T4466" cm="1">
        <f t="array" ref="T4466">IF(OR(B4466="MAL ALIMI", B4466="ÜRETİM GİRİŞ"), MIN(I4466, MAX(0, I4466 + SUM(SUMIFS($I$1:I4465, $C$1:C4465, C4466, $B$1:B4465, {"MAL ALIMI","ÜRETİM GİRİŞ"})) - VLOOKUP(C4466, 'STOK RAPORU'!$C$2:$I$1000, 4, 0))), 0)</f>
        <v>0</v>
      </c>
      <c r="U4466" s="22">
        <f t="shared" si="276"/>
        <v>0</v>
      </c>
      <c r="V4466">
        <f t="shared" si="277"/>
        <v>0</v>
      </c>
      <c r="W4466" s="22">
        <f t="shared" si="278"/>
        <v>0</v>
      </c>
    </row>
    <row r="4467" spans="1:23" hidden="1" x14ac:dyDescent="0.25">
      <c r="A4467" s="45">
        <v>46074</v>
      </c>
      <c r="B4467" s="46" t="s">
        <v>334</v>
      </c>
      <c r="C4467" s="4" t="s">
        <v>91</v>
      </c>
      <c r="D4467" s="4"/>
      <c r="E4467" s="4"/>
      <c r="F4467" s="46" t="s">
        <v>2230</v>
      </c>
      <c r="G4467" s="4" t="s">
        <v>336</v>
      </c>
      <c r="H4467" s="4" t="s">
        <v>289</v>
      </c>
      <c r="I4467" s="4">
        <v>6.7000000000000004E-2</v>
      </c>
      <c r="J4467" s="21">
        <v>750</v>
      </c>
      <c r="K4467" s="21">
        <v>0</v>
      </c>
      <c r="L4467" s="5">
        <v>0</v>
      </c>
      <c r="M4467" s="4"/>
      <c r="N4467" s="4"/>
      <c r="O4467" s="5"/>
      <c r="P4467" s="5"/>
      <c r="Q4467" s="21">
        <v>50.25</v>
      </c>
      <c r="R4467" s="21">
        <v>0</v>
      </c>
      <c r="S4467" s="5">
        <f t="shared" si="279"/>
        <v>48683.808553026429</v>
      </c>
      <c r="T4467" cm="1">
        <f t="array" ref="T4467">IF(OR(B4467="MAL ALIMI", B4467="ÜRETİM GİRİŞ"), MIN(I4467, MAX(0, I4467 + SUM(SUMIFS($I$1:I4466, $C$1:C4466, C4467, $B$1:B4466, {"MAL ALIMI","ÜRETİM GİRİŞ"})) - VLOOKUP(C4467, 'STOK RAPORU'!$C$2:$I$1000, 4, 0))), 0)</f>
        <v>0</v>
      </c>
      <c r="U4467" s="22">
        <f t="shared" si="276"/>
        <v>0</v>
      </c>
      <c r="V4467">
        <f t="shared" si="277"/>
        <v>0</v>
      </c>
      <c r="W4467" s="22">
        <f t="shared" si="278"/>
        <v>0</v>
      </c>
    </row>
    <row r="4468" spans="1:23" hidden="1" x14ac:dyDescent="0.25">
      <c r="A4468" s="45">
        <v>46074</v>
      </c>
      <c r="B4468" s="46" t="s">
        <v>334</v>
      </c>
      <c r="C4468" s="46" t="s">
        <v>585</v>
      </c>
      <c r="D4468" s="4"/>
      <c r="E4468" s="4"/>
      <c r="F4468" s="46" t="s">
        <v>2230</v>
      </c>
      <c r="G4468" s="4" t="s">
        <v>336</v>
      </c>
      <c r="H4468" s="4" t="s">
        <v>289</v>
      </c>
      <c r="I4468" s="4">
        <v>0.5</v>
      </c>
      <c r="J4468" s="21">
        <v>200</v>
      </c>
      <c r="K4468" s="21">
        <v>0</v>
      </c>
      <c r="L4468" s="5">
        <v>0</v>
      </c>
      <c r="M4468" s="4"/>
      <c r="N4468" s="4"/>
      <c r="O4468" s="5"/>
      <c r="P4468" s="5"/>
      <c r="Q4468" s="21">
        <v>100</v>
      </c>
      <c r="R4468" s="21">
        <v>0</v>
      </c>
      <c r="S4468" s="5">
        <f t="shared" si="279"/>
        <v>48783.808553026429</v>
      </c>
      <c r="T4468" cm="1">
        <f t="array" ref="T4468">IF(OR(B4468="MAL ALIMI", B4468="ÜRETİM GİRİŞ"), MIN(I4468, MAX(0, I4468 + SUM(SUMIFS($I$1:I4467, $C$1:C4467, C4468, $B$1:B4467, {"MAL ALIMI","ÜRETİM GİRİŞ"})) - VLOOKUP(C4468, 'STOK RAPORU'!$C$2:$I$1000, 4, 0))), 0)</f>
        <v>0</v>
      </c>
      <c r="U4468" s="22">
        <f t="shared" ref="U4468:U4531" si="280">T4468*J4468</f>
        <v>0</v>
      </c>
      <c r="V4468">
        <f t="shared" ref="V4468:V4531" si="281">IF(OR(B4468="MAL ALIMI", B4468="ÜRETİM GİRİŞ"), I4468 * J4468, 0)</f>
        <v>0</v>
      </c>
      <c r="W4468" s="22">
        <f t="shared" ref="W4468:W4531" si="282">V4468-U4468</f>
        <v>0</v>
      </c>
    </row>
    <row r="4469" spans="1:23" hidden="1" x14ac:dyDescent="0.25">
      <c r="A4469" s="45">
        <v>46074</v>
      </c>
      <c r="B4469" s="46" t="s">
        <v>334</v>
      </c>
      <c r="C4469" s="4" t="s">
        <v>157</v>
      </c>
      <c r="D4469" s="4"/>
      <c r="E4469" s="4"/>
      <c r="F4469" s="46" t="s">
        <v>2230</v>
      </c>
      <c r="G4469" s="4" t="s">
        <v>336</v>
      </c>
      <c r="H4469" s="4" t="s">
        <v>289</v>
      </c>
      <c r="I4469" s="4">
        <v>0.5</v>
      </c>
      <c r="J4469" s="21">
        <v>200</v>
      </c>
      <c r="K4469" s="21">
        <v>0</v>
      </c>
      <c r="L4469" s="5">
        <v>0</v>
      </c>
      <c r="M4469" s="4"/>
      <c r="N4469" s="4"/>
      <c r="O4469" s="5"/>
      <c r="P4469" s="5"/>
      <c r="Q4469" s="21">
        <v>100</v>
      </c>
      <c r="R4469" s="21">
        <v>0</v>
      </c>
      <c r="S4469" s="5">
        <f t="shared" si="279"/>
        <v>48883.808553026429</v>
      </c>
      <c r="T4469" cm="1">
        <f t="array" ref="T4469">IF(OR(B4469="MAL ALIMI", B4469="ÜRETİM GİRİŞ"), MIN(I4469, MAX(0, I4469 + SUM(SUMIFS($I$1:I4468, $C$1:C4468, C4469, $B$1:B4468, {"MAL ALIMI","ÜRETİM GİRİŞ"})) - VLOOKUP(C4469, 'STOK RAPORU'!$C$2:$I$1000, 4, 0))), 0)</f>
        <v>0</v>
      </c>
      <c r="U4469" s="22">
        <f t="shared" si="280"/>
        <v>0</v>
      </c>
      <c r="V4469">
        <f t="shared" si="281"/>
        <v>0</v>
      </c>
      <c r="W4469" s="22">
        <f t="shared" si="282"/>
        <v>0</v>
      </c>
    </row>
    <row r="4470" spans="1:23" hidden="1" x14ac:dyDescent="0.25">
      <c r="A4470" s="45">
        <v>46074</v>
      </c>
      <c r="B4470" s="46" t="s">
        <v>334</v>
      </c>
      <c r="C4470" s="4" t="s">
        <v>728</v>
      </c>
      <c r="D4470" s="4"/>
      <c r="E4470" s="4"/>
      <c r="F4470" s="46" t="s">
        <v>2230</v>
      </c>
      <c r="G4470" s="4" t="s">
        <v>336</v>
      </c>
      <c r="H4470" s="4" t="s">
        <v>289</v>
      </c>
      <c r="I4470" s="4">
        <v>0.36199999999999999</v>
      </c>
      <c r="J4470" s="21">
        <v>690</v>
      </c>
      <c r="K4470" s="21">
        <v>0</v>
      </c>
      <c r="L4470" s="5">
        <v>0</v>
      </c>
      <c r="M4470" s="4"/>
      <c r="N4470" s="4"/>
      <c r="O4470" s="5"/>
      <c r="P4470" s="5"/>
      <c r="Q4470" s="21">
        <v>249.78</v>
      </c>
      <c r="R4470" s="21">
        <v>0</v>
      </c>
      <c r="S4470" s="5">
        <f t="shared" si="279"/>
        <v>49133.588553026428</v>
      </c>
      <c r="T4470" cm="1">
        <f t="array" ref="T4470">IF(OR(B4470="MAL ALIMI", B4470="ÜRETİM GİRİŞ"), MIN(I4470, MAX(0, I4470 + SUM(SUMIFS($I$1:I4469, $C$1:C4469, C4470, $B$1:B4469, {"MAL ALIMI","ÜRETİM GİRİŞ"})) - VLOOKUP(C4470, 'STOK RAPORU'!$C$2:$I$1000, 4, 0))), 0)</f>
        <v>0</v>
      </c>
      <c r="U4470" s="22">
        <f t="shared" si="280"/>
        <v>0</v>
      </c>
      <c r="V4470">
        <f t="shared" si="281"/>
        <v>0</v>
      </c>
      <c r="W4470" s="22">
        <f t="shared" si="282"/>
        <v>0</v>
      </c>
    </row>
    <row r="4471" spans="1:23" hidden="1" x14ac:dyDescent="0.25">
      <c r="A4471" s="45">
        <v>46074</v>
      </c>
      <c r="B4471" s="46" t="s">
        <v>334</v>
      </c>
      <c r="C4471" s="4" t="s">
        <v>587</v>
      </c>
      <c r="D4471" s="4"/>
      <c r="E4471" s="4"/>
      <c r="F4471" s="46" t="s">
        <v>2230</v>
      </c>
      <c r="G4471" s="4" t="s">
        <v>336</v>
      </c>
      <c r="H4471" s="4" t="s">
        <v>289</v>
      </c>
      <c r="I4471" s="4">
        <v>2</v>
      </c>
      <c r="J4471" s="21">
        <v>150</v>
      </c>
      <c r="K4471" s="21">
        <v>0</v>
      </c>
      <c r="L4471" s="5">
        <v>0</v>
      </c>
      <c r="M4471" s="4"/>
      <c r="N4471" s="4"/>
      <c r="O4471" s="5"/>
      <c r="P4471" s="5"/>
      <c r="Q4471" s="21">
        <v>300</v>
      </c>
      <c r="R4471" s="21">
        <v>0</v>
      </c>
      <c r="S4471" s="5">
        <f t="shared" si="279"/>
        <v>49433.588553026428</v>
      </c>
      <c r="T4471" cm="1">
        <f t="array" ref="T4471">IF(OR(B4471="MAL ALIMI", B4471="ÜRETİM GİRİŞ"), MIN(I4471, MAX(0, I4471 + SUM(SUMIFS($I$1:I4470, $C$1:C4470, C4471, $B$1:B4470, {"MAL ALIMI","ÜRETİM GİRİŞ"})) - VLOOKUP(C4471, 'STOK RAPORU'!$C$2:$I$1000, 4, 0))), 0)</f>
        <v>0</v>
      </c>
      <c r="U4471" s="22">
        <f t="shared" si="280"/>
        <v>0</v>
      </c>
      <c r="V4471">
        <f t="shared" si="281"/>
        <v>0</v>
      </c>
      <c r="W4471" s="22">
        <f t="shared" si="282"/>
        <v>0</v>
      </c>
    </row>
    <row r="4472" spans="1:23" hidden="1" x14ac:dyDescent="0.25">
      <c r="A4472" s="45">
        <v>46074</v>
      </c>
      <c r="B4472" s="46" t="s">
        <v>334</v>
      </c>
      <c r="C4472" s="4" t="s">
        <v>137</v>
      </c>
      <c r="D4472" s="4"/>
      <c r="E4472" s="4"/>
      <c r="F4472" s="46" t="s">
        <v>2230</v>
      </c>
      <c r="G4472" s="4" t="s">
        <v>336</v>
      </c>
      <c r="H4472" s="4" t="s">
        <v>289</v>
      </c>
      <c r="I4472" s="4">
        <v>0.27800000000000002</v>
      </c>
      <c r="J4472" s="21">
        <v>180</v>
      </c>
      <c r="K4472" s="21">
        <v>0</v>
      </c>
      <c r="L4472" s="5">
        <v>0</v>
      </c>
      <c r="M4472" s="4"/>
      <c r="N4472" s="4"/>
      <c r="O4472" s="5"/>
      <c r="P4472" s="5"/>
      <c r="Q4472" s="21">
        <v>50.040000000000006</v>
      </c>
      <c r="R4472" s="21">
        <v>0</v>
      </c>
      <c r="S4472" s="5">
        <f t="shared" si="279"/>
        <v>49483.628553026429</v>
      </c>
      <c r="T4472" cm="1">
        <f t="array" ref="T4472">IF(OR(B4472="MAL ALIMI", B4472="ÜRETİM GİRİŞ"), MIN(I4472, MAX(0, I4472 + SUM(SUMIFS($I$1:I4471, $C$1:C4471, C4472, $B$1:B4471, {"MAL ALIMI","ÜRETİM GİRİŞ"})) - VLOOKUP(C4472, 'STOK RAPORU'!$C$2:$I$1000, 4, 0))), 0)</f>
        <v>0</v>
      </c>
      <c r="U4472" s="22">
        <f t="shared" si="280"/>
        <v>0</v>
      </c>
      <c r="V4472">
        <f t="shared" si="281"/>
        <v>0</v>
      </c>
      <c r="W4472" s="22">
        <f t="shared" si="282"/>
        <v>0</v>
      </c>
    </row>
    <row r="4473" spans="1:23" hidden="1" x14ac:dyDescent="0.25">
      <c r="A4473" s="45">
        <v>46074</v>
      </c>
      <c r="B4473" s="46" t="s">
        <v>334</v>
      </c>
      <c r="C4473" s="4" t="s">
        <v>252</v>
      </c>
      <c r="D4473" s="4"/>
      <c r="E4473" s="4"/>
      <c r="F4473" s="46" t="s">
        <v>2230</v>
      </c>
      <c r="G4473" s="4" t="s">
        <v>336</v>
      </c>
      <c r="H4473" s="4" t="s">
        <v>289</v>
      </c>
      <c r="I4473" s="4">
        <v>0.5</v>
      </c>
      <c r="J4473" s="21">
        <v>200</v>
      </c>
      <c r="K4473" s="21">
        <v>0</v>
      </c>
      <c r="L4473" s="5">
        <v>0</v>
      </c>
      <c r="M4473" s="4"/>
      <c r="N4473" s="4"/>
      <c r="O4473" s="5"/>
      <c r="P4473" s="5"/>
      <c r="Q4473" s="21">
        <v>100</v>
      </c>
      <c r="R4473" s="21">
        <v>0</v>
      </c>
      <c r="S4473" s="5">
        <f t="shared" si="279"/>
        <v>49583.628553026429</v>
      </c>
      <c r="T4473" cm="1">
        <f t="array" ref="T4473">IF(OR(B4473="MAL ALIMI", B4473="ÜRETİM GİRİŞ"), MIN(I4473, MAX(0, I4473 + SUM(SUMIFS($I$1:I4472, $C$1:C4472, C4473, $B$1:B4472, {"MAL ALIMI","ÜRETİM GİRİŞ"})) - VLOOKUP(C4473, 'STOK RAPORU'!$C$2:$I$1000, 4, 0))), 0)</f>
        <v>0</v>
      </c>
      <c r="U4473" s="22">
        <f t="shared" si="280"/>
        <v>0</v>
      </c>
      <c r="V4473">
        <f t="shared" si="281"/>
        <v>0</v>
      </c>
      <c r="W4473" s="22">
        <f t="shared" si="282"/>
        <v>0</v>
      </c>
    </row>
    <row r="4474" spans="1:23" hidden="1" x14ac:dyDescent="0.25">
      <c r="A4474" s="45">
        <v>46074</v>
      </c>
      <c r="B4474" s="46" t="s">
        <v>334</v>
      </c>
      <c r="C4474" s="4" t="s">
        <v>241</v>
      </c>
      <c r="D4474" s="4"/>
      <c r="E4474" s="4"/>
      <c r="F4474" s="46" t="s">
        <v>2230</v>
      </c>
      <c r="G4474" s="4" t="s">
        <v>336</v>
      </c>
      <c r="H4474" s="4" t="s">
        <v>289</v>
      </c>
      <c r="I4474" s="4">
        <v>0.28000000000000003</v>
      </c>
      <c r="J4474" s="21">
        <v>430</v>
      </c>
      <c r="K4474" s="21">
        <v>0</v>
      </c>
      <c r="L4474" s="5">
        <v>0</v>
      </c>
      <c r="M4474" s="4"/>
      <c r="N4474" s="4"/>
      <c r="O4474" s="5"/>
      <c r="P4474" s="5"/>
      <c r="Q4474" s="21">
        <v>120.4</v>
      </c>
      <c r="R4474" s="21">
        <v>0</v>
      </c>
      <c r="S4474" s="5">
        <f t="shared" si="279"/>
        <v>49704.02855302643</v>
      </c>
      <c r="T4474" cm="1">
        <f t="array" ref="T4474">IF(OR(B4474="MAL ALIMI", B4474="ÜRETİM GİRİŞ"), MIN(I4474, MAX(0, I4474 + SUM(SUMIFS($I$1:I4473, $C$1:C4473, C4474, $B$1:B4473, {"MAL ALIMI","ÜRETİM GİRİŞ"})) - VLOOKUP(C4474, 'STOK RAPORU'!$C$2:$I$1000, 4, 0))), 0)</f>
        <v>0</v>
      </c>
      <c r="U4474" s="22">
        <f t="shared" si="280"/>
        <v>0</v>
      </c>
      <c r="V4474">
        <f t="shared" si="281"/>
        <v>0</v>
      </c>
      <c r="W4474" s="22">
        <f t="shared" si="282"/>
        <v>0</v>
      </c>
    </row>
    <row r="4475" spans="1:23" hidden="1" x14ac:dyDescent="0.25">
      <c r="A4475" s="45">
        <v>46074</v>
      </c>
      <c r="B4475" s="46" t="s">
        <v>334</v>
      </c>
      <c r="C4475" s="4" t="s">
        <v>822</v>
      </c>
      <c r="D4475" s="4"/>
      <c r="E4475" s="4"/>
      <c r="F4475" s="46" t="s">
        <v>2230</v>
      </c>
      <c r="G4475" s="4" t="s">
        <v>336</v>
      </c>
      <c r="H4475" s="4" t="s">
        <v>289</v>
      </c>
      <c r="I4475" s="4">
        <v>1</v>
      </c>
      <c r="J4475" s="21">
        <v>170</v>
      </c>
      <c r="K4475" s="21">
        <v>0</v>
      </c>
      <c r="L4475" s="5">
        <v>0</v>
      </c>
      <c r="M4475" s="4"/>
      <c r="N4475" s="4"/>
      <c r="O4475" s="5"/>
      <c r="P4475" s="5"/>
      <c r="Q4475" s="21">
        <v>170</v>
      </c>
      <c r="R4475" s="21">
        <v>0</v>
      </c>
      <c r="S4475" s="5">
        <f t="shared" si="279"/>
        <v>49874.02855302643</v>
      </c>
      <c r="T4475" cm="1">
        <f t="array" ref="T4475">IF(OR(B4475="MAL ALIMI", B4475="ÜRETİM GİRİŞ"), MIN(I4475, MAX(0, I4475 + SUM(SUMIFS($I$1:I4474, $C$1:C4474, C4475, $B$1:B4474, {"MAL ALIMI","ÜRETİM GİRİŞ"})) - VLOOKUP(C4475, 'STOK RAPORU'!$C$2:$I$1000, 4, 0))), 0)</f>
        <v>0</v>
      </c>
      <c r="U4475" s="22">
        <f t="shared" si="280"/>
        <v>0</v>
      </c>
      <c r="V4475">
        <f t="shared" si="281"/>
        <v>0</v>
      </c>
      <c r="W4475" s="22">
        <f t="shared" si="282"/>
        <v>0</v>
      </c>
    </row>
    <row r="4476" spans="1:23" hidden="1" x14ac:dyDescent="0.25">
      <c r="A4476" s="45">
        <v>46074</v>
      </c>
      <c r="B4476" s="46" t="s">
        <v>334</v>
      </c>
      <c r="C4476" s="4" t="s">
        <v>152</v>
      </c>
      <c r="D4476" s="4"/>
      <c r="E4476" s="4"/>
      <c r="F4476" s="46" t="s">
        <v>2230</v>
      </c>
      <c r="G4476" s="4" t="s">
        <v>336</v>
      </c>
      <c r="H4476" s="4" t="s">
        <v>289</v>
      </c>
      <c r="I4476" s="4">
        <v>0.1</v>
      </c>
      <c r="J4476" s="21">
        <v>400</v>
      </c>
      <c r="K4476" s="21">
        <v>0</v>
      </c>
      <c r="L4476" s="5">
        <v>0</v>
      </c>
      <c r="M4476" s="4"/>
      <c r="N4476" s="4"/>
      <c r="O4476" s="5"/>
      <c r="P4476" s="5"/>
      <c r="Q4476" s="21">
        <v>40</v>
      </c>
      <c r="R4476" s="21">
        <v>0</v>
      </c>
      <c r="S4476" s="5">
        <f t="shared" si="279"/>
        <v>49914.02855302643</v>
      </c>
      <c r="T4476" cm="1">
        <f t="array" ref="T4476">IF(OR(B4476="MAL ALIMI", B4476="ÜRETİM GİRİŞ"), MIN(I4476, MAX(0, I4476 + SUM(SUMIFS($I$1:I4475, $C$1:C4475, C4476, $B$1:B4475, {"MAL ALIMI","ÜRETİM GİRİŞ"})) - VLOOKUP(C4476, 'STOK RAPORU'!$C$2:$I$1000, 4, 0))), 0)</f>
        <v>0</v>
      </c>
      <c r="U4476" s="22">
        <f t="shared" si="280"/>
        <v>0</v>
      </c>
      <c r="V4476">
        <f t="shared" si="281"/>
        <v>0</v>
      </c>
      <c r="W4476" s="22">
        <f t="shared" si="282"/>
        <v>0</v>
      </c>
    </row>
    <row r="4477" spans="1:23" hidden="1" x14ac:dyDescent="0.25">
      <c r="A4477" s="45">
        <v>46074</v>
      </c>
      <c r="B4477" s="46" t="s">
        <v>334</v>
      </c>
      <c r="C4477" s="4" t="s">
        <v>154</v>
      </c>
      <c r="D4477" s="4"/>
      <c r="E4477" s="4"/>
      <c r="F4477" s="46" t="s">
        <v>2230</v>
      </c>
      <c r="G4477" s="4" t="s">
        <v>336</v>
      </c>
      <c r="H4477" s="4" t="s">
        <v>289</v>
      </c>
      <c r="I4477" s="4">
        <v>0.1</v>
      </c>
      <c r="J4477" s="21">
        <v>400</v>
      </c>
      <c r="K4477" s="21">
        <v>0</v>
      </c>
      <c r="L4477" s="5">
        <v>0</v>
      </c>
      <c r="M4477" s="4"/>
      <c r="N4477" s="4"/>
      <c r="O4477" s="5"/>
      <c r="P4477" s="5"/>
      <c r="Q4477" s="21">
        <v>40</v>
      </c>
      <c r="R4477" s="21">
        <v>0</v>
      </c>
      <c r="S4477" s="5">
        <f t="shared" si="279"/>
        <v>49954.02855302643</v>
      </c>
      <c r="T4477" cm="1">
        <f t="array" ref="T4477">IF(OR(B4477="MAL ALIMI", B4477="ÜRETİM GİRİŞ"), MIN(I4477, MAX(0, I4477 + SUM(SUMIFS($I$1:I4476, $C$1:C4476, C4477, $B$1:B4476, {"MAL ALIMI","ÜRETİM GİRİŞ"})) - VLOOKUP(C4477, 'STOK RAPORU'!$C$2:$I$1000, 4, 0))), 0)</f>
        <v>0</v>
      </c>
      <c r="U4477" s="22">
        <f t="shared" si="280"/>
        <v>0</v>
      </c>
      <c r="V4477">
        <f t="shared" si="281"/>
        <v>0</v>
      </c>
      <c r="W4477" s="22">
        <f t="shared" si="282"/>
        <v>0</v>
      </c>
    </row>
    <row r="4478" spans="1:23" hidden="1" x14ac:dyDescent="0.25">
      <c r="A4478" s="45">
        <v>46074</v>
      </c>
      <c r="B4478" s="46" t="s">
        <v>334</v>
      </c>
      <c r="C4478" s="4" t="s">
        <v>134</v>
      </c>
      <c r="D4478" s="4"/>
      <c r="E4478" s="4"/>
      <c r="F4478" s="46" t="s">
        <v>2230</v>
      </c>
      <c r="G4478" s="4" t="s">
        <v>336</v>
      </c>
      <c r="H4478" s="4" t="s">
        <v>289</v>
      </c>
      <c r="I4478" s="4">
        <v>0.1</v>
      </c>
      <c r="J4478" s="21">
        <v>600</v>
      </c>
      <c r="K4478" s="21">
        <v>0</v>
      </c>
      <c r="L4478" s="5">
        <v>0</v>
      </c>
      <c r="M4478" s="4"/>
      <c r="N4478" s="4"/>
      <c r="O4478" s="5"/>
      <c r="P4478" s="5"/>
      <c r="Q4478" s="21">
        <v>60</v>
      </c>
      <c r="R4478" s="21">
        <v>0</v>
      </c>
      <c r="S4478" s="5">
        <f t="shared" si="279"/>
        <v>50014.02855302643</v>
      </c>
      <c r="T4478" cm="1">
        <f t="array" ref="T4478">IF(OR(B4478="MAL ALIMI", B4478="ÜRETİM GİRİŞ"), MIN(I4478, MAX(0, I4478 + SUM(SUMIFS($I$1:I4477, $C$1:C4477, C4478, $B$1:B4477, {"MAL ALIMI","ÜRETİM GİRİŞ"})) - VLOOKUP(C4478, 'STOK RAPORU'!$C$2:$I$1000, 4, 0))), 0)</f>
        <v>0</v>
      </c>
      <c r="U4478" s="22">
        <f t="shared" si="280"/>
        <v>0</v>
      </c>
      <c r="V4478">
        <f t="shared" si="281"/>
        <v>0</v>
      </c>
      <c r="W4478" s="22">
        <f t="shared" si="282"/>
        <v>0</v>
      </c>
    </row>
    <row r="4479" spans="1:23" hidden="1" x14ac:dyDescent="0.25">
      <c r="A4479" s="45">
        <v>46074</v>
      </c>
      <c r="B4479" s="46" t="s">
        <v>334</v>
      </c>
      <c r="C4479" s="4" t="s">
        <v>523</v>
      </c>
      <c r="D4479" s="4"/>
      <c r="E4479" s="4"/>
      <c r="F4479" s="46" t="s">
        <v>2230</v>
      </c>
      <c r="G4479" s="4" t="s">
        <v>336</v>
      </c>
      <c r="H4479" s="4" t="s">
        <v>289</v>
      </c>
      <c r="I4479" s="4">
        <v>0.1</v>
      </c>
      <c r="J4479" s="21">
        <v>650</v>
      </c>
      <c r="K4479" s="21">
        <v>0</v>
      </c>
      <c r="L4479" s="5">
        <v>0</v>
      </c>
      <c r="M4479" s="4"/>
      <c r="N4479" s="4"/>
      <c r="O4479" s="5"/>
      <c r="P4479" s="5"/>
      <c r="Q4479" s="21">
        <v>65</v>
      </c>
      <c r="R4479" s="21">
        <v>0</v>
      </c>
      <c r="S4479" s="5">
        <f t="shared" si="279"/>
        <v>50079.02855302643</v>
      </c>
      <c r="T4479" cm="1">
        <f t="array" ref="T4479">IF(OR(B4479="MAL ALIMI", B4479="ÜRETİM GİRİŞ"), MIN(I4479, MAX(0, I4479 + SUM(SUMIFS($I$1:I4478, $C$1:C4478, C4479, $B$1:B4478, {"MAL ALIMI","ÜRETİM GİRİŞ"})) - VLOOKUP(C4479, 'STOK RAPORU'!$C$2:$I$1000, 4, 0))), 0)</f>
        <v>0</v>
      </c>
      <c r="U4479" s="22">
        <f t="shared" si="280"/>
        <v>0</v>
      </c>
      <c r="V4479">
        <f t="shared" si="281"/>
        <v>0</v>
      </c>
      <c r="W4479" s="22">
        <f t="shared" si="282"/>
        <v>0</v>
      </c>
    </row>
    <row r="4480" spans="1:23" hidden="1" x14ac:dyDescent="0.25">
      <c r="A4480" s="45">
        <v>46074</v>
      </c>
      <c r="B4480" s="46" t="s">
        <v>334</v>
      </c>
      <c r="C4480" s="4" t="s">
        <v>529</v>
      </c>
      <c r="D4480" s="4"/>
      <c r="E4480" s="4"/>
      <c r="F4480" s="46" t="s">
        <v>2230</v>
      </c>
      <c r="G4480" s="4" t="s">
        <v>336</v>
      </c>
      <c r="H4480" s="4" t="s">
        <v>289</v>
      </c>
      <c r="I4480" s="4">
        <v>0.1</v>
      </c>
      <c r="J4480" s="21">
        <v>600</v>
      </c>
      <c r="K4480" s="21">
        <v>0</v>
      </c>
      <c r="L4480" s="5">
        <v>0</v>
      </c>
      <c r="M4480" s="4"/>
      <c r="N4480" s="4"/>
      <c r="O4480" s="5"/>
      <c r="P4480" s="5"/>
      <c r="Q4480" s="21">
        <v>60</v>
      </c>
      <c r="R4480" s="21">
        <v>0</v>
      </c>
      <c r="S4480" s="5">
        <f t="shared" si="279"/>
        <v>50139.02855302643</v>
      </c>
      <c r="T4480" cm="1">
        <f t="array" ref="T4480">IF(OR(B4480="MAL ALIMI", B4480="ÜRETİM GİRİŞ"), MIN(I4480, MAX(0, I4480 + SUM(SUMIFS($I$1:I4479, $C$1:C4479, C4480, $B$1:B4479, {"MAL ALIMI","ÜRETİM GİRİŞ"})) - VLOOKUP(C4480, 'STOK RAPORU'!$C$2:$I$1000, 4, 0))), 0)</f>
        <v>0</v>
      </c>
      <c r="U4480" s="22">
        <f t="shared" si="280"/>
        <v>0</v>
      </c>
      <c r="V4480">
        <f t="shared" si="281"/>
        <v>0</v>
      </c>
      <c r="W4480" s="22">
        <f t="shared" si="282"/>
        <v>0</v>
      </c>
    </row>
    <row r="4481" spans="1:23" hidden="1" x14ac:dyDescent="0.25">
      <c r="A4481" s="45">
        <v>46074</v>
      </c>
      <c r="B4481" s="46" t="s">
        <v>334</v>
      </c>
      <c r="C4481" s="4" t="s">
        <v>218</v>
      </c>
      <c r="D4481" s="4"/>
      <c r="E4481" s="4"/>
      <c r="F4481" s="46" t="s">
        <v>2230</v>
      </c>
      <c r="G4481" s="4" t="s">
        <v>336</v>
      </c>
      <c r="H4481" s="4" t="s">
        <v>289</v>
      </c>
      <c r="I4481" s="4">
        <v>1</v>
      </c>
      <c r="J4481" s="21">
        <v>340</v>
      </c>
      <c r="K4481" s="21">
        <v>0</v>
      </c>
      <c r="L4481" s="5">
        <v>0</v>
      </c>
      <c r="M4481" s="4"/>
      <c r="N4481" s="4"/>
      <c r="O4481" s="5"/>
      <c r="P4481" s="5"/>
      <c r="Q4481" s="21">
        <v>340</v>
      </c>
      <c r="R4481" s="21">
        <v>0</v>
      </c>
      <c r="S4481" s="5">
        <f t="shared" si="279"/>
        <v>50479.02855302643</v>
      </c>
      <c r="T4481" cm="1">
        <f t="array" ref="T4481">IF(OR(B4481="MAL ALIMI", B4481="ÜRETİM GİRİŞ"), MIN(I4481, MAX(0, I4481 + SUM(SUMIFS($I$1:I4480, $C$1:C4480, C4481, $B$1:B4480, {"MAL ALIMI","ÜRETİM GİRİŞ"})) - VLOOKUP(C4481, 'STOK RAPORU'!$C$2:$I$1000, 4, 0))), 0)</f>
        <v>0</v>
      </c>
      <c r="U4481" s="22">
        <f t="shared" si="280"/>
        <v>0</v>
      </c>
      <c r="V4481">
        <f t="shared" si="281"/>
        <v>0</v>
      </c>
      <c r="W4481" s="22">
        <f t="shared" si="282"/>
        <v>0</v>
      </c>
    </row>
    <row r="4482" spans="1:23" hidden="1" x14ac:dyDescent="0.25">
      <c r="A4482" s="45">
        <v>46074</v>
      </c>
      <c r="B4482" s="46" t="s">
        <v>334</v>
      </c>
      <c r="C4482" s="4" t="s">
        <v>96</v>
      </c>
      <c r="D4482" s="4"/>
      <c r="E4482" s="4"/>
      <c r="F4482" s="46" t="s">
        <v>2230</v>
      </c>
      <c r="G4482" s="4" t="s">
        <v>336</v>
      </c>
      <c r="H4482" s="4" t="s">
        <v>289</v>
      </c>
      <c r="I4482" s="4">
        <v>0.46500000000000002</v>
      </c>
      <c r="J4482" s="21">
        <v>400</v>
      </c>
      <c r="K4482" s="21">
        <v>0</v>
      </c>
      <c r="L4482" s="5">
        <v>0</v>
      </c>
      <c r="M4482" s="4"/>
      <c r="N4482" s="4"/>
      <c r="O4482" s="5"/>
      <c r="P4482" s="5"/>
      <c r="Q4482" s="21">
        <v>186</v>
      </c>
      <c r="R4482" s="21">
        <v>0</v>
      </c>
      <c r="S4482" s="5">
        <f t="shared" si="279"/>
        <v>50665.02855302643</v>
      </c>
      <c r="T4482" cm="1">
        <f t="array" ref="T4482">IF(OR(B4482="MAL ALIMI", B4482="ÜRETİM GİRİŞ"), MIN(I4482, MAX(0, I4482 + SUM(SUMIFS($I$1:I4481, $C$1:C4481, C4482, $B$1:B4481, {"MAL ALIMI","ÜRETİM GİRİŞ"})) - VLOOKUP(C4482, 'STOK RAPORU'!$C$2:$I$1000, 4, 0))), 0)</f>
        <v>0</v>
      </c>
      <c r="U4482" s="22">
        <f t="shared" si="280"/>
        <v>0</v>
      </c>
      <c r="V4482">
        <f t="shared" si="281"/>
        <v>0</v>
      </c>
      <c r="W4482" s="22">
        <f t="shared" si="282"/>
        <v>0</v>
      </c>
    </row>
    <row r="4483" spans="1:23" hidden="1" x14ac:dyDescent="0.25">
      <c r="A4483" s="45">
        <v>46074</v>
      </c>
      <c r="B4483" s="46" t="s">
        <v>334</v>
      </c>
      <c r="C4483" s="4" t="s">
        <v>1023</v>
      </c>
      <c r="D4483" s="4"/>
      <c r="E4483" s="4"/>
      <c r="F4483" s="46" t="s">
        <v>2230</v>
      </c>
      <c r="G4483" s="4" t="s">
        <v>336</v>
      </c>
      <c r="H4483" s="4" t="s">
        <v>289</v>
      </c>
      <c r="I4483" s="4">
        <v>1.54</v>
      </c>
      <c r="J4483" s="21">
        <v>65</v>
      </c>
      <c r="K4483" s="21">
        <v>0</v>
      </c>
      <c r="L4483" s="5">
        <v>0</v>
      </c>
      <c r="M4483" s="4"/>
      <c r="N4483" s="4"/>
      <c r="O4483" s="5"/>
      <c r="P4483" s="5"/>
      <c r="Q4483" s="21">
        <v>100.10000000000001</v>
      </c>
      <c r="R4483" s="21">
        <v>0</v>
      </c>
      <c r="S4483" s="5">
        <f t="shared" si="279"/>
        <v>50765.128553026429</v>
      </c>
      <c r="T4483" cm="1">
        <f t="array" ref="T4483">IF(OR(B4483="MAL ALIMI", B4483="ÜRETİM GİRİŞ"), MIN(I4483, MAX(0, I4483 + SUM(SUMIFS($I$1:I4482, $C$1:C4482, C4483, $B$1:B4482, {"MAL ALIMI","ÜRETİM GİRİŞ"})) - VLOOKUP(C4483, 'STOK RAPORU'!$C$2:$I$1000, 4, 0))), 0)</f>
        <v>0</v>
      </c>
      <c r="U4483" s="22">
        <f t="shared" si="280"/>
        <v>0</v>
      </c>
      <c r="V4483">
        <f t="shared" si="281"/>
        <v>0</v>
      </c>
      <c r="W4483" s="22">
        <f t="shared" si="282"/>
        <v>0</v>
      </c>
    </row>
    <row r="4484" spans="1:23" hidden="1" x14ac:dyDescent="0.25">
      <c r="A4484" s="45">
        <v>46074</v>
      </c>
      <c r="B4484" s="46" t="s">
        <v>334</v>
      </c>
      <c r="C4484" s="4" t="s">
        <v>92</v>
      </c>
      <c r="D4484" s="4"/>
      <c r="E4484" s="4"/>
      <c r="F4484" s="46" t="s">
        <v>2230</v>
      </c>
      <c r="G4484" s="4" t="s">
        <v>336</v>
      </c>
      <c r="H4484" s="4" t="s">
        <v>289</v>
      </c>
      <c r="I4484" s="4">
        <v>0.3</v>
      </c>
      <c r="J4484" s="21">
        <v>500</v>
      </c>
      <c r="K4484" s="21">
        <v>0</v>
      </c>
      <c r="L4484" s="5">
        <v>0</v>
      </c>
      <c r="M4484" s="4"/>
      <c r="N4484" s="4"/>
      <c r="O4484" s="5"/>
      <c r="P4484" s="5"/>
      <c r="Q4484" s="21">
        <v>150</v>
      </c>
      <c r="R4484" s="21">
        <v>0</v>
      </c>
      <c r="S4484" s="5">
        <f t="shared" ref="S4484:S4547" si="283">S4483+Q4484-R4484</f>
        <v>50915.128553026429</v>
      </c>
      <c r="T4484" cm="1">
        <f t="array" ref="T4484">IF(OR(B4484="MAL ALIMI", B4484="ÜRETİM GİRİŞ"), MIN(I4484, MAX(0, I4484 + SUM(SUMIFS($I$1:I4483, $C$1:C4483, C4484, $B$1:B4483, {"MAL ALIMI","ÜRETİM GİRİŞ"})) - VLOOKUP(C4484, 'STOK RAPORU'!$C$2:$I$1000, 4, 0))), 0)</f>
        <v>0</v>
      </c>
      <c r="U4484" s="22">
        <f t="shared" si="280"/>
        <v>0</v>
      </c>
      <c r="V4484">
        <f t="shared" si="281"/>
        <v>0</v>
      </c>
      <c r="W4484" s="22">
        <f t="shared" si="282"/>
        <v>0</v>
      </c>
    </row>
    <row r="4485" spans="1:23" hidden="1" x14ac:dyDescent="0.25">
      <c r="A4485" s="45">
        <v>46074</v>
      </c>
      <c r="B4485" s="46" t="s">
        <v>334</v>
      </c>
      <c r="C4485" s="4" t="s">
        <v>269</v>
      </c>
      <c r="D4485" s="4"/>
      <c r="E4485" s="4"/>
      <c r="F4485" s="46" t="s">
        <v>2230</v>
      </c>
      <c r="G4485" s="4" t="s">
        <v>336</v>
      </c>
      <c r="H4485" s="4" t="s">
        <v>289</v>
      </c>
      <c r="I4485" s="4">
        <v>1</v>
      </c>
      <c r="J4485" s="21">
        <v>240</v>
      </c>
      <c r="K4485" s="21">
        <v>0</v>
      </c>
      <c r="L4485" s="5">
        <v>0</v>
      </c>
      <c r="M4485" s="4"/>
      <c r="N4485" s="4"/>
      <c r="O4485" s="5"/>
      <c r="P4485" s="5"/>
      <c r="Q4485" s="21">
        <v>240</v>
      </c>
      <c r="R4485" s="21">
        <v>0</v>
      </c>
      <c r="S4485" s="5">
        <f t="shared" si="283"/>
        <v>51155.128553026429</v>
      </c>
      <c r="T4485" cm="1">
        <f t="array" ref="T4485">IF(OR(B4485="MAL ALIMI", B4485="ÜRETİM GİRİŞ"), MIN(I4485, MAX(0, I4485 + SUM(SUMIFS($I$1:I4484, $C$1:C4484, C4485, $B$1:B4484, {"MAL ALIMI","ÜRETİM GİRİŞ"})) - VLOOKUP(C4485, 'STOK RAPORU'!$C$2:$I$1000, 4, 0))), 0)</f>
        <v>0</v>
      </c>
      <c r="U4485" s="22">
        <f t="shared" si="280"/>
        <v>0</v>
      </c>
      <c r="V4485">
        <f t="shared" si="281"/>
        <v>0</v>
      </c>
      <c r="W4485" s="22">
        <f t="shared" si="282"/>
        <v>0</v>
      </c>
    </row>
    <row r="4486" spans="1:23" hidden="1" x14ac:dyDescent="0.25">
      <c r="A4486" s="45">
        <v>46074</v>
      </c>
      <c r="B4486" s="46" t="s">
        <v>334</v>
      </c>
      <c r="C4486" s="4" t="s">
        <v>587</v>
      </c>
      <c r="D4486" s="4"/>
      <c r="E4486" s="4"/>
      <c r="F4486" s="46" t="s">
        <v>2231</v>
      </c>
      <c r="G4486" s="4" t="s">
        <v>336</v>
      </c>
      <c r="H4486" s="4" t="s">
        <v>289</v>
      </c>
      <c r="I4486" s="4">
        <v>2</v>
      </c>
      <c r="J4486" s="21">
        <v>150</v>
      </c>
      <c r="K4486" s="21">
        <v>0</v>
      </c>
      <c r="L4486" s="5">
        <v>0</v>
      </c>
      <c r="M4486" s="4"/>
      <c r="N4486" s="4"/>
      <c r="O4486" s="5"/>
      <c r="P4486" s="5"/>
      <c r="Q4486" s="21">
        <v>300</v>
      </c>
      <c r="R4486" s="21">
        <v>0</v>
      </c>
      <c r="S4486" s="5">
        <f t="shared" si="283"/>
        <v>51455.128553026429</v>
      </c>
      <c r="T4486" cm="1">
        <f t="array" ref="T4486">IF(OR(B4486="MAL ALIMI", B4486="ÜRETİM GİRİŞ"), MIN(I4486, MAX(0, I4486 + SUM(SUMIFS($I$1:I4485, $C$1:C4485, C4486, $B$1:B4485, {"MAL ALIMI","ÜRETİM GİRİŞ"})) - VLOOKUP(C4486, 'STOK RAPORU'!$C$2:$I$1000, 4, 0))), 0)</f>
        <v>0</v>
      </c>
      <c r="U4486" s="22">
        <f t="shared" si="280"/>
        <v>0</v>
      </c>
      <c r="V4486">
        <f t="shared" si="281"/>
        <v>0</v>
      </c>
      <c r="W4486" s="22">
        <f t="shared" si="282"/>
        <v>0</v>
      </c>
    </row>
    <row r="4487" spans="1:23" hidden="1" x14ac:dyDescent="0.25">
      <c r="A4487" s="45">
        <v>46074</v>
      </c>
      <c r="B4487" s="46" t="s">
        <v>334</v>
      </c>
      <c r="C4487" s="4" t="s">
        <v>162</v>
      </c>
      <c r="D4487" s="4"/>
      <c r="E4487" s="4"/>
      <c r="F4487" s="46" t="s">
        <v>2231</v>
      </c>
      <c r="G4487" s="4" t="s">
        <v>336</v>
      </c>
      <c r="H4487" s="4" t="s">
        <v>289</v>
      </c>
      <c r="I4487" s="4">
        <v>1</v>
      </c>
      <c r="J4487" s="21">
        <v>250</v>
      </c>
      <c r="K4487" s="21">
        <v>0</v>
      </c>
      <c r="L4487" s="5">
        <v>0</v>
      </c>
      <c r="M4487" s="4"/>
      <c r="N4487" s="4"/>
      <c r="O4487" s="5"/>
      <c r="P4487" s="5"/>
      <c r="Q4487" s="21">
        <v>250</v>
      </c>
      <c r="R4487" s="21">
        <v>0</v>
      </c>
      <c r="S4487" s="5">
        <f t="shared" si="283"/>
        <v>51705.128553026429</v>
      </c>
      <c r="T4487" cm="1">
        <f t="array" ref="T4487">IF(OR(B4487="MAL ALIMI", B4487="ÜRETİM GİRİŞ"), MIN(I4487, MAX(0, I4487 + SUM(SUMIFS($I$1:I4486, $C$1:C4486, C4487, $B$1:B4486, {"MAL ALIMI","ÜRETİM GİRİŞ"})) - VLOOKUP(C4487, 'STOK RAPORU'!$C$2:$I$1000, 4, 0))), 0)</f>
        <v>0</v>
      </c>
      <c r="U4487" s="22">
        <f t="shared" si="280"/>
        <v>0</v>
      </c>
      <c r="V4487">
        <f t="shared" si="281"/>
        <v>0</v>
      </c>
      <c r="W4487" s="22">
        <f t="shared" si="282"/>
        <v>0</v>
      </c>
    </row>
    <row r="4488" spans="1:23" hidden="1" x14ac:dyDescent="0.25">
      <c r="A4488" s="45">
        <v>46074</v>
      </c>
      <c r="B4488" s="46" t="s">
        <v>334</v>
      </c>
      <c r="C4488" s="4" t="s">
        <v>131</v>
      </c>
      <c r="D4488" s="4"/>
      <c r="E4488" s="4"/>
      <c r="F4488" s="46" t="s">
        <v>2231</v>
      </c>
      <c r="G4488" s="4" t="s">
        <v>336</v>
      </c>
      <c r="H4488" s="4" t="s">
        <v>289</v>
      </c>
      <c r="I4488" s="4">
        <v>0.25</v>
      </c>
      <c r="J4488" s="21">
        <v>400</v>
      </c>
      <c r="K4488" s="21">
        <v>0</v>
      </c>
      <c r="L4488" s="5">
        <v>0</v>
      </c>
      <c r="M4488" s="4"/>
      <c r="N4488" s="4"/>
      <c r="O4488" s="5"/>
      <c r="P4488" s="5"/>
      <c r="Q4488" s="21">
        <v>100</v>
      </c>
      <c r="R4488" s="21">
        <v>0</v>
      </c>
      <c r="S4488" s="5">
        <f t="shared" si="283"/>
        <v>51805.128553026429</v>
      </c>
      <c r="T4488" cm="1">
        <f t="array" ref="T4488">IF(OR(B4488="MAL ALIMI", B4488="ÜRETİM GİRİŞ"), MIN(I4488, MAX(0, I4488 + SUM(SUMIFS($I$1:I4487, $C$1:C4487, C4488, $B$1:B4487, {"MAL ALIMI","ÜRETİM GİRİŞ"})) - VLOOKUP(C4488, 'STOK RAPORU'!$C$2:$I$1000, 4, 0))), 0)</f>
        <v>0</v>
      </c>
      <c r="U4488" s="22">
        <f t="shared" si="280"/>
        <v>0</v>
      </c>
      <c r="V4488">
        <f t="shared" si="281"/>
        <v>0</v>
      </c>
      <c r="W4488" s="22">
        <f t="shared" si="282"/>
        <v>0</v>
      </c>
    </row>
    <row r="4489" spans="1:23" hidden="1" x14ac:dyDescent="0.25">
      <c r="A4489" s="45">
        <v>46074</v>
      </c>
      <c r="B4489" s="46" t="s">
        <v>334</v>
      </c>
      <c r="C4489" s="4" t="s">
        <v>126</v>
      </c>
      <c r="D4489" s="4"/>
      <c r="E4489" s="4"/>
      <c r="F4489" s="46" t="s">
        <v>2231</v>
      </c>
      <c r="G4489" s="4" t="s">
        <v>336</v>
      </c>
      <c r="H4489" s="4" t="s">
        <v>289</v>
      </c>
      <c r="I4489" s="4">
        <v>0.154</v>
      </c>
      <c r="J4489" s="21">
        <v>650</v>
      </c>
      <c r="K4489" s="21">
        <v>0</v>
      </c>
      <c r="L4489" s="5">
        <v>0</v>
      </c>
      <c r="M4489" s="4"/>
      <c r="N4489" s="4"/>
      <c r="O4489" s="5"/>
      <c r="P4489" s="5"/>
      <c r="Q4489" s="21">
        <v>100.1</v>
      </c>
      <c r="R4489" s="21">
        <v>0</v>
      </c>
      <c r="S4489" s="5">
        <f t="shared" si="283"/>
        <v>51905.228553026427</v>
      </c>
      <c r="T4489" cm="1">
        <f t="array" ref="T4489">IF(OR(B4489="MAL ALIMI", B4489="ÜRETİM GİRİŞ"), MIN(I4489, MAX(0, I4489 + SUM(SUMIFS($I$1:I4488, $C$1:C4488, C4489, $B$1:B4488, {"MAL ALIMI","ÜRETİM GİRİŞ"})) - VLOOKUP(C4489, 'STOK RAPORU'!$C$2:$I$1000, 4, 0))), 0)</f>
        <v>0</v>
      </c>
      <c r="U4489" s="22">
        <f t="shared" si="280"/>
        <v>0</v>
      </c>
      <c r="V4489">
        <f t="shared" si="281"/>
        <v>0</v>
      </c>
      <c r="W4489" s="22">
        <f t="shared" si="282"/>
        <v>0</v>
      </c>
    </row>
    <row r="4490" spans="1:23" hidden="1" x14ac:dyDescent="0.25">
      <c r="A4490" s="3">
        <v>46074</v>
      </c>
      <c r="B4490" s="4" t="s">
        <v>334</v>
      </c>
      <c r="C4490" s="4" t="s">
        <v>587</v>
      </c>
      <c r="D4490" s="4"/>
      <c r="E4490" s="4"/>
      <c r="F4490" s="46" t="s">
        <v>2402</v>
      </c>
      <c r="G4490" s="4" t="s">
        <v>1610</v>
      </c>
      <c r="H4490" s="4" t="s">
        <v>289</v>
      </c>
      <c r="I4490" s="4">
        <v>4</v>
      </c>
      <c r="J4490" s="21">
        <v>150</v>
      </c>
      <c r="K4490" s="21">
        <v>0</v>
      </c>
      <c r="L4490" s="5">
        <v>0</v>
      </c>
      <c r="M4490" s="4"/>
      <c r="N4490" s="4"/>
      <c r="O4490" s="5"/>
      <c r="P4490" s="5"/>
      <c r="Q4490" s="21">
        <v>600</v>
      </c>
      <c r="R4490" s="21">
        <v>0</v>
      </c>
      <c r="S4490" s="5">
        <f t="shared" si="283"/>
        <v>52505.228553026427</v>
      </c>
      <c r="T4490" cm="1">
        <f t="array" ref="T4490">IF(OR(B4490="MAL ALIMI", B4490="ÜRETİM GİRİŞ"), MIN(I4490, MAX(0, I4490 + SUM(SUMIFS($I$1:I4489, $C$1:C4489, C4490, $B$1:B4489, {"MAL ALIMI","ÜRETİM GİRİŞ"})) - VLOOKUP(C4490, 'STOK RAPORU'!$C$2:$I$1000, 4, 0))), 0)</f>
        <v>0</v>
      </c>
      <c r="U4490" s="22">
        <f t="shared" si="280"/>
        <v>0</v>
      </c>
      <c r="V4490">
        <f t="shared" si="281"/>
        <v>0</v>
      </c>
      <c r="W4490" s="22">
        <f t="shared" si="282"/>
        <v>0</v>
      </c>
    </row>
    <row r="4491" spans="1:23" hidden="1" x14ac:dyDescent="0.25">
      <c r="A4491" s="3">
        <v>46074</v>
      </c>
      <c r="B4491" s="4" t="s">
        <v>334</v>
      </c>
      <c r="C4491" s="4" t="s">
        <v>587</v>
      </c>
      <c r="D4491" s="4"/>
      <c r="E4491" s="4"/>
      <c r="F4491" s="46" t="s">
        <v>2402</v>
      </c>
      <c r="G4491" s="4" t="s">
        <v>1610</v>
      </c>
      <c r="H4491" s="4" t="s">
        <v>289</v>
      </c>
      <c r="I4491" s="4">
        <v>1</v>
      </c>
      <c r="J4491" s="21">
        <v>150</v>
      </c>
      <c r="K4491" s="21">
        <v>0</v>
      </c>
      <c r="L4491" s="5">
        <v>0</v>
      </c>
      <c r="M4491" s="4"/>
      <c r="N4491" s="4"/>
      <c r="O4491" s="5"/>
      <c r="P4491" s="5"/>
      <c r="Q4491" s="21">
        <v>150</v>
      </c>
      <c r="R4491" s="21">
        <v>0</v>
      </c>
      <c r="S4491" s="5">
        <f t="shared" si="283"/>
        <v>52655.228553026427</v>
      </c>
      <c r="T4491" cm="1">
        <f t="array" ref="T4491">IF(OR(B4491="MAL ALIMI", B4491="ÜRETİM GİRİŞ"), MIN(I4491, MAX(0, I4491 + SUM(SUMIFS($I$1:I4490, $C$1:C4490, C4491, $B$1:B4490, {"MAL ALIMI","ÜRETİM GİRİŞ"})) - VLOOKUP(C4491, 'STOK RAPORU'!$C$2:$I$1000, 4, 0))), 0)</f>
        <v>0</v>
      </c>
      <c r="U4491" s="22">
        <f t="shared" si="280"/>
        <v>0</v>
      </c>
      <c r="V4491">
        <f t="shared" si="281"/>
        <v>0</v>
      </c>
      <c r="W4491" s="22">
        <f t="shared" si="282"/>
        <v>0</v>
      </c>
    </row>
    <row r="4492" spans="1:23" hidden="1" x14ac:dyDescent="0.25">
      <c r="A4492" s="3">
        <v>46074</v>
      </c>
      <c r="B4492" s="4" t="s">
        <v>334</v>
      </c>
      <c r="C4492" s="4" t="s">
        <v>586</v>
      </c>
      <c r="D4492" s="4"/>
      <c r="E4492" s="4"/>
      <c r="F4492" s="46" t="s">
        <v>2402</v>
      </c>
      <c r="G4492" s="4" t="s">
        <v>1610</v>
      </c>
      <c r="H4492" s="4" t="s">
        <v>289</v>
      </c>
      <c r="I4492" s="4">
        <v>1</v>
      </c>
      <c r="J4492" s="21">
        <v>200</v>
      </c>
      <c r="K4492" s="21">
        <v>0</v>
      </c>
      <c r="L4492" s="5">
        <v>0</v>
      </c>
      <c r="M4492" s="4"/>
      <c r="N4492" s="4"/>
      <c r="O4492" s="5"/>
      <c r="P4492" s="5"/>
      <c r="Q4492" s="21">
        <v>200</v>
      </c>
      <c r="R4492" s="21">
        <v>0</v>
      </c>
      <c r="S4492" s="5">
        <f t="shared" si="283"/>
        <v>52855.228553026427</v>
      </c>
      <c r="T4492" cm="1">
        <f t="array" ref="T4492">IF(OR(B4492="MAL ALIMI", B4492="ÜRETİM GİRİŞ"), MIN(I4492, MAX(0, I4492 + SUM(SUMIFS($I$1:I4491, $C$1:C4491, C4492, $B$1:B4491, {"MAL ALIMI","ÜRETİM GİRİŞ"})) - VLOOKUP(C4492, 'STOK RAPORU'!$C$2:$I$1000, 4, 0))), 0)</f>
        <v>0</v>
      </c>
      <c r="U4492" s="22">
        <f t="shared" si="280"/>
        <v>0</v>
      </c>
      <c r="V4492">
        <f t="shared" si="281"/>
        <v>0</v>
      </c>
      <c r="W4492" s="22">
        <f t="shared" si="282"/>
        <v>0</v>
      </c>
    </row>
    <row r="4493" spans="1:23" hidden="1" x14ac:dyDescent="0.25">
      <c r="A4493" s="3">
        <v>46074</v>
      </c>
      <c r="B4493" s="4" t="s">
        <v>334</v>
      </c>
      <c r="C4493" s="4" t="s">
        <v>587</v>
      </c>
      <c r="D4493" s="4"/>
      <c r="E4493" s="4"/>
      <c r="F4493" s="46" t="s">
        <v>2402</v>
      </c>
      <c r="G4493" s="4" t="s">
        <v>1610</v>
      </c>
      <c r="H4493" s="4" t="s">
        <v>289</v>
      </c>
      <c r="I4493" s="4">
        <v>2</v>
      </c>
      <c r="J4493" s="21">
        <v>150</v>
      </c>
      <c r="K4493" s="21">
        <v>0</v>
      </c>
      <c r="L4493" s="5">
        <v>0</v>
      </c>
      <c r="M4493" s="4"/>
      <c r="N4493" s="4"/>
      <c r="O4493" s="5"/>
      <c r="P4493" s="5"/>
      <c r="Q4493" s="21">
        <v>300</v>
      </c>
      <c r="R4493" s="21">
        <v>0</v>
      </c>
      <c r="S4493" s="5">
        <f t="shared" si="283"/>
        <v>53155.228553026427</v>
      </c>
      <c r="T4493" cm="1">
        <f t="array" ref="T4493">IF(OR(B4493="MAL ALIMI", B4493="ÜRETİM GİRİŞ"), MIN(I4493, MAX(0, I4493 + SUM(SUMIFS($I$1:I4492, $C$1:C4492, C4493, $B$1:B4492, {"MAL ALIMI","ÜRETİM GİRİŞ"})) - VLOOKUP(C4493, 'STOK RAPORU'!$C$2:$I$1000, 4, 0))), 0)</f>
        <v>0</v>
      </c>
      <c r="U4493" s="22">
        <f t="shared" si="280"/>
        <v>0</v>
      </c>
      <c r="V4493">
        <f t="shared" si="281"/>
        <v>0</v>
      </c>
      <c r="W4493" s="22">
        <f t="shared" si="282"/>
        <v>0</v>
      </c>
    </row>
    <row r="4494" spans="1:23" hidden="1" x14ac:dyDescent="0.25">
      <c r="A4494" s="3">
        <v>46074</v>
      </c>
      <c r="B4494" s="4" t="s">
        <v>334</v>
      </c>
      <c r="C4494" s="4" t="s">
        <v>587</v>
      </c>
      <c r="D4494" s="4"/>
      <c r="E4494" s="4"/>
      <c r="F4494" s="46" t="s">
        <v>2402</v>
      </c>
      <c r="G4494" s="4" t="s">
        <v>1610</v>
      </c>
      <c r="H4494" s="4" t="s">
        <v>289</v>
      </c>
      <c r="I4494" s="4">
        <v>2</v>
      </c>
      <c r="J4494" s="21">
        <v>150</v>
      </c>
      <c r="K4494" s="21">
        <v>0</v>
      </c>
      <c r="L4494" s="5">
        <v>0</v>
      </c>
      <c r="M4494" s="4"/>
      <c r="N4494" s="4"/>
      <c r="O4494" s="5"/>
      <c r="P4494" s="5"/>
      <c r="Q4494" s="21">
        <v>300</v>
      </c>
      <c r="R4494" s="21">
        <v>0</v>
      </c>
      <c r="S4494" s="5">
        <f t="shared" si="283"/>
        <v>53455.228553026427</v>
      </c>
      <c r="T4494" cm="1">
        <f t="array" ref="T4494">IF(OR(B4494="MAL ALIMI", B4494="ÜRETİM GİRİŞ"), MIN(I4494, MAX(0, I4494 + SUM(SUMIFS($I$1:I4493, $C$1:C4493, C4494, $B$1:B4493, {"MAL ALIMI","ÜRETİM GİRİŞ"})) - VLOOKUP(C4494, 'STOK RAPORU'!$C$2:$I$1000, 4, 0))), 0)</f>
        <v>0</v>
      </c>
      <c r="U4494" s="22">
        <f t="shared" si="280"/>
        <v>0</v>
      </c>
      <c r="V4494">
        <f t="shared" si="281"/>
        <v>0</v>
      </c>
      <c r="W4494" s="22">
        <f t="shared" si="282"/>
        <v>0</v>
      </c>
    </row>
    <row r="4495" spans="1:23" hidden="1" x14ac:dyDescent="0.25">
      <c r="A4495" s="3">
        <v>46074</v>
      </c>
      <c r="B4495" s="4" t="s">
        <v>334</v>
      </c>
      <c r="C4495" s="4" t="s">
        <v>157</v>
      </c>
      <c r="D4495" s="4"/>
      <c r="E4495" s="4"/>
      <c r="F4495" s="46" t="s">
        <v>2402</v>
      </c>
      <c r="G4495" s="4" t="s">
        <v>1610</v>
      </c>
      <c r="H4495" s="4" t="s">
        <v>289</v>
      </c>
      <c r="I4495" s="4">
        <v>1</v>
      </c>
      <c r="J4495" s="21">
        <v>200</v>
      </c>
      <c r="K4495" s="21">
        <v>0</v>
      </c>
      <c r="L4495" s="5">
        <v>0</v>
      </c>
      <c r="M4495" s="4"/>
      <c r="N4495" s="4"/>
      <c r="O4495" s="5"/>
      <c r="P4495" s="5"/>
      <c r="Q4495" s="21">
        <v>200</v>
      </c>
      <c r="R4495" s="21">
        <v>0</v>
      </c>
      <c r="S4495" s="5">
        <f t="shared" si="283"/>
        <v>53655.228553026427</v>
      </c>
      <c r="T4495" cm="1">
        <f t="array" ref="T4495">IF(OR(B4495="MAL ALIMI", B4495="ÜRETİM GİRİŞ"), MIN(I4495, MAX(0, I4495 + SUM(SUMIFS($I$1:I4494, $C$1:C4494, C4495, $B$1:B4494, {"MAL ALIMI","ÜRETİM GİRİŞ"})) - VLOOKUP(C4495, 'STOK RAPORU'!$C$2:$I$1000, 4, 0))), 0)</f>
        <v>0</v>
      </c>
      <c r="U4495" s="22">
        <f t="shared" si="280"/>
        <v>0</v>
      </c>
      <c r="V4495">
        <f t="shared" si="281"/>
        <v>0</v>
      </c>
      <c r="W4495" s="22">
        <f t="shared" si="282"/>
        <v>0</v>
      </c>
    </row>
    <row r="4496" spans="1:23" hidden="1" x14ac:dyDescent="0.25">
      <c r="A4496" s="3">
        <v>46074</v>
      </c>
      <c r="B4496" s="4" t="s">
        <v>334</v>
      </c>
      <c r="C4496" s="4" t="s">
        <v>161</v>
      </c>
      <c r="D4496" s="4"/>
      <c r="E4496" s="4"/>
      <c r="F4496" s="46" t="s">
        <v>2402</v>
      </c>
      <c r="G4496" s="4" t="s">
        <v>1610</v>
      </c>
      <c r="H4496" s="4" t="s">
        <v>289</v>
      </c>
      <c r="I4496" s="4">
        <v>1</v>
      </c>
      <c r="J4496" s="21">
        <v>230</v>
      </c>
      <c r="K4496" s="21">
        <v>0</v>
      </c>
      <c r="L4496" s="5">
        <v>0</v>
      </c>
      <c r="M4496" s="4"/>
      <c r="N4496" s="4"/>
      <c r="O4496" s="5"/>
      <c r="P4496" s="5"/>
      <c r="Q4496" s="21">
        <v>230</v>
      </c>
      <c r="R4496" s="21">
        <v>0</v>
      </c>
      <c r="S4496" s="5">
        <f t="shared" si="283"/>
        <v>53885.228553026427</v>
      </c>
      <c r="T4496" cm="1">
        <f t="array" ref="T4496">IF(OR(B4496="MAL ALIMI", B4496="ÜRETİM GİRİŞ"), MIN(I4496, MAX(0, I4496 + SUM(SUMIFS($I$1:I4495, $C$1:C4495, C4496, $B$1:B4495, {"MAL ALIMI","ÜRETİM GİRİŞ"})) - VLOOKUP(C4496, 'STOK RAPORU'!$C$2:$I$1000, 4, 0))), 0)</f>
        <v>0</v>
      </c>
      <c r="U4496" s="22">
        <f t="shared" si="280"/>
        <v>0</v>
      </c>
      <c r="V4496">
        <f t="shared" si="281"/>
        <v>0</v>
      </c>
      <c r="W4496" s="22">
        <f t="shared" si="282"/>
        <v>0</v>
      </c>
    </row>
    <row r="4497" spans="1:23" hidden="1" x14ac:dyDescent="0.25">
      <c r="A4497" s="3">
        <v>46074</v>
      </c>
      <c r="B4497" s="4" t="s">
        <v>334</v>
      </c>
      <c r="C4497" s="4" t="s">
        <v>167</v>
      </c>
      <c r="D4497" s="4"/>
      <c r="E4497" s="4"/>
      <c r="F4497" s="46" t="s">
        <v>2402</v>
      </c>
      <c r="G4497" s="4" t="s">
        <v>1610</v>
      </c>
      <c r="H4497" s="4" t="s">
        <v>289</v>
      </c>
      <c r="I4497" s="4">
        <v>1</v>
      </c>
      <c r="J4497" s="21">
        <v>230</v>
      </c>
      <c r="K4497" s="21">
        <v>0</v>
      </c>
      <c r="L4497" s="5">
        <v>0</v>
      </c>
      <c r="M4497" s="4"/>
      <c r="N4497" s="4"/>
      <c r="O4497" s="5"/>
      <c r="P4497" s="5"/>
      <c r="Q4497" s="21">
        <v>230</v>
      </c>
      <c r="R4497" s="21">
        <v>0</v>
      </c>
      <c r="S4497" s="5">
        <f t="shared" si="283"/>
        <v>54115.228553026427</v>
      </c>
      <c r="T4497" cm="1">
        <f t="array" ref="T4497">IF(OR(B4497="MAL ALIMI", B4497="ÜRETİM GİRİŞ"), MIN(I4497, MAX(0, I4497 + SUM(SUMIFS($I$1:I4496, $C$1:C4496, C4497, $B$1:B4496, {"MAL ALIMI","ÜRETİM GİRİŞ"})) - VLOOKUP(C4497, 'STOK RAPORU'!$C$2:$I$1000, 4, 0))), 0)</f>
        <v>0</v>
      </c>
      <c r="U4497" s="22">
        <f t="shared" si="280"/>
        <v>0</v>
      </c>
      <c r="V4497">
        <f t="shared" si="281"/>
        <v>0</v>
      </c>
      <c r="W4497" s="22">
        <f t="shared" si="282"/>
        <v>0</v>
      </c>
    </row>
    <row r="4498" spans="1:23" hidden="1" x14ac:dyDescent="0.25">
      <c r="A4498" s="3">
        <v>46074</v>
      </c>
      <c r="B4498" s="4" t="s">
        <v>334</v>
      </c>
      <c r="C4498" s="4" t="s">
        <v>160</v>
      </c>
      <c r="D4498" s="4"/>
      <c r="E4498" s="4"/>
      <c r="F4498" s="46" t="s">
        <v>2402</v>
      </c>
      <c r="G4498" s="4" t="s">
        <v>1610</v>
      </c>
      <c r="H4498" s="4" t="s">
        <v>289</v>
      </c>
      <c r="I4498" s="4">
        <v>1</v>
      </c>
      <c r="J4498" s="21">
        <v>250</v>
      </c>
      <c r="K4498" s="21">
        <v>0</v>
      </c>
      <c r="L4498" s="5">
        <v>0</v>
      </c>
      <c r="M4498" s="4"/>
      <c r="N4498" s="4"/>
      <c r="O4498" s="5"/>
      <c r="P4498" s="5"/>
      <c r="Q4498" s="21">
        <v>250</v>
      </c>
      <c r="R4498" s="21">
        <v>0</v>
      </c>
      <c r="S4498" s="5">
        <f t="shared" si="283"/>
        <v>54365.228553026427</v>
      </c>
      <c r="T4498" cm="1">
        <f t="array" ref="T4498">IF(OR(B4498="MAL ALIMI", B4498="ÜRETİM GİRİŞ"), MIN(I4498, MAX(0, I4498 + SUM(SUMIFS($I$1:I4497, $C$1:C4497, C4498, $B$1:B4497, {"MAL ALIMI","ÜRETİM GİRİŞ"})) - VLOOKUP(C4498, 'STOK RAPORU'!$C$2:$I$1000, 4, 0))), 0)</f>
        <v>0</v>
      </c>
      <c r="U4498" s="22">
        <f t="shared" si="280"/>
        <v>0</v>
      </c>
      <c r="V4498">
        <f t="shared" si="281"/>
        <v>0</v>
      </c>
      <c r="W4498" s="22">
        <f t="shared" si="282"/>
        <v>0</v>
      </c>
    </row>
    <row r="4499" spans="1:23" hidden="1" x14ac:dyDescent="0.25">
      <c r="A4499" s="3">
        <v>46074</v>
      </c>
      <c r="B4499" s="4" t="s">
        <v>334</v>
      </c>
      <c r="C4499" s="4" t="s">
        <v>160</v>
      </c>
      <c r="D4499" s="4"/>
      <c r="E4499" s="4"/>
      <c r="F4499" s="46" t="s">
        <v>2402</v>
      </c>
      <c r="G4499" s="4" t="s">
        <v>1610</v>
      </c>
      <c r="H4499" s="4" t="s">
        <v>289</v>
      </c>
      <c r="I4499" s="4">
        <v>1</v>
      </c>
      <c r="J4499" s="21">
        <v>250</v>
      </c>
      <c r="K4499" s="21">
        <v>0</v>
      </c>
      <c r="L4499" s="5">
        <v>0</v>
      </c>
      <c r="M4499" s="4"/>
      <c r="N4499" s="4"/>
      <c r="O4499" s="5"/>
      <c r="P4499" s="5"/>
      <c r="Q4499" s="21">
        <v>250</v>
      </c>
      <c r="R4499" s="21">
        <v>0</v>
      </c>
      <c r="S4499" s="5">
        <f t="shared" si="283"/>
        <v>54615.228553026427</v>
      </c>
      <c r="T4499" cm="1">
        <f t="array" ref="T4499">IF(OR(B4499="MAL ALIMI", B4499="ÜRETİM GİRİŞ"), MIN(I4499, MAX(0, I4499 + SUM(SUMIFS($I$1:I4498, $C$1:C4498, C4499, $B$1:B4498, {"MAL ALIMI","ÜRETİM GİRİŞ"})) - VLOOKUP(C4499, 'STOK RAPORU'!$C$2:$I$1000, 4, 0))), 0)</f>
        <v>0</v>
      </c>
      <c r="U4499" s="22">
        <f t="shared" si="280"/>
        <v>0</v>
      </c>
      <c r="V4499">
        <f t="shared" si="281"/>
        <v>0</v>
      </c>
      <c r="W4499" s="22">
        <f t="shared" si="282"/>
        <v>0</v>
      </c>
    </row>
    <row r="4500" spans="1:23" hidden="1" x14ac:dyDescent="0.25">
      <c r="A4500" s="3">
        <v>46074</v>
      </c>
      <c r="B4500" s="4" t="s">
        <v>334</v>
      </c>
      <c r="C4500" s="4" t="s">
        <v>161</v>
      </c>
      <c r="D4500" s="4"/>
      <c r="E4500" s="4"/>
      <c r="F4500" s="46" t="s">
        <v>2402</v>
      </c>
      <c r="G4500" s="4" t="s">
        <v>1610</v>
      </c>
      <c r="H4500" s="4" t="s">
        <v>289</v>
      </c>
      <c r="I4500" s="4">
        <v>1</v>
      </c>
      <c r="J4500" s="21">
        <v>230</v>
      </c>
      <c r="K4500" s="21">
        <v>0</v>
      </c>
      <c r="L4500" s="5">
        <v>0</v>
      </c>
      <c r="M4500" s="4"/>
      <c r="N4500" s="4"/>
      <c r="O4500" s="5"/>
      <c r="P4500" s="5"/>
      <c r="Q4500" s="21">
        <v>230</v>
      </c>
      <c r="R4500" s="21">
        <v>0</v>
      </c>
      <c r="S4500" s="5">
        <f t="shared" si="283"/>
        <v>54845.228553026427</v>
      </c>
      <c r="T4500" cm="1">
        <f t="array" ref="T4500">IF(OR(B4500="MAL ALIMI", B4500="ÜRETİM GİRİŞ"), MIN(I4500, MAX(0, I4500 + SUM(SUMIFS($I$1:I4499, $C$1:C4499, C4500, $B$1:B4499, {"MAL ALIMI","ÜRETİM GİRİŞ"})) - VLOOKUP(C4500, 'STOK RAPORU'!$C$2:$I$1000, 4, 0))), 0)</f>
        <v>0</v>
      </c>
      <c r="U4500" s="22">
        <f t="shared" si="280"/>
        <v>0</v>
      </c>
      <c r="V4500">
        <f t="shared" si="281"/>
        <v>0</v>
      </c>
      <c r="W4500" s="22">
        <f t="shared" si="282"/>
        <v>0</v>
      </c>
    </row>
    <row r="4501" spans="1:23" hidden="1" x14ac:dyDescent="0.25">
      <c r="A4501" s="3">
        <v>46074</v>
      </c>
      <c r="B4501" s="4" t="s">
        <v>334</v>
      </c>
      <c r="C4501" s="4" t="s">
        <v>126</v>
      </c>
      <c r="D4501" s="4"/>
      <c r="E4501" s="4"/>
      <c r="F4501" s="46" t="s">
        <v>2402</v>
      </c>
      <c r="G4501" s="4" t="s">
        <v>1610</v>
      </c>
      <c r="H4501" s="4" t="s">
        <v>289</v>
      </c>
      <c r="I4501" s="4">
        <v>0.77</v>
      </c>
      <c r="J4501" s="21">
        <v>650</v>
      </c>
      <c r="K4501" s="21">
        <v>0</v>
      </c>
      <c r="L4501" s="5">
        <v>0</v>
      </c>
      <c r="M4501" s="4"/>
      <c r="N4501" s="4"/>
      <c r="O4501" s="5"/>
      <c r="P4501" s="5"/>
      <c r="Q4501" s="21">
        <v>500.5</v>
      </c>
      <c r="R4501" s="21">
        <v>0</v>
      </c>
      <c r="S4501" s="5">
        <f t="shared" si="283"/>
        <v>55345.728553026427</v>
      </c>
      <c r="T4501" cm="1">
        <f t="array" ref="T4501">IF(OR(B4501="MAL ALIMI", B4501="ÜRETİM GİRİŞ"), MIN(I4501, MAX(0, I4501 + SUM(SUMIFS($I$1:I4500, $C$1:C4500, C4501, $B$1:B4500, {"MAL ALIMI","ÜRETİM GİRİŞ"})) - VLOOKUP(C4501, 'STOK RAPORU'!$C$2:$I$1000, 4, 0))), 0)</f>
        <v>0</v>
      </c>
      <c r="U4501" s="22">
        <f t="shared" si="280"/>
        <v>0</v>
      </c>
      <c r="V4501">
        <f t="shared" si="281"/>
        <v>0</v>
      </c>
      <c r="W4501" s="22">
        <f t="shared" si="282"/>
        <v>0</v>
      </c>
    </row>
    <row r="4502" spans="1:23" hidden="1" x14ac:dyDescent="0.25">
      <c r="A4502" s="3">
        <v>46074</v>
      </c>
      <c r="B4502" s="4" t="s">
        <v>334</v>
      </c>
      <c r="C4502" s="4" t="s">
        <v>1150</v>
      </c>
      <c r="D4502" s="4"/>
      <c r="E4502" s="4"/>
      <c r="F4502" s="46" t="s">
        <v>2402</v>
      </c>
      <c r="G4502" s="4" t="s">
        <v>1610</v>
      </c>
      <c r="H4502" s="4" t="s">
        <v>289</v>
      </c>
      <c r="I4502" s="4">
        <v>0.92999999999999994</v>
      </c>
      <c r="J4502" s="21">
        <v>540</v>
      </c>
      <c r="K4502" s="21">
        <v>0</v>
      </c>
      <c r="L4502" s="5">
        <v>0</v>
      </c>
      <c r="M4502" s="4"/>
      <c r="N4502" s="4"/>
      <c r="O4502" s="5"/>
      <c r="P4502" s="5"/>
      <c r="Q4502" s="21">
        <v>502.2</v>
      </c>
      <c r="R4502" s="21">
        <v>0</v>
      </c>
      <c r="S4502" s="5">
        <f t="shared" si="283"/>
        <v>55847.928553026424</v>
      </c>
      <c r="T4502" cm="1">
        <f t="array" ref="T4502">IF(OR(B4502="MAL ALIMI", B4502="ÜRETİM GİRİŞ"), MIN(I4502, MAX(0, I4502 + SUM(SUMIFS($I$1:I4501, $C$1:C4501, C4502, $B$1:B4501, {"MAL ALIMI","ÜRETİM GİRİŞ"})) - VLOOKUP(C4502, 'STOK RAPORU'!$C$2:$I$1000, 4, 0))), 0)</f>
        <v>0</v>
      </c>
      <c r="U4502" s="22">
        <f t="shared" si="280"/>
        <v>0</v>
      </c>
      <c r="V4502">
        <f t="shared" si="281"/>
        <v>0</v>
      </c>
      <c r="W4502" s="22">
        <f t="shared" si="282"/>
        <v>0</v>
      </c>
    </row>
    <row r="4503" spans="1:23" hidden="1" x14ac:dyDescent="0.25">
      <c r="A4503" s="3">
        <v>46074</v>
      </c>
      <c r="B4503" s="4" t="s">
        <v>334</v>
      </c>
      <c r="C4503" s="4" t="s">
        <v>133</v>
      </c>
      <c r="D4503" s="4"/>
      <c r="E4503" s="4"/>
      <c r="F4503" s="46" t="s">
        <v>2402</v>
      </c>
      <c r="G4503" s="4" t="s">
        <v>1610</v>
      </c>
      <c r="H4503" s="4" t="s">
        <v>289</v>
      </c>
      <c r="I4503" s="4">
        <v>1.25</v>
      </c>
      <c r="J4503" s="21">
        <v>400</v>
      </c>
      <c r="K4503" s="21">
        <v>0</v>
      </c>
      <c r="L4503" s="5">
        <v>0</v>
      </c>
      <c r="M4503" s="4"/>
      <c r="N4503" s="4"/>
      <c r="O4503" s="5"/>
      <c r="P4503" s="5"/>
      <c r="Q4503" s="21">
        <v>500</v>
      </c>
      <c r="R4503" s="21">
        <v>0</v>
      </c>
      <c r="S4503" s="5">
        <f t="shared" si="283"/>
        <v>56347.928553026424</v>
      </c>
      <c r="T4503" cm="1">
        <f t="array" ref="T4503">IF(OR(B4503="MAL ALIMI", B4503="ÜRETİM GİRİŞ"), MIN(I4503, MAX(0, I4503 + SUM(SUMIFS($I$1:I4502, $C$1:C4502, C4503, $B$1:B4502, {"MAL ALIMI","ÜRETİM GİRİŞ"})) - VLOOKUP(C4503, 'STOK RAPORU'!$C$2:$I$1000, 4, 0))), 0)</f>
        <v>0</v>
      </c>
      <c r="U4503" s="22">
        <f t="shared" si="280"/>
        <v>0</v>
      </c>
      <c r="V4503">
        <f t="shared" si="281"/>
        <v>0</v>
      </c>
      <c r="W4503" s="22">
        <f t="shared" si="282"/>
        <v>0</v>
      </c>
    </row>
    <row r="4504" spans="1:23" hidden="1" x14ac:dyDescent="0.25">
      <c r="A4504" s="3">
        <v>46074</v>
      </c>
      <c r="B4504" s="4" t="s">
        <v>334</v>
      </c>
      <c r="C4504" s="4" t="s">
        <v>129</v>
      </c>
      <c r="D4504" s="4"/>
      <c r="E4504" s="4"/>
      <c r="F4504" s="46" t="s">
        <v>2402</v>
      </c>
      <c r="G4504" s="4" t="s">
        <v>1610</v>
      </c>
      <c r="H4504" s="4" t="s">
        <v>289</v>
      </c>
      <c r="I4504" s="4">
        <v>1.25</v>
      </c>
      <c r="J4504" s="21">
        <v>400</v>
      </c>
      <c r="K4504" s="21">
        <v>0</v>
      </c>
      <c r="L4504" s="5">
        <v>0</v>
      </c>
      <c r="M4504" s="4"/>
      <c r="N4504" s="4"/>
      <c r="O4504" s="5"/>
      <c r="P4504" s="5"/>
      <c r="Q4504" s="21">
        <v>500</v>
      </c>
      <c r="R4504" s="21">
        <v>0</v>
      </c>
      <c r="S4504" s="5">
        <f t="shared" si="283"/>
        <v>56847.928553026424</v>
      </c>
      <c r="T4504" cm="1">
        <f t="array" ref="T4504">IF(OR(B4504="MAL ALIMI", B4504="ÜRETİM GİRİŞ"), MIN(I4504, MAX(0, I4504 + SUM(SUMIFS($I$1:I4503, $C$1:C4503, C4504, $B$1:B4503, {"MAL ALIMI","ÜRETİM GİRİŞ"})) - VLOOKUP(C4504, 'STOK RAPORU'!$C$2:$I$1000, 4, 0))), 0)</f>
        <v>0</v>
      </c>
      <c r="U4504" s="22">
        <f t="shared" si="280"/>
        <v>0</v>
      </c>
      <c r="V4504">
        <f t="shared" si="281"/>
        <v>0</v>
      </c>
      <c r="W4504" s="22">
        <f t="shared" si="282"/>
        <v>0</v>
      </c>
    </row>
    <row r="4505" spans="1:23" hidden="1" x14ac:dyDescent="0.25">
      <c r="A4505" s="3">
        <v>46074</v>
      </c>
      <c r="B4505" s="4" t="s">
        <v>334</v>
      </c>
      <c r="C4505" s="4" t="s">
        <v>92</v>
      </c>
      <c r="D4505" s="4"/>
      <c r="E4505" s="4"/>
      <c r="F4505" s="46" t="s">
        <v>2402</v>
      </c>
      <c r="G4505" s="4" t="s">
        <v>1610</v>
      </c>
      <c r="H4505" s="4" t="s">
        <v>289</v>
      </c>
      <c r="I4505" s="4">
        <v>1</v>
      </c>
      <c r="J4505" s="21">
        <v>500</v>
      </c>
      <c r="K4505" s="21">
        <v>0</v>
      </c>
      <c r="L4505" s="5">
        <v>0</v>
      </c>
      <c r="M4505" s="4"/>
      <c r="N4505" s="4"/>
      <c r="O4505" s="5"/>
      <c r="P4505" s="5"/>
      <c r="Q4505" s="21">
        <v>500</v>
      </c>
      <c r="R4505" s="21">
        <v>0</v>
      </c>
      <c r="S4505" s="5">
        <f t="shared" si="283"/>
        <v>57347.928553026424</v>
      </c>
      <c r="T4505" cm="1">
        <f t="array" ref="T4505">IF(OR(B4505="MAL ALIMI", B4505="ÜRETİM GİRİŞ"), MIN(I4505, MAX(0, I4505 + SUM(SUMIFS($I$1:I4504, $C$1:C4504, C4505, $B$1:B4504, {"MAL ALIMI","ÜRETİM GİRİŞ"})) - VLOOKUP(C4505, 'STOK RAPORU'!$C$2:$I$1000, 4, 0))), 0)</f>
        <v>0</v>
      </c>
      <c r="U4505" s="22">
        <f t="shared" si="280"/>
        <v>0</v>
      </c>
      <c r="V4505">
        <f t="shared" si="281"/>
        <v>0</v>
      </c>
      <c r="W4505" s="22">
        <f t="shared" si="282"/>
        <v>0</v>
      </c>
    </row>
    <row r="4506" spans="1:23" hidden="1" x14ac:dyDescent="0.25">
      <c r="A4506" s="3">
        <v>46074</v>
      </c>
      <c r="B4506" s="4" t="s">
        <v>334</v>
      </c>
      <c r="C4506" s="4" t="s">
        <v>131</v>
      </c>
      <c r="D4506" s="4"/>
      <c r="E4506" s="4"/>
      <c r="F4506" s="46" t="s">
        <v>2402</v>
      </c>
      <c r="G4506" s="4" t="s">
        <v>1610</v>
      </c>
      <c r="H4506" s="4" t="s">
        <v>289</v>
      </c>
      <c r="I4506" s="4">
        <v>0.625</v>
      </c>
      <c r="J4506" s="21">
        <v>400</v>
      </c>
      <c r="K4506" s="21">
        <v>0</v>
      </c>
      <c r="L4506" s="5">
        <v>0</v>
      </c>
      <c r="M4506" s="4"/>
      <c r="N4506" s="4"/>
      <c r="O4506" s="5"/>
      <c r="P4506" s="5"/>
      <c r="Q4506" s="21">
        <v>250</v>
      </c>
      <c r="R4506" s="21">
        <v>0</v>
      </c>
      <c r="S4506" s="5">
        <f t="shared" si="283"/>
        <v>57597.928553026424</v>
      </c>
      <c r="T4506" cm="1">
        <f t="array" ref="T4506">IF(OR(B4506="MAL ALIMI", B4506="ÜRETİM GİRİŞ"), MIN(I4506, MAX(0, I4506 + SUM(SUMIFS($I$1:I4505, $C$1:C4505, C4506, $B$1:B4505, {"MAL ALIMI","ÜRETİM GİRİŞ"})) - VLOOKUP(C4506, 'STOK RAPORU'!$C$2:$I$1000, 4, 0))), 0)</f>
        <v>0</v>
      </c>
      <c r="U4506" s="22">
        <f t="shared" si="280"/>
        <v>0</v>
      </c>
      <c r="V4506">
        <f t="shared" si="281"/>
        <v>0</v>
      </c>
      <c r="W4506" s="22">
        <f t="shared" si="282"/>
        <v>0</v>
      </c>
    </row>
    <row r="4507" spans="1:23" hidden="1" x14ac:dyDescent="0.25">
      <c r="A4507" s="3">
        <v>46074</v>
      </c>
      <c r="B4507" s="4" t="s">
        <v>334</v>
      </c>
      <c r="C4507" s="4" t="s">
        <v>91</v>
      </c>
      <c r="D4507" s="4"/>
      <c r="E4507" s="4"/>
      <c r="F4507" s="46" t="s">
        <v>2402</v>
      </c>
      <c r="G4507" s="4" t="s">
        <v>1610</v>
      </c>
      <c r="H4507" s="4" t="s">
        <v>289</v>
      </c>
      <c r="I4507" s="4">
        <v>0.33400000000000002</v>
      </c>
      <c r="J4507" s="21">
        <v>750</v>
      </c>
      <c r="K4507" s="21">
        <v>0</v>
      </c>
      <c r="L4507" s="5">
        <v>0</v>
      </c>
      <c r="M4507" s="4"/>
      <c r="N4507" s="4"/>
      <c r="O4507" s="5"/>
      <c r="P4507" s="5"/>
      <c r="Q4507" s="21">
        <v>250.50000000000003</v>
      </c>
      <c r="R4507" s="21">
        <v>0</v>
      </c>
      <c r="S4507" s="5">
        <f t="shared" si="283"/>
        <v>57848.428553026424</v>
      </c>
      <c r="T4507" cm="1">
        <f t="array" ref="T4507">IF(OR(B4507="MAL ALIMI", B4507="ÜRETİM GİRİŞ"), MIN(I4507, MAX(0, I4507 + SUM(SUMIFS($I$1:I4506, $C$1:C4506, C4507, $B$1:B4506, {"MAL ALIMI","ÜRETİM GİRİŞ"})) - VLOOKUP(C4507, 'STOK RAPORU'!$C$2:$I$1000, 4, 0))), 0)</f>
        <v>0</v>
      </c>
      <c r="U4507" s="22">
        <f t="shared" si="280"/>
        <v>0</v>
      </c>
      <c r="V4507">
        <f t="shared" si="281"/>
        <v>0</v>
      </c>
      <c r="W4507" s="22">
        <f t="shared" si="282"/>
        <v>0</v>
      </c>
    </row>
    <row r="4508" spans="1:23" hidden="1" x14ac:dyDescent="0.25">
      <c r="A4508" s="3">
        <v>46074</v>
      </c>
      <c r="B4508" s="4" t="s">
        <v>334</v>
      </c>
      <c r="C4508" s="4" t="s">
        <v>463</v>
      </c>
      <c r="D4508" s="4"/>
      <c r="E4508" s="4"/>
      <c r="F4508" s="46" t="s">
        <v>2402</v>
      </c>
      <c r="G4508" s="4" t="s">
        <v>1610</v>
      </c>
      <c r="H4508" s="4" t="s">
        <v>289</v>
      </c>
      <c r="I4508" s="4">
        <v>1.25</v>
      </c>
      <c r="J4508" s="21">
        <v>400</v>
      </c>
      <c r="K4508" s="21">
        <v>0</v>
      </c>
      <c r="L4508" s="5">
        <v>0</v>
      </c>
      <c r="M4508" s="4"/>
      <c r="N4508" s="4"/>
      <c r="O4508" s="5"/>
      <c r="P4508" s="5"/>
      <c r="Q4508" s="21">
        <v>500</v>
      </c>
      <c r="R4508" s="21">
        <v>0</v>
      </c>
      <c r="S4508" s="5">
        <f t="shared" si="283"/>
        <v>58348.428553026424</v>
      </c>
      <c r="T4508" cm="1">
        <f t="array" ref="T4508">IF(OR(B4508="MAL ALIMI", B4508="ÜRETİM GİRİŞ"), MIN(I4508, MAX(0, I4508 + SUM(SUMIFS($I$1:I4507, $C$1:C4507, C4508, $B$1:B4507, {"MAL ALIMI","ÜRETİM GİRİŞ"})) - VLOOKUP(C4508, 'STOK RAPORU'!$C$2:$I$1000, 4, 0))), 0)</f>
        <v>0</v>
      </c>
      <c r="U4508" s="22">
        <f t="shared" si="280"/>
        <v>0</v>
      </c>
      <c r="V4508">
        <f t="shared" si="281"/>
        <v>0</v>
      </c>
      <c r="W4508" s="22">
        <f t="shared" si="282"/>
        <v>0</v>
      </c>
    </row>
    <row r="4509" spans="1:23" hidden="1" x14ac:dyDescent="0.25">
      <c r="A4509" s="3">
        <v>46074</v>
      </c>
      <c r="B4509" s="4" t="s">
        <v>334</v>
      </c>
      <c r="C4509" s="4" t="s">
        <v>157</v>
      </c>
      <c r="D4509" s="4"/>
      <c r="E4509" s="4"/>
      <c r="F4509" s="46" t="s">
        <v>2402</v>
      </c>
      <c r="G4509" s="4" t="s">
        <v>1610</v>
      </c>
      <c r="H4509" s="4" t="s">
        <v>289</v>
      </c>
      <c r="I4509" s="4">
        <v>5</v>
      </c>
      <c r="J4509" s="21">
        <v>200</v>
      </c>
      <c r="K4509" s="21">
        <v>0</v>
      </c>
      <c r="L4509" s="5">
        <v>0</v>
      </c>
      <c r="M4509" s="4"/>
      <c r="N4509" s="4"/>
      <c r="O4509" s="5"/>
      <c r="P4509" s="5"/>
      <c r="Q4509" s="21">
        <v>1000</v>
      </c>
      <c r="R4509" s="21">
        <v>0</v>
      </c>
      <c r="S4509" s="5">
        <f t="shared" si="283"/>
        <v>59348.428553026424</v>
      </c>
      <c r="T4509" cm="1">
        <f t="array" ref="T4509">IF(OR(B4509="MAL ALIMI", B4509="ÜRETİM GİRİŞ"), MIN(I4509, MAX(0, I4509 + SUM(SUMIFS($I$1:I4508, $C$1:C4508, C4509, $B$1:B4508, {"MAL ALIMI","ÜRETİM GİRİŞ"})) - VLOOKUP(C4509, 'STOK RAPORU'!$C$2:$I$1000, 4, 0))), 0)</f>
        <v>0</v>
      </c>
      <c r="U4509" s="22">
        <f t="shared" si="280"/>
        <v>0</v>
      </c>
      <c r="V4509">
        <f t="shared" si="281"/>
        <v>0</v>
      </c>
      <c r="W4509" s="22">
        <f t="shared" si="282"/>
        <v>0</v>
      </c>
    </row>
    <row r="4510" spans="1:23" hidden="1" x14ac:dyDescent="0.25">
      <c r="A4510" s="3">
        <v>46074</v>
      </c>
      <c r="B4510" s="4" t="s">
        <v>334</v>
      </c>
      <c r="C4510" s="46" t="s">
        <v>585</v>
      </c>
      <c r="D4510" s="4"/>
      <c r="E4510" s="4"/>
      <c r="F4510" s="46" t="s">
        <v>2402</v>
      </c>
      <c r="G4510" s="4" t="s">
        <v>1610</v>
      </c>
      <c r="H4510" s="4" t="s">
        <v>289</v>
      </c>
      <c r="I4510" s="4">
        <v>5</v>
      </c>
      <c r="J4510" s="21">
        <v>200</v>
      </c>
      <c r="K4510" s="21">
        <v>0</v>
      </c>
      <c r="L4510" s="5">
        <v>0</v>
      </c>
      <c r="M4510" s="4"/>
      <c r="N4510" s="4"/>
      <c r="O4510" s="5"/>
      <c r="P4510" s="5"/>
      <c r="Q4510" s="21">
        <v>1000</v>
      </c>
      <c r="R4510" s="21">
        <v>0</v>
      </c>
      <c r="S4510" s="5">
        <f t="shared" si="283"/>
        <v>60348.428553026424</v>
      </c>
      <c r="T4510" cm="1">
        <f t="array" ref="T4510">IF(OR(B4510="MAL ALIMI", B4510="ÜRETİM GİRİŞ"), MIN(I4510, MAX(0, I4510 + SUM(SUMIFS($I$1:I4509, $C$1:C4509, C4510, $B$1:B4509, {"MAL ALIMI","ÜRETİM GİRİŞ"})) - VLOOKUP(C4510, 'STOK RAPORU'!$C$2:$I$1000, 4, 0))), 0)</f>
        <v>0</v>
      </c>
      <c r="U4510" s="22">
        <f t="shared" si="280"/>
        <v>0</v>
      </c>
      <c r="V4510">
        <f t="shared" si="281"/>
        <v>0</v>
      </c>
      <c r="W4510" s="22">
        <f t="shared" si="282"/>
        <v>0</v>
      </c>
    </row>
    <row r="4511" spans="1:23" hidden="1" x14ac:dyDescent="0.25">
      <c r="A4511" s="3">
        <v>46074</v>
      </c>
      <c r="B4511" s="4" t="s">
        <v>334</v>
      </c>
      <c r="C4511" s="4" t="s">
        <v>587</v>
      </c>
      <c r="D4511" s="4"/>
      <c r="E4511" s="4"/>
      <c r="F4511" s="46" t="s">
        <v>2402</v>
      </c>
      <c r="G4511" s="4" t="s">
        <v>1610</v>
      </c>
      <c r="H4511" s="4" t="s">
        <v>289</v>
      </c>
      <c r="I4511" s="4">
        <v>5</v>
      </c>
      <c r="J4511" s="21">
        <v>150</v>
      </c>
      <c r="K4511" s="21">
        <v>0</v>
      </c>
      <c r="L4511" s="5">
        <v>0</v>
      </c>
      <c r="M4511" s="4"/>
      <c r="N4511" s="4"/>
      <c r="O4511" s="5"/>
      <c r="P4511" s="5"/>
      <c r="Q4511" s="21">
        <v>750</v>
      </c>
      <c r="R4511" s="21">
        <v>0</v>
      </c>
      <c r="S4511" s="5">
        <f t="shared" si="283"/>
        <v>61098.428553026424</v>
      </c>
      <c r="T4511" cm="1">
        <f t="array" ref="T4511">IF(OR(B4511="MAL ALIMI", B4511="ÜRETİM GİRİŞ"), MIN(I4511, MAX(0, I4511 + SUM(SUMIFS($I$1:I4510, $C$1:C4510, C4511, $B$1:B4510, {"MAL ALIMI","ÜRETİM GİRİŞ"})) - VLOOKUP(C4511, 'STOK RAPORU'!$C$2:$I$1000, 4, 0))), 0)</f>
        <v>0</v>
      </c>
      <c r="U4511" s="22">
        <f t="shared" si="280"/>
        <v>0</v>
      </c>
      <c r="V4511">
        <f t="shared" si="281"/>
        <v>0</v>
      </c>
      <c r="W4511" s="22">
        <f t="shared" si="282"/>
        <v>0</v>
      </c>
    </row>
    <row r="4512" spans="1:23" hidden="1" x14ac:dyDescent="0.25">
      <c r="A4512" s="3">
        <v>46074</v>
      </c>
      <c r="B4512" s="4" t="s">
        <v>334</v>
      </c>
      <c r="C4512" s="4" t="s">
        <v>167</v>
      </c>
      <c r="D4512" s="4"/>
      <c r="E4512" s="4"/>
      <c r="F4512" s="46" t="s">
        <v>2402</v>
      </c>
      <c r="G4512" s="4" t="s">
        <v>1610</v>
      </c>
      <c r="H4512" s="4" t="s">
        <v>289</v>
      </c>
      <c r="I4512" s="4">
        <v>2</v>
      </c>
      <c r="J4512" s="21">
        <v>230</v>
      </c>
      <c r="K4512" s="21">
        <v>0</v>
      </c>
      <c r="L4512" s="5">
        <v>0</v>
      </c>
      <c r="M4512" s="4"/>
      <c r="N4512" s="4"/>
      <c r="O4512" s="5"/>
      <c r="P4512" s="5"/>
      <c r="Q4512" s="21">
        <v>460</v>
      </c>
      <c r="R4512" s="21">
        <v>0</v>
      </c>
      <c r="S4512" s="5">
        <f t="shared" si="283"/>
        <v>61558.428553026424</v>
      </c>
      <c r="T4512" cm="1">
        <f t="array" ref="T4512">IF(OR(B4512="MAL ALIMI", B4512="ÜRETİM GİRİŞ"), MIN(I4512, MAX(0, I4512 + SUM(SUMIFS($I$1:I4511, $C$1:C4511, C4512, $B$1:B4511, {"MAL ALIMI","ÜRETİM GİRİŞ"})) - VLOOKUP(C4512, 'STOK RAPORU'!$C$2:$I$1000, 4, 0))), 0)</f>
        <v>0</v>
      </c>
      <c r="U4512" s="22">
        <f t="shared" si="280"/>
        <v>0</v>
      </c>
      <c r="V4512">
        <f t="shared" si="281"/>
        <v>0</v>
      </c>
      <c r="W4512" s="22">
        <f t="shared" si="282"/>
        <v>0</v>
      </c>
    </row>
    <row r="4513" spans="1:23" hidden="1" x14ac:dyDescent="0.25">
      <c r="A4513" s="3">
        <v>46074</v>
      </c>
      <c r="B4513" s="4" t="s">
        <v>334</v>
      </c>
      <c r="C4513" s="4" t="s">
        <v>162</v>
      </c>
      <c r="D4513" s="4"/>
      <c r="E4513" s="4"/>
      <c r="F4513" s="46" t="s">
        <v>2402</v>
      </c>
      <c r="G4513" s="4" t="s">
        <v>1610</v>
      </c>
      <c r="H4513" s="4" t="s">
        <v>289</v>
      </c>
      <c r="I4513" s="4">
        <v>1</v>
      </c>
      <c r="J4513" s="21">
        <v>250</v>
      </c>
      <c r="K4513" s="21">
        <v>0</v>
      </c>
      <c r="L4513" s="5">
        <v>0</v>
      </c>
      <c r="M4513" s="4"/>
      <c r="N4513" s="4"/>
      <c r="O4513" s="5"/>
      <c r="P4513" s="5"/>
      <c r="Q4513" s="21">
        <v>250</v>
      </c>
      <c r="R4513" s="21">
        <v>0</v>
      </c>
      <c r="S4513" s="5">
        <f t="shared" si="283"/>
        <v>61808.428553026424</v>
      </c>
      <c r="T4513" cm="1">
        <f t="array" ref="T4513">IF(OR(B4513="MAL ALIMI", B4513="ÜRETİM GİRİŞ"), MIN(I4513, MAX(0, I4513 + SUM(SUMIFS($I$1:I4512, $C$1:C4512, C4513, $B$1:B4512, {"MAL ALIMI","ÜRETİM GİRİŞ"})) - VLOOKUP(C4513, 'STOK RAPORU'!$C$2:$I$1000, 4, 0))), 0)</f>
        <v>0</v>
      </c>
      <c r="U4513" s="22">
        <f t="shared" si="280"/>
        <v>0</v>
      </c>
      <c r="V4513">
        <f t="shared" si="281"/>
        <v>0</v>
      </c>
      <c r="W4513" s="22">
        <f t="shared" si="282"/>
        <v>0</v>
      </c>
    </row>
    <row r="4514" spans="1:23" hidden="1" x14ac:dyDescent="0.25">
      <c r="A4514" s="3">
        <v>46074</v>
      </c>
      <c r="B4514" s="4" t="s">
        <v>946</v>
      </c>
      <c r="C4514" s="4"/>
      <c r="D4514" s="4"/>
      <c r="E4514" s="4" t="s">
        <v>921</v>
      </c>
      <c r="F4514" s="4"/>
      <c r="G4514" s="4" t="s">
        <v>946</v>
      </c>
      <c r="H4514" s="4" t="s">
        <v>380</v>
      </c>
      <c r="I4514" s="4">
        <v>1</v>
      </c>
      <c r="J4514" s="105">
        <v>350</v>
      </c>
      <c r="K4514" s="21">
        <v>0</v>
      </c>
      <c r="L4514" s="111">
        <v>350</v>
      </c>
      <c r="M4514" s="4"/>
      <c r="N4514" s="4"/>
      <c r="O4514" s="5"/>
      <c r="P4514" s="5"/>
      <c r="Q4514" s="21">
        <v>350</v>
      </c>
      <c r="R4514" s="21">
        <v>0</v>
      </c>
      <c r="S4514" s="5">
        <f t="shared" si="283"/>
        <v>62158.428553026424</v>
      </c>
      <c r="T4514" cm="1">
        <f t="array" ref="T4514">IF(OR(B4514="MAL ALIMI", B4514="ÜRETİM GİRİŞ"), MIN(I4514, MAX(0, I4514 + SUM(SUMIFS($I$1:I4513, $C$1:C4513, C4514, $B$1:B4513, {"MAL ALIMI","ÜRETİM GİRİŞ"})) - VLOOKUP(C4514, 'STOK RAPORU'!$C$2:$I$1000, 4, 0))), 0)</f>
        <v>0</v>
      </c>
      <c r="U4514" s="22">
        <f t="shared" si="280"/>
        <v>0</v>
      </c>
      <c r="V4514">
        <f t="shared" si="281"/>
        <v>0</v>
      </c>
      <c r="W4514" s="22">
        <f t="shared" si="282"/>
        <v>0</v>
      </c>
    </row>
    <row r="4515" spans="1:23" hidden="1" x14ac:dyDescent="0.25">
      <c r="A4515" s="45">
        <v>46075</v>
      </c>
      <c r="B4515" s="46" t="s">
        <v>334</v>
      </c>
      <c r="C4515" s="4" t="s">
        <v>1501</v>
      </c>
      <c r="D4515" s="4"/>
      <c r="E4515" s="4"/>
      <c r="F4515" s="46" t="s">
        <v>2232</v>
      </c>
      <c r="G4515" s="4" t="s">
        <v>336</v>
      </c>
      <c r="H4515" s="4" t="s">
        <v>289</v>
      </c>
      <c r="I4515" s="4">
        <v>1</v>
      </c>
      <c r="J4515" s="21">
        <v>600</v>
      </c>
      <c r="K4515" s="21">
        <v>0</v>
      </c>
      <c r="L4515" s="5">
        <v>0</v>
      </c>
      <c r="M4515" s="4"/>
      <c r="N4515" s="4"/>
      <c r="O4515" s="5"/>
      <c r="P4515" s="5"/>
      <c r="Q4515" s="21">
        <v>600</v>
      </c>
      <c r="R4515" s="21">
        <v>0</v>
      </c>
      <c r="S4515" s="5">
        <f t="shared" si="283"/>
        <v>62758.428553026424</v>
      </c>
      <c r="T4515" cm="1">
        <f t="array" ref="T4515">IF(OR(B4515="MAL ALIMI", B4515="ÜRETİM GİRİŞ"), MIN(I4515, MAX(0, I4515 + SUM(SUMIFS($I$1:I4514, $C$1:C4514, C4515, $B$1:B4514, {"MAL ALIMI","ÜRETİM GİRİŞ"})) - VLOOKUP(C4515, 'STOK RAPORU'!$C$2:$I$1000, 4, 0))), 0)</f>
        <v>0</v>
      </c>
      <c r="U4515" s="22">
        <f t="shared" si="280"/>
        <v>0</v>
      </c>
      <c r="V4515">
        <f t="shared" si="281"/>
        <v>0</v>
      </c>
      <c r="W4515" s="22">
        <f t="shared" si="282"/>
        <v>0</v>
      </c>
    </row>
    <row r="4516" spans="1:23" hidden="1" x14ac:dyDescent="0.25">
      <c r="A4516" s="45">
        <v>46075</v>
      </c>
      <c r="B4516" s="46" t="s">
        <v>334</v>
      </c>
      <c r="C4516" s="4" t="s">
        <v>727</v>
      </c>
      <c r="D4516" s="4"/>
      <c r="E4516" s="4"/>
      <c r="F4516" s="46" t="s">
        <v>2232</v>
      </c>
      <c r="G4516" s="4" t="s">
        <v>336</v>
      </c>
      <c r="H4516" s="4" t="s">
        <v>289</v>
      </c>
      <c r="I4516" s="4">
        <v>1</v>
      </c>
      <c r="J4516" s="21">
        <v>250</v>
      </c>
      <c r="K4516" s="21">
        <v>0</v>
      </c>
      <c r="L4516" s="5">
        <v>0</v>
      </c>
      <c r="M4516" s="4"/>
      <c r="N4516" s="4"/>
      <c r="O4516" s="5"/>
      <c r="P4516" s="5"/>
      <c r="Q4516" s="21">
        <v>250</v>
      </c>
      <c r="R4516" s="21">
        <v>0</v>
      </c>
      <c r="S4516" s="5">
        <f t="shared" si="283"/>
        <v>63008.428553026424</v>
      </c>
      <c r="T4516" cm="1">
        <f t="array" ref="T4516">IF(OR(B4516="MAL ALIMI", B4516="ÜRETİM GİRİŞ"), MIN(I4516, MAX(0, I4516 + SUM(SUMIFS($I$1:I4515, $C$1:C4515, C4516, $B$1:B4515, {"MAL ALIMI","ÜRETİM GİRİŞ"})) - VLOOKUP(C4516, 'STOK RAPORU'!$C$2:$I$1000, 4, 0))), 0)</f>
        <v>0</v>
      </c>
      <c r="U4516" s="22">
        <f t="shared" si="280"/>
        <v>0</v>
      </c>
      <c r="V4516">
        <f t="shared" si="281"/>
        <v>0</v>
      </c>
      <c r="W4516" s="22">
        <f t="shared" si="282"/>
        <v>0</v>
      </c>
    </row>
    <row r="4517" spans="1:23" hidden="1" x14ac:dyDescent="0.25">
      <c r="A4517" s="45">
        <v>46075</v>
      </c>
      <c r="B4517" s="46" t="s">
        <v>334</v>
      </c>
      <c r="C4517" s="4" t="s">
        <v>156</v>
      </c>
      <c r="D4517" s="4"/>
      <c r="E4517" s="4"/>
      <c r="F4517" s="46" t="s">
        <v>2232</v>
      </c>
      <c r="G4517" s="4" t="s">
        <v>336</v>
      </c>
      <c r="H4517" s="4" t="s">
        <v>289</v>
      </c>
      <c r="I4517" s="4">
        <v>0.5</v>
      </c>
      <c r="J4517" s="21">
        <v>200</v>
      </c>
      <c r="K4517" s="21">
        <v>0</v>
      </c>
      <c r="L4517" s="5">
        <v>0</v>
      </c>
      <c r="M4517" s="4"/>
      <c r="N4517" s="4"/>
      <c r="O4517" s="5"/>
      <c r="P4517" s="5"/>
      <c r="Q4517" s="21">
        <v>100</v>
      </c>
      <c r="R4517" s="21">
        <v>0</v>
      </c>
      <c r="S4517" s="5">
        <f t="shared" si="283"/>
        <v>63108.428553026424</v>
      </c>
      <c r="T4517" cm="1">
        <f t="array" ref="T4517">IF(OR(B4517="MAL ALIMI", B4517="ÜRETİM GİRİŞ"), MIN(I4517, MAX(0, I4517 + SUM(SUMIFS($I$1:I4516, $C$1:C4516, C4517, $B$1:B4516, {"MAL ALIMI","ÜRETİM GİRİŞ"})) - VLOOKUP(C4517, 'STOK RAPORU'!$C$2:$I$1000, 4, 0))), 0)</f>
        <v>0</v>
      </c>
      <c r="U4517" s="22">
        <f t="shared" si="280"/>
        <v>0</v>
      </c>
      <c r="V4517">
        <f t="shared" si="281"/>
        <v>0</v>
      </c>
      <c r="W4517" s="22">
        <f t="shared" si="282"/>
        <v>0</v>
      </c>
    </row>
    <row r="4518" spans="1:23" hidden="1" x14ac:dyDescent="0.25">
      <c r="A4518" s="45">
        <v>46075</v>
      </c>
      <c r="B4518" s="46" t="s">
        <v>334</v>
      </c>
      <c r="C4518" s="4" t="s">
        <v>131</v>
      </c>
      <c r="D4518" s="4"/>
      <c r="E4518" s="4"/>
      <c r="F4518" s="46" t="s">
        <v>2232</v>
      </c>
      <c r="G4518" s="4" t="s">
        <v>336</v>
      </c>
      <c r="H4518" s="4" t="s">
        <v>289</v>
      </c>
      <c r="I4518" s="4">
        <v>5.8000000000000003E-2</v>
      </c>
      <c r="J4518" s="21">
        <v>400</v>
      </c>
      <c r="K4518" s="21">
        <v>0</v>
      </c>
      <c r="L4518" s="5">
        <v>0</v>
      </c>
      <c r="M4518" s="4"/>
      <c r="N4518" s="4"/>
      <c r="O4518" s="5"/>
      <c r="P4518" s="5"/>
      <c r="Q4518" s="21">
        <v>23.200000000000003</v>
      </c>
      <c r="R4518" s="21">
        <v>0</v>
      </c>
      <c r="S4518" s="5">
        <f t="shared" si="283"/>
        <v>63131.628553026421</v>
      </c>
      <c r="T4518" cm="1">
        <f t="array" ref="T4518">IF(OR(B4518="MAL ALIMI", B4518="ÜRETİM GİRİŞ"), MIN(I4518, MAX(0, I4518 + SUM(SUMIFS($I$1:I4517, $C$1:C4517, C4518, $B$1:B4517, {"MAL ALIMI","ÜRETİM GİRİŞ"})) - VLOOKUP(C4518, 'STOK RAPORU'!$C$2:$I$1000, 4, 0))), 0)</f>
        <v>0</v>
      </c>
      <c r="U4518" s="22">
        <f t="shared" si="280"/>
        <v>0</v>
      </c>
      <c r="V4518">
        <f t="shared" si="281"/>
        <v>0</v>
      </c>
      <c r="W4518" s="22">
        <f t="shared" si="282"/>
        <v>0</v>
      </c>
    </row>
    <row r="4519" spans="1:23" hidden="1" x14ac:dyDescent="0.25">
      <c r="A4519" s="45">
        <v>46075</v>
      </c>
      <c r="B4519" s="46" t="s">
        <v>334</v>
      </c>
      <c r="C4519" s="4" t="s">
        <v>126</v>
      </c>
      <c r="D4519" s="4"/>
      <c r="E4519" s="4"/>
      <c r="F4519" s="46" t="s">
        <v>2232</v>
      </c>
      <c r="G4519" s="4" t="s">
        <v>336</v>
      </c>
      <c r="H4519" s="4" t="s">
        <v>289</v>
      </c>
      <c r="I4519" s="4">
        <v>0.09</v>
      </c>
      <c r="J4519" s="21">
        <v>650</v>
      </c>
      <c r="K4519" s="21">
        <v>0</v>
      </c>
      <c r="L4519" s="5">
        <v>0</v>
      </c>
      <c r="M4519" s="4"/>
      <c r="N4519" s="4"/>
      <c r="O4519" s="5"/>
      <c r="P4519" s="5"/>
      <c r="Q4519" s="21">
        <v>58.5</v>
      </c>
      <c r="R4519" s="21">
        <v>0</v>
      </c>
      <c r="S4519" s="5">
        <f t="shared" si="283"/>
        <v>63190.128553026421</v>
      </c>
      <c r="T4519" cm="1">
        <f t="array" ref="T4519">IF(OR(B4519="MAL ALIMI", B4519="ÜRETİM GİRİŞ"), MIN(I4519, MAX(0, I4519 + SUM(SUMIFS($I$1:I4518, $C$1:C4518, C4519, $B$1:B4518, {"MAL ALIMI","ÜRETİM GİRİŞ"})) - VLOOKUP(C4519, 'STOK RAPORU'!$C$2:$I$1000, 4, 0))), 0)</f>
        <v>0</v>
      </c>
      <c r="U4519" s="22">
        <f t="shared" si="280"/>
        <v>0</v>
      </c>
      <c r="V4519">
        <f t="shared" si="281"/>
        <v>0</v>
      </c>
      <c r="W4519" s="22">
        <f t="shared" si="282"/>
        <v>0</v>
      </c>
    </row>
    <row r="4520" spans="1:23" hidden="1" x14ac:dyDescent="0.25">
      <c r="A4520" s="45">
        <v>46075</v>
      </c>
      <c r="B4520" s="46" t="s">
        <v>334</v>
      </c>
      <c r="C4520" s="4" t="s">
        <v>129</v>
      </c>
      <c r="D4520" s="4"/>
      <c r="E4520" s="4"/>
      <c r="F4520" s="46" t="s">
        <v>2232</v>
      </c>
      <c r="G4520" s="4" t="s">
        <v>336</v>
      </c>
      <c r="H4520" s="4" t="s">
        <v>289</v>
      </c>
      <c r="I4520" s="4">
        <v>0.12</v>
      </c>
      <c r="J4520" s="21">
        <v>400</v>
      </c>
      <c r="K4520" s="21">
        <v>0</v>
      </c>
      <c r="L4520" s="5">
        <v>0</v>
      </c>
      <c r="M4520" s="4"/>
      <c r="N4520" s="4"/>
      <c r="O4520" s="5"/>
      <c r="P4520" s="5"/>
      <c r="Q4520" s="21">
        <v>48</v>
      </c>
      <c r="R4520" s="21">
        <v>0</v>
      </c>
      <c r="S4520" s="5">
        <f t="shared" si="283"/>
        <v>63238.128553026421</v>
      </c>
      <c r="T4520" cm="1">
        <f t="array" ref="T4520">IF(OR(B4520="MAL ALIMI", B4520="ÜRETİM GİRİŞ"), MIN(I4520, MAX(0, I4520 + SUM(SUMIFS($I$1:I4519, $C$1:C4519, C4520, $B$1:B4519, {"MAL ALIMI","ÜRETİM GİRİŞ"})) - VLOOKUP(C4520, 'STOK RAPORU'!$C$2:$I$1000, 4, 0))), 0)</f>
        <v>0</v>
      </c>
      <c r="U4520" s="22">
        <f t="shared" si="280"/>
        <v>0</v>
      </c>
      <c r="V4520">
        <f t="shared" si="281"/>
        <v>0</v>
      </c>
      <c r="W4520" s="22">
        <f t="shared" si="282"/>
        <v>0</v>
      </c>
    </row>
    <row r="4521" spans="1:23" hidden="1" x14ac:dyDescent="0.25">
      <c r="A4521" s="45">
        <v>46075</v>
      </c>
      <c r="B4521" s="46" t="s">
        <v>334</v>
      </c>
      <c r="C4521" s="4" t="s">
        <v>2117</v>
      </c>
      <c r="D4521" s="4"/>
      <c r="E4521" s="4"/>
      <c r="F4521" s="46" t="s">
        <v>2232</v>
      </c>
      <c r="G4521" s="4" t="s">
        <v>336</v>
      </c>
      <c r="H4521" s="4" t="s">
        <v>289</v>
      </c>
      <c r="I4521" s="4">
        <v>1</v>
      </c>
      <c r="J4521" s="21">
        <v>30</v>
      </c>
      <c r="K4521" s="21">
        <v>0</v>
      </c>
      <c r="L4521" s="5">
        <v>0</v>
      </c>
      <c r="M4521" s="4"/>
      <c r="N4521" s="4"/>
      <c r="O4521" s="5"/>
      <c r="P4521" s="5"/>
      <c r="Q4521" s="21">
        <v>30</v>
      </c>
      <c r="R4521" s="21">
        <v>0</v>
      </c>
      <c r="S4521" s="5">
        <f t="shared" si="283"/>
        <v>63268.128553026421</v>
      </c>
      <c r="T4521" cm="1">
        <f t="array" ref="T4521">IF(OR(B4521="MAL ALIMI", B4521="ÜRETİM GİRİŞ"), MIN(I4521, MAX(0, I4521 + SUM(SUMIFS($I$1:I4520, $C$1:C4520, C4521, $B$1:B4520, {"MAL ALIMI","ÜRETİM GİRİŞ"})) - VLOOKUP(C4521, 'STOK RAPORU'!$C$2:$I$1000, 4, 0))), 0)</f>
        <v>0</v>
      </c>
      <c r="U4521" s="22">
        <f t="shared" si="280"/>
        <v>0</v>
      </c>
      <c r="V4521">
        <f t="shared" si="281"/>
        <v>0</v>
      </c>
      <c r="W4521" s="22">
        <f t="shared" si="282"/>
        <v>0</v>
      </c>
    </row>
    <row r="4522" spans="1:23" hidden="1" x14ac:dyDescent="0.25">
      <c r="A4522" s="45">
        <v>46075</v>
      </c>
      <c r="B4522" s="46" t="s">
        <v>334</v>
      </c>
      <c r="C4522" s="4" t="s">
        <v>166</v>
      </c>
      <c r="D4522" s="4"/>
      <c r="E4522" s="4"/>
      <c r="F4522" s="46" t="s">
        <v>2233</v>
      </c>
      <c r="G4522" s="4" t="s">
        <v>336</v>
      </c>
      <c r="H4522" s="4" t="s">
        <v>289</v>
      </c>
      <c r="I4522" s="4">
        <v>9.1999999999999998E-2</v>
      </c>
      <c r="J4522" s="21">
        <v>770</v>
      </c>
      <c r="K4522" s="21">
        <v>0</v>
      </c>
      <c r="L4522" s="5">
        <v>0</v>
      </c>
      <c r="M4522" s="4"/>
      <c r="N4522" s="4"/>
      <c r="O4522" s="5"/>
      <c r="P4522" s="5"/>
      <c r="Q4522" s="21">
        <v>70.84</v>
      </c>
      <c r="R4522" s="21">
        <v>0</v>
      </c>
      <c r="S4522" s="5">
        <f t="shared" si="283"/>
        <v>63338.968553026418</v>
      </c>
      <c r="T4522" cm="1">
        <f t="array" ref="T4522">IF(OR(B4522="MAL ALIMI", B4522="ÜRETİM GİRİŞ"), MIN(I4522, MAX(0, I4522 + SUM(SUMIFS($I$1:I4521, $C$1:C4521, C4522, $B$1:B4521, {"MAL ALIMI","ÜRETİM GİRİŞ"})) - VLOOKUP(C4522, 'STOK RAPORU'!$C$2:$I$1000, 4, 0))), 0)</f>
        <v>0</v>
      </c>
      <c r="U4522" s="22">
        <f t="shared" si="280"/>
        <v>0</v>
      </c>
      <c r="V4522">
        <f t="shared" si="281"/>
        <v>0</v>
      </c>
      <c r="W4522" s="22">
        <f t="shared" si="282"/>
        <v>0</v>
      </c>
    </row>
    <row r="4523" spans="1:23" hidden="1" x14ac:dyDescent="0.25">
      <c r="A4523" s="45">
        <v>46075</v>
      </c>
      <c r="B4523" s="46" t="s">
        <v>334</v>
      </c>
      <c r="C4523" s="4" t="s">
        <v>126</v>
      </c>
      <c r="D4523" s="4"/>
      <c r="E4523" s="4"/>
      <c r="F4523" s="46" t="s">
        <v>2234</v>
      </c>
      <c r="G4523" s="4" t="s">
        <v>336</v>
      </c>
      <c r="H4523" s="4" t="s">
        <v>289</v>
      </c>
      <c r="I4523" s="4">
        <v>0.502</v>
      </c>
      <c r="J4523" s="21">
        <v>605</v>
      </c>
      <c r="K4523" s="21">
        <v>0</v>
      </c>
      <c r="L4523" s="5">
        <v>0</v>
      </c>
      <c r="M4523" s="4"/>
      <c r="N4523" s="4"/>
      <c r="O4523" s="5"/>
      <c r="P4523" s="5"/>
      <c r="Q4523" s="21">
        <v>303.70999999999998</v>
      </c>
      <c r="R4523" s="21">
        <v>0</v>
      </c>
      <c r="S4523" s="5">
        <f t="shared" si="283"/>
        <v>63642.678553026417</v>
      </c>
      <c r="T4523" cm="1">
        <f t="array" ref="T4523">IF(OR(B4523="MAL ALIMI", B4523="ÜRETİM GİRİŞ"), MIN(I4523, MAX(0, I4523 + SUM(SUMIFS($I$1:I4522, $C$1:C4522, C4523, $B$1:B4522, {"MAL ALIMI","ÜRETİM GİRİŞ"})) - VLOOKUP(C4523, 'STOK RAPORU'!$C$2:$I$1000, 4, 0))), 0)</f>
        <v>0</v>
      </c>
      <c r="U4523" s="22">
        <f t="shared" si="280"/>
        <v>0</v>
      </c>
      <c r="V4523">
        <f t="shared" si="281"/>
        <v>0</v>
      </c>
      <c r="W4523" s="22">
        <f t="shared" si="282"/>
        <v>0</v>
      </c>
    </row>
    <row r="4524" spans="1:23" hidden="1" x14ac:dyDescent="0.25">
      <c r="A4524" s="45">
        <v>46075</v>
      </c>
      <c r="B4524" s="46" t="s">
        <v>334</v>
      </c>
      <c r="C4524" s="4" t="s">
        <v>463</v>
      </c>
      <c r="D4524" s="4"/>
      <c r="E4524" s="4"/>
      <c r="F4524" s="46" t="s">
        <v>2234</v>
      </c>
      <c r="G4524" s="4" t="s">
        <v>336</v>
      </c>
      <c r="H4524" s="4" t="s">
        <v>289</v>
      </c>
      <c r="I4524" s="4">
        <v>0.66800000000000004</v>
      </c>
      <c r="J4524" s="21">
        <v>400</v>
      </c>
      <c r="K4524" s="21">
        <v>0</v>
      </c>
      <c r="L4524" s="5">
        <v>0</v>
      </c>
      <c r="M4524" s="4"/>
      <c r="N4524" s="4"/>
      <c r="O4524" s="5"/>
      <c r="P4524" s="5"/>
      <c r="Q4524" s="21">
        <v>267.2</v>
      </c>
      <c r="R4524" s="21">
        <v>0</v>
      </c>
      <c r="S4524" s="5">
        <f t="shared" si="283"/>
        <v>63909.878553026414</v>
      </c>
      <c r="T4524" cm="1">
        <f t="array" ref="T4524">IF(OR(B4524="MAL ALIMI", B4524="ÜRETİM GİRİŞ"), MIN(I4524, MAX(0, I4524 + SUM(SUMIFS($I$1:I4523, $C$1:C4523, C4524, $B$1:B4523, {"MAL ALIMI","ÜRETİM GİRİŞ"})) - VLOOKUP(C4524, 'STOK RAPORU'!$C$2:$I$1000, 4, 0))), 0)</f>
        <v>0</v>
      </c>
      <c r="U4524" s="22">
        <f t="shared" si="280"/>
        <v>0</v>
      </c>
      <c r="V4524">
        <f t="shared" si="281"/>
        <v>0</v>
      </c>
      <c r="W4524" s="22">
        <f t="shared" si="282"/>
        <v>0</v>
      </c>
    </row>
    <row r="4525" spans="1:23" hidden="1" x14ac:dyDescent="0.25">
      <c r="A4525" s="45">
        <v>46075</v>
      </c>
      <c r="B4525" s="46" t="s">
        <v>334</v>
      </c>
      <c r="C4525" s="4" t="s">
        <v>141</v>
      </c>
      <c r="D4525" s="4"/>
      <c r="E4525" s="4"/>
      <c r="F4525" s="46" t="s">
        <v>2234</v>
      </c>
      <c r="G4525" s="4" t="s">
        <v>336</v>
      </c>
      <c r="H4525" s="4" t="s">
        <v>289</v>
      </c>
      <c r="I4525" s="4">
        <v>0.20200000000000001</v>
      </c>
      <c r="J4525" s="21">
        <v>140</v>
      </c>
      <c r="K4525" s="21">
        <v>0</v>
      </c>
      <c r="L4525" s="5">
        <v>0</v>
      </c>
      <c r="M4525" s="4"/>
      <c r="N4525" s="4"/>
      <c r="O4525" s="5"/>
      <c r="P4525" s="5"/>
      <c r="Q4525" s="21">
        <v>28.28</v>
      </c>
      <c r="R4525" s="21">
        <v>0</v>
      </c>
      <c r="S4525" s="5">
        <f t="shared" si="283"/>
        <v>63938.158553026413</v>
      </c>
      <c r="T4525" cm="1">
        <f t="array" ref="T4525">IF(OR(B4525="MAL ALIMI", B4525="ÜRETİM GİRİŞ"), MIN(I4525, MAX(0, I4525 + SUM(SUMIFS($I$1:I4524, $C$1:C4524, C4525, $B$1:B4524, {"MAL ALIMI","ÜRETİM GİRİŞ"})) - VLOOKUP(C4525, 'STOK RAPORU'!$C$2:$I$1000, 4, 0))), 0)</f>
        <v>0</v>
      </c>
      <c r="U4525" s="22">
        <f t="shared" si="280"/>
        <v>0</v>
      </c>
      <c r="V4525">
        <f t="shared" si="281"/>
        <v>0</v>
      </c>
      <c r="W4525" s="22">
        <f t="shared" si="282"/>
        <v>0</v>
      </c>
    </row>
    <row r="4526" spans="1:23" hidden="1" x14ac:dyDescent="0.25">
      <c r="A4526" s="45">
        <v>46075</v>
      </c>
      <c r="B4526" s="46" t="s">
        <v>334</v>
      </c>
      <c r="C4526" s="4" t="s">
        <v>140</v>
      </c>
      <c r="D4526" s="4"/>
      <c r="E4526" s="4"/>
      <c r="F4526" s="46" t="s">
        <v>2234</v>
      </c>
      <c r="G4526" s="4" t="s">
        <v>336</v>
      </c>
      <c r="H4526" s="4" t="s">
        <v>289</v>
      </c>
      <c r="I4526" s="4">
        <v>0.33600000000000002</v>
      </c>
      <c r="J4526" s="21">
        <v>300</v>
      </c>
      <c r="K4526" s="21">
        <v>0</v>
      </c>
      <c r="L4526" s="5">
        <v>0</v>
      </c>
      <c r="M4526" s="4"/>
      <c r="N4526" s="4"/>
      <c r="O4526" s="5"/>
      <c r="P4526" s="5"/>
      <c r="Q4526" s="21">
        <v>100.80000000000001</v>
      </c>
      <c r="R4526" s="21">
        <v>0</v>
      </c>
      <c r="S4526" s="5">
        <f t="shared" si="283"/>
        <v>64038.958553026416</v>
      </c>
      <c r="T4526" cm="1">
        <f t="array" ref="T4526">IF(OR(B4526="MAL ALIMI", B4526="ÜRETİM GİRİŞ"), MIN(I4526, MAX(0, I4526 + SUM(SUMIFS($I$1:I4525, $C$1:C4525, C4526, $B$1:B4525, {"MAL ALIMI","ÜRETİM GİRİŞ"})) - VLOOKUP(C4526, 'STOK RAPORU'!$C$2:$I$1000, 4, 0))), 0)</f>
        <v>0</v>
      </c>
      <c r="U4526" s="22">
        <f t="shared" si="280"/>
        <v>0</v>
      </c>
      <c r="V4526">
        <f t="shared" si="281"/>
        <v>0</v>
      </c>
      <c r="W4526" s="22">
        <f t="shared" si="282"/>
        <v>0</v>
      </c>
    </row>
    <row r="4527" spans="1:23" hidden="1" x14ac:dyDescent="0.25">
      <c r="A4527" s="45">
        <v>46075</v>
      </c>
      <c r="B4527" s="46" t="s">
        <v>334</v>
      </c>
      <c r="C4527" s="4" t="s">
        <v>2124</v>
      </c>
      <c r="D4527" s="4"/>
      <c r="E4527" s="4"/>
      <c r="F4527" s="46" t="s">
        <v>2234</v>
      </c>
      <c r="G4527" s="4" t="s">
        <v>336</v>
      </c>
      <c r="H4527" s="4" t="s">
        <v>289</v>
      </c>
      <c r="I4527" s="4">
        <v>1</v>
      </c>
      <c r="J4527" s="21">
        <v>550</v>
      </c>
      <c r="K4527" s="21">
        <v>0</v>
      </c>
      <c r="L4527" s="5">
        <v>0</v>
      </c>
      <c r="M4527" s="4"/>
      <c r="N4527" s="4"/>
      <c r="O4527" s="5"/>
      <c r="P4527" s="5"/>
      <c r="Q4527" s="21">
        <v>550</v>
      </c>
      <c r="R4527" s="21">
        <v>0</v>
      </c>
      <c r="S4527" s="5">
        <f t="shared" si="283"/>
        <v>64588.958553026416</v>
      </c>
      <c r="T4527" cm="1">
        <f t="array" ref="T4527">IF(OR(B4527="MAL ALIMI", B4527="ÜRETİM GİRİŞ"), MIN(I4527, MAX(0, I4527 + SUM(SUMIFS($I$1:I4526, $C$1:C4526, C4527, $B$1:B4526, {"MAL ALIMI","ÜRETİM GİRİŞ"})) - VLOOKUP(C4527, 'STOK RAPORU'!$C$2:$I$1000, 4, 0))), 0)</f>
        <v>0</v>
      </c>
      <c r="U4527" s="22">
        <f t="shared" si="280"/>
        <v>0</v>
      </c>
      <c r="V4527">
        <f t="shared" si="281"/>
        <v>0</v>
      </c>
      <c r="W4527" s="22">
        <f t="shared" si="282"/>
        <v>0</v>
      </c>
    </row>
    <row r="4528" spans="1:23" hidden="1" x14ac:dyDescent="0.25">
      <c r="A4528" s="45">
        <v>46075</v>
      </c>
      <c r="B4528" s="46" t="s">
        <v>334</v>
      </c>
      <c r="C4528" s="4" t="s">
        <v>160</v>
      </c>
      <c r="D4528" s="4"/>
      <c r="E4528" s="4" t="s">
        <v>921</v>
      </c>
      <c r="F4528" s="46" t="s">
        <v>2235</v>
      </c>
      <c r="G4528" s="4" t="s">
        <v>336</v>
      </c>
      <c r="H4528" s="4" t="s">
        <v>380</v>
      </c>
      <c r="I4528" s="4">
        <v>1</v>
      </c>
      <c r="J4528" s="21">
        <v>230</v>
      </c>
      <c r="K4528" s="21">
        <v>230</v>
      </c>
      <c r="L4528" s="5">
        <v>0</v>
      </c>
      <c r="M4528" s="4"/>
      <c r="N4528" s="4"/>
      <c r="O4528" s="5"/>
      <c r="P4528" s="5"/>
      <c r="Q4528" s="21">
        <v>0</v>
      </c>
      <c r="R4528" s="21">
        <v>0</v>
      </c>
      <c r="S4528" s="5">
        <f t="shared" si="283"/>
        <v>64588.958553026416</v>
      </c>
      <c r="T4528" cm="1">
        <f t="array" ref="T4528">IF(OR(B4528="MAL ALIMI", B4528="ÜRETİM GİRİŞ"), MIN(I4528, MAX(0, I4528 + SUM(SUMIFS($I$1:I4527, $C$1:C4527, C4528, $B$1:B4527, {"MAL ALIMI","ÜRETİM GİRİŞ"})) - VLOOKUP(C4528, 'STOK RAPORU'!$C$2:$I$1000, 4, 0))), 0)</f>
        <v>0</v>
      </c>
      <c r="U4528" s="22">
        <f t="shared" si="280"/>
        <v>0</v>
      </c>
      <c r="V4528">
        <f t="shared" si="281"/>
        <v>0</v>
      </c>
      <c r="W4528" s="22">
        <f t="shared" si="282"/>
        <v>0</v>
      </c>
    </row>
    <row r="4529" spans="1:23" hidden="1" x14ac:dyDescent="0.25">
      <c r="A4529" s="45">
        <v>46075</v>
      </c>
      <c r="B4529" s="46" t="s">
        <v>334</v>
      </c>
      <c r="C4529" s="4" t="s">
        <v>161</v>
      </c>
      <c r="D4529" s="4"/>
      <c r="E4529" s="4" t="s">
        <v>921</v>
      </c>
      <c r="F4529" s="46" t="s">
        <v>2235</v>
      </c>
      <c r="G4529" s="4" t="s">
        <v>336</v>
      </c>
      <c r="H4529" s="4" t="s">
        <v>380</v>
      </c>
      <c r="I4529" s="4">
        <v>1</v>
      </c>
      <c r="J4529" s="21">
        <v>230</v>
      </c>
      <c r="K4529" s="21">
        <v>230</v>
      </c>
      <c r="L4529" s="5">
        <v>0</v>
      </c>
      <c r="M4529" s="4"/>
      <c r="N4529" s="4"/>
      <c r="O4529" s="5"/>
      <c r="P4529" s="5"/>
      <c r="Q4529" s="21">
        <v>0</v>
      </c>
      <c r="R4529" s="21">
        <v>0</v>
      </c>
      <c r="S4529" s="5">
        <f t="shared" si="283"/>
        <v>64588.958553026416</v>
      </c>
      <c r="T4529" cm="1">
        <f t="array" ref="T4529">IF(OR(B4529="MAL ALIMI", B4529="ÜRETİM GİRİŞ"), MIN(I4529, MAX(0, I4529 + SUM(SUMIFS($I$1:I4528, $C$1:C4528, C4529, $B$1:B4528, {"MAL ALIMI","ÜRETİM GİRİŞ"})) - VLOOKUP(C4529, 'STOK RAPORU'!$C$2:$I$1000, 4, 0))), 0)</f>
        <v>0</v>
      </c>
      <c r="U4529" s="22">
        <f t="shared" si="280"/>
        <v>0</v>
      </c>
      <c r="V4529">
        <f t="shared" si="281"/>
        <v>0</v>
      </c>
      <c r="W4529" s="22">
        <f t="shared" si="282"/>
        <v>0</v>
      </c>
    </row>
    <row r="4530" spans="1:23" hidden="1" x14ac:dyDescent="0.25">
      <c r="A4530" s="45">
        <v>46075</v>
      </c>
      <c r="B4530" s="46" t="s">
        <v>334</v>
      </c>
      <c r="C4530" s="4" t="s">
        <v>486</v>
      </c>
      <c r="D4530" s="4"/>
      <c r="E4530" s="4" t="s">
        <v>921</v>
      </c>
      <c r="F4530" s="46" t="s">
        <v>2236</v>
      </c>
      <c r="G4530" s="4" t="s">
        <v>336</v>
      </c>
      <c r="H4530" s="4" t="s">
        <v>380</v>
      </c>
      <c r="I4530" s="4">
        <v>1</v>
      </c>
      <c r="J4530" s="21">
        <v>180</v>
      </c>
      <c r="K4530" s="21">
        <v>180</v>
      </c>
      <c r="L4530" s="5">
        <v>0</v>
      </c>
      <c r="M4530" s="4"/>
      <c r="N4530" s="4"/>
      <c r="O4530" s="5"/>
      <c r="P4530" s="5"/>
      <c r="Q4530" s="21">
        <v>0</v>
      </c>
      <c r="R4530" s="21">
        <v>0</v>
      </c>
      <c r="S4530" s="5">
        <f t="shared" si="283"/>
        <v>64588.958553026416</v>
      </c>
      <c r="T4530" cm="1">
        <f t="array" ref="T4530">IF(OR(B4530="MAL ALIMI", B4530="ÜRETİM GİRİŞ"), MIN(I4530, MAX(0, I4530 + SUM(SUMIFS($I$1:I4529, $C$1:C4529, C4530, $B$1:B4529, {"MAL ALIMI","ÜRETİM GİRİŞ"})) - VLOOKUP(C4530, 'STOK RAPORU'!$C$2:$I$1000, 4, 0))), 0)</f>
        <v>0</v>
      </c>
      <c r="U4530" s="22">
        <f t="shared" si="280"/>
        <v>0</v>
      </c>
      <c r="V4530">
        <f t="shared" si="281"/>
        <v>0</v>
      </c>
      <c r="W4530" s="22">
        <f t="shared" si="282"/>
        <v>0</v>
      </c>
    </row>
    <row r="4531" spans="1:23" hidden="1" x14ac:dyDescent="0.25">
      <c r="A4531" s="45">
        <v>46075</v>
      </c>
      <c r="B4531" s="46" t="s">
        <v>334</v>
      </c>
      <c r="C4531" s="4" t="s">
        <v>1638</v>
      </c>
      <c r="D4531" s="4"/>
      <c r="E4531" s="4" t="s">
        <v>921</v>
      </c>
      <c r="F4531" s="46" t="s">
        <v>2236</v>
      </c>
      <c r="G4531" s="4" t="s">
        <v>336</v>
      </c>
      <c r="H4531" s="4" t="s">
        <v>380</v>
      </c>
      <c r="I4531" s="4">
        <v>1</v>
      </c>
      <c r="J4531" s="21">
        <v>100</v>
      </c>
      <c r="K4531" s="21">
        <v>100</v>
      </c>
      <c r="L4531" s="5">
        <v>0</v>
      </c>
      <c r="M4531" s="4"/>
      <c r="N4531" s="4"/>
      <c r="O4531" s="5"/>
      <c r="P4531" s="5"/>
      <c r="Q4531" s="21">
        <v>0</v>
      </c>
      <c r="R4531" s="21">
        <v>0</v>
      </c>
      <c r="S4531" s="5">
        <f t="shared" si="283"/>
        <v>64588.958553026416</v>
      </c>
      <c r="T4531" cm="1">
        <f t="array" ref="T4531">IF(OR(B4531="MAL ALIMI", B4531="ÜRETİM GİRİŞ"), MIN(I4531, MAX(0, I4531 + SUM(SUMIFS($I$1:I4530, $C$1:C4530, C4531, $B$1:B4530, {"MAL ALIMI","ÜRETİM GİRİŞ"})) - VLOOKUP(C4531, 'STOK RAPORU'!$C$2:$I$1000, 4, 0))), 0)</f>
        <v>0</v>
      </c>
      <c r="U4531" s="22">
        <f t="shared" si="280"/>
        <v>0</v>
      </c>
      <c r="V4531">
        <f t="shared" si="281"/>
        <v>0</v>
      </c>
      <c r="W4531" s="22">
        <f t="shared" si="282"/>
        <v>0</v>
      </c>
    </row>
    <row r="4532" spans="1:23" hidden="1" x14ac:dyDescent="0.25">
      <c r="A4532" s="45">
        <v>46075</v>
      </c>
      <c r="B4532" s="46" t="s">
        <v>334</v>
      </c>
      <c r="C4532" s="4" t="s">
        <v>1428</v>
      </c>
      <c r="D4532" s="4"/>
      <c r="E4532" s="4" t="s">
        <v>921</v>
      </c>
      <c r="F4532" s="46" t="s">
        <v>2237</v>
      </c>
      <c r="G4532" s="4" t="s">
        <v>336</v>
      </c>
      <c r="H4532" s="4" t="s">
        <v>380</v>
      </c>
      <c r="I4532" s="4">
        <v>0.1</v>
      </c>
      <c r="J4532" s="21">
        <v>800</v>
      </c>
      <c r="K4532" s="21">
        <v>80</v>
      </c>
      <c r="L4532" s="5">
        <v>0</v>
      </c>
      <c r="M4532" s="4"/>
      <c r="N4532" s="4"/>
      <c r="O4532" s="5"/>
      <c r="P4532" s="5"/>
      <c r="Q4532" s="21">
        <v>0</v>
      </c>
      <c r="R4532" s="21">
        <v>0</v>
      </c>
      <c r="S4532" s="5">
        <f t="shared" si="283"/>
        <v>64588.958553026416</v>
      </c>
      <c r="T4532" cm="1">
        <f t="array" ref="T4532">IF(OR(B4532="MAL ALIMI", B4532="ÜRETİM GİRİŞ"), MIN(I4532, MAX(0, I4532 + SUM(SUMIFS($I$1:I4531, $C$1:C4531, C4532, $B$1:B4531, {"MAL ALIMI","ÜRETİM GİRİŞ"})) - VLOOKUP(C4532, 'STOK RAPORU'!$C$2:$I$1000, 4, 0))), 0)</f>
        <v>0</v>
      </c>
      <c r="U4532" s="22">
        <f t="shared" ref="U4532:U4595" si="284">T4532*J4532</f>
        <v>0</v>
      </c>
      <c r="V4532">
        <f t="shared" ref="V4532:V4595" si="285">IF(OR(B4532="MAL ALIMI", B4532="ÜRETİM GİRİŞ"), I4532 * J4532, 0)</f>
        <v>0</v>
      </c>
      <c r="W4532" s="22">
        <f t="shared" ref="W4532:W4595" si="286">V4532-U4532</f>
        <v>0</v>
      </c>
    </row>
    <row r="4533" spans="1:23" hidden="1" x14ac:dyDescent="0.25">
      <c r="A4533" s="45">
        <v>46075</v>
      </c>
      <c r="B4533" s="46" t="s">
        <v>334</v>
      </c>
      <c r="C4533" s="4" t="s">
        <v>529</v>
      </c>
      <c r="D4533" s="4"/>
      <c r="E4533" s="4"/>
      <c r="F4533" s="46" t="s">
        <v>2238</v>
      </c>
      <c r="G4533" s="4" t="s">
        <v>336</v>
      </c>
      <c r="H4533" s="4" t="s">
        <v>289</v>
      </c>
      <c r="I4533" s="4">
        <v>0.1</v>
      </c>
      <c r="J4533" s="21">
        <v>600</v>
      </c>
      <c r="K4533" s="21">
        <v>0</v>
      </c>
      <c r="L4533" s="5">
        <v>0</v>
      </c>
      <c r="M4533" s="4"/>
      <c r="N4533" s="4"/>
      <c r="O4533" s="5"/>
      <c r="P4533" s="5"/>
      <c r="Q4533" s="21">
        <v>60</v>
      </c>
      <c r="R4533" s="21">
        <v>0</v>
      </c>
      <c r="S4533" s="5">
        <f t="shared" si="283"/>
        <v>64648.958553026416</v>
      </c>
      <c r="T4533" cm="1">
        <f t="array" ref="T4533">IF(OR(B4533="MAL ALIMI", B4533="ÜRETİM GİRİŞ"), MIN(I4533, MAX(0, I4533 + SUM(SUMIFS($I$1:I4532, $C$1:C4532, C4533, $B$1:B4532, {"MAL ALIMI","ÜRETİM GİRİŞ"})) - VLOOKUP(C4533, 'STOK RAPORU'!$C$2:$I$1000, 4, 0))), 0)</f>
        <v>0</v>
      </c>
      <c r="U4533" s="22">
        <f t="shared" si="284"/>
        <v>0</v>
      </c>
      <c r="V4533">
        <f t="shared" si="285"/>
        <v>0</v>
      </c>
      <c r="W4533" s="22">
        <f t="shared" si="286"/>
        <v>0</v>
      </c>
    </row>
    <row r="4534" spans="1:23" hidden="1" x14ac:dyDescent="0.25">
      <c r="A4534" s="45">
        <v>46075</v>
      </c>
      <c r="B4534" s="46" t="s">
        <v>334</v>
      </c>
      <c r="C4534" s="4" t="s">
        <v>140</v>
      </c>
      <c r="D4534" s="4"/>
      <c r="E4534" s="4"/>
      <c r="F4534" s="46" t="s">
        <v>2238</v>
      </c>
      <c r="G4534" s="4" t="s">
        <v>336</v>
      </c>
      <c r="H4534" s="4" t="s">
        <v>289</v>
      </c>
      <c r="I4534" s="4">
        <v>0.16800000000000001</v>
      </c>
      <c r="J4534" s="21">
        <v>300</v>
      </c>
      <c r="K4534" s="21">
        <v>0</v>
      </c>
      <c r="L4534" s="5">
        <v>0</v>
      </c>
      <c r="M4534" s="4"/>
      <c r="N4534" s="4"/>
      <c r="O4534" s="5"/>
      <c r="P4534" s="5"/>
      <c r="Q4534" s="21">
        <v>50.400000000000006</v>
      </c>
      <c r="R4534" s="21">
        <v>0</v>
      </c>
      <c r="S4534" s="5">
        <f t="shared" si="283"/>
        <v>64699.358553026417</v>
      </c>
      <c r="T4534" cm="1">
        <f t="array" ref="T4534">IF(OR(B4534="MAL ALIMI", B4534="ÜRETİM GİRİŞ"), MIN(I4534, MAX(0, I4534 + SUM(SUMIFS($I$1:I4533, $C$1:C4533, C4534, $B$1:B4533, {"MAL ALIMI","ÜRETİM GİRİŞ"})) - VLOOKUP(C4534, 'STOK RAPORU'!$C$2:$I$1000, 4, 0))), 0)</f>
        <v>0</v>
      </c>
      <c r="U4534" s="22">
        <f t="shared" si="284"/>
        <v>0</v>
      </c>
      <c r="V4534">
        <f t="shared" si="285"/>
        <v>0</v>
      </c>
      <c r="W4534" s="22">
        <f t="shared" si="286"/>
        <v>0</v>
      </c>
    </row>
    <row r="4535" spans="1:23" hidden="1" x14ac:dyDescent="0.25">
      <c r="A4535" s="45">
        <v>46075</v>
      </c>
      <c r="B4535" s="46" t="s">
        <v>334</v>
      </c>
      <c r="C4535" s="4" t="s">
        <v>266</v>
      </c>
      <c r="D4535" s="4"/>
      <c r="E4535" s="4" t="s">
        <v>921</v>
      </c>
      <c r="F4535" s="46" t="s">
        <v>2239</v>
      </c>
      <c r="G4535" s="4" t="s">
        <v>336</v>
      </c>
      <c r="H4535" s="4" t="s">
        <v>380</v>
      </c>
      <c r="I4535" s="4">
        <v>0.41199999999999998</v>
      </c>
      <c r="J4535" s="21">
        <v>250</v>
      </c>
      <c r="K4535" s="21">
        <v>103</v>
      </c>
      <c r="L4535" s="5">
        <v>0</v>
      </c>
      <c r="M4535" s="4"/>
      <c r="N4535" s="4"/>
      <c r="O4535" s="5"/>
      <c r="P4535" s="5"/>
      <c r="Q4535" s="21">
        <v>0</v>
      </c>
      <c r="R4535" s="21">
        <v>0</v>
      </c>
      <c r="S4535" s="5">
        <f t="shared" si="283"/>
        <v>64699.358553026417</v>
      </c>
      <c r="T4535" cm="1">
        <f t="array" ref="T4535">IF(OR(B4535="MAL ALIMI", B4535="ÜRETİM GİRİŞ"), MIN(I4535, MAX(0, I4535 + SUM(SUMIFS($I$1:I4534, $C$1:C4534, C4535, $B$1:B4534, {"MAL ALIMI","ÜRETİM GİRİŞ"})) - VLOOKUP(C4535, 'STOK RAPORU'!$C$2:$I$1000, 4, 0))), 0)</f>
        <v>0</v>
      </c>
      <c r="U4535" s="22">
        <f t="shared" si="284"/>
        <v>0</v>
      </c>
      <c r="V4535">
        <f t="shared" si="285"/>
        <v>0</v>
      </c>
      <c r="W4535" s="22">
        <f t="shared" si="286"/>
        <v>0</v>
      </c>
    </row>
    <row r="4536" spans="1:23" hidden="1" x14ac:dyDescent="0.25">
      <c r="A4536" s="45">
        <v>46075</v>
      </c>
      <c r="B4536" s="46" t="s">
        <v>334</v>
      </c>
      <c r="C4536" s="4" t="s">
        <v>728</v>
      </c>
      <c r="D4536" s="4"/>
      <c r="E4536" s="4" t="s">
        <v>921</v>
      </c>
      <c r="F4536" s="46" t="s">
        <v>2239</v>
      </c>
      <c r="G4536" s="4" t="s">
        <v>336</v>
      </c>
      <c r="H4536" s="4" t="s">
        <v>380</v>
      </c>
      <c r="I4536" s="4">
        <v>0.23478260869565218</v>
      </c>
      <c r="J4536" s="21">
        <v>627</v>
      </c>
      <c r="K4536" s="21">
        <v>147.20869565217393</v>
      </c>
      <c r="L4536" s="5">
        <v>0</v>
      </c>
      <c r="M4536" s="4"/>
      <c r="N4536" s="4"/>
      <c r="O4536" s="5"/>
      <c r="P4536" s="5"/>
      <c r="Q4536" s="21">
        <v>0</v>
      </c>
      <c r="R4536" s="21">
        <v>0</v>
      </c>
      <c r="S4536" s="5">
        <f t="shared" si="283"/>
        <v>64699.358553026417</v>
      </c>
      <c r="T4536" cm="1">
        <f t="array" ref="T4536">IF(OR(B4536="MAL ALIMI", B4536="ÜRETİM GİRİŞ"), MIN(I4536, MAX(0, I4536 + SUM(SUMIFS($I$1:I4535, $C$1:C4535, C4536, $B$1:B4535, {"MAL ALIMI","ÜRETİM GİRİŞ"})) - VLOOKUP(C4536, 'STOK RAPORU'!$C$2:$I$1000, 4, 0))), 0)</f>
        <v>0</v>
      </c>
      <c r="U4536" s="22">
        <f t="shared" si="284"/>
        <v>0</v>
      </c>
      <c r="V4536">
        <f t="shared" si="285"/>
        <v>0</v>
      </c>
      <c r="W4536" s="22">
        <f t="shared" si="286"/>
        <v>0</v>
      </c>
    </row>
    <row r="4537" spans="1:23" hidden="1" x14ac:dyDescent="0.25">
      <c r="A4537" s="3">
        <v>46075</v>
      </c>
      <c r="B4537" s="4" t="s">
        <v>946</v>
      </c>
      <c r="C4537" s="4"/>
      <c r="D4537" s="4"/>
      <c r="E4537" s="4" t="s">
        <v>921</v>
      </c>
      <c r="F4537" s="4"/>
      <c r="G4537" s="4" t="s">
        <v>946</v>
      </c>
      <c r="H4537" s="4" t="s">
        <v>380</v>
      </c>
      <c r="I4537" s="4">
        <v>1</v>
      </c>
      <c r="J4537" s="105">
        <v>1161</v>
      </c>
      <c r="K4537" s="21">
        <v>0</v>
      </c>
      <c r="L4537" s="111">
        <v>1161</v>
      </c>
      <c r="M4537" s="4"/>
      <c r="N4537" s="4"/>
      <c r="O4537" s="5"/>
      <c r="P4537" s="5"/>
      <c r="Q4537" s="21">
        <v>1161</v>
      </c>
      <c r="R4537" s="21">
        <v>0</v>
      </c>
      <c r="S4537" s="5">
        <f t="shared" si="283"/>
        <v>65860.358553026424</v>
      </c>
      <c r="T4537" cm="1">
        <f t="array" ref="T4537">IF(OR(B4537="MAL ALIMI", B4537="ÜRETİM GİRİŞ"), MIN(I4537, MAX(0, I4537 + SUM(SUMIFS($I$1:I4536, $C$1:C4536, C4537, $B$1:B4536, {"MAL ALIMI","ÜRETİM GİRİŞ"})) - VLOOKUP(C4537, 'STOK RAPORU'!$C$2:$I$1000, 4, 0))), 0)</f>
        <v>0</v>
      </c>
      <c r="U4537" s="22">
        <f t="shared" si="284"/>
        <v>0</v>
      </c>
      <c r="V4537">
        <f t="shared" si="285"/>
        <v>0</v>
      </c>
      <c r="W4537" s="22">
        <f t="shared" si="286"/>
        <v>0</v>
      </c>
    </row>
    <row r="4538" spans="1:23" hidden="1" x14ac:dyDescent="0.25">
      <c r="A4538" s="3">
        <v>46075</v>
      </c>
      <c r="B4538" s="4" t="s">
        <v>946</v>
      </c>
      <c r="C4538" s="4"/>
      <c r="D4538" s="4"/>
      <c r="E4538" s="4" t="s">
        <v>921</v>
      </c>
      <c r="F4538" s="4"/>
      <c r="G4538" s="4" t="s">
        <v>946</v>
      </c>
      <c r="H4538" s="4" t="s">
        <v>380</v>
      </c>
      <c r="I4538" s="4">
        <v>1</v>
      </c>
      <c r="J4538" s="105">
        <v>390</v>
      </c>
      <c r="K4538" s="21">
        <v>0</v>
      </c>
      <c r="L4538" s="111">
        <v>390</v>
      </c>
      <c r="M4538" s="4"/>
      <c r="N4538" s="4"/>
      <c r="O4538" s="5"/>
      <c r="P4538" s="5"/>
      <c r="Q4538" s="21">
        <v>390</v>
      </c>
      <c r="R4538" s="21">
        <v>0</v>
      </c>
      <c r="S4538" s="5">
        <f t="shared" si="283"/>
        <v>66250.358553026424</v>
      </c>
      <c r="T4538" cm="1">
        <f t="array" ref="T4538">IF(OR(B4538="MAL ALIMI", B4538="ÜRETİM GİRİŞ"), MIN(I4538, MAX(0, I4538 + SUM(SUMIFS($I$1:I4537, $C$1:C4537, C4538, $B$1:B4537, {"MAL ALIMI","ÜRETİM GİRİŞ"})) - VLOOKUP(C4538, 'STOK RAPORU'!$C$2:$I$1000, 4, 0))), 0)</f>
        <v>0</v>
      </c>
      <c r="U4538" s="22">
        <f t="shared" si="284"/>
        <v>0</v>
      </c>
      <c r="V4538">
        <f t="shared" si="285"/>
        <v>0</v>
      </c>
      <c r="W4538" s="22">
        <f t="shared" si="286"/>
        <v>0</v>
      </c>
    </row>
    <row r="4539" spans="1:23" hidden="1" x14ac:dyDescent="0.25">
      <c r="A4539" s="3">
        <v>46076</v>
      </c>
      <c r="B4539" s="4" t="s">
        <v>298</v>
      </c>
      <c r="C4539" s="4" t="s">
        <v>2282</v>
      </c>
      <c r="D4539" s="4"/>
      <c r="E4539" s="4" t="s">
        <v>350</v>
      </c>
      <c r="F4539" s="4">
        <v>998909</v>
      </c>
      <c r="G4539" s="4" t="s">
        <v>350</v>
      </c>
      <c r="H4539" s="4" t="s">
        <v>304</v>
      </c>
      <c r="I4539" s="4">
        <v>1</v>
      </c>
      <c r="J4539" s="21">
        <v>2250</v>
      </c>
      <c r="K4539" s="21">
        <v>0</v>
      </c>
      <c r="L4539" s="5">
        <v>2250</v>
      </c>
      <c r="M4539" s="4"/>
      <c r="N4539" s="4"/>
      <c r="O4539" s="5"/>
      <c r="P4539" s="5"/>
      <c r="Q4539" s="21">
        <v>0</v>
      </c>
      <c r="R4539" s="21">
        <v>0</v>
      </c>
      <c r="S4539" s="5">
        <f t="shared" si="283"/>
        <v>66250.358553026424</v>
      </c>
      <c r="T4539" cm="1">
        <f t="array" ref="T4539">IF(OR(B4539="MAL ALIMI", B4539="ÜRETİM GİRİŞ"), MIN(I4539, MAX(0, I4539 + SUM(SUMIFS($I$1:I4538, $C$1:C4538, C4539, $B$1:B4538, {"MAL ALIMI","ÜRETİM GİRİŞ"})) - VLOOKUP(C4539, 'STOK RAPORU'!$C$2:$I$1000, 4, 0))), 0)</f>
        <v>0</v>
      </c>
      <c r="U4539" s="22">
        <f t="shared" si="284"/>
        <v>0</v>
      </c>
      <c r="V4539">
        <f t="shared" si="285"/>
        <v>2250</v>
      </c>
      <c r="W4539" s="22">
        <f t="shared" si="286"/>
        <v>2250</v>
      </c>
    </row>
    <row r="4540" spans="1:23" hidden="1" x14ac:dyDescent="0.25">
      <c r="A4540" s="3">
        <v>46076</v>
      </c>
      <c r="B4540" s="4" t="s">
        <v>298</v>
      </c>
      <c r="C4540" s="4" t="s">
        <v>2281</v>
      </c>
      <c r="D4540" s="4"/>
      <c r="E4540" s="4" t="s">
        <v>350</v>
      </c>
      <c r="F4540" s="4">
        <v>998909</v>
      </c>
      <c r="G4540" s="4" t="s">
        <v>350</v>
      </c>
      <c r="H4540" s="4" t="s">
        <v>304</v>
      </c>
      <c r="I4540" s="4">
        <v>1</v>
      </c>
      <c r="J4540" s="21">
        <v>2200</v>
      </c>
      <c r="K4540" s="21">
        <v>0</v>
      </c>
      <c r="L4540" s="5">
        <v>2200</v>
      </c>
      <c r="M4540" s="4"/>
      <c r="N4540" s="4"/>
      <c r="O4540" s="5"/>
      <c r="P4540" s="5"/>
      <c r="Q4540" s="21">
        <v>0</v>
      </c>
      <c r="R4540" s="21">
        <v>0</v>
      </c>
      <c r="S4540" s="5">
        <f t="shared" si="283"/>
        <v>66250.358553026424</v>
      </c>
      <c r="T4540" cm="1">
        <f t="array" ref="T4540">IF(OR(B4540="MAL ALIMI", B4540="ÜRETİM GİRİŞ"), MIN(I4540, MAX(0, I4540 + SUM(SUMIFS($I$1:I4539, $C$1:C4539, C4540, $B$1:B4539, {"MAL ALIMI","ÜRETİM GİRİŞ"})) - VLOOKUP(C4540, 'STOK RAPORU'!$C$2:$I$1000, 4, 0))), 0)</f>
        <v>0.34000000000000008</v>
      </c>
      <c r="U4540" s="22">
        <f t="shared" si="284"/>
        <v>748.00000000000023</v>
      </c>
      <c r="V4540">
        <f t="shared" si="285"/>
        <v>2200</v>
      </c>
      <c r="W4540" s="22">
        <f t="shared" si="286"/>
        <v>1451.9999999999998</v>
      </c>
    </row>
    <row r="4541" spans="1:23" hidden="1" x14ac:dyDescent="0.25">
      <c r="A4541" s="3">
        <v>46076</v>
      </c>
      <c r="B4541" s="4" t="s">
        <v>298</v>
      </c>
      <c r="C4541" s="4" t="s">
        <v>695</v>
      </c>
      <c r="D4541" s="4"/>
      <c r="E4541" s="4" t="s">
        <v>350</v>
      </c>
      <c r="F4541" s="4">
        <v>998909</v>
      </c>
      <c r="G4541" s="4" t="s">
        <v>350</v>
      </c>
      <c r="H4541" s="4" t="s">
        <v>304</v>
      </c>
      <c r="I4541" s="4">
        <v>10</v>
      </c>
      <c r="J4541" s="21">
        <v>67</v>
      </c>
      <c r="K4541" s="21">
        <v>0</v>
      </c>
      <c r="L4541" s="5">
        <v>670</v>
      </c>
      <c r="M4541" s="4"/>
      <c r="N4541" s="4"/>
      <c r="O4541" s="5"/>
      <c r="P4541" s="5"/>
      <c r="Q4541" s="21">
        <v>0</v>
      </c>
      <c r="R4541" s="21">
        <v>0</v>
      </c>
      <c r="S4541" s="5">
        <f t="shared" si="283"/>
        <v>66250.358553026424</v>
      </c>
      <c r="T4541" cm="1">
        <f t="array" ref="T4541">IF(OR(B4541="MAL ALIMI", B4541="ÜRETİM GİRİŞ"), MIN(I4541, MAX(0, I4541 + SUM(SUMIFS($I$1:I4540, $C$1:C4540, C4541, $B$1:B4540, {"MAL ALIMI","ÜRETİM GİRİŞ"})) - VLOOKUP(C4541, 'STOK RAPORU'!$C$2:$I$1000, 4, 0))), 0)</f>
        <v>0</v>
      </c>
      <c r="U4541" s="22">
        <f t="shared" si="284"/>
        <v>0</v>
      </c>
      <c r="V4541">
        <f t="shared" si="285"/>
        <v>670</v>
      </c>
      <c r="W4541" s="22">
        <f t="shared" si="286"/>
        <v>670</v>
      </c>
    </row>
    <row r="4542" spans="1:23" hidden="1" x14ac:dyDescent="0.25">
      <c r="A4542" s="3">
        <v>46076</v>
      </c>
      <c r="B4542" s="4" t="s">
        <v>298</v>
      </c>
      <c r="C4542" s="4" t="s">
        <v>194</v>
      </c>
      <c r="D4542" s="4"/>
      <c r="E4542" s="4" t="s">
        <v>350</v>
      </c>
      <c r="F4542" s="4">
        <v>998909</v>
      </c>
      <c r="G4542" s="4" t="s">
        <v>350</v>
      </c>
      <c r="H4542" s="4" t="s">
        <v>304</v>
      </c>
      <c r="I4542" s="4">
        <v>5</v>
      </c>
      <c r="J4542" s="21">
        <v>585</v>
      </c>
      <c r="K4542" s="21">
        <v>0</v>
      </c>
      <c r="L4542" s="5">
        <v>2925</v>
      </c>
      <c r="M4542" s="4"/>
      <c r="N4542" s="4"/>
      <c r="O4542" s="5"/>
      <c r="P4542" s="5"/>
      <c r="Q4542" s="21">
        <v>0</v>
      </c>
      <c r="R4542" s="21">
        <v>0</v>
      </c>
      <c r="S4542" s="5">
        <f t="shared" si="283"/>
        <v>66250.358553026424</v>
      </c>
      <c r="T4542" cm="1">
        <f t="array" ref="T4542">IF(OR(B4542="MAL ALIMI", B4542="ÜRETİM GİRİŞ"), MIN(I4542, MAX(0, I4542 + SUM(SUMIFS($I$1:I4541, $C$1:C4541, C4542, $B$1:B4541, {"MAL ALIMI","ÜRETİM GİRİŞ"})) - VLOOKUP(C4542, 'STOK RAPORU'!$C$2:$I$1000, 4, 0))), 0)</f>
        <v>4.9273333333333325</v>
      </c>
      <c r="U4542" s="22">
        <f t="shared" si="284"/>
        <v>2882.4899999999993</v>
      </c>
      <c r="V4542">
        <f t="shared" si="285"/>
        <v>2925</v>
      </c>
      <c r="W4542" s="22">
        <f t="shared" si="286"/>
        <v>42.510000000000673</v>
      </c>
    </row>
    <row r="4543" spans="1:23" hidden="1" x14ac:dyDescent="0.25">
      <c r="A4543" s="3">
        <v>46076</v>
      </c>
      <c r="B4543" s="4" t="s">
        <v>298</v>
      </c>
      <c r="C4543" s="4" t="s">
        <v>247</v>
      </c>
      <c r="D4543" s="4"/>
      <c r="E4543" s="4" t="s">
        <v>350</v>
      </c>
      <c r="F4543" s="4">
        <v>998909</v>
      </c>
      <c r="G4543" s="4" t="s">
        <v>350</v>
      </c>
      <c r="H4543" s="4" t="s">
        <v>304</v>
      </c>
      <c r="I4543" s="4">
        <v>5</v>
      </c>
      <c r="J4543" s="21">
        <v>950</v>
      </c>
      <c r="K4543" s="21">
        <v>0</v>
      </c>
      <c r="L4543" s="5">
        <v>4750</v>
      </c>
      <c r="M4543" s="4"/>
      <c r="N4543" s="4"/>
      <c r="O4543" s="5"/>
      <c r="P4543" s="5"/>
      <c r="Q4543" s="21">
        <v>0</v>
      </c>
      <c r="R4543" s="21">
        <v>0</v>
      </c>
      <c r="S4543" s="5">
        <f t="shared" si="283"/>
        <v>66250.358553026424</v>
      </c>
      <c r="T4543" cm="1">
        <f t="array" ref="T4543">IF(OR(B4543="MAL ALIMI", B4543="ÜRETİM GİRİŞ"), MIN(I4543, MAX(0, I4543 + SUM(SUMIFS($I$1:I4542, $C$1:C4542, C4543, $B$1:B4542, {"MAL ALIMI","ÜRETİM GİRİŞ"})) - VLOOKUP(C4543, 'STOK RAPORU'!$C$2:$I$1000, 4, 0))), 0)</f>
        <v>0</v>
      </c>
      <c r="U4543" s="22">
        <f t="shared" si="284"/>
        <v>0</v>
      </c>
      <c r="V4543">
        <f t="shared" si="285"/>
        <v>4750</v>
      </c>
      <c r="W4543" s="22">
        <f t="shared" si="286"/>
        <v>4750</v>
      </c>
    </row>
    <row r="4544" spans="1:23" hidden="1" x14ac:dyDescent="0.25">
      <c r="A4544" s="3">
        <v>46076</v>
      </c>
      <c r="B4544" s="4" t="s">
        <v>298</v>
      </c>
      <c r="C4544" s="4" t="s">
        <v>202</v>
      </c>
      <c r="D4544" s="4"/>
      <c r="E4544" s="4" t="s">
        <v>350</v>
      </c>
      <c r="F4544" s="4">
        <v>998909</v>
      </c>
      <c r="G4544" s="4" t="s">
        <v>350</v>
      </c>
      <c r="H4544" s="4" t="s">
        <v>304</v>
      </c>
      <c r="I4544" s="4">
        <v>25</v>
      </c>
      <c r="J4544" s="21">
        <v>19</v>
      </c>
      <c r="K4544" s="21">
        <v>0</v>
      </c>
      <c r="L4544" s="5">
        <v>475</v>
      </c>
      <c r="M4544" s="4"/>
      <c r="N4544" s="4"/>
      <c r="O4544" s="5"/>
      <c r="P4544" s="5"/>
      <c r="Q4544" s="21">
        <v>0</v>
      </c>
      <c r="R4544" s="21">
        <v>0</v>
      </c>
      <c r="S4544" s="5">
        <f t="shared" si="283"/>
        <v>66250.358553026424</v>
      </c>
      <c r="T4544" cm="1">
        <f t="array" ref="T4544">IF(OR(B4544="MAL ALIMI", B4544="ÜRETİM GİRİŞ"), MIN(I4544, MAX(0, I4544 + SUM(SUMIFS($I$1:I4543, $C$1:C4543, C4544, $B$1:B4543, {"MAL ALIMI","ÜRETİM GİRİŞ"})) - VLOOKUP(C4544, 'STOK RAPORU'!$C$2:$I$1000, 4, 0))), 0)</f>
        <v>0</v>
      </c>
      <c r="U4544" s="22">
        <f t="shared" si="284"/>
        <v>0</v>
      </c>
      <c r="V4544">
        <f t="shared" si="285"/>
        <v>475</v>
      </c>
      <c r="W4544" s="22">
        <f t="shared" si="286"/>
        <v>475</v>
      </c>
    </row>
    <row r="4545" spans="1:23" hidden="1" x14ac:dyDescent="0.25">
      <c r="A4545" s="3">
        <v>46076</v>
      </c>
      <c r="B4545" s="4" t="s">
        <v>298</v>
      </c>
      <c r="C4545" s="4" t="s">
        <v>60</v>
      </c>
      <c r="D4545" s="4"/>
      <c r="E4545" s="4" t="s">
        <v>350</v>
      </c>
      <c r="F4545" s="4">
        <v>998909</v>
      </c>
      <c r="G4545" s="4" t="s">
        <v>350</v>
      </c>
      <c r="H4545" s="4" t="s">
        <v>304</v>
      </c>
      <c r="I4545" s="4">
        <v>2</v>
      </c>
      <c r="J4545" s="21">
        <v>650</v>
      </c>
      <c r="K4545" s="21">
        <v>0</v>
      </c>
      <c r="L4545" s="5">
        <v>1300</v>
      </c>
      <c r="M4545" s="4"/>
      <c r="N4545" s="4"/>
      <c r="O4545" s="5"/>
      <c r="P4545" s="5"/>
      <c r="Q4545" s="21">
        <v>0</v>
      </c>
      <c r="R4545" s="21">
        <v>0</v>
      </c>
      <c r="S4545" s="5">
        <f t="shared" si="283"/>
        <v>66250.358553026424</v>
      </c>
      <c r="T4545" cm="1">
        <f t="array" ref="T4545">IF(OR(B4545="MAL ALIMI", B4545="ÜRETİM GİRİŞ"), MIN(I4545, MAX(0, I4545 + SUM(SUMIFS($I$1:I4544, $C$1:C4544, C4545, $B$1:B4544, {"MAL ALIMI","ÜRETİM GİRİŞ"})) - VLOOKUP(C4545, 'STOK RAPORU'!$C$2:$I$1000, 4, 0))), 0)</f>
        <v>0</v>
      </c>
      <c r="U4545" s="22">
        <f t="shared" si="284"/>
        <v>0</v>
      </c>
      <c r="V4545">
        <f t="shared" si="285"/>
        <v>1300</v>
      </c>
      <c r="W4545" s="22">
        <f t="shared" si="286"/>
        <v>1300</v>
      </c>
    </row>
    <row r="4546" spans="1:23" hidden="1" x14ac:dyDescent="0.25">
      <c r="A4546" s="3">
        <v>46076</v>
      </c>
      <c r="B4546" s="4" t="s">
        <v>298</v>
      </c>
      <c r="C4546" s="4" t="s">
        <v>892</v>
      </c>
      <c r="D4546" s="4"/>
      <c r="E4546" s="4" t="s">
        <v>350</v>
      </c>
      <c r="F4546" s="4">
        <v>998909</v>
      </c>
      <c r="G4546" s="4" t="s">
        <v>350</v>
      </c>
      <c r="H4546" s="4" t="s">
        <v>304</v>
      </c>
      <c r="I4546" s="4">
        <v>10</v>
      </c>
      <c r="J4546" s="21">
        <v>26.5</v>
      </c>
      <c r="K4546" s="21">
        <v>0</v>
      </c>
      <c r="L4546" s="5">
        <v>265</v>
      </c>
      <c r="M4546" s="4"/>
      <c r="N4546" s="4"/>
      <c r="O4546" s="5"/>
      <c r="P4546" s="5"/>
      <c r="Q4546" s="21">
        <v>0</v>
      </c>
      <c r="R4546" s="21">
        <v>0</v>
      </c>
      <c r="S4546" s="5">
        <f t="shared" si="283"/>
        <v>66250.358553026424</v>
      </c>
      <c r="T4546" cm="1">
        <f t="array" ref="T4546">IF(OR(B4546="MAL ALIMI", B4546="ÜRETİM GİRİŞ"), MIN(I4546, MAX(0, I4546 + SUM(SUMIFS($I$1:I4545, $C$1:C4545, C4546, $B$1:B4545, {"MAL ALIMI","ÜRETİM GİRİŞ"})) - VLOOKUP(C4546, 'STOK RAPORU'!$C$2:$I$1000, 4, 0))), 0)</f>
        <v>5</v>
      </c>
      <c r="U4546" s="22">
        <f t="shared" si="284"/>
        <v>132.5</v>
      </c>
      <c r="V4546">
        <f t="shared" si="285"/>
        <v>265</v>
      </c>
      <c r="W4546" s="22">
        <f t="shared" si="286"/>
        <v>132.5</v>
      </c>
    </row>
    <row r="4547" spans="1:23" hidden="1" x14ac:dyDescent="0.25">
      <c r="A4547" s="3">
        <v>46076</v>
      </c>
      <c r="B4547" s="4" t="s">
        <v>298</v>
      </c>
      <c r="C4547" s="4" t="s">
        <v>2283</v>
      </c>
      <c r="D4547" s="4"/>
      <c r="E4547" s="4" t="s">
        <v>350</v>
      </c>
      <c r="F4547" s="4">
        <v>998909</v>
      </c>
      <c r="G4547" s="4" t="s">
        <v>350</v>
      </c>
      <c r="H4547" s="4" t="s">
        <v>304</v>
      </c>
      <c r="I4547" s="4">
        <v>1</v>
      </c>
      <c r="J4547" s="21">
        <v>260</v>
      </c>
      <c r="K4547" s="21">
        <v>0</v>
      </c>
      <c r="L4547" s="5">
        <v>260</v>
      </c>
      <c r="M4547" s="4"/>
      <c r="N4547" s="4"/>
      <c r="O4547" s="5"/>
      <c r="P4547" s="5"/>
      <c r="Q4547" s="21">
        <v>0</v>
      </c>
      <c r="R4547" s="21">
        <v>0</v>
      </c>
      <c r="S4547" s="5">
        <f t="shared" si="283"/>
        <v>66250.358553026424</v>
      </c>
      <c r="T4547" cm="1">
        <f t="array" ref="T4547">IF(OR(B4547="MAL ALIMI", B4547="ÜRETİM GİRİŞ"), MIN(I4547, MAX(0, I4547 + SUM(SUMIFS($I$1:I4546, $C$1:C4546, C4547, $B$1:B4546, {"MAL ALIMI","ÜRETİM GİRİŞ"})) - VLOOKUP(C4547, 'STOK RAPORU'!$C$2:$I$1000, 4, 0))), 0)</f>
        <v>0</v>
      </c>
      <c r="U4547" s="22">
        <f t="shared" si="284"/>
        <v>0</v>
      </c>
      <c r="V4547">
        <f t="shared" si="285"/>
        <v>260</v>
      </c>
      <c r="W4547" s="22">
        <f t="shared" si="286"/>
        <v>260</v>
      </c>
    </row>
    <row r="4548" spans="1:23" hidden="1" x14ac:dyDescent="0.25">
      <c r="A4548" s="3">
        <v>46076</v>
      </c>
      <c r="B4548" s="4" t="s">
        <v>298</v>
      </c>
      <c r="C4548" s="4" t="s">
        <v>226</v>
      </c>
      <c r="D4548" s="4"/>
      <c r="E4548" s="4" t="s">
        <v>350</v>
      </c>
      <c r="F4548" s="4">
        <v>998909</v>
      </c>
      <c r="G4548" s="4" t="s">
        <v>350</v>
      </c>
      <c r="H4548" s="4" t="s">
        <v>304</v>
      </c>
      <c r="I4548" s="4">
        <v>3</v>
      </c>
      <c r="J4548" s="21">
        <v>145</v>
      </c>
      <c r="K4548" s="21">
        <v>0</v>
      </c>
      <c r="L4548" s="5">
        <v>435</v>
      </c>
      <c r="M4548" s="4"/>
      <c r="N4548" s="4"/>
      <c r="O4548" s="5"/>
      <c r="P4548" s="5"/>
      <c r="Q4548" s="21">
        <v>0</v>
      </c>
      <c r="R4548" s="21">
        <v>0</v>
      </c>
      <c r="S4548" s="5">
        <f t="shared" ref="S4548:S4611" si="287">S4547+Q4548-R4548</f>
        <v>66250.358553026424</v>
      </c>
      <c r="T4548" cm="1">
        <f t="array" ref="T4548">IF(OR(B4548="MAL ALIMI", B4548="ÜRETİM GİRİŞ"), MIN(I4548, MAX(0, I4548 + SUM(SUMIFS($I$1:I4547, $C$1:C4547, C4548, $B$1:B4547, {"MAL ALIMI","ÜRETİM GİRİŞ"})) - VLOOKUP(C4548, 'STOK RAPORU'!$C$2:$I$1000, 4, 0))), 0)</f>
        <v>0</v>
      </c>
      <c r="U4548" s="22">
        <f t="shared" si="284"/>
        <v>0</v>
      </c>
      <c r="V4548">
        <f t="shared" si="285"/>
        <v>435</v>
      </c>
      <c r="W4548" s="22">
        <f t="shared" si="286"/>
        <v>435</v>
      </c>
    </row>
    <row r="4549" spans="1:23" hidden="1" x14ac:dyDescent="0.25">
      <c r="A4549" s="3">
        <v>46076</v>
      </c>
      <c r="B4549" s="4" t="s">
        <v>298</v>
      </c>
      <c r="C4549" s="4" t="s">
        <v>2284</v>
      </c>
      <c r="D4549" s="4"/>
      <c r="E4549" s="4" t="s">
        <v>350</v>
      </c>
      <c r="F4549" s="4">
        <v>998909</v>
      </c>
      <c r="G4549" s="4" t="s">
        <v>350</v>
      </c>
      <c r="H4549" s="4" t="s">
        <v>304</v>
      </c>
      <c r="I4549" s="4">
        <v>5</v>
      </c>
      <c r="J4549" s="21">
        <v>39</v>
      </c>
      <c r="K4549" s="21">
        <v>0</v>
      </c>
      <c r="L4549" s="5">
        <v>195</v>
      </c>
      <c r="M4549" s="4"/>
      <c r="N4549" s="4"/>
      <c r="O4549" s="5"/>
      <c r="P4549" s="5"/>
      <c r="Q4549" s="21">
        <v>0</v>
      </c>
      <c r="R4549" s="21">
        <v>0</v>
      </c>
      <c r="S4549" s="5">
        <f t="shared" si="287"/>
        <v>66250.358553026424</v>
      </c>
      <c r="T4549" cm="1">
        <f t="array" ref="T4549">IF(OR(B4549="MAL ALIMI", B4549="ÜRETİM GİRİŞ"), MIN(I4549, MAX(0, I4549 + SUM(SUMIFS($I$1:I4548, $C$1:C4548, C4549, $B$1:B4548, {"MAL ALIMI","ÜRETİM GİRİŞ"})) - VLOOKUP(C4549, 'STOK RAPORU'!$C$2:$I$1000, 4, 0))), 0)</f>
        <v>1.25</v>
      </c>
      <c r="U4549" s="22">
        <f t="shared" si="284"/>
        <v>48.75</v>
      </c>
      <c r="V4549">
        <f t="shared" si="285"/>
        <v>195</v>
      </c>
      <c r="W4549" s="22">
        <f t="shared" si="286"/>
        <v>146.25</v>
      </c>
    </row>
    <row r="4550" spans="1:23" hidden="1" x14ac:dyDescent="0.25">
      <c r="A4550" s="3">
        <v>46076</v>
      </c>
      <c r="B4550" s="4" t="s">
        <v>298</v>
      </c>
      <c r="C4550" s="4" t="s">
        <v>230</v>
      </c>
      <c r="D4550" s="4"/>
      <c r="E4550" s="4" t="s">
        <v>350</v>
      </c>
      <c r="F4550" s="4">
        <v>998909</v>
      </c>
      <c r="G4550" s="4" t="s">
        <v>350</v>
      </c>
      <c r="H4550" s="4" t="s">
        <v>304</v>
      </c>
      <c r="I4550" s="4">
        <v>3</v>
      </c>
      <c r="J4550" s="21">
        <v>135</v>
      </c>
      <c r="K4550" s="21">
        <v>0</v>
      </c>
      <c r="L4550" s="5">
        <v>405</v>
      </c>
      <c r="M4550" s="4"/>
      <c r="N4550" s="4"/>
      <c r="O4550" s="5"/>
      <c r="P4550" s="5"/>
      <c r="Q4550" s="21">
        <v>0</v>
      </c>
      <c r="R4550" s="21">
        <v>0</v>
      </c>
      <c r="S4550" s="5">
        <f t="shared" si="287"/>
        <v>66250.358553026424</v>
      </c>
      <c r="T4550" cm="1">
        <f t="array" ref="T4550">IF(OR(B4550="MAL ALIMI", B4550="ÜRETİM GİRİŞ"), MIN(I4550, MAX(0, I4550 + SUM(SUMIFS($I$1:I4549, $C$1:C4549, C4550, $B$1:B4549, {"MAL ALIMI","ÜRETİM GİRİŞ"})) - VLOOKUP(C4550, 'STOK RAPORU'!$C$2:$I$1000, 4, 0))), 0)</f>
        <v>0</v>
      </c>
      <c r="U4550" s="22">
        <f t="shared" si="284"/>
        <v>0</v>
      </c>
      <c r="V4550">
        <f t="shared" si="285"/>
        <v>405</v>
      </c>
      <c r="W4550" s="22">
        <f t="shared" si="286"/>
        <v>405</v>
      </c>
    </row>
    <row r="4551" spans="1:23" hidden="1" x14ac:dyDescent="0.25">
      <c r="A4551" s="3">
        <v>46076</v>
      </c>
      <c r="B4551" s="4" t="s">
        <v>298</v>
      </c>
      <c r="C4551" s="4" t="s">
        <v>231</v>
      </c>
      <c r="D4551" s="4"/>
      <c r="E4551" s="4" t="s">
        <v>350</v>
      </c>
      <c r="F4551" s="4">
        <v>998909</v>
      </c>
      <c r="G4551" s="4" t="s">
        <v>350</v>
      </c>
      <c r="H4551" s="4" t="s">
        <v>304</v>
      </c>
      <c r="I4551" s="4">
        <v>3</v>
      </c>
      <c r="J4551" s="21">
        <v>135</v>
      </c>
      <c r="K4551" s="21">
        <v>0</v>
      </c>
      <c r="L4551" s="5">
        <v>405</v>
      </c>
      <c r="M4551" s="4"/>
      <c r="N4551" s="4"/>
      <c r="O4551" s="5"/>
      <c r="P4551" s="5"/>
      <c r="Q4551" s="21">
        <v>0</v>
      </c>
      <c r="R4551" s="21">
        <v>0</v>
      </c>
      <c r="S4551" s="5">
        <f t="shared" si="287"/>
        <v>66250.358553026424</v>
      </c>
      <c r="T4551" cm="1">
        <f t="array" ref="T4551">IF(OR(B4551="MAL ALIMI", B4551="ÜRETİM GİRİŞ"), MIN(I4551, MAX(0, I4551 + SUM(SUMIFS($I$1:I4550, $C$1:C4550, C4551, $B$1:B4550, {"MAL ALIMI","ÜRETİM GİRİŞ"})) - VLOOKUP(C4551, 'STOK RAPORU'!$C$2:$I$1000, 4, 0))), 0)</f>
        <v>0</v>
      </c>
      <c r="U4551" s="22">
        <f t="shared" si="284"/>
        <v>0</v>
      </c>
      <c r="V4551">
        <f t="shared" si="285"/>
        <v>405</v>
      </c>
      <c r="W4551" s="22">
        <f t="shared" si="286"/>
        <v>405</v>
      </c>
    </row>
    <row r="4552" spans="1:23" hidden="1" x14ac:dyDescent="0.25">
      <c r="A4552" s="3">
        <v>46076</v>
      </c>
      <c r="B4552" s="4" t="s">
        <v>298</v>
      </c>
      <c r="C4552" s="4" t="s">
        <v>461</v>
      </c>
      <c r="D4552" s="4"/>
      <c r="E4552" s="4" t="s">
        <v>350</v>
      </c>
      <c r="F4552" s="4">
        <v>998909</v>
      </c>
      <c r="G4552" s="4" t="s">
        <v>350</v>
      </c>
      <c r="H4552" s="4" t="s">
        <v>304</v>
      </c>
      <c r="I4552" s="4">
        <v>6</v>
      </c>
      <c r="J4552" s="21">
        <v>60</v>
      </c>
      <c r="K4552" s="21">
        <v>0</v>
      </c>
      <c r="L4552" s="5">
        <v>360</v>
      </c>
      <c r="M4552" s="4"/>
      <c r="N4552" s="4"/>
      <c r="O4552" s="5"/>
      <c r="P4552" s="5"/>
      <c r="Q4552" s="21">
        <v>0</v>
      </c>
      <c r="R4552" s="21">
        <v>0</v>
      </c>
      <c r="S4552" s="5">
        <f t="shared" si="287"/>
        <v>66250.358553026424</v>
      </c>
      <c r="T4552" cm="1">
        <f t="array" ref="T4552">IF(OR(B4552="MAL ALIMI", B4552="ÜRETİM GİRİŞ"), MIN(I4552, MAX(0, I4552 + SUM(SUMIFS($I$1:I4551, $C$1:C4551, C4552, $B$1:B4551, {"MAL ALIMI","ÜRETİM GİRİŞ"})) - VLOOKUP(C4552, 'STOK RAPORU'!$C$2:$I$1000, 4, 0))), 0)</f>
        <v>0</v>
      </c>
      <c r="U4552" s="22">
        <f t="shared" si="284"/>
        <v>0</v>
      </c>
      <c r="V4552">
        <f t="shared" si="285"/>
        <v>360</v>
      </c>
      <c r="W4552" s="22">
        <f t="shared" si="286"/>
        <v>360</v>
      </c>
    </row>
    <row r="4553" spans="1:23" hidden="1" x14ac:dyDescent="0.25">
      <c r="A4553" s="3">
        <v>46076</v>
      </c>
      <c r="B4553" s="4" t="s">
        <v>298</v>
      </c>
      <c r="C4553" s="4" t="s">
        <v>241</v>
      </c>
      <c r="D4553" s="4"/>
      <c r="E4553" s="4" t="s">
        <v>350</v>
      </c>
      <c r="F4553" s="4">
        <v>998909</v>
      </c>
      <c r="G4553" s="4" t="s">
        <v>350</v>
      </c>
      <c r="H4553" s="4" t="s">
        <v>304</v>
      </c>
      <c r="I4553" s="4">
        <v>3</v>
      </c>
      <c r="J4553" s="21">
        <v>290</v>
      </c>
      <c r="K4553" s="21">
        <v>0</v>
      </c>
      <c r="L4553" s="5">
        <v>870</v>
      </c>
      <c r="M4553" s="4"/>
      <c r="N4553" s="4"/>
      <c r="O4553" s="5"/>
      <c r="P4553" s="5"/>
      <c r="Q4553" s="21">
        <v>0</v>
      </c>
      <c r="R4553" s="21">
        <v>0</v>
      </c>
      <c r="S4553" s="5">
        <f t="shared" si="287"/>
        <v>66250.358553026424</v>
      </c>
      <c r="T4553" cm="1">
        <f t="array" ref="T4553">IF(OR(B4553="MAL ALIMI", B4553="ÜRETİM GİRİŞ"), MIN(I4553, MAX(0, I4553 + SUM(SUMIFS($I$1:I4552, $C$1:C4552, C4553, $B$1:B4552, {"MAL ALIMI","ÜRETİM GİRİŞ"})) - VLOOKUP(C4553, 'STOK RAPORU'!$C$2:$I$1000, 4, 0))), 0)</f>
        <v>4.5116279069787879E-3</v>
      </c>
      <c r="U4553" s="22">
        <f t="shared" si="284"/>
        <v>1.3083720930238485</v>
      </c>
      <c r="V4553">
        <f t="shared" si="285"/>
        <v>870</v>
      </c>
      <c r="W4553" s="22">
        <f t="shared" si="286"/>
        <v>868.69162790697612</v>
      </c>
    </row>
    <row r="4554" spans="1:23" hidden="1" x14ac:dyDescent="0.25">
      <c r="A4554" s="3">
        <v>46076</v>
      </c>
      <c r="B4554" s="4" t="s">
        <v>298</v>
      </c>
      <c r="C4554" s="4" t="s">
        <v>266</v>
      </c>
      <c r="D4554" s="4"/>
      <c r="E4554" s="4" t="s">
        <v>350</v>
      </c>
      <c r="F4554" s="4">
        <v>998909</v>
      </c>
      <c r="G4554" s="4" t="s">
        <v>350</v>
      </c>
      <c r="H4554" s="4" t="s">
        <v>304</v>
      </c>
      <c r="I4554" s="4">
        <v>5</v>
      </c>
      <c r="J4554" s="21">
        <v>170</v>
      </c>
      <c r="K4554" s="21">
        <v>0</v>
      </c>
      <c r="L4554" s="5">
        <v>850</v>
      </c>
      <c r="M4554" s="4"/>
      <c r="N4554" s="4"/>
      <c r="O4554" s="5"/>
      <c r="P4554" s="5"/>
      <c r="Q4554" s="21">
        <v>0</v>
      </c>
      <c r="R4554" s="21">
        <v>0</v>
      </c>
      <c r="S4554" s="5">
        <f t="shared" si="287"/>
        <v>66250.358553026424</v>
      </c>
      <c r="T4554" cm="1">
        <f t="array" ref="T4554">IF(OR(B4554="MAL ALIMI", B4554="ÜRETİM GİRİŞ"), MIN(I4554, MAX(0, I4554 + SUM(SUMIFS($I$1:I4553, $C$1:C4553, C4554, $B$1:B4553, {"MAL ALIMI","ÜRETİM GİRİŞ"})) - VLOOKUP(C4554, 'STOK RAPORU'!$C$2:$I$1000, 4, 0))), 0)</f>
        <v>0</v>
      </c>
      <c r="U4554" s="22">
        <f t="shared" si="284"/>
        <v>0</v>
      </c>
      <c r="V4554">
        <f t="shared" si="285"/>
        <v>850</v>
      </c>
      <c r="W4554" s="22">
        <f t="shared" si="286"/>
        <v>850</v>
      </c>
    </row>
    <row r="4555" spans="1:23" hidden="1" x14ac:dyDescent="0.25">
      <c r="A4555" s="45">
        <v>46076</v>
      </c>
      <c r="B4555" s="46" t="s">
        <v>298</v>
      </c>
      <c r="C4555" s="4" t="s">
        <v>2273</v>
      </c>
      <c r="D4555" s="4"/>
      <c r="E4555" s="4"/>
      <c r="F4555" s="4" t="s">
        <v>2278</v>
      </c>
      <c r="G4555" s="4" t="s">
        <v>2279</v>
      </c>
      <c r="H4555" s="4" t="s">
        <v>289</v>
      </c>
      <c r="I4555" s="4">
        <v>16</v>
      </c>
      <c r="J4555" s="21">
        <v>20</v>
      </c>
      <c r="K4555" s="21">
        <v>0</v>
      </c>
      <c r="L4555" s="5">
        <v>0</v>
      </c>
      <c r="M4555" s="4"/>
      <c r="N4555" s="4"/>
      <c r="O4555" s="5"/>
      <c r="P4555" s="5"/>
      <c r="Q4555" s="21">
        <v>0</v>
      </c>
      <c r="R4555" s="21">
        <v>320</v>
      </c>
      <c r="S4555" s="5">
        <f t="shared" si="287"/>
        <v>65930.358553026424</v>
      </c>
      <c r="T4555" cm="1">
        <f t="array" ref="T4555">IF(OR(B4555="MAL ALIMI", B4555="ÜRETİM GİRİŞ"), MIN(I4555, MAX(0, I4555 + SUM(SUMIFS($I$1:I4554, $C$1:C4554, C4555, $B$1:B4554, {"MAL ALIMI","ÜRETİM GİRİŞ"})) - VLOOKUP(C4555, 'STOK RAPORU'!$C$2:$I$1000, 4, 0))), 0)</f>
        <v>2</v>
      </c>
      <c r="U4555" s="22">
        <f t="shared" si="284"/>
        <v>40</v>
      </c>
      <c r="V4555">
        <f t="shared" si="285"/>
        <v>320</v>
      </c>
      <c r="W4555" s="22">
        <f t="shared" si="286"/>
        <v>280</v>
      </c>
    </row>
    <row r="4556" spans="1:23" hidden="1" x14ac:dyDescent="0.25">
      <c r="A4556" s="45">
        <v>46076</v>
      </c>
      <c r="B4556" s="46" t="s">
        <v>298</v>
      </c>
      <c r="C4556" s="4" t="s">
        <v>2274</v>
      </c>
      <c r="D4556" s="4"/>
      <c r="E4556" s="4"/>
      <c r="F4556" s="4" t="s">
        <v>2278</v>
      </c>
      <c r="G4556" s="4" t="s">
        <v>2279</v>
      </c>
      <c r="H4556" s="4" t="s">
        <v>289</v>
      </c>
      <c r="I4556" s="4">
        <v>4</v>
      </c>
      <c r="J4556" s="21">
        <v>25</v>
      </c>
      <c r="K4556" s="21">
        <v>0</v>
      </c>
      <c r="L4556" s="5">
        <v>0</v>
      </c>
      <c r="M4556" s="4"/>
      <c r="N4556" s="4"/>
      <c r="O4556" s="5"/>
      <c r="P4556" s="5"/>
      <c r="Q4556" s="21">
        <v>0</v>
      </c>
      <c r="R4556" s="21">
        <v>100</v>
      </c>
      <c r="S4556" s="5">
        <f t="shared" si="287"/>
        <v>65830.358553026424</v>
      </c>
      <c r="T4556" cm="1">
        <f t="array" ref="T4556">IF(OR(B4556="MAL ALIMI", B4556="ÜRETİM GİRİŞ"), MIN(I4556, MAX(0, I4556 + SUM(SUMIFS($I$1:I4555, $C$1:C4555, C4556, $B$1:B4555, {"MAL ALIMI","ÜRETİM GİRİŞ"})) - VLOOKUP(C4556, 'STOK RAPORU'!$C$2:$I$1000, 4, 0))), 0)</f>
        <v>1</v>
      </c>
      <c r="U4556" s="22">
        <f t="shared" si="284"/>
        <v>25</v>
      </c>
      <c r="V4556">
        <f t="shared" si="285"/>
        <v>100</v>
      </c>
      <c r="W4556" s="22">
        <f t="shared" si="286"/>
        <v>75</v>
      </c>
    </row>
    <row r="4557" spans="1:23" hidden="1" x14ac:dyDescent="0.25">
      <c r="A4557" s="45">
        <v>46076</v>
      </c>
      <c r="B4557" s="46" t="s">
        <v>298</v>
      </c>
      <c r="C4557" s="4" t="s">
        <v>2275</v>
      </c>
      <c r="D4557" s="4"/>
      <c r="E4557" s="4"/>
      <c r="F4557" s="4" t="s">
        <v>2278</v>
      </c>
      <c r="G4557" s="4" t="s">
        <v>2279</v>
      </c>
      <c r="H4557" s="4" t="s">
        <v>289</v>
      </c>
      <c r="I4557" s="4">
        <v>12</v>
      </c>
      <c r="J4557" s="21">
        <v>7.5</v>
      </c>
      <c r="K4557" s="21">
        <v>0</v>
      </c>
      <c r="L4557" s="5">
        <v>0</v>
      </c>
      <c r="M4557" s="4"/>
      <c r="N4557" s="4"/>
      <c r="O4557" s="5"/>
      <c r="P4557" s="5"/>
      <c r="Q4557" s="21">
        <v>0</v>
      </c>
      <c r="R4557" s="21">
        <v>90</v>
      </c>
      <c r="S4557" s="5">
        <f t="shared" si="287"/>
        <v>65740.358553026424</v>
      </c>
      <c r="T4557" cm="1">
        <f t="array" ref="T4557">IF(OR(B4557="MAL ALIMI", B4557="ÜRETİM GİRİŞ"), MIN(I4557, MAX(0, I4557 + SUM(SUMIFS($I$1:I4556, $C$1:C4556, C4557, $B$1:B4556, {"MAL ALIMI","ÜRETİM GİRİŞ"})) - VLOOKUP(C4557, 'STOK RAPORU'!$C$2:$I$1000, 4, 0))), 0)</f>
        <v>12</v>
      </c>
      <c r="U4557" s="22">
        <f t="shared" si="284"/>
        <v>90</v>
      </c>
      <c r="V4557">
        <f t="shared" si="285"/>
        <v>90</v>
      </c>
      <c r="W4557" s="22">
        <f t="shared" si="286"/>
        <v>0</v>
      </c>
    </row>
    <row r="4558" spans="1:23" hidden="1" x14ac:dyDescent="0.25">
      <c r="A4558" s="45">
        <v>46076</v>
      </c>
      <c r="B4558" s="46" t="s">
        <v>298</v>
      </c>
      <c r="C4558" s="4" t="s">
        <v>2276</v>
      </c>
      <c r="D4558" s="4"/>
      <c r="E4558" s="4"/>
      <c r="F4558" s="4" t="s">
        <v>2278</v>
      </c>
      <c r="G4558" s="4" t="s">
        <v>2279</v>
      </c>
      <c r="H4558" s="4" t="s">
        <v>289</v>
      </c>
      <c r="I4558" s="4">
        <v>24</v>
      </c>
      <c r="J4558" s="21">
        <v>3.75</v>
      </c>
      <c r="K4558" s="21">
        <v>0</v>
      </c>
      <c r="L4558" s="5">
        <v>0</v>
      </c>
      <c r="M4558" s="4"/>
      <c r="N4558" s="4"/>
      <c r="O4558" s="5"/>
      <c r="P4558" s="5"/>
      <c r="Q4558" s="21">
        <v>0</v>
      </c>
      <c r="R4558" s="21">
        <v>90</v>
      </c>
      <c r="S4558" s="5">
        <f t="shared" si="287"/>
        <v>65650.358553026424</v>
      </c>
      <c r="T4558" cm="1">
        <f t="array" ref="T4558">IF(OR(B4558="MAL ALIMI", B4558="ÜRETİM GİRİŞ"), MIN(I4558, MAX(0, I4558 + SUM(SUMIFS($I$1:I4557, $C$1:C4557, C4558, $B$1:B4557, {"MAL ALIMI","ÜRETİM GİRİŞ"})) - VLOOKUP(C4558, 'STOK RAPORU'!$C$2:$I$1000, 4, 0))), 0)</f>
        <v>24</v>
      </c>
      <c r="U4558" s="22">
        <f t="shared" si="284"/>
        <v>90</v>
      </c>
      <c r="V4558">
        <f t="shared" si="285"/>
        <v>90</v>
      </c>
      <c r="W4558" s="22">
        <f t="shared" si="286"/>
        <v>0</v>
      </c>
    </row>
    <row r="4559" spans="1:23" hidden="1" x14ac:dyDescent="0.25">
      <c r="A4559" s="45">
        <v>46076</v>
      </c>
      <c r="B4559" s="46" t="s">
        <v>334</v>
      </c>
      <c r="C4559" s="4" t="s">
        <v>161</v>
      </c>
      <c r="D4559" s="4"/>
      <c r="E4559" s="4" t="s">
        <v>921</v>
      </c>
      <c r="F4559" s="46" t="s">
        <v>2247</v>
      </c>
      <c r="G4559" s="4" t="s">
        <v>336</v>
      </c>
      <c r="H4559" s="4" t="s">
        <v>380</v>
      </c>
      <c r="I4559" s="4">
        <v>1</v>
      </c>
      <c r="J4559" s="21">
        <v>230</v>
      </c>
      <c r="K4559" s="21">
        <v>230</v>
      </c>
      <c r="L4559" s="5">
        <v>0</v>
      </c>
      <c r="M4559" s="4"/>
      <c r="N4559" s="4"/>
      <c r="O4559" s="5"/>
      <c r="P4559" s="5"/>
      <c r="Q4559" s="21">
        <v>0</v>
      </c>
      <c r="R4559" s="21">
        <v>0</v>
      </c>
      <c r="S4559" s="5">
        <f t="shared" si="287"/>
        <v>65650.358553026424</v>
      </c>
      <c r="T4559" cm="1">
        <f t="array" ref="T4559">IF(OR(B4559="MAL ALIMI", B4559="ÜRETİM GİRİŞ"), MIN(I4559, MAX(0, I4559 + SUM(SUMIFS($I$1:I4558, $C$1:C4558, C4559, $B$1:B4558, {"MAL ALIMI","ÜRETİM GİRİŞ"})) - VLOOKUP(C4559, 'STOK RAPORU'!$C$2:$I$1000, 4, 0))), 0)</f>
        <v>0</v>
      </c>
      <c r="U4559" s="22">
        <f t="shared" si="284"/>
        <v>0</v>
      </c>
      <c r="V4559">
        <f t="shared" si="285"/>
        <v>0</v>
      </c>
      <c r="W4559" s="22">
        <f t="shared" si="286"/>
        <v>0</v>
      </c>
    </row>
    <row r="4560" spans="1:23" hidden="1" x14ac:dyDescent="0.25">
      <c r="A4560" s="45">
        <v>46076</v>
      </c>
      <c r="B4560" s="46" t="s">
        <v>334</v>
      </c>
      <c r="C4560" s="4" t="s">
        <v>1634</v>
      </c>
      <c r="D4560" s="4"/>
      <c r="E4560" s="4" t="s">
        <v>921</v>
      </c>
      <c r="F4560" s="46" t="s">
        <v>2247</v>
      </c>
      <c r="G4560" s="4" t="s">
        <v>336</v>
      </c>
      <c r="H4560" s="4" t="s">
        <v>380</v>
      </c>
      <c r="I4560" s="4">
        <v>0.5</v>
      </c>
      <c r="J4560" s="21">
        <v>300</v>
      </c>
      <c r="K4560" s="21">
        <v>150</v>
      </c>
      <c r="L4560" s="5">
        <v>0</v>
      </c>
      <c r="M4560" s="4"/>
      <c r="N4560" s="4"/>
      <c r="O4560" s="5"/>
      <c r="P4560" s="5"/>
      <c r="Q4560" s="21">
        <v>0</v>
      </c>
      <c r="R4560" s="21">
        <v>0</v>
      </c>
      <c r="S4560" s="5">
        <f t="shared" si="287"/>
        <v>65650.358553026424</v>
      </c>
      <c r="T4560" cm="1">
        <f t="array" ref="T4560">IF(OR(B4560="MAL ALIMI", B4560="ÜRETİM GİRİŞ"), MIN(I4560, MAX(0, I4560 + SUM(SUMIFS($I$1:I4559, $C$1:C4559, C4560, $B$1:B4559, {"MAL ALIMI","ÜRETİM GİRİŞ"})) - VLOOKUP(C4560, 'STOK RAPORU'!$C$2:$I$1000, 4, 0))), 0)</f>
        <v>0</v>
      </c>
      <c r="U4560" s="22">
        <f t="shared" si="284"/>
        <v>0</v>
      </c>
      <c r="V4560">
        <f t="shared" si="285"/>
        <v>0</v>
      </c>
      <c r="W4560" s="22">
        <f t="shared" si="286"/>
        <v>0</v>
      </c>
    </row>
    <row r="4561" spans="1:23" hidden="1" x14ac:dyDescent="0.25">
      <c r="A4561" s="45">
        <v>46076</v>
      </c>
      <c r="B4561" s="46" t="s">
        <v>334</v>
      </c>
      <c r="C4561" s="4" t="s">
        <v>253</v>
      </c>
      <c r="D4561" s="4"/>
      <c r="E4561" s="4" t="s">
        <v>921</v>
      </c>
      <c r="F4561" s="46" t="s">
        <v>2248</v>
      </c>
      <c r="G4561" s="4" t="s">
        <v>336</v>
      </c>
      <c r="H4561" s="4" t="s">
        <v>380</v>
      </c>
      <c r="I4561" s="4">
        <v>0.20833333333333334</v>
      </c>
      <c r="J4561" s="21">
        <v>240</v>
      </c>
      <c r="K4561" s="21">
        <v>50</v>
      </c>
      <c r="L4561" s="5">
        <v>0</v>
      </c>
      <c r="M4561" s="4"/>
      <c r="N4561" s="4"/>
      <c r="O4561" s="5"/>
      <c r="P4561" s="5"/>
      <c r="Q4561" s="21">
        <v>0</v>
      </c>
      <c r="R4561" s="21">
        <v>0</v>
      </c>
      <c r="S4561" s="5">
        <f t="shared" si="287"/>
        <v>65650.358553026424</v>
      </c>
      <c r="T4561" cm="1">
        <f t="array" ref="T4561">IF(OR(B4561="MAL ALIMI", B4561="ÜRETİM GİRİŞ"), MIN(I4561, MAX(0, I4561 + SUM(SUMIFS($I$1:I4560, $C$1:C4560, C4561, $B$1:B4560, {"MAL ALIMI","ÜRETİM GİRİŞ"})) - VLOOKUP(C4561, 'STOK RAPORU'!$C$2:$I$1000, 4, 0))), 0)</f>
        <v>0</v>
      </c>
      <c r="U4561" s="22">
        <f t="shared" si="284"/>
        <v>0</v>
      </c>
      <c r="V4561">
        <f t="shared" si="285"/>
        <v>0</v>
      </c>
      <c r="W4561" s="22">
        <f t="shared" si="286"/>
        <v>0</v>
      </c>
    </row>
    <row r="4562" spans="1:23" hidden="1" x14ac:dyDescent="0.25">
      <c r="A4562" s="45">
        <v>46076</v>
      </c>
      <c r="B4562" s="46" t="s">
        <v>334</v>
      </c>
      <c r="C4562" s="4" t="s">
        <v>529</v>
      </c>
      <c r="D4562" s="4"/>
      <c r="E4562" s="4" t="s">
        <v>921</v>
      </c>
      <c r="F4562" s="46" t="s">
        <v>2248</v>
      </c>
      <c r="G4562" s="4" t="s">
        <v>336</v>
      </c>
      <c r="H4562" s="4" t="s">
        <v>380</v>
      </c>
      <c r="I4562" s="4">
        <v>0.1</v>
      </c>
      <c r="J4562" s="21">
        <v>450</v>
      </c>
      <c r="K4562" s="21">
        <v>45</v>
      </c>
      <c r="L4562" s="5">
        <v>0</v>
      </c>
      <c r="M4562" s="4"/>
      <c r="N4562" s="4"/>
      <c r="O4562" s="5"/>
      <c r="P4562" s="5"/>
      <c r="Q4562" s="21">
        <v>0</v>
      </c>
      <c r="R4562" s="21">
        <v>0</v>
      </c>
      <c r="S4562" s="5">
        <f t="shared" si="287"/>
        <v>65650.358553026424</v>
      </c>
      <c r="T4562" cm="1">
        <f t="array" ref="T4562">IF(OR(B4562="MAL ALIMI", B4562="ÜRETİM GİRİŞ"), MIN(I4562, MAX(0, I4562 + SUM(SUMIFS($I$1:I4561, $C$1:C4561, C4562, $B$1:B4561, {"MAL ALIMI","ÜRETİM GİRİŞ"})) - VLOOKUP(C4562, 'STOK RAPORU'!$C$2:$I$1000, 4, 0))), 0)</f>
        <v>0</v>
      </c>
      <c r="U4562" s="22">
        <f t="shared" si="284"/>
        <v>0</v>
      </c>
      <c r="V4562">
        <f t="shared" si="285"/>
        <v>0</v>
      </c>
      <c r="W4562" s="22">
        <f t="shared" si="286"/>
        <v>0</v>
      </c>
    </row>
    <row r="4563" spans="1:23" hidden="1" x14ac:dyDescent="0.25">
      <c r="A4563" s="45">
        <v>46076</v>
      </c>
      <c r="B4563" s="46" t="s">
        <v>334</v>
      </c>
      <c r="C4563" s="4" t="s">
        <v>226</v>
      </c>
      <c r="D4563" s="4"/>
      <c r="E4563" s="4" t="s">
        <v>921</v>
      </c>
      <c r="F4563" s="46" t="s">
        <v>2249</v>
      </c>
      <c r="G4563" s="4" t="s">
        <v>336</v>
      </c>
      <c r="H4563" s="4" t="s">
        <v>380</v>
      </c>
      <c r="I4563" s="4">
        <v>0.22727272727272727</v>
      </c>
      <c r="J4563" s="21">
        <v>200</v>
      </c>
      <c r="K4563" s="21">
        <v>45.454545454545453</v>
      </c>
      <c r="L4563" s="5">
        <v>0</v>
      </c>
      <c r="M4563" s="4"/>
      <c r="N4563" s="4"/>
      <c r="O4563" s="5"/>
      <c r="P4563" s="5"/>
      <c r="Q4563" s="21">
        <v>0</v>
      </c>
      <c r="R4563" s="21">
        <v>0</v>
      </c>
      <c r="S4563" s="5">
        <f t="shared" si="287"/>
        <v>65650.358553026424</v>
      </c>
      <c r="T4563" cm="1">
        <f t="array" ref="T4563">IF(OR(B4563="MAL ALIMI", B4563="ÜRETİM GİRİŞ"), MIN(I4563, MAX(0, I4563 + SUM(SUMIFS($I$1:I4562, $C$1:C4562, C4563, $B$1:B4562, {"MAL ALIMI","ÜRETİM GİRİŞ"})) - VLOOKUP(C4563, 'STOK RAPORU'!$C$2:$I$1000, 4, 0))), 0)</f>
        <v>0</v>
      </c>
      <c r="U4563" s="22">
        <f t="shared" si="284"/>
        <v>0</v>
      </c>
      <c r="V4563">
        <f t="shared" si="285"/>
        <v>0</v>
      </c>
      <c r="W4563" s="22">
        <f t="shared" si="286"/>
        <v>0</v>
      </c>
    </row>
    <row r="4564" spans="1:23" hidden="1" x14ac:dyDescent="0.25">
      <c r="A4564" s="45">
        <v>46076</v>
      </c>
      <c r="B4564" s="46" t="s">
        <v>334</v>
      </c>
      <c r="C4564" s="4" t="s">
        <v>160</v>
      </c>
      <c r="D4564" s="4"/>
      <c r="E4564" s="4"/>
      <c r="F4564" s="46" t="s">
        <v>2249</v>
      </c>
      <c r="G4564" s="4" t="s">
        <v>336</v>
      </c>
      <c r="H4564" s="4" t="s">
        <v>289</v>
      </c>
      <c r="I4564" s="4">
        <v>0.5</v>
      </c>
      <c r="J4564" s="21">
        <v>250</v>
      </c>
      <c r="K4564" s="21">
        <v>0</v>
      </c>
      <c r="L4564" s="5">
        <v>0</v>
      </c>
      <c r="M4564" s="4"/>
      <c r="N4564" s="4"/>
      <c r="O4564" s="5"/>
      <c r="P4564" s="5"/>
      <c r="Q4564" s="21">
        <v>125</v>
      </c>
      <c r="R4564" s="21">
        <v>0</v>
      </c>
      <c r="S4564" s="5">
        <f t="shared" si="287"/>
        <v>65775.358553026424</v>
      </c>
      <c r="T4564" cm="1">
        <f t="array" ref="T4564">IF(OR(B4564="MAL ALIMI", B4564="ÜRETİM GİRİŞ"), MIN(I4564, MAX(0, I4564 + SUM(SUMIFS($I$1:I4563, $C$1:C4563, C4564, $B$1:B4563, {"MAL ALIMI","ÜRETİM GİRİŞ"})) - VLOOKUP(C4564, 'STOK RAPORU'!$C$2:$I$1000, 4, 0))), 0)</f>
        <v>0</v>
      </c>
      <c r="U4564" s="22">
        <f t="shared" si="284"/>
        <v>0</v>
      </c>
      <c r="V4564">
        <f t="shared" si="285"/>
        <v>0</v>
      </c>
      <c r="W4564" s="22">
        <f t="shared" si="286"/>
        <v>0</v>
      </c>
    </row>
    <row r="4565" spans="1:23" hidden="1" x14ac:dyDescent="0.25">
      <c r="A4565" s="45">
        <v>46076</v>
      </c>
      <c r="B4565" s="46" t="s">
        <v>334</v>
      </c>
      <c r="C4565" s="4" t="s">
        <v>161</v>
      </c>
      <c r="D4565" s="4"/>
      <c r="E4565" s="4"/>
      <c r="F4565" s="46" t="s">
        <v>2249</v>
      </c>
      <c r="G4565" s="4" t="s">
        <v>336</v>
      </c>
      <c r="H4565" s="4" t="s">
        <v>289</v>
      </c>
      <c r="I4565" s="4">
        <v>0.5</v>
      </c>
      <c r="J4565" s="21">
        <v>230</v>
      </c>
      <c r="K4565" s="21">
        <v>0</v>
      </c>
      <c r="L4565" s="5">
        <v>0</v>
      </c>
      <c r="M4565" s="4"/>
      <c r="N4565" s="4"/>
      <c r="O4565" s="5"/>
      <c r="P4565" s="5"/>
      <c r="Q4565" s="21">
        <v>115</v>
      </c>
      <c r="R4565" s="21">
        <v>0</v>
      </c>
      <c r="S4565" s="5">
        <f t="shared" si="287"/>
        <v>65890.358553026424</v>
      </c>
      <c r="T4565" cm="1">
        <f t="array" ref="T4565">IF(OR(B4565="MAL ALIMI", B4565="ÜRETİM GİRİŞ"), MIN(I4565, MAX(0, I4565 + SUM(SUMIFS($I$1:I4564, $C$1:C4564, C4565, $B$1:B4564, {"MAL ALIMI","ÜRETİM GİRİŞ"})) - VLOOKUP(C4565, 'STOK RAPORU'!$C$2:$I$1000, 4, 0))), 0)</f>
        <v>0</v>
      </c>
      <c r="U4565" s="22">
        <f t="shared" si="284"/>
        <v>0</v>
      </c>
      <c r="V4565">
        <f t="shared" si="285"/>
        <v>0</v>
      </c>
      <c r="W4565" s="22">
        <f t="shared" si="286"/>
        <v>0</v>
      </c>
    </row>
    <row r="4566" spans="1:23" hidden="1" x14ac:dyDescent="0.25">
      <c r="A4566" s="45">
        <v>46076</v>
      </c>
      <c r="B4566" s="46" t="s">
        <v>334</v>
      </c>
      <c r="C4566" s="4" t="s">
        <v>74</v>
      </c>
      <c r="D4566" s="4"/>
      <c r="E4566" s="4" t="s">
        <v>921</v>
      </c>
      <c r="F4566" s="46" t="s">
        <v>2250</v>
      </c>
      <c r="G4566" s="4" t="s">
        <v>336</v>
      </c>
      <c r="H4566" s="4" t="s">
        <v>380</v>
      </c>
      <c r="I4566" s="4">
        <v>0.05</v>
      </c>
      <c r="J4566" s="21">
        <v>1500</v>
      </c>
      <c r="K4566" s="21">
        <v>75</v>
      </c>
      <c r="L4566" s="5">
        <v>0</v>
      </c>
      <c r="M4566" s="4"/>
      <c r="N4566" s="4"/>
      <c r="O4566" s="5"/>
      <c r="P4566" s="5"/>
      <c r="Q4566" s="21">
        <v>0</v>
      </c>
      <c r="R4566" s="21">
        <v>0</v>
      </c>
      <c r="S4566" s="5">
        <f t="shared" si="287"/>
        <v>65890.358553026424</v>
      </c>
      <c r="T4566" cm="1">
        <f t="array" ref="T4566">IF(OR(B4566="MAL ALIMI", B4566="ÜRETİM GİRİŞ"), MIN(I4566, MAX(0, I4566 + SUM(SUMIFS($I$1:I4565, $C$1:C4565, C4566, $B$1:B4565, {"MAL ALIMI","ÜRETİM GİRİŞ"})) - VLOOKUP(C4566, 'STOK RAPORU'!$C$2:$I$1000, 4, 0))), 0)</f>
        <v>0</v>
      </c>
      <c r="U4566" s="22">
        <f t="shared" si="284"/>
        <v>0</v>
      </c>
      <c r="V4566">
        <f t="shared" si="285"/>
        <v>0</v>
      </c>
      <c r="W4566" s="22">
        <f t="shared" si="286"/>
        <v>0</v>
      </c>
    </row>
    <row r="4567" spans="1:23" hidden="1" x14ac:dyDescent="0.25">
      <c r="A4567" s="45">
        <v>46076</v>
      </c>
      <c r="B4567" s="46" t="s">
        <v>334</v>
      </c>
      <c r="C4567" s="4" t="s">
        <v>529</v>
      </c>
      <c r="D4567" s="4"/>
      <c r="E4567" s="4" t="s">
        <v>921</v>
      </c>
      <c r="F4567" s="46" t="s">
        <v>2251</v>
      </c>
      <c r="G4567" s="4" t="s">
        <v>336</v>
      </c>
      <c r="H4567" s="4" t="s">
        <v>380</v>
      </c>
      <c r="I4567" s="4">
        <v>0.26200000000000001</v>
      </c>
      <c r="J4567" s="21">
        <v>500</v>
      </c>
      <c r="K4567" s="21">
        <v>131</v>
      </c>
      <c r="L4567" s="5">
        <v>0</v>
      </c>
      <c r="M4567" s="4"/>
      <c r="N4567" s="4"/>
      <c r="O4567" s="5"/>
      <c r="P4567" s="5"/>
      <c r="Q4567" s="21">
        <v>0</v>
      </c>
      <c r="R4567" s="21">
        <v>0</v>
      </c>
      <c r="S4567" s="5">
        <f t="shared" si="287"/>
        <v>65890.358553026424</v>
      </c>
      <c r="T4567" cm="1">
        <f t="array" ref="T4567">IF(OR(B4567="MAL ALIMI", B4567="ÜRETİM GİRİŞ"), MIN(I4567, MAX(0, I4567 + SUM(SUMIFS($I$1:I4566, $C$1:C4566, C4567, $B$1:B4566, {"MAL ALIMI","ÜRETİM GİRİŞ"})) - VLOOKUP(C4567, 'STOK RAPORU'!$C$2:$I$1000, 4, 0))), 0)</f>
        <v>0</v>
      </c>
      <c r="U4567" s="22">
        <f t="shared" si="284"/>
        <v>0</v>
      </c>
      <c r="V4567">
        <f t="shared" si="285"/>
        <v>0</v>
      </c>
      <c r="W4567" s="22">
        <f t="shared" si="286"/>
        <v>0</v>
      </c>
    </row>
    <row r="4568" spans="1:23" hidden="1" x14ac:dyDescent="0.25">
      <c r="A4568" s="45">
        <v>46076</v>
      </c>
      <c r="B4568" s="46" t="s">
        <v>334</v>
      </c>
      <c r="C4568" s="4" t="s">
        <v>523</v>
      </c>
      <c r="D4568" s="4"/>
      <c r="E4568" s="4" t="s">
        <v>921</v>
      </c>
      <c r="F4568" s="46" t="s">
        <v>2251</v>
      </c>
      <c r="G4568" s="4" t="s">
        <v>336</v>
      </c>
      <c r="H4568" s="4" t="s">
        <v>380</v>
      </c>
      <c r="I4568" s="4">
        <v>0.1</v>
      </c>
      <c r="J4568" s="21">
        <v>650</v>
      </c>
      <c r="K4568" s="21">
        <v>65</v>
      </c>
      <c r="L4568" s="5">
        <v>0</v>
      </c>
      <c r="M4568" s="4"/>
      <c r="N4568" s="4"/>
      <c r="O4568" s="5"/>
      <c r="P4568" s="5"/>
      <c r="Q4568" s="21">
        <v>0</v>
      </c>
      <c r="R4568" s="21">
        <v>0</v>
      </c>
      <c r="S4568" s="5">
        <f t="shared" si="287"/>
        <v>65890.358553026424</v>
      </c>
      <c r="T4568" cm="1">
        <f t="array" ref="T4568">IF(OR(B4568="MAL ALIMI", B4568="ÜRETİM GİRİŞ"), MIN(I4568, MAX(0, I4568 + SUM(SUMIFS($I$1:I4567, $C$1:C4567, C4568, $B$1:B4567, {"MAL ALIMI","ÜRETİM GİRİŞ"})) - VLOOKUP(C4568, 'STOK RAPORU'!$C$2:$I$1000, 4, 0))), 0)</f>
        <v>0</v>
      </c>
      <c r="U4568" s="22">
        <f t="shared" si="284"/>
        <v>0</v>
      </c>
      <c r="V4568">
        <f t="shared" si="285"/>
        <v>0</v>
      </c>
      <c r="W4568" s="22">
        <f t="shared" si="286"/>
        <v>0</v>
      </c>
    </row>
    <row r="4569" spans="1:23" hidden="1" x14ac:dyDescent="0.25">
      <c r="A4569" s="45">
        <v>46076</v>
      </c>
      <c r="B4569" s="46" t="s">
        <v>334</v>
      </c>
      <c r="C4569" s="4" t="s">
        <v>1360</v>
      </c>
      <c r="D4569" s="4"/>
      <c r="E4569" s="4"/>
      <c r="F4569" s="46" t="s">
        <v>2252</v>
      </c>
      <c r="G4569" s="4" t="s">
        <v>336</v>
      </c>
      <c r="H4569" s="4" t="s">
        <v>289</v>
      </c>
      <c r="I4569" s="4">
        <v>0.25</v>
      </c>
      <c r="J4569" s="21">
        <v>400</v>
      </c>
      <c r="K4569" s="21">
        <v>0</v>
      </c>
      <c r="L4569" s="5">
        <v>0</v>
      </c>
      <c r="M4569" s="4"/>
      <c r="N4569" s="4"/>
      <c r="O4569" s="5"/>
      <c r="P4569" s="5"/>
      <c r="Q4569" s="21">
        <v>100</v>
      </c>
      <c r="R4569" s="21">
        <v>0</v>
      </c>
      <c r="S4569" s="5">
        <f t="shared" si="287"/>
        <v>65990.358553026424</v>
      </c>
      <c r="T4569" cm="1">
        <f t="array" ref="T4569">IF(OR(B4569="MAL ALIMI", B4569="ÜRETİM GİRİŞ"), MIN(I4569, MAX(0, I4569 + SUM(SUMIFS($I$1:I4568, $C$1:C4568, C4569, $B$1:B4568, {"MAL ALIMI","ÜRETİM GİRİŞ"})) - VLOOKUP(C4569, 'STOK RAPORU'!$C$2:$I$1000, 4, 0))), 0)</f>
        <v>0</v>
      </c>
      <c r="U4569" s="22">
        <f t="shared" si="284"/>
        <v>0</v>
      </c>
      <c r="V4569">
        <f t="shared" si="285"/>
        <v>0</v>
      </c>
      <c r="W4569" s="22">
        <f t="shared" si="286"/>
        <v>0</v>
      </c>
    </row>
    <row r="4570" spans="1:23" hidden="1" x14ac:dyDescent="0.25">
      <c r="A4570" s="45">
        <v>46076</v>
      </c>
      <c r="B4570" s="46" t="s">
        <v>334</v>
      </c>
      <c r="C4570" s="4" t="s">
        <v>463</v>
      </c>
      <c r="D4570" s="4"/>
      <c r="E4570" s="4" t="s">
        <v>921</v>
      </c>
      <c r="F4570" s="46" t="s">
        <v>2253</v>
      </c>
      <c r="G4570" s="4" t="s">
        <v>336</v>
      </c>
      <c r="H4570" s="4" t="s">
        <v>380</v>
      </c>
      <c r="I4570" s="4">
        <v>0.13500000000000001</v>
      </c>
      <c r="J4570" s="21">
        <v>400</v>
      </c>
      <c r="K4570" s="21">
        <v>54</v>
      </c>
      <c r="L4570" s="5">
        <v>0</v>
      </c>
      <c r="M4570" s="4"/>
      <c r="N4570" s="4"/>
      <c r="O4570" s="5"/>
      <c r="P4570" s="5"/>
      <c r="Q4570" s="21">
        <v>0</v>
      </c>
      <c r="R4570" s="21">
        <v>0</v>
      </c>
      <c r="S4570" s="5">
        <f t="shared" si="287"/>
        <v>65990.358553026424</v>
      </c>
      <c r="T4570" cm="1">
        <f t="array" ref="T4570">IF(OR(B4570="MAL ALIMI", B4570="ÜRETİM GİRİŞ"), MIN(I4570, MAX(0, I4570 + SUM(SUMIFS($I$1:I4569, $C$1:C4569, C4570, $B$1:B4569, {"MAL ALIMI","ÜRETİM GİRİŞ"})) - VLOOKUP(C4570, 'STOK RAPORU'!$C$2:$I$1000, 4, 0))), 0)</f>
        <v>0</v>
      </c>
      <c r="U4570" s="22">
        <f t="shared" si="284"/>
        <v>0</v>
      </c>
      <c r="V4570">
        <f t="shared" si="285"/>
        <v>0</v>
      </c>
      <c r="W4570" s="22">
        <f t="shared" si="286"/>
        <v>0</v>
      </c>
    </row>
    <row r="4571" spans="1:23" hidden="1" x14ac:dyDescent="0.25">
      <c r="A4571" s="45">
        <v>46076</v>
      </c>
      <c r="B4571" s="46" t="s">
        <v>334</v>
      </c>
      <c r="C4571" s="4" t="s">
        <v>129</v>
      </c>
      <c r="D4571" s="4"/>
      <c r="E4571" s="4" t="s">
        <v>921</v>
      </c>
      <c r="F4571" s="46" t="s">
        <v>2253</v>
      </c>
      <c r="G4571" s="4" t="s">
        <v>336</v>
      </c>
      <c r="H4571" s="4" t="s">
        <v>380</v>
      </c>
      <c r="I4571" s="4">
        <v>0.09</v>
      </c>
      <c r="J4571" s="21">
        <v>400</v>
      </c>
      <c r="K4571" s="21">
        <v>36</v>
      </c>
      <c r="L4571" s="5">
        <v>0</v>
      </c>
      <c r="M4571" s="4"/>
      <c r="N4571" s="4"/>
      <c r="O4571" s="5"/>
      <c r="P4571" s="5"/>
      <c r="Q4571" s="21">
        <v>0</v>
      </c>
      <c r="R4571" s="21">
        <v>0</v>
      </c>
      <c r="S4571" s="5">
        <f t="shared" si="287"/>
        <v>65990.358553026424</v>
      </c>
      <c r="T4571" cm="1">
        <f t="array" ref="T4571">IF(OR(B4571="MAL ALIMI", B4571="ÜRETİM GİRİŞ"), MIN(I4571, MAX(0, I4571 + SUM(SUMIFS($I$1:I4570, $C$1:C4570, C4571, $B$1:B4570, {"MAL ALIMI","ÜRETİM GİRİŞ"})) - VLOOKUP(C4571, 'STOK RAPORU'!$C$2:$I$1000, 4, 0))), 0)</f>
        <v>0</v>
      </c>
      <c r="U4571" s="22">
        <f t="shared" si="284"/>
        <v>0</v>
      </c>
      <c r="V4571">
        <f t="shared" si="285"/>
        <v>0</v>
      </c>
      <c r="W4571" s="22">
        <f t="shared" si="286"/>
        <v>0</v>
      </c>
    </row>
    <row r="4572" spans="1:23" hidden="1" x14ac:dyDescent="0.25">
      <c r="A4572" s="45">
        <v>46076</v>
      </c>
      <c r="B4572" s="46" t="s">
        <v>334</v>
      </c>
      <c r="C4572" s="4" t="s">
        <v>161</v>
      </c>
      <c r="D4572" s="4"/>
      <c r="E4572" s="4" t="s">
        <v>921</v>
      </c>
      <c r="F4572" s="46" t="s">
        <v>2253</v>
      </c>
      <c r="G4572" s="4" t="s">
        <v>336</v>
      </c>
      <c r="H4572" s="4" t="s">
        <v>380</v>
      </c>
      <c r="I4572" s="4">
        <v>1</v>
      </c>
      <c r="J4572" s="21">
        <v>230</v>
      </c>
      <c r="K4572" s="21">
        <v>230</v>
      </c>
      <c r="L4572" s="5">
        <v>0</v>
      </c>
      <c r="M4572" s="4"/>
      <c r="N4572" s="4"/>
      <c r="O4572" s="5"/>
      <c r="P4572" s="5"/>
      <c r="Q4572" s="21">
        <v>0</v>
      </c>
      <c r="R4572" s="21">
        <v>0</v>
      </c>
      <c r="S4572" s="5">
        <f t="shared" si="287"/>
        <v>65990.358553026424</v>
      </c>
      <c r="T4572" cm="1">
        <f t="array" ref="T4572">IF(OR(B4572="MAL ALIMI", B4572="ÜRETİM GİRİŞ"), MIN(I4572, MAX(0, I4572 + SUM(SUMIFS($I$1:I4571, $C$1:C4571, C4572, $B$1:B4571, {"MAL ALIMI","ÜRETİM GİRİŞ"})) - VLOOKUP(C4572, 'STOK RAPORU'!$C$2:$I$1000, 4, 0))), 0)</f>
        <v>0</v>
      </c>
      <c r="U4572" s="22">
        <f t="shared" si="284"/>
        <v>0</v>
      </c>
      <c r="V4572">
        <f t="shared" si="285"/>
        <v>0</v>
      </c>
      <c r="W4572" s="22">
        <f t="shared" si="286"/>
        <v>0</v>
      </c>
    </row>
    <row r="4573" spans="1:23" hidden="1" x14ac:dyDescent="0.25">
      <c r="A4573" s="45">
        <v>46076</v>
      </c>
      <c r="B4573" s="46" t="s">
        <v>334</v>
      </c>
      <c r="C4573" s="4" t="s">
        <v>1501</v>
      </c>
      <c r="D4573" s="4"/>
      <c r="E4573" s="4" t="s">
        <v>921</v>
      </c>
      <c r="F4573" s="46" t="s">
        <v>2253</v>
      </c>
      <c r="G4573" s="4" t="s">
        <v>336</v>
      </c>
      <c r="H4573" s="4" t="s">
        <v>380</v>
      </c>
      <c r="I4573" s="4">
        <v>0.16666666666666666</v>
      </c>
      <c r="J4573" s="21">
        <v>600</v>
      </c>
      <c r="K4573" s="21">
        <v>100</v>
      </c>
      <c r="L4573" s="5">
        <v>0</v>
      </c>
      <c r="M4573" s="4"/>
      <c r="N4573" s="4"/>
      <c r="O4573" s="5"/>
      <c r="P4573" s="5"/>
      <c r="Q4573" s="21">
        <v>0</v>
      </c>
      <c r="R4573" s="21">
        <v>0</v>
      </c>
      <c r="S4573" s="5">
        <f t="shared" si="287"/>
        <v>65990.358553026424</v>
      </c>
      <c r="T4573" cm="1">
        <f t="array" ref="T4573">IF(OR(B4573="MAL ALIMI", B4573="ÜRETİM GİRİŞ"), MIN(I4573, MAX(0, I4573 + SUM(SUMIFS($I$1:I4572, $C$1:C4572, C4573, $B$1:B4572, {"MAL ALIMI","ÜRETİM GİRİŞ"})) - VLOOKUP(C4573, 'STOK RAPORU'!$C$2:$I$1000, 4, 0))), 0)</f>
        <v>0</v>
      </c>
      <c r="U4573" s="22">
        <f t="shared" si="284"/>
        <v>0</v>
      </c>
      <c r="V4573">
        <f t="shared" si="285"/>
        <v>0</v>
      </c>
      <c r="W4573" s="22">
        <f t="shared" si="286"/>
        <v>0</v>
      </c>
    </row>
    <row r="4574" spans="1:23" hidden="1" x14ac:dyDescent="0.25">
      <c r="A4574" s="45">
        <v>46076</v>
      </c>
      <c r="B4574" s="46" t="s">
        <v>334</v>
      </c>
      <c r="C4574" s="4" t="s">
        <v>2126</v>
      </c>
      <c r="D4574" s="4"/>
      <c r="E4574" s="4" t="s">
        <v>921</v>
      </c>
      <c r="F4574" s="46" t="s">
        <v>2254</v>
      </c>
      <c r="G4574" s="4" t="s">
        <v>336</v>
      </c>
      <c r="H4574" s="4" t="s">
        <v>380</v>
      </c>
      <c r="I4574" s="4">
        <v>0.8783783783783784</v>
      </c>
      <c r="J4574" s="21">
        <v>370</v>
      </c>
      <c r="K4574" s="21">
        <v>325</v>
      </c>
      <c r="L4574" s="5">
        <v>0</v>
      </c>
      <c r="M4574" s="4"/>
      <c r="N4574" s="4"/>
      <c r="O4574" s="5"/>
      <c r="P4574" s="5"/>
      <c r="Q4574" s="21">
        <v>0</v>
      </c>
      <c r="R4574" s="21">
        <v>0</v>
      </c>
      <c r="S4574" s="5">
        <f t="shared" si="287"/>
        <v>65990.358553026424</v>
      </c>
      <c r="T4574" cm="1">
        <f t="array" ref="T4574">IF(OR(B4574="MAL ALIMI", B4574="ÜRETİM GİRİŞ"), MIN(I4574, MAX(0, I4574 + SUM(SUMIFS($I$1:I4573, $C$1:C4573, C4574, $B$1:B4573, {"MAL ALIMI","ÜRETİM GİRİŞ"})) - VLOOKUP(C4574, 'STOK RAPORU'!$C$2:$I$1000, 4, 0))), 0)</f>
        <v>0</v>
      </c>
      <c r="U4574" s="22">
        <f t="shared" si="284"/>
        <v>0</v>
      </c>
      <c r="V4574">
        <f t="shared" si="285"/>
        <v>0</v>
      </c>
      <c r="W4574" s="22">
        <f t="shared" si="286"/>
        <v>0</v>
      </c>
    </row>
    <row r="4575" spans="1:23" hidden="1" x14ac:dyDescent="0.25">
      <c r="A4575" s="45">
        <v>46076</v>
      </c>
      <c r="B4575" s="46" t="s">
        <v>334</v>
      </c>
      <c r="C4575" s="4" t="s">
        <v>3167</v>
      </c>
      <c r="D4575" s="4"/>
      <c r="E4575" s="4"/>
      <c r="F4575" s="46" t="s">
        <v>2255</v>
      </c>
      <c r="G4575" s="4" t="s">
        <v>336</v>
      </c>
      <c r="H4575" s="4" t="s">
        <v>289</v>
      </c>
      <c r="I4575" s="4">
        <v>7.567567567567568E-2</v>
      </c>
      <c r="J4575" s="21">
        <v>370</v>
      </c>
      <c r="K4575" s="21">
        <v>0</v>
      </c>
      <c r="L4575" s="5">
        <v>0</v>
      </c>
      <c r="M4575" s="4"/>
      <c r="N4575" s="4"/>
      <c r="O4575" s="5"/>
      <c r="P4575" s="5"/>
      <c r="Q4575" s="21">
        <v>28</v>
      </c>
      <c r="R4575" s="21">
        <v>0</v>
      </c>
      <c r="S4575" s="5">
        <f t="shared" si="287"/>
        <v>66018.358553026424</v>
      </c>
      <c r="T4575" cm="1">
        <f t="array" ref="T4575">IF(OR(B4575="MAL ALIMI", B4575="ÜRETİM GİRİŞ"), MIN(I4575, MAX(0, I4575 + SUM(SUMIFS($I$1:I4574, $C$1:C4574, C4575, $B$1:B4574, {"MAL ALIMI","ÜRETİM GİRİŞ"})) - VLOOKUP(C4575, 'STOK RAPORU'!$C$2:$I$1000, 4, 0))), 0)</f>
        <v>0</v>
      </c>
      <c r="U4575" s="22">
        <f t="shared" si="284"/>
        <v>0</v>
      </c>
      <c r="V4575">
        <f t="shared" si="285"/>
        <v>0</v>
      </c>
      <c r="W4575" s="22">
        <f t="shared" si="286"/>
        <v>0</v>
      </c>
    </row>
    <row r="4576" spans="1:23" hidden="1" x14ac:dyDescent="0.25">
      <c r="A4576" s="45">
        <v>46076</v>
      </c>
      <c r="B4576" s="46" t="s">
        <v>334</v>
      </c>
      <c r="C4576" s="4" t="s">
        <v>266</v>
      </c>
      <c r="D4576" s="4"/>
      <c r="E4576" s="4"/>
      <c r="F4576" s="46" t="s">
        <v>2256</v>
      </c>
      <c r="G4576" s="4" t="s">
        <v>336</v>
      </c>
      <c r="H4576" s="4" t="s">
        <v>289</v>
      </c>
      <c r="I4576" s="4">
        <v>1</v>
      </c>
      <c r="J4576" s="21">
        <v>250</v>
      </c>
      <c r="K4576" s="21">
        <v>0</v>
      </c>
      <c r="L4576" s="5">
        <v>0</v>
      </c>
      <c r="M4576" s="4"/>
      <c r="N4576" s="4"/>
      <c r="O4576" s="5"/>
      <c r="P4576" s="5"/>
      <c r="Q4576" s="21">
        <v>250</v>
      </c>
      <c r="R4576" s="21">
        <v>0</v>
      </c>
      <c r="S4576" s="5">
        <f t="shared" si="287"/>
        <v>66268.358553026424</v>
      </c>
      <c r="T4576" cm="1">
        <f t="array" ref="T4576">IF(OR(B4576="MAL ALIMI", B4576="ÜRETİM GİRİŞ"), MIN(I4576, MAX(0, I4576 + SUM(SUMIFS($I$1:I4575, $C$1:C4575, C4576, $B$1:B4575, {"MAL ALIMI","ÜRETİM GİRİŞ"})) - VLOOKUP(C4576, 'STOK RAPORU'!$C$2:$I$1000, 4, 0))), 0)</f>
        <v>0</v>
      </c>
      <c r="U4576" s="22">
        <f t="shared" si="284"/>
        <v>0</v>
      </c>
      <c r="V4576">
        <f t="shared" si="285"/>
        <v>0</v>
      </c>
      <c r="W4576" s="22">
        <f t="shared" si="286"/>
        <v>0</v>
      </c>
    </row>
    <row r="4577" spans="1:23" hidden="1" x14ac:dyDescent="0.25">
      <c r="A4577" s="45">
        <v>46076</v>
      </c>
      <c r="B4577" s="46" t="s">
        <v>298</v>
      </c>
      <c r="C4577" s="4" t="s">
        <v>835</v>
      </c>
      <c r="D4577" s="4"/>
      <c r="E4577" s="4" t="s">
        <v>836</v>
      </c>
      <c r="F4577" s="4"/>
      <c r="G4577" s="4" t="s">
        <v>2246</v>
      </c>
      <c r="H4577" s="4" t="s">
        <v>304</v>
      </c>
      <c r="I4577" s="4">
        <v>12</v>
      </c>
      <c r="J4577" s="21">
        <v>60</v>
      </c>
      <c r="K4577" s="21">
        <v>0</v>
      </c>
      <c r="L4577" s="5">
        <v>720</v>
      </c>
      <c r="M4577" s="4"/>
      <c r="N4577" s="4"/>
      <c r="O4577" s="5"/>
      <c r="P4577" s="5"/>
      <c r="Q4577" s="21">
        <v>0</v>
      </c>
      <c r="R4577" s="21">
        <v>0</v>
      </c>
      <c r="S4577" s="5">
        <f t="shared" si="287"/>
        <v>66268.358553026424</v>
      </c>
      <c r="T4577" cm="1">
        <f t="array" ref="T4577">IF(OR(B4577="MAL ALIMI", B4577="ÜRETİM GİRİŞ"), MIN(I4577, MAX(0, I4577 + SUM(SUMIFS($I$1:I4576, $C$1:C4576, C4577, $B$1:B4576, {"MAL ALIMI","ÜRETİM GİRİŞ"})) - VLOOKUP(C4577, 'STOK RAPORU'!$C$2:$I$1000, 4, 0))), 0)</f>
        <v>6</v>
      </c>
      <c r="U4577" s="22">
        <f t="shared" si="284"/>
        <v>360</v>
      </c>
      <c r="V4577">
        <f t="shared" si="285"/>
        <v>720</v>
      </c>
      <c r="W4577" s="22">
        <f t="shared" si="286"/>
        <v>360</v>
      </c>
    </row>
    <row r="4578" spans="1:23" hidden="1" x14ac:dyDescent="0.25">
      <c r="A4578" s="45">
        <v>46076</v>
      </c>
      <c r="B4578" s="46" t="s">
        <v>298</v>
      </c>
      <c r="C4578" s="4" t="s">
        <v>822</v>
      </c>
      <c r="D4578" s="4"/>
      <c r="E4578" s="4" t="s">
        <v>836</v>
      </c>
      <c r="F4578" s="4"/>
      <c r="G4578" s="4" t="s">
        <v>2246</v>
      </c>
      <c r="H4578" s="4" t="s">
        <v>304</v>
      </c>
      <c r="I4578" s="4">
        <v>12</v>
      </c>
      <c r="J4578" s="21">
        <v>90</v>
      </c>
      <c r="K4578" s="21">
        <v>0</v>
      </c>
      <c r="L4578" s="5">
        <v>1080</v>
      </c>
      <c r="M4578" s="4"/>
      <c r="N4578" s="4"/>
      <c r="O4578" s="5"/>
      <c r="P4578" s="5"/>
      <c r="Q4578" s="21">
        <v>0</v>
      </c>
      <c r="R4578" s="21">
        <v>0</v>
      </c>
      <c r="S4578" s="5">
        <f t="shared" si="287"/>
        <v>66268.358553026424</v>
      </c>
      <c r="T4578" cm="1">
        <f t="array" ref="T4578">IF(OR(B4578="MAL ALIMI", B4578="ÜRETİM GİRİŞ"), MIN(I4578, MAX(0, I4578 + SUM(SUMIFS($I$1:I4577, $C$1:C4577, C4578, $B$1:B4577, {"MAL ALIMI","ÜRETİM GİRİŞ"})) - VLOOKUP(C4578, 'STOK RAPORU'!$C$2:$I$1000, 4, 0))), 0)</f>
        <v>11</v>
      </c>
      <c r="U4578" s="22">
        <f t="shared" si="284"/>
        <v>990</v>
      </c>
      <c r="V4578">
        <f t="shared" si="285"/>
        <v>1080</v>
      </c>
      <c r="W4578" s="22">
        <f t="shared" si="286"/>
        <v>90</v>
      </c>
    </row>
    <row r="4579" spans="1:23" hidden="1" x14ac:dyDescent="0.25">
      <c r="A4579" s="45">
        <v>46076</v>
      </c>
      <c r="B4579" s="46" t="s">
        <v>298</v>
      </c>
      <c r="C4579" s="4" t="s">
        <v>2241</v>
      </c>
      <c r="D4579" s="4"/>
      <c r="E4579" s="4" t="s">
        <v>836</v>
      </c>
      <c r="F4579" s="4"/>
      <c r="G4579" s="4" t="s">
        <v>2246</v>
      </c>
      <c r="H4579" s="4" t="s">
        <v>304</v>
      </c>
      <c r="I4579" s="4">
        <v>6</v>
      </c>
      <c r="J4579" s="21">
        <v>45</v>
      </c>
      <c r="K4579" s="21">
        <v>0</v>
      </c>
      <c r="L4579" s="5">
        <v>270</v>
      </c>
      <c r="M4579" s="4"/>
      <c r="N4579" s="4"/>
      <c r="O4579" s="5"/>
      <c r="P4579" s="5"/>
      <c r="Q4579" s="21">
        <v>0</v>
      </c>
      <c r="R4579" s="21">
        <v>0</v>
      </c>
      <c r="S4579" s="5">
        <f t="shared" si="287"/>
        <v>66268.358553026424</v>
      </c>
      <c r="T4579" cm="1">
        <f t="array" ref="T4579">IF(OR(B4579="MAL ALIMI", B4579="ÜRETİM GİRİŞ"), MIN(I4579, MAX(0, I4579 + SUM(SUMIFS($I$1:I4578, $C$1:C4578, C4579, $B$1:B4578, {"MAL ALIMI","ÜRETİM GİRİŞ"})) - VLOOKUP(C4579, 'STOK RAPORU'!$C$2:$I$1000, 4, 0))), 0)</f>
        <v>3</v>
      </c>
      <c r="U4579" s="22">
        <f t="shared" si="284"/>
        <v>135</v>
      </c>
      <c r="V4579">
        <f t="shared" si="285"/>
        <v>270</v>
      </c>
      <c r="W4579" s="22">
        <f t="shared" si="286"/>
        <v>135</v>
      </c>
    </row>
    <row r="4580" spans="1:23" hidden="1" x14ac:dyDescent="0.25">
      <c r="A4580" s="45">
        <v>46076</v>
      </c>
      <c r="B4580" s="46" t="s">
        <v>298</v>
      </c>
      <c r="C4580" s="4" t="s">
        <v>2240</v>
      </c>
      <c r="D4580" s="4"/>
      <c r="E4580" s="4" t="s">
        <v>836</v>
      </c>
      <c r="F4580" s="4"/>
      <c r="G4580" s="4" t="s">
        <v>2246</v>
      </c>
      <c r="H4580" s="4" t="s">
        <v>304</v>
      </c>
      <c r="I4580" s="4">
        <v>6</v>
      </c>
      <c r="J4580" s="21">
        <v>60</v>
      </c>
      <c r="K4580" s="21">
        <v>0</v>
      </c>
      <c r="L4580" s="5">
        <v>360</v>
      </c>
      <c r="M4580" s="4"/>
      <c r="N4580" s="4"/>
      <c r="O4580" s="5"/>
      <c r="P4580" s="5"/>
      <c r="Q4580" s="21">
        <v>0</v>
      </c>
      <c r="R4580" s="21">
        <v>0</v>
      </c>
      <c r="S4580" s="5">
        <f t="shared" si="287"/>
        <v>66268.358553026424</v>
      </c>
      <c r="T4580" cm="1">
        <f t="array" ref="T4580">IF(OR(B4580="MAL ALIMI", B4580="ÜRETİM GİRİŞ"), MIN(I4580, MAX(0, I4580 + SUM(SUMIFS($I$1:I4579, $C$1:C4579, C4580, $B$1:B4579, {"MAL ALIMI","ÜRETİM GİRİŞ"})) - VLOOKUP(C4580, 'STOK RAPORU'!$C$2:$I$1000, 4, 0))), 0)</f>
        <v>4</v>
      </c>
      <c r="U4580" s="22">
        <f t="shared" si="284"/>
        <v>240</v>
      </c>
      <c r="V4580">
        <f t="shared" si="285"/>
        <v>360</v>
      </c>
      <c r="W4580" s="22">
        <f t="shared" si="286"/>
        <v>120</v>
      </c>
    </row>
    <row r="4581" spans="1:23" hidden="1" x14ac:dyDescent="0.25">
      <c r="A4581" s="3">
        <v>46076</v>
      </c>
      <c r="B4581" s="4" t="s">
        <v>917</v>
      </c>
      <c r="C4581" s="4"/>
      <c r="D4581" s="4"/>
      <c r="E4581" s="4" t="s">
        <v>855</v>
      </c>
      <c r="F4581" s="4"/>
      <c r="G4581" s="4" t="s">
        <v>2286</v>
      </c>
      <c r="H4581" s="4" t="s">
        <v>289</v>
      </c>
      <c r="I4581" s="4">
        <v>1</v>
      </c>
      <c r="J4581" s="21">
        <v>0</v>
      </c>
      <c r="K4581" s="21">
        <v>20000</v>
      </c>
      <c r="L4581" s="5">
        <v>0</v>
      </c>
      <c r="M4581" s="4"/>
      <c r="N4581" s="4"/>
      <c r="O4581" s="5"/>
      <c r="P4581" s="5"/>
      <c r="Q4581" s="21">
        <v>0</v>
      </c>
      <c r="R4581" s="21">
        <v>20000</v>
      </c>
      <c r="S4581" s="5">
        <f t="shared" si="287"/>
        <v>46268.358553026424</v>
      </c>
      <c r="T4581" cm="1">
        <f t="array" ref="T4581">IF(OR(B4581="MAL ALIMI", B4581="ÜRETİM GİRİŞ"), MIN(I4581, MAX(0, I4581 + SUM(SUMIFS($I$1:I4580, $C$1:C4580, C4581, $B$1:B4580, {"MAL ALIMI","ÜRETİM GİRİŞ"})) - VLOOKUP(C4581, 'STOK RAPORU'!$C$2:$I$1000, 4, 0))), 0)</f>
        <v>0</v>
      </c>
      <c r="U4581" s="22">
        <f t="shared" si="284"/>
        <v>0</v>
      </c>
      <c r="V4581">
        <f t="shared" si="285"/>
        <v>0</v>
      </c>
      <c r="W4581" s="22">
        <f t="shared" si="286"/>
        <v>0</v>
      </c>
    </row>
    <row r="4582" spans="1:23" hidden="1" x14ac:dyDescent="0.25">
      <c r="A4582" s="3">
        <v>46076</v>
      </c>
      <c r="B4582" s="4" t="s">
        <v>298</v>
      </c>
      <c r="C4582" s="4" t="s">
        <v>196</v>
      </c>
      <c r="D4582" s="4"/>
      <c r="E4582" s="4" t="s">
        <v>2381</v>
      </c>
      <c r="F4582" s="4"/>
      <c r="G4582" s="4" t="s">
        <v>2381</v>
      </c>
      <c r="H4582" s="4" t="s">
        <v>304</v>
      </c>
      <c r="I4582" s="4">
        <v>1</v>
      </c>
      <c r="J4582" s="21">
        <v>90.9</v>
      </c>
      <c r="K4582" s="21">
        <v>0</v>
      </c>
      <c r="L4582" s="5">
        <v>90.9</v>
      </c>
      <c r="M4582" s="4"/>
      <c r="N4582" s="4"/>
      <c r="O4582" s="5"/>
      <c r="P4582" s="5"/>
      <c r="Q4582" s="21">
        <v>0</v>
      </c>
      <c r="R4582" s="21">
        <v>0</v>
      </c>
      <c r="S4582" s="5">
        <f t="shared" si="287"/>
        <v>46268.358553026424</v>
      </c>
      <c r="T4582" cm="1">
        <f t="array" ref="T4582">IF(OR(B4582="MAL ALIMI", B4582="ÜRETİM GİRİŞ"), MIN(I4582, MAX(0, I4582 + SUM(SUMIFS($I$1:I4581, $C$1:C4581, C4582, $B$1:B4581, {"MAL ALIMI","ÜRETİM GİRİŞ"})) - VLOOKUP(C4582, 'STOK RAPORU'!$C$2:$I$1000, 4, 0))), 0)</f>
        <v>0</v>
      </c>
      <c r="U4582" s="22">
        <f t="shared" si="284"/>
        <v>0</v>
      </c>
      <c r="V4582">
        <f t="shared" si="285"/>
        <v>90.9</v>
      </c>
      <c r="W4582" s="22">
        <f t="shared" si="286"/>
        <v>90.9</v>
      </c>
    </row>
    <row r="4583" spans="1:23" hidden="1" x14ac:dyDescent="0.25">
      <c r="A4583" s="3">
        <v>46076</v>
      </c>
      <c r="B4583" s="4" t="s">
        <v>298</v>
      </c>
      <c r="C4583" s="4" t="s">
        <v>197</v>
      </c>
      <c r="D4583" s="4"/>
      <c r="E4583" s="4" t="s">
        <v>2381</v>
      </c>
      <c r="F4583" s="4"/>
      <c r="G4583" s="4" t="s">
        <v>2381</v>
      </c>
      <c r="H4583" s="4" t="s">
        <v>304</v>
      </c>
      <c r="I4583" s="4">
        <v>1</v>
      </c>
      <c r="J4583" s="21">
        <v>90.9</v>
      </c>
      <c r="K4583" s="21">
        <v>0</v>
      </c>
      <c r="L4583" s="5">
        <v>90.9</v>
      </c>
      <c r="M4583" s="4"/>
      <c r="N4583" s="4"/>
      <c r="O4583" s="5"/>
      <c r="P4583" s="5"/>
      <c r="Q4583" s="21">
        <v>0</v>
      </c>
      <c r="R4583" s="21">
        <v>0</v>
      </c>
      <c r="S4583" s="5">
        <f t="shared" si="287"/>
        <v>46268.358553026424</v>
      </c>
      <c r="T4583" cm="1">
        <f t="array" ref="T4583">IF(OR(B4583="MAL ALIMI", B4583="ÜRETİM GİRİŞ"), MIN(I4583, MAX(0, I4583 + SUM(SUMIFS($I$1:I4582, $C$1:C4582, C4583, $B$1:B4582, {"MAL ALIMI","ÜRETİM GİRİŞ"})) - VLOOKUP(C4583, 'STOK RAPORU'!$C$2:$I$1000, 4, 0))), 0)</f>
        <v>1</v>
      </c>
      <c r="U4583" s="22">
        <f t="shared" si="284"/>
        <v>90.9</v>
      </c>
      <c r="V4583">
        <f t="shared" si="285"/>
        <v>90.9</v>
      </c>
      <c r="W4583" s="22">
        <f t="shared" si="286"/>
        <v>0</v>
      </c>
    </row>
    <row r="4584" spans="1:23" hidden="1" x14ac:dyDescent="0.25">
      <c r="A4584" s="3">
        <v>46076</v>
      </c>
      <c r="B4584" s="4" t="s">
        <v>298</v>
      </c>
      <c r="C4584" s="4" t="s">
        <v>225</v>
      </c>
      <c r="D4584" s="4"/>
      <c r="E4584" s="4" t="s">
        <v>2381</v>
      </c>
      <c r="F4584" s="4"/>
      <c r="G4584" s="4" t="s">
        <v>2381</v>
      </c>
      <c r="H4584" s="4" t="s">
        <v>304</v>
      </c>
      <c r="I4584" s="4">
        <v>1</v>
      </c>
      <c r="J4584" s="21">
        <v>424.2</v>
      </c>
      <c r="K4584" s="21">
        <v>0</v>
      </c>
      <c r="L4584" s="5">
        <v>424.2</v>
      </c>
      <c r="M4584" s="4"/>
      <c r="N4584" s="4"/>
      <c r="O4584" s="5"/>
      <c r="P4584" s="5"/>
      <c r="Q4584" s="21">
        <v>0</v>
      </c>
      <c r="R4584" s="21">
        <v>0</v>
      </c>
      <c r="S4584" s="5">
        <f t="shared" si="287"/>
        <v>46268.358553026424</v>
      </c>
      <c r="T4584" cm="1">
        <f t="array" ref="T4584">IF(OR(B4584="MAL ALIMI", B4584="ÜRETİM GİRİŞ"), MIN(I4584, MAX(0, I4584 + SUM(SUMIFS($I$1:I4583, $C$1:C4583, C4584, $B$1:B4583, {"MAL ALIMI","ÜRETİM GİRİŞ"})) - VLOOKUP(C4584, 'STOK RAPORU'!$C$2:$I$1000, 4, 0))), 0)</f>
        <v>0</v>
      </c>
      <c r="U4584" s="22">
        <f t="shared" si="284"/>
        <v>0</v>
      </c>
      <c r="V4584">
        <f t="shared" si="285"/>
        <v>424.2</v>
      </c>
      <c r="W4584" s="22">
        <f t="shared" si="286"/>
        <v>424.2</v>
      </c>
    </row>
    <row r="4585" spans="1:23" hidden="1" x14ac:dyDescent="0.25">
      <c r="A4585" s="3">
        <v>46076</v>
      </c>
      <c r="B4585" s="4" t="s">
        <v>298</v>
      </c>
      <c r="C4585" s="4" t="s">
        <v>246</v>
      </c>
      <c r="D4585" s="4"/>
      <c r="E4585" s="4" t="s">
        <v>2381</v>
      </c>
      <c r="F4585" s="4"/>
      <c r="G4585" s="4" t="s">
        <v>2381</v>
      </c>
      <c r="H4585" s="4" t="s">
        <v>304</v>
      </c>
      <c r="I4585" s="4">
        <v>1</v>
      </c>
      <c r="J4585" s="21">
        <v>1161</v>
      </c>
      <c r="K4585" s="21">
        <v>0</v>
      </c>
      <c r="L4585" s="5">
        <v>1161</v>
      </c>
      <c r="M4585" s="4"/>
      <c r="N4585" s="4"/>
      <c r="O4585" s="5"/>
      <c r="P4585" s="5"/>
      <c r="Q4585" s="21">
        <v>0</v>
      </c>
      <c r="R4585" s="21">
        <v>0</v>
      </c>
      <c r="S4585" s="5">
        <f t="shared" si="287"/>
        <v>46268.358553026424</v>
      </c>
      <c r="T4585" cm="1">
        <f t="array" ref="T4585">IF(OR(B4585="MAL ALIMI", B4585="ÜRETİM GİRİŞ"), MIN(I4585, MAX(0, I4585 + SUM(SUMIFS($I$1:I4584, $C$1:C4584, C4585, $B$1:B4584, {"MAL ALIMI","ÜRETİM GİRİŞ"})) - VLOOKUP(C4585, 'STOK RAPORU'!$C$2:$I$1000, 4, 0))), 0)</f>
        <v>0</v>
      </c>
      <c r="U4585" s="22">
        <f t="shared" si="284"/>
        <v>0</v>
      </c>
      <c r="V4585">
        <f t="shared" si="285"/>
        <v>1161</v>
      </c>
      <c r="W4585" s="22">
        <f t="shared" si="286"/>
        <v>1161</v>
      </c>
    </row>
    <row r="4586" spans="1:23" hidden="1" x14ac:dyDescent="0.25">
      <c r="A4586" s="3">
        <v>46076</v>
      </c>
      <c r="B4586" s="4" t="s">
        <v>1467</v>
      </c>
      <c r="C4586" s="4" t="s">
        <v>246</v>
      </c>
      <c r="D4586" s="4"/>
      <c r="E4586" s="4"/>
      <c r="F4586" s="4"/>
      <c r="G4586" s="4" t="s">
        <v>1468</v>
      </c>
      <c r="H4586" s="4" t="s">
        <v>1466</v>
      </c>
      <c r="I4586" s="4">
        <v>1</v>
      </c>
      <c r="J4586" s="21">
        <v>1161</v>
      </c>
      <c r="K4586" s="21">
        <v>0</v>
      </c>
      <c r="L4586" s="5">
        <v>0</v>
      </c>
      <c r="M4586" s="4"/>
      <c r="N4586" s="4"/>
      <c r="O4586" s="5"/>
      <c r="P4586" s="5"/>
      <c r="Q4586" s="21">
        <v>1161</v>
      </c>
      <c r="R4586" s="21">
        <v>0</v>
      </c>
      <c r="S4586" s="5">
        <f t="shared" si="287"/>
        <v>47429.358553026424</v>
      </c>
      <c r="T4586" cm="1">
        <f t="array" ref="T4586">IF(OR(B4586="MAL ALIMI", B4586="ÜRETİM GİRİŞ"), MIN(I4586, MAX(0, I4586 + SUM(SUMIFS($I$1:I4585, $C$1:C4585, C4586, $B$1:B4585, {"MAL ALIMI","ÜRETİM GİRİŞ"})) - VLOOKUP(C4586, 'STOK RAPORU'!$C$2:$I$1000, 4, 0))), 0)</f>
        <v>0</v>
      </c>
      <c r="U4586" s="22">
        <f t="shared" si="284"/>
        <v>0</v>
      </c>
      <c r="V4586">
        <f t="shared" si="285"/>
        <v>0</v>
      </c>
      <c r="W4586" s="22">
        <f t="shared" si="286"/>
        <v>0</v>
      </c>
    </row>
    <row r="4587" spans="1:23" hidden="1" x14ac:dyDescent="0.25">
      <c r="A4587" s="3">
        <v>46076</v>
      </c>
      <c r="B4587" s="4" t="s">
        <v>1467</v>
      </c>
      <c r="C4587" s="4" t="s">
        <v>247</v>
      </c>
      <c r="D4587" s="4"/>
      <c r="E4587" s="4"/>
      <c r="F4587" s="4"/>
      <c r="G4587" s="4" t="s">
        <v>1468</v>
      </c>
      <c r="H4587" s="4" t="s">
        <v>1466</v>
      </c>
      <c r="I4587" s="4">
        <v>1</v>
      </c>
      <c r="J4587" s="21">
        <v>950</v>
      </c>
      <c r="K4587" s="21">
        <v>0</v>
      </c>
      <c r="L4587" s="5">
        <v>0</v>
      </c>
      <c r="M4587" s="4"/>
      <c r="N4587" s="4"/>
      <c r="O4587" s="5"/>
      <c r="P4587" s="5"/>
      <c r="Q4587" s="21">
        <v>950</v>
      </c>
      <c r="R4587" s="21">
        <v>0</v>
      </c>
      <c r="S4587" s="5">
        <f t="shared" si="287"/>
        <v>48379.358553026424</v>
      </c>
      <c r="T4587" cm="1">
        <f t="array" ref="T4587">IF(OR(B4587="MAL ALIMI", B4587="ÜRETİM GİRİŞ"), MIN(I4587, MAX(0, I4587 + SUM(SUMIFS($I$1:I4586, $C$1:C4586, C4587, $B$1:B4586, {"MAL ALIMI","ÜRETİM GİRİŞ"})) - VLOOKUP(C4587, 'STOK RAPORU'!$C$2:$I$1000, 4, 0))), 0)</f>
        <v>0</v>
      </c>
      <c r="U4587" s="22">
        <f t="shared" si="284"/>
        <v>0</v>
      </c>
      <c r="V4587">
        <f t="shared" si="285"/>
        <v>0</v>
      </c>
      <c r="W4587" s="22">
        <f t="shared" si="286"/>
        <v>0</v>
      </c>
    </row>
    <row r="4588" spans="1:23" hidden="1" x14ac:dyDescent="0.25">
      <c r="A4588" s="3">
        <v>46076</v>
      </c>
      <c r="B4588" s="4" t="s">
        <v>1467</v>
      </c>
      <c r="C4588" s="4" t="s">
        <v>648</v>
      </c>
      <c r="D4588" s="4"/>
      <c r="E4588" s="4"/>
      <c r="F4588" s="4"/>
      <c r="G4588" s="4" t="s">
        <v>1468</v>
      </c>
      <c r="H4588" s="4" t="s">
        <v>1466</v>
      </c>
      <c r="I4588" s="4">
        <v>2</v>
      </c>
      <c r="J4588" s="21">
        <v>420</v>
      </c>
      <c r="K4588" s="21">
        <v>0</v>
      </c>
      <c r="L4588" s="5">
        <v>0</v>
      </c>
      <c r="M4588" s="4"/>
      <c r="N4588" s="4"/>
      <c r="O4588" s="5"/>
      <c r="P4588" s="5"/>
      <c r="Q4588" s="21">
        <v>840</v>
      </c>
      <c r="R4588" s="21">
        <v>0</v>
      </c>
      <c r="S4588" s="5">
        <f t="shared" si="287"/>
        <v>49219.358553026424</v>
      </c>
      <c r="T4588" cm="1">
        <f t="array" ref="T4588">IF(OR(B4588="MAL ALIMI", B4588="ÜRETİM GİRİŞ"), MIN(I4588, MAX(0, I4588 + SUM(SUMIFS($I$1:I4587, $C$1:C4587, C4588, $B$1:B4587, {"MAL ALIMI","ÜRETİM GİRİŞ"})) - VLOOKUP(C4588, 'STOK RAPORU'!$C$2:$I$1000, 4, 0))), 0)</f>
        <v>0</v>
      </c>
      <c r="U4588" s="22">
        <f t="shared" si="284"/>
        <v>0</v>
      </c>
      <c r="V4588">
        <f t="shared" si="285"/>
        <v>0</v>
      </c>
      <c r="W4588" s="22">
        <f t="shared" si="286"/>
        <v>0</v>
      </c>
    </row>
    <row r="4589" spans="1:23" hidden="1" x14ac:dyDescent="0.25">
      <c r="A4589" s="3">
        <v>46076</v>
      </c>
      <c r="B4589" s="4" t="s">
        <v>1467</v>
      </c>
      <c r="C4589" s="4" t="s">
        <v>244</v>
      </c>
      <c r="D4589" s="4"/>
      <c r="E4589" s="4"/>
      <c r="F4589" s="4"/>
      <c r="G4589" s="4" t="s">
        <v>1468</v>
      </c>
      <c r="H4589" s="4" t="s">
        <v>1466</v>
      </c>
      <c r="I4589" s="4">
        <v>2</v>
      </c>
      <c r="J4589" s="21">
        <v>525</v>
      </c>
      <c r="K4589" s="21">
        <v>0</v>
      </c>
      <c r="L4589" s="5">
        <v>0</v>
      </c>
      <c r="M4589" s="4"/>
      <c r="N4589" s="4"/>
      <c r="O4589" s="5"/>
      <c r="P4589" s="5"/>
      <c r="Q4589" s="21">
        <v>1050</v>
      </c>
      <c r="R4589" s="21">
        <v>0</v>
      </c>
      <c r="S4589" s="5">
        <f t="shared" si="287"/>
        <v>50269.358553026424</v>
      </c>
      <c r="T4589" cm="1">
        <f t="array" ref="T4589">IF(OR(B4589="MAL ALIMI", B4589="ÜRETİM GİRİŞ"), MIN(I4589, MAX(0, I4589 + SUM(SUMIFS($I$1:I4588, $C$1:C4588, C4589, $B$1:B4588, {"MAL ALIMI","ÜRETİM GİRİŞ"})) - VLOOKUP(C4589, 'STOK RAPORU'!$C$2:$I$1000, 4, 0))), 0)</f>
        <v>0</v>
      </c>
      <c r="U4589" s="22">
        <f t="shared" si="284"/>
        <v>0</v>
      </c>
      <c r="V4589">
        <f t="shared" si="285"/>
        <v>0</v>
      </c>
      <c r="W4589" s="22">
        <f t="shared" si="286"/>
        <v>0</v>
      </c>
    </row>
    <row r="4590" spans="1:23" hidden="1" x14ac:dyDescent="0.25">
      <c r="A4590" s="3">
        <v>46076</v>
      </c>
      <c r="B4590" s="4" t="s">
        <v>1469</v>
      </c>
      <c r="C4590" s="4" t="s">
        <v>634</v>
      </c>
      <c r="D4590" s="4"/>
      <c r="E4590" s="4"/>
      <c r="F4590" s="4"/>
      <c r="G4590" s="4" t="s">
        <v>1468</v>
      </c>
      <c r="H4590" s="4" t="s">
        <v>1466</v>
      </c>
      <c r="I4590" s="4">
        <v>6</v>
      </c>
      <c r="J4590" s="21">
        <v>666.83333000000005</v>
      </c>
      <c r="K4590" s="21">
        <v>0</v>
      </c>
      <c r="L4590" s="5">
        <v>0</v>
      </c>
      <c r="M4590" s="4"/>
      <c r="N4590" s="4"/>
      <c r="O4590" s="5"/>
      <c r="P4590" s="5"/>
      <c r="Q4590" s="21">
        <v>0</v>
      </c>
      <c r="R4590" s="21">
        <v>4000.9999800000005</v>
      </c>
      <c r="S4590" s="5">
        <f t="shared" si="287"/>
        <v>46268.358573026424</v>
      </c>
      <c r="T4590" cm="1">
        <f t="array" ref="T4590">IF(OR(B4590="MAL ALIMI", B4590="ÜRETİM GİRİŞ"), MIN(I4590, MAX(0, I4590 + SUM(SUMIFS($I$1:I4589, $C$1:C4589, C4590, $B$1:B4589, {"MAL ALIMI","ÜRETİM GİRİŞ"})) - VLOOKUP(C4590, 'STOK RAPORU'!$C$2:$I$1000, 4, 0))), 0)</f>
        <v>0</v>
      </c>
      <c r="U4590" s="22">
        <f t="shared" si="284"/>
        <v>0</v>
      </c>
      <c r="V4590">
        <f t="shared" si="285"/>
        <v>4000.9999800000005</v>
      </c>
      <c r="W4590" s="22">
        <f t="shared" si="286"/>
        <v>4000.9999800000005</v>
      </c>
    </row>
    <row r="4591" spans="1:23" hidden="1" x14ac:dyDescent="0.25">
      <c r="A4591" s="3">
        <v>46076</v>
      </c>
      <c r="B4591" s="4" t="s">
        <v>917</v>
      </c>
      <c r="C4591" s="4"/>
      <c r="D4591" s="4"/>
      <c r="E4591" s="4" t="s">
        <v>2381</v>
      </c>
      <c r="F4591" s="4"/>
      <c r="G4591" s="4" t="s">
        <v>2382</v>
      </c>
      <c r="H4591" s="4" t="s">
        <v>289</v>
      </c>
      <c r="I4591" s="4">
        <v>1</v>
      </c>
      <c r="J4591" s="21">
        <v>0</v>
      </c>
      <c r="K4591" s="21">
        <v>1767</v>
      </c>
      <c r="L4591" s="5">
        <v>0</v>
      </c>
      <c r="M4591" s="4"/>
      <c r="N4591" s="4"/>
      <c r="O4591" s="5"/>
      <c r="P4591" s="5"/>
      <c r="Q4591" s="21">
        <v>0</v>
      </c>
      <c r="R4591" s="21">
        <v>1767</v>
      </c>
      <c r="S4591" s="5">
        <f t="shared" si="287"/>
        <v>44501.358573026424</v>
      </c>
      <c r="T4591" cm="1">
        <f t="array" ref="T4591">IF(OR(B4591="MAL ALIMI", B4591="ÜRETİM GİRİŞ"), MIN(I4591, MAX(0, I4591 + SUM(SUMIFS($I$1:I4590, $C$1:C4590, C4591, $B$1:B4590, {"MAL ALIMI","ÜRETİM GİRİŞ"})) - VLOOKUP(C4591, 'STOK RAPORU'!$C$2:$I$1000, 4, 0))), 0)</f>
        <v>0</v>
      </c>
      <c r="U4591" s="22">
        <f t="shared" si="284"/>
        <v>0</v>
      </c>
      <c r="V4591">
        <f t="shared" si="285"/>
        <v>0</v>
      </c>
      <c r="W4591" s="22">
        <f t="shared" si="286"/>
        <v>0</v>
      </c>
    </row>
    <row r="4592" spans="1:23" hidden="1" x14ac:dyDescent="0.25">
      <c r="A4592" s="3">
        <v>46076</v>
      </c>
      <c r="B4592" s="4" t="s">
        <v>946</v>
      </c>
      <c r="C4592" s="4"/>
      <c r="D4592" s="4"/>
      <c r="E4592" s="4" t="s">
        <v>921</v>
      </c>
      <c r="F4592" s="4"/>
      <c r="G4592" s="4" t="s">
        <v>946</v>
      </c>
      <c r="H4592" s="4" t="s">
        <v>380</v>
      </c>
      <c r="I4592" s="4">
        <v>1</v>
      </c>
      <c r="J4592" s="105">
        <v>785</v>
      </c>
      <c r="K4592" s="21">
        <v>0</v>
      </c>
      <c r="L4592" s="111">
        <v>785</v>
      </c>
      <c r="M4592" s="4"/>
      <c r="N4592" s="4"/>
      <c r="O4592" s="5"/>
      <c r="P4592" s="5"/>
      <c r="Q4592" s="21">
        <v>785</v>
      </c>
      <c r="R4592" s="21">
        <v>0</v>
      </c>
      <c r="S4592" s="5">
        <f t="shared" si="287"/>
        <v>45286.358573026424</v>
      </c>
      <c r="T4592" cm="1">
        <f t="array" ref="T4592">IF(OR(B4592="MAL ALIMI", B4592="ÜRETİM GİRİŞ"), MIN(I4592, MAX(0, I4592 + SUM(SUMIFS($I$1:I4591, $C$1:C4591, C4592, $B$1:B4591, {"MAL ALIMI","ÜRETİM GİRİŞ"})) - VLOOKUP(C4592, 'STOK RAPORU'!$C$2:$I$1000, 4, 0))), 0)</f>
        <v>0</v>
      </c>
      <c r="U4592" s="22">
        <f t="shared" si="284"/>
        <v>0</v>
      </c>
      <c r="V4592">
        <f t="shared" si="285"/>
        <v>0</v>
      </c>
      <c r="W4592" s="22">
        <f t="shared" si="286"/>
        <v>0</v>
      </c>
    </row>
    <row r="4593" spans="1:23" hidden="1" x14ac:dyDescent="0.25">
      <c r="A4593" s="3">
        <v>46076</v>
      </c>
      <c r="B4593" s="4" t="s">
        <v>946</v>
      </c>
      <c r="C4593" s="4"/>
      <c r="D4593" s="4"/>
      <c r="E4593" s="4" t="s">
        <v>921</v>
      </c>
      <c r="F4593" s="4"/>
      <c r="G4593" s="4" t="s">
        <v>946</v>
      </c>
      <c r="H4593" s="4" t="s">
        <v>380</v>
      </c>
      <c r="I4593" s="4">
        <v>1</v>
      </c>
      <c r="J4593" s="105">
        <v>2070</v>
      </c>
      <c r="K4593" s="21">
        <v>0</v>
      </c>
      <c r="L4593" s="111">
        <v>2070</v>
      </c>
      <c r="M4593" s="4"/>
      <c r="N4593" s="4"/>
      <c r="O4593" s="5"/>
      <c r="P4593" s="5"/>
      <c r="Q4593" s="21">
        <v>2070</v>
      </c>
      <c r="R4593" s="21">
        <v>0</v>
      </c>
      <c r="S4593" s="5">
        <f t="shared" si="287"/>
        <v>47356.358573026424</v>
      </c>
      <c r="T4593" cm="1">
        <f t="array" ref="T4593">IF(OR(B4593="MAL ALIMI", B4593="ÜRETİM GİRİŞ"), MIN(I4593, MAX(0, I4593 + SUM(SUMIFS($I$1:I4592, $C$1:C4592, C4593, $B$1:B4592, {"MAL ALIMI","ÜRETİM GİRİŞ"})) - VLOOKUP(C4593, 'STOK RAPORU'!$C$2:$I$1000, 4, 0))), 0)</f>
        <v>0</v>
      </c>
      <c r="U4593" s="22">
        <f t="shared" si="284"/>
        <v>0</v>
      </c>
      <c r="V4593">
        <f t="shared" si="285"/>
        <v>0</v>
      </c>
      <c r="W4593" s="22">
        <f t="shared" si="286"/>
        <v>0</v>
      </c>
    </row>
    <row r="4594" spans="1:23" hidden="1" x14ac:dyDescent="0.25">
      <c r="A4594" s="45">
        <v>46077</v>
      </c>
      <c r="B4594" s="46" t="s">
        <v>334</v>
      </c>
      <c r="C4594" s="4" t="s">
        <v>1634</v>
      </c>
      <c r="D4594" s="4"/>
      <c r="E4594" s="4" t="s">
        <v>921</v>
      </c>
      <c r="F4594" s="46" t="s">
        <v>2257</v>
      </c>
      <c r="G4594" s="4" t="s">
        <v>336</v>
      </c>
      <c r="H4594" s="4" t="s">
        <v>380</v>
      </c>
      <c r="I4594" s="4">
        <v>0.5</v>
      </c>
      <c r="J4594" s="21">
        <v>300</v>
      </c>
      <c r="K4594" s="21">
        <v>150</v>
      </c>
      <c r="L4594" s="5">
        <v>0</v>
      </c>
      <c r="M4594" s="4"/>
      <c r="N4594" s="4"/>
      <c r="O4594" s="5"/>
      <c r="P4594" s="5"/>
      <c r="Q4594" s="21">
        <v>0</v>
      </c>
      <c r="R4594" s="21">
        <v>0</v>
      </c>
      <c r="S4594" s="5">
        <f t="shared" si="287"/>
        <v>47356.358573026424</v>
      </c>
      <c r="T4594" cm="1">
        <f t="array" ref="T4594">IF(OR(B4594="MAL ALIMI", B4594="ÜRETİM GİRİŞ"), MIN(I4594, MAX(0, I4594 + SUM(SUMIFS($I$1:I4593, $C$1:C4593, C4594, $B$1:B4593, {"MAL ALIMI","ÜRETİM GİRİŞ"})) - VLOOKUP(C4594, 'STOK RAPORU'!$C$2:$I$1000, 4, 0))), 0)</f>
        <v>0</v>
      </c>
      <c r="U4594" s="22">
        <f t="shared" si="284"/>
        <v>0</v>
      </c>
      <c r="V4594">
        <f t="shared" si="285"/>
        <v>0</v>
      </c>
      <c r="W4594" s="22">
        <f t="shared" si="286"/>
        <v>0</v>
      </c>
    </row>
    <row r="4595" spans="1:23" hidden="1" x14ac:dyDescent="0.25">
      <c r="A4595" s="45">
        <v>46077</v>
      </c>
      <c r="B4595" s="46" t="s">
        <v>334</v>
      </c>
      <c r="C4595" s="4" t="s">
        <v>202</v>
      </c>
      <c r="D4595" s="4"/>
      <c r="E4595" s="4" t="s">
        <v>921</v>
      </c>
      <c r="F4595" s="46" t="s">
        <v>2257</v>
      </c>
      <c r="G4595" s="4" t="s">
        <v>336</v>
      </c>
      <c r="H4595" s="4" t="s">
        <v>380</v>
      </c>
      <c r="I4595" s="4">
        <v>0.5</v>
      </c>
      <c r="J4595" s="21">
        <v>80</v>
      </c>
      <c r="K4595" s="21">
        <v>40</v>
      </c>
      <c r="L4595" s="5">
        <v>0</v>
      </c>
      <c r="M4595" s="4"/>
      <c r="N4595" s="4"/>
      <c r="O4595" s="5"/>
      <c r="P4595" s="5"/>
      <c r="Q4595" s="21">
        <v>0</v>
      </c>
      <c r="R4595" s="21">
        <v>0</v>
      </c>
      <c r="S4595" s="5">
        <f t="shared" si="287"/>
        <v>47356.358573026424</v>
      </c>
      <c r="T4595" cm="1">
        <f t="array" ref="T4595">IF(OR(B4595="MAL ALIMI", B4595="ÜRETİM GİRİŞ"), MIN(I4595, MAX(0, I4595 + SUM(SUMIFS($I$1:I4594, $C$1:C4594, C4595, $B$1:B4594, {"MAL ALIMI","ÜRETİM GİRİŞ"})) - VLOOKUP(C4595, 'STOK RAPORU'!$C$2:$I$1000, 4, 0))), 0)</f>
        <v>0</v>
      </c>
      <c r="U4595" s="22">
        <f t="shared" si="284"/>
        <v>0</v>
      </c>
      <c r="V4595">
        <f t="shared" si="285"/>
        <v>0</v>
      </c>
      <c r="W4595" s="22">
        <f t="shared" si="286"/>
        <v>0</v>
      </c>
    </row>
    <row r="4596" spans="1:23" hidden="1" x14ac:dyDescent="0.25">
      <c r="A4596" s="45">
        <v>46077</v>
      </c>
      <c r="B4596" s="46" t="s">
        <v>334</v>
      </c>
      <c r="C4596" s="4" t="s">
        <v>634</v>
      </c>
      <c r="D4596" s="4"/>
      <c r="E4596" s="4" t="s">
        <v>921</v>
      </c>
      <c r="F4596" s="46" t="s">
        <v>2257</v>
      </c>
      <c r="G4596" s="4" t="s">
        <v>336</v>
      </c>
      <c r="H4596" s="4" t="s">
        <v>380</v>
      </c>
      <c r="I4596" s="4">
        <v>0.23599999999999999</v>
      </c>
      <c r="J4596" s="21">
        <v>850</v>
      </c>
      <c r="K4596" s="21">
        <v>200.6</v>
      </c>
      <c r="L4596" s="5">
        <v>0</v>
      </c>
      <c r="M4596" s="4"/>
      <c r="N4596" s="4"/>
      <c r="O4596" s="5"/>
      <c r="P4596" s="5"/>
      <c r="Q4596" s="21">
        <v>0</v>
      </c>
      <c r="R4596" s="21">
        <v>0</v>
      </c>
      <c r="S4596" s="5">
        <f t="shared" si="287"/>
        <v>47356.358573026424</v>
      </c>
      <c r="T4596" cm="1">
        <f t="array" ref="T4596">IF(OR(B4596="MAL ALIMI", B4596="ÜRETİM GİRİŞ"), MIN(I4596, MAX(0, I4596 + SUM(SUMIFS($I$1:I4595, $C$1:C4595, C4596, $B$1:B4595, {"MAL ALIMI","ÜRETİM GİRİŞ"})) - VLOOKUP(C4596, 'STOK RAPORU'!$C$2:$I$1000, 4, 0))), 0)</f>
        <v>0</v>
      </c>
      <c r="U4596" s="22">
        <f t="shared" ref="U4596:U4659" si="288">T4596*J4596</f>
        <v>0</v>
      </c>
      <c r="V4596">
        <f t="shared" ref="V4596:V4659" si="289">IF(OR(B4596="MAL ALIMI", B4596="ÜRETİM GİRİŞ"), I4596 * J4596, 0)</f>
        <v>0</v>
      </c>
      <c r="W4596" s="22">
        <f t="shared" ref="W4596:W4659" si="290">V4596-U4596</f>
        <v>0</v>
      </c>
    </row>
    <row r="4597" spans="1:23" hidden="1" x14ac:dyDescent="0.25">
      <c r="A4597" s="45">
        <v>46077</v>
      </c>
      <c r="B4597" s="46" t="s">
        <v>334</v>
      </c>
      <c r="C4597" s="4" t="s">
        <v>692</v>
      </c>
      <c r="D4597" s="4"/>
      <c r="E4597" s="4" t="s">
        <v>921</v>
      </c>
      <c r="F4597" s="46" t="s">
        <v>2257</v>
      </c>
      <c r="G4597" s="4" t="s">
        <v>336</v>
      </c>
      <c r="H4597" s="4" t="s">
        <v>380</v>
      </c>
      <c r="I4597" s="4">
        <v>0.5</v>
      </c>
      <c r="J4597" s="21">
        <v>60</v>
      </c>
      <c r="K4597" s="21">
        <v>30</v>
      </c>
      <c r="L4597" s="5">
        <v>0</v>
      </c>
      <c r="M4597" s="4"/>
      <c r="N4597" s="4"/>
      <c r="O4597" s="5"/>
      <c r="P4597" s="5"/>
      <c r="Q4597" s="21">
        <v>0</v>
      </c>
      <c r="R4597" s="21">
        <v>0</v>
      </c>
      <c r="S4597" s="5">
        <f t="shared" si="287"/>
        <v>47356.358573026424</v>
      </c>
      <c r="T4597" cm="1">
        <f t="array" ref="T4597">IF(OR(B4597="MAL ALIMI", B4597="ÜRETİM GİRİŞ"), MIN(I4597, MAX(0, I4597 + SUM(SUMIFS($I$1:I4596, $C$1:C4596, C4597, $B$1:B4596, {"MAL ALIMI","ÜRETİM GİRİŞ"})) - VLOOKUP(C4597, 'STOK RAPORU'!$C$2:$I$1000, 4, 0))), 0)</f>
        <v>0</v>
      </c>
      <c r="U4597" s="22">
        <f t="shared" si="288"/>
        <v>0</v>
      </c>
      <c r="V4597">
        <f t="shared" si="289"/>
        <v>0</v>
      </c>
      <c r="W4597" s="22">
        <f t="shared" si="290"/>
        <v>0</v>
      </c>
    </row>
    <row r="4598" spans="1:23" hidden="1" x14ac:dyDescent="0.25">
      <c r="A4598" s="45">
        <v>46077</v>
      </c>
      <c r="B4598" s="46" t="s">
        <v>334</v>
      </c>
      <c r="C4598" s="4" t="s">
        <v>248</v>
      </c>
      <c r="D4598" s="4"/>
      <c r="E4598" s="4" t="s">
        <v>921</v>
      </c>
      <c r="F4598" s="46" t="s">
        <v>2257</v>
      </c>
      <c r="G4598" s="4" t="s">
        <v>336</v>
      </c>
      <c r="H4598" s="4" t="s">
        <v>380</v>
      </c>
      <c r="I4598" s="4">
        <v>0.1</v>
      </c>
      <c r="J4598" s="21">
        <v>1000</v>
      </c>
      <c r="K4598" s="21">
        <v>100</v>
      </c>
      <c r="L4598" s="5">
        <v>0</v>
      </c>
      <c r="M4598" s="4"/>
      <c r="N4598" s="4"/>
      <c r="O4598" s="5"/>
      <c r="P4598" s="5"/>
      <c r="Q4598" s="21">
        <v>0</v>
      </c>
      <c r="R4598" s="21">
        <v>0</v>
      </c>
      <c r="S4598" s="5">
        <f t="shared" si="287"/>
        <v>47356.358573026424</v>
      </c>
      <c r="T4598" cm="1">
        <f t="array" ref="T4598">IF(OR(B4598="MAL ALIMI", B4598="ÜRETİM GİRİŞ"), MIN(I4598, MAX(0, I4598 + SUM(SUMIFS($I$1:I4597, $C$1:C4597, C4598, $B$1:B4597, {"MAL ALIMI","ÜRETİM GİRİŞ"})) - VLOOKUP(C4598, 'STOK RAPORU'!$C$2:$I$1000, 4, 0))), 0)</f>
        <v>0</v>
      </c>
      <c r="U4598" s="22">
        <f t="shared" si="288"/>
        <v>0</v>
      </c>
      <c r="V4598">
        <f t="shared" si="289"/>
        <v>0</v>
      </c>
      <c r="W4598" s="22">
        <f t="shared" si="290"/>
        <v>0</v>
      </c>
    </row>
    <row r="4599" spans="1:23" hidden="1" x14ac:dyDescent="0.25">
      <c r="A4599" s="45">
        <v>46077</v>
      </c>
      <c r="B4599" s="46" t="s">
        <v>334</v>
      </c>
      <c r="C4599" s="4" t="s">
        <v>2087</v>
      </c>
      <c r="D4599" s="4"/>
      <c r="E4599" s="4" t="s">
        <v>921</v>
      </c>
      <c r="F4599" s="46" t="s">
        <v>2257</v>
      </c>
      <c r="G4599" s="4" t="s">
        <v>336</v>
      </c>
      <c r="H4599" s="4" t="s">
        <v>380</v>
      </c>
      <c r="I4599" s="4">
        <v>0.28000000000000003</v>
      </c>
      <c r="J4599" s="21">
        <v>430</v>
      </c>
      <c r="K4599" s="21">
        <v>120.4</v>
      </c>
      <c r="L4599" s="5">
        <v>0</v>
      </c>
      <c r="M4599" s="4"/>
      <c r="N4599" s="4"/>
      <c r="O4599" s="5"/>
      <c r="P4599" s="5"/>
      <c r="Q4599" s="21">
        <v>0</v>
      </c>
      <c r="R4599" s="21">
        <v>0</v>
      </c>
      <c r="S4599" s="5">
        <f t="shared" si="287"/>
        <v>47356.358573026424</v>
      </c>
      <c r="T4599" cm="1">
        <f t="array" ref="T4599">IF(OR(B4599="MAL ALIMI", B4599="ÜRETİM GİRİŞ"), MIN(I4599, MAX(0, I4599 + SUM(SUMIFS($I$1:I4598, $C$1:C4598, C4599, $B$1:B4598, {"MAL ALIMI","ÜRETİM GİRİŞ"})) - VLOOKUP(C4599, 'STOK RAPORU'!$C$2:$I$1000, 4, 0))), 0)</f>
        <v>0</v>
      </c>
      <c r="U4599" s="22">
        <f t="shared" si="288"/>
        <v>0</v>
      </c>
      <c r="V4599">
        <f t="shared" si="289"/>
        <v>0</v>
      </c>
      <c r="W4599" s="22">
        <f t="shared" si="290"/>
        <v>0</v>
      </c>
    </row>
    <row r="4600" spans="1:23" hidden="1" x14ac:dyDescent="0.25">
      <c r="A4600" s="45">
        <v>46077</v>
      </c>
      <c r="B4600" s="46" t="s">
        <v>334</v>
      </c>
      <c r="C4600" s="4" t="s">
        <v>209</v>
      </c>
      <c r="D4600" s="4"/>
      <c r="E4600" s="4" t="s">
        <v>921</v>
      </c>
      <c r="F4600" s="46" t="s">
        <v>2257</v>
      </c>
      <c r="G4600" s="4" t="s">
        <v>336</v>
      </c>
      <c r="H4600" s="4" t="s">
        <v>380</v>
      </c>
      <c r="I4600" s="4">
        <v>0.05</v>
      </c>
      <c r="J4600" s="21">
        <v>2600</v>
      </c>
      <c r="K4600" s="21">
        <v>130</v>
      </c>
      <c r="L4600" s="5">
        <v>0</v>
      </c>
      <c r="M4600" s="4"/>
      <c r="N4600" s="4"/>
      <c r="O4600" s="5"/>
      <c r="P4600" s="5"/>
      <c r="Q4600" s="21">
        <v>0</v>
      </c>
      <c r="R4600" s="21">
        <v>0</v>
      </c>
      <c r="S4600" s="5">
        <f t="shared" si="287"/>
        <v>47356.358573026424</v>
      </c>
      <c r="T4600" cm="1">
        <f t="array" ref="T4600">IF(OR(B4600="MAL ALIMI", B4600="ÜRETİM GİRİŞ"), MIN(I4600, MAX(0, I4600 + SUM(SUMIFS($I$1:I4599, $C$1:C4599, C4600, $B$1:B4599, {"MAL ALIMI","ÜRETİM GİRİŞ"})) - VLOOKUP(C4600, 'STOK RAPORU'!$C$2:$I$1000, 4, 0))), 0)</f>
        <v>0</v>
      </c>
      <c r="U4600" s="22">
        <f t="shared" si="288"/>
        <v>0</v>
      </c>
      <c r="V4600">
        <f t="shared" si="289"/>
        <v>0</v>
      </c>
      <c r="W4600" s="22">
        <f t="shared" si="290"/>
        <v>0</v>
      </c>
    </row>
    <row r="4601" spans="1:23" hidden="1" x14ac:dyDescent="0.25">
      <c r="A4601" s="45">
        <v>46077</v>
      </c>
      <c r="B4601" s="46" t="s">
        <v>334</v>
      </c>
      <c r="C4601" s="4" t="s">
        <v>693</v>
      </c>
      <c r="D4601" s="4"/>
      <c r="E4601" s="4" t="s">
        <v>921</v>
      </c>
      <c r="F4601" s="46" t="s">
        <v>2257</v>
      </c>
      <c r="G4601" s="4" t="s">
        <v>336</v>
      </c>
      <c r="H4601" s="4" t="s">
        <v>380</v>
      </c>
      <c r="I4601" s="4">
        <v>0.25600000000000001</v>
      </c>
      <c r="J4601" s="21">
        <v>195</v>
      </c>
      <c r="K4601" s="21">
        <v>49.92</v>
      </c>
      <c r="L4601" s="5">
        <v>0</v>
      </c>
      <c r="M4601" s="4"/>
      <c r="N4601" s="4"/>
      <c r="O4601" s="5"/>
      <c r="P4601" s="5"/>
      <c r="Q4601" s="21">
        <v>0</v>
      </c>
      <c r="R4601" s="21">
        <v>0</v>
      </c>
      <c r="S4601" s="5">
        <f t="shared" si="287"/>
        <v>47356.358573026424</v>
      </c>
      <c r="T4601" cm="1">
        <f t="array" ref="T4601">IF(OR(B4601="MAL ALIMI", B4601="ÜRETİM GİRİŞ"), MIN(I4601, MAX(0, I4601 + SUM(SUMIFS($I$1:I4600, $C$1:C4600, C4601, $B$1:B4600, {"MAL ALIMI","ÜRETİM GİRİŞ"})) - VLOOKUP(C4601, 'STOK RAPORU'!$C$2:$I$1000, 4, 0))), 0)</f>
        <v>0</v>
      </c>
      <c r="U4601" s="22">
        <f t="shared" si="288"/>
        <v>0</v>
      </c>
      <c r="V4601">
        <f t="shared" si="289"/>
        <v>0</v>
      </c>
      <c r="W4601" s="22">
        <f t="shared" si="290"/>
        <v>0</v>
      </c>
    </row>
    <row r="4602" spans="1:23" hidden="1" x14ac:dyDescent="0.25">
      <c r="A4602" s="45">
        <v>46077</v>
      </c>
      <c r="B4602" s="46" t="s">
        <v>334</v>
      </c>
      <c r="C4602" s="4" t="s">
        <v>2241</v>
      </c>
      <c r="D4602" s="4"/>
      <c r="E4602" s="4" t="s">
        <v>921</v>
      </c>
      <c r="F4602" s="46" t="s">
        <v>2257</v>
      </c>
      <c r="G4602" s="4" t="s">
        <v>336</v>
      </c>
      <c r="H4602" s="4" t="s">
        <v>380</v>
      </c>
      <c r="I4602" s="4">
        <v>1</v>
      </c>
      <c r="J4602" s="21">
        <v>50</v>
      </c>
      <c r="K4602" s="21">
        <v>50</v>
      </c>
      <c r="L4602" s="5">
        <v>0</v>
      </c>
      <c r="M4602" s="4"/>
      <c r="N4602" s="4"/>
      <c r="O4602" s="5"/>
      <c r="P4602" s="5"/>
      <c r="Q4602" s="21">
        <v>0</v>
      </c>
      <c r="R4602" s="21">
        <v>0</v>
      </c>
      <c r="S4602" s="5">
        <f t="shared" si="287"/>
        <v>47356.358573026424</v>
      </c>
      <c r="T4602" cm="1">
        <f t="array" ref="T4602">IF(OR(B4602="MAL ALIMI", B4602="ÜRETİM GİRİŞ"), MIN(I4602, MAX(0, I4602 + SUM(SUMIFS($I$1:I4601, $C$1:C4601, C4602, $B$1:B4601, {"MAL ALIMI","ÜRETİM GİRİŞ"})) - VLOOKUP(C4602, 'STOK RAPORU'!$C$2:$I$1000, 4, 0))), 0)</f>
        <v>0</v>
      </c>
      <c r="U4602" s="22">
        <f t="shared" si="288"/>
        <v>0</v>
      </c>
      <c r="V4602">
        <f t="shared" si="289"/>
        <v>0</v>
      </c>
      <c r="W4602" s="22">
        <f t="shared" si="290"/>
        <v>0</v>
      </c>
    </row>
    <row r="4603" spans="1:23" hidden="1" x14ac:dyDescent="0.25">
      <c r="A4603" s="45">
        <v>46077</v>
      </c>
      <c r="B4603" s="46" t="s">
        <v>334</v>
      </c>
      <c r="C4603" s="4" t="s">
        <v>245</v>
      </c>
      <c r="D4603" s="4"/>
      <c r="E4603" s="4" t="s">
        <v>921</v>
      </c>
      <c r="F4603" s="46" t="s">
        <v>2257</v>
      </c>
      <c r="G4603" s="4" t="s">
        <v>336</v>
      </c>
      <c r="H4603" s="4" t="s">
        <v>380</v>
      </c>
      <c r="I4603" s="4">
        <v>0.23200000000000001</v>
      </c>
      <c r="J4603" s="21">
        <v>650</v>
      </c>
      <c r="K4603" s="21">
        <v>150.80000000000001</v>
      </c>
      <c r="L4603" s="5">
        <v>0</v>
      </c>
      <c r="M4603" s="4"/>
      <c r="N4603" s="4"/>
      <c r="O4603" s="5"/>
      <c r="P4603" s="5"/>
      <c r="Q4603" s="21">
        <v>0</v>
      </c>
      <c r="R4603" s="21">
        <v>0</v>
      </c>
      <c r="S4603" s="5">
        <f t="shared" si="287"/>
        <v>47356.358573026424</v>
      </c>
      <c r="T4603" cm="1">
        <f t="array" ref="T4603">IF(OR(B4603="MAL ALIMI", B4603="ÜRETİM GİRİŞ"), MIN(I4603, MAX(0, I4603 + SUM(SUMIFS($I$1:I4602, $C$1:C4602, C4603, $B$1:B4602, {"MAL ALIMI","ÜRETİM GİRİŞ"})) - VLOOKUP(C4603, 'STOK RAPORU'!$C$2:$I$1000, 4, 0))), 0)</f>
        <v>0</v>
      </c>
      <c r="U4603" s="22">
        <f t="shared" si="288"/>
        <v>0</v>
      </c>
      <c r="V4603">
        <f t="shared" si="289"/>
        <v>0</v>
      </c>
      <c r="W4603" s="22">
        <f t="shared" si="290"/>
        <v>0</v>
      </c>
    </row>
    <row r="4604" spans="1:23" hidden="1" x14ac:dyDescent="0.25">
      <c r="A4604" s="45">
        <v>46077</v>
      </c>
      <c r="B4604" s="46" t="s">
        <v>334</v>
      </c>
      <c r="C4604" s="4" t="s">
        <v>161</v>
      </c>
      <c r="D4604" s="4"/>
      <c r="E4604" s="4"/>
      <c r="F4604" s="46" t="s">
        <v>2258</v>
      </c>
      <c r="G4604" s="4" t="s">
        <v>336</v>
      </c>
      <c r="H4604" s="4" t="s">
        <v>289</v>
      </c>
      <c r="I4604" s="4">
        <v>1</v>
      </c>
      <c r="J4604" s="21">
        <v>230</v>
      </c>
      <c r="K4604" s="21">
        <v>0</v>
      </c>
      <c r="L4604" s="5">
        <v>0</v>
      </c>
      <c r="M4604" s="4"/>
      <c r="N4604" s="4"/>
      <c r="O4604" s="5"/>
      <c r="P4604" s="5"/>
      <c r="Q4604" s="21">
        <v>230</v>
      </c>
      <c r="R4604" s="21">
        <v>0</v>
      </c>
      <c r="S4604" s="5">
        <f t="shared" si="287"/>
        <v>47586.358573026424</v>
      </c>
      <c r="T4604" cm="1">
        <f t="array" ref="T4604">IF(OR(B4604="MAL ALIMI", B4604="ÜRETİM GİRİŞ"), MIN(I4604, MAX(0, I4604 + SUM(SUMIFS($I$1:I4603, $C$1:C4603, C4604, $B$1:B4603, {"MAL ALIMI","ÜRETİM GİRİŞ"})) - VLOOKUP(C4604, 'STOK RAPORU'!$C$2:$I$1000, 4, 0))), 0)</f>
        <v>0</v>
      </c>
      <c r="U4604" s="22">
        <f t="shared" si="288"/>
        <v>0</v>
      </c>
      <c r="V4604">
        <f t="shared" si="289"/>
        <v>0</v>
      </c>
      <c r="W4604" s="22">
        <f t="shared" si="290"/>
        <v>0</v>
      </c>
    </row>
    <row r="4605" spans="1:23" hidden="1" x14ac:dyDescent="0.25">
      <c r="A4605" s="45">
        <v>46077</v>
      </c>
      <c r="B4605" s="46" t="s">
        <v>334</v>
      </c>
      <c r="C4605" s="4" t="s">
        <v>2126</v>
      </c>
      <c r="D4605" s="4"/>
      <c r="E4605" s="4"/>
      <c r="F4605" s="46" t="s">
        <v>2259</v>
      </c>
      <c r="G4605" s="4" t="s">
        <v>336</v>
      </c>
      <c r="H4605" s="4" t="s">
        <v>289</v>
      </c>
      <c r="I4605" s="4">
        <v>0.81200000000000006</v>
      </c>
      <c r="J4605" s="21">
        <v>370</v>
      </c>
      <c r="K4605" s="21">
        <v>0</v>
      </c>
      <c r="L4605" s="5">
        <v>0</v>
      </c>
      <c r="M4605" s="4"/>
      <c r="N4605" s="4"/>
      <c r="O4605" s="5"/>
      <c r="P4605" s="5"/>
      <c r="Q4605" s="21">
        <v>300.44</v>
      </c>
      <c r="R4605" s="21">
        <v>0</v>
      </c>
      <c r="S4605" s="5">
        <f t="shared" si="287"/>
        <v>47886.798573026426</v>
      </c>
      <c r="T4605" cm="1">
        <f t="array" ref="T4605">IF(OR(B4605="MAL ALIMI", B4605="ÜRETİM GİRİŞ"), MIN(I4605, MAX(0, I4605 + SUM(SUMIFS($I$1:I4604, $C$1:C4604, C4605, $B$1:B4604, {"MAL ALIMI","ÜRETİM GİRİŞ"})) - VLOOKUP(C4605, 'STOK RAPORU'!$C$2:$I$1000, 4, 0))), 0)</f>
        <v>0</v>
      </c>
      <c r="U4605" s="22">
        <f t="shared" si="288"/>
        <v>0</v>
      </c>
      <c r="V4605">
        <f t="shared" si="289"/>
        <v>0</v>
      </c>
      <c r="W4605" s="22">
        <f t="shared" si="290"/>
        <v>0</v>
      </c>
    </row>
    <row r="4606" spans="1:23" hidden="1" x14ac:dyDescent="0.25">
      <c r="A4606" s="45">
        <v>46077</v>
      </c>
      <c r="B4606" s="46" t="s">
        <v>334</v>
      </c>
      <c r="C4606" s="4" t="s">
        <v>458</v>
      </c>
      <c r="D4606" s="4"/>
      <c r="E4606" s="4"/>
      <c r="F4606" s="46" t="s">
        <v>2259</v>
      </c>
      <c r="G4606" s="4" t="s">
        <v>336</v>
      </c>
      <c r="H4606" s="4" t="s">
        <v>289</v>
      </c>
      <c r="I4606" s="4">
        <v>0.5</v>
      </c>
      <c r="J4606" s="21">
        <v>80</v>
      </c>
      <c r="K4606" s="21">
        <v>0</v>
      </c>
      <c r="L4606" s="5">
        <v>0</v>
      </c>
      <c r="M4606" s="4"/>
      <c r="N4606" s="4"/>
      <c r="O4606" s="5"/>
      <c r="P4606" s="5"/>
      <c r="Q4606" s="21">
        <v>40</v>
      </c>
      <c r="R4606" s="21">
        <v>0</v>
      </c>
      <c r="S4606" s="5">
        <f t="shared" si="287"/>
        <v>47926.798573026426</v>
      </c>
      <c r="T4606" cm="1">
        <f t="array" ref="T4606">IF(OR(B4606="MAL ALIMI", B4606="ÜRETİM GİRİŞ"), MIN(I4606, MAX(0, I4606 + SUM(SUMIFS($I$1:I4605, $C$1:C4605, C4606, $B$1:B4605, {"MAL ALIMI","ÜRETİM GİRİŞ"})) - VLOOKUP(C4606, 'STOK RAPORU'!$C$2:$I$1000, 4, 0))), 0)</f>
        <v>0</v>
      </c>
      <c r="U4606" s="22">
        <f t="shared" si="288"/>
        <v>0</v>
      </c>
      <c r="V4606">
        <f t="shared" si="289"/>
        <v>0</v>
      </c>
      <c r="W4606" s="22">
        <f t="shared" si="290"/>
        <v>0</v>
      </c>
    </row>
    <row r="4607" spans="1:23" hidden="1" x14ac:dyDescent="0.25">
      <c r="A4607" s="45">
        <v>46077</v>
      </c>
      <c r="B4607" s="46" t="s">
        <v>334</v>
      </c>
      <c r="C4607" s="4" t="s">
        <v>160</v>
      </c>
      <c r="D4607" s="4"/>
      <c r="E4607" s="4" t="s">
        <v>921</v>
      </c>
      <c r="F4607" s="46" t="s">
        <v>2260</v>
      </c>
      <c r="G4607" s="4" t="s">
        <v>336</v>
      </c>
      <c r="H4607" s="4" t="s">
        <v>380</v>
      </c>
      <c r="I4607" s="4">
        <v>1</v>
      </c>
      <c r="J4607" s="21">
        <v>250</v>
      </c>
      <c r="K4607" s="21">
        <v>250</v>
      </c>
      <c r="L4607" s="5">
        <v>0</v>
      </c>
      <c r="M4607" s="4"/>
      <c r="N4607" s="4"/>
      <c r="O4607" s="5"/>
      <c r="P4607" s="5"/>
      <c r="Q4607" s="21">
        <v>0</v>
      </c>
      <c r="R4607" s="21">
        <v>0</v>
      </c>
      <c r="S4607" s="5">
        <f t="shared" si="287"/>
        <v>47926.798573026426</v>
      </c>
      <c r="T4607" cm="1">
        <f t="array" ref="T4607">IF(OR(B4607="MAL ALIMI", B4607="ÜRETİM GİRİŞ"), MIN(I4607, MAX(0, I4607 + SUM(SUMIFS($I$1:I4606, $C$1:C4606, C4607, $B$1:B4606, {"MAL ALIMI","ÜRETİM GİRİŞ"})) - VLOOKUP(C4607, 'STOK RAPORU'!$C$2:$I$1000, 4, 0))), 0)</f>
        <v>0</v>
      </c>
      <c r="U4607" s="22">
        <f t="shared" si="288"/>
        <v>0</v>
      </c>
      <c r="V4607">
        <f t="shared" si="289"/>
        <v>0</v>
      </c>
      <c r="W4607" s="22">
        <f t="shared" si="290"/>
        <v>0</v>
      </c>
    </row>
    <row r="4608" spans="1:23" hidden="1" x14ac:dyDescent="0.25">
      <c r="A4608" s="45">
        <v>46077</v>
      </c>
      <c r="B4608" s="46" t="s">
        <v>334</v>
      </c>
      <c r="C4608" s="4" t="s">
        <v>167</v>
      </c>
      <c r="D4608" s="4"/>
      <c r="E4608" s="4" t="s">
        <v>921</v>
      </c>
      <c r="F4608" s="46" t="s">
        <v>2260</v>
      </c>
      <c r="G4608" s="4" t="s">
        <v>336</v>
      </c>
      <c r="H4608" s="4" t="s">
        <v>380</v>
      </c>
      <c r="I4608" s="4">
        <v>1</v>
      </c>
      <c r="J4608" s="21">
        <v>230</v>
      </c>
      <c r="K4608" s="21">
        <v>230</v>
      </c>
      <c r="L4608" s="5">
        <v>0</v>
      </c>
      <c r="M4608" s="4"/>
      <c r="N4608" s="4"/>
      <c r="O4608" s="5"/>
      <c r="P4608" s="5"/>
      <c r="Q4608" s="21">
        <v>0</v>
      </c>
      <c r="R4608" s="21">
        <v>0</v>
      </c>
      <c r="S4608" s="5">
        <f t="shared" si="287"/>
        <v>47926.798573026426</v>
      </c>
      <c r="T4608" cm="1">
        <f t="array" ref="T4608">IF(OR(B4608="MAL ALIMI", B4608="ÜRETİM GİRİŞ"), MIN(I4608, MAX(0, I4608 + SUM(SUMIFS($I$1:I4607, $C$1:C4607, C4608, $B$1:B4607, {"MAL ALIMI","ÜRETİM GİRİŞ"})) - VLOOKUP(C4608, 'STOK RAPORU'!$C$2:$I$1000, 4, 0))), 0)</f>
        <v>0</v>
      </c>
      <c r="U4608" s="22">
        <f t="shared" si="288"/>
        <v>0</v>
      </c>
      <c r="V4608">
        <f t="shared" si="289"/>
        <v>0</v>
      </c>
      <c r="W4608" s="22">
        <f t="shared" si="290"/>
        <v>0</v>
      </c>
    </row>
    <row r="4609" spans="1:23" hidden="1" x14ac:dyDescent="0.25">
      <c r="A4609" s="45">
        <v>46077</v>
      </c>
      <c r="B4609" s="46" t="s">
        <v>334</v>
      </c>
      <c r="C4609" s="4" t="s">
        <v>96</v>
      </c>
      <c r="D4609" s="4"/>
      <c r="E4609" s="4" t="s">
        <v>921</v>
      </c>
      <c r="F4609" s="46" t="s">
        <v>2261</v>
      </c>
      <c r="G4609" s="4" t="s">
        <v>336</v>
      </c>
      <c r="H4609" s="4" t="s">
        <v>380</v>
      </c>
      <c r="I4609" s="4">
        <v>9.2499999999999999E-2</v>
      </c>
      <c r="J4609" s="21">
        <v>400</v>
      </c>
      <c r="K4609" s="21">
        <v>37</v>
      </c>
      <c r="L4609" s="5">
        <v>0</v>
      </c>
      <c r="M4609" s="4"/>
      <c r="N4609" s="4"/>
      <c r="O4609" s="5"/>
      <c r="P4609" s="5"/>
      <c r="Q4609" s="21">
        <v>0</v>
      </c>
      <c r="R4609" s="21">
        <v>0</v>
      </c>
      <c r="S4609" s="5">
        <f t="shared" si="287"/>
        <v>47926.798573026426</v>
      </c>
      <c r="T4609" cm="1">
        <f t="array" ref="T4609">IF(OR(B4609="MAL ALIMI", B4609="ÜRETİM GİRİŞ"), MIN(I4609, MAX(0, I4609 + SUM(SUMIFS($I$1:I4608, $C$1:C4608, C4609, $B$1:B4608, {"MAL ALIMI","ÜRETİM GİRİŞ"})) - VLOOKUP(C4609, 'STOK RAPORU'!$C$2:$I$1000, 4, 0))), 0)</f>
        <v>0</v>
      </c>
      <c r="U4609" s="22">
        <f t="shared" si="288"/>
        <v>0</v>
      </c>
      <c r="V4609">
        <f t="shared" si="289"/>
        <v>0</v>
      </c>
      <c r="W4609" s="22">
        <f t="shared" si="290"/>
        <v>0</v>
      </c>
    </row>
    <row r="4610" spans="1:23" hidden="1" x14ac:dyDescent="0.25">
      <c r="A4610" s="45">
        <v>46077</v>
      </c>
      <c r="B4610" s="46" t="s">
        <v>334</v>
      </c>
      <c r="C4610" s="4" t="s">
        <v>161</v>
      </c>
      <c r="D4610" s="4"/>
      <c r="E4610" s="4" t="s">
        <v>921</v>
      </c>
      <c r="F4610" s="46" t="s">
        <v>2262</v>
      </c>
      <c r="G4610" s="4" t="s">
        <v>336</v>
      </c>
      <c r="H4610" s="4" t="s">
        <v>380</v>
      </c>
      <c r="I4610" s="4">
        <v>1</v>
      </c>
      <c r="J4610" s="21">
        <v>230</v>
      </c>
      <c r="K4610" s="21">
        <v>230</v>
      </c>
      <c r="L4610" s="5">
        <v>0</v>
      </c>
      <c r="M4610" s="4"/>
      <c r="N4610" s="4"/>
      <c r="O4610" s="5"/>
      <c r="P4610" s="5"/>
      <c r="Q4610" s="21">
        <v>0</v>
      </c>
      <c r="R4610" s="21">
        <v>0</v>
      </c>
      <c r="S4610" s="5">
        <f t="shared" si="287"/>
        <v>47926.798573026426</v>
      </c>
      <c r="T4610" cm="1">
        <f t="array" ref="T4610">IF(OR(B4610="MAL ALIMI", B4610="ÜRETİM GİRİŞ"), MIN(I4610, MAX(0, I4610 + SUM(SUMIFS($I$1:I4609, $C$1:C4609, C4610, $B$1:B4609, {"MAL ALIMI","ÜRETİM GİRİŞ"})) - VLOOKUP(C4610, 'STOK RAPORU'!$C$2:$I$1000, 4, 0))), 0)</f>
        <v>0</v>
      </c>
      <c r="U4610" s="22">
        <f t="shared" si="288"/>
        <v>0</v>
      </c>
      <c r="V4610">
        <f t="shared" si="289"/>
        <v>0</v>
      </c>
      <c r="W4610" s="22">
        <f t="shared" si="290"/>
        <v>0</v>
      </c>
    </row>
    <row r="4611" spans="1:23" hidden="1" x14ac:dyDescent="0.25">
      <c r="A4611" s="45">
        <v>46077</v>
      </c>
      <c r="B4611" s="46" t="s">
        <v>334</v>
      </c>
      <c r="C4611" s="4" t="s">
        <v>160</v>
      </c>
      <c r="D4611" s="4"/>
      <c r="E4611" s="4" t="s">
        <v>921</v>
      </c>
      <c r="F4611" s="46" t="s">
        <v>2262</v>
      </c>
      <c r="G4611" s="4" t="s">
        <v>336</v>
      </c>
      <c r="H4611" s="4" t="s">
        <v>380</v>
      </c>
      <c r="I4611" s="4">
        <v>1</v>
      </c>
      <c r="J4611" s="21">
        <v>250</v>
      </c>
      <c r="K4611" s="21">
        <v>250</v>
      </c>
      <c r="L4611" s="5">
        <v>0</v>
      </c>
      <c r="M4611" s="4"/>
      <c r="N4611" s="4"/>
      <c r="O4611" s="5"/>
      <c r="P4611" s="5"/>
      <c r="Q4611" s="21">
        <v>0</v>
      </c>
      <c r="R4611" s="21">
        <v>0</v>
      </c>
      <c r="S4611" s="5">
        <f t="shared" si="287"/>
        <v>47926.798573026426</v>
      </c>
      <c r="T4611" cm="1">
        <f t="array" ref="T4611">IF(OR(B4611="MAL ALIMI", B4611="ÜRETİM GİRİŞ"), MIN(I4611, MAX(0, I4611 + SUM(SUMIFS($I$1:I4610, $C$1:C4610, C4611, $B$1:B4610, {"MAL ALIMI","ÜRETİM GİRİŞ"})) - VLOOKUP(C4611, 'STOK RAPORU'!$C$2:$I$1000, 4, 0))), 0)</f>
        <v>0</v>
      </c>
      <c r="U4611" s="22">
        <f t="shared" si="288"/>
        <v>0</v>
      </c>
      <c r="V4611">
        <f t="shared" si="289"/>
        <v>0</v>
      </c>
      <c r="W4611" s="22">
        <f t="shared" si="290"/>
        <v>0</v>
      </c>
    </row>
    <row r="4612" spans="1:23" hidden="1" x14ac:dyDescent="0.25">
      <c r="A4612" s="45">
        <v>46077</v>
      </c>
      <c r="B4612" s="46" t="s">
        <v>334</v>
      </c>
      <c r="C4612" s="4" t="s">
        <v>1375</v>
      </c>
      <c r="D4612" s="4"/>
      <c r="E4612" s="4"/>
      <c r="F4612" s="46" t="s">
        <v>2263</v>
      </c>
      <c r="G4612" s="4" t="s">
        <v>336</v>
      </c>
      <c r="H4612" s="4" t="s">
        <v>289</v>
      </c>
      <c r="I4612" s="4">
        <v>1</v>
      </c>
      <c r="J4612" s="21">
        <v>220</v>
      </c>
      <c r="K4612" s="21">
        <v>0</v>
      </c>
      <c r="L4612" s="5">
        <v>0</v>
      </c>
      <c r="M4612" s="4"/>
      <c r="N4612" s="4"/>
      <c r="O4612" s="5"/>
      <c r="P4612" s="5"/>
      <c r="Q4612" s="21">
        <v>220</v>
      </c>
      <c r="R4612" s="21">
        <v>0</v>
      </c>
      <c r="S4612" s="5">
        <f t="shared" ref="S4612:S4675" si="291">S4611+Q4612-R4612</f>
        <v>48146.798573026426</v>
      </c>
      <c r="T4612" cm="1">
        <f t="array" ref="T4612">IF(OR(B4612="MAL ALIMI", B4612="ÜRETİM GİRİŞ"), MIN(I4612, MAX(0, I4612 + SUM(SUMIFS($I$1:I4611, $C$1:C4611, C4612, $B$1:B4611, {"MAL ALIMI","ÜRETİM GİRİŞ"})) - VLOOKUP(C4612, 'STOK RAPORU'!$C$2:$I$1000, 4, 0))), 0)</f>
        <v>0</v>
      </c>
      <c r="U4612" s="22">
        <f t="shared" si="288"/>
        <v>0</v>
      </c>
      <c r="V4612">
        <f t="shared" si="289"/>
        <v>0</v>
      </c>
      <c r="W4612" s="22">
        <f t="shared" si="290"/>
        <v>0</v>
      </c>
    </row>
    <row r="4613" spans="1:23" hidden="1" x14ac:dyDescent="0.25">
      <c r="A4613" s="45">
        <v>46077</v>
      </c>
      <c r="B4613" s="46" t="s">
        <v>334</v>
      </c>
      <c r="C4613" s="4" t="s">
        <v>154</v>
      </c>
      <c r="D4613" s="4"/>
      <c r="E4613" s="4"/>
      <c r="F4613" s="46" t="s">
        <v>2263</v>
      </c>
      <c r="G4613" s="4" t="s">
        <v>336</v>
      </c>
      <c r="H4613" s="4" t="s">
        <v>289</v>
      </c>
      <c r="I4613" s="4">
        <v>0.1</v>
      </c>
      <c r="J4613" s="21">
        <v>400</v>
      </c>
      <c r="K4613" s="21">
        <v>0</v>
      </c>
      <c r="L4613" s="5">
        <v>0</v>
      </c>
      <c r="M4613" s="4"/>
      <c r="N4613" s="4"/>
      <c r="O4613" s="5"/>
      <c r="P4613" s="5"/>
      <c r="Q4613" s="21">
        <v>40</v>
      </c>
      <c r="R4613" s="21">
        <v>0</v>
      </c>
      <c r="S4613" s="5">
        <f t="shared" si="291"/>
        <v>48186.798573026426</v>
      </c>
      <c r="T4613" cm="1">
        <f t="array" ref="T4613">IF(OR(B4613="MAL ALIMI", B4613="ÜRETİM GİRİŞ"), MIN(I4613, MAX(0, I4613 + SUM(SUMIFS($I$1:I4612, $C$1:C4612, C4613, $B$1:B4612, {"MAL ALIMI","ÜRETİM GİRİŞ"})) - VLOOKUP(C4613, 'STOK RAPORU'!$C$2:$I$1000, 4, 0))), 0)</f>
        <v>0</v>
      </c>
      <c r="U4613" s="22">
        <f t="shared" si="288"/>
        <v>0</v>
      </c>
      <c r="V4613">
        <f t="shared" si="289"/>
        <v>0</v>
      </c>
      <c r="W4613" s="22">
        <f t="shared" si="290"/>
        <v>0</v>
      </c>
    </row>
    <row r="4614" spans="1:23" hidden="1" x14ac:dyDescent="0.25">
      <c r="A4614" s="45">
        <v>46077</v>
      </c>
      <c r="B4614" s="46" t="s">
        <v>334</v>
      </c>
      <c r="C4614" s="4" t="s">
        <v>224</v>
      </c>
      <c r="D4614" s="4"/>
      <c r="E4614" s="4"/>
      <c r="F4614" s="46" t="s">
        <v>2263</v>
      </c>
      <c r="G4614" s="4" t="s">
        <v>336</v>
      </c>
      <c r="H4614" s="4" t="s">
        <v>289</v>
      </c>
      <c r="I4614" s="4">
        <v>0.05</v>
      </c>
      <c r="J4614" s="21">
        <v>900</v>
      </c>
      <c r="K4614" s="21">
        <v>0</v>
      </c>
      <c r="L4614" s="5">
        <v>0</v>
      </c>
      <c r="M4614" s="4"/>
      <c r="N4614" s="4"/>
      <c r="O4614" s="5"/>
      <c r="P4614" s="5"/>
      <c r="Q4614" s="21">
        <v>45</v>
      </c>
      <c r="R4614" s="21">
        <v>0</v>
      </c>
      <c r="S4614" s="5">
        <f t="shared" si="291"/>
        <v>48231.798573026426</v>
      </c>
      <c r="T4614" cm="1">
        <f t="array" ref="T4614">IF(OR(B4614="MAL ALIMI", B4614="ÜRETİM GİRİŞ"), MIN(I4614, MAX(0, I4614 + SUM(SUMIFS($I$1:I4613, $C$1:C4613, C4614, $B$1:B4613, {"MAL ALIMI","ÜRETİM GİRİŞ"})) - VLOOKUP(C4614, 'STOK RAPORU'!$C$2:$I$1000, 4, 0))), 0)</f>
        <v>0</v>
      </c>
      <c r="U4614" s="22">
        <f t="shared" si="288"/>
        <v>0</v>
      </c>
      <c r="V4614">
        <f t="shared" si="289"/>
        <v>0</v>
      </c>
      <c r="W4614" s="22">
        <f t="shared" si="290"/>
        <v>0</v>
      </c>
    </row>
    <row r="4615" spans="1:23" hidden="1" x14ac:dyDescent="0.25">
      <c r="A4615" s="45">
        <v>46077</v>
      </c>
      <c r="B4615" s="46" t="s">
        <v>334</v>
      </c>
      <c r="C4615" s="4" t="s">
        <v>156</v>
      </c>
      <c r="D4615" s="4"/>
      <c r="E4615" s="4" t="s">
        <v>921</v>
      </c>
      <c r="F4615" s="46" t="s">
        <v>2264</v>
      </c>
      <c r="G4615" s="4" t="s">
        <v>336</v>
      </c>
      <c r="H4615" s="4" t="s">
        <v>380</v>
      </c>
      <c r="I4615" s="4">
        <v>2</v>
      </c>
      <c r="J4615" s="21">
        <v>200</v>
      </c>
      <c r="K4615" s="21">
        <v>400</v>
      </c>
      <c r="L4615" s="5">
        <v>0</v>
      </c>
      <c r="M4615" s="4"/>
      <c r="N4615" s="4"/>
      <c r="O4615" s="5"/>
      <c r="P4615" s="5"/>
      <c r="Q4615" s="21">
        <v>0</v>
      </c>
      <c r="R4615" s="21">
        <v>0</v>
      </c>
      <c r="S4615" s="5">
        <f t="shared" si="291"/>
        <v>48231.798573026426</v>
      </c>
      <c r="T4615" cm="1">
        <f t="array" ref="T4615">IF(OR(B4615="MAL ALIMI", B4615="ÜRETİM GİRİŞ"), MIN(I4615, MAX(0, I4615 + SUM(SUMIFS($I$1:I4614, $C$1:C4614, C4615, $B$1:B4614, {"MAL ALIMI","ÜRETİM GİRİŞ"})) - VLOOKUP(C4615, 'STOK RAPORU'!$C$2:$I$1000, 4, 0))), 0)</f>
        <v>0</v>
      </c>
      <c r="U4615" s="22">
        <f t="shared" si="288"/>
        <v>0</v>
      </c>
      <c r="V4615">
        <f t="shared" si="289"/>
        <v>0</v>
      </c>
      <c r="W4615" s="22">
        <f t="shared" si="290"/>
        <v>0</v>
      </c>
    </row>
    <row r="4616" spans="1:23" hidden="1" x14ac:dyDescent="0.25">
      <c r="A4616" s="45">
        <v>46077</v>
      </c>
      <c r="B4616" s="46" t="s">
        <v>334</v>
      </c>
      <c r="C4616" s="4" t="s">
        <v>160</v>
      </c>
      <c r="D4616" s="4"/>
      <c r="E4616" s="4"/>
      <c r="F4616" s="46" t="s">
        <v>2265</v>
      </c>
      <c r="G4616" s="4" t="s">
        <v>336</v>
      </c>
      <c r="H4616" s="4" t="s">
        <v>289</v>
      </c>
      <c r="I4616" s="4">
        <v>0.5</v>
      </c>
      <c r="J4616" s="21">
        <v>250</v>
      </c>
      <c r="K4616" s="21">
        <v>0</v>
      </c>
      <c r="L4616" s="5">
        <v>0</v>
      </c>
      <c r="M4616" s="4"/>
      <c r="N4616" s="4"/>
      <c r="O4616" s="5"/>
      <c r="P4616" s="5"/>
      <c r="Q4616" s="21">
        <v>125</v>
      </c>
      <c r="R4616" s="21">
        <v>0</v>
      </c>
      <c r="S4616" s="5">
        <f t="shared" si="291"/>
        <v>48356.798573026426</v>
      </c>
      <c r="T4616" cm="1">
        <f t="array" ref="T4616">IF(OR(B4616="MAL ALIMI", B4616="ÜRETİM GİRİŞ"), MIN(I4616, MAX(0, I4616 + SUM(SUMIFS($I$1:I4615, $C$1:C4615, C4616, $B$1:B4615, {"MAL ALIMI","ÜRETİM GİRİŞ"})) - VLOOKUP(C4616, 'STOK RAPORU'!$C$2:$I$1000, 4, 0))), 0)</f>
        <v>0</v>
      </c>
      <c r="U4616" s="22">
        <f t="shared" si="288"/>
        <v>0</v>
      </c>
      <c r="V4616">
        <f t="shared" si="289"/>
        <v>0</v>
      </c>
      <c r="W4616" s="22">
        <f t="shared" si="290"/>
        <v>0</v>
      </c>
    </row>
    <row r="4617" spans="1:23" hidden="1" x14ac:dyDescent="0.25">
      <c r="A4617" s="45">
        <v>46077</v>
      </c>
      <c r="B4617" s="46" t="s">
        <v>334</v>
      </c>
      <c r="C4617" s="4" t="s">
        <v>161</v>
      </c>
      <c r="D4617" s="4"/>
      <c r="E4617" s="4"/>
      <c r="F4617" s="46" t="s">
        <v>2265</v>
      </c>
      <c r="G4617" s="4" t="s">
        <v>336</v>
      </c>
      <c r="H4617" s="4" t="s">
        <v>289</v>
      </c>
      <c r="I4617" s="4">
        <v>0.5</v>
      </c>
      <c r="J4617" s="21">
        <v>230</v>
      </c>
      <c r="K4617" s="21">
        <v>0</v>
      </c>
      <c r="L4617" s="5">
        <v>0</v>
      </c>
      <c r="M4617" s="4"/>
      <c r="N4617" s="4"/>
      <c r="O4617" s="5"/>
      <c r="P4617" s="5"/>
      <c r="Q4617" s="21">
        <v>115</v>
      </c>
      <c r="R4617" s="21">
        <v>0</v>
      </c>
      <c r="S4617" s="5">
        <f t="shared" si="291"/>
        <v>48471.798573026426</v>
      </c>
      <c r="T4617" cm="1">
        <f t="array" ref="T4617">IF(OR(B4617="MAL ALIMI", B4617="ÜRETİM GİRİŞ"), MIN(I4617, MAX(0, I4617 + SUM(SUMIFS($I$1:I4616, $C$1:C4616, C4617, $B$1:B4616, {"MAL ALIMI","ÜRETİM GİRİŞ"})) - VLOOKUP(C4617, 'STOK RAPORU'!$C$2:$I$1000, 4, 0))), 0)</f>
        <v>0</v>
      </c>
      <c r="U4617" s="22">
        <f t="shared" si="288"/>
        <v>0</v>
      </c>
      <c r="V4617">
        <f t="shared" si="289"/>
        <v>0</v>
      </c>
      <c r="W4617" s="22">
        <f t="shared" si="290"/>
        <v>0</v>
      </c>
    </row>
    <row r="4618" spans="1:23" hidden="1" x14ac:dyDescent="0.25">
      <c r="A4618" s="45">
        <v>46077</v>
      </c>
      <c r="B4618" s="46" t="s">
        <v>334</v>
      </c>
      <c r="C4618" s="46" t="s">
        <v>157</v>
      </c>
      <c r="D4618" s="46"/>
      <c r="E4618" s="46"/>
      <c r="F4618" s="46" t="s">
        <v>2265</v>
      </c>
      <c r="G4618" s="46" t="s">
        <v>336</v>
      </c>
      <c r="H4618" s="46" t="s">
        <v>289</v>
      </c>
      <c r="I4618" s="46">
        <v>1</v>
      </c>
      <c r="J4618" s="47">
        <v>200</v>
      </c>
      <c r="K4618" s="47">
        <v>0</v>
      </c>
      <c r="L4618" s="48">
        <v>0</v>
      </c>
      <c r="M4618" s="42"/>
      <c r="N4618" s="42"/>
      <c r="O4618" s="44"/>
      <c r="P4618" s="44"/>
      <c r="Q4618" s="47">
        <v>200</v>
      </c>
      <c r="R4618" s="47">
        <v>0</v>
      </c>
      <c r="S4618" s="5">
        <f t="shared" si="291"/>
        <v>48671.798573026426</v>
      </c>
      <c r="T4618" cm="1">
        <f t="array" ref="T4618">IF(OR(B4618="MAL ALIMI", B4618="ÜRETİM GİRİŞ"), MIN(I4618, MAX(0, I4618 + SUM(SUMIFS($I$1:I4617, $C$1:C4617, C4618, $B$1:B4617, {"MAL ALIMI","ÜRETİM GİRİŞ"})) - VLOOKUP(C4618, 'STOK RAPORU'!$C$2:$I$1000, 4, 0))), 0)</f>
        <v>0</v>
      </c>
      <c r="U4618" s="22">
        <f t="shared" si="288"/>
        <v>0</v>
      </c>
      <c r="V4618">
        <f t="shared" si="289"/>
        <v>0</v>
      </c>
      <c r="W4618" s="22">
        <f t="shared" si="290"/>
        <v>0</v>
      </c>
    </row>
    <row r="4619" spans="1:23" hidden="1" x14ac:dyDescent="0.25">
      <c r="A4619" s="45">
        <v>46077</v>
      </c>
      <c r="B4619" s="46" t="s">
        <v>334</v>
      </c>
      <c r="C4619" s="4" t="s">
        <v>160</v>
      </c>
      <c r="D4619" s="4"/>
      <c r="E4619" s="4"/>
      <c r="F4619" s="46" t="s">
        <v>2266</v>
      </c>
      <c r="G4619" s="4" t="s">
        <v>336</v>
      </c>
      <c r="H4619" s="4" t="s">
        <v>289</v>
      </c>
      <c r="I4619" s="4">
        <v>0.5</v>
      </c>
      <c r="J4619" s="21">
        <v>250</v>
      </c>
      <c r="K4619" s="21">
        <v>0</v>
      </c>
      <c r="L4619" s="5">
        <v>0</v>
      </c>
      <c r="M4619" s="4"/>
      <c r="N4619" s="4"/>
      <c r="O4619" s="5"/>
      <c r="P4619" s="5"/>
      <c r="Q4619" s="21">
        <v>125</v>
      </c>
      <c r="R4619" s="21">
        <v>0</v>
      </c>
      <c r="S4619" s="5">
        <f t="shared" si="291"/>
        <v>48796.798573026426</v>
      </c>
      <c r="T4619" cm="1">
        <f t="array" ref="T4619">IF(OR(B4619="MAL ALIMI", B4619="ÜRETİM GİRİŞ"), MIN(I4619, MAX(0, I4619 + SUM(SUMIFS($I$1:I4618, $C$1:C4618, C4619, $B$1:B4618, {"MAL ALIMI","ÜRETİM GİRİŞ"})) - VLOOKUP(C4619, 'STOK RAPORU'!$C$2:$I$1000, 4, 0))), 0)</f>
        <v>0</v>
      </c>
      <c r="U4619" s="22">
        <f t="shared" si="288"/>
        <v>0</v>
      </c>
      <c r="V4619">
        <f t="shared" si="289"/>
        <v>0</v>
      </c>
      <c r="W4619" s="22">
        <f t="shared" si="290"/>
        <v>0</v>
      </c>
    </row>
    <row r="4620" spans="1:23" hidden="1" x14ac:dyDescent="0.25">
      <c r="A4620" s="45">
        <v>46077</v>
      </c>
      <c r="B4620" s="46" t="s">
        <v>334</v>
      </c>
      <c r="C4620" s="4" t="s">
        <v>161</v>
      </c>
      <c r="D4620" s="4"/>
      <c r="E4620" s="4"/>
      <c r="F4620" s="46" t="s">
        <v>2266</v>
      </c>
      <c r="G4620" s="4" t="s">
        <v>336</v>
      </c>
      <c r="H4620" s="4" t="s">
        <v>289</v>
      </c>
      <c r="I4620" s="4">
        <v>0.5</v>
      </c>
      <c r="J4620" s="21">
        <v>230</v>
      </c>
      <c r="K4620" s="21">
        <v>0</v>
      </c>
      <c r="L4620" s="5">
        <v>0</v>
      </c>
      <c r="M4620" s="4"/>
      <c r="N4620" s="4"/>
      <c r="O4620" s="5"/>
      <c r="P4620" s="5"/>
      <c r="Q4620" s="21">
        <v>115</v>
      </c>
      <c r="R4620" s="21">
        <v>0</v>
      </c>
      <c r="S4620" s="5">
        <f t="shared" si="291"/>
        <v>48911.798573026426</v>
      </c>
      <c r="T4620" cm="1">
        <f t="array" ref="T4620">IF(OR(B4620="MAL ALIMI", B4620="ÜRETİM GİRİŞ"), MIN(I4620, MAX(0, I4620 + SUM(SUMIFS($I$1:I4619, $C$1:C4619, C4620, $B$1:B4619, {"MAL ALIMI","ÜRETİM GİRİŞ"})) - VLOOKUP(C4620, 'STOK RAPORU'!$C$2:$I$1000, 4, 0))), 0)</f>
        <v>0</v>
      </c>
      <c r="U4620" s="22">
        <f t="shared" si="288"/>
        <v>0</v>
      </c>
      <c r="V4620">
        <f t="shared" si="289"/>
        <v>0</v>
      </c>
      <c r="W4620" s="22">
        <f t="shared" si="290"/>
        <v>0</v>
      </c>
    </row>
    <row r="4621" spans="1:23" hidden="1" x14ac:dyDescent="0.25">
      <c r="A4621" s="45">
        <v>46077</v>
      </c>
      <c r="B4621" s="46" t="s">
        <v>334</v>
      </c>
      <c r="C4621" s="4" t="s">
        <v>166</v>
      </c>
      <c r="D4621" s="4"/>
      <c r="E4621" s="4"/>
      <c r="F4621" s="46" t="s">
        <v>2266</v>
      </c>
      <c r="G4621" s="4" t="s">
        <v>336</v>
      </c>
      <c r="H4621" s="4" t="s">
        <v>289</v>
      </c>
      <c r="I4621" s="4">
        <v>4.6753246753246755E-2</v>
      </c>
      <c r="J4621" s="21">
        <v>770</v>
      </c>
      <c r="K4621" s="21">
        <v>0</v>
      </c>
      <c r="L4621" s="5">
        <v>0</v>
      </c>
      <c r="M4621" s="4"/>
      <c r="N4621" s="4"/>
      <c r="O4621" s="5"/>
      <c r="P4621" s="5"/>
      <c r="Q4621" s="21">
        <v>36</v>
      </c>
      <c r="R4621" s="21">
        <v>0</v>
      </c>
      <c r="S4621" s="5">
        <f t="shared" si="291"/>
        <v>48947.798573026426</v>
      </c>
      <c r="T4621" cm="1">
        <f t="array" ref="T4621">IF(OR(B4621="MAL ALIMI", B4621="ÜRETİM GİRİŞ"), MIN(I4621, MAX(0, I4621 + SUM(SUMIFS($I$1:I4620, $C$1:C4620, C4621, $B$1:B4620, {"MAL ALIMI","ÜRETİM GİRİŞ"})) - VLOOKUP(C4621, 'STOK RAPORU'!$C$2:$I$1000, 4, 0))), 0)</f>
        <v>0</v>
      </c>
      <c r="U4621" s="22">
        <f t="shared" si="288"/>
        <v>0</v>
      </c>
      <c r="V4621">
        <f t="shared" si="289"/>
        <v>0</v>
      </c>
      <c r="W4621" s="22">
        <f t="shared" si="290"/>
        <v>0</v>
      </c>
    </row>
    <row r="4622" spans="1:23" hidden="1" x14ac:dyDescent="0.25">
      <c r="A4622" s="45">
        <v>46077</v>
      </c>
      <c r="B4622" s="46" t="s">
        <v>334</v>
      </c>
      <c r="C4622" s="4" t="s">
        <v>1896</v>
      </c>
      <c r="D4622" s="4"/>
      <c r="E4622" s="4"/>
      <c r="F4622" s="46" t="s">
        <v>2266</v>
      </c>
      <c r="G4622" s="4" t="s">
        <v>336</v>
      </c>
      <c r="H4622" s="4" t="s">
        <v>289</v>
      </c>
      <c r="I4622" s="4">
        <v>0.1</v>
      </c>
      <c r="J4622" s="21">
        <v>400</v>
      </c>
      <c r="K4622" s="21">
        <v>0</v>
      </c>
      <c r="L4622" s="5">
        <v>0</v>
      </c>
      <c r="M4622" s="4"/>
      <c r="N4622" s="4"/>
      <c r="O4622" s="5"/>
      <c r="P4622" s="5"/>
      <c r="Q4622" s="21">
        <v>40</v>
      </c>
      <c r="R4622" s="21">
        <v>0</v>
      </c>
      <c r="S4622" s="5">
        <f t="shared" si="291"/>
        <v>48987.798573026426</v>
      </c>
      <c r="T4622" cm="1">
        <f t="array" ref="T4622">IF(OR(B4622="MAL ALIMI", B4622="ÜRETİM GİRİŞ"), MIN(I4622, MAX(0, I4622 + SUM(SUMIFS($I$1:I4621, $C$1:C4621, C4622, $B$1:B4621, {"MAL ALIMI","ÜRETİM GİRİŞ"})) - VLOOKUP(C4622, 'STOK RAPORU'!$C$2:$I$1000, 4, 0))), 0)</f>
        <v>0</v>
      </c>
      <c r="U4622" s="22">
        <f t="shared" si="288"/>
        <v>0</v>
      </c>
      <c r="V4622">
        <f t="shared" si="289"/>
        <v>0</v>
      </c>
      <c r="W4622" s="22">
        <f t="shared" si="290"/>
        <v>0</v>
      </c>
    </row>
    <row r="4623" spans="1:23" hidden="1" x14ac:dyDescent="0.25">
      <c r="A4623" s="45">
        <v>46077</v>
      </c>
      <c r="B4623" s="46" t="s">
        <v>334</v>
      </c>
      <c r="C4623" s="4" t="s">
        <v>463</v>
      </c>
      <c r="D4623" s="4"/>
      <c r="E4623" s="4"/>
      <c r="F4623" s="46" t="s">
        <v>2266</v>
      </c>
      <c r="G4623" s="4" t="s">
        <v>336</v>
      </c>
      <c r="H4623" s="4" t="s">
        <v>289</v>
      </c>
      <c r="I4623" s="4">
        <v>9.7500000000000003E-2</v>
      </c>
      <c r="J4623" s="21">
        <v>400</v>
      </c>
      <c r="K4623" s="21">
        <v>0</v>
      </c>
      <c r="L4623" s="5">
        <v>0</v>
      </c>
      <c r="M4623" s="4"/>
      <c r="N4623" s="4"/>
      <c r="O4623" s="5"/>
      <c r="P4623" s="5"/>
      <c r="Q4623" s="21">
        <v>39</v>
      </c>
      <c r="R4623" s="21">
        <v>0</v>
      </c>
      <c r="S4623" s="5">
        <f t="shared" si="291"/>
        <v>49026.798573026426</v>
      </c>
      <c r="T4623" cm="1">
        <f t="array" ref="T4623">IF(OR(B4623="MAL ALIMI", B4623="ÜRETİM GİRİŞ"), MIN(I4623, MAX(0, I4623 + SUM(SUMIFS($I$1:I4622, $C$1:C4622, C4623, $B$1:B4622, {"MAL ALIMI","ÜRETİM GİRİŞ"})) - VLOOKUP(C4623, 'STOK RAPORU'!$C$2:$I$1000, 4, 0))), 0)</f>
        <v>0</v>
      </c>
      <c r="U4623" s="22">
        <f t="shared" si="288"/>
        <v>0</v>
      </c>
      <c r="V4623">
        <f t="shared" si="289"/>
        <v>0</v>
      </c>
      <c r="W4623" s="22">
        <f t="shared" si="290"/>
        <v>0</v>
      </c>
    </row>
    <row r="4624" spans="1:23" hidden="1" x14ac:dyDescent="0.25">
      <c r="A4624" s="45">
        <v>46077</v>
      </c>
      <c r="B4624" s="46" t="s">
        <v>334</v>
      </c>
      <c r="C4624" s="4" t="s">
        <v>74</v>
      </c>
      <c r="D4624" s="4"/>
      <c r="E4624" s="4" t="s">
        <v>921</v>
      </c>
      <c r="F4624" s="46" t="s">
        <v>2267</v>
      </c>
      <c r="G4624" s="4" t="s">
        <v>336</v>
      </c>
      <c r="H4624" s="4" t="s">
        <v>380</v>
      </c>
      <c r="I4624" s="4">
        <v>0.05</v>
      </c>
      <c r="J4624" s="21">
        <v>1500</v>
      </c>
      <c r="K4624" s="21">
        <v>75</v>
      </c>
      <c r="L4624" s="5">
        <v>0</v>
      </c>
      <c r="M4624" s="4"/>
      <c r="N4624" s="4"/>
      <c r="O4624" s="5"/>
      <c r="P4624" s="5"/>
      <c r="Q4624" s="21">
        <v>0</v>
      </c>
      <c r="R4624" s="21">
        <v>0</v>
      </c>
      <c r="S4624" s="5">
        <f t="shared" si="291"/>
        <v>49026.798573026426</v>
      </c>
      <c r="T4624" cm="1">
        <f t="array" ref="T4624">IF(OR(B4624="MAL ALIMI", B4624="ÜRETİM GİRİŞ"), MIN(I4624, MAX(0, I4624 + SUM(SUMIFS($I$1:I4623, $C$1:C4623, C4624, $B$1:B4623, {"MAL ALIMI","ÜRETİM GİRİŞ"})) - VLOOKUP(C4624, 'STOK RAPORU'!$C$2:$I$1000, 4, 0))), 0)</f>
        <v>0</v>
      </c>
      <c r="U4624" s="22">
        <f t="shared" si="288"/>
        <v>0</v>
      </c>
      <c r="V4624">
        <f t="shared" si="289"/>
        <v>0</v>
      </c>
      <c r="W4624" s="22">
        <f t="shared" si="290"/>
        <v>0</v>
      </c>
    </row>
    <row r="4625" spans="1:23" hidden="1" x14ac:dyDescent="0.25">
      <c r="A4625" s="45">
        <v>46077</v>
      </c>
      <c r="B4625" s="46" t="s">
        <v>334</v>
      </c>
      <c r="C4625" s="4" t="s">
        <v>1501</v>
      </c>
      <c r="D4625" s="4"/>
      <c r="E4625" s="4"/>
      <c r="F4625" s="46" t="s">
        <v>2268</v>
      </c>
      <c r="G4625" s="4" t="s">
        <v>336</v>
      </c>
      <c r="H4625" s="4" t="s">
        <v>289</v>
      </c>
      <c r="I4625" s="4">
        <v>1</v>
      </c>
      <c r="J4625" s="21">
        <v>600</v>
      </c>
      <c r="K4625" s="21">
        <v>0</v>
      </c>
      <c r="L4625" s="5">
        <v>0</v>
      </c>
      <c r="M4625" s="4"/>
      <c r="N4625" s="4"/>
      <c r="O4625" s="5"/>
      <c r="P4625" s="5"/>
      <c r="Q4625" s="21">
        <v>600</v>
      </c>
      <c r="R4625" s="21">
        <v>0</v>
      </c>
      <c r="S4625" s="5">
        <f t="shared" si="291"/>
        <v>49626.798573026426</v>
      </c>
      <c r="T4625" cm="1">
        <f t="array" ref="T4625">IF(OR(B4625="MAL ALIMI", B4625="ÜRETİM GİRİŞ"), MIN(I4625, MAX(0, I4625 + SUM(SUMIFS($I$1:I4624, $C$1:C4624, C4625, $B$1:B4624, {"MAL ALIMI","ÜRETİM GİRİŞ"})) - VLOOKUP(C4625, 'STOK RAPORU'!$C$2:$I$1000, 4, 0))), 0)</f>
        <v>0</v>
      </c>
      <c r="U4625" s="22">
        <f t="shared" si="288"/>
        <v>0</v>
      </c>
      <c r="V4625">
        <f t="shared" si="289"/>
        <v>0</v>
      </c>
      <c r="W4625" s="22">
        <f t="shared" si="290"/>
        <v>0</v>
      </c>
    </row>
    <row r="4626" spans="1:23" hidden="1" x14ac:dyDescent="0.25">
      <c r="A4626" s="45">
        <v>46077</v>
      </c>
      <c r="B4626" s="46" t="s">
        <v>334</v>
      </c>
      <c r="C4626" s="4" t="s">
        <v>160</v>
      </c>
      <c r="D4626" s="4"/>
      <c r="E4626" s="4"/>
      <c r="F4626" s="46" t="s">
        <v>2269</v>
      </c>
      <c r="G4626" s="4" t="s">
        <v>336</v>
      </c>
      <c r="H4626" s="4" t="s">
        <v>289</v>
      </c>
      <c r="I4626" s="4">
        <v>0.5</v>
      </c>
      <c r="J4626" s="21">
        <v>250</v>
      </c>
      <c r="K4626" s="21">
        <v>0</v>
      </c>
      <c r="L4626" s="5">
        <v>0</v>
      </c>
      <c r="M4626" s="4"/>
      <c r="N4626" s="4"/>
      <c r="O4626" s="5"/>
      <c r="P4626" s="5"/>
      <c r="Q4626" s="21">
        <v>125</v>
      </c>
      <c r="R4626" s="21">
        <v>0</v>
      </c>
      <c r="S4626" s="5">
        <f t="shared" si="291"/>
        <v>49751.798573026426</v>
      </c>
      <c r="T4626" cm="1">
        <f t="array" ref="T4626">IF(OR(B4626="MAL ALIMI", B4626="ÜRETİM GİRİŞ"), MIN(I4626, MAX(0, I4626 + SUM(SUMIFS($I$1:I4625, $C$1:C4625, C4626, $B$1:B4625, {"MAL ALIMI","ÜRETİM GİRİŞ"})) - VLOOKUP(C4626, 'STOK RAPORU'!$C$2:$I$1000, 4, 0))), 0)</f>
        <v>0</v>
      </c>
      <c r="U4626" s="22">
        <f t="shared" si="288"/>
        <v>0</v>
      </c>
      <c r="V4626">
        <f t="shared" si="289"/>
        <v>0</v>
      </c>
      <c r="W4626" s="22">
        <f t="shared" si="290"/>
        <v>0</v>
      </c>
    </row>
    <row r="4627" spans="1:23" hidden="1" x14ac:dyDescent="0.25">
      <c r="A4627" s="45">
        <v>46077</v>
      </c>
      <c r="B4627" s="46" t="s">
        <v>334</v>
      </c>
      <c r="C4627" s="4" t="s">
        <v>161</v>
      </c>
      <c r="D4627" s="4"/>
      <c r="E4627" s="4"/>
      <c r="F4627" s="46" t="s">
        <v>2269</v>
      </c>
      <c r="G4627" s="4" t="s">
        <v>336</v>
      </c>
      <c r="H4627" s="4" t="s">
        <v>289</v>
      </c>
      <c r="I4627" s="4">
        <v>0.5</v>
      </c>
      <c r="J4627" s="21">
        <v>230</v>
      </c>
      <c r="K4627" s="21">
        <v>0</v>
      </c>
      <c r="L4627" s="5">
        <v>0</v>
      </c>
      <c r="M4627" s="4"/>
      <c r="N4627" s="4"/>
      <c r="O4627" s="5"/>
      <c r="P4627" s="5"/>
      <c r="Q4627" s="21">
        <v>115</v>
      </c>
      <c r="R4627" s="21">
        <v>0</v>
      </c>
      <c r="S4627" s="5">
        <f t="shared" si="291"/>
        <v>49866.798573026426</v>
      </c>
      <c r="T4627" cm="1">
        <f t="array" ref="T4627">IF(OR(B4627="MAL ALIMI", B4627="ÜRETİM GİRİŞ"), MIN(I4627, MAX(0, I4627 + SUM(SUMIFS($I$1:I4626, $C$1:C4626, C4627, $B$1:B4626, {"MAL ALIMI","ÜRETİM GİRİŞ"})) - VLOOKUP(C4627, 'STOK RAPORU'!$C$2:$I$1000, 4, 0))), 0)</f>
        <v>0</v>
      </c>
      <c r="U4627" s="22">
        <f t="shared" si="288"/>
        <v>0</v>
      </c>
      <c r="V4627">
        <f t="shared" si="289"/>
        <v>0</v>
      </c>
      <c r="W4627" s="22">
        <f t="shared" si="290"/>
        <v>0</v>
      </c>
    </row>
    <row r="4628" spans="1:23" hidden="1" x14ac:dyDescent="0.25">
      <c r="A4628" s="45">
        <v>46077</v>
      </c>
      <c r="B4628" s="46" t="s">
        <v>334</v>
      </c>
      <c r="C4628" s="4" t="s">
        <v>143</v>
      </c>
      <c r="D4628" s="4"/>
      <c r="E4628" s="4"/>
      <c r="F4628" s="46" t="s">
        <v>2269</v>
      </c>
      <c r="G4628" s="4" t="s">
        <v>336</v>
      </c>
      <c r="H4628" s="4" t="s">
        <v>289</v>
      </c>
      <c r="I4628" s="4">
        <v>1</v>
      </c>
      <c r="J4628" s="21">
        <v>100</v>
      </c>
      <c r="K4628" s="21">
        <v>0</v>
      </c>
      <c r="L4628" s="5">
        <v>0</v>
      </c>
      <c r="M4628" s="4"/>
      <c r="N4628" s="4"/>
      <c r="O4628" s="5"/>
      <c r="P4628" s="5"/>
      <c r="Q4628" s="21">
        <v>100</v>
      </c>
      <c r="R4628" s="21">
        <v>0</v>
      </c>
      <c r="S4628" s="5">
        <f t="shared" si="291"/>
        <v>49966.798573026426</v>
      </c>
      <c r="T4628" cm="1">
        <f t="array" ref="T4628">IF(OR(B4628="MAL ALIMI", B4628="ÜRETİM GİRİŞ"), MIN(I4628, MAX(0, I4628 + SUM(SUMIFS($I$1:I4627, $C$1:C4627, C4628, $B$1:B4627, {"MAL ALIMI","ÜRETİM GİRİŞ"})) - VLOOKUP(C4628, 'STOK RAPORU'!$C$2:$I$1000, 4, 0))), 0)</f>
        <v>0</v>
      </c>
      <c r="U4628" s="22">
        <f t="shared" si="288"/>
        <v>0</v>
      </c>
      <c r="V4628">
        <f t="shared" si="289"/>
        <v>0</v>
      </c>
      <c r="W4628" s="22">
        <f t="shared" si="290"/>
        <v>0</v>
      </c>
    </row>
    <row r="4629" spans="1:23" hidden="1" x14ac:dyDescent="0.25">
      <c r="A4629" s="45">
        <v>46077</v>
      </c>
      <c r="B4629" s="46" t="s">
        <v>334</v>
      </c>
      <c r="C4629" s="4" t="s">
        <v>133</v>
      </c>
      <c r="D4629" s="4"/>
      <c r="E4629" s="4"/>
      <c r="F4629" s="46" t="s">
        <v>2269</v>
      </c>
      <c r="G4629" s="4" t="s">
        <v>336</v>
      </c>
      <c r="H4629" s="4" t="s">
        <v>289</v>
      </c>
      <c r="I4629" s="4">
        <v>0.12</v>
      </c>
      <c r="J4629" s="21">
        <v>400</v>
      </c>
      <c r="K4629" s="21">
        <v>0</v>
      </c>
      <c r="L4629" s="5">
        <v>0</v>
      </c>
      <c r="M4629" s="4"/>
      <c r="N4629" s="4"/>
      <c r="O4629" s="5"/>
      <c r="P4629" s="5"/>
      <c r="Q4629" s="21">
        <v>48</v>
      </c>
      <c r="R4629" s="21">
        <v>0</v>
      </c>
      <c r="S4629" s="5">
        <f t="shared" si="291"/>
        <v>50014.798573026426</v>
      </c>
      <c r="T4629" cm="1">
        <f t="array" ref="T4629">IF(OR(B4629="MAL ALIMI", B4629="ÜRETİM GİRİŞ"), MIN(I4629, MAX(0, I4629 + SUM(SUMIFS($I$1:I4628, $C$1:C4628, C4629, $B$1:B4628, {"MAL ALIMI","ÜRETİM GİRİŞ"})) - VLOOKUP(C4629, 'STOK RAPORU'!$C$2:$I$1000, 4, 0))), 0)</f>
        <v>0</v>
      </c>
      <c r="U4629" s="22">
        <f t="shared" si="288"/>
        <v>0</v>
      </c>
      <c r="V4629">
        <f t="shared" si="289"/>
        <v>0</v>
      </c>
      <c r="W4629" s="22">
        <f t="shared" si="290"/>
        <v>0</v>
      </c>
    </row>
    <row r="4630" spans="1:23" hidden="1" x14ac:dyDescent="0.25">
      <c r="A4630" s="45">
        <v>46077</v>
      </c>
      <c r="B4630" s="46" t="s">
        <v>334</v>
      </c>
      <c r="C4630" s="4" t="s">
        <v>74</v>
      </c>
      <c r="D4630" s="4"/>
      <c r="E4630" s="4" t="s">
        <v>921</v>
      </c>
      <c r="F4630" s="46" t="s">
        <v>2270</v>
      </c>
      <c r="G4630" s="4" t="s">
        <v>336</v>
      </c>
      <c r="H4630" s="4" t="s">
        <v>380</v>
      </c>
      <c r="I4630" s="4">
        <v>0.05</v>
      </c>
      <c r="J4630" s="21">
        <v>1500</v>
      </c>
      <c r="K4630" s="21">
        <v>75</v>
      </c>
      <c r="L4630" s="5">
        <v>0</v>
      </c>
      <c r="M4630" s="4"/>
      <c r="N4630" s="4"/>
      <c r="O4630" s="5"/>
      <c r="P4630" s="5"/>
      <c r="Q4630" s="21">
        <v>0</v>
      </c>
      <c r="R4630" s="21">
        <v>0</v>
      </c>
      <c r="S4630" s="5">
        <f t="shared" si="291"/>
        <v>50014.798573026426</v>
      </c>
      <c r="T4630" cm="1">
        <f t="array" ref="T4630">IF(OR(B4630="MAL ALIMI", B4630="ÜRETİM GİRİŞ"), MIN(I4630, MAX(0, I4630 + SUM(SUMIFS($I$1:I4629, $C$1:C4629, C4630, $B$1:B4629, {"MAL ALIMI","ÜRETİM GİRİŞ"})) - VLOOKUP(C4630, 'STOK RAPORU'!$C$2:$I$1000, 4, 0))), 0)</f>
        <v>0</v>
      </c>
      <c r="U4630" s="22">
        <f t="shared" si="288"/>
        <v>0</v>
      </c>
      <c r="V4630">
        <f t="shared" si="289"/>
        <v>0</v>
      </c>
      <c r="W4630" s="22">
        <f t="shared" si="290"/>
        <v>0</v>
      </c>
    </row>
    <row r="4631" spans="1:23" hidden="1" x14ac:dyDescent="0.25">
      <c r="A4631" s="45">
        <v>46077</v>
      </c>
      <c r="B4631" s="46" t="s">
        <v>334</v>
      </c>
      <c r="C4631" s="4" t="s">
        <v>529</v>
      </c>
      <c r="D4631" s="4"/>
      <c r="E4631" s="4" t="s">
        <v>921</v>
      </c>
      <c r="F4631" s="46" t="s">
        <v>2270</v>
      </c>
      <c r="G4631" s="4" t="s">
        <v>336</v>
      </c>
      <c r="H4631" s="4" t="s">
        <v>380</v>
      </c>
      <c r="I4631" s="4">
        <v>0.1</v>
      </c>
      <c r="J4631" s="21">
        <v>600</v>
      </c>
      <c r="K4631" s="21">
        <v>60</v>
      </c>
      <c r="L4631" s="5">
        <v>0</v>
      </c>
      <c r="M4631" s="4"/>
      <c r="N4631" s="4"/>
      <c r="O4631" s="5"/>
      <c r="P4631" s="5"/>
      <c r="Q4631" s="21">
        <v>0</v>
      </c>
      <c r="R4631" s="21">
        <v>0</v>
      </c>
      <c r="S4631" s="5">
        <f t="shared" si="291"/>
        <v>50014.798573026426</v>
      </c>
      <c r="T4631" cm="1">
        <f t="array" ref="T4631">IF(OR(B4631="MAL ALIMI", B4631="ÜRETİM GİRİŞ"), MIN(I4631, MAX(0, I4631 + SUM(SUMIFS($I$1:I4630, $C$1:C4630, C4631, $B$1:B4630, {"MAL ALIMI","ÜRETİM GİRİŞ"})) - VLOOKUP(C4631, 'STOK RAPORU'!$C$2:$I$1000, 4, 0))), 0)</f>
        <v>0</v>
      </c>
      <c r="U4631" s="22">
        <f t="shared" si="288"/>
        <v>0</v>
      </c>
      <c r="V4631">
        <f t="shared" si="289"/>
        <v>0</v>
      </c>
      <c r="W4631" s="22">
        <f t="shared" si="290"/>
        <v>0</v>
      </c>
    </row>
    <row r="4632" spans="1:23" hidden="1" x14ac:dyDescent="0.25">
      <c r="A4632" s="45">
        <v>46077</v>
      </c>
      <c r="B4632" s="46" t="s">
        <v>334</v>
      </c>
      <c r="C4632" s="4" t="s">
        <v>1634</v>
      </c>
      <c r="D4632" s="4"/>
      <c r="E4632" s="4" t="s">
        <v>921</v>
      </c>
      <c r="F4632" s="46" t="s">
        <v>2270</v>
      </c>
      <c r="G4632" s="4" t="s">
        <v>336</v>
      </c>
      <c r="H4632" s="4" t="s">
        <v>380</v>
      </c>
      <c r="I4632" s="4">
        <v>0.5</v>
      </c>
      <c r="J4632" s="21">
        <v>300</v>
      </c>
      <c r="K4632" s="21">
        <v>150</v>
      </c>
      <c r="L4632" s="5">
        <v>0</v>
      </c>
      <c r="M4632" s="4"/>
      <c r="N4632" s="4"/>
      <c r="O4632" s="5"/>
      <c r="P4632" s="5"/>
      <c r="Q4632" s="21">
        <v>0</v>
      </c>
      <c r="R4632" s="21">
        <v>0</v>
      </c>
      <c r="S4632" s="5">
        <f t="shared" si="291"/>
        <v>50014.798573026426</v>
      </c>
      <c r="T4632" cm="1">
        <f t="array" ref="T4632">IF(OR(B4632="MAL ALIMI", B4632="ÜRETİM GİRİŞ"), MIN(I4632, MAX(0, I4632 + SUM(SUMIFS($I$1:I4631, $C$1:C4631, C4632, $B$1:B4631, {"MAL ALIMI","ÜRETİM GİRİŞ"})) - VLOOKUP(C4632, 'STOK RAPORU'!$C$2:$I$1000, 4, 0))), 0)</f>
        <v>0</v>
      </c>
      <c r="U4632" s="22">
        <f t="shared" si="288"/>
        <v>0</v>
      </c>
      <c r="V4632">
        <f t="shared" si="289"/>
        <v>0</v>
      </c>
      <c r="W4632" s="22">
        <f t="shared" si="290"/>
        <v>0</v>
      </c>
    </row>
    <row r="4633" spans="1:23" hidden="1" x14ac:dyDescent="0.25">
      <c r="A4633" s="45">
        <v>46077</v>
      </c>
      <c r="B4633" s="46" t="s">
        <v>334</v>
      </c>
      <c r="C4633" s="4" t="s">
        <v>166</v>
      </c>
      <c r="D4633" s="4"/>
      <c r="E4633" s="4" t="s">
        <v>921</v>
      </c>
      <c r="F4633" s="46" t="s">
        <v>2271</v>
      </c>
      <c r="G4633" s="4" t="s">
        <v>336</v>
      </c>
      <c r="H4633" s="4" t="s">
        <v>380</v>
      </c>
      <c r="I4633" s="4">
        <v>0.32</v>
      </c>
      <c r="J4633" s="21">
        <v>770</v>
      </c>
      <c r="K4633" s="21">
        <v>246.4</v>
      </c>
      <c r="L4633" s="5">
        <v>0</v>
      </c>
      <c r="M4633" s="4"/>
      <c r="N4633" s="4"/>
      <c r="O4633" s="5"/>
      <c r="P4633" s="5"/>
      <c r="Q4633" s="21">
        <v>0</v>
      </c>
      <c r="R4633" s="21">
        <v>0</v>
      </c>
      <c r="S4633" s="5">
        <f t="shared" si="291"/>
        <v>50014.798573026426</v>
      </c>
      <c r="T4633" cm="1">
        <f t="array" ref="T4633">IF(OR(B4633="MAL ALIMI", B4633="ÜRETİM GİRİŞ"), MIN(I4633, MAX(0, I4633 + SUM(SUMIFS($I$1:I4632, $C$1:C4632, C4633, $B$1:B4632, {"MAL ALIMI","ÜRETİM GİRİŞ"})) - VLOOKUP(C4633, 'STOK RAPORU'!$C$2:$I$1000, 4, 0))), 0)</f>
        <v>0</v>
      </c>
      <c r="U4633" s="22">
        <f t="shared" si="288"/>
        <v>0</v>
      </c>
      <c r="V4633">
        <f t="shared" si="289"/>
        <v>0</v>
      </c>
      <c r="W4633" s="22">
        <f t="shared" si="290"/>
        <v>0</v>
      </c>
    </row>
    <row r="4634" spans="1:23" hidden="1" x14ac:dyDescent="0.25">
      <c r="A4634" s="45">
        <v>46077</v>
      </c>
      <c r="B4634" s="46" t="s">
        <v>334</v>
      </c>
      <c r="C4634" s="46" t="s">
        <v>140</v>
      </c>
      <c r="D4634" s="46"/>
      <c r="E4634" s="46"/>
      <c r="F4634" s="46" t="s">
        <v>2272</v>
      </c>
      <c r="G4634" s="46" t="s">
        <v>2280</v>
      </c>
      <c r="H4634" s="46" t="s">
        <v>289</v>
      </c>
      <c r="I4634" s="46">
        <v>0.2</v>
      </c>
      <c r="J4634" s="47">
        <v>300</v>
      </c>
      <c r="K4634" s="47">
        <v>0</v>
      </c>
      <c r="L4634" s="48">
        <v>0</v>
      </c>
      <c r="M4634" s="42"/>
      <c r="N4634" s="42"/>
      <c r="O4634" s="44"/>
      <c r="P4634" s="44"/>
      <c r="Q4634" s="47">
        <v>60</v>
      </c>
      <c r="R4634" s="47">
        <v>0</v>
      </c>
      <c r="S4634" s="5">
        <f t="shared" si="291"/>
        <v>50074.798573026426</v>
      </c>
      <c r="T4634" cm="1">
        <f t="array" ref="T4634">IF(OR(B4634="MAL ALIMI", B4634="ÜRETİM GİRİŞ"), MIN(I4634, MAX(0, I4634 + SUM(SUMIFS($I$1:I4633, $C$1:C4633, C4634, $B$1:B4633, {"MAL ALIMI","ÜRETİM GİRİŞ"})) - VLOOKUP(C4634, 'STOK RAPORU'!$C$2:$I$1000, 4, 0))), 0)</f>
        <v>0</v>
      </c>
      <c r="U4634" s="22">
        <f t="shared" si="288"/>
        <v>0</v>
      </c>
      <c r="V4634">
        <f t="shared" si="289"/>
        <v>0</v>
      </c>
      <c r="W4634" s="22">
        <f t="shared" si="290"/>
        <v>0</v>
      </c>
    </row>
    <row r="4635" spans="1:23" hidden="1" x14ac:dyDescent="0.25">
      <c r="A4635" s="45">
        <v>46077</v>
      </c>
      <c r="B4635" s="46" t="s">
        <v>334</v>
      </c>
      <c r="C4635" s="46" t="s">
        <v>60</v>
      </c>
      <c r="D4635" s="46"/>
      <c r="E4635" s="46"/>
      <c r="F4635" s="46" t="s">
        <v>2272</v>
      </c>
      <c r="G4635" s="46" t="s">
        <v>2280</v>
      </c>
      <c r="H4635" s="46" t="s">
        <v>289</v>
      </c>
      <c r="I4635" s="46">
        <v>0.1</v>
      </c>
      <c r="J4635" s="47">
        <v>1200</v>
      </c>
      <c r="K4635" s="47">
        <v>0</v>
      </c>
      <c r="L4635" s="48">
        <v>0</v>
      </c>
      <c r="M4635" s="42"/>
      <c r="N4635" s="42"/>
      <c r="O4635" s="44"/>
      <c r="P4635" s="44"/>
      <c r="Q4635" s="47">
        <v>120</v>
      </c>
      <c r="R4635" s="47">
        <v>0</v>
      </c>
      <c r="S4635" s="5">
        <f t="shared" si="291"/>
        <v>50194.798573026426</v>
      </c>
      <c r="T4635" cm="1">
        <f t="array" ref="T4635">IF(OR(B4635="MAL ALIMI", B4635="ÜRETİM GİRİŞ"), MIN(I4635, MAX(0, I4635 + SUM(SUMIFS($I$1:I4634, $C$1:C4634, C4635, $B$1:B4634, {"MAL ALIMI","ÜRETİM GİRİŞ"})) - VLOOKUP(C4635, 'STOK RAPORU'!$C$2:$I$1000, 4, 0))), 0)</f>
        <v>0</v>
      </c>
      <c r="U4635" s="22">
        <f t="shared" si="288"/>
        <v>0</v>
      </c>
      <c r="V4635">
        <f t="shared" si="289"/>
        <v>0</v>
      </c>
      <c r="W4635" s="22">
        <f t="shared" si="290"/>
        <v>0</v>
      </c>
    </row>
    <row r="4636" spans="1:23" hidden="1" x14ac:dyDescent="0.25">
      <c r="A4636" s="3">
        <v>46077</v>
      </c>
      <c r="B4636" s="4" t="s">
        <v>334</v>
      </c>
      <c r="C4636" s="4" t="s">
        <v>2273</v>
      </c>
      <c r="D4636" s="4"/>
      <c r="E4636" s="4"/>
      <c r="F4636" s="46" t="s">
        <v>2306</v>
      </c>
      <c r="G4636" s="4" t="s">
        <v>336</v>
      </c>
      <c r="H4636" s="4" t="s">
        <v>289</v>
      </c>
      <c r="I4636" s="4">
        <v>4</v>
      </c>
      <c r="J4636" s="21">
        <v>30</v>
      </c>
      <c r="K4636" s="21">
        <v>0</v>
      </c>
      <c r="L4636" s="5">
        <v>0</v>
      </c>
      <c r="M4636" s="4"/>
      <c r="N4636" s="4"/>
      <c r="O4636" s="5"/>
      <c r="P4636" s="5"/>
      <c r="Q4636" s="21">
        <v>120</v>
      </c>
      <c r="R4636" s="21">
        <v>0</v>
      </c>
      <c r="S4636" s="5">
        <f t="shared" si="291"/>
        <v>50314.798573026426</v>
      </c>
      <c r="T4636" cm="1">
        <f t="array" ref="T4636">IF(OR(B4636="MAL ALIMI", B4636="ÜRETİM GİRİŞ"), MIN(I4636, MAX(0, I4636 + SUM(SUMIFS($I$1:I4635, $C$1:C4635, C4636, $B$1:B4635, {"MAL ALIMI","ÜRETİM GİRİŞ"})) - VLOOKUP(C4636, 'STOK RAPORU'!$C$2:$I$1000, 4, 0))), 0)</f>
        <v>0</v>
      </c>
      <c r="U4636" s="22">
        <f t="shared" si="288"/>
        <v>0</v>
      </c>
      <c r="V4636">
        <f t="shared" si="289"/>
        <v>0</v>
      </c>
      <c r="W4636" s="22">
        <f t="shared" si="290"/>
        <v>0</v>
      </c>
    </row>
    <row r="4637" spans="1:23" hidden="1" x14ac:dyDescent="0.25">
      <c r="A4637" s="3">
        <v>46077</v>
      </c>
      <c r="B4637" s="4" t="s">
        <v>334</v>
      </c>
      <c r="C4637" s="4" t="s">
        <v>157</v>
      </c>
      <c r="D4637" s="4"/>
      <c r="E4637" s="4" t="s">
        <v>2348</v>
      </c>
      <c r="F4637" s="46" t="s">
        <v>2306</v>
      </c>
      <c r="G4637" s="4" t="s">
        <v>439</v>
      </c>
      <c r="H4637" s="46" t="s">
        <v>304</v>
      </c>
      <c r="I4637" s="4">
        <v>19.350000000000001</v>
      </c>
      <c r="J4637" s="21">
        <v>144.7028</v>
      </c>
      <c r="K4637" s="21">
        <v>2800</v>
      </c>
      <c r="L4637" s="5">
        <v>0</v>
      </c>
      <c r="M4637" s="4"/>
      <c r="N4637" s="4"/>
      <c r="O4637" s="5"/>
      <c r="P4637" s="5"/>
      <c r="Q4637" s="21">
        <v>0</v>
      </c>
      <c r="R4637" s="21">
        <v>0</v>
      </c>
      <c r="S4637" s="5">
        <f t="shared" si="291"/>
        <v>50314.798573026426</v>
      </c>
      <c r="T4637" cm="1">
        <f t="array" ref="T4637">IF(OR(B4637="MAL ALIMI", B4637="ÜRETİM GİRİŞ"), MIN(I4637, MAX(0, I4637 + SUM(SUMIFS($I$1:I4636, $C$1:C4636, C4637, $B$1:B4636, {"MAL ALIMI","ÜRETİM GİRİŞ"})) - VLOOKUP(C4637, 'STOK RAPORU'!$C$2:$I$1000, 4, 0))), 0)</f>
        <v>0</v>
      </c>
      <c r="U4637" s="22">
        <f t="shared" si="288"/>
        <v>0</v>
      </c>
      <c r="V4637">
        <f t="shared" si="289"/>
        <v>0</v>
      </c>
      <c r="W4637" s="22">
        <f t="shared" si="290"/>
        <v>0</v>
      </c>
    </row>
    <row r="4638" spans="1:23" hidden="1" x14ac:dyDescent="0.25">
      <c r="A4638" s="3">
        <v>46077</v>
      </c>
      <c r="B4638" s="4" t="s">
        <v>334</v>
      </c>
      <c r="C4638" s="4" t="s">
        <v>697</v>
      </c>
      <c r="D4638" s="4"/>
      <c r="E4638" s="4" t="s">
        <v>2348</v>
      </c>
      <c r="F4638" s="46" t="s">
        <v>2306</v>
      </c>
      <c r="G4638" s="4" t="s">
        <v>439</v>
      </c>
      <c r="H4638" s="46" t="s">
        <v>304</v>
      </c>
      <c r="I4638" s="4">
        <v>3</v>
      </c>
      <c r="J4638" s="21">
        <v>375</v>
      </c>
      <c r="K4638" s="21">
        <v>1125</v>
      </c>
      <c r="L4638" s="5">
        <v>0</v>
      </c>
      <c r="M4638" s="4"/>
      <c r="N4638" s="4"/>
      <c r="O4638" s="5"/>
      <c r="P4638" s="5"/>
      <c r="Q4638" s="21">
        <v>0</v>
      </c>
      <c r="R4638" s="21">
        <v>0</v>
      </c>
      <c r="S4638" s="5">
        <f t="shared" si="291"/>
        <v>50314.798573026426</v>
      </c>
      <c r="T4638" cm="1">
        <f t="array" ref="T4638">IF(OR(B4638="MAL ALIMI", B4638="ÜRETİM GİRİŞ"), MIN(I4638, MAX(0, I4638 + SUM(SUMIFS($I$1:I4637, $C$1:C4637, C4638, $B$1:B4637, {"MAL ALIMI","ÜRETİM GİRİŞ"})) - VLOOKUP(C4638, 'STOK RAPORU'!$C$2:$I$1000, 4, 0))), 0)</f>
        <v>0</v>
      </c>
      <c r="U4638" s="22">
        <f t="shared" si="288"/>
        <v>0</v>
      </c>
      <c r="V4638">
        <f t="shared" si="289"/>
        <v>0</v>
      </c>
      <c r="W4638" s="22">
        <f t="shared" si="290"/>
        <v>0</v>
      </c>
    </row>
    <row r="4639" spans="1:23" hidden="1" x14ac:dyDescent="0.25">
      <c r="A4639" s="3">
        <v>46077</v>
      </c>
      <c r="B4639" s="4" t="s">
        <v>334</v>
      </c>
      <c r="C4639" s="4" t="s">
        <v>202</v>
      </c>
      <c r="D4639" s="4"/>
      <c r="E4639" s="4" t="s">
        <v>2348</v>
      </c>
      <c r="F4639" s="46" t="s">
        <v>2306</v>
      </c>
      <c r="G4639" s="4" t="s">
        <v>439</v>
      </c>
      <c r="H4639" s="46" t="s">
        <v>304</v>
      </c>
      <c r="I4639" s="4">
        <v>25</v>
      </c>
      <c r="J4639" s="21">
        <v>30</v>
      </c>
      <c r="K4639" s="21">
        <v>750</v>
      </c>
      <c r="L4639" s="5">
        <v>0</v>
      </c>
      <c r="M4639" s="4"/>
      <c r="N4639" s="4"/>
      <c r="O4639" s="5"/>
      <c r="P4639" s="5"/>
      <c r="Q4639" s="21">
        <v>0</v>
      </c>
      <c r="R4639" s="21">
        <v>0</v>
      </c>
      <c r="S4639" s="5">
        <f t="shared" si="291"/>
        <v>50314.798573026426</v>
      </c>
      <c r="T4639" cm="1">
        <f t="array" ref="T4639">IF(OR(B4639="MAL ALIMI", B4639="ÜRETİM GİRİŞ"), MIN(I4639, MAX(0, I4639 + SUM(SUMIFS($I$1:I4638, $C$1:C4638, C4639, $B$1:B4638, {"MAL ALIMI","ÜRETİM GİRİŞ"})) - VLOOKUP(C4639, 'STOK RAPORU'!$C$2:$I$1000, 4, 0))), 0)</f>
        <v>0</v>
      </c>
      <c r="U4639" s="22">
        <f t="shared" si="288"/>
        <v>0</v>
      </c>
      <c r="V4639">
        <f t="shared" si="289"/>
        <v>0</v>
      </c>
      <c r="W4639" s="22">
        <f t="shared" si="290"/>
        <v>0</v>
      </c>
    </row>
    <row r="4640" spans="1:23" hidden="1" x14ac:dyDescent="0.25">
      <c r="A4640" s="3">
        <v>46077</v>
      </c>
      <c r="B4640" s="4" t="s">
        <v>285</v>
      </c>
      <c r="C4640" s="4"/>
      <c r="D4640" s="4" t="s">
        <v>112</v>
      </c>
      <c r="E4640" s="4" t="s">
        <v>856</v>
      </c>
      <c r="F4640" s="4"/>
      <c r="G4640" s="4" t="s">
        <v>2285</v>
      </c>
      <c r="H4640" s="4" t="s">
        <v>1329</v>
      </c>
      <c r="I4640" s="4">
        <v>10</v>
      </c>
      <c r="J4640" s="21">
        <v>84</v>
      </c>
      <c r="K4640" s="21">
        <v>0</v>
      </c>
      <c r="L4640" s="5">
        <v>840</v>
      </c>
      <c r="M4640" s="4"/>
      <c r="N4640" s="4"/>
      <c r="O4640" s="5"/>
      <c r="P4640" s="5"/>
      <c r="Q4640" s="21">
        <v>0</v>
      </c>
      <c r="R4640" s="21">
        <v>0</v>
      </c>
      <c r="S4640" s="5">
        <f t="shared" si="291"/>
        <v>50314.798573026426</v>
      </c>
      <c r="T4640" cm="1">
        <f t="array" ref="T4640">IF(OR(B4640="MAL ALIMI", B4640="ÜRETİM GİRİŞ"), MIN(I4640, MAX(0, I4640 + SUM(SUMIFS($I$1:I4639, $C$1:C4639, C4640, $B$1:B4639, {"MAL ALIMI","ÜRETİM GİRİŞ"})) - VLOOKUP(C4640, 'STOK RAPORU'!$C$2:$I$1000, 4, 0))), 0)</f>
        <v>0</v>
      </c>
      <c r="U4640" s="22">
        <f t="shared" si="288"/>
        <v>0</v>
      </c>
      <c r="V4640">
        <f t="shared" si="289"/>
        <v>0</v>
      </c>
      <c r="W4640" s="22">
        <f t="shared" si="290"/>
        <v>0</v>
      </c>
    </row>
    <row r="4641" spans="1:23" hidden="1" x14ac:dyDescent="0.25">
      <c r="A4641" s="3">
        <v>46077</v>
      </c>
      <c r="B4641" s="4" t="s">
        <v>946</v>
      </c>
      <c r="C4641" s="4"/>
      <c r="D4641" s="4"/>
      <c r="E4641" s="4" t="s">
        <v>921</v>
      </c>
      <c r="F4641" s="4"/>
      <c r="G4641" s="4" t="s">
        <v>946</v>
      </c>
      <c r="H4641" s="4" t="s">
        <v>380</v>
      </c>
      <c r="I4641" s="4">
        <v>1</v>
      </c>
      <c r="J4641" s="105">
        <v>724</v>
      </c>
      <c r="K4641" s="21">
        <v>0</v>
      </c>
      <c r="L4641" s="111">
        <v>724</v>
      </c>
      <c r="M4641" s="4"/>
      <c r="N4641" s="4"/>
      <c r="O4641" s="5"/>
      <c r="P4641" s="5"/>
      <c r="Q4641" s="21">
        <v>724</v>
      </c>
      <c r="R4641" s="21">
        <v>0</v>
      </c>
      <c r="S4641" s="5">
        <f t="shared" si="291"/>
        <v>51038.798573026426</v>
      </c>
      <c r="T4641" cm="1">
        <f t="array" ref="T4641">IF(OR(B4641="MAL ALIMI", B4641="ÜRETİM GİRİŞ"), MIN(I4641, MAX(0, I4641 + SUM(SUMIFS($I$1:I4640, $C$1:C4640, C4641, $B$1:B4640, {"MAL ALIMI","ÜRETİM GİRİŞ"})) - VLOOKUP(C4641, 'STOK RAPORU'!$C$2:$I$1000, 4, 0))), 0)</f>
        <v>0</v>
      </c>
      <c r="U4641" s="22">
        <f t="shared" si="288"/>
        <v>0</v>
      </c>
      <c r="V4641">
        <f t="shared" si="289"/>
        <v>0</v>
      </c>
      <c r="W4641" s="22">
        <f t="shared" si="290"/>
        <v>0</v>
      </c>
    </row>
    <row r="4642" spans="1:23" hidden="1" x14ac:dyDescent="0.25">
      <c r="A4642" s="3">
        <v>46078</v>
      </c>
      <c r="B4642" s="4" t="s">
        <v>334</v>
      </c>
      <c r="C4642" s="4" t="s">
        <v>587</v>
      </c>
      <c r="D4642" s="4"/>
      <c r="E4642" s="4"/>
      <c r="F4642" s="46" t="s">
        <v>2288</v>
      </c>
      <c r="G4642" s="4" t="s">
        <v>336</v>
      </c>
      <c r="H4642" s="4" t="s">
        <v>289</v>
      </c>
      <c r="I4642" s="4">
        <v>1</v>
      </c>
      <c r="J4642" s="21">
        <v>150</v>
      </c>
      <c r="K4642" s="21">
        <v>0</v>
      </c>
      <c r="L4642" s="5">
        <v>0</v>
      </c>
      <c r="M4642" s="4"/>
      <c r="N4642" s="4"/>
      <c r="O4642" s="5"/>
      <c r="P4642" s="5"/>
      <c r="Q4642" s="21">
        <v>150</v>
      </c>
      <c r="R4642" s="21">
        <v>0</v>
      </c>
      <c r="S4642" s="5">
        <f t="shared" si="291"/>
        <v>51188.798573026426</v>
      </c>
      <c r="T4642" cm="1">
        <f t="array" ref="T4642">IF(OR(B4642="MAL ALIMI", B4642="ÜRETİM GİRİŞ"), MIN(I4642, MAX(0, I4642 + SUM(SUMIFS($I$1:I4641, $C$1:C4641, C4642, $B$1:B4641, {"MAL ALIMI","ÜRETİM GİRİŞ"})) - VLOOKUP(C4642, 'STOK RAPORU'!$C$2:$I$1000, 4, 0))), 0)</f>
        <v>0</v>
      </c>
      <c r="U4642" s="22">
        <f t="shared" si="288"/>
        <v>0</v>
      </c>
      <c r="V4642">
        <f t="shared" si="289"/>
        <v>0</v>
      </c>
      <c r="W4642" s="22">
        <f t="shared" si="290"/>
        <v>0</v>
      </c>
    </row>
    <row r="4643" spans="1:23" hidden="1" x14ac:dyDescent="0.25">
      <c r="A4643" s="3">
        <v>46078</v>
      </c>
      <c r="B4643" s="4" t="s">
        <v>334</v>
      </c>
      <c r="C4643" s="4" t="s">
        <v>2283</v>
      </c>
      <c r="D4643" s="4"/>
      <c r="E4643" s="4"/>
      <c r="F4643" s="46" t="s">
        <v>2289</v>
      </c>
      <c r="G4643" s="4" t="s">
        <v>336</v>
      </c>
      <c r="H4643" s="4" t="s">
        <v>289</v>
      </c>
      <c r="I4643" s="4">
        <v>1</v>
      </c>
      <c r="J4643" s="21">
        <v>390</v>
      </c>
      <c r="K4643" s="21">
        <v>0</v>
      </c>
      <c r="L4643" s="5">
        <v>0</v>
      </c>
      <c r="M4643" s="4"/>
      <c r="N4643" s="4"/>
      <c r="O4643" s="5"/>
      <c r="P4643" s="5"/>
      <c r="Q4643" s="21">
        <v>390</v>
      </c>
      <c r="R4643" s="21">
        <v>0</v>
      </c>
      <c r="S4643" s="5">
        <f t="shared" si="291"/>
        <v>51578.798573026426</v>
      </c>
      <c r="T4643" cm="1">
        <f t="array" ref="T4643">IF(OR(B4643="MAL ALIMI", B4643="ÜRETİM GİRİŞ"), MIN(I4643, MAX(0, I4643 + SUM(SUMIFS($I$1:I4642, $C$1:C4642, C4643, $B$1:B4642, {"MAL ALIMI","ÜRETİM GİRİŞ"})) - VLOOKUP(C4643, 'STOK RAPORU'!$C$2:$I$1000, 4, 0))), 0)</f>
        <v>0</v>
      </c>
      <c r="U4643" s="22">
        <f t="shared" si="288"/>
        <v>0</v>
      </c>
      <c r="V4643">
        <f t="shared" si="289"/>
        <v>0</v>
      </c>
      <c r="W4643" s="22">
        <f t="shared" si="290"/>
        <v>0</v>
      </c>
    </row>
    <row r="4644" spans="1:23" hidden="1" x14ac:dyDescent="0.25">
      <c r="A4644" s="3">
        <v>46078</v>
      </c>
      <c r="B4644" s="4" t="s">
        <v>334</v>
      </c>
      <c r="C4644" s="4" t="s">
        <v>728</v>
      </c>
      <c r="D4644" s="4"/>
      <c r="E4644" s="4"/>
      <c r="F4644" s="46" t="s">
        <v>2290</v>
      </c>
      <c r="G4644" s="4" t="s">
        <v>336</v>
      </c>
      <c r="H4644" s="4" t="s">
        <v>289</v>
      </c>
      <c r="I4644" s="4">
        <v>0.218</v>
      </c>
      <c r="J4644" s="21">
        <v>550</v>
      </c>
      <c r="K4644" s="21">
        <v>0</v>
      </c>
      <c r="L4644" s="5">
        <v>0</v>
      </c>
      <c r="M4644" s="4"/>
      <c r="N4644" s="4"/>
      <c r="O4644" s="5"/>
      <c r="P4644" s="5"/>
      <c r="Q4644" s="21">
        <v>119.9</v>
      </c>
      <c r="R4644" s="21">
        <v>0</v>
      </c>
      <c r="S4644" s="5">
        <f t="shared" si="291"/>
        <v>51698.698573026428</v>
      </c>
      <c r="T4644" cm="1">
        <f t="array" ref="T4644">IF(OR(B4644="MAL ALIMI", B4644="ÜRETİM GİRİŞ"), MIN(I4644, MAX(0, I4644 + SUM(SUMIFS($I$1:I4643, $C$1:C4643, C4644, $B$1:B4643, {"MAL ALIMI","ÜRETİM GİRİŞ"})) - VLOOKUP(C4644, 'STOK RAPORU'!$C$2:$I$1000, 4, 0))), 0)</f>
        <v>0</v>
      </c>
      <c r="U4644" s="22">
        <f t="shared" si="288"/>
        <v>0</v>
      </c>
      <c r="V4644">
        <f t="shared" si="289"/>
        <v>0</v>
      </c>
      <c r="W4644" s="22">
        <f t="shared" si="290"/>
        <v>0</v>
      </c>
    </row>
    <row r="4645" spans="1:23" hidden="1" x14ac:dyDescent="0.25">
      <c r="A4645" s="3">
        <v>46078</v>
      </c>
      <c r="B4645" s="4" t="s">
        <v>334</v>
      </c>
      <c r="C4645" s="4" t="s">
        <v>1501</v>
      </c>
      <c r="D4645" s="4"/>
      <c r="E4645" s="4" t="s">
        <v>921</v>
      </c>
      <c r="F4645" s="46" t="s">
        <v>2291</v>
      </c>
      <c r="G4645" s="4" t="s">
        <v>336</v>
      </c>
      <c r="H4645" s="4" t="s">
        <v>380</v>
      </c>
      <c r="I4645" s="4">
        <v>0.16666666666666666</v>
      </c>
      <c r="J4645" s="21">
        <v>600</v>
      </c>
      <c r="K4645" s="21">
        <v>100</v>
      </c>
      <c r="L4645" s="5">
        <v>0</v>
      </c>
      <c r="M4645" s="4"/>
      <c r="N4645" s="4"/>
      <c r="O4645" s="5"/>
      <c r="P4645" s="5"/>
      <c r="Q4645" s="21">
        <v>0</v>
      </c>
      <c r="R4645" s="21">
        <v>0</v>
      </c>
      <c r="S4645" s="5">
        <f t="shared" si="291"/>
        <v>51698.698573026428</v>
      </c>
      <c r="T4645" cm="1">
        <f t="array" ref="T4645">IF(OR(B4645="MAL ALIMI", B4645="ÜRETİM GİRİŞ"), MIN(I4645, MAX(0, I4645 + SUM(SUMIFS($I$1:I4644, $C$1:C4644, C4645, $B$1:B4644, {"MAL ALIMI","ÜRETİM GİRİŞ"})) - VLOOKUP(C4645, 'STOK RAPORU'!$C$2:$I$1000, 4, 0))), 0)</f>
        <v>0</v>
      </c>
      <c r="U4645" s="22">
        <f t="shared" si="288"/>
        <v>0</v>
      </c>
      <c r="V4645">
        <f t="shared" si="289"/>
        <v>0</v>
      </c>
      <c r="W4645" s="22">
        <f t="shared" si="290"/>
        <v>0</v>
      </c>
    </row>
    <row r="4646" spans="1:23" hidden="1" x14ac:dyDescent="0.25">
      <c r="A4646" s="3">
        <v>46078</v>
      </c>
      <c r="B4646" s="4" t="s">
        <v>334</v>
      </c>
      <c r="C4646" s="4" t="s">
        <v>160</v>
      </c>
      <c r="D4646" s="4"/>
      <c r="E4646" s="4"/>
      <c r="F4646" s="46" t="s">
        <v>2292</v>
      </c>
      <c r="G4646" s="4" t="s">
        <v>336</v>
      </c>
      <c r="H4646" s="4" t="s">
        <v>289</v>
      </c>
      <c r="I4646" s="4">
        <v>1</v>
      </c>
      <c r="J4646" s="21">
        <v>250</v>
      </c>
      <c r="K4646" s="21">
        <v>0</v>
      </c>
      <c r="L4646" s="5">
        <v>0</v>
      </c>
      <c r="M4646" s="4"/>
      <c r="N4646" s="4"/>
      <c r="O4646" s="5"/>
      <c r="P4646" s="5"/>
      <c r="Q4646" s="21">
        <v>250</v>
      </c>
      <c r="R4646" s="21">
        <v>0</v>
      </c>
      <c r="S4646" s="5">
        <f t="shared" si="291"/>
        <v>51948.698573026428</v>
      </c>
      <c r="T4646" cm="1">
        <f t="array" ref="T4646">IF(OR(B4646="MAL ALIMI", B4646="ÜRETİM GİRİŞ"), MIN(I4646, MAX(0, I4646 + SUM(SUMIFS($I$1:I4645, $C$1:C4645, C4646, $B$1:B4645, {"MAL ALIMI","ÜRETİM GİRİŞ"})) - VLOOKUP(C4646, 'STOK RAPORU'!$C$2:$I$1000, 4, 0))), 0)</f>
        <v>0</v>
      </c>
      <c r="U4646" s="22">
        <f t="shared" si="288"/>
        <v>0</v>
      </c>
      <c r="V4646">
        <f t="shared" si="289"/>
        <v>0</v>
      </c>
      <c r="W4646" s="22">
        <f t="shared" si="290"/>
        <v>0</v>
      </c>
    </row>
    <row r="4647" spans="1:23" hidden="1" x14ac:dyDescent="0.25">
      <c r="A4647" s="3">
        <v>46078</v>
      </c>
      <c r="B4647" s="4" t="s">
        <v>334</v>
      </c>
      <c r="C4647" s="4" t="s">
        <v>1640</v>
      </c>
      <c r="D4647" s="4"/>
      <c r="E4647" s="4"/>
      <c r="F4647" s="46" t="s">
        <v>2293</v>
      </c>
      <c r="G4647" s="4" t="s">
        <v>336</v>
      </c>
      <c r="H4647" s="4" t="s">
        <v>289</v>
      </c>
      <c r="I4647" s="4">
        <v>2.8571428571428571E-2</v>
      </c>
      <c r="J4647" s="21">
        <v>1400</v>
      </c>
      <c r="K4647" s="21">
        <v>0</v>
      </c>
      <c r="L4647" s="5">
        <v>0</v>
      </c>
      <c r="M4647" s="4"/>
      <c r="N4647" s="4"/>
      <c r="O4647" s="5"/>
      <c r="P4647" s="5"/>
      <c r="Q4647" s="21">
        <v>40</v>
      </c>
      <c r="R4647" s="21">
        <v>0</v>
      </c>
      <c r="S4647" s="5">
        <f t="shared" si="291"/>
        <v>51988.698573026428</v>
      </c>
      <c r="T4647" cm="1">
        <f t="array" ref="T4647">IF(OR(B4647="MAL ALIMI", B4647="ÜRETİM GİRİŞ"), MIN(I4647, MAX(0, I4647 + SUM(SUMIFS($I$1:I4646, $C$1:C4646, C4647, $B$1:B4646, {"MAL ALIMI","ÜRETİM GİRİŞ"})) - VLOOKUP(C4647, 'STOK RAPORU'!$C$2:$I$1000, 4, 0))), 0)</f>
        <v>0</v>
      </c>
      <c r="U4647" s="22">
        <f t="shared" si="288"/>
        <v>0</v>
      </c>
      <c r="V4647">
        <f t="shared" si="289"/>
        <v>0</v>
      </c>
      <c r="W4647" s="22">
        <f t="shared" si="290"/>
        <v>0</v>
      </c>
    </row>
    <row r="4648" spans="1:23" hidden="1" x14ac:dyDescent="0.25">
      <c r="A4648" s="3">
        <v>46078</v>
      </c>
      <c r="B4648" s="4" t="s">
        <v>334</v>
      </c>
      <c r="C4648" s="4" t="s">
        <v>60</v>
      </c>
      <c r="D4648" s="4"/>
      <c r="E4648" s="4"/>
      <c r="F4648" s="46" t="s">
        <v>2293</v>
      </c>
      <c r="G4648" s="4" t="s">
        <v>336</v>
      </c>
      <c r="H4648" s="4" t="s">
        <v>289</v>
      </c>
      <c r="I4648" s="4">
        <v>0.05</v>
      </c>
      <c r="J4648" s="21">
        <v>1200</v>
      </c>
      <c r="K4648" s="21">
        <v>0</v>
      </c>
      <c r="L4648" s="5">
        <v>0</v>
      </c>
      <c r="M4648" s="4"/>
      <c r="N4648" s="4"/>
      <c r="O4648" s="5"/>
      <c r="P4648" s="5"/>
      <c r="Q4648" s="21">
        <v>60</v>
      </c>
      <c r="R4648" s="21">
        <v>0</v>
      </c>
      <c r="S4648" s="5">
        <f t="shared" si="291"/>
        <v>52048.698573026428</v>
      </c>
      <c r="T4648" cm="1">
        <f t="array" ref="T4648">IF(OR(B4648="MAL ALIMI", B4648="ÜRETİM GİRİŞ"), MIN(I4648, MAX(0, I4648 + SUM(SUMIFS($I$1:I4647, $C$1:C4647, C4648, $B$1:B4647, {"MAL ALIMI","ÜRETİM GİRİŞ"})) - VLOOKUP(C4648, 'STOK RAPORU'!$C$2:$I$1000, 4, 0))), 0)</f>
        <v>0</v>
      </c>
      <c r="U4648" s="22">
        <f t="shared" si="288"/>
        <v>0</v>
      </c>
      <c r="V4648">
        <f t="shared" si="289"/>
        <v>0</v>
      </c>
      <c r="W4648" s="22">
        <f t="shared" si="290"/>
        <v>0</v>
      </c>
    </row>
    <row r="4649" spans="1:23" hidden="1" x14ac:dyDescent="0.25">
      <c r="A4649" s="3">
        <v>46078</v>
      </c>
      <c r="B4649" s="4" t="s">
        <v>334</v>
      </c>
      <c r="C4649" s="4" t="s">
        <v>91</v>
      </c>
      <c r="D4649" s="4"/>
      <c r="E4649" s="4" t="s">
        <v>921</v>
      </c>
      <c r="F4649" s="46" t="s">
        <v>2294</v>
      </c>
      <c r="G4649" s="4" t="s">
        <v>336</v>
      </c>
      <c r="H4649" s="4" t="s">
        <v>380</v>
      </c>
      <c r="I4649" s="4">
        <v>0.26666666666666666</v>
      </c>
      <c r="J4649" s="21">
        <v>750</v>
      </c>
      <c r="K4649" s="21">
        <v>200</v>
      </c>
      <c r="L4649" s="5">
        <v>0</v>
      </c>
      <c r="M4649" s="4"/>
      <c r="N4649" s="4"/>
      <c r="O4649" s="5"/>
      <c r="P4649" s="5"/>
      <c r="Q4649" s="21">
        <v>0</v>
      </c>
      <c r="R4649" s="21">
        <v>0</v>
      </c>
      <c r="S4649" s="5">
        <f t="shared" si="291"/>
        <v>52048.698573026428</v>
      </c>
      <c r="T4649" cm="1">
        <f t="array" ref="T4649">IF(OR(B4649="MAL ALIMI", B4649="ÜRETİM GİRİŞ"), MIN(I4649, MAX(0, I4649 + SUM(SUMIFS($I$1:I4648, $C$1:C4648, C4649, $B$1:B4648, {"MAL ALIMI","ÜRETİM GİRİŞ"})) - VLOOKUP(C4649, 'STOK RAPORU'!$C$2:$I$1000, 4, 0))), 0)</f>
        <v>0</v>
      </c>
      <c r="U4649" s="22">
        <f t="shared" si="288"/>
        <v>0</v>
      </c>
      <c r="V4649">
        <f t="shared" si="289"/>
        <v>0</v>
      </c>
      <c r="W4649" s="22">
        <f t="shared" si="290"/>
        <v>0</v>
      </c>
    </row>
    <row r="4650" spans="1:23" hidden="1" x14ac:dyDescent="0.25">
      <c r="A4650" s="3">
        <v>46078</v>
      </c>
      <c r="B4650" s="4" t="s">
        <v>334</v>
      </c>
      <c r="C4650" s="4" t="s">
        <v>463</v>
      </c>
      <c r="D4650" s="4"/>
      <c r="E4650" s="4" t="s">
        <v>921</v>
      </c>
      <c r="F4650" s="46" t="s">
        <v>2294</v>
      </c>
      <c r="G4650" s="4" t="s">
        <v>336</v>
      </c>
      <c r="H4650" s="4" t="s">
        <v>380</v>
      </c>
      <c r="I4650" s="4">
        <v>0.25750000000000001</v>
      </c>
      <c r="J4650" s="21">
        <v>400</v>
      </c>
      <c r="K4650" s="21">
        <v>103</v>
      </c>
      <c r="L4650" s="5">
        <v>0</v>
      </c>
      <c r="M4650" s="4"/>
      <c r="N4650" s="4"/>
      <c r="O4650" s="5"/>
      <c r="P4650" s="5"/>
      <c r="Q4650" s="21">
        <v>0</v>
      </c>
      <c r="R4650" s="21">
        <v>0</v>
      </c>
      <c r="S4650" s="5">
        <f t="shared" si="291"/>
        <v>52048.698573026428</v>
      </c>
      <c r="T4650" cm="1">
        <f t="array" ref="T4650">IF(OR(B4650="MAL ALIMI", B4650="ÜRETİM GİRİŞ"), MIN(I4650, MAX(0, I4650 + SUM(SUMIFS($I$1:I4649, $C$1:C4649, C4650, $B$1:B4649, {"MAL ALIMI","ÜRETİM GİRİŞ"})) - VLOOKUP(C4650, 'STOK RAPORU'!$C$2:$I$1000, 4, 0))), 0)</f>
        <v>0</v>
      </c>
      <c r="U4650" s="22">
        <f t="shared" si="288"/>
        <v>0</v>
      </c>
      <c r="V4650">
        <f t="shared" si="289"/>
        <v>0</v>
      </c>
      <c r="W4650" s="22">
        <f t="shared" si="290"/>
        <v>0</v>
      </c>
    </row>
    <row r="4651" spans="1:23" hidden="1" x14ac:dyDescent="0.25">
      <c r="A4651" s="3">
        <v>46078</v>
      </c>
      <c r="B4651" s="4" t="s">
        <v>334</v>
      </c>
      <c r="C4651" s="4" t="s">
        <v>133</v>
      </c>
      <c r="D4651" s="4"/>
      <c r="E4651" s="4" t="s">
        <v>921</v>
      </c>
      <c r="F4651" s="46" t="s">
        <v>2294</v>
      </c>
      <c r="G4651" s="4" t="s">
        <v>336</v>
      </c>
      <c r="H4651" s="4" t="s">
        <v>380</v>
      </c>
      <c r="I4651" s="4">
        <v>0.35499999999999998</v>
      </c>
      <c r="J4651" s="21">
        <v>400</v>
      </c>
      <c r="K4651" s="21">
        <v>142</v>
      </c>
      <c r="L4651" s="5">
        <v>0</v>
      </c>
      <c r="M4651" s="4"/>
      <c r="N4651" s="4"/>
      <c r="O4651" s="5"/>
      <c r="P4651" s="5"/>
      <c r="Q4651" s="21">
        <v>0</v>
      </c>
      <c r="R4651" s="21">
        <v>0</v>
      </c>
      <c r="S4651" s="5">
        <f t="shared" si="291"/>
        <v>52048.698573026428</v>
      </c>
      <c r="T4651" cm="1">
        <f t="array" ref="T4651">IF(OR(B4651="MAL ALIMI", B4651="ÜRETİM GİRİŞ"), MIN(I4651, MAX(0, I4651 + SUM(SUMIFS($I$1:I4650, $C$1:C4650, C4651, $B$1:B4650, {"MAL ALIMI","ÜRETİM GİRİŞ"})) - VLOOKUP(C4651, 'STOK RAPORU'!$C$2:$I$1000, 4, 0))), 0)</f>
        <v>0</v>
      </c>
      <c r="U4651" s="22">
        <f t="shared" si="288"/>
        <v>0</v>
      </c>
      <c r="V4651">
        <f t="shared" si="289"/>
        <v>0</v>
      </c>
      <c r="W4651" s="22">
        <f t="shared" si="290"/>
        <v>0</v>
      </c>
    </row>
    <row r="4652" spans="1:23" hidden="1" x14ac:dyDescent="0.25">
      <c r="A4652" s="3">
        <v>46078</v>
      </c>
      <c r="B4652" s="4" t="s">
        <v>334</v>
      </c>
      <c r="C4652" s="4" t="s">
        <v>132</v>
      </c>
      <c r="D4652" s="4"/>
      <c r="E4652" s="4" t="s">
        <v>921</v>
      </c>
      <c r="F4652" s="46" t="s">
        <v>2295</v>
      </c>
      <c r="G4652" s="4" t="s">
        <v>336</v>
      </c>
      <c r="H4652" s="4" t="s">
        <v>380</v>
      </c>
      <c r="I4652" s="4">
        <v>0.2</v>
      </c>
      <c r="J4652" s="21">
        <v>500</v>
      </c>
      <c r="K4652" s="21">
        <v>100</v>
      </c>
      <c r="L4652" s="5">
        <v>0</v>
      </c>
      <c r="M4652" s="4"/>
      <c r="N4652" s="4"/>
      <c r="O4652" s="5"/>
      <c r="P4652" s="5"/>
      <c r="Q4652" s="21">
        <v>0</v>
      </c>
      <c r="R4652" s="21">
        <v>0</v>
      </c>
      <c r="S4652" s="5">
        <f t="shared" si="291"/>
        <v>52048.698573026428</v>
      </c>
      <c r="T4652" cm="1">
        <f t="array" ref="T4652">IF(OR(B4652="MAL ALIMI", B4652="ÜRETİM GİRİŞ"), MIN(I4652, MAX(0, I4652 + SUM(SUMIFS($I$1:I4651, $C$1:C4651, C4652, $B$1:B4651, {"MAL ALIMI","ÜRETİM GİRİŞ"})) - VLOOKUP(C4652, 'STOK RAPORU'!$C$2:$I$1000, 4, 0))), 0)</f>
        <v>0</v>
      </c>
      <c r="U4652" s="22">
        <f t="shared" si="288"/>
        <v>0</v>
      </c>
      <c r="V4652">
        <f t="shared" si="289"/>
        <v>0</v>
      </c>
      <c r="W4652" s="22">
        <f t="shared" si="290"/>
        <v>0</v>
      </c>
    </row>
    <row r="4653" spans="1:23" hidden="1" x14ac:dyDescent="0.25">
      <c r="A4653" s="3">
        <v>46078</v>
      </c>
      <c r="B4653" s="4" t="s">
        <v>334</v>
      </c>
      <c r="C4653" s="4" t="s">
        <v>129</v>
      </c>
      <c r="D4653" s="4"/>
      <c r="E4653" s="4" t="s">
        <v>921</v>
      </c>
      <c r="F4653" s="46" t="s">
        <v>2295</v>
      </c>
      <c r="G4653" s="4" t="s">
        <v>336</v>
      </c>
      <c r="H4653" s="4" t="s">
        <v>380</v>
      </c>
      <c r="I4653" s="4">
        <v>0.125</v>
      </c>
      <c r="J4653" s="21">
        <v>400</v>
      </c>
      <c r="K4653" s="21">
        <v>50</v>
      </c>
      <c r="L4653" s="5">
        <v>0</v>
      </c>
      <c r="M4653" s="4"/>
      <c r="N4653" s="4"/>
      <c r="O4653" s="5"/>
      <c r="P4653" s="5"/>
      <c r="Q4653" s="21">
        <v>0</v>
      </c>
      <c r="R4653" s="21">
        <v>0</v>
      </c>
      <c r="S4653" s="5">
        <f t="shared" si="291"/>
        <v>52048.698573026428</v>
      </c>
      <c r="T4653" cm="1">
        <f t="array" ref="T4653">IF(OR(B4653="MAL ALIMI", B4653="ÜRETİM GİRİŞ"), MIN(I4653, MAX(0, I4653 + SUM(SUMIFS($I$1:I4652, $C$1:C4652, C4653, $B$1:B4652, {"MAL ALIMI","ÜRETİM GİRİŞ"})) - VLOOKUP(C4653, 'STOK RAPORU'!$C$2:$I$1000, 4, 0))), 0)</f>
        <v>0</v>
      </c>
      <c r="U4653" s="22">
        <f t="shared" si="288"/>
        <v>0</v>
      </c>
      <c r="V4653">
        <f t="shared" si="289"/>
        <v>0</v>
      </c>
      <c r="W4653" s="22">
        <f t="shared" si="290"/>
        <v>0</v>
      </c>
    </row>
    <row r="4654" spans="1:23" hidden="1" x14ac:dyDescent="0.25">
      <c r="A4654" s="3">
        <v>46078</v>
      </c>
      <c r="B4654" s="4" t="s">
        <v>334</v>
      </c>
      <c r="C4654" s="4" t="s">
        <v>140</v>
      </c>
      <c r="D4654" s="4"/>
      <c r="E4654" s="4" t="s">
        <v>921</v>
      </c>
      <c r="F4654" s="46" t="s">
        <v>2295</v>
      </c>
      <c r="G4654" s="4" t="s">
        <v>336</v>
      </c>
      <c r="H4654" s="4" t="s">
        <v>380</v>
      </c>
      <c r="I4654" s="4">
        <v>0.16666666666666666</v>
      </c>
      <c r="J4654" s="21">
        <v>300</v>
      </c>
      <c r="K4654" s="21">
        <v>50</v>
      </c>
      <c r="L4654" s="5">
        <v>0</v>
      </c>
      <c r="M4654" s="4"/>
      <c r="N4654" s="4"/>
      <c r="O4654" s="5"/>
      <c r="P4654" s="5"/>
      <c r="Q4654" s="21">
        <v>0</v>
      </c>
      <c r="R4654" s="21">
        <v>0</v>
      </c>
      <c r="S4654" s="5">
        <f t="shared" si="291"/>
        <v>52048.698573026428</v>
      </c>
      <c r="T4654" cm="1">
        <f t="array" ref="T4654">IF(OR(B4654="MAL ALIMI", B4654="ÜRETİM GİRİŞ"), MIN(I4654, MAX(0, I4654 + SUM(SUMIFS($I$1:I4653, $C$1:C4653, C4654, $B$1:B4653, {"MAL ALIMI","ÜRETİM GİRİŞ"})) - VLOOKUP(C4654, 'STOK RAPORU'!$C$2:$I$1000, 4, 0))), 0)</f>
        <v>0</v>
      </c>
      <c r="U4654" s="22">
        <f t="shared" si="288"/>
        <v>0</v>
      </c>
      <c r="V4654">
        <f t="shared" si="289"/>
        <v>0</v>
      </c>
      <c r="W4654" s="22">
        <f t="shared" si="290"/>
        <v>0</v>
      </c>
    </row>
    <row r="4655" spans="1:23" hidden="1" x14ac:dyDescent="0.25">
      <c r="A4655" s="3">
        <v>46078</v>
      </c>
      <c r="B4655" s="4" t="s">
        <v>334</v>
      </c>
      <c r="C4655" s="4" t="s">
        <v>98</v>
      </c>
      <c r="D4655" s="4"/>
      <c r="E4655" s="4" t="s">
        <v>921</v>
      </c>
      <c r="F4655" s="46" t="s">
        <v>2295</v>
      </c>
      <c r="G4655" s="4" t="s">
        <v>336</v>
      </c>
      <c r="H4655" s="4" t="s">
        <v>380</v>
      </c>
      <c r="I4655" s="4">
        <v>0.125</v>
      </c>
      <c r="J4655" s="21">
        <v>400</v>
      </c>
      <c r="K4655" s="21">
        <v>50</v>
      </c>
      <c r="L4655" s="5">
        <v>0</v>
      </c>
      <c r="M4655" s="4"/>
      <c r="N4655" s="4"/>
      <c r="O4655" s="5"/>
      <c r="P4655" s="5"/>
      <c r="Q4655" s="21">
        <v>0</v>
      </c>
      <c r="R4655" s="21">
        <v>0</v>
      </c>
      <c r="S4655" s="5">
        <f t="shared" si="291"/>
        <v>52048.698573026428</v>
      </c>
      <c r="T4655" cm="1">
        <f t="array" ref="T4655">IF(OR(B4655="MAL ALIMI", B4655="ÜRETİM GİRİŞ"), MIN(I4655, MAX(0, I4655 + SUM(SUMIFS($I$1:I4654, $C$1:C4654, C4655, $B$1:B4654, {"MAL ALIMI","ÜRETİM GİRİŞ"})) - VLOOKUP(C4655, 'STOK RAPORU'!$C$2:$I$1000, 4, 0))), 0)</f>
        <v>0</v>
      </c>
      <c r="U4655" s="22">
        <f t="shared" si="288"/>
        <v>0</v>
      </c>
      <c r="V4655">
        <f t="shared" si="289"/>
        <v>0</v>
      </c>
      <c r="W4655" s="22">
        <f t="shared" si="290"/>
        <v>0</v>
      </c>
    </row>
    <row r="4656" spans="1:23" hidden="1" x14ac:dyDescent="0.25">
      <c r="A4656" s="3">
        <v>46078</v>
      </c>
      <c r="B4656" s="4" t="s">
        <v>334</v>
      </c>
      <c r="C4656" s="4" t="s">
        <v>523</v>
      </c>
      <c r="D4656" s="4"/>
      <c r="E4656" s="4" t="s">
        <v>921</v>
      </c>
      <c r="F4656" s="46" t="s">
        <v>2295</v>
      </c>
      <c r="G4656" s="4" t="s">
        <v>336</v>
      </c>
      <c r="H4656" s="4" t="s">
        <v>380</v>
      </c>
      <c r="I4656" s="4">
        <v>0.1</v>
      </c>
      <c r="J4656" s="21">
        <v>600</v>
      </c>
      <c r="K4656" s="21">
        <v>60</v>
      </c>
      <c r="L4656" s="5">
        <v>0</v>
      </c>
      <c r="M4656" s="4"/>
      <c r="N4656" s="4"/>
      <c r="O4656" s="5"/>
      <c r="P4656" s="5"/>
      <c r="Q4656" s="21">
        <v>0</v>
      </c>
      <c r="R4656" s="21">
        <v>0</v>
      </c>
      <c r="S4656" s="5">
        <f t="shared" si="291"/>
        <v>52048.698573026428</v>
      </c>
      <c r="T4656" cm="1">
        <f t="array" ref="T4656">IF(OR(B4656="MAL ALIMI", B4656="ÜRETİM GİRİŞ"), MIN(I4656, MAX(0, I4656 + SUM(SUMIFS($I$1:I4655, $C$1:C4655, C4656, $B$1:B4655, {"MAL ALIMI","ÜRETİM GİRİŞ"})) - VLOOKUP(C4656, 'STOK RAPORU'!$C$2:$I$1000, 4, 0))), 0)</f>
        <v>0</v>
      </c>
      <c r="U4656" s="22">
        <f t="shared" si="288"/>
        <v>0</v>
      </c>
      <c r="V4656">
        <f t="shared" si="289"/>
        <v>0</v>
      </c>
      <c r="W4656" s="22">
        <f t="shared" si="290"/>
        <v>0</v>
      </c>
    </row>
    <row r="4657" spans="1:23" hidden="1" x14ac:dyDescent="0.25">
      <c r="A4657" s="3">
        <v>46078</v>
      </c>
      <c r="B4657" s="4" t="s">
        <v>334</v>
      </c>
      <c r="C4657" s="4" t="s">
        <v>60</v>
      </c>
      <c r="D4657" s="4"/>
      <c r="E4657" s="4" t="s">
        <v>921</v>
      </c>
      <c r="F4657" s="46" t="s">
        <v>2295</v>
      </c>
      <c r="G4657" s="4" t="s">
        <v>336</v>
      </c>
      <c r="H4657" s="4" t="s">
        <v>380</v>
      </c>
      <c r="I4657" s="4">
        <v>0.05</v>
      </c>
      <c r="J4657" s="21">
        <v>1200</v>
      </c>
      <c r="K4657" s="21">
        <v>60</v>
      </c>
      <c r="L4657" s="5">
        <v>0</v>
      </c>
      <c r="M4657" s="4"/>
      <c r="N4657" s="4"/>
      <c r="O4657" s="5"/>
      <c r="P4657" s="5"/>
      <c r="Q4657" s="21">
        <v>0</v>
      </c>
      <c r="R4657" s="21">
        <v>0</v>
      </c>
      <c r="S4657" s="5">
        <f t="shared" si="291"/>
        <v>52048.698573026428</v>
      </c>
      <c r="T4657" cm="1">
        <f t="array" ref="T4657">IF(OR(B4657="MAL ALIMI", B4657="ÜRETİM GİRİŞ"), MIN(I4657, MAX(0, I4657 + SUM(SUMIFS($I$1:I4656, $C$1:C4656, C4657, $B$1:B4656, {"MAL ALIMI","ÜRETİM GİRİŞ"})) - VLOOKUP(C4657, 'STOK RAPORU'!$C$2:$I$1000, 4, 0))), 0)</f>
        <v>0</v>
      </c>
      <c r="U4657" s="22">
        <f t="shared" si="288"/>
        <v>0</v>
      </c>
      <c r="V4657">
        <f t="shared" si="289"/>
        <v>0</v>
      </c>
      <c r="W4657" s="22">
        <f t="shared" si="290"/>
        <v>0</v>
      </c>
    </row>
    <row r="4658" spans="1:23" hidden="1" x14ac:dyDescent="0.25">
      <c r="A4658" s="3">
        <v>46078</v>
      </c>
      <c r="B4658" s="4" t="s">
        <v>334</v>
      </c>
      <c r="C4658" s="4" t="s">
        <v>156</v>
      </c>
      <c r="D4658" s="4"/>
      <c r="E4658" s="4" t="s">
        <v>921</v>
      </c>
      <c r="F4658" s="46" t="s">
        <v>2295</v>
      </c>
      <c r="G4658" s="4" t="s">
        <v>336</v>
      </c>
      <c r="H4658" s="4" t="s">
        <v>380</v>
      </c>
      <c r="I4658" s="4">
        <v>0.5</v>
      </c>
      <c r="J4658" s="21">
        <v>200</v>
      </c>
      <c r="K4658" s="21">
        <v>100</v>
      </c>
      <c r="L4658" s="5">
        <v>0</v>
      </c>
      <c r="M4658" s="4"/>
      <c r="N4658" s="4"/>
      <c r="O4658" s="5"/>
      <c r="P4658" s="5"/>
      <c r="Q4658" s="21">
        <v>0</v>
      </c>
      <c r="R4658" s="21">
        <v>0</v>
      </c>
      <c r="S4658" s="5">
        <f t="shared" si="291"/>
        <v>52048.698573026428</v>
      </c>
      <c r="T4658" cm="1">
        <f t="array" ref="T4658">IF(OR(B4658="MAL ALIMI", B4658="ÜRETİM GİRİŞ"), MIN(I4658, MAX(0, I4658 + SUM(SUMIFS($I$1:I4657, $C$1:C4657, C4658, $B$1:B4657, {"MAL ALIMI","ÜRETİM GİRİŞ"})) - VLOOKUP(C4658, 'STOK RAPORU'!$C$2:$I$1000, 4, 0))), 0)</f>
        <v>0</v>
      </c>
      <c r="U4658" s="22">
        <f t="shared" si="288"/>
        <v>0</v>
      </c>
      <c r="V4658">
        <f t="shared" si="289"/>
        <v>0</v>
      </c>
      <c r="W4658" s="22">
        <f t="shared" si="290"/>
        <v>0</v>
      </c>
    </row>
    <row r="4659" spans="1:23" hidden="1" x14ac:dyDescent="0.25">
      <c r="A4659" s="3">
        <v>46078</v>
      </c>
      <c r="B4659" s="4" t="s">
        <v>334</v>
      </c>
      <c r="C4659" s="4" t="s">
        <v>1634</v>
      </c>
      <c r="D4659" s="4"/>
      <c r="E4659" s="4" t="s">
        <v>921</v>
      </c>
      <c r="F4659" s="46" t="s">
        <v>2296</v>
      </c>
      <c r="G4659" s="4" t="s">
        <v>336</v>
      </c>
      <c r="H4659" s="4" t="s">
        <v>380</v>
      </c>
      <c r="I4659" s="4">
        <v>0.5</v>
      </c>
      <c r="J4659" s="21">
        <v>300</v>
      </c>
      <c r="K4659" s="21">
        <v>150</v>
      </c>
      <c r="L4659" s="5">
        <v>0</v>
      </c>
      <c r="M4659" s="4"/>
      <c r="N4659" s="4"/>
      <c r="O4659" s="5"/>
      <c r="P4659" s="5"/>
      <c r="Q4659" s="21">
        <v>0</v>
      </c>
      <c r="R4659" s="21">
        <v>0</v>
      </c>
      <c r="S4659" s="5">
        <f t="shared" si="291"/>
        <v>52048.698573026428</v>
      </c>
      <c r="T4659" cm="1">
        <f t="array" ref="T4659">IF(OR(B4659="MAL ALIMI", B4659="ÜRETİM GİRİŞ"), MIN(I4659, MAX(0, I4659 + SUM(SUMIFS($I$1:I4658, $C$1:C4658, C4659, $B$1:B4658, {"MAL ALIMI","ÜRETİM GİRİŞ"})) - VLOOKUP(C4659, 'STOK RAPORU'!$C$2:$I$1000, 4, 0))), 0)</f>
        <v>0</v>
      </c>
      <c r="U4659" s="22">
        <f t="shared" si="288"/>
        <v>0</v>
      </c>
      <c r="V4659">
        <f t="shared" si="289"/>
        <v>0</v>
      </c>
      <c r="W4659" s="22">
        <f t="shared" si="290"/>
        <v>0</v>
      </c>
    </row>
    <row r="4660" spans="1:23" hidden="1" x14ac:dyDescent="0.25">
      <c r="A4660" s="3">
        <v>46078</v>
      </c>
      <c r="B4660" s="4" t="s">
        <v>334</v>
      </c>
      <c r="C4660" s="4" t="s">
        <v>523</v>
      </c>
      <c r="D4660" s="4"/>
      <c r="E4660" s="4" t="s">
        <v>921</v>
      </c>
      <c r="F4660" s="46" t="s">
        <v>2297</v>
      </c>
      <c r="G4660" s="4" t="s">
        <v>336</v>
      </c>
      <c r="H4660" s="4" t="s">
        <v>380</v>
      </c>
      <c r="I4660" s="4">
        <v>0.1</v>
      </c>
      <c r="J4660" s="21">
        <v>600</v>
      </c>
      <c r="K4660" s="21">
        <v>60</v>
      </c>
      <c r="L4660" s="5">
        <v>0</v>
      </c>
      <c r="M4660" s="4"/>
      <c r="N4660" s="4"/>
      <c r="O4660" s="5"/>
      <c r="P4660" s="5"/>
      <c r="Q4660" s="21">
        <v>0</v>
      </c>
      <c r="R4660" s="21">
        <v>0</v>
      </c>
      <c r="S4660" s="5">
        <f t="shared" si="291"/>
        <v>52048.698573026428</v>
      </c>
      <c r="T4660" cm="1">
        <f t="array" ref="T4660">IF(OR(B4660="MAL ALIMI", B4660="ÜRETİM GİRİŞ"), MIN(I4660, MAX(0, I4660 + SUM(SUMIFS($I$1:I4659, $C$1:C4659, C4660, $B$1:B4659, {"MAL ALIMI","ÜRETİM GİRİŞ"})) - VLOOKUP(C4660, 'STOK RAPORU'!$C$2:$I$1000, 4, 0))), 0)</f>
        <v>0</v>
      </c>
      <c r="U4660" s="22">
        <f t="shared" ref="U4660:U4723" si="292">T4660*J4660</f>
        <v>0</v>
      </c>
      <c r="V4660">
        <f t="shared" ref="V4660:V4723" si="293">IF(OR(B4660="MAL ALIMI", B4660="ÜRETİM GİRİŞ"), I4660 * J4660, 0)</f>
        <v>0</v>
      </c>
      <c r="W4660" s="22">
        <f t="shared" ref="W4660:W4723" si="294">V4660-U4660</f>
        <v>0</v>
      </c>
    </row>
    <row r="4661" spans="1:23" hidden="1" x14ac:dyDescent="0.25">
      <c r="A4661" s="3">
        <v>46078</v>
      </c>
      <c r="B4661" s="4" t="s">
        <v>334</v>
      </c>
      <c r="C4661" s="4" t="s">
        <v>60</v>
      </c>
      <c r="D4661" s="4"/>
      <c r="E4661" s="4" t="s">
        <v>921</v>
      </c>
      <c r="F4661" s="46" t="s">
        <v>2297</v>
      </c>
      <c r="G4661" s="4" t="s">
        <v>336</v>
      </c>
      <c r="H4661" s="4" t="s">
        <v>380</v>
      </c>
      <c r="I4661" s="4">
        <v>0.05</v>
      </c>
      <c r="J4661" s="21">
        <v>1200</v>
      </c>
      <c r="K4661" s="21">
        <v>60</v>
      </c>
      <c r="L4661" s="5">
        <v>0</v>
      </c>
      <c r="M4661" s="4"/>
      <c r="N4661" s="4"/>
      <c r="O4661" s="5"/>
      <c r="P4661" s="5"/>
      <c r="Q4661" s="21">
        <v>0</v>
      </c>
      <c r="R4661" s="21">
        <v>0</v>
      </c>
      <c r="S4661" s="5">
        <f t="shared" si="291"/>
        <v>52048.698573026428</v>
      </c>
      <c r="T4661" cm="1">
        <f t="array" ref="T4661">IF(OR(B4661="MAL ALIMI", B4661="ÜRETİM GİRİŞ"), MIN(I4661, MAX(0, I4661 + SUM(SUMIFS($I$1:I4660, $C$1:C4660, C4661, $B$1:B4660, {"MAL ALIMI","ÜRETİM GİRİŞ"})) - VLOOKUP(C4661, 'STOK RAPORU'!$C$2:$I$1000, 4, 0))), 0)</f>
        <v>0</v>
      </c>
      <c r="U4661" s="22">
        <f t="shared" si="292"/>
        <v>0</v>
      </c>
      <c r="V4661">
        <f t="shared" si="293"/>
        <v>0</v>
      </c>
      <c r="W4661" s="22">
        <f t="shared" si="294"/>
        <v>0</v>
      </c>
    </row>
    <row r="4662" spans="1:23" hidden="1" x14ac:dyDescent="0.25">
      <c r="A4662" s="3">
        <v>46078</v>
      </c>
      <c r="B4662" s="4" t="s">
        <v>334</v>
      </c>
      <c r="C4662" s="4" t="s">
        <v>751</v>
      </c>
      <c r="D4662" s="4"/>
      <c r="E4662" s="4" t="s">
        <v>921</v>
      </c>
      <c r="F4662" s="46" t="s">
        <v>2298</v>
      </c>
      <c r="G4662" s="4" t="s">
        <v>336</v>
      </c>
      <c r="H4662" s="4" t="s">
        <v>380</v>
      </c>
      <c r="I4662" s="4">
        <v>1</v>
      </c>
      <c r="J4662" s="21">
        <v>250</v>
      </c>
      <c r="K4662" s="21">
        <v>250</v>
      </c>
      <c r="L4662" s="5">
        <v>0</v>
      </c>
      <c r="M4662" s="4"/>
      <c r="N4662" s="4"/>
      <c r="O4662" s="5"/>
      <c r="P4662" s="5"/>
      <c r="Q4662" s="21">
        <v>0</v>
      </c>
      <c r="R4662" s="21">
        <v>0</v>
      </c>
      <c r="S4662" s="5">
        <f t="shared" si="291"/>
        <v>52048.698573026428</v>
      </c>
      <c r="T4662" cm="1">
        <f t="array" ref="T4662">IF(OR(B4662="MAL ALIMI", B4662="ÜRETİM GİRİŞ"), MIN(I4662, MAX(0, I4662 + SUM(SUMIFS($I$1:I4661, $C$1:C4661, C4662, $B$1:B4661, {"MAL ALIMI","ÜRETİM GİRİŞ"})) - VLOOKUP(C4662, 'STOK RAPORU'!$C$2:$I$1000, 4, 0))), 0)</f>
        <v>0</v>
      </c>
      <c r="U4662" s="22">
        <f t="shared" si="292"/>
        <v>0</v>
      </c>
      <c r="V4662">
        <f t="shared" si="293"/>
        <v>0</v>
      </c>
      <c r="W4662" s="22">
        <f t="shared" si="294"/>
        <v>0</v>
      </c>
    </row>
    <row r="4663" spans="1:23" hidden="1" x14ac:dyDescent="0.25">
      <c r="A4663" s="3">
        <v>46078</v>
      </c>
      <c r="B4663" s="4" t="s">
        <v>334</v>
      </c>
      <c r="C4663" s="4" t="s">
        <v>259</v>
      </c>
      <c r="D4663" s="4"/>
      <c r="E4663" s="4" t="s">
        <v>921</v>
      </c>
      <c r="F4663" s="46" t="s">
        <v>2298</v>
      </c>
      <c r="G4663" s="4" t="s">
        <v>336</v>
      </c>
      <c r="H4663" s="4" t="s">
        <v>380</v>
      </c>
      <c r="I4663" s="4">
        <v>1</v>
      </c>
      <c r="J4663" s="21">
        <v>100</v>
      </c>
      <c r="K4663" s="21">
        <v>100</v>
      </c>
      <c r="L4663" s="5">
        <v>0</v>
      </c>
      <c r="M4663" s="4"/>
      <c r="N4663" s="4"/>
      <c r="O4663" s="5"/>
      <c r="P4663" s="5"/>
      <c r="Q4663" s="21">
        <v>0</v>
      </c>
      <c r="R4663" s="21">
        <v>0</v>
      </c>
      <c r="S4663" s="5">
        <f t="shared" si="291"/>
        <v>52048.698573026428</v>
      </c>
      <c r="T4663" cm="1">
        <f t="array" ref="T4663">IF(OR(B4663="MAL ALIMI", B4663="ÜRETİM GİRİŞ"), MIN(I4663, MAX(0, I4663 + SUM(SUMIFS($I$1:I4662, $C$1:C4662, C4663, $B$1:B4662, {"MAL ALIMI","ÜRETİM GİRİŞ"})) - VLOOKUP(C4663, 'STOK RAPORU'!$C$2:$I$1000, 4, 0))), 0)</f>
        <v>0</v>
      </c>
      <c r="U4663" s="22">
        <f t="shared" si="292"/>
        <v>0</v>
      </c>
      <c r="V4663">
        <f t="shared" si="293"/>
        <v>0</v>
      </c>
      <c r="W4663" s="22">
        <f t="shared" si="294"/>
        <v>0</v>
      </c>
    </row>
    <row r="4664" spans="1:23" hidden="1" x14ac:dyDescent="0.25">
      <c r="A4664" s="3">
        <v>46078</v>
      </c>
      <c r="B4664" s="4" t="s">
        <v>334</v>
      </c>
      <c r="C4664" s="4" t="s">
        <v>162</v>
      </c>
      <c r="D4664" s="4"/>
      <c r="E4664" s="4" t="s">
        <v>921</v>
      </c>
      <c r="F4664" s="46" t="s">
        <v>2299</v>
      </c>
      <c r="G4664" s="4" t="s">
        <v>336</v>
      </c>
      <c r="H4664" s="4" t="s">
        <v>380</v>
      </c>
      <c r="I4664" s="4">
        <v>1</v>
      </c>
      <c r="J4664" s="21">
        <v>250</v>
      </c>
      <c r="K4664" s="21">
        <v>250</v>
      </c>
      <c r="L4664" s="5">
        <v>0</v>
      </c>
      <c r="M4664" s="4"/>
      <c r="N4664" s="4"/>
      <c r="O4664" s="5"/>
      <c r="P4664" s="5"/>
      <c r="Q4664" s="21">
        <v>0</v>
      </c>
      <c r="R4664" s="21">
        <v>0</v>
      </c>
      <c r="S4664" s="5">
        <f t="shared" si="291"/>
        <v>52048.698573026428</v>
      </c>
      <c r="T4664" cm="1">
        <f t="array" ref="T4664">IF(OR(B4664="MAL ALIMI", B4664="ÜRETİM GİRİŞ"), MIN(I4664, MAX(0, I4664 + SUM(SUMIFS($I$1:I4663, $C$1:C4663, C4664, $B$1:B4663, {"MAL ALIMI","ÜRETİM GİRİŞ"})) - VLOOKUP(C4664, 'STOK RAPORU'!$C$2:$I$1000, 4, 0))), 0)</f>
        <v>0</v>
      </c>
      <c r="U4664" s="22">
        <f t="shared" si="292"/>
        <v>0</v>
      </c>
      <c r="V4664">
        <f t="shared" si="293"/>
        <v>0</v>
      </c>
      <c r="W4664" s="22">
        <f t="shared" si="294"/>
        <v>0</v>
      </c>
    </row>
    <row r="4665" spans="1:23" hidden="1" x14ac:dyDescent="0.25">
      <c r="A4665" s="3">
        <v>46078</v>
      </c>
      <c r="B4665" s="4" t="s">
        <v>334</v>
      </c>
      <c r="C4665" s="4" t="s">
        <v>160</v>
      </c>
      <c r="D4665" s="4"/>
      <c r="E4665" s="4" t="s">
        <v>921</v>
      </c>
      <c r="F4665" s="46" t="s">
        <v>2299</v>
      </c>
      <c r="G4665" s="4" t="s">
        <v>336</v>
      </c>
      <c r="H4665" s="4" t="s">
        <v>380</v>
      </c>
      <c r="I4665" s="4">
        <v>1</v>
      </c>
      <c r="J4665" s="21">
        <v>250</v>
      </c>
      <c r="K4665" s="21">
        <v>250</v>
      </c>
      <c r="L4665" s="5">
        <v>0</v>
      </c>
      <c r="M4665" s="4"/>
      <c r="N4665" s="4"/>
      <c r="O4665" s="5"/>
      <c r="P4665" s="5"/>
      <c r="Q4665" s="21">
        <v>0</v>
      </c>
      <c r="R4665" s="21">
        <v>0</v>
      </c>
      <c r="S4665" s="5">
        <f t="shared" si="291"/>
        <v>52048.698573026428</v>
      </c>
      <c r="T4665" cm="1">
        <f t="array" ref="T4665">IF(OR(B4665="MAL ALIMI", B4665="ÜRETİM GİRİŞ"), MIN(I4665, MAX(0, I4665 + SUM(SUMIFS($I$1:I4664, $C$1:C4664, C4665, $B$1:B4664, {"MAL ALIMI","ÜRETİM GİRİŞ"})) - VLOOKUP(C4665, 'STOK RAPORU'!$C$2:$I$1000, 4, 0))), 0)</f>
        <v>0</v>
      </c>
      <c r="U4665" s="22">
        <f t="shared" si="292"/>
        <v>0</v>
      </c>
      <c r="V4665">
        <f t="shared" si="293"/>
        <v>0</v>
      </c>
      <c r="W4665" s="22">
        <f t="shared" si="294"/>
        <v>0</v>
      </c>
    </row>
    <row r="4666" spans="1:23" hidden="1" x14ac:dyDescent="0.25">
      <c r="A4666" s="3">
        <v>46078</v>
      </c>
      <c r="B4666" s="4" t="s">
        <v>334</v>
      </c>
      <c r="C4666" s="4" t="s">
        <v>158</v>
      </c>
      <c r="D4666" s="4"/>
      <c r="E4666" s="4"/>
      <c r="F4666" s="46" t="s">
        <v>2300</v>
      </c>
      <c r="G4666" s="4" t="s">
        <v>336</v>
      </c>
      <c r="H4666" s="4" t="s">
        <v>289</v>
      </c>
      <c r="I4666" s="4">
        <v>2</v>
      </c>
      <c r="J4666" s="21">
        <v>125</v>
      </c>
      <c r="K4666" s="21">
        <v>0</v>
      </c>
      <c r="L4666" s="5">
        <v>0</v>
      </c>
      <c r="M4666" s="4"/>
      <c r="N4666" s="4"/>
      <c r="O4666" s="5"/>
      <c r="P4666" s="5"/>
      <c r="Q4666" s="21">
        <v>250</v>
      </c>
      <c r="R4666" s="21">
        <v>0</v>
      </c>
      <c r="S4666" s="5">
        <f t="shared" si="291"/>
        <v>52298.698573026428</v>
      </c>
      <c r="T4666" cm="1">
        <f t="array" ref="T4666">IF(OR(B4666="MAL ALIMI", B4666="ÜRETİM GİRİŞ"), MIN(I4666, MAX(0, I4666 + SUM(SUMIFS($I$1:I4665, $C$1:C4665, C4666, $B$1:B4665, {"MAL ALIMI","ÜRETİM GİRİŞ"})) - VLOOKUP(C4666, 'STOK RAPORU'!$C$2:$I$1000, 4, 0))), 0)</f>
        <v>0</v>
      </c>
      <c r="U4666" s="22">
        <f t="shared" si="292"/>
        <v>0</v>
      </c>
      <c r="V4666">
        <f t="shared" si="293"/>
        <v>0</v>
      </c>
      <c r="W4666" s="22">
        <f t="shared" si="294"/>
        <v>0</v>
      </c>
    </row>
    <row r="4667" spans="1:23" hidden="1" x14ac:dyDescent="0.25">
      <c r="A4667" s="3">
        <v>46078</v>
      </c>
      <c r="B4667" s="4" t="s">
        <v>334</v>
      </c>
      <c r="C4667" s="4" t="s">
        <v>157</v>
      </c>
      <c r="D4667" s="4"/>
      <c r="E4667" s="4"/>
      <c r="F4667" s="46" t="s">
        <v>2300</v>
      </c>
      <c r="G4667" s="4" t="s">
        <v>336</v>
      </c>
      <c r="H4667" s="4" t="s">
        <v>289</v>
      </c>
      <c r="I4667" s="4">
        <v>0.5</v>
      </c>
      <c r="J4667" s="21">
        <v>200</v>
      </c>
      <c r="K4667" s="21">
        <v>0</v>
      </c>
      <c r="L4667" s="5">
        <v>0</v>
      </c>
      <c r="M4667" s="4"/>
      <c r="N4667" s="4"/>
      <c r="O4667" s="5"/>
      <c r="P4667" s="5"/>
      <c r="Q4667" s="21">
        <v>100</v>
      </c>
      <c r="R4667" s="21">
        <v>0</v>
      </c>
      <c r="S4667" s="5">
        <f t="shared" si="291"/>
        <v>52398.698573026428</v>
      </c>
      <c r="T4667" cm="1">
        <f t="array" ref="T4667">IF(OR(B4667="MAL ALIMI", B4667="ÜRETİM GİRİŞ"), MIN(I4667, MAX(0, I4667 + SUM(SUMIFS($I$1:I4666, $C$1:C4666, C4667, $B$1:B4666, {"MAL ALIMI","ÜRETİM GİRİŞ"})) - VLOOKUP(C4667, 'STOK RAPORU'!$C$2:$I$1000, 4, 0))), 0)</f>
        <v>0</v>
      </c>
      <c r="U4667" s="22">
        <f t="shared" si="292"/>
        <v>0</v>
      </c>
      <c r="V4667">
        <f t="shared" si="293"/>
        <v>0</v>
      </c>
      <c r="W4667" s="22">
        <f t="shared" si="294"/>
        <v>0</v>
      </c>
    </row>
    <row r="4668" spans="1:23" hidden="1" x14ac:dyDescent="0.25">
      <c r="A4668" s="3">
        <v>46078</v>
      </c>
      <c r="B4668" s="4" t="s">
        <v>334</v>
      </c>
      <c r="C4668" s="4" t="s">
        <v>156</v>
      </c>
      <c r="D4668" s="4"/>
      <c r="E4668" s="4"/>
      <c r="F4668" s="46" t="s">
        <v>2300</v>
      </c>
      <c r="G4668" s="4" t="s">
        <v>336</v>
      </c>
      <c r="H4668" s="4" t="s">
        <v>289</v>
      </c>
      <c r="I4668" s="4">
        <v>0.5</v>
      </c>
      <c r="J4668" s="21">
        <v>200</v>
      </c>
      <c r="K4668" s="21">
        <v>0</v>
      </c>
      <c r="L4668" s="5">
        <v>0</v>
      </c>
      <c r="M4668" s="4"/>
      <c r="N4668" s="4"/>
      <c r="O4668" s="5"/>
      <c r="P4668" s="5"/>
      <c r="Q4668" s="21">
        <v>100</v>
      </c>
      <c r="R4668" s="21">
        <v>0</v>
      </c>
      <c r="S4668" s="5">
        <f t="shared" si="291"/>
        <v>52498.698573026428</v>
      </c>
      <c r="T4668" cm="1">
        <f t="array" ref="T4668">IF(OR(B4668="MAL ALIMI", B4668="ÜRETİM GİRİŞ"), MIN(I4668, MAX(0, I4668 + SUM(SUMIFS($I$1:I4667, $C$1:C4667, C4668, $B$1:B4667, {"MAL ALIMI","ÜRETİM GİRİŞ"})) - VLOOKUP(C4668, 'STOK RAPORU'!$C$2:$I$1000, 4, 0))), 0)</f>
        <v>0</v>
      </c>
      <c r="U4668" s="22">
        <f t="shared" si="292"/>
        <v>0</v>
      </c>
      <c r="V4668">
        <f t="shared" si="293"/>
        <v>0</v>
      </c>
      <c r="W4668" s="22">
        <f t="shared" si="294"/>
        <v>0</v>
      </c>
    </row>
    <row r="4669" spans="1:23" hidden="1" x14ac:dyDescent="0.25">
      <c r="A4669" s="3">
        <v>46078</v>
      </c>
      <c r="B4669" s="4" t="s">
        <v>334</v>
      </c>
      <c r="C4669" s="4" t="s">
        <v>132</v>
      </c>
      <c r="D4669" s="4"/>
      <c r="E4669" s="4"/>
      <c r="F4669" s="46" t="s">
        <v>2301</v>
      </c>
      <c r="G4669" s="4" t="s">
        <v>336</v>
      </c>
      <c r="H4669" s="4" t="s">
        <v>289</v>
      </c>
      <c r="I4669" s="4">
        <v>0.15</v>
      </c>
      <c r="J4669" s="21">
        <v>500</v>
      </c>
      <c r="K4669" s="21">
        <v>0</v>
      </c>
      <c r="L4669" s="5">
        <v>0</v>
      </c>
      <c r="M4669" s="4"/>
      <c r="N4669" s="4"/>
      <c r="O4669" s="5"/>
      <c r="P4669" s="5"/>
      <c r="Q4669" s="21">
        <v>75</v>
      </c>
      <c r="R4669" s="21">
        <v>0</v>
      </c>
      <c r="S4669" s="5">
        <f t="shared" si="291"/>
        <v>52573.698573026428</v>
      </c>
      <c r="T4669" cm="1">
        <f t="array" ref="T4669">IF(OR(B4669="MAL ALIMI", B4669="ÜRETİM GİRİŞ"), MIN(I4669, MAX(0, I4669 + SUM(SUMIFS($I$1:I4668, $C$1:C4668, C4669, $B$1:B4668, {"MAL ALIMI","ÜRETİM GİRİŞ"})) - VLOOKUP(C4669, 'STOK RAPORU'!$C$2:$I$1000, 4, 0))), 0)</f>
        <v>0</v>
      </c>
      <c r="U4669" s="22">
        <f t="shared" si="292"/>
        <v>0</v>
      </c>
      <c r="V4669">
        <f t="shared" si="293"/>
        <v>0</v>
      </c>
      <c r="W4669" s="22">
        <f t="shared" si="294"/>
        <v>0</v>
      </c>
    </row>
    <row r="4670" spans="1:23" hidden="1" x14ac:dyDescent="0.25">
      <c r="A4670" s="3">
        <v>46078</v>
      </c>
      <c r="B4670" s="4" t="s">
        <v>334</v>
      </c>
      <c r="C4670" s="4" t="s">
        <v>74</v>
      </c>
      <c r="D4670" s="4"/>
      <c r="E4670" s="4" t="s">
        <v>921</v>
      </c>
      <c r="F4670" s="46" t="s">
        <v>2302</v>
      </c>
      <c r="G4670" s="4" t="s">
        <v>336</v>
      </c>
      <c r="H4670" s="4" t="s">
        <v>380</v>
      </c>
      <c r="I4670" s="4">
        <v>0.05</v>
      </c>
      <c r="J4670" s="21">
        <v>1500</v>
      </c>
      <c r="K4670" s="21">
        <v>75</v>
      </c>
      <c r="L4670" s="5">
        <v>0</v>
      </c>
      <c r="M4670" s="4"/>
      <c r="N4670" s="4"/>
      <c r="O4670" s="5"/>
      <c r="P4670" s="5"/>
      <c r="Q4670" s="21">
        <v>0</v>
      </c>
      <c r="R4670" s="21">
        <v>0</v>
      </c>
      <c r="S4670" s="5">
        <f t="shared" si="291"/>
        <v>52573.698573026428</v>
      </c>
      <c r="T4670" cm="1">
        <f t="array" ref="T4670">IF(OR(B4670="MAL ALIMI", B4670="ÜRETİM GİRİŞ"), MIN(I4670, MAX(0, I4670 + SUM(SUMIFS($I$1:I4669, $C$1:C4669, C4670, $B$1:B4669, {"MAL ALIMI","ÜRETİM GİRİŞ"})) - VLOOKUP(C4670, 'STOK RAPORU'!$C$2:$I$1000, 4, 0))), 0)</f>
        <v>0</v>
      </c>
      <c r="U4670" s="22">
        <f t="shared" si="292"/>
        <v>0</v>
      </c>
      <c r="V4670">
        <f t="shared" si="293"/>
        <v>0</v>
      </c>
      <c r="W4670" s="22">
        <f t="shared" si="294"/>
        <v>0</v>
      </c>
    </row>
    <row r="4671" spans="1:23" hidden="1" x14ac:dyDescent="0.25">
      <c r="A4671" s="3">
        <v>46078</v>
      </c>
      <c r="B4671" s="4" t="s">
        <v>334</v>
      </c>
      <c r="C4671" s="4" t="s">
        <v>1365</v>
      </c>
      <c r="D4671" s="4"/>
      <c r="E4671" s="4"/>
      <c r="F4671" s="46" t="s">
        <v>2303</v>
      </c>
      <c r="G4671" s="4" t="s">
        <v>336</v>
      </c>
      <c r="H4671" s="4" t="s">
        <v>289</v>
      </c>
      <c r="I4671" s="4">
        <v>1</v>
      </c>
      <c r="J4671" s="21">
        <v>140</v>
      </c>
      <c r="K4671" s="21">
        <v>0</v>
      </c>
      <c r="L4671" s="5">
        <v>0</v>
      </c>
      <c r="M4671" s="4"/>
      <c r="N4671" s="4"/>
      <c r="O4671" s="5"/>
      <c r="P4671" s="5"/>
      <c r="Q4671" s="21">
        <v>140</v>
      </c>
      <c r="R4671" s="21">
        <v>0</v>
      </c>
      <c r="S4671" s="5">
        <f t="shared" si="291"/>
        <v>52713.698573026428</v>
      </c>
      <c r="T4671" cm="1">
        <f t="array" ref="T4671">IF(OR(B4671="MAL ALIMI", B4671="ÜRETİM GİRİŞ"), MIN(I4671, MAX(0, I4671 + SUM(SUMIFS($I$1:I4670, $C$1:C4670, C4671, $B$1:B4670, {"MAL ALIMI","ÜRETİM GİRİŞ"})) - VLOOKUP(C4671, 'STOK RAPORU'!$C$2:$I$1000, 4, 0))), 0)</f>
        <v>0</v>
      </c>
      <c r="U4671" s="22">
        <f t="shared" si="292"/>
        <v>0</v>
      </c>
      <c r="V4671">
        <f t="shared" si="293"/>
        <v>0</v>
      </c>
      <c r="W4671" s="22">
        <f t="shared" si="294"/>
        <v>0</v>
      </c>
    </row>
    <row r="4672" spans="1:23" hidden="1" x14ac:dyDescent="0.25">
      <c r="A4672" s="3">
        <v>46078</v>
      </c>
      <c r="B4672" s="4" t="s">
        <v>334</v>
      </c>
      <c r="C4672" s="4" t="s">
        <v>1364</v>
      </c>
      <c r="D4672" s="4"/>
      <c r="E4672" s="4"/>
      <c r="F4672" s="46" t="s">
        <v>2303</v>
      </c>
      <c r="G4672" s="4" t="s">
        <v>336</v>
      </c>
      <c r="H4672" s="4" t="s">
        <v>289</v>
      </c>
      <c r="I4672" s="4">
        <v>1</v>
      </c>
      <c r="J4672" s="21">
        <v>140</v>
      </c>
      <c r="K4672" s="21">
        <v>0</v>
      </c>
      <c r="L4672" s="5">
        <v>0</v>
      </c>
      <c r="M4672" s="4"/>
      <c r="N4672" s="4"/>
      <c r="O4672" s="5"/>
      <c r="P4672" s="5"/>
      <c r="Q4672" s="21">
        <v>140</v>
      </c>
      <c r="R4672" s="21">
        <v>0</v>
      </c>
      <c r="S4672" s="5">
        <f t="shared" si="291"/>
        <v>52853.698573026428</v>
      </c>
      <c r="T4672" cm="1">
        <f t="array" ref="T4672">IF(OR(B4672="MAL ALIMI", B4672="ÜRETİM GİRİŞ"), MIN(I4672, MAX(0, I4672 + SUM(SUMIFS($I$1:I4671, $C$1:C4671, C4672, $B$1:B4671, {"MAL ALIMI","ÜRETİM GİRİŞ"})) - VLOOKUP(C4672, 'STOK RAPORU'!$C$2:$I$1000, 4, 0))), 0)</f>
        <v>0</v>
      </c>
      <c r="U4672" s="22">
        <f t="shared" si="292"/>
        <v>0</v>
      </c>
      <c r="V4672">
        <f t="shared" si="293"/>
        <v>0</v>
      </c>
      <c r="W4672" s="22">
        <f t="shared" si="294"/>
        <v>0</v>
      </c>
    </row>
    <row r="4673" spans="1:23" hidden="1" x14ac:dyDescent="0.25">
      <c r="A4673" s="3">
        <v>46078</v>
      </c>
      <c r="B4673" s="4" t="s">
        <v>334</v>
      </c>
      <c r="C4673" s="4" t="s">
        <v>1024</v>
      </c>
      <c r="D4673" s="4"/>
      <c r="E4673" s="4"/>
      <c r="F4673" s="46" t="s">
        <v>2303</v>
      </c>
      <c r="G4673" s="4" t="s">
        <v>336</v>
      </c>
      <c r="H4673" s="4" t="s">
        <v>289</v>
      </c>
      <c r="I4673" s="4">
        <v>2.3519999999999999</v>
      </c>
      <c r="J4673" s="21">
        <v>65</v>
      </c>
      <c r="K4673" s="21">
        <v>0</v>
      </c>
      <c r="L4673" s="5">
        <v>0</v>
      </c>
      <c r="M4673" s="4"/>
      <c r="N4673" s="4"/>
      <c r="O4673" s="5"/>
      <c r="P4673" s="5"/>
      <c r="Q4673" s="21">
        <v>152.88</v>
      </c>
      <c r="R4673" s="21">
        <v>0</v>
      </c>
      <c r="S4673" s="5">
        <f t="shared" si="291"/>
        <v>53006.578573026425</v>
      </c>
      <c r="T4673" cm="1">
        <f t="array" ref="T4673">IF(OR(B4673="MAL ALIMI", B4673="ÜRETİM GİRİŞ"), MIN(I4673, MAX(0, I4673 + SUM(SUMIFS($I$1:I4672, $C$1:C4672, C4673, $B$1:B4672, {"MAL ALIMI","ÜRETİM GİRİŞ"})) - VLOOKUP(C4673, 'STOK RAPORU'!$C$2:$I$1000, 4, 0))), 0)</f>
        <v>0</v>
      </c>
      <c r="U4673" s="22">
        <f t="shared" si="292"/>
        <v>0</v>
      </c>
      <c r="V4673">
        <f t="shared" si="293"/>
        <v>0</v>
      </c>
      <c r="W4673" s="22">
        <f t="shared" si="294"/>
        <v>0</v>
      </c>
    </row>
    <row r="4674" spans="1:23" hidden="1" x14ac:dyDescent="0.25">
      <c r="A4674" s="3">
        <v>46078</v>
      </c>
      <c r="B4674" s="4" t="s">
        <v>334</v>
      </c>
      <c r="C4674" s="4" t="s">
        <v>1393</v>
      </c>
      <c r="D4674" s="4"/>
      <c r="E4674" s="4"/>
      <c r="F4674" s="46" t="s">
        <v>2303</v>
      </c>
      <c r="G4674" s="4" t="s">
        <v>336</v>
      </c>
      <c r="H4674" s="4" t="s">
        <v>289</v>
      </c>
      <c r="I4674" s="4">
        <v>1</v>
      </c>
      <c r="J4674" s="21">
        <v>130</v>
      </c>
      <c r="K4674" s="21">
        <v>0</v>
      </c>
      <c r="L4674" s="5">
        <v>0</v>
      </c>
      <c r="M4674" s="4"/>
      <c r="N4674" s="4"/>
      <c r="O4674" s="5"/>
      <c r="P4674" s="5"/>
      <c r="Q4674" s="21">
        <v>130</v>
      </c>
      <c r="R4674" s="21">
        <v>0</v>
      </c>
      <c r="S4674" s="5">
        <f t="shared" si="291"/>
        <v>53136.578573026425</v>
      </c>
      <c r="T4674" cm="1">
        <f t="array" ref="T4674">IF(OR(B4674="MAL ALIMI", B4674="ÜRETİM GİRİŞ"), MIN(I4674, MAX(0, I4674 + SUM(SUMIFS($I$1:I4673, $C$1:C4673, C4674, $B$1:B4673, {"MAL ALIMI","ÜRETİM GİRİŞ"})) - VLOOKUP(C4674, 'STOK RAPORU'!$C$2:$I$1000, 4, 0))), 0)</f>
        <v>0</v>
      </c>
      <c r="U4674" s="22">
        <f t="shared" si="292"/>
        <v>0</v>
      </c>
      <c r="V4674">
        <f t="shared" si="293"/>
        <v>0</v>
      </c>
      <c r="W4674" s="22">
        <f t="shared" si="294"/>
        <v>0</v>
      </c>
    </row>
    <row r="4675" spans="1:23" hidden="1" x14ac:dyDescent="0.25">
      <c r="A4675" s="3">
        <v>46078</v>
      </c>
      <c r="B4675" s="4" t="s">
        <v>334</v>
      </c>
      <c r="C4675" s="4" t="s">
        <v>60</v>
      </c>
      <c r="D4675" s="4"/>
      <c r="E4675" s="4"/>
      <c r="F4675" s="46" t="s">
        <v>2303</v>
      </c>
      <c r="G4675" s="4" t="s">
        <v>336</v>
      </c>
      <c r="H4675" s="4" t="s">
        <v>289</v>
      </c>
      <c r="I4675" s="4">
        <v>0.05</v>
      </c>
      <c r="J4675" s="21">
        <v>1200</v>
      </c>
      <c r="K4675" s="21">
        <v>0</v>
      </c>
      <c r="L4675" s="5">
        <v>0</v>
      </c>
      <c r="M4675" s="4"/>
      <c r="N4675" s="4"/>
      <c r="O4675" s="5"/>
      <c r="P4675" s="5"/>
      <c r="Q4675" s="21">
        <v>60</v>
      </c>
      <c r="R4675" s="21">
        <v>0</v>
      </c>
      <c r="S4675" s="5">
        <f t="shared" si="291"/>
        <v>53196.578573026425</v>
      </c>
      <c r="T4675" cm="1">
        <f t="array" ref="T4675">IF(OR(B4675="MAL ALIMI", B4675="ÜRETİM GİRİŞ"), MIN(I4675, MAX(0, I4675 + SUM(SUMIFS($I$1:I4674, $C$1:C4674, C4675, $B$1:B4674, {"MAL ALIMI","ÜRETİM GİRİŞ"})) - VLOOKUP(C4675, 'STOK RAPORU'!$C$2:$I$1000, 4, 0))), 0)</f>
        <v>0</v>
      </c>
      <c r="U4675" s="22">
        <f t="shared" si="292"/>
        <v>0</v>
      </c>
      <c r="V4675">
        <f t="shared" si="293"/>
        <v>0</v>
      </c>
      <c r="W4675" s="22">
        <f t="shared" si="294"/>
        <v>0</v>
      </c>
    </row>
    <row r="4676" spans="1:23" hidden="1" x14ac:dyDescent="0.25">
      <c r="A4676" s="3">
        <v>46078</v>
      </c>
      <c r="B4676" s="4" t="s">
        <v>334</v>
      </c>
      <c r="C4676" s="4" t="s">
        <v>467</v>
      </c>
      <c r="D4676" s="4"/>
      <c r="E4676" s="4"/>
      <c r="F4676" s="46" t="s">
        <v>2304</v>
      </c>
      <c r="G4676" s="4" t="s">
        <v>336</v>
      </c>
      <c r="H4676" s="4" t="s">
        <v>289</v>
      </c>
      <c r="I4676" s="4">
        <v>1</v>
      </c>
      <c r="J4676" s="21">
        <v>50</v>
      </c>
      <c r="K4676" s="21">
        <v>0</v>
      </c>
      <c r="L4676" s="5">
        <v>0</v>
      </c>
      <c r="M4676" s="4"/>
      <c r="N4676" s="4"/>
      <c r="O4676" s="5"/>
      <c r="P4676" s="5"/>
      <c r="Q4676" s="21">
        <v>50</v>
      </c>
      <c r="R4676" s="21">
        <v>0</v>
      </c>
      <c r="S4676" s="5">
        <f t="shared" ref="S4676:S4739" si="295">S4675+Q4676-R4676</f>
        <v>53246.578573026425</v>
      </c>
      <c r="T4676" cm="1">
        <f t="array" ref="T4676">IF(OR(B4676="MAL ALIMI", B4676="ÜRETİM GİRİŞ"), MIN(I4676, MAX(0, I4676 + SUM(SUMIFS($I$1:I4675, $C$1:C4675, C4676, $B$1:B4675, {"MAL ALIMI","ÜRETİM GİRİŞ"})) - VLOOKUP(C4676, 'STOK RAPORU'!$C$2:$I$1000, 4, 0))), 0)</f>
        <v>0</v>
      </c>
      <c r="U4676" s="22">
        <f t="shared" si="292"/>
        <v>0</v>
      </c>
      <c r="V4676">
        <f t="shared" si="293"/>
        <v>0</v>
      </c>
      <c r="W4676" s="22">
        <f t="shared" si="294"/>
        <v>0</v>
      </c>
    </row>
    <row r="4677" spans="1:23" hidden="1" x14ac:dyDescent="0.25">
      <c r="A4677" s="3">
        <v>46078</v>
      </c>
      <c r="B4677" s="4" t="s">
        <v>917</v>
      </c>
      <c r="C4677" s="4"/>
      <c r="D4677" s="4"/>
      <c r="E4677" s="4" t="s">
        <v>855</v>
      </c>
      <c r="F4677" s="4"/>
      <c r="G4677" s="4" t="s">
        <v>2286</v>
      </c>
      <c r="H4677" s="4" t="s">
        <v>289</v>
      </c>
      <c r="I4677" s="4">
        <v>1</v>
      </c>
      <c r="J4677" s="21">
        <v>0</v>
      </c>
      <c r="K4677" s="21">
        <v>25000</v>
      </c>
      <c r="L4677" s="5">
        <v>0</v>
      </c>
      <c r="M4677" s="4"/>
      <c r="N4677" s="4"/>
      <c r="O4677" s="5"/>
      <c r="P4677" s="5"/>
      <c r="Q4677" s="21">
        <v>0</v>
      </c>
      <c r="R4677" s="21">
        <v>25000</v>
      </c>
      <c r="S4677" s="5">
        <f t="shared" si="295"/>
        <v>28246.578573026425</v>
      </c>
      <c r="T4677" cm="1">
        <f t="array" ref="T4677">IF(OR(B4677="MAL ALIMI", B4677="ÜRETİM GİRİŞ"), MIN(I4677, MAX(0, I4677 + SUM(SUMIFS($I$1:I4676, $C$1:C4676, C4677, $B$1:B4676, {"MAL ALIMI","ÜRETİM GİRİŞ"})) - VLOOKUP(C4677, 'STOK RAPORU'!$C$2:$I$1000, 4, 0))), 0)</f>
        <v>0</v>
      </c>
      <c r="U4677" s="22">
        <f t="shared" si="292"/>
        <v>0</v>
      </c>
      <c r="V4677">
        <f t="shared" si="293"/>
        <v>0</v>
      </c>
      <c r="W4677" s="22">
        <f t="shared" si="294"/>
        <v>0</v>
      </c>
    </row>
    <row r="4678" spans="1:23" hidden="1" x14ac:dyDescent="0.25">
      <c r="A4678" s="3">
        <v>46078</v>
      </c>
      <c r="B4678" s="4" t="s">
        <v>3944</v>
      </c>
      <c r="C4678" s="4"/>
      <c r="D4678" s="4" t="s">
        <v>2324</v>
      </c>
      <c r="E4678" s="4" t="s">
        <v>855</v>
      </c>
      <c r="F4678" s="4"/>
      <c r="G4678" s="4" t="s">
        <v>2287</v>
      </c>
      <c r="H4678" s="4" t="s">
        <v>304</v>
      </c>
      <c r="I4678" s="4">
        <v>1</v>
      </c>
      <c r="J4678" s="21">
        <v>4500</v>
      </c>
      <c r="K4678" s="21">
        <v>4500</v>
      </c>
      <c r="L4678" s="5">
        <v>0</v>
      </c>
      <c r="M4678" s="4"/>
      <c r="N4678" s="4"/>
      <c r="O4678" s="5"/>
      <c r="P4678" s="5"/>
      <c r="Q4678" s="21">
        <v>0</v>
      </c>
      <c r="R4678" s="21">
        <v>0</v>
      </c>
      <c r="S4678" s="5">
        <f t="shared" si="295"/>
        <v>28246.578573026425</v>
      </c>
      <c r="T4678" cm="1">
        <f t="array" ref="T4678">IF(OR(B4678="MAL ALIMI", B4678="ÜRETİM GİRİŞ"), MIN(I4678, MAX(0, I4678 + SUM(SUMIFS($I$1:I4677, $C$1:C4677, C4678, $B$1:B4677, {"MAL ALIMI","ÜRETİM GİRİŞ"})) - VLOOKUP(C4678, 'STOK RAPORU'!$C$2:$I$1000, 4, 0))), 0)</f>
        <v>0</v>
      </c>
      <c r="U4678" s="22">
        <f t="shared" si="292"/>
        <v>0</v>
      </c>
      <c r="V4678">
        <f t="shared" si="293"/>
        <v>0</v>
      </c>
      <c r="W4678" s="22">
        <f t="shared" si="294"/>
        <v>0</v>
      </c>
    </row>
    <row r="4679" spans="1:23" hidden="1" x14ac:dyDescent="0.25">
      <c r="A4679" s="3">
        <v>46078</v>
      </c>
      <c r="B4679" s="4" t="s">
        <v>285</v>
      </c>
      <c r="C4679" s="4"/>
      <c r="D4679" s="4" t="s">
        <v>107</v>
      </c>
      <c r="E4679" s="4"/>
      <c r="F4679" s="4"/>
      <c r="G4679" s="4" t="s">
        <v>2305</v>
      </c>
      <c r="H4679" s="4" t="s">
        <v>289</v>
      </c>
      <c r="I4679" s="4">
        <v>1</v>
      </c>
      <c r="J4679" s="21">
        <v>280</v>
      </c>
      <c r="K4679" s="21">
        <v>0</v>
      </c>
      <c r="L4679" s="5">
        <v>0</v>
      </c>
      <c r="M4679" s="4"/>
      <c r="N4679" s="4"/>
      <c r="O4679" s="5"/>
      <c r="P4679" s="5"/>
      <c r="Q4679" s="21">
        <v>0</v>
      </c>
      <c r="R4679" s="21">
        <v>280</v>
      </c>
      <c r="S4679" s="5">
        <f t="shared" si="295"/>
        <v>27966.578573026425</v>
      </c>
      <c r="T4679" cm="1">
        <f t="array" ref="T4679">IF(OR(B4679="MAL ALIMI", B4679="ÜRETİM GİRİŞ"), MIN(I4679, MAX(0, I4679 + SUM(SUMIFS($I$1:I4678, $C$1:C4678, C4679, $B$1:B4678, {"MAL ALIMI","ÜRETİM GİRİŞ"})) - VLOOKUP(C4679, 'STOK RAPORU'!$C$2:$I$1000, 4, 0))), 0)</f>
        <v>0</v>
      </c>
      <c r="U4679" s="22">
        <f t="shared" si="292"/>
        <v>0</v>
      </c>
      <c r="V4679">
        <f t="shared" si="293"/>
        <v>0</v>
      </c>
      <c r="W4679" s="22">
        <f t="shared" si="294"/>
        <v>0</v>
      </c>
    </row>
    <row r="4680" spans="1:23" hidden="1" x14ac:dyDescent="0.25">
      <c r="A4680" s="3">
        <v>46078</v>
      </c>
      <c r="B4680" s="4" t="s">
        <v>946</v>
      </c>
      <c r="C4680" s="4"/>
      <c r="D4680" s="4"/>
      <c r="E4680" s="4" t="s">
        <v>921</v>
      </c>
      <c r="F4680" s="4"/>
      <c r="G4680" s="4" t="s">
        <v>946</v>
      </c>
      <c r="H4680" s="4" t="s">
        <v>380</v>
      </c>
      <c r="I4680" s="4">
        <v>1</v>
      </c>
      <c r="J4680" s="105">
        <v>700</v>
      </c>
      <c r="K4680" s="21">
        <v>0</v>
      </c>
      <c r="L4680" s="111">
        <v>700</v>
      </c>
      <c r="M4680" s="4"/>
      <c r="N4680" s="4"/>
      <c r="O4680" s="5"/>
      <c r="P4680" s="5"/>
      <c r="Q4680" s="21">
        <v>700</v>
      </c>
      <c r="R4680" s="21">
        <v>0</v>
      </c>
      <c r="S4680" s="5">
        <f t="shared" si="295"/>
        <v>28666.578573026425</v>
      </c>
      <c r="T4680" cm="1">
        <f t="array" ref="T4680">IF(OR(B4680="MAL ALIMI", B4680="ÜRETİM GİRİŞ"), MIN(I4680, MAX(0, I4680 + SUM(SUMIFS($I$1:I4679, $C$1:C4679, C4680, $B$1:B4679, {"MAL ALIMI","ÜRETİM GİRİŞ"})) - VLOOKUP(C4680, 'STOK RAPORU'!$C$2:$I$1000, 4, 0))), 0)</f>
        <v>0</v>
      </c>
      <c r="U4680" s="22">
        <f t="shared" si="292"/>
        <v>0</v>
      </c>
      <c r="V4680">
        <f t="shared" si="293"/>
        <v>0</v>
      </c>
      <c r="W4680" s="22">
        <f t="shared" si="294"/>
        <v>0</v>
      </c>
    </row>
    <row r="4681" spans="1:23" hidden="1" x14ac:dyDescent="0.25">
      <c r="A4681" s="3">
        <v>46078</v>
      </c>
      <c r="B4681" s="4" t="s">
        <v>946</v>
      </c>
      <c r="C4681" s="4"/>
      <c r="D4681" s="4"/>
      <c r="E4681" s="4" t="s">
        <v>921</v>
      </c>
      <c r="F4681" s="4"/>
      <c r="G4681" s="4" t="s">
        <v>946</v>
      </c>
      <c r="H4681" s="4" t="s">
        <v>380</v>
      </c>
      <c r="I4681" s="4">
        <v>1</v>
      </c>
      <c r="J4681" s="105">
        <v>1130</v>
      </c>
      <c r="K4681" s="21">
        <v>0</v>
      </c>
      <c r="L4681" s="111">
        <v>1130</v>
      </c>
      <c r="M4681" s="4"/>
      <c r="N4681" s="4"/>
      <c r="O4681" s="5"/>
      <c r="P4681" s="5"/>
      <c r="Q4681" s="21">
        <v>1130</v>
      </c>
      <c r="R4681" s="21">
        <v>0</v>
      </c>
      <c r="S4681" s="5">
        <f t="shared" si="295"/>
        <v>29796.578573026425</v>
      </c>
      <c r="T4681" cm="1">
        <f t="array" ref="T4681">IF(OR(B4681="MAL ALIMI", B4681="ÜRETİM GİRİŞ"), MIN(I4681, MAX(0, I4681 + SUM(SUMIFS($I$1:I4680, $C$1:C4680, C4681, $B$1:B4680, {"MAL ALIMI","ÜRETİM GİRİŞ"})) - VLOOKUP(C4681, 'STOK RAPORU'!$C$2:$I$1000, 4, 0))), 0)</f>
        <v>0</v>
      </c>
      <c r="U4681" s="22">
        <f t="shared" si="292"/>
        <v>0</v>
      </c>
      <c r="V4681">
        <f t="shared" si="293"/>
        <v>0</v>
      </c>
      <c r="W4681" s="22">
        <f t="shared" si="294"/>
        <v>0</v>
      </c>
    </row>
    <row r="4682" spans="1:23" hidden="1" x14ac:dyDescent="0.25">
      <c r="A4682" s="3">
        <v>46079</v>
      </c>
      <c r="B4682" s="4" t="s">
        <v>334</v>
      </c>
      <c r="C4682" s="4" t="s">
        <v>160</v>
      </c>
      <c r="D4682" s="4"/>
      <c r="E4682" s="4" t="s">
        <v>921</v>
      </c>
      <c r="F4682" s="46" t="s">
        <v>2307</v>
      </c>
      <c r="G4682" s="4" t="s">
        <v>336</v>
      </c>
      <c r="H4682" s="4" t="s">
        <v>380</v>
      </c>
      <c r="I4682" s="4">
        <v>1</v>
      </c>
      <c r="J4682" s="21">
        <v>250</v>
      </c>
      <c r="K4682" s="21">
        <v>250</v>
      </c>
      <c r="L4682" s="5">
        <v>0</v>
      </c>
      <c r="M4682" s="4"/>
      <c r="N4682" s="4"/>
      <c r="O4682" s="5"/>
      <c r="P4682" s="5"/>
      <c r="Q4682" s="21">
        <v>0</v>
      </c>
      <c r="R4682" s="21">
        <v>0</v>
      </c>
      <c r="S4682" s="5">
        <f t="shared" si="295"/>
        <v>29796.578573026425</v>
      </c>
      <c r="T4682" cm="1">
        <f t="array" ref="T4682">IF(OR(B4682="MAL ALIMI", B4682="ÜRETİM GİRİŞ"), MIN(I4682, MAX(0, I4682 + SUM(SUMIFS($I$1:I4681, $C$1:C4681, C4682, $B$1:B4681, {"MAL ALIMI","ÜRETİM GİRİŞ"})) - VLOOKUP(C4682, 'STOK RAPORU'!$C$2:$I$1000, 4, 0))), 0)</f>
        <v>0</v>
      </c>
      <c r="U4682" s="22">
        <f t="shared" si="292"/>
        <v>0</v>
      </c>
      <c r="V4682">
        <f t="shared" si="293"/>
        <v>0</v>
      </c>
      <c r="W4682" s="22">
        <f t="shared" si="294"/>
        <v>0</v>
      </c>
    </row>
    <row r="4683" spans="1:23" hidden="1" x14ac:dyDescent="0.25">
      <c r="A4683" s="3">
        <v>46079</v>
      </c>
      <c r="B4683" s="4" t="s">
        <v>334</v>
      </c>
      <c r="C4683" s="4" t="s">
        <v>161</v>
      </c>
      <c r="D4683" s="4"/>
      <c r="E4683" s="4" t="s">
        <v>921</v>
      </c>
      <c r="F4683" s="46" t="s">
        <v>2307</v>
      </c>
      <c r="G4683" s="4" t="s">
        <v>336</v>
      </c>
      <c r="H4683" s="4" t="s">
        <v>380</v>
      </c>
      <c r="I4683" s="4">
        <v>1</v>
      </c>
      <c r="J4683" s="21">
        <v>230</v>
      </c>
      <c r="K4683" s="21">
        <v>230</v>
      </c>
      <c r="L4683" s="5">
        <v>0</v>
      </c>
      <c r="M4683" s="4"/>
      <c r="N4683" s="4"/>
      <c r="O4683" s="5"/>
      <c r="P4683" s="5"/>
      <c r="Q4683" s="21">
        <v>0</v>
      </c>
      <c r="R4683" s="21">
        <v>0</v>
      </c>
      <c r="S4683" s="5">
        <f t="shared" si="295"/>
        <v>29796.578573026425</v>
      </c>
      <c r="T4683" cm="1">
        <f t="array" ref="T4683">IF(OR(B4683="MAL ALIMI", B4683="ÜRETİM GİRİŞ"), MIN(I4683, MAX(0, I4683 + SUM(SUMIFS($I$1:I4682, $C$1:C4682, C4683, $B$1:B4682, {"MAL ALIMI","ÜRETİM GİRİŞ"})) - VLOOKUP(C4683, 'STOK RAPORU'!$C$2:$I$1000, 4, 0))), 0)</f>
        <v>0</v>
      </c>
      <c r="U4683" s="22">
        <f t="shared" si="292"/>
        <v>0</v>
      </c>
      <c r="V4683">
        <f t="shared" si="293"/>
        <v>0</v>
      </c>
      <c r="W4683" s="22">
        <f t="shared" si="294"/>
        <v>0</v>
      </c>
    </row>
    <row r="4684" spans="1:23" hidden="1" x14ac:dyDescent="0.25">
      <c r="A4684" s="3">
        <v>46079</v>
      </c>
      <c r="B4684" s="4" t="s">
        <v>334</v>
      </c>
      <c r="C4684" s="4" t="s">
        <v>267</v>
      </c>
      <c r="D4684" s="4"/>
      <c r="E4684" s="4" t="s">
        <v>921</v>
      </c>
      <c r="F4684" s="46" t="s">
        <v>2307</v>
      </c>
      <c r="G4684" s="4" t="s">
        <v>336</v>
      </c>
      <c r="H4684" s="4" t="s">
        <v>380</v>
      </c>
      <c r="I4684" s="4">
        <v>1</v>
      </c>
      <c r="J4684" s="21">
        <v>190</v>
      </c>
      <c r="K4684" s="21">
        <v>190</v>
      </c>
      <c r="L4684" s="5">
        <v>0</v>
      </c>
      <c r="M4684" s="4"/>
      <c r="N4684" s="4"/>
      <c r="O4684" s="5"/>
      <c r="P4684" s="5"/>
      <c r="Q4684" s="21">
        <v>0</v>
      </c>
      <c r="R4684" s="21">
        <v>0</v>
      </c>
      <c r="S4684" s="5">
        <f t="shared" si="295"/>
        <v>29796.578573026425</v>
      </c>
      <c r="T4684" cm="1">
        <f t="array" ref="T4684">IF(OR(B4684="MAL ALIMI", B4684="ÜRETİM GİRİŞ"), MIN(I4684, MAX(0, I4684 + SUM(SUMIFS($I$1:I4683, $C$1:C4683, C4684, $B$1:B4683, {"MAL ALIMI","ÜRETİM GİRİŞ"})) - VLOOKUP(C4684, 'STOK RAPORU'!$C$2:$I$1000, 4, 0))), 0)</f>
        <v>0</v>
      </c>
      <c r="U4684" s="22">
        <f t="shared" si="292"/>
        <v>0</v>
      </c>
      <c r="V4684">
        <f t="shared" si="293"/>
        <v>0</v>
      </c>
      <c r="W4684" s="22">
        <f t="shared" si="294"/>
        <v>0</v>
      </c>
    </row>
    <row r="4685" spans="1:23" hidden="1" x14ac:dyDescent="0.25">
      <c r="A4685" s="3">
        <v>46079</v>
      </c>
      <c r="B4685" s="4" t="s">
        <v>334</v>
      </c>
      <c r="C4685" s="4" t="s">
        <v>750</v>
      </c>
      <c r="D4685" s="4"/>
      <c r="E4685" s="4" t="s">
        <v>921</v>
      </c>
      <c r="F4685" s="46" t="s">
        <v>2307</v>
      </c>
      <c r="G4685" s="4" t="s">
        <v>336</v>
      </c>
      <c r="H4685" s="4" t="s">
        <v>380</v>
      </c>
      <c r="I4685" s="4">
        <v>1</v>
      </c>
      <c r="J4685" s="21">
        <v>250</v>
      </c>
      <c r="K4685" s="21">
        <v>250</v>
      </c>
      <c r="L4685" s="5">
        <v>0</v>
      </c>
      <c r="M4685" s="4"/>
      <c r="N4685" s="4"/>
      <c r="O4685" s="5"/>
      <c r="P4685" s="5"/>
      <c r="Q4685" s="21">
        <v>0</v>
      </c>
      <c r="R4685" s="21">
        <v>0</v>
      </c>
      <c r="S4685" s="5">
        <f t="shared" si="295"/>
        <v>29796.578573026425</v>
      </c>
      <c r="T4685" cm="1">
        <f t="array" ref="T4685">IF(OR(B4685="MAL ALIMI", B4685="ÜRETİM GİRİŞ"), MIN(I4685, MAX(0, I4685 + SUM(SUMIFS($I$1:I4684, $C$1:C4684, C4685, $B$1:B4684, {"MAL ALIMI","ÜRETİM GİRİŞ"})) - VLOOKUP(C4685, 'STOK RAPORU'!$C$2:$I$1000, 4, 0))), 0)</f>
        <v>0</v>
      </c>
      <c r="U4685" s="22">
        <f t="shared" si="292"/>
        <v>0</v>
      </c>
      <c r="V4685">
        <f t="shared" si="293"/>
        <v>0</v>
      </c>
      <c r="W4685" s="22">
        <f t="shared" si="294"/>
        <v>0</v>
      </c>
    </row>
    <row r="4686" spans="1:23" hidden="1" x14ac:dyDescent="0.25">
      <c r="A4686" s="3">
        <v>46079</v>
      </c>
      <c r="B4686" s="4" t="s">
        <v>334</v>
      </c>
      <c r="C4686" s="4" t="s">
        <v>92</v>
      </c>
      <c r="D4686" s="4"/>
      <c r="E4686" s="4" t="s">
        <v>921</v>
      </c>
      <c r="F4686" s="46" t="s">
        <v>2307</v>
      </c>
      <c r="G4686" s="4" t="s">
        <v>336</v>
      </c>
      <c r="H4686" s="4" t="s">
        <v>380</v>
      </c>
      <c r="I4686" s="4">
        <v>9.8000000000000004E-2</v>
      </c>
      <c r="J4686" s="21">
        <v>500</v>
      </c>
      <c r="K4686" s="21">
        <v>49</v>
      </c>
      <c r="L4686" s="5">
        <v>0</v>
      </c>
      <c r="M4686" s="4"/>
      <c r="N4686" s="4"/>
      <c r="O4686" s="5"/>
      <c r="P4686" s="5"/>
      <c r="Q4686" s="21">
        <v>0</v>
      </c>
      <c r="R4686" s="21">
        <v>0</v>
      </c>
      <c r="S4686" s="5">
        <f t="shared" si="295"/>
        <v>29796.578573026425</v>
      </c>
      <c r="T4686" cm="1">
        <f t="array" ref="T4686">IF(OR(B4686="MAL ALIMI", B4686="ÜRETİM GİRİŞ"), MIN(I4686, MAX(0, I4686 + SUM(SUMIFS($I$1:I4685, $C$1:C4685, C4686, $B$1:B4685, {"MAL ALIMI","ÜRETİM GİRİŞ"})) - VLOOKUP(C4686, 'STOK RAPORU'!$C$2:$I$1000, 4, 0))), 0)</f>
        <v>0</v>
      </c>
      <c r="U4686" s="22">
        <f t="shared" si="292"/>
        <v>0</v>
      </c>
      <c r="V4686">
        <f t="shared" si="293"/>
        <v>0</v>
      </c>
      <c r="W4686" s="22">
        <f t="shared" si="294"/>
        <v>0</v>
      </c>
    </row>
    <row r="4687" spans="1:23" hidden="1" x14ac:dyDescent="0.25">
      <c r="A4687" s="3">
        <v>46079</v>
      </c>
      <c r="B4687" s="4" t="s">
        <v>334</v>
      </c>
      <c r="C4687" s="4" t="s">
        <v>129</v>
      </c>
      <c r="D4687" s="4"/>
      <c r="E4687" s="4" t="s">
        <v>921</v>
      </c>
      <c r="F4687" s="46" t="s">
        <v>2307</v>
      </c>
      <c r="G4687" s="4" t="s">
        <v>336</v>
      </c>
      <c r="H4687" s="4" t="s">
        <v>380</v>
      </c>
      <c r="I4687" s="4">
        <v>0.17</v>
      </c>
      <c r="J4687" s="21">
        <v>400</v>
      </c>
      <c r="K4687" s="21">
        <v>68</v>
      </c>
      <c r="L4687" s="5">
        <v>0</v>
      </c>
      <c r="M4687" s="4"/>
      <c r="N4687" s="4"/>
      <c r="O4687" s="5"/>
      <c r="P4687" s="5"/>
      <c r="Q4687" s="21">
        <v>0</v>
      </c>
      <c r="R4687" s="21">
        <v>0</v>
      </c>
      <c r="S4687" s="5">
        <f t="shared" si="295"/>
        <v>29796.578573026425</v>
      </c>
      <c r="T4687" cm="1">
        <f t="array" ref="T4687">IF(OR(B4687="MAL ALIMI", B4687="ÜRETİM GİRİŞ"), MIN(I4687, MAX(0, I4687 + SUM(SUMIFS($I$1:I4686, $C$1:C4686, C4687, $B$1:B4686, {"MAL ALIMI","ÜRETİM GİRİŞ"})) - VLOOKUP(C4687, 'STOK RAPORU'!$C$2:$I$1000, 4, 0))), 0)</f>
        <v>0</v>
      </c>
      <c r="U4687" s="22">
        <f t="shared" si="292"/>
        <v>0</v>
      </c>
      <c r="V4687">
        <f t="shared" si="293"/>
        <v>0</v>
      </c>
      <c r="W4687" s="22">
        <f t="shared" si="294"/>
        <v>0</v>
      </c>
    </row>
    <row r="4688" spans="1:23" hidden="1" x14ac:dyDescent="0.25">
      <c r="A4688" s="3">
        <v>46079</v>
      </c>
      <c r="B4688" s="4" t="s">
        <v>334</v>
      </c>
      <c r="C4688" s="4" t="s">
        <v>158</v>
      </c>
      <c r="D4688" s="4"/>
      <c r="E4688" s="4" t="s">
        <v>921</v>
      </c>
      <c r="F4688" s="46" t="s">
        <v>2307</v>
      </c>
      <c r="G4688" s="4" t="s">
        <v>336</v>
      </c>
      <c r="H4688" s="4" t="s">
        <v>380</v>
      </c>
      <c r="I4688" s="4">
        <v>1</v>
      </c>
      <c r="J4688" s="21">
        <v>150</v>
      </c>
      <c r="K4688" s="21">
        <v>150</v>
      </c>
      <c r="L4688" s="5">
        <v>0</v>
      </c>
      <c r="M4688" s="4"/>
      <c r="N4688" s="4"/>
      <c r="O4688" s="5"/>
      <c r="P4688" s="5"/>
      <c r="Q4688" s="21">
        <v>0</v>
      </c>
      <c r="R4688" s="21">
        <v>0</v>
      </c>
      <c r="S4688" s="5">
        <f t="shared" si="295"/>
        <v>29796.578573026425</v>
      </c>
      <c r="T4688" cm="1">
        <f t="array" ref="T4688">IF(OR(B4688="MAL ALIMI", B4688="ÜRETİM GİRİŞ"), MIN(I4688, MAX(0, I4688 + SUM(SUMIFS($I$1:I4687, $C$1:C4687, C4688, $B$1:B4687, {"MAL ALIMI","ÜRETİM GİRİŞ"})) - VLOOKUP(C4688, 'STOK RAPORU'!$C$2:$I$1000, 4, 0))), 0)</f>
        <v>0</v>
      </c>
      <c r="U4688" s="22">
        <f t="shared" si="292"/>
        <v>0</v>
      </c>
      <c r="V4688">
        <f t="shared" si="293"/>
        <v>0</v>
      </c>
      <c r="W4688" s="22">
        <f t="shared" si="294"/>
        <v>0</v>
      </c>
    </row>
    <row r="4689" spans="1:23" hidden="1" x14ac:dyDescent="0.25">
      <c r="A4689" s="3">
        <v>46079</v>
      </c>
      <c r="B4689" s="4" t="s">
        <v>334</v>
      </c>
      <c r="C4689" s="4" t="s">
        <v>237</v>
      </c>
      <c r="D4689" s="4"/>
      <c r="E4689" s="4" t="s">
        <v>921</v>
      </c>
      <c r="F4689" s="46" t="s">
        <v>2307</v>
      </c>
      <c r="G4689" s="4" t="s">
        <v>336</v>
      </c>
      <c r="H4689" s="4" t="s">
        <v>380</v>
      </c>
      <c r="I4689" s="4">
        <v>0.05</v>
      </c>
      <c r="J4689" s="21">
        <v>1800</v>
      </c>
      <c r="K4689" s="21">
        <v>90</v>
      </c>
      <c r="L4689" s="5">
        <v>0</v>
      </c>
      <c r="M4689" s="4"/>
      <c r="N4689" s="4"/>
      <c r="O4689" s="5"/>
      <c r="P4689" s="5"/>
      <c r="Q4689" s="21">
        <v>0</v>
      </c>
      <c r="R4689" s="21">
        <v>0</v>
      </c>
      <c r="S4689" s="5">
        <f t="shared" si="295"/>
        <v>29796.578573026425</v>
      </c>
      <c r="T4689" cm="1">
        <f t="array" ref="T4689">IF(OR(B4689="MAL ALIMI", B4689="ÜRETİM GİRİŞ"), MIN(I4689, MAX(0, I4689 + SUM(SUMIFS($I$1:I4688, $C$1:C4688, C4689, $B$1:B4688, {"MAL ALIMI","ÜRETİM GİRİŞ"})) - VLOOKUP(C4689, 'STOK RAPORU'!$C$2:$I$1000, 4, 0))), 0)</f>
        <v>0</v>
      </c>
      <c r="U4689" s="22">
        <f t="shared" si="292"/>
        <v>0</v>
      </c>
      <c r="V4689">
        <f t="shared" si="293"/>
        <v>0</v>
      </c>
      <c r="W4689" s="22">
        <f t="shared" si="294"/>
        <v>0</v>
      </c>
    </row>
    <row r="4690" spans="1:23" hidden="1" x14ac:dyDescent="0.25">
      <c r="A4690" s="3">
        <v>46079</v>
      </c>
      <c r="B4690" s="4" t="s">
        <v>334</v>
      </c>
      <c r="C4690" s="4" t="s">
        <v>1151</v>
      </c>
      <c r="D4690" s="4"/>
      <c r="E4690" s="4"/>
      <c r="F4690" s="46" t="s">
        <v>2308</v>
      </c>
      <c r="G4690" s="4" t="s">
        <v>336</v>
      </c>
      <c r="H4690" s="4" t="s">
        <v>289</v>
      </c>
      <c r="I4690" s="4">
        <v>0.19444444444444445</v>
      </c>
      <c r="J4690" s="21">
        <v>360</v>
      </c>
      <c r="K4690" s="21">
        <v>0</v>
      </c>
      <c r="L4690" s="5">
        <v>0</v>
      </c>
      <c r="M4690" s="4"/>
      <c r="N4690" s="4"/>
      <c r="O4690" s="5"/>
      <c r="P4690" s="5"/>
      <c r="Q4690" s="21">
        <v>70</v>
      </c>
      <c r="R4690" s="21">
        <v>0</v>
      </c>
      <c r="S4690" s="5">
        <f t="shared" si="295"/>
        <v>29866.578573026425</v>
      </c>
      <c r="T4690" cm="1">
        <f t="array" ref="T4690">IF(OR(B4690="MAL ALIMI", B4690="ÜRETİM GİRİŞ"), MIN(I4690, MAX(0, I4690 + SUM(SUMIFS($I$1:I4689, $C$1:C4689, C4690, $B$1:B4689, {"MAL ALIMI","ÜRETİM GİRİŞ"})) - VLOOKUP(C4690, 'STOK RAPORU'!$C$2:$I$1000, 4, 0))), 0)</f>
        <v>0</v>
      </c>
      <c r="U4690" s="22">
        <f t="shared" si="292"/>
        <v>0</v>
      </c>
      <c r="V4690">
        <f t="shared" si="293"/>
        <v>0</v>
      </c>
      <c r="W4690" s="22">
        <f t="shared" si="294"/>
        <v>0</v>
      </c>
    </row>
    <row r="4691" spans="1:23" hidden="1" x14ac:dyDescent="0.25">
      <c r="A4691" s="3">
        <v>46079</v>
      </c>
      <c r="B4691" s="4" t="s">
        <v>334</v>
      </c>
      <c r="C4691" s="4" t="s">
        <v>160</v>
      </c>
      <c r="D4691" s="4"/>
      <c r="E4691" s="4" t="s">
        <v>921</v>
      </c>
      <c r="F4691" s="46" t="s">
        <v>2309</v>
      </c>
      <c r="G4691" s="4" t="s">
        <v>336</v>
      </c>
      <c r="H4691" s="4" t="s">
        <v>380</v>
      </c>
      <c r="I4691" s="4">
        <v>1</v>
      </c>
      <c r="J4691" s="21">
        <v>250</v>
      </c>
      <c r="K4691" s="21">
        <v>250</v>
      </c>
      <c r="L4691" s="5">
        <v>0</v>
      </c>
      <c r="M4691" s="4"/>
      <c r="N4691" s="4"/>
      <c r="O4691" s="5"/>
      <c r="P4691" s="5"/>
      <c r="Q4691" s="21">
        <v>0</v>
      </c>
      <c r="R4691" s="21">
        <v>0</v>
      </c>
      <c r="S4691" s="5">
        <f t="shared" si="295"/>
        <v>29866.578573026425</v>
      </c>
      <c r="T4691" cm="1">
        <f t="array" ref="T4691">IF(OR(B4691="MAL ALIMI", B4691="ÜRETİM GİRİŞ"), MIN(I4691, MAX(0, I4691 + SUM(SUMIFS($I$1:I4690, $C$1:C4690, C4691, $B$1:B4690, {"MAL ALIMI","ÜRETİM GİRİŞ"})) - VLOOKUP(C4691, 'STOK RAPORU'!$C$2:$I$1000, 4, 0))), 0)</f>
        <v>0</v>
      </c>
      <c r="U4691" s="22">
        <f t="shared" si="292"/>
        <v>0</v>
      </c>
      <c r="V4691">
        <f t="shared" si="293"/>
        <v>0</v>
      </c>
      <c r="W4691" s="22">
        <f t="shared" si="294"/>
        <v>0</v>
      </c>
    </row>
    <row r="4692" spans="1:23" hidden="1" x14ac:dyDescent="0.25">
      <c r="A4692" s="3">
        <v>46079</v>
      </c>
      <c r="B4692" s="4" t="s">
        <v>334</v>
      </c>
      <c r="C4692" s="4" t="s">
        <v>162</v>
      </c>
      <c r="D4692" s="4"/>
      <c r="E4692" s="4"/>
      <c r="F4692" s="46" t="s">
        <v>2310</v>
      </c>
      <c r="G4692" s="4" t="s">
        <v>336</v>
      </c>
      <c r="H4692" s="4" t="s">
        <v>289</v>
      </c>
      <c r="I4692" s="4">
        <v>2</v>
      </c>
      <c r="J4692" s="21">
        <v>240</v>
      </c>
      <c r="K4692" s="21">
        <v>0</v>
      </c>
      <c r="L4692" s="5">
        <v>0</v>
      </c>
      <c r="M4692" s="4"/>
      <c r="N4692" s="4"/>
      <c r="O4692" s="5"/>
      <c r="P4692" s="5"/>
      <c r="Q4692" s="21">
        <v>480</v>
      </c>
      <c r="R4692" s="21">
        <v>0</v>
      </c>
      <c r="S4692" s="5">
        <f t="shared" si="295"/>
        <v>30346.578573026425</v>
      </c>
      <c r="T4692" cm="1">
        <f t="array" ref="T4692">IF(OR(B4692="MAL ALIMI", B4692="ÜRETİM GİRİŞ"), MIN(I4692, MAX(0, I4692 + SUM(SUMIFS($I$1:I4691, $C$1:C4691, C4692, $B$1:B4691, {"MAL ALIMI","ÜRETİM GİRİŞ"})) - VLOOKUP(C4692, 'STOK RAPORU'!$C$2:$I$1000, 4, 0))), 0)</f>
        <v>0</v>
      </c>
      <c r="U4692" s="22">
        <f t="shared" si="292"/>
        <v>0</v>
      </c>
      <c r="V4692">
        <f t="shared" si="293"/>
        <v>0</v>
      </c>
      <c r="W4692" s="22">
        <f t="shared" si="294"/>
        <v>0</v>
      </c>
    </row>
    <row r="4693" spans="1:23" hidden="1" x14ac:dyDescent="0.25">
      <c r="A4693" s="3">
        <v>46079</v>
      </c>
      <c r="B4693" s="4" t="s">
        <v>334</v>
      </c>
      <c r="C4693" s="4" t="s">
        <v>160</v>
      </c>
      <c r="D4693" s="4"/>
      <c r="E4693" s="4"/>
      <c r="F4693" s="46" t="s">
        <v>2310</v>
      </c>
      <c r="G4693" s="4" t="s">
        <v>336</v>
      </c>
      <c r="H4693" s="4" t="s">
        <v>289</v>
      </c>
      <c r="I4693" s="4">
        <v>2</v>
      </c>
      <c r="J4693" s="21">
        <v>240</v>
      </c>
      <c r="K4693" s="21">
        <v>0</v>
      </c>
      <c r="L4693" s="5">
        <v>0</v>
      </c>
      <c r="M4693" s="4"/>
      <c r="N4693" s="4"/>
      <c r="O4693" s="5"/>
      <c r="P4693" s="5"/>
      <c r="Q4693" s="21">
        <v>480</v>
      </c>
      <c r="R4693" s="21">
        <v>0</v>
      </c>
      <c r="S4693" s="5">
        <f t="shared" si="295"/>
        <v>30826.578573026425</v>
      </c>
      <c r="T4693" cm="1">
        <f t="array" ref="T4693">IF(OR(B4693="MAL ALIMI", B4693="ÜRETİM GİRİŞ"), MIN(I4693, MAX(0, I4693 + SUM(SUMIFS($I$1:I4692, $C$1:C4692, C4693, $B$1:B4692, {"MAL ALIMI","ÜRETİM GİRİŞ"})) - VLOOKUP(C4693, 'STOK RAPORU'!$C$2:$I$1000, 4, 0))), 0)</f>
        <v>0</v>
      </c>
      <c r="U4693" s="22">
        <f t="shared" si="292"/>
        <v>0</v>
      </c>
      <c r="V4693">
        <f t="shared" si="293"/>
        <v>0</v>
      </c>
      <c r="W4693" s="22">
        <f t="shared" si="294"/>
        <v>0</v>
      </c>
    </row>
    <row r="4694" spans="1:23" hidden="1" x14ac:dyDescent="0.25">
      <c r="A4694" s="3">
        <v>46079</v>
      </c>
      <c r="B4694" s="4" t="s">
        <v>334</v>
      </c>
      <c r="C4694" s="4" t="s">
        <v>161</v>
      </c>
      <c r="D4694" s="4"/>
      <c r="E4694" s="4"/>
      <c r="F4694" s="46" t="s">
        <v>2310</v>
      </c>
      <c r="G4694" s="4" t="s">
        <v>336</v>
      </c>
      <c r="H4694" s="4" t="s">
        <v>289</v>
      </c>
      <c r="I4694" s="4">
        <v>1</v>
      </c>
      <c r="J4694" s="21">
        <v>220</v>
      </c>
      <c r="K4694" s="21">
        <v>0</v>
      </c>
      <c r="L4694" s="5">
        <v>0</v>
      </c>
      <c r="M4694" s="4"/>
      <c r="N4694" s="4"/>
      <c r="O4694" s="5"/>
      <c r="P4694" s="5"/>
      <c r="Q4694" s="21">
        <v>220</v>
      </c>
      <c r="R4694" s="21">
        <v>0</v>
      </c>
      <c r="S4694" s="5">
        <f t="shared" si="295"/>
        <v>31046.578573026425</v>
      </c>
      <c r="T4694" cm="1">
        <f t="array" ref="T4694">IF(OR(B4694="MAL ALIMI", B4694="ÜRETİM GİRİŞ"), MIN(I4694, MAX(0, I4694 + SUM(SUMIFS($I$1:I4693, $C$1:C4693, C4694, $B$1:B4693, {"MAL ALIMI","ÜRETİM GİRİŞ"})) - VLOOKUP(C4694, 'STOK RAPORU'!$C$2:$I$1000, 4, 0))), 0)</f>
        <v>0</v>
      </c>
      <c r="U4694" s="22">
        <f t="shared" si="292"/>
        <v>0</v>
      </c>
      <c r="V4694">
        <f t="shared" si="293"/>
        <v>0</v>
      </c>
      <c r="W4694" s="22">
        <f t="shared" si="294"/>
        <v>0</v>
      </c>
    </row>
    <row r="4695" spans="1:23" hidden="1" x14ac:dyDescent="0.25">
      <c r="A4695" s="3">
        <v>46079</v>
      </c>
      <c r="B4695" s="4" t="s">
        <v>334</v>
      </c>
      <c r="C4695" s="4" t="s">
        <v>160</v>
      </c>
      <c r="D4695" s="4"/>
      <c r="E4695" s="4"/>
      <c r="F4695" s="46" t="s">
        <v>2311</v>
      </c>
      <c r="G4695" s="4" t="s">
        <v>336</v>
      </c>
      <c r="H4695" s="4" t="s">
        <v>289</v>
      </c>
      <c r="I4695" s="4">
        <v>1</v>
      </c>
      <c r="J4695" s="21">
        <v>250</v>
      </c>
      <c r="K4695" s="21">
        <v>0</v>
      </c>
      <c r="L4695" s="5">
        <v>0</v>
      </c>
      <c r="M4695" s="4"/>
      <c r="N4695" s="4"/>
      <c r="O4695" s="5"/>
      <c r="P4695" s="5"/>
      <c r="Q4695" s="21">
        <v>250</v>
      </c>
      <c r="R4695" s="21">
        <v>0</v>
      </c>
      <c r="S4695" s="5">
        <f t="shared" si="295"/>
        <v>31296.578573026425</v>
      </c>
      <c r="T4695" cm="1">
        <f t="array" ref="T4695">IF(OR(B4695="MAL ALIMI", B4695="ÜRETİM GİRİŞ"), MIN(I4695, MAX(0, I4695 + SUM(SUMIFS($I$1:I4694, $C$1:C4694, C4695, $B$1:B4694, {"MAL ALIMI","ÜRETİM GİRİŞ"})) - VLOOKUP(C4695, 'STOK RAPORU'!$C$2:$I$1000, 4, 0))), 0)</f>
        <v>0</v>
      </c>
      <c r="U4695" s="22">
        <f t="shared" si="292"/>
        <v>0</v>
      </c>
      <c r="V4695">
        <f t="shared" si="293"/>
        <v>0</v>
      </c>
      <c r="W4695" s="22">
        <f t="shared" si="294"/>
        <v>0</v>
      </c>
    </row>
    <row r="4696" spans="1:23" hidden="1" x14ac:dyDescent="0.25">
      <c r="A4696" s="3">
        <v>46079</v>
      </c>
      <c r="B4696" s="4" t="s">
        <v>334</v>
      </c>
      <c r="C4696" s="4" t="s">
        <v>228</v>
      </c>
      <c r="D4696" s="4"/>
      <c r="E4696" s="4" t="s">
        <v>921</v>
      </c>
      <c r="F4696" s="46" t="s">
        <v>2312</v>
      </c>
      <c r="G4696" s="4" t="s">
        <v>336</v>
      </c>
      <c r="H4696" s="4" t="s">
        <v>380</v>
      </c>
      <c r="I4696" s="4">
        <v>1</v>
      </c>
      <c r="J4696" s="21">
        <v>260</v>
      </c>
      <c r="K4696" s="21">
        <v>260</v>
      </c>
      <c r="L4696" s="5">
        <v>0</v>
      </c>
      <c r="M4696" s="4"/>
      <c r="N4696" s="4"/>
      <c r="O4696" s="5"/>
      <c r="P4696" s="5"/>
      <c r="Q4696" s="21">
        <v>0</v>
      </c>
      <c r="R4696" s="21">
        <v>0</v>
      </c>
      <c r="S4696" s="5">
        <f t="shared" si="295"/>
        <v>31296.578573026425</v>
      </c>
      <c r="T4696" cm="1">
        <f t="array" ref="T4696">IF(OR(B4696="MAL ALIMI", B4696="ÜRETİM GİRİŞ"), MIN(I4696, MAX(0, I4696 + SUM(SUMIFS($I$1:I4695, $C$1:C4695, C4696, $B$1:B4695, {"MAL ALIMI","ÜRETİM GİRİŞ"})) - VLOOKUP(C4696, 'STOK RAPORU'!$C$2:$I$1000, 4, 0))), 0)</f>
        <v>0</v>
      </c>
      <c r="U4696" s="22">
        <f t="shared" si="292"/>
        <v>0</v>
      </c>
      <c r="V4696">
        <f t="shared" si="293"/>
        <v>0</v>
      </c>
      <c r="W4696" s="22">
        <f t="shared" si="294"/>
        <v>0</v>
      </c>
    </row>
    <row r="4697" spans="1:23" hidden="1" x14ac:dyDescent="0.25">
      <c r="A4697" s="3">
        <v>46079</v>
      </c>
      <c r="B4697" s="4" t="s">
        <v>334</v>
      </c>
      <c r="C4697" s="4" t="s">
        <v>695</v>
      </c>
      <c r="D4697" s="4"/>
      <c r="E4697" s="4" t="s">
        <v>921</v>
      </c>
      <c r="F4697" s="46" t="s">
        <v>2313</v>
      </c>
      <c r="G4697" s="4" t="s">
        <v>336</v>
      </c>
      <c r="H4697" s="4" t="s">
        <v>380</v>
      </c>
      <c r="I4697" s="4">
        <v>1</v>
      </c>
      <c r="J4697" s="21">
        <v>120</v>
      </c>
      <c r="K4697" s="21">
        <v>120</v>
      </c>
      <c r="L4697" s="5">
        <v>0</v>
      </c>
      <c r="M4697" s="4"/>
      <c r="N4697" s="4"/>
      <c r="O4697" s="5"/>
      <c r="P4697" s="5"/>
      <c r="Q4697" s="21">
        <v>0</v>
      </c>
      <c r="R4697" s="21">
        <v>0</v>
      </c>
      <c r="S4697" s="5">
        <f t="shared" si="295"/>
        <v>31296.578573026425</v>
      </c>
      <c r="T4697" cm="1">
        <f t="array" ref="T4697">IF(OR(B4697="MAL ALIMI", B4697="ÜRETİM GİRİŞ"), MIN(I4697, MAX(0, I4697 + SUM(SUMIFS($I$1:I4696, $C$1:C4696, C4697, $B$1:B4696, {"MAL ALIMI","ÜRETİM GİRİŞ"})) - VLOOKUP(C4697, 'STOK RAPORU'!$C$2:$I$1000, 4, 0))), 0)</f>
        <v>0</v>
      </c>
      <c r="U4697" s="22">
        <f t="shared" si="292"/>
        <v>0</v>
      </c>
      <c r="V4697">
        <f t="shared" si="293"/>
        <v>0</v>
      </c>
      <c r="W4697" s="22">
        <f t="shared" si="294"/>
        <v>0</v>
      </c>
    </row>
    <row r="4698" spans="1:23" hidden="1" x14ac:dyDescent="0.25">
      <c r="A4698" s="3">
        <v>46079</v>
      </c>
      <c r="B4698" s="4" t="s">
        <v>334</v>
      </c>
      <c r="C4698" s="4" t="s">
        <v>1041</v>
      </c>
      <c r="D4698" s="4"/>
      <c r="E4698" s="4" t="s">
        <v>921</v>
      </c>
      <c r="F4698" s="46" t="s">
        <v>2313</v>
      </c>
      <c r="G4698" s="4" t="s">
        <v>336</v>
      </c>
      <c r="H4698" s="4" t="s">
        <v>380</v>
      </c>
      <c r="I4698" s="4">
        <v>1</v>
      </c>
      <c r="J4698" s="21">
        <v>250</v>
      </c>
      <c r="K4698" s="21">
        <v>250</v>
      </c>
      <c r="L4698" s="5">
        <v>0</v>
      </c>
      <c r="M4698" s="4"/>
      <c r="N4698" s="4"/>
      <c r="O4698" s="5"/>
      <c r="P4698" s="5"/>
      <c r="Q4698" s="21">
        <v>0</v>
      </c>
      <c r="R4698" s="21">
        <v>0</v>
      </c>
      <c r="S4698" s="5">
        <f t="shared" si="295"/>
        <v>31296.578573026425</v>
      </c>
      <c r="T4698" cm="1">
        <f t="array" ref="T4698">IF(OR(B4698="MAL ALIMI", B4698="ÜRETİM GİRİŞ"), MIN(I4698, MAX(0, I4698 + SUM(SUMIFS($I$1:I4697, $C$1:C4697, C4698, $B$1:B4697, {"MAL ALIMI","ÜRETİM GİRİŞ"})) - VLOOKUP(C4698, 'STOK RAPORU'!$C$2:$I$1000, 4, 0))), 0)</f>
        <v>0</v>
      </c>
      <c r="U4698" s="22">
        <f t="shared" si="292"/>
        <v>0</v>
      </c>
      <c r="V4698">
        <f t="shared" si="293"/>
        <v>0</v>
      </c>
      <c r="W4698" s="22">
        <f t="shared" si="294"/>
        <v>0</v>
      </c>
    </row>
    <row r="4699" spans="1:23" hidden="1" x14ac:dyDescent="0.25">
      <c r="A4699" s="3">
        <v>46079</v>
      </c>
      <c r="B4699" s="4" t="s">
        <v>334</v>
      </c>
      <c r="C4699" s="4" t="s">
        <v>601</v>
      </c>
      <c r="D4699" s="4"/>
      <c r="E4699" s="4" t="s">
        <v>921</v>
      </c>
      <c r="F4699" s="46" t="s">
        <v>2314</v>
      </c>
      <c r="G4699" s="4" t="s">
        <v>336</v>
      </c>
      <c r="H4699" s="4" t="s">
        <v>380</v>
      </c>
      <c r="I4699" s="4">
        <v>0.44800000000000001</v>
      </c>
      <c r="J4699" s="21">
        <v>550</v>
      </c>
      <c r="K4699" s="21">
        <v>246.4</v>
      </c>
      <c r="L4699" s="5">
        <v>0</v>
      </c>
      <c r="M4699" s="4"/>
      <c r="N4699" s="4"/>
      <c r="O4699" s="5"/>
      <c r="P4699" s="5"/>
      <c r="Q4699" s="21">
        <v>0</v>
      </c>
      <c r="R4699" s="21">
        <v>0</v>
      </c>
      <c r="S4699" s="5">
        <f t="shared" si="295"/>
        <v>31296.578573026425</v>
      </c>
      <c r="T4699" cm="1">
        <f t="array" ref="T4699">IF(OR(B4699="MAL ALIMI", B4699="ÜRETİM GİRİŞ"), MIN(I4699, MAX(0, I4699 + SUM(SUMIFS($I$1:I4698, $C$1:C4698, C4699, $B$1:B4698, {"MAL ALIMI","ÜRETİM GİRİŞ"})) - VLOOKUP(C4699, 'STOK RAPORU'!$C$2:$I$1000, 4, 0))), 0)</f>
        <v>0</v>
      </c>
      <c r="U4699" s="22">
        <f t="shared" si="292"/>
        <v>0</v>
      </c>
      <c r="V4699">
        <f t="shared" si="293"/>
        <v>0</v>
      </c>
      <c r="W4699" s="22">
        <f t="shared" si="294"/>
        <v>0</v>
      </c>
    </row>
    <row r="4700" spans="1:23" hidden="1" x14ac:dyDescent="0.25">
      <c r="A4700" s="3">
        <v>46079</v>
      </c>
      <c r="B4700" s="4" t="s">
        <v>334</v>
      </c>
      <c r="C4700" s="4" t="s">
        <v>2087</v>
      </c>
      <c r="D4700" s="4"/>
      <c r="E4700" s="4" t="s">
        <v>921</v>
      </c>
      <c r="F4700" s="46" t="s">
        <v>2314</v>
      </c>
      <c r="G4700" s="4" t="s">
        <v>336</v>
      </c>
      <c r="H4700" s="4" t="s">
        <v>380</v>
      </c>
      <c r="I4700" s="4">
        <v>0.28000000000000003</v>
      </c>
      <c r="J4700" s="21">
        <v>430</v>
      </c>
      <c r="K4700" s="21">
        <v>120.4</v>
      </c>
      <c r="L4700" s="5">
        <v>0</v>
      </c>
      <c r="M4700" s="4"/>
      <c r="N4700" s="4"/>
      <c r="O4700" s="5"/>
      <c r="P4700" s="5"/>
      <c r="Q4700" s="21">
        <v>0</v>
      </c>
      <c r="R4700" s="21">
        <v>0</v>
      </c>
      <c r="S4700" s="5">
        <f t="shared" si="295"/>
        <v>31296.578573026425</v>
      </c>
      <c r="T4700" cm="1">
        <f t="array" ref="T4700">IF(OR(B4700="MAL ALIMI", B4700="ÜRETİM GİRİŞ"), MIN(I4700, MAX(0, I4700 + SUM(SUMIFS($I$1:I4699, $C$1:C4699, C4700, $B$1:B4699, {"MAL ALIMI","ÜRETİM GİRİŞ"})) - VLOOKUP(C4700, 'STOK RAPORU'!$C$2:$I$1000, 4, 0))), 0)</f>
        <v>0</v>
      </c>
      <c r="U4700" s="22">
        <f t="shared" si="292"/>
        <v>0</v>
      </c>
      <c r="V4700">
        <f t="shared" si="293"/>
        <v>0</v>
      </c>
      <c r="W4700" s="22">
        <f t="shared" si="294"/>
        <v>0</v>
      </c>
    </row>
    <row r="4701" spans="1:23" hidden="1" x14ac:dyDescent="0.25">
      <c r="A4701" s="3">
        <v>46079</v>
      </c>
      <c r="B4701" s="4" t="s">
        <v>334</v>
      </c>
      <c r="C4701" s="4" t="s">
        <v>1501</v>
      </c>
      <c r="D4701" s="4"/>
      <c r="E4701" s="4" t="s">
        <v>921</v>
      </c>
      <c r="F4701" s="46" t="s">
        <v>2314</v>
      </c>
      <c r="G4701" s="4" t="s">
        <v>336</v>
      </c>
      <c r="H4701" s="4" t="s">
        <v>380</v>
      </c>
      <c r="I4701" s="4">
        <v>0.16700000000000001</v>
      </c>
      <c r="J4701" s="21">
        <v>600</v>
      </c>
      <c r="K4701" s="21">
        <v>100.2</v>
      </c>
      <c r="L4701" s="5">
        <v>0</v>
      </c>
      <c r="M4701" s="4"/>
      <c r="N4701" s="4"/>
      <c r="O4701" s="5"/>
      <c r="P4701" s="5"/>
      <c r="Q4701" s="21">
        <v>0</v>
      </c>
      <c r="R4701" s="21">
        <v>0</v>
      </c>
      <c r="S4701" s="5">
        <f t="shared" si="295"/>
        <v>31296.578573026425</v>
      </c>
      <c r="T4701" cm="1">
        <f t="array" ref="T4701">IF(OR(B4701="MAL ALIMI", B4701="ÜRETİM GİRİŞ"), MIN(I4701, MAX(0, I4701 + SUM(SUMIFS($I$1:I4700, $C$1:C4700, C4701, $B$1:B4700, {"MAL ALIMI","ÜRETİM GİRİŞ"})) - VLOOKUP(C4701, 'STOK RAPORU'!$C$2:$I$1000, 4, 0))), 0)</f>
        <v>0</v>
      </c>
      <c r="U4701" s="22">
        <f t="shared" si="292"/>
        <v>0</v>
      </c>
      <c r="V4701">
        <f t="shared" si="293"/>
        <v>0</v>
      </c>
      <c r="W4701" s="22">
        <f t="shared" si="294"/>
        <v>0</v>
      </c>
    </row>
    <row r="4702" spans="1:23" hidden="1" x14ac:dyDescent="0.25">
      <c r="A4702" s="3">
        <v>46079</v>
      </c>
      <c r="B4702" s="4" t="s">
        <v>334</v>
      </c>
      <c r="C4702" s="4" t="s">
        <v>1641</v>
      </c>
      <c r="D4702" s="4"/>
      <c r="E4702" s="4" t="s">
        <v>921</v>
      </c>
      <c r="F4702" s="46" t="s">
        <v>2314</v>
      </c>
      <c r="G4702" s="4" t="s">
        <v>336</v>
      </c>
      <c r="H4702" s="4" t="s">
        <v>380</v>
      </c>
      <c r="I4702" s="4">
        <v>0.1</v>
      </c>
      <c r="J4702" s="21">
        <v>950</v>
      </c>
      <c r="K4702" s="21">
        <v>95</v>
      </c>
      <c r="L4702" s="5">
        <v>0</v>
      </c>
      <c r="M4702" s="4"/>
      <c r="N4702" s="4"/>
      <c r="O4702" s="5"/>
      <c r="P4702" s="5"/>
      <c r="Q4702" s="21">
        <v>0</v>
      </c>
      <c r="R4702" s="21">
        <v>0</v>
      </c>
      <c r="S4702" s="5">
        <f t="shared" si="295"/>
        <v>31296.578573026425</v>
      </c>
      <c r="T4702" cm="1">
        <f t="array" ref="T4702">IF(OR(B4702="MAL ALIMI", B4702="ÜRETİM GİRİŞ"), MIN(I4702, MAX(0, I4702 + SUM(SUMIFS($I$1:I4701, $C$1:C4701, C4702, $B$1:B4701, {"MAL ALIMI","ÜRETİM GİRİŞ"})) - VLOOKUP(C4702, 'STOK RAPORU'!$C$2:$I$1000, 4, 0))), 0)</f>
        <v>0</v>
      </c>
      <c r="U4702" s="22">
        <f t="shared" si="292"/>
        <v>0</v>
      </c>
      <c r="V4702">
        <f t="shared" si="293"/>
        <v>0</v>
      </c>
      <c r="W4702" s="22">
        <f t="shared" si="294"/>
        <v>0</v>
      </c>
    </row>
    <row r="4703" spans="1:23" hidden="1" x14ac:dyDescent="0.25">
      <c r="A4703" s="3">
        <v>46079</v>
      </c>
      <c r="B4703" s="4" t="s">
        <v>334</v>
      </c>
      <c r="C4703" s="4" t="s">
        <v>1041</v>
      </c>
      <c r="D4703" s="4"/>
      <c r="E4703" s="4" t="s">
        <v>921</v>
      </c>
      <c r="F4703" s="46" t="s">
        <v>2314</v>
      </c>
      <c r="G4703" s="4" t="s">
        <v>336</v>
      </c>
      <c r="H4703" s="4" t="s">
        <v>380</v>
      </c>
      <c r="I4703" s="4">
        <v>0.5</v>
      </c>
      <c r="J4703" s="21">
        <v>250</v>
      </c>
      <c r="K4703" s="21">
        <v>125</v>
      </c>
      <c r="L4703" s="5">
        <v>0</v>
      </c>
      <c r="M4703" s="4"/>
      <c r="N4703" s="4"/>
      <c r="O4703" s="5"/>
      <c r="P4703" s="5"/>
      <c r="Q4703" s="21">
        <v>0</v>
      </c>
      <c r="R4703" s="21">
        <v>0</v>
      </c>
      <c r="S4703" s="5">
        <f t="shared" si="295"/>
        <v>31296.578573026425</v>
      </c>
      <c r="T4703" cm="1">
        <f t="array" ref="T4703">IF(OR(B4703="MAL ALIMI", B4703="ÜRETİM GİRİŞ"), MIN(I4703, MAX(0, I4703 + SUM(SUMIFS($I$1:I4702, $C$1:C4702, C4703, $B$1:B4702, {"MAL ALIMI","ÜRETİM GİRİŞ"})) - VLOOKUP(C4703, 'STOK RAPORU'!$C$2:$I$1000, 4, 0))), 0)</f>
        <v>0</v>
      </c>
      <c r="U4703" s="22">
        <f t="shared" si="292"/>
        <v>0</v>
      </c>
      <c r="V4703">
        <f t="shared" si="293"/>
        <v>0</v>
      </c>
      <c r="W4703" s="22">
        <f t="shared" si="294"/>
        <v>0</v>
      </c>
    </row>
    <row r="4704" spans="1:23" hidden="1" x14ac:dyDescent="0.25">
      <c r="A4704" s="3">
        <v>46079</v>
      </c>
      <c r="B4704" s="4" t="s">
        <v>334</v>
      </c>
      <c r="C4704" s="4" t="s">
        <v>1041</v>
      </c>
      <c r="D4704" s="4"/>
      <c r="E4704" s="4"/>
      <c r="F4704" s="46" t="s">
        <v>2315</v>
      </c>
      <c r="G4704" s="4" t="s">
        <v>336</v>
      </c>
      <c r="H4704" s="4" t="s">
        <v>289</v>
      </c>
      <c r="I4704" s="4">
        <v>1</v>
      </c>
      <c r="J4704" s="21">
        <v>250</v>
      </c>
      <c r="K4704" s="21">
        <v>0</v>
      </c>
      <c r="L4704" s="5">
        <v>0</v>
      </c>
      <c r="M4704" s="4"/>
      <c r="N4704" s="4"/>
      <c r="O4704" s="5"/>
      <c r="P4704" s="5"/>
      <c r="Q4704" s="21">
        <v>250</v>
      </c>
      <c r="R4704" s="21">
        <v>0</v>
      </c>
      <c r="S4704" s="5">
        <f t="shared" si="295"/>
        <v>31546.578573026425</v>
      </c>
      <c r="T4704" cm="1">
        <f t="array" ref="T4704">IF(OR(B4704="MAL ALIMI", B4704="ÜRETİM GİRİŞ"), MIN(I4704, MAX(0, I4704 + SUM(SUMIFS($I$1:I4703, $C$1:C4703, C4704, $B$1:B4703, {"MAL ALIMI","ÜRETİM GİRİŞ"})) - VLOOKUP(C4704, 'STOK RAPORU'!$C$2:$I$1000, 4, 0))), 0)</f>
        <v>0</v>
      </c>
      <c r="U4704" s="22">
        <f t="shared" si="292"/>
        <v>0</v>
      </c>
      <c r="V4704">
        <f t="shared" si="293"/>
        <v>0</v>
      </c>
      <c r="W4704" s="22">
        <f t="shared" si="294"/>
        <v>0</v>
      </c>
    </row>
    <row r="4705" spans="1:23" hidden="1" x14ac:dyDescent="0.25">
      <c r="A4705" s="3">
        <v>46079</v>
      </c>
      <c r="B4705" s="4" t="s">
        <v>334</v>
      </c>
      <c r="C4705" s="4" t="s">
        <v>132</v>
      </c>
      <c r="D4705" s="4"/>
      <c r="E4705" s="4" t="s">
        <v>921</v>
      </c>
      <c r="F4705" s="46" t="s">
        <v>2316</v>
      </c>
      <c r="G4705" s="4" t="s">
        <v>336</v>
      </c>
      <c r="H4705" s="4" t="s">
        <v>380</v>
      </c>
      <c r="I4705" s="4">
        <v>0.23400000000000001</v>
      </c>
      <c r="J4705" s="21">
        <v>500</v>
      </c>
      <c r="K4705" s="21">
        <v>117</v>
      </c>
      <c r="L4705" s="5">
        <v>0</v>
      </c>
      <c r="M4705" s="4"/>
      <c r="N4705" s="4"/>
      <c r="O4705" s="5"/>
      <c r="P4705" s="5"/>
      <c r="Q4705" s="21">
        <v>0</v>
      </c>
      <c r="R4705" s="21">
        <v>0</v>
      </c>
      <c r="S4705" s="5">
        <f t="shared" si="295"/>
        <v>31546.578573026425</v>
      </c>
      <c r="T4705" cm="1">
        <f t="array" ref="T4705">IF(OR(B4705="MAL ALIMI", B4705="ÜRETİM GİRİŞ"), MIN(I4705, MAX(0, I4705 + SUM(SUMIFS($I$1:I4704, $C$1:C4704, C4705, $B$1:B4704, {"MAL ALIMI","ÜRETİM GİRİŞ"})) - VLOOKUP(C4705, 'STOK RAPORU'!$C$2:$I$1000, 4, 0))), 0)</f>
        <v>0</v>
      </c>
      <c r="U4705" s="22">
        <f t="shared" si="292"/>
        <v>0</v>
      </c>
      <c r="V4705">
        <f t="shared" si="293"/>
        <v>0</v>
      </c>
      <c r="W4705" s="22">
        <f t="shared" si="294"/>
        <v>0</v>
      </c>
    </row>
    <row r="4706" spans="1:23" hidden="1" x14ac:dyDescent="0.25">
      <c r="A4706" s="3">
        <v>46079</v>
      </c>
      <c r="B4706" s="4" t="s">
        <v>334</v>
      </c>
      <c r="C4706" s="4" t="s">
        <v>601</v>
      </c>
      <c r="D4706" s="4"/>
      <c r="E4706" s="4" t="s">
        <v>921</v>
      </c>
      <c r="F4706" s="46" t="s">
        <v>2316</v>
      </c>
      <c r="G4706" s="4" t="s">
        <v>336</v>
      </c>
      <c r="H4706" s="4" t="s">
        <v>380</v>
      </c>
      <c r="I4706" s="4">
        <v>0.29599999999999999</v>
      </c>
      <c r="J4706" s="21">
        <v>550</v>
      </c>
      <c r="K4706" s="21">
        <v>162.79999999999998</v>
      </c>
      <c r="L4706" s="5">
        <v>0</v>
      </c>
      <c r="M4706" s="4"/>
      <c r="N4706" s="4"/>
      <c r="O4706" s="5"/>
      <c r="P4706" s="5"/>
      <c r="Q4706" s="21">
        <v>0</v>
      </c>
      <c r="R4706" s="21">
        <v>0</v>
      </c>
      <c r="S4706" s="5">
        <f t="shared" si="295"/>
        <v>31546.578573026425</v>
      </c>
      <c r="T4706" cm="1">
        <f t="array" ref="T4706">IF(OR(B4706="MAL ALIMI", B4706="ÜRETİM GİRİŞ"), MIN(I4706, MAX(0, I4706 + SUM(SUMIFS($I$1:I4705, $C$1:C4705, C4706, $B$1:B4705, {"MAL ALIMI","ÜRETİM GİRİŞ"})) - VLOOKUP(C4706, 'STOK RAPORU'!$C$2:$I$1000, 4, 0))), 0)</f>
        <v>0</v>
      </c>
      <c r="U4706" s="22">
        <f t="shared" si="292"/>
        <v>0</v>
      </c>
      <c r="V4706">
        <f t="shared" si="293"/>
        <v>0</v>
      </c>
      <c r="W4706" s="22">
        <f t="shared" si="294"/>
        <v>0</v>
      </c>
    </row>
    <row r="4707" spans="1:23" hidden="1" x14ac:dyDescent="0.25">
      <c r="A4707" s="3">
        <v>46079</v>
      </c>
      <c r="B4707" s="4" t="s">
        <v>334</v>
      </c>
      <c r="C4707" s="4" t="s">
        <v>1501</v>
      </c>
      <c r="D4707" s="4"/>
      <c r="E4707" s="4" t="s">
        <v>921</v>
      </c>
      <c r="F4707" s="46" t="s">
        <v>2317</v>
      </c>
      <c r="G4707" s="4" t="s">
        <v>336</v>
      </c>
      <c r="H4707" s="4" t="s">
        <v>380</v>
      </c>
      <c r="I4707" s="4">
        <v>0.5</v>
      </c>
      <c r="J4707" s="21">
        <v>600</v>
      </c>
      <c r="K4707" s="21">
        <v>300</v>
      </c>
      <c r="L4707" s="5">
        <v>0</v>
      </c>
      <c r="M4707" s="4"/>
      <c r="N4707" s="4"/>
      <c r="O4707" s="5"/>
      <c r="P4707" s="5"/>
      <c r="Q4707" s="21">
        <v>0</v>
      </c>
      <c r="R4707" s="21">
        <v>0</v>
      </c>
      <c r="S4707" s="5">
        <f t="shared" si="295"/>
        <v>31546.578573026425</v>
      </c>
      <c r="T4707" cm="1">
        <f t="array" ref="T4707">IF(OR(B4707="MAL ALIMI", B4707="ÜRETİM GİRİŞ"), MIN(I4707, MAX(0, I4707 + SUM(SUMIFS($I$1:I4706, $C$1:C4706, C4707, $B$1:B4706, {"MAL ALIMI","ÜRETİM GİRİŞ"})) - VLOOKUP(C4707, 'STOK RAPORU'!$C$2:$I$1000, 4, 0))), 0)</f>
        <v>0</v>
      </c>
      <c r="U4707" s="22">
        <f t="shared" si="292"/>
        <v>0</v>
      </c>
      <c r="V4707">
        <f t="shared" si="293"/>
        <v>0</v>
      </c>
      <c r="W4707" s="22">
        <f t="shared" si="294"/>
        <v>0</v>
      </c>
    </row>
    <row r="4708" spans="1:23" hidden="1" x14ac:dyDescent="0.25">
      <c r="A4708" s="3">
        <v>46079</v>
      </c>
      <c r="B4708" s="4" t="s">
        <v>334</v>
      </c>
      <c r="C4708" s="4" t="s">
        <v>818</v>
      </c>
      <c r="D4708" s="4"/>
      <c r="E4708" s="4"/>
      <c r="F4708" s="46" t="s">
        <v>2318</v>
      </c>
      <c r="G4708" s="4" t="s">
        <v>336</v>
      </c>
      <c r="H4708" s="4" t="s">
        <v>289</v>
      </c>
      <c r="I4708" s="4">
        <v>1</v>
      </c>
      <c r="J4708" s="21">
        <v>110</v>
      </c>
      <c r="K4708" s="21">
        <v>0</v>
      </c>
      <c r="L4708" s="5">
        <v>0</v>
      </c>
      <c r="M4708" s="4"/>
      <c r="N4708" s="4"/>
      <c r="O4708" s="5"/>
      <c r="P4708" s="5"/>
      <c r="Q4708" s="21">
        <v>110</v>
      </c>
      <c r="R4708" s="21">
        <v>0</v>
      </c>
      <c r="S4708" s="5">
        <f t="shared" si="295"/>
        <v>31656.578573026425</v>
      </c>
      <c r="T4708" cm="1">
        <f t="array" ref="T4708">IF(OR(B4708="MAL ALIMI", B4708="ÜRETİM GİRİŞ"), MIN(I4708, MAX(0, I4708 + SUM(SUMIFS($I$1:I4707, $C$1:C4707, C4708, $B$1:B4707, {"MAL ALIMI","ÜRETİM GİRİŞ"})) - VLOOKUP(C4708, 'STOK RAPORU'!$C$2:$I$1000, 4, 0))), 0)</f>
        <v>0</v>
      </c>
      <c r="U4708" s="22">
        <f t="shared" si="292"/>
        <v>0</v>
      </c>
      <c r="V4708">
        <f t="shared" si="293"/>
        <v>0</v>
      </c>
      <c r="W4708" s="22">
        <f t="shared" si="294"/>
        <v>0</v>
      </c>
    </row>
    <row r="4709" spans="1:23" hidden="1" x14ac:dyDescent="0.25">
      <c r="A4709" s="3">
        <v>46079</v>
      </c>
      <c r="B4709" s="4" t="s">
        <v>334</v>
      </c>
      <c r="C4709" s="4" t="s">
        <v>1360</v>
      </c>
      <c r="D4709" s="4"/>
      <c r="E4709" s="4"/>
      <c r="F4709" s="46" t="s">
        <v>2318</v>
      </c>
      <c r="G4709" s="4" t="s">
        <v>336</v>
      </c>
      <c r="H4709" s="4" t="s">
        <v>289</v>
      </c>
      <c r="I4709" s="4">
        <v>0.25</v>
      </c>
      <c r="J4709" s="21">
        <v>400</v>
      </c>
      <c r="K4709" s="21">
        <v>0</v>
      </c>
      <c r="L4709" s="5">
        <v>0</v>
      </c>
      <c r="M4709" s="4"/>
      <c r="N4709" s="4"/>
      <c r="O4709" s="5"/>
      <c r="P4709" s="5"/>
      <c r="Q4709" s="21">
        <v>100</v>
      </c>
      <c r="R4709" s="21">
        <v>0</v>
      </c>
      <c r="S4709" s="5">
        <f t="shared" si="295"/>
        <v>31756.578573026425</v>
      </c>
      <c r="T4709" cm="1">
        <f t="array" ref="T4709">IF(OR(B4709="MAL ALIMI", B4709="ÜRETİM GİRİŞ"), MIN(I4709, MAX(0, I4709 + SUM(SUMIFS($I$1:I4708, $C$1:C4708, C4709, $B$1:B4708, {"MAL ALIMI","ÜRETİM GİRİŞ"})) - VLOOKUP(C4709, 'STOK RAPORU'!$C$2:$I$1000, 4, 0))), 0)</f>
        <v>0</v>
      </c>
      <c r="U4709" s="22">
        <f t="shared" si="292"/>
        <v>0</v>
      </c>
      <c r="V4709">
        <f t="shared" si="293"/>
        <v>0</v>
      </c>
      <c r="W4709" s="22">
        <f t="shared" si="294"/>
        <v>0</v>
      </c>
    </row>
    <row r="4710" spans="1:23" hidden="1" x14ac:dyDescent="0.25">
      <c r="A4710" s="3">
        <v>46079</v>
      </c>
      <c r="B4710" s="4" t="s">
        <v>334</v>
      </c>
      <c r="C4710" s="4" t="s">
        <v>1394</v>
      </c>
      <c r="D4710" s="4"/>
      <c r="E4710" s="4"/>
      <c r="F4710" s="46" t="s">
        <v>2318</v>
      </c>
      <c r="G4710" s="4" t="s">
        <v>336</v>
      </c>
      <c r="H4710" s="4" t="s">
        <v>289</v>
      </c>
      <c r="I4710" s="4">
        <v>1</v>
      </c>
      <c r="J4710" s="21">
        <v>135</v>
      </c>
      <c r="K4710" s="21">
        <v>0</v>
      </c>
      <c r="L4710" s="5">
        <v>0</v>
      </c>
      <c r="M4710" s="4"/>
      <c r="N4710" s="4"/>
      <c r="O4710" s="5"/>
      <c r="P4710" s="5"/>
      <c r="Q4710" s="21">
        <v>135</v>
      </c>
      <c r="R4710" s="21">
        <v>0</v>
      </c>
      <c r="S4710" s="5">
        <f t="shared" si="295"/>
        <v>31891.578573026425</v>
      </c>
      <c r="T4710" cm="1">
        <f t="array" ref="T4710">IF(OR(B4710="MAL ALIMI", B4710="ÜRETİM GİRİŞ"), MIN(I4710, MAX(0, I4710 + SUM(SUMIFS($I$1:I4709, $C$1:C4709, C4710, $B$1:B4709, {"MAL ALIMI","ÜRETİM GİRİŞ"})) - VLOOKUP(C4710, 'STOK RAPORU'!$C$2:$I$1000, 4, 0))), 0)</f>
        <v>0</v>
      </c>
      <c r="U4710" s="22">
        <f t="shared" si="292"/>
        <v>0</v>
      </c>
      <c r="V4710">
        <f t="shared" si="293"/>
        <v>0</v>
      </c>
      <c r="W4710" s="22">
        <f t="shared" si="294"/>
        <v>0</v>
      </c>
    </row>
    <row r="4711" spans="1:23" hidden="1" x14ac:dyDescent="0.25">
      <c r="A4711" s="3">
        <v>46079</v>
      </c>
      <c r="B4711" s="4" t="s">
        <v>334</v>
      </c>
      <c r="C4711" s="4" t="s">
        <v>1041</v>
      </c>
      <c r="D4711" s="4"/>
      <c r="E4711" s="4"/>
      <c r="F4711" s="46" t="s">
        <v>2319</v>
      </c>
      <c r="G4711" s="4" t="s">
        <v>336</v>
      </c>
      <c r="H4711" s="4" t="s">
        <v>289</v>
      </c>
      <c r="I4711" s="4">
        <v>1.24</v>
      </c>
      <c r="J4711" s="21">
        <v>250</v>
      </c>
      <c r="K4711" s="21">
        <v>0</v>
      </c>
      <c r="L4711" s="5">
        <v>0</v>
      </c>
      <c r="M4711" s="4"/>
      <c r="N4711" s="4"/>
      <c r="O4711" s="5"/>
      <c r="P4711" s="5"/>
      <c r="Q4711" s="21">
        <v>310</v>
      </c>
      <c r="R4711" s="21">
        <v>0</v>
      </c>
      <c r="S4711" s="5">
        <f t="shared" si="295"/>
        <v>32201.578573026425</v>
      </c>
      <c r="T4711" cm="1">
        <f t="array" ref="T4711">IF(OR(B4711="MAL ALIMI", B4711="ÜRETİM GİRİŞ"), MIN(I4711, MAX(0, I4711 + SUM(SUMIFS($I$1:I4710, $C$1:C4710, C4711, $B$1:B4710, {"MAL ALIMI","ÜRETİM GİRİŞ"})) - VLOOKUP(C4711, 'STOK RAPORU'!$C$2:$I$1000, 4, 0))), 0)</f>
        <v>0</v>
      </c>
      <c r="U4711" s="22">
        <f t="shared" si="292"/>
        <v>0</v>
      </c>
      <c r="V4711">
        <f t="shared" si="293"/>
        <v>0</v>
      </c>
      <c r="W4711" s="22">
        <f t="shared" si="294"/>
        <v>0</v>
      </c>
    </row>
    <row r="4712" spans="1:23" hidden="1" x14ac:dyDescent="0.25">
      <c r="A4712" s="3">
        <v>46079</v>
      </c>
      <c r="B4712" s="4" t="s">
        <v>334</v>
      </c>
      <c r="C4712" s="4" t="s">
        <v>193</v>
      </c>
      <c r="D4712" s="4"/>
      <c r="E4712" s="4"/>
      <c r="F4712" s="46" t="s">
        <v>2320</v>
      </c>
      <c r="G4712" s="4" t="s">
        <v>336</v>
      </c>
      <c r="H4712" s="4" t="s">
        <v>289</v>
      </c>
      <c r="I4712" s="4">
        <v>0.1</v>
      </c>
      <c r="J4712" s="21">
        <v>1200</v>
      </c>
      <c r="K4712" s="21">
        <v>0</v>
      </c>
      <c r="L4712" s="5">
        <v>0</v>
      </c>
      <c r="M4712" s="4"/>
      <c r="N4712" s="4"/>
      <c r="O4712" s="5"/>
      <c r="P4712" s="5"/>
      <c r="Q4712" s="21">
        <v>120</v>
      </c>
      <c r="R4712" s="21">
        <v>0</v>
      </c>
      <c r="S4712" s="5">
        <f t="shared" si="295"/>
        <v>32321.578573026425</v>
      </c>
      <c r="T4712" cm="1">
        <f t="array" ref="T4712">IF(OR(B4712="MAL ALIMI", B4712="ÜRETİM GİRİŞ"), MIN(I4712, MAX(0, I4712 + SUM(SUMIFS($I$1:I4711, $C$1:C4711, C4712, $B$1:B4711, {"MAL ALIMI","ÜRETİM GİRİŞ"})) - VLOOKUP(C4712, 'STOK RAPORU'!$C$2:$I$1000, 4, 0))), 0)</f>
        <v>0</v>
      </c>
      <c r="U4712" s="22">
        <f t="shared" si="292"/>
        <v>0</v>
      </c>
      <c r="V4712">
        <f t="shared" si="293"/>
        <v>0</v>
      </c>
      <c r="W4712" s="22">
        <f t="shared" si="294"/>
        <v>0</v>
      </c>
    </row>
    <row r="4713" spans="1:23" hidden="1" x14ac:dyDescent="0.25">
      <c r="A4713" s="3">
        <v>46079</v>
      </c>
      <c r="B4713" s="4" t="s">
        <v>334</v>
      </c>
      <c r="C4713" s="4" t="s">
        <v>60</v>
      </c>
      <c r="D4713" s="4"/>
      <c r="E4713" s="4"/>
      <c r="F4713" s="46" t="s">
        <v>2320</v>
      </c>
      <c r="G4713" s="4" t="s">
        <v>336</v>
      </c>
      <c r="H4713" s="4" t="s">
        <v>289</v>
      </c>
      <c r="I4713" s="4">
        <v>0.05</v>
      </c>
      <c r="J4713" s="21">
        <v>1200</v>
      </c>
      <c r="K4713" s="21">
        <v>0</v>
      </c>
      <c r="L4713" s="5">
        <v>0</v>
      </c>
      <c r="M4713" s="4"/>
      <c r="N4713" s="4"/>
      <c r="O4713" s="5"/>
      <c r="P4713" s="5"/>
      <c r="Q4713" s="21">
        <v>60</v>
      </c>
      <c r="R4713" s="21">
        <v>0</v>
      </c>
      <c r="S4713" s="5">
        <f t="shared" si="295"/>
        <v>32381.578573026425</v>
      </c>
      <c r="T4713" cm="1">
        <f t="array" ref="T4713">IF(OR(B4713="MAL ALIMI", B4713="ÜRETİM GİRİŞ"), MIN(I4713, MAX(0, I4713 + SUM(SUMIFS($I$1:I4712, $C$1:C4712, C4713, $B$1:B4712, {"MAL ALIMI","ÜRETİM GİRİŞ"})) - VLOOKUP(C4713, 'STOK RAPORU'!$C$2:$I$1000, 4, 0))), 0)</f>
        <v>0</v>
      </c>
      <c r="U4713" s="22">
        <f t="shared" si="292"/>
        <v>0</v>
      </c>
      <c r="V4713">
        <f t="shared" si="293"/>
        <v>0</v>
      </c>
      <c r="W4713" s="22">
        <f t="shared" si="294"/>
        <v>0</v>
      </c>
    </row>
    <row r="4714" spans="1:23" hidden="1" x14ac:dyDescent="0.25">
      <c r="A4714" s="3">
        <v>46079</v>
      </c>
      <c r="B4714" s="4" t="s">
        <v>334</v>
      </c>
      <c r="C4714" s="4" t="s">
        <v>160</v>
      </c>
      <c r="D4714" s="4"/>
      <c r="E4714" s="4"/>
      <c r="F4714" s="46" t="s">
        <v>2321</v>
      </c>
      <c r="G4714" s="4" t="s">
        <v>336</v>
      </c>
      <c r="H4714" s="4" t="s">
        <v>289</v>
      </c>
      <c r="I4714" s="4">
        <v>1</v>
      </c>
      <c r="J4714" s="21">
        <v>250</v>
      </c>
      <c r="K4714" s="21">
        <v>0</v>
      </c>
      <c r="L4714" s="5">
        <v>0</v>
      </c>
      <c r="M4714" s="4"/>
      <c r="N4714" s="4"/>
      <c r="O4714" s="5"/>
      <c r="P4714" s="5"/>
      <c r="Q4714" s="21">
        <v>250</v>
      </c>
      <c r="R4714" s="21">
        <v>0</v>
      </c>
      <c r="S4714" s="5">
        <f t="shared" si="295"/>
        <v>32631.578573026425</v>
      </c>
      <c r="T4714" cm="1">
        <f t="array" ref="T4714">IF(OR(B4714="MAL ALIMI", B4714="ÜRETİM GİRİŞ"), MIN(I4714, MAX(0, I4714 + SUM(SUMIFS($I$1:I4713, $C$1:C4713, C4714, $B$1:B4713, {"MAL ALIMI","ÜRETİM GİRİŞ"})) - VLOOKUP(C4714, 'STOK RAPORU'!$C$2:$I$1000, 4, 0))), 0)</f>
        <v>0</v>
      </c>
      <c r="U4714" s="22">
        <f t="shared" si="292"/>
        <v>0</v>
      </c>
      <c r="V4714">
        <f t="shared" si="293"/>
        <v>0</v>
      </c>
      <c r="W4714" s="22">
        <f t="shared" si="294"/>
        <v>0</v>
      </c>
    </row>
    <row r="4715" spans="1:23" hidden="1" x14ac:dyDescent="0.25">
      <c r="A4715" s="3">
        <v>46079</v>
      </c>
      <c r="B4715" s="4" t="s">
        <v>334</v>
      </c>
      <c r="C4715" s="4" t="s">
        <v>161</v>
      </c>
      <c r="D4715" s="4"/>
      <c r="E4715" s="4"/>
      <c r="F4715" s="46" t="s">
        <v>2321</v>
      </c>
      <c r="G4715" s="4" t="s">
        <v>336</v>
      </c>
      <c r="H4715" s="4" t="s">
        <v>289</v>
      </c>
      <c r="I4715" s="4">
        <v>1</v>
      </c>
      <c r="J4715" s="21">
        <v>230</v>
      </c>
      <c r="K4715" s="21">
        <v>0</v>
      </c>
      <c r="L4715" s="5">
        <v>0</v>
      </c>
      <c r="M4715" s="4"/>
      <c r="N4715" s="4"/>
      <c r="O4715" s="5"/>
      <c r="P4715" s="5"/>
      <c r="Q4715" s="21">
        <v>230</v>
      </c>
      <c r="R4715" s="21">
        <v>0</v>
      </c>
      <c r="S4715" s="5">
        <f t="shared" si="295"/>
        <v>32861.578573026425</v>
      </c>
      <c r="T4715" cm="1">
        <f t="array" ref="T4715">IF(OR(B4715="MAL ALIMI", B4715="ÜRETİM GİRİŞ"), MIN(I4715, MAX(0, I4715 + SUM(SUMIFS($I$1:I4714, $C$1:C4714, C4715, $B$1:B4714, {"MAL ALIMI","ÜRETİM GİRİŞ"})) - VLOOKUP(C4715, 'STOK RAPORU'!$C$2:$I$1000, 4, 0))), 0)</f>
        <v>0</v>
      </c>
      <c r="U4715" s="22">
        <f t="shared" si="292"/>
        <v>0</v>
      </c>
      <c r="V4715">
        <f t="shared" si="293"/>
        <v>0</v>
      </c>
      <c r="W4715" s="22">
        <f t="shared" si="294"/>
        <v>0</v>
      </c>
    </row>
    <row r="4716" spans="1:23" hidden="1" x14ac:dyDescent="0.25">
      <c r="A4716" s="45">
        <v>46079</v>
      </c>
      <c r="B4716" s="46" t="s">
        <v>334</v>
      </c>
      <c r="C4716" s="46" t="s">
        <v>2124</v>
      </c>
      <c r="D4716" s="46"/>
      <c r="E4716" s="46"/>
      <c r="F4716" s="46" t="s">
        <v>2323</v>
      </c>
      <c r="G4716" s="46" t="s">
        <v>2322</v>
      </c>
      <c r="H4716" s="46" t="s">
        <v>289</v>
      </c>
      <c r="I4716" s="46">
        <v>0.95</v>
      </c>
      <c r="J4716" s="47">
        <v>550</v>
      </c>
      <c r="K4716" s="47">
        <v>0</v>
      </c>
      <c r="L4716" s="48">
        <v>0</v>
      </c>
      <c r="M4716" s="42"/>
      <c r="N4716" s="42"/>
      <c r="O4716" s="44"/>
      <c r="P4716" s="44"/>
      <c r="Q4716" s="47">
        <v>522.5</v>
      </c>
      <c r="R4716" s="47">
        <v>0</v>
      </c>
      <c r="S4716" s="5">
        <f t="shared" si="295"/>
        <v>33384.078573026425</v>
      </c>
      <c r="T4716" cm="1">
        <f t="array" ref="T4716">IF(OR(B4716="MAL ALIMI", B4716="ÜRETİM GİRİŞ"), MIN(I4716, MAX(0, I4716 + SUM(SUMIFS($I$1:I4715, $C$1:C4715, C4716, $B$1:B4715, {"MAL ALIMI","ÜRETİM GİRİŞ"})) - VLOOKUP(C4716, 'STOK RAPORU'!$C$2:$I$1000, 4, 0))), 0)</f>
        <v>0</v>
      </c>
      <c r="U4716" s="22">
        <f t="shared" si="292"/>
        <v>0</v>
      </c>
      <c r="V4716">
        <f t="shared" si="293"/>
        <v>0</v>
      </c>
      <c r="W4716" s="22">
        <f t="shared" si="294"/>
        <v>0</v>
      </c>
    </row>
    <row r="4717" spans="1:23" hidden="1" x14ac:dyDescent="0.25">
      <c r="A4717" s="45">
        <v>46079</v>
      </c>
      <c r="B4717" s="46" t="s">
        <v>334</v>
      </c>
      <c r="C4717" s="46" t="s">
        <v>251</v>
      </c>
      <c r="D4717" s="46"/>
      <c r="E4717" s="46"/>
      <c r="F4717" s="46" t="s">
        <v>2323</v>
      </c>
      <c r="G4717" s="46" t="s">
        <v>2322</v>
      </c>
      <c r="H4717" s="46" t="s">
        <v>289</v>
      </c>
      <c r="I4717" s="46">
        <v>1.768</v>
      </c>
      <c r="J4717" s="47">
        <v>670</v>
      </c>
      <c r="K4717" s="47">
        <v>0</v>
      </c>
      <c r="L4717" s="48">
        <v>0</v>
      </c>
      <c r="M4717" s="42"/>
      <c r="N4717" s="42"/>
      <c r="O4717" s="44"/>
      <c r="P4717" s="44"/>
      <c r="Q4717" s="47">
        <v>1184.56</v>
      </c>
      <c r="R4717" s="47">
        <v>0</v>
      </c>
      <c r="S4717" s="5">
        <f t="shared" si="295"/>
        <v>34568.638573026423</v>
      </c>
      <c r="T4717" cm="1">
        <f t="array" ref="T4717">IF(OR(B4717="MAL ALIMI", B4717="ÜRETİM GİRİŞ"), MIN(I4717, MAX(0, I4717 + SUM(SUMIFS($I$1:I4716, $C$1:C4716, C4717, $B$1:B4716, {"MAL ALIMI","ÜRETİM GİRİŞ"})) - VLOOKUP(C4717, 'STOK RAPORU'!$C$2:$I$1000, 4, 0))), 0)</f>
        <v>0</v>
      </c>
      <c r="U4717" s="22">
        <f t="shared" si="292"/>
        <v>0</v>
      </c>
      <c r="V4717">
        <f t="shared" si="293"/>
        <v>0</v>
      </c>
      <c r="W4717" s="22">
        <f t="shared" si="294"/>
        <v>0</v>
      </c>
    </row>
    <row r="4718" spans="1:23" hidden="1" x14ac:dyDescent="0.25">
      <c r="A4718" s="45">
        <v>46079</v>
      </c>
      <c r="B4718" s="46" t="s">
        <v>334</v>
      </c>
      <c r="C4718" s="46" t="s">
        <v>2127</v>
      </c>
      <c r="D4718" s="46"/>
      <c r="E4718" s="46"/>
      <c r="F4718" s="46" t="s">
        <v>2323</v>
      </c>
      <c r="G4718" s="46" t="s">
        <v>2322</v>
      </c>
      <c r="H4718" s="46" t="s">
        <v>289</v>
      </c>
      <c r="I4718" s="46">
        <v>2.8559999999999999</v>
      </c>
      <c r="J4718" s="47">
        <v>400</v>
      </c>
      <c r="K4718" s="47">
        <v>0</v>
      </c>
      <c r="L4718" s="48">
        <v>0</v>
      </c>
      <c r="M4718" s="42"/>
      <c r="N4718" s="42"/>
      <c r="O4718" s="44"/>
      <c r="P4718" s="44"/>
      <c r="Q4718" s="47">
        <v>1142.3999999999999</v>
      </c>
      <c r="R4718" s="47">
        <v>0</v>
      </c>
      <c r="S4718" s="5">
        <f t="shared" si="295"/>
        <v>35711.038573026424</v>
      </c>
      <c r="T4718" cm="1">
        <f t="array" ref="T4718">IF(OR(B4718="MAL ALIMI", B4718="ÜRETİM GİRİŞ"), MIN(I4718, MAX(0, I4718 + SUM(SUMIFS($I$1:I4717, $C$1:C4717, C4718, $B$1:B4717, {"MAL ALIMI","ÜRETİM GİRİŞ"})) - VLOOKUP(C4718, 'STOK RAPORU'!$C$2:$I$1000, 4, 0))), 0)</f>
        <v>0</v>
      </c>
      <c r="U4718" s="22">
        <f t="shared" si="292"/>
        <v>0</v>
      </c>
      <c r="V4718">
        <f t="shared" si="293"/>
        <v>0</v>
      </c>
      <c r="W4718" s="22">
        <f t="shared" si="294"/>
        <v>0</v>
      </c>
    </row>
    <row r="4719" spans="1:23" hidden="1" x14ac:dyDescent="0.25">
      <c r="A4719" s="45">
        <v>46079</v>
      </c>
      <c r="B4719" s="46" t="s">
        <v>334</v>
      </c>
      <c r="C4719" s="46" t="s">
        <v>225</v>
      </c>
      <c r="D4719" s="46"/>
      <c r="E4719" s="46"/>
      <c r="F4719" s="46" t="s">
        <v>2323</v>
      </c>
      <c r="G4719" s="46" t="s">
        <v>2322</v>
      </c>
      <c r="H4719" s="46" t="s">
        <v>289</v>
      </c>
      <c r="I4719" s="46">
        <v>2.8420000000000001</v>
      </c>
      <c r="J4719" s="47">
        <v>750</v>
      </c>
      <c r="K4719" s="47">
        <v>0</v>
      </c>
      <c r="L4719" s="48">
        <v>0</v>
      </c>
      <c r="M4719" s="42"/>
      <c r="N4719" s="42"/>
      <c r="O4719" s="44"/>
      <c r="P4719" s="44"/>
      <c r="Q4719" s="47">
        <v>2131.5</v>
      </c>
      <c r="R4719" s="47">
        <v>0</v>
      </c>
      <c r="S4719" s="5">
        <f t="shared" si="295"/>
        <v>37842.538573026424</v>
      </c>
      <c r="T4719" cm="1">
        <f t="array" ref="T4719">IF(OR(B4719="MAL ALIMI", B4719="ÜRETİM GİRİŞ"), MIN(I4719, MAX(0, I4719 + SUM(SUMIFS($I$1:I4718, $C$1:C4718, C4719, $B$1:B4718, {"MAL ALIMI","ÜRETİM GİRİŞ"})) - VLOOKUP(C4719, 'STOK RAPORU'!$C$2:$I$1000, 4, 0))), 0)</f>
        <v>0</v>
      </c>
      <c r="U4719" s="22">
        <f t="shared" si="292"/>
        <v>0</v>
      </c>
      <c r="V4719">
        <f t="shared" si="293"/>
        <v>0</v>
      </c>
      <c r="W4719" s="22">
        <f t="shared" si="294"/>
        <v>0</v>
      </c>
    </row>
    <row r="4720" spans="1:23" hidden="1" x14ac:dyDescent="0.25">
      <c r="A4720" s="45">
        <v>46079</v>
      </c>
      <c r="B4720" s="46" t="s">
        <v>334</v>
      </c>
      <c r="C4720" s="46" t="s">
        <v>601</v>
      </c>
      <c r="D4720" s="46"/>
      <c r="E4720" s="46"/>
      <c r="F4720" s="46" t="s">
        <v>2323</v>
      </c>
      <c r="G4720" s="46" t="s">
        <v>2322</v>
      </c>
      <c r="H4720" s="46" t="s">
        <v>289</v>
      </c>
      <c r="I4720" s="46">
        <v>2.5</v>
      </c>
      <c r="J4720" s="47">
        <v>550</v>
      </c>
      <c r="K4720" s="47">
        <v>0</v>
      </c>
      <c r="L4720" s="48">
        <v>0</v>
      </c>
      <c r="M4720" s="42"/>
      <c r="N4720" s="42"/>
      <c r="O4720" s="44"/>
      <c r="P4720" s="44"/>
      <c r="Q4720" s="47">
        <v>1375</v>
      </c>
      <c r="R4720" s="47">
        <v>0</v>
      </c>
      <c r="S4720" s="5">
        <f t="shared" si="295"/>
        <v>39217.538573026424</v>
      </c>
      <c r="T4720" cm="1">
        <f t="array" ref="T4720">IF(OR(B4720="MAL ALIMI", B4720="ÜRETİM GİRİŞ"), MIN(I4720, MAX(0, I4720 + SUM(SUMIFS($I$1:I4719, $C$1:C4719, C4720, $B$1:B4719, {"MAL ALIMI","ÜRETİM GİRİŞ"})) - VLOOKUP(C4720, 'STOK RAPORU'!$C$2:$I$1000, 4, 0))), 0)</f>
        <v>0</v>
      </c>
      <c r="U4720" s="22">
        <f t="shared" si="292"/>
        <v>0</v>
      </c>
      <c r="V4720">
        <f t="shared" si="293"/>
        <v>0</v>
      </c>
      <c r="W4720" s="22">
        <f t="shared" si="294"/>
        <v>0</v>
      </c>
    </row>
    <row r="4721" spans="1:23" hidden="1" x14ac:dyDescent="0.25">
      <c r="A4721" s="45">
        <v>46079</v>
      </c>
      <c r="B4721" s="46" t="s">
        <v>334</v>
      </c>
      <c r="C4721" s="46" t="s">
        <v>1357</v>
      </c>
      <c r="D4721" s="46"/>
      <c r="E4721" s="46"/>
      <c r="F4721" s="46" t="s">
        <v>2323</v>
      </c>
      <c r="G4721" s="46" t="s">
        <v>2322</v>
      </c>
      <c r="H4721" s="46" t="s">
        <v>289</v>
      </c>
      <c r="I4721" s="46">
        <v>2.54</v>
      </c>
      <c r="J4721" s="47">
        <v>600</v>
      </c>
      <c r="K4721" s="47">
        <v>0</v>
      </c>
      <c r="L4721" s="48">
        <v>0</v>
      </c>
      <c r="M4721" s="42"/>
      <c r="N4721" s="42"/>
      <c r="O4721" s="44"/>
      <c r="P4721" s="44"/>
      <c r="Q4721" s="47">
        <v>1524</v>
      </c>
      <c r="R4721" s="47">
        <v>0</v>
      </c>
      <c r="S4721" s="5">
        <f t="shared" si="295"/>
        <v>40741.538573026424</v>
      </c>
      <c r="T4721" cm="1">
        <f t="array" ref="T4721">IF(OR(B4721="MAL ALIMI", B4721="ÜRETİM GİRİŞ"), MIN(I4721, MAX(0, I4721 + SUM(SUMIFS($I$1:I4720, $C$1:C4720, C4721, $B$1:B4720, {"MAL ALIMI","ÜRETİM GİRİŞ"})) - VLOOKUP(C4721, 'STOK RAPORU'!$C$2:$I$1000, 4, 0))), 0)</f>
        <v>0</v>
      </c>
      <c r="U4721" s="22">
        <f t="shared" si="292"/>
        <v>0</v>
      </c>
      <c r="V4721">
        <f t="shared" si="293"/>
        <v>0</v>
      </c>
      <c r="W4721" s="22">
        <f t="shared" si="294"/>
        <v>0</v>
      </c>
    </row>
    <row r="4722" spans="1:23" hidden="1" x14ac:dyDescent="0.25">
      <c r="A4722" s="45">
        <v>46079</v>
      </c>
      <c r="B4722" s="46" t="s">
        <v>334</v>
      </c>
      <c r="C4722" s="46" t="s">
        <v>248</v>
      </c>
      <c r="D4722" s="46"/>
      <c r="E4722" s="46"/>
      <c r="F4722" s="46" t="s">
        <v>2323</v>
      </c>
      <c r="G4722" s="46" t="s">
        <v>2322</v>
      </c>
      <c r="H4722" s="46" t="s">
        <v>289</v>
      </c>
      <c r="I4722" s="46">
        <v>0.68400000000000005</v>
      </c>
      <c r="J4722" s="47">
        <v>1000</v>
      </c>
      <c r="K4722" s="47">
        <v>0</v>
      </c>
      <c r="L4722" s="48">
        <v>0</v>
      </c>
      <c r="M4722" s="42"/>
      <c r="N4722" s="42"/>
      <c r="O4722" s="44"/>
      <c r="P4722" s="44"/>
      <c r="Q4722" s="47">
        <v>684</v>
      </c>
      <c r="R4722" s="47">
        <v>0</v>
      </c>
      <c r="S4722" s="5">
        <f t="shared" si="295"/>
        <v>41425.538573026424</v>
      </c>
      <c r="T4722" cm="1">
        <f t="array" ref="T4722">IF(OR(B4722="MAL ALIMI", B4722="ÜRETİM GİRİŞ"), MIN(I4722, MAX(0, I4722 + SUM(SUMIFS($I$1:I4721, $C$1:C4721, C4722, $B$1:B4721, {"MAL ALIMI","ÜRETİM GİRİŞ"})) - VLOOKUP(C4722, 'STOK RAPORU'!$C$2:$I$1000, 4, 0))), 0)</f>
        <v>0</v>
      </c>
      <c r="U4722" s="22">
        <f t="shared" si="292"/>
        <v>0</v>
      </c>
      <c r="V4722">
        <f t="shared" si="293"/>
        <v>0</v>
      </c>
      <c r="W4722" s="22">
        <f t="shared" si="294"/>
        <v>0</v>
      </c>
    </row>
    <row r="4723" spans="1:23" hidden="1" x14ac:dyDescent="0.25">
      <c r="A4723" s="45">
        <v>46079</v>
      </c>
      <c r="B4723" s="46" t="s">
        <v>1027</v>
      </c>
      <c r="C4723" s="46"/>
      <c r="D4723" s="46" t="s">
        <v>2324</v>
      </c>
      <c r="E4723" s="46"/>
      <c r="F4723" s="46" t="s">
        <v>2323</v>
      </c>
      <c r="G4723" s="46" t="s">
        <v>2325</v>
      </c>
      <c r="H4723" s="46" t="s">
        <v>289</v>
      </c>
      <c r="I4723" s="46">
        <v>150</v>
      </c>
      <c r="J4723" s="47">
        <v>3</v>
      </c>
      <c r="K4723" s="47">
        <v>0</v>
      </c>
      <c r="L4723" s="48">
        <v>0</v>
      </c>
      <c r="M4723" s="42"/>
      <c r="N4723" s="42"/>
      <c r="O4723" s="44"/>
      <c r="P4723" s="44"/>
      <c r="Q4723" s="47">
        <v>450</v>
      </c>
      <c r="R4723" s="47">
        <v>0</v>
      </c>
      <c r="S4723" s="5">
        <f t="shared" si="295"/>
        <v>41875.538573026424</v>
      </c>
      <c r="T4723" cm="1">
        <f t="array" ref="T4723">IF(OR(B4723="MAL ALIMI", B4723="ÜRETİM GİRİŞ"), MIN(I4723, MAX(0, I4723 + SUM(SUMIFS($I$1:I4722, $C$1:C4722, C4723, $B$1:B4722, {"MAL ALIMI","ÜRETİM GİRİŞ"})) - VLOOKUP(C4723, 'STOK RAPORU'!$C$2:$I$1000, 4, 0))), 0)</f>
        <v>0</v>
      </c>
      <c r="U4723" s="22">
        <f t="shared" si="292"/>
        <v>0</v>
      </c>
      <c r="V4723">
        <f t="shared" si="293"/>
        <v>0</v>
      </c>
      <c r="W4723" s="22">
        <f t="shared" si="294"/>
        <v>0</v>
      </c>
    </row>
    <row r="4724" spans="1:23" hidden="1" x14ac:dyDescent="0.25">
      <c r="A4724" s="45">
        <v>46079</v>
      </c>
      <c r="B4724" s="46" t="s">
        <v>1027</v>
      </c>
      <c r="C4724" s="46"/>
      <c r="D4724" s="46" t="s">
        <v>2324</v>
      </c>
      <c r="E4724" s="46"/>
      <c r="F4724" s="46" t="s">
        <v>2323</v>
      </c>
      <c r="G4724" s="46" t="s">
        <v>2326</v>
      </c>
      <c r="H4724" s="46" t="s">
        <v>289</v>
      </c>
      <c r="I4724" s="46">
        <v>150</v>
      </c>
      <c r="J4724" s="47">
        <v>1</v>
      </c>
      <c r="K4724" s="47">
        <v>0</v>
      </c>
      <c r="L4724" s="48">
        <v>0</v>
      </c>
      <c r="M4724" s="42"/>
      <c r="N4724" s="42"/>
      <c r="O4724" s="44"/>
      <c r="P4724" s="44"/>
      <c r="Q4724" s="47">
        <v>150</v>
      </c>
      <c r="R4724" s="47">
        <v>0</v>
      </c>
      <c r="S4724" s="5">
        <f t="shared" si="295"/>
        <v>42025.538573026424</v>
      </c>
      <c r="T4724" cm="1">
        <f t="array" ref="T4724">IF(OR(B4724="MAL ALIMI", B4724="ÜRETİM GİRİŞ"), MIN(I4724, MAX(0, I4724 + SUM(SUMIFS($I$1:I4723, $C$1:C4723, C4724, $B$1:B4723, {"MAL ALIMI","ÜRETİM GİRİŞ"})) - VLOOKUP(C4724, 'STOK RAPORU'!$C$2:$I$1000, 4, 0))), 0)</f>
        <v>0</v>
      </c>
      <c r="U4724" s="22">
        <f t="shared" ref="U4724:U4787" si="296">T4724*J4724</f>
        <v>0</v>
      </c>
      <c r="V4724">
        <f t="shared" ref="V4724:V4787" si="297">IF(OR(B4724="MAL ALIMI", B4724="ÜRETİM GİRİŞ"), I4724 * J4724, 0)</f>
        <v>0</v>
      </c>
      <c r="W4724" s="22">
        <f t="shared" ref="W4724:W4787" si="298">V4724-U4724</f>
        <v>0</v>
      </c>
    </row>
    <row r="4725" spans="1:23" hidden="1" x14ac:dyDescent="0.25">
      <c r="A4725" s="45">
        <v>46079</v>
      </c>
      <c r="B4725" s="46" t="s">
        <v>1027</v>
      </c>
      <c r="C4725" s="46"/>
      <c r="D4725" s="46" t="s">
        <v>2324</v>
      </c>
      <c r="E4725" s="46"/>
      <c r="F4725" s="46" t="s">
        <v>2323</v>
      </c>
      <c r="G4725" s="46" t="s">
        <v>2327</v>
      </c>
      <c r="H4725" s="46" t="s">
        <v>289</v>
      </c>
      <c r="I4725" s="46">
        <v>336.04</v>
      </c>
      <c r="J4725" s="47">
        <v>1</v>
      </c>
      <c r="K4725" s="47">
        <v>0</v>
      </c>
      <c r="L4725" s="48">
        <v>0</v>
      </c>
      <c r="M4725" s="42"/>
      <c r="N4725" s="42"/>
      <c r="O4725" s="44"/>
      <c r="P4725" s="44"/>
      <c r="Q4725" s="47">
        <v>336.04</v>
      </c>
      <c r="R4725" s="47">
        <v>0</v>
      </c>
      <c r="S4725" s="5">
        <f t="shared" si="295"/>
        <v>42361.578573026425</v>
      </c>
      <c r="T4725" cm="1">
        <f t="array" ref="T4725">IF(OR(B4725="MAL ALIMI", B4725="ÜRETİM GİRİŞ"), MIN(I4725, MAX(0, I4725 + SUM(SUMIFS($I$1:I4724, $C$1:C4724, C4725, $B$1:B4724, {"MAL ALIMI","ÜRETİM GİRİŞ"})) - VLOOKUP(C4725, 'STOK RAPORU'!$C$2:$I$1000, 4, 0))), 0)</f>
        <v>0</v>
      </c>
      <c r="U4725" s="22">
        <f t="shared" si="296"/>
        <v>0</v>
      </c>
      <c r="V4725">
        <f t="shared" si="297"/>
        <v>0</v>
      </c>
      <c r="W4725" s="22">
        <f t="shared" si="298"/>
        <v>0</v>
      </c>
    </row>
    <row r="4726" spans="1:23" hidden="1" x14ac:dyDescent="0.25">
      <c r="A4726" s="3">
        <v>46079</v>
      </c>
      <c r="B4726" s="4" t="s">
        <v>2344</v>
      </c>
      <c r="C4726" s="4"/>
      <c r="D4726" s="4"/>
      <c r="E4726" s="4" t="s">
        <v>2348</v>
      </c>
      <c r="F4726" s="46" t="s">
        <v>2342</v>
      </c>
      <c r="G4726" s="4" t="s">
        <v>2349</v>
      </c>
      <c r="H4726" s="4" t="s">
        <v>289</v>
      </c>
      <c r="I4726" s="4">
        <v>1</v>
      </c>
      <c r="J4726" s="21">
        <v>4675</v>
      </c>
      <c r="K4726" s="21">
        <v>0</v>
      </c>
      <c r="L4726" s="5">
        <v>4675</v>
      </c>
      <c r="M4726" s="4"/>
      <c r="N4726" s="4"/>
      <c r="O4726" s="5"/>
      <c r="P4726" s="5"/>
      <c r="Q4726" s="21">
        <v>4675</v>
      </c>
      <c r="R4726" s="21">
        <v>0</v>
      </c>
      <c r="S4726" s="5">
        <f t="shared" si="295"/>
        <v>47036.578573026425</v>
      </c>
      <c r="T4726" cm="1">
        <f t="array" ref="T4726">IF(OR(B4726="MAL ALIMI", B4726="ÜRETİM GİRİŞ"), MIN(I4726, MAX(0, I4726 + SUM(SUMIFS($I$1:I4725, $C$1:C4725, C4726, $B$1:B4725, {"MAL ALIMI","ÜRETİM GİRİŞ"})) - VLOOKUP(C4726, 'STOK RAPORU'!$C$2:$I$1000, 4, 0))), 0)</f>
        <v>0</v>
      </c>
      <c r="U4726" s="22">
        <f t="shared" si="296"/>
        <v>0</v>
      </c>
      <c r="V4726">
        <f t="shared" si="297"/>
        <v>0</v>
      </c>
      <c r="W4726" s="22">
        <f t="shared" si="298"/>
        <v>0</v>
      </c>
    </row>
    <row r="4727" spans="1:23" hidden="1" x14ac:dyDescent="0.25">
      <c r="A4727" s="3">
        <v>46079</v>
      </c>
      <c r="B4727" s="4" t="s">
        <v>946</v>
      </c>
      <c r="C4727" s="4"/>
      <c r="D4727" s="4"/>
      <c r="E4727" s="4" t="s">
        <v>921</v>
      </c>
      <c r="F4727" s="4"/>
      <c r="G4727" s="4" t="s">
        <v>946</v>
      </c>
      <c r="H4727" s="4" t="s">
        <v>380</v>
      </c>
      <c r="I4727" s="4">
        <v>1</v>
      </c>
      <c r="J4727" s="105">
        <v>880</v>
      </c>
      <c r="K4727" s="21">
        <v>0</v>
      </c>
      <c r="L4727" s="111">
        <v>880</v>
      </c>
      <c r="M4727" s="4"/>
      <c r="N4727" s="4"/>
      <c r="O4727" s="5"/>
      <c r="P4727" s="5"/>
      <c r="Q4727" s="21">
        <v>880</v>
      </c>
      <c r="R4727" s="21">
        <v>0</v>
      </c>
      <c r="S4727" s="5">
        <f t="shared" si="295"/>
        <v>47916.578573026425</v>
      </c>
      <c r="T4727" cm="1">
        <f t="array" ref="T4727">IF(OR(B4727="MAL ALIMI", B4727="ÜRETİM GİRİŞ"), MIN(I4727, MAX(0, I4727 + SUM(SUMIFS($I$1:I4726, $C$1:C4726, C4727, $B$1:B4726, {"MAL ALIMI","ÜRETİM GİRİŞ"})) - VLOOKUP(C4727, 'STOK RAPORU'!$C$2:$I$1000, 4, 0))), 0)</f>
        <v>0</v>
      </c>
      <c r="U4727" s="22">
        <f t="shared" si="296"/>
        <v>0</v>
      </c>
      <c r="V4727">
        <f t="shared" si="297"/>
        <v>0</v>
      </c>
      <c r="W4727" s="22">
        <f t="shared" si="298"/>
        <v>0</v>
      </c>
    </row>
    <row r="4728" spans="1:23" hidden="1" x14ac:dyDescent="0.25">
      <c r="A4728" s="3">
        <v>46079</v>
      </c>
      <c r="B4728" s="4" t="s">
        <v>946</v>
      </c>
      <c r="C4728" s="4"/>
      <c r="D4728" s="4"/>
      <c r="E4728" s="4" t="s">
        <v>921</v>
      </c>
      <c r="F4728" s="4"/>
      <c r="G4728" s="4" t="s">
        <v>946</v>
      </c>
      <c r="H4728" s="4" t="s">
        <v>380</v>
      </c>
      <c r="I4728" s="4">
        <v>1</v>
      </c>
      <c r="J4728" s="105">
        <v>413</v>
      </c>
      <c r="K4728" s="21">
        <v>0</v>
      </c>
      <c r="L4728" s="111">
        <v>413</v>
      </c>
      <c r="M4728" s="4"/>
      <c r="N4728" s="4"/>
      <c r="O4728" s="5"/>
      <c r="P4728" s="5"/>
      <c r="Q4728" s="21">
        <v>413</v>
      </c>
      <c r="R4728" s="21">
        <v>0</v>
      </c>
      <c r="S4728" s="5">
        <f t="shared" si="295"/>
        <v>48329.578573026425</v>
      </c>
      <c r="T4728" cm="1">
        <f t="array" ref="T4728">IF(OR(B4728="MAL ALIMI", B4728="ÜRETİM GİRİŞ"), MIN(I4728, MAX(0, I4728 + SUM(SUMIFS($I$1:I4727, $C$1:C4727, C4728, $B$1:B4727, {"MAL ALIMI","ÜRETİM GİRİŞ"})) - VLOOKUP(C4728, 'STOK RAPORU'!$C$2:$I$1000, 4, 0))), 0)</f>
        <v>0</v>
      </c>
      <c r="U4728" s="22">
        <f t="shared" si="296"/>
        <v>0</v>
      </c>
      <c r="V4728">
        <f t="shared" si="297"/>
        <v>0</v>
      </c>
      <c r="W4728" s="22">
        <f t="shared" si="298"/>
        <v>0</v>
      </c>
    </row>
    <row r="4729" spans="1:23" hidden="1" x14ac:dyDescent="0.25">
      <c r="A4729" s="3">
        <v>46080</v>
      </c>
      <c r="B4729" s="4" t="s">
        <v>334</v>
      </c>
      <c r="C4729" s="4" t="s">
        <v>158</v>
      </c>
      <c r="D4729" s="4"/>
      <c r="E4729" s="4" t="s">
        <v>921</v>
      </c>
      <c r="F4729" s="46" t="s">
        <v>2328</v>
      </c>
      <c r="G4729" s="4" t="s">
        <v>336</v>
      </c>
      <c r="H4729" s="4" t="s">
        <v>380</v>
      </c>
      <c r="I4729" s="4">
        <v>0.5</v>
      </c>
      <c r="J4729" s="21">
        <v>150</v>
      </c>
      <c r="K4729" s="21">
        <v>75</v>
      </c>
      <c r="L4729" s="5">
        <v>0</v>
      </c>
      <c r="M4729" s="4"/>
      <c r="N4729" s="4"/>
      <c r="O4729" s="5"/>
      <c r="P4729" s="5"/>
      <c r="Q4729" s="21">
        <v>0</v>
      </c>
      <c r="R4729" s="21">
        <v>0</v>
      </c>
      <c r="S4729" s="5">
        <f t="shared" si="295"/>
        <v>48329.578573026425</v>
      </c>
      <c r="T4729" cm="1">
        <f t="array" ref="T4729">IF(OR(B4729="MAL ALIMI", B4729="ÜRETİM GİRİŞ"), MIN(I4729, MAX(0, I4729 + SUM(SUMIFS($I$1:I4728, $C$1:C4728, C4729, $B$1:B4728, {"MAL ALIMI","ÜRETİM GİRİŞ"})) - VLOOKUP(C4729, 'STOK RAPORU'!$C$2:$I$1000, 4, 0))), 0)</f>
        <v>0</v>
      </c>
      <c r="U4729" s="22">
        <f t="shared" si="296"/>
        <v>0</v>
      </c>
      <c r="V4729">
        <f t="shared" si="297"/>
        <v>0</v>
      </c>
      <c r="W4729" s="22">
        <f t="shared" si="298"/>
        <v>0</v>
      </c>
    </row>
    <row r="4730" spans="1:23" hidden="1" x14ac:dyDescent="0.25">
      <c r="A4730" s="3">
        <v>46080</v>
      </c>
      <c r="B4730" s="4" t="s">
        <v>334</v>
      </c>
      <c r="C4730" s="4" t="s">
        <v>157</v>
      </c>
      <c r="D4730" s="4"/>
      <c r="E4730" s="4" t="s">
        <v>921</v>
      </c>
      <c r="F4730" s="46" t="s">
        <v>2328</v>
      </c>
      <c r="G4730" s="4" t="s">
        <v>336</v>
      </c>
      <c r="H4730" s="4" t="s">
        <v>380</v>
      </c>
      <c r="I4730" s="4">
        <v>1</v>
      </c>
      <c r="J4730" s="21">
        <v>200</v>
      </c>
      <c r="K4730" s="21">
        <v>200</v>
      </c>
      <c r="L4730" s="5">
        <v>0</v>
      </c>
      <c r="M4730" s="4"/>
      <c r="N4730" s="4"/>
      <c r="O4730" s="5"/>
      <c r="P4730" s="5"/>
      <c r="Q4730" s="21">
        <v>0</v>
      </c>
      <c r="R4730" s="21">
        <v>0</v>
      </c>
      <c r="S4730" s="5">
        <f t="shared" si="295"/>
        <v>48329.578573026425</v>
      </c>
      <c r="T4730" cm="1">
        <f t="array" ref="T4730">IF(OR(B4730="MAL ALIMI", B4730="ÜRETİM GİRİŞ"), MIN(I4730, MAX(0, I4730 + SUM(SUMIFS($I$1:I4729, $C$1:C4729, C4730, $B$1:B4729, {"MAL ALIMI","ÜRETİM GİRİŞ"})) - VLOOKUP(C4730, 'STOK RAPORU'!$C$2:$I$1000, 4, 0))), 0)</f>
        <v>0</v>
      </c>
      <c r="U4730" s="22">
        <f t="shared" si="296"/>
        <v>0</v>
      </c>
      <c r="V4730">
        <f t="shared" si="297"/>
        <v>0</v>
      </c>
      <c r="W4730" s="22">
        <f t="shared" si="298"/>
        <v>0</v>
      </c>
    </row>
    <row r="4731" spans="1:23" hidden="1" x14ac:dyDescent="0.25">
      <c r="A4731" s="3">
        <v>46080</v>
      </c>
      <c r="B4731" s="4" t="s">
        <v>334</v>
      </c>
      <c r="C4731" s="4" t="s">
        <v>161</v>
      </c>
      <c r="D4731" s="4"/>
      <c r="E4731" s="4" t="s">
        <v>921</v>
      </c>
      <c r="F4731" s="46" t="s">
        <v>2328</v>
      </c>
      <c r="G4731" s="4" t="s">
        <v>336</v>
      </c>
      <c r="H4731" s="4" t="s">
        <v>380</v>
      </c>
      <c r="I4731" s="4">
        <v>0.5</v>
      </c>
      <c r="J4731" s="21">
        <v>230</v>
      </c>
      <c r="K4731" s="21">
        <v>115</v>
      </c>
      <c r="L4731" s="5">
        <v>0</v>
      </c>
      <c r="M4731" s="4"/>
      <c r="N4731" s="4"/>
      <c r="O4731" s="5"/>
      <c r="P4731" s="5"/>
      <c r="Q4731" s="21">
        <v>0</v>
      </c>
      <c r="R4731" s="21">
        <v>0</v>
      </c>
      <c r="S4731" s="5">
        <f t="shared" si="295"/>
        <v>48329.578573026425</v>
      </c>
      <c r="T4731" cm="1">
        <f t="array" ref="T4731">IF(OR(B4731="MAL ALIMI", B4731="ÜRETİM GİRİŞ"), MIN(I4731, MAX(0, I4731 + SUM(SUMIFS($I$1:I4730, $C$1:C4730, C4731, $B$1:B4730, {"MAL ALIMI","ÜRETİM GİRİŞ"})) - VLOOKUP(C4731, 'STOK RAPORU'!$C$2:$I$1000, 4, 0))), 0)</f>
        <v>0</v>
      </c>
      <c r="U4731" s="22">
        <f t="shared" si="296"/>
        <v>0</v>
      </c>
      <c r="V4731">
        <f t="shared" si="297"/>
        <v>0</v>
      </c>
      <c r="W4731" s="22">
        <f t="shared" si="298"/>
        <v>0</v>
      </c>
    </row>
    <row r="4732" spans="1:23" hidden="1" x14ac:dyDescent="0.25">
      <c r="A4732" s="3">
        <v>46080</v>
      </c>
      <c r="B4732" s="4" t="s">
        <v>334</v>
      </c>
      <c r="C4732" s="4" t="s">
        <v>141</v>
      </c>
      <c r="D4732" s="4"/>
      <c r="E4732" s="4" t="s">
        <v>921</v>
      </c>
      <c r="F4732" s="46" t="s">
        <v>2328</v>
      </c>
      <c r="G4732" s="4" t="s">
        <v>336</v>
      </c>
      <c r="H4732" s="4" t="s">
        <v>380</v>
      </c>
      <c r="I4732" s="4">
        <v>9.6000000000000002E-2</v>
      </c>
      <c r="J4732" s="21">
        <v>140</v>
      </c>
      <c r="K4732" s="21">
        <v>13.44</v>
      </c>
      <c r="L4732" s="5">
        <v>0</v>
      </c>
      <c r="M4732" s="4"/>
      <c r="N4732" s="4"/>
      <c r="O4732" s="5"/>
      <c r="P4732" s="5"/>
      <c r="Q4732" s="21">
        <v>0</v>
      </c>
      <c r="R4732" s="21">
        <v>0</v>
      </c>
      <c r="S4732" s="5">
        <f t="shared" si="295"/>
        <v>48329.578573026425</v>
      </c>
      <c r="T4732" cm="1">
        <f t="array" ref="T4732">IF(OR(B4732="MAL ALIMI", B4732="ÜRETİM GİRİŞ"), MIN(I4732, MAX(0, I4732 + SUM(SUMIFS($I$1:I4731, $C$1:C4731, C4732, $B$1:B4731, {"MAL ALIMI","ÜRETİM GİRİŞ"})) - VLOOKUP(C4732, 'STOK RAPORU'!$C$2:$I$1000, 4, 0))), 0)</f>
        <v>0</v>
      </c>
      <c r="U4732" s="22">
        <f t="shared" si="296"/>
        <v>0</v>
      </c>
      <c r="V4732">
        <f t="shared" si="297"/>
        <v>0</v>
      </c>
      <c r="W4732" s="22">
        <f t="shared" si="298"/>
        <v>0</v>
      </c>
    </row>
    <row r="4733" spans="1:23" hidden="1" x14ac:dyDescent="0.25">
      <c r="A4733" s="3">
        <v>46080</v>
      </c>
      <c r="B4733" s="4" t="s">
        <v>334</v>
      </c>
      <c r="C4733" s="4" t="s">
        <v>129</v>
      </c>
      <c r="D4733" s="4"/>
      <c r="E4733" s="4" t="s">
        <v>921</v>
      </c>
      <c r="F4733" s="46" t="s">
        <v>2328</v>
      </c>
      <c r="G4733" s="4" t="s">
        <v>336</v>
      </c>
      <c r="H4733" s="4" t="s">
        <v>380</v>
      </c>
      <c r="I4733" s="4">
        <v>8.4000000000000005E-2</v>
      </c>
      <c r="J4733" s="21">
        <v>400</v>
      </c>
      <c r="K4733" s="21">
        <v>33.6</v>
      </c>
      <c r="L4733" s="5">
        <v>0</v>
      </c>
      <c r="M4733" s="4"/>
      <c r="N4733" s="4"/>
      <c r="O4733" s="5"/>
      <c r="P4733" s="5"/>
      <c r="Q4733" s="21">
        <v>0</v>
      </c>
      <c r="R4733" s="21">
        <v>0</v>
      </c>
      <c r="S4733" s="5">
        <f t="shared" si="295"/>
        <v>48329.578573026425</v>
      </c>
      <c r="T4733" cm="1">
        <f t="array" ref="T4733">IF(OR(B4733="MAL ALIMI", B4733="ÜRETİM GİRİŞ"), MIN(I4733, MAX(0, I4733 + SUM(SUMIFS($I$1:I4732, $C$1:C4732, C4733, $B$1:B4732, {"MAL ALIMI","ÜRETİM GİRİŞ"})) - VLOOKUP(C4733, 'STOK RAPORU'!$C$2:$I$1000, 4, 0))), 0)</f>
        <v>0</v>
      </c>
      <c r="U4733" s="22">
        <f t="shared" si="296"/>
        <v>0</v>
      </c>
      <c r="V4733">
        <f t="shared" si="297"/>
        <v>0</v>
      </c>
      <c r="W4733" s="22">
        <f t="shared" si="298"/>
        <v>0</v>
      </c>
    </row>
    <row r="4734" spans="1:23" hidden="1" x14ac:dyDescent="0.25">
      <c r="A4734" s="3">
        <v>46080</v>
      </c>
      <c r="B4734" s="4" t="s">
        <v>334</v>
      </c>
      <c r="C4734" s="4" t="s">
        <v>1041</v>
      </c>
      <c r="D4734" s="4"/>
      <c r="E4734" s="4" t="s">
        <v>921</v>
      </c>
      <c r="F4734" s="46" t="s">
        <v>2328</v>
      </c>
      <c r="G4734" s="4" t="s">
        <v>336</v>
      </c>
      <c r="H4734" s="4" t="s">
        <v>380</v>
      </c>
      <c r="I4734" s="4">
        <v>0.8</v>
      </c>
      <c r="J4734" s="21">
        <v>250</v>
      </c>
      <c r="K4734" s="21">
        <v>200</v>
      </c>
      <c r="L4734" s="5">
        <v>0</v>
      </c>
      <c r="M4734" s="4"/>
      <c r="N4734" s="4"/>
      <c r="O4734" s="5"/>
      <c r="P4734" s="5"/>
      <c r="Q4734" s="21">
        <v>0</v>
      </c>
      <c r="R4734" s="21">
        <v>0</v>
      </c>
      <c r="S4734" s="5">
        <f t="shared" si="295"/>
        <v>48329.578573026425</v>
      </c>
      <c r="T4734" cm="1">
        <f t="array" ref="T4734">IF(OR(B4734="MAL ALIMI", B4734="ÜRETİM GİRİŞ"), MIN(I4734, MAX(0, I4734 + SUM(SUMIFS($I$1:I4733, $C$1:C4733, C4734, $B$1:B4733, {"MAL ALIMI","ÜRETİM GİRİŞ"})) - VLOOKUP(C4734, 'STOK RAPORU'!$C$2:$I$1000, 4, 0))), 0)</f>
        <v>0</v>
      </c>
      <c r="U4734" s="22">
        <f t="shared" si="296"/>
        <v>0</v>
      </c>
      <c r="V4734">
        <f t="shared" si="297"/>
        <v>0</v>
      </c>
      <c r="W4734" s="22">
        <f t="shared" si="298"/>
        <v>0</v>
      </c>
    </row>
    <row r="4735" spans="1:23" hidden="1" x14ac:dyDescent="0.25">
      <c r="A4735" s="3">
        <v>46080</v>
      </c>
      <c r="B4735" s="4" t="s">
        <v>334</v>
      </c>
      <c r="C4735" s="4" t="s">
        <v>3167</v>
      </c>
      <c r="D4735" s="4"/>
      <c r="E4735" s="4" t="s">
        <v>921</v>
      </c>
      <c r="F4735" s="46" t="s">
        <v>2328</v>
      </c>
      <c r="G4735" s="4" t="s">
        <v>336</v>
      </c>
      <c r="H4735" s="4" t="s">
        <v>380</v>
      </c>
      <c r="I4735" s="4">
        <v>8.4000000000000005E-2</v>
      </c>
      <c r="J4735" s="21">
        <v>400</v>
      </c>
      <c r="K4735" s="21">
        <v>33.6</v>
      </c>
      <c r="L4735" s="5">
        <v>0</v>
      </c>
      <c r="M4735" s="4"/>
      <c r="N4735" s="4"/>
      <c r="O4735" s="5"/>
      <c r="P4735" s="5"/>
      <c r="Q4735" s="21">
        <v>0</v>
      </c>
      <c r="R4735" s="21">
        <v>0</v>
      </c>
      <c r="S4735" s="5">
        <f t="shared" si="295"/>
        <v>48329.578573026425</v>
      </c>
      <c r="T4735" cm="1">
        <f t="array" ref="T4735">IF(OR(B4735="MAL ALIMI", B4735="ÜRETİM GİRİŞ"), MIN(I4735, MAX(0, I4735 + SUM(SUMIFS($I$1:I4734, $C$1:C4734, C4735, $B$1:B4734, {"MAL ALIMI","ÜRETİM GİRİŞ"})) - VLOOKUP(C4735, 'STOK RAPORU'!$C$2:$I$1000, 4, 0))), 0)</f>
        <v>0</v>
      </c>
      <c r="U4735" s="22">
        <f t="shared" si="296"/>
        <v>0</v>
      </c>
      <c r="V4735">
        <f t="shared" si="297"/>
        <v>0</v>
      </c>
      <c r="W4735" s="22">
        <f t="shared" si="298"/>
        <v>0</v>
      </c>
    </row>
    <row r="4736" spans="1:23" hidden="1" x14ac:dyDescent="0.25">
      <c r="A4736" s="3">
        <v>46080</v>
      </c>
      <c r="B4736" s="4" t="s">
        <v>334</v>
      </c>
      <c r="C4736" s="4" t="s">
        <v>1366</v>
      </c>
      <c r="D4736" s="4"/>
      <c r="E4736" s="4" t="s">
        <v>921</v>
      </c>
      <c r="F4736" s="46" t="s">
        <v>2328</v>
      </c>
      <c r="G4736" s="4" t="s">
        <v>336</v>
      </c>
      <c r="H4736" s="4" t="s">
        <v>380</v>
      </c>
      <c r="I4736" s="4">
        <v>1</v>
      </c>
      <c r="J4736" s="21">
        <v>195</v>
      </c>
      <c r="K4736" s="21">
        <v>195</v>
      </c>
      <c r="L4736" s="5">
        <v>0</v>
      </c>
      <c r="M4736" s="4"/>
      <c r="N4736" s="4"/>
      <c r="O4736" s="5"/>
      <c r="P4736" s="5"/>
      <c r="Q4736" s="21">
        <v>0</v>
      </c>
      <c r="R4736" s="21">
        <v>0</v>
      </c>
      <c r="S4736" s="5">
        <f t="shared" si="295"/>
        <v>48329.578573026425</v>
      </c>
      <c r="T4736" cm="1">
        <f t="array" ref="T4736">IF(OR(B4736="MAL ALIMI", B4736="ÜRETİM GİRİŞ"), MIN(I4736, MAX(0, I4736 + SUM(SUMIFS($I$1:I4735, $C$1:C4735, C4736, $B$1:B4735, {"MAL ALIMI","ÜRETİM GİRİŞ"})) - VLOOKUP(C4736, 'STOK RAPORU'!$C$2:$I$1000, 4, 0))), 0)</f>
        <v>0</v>
      </c>
      <c r="U4736" s="22">
        <f t="shared" si="296"/>
        <v>0</v>
      </c>
      <c r="V4736">
        <f t="shared" si="297"/>
        <v>0</v>
      </c>
      <c r="W4736" s="22">
        <f t="shared" si="298"/>
        <v>0</v>
      </c>
    </row>
    <row r="4737" spans="1:23" hidden="1" x14ac:dyDescent="0.25">
      <c r="A4737" s="3">
        <v>46080</v>
      </c>
      <c r="B4737" s="4" t="s">
        <v>334</v>
      </c>
      <c r="C4737" s="4" t="s">
        <v>796</v>
      </c>
      <c r="D4737" s="4"/>
      <c r="E4737" s="4" t="s">
        <v>921</v>
      </c>
      <c r="F4737" s="46" t="s">
        <v>2328</v>
      </c>
      <c r="G4737" s="4" t="s">
        <v>336</v>
      </c>
      <c r="H4737" s="4" t="s">
        <v>380</v>
      </c>
      <c r="I4737" s="4">
        <v>1</v>
      </c>
      <c r="J4737" s="21">
        <v>260</v>
      </c>
      <c r="K4737" s="21">
        <v>260</v>
      </c>
      <c r="L4737" s="5">
        <v>0</v>
      </c>
      <c r="M4737" s="4"/>
      <c r="N4737" s="4"/>
      <c r="O4737" s="5"/>
      <c r="P4737" s="5"/>
      <c r="Q4737" s="21">
        <v>0</v>
      </c>
      <c r="R4737" s="21">
        <v>0</v>
      </c>
      <c r="S4737" s="5">
        <f t="shared" si="295"/>
        <v>48329.578573026425</v>
      </c>
      <c r="T4737" cm="1">
        <f t="array" ref="T4737">IF(OR(B4737="MAL ALIMI", B4737="ÜRETİM GİRİŞ"), MIN(I4737, MAX(0, I4737 + SUM(SUMIFS($I$1:I4736, $C$1:C4736, C4737, $B$1:B4736, {"MAL ALIMI","ÜRETİM GİRİŞ"})) - VLOOKUP(C4737, 'STOK RAPORU'!$C$2:$I$1000, 4, 0))), 0)</f>
        <v>0</v>
      </c>
      <c r="U4737" s="22">
        <f t="shared" si="296"/>
        <v>0</v>
      </c>
      <c r="V4737">
        <f t="shared" si="297"/>
        <v>0</v>
      </c>
      <c r="W4737" s="22">
        <f t="shared" si="298"/>
        <v>0</v>
      </c>
    </row>
    <row r="4738" spans="1:23" hidden="1" x14ac:dyDescent="0.25">
      <c r="A4738" s="3">
        <v>46080</v>
      </c>
      <c r="B4738" s="4" t="s">
        <v>334</v>
      </c>
      <c r="C4738" s="4" t="s">
        <v>1500</v>
      </c>
      <c r="D4738" s="4"/>
      <c r="E4738" s="4" t="s">
        <v>921</v>
      </c>
      <c r="F4738" s="46" t="s">
        <v>2328</v>
      </c>
      <c r="G4738" s="4" t="s">
        <v>336</v>
      </c>
      <c r="H4738" s="4" t="s">
        <v>380</v>
      </c>
      <c r="I4738" s="4">
        <v>1</v>
      </c>
      <c r="J4738" s="21">
        <v>275</v>
      </c>
      <c r="K4738" s="21">
        <v>275</v>
      </c>
      <c r="L4738" s="5">
        <v>0</v>
      </c>
      <c r="M4738" s="4"/>
      <c r="N4738" s="4"/>
      <c r="O4738" s="5"/>
      <c r="P4738" s="5"/>
      <c r="Q4738" s="21">
        <v>0</v>
      </c>
      <c r="R4738" s="21">
        <v>0</v>
      </c>
      <c r="S4738" s="5">
        <f t="shared" si="295"/>
        <v>48329.578573026425</v>
      </c>
      <c r="T4738" cm="1">
        <f t="array" ref="T4738">IF(OR(B4738="MAL ALIMI", B4738="ÜRETİM GİRİŞ"), MIN(I4738, MAX(0, I4738 + SUM(SUMIFS($I$1:I4737, $C$1:C4737, C4738, $B$1:B4737, {"MAL ALIMI","ÜRETİM GİRİŞ"})) - VLOOKUP(C4738, 'STOK RAPORU'!$C$2:$I$1000, 4, 0))), 0)</f>
        <v>0</v>
      </c>
      <c r="U4738" s="22">
        <f t="shared" si="296"/>
        <v>0</v>
      </c>
      <c r="V4738">
        <f t="shared" si="297"/>
        <v>0</v>
      </c>
      <c r="W4738" s="22">
        <f t="shared" si="298"/>
        <v>0</v>
      </c>
    </row>
    <row r="4739" spans="1:23" hidden="1" x14ac:dyDescent="0.25">
      <c r="A4739" s="3">
        <v>46080</v>
      </c>
      <c r="B4739" s="4" t="s">
        <v>334</v>
      </c>
      <c r="C4739" s="4" t="s">
        <v>716</v>
      </c>
      <c r="D4739" s="4"/>
      <c r="E4739" s="4" t="s">
        <v>921</v>
      </c>
      <c r="F4739" s="46" t="s">
        <v>2328</v>
      </c>
      <c r="G4739" s="4" t="s">
        <v>336</v>
      </c>
      <c r="H4739" s="4" t="s">
        <v>380</v>
      </c>
      <c r="I4739" s="4">
        <v>1</v>
      </c>
      <c r="J4739" s="21">
        <v>280</v>
      </c>
      <c r="K4739" s="21">
        <v>280</v>
      </c>
      <c r="L4739" s="5">
        <v>0</v>
      </c>
      <c r="M4739" s="4"/>
      <c r="N4739" s="4"/>
      <c r="O4739" s="5"/>
      <c r="P4739" s="5"/>
      <c r="Q4739" s="21">
        <v>0</v>
      </c>
      <c r="R4739" s="21">
        <v>0</v>
      </c>
      <c r="S4739" s="5">
        <f t="shared" si="295"/>
        <v>48329.578573026425</v>
      </c>
      <c r="T4739" cm="1">
        <f t="array" ref="T4739">IF(OR(B4739="MAL ALIMI", B4739="ÜRETİM GİRİŞ"), MIN(I4739, MAX(0, I4739 + SUM(SUMIFS($I$1:I4738, $C$1:C4738, C4739, $B$1:B4738, {"MAL ALIMI","ÜRETİM GİRİŞ"})) - VLOOKUP(C4739, 'STOK RAPORU'!$C$2:$I$1000, 4, 0))), 0)</f>
        <v>0</v>
      </c>
      <c r="U4739" s="22">
        <f t="shared" si="296"/>
        <v>0</v>
      </c>
      <c r="V4739">
        <f t="shared" si="297"/>
        <v>0</v>
      </c>
      <c r="W4739" s="22">
        <f t="shared" si="298"/>
        <v>0</v>
      </c>
    </row>
    <row r="4740" spans="1:23" hidden="1" x14ac:dyDescent="0.25">
      <c r="A4740" s="3">
        <v>46080</v>
      </c>
      <c r="B4740" s="4" t="s">
        <v>334</v>
      </c>
      <c r="C4740" s="4" t="s">
        <v>1373</v>
      </c>
      <c r="D4740" s="4"/>
      <c r="E4740" s="4" t="s">
        <v>921</v>
      </c>
      <c r="F4740" s="46" t="s">
        <v>2328</v>
      </c>
      <c r="G4740" s="4" t="s">
        <v>336</v>
      </c>
      <c r="H4740" s="4" t="s">
        <v>380</v>
      </c>
      <c r="I4740" s="4">
        <v>1</v>
      </c>
      <c r="J4740" s="21">
        <v>220</v>
      </c>
      <c r="K4740" s="21">
        <v>220</v>
      </c>
      <c r="L4740" s="5">
        <v>0</v>
      </c>
      <c r="M4740" s="4"/>
      <c r="N4740" s="4"/>
      <c r="O4740" s="5"/>
      <c r="P4740" s="5"/>
      <c r="Q4740" s="21">
        <v>0</v>
      </c>
      <c r="R4740" s="21">
        <v>0</v>
      </c>
      <c r="S4740" s="5">
        <f t="shared" ref="S4740:S4803" si="299">S4739+Q4740-R4740</f>
        <v>48329.578573026425</v>
      </c>
      <c r="T4740" cm="1">
        <f t="array" ref="T4740">IF(OR(B4740="MAL ALIMI", B4740="ÜRETİM GİRİŞ"), MIN(I4740, MAX(0, I4740 + SUM(SUMIFS($I$1:I4739, $C$1:C4739, C4740, $B$1:B4739, {"MAL ALIMI","ÜRETİM GİRİŞ"})) - VLOOKUP(C4740, 'STOK RAPORU'!$C$2:$I$1000, 4, 0))), 0)</f>
        <v>0</v>
      </c>
      <c r="U4740" s="22">
        <f t="shared" si="296"/>
        <v>0</v>
      </c>
      <c r="V4740">
        <f t="shared" si="297"/>
        <v>0</v>
      </c>
      <c r="W4740" s="22">
        <f t="shared" si="298"/>
        <v>0</v>
      </c>
    </row>
    <row r="4741" spans="1:23" hidden="1" x14ac:dyDescent="0.25">
      <c r="A4741" s="3">
        <v>46080</v>
      </c>
      <c r="B4741" s="4" t="s">
        <v>334</v>
      </c>
      <c r="C4741" s="4" t="s">
        <v>1501</v>
      </c>
      <c r="D4741" s="4"/>
      <c r="E4741" s="4" t="s">
        <v>921</v>
      </c>
      <c r="F4741" s="46" t="s">
        <v>2329</v>
      </c>
      <c r="G4741" s="4" t="s">
        <v>336</v>
      </c>
      <c r="H4741" s="4" t="s">
        <v>380</v>
      </c>
      <c r="I4741" s="4">
        <v>0.16666666666666666</v>
      </c>
      <c r="J4741" s="21">
        <v>600</v>
      </c>
      <c r="K4741" s="21">
        <v>100</v>
      </c>
      <c r="L4741" s="5">
        <v>0</v>
      </c>
      <c r="M4741" s="4"/>
      <c r="N4741" s="4"/>
      <c r="O4741" s="5"/>
      <c r="P4741" s="5"/>
      <c r="Q4741" s="21">
        <v>0</v>
      </c>
      <c r="R4741" s="21">
        <v>0</v>
      </c>
      <c r="S4741" s="5">
        <f t="shared" si="299"/>
        <v>48329.578573026425</v>
      </c>
      <c r="T4741" cm="1">
        <f t="array" ref="T4741">IF(OR(B4741="MAL ALIMI", B4741="ÜRETİM GİRİŞ"), MIN(I4741, MAX(0, I4741 + SUM(SUMIFS($I$1:I4740, $C$1:C4740, C4741, $B$1:B4740, {"MAL ALIMI","ÜRETİM GİRİŞ"})) - VLOOKUP(C4741, 'STOK RAPORU'!$C$2:$I$1000, 4, 0))), 0)</f>
        <v>0</v>
      </c>
      <c r="U4741" s="22">
        <f t="shared" si="296"/>
        <v>0</v>
      </c>
      <c r="V4741">
        <f t="shared" si="297"/>
        <v>0</v>
      </c>
      <c r="W4741" s="22">
        <f t="shared" si="298"/>
        <v>0</v>
      </c>
    </row>
    <row r="4742" spans="1:23" hidden="1" x14ac:dyDescent="0.25">
      <c r="A4742" s="3">
        <v>46080</v>
      </c>
      <c r="B4742" s="4" t="s">
        <v>334</v>
      </c>
      <c r="C4742" s="4" t="s">
        <v>524</v>
      </c>
      <c r="D4742" s="4"/>
      <c r="E4742" s="4"/>
      <c r="F4742" s="46" t="s">
        <v>2330</v>
      </c>
      <c r="G4742" s="4" t="s">
        <v>336</v>
      </c>
      <c r="H4742" s="4" t="s">
        <v>289</v>
      </c>
      <c r="I4742" s="4">
        <v>0.1</v>
      </c>
      <c r="J4742" s="21">
        <v>400</v>
      </c>
      <c r="K4742" s="21">
        <v>0</v>
      </c>
      <c r="L4742" s="5">
        <v>0</v>
      </c>
      <c r="M4742" s="4"/>
      <c r="N4742" s="4"/>
      <c r="O4742" s="5"/>
      <c r="P4742" s="5"/>
      <c r="Q4742" s="21">
        <v>40</v>
      </c>
      <c r="R4742" s="21">
        <v>0</v>
      </c>
      <c r="S4742" s="5">
        <f t="shared" si="299"/>
        <v>48369.578573026425</v>
      </c>
      <c r="T4742" cm="1">
        <f t="array" ref="T4742">IF(OR(B4742="MAL ALIMI", B4742="ÜRETİM GİRİŞ"), MIN(I4742, MAX(0, I4742 + SUM(SUMIFS($I$1:I4741, $C$1:C4741, C4742, $B$1:B4741, {"MAL ALIMI","ÜRETİM GİRİŞ"})) - VLOOKUP(C4742, 'STOK RAPORU'!$C$2:$I$1000, 4, 0))), 0)</f>
        <v>0</v>
      </c>
      <c r="U4742" s="22">
        <f t="shared" si="296"/>
        <v>0</v>
      </c>
      <c r="V4742">
        <f t="shared" si="297"/>
        <v>0</v>
      </c>
      <c r="W4742" s="22">
        <f t="shared" si="298"/>
        <v>0</v>
      </c>
    </row>
    <row r="4743" spans="1:23" hidden="1" x14ac:dyDescent="0.25">
      <c r="A4743" s="3">
        <v>46080</v>
      </c>
      <c r="B4743" s="4" t="s">
        <v>334</v>
      </c>
      <c r="C4743" s="4" t="s">
        <v>2125</v>
      </c>
      <c r="D4743" s="4"/>
      <c r="E4743" s="4"/>
      <c r="F4743" s="46" t="s">
        <v>2331</v>
      </c>
      <c r="G4743" s="4" t="s">
        <v>336</v>
      </c>
      <c r="H4743" s="4" t="s">
        <v>289</v>
      </c>
      <c r="I4743" s="4">
        <v>0.45135135135135135</v>
      </c>
      <c r="J4743" s="21">
        <v>370</v>
      </c>
      <c r="K4743" s="21">
        <v>0</v>
      </c>
      <c r="L4743" s="5">
        <v>0</v>
      </c>
      <c r="M4743" s="4"/>
      <c r="N4743" s="4"/>
      <c r="O4743" s="5"/>
      <c r="P4743" s="5"/>
      <c r="Q4743" s="21">
        <v>167</v>
      </c>
      <c r="R4743" s="21">
        <v>0</v>
      </c>
      <c r="S4743" s="5">
        <f t="shared" si="299"/>
        <v>48536.578573026425</v>
      </c>
      <c r="T4743" cm="1">
        <f t="array" ref="T4743">IF(OR(B4743="MAL ALIMI", B4743="ÜRETİM GİRİŞ"), MIN(I4743, MAX(0, I4743 + SUM(SUMIFS($I$1:I4742, $C$1:C4742, C4743, $B$1:B4742, {"MAL ALIMI","ÜRETİM GİRİŞ"})) - VLOOKUP(C4743, 'STOK RAPORU'!$C$2:$I$1000, 4, 0))), 0)</f>
        <v>0</v>
      </c>
      <c r="U4743" s="22">
        <f t="shared" si="296"/>
        <v>0</v>
      </c>
      <c r="V4743">
        <f t="shared" si="297"/>
        <v>0</v>
      </c>
      <c r="W4743" s="22">
        <f t="shared" si="298"/>
        <v>0</v>
      </c>
    </row>
    <row r="4744" spans="1:23" hidden="1" x14ac:dyDescent="0.25">
      <c r="A4744" s="3">
        <v>46080</v>
      </c>
      <c r="B4744" s="4" t="s">
        <v>334</v>
      </c>
      <c r="C4744" s="4" t="s">
        <v>143</v>
      </c>
      <c r="D4744" s="4"/>
      <c r="E4744" s="4"/>
      <c r="F4744" s="46" t="s">
        <v>2332</v>
      </c>
      <c r="G4744" s="4" t="s">
        <v>336</v>
      </c>
      <c r="H4744" s="4" t="s">
        <v>289</v>
      </c>
      <c r="I4744" s="4">
        <v>1</v>
      </c>
      <c r="J4744" s="21">
        <v>100</v>
      </c>
      <c r="K4744" s="21">
        <v>0</v>
      </c>
      <c r="L4744" s="5">
        <v>0</v>
      </c>
      <c r="M4744" s="4"/>
      <c r="N4744" s="4"/>
      <c r="O4744" s="5"/>
      <c r="P4744" s="5"/>
      <c r="Q4744" s="21">
        <v>100</v>
      </c>
      <c r="R4744" s="21">
        <v>0</v>
      </c>
      <c r="S4744" s="5">
        <f t="shared" si="299"/>
        <v>48636.578573026425</v>
      </c>
      <c r="T4744" cm="1">
        <f t="array" ref="T4744">IF(OR(B4744="MAL ALIMI", B4744="ÜRETİM GİRİŞ"), MIN(I4744, MAX(0, I4744 + SUM(SUMIFS($I$1:I4743, $C$1:C4743, C4744, $B$1:B4743, {"MAL ALIMI","ÜRETİM GİRİŞ"})) - VLOOKUP(C4744, 'STOK RAPORU'!$C$2:$I$1000, 4, 0))), 0)</f>
        <v>0</v>
      </c>
      <c r="U4744" s="22">
        <f t="shared" si="296"/>
        <v>0</v>
      </c>
      <c r="V4744">
        <f t="shared" si="297"/>
        <v>0</v>
      </c>
      <c r="W4744" s="22">
        <f t="shared" si="298"/>
        <v>0</v>
      </c>
    </row>
    <row r="4745" spans="1:23" hidden="1" x14ac:dyDescent="0.25">
      <c r="A4745" s="3">
        <v>46080</v>
      </c>
      <c r="B4745" s="4" t="s">
        <v>334</v>
      </c>
      <c r="C4745" s="4" t="s">
        <v>651</v>
      </c>
      <c r="D4745" s="4"/>
      <c r="E4745" s="4"/>
      <c r="F4745" s="46" t="s">
        <v>2333</v>
      </c>
      <c r="G4745" s="4" t="s">
        <v>336</v>
      </c>
      <c r="H4745" s="4" t="s">
        <v>289</v>
      </c>
      <c r="I4745" s="4">
        <v>1</v>
      </c>
      <c r="J4745" s="21">
        <v>400</v>
      </c>
      <c r="K4745" s="21">
        <v>0</v>
      </c>
      <c r="L4745" s="5">
        <v>0</v>
      </c>
      <c r="M4745" s="4"/>
      <c r="N4745" s="4"/>
      <c r="O4745" s="5"/>
      <c r="P4745" s="5"/>
      <c r="Q4745" s="21">
        <v>400</v>
      </c>
      <c r="R4745" s="21">
        <v>0</v>
      </c>
      <c r="S4745" s="5">
        <f t="shared" si="299"/>
        <v>49036.578573026425</v>
      </c>
      <c r="T4745" cm="1">
        <f t="array" ref="T4745">IF(OR(B4745="MAL ALIMI", B4745="ÜRETİM GİRİŞ"), MIN(I4745, MAX(0, I4745 + SUM(SUMIFS($I$1:I4744, $C$1:C4744, C4745, $B$1:B4744, {"MAL ALIMI","ÜRETİM GİRİŞ"})) - VLOOKUP(C4745, 'STOK RAPORU'!$C$2:$I$1000, 4, 0))), 0)</f>
        <v>0</v>
      </c>
      <c r="U4745" s="22">
        <f t="shared" si="296"/>
        <v>0</v>
      </c>
      <c r="V4745">
        <f t="shared" si="297"/>
        <v>0</v>
      </c>
      <c r="W4745" s="22">
        <f t="shared" si="298"/>
        <v>0</v>
      </c>
    </row>
    <row r="4746" spans="1:23" hidden="1" x14ac:dyDescent="0.25">
      <c r="A4746" s="3">
        <v>46080</v>
      </c>
      <c r="B4746" s="4" t="s">
        <v>334</v>
      </c>
      <c r="C4746" s="4" t="s">
        <v>1041</v>
      </c>
      <c r="D4746" s="4"/>
      <c r="E4746" s="4"/>
      <c r="F4746" s="46" t="s">
        <v>2334</v>
      </c>
      <c r="G4746" s="4" t="s">
        <v>336</v>
      </c>
      <c r="H4746" s="4" t="s">
        <v>289</v>
      </c>
      <c r="I4746" s="4">
        <v>2</v>
      </c>
      <c r="J4746" s="21">
        <v>250</v>
      </c>
      <c r="K4746" s="21">
        <v>0</v>
      </c>
      <c r="L4746" s="5">
        <v>0</v>
      </c>
      <c r="M4746" s="4"/>
      <c r="N4746" s="4"/>
      <c r="O4746" s="5"/>
      <c r="P4746" s="5"/>
      <c r="Q4746" s="21">
        <v>500</v>
      </c>
      <c r="R4746" s="21">
        <v>0</v>
      </c>
      <c r="S4746" s="5">
        <f t="shared" si="299"/>
        <v>49536.578573026425</v>
      </c>
      <c r="T4746" cm="1">
        <f t="array" ref="T4746">IF(OR(B4746="MAL ALIMI", B4746="ÜRETİM GİRİŞ"), MIN(I4746, MAX(0, I4746 + SUM(SUMIFS($I$1:I4745, $C$1:C4745, C4746, $B$1:B4745, {"MAL ALIMI","ÜRETİM GİRİŞ"})) - VLOOKUP(C4746, 'STOK RAPORU'!$C$2:$I$1000, 4, 0))), 0)</f>
        <v>0</v>
      </c>
      <c r="U4746" s="22">
        <f t="shared" si="296"/>
        <v>0</v>
      </c>
      <c r="V4746">
        <f t="shared" si="297"/>
        <v>0</v>
      </c>
      <c r="W4746" s="22">
        <f t="shared" si="298"/>
        <v>0</v>
      </c>
    </row>
    <row r="4747" spans="1:23" hidden="1" x14ac:dyDescent="0.25">
      <c r="A4747" s="3">
        <v>46080</v>
      </c>
      <c r="B4747" s="4" t="s">
        <v>334</v>
      </c>
      <c r="C4747" s="4" t="s">
        <v>161</v>
      </c>
      <c r="D4747" s="4"/>
      <c r="E4747" s="4"/>
      <c r="F4747" s="46" t="s">
        <v>2335</v>
      </c>
      <c r="G4747" s="4" t="s">
        <v>336</v>
      </c>
      <c r="H4747" s="4" t="s">
        <v>289</v>
      </c>
      <c r="I4747" s="4">
        <v>1</v>
      </c>
      <c r="J4747" s="21">
        <v>200</v>
      </c>
      <c r="K4747" s="21">
        <v>0</v>
      </c>
      <c r="L4747" s="5">
        <v>0</v>
      </c>
      <c r="M4747" s="4"/>
      <c r="N4747" s="4"/>
      <c r="O4747" s="5"/>
      <c r="P4747" s="5"/>
      <c r="Q4747" s="21">
        <v>200</v>
      </c>
      <c r="R4747" s="21">
        <v>0</v>
      </c>
      <c r="S4747" s="5">
        <f t="shared" si="299"/>
        <v>49736.578573026425</v>
      </c>
      <c r="T4747" cm="1">
        <f t="array" ref="T4747">IF(OR(B4747="MAL ALIMI", B4747="ÜRETİM GİRİŞ"), MIN(I4747, MAX(0, I4747 + SUM(SUMIFS($I$1:I4746, $C$1:C4746, C4747, $B$1:B4746, {"MAL ALIMI","ÜRETİM GİRİŞ"})) - VLOOKUP(C4747, 'STOK RAPORU'!$C$2:$I$1000, 4, 0))), 0)</f>
        <v>0</v>
      </c>
      <c r="U4747" s="22">
        <f t="shared" si="296"/>
        <v>0</v>
      </c>
      <c r="V4747">
        <f t="shared" si="297"/>
        <v>0</v>
      </c>
      <c r="W4747" s="22">
        <f t="shared" si="298"/>
        <v>0</v>
      </c>
    </row>
    <row r="4748" spans="1:23" hidden="1" x14ac:dyDescent="0.25">
      <c r="A4748" s="3">
        <v>46080</v>
      </c>
      <c r="B4748" s="4" t="s">
        <v>334</v>
      </c>
      <c r="C4748" s="4" t="s">
        <v>160</v>
      </c>
      <c r="D4748" s="4"/>
      <c r="E4748" s="4" t="s">
        <v>921</v>
      </c>
      <c r="F4748" s="46" t="s">
        <v>2335</v>
      </c>
      <c r="G4748" s="4" t="s">
        <v>336</v>
      </c>
      <c r="H4748" s="4" t="s">
        <v>380</v>
      </c>
      <c r="I4748" s="4">
        <v>1</v>
      </c>
      <c r="J4748" s="21">
        <v>280</v>
      </c>
      <c r="K4748" s="21">
        <v>280</v>
      </c>
      <c r="L4748" s="5">
        <v>0</v>
      </c>
      <c r="M4748" s="4"/>
      <c r="N4748" s="4"/>
      <c r="O4748" s="5"/>
      <c r="P4748" s="5"/>
      <c r="Q4748" s="21">
        <v>0</v>
      </c>
      <c r="R4748" s="21">
        <v>0</v>
      </c>
      <c r="S4748" s="5">
        <f t="shared" si="299"/>
        <v>49736.578573026425</v>
      </c>
      <c r="T4748" cm="1">
        <f t="array" ref="T4748">IF(OR(B4748="MAL ALIMI", B4748="ÜRETİM GİRİŞ"), MIN(I4748, MAX(0, I4748 + SUM(SUMIFS($I$1:I4747, $C$1:C4747, C4748, $B$1:B4747, {"MAL ALIMI","ÜRETİM GİRİŞ"})) - VLOOKUP(C4748, 'STOK RAPORU'!$C$2:$I$1000, 4, 0))), 0)</f>
        <v>0</v>
      </c>
      <c r="U4748" s="22">
        <f t="shared" si="296"/>
        <v>0</v>
      </c>
      <c r="V4748">
        <f t="shared" si="297"/>
        <v>0</v>
      </c>
      <c r="W4748" s="22">
        <f t="shared" si="298"/>
        <v>0</v>
      </c>
    </row>
    <row r="4749" spans="1:23" hidden="1" x14ac:dyDescent="0.25">
      <c r="A4749" s="3">
        <v>46080</v>
      </c>
      <c r="B4749" s="4" t="s">
        <v>334</v>
      </c>
      <c r="C4749" s="4" t="s">
        <v>1443</v>
      </c>
      <c r="D4749" s="4"/>
      <c r="E4749" s="4" t="s">
        <v>921</v>
      </c>
      <c r="F4749" s="46" t="s">
        <v>2335</v>
      </c>
      <c r="G4749" s="4" t="s">
        <v>336</v>
      </c>
      <c r="H4749" s="4" t="s">
        <v>380</v>
      </c>
      <c r="I4749" s="4">
        <v>2</v>
      </c>
      <c r="J4749" s="21">
        <v>10</v>
      </c>
      <c r="K4749" s="21">
        <v>20</v>
      </c>
      <c r="L4749" s="5">
        <v>0</v>
      </c>
      <c r="M4749" s="4"/>
      <c r="N4749" s="4"/>
      <c r="O4749" s="5"/>
      <c r="P4749" s="5"/>
      <c r="Q4749" s="21">
        <v>0</v>
      </c>
      <c r="R4749" s="21">
        <v>0</v>
      </c>
      <c r="S4749" s="5">
        <f t="shared" si="299"/>
        <v>49736.578573026425</v>
      </c>
      <c r="T4749" cm="1">
        <f t="array" ref="T4749">IF(OR(B4749="MAL ALIMI", B4749="ÜRETİM GİRİŞ"), MIN(I4749, MAX(0, I4749 + SUM(SUMIFS($I$1:I4748, $C$1:C4748, C4749, $B$1:B4748, {"MAL ALIMI","ÜRETİM GİRİŞ"})) - VLOOKUP(C4749, 'STOK RAPORU'!$C$2:$I$1000, 4, 0))), 0)</f>
        <v>0</v>
      </c>
      <c r="U4749" s="22">
        <f t="shared" si="296"/>
        <v>0</v>
      </c>
      <c r="V4749">
        <f t="shared" si="297"/>
        <v>0</v>
      </c>
      <c r="W4749" s="22">
        <f t="shared" si="298"/>
        <v>0</v>
      </c>
    </row>
    <row r="4750" spans="1:23" hidden="1" x14ac:dyDescent="0.25">
      <c r="A4750" s="3">
        <v>46080</v>
      </c>
      <c r="B4750" s="4" t="s">
        <v>334</v>
      </c>
      <c r="C4750" s="4" t="s">
        <v>160</v>
      </c>
      <c r="D4750" s="4"/>
      <c r="E4750" s="4"/>
      <c r="F4750" s="46" t="s">
        <v>2336</v>
      </c>
      <c r="G4750" s="4" t="s">
        <v>336</v>
      </c>
      <c r="H4750" s="4" t="s">
        <v>289</v>
      </c>
      <c r="I4750" s="4">
        <v>1</v>
      </c>
      <c r="J4750" s="21">
        <v>250</v>
      </c>
      <c r="K4750" s="21">
        <v>0</v>
      </c>
      <c r="L4750" s="5">
        <v>0</v>
      </c>
      <c r="M4750" s="4"/>
      <c r="N4750" s="4"/>
      <c r="O4750" s="5"/>
      <c r="P4750" s="5"/>
      <c r="Q4750" s="21">
        <v>250</v>
      </c>
      <c r="R4750" s="21">
        <v>0</v>
      </c>
      <c r="S4750" s="5">
        <f t="shared" si="299"/>
        <v>49986.578573026425</v>
      </c>
      <c r="T4750" cm="1">
        <f t="array" ref="T4750">IF(OR(B4750="MAL ALIMI", B4750="ÜRETİM GİRİŞ"), MIN(I4750, MAX(0, I4750 + SUM(SUMIFS($I$1:I4749, $C$1:C4749, C4750, $B$1:B4749, {"MAL ALIMI","ÜRETİM GİRİŞ"})) - VLOOKUP(C4750, 'STOK RAPORU'!$C$2:$I$1000, 4, 0))), 0)</f>
        <v>0</v>
      </c>
      <c r="U4750" s="22">
        <f t="shared" si="296"/>
        <v>0</v>
      </c>
      <c r="V4750">
        <f t="shared" si="297"/>
        <v>0</v>
      </c>
      <c r="W4750" s="22">
        <f t="shared" si="298"/>
        <v>0</v>
      </c>
    </row>
    <row r="4751" spans="1:23" hidden="1" x14ac:dyDescent="0.25">
      <c r="A4751" s="3">
        <v>46080</v>
      </c>
      <c r="B4751" s="4" t="s">
        <v>334</v>
      </c>
      <c r="C4751" s="4" t="s">
        <v>92</v>
      </c>
      <c r="D4751" s="4"/>
      <c r="E4751" s="4"/>
      <c r="F4751" s="46" t="s">
        <v>2336</v>
      </c>
      <c r="G4751" s="4" t="s">
        <v>336</v>
      </c>
      <c r="H4751" s="4" t="s">
        <v>289</v>
      </c>
      <c r="I4751" s="4">
        <v>0.106</v>
      </c>
      <c r="J4751" s="21">
        <v>500</v>
      </c>
      <c r="K4751" s="21">
        <v>0</v>
      </c>
      <c r="L4751" s="5">
        <v>0</v>
      </c>
      <c r="M4751" s="4"/>
      <c r="N4751" s="4"/>
      <c r="O4751" s="5"/>
      <c r="P4751" s="5"/>
      <c r="Q4751" s="21">
        <v>53</v>
      </c>
      <c r="R4751" s="21">
        <v>0</v>
      </c>
      <c r="S4751" s="5">
        <f t="shared" si="299"/>
        <v>50039.578573026425</v>
      </c>
      <c r="T4751" cm="1">
        <f t="array" ref="T4751">IF(OR(B4751="MAL ALIMI", B4751="ÜRETİM GİRİŞ"), MIN(I4751, MAX(0, I4751 + SUM(SUMIFS($I$1:I4750, $C$1:C4750, C4751, $B$1:B4750, {"MAL ALIMI","ÜRETİM GİRİŞ"})) - VLOOKUP(C4751, 'STOK RAPORU'!$C$2:$I$1000, 4, 0))), 0)</f>
        <v>0</v>
      </c>
      <c r="U4751" s="22">
        <f t="shared" si="296"/>
        <v>0</v>
      </c>
      <c r="V4751">
        <f t="shared" si="297"/>
        <v>0</v>
      </c>
      <c r="W4751" s="22">
        <f t="shared" si="298"/>
        <v>0</v>
      </c>
    </row>
    <row r="4752" spans="1:23" hidden="1" x14ac:dyDescent="0.25">
      <c r="A4752" s="3">
        <v>46080</v>
      </c>
      <c r="B4752" s="4" t="s">
        <v>334</v>
      </c>
      <c r="C4752" s="4" t="s">
        <v>209</v>
      </c>
      <c r="D4752" s="4"/>
      <c r="E4752" s="4" t="s">
        <v>921</v>
      </c>
      <c r="F4752" s="46" t="s">
        <v>2337</v>
      </c>
      <c r="G4752" s="4" t="s">
        <v>336</v>
      </c>
      <c r="H4752" s="4" t="s">
        <v>380</v>
      </c>
      <c r="I4752" s="4">
        <v>0.05</v>
      </c>
      <c r="J4752" s="21">
        <v>2600</v>
      </c>
      <c r="K4752" s="21">
        <v>130</v>
      </c>
      <c r="L4752" s="5">
        <v>0</v>
      </c>
      <c r="M4752" s="4"/>
      <c r="N4752" s="4"/>
      <c r="O4752" s="5"/>
      <c r="P4752" s="5"/>
      <c r="Q4752" s="21">
        <v>0</v>
      </c>
      <c r="R4752" s="21">
        <v>0</v>
      </c>
      <c r="S4752" s="5">
        <f t="shared" si="299"/>
        <v>50039.578573026425</v>
      </c>
      <c r="T4752" cm="1">
        <f t="array" ref="T4752">IF(OR(B4752="MAL ALIMI", B4752="ÜRETİM GİRİŞ"), MIN(I4752, MAX(0, I4752 + SUM(SUMIFS($I$1:I4751, $C$1:C4751, C4752, $B$1:B4751, {"MAL ALIMI","ÜRETİM GİRİŞ"})) - VLOOKUP(C4752, 'STOK RAPORU'!$C$2:$I$1000, 4, 0))), 0)</f>
        <v>0</v>
      </c>
      <c r="U4752" s="22">
        <f t="shared" si="296"/>
        <v>0</v>
      </c>
      <c r="V4752">
        <f t="shared" si="297"/>
        <v>0</v>
      </c>
      <c r="W4752" s="22">
        <f t="shared" si="298"/>
        <v>0</v>
      </c>
    </row>
    <row r="4753" spans="1:23" hidden="1" x14ac:dyDescent="0.25">
      <c r="A4753" s="3">
        <v>46080</v>
      </c>
      <c r="B4753" s="4" t="s">
        <v>334</v>
      </c>
      <c r="C4753" s="4" t="s">
        <v>132</v>
      </c>
      <c r="D4753" s="4"/>
      <c r="E4753" s="4"/>
      <c r="F4753" s="46" t="s">
        <v>2338</v>
      </c>
      <c r="G4753" s="4" t="s">
        <v>336</v>
      </c>
      <c r="H4753" s="4" t="s">
        <v>289</v>
      </c>
      <c r="I4753" s="4">
        <v>0.15</v>
      </c>
      <c r="J4753" s="21">
        <v>500</v>
      </c>
      <c r="K4753" s="21">
        <v>0</v>
      </c>
      <c r="L4753" s="5">
        <v>0</v>
      </c>
      <c r="M4753" s="4"/>
      <c r="N4753" s="4"/>
      <c r="O4753" s="5"/>
      <c r="P4753" s="5"/>
      <c r="Q4753" s="21">
        <v>75</v>
      </c>
      <c r="R4753" s="21">
        <v>0</v>
      </c>
      <c r="S4753" s="5">
        <f t="shared" si="299"/>
        <v>50114.578573026425</v>
      </c>
      <c r="T4753" cm="1">
        <f t="array" ref="T4753">IF(OR(B4753="MAL ALIMI", B4753="ÜRETİM GİRİŞ"), MIN(I4753, MAX(0, I4753 + SUM(SUMIFS($I$1:I4752, $C$1:C4752, C4753, $B$1:B4752, {"MAL ALIMI","ÜRETİM GİRİŞ"})) - VLOOKUP(C4753, 'STOK RAPORU'!$C$2:$I$1000, 4, 0))), 0)</f>
        <v>0</v>
      </c>
      <c r="U4753" s="22">
        <f t="shared" si="296"/>
        <v>0</v>
      </c>
      <c r="V4753">
        <f t="shared" si="297"/>
        <v>0</v>
      </c>
      <c r="W4753" s="22">
        <f t="shared" si="298"/>
        <v>0</v>
      </c>
    </row>
    <row r="4754" spans="1:23" hidden="1" x14ac:dyDescent="0.25">
      <c r="A4754" s="3">
        <v>46080</v>
      </c>
      <c r="B4754" s="4" t="s">
        <v>334</v>
      </c>
      <c r="C4754" s="4" t="s">
        <v>160</v>
      </c>
      <c r="D4754" s="4"/>
      <c r="E4754" s="4" t="s">
        <v>921</v>
      </c>
      <c r="F4754" s="46" t="s">
        <v>2339</v>
      </c>
      <c r="G4754" s="4" t="s">
        <v>336</v>
      </c>
      <c r="H4754" s="4" t="s">
        <v>380</v>
      </c>
      <c r="I4754" s="4">
        <v>1</v>
      </c>
      <c r="J4754" s="21">
        <v>250</v>
      </c>
      <c r="K4754" s="21">
        <v>250</v>
      </c>
      <c r="L4754" s="5">
        <v>0</v>
      </c>
      <c r="M4754" s="4"/>
      <c r="N4754" s="4"/>
      <c r="O4754" s="5"/>
      <c r="P4754" s="5"/>
      <c r="Q4754" s="21">
        <v>0</v>
      </c>
      <c r="R4754" s="21">
        <v>0</v>
      </c>
      <c r="S4754" s="5">
        <f t="shared" si="299"/>
        <v>50114.578573026425</v>
      </c>
      <c r="T4754" cm="1">
        <f t="array" ref="T4754">IF(OR(B4754="MAL ALIMI", B4754="ÜRETİM GİRİŞ"), MIN(I4754, MAX(0, I4754 + SUM(SUMIFS($I$1:I4753, $C$1:C4753, C4754, $B$1:B4753, {"MAL ALIMI","ÜRETİM GİRİŞ"})) - VLOOKUP(C4754, 'STOK RAPORU'!$C$2:$I$1000, 4, 0))), 0)</f>
        <v>0</v>
      </c>
      <c r="U4754" s="22">
        <f t="shared" si="296"/>
        <v>0</v>
      </c>
      <c r="V4754">
        <f t="shared" si="297"/>
        <v>0</v>
      </c>
      <c r="W4754" s="22">
        <f t="shared" si="298"/>
        <v>0</v>
      </c>
    </row>
    <row r="4755" spans="1:23" hidden="1" x14ac:dyDescent="0.25">
      <c r="A4755" s="3">
        <v>46080</v>
      </c>
      <c r="B4755" s="4" t="s">
        <v>334</v>
      </c>
      <c r="C4755" s="4" t="s">
        <v>1150</v>
      </c>
      <c r="D4755" s="4"/>
      <c r="E4755" s="4" t="s">
        <v>921</v>
      </c>
      <c r="F4755" s="46" t="s">
        <v>2339</v>
      </c>
      <c r="G4755" s="4" t="s">
        <v>336</v>
      </c>
      <c r="H4755" s="4" t="s">
        <v>380</v>
      </c>
      <c r="I4755" s="4">
        <v>0.1</v>
      </c>
      <c r="J4755" s="21">
        <v>500</v>
      </c>
      <c r="K4755" s="21">
        <v>50</v>
      </c>
      <c r="L4755" s="5">
        <v>0</v>
      </c>
      <c r="M4755" s="4"/>
      <c r="N4755" s="4"/>
      <c r="O4755" s="5"/>
      <c r="P4755" s="5"/>
      <c r="Q4755" s="21">
        <v>0</v>
      </c>
      <c r="R4755" s="21">
        <v>0</v>
      </c>
      <c r="S4755" s="5">
        <f t="shared" si="299"/>
        <v>50114.578573026425</v>
      </c>
      <c r="T4755" cm="1">
        <f t="array" ref="T4755">IF(OR(B4755="MAL ALIMI", B4755="ÜRETİM GİRİŞ"), MIN(I4755, MAX(0, I4755 + SUM(SUMIFS($I$1:I4754, $C$1:C4754, C4755, $B$1:B4754, {"MAL ALIMI","ÜRETİM GİRİŞ"})) - VLOOKUP(C4755, 'STOK RAPORU'!$C$2:$I$1000, 4, 0))), 0)</f>
        <v>0</v>
      </c>
      <c r="U4755" s="22">
        <f t="shared" si="296"/>
        <v>0</v>
      </c>
      <c r="V4755">
        <f t="shared" si="297"/>
        <v>0</v>
      </c>
      <c r="W4755" s="22">
        <f t="shared" si="298"/>
        <v>0</v>
      </c>
    </row>
    <row r="4756" spans="1:23" hidden="1" x14ac:dyDescent="0.25">
      <c r="A4756" s="3">
        <v>46080</v>
      </c>
      <c r="B4756" s="4" t="s">
        <v>334</v>
      </c>
      <c r="C4756" s="4" t="s">
        <v>524</v>
      </c>
      <c r="D4756" s="4"/>
      <c r="E4756" s="4"/>
      <c r="F4756" s="46" t="s">
        <v>2340</v>
      </c>
      <c r="G4756" s="4" t="s">
        <v>336</v>
      </c>
      <c r="H4756" s="4" t="s">
        <v>289</v>
      </c>
      <c r="I4756" s="4">
        <v>0.1</v>
      </c>
      <c r="J4756" s="21">
        <v>400</v>
      </c>
      <c r="K4756" s="21">
        <v>0</v>
      </c>
      <c r="L4756" s="5">
        <v>0</v>
      </c>
      <c r="M4756" s="4"/>
      <c r="N4756" s="4"/>
      <c r="O4756" s="5"/>
      <c r="P4756" s="5"/>
      <c r="Q4756" s="21">
        <v>40</v>
      </c>
      <c r="R4756" s="21">
        <v>0</v>
      </c>
      <c r="S4756" s="5">
        <f t="shared" si="299"/>
        <v>50154.578573026425</v>
      </c>
      <c r="T4756" cm="1">
        <f t="array" ref="T4756">IF(OR(B4756="MAL ALIMI", B4756="ÜRETİM GİRİŞ"), MIN(I4756, MAX(0, I4756 + SUM(SUMIFS($I$1:I4755, $C$1:C4755, C4756, $B$1:B4755, {"MAL ALIMI","ÜRETİM GİRİŞ"})) - VLOOKUP(C4756, 'STOK RAPORU'!$C$2:$I$1000, 4, 0))), 0)</f>
        <v>0</v>
      </c>
      <c r="U4756" s="22">
        <f t="shared" si="296"/>
        <v>0</v>
      </c>
      <c r="V4756">
        <f t="shared" si="297"/>
        <v>0</v>
      </c>
      <c r="W4756" s="22">
        <f t="shared" si="298"/>
        <v>0</v>
      </c>
    </row>
    <row r="4757" spans="1:23" hidden="1" x14ac:dyDescent="0.25">
      <c r="A4757" s="3">
        <v>46080</v>
      </c>
      <c r="B4757" s="4" t="s">
        <v>334</v>
      </c>
      <c r="C4757" s="4" t="s">
        <v>202</v>
      </c>
      <c r="D4757" s="4"/>
      <c r="E4757" s="4" t="s">
        <v>921</v>
      </c>
      <c r="F4757" s="46" t="s">
        <v>2341</v>
      </c>
      <c r="G4757" s="4" t="s">
        <v>336</v>
      </c>
      <c r="H4757" s="4" t="s">
        <v>380</v>
      </c>
      <c r="I4757" s="4">
        <v>0.5</v>
      </c>
      <c r="J4757" s="21">
        <v>80</v>
      </c>
      <c r="K4757" s="21">
        <v>40</v>
      </c>
      <c r="L4757" s="5">
        <v>0</v>
      </c>
      <c r="M4757" s="4"/>
      <c r="N4757" s="4"/>
      <c r="O4757" s="5"/>
      <c r="P4757" s="5"/>
      <c r="Q4757" s="21">
        <v>0</v>
      </c>
      <c r="R4757" s="21">
        <v>0</v>
      </c>
      <c r="S4757" s="5">
        <f t="shared" si="299"/>
        <v>50154.578573026425</v>
      </c>
      <c r="T4757" cm="1">
        <f t="array" ref="T4757">IF(OR(B4757="MAL ALIMI", B4757="ÜRETİM GİRİŞ"), MIN(I4757, MAX(0, I4757 + SUM(SUMIFS($I$1:I4756, $C$1:C4756, C4757, $B$1:B4756, {"MAL ALIMI","ÜRETİM GİRİŞ"})) - VLOOKUP(C4757, 'STOK RAPORU'!$C$2:$I$1000, 4, 0))), 0)</f>
        <v>0</v>
      </c>
      <c r="U4757" s="22">
        <f t="shared" si="296"/>
        <v>0</v>
      </c>
      <c r="V4757">
        <f t="shared" si="297"/>
        <v>0</v>
      </c>
      <c r="W4757" s="22">
        <f t="shared" si="298"/>
        <v>0</v>
      </c>
    </row>
    <row r="4758" spans="1:23" hidden="1" x14ac:dyDescent="0.25">
      <c r="A4758" s="3">
        <v>46080</v>
      </c>
      <c r="B4758" s="4" t="s">
        <v>334</v>
      </c>
      <c r="C4758" s="4" t="s">
        <v>2126</v>
      </c>
      <c r="D4758" s="4"/>
      <c r="E4758" s="4" t="s">
        <v>921</v>
      </c>
      <c r="F4758" s="46" t="s">
        <v>2341</v>
      </c>
      <c r="G4758" s="4" t="s">
        <v>336</v>
      </c>
      <c r="H4758" s="4" t="s">
        <v>380</v>
      </c>
      <c r="I4758" s="4">
        <v>0.43243243243243246</v>
      </c>
      <c r="J4758" s="21">
        <v>370</v>
      </c>
      <c r="K4758" s="21">
        <v>160</v>
      </c>
      <c r="L4758" s="5">
        <v>0</v>
      </c>
      <c r="M4758" s="4"/>
      <c r="N4758" s="4"/>
      <c r="O4758" s="5"/>
      <c r="P4758" s="5"/>
      <c r="Q4758" s="21">
        <v>0</v>
      </c>
      <c r="R4758" s="21">
        <v>0</v>
      </c>
      <c r="S4758" s="5">
        <f t="shared" si="299"/>
        <v>50154.578573026425</v>
      </c>
      <c r="T4758" cm="1">
        <f t="array" ref="T4758">IF(OR(B4758="MAL ALIMI", B4758="ÜRETİM GİRİŞ"), MIN(I4758, MAX(0, I4758 + SUM(SUMIFS($I$1:I4757, $C$1:C4757, C4758, $B$1:B4757, {"MAL ALIMI","ÜRETİM GİRİŞ"})) - VLOOKUP(C4758, 'STOK RAPORU'!$C$2:$I$1000, 4, 0))), 0)</f>
        <v>0</v>
      </c>
      <c r="U4758" s="22">
        <f t="shared" si="296"/>
        <v>0</v>
      </c>
      <c r="V4758">
        <f t="shared" si="297"/>
        <v>0</v>
      </c>
      <c r="W4758" s="22">
        <f t="shared" si="298"/>
        <v>0</v>
      </c>
    </row>
    <row r="4759" spans="1:23" hidden="1" x14ac:dyDescent="0.25">
      <c r="A4759" s="3">
        <v>46080</v>
      </c>
      <c r="B4759" s="4" t="s">
        <v>946</v>
      </c>
      <c r="C4759" s="4"/>
      <c r="D4759" s="4"/>
      <c r="E4759" s="4" t="s">
        <v>921</v>
      </c>
      <c r="F4759" s="4"/>
      <c r="G4759" s="4" t="s">
        <v>946</v>
      </c>
      <c r="H4759" s="4" t="s">
        <v>380</v>
      </c>
      <c r="I4759" s="4">
        <v>1</v>
      </c>
      <c r="J4759" s="105">
        <v>410</v>
      </c>
      <c r="K4759" s="21">
        <v>0</v>
      </c>
      <c r="L4759" s="111">
        <v>410</v>
      </c>
      <c r="M4759" s="4"/>
      <c r="N4759" s="4"/>
      <c r="O4759" s="5"/>
      <c r="P4759" s="5"/>
      <c r="Q4759" s="21">
        <v>410</v>
      </c>
      <c r="R4759" s="21">
        <v>0</v>
      </c>
      <c r="S4759" s="5">
        <f t="shared" si="299"/>
        <v>50564.578573026425</v>
      </c>
      <c r="T4759" cm="1">
        <f t="array" ref="T4759">IF(OR(B4759="MAL ALIMI", B4759="ÜRETİM GİRİŞ"), MIN(I4759, MAX(0, I4759 + SUM(SUMIFS($I$1:I4758, $C$1:C4758, C4759, $B$1:B4758, {"MAL ALIMI","ÜRETİM GİRİŞ"})) - VLOOKUP(C4759, 'STOK RAPORU'!$C$2:$I$1000, 4, 0))), 0)</f>
        <v>0</v>
      </c>
      <c r="U4759" s="22">
        <f t="shared" si="296"/>
        <v>0</v>
      </c>
      <c r="V4759">
        <f t="shared" si="297"/>
        <v>0</v>
      </c>
      <c r="W4759" s="22">
        <f t="shared" si="298"/>
        <v>0</v>
      </c>
    </row>
    <row r="4760" spans="1:23" hidden="1" x14ac:dyDescent="0.25">
      <c r="A4760" s="3">
        <v>46080</v>
      </c>
      <c r="B4760" s="4" t="s">
        <v>946</v>
      </c>
      <c r="C4760" s="4"/>
      <c r="D4760" s="4"/>
      <c r="E4760" s="4" t="s">
        <v>921</v>
      </c>
      <c r="F4760" s="4"/>
      <c r="G4760" s="4" t="s">
        <v>946</v>
      </c>
      <c r="H4760" s="4" t="s">
        <v>380</v>
      </c>
      <c r="I4760" s="4">
        <v>1</v>
      </c>
      <c r="J4760" s="105">
        <v>975</v>
      </c>
      <c r="K4760" s="21">
        <v>0</v>
      </c>
      <c r="L4760" s="111">
        <v>975</v>
      </c>
      <c r="M4760" s="4"/>
      <c r="N4760" s="4"/>
      <c r="O4760" s="5"/>
      <c r="P4760" s="5"/>
      <c r="Q4760" s="21">
        <v>975</v>
      </c>
      <c r="R4760" s="21">
        <v>0</v>
      </c>
      <c r="S4760" s="5">
        <f t="shared" si="299"/>
        <v>51539.578573026425</v>
      </c>
      <c r="T4760" cm="1">
        <f t="array" ref="T4760">IF(OR(B4760="MAL ALIMI", B4760="ÜRETİM GİRİŞ"), MIN(I4760, MAX(0, I4760 + SUM(SUMIFS($I$1:I4759, $C$1:C4759, C4760, $B$1:B4759, {"MAL ALIMI","ÜRETİM GİRİŞ"})) - VLOOKUP(C4760, 'STOK RAPORU'!$C$2:$I$1000, 4, 0))), 0)</f>
        <v>0</v>
      </c>
      <c r="U4760" s="22">
        <f t="shared" si="296"/>
        <v>0</v>
      </c>
      <c r="V4760">
        <f t="shared" si="297"/>
        <v>0</v>
      </c>
      <c r="W4760" s="22">
        <f t="shared" si="298"/>
        <v>0</v>
      </c>
    </row>
    <row r="4761" spans="1:23" hidden="1" x14ac:dyDescent="0.25">
      <c r="A4761" s="3">
        <v>46080</v>
      </c>
      <c r="B4761" s="4" t="s">
        <v>285</v>
      </c>
      <c r="C4761" s="4"/>
      <c r="D4761" s="4" t="s">
        <v>1815</v>
      </c>
      <c r="E4761" s="4"/>
      <c r="F4761" s="4"/>
      <c r="G4761" s="4" t="s">
        <v>1986</v>
      </c>
      <c r="H4761" s="4" t="s">
        <v>289</v>
      </c>
      <c r="I4761" s="4">
        <v>1</v>
      </c>
      <c r="J4761" s="21">
        <v>441</v>
      </c>
      <c r="K4761" s="21">
        <v>0</v>
      </c>
      <c r="L4761" s="5">
        <v>0</v>
      </c>
      <c r="M4761" s="4"/>
      <c r="N4761" s="4"/>
      <c r="O4761" s="5"/>
      <c r="P4761" s="5"/>
      <c r="Q4761" s="21">
        <v>0</v>
      </c>
      <c r="R4761" s="21">
        <v>441</v>
      </c>
      <c r="S4761" s="5">
        <f t="shared" si="299"/>
        <v>51098.578573026425</v>
      </c>
      <c r="T4761" cm="1">
        <f t="array" ref="T4761">IF(OR(B4761="MAL ALIMI", B4761="ÜRETİM GİRİŞ"), MIN(I4761, MAX(0, I4761 + SUM(SUMIFS($I$1:I4760, $C$1:C4760, C4761, $B$1:B4760, {"MAL ALIMI","ÜRETİM GİRİŞ"})) - VLOOKUP(C4761, 'STOK RAPORU'!$C$2:$I$1000, 4, 0))), 0)</f>
        <v>0</v>
      </c>
      <c r="U4761" s="22">
        <f t="shared" si="296"/>
        <v>0</v>
      </c>
      <c r="V4761">
        <f t="shared" si="297"/>
        <v>0</v>
      </c>
      <c r="W4761" s="22">
        <f t="shared" si="298"/>
        <v>0</v>
      </c>
    </row>
    <row r="4762" spans="1:23" hidden="1" x14ac:dyDescent="0.25">
      <c r="A4762" s="3">
        <v>46081</v>
      </c>
      <c r="B4762" s="4" t="s">
        <v>2344</v>
      </c>
      <c r="C4762" s="4"/>
      <c r="D4762" s="4"/>
      <c r="E4762" s="4" t="s">
        <v>2343</v>
      </c>
      <c r="F4762" s="46" t="s">
        <v>2342</v>
      </c>
      <c r="G4762" s="4" t="s">
        <v>2345</v>
      </c>
      <c r="H4762" s="4" t="s">
        <v>289</v>
      </c>
      <c r="I4762" s="4">
        <v>1</v>
      </c>
      <c r="J4762" s="21">
        <v>4450</v>
      </c>
      <c r="K4762" s="21">
        <v>0</v>
      </c>
      <c r="L4762" s="5">
        <v>4450</v>
      </c>
      <c r="M4762" s="4"/>
      <c r="N4762" s="4"/>
      <c r="O4762" s="5"/>
      <c r="P4762" s="5"/>
      <c r="Q4762" s="21">
        <v>4450</v>
      </c>
      <c r="R4762" s="21">
        <v>0</v>
      </c>
      <c r="S4762" s="5">
        <f t="shared" si="299"/>
        <v>55548.578573026425</v>
      </c>
      <c r="T4762" cm="1">
        <f t="array" ref="T4762">IF(OR(B4762="MAL ALIMI", B4762="ÜRETİM GİRİŞ"), MIN(I4762, MAX(0, I4762 + SUM(SUMIFS($I$1:I4761, $C$1:C4761, C4762, $B$1:B4761, {"MAL ALIMI","ÜRETİM GİRİŞ"})) - VLOOKUP(C4762, 'STOK RAPORU'!$C$2:$I$1000, 4, 0))), 0)</f>
        <v>0</v>
      </c>
      <c r="U4762" s="22">
        <f t="shared" si="296"/>
        <v>0</v>
      </c>
      <c r="V4762">
        <f t="shared" si="297"/>
        <v>0</v>
      </c>
      <c r="W4762" s="22">
        <f t="shared" si="298"/>
        <v>0</v>
      </c>
    </row>
    <row r="4763" spans="1:23" hidden="1" x14ac:dyDescent="0.25">
      <c r="A4763" s="3">
        <v>46081</v>
      </c>
      <c r="B4763" s="4" t="s">
        <v>334</v>
      </c>
      <c r="C4763" s="4" t="s">
        <v>92</v>
      </c>
      <c r="D4763" s="4"/>
      <c r="E4763" s="4" t="s">
        <v>2343</v>
      </c>
      <c r="F4763" s="46" t="s">
        <v>2342</v>
      </c>
      <c r="G4763" s="4" t="s">
        <v>439</v>
      </c>
      <c r="H4763" s="4" t="s">
        <v>304</v>
      </c>
      <c r="I4763" s="4">
        <v>1</v>
      </c>
      <c r="J4763" s="21">
        <v>300</v>
      </c>
      <c r="K4763" s="21">
        <v>300</v>
      </c>
      <c r="L4763" s="5">
        <v>0</v>
      </c>
      <c r="M4763" s="4"/>
      <c r="N4763" s="4"/>
      <c r="O4763" s="5"/>
      <c r="P4763" s="5"/>
      <c r="Q4763" s="21">
        <v>0</v>
      </c>
      <c r="R4763" s="21">
        <v>0</v>
      </c>
      <c r="S4763" s="5">
        <f t="shared" si="299"/>
        <v>55548.578573026425</v>
      </c>
      <c r="T4763" cm="1">
        <f t="array" ref="T4763">IF(OR(B4763="MAL ALIMI", B4763="ÜRETİM GİRİŞ"), MIN(I4763, MAX(0, I4763 + SUM(SUMIFS($I$1:I4762, $C$1:C4762, C4763, $B$1:B4762, {"MAL ALIMI","ÜRETİM GİRİŞ"})) - VLOOKUP(C4763, 'STOK RAPORU'!$C$2:$I$1000, 4, 0))), 0)</f>
        <v>0</v>
      </c>
      <c r="U4763" s="22">
        <f t="shared" si="296"/>
        <v>0</v>
      </c>
      <c r="V4763">
        <f t="shared" si="297"/>
        <v>0</v>
      </c>
      <c r="W4763" s="22">
        <f t="shared" si="298"/>
        <v>0</v>
      </c>
    </row>
    <row r="4764" spans="1:23" hidden="1" x14ac:dyDescent="0.25">
      <c r="A4764" s="3">
        <v>46081</v>
      </c>
      <c r="B4764" s="4" t="s">
        <v>334</v>
      </c>
      <c r="C4764" s="4" t="s">
        <v>131</v>
      </c>
      <c r="D4764" s="4"/>
      <c r="E4764" s="4" t="s">
        <v>2343</v>
      </c>
      <c r="F4764" s="46" t="s">
        <v>2342</v>
      </c>
      <c r="G4764" s="4" t="s">
        <v>439</v>
      </c>
      <c r="H4764" s="4" t="s">
        <v>304</v>
      </c>
      <c r="I4764" s="4">
        <v>1</v>
      </c>
      <c r="J4764" s="21">
        <v>200</v>
      </c>
      <c r="K4764" s="21">
        <v>200</v>
      </c>
      <c r="L4764" s="5">
        <v>0</v>
      </c>
      <c r="M4764" s="4"/>
      <c r="N4764" s="4"/>
      <c r="O4764" s="5"/>
      <c r="P4764" s="5"/>
      <c r="Q4764" s="21">
        <v>0</v>
      </c>
      <c r="R4764" s="21">
        <v>0</v>
      </c>
      <c r="S4764" s="5">
        <f t="shared" si="299"/>
        <v>55548.578573026425</v>
      </c>
      <c r="T4764" cm="1">
        <f t="array" ref="T4764">IF(OR(B4764="MAL ALIMI", B4764="ÜRETİM GİRİŞ"), MIN(I4764, MAX(0, I4764 + SUM(SUMIFS($I$1:I4763, $C$1:C4763, C4764, $B$1:B4763, {"MAL ALIMI","ÜRETİM GİRİŞ"})) - VLOOKUP(C4764, 'STOK RAPORU'!$C$2:$I$1000, 4, 0))), 0)</f>
        <v>0</v>
      </c>
      <c r="U4764" s="22">
        <f t="shared" si="296"/>
        <v>0</v>
      </c>
      <c r="V4764">
        <f t="shared" si="297"/>
        <v>0</v>
      </c>
      <c r="W4764" s="22">
        <f t="shared" si="298"/>
        <v>0</v>
      </c>
    </row>
    <row r="4765" spans="1:23" hidden="1" x14ac:dyDescent="0.25">
      <c r="A4765" s="3">
        <v>46081</v>
      </c>
      <c r="B4765" s="4" t="s">
        <v>334</v>
      </c>
      <c r="C4765" s="4" t="s">
        <v>126</v>
      </c>
      <c r="D4765" s="4"/>
      <c r="E4765" s="4" t="s">
        <v>2343</v>
      </c>
      <c r="F4765" s="46" t="s">
        <v>2342</v>
      </c>
      <c r="G4765" s="4" t="s">
        <v>439</v>
      </c>
      <c r="H4765" s="4" t="s">
        <v>304</v>
      </c>
      <c r="I4765" s="4">
        <v>0.5</v>
      </c>
      <c r="J4765" s="21">
        <v>500</v>
      </c>
      <c r="K4765" s="21">
        <v>250</v>
      </c>
      <c r="L4765" s="5">
        <v>0</v>
      </c>
      <c r="M4765" s="4"/>
      <c r="N4765" s="4"/>
      <c r="O4765" s="5"/>
      <c r="P4765" s="5"/>
      <c r="Q4765" s="21">
        <v>0</v>
      </c>
      <c r="R4765" s="21">
        <v>0</v>
      </c>
      <c r="S4765" s="5">
        <f t="shared" si="299"/>
        <v>55548.578573026425</v>
      </c>
      <c r="T4765" cm="1">
        <f t="array" ref="T4765">IF(OR(B4765="MAL ALIMI", B4765="ÜRETİM GİRİŞ"), MIN(I4765, MAX(0, I4765 + SUM(SUMIFS($I$1:I4764, $C$1:C4764, C4765, $B$1:B4764, {"MAL ALIMI","ÜRETİM GİRİŞ"})) - VLOOKUP(C4765, 'STOK RAPORU'!$C$2:$I$1000, 4, 0))), 0)</f>
        <v>0</v>
      </c>
      <c r="U4765" s="22">
        <f t="shared" si="296"/>
        <v>0</v>
      </c>
      <c r="V4765">
        <f t="shared" si="297"/>
        <v>0</v>
      </c>
      <c r="W4765" s="22">
        <f t="shared" si="298"/>
        <v>0</v>
      </c>
    </row>
    <row r="4766" spans="1:23" hidden="1" x14ac:dyDescent="0.25">
      <c r="A4766" s="3">
        <v>46081</v>
      </c>
      <c r="B4766" s="4" t="s">
        <v>334</v>
      </c>
      <c r="C4766" s="4" t="s">
        <v>133</v>
      </c>
      <c r="D4766" s="4"/>
      <c r="E4766" s="4" t="s">
        <v>2343</v>
      </c>
      <c r="F4766" s="46" t="s">
        <v>2342</v>
      </c>
      <c r="G4766" s="4" t="s">
        <v>439</v>
      </c>
      <c r="H4766" s="4" t="s">
        <v>304</v>
      </c>
      <c r="I4766" s="4">
        <v>0.5</v>
      </c>
      <c r="J4766" s="21">
        <v>250</v>
      </c>
      <c r="K4766" s="21">
        <v>125</v>
      </c>
      <c r="L4766" s="5">
        <v>0</v>
      </c>
      <c r="M4766" s="4"/>
      <c r="N4766" s="4"/>
      <c r="O4766" s="5"/>
      <c r="P4766" s="5"/>
      <c r="Q4766" s="21">
        <v>0</v>
      </c>
      <c r="R4766" s="21">
        <v>0</v>
      </c>
      <c r="S4766" s="5">
        <f t="shared" si="299"/>
        <v>55548.578573026425</v>
      </c>
      <c r="T4766" cm="1">
        <f t="array" ref="T4766">IF(OR(B4766="MAL ALIMI", B4766="ÜRETİM GİRİŞ"), MIN(I4766, MAX(0, I4766 + SUM(SUMIFS($I$1:I4765, $C$1:C4765, C4766, $B$1:B4765, {"MAL ALIMI","ÜRETİM GİRİŞ"})) - VLOOKUP(C4766, 'STOK RAPORU'!$C$2:$I$1000, 4, 0))), 0)</f>
        <v>0</v>
      </c>
      <c r="U4766" s="22">
        <f t="shared" si="296"/>
        <v>0</v>
      </c>
      <c r="V4766">
        <f t="shared" si="297"/>
        <v>0</v>
      </c>
      <c r="W4766" s="22">
        <f t="shared" si="298"/>
        <v>0</v>
      </c>
    </row>
    <row r="4767" spans="1:23" hidden="1" x14ac:dyDescent="0.25">
      <c r="A4767" s="3">
        <v>46081</v>
      </c>
      <c r="B4767" s="4" t="s">
        <v>334</v>
      </c>
      <c r="C4767" s="4" t="s">
        <v>2282</v>
      </c>
      <c r="D4767" s="4"/>
      <c r="E4767" s="4" t="s">
        <v>2343</v>
      </c>
      <c r="F4767" s="46" t="s">
        <v>2342</v>
      </c>
      <c r="G4767" s="4" t="s">
        <v>439</v>
      </c>
      <c r="H4767" s="4" t="s">
        <v>304</v>
      </c>
      <c r="I4767" s="4">
        <v>0.2</v>
      </c>
      <c r="J4767" s="21">
        <v>2500</v>
      </c>
      <c r="K4767" s="21">
        <v>500</v>
      </c>
      <c r="L4767" s="5">
        <v>0</v>
      </c>
      <c r="M4767" s="4"/>
      <c r="N4767" s="4"/>
      <c r="O4767" s="5"/>
      <c r="P4767" s="5"/>
      <c r="Q4767" s="21">
        <v>0</v>
      </c>
      <c r="R4767" s="21">
        <v>0</v>
      </c>
      <c r="S4767" s="5">
        <f t="shared" si="299"/>
        <v>55548.578573026425</v>
      </c>
      <c r="T4767" cm="1">
        <f t="array" ref="T4767">IF(OR(B4767="MAL ALIMI", B4767="ÜRETİM GİRİŞ"), MIN(I4767, MAX(0, I4767 + SUM(SUMIFS($I$1:I4766, $C$1:C4766, C4767, $B$1:B4766, {"MAL ALIMI","ÜRETİM GİRİŞ"})) - VLOOKUP(C4767, 'STOK RAPORU'!$C$2:$I$1000, 4, 0))), 0)</f>
        <v>0</v>
      </c>
      <c r="U4767" s="22">
        <f t="shared" si="296"/>
        <v>0</v>
      </c>
      <c r="V4767">
        <f t="shared" si="297"/>
        <v>0</v>
      </c>
      <c r="W4767" s="22">
        <f t="shared" si="298"/>
        <v>0</v>
      </c>
    </row>
    <row r="4768" spans="1:23" hidden="1" x14ac:dyDescent="0.25">
      <c r="A4768" s="3">
        <v>46081</v>
      </c>
      <c r="B4768" s="4" t="s">
        <v>334</v>
      </c>
      <c r="C4768" s="4" t="s">
        <v>154</v>
      </c>
      <c r="D4768" s="4"/>
      <c r="E4768" s="4" t="s">
        <v>2343</v>
      </c>
      <c r="F4768" s="46" t="s">
        <v>2342</v>
      </c>
      <c r="G4768" s="4" t="s">
        <v>439</v>
      </c>
      <c r="H4768" s="4" t="s">
        <v>304</v>
      </c>
      <c r="I4768" s="4">
        <v>1</v>
      </c>
      <c r="J4768" s="21">
        <v>230</v>
      </c>
      <c r="K4768" s="21">
        <v>230</v>
      </c>
      <c r="L4768" s="5">
        <v>0</v>
      </c>
      <c r="M4768" s="4"/>
      <c r="N4768" s="4"/>
      <c r="O4768" s="5"/>
      <c r="P4768" s="5"/>
      <c r="Q4768" s="21">
        <v>0</v>
      </c>
      <c r="R4768" s="21">
        <v>0</v>
      </c>
      <c r="S4768" s="5">
        <f t="shared" si="299"/>
        <v>55548.578573026425</v>
      </c>
      <c r="T4768" cm="1">
        <f t="array" ref="T4768">IF(OR(B4768="MAL ALIMI", B4768="ÜRETİM GİRİŞ"), MIN(I4768, MAX(0, I4768 + SUM(SUMIFS($I$1:I4767, $C$1:C4767, C4768, $B$1:B4767, {"MAL ALIMI","ÜRETİM GİRİŞ"})) - VLOOKUP(C4768, 'STOK RAPORU'!$C$2:$I$1000, 4, 0))), 0)</f>
        <v>0</v>
      </c>
      <c r="U4768" s="22">
        <f t="shared" si="296"/>
        <v>0</v>
      </c>
      <c r="V4768">
        <f t="shared" si="297"/>
        <v>0</v>
      </c>
      <c r="W4768" s="22">
        <f t="shared" si="298"/>
        <v>0</v>
      </c>
    </row>
    <row r="4769" spans="1:23" hidden="1" x14ac:dyDescent="0.25">
      <c r="A4769" s="3">
        <v>46081</v>
      </c>
      <c r="B4769" s="4" t="s">
        <v>334</v>
      </c>
      <c r="C4769" s="4" t="s">
        <v>160</v>
      </c>
      <c r="D4769" s="4"/>
      <c r="E4769" s="4" t="s">
        <v>2343</v>
      </c>
      <c r="F4769" s="46" t="s">
        <v>2342</v>
      </c>
      <c r="G4769" s="4" t="s">
        <v>439</v>
      </c>
      <c r="H4769" s="4" t="s">
        <v>304</v>
      </c>
      <c r="I4769" s="4">
        <v>5</v>
      </c>
      <c r="J4769" s="21">
        <v>200</v>
      </c>
      <c r="K4769" s="21">
        <v>1000</v>
      </c>
      <c r="L4769" s="5">
        <v>0</v>
      </c>
      <c r="M4769" s="4"/>
      <c r="N4769" s="4"/>
      <c r="O4769" s="5"/>
      <c r="P4769" s="5"/>
      <c r="Q4769" s="21">
        <v>0</v>
      </c>
      <c r="R4769" s="21">
        <v>0</v>
      </c>
      <c r="S4769" s="5">
        <f t="shared" si="299"/>
        <v>55548.578573026425</v>
      </c>
      <c r="T4769" cm="1">
        <f t="array" ref="T4769">IF(OR(B4769="MAL ALIMI", B4769="ÜRETİM GİRİŞ"), MIN(I4769, MAX(0, I4769 + SUM(SUMIFS($I$1:I4768, $C$1:C4768, C4769, $B$1:B4768, {"MAL ALIMI","ÜRETİM GİRİŞ"})) - VLOOKUP(C4769, 'STOK RAPORU'!$C$2:$I$1000, 4, 0))), 0)</f>
        <v>0</v>
      </c>
      <c r="U4769" s="22">
        <f t="shared" si="296"/>
        <v>0</v>
      </c>
      <c r="V4769">
        <f t="shared" si="297"/>
        <v>0</v>
      </c>
      <c r="W4769" s="22">
        <f t="shared" si="298"/>
        <v>0</v>
      </c>
    </row>
    <row r="4770" spans="1:23" hidden="1" x14ac:dyDescent="0.25">
      <c r="A4770" s="3">
        <v>46081</v>
      </c>
      <c r="B4770" s="4" t="s">
        <v>334</v>
      </c>
      <c r="C4770" s="4" t="s">
        <v>161</v>
      </c>
      <c r="D4770" s="4"/>
      <c r="E4770" s="4" t="s">
        <v>2343</v>
      </c>
      <c r="F4770" s="46" t="s">
        <v>2342</v>
      </c>
      <c r="G4770" s="4" t="s">
        <v>439</v>
      </c>
      <c r="H4770" s="4" t="s">
        <v>304</v>
      </c>
      <c r="I4770" s="4">
        <v>3</v>
      </c>
      <c r="J4770" s="21">
        <v>185</v>
      </c>
      <c r="K4770" s="21">
        <v>555</v>
      </c>
      <c r="L4770" s="5">
        <v>0</v>
      </c>
      <c r="M4770" s="4"/>
      <c r="N4770" s="4"/>
      <c r="O4770" s="5"/>
      <c r="P4770" s="5"/>
      <c r="Q4770" s="21">
        <v>0</v>
      </c>
      <c r="R4770" s="21">
        <v>0</v>
      </c>
      <c r="S4770" s="5">
        <f t="shared" si="299"/>
        <v>55548.578573026425</v>
      </c>
      <c r="T4770" cm="1">
        <f t="array" ref="T4770">IF(OR(B4770="MAL ALIMI", B4770="ÜRETİM GİRİŞ"), MIN(I4770, MAX(0, I4770 + SUM(SUMIFS($I$1:I4769, $C$1:C4769, C4770, $B$1:B4769, {"MAL ALIMI","ÜRETİM GİRİŞ"})) - VLOOKUP(C4770, 'STOK RAPORU'!$C$2:$I$1000, 4, 0))), 0)</f>
        <v>0</v>
      </c>
      <c r="U4770" s="22">
        <f t="shared" si="296"/>
        <v>0</v>
      </c>
      <c r="V4770">
        <f t="shared" si="297"/>
        <v>0</v>
      </c>
      <c r="W4770" s="22">
        <f t="shared" si="298"/>
        <v>0</v>
      </c>
    </row>
    <row r="4771" spans="1:23" hidden="1" x14ac:dyDescent="0.25">
      <c r="A4771" s="3">
        <v>46081</v>
      </c>
      <c r="B4771" s="4" t="s">
        <v>334</v>
      </c>
      <c r="C4771" s="4" t="s">
        <v>131</v>
      </c>
      <c r="D4771" s="4"/>
      <c r="E4771" s="4" t="s">
        <v>2343</v>
      </c>
      <c r="F4771" s="46" t="s">
        <v>2342</v>
      </c>
      <c r="G4771" s="4" t="s">
        <v>439</v>
      </c>
      <c r="H4771" s="4" t="s">
        <v>304</v>
      </c>
      <c r="I4771" s="4">
        <v>0.625</v>
      </c>
      <c r="J4771" s="21">
        <v>280</v>
      </c>
      <c r="K4771" s="21">
        <v>175</v>
      </c>
      <c r="L4771" s="5">
        <v>0</v>
      </c>
      <c r="M4771" s="4"/>
      <c r="N4771" s="4"/>
      <c r="O4771" s="5"/>
      <c r="P4771" s="5"/>
      <c r="Q4771" s="21">
        <v>0</v>
      </c>
      <c r="R4771" s="21">
        <v>0</v>
      </c>
      <c r="S4771" s="5">
        <f t="shared" si="299"/>
        <v>55548.578573026425</v>
      </c>
      <c r="T4771" cm="1">
        <f t="array" ref="T4771">IF(OR(B4771="MAL ALIMI", B4771="ÜRETİM GİRİŞ"), MIN(I4771, MAX(0, I4771 + SUM(SUMIFS($I$1:I4770, $C$1:C4770, C4771, $B$1:B4770, {"MAL ALIMI","ÜRETİM GİRİŞ"})) - VLOOKUP(C4771, 'STOK RAPORU'!$C$2:$I$1000, 4, 0))), 0)</f>
        <v>0</v>
      </c>
      <c r="U4771" s="22">
        <f t="shared" si="296"/>
        <v>0</v>
      </c>
      <c r="V4771">
        <f t="shared" si="297"/>
        <v>0</v>
      </c>
      <c r="W4771" s="22">
        <f t="shared" si="298"/>
        <v>0</v>
      </c>
    </row>
    <row r="4772" spans="1:23" hidden="1" x14ac:dyDescent="0.25">
      <c r="A4772" s="3">
        <v>46081</v>
      </c>
      <c r="B4772" s="4" t="s">
        <v>334</v>
      </c>
      <c r="C4772" s="4" t="s">
        <v>126</v>
      </c>
      <c r="D4772" s="4"/>
      <c r="E4772" s="4" t="s">
        <v>2343</v>
      </c>
      <c r="F4772" s="46" t="s">
        <v>2342</v>
      </c>
      <c r="G4772" s="4" t="s">
        <v>439</v>
      </c>
      <c r="H4772" s="4" t="s">
        <v>304</v>
      </c>
      <c r="I4772" s="4">
        <v>0.22500000000000001</v>
      </c>
      <c r="J4772" s="21">
        <v>500</v>
      </c>
      <c r="K4772" s="21">
        <v>112.5</v>
      </c>
      <c r="L4772" s="5">
        <v>0</v>
      </c>
      <c r="M4772" s="4"/>
      <c r="N4772" s="4"/>
      <c r="O4772" s="5"/>
      <c r="P4772" s="5"/>
      <c r="Q4772" s="21">
        <v>0</v>
      </c>
      <c r="R4772" s="21">
        <v>0</v>
      </c>
      <c r="S4772" s="5">
        <f t="shared" si="299"/>
        <v>55548.578573026425</v>
      </c>
      <c r="T4772" cm="1">
        <f t="array" ref="T4772">IF(OR(B4772="MAL ALIMI", B4772="ÜRETİM GİRİŞ"), MIN(I4772, MAX(0, I4772 + SUM(SUMIFS($I$1:I4771, $C$1:C4771, C4772, $B$1:B4771, {"MAL ALIMI","ÜRETİM GİRİŞ"})) - VLOOKUP(C4772, 'STOK RAPORU'!$C$2:$I$1000, 4, 0))), 0)</f>
        <v>0</v>
      </c>
      <c r="U4772" s="22">
        <f t="shared" si="296"/>
        <v>0</v>
      </c>
      <c r="V4772">
        <f t="shared" si="297"/>
        <v>0</v>
      </c>
      <c r="W4772" s="22">
        <f t="shared" si="298"/>
        <v>0</v>
      </c>
    </row>
    <row r="4773" spans="1:23" hidden="1" x14ac:dyDescent="0.25">
      <c r="A4773" s="3">
        <v>46081</v>
      </c>
      <c r="B4773" s="4" t="s">
        <v>334</v>
      </c>
      <c r="C4773" s="4" t="s">
        <v>229</v>
      </c>
      <c r="D4773" s="4"/>
      <c r="E4773" s="4" t="s">
        <v>2343</v>
      </c>
      <c r="F4773" s="46" t="s">
        <v>2342</v>
      </c>
      <c r="G4773" s="4" t="s">
        <v>439</v>
      </c>
      <c r="H4773" s="4" t="s">
        <v>304</v>
      </c>
      <c r="I4773" s="4">
        <v>1</v>
      </c>
      <c r="J4773" s="21">
        <v>165</v>
      </c>
      <c r="K4773" s="21">
        <v>165</v>
      </c>
      <c r="L4773" s="5">
        <v>0</v>
      </c>
      <c r="M4773" s="4"/>
      <c r="N4773" s="4"/>
      <c r="O4773" s="5"/>
      <c r="P4773" s="5"/>
      <c r="Q4773" s="21">
        <v>0</v>
      </c>
      <c r="R4773" s="21">
        <v>0</v>
      </c>
      <c r="S4773" s="5">
        <f t="shared" si="299"/>
        <v>55548.578573026425</v>
      </c>
      <c r="T4773" cm="1">
        <f t="array" ref="T4773">IF(OR(B4773="MAL ALIMI", B4773="ÜRETİM GİRİŞ"), MIN(I4773, MAX(0, I4773 + SUM(SUMIFS($I$1:I4772, $C$1:C4772, C4773, $B$1:B4772, {"MAL ALIMI","ÜRETİM GİRİŞ"})) - VLOOKUP(C4773, 'STOK RAPORU'!$C$2:$I$1000, 4, 0))), 0)</f>
        <v>0</v>
      </c>
      <c r="U4773" s="22">
        <f t="shared" si="296"/>
        <v>0</v>
      </c>
      <c r="V4773">
        <f t="shared" si="297"/>
        <v>0</v>
      </c>
      <c r="W4773" s="22">
        <f t="shared" si="298"/>
        <v>0</v>
      </c>
    </row>
    <row r="4774" spans="1:23" hidden="1" x14ac:dyDescent="0.25">
      <c r="A4774" s="3">
        <v>46081</v>
      </c>
      <c r="B4774" s="4" t="s">
        <v>334</v>
      </c>
      <c r="C4774" s="4" t="s">
        <v>160</v>
      </c>
      <c r="D4774" s="4"/>
      <c r="E4774" s="4" t="s">
        <v>921</v>
      </c>
      <c r="F4774" s="46" t="s">
        <v>2353</v>
      </c>
      <c r="G4774" s="4" t="s">
        <v>336</v>
      </c>
      <c r="H4774" s="4" t="s">
        <v>380</v>
      </c>
      <c r="I4774" s="4">
        <v>1</v>
      </c>
      <c r="J4774" s="21">
        <v>250</v>
      </c>
      <c r="K4774" s="21">
        <v>250</v>
      </c>
      <c r="L4774" s="5">
        <v>0</v>
      </c>
      <c r="M4774" s="4"/>
      <c r="N4774" s="4"/>
      <c r="O4774" s="5"/>
      <c r="P4774" s="5"/>
      <c r="Q4774" s="21">
        <v>0</v>
      </c>
      <c r="R4774" s="21">
        <v>0</v>
      </c>
      <c r="S4774" s="5">
        <f t="shared" si="299"/>
        <v>55548.578573026425</v>
      </c>
      <c r="T4774" cm="1">
        <f t="array" ref="T4774">IF(OR(B4774="MAL ALIMI", B4774="ÜRETİM GİRİŞ"), MIN(I4774, MAX(0, I4774 + SUM(SUMIFS($I$1:I4773, $C$1:C4773, C4774, $B$1:B4773, {"MAL ALIMI","ÜRETİM GİRİŞ"})) - VLOOKUP(C4774, 'STOK RAPORU'!$C$2:$I$1000, 4, 0))), 0)</f>
        <v>0</v>
      </c>
      <c r="U4774" s="22">
        <f t="shared" si="296"/>
        <v>0</v>
      </c>
      <c r="V4774">
        <f t="shared" si="297"/>
        <v>0</v>
      </c>
      <c r="W4774" s="22">
        <f t="shared" si="298"/>
        <v>0</v>
      </c>
    </row>
    <row r="4775" spans="1:23" hidden="1" x14ac:dyDescent="0.25">
      <c r="A4775" s="3">
        <v>46081</v>
      </c>
      <c r="B4775" s="4" t="s">
        <v>334</v>
      </c>
      <c r="C4775" s="4" t="s">
        <v>160</v>
      </c>
      <c r="D4775" s="4"/>
      <c r="E4775" s="4" t="s">
        <v>921</v>
      </c>
      <c r="F4775" s="46" t="s">
        <v>2354</v>
      </c>
      <c r="G4775" s="4" t="s">
        <v>336</v>
      </c>
      <c r="H4775" s="4" t="s">
        <v>380</v>
      </c>
      <c r="I4775" s="4">
        <v>1</v>
      </c>
      <c r="J4775" s="21">
        <v>250</v>
      </c>
      <c r="K4775" s="21">
        <v>200</v>
      </c>
      <c r="L4775" s="5">
        <v>0</v>
      </c>
      <c r="M4775" s="4"/>
      <c r="N4775" s="4"/>
      <c r="O4775" s="5"/>
      <c r="P4775" s="5"/>
      <c r="Q4775" s="21">
        <v>0</v>
      </c>
      <c r="R4775" s="21">
        <v>0</v>
      </c>
      <c r="S4775" s="5">
        <f t="shared" si="299"/>
        <v>55548.578573026425</v>
      </c>
      <c r="T4775" cm="1">
        <f t="array" ref="T4775">IF(OR(B4775="MAL ALIMI", B4775="ÜRETİM GİRİŞ"), MIN(I4775, MAX(0, I4775 + SUM(SUMIFS($I$1:I4774, $C$1:C4774, C4775, $B$1:B4774, {"MAL ALIMI","ÜRETİM GİRİŞ"})) - VLOOKUP(C4775, 'STOK RAPORU'!$C$2:$I$1000, 4, 0))), 0)</f>
        <v>0</v>
      </c>
      <c r="U4775" s="22">
        <f t="shared" si="296"/>
        <v>0</v>
      </c>
      <c r="V4775">
        <f t="shared" si="297"/>
        <v>0</v>
      </c>
      <c r="W4775" s="22">
        <f t="shared" si="298"/>
        <v>0</v>
      </c>
    </row>
    <row r="4776" spans="1:23" hidden="1" x14ac:dyDescent="0.25">
      <c r="A4776" s="3">
        <v>46081</v>
      </c>
      <c r="B4776" s="4" t="s">
        <v>334</v>
      </c>
      <c r="C4776" s="4" t="s">
        <v>161</v>
      </c>
      <c r="D4776" s="4"/>
      <c r="E4776" s="4" t="s">
        <v>921</v>
      </c>
      <c r="F4776" s="46" t="s">
        <v>2354</v>
      </c>
      <c r="G4776" s="4" t="s">
        <v>336</v>
      </c>
      <c r="H4776" s="4" t="s">
        <v>380</v>
      </c>
      <c r="I4776" s="4">
        <v>1</v>
      </c>
      <c r="J4776" s="21">
        <v>230</v>
      </c>
      <c r="K4776" s="21">
        <v>200</v>
      </c>
      <c r="L4776" s="5">
        <v>0</v>
      </c>
      <c r="M4776" s="4"/>
      <c r="N4776" s="4"/>
      <c r="O4776" s="5"/>
      <c r="P4776" s="5"/>
      <c r="Q4776" s="21">
        <v>0</v>
      </c>
      <c r="R4776" s="21">
        <v>0</v>
      </c>
      <c r="S4776" s="5">
        <f t="shared" si="299"/>
        <v>55548.578573026425</v>
      </c>
      <c r="T4776" cm="1">
        <f t="array" ref="T4776">IF(OR(B4776="MAL ALIMI", B4776="ÜRETİM GİRİŞ"), MIN(I4776, MAX(0, I4776 + SUM(SUMIFS($I$1:I4775, $C$1:C4775, C4776, $B$1:B4775, {"MAL ALIMI","ÜRETİM GİRİŞ"})) - VLOOKUP(C4776, 'STOK RAPORU'!$C$2:$I$1000, 4, 0))), 0)</f>
        <v>0</v>
      </c>
      <c r="U4776" s="22">
        <f t="shared" si="296"/>
        <v>0</v>
      </c>
      <c r="V4776">
        <f t="shared" si="297"/>
        <v>0</v>
      </c>
      <c r="W4776" s="22">
        <f t="shared" si="298"/>
        <v>0</v>
      </c>
    </row>
    <row r="4777" spans="1:23" hidden="1" x14ac:dyDescent="0.25">
      <c r="A4777" s="3">
        <v>46081</v>
      </c>
      <c r="B4777" s="4" t="s">
        <v>334</v>
      </c>
      <c r="C4777" s="4" t="s">
        <v>161</v>
      </c>
      <c r="D4777" s="4"/>
      <c r="E4777" s="4"/>
      <c r="F4777" s="46" t="s">
        <v>2354</v>
      </c>
      <c r="G4777" s="4" t="s">
        <v>336</v>
      </c>
      <c r="H4777" s="4" t="s">
        <v>289</v>
      </c>
      <c r="I4777" s="4">
        <v>0.2</v>
      </c>
      <c r="J4777" s="21">
        <v>200</v>
      </c>
      <c r="K4777" s="21">
        <v>0</v>
      </c>
      <c r="L4777" s="5">
        <v>0</v>
      </c>
      <c r="M4777" s="4"/>
      <c r="N4777" s="4"/>
      <c r="O4777" s="5"/>
      <c r="P4777" s="5"/>
      <c r="Q4777" s="21">
        <v>40</v>
      </c>
      <c r="R4777" s="21">
        <v>0</v>
      </c>
      <c r="S4777" s="5">
        <f t="shared" si="299"/>
        <v>55588.578573026425</v>
      </c>
      <c r="T4777" cm="1">
        <f t="array" ref="T4777">IF(OR(B4777="MAL ALIMI", B4777="ÜRETİM GİRİŞ"), MIN(I4777, MAX(0, I4777 + SUM(SUMIFS($I$1:I4776, $C$1:C4776, C4777, $B$1:B4776, {"MAL ALIMI","ÜRETİM GİRİŞ"})) - VLOOKUP(C4777, 'STOK RAPORU'!$C$2:$I$1000, 4, 0))), 0)</f>
        <v>0</v>
      </c>
      <c r="U4777" s="22">
        <f t="shared" si="296"/>
        <v>0</v>
      </c>
      <c r="V4777">
        <f t="shared" si="297"/>
        <v>0</v>
      </c>
      <c r="W4777" s="22">
        <f t="shared" si="298"/>
        <v>0</v>
      </c>
    </row>
    <row r="4778" spans="1:23" hidden="1" x14ac:dyDescent="0.25">
      <c r="A4778" s="3">
        <v>46081</v>
      </c>
      <c r="B4778" s="4" t="s">
        <v>334</v>
      </c>
      <c r="C4778" s="4" t="s">
        <v>168</v>
      </c>
      <c r="D4778" s="4"/>
      <c r="E4778" s="4"/>
      <c r="F4778" s="46" t="s">
        <v>2354</v>
      </c>
      <c r="G4778" s="4" t="s">
        <v>336</v>
      </c>
      <c r="H4778" s="4" t="s">
        <v>289</v>
      </c>
      <c r="I4778" s="4">
        <v>0.4</v>
      </c>
      <c r="J4778" s="21">
        <v>200</v>
      </c>
      <c r="K4778" s="21">
        <v>0</v>
      </c>
      <c r="L4778" s="5">
        <v>0</v>
      </c>
      <c r="M4778" s="4"/>
      <c r="N4778" s="4"/>
      <c r="O4778" s="5"/>
      <c r="P4778" s="5"/>
      <c r="Q4778" s="21">
        <v>80</v>
      </c>
      <c r="R4778" s="21">
        <v>0</v>
      </c>
      <c r="S4778" s="5">
        <f t="shared" si="299"/>
        <v>55668.578573026425</v>
      </c>
      <c r="T4778" cm="1">
        <f t="array" ref="T4778">IF(OR(B4778="MAL ALIMI", B4778="ÜRETİM GİRİŞ"), MIN(I4778, MAX(0, I4778 + SUM(SUMIFS($I$1:I4777, $C$1:C4777, C4778, $B$1:B4777, {"MAL ALIMI","ÜRETİM GİRİŞ"})) - VLOOKUP(C4778, 'STOK RAPORU'!$C$2:$I$1000, 4, 0))), 0)</f>
        <v>0</v>
      </c>
      <c r="U4778" s="22">
        <f t="shared" si="296"/>
        <v>0</v>
      </c>
      <c r="V4778">
        <f t="shared" si="297"/>
        <v>0</v>
      </c>
      <c r="W4778" s="22">
        <f t="shared" si="298"/>
        <v>0</v>
      </c>
    </row>
    <row r="4779" spans="1:23" hidden="1" x14ac:dyDescent="0.25">
      <c r="A4779" s="3">
        <v>46081</v>
      </c>
      <c r="B4779" s="4" t="s">
        <v>334</v>
      </c>
      <c r="C4779" s="4" t="s">
        <v>160</v>
      </c>
      <c r="D4779" s="4"/>
      <c r="E4779" s="4" t="s">
        <v>921</v>
      </c>
      <c r="F4779" s="46" t="s">
        <v>2355</v>
      </c>
      <c r="G4779" s="4" t="s">
        <v>336</v>
      </c>
      <c r="H4779" s="4" t="s">
        <v>380</v>
      </c>
      <c r="I4779" s="4">
        <v>1</v>
      </c>
      <c r="J4779" s="21">
        <v>250</v>
      </c>
      <c r="K4779" s="21">
        <v>250</v>
      </c>
      <c r="L4779" s="5">
        <v>0</v>
      </c>
      <c r="M4779" s="4"/>
      <c r="N4779" s="4"/>
      <c r="O4779" s="5"/>
      <c r="P4779" s="5"/>
      <c r="Q4779" s="21">
        <v>0</v>
      </c>
      <c r="R4779" s="21">
        <v>0</v>
      </c>
      <c r="S4779" s="5">
        <f t="shared" si="299"/>
        <v>55668.578573026425</v>
      </c>
      <c r="T4779" cm="1">
        <f t="array" ref="T4779">IF(OR(B4779="MAL ALIMI", B4779="ÜRETİM GİRİŞ"), MIN(I4779, MAX(0, I4779 + SUM(SUMIFS($I$1:I4778, $C$1:C4778, C4779, $B$1:B4778, {"MAL ALIMI","ÜRETİM GİRİŞ"})) - VLOOKUP(C4779, 'STOK RAPORU'!$C$2:$I$1000, 4, 0))), 0)</f>
        <v>0</v>
      </c>
      <c r="U4779" s="22">
        <f t="shared" si="296"/>
        <v>0</v>
      </c>
      <c r="V4779">
        <f t="shared" si="297"/>
        <v>0</v>
      </c>
      <c r="W4779" s="22">
        <f t="shared" si="298"/>
        <v>0</v>
      </c>
    </row>
    <row r="4780" spans="1:23" hidden="1" x14ac:dyDescent="0.25">
      <c r="A4780" s="3">
        <v>46081</v>
      </c>
      <c r="B4780" s="4" t="s">
        <v>334</v>
      </c>
      <c r="C4780" s="4" t="s">
        <v>161</v>
      </c>
      <c r="D4780" s="4"/>
      <c r="E4780" s="4" t="s">
        <v>921</v>
      </c>
      <c r="F4780" s="46" t="s">
        <v>2355</v>
      </c>
      <c r="G4780" s="4" t="s">
        <v>336</v>
      </c>
      <c r="H4780" s="4" t="s">
        <v>380</v>
      </c>
      <c r="I4780" s="4">
        <v>1</v>
      </c>
      <c r="J4780" s="21">
        <v>230</v>
      </c>
      <c r="K4780" s="21">
        <v>230</v>
      </c>
      <c r="L4780" s="5">
        <v>0</v>
      </c>
      <c r="M4780" s="4"/>
      <c r="N4780" s="4"/>
      <c r="O4780" s="5"/>
      <c r="P4780" s="5"/>
      <c r="Q4780" s="21">
        <v>0</v>
      </c>
      <c r="R4780" s="21">
        <v>0</v>
      </c>
      <c r="S4780" s="5">
        <f t="shared" si="299"/>
        <v>55668.578573026425</v>
      </c>
      <c r="T4780" cm="1">
        <f t="array" ref="T4780">IF(OR(B4780="MAL ALIMI", B4780="ÜRETİM GİRİŞ"), MIN(I4780, MAX(0, I4780 + SUM(SUMIFS($I$1:I4779, $C$1:C4779, C4780, $B$1:B4779, {"MAL ALIMI","ÜRETİM GİRİŞ"})) - VLOOKUP(C4780, 'STOK RAPORU'!$C$2:$I$1000, 4, 0))), 0)</f>
        <v>0</v>
      </c>
      <c r="U4780" s="22">
        <f t="shared" si="296"/>
        <v>0</v>
      </c>
      <c r="V4780">
        <f t="shared" si="297"/>
        <v>0</v>
      </c>
      <c r="W4780" s="22">
        <f t="shared" si="298"/>
        <v>0</v>
      </c>
    </row>
    <row r="4781" spans="1:23" hidden="1" x14ac:dyDescent="0.25">
      <c r="A4781" s="3">
        <v>46081</v>
      </c>
      <c r="B4781" s="4" t="s">
        <v>334</v>
      </c>
      <c r="C4781" s="4" t="s">
        <v>1634</v>
      </c>
      <c r="D4781" s="4"/>
      <c r="E4781" s="4" t="s">
        <v>921</v>
      </c>
      <c r="F4781" s="46" t="s">
        <v>2355</v>
      </c>
      <c r="G4781" s="4" t="s">
        <v>336</v>
      </c>
      <c r="H4781" s="4" t="s">
        <v>380</v>
      </c>
      <c r="I4781" s="4">
        <v>0.5</v>
      </c>
      <c r="J4781" s="21">
        <v>300</v>
      </c>
      <c r="K4781" s="21">
        <v>150</v>
      </c>
      <c r="L4781" s="5">
        <v>0</v>
      </c>
      <c r="M4781" s="4"/>
      <c r="N4781" s="4"/>
      <c r="O4781" s="5"/>
      <c r="P4781" s="5"/>
      <c r="Q4781" s="21">
        <v>0</v>
      </c>
      <c r="R4781" s="21">
        <v>0</v>
      </c>
      <c r="S4781" s="5">
        <f t="shared" si="299"/>
        <v>55668.578573026425</v>
      </c>
      <c r="T4781" cm="1">
        <f t="array" ref="T4781">IF(OR(B4781="MAL ALIMI", B4781="ÜRETİM GİRİŞ"), MIN(I4781, MAX(0, I4781 + SUM(SUMIFS($I$1:I4780, $C$1:C4780, C4781, $B$1:B4780, {"MAL ALIMI","ÜRETİM GİRİŞ"})) - VLOOKUP(C4781, 'STOK RAPORU'!$C$2:$I$1000, 4, 0))), 0)</f>
        <v>0</v>
      </c>
      <c r="U4781" s="22">
        <f t="shared" si="296"/>
        <v>0</v>
      </c>
      <c r="V4781">
        <f t="shared" si="297"/>
        <v>0</v>
      </c>
      <c r="W4781" s="22">
        <f t="shared" si="298"/>
        <v>0</v>
      </c>
    </row>
    <row r="4782" spans="1:23" hidden="1" x14ac:dyDescent="0.25">
      <c r="A4782" s="3">
        <v>46081</v>
      </c>
      <c r="B4782" s="4" t="s">
        <v>334</v>
      </c>
      <c r="C4782" s="4" t="s">
        <v>194</v>
      </c>
      <c r="D4782" s="4"/>
      <c r="E4782" s="4" t="s">
        <v>921</v>
      </c>
      <c r="F4782" s="46" t="s">
        <v>2355</v>
      </c>
      <c r="G4782" s="4" t="s">
        <v>336</v>
      </c>
      <c r="H4782" s="4" t="s">
        <v>380</v>
      </c>
      <c r="I4782" s="4">
        <v>1</v>
      </c>
      <c r="J4782" s="21">
        <v>750</v>
      </c>
      <c r="K4782" s="21">
        <v>750</v>
      </c>
      <c r="L4782" s="5">
        <v>0</v>
      </c>
      <c r="M4782" s="4"/>
      <c r="N4782" s="4"/>
      <c r="O4782" s="5"/>
      <c r="P4782" s="5"/>
      <c r="Q4782" s="21">
        <v>0</v>
      </c>
      <c r="R4782" s="21">
        <v>0</v>
      </c>
      <c r="S4782" s="5">
        <f t="shared" si="299"/>
        <v>55668.578573026425</v>
      </c>
      <c r="T4782" cm="1">
        <f t="array" ref="T4782">IF(OR(B4782="MAL ALIMI", B4782="ÜRETİM GİRİŞ"), MIN(I4782, MAX(0, I4782 + SUM(SUMIFS($I$1:I4781, $C$1:C4781, C4782, $B$1:B4781, {"MAL ALIMI","ÜRETİM GİRİŞ"})) - VLOOKUP(C4782, 'STOK RAPORU'!$C$2:$I$1000, 4, 0))), 0)</f>
        <v>0</v>
      </c>
      <c r="U4782" s="22">
        <f t="shared" si="296"/>
        <v>0</v>
      </c>
      <c r="V4782">
        <f t="shared" si="297"/>
        <v>0</v>
      </c>
      <c r="W4782" s="22">
        <f t="shared" si="298"/>
        <v>0</v>
      </c>
    </row>
    <row r="4783" spans="1:23" hidden="1" x14ac:dyDescent="0.25">
      <c r="A4783" s="3">
        <v>46081</v>
      </c>
      <c r="B4783" s="4" t="s">
        <v>334</v>
      </c>
      <c r="C4783" s="4" t="s">
        <v>92</v>
      </c>
      <c r="D4783" s="4"/>
      <c r="E4783" s="4" t="s">
        <v>921</v>
      </c>
      <c r="F4783" s="46" t="s">
        <v>2356</v>
      </c>
      <c r="G4783" s="4" t="s">
        <v>336</v>
      </c>
      <c r="H4783" s="4" t="s">
        <v>380</v>
      </c>
      <c r="I4783" s="4">
        <v>0.2</v>
      </c>
      <c r="J4783" s="21">
        <v>500</v>
      </c>
      <c r="K4783" s="21">
        <v>100</v>
      </c>
      <c r="L4783" s="5">
        <v>0</v>
      </c>
      <c r="M4783" s="4"/>
      <c r="N4783" s="4"/>
      <c r="O4783" s="5"/>
      <c r="P4783" s="5"/>
      <c r="Q4783" s="21">
        <v>0</v>
      </c>
      <c r="R4783" s="21">
        <v>0</v>
      </c>
      <c r="S4783" s="5">
        <f t="shared" si="299"/>
        <v>55668.578573026425</v>
      </c>
      <c r="T4783" cm="1">
        <f t="array" ref="T4783">IF(OR(B4783="MAL ALIMI", B4783="ÜRETİM GİRİŞ"), MIN(I4783, MAX(0, I4783 + SUM(SUMIFS($I$1:I4782, $C$1:C4782, C4783, $B$1:B4782, {"MAL ALIMI","ÜRETİM GİRİŞ"})) - VLOOKUP(C4783, 'STOK RAPORU'!$C$2:$I$1000, 4, 0))), 0)</f>
        <v>0</v>
      </c>
      <c r="U4783" s="22">
        <f t="shared" si="296"/>
        <v>0</v>
      </c>
      <c r="V4783">
        <f t="shared" si="297"/>
        <v>0</v>
      </c>
      <c r="W4783" s="22">
        <f t="shared" si="298"/>
        <v>0</v>
      </c>
    </row>
    <row r="4784" spans="1:23" hidden="1" x14ac:dyDescent="0.25">
      <c r="A4784" s="3">
        <v>46081</v>
      </c>
      <c r="B4784" s="4" t="s">
        <v>334</v>
      </c>
      <c r="C4784" s="4" t="s">
        <v>131</v>
      </c>
      <c r="D4784" s="4"/>
      <c r="E4784" s="4" t="s">
        <v>921</v>
      </c>
      <c r="F4784" s="46" t="s">
        <v>2357</v>
      </c>
      <c r="G4784" s="4" t="s">
        <v>336</v>
      </c>
      <c r="H4784" s="4" t="s">
        <v>380</v>
      </c>
      <c r="I4784" s="4">
        <v>0.06</v>
      </c>
      <c r="J4784" s="21">
        <v>300</v>
      </c>
      <c r="K4784" s="21">
        <v>18</v>
      </c>
      <c r="L4784" s="5">
        <v>0</v>
      </c>
      <c r="M4784" s="4"/>
      <c r="N4784" s="4"/>
      <c r="O4784" s="5"/>
      <c r="P4784" s="5"/>
      <c r="Q4784" s="21">
        <v>0</v>
      </c>
      <c r="R4784" s="21">
        <v>0</v>
      </c>
      <c r="S4784" s="5">
        <f t="shared" si="299"/>
        <v>55668.578573026425</v>
      </c>
      <c r="T4784" cm="1">
        <f t="array" ref="T4784">IF(OR(B4784="MAL ALIMI", B4784="ÜRETİM GİRİŞ"), MIN(I4784, MAX(0, I4784 + SUM(SUMIFS($I$1:I4783, $C$1:C4783, C4784, $B$1:B4783, {"MAL ALIMI","ÜRETİM GİRİŞ"})) - VLOOKUP(C4784, 'STOK RAPORU'!$C$2:$I$1000, 4, 0))), 0)</f>
        <v>0</v>
      </c>
      <c r="U4784" s="22">
        <f t="shared" si="296"/>
        <v>0</v>
      </c>
      <c r="V4784">
        <f t="shared" si="297"/>
        <v>0</v>
      </c>
      <c r="W4784" s="22">
        <f t="shared" si="298"/>
        <v>0</v>
      </c>
    </row>
    <row r="4785" spans="1:23" hidden="1" x14ac:dyDescent="0.25">
      <c r="A4785" s="3">
        <v>46081</v>
      </c>
      <c r="B4785" s="4" t="s">
        <v>334</v>
      </c>
      <c r="C4785" s="4" t="s">
        <v>92</v>
      </c>
      <c r="D4785" s="4"/>
      <c r="E4785" s="4" t="s">
        <v>921</v>
      </c>
      <c r="F4785" s="46" t="s">
        <v>2357</v>
      </c>
      <c r="G4785" s="4" t="s">
        <v>336</v>
      </c>
      <c r="H4785" s="4" t="s">
        <v>380</v>
      </c>
      <c r="I4785" s="4">
        <v>0.20399999999999999</v>
      </c>
      <c r="J4785" s="21">
        <v>500</v>
      </c>
      <c r="K4785" s="21">
        <v>102</v>
      </c>
      <c r="L4785" s="5">
        <v>0</v>
      </c>
      <c r="M4785" s="4"/>
      <c r="N4785" s="4"/>
      <c r="O4785" s="5"/>
      <c r="P4785" s="5"/>
      <c r="Q4785" s="21">
        <v>0</v>
      </c>
      <c r="R4785" s="21">
        <v>0</v>
      </c>
      <c r="S4785" s="5">
        <f t="shared" si="299"/>
        <v>55668.578573026425</v>
      </c>
      <c r="T4785" cm="1">
        <f t="array" ref="T4785">IF(OR(B4785="MAL ALIMI", B4785="ÜRETİM GİRİŞ"), MIN(I4785, MAX(0, I4785 + SUM(SUMIFS($I$1:I4784, $C$1:C4784, C4785, $B$1:B4784, {"MAL ALIMI","ÜRETİM GİRİŞ"})) - VLOOKUP(C4785, 'STOK RAPORU'!$C$2:$I$1000, 4, 0))), 0)</f>
        <v>0</v>
      </c>
      <c r="U4785" s="22">
        <f t="shared" si="296"/>
        <v>0</v>
      </c>
      <c r="V4785">
        <f t="shared" si="297"/>
        <v>0</v>
      </c>
      <c r="W4785" s="22">
        <f t="shared" si="298"/>
        <v>0</v>
      </c>
    </row>
    <row r="4786" spans="1:23" hidden="1" x14ac:dyDescent="0.25">
      <c r="A4786" s="3">
        <v>46081</v>
      </c>
      <c r="B4786" s="4" t="s">
        <v>334</v>
      </c>
      <c r="C4786" s="4" t="s">
        <v>463</v>
      </c>
      <c r="D4786" s="4"/>
      <c r="E4786" s="4" t="s">
        <v>921</v>
      </c>
      <c r="F4786" s="46" t="s">
        <v>2357</v>
      </c>
      <c r="G4786" s="4" t="s">
        <v>336</v>
      </c>
      <c r="H4786" s="4" t="s">
        <v>380</v>
      </c>
      <c r="I4786" s="4">
        <v>0.2175</v>
      </c>
      <c r="J4786" s="21">
        <v>370</v>
      </c>
      <c r="K4786" s="21">
        <v>80.474999999999994</v>
      </c>
      <c r="L4786" s="5">
        <v>0</v>
      </c>
      <c r="M4786" s="4"/>
      <c r="N4786" s="4"/>
      <c r="O4786" s="5"/>
      <c r="P4786" s="5"/>
      <c r="Q4786" s="21">
        <v>0</v>
      </c>
      <c r="R4786" s="21">
        <v>0</v>
      </c>
      <c r="S4786" s="5">
        <f t="shared" si="299"/>
        <v>55668.578573026425</v>
      </c>
      <c r="T4786" cm="1">
        <f t="array" ref="T4786">IF(OR(B4786="MAL ALIMI", B4786="ÜRETİM GİRİŞ"), MIN(I4786, MAX(0, I4786 + SUM(SUMIFS($I$1:I4785, $C$1:C4785, C4786, $B$1:B4785, {"MAL ALIMI","ÜRETİM GİRİŞ"})) - VLOOKUP(C4786, 'STOK RAPORU'!$C$2:$I$1000, 4, 0))), 0)</f>
        <v>0</v>
      </c>
      <c r="U4786" s="22">
        <f t="shared" si="296"/>
        <v>0</v>
      </c>
      <c r="V4786">
        <f t="shared" si="297"/>
        <v>0</v>
      </c>
      <c r="W4786" s="22">
        <f t="shared" si="298"/>
        <v>0</v>
      </c>
    </row>
    <row r="4787" spans="1:23" hidden="1" x14ac:dyDescent="0.25">
      <c r="A4787" s="3">
        <v>46081</v>
      </c>
      <c r="B4787" s="4" t="s">
        <v>334</v>
      </c>
      <c r="C4787" s="4" t="s">
        <v>160</v>
      </c>
      <c r="D4787" s="4"/>
      <c r="E4787" s="4" t="s">
        <v>921</v>
      </c>
      <c r="F4787" s="46" t="s">
        <v>2357</v>
      </c>
      <c r="G4787" s="4" t="s">
        <v>336</v>
      </c>
      <c r="H4787" s="4" t="s">
        <v>380</v>
      </c>
      <c r="I4787" s="4">
        <v>1</v>
      </c>
      <c r="J4787" s="21">
        <v>250</v>
      </c>
      <c r="K4787" s="21">
        <v>250</v>
      </c>
      <c r="L4787" s="5">
        <v>0</v>
      </c>
      <c r="M4787" s="4"/>
      <c r="N4787" s="4"/>
      <c r="O4787" s="5"/>
      <c r="P4787" s="5"/>
      <c r="Q4787" s="21">
        <v>0</v>
      </c>
      <c r="R4787" s="21">
        <v>0</v>
      </c>
      <c r="S4787" s="5">
        <f t="shared" si="299"/>
        <v>55668.578573026425</v>
      </c>
      <c r="T4787" cm="1">
        <f t="array" ref="T4787">IF(OR(B4787="MAL ALIMI", B4787="ÜRETİM GİRİŞ"), MIN(I4787, MAX(0, I4787 + SUM(SUMIFS($I$1:I4786, $C$1:C4786, C4787, $B$1:B4786, {"MAL ALIMI","ÜRETİM GİRİŞ"})) - VLOOKUP(C4787, 'STOK RAPORU'!$C$2:$I$1000, 4, 0))), 0)</f>
        <v>0</v>
      </c>
      <c r="U4787" s="22">
        <f t="shared" si="296"/>
        <v>0</v>
      </c>
      <c r="V4787">
        <f t="shared" si="297"/>
        <v>0</v>
      </c>
      <c r="W4787" s="22">
        <f t="shared" si="298"/>
        <v>0</v>
      </c>
    </row>
    <row r="4788" spans="1:23" hidden="1" x14ac:dyDescent="0.25">
      <c r="A4788" s="3">
        <v>46081</v>
      </c>
      <c r="B4788" s="4" t="s">
        <v>334</v>
      </c>
      <c r="C4788" s="4" t="s">
        <v>1367</v>
      </c>
      <c r="D4788" s="4"/>
      <c r="E4788" s="4" t="s">
        <v>921</v>
      </c>
      <c r="F4788" s="46" t="s">
        <v>2357</v>
      </c>
      <c r="G4788" s="4" t="s">
        <v>336</v>
      </c>
      <c r="H4788" s="4" t="s">
        <v>380</v>
      </c>
      <c r="I4788" s="4">
        <v>1</v>
      </c>
      <c r="J4788" s="21">
        <v>180</v>
      </c>
      <c r="K4788" s="21">
        <v>180</v>
      </c>
      <c r="L4788" s="5">
        <v>0</v>
      </c>
      <c r="M4788" s="4"/>
      <c r="N4788" s="4"/>
      <c r="O4788" s="5"/>
      <c r="P4788" s="5"/>
      <c r="Q4788" s="21">
        <v>0</v>
      </c>
      <c r="R4788" s="21">
        <v>0</v>
      </c>
      <c r="S4788" s="5">
        <f t="shared" si="299"/>
        <v>55668.578573026425</v>
      </c>
      <c r="T4788" cm="1">
        <f t="array" ref="T4788">IF(OR(B4788="MAL ALIMI", B4788="ÜRETİM GİRİŞ"), MIN(I4788, MAX(0, I4788 + SUM(SUMIFS($I$1:I4787, $C$1:C4787, C4788, $B$1:B4787, {"MAL ALIMI","ÜRETİM GİRİŞ"})) - VLOOKUP(C4788, 'STOK RAPORU'!$C$2:$I$1000, 4, 0))), 0)</f>
        <v>0</v>
      </c>
      <c r="U4788" s="22">
        <f t="shared" ref="U4788:U4851" si="300">T4788*J4788</f>
        <v>0</v>
      </c>
      <c r="V4788">
        <f t="shared" ref="V4788:V4851" si="301">IF(OR(B4788="MAL ALIMI", B4788="ÜRETİM GİRİŞ"), I4788 * J4788, 0)</f>
        <v>0</v>
      </c>
      <c r="W4788" s="22">
        <f t="shared" ref="W4788:W4851" si="302">V4788-U4788</f>
        <v>0</v>
      </c>
    </row>
    <row r="4789" spans="1:23" hidden="1" x14ac:dyDescent="0.25">
      <c r="A4789" s="3">
        <v>46081</v>
      </c>
      <c r="B4789" s="4" t="s">
        <v>334</v>
      </c>
      <c r="C4789" s="4" t="s">
        <v>158</v>
      </c>
      <c r="D4789" s="4"/>
      <c r="E4789" s="4" t="s">
        <v>921</v>
      </c>
      <c r="F4789" s="46" t="s">
        <v>2358</v>
      </c>
      <c r="G4789" s="4" t="s">
        <v>336</v>
      </c>
      <c r="H4789" s="4" t="s">
        <v>380</v>
      </c>
      <c r="I4789" s="4">
        <v>1</v>
      </c>
      <c r="J4789" s="21">
        <v>150</v>
      </c>
      <c r="K4789" s="21">
        <v>150</v>
      </c>
      <c r="L4789" s="5">
        <v>0</v>
      </c>
      <c r="M4789" s="4"/>
      <c r="N4789" s="4"/>
      <c r="O4789" s="5"/>
      <c r="P4789" s="5"/>
      <c r="Q4789" s="21">
        <v>0</v>
      </c>
      <c r="R4789" s="21">
        <v>0</v>
      </c>
      <c r="S4789" s="5">
        <f t="shared" si="299"/>
        <v>55668.578573026425</v>
      </c>
      <c r="T4789" cm="1">
        <f t="array" ref="T4789">IF(OR(B4789="MAL ALIMI", B4789="ÜRETİM GİRİŞ"), MIN(I4789, MAX(0, I4789 + SUM(SUMIFS($I$1:I4788, $C$1:C4788, C4789, $B$1:B4788, {"MAL ALIMI","ÜRETİM GİRİŞ"})) - VLOOKUP(C4789, 'STOK RAPORU'!$C$2:$I$1000, 4, 0))), 0)</f>
        <v>0</v>
      </c>
      <c r="U4789" s="22">
        <f t="shared" si="300"/>
        <v>0</v>
      </c>
      <c r="V4789">
        <f t="shared" si="301"/>
        <v>0</v>
      </c>
      <c r="W4789" s="22">
        <f t="shared" si="302"/>
        <v>0</v>
      </c>
    </row>
    <row r="4790" spans="1:23" hidden="1" x14ac:dyDescent="0.25">
      <c r="A4790" s="3">
        <v>46081</v>
      </c>
      <c r="B4790" s="4" t="s">
        <v>334</v>
      </c>
      <c r="C4790" s="4" t="s">
        <v>150</v>
      </c>
      <c r="D4790" s="4"/>
      <c r="E4790" s="4" t="s">
        <v>921</v>
      </c>
      <c r="F4790" s="46" t="s">
        <v>2358</v>
      </c>
      <c r="G4790" s="4" t="s">
        <v>336</v>
      </c>
      <c r="H4790" s="4" t="s">
        <v>380</v>
      </c>
      <c r="I4790" s="4">
        <v>2.5000000000000001E-2</v>
      </c>
      <c r="J4790" s="21">
        <v>2000</v>
      </c>
      <c r="K4790" s="21">
        <v>50</v>
      </c>
      <c r="L4790" s="5">
        <v>0</v>
      </c>
      <c r="M4790" s="4"/>
      <c r="N4790" s="4"/>
      <c r="O4790" s="5"/>
      <c r="P4790" s="5"/>
      <c r="Q4790" s="21">
        <v>0</v>
      </c>
      <c r="R4790" s="21">
        <v>0</v>
      </c>
      <c r="S4790" s="5">
        <f t="shared" si="299"/>
        <v>55668.578573026425</v>
      </c>
      <c r="T4790" cm="1">
        <f t="array" ref="T4790">IF(OR(B4790="MAL ALIMI", B4790="ÜRETİM GİRİŞ"), MIN(I4790, MAX(0, I4790 + SUM(SUMIFS($I$1:I4789, $C$1:C4789, C4790, $B$1:B4789, {"MAL ALIMI","ÜRETİM GİRİŞ"})) - VLOOKUP(C4790, 'STOK RAPORU'!$C$2:$I$1000, 4, 0))), 0)</f>
        <v>0</v>
      </c>
      <c r="U4790" s="22">
        <f t="shared" si="300"/>
        <v>0</v>
      </c>
      <c r="V4790">
        <f t="shared" si="301"/>
        <v>0</v>
      </c>
      <c r="W4790" s="22">
        <f t="shared" si="302"/>
        <v>0</v>
      </c>
    </row>
    <row r="4791" spans="1:23" hidden="1" x14ac:dyDescent="0.25">
      <c r="A4791" s="3">
        <v>46081</v>
      </c>
      <c r="B4791" s="4" t="s">
        <v>334</v>
      </c>
      <c r="C4791" s="4" t="s">
        <v>1634</v>
      </c>
      <c r="D4791" s="4"/>
      <c r="E4791" s="4" t="s">
        <v>921</v>
      </c>
      <c r="F4791" s="46" t="s">
        <v>2359</v>
      </c>
      <c r="G4791" s="4" t="s">
        <v>336</v>
      </c>
      <c r="H4791" s="4" t="s">
        <v>380</v>
      </c>
      <c r="I4791" s="4">
        <v>0.5</v>
      </c>
      <c r="J4791" s="21">
        <v>300</v>
      </c>
      <c r="K4791" s="21">
        <v>150</v>
      </c>
      <c r="L4791" s="5">
        <v>0</v>
      </c>
      <c r="M4791" s="4"/>
      <c r="N4791" s="4"/>
      <c r="O4791" s="5"/>
      <c r="P4791" s="5"/>
      <c r="Q4791" s="21">
        <v>0</v>
      </c>
      <c r="R4791" s="21">
        <v>0</v>
      </c>
      <c r="S4791" s="5">
        <f t="shared" si="299"/>
        <v>55668.578573026425</v>
      </c>
      <c r="T4791" cm="1">
        <f t="array" ref="T4791">IF(OR(B4791="MAL ALIMI", B4791="ÜRETİM GİRİŞ"), MIN(I4791, MAX(0, I4791 + SUM(SUMIFS($I$1:I4790, $C$1:C4790, C4791, $B$1:B4790, {"MAL ALIMI","ÜRETİM GİRİŞ"})) - VLOOKUP(C4791, 'STOK RAPORU'!$C$2:$I$1000, 4, 0))), 0)</f>
        <v>0</v>
      </c>
      <c r="U4791" s="22">
        <f t="shared" si="300"/>
        <v>0</v>
      </c>
      <c r="V4791">
        <f t="shared" si="301"/>
        <v>0</v>
      </c>
      <c r="W4791" s="22">
        <f t="shared" si="302"/>
        <v>0</v>
      </c>
    </row>
    <row r="4792" spans="1:23" hidden="1" x14ac:dyDescent="0.25">
      <c r="A4792" s="3">
        <v>46081</v>
      </c>
      <c r="B4792" s="4" t="s">
        <v>334</v>
      </c>
      <c r="C4792" s="4" t="s">
        <v>1041</v>
      </c>
      <c r="D4792" s="4"/>
      <c r="E4792" s="4" t="s">
        <v>921</v>
      </c>
      <c r="F4792" s="46" t="s">
        <v>2359</v>
      </c>
      <c r="G4792" s="4" t="s">
        <v>336</v>
      </c>
      <c r="H4792" s="4" t="s">
        <v>380</v>
      </c>
      <c r="I4792" s="4">
        <v>0.6</v>
      </c>
      <c r="J4792" s="21">
        <v>250</v>
      </c>
      <c r="K4792" s="21">
        <v>150</v>
      </c>
      <c r="L4792" s="5">
        <v>0</v>
      </c>
      <c r="M4792" s="4"/>
      <c r="N4792" s="4"/>
      <c r="O4792" s="5"/>
      <c r="P4792" s="5"/>
      <c r="Q4792" s="21">
        <v>0</v>
      </c>
      <c r="R4792" s="21">
        <v>0</v>
      </c>
      <c r="S4792" s="5">
        <f t="shared" si="299"/>
        <v>55668.578573026425</v>
      </c>
      <c r="T4792" cm="1">
        <f t="array" ref="T4792">IF(OR(B4792="MAL ALIMI", B4792="ÜRETİM GİRİŞ"), MIN(I4792, MAX(0, I4792 + SUM(SUMIFS($I$1:I4791, $C$1:C4791, C4792, $B$1:B4791, {"MAL ALIMI","ÜRETİM GİRİŞ"})) - VLOOKUP(C4792, 'STOK RAPORU'!$C$2:$I$1000, 4, 0))), 0)</f>
        <v>0</v>
      </c>
      <c r="U4792" s="22">
        <f t="shared" si="300"/>
        <v>0</v>
      </c>
      <c r="V4792">
        <f t="shared" si="301"/>
        <v>0</v>
      </c>
      <c r="W4792" s="22">
        <f t="shared" si="302"/>
        <v>0</v>
      </c>
    </row>
    <row r="4793" spans="1:23" hidden="1" x14ac:dyDescent="0.25">
      <c r="A4793" s="3">
        <v>46081</v>
      </c>
      <c r="B4793" s="4" t="s">
        <v>334</v>
      </c>
      <c r="C4793" s="4" t="s">
        <v>256</v>
      </c>
      <c r="D4793" s="4"/>
      <c r="E4793" s="4"/>
      <c r="F4793" s="46" t="s">
        <v>2360</v>
      </c>
      <c r="G4793" s="4" t="s">
        <v>336</v>
      </c>
      <c r="H4793" s="4" t="s">
        <v>289</v>
      </c>
      <c r="I4793" s="4">
        <v>1</v>
      </c>
      <c r="J4793" s="21">
        <v>190</v>
      </c>
      <c r="K4793" s="21">
        <v>0</v>
      </c>
      <c r="L4793" s="5">
        <v>0</v>
      </c>
      <c r="M4793" s="4"/>
      <c r="N4793" s="4"/>
      <c r="O4793" s="5"/>
      <c r="P4793" s="5"/>
      <c r="Q4793" s="21">
        <v>190</v>
      </c>
      <c r="R4793" s="21">
        <v>0</v>
      </c>
      <c r="S4793" s="5">
        <f t="shared" si="299"/>
        <v>55858.578573026425</v>
      </c>
      <c r="T4793" cm="1">
        <f t="array" ref="T4793">IF(OR(B4793="MAL ALIMI", B4793="ÜRETİM GİRİŞ"), MIN(I4793, MAX(0, I4793 + SUM(SUMIFS($I$1:I4792, $C$1:C4792, C4793, $B$1:B4792, {"MAL ALIMI","ÜRETİM GİRİŞ"})) - VLOOKUP(C4793, 'STOK RAPORU'!$C$2:$I$1000, 4, 0))), 0)</f>
        <v>0</v>
      </c>
      <c r="U4793" s="22">
        <f t="shared" si="300"/>
        <v>0</v>
      </c>
      <c r="V4793">
        <f t="shared" si="301"/>
        <v>0</v>
      </c>
      <c r="W4793" s="22">
        <f t="shared" si="302"/>
        <v>0</v>
      </c>
    </row>
    <row r="4794" spans="1:23" hidden="1" x14ac:dyDescent="0.25">
      <c r="A4794" s="3">
        <v>46081</v>
      </c>
      <c r="B4794" s="4" t="s">
        <v>334</v>
      </c>
      <c r="C4794" s="4" t="s">
        <v>1501</v>
      </c>
      <c r="D4794" s="4"/>
      <c r="E4794" s="4" t="s">
        <v>921</v>
      </c>
      <c r="F4794" s="46" t="s">
        <v>2361</v>
      </c>
      <c r="G4794" s="4" t="s">
        <v>336</v>
      </c>
      <c r="H4794" s="4" t="s">
        <v>380</v>
      </c>
      <c r="I4794" s="4">
        <v>0.16666666666666666</v>
      </c>
      <c r="J4794" s="21">
        <v>600</v>
      </c>
      <c r="K4794" s="21">
        <v>100</v>
      </c>
      <c r="L4794" s="5">
        <v>0</v>
      </c>
      <c r="M4794" s="4"/>
      <c r="N4794" s="4"/>
      <c r="O4794" s="5"/>
      <c r="P4794" s="5"/>
      <c r="Q4794" s="21">
        <v>0</v>
      </c>
      <c r="R4794" s="21">
        <v>0</v>
      </c>
      <c r="S4794" s="5">
        <f t="shared" si="299"/>
        <v>55858.578573026425</v>
      </c>
      <c r="T4794" cm="1">
        <f t="array" ref="T4794">IF(OR(B4794="MAL ALIMI", B4794="ÜRETİM GİRİŞ"), MIN(I4794, MAX(0, I4794 + SUM(SUMIFS($I$1:I4793, $C$1:C4793, C4794, $B$1:B4793, {"MAL ALIMI","ÜRETİM GİRİŞ"})) - VLOOKUP(C4794, 'STOK RAPORU'!$C$2:$I$1000, 4, 0))), 0)</f>
        <v>0</v>
      </c>
      <c r="U4794" s="22">
        <f t="shared" si="300"/>
        <v>0</v>
      </c>
      <c r="V4794">
        <f t="shared" si="301"/>
        <v>0</v>
      </c>
      <c r="W4794" s="22">
        <f t="shared" si="302"/>
        <v>0</v>
      </c>
    </row>
    <row r="4795" spans="1:23" hidden="1" x14ac:dyDescent="0.25">
      <c r="A4795" s="3">
        <v>46081</v>
      </c>
      <c r="B4795" s="4" t="s">
        <v>334</v>
      </c>
      <c r="C4795" s="4" t="s">
        <v>198</v>
      </c>
      <c r="D4795" s="4"/>
      <c r="E4795" s="4"/>
      <c r="F4795" s="46" t="s">
        <v>2362</v>
      </c>
      <c r="G4795" s="4" t="s">
        <v>336</v>
      </c>
      <c r="H4795" s="4" t="s">
        <v>289</v>
      </c>
      <c r="I4795" s="4">
        <v>0.05</v>
      </c>
      <c r="J4795" s="21">
        <v>1400</v>
      </c>
      <c r="K4795" s="21">
        <v>0</v>
      </c>
      <c r="L4795" s="5">
        <v>0</v>
      </c>
      <c r="M4795" s="4"/>
      <c r="N4795" s="4"/>
      <c r="O4795" s="5"/>
      <c r="P4795" s="5"/>
      <c r="Q4795" s="21">
        <v>70</v>
      </c>
      <c r="R4795" s="21">
        <v>0</v>
      </c>
      <c r="S4795" s="5">
        <f t="shared" si="299"/>
        <v>55928.578573026425</v>
      </c>
      <c r="T4795" cm="1">
        <f t="array" ref="T4795">IF(OR(B4795="MAL ALIMI", B4795="ÜRETİM GİRİŞ"), MIN(I4795, MAX(0, I4795 + SUM(SUMIFS($I$1:I4794, $C$1:C4794, C4795, $B$1:B4794, {"MAL ALIMI","ÜRETİM GİRİŞ"})) - VLOOKUP(C4795, 'STOK RAPORU'!$C$2:$I$1000, 4, 0))), 0)</f>
        <v>0</v>
      </c>
      <c r="U4795" s="22">
        <f t="shared" si="300"/>
        <v>0</v>
      </c>
      <c r="V4795">
        <f t="shared" si="301"/>
        <v>0</v>
      </c>
      <c r="W4795" s="22">
        <f t="shared" si="302"/>
        <v>0</v>
      </c>
    </row>
    <row r="4796" spans="1:23" hidden="1" x14ac:dyDescent="0.25">
      <c r="A4796" s="3">
        <v>46081</v>
      </c>
      <c r="B4796" s="4" t="s">
        <v>334</v>
      </c>
      <c r="C4796" s="4" t="s">
        <v>826</v>
      </c>
      <c r="D4796" s="4"/>
      <c r="E4796" s="4"/>
      <c r="F4796" s="46" t="s">
        <v>2363</v>
      </c>
      <c r="G4796" s="4" t="s">
        <v>336</v>
      </c>
      <c r="H4796" s="4" t="s">
        <v>289</v>
      </c>
      <c r="I4796" s="4">
        <v>1</v>
      </c>
      <c r="J4796" s="21">
        <v>130</v>
      </c>
      <c r="K4796" s="21">
        <v>0</v>
      </c>
      <c r="L4796" s="5">
        <v>0</v>
      </c>
      <c r="M4796" s="4"/>
      <c r="N4796" s="4"/>
      <c r="O4796" s="5"/>
      <c r="P4796" s="5"/>
      <c r="Q4796" s="21">
        <v>130</v>
      </c>
      <c r="R4796" s="21">
        <v>0</v>
      </c>
      <c r="S4796" s="5">
        <f t="shared" si="299"/>
        <v>56058.578573026425</v>
      </c>
      <c r="T4796" cm="1">
        <f t="array" ref="T4796">IF(OR(B4796="MAL ALIMI", B4796="ÜRETİM GİRİŞ"), MIN(I4796, MAX(0, I4796 + SUM(SUMIFS($I$1:I4795, $C$1:C4795, C4796, $B$1:B4795, {"MAL ALIMI","ÜRETİM GİRİŞ"})) - VLOOKUP(C4796, 'STOK RAPORU'!$C$2:$I$1000, 4, 0))), 0)</f>
        <v>0</v>
      </c>
      <c r="U4796" s="22">
        <f t="shared" si="300"/>
        <v>0</v>
      </c>
      <c r="V4796">
        <f t="shared" si="301"/>
        <v>0</v>
      </c>
      <c r="W4796" s="22">
        <f t="shared" si="302"/>
        <v>0</v>
      </c>
    </row>
    <row r="4797" spans="1:23" hidden="1" x14ac:dyDescent="0.25">
      <c r="A4797" s="3">
        <v>46081</v>
      </c>
      <c r="B4797" s="4" t="s">
        <v>334</v>
      </c>
      <c r="C4797" s="4" t="s">
        <v>131</v>
      </c>
      <c r="D4797" s="4"/>
      <c r="E4797" s="4"/>
      <c r="F4797" s="46" t="s">
        <v>2364</v>
      </c>
      <c r="G4797" s="4" t="s">
        <v>336</v>
      </c>
      <c r="H4797" s="4" t="s">
        <v>289</v>
      </c>
      <c r="I4797" s="4">
        <v>0.125</v>
      </c>
      <c r="J4797" s="21">
        <v>400</v>
      </c>
      <c r="K4797" s="21">
        <v>0</v>
      </c>
      <c r="L4797" s="5">
        <v>0</v>
      </c>
      <c r="M4797" s="4"/>
      <c r="N4797" s="4"/>
      <c r="O4797" s="5"/>
      <c r="P4797" s="5"/>
      <c r="Q4797" s="21">
        <v>50</v>
      </c>
      <c r="R4797" s="21">
        <v>0</v>
      </c>
      <c r="S4797" s="5">
        <f t="shared" si="299"/>
        <v>56108.578573026425</v>
      </c>
      <c r="T4797" cm="1">
        <f t="array" ref="T4797">IF(OR(B4797="MAL ALIMI", B4797="ÜRETİM GİRİŞ"), MIN(I4797, MAX(0, I4797 + SUM(SUMIFS($I$1:I4796, $C$1:C4796, C4797, $B$1:B4796, {"MAL ALIMI","ÜRETİM GİRİŞ"})) - VLOOKUP(C4797, 'STOK RAPORU'!$C$2:$I$1000, 4, 0))), 0)</f>
        <v>0</v>
      </c>
      <c r="U4797" s="22">
        <f t="shared" si="300"/>
        <v>0</v>
      </c>
      <c r="V4797">
        <f t="shared" si="301"/>
        <v>0</v>
      </c>
      <c r="W4797" s="22">
        <f t="shared" si="302"/>
        <v>0</v>
      </c>
    </row>
    <row r="4798" spans="1:23" hidden="1" x14ac:dyDescent="0.25">
      <c r="A4798" s="3">
        <v>46081</v>
      </c>
      <c r="B4798" s="4" t="s">
        <v>946</v>
      </c>
      <c r="C4798" s="4"/>
      <c r="D4798" s="4"/>
      <c r="E4798" s="4" t="s">
        <v>921</v>
      </c>
      <c r="F4798" s="4"/>
      <c r="G4798" s="4" t="s">
        <v>946</v>
      </c>
      <c r="H4798" s="4" t="s">
        <v>380</v>
      </c>
      <c r="I4798" s="4">
        <v>1</v>
      </c>
      <c r="J4798" s="105">
        <v>462</v>
      </c>
      <c r="K4798" s="21">
        <v>0</v>
      </c>
      <c r="L4798" s="111">
        <v>462</v>
      </c>
      <c r="M4798" s="4"/>
      <c r="N4798" s="4"/>
      <c r="O4798" s="5"/>
      <c r="P4798" s="5"/>
      <c r="Q4798" s="21">
        <v>462</v>
      </c>
      <c r="R4798" s="21">
        <v>0</v>
      </c>
      <c r="S4798" s="5">
        <f t="shared" si="299"/>
        <v>56570.578573026425</v>
      </c>
      <c r="T4798" cm="1">
        <f t="array" ref="T4798">IF(OR(B4798="MAL ALIMI", B4798="ÜRETİM GİRİŞ"), MIN(I4798, MAX(0, I4798 + SUM(SUMIFS($I$1:I4797, $C$1:C4797, C4798, $B$1:B4797, {"MAL ALIMI","ÜRETİM GİRİŞ"})) - VLOOKUP(C4798, 'STOK RAPORU'!$C$2:$I$1000, 4, 0))), 0)</f>
        <v>0</v>
      </c>
      <c r="U4798" s="22">
        <f t="shared" si="300"/>
        <v>0</v>
      </c>
      <c r="V4798">
        <f t="shared" si="301"/>
        <v>0</v>
      </c>
      <c r="W4798" s="22">
        <f t="shared" si="302"/>
        <v>0</v>
      </c>
    </row>
    <row r="4799" spans="1:23" hidden="1" x14ac:dyDescent="0.25">
      <c r="A4799" s="3">
        <v>46081</v>
      </c>
      <c r="B4799" s="4" t="s">
        <v>946</v>
      </c>
      <c r="C4799" s="4"/>
      <c r="D4799" s="4"/>
      <c r="E4799" s="4" t="s">
        <v>921</v>
      </c>
      <c r="F4799" s="4"/>
      <c r="G4799" s="4" t="s">
        <v>946</v>
      </c>
      <c r="H4799" s="4" t="s">
        <v>380</v>
      </c>
      <c r="I4799" s="4">
        <v>1</v>
      </c>
      <c r="J4799" s="105">
        <v>540</v>
      </c>
      <c r="K4799" s="21">
        <v>0</v>
      </c>
      <c r="L4799" s="111">
        <v>540</v>
      </c>
      <c r="M4799" s="4"/>
      <c r="N4799" s="4"/>
      <c r="O4799" s="5"/>
      <c r="P4799" s="5"/>
      <c r="Q4799" s="21">
        <v>540</v>
      </c>
      <c r="R4799" s="21">
        <v>0</v>
      </c>
      <c r="S4799" s="5">
        <f t="shared" si="299"/>
        <v>57110.578573026425</v>
      </c>
      <c r="T4799" cm="1">
        <f t="array" ref="T4799">IF(OR(B4799="MAL ALIMI", B4799="ÜRETİM GİRİŞ"), MIN(I4799, MAX(0, I4799 + SUM(SUMIFS($I$1:I4798, $C$1:C4798, C4799, $B$1:B4798, {"MAL ALIMI","ÜRETİM GİRİŞ"})) - VLOOKUP(C4799, 'STOK RAPORU'!$C$2:$I$1000, 4, 0))), 0)</f>
        <v>0</v>
      </c>
      <c r="U4799" s="22">
        <f t="shared" si="300"/>
        <v>0</v>
      </c>
      <c r="V4799">
        <f t="shared" si="301"/>
        <v>0</v>
      </c>
      <c r="W4799" s="22">
        <f t="shared" si="302"/>
        <v>0</v>
      </c>
    </row>
    <row r="4800" spans="1:23" hidden="1" x14ac:dyDescent="0.25">
      <c r="A4800" s="3">
        <v>46082</v>
      </c>
      <c r="B4800" s="4" t="s">
        <v>334</v>
      </c>
      <c r="C4800" s="4" t="s">
        <v>166</v>
      </c>
      <c r="D4800" s="4"/>
      <c r="E4800" s="4" t="s">
        <v>921</v>
      </c>
      <c r="F4800" s="46" t="s">
        <v>2352</v>
      </c>
      <c r="G4800" s="4" t="s">
        <v>336</v>
      </c>
      <c r="H4800" s="4" t="s">
        <v>380</v>
      </c>
      <c r="I4800" s="4">
        <v>8.4000000000000005E-2</v>
      </c>
      <c r="J4800" s="21">
        <v>770</v>
      </c>
      <c r="K4800" s="21">
        <v>64.680000000000007</v>
      </c>
      <c r="L4800" s="5">
        <v>0</v>
      </c>
      <c r="M4800" s="4"/>
      <c r="N4800" s="4"/>
      <c r="O4800" s="5"/>
      <c r="P4800" s="5"/>
      <c r="Q4800" s="21">
        <v>0</v>
      </c>
      <c r="R4800" s="21">
        <v>0</v>
      </c>
      <c r="S4800" s="5">
        <f t="shared" si="299"/>
        <v>57110.578573026425</v>
      </c>
      <c r="T4800" cm="1">
        <f t="array" ref="T4800">IF(OR(B4800="MAL ALIMI", B4800="ÜRETİM GİRİŞ"), MIN(I4800, MAX(0, I4800 + SUM(SUMIFS($I$1:I4799, $C$1:C4799, C4800, $B$1:B4799, {"MAL ALIMI","ÜRETİM GİRİŞ"})) - VLOOKUP(C4800, 'STOK RAPORU'!$C$2:$I$1000, 4, 0))), 0)</f>
        <v>0</v>
      </c>
      <c r="U4800" s="22">
        <f t="shared" si="300"/>
        <v>0</v>
      </c>
      <c r="V4800">
        <f t="shared" si="301"/>
        <v>0</v>
      </c>
      <c r="W4800" s="22">
        <f t="shared" si="302"/>
        <v>0</v>
      </c>
    </row>
    <row r="4801" spans="1:23" hidden="1" x14ac:dyDescent="0.25">
      <c r="A4801" s="3">
        <v>46082</v>
      </c>
      <c r="B4801" s="4" t="s">
        <v>334</v>
      </c>
      <c r="C4801" s="4" t="s">
        <v>92</v>
      </c>
      <c r="D4801" s="4"/>
      <c r="E4801" s="4" t="s">
        <v>921</v>
      </c>
      <c r="F4801" s="46" t="s">
        <v>2352</v>
      </c>
      <c r="G4801" s="4" t="s">
        <v>336</v>
      </c>
      <c r="H4801" s="4" t="s">
        <v>380</v>
      </c>
      <c r="I4801" s="4">
        <v>0.122</v>
      </c>
      <c r="J4801" s="21">
        <v>500</v>
      </c>
      <c r="K4801" s="21">
        <v>61</v>
      </c>
      <c r="L4801" s="5">
        <v>0</v>
      </c>
      <c r="M4801" s="4"/>
      <c r="N4801" s="4"/>
      <c r="O4801" s="5"/>
      <c r="P4801" s="5"/>
      <c r="Q4801" s="21">
        <v>0</v>
      </c>
      <c r="R4801" s="21">
        <v>0</v>
      </c>
      <c r="S4801" s="5">
        <f t="shared" si="299"/>
        <v>57110.578573026425</v>
      </c>
      <c r="T4801" cm="1">
        <f t="array" ref="T4801">IF(OR(B4801="MAL ALIMI", B4801="ÜRETİM GİRİŞ"), MIN(I4801, MAX(0, I4801 + SUM(SUMIFS($I$1:I4800, $C$1:C4800, C4801, $B$1:B4800, {"MAL ALIMI","ÜRETİM GİRİŞ"})) - VLOOKUP(C4801, 'STOK RAPORU'!$C$2:$I$1000, 4, 0))), 0)</f>
        <v>0</v>
      </c>
      <c r="U4801" s="22">
        <f t="shared" si="300"/>
        <v>0</v>
      </c>
      <c r="V4801">
        <f t="shared" si="301"/>
        <v>0</v>
      </c>
      <c r="W4801" s="22">
        <f t="shared" si="302"/>
        <v>0</v>
      </c>
    </row>
    <row r="4802" spans="1:23" hidden="1" x14ac:dyDescent="0.25">
      <c r="A4802" s="3">
        <v>46082</v>
      </c>
      <c r="B4802" s="4" t="s">
        <v>334</v>
      </c>
      <c r="C4802" s="4" t="s">
        <v>160</v>
      </c>
      <c r="D4802" s="4"/>
      <c r="E4802" s="4" t="s">
        <v>921</v>
      </c>
      <c r="F4802" s="46" t="s">
        <v>2352</v>
      </c>
      <c r="G4802" s="4" t="s">
        <v>336</v>
      </c>
      <c r="H4802" s="4" t="s">
        <v>380</v>
      </c>
      <c r="I4802" s="4">
        <v>1</v>
      </c>
      <c r="J4802" s="21">
        <v>250</v>
      </c>
      <c r="K4802" s="21">
        <v>250</v>
      </c>
      <c r="L4802" s="5">
        <v>0</v>
      </c>
      <c r="M4802" s="4"/>
      <c r="N4802" s="4"/>
      <c r="O4802" s="5"/>
      <c r="P4802" s="5"/>
      <c r="Q4802" s="21">
        <v>0</v>
      </c>
      <c r="R4802" s="21">
        <v>0</v>
      </c>
      <c r="S4802" s="5">
        <f t="shared" si="299"/>
        <v>57110.578573026425</v>
      </c>
      <c r="T4802" cm="1">
        <f t="array" ref="T4802">IF(OR(B4802="MAL ALIMI", B4802="ÜRETİM GİRİŞ"), MIN(I4802, MAX(0, I4802 + SUM(SUMIFS($I$1:I4801, $C$1:C4801, C4802, $B$1:B4801, {"MAL ALIMI","ÜRETİM GİRİŞ"})) - VLOOKUP(C4802, 'STOK RAPORU'!$C$2:$I$1000, 4, 0))), 0)</f>
        <v>0</v>
      </c>
      <c r="U4802" s="22">
        <f t="shared" si="300"/>
        <v>0</v>
      </c>
      <c r="V4802">
        <f t="shared" si="301"/>
        <v>0</v>
      </c>
      <c r="W4802" s="22">
        <f t="shared" si="302"/>
        <v>0</v>
      </c>
    </row>
    <row r="4803" spans="1:23" hidden="1" x14ac:dyDescent="0.25">
      <c r="A4803" s="3">
        <v>46082</v>
      </c>
      <c r="B4803" s="4" t="s">
        <v>334</v>
      </c>
      <c r="C4803" s="4" t="s">
        <v>134</v>
      </c>
      <c r="D4803" s="4"/>
      <c r="E4803" s="4" t="s">
        <v>921</v>
      </c>
      <c r="F4803" s="46" t="s">
        <v>2352</v>
      </c>
      <c r="G4803" s="4" t="s">
        <v>336</v>
      </c>
      <c r="H4803" s="4" t="s">
        <v>380</v>
      </c>
      <c r="I4803" s="4">
        <v>0.1</v>
      </c>
      <c r="J4803" s="21">
        <v>600</v>
      </c>
      <c r="K4803" s="21">
        <v>60</v>
      </c>
      <c r="L4803" s="5">
        <v>0</v>
      </c>
      <c r="M4803" s="4"/>
      <c r="N4803" s="4"/>
      <c r="O4803" s="5"/>
      <c r="P4803" s="5"/>
      <c r="Q4803" s="21">
        <v>0</v>
      </c>
      <c r="R4803" s="21">
        <v>0</v>
      </c>
      <c r="S4803" s="5">
        <f t="shared" si="299"/>
        <v>57110.578573026425</v>
      </c>
      <c r="T4803" cm="1">
        <f t="array" ref="T4803">IF(OR(B4803="MAL ALIMI", B4803="ÜRETİM GİRİŞ"), MIN(I4803, MAX(0, I4803 + SUM(SUMIFS($I$1:I4802, $C$1:C4802, C4803, $B$1:B4802, {"MAL ALIMI","ÜRETİM GİRİŞ"})) - VLOOKUP(C4803, 'STOK RAPORU'!$C$2:$I$1000, 4, 0))), 0)</f>
        <v>0</v>
      </c>
      <c r="U4803" s="22">
        <f t="shared" si="300"/>
        <v>0</v>
      </c>
      <c r="V4803">
        <f t="shared" si="301"/>
        <v>0</v>
      </c>
      <c r="W4803" s="22">
        <f t="shared" si="302"/>
        <v>0</v>
      </c>
    </row>
    <row r="4804" spans="1:23" hidden="1" x14ac:dyDescent="0.25">
      <c r="A4804" s="3">
        <v>46082</v>
      </c>
      <c r="B4804" s="4" t="s">
        <v>334</v>
      </c>
      <c r="C4804" s="4" t="s">
        <v>2117</v>
      </c>
      <c r="D4804" s="4"/>
      <c r="E4804" s="4" t="s">
        <v>921</v>
      </c>
      <c r="F4804" s="46" t="s">
        <v>2352</v>
      </c>
      <c r="G4804" s="4" t="s">
        <v>336</v>
      </c>
      <c r="H4804" s="4" t="s">
        <v>380</v>
      </c>
      <c r="I4804" s="4">
        <v>1</v>
      </c>
      <c r="J4804" s="21">
        <v>30</v>
      </c>
      <c r="K4804" s="21">
        <v>30</v>
      </c>
      <c r="L4804" s="5">
        <v>0</v>
      </c>
      <c r="M4804" s="4"/>
      <c r="N4804" s="4"/>
      <c r="O4804" s="5"/>
      <c r="P4804" s="5"/>
      <c r="Q4804" s="21">
        <v>0</v>
      </c>
      <c r="R4804" s="21">
        <v>0</v>
      </c>
      <c r="S4804" s="5">
        <f t="shared" ref="S4804:S4867" si="303">S4803+Q4804-R4804</f>
        <v>57110.578573026425</v>
      </c>
      <c r="T4804" cm="1">
        <f t="array" ref="T4804">IF(OR(B4804="MAL ALIMI", B4804="ÜRETİM GİRİŞ"), MIN(I4804, MAX(0, I4804 + SUM(SUMIFS($I$1:I4803, $C$1:C4803, C4804, $B$1:B4803, {"MAL ALIMI","ÜRETİM GİRİŞ"})) - VLOOKUP(C4804, 'STOK RAPORU'!$C$2:$I$1000, 4, 0))), 0)</f>
        <v>0</v>
      </c>
      <c r="U4804" s="22">
        <f t="shared" si="300"/>
        <v>0</v>
      </c>
      <c r="V4804">
        <f t="shared" si="301"/>
        <v>0</v>
      </c>
      <c r="W4804" s="22">
        <f t="shared" si="302"/>
        <v>0</v>
      </c>
    </row>
    <row r="4805" spans="1:23" hidden="1" x14ac:dyDescent="0.25">
      <c r="A4805" s="3">
        <v>46082</v>
      </c>
      <c r="B4805" s="4" t="s">
        <v>334</v>
      </c>
      <c r="C4805" s="4" t="s">
        <v>1636</v>
      </c>
      <c r="D4805" s="4"/>
      <c r="E4805" s="4" t="s">
        <v>921</v>
      </c>
      <c r="F4805" s="46" t="s">
        <v>2352</v>
      </c>
      <c r="G4805" s="4" t="s">
        <v>336</v>
      </c>
      <c r="H4805" s="4" t="s">
        <v>380</v>
      </c>
      <c r="I4805" s="4">
        <v>1</v>
      </c>
      <c r="J4805" s="21">
        <v>150</v>
      </c>
      <c r="K4805" s="21">
        <v>150</v>
      </c>
      <c r="L4805" s="5">
        <v>0</v>
      </c>
      <c r="M4805" s="4"/>
      <c r="N4805" s="4"/>
      <c r="O4805" s="5"/>
      <c r="P4805" s="5"/>
      <c r="Q4805" s="21">
        <v>0</v>
      </c>
      <c r="R4805" s="21">
        <v>0</v>
      </c>
      <c r="S4805" s="5">
        <f t="shared" si="303"/>
        <v>57110.578573026425</v>
      </c>
      <c r="T4805" cm="1">
        <f t="array" ref="T4805">IF(OR(B4805="MAL ALIMI", B4805="ÜRETİM GİRİŞ"), MIN(I4805, MAX(0, I4805 + SUM(SUMIFS($I$1:I4804, $C$1:C4804, C4805, $B$1:B4804, {"MAL ALIMI","ÜRETİM GİRİŞ"})) - VLOOKUP(C4805, 'STOK RAPORU'!$C$2:$I$1000, 4, 0))), 0)</f>
        <v>0</v>
      </c>
      <c r="U4805" s="22">
        <f t="shared" si="300"/>
        <v>0</v>
      </c>
      <c r="V4805">
        <f t="shared" si="301"/>
        <v>0</v>
      </c>
      <c r="W4805" s="22">
        <f t="shared" si="302"/>
        <v>0</v>
      </c>
    </row>
    <row r="4806" spans="1:23" hidden="1" x14ac:dyDescent="0.25">
      <c r="A4806" s="3">
        <v>46082</v>
      </c>
      <c r="B4806" s="4" t="s">
        <v>334</v>
      </c>
      <c r="C4806" s="4" t="s">
        <v>60</v>
      </c>
      <c r="D4806" s="4"/>
      <c r="E4806" s="4" t="s">
        <v>921</v>
      </c>
      <c r="F4806" s="46" t="s">
        <v>2352</v>
      </c>
      <c r="G4806" s="4" t="s">
        <v>336</v>
      </c>
      <c r="H4806" s="4" t="s">
        <v>380</v>
      </c>
      <c r="I4806" s="4">
        <v>0.05</v>
      </c>
      <c r="J4806" s="21">
        <v>1200</v>
      </c>
      <c r="K4806" s="21">
        <v>60</v>
      </c>
      <c r="L4806" s="5">
        <v>0</v>
      </c>
      <c r="M4806" s="4"/>
      <c r="N4806" s="4"/>
      <c r="O4806" s="5"/>
      <c r="P4806" s="5"/>
      <c r="Q4806" s="21">
        <v>0</v>
      </c>
      <c r="R4806" s="21">
        <v>0</v>
      </c>
      <c r="S4806" s="5">
        <f t="shared" si="303"/>
        <v>57110.578573026425</v>
      </c>
      <c r="T4806" cm="1">
        <f t="array" ref="T4806">IF(OR(B4806="MAL ALIMI", B4806="ÜRETİM GİRİŞ"), MIN(I4806, MAX(0, I4806 + SUM(SUMIFS($I$1:I4805, $C$1:C4805, C4806, $B$1:B4805, {"MAL ALIMI","ÜRETİM GİRİŞ"})) - VLOOKUP(C4806, 'STOK RAPORU'!$C$2:$I$1000, 4, 0))), 0)</f>
        <v>0</v>
      </c>
      <c r="U4806" s="22">
        <f t="shared" si="300"/>
        <v>0</v>
      </c>
      <c r="V4806">
        <f t="shared" si="301"/>
        <v>0</v>
      </c>
      <c r="W4806" s="22">
        <f t="shared" si="302"/>
        <v>0</v>
      </c>
    </row>
    <row r="4807" spans="1:23" hidden="1" x14ac:dyDescent="0.25">
      <c r="A4807" s="3">
        <v>46082</v>
      </c>
      <c r="B4807" s="4" t="s">
        <v>334</v>
      </c>
      <c r="C4807" s="4" t="s">
        <v>529</v>
      </c>
      <c r="D4807" s="4"/>
      <c r="E4807" s="4" t="s">
        <v>921</v>
      </c>
      <c r="F4807" s="46" t="s">
        <v>2365</v>
      </c>
      <c r="G4807" s="4" t="s">
        <v>336</v>
      </c>
      <c r="H4807" s="4" t="s">
        <v>380</v>
      </c>
      <c r="I4807" s="4">
        <v>0.1</v>
      </c>
      <c r="J4807" s="21">
        <v>600</v>
      </c>
      <c r="K4807" s="21">
        <v>60</v>
      </c>
      <c r="L4807" s="5">
        <v>0</v>
      </c>
      <c r="M4807" s="4"/>
      <c r="N4807" s="4"/>
      <c r="O4807" s="5"/>
      <c r="P4807" s="5"/>
      <c r="Q4807" s="21">
        <v>0</v>
      </c>
      <c r="R4807" s="21">
        <v>0</v>
      </c>
      <c r="S4807" s="5">
        <f t="shared" si="303"/>
        <v>57110.578573026425</v>
      </c>
      <c r="T4807" cm="1">
        <f t="array" ref="T4807">IF(OR(B4807="MAL ALIMI", B4807="ÜRETİM GİRİŞ"), MIN(I4807, MAX(0, I4807 + SUM(SUMIFS($I$1:I4806, $C$1:C4806, C4807, $B$1:B4806, {"MAL ALIMI","ÜRETİM GİRİŞ"})) - VLOOKUP(C4807, 'STOK RAPORU'!$C$2:$I$1000, 4, 0))), 0)</f>
        <v>0</v>
      </c>
      <c r="U4807" s="22">
        <f t="shared" si="300"/>
        <v>0</v>
      </c>
      <c r="V4807">
        <f t="shared" si="301"/>
        <v>0</v>
      </c>
      <c r="W4807" s="22">
        <f t="shared" si="302"/>
        <v>0</v>
      </c>
    </row>
    <row r="4808" spans="1:23" hidden="1" x14ac:dyDescent="0.25">
      <c r="A4808" s="3">
        <v>46082</v>
      </c>
      <c r="B4808" s="4" t="s">
        <v>334</v>
      </c>
      <c r="C4808" s="4" t="s">
        <v>1041</v>
      </c>
      <c r="D4808" s="4"/>
      <c r="E4808" s="4" t="s">
        <v>921</v>
      </c>
      <c r="F4808" s="46" t="s">
        <v>2366</v>
      </c>
      <c r="G4808" s="4" t="s">
        <v>336</v>
      </c>
      <c r="H4808" s="4" t="s">
        <v>380</v>
      </c>
      <c r="I4808" s="4">
        <v>1</v>
      </c>
      <c r="J4808" s="21">
        <v>250</v>
      </c>
      <c r="K4808" s="21">
        <v>250</v>
      </c>
      <c r="L4808" s="5">
        <v>0</v>
      </c>
      <c r="M4808" s="4"/>
      <c r="N4808" s="4"/>
      <c r="O4808" s="5"/>
      <c r="P4808" s="5"/>
      <c r="Q4808" s="21">
        <v>0</v>
      </c>
      <c r="R4808" s="21">
        <v>0</v>
      </c>
      <c r="S4808" s="5">
        <f t="shared" si="303"/>
        <v>57110.578573026425</v>
      </c>
      <c r="T4808" cm="1">
        <f t="array" ref="T4808">IF(OR(B4808="MAL ALIMI", B4808="ÜRETİM GİRİŞ"), MIN(I4808, MAX(0, I4808 + SUM(SUMIFS($I$1:I4807, $C$1:C4807, C4808, $B$1:B4807, {"MAL ALIMI","ÜRETİM GİRİŞ"})) - VLOOKUP(C4808, 'STOK RAPORU'!$C$2:$I$1000, 4, 0))), 0)</f>
        <v>0</v>
      </c>
      <c r="U4808" s="22">
        <f t="shared" si="300"/>
        <v>0</v>
      </c>
      <c r="V4808">
        <f t="shared" si="301"/>
        <v>0</v>
      </c>
      <c r="W4808" s="22">
        <f t="shared" si="302"/>
        <v>0</v>
      </c>
    </row>
    <row r="4809" spans="1:23" hidden="1" x14ac:dyDescent="0.25">
      <c r="A4809" s="3">
        <v>46082</v>
      </c>
      <c r="B4809" s="4" t="s">
        <v>334</v>
      </c>
      <c r="C4809" s="4" t="s">
        <v>523</v>
      </c>
      <c r="D4809" s="4"/>
      <c r="E4809" s="4"/>
      <c r="F4809" s="46" t="s">
        <v>2367</v>
      </c>
      <c r="G4809" s="4" t="s">
        <v>336</v>
      </c>
      <c r="H4809" s="4" t="s">
        <v>289</v>
      </c>
      <c r="I4809" s="4">
        <v>0.08</v>
      </c>
      <c r="J4809" s="21">
        <v>813</v>
      </c>
      <c r="K4809" s="21">
        <v>0</v>
      </c>
      <c r="L4809" s="5">
        <v>0</v>
      </c>
      <c r="M4809" s="4"/>
      <c r="N4809" s="4"/>
      <c r="O4809" s="5"/>
      <c r="P4809" s="5"/>
      <c r="Q4809" s="21">
        <v>65.040000000000006</v>
      </c>
      <c r="R4809" s="21">
        <v>0</v>
      </c>
      <c r="S4809" s="5">
        <f t="shared" si="303"/>
        <v>57175.618573026426</v>
      </c>
      <c r="T4809" cm="1">
        <f t="array" ref="T4809">IF(OR(B4809="MAL ALIMI", B4809="ÜRETİM GİRİŞ"), MIN(I4809, MAX(0, I4809 + SUM(SUMIFS($I$1:I4808, $C$1:C4808, C4809, $B$1:B4808, {"MAL ALIMI","ÜRETİM GİRİŞ"})) - VLOOKUP(C4809, 'STOK RAPORU'!$C$2:$I$1000, 4, 0))), 0)</f>
        <v>0</v>
      </c>
      <c r="U4809" s="22">
        <f t="shared" si="300"/>
        <v>0</v>
      </c>
      <c r="V4809">
        <f t="shared" si="301"/>
        <v>0</v>
      </c>
      <c r="W4809" s="22">
        <f t="shared" si="302"/>
        <v>0</v>
      </c>
    </row>
    <row r="4810" spans="1:23" hidden="1" x14ac:dyDescent="0.25">
      <c r="A4810" s="3">
        <v>46082</v>
      </c>
      <c r="B4810" s="4" t="s">
        <v>334</v>
      </c>
      <c r="C4810" s="4" t="s">
        <v>529</v>
      </c>
      <c r="D4810" s="4"/>
      <c r="E4810" s="4"/>
      <c r="F4810" s="46" t="s">
        <v>2367</v>
      </c>
      <c r="G4810" s="4" t="s">
        <v>336</v>
      </c>
      <c r="H4810" s="4" t="s">
        <v>289</v>
      </c>
      <c r="I4810" s="4">
        <v>0.1</v>
      </c>
      <c r="J4810" s="21">
        <v>650</v>
      </c>
      <c r="K4810" s="21">
        <v>0</v>
      </c>
      <c r="L4810" s="5">
        <v>0</v>
      </c>
      <c r="M4810" s="4"/>
      <c r="N4810" s="4"/>
      <c r="O4810" s="5"/>
      <c r="P4810" s="5"/>
      <c r="Q4810" s="21">
        <v>65</v>
      </c>
      <c r="R4810" s="21">
        <v>0</v>
      </c>
      <c r="S4810" s="5">
        <f t="shared" si="303"/>
        <v>57240.618573026426</v>
      </c>
      <c r="T4810" cm="1">
        <f t="array" ref="T4810">IF(OR(B4810="MAL ALIMI", B4810="ÜRETİM GİRİŞ"), MIN(I4810, MAX(0, I4810 + SUM(SUMIFS($I$1:I4809, $C$1:C4809, C4810, $B$1:B4809, {"MAL ALIMI","ÜRETİM GİRİŞ"})) - VLOOKUP(C4810, 'STOK RAPORU'!$C$2:$I$1000, 4, 0))), 0)</f>
        <v>0</v>
      </c>
      <c r="U4810" s="22">
        <f t="shared" si="300"/>
        <v>0</v>
      </c>
      <c r="V4810">
        <f t="shared" si="301"/>
        <v>0</v>
      </c>
      <c r="W4810" s="22">
        <f t="shared" si="302"/>
        <v>0</v>
      </c>
    </row>
    <row r="4811" spans="1:23" hidden="1" x14ac:dyDescent="0.25">
      <c r="A4811" s="3">
        <v>46082</v>
      </c>
      <c r="B4811" s="4" t="s">
        <v>334</v>
      </c>
      <c r="C4811" s="4" t="s">
        <v>523</v>
      </c>
      <c r="D4811" s="4"/>
      <c r="E4811" s="4"/>
      <c r="F4811" s="46" t="s">
        <v>2368</v>
      </c>
      <c r="G4811" s="4" t="s">
        <v>336</v>
      </c>
      <c r="H4811" s="4" t="s">
        <v>289</v>
      </c>
      <c r="I4811" s="4">
        <v>0.08</v>
      </c>
      <c r="J4811" s="21">
        <v>750</v>
      </c>
      <c r="K4811" s="21">
        <v>0</v>
      </c>
      <c r="L4811" s="5">
        <v>0</v>
      </c>
      <c r="M4811" s="4"/>
      <c r="N4811" s="4"/>
      <c r="O4811" s="5"/>
      <c r="P4811" s="5"/>
      <c r="Q4811" s="21">
        <v>60</v>
      </c>
      <c r="R4811" s="21">
        <v>0</v>
      </c>
      <c r="S4811" s="5">
        <f t="shared" si="303"/>
        <v>57300.618573026426</v>
      </c>
      <c r="T4811" cm="1">
        <f t="array" ref="T4811">IF(OR(B4811="MAL ALIMI", B4811="ÜRETİM GİRİŞ"), MIN(I4811, MAX(0, I4811 + SUM(SUMIFS($I$1:I4810, $C$1:C4810, C4811, $B$1:B4810, {"MAL ALIMI","ÜRETİM GİRİŞ"})) - VLOOKUP(C4811, 'STOK RAPORU'!$C$2:$I$1000, 4, 0))), 0)</f>
        <v>0</v>
      </c>
      <c r="U4811" s="22">
        <f t="shared" si="300"/>
        <v>0</v>
      </c>
      <c r="V4811">
        <f t="shared" si="301"/>
        <v>0</v>
      </c>
      <c r="W4811" s="22">
        <f t="shared" si="302"/>
        <v>0</v>
      </c>
    </row>
    <row r="4812" spans="1:23" hidden="1" x14ac:dyDescent="0.25">
      <c r="A4812" s="3">
        <v>46082</v>
      </c>
      <c r="B4812" s="4" t="s">
        <v>334</v>
      </c>
      <c r="C4812" s="4" t="s">
        <v>160</v>
      </c>
      <c r="D4812" s="4"/>
      <c r="E4812" s="4" t="s">
        <v>921</v>
      </c>
      <c r="F4812" s="46" t="s">
        <v>2369</v>
      </c>
      <c r="G4812" s="4" t="s">
        <v>336</v>
      </c>
      <c r="H4812" s="4" t="s">
        <v>380</v>
      </c>
      <c r="I4812" s="4">
        <v>0.5</v>
      </c>
      <c r="J4812" s="21">
        <v>250</v>
      </c>
      <c r="K4812" s="21">
        <v>125</v>
      </c>
      <c r="L4812" s="5">
        <v>0</v>
      </c>
      <c r="M4812" s="4"/>
      <c r="N4812" s="4"/>
      <c r="O4812" s="5"/>
      <c r="P4812" s="5"/>
      <c r="Q4812" s="21">
        <v>0</v>
      </c>
      <c r="R4812" s="21">
        <v>0</v>
      </c>
      <c r="S4812" s="5">
        <f t="shared" si="303"/>
        <v>57300.618573026426</v>
      </c>
      <c r="T4812" cm="1">
        <f t="array" ref="T4812">IF(OR(B4812="MAL ALIMI", B4812="ÜRETİM GİRİŞ"), MIN(I4812, MAX(0, I4812 + SUM(SUMIFS($I$1:I4811, $C$1:C4811, C4812, $B$1:B4811, {"MAL ALIMI","ÜRETİM GİRİŞ"})) - VLOOKUP(C4812, 'STOK RAPORU'!$C$2:$I$1000, 4, 0))), 0)</f>
        <v>0</v>
      </c>
      <c r="U4812" s="22">
        <f t="shared" si="300"/>
        <v>0</v>
      </c>
      <c r="V4812">
        <f t="shared" si="301"/>
        <v>0</v>
      </c>
      <c r="W4812" s="22">
        <f t="shared" si="302"/>
        <v>0</v>
      </c>
    </row>
    <row r="4813" spans="1:23" hidden="1" x14ac:dyDescent="0.25">
      <c r="A4813" s="3">
        <v>46082</v>
      </c>
      <c r="B4813" s="4" t="s">
        <v>334</v>
      </c>
      <c r="C4813" s="4" t="s">
        <v>162</v>
      </c>
      <c r="D4813" s="4"/>
      <c r="E4813" s="4" t="s">
        <v>921</v>
      </c>
      <c r="F4813" s="46" t="s">
        <v>2369</v>
      </c>
      <c r="G4813" s="4" t="s">
        <v>336</v>
      </c>
      <c r="H4813" s="4" t="s">
        <v>380</v>
      </c>
      <c r="I4813" s="4">
        <v>0.5</v>
      </c>
      <c r="J4813" s="21">
        <v>250</v>
      </c>
      <c r="K4813" s="21">
        <v>125</v>
      </c>
      <c r="L4813" s="5">
        <v>0</v>
      </c>
      <c r="M4813" s="4"/>
      <c r="N4813" s="4"/>
      <c r="O4813" s="5"/>
      <c r="P4813" s="5"/>
      <c r="Q4813" s="21">
        <v>0</v>
      </c>
      <c r="R4813" s="21">
        <v>0</v>
      </c>
      <c r="S4813" s="5">
        <f t="shared" si="303"/>
        <v>57300.618573026426</v>
      </c>
      <c r="T4813" cm="1">
        <f t="array" ref="T4813">IF(OR(B4813="MAL ALIMI", B4813="ÜRETİM GİRİŞ"), MIN(I4813, MAX(0, I4813 + SUM(SUMIFS($I$1:I4812, $C$1:C4812, C4813, $B$1:B4812, {"MAL ALIMI","ÜRETİM GİRİŞ"})) - VLOOKUP(C4813, 'STOK RAPORU'!$C$2:$I$1000, 4, 0))), 0)</f>
        <v>0</v>
      </c>
      <c r="U4813" s="22">
        <f t="shared" si="300"/>
        <v>0</v>
      </c>
      <c r="V4813">
        <f t="shared" si="301"/>
        <v>0</v>
      </c>
      <c r="W4813" s="22">
        <f t="shared" si="302"/>
        <v>0</v>
      </c>
    </row>
    <row r="4814" spans="1:23" hidden="1" x14ac:dyDescent="0.25">
      <c r="A4814" s="3">
        <v>46082</v>
      </c>
      <c r="B4814" s="4" t="s">
        <v>334</v>
      </c>
      <c r="C4814" s="4" t="s">
        <v>690</v>
      </c>
      <c r="D4814" s="4"/>
      <c r="E4814" s="4" t="s">
        <v>921</v>
      </c>
      <c r="F4814" s="46" t="s">
        <v>2369</v>
      </c>
      <c r="G4814" s="4" t="s">
        <v>336</v>
      </c>
      <c r="H4814" s="4" t="s">
        <v>380</v>
      </c>
      <c r="I4814" s="4">
        <v>0.4</v>
      </c>
      <c r="J4814" s="21">
        <v>340</v>
      </c>
      <c r="K4814" s="21">
        <v>136</v>
      </c>
      <c r="L4814" s="5">
        <v>0</v>
      </c>
      <c r="M4814" s="4"/>
      <c r="N4814" s="4"/>
      <c r="O4814" s="5"/>
      <c r="P4814" s="5"/>
      <c r="Q4814" s="21">
        <v>0</v>
      </c>
      <c r="R4814" s="21">
        <v>0</v>
      </c>
      <c r="S4814" s="5">
        <f t="shared" si="303"/>
        <v>57300.618573026426</v>
      </c>
      <c r="T4814" cm="1">
        <f t="array" ref="T4814">IF(OR(B4814="MAL ALIMI", B4814="ÜRETİM GİRİŞ"), MIN(I4814, MAX(0, I4814 + SUM(SUMIFS($I$1:I4813, $C$1:C4813, C4814, $B$1:B4813, {"MAL ALIMI","ÜRETİM GİRİŞ"})) - VLOOKUP(C4814, 'STOK RAPORU'!$C$2:$I$1000, 4, 0))), 0)</f>
        <v>0</v>
      </c>
      <c r="U4814" s="22">
        <f t="shared" si="300"/>
        <v>0</v>
      </c>
      <c r="V4814">
        <f t="shared" si="301"/>
        <v>0</v>
      </c>
      <c r="W4814" s="22">
        <f t="shared" si="302"/>
        <v>0</v>
      </c>
    </row>
    <row r="4815" spans="1:23" hidden="1" x14ac:dyDescent="0.25">
      <c r="A4815" s="3">
        <v>46082</v>
      </c>
      <c r="B4815" s="4" t="s">
        <v>334</v>
      </c>
      <c r="C4815" s="4" t="s">
        <v>679</v>
      </c>
      <c r="D4815" s="4"/>
      <c r="E4815" s="4" t="s">
        <v>921</v>
      </c>
      <c r="F4815" s="46" t="s">
        <v>2369</v>
      </c>
      <c r="G4815" s="4" t="s">
        <v>336</v>
      </c>
      <c r="H4815" s="4" t="s">
        <v>380</v>
      </c>
      <c r="I4815" s="4">
        <v>0.25</v>
      </c>
      <c r="J4815" s="21">
        <v>400</v>
      </c>
      <c r="K4815" s="21">
        <v>100</v>
      </c>
      <c r="L4815" s="5">
        <v>0</v>
      </c>
      <c r="M4815" s="4"/>
      <c r="N4815" s="4"/>
      <c r="O4815" s="5"/>
      <c r="P4815" s="5"/>
      <c r="Q4815" s="21">
        <v>0</v>
      </c>
      <c r="R4815" s="21">
        <v>0</v>
      </c>
      <c r="S4815" s="5">
        <f t="shared" si="303"/>
        <v>57300.618573026426</v>
      </c>
      <c r="T4815" cm="1">
        <f t="array" ref="T4815">IF(OR(B4815="MAL ALIMI", B4815="ÜRETİM GİRİŞ"), MIN(I4815, MAX(0, I4815 + SUM(SUMIFS($I$1:I4814, $C$1:C4814, C4815, $B$1:B4814, {"MAL ALIMI","ÜRETİM GİRİŞ"})) - VLOOKUP(C4815, 'STOK RAPORU'!$C$2:$I$1000, 4, 0))), 0)</f>
        <v>0</v>
      </c>
      <c r="U4815" s="22">
        <f t="shared" si="300"/>
        <v>0</v>
      </c>
      <c r="V4815">
        <f t="shared" si="301"/>
        <v>0</v>
      </c>
      <c r="W4815" s="22">
        <f t="shared" si="302"/>
        <v>0</v>
      </c>
    </row>
    <row r="4816" spans="1:23" hidden="1" x14ac:dyDescent="0.25">
      <c r="A4816" s="3">
        <v>46082</v>
      </c>
      <c r="B4816" s="4" t="s">
        <v>334</v>
      </c>
      <c r="C4816" s="4" t="s">
        <v>2121</v>
      </c>
      <c r="D4816" s="4"/>
      <c r="E4816" s="4" t="s">
        <v>921</v>
      </c>
      <c r="F4816" s="46" t="s">
        <v>2369</v>
      </c>
      <c r="G4816" s="4" t="s">
        <v>336</v>
      </c>
      <c r="H4816" s="4" t="s">
        <v>380</v>
      </c>
      <c r="I4816" s="4">
        <v>0.2153846153846154</v>
      </c>
      <c r="J4816" s="21">
        <v>65</v>
      </c>
      <c r="K4816" s="21">
        <v>14</v>
      </c>
      <c r="L4816" s="5">
        <v>0</v>
      </c>
      <c r="M4816" s="4"/>
      <c r="N4816" s="4"/>
      <c r="O4816" s="5"/>
      <c r="P4816" s="5"/>
      <c r="Q4816" s="21">
        <v>0</v>
      </c>
      <c r="R4816" s="21">
        <v>0</v>
      </c>
      <c r="S4816" s="5">
        <f t="shared" si="303"/>
        <v>57300.618573026426</v>
      </c>
      <c r="T4816" cm="1">
        <f t="array" ref="T4816">IF(OR(B4816="MAL ALIMI", B4816="ÜRETİM GİRİŞ"), MIN(I4816, MAX(0, I4816 + SUM(SUMIFS($I$1:I4815, $C$1:C4815, C4816, $B$1:B4815, {"MAL ALIMI","ÜRETİM GİRİŞ"})) - VLOOKUP(C4816, 'STOK RAPORU'!$C$2:$I$1000, 4, 0))), 0)</f>
        <v>0</v>
      </c>
      <c r="U4816" s="22">
        <f t="shared" si="300"/>
        <v>0</v>
      </c>
      <c r="V4816">
        <f t="shared" si="301"/>
        <v>0</v>
      </c>
      <c r="W4816" s="22">
        <f t="shared" si="302"/>
        <v>0</v>
      </c>
    </row>
    <row r="4817" spans="1:23" hidden="1" x14ac:dyDescent="0.25">
      <c r="A4817" s="3">
        <v>46082</v>
      </c>
      <c r="B4817" s="4" t="s">
        <v>334</v>
      </c>
      <c r="C4817" s="4" t="s">
        <v>2121</v>
      </c>
      <c r="D4817" s="4"/>
      <c r="E4817" s="4"/>
      <c r="F4817" s="46" t="s">
        <v>2370</v>
      </c>
      <c r="G4817" s="4" t="s">
        <v>336</v>
      </c>
      <c r="H4817" s="4" t="s">
        <v>289</v>
      </c>
      <c r="I4817" s="4">
        <v>0.27692307692307694</v>
      </c>
      <c r="J4817" s="21">
        <v>65</v>
      </c>
      <c r="K4817" s="21">
        <v>0</v>
      </c>
      <c r="L4817" s="5">
        <v>0</v>
      </c>
      <c r="M4817" s="4"/>
      <c r="N4817" s="4"/>
      <c r="O4817" s="5"/>
      <c r="P4817" s="5"/>
      <c r="Q4817" s="21">
        <v>18</v>
      </c>
      <c r="R4817" s="21">
        <v>0</v>
      </c>
      <c r="S4817" s="5">
        <f t="shared" si="303"/>
        <v>57318.618573026426</v>
      </c>
      <c r="T4817" cm="1">
        <f t="array" ref="T4817">IF(OR(B4817="MAL ALIMI", B4817="ÜRETİM GİRİŞ"), MIN(I4817, MAX(0, I4817 + SUM(SUMIFS($I$1:I4816, $C$1:C4816, C4817, $B$1:B4816, {"MAL ALIMI","ÜRETİM GİRİŞ"})) - VLOOKUP(C4817, 'STOK RAPORU'!$C$2:$I$1000, 4, 0))), 0)</f>
        <v>0</v>
      </c>
      <c r="U4817" s="22">
        <f t="shared" si="300"/>
        <v>0</v>
      </c>
      <c r="V4817">
        <f t="shared" si="301"/>
        <v>0</v>
      </c>
      <c r="W4817" s="22">
        <f t="shared" si="302"/>
        <v>0</v>
      </c>
    </row>
    <row r="4818" spans="1:23" hidden="1" x14ac:dyDescent="0.25">
      <c r="A4818" s="3">
        <v>46082</v>
      </c>
      <c r="B4818" s="4" t="s">
        <v>334</v>
      </c>
      <c r="C4818" s="4" t="s">
        <v>202</v>
      </c>
      <c r="D4818" s="4"/>
      <c r="E4818" s="4"/>
      <c r="F4818" s="46" t="s">
        <v>2371</v>
      </c>
      <c r="G4818" s="4" t="s">
        <v>336</v>
      </c>
      <c r="H4818" s="4" t="s">
        <v>289</v>
      </c>
      <c r="I4818" s="4">
        <v>0.5</v>
      </c>
      <c r="J4818" s="21">
        <v>80</v>
      </c>
      <c r="K4818" s="21">
        <v>0</v>
      </c>
      <c r="L4818" s="5">
        <v>0</v>
      </c>
      <c r="M4818" s="4"/>
      <c r="N4818" s="4"/>
      <c r="O4818" s="5"/>
      <c r="P4818" s="5"/>
      <c r="Q4818" s="21">
        <v>40</v>
      </c>
      <c r="R4818" s="21">
        <v>0</v>
      </c>
      <c r="S4818" s="5">
        <f t="shared" si="303"/>
        <v>57358.618573026426</v>
      </c>
      <c r="T4818" cm="1">
        <f t="array" ref="T4818">IF(OR(B4818="MAL ALIMI", B4818="ÜRETİM GİRİŞ"), MIN(I4818, MAX(0, I4818 + SUM(SUMIFS($I$1:I4817, $C$1:C4817, C4818, $B$1:B4817, {"MAL ALIMI","ÜRETİM GİRİŞ"})) - VLOOKUP(C4818, 'STOK RAPORU'!$C$2:$I$1000, 4, 0))), 0)</f>
        <v>0</v>
      </c>
      <c r="U4818" s="22">
        <f t="shared" si="300"/>
        <v>0</v>
      </c>
      <c r="V4818">
        <f t="shared" si="301"/>
        <v>0</v>
      </c>
      <c r="W4818" s="22">
        <f t="shared" si="302"/>
        <v>0</v>
      </c>
    </row>
    <row r="4819" spans="1:23" hidden="1" x14ac:dyDescent="0.25">
      <c r="A4819" s="3">
        <v>46082</v>
      </c>
      <c r="B4819" s="4" t="s">
        <v>334</v>
      </c>
      <c r="C4819" s="4" t="s">
        <v>591</v>
      </c>
      <c r="D4819" s="4"/>
      <c r="E4819" s="4" t="s">
        <v>921</v>
      </c>
      <c r="F4819" s="46" t="s">
        <v>2372</v>
      </c>
      <c r="G4819" s="4" t="s">
        <v>336</v>
      </c>
      <c r="H4819" s="4" t="s">
        <v>380</v>
      </c>
      <c r="I4819" s="4">
        <v>1</v>
      </c>
      <c r="J4819" s="21">
        <v>350</v>
      </c>
      <c r="K4819" s="21">
        <v>350</v>
      </c>
      <c r="L4819" s="5">
        <v>0</v>
      </c>
      <c r="M4819" s="4"/>
      <c r="N4819" s="4"/>
      <c r="O4819" s="5"/>
      <c r="P4819" s="5"/>
      <c r="Q4819" s="21">
        <v>0</v>
      </c>
      <c r="R4819" s="21">
        <v>0</v>
      </c>
      <c r="S4819" s="5">
        <f t="shared" si="303"/>
        <v>57358.618573026426</v>
      </c>
      <c r="T4819" cm="1">
        <f t="array" ref="T4819">IF(OR(B4819="MAL ALIMI", B4819="ÜRETİM GİRİŞ"), MIN(I4819, MAX(0, I4819 + SUM(SUMIFS($I$1:I4818, $C$1:C4818, C4819, $B$1:B4818, {"MAL ALIMI","ÜRETİM GİRİŞ"})) - VLOOKUP(C4819, 'STOK RAPORU'!$C$2:$I$1000, 4, 0))), 0)</f>
        <v>0</v>
      </c>
      <c r="U4819" s="22">
        <f t="shared" si="300"/>
        <v>0</v>
      </c>
      <c r="V4819">
        <f t="shared" si="301"/>
        <v>0</v>
      </c>
      <c r="W4819" s="22">
        <f t="shared" si="302"/>
        <v>0</v>
      </c>
    </row>
    <row r="4820" spans="1:23" hidden="1" x14ac:dyDescent="0.25">
      <c r="A4820" s="3">
        <v>46082</v>
      </c>
      <c r="B4820" s="4" t="s">
        <v>334</v>
      </c>
      <c r="C4820" s="4" t="s">
        <v>157</v>
      </c>
      <c r="D4820" s="4"/>
      <c r="E4820" s="4"/>
      <c r="F4820" s="46" t="s">
        <v>2373</v>
      </c>
      <c r="G4820" s="4" t="s">
        <v>336</v>
      </c>
      <c r="H4820" s="4" t="s">
        <v>289</v>
      </c>
      <c r="I4820" s="4">
        <v>1</v>
      </c>
      <c r="J4820" s="21">
        <v>200</v>
      </c>
      <c r="K4820" s="21">
        <v>0</v>
      </c>
      <c r="L4820" s="5">
        <v>0</v>
      </c>
      <c r="M4820" s="4"/>
      <c r="N4820" s="4"/>
      <c r="O4820" s="5"/>
      <c r="P4820" s="5"/>
      <c r="Q4820" s="21">
        <v>200</v>
      </c>
      <c r="R4820" s="21">
        <v>0</v>
      </c>
      <c r="S4820" s="5">
        <f t="shared" si="303"/>
        <v>57558.618573026426</v>
      </c>
      <c r="T4820" cm="1">
        <f t="array" ref="T4820">IF(OR(B4820="MAL ALIMI", B4820="ÜRETİM GİRİŞ"), MIN(I4820, MAX(0, I4820 + SUM(SUMIFS($I$1:I4819, $C$1:C4819, C4820, $B$1:B4819, {"MAL ALIMI","ÜRETİM GİRİŞ"})) - VLOOKUP(C4820, 'STOK RAPORU'!$C$2:$I$1000, 4, 0))), 0)</f>
        <v>0</v>
      </c>
      <c r="U4820" s="22">
        <f t="shared" si="300"/>
        <v>0</v>
      </c>
      <c r="V4820">
        <f t="shared" si="301"/>
        <v>0</v>
      </c>
      <c r="W4820" s="22">
        <f t="shared" si="302"/>
        <v>0</v>
      </c>
    </row>
    <row r="4821" spans="1:23" hidden="1" x14ac:dyDescent="0.25">
      <c r="A4821" s="3">
        <v>46082</v>
      </c>
      <c r="B4821" s="4" t="s">
        <v>334</v>
      </c>
      <c r="C4821" s="4" t="s">
        <v>92</v>
      </c>
      <c r="D4821" s="4"/>
      <c r="E4821" s="4"/>
      <c r="F4821" s="46" t="s">
        <v>2374</v>
      </c>
      <c r="G4821" s="4" t="s">
        <v>336</v>
      </c>
      <c r="H4821" s="4" t="s">
        <v>289</v>
      </c>
      <c r="I4821" s="4">
        <v>0.2</v>
      </c>
      <c r="J4821" s="21">
        <v>500</v>
      </c>
      <c r="K4821" s="21">
        <v>0</v>
      </c>
      <c r="L4821" s="5">
        <v>0</v>
      </c>
      <c r="M4821" s="4"/>
      <c r="N4821" s="4"/>
      <c r="O4821" s="5"/>
      <c r="P4821" s="5"/>
      <c r="Q4821" s="21">
        <v>100</v>
      </c>
      <c r="R4821" s="21">
        <v>0</v>
      </c>
      <c r="S4821" s="5">
        <f t="shared" si="303"/>
        <v>57658.618573026426</v>
      </c>
      <c r="T4821" cm="1">
        <f t="array" ref="T4821">IF(OR(B4821="MAL ALIMI", B4821="ÜRETİM GİRİŞ"), MIN(I4821, MAX(0, I4821 + SUM(SUMIFS($I$1:I4820, $C$1:C4820, C4821, $B$1:B4820, {"MAL ALIMI","ÜRETİM GİRİŞ"})) - VLOOKUP(C4821, 'STOK RAPORU'!$C$2:$I$1000, 4, 0))), 0)</f>
        <v>0</v>
      </c>
      <c r="U4821" s="22">
        <f t="shared" si="300"/>
        <v>0</v>
      </c>
      <c r="V4821">
        <f t="shared" si="301"/>
        <v>0</v>
      </c>
      <c r="W4821" s="22">
        <f t="shared" si="302"/>
        <v>0</v>
      </c>
    </row>
    <row r="4822" spans="1:23" hidden="1" x14ac:dyDescent="0.25">
      <c r="A4822" s="3">
        <v>46082</v>
      </c>
      <c r="B4822" s="4" t="s">
        <v>334</v>
      </c>
      <c r="C4822" s="4" t="s">
        <v>223</v>
      </c>
      <c r="D4822" s="4"/>
      <c r="E4822" s="4"/>
      <c r="F4822" s="46" t="s">
        <v>2375</v>
      </c>
      <c r="G4822" s="4" t="s">
        <v>336</v>
      </c>
      <c r="H4822" s="4" t="s">
        <v>289</v>
      </c>
      <c r="I4822" s="4">
        <v>0.5</v>
      </c>
      <c r="J4822" s="21">
        <v>800</v>
      </c>
      <c r="K4822" s="21">
        <v>0</v>
      </c>
      <c r="L4822" s="5">
        <v>0</v>
      </c>
      <c r="M4822" s="4"/>
      <c r="N4822" s="4"/>
      <c r="O4822" s="5"/>
      <c r="P4822" s="5"/>
      <c r="Q4822" s="21">
        <v>400</v>
      </c>
      <c r="R4822" s="21">
        <v>0</v>
      </c>
      <c r="S4822" s="5">
        <f t="shared" si="303"/>
        <v>58058.618573026426</v>
      </c>
      <c r="T4822" cm="1">
        <f t="array" ref="T4822">IF(OR(B4822="MAL ALIMI", B4822="ÜRETİM GİRİŞ"), MIN(I4822, MAX(0, I4822 + SUM(SUMIFS($I$1:I4821, $C$1:C4821, C4822, $B$1:B4821, {"MAL ALIMI","ÜRETİM GİRİŞ"})) - VLOOKUP(C4822, 'STOK RAPORU'!$C$2:$I$1000, 4, 0))), 0)</f>
        <v>0</v>
      </c>
      <c r="U4822" s="22">
        <f t="shared" si="300"/>
        <v>0</v>
      </c>
      <c r="V4822">
        <f t="shared" si="301"/>
        <v>0</v>
      </c>
      <c r="W4822" s="22">
        <f t="shared" si="302"/>
        <v>0</v>
      </c>
    </row>
    <row r="4823" spans="1:23" hidden="1" x14ac:dyDescent="0.25">
      <c r="A4823" s="3">
        <v>46082</v>
      </c>
      <c r="B4823" s="4" t="s">
        <v>334</v>
      </c>
      <c r="C4823" s="4" t="s">
        <v>2125</v>
      </c>
      <c r="D4823" s="4"/>
      <c r="E4823" s="4"/>
      <c r="F4823" s="46" t="s">
        <v>2376</v>
      </c>
      <c r="G4823" s="4" t="s">
        <v>336</v>
      </c>
      <c r="H4823" s="4" t="s">
        <v>289</v>
      </c>
      <c r="I4823" s="4">
        <v>0.27027027027027029</v>
      </c>
      <c r="J4823" s="21">
        <v>370</v>
      </c>
      <c r="K4823" s="21">
        <v>0</v>
      </c>
      <c r="L4823" s="5">
        <v>0</v>
      </c>
      <c r="M4823" s="4"/>
      <c r="N4823" s="4"/>
      <c r="O4823" s="5"/>
      <c r="P4823" s="5"/>
      <c r="Q4823" s="21">
        <v>100</v>
      </c>
      <c r="R4823" s="21">
        <v>0</v>
      </c>
      <c r="S4823" s="5">
        <f t="shared" si="303"/>
        <v>58158.618573026426</v>
      </c>
      <c r="T4823" cm="1">
        <f t="array" ref="T4823">IF(OR(B4823="MAL ALIMI", B4823="ÜRETİM GİRİŞ"), MIN(I4823, MAX(0, I4823 + SUM(SUMIFS($I$1:I4822, $C$1:C4822, C4823, $B$1:B4822, {"MAL ALIMI","ÜRETİM GİRİŞ"})) - VLOOKUP(C4823, 'STOK RAPORU'!$C$2:$I$1000, 4, 0))), 0)</f>
        <v>0</v>
      </c>
      <c r="U4823" s="22">
        <f t="shared" si="300"/>
        <v>0</v>
      </c>
      <c r="V4823">
        <f t="shared" si="301"/>
        <v>0</v>
      </c>
      <c r="W4823" s="22">
        <f t="shared" si="302"/>
        <v>0</v>
      </c>
    </row>
    <row r="4824" spans="1:23" hidden="1" x14ac:dyDescent="0.25">
      <c r="A4824" s="3">
        <v>46082</v>
      </c>
      <c r="B4824" s="4" t="s">
        <v>334</v>
      </c>
      <c r="C4824" s="4" t="s">
        <v>214</v>
      </c>
      <c r="D4824" s="4"/>
      <c r="E4824" s="4" t="s">
        <v>921</v>
      </c>
      <c r="F4824" s="46" t="s">
        <v>2377</v>
      </c>
      <c r="G4824" s="4" t="s">
        <v>336</v>
      </c>
      <c r="H4824" s="4" t="s">
        <v>380</v>
      </c>
      <c r="I4824" s="4">
        <v>0.12</v>
      </c>
      <c r="J4824" s="21">
        <v>920</v>
      </c>
      <c r="K4824" s="21">
        <v>110.39999999999999</v>
      </c>
      <c r="L4824" s="5">
        <v>0</v>
      </c>
      <c r="M4824" s="4"/>
      <c r="N4824" s="4"/>
      <c r="O4824" s="5"/>
      <c r="P4824" s="5"/>
      <c r="Q4824" s="21">
        <v>0</v>
      </c>
      <c r="R4824" s="21">
        <v>0</v>
      </c>
      <c r="S4824" s="5">
        <f t="shared" si="303"/>
        <v>58158.618573026426</v>
      </c>
      <c r="T4824" cm="1">
        <f t="array" ref="T4824">IF(OR(B4824="MAL ALIMI", B4824="ÜRETİM GİRİŞ"), MIN(I4824, MAX(0, I4824 + SUM(SUMIFS($I$1:I4823, $C$1:C4823, C4824, $B$1:B4823, {"MAL ALIMI","ÜRETİM GİRİŞ"})) - VLOOKUP(C4824, 'STOK RAPORU'!$C$2:$I$1000, 4, 0))), 0)</f>
        <v>0</v>
      </c>
      <c r="U4824" s="22">
        <f t="shared" si="300"/>
        <v>0</v>
      </c>
      <c r="V4824">
        <f t="shared" si="301"/>
        <v>0</v>
      </c>
      <c r="W4824" s="22">
        <f t="shared" si="302"/>
        <v>0</v>
      </c>
    </row>
    <row r="4825" spans="1:23" hidden="1" x14ac:dyDescent="0.25">
      <c r="A4825" s="3">
        <v>46082</v>
      </c>
      <c r="B4825" s="4" t="s">
        <v>334</v>
      </c>
      <c r="C4825" s="4" t="s">
        <v>156</v>
      </c>
      <c r="D4825" s="4"/>
      <c r="E4825" s="4" t="s">
        <v>921</v>
      </c>
      <c r="F4825" s="46" t="s">
        <v>2378</v>
      </c>
      <c r="G4825" s="4" t="s">
        <v>336</v>
      </c>
      <c r="H4825" s="4" t="s">
        <v>380</v>
      </c>
      <c r="I4825" s="4">
        <v>1</v>
      </c>
      <c r="J4825" s="21">
        <v>200</v>
      </c>
      <c r="K4825" s="21">
        <v>200</v>
      </c>
      <c r="L4825" s="5">
        <v>0</v>
      </c>
      <c r="M4825" s="4"/>
      <c r="N4825" s="4"/>
      <c r="O4825" s="5"/>
      <c r="P4825" s="5"/>
      <c r="Q4825" s="21">
        <v>0</v>
      </c>
      <c r="R4825" s="21">
        <v>0</v>
      </c>
      <c r="S4825" s="5">
        <f t="shared" si="303"/>
        <v>58158.618573026426</v>
      </c>
      <c r="T4825" cm="1">
        <f t="array" ref="T4825">IF(OR(B4825="MAL ALIMI", B4825="ÜRETİM GİRİŞ"), MIN(I4825, MAX(0, I4825 + SUM(SUMIFS($I$1:I4824, $C$1:C4824, C4825, $B$1:B4824, {"MAL ALIMI","ÜRETİM GİRİŞ"})) - VLOOKUP(C4825, 'STOK RAPORU'!$C$2:$I$1000, 4, 0))), 0)</f>
        <v>0</v>
      </c>
      <c r="U4825" s="22">
        <f t="shared" si="300"/>
        <v>0</v>
      </c>
      <c r="V4825">
        <f t="shared" si="301"/>
        <v>0</v>
      </c>
      <c r="W4825" s="22">
        <f t="shared" si="302"/>
        <v>0</v>
      </c>
    </row>
    <row r="4826" spans="1:23" hidden="1" x14ac:dyDescent="0.25">
      <c r="A4826" s="3">
        <v>46082</v>
      </c>
      <c r="B4826" s="4" t="s">
        <v>334</v>
      </c>
      <c r="C4826" s="4" t="s">
        <v>161</v>
      </c>
      <c r="D4826" s="4"/>
      <c r="E4826" s="4" t="s">
        <v>921</v>
      </c>
      <c r="F4826" s="46" t="s">
        <v>2378</v>
      </c>
      <c r="G4826" s="4" t="s">
        <v>336</v>
      </c>
      <c r="H4826" s="4" t="s">
        <v>380</v>
      </c>
      <c r="I4826" s="4">
        <v>1</v>
      </c>
      <c r="J4826" s="21">
        <v>230</v>
      </c>
      <c r="K4826" s="21">
        <v>230</v>
      </c>
      <c r="L4826" s="5">
        <v>0</v>
      </c>
      <c r="M4826" s="4"/>
      <c r="N4826" s="4"/>
      <c r="O4826" s="5"/>
      <c r="P4826" s="5"/>
      <c r="Q4826" s="21">
        <v>0</v>
      </c>
      <c r="R4826" s="21">
        <v>0</v>
      </c>
      <c r="S4826" s="5">
        <f t="shared" si="303"/>
        <v>58158.618573026426</v>
      </c>
      <c r="T4826" cm="1">
        <f t="array" ref="T4826">IF(OR(B4826="MAL ALIMI", B4826="ÜRETİM GİRİŞ"), MIN(I4826, MAX(0, I4826 + SUM(SUMIFS($I$1:I4825, $C$1:C4825, C4826, $B$1:B4825, {"MAL ALIMI","ÜRETİM GİRİŞ"})) - VLOOKUP(C4826, 'STOK RAPORU'!$C$2:$I$1000, 4, 0))), 0)</f>
        <v>0</v>
      </c>
      <c r="U4826" s="22">
        <f t="shared" si="300"/>
        <v>0</v>
      </c>
      <c r="V4826">
        <f t="shared" si="301"/>
        <v>0</v>
      </c>
      <c r="W4826" s="22">
        <f t="shared" si="302"/>
        <v>0</v>
      </c>
    </row>
    <row r="4827" spans="1:23" hidden="1" x14ac:dyDescent="0.25">
      <c r="A4827" s="3">
        <v>46082</v>
      </c>
      <c r="B4827" s="4" t="s">
        <v>334</v>
      </c>
      <c r="C4827" s="4" t="s">
        <v>161</v>
      </c>
      <c r="D4827" s="4"/>
      <c r="E4827" s="4" t="s">
        <v>921</v>
      </c>
      <c r="F4827" s="46" t="s">
        <v>2378</v>
      </c>
      <c r="G4827" s="4" t="s">
        <v>336</v>
      </c>
      <c r="H4827" s="4" t="s">
        <v>380</v>
      </c>
      <c r="I4827" s="4">
        <v>0.2</v>
      </c>
      <c r="J4827" s="21">
        <v>225</v>
      </c>
      <c r="K4827" s="21">
        <v>45</v>
      </c>
      <c r="L4827" s="5">
        <v>0</v>
      </c>
      <c r="M4827" s="4"/>
      <c r="N4827" s="4"/>
      <c r="O4827" s="5"/>
      <c r="P4827" s="5"/>
      <c r="Q4827" s="21">
        <v>0</v>
      </c>
      <c r="R4827" s="21">
        <v>0</v>
      </c>
      <c r="S4827" s="5">
        <f t="shared" si="303"/>
        <v>58158.618573026426</v>
      </c>
      <c r="T4827" cm="1">
        <f t="array" ref="T4827">IF(OR(B4827="MAL ALIMI", B4827="ÜRETİM GİRİŞ"), MIN(I4827, MAX(0, I4827 + SUM(SUMIFS($I$1:I4826, $C$1:C4826, C4827, $B$1:B4826, {"MAL ALIMI","ÜRETİM GİRİŞ"})) - VLOOKUP(C4827, 'STOK RAPORU'!$C$2:$I$1000, 4, 0))), 0)</f>
        <v>0</v>
      </c>
      <c r="U4827" s="22">
        <f t="shared" si="300"/>
        <v>0</v>
      </c>
      <c r="V4827">
        <f t="shared" si="301"/>
        <v>0</v>
      </c>
      <c r="W4827" s="22">
        <f t="shared" si="302"/>
        <v>0</v>
      </c>
    </row>
    <row r="4828" spans="1:23" hidden="1" x14ac:dyDescent="0.25">
      <c r="A4828" s="3">
        <v>46082</v>
      </c>
      <c r="B4828" s="4" t="s">
        <v>334</v>
      </c>
      <c r="C4828" s="4" t="s">
        <v>158</v>
      </c>
      <c r="D4828" s="4"/>
      <c r="E4828" s="4" t="s">
        <v>921</v>
      </c>
      <c r="F4828" s="46" t="s">
        <v>2378</v>
      </c>
      <c r="G4828" s="4" t="s">
        <v>336</v>
      </c>
      <c r="H4828" s="4" t="s">
        <v>380</v>
      </c>
      <c r="I4828" s="4">
        <v>1</v>
      </c>
      <c r="J4828" s="21">
        <v>150</v>
      </c>
      <c r="K4828" s="21">
        <v>150</v>
      </c>
      <c r="L4828" s="5">
        <v>0</v>
      </c>
      <c r="M4828" s="4"/>
      <c r="N4828" s="4"/>
      <c r="O4828" s="5"/>
      <c r="P4828" s="5"/>
      <c r="Q4828" s="21">
        <v>0</v>
      </c>
      <c r="R4828" s="21">
        <v>0</v>
      </c>
      <c r="S4828" s="5">
        <f t="shared" si="303"/>
        <v>58158.618573026426</v>
      </c>
      <c r="T4828" cm="1">
        <f t="array" ref="T4828">IF(OR(B4828="MAL ALIMI", B4828="ÜRETİM GİRİŞ"), MIN(I4828, MAX(0, I4828 + SUM(SUMIFS($I$1:I4827, $C$1:C4827, C4828, $B$1:B4827, {"MAL ALIMI","ÜRETİM GİRİŞ"})) - VLOOKUP(C4828, 'STOK RAPORU'!$C$2:$I$1000, 4, 0))), 0)</f>
        <v>0</v>
      </c>
      <c r="U4828" s="22">
        <f t="shared" si="300"/>
        <v>0</v>
      </c>
      <c r="V4828">
        <f t="shared" si="301"/>
        <v>0</v>
      </c>
      <c r="W4828" s="22">
        <f t="shared" si="302"/>
        <v>0</v>
      </c>
    </row>
    <row r="4829" spans="1:23" hidden="1" x14ac:dyDescent="0.25">
      <c r="A4829" s="3">
        <v>46082</v>
      </c>
      <c r="B4829" s="4" t="s">
        <v>334</v>
      </c>
      <c r="C4829" s="4" t="s">
        <v>160</v>
      </c>
      <c r="D4829" s="4"/>
      <c r="E4829" s="4"/>
      <c r="F4829" s="46" t="s">
        <v>2378</v>
      </c>
      <c r="G4829" s="4" t="s">
        <v>336</v>
      </c>
      <c r="H4829" s="4" t="s">
        <v>289</v>
      </c>
      <c r="I4829" s="4">
        <v>1</v>
      </c>
      <c r="J4829" s="21">
        <v>250</v>
      </c>
      <c r="K4829" s="21">
        <v>0</v>
      </c>
      <c r="L4829" s="5">
        <v>0</v>
      </c>
      <c r="M4829" s="4"/>
      <c r="N4829" s="4"/>
      <c r="O4829" s="5"/>
      <c r="P4829" s="5"/>
      <c r="Q4829" s="21">
        <v>250</v>
      </c>
      <c r="R4829" s="21">
        <v>0</v>
      </c>
      <c r="S4829" s="5">
        <f t="shared" si="303"/>
        <v>58408.618573026426</v>
      </c>
      <c r="T4829" cm="1">
        <f t="array" ref="T4829">IF(OR(B4829="MAL ALIMI", B4829="ÜRETİM GİRİŞ"), MIN(I4829, MAX(0, I4829 + SUM(SUMIFS($I$1:I4828, $C$1:C4828, C4829, $B$1:B4828, {"MAL ALIMI","ÜRETİM GİRİŞ"})) - VLOOKUP(C4829, 'STOK RAPORU'!$C$2:$I$1000, 4, 0))), 0)</f>
        <v>0</v>
      </c>
      <c r="U4829" s="22">
        <f t="shared" si="300"/>
        <v>0</v>
      </c>
      <c r="V4829">
        <f t="shared" si="301"/>
        <v>0</v>
      </c>
      <c r="W4829" s="22">
        <f t="shared" si="302"/>
        <v>0</v>
      </c>
    </row>
    <row r="4830" spans="1:23" hidden="1" x14ac:dyDescent="0.25">
      <c r="A4830" s="3">
        <v>46082</v>
      </c>
      <c r="B4830" s="4" t="s">
        <v>334</v>
      </c>
      <c r="C4830" s="4" t="s">
        <v>1150</v>
      </c>
      <c r="D4830" s="4"/>
      <c r="E4830" s="4"/>
      <c r="F4830" s="46" t="s">
        <v>2378</v>
      </c>
      <c r="G4830" s="4" t="s">
        <v>336</v>
      </c>
      <c r="H4830" s="4" t="s">
        <v>289</v>
      </c>
      <c r="I4830" s="4">
        <v>0.1</v>
      </c>
      <c r="J4830" s="21">
        <v>500</v>
      </c>
      <c r="K4830" s="21">
        <v>0</v>
      </c>
      <c r="L4830" s="5">
        <v>0</v>
      </c>
      <c r="M4830" s="4"/>
      <c r="N4830" s="4"/>
      <c r="O4830" s="5"/>
      <c r="P4830" s="5"/>
      <c r="Q4830" s="21">
        <v>50</v>
      </c>
      <c r="R4830" s="21">
        <v>0</v>
      </c>
      <c r="S4830" s="5">
        <f t="shared" si="303"/>
        <v>58458.618573026426</v>
      </c>
      <c r="T4830" cm="1">
        <f t="array" ref="T4830">IF(OR(B4830="MAL ALIMI", B4830="ÜRETİM GİRİŞ"), MIN(I4830, MAX(0, I4830 + SUM(SUMIFS($I$1:I4829, $C$1:C4829, C4830, $B$1:B4829, {"MAL ALIMI","ÜRETİM GİRİŞ"})) - VLOOKUP(C4830, 'STOK RAPORU'!$C$2:$I$1000, 4, 0))), 0)</f>
        <v>0</v>
      </c>
      <c r="U4830" s="22">
        <f t="shared" si="300"/>
        <v>0</v>
      </c>
      <c r="V4830">
        <f t="shared" si="301"/>
        <v>0</v>
      </c>
      <c r="W4830" s="22">
        <f t="shared" si="302"/>
        <v>0</v>
      </c>
    </row>
    <row r="4831" spans="1:23" hidden="1" x14ac:dyDescent="0.25">
      <c r="A4831" s="3">
        <v>46082</v>
      </c>
      <c r="B4831" s="4" t="s">
        <v>334</v>
      </c>
      <c r="C4831" s="4" t="s">
        <v>187</v>
      </c>
      <c r="D4831" s="4"/>
      <c r="E4831" s="4"/>
      <c r="F4831" s="46" t="s">
        <v>2379</v>
      </c>
      <c r="G4831" s="4" t="s">
        <v>336</v>
      </c>
      <c r="H4831" s="4" t="s">
        <v>289</v>
      </c>
      <c r="I4831" s="4">
        <v>1</v>
      </c>
      <c r="J4831" s="21">
        <v>60</v>
      </c>
      <c r="K4831" s="21">
        <v>0</v>
      </c>
      <c r="L4831" s="5">
        <v>0</v>
      </c>
      <c r="M4831" s="4"/>
      <c r="N4831" s="4"/>
      <c r="O4831" s="5"/>
      <c r="P4831" s="5"/>
      <c r="Q4831" s="21">
        <v>60</v>
      </c>
      <c r="R4831" s="21">
        <v>0</v>
      </c>
      <c r="S4831" s="5">
        <f t="shared" si="303"/>
        <v>58518.618573026426</v>
      </c>
      <c r="T4831" cm="1">
        <f t="array" ref="T4831">IF(OR(B4831="MAL ALIMI", B4831="ÜRETİM GİRİŞ"), MIN(I4831, MAX(0, I4831 + SUM(SUMIFS($I$1:I4830, $C$1:C4830, C4831, $B$1:B4830, {"MAL ALIMI","ÜRETİM GİRİŞ"})) - VLOOKUP(C4831, 'STOK RAPORU'!$C$2:$I$1000, 4, 0))), 0)</f>
        <v>0</v>
      </c>
      <c r="U4831" s="22">
        <f t="shared" si="300"/>
        <v>0</v>
      </c>
      <c r="V4831">
        <f t="shared" si="301"/>
        <v>0</v>
      </c>
      <c r="W4831" s="22">
        <f t="shared" si="302"/>
        <v>0</v>
      </c>
    </row>
    <row r="4832" spans="1:23" hidden="1" x14ac:dyDescent="0.25">
      <c r="A4832" s="3">
        <v>46082</v>
      </c>
      <c r="B4832" s="4" t="s">
        <v>334</v>
      </c>
      <c r="C4832" s="4" t="s">
        <v>160</v>
      </c>
      <c r="D4832" s="4"/>
      <c r="E4832" s="4" t="s">
        <v>921</v>
      </c>
      <c r="F4832" s="46" t="s">
        <v>2380</v>
      </c>
      <c r="G4832" s="4" t="s">
        <v>336</v>
      </c>
      <c r="H4832" s="4" t="s">
        <v>380</v>
      </c>
      <c r="I4832" s="4">
        <v>1</v>
      </c>
      <c r="J4832" s="21">
        <v>230</v>
      </c>
      <c r="K4832" s="21">
        <v>230</v>
      </c>
      <c r="L4832" s="5">
        <v>0</v>
      </c>
      <c r="M4832" s="4"/>
      <c r="N4832" s="4"/>
      <c r="O4832" s="5"/>
      <c r="P4832" s="5"/>
      <c r="Q4832" s="21">
        <v>0</v>
      </c>
      <c r="R4832" s="21">
        <v>0</v>
      </c>
      <c r="S4832" s="5">
        <f t="shared" si="303"/>
        <v>58518.618573026426</v>
      </c>
      <c r="T4832" cm="1">
        <f t="array" ref="T4832">IF(OR(B4832="MAL ALIMI", B4832="ÜRETİM GİRİŞ"), MIN(I4832, MAX(0, I4832 + SUM(SUMIFS($I$1:I4831, $C$1:C4831, C4832, $B$1:B4831, {"MAL ALIMI","ÜRETİM GİRİŞ"})) - VLOOKUP(C4832, 'STOK RAPORU'!$C$2:$I$1000, 4, 0))), 0)</f>
        <v>0</v>
      </c>
      <c r="U4832" s="22">
        <f t="shared" si="300"/>
        <v>0</v>
      </c>
      <c r="V4832">
        <f t="shared" si="301"/>
        <v>0</v>
      </c>
      <c r="W4832" s="22">
        <f t="shared" si="302"/>
        <v>0</v>
      </c>
    </row>
    <row r="4833" spans="1:23" hidden="1" x14ac:dyDescent="0.25">
      <c r="A4833" s="3">
        <v>46082</v>
      </c>
      <c r="B4833" s="4" t="s">
        <v>334</v>
      </c>
      <c r="C4833" s="4" t="s">
        <v>161</v>
      </c>
      <c r="D4833" s="4"/>
      <c r="E4833" s="4" t="s">
        <v>921</v>
      </c>
      <c r="F4833" s="46" t="s">
        <v>2380</v>
      </c>
      <c r="G4833" s="4" t="s">
        <v>336</v>
      </c>
      <c r="H4833" s="4" t="s">
        <v>380</v>
      </c>
      <c r="I4833" s="4">
        <v>1</v>
      </c>
      <c r="J4833" s="21">
        <v>230</v>
      </c>
      <c r="K4833" s="21">
        <v>230</v>
      </c>
      <c r="L4833" s="5">
        <v>0</v>
      </c>
      <c r="M4833" s="4"/>
      <c r="N4833" s="4"/>
      <c r="O4833" s="5"/>
      <c r="P4833" s="5"/>
      <c r="Q4833" s="21">
        <v>0</v>
      </c>
      <c r="R4833" s="21">
        <v>0</v>
      </c>
      <c r="S4833" s="5">
        <f t="shared" si="303"/>
        <v>58518.618573026426</v>
      </c>
      <c r="T4833" cm="1">
        <f t="array" ref="T4833">IF(OR(B4833="MAL ALIMI", B4833="ÜRETİM GİRİŞ"), MIN(I4833, MAX(0, I4833 + SUM(SUMIFS($I$1:I4832, $C$1:C4832, C4833, $B$1:B4832, {"MAL ALIMI","ÜRETİM GİRİŞ"})) - VLOOKUP(C4833, 'STOK RAPORU'!$C$2:$I$1000, 4, 0))), 0)</f>
        <v>0</v>
      </c>
      <c r="U4833" s="22">
        <f t="shared" si="300"/>
        <v>0</v>
      </c>
      <c r="V4833">
        <f t="shared" si="301"/>
        <v>0</v>
      </c>
      <c r="W4833" s="22">
        <f t="shared" si="302"/>
        <v>0</v>
      </c>
    </row>
    <row r="4834" spans="1:23" hidden="1" x14ac:dyDescent="0.25">
      <c r="A4834" s="3">
        <v>46082</v>
      </c>
      <c r="B4834" s="4" t="s">
        <v>946</v>
      </c>
      <c r="C4834" s="4"/>
      <c r="D4834" s="4"/>
      <c r="E4834" s="4" t="s">
        <v>921</v>
      </c>
      <c r="F4834" s="4"/>
      <c r="G4834" s="4" t="s">
        <v>946</v>
      </c>
      <c r="H4834" s="4" t="s">
        <v>380</v>
      </c>
      <c r="I4834" s="4">
        <v>1</v>
      </c>
      <c r="J4834" s="108">
        <v>500</v>
      </c>
      <c r="K4834" s="21">
        <v>0</v>
      </c>
      <c r="L4834" s="111">
        <v>500</v>
      </c>
      <c r="M4834" s="4"/>
      <c r="N4834" s="4"/>
      <c r="O4834" s="5"/>
      <c r="P4834" s="5"/>
      <c r="Q4834" s="21">
        <v>500</v>
      </c>
      <c r="R4834" s="21">
        <v>0</v>
      </c>
      <c r="S4834" s="5">
        <f t="shared" si="303"/>
        <v>59018.618573026426</v>
      </c>
      <c r="T4834" cm="1">
        <f t="array" ref="T4834">IF(OR(B4834="MAL ALIMI", B4834="ÜRETİM GİRİŞ"), MIN(I4834, MAX(0, I4834 + SUM(SUMIFS($I$1:I4833, $C$1:C4833, C4834, $B$1:B4833, {"MAL ALIMI","ÜRETİM GİRİŞ"})) - VLOOKUP(C4834, 'STOK RAPORU'!$C$2:$I$1000, 4, 0))), 0)</f>
        <v>0</v>
      </c>
      <c r="U4834" s="22">
        <f t="shared" si="300"/>
        <v>0</v>
      </c>
      <c r="V4834">
        <f t="shared" si="301"/>
        <v>0</v>
      </c>
      <c r="W4834" s="22">
        <f t="shared" si="302"/>
        <v>0</v>
      </c>
    </row>
    <row r="4835" spans="1:23" hidden="1" x14ac:dyDescent="0.25">
      <c r="A4835" s="3">
        <v>46082</v>
      </c>
      <c r="B4835" s="4" t="s">
        <v>946</v>
      </c>
      <c r="C4835" s="4"/>
      <c r="D4835" s="4"/>
      <c r="E4835" s="4" t="s">
        <v>921</v>
      </c>
      <c r="F4835" s="4"/>
      <c r="G4835" s="4" t="s">
        <v>2641</v>
      </c>
      <c r="H4835" s="4" t="s">
        <v>380</v>
      </c>
      <c r="I4835" s="4">
        <v>1</v>
      </c>
      <c r="J4835" s="105">
        <v>92</v>
      </c>
      <c r="K4835" s="35">
        <v>0</v>
      </c>
      <c r="L4835" s="111">
        <v>92</v>
      </c>
      <c r="M4835" s="4"/>
      <c r="N4835" s="4"/>
      <c r="O4835" s="5"/>
      <c r="P4835" s="5"/>
      <c r="Q4835" s="35">
        <v>92</v>
      </c>
      <c r="R4835" s="35">
        <v>0</v>
      </c>
      <c r="S4835" s="5">
        <f t="shared" si="303"/>
        <v>59110.618573026426</v>
      </c>
      <c r="T4835" cm="1">
        <f t="array" ref="T4835">IF(OR(B4835="MAL ALIMI", B4835="ÜRETİM GİRİŞ"), MIN(I4835, MAX(0, I4835 + SUM(SUMIFS($I$1:I4834, $C$1:C4834, C4835, $B$1:B4834, {"MAL ALIMI","ÜRETİM GİRİŞ"})) - VLOOKUP(C4835, 'STOK RAPORU'!$C$2:$I$1000, 4, 0))), 0)</f>
        <v>0</v>
      </c>
      <c r="U4835" s="22">
        <f t="shared" si="300"/>
        <v>0</v>
      </c>
      <c r="V4835">
        <f t="shared" si="301"/>
        <v>0</v>
      </c>
      <c r="W4835" s="22">
        <f t="shared" si="302"/>
        <v>0</v>
      </c>
    </row>
    <row r="4836" spans="1:23" hidden="1" x14ac:dyDescent="0.25">
      <c r="A4836" s="3">
        <v>46082</v>
      </c>
      <c r="B4836" s="4" t="s">
        <v>285</v>
      </c>
      <c r="C4836" s="4"/>
      <c r="D4836" s="4" t="s">
        <v>103</v>
      </c>
      <c r="E4836" s="4"/>
      <c r="F4836" s="4"/>
      <c r="G4836" s="4" t="s">
        <v>2641</v>
      </c>
      <c r="H4836" s="4" t="s">
        <v>289</v>
      </c>
      <c r="I4836" s="4">
        <v>1</v>
      </c>
      <c r="J4836" s="35">
        <v>92</v>
      </c>
      <c r="K4836" s="35">
        <v>0</v>
      </c>
      <c r="L4836" s="5">
        <v>0</v>
      </c>
      <c r="M4836" s="4"/>
      <c r="N4836" s="4"/>
      <c r="O4836" s="5"/>
      <c r="P4836" s="5"/>
      <c r="Q4836" s="35">
        <v>0</v>
      </c>
      <c r="R4836" s="35">
        <v>92</v>
      </c>
      <c r="S4836" s="5">
        <f t="shared" si="303"/>
        <v>59018.618573026426</v>
      </c>
      <c r="T4836" cm="1">
        <f t="array" ref="T4836">IF(OR(B4836="MAL ALIMI", B4836="ÜRETİM GİRİŞ"), MIN(I4836, MAX(0, I4836 + SUM(SUMIFS($I$1:I4835, $C$1:C4835, C4836, $B$1:B4835, {"MAL ALIMI","ÜRETİM GİRİŞ"})) - VLOOKUP(C4836, 'STOK RAPORU'!$C$2:$I$1000, 4, 0))), 0)</f>
        <v>0</v>
      </c>
      <c r="U4836" s="22">
        <f t="shared" si="300"/>
        <v>0</v>
      </c>
      <c r="V4836">
        <f t="shared" si="301"/>
        <v>0</v>
      </c>
      <c r="W4836" s="22">
        <f t="shared" si="302"/>
        <v>0</v>
      </c>
    </row>
    <row r="4837" spans="1:23" hidden="1" x14ac:dyDescent="0.25">
      <c r="A4837" s="3">
        <v>46083</v>
      </c>
      <c r="B4837" s="4" t="s">
        <v>334</v>
      </c>
      <c r="C4837" s="4" t="s">
        <v>161</v>
      </c>
      <c r="D4837" s="4"/>
      <c r="E4837" s="4" t="s">
        <v>921</v>
      </c>
      <c r="F4837" s="46" t="s">
        <v>2371</v>
      </c>
      <c r="G4837" s="4" t="s">
        <v>336</v>
      </c>
      <c r="H4837" s="4" t="s">
        <v>380</v>
      </c>
      <c r="I4837" s="4">
        <v>1</v>
      </c>
      <c r="J4837" s="21">
        <v>230</v>
      </c>
      <c r="K4837" s="21">
        <v>230</v>
      </c>
      <c r="L4837" s="5">
        <v>0</v>
      </c>
      <c r="M4837" s="4"/>
      <c r="N4837" s="4"/>
      <c r="O4837" s="5"/>
      <c r="P4837" s="5"/>
      <c r="Q4837" s="21">
        <v>0</v>
      </c>
      <c r="R4837" s="21">
        <v>0</v>
      </c>
      <c r="S4837" s="5">
        <f t="shared" si="303"/>
        <v>59018.618573026426</v>
      </c>
      <c r="T4837" cm="1">
        <f t="array" ref="T4837">IF(OR(B4837="MAL ALIMI", B4837="ÜRETİM GİRİŞ"), MIN(I4837, MAX(0, I4837 + SUM(SUMIFS($I$1:I4836, $C$1:C4836, C4837, $B$1:B4836, {"MAL ALIMI","ÜRETİM GİRİŞ"})) - VLOOKUP(C4837, 'STOK RAPORU'!$C$2:$I$1000, 4, 0))), 0)</f>
        <v>0</v>
      </c>
      <c r="U4837" s="22">
        <f t="shared" si="300"/>
        <v>0</v>
      </c>
      <c r="V4837">
        <f t="shared" si="301"/>
        <v>0</v>
      </c>
      <c r="W4837" s="22">
        <f t="shared" si="302"/>
        <v>0</v>
      </c>
    </row>
    <row r="4838" spans="1:23" hidden="1" x14ac:dyDescent="0.25">
      <c r="A4838" s="3">
        <v>46083</v>
      </c>
      <c r="B4838" s="4" t="s">
        <v>334</v>
      </c>
      <c r="C4838" s="4" t="s">
        <v>1427</v>
      </c>
      <c r="D4838" s="4"/>
      <c r="E4838" s="4" t="s">
        <v>921</v>
      </c>
      <c r="F4838" s="46" t="s">
        <v>2372</v>
      </c>
      <c r="G4838" s="4" t="s">
        <v>336</v>
      </c>
      <c r="H4838" s="4" t="s">
        <v>380</v>
      </c>
      <c r="I4838" s="4">
        <v>1</v>
      </c>
      <c r="J4838" s="21">
        <v>100</v>
      </c>
      <c r="K4838" s="21">
        <v>100</v>
      </c>
      <c r="L4838" s="5">
        <v>0</v>
      </c>
      <c r="M4838" s="4"/>
      <c r="N4838" s="4"/>
      <c r="O4838" s="5"/>
      <c r="P4838" s="5"/>
      <c r="Q4838" s="21">
        <v>0</v>
      </c>
      <c r="R4838" s="21">
        <v>0</v>
      </c>
      <c r="S4838" s="5">
        <f t="shared" si="303"/>
        <v>59018.618573026426</v>
      </c>
      <c r="T4838" cm="1">
        <f t="array" ref="T4838">IF(OR(B4838="MAL ALIMI", B4838="ÜRETİM GİRİŞ"), MIN(I4838, MAX(0, I4838 + SUM(SUMIFS($I$1:I4837, $C$1:C4837, C4838, $B$1:B4837, {"MAL ALIMI","ÜRETİM GİRİŞ"})) - VLOOKUP(C4838, 'STOK RAPORU'!$C$2:$I$1000, 4, 0))), 0)</f>
        <v>0</v>
      </c>
      <c r="U4838" s="22">
        <f t="shared" si="300"/>
        <v>0</v>
      </c>
      <c r="V4838">
        <f t="shared" si="301"/>
        <v>0</v>
      </c>
      <c r="W4838" s="22">
        <f t="shared" si="302"/>
        <v>0</v>
      </c>
    </row>
    <row r="4839" spans="1:23" hidden="1" x14ac:dyDescent="0.25">
      <c r="A4839" s="3">
        <v>46083</v>
      </c>
      <c r="B4839" s="4" t="s">
        <v>334</v>
      </c>
      <c r="C4839" s="4" t="s">
        <v>457</v>
      </c>
      <c r="D4839" s="4"/>
      <c r="E4839" s="4"/>
      <c r="F4839" s="46" t="s">
        <v>2373</v>
      </c>
      <c r="G4839" s="4" t="s">
        <v>336</v>
      </c>
      <c r="H4839" s="4" t="s">
        <v>289</v>
      </c>
      <c r="I4839" s="4">
        <v>0.1</v>
      </c>
      <c r="J4839" s="21">
        <v>700</v>
      </c>
      <c r="K4839" s="21">
        <v>0</v>
      </c>
      <c r="L4839" s="5">
        <v>0</v>
      </c>
      <c r="M4839" s="4"/>
      <c r="N4839" s="4"/>
      <c r="O4839" s="5"/>
      <c r="P4839" s="5"/>
      <c r="Q4839" s="21">
        <v>70</v>
      </c>
      <c r="R4839" s="21">
        <v>0</v>
      </c>
      <c r="S4839" s="5">
        <f t="shared" si="303"/>
        <v>59088.618573026426</v>
      </c>
      <c r="T4839" cm="1">
        <f t="array" ref="T4839">IF(OR(B4839="MAL ALIMI", B4839="ÜRETİM GİRİŞ"), MIN(I4839, MAX(0, I4839 + SUM(SUMIFS($I$1:I4838, $C$1:C4838, C4839, $B$1:B4838, {"MAL ALIMI","ÜRETİM GİRİŞ"})) - VLOOKUP(C4839, 'STOK RAPORU'!$C$2:$I$1000, 4, 0))), 0)</f>
        <v>0</v>
      </c>
      <c r="U4839" s="22">
        <f t="shared" si="300"/>
        <v>0</v>
      </c>
      <c r="V4839">
        <f t="shared" si="301"/>
        <v>0</v>
      </c>
      <c r="W4839" s="22">
        <f t="shared" si="302"/>
        <v>0</v>
      </c>
    </row>
    <row r="4840" spans="1:23" hidden="1" x14ac:dyDescent="0.25">
      <c r="A4840" s="3">
        <v>46083</v>
      </c>
      <c r="B4840" s="4" t="s">
        <v>334</v>
      </c>
      <c r="C4840" s="4" t="s">
        <v>1142</v>
      </c>
      <c r="D4840" s="4"/>
      <c r="E4840" s="4"/>
      <c r="F4840" s="46" t="s">
        <v>2373</v>
      </c>
      <c r="G4840" s="4" t="s">
        <v>336</v>
      </c>
      <c r="H4840" s="4" t="s">
        <v>289</v>
      </c>
      <c r="I4840" s="4">
        <v>6.1224489795918366E-2</v>
      </c>
      <c r="J4840" s="21">
        <v>490</v>
      </c>
      <c r="K4840" s="21">
        <v>0</v>
      </c>
      <c r="L4840" s="5">
        <v>0</v>
      </c>
      <c r="M4840" s="4"/>
      <c r="N4840" s="4"/>
      <c r="O4840" s="5"/>
      <c r="P4840" s="5"/>
      <c r="Q4840" s="21">
        <v>30</v>
      </c>
      <c r="R4840" s="21">
        <v>0</v>
      </c>
      <c r="S4840" s="5">
        <f t="shared" si="303"/>
        <v>59118.618573026426</v>
      </c>
      <c r="T4840" cm="1">
        <f t="array" ref="T4840">IF(OR(B4840="MAL ALIMI", B4840="ÜRETİM GİRİŞ"), MIN(I4840, MAX(0, I4840 + SUM(SUMIFS($I$1:I4839, $C$1:C4839, C4840, $B$1:B4839, {"MAL ALIMI","ÜRETİM GİRİŞ"})) - VLOOKUP(C4840, 'STOK RAPORU'!$C$2:$I$1000, 4, 0))), 0)</f>
        <v>0</v>
      </c>
      <c r="U4840" s="22">
        <f t="shared" si="300"/>
        <v>0</v>
      </c>
      <c r="V4840">
        <f t="shared" si="301"/>
        <v>0</v>
      </c>
      <c r="W4840" s="22">
        <f t="shared" si="302"/>
        <v>0</v>
      </c>
    </row>
    <row r="4841" spans="1:23" hidden="1" x14ac:dyDescent="0.25">
      <c r="A4841" s="3">
        <v>46083</v>
      </c>
      <c r="B4841" s="4" t="s">
        <v>334</v>
      </c>
      <c r="C4841" s="4" t="s">
        <v>1203</v>
      </c>
      <c r="D4841" s="4"/>
      <c r="E4841" s="4" t="s">
        <v>921</v>
      </c>
      <c r="F4841" s="46" t="s">
        <v>2375</v>
      </c>
      <c r="G4841" s="4" t="s">
        <v>336</v>
      </c>
      <c r="H4841" s="4" t="s">
        <v>380</v>
      </c>
      <c r="I4841" s="4">
        <v>1</v>
      </c>
      <c r="J4841" s="21">
        <v>140</v>
      </c>
      <c r="K4841" s="21">
        <v>140</v>
      </c>
      <c r="L4841" s="5">
        <v>0</v>
      </c>
      <c r="M4841" s="4"/>
      <c r="N4841" s="4"/>
      <c r="O4841" s="5"/>
      <c r="P4841" s="5"/>
      <c r="Q4841" s="21">
        <v>0</v>
      </c>
      <c r="R4841" s="21">
        <v>0</v>
      </c>
      <c r="S4841" s="5">
        <f t="shared" si="303"/>
        <v>59118.618573026426</v>
      </c>
      <c r="T4841" cm="1">
        <f t="array" ref="T4841">IF(OR(B4841="MAL ALIMI", B4841="ÜRETİM GİRİŞ"), MIN(I4841, MAX(0, I4841 + SUM(SUMIFS($I$1:I4840, $C$1:C4840, C4841, $B$1:B4840, {"MAL ALIMI","ÜRETİM GİRİŞ"})) - VLOOKUP(C4841, 'STOK RAPORU'!$C$2:$I$1000, 4, 0))), 0)</f>
        <v>0</v>
      </c>
      <c r="U4841" s="22">
        <f t="shared" si="300"/>
        <v>0</v>
      </c>
      <c r="V4841">
        <f t="shared" si="301"/>
        <v>0</v>
      </c>
      <c r="W4841" s="22">
        <f t="shared" si="302"/>
        <v>0</v>
      </c>
    </row>
    <row r="4842" spans="1:23" hidden="1" x14ac:dyDescent="0.25">
      <c r="A4842" s="3">
        <v>46083</v>
      </c>
      <c r="B4842" s="4" t="s">
        <v>334</v>
      </c>
      <c r="C4842" s="4" t="s">
        <v>826</v>
      </c>
      <c r="D4842" s="4"/>
      <c r="E4842" s="4" t="s">
        <v>921</v>
      </c>
      <c r="F4842" s="46" t="s">
        <v>2375</v>
      </c>
      <c r="G4842" s="4" t="s">
        <v>336</v>
      </c>
      <c r="H4842" s="4" t="s">
        <v>380</v>
      </c>
      <c r="I4842" s="4">
        <v>1</v>
      </c>
      <c r="J4842" s="21">
        <v>130</v>
      </c>
      <c r="K4842" s="21">
        <v>130</v>
      </c>
      <c r="L4842" s="5">
        <v>0</v>
      </c>
      <c r="M4842" s="4"/>
      <c r="N4842" s="4"/>
      <c r="O4842" s="5"/>
      <c r="P4842" s="5"/>
      <c r="Q4842" s="21">
        <v>0</v>
      </c>
      <c r="R4842" s="21">
        <v>0</v>
      </c>
      <c r="S4842" s="5">
        <f t="shared" si="303"/>
        <v>59118.618573026426</v>
      </c>
      <c r="T4842" cm="1">
        <f t="array" ref="T4842">IF(OR(B4842="MAL ALIMI", B4842="ÜRETİM GİRİŞ"), MIN(I4842, MAX(0, I4842 + SUM(SUMIFS($I$1:I4841, $C$1:C4841, C4842, $B$1:B4841, {"MAL ALIMI","ÜRETİM GİRİŞ"})) - VLOOKUP(C4842, 'STOK RAPORU'!$C$2:$I$1000, 4, 0))), 0)</f>
        <v>0</v>
      </c>
      <c r="U4842" s="22">
        <f t="shared" si="300"/>
        <v>0</v>
      </c>
      <c r="V4842">
        <f t="shared" si="301"/>
        <v>0</v>
      </c>
      <c r="W4842" s="22">
        <f t="shared" si="302"/>
        <v>0</v>
      </c>
    </row>
    <row r="4843" spans="1:23" hidden="1" x14ac:dyDescent="0.25">
      <c r="A4843" s="3">
        <v>46083</v>
      </c>
      <c r="B4843" s="4" t="s">
        <v>334</v>
      </c>
      <c r="C4843" s="4" t="s">
        <v>248</v>
      </c>
      <c r="D4843" s="4"/>
      <c r="E4843" s="4" t="s">
        <v>921</v>
      </c>
      <c r="F4843" s="46" t="s">
        <v>2376</v>
      </c>
      <c r="G4843" s="4" t="s">
        <v>336</v>
      </c>
      <c r="H4843" s="4" t="s">
        <v>380</v>
      </c>
      <c r="I4843" s="4">
        <v>0.4</v>
      </c>
      <c r="J4843" s="21">
        <v>1000</v>
      </c>
      <c r="K4843" s="21">
        <v>400</v>
      </c>
      <c r="L4843" s="5">
        <v>0</v>
      </c>
      <c r="M4843" s="4"/>
      <c r="N4843" s="4"/>
      <c r="O4843" s="5"/>
      <c r="P4843" s="5"/>
      <c r="Q4843" s="21">
        <v>0</v>
      </c>
      <c r="R4843" s="21">
        <v>0</v>
      </c>
      <c r="S4843" s="5">
        <f t="shared" si="303"/>
        <v>59118.618573026426</v>
      </c>
      <c r="T4843" cm="1">
        <f t="array" ref="T4843">IF(OR(B4843="MAL ALIMI", B4843="ÜRETİM GİRİŞ"), MIN(I4843, MAX(0, I4843 + SUM(SUMIFS($I$1:I4842, $C$1:C4842, C4843, $B$1:B4842, {"MAL ALIMI","ÜRETİM GİRİŞ"})) - VLOOKUP(C4843, 'STOK RAPORU'!$C$2:$I$1000, 4, 0))), 0)</f>
        <v>0</v>
      </c>
      <c r="U4843" s="22">
        <f t="shared" si="300"/>
        <v>0</v>
      </c>
      <c r="V4843">
        <f t="shared" si="301"/>
        <v>0</v>
      </c>
      <c r="W4843" s="22">
        <f t="shared" si="302"/>
        <v>0</v>
      </c>
    </row>
    <row r="4844" spans="1:23" hidden="1" x14ac:dyDescent="0.25">
      <c r="A4844" s="3">
        <v>46083</v>
      </c>
      <c r="B4844" s="4" t="s">
        <v>334</v>
      </c>
      <c r="C4844" s="4" t="s">
        <v>160</v>
      </c>
      <c r="D4844" s="4"/>
      <c r="E4844" s="4" t="s">
        <v>921</v>
      </c>
      <c r="F4844" s="46" t="s">
        <v>2376</v>
      </c>
      <c r="G4844" s="4" t="s">
        <v>336</v>
      </c>
      <c r="H4844" s="4" t="s">
        <v>380</v>
      </c>
      <c r="I4844" s="4">
        <v>1</v>
      </c>
      <c r="J4844" s="21">
        <v>250</v>
      </c>
      <c r="K4844" s="21">
        <v>250</v>
      </c>
      <c r="L4844" s="5">
        <v>0</v>
      </c>
      <c r="M4844" s="4"/>
      <c r="N4844" s="4"/>
      <c r="O4844" s="5"/>
      <c r="P4844" s="5"/>
      <c r="Q4844" s="21">
        <v>0</v>
      </c>
      <c r="R4844" s="21">
        <v>0</v>
      </c>
      <c r="S4844" s="5">
        <f t="shared" si="303"/>
        <v>59118.618573026426</v>
      </c>
      <c r="T4844" cm="1">
        <f t="array" ref="T4844">IF(OR(B4844="MAL ALIMI", B4844="ÜRETİM GİRİŞ"), MIN(I4844, MAX(0, I4844 + SUM(SUMIFS($I$1:I4843, $C$1:C4843, C4844, $B$1:B4843, {"MAL ALIMI","ÜRETİM GİRİŞ"})) - VLOOKUP(C4844, 'STOK RAPORU'!$C$2:$I$1000, 4, 0))), 0)</f>
        <v>0</v>
      </c>
      <c r="U4844" s="22">
        <f t="shared" si="300"/>
        <v>0</v>
      </c>
      <c r="V4844">
        <f t="shared" si="301"/>
        <v>0</v>
      </c>
      <c r="W4844" s="22">
        <f t="shared" si="302"/>
        <v>0</v>
      </c>
    </row>
    <row r="4845" spans="1:23" hidden="1" x14ac:dyDescent="0.25">
      <c r="A4845" s="3">
        <v>46083</v>
      </c>
      <c r="B4845" s="4" t="s">
        <v>334</v>
      </c>
      <c r="C4845" s="4" t="s">
        <v>156</v>
      </c>
      <c r="D4845" s="4"/>
      <c r="E4845" s="4" t="s">
        <v>921</v>
      </c>
      <c r="F4845" s="46" t="s">
        <v>2376</v>
      </c>
      <c r="G4845" s="4" t="s">
        <v>336</v>
      </c>
      <c r="H4845" s="4" t="s">
        <v>380</v>
      </c>
      <c r="I4845" s="4">
        <v>1</v>
      </c>
      <c r="J4845" s="21">
        <v>200</v>
      </c>
      <c r="K4845" s="21">
        <v>200</v>
      </c>
      <c r="L4845" s="5">
        <v>0</v>
      </c>
      <c r="M4845" s="4"/>
      <c r="N4845" s="4"/>
      <c r="O4845" s="5"/>
      <c r="P4845" s="5"/>
      <c r="Q4845" s="21">
        <v>0</v>
      </c>
      <c r="R4845" s="21">
        <v>0</v>
      </c>
      <c r="S4845" s="5">
        <f t="shared" si="303"/>
        <v>59118.618573026426</v>
      </c>
      <c r="T4845" cm="1">
        <f t="array" ref="T4845">IF(OR(B4845="MAL ALIMI", B4845="ÜRETİM GİRİŞ"), MIN(I4845, MAX(0, I4845 + SUM(SUMIFS($I$1:I4844, $C$1:C4844, C4845, $B$1:B4844, {"MAL ALIMI","ÜRETİM GİRİŞ"})) - VLOOKUP(C4845, 'STOK RAPORU'!$C$2:$I$1000, 4, 0))), 0)</f>
        <v>0</v>
      </c>
      <c r="U4845" s="22">
        <f t="shared" si="300"/>
        <v>0</v>
      </c>
      <c r="V4845">
        <f t="shared" si="301"/>
        <v>0</v>
      </c>
      <c r="W4845" s="22">
        <f t="shared" si="302"/>
        <v>0</v>
      </c>
    </row>
    <row r="4846" spans="1:23" hidden="1" x14ac:dyDescent="0.25">
      <c r="A4846" s="3">
        <v>46083</v>
      </c>
      <c r="B4846" s="4" t="s">
        <v>334</v>
      </c>
      <c r="C4846" s="4" t="s">
        <v>140</v>
      </c>
      <c r="D4846" s="4"/>
      <c r="E4846" s="4"/>
      <c r="F4846" s="46" t="s">
        <v>2377</v>
      </c>
      <c r="G4846" s="4" t="s">
        <v>336</v>
      </c>
      <c r="H4846" s="4" t="s">
        <v>289</v>
      </c>
      <c r="I4846" s="4">
        <v>0.1</v>
      </c>
      <c r="J4846" s="21">
        <v>300</v>
      </c>
      <c r="K4846" s="21">
        <v>0</v>
      </c>
      <c r="L4846" s="5">
        <v>0</v>
      </c>
      <c r="M4846" s="4"/>
      <c r="N4846" s="4"/>
      <c r="O4846" s="5"/>
      <c r="P4846" s="5"/>
      <c r="Q4846" s="21">
        <v>30</v>
      </c>
      <c r="R4846" s="21">
        <v>0</v>
      </c>
      <c r="S4846" s="5">
        <f t="shared" si="303"/>
        <v>59148.618573026426</v>
      </c>
      <c r="T4846" cm="1">
        <f t="array" ref="T4846">IF(OR(B4846="MAL ALIMI", B4846="ÜRETİM GİRİŞ"), MIN(I4846, MAX(0, I4846 + SUM(SUMIFS($I$1:I4845, $C$1:C4845, C4846, $B$1:B4845, {"MAL ALIMI","ÜRETİM GİRİŞ"})) - VLOOKUP(C4846, 'STOK RAPORU'!$C$2:$I$1000, 4, 0))), 0)</f>
        <v>0</v>
      </c>
      <c r="U4846" s="22">
        <f t="shared" si="300"/>
        <v>0</v>
      </c>
      <c r="V4846">
        <f t="shared" si="301"/>
        <v>0</v>
      </c>
      <c r="W4846" s="22">
        <f t="shared" si="302"/>
        <v>0</v>
      </c>
    </row>
    <row r="4847" spans="1:23" hidden="1" x14ac:dyDescent="0.25">
      <c r="A4847" s="3">
        <v>46083</v>
      </c>
      <c r="B4847" s="4" t="s">
        <v>334</v>
      </c>
      <c r="C4847" s="4" t="s">
        <v>98</v>
      </c>
      <c r="D4847" s="4"/>
      <c r="E4847" s="4"/>
      <c r="F4847" s="46" t="s">
        <v>2378</v>
      </c>
      <c r="G4847" s="4" t="s">
        <v>336</v>
      </c>
      <c r="H4847" s="4" t="s">
        <v>289</v>
      </c>
      <c r="I4847" s="4">
        <v>6.25E-2</v>
      </c>
      <c r="J4847" s="21">
        <v>400</v>
      </c>
      <c r="K4847" s="21">
        <v>0</v>
      </c>
      <c r="L4847" s="5">
        <v>0</v>
      </c>
      <c r="M4847" s="4"/>
      <c r="N4847" s="4"/>
      <c r="O4847" s="5"/>
      <c r="P4847" s="5"/>
      <c r="Q4847" s="21">
        <v>25</v>
      </c>
      <c r="R4847" s="21">
        <v>0</v>
      </c>
      <c r="S4847" s="5">
        <f t="shared" si="303"/>
        <v>59173.618573026426</v>
      </c>
      <c r="T4847" cm="1">
        <f t="array" ref="T4847">IF(OR(B4847="MAL ALIMI", B4847="ÜRETİM GİRİŞ"), MIN(I4847, MAX(0, I4847 + SUM(SUMIFS($I$1:I4846, $C$1:C4846, C4847, $B$1:B4846, {"MAL ALIMI","ÜRETİM GİRİŞ"})) - VLOOKUP(C4847, 'STOK RAPORU'!$C$2:$I$1000, 4, 0))), 0)</f>
        <v>0</v>
      </c>
      <c r="U4847" s="22">
        <f t="shared" si="300"/>
        <v>0</v>
      </c>
      <c r="V4847">
        <f t="shared" si="301"/>
        <v>0</v>
      </c>
      <c r="W4847" s="22">
        <f t="shared" si="302"/>
        <v>0</v>
      </c>
    </row>
    <row r="4848" spans="1:23" hidden="1" x14ac:dyDescent="0.25">
      <c r="A4848" s="3">
        <v>46083</v>
      </c>
      <c r="B4848" s="4" t="s">
        <v>334</v>
      </c>
      <c r="C4848" s="4" t="s">
        <v>634</v>
      </c>
      <c r="D4848" s="4"/>
      <c r="E4848" s="4" t="s">
        <v>921</v>
      </c>
      <c r="F4848" s="46" t="s">
        <v>2379</v>
      </c>
      <c r="G4848" s="4" t="s">
        <v>336</v>
      </c>
      <c r="H4848" s="4" t="s">
        <v>380</v>
      </c>
      <c r="I4848" s="4">
        <v>0.5</v>
      </c>
      <c r="J4848" s="21">
        <v>850</v>
      </c>
      <c r="K4848" s="21">
        <v>425</v>
      </c>
      <c r="L4848" s="5">
        <v>0</v>
      </c>
      <c r="M4848" s="4"/>
      <c r="N4848" s="4"/>
      <c r="O4848" s="5"/>
      <c r="P4848" s="5"/>
      <c r="Q4848" s="21">
        <v>0</v>
      </c>
      <c r="R4848" s="21">
        <v>0</v>
      </c>
      <c r="S4848" s="5">
        <f t="shared" si="303"/>
        <v>59173.618573026426</v>
      </c>
      <c r="T4848" cm="1">
        <f t="array" ref="T4848">IF(OR(B4848="MAL ALIMI", B4848="ÜRETİM GİRİŞ"), MIN(I4848, MAX(0, I4848 + SUM(SUMIFS($I$1:I4847, $C$1:C4847, C4848, $B$1:B4847, {"MAL ALIMI","ÜRETİM GİRİŞ"})) - VLOOKUP(C4848, 'STOK RAPORU'!$C$2:$I$1000, 4, 0))), 0)</f>
        <v>0</v>
      </c>
      <c r="U4848" s="22">
        <f t="shared" si="300"/>
        <v>0</v>
      </c>
      <c r="V4848">
        <f t="shared" si="301"/>
        <v>0</v>
      </c>
      <c r="W4848" s="22">
        <f t="shared" si="302"/>
        <v>0</v>
      </c>
    </row>
    <row r="4849" spans="1:23" hidden="1" x14ac:dyDescent="0.25">
      <c r="A4849" s="3">
        <v>46083</v>
      </c>
      <c r="B4849" s="4" t="s">
        <v>334</v>
      </c>
      <c r="C4849" s="4" t="s">
        <v>160</v>
      </c>
      <c r="D4849" s="4"/>
      <c r="E4849" s="4" t="s">
        <v>921</v>
      </c>
      <c r="F4849" s="46" t="s">
        <v>2379</v>
      </c>
      <c r="G4849" s="4" t="s">
        <v>336</v>
      </c>
      <c r="H4849" s="4" t="s">
        <v>380</v>
      </c>
      <c r="I4849" s="4">
        <v>1</v>
      </c>
      <c r="J4849" s="21">
        <v>225</v>
      </c>
      <c r="K4849" s="21">
        <v>225</v>
      </c>
      <c r="L4849" s="5">
        <v>0</v>
      </c>
      <c r="M4849" s="4"/>
      <c r="N4849" s="4"/>
      <c r="O4849" s="5"/>
      <c r="P4849" s="5"/>
      <c r="Q4849" s="21">
        <v>0</v>
      </c>
      <c r="R4849" s="21">
        <v>0</v>
      </c>
      <c r="S4849" s="5">
        <f t="shared" si="303"/>
        <v>59173.618573026426</v>
      </c>
      <c r="T4849" cm="1">
        <f t="array" ref="T4849">IF(OR(B4849="MAL ALIMI", B4849="ÜRETİM GİRİŞ"), MIN(I4849, MAX(0, I4849 + SUM(SUMIFS($I$1:I4848, $C$1:C4848, C4849, $B$1:B4848, {"MAL ALIMI","ÜRETİM GİRİŞ"})) - VLOOKUP(C4849, 'STOK RAPORU'!$C$2:$I$1000, 4, 0))), 0)</f>
        <v>0</v>
      </c>
      <c r="U4849" s="22">
        <f t="shared" si="300"/>
        <v>0</v>
      </c>
      <c r="V4849">
        <f t="shared" si="301"/>
        <v>0</v>
      </c>
      <c r="W4849" s="22">
        <f t="shared" si="302"/>
        <v>0</v>
      </c>
    </row>
    <row r="4850" spans="1:23" hidden="1" x14ac:dyDescent="0.25">
      <c r="A4850" s="3">
        <v>46083</v>
      </c>
      <c r="B4850" s="4" t="s">
        <v>334</v>
      </c>
      <c r="C4850" s="4" t="s">
        <v>160</v>
      </c>
      <c r="D4850" s="4"/>
      <c r="E4850" s="4"/>
      <c r="F4850" s="46" t="s">
        <v>2380</v>
      </c>
      <c r="G4850" s="4" t="s">
        <v>336</v>
      </c>
      <c r="H4850" s="4" t="s">
        <v>289</v>
      </c>
      <c r="I4850" s="4">
        <v>0.75</v>
      </c>
      <c r="J4850" s="21">
        <v>250</v>
      </c>
      <c r="K4850" s="21">
        <v>0</v>
      </c>
      <c r="L4850" s="5">
        <v>0</v>
      </c>
      <c r="M4850" s="4"/>
      <c r="N4850" s="4"/>
      <c r="O4850" s="5"/>
      <c r="P4850" s="5"/>
      <c r="Q4850" s="21">
        <v>187.5</v>
      </c>
      <c r="R4850" s="21">
        <v>0</v>
      </c>
      <c r="S4850" s="5">
        <f t="shared" si="303"/>
        <v>59361.118573026426</v>
      </c>
      <c r="T4850" cm="1">
        <f t="array" ref="T4850">IF(OR(B4850="MAL ALIMI", B4850="ÜRETİM GİRİŞ"), MIN(I4850, MAX(0, I4850 + SUM(SUMIFS($I$1:I4849, $C$1:C4849, C4850, $B$1:B4849, {"MAL ALIMI","ÜRETİM GİRİŞ"})) - VLOOKUP(C4850, 'STOK RAPORU'!$C$2:$I$1000, 4, 0))), 0)</f>
        <v>0</v>
      </c>
      <c r="U4850" s="22">
        <f t="shared" si="300"/>
        <v>0</v>
      </c>
      <c r="V4850">
        <f t="shared" si="301"/>
        <v>0</v>
      </c>
      <c r="W4850" s="22">
        <f t="shared" si="302"/>
        <v>0</v>
      </c>
    </row>
    <row r="4851" spans="1:23" hidden="1" x14ac:dyDescent="0.25">
      <c r="A4851" s="3">
        <v>46083</v>
      </c>
      <c r="B4851" s="4" t="s">
        <v>334</v>
      </c>
      <c r="C4851" s="4" t="s">
        <v>161</v>
      </c>
      <c r="D4851" s="4"/>
      <c r="E4851" s="4"/>
      <c r="F4851" s="46" t="s">
        <v>2380</v>
      </c>
      <c r="G4851" s="4" t="s">
        <v>336</v>
      </c>
      <c r="H4851" s="4" t="s">
        <v>289</v>
      </c>
      <c r="I4851" s="4">
        <v>0.5</v>
      </c>
      <c r="J4851" s="21">
        <v>230</v>
      </c>
      <c r="K4851" s="21">
        <v>0</v>
      </c>
      <c r="L4851" s="5">
        <v>0</v>
      </c>
      <c r="M4851" s="4"/>
      <c r="N4851" s="4"/>
      <c r="O4851" s="5"/>
      <c r="P4851" s="5"/>
      <c r="Q4851" s="21">
        <v>115</v>
      </c>
      <c r="R4851" s="21">
        <v>0</v>
      </c>
      <c r="S4851" s="5">
        <f t="shared" si="303"/>
        <v>59476.118573026426</v>
      </c>
      <c r="T4851" cm="1">
        <f t="array" ref="T4851">IF(OR(B4851="MAL ALIMI", B4851="ÜRETİM GİRİŞ"), MIN(I4851, MAX(0, I4851 + SUM(SUMIFS($I$1:I4850, $C$1:C4850, C4851, $B$1:B4850, {"MAL ALIMI","ÜRETİM GİRİŞ"})) - VLOOKUP(C4851, 'STOK RAPORU'!$C$2:$I$1000, 4, 0))), 0)</f>
        <v>0</v>
      </c>
      <c r="U4851" s="22">
        <f t="shared" si="300"/>
        <v>0</v>
      </c>
      <c r="V4851">
        <f t="shared" si="301"/>
        <v>0</v>
      </c>
      <c r="W4851" s="22">
        <f t="shared" si="302"/>
        <v>0</v>
      </c>
    </row>
    <row r="4852" spans="1:23" hidden="1" x14ac:dyDescent="0.25">
      <c r="A4852" s="3">
        <v>46083</v>
      </c>
      <c r="B4852" s="4" t="s">
        <v>334</v>
      </c>
      <c r="C4852" s="4" t="s">
        <v>1634</v>
      </c>
      <c r="D4852" s="4"/>
      <c r="E4852" s="4"/>
      <c r="F4852" s="46" t="s">
        <v>2383</v>
      </c>
      <c r="G4852" s="4" t="s">
        <v>336</v>
      </c>
      <c r="H4852" s="4" t="s">
        <v>289</v>
      </c>
      <c r="I4852" s="4">
        <v>1</v>
      </c>
      <c r="J4852" s="21">
        <v>320</v>
      </c>
      <c r="K4852" s="21">
        <v>0</v>
      </c>
      <c r="L4852" s="5">
        <v>0</v>
      </c>
      <c r="M4852" s="4"/>
      <c r="N4852" s="4"/>
      <c r="O4852" s="5"/>
      <c r="P4852" s="5"/>
      <c r="Q4852" s="21">
        <v>320</v>
      </c>
      <c r="R4852" s="21">
        <v>0</v>
      </c>
      <c r="S4852" s="5">
        <f t="shared" si="303"/>
        <v>59796.118573026426</v>
      </c>
      <c r="T4852" cm="1">
        <f t="array" ref="T4852">IF(OR(B4852="MAL ALIMI", B4852="ÜRETİM GİRİŞ"), MIN(I4852, MAX(0, I4852 + SUM(SUMIFS($I$1:I4851, $C$1:C4851, C4852, $B$1:B4851, {"MAL ALIMI","ÜRETİM GİRİŞ"})) - VLOOKUP(C4852, 'STOK RAPORU'!$C$2:$I$1000, 4, 0))), 0)</f>
        <v>0</v>
      </c>
      <c r="U4852" s="22">
        <f t="shared" ref="U4852:U4915" si="304">T4852*J4852</f>
        <v>0</v>
      </c>
      <c r="V4852">
        <f t="shared" ref="V4852:V4915" si="305">IF(OR(B4852="MAL ALIMI", B4852="ÜRETİM GİRİŞ"), I4852 * J4852, 0)</f>
        <v>0</v>
      </c>
      <c r="W4852" s="22">
        <f t="shared" ref="W4852:W4915" si="306">V4852-U4852</f>
        <v>0</v>
      </c>
    </row>
    <row r="4853" spans="1:23" hidden="1" x14ac:dyDescent="0.25">
      <c r="A4853" s="3">
        <v>46083</v>
      </c>
      <c r="B4853" s="4" t="s">
        <v>334</v>
      </c>
      <c r="C4853" s="4" t="s">
        <v>1427</v>
      </c>
      <c r="D4853" s="4"/>
      <c r="E4853" s="4"/>
      <c r="F4853" s="46" t="s">
        <v>2383</v>
      </c>
      <c r="G4853" s="4" t="s">
        <v>336</v>
      </c>
      <c r="H4853" s="4" t="s">
        <v>289</v>
      </c>
      <c r="I4853" s="4">
        <v>1</v>
      </c>
      <c r="J4853" s="21">
        <v>100</v>
      </c>
      <c r="K4853" s="21">
        <v>0</v>
      </c>
      <c r="L4853" s="5">
        <v>0</v>
      </c>
      <c r="M4853" s="4"/>
      <c r="N4853" s="4"/>
      <c r="O4853" s="5"/>
      <c r="P4853" s="5"/>
      <c r="Q4853" s="21">
        <v>100</v>
      </c>
      <c r="R4853" s="21">
        <v>0</v>
      </c>
      <c r="S4853" s="5">
        <f t="shared" si="303"/>
        <v>59896.118573026426</v>
      </c>
      <c r="T4853" cm="1">
        <f t="array" ref="T4853">IF(OR(B4853="MAL ALIMI", B4853="ÜRETİM GİRİŞ"), MIN(I4853, MAX(0, I4853 + SUM(SUMIFS($I$1:I4852, $C$1:C4852, C4853, $B$1:B4852, {"MAL ALIMI","ÜRETİM GİRİŞ"})) - VLOOKUP(C4853, 'STOK RAPORU'!$C$2:$I$1000, 4, 0))), 0)</f>
        <v>0</v>
      </c>
      <c r="U4853" s="22">
        <f t="shared" si="304"/>
        <v>0</v>
      </c>
      <c r="V4853">
        <f t="shared" si="305"/>
        <v>0</v>
      </c>
      <c r="W4853" s="22">
        <f t="shared" si="306"/>
        <v>0</v>
      </c>
    </row>
    <row r="4854" spans="1:23" hidden="1" x14ac:dyDescent="0.25">
      <c r="A4854" s="3">
        <v>46083</v>
      </c>
      <c r="B4854" s="4" t="s">
        <v>334</v>
      </c>
      <c r="C4854" s="4" t="s">
        <v>1427</v>
      </c>
      <c r="D4854" s="4"/>
      <c r="E4854" s="4"/>
      <c r="F4854" s="46" t="s">
        <v>2383</v>
      </c>
      <c r="G4854" s="4" t="s">
        <v>336</v>
      </c>
      <c r="H4854" s="4" t="s">
        <v>289</v>
      </c>
      <c r="I4854" s="4">
        <v>1</v>
      </c>
      <c r="J4854" s="21">
        <v>100</v>
      </c>
      <c r="K4854" s="21">
        <v>0</v>
      </c>
      <c r="L4854" s="5">
        <v>0</v>
      </c>
      <c r="M4854" s="4"/>
      <c r="N4854" s="4"/>
      <c r="O4854" s="5"/>
      <c r="P4854" s="5"/>
      <c r="Q4854" s="21">
        <v>100</v>
      </c>
      <c r="R4854" s="21">
        <v>0</v>
      </c>
      <c r="S4854" s="5">
        <f t="shared" si="303"/>
        <v>59996.118573026426</v>
      </c>
      <c r="T4854" cm="1">
        <f t="array" ref="T4854">IF(OR(B4854="MAL ALIMI", B4854="ÜRETİM GİRİŞ"), MIN(I4854, MAX(0, I4854 + SUM(SUMIFS($I$1:I4853, $C$1:C4853, C4854, $B$1:B4853, {"MAL ALIMI","ÜRETİM GİRİŞ"})) - VLOOKUP(C4854, 'STOK RAPORU'!$C$2:$I$1000, 4, 0))), 0)</f>
        <v>0</v>
      </c>
      <c r="U4854" s="22">
        <f t="shared" si="304"/>
        <v>0</v>
      </c>
      <c r="V4854">
        <f t="shared" si="305"/>
        <v>0</v>
      </c>
      <c r="W4854" s="22">
        <f t="shared" si="306"/>
        <v>0</v>
      </c>
    </row>
    <row r="4855" spans="1:23" hidden="1" x14ac:dyDescent="0.25">
      <c r="A4855" s="3">
        <v>46083</v>
      </c>
      <c r="B4855" s="4" t="s">
        <v>334</v>
      </c>
      <c r="C4855" s="4" t="s">
        <v>459</v>
      </c>
      <c r="D4855" s="4"/>
      <c r="E4855" s="4"/>
      <c r="F4855" s="46" t="s">
        <v>2383</v>
      </c>
      <c r="G4855" s="4" t="s">
        <v>336</v>
      </c>
      <c r="H4855" s="4" t="s">
        <v>289</v>
      </c>
      <c r="I4855" s="4">
        <v>0.5</v>
      </c>
      <c r="J4855" s="21">
        <v>140</v>
      </c>
      <c r="K4855" s="21">
        <v>0</v>
      </c>
      <c r="L4855" s="5">
        <v>0</v>
      </c>
      <c r="M4855" s="4"/>
      <c r="N4855" s="4"/>
      <c r="O4855" s="5"/>
      <c r="P4855" s="5"/>
      <c r="Q4855" s="21">
        <v>70</v>
      </c>
      <c r="R4855" s="21">
        <v>0</v>
      </c>
      <c r="S4855" s="5">
        <f t="shared" si="303"/>
        <v>60066.118573026426</v>
      </c>
      <c r="T4855" cm="1">
        <f t="array" ref="T4855">IF(OR(B4855="MAL ALIMI", B4855="ÜRETİM GİRİŞ"), MIN(I4855, MAX(0, I4855 + SUM(SUMIFS($I$1:I4854, $C$1:C4854, C4855, $B$1:B4854, {"MAL ALIMI","ÜRETİM GİRİŞ"})) - VLOOKUP(C4855, 'STOK RAPORU'!$C$2:$I$1000, 4, 0))), 0)</f>
        <v>0</v>
      </c>
      <c r="U4855" s="22">
        <f t="shared" si="304"/>
        <v>0</v>
      </c>
      <c r="V4855">
        <f t="shared" si="305"/>
        <v>0</v>
      </c>
      <c r="W4855" s="22">
        <f t="shared" si="306"/>
        <v>0</v>
      </c>
    </row>
    <row r="4856" spans="1:23" hidden="1" x14ac:dyDescent="0.25">
      <c r="A4856" s="3">
        <v>46083</v>
      </c>
      <c r="B4856" s="4" t="s">
        <v>334</v>
      </c>
      <c r="C4856" s="4" t="s">
        <v>133</v>
      </c>
      <c r="D4856" s="4"/>
      <c r="E4856" s="4"/>
      <c r="F4856" s="46" t="s">
        <v>2383</v>
      </c>
      <c r="G4856" s="4" t="s">
        <v>336</v>
      </c>
      <c r="H4856" s="4" t="s">
        <v>289</v>
      </c>
      <c r="I4856" s="4">
        <v>0.21249999999999999</v>
      </c>
      <c r="J4856" s="21">
        <v>400</v>
      </c>
      <c r="K4856" s="21">
        <v>0</v>
      </c>
      <c r="L4856" s="5">
        <v>0</v>
      </c>
      <c r="M4856" s="4"/>
      <c r="N4856" s="4"/>
      <c r="O4856" s="5"/>
      <c r="P4856" s="5"/>
      <c r="Q4856" s="21">
        <v>85</v>
      </c>
      <c r="R4856" s="21">
        <v>0</v>
      </c>
      <c r="S4856" s="5">
        <f t="shared" si="303"/>
        <v>60151.118573026426</v>
      </c>
      <c r="T4856" cm="1">
        <f t="array" ref="T4856">IF(OR(B4856="MAL ALIMI", B4856="ÜRETİM GİRİŞ"), MIN(I4856, MAX(0, I4856 + SUM(SUMIFS($I$1:I4855, $C$1:C4855, C4856, $B$1:B4855, {"MAL ALIMI","ÜRETİM GİRİŞ"})) - VLOOKUP(C4856, 'STOK RAPORU'!$C$2:$I$1000, 4, 0))), 0)</f>
        <v>0</v>
      </c>
      <c r="U4856" s="22">
        <f t="shared" si="304"/>
        <v>0</v>
      </c>
      <c r="V4856">
        <f t="shared" si="305"/>
        <v>0</v>
      </c>
      <c r="W4856" s="22">
        <f t="shared" si="306"/>
        <v>0</v>
      </c>
    </row>
    <row r="4857" spans="1:23" hidden="1" x14ac:dyDescent="0.25">
      <c r="A4857" s="3">
        <v>46083</v>
      </c>
      <c r="B4857" s="4" t="s">
        <v>334</v>
      </c>
      <c r="C4857" s="4" t="s">
        <v>131</v>
      </c>
      <c r="D4857" s="4"/>
      <c r="E4857" s="4"/>
      <c r="F4857" s="46" t="s">
        <v>2383</v>
      </c>
      <c r="G4857" s="4" t="s">
        <v>336</v>
      </c>
      <c r="H4857" s="4" t="s">
        <v>289</v>
      </c>
      <c r="I4857" s="4">
        <v>6.25E-2</v>
      </c>
      <c r="J4857" s="21">
        <v>400</v>
      </c>
      <c r="K4857" s="21">
        <v>0</v>
      </c>
      <c r="L4857" s="5">
        <v>0</v>
      </c>
      <c r="M4857" s="4"/>
      <c r="N4857" s="4"/>
      <c r="O4857" s="5"/>
      <c r="P4857" s="5"/>
      <c r="Q4857" s="21">
        <v>25</v>
      </c>
      <c r="R4857" s="21">
        <v>0</v>
      </c>
      <c r="S4857" s="5">
        <f t="shared" si="303"/>
        <v>60176.118573026426</v>
      </c>
      <c r="T4857" cm="1">
        <f t="array" ref="T4857">IF(OR(B4857="MAL ALIMI", B4857="ÜRETİM GİRİŞ"), MIN(I4857, MAX(0, I4857 + SUM(SUMIFS($I$1:I4856, $C$1:C4856, C4857, $B$1:B4856, {"MAL ALIMI","ÜRETİM GİRİŞ"})) - VLOOKUP(C4857, 'STOK RAPORU'!$C$2:$I$1000, 4, 0))), 0)</f>
        <v>0</v>
      </c>
      <c r="U4857" s="22">
        <f t="shared" si="304"/>
        <v>0</v>
      </c>
      <c r="V4857">
        <f t="shared" si="305"/>
        <v>0</v>
      </c>
      <c r="W4857" s="22">
        <f t="shared" si="306"/>
        <v>0</v>
      </c>
    </row>
    <row r="4858" spans="1:23" hidden="1" x14ac:dyDescent="0.25">
      <c r="A4858" s="3">
        <v>46083</v>
      </c>
      <c r="B4858" s="4" t="s">
        <v>334</v>
      </c>
      <c r="C4858" s="4" t="s">
        <v>190</v>
      </c>
      <c r="D4858" s="4"/>
      <c r="E4858" s="4"/>
      <c r="F4858" s="46" t="s">
        <v>2384</v>
      </c>
      <c r="G4858" s="4" t="s">
        <v>336</v>
      </c>
      <c r="H4858" s="4" t="s">
        <v>289</v>
      </c>
      <c r="I4858" s="4">
        <v>0.05</v>
      </c>
      <c r="J4858" s="21">
        <v>1600</v>
      </c>
      <c r="K4858" s="21">
        <v>0</v>
      </c>
      <c r="L4858" s="5">
        <v>0</v>
      </c>
      <c r="M4858" s="4"/>
      <c r="N4858" s="4"/>
      <c r="O4858" s="5"/>
      <c r="P4858" s="5"/>
      <c r="Q4858" s="21">
        <v>80</v>
      </c>
      <c r="R4858" s="21">
        <v>0</v>
      </c>
      <c r="S4858" s="5">
        <f t="shared" si="303"/>
        <v>60256.118573026426</v>
      </c>
      <c r="T4858" cm="1">
        <f t="array" ref="T4858">IF(OR(B4858="MAL ALIMI", B4858="ÜRETİM GİRİŞ"), MIN(I4858, MAX(0, I4858 + SUM(SUMIFS($I$1:I4857, $C$1:C4857, C4858, $B$1:B4857, {"MAL ALIMI","ÜRETİM GİRİŞ"})) - VLOOKUP(C4858, 'STOK RAPORU'!$C$2:$I$1000, 4, 0))), 0)</f>
        <v>0</v>
      </c>
      <c r="U4858" s="22">
        <f t="shared" si="304"/>
        <v>0</v>
      </c>
      <c r="V4858">
        <f t="shared" si="305"/>
        <v>0</v>
      </c>
      <c r="W4858" s="22">
        <f t="shared" si="306"/>
        <v>0</v>
      </c>
    </row>
    <row r="4859" spans="1:23" hidden="1" x14ac:dyDescent="0.25">
      <c r="A4859" s="3">
        <v>46083</v>
      </c>
      <c r="B4859" s="4" t="s">
        <v>334</v>
      </c>
      <c r="C4859" s="4" t="s">
        <v>204</v>
      </c>
      <c r="D4859" s="4"/>
      <c r="E4859" s="4"/>
      <c r="F4859" s="46" t="s">
        <v>2384</v>
      </c>
      <c r="G4859" s="4" t="s">
        <v>336</v>
      </c>
      <c r="H4859" s="4" t="s">
        <v>289</v>
      </c>
      <c r="I4859" s="4">
        <v>0.05</v>
      </c>
      <c r="J4859" s="21">
        <v>1400</v>
      </c>
      <c r="K4859" s="21">
        <v>0</v>
      </c>
      <c r="L4859" s="5">
        <v>0</v>
      </c>
      <c r="M4859" s="4"/>
      <c r="N4859" s="4"/>
      <c r="O4859" s="5"/>
      <c r="P4859" s="5"/>
      <c r="Q4859" s="21">
        <v>70</v>
      </c>
      <c r="R4859" s="21">
        <v>0</v>
      </c>
      <c r="S4859" s="5">
        <f t="shared" si="303"/>
        <v>60326.118573026426</v>
      </c>
      <c r="T4859" cm="1">
        <f t="array" ref="T4859">IF(OR(B4859="MAL ALIMI", B4859="ÜRETİM GİRİŞ"), MIN(I4859, MAX(0, I4859 + SUM(SUMIFS($I$1:I4858, $C$1:C4858, C4859, $B$1:B4858, {"MAL ALIMI","ÜRETİM GİRİŞ"})) - VLOOKUP(C4859, 'STOK RAPORU'!$C$2:$I$1000, 4, 0))), 0)</f>
        <v>0</v>
      </c>
      <c r="U4859" s="22">
        <f t="shared" si="304"/>
        <v>0</v>
      </c>
      <c r="V4859">
        <f t="shared" si="305"/>
        <v>0</v>
      </c>
      <c r="W4859" s="22">
        <f t="shared" si="306"/>
        <v>0</v>
      </c>
    </row>
    <row r="4860" spans="1:23" hidden="1" x14ac:dyDescent="0.25">
      <c r="A4860" s="3">
        <v>46083</v>
      </c>
      <c r="B4860" s="4" t="s">
        <v>334</v>
      </c>
      <c r="C4860" s="4" t="s">
        <v>1326</v>
      </c>
      <c r="D4860" s="4"/>
      <c r="E4860" s="4"/>
      <c r="F4860" s="46" t="s">
        <v>2384</v>
      </c>
      <c r="G4860" s="4" t="s">
        <v>336</v>
      </c>
      <c r="H4860" s="4" t="s">
        <v>289</v>
      </c>
      <c r="I4860" s="4">
        <v>1</v>
      </c>
      <c r="J4860" s="21">
        <v>135</v>
      </c>
      <c r="K4860" s="21">
        <v>0</v>
      </c>
      <c r="L4860" s="5">
        <v>0</v>
      </c>
      <c r="M4860" s="4"/>
      <c r="N4860" s="4"/>
      <c r="O4860" s="5"/>
      <c r="P4860" s="5"/>
      <c r="Q4860" s="21">
        <v>135</v>
      </c>
      <c r="R4860" s="21">
        <v>0</v>
      </c>
      <c r="S4860" s="5">
        <f t="shared" si="303"/>
        <v>60461.118573026426</v>
      </c>
      <c r="T4860" cm="1">
        <f t="array" ref="T4860">IF(OR(B4860="MAL ALIMI", B4860="ÜRETİM GİRİŞ"), MIN(I4860, MAX(0, I4860 + SUM(SUMIFS($I$1:I4859, $C$1:C4859, C4860, $B$1:B4859, {"MAL ALIMI","ÜRETİM GİRİŞ"})) - VLOOKUP(C4860, 'STOK RAPORU'!$C$2:$I$1000, 4, 0))), 0)</f>
        <v>0</v>
      </c>
      <c r="U4860" s="22">
        <f t="shared" si="304"/>
        <v>0</v>
      </c>
      <c r="V4860">
        <f t="shared" si="305"/>
        <v>0</v>
      </c>
      <c r="W4860" s="22">
        <f t="shared" si="306"/>
        <v>0</v>
      </c>
    </row>
    <row r="4861" spans="1:23" hidden="1" x14ac:dyDescent="0.25">
      <c r="A4861" s="3">
        <v>46083</v>
      </c>
      <c r="B4861" s="4" t="s">
        <v>334</v>
      </c>
      <c r="C4861" s="4" t="s">
        <v>178</v>
      </c>
      <c r="D4861" s="4"/>
      <c r="E4861" s="4"/>
      <c r="F4861" s="46" t="s">
        <v>2385</v>
      </c>
      <c r="G4861" s="4" t="s">
        <v>336</v>
      </c>
      <c r="H4861" s="4" t="s">
        <v>289</v>
      </c>
      <c r="I4861" s="4">
        <v>1</v>
      </c>
      <c r="J4861" s="21">
        <v>95</v>
      </c>
      <c r="K4861" s="21">
        <v>0</v>
      </c>
      <c r="L4861" s="5">
        <v>0</v>
      </c>
      <c r="M4861" s="4"/>
      <c r="N4861" s="4"/>
      <c r="O4861" s="5"/>
      <c r="P4861" s="5"/>
      <c r="Q4861" s="21">
        <v>95</v>
      </c>
      <c r="R4861" s="21">
        <v>0</v>
      </c>
      <c r="S4861" s="5">
        <f t="shared" si="303"/>
        <v>60556.118573026426</v>
      </c>
      <c r="T4861" cm="1">
        <f t="array" ref="T4861">IF(OR(B4861="MAL ALIMI", B4861="ÜRETİM GİRİŞ"), MIN(I4861, MAX(0, I4861 + SUM(SUMIFS($I$1:I4860, $C$1:C4860, C4861, $B$1:B4860, {"MAL ALIMI","ÜRETİM GİRİŞ"})) - VLOOKUP(C4861, 'STOK RAPORU'!$C$2:$I$1000, 4, 0))), 0)</f>
        <v>0</v>
      </c>
      <c r="U4861" s="22">
        <f t="shared" si="304"/>
        <v>0</v>
      </c>
      <c r="V4861">
        <f t="shared" si="305"/>
        <v>0</v>
      </c>
      <c r="W4861" s="22">
        <f t="shared" si="306"/>
        <v>0</v>
      </c>
    </row>
    <row r="4862" spans="1:23" hidden="1" x14ac:dyDescent="0.25">
      <c r="A4862" s="3">
        <v>46083</v>
      </c>
      <c r="B4862" s="4" t="s">
        <v>334</v>
      </c>
      <c r="C4862" s="4" t="s">
        <v>1367</v>
      </c>
      <c r="D4862" s="4"/>
      <c r="E4862" s="4"/>
      <c r="F4862" s="46" t="s">
        <v>2385</v>
      </c>
      <c r="G4862" s="4" t="s">
        <v>336</v>
      </c>
      <c r="H4862" s="4" t="s">
        <v>289</v>
      </c>
      <c r="I4862" s="4">
        <v>1</v>
      </c>
      <c r="J4862" s="21">
        <v>180</v>
      </c>
      <c r="K4862" s="21">
        <v>0</v>
      </c>
      <c r="L4862" s="5">
        <v>0</v>
      </c>
      <c r="M4862" s="4"/>
      <c r="N4862" s="4"/>
      <c r="O4862" s="5"/>
      <c r="P4862" s="5"/>
      <c r="Q4862" s="21">
        <v>180</v>
      </c>
      <c r="R4862" s="21">
        <v>0</v>
      </c>
      <c r="S4862" s="5">
        <f t="shared" si="303"/>
        <v>60736.118573026426</v>
      </c>
      <c r="T4862" cm="1">
        <f t="array" ref="T4862">IF(OR(B4862="MAL ALIMI", B4862="ÜRETİM GİRİŞ"), MIN(I4862, MAX(0, I4862 + SUM(SUMIFS($I$1:I4861, $C$1:C4861, C4862, $B$1:B4861, {"MAL ALIMI","ÜRETİM GİRİŞ"})) - VLOOKUP(C4862, 'STOK RAPORU'!$C$2:$I$1000, 4, 0))), 0)</f>
        <v>0</v>
      </c>
      <c r="U4862" s="22">
        <f t="shared" si="304"/>
        <v>0</v>
      </c>
      <c r="V4862">
        <f t="shared" si="305"/>
        <v>0</v>
      </c>
      <c r="W4862" s="22">
        <f t="shared" si="306"/>
        <v>0</v>
      </c>
    </row>
    <row r="4863" spans="1:23" hidden="1" x14ac:dyDescent="0.25">
      <c r="A4863" s="3">
        <v>46083</v>
      </c>
      <c r="B4863" s="4" t="s">
        <v>334</v>
      </c>
      <c r="C4863" s="4" t="s">
        <v>2128</v>
      </c>
      <c r="D4863" s="4"/>
      <c r="E4863" s="4" t="s">
        <v>921</v>
      </c>
      <c r="F4863" s="46" t="s">
        <v>2386</v>
      </c>
      <c r="G4863" s="4" t="s">
        <v>336</v>
      </c>
      <c r="H4863" s="4" t="s">
        <v>380</v>
      </c>
      <c r="I4863" s="4">
        <v>3</v>
      </c>
      <c r="J4863" s="21">
        <v>400</v>
      </c>
      <c r="K4863" s="21">
        <v>1200</v>
      </c>
      <c r="L4863" s="5">
        <v>0</v>
      </c>
      <c r="M4863" s="4"/>
      <c r="N4863" s="4"/>
      <c r="O4863" s="5"/>
      <c r="P4863" s="5"/>
      <c r="Q4863" s="21">
        <v>0</v>
      </c>
      <c r="R4863" s="21">
        <v>0</v>
      </c>
      <c r="S4863" s="5">
        <f t="shared" si="303"/>
        <v>60736.118573026426</v>
      </c>
      <c r="T4863" cm="1">
        <f t="array" ref="T4863">IF(OR(B4863="MAL ALIMI", B4863="ÜRETİM GİRİŞ"), MIN(I4863, MAX(0, I4863 + SUM(SUMIFS($I$1:I4862, $C$1:C4862, C4863, $B$1:B4862, {"MAL ALIMI","ÜRETİM GİRİŞ"})) - VLOOKUP(C4863, 'STOK RAPORU'!$C$2:$I$1000, 4, 0))), 0)</f>
        <v>0</v>
      </c>
      <c r="U4863" s="22">
        <f t="shared" si="304"/>
        <v>0</v>
      </c>
      <c r="V4863">
        <f t="shared" si="305"/>
        <v>0</v>
      </c>
      <c r="W4863" s="22">
        <f t="shared" si="306"/>
        <v>0</v>
      </c>
    </row>
    <row r="4864" spans="1:23" hidden="1" x14ac:dyDescent="0.25">
      <c r="A4864" s="3">
        <v>46083</v>
      </c>
      <c r="B4864" s="4" t="s">
        <v>334</v>
      </c>
      <c r="C4864" s="4" t="s">
        <v>166</v>
      </c>
      <c r="D4864" s="4"/>
      <c r="E4864" s="4"/>
      <c r="F4864" s="46" t="s">
        <v>2387</v>
      </c>
      <c r="G4864" s="4" t="s">
        <v>336</v>
      </c>
      <c r="H4864" s="4" t="s">
        <v>289</v>
      </c>
      <c r="I4864" s="4">
        <v>0.06</v>
      </c>
      <c r="J4864" s="21">
        <v>770</v>
      </c>
      <c r="K4864" s="21">
        <v>0</v>
      </c>
      <c r="L4864" s="5">
        <v>0</v>
      </c>
      <c r="M4864" s="4"/>
      <c r="N4864" s="4"/>
      <c r="O4864" s="5"/>
      <c r="P4864" s="5"/>
      <c r="Q4864" s="21">
        <v>46.199999999999996</v>
      </c>
      <c r="R4864" s="21">
        <v>0</v>
      </c>
      <c r="S4864" s="5">
        <f t="shared" si="303"/>
        <v>60782.318573026423</v>
      </c>
      <c r="T4864" cm="1">
        <f t="array" ref="T4864">IF(OR(B4864="MAL ALIMI", B4864="ÜRETİM GİRİŞ"), MIN(I4864, MAX(0, I4864 + SUM(SUMIFS($I$1:I4863, $C$1:C4863, C4864, $B$1:B4863, {"MAL ALIMI","ÜRETİM GİRİŞ"})) - VLOOKUP(C4864, 'STOK RAPORU'!$C$2:$I$1000, 4, 0))), 0)</f>
        <v>0</v>
      </c>
      <c r="U4864" s="22">
        <f t="shared" si="304"/>
        <v>0</v>
      </c>
      <c r="V4864">
        <f t="shared" si="305"/>
        <v>0</v>
      </c>
      <c r="W4864" s="22">
        <f t="shared" si="306"/>
        <v>0</v>
      </c>
    </row>
    <row r="4865" spans="1:23" hidden="1" x14ac:dyDescent="0.25">
      <c r="A4865" s="41">
        <v>46083</v>
      </c>
      <c r="B4865" s="42" t="s">
        <v>334</v>
      </c>
      <c r="C4865" s="42" t="s">
        <v>523</v>
      </c>
      <c r="D4865" s="42"/>
      <c r="E4865" s="42" t="s">
        <v>921</v>
      </c>
      <c r="F4865" s="42" t="s">
        <v>2388</v>
      </c>
      <c r="G4865" s="42" t="s">
        <v>336</v>
      </c>
      <c r="H4865" s="42" t="s">
        <v>380</v>
      </c>
      <c r="I4865" s="42">
        <v>0.08</v>
      </c>
      <c r="J4865" s="43">
        <v>750</v>
      </c>
      <c r="K4865" s="43">
        <v>60</v>
      </c>
      <c r="L4865" s="44">
        <v>0</v>
      </c>
      <c r="M4865" s="42"/>
      <c r="N4865" s="42"/>
      <c r="O4865" s="44"/>
      <c r="P4865" s="44"/>
      <c r="Q4865" s="43">
        <v>0</v>
      </c>
      <c r="R4865" s="43">
        <v>0</v>
      </c>
      <c r="S4865" s="5">
        <f t="shared" si="303"/>
        <v>60782.318573026423</v>
      </c>
      <c r="T4865" cm="1">
        <f t="array" ref="T4865">IF(OR(B4865="MAL ALIMI", B4865="ÜRETİM GİRİŞ"), MIN(I4865, MAX(0, I4865 + SUM(SUMIFS($I$1:I4864, $C$1:C4864, C4865, $B$1:B4864, {"MAL ALIMI","ÜRETİM GİRİŞ"})) - VLOOKUP(C4865, 'STOK RAPORU'!$C$2:$I$1000, 4, 0))), 0)</f>
        <v>0</v>
      </c>
      <c r="U4865" s="22">
        <f t="shared" si="304"/>
        <v>0</v>
      </c>
      <c r="V4865">
        <f t="shared" si="305"/>
        <v>0</v>
      </c>
      <c r="W4865" s="22">
        <f t="shared" si="306"/>
        <v>0</v>
      </c>
    </row>
    <row r="4866" spans="1:23" hidden="1" x14ac:dyDescent="0.25">
      <c r="A4866" s="41">
        <v>46083</v>
      </c>
      <c r="B4866" s="42" t="s">
        <v>334</v>
      </c>
      <c r="C4866" s="42" t="s">
        <v>60</v>
      </c>
      <c r="D4866" s="42"/>
      <c r="E4866" s="42" t="s">
        <v>921</v>
      </c>
      <c r="F4866" s="42" t="s">
        <v>2388</v>
      </c>
      <c r="G4866" s="42" t="s">
        <v>336</v>
      </c>
      <c r="H4866" s="42" t="s">
        <v>380</v>
      </c>
      <c r="I4866" s="4">
        <v>0.05</v>
      </c>
      <c r="J4866" s="21">
        <v>1100</v>
      </c>
      <c r="K4866" s="43">
        <v>55</v>
      </c>
      <c r="L4866" s="44">
        <v>0</v>
      </c>
      <c r="M4866" s="42"/>
      <c r="N4866" s="42"/>
      <c r="O4866" s="44"/>
      <c r="P4866" s="44"/>
      <c r="Q4866" s="43">
        <v>0</v>
      </c>
      <c r="R4866" s="43">
        <v>0</v>
      </c>
      <c r="S4866" s="5">
        <f t="shared" si="303"/>
        <v>60782.318573026423</v>
      </c>
      <c r="T4866" cm="1">
        <f t="array" ref="T4866">IF(OR(B4866="MAL ALIMI", B4866="ÜRETİM GİRİŞ"), MIN(I4866, MAX(0, I4866 + SUM(SUMIFS($I$1:I4865, $C$1:C4865, C4866, $B$1:B4865, {"MAL ALIMI","ÜRETİM GİRİŞ"})) - VLOOKUP(C4866, 'STOK RAPORU'!$C$2:$I$1000, 4, 0))), 0)</f>
        <v>0</v>
      </c>
      <c r="U4866" s="22">
        <f t="shared" si="304"/>
        <v>0</v>
      </c>
      <c r="V4866">
        <f t="shared" si="305"/>
        <v>0</v>
      </c>
      <c r="W4866" s="22">
        <f t="shared" si="306"/>
        <v>0</v>
      </c>
    </row>
    <row r="4867" spans="1:23" hidden="1" x14ac:dyDescent="0.25">
      <c r="A4867" s="3">
        <v>46083</v>
      </c>
      <c r="B4867" s="4" t="s">
        <v>946</v>
      </c>
      <c r="C4867" s="4"/>
      <c r="D4867" s="4"/>
      <c r="E4867" s="4" t="s">
        <v>921</v>
      </c>
      <c r="F4867" s="4"/>
      <c r="G4867" s="4" t="s">
        <v>946</v>
      </c>
      <c r="H4867" s="4" t="s">
        <v>380</v>
      </c>
      <c r="I4867" s="4">
        <v>1</v>
      </c>
      <c r="J4867" s="105">
        <v>775</v>
      </c>
      <c r="K4867" s="21">
        <v>0</v>
      </c>
      <c r="L4867" s="111">
        <v>775</v>
      </c>
      <c r="M4867" s="4"/>
      <c r="N4867" s="4"/>
      <c r="O4867" s="5"/>
      <c r="P4867" s="5"/>
      <c r="Q4867" s="21">
        <v>775</v>
      </c>
      <c r="R4867" s="21">
        <v>0</v>
      </c>
      <c r="S4867" s="5">
        <f t="shared" si="303"/>
        <v>61557.318573026423</v>
      </c>
      <c r="T4867" cm="1">
        <f t="array" ref="T4867">IF(OR(B4867="MAL ALIMI", B4867="ÜRETİM GİRİŞ"), MIN(I4867, MAX(0, I4867 + SUM(SUMIFS($I$1:I4866, $C$1:C4866, C4867, $B$1:B4866, {"MAL ALIMI","ÜRETİM GİRİŞ"})) - VLOOKUP(C4867, 'STOK RAPORU'!$C$2:$I$1000, 4, 0))), 0)</f>
        <v>0</v>
      </c>
      <c r="U4867" s="22">
        <f t="shared" si="304"/>
        <v>0</v>
      </c>
      <c r="V4867">
        <f t="shared" si="305"/>
        <v>0</v>
      </c>
      <c r="W4867" s="22">
        <f t="shared" si="306"/>
        <v>0</v>
      </c>
    </row>
    <row r="4868" spans="1:23" hidden="1" x14ac:dyDescent="0.25">
      <c r="A4868" s="3">
        <v>46083</v>
      </c>
      <c r="B4868" s="4" t="s">
        <v>946</v>
      </c>
      <c r="C4868" s="4"/>
      <c r="D4868" s="4"/>
      <c r="E4868" s="4" t="s">
        <v>921</v>
      </c>
      <c r="F4868" s="4"/>
      <c r="G4868" s="4" t="s">
        <v>946</v>
      </c>
      <c r="H4868" s="4" t="s">
        <v>380</v>
      </c>
      <c r="I4868" s="4">
        <v>1</v>
      </c>
      <c r="J4868" s="105">
        <v>208</v>
      </c>
      <c r="K4868" s="21">
        <v>0</v>
      </c>
      <c r="L4868" s="111">
        <v>208</v>
      </c>
      <c r="M4868" s="4"/>
      <c r="N4868" s="4"/>
      <c r="O4868" s="5"/>
      <c r="P4868" s="5"/>
      <c r="Q4868" s="21">
        <v>208</v>
      </c>
      <c r="R4868" s="21">
        <v>0</v>
      </c>
      <c r="S4868" s="5">
        <f t="shared" ref="S4868:S4931" si="307">S4867+Q4868-R4868</f>
        <v>61765.318573026423</v>
      </c>
      <c r="T4868" cm="1">
        <f t="array" ref="T4868">IF(OR(B4868="MAL ALIMI", B4868="ÜRETİM GİRİŞ"), MIN(I4868, MAX(0, I4868 + SUM(SUMIFS($I$1:I4867, $C$1:C4867, C4868, $B$1:B4867, {"MAL ALIMI","ÜRETİM GİRİŞ"})) - VLOOKUP(C4868, 'STOK RAPORU'!$C$2:$I$1000, 4, 0))), 0)</f>
        <v>0</v>
      </c>
      <c r="U4868" s="22">
        <f t="shared" si="304"/>
        <v>0</v>
      </c>
      <c r="V4868">
        <f t="shared" si="305"/>
        <v>0</v>
      </c>
      <c r="W4868" s="22">
        <f t="shared" si="306"/>
        <v>0</v>
      </c>
    </row>
    <row r="4869" spans="1:23" hidden="1" x14ac:dyDescent="0.25">
      <c r="A4869" s="3">
        <v>46083</v>
      </c>
      <c r="B4869" s="4" t="s">
        <v>285</v>
      </c>
      <c r="C4869" s="4"/>
      <c r="D4869" s="4" t="s">
        <v>108</v>
      </c>
      <c r="E4869" s="4"/>
      <c r="F4869" s="4"/>
      <c r="G4869" s="4" t="s">
        <v>3271</v>
      </c>
      <c r="H4869" s="4" t="s">
        <v>289</v>
      </c>
      <c r="I4869" s="4">
        <v>1</v>
      </c>
      <c r="J4869" s="21">
        <v>22000</v>
      </c>
      <c r="K4869" s="21">
        <v>0</v>
      </c>
      <c r="L4869" s="5">
        <v>0</v>
      </c>
      <c r="M4869" s="4"/>
      <c r="N4869" s="4"/>
      <c r="O4869" s="5"/>
      <c r="P4869" s="5"/>
      <c r="Q4869" s="21">
        <v>0</v>
      </c>
      <c r="R4869" s="21">
        <v>22000</v>
      </c>
      <c r="S4869" s="5">
        <f t="shared" si="307"/>
        <v>39765.318573026423</v>
      </c>
      <c r="T4869" cm="1">
        <f t="array" ref="T4869">IF(OR(B4869="MAL ALIMI", B4869="ÜRETİM GİRİŞ"), MIN(I4869, MAX(0, I4869 + SUM(SUMIFS($I$1:I4868, $C$1:C4868, C4869, $B$1:B4868, {"MAL ALIMI","ÜRETİM GİRİŞ"})) - VLOOKUP(C4869, 'STOK RAPORU'!$C$2:$I$1000, 4, 0))), 0)</f>
        <v>0</v>
      </c>
      <c r="U4869" s="22">
        <f t="shared" si="304"/>
        <v>0</v>
      </c>
      <c r="V4869">
        <f t="shared" si="305"/>
        <v>0</v>
      </c>
      <c r="W4869" s="22">
        <f t="shared" si="306"/>
        <v>0</v>
      </c>
    </row>
    <row r="4870" spans="1:23" hidden="1" x14ac:dyDescent="0.25">
      <c r="A4870" s="3">
        <v>46083</v>
      </c>
      <c r="B4870" s="4" t="s">
        <v>946</v>
      </c>
      <c r="C4870" s="4"/>
      <c r="D4870" s="4"/>
      <c r="E4870" s="4" t="s">
        <v>921</v>
      </c>
      <c r="F4870" s="4"/>
      <c r="G4870" s="4" t="s">
        <v>2639</v>
      </c>
      <c r="H4870" s="4" t="s">
        <v>380</v>
      </c>
      <c r="I4870" s="4">
        <v>1</v>
      </c>
      <c r="J4870" s="105">
        <v>791</v>
      </c>
      <c r="K4870" s="21"/>
      <c r="L4870" s="111">
        <v>791</v>
      </c>
      <c r="M4870" s="4"/>
      <c r="N4870" s="4"/>
      <c r="O4870" s="5"/>
      <c r="P4870" s="5"/>
      <c r="Q4870" s="21">
        <v>791</v>
      </c>
      <c r="R4870" s="21">
        <v>0</v>
      </c>
      <c r="S4870" s="5">
        <f t="shared" si="307"/>
        <v>40556.318573026423</v>
      </c>
      <c r="T4870" cm="1">
        <f t="array" ref="T4870">IF(OR(B4870="MAL ALIMI", B4870="ÜRETİM GİRİŞ"), MIN(I4870, MAX(0, I4870 + SUM(SUMIFS($I$1:I4869, $C$1:C4869, C4870, $B$1:B4869, {"MAL ALIMI","ÜRETİM GİRİŞ"})) - VLOOKUP(C4870, 'STOK RAPORU'!$C$2:$I$1000, 4, 0))), 0)</f>
        <v>0</v>
      </c>
      <c r="U4870" s="22">
        <f t="shared" si="304"/>
        <v>0</v>
      </c>
      <c r="V4870">
        <f t="shared" si="305"/>
        <v>0</v>
      </c>
      <c r="W4870" s="22">
        <f t="shared" si="306"/>
        <v>0</v>
      </c>
    </row>
    <row r="4871" spans="1:23" hidden="1" x14ac:dyDescent="0.25">
      <c r="A4871" s="3">
        <v>46083</v>
      </c>
      <c r="B4871" s="4" t="s">
        <v>285</v>
      </c>
      <c r="C4871" s="4"/>
      <c r="D4871" s="4" t="s">
        <v>673</v>
      </c>
      <c r="E4871" s="4"/>
      <c r="F4871" s="4"/>
      <c r="G4871" s="4" t="s">
        <v>2639</v>
      </c>
      <c r="H4871" s="4" t="s">
        <v>289</v>
      </c>
      <c r="I4871" s="4">
        <v>1</v>
      </c>
      <c r="J4871" s="21">
        <v>791</v>
      </c>
      <c r="K4871" s="21">
        <v>0</v>
      </c>
      <c r="L4871" s="5">
        <v>0</v>
      </c>
      <c r="M4871" s="4"/>
      <c r="N4871" s="4"/>
      <c r="O4871" s="5"/>
      <c r="P4871" s="5"/>
      <c r="Q4871" s="21">
        <v>0</v>
      </c>
      <c r="R4871" s="21">
        <v>791</v>
      </c>
      <c r="S4871" s="5">
        <f t="shared" si="307"/>
        <v>39765.318573026423</v>
      </c>
      <c r="T4871" cm="1">
        <f t="array" ref="T4871">IF(OR(B4871="MAL ALIMI", B4871="ÜRETİM GİRİŞ"), MIN(I4871, MAX(0, I4871 + SUM(SUMIFS($I$1:I4870, $C$1:C4870, C4871, $B$1:B4870, {"MAL ALIMI","ÜRETİM GİRİŞ"})) - VLOOKUP(C4871, 'STOK RAPORU'!$C$2:$I$1000, 4, 0))), 0)</f>
        <v>0</v>
      </c>
      <c r="U4871" s="22">
        <f t="shared" si="304"/>
        <v>0</v>
      </c>
      <c r="V4871">
        <f t="shared" si="305"/>
        <v>0</v>
      </c>
      <c r="W4871" s="22">
        <f t="shared" si="306"/>
        <v>0</v>
      </c>
    </row>
    <row r="4872" spans="1:23" hidden="1" x14ac:dyDescent="0.25">
      <c r="A4872" s="3">
        <v>46084</v>
      </c>
      <c r="B4872" s="4" t="s">
        <v>298</v>
      </c>
      <c r="C4872" s="4" t="s">
        <v>748</v>
      </c>
      <c r="D4872" s="4"/>
      <c r="E4872" s="4" t="s">
        <v>856</v>
      </c>
      <c r="F4872" s="4" t="s">
        <v>2668</v>
      </c>
      <c r="G4872" s="4" t="s">
        <v>753</v>
      </c>
      <c r="H4872" s="4" t="s">
        <v>1329</v>
      </c>
      <c r="I4872" s="4">
        <v>2</v>
      </c>
      <c r="J4872" s="21">
        <v>169.9</v>
      </c>
      <c r="K4872" s="21">
        <v>0</v>
      </c>
      <c r="L4872" s="5">
        <v>339.8</v>
      </c>
      <c r="M4872" s="4"/>
      <c r="N4872" s="4"/>
      <c r="O4872" s="5"/>
      <c r="P4872" s="5"/>
      <c r="Q4872" s="21">
        <v>0</v>
      </c>
      <c r="R4872" s="21">
        <v>0</v>
      </c>
      <c r="S4872" s="5">
        <f t="shared" si="307"/>
        <v>39765.318573026423</v>
      </c>
      <c r="T4872" cm="1">
        <f t="array" ref="T4872">IF(OR(B4872="MAL ALIMI", B4872="ÜRETİM GİRİŞ"), MIN(I4872, MAX(0, I4872 + SUM(SUMIFS($I$1:I4871, $C$1:C4871, C4872, $B$1:B4871, {"MAL ALIMI","ÜRETİM GİRİŞ"})) - VLOOKUP(C4872, 'STOK RAPORU'!$C$2:$I$1000, 4, 0))), 0)</f>
        <v>2</v>
      </c>
      <c r="U4872" s="22">
        <f t="shared" si="304"/>
        <v>339.8</v>
      </c>
      <c r="V4872">
        <f t="shared" si="305"/>
        <v>339.8</v>
      </c>
      <c r="W4872" s="22">
        <f t="shared" si="306"/>
        <v>0</v>
      </c>
    </row>
    <row r="4873" spans="1:23" hidden="1" x14ac:dyDescent="0.25">
      <c r="A4873" s="3">
        <v>46084</v>
      </c>
      <c r="B4873" s="4" t="s">
        <v>298</v>
      </c>
      <c r="C4873" s="4" t="s">
        <v>749</v>
      </c>
      <c r="D4873" s="4"/>
      <c r="E4873" s="4" t="s">
        <v>856</v>
      </c>
      <c r="F4873" s="4" t="s">
        <v>2668</v>
      </c>
      <c r="G4873" s="4" t="s">
        <v>753</v>
      </c>
      <c r="H4873" s="4" t="s">
        <v>1329</v>
      </c>
      <c r="I4873" s="4">
        <v>2</v>
      </c>
      <c r="J4873" s="21">
        <v>169.9</v>
      </c>
      <c r="K4873" s="21">
        <v>0</v>
      </c>
      <c r="L4873" s="5">
        <v>339.8</v>
      </c>
      <c r="M4873" s="4"/>
      <c r="N4873" s="4"/>
      <c r="O4873" s="5"/>
      <c r="P4873" s="5"/>
      <c r="Q4873" s="21">
        <v>0</v>
      </c>
      <c r="R4873" s="21">
        <v>0</v>
      </c>
      <c r="S4873" s="5">
        <f t="shared" si="307"/>
        <v>39765.318573026423</v>
      </c>
      <c r="T4873" cm="1">
        <f t="array" ref="T4873">IF(OR(B4873="MAL ALIMI", B4873="ÜRETİM GİRİŞ"), MIN(I4873, MAX(0, I4873 + SUM(SUMIFS($I$1:I4872, $C$1:C4872, C4873, $B$1:B4872, {"MAL ALIMI","ÜRETİM GİRİŞ"})) - VLOOKUP(C4873, 'STOK RAPORU'!$C$2:$I$1000, 4, 0))), 0)</f>
        <v>2</v>
      </c>
      <c r="U4873" s="22">
        <f t="shared" si="304"/>
        <v>339.8</v>
      </c>
      <c r="V4873">
        <f t="shared" si="305"/>
        <v>339.8</v>
      </c>
      <c r="W4873" s="22">
        <f t="shared" si="306"/>
        <v>0</v>
      </c>
    </row>
    <row r="4874" spans="1:23" hidden="1" x14ac:dyDescent="0.25">
      <c r="A4874" s="3">
        <v>46084</v>
      </c>
      <c r="B4874" s="4" t="s">
        <v>298</v>
      </c>
      <c r="C4874" s="4" t="s">
        <v>725</v>
      </c>
      <c r="D4874" s="4"/>
      <c r="E4874" s="4" t="s">
        <v>856</v>
      </c>
      <c r="F4874" s="4" t="s">
        <v>2669</v>
      </c>
      <c r="G4874" s="4" t="s">
        <v>753</v>
      </c>
      <c r="H4874" s="4" t="s">
        <v>1329</v>
      </c>
      <c r="I4874" s="4">
        <v>2</v>
      </c>
      <c r="J4874" s="21">
        <v>197.9</v>
      </c>
      <c r="K4874" s="21">
        <v>0</v>
      </c>
      <c r="L4874" s="5">
        <v>395.8</v>
      </c>
      <c r="M4874" s="4"/>
      <c r="N4874" s="4"/>
      <c r="O4874" s="5"/>
      <c r="P4874" s="5"/>
      <c r="Q4874" s="21">
        <v>0</v>
      </c>
      <c r="R4874" s="21">
        <v>0</v>
      </c>
      <c r="S4874" s="5">
        <f t="shared" si="307"/>
        <v>39765.318573026423</v>
      </c>
      <c r="T4874" cm="1">
        <f t="array" ref="T4874">IF(OR(B4874="MAL ALIMI", B4874="ÜRETİM GİRİŞ"), MIN(I4874, MAX(0, I4874 + SUM(SUMIFS($I$1:I4873, $C$1:C4873, C4874, $B$1:B4873, {"MAL ALIMI","ÜRETİM GİRİŞ"})) - VLOOKUP(C4874, 'STOK RAPORU'!$C$2:$I$1000, 4, 0))), 0)</f>
        <v>0</v>
      </c>
      <c r="U4874" s="22">
        <f t="shared" si="304"/>
        <v>0</v>
      </c>
      <c r="V4874">
        <f t="shared" si="305"/>
        <v>395.8</v>
      </c>
      <c r="W4874" s="22">
        <f t="shared" si="306"/>
        <v>395.8</v>
      </c>
    </row>
    <row r="4875" spans="1:23" hidden="1" x14ac:dyDescent="0.25">
      <c r="A4875" s="3">
        <v>46084</v>
      </c>
      <c r="B4875" s="4" t="s">
        <v>298</v>
      </c>
      <c r="C4875" s="4" t="s">
        <v>726</v>
      </c>
      <c r="D4875" s="4"/>
      <c r="E4875" s="4" t="s">
        <v>856</v>
      </c>
      <c r="F4875" s="4" t="s">
        <v>2669</v>
      </c>
      <c r="G4875" s="4" t="s">
        <v>753</v>
      </c>
      <c r="H4875" s="4" t="s">
        <v>1329</v>
      </c>
      <c r="I4875" s="4">
        <v>2</v>
      </c>
      <c r="J4875" s="21">
        <v>197.9</v>
      </c>
      <c r="K4875" s="21">
        <v>0</v>
      </c>
      <c r="L4875" s="5">
        <v>395.8</v>
      </c>
      <c r="M4875" s="4"/>
      <c r="N4875" s="4"/>
      <c r="O4875" s="5"/>
      <c r="P4875" s="5"/>
      <c r="Q4875" s="21">
        <v>0</v>
      </c>
      <c r="R4875" s="21">
        <v>0</v>
      </c>
      <c r="S4875" s="5">
        <f t="shared" si="307"/>
        <v>39765.318573026423</v>
      </c>
      <c r="T4875" cm="1">
        <f t="array" ref="T4875">IF(OR(B4875="MAL ALIMI", B4875="ÜRETİM GİRİŞ"), MIN(I4875, MAX(0, I4875 + SUM(SUMIFS($I$1:I4874, $C$1:C4874, C4875, $B$1:B4874, {"MAL ALIMI","ÜRETİM GİRİŞ"})) - VLOOKUP(C4875, 'STOK RAPORU'!$C$2:$I$1000, 4, 0))), 0)</f>
        <v>2</v>
      </c>
      <c r="U4875" s="22">
        <f t="shared" si="304"/>
        <v>395.8</v>
      </c>
      <c r="V4875">
        <f t="shared" si="305"/>
        <v>395.8</v>
      </c>
      <c r="W4875" s="22">
        <f t="shared" si="306"/>
        <v>0</v>
      </c>
    </row>
    <row r="4876" spans="1:23" hidden="1" x14ac:dyDescent="0.25">
      <c r="A4876" s="3">
        <v>46084</v>
      </c>
      <c r="B4876" s="4" t="s">
        <v>298</v>
      </c>
      <c r="C4876" s="4" t="s">
        <v>723</v>
      </c>
      <c r="D4876" s="4"/>
      <c r="E4876" s="4" t="s">
        <v>856</v>
      </c>
      <c r="F4876" s="4" t="s">
        <v>2670</v>
      </c>
      <c r="G4876" s="4" t="s">
        <v>753</v>
      </c>
      <c r="H4876" s="4" t="s">
        <v>1329</v>
      </c>
      <c r="I4876" s="4">
        <v>2</v>
      </c>
      <c r="J4876" s="21">
        <v>212.73</v>
      </c>
      <c r="K4876" s="21">
        <v>0</v>
      </c>
      <c r="L4876" s="5">
        <v>425.46</v>
      </c>
      <c r="M4876" s="4"/>
      <c r="N4876" s="4"/>
      <c r="O4876" s="5"/>
      <c r="P4876" s="5"/>
      <c r="Q4876" s="21">
        <v>0</v>
      </c>
      <c r="R4876" s="21">
        <v>0</v>
      </c>
      <c r="S4876" s="5">
        <f t="shared" si="307"/>
        <v>39765.318573026423</v>
      </c>
      <c r="T4876" cm="1">
        <f t="array" ref="T4876">IF(OR(B4876="MAL ALIMI", B4876="ÜRETİM GİRİŞ"), MIN(I4876, MAX(0, I4876 + SUM(SUMIFS($I$1:I4875, $C$1:C4875, C4876, $B$1:B4875, {"MAL ALIMI","ÜRETİM GİRİŞ"})) - VLOOKUP(C4876, 'STOK RAPORU'!$C$2:$I$1000, 4, 0))), 0)</f>
        <v>2</v>
      </c>
      <c r="U4876" s="22">
        <f t="shared" si="304"/>
        <v>425.46</v>
      </c>
      <c r="V4876">
        <f t="shared" si="305"/>
        <v>425.46</v>
      </c>
      <c r="W4876" s="22">
        <f t="shared" si="306"/>
        <v>0</v>
      </c>
    </row>
    <row r="4877" spans="1:23" hidden="1" x14ac:dyDescent="0.25">
      <c r="A4877" s="3">
        <v>46084</v>
      </c>
      <c r="B4877" s="4" t="s">
        <v>298</v>
      </c>
      <c r="C4877" s="4" t="s">
        <v>724</v>
      </c>
      <c r="D4877" s="4"/>
      <c r="E4877" s="4" t="s">
        <v>856</v>
      </c>
      <c r="F4877" s="4" t="s">
        <v>2670</v>
      </c>
      <c r="G4877" s="4" t="s">
        <v>753</v>
      </c>
      <c r="H4877" s="4" t="s">
        <v>1329</v>
      </c>
      <c r="I4877" s="4">
        <v>2</v>
      </c>
      <c r="J4877" s="21">
        <v>212.72</v>
      </c>
      <c r="K4877" s="21">
        <v>0</v>
      </c>
      <c r="L4877" s="5">
        <v>425.44</v>
      </c>
      <c r="M4877" s="4"/>
      <c r="N4877" s="4"/>
      <c r="O4877" s="5"/>
      <c r="P4877" s="5"/>
      <c r="Q4877" s="21">
        <v>0</v>
      </c>
      <c r="R4877" s="21">
        <v>0</v>
      </c>
      <c r="S4877" s="5">
        <f t="shared" si="307"/>
        <v>39765.318573026423</v>
      </c>
      <c r="T4877" cm="1">
        <f t="array" ref="T4877">IF(OR(B4877="MAL ALIMI", B4877="ÜRETİM GİRİŞ"), MIN(I4877, MAX(0, I4877 + SUM(SUMIFS($I$1:I4876, $C$1:C4876, C4877, $B$1:B4876, {"MAL ALIMI","ÜRETİM GİRİŞ"})) - VLOOKUP(C4877, 'STOK RAPORU'!$C$2:$I$1000, 4, 0))), 0)</f>
        <v>1</v>
      </c>
      <c r="U4877" s="22">
        <f t="shared" si="304"/>
        <v>212.72</v>
      </c>
      <c r="V4877">
        <f t="shared" si="305"/>
        <v>425.44</v>
      </c>
      <c r="W4877" s="22">
        <f t="shared" si="306"/>
        <v>212.72</v>
      </c>
    </row>
    <row r="4878" spans="1:23" hidden="1" x14ac:dyDescent="0.25">
      <c r="A4878" s="3">
        <v>46084</v>
      </c>
      <c r="B4878" s="4" t="s">
        <v>298</v>
      </c>
      <c r="C4878" s="4" t="s">
        <v>2671</v>
      </c>
      <c r="D4878" s="4"/>
      <c r="E4878" s="4" t="s">
        <v>856</v>
      </c>
      <c r="F4878" s="4" t="s">
        <v>2670</v>
      </c>
      <c r="G4878" s="4" t="s">
        <v>753</v>
      </c>
      <c r="H4878" s="4" t="s">
        <v>1329</v>
      </c>
      <c r="I4878" s="4">
        <v>2</v>
      </c>
      <c r="J4878" s="21">
        <v>222.06</v>
      </c>
      <c r="K4878" s="21">
        <v>0</v>
      </c>
      <c r="L4878" s="5">
        <v>444.12</v>
      </c>
      <c r="M4878" s="4"/>
      <c r="N4878" s="4"/>
      <c r="O4878" s="5"/>
      <c r="P4878" s="5"/>
      <c r="Q4878" s="21">
        <v>0</v>
      </c>
      <c r="R4878" s="21">
        <v>0</v>
      </c>
      <c r="S4878" s="5">
        <f t="shared" si="307"/>
        <v>39765.318573026423</v>
      </c>
      <c r="T4878" cm="1">
        <f t="array" ref="T4878">IF(OR(B4878="MAL ALIMI", B4878="ÜRETİM GİRİŞ"), MIN(I4878, MAX(0, I4878 + SUM(SUMIFS($I$1:I4877, $C$1:C4877, C4878, $B$1:B4877, {"MAL ALIMI","ÜRETİM GİRİŞ"})) - VLOOKUP(C4878, 'STOK RAPORU'!$C$2:$I$1000, 4, 0))), 0)</f>
        <v>2</v>
      </c>
      <c r="U4878" s="22">
        <f t="shared" si="304"/>
        <v>444.12</v>
      </c>
      <c r="V4878">
        <f t="shared" si="305"/>
        <v>444.12</v>
      </c>
      <c r="W4878" s="22">
        <f t="shared" si="306"/>
        <v>0</v>
      </c>
    </row>
    <row r="4879" spans="1:23" hidden="1" x14ac:dyDescent="0.25">
      <c r="A4879" s="3">
        <v>46084</v>
      </c>
      <c r="B4879" s="4" t="s">
        <v>298</v>
      </c>
      <c r="C4879" s="4" t="s">
        <v>722</v>
      </c>
      <c r="D4879" s="4"/>
      <c r="E4879" s="4" t="s">
        <v>856</v>
      </c>
      <c r="F4879" s="4" t="s">
        <v>2672</v>
      </c>
      <c r="G4879" s="4" t="s">
        <v>753</v>
      </c>
      <c r="H4879" s="4" t="s">
        <v>1329</v>
      </c>
      <c r="I4879" s="4">
        <v>2</v>
      </c>
      <c r="J4879" s="21">
        <v>252.27</v>
      </c>
      <c r="K4879" s="21">
        <v>0</v>
      </c>
      <c r="L4879" s="5">
        <v>504.54</v>
      </c>
      <c r="M4879" s="4"/>
      <c r="N4879" s="4"/>
      <c r="O4879" s="5"/>
      <c r="P4879" s="5"/>
      <c r="Q4879" s="21">
        <v>0</v>
      </c>
      <c r="R4879" s="21">
        <v>0</v>
      </c>
      <c r="S4879" s="5">
        <f t="shared" si="307"/>
        <v>39765.318573026423</v>
      </c>
      <c r="T4879" cm="1">
        <f t="array" ref="T4879">IF(OR(B4879="MAL ALIMI", B4879="ÜRETİM GİRİŞ"), MIN(I4879, MAX(0, I4879 + SUM(SUMIFS($I$1:I4878, $C$1:C4878, C4879, $B$1:B4878, {"MAL ALIMI","ÜRETİM GİRİŞ"})) - VLOOKUP(C4879, 'STOK RAPORU'!$C$2:$I$1000, 4, 0))), 0)</f>
        <v>0</v>
      </c>
      <c r="U4879" s="22">
        <f t="shared" si="304"/>
        <v>0</v>
      </c>
      <c r="V4879">
        <f t="shared" si="305"/>
        <v>504.54</v>
      </c>
      <c r="W4879" s="22">
        <f t="shared" si="306"/>
        <v>504.54</v>
      </c>
    </row>
    <row r="4880" spans="1:23" hidden="1" x14ac:dyDescent="0.25">
      <c r="A4880" s="3">
        <v>46084</v>
      </c>
      <c r="B4880" s="4" t="s">
        <v>298</v>
      </c>
      <c r="C4880" s="4" t="s">
        <v>727</v>
      </c>
      <c r="D4880" s="4"/>
      <c r="E4880" s="4" t="s">
        <v>856</v>
      </c>
      <c r="F4880" s="4" t="s">
        <v>2672</v>
      </c>
      <c r="G4880" s="4" t="s">
        <v>753</v>
      </c>
      <c r="H4880" s="4" t="s">
        <v>1329</v>
      </c>
      <c r="I4880" s="4">
        <v>2</v>
      </c>
      <c r="J4880" s="21">
        <v>216.13</v>
      </c>
      <c r="K4880" s="21">
        <v>0</v>
      </c>
      <c r="L4880" s="5">
        <v>432.26</v>
      </c>
      <c r="M4880" s="4"/>
      <c r="N4880" s="4"/>
      <c r="O4880" s="5"/>
      <c r="P4880" s="5"/>
      <c r="Q4880" s="21">
        <v>0</v>
      </c>
      <c r="R4880" s="21">
        <v>0</v>
      </c>
      <c r="S4880" s="5">
        <f t="shared" si="307"/>
        <v>39765.318573026423</v>
      </c>
      <c r="T4880" cm="1">
        <f t="array" ref="T4880">IF(OR(B4880="MAL ALIMI", B4880="ÜRETİM GİRİŞ"), MIN(I4880, MAX(0, I4880 + SUM(SUMIFS($I$1:I4879, $C$1:C4879, C4880, $B$1:B4879, {"MAL ALIMI","ÜRETİM GİRİŞ"})) - VLOOKUP(C4880, 'STOK RAPORU'!$C$2:$I$1000, 4, 0))), 0)</f>
        <v>1</v>
      </c>
      <c r="U4880" s="22">
        <f t="shared" si="304"/>
        <v>216.13</v>
      </c>
      <c r="V4880">
        <f t="shared" si="305"/>
        <v>432.26</v>
      </c>
      <c r="W4880" s="22">
        <f t="shared" si="306"/>
        <v>216.13</v>
      </c>
    </row>
    <row r="4881" spans="1:23" hidden="1" x14ac:dyDescent="0.25">
      <c r="A4881" s="3">
        <v>46084</v>
      </c>
      <c r="B4881" s="4" t="s">
        <v>285</v>
      </c>
      <c r="C4881" s="4"/>
      <c r="D4881" s="4" t="s">
        <v>112</v>
      </c>
      <c r="E4881" s="4" t="s">
        <v>856</v>
      </c>
      <c r="F4881" s="4" t="s">
        <v>2673</v>
      </c>
      <c r="G4881" s="4" t="s">
        <v>2674</v>
      </c>
      <c r="H4881" s="4" t="s">
        <v>1329</v>
      </c>
      <c r="I4881" s="4">
        <v>10</v>
      </c>
      <c r="J4881" s="21">
        <v>35</v>
      </c>
      <c r="K4881" s="21">
        <v>0</v>
      </c>
      <c r="L4881" s="5">
        <v>350</v>
      </c>
      <c r="M4881" s="4"/>
      <c r="N4881" s="4"/>
      <c r="O4881" s="5"/>
      <c r="P4881" s="5"/>
      <c r="Q4881" s="21">
        <v>0</v>
      </c>
      <c r="R4881" s="21">
        <v>0</v>
      </c>
      <c r="S4881" s="5">
        <f t="shared" si="307"/>
        <v>39765.318573026423</v>
      </c>
      <c r="T4881" cm="1">
        <f t="array" ref="T4881">IF(OR(B4881="MAL ALIMI", B4881="ÜRETİM GİRİŞ"), MIN(I4881, MAX(0, I4881 + SUM(SUMIFS($I$1:I4880, $C$1:C4880, C4881, $B$1:B4880, {"MAL ALIMI","ÜRETİM GİRİŞ"})) - VLOOKUP(C4881, 'STOK RAPORU'!$C$2:$I$1000, 4, 0))), 0)</f>
        <v>0</v>
      </c>
      <c r="U4881" s="22">
        <f t="shared" si="304"/>
        <v>0</v>
      </c>
      <c r="V4881">
        <f t="shared" si="305"/>
        <v>0</v>
      </c>
      <c r="W4881" s="22">
        <f t="shared" si="306"/>
        <v>0</v>
      </c>
    </row>
    <row r="4882" spans="1:23" hidden="1" x14ac:dyDescent="0.25">
      <c r="A4882" s="3">
        <v>46084</v>
      </c>
      <c r="B4882" s="4" t="s">
        <v>285</v>
      </c>
      <c r="C4882" s="4"/>
      <c r="D4882" s="4" t="s">
        <v>112</v>
      </c>
      <c r="E4882" s="4" t="s">
        <v>856</v>
      </c>
      <c r="F4882" s="4" t="s">
        <v>2673</v>
      </c>
      <c r="G4882" s="4" t="s">
        <v>2675</v>
      </c>
      <c r="H4882" s="4" t="s">
        <v>1329</v>
      </c>
      <c r="I4882" s="4">
        <v>5</v>
      </c>
      <c r="J4882" s="21">
        <v>107.2</v>
      </c>
      <c r="K4882" s="21">
        <v>0</v>
      </c>
      <c r="L4882" s="5">
        <v>536</v>
      </c>
      <c r="M4882" s="4"/>
      <c r="N4882" s="4"/>
      <c r="O4882" s="5"/>
      <c r="P4882" s="5"/>
      <c r="Q4882" s="21">
        <v>0</v>
      </c>
      <c r="R4882" s="21">
        <v>0</v>
      </c>
      <c r="S4882" s="5">
        <f t="shared" si="307"/>
        <v>39765.318573026423</v>
      </c>
      <c r="T4882" cm="1">
        <f t="array" ref="T4882">IF(OR(B4882="MAL ALIMI", B4882="ÜRETİM GİRİŞ"), MIN(I4882, MAX(0, I4882 + SUM(SUMIFS($I$1:I4881, $C$1:C4881, C4882, $B$1:B4881, {"MAL ALIMI","ÜRETİM GİRİŞ"})) - VLOOKUP(C4882, 'STOK RAPORU'!$C$2:$I$1000, 4, 0))), 0)</f>
        <v>0</v>
      </c>
      <c r="U4882" s="22">
        <f t="shared" si="304"/>
        <v>0</v>
      </c>
      <c r="V4882">
        <f t="shared" si="305"/>
        <v>0</v>
      </c>
      <c r="W4882" s="22">
        <f t="shared" si="306"/>
        <v>0</v>
      </c>
    </row>
    <row r="4883" spans="1:23" hidden="1" x14ac:dyDescent="0.25">
      <c r="A4883" s="3">
        <v>46084</v>
      </c>
      <c r="B4883" s="4" t="s">
        <v>298</v>
      </c>
      <c r="C4883" s="4" t="s">
        <v>723</v>
      </c>
      <c r="D4883" s="4"/>
      <c r="E4883" s="4" t="s">
        <v>856</v>
      </c>
      <c r="F4883" s="4" t="s">
        <v>2676</v>
      </c>
      <c r="G4883" s="4" t="s">
        <v>753</v>
      </c>
      <c r="H4883" s="4" t="s">
        <v>1329</v>
      </c>
      <c r="I4883" s="4">
        <v>1</v>
      </c>
      <c r="J4883" s="21">
        <v>199.46</v>
      </c>
      <c r="K4883" s="21">
        <v>0</v>
      </c>
      <c r="L4883" s="5">
        <v>199.46</v>
      </c>
      <c r="M4883" s="4"/>
      <c r="N4883" s="4"/>
      <c r="O4883" s="5"/>
      <c r="P4883" s="5"/>
      <c r="Q4883" s="21">
        <v>0</v>
      </c>
      <c r="R4883" s="21">
        <v>0</v>
      </c>
      <c r="S4883" s="5">
        <f t="shared" si="307"/>
        <v>39765.318573026423</v>
      </c>
      <c r="T4883" cm="1">
        <f t="array" ref="T4883">IF(OR(B4883="MAL ALIMI", B4883="ÜRETİM GİRİŞ"), MIN(I4883, MAX(0, I4883 + SUM(SUMIFS($I$1:I4882, $C$1:C4882, C4883, $B$1:B4882, {"MAL ALIMI","ÜRETİM GİRİŞ"})) - VLOOKUP(C4883, 'STOK RAPORU'!$C$2:$I$1000, 4, 0))), 0)</f>
        <v>1</v>
      </c>
      <c r="U4883" s="22">
        <f t="shared" si="304"/>
        <v>199.46</v>
      </c>
      <c r="V4883">
        <f t="shared" si="305"/>
        <v>199.46</v>
      </c>
      <c r="W4883" s="22">
        <f t="shared" si="306"/>
        <v>0</v>
      </c>
    </row>
    <row r="4884" spans="1:23" hidden="1" x14ac:dyDescent="0.25">
      <c r="A4884" s="3">
        <v>46084</v>
      </c>
      <c r="B4884" s="4" t="s">
        <v>298</v>
      </c>
      <c r="C4884" s="4" t="s">
        <v>724</v>
      </c>
      <c r="D4884" s="4"/>
      <c r="E4884" s="4" t="s">
        <v>856</v>
      </c>
      <c r="F4884" s="4" t="s">
        <v>2676</v>
      </c>
      <c r="G4884" s="4" t="s">
        <v>753</v>
      </c>
      <c r="H4884" s="4" t="s">
        <v>1329</v>
      </c>
      <c r="I4884" s="4">
        <v>1</v>
      </c>
      <c r="J4884" s="21">
        <v>199.46</v>
      </c>
      <c r="K4884" s="21">
        <v>0</v>
      </c>
      <c r="L4884" s="5">
        <v>199.46</v>
      </c>
      <c r="M4884" s="4"/>
      <c r="N4884" s="4"/>
      <c r="O4884" s="5"/>
      <c r="P4884" s="5"/>
      <c r="Q4884" s="21">
        <v>0</v>
      </c>
      <c r="R4884" s="21">
        <v>0</v>
      </c>
      <c r="S4884" s="5">
        <f t="shared" si="307"/>
        <v>39765.318573026423</v>
      </c>
      <c r="T4884" cm="1">
        <f t="array" ref="T4884">IF(OR(B4884="MAL ALIMI", B4884="ÜRETİM GİRİŞ"), MIN(I4884, MAX(0, I4884 + SUM(SUMIFS($I$1:I4883, $C$1:C4883, C4884, $B$1:B4883, {"MAL ALIMI","ÜRETİM GİRİŞ"})) - VLOOKUP(C4884, 'STOK RAPORU'!$C$2:$I$1000, 4, 0))), 0)</f>
        <v>1</v>
      </c>
      <c r="U4884" s="22">
        <f t="shared" si="304"/>
        <v>199.46</v>
      </c>
      <c r="V4884">
        <f t="shared" si="305"/>
        <v>199.46</v>
      </c>
      <c r="W4884" s="22">
        <f t="shared" si="306"/>
        <v>0</v>
      </c>
    </row>
    <row r="4885" spans="1:23" hidden="1" x14ac:dyDescent="0.25">
      <c r="A4885" s="3">
        <v>46084</v>
      </c>
      <c r="B4885" s="4" t="s">
        <v>298</v>
      </c>
      <c r="C4885" s="4" t="s">
        <v>725</v>
      </c>
      <c r="D4885" s="4"/>
      <c r="E4885" s="4" t="s">
        <v>856</v>
      </c>
      <c r="F4885" s="4" t="s">
        <v>2676</v>
      </c>
      <c r="G4885" s="4" t="s">
        <v>753</v>
      </c>
      <c r="H4885" s="4" t="s">
        <v>1329</v>
      </c>
      <c r="I4885" s="4">
        <v>1</v>
      </c>
      <c r="J4885" s="21">
        <v>199.46</v>
      </c>
      <c r="K4885" s="21">
        <v>0</v>
      </c>
      <c r="L4885" s="5">
        <v>199.46</v>
      </c>
      <c r="M4885" s="4"/>
      <c r="N4885" s="4"/>
      <c r="O4885" s="5"/>
      <c r="P4885" s="5"/>
      <c r="Q4885" s="21">
        <v>0</v>
      </c>
      <c r="R4885" s="21">
        <v>0</v>
      </c>
      <c r="S4885" s="5">
        <f t="shared" si="307"/>
        <v>39765.318573026423</v>
      </c>
      <c r="T4885" cm="1">
        <f t="array" ref="T4885">IF(OR(B4885="MAL ALIMI", B4885="ÜRETİM GİRİŞ"), MIN(I4885, MAX(0, I4885 + SUM(SUMIFS($I$1:I4884, $C$1:C4884, C4885, $B$1:B4884, {"MAL ALIMI","ÜRETİM GİRİŞ"})) - VLOOKUP(C4885, 'STOK RAPORU'!$C$2:$I$1000, 4, 0))), 0)</f>
        <v>1</v>
      </c>
      <c r="U4885" s="22">
        <f t="shared" si="304"/>
        <v>199.46</v>
      </c>
      <c r="V4885">
        <f t="shared" si="305"/>
        <v>199.46</v>
      </c>
      <c r="W4885" s="22">
        <f t="shared" si="306"/>
        <v>0</v>
      </c>
    </row>
    <row r="4886" spans="1:23" hidden="1" x14ac:dyDescent="0.25">
      <c r="A4886" s="3">
        <v>46084</v>
      </c>
      <c r="B4886" s="4" t="s">
        <v>298</v>
      </c>
      <c r="C4886" s="4" t="s">
        <v>726</v>
      </c>
      <c r="D4886" s="4"/>
      <c r="E4886" s="4" t="s">
        <v>856</v>
      </c>
      <c r="F4886" s="4" t="s">
        <v>2676</v>
      </c>
      <c r="G4886" s="4" t="s">
        <v>753</v>
      </c>
      <c r="H4886" s="4" t="s">
        <v>1329</v>
      </c>
      <c r="I4886" s="4">
        <v>1</v>
      </c>
      <c r="J4886" s="21">
        <v>199.46</v>
      </c>
      <c r="K4886" s="21">
        <v>0</v>
      </c>
      <c r="L4886" s="5">
        <v>199.46</v>
      </c>
      <c r="M4886" s="4"/>
      <c r="N4886" s="4"/>
      <c r="O4886" s="5"/>
      <c r="P4886" s="5"/>
      <c r="Q4886" s="21">
        <v>0</v>
      </c>
      <c r="R4886" s="21">
        <v>0</v>
      </c>
      <c r="S4886" s="5">
        <f t="shared" si="307"/>
        <v>39765.318573026423</v>
      </c>
      <c r="T4886" cm="1">
        <f t="array" ref="T4886">IF(OR(B4886="MAL ALIMI", B4886="ÜRETİM GİRİŞ"), MIN(I4886, MAX(0, I4886 + SUM(SUMIFS($I$1:I4885, $C$1:C4885, C4886, $B$1:B4885, {"MAL ALIMI","ÜRETİM GİRİŞ"})) - VLOOKUP(C4886, 'STOK RAPORU'!$C$2:$I$1000, 4, 0))), 0)</f>
        <v>1</v>
      </c>
      <c r="U4886" s="22">
        <f t="shared" si="304"/>
        <v>199.46</v>
      </c>
      <c r="V4886">
        <f t="shared" si="305"/>
        <v>199.46</v>
      </c>
      <c r="W4886" s="22">
        <f t="shared" si="306"/>
        <v>0</v>
      </c>
    </row>
    <row r="4887" spans="1:23" hidden="1" x14ac:dyDescent="0.25">
      <c r="A4887" s="3">
        <v>46084</v>
      </c>
      <c r="B4887" s="4" t="s">
        <v>298</v>
      </c>
      <c r="C4887" s="4" t="s">
        <v>2671</v>
      </c>
      <c r="D4887" s="4"/>
      <c r="E4887" s="4" t="s">
        <v>856</v>
      </c>
      <c r="F4887" s="4" t="s">
        <v>2676</v>
      </c>
      <c r="G4887" s="4" t="s">
        <v>753</v>
      </c>
      <c r="H4887" s="4" t="s">
        <v>1329</v>
      </c>
      <c r="I4887" s="4">
        <v>1</v>
      </c>
      <c r="J4887" s="21">
        <v>217.76</v>
      </c>
      <c r="K4887" s="21">
        <v>0</v>
      </c>
      <c r="L4887" s="5">
        <v>217.76</v>
      </c>
      <c r="M4887" s="4"/>
      <c r="N4887" s="4"/>
      <c r="O4887" s="5"/>
      <c r="P4887" s="5"/>
      <c r="Q4887" s="21">
        <v>0</v>
      </c>
      <c r="R4887" s="21">
        <v>0</v>
      </c>
      <c r="S4887" s="5">
        <f t="shared" si="307"/>
        <v>39765.318573026423</v>
      </c>
      <c r="T4887" cm="1">
        <f t="array" ref="T4887">IF(OR(B4887="MAL ALIMI", B4887="ÜRETİM GİRİŞ"), MIN(I4887, MAX(0, I4887 + SUM(SUMIFS($I$1:I4886, $C$1:C4886, C4887, $B$1:B4886, {"MAL ALIMI","ÜRETİM GİRİŞ"})) - VLOOKUP(C4887, 'STOK RAPORU'!$C$2:$I$1000, 4, 0))), 0)</f>
        <v>1</v>
      </c>
      <c r="U4887" s="22">
        <f t="shared" si="304"/>
        <v>217.76</v>
      </c>
      <c r="V4887">
        <f t="shared" si="305"/>
        <v>217.76</v>
      </c>
      <c r="W4887" s="22">
        <f t="shared" si="306"/>
        <v>0</v>
      </c>
    </row>
    <row r="4888" spans="1:23" hidden="1" x14ac:dyDescent="0.25">
      <c r="A4888" s="3">
        <v>46084</v>
      </c>
      <c r="B4888" s="4" t="s">
        <v>298</v>
      </c>
      <c r="C4888" s="4" t="s">
        <v>796</v>
      </c>
      <c r="D4888" s="4"/>
      <c r="E4888" s="4" t="s">
        <v>856</v>
      </c>
      <c r="F4888" s="4" t="s">
        <v>2677</v>
      </c>
      <c r="G4888" s="4" t="s">
        <v>753</v>
      </c>
      <c r="H4888" s="4" t="s">
        <v>1329</v>
      </c>
      <c r="I4888" s="4">
        <v>4</v>
      </c>
      <c r="J4888" s="21">
        <v>169.9</v>
      </c>
      <c r="K4888" s="21">
        <v>0</v>
      </c>
      <c r="L4888" s="5">
        <v>679.6</v>
      </c>
      <c r="M4888" s="4"/>
      <c r="N4888" s="4"/>
      <c r="O4888" s="5"/>
      <c r="P4888" s="5"/>
      <c r="Q4888" s="21">
        <v>0</v>
      </c>
      <c r="R4888" s="21">
        <v>0</v>
      </c>
      <c r="S4888" s="5">
        <f t="shared" si="307"/>
        <v>39765.318573026423</v>
      </c>
      <c r="T4888" cm="1">
        <f t="array" ref="T4888">IF(OR(B4888="MAL ALIMI", B4888="ÜRETİM GİRİŞ"), MIN(I4888, MAX(0, I4888 + SUM(SUMIFS($I$1:I4887, $C$1:C4887, C4888, $B$1:B4887, {"MAL ALIMI","ÜRETİM GİRİŞ"})) - VLOOKUP(C4888, 'STOK RAPORU'!$C$2:$I$1000, 4, 0))), 0)</f>
        <v>3</v>
      </c>
      <c r="U4888" s="22">
        <f t="shared" si="304"/>
        <v>509.70000000000005</v>
      </c>
      <c r="V4888">
        <f t="shared" si="305"/>
        <v>679.6</v>
      </c>
      <c r="W4888" s="22">
        <f t="shared" si="306"/>
        <v>169.89999999999998</v>
      </c>
    </row>
    <row r="4889" spans="1:23" hidden="1" x14ac:dyDescent="0.25">
      <c r="A4889" s="3">
        <v>46084</v>
      </c>
      <c r="B4889" s="4" t="s">
        <v>298</v>
      </c>
      <c r="C4889" s="4" t="s">
        <v>749</v>
      </c>
      <c r="D4889" s="4"/>
      <c r="E4889" s="4" t="s">
        <v>856</v>
      </c>
      <c r="F4889" s="4" t="s">
        <v>2677</v>
      </c>
      <c r="G4889" s="4" t="s">
        <v>753</v>
      </c>
      <c r="H4889" s="4" t="s">
        <v>1329</v>
      </c>
      <c r="I4889" s="4">
        <v>4</v>
      </c>
      <c r="J4889" s="21">
        <v>169.9</v>
      </c>
      <c r="K4889" s="21">
        <v>0</v>
      </c>
      <c r="L4889" s="5">
        <v>679.6</v>
      </c>
      <c r="M4889" s="4"/>
      <c r="N4889" s="4"/>
      <c r="O4889" s="5"/>
      <c r="P4889" s="5"/>
      <c r="Q4889" s="21">
        <v>0</v>
      </c>
      <c r="R4889" s="21">
        <v>0</v>
      </c>
      <c r="S4889" s="5">
        <f t="shared" si="307"/>
        <v>39765.318573026423</v>
      </c>
      <c r="T4889" cm="1">
        <f t="array" ref="T4889">IF(OR(B4889="MAL ALIMI", B4889="ÜRETİM GİRİŞ"), MIN(I4889, MAX(0, I4889 + SUM(SUMIFS($I$1:I4888, $C$1:C4888, C4889, $B$1:B4888, {"MAL ALIMI","ÜRETİM GİRİŞ"})) - VLOOKUP(C4889, 'STOK RAPORU'!$C$2:$I$1000, 4, 0))), 0)</f>
        <v>4</v>
      </c>
      <c r="U4889" s="22">
        <f t="shared" si="304"/>
        <v>679.6</v>
      </c>
      <c r="V4889">
        <f t="shared" si="305"/>
        <v>679.6</v>
      </c>
      <c r="W4889" s="22">
        <f t="shared" si="306"/>
        <v>0</v>
      </c>
    </row>
    <row r="4890" spans="1:23" hidden="1" x14ac:dyDescent="0.25">
      <c r="A4890" s="3">
        <v>46084</v>
      </c>
      <c r="B4890" s="4" t="s">
        <v>298</v>
      </c>
      <c r="C4890" s="4" t="s">
        <v>751</v>
      </c>
      <c r="D4890" s="4"/>
      <c r="E4890" s="4" t="s">
        <v>856</v>
      </c>
      <c r="F4890" s="4" t="s">
        <v>2685</v>
      </c>
      <c r="G4890" s="4" t="s">
        <v>753</v>
      </c>
      <c r="H4890" s="4" t="s">
        <v>1329</v>
      </c>
      <c r="I4890" s="4">
        <v>4</v>
      </c>
      <c r="J4890" s="21">
        <v>169.9</v>
      </c>
      <c r="K4890" s="21">
        <v>0</v>
      </c>
      <c r="L4890" s="5">
        <v>679.6</v>
      </c>
      <c r="M4890" s="4"/>
      <c r="N4890" s="4"/>
      <c r="O4890" s="5"/>
      <c r="P4890" s="5"/>
      <c r="Q4890" s="21">
        <v>0</v>
      </c>
      <c r="R4890" s="21">
        <v>0</v>
      </c>
      <c r="S4890" s="5">
        <f t="shared" si="307"/>
        <v>39765.318573026423</v>
      </c>
      <c r="T4890" cm="1">
        <f t="array" ref="T4890">IF(OR(B4890="MAL ALIMI", B4890="ÜRETİM GİRİŞ"), MIN(I4890, MAX(0, I4890 + SUM(SUMIFS($I$1:I4889, $C$1:C4889, C4890, $B$1:B4889, {"MAL ALIMI","ÜRETİM GİRİŞ"})) - VLOOKUP(C4890, 'STOK RAPORU'!$C$2:$I$1000, 4, 0))), 0)</f>
        <v>1</v>
      </c>
      <c r="U4890" s="22">
        <f t="shared" si="304"/>
        <v>169.9</v>
      </c>
      <c r="V4890">
        <f t="shared" si="305"/>
        <v>679.6</v>
      </c>
      <c r="W4890" s="22">
        <f t="shared" si="306"/>
        <v>509.70000000000005</v>
      </c>
    </row>
    <row r="4891" spans="1:23" hidden="1" x14ac:dyDescent="0.25">
      <c r="A4891" s="3">
        <v>46084</v>
      </c>
      <c r="B4891" s="4" t="s">
        <v>298</v>
      </c>
      <c r="C4891" s="4" t="s">
        <v>796</v>
      </c>
      <c r="D4891" s="4"/>
      <c r="E4891" s="4" t="s">
        <v>856</v>
      </c>
      <c r="F4891" s="4" t="s">
        <v>2686</v>
      </c>
      <c r="G4891" s="4" t="s">
        <v>753</v>
      </c>
      <c r="H4891" s="4" t="s">
        <v>1329</v>
      </c>
      <c r="I4891" s="4">
        <v>2</v>
      </c>
      <c r="J4891" s="21">
        <v>169.9</v>
      </c>
      <c r="K4891" s="21">
        <v>0</v>
      </c>
      <c r="L4891" s="5">
        <v>339.8</v>
      </c>
      <c r="M4891" s="4"/>
      <c r="N4891" s="4"/>
      <c r="O4891" s="5"/>
      <c r="P4891" s="5"/>
      <c r="Q4891" s="21">
        <v>0</v>
      </c>
      <c r="R4891" s="21">
        <v>0</v>
      </c>
      <c r="S4891" s="5">
        <f t="shared" si="307"/>
        <v>39765.318573026423</v>
      </c>
      <c r="T4891" cm="1">
        <f t="array" ref="T4891">IF(OR(B4891="MAL ALIMI", B4891="ÜRETİM GİRİŞ"), MIN(I4891, MAX(0, I4891 + SUM(SUMIFS($I$1:I4890, $C$1:C4890, C4891, $B$1:B4890, {"MAL ALIMI","ÜRETİM GİRİŞ"})) - VLOOKUP(C4891, 'STOK RAPORU'!$C$2:$I$1000, 4, 0))), 0)</f>
        <v>2</v>
      </c>
      <c r="U4891" s="22">
        <f t="shared" si="304"/>
        <v>339.8</v>
      </c>
      <c r="V4891">
        <f t="shared" si="305"/>
        <v>339.8</v>
      </c>
      <c r="W4891" s="22">
        <f t="shared" si="306"/>
        <v>0</v>
      </c>
    </row>
    <row r="4892" spans="1:23" hidden="1" x14ac:dyDescent="0.25">
      <c r="A4892" s="3">
        <v>46084</v>
      </c>
      <c r="B4892" s="4" t="s">
        <v>298</v>
      </c>
      <c r="C4892" s="4" t="s">
        <v>749</v>
      </c>
      <c r="D4892" s="4"/>
      <c r="E4892" s="4" t="s">
        <v>856</v>
      </c>
      <c r="F4892" s="4" t="s">
        <v>2686</v>
      </c>
      <c r="G4892" s="4" t="s">
        <v>753</v>
      </c>
      <c r="H4892" s="4" t="s">
        <v>1329</v>
      </c>
      <c r="I4892" s="4">
        <v>2</v>
      </c>
      <c r="J4892" s="21">
        <v>169.9</v>
      </c>
      <c r="K4892" s="21">
        <v>0</v>
      </c>
      <c r="L4892" s="5">
        <v>339.8</v>
      </c>
      <c r="M4892" s="4"/>
      <c r="N4892" s="4"/>
      <c r="O4892" s="5"/>
      <c r="P4892" s="5"/>
      <c r="Q4892" s="21">
        <v>0</v>
      </c>
      <c r="R4892" s="21">
        <v>0</v>
      </c>
      <c r="S4892" s="5">
        <f t="shared" si="307"/>
        <v>39765.318573026423</v>
      </c>
      <c r="T4892" cm="1">
        <f t="array" ref="T4892">IF(OR(B4892="MAL ALIMI", B4892="ÜRETİM GİRİŞ"), MIN(I4892, MAX(0, I4892 + SUM(SUMIFS($I$1:I4891, $C$1:C4891, C4892, $B$1:B4891, {"MAL ALIMI","ÜRETİM GİRİŞ"})) - VLOOKUP(C4892, 'STOK RAPORU'!$C$2:$I$1000, 4, 0))), 0)</f>
        <v>2</v>
      </c>
      <c r="U4892" s="22">
        <f t="shared" si="304"/>
        <v>339.8</v>
      </c>
      <c r="V4892">
        <f t="shared" si="305"/>
        <v>339.8</v>
      </c>
      <c r="W4892" s="22">
        <f t="shared" si="306"/>
        <v>0</v>
      </c>
    </row>
    <row r="4893" spans="1:23" hidden="1" x14ac:dyDescent="0.25">
      <c r="A4893" s="3">
        <v>46084</v>
      </c>
      <c r="B4893" s="4" t="s">
        <v>298</v>
      </c>
      <c r="C4893" s="4" t="s">
        <v>751</v>
      </c>
      <c r="D4893" s="4"/>
      <c r="E4893" s="4" t="s">
        <v>856</v>
      </c>
      <c r="F4893" s="4" t="s">
        <v>2687</v>
      </c>
      <c r="G4893" s="4" t="s">
        <v>753</v>
      </c>
      <c r="H4893" s="4" t="s">
        <v>1329</v>
      </c>
      <c r="I4893" s="4">
        <v>6</v>
      </c>
      <c r="J4893" s="21">
        <v>169.9</v>
      </c>
      <c r="K4893" s="21">
        <v>0</v>
      </c>
      <c r="L4893" s="5">
        <v>1019.4000000000001</v>
      </c>
      <c r="M4893" s="4"/>
      <c r="N4893" s="4"/>
      <c r="O4893" s="5"/>
      <c r="P4893" s="5"/>
      <c r="Q4893" s="21">
        <v>0</v>
      </c>
      <c r="R4893" s="21">
        <v>0</v>
      </c>
      <c r="S4893" s="5">
        <f t="shared" si="307"/>
        <v>39765.318573026423</v>
      </c>
      <c r="T4893" cm="1">
        <f t="array" ref="T4893">IF(OR(B4893="MAL ALIMI", B4893="ÜRETİM GİRİŞ"), MIN(I4893, MAX(0, I4893 + SUM(SUMIFS($I$1:I4892, $C$1:C4892, C4893, $B$1:B4892, {"MAL ALIMI","ÜRETİM GİRİŞ"})) - VLOOKUP(C4893, 'STOK RAPORU'!$C$2:$I$1000, 4, 0))), 0)</f>
        <v>6</v>
      </c>
      <c r="U4893" s="22">
        <f t="shared" si="304"/>
        <v>1019.4000000000001</v>
      </c>
      <c r="V4893">
        <f t="shared" si="305"/>
        <v>1019.4000000000001</v>
      </c>
      <c r="W4893" s="22">
        <f t="shared" si="306"/>
        <v>0</v>
      </c>
    </row>
    <row r="4894" spans="1:23" hidden="1" x14ac:dyDescent="0.25">
      <c r="A4894" s="3">
        <v>46084</v>
      </c>
      <c r="B4894" s="4" t="s">
        <v>334</v>
      </c>
      <c r="C4894" s="4" t="s">
        <v>728</v>
      </c>
      <c r="D4894" s="4"/>
      <c r="E4894" s="4" t="s">
        <v>921</v>
      </c>
      <c r="F4894" s="46" t="s">
        <v>2390</v>
      </c>
      <c r="G4894" s="4" t="s">
        <v>336</v>
      </c>
      <c r="H4894" s="4" t="s">
        <v>380</v>
      </c>
      <c r="I4894" s="4">
        <v>0.28985507246376813</v>
      </c>
      <c r="J4894" s="21">
        <v>690</v>
      </c>
      <c r="K4894" s="21">
        <v>200</v>
      </c>
      <c r="L4894" s="5">
        <v>0</v>
      </c>
      <c r="M4894" s="4"/>
      <c r="N4894" s="4"/>
      <c r="O4894" s="5"/>
      <c r="P4894" s="5"/>
      <c r="Q4894" s="21">
        <v>0</v>
      </c>
      <c r="R4894" s="21">
        <v>0</v>
      </c>
      <c r="S4894" s="5">
        <f t="shared" si="307"/>
        <v>39765.318573026423</v>
      </c>
      <c r="T4894" cm="1">
        <f t="array" ref="T4894">IF(OR(B4894="MAL ALIMI", B4894="ÜRETİM GİRİŞ"), MIN(I4894, MAX(0, I4894 + SUM(SUMIFS($I$1:I4893, $C$1:C4893, C4894, $B$1:B4893, {"MAL ALIMI","ÜRETİM GİRİŞ"})) - VLOOKUP(C4894, 'STOK RAPORU'!$C$2:$I$1000, 4, 0))), 0)</f>
        <v>0</v>
      </c>
      <c r="U4894" s="22">
        <f t="shared" si="304"/>
        <v>0</v>
      </c>
      <c r="V4894">
        <f t="shared" si="305"/>
        <v>0</v>
      </c>
      <c r="W4894" s="22">
        <f t="shared" si="306"/>
        <v>0</v>
      </c>
    </row>
    <row r="4895" spans="1:23" hidden="1" x14ac:dyDescent="0.25">
      <c r="A4895" s="3">
        <v>46084</v>
      </c>
      <c r="B4895" s="4" t="s">
        <v>334</v>
      </c>
      <c r="C4895" s="4" t="s">
        <v>198</v>
      </c>
      <c r="D4895" s="4"/>
      <c r="E4895" s="4" t="s">
        <v>921</v>
      </c>
      <c r="F4895" s="46" t="s">
        <v>2391</v>
      </c>
      <c r="G4895" s="4" t="s">
        <v>336</v>
      </c>
      <c r="H4895" s="4" t="s">
        <v>380</v>
      </c>
      <c r="I4895" s="4">
        <v>0.05</v>
      </c>
      <c r="J4895" s="21">
        <v>1400</v>
      </c>
      <c r="K4895" s="21">
        <v>70</v>
      </c>
      <c r="L4895" s="5">
        <v>0</v>
      </c>
      <c r="M4895" s="4"/>
      <c r="N4895" s="4"/>
      <c r="O4895" s="5"/>
      <c r="P4895" s="5"/>
      <c r="Q4895" s="21">
        <v>0</v>
      </c>
      <c r="R4895" s="21">
        <v>0</v>
      </c>
      <c r="S4895" s="5">
        <f t="shared" si="307"/>
        <v>39765.318573026423</v>
      </c>
      <c r="T4895" cm="1">
        <f t="array" ref="T4895">IF(OR(B4895="MAL ALIMI", B4895="ÜRETİM GİRİŞ"), MIN(I4895, MAX(0, I4895 + SUM(SUMIFS($I$1:I4894, $C$1:C4894, C4895, $B$1:B4894, {"MAL ALIMI","ÜRETİM GİRİŞ"})) - VLOOKUP(C4895, 'STOK RAPORU'!$C$2:$I$1000, 4, 0))), 0)</f>
        <v>0</v>
      </c>
      <c r="U4895" s="22">
        <f t="shared" si="304"/>
        <v>0</v>
      </c>
      <c r="V4895">
        <f t="shared" si="305"/>
        <v>0</v>
      </c>
      <c r="W4895" s="22">
        <f t="shared" si="306"/>
        <v>0</v>
      </c>
    </row>
    <row r="4896" spans="1:23" hidden="1" x14ac:dyDescent="0.25">
      <c r="A4896" s="3">
        <v>46084</v>
      </c>
      <c r="B4896" s="4" t="s">
        <v>334</v>
      </c>
      <c r="C4896" s="4" t="s">
        <v>751</v>
      </c>
      <c r="D4896" s="4"/>
      <c r="E4896" s="4" t="s">
        <v>921</v>
      </c>
      <c r="F4896" s="46" t="s">
        <v>2391</v>
      </c>
      <c r="G4896" s="4" t="s">
        <v>336</v>
      </c>
      <c r="H4896" s="4" t="s">
        <v>380</v>
      </c>
      <c r="I4896" s="4">
        <v>1</v>
      </c>
      <c r="J4896" s="21">
        <v>250</v>
      </c>
      <c r="K4896" s="21">
        <v>250</v>
      </c>
      <c r="L4896" s="5">
        <v>0</v>
      </c>
      <c r="M4896" s="4"/>
      <c r="N4896" s="4"/>
      <c r="O4896" s="5"/>
      <c r="P4896" s="5"/>
      <c r="Q4896" s="21">
        <v>0</v>
      </c>
      <c r="R4896" s="21">
        <v>0</v>
      </c>
      <c r="S4896" s="5">
        <f t="shared" si="307"/>
        <v>39765.318573026423</v>
      </c>
      <c r="T4896" cm="1">
        <f t="array" ref="T4896">IF(OR(B4896="MAL ALIMI", B4896="ÜRETİM GİRİŞ"), MIN(I4896, MAX(0, I4896 + SUM(SUMIFS($I$1:I4895, $C$1:C4895, C4896, $B$1:B4895, {"MAL ALIMI","ÜRETİM GİRİŞ"})) - VLOOKUP(C4896, 'STOK RAPORU'!$C$2:$I$1000, 4, 0))), 0)</f>
        <v>0</v>
      </c>
      <c r="U4896" s="22">
        <f t="shared" si="304"/>
        <v>0</v>
      </c>
      <c r="V4896">
        <f t="shared" si="305"/>
        <v>0</v>
      </c>
      <c r="W4896" s="22">
        <f t="shared" si="306"/>
        <v>0</v>
      </c>
    </row>
    <row r="4897" spans="1:23" hidden="1" x14ac:dyDescent="0.25">
      <c r="A4897" s="3">
        <v>46084</v>
      </c>
      <c r="B4897" s="4" t="s">
        <v>334</v>
      </c>
      <c r="C4897" s="4" t="s">
        <v>2086</v>
      </c>
      <c r="D4897" s="4"/>
      <c r="E4897" s="4" t="s">
        <v>921</v>
      </c>
      <c r="F4897" s="46" t="s">
        <v>2391</v>
      </c>
      <c r="G4897" s="4" t="s">
        <v>336</v>
      </c>
      <c r="H4897" s="4" t="s">
        <v>380</v>
      </c>
      <c r="I4897" s="4">
        <v>0.1</v>
      </c>
      <c r="J4897" s="21">
        <v>900</v>
      </c>
      <c r="K4897" s="21">
        <v>90</v>
      </c>
      <c r="L4897" s="5">
        <v>0</v>
      </c>
      <c r="M4897" s="4"/>
      <c r="N4897" s="4"/>
      <c r="O4897" s="5"/>
      <c r="P4897" s="5"/>
      <c r="Q4897" s="21">
        <v>0</v>
      </c>
      <c r="R4897" s="21">
        <v>0</v>
      </c>
      <c r="S4897" s="5">
        <f t="shared" si="307"/>
        <v>39765.318573026423</v>
      </c>
      <c r="T4897" cm="1">
        <f t="array" ref="T4897">IF(OR(B4897="MAL ALIMI", B4897="ÜRETİM GİRİŞ"), MIN(I4897, MAX(0, I4897 + SUM(SUMIFS($I$1:I4896, $C$1:C4896, C4897, $B$1:B4896, {"MAL ALIMI","ÜRETİM GİRİŞ"})) - VLOOKUP(C4897, 'STOK RAPORU'!$C$2:$I$1000, 4, 0))), 0)</f>
        <v>0</v>
      </c>
      <c r="U4897" s="22">
        <f t="shared" si="304"/>
        <v>0</v>
      </c>
      <c r="V4897">
        <f t="shared" si="305"/>
        <v>0</v>
      </c>
      <c r="W4897" s="22">
        <f t="shared" si="306"/>
        <v>0</v>
      </c>
    </row>
    <row r="4898" spans="1:23" hidden="1" x14ac:dyDescent="0.25">
      <c r="A4898" s="3">
        <v>46084</v>
      </c>
      <c r="B4898" s="4" t="s">
        <v>334</v>
      </c>
      <c r="C4898" s="4" t="s">
        <v>60</v>
      </c>
      <c r="D4898" s="4"/>
      <c r="E4898" s="4" t="s">
        <v>921</v>
      </c>
      <c r="F4898" s="46" t="s">
        <v>2391</v>
      </c>
      <c r="G4898" s="4" t="s">
        <v>336</v>
      </c>
      <c r="H4898" s="4" t="s">
        <v>380</v>
      </c>
      <c r="I4898" s="4">
        <v>0.05</v>
      </c>
      <c r="J4898" s="21">
        <v>1200</v>
      </c>
      <c r="K4898" s="21">
        <v>60</v>
      </c>
      <c r="L4898" s="5">
        <v>0</v>
      </c>
      <c r="M4898" s="4"/>
      <c r="N4898" s="4"/>
      <c r="O4898" s="5"/>
      <c r="P4898" s="5"/>
      <c r="Q4898" s="21">
        <v>0</v>
      </c>
      <c r="R4898" s="21">
        <v>0</v>
      </c>
      <c r="S4898" s="5">
        <f t="shared" si="307"/>
        <v>39765.318573026423</v>
      </c>
      <c r="T4898" cm="1">
        <f t="array" ref="T4898">IF(OR(B4898="MAL ALIMI", B4898="ÜRETİM GİRİŞ"), MIN(I4898, MAX(0, I4898 + SUM(SUMIFS($I$1:I4897, $C$1:C4897, C4898, $B$1:B4897, {"MAL ALIMI","ÜRETİM GİRİŞ"})) - VLOOKUP(C4898, 'STOK RAPORU'!$C$2:$I$1000, 4, 0))), 0)</f>
        <v>0</v>
      </c>
      <c r="U4898" s="22">
        <f t="shared" si="304"/>
        <v>0</v>
      </c>
      <c r="V4898">
        <f t="shared" si="305"/>
        <v>0</v>
      </c>
      <c r="W4898" s="22">
        <f t="shared" si="306"/>
        <v>0</v>
      </c>
    </row>
    <row r="4899" spans="1:23" hidden="1" x14ac:dyDescent="0.25">
      <c r="A4899" s="3">
        <v>46084</v>
      </c>
      <c r="B4899" s="4" t="s">
        <v>334</v>
      </c>
      <c r="C4899" s="4" t="s">
        <v>592</v>
      </c>
      <c r="D4899" s="4"/>
      <c r="E4899" s="4" t="s">
        <v>921</v>
      </c>
      <c r="F4899" s="46" t="s">
        <v>2392</v>
      </c>
      <c r="G4899" s="4" t="s">
        <v>336</v>
      </c>
      <c r="H4899" s="4" t="s">
        <v>380</v>
      </c>
      <c r="I4899" s="4">
        <v>6</v>
      </c>
      <c r="J4899" s="21">
        <v>35</v>
      </c>
      <c r="K4899" s="21">
        <v>210</v>
      </c>
      <c r="L4899" s="5">
        <v>0</v>
      </c>
      <c r="M4899" s="4"/>
      <c r="N4899" s="4"/>
      <c r="O4899" s="5"/>
      <c r="P4899" s="5"/>
      <c r="Q4899" s="21">
        <v>0</v>
      </c>
      <c r="R4899" s="21">
        <v>0</v>
      </c>
      <c r="S4899" s="5">
        <f t="shared" si="307"/>
        <v>39765.318573026423</v>
      </c>
      <c r="T4899" cm="1">
        <f t="array" ref="T4899">IF(OR(B4899="MAL ALIMI", B4899="ÜRETİM GİRİŞ"), MIN(I4899, MAX(0, I4899 + SUM(SUMIFS($I$1:I4898, $C$1:C4898, C4899, $B$1:B4898, {"MAL ALIMI","ÜRETİM GİRİŞ"})) - VLOOKUP(C4899, 'STOK RAPORU'!$C$2:$I$1000, 4, 0))), 0)</f>
        <v>0</v>
      </c>
      <c r="U4899" s="22">
        <f t="shared" si="304"/>
        <v>0</v>
      </c>
      <c r="V4899">
        <f t="shared" si="305"/>
        <v>0</v>
      </c>
      <c r="W4899" s="22">
        <f t="shared" si="306"/>
        <v>0</v>
      </c>
    </row>
    <row r="4900" spans="1:23" hidden="1" x14ac:dyDescent="0.25">
      <c r="A4900" s="3">
        <v>46084</v>
      </c>
      <c r="B4900" s="4" t="s">
        <v>334</v>
      </c>
      <c r="C4900" s="4" t="s">
        <v>835</v>
      </c>
      <c r="D4900" s="4"/>
      <c r="E4900" s="4" t="s">
        <v>921</v>
      </c>
      <c r="F4900" s="46" t="s">
        <v>2392</v>
      </c>
      <c r="G4900" s="4" t="s">
        <v>336</v>
      </c>
      <c r="H4900" s="4" t="s">
        <v>380</v>
      </c>
      <c r="I4900" s="4">
        <v>1</v>
      </c>
      <c r="J4900" s="21">
        <v>130</v>
      </c>
      <c r="K4900" s="21">
        <v>130</v>
      </c>
      <c r="L4900" s="5">
        <v>0</v>
      </c>
      <c r="M4900" s="4"/>
      <c r="N4900" s="4"/>
      <c r="O4900" s="5"/>
      <c r="P4900" s="5"/>
      <c r="Q4900" s="21">
        <v>0</v>
      </c>
      <c r="R4900" s="21">
        <v>0</v>
      </c>
      <c r="S4900" s="5">
        <f t="shared" si="307"/>
        <v>39765.318573026423</v>
      </c>
      <c r="T4900" cm="1">
        <f t="array" ref="T4900">IF(OR(B4900="MAL ALIMI", B4900="ÜRETİM GİRİŞ"), MIN(I4900, MAX(0, I4900 + SUM(SUMIFS($I$1:I4899, $C$1:C4899, C4900, $B$1:B4899, {"MAL ALIMI","ÜRETİM GİRİŞ"})) - VLOOKUP(C4900, 'STOK RAPORU'!$C$2:$I$1000, 4, 0))), 0)</f>
        <v>0</v>
      </c>
      <c r="U4900" s="22">
        <f t="shared" si="304"/>
        <v>0</v>
      </c>
      <c r="V4900">
        <f t="shared" si="305"/>
        <v>0</v>
      </c>
      <c r="W4900" s="22">
        <f t="shared" si="306"/>
        <v>0</v>
      </c>
    </row>
    <row r="4901" spans="1:23" hidden="1" x14ac:dyDescent="0.25">
      <c r="A4901" s="3">
        <v>46084</v>
      </c>
      <c r="B4901" s="4" t="s">
        <v>334</v>
      </c>
      <c r="C4901" s="4" t="s">
        <v>829</v>
      </c>
      <c r="D4901" s="4"/>
      <c r="E4901" s="4" t="s">
        <v>921</v>
      </c>
      <c r="F4901" s="46" t="s">
        <v>2392</v>
      </c>
      <c r="G4901" s="4" t="s">
        <v>336</v>
      </c>
      <c r="H4901" s="4" t="s">
        <v>380</v>
      </c>
      <c r="I4901" s="4">
        <v>1</v>
      </c>
      <c r="J4901" s="21">
        <v>145</v>
      </c>
      <c r="K4901" s="21">
        <v>145</v>
      </c>
      <c r="L4901" s="5">
        <v>0</v>
      </c>
      <c r="M4901" s="4"/>
      <c r="N4901" s="4"/>
      <c r="O4901" s="5"/>
      <c r="P4901" s="5"/>
      <c r="Q4901" s="21">
        <v>0</v>
      </c>
      <c r="R4901" s="21">
        <v>0</v>
      </c>
      <c r="S4901" s="5">
        <f t="shared" si="307"/>
        <v>39765.318573026423</v>
      </c>
      <c r="T4901" cm="1">
        <f t="array" ref="T4901">IF(OR(B4901="MAL ALIMI", B4901="ÜRETİM GİRİŞ"), MIN(I4901, MAX(0, I4901 + SUM(SUMIFS($I$1:I4900, $C$1:C4900, C4901, $B$1:B4900, {"MAL ALIMI","ÜRETİM GİRİŞ"})) - VLOOKUP(C4901, 'STOK RAPORU'!$C$2:$I$1000, 4, 0))), 0)</f>
        <v>0</v>
      </c>
      <c r="U4901" s="22">
        <f t="shared" si="304"/>
        <v>0</v>
      </c>
      <c r="V4901">
        <f t="shared" si="305"/>
        <v>0</v>
      </c>
      <c r="W4901" s="22">
        <f t="shared" si="306"/>
        <v>0</v>
      </c>
    </row>
    <row r="4902" spans="1:23" hidden="1" x14ac:dyDescent="0.25">
      <c r="A4902" s="3">
        <v>46084</v>
      </c>
      <c r="B4902" s="4" t="s">
        <v>334</v>
      </c>
      <c r="C4902" s="4" t="s">
        <v>1634</v>
      </c>
      <c r="D4902" s="4"/>
      <c r="E4902" s="4" t="s">
        <v>921</v>
      </c>
      <c r="F4902" s="46" t="s">
        <v>2393</v>
      </c>
      <c r="G4902" s="4" t="s">
        <v>336</v>
      </c>
      <c r="H4902" s="4" t="s">
        <v>380</v>
      </c>
      <c r="I4902" s="4">
        <v>0.5</v>
      </c>
      <c r="J4902" s="21">
        <v>400</v>
      </c>
      <c r="K4902" s="21">
        <v>200</v>
      </c>
      <c r="L4902" s="5">
        <v>0</v>
      </c>
      <c r="M4902" s="4"/>
      <c r="N4902" s="4"/>
      <c r="O4902" s="5"/>
      <c r="P4902" s="5"/>
      <c r="Q4902" s="21">
        <v>0</v>
      </c>
      <c r="R4902" s="21">
        <v>0</v>
      </c>
      <c r="S4902" s="5">
        <f t="shared" si="307"/>
        <v>39765.318573026423</v>
      </c>
      <c r="T4902" cm="1">
        <f t="array" ref="T4902">IF(OR(B4902="MAL ALIMI", B4902="ÜRETİM GİRİŞ"), MIN(I4902, MAX(0, I4902 + SUM(SUMIFS($I$1:I4901, $C$1:C4901, C4902, $B$1:B4901, {"MAL ALIMI","ÜRETİM GİRİŞ"})) - VLOOKUP(C4902, 'STOK RAPORU'!$C$2:$I$1000, 4, 0))), 0)</f>
        <v>0</v>
      </c>
      <c r="U4902" s="22">
        <f t="shared" si="304"/>
        <v>0</v>
      </c>
      <c r="V4902">
        <f t="shared" si="305"/>
        <v>0</v>
      </c>
      <c r="W4902" s="22">
        <f t="shared" si="306"/>
        <v>0</v>
      </c>
    </row>
    <row r="4903" spans="1:23" hidden="1" x14ac:dyDescent="0.25">
      <c r="A4903" s="3">
        <v>46084</v>
      </c>
      <c r="B4903" s="4" t="s">
        <v>334</v>
      </c>
      <c r="C4903" s="4" t="s">
        <v>828</v>
      </c>
      <c r="D4903" s="4"/>
      <c r="E4903" s="4" t="s">
        <v>921</v>
      </c>
      <c r="F4903" s="46" t="s">
        <v>2393</v>
      </c>
      <c r="G4903" s="4" t="s">
        <v>336</v>
      </c>
      <c r="H4903" s="4" t="s">
        <v>380</v>
      </c>
      <c r="I4903" s="4">
        <v>1</v>
      </c>
      <c r="J4903" s="21">
        <v>145</v>
      </c>
      <c r="K4903" s="21">
        <v>145</v>
      </c>
      <c r="L4903" s="5">
        <v>0</v>
      </c>
      <c r="M4903" s="4"/>
      <c r="N4903" s="4"/>
      <c r="O4903" s="5"/>
      <c r="P4903" s="5"/>
      <c r="Q4903" s="21">
        <v>0</v>
      </c>
      <c r="R4903" s="21">
        <v>0</v>
      </c>
      <c r="S4903" s="5">
        <f t="shared" si="307"/>
        <v>39765.318573026423</v>
      </c>
      <c r="T4903" cm="1">
        <f t="array" ref="T4903">IF(OR(B4903="MAL ALIMI", B4903="ÜRETİM GİRİŞ"), MIN(I4903, MAX(0, I4903 + SUM(SUMIFS($I$1:I4902, $C$1:C4902, C4903, $B$1:B4902, {"MAL ALIMI","ÜRETİM GİRİŞ"})) - VLOOKUP(C4903, 'STOK RAPORU'!$C$2:$I$1000, 4, 0))), 0)</f>
        <v>0</v>
      </c>
      <c r="U4903" s="22">
        <f t="shared" si="304"/>
        <v>0</v>
      </c>
      <c r="V4903">
        <f t="shared" si="305"/>
        <v>0</v>
      </c>
      <c r="W4903" s="22">
        <f t="shared" si="306"/>
        <v>0</v>
      </c>
    </row>
    <row r="4904" spans="1:23" hidden="1" x14ac:dyDescent="0.25">
      <c r="A4904" s="3">
        <v>46084</v>
      </c>
      <c r="B4904" s="4" t="s">
        <v>334</v>
      </c>
      <c r="C4904" s="4" t="s">
        <v>828</v>
      </c>
      <c r="D4904" s="4"/>
      <c r="E4904" s="4" t="s">
        <v>921</v>
      </c>
      <c r="F4904" s="46" t="s">
        <v>2393</v>
      </c>
      <c r="G4904" s="4" t="s">
        <v>336</v>
      </c>
      <c r="H4904" s="4" t="s">
        <v>380</v>
      </c>
      <c r="I4904" s="4">
        <v>1</v>
      </c>
      <c r="J4904" s="21">
        <v>110</v>
      </c>
      <c r="K4904" s="21">
        <v>110</v>
      </c>
      <c r="L4904" s="5">
        <v>0</v>
      </c>
      <c r="M4904" s="4"/>
      <c r="N4904" s="4"/>
      <c r="O4904" s="5"/>
      <c r="P4904" s="5"/>
      <c r="Q4904" s="21">
        <v>0</v>
      </c>
      <c r="R4904" s="21">
        <v>0</v>
      </c>
      <c r="S4904" s="5">
        <f t="shared" si="307"/>
        <v>39765.318573026423</v>
      </c>
      <c r="T4904" cm="1">
        <f t="array" ref="T4904">IF(OR(B4904="MAL ALIMI", B4904="ÜRETİM GİRİŞ"), MIN(I4904, MAX(0, I4904 + SUM(SUMIFS($I$1:I4903, $C$1:C4903, C4904, $B$1:B4903, {"MAL ALIMI","ÜRETİM GİRİŞ"})) - VLOOKUP(C4904, 'STOK RAPORU'!$C$2:$I$1000, 4, 0))), 0)</f>
        <v>0</v>
      </c>
      <c r="U4904" s="22">
        <f t="shared" si="304"/>
        <v>0</v>
      </c>
      <c r="V4904">
        <f t="shared" si="305"/>
        <v>0</v>
      </c>
      <c r="W4904" s="22">
        <f t="shared" si="306"/>
        <v>0</v>
      </c>
    </row>
    <row r="4905" spans="1:23" hidden="1" x14ac:dyDescent="0.25">
      <c r="A4905" s="3">
        <v>46084</v>
      </c>
      <c r="B4905" s="4" t="s">
        <v>334</v>
      </c>
      <c r="C4905" s="4" t="s">
        <v>137</v>
      </c>
      <c r="D4905" s="4"/>
      <c r="E4905" s="4"/>
      <c r="F4905" s="46" t="s">
        <v>2394</v>
      </c>
      <c r="G4905" s="4" t="s">
        <v>336</v>
      </c>
      <c r="H4905" s="4" t="s">
        <v>289</v>
      </c>
      <c r="I4905" s="4">
        <v>0.25</v>
      </c>
      <c r="J4905" s="21">
        <v>180</v>
      </c>
      <c r="K4905" s="21">
        <v>0</v>
      </c>
      <c r="L4905" s="5">
        <v>0</v>
      </c>
      <c r="M4905" s="4"/>
      <c r="N4905" s="4"/>
      <c r="O4905" s="5"/>
      <c r="P4905" s="5"/>
      <c r="Q4905" s="21">
        <v>45</v>
      </c>
      <c r="R4905" s="21">
        <v>0</v>
      </c>
      <c r="S4905" s="5">
        <f t="shared" si="307"/>
        <v>39810.318573026423</v>
      </c>
      <c r="T4905" cm="1">
        <f t="array" ref="T4905">IF(OR(B4905="MAL ALIMI", B4905="ÜRETİM GİRİŞ"), MIN(I4905, MAX(0, I4905 + SUM(SUMIFS($I$1:I4904, $C$1:C4904, C4905, $B$1:B4904, {"MAL ALIMI","ÜRETİM GİRİŞ"})) - VLOOKUP(C4905, 'STOK RAPORU'!$C$2:$I$1000, 4, 0))), 0)</f>
        <v>0</v>
      </c>
      <c r="U4905" s="22">
        <f t="shared" si="304"/>
        <v>0</v>
      </c>
      <c r="V4905">
        <f t="shared" si="305"/>
        <v>0</v>
      </c>
      <c r="W4905" s="22">
        <f t="shared" si="306"/>
        <v>0</v>
      </c>
    </row>
    <row r="4906" spans="1:23" hidden="1" x14ac:dyDescent="0.25">
      <c r="A4906" s="3">
        <v>46084</v>
      </c>
      <c r="B4906" s="4" t="s">
        <v>334</v>
      </c>
      <c r="C4906" s="4" t="s">
        <v>463</v>
      </c>
      <c r="D4906" s="4"/>
      <c r="E4906" s="4"/>
      <c r="F4906" s="46" t="s">
        <v>2395</v>
      </c>
      <c r="G4906" s="4" t="s">
        <v>336</v>
      </c>
      <c r="H4906" s="4" t="s">
        <v>289</v>
      </c>
      <c r="I4906" s="4">
        <v>0.13</v>
      </c>
      <c r="J4906" s="21">
        <v>400</v>
      </c>
      <c r="K4906" s="21">
        <v>0</v>
      </c>
      <c r="L4906" s="5">
        <v>0</v>
      </c>
      <c r="M4906" s="4"/>
      <c r="N4906" s="4"/>
      <c r="O4906" s="5"/>
      <c r="P4906" s="5"/>
      <c r="Q4906" s="21">
        <v>52</v>
      </c>
      <c r="R4906" s="21">
        <v>0</v>
      </c>
      <c r="S4906" s="5">
        <f t="shared" si="307"/>
        <v>39862.318573026423</v>
      </c>
      <c r="T4906" cm="1">
        <f t="array" ref="T4906">IF(OR(B4906="MAL ALIMI", B4906="ÜRETİM GİRİŞ"), MIN(I4906, MAX(0, I4906 + SUM(SUMIFS($I$1:I4905, $C$1:C4905, C4906, $B$1:B4905, {"MAL ALIMI","ÜRETİM GİRİŞ"})) - VLOOKUP(C4906, 'STOK RAPORU'!$C$2:$I$1000, 4, 0))), 0)</f>
        <v>0</v>
      </c>
      <c r="U4906" s="22">
        <f t="shared" si="304"/>
        <v>0</v>
      </c>
      <c r="V4906">
        <f t="shared" si="305"/>
        <v>0</v>
      </c>
      <c r="W4906" s="22">
        <f t="shared" si="306"/>
        <v>0</v>
      </c>
    </row>
    <row r="4907" spans="1:23" hidden="1" x14ac:dyDescent="0.25">
      <c r="A4907" s="3">
        <v>46084</v>
      </c>
      <c r="B4907" s="4" t="s">
        <v>334</v>
      </c>
      <c r="C4907" s="4" t="s">
        <v>140</v>
      </c>
      <c r="D4907" s="4"/>
      <c r="E4907" s="4"/>
      <c r="F4907" s="46" t="s">
        <v>2395</v>
      </c>
      <c r="G4907" s="4" t="s">
        <v>336</v>
      </c>
      <c r="H4907" s="4" t="s">
        <v>289</v>
      </c>
      <c r="I4907" s="4">
        <v>9.6666666666666665E-2</v>
      </c>
      <c r="J4907" s="21">
        <v>300</v>
      </c>
      <c r="K4907" s="21">
        <v>0</v>
      </c>
      <c r="L4907" s="5">
        <v>0</v>
      </c>
      <c r="M4907" s="4"/>
      <c r="N4907" s="4"/>
      <c r="O4907" s="5"/>
      <c r="P4907" s="5"/>
      <c r="Q4907" s="21">
        <v>29</v>
      </c>
      <c r="R4907" s="21">
        <v>0</v>
      </c>
      <c r="S4907" s="5">
        <f t="shared" si="307"/>
        <v>39891.318573026423</v>
      </c>
      <c r="T4907" cm="1">
        <f t="array" ref="T4907">IF(OR(B4907="MAL ALIMI", B4907="ÜRETİM GİRİŞ"), MIN(I4907, MAX(0, I4907 + SUM(SUMIFS($I$1:I4906, $C$1:C4906, C4907, $B$1:B4906, {"MAL ALIMI","ÜRETİM GİRİŞ"})) - VLOOKUP(C4907, 'STOK RAPORU'!$C$2:$I$1000, 4, 0))), 0)</f>
        <v>0</v>
      </c>
      <c r="U4907" s="22">
        <f t="shared" si="304"/>
        <v>0</v>
      </c>
      <c r="V4907">
        <f t="shared" si="305"/>
        <v>0</v>
      </c>
      <c r="W4907" s="22">
        <f t="shared" si="306"/>
        <v>0</v>
      </c>
    </row>
    <row r="4908" spans="1:23" hidden="1" x14ac:dyDescent="0.25">
      <c r="A4908" s="3">
        <v>46084</v>
      </c>
      <c r="B4908" s="4" t="s">
        <v>334</v>
      </c>
      <c r="C4908" s="4" t="s">
        <v>126</v>
      </c>
      <c r="D4908" s="4"/>
      <c r="E4908" s="4"/>
      <c r="F4908" s="46" t="s">
        <v>2396</v>
      </c>
      <c r="G4908" s="4" t="s">
        <v>336</v>
      </c>
      <c r="H4908" s="4" t="s">
        <v>289</v>
      </c>
      <c r="I4908" s="4">
        <v>0.08</v>
      </c>
      <c r="J4908" s="21">
        <v>650</v>
      </c>
      <c r="K4908" s="21">
        <v>0</v>
      </c>
      <c r="L4908" s="5">
        <v>0</v>
      </c>
      <c r="M4908" s="4"/>
      <c r="N4908" s="4"/>
      <c r="O4908" s="5"/>
      <c r="P4908" s="5"/>
      <c r="Q4908" s="21">
        <v>52</v>
      </c>
      <c r="R4908" s="21">
        <v>0</v>
      </c>
      <c r="S4908" s="5">
        <f t="shared" si="307"/>
        <v>39943.318573026423</v>
      </c>
      <c r="T4908" cm="1">
        <f t="array" ref="T4908">IF(OR(B4908="MAL ALIMI", B4908="ÜRETİM GİRİŞ"), MIN(I4908, MAX(0, I4908 + SUM(SUMIFS($I$1:I4907, $C$1:C4907, C4908, $B$1:B4907, {"MAL ALIMI","ÜRETİM GİRİŞ"})) - VLOOKUP(C4908, 'STOK RAPORU'!$C$2:$I$1000, 4, 0))), 0)</f>
        <v>0</v>
      </c>
      <c r="U4908" s="22">
        <f t="shared" si="304"/>
        <v>0</v>
      </c>
      <c r="V4908">
        <f t="shared" si="305"/>
        <v>0</v>
      </c>
      <c r="W4908" s="22">
        <f t="shared" si="306"/>
        <v>0</v>
      </c>
    </row>
    <row r="4909" spans="1:23" hidden="1" x14ac:dyDescent="0.25">
      <c r="A4909" s="3">
        <v>46084</v>
      </c>
      <c r="B4909" s="4" t="s">
        <v>334</v>
      </c>
      <c r="C4909" s="4" t="s">
        <v>129</v>
      </c>
      <c r="D4909" s="4"/>
      <c r="E4909" s="4"/>
      <c r="F4909" s="46" t="s">
        <v>2396</v>
      </c>
      <c r="G4909" s="4" t="s">
        <v>336</v>
      </c>
      <c r="H4909" s="4" t="s">
        <v>289</v>
      </c>
      <c r="I4909" s="4">
        <v>0.05</v>
      </c>
      <c r="J4909" s="21">
        <v>400</v>
      </c>
      <c r="K4909" s="21">
        <v>0</v>
      </c>
      <c r="L4909" s="5">
        <v>0</v>
      </c>
      <c r="M4909" s="4"/>
      <c r="N4909" s="4"/>
      <c r="O4909" s="5"/>
      <c r="P4909" s="5"/>
      <c r="Q4909" s="21">
        <v>20</v>
      </c>
      <c r="R4909" s="21">
        <v>0</v>
      </c>
      <c r="S4909" s="5">
        <f t="shared" si="307"/>
        <v>39963.318573026423</v>
      </c>
      <c r="T4909" cm="1">
        <f t="array" ref="T4909">IF(OR(B4909="MAL ALIMI", B4909="ÜRETİM GİRİŞ"), MIN(I4909, MAX(0, I4909 + SUM(SUMIFS($I$1:I4908, $C$1:C4908, C4909, $B$1:B4908, {"MAL ALIMI","ÜRETİM GİRİŞ"})) - VLOOKUP(C4909, 'STOK RAPORU'!$C$2:$I$1000, 4, 0))), 0)</f>
        <v>0</v>
      </c>
      <c r="U4909" s="22">
        <f t="shared" si="304"/>
        <v>0</v>
      </c>
      <c r="V4909">
        <f t="shared" si="305"/>
        <v>0</v>
      </c>
      <c r="W4909" s="22">
        <f t="shared" si="306"/>
        <v>0</v>
      </c>
    </row>
    <row r="4910" spans="1:23" hidden="1" x14ac:dyDescent="0.25">
      <c r="A4910" s="3">
        <v>46084</v>
      </c>
      <c r="B4910" s="4" t="s">
        <v>334</v>
      </c>
      <c r="C4910" s="4" t="s">
        <v>2086</v>
      </c>
      <c r="D4910" s="4"/>
      <c r="E4910" s="4"/>
      <c r="F4910" s="46" t="s">
        <v>2396</v>
      </c>
      <c r="G4910" s="4" t="s">
        <v>336</v>
      </c>
      <c r="H4910" s="4" t="s">
        <v>289</v>
      </c>
      <c r="I4910" s="4">
        <v>0.1</v>
      </c>
      <c r="J4910" s="21">
        <v>900</v>
      </c>
      <c r="K4910" s="21">
        <v>0</v>
      </c>
      <c r="L4910" s="5">
        <v>0</v>
      </c>
      <c r="M4910" s="4"/>
      <c r="N4910" s="4"/>
      <c r="O4910" s="5"/>
      <c r="P4910" s="5"/>
      <c r="Q4910" s="21">
        <v>90</v>
      </c>
      <c r="R4910" s="21">
        <v>0</v>
      </c>
      <c r="S4910" s="5">
        <f t="shared" si="307"/>
        <v>40053.318573026423</v>
      </c>
      <c r="T4910" cm="1">
        <f t="array" ref="T4910">IF(OR(B4910="MAL ALIMI", B4910="ÜRETİM GİRİŞ"), MIN(I4910, MAX(0, I4910 + SUM(SUMIFS($I$1:I4909, $C$1:C4909, C4910, $B$1:B4909, {"MAL ALIMI","ÜRETİM GİRİŞ"})) - VLOOKUP(C4910, 'STOK RAPORU'!$C$2:$I$1000, 4, 0))), 0)</f>
        <v>0</v>
      </c>
      <c r="U4910" s="22">
        <f t="shared" si="304"/>
        <v>0</v>
      </c>
      <c r="V4910">
        <f t="shared" si="305"/>
        <v>0</v>
      </c>
      <c r="W4910" s="22">
        <f t="shared" si="306"/>
        <v>0</v>
      </c>
    </row>
    <row r="4911" spans="1:23" hidden="1" x14ac:dyDescent="0.25">
      <c r="A4911" s="3">
        <v>46084</v>
      </c>
      <c r="B4911" s="4" t="s">
        <v>334</v>
      </c>
      <c r="C4911" s="4" t="s">
        <v>1366</v>
      </c>
      <c r="D4911" s="4"/>
      <c r="E4911" s="4" t="s">
        <v>921</v>
      </c>
      <c r="F4911" s="46" t="s">
        <v>2397</v>
      </c>
      <c r="G4911" s="4" t="s">
        <v>336</v>
      </c>
      <c r="H4911" s="4" t="s">
        <v>380</v>
      </c>
      <c r="I4911" s="4">
        <v>1</v>
      </c>
      <c r="J4911" s="21">
        <v>195</v>
      </c>
      <c r="K4911" s="21">
        <v>195</v>
      </c>
      <c r="L4911" s="5">
        <v>0</v>
      </c>
      <c r="M4911" s="4"/>
      <c r="N4911" s="4"/>
      <c r="O4911" s="5"/>
      <c r="P4911" s="5"/>
      <c r="Q4911" s="21">
        <v>0</v>
      </c>
      <c r="R4911" s="21">
        <v>0</v>
      </c>
      <c r="S4911" s="5">
        <f t="shared" si="307"/>
        <v>40053.318573026423</v>
      </c>
      <c r="T4911" cm="1">
        <f t="array" ref="T4911">IF(OR(B4911="MAL ALIMI", B4911="ÜRETİM GİRİŞ"), MIN(I4911, MAX(0, I4911 + SUM(SUMIFS($I$1:I4910, $C$1:C4910, C4911, $B$1:B4910, {"MAL ALIMI","ÜRETİM GİRİŞ"})) - VLOOKUP(C4911, 'STOK RAPORU'!$C$2:$I$1000, 4, 0))), 0)</f>
        <v>0</v>
      </c>
      <c r="U4911" s="22">
        <f t="shared" si="304"/>
        <v>0</v>
      </c>
      <c r="V4911">
        <f t="shared" si="305"/>
        <v>0</v>
      </c>
      <c r="W4911" s="22">
        <f t="shared" si="306"/>
        <v>0</v>
      </c>
    </row>
    <row r="4912" spans="1:23" hidden="1" x14ac:dyDescent="0.25">
      <c r="A4912" s="3">
        <v>46084</v>
      </c>
      <c r="B4912" s="4" t="s">
        <v>334</v>
      </c>
      <c r="C4912" s="4" t="s">
        <v>157</v>
      </c>
      <c r="D4912" s="4"/>
      <c r="E4912" s="4" t="s">
        <v>921</v>
      </c>
      <c r="F4912" s="46" t="s">
        <v>2397</v>
      </c>
      <c r="G4912" s="4" t="s">
        <v>336</v>
      </c>
      <c r="H4912" s="4" t="s">
        <v>380</v>
      </c>
      <c r="I4912" s="4">
        <v>0.5</v>
      </c>
      <c r="J4912" s="21">
        <v>200</v>
      </c>
      <c r="K4912" s="21">
        <v>100</v>
      </c>
      <c r="L4912" s="5">
        <v>0</v>
      </c>
      <c r="M4912" s="4"/>
      <c r="N4912" s="4"/>
      <c r="O4912" s="5"/>
      <c r="P4912" s="5"/>
      <c r="Q4912" s="21">
        <v>0</v>
      </c>
      <c r="R4912" s="21">
        <v>0</v>
      </c>
      <c r="S4912" s="5">
        <f t="shared" si="307"/>
        <v>40053.318573026423</v>
      </c>
      <c r="T4912" cm="1">
        <f t="array" ref="T4912">IF(OR(B4912="MAL ALIMI", B4912="ÜRETİM GİRİŞ"), MIN(I4912, MAX(0, I4912 + SUM(SUMIFS($I$1:I4911, $C$1:C4911, C4912, $B$1:B4911, {"MAL ALIMI","ÜRETİM GİRİŞ"})) - VLOOKUP(C4912, 'STOK RAPORU'!$C$2:$I$1000, 4, 0))), 0)</f>
        <v>0</v>
      </c>
      <c r="U4912" s="22">
        <f t="shared" si="304"/>
        <v>0</v>
      </c>
      <c r="V4912">
        <f t="shared" si="305"/>
        <v>0</v>
      </c>
      <c r="W4912" s="22">
        <f t="shared" si="306"/>
        <v>0</v>
      </c>
    </row>
    <row r="4913" spans="1:23" hidden="1" x14ac:dyDescent="0.25">
      <c r="A4913" s="3">
        <v>46084</v>
      </c>
      <c r="B4913" s="4" t="s">
        <v>334</v>
      </c>
      <c r="C4913" s="4" t="s">
        <v>156</v>
      </c>
      <c r="D4913" s="4"/>
      <c r="E4913" s="4" t="s">
        <v>921</v>
      </c>
      <c r="F4913" s="46" t="s">
        <v>2397</v>
      </c>
      <c r="G4913" s="4" t="s">
        <v>336</v>
      </c>
      <c r="H4913" s="4" t="s">
        <v>380</v>
      </c>
      <c r="I4913" s="4">
        <v>0.5</v>
      </c>
      <c r="J4913" s="21">
        <v>200</v>
      </c>
      <c r="K4913" s="21">
        <v>100</v>
      </c>
      <c r="L4913" s="5">
        <v>0</v>
      </c>
      <c r="M4913" s="4"/>
      <c r="N4913" s="4"/>
      <c r="O4913" s="5"/>
      <c r="P4913" s="5"/>
      <c r="Q4913" s="21">
        <v>0</v>
      </c>
      <c r="R4913" s="21">
        <v>0</v>
      </c>
      <c r="S4913" s="5">
        <f t="shared" si="307"/>
        <v>40053.318573026423</v>
      </c>
      <c r="T4913" cm="1">
        <f t="array" ref="T4913">IF(OR(B4913="MAL ALIMI", B4913="ÜRETİM GİRİŞ"), MIN(I4913, MAX(0, I4913 + SUM(SUMIFS($I$1:I4912, $C$1:C4912, C4913, $B$1:B4912, {"MAL ALIMI","ÜRETİM GİRİŞ"})) - VLOOKUP(C4913, 'STOK RAPORU'!$C$2:$I$1000, 4, 0))), 0)</f>
        <v>0</v>
      </c>
      <c r="U4913" s="22">
        <f t="shared" si="304"/>
        <v>0</v>
      </c>
      <c r="V4913">
        <f t="shared" si="305"/>
        <v>0</v>
      </c>
      <c r="W4913" s="22">
        <f t="shared" si="306"/>
        <v>0</v>
      </c>
    </row>
    <row r="4914" spans="1:23" hidden="1" x14ac:dyDescent="0.25">
      <c r="A4914" s="3">
        <v>46084</v>
      </c>
      <c r="B4914" s="4" t="s">
        <v>334</v>
      </c>
      <c r="C4914" s="4" t="s">
        <v>2129</v>
      </c>
      <c r="D4914" s="4"/>
      <c r="E4914" s="4" t="s">
        <v>921</v>
      </c>
      <c r="F4914" s="46" t="s">
        <v>2398</v>
      </c>
      <c r="G4914" s="4" t="s">
        <v>336</v>
      </c>
      <c r="H4914" s="4" t="s">
        <v>380</v>
      </c>
      <c r="I4914" s="4">
        <v>2</v>
      </c>
      <c r="J4914" s="21">
        <v>400</v>
      </c>
      <c r="K4914" s="21">
        <v>800</v>
      </c>
      <c r="L4914" s="5">
        <v>0</v>
      </c>
      <c r="M4914" s="4"/>
      <c r="N4914" s="4"/>
      <c r="O4914" s="5"/>
      <c r="P4914" s="5"/>
      <c r="Q4914" s="21">
        <v>0</v>
      </c>
      <c r="R4914" s="21">
        <v>0</v>
      </c>
      <c r="S4914" s="5">
        <f t="shared" si="307"/>
        <v>40053.318573026423</v>
      </c>
      <c r="T4914" cm="1">
        <f t="array" ref="T4914">IF(OR(B4914="MAL ALIMI", B4914="ÜRETİM GİRİŞ"), MIN(I4914, MAX(0, I4914 + SUM(SUMIFS($I$1:I4913, $C$1:C4913, C4914, $B$1:B4913, {"MAL ALIMI","ÜRETİM GİRİŞ"})) - VLOOKUP(C4914, 'STOK RAPORU'!$C$2:$I$1000, 4, 0))), 0)</f>
        <v>0</v>
      </c>
      <c r="U4914" s="22">
        <f t="shared" si="304"/>
        <v>0</v>
      </c>
      <c r="V4914">
        <f t="shared" si="305"/>
        <v>0</v>
      </c>
      <c r="W4914" s="22">
        <f t="shared" si="306"/>
        <v>0</v>
      </c>
    </row>
    <row r="4915" spans="1:23" hidden="1" x14ac:dyDescent="0.25">
      <c r="A4915" s="3">
        <v>46084</v>
      </c>
      <c r="B4915" s="4" t="s">
        <v>334</v>
      </c>
      <c r="C4915" s="4" t="s">
        <v>1183</v>
      </c>
      <c r="D4915" s="4"/>
      <c r="E4915" s="4" t="s">
        <v>921</v>
      </c>
      <c r="F4915" s="46" t="s">
        <v>2398</v>
      </c>
      <c r="G4915" s="4" t="s">
        <v>336</v>
      </c>
      <c r="H4915" s="4" t="s">
        <v>380</v>
      </c>
      <c r="I4915" s="4">
        <v>0.1</v>
      </c>
      <c r="J4915" s="21">
        <v>900</v>
      </c>
      <c r="K4915" s="21">
        <v>90</v>
      </c>
      <c r="L4915" s="5">
        <v>0</v>
      </c>
      <c r="M4915" s="4"/>
      <c r="N4915" s="4"/>
      <c r="O4915" s="5"/>
      <c r="P4915" s="5"/>
      <c r="Q4915" s="21">
        <v>0</v>
      </c>
      <c r="R4915" s="21">
        <v>0</v>
      </c>
      <c r="S4915" s="5">
        <f t="shared" si="307"/>
        <v>40053.318573026423</v>
      </c>
      <c r="T4915" cm="1">
        <f t="array" ref="T4915">IF(OR(B4915="MAL ALIMI", B4915="ÜRETİM GİRİŞ"), MIN(I4915, MAX(0, I4915 + SUM(SUMIFS($I$1:I4914, $C$1:C4914, C4915, $B$1:B4914, {"MAL ALIMI","ÜRETİM GİRİŞ"})) - VLOOKUP(C4915, 'STOK RAPORU'!$C$2:$I$1000, 4, 0))), 0)</f>
        <v>0</v>
      </c>
      <c r="U4915" s="22">
        <f t="shared" si="304"/>
        <v>0</v>
      </c>
      <c r="V4915">
        <f t="shared" si="305"/>
        <v>0</v>
      </c>
      <c r="W4915" s="22">
        <f t="shared" si="306"/>
        <v>0</v>
      </c>
    </row>
    <row r="4916" spans="1:23" hidden="1" x14ac:dyDescent="0.25">
      <c r="A4916" s="3">
        <v>46084</v>
      </c>
      <c r="B4916" s="4" t="s">
        <v>334</v>
      </c>
      <c r="C4916" s="4" t="s">
        <v>821</v>
      </c>
      <c r="D4916" s="4"/>
      <c r="E4916" s="4" t="s">
        <v>921</v>
      </c>
      <c r="F4916" s="46" t="s">
        <v>2398</v>
      </c>
      <c r="G4916" s="4" t="s">
        <v>336</v>
      </c>
      <c r="H4916" s="4" t="s">
        <v>380</v>
      </c>
      <c r="I4916" s="4">
        <v>1</v>
      </c>
      <c r="J4916" s="21">
        <v>110</v>
      </c>
      <c r="K4916" s="21">
        <v>110</v>
      </c>
      <c r="L4916" s="5">
        <v>0</v>
      </c>
      <c r="M4916" s="4"/>
      <c r="N4916" s="4"/>
      <c r="O4916" s="5"/>
      <c r="P4916" s="5"/>
      <c r="Q4916" s="21">
        <v>0</v>
      </c>
      <c r="R4916" s="21">
        <v>0</v>
      </c>
      <c r="S4916" s="5">
        <f t="shared" si="307"/>
        <v>40053.318573026423</v>
      </c>
      <c r="T4916" cm="1">
        <f t="array" ref="T4916">IF(OR(B4916="MAL ALIMI", B4916="ÜRETİM GİRİŞ"), MIN(I4916, MAX(0, I4916 + SUM(SUMIFS($I$1:I4915, $C$1:C4915, C4916, $B$1:B4915, {"MAL ALIMI","ÜRETİM GİRİŞ"})) - VLOOKUP(C4916, 'STOK RAPORU'!$C$2:$I$1000, 4, 0))), 0)</f>
        <v>0</v>
      </c>
      <c r="U4916" s="22">
        <f t="shared" ref="U4916:U4979" si="308">T4916*J4916</f>
        <v>0</v>
      </c>
      <c r="V4916">
        <f t="shared" ref="V4916:V4979" si="309">IF(OR(B4916="MAL ALIMI", B4916="ÜRETİM GİRİŞ"), I4916 * J4916, 0)</f>
        <v>0</v>
      </c>
      <c r="W4916" s="22">
        <f t="shared" ref="W4916:W4979" si="310">V4916-U4916</f>
        <v>0</v>
      </c>
    </row>
    <row r="4917" spans="1:23" hidden="1" x14ac:dyDescent="0.25">
      <c r="A4917" s="3">
        <v>46084</v>
      </c>
      <c r="B4917" s="4" t="s">
        <v>334</v>
      </c>
      <c r="C4917" s="4" t="s">
        <v>2129</v>
      </c>
      <c r="D4917" s="4"/>
      <c r="E4917" s="4"/>
      <c r="F4917" s="46" t="s">
        <v>2399</v>
      </c>
      <c r="G4917" s="4" t="s">
        <v>336</v>
      </c>
      <c r="H4917" s="4" t="s">
        <v>289</v>
      </c>
      <c r="I4917" s="4">
        <v>0.5714285714285714</v>
      </c>
      <c r="J4917" s="21">
        <v>420</v>
      </c>
      <c r="K4917" s="21">
        <v>0</v>
      </c>
      <c r="L4917" s="5">
        <v>0</v>
      </c>
      <c r="M4917" s="4"/>
      <c r="N4917" s="4"/>
      <c r="O4917" s="5"/>
      <c r="P4917" s="5"/>
      <c r="Q4917" s="21">
        <v>240</v>
      </c>
      <c r="R4917" s="21">
        <v>0</v>
      </c>
      <c r="S4917" s="5">
        <f t="shared" si="307"/>
        <v>40293.318573026423</v>
      </c>
      <c r="T4917" cm="1">
        <f t="array" ref="T4917">IF(OR(B4917="MAL ALIMI", B4917="ÜRETİM GİRİŞ"), MIN(I4917, MAX(0, I4917 + SUM(SUMIFS($I$1:I4916, $C$1:C4916, C4917, $B$1:B4916, {"MAL ALIMI","ÜRETİM GİRİŞ"})) - VLOOKUP(C4917, 'STOK RAPORU'!$C$2:$I$1000, 4, 0))), 0)</f>
        <v>0</v>
      </c>
      <c r="U4917" s="22">
        <f t="shared" si="308"/>
        <v>0</v>
      </c>
      <c r="V4917">
        <f t="shared" si="309"/>
        <v>0</v>
      </c>
      <c r="W4917" s="22">
        <f t="shared" si="310"/>
        <v>0</v>
      </c>
    </row>
    <row r="4918" spans="1:23" hidden="1" x14ac:dyDescent="0.25">
      <c r="A4918" s="3">
        <v>46084</v>
      </c>
      <c r="B4918" s="4" t="s">
        <v>334</v>
      </c>
      <c r="C4918" s="4" t="s">
        <v>192</v>
      </c>
      <c r="D4918" s="4"/>
      <c r="E4918" s="4"/>
      <c r="F4918" s="46" t="s">
        <v>2400</v>
      </c>
      <c r="G4918" s="4" t="s">
        <v>336</v>
      </c>
      <c r="H4918" s="4" t="s">
        <v>289</v>
      </c>
      <c r="I4918" s="4">
        <v>0.24</v>
      </c>
      <c r="J4918" s="21">
        <v>417</v>
      </c>
      <c r="K4918" s="21">
        <v>0</v>
      </c>
      <c r="L4918" s="5">
        <v>0</v>
      </c>
      <c r="M4918" s="4"/>
      <c r="N4918" s="4"/>
      <c r="O4918" s="5"/>
      <c r="P4918" s="5"/>
      <c r="Q4918" s="21">
        <v>100.08</v>
      </c>
      <c r="R4918" s="21">
        <v>0</v>
      </c>
      <c r="S4918" s="5">
        <f t="shared" si="307"/>
        <v>40393.398573026425</v>
      </c>
      <c r="T4918" cm="1">
        <f t="array" ref="T4918">IF(OR(B4918="MAL ALIMI", B4918="ÜRETİM GİRİŞ"), MIN(I4918, MAX(0, I4918 + SUM(SUMIFS($I$1:I4917, $C$1:C4917, C4918, $B$1:B4917, {"MAL ALIMI","ÜRETİM GİRİŞ"})) - VLOOKUP(C4918, 'STOK RAPORU'!$C$2:$I$1000, 4, 0))), 0)</f>
        <v>0</v>
      </c>
      <c r="U4918" s="22">
        <f t="shared" si="308"/>
        <v>0</v>
      </c>
      <c r="V4918">
        <f t="shared" si="309"/>
        <v>0</v>
      </c>
      <c r="W4918" s="22">
        <f t="shared" si="310"/>
        <v>0</v>
      </c>
    </row>
    <row r="4919" spans="1:23" hidden="1" x14ac:dyDescent="0.25">
      <c r="A4919" s="3">
        <v>46084</v>
      </c>
      <c r="B4919" s="4" t="s">
        <v>334</v>
      </c>
      <c r="C4919" s="4" t="s">
        <v>60</v>
      </c>
      <c r="D4919" s="4"/>
      <c r="E4919" s="4"/>
      <c r="F4919" s="46" t="s">
        <v>2401</v>
      </c>
      <c r="G4919" s="4" t="s">
        <v>336</v>
      </c>
      <c r="H4919" s="4" t="s">
        <v>289</v>
      </c>
      <c r="I4919" s="4">
        <v>0.05</v>
      </c>
      <c r="J4919" s="21">
        <v>1200</v>
      </c>
      <c r="K4919" s="21">
        <v>0</v>
      </c>
      <c r="L4919" s="5">
        <v>0</v>
      </c>
      <c r="M4919" s="4"/>
      <c r="N4919" s="4"/>
      <c r="O4919" s="5"/>
      <c r="P4919" s="5"/>
      <c r="Q4919" s="21">
        <v>60</v>
      </c>
      <c r="R4919" s="21">
        <v>0</v>
      </c>
      <c r="S4919" s="5">
        <f t="shared" si="307"/>
        <v>40453.398573026425</v>
      </c>
      <c r="T4919" cm="1">
        <f t="array" ref="T4919">IF(OR(B4919="MAL ALIMI", B4919="ÜRETİM GİRİŞ"), MIN(I4919, MAX(0, I4919 + SUM(SUMIFS($I$1:I4918, $C$1:C4918, C4919, $B$1:B4918, {"MAL ALIMI","ÜRETİM GİRİŞ"})) - VLOOKUP(C4919, 'STOK RAPORU'!$C$2:$I$1000, 4, 0))), 0)</f>
        <v>0</v>
      </c>
      <c r="U4919" s="22">
        <f t="shared" si="308"/>
        <v>0</v>
      </c>
      <c r="V4919">
        <f t="shared" si="309"/>
        <v>0</v>
      </c>
      <c r="W4919" s="22">
        <f t="shared" si="310"/>
        <v>0</v>
      </c>
    </row>
    <row r="4920" spans="1:23" hidden="1" x14ac:dyDescent="0.25">
      <c r="A4920" s="3">
        <v>46084</v>
      </c>
      <c r="B4920" s="4" t="s">
        <v>917</v>
      </c>
      <c r="C4920" s="4"/>
      <c r="D4920" s="4"/>
      <c r="E4920" s="4" t="s">
        <v>855</v>
      </c>
      <c r="F4920" s="4"/>
      <c r="G4920" s="4" t="s">
        <v>2389</v>
      </c>
      <c r="H4920" s="4" t="s">
        <v>289</v>
      </c>
      <c r="I4920" s="4">
        <v>1</v>
      </c>
      <c r="J4920" s="21">
        <v>0</v>
      </c>
      <c r="K4920" s="21">
        <v>10000</v>
      </c>
      <c r="L4920" s="5">
        <v>0</v>
      </c>
      <c r="M4920" s="4"/>
      <c r="N4920" s="4"/>
      <c r="O4920" s="5"/>
      <c r="P4920" s="5"/>
      <c r="Q4920" s="21">
        <v>0</v>
      </c>
      <c r="R4920" s="21">
        <v>10000</v>
      </c>
      <c r="S4920" s="5">
        <f t="shared" si="307"/>
        <v>30453.398573026425</v>
      </c>
      <c r="T4920" cm="1">
        <f t="array" ref="T4920">IF(OR(B4920="MAL ALIMI", B4920="ÜRETİM GİRİŞ"), MIN(I4920, MAX(0, I4920 + SUM(SUMIFS($I$1:I4919, $C$1:C4919, C4920, $B$1:B4919, {"MAL ALIMI","ÜRETİM GİRİŞ"})) - VLOOKUP(C4920, 'STOK RAPORU'!$C$2:$I$1000, 4, 0))), 0)</f>
        <v>0</v>
      </c>
      <c r="U4920" s="22">
        <f t="shared" si="308"/>
        <v>0</v>
      </c>
      <c r="V4920">
        <f t="shared" si="309"/>
        <v>0</v>
      </c>
      <c r="W4920" s="22">
        <f t="shared" si="310"/>
        <v>0</v>
      </c>
    </row>
    <row r="4921" spans="1:23" hidden="1" x14ac:dyDescent="0.25">
      <c r="A4921" s="3">
        <v>46084</v>
      </c>
      <c r="B4921" s="4" t="s">
        <v>2344</v>
      </c>
      <c r="C4921" s="4"/>
      <c r="D4921" s="4"/>
      <c r="E4921" s="4" t="s">
        <v>2343</v>
      </c>
      <c r="F4921" s="4"/>
      <c r="G4921" s="4" t="s">
        <v>2412</v>
      </c>
      <c r="H4921" s="4" t="s">
        <v>289</v>
      </c>
      <c r="I4921" s="4">
        <v>1</v>
      </c>
      <c r="J4921" s="21">
        <v>3620</v>
      </c>
      <c r="K4921" s="21">
        <v>0</v>
      </c>
      <c r="L4921" s="5">
        <v>3620</v>
      </c>
      <c r="M4921" s="4"/>
      <c r="N4921" s="4"/>
      <c r="O4921" s="5"/>
      <c r="P4921" s="5"/>
      <c r="Q4921" s="21">
        <v>3620</v>
      </c>
      <c r="R4921" s="21">
        <v>0</v>
      </c>
      <c r="S4921" s="5">
        <f t="shared" si="307"/>
        <v>34073.398573026425</v>
      </c>
      <c r="T4921" cm="1">
        <f t="array" ref="T4921">IF(OR(B4921="MAL ALIMI", B4921="ÜRETİM GİRİŞ"), MIN(I4921, MAX(0, I4921 + SUM(SUMIFS($I$1:I4920, $C$1:C4920, C4921, $B$1:B4920, {"MAL ALIMI","ÜRETİM GİRİŞ"})) - VLOOKUP(C4921, 'STOK RAPORU'!$C$2:$I$1000, 4, 0))), 0)</f>
        <v>0</v>
      </c>
      <c r="U4921" s="22">
        <f t="shared" si="308"/>
        <v>0</v>
      </c>
      <c r="V4921">
        <f t="shared" si="309"/>
        <v>0</v>
      </c>
      <c r="W4921" s="22">
        <f t="shared" si="310"/>
        <v>0</v>
      </c>
    </row>
    <row r="4922" spans="1:23" hidden="1" x14ac:dyDescent="0.25">
      <c r="A4922" s="3">
        <v>46084</v>
      </c>
      <c r="B4922" s="4" t="s">
        <v>2344</v>
      </c>
      <c r="C4922" s="4"/>
      <c r="D4922" s="4"/>
      <c r="E4922" s="4" t="s">
        <v>2343</v>
      </c>
      <c r="F4922" s="4"/>
      <c r="G4922" s="4" t="s">
        <v>2412</v>
      </c>
      <c r="H4922" s="4" t="s">
        <v>289</v>
      </c>
      <c r="I4922" s="4">
        <v>1</v>
      </c>
      <c r="J4922" s="21">
        <v>4575</v>
      </c>
      <c r="K4922" s="21">
        <v>0</v>
      </c>
      <c r="L4922" s="5">
        <v>4575</v>
      </c>
      <c r="M4922" s="4"/>
      <c r="N4922" s="4"/>
      <c r="O4922" s="5"/>
      <c r="P4922" s="5"/>
      <c r="Q4922" s="21">
        <v>4575</v>
      </c>
      <c r="R4922" s="21">
        <v>0</v>
      </c>
      <c r="S4922" s="5">
        <f t="shared" si="307"/>
        <v>38648.398573026425</v>
      </c>
      <c r="T4922" cm="1">
        <f t="array" ref="T4922">IF(OR(B4922="MAL ALIMI", B4922="ÜRETİM GİRİŞ"), MIN(I4922, MAX(0, I4922 + SUM(SUMIFS($I$1:I4921, $C$1:C4921, C4922, $B$1:B4921, {"MAL ALIMI","ÜRETİM GİRİŞ"})) - VLOOKUP(C4922, 'STOK RAPORU'!$C$2:$I$1000, 4, 0))), 0)</f>
        <v>0</v>
      </c>
      <c r="U4922" s="22">
        <f t="shared" si="308"/>
        <v>0</v>
      </c>
      <c r="V4922">
        <f t="shared" si="309"/>
        <v>0</v>
      </c>
      <c r="W4922" s="22">
        <f t="shared" si="310"/>
        <v>0</v>
      </c>
    </row>
    <row r="4923" spans="1:23" hidden="1" x14ac:dyDescent="0.25">
      <c r="A4923" s="3">
        <v>46084</v>
      </c>
      <c r="B4923" s="4" t="s">
        <v>946</v>
      </c>
      <c r="C4923" s="4"/>
      <c r="D4923" s="4"/>
      <c r="E4923" s="4" t="s">
        <v>921</v>
      </c>
      <c r="F4923" s="4"/>
      <c r="G4923" s="4" t="s">
        <v>946</v>
      </c>
      <c r="H4923" s="4" t="s">
        <v>380</v>
      </c>
      <c r="I4923" s="4">
        <v>1</v>
      </c>
      <c r="J4923" s="105">
        <v>509</v>
      </c>
      <c r="K4923" s="21">
        <v>0</v>
      </c>
      <c r="L4923" s="111">
        <v>509</v>
      </c>
      <c r="M4923" s="21">
        <v>208</v>
      </c>
      <c r="N4923" s="4"/>
      <c r="O4923" s="5"/>
      <c r="P4923" s="5"/>
      <c r="Q4923" s="21">
        <v>509</v>
      </c>
      <c r="R4923" s="21">
        <v>0</v>
      </c>
      <c r="S4923" s="5">
        <f t="shared" si="307"/>
        <v>39157.398573026425</v>
      </c>
      <c r="T4923" cm="1">
        <f t="array" ref="T4923">IF(OR(B4923="MAL ALIMI", B4923="ÜRETİM GİRİŞ"), MIN(I4923, MAX(0, I4923 + SUM(SUMIFS($I$1:I4922, $C$1:C4922, C4923, $B$1:B4922, {"MAL ALIMI","ÜRETİM GİRİŞ"})) - VLOOKUP(C4923, 'STOK RAPORU'!$C$2:$I$1000, 4, 0))), 0)</f>
        <v>0</v>
      </c>
      <c r="U4923" s="22">
        <f t="shared" si="308"/>
        <v>0</v>
      </c>
      <c r="V4923">
        <f t="shared" si="309"/>
        <v>0</v>
      </c>
      <c r="W4923" s="22">
        <f t="shared" si="310"/>
        <v>0</v>
      </c>
    </row>
    <row r="4924" spans="1:23" hidden="1" x14ac:dyDescent="0.25">
      <c r="A4924" s="3">
        <v>46084</v>
      </c>
      <c r="B4924" s="4" t="s">
        <v>946</v>
      </c>
      <c r="C4924" s="4"/>
      <c r="D4924" s="4"/>
      <c r="E4924" s="4" t="s">
        <v>921</v>
      </c>
      <c r="F4924" s="4"/>
      <c r="G4924" s="4" t="s">
        <v>946</v>
      </c>
      <c r="H4924" s="4" t="s">
        <v>380</v>
      </c>
      <c r="I4924" s="4">
        <v>1</v>
      </c>
      <c r="J4924" s="105">
        <v>675</v>
      </c>
      <c r="K4924" s="21">
        <v>0</v>
      </c>
      <c r="L4924" s="111">
        <v>675</v>
      </c>
      <c r="M4924" s="4"/>
      <c r="N4924" s="4"/>
      <c r="O4924" s="5"/>
      <c r="P4924" s="5"/>
      <c r="Q4924" s="21">
        <v>675</v>
      </c>
      <c r="R4924" s="21">
        <v>0</v>
      </c>
      <c r="S4924" s="5">
        <f t="shared" si="307"/>
        <v>39832.398573026425</v>
      </c>
      <c r="T4924" cm="1">
        <f t="array" ref="T4924">IF(OR(B4924="MAL ALIMI", B4924="ÜRETİM GİRİŞ"), MIN(I4924, MAX(0, I4924 + SUM(SUMIFS($I$1:I4923, $C$1:C4923, C4924, $B$1:B4923, {"MAL ALIMI","ÜRETİM GİRİŞ"})) - VLOOKUP(C4924, 'STOK RAPORU'!$C$2:$I$1000, 4, 0))), 0)</f>
        <v>0</v>
      </c>
      <c r="U4924" s="22">
        <f t="shared" si="308"/>
        <v>0</v>
      </c>
      <c r="V4924">
        <f t="shared" si="309"/>
        <v>0</v>
      </c>
      <c r="W4924" s="22">
        <f t="shared" si="310"/>
        <v>0</v>
      </c>
    </row>
    <row r="4925" spans="1:23" hidden="1" x14ac:dyDescent="0.25">
      <c r="A4925" s="3">
        <v>46085</v>
      </c>
      <c r="B4925" s="4" t="s">
        <v>298</v>
      </c>
      <c r="C4925" s="4" t="s">
        <v>717</v>
      </c>
      <c r="D4925" s="4"/>
      <c r="E4925" s="4" t="s">
        <v>856</v>
      </c>
      <c r="F4925" s="4" t="s">
        <v>2678</v>
      </c>
      <c r="G4925" s="4" t="s">
        <v>753</v>
      </c>
      <c r="H4925" s="4" t="s">
        <v>1329</v>
      </c>
      <c r="I4925" s="4">
        <v>3</v>
      </c>
      <c r="J4925" s="21">
        <v>237.44</v>
      </c>
      <c r="K4925" s="21">
        <v>0</v>
      </c>
      <c r="L4925" s="5">
        <v>712.31999999999994</v>
      </c>
      <c r="M4925" s="4"/>
      <c r="N4925" s="4"/>
      <c r="O4925" s="5"/>
      <c r="P4925" s="5"/>
      <c r="Q4925" s="21">
        <v>0</v>
      </c>
      <c r="R4925" s="21">
        <v>0</v>
      </c>
      <c r="S4925" s="5">
        <f t="shared" si="307"/>
        <v>39832.398573026425</v>
      </c>
      <c r="T4925" cm="1">
        <f t="array" ref="T4925">IF(OR(B4925="MAL ALIMI", B4925="ÜRETİM GİRİŞ"), MIN(I4925, MAX(0, I4925 + SUM(SUMIFS($I$1:I4924, $C$1:C4924, C4925, $B$1:B4924, {"MAL ALIMI","ÜRETİM GİRİŞ"})) - VLOOKUP(C4925, 'STOK RAPORU'!$C$2:$I$1000, 4, 0))), 0)</f>
        <v>2</v>
      </c>
      <c r="U4925" s="22">
        <f t="shared" si="308"/>
        <v>474.88</v>
      </c>
      <c r="V4925">
        <f t="shared" si="309"/>
        <v>712.31999999999994</v>
      </c>
      <c r="W4925" s="22">
        <f t="shared" si="310"/>
        <v>237.43999999999994</v>
      </c>
    </row>
    <row r="4926" spans="1:23" hidden="1" x14ac:dyDescent="0.25">
      <c r="A4926" s="3">
        <v>46085</v>
      </c>
      <c r="B4926" s="4" t="s">
        <v>298</v>
      </c>
      <c r="C4926" s="4" t="s">
        <v>2440</v>
      </c>
      <c r="D4926" s="4"/>
      <c r="E4926" s="4" t="s">
        <v>856</v>
      </c>
      <c r="F4926" s="4" t="s">
        <v>2679</v>
      </c>
      <c r="G4926" s="4" t="s">
        <v>753</v>
      </c>
      <c r="H4926" s="4" t="s">
        <v>1329</v>
      </c>
      <c r="I4926" s="4">
        <v>8</v>
      </c>
      <c r="J4926" s="21">
        <v>69.95</v>
      </c>
      <c r="K4926" s="21">
        <v>0</v>
      </c>
      <c r="L4926" s="5">
        <v>559.6</v>
      </c>
      <c r="M4926" s="4"/>
      <c r="N4926" s="4"/>
      <c r="O4926" s="5"/>
      <c r="P4926" s="5"/>
      <c r="Q4926" s="21">
        <v>0</v>
      </c>
      <c r="R4926" s="21">
        <v>0</v>
      </c>
      <c r="S4926" s="5">
        <f t="shared" si="307"/>
        <v>39832.398573026425</v>
      </c>
      <c r="T4926" cm="1">
        <f t="array" ref="T4926">IF(OR(B4926="MAL ALIMI", B4926="ÜRETİM GİRİŞ"), MIN(I4926, MAX(0, I4926 + SUM(SUMIFS($I$1:I4925, $C$1:C4925, C4926, $B$1:B4925, {"MAL ALIMI","ÜRETİM GİRİŞ"})) - VLOOKUP(C4926, 'STOK RAPORU'!$C$2:$I$1000, 4, 0))), 0)</f>
        <v>8</v>
      </c>
      <c r="U4926" s="22">
        <f t="shared" si="308"/>
        <v>559.6</v>
      </c>
      <c r="V4926">
        <f t="shared" si="309"/>
        <v>559.6</v>
      </c>
      <c r="W4926" s="22">
        <f t="shared" si="310"/>
        <v>0</v>
      </c>
    </row>
    <row r="4927" spans="1:23" hidden="1" x14ac:dyDescent="0.25">
      <c r="A4927" s="3">
        <v>46085</v>
      </c>
      <c r="B4927" s="4" t="s">
        <v>298</v>
      </c>
      <c r="C4927" s="4" t="s">
        <v>767</v>
      </c>
      <c r="D4927" s="4"/>
      <c r="E4927" s="4" t="s">
        <v>856</v>
      </c>
      <c r="F4927" s="4" t="s">
        <v>2680</v>
      </c>
      <c r="G4927" s="4" t="s">
        <v>753</v>
      </c>
      <c r="H4927" s="4" t="s">
        <v>1329</v>
      </c>
      <c r="I4927" s="4">
        <v>6</v>
      </c>
      <c r="J4927" s="21">
        <v>127.62</v>
      </c>
      <c r="K4927" s="21">
        <v>0</v>
      </c>
      <c r="L4927" s="5">
        <v>765.72</v>
      </c>
      <c r="M4927" s="4"/>
      <c r="N4927" s="4"/>
      <c r="O4927" s="5"/>
      <c r="P4927" s="5"/>
      <c r="Q4927" s="21">
        <v>0</v>
      </c>
      <c r="R4927" s="21">
        <v>0</v>
      </c>
      <c r="S4927" s="5">
        <f t="shared" si="307"/>
        <v>39832.398573026425</v>
      </c>
      <c r="T4927" cm="1">
        <f t="array" ref="T4927">IF(OR(B4927="MAL ALIMI", B4927="ÜRETİM GİRİŞ"), MIN(I4927, MAX(0, I4927 + SUM(SUMIFS($I$1:I4926, $C$1:C4926, C4927, $B$1:B4926, {"MAL ALIMI","ÜRETİM GİRİŞ"})) - VLOOKUP(C4927, 'STOK RAPORU'!$C$2:$I$1000, 4, 0))), 0)</f>
        <v>5</v>
      </c>
      <c r="U4927" s="22">
        <f t="shared" si="308"/>
        <v>638.1</v>
      </c>
      <c r="V4927">
        <f t="shared" si="309"/>
        <v>765.72</v>
      </c>
      <c r="W4927" s="22">
        <f t="shared" si="310"/>
        <v>127.62</v>
      </c>
    </row>
    <row r="4928" spans="1:23" hidden="1" x14ac:dyDescent="0.25">
      <c r="A4928" s="3">
        <v>46085</v>
      </c>
      <c r="B4928" s="4" t="s">
        <v>334</v>
      </c>
      <c r="C4928" s="4" t="s">
        <v>3167</v>
      </c>
      <c r="D4928" s="4"/>
      <c r="E4928" s="4"/>
      <c r="F4928" s="46" t="s">
        <v>2403</v>
      </c>
      <c r="G4928" s="4" t="s">
        <v>336</v>
      </c>
      <c r="H4928" s="4" t="s">
        <v>289</v>
      </c>
      <c r="I4928" s="4">
        <v>6.5000000000000002E-2</v>
      </c>
      <c r="J4928" s="21">
        <v>400</v>
      </c>
      <c r="K4928" s="21">
        <v>0</v>
      </c>
      <c r="L4928" s="5">
        <v>0</v>
      </c>
      <c r="M4928" s="4"/>
      <c r="N4928" s="4"/>
      <c r="O4928" s="5"/>
      <c r="P4928" s="5"/>
      <c r="Q4928" s="21">
        <v>26</v>
      </c>
      <c r="R4928" s="21">
        <v>0</v>
      </c>
      <c r="S4928" s="5">
        <f t="shared" si="307"/>
        <v>39858.398573026425</v>
      </c>
      <c r="T4928" cm="1">
        <f t="array" ref="T4928">IF(OR(B4928="MAL ALIMI", B4928="ÜRETİM GİRİŞ"), MIN(I4928, MAX(0, I4928 + SUM(SUMIFS($I$1:I4927, $C$1:C4927, C4928, $B$1:B4927, {"MAL ALIMI","ÜRETİM GİRİŞ"})) - VLOOKUP(C4928, 'STOK RAPORU'!$C$2:$I$1000, 4, 0))), 0)</f>
        <v>0</v>
      </c>
      <c r="U4928" s="22">
        <f t="shared" si="308"/>
        <v>0</v>
      </c>
      <c r="V4928">
        <f t="shared" si="309"/>
        <v>0</v>
      </c>
      <c r="W4928" s="22">
        <f t="shared" si="310"/>
        <v>0</v>
      </c>
    </row>
    <row r="4929" spans="1:23" hidden="1" x14ac:dyDescent="0.25">
      <c r="A4929" s="3">
        <v>46085</v>
      </c>
      <c r="B4929" s="4" t="s">
        <v>334</v>
      </c>
      <c r="C4929" s="4" t="s">
        <v>463</v>
      </c>
      <c r="D4929" s="4"/>
      <c r="E4929" s="4"/>
      <c r="F4929" s="46" t="s">
        <v>2403</v>
      </c>
      <c r="G4929" s="4" t="s">
        <v>336</v>
      </c>
      <c r="H4929" s="4" t="s">
        <v>289</v>
      </c>
      <c r="I4929" s="4">
        <v>0.13</v>
      </c>
      <c r="J4929" s="21">
        <v>400</v>
      </c>
      <c r="K4929" s="21">
        <v>0</v>
      </c>
      <c r="L4929" s="5">
        <v>0</v>
      </c>
      <c r="M4929" s="4"/>
      <c r="N4929" s="4"/>
      <c r="O4929" s="5"/>
      <c r="P4929" s="5"/>
      <c r="Q4929" s="21">
        <v>52</v>
      </c>
      <c r="R4929" s="21">
        <v>0</v>
      </c>
      <c r="S4929" s="5">
        <f t="shared" si="307"/>
        <v>39910.398573026425</v>
      </c>
      <c r="T4929" cm="1">
        <f t="array" ref="T4929">IF(OR(B4929="MAL ALIMI", B4929="ÜRETİM GİRİŞ"), MIN(I4929, MAX(0, I4929 + SUM(SUMIFS($I$1:I4928, $C$1:C4928, C4929, $B$1:B4928, {"MAL ALIMI","ÜRETİM GİRİŞ"})) - VLOOKUP(C4929, 'STOK RAPORU'!$C$2:$I$1000, 4, 0))), 0)</f>
        <v>0</v>
      </c>
      <c r="U4929" s="22">
        <f t="shared" si="308"/>
        <v>0</v>
      </c>
      <c r="V4929">
        <f t="shared" si="309"/>
        <v>0</v>
      </c>
      <c r="W4929" s="22">
        <f t="shared" si="310"/>
        <v>0</v>
      </c>
    </row>
    <row r="4930" spans="1:23" hidden="1" x14ac:dyDescent="0.25">
      <c r="A4930" s="3">
        <v>46085</v>
      </c>
      <c r="B4930" s="4" t="s">
        <v>334</v>
      </c>
      <c r="C4930" s="4" t="s">
        <v>137</v>
      </c>
      <c r="D4930" s="4"/>
      <c r="E4930" s="4"/>
      <c r="F4930" s="46" t="s">
        <v>2404</v>
      </c>
      <c r="G4930" s="4" t="s">
        <v>336</v>
      </c>
      <c r="H4930" s="4" t="s">
        <v>289</v>
      </c>
      <c r="I4930" s="4">
        <v>0.83399999999999996</v>
      </c>
      <c r="J4930" s="21">
        <v>180</v>
      </c>
      <c r="K4930" s="21">
        <v>0</v>
      </c>
      <c r="L4930" s="5">
        <v>0</v>
      </c>
      <c r="M4930" s="4"/>
      <c r="N4930" s="4"/>
      <c r="O4930" s="5"/>
      <c r="P4930" s="5"/>
      <c r="Q4930" s="21">
        <v>150.12</v>
      </c>
      <c r="R4930" s="21">
        <v>0</v>
      </c>
      <c r="S4930" s="5">
        <f t="shared" si="307"/>
        <v>40060.518573026427</v>
      </c>
      <c r="T4930" cm="1">
        <f t="array" ref="T4930">IF(OR(B4930="MAL ALIMI", B4930="ÜRETİM GİRİŞ"), MIN(I4930, MAX(0, I4930 + SUM(SUMIFS($I$1:I4929, $C$1:C4929, C4930, $B$1:B4929, {"MAL ALIMI","ÜRETİM GİRİŞ"})) - VLOOKUP(C4930, 'STOK RAPORU'!$C$2:$I$1000, 4, 0))), 0)</f>
        <v>0</v>
      </c>
      <c r="U4930" s="22">
        <f t="shared" si="308"/>
        <v>0</v>
      </c>
      <c r="V4930">
        <f t="shared" si="309"/>
        <v>0</v>
      </c>
      <c r="W4930" s="22">
        <f t="shared" si="310"/>
        <v>0</v>
      </c>
    </row>
    <row r="4931" spans="1:23" hidden="1" x14ac:dyDescent="0.25">
      <c r="A4931" s="3">
        <v>46085</v>
      </c>
      <c r="B4931" s="4" t="s">
        <v>334</v>
      </c>
      <c r="C4931" s="4" t="s">
        <v>463</v>
      </c>
      <c r="D4931" s="4"/>
      <c r="E4931" s="4"/>
      <c r="F4931" s="46" t="s">
        <v>2404</v>
      </c>
      <c r="G4931" s="4" t="s">
        <v>336</v>
      </c>
      <c r="H4931" s="4" t="s">
        <v>289</v>
      </c>
      <c r="I4931" s="4">
        <v>0.13750000000000001</v>
      </c>
      <c r="J4931" s="21">
        <v>400</v>
      </c>
      <c r="K4931" s="21">
        <v>0</v>
      </c>
      <c r="L4931" s="5">
        <v>0</v>
      </c>
      <c r="M4931" s="4"/>
      <c r="N4931" s="4"/>
      <c r="O4931" s="5"/>
      <c r="P4931" s="5"/>
      <c r="Q4931" s="21">
        <v>55.000000000000007</v>
      </c>
      <c r="R4931" s="21">
        <v>0</v>
      </c>
      <c r="S4931" s="5">
        <f t="shared" si="307"/>
        <v>40115.518573026427</v>
      </c>
      <c r="T4931" cm="1">
        <f t="array" ref="T4931">IF(OR(B4931="MAL ALIMI", B4931="ÜRETİM GİRİŞ"), MIN(I4931, MAX(0, I4931 + SUM(SUMIFS($I$1:I4930, $C$1:C4930, C4931, $B$1:B4930, {"MAL ALIMI","ÜRETİM GİRİŞ"})) - VLOOKUP(C4931, 'STOK RAPORU'!$C$2:$I$1000, 4, 0))), 0)</f>
        <v>0</v>
      </c>
      <c r="U4931" s="22">
        <f t="shared" si="308"/>
        <v>0</v>
      </c>
      <c r="V4931">
        <f t="shared" si="309"/>
        <v>0</v>
      </c>
      <c r="W4931" s="22">
        <f t="shared" si="310"/>
        <v>0</v>
      </c>
    </row>
    <row r="4932" spans="1:23" hidden="1" x14ac:dyDescent="0.25">
      <c r="A4932" s="3">
        <v>46085</v>
      </c>
      <c r="B4932" s="4" t="s">
        <v>334</v>
      </c>
      <c r="C4932" s="4" t="s">
        <v>160</v>
      </c>
      <c r="D4932" s="4"/>
      <c r="E4932" s="4" t="s">
        <v>921</v>
      </c>
      <c r="F4932" s="46" t="s">
        <v>2405</v>
      </c>
      <c r="G4932" s="4" t="s">
        <v>336</v>
      </c>
      <c r="H4932" s="4" t="s">
        <v>380</v>
      </c>
      <c r="I4932" s="4">
        <v>0.5</v>
      </c>
      <c r="J4932" s="21">
        <v>250</v>
      </c>
      <c r="K4932" s="21">
        <v>125</v>
      </c>
      <c r="L4932" s="5">
        <v>0</v>
      </c>
      <c r="M4932" s="4"/>
      <c r="N4932" s="4"/>
      <c r="O4932" s="5"/>
      <c r="P4932" s="5"/>
      <c r="Q4932" s="21">
        <v>0</v>
      </c>
      <c r="R4932" s="21">
        <v>0</v>
      </c>
      <c r="S4932" s="5">
        <f t="shared" ref="S4932:S4995" si="311">S4931+Q4932-R4932</f>
        <v>40115.518573026427</v>
      </c>
      <c r="T4932" cm="1">
        <f t="array" ref="T4932">IF(OR(B4932="MAL ALIMI", B4932="ÜRETİM GİRİŞ"), MIN(I4932, MAX(0, I4932 + SUM(SUMIFS($I$1:I4931, $C$1:C4931, C4932, $B$1:B4931, {"MAL ALIMI","ÜRETİM GİRİŞ"})) - VLOOKUP(C4932, 'STOK RAPORU'!$C$2:$I$1000, 4, 0))), 0)</f>
        <v>0</v>
      </c>
      <c r="U4932" s="22">
        <f t="shared" si="308"/>
        <v>0</v>
      </c>
      <c r="V4932">
        <f t="shared" si="309"/>
        <v>0</v>
      </c>
      <c r="W4932" s="22">
        <f t="shared" si="310"/>
        <v>0</v>
      </c>
    </row>
    <row r="4933" spans="1:23" hidden="1" x14ac:dyDescent="0.25">
      <c r="A4933" s="3">
        <v>46085</v>
      </c>
      <c r="B4933" s="4" t="s">
        <v>334</v>
      </c>
      <c r="C4933" s="4" t="s">
        <v>161</v>
      </c>
      <c r="D4933" s="4"/>
      <c r="E4933" s="4" t="s">
        <v>921</v>
      </c>
      <c r="F4933" s="46" t="s">
        <v>2405</v>
      </c>
      <c r="G4933" s="4" t="s">
        <v>336</v>
      </c>
      <c r="H4933" s="4" t="s">
        <v>380</v>
      </c>
      <c r="I4933" s="4">
        <v>0.5</v>
      </c>
      <c r="J4933" s="21">
        <v>230</v>
      </c>
      <c r="K4933" s="21">
        <v>115</v>
      </c>
      <c r="L4933" s="5">
        <v>0</v>
      </c>
      <c r="M4933" s="4"/>
      <c r="N4933" s="4"/>
      <c r="O4933" s="5"/>
      <c r="P4933" s="5"/>
      <c r="Q4933" s="21">
        <v>0</v>
      </c>
      <c r="R4933" s="21">
        <v>0</v>
      </c>
      <c r="S4933" s="5">
        <f t="shared" si="311"/>
        <v>40115.518573026427</v>
      </c>
      <c r="T4933" cm="1">
        <f t="array" ref="T4933">IF(OR(B4933="MAL ALIMI", B4933="ÜRETİM GİRİŞ"), MIN(I4933, MAX(0, I4933 + SUM(SUMIFS($I$1:I4932, $C$1:C4932, C4933, $B$1:B4932, {"MAL ALIMI","ÜRETİM GİRİŞ"})) - VLOOKUP(C4933, 'STOK RAPORU'!$C$2:$I$1000, 4, 0))), 0)</f>
        <v>0</v>
      </c>
      <c r="U4933" s="22">
        <f t="shared" si="308"/>
        <v>0</v>
      </c>
      <c r="V4933">
        <f t="shared" si="309"/>
        <v>0</v>
      </c>
      <c r="W4933" s="22">
        <f t="shared" si="310"/>
        <v>0</v>
      </c>
    </row>
    <row r="4934" spans="1:23" hidden="1" x14ac:dyDescent="0.25">
      <c r="A4934" s="3">
        <v>46085</v>
      </c>
      <c r="B4934" s="4" t="s">
        <v>334</v>
      </c>
      <c r="C4934" s="4" t="s">
        <v>1634</v>
      </c>
      <c r="D4934" s="4"/>
      <c r="E4934" s="4"/>
      <c r="F4934" s="46" t="s">
        <v>2406</v>
      </c>
      <c r="G4934" s="4" t="s">
        <v>336</v>
      </c>
      <c r="H4934" s="4" t="s">
        <v>289</v>
      </c>
      <c r="I4934" s="4">
        <v>0.5</v>
      </c>
      <c r="J4934" s="21">
        <v>400</v>
      </c>
      <c r="K4934" s="21">
        <v>0</v>
      </c>
      <c r="L4934" s="5">
        <v>0</v>
      </c>
      <c r="M4934" s="4"/>
      <c r="N4934" s="4"/>
      <c r="O4934" s="5"/>
      <c r="P4934" s="5"/>
      <c r="Q4934" s="21">
        <v>200</v>
      </c>
      <c r="R4934" s="21">
        <v>0</v>
      </c>
      <c r="S4934" s="5">
        <f t="shared" si="311"/>
        <v>40315.518573026427</v>
      </c>
      <c r="T4934" cm="1">
        <f t="array" ref="T4934">IF(OR(B4934="MAL ALIMI", B4934="ÜRETİM GİRİŞ"), MIN(I4934, MAX(0, I4934 + SUM(SUMIFS($I$1:I4933, $C$1:C4933, C4934, $B$1:B4933, {"MAL ALIMI","ÜRETİM GİRİŞ"})) - VLOOKUP(C4934, 'STOK RAPORU'!$C$2:$I$1000, 4, 0))), 0)</f>
        <v>0</v>
      </c>
      <c r="U4934" s="22">
        <f t="shared" si="308"/>
        <v>0</v>
      </c>
      <c r="V4934">
        <f t="shared" si="309"/>
        <v>0</v>
      </c>
      <c r="W4934" s="22">
        <f t="shared" si="310"/>
        <v>0</v>
      </c>
    </row>
    <row r="4935" spans="1:23" hidden="1" x14ac:dyDescent="0.25">
      <c r="A4935" s="3">
        <v>46085</v>
      </c>
      <c r="B4935" s="4" t="s">
        <v>334</v>
      </c>
      <c r="C4935" s="4" t="s">
        <v>827</v>
      </c>
      <c r="D4935" s="4"/>
      <c r="E4935" s="4" t="s">
        <v>921</v>
      </c>
      <c r="F4935" s="46" t="s">
        <v>2407</v>
      </c>
      <c r="G4935" s="4" t="s">
        <v>336</v>
      </c>
      <c r="H4935" s="4" t="s">
        <v>380</v>
      </c>
      <c r="I4935" s="4">
        <v>1</v>
      </c>
      <c r="J4935" s="21">
        <v>130</v>
      </c>
      <c r="K4935" s="21">
        <v>130</v>
      </c>
      <c r="L4935" s="5">
        <v>0</v>
      </c>
      <c r="M4935" s="4"/>
      <c r="N4935" s="4"/>
      <c r="O4935" s="5"/>
      <c r="P4935" s="5"/>
      <c r="Q4935" s="21">
        <v>0</v>
      </c>
      <c r="R4935" s="21">
        <v>0</v>
      </c>
      <c r="S4935" s="5">
        <f t="shared" si="311"/>
        <v>40315.518573026427</v>
      </c>
      <c r="T4935" cm="1">
        <f t="array" ref="T4935">IF(OR(B4935="MAL ALIMI", B4935="ÜRETİM GİRİŞ"), MIN(I4935, MAX(0, I4935 + SUM(SUMIFS($I$1:I4934, $C$1:C4934, C4935, $B$1:B4934, {"MAL ALIMI","ÜRETİM GİRİŞ"})) - VLOOKUP(C4935, 'STOK RAPORU'!$C$2:$I$1000, 4, 0))), 0)</f>
        <v>0</v>
      </c>
      <c r="U4935" s="22">
        <f t="shared" si="308"/>
        <v>0</v>
      </c>
      <c r="V4935">
        <f t="shared" si="309"/>
        <v>0</v>
      </c>
      <c r="W4935" s="22">
        <f t="shared" si="310"/>
        <v>0</v>
      </c>
    </row>
    <row r="4936" spans="1:23" hidden="1" x14ac:dyDescent="0.25">
      <c r="A4936" s="3">
        <v>46085</v>
      </c>
      <c r="B4936" s="4" t="s">
        <v>334</v>
      </c>
      <c r="C4936" s="4" t="s">
        <v>131</v>
      </c>
      <c r="D4936" s="4"/>
      <c r="E4936" s="4"/>
      <c r="F4936" s="46" t="s">
        <v>2408</v>
      </c>
      <c r="G4936" s="4" t="s">
        <v>336</v>
      </c>
      <c r="H4936" s="4" t="s">
        <v>289</v>
      </c>
      <c r="I4936" s="4">
        <v>0.125</v>
      </c>
      <c r="J4936" s="21">
        <v>400</v>
      </c>
      <c r="K4936" s="21">
        <v>0</v>
      </c>
      <c r="L4936" s="5">
        <v>0</v>
      </c>
      <c r="M4936" s="4"/>
      <c r="N4936" s="4"/>
      <c r="O4936" s="5"/>
      <c r="P4936" s="5"/>
      <c r="Q4936" s="21">
        <v>50</v>
      </c>
      <c r="R4936" s="21">
        <v>0</v>
      </c>
      <c r="S4936" s="5">
        <f t="shared" si="311"/>
        <v>40365.518573026427</v>
      </c>
      <c r="T4936" cm="1">
        <f t="array" ref="T4936">IF(OR(B4936="MAL ALIMI", B4936="ÜRETİM GİRİŞ"), MIN(I4936, MAX(0, I4936 + SUM(SUMIFS($I$1:I4935, $C$1:C4935, C4936, $B$1:B4935, {"MAL ALIMI","ÜRETİM GİRİŞ"})) - VLOOKUP(C4936, 'STOK RAPORU'!$C$2:$I$1000, 4, 0))), 0)</f>
        <v>0</v>
      </c>
      <c r="U4936" s="22">
        <f t="shared" si="308"/>
        <v>0</v>
      </c>
      <c r="V4936">
        <f t="shared" si="309"/>
        <v>0</v>
      </c>
      <c r="W4936" s="22">
        <f t="shared" si="310"/>
        <v>0</v>
      </c>
    </row>
    <row r="4937" spans="1:23" hidden="1" x14ac:dyDescent="0.25">
      <c r="A4937" s="3">
        <v>46085</v>
      </c>
      <c r="B4937" s="4" t="s">
        <v>334</v>
      </c>
      <c r="C4937" s="4" t="s">
        <v>651</v>
      </c>
      <c r="D4937" s="4"/>
      <c r="E4937" s="4"/>
      <c r="F4937" s="46" t="s">
        <v>2409</v>
      </c>
      <c r="G4937" s="4" t="s">
        <v>336</v>
      </c>
      <c r="H4937" s="4" t="s">
        <v>289</v>
      </c>
      <c r="I4937" s="4">
        <v>1</v>
      </c>
      <c r="J4937" s="21">
        <v>400</v>
      </c>
      <c r="K4937" s="21">
        <v>0</v>
      </c>
      <c r="L4937" s="5">
        <v>0</v>
      </c>
      <c r="M4937" s="4"/>
      <c r="N4937" s="4"/>
      <c r="O4937" s="5"/>
      <c r="P4937" s="5"/>
      <c r="Q4937" s="21">
        <v>400</v>
      </c>
      <c r="R4937" s="21">
        <v>0</v>
      </c>
      <c r="S4937" s="5">
        <f t="shared" si="311"/>
        <v>40765.518573026427</v>
      </c>
      <c r="T4937" cm="1">
        <f t="array" ref="T4937">IF(OR(B4937="MAL ALIMI", B4937="ÜRETİM GİRİŞ"), MIN(I4937, MAX(0, I4937 + SUM(SUMIFS($I$1:I4936, $C$1:C4936, C4937, $B$1:B4936, {"MAL ALIMI","ÜRETİM GİRİŞ"})) - VLOOKUP(C4937, 'STOK RAPORU'!$C$2:$I$1000, 4, 0))), 0)</f>
        <v>0</v>
      </c>
      <c r="U4937" s="22">
        <f t="shared" si="308"/>
        <v>0</v>
      </c>
      <c r="V4937">
        <f t="shared" si="309"/>
        <v>0</v>
      </c>
      <c r="W4937" s="22">
        <f t="shared" si="310"/>
        <v>0</v>
      </c>
    </row>
    <row r="4938" spans="1:23" hidden="1" x14ac:dyDescent="0.25">
      <c r="A4938" s="3">
        <v>46085</v>
      </c>
      <c r="B4938" s="4" t="s">
        <v>334</v>
      </c>
      <c r="C4938" s="4" t="s">
        <v>1127</v>
      </c>
      <c r="D4938" s="4"/>
      <c r="E4938" s="4" t="s">
        <v>921</v>
      </c>
      <c r="F4938" s="46" t="s">
        <v>2410</v>
      </c>
      <c r="G4938" s="4" t="s">
        <v>336</v>
      </c>
      <c r="H4938" s="4" t="s">
        <v>380</v>
      </c>
      <c r="I4938" s="4">
        <v>1</v>
      </c>
      <c r="J4938" s="21">
        <v>350</v>
      </c>
      <c r="K4938" s="21">
        <v>350</v>
      </c>
      <c r="L4938" s="5">
        <v>0</v>
      </c>
      <c r="M4938" s="4"/>
      <c r="N4938" s="4"/>
      <c r="O4938" s="5"/>
      <c r="P4938" s="5"/>
      <c r="Q4938" s="21">
        <v>0</v>
      </c>
      <c r="R4938" s="21">
        <v>0</v>
      </c>
      <c r="S4938" s="5">
        <f t="shared" si="311"/>
        <v>40765.518573026427</v>
      </c>
      <c r="T4938" cm="1">
        <f t="array" ref="T4938">IF(OR(B4938="MAL ALIMI", B4938="ÜRETİM GİRİŞ"), MIN(I4938, MAX(0, I4938 + SUM(SUMIFS($I$1:I4937, $C$1:C4937, C4938, $B$1:B4937, {"MAL ALIMI","ÜRETİM GİRİŞ"})) - VLOOKUP(C4938, 'STOK RAPORU'!$C$2:$I$1000, 4, 0))), 0)</f>
        <v>0</v>
      </c>
      <c r="U4938" s="22">
        <f t="shared" si="308"/>
        <v>0</v>
      </c>
      <c r="V4938">
        <f t="shared" si="309"/>
        <v>0</v>
      </c>
      <c r="W4938" s="22">
        <f t="shared" si="310"/>
        <v>0</v>
      </c>
    </row>
    <row r="4939" spans="1:23" hidden="1" x14ac:dyDescent="0.25">
      <c r="A4939" s="3">
        <v>46085</v>
      </c>
      <c r="B4939" s="4" t="s">
        <v>334</v>
      </c>
      <c r="C4939" s="4" t="s">
        <v>132</v>
      </c>
      <c r="D4939" s="4"/>
      <c r="E4939" s="4" t="s">
        <v>921</v>
      </c>
      <c r="F4939" s="46" t="s">
        <v>2410</v>
      </c>
      <c r="G4939" s="4" t="s">
        <v>336</v>
      </c>
      <c r="H4939" s="4" t="s">
        <v>380</v>
      </c>
      <c r="I4939" s="4">
        <v>0.16</v>
      </c>
      <c r="J4939" s="21">
        <v>500</v>
      </c>
      <c r="K4939" s="21">
        <v>80</v>
      </c>
      <c r="L4939" s="5">
        <v>0</v>
      </c>
      <c r="M4939" s="4"/>
      <c r="N4939" s="4"/>
      <c r="O4939" s="5"/>
      <c r="P4939" s="5"/>
      <c r="Q4939" s="21">
        <v>0</v>
      </c>
      <c r="R4939" s="21">
        <v>0</v>
      </c>
      <c r="S4939" s="5">
        <f t="shared" si="311"/>
        <v>40765.518573026427</v>
      </c>
      <c r="T4939" cm="1">
        <f t="array" ref="T4939">IF(OR(B4939="MAL ALIMI", B4939="ÜRETİM GİRİŞ"), MIN(I4939, MAX(0, I4939 + SUM(SUMIFS($I$1:I4938, $C$1:C4938, C4939, $B$1:B4938, {"MAL ALIMI","ÜRETİM GİRİŞ"})) - VLOOKUP(C4939, 'STOK RAPORU'!$C$2:$I$1000, 4, 0))), 0)</f>
        <v>0</v>
      </c>
      <c r="U4939" s="22">
        <f t="shared" si="308"/>
        <v>0</v>
      </c>
      <c r="V4939">
        <f t="shared" si="309"/>
        <v>0</v>
      </c>
      <c r="W4939" s="22">
        <f t="shared" si="310"/>
        <v>0</v>
      </c>
    </row>
    <row r="4940" spans="1:23" hidden="1" x14ac:dyDescent="0.25">
      <c r="A4940" s="3">
        <v>46085</v>
      </c>
      <c r="B4940" s="4" t="s">
        <v>334</v>
      </c>
      <c r="C4940" s="4" t="s">
        <v>267</v>
      </c>
      <c r="D4940" s="4"/>
      <c r="E4940" s="4"/>
      <c r="F4940" s="46" t="s">
        <v>2411</v>
      </c>
      <c r="G4940" s="4" t="s">
        <v>336</v>
      </c>
      <c r="H4940" s="4" t="s">
        <v>289</v>
      </c>
      <c r="I4940" s="4">
        <v>1</v>
      </c>
      <c r="J4940" s="21">
        <v>190</v>
      </c>
      <c r="K4940" s="21">
        <v>0</v>
      </c>
      <c r="L4940" s="5">
        <v>0</v>
      </c>
      <c r="M4940" s="4"/>
      <c r="N4940" s="4"/>
      <c r="O4940" s="5"/>
      <c r="P4940" s="5"/>
      <c r="Q4940" s="21">
        <v>190</v>
      </c>
      <c r="R4940" s="21">
        <v>0</v>
      </c>
      <c r="S4940" s="5">
        <f t="shared" si="311"/>
        <v>40955.518573026427</v>
      </c>
      <c r="T4940" cm="1">
        <f t="array" ref="T4940">IF(OR(B4940="MAL ALIMI", B4940="ÜRETİM GİRİŞ"), MIN(I4940, MAX(0, I4940 + SUM(SUMIFS($I$1:I4939, $C$1:C4939, C4940, $B$1:B4939, {"MAL ALIMI","ÜRETİM GİRİŞ"})) - VLOOKUP(C4940, 'STOK RAPORU'!$C$2:$I$1000, 4, 0))), 0)</f>
        <v>0</v>
      </c>
      <c r="U4940" s="22">
        <f t="shared" si="308"/>
        <v>0</v>
      </c>
      <c r="V4940">
        <f t="shared" si="309"/>
        <v>0</v>
      </c>
      <c r="W4940" s="22">
        <f t="shared" si="310"/>
        <v>0</v>
      </c>
    </row>
    <row r="4941" spans="1:23" hidden="1" x14ac:dyDescent="0.25">
      <c r="A4941" s="3">
        <v>46085</v>
      </c>
      <c r="B4941" s="4" t="s">
        <v>334</v>
      </c>
      <c r="C4941" s="4" t="s">
        <v>463</v>
      </c>
      <c r="D4941" s="4"/>
      <c r="E4941" s="4"/>
      <c r="F4941" s="46" t="s">
        <v>2411</v>
      </c>
      <c r="G4941" s="4" t="s">
        <v>336</v>
      </c>
      <c r="H4941" s="4" t="s">
        <v>289</v>
      </c>
      <c r="I4941" s="4">
        <v>0.1575</v>
      </c>
      <c r="J4941" s="21">
        <v>381</v>
      </c>
      <c r="K4941" s="21">
        <v>0</v>
      </c>
      <c r="L4941" s="5">
        <v>0</v>
      </c>
      <c r="M4941" s="4"/>
      <c r="N4941" s="4"/>
      <c r="O4941" s="5"/>
      <c r="P4941" s="5"/>
      <c r="Q4941" s="21">
        <v>60.0075</v>
      </c>
      <c r="R4941" s="21">
        <v>0</v>
      </c>
      <c r="S4941" s="5">
        <f t="shared" si="311"/>
        <v>41015.526073026427</v>
      </c>
      <c r="T4941" cm="1">
        <f t="array" ref="T4941">IF(OR(B4941="MAL ALIMI", B4941="ÜRETİM GİRİŞ"), MIN(I4941, MAX(0, I4941 + SUM(SUMIFS($I$1:I4940, $C$1:C4940, C4941, $B$1:B4940, {"MAL ALIMI","ÜRETİM GİRİŞ"})) - VLOOKUP(C4941, 'STOK RAPORU'!$C$2:$I$1000, 4, 0))), 0)</f>
        <v>0</v>
      </c>
      <c r="U4941" s="22">
        <f t="shared" si="308"/>
        <v>0</v>
      </c>
      <c r="V4941">
        <f t="shared" si="309"/>
        <v>0</v>
      </c>
      <c r="W4941" s="22">
        <f t="shared" si="310"/>
        <v>0</v>
      </c>
    </row>
    <row r="4942" spans="1:23" hidden="1" x14ac:dyDescent="0.25">
      <c r="A4942" s="3">
        <v>46085</v>
      </c>
      <c r="B4942" s="4" t="s">
        <v>334</v>
      </c>
      <c r="C4942" s="4" t="s">
        <v>1326</v>
      </c>
      <c r="D4942" s="4"/>
      <c r="E4942" s="4"/>
      <c r="F4942" s="46" t="s">
        <v>2411</v>
      </c>
      <c r="G4942" s="4" t="s">
        <v>336</v>
      </c>
      <c r="H4942" s="4" t="s">
        <v>289</v>
      </c>
      <c r="I4942" s="4">
        <v>1</v>
      </c>
      <c r="J4942" s="21">
        <v>100</v>
      </c>
      <c r="K4942" s="21">
        <v>0</v>
      </c>
      <c r="L4942" s="5">
        <v>0</v>
      </c>
      <c r="M4942" s="4"/>
      <c r="N4942" s="4"/>
      <c r="O4942" s="5"/>
      <c r="P4942" s="5"/>
      <c r="Q4942" s="21">
        <v>100</v>
      </c>
      <c r="R4942" s="21">
        <v>0</v>
      </c>
      <c r="S4942" s="5">
        <f t="shared" si="311"/>
        <v>41115.526073026427</v>
      </c>
      <c r="T4942" cm="1">
        <f t="array" ref="T4942">IF(OR(B4942="MAL ALIMI", B4942="ÜRETİM GİRİŞ"), MIN(I4942, MAX(0, I4942 + SUM(SUMIFS($I$1:I4941, $C$1:C4941, C4942, $B$1:B4941, {"MAL ALIMI","ÜRETİM GİRİŞ"})) - VLOOKUP(C4942, 'STOK RAPORU'!$C$2:$I$1000, 4, 0))), 0)</f>
        <v>0</v>
      </c>
      <c r="U4942" s="22">
        <f t="shared" si="308"/>
        <v>0</v>
      </c>
      <c r="V4942">
        <f t="shared" si="309"/>
        <v>0</v>
      </c>
      <c r="W4942" s="22">
        <f t="shared" si="310"/>
        <v>0</v>
      </c>
    </row>
    <row r="4943" spans="1:23" hidden="1" x14ac:dyDescent="0.25">
      <c r="A4943" s="3">
        <v>46085</v>
      </c>
      <c r="B4943" s="4" t="s">
        <v>334</v>
      </c>
      <c r="C4943" s="4" t="s">
        <v>157</v>
      </c>
      <c r="D4943" s="4"/>
      <c r="E4943" s="4"/>
      <c r="F4943" s="46" t="s">
        <v>2411</v>
      </c>
      <c r="G4943" s="4" t="s">
        <v>336</v>
      </c>
      <c r="H4943" s="4" t="s">
        <v>289</v>
      </c>
      <c r="I4943" s="4">
        <v>1</v>
      </c>
      <c r="J4943" s="21">
        <v>200</v>
      </c>
      <c r="K4943" s="21">
        <v>0</v>
      </c>
      <c r="L4943" s="5">
        <v>0</v>
      </c>
      <c r="M4943" s="4"/>
      <c r="N4943" s="4"/>
      <c r="O4943" s="5"/>
      <c r="P4943" s="5"/>
      <c r="Q4943" s="21">
        <v>200</v>
      </c>
      <c r="R4943" s="21">
        <v>0</v>
      </c>
      <c r="S4943" s="5">
        <f t="shared" si="311"/>
        <v>41315.526073026427</v>
      </c>
      <c r="T4943" cm="1">
        <f t="array" ref="T4943">IF(OR(B4943="MAL ALIMI", B4943="ÜRETİM GİRİŞ"), MIN(I4943, MAX(0, I4943 + SUM(SUMIFS($I$1:I4942, $C$1:C4942, C4943, $B$1:B4942, {"MAL ALIMI","ÜRETİM GİRİŞ"})) - VLOOKUP(C4943, 'STOK RAPORU'!$C$2:$I$1000, 4, 0))), 0)</f>
        <v>0</v>
      </c>
      <c r="U4943" s="22">
        <f t="shared" si="308"/>
        <v>0</v>
      </c>
      <c r="V4943">
        <f t="shared" si="309"/>
        <v>0</v>
      </c>
      <c r="W4943" s="22">
        <f t="shared" si="310"/>
        <v>0</v>
      </c>
    </row>
    <row r="4944" spans="1:23" hidden="1" x14ac:dyDescent="0.25">
      <c r="A4944" s="3">
        <v>46085</v>
      </c>
      <c r="B4944" s="4" t="s">
        <v>334</v>
      </c>
      <c r="C4944" s="4" t="s">
        <v>156</v>
      </c>
      <c r="D4944" s="4"/>
      <c r="E4944" s="4"/>
      <c r="F4944" s="46" t="s">
        <v>2411</v>
      </c>
      <c r="G4944" s="4" t="s">
        <v>336</v>
      </c>
      <c r="H4944" s="4" t="s">
        <v>289</v>
      </c>
      <c r="I4944" s="4">
        <v>1</v>
      </c>
      <c r="J4944" s="21">
        <v>200</v>
      </c>
      <c r="K4944" s="21">
        <v>0</v>
      </c>
      <c r="L4944" s="5">
        <v>0</v>
      </c>
      <c r="M4944" s="4"/>
      <c r="N4944" s="4"/>
      <c r="O4944" s="5"/>
      <c r="P4944" s="5"/>
      <c r="Q4944" s="21">
        <v>200</v>
      </c>
      <c r="R4944" s="21">
        <v>0</v>
      </c>
      <c r="S4944" s="5">
        <f t="shared" si="311"/>
        <v>41515.526073026427</v>
      </c>
      <c r="T4944" cm="1">
        <f t="array" ref="T4944">IF(OR(B4944="MAL ALIMI", B4944="ÜRETİM GİRİŞ"), MIN(I4944, MAX(0, I4944 + SUM(SUMIFS($I$1:I4943, $C$1:C4943, C4944, $B$1:B4943, {"MAL ALIMI","ÜRETİM GİRİŞ"})) - VLOOKUP(C4944, 'STOK RAPORU'!$C$2:$I$1000, 4, 0))), 0)</f>
        <v>0</v>
      </c>
      <c r="U4944" s="22">
        <f t="shared" si="308"/>
        <v>0</v>
      </c>
      <c r="V4944">
        <f t="shared" si="309"/>
        <v>0</v>
      </c>
      <c r="W4944" s="22">
        <f t="shared" si="310"/>
        <v>0</v>
      </c>
    </row>
    <row r="4945" spans="1:23" hidden="1" x14ac:dyDescent="0.25">
      <c r="A4945" s="3">
        <v>46085</v>
      </c>
      <c r="B4945" s="4" t="s">
        <v>334</v>
      </c>
      <c r="C4945" s="4" t="s">
        <v>194</v>
      </c>
      <c r="D4945" s="4"/>
      <c r="E4945" s="4"/>
      <c r="F4945" s="46" t="s">
        <v>2411</v>
      </c>
      <c r="G4945" s="4" t="s">
        <v>336</v>
      </c>
      <c r="H4945" s="4" t="s">
        <v>289</v>
      </c>
      <c r="I4945" s="4">
        <v>0.5</v>
      </c>
      <c r="J4945" s="21">
        <v>750</v>
      </c>
      <c r="K4945" s="21">
        <v>0</v>
      </c>
      <c r="L4945" s="5">
        <v>0</v>
      </c>
      <c r="M4945" s="4"/>
      <c r="N4945" s="4"/>
      <c r="O4945" s="5"/>
      <c r="P4945" s="5"/>
      <c r="Q4945" s="21">
        <v>375</v>
      </c>
      <c r="R4945" s="21">
        <v>0</v>
      </c>
      <c r="S4945" s="5">
        <f t="shared" si="311"/>
        <v>41890.526073026427</v>
      </c>
      <c r="T4945" cm="1">
        <f t="array" ref="T4945">IF(OR(B4945="MAL ALIMI", B4945="ÜRETİM GİRİŞ"), MIN(I4945, MAX(0, I4945 + SUM(SUMIFS($I$1:I4944, $C$1:C4944, C4945, $B$1:B4944, {"MAL ALIMI","ÜRETİM GİRİŞ"})) - VLOOKUP(C4945, 'STOK RAPORU'!$C$2:$I$1000, 4, 0))), 0)</f>
        <v>0</v>
      </c>
      <c r="U4945" s="22">
        <f t="shared" si="308"/>
        <v>0</v>
      </c>
      <c r="V4945">
        <f t="shared" si="309"/>
        <v>0</v>
      </c>
      <c r="W4945" s="22">
        <f t="shared" si="310"/>
        <v>0</v>
      </c>
    </row>
    <row r="4946" spans="1:23" hidden="1" x14ac:dyDescent="0.25">
      <c r="A4946" s="3">
        <v>46085</v>
      </c>
      <c r="B4946" s="4" t="s">
        <v>334</v>
      </c>
      <c r="C4946" s="4" t="s">
        <v>248</v>
      </c>
      <c r="D4946" s="4"/>
      <c r="E4946" s="4"/>
      <c r="F4946" s="46" t="s">
        <v>2411</v>
      </c>
      <c r="G4946" s="4" t="s">
        <v>336</v>
      </c>
      <c r="H4946" s="4" t="s">
        <v>289</v>
      </c>
      <c r="I4946" s="4">
        <v>0.5</v>
      </c>
      <c r="J4946" s="21">
        <v>950</v>
      </c>
      <c r="K4946" s="21">
        <v>0</v>
      </c>
      <c r="L4946" s="5">
        <v>0</v>
      </c>
      <c r="M4946" s="4"/>
      <c r="N4946" s="4"/>
      <c r="O4946" s="5"/>
      <c r="P4946" s="5"/>
      <c r="Q4946" s="21">
        <v>475</v>
      </c>
      <c r="R4946" s="21">
        <v>0</v>
      </c>
      <c r="S4946" s="5">
        <f t="shared" si="311"/>
        <v>42365.526073026427</v>
      </c>
      <c r="T4946" cm="1">
        <f t="array" ref="T4946">IF(OR(B4946="MAL ALIMI", B4946="ÜRETİM GİRİŞ"), MIN(I4946, MAX(0, I4946 + SUM(SUMIFS($I$1:I4945, $C$1:C4945, C4946, $B$1:B4945, {"MAL ALIMI","ÜRETİM GİRİŞ"})) - VLOOKUP(C4946, 'STOK RAPORU'!$C$2:$I$1000, 4, 0))), 0)</f>
        <v>0</v>
      </c>
      <c r="U4946" s="22">
        <f t="shared" si="308"/>
        <v>0</v>
      </c>
      <c r="V4946">
        <f t="shared" si="309"/>
        <v>0</v>
      </c>
      <c r="W4946" s="22">
        <f t="shared" si="310"/>
        <v>0</v>
      </c>
    </row>
    <row r="4947" spans="1:23" hidden="1" x14ac:dyDescent="0.25">
      <c r="A4947" s="3">
        <v>46085</v>
      </c>
      <c r="B4947" s="3" t="s">
        <v>917</v>
      </c>
      <c r="C4947" s="4"/>
      <c r="D4947" s="4"/>
      <c r="E4947" s="4" t="s">
        <v>115</v>
      </c>
      <c r="F4947" s="4"/>
      <c r="G4947" s="4" t="s">
        <v>2650</v>
      </c>
      <c r="H4947" s="4" t="s">
        <v>289</v>
      </c>
      <c r="I4947" s="4">
        <v>1</v>
      </c>
      <c r="J4947" s="21">
        <v>15000</v>
      </c>
      <c r="K4947" s="21">
        <v>15000</v>
      </c>
      <c r="L4947" s="5">
        <v>0</v>
      </c>
      <c r="M4947" s="4"/>
      <c r="N4947" s="4"/>
      <c r="O4947" s="5"/>
      <c r="P4947" s="5"/>
      <c r="Q4947" s="21">
        <v>0</v>
      </c>
      <c r="R4947" s="21">
        <v>15000</v>
      </c>
      <c r="S4947" s="5">
        <f t="shared" si="311"/>
        <v>27365.526073026427</v>
      </c>
      <c r="T4947" cm="1">
        <f t="array" ref="T4947">IF(OR(B4947="MAL ALIMI", B4947="ÜRETİM GİRİŞ"), MIN(I4947, MAX(0, I4947 + SUM(SUMIFS($I$1:I4946, $C$1:C4946, C4947, $B$1:B4946, {"MAL ALIMI","ÜRETİM GİRİŞ"})) - VLOOKUP(C4947, 'STOK RAPORU'!$C$2:$I$1000, 4, 0))), 0)</f>
        <v>0</v>
      </c>
      <c r="U4947" s="22">
        <f t="shared" si="308"/>
        <v>0</v>
      </c>
      <c r="V4947">
        <f t="shared" si="309"/>
        <v>0</v>
      </c>
      <c r="W4947" s="22">
        <f t="shared" si="310"/>
        <v>0</v>
      </c>
    </row>
    <row r="4948" spans="1:23" hidden="1" x14ac:dyDescent="0.25">
      <c r="A4948" s="3">
        <v>46085</v>
      </c>
      <c r="B4948" s="4" t="s">
        <v>946</v>
      </c>
      <c r="C4948" s="4"/>
      <c r="D4948" s="4"/>
      <c r="E4948" s="4" t="s">
        <v>921</v>
      </c>
      <c r="F4948" s="4"/>
      <c r="G4948" s="4" t="s">
        <v>946</v>
      </c>
      <c r="H4948" s="4" t="s">
        <v>380</v>
      </c>
      <c r="I4948" s="4">
        <v>1</v>
      </c>
      <c r="J4948" s="105">
        <v>965</v>
      </c>
      <c r="K4948" s="21">
        <v>0</v>
      </c>
      <c r="L4948" s="111">
        <v>965</v>
      </c>
      <c r="M4948" s="4"/>
      <c r="N4948" s="4"/>
      <c r="O4948" s="5"/>
      <c r="P4948" s="5"/>
      <c r="Q4948" s="21">
        <v>965</v>
      </c>
      <c r="R4948" s="21">
        <v>0</v>
      </c>
      <c r="S4948" s="5">
        <f t="shared" si="311"/>
        <v>28330.526073026427</v>
      </c>
      <c r="T4948" cm="1">
        <f t="array" ref="T4948">IF(OR(B4948="MAL ALIMI", B4948="ÜRETİM GİRİŞ"), MIN(I4948, MAX(0, I4948 + SUM(SUMIFS($I$1:I4947, $C$1:C4947, C4948, $B$1:B4947, {"MAL ALIMI","ÜRETİM GİRİŞ"})) - VLOOKUP(C4948, 'STOK RAPORU'!$C$2:$I$1000, 4, 0))), 0)</f>
        <v>0</v>
      </c>
      <c r="U4948" s="22">
        <f t="shared" si="308"/>
        <v>0</v>
      </c>
      <c r="V4948">
        <f t="shared" si="309"/>
        <v>0</v>
      </c>
      <c r="W4948" s="22">
        <f t="shared" si="310"/>
        <v>0</v>
      </c>
    </row>
    <row r="4949" spans="1:23" hidden="1" x14ac:dyDescent="0.25">
      <c r="A4949" s="3">
        <v>46086</v>
      </c>
      <c r="B4949" s="4" t="s">
        <v>298</v>
      </c>
      <c r="C4949" s="4" t="s">
        <v>751</v>
      </c>
      <c r="D4949" s="4"/>
      <c r="E4949" s="4" t="s">
        <v>856</v>
      </c>
      <c r="F4949" s="4" t="s">
        <v>2681</v>
      </c>
      <c r="G4949" s="4" t="s">
        <v>753</v>
      </c>
      <c r="H4949" s="4" t="s">
        <v>1329</v>
      </c>
      <c r="I4949" s="4">
        <v>5</v>
      </c>
      <c r="J4949" s="21">
        <v>151.9</v>
      </c>
      <c r="K4949" s="21">
        <v>0</v>
      </c>
      <c r="L4949" s="5">
        <v>759.5</v>
      </c>
      <c r="M4949" s="4"/>
      <c r="N4949" s="4"/>
      <c r="O4949" s="5"/>
      <c r="P4949" s="5"/>
      <c r="Q4949" s="21">
        <v>0</v>
      </c>
      <c r="R4949" s="21">
        <v>0</v>
      </c>
      <c r="S4949" s="5">
        <f t="shared" si="311"/>
        <v>28330.526073026427</v>
      </c>
      <c r="T4949" cm="1">
        <f t="array" ref="T4949">IF(OR(B4949="MAL ALIMI", B4949="ÜRETİM GİRİŞ"), MIN(I4949, MAX(0, I4949 + SUM(SUMIFS($I$1:I4948, $C$1:C4948, C4949, $B$1:B4948, {"MAL ALIMI","ÜRETİM GİRİŞ"})) - VLOOKUP(C4949, 'STOK RAPORU'!$C$2:$I$1000, 4, 0))), 0)</f>
        <v>5</v>
      </c>
      <c r="U4949" s="22">
        <f t="shared" si="308"/>
        <v>759.5</v>
      </c>
      <c r="V4949">
        <f t="shared" si="309"/>
        <v>759.5</v>
      </c>
      <c r="W4949" s="22">
        <f t="shared" si="310"/>
        <v>0</v>
      </c>
    </row>
    <row r="4950" spans="1:23" hidden="1" x14ac:dyDescent="0.25">
      <c r="A4950" s="3">
        <v>46086</v>
      </c>
      <c r="B4950" s="4" t="s">
        <v>298</v>
      </c>
      <c r="C4950" s="4" t="s">
        <v>1391</v>
      </c>
      <c r="D4950" s="4"/>
      <c r="E4950" s="4" t="s">
        <v>856</v>
      </c>
      <c r="F4950" s="4" t="s">
        <v>2480</v>
      </c>
      <c r="G4950" s="4" t="s">
        <v>2481</v>
      </c>
      <c r="H4950" s="4" t="s">
        <v>1329</v>
      </c>
      <c r="I4950" s="4">
        <v>5</v>
      </c>
      <c r="J4950" s="21">
        <v>91.213099999999997</v>
      </c>
      <c r="K4950" s="21">
        <v>0</v>
      </c>
      <c r="L4950" s="5">
        <v>456.06549999999999</v>
      </c>
      <c r="M4950" s="4"/>
      <c r="N4950" s="4"/>
      <c r="O4950" s="5"/>
      <c r="P4950" s="5"/>
      <c r="Q4950" s="21">
        <v>0</v>
      </c>
      <c r="R4950" s="21">
        <v>0</v>
      </c>
      <c r="S4950" s="5">
        <f t="shared" si="311"/>
        <v>28330.526073026427</v>
      </c>
      <c r="T4950" cm="1">
        <f t="array" ref="T4950">IF(OR(B4950="MAL ALIMI", B4950="ÜRETİM GİRİŞ"), MIN(I4950, MAX(0, I4950 + SUM(SUMIFS($I$1:I4949, $C$1:C4949, C4950, $B$1:B4949, {"MAL ALIMI","ÜRETİM GİRİŞ"})) - VLOOKUP(C4950, 'STOK RAPORU'!$C$2:$I$1000, 4, 0))), 0)</f>
        <v>3</v>
      </c>
      <c r="U4950" s="22">
        <f t="shared" si="308"/>
        <v>273.63929999999999</v>
      </c>
      <c r="V4950">
        <f t="shared" si="309"/>
        <v>456.06549999999999</v>
      </c>
      <c r="W4950" s="22">
        <f t="shared" si="310"/>
        <v>182.42619999999999</v>
      </c>
    </row>
    <row r="4951" spans="1:23" hidden="1" x14ac:dyDescent="0.25">
      <c r="A4951" s="3">
        <v>46086</v>
      </c>
      <c r="B4951" s="4" t="s">
        <v>298</v>
      </c>
      <c r="C4951" s="4" t="s">
        <v>1394</v>
      </c>
      <c r="D4951" s="4"/>
      <c r="E4951" s="4" t="s">
        <v>856</v>
      </c>
      <c r="F4951" s="4" t="s">
        <v>2480</v>
      </c>
      <c r="G4951" s="4" t="s">
        <v>2481</v>
      </c>
      <c r="H4951" s="4" t="s">
        <v>1329</v>
      </c>
      <c r="I4951" s="4">
        <v>5</v>
      </c>
      <c r="J4951" s="21">
        <v>83.446000000000012</v>
      </c>
      <c r="K4951" s="21">
        <v>0</v>
      </c>
      <c r="L4951" s="5">
        <v>417.23000000000008</v>
      </c>
      <c r="M4951" s="4"/>
      <c r="N4951" s="4"/>
      <c r="O4951" s="5"/>
      <c r="P4951" s="5"/>
      <c r="Q4951" s="21">
        <v>0</v>
      </c>
      <c r="R4951" s="21">
        <v>0</v>
      </c>
      <c r="S4951" s="5">
        <f t="shared" si="311"/>
        <v>28330.526073026427</v>
      </c>
      <c r="T4951" cm="1">
        <f t="array" ref="T4951">IF(OR(B4951="MAL ALIMI", B4951="ÜRETİM GİRİŞ"), MIN(I4951, MAX(0, I4951 + SUM(SUMIFS($I$1:I4950, $C$1:C4950, C4951, $B$1:B4950, {"MAL ALIMI","ÜRETİM GİRİŞ"})) - VLOOKUP(C4951, 'STOK RAPORU'!$C$2:$I$1000, 4, 0))), 0)</f>
        <v>4</v>
      </c>
      <c r="U4951" s="22">
        <f t="shared" si="308"/>
        <v>333.78400000000005</v>
      </c>
      <c r="V4951">
        <f t="shared" si="309"/>
        <v>417.23000000000008</v>
      </c>
      <c r="W4951" s="22">
        <f t="shared" si="310"/>
        <v>83.446000000000026</v>
      </c>
    </row>
    <row r="4952" spans="1:23" hidden="1" x14ac:dyDescent="0.25">
      <c r="A4952" s="3">
        <v>46086</v>
      </c>
      <c r="B4952" s="4" t="s">
        <v>298</v>
      </c>
      <c r="C4952" s="4" t="s">
        <v>1393</v>
      </c>
      <c r="D4952" s="4"/>
      <c r="E4952" s="4" t="s">
        <v>856</v>
      </c>
      <c r="F4952" s="4" t="s">
        <v>2480</v>
      </c>
      <c r="G4952" s="4" t="s">
        <v>2481</v>
      </c>
      <c r="H4952" s="4" t="s">
        <v>1329</v>
      </c>
      <c r="I4952" s="4">
        <v>10</v>
      </c>
      <c r="J4952" s="21">
        <v>75.504000000000005</v>
      </c>
      <c r="K4952" s="21">
        <v>0</v>
      </c>
      <c r="L4952" s="5">
        <v>755.04000000000008</v>
      </c>
      <c r="M4952" s="4"/>
      <c r="N4952" s="4"/>
      <c r="O4952" s="5"/>
      <c r="P4952" s="5"/>
      <c r="Q4952" s="21">
        <v>0</v>
      </c>
      <c r="R4952" s="21">
        <v>0</v>
      </c>
      <c r="S4952" s="5">
        <f t="shared" si="311"/>
        <v>28330.526073026427</v>
      </c>
      <c r="T4952" cm="1">
        <f t="array" ref="T4952">IF(OR(B4952="MAL ALIMI", B4952="ÜRETİM GİRİŞ"), MIN(I4952, MAX(0, I4952 + SUM(SUMIFS($I$1:I4951, $C$1:C4951, C4952, $B$1:B4951, {"MAL ALIMI","ÜRETİM GİRİŞ"})) - VLOOKUP(C4952, 'STOK RAPORU'!$C$2:$I$1000, 4, 0))), 0)</f>
        <v>6</v>
      </c>
      <c r="U4952" s="22">
        <f t="shared" si="308"/>
        <v>453.024</v>
      </c>
      <c r="V4952">
        <f t="shared" si="309"/>
        <v>755.04000000000008</v>
      </c>
      <c r="W4952" s="22">
        <f t="shared" si="310"/>
        <v>302.01600000000008</v>
      </c>
    </row>
    <row r="4953" spans="1:23" hidden="1" x14ac:dyDescent="0.25">
      <c r="A4953" s="3">
        <v>46086</v>
      </c>
      <c r="B4953" s="4" t="s">
        <v>334</v>
      </c>
      <c r="C4953" s="4" t="s">
        <v>160</v>
      </c>
      <c r="D4953" s="4"/>
      <c r="E4953" s="4" t="s">
        <v>921</v>
      </c>
      <c r="F4953" s="46" t="s">
        <v>2413</v>
      </c>
      <c r="G4953" s="4" t="s">
        <v>336</v>
      </c>
      <c r="H4953" s="4" t="s">
        <v>380</v>
      </c>
      <c r="I4953" s="4">
        <v>0.5</v>
      </c>
      <c r="J4953" s="21">
        <v>250</v>
      </c>
      <c r="K4953" s="21">
        <v>125</v>
      </c>
      <c r="L4953" s="5">
        <v>0</v>
      </c>
      <c r="M4953" s="4"/>
      <c r="N4953" s="4"/>
      <c r="O4953" s="5"/>
      <c r="P4953" s="5"/>
      <c r="Q4953" s="21">
        <v>0</v>
      </c>
      <c r="R4953" s="21">
        <v>0</v>
      </c>
      <c r="S4953" s="5">
        <f t="shared" si="311"/>
        <v>28330.526073026427</v>
      </c>
      <c r="T4953" cm="1">
        <f t="array" ref="T4953">IF(OR(B4953="MAL ALIMI", B4953="ÜRETİM GİRİŞ"), MIN(I4953, MAX(0, I4953 + SUM(SUMIFS($I$1:I4952, $C$1:C4952, C4953, $B$1:B4952, {"MAL ALIMI","ÜRETİM GİRİŞ"})) - VLOOKUP(C4953, 'STOK RAPORU'!$C$2:$I$1000, 4, 0))), 0)</f>
        <v>0</v>
      </c>
      <c r="U4953" s="22">
        <f t="shared" si="308"/>
        <v>0</v>
      </c>
      <c r="V4953">
        <f t="shared" si="309"/>
        <v>0</v>
      </c>
      <c r="W4953" s="22">
        <f t="shared" si="310"/>
        <v>0</v>
      </c>
    </row>
    <row r="4954" spans="1:23" hidden="1" x14ac:dyDescent="0.25">
      <c r="A4954" s="3">
        <v>46086</v>
      </c>
      <c r="B4954" s="4" t="s">
        <v>334</v>
      </c>
      <c r="C4954" s="4" t="s">
        <v>161</v>
      </c>
      <c r="D4954" s="4"/>
      <c r="E4954" s="4" t="s">
        <v>921</v>
      </c>
      <c r="F4954" s="46" t="s">
        <v>2413</v>
      </c>
      <c r="G4954" s="4" t="s">
        <v>336</v>
      </c>
      <c r="H4954" s="4" t="s">
        <v>380</v>
      </c>
      <c r="I4954" s="4">
        <v>0.5</v>
      </c>
      <c r="J4954" s="21">
        <v>230</v>
      </c>
      <c r="K4954" s="21">
        <v>115</v>
      </c>
      <c r="L4954" s="5">
        <v>0</v>
      </c>
      <c r="M4954" s="4"/>
      <c r="N4954" s="4"/>
      <c r="O4954" s="5"/>
      <c r="P4954" s="5"/>
      <c r="Q4954" s="21">
        <v>0</v>
      </c>
      <c r="R4954" s="21">
        <v>0</v>
      </c>
      <c r="S4954" s="5">
        <f t="shared" si="311"/>
        <v>28330.526073026427</v>
      </c>
      <c r="T4954" cm="1">
        <f t="array" ref="T4954">IF(OR(B4954="MAL ALIMI", B4954="ÜRETİM GİRİŞ"), MIN(I4954, MAX(0, I4954 + SUM(SUMIFS($I$1:I4953, $C$1:C4953, C4954, $B$1:B4953, {"MAL ALIMI","ÜRETİM GİRİŞ"})) - VLOOKUP(C4954, 'STOK RAPORU'!$C$2:$I$1000, 4, 0))), 0)</f>
        <v>0</v>
      </c>
      <c r="U4954" s="22">
        <f t="shared" si="308"/>
        <v>0</v>
      </c>
      <c r="V4954">
        <f t="shared" si="309"/>
        <v>0</v>
      </c>
      <c r="W4954" s="22">
        <f t="shared" si="310"/>
        <v>0</v>
      </c>
    </row>
    <row r="4955" spans="1:23" hidden="1" x14ac:dyDescent="0.25">
      <c r="A4955" s="3">
        <v>46086</v>
      </c>
      <c r="B4955" s="4" t="s">
        <v>334</v>
      </c>
      <c r="C4955" s="4" t="s">
        <v>167</v>
      </c>
      <c r="D4955" s="4"/>
      <c r="E4955" s="4" t="s">
        <v>921</v>
      </c>
      <c r="F4955" s="46" t="s">
        <v>2413</v>
      </c>
      <c r="G4955" s="4" t="s">
        <v>336</v>
      </c>
      <c r="H4955" s="4" t="s">
        <v>380</v>
      </c>
      <c r="I4955" s="4">
        <v>0.22</v>
      </c>
      <c r="J4955" s="21">
        <v>230</v>
      </c>
      <c r="K4955" s="21">
        <v>50.6</v>
      </c>
      <c r="L4955" s="5">
        <v>0</v>
      </c>
      <c r="M4955" s="4"/>
      <c r="N4955" s="4"/>
      <c r="O4955" s="5"/>
      <c r="P4955" s="5"/>
      <c r="Q4955" s="21">
        <v>0</v>
      </c>
      <c r="R4955" s="21">
        <v>0</v>
      </c>
      <c r="S4955" s="5">
        <f t="shared" si="311"/>
        <v>28330.526073026427</v>
      </c>
      <c r="T4955" cm="1">
        <f t="array" ref="T4955">IF(OR(B4955="MAL ALIMI", B4955="ÜRETİM GİRİŞ"), MIN(I4955, MAX(0, I4955 + SUM(SUMIFS($I$1:I4954, $C$1:C4954, C4955, $B$1:B4954, {"MAL ALIMI","ÜRETİM GİRİŞ"})) - VLOOKUP(C4955, 'STOK RAPORU'!$C$2:$I$1000, 4, 0))), 0)</f>
        <v>0</v>
      </c>
      <c r="U4955" s="22">
        <f t="shared" si="308"/>
        <v>0</v>
      </c>
      <c r="V4955">
        <f t="shared" si="309"/>
        <v>0</v>
      </c>
      <c r="W4955" s="22">
        <f t="shared" si="310"/>
        <v>0</v>
      </c>
    </row>
    <row r="4956" spans="1:23" hidden="1" x14ac:dyDescent="0.25">
      <c r="A4956" s="3">
        <v>46086</v>
      </c>
      <c r="B4956" s="4" t="s">
        <v>334</v>
      </c>
      <c r="C4956" s="4" t="s">
        <v>162</v>
      </c>
      <c r="D4956" s="4"/>
      <c r="E4956" s="4" t="s">
        <v>921</v>
      </c>
      <c r="F4956" s="46" t="s">
        <v>2413</v>
      </c>
      <c r="G4956" s="4" t="s">
        <v>336</v>
      </c>
      <c r="H4956" s="4" t="s">
        <v>380</v>
      </c>
      <c r="I4956" s="4">
        <v>0.2</v>
      </c>
      <c r="J4956" s="21">
        <v>250</v>
      </c>
      <c r="K4956" s="21">
        <v>50</v>
      </c>
      <c r="L4956" s="5">
        <v>0</v>
      </c>
      <c r="M4956" s="4"/>
      <c r="N4956" s="4"/>
      <c r="O4956" s="5"/>
      <c r="P4956" s="5"/>
      <c r="Q4956" s="21">
        <v>0</v>
      </c>
      <c r="R4956" s="21">
        <v>0</v>
      </c>
      <c r="S4956" s="5">
        <f t="shared" si="311"/>
        <v>28330.526073026427</v>
      </c>
      <c r="T4956" cm="1">
        <f t="array" ref="T4956">IF(OR(B4956="MAL ALIMI", B4956="ÜRETİM GİRİŞ"), MIN(I4956, MAX(0, I4956 + SUM(SUMIFS($I$1:I4955, $C$1:C4955, C4956, $B$1:B4955, {"MAL ALIMI","ÜRETİM GİRİŞ"})) - VLOOKUP(C4956, 'STOK RAPORU'!$C$2:$I$1000, 4, 0))), 0)</f>
        <v>0</v>
      </c>
      <c r="U4956" s="22">
        <f t="shared" si="308"/>
        <v>0</v>
      </c>
      <c r="V4956">
        <f t="shared" si="309"/>
        <v>0</v>
      </c>
      <c r="W4956" s="22">
        <f t="shared" si="310"/>
        <v>0</v>
      </c>
    </row>
    <row r="4957" spans="1:23" hidden="1" x14ac:dyDescent="0.25">
      <c r="A4957" s="3">
        <v>46086</v>
      </c>
      <c r="B4957" s="4" t="s">
        <v>334</v>
      </c>
      <c r="C4957" s="4" t="s">
        <v>92</v>
      </c>
      <c r="D4957" s="4"/>
      <c r="E4957" s="4" t="s">
        <v>921</v>
      </c>
      <c r="F4957" s="46" t="s">
        <v>2413</v>
      </c>
      <c r="G4957" s="4" t="s">
        <v>336</v>
      </c>
      <c r="H4957" s="4" t="s">
        <v>380</v>
      </c>
      <c r="I4957" s="4">
        <v>0.06</v>
      </c>
      <c r="J4957" s="21">
        <v>500</v>
      </c>
      <c r="K4957" s="21">
        <v>30</v>
      </c>
      <c r="L4957" s="5">
        <v>0</v>
      </c>
      <c r="M4957" s="4"/>
      <c r="N4957" s="4"/>
      <c r="O4957" s="5"/>
      <c r="P4957" s="5"/>
      <c r="Q4957" s="21">
        <v>0</v>
      </c>
      <c r="R4957" s="21">
        <v>0</v>
      </c>
      <c r="S4957" s="5">
        <f t="shared" si="311"/>
        <v>28330.526073026427</v>
      </c>
      <c r="T4957" cm="1">
        <f t="array" ref="T4957">IF(OR(B4957="MAL ALIMI", B4957="ÜRETİM GİRİŞ"), MIN(I4957, MAX(0, I4957 + SUM(SUMIFS($I$1:I4956, $C$1:C4956, C4957, $B$1:B4956, {"MAL ALIMI","ÜRETİM GİRİŞ"})) - VLOOKUP(C4957, 'STOK RAPORU'!$C$2:$I$1000, 4, 0))), 0)</f>
        <v>0</v>
      </c>
      <c r="U4957" s="22">
        <f t="shared" si="308"/>
        <v>0</v>
      </c>
      <c r="V4957">
        <f t="shared" si="309"/>
        <v>0</v>
      </c>
      <c r="W4957" s="22">
        <f t="shared" si="310"/>
        <v>0</v>
      </c>
    </row>
    <row r="4958" spans="1:23" hidden="1" x14ac:dyDescent="0.25">
      <c r="A4958" s="3">
        <v>46086</v>
      </c>
      <c r="B4958" s="4" t="s">
        <v>334</v>
      </c>
      <c r="C4958" s="4" t="s">
        <v>98</v>
      </c>
      <c r="D4958" s="4"/>
      <c r="E4958" s="4"/>
      <c r="F4958" s="46" t="s">
        <v>2414</v>
      </c>
      <c r="G4958" s="4" t="s">
        <v>336</v>
      </c>
      <c r="H4958" s="4" t="s">
        <v>289</v>
      </c>
      <c r="I4958" s="4">
        <v>0.15</v>
      </c>
      <c r="J4958" s="21">
        <v>400</v>
      </c>
      <c r="K4958" s="21">
        <v>0</v>
      </c>
      <c r="L4958" s="5">
        <v>0</v>
      </c>
      <c r="M4958" s="4"/>
      <c r="N4958" s="4"/>
      <c r="O4958" s="5"/>
      <c r="P4958" s="5"/>
      <c r="Q4958" s="21">
        <v>60</v>
      </c>
      <c r="R4958" s="21">
        <v>0</v>
      </c>
      <c r="S4958" s="5">
        <f t="shared" si="311"/>
        <v>28390.526073026427</v>
      </c>
      <c r="T4958" cm="1">
        <f t="array" ref="T4958">IF(OR(B4958="MAL ALIMI", B4958="ÜRETİM GİRİŞ"), MIN(I4958, MAX(0, I4958 + SUM(SUMIFS($I$1:I4957, $C$1:C4957, C4958, $B$1:B4957, {"MAL ALIMI","ÜRETİM GİRİŞ"})) - VLOOKUP(C4958, 'STOK RAPORU'!$C$2:$I$1000, 4, 0))), 0)</f>
        <v>0</v>
      </c>
      <c r="U4958" s="22">
        <f t="shared" si="308"/>
        <v>0</v>
      </c>
      <c r="V4958">
        <f t="shared" si="309"/>
        <v>0</v>
      </c>
      <c r="W4958" s="22">
        <f t="shared" si="310"/>
        <v>0</v>
      </c>
    </row>
    <row r="4959" spans="1:23" hidden="1" x14ac:dyDescent="0.25">
      <c r="A4959" s="3">
        <v>46086</v>
      </c>
      <c r="B4959" s="4" t="s">
        <v>334</v>
      </c>
      <c r="C4959" s="4" t="s">
        <v>1041</v>
      </c>
      <c r="D4959" s="4"/>
      <c r="E4959" s="4"/>
      <c r="F4959" s="46" t="s">
        <v>2415</v>
      </c>
      <c r="G4959" s="4" t="s">
        <v>336</v>
      </c>
      <c r="H4959" s="4" t="s">
        <v>289</v>
      </c>
      <c r="I4959" s="4">
        <v>0.8</v>
      </c>
      <c r="J4959" s="21">
        <v>250</v>
      </c>
      <c r="K4959" s="21">
        <v>0</v>
      </c>
      <c r="L4959" s="5">
        <v>0</v>
      </c>
      <c r="M4959" s="4"/>
      <c r="N4959" s="4"/>
      <c r="O4959" s="5"/>
      <c r="P4959" s="5"/>
      <c r="Q4959" s="21">
        <v>200</v>
      </c>
      <c r="R4959" s="21">
        <v>0</v>
      </c>
      <c r="S4959" s="5">
        <f t="shared" si="311"/>
        <v>28590.526073026427</v>
      </c>
      <c r="T4959" cm="1">
        <f t="array" ref="T4959">IF(OR(B4959="MAL ALIMI", B4959="ÜRETİM GİRİŞ"), MIN(I4959, MAX(0, I4959 + SUM(SUMIFS($I$1:I4958, $C$1:C4958, C4959, $B$1:B4958, {"MAL ALIMI","ÜRETİM GİRİŞ"})) - VLOOKUP(C4959, 'STOK RAPORU'!$C$2:$I$1000, 4, 0))), 0)</f>
        <v>0</v>
      </c>
      <c r="U4959" s="22">
        <f t="shared" si="308"/>
        <v>0</v>
      </c>
      <c r="V4959">
        <f t="shared" si="309"/>
        <v>0</v>
      </c>
      <c r="W4959" s="22">
        <f t="shared" si="310"/>
        <v>0</v>
      </c>
    </row>
    <row r="4960" spans="1:23" hidden="1" x14ac:dyDescent="0.25">
      <c r="A4960" s="3">
        <v>46086</v>
      </c>
      <c r="B4960" s="4" t="s">
        <v>334</v>
      </c>
      <c r="C4960" s="4" t="s">
        <v>126</v>
      </c>
      <c r="D4960" s="4"/>
      <c r="E4960" s="4" t="s">
        <v>2417</v>
      </c>
      <c r="F4960" s="46" t="s">
        <v>2416</v>
      </c>
      <c r="G4960" s="4" t="s">
        <v>2419</v>
      </c>
      <c r="H4960" s="4" t="s">
        <v>304</v>
      </c>
      <c r="I4960" s="4">
        <v>2</v>
      </c>
      <c r="J4960" s="21">
        <v>500</v>
      </c>
      <c r="K4960" s="21">
        <v>1000</v>
      </c>
      <c r="L4960" s="5">
        <v>0</v>
      </c>
      <c r="M4960" s="4"/>
      <c r="N4960" s="4"/>
      <c r="O4960" s="5"/>
      <c r="P4960" s="5"/>
      <c r="Q4960" s="21">
        <v>0</v>
      </c>
      <c r="R4960" s="21">
        <v>0</v>
      </c>
      <c r="S4960" s="5">
        <f t="shared" si="311"/>
        <v>28590.526073026427</v>
      </c>
      <c r="T4960" cm="1">
        <f t="array" ref="T4960">IF(OR(B4960="MAL ALIMI", B4960="ÜRETİM GİRİŞ"), MIN(I4960, MAX(0, I4960 + SUM(SUMIFS($I$1:I4959, $C$1:C4959, C4960, $B$1:B4959, {"MAL ALIMI","ÜRETİM GİRİŞ"})) - VLOOKUP(C4960, 'STOK RAPORU'!$C$2:$I$1000, 4, 0))), 0)</f>
        <v>0</v>
      </c>
      <c r="U4960" s="22">
        <f t="shared" si="308"/>
        <v>0</v>
      </c>
      <c r="V4960">
        <f t="shared" si="309"/>
        <v>0</v>
      </c>
      <c r="W4960" s="22">
        <f t="shared" si="310"/>
        <v>0</v>
      </c>
    </row>
    <row r="4961" spans="1:23" hidden="1" x14ac:dyDescent="0.25">
      <c r="A4961" s="3">
        <v>46086</v>
      </c>
      <c r="B4961" s="4" t="s">
        <v>334</v>
      </c>
      <c r="C4961" s="4" t="s">
        <v>167</v>
      </c>
      <c r="D4961" s="4"/>
      <c r="E4961" s="4" t="s">
        <v>2417</v>
      </c>
      <c r="F4961" s="46" t="s">
        <v>2416</v>
      </c>
      <c r="G4961" s="4" t="s">
        <v>2419</v>
      </c>
      <c r="H4961" s="4" t="s">
        <v>304</v>
      </c>
      <c r="I4961" s="4">
        <v>20</v>
      </c>
      <c r="J4961" s="21">
        <v>200</v>
      </c>
      <c r="K4961" s="21">
        <v>4000</v>
      </c>
      <c r="L4961" s="5">
        <v>0</v>
      </c>
      <c r="M4961" s="4"/>
      <c r="N4961" s="4"/>
      <c r="O4961" s="5"/>
      <c r="P4961" s="5"/>
      <c r="Q4961" s="21">
        <v>0</v>
      </c>
      <c r="R4961" s="21">
        <v>0</v>
      </c>
      <c r="S4961" s="5">
        <f t="shared" si="311"/>
        <v>28590.526073026427</v>
      </c>
      <c r="T4961" cm="1">
        <f t="array" ref="T4961">IF(OR(B4961="MAL ALIMI", B4961="ÜRETİM GİRİŞ"), MIN(I4961, MAX(0, I4961 + SUM(SUMIFS($I$1:I4960, $C$1:C4960, C4961, $B$1:B4960, {"MAL ALIMI","ÜRETİM GİRİŞ"})) - VLOOKUP(C4961, 'STOK RAPORU'!$C$2:$I$1000, 4, 0))), 0)</f>
        <v>0</v>
      </c>
      <c r="U4961" s="22">
        <f t="shared" si="308"/>
        <v>0</v>
      </c>
      <c r="V4961">
        <f t="shared" si="309"/>
        <v>0</v>
      </c>
      <c r="W4961" s="22">
        <f t="shared" si="310"/>
        <v>0</v>
      </c>
    </row>
    <row r="4962" spans="1:23" hidden="1" x14ac:dyDescent="0.25">
      <c r="A4962" s="3">
        <v>46086</v>
      </c>
      <c r="B4962" s="4" t="s">
        <v>334</v>
      </c>
      <c r="C4962" s="4" t="s">
        <v>160</v>
      </c>
      <c r="D4962" s="4"/>
      <c r="E4962" s="4" t="s">
        <v>2417</v>
      </c>
      <c r="F4962" s="46" t="s">
        <v>2416</v>
      </c>
      <c r="G4962" s="4" t="s">
        <v>2419</v>
      </c>
      <c r="H4962" s="4" t="s">
        <v>304</v>
      </c>
      <c r="I4962" s="4">
        <v>20</v>
      </c>
      <c r="J4962" s="21">
        <v>220</v>
      </c>
      <c r="K4962" s="21">
        <v>4400</v>
      </c>
      <c r="L4962" s="5">
        <v>0</v>
      </c>
      <c r="M4962" s="4"/>
      <c r="N4962" s="4"/>
      <c r="O4962" s="5"/>
      <c r="P4962" s="5"/>
      <c r="Q4962" s="21">
        <v>0</v>
      </c>
      <c r="R4962" s="21">
        <v>0</v>
      </c>
      <c r="S4962" s="5">
        <f t="shared" si="311"/>
        <v>28590.526073026427</v>
      </c>
      <c r="T4962" cm="1">
        <f t="array" ref="T4962">IF(OR(B4962="MAL ALIMI", B4962="ÜRETİM GİRİŞ"), MIN(I4962, MAX(0, I4962 + SUM(SUMIFS($I$1:I4961, $C$1:C4961, C4962, $B$1:B4961, {"MAL ALIMI","ÜRETİM GİRİŞ"})) - VLOOKUP(C4962, 'STOK RAPORU'!$C$2:$I$1000, 4, 0))), 0)</f>
        <v>0</v>
      </c>
      <c r="U4962" s="22">
        <f t="shared" si="308"/>
        <v>0</v>
      </c>
      <c r="V4962">
        <f t="shared" si="309"/>
        <v>0</v>
      </c>
      <c r="W4962" s="22">
        <f t="shared" si="310"/>
        <v>0</v>
      </c>
    </row>
    <row r="4963" spans="1:23" hidden="1" x14ac:dyDescent="0.25">
      <c r="A4963" s="3">
        <v>46086</v>
      </c>
      <c r="B4963" s="4" t="s">
        <v>334</v>
      </c>
      <c r="C4963" s="4" t="s">
        <v>728</v>
      </c>
      <c r="D4963" s="4"/>
      <c r="E4963" s="4" t="s">
        <v>921</v>
      </c>
      <c r="F4963" s="46" t="s">
        <v>2420</v>
      </c>
      <c r="G4963" s="4" t="s">
        <v>336</v>
      </c>
      <c r="H4963" s="4" t="s">
        <v>380</v>
      </c>
      <c r="I4963" s="4">
        <v>0.55000000000000004</v>
      </c>
      <c r="J4963" s="21">
        <v>690</v>
      </c>
      <c r="K4963" s="21">
        <v>379.50000000000006</v>
      </c>
      <c r="L4963" s="5">
        <v>0</v>
      </c>
      <c r="M4963" s="4"/>
      <c r="N4963" s="4"/>
      <c r="O4963" s="5"/>
      <c r="P4963" s="5"/>
      <c r="Q4963" s="21">
        <v>0</v>
      </c>
      <c r="R4963" s="21">
        <v>0</v>
      </c>
      <c r="S4963" s="5">
        <f t="shared" si="311"/>
        <v>28590.526073026427</v>
      </c>
      <c r="T4963" cm="1">
        <f t="array" ref="T4963">IF(OR(B4963="MAL ALIMI", B4963="ÜRETİM GİRİŞ"), MIN(I4963, MAX(0, I4963 + SUM(SUMIFS($I$1:I4962, $C$1:C4962, C4963, $B$1:B4962, {"MAL ALIMI","ÜRETİM GİRİŞ"})) - VLOOKUP(C4963, 'STOK RAPORU'!$C$2:$I$1000, 4, 0))), 0)</f>
        <v>0</v>
      </c>
      <c r="U4963" s="22">
        <f t="shared" si="308"/>
        <v>0</v>
      </c>
      <c r="V4963">
        <f t="shared" si="309"/>
        <v>0</v>
      </c>
      <c r="W4963" s="22">
        <f t="shared" si="310"/>
        <v>0</v>
      </c>
    </row>
    <row r="4964" spans="1:23" hidden="1" x14ac:dyDescent="0.25">
      <c r="A4964" s="3">
        <v>46086</v>
      </c>
      <c r="B4964" s="4" t="s">
        <v>334</v>
      </c>
      <c r="C4964" s="4" t="s">
        <v>160</v>
      </c>
      <c r="D4964" s="4"/>
      <c r="E4964" s="4"/>
      <c r="F4964" s="46" t="s">
        <v>2421</v>
      </c>
      <c r="G4964" s="4" t="s">
        <v>336</v>
      </c>
      <c r="H4964" s="4" t="s">
        <v>289</v>
      </c>
      <c r="I4964" s="4">
        <v>1</v>
      </c>
      <c r="J4964" s="21">
        <v>250</v>
      </c>
      <c r="K4964" s="21">
        <v>0</v>
      </c>
      <c r="L4964" s="5">
        <v>0</v>
      </c>
      <c r="M4964" s="4"/>
      <c r="N4964" s="4"/>
      <c r="O4964" s="5"/>
      <c r="P4964" s="5"/>
      <c r="Q4964" s="21">
        <v>250</v>
      </c>
      <c r="R4964" s="21">
        <v>0</v>
      </c>
      <c r="S4964" s="5">
        <f t="shared" si="311"/>
        <v>28840.526073026427</v>
      </c>
      <c r="T4964" cm="1">
        <f t="array" ref="T4964">IF(OR(B4964="MAL ALIMI", B4964="ÜRETİM GİRİŞ"), MIN(I4964, MAX(0, I4964 + SUM(SUMIFS($I$1:I4963, $C$1:C4963, C4964, $B$1:B4963, {"MAL ALIMI","ÜRETİM GİRİŞ"})) - VLOOKUP(C4964, 'STOK RAPORU'!$C$2:$I$1000, 4, 0))), 0)</f>
        <v>0</v>
      </c>
      <c r="U4964" s="22">
        <f t="shared" si="308"/>
        <v>0</v>
      </c>
      <c r="V4964">
        <f t="shared" si="309"/>
        <v>0</v>
      </c>
      <c r="W4964" s="22">
        <f t="shared" si="310"/>
        <v>0</v>
      </c>
    </row>
    <row r="4965" spans="1:23" hidden="1" x14ac:dyDescent="0.25">
      <c r="A4965" s="3">
        <v>46086</v>
      </c>
      <c r="B4965" s="4" t="s">
        <v>334</v>
      </c>
      <c r="C4965" s="4" t="s">
        <v>160</v>
      </c>
      <c r="D4965" s="4"/>
      <c r="E4965" s="4" t="s">
        <v>921</v>
      </c>
      <c r="F4965" s="46" t="s">
        <v>2422</v>
      </c>
      <c r="G4965" s="4" t="s">
        <v>336</v>
      </c>
      <c r="H4965" s="4" t="s">
        <v>380</v>
      </c>
      <c r="I4965" s="4">
        <v>1</v>
      </c>
      <c r="J4965" s="21">
        <v>250</v>
      </c>
      <c r="K4965" s="21">
        <v>250</v>
      </c>
      <c r="L4965" s="5">
        <v>0</v>
      </c>
      <c r="M4965" s="4"/>
      <c r="N4965" s="4"/>
      <c r="O4965" s="5"/>
      <c r="P4965" s="5"/>
      <c r="Q4965" s="21">
        <v>0</v>
      </c>
      <c r="R4965" s="21">
        <v>0</v>
      </c>
      <c r="S4965" s="5">
        <f t="shared" si="311"/>
        <v>28840.526073026427</v>
      </c>
      <c r="T4965" cm="1">
        <f t="array" ref="T4965">IF(OR(B4965="MAL ALIMI", B4965="ÜRETİM GİRİŞ"), MIN(I4965, MAX(0, I4965 + SUM(SUMIFS($I$1:I4964, $C$1:C4964, C4965, $B$1:B4964, {"MAL ALIMI","ÜRETİM GİRİŞ"})) - VLOOKUP(C4965, 'STOK RAPORU'!$C$2:$I$1000, 4, 0))), 0)</f>
        <v>0</v>
      </c>
      <c r="U4965" s="22">
        <f t="shared" si="308"/>
        <v>0</v>
      </c>
      <c r="V4965">
        <f t="shared" si="309"/>
        <v>0</v>
      </c>
      <c r="W4965" s="22">
        <f t="shared" si="310"/>
        <v>0</v>
      </c>
    </row>
    <row r="4966" spans="1:23" hidden="1" x14ac:dyDescent="0.25">
      <c r="A4966" s="3">
        <v>46086</v>
      </c>
      <c r="B4966" s="4" t="s">
        <v>334</v>
      </c>
      <c r="C4966" s="4" t="s">
        <v>168</v>
      </c>
      <c r="D4966" s="4"/>
      <c r="E4966" s="4" t="s">
        <v>921</v>
      </c>
      <c r="F4966" s="46" t="s">
        <v>2422</v>
      </c>
      <c r="G4966" s="4" t="s">
        <v>336</v>
      </c>
      <c r="H4966" s="4" t="s">
        <v>380</v>
      </c>
      <c r="I4966" s="4">
        <v>1</v>
      </c>
      <c r="J4966" s="21">
        <v>230</v>
      </c>
      <c r="K4966" s="21">
        <v>230</v>
      </c>
      <c r="L4966" s="5">
        <v>0</v>
      </c>
      <c r="M4966" s="4"/>
      <c r="N4966" s="4"/>
      <c r="O4966" s="5"/>
      <c r="P4966" s="5"/>
      <c r="Q4966" s="21">
        <v>0</v>
      </c>
      <c r="R4966" s="21">
        <v>0</v>
      </c>
      <c r="S4966" s="5">
        <f t="shared" si="311"/>
        <v>28840.526073026427</v>
      </c>
      <c r="T4966" cm="1">
        <f t="array" ref="T4966">IF(OR(B4966="MAL ALIMI", B4966="ÜRETİM GİRİŞ"), MIN(I4966, MAX(0, I4966 + SUM(SUMIFS($I$1:I4965, $C$1:C4965, C4966, $B$1:B4965, {"MAL ALIMI","ÜRETİM GİRİŞ"})) - VLOOKUP(C4966, 'STOK RAPORU'!$C$2:$I$1000, 4, 0))), 0)</f>
        <v>0</v>
      </c>
      <c r="U4966" s="22">
        <f t="shared" si="308"/>
        <v>0</v>
      </c>
      <c r="V4966">
        <f t="shared" si="309"/>
        <v>0</v>
      </c>
      <c r="W4966" s="22">
        <f t="shared" si="310"/>
        <v>0</v>
      </c>
    </row>
    <row r="4967" spans="1:23" hidden="1" x14ac:dyDescent="0.25">
      <c r="A4967" s="3">
        <v>46086</v>
      </c>
      <c r="B4967" s="4" t="s">
        <v>334</v>
      </c>
      <c r="C4967" s="4" t="s">
        <v>162</v>
      </c>
      <c r="D4967" s="4"/>
      <c r="E4967" s="4" t="s">
        <v>921</v>
      </c>
      <c r="F4967" s="46" t="s">
        <v>2422</v>
      </c>
      <c r="G4967" s="4" t="s">
        <v>336</v>
      </c>
      <c r="H4967" s="4" t="s">
        <v>380</v>
      </c>
      <c r="I4967" s="4">
        <v>1</v>
      </c>
      <c r="J4967" s="21">
        <v>230</v>
      </c>
      <c r="K4967" s="21">
        <v>230</v>
      </c>
      <c r="L4967" s="5">
        <v>0</v>
      </c>
      <c r="M4967" s="4"/>
      <c r="N4967" s="4"/>
      <c r="O4967" s="5"/>
      <c r="P4967" s="5"/>
      <c r="Q4967" s="21">
        <v>0</v>
      </c>
      <c r="R4967" s="21">
        <v>0</v>
      </c>
      <c r="S4967" s="5">
        <f t="shared" si="311"/>
        <v>28840.526073026427</v>
      </c>
      <c r="T4967" cm="1">
        <f t="array" ref="T4967">IF(OR(B4967="MAL ALIMI", B4967="ÜRETİM GİRİŞ"), MIN(I4967, MAX(0, I4967 + SUM(SUMIFS($I$1:I4966, $C$1:C4966, C4967, $B$1:B4966, {"MAL ALIMI","ÜRETİM GİRİŞ"})) - VLOOKUP(C4967, 'STOK RAPORU'!$C$2:$I$1000, 4, 0))), 0)</f>
        <v>0</v>
      </c>
      <c r="U4967" s="22">
        <f t="shared" si="308"/>
        <v>0</v>
      </c>
      <c r="V4967">
        <f t="shared" si="309"/>
        <v>0</v>
      </c>
      <c r="W4967" s="22">
        <f t="shared" si="310"/>
        <v>0</v>
      </c>
    </row>
    <row r="4968" spans="1:23" hidden="1" x14ac:dyDescent="0.25">
      <c r="A4968" s="3">
        <v>46086</v>
      </c>
      <c r="B4968" s="4" t="s">
        <v>334</v>
      </c>
      <c r="C4968" s="4" t="s">
        <v>133</v>
      </c>
      <c r="D4968" s="4"/>
      <c r="E4968" s="4"/>
      <c r="F4968" s="46" t="s">
        <v>2423</v>
      </c>
      <c r="G4968" s="4" t="s">
        <v>336</v>
      </c>
      <c r="H4968" s="4" t="s">
        <v>289</v>
      </c>
      <c r="I4968" s="4">
        <v>0.2</v>
      </c>
      <c r="J4968" s="21">
        <v>400</v>
      </c>
      <c r="K4968" s="21">
        <v>0</v>
      </c>
      <c r="L4968" s="5">
        <v>0</v>
      </c>
      <c r="M4968" s="4"/>
      <c r="N4968" s="4"/>
      <c r="O4968" s="5"/>
      <c r="P4968" s="5"/>
      <c r="Q4968" s="21">
        <v>80</v>
      </c>
      <c r="R4968" s="21">
        <v>0</v>
      </c>
      <c r="S4968" s="5">
        <f t="shared" si="311"/>
        <v>28920.526073026427</v>
      </c>
      <c r="T4968" cm="1">
        <f t="array" ref="T4968">IF(OR(B4968="MAL ALIMI", B4968="ÜRETİM GİRİŞ"), MIN(I4968, MAX(0, I4968 + SUM(SUMIFS($I$1:I4967, $C$1:C4967, C4968, $B$1:B4967, {"MAL ALIMI","ÜRETİM GİRİŞ"})) - VLOOKUP(C4968, 'STOK RAPORU'!$C$2:$I$1000, 4, 0))), 0)</f>
        <v>0</v>
      </c>
      <c r="U4968" s="22">
        <f t="shared" si="308"/>
        <v>0</v>
      </c>
      <c r="V4968">
        <f t="shared" si="309"/>
        <v>0</v>
      </c>
      <c r="W4968" s="22">
        <f t="shared" si="310"/>
        <v>0</v>
      </c>
    </row>
    <row r="4969" spans="1:23" hidden="1" x14ac:dyDescent="0.25">
      <c r="A4969" s="3">
        <v>46086</v>
      </c>
      <c r="B4969" s="4" t="s">
        <v>334</v>
      </c>
      <c r="C4969" s="4" t="s">
        <v>132</v>
      </c>
      <c r="D4969" s="4"/>
      <c r="E4969" s="4" t="s">
        <v>921</v>
      </c>
      <c r="F4969" s="46" t="s">
        <v>2424</v>
      </c>
      <c r="G4969" s="4" t="s">
        <v>336</v>
      </c>
      <c r="H4969" s="4" t="s">
        <v>380</v>
      </c>
      <c r="I4969" s="4">
        <v>0.25</v>
      </c>
      <c r="J4969" s="21">
        <v>500</v>
      </c>
      <c r="K4969" s="21">
        <v>125</v>
      </c>
      <c r="L4969" s="5">
        <v>0</v>
      </c>
      <c r="M4969" s="4"/>
      <c r="N4969" s="4"/>
      <c r="O4969" s="5"/>
      <c r="P4969" s="5"/>
      <c r="Q4969" s="21">
        <v>0</v>
      </c>
      <c r="R4969" s="21">
        <v>0</v>
      </c>
      <c r="S4969" s="5">
        <f t="shared" si="311"/>
        <v>28920.526073026427</v>
      </c>
      <c r="T4969" cm="1">
        <f t="array" ref="T4969">IF(OR(B4969="MAL ALIMI", B4969="ÜRETİM GİRİŞ"), MIN(I4969, MAX(0, I4969 + SUM(SUMIFS($I$1:I4968, $C$1:C4968, C4969, $B$1:B4968, {"MAL ALIMI","ÜRETİM GİRİŞ"})) - VLOOKUP(C4969, 'STOK RAPORU'!$C$2:$I$1000, 4, 0))), 0)</f>
        <v>0</v>
      </c>
      <c r="U4969" s="22">
        <f t="shared" si="308"/>
        <v>0</v>
      </c>
      <c r="V4969">
        <f t="shared" si="309"/>
        <v>0</v>
      </c>
      <c r="W4969" s="22">
        <f t="shared" si="310"/>
        <v>0</v>
      </c>
    </row>
    <row r="4970" spans="1:23" hidden="1" x14ac:dyDescent="0.25">
      <c r="A4970" s="3">
        <v>46086</v>
      </c>
      <c r="B4970" s="4" t="s">
        <v>334</v>
      </c>
      <c r="C4970" s="4" t="s">
        <v>892</v>
      </c>
      <c r="D4970" s="4"/>
      <c r="E4970" s="4"/>
      <c r="F4970" s="46" t="s">
        <v>2425</v>
      </c>
      <c r="G4970" s="4" t="s">
        <v>336</v>
      </c>
      <c r="H4970" s="4" t="s">
        <v>289</v>
      </c>
      <c r="I4970" s="4">
        <v>1</v>
      </c>
      <c r="J4970" s="21">
        <v>60</v>
      </c>
      <c r="K4970" s="21">
        <v>0</v>
      </c>
      <c r="L4970" s="5">
        <v>0</v>
      </c>
      <c r="M4970" s="4"/>
      <c r="N4970" s="4"/>
      <c r="O4970" s="5"/>
      <c r="P4970" s="5"/>
      <c r="Q4970" s="21">
        <v>60</v>
      </c>
      <c r="R4970" s="21">
        <v>0</v>
      </c>
      <c r="S4970" s="5">
        <f t="shared" si="311"/>
        <v>28980.526073026427</v>
      </c>
      <c r="T4970" cm="1">
        <f t="array" ref="T4970">IF(OR(B4970="MAL ALIMI", B4970="ÜRETİM GİRİŞ"), MIN(I4970, MAX(0, I4970 + SUM(SUMIFS($I$1:I4969, $C$1:C4969, C4970, $B$1:B4969, {"MAL ALIMI","ÜRETİM GİRİŞ"})) - VLOOKUP(C4970, 'STOK RAPORU'!$C$2:$I$1000, 4, 0))), 0)</f>
        <v>0</v>
      </c>
      <c r="U4970" s="22">
        <f t="shared" si="308"/>
        <v>0</v>
      </c>
      <c r="V4970">
        <f t="shared" si="309"/>
        <v>0</v>
      </c>
      <c r="W4970" s="22">
        <f t="shared" si="310"/>
        <v>0</v>
      </c>
    </row>
    <row r="4971" spans="1:23" hidden="1" x14ac:dyDescent="0.25">
      <c r="A4971" s="3">
        <v>46086</v>
      </c>
      <c r="B4971" s="4" t="s">
        <v>334</v>
      </c>
      <c r="C4971" s="4" t="s">
        <v>1041</v>
      </c>
      <c r="D4971" s="4"/>
      <c r="E4971" s="4" t="s">
        <v>921</v>
      </c>
      <c r="F4971" s="46" t="s">
        <v>2426</v>
      </c>
      <c r="G4971" s="4" t="s">
        <v>336</v>
      </c>
      <c r="H4971" s="4" t="s">
        <v>380</v>
      </c>
      <c r="I4971" s="4">
        <v>0.6</v>
      </c>
      <c r="J4971" s="21">
        <v>250</v>
      </c>
      <c r="K4971" s="21">
        <v>150</v>
      </c>
      <c r="L4971" s="5">
        <v>0</v>
      </c>
      <c r="M4971" s="4"/>
      <c r="N4971" s="4"/>
      <c r="O4971" s="5"/>
      <c r="P4971" s="5"/>
      <c r="Q4971" s="21">
        <v>0</v>
      </c>
      <c r="R4971" s="21">
        <v>0</v>
      </c>
      <c r="S4971" s="5">
        <f t="shared" si="311"/>
        <v>28980.526073026427</v>
      </c>
      <c r="T4971" cm="1">
        <f t="array" ref="T4971">IF(OR(B4971="MAL ALIMI", B4971="ÜRETİM GİRİŞ"), MIN(I4971, MAX(0, I4971 + SUM(SUMIFS($I$1:I4970, $C$1:C4970, C4971, $B$1:B4970, {"MAL ALIMI","ÜRETİM GİRİŞ"})) - VLOOKUP(C4971, 'STOK RAPORU'!$C$2:$I$1000, 4, 0))), 0)</f>
        <v>0</v>
      </c>
      <c r="U4971" s="22">
        <f t="shared" si="308"/>
        <v>0</v>
      </c>
      <c r="V4971">
        <f t="shared" si="309"/>
        <v>0</v>
      </c>
      <c r="W4971" s="22">
        <f t="shared" si="310"/>
        <v>0</v>
      </c>
    </row>
    <row r="4972" spans="1:23" hidden="1" x14ac:dyDescent="0.25">
      <c r="A4972" s="3">
        <v>46086</v>
      </c>
      <c r="B4972" s="4" t="s">
        <v>334</v>
      </c>
      <c r="C4972" s="4" t="s">
        <v>132</v>
      </c>
      <c r="D4972" s="4"/>
      <c r="E4972" s="4" t="s">
        <v>921</v>
      </c>
      <c r="F4972" s="46" t="s">
        <v>2426</v>
      </c>
      <c r="G4972" s="4" t="s">
        <v>336</v>
      </c>
      <c r="H4972" s="4" t="s">
        <v>380</v>
      </c>
      <c r="I4972" s="4">
        <v>0.19</v>
      </c>
      <c r="J4972" s="21">
        <v>500</v>
      </c>
      <c r="K4972" s="21">
        <v>95</v>
      </c>
      <c r="L4972" s="5">
        <v>0</v>
      </c>
      <c r="M4972" s="4"/>
      <c r="N4972" s="4"/>
      <c r="O4972" s="5"/>
      <c r="P4972" s="5"/>
      <c r="Q4972" s="21">
        <v>0</v>
      </c>
      <c r="R4972" s="21">
        <v>0</v>
      </c>
      <c r="S4972" s="5">
        <f t="shared" si="311"/>
        <v>28980.526073026427</v>
      </c>
      <c r="T4972" cm="1">
        <f t="array" ref="T4972">IF(OR(B4972="MAL ALIMI", B4972="ÜRETİM GİRİŞ"), MIN(I4972, MAX(0, I4972 + SUM(SUMIFS($I$1:I4971, $C$1:C4971, C4972, $B$1:B4971, {"MAL ALIMI","ÜRETİM GİRİŞ"})) - VLOOKUP(C4972, 'STOK RAPORU'!$C$2:$I$1000, 4, 0))), 0)</f>
        <v>0</v>
      </c>
      <c r="U4972" s="22">
        <f t="shared" si="308"/>
        <v>0</v>
      </c>
      <c r="V4972">
        <f t="shared" si="309"/>
        <v>0</v>
      </c>
      <c r="W4972" s="22">
        <f t="shared" si="310"/>
        <v>0</v>
      </c>
    </row>
    <row r="4973" spans="1:23" hidden="1" x14ac:dyDescent="0.25">
      <c r="A4973" s="3">
        <v>46086</v>
      </c>
      <c r="B4973" s="4" t="s">
        <v>334</v>
      </c>
      <c r="C4973" s="4" t="s">
        <v>154</v>
      </c>
      <c r="D4973" s="4"/>
      <c r="E4973" s="4" t="s">
        <v>921</v>
      </c>
      <c r="F4973" s="46" t="s">
        <v>2426</v>
      </c>
      <c r="G4973" s="4" t="s">
        <v>336</v>
      </c>
      <c r="H4973" s="4" t="s">
        <v>380</v>
      </c>
      <c r="I4973" s="4">
        <v>0.1</v>
      </c>
      <c r="J4973" s="21">
        <v>400</v>
      </c>
      <c r="K4973" s="21">
        <v>40</v>
      </c>
      <c r="L4973" s="5">
        <v>0</v>
      </c>
      <c r="M4973" s="4"/>
      <c r="N4973" s="4"/>
      <c r="O4973" s="5"/>
      <c r="P4973" s="5"/>
      <c r="Q4973" s="21">
        <v>0</v>
      </c>
      <c r="R4973" s="21">
        <v>0</v>
      </c>
      <c r="S4973" s="5">
        <f t="shared" si="311"/>
        <v>28980.526073026427</v>
      </c>
      <c r="T4973" cm="1">
        <f t="array" ref="T4973">IF(OR(B4973="MAL ALIMI", B4973="ÜRETİM GİRİŞ"), MIN(I4973, MAX(0, I4973 + SUM(SUMIFS($I$1:I4972, $C$1:C4972, C4973, $B$1:B4972, {"MAL ALIMI","ÜRETİM GİRİŞ"})) - VLOOKUP(C4973, 'STOK RAPORU'!$C$2:$I$1000, 4, 0))), 0)</f>
        <v>0</v>
      </c>
      <c r="U4973" s="22">
        <f t="shared" si="308"/>
        <v>0</v>
      </c>
      <c r="V4973">
        <f t="shared" si="309"/>
        <v>0</v>
      </c>
      <c r="W4973" s="22">
        <f t="shared" si="310"/>
        <v>0</v>
      </c>
    </row>
    <row r="4974" spans="1:23" hidden="1" x14ac:dyDescent="0.25">
      <c r="A4974" s="3">
        <v>46086</v>
      </c>
      <c r="B4974" s="4" t="s">
        <v>334</v>
      </c>
      <c r="C4974" s="4" t="s">
        <v>192</v>
      </c>
      <c r="D4974" s="4"/>
      <c r="E4974" s="4" t="s">
        <v>921</v>
      </c>
      <c r="F4974" s="46" t="s">
        <v>2427</v>
      </c>
      <c r="G4974" s="4" t="s">
        <v>336</v>
      </c>
      <c r="H4974" s="4" t="s">
        <v>380</v>
      </c>
      <c r="I4974" s="4">
        <v>0.12</v>
      </c>
      <c r="J4974" s="21">
        <v>417</v>
      </c>
      <c r="K4974" s="21">
        <v>50.04</v>
      </c>
      <c r="L4974" s="5">
        <v>0</v>
      </c>
      <c r="M4974" s="4"/>
      <c r="N4974" s="4"/>
      <c r="O4974" s="5"/>
      <c r="P4974" s="5"/>
      <c r="Q4974" s="21">
        <v>0</v>
      </c>
      <c r="R4974" s="21">
        <v>0</v>
      </c>
      <c r="S4974" s="5">
        <f t="shared" si="311"/>
        <v>28980.526073026427</v>
      </c>
      <c r="T4974" cm="1">
        <f t="array" ref="T4974">IF(OR(B4974="MAL ALIMI", B4974="ÜRETİM GİRİŞ"), MIN(I4974, MAX(0, I4974 + SUM(SUMIFS($I$1:I4973, $C$1:C4973, C4974, $B$1:B4973, {"MAL ALIMI","ÜRETİM GİRİŞ"})) - VLOOKUP(C4974, 'STOK RAPORU'!$C$2:$I$1000, 4, 0))), 0)</f>
        <v>0</v>
      </c>
      <c r="U4974" s="22">
        <f t="shared" si="308"/>
        <v>0</v>
      </c>
      <c r="V4974">
        <f t="shared" si="309"/>
        <v>0</v>
      </c>
      <c r="W4974" s="22">
        <f t="shared" si="310"/>
        <v>0</v>
      </c>
    </row>
    <row r="4975" spans="1:23" hidden="1" x14ac:dyDescent="0.25">
      <c r="A4975" s="3">
        <v>46086</v>
      </c>
      <c r="B4975" s="4" t="s">
        <v>334</v>
      </c>
      <c r="C4975" s="4" t="s">
        <v>131</v>
      </c>
      <c r="D4975" s="4"/>
      <c r="E4975" s="4"/>
      <c r="F4975" s="46" t="s">
        <v>2428</v>
      </c>
      <c r="G4975" s="4" t="s">
        <v>336</v>
      </c>
      <c r="H4975" s="4" t="s">
        <v>289</v>
      </c>
      <c r="I4975" s="4">
        <v>0.13500000000000001</v>
      </c>
      <c r="J4975" s="21">
        <v>400</v>
      </c>
      <c r="K4975" s="21">
        <v>0</v>
      </c>
      <c r="L4975" s="5">
        <v>0</v>
      </c>
      <c r="M4975" s="4"/>
      <c r="N4975" s="4"/>
      <c r="O4975" s="5"/>
      <c r="P4975" s="5"/>
      <c r="Q4975" s="21">
        <v>54</v>
      </c>
      <c r="R4975" s="21">
        <v>0</v>
      </c>
      <c r="S4975" s="5">
        <f t="shared" si="311"/>
        <v>29034.526073026427</v>
      </c>
      <c r="T4975" cm="1">
        <f t="array" ref="T4975">IF(OR(B4975="MAL ALIMI", B4975="ÜRETİM GİRİŞ"), MIN(I4975, MAX(0, I4975 + SUM(SUMIFS($I$1:I4974, $C$1:C4974, C4975, $B$1:B4974, {"MAL ALIMI","ÜRETİM GİRİŞ"})) - VLOOKUP(C4975, 'STOK RAPORU'!$C$2:$I$1000, 4, 0))), 0)</f>
        <v>0</v>
      </c>
      <c r="U4975" s="22">
        <f t="shared" si="308"/>
        <v>0</v>
      </c>
      <c r="V4975">
        <f t="shared" si="309"/>
        <v>0</v>
      </c>
      <c r="W4975" s="22">
        <f t="shared" si="310"/>
        <v>0</v>
      </c>
    </row>
    <row r="4976" spans="1:23" hidden="1" x14ac:dyDescent="0.25">
      <c r="A4976" s="3">
        <v>46086</v>
      </c>
      <c r="B4976" s="4" t="s">
        <v>334</v>
      </c>
      <c r="C4976" s="4" t="s">
        <v>60</v>
      </c>
      <c r="D4976" s="4"/>
      <c r="E4976" s="4"/>
      <c r="F4976" s="46" t="s">
        <v>2428</v>
      </c>
      <c r="G4976" s="4" t="s">
        <v>336</v>
      </c>
      <c r="H4976" s="4" t="s">
        <v>289</v>
      </c>
      <c r="I4976" s="4">
        <v>0.05</v>
      </c>
      <c r="J4976" s="21">
        <v>1200</v>
      </c>
      <c r="K4976" s="21">
        <v>0</v>
      </c>
      <c r="L4976" s="5">
        <v>0</v>
      </c>
      <c r="M4976" s="4"/>
      <c r="N4976" s="4"/>
      <c r="O4976" s="5"/>
      <c r="P4976" s="5"/>
      <c r="Q4976" s="21">
        <v>60</v>
      </c>
      <c r="R4976" s="21">
        <v>0</v>
      </c>
      <c r="S4976" s="5">
        <f t="shared" si="311"/>
        <v>29094.526073026427</v>
      </c>
      <c r="T4976" cm="1">
        <f t="array" ref="T4976">IF(OR(B4976="MAL ALIMI", B4976="ÜRETİM GİRİŞ"), MIN(I4976, MAX(0, I4976 + SUM(SUMIFS($I$1:I4975, $C$1:C4975, C4976, $B$1:B4975, {"MAL ALIMI","ÜRETİM GİRİŞ"})) - VLOOKUP(C4976, 'STOK RAPORU'!$C$2:$I$1000, 4, 0))), 0)</f>
        <v>0</v>
      </c>
      <c r="U4976" s="22">
        <f t="shared" si="308"/>
        <v>0</v>
      </c>
      <c r="V4976">
        <f t="shared" si="309"/>
        <v>0</v>
      </c>
      <c r="W4976" s="22">
        <f t="shared" si="310"/>
        <v>0</v>
      </c>
    </row>
    <row r="4977" spans="1:23" hidden="1" x14ac:dyDescent="0.25">
      <c r="A4977" s="3">
        <v>46086</v>
      </c>
      <c r="B4977" s="4" t="s">
        <v>334</v>
      </c>
      <c r="C4977" s="4" t="s">
        <v>468</v>
      </c>
      <c r="D4977" s="4"/>
      <c r="E4977" s="4"/>
      <c r="F4977" s="46" t="s">
        <v>2429</v>
      </c>
      <c r="G4977" s="4" t="s">
        <v>336</v>
      </c>
      <c r="H4977" s="4" t="s">
        <v>289</v>
      </c>
      <c r="I4977" s="4">
        <v>1</v>
      </c>
      <c r="J4977" s="21">
        <v>50</v>
      </c>
      <c r="K4977" s="21">
        <v>0</v>
      </c>
      <c r="L4977" s="5">
        <v>0</v>
      </c>
      <c r="M4977" s="4"/>
      <c r="N4977" s="4"/>
      <c r="O4977" s="5"/>
      <c r="P4977" s="5"/>
      <c r="Q4977" s="21">
        <v>50</v>
      </c>
      <c r="R4977" s="21">
        <v>0</v>
      </c>
      <c r="S4977" s="5">
        <f t="shared" si="311"/>
        <v>29144.526073026427</v>
      </c>
      <c r="T4977" cm="1">
        <f t="array" ref="T4977">IF(OR(B4977="MAL ALIMI", B4977="ÜRETİM GİRİŞ"), MIN(I4977, MAX(0, I4977 + SUM(SUMIFS($I$1:I4976, $C$1:C4976, C4977, $B$1:B4976, {"MAL ALIMI","ÜRETİM GİRİŞ"})) - VLOOKUP(C4977, 'STOK RAPORU'!$C$2:$I$1000, 4, 0))), 0)</f>
        <v>0</v>
      </c>
      <c r="U4977" s="22">
        <f t="shared" si="308"/>
        <v>0</v>
      </c>
      <c r="V4977">
        <f t="shared" si="309"/>
        <v>0</v>
      </c>
      <c r="W4977" s="22">
        <f t="shared" si="310"/>
        <v>0</v>
      </c>
    </row>
    <row r="4978" spans="1:23" hidden="1" x14ac:dyDescent="0.25">
      <c r="A4978" s="3">
        <v>46086</v>
      </c>
      <c r="B4978" s="4" t="s">
        <v>334</v>
      </c>
      <c r="C4978" s="4" t="s">
        <v>161</v>
      </c>
      <c r="D4978" s="4"/>
      <c r="E4978" s="4"/>
      <c r="F4978" s="46" t="s">
        <v>2430</v>
      </c>
      <c r="G4978" s="4" t="s">
        <v>336</v>
      </c>
      <c r="H4978" s="4" t="s">
        <v>289</v>
      </c>
      <c r="I4978" s="4">
        <v>1</v>
      </c>
      <c r="J4978" s="21">
        <v>230</v>
      </c>
      <c r="K4978" s="21">
        <v>0</v>
      </c>
      <c r="L4978" s="5">
        <v>0</v>
      </c>
      <c r="M4978" s="4"/>
      <c r="N4978" s="4"/>
      <c r="O4978" s="5"/>
      <c r="P4978" s="5"/>
      <c r="Q4978" s="21">
        <v>230</v>
      </c>
      <c r="R4978" s="21">
        <v>0</v>
      </c>
      <c r="S4978" s="5">
        <f t="shared" si="311"/>
        <v>29374.526073026427</v>
      </c>
      <c r="T4978" cm="1">
        <f t="array" ref="T4978">IF(OR(B4978="MAL ALIMI", B4978="ÜRETİM GİRİŞ"), MIN(I4978, MAX(0, I4978 + SUM(SUMIFS($I$1:I4977, $C$1:C4977, C4978, $B$1:B4977, {"MAL ALIMI","ÜRETİM GİRİŞ"})) - VLOOKUP(C4978, 'STOK RAPORU'!$C$2:$I$1000, 4, 0))), 0)</f>
        <v>0</v>
      </c>
      <c r="U4978" s="22">
        <f t="shared" si="308"/>
        <v>0</v>
      </c>
      <c r="V4978">
        <f t="shared" si="309"/>
        <v>0</v>
      </c>
      <c r="W4978" s="22">
        <f t="shared" si="310"/>
        <v>0</v>
      </c>
    </row>
    <row r="4979" spans="1:23" hidden="1" x14ac:dyDescent="0.25">
      <c r="A4979" s="3">
        <v>46086</v>
      </c>
      <c r="B4979" s="4" t="s">
        <v>334</v>
      </c>
      <c r="C4979" s="4" t="s">
        <v>167</v>
      </c>
      <c r="D4979" s="4"/>
      <c r="E4979" s="4"/>
      <c r="F4979" s="46" t="s">
        <v>2431</v>
      </c>
      <c r="G4979" s="4" t="s">
        <v>336</v>
      </c>
      <c r="H4979" s="4" t="s">
        <v>289</v>
      </c>
      <c r="I4979" s="4">
        <v>1</v>
      </c>
      <c r="J4979" s="21">
        <v>200</v>
      </c>
      <c r="K4979" s="21">
        <v>0</v>
      </c>
      <c r="L4979" s="5">
        <v>0</v>
      </c>
      <c r="M4979" s="4"/>
      <c r="N4979" s="4"/>
      <c r="O4979" s="5"/>
      <c r="P4979" s="5"/>
      <c r="Q4979" s="21">
        <v>200</v>
      </c>
      <c r="R4979" s="21">
        <v>0</v>
      </c>
      <c r="S4979" s="5">
        <f t="shared" si="311"/>
        <v>29574.526073026427</v>
      </c>
      <c r="T4979" cm="1">
        <f t="array" ref="T4979">IF(OR(B4979="MAL ALIMI", B4979="ÜRETİM GİRİŞ"), MIN(I4979, MAX(0, I4979 + SUM(SUMIFS($I$1:I4978, $C$1:C4978, C4979, $B$1:B4978, {"MAL ALIMI","ÜRETİM GİRİŞ"})) - VLOOKUP(C4979, 'STOK RAPORU'!$C$2:$I$1000, 4, 0))), 0)</f>
        <v>0</v>
      </c>
      <c r="U4979" s="22">
        <f t="shared" si="308"/>
        <v>0</v>
      </c>
      <c r="V4979">
        <f t="shared" si="309"/>
        <v>0</v>
      </c>
      <c r="W4979" s="22">
        <f t="shared" si="310"/>
        <v>0</v>
      </c>
    </row>
    <row r="4980" spans="1:23" hidden="1" x14ac:dyDescent="0.25">
      <c r="A4980" s="3">
        <v>46086</v>
      </c>
      <c r="B4980" s="4" t="s">
        <v>334</v>
      </c>
      <c r="C4980" s="4" t="s">
        <v>206</v>
      </c>
      <c r="D4980" s="4"/>
      <c r="E4980" s="4" t="s">
        <v>921</v>
      </c>
      <c r="F4980" s="46" t="s">
        <v>2432</v>
      </c>
      <c r="G4980" s="4" t="s">
        <v>336</v>
      </c>
      <c r="H4980" s="4" t="s">
        <v>380</v>
      </c>
      <c r="I4980" s="4">
        <v>1</v>
      </c>
      <c r="J4980" s="21">
        <v>250</v>
      </c>
      <c r="K4980" s="21">
        <v>250</v>
      </c>
      <c r="L4980" s="5">
        <v>0</v>
      </c>
      <c r="M4980" s="4"/>
      <c r="N4980" s="4"/>
      <c r="O4980" s="5"/>
      <c r="P4980" s="5"/>
      <c r="Q4980" s="21">
        <v>0</v>
      </c>
      <c r="R4980" s="21">
        <v>0</v>
      </c>
      <c r="S4980" s="5">
        <f t="shared" si="311"/>
        <v>29574.526073026427</v>
      </c>
      <c r="T4980" cm="1">
        <f t="array" ref="T4980">IF(OR(B4980="MAL ALIMI", B4980="ÜRETİM GİRİŞ"), MIN(I4980, MAX(0, I4980 + SUM(SUMIFS($I$1:I4979, $C$1:C4979, C4980, $B$1:B4979, {"MAL ALIMI","ÜRETİM GİRİŞ"})) - VLOOKUP(C4980, 'STOK RAPORU'!$C$2:$I$1000, 4, 0))), 0)</f>
        <v>0</v>
      </c>
      <c r="U4980" s="22">
        <f t="shared" ref="U4980:U5043" si="312">T4980*J4980</f>
        <v>0</v>
      </c>
      <c r="V4980">
        <f t="shared" ref="V4980:V5043" si="313">IF(OR(B4980="MAL ALIMI", B4980="ÜRETİM GİRİŞ"), I4980 * J4980, 0)</f>
        <v>0</v>
      </c>
      <c r="W4980" s="22">
        <f t="shared" ref="W4980:W5043" si="314">V4980-U4980</f>
        <v>0</v>
      </c>
    </row>
    <row r="4981" spans="1:23" hidden="1" x14ac:dyDescent="0.25">
      <c r="A4981" s="3">
        <v>46086</v>
      </c>
      <c r="B4981" s="4" t="s">
        <v>334</v>
      </c>
      <c r="C4981" s="4" t="s">
        <v>160</v>
      </c>
      <c r="D4981" s="4"/>
      <c r="E4981" s="4" t="s">
        <v>921</v>
      </c>
      <c r="F4981" s="46" t="s">
        <v>2433</v>
      </c>
      <c r="G4981" s="4" t="s">
        <v>336</v>
      </c>
      <c r="H4981" s="4" t="s">
        <v>380</v>
      </c>
      <c r="I4981" s="4">
        <v>1</v>
      </c>
      <c r="J4981" s="21">
        <v>250</v>
      </c>
      <c r="K4981" s="21">
        <v>250</v>
      </c>
      <c r="L4981" s="5">
        <v>0</v>
      </c>
      <c r="M4981" s="4"/>
      <c r="N4981" s="4"/>
      <c r="O4981" s="5"/>
      <c r="P4981" s="5"/>
      <c r="Q4981" s="21">
        <v>0</v>
      </c>
      <c r="R4981" s="21">
        <v>0</v>
      </c>
      <c r="S4981" s="5">
        <f t="shared" si="311"/>
        <v>29574.526073026427</v>
      </c>
      <c r="T4981" cm="1">
        <f t="array" ref="T4981">IF(OR(B4981="MAL ALIMI", B4981="ÜRETİM GİRİŞ"), MIN(I4981, MAX(0, I4981 + SUM(SUMIFS($I$1:I4980, $C$1:C4980, C4981, $B$1:B4980, {"MAL ALIMI","ÜRETİM GİRİŞ"})) - VLOOKUP(C4981, 'STOK RAPORU'!$C$2:$I$1000, 4, 0))), 0)</f>
        <v>0</v>
      </c>
      <c r="U4981" s="22">
        <f t="shared" si="312"/>
        <v>0</v>
      </c>
      <c r="V4981">
        <f t="shared" si="313"/>
        <v>0</v>
      </c>
      <c r="W4981" s="22">
        <f t="shared" si="314"/>
        <v>0</v>
      </c>
    </row>
    <row r="4982" spans="1:23" hidden="1" x14ac:dyDescent="0.25">
      <c r="A4982" s="3">
        <v>46086</v>
      </c>
      <c r="B4982" s="4" t="s">
        <v>334</v>
      </c>
      <c r="C4982" s="4" t="s">
        <v>194</v>
      </c>
      <c r="D4982" s="4"/>
      <c r="E4982" s="4" t="s">
        <v>921</v>
      </c>
      <c r="F4982" s="46" t="s">
        <v>2433</v>
      </c>
      <c r="G4982" s="4" t="s">
        <v>336</v>
      </c>
      <c r="H4982" s="4" t="s">
        <v>380</v>
      </c>
      <c r="I4982" s="4">
        <v>0.156</v>
      </c>
      <c r="J4982" s="21">
        <v>750</v>
      </c>
      <c r="K4982" s="21">
        <v>117</v>
      </c>
      <c r="L4982" s="5">
        <v>0</v>
      </c>
      <c r="M4982" s="4"/>
      <c r="N4982" s="4"/>
      <c r="O4982" s="5"/>
      <c r="P4982" s="5"/>
      <c r="Q4982" s="21">
        <v>0</v>
      </c>
      <c r="R4982" s="21">
        <v>0</v>
      </c>
      <c r="S4982" s="5">
        <f t="shared" si="311"/>
        <v>29574.526073026427</v>
      </c>
      <c r="T4982" cm="1">
        <f t="array" ref="T4982">IF(OR(B4982="MAL ALIMI", B4982="ÜRETİM GİRİŞ"), MIN(I4982, MAX(0, I4982 + SUM(SUMIFS($I$1:I4981, $C$1:C4981, C4982, $B$1:B4981, {"MAL ALIMI","ÜRETİM GİRİŞ"})) - VLOOKUP(C4982, 'STOK RAPORU'!$C$2:$I$1000, 4, 0))), 0)</f>
        <v>0</v>
      </c>
      <c r="U4982" s="22">
        <f t="shared" si="312"/>
        <v>0</v>
      </c>
      <c r="V4982">
        <f t="shared" si="313"/>
        <v>0</v>
      </c>
      <c r="W4982" s="22">
        <f t="shared" si="314"/>
        <v>0</v>
      </c>
    </row>
    <row r="4983" spans="1:23" hidden="1" x14ac:dyDescent="0.25">
      <c r="A4983" s="3">
        <v>46086</v>
      </c>
      <c r="B4983" s="4" t="s">
        <v>334</v>
      </c>
      <c r="C4983" s="4" t="s">
        <v>252</v>
      </c>
      <c r="D4983" s="4"/>
      <c r="E4983" s="4" t="s">
        <v>921</v>
      </c>
      <c r="F4983" s="46" t="s">
        <v>2433</v>
      </c>
      <c r="G4983" s="4" t="s">
        <v>336</v>
      </c>
      <c r="H4983" s="4" t="s">
        <v>380</v>
      </c>
      <c r="I4983" s="4">
        <v>0.25</v>
      </c>
      <c r="J4983" s="21">
        <v>200</v>
      </c>
      <c r="K4983" s="21">
        <v>50</v>
      </c>
      <c r="L4983" s="5">
        <v>0</v>
      </c>
      <c r="M4983" s="4"/>
      <c r="N4983" s="4"/>
      <c r="O4983" s="5"/>
      <c r="P4983" s="5"/>
      <c r="Q4983" s="21">
        <v>0</v>
      </c>
      <c r="R4983" s="21">
        <v>0</v>
      </c>
      <c r="S4983" s="5">
        <f t="shared" si="311"/>
        <v>29574.526073026427</v>
      </c>
      <c r="T4983" cm="1">
        <f t="array" ref="T4983">IF(OR(B4983="MAL ALIMI", B4983="ÜRETİM GİRİŞ"), MIN(I4983, MAX(0, I4983 + SUM(SUMIFS($I$1:I4982, $C$1:C4982, C4983, $B$1:B4982, {"MAL ALIMI","ÜRETİM GİRİŞ"})) - VLOOKUP(C4983, 'STOK RAPORU'!$C$2:$I$1000, 4, 0))), 0)</f>
        <v>0</v>
      </c>
      <c r="U4983" s="22">
        <f t="shared" si="312"/>
        <v>0</v>
      </c>
      <c r="V4983">
        <f t="shared" si="313"/>
        <v>0</v>
      </c>
      <c r="W4983" s="22">
        <f t="shared" si="314"/>
        <v>0</v>
      </c>
    </row>
    <row r="4984" spans="1:23" hidden="1" x14ac:dyDescent="0.25">
      <c r="A4984" s="3">
        <v>46086</v>
      </c>
      <c r="B4984" s="4" t="s">
        <v>334</v>
      </c>
      <c r="C4984" s="4" t="s">
        <v>690</v>
      </c>
      <c r="D4984" s="4"/>
      <c r="E4984" s="4" t="s">
        <v>921</v>
      </c>
      <c r="F4984" s="46" t="s">
        <v>2433</v>
      </c>
      <c r="G4984" s="4" t="s">
        <v>336</v>
      </c>
      <c r="H4984" s="4" t="s">
        <v>380</v>
      </c>
      <c r="I4984" s="4">
        <v>0.36</v>
      </c>
      <c r="J4984" s="21">
        <v>340</v>
      </c>
      <c r="K4984" s="21">
        <v>122.39999999999999</v>
      </c>
      <c r="L4984" s="5">
        <v>0</v>
      </c>
      <c r="M4984" s="4"/>
      <c r="N4984" s="4"/>
      <c r="O4984" s="5"/>
      <c r="P4984" s="5"/>
      <c r="Q4984" s="21">
        <v>0</v>
      </c>
      <c r="R4984" s="21">
        <v>0</v>
      </c>
      <c r="S4984" s="5">
        <f t="shared" si="311"/>
        <v>29574.526073026427</v>
      </c>
      <c r="T4984" cm="1">
        <f t="array" ref="T4984">IF(OR(B4984="MAL ALIMI", B4984="ÜRETİM GİRİŞ"), MIN(I4984, MAX(0, I4984 + SUM(SUMIFS($I$1:I4983, $C$1:C4983, C4984, $B$1:B4983, {"MAL ALIMI","ÜRETİM GİRİŞ"})) - VLOOKUP(C4984, 'STOK RAPORU'!$C$2:$I$1000, 4, 0))), 0)</f>
        <v>0</v>
      </c>
      <c r="U4984" s="22">
        <f t="shared" si="312"/>
        <v>0</v>
      </c>
      <c r="V4984">
        <f t="shared" si="313"/>
        <v>0</v>
      </c>
      <c r="W4984" s="22">
        <f t="shared" si="314"/>
        <v>0</v>
      </c>
    </row>
    <row r="4985" spans="1:23" hidden="1" x14ac:dyDescent="0.25">
      <c r="A4985" s="3">
        <v>46086</v>
      </c>
      <c r="B4985" s="4" t="s">
        <v>334</v>
      </c>
      <c r="C4985" s="4" t="s">
        <v>750</v>
      </c>
      <c r="D4985" s="4"/>
      <c r="E4985" s="4" t="s">
        <v>921</v>
      </c>
      <c r="F4985" s="46" t="s">
        <v>2433</v>
      </c>
      <c r="G4985" s="4" t="s">
        <v>336</v>
      </c>
      <c r="H4985" s="4" t="s">
        <v>380</v>
      </c>
      <c r="I4985" s="4">
        <v>1</v>
      </c>
      <c r="J4985" s="21">
        <v>250</v>
      </c>
      <c r="K4985" s="21">
        <v>250</v>
      </c>
      <c r="L4985" s="5">
        <v>0</v>
      </c>
      <c r="M4985" s="4"/>
      <c r="N4985" s="4"/>
      <c r="O4985" s="5"/>
      <c r="P4985" s="5"/>
      <c r="Q4985" s="21">
        <v>0</v>
      </c>
      <c r="R4985" s="21">
        <v>0</v>
      </c>
      <c r="S4985" s="5">
        <f t="shared" si="311"/>
        <v>29574.526073026427</v>
      </c>
      <c r="T4985" cm="1">
        <f t="array" ref="T4985">IF(OR(B4985="MAL ALIMI", B4985="ÜRETİM GİRİŞ"), MIN(I4985, MAX(0, I4985 + SUM(SUMIFS($I$1:I4984, $C$1:C4984, C4985, $B$1:B4984, {"MAL ALIMI","ÜRETİM GİRİŞ"})) - VLOOKUP(C4985, 'STOK RAPORU'!$C$2:$I$1000, 4, 0))), 0)</f>
        <v>0</v>
      </c>
      <c r="U4985" s="22">
        <f t="shared" si="312"/>
        <v>0</v>
      </c>
      <c r="V4985">
        <f t="shared" si="313"/>
        <v>0</v>
      </c>
      <c r="W4985" s="22">
        <f t="shared" si="314"/>
        <v>0</v>
      </c>
    </row>
    <row r="4986" spans="1:23" hidden="1" x14ac:dyDescent="0.25">
      <c r="A4986" s="3">
        <v>46086</v>
      </c>
      <c r="B4986" s="4" t="s">
        <v>334</v>
      </c>
      <c r="C4986" s="4" t="s">
        <v>160</v>
      </c>
      <c r="D4986" s="4"/>
      <c r="E4986" s="4"/>
      <c r="F4986" s="46" t="s">
        <v>2434</v>
      </c>
      <c r="G4986" s="4" t="s">
        <v>336</v>
      </c>
      <c r="H4986" s="4" t="s">
        <v>289</v>
      </c>
      <c r="I4986" s="4">
        <v>1</v>
      </c>
      <c r="J4986" s="21">
        <v>250</v>
      </c>
      <c r="K4986" s="21">
        <v>0</v>
      </c>
      <c r="L4986" s="5">
        <v>0</v>
      </c>
      <c r="M4986" s="4"/>
      <c r="N4986" s="4"/>
      <c r="O4986" s="5"/>
      <c r="P4986" s="5"/>
      <c r="Q4986" s="21">
        <v>250</v>
      </c>
      <c r="R4986" s="21">
        <v>0</v>
      </c>
      <c r="S4986" s="5">
        <f t="shared" si="311"/>
        <v>29824.526073026427</v>
      </c>
      <c r="T4986" cm="1">
        <f t="array" ref="T4986">IF(OR(B4986="MAL ALIMI", B4986="ÜRETİM GİRİŞ"), MIN(I4986, MAX(0, I4986 + SUM(SUMIFS($I$1:I4985, $C$1:C4985, C4986, $B$1:B4985, {"MAL ALIMI","ÜRETİM GİRİŞ"})) - VLOOKUP(C4986, 'STOK RAPORU'!$C$2:$I$1000, 4, 0))), 0)</f>
        <v>0</v>
      </c>
      <c r="U4986" s="22">
        <f t="shared" si="312"/>
        <v>0</v>
      </c>
      <c r="V4986">
        <f t="shared" si="313"/>
        <v>0</v>
      </c>
      <c r="W4986" s="22">
        <f t="shared" si="314"/>
        <v>0</v>
      </c>
    </row>
    <row r="4987" spans="1:23" hidden="1" x14ac:dyDescent="0.25">
      <c r="A4987" s="3">
        <v>46086</v>
      </c>
      <c r="B4987" s="4" t="s">
        <v>334</v>
      </c>
      <c r="C4987" s="4" t="s">
        <v>161</v>
      </c>
      <c r="D4987" s="4"/>
      <c r="E4987" s="4"/>
      <c r="F4987" s="46" t="s">
        <v>2434</v>
      </c>
      <c r="G4987" s="4" t="s">
        <v>336</v>
      </c>
      <c r="H4987" s="4" t="s">
        <v>289</v>
      </c>
      <c r="I4987" s="4">
        <v>1</v>
      </c>
      <c r="J4987" s="21">
        <v>230</v>
      </c>
      <c r="K4987" s="21">
        <v>0</v>
      </c>
      <c r="L4987" s="5">
        <v>0</v>
      </c>
      <c r="M4987" s="4"/>
      <c r="N4987" s="4"/>
      <c r="O4987" s="5"/>
      <c r="P4987" s="5"/>
      <c r="Q4987" s="21">
        <v>230</v>
      </c>
      <c r="R4987" s="21">
        <v>0</v>
      </c>
      <c r="S4987" s="5">
        <f t="shared" si="311"/>
        <v>30054.526073026427</v>
      </c>
      <c r="T4987" cm="1">
        <f t="array" ref="T4987">IF(OR(B4987="MAL ALIMI", B4987="ÜRETİM GİRİŞ"), MIN(I4987, MAX(0, I4987 + SUM(SUMIFS($I$1:I4986, $C$1:C4986, C4987, $B$1:B4986, {"MAL ALIMI","ÜRETİM GİRİŞ"})) - VLOOKUP(C4987, 'STOK RAPORU'!$C$2:$I$1000, 4, 0))), 0)</f>
        <v>0</v>
      </c>
      <c r="U4987" s="22">
        <f t="shared" si="312"/>
        <v>0</v>
      </c>
      <c r="V4987">
        <f t="shared" si="313"/>
        <v>0</v>
      </c>
      <c r="W4987" s="22">
        <f t="shared" si="314"/>
        <v>0</v>
      </c>
    </row>
    <row r="4988" spans="1:23" hidden="1" x14ac:dyDescent="0.25">
      <c r="A4988" s="3">
        <v>46086</v>
      </c>
      <c r="B4988" s="4" t="s">
        <v>334</v>
      </c>
      <c r="C4988" s="4" t="s">
        <v>266</v>
      </c>
      <c r="D4988" s="4"/>
      <c r="E4988" s="4" t="s">
        <v>921</v>
      </c>
      <c r="F4988" s="46" t="s">
        <v>2435</v>
      </c>
      <c r="G4988" s="4" t="s">
        <v>336</v>
      </c>
      <c r="H4988" s="4" t="s">
        <v>380</v>
      </c>
      <c r="I4988" s="4">
        <v>0.624</v>
      </c>
      <c r="J4988" s="21">
        <v>250</v>
      </c>
      <c r="K4988" s="21">
        <v>156</v>
      </c>
      <c r="L4988" s="5">
        <v>0</v>
      </c>
      <c r="M4988" s="4"/>
      <c r="N4988" s="4"/>
      <c r="O4988" s="5"/>
      <c r="P4988" s="5"/>
      <c r="Q4988" s="21">
        <v>0</v>
      </c>
      <c r="R4988" s="21">
        <v>0</v>
      </c>
      <c r="S4988" s="5">
        <f t="shared" si="311"/>
        <v>30054.526073026427</v>
      </c>
      <c r="T4988" cm="1">
        <f t="array" ref="T4988">IF(OR(B4988="MAL ALIMI", B4988="ÜRETİM GİRİŞ"), MIN(I4988, MAX(0, I4988 + SUM(SUMIFS($I$1:I4987, $C$1:C4987, C4988, $B$1:B4987, {"MAL ALIMI","ÜRETİM GİRİŞ"})) - VLOOKUP(C4988, 'STOK RAPORU'!$C$2:$I$1000, 4, 0))), 0)</f>
        <v>0</v>
      </c>
      <c r="U4988" s="22">
        <f t="shared" si="312"/>
        <v>0</v>
      </c>
      <c r="V4988">
        <f t="shared" si="313"/>
        <v>0</v>
      </c>
      <c r="W4988" s="22">
        <f t="shared" si="314"/>
        <v>0</v>
      </c>
    </row>
    <row r="4989" spans="1:23" hidden="1" x14ac:dyDescent="0.25">
      <c r="A4989" s="3">
        <v>46086</v>
      </c>
      <c r="B4989" s="4" t="s">
        <v>334</v>
      </c>
      <c r="C4989" s="4" t="s">
        <v>236</v>
      </c>
      <c r="D4989" s="4"/>
      <c r="E4989" s="4" t="s">
        <v>921</v>
      </c>
      <c r="F4989" s="46" t="s">
        <v>2435</v>
      </c>
      <c r="G4989" s="4" t="s">
        <v>336</v>
      </c>
      <c r="H4989" s="4" t="s">
        <v>380</v>
      </c>
      <c r="I4989" s="4">
        <v>0.184</v>
      </c>
      <c r="J4989" s="21">
        <v>330</v>
      </c>
      <c r="K4989" s="21">
        <v>60.72</v>
      </c>
      <c r="L4989" s="5">
        <v>0</v>
      </c>
      <c r="M4989" s="4"/>
      <c r="N4989" s="4"/>
      <c r="O4989" s="5"/>
      <c r="P4989" s="5"/>
      <c r="Q4989" s="21">
        <v>0</v>
      </c>
      <c r="R4989" s="21">
        <v>0</v>
      </c>
      <c r="S4989" s="5">
        <f t="shared" si="311"/>
        <v>30054.526073026427</v>
      </c>
      <c r="T4989" cm="1">
        <f t="array" ref="T4989">IF(OR(B4989="MAL ALIMI", B4989="ÜRETİM GİRİŞ"), MIN(I4989, MAX(0, I4989 + SUM(SUMIFS($I$1:I4988, $C$1:C4988, C4989, $B$1:B4988, {"MAL ALIMI","ÜRETİM GİRİŞ"})) - VLOOKUP(C4989, 'STOK RAPORU'!$C$2:$I$1000, 4, 0))), 0)</f>
        <v>0</v>
      </c>
      <c r="U4989" s="22">
        <f t="shared" si="312"/>
        <v>0</v>
      </c>
      <c r="V4989">
        <f t="shared" si="313"/>
        <v>0</v>
      </c>
      <c r="W4989" s="22">
        <f t="shared" si="314"/>
        <v>0</v>
      </c>
    </row>
    <row r="4990" spans="1:23" hidden="1" x14ac:dyDescent="0.25">
      <c r="A4990" s="3">
        <v>46086</v>
      </c>
      <c r="B4990" s="4" t="s">
        <v>334</v>
      </c>
      <c r="C4990" s="4" t="s">
        <v>181</v>
      </c>
      <c r="D4990" s="4"/>
      <c r="E4990" s="4" t="s">
        <v>921</v>
      </c>
      <c r="F4990" s="46" t="s">
        <v>2435</v>
      </c>
      <c r="G4990" s="4" t="s">
        <v>336</v>
      </c>
      <c r="H4990" s="4" t="s">
        <v>380</v>
      </c>
      <c r="I4990" s="4">
        <v>1</v>
      </c>
      <c r="J4990" s="21">
        <v>95</v>
      </c>
      <c r="K4990" s="21">
        <v>95</v>
      </c>
      <c r="L4990" s="5">
        <v>0</v>
      </c>
      <c r="M4990" s="4"/>
      <c r="N4990" s="4"/>
      <c r="O4990" s="5"/>
      <c r="P4990" s="5"/>
      <c r="Q4990" s="21">
        <v>0</v>
      </c>
      <c r="R4990" s="21">
        <v>0</v>
      </c>
      <c r="S4990" s="5">
        <f t="shared" si="311"/>
        <v>30054.526073026427</v>
      </c>
      <c r="T4990" cm="1">
        <f t="array" ref="T4990">IF(OR(B4990="MAL ALIMI", B4990="ÜRETİM GİRİŞ"), MIN(I4990, MAX(0, I4990 + SUM(SUMIFS($I$1:I4989, $C$1:C4989, C4990, $B$1:B4989, {"MAL ALIMI","ÜRETİM GİRİŞ"})) - VLOOKUP(C4990, 'STOK RAPORU'!$C$2:$I$1000, 4, 0))), 0)</f>
        <v>0</v>
      </c>
      <c r="U4990" s="22">
        <f t="shared" si="312"/>
        <v>0</v>
      </c>
      <c r="V4990">
        <f t="shared" si="313"/>
        <v>0</v>
      </c>
      <c r="W4990" s="22">
        <f t="shared" si="314"/>
        <v>0</v>
      </c>
    </row>
    <row r="4991" spans="1:23" hidden="1" x14ac:dyDescent="0.25">
      <c r="A4991" s="3">
        <v>46086</v>
      </c>
      <c r="B4991" s="4" t="s">
        <v>334</v>
      </c>
      <c r="C4991" s="4" t="s">
        <v>1640</v>
      </c>
      <c r="D4991" s="4"/>
      <c r="E4991" s="4" t="s">
        <v>921</v>
      </c>
      <c r="F4991" s="46" t="s">
        <v>2435</v>
      </c>
      <c r="G4991" s="4" t="s">
        <v>336</v>
      </c>
      <c r="H4991" s="4" t="s">
        <v>380</v>
      </c>
      <c r="I4991" s="4">
        <v>0.05</v>
      </c>
      <c r="J4991" s="21">
        <v>1000</v>
      </c>
      <c r="K4991" s="21">
        <v>50</v>
      </c>
      <c r="L4991" s="5">
        <v>0</v>
      </c>
      <c r="M4991" s="4"/>
      <c r="N4991" s="4"/>
      <c r="O4991" s="5"/>
      <c r="P4991" s="5"/>
      <c r="Q4991" s="21">
        <v>0</v>
      </c>
      <c r="R4991" s="21">
        <v>0</v>
      </c>
      <c r="S4991" s="5">
        <f t="shared" si="311"/>
        <v>30054.526073026427</v>
      </c>
      <c r="T4991" cm="1">
        <f t="array" ref="T4991">IF(OR(B4991="MAL ALIMI", B4991="ÜRETİM GİRİŞ"), MIN(I4991, MAX(0, I4991 + SUM(SUMIFS($I$1:I4990, $C$1:C4990, C4991, $B$1:B4990, {"MAL ALIMI","ÜRETİM GİRİŞ"})) - VLOOKUP(C4991, 'STOK RAPORU'!$C$2:$I$1000, 4, 0))), 0)</f>
        <v>0</v>
      </c>
      <c r="U4991" s="22">
        <f t="shared" si="312"/>
        <v>0</v>
      </c>
      <c r="V4991">
        <f t="shared" si="313"/>
        <v>0</v>
      </c>
      <c r="W4991" s="22">
        <f t="shared" si="314"/>
        <v>0</v>
      </c>
    </row>
    <row r="4992" spans="1:23" hidden="1" x14ac:dyDescent="0.25">
      <c r="A4992" s="3">
        <v>46086</v>
      </c>
      <c r="B4992" s="4" t="s">
        <v>334</v>
      </c>
      <c r="C4992" s="4" t="s">
        <v>96</v>
      </c>
      <c r="D4992" s="4"/>
      <c r="E4992" s="4" t="s">
        <v>921</v>
      </c>
      <c r="F4992" s="46" t="s">
        <v>2435</v>
      </c>
      <c r="G4992" s="4" t="s">
        <v>336</v>
      </c>
      <c r="H4992" s="4" t="s">
        <v>380</v>
      </c>
      <c r="I4992" s="4">
        <v>9.4E-2</v>
      </c>
      <c r="J4992" s="21">
        <v>390</v>
      </c>
      <c r="K4992" s="21">
        <v>36.659999999999997</v>
      </c>
      <c r="L4992" s="5">
        <v>0</v>
      </c>
      <c r="M4992" s="4"/>
      <c r="N4992" s="4"/>
      <c r="O4992" s="5"/>
      <c r="P4992" s="5"/>
      <c r="Q4992" s="21">
        <v>0</v>
      </c>
      <c r="R4992" s="21">
        <v>0</v>
      </c>
      <c r="S4992" s="5">
        <f t="shared" si="311"/>
        <v>30054.526073026427</v>
      </c>
      <c r="T4992" cm="1">
        <f t="array" ref="T4992">IF(OR(B4992="MAL ALIMI", B4992="ÜRETİM GİRİŞ"), MIN(I4992, MAX(0, I4992 + SUM(SUMIFS($I$1:I4991, $C$1:C4991, C4992, $B$1:B4991, {"MAL ALIMI","ÜRETİM GİRİŞ"})) - VLOOKUP(C4992, 'STOK RAPORU'!$C$2:$I$1000, 4, 0))), 0)</f>
        <v>0</v>
      </c>
      <c r="U4992" s="22">
        <f t="shared" si="312"/>
        <v>0</v>
      </c>
      <c r="V4992">
        <f t="shared" si="313"/>
        <v>0</v>
      </c>
      <c r="W4992" s="22">
        <f t="shared" si="314"/>
        <v>0</v>
      </c>
    </row>
    <row r="4993" spans="1:23" hidden="1" x14ac:dyDescent="0.25">
      <c r="A4993" s="3">
        <v>46086</v>
      </c>
      <c r="B4993" s="4" t="s">
        <v>334</v>
      </c>
      <c r="C4993" s="4" t="s">
        <v>92</v>
      </c>
      <c r="D4993" s="4"/>
      <c r="E4993" s="4" t="s">
        <v>921</v>
      </c>
      <c r="F4993" s="46" t="s">
        <v>2435</v>
      </c>
      <c r="G4993" s="4" t="s">
        <v>336</v>
      </c>
      <c r="H4993" s="4" t="s">
        <v>380</v>
      </c>
      <c r="I4993" s="4">
        <v>0.14199999999999999</v>
      </c>
      <c r="J4993" s="21">
        <v>450</v>
      </c>
      <c r="K4993" s="21">
        <v>63.899999999999991</v>
      </c>
      <c r="L4993" s="5">
        <v>0</v>
      </c>
      <c r="M4993" s="4"/>
      <c r="N4993" s="4"/>
      <c r="O4993" s="5"/>
      <c r="P4993" s="5"/>
      <c r="Q4993" s="21">
        <v>0</v>
      </c>
      <c r="R4993" s="21">
        <v>0</v>
      </c>
      <c r="S4993" s="5">
        <f t="shared" si="311"/>
        <v>30054.526073026427</v>
      </c>
      <c r="T4993" cm="1">
        <f t="array" ref="T4993">IF(OR(B4993="MAL ALIMI", B4993="ÜRETİM GİRİŞ"), MIN(I4993, MAX(0, I4993 + SUM(SUMIFS($I$1:I4992, $C$1:C4992, C4993, $B$1:B4992, {"MAL ALIMI","ÜRETİM GİRİŞ"})) - VLOOKUP(C4993, 'STOK RAPORU'!$C$2:$I$1000, 4, 0))), 0)</f>
        <v>0</v>
      </c>
      <c r="U4993" s="22">
        <f t="shared" si="312"/>
        <v>0</v>
      </c>
      <c r="V4993">
        <f t="shared" si="313"/>
        <v>0</v>
      </c>
      <c r="W4993" s="22">
        <f t="shared" si="314"/>
        <v>0</v>
      </c>
    </row>
    <row r="4994" spans="1:23" hidden="1" x14ac:dyDescent="0.25">
      <c r="A4994" s="3">
        <v>46086</v>
      </c>
      <c r="B4994" s="4" t="s">
        <v>334</v>
      </c>
      <c r="C4994" s="4" t="s">
        <v>129</v>
      </c>
      <c r="D4994" s="4"/>
      <c r="E4994" s="4" t="s">
        <v>921</v>
      </c>
      <c r="F4994" s="46" t="s">
        <v>2435</v>
      </c>
      <c r="G4994" s="4" t="s">
        <v>336</v>
      </c>
      <c r="H4994" s="4" t="s">
        <v>380</v>
      </c>
      <c r="I4994" s="4">
        <v>0.1</v>
      </c>
      <c r="J4994" s="21">
        <v>380</v>
      </c>
      <c r="K4994" s="21">
        <v>38</v>
      </c>
      <c r="L4994" s="5">
        <v>0</v>
      </c>
      <c r="M4994" s="4"/>
      <c r="N4994" s="4"/>
      <c r="O4994" s="5"/>
      <c r="P4994" s="5"/>
      <c r="Q4994" s="21">
        <v>0</v>
      </c>
      <c r="R4994" s="21">
        <v>0</v>
      </c>
      <c r="S4994" s="5">
        <f t="shared" si="311"/>
        <v>30054.526073026427</v>
      </c>
      <c r="T4994" cm="1">
        <f t="array" ref="T4994">IF(OR(B4994="MAL ALIMI", B4994="ÜRETİM GİRİŞ"), MIN(I4994, MAX(0, I4994 + SUM(SUMIFS($I$1:I4993, $C$1:C4993, C4994, $B$1:B4993, {"MAL ALIMI","ÜRETİM GİRİŞ"})) - VLOOKUP(C4994, 'STOK RAPORU'!$C$2:$I$1000, 4, 0))), 0)</f>
        <v>0</v>
      </c>
      <c r="U4994" s="22">
        <f t="shared" si="312"/>
        <v>0</v>
      </c>
      <c r="V4994">
        <f t="shared" si="313"/>
        <v>0</v>
      </c>
      <c r="W4994" s="22">
        <f t="shared" si="314"/>
        <v>0</v>
      </c>
    </row>
    <row r="4995" spans="1:23" hidden="1" x14ac:dyDescent="0.25">
      <c r="A4995" s="3">
        <v>46086</v>
      </c>
      <c r="B4995" s="4" t="s">
        <v>917</v>
      </c>
      <c r="C4995" s="4"/>
      <c r="D4995" s="4"/>
      <c r="E4995" s="4" t="s">
        <v>855</v>
      </c>
      <c r="F4995" s="4"/>
      <c r="G4995" s="4" t="s">
        <v>1782</v>
      </c>
      <c r="H4995" s="4" t="s">
        <v>289</v>
      </c>
      <c r="I4995" s="4">
        <v>1</v>
      </c>
      <c r="J4995" s="21">
        <v>0</v>
      </c>
      <c r="K4995" s="21">
        <v>25000</v>
      </c>
      <c r="L4995" s="5">
        <v>0</v>
      </c>
      <c r="M4995" s="4"/>
      <c r="N4995" s="4"/>
      <c r="O4995" s="5"/>
      <c r="P4995" s="5"/>
      <c r="Q4995" s="21">
        <v>0</v>
      </c>
      <c r="R4995" s="21">
        <v>25000</v>
      </c>
      <c r="S4995" s="5">
        <f t="shared" si="311"/>
        <v>5054.5260730264272</v>
      </c>
      <c r="T4995" cm="1">
        <f t="array" ref="T4995">IF(OR(B4995="MAL ALIMI", B4995="ÜRETİM GİRİŞ"), MIN(I4995, MAX(0, I4995 + SUM(SUMIFS($I$1:I4994, $C$1:C4994, C4995, $B$1:B4994, {"MAL ALIMI","ÜRETİM GİRİŞ"})) - VLOOKUP(C4995, 'STOK RAPORU'!$C$2:$I$1000, 4, 0))), 0)</f>
        <v>0</v>
      </c>
      <c r="U4995" s="22">
        <f t="shared" si="312"/>
        <v>0</v>
      </c>
      <c r="V4995">
        <f t="shared" si="313"/>
        <v>0</v>
      </c>
      <c r="W4995" s="22">
        <f t="shared" si="314"/>
        <v>0</v>
      </c>
    </row>
    <row r="4996" spans="1:23" hidden="1" x14ac:dyDescent="0.25">
      <c r="A4996" s="3">
        <v>46086</v>
      </c>
      <c r="B4996" s="4" t="s">
        <v>298</v>
      </c>
      <c r="C4996" s="4" t="s">
        <v>2124</v>
      </c>
      <c r="D4996" s="4"/>
      <c r="E4996" s="4" t="s">
        <v>1361</v>
      </c>
      <c r="F4996" s="4"/>
      <c r="G4996" s="4" t="s">
        <v>1361</v>
      </c>
      <c r="H4996" s="4" t="s">
        <v>304</v>
      </c>
      <c r="I4996" s="4">
        <v>5</v>
      </c>
      <c r="J4996" s="21">
        <v>350</v>
      </c>
      <c r="K4996" s="21">
        <v>0</v>
      </c>
      <c r="L4996" s="5">
        <v>1750</v>
      </c>
      <c r="M4996" s="4"/>
      <c r="N4996" s="4"/>
      <c r="O4996" s="5"/>
      <c r="P4996" s="5"/>
      <c r="Q4996" s="21">
        <v>0</v>
      </c>
      <c r="R4996" s="21">
        <v>0</v>
      </c>
      <c r="S4996" s="5">
        <f t="shared" ref="S4996:S5059" si="315">S4995+Q4996-R4996</f>
        <v>5054.5260730264272</v>
      </c>
      <c r="T4996" cm="1">
        <f t="array" ref="T4996">IF(OR(B4996="MAL ALIMI", B4996="ÜRETİM GİRİŞ"), MIN(I4996, MAX(0, I4996 + SUM(SUMIFS($I$1:I4995, $C$1:C4995, C4996, $B$1:B4995, {"MAL ALIMI","ÜRETİM GİRİŞ"})) - VLOOKUP(C4996, 'STOK RAPORU'!$C$2:$I$1000, 4, 0))), 0)</f>
        <v>8.7272727272758033E-3</v>
      </c>
      <c r="U4996" s="22">
        <f t="shared" si="312"/>
        <v>3.0545454545465311</v>
      </c>
      <c r="V4996">
        <f t="shared" si="313"/>
        <v>1750</v>
      </c>
      <c r="W4996" s="22">
        <f t="shared" si="314"/>
        <v>1746.9454545454535</v>
      </c>
    </row>
    <row r="4997" spans="1:23" hidden="1" x14ac:dyDescent="0.25">
      <c r="A4997" s="3">
        <v>46086</v>
      </c>
      <c r="B4997" s="4" t="s">
        <v>2344</v>
      </c>
      <c r="C4997" s="4"/>
      <c r="D4997" s="4"/>
      <c r="E4997" s="4" t="s">
        <v>2417</v>
      </c>
      <c r="F4997" s="4"/>
      <c r="G4997" s="4" t="s">
        <v>2418</v>
      </c>
      <c r="H4997" s="4" t="s">
        <v>289</v>
      </c>
      <c r="I4997" s="4">
        <v>1</v>
      </c>
      <c r="J4997" s="21">
        <v>9400</v>
      </c>
      <c r="K4997" s="21">
        <v>0</v>
      </c>
      <c r="L4997" s="5">
        <v>9400</v>
      </c>
      <c r="M4997" s="4"/>
      <c r="N4997" s="4"/>
      <c r="O4997" s="5"/>
      <c r="P4997" s="5"/>
      <c r="Q4997" s="21">
        <v>9400</v>
      </c>
      <c r="R4997" s="21">
        <v>0</v>
      </c>
      <c r="S4997" s="5">
        <f t="shared" si="315"/>
        <v>14454.526073026427</v>
      </c>
      <c r="T4997" cm="1">
        <f t="array" ref="T4997">IF(OR(B4997="MAL ALIMI", B4997="ÜRETİM GİRİŞ"), MIN(I4997, MAX(0, I4997 + SUM(SUMIFS($I$1:I4996, $C$1:C4996, C4997, $B$1:B4996, {"MAL ALIMI","ÜRETİM GİRİŞ"})) - VLOOKUP(C4997, 'STOK RAPORU'!$C$2:$I$1000, 4, 0))), 0)</f>
        <v>0</v>
      </c>
      <c r="U4997" s="22">
        <f t="shared" si="312"/>
        <v>0</v>
      </c>
      <c r="V4997">
        <f t="shared" si="313"/>
        <v>0</v>
      </c>
      <c r="W4997" s="22">
        <f t="shared" si="314"/>
        <v>0</v>
      </c>
    </row>
    <row r="4998" spans="1:23" hidden="1" x14ac:dyDescent="0.25">
      <c r="A4998" s="3">
        <v>46086</v>
      </c>
      <c r="B4998" s="4" t="s">
        <v>298</v>
      </c>
      <c r="C4998" s="4" t="s">
        <v>199</v>
      </c>
      <c r="D4998" s="4"/>
      <c r="E4998" s="4" t="s">
        <v>1361</v>
      </c>
      <c r="F4998" s="4"/>
      <c r="G4998" s="4" t="s">
        <v>1361</v>
      </c>
      <c r="H4998" s="4" t="s">
        <v>304</v>
      </c>
      <c r="I4998" s="4">
        <v>10</v>
      </c>
      <c r="J4998" s="21">
        <v>550</v>
      </c>
      <c r="K4998" s="21">
        <v>0</v>
      </c>
      <c r="L4998" s="5">
        <v>5500</v>
      </c>
      <c r="M4998" s="4"/>
      <c r="N4998" s="4"/>
      <c r="O4998" s="5"/>
      <c r="P4998" s="5"/>
      <c r="Q4998" s="21">
        <v>0</v>
      </c>
      <c r="R4998" s="21">
        <v>0</v>
      </c>
      <c r="S4998" s="5">
        <f t="shared" si="315"/>
        <v>14454.526073026427</v>
      </c>
      <c r="T4998" cm="1">
        <f t="array" ref="T4998">IF(OR(B4998="MAL ALIMI", B4998="ÜRETİM GİRİŞ"), MIN(I4998, MAX(0, I4998 + SUM(SUMIFS($I$1:I4997, $C$1:C4997, C4998, $B$1:B4997, {"MAL ALIMI","ÜRETİM GİRİŞ"})) - VLOOKUP(C4998, 'STOK RAPORU'!$C$2:$I$1000, 4, 0))), 0)</f>
        <v>7.5631403508771928</v>
      </c>
      <c r="U4998" s="22">
        <f t="shared" si="312"/>
        <v>4159.7271929824565</v>
      </c>
      <c r="V4998">
        <f t="shared" si="313"/>
        <v>5500</v>
      </c>
      <c r="W4998" s="22">
        <f t="shared" si="314"/>
        <v>1340.2728070175435</v>
      </c>
    </row>
    <row r="4999" spans="1:23" hidden="1" x14ac:dyDescent="0.25">
      <c r="A4999" s="3">
        <v>46086</v>
      </c>
      <c r="B4999" s="4" t="s">
        <v>946</v>
      </c>
      <c r="C4999" s="4"/>
      <c r="D4999" s="4"/>
      <c r="E4999" s="4" t="s">
        <v>921</v>
      </c>
      <c r="F4999" s="4"/>
      <c r="G4999" s="4" t="s">
        <v>946</v>
      </c>
      <c r="H4999" s="4" t="s">
        <v>380</v>
      </c>
      <c r="I4999" s="4">
        <v>1</v>
      </c>
      <c r="J4999" s="105">
        <v>1350</v>
      </c>
      <c r="K4999" s="21">
        <v>0</v>
      </c>
      <c r="L4999" s="111">
        <v>1350</v>
      </c>
      <c r="M4999" s="4"/>
      <c r="N4999" s="4"/>
      <c r="O4999" s="5"/>
      <c r="P4999" s="5"/>
      <c r="Q4999" s="21">
        <v>1350</v>
      </c>
      <c r="R4999" s="21">
        <v>0</v>
      </c>
      <c r="S4999" s="5">
        <f t="shared" si="315"/>
        <v>15804.526073026427</v>
      </c>
      <c r="T4999" cm="1">
        <f t="array" ref="T4999">IF(OR(B4999="MAL ALIMI", B4999="ÜRETİM GİRİŞ"), MIN(I4999, MAX(0, I4999 + SUM(SUMIFS($I$1:I4998, $C$1:C4998, C4999, $B$1:B4998, {"MAL ALIMI","ÜRETİM GİRİŞ"})) - VLOOKUP(C4999, 'STOK RAPORU'!$C$2:$I$1000, 4, 0))), 0)</f>
        <v>0</v>
      </c>
      <c r="U4999" s="22">
        <f t="shared" si="312"/>
        <v>0</v>
      </c>
      <c r="V4999">
        <f t="shared" si="313"/>
        <v>0</v>
      </c>
      <c r="W4999" s="22">
        <f t="shared" si="314"/>
        <v>0</v>
      </c>
    </row>
    <row r="5000" spans="1:23" hidden="1" x14ac:dyDescent="0.25">
      <c r="A5000" s="3">
        <v>46087</v>
      </c>
      <c r="B5000" s="4" t="s">
        <v>298</v>
      </c>
      <c r="C5000" s="4" t="s">
        <v>679</v>
      </c>
      <c r="D5000" s="4"/>
      <c r="E5000" s="4" t="s">
        <v>856</v>
      </c>
      <c r="F5000" s="4" t="s">
        <v>2594</v>
      </c>
      <c r="G5000" s="4" t="s">
        <v>333</v>
      </c>
      <c r="H5000" s="4" t="s">
        <v>1329</v>
      </c>
      <c r="I5000" s="4">
        <v>5</v>
      </c>
      <c r="J5000" s="21">
        <v>168</v>
      </c>
      <c r="K5000" s="21"/>
      <c r="L5000" s="5">
        <v>840</v>
      </c>
      <c r="M5000" s="4"/>
      <c r="N5000" s="4"/>
      <c r="O5000" s="5"/>
      <c r="P5000" s="5"/>
      <c r="Q5000" s="21"/>
      <c r="R5000" s="21">
        <v>0</v>
      </c>
      <c r="S5000" s="5">
        <f t="shared" si="315"/>
        <v>15804.526073026427</v>
      </c>
      <c r="T5000" cm="1">
        <f t="array" ref="T5000">IF(OR(B5000="MAL ALIMI", B5000="ÜRETİM GİRİŞ"), MIN(I5000, MAX(0, I5000 + SUM(SUMIFS($I$1:I4999, $C$1:C4999, C5000, $B$1:B4999, {"MAL ALIMI","ÜRETİM GİRİŞ"})) - VLOOKUP(C5000, 'STOK RAPORU'!$C$2:$I$1000, 4, 0))), 0)</f>
        <v>0</v>
      </c>
      <c r="U5000" s="22">
        <f t="shared" si="312"/>
        <v>0</v>
      </c>
      <c r="V5000">
        <f t="shared" si="313"/>
        <v>840</v>
      </c>
      <c r="W5000" s="22">
        <f t="shared" si="314"/>
        <v>840</v>
      </c>
    </row>
    <row r="5001" spans="1:23" hidden="1" x14ac:dyDescent="0.25">
      <c r="A5001" s="3">
        <v>46087</v>
      </c>
      <c r="B5001" s="4" t="s">
        <v>298</v>
      </c>
      <c r="C5001" s="4" t="s">
        <v>2571</v>
      </c>
      <c r="D5001" s="4"/>
      <c r="E5001" s="4" t="s">
        <v>856</v>
      </c>
      <c r="F5001" s="4" t="s">
        <v>2594</v>
      </c>
      <c r="G5001" s="4" t="s">
        <v>333</v>
      </c>
      <c r="H5001" s="4" t="s">
        <v>1329</v>
      </c>
      <c r="I5001" s="4">
        <v>1</v>
      </c>
      <c r="J5001" s="21">
        <v>120</v>
      </c>
      <c r="K5001" s="21">
        <v>0</v>
      </c>
      <c r="L5001" s="5">
        <v>120</v>
      </c>
      <c r="M5001" s="4"/>
      <c r="N5001" s="4"/>
      <c r="O5001" s="5"/>
      <c r="P5001" s="5"/>
      <c r="Q5001" s="21">
        <v>0</v>
      </c>
      <c r="R5001" s="21">
        <v>0</v>
      </c>
      <c r="S5001" s="5">
        <f t="shared" si="315"/>
        <v>15804.526073026427</v>
      </c>
      <c r="T5001" cm="1">
        <f t="array" ref="T5001">IF(OR(B5001="MAL ALIMI", B5001="ÜRETİM GİRİŞ"), MIN(I5001, MAX(0, I5001 + SUM(SUMIFS($I$1:I5000, $C$1:C5000, C5001, $B$1:B5000, {"MAL ALIMI","ÜRETİM GİRİŞ"})) - VLOOKUP(C5001, 'STOK RAPORU'!$C$2:$I$1000, 4, 0))), 0)</f>
        <v>0.76600000000000001</v>
      </c>
      <c r="U5001" s="22">
        <f t="shared" si="312"/>
        <v>91.92</v>
      </c>
      <c r="V5001">
        <f t="shared" si="313"/>
        <v>120</v>
      </c>
      <c r="W5001" s="22">
        <f t="shared" si="314"/>
        <v>28.08</v>
      </c>
    </row>
    <row r="5002" spans="1:23" hidden="1" x14ac:dyDescent="0.25">
      <c r="A5002" s="3">
        <v>46087</v>
      </c>
      <c r="B5002" s="4" t="s">
        <v>298</v>
      </c>
      <c r="C5002" s="4" t="s">
        <v>214</v>
      </c>
      <c r="D5002" s="4"/>
      <c r="E5002" s="4" t="s">
        <v>856</v>
      </c>
      <c r="F5002" s="4" t="s">
        <v>2594</v>
      </c>
      <c r="G5002" s="4" t="s">
        <v>333</v>
      </c>
      <c r="H5002" s="4" t="s">
        <v>1329</v>
      </c>
      <c r="I5002" s="4">
        <v>1</v>
      </c>
      <c r="J5002" s="21">
        <v>175</v>
      </c>
      <c r="K5002" s="21">
        <v>0</v>
      </c>
      <c r="L5002" s="5">
        <v>175</v>
      </c>
      <c r="M5002" s="4"/>
      <c r="N5002" s="4"/>
      <c r="O5002" s="5"/>
      <c r="P5002" s="5"/>
      <c r="Q5002" s="21">
        <v>0</v>
      </c>
      <c r="R5002" s="21">
        <v>0</v>
      </c>
      <c r="S5002" s="5">
        <f t="shared" si="315"/>
        <v>15804.526073026427</v>
      </c>
      <c r="T5002" cm="1">
        <f t="array" ref="T5002">IF(OR(B5002="MAL ALIMI", B5002="ÜRETİM GİRİŞ"), MIN(I5002, MAX(0, I5002 + SUM(SUMIFS($I$1:I5001, $C$1:C5001, C5002, $B$1:B5001, {"MAL ALIMI","ÜRETİM GİRİŞ"})) - VLOOKUP(C5002, 'STOK RAPORU'!$C$2:$I$1000, 4, 0))), 0)</f>
        <v>0</v>
      </c>
      <c r="U5002" s="22">
        <f t="shared" si="312"/>
        <v>0</v>
      </c>
      <c r="V5002">
        <f t="shared" si="313"/>
        <v>175</v>
      </c>
      <c r="W5002" s="22">
        <f t="shared" si="314"/>
        <v>175</v>
      </c>
    </row>
    <row r="5003" spans="1:23" hidden="1" x14ac:dyDescent="0.25">
      <c r="A5003" s="3">
        <v>46087</v>
      </c>
      <c r="B5003" s="4" t="s">
        <v>298</v>
      </c>
      <c r="C5003" s="4" t="s">
        <v>195</v>
      </c>
      <c r="D5003" s="4"/>
      <c r="E5003" s="4" t="s">
        <v>856</v>
      </c>
      <c r="F5003" s="4" t="s">
        <v>2594</v>
      </c>
      <c r="G5003" s="4" t="s">
        <v>333</v>
      </c>
      <c r="H5003" s="4" t="s">
        <v>1329</v>
      </c>
      <c r="I5003" s="4">
        <v>1</v>
      </c>
      <c r="J5003" s="21">
        <v>305</v>
      </c>
      <c r="K5003" s="21">
        <v>0</v>
      </c>
      <c r="L5003" s="5">
        <v>305</v>
      </c>
      <c r="M5003" s="4"/>
      <c r="N5003" s="4"/>
      <c r="O5003" s="5"/>
      <c r="P5003" s="5"/>
      <c r="Q5003" s="21">
        <v>0</v>
      </c>
      <c r="R5003" s="21">
        <v>0</v>
      </c>
      <c r="S5003" s="5">
        <f t="shared" si="315"/>
        <v>15804.526073026427</v>
      </c>
      <c r="T5003" cm="1">
        <f t="array" ref="T5003">IF(OR(B5003="MAL ALIMI", B5003="ÜRETİM GİRİŞ"), MIN(I5003, MAX(0, I5003 + SUM(SUMIFS($I$1:I5002, $C$1:C5002, C5003, $B$1:B5002, {"MAL ALIMI","ÜRETİM GİRİŞ"})) - VLOOKUP(C5003, 'STOK RAPORU'!$C$2:$I$1000, 4, 0))), 0)</f>
        <v>1</v>
      </c>
      <c r="U5003" s="22">
        <f t="shared" si="312"/>
        <v>305</v>
      </c>
      <c r="V5003">
        <f t="shared" si="313"/>
        <v>305</v>
      </c>
      <c r="W5003" s="22">
        <f t="shared" si="314"/>
        <v>0</v>
      </c>
    </row>
    <row r="5004" spans="1:23" hidden="1" x14ac:dyDescent="0.25">
      <c r="A5004" s="3">
        <v>46087</v>
      </c>
      <c r="B5004" s="4" t="s">
        <v>298</v>
      </c>
      <c r="C5004" s="4" t="s">
        <v>2572</v>
      </c>
      <c r="D5004" s="4"/>
      <c r="E5004" s="4" t="s">
        <v>856</v>
      </c>
      <c r="F5004" s="4" t="s">
        <v>2594</v>
      </c>
      <c r="G5004" s="4" t="s">
        <v>333</v>
      </c>
      <c r="H5004" s="4" t="s">
        <v>1329</v>
      </c>
      <c r="I5004" s="4">
        <v>5</v>
      </c>
      <c r="J5004" s="21">
        <v>95</v>
      </c>
      <c r="K5004" s="21">
        <v>0</v>
      </c>
      <c r="L5004" s="5">
        <v>475</v>
      </c>
      <c r="M5004" s="4"/>
      <c r="N5004" s="4"/>
      <c r="O5004" s="5"/>
      <c r="P5004" s="5"/>
      <c r="Q5004" s="21">
        <v>0</v>
      </c>
      <c r="R5004" s="21">
        <v>0</v>
      </c>
      <c r="S5004" s="5">
        <f t="shared" si="315"/>
        <v>15804.526073026427</v>
      </c>
      <c r="T5004" cm="1">
        <f t="array" ref="T5004">IF(OR(B5004="MAL ALIMI", B5004="ÜRETİM GİRİŞ"), MIN(I5004, MAX(0, I5004 + SUM(SUMIFS($I$1:I5003, $C$1:C5003, C5004, $B$1:B5003, {"MAL ALIMI","ÜRETİM GİRİŞ"})) - VLOOKUP(C5004, 'STOK RAPORU'!$C$2:$I$1000, 4, 0))), 0)</f>
        <v>4</v>
      </c>
      <c r="U5004" s="22">
        <f t="shared" si="312"/>
        <v>380</v>
      </c>
      <c r="V5004">
        <f t="shared" si="313"/>
        <v>475</v>
      </c>
      <c r="W5004" s="22">
        <f t="shared" si="314"/>
        <v>95</v>
      </c>
    </row>
    <row r="5005" spans="1:23" hidden="1" x14ac:dyDescent="0.25">
      <c r="A5005" s="3">
        <v>46087</v>
      </c>
      <c r="B5005" s="4" t="s">
        <v>298</v>
      </c>
      <c r="C5005" s="4" t="s">
        <v>2573</v>
      </c>
      <c r="D5005" s="4"/>
      <c r="E5005" s="4" t="s">
        <v>856</v>
      </c>
      <c r="F5005" s="4" t="s">
        <v>2594</v>
      </c>
      <c r="G5005" s="4" t="s">
        <v>333</v>
      </c>
      <c r="H5005" s="4" t="s">
        <v>1329</v>
      </c>
      <c r="I5005" s="4">
        <v>1</v>
      </c>
      <c r="J5005" s="21">
        <v>125</v>
      </c>
      <c r="K5005" s="21">
        <v>0</v>
      </c>
      <c r="L5005" s="5">
        <v>125</v>
      </c>
      <c r="M5005" s="4"/>
      <c r="N5005" s="4"/>
      <c r="O5005" s="5"/>
      <c r="P5005" s="5"/>
      <c r="Q5005" s="21">
        <v>0</v>
      </c>
      <c r="R5005" s="21">
        <v>0</v>
      </c>
      <c r="S5005" s="5">
        <f t="shared" si="315"/>
        <v>15804.526073026427</v>
      </c>
      <c r="T5005" cm="1">
        <f t="array" ref="T5005">IF(OR(B5005="MAL ALIMI", B5005="ÜRETİM GİRİŞ"), MIN(I5005, MAX(0, I5005 + SUM(SUMIFS($I$1:I5004, $C$1:C5004, C5005, $B$1:B5004, {"MAL ALIMI","ÜRETİM GİRİŞ"})) - VLOOKUP(C5005, 'STOK RAPORU'!$C$2:$I$1000, 4, 0))), 0)</f>
        <v>1</v>
      </c>
      <c r="U5005" s="22">
        <f t="shared" si="312"/>
        <v>125</v>
      </c>
      <c r="V5005">
        <f t="shared" si="313"/>
        <v>125</v>
      </c>
      <c r="W5005" s="22">
        <f t="shared" si="314"/>
        <v>0</v>
      </c>
    </row>
    <row r="5006" spans="1:23" hidden="1" x14ac:dyDescent="0.25">
      <c r="A5006" s="3">
        <v>46087</v>
      </c>
      <c r="B5006" s="4" t="s">
        <v>298</v>
      </c>
      <c r="C5006" s="4" t="s">
        <v>2574</v>
      </c>
      <c r="D5006" s="4"/>
      <c r="E5006" s="4" t="s">
        <v>856</v>
      </c>
      <c r="F5006" s="4" t="s">
        <v>2594</v>
      </c>
      <c r="G5006" s="4" t="s">
        <v>333</v>
      </c>
      <c r="H5006" s="4" t="s">
        <v>1329</v>
      </c>
      <c r="I5006" s="4">
        <v>3</v>
      </c>
      <c r="J5006" s="21">
        <v>70</v>
      </c>
      <c r="K5006" s="21">
        <v>0</v>
      </c>
      <c r="L5006" s="5">
        <v>210</v>
      </c>
      <c r="M5006" s="4"/>
      <c r="N5006" s="4"/>
      <c r="O5006" s="5"/>
      <c r="P5006" s="5"/>
      <c r="Q5006" s="21">
        <v>0</v>
      </c>
      <c r="R5006" s="21">
        <v>0</v>
      </c>
      <c r="S5006" s="5">
        <f t="shared" si="315"/>
        <v>15804.526073026427</v>
      </c>
      <c r="T5006" cm="1">
        <f t="array" ref="T5006">IF(OR(B5006="MAL ALIMI", B5006="ÜRETİM GİRİŞ"), MIN(I5006, MAX(0, I5006 + SUM(SUMIFS($I$1:I5005, $C$1:C5005, C5006, $B$1:B5005, {"MAL ALIMI","ÜRETİM GİRİŞ"})) - VLOOKUP(C5006, 'STOK RAPORU'!$C$2:$I$1000, 4, 0))), 0)</f>
        <v>3</v>
      </c>
      <c r="U5006" s="22">
        <f t="shared" si="312"/>
        <v>210</v>
      </c>
      <c r="V5006">
        <f t="shared" si="313"/>
        <v>210</v>
      </c>
      <c r="W5006" s="22">
        <f t="shared" si="314"/>
        <v>0</v>
      </c>
    </row>
    <row r="5007" spans="1:23" hidden="1" x14ac:dyDescent="0.25">
      <c r="A5007" s="3">
        <v>46087</v>
      </c>
      <c r="B5007" s="4" t="s">
        <v>298</v>
      </c>
      <c r="C5007" s="4" t="s">
        <v>697</v>
      </c>
      <c r="D5007" s="4"/>
      <c r="E5007" s="4" t="s">
        <v>856</v>
      </c>
      <c r="F5007" s="4" t="s">
        <v>2594</v>
      </c>
      <c r="G5007" s="4" t="s">
        <v>333</v>
      </c>
      <c r="H5007" s="4" t="s">
        <v>1329</v>
      </c>
      <c r="I5007" s="4">
        <v>2</v>
      </c>
      <c r="J5007" s="21">
        <v>190</v>
      </c>
      <c r="K5007" s="21">
        <v>0</v>
      </c>
      <c r="L5007" s="5">
        <v>380</v>
      </c>
      <c r="M5007" s="4"/>
      <c r="N5007" s="4"/>
      <c r="O5007" s="5"/>
      <c r="P5007" s="5"/>
      <c r="Q5007" s="21">
        <v>0</v>
      </c>
      <c r="R5007" s="21">
        <v>0</v>
      </c>
      <c r="S5007" s="5">
        <f t="shared" si="315"/>
        <v>15804.526073026427</v>
      </c>
      <c r="T5007" cm="1">
        <f t="array" ref="T5007">IF(OR(B5007="MAL ALIMI", B5007="ÜRETİM GİRİŞ"), MIN(I5007, MAX(0, I5007 + SUM(SUMIFS($I$1:I5006, $C$1:C5006, C5007, $B$1:B5006, {"MAL ALIMI","ÜRETİM GİRİŞ"})) - VLOOKUP(C5007, 'STOK RAPORU'!$C$2:$I$1000, 4, 0))), 0)</f>
        <v>1.3000000000000016</v>
      </c>
      <c r="U5007" s="22">
        <f t="shared" si="312"/>
        <v>247.00000000000031</v>
      </c>
      <c r="V5007">
        <f t="shared" si="313"/>
        <v>380</v>
      </c>
      <c r="W5007" s="22">
        <f t="shared" si="314"/>
        <v>132.99999999999969</v>
      </c>
    </row>
    <row r="5008" spans="1:23" hidden="1" x14ac:dyDescent="0.25">
      <c r="A5008" s="3">
        <v>46087</v>
      </c>
      <c r="B5008" s="4" t="s">
        <v>298</v>
      </c>
      <c r="C5008" s="4" t="s">
        <v>2575</v>
      </c>
      <c r="D5008" s="4"/>
      <c r="E5008" s="4" t="s">
        <v>856</v>
      </c>
      <c r="F5008" s="4" t="s">
        <v>2594</v>
      </c>
      <c r="G5008" s="4" t="s">
        <v>333</v>
      </c>
      <c r="H5008" s="4" t="s">
        <v>1329</v>
      </c>
      <c r="I5008" s="4">
        <v>1</v>
      </c>
      <c r="J5008" s="21">
        <v>244</v>
      </c>
      <c r="K5008" s="21">
        <v>0</v>
      </c>
      <c r="L5008" s="5">
        <v>244</v>
      </c>
      <c r="M5008" s="4"/>
      <c r="N5008" s="4"/>
      <c r="O5008" s="5"/>
      <c r="P5008" s="5"/>
      <c r="Q5008" s="21">
        <v>0</v>
      </c>
      <c r="R5008" s="21">
        <v>0</v>
      </c>
      <c r="S5008" s="5">
        <f t="shared" si="315"/>
        <v>15804.526073026427</v>
      </c>
      <c r="T5008" cm="1">
        <f t="array" ref="T5008">IF(OR(B5008="MAL ALIMI", B5008="ÜRETİM GİRİŞ"), MIN(I5008, MAX(0, I5008 + SUM(SUMIFS($I$1:I5007, $C$1:C5007, C5008, $B$1:B5007, {"MAL ALIMI","ÜRETİM GİRİŞ"})) - VLOOKUP(C5008, 'STOK RAPORU'!$C$2:$I$1000, 4, 0))), 0)</f>
        <v>1</v>
      </c>
      <c r="U5008" s="22">
        <f t="shared" si="312"/>
        <v>244</v>
      </c>
      <c r="V5008">
        <f t="shared" si="313"/>
        <v>244</v>
      </c>
      <c r="W5008" s="22">
        <f t="shared" si="314"/>
        <v>0</v>
      </c>
    </row>
    <row r="5009" spans="1:23" hidden="1" x14ac:dyDescent="0.25">
      <c r="A5009" s="3">
        <v>46087</v>
      </c>
      <c r="B5009" s="4" t="s">
        <v>298</v>
      </c>
      <c r="C5009" s="4" t="s">
        <v>2576</v>
      </c>
      <c r="D5009" s="4"/>
      <c r="E5009" s="4" t="s">
        <v>856</v>
      </c>
      <c r="F5009" s="4" t="s">
        <v>2594</v>
      </c>
      <c r="G5009" s="4" t="s">
        <v>333</v>
      </c>
      <c r="H5009" s="4" t="s">
        <v>1329</v>
      </c>
      <c r="I5009" s="4">
        <v>1</v>
      </c>
      <c r="J5009" s="21">
        <v>110</v>
      </c>
      <c r="K5009" s="21">
        <v>0</v>
      </c>
      <c r="L5009" s="5">
        <v>110</v>
      </c>
      <c r="M5009" s="4"/>
      <c r="N5009" s="4"/>
      <c r="O5009" s="5"/>
      <c r="P5009" s="5"/>
      <c r="Q5009" s="21">
        <v>0</v>
      </c>
      <c r="R5009" s="21">
        <v>0</v>
      </c>
      <c r="S5009" s="5">
        <f t="shared" si="315"/>
        <v>15804.526073026427</v>
      </c>
      <c r="T5009" cm="1">
        <f t="array" ref="T5009">IF(OR(B5009="MAL ALIMI", B5009="ÜRETİM GİRİŞ"), MIN(I5009, MAX(0, I5009 + SUM(SUMIFS($I$1:I5008, $C$1:C5008, C5009, $B$1:B5008, {"MAL ALIMI","ÜRETİM GİRİŞ"})) - VLOOKUP(C5009, 'STOK RAPORU'!$C$2:$I$1000, 4, 0))), 0)</f>
        <v>1</v>
      </c>
      <c r="U5009" s="22">
        <f t="shared" si="312"/>
        <v>110</v>
      </c>
      <c r="V5009">
        <f t="shared" si="313"/>
        <v>110</v>
      </c>
      <c r="W5009" s="22">
        <f t="shared" si="314"/>
        <v>0</v>
      </c>
    </row>
    <row r="5010" spans="1:23" hidden="1" x14ac:dyDescent="0.25">
      <c r="A5010" s="3">
        <v>46087</v>
      </c>
      <c r="B5010" s="4" t="s">
        <v>298</v>
      </c>
      <c r="C5010" s="4" t="s">
        <v>2577</v>
      </c>
      <c r="D5010" s="4"/>
      <c r="E5010" s="4" t="s">
        <v>856</v>
      </c>
      <c r="F5010" s="4" t="s">
        <v>2594</v>
      </c>
      <c r="G5010" s="4" t="s">
        <v>333</v>
      </c>
      <c r="H5010" s="4" t="s">
        <v>1329</v>
      </c>
      <c r="I5010" s="4">
        <v>1</v>
      </c>
      <c r="J5010" s="21">
        <v>120</v>
      </c>
      <c r="K5010" s="21">
        <v>0</v>
      </c>
      <c r="L5010" s="5">
        <v>120</v>
      </c>
      <c r="M5010" s="4"/>
      <c r="N5010" s="4"/>
      <c r="O5010" s="5"/>
      <c r="P5010" s="5"/>
      <c r="Q5010" s="21">
        <v>0</v>
      </c>
      <c r="R5010" s="21">
        <v>0</v>
      </c>
      <c r="S5010" s="5">
        <f t="shared" si="315"/>
        <v>15804.526073026427</v>
      </c>
      <c r="T5010" cm="1">
        <f t="array" ref="T5010">IF(OR(B5010="MAL ALIMI", B5010="ÜRETİM GİRİŞ"), MIN(I5010, MAX(0, I5010 + SUM(SUMIFS($I$1:I5009, $C$1:C5009, C5010, $B$1:B5009, {"MAL ALIMI","ÜRETİM GİRİŞ"})) - VLOOKUP(C5010, 'STOK RAPORU'!$C$2:$I$1000, 4, 0))), 0)</f>
        <v>1</v>
      </c>
      <c r="U5010" s="22">
        <f t="shared" si="312"/>
        <v>120</v>
      </c>
      <c r="V5010">
        <f t="shared" si="313"/>
        <v>120</v>
      </c>
      <c r="W5010" s="22">
        <f t="shared" si="314"/>
        <v>0</v>
      </c>
    </row>
    <row r="5011" spans="1:23" hidden="1" x14ac:dyDescent="0.25">
      <c r="A5011" s="3">
        <v>46087</v>
      </c>
      <c r="B5011" s="4" t="s">
        <v>298</v>
      </c>
      <c r="C5011" s="4" t="s">
        <v>2578</v>
      </c>
      <c r="D5011" s="4"/>
      <c r="E5011" s="4" t="s">
        <v>856</v>
      </c>
      <c r="F5011" s="4" t="s">
        <v>2594</v>
      </c>
      <c r="G5011" s="4" t="s">
        <v>333</v>
      </c>
      <c r="H5011" s="4" t="s">
        <v>1329</v>
      </c>
      <c r="I5011" s="4">
        <v>3</v>
      </c>
      <c r="J5011" s="21">
        <v>70</v>
      </c>
      <c r="K5011" s="21">
        <v>0</v>
      </c>
      <c r="L5011" s="5">
        <v>210</v>
      </c>
      <c r="M5011" s="4"/>
      <c r="N5011" s="4"/>
      <c r="O5011" s="5"/>
      <c r="P5011" s="5"/>
      <c r="Q5011" s="21">
        <v>0</v>
      </c>
      <c r="R5011" s="21">
        <v>0</v>
      </c>
      <c r="S5011" s="5">
        <f t="shared" si="315"/>
        <v>15804.526073026427</v>
      </c>
      <c r="T5011" cm="1">
        <f t="array" ref="T5011">IF(OR(B5011="MAL ALIMI", B5011="ÜRETİM GİRİŞ"), MIN(I5011, MAX(0, I5011 + SUM(SUMIFS($I$1:I5010, $C$1:C5010, C5011, $B$1:B5010, {"MAL ALIMI","ÜRETİM GİRİŞ"})) - VLOOKUP(C5011, 'STOK RAPORU'!$C$2:$I$1000, 4, 0))), 0)</f>
        <v>3</v>
      </c>
      <c r="U5011" s="22">
        <f t="shared" si="312"/>
        <v>210</v>
      </c>
      <c r="V5011">
        <f t="shared" si="313"/>
        <v>210</v>
      </c>
      <c r="W5011" s="22">
        <f t="shared" si="314"/>
        <v>0</v>
      </c>
    </row>
    <row r="5012" spans="1:23" hidden="1" x14ac:dyDescent="0.25">
      <c r="A5012" s="3">
        <v>46087</v>
      </c>
      <c r="B5012" s="4" t="s">
        <v>298</v>
      </c>
      <c r="C5012" s="4" t="s">
        <v>590</v>
      </c>
      <c r="D5012" s="4"/>
      <c r="E5012" s="4" t="s">
        <v>856</v>
      </c>
      <c r="F5012" s="4" t="s">
        <v>2594</v>
      </c>
      <c r="G5012" s="4" t="s">
        <v>333</v>
      </c>
      <c r="H5012" s="4" t="s">
        <v>1329</v>
      </c>
      <c r="I5012" s="4">
        <v>5</v>
      </c>
      <c r="J5012" s="21">
        <v>55</v>
      </c>
      <c r="K5012" s="21">
        <v>0</v>
      </c>
      <c r="L5012" s="5">
        <v>275</v>
      </c>
      <c r="M5012" s="4"/>
      <c r="N5012" s="4"/>
      <c r="O5012" s="5"/>
      <c r="P5012" s="5"/>
      <c r="Q5012" s="21">
        <v>0</v>
      </c>
      <c r="R5012" s="21">
        <v>0</v>
      </c>
      <c r="S5012" s="5">
        <f t="shared" si="315"/>
        <v>15804.526073026427</v>
      </c>
      <c r="T5012" cm="1">
        <f t="array" ref="T5012">IF(OR(B5012="MAL ALIMI", B5012="ÜRETİM GİRİŞ"), MIN(I5012, MAX(0, I5012 + SUM(SUMIFS($I$1:I5011, $C$1:C5011, C5012, $B$1:B5011, {"MAL ALIMI","ÜRETİM GİRİŞ"})) - VLOOKUP(C5012, 'STOK RAPORU'!$C$2:$I$1000, 4, 0))), 0)</f>
        <v>0</v>
      </c>
      <c r="U5012" s="22">
        <f t="shared" si="312"/>
        <v>0</v>
      </c>
      <c r="V5012">
        <f t="shared" si="313"/>
        <v>275</v>
      </c>
      <c r="W5012" s="22">
        <f t="shared" si="314"/>
        <v>275</v>
      </c>
    </row>
    <row r="5013" spans="1:23" hidden="1" x14ac:dyDescent="0.25">
      <c r="A5013" s="3">
        <v>46087</v>
      </c>
      <c r="B5013" s="4" t="s">
        <v>298</v>
      </c>
      <c r="C5013" s="4" t="s">
        <v>2579</v>
      </c>
      <c r="D5013" s="4"/>
      <c r="E5013" s="4" t="s">
        <v>856</v>
      </c>
      <c r="F5013" s="4" t="s">
        <v>2594</v>
      </c>
      <c r="G5013" s="4" t="s">
        <v>333</v>
      </c>
      <c r="H5013" s="4" t="s">
        <v>1329</v>
      </c>
      <c r="I5013" s="4">
        <v>40</v>
      </c>
      <c r="J5013" s="21">
        <v>5.5</v>
      </c>
      <c r="K5013" s="21">
        <v>0</v>
      </c>
      <c r="L5013" s="5">
        <v>220</v>
      </c>
      <c r="M5013" s="4"/>
      <c r="N5013" s="4"/>
      <c r="O5013" s="5"/>
      <c r="P5013" s="5"/>
      <c r="Q5013" s="21">
        <v>0</v>
      </c>
      <c r="R5013" s="21">
        <v>0</v>
      </c>
      <c r="S5013" s="5">
        <f t="shared" si="315"/>
        <v>15804.526073026427</v>
      </c>
      <c r="T5013" cm="1">
        <f t="array" ref="T5013">IF(OR(B5013="MAL ALIMI", B5013="ÜRETİM GİRİŞ"), MIN(I5013, MAX(0, I5013 + SUM(SUMIFS($I$1:I5012, $C$1:C5012, C5013, $B$1:B5012, {"MAL ALIMI","ÜRETİM GİRİŞ"})) - VLOOKUP(C5013, 'STOK RAPORU'!$C$2:$I$1000, 4, 0))), 0)</f>
        <v>18</v>
      </c>
      <c r="U5013" s="22">
        <f t="shared" si="312"/>
        <v>99</v>
      </c>
      <c r="V5013">
        <f t="shared" si="313"/>
        <v>220</v>
      </c>
      <c r="W5013" s="22">
        <f t="shared" si="314"/>
        <v>121</v>
      </c>
    </row>
    <row r="5014" spans="1:23" hidden="1" x14ac:dyDescent="0.25">
      <c r="A5014" s="3">
        <v>46087</v>
      </c>
      <c r="B5014" s="4" t="s">
        <v>298</v>
      </c>
      <c r="C5014" s="4" t="s">
        <v>2580</v>
      </c>
      <c r="D5014" s="4"/>
      <c r="E5014" s="4" t="s">
        <v>856</v>
      </c>
      <c r="F5014" s="4" t="s">
        <v>2594</v>
      </c>
      <c r="G5014" s="4" t="s">
        <v>333</v>
      </c>
      <c r="H5014" s="4" t="s">
        <v>1329</v>
      </c>
      <c r="I5014" s="4">
        <v>1</v>
      </c>
      <c r="J5014" s="21">
        <v>1300</v>
      </c>
      <c r="K5014" s="21">
        <v>0</v>
      </c>
      <c r="L5014" s="5">
        <v>1300</v>
      </c>
      <c r="M5014" s="4"/>
      <c r="N5014" s="4"/>
      <c r="O5014" s="5"/>
      <c r="P5014" s="5"/>
      <c r="Q5014" s="21">
        <v>0</v>
      </c>
      <c r="R5014" s="21">
        <v>0</v>
      </c>
      <c r="S5014" s="5">
        <f t="shared" si="315"/>
        <v>15804.526073026427</v>
      </c>
      <c r="T5014" cm="1">
        <f t="array" ref="T5014">IF(OR(B5014="MAL ALIMI", B5014="ÜRETİM GİRİŞ"), MIN(I5014, MAX(0, I5014 + SUM(SUMIFS($I$1:I5013, $C$1:C5013, C5014, $B$1:B5013, {"MAL ALIMI","ÜRETİM GİRİŞ"})) - VLOOKUP(C5014, 'STOK RAPORU'!$C$2:$I$1000, 4, 0))), 0)</f>
        <v>0.7</v>
      </c>
      <c r="U5014" s="22">
        <f t="shared" si="312"/>
        <v>909.99999999999989</v>
      </c>
      <c r="V5014">
        <f t="shared" si="313"/>
        <v>1300</v>
      </c>
      <c r="W5014" s="22">
        <f t="shared" si="314"/>
        <v>390.00000000000011</v>
      </c>
    </row>
    <row r="5015" spans="1:23" hidden="1" x14ac:dyDescent="0.25">
      <c r="A5015" s="3">
        <v>46087</v>
      </c>
      <c r="B5015" s="4" t="s">
        <v>298</v>
      </c>
      <c r="C5015" s="4" t="s">
        <v>2581</v>
      </c>
      <c r="D5015" s="4"/>
      <c r="E5015" s="4" t="s">
        <v>856</v>
      </c>
      <c r="F5015" s="4" t="s">
        <v>2594</v>
      </c>
      <c r="G5015" s="4" t="s">
        <v>333</v>
      </c>
      <c r="H5015" s="4" t="s">
        <v>1329</v>
      </c>
      <c r="I5015" s="4">
        <v>1</v>
      </c>
      <c r="J5015" s="21">
        <v>227</v>
      </c>
      <c r="K5015" s="21">
        <v>0</v>
      </c>
      <c r="L5015" s="5">
        <v>227</v>
      </c>
      <c r="M5015" s="4"/>
      <c r="N5015" s="4"/>
      <c r="O5015" s="5"/>
      <c r="P5015" s="5"/>
      <c r="Q5015" s="21">
        <v>0</v>
      </c>
      <c r="R5015" s="21">
        <v>0</v>
      </c>
      <c r="S5015" s="5">
        <f t="shared" si="315"/>
        <v>15804.526073026427</v>
      </c>
      <c r="T5015" cm="1">
        <f t="array" ref="T5015">IF(OR(B5015="MAL ALIMI", B5015="ÜRETİM GİRİŞ"), MIN(I5015, MAX(0, I5015 + SUM(SUMIFS($I$1:I5014, $C$1:C5014, C5015, $B$1:B5014, {"MAL ALIMI","ÜRETİM GİRİŞ"})) - VLOOKUP(C5015, 'STOK RAPORU'!$C$2:$I$1000, 4, 0))), 0)</f>
        <v>1</v>
      </c>
      <c r="U5015" s="22">
        <f t="shared" si="312"/>
        <v>227</v>
      </c>
      <c r="V5015">
        <f t="shared" si="313"/>
        <v>227</v>
      </c>
      <c r="W5015" s="22">
        <f t="shared" si="314"/>
        <v>0</v>
      </c>
    </row>
    <row r="5016" spans="1:23" hidden="1" x14ac:dyDescent="0.25">
      <c r="A5016" s="3">
        <v>46087</v>
      </c>
      <c r="B5016" s="4" t="s">
        <v>298</v>
      </c>
      <c r="C5016" s="4" t="s">
        <v>2582</v>
      </c>
      <c r="D5016" s="4"/>
      <c r="E5016" s="4" t="s">
        <v>856</v>
      </c>
      <c r="F5016" s="4" t="s">
        <v>2594</v>
      </c>
      <c r="G5016" s="4" t="s">
        <v>333</v>
      </c>
      <c r="H5016" s="4" t="s">
        <v>1329</v>
      </c>
      <c r="I5016" s="4">
        <v>1</v>
      </c>
      <c r="J5016" s="21">
        <v>118</v>
      </c>
      <c r="K5016" s="21">
        <v>0</v>
      </c>
      <c r="L5016" s="5">
        <v>118</v>
      </c>
      <c r="M5016" s="4"/>
      <c r="N5016" s="4"/>
      <c r="O5016" s="5"/>
      <c r="P5016" s="5"/>
      <c r="Q5016" s="21">
        <v>0</v>
      </c>
      <c r="R5016" s="21">
        <v>0</v>
      </c>
      <c r="S5016" s="5">
        <f t="shared" si="315"/>
        <v>15804.526073026427</v>
      </c>
      <c r="T5016" cm="1">
        <f t="array" ref="T5016">IF(OR(B5016="MAL ALIMI", B5016="ÜRETİM GİRİŞ"), MIN(I5016, MAX(0, I5016 + SUM(SUMIFS($I$1:I5015, $C$1:C5015, C5016, $B$1:B5015, {"MAL ALIMI","ÜRETİM GİRİŞ"})) - VLOOKUP(C5016, 'STOK RAPORU'!$C$2:$I$1000, 4, 0))), 0)</f>
        <v>1</v>
      </c>
      <c r="U5016" s="22">
        <f t="shared" si="312"/>
        <v>118</v>
      </c>
      <c r="V5016">
        <f t="shared" si="313"/>
        <v>118</v>
      </c>
      <c r="W5016" s="22">
        <f t="shared" si="314"/>
        <v>0</v>
      </c>
    </row>
    <row r="5017" spans="1:23" hidden="1" x14ac:dyDescent="0.25">
      <c r="A5017" s="3">
        <v>46087</v>
      </c>
      <c r="B5017" s="4" t="s">
        <v>298</v>
      </c>
      <c r="C5017" s="4" t="s">
        <v>2583</v>
      </c>
      <c r="D5017" s="4"/>
      <c r="E5017" s="4" t="s">
        <v>856</v>
      </c>
      <c r="F5017" s="4" t="s">
        <v>2594</v>
      </c>
      <c r="G5017" s="4" t="s">
        <v>333</v>
      </c>
      <c r="H5017" s="4" t="s">
        <v>1329</v>
      </c>
      <c r="I5017" s="4">
        <v>2</v>
      </c>
      <c r="J5017" s="21">
        <v>145</v>
      </c>
      <c r="K5017" s="21">
        <v>0</v>
      </c>
      <c r="L5017" s="5">
        <v>290</v>
      </c>
      <c r="M5017" s="4"/>
      <c r="N5017" s="4"/>
      <c r="O5017" s="5"/>
      <c r="P5017" s="5"/>
      <c r="Q5017" s="21">
        <v>0</v>
      </c>
      <c r="R5017" s="21">
        <v>0</v>
      </c>
      <c r="S5017" s="5">
        <f t="shared" si="315"/>
        <v>15804.526073026427</v>
      </c>
      <c r="T5017" cm="1">
        <f t="array" ref="T5017">IF(OR(B5017="MAL ALIMI", B5017="ÜRETİM GİRİŞ"), MIN(I5017, MAX(0, I5017 + SUM(SUMIFS($I$1:I5016, $C$1:C5016, C5017, $B$1:B5016, {"MAL ALIMI","ÜRETİM GİRİŞ"})) - VLOOKUP(C5017, 'STOK RAPORU'!$C$2:$I$1000, 4, 0))), 0)</f>
        <v>1</v>
      </c>
      <c r="U5017" s="22">
        <f t="shared" si="312"/>
        <v>145</v>
      </c>
      <c r="V5017">
        <f t="shared" si="313"/>
        <v>290</v>
      </c>
      <c r="W5017" s="22">
        <f t="shared" si="314"/>
        <v>145</v>
      </c>
    </row>
    <row r="5018" spans="1:23" hidden="1" x14ac:dyDescent="0.25">
      <c r="A5018" s="3">
        <v>46087</v>
      </c>
      <c r="B5018" s="4" t="s">
        <v>298</v>
      </c>
      <c r="C5018" s="4" t="s">
        <v>2584</v>
      </c>
      <c r="D5018" s="4"/>
      <c r="E5018" s="4" t="s">
        <v>856</v>
      </c>
      <c r="F5018" s="4" t="s">
        <v>2594</v>
      </c>
      <c r="G5018" s="4" t="s">
        <v>333</v>
      </c>
      <c r="H5018" s="4" t="s">
        <v>1329</v>
      </c>
      <c r="I5018" s="4">
        <v>2</v>
      </c>
      <c r="J5018" s="57">
        <v>191</v>
      </c>
      <c r="K5018" s="21">
        <v>0</v>
      </c>
      <c r="L5018" s="5">
        <v>382</v>
      </c>
      <c r="M5018" s="4"/>
      <c r="N5018" s="4"/>
      <c r="O5018" s="5"/>
      <c r="P5018" s="5"/>
      <c r="Q5018" s="21">
        <v>0</v>
      </c>
      <c r="R5018" s="21">
        <v>0</v>
      </c>
      <c r="S5018" s="5">
        <f t="shared" si="315"/>
        <v>15804.526073026427</v>
      </c>
      <c r="T5018" cm="1">
        <f t="array" ref="T5018">IF(OR(B5018="MAL ALIMI", B5018="ÜRETİM GİRİŞ"), MIN(I5018, MAX(0, I5018 + SUM(SUMIFS($I$1:I5017, $C$1:C5017, C5018, $B$1:B5017, {"MAL ALIMI","ÜRETİM GİRİŞ"})) - VLOOKUP(C5018, 'STOK RAPORU'!$C$2:$I$1000, 4, 0))), 0)</f>
        <v>2</v>
      </c>
      <c r="U5018" s="22">
        <f t="shared" si="312"/>
        <v>382</v>
      </c>
      <c r="V5018">
        <f t="shared" si="313"/>
        <v>382</v>
      </c>
      <c r="W5018" s="22">
        <f t="shared" si="314"/>
        <v>0</v>
      </c>
    </row>
    <row r="5019" spans="1:23" hidden="1" x14ac:dyDescent="0.25">
      <c r="A5019" s="3">
        <v>46087</v>
      </c>
      <c r="B5019" s="4" t="s">
        <v>298</v>
      </c>
      <c r="C5019" s="4" t="s">
        <v>2585</v>
      </c>
      <c r="D5019" s="4"/>
      <c r="E5019" s="4" t="s">
        <v>856</v>
      </c>
      <c r="F5019" s="4" t="s">
        <v>2594</v>
      </c>
      <c r="G5019" s="4" t="s">
        <v>333</v>
      </c>
      <c r="H5019" s="4" t="s">
        <v>1329</v>
      </c>
      <c r="I5019" s="4">
        <v>1</v>
      </c>
      <c r="J5019" s="21">
        <v>227</v>
      </c>
      <c r="K5019" s="21">
        <v>0</v>
      </c>
      <c r="L5019" s="5">
        <v>227</v>
      </c>
      <c r="M5019" s="4"/>
      <c r="N5019" s="4"/>
      <c r="O5019" s="5"/>
      <c r="P5019" s="5"/>
      <c r="Q5019" s="21">
        <v>0</v>
      </c>
      <c r="R5019" s="21">
        <v>0</v>
      </c>
      <c r="S5019" s="5">
        <f t="shared" si="315"/>
        <v>15804.526073026427</v>
      </c>
      <c r="T5019" cm="1">
        <f t="array" ref="T5019">IF(OR(B5019="MAL ALIMI", B5019="ÜRETİM GİRİŞ"), MIN(I5019, MAX(0, I5019 + SUM(SUMIFS($I$1:I5018, $C$1:C5018, C5019, $B$1:B5018, {"MAL ALIMI","ÜRETİM GİRİŞ"})) - VLOOKUP(C5019, 'STOK RAPORU'!$C$2:$I$1000, 4, 0))), 0)</f>
        <v>1</v>
      </c>
      <c r="U5019" s="22">
        <f t="shared" si="312"/>
        <v>227</v>
      </c>
      <c r="V5019">
        <f t="shared" si="313"/>
        <v>227</v>
      </c>
      <c r="W5019" s="22">
        <f t="shared" si="314"/>
        <v>0</v>
      </c>
    </row>
    <row r="5020" spans="1:23" hidden="1" x14ac:dyDescent="0.25">
      <c r="A5020" s="3">
        <v>46087</v>
      </c>
      <c r="B5020" s="4" t="s">
        <v>298</v>
      </c>
      <c r="C5020" s="4" t="s">
        <v>2586</v>
      </c>
      <c r="D5020" s="4"/>
      <c r="E5020" s="4" t="s">
        <v>856</v>
      </c>
      <c r="F5020" s="4" t="s">
        <v>2594</v>
      </c>
      <c r="G5020" s="4" t="s">
        <v>333</v>
      </c>
      <c r="H5020" s="4" t="s">
        <v>1329</v>
      </c>
      <c r="I5020" s="4">
        <v>1</v>
      </c>
      <c r="J5020" s="21">
        <v>294</v>
      </c>
      <c r="K5020" s="21">
        <v>0</v>
      </c>
      <c r="L5020" s="5">
        <v>294</v>
      </c>
      <c r="M5020" s="4"/>
      <c r="N5020" s="4"/>
      <c r="O5020" s="5"/>
      <c r="P5020" s="5"/>
      <c r="Q5020" s="21">
        <v>0</v>
      </c>
      <c r="R5020" s="21">
        <v>0</v>
      </c>
      <c r="S5020" s="5">
        <f t="shared" si="315"/>
        <v>15804.526073026427</v>
      </c>
      <c r="T5020" cm="1">
        <f t="array" ref="T5020">IF(OR(B5020="MAL ALIMI", B5020="ÜRETİM GİRİŞ"), MIN(I5020, MAX(0, I5020 + SUM(SUMIFS($I$1:I5019, $C$1:C5019, C5020, $B$1:B5019, {"MAL ALIMI","ÜRETİM GİRİŞ"})) - VLOOKUP(C5020, 'STOK RAPORU'!$C$2:$I$1000, 4, 0))), 0)</f>
        <v>1</v>
      </c>
      <c r="U5020" s="22">
        <f t="shared" si="312"/>
        <v>294</v>
      </c>
      <c r="V5020">
        <f t="shared" si="313"/>
        <v>294</v>
      </c>
      <c r="W5020" s="22">
        <f t="shared" si="314"/>
        <v>0</v>
      </c>
    </row>
    <row r="5021" spans="1:23" hidden="1" x14ac:dyDescent="0.25">
      <c r="A5021" s="3">
        <v>46087</v>
      </c>
      <c r="B5021" s="4" t="s">
        <v>298</v>
      </c>
      <c r="C5021" s="4" t="s">
        <v>2587</v>
      </c>
      <c r="D5021" s="4"/>
      <c r="E5021" s="4" t="s">
        <v>856</v>
      </c>
      <c r="F5021" s="4" t="s">
        <v>2594</v>
      </c>
      <c r="G5021" s="4" t="s">
        <v>333</v>
      </c>
      <c r="H5021" s="4" t="s">
        <v>1329</v>
      </c>
      <c r="I5021" s="4">
        <v>1</v>
      </c>
      <c r="J5021" s="21">
        <v>234</v>
      </c>
      <c r="K5021" s="21">
        <v>0</v>
      </c>
      <c r="L5021" s="5">
        <v>234</v>
      </c>
      <c r="M5021" s="4"/>
      <c r="N5021" s="4"/>
      <c r="O5021" s="5"/>
      <c r="P5021" s="5"/>
      <c r="Q5021" s="21">
        <v>0</v>
      </c>
      <c r="R5021" s="21">
        <v>0</v>
      </c>
      <c r="S5021" s="5">
        <f t="shared" si="315"/>
        <v>15804.526073026427</v>
      </c>
      <c r="T5021" cm="1">
        <f t="array" ref="T5021">IF(OR(B5021="MAL ALIMI", B5021="ÜRETİM GİRİŞ"), MIN(I5021, MAX(0, I5021 + SUM(SUMIFS($I$1:I5020, $C$1:C5020, C5021, $B$1:B5020, {"MAL ALIMI","ÜRETİM GİRİŞ"})) - VLOOKUP(C5021, 'STOK RAPORU'!$C$2:$I$1000, 4, 0))), 0)</f>
        <v>1</v>
      </c>
      <c r="U5021" s="22">
        <f t="shared" si="312"/>
        <v>234</v>
      </c>
      <c r="V5021">
        <f t="shared" si="313"/>
        <v>234</v>
      </c>
      <c r="W5021" s="22">
        <f t="shared" si="314"/>
        <v>0</v>
      </c>
    </row>
    <row r="5022" spans="1:23" hidden="1" x14ac:dyDescent="0.25">
      <c r="A5022" s="3">
        <v>46087</v>
      </c>
      <c r="B5022" s="4" t="s">
        <v>298</v>
      </c>
      <c r="C5022" s="4" t="s">
        <v>2588</v>
      </c>
      <c r="D5022" s="4"/>
      <c r="E5022" s="4" t="s">
        <v>856</v>
      </c>
      <c r="F5022" s="4" t="s">
        <v>2594</v>
      </c>
      <c r="G5022" s="4" t="s">
        <v>333</v>
      </c>
      <c r="H5022" s="4" t="s">
        <v>1329</v>
      </c>
      <c r="I5022" s="4">
        <v>3</v>
      </c>
      <c r="J5022" s="21">
        <v>60</v>
      </c>
      <c r="K5022" s="21">
        <v>0</v>
      </c>
      <c r="L5022" s="5">
        <v>180</v>
      </c>
      <c r="M5022" s="4"/>
      <c r="N5022" s="4"/>
      <c r="O5022" s="5"/>
      <c r="P5022" s="5"/>
      <c r="Q5022" s="21">
        <v>0</v>
      </c>
      <c r="R5022" s="21">
        <v>0</v>
      </c>
      <c r="S5022" s="5">
        <f t="shared" si="315"/>
        <v>15804.526073026427</v>
      </c>
      <c r="T5022" cm="1">
        <f t="array" ref="T5022">IF(OR(B5022="MAL ALIMI", B5022="ÜRETİM GİRİŞ"), MIN(I5022, MAX(0, I5022 + SUM(SUMIFS($I$1:I5021, $C$1:C5021, C5022, $B$1:B5021, {"MAL ALIMI","ÜRETİM GİRİŞ"})) - VLOOKUP(C5022, 'STOK RAPORU'!$C$2:$I$1000, 4, 0))), 0)</f>
        <v>1</v>
      </c>
      <c r="U5022" s="22">
        <f t="shared" si="312"/>
        <v>60</v>
      </c>
      <c r="V5022">
        <f t="shared" si="313"/>
        <v>180</v>
      </c>
      <c r="W5022" s="22">
        <f t="shared" si="314"/>
        <v>120</v>
      </c>
    </row>
    <row r="5023" spans="1:23" hidden="1" x14ac:dyDescent="0.25">
      <c r="A5023" s="3">
        <v>46087</v>
      </c>
      <c r="B5023" s="4" t="s">
        <v>298</v>
      </c>
      <c r="C5023" s="4" t="s">
        <v>2592</v>
      </c>
      <c r="D5023" s="4"/>
      <c r="E5023" s="4" t="s">
        <v>856</v>
      </c>
      <c r="F5023" s="4" t="s">
        <v>2594</v>
      </c>
      <c r="G5023" s="4" t="s">
        <v>333</v>
      </c>
      <c r="H5023" s="4" t="s">
        <v>1329</v>
      </c>
      <c r="I5023" s="4">
        <v>3</v>
      </c>
      <c r="J5023" s="21">
        <v>60</v>
      </c>
      <c r="K5023" s="21">
        <v>0</v>
      </c>
      <c r="L5023" s="5">
        <v>180</v>
      </c>
      <c r="M5023" s="4"/>
      <c r="N5023" s="4"/>
      <c r="O5023" s="5"/>
      <c r="P5023" s="5"/>
      <c r="Q5023" s="21">
        <v>0</v>
      </c>
      <c r="R5023" s="21">
        <v>0</v>
      </c>
      <c r="S5023" s="5">
        <f t="shared" si="315"/>
        <v>15804.526073026427</v>
      </c>
      <c r="T5023" cm="1">
        <f t="array" ref="T5023">IF(OR(B5023="MAL ALIMI", B5023="ÜRETİM GİRİŞ"), MIN(I5023, MAX(0, I5023 + SUM(SUMIFS($I$1:I5022, $C$1:C5022, C5023, $B$1:B5022, {"MAL ALIMI","ÜRETİM GİRİŞ"})) - VLOOKUP(C5023, 'STOK RAPORU'!$C$2:$I$1000, 4, 0))), 0)</f>
        <v>1</v>
      </c>
      <c r="U5023" s="22">
        <f t="shared" si="312"/>
        <v>60</v>
      </c>
      <c r="V5023">
        <f t="shared" si="313"/>
        <v>180</v>
      </c>
      <c r="W5023" s="22">
        <f t="shared" si="314"/>
        <v>120</v>
      </c>
    </row>
    <row r="5024" spans="1:23" hidden="1" x14ac:dyDescent="0.25">
      <c r="A5024" s="3">
        <v>46087</v>
      </c>
      <c r="B5024" s="4" t="s">
        <v>298</v>
      </c>
      <c r="C5024" s="4" t="s">
        <v>2589</v>
      </c>
      <c r="D5024" s="4"/>
      <c r="E5024" s="4" t="s">
        <v>856</v>
      </c>
      <c r="F5024" s="4" t="s">
        <v>2594</v>
      </c>
      <c r="G5024" s="4" t="s">
        <v>333</v>
      </c>
      <c r="H5024" s="4" t="s">
        <v>1329</v>
      </c>
      <c r="I5024" s="4">
        <v>3</v>
      </c>
      <c r="J5024" s="21">
        <v>60</v>
      </c>
      <c r="K5024" s="21">
        <v>0</v>
      </c>
      <c r="L5024" s="5">
        <v>180</v>
      </c>
      <c r="M5024" s="4"/>
      <c r="N5024" s="4"/>
      <c r="O5024" s="5"/>
      <c r="P5024" s="5"/>
      <c r="Q5024" s="21">
        <v>0</v>
      </c>
      <c r="R5024" s="21">
        <v>0</v>
      </c>
      <c r="S5024" s="5">
        <f t="shared" si="315"/>
        <v>15804.526073026427</v>
      </c>
      <c r="T5024" cm="1">
        <f t="array" ref="T5024">IF(OR(B5024="MAL ALIMI", B5024="ÜRETİM GİRİŞ"), MIN(I5024, MAX(0, I5024 + SUM(SUMIFS($I$1:I5023, $C$1:C5023, C5024, $B$1:B5023, {"MAL ALIMI","ÜRETİM GİRİŞ"})) - VLOOKUP(C5024, 'STOK RAPORU'!$C$2:$I$1000, 4, 0))), 0)</f>
        <v>2</v>
      </c>
      <c r="U5024" s="22">
        <f t="shared" si="312"/>
        <v>120</v>
      </c>
      <c r="V5024">
        <f t="shared" si="313"/>
        <v>180</v>
      </c>
      <c r="W5024" s="22">
        <f t="shared" si="314"/>
        <v>60</v>
      </c>
    </row>
    <row r="5025" spans="1:23" hidden="1" x14ac:dyDescent="0.25">
      <c r="A5025" s="3">
        <v>46087</v>
      </c>
      <c r="B5025" s="4" t="s">
        <v>298</v>
      </c>
      <c r="C5025" s="4" t="s">
        <v>2590</v>
      </c>
      <c r="D5025" s="4"/>
      <c r="E5025" s="4" t="s">
        <v>856</v>
      </c>
      <c r="F5025" s="4" t="s">
        <v>2594</v>
      </c>
      <c r="G5025" s="4" t="s">
        <v>333</v>
      </c>
      <c r="H5025" s="4" t="s">
        <v>1329</v>
      </c>
      <c r="I5025" s="4">
        <v>3</v>
      </c>
      <c r="J5025" s="21">
        <v>60</v>
      </c>
      <c r="K5025" s="21">
        <v>0</v>
      </c>
      <c r="L5025" s="5">
        <v>180</v>
      </c>
      <c r="M5025" s="4"/>
      <c r="N5025" s="4"/>
      <c r="O5025" s="5"/>
      <c r="P5025" s="5"/>
      <c r="Q5025" s="21">
        <v>0</v>
      </c>
      <c r="R5025" s="21">
        <v>0</v>
      </c>
      <c r="S5025" s="5">
        <f t="shared" si="315"/>
        <v>15804.526073026427</v>
      </c>
      <c r="T5025" cm="1">
        <f t="array" ref="T5025">IF(OR(B5025="MAL ALIMI", B5025="ÜRETİM GİRİŞ"), MIN(I5025, MAX(0, I5025 + SUM(SUMIFS($I$1:I5024, $C$1:C5024, C5025, $B$1:B5024, {"MAL ALIMI","ÜRETİM GİRİŞ"})) - VLOOKUP(C5025, 'STOK RAPORU'!$C$2:$I$1000, 4, 0))), 0)</f>
        <v>2</v>
      </c>
      <c r="U5025" s="22">
        <f t="shared" si="312"/>
        <v>120</v>
      </c>
      <c r="V5025">
        <f t="shared" si="313"/>
        <v>180</v>
      </c>
      <c r="W5025" s="22">
        <f t="shared" si="314"/>
        <v>60</v>
      </c>
    </row>
    <row r="5026" spans="1:23" hidden="1" x14ac:dyDescent="0.25">
      <c r="A5026" s="3">
        <v>46087</v>
      </c>
      <c r="B5026" s="4" t="s">
        <v>298</v>
      </c>
      <c r="C5026" s="4" t="s">
        <v>2593</v>
      </c>
      <c r="D5026" s="4"/>
      <c r="E5026" s="4" t="s">
        <v>856</v>
      </c>
      <c r="F5026" s="4" t="s">
        <v>2594</v>
      </c>
      <c r="G5026" s="4" t="s">
        <v>333</v>
      </c>
      <c r="H5026" s="4" t="s">
        <v>1329</v>
      </c>
      <c r="I5026" s="4">
        <v>1</v>
      </c>
      <c r="J5026" s="21">
        <v>40</v>
      </c>
      <c r="K5026" s="21">
        <v>0</v>
      </c>
      <c r="L5026" s="5">
        <v>40</v>
      </c>
      <c r="M5026" s="4"/>
      <c r="N5026" s="4"/>
      <c r="O5026" s="5"/>
      <c r="P5026" s="5"/>
      <c r="Q5026" s="21">
        <v>0</v>
      </c>
      <c r="R5026" s="21">
        <v>0</v>
      </c>
      <c r="S5026" s="5">
        <f t="shared" si="315"/>
        <v>15804.526073026427</v>
      </c>
      <c r="T5026" cm="1">
        <f t="array" ref="T5026">IF(OR(B5026="MAL ALIMI", B5026="ÜRETİM GİRİŞ"), MIN(I5026, MAX(0, I5026 + SUM(SUMIFS($I$1:I5025, $C$1:C5025, C5026, $B$1:B5025, {"MAL ALIMI","ÜRETİM GİRİŞ"})) - VLOOKUP(C5026, 'STOK RAPORU'!$C$2:$I$1000, 4, 0))), 0)</f>
        <v>1</v>
      </c>
      <c r="U5026" s="22">
        <f t="shared" si="312"/>
        <v>40</v>
      </c>
      <c r="V5026">
        <f t="shared" si="313"/>
        <v>40</v>
      </c>
      <c r="W5026" s="22">
        <f t="shared" si="314"/>
        <v>0</v>
      </c>
    </row>
    <row r="5027" spans="1:23" hidden="1" x14ac:dyDescent="0.25">
      <c r="A5027" s="3">
        <v>46087</v>
      </c>
      <c r="B5027" s="4" t="s">
        <v>298</v>
      </c>
      <c r="C5027" s="4" t="s">
        <v>590</v>
      </c>
      <c r="D5027" s="4"/>
      <c r="E5027" s="4" t="s">
        <v>856</v>
      </c>
      <c r="F5027" s="4" t="s">
        <v>2594</v>
      </c>
      <c r="G5027" s="4" t="s">
        <v>333</v>
      </c>
      <c r="H5027" s="4" t="s">
        <v>1329</v>
      </c>
      <c r="I5027" s="4">
        <v>1</v>
      </c>
      <c r="J5027" s="21">
        <v>65</v>
      </c>
      <c r="K5027" s="21">
        <v>0</v>
      </c>
      <c r="L5027" s="5">
        <v>65</v>
      </c>
      <c r="M5027" s="4"/>
      <c r="N5027" s="4"/>
      <c r="O5027" s="5"/>
      <c r="P5027" s="5"/>
      <c r="Q5027" s="21">
        <v>0</v>
      </c>
      <c r="R5027" s="21">
        <v>0</v>
      </c>
      <c r="S5027" s="5">
        <f t="shared" si="315"/>
        <v>15804.526073026427</v>
      </c>
      <c r="T5027" cm="1">
        <f t="array" ref="T5027">IF(OR(B5027="MAL ALIMI", B5027="ÜRETİM GİRİŞ"), MIN(I5027, MAX(0, I5027 + SUM(SUMIFS($I$1:I5026, $C$1:C5026, C5027, $B$1:B5026, {"MAL ALIMI","ÜRETİM GİRİŞ"})) - VLOOKUP(C5027, 'STOK RAPORU'!$C$2:$I$1000, 4, 0))), 0)</f>
        <v>0</v>
      </c>
      <c r="U5027" s="22">
        <f t="shared" si="312"/>
        <v>0</v>
      </c>
      <c r="V5027">
        <f t="shared" si="313"/>
        <v>65</v>
      </c>
      <c r="W5027" s="22">
        <f t="shared" si="314"/>
        <v>65</v>
      </c>
    </row>
    <row r="5028" spans="1:23" hidden="1" x14ac:dyDescent="0.25">
      <c r="A5028" s="3">
        <v>46087</v>
      </c>
      <c r="B5028" s="4" t="s">
        <v>298</v>
      </c>
      <c r="C5028" s="4" t="s">
        <v>2591</v>
      </c>
      <c r="D5028" s="4"/>
      <c r="E5028" s="4" t="s">
        <v>856</v>
      </c>
      <c r="F5028" s="4" t="s">
        <v>2594</v>
      </c>
      <c r="G5028" s="4" t="s">
        <v>333</v>
      </c>
      <c r="H5028" s="4" t="s">
        <v>1329</v>
      </c>
      <c r="I5028" s="4">
        <v>1</v>
      </c>
      <c r="J5028" s="21">
        <v>142</v>
      </c>
      <c r="K5028" s="21">
        <v>0</v>
      </c>
      <c r="L5028" s="5">
        <v>142</v>
      </c>
      <c r="M5028" s="4"/>
      <c r="N5028" s="4"/>
      <c r="O5028" s="5"/>
      <c r="P5028" s="5"/>
      <c r="Q5028" s="21">
        <v>0</v>
      </c>
      <c r="R5028" s="21">
        <v>0</v>
      </c>
      <c r="S5028" s="5">
        <f t="shared" si="315"/>
        <v>15804.526073026427</v>
      </c>
      <c r="T5028" cm="1">
        <f t="array" ref="T5028">IF(OR(B5028="MAL ALIMI", B5028="ÜRETİM GİRİŞ"), MIN(I5028, MAX(0, I5028 + SUM(SUMIFS($I$1:I5027, $C$1:C5027, C5028, $B$1:B5027, {"MAL ALIMI","ÜRETİM GİRİŞ"})) - VLOOKUP(C5028, 'STOK RAPORU'!$C$2:$I$1000, 4, 0))), 0)</f>
        <v>1</v>
      </c>
      <c r="U5028" s="22">
        <f t="shared" si="312"/>
        <v>142</v>
      </c>
      <c r="V5028">
        <f t="shared" si="313"/>
        <v>142</v>
      </c>
      <c r="W5028" s="22">
        <f t="shared" si="314"/>
        <v>0</v>
      </c>
    </row>
    <row r="5029" spans="1:23" hidden="1" x14ac:dyDescent="0.25">
      <c r="A5029" s="3">
        <v>46087</v>
      </c>
      <c r="B5029" s="4" t="s">
        <v>298</v>
      </c>
      <c r="C5029" s="4" t="s">
        <v>750</v>
      </c>
      <c r="D5029" s="4"/>
      <c r="E5029" s="4" t="s">
        <v>856</v>
      </c>
      <c r="F5029" s="4" t="s">
        <v>2683</v>
      </c>
      <c r="G5029" s="4" t="s">
        <v>753</v>
      </c>
      <c r="H5029" s="4" t="s">
        <v>1329</v>
      </c>
      <c r="I5029" s="4">
        <v>4</v>
      </c>
      <c r="J5029" s="21">
        <v>159.9</v>
      </c>
      <c r="K5029" s="21">
        <v>0</v>
      </c>
      <c r="L5029" s="5">
        <v>639.6</v>
      </c>
      <c r="M5029" s="4"/>
      <c r="N5029" s="4"/>
      <c r="O5029" s="5"/>
      <c r="P5029" s="5"/>
      <c r="Q5029" s="21">
        <v>0</v>
      </c>
      <c r="R5029" s="21">
        <v>0</v>
      </c>
      <c r="S5029" s="5">
        <f t="shared" si="315"/>
        <v>15804.526073026427</v>
      </c>
      <c r="T5029" cm="1">
        <f t="array" ref="T5029">IF(OR(B5029="MAL ALIMI", B5029="ÜRETİM GİRİŞ"), MIN(I5029, MAX(0, I5029 + SUM(SUMIFS($I$1:I5028, $C$1:C5028, C5029, $B$1:B5028, {"MAL ALIMI","ÜRETİM GİRİŞ"})) - VLOOKUP(C5029, 'STOK RAPORU'!$C$2:$I$1000, 4, 0))), 0)</f>
        <v>4</v>
      </c>
      <c r="U5029" s="22">
        <f t="shared" si="312"/>
        <v>639.6</v>
      </c>
      <c r="V5029">
        <f t="shared" si="313"/>
        <v>639.6</v>
      </c>
      <c r="W5029" s="22">
        <f t="shared" si="314"/>
        <v>0</v>
      </c>
    </row>
    <row r="5030" spans="1:23" hidden="1" x14ac:dyDescent="0.25">
      <c r="A5030" s="3">
        <v>46087</v>
      </c>
      <c r="B5030" s="4" t="s">
        <v>298</v>
      </c>
      <c r="C5030" s="4" t="s">
        <v>751</v>
      </c>
      <c r="D5030" s="4"/>
      <c r="E5030" s="4" t="s">
        <v>856</v>
      </c>
      <c r="F5030" s="4" t="s">
        <v>2688</v>
      </c>
      <c r="G5030" s="4" t="s">
        <v>753</v>
      </c>
      <c r="H5030" s="4" t="s">
        <v>1329</v>
      </c>
      <c r="I5030" s="4">
        <v>5</v>
      </c>
      <c r="J5030" s="21">
        <v>151.9</v>
      </c>
      <c r="K5030" s="21">
        <v>0</v>
      </c>
      <c r="L5030" s="5">
        <v>759.5</v>
      </c>
      <c r="M5030" s="4"/>
      <c r="N5030" s="4"/>
      <c r="O5030" s="5"/>
      <c r="P5030" s="5"/>
      <c r="Q5030" s="21">
        <v>0</v>
      </c>
      <c r="R5030" s="21">
        <v>0</v>
      </c>
      <c r="S5030" s="5">
        <f t="shared" si="315"/>
        <v>15804.526073026427</v>
      </c>
      <c r="T5030" cm="1">
        <f t="array" ref="T5030">IF(OR(B5030="MAL ALIMI", B5030="ÜRETİM GİRİŞ"), MIN(I5030, MAX(0, I5030 + SUM(SUMIFS($I$1:I5029, $C$1:C5029, C5030, $B$1:B5029, {"MAL ALIMI","ÜRETİM GİRİŞ"})) - VLOOKUP(C5030, 'STOK RAPORU'!$C$2:$I$1000, 4, 0))), 0)</f>
        <v>5</v>
      </c>
      <c r="U5030" s="22">
        <f t="shared" si="312"/>
        <v>759.5</v>
      </c>
      <c r="V5030">
        <f t="shared" si="313"/>
        <v>759.5</v>
      </c>
      <c r="W5030" s="22">
        <f t="shared" si="314"/>
        <v>0</v>
      </c>
    </row>
    <row r="5031" spans="1:23" hidden="1" x14ac:dyDescent="0.25">
      <c r="A5031" s="3">
        <v>46087</v>
      </c>
      <c r="B5031" s="4" t="s">
        <v>334</v>
      </c>
      <c r="C5031" s="4" t="s">
        <v>161</v>
      </c>
      <c r="D5031" s="4"/>
      <c r="E5031" s="4" t="s">
        <v>921</v>
      </c>
      <c r="F5031" s="46" t="s">
        <v>2414</v>
      </c>
      <c r="G5031" s="4" t="s">
        <v>336</v>
      </c>
      <c r="H5031" s="4" t="s">
        <v>380</v>
      </c>
      <c r="I5031" s="4">
        <v>1</v>
      </c>
      <c r="J5031" s="21">
        <v>230</v>
      </c>
      <c r="K5031" s="21">
        <v>230</v>
      </c>
      <c r="L5031" s="5">
        <v>0</v>
      </c>
      <c r="M5031" s="4"/>
      <c r="N5031" s="4"/>
      <c r="O5031" s="5"/>
      <c r="P5031" s="5"/>
      <c r="Q5031" s="21">
        <v>0</v>
      </c>
      <c r="R5031" s="21">
        <v>0</v>
      </c>
      <c r="S5031" s="5">
        <f t="shared" si="315"/>
        <v>15804.526073026427</v>
      </c>
      <c r="T5031" cm="1">
        <f t="array" ref="T5031">IF(OR(B5031="MAL ALIMI", B5031="ÜRETİM GİRİŞ"), MIN(I5031, MAX(0, I5031 + SUM(SUMIFS($I$1:I5030, $C$1:C5030, C5031, $B$1:B5030, {"MAL ALIMI","ÜRETİM GİRİŞ"})) - VLOOKUP(C5031, 'STOK RAPORU'!$C$2:$I$1000, 4, 0))), 0)</f>
        <v>0</v>
      </c>
      <c r="U5031" s="22">
        <f t="shared" si="312"/>
        <v>0</v>
      </c>
      <c r="V5031">
        <f t="shared" si="313"/>
        <v>0</v>
      </c>
      <c r="W5031" s="22">
        <f t="shared" si="314"/>
        <v>0</v>
      </c>
    </row>
    <row r="5032" spans="1:23" hidden="1" x14ac:dyDescent="0.25">
      <c r="A5032" s="3">
        <v>46087</v>
      </c>
      <c r="B5032" s="4" t="s">
        <v>334</v>
      </c>
      <c r="C5032" s="4" t="s">
        <v>160</v>
      </c>
      <c r="D5032" s="4"/>
      <c r="E5032" s="4" t="s">
        <v>921</v>
      </c>
      <c r="F5032" s="46" t="s">
        <v>2414</v>
      </c>
      <c r="G5032" s="4" t="s">
        <v>336</v>
      </c>
      <c r="H5032" s="4" t="s">
        <v>380</v>
      </c>
      <c r="I5032" s="4">
        <v>1</v>
      </c>
      <c r="J5032" s="21">
        <v>250</v>
      </c>
      <c r="K5032" s="21">
        <v>250</v>
      </c>
      <c r="L5032" s="5">
        <v>0</v>
      </c>
      <c r="M5032" s="4"/>
      <c r="N5032" s="4"/>
      <c r="O5032" s="5"/>
      <c r="P5032" s="5"/>
      <c r="Q5032" s="21">
        <v>0</v>
      </c>
      <c r="R5032" s="21">
        <v>0</v>
      </c>
      <c r="S5032" s="5">
        <f t="shared" si="315"/>
        <v>15804.526073026427</v>
      </c>
      <c r="T5032" cm="1">
        <f t="array" ref="T5032">IF(OR(B5032="MAL ALIMI", B5032="ÜRETİM GİRİŞ"), MIN(I5032, MAX(0, I5032 + SUM(SUMIFS($I$1:I5031, $C$1:C5031, C5032, $B$1:B5031, {"MAL ALIMI","ÜRETİM GİRİŞ"})) - VLOOKUP(C5032, 'STOK RAPORU'!$C$2:$I$1000, 4, 0))), 0)</f>
        <v>0</v>
      </c>
      <c r="U5032" s="22">
        <f t="shared" si="312"/>
        <v>0</v>
      </c>
      <c r="V5032">
        <f t="shared" si="313"/>
        <v>0</v>
      </c>
      <c r="W5032" s="22">
        <f t="shared" si="314"/>
        <v>0</v>
      </c>
    </row>
    <row r="5033" spans="1:23" hidden="1" x14ac:dyDescent="0.25">
      <c r="A5033" s="3">
        <v>46087</v>
      </c>
      <c r="B5033" s="4" t="s">
        <v>334</v>
      </c>
      <c r="C5033" s="4" t="s">
        <v>690</v>
      </c>
      <c r="D5033" s="4"/>
      <c r="E5033" s="4" t="s">
        <v>921</v>
      </c>
      <c r="F5033" s="46" t="s">
        <v>2414</v>
      </c>
      <c r="G5033" s="4" t="s">
        <v>336</v>
      </c>
      <c r="H5033" s="4" t="s">
        <v>380</v>
      </c>
      <c r="I5033" s="4">
        <v>0.34599999999999997</v>
      </c>
      <c r="J5033" s="21">
        <v>340</v>
      </c>
      <c r="K5033" s="21">
        <v>117.63999999999999</v>
      </c>
      <c r="L5033" s="5">
        <v>0</v>
      </c>
      <c r="M5033" s="4"/>
      <c r="N5033" s="4"/>
      <c r="O5033" s="5"/>
      <c r="P5033" s="5"/>
      <c r="Q5033" s="21">
        <v>0</v>
      </c>
      <c r="R5033" s="21">
        <v>0</v>
      </c>
      <c r="S5033" s="5">
        <f t="shared" si="315"/>
        <v>15804.526073026427</v>
      </c>
      <c r="T5033" cm="1">
        <f t="array" ref="T5033">IF(OR(B5033="MAL ALIMI", B5033="ÜRETİM GİRİŞ"), MIN(I5033, MAX(0, I5033 + SUM(SUMIFS($I$1:I5032, $C$1:C5032, C5033, $B$1:B5032, {"MAL ALIMI","ÜRETİM GİRİŞ"})) - VLOOKUP(C5033, 'STOK RAPORU'!$C$2:$I$1000, 4, 0))), 0)</f>
        <v>0</v>
      </c>
      <c r="U5033" s="22">
        <f t="shared" si="312"/>
        <v>0</v>
      </c>
      <c r="V5033">
        <f t="shared" si="313"/>
        <v>0</v>
      </c>
      <c r="W5033" s="22">
        <f t="shared" si="314"/>
        <v>0</v>
      </c>
    </row>
    <row r="5034" spans="1:23" hidden="1" x14ac:dyDescent="0.25">
      <c r="A5034" s="3">
        <v>46087</v>
      </c>
      <c r="B5034" s="4" t="s">
        <v>334</v>
      </c>
      <c r="C5034" s="4" t="s">
        <v>463</v>
      </c>
      <c r="D5034" s="4"/>
      <c r="E5034" s="4" t="s">
        <v>921</v>
      </c>
      <c r="F5034" s="46" t="s">
        <v>2414</v>
      </c>
      <c r="G5034" s="4" t="s">
        <v>336</v>
      </c>
      <c r="H5034" s="4" t="s">
        <v>380</v>
      </c>
      <c r="I5034" s="4">
        <v>0.112</v>
      </c>
      <c r="J5034" s="21">
        <v>400</v>
      </c>
      <c r="K5034" s="21">
        <v>44.800000000000004</v>
      </c>
      <c r="L5034" s="5">
        <v>0</v>
      </c>
      <c r="M5034" s="4"/>
      <c r="N5034" s="4"/>
      <c r="O5034" s="5"/>
      <c r="P5034" s="5"/>
      <c r="Q5034" s="21">
        <v>0</v>
      </c>
      <c r="R5034" s="21">
        <v>0</v>
      </c>
      <c r="S5034" s="5">
        <f t="shared" si="315"/>
        <v>15804.526073026427</v>
      </c>
      <c r="T5034" cm="1">
        <f t="array" ref="T5034">IF(OR(B5034="MAL ALIMI", B5034="ÜRETİM GİRİŞ"), MIN(I5034, MAX(0, I5034 + SUM(SUMIFS($I$1:I5033, $C$1:C5033, C5034, $B$1:B5033, {"MAL ALIMI","ÜRETİM GİRİŞ"})) - VLOOKUP(C5034, 'STOK RAPORU'!$C$2:$I$1000, 4, 0))), 0)</f>
        <v>0</v>
      </c>
      <c r="U5034" s="22">
        <f t="shared" si="312"/>
        <v>0</v>
      </c>
      <c r="V5034">
        <f t="shared" si="313"/>
        <v>0</v>
      </c>
      <c r="W5034" s="22">
        <f t="shared" si="314"/>
        <v>0</v>
      </c>
    </row>
    <row r="5035" spans="1:23" hidden="1" x14ac:dyDescent="0.25">
      <c r="A5035" s="3">
        <v>46087</v>
      </c>
      <c r="B5035" s="4" t="s">
        <v>334</v>
      </c>
      <c r="C5035" s="4" t="s">
        <v>1396</v>
      </c>
      <c r="D5035" s="4"/>
      <c r="E5035" s="4" t="s">
        <v>921</v>
      </c>
      <c r="F5035" s="46" t="s">
        <v>2414</v>
      </c>
      <c r="G5035" s="4" t="s">
        <v>336</v>
      </c>
      <c r="H5035" s="4" t="s">
        <v>380</v>
      </c>
      <c r="I5035" s="4">
        <v>1</v>
      </c>
      <c r="J5035" s="21">
        <v>100</v>
      </c>
      <c r="K5035" s="21">
        <v>100</v>
      </c>
      <c r="L5035" s="5">
        <v>0</v>
      </c>
      <c r="M5035" s="4"/>
      <c r="N5035" s="4"/>
      <c r="O5035" s="5"/>
      <c r="P5035" s="5"/>
      <c r="Q5035" s="21">
        <v>0</v>
      </c>
      <c r="R5035" s="21">
        <v>0</v>
      </c>
      <c r="S5035" s="5">
        <f t="shared" si="315"/>
        <v>15804.526073026427</v>
      </c>
      <c r="T5035" cm="1">
        <f t="array" ref="T5035">IF(OR(B5035="MAL ALIMI", B5035="ÜRETİM GİRİŞ"), MIN(I5035, MAX(0, I5035 + SUM(SUMIFS($I$1:I5034, $C$1:C5034, C5035, $B$1:B5034, {"MAL ALIMI","ÜRETİM GİRİŞ"})) - VLOOKUP(C5035, 'STOK RAPORU'!$C$2:$I$1000, 4, 0))), 0)</f>
        <v>0</v>
      </c>
      <c r="U5035" s="22">
        <f t="shared" si="312"/>
        <v>0</v>
      </c>
      <c r="V5035">
        <f t="shared" si="313"/>
        <v>0</v>
      </c>
      <c r="W5035" s="22">
        <f t="shared" si="314"/>
        <v>0</v>
      </c>
    </row>
    <row r="5036" spans="1:23" hidden="1" x14ac:dyDescent="0.25">
      <c r="A5036" s="3">
        <v>46087</v>
      </c>
      <c r="B5036" s="4" t="s">
        <v>334</v>
      </c>
      <c r="C5036" s="4" t="s">
        <v>1427</v>
      </c>
      <c r="D5036" s="4"/>
      <c r="E5036" s="4" t="s">
        <v>921</v>
      </c>
      <c r="F5036" s="46" t="s">
        <v>2414</v>
      </c>
      <c r="G5036" s="4" t="s">
        <v>336</v>
      </c>
      <c r="H5036" s="4" t="s">
        <v>380</v>
      </c>
      <c r="I5036" s="4">
        <v>1</v>
      </c>
      <c r="J5036" s="21">
        <v>100</v>
      </c>
      <c r="K5036" s="21">
        <v>100</v>
      </c>
      <c r="L5036" s="5">
        <v>0</v>
      </c>
      <c r="M5036" s="4"/>
      <c r="N5036" s="4"/>
      <c r="O5036" s="5"/>
      <c r="P5036" s="5"/>
      <c r="Q5036" s="21">
        <v>0</v>
      </c>
      <c r="R5036" s="21">
        <v>0</v>
      </c>
      <c r="S5036" s="5">
        <f t="shared" si="315"/>
        <v>15804.526073026427</v>
      </c>
      <c r="T5036" cm="1">
        <f t="array" ref="T5036">IF(OR(B5036="MAL ALIMI", B5036="ÜRETİM GİRİŞ"), MIN(I5036, MAX(0, I5036 + SUM(SUMIFS($I$1:I5035, $C$1:C5035, C5036, $B$1:B5035, {"MAL ALIMI","ÜRETİM GİRİŞ"})) - VLOOKUP(C5036, 'STOK RAPORU'!$C$2:$I$1000, 4, 0))), 0)</f>
        <v>0</v>
      </c>
      <c r="U5036" s="22">
        <f t="shared" si="312"/>
        <v>0</v>
      </c>
      <c r="V5036">
        <f t="shared" si="313"/>
        <v>0</v>
      </c>
      <c r="W5036" s="22">
        <f t="shared" si="314"/>
        <v>0</v>
      </c>
    </row>
    <row r="5037" spans="1:23" hidden="1" x14ac:dyDescent="0.25">
      <c r="A5037" s="3">
        <v>46087</v>
      </c>
      <c r="B5037" s="4" t="s">
        <v>334</v>
      </c>
      <c r="C5037" s="4" t="s">
        <v>2241</v>
      </c>
      <c r="D5037" s="4"/>
      <c r="E5037" s="4" t="s">
        <v>921</v>
      </c>
      <c r="F5037" s="46" t="s">
        <v>2414</v>
      </c>
      <c r="G5037" s="4" t="s">
        <v>336</v>
      </c>
      <c r="H5037" s="4" t="s">
        <v>380</v>
      </c>
      <c r="I5037" s="4">
        <v>1</v>
      </c>
      <c r="J5037" s="21">
        <v>90</v>
      </c>
      <c r="K5037" s="21">
        <v>90</v>
      </c>
      <c r="L5037" s="5">
        <v>0</v>
      </c>
      <c r="M5037" s="4"/>
      <c r="N5037" s="4"/>
      <c r="O5037" s="5"/>
      <c r="P5037" s="5"/>
      <c r="Q5037" s="21">
        <v>0</v>
      </c>
      <c r="R5037" s="21">
        <v>0</v>
      </c>
      <c r="S5037" s="5">
        <f t="shared" si="315"/>
        <v>15804.526073026427</v>
      </c>
      <c r="T5037" cm="1">
        <f t="array" ref="T5037">IF(OR(B5037="MAL ALIMI", B5037="ÜRETİM GİRİŞ"), MIN(I5037, MAX(0, I5037 + SUM(SUMIFS($I$1:I5036, $C$1:C5036, C5037, $B$1:B5036, {"MAL ALIMI","ÜRETİM GİRİŞ"})) - VLOOKUP(C5037, 'STOK RAPORU'!$C$2:$I$1000, 4, 0))), 0)</f>
        <v>0</v>
      </c>
      <c r="U5037" s="22">
        <f t="shared" si="312"/>
        <v>0</v>
      </c>
      <c r="V5037">
        <f t="shared" si="313"/>
        <v>0</v>
      </c>
      <c r="W5037" s="22">
        <f t="shared" si="314"/>
        <v>0</v>
      </c>
    </row>
    <row r="5038" spans="1:23" hidden="1" x14ac:dyDescent="0.25">
      <c r="A5038" s="3">
        <v>46087</v>
      </c>
      <c r="B5038" s="4" t="s">
        <v>334</v>
      </c>
      <c r="C5038" s="4" t="s">
        <v>156</v>
      </c>
      <c r="D5038" s="4"/>
      <c r="E5038" s="4" t="s">
        <v>921</v>
      </c>
      <c r="F5038" s="46" t="s">
        <v>2414</v>
      </c>
      <c r="G5038" s="4" t="s">
        <v>336</v>
      </c>
      <c r="H5038" s="4" t="s">
        <v>380</v>
      </c>
      <c r="I5038" s="4">
        <v>0.5</v>
      </c>
      <c r="J5038" s="21">
        <v>200</v>
      </c>
      <c r="K5038" s="21">
        <v>100</v>
      </c>
      <c r="L5038" s="5">
        <v>0</v>
      </c>
      <c r="M5038" s="4"/>
      <c r="N5038" s="4"/>
      <c r="O5038" s="5"/>
      <c r="P5038" s="5"/>
      <c r="Q5038" s="21">
        <v>0</v>
      </c>
      <c r="R5038" s="21">
        <v>0</v>
      </c>
      <c r="S5038" s="5">
        <f t="shared" si="315"/>
        <v>15804.526073026427</v>
      </c>
      <c r="T5038" cm="1">
        <f t="array" ref="T5038">IF(OR(B5038="MAL ALIMI", B5038="ÜRETİM GİRİŞ"), MIN(I5038, MAX(0, I5038 + SUM(SUMIFS($I$1:I5037, $C$1:C5037, C5038, $B$1:B5037, {"MAL ALIMI","ÜRETİM GİRİŞ"})) - VLOOKUP(C5038, 'STOK RAPORU'!$C$2:$I$1000, 4, 0))), 0)</f>
        <v>0</v>
      </c>
      <c r="U5038" s="22">
        <f t="shared" si="312"/>
        <v>0</v>
      </c>
      <c r="V5038">
        <f t="shared" si="313"/>
        <v>0</v>
      </c>
      <c r="W5038" s="22">
        <f t="shared" si="314"/>
        <v>0</v>
      </c>
    </row>
    <row r="5039" spans="1:23" hidden="1" x14ac:dyDescent="0.25">
      <c r="A5039" s="3">
        <v>46087</v>
      </c>
      <c r="B5039" s="4" t="s">
        <v>334</v>
      </c>
      <c r="C5039" s="4" t="s">
        <v>1634</v>
      </c>
      <c r="D5039" s="4"/>
      <c r="E5039" s="4" t="s">
        <v>921</v>
      </c>
      <c r="F5039" s="46" t="s">
        <v>2414</v>
      </c>
      <c r="G5039" s="4" t="s">
        <v>336</v>
      </c>
      <c r="H5039" s="4" t="s">
        <v>380</v>
      </c>
      <c r="I5039" s="4">
        <v>0.5</v>
      </c>
      <c r="J5039" s="21">
        <v>400</v>
      </c>
      <c r="K5039" s="21">
        <v>200</v>
      </c>
      <c r="L5039" s="5">
        <v>0</v>
      </c>
      <c r="M5039" s="4"/>
      <c r="N5039" s="4"/>
      <c r="O5039" s="5"/>
      <c r="P5039" s="5"/>
      <c r="Q5039" s="21">
        <v>0</v>
      </c>
      <c r="R5039" s="21">
        <v>0</v>
      </c>
      <c r="S5039" s="5">
        <f t="shared" si="315"/>
        <v>15804.526073026427</v>
      </c>
      <c r="T5039" cm="1">
        <f t="array" ref="T5039">IF(OR(B5039="MAL ALIMI", B5039="ÜRETİM GİRİŞ"), MIN(I5039, MAX(0, I5039 + SUM(SUMIFS($I$1:I5038, $C$1:C5038, C5039, $B$1:B5038, {"MAL ALIMI","ÜRETİM GİRİŞ"})) - VLOOKUP(C5039, 'STOK RAPORU'!$C$2:$I$1000, 4, 0))), 0)</f>
        <v>0</v>
      </c>
      <c r="U5039" s="22">
        <f t="shared" si="312"/>
        <v>0</v>
      </c>
      <c r="V5039">
        <f t="shared" si="313"/>
        <v>0</v>
      </c>
      <c r="W5039" s="22">
        <f t="shared" si="314"/>
        <v>0</v>
      </c>
    </row>
    <row r="5040" spans="1:23" hidden="1" x14ac:dyDescent="0.25">
      <c r="A5040" s="3">
        <v>46087</v>
      </c>
      <c r="B5040" s="4" t="s">
        <v>334</v>
      </c>
      <c r="C5040" s="4" t="s">
        <v>156</v>
      </c>
      <c r="D5040" s="4"/>
      <c r="E5040" s="4"/>
      <c r="F5040" s="46" t="s">
        <v>2415</v>
      </c>
      <c r="G5040" s="4" t="s">
        <v>336</v>
      </c>
      <c r="H5040" s="4" t="s">
        <v>289</v>
      </c>
      <c r="I5040" s="4">
        <v>0.5</v>
      </c>
      <c r="J5040" s="21">
        <v>200</v>
      </c>
      <c r="K5040" s="21">
        <v>0</v>
      </c>
      <c r="L5040" s="5">
        <v>0</v>
      </c>
      <c r="M5040" s="4"/>
      <c r="N5040" s="4"/>
      <c r="O5040" s="5"/>
      <c r="P5040" s="5"/>
      <c r="Q5040" s="21">
        <v>100</v>
      </c>
      <c r="R5040" s="21">
        <v>0</v>
      </c>
      <c r="S5040" s="5">
        <f t="shared" si="315"/>
        <v>15904.526073026427</v>
      </c>
      <c r="T5040" cm="1">
        <f t="array" ref="T5040">IF(OR(B5040="MAL ALIMI", B5040="ÜRETİM GİRİŞ"), MIN(I5040, MAX(0, I5040 + SUM(SUMIFS($I$1:I5039, $C$1:C5039, C5040, $B$1:B5039, {"MAL ALIMI","ÜRETİM GİRİŞ"})) - VLOOKUP(C5040, 'STOK RAPORU'!$C$2:$I$1000, 4, 0))), 0)</f>
        <v>0</v>
      </c>
      <c r="U5040" s="22">
        <f t="shared" si="312"/>
        <v>0</v>
      </c>
      <c r="V5040">
        <f t="shared" si="313"/>
        <v>0</v>
      </c>
      <c r="W5040" s="22">
        <f t="shared" si="314"/>
        <v>0</v>
      </c>
    </row>
    <row r="5041" spans="1:23" hidden="1" x14ac:dyDescent="0.25">
      <c r="A5041" s="3">
        <v>46087</v>
      </c>
      <c r="B5041" s="4" t="s">
        <v>334</v>
      </c>
      <c r="C5041" s="4" t="s">
        <v>634</v>
      </c>
      <c r="D5041" s="4"/>
      <c r="E5041" s="4"/>
      <c r="F5041" s="46" t="s">
        <v>2415</v>
      </c>
      <c r="G5041" s="4" t="s">
        <v>336</v>
      </c>
      <c r="H5041" s="4" t="s">
        <v>289</v>
      </c>
      <c r="I5041" s="4">
        <v>1</v>
      </c>
      <c r="J5041" s="21">
        <v>850</v>
      </c>
      <c r="K5041" s="21">
        <v>0</v>
      </c>
      <c r="L5041" s="5">
        <v>0</v>
      </c>
      <c r="M5041" s="4"/>
      <c r="N5041" s="4"/>
      <c r="O5041" s="5"/>
      <c r="P5041" s="5"/>
      <c r="Q5041" s="21">
        <v>850</v>
      </c>
      <c r="R5041" s="21">
        <v>0</v>
      </c>
      <c r="S5041" s="5">
        <f t="shared" si="315"/>
        <v>16754.526073026427</v>
      </c>
      <c r="T5041" cm="1">
        <f t="array" ref="T5041">IF(OR(B5041="MAL ALIMI", B5041="ÜRETİM GİRİŞ"), MIN(I5041, MAX(0, I5041 + SUM(SUMIFS($I$1:I5040, $C$1:C5040, C5041, $B$1:B5040, {"MAL ALIMI","ÜRETİM GİRİŞ"})) - VLOOKUP(C5041, 'STOK RAPORU'!$C$2:$I$1000, 4, 0))), 0)</f>
        <v>0</v>
      </c>
      <c r="U5041" s="22">
        <f t="shared" si="312"/>
        <v>0</v>
      </c>
      <c r="V5041">
        <f t="shared" si="313"/>
        <v>0</v>
      </c>
      <c r="W5041" s="22">
        <f t="shared" si="314"/>
        <v>0</v>
      </c>
    </row>
    <row r="5042" spans="1:23" hidden="1" x14ac:dyDescent="0.25">
      <c r="A5042" s="3">
        <v>46087</v>
      </c>
      <c r="B5042" s="4" t="s">
        <v>334</v>
      </c>
      <c r="C5042" s="4" t="s">
        <v>2120</v>
      </c>
      <c r="D5042" s="4"/>
      <c r="E5042" s="4"/>
      <c r="F5042" s="46" t="s">
        <v>2415</v>
      </c>
      <c r="G5042" s="4" t="s">
        <v>336</v>
      </c>
      <c r="H5042" s="4" t="s">
        <v>289</v>
      </c>
      <c r="I5042" s="4">
        <v>1.1759999999999999</v>
      </c>
      <c r="J5042" s="21">
        <v>61</v>
      </c>
      <c r="K5042" s="21">
        <v>0</v>
      </c>
      <c r="L5042" s="5">
        <v>0</v>
      </c>
      <c r="M5042" s="4"/>
      <c r="N5042" s="4"/>
      <c r="O5042" s="5"/>
      <c r="P5042" s="5"/>
      <c r="Q5042" s="21">
        <v>71.73599999999999</v>
      </c>
      <c r="R5042" s="21">
        <v>0</v>
      </c>
      <c r="S5042" s="5">
        <f t="shared" si="315"/>
        <v>16826.262073026428</v>
      </c>
      <c r="T5042" cm="1">
        <f t="array" ref="T5042">IF(OR(B5042="MAL ALIMI", B5042="ÜRETİM GİRİŞ"), MIN(I5042, MAX(0, I5042 + SUM(SUMIFS($I$1:I5041, $C$1:C5041, C5042, $B$1:B5041, {"MAL ALIMI","ÜRETİM GİRİŞ"})) - VLOOKUP(C5042, 'STOK RAPORU'!$C$2:$I$1000, 4, 0))), 0)</f>
        <v>0</v>
      </c>
      <c r="U5042" s="22">
        <f t="shared" si="312"/>
        <v>0</v>
      </c>
      <c r="V5042">
        <f t="shared" si="313"/>
        <v>0</v>
      </c>
      <c r="W5042" s="22">
        <f t="shared" si="314"/>
        <v>0</v>
      </c>
    </row>
    <row r="5043" spans="1:23" hidden="1" x14ac:dyDescent="0.25">
      <c r="A5043" s="3">
        <v>46087</v>
      </c>
      <c r="B5043" s="4" t="s">
        <v>334</v>
      </c>
      <c r="C5043" s="4" t="s">
        <v>129</v>
      </c>
      <c r="D5043" s="4"/>
      <c r="E5043" s="4"/>
      <c r="F5043" s="46" t="s">
        <v>2415</v>
      </c>
      <c r="G5043" s="4" t="s">
        <v>336</v>
      </c>
      <c r="H5043" s="4" t="s">
        <v>289</v>
      </c>
      <c r="I5043" s="4">
        <v>8.2000000000000003E-2</v>
      </c>
      <c r="J5043" s="21">
        <v>400</v>
      </c>
      <c r="K5043" s="21">
        <v>0</v>
      </c>
      <c r="L5043" s="5">
        <v>0</v>
      </c>
      <c r="M5043" s="4"/>
      <c r="N5043" s="4"/>
      <c r="O5043" s="5"/>
      <c r="P5043" s="5"/>
      <c r="Q5043" s="21">
        <v>32.800000000000004</v>
      </c>
      <c r="R5043" s="21">
        <v>0</v>
      </c>
      <c r="S5043" s="5">
        <f t="shared" si="315"/>
        <v>16859.062073026427</v>
      </c>
      <c r="T5043" cm="1">
        <f t="array" ref="T5043">IF(OR(B5043="MAL ALIMI", B5043="ÜRETİM GİRİŞ"), MIN(I5043, MAX(0, I5043 + SUM(SUMIFS($I$1:I5042, $C$1:C5042, C5043, $B$1:B5042, {"MAL ALIMI","ÜRETİM GİRİŞ"})) - VLOOKUP(C5043, 'STOK RAPORU'!$C$2:$I$1000, 4, 0))), 0)</f>
        <v>0</v>
      </c>
      <c r="U5043" s="22">
        <f t="shared" si="312"/>
        <v>0</v>
      </c>
      <c r="V5043">
        <f t="shared" si="313"/>
        <v>0</v>
      </c>
      <c r="W5043" s="22">
        <f t="shared" si="314"/>
        <v>0</v>
      </c>
    </row>
    <row r="5044" spans="1:23" hidden="1" x14ac:dyDescent="0.25">
      <c r="A5044" s="3">
        <v>46087</v>
      </c>
      <c r="B5044" s="4" t="s">
        <v>334</v>
      </c>
      <c r="C5044" s="4" t="s">
        <v>96</v>
      </c>
      <c r="D5044" s="4"/>
      <c r="E5044" s="4"/>
      <c r="F5044" s="46" t="s">
        <v>2415</v>
      </c>
      <c r="G5044" s="4" t="s">
        <v>336</v>
      </c>
      <c r="H5044" s="4" t="s">
        <v>289</v>
      </c>
      <c r="I5044" s="4">
        <v>0.16400000000000001</v>
      </c>
      <c r="J5044" s="21">
        <v>400</v>
      </c>
      <c r="K5044" s="21">
        <v>0</v>
      </c>
      <c r="L5044" s="5">
        <v>0</v>
      </c>
      <c r="M5044" s="4"/>
      <c r="N5044" s="4"/>
      <c r="O5044" s="5"/>
      <c r="P5044" s="5"/>
      <c r="Q5044" s="21">
        <v>65.600000000000009</v>
      </c>
      <c r="R5044" s="21">
        <v>0</v>
      </c>
      <c r="S5044" s="5">
        <f t="shared" si="315"/>
        <v>16924.662073026426</v>
      </c>
      <c r="T5044" cm="1">
        <f t="array" ref="T5044">IF(OR(B5044="MAL ALIMI", B5044="ÜRETİM GİRİŞ"), MIN(I5044, MAX(0, I5044 + SUM(SUMIFS($I$1:I5043, $C$1:C5043, C5044, $B$1:B5043, {"MAL ALIMI","ÜRETİM GİRİŞ"})) - VLOOKUP(C5044, 'STOK RAPORU'!$C$2:$I$1000, 4, 0))), 0)</f>
        <v>0</v>
      </c>
      <c r="U5044" s="22">
        <f t="shared" ref="U5044:U5107" si="316">T5044*J5044</f>
        <v>0</v>
      </c>
      <c r="V5044">
        <f t="shared" ref="V5044:V5107" si="317">IF(OR(B5044="MAL ALIMI", B5044="ÜRETİM GİRİŞ"), I5044 * J5044, 0)</f>
        <v>0</v>
      </c>
      <c r="W5044" s="22">
        <f t="shared" ref="W5044:W5107" si="318">V5044-U5044</f>
        <v>0</v>
      </c>
    </row>
    <row r="5045" spans="1:23" hidden="1" x14ac:dyDescent="0.25">
      <c r="A5045" s="3">
        <v>46087</v>
      </c>
      <c r="B5045" s="4" t="s">
        <v>334</v>
      </c>
      <c r="C5045" s="4" t="s">
        <v>149</v>
      </c>
      <c r="D5045" s="4"/>
      <c r="E5045" s="4"/>
      <c r="F5045" s="46" t="s">
        <v>2415</v>
      </c>
      <c r="G5045" s="4" t="s">
        <v>336</v>
      </c>
      <c r="H5045" s="4" t="s">
        <v>289</v>
      </c>
      <c r="I5045" s="4">
        <v>1</v>
      </c>
      <c r="J5045" s="21">
        <v>65</v>
      </c>
      <c r="K5045" s="21">
        <v>0</v>
      </c>
      <c r="L5045" s="5">
        <v>0</v>
      </c>
      <c r="M5045" s="4"/>
      <c r="N5045" s="4"/>
      <c r="O5045" s="5"/>
      <c r="P5045" s="5"/>
      <c r="Q5045" s="21">
        <v>65</v>
      </c>
      <c r="R5045" s="21">
        <v>0</v>
      </c>
      <c r="S5045" s="5">
        <f t="shared" si="315"/>
        <v>16989.662073026426</v>
      </c>
      <c r="T5045" cm="1">
        <f t="array" ref="T5045">IF(OR(B5045="MAL ALIMI", B5045="ÜRETİM GİRİŞ"), MIN(I5045, MAX(0, I5045 + SUM(SUMIFS($I$1:I5044, $C$1:C5044, C5045, $B$1:B5044, {"MAL ALIMI","ÜRETİM GİRİŞ"})) - VLOOKUP(C5045, 'STOK RAPORU'!$C$2:$I$1000, 4, 0))), 0)</f>
        <v>0</v>
      </c>
      <c r="U5045" s="22">
        <f t="shared" si="316"/>
        <v>0</v>
      </c>
      <c r="V5045">
        <f t="shared" si="317"/>
        <v>0</v>
      </c>
      <c r="W5045" s="22">
        <f t="shared" si="318"/>
        <v>0</v>
      </c>
    </row>
    <row r="5046" spans="1:23" hidden="1" x14ac:dyDescent="0.25">
      <c r="A5046" s="3">
        <v>46087</v>
      </c>
      <c r="B5046" s="4" t="s">
        <v>334</v>
      </c>
      <c r="C5046" s="4" t="s">
        <v>147</v>
      </c>
      <c r="D5046" s="4"/>
      <c r="E5046" s="4"/>
      <c r="F5046" s="46" t="s">
        <v>2415</v>
      </c>
      <c r="G5046" s="4" t="s">
        <v>336</v>
      </c>
      <c r="H5046" s="4" t="s">
        <v>289</v>
      </c>
      <c r="I5046" s="4">
        <v>1</v>
      </c>
      <c r="J5046" s="21">
        <v>65</v>
      </c>
      <c r="K5046" s="21">
        <v>0</v>
      </c>
      <c r="L5046" s="5">
        <v>0</v>
      </c>
      <c r="M5046" s="4"/>
      <c r="N5046" s="4"/>
      <c r="O5046" s="5"/>
      <c r="P5046" s="5"/>
      <c r="Q5046" s="21">
        <v>65</v>
      </c>
      <c r="R5046" s="21">
        <v>0</v>
      </c>
      <c r="S5046" s="5">
        <f t="shared" si="315"/>
        <v>17054.662073026426</v>
      </c>
      <c r="T5046" cm="1">
        <f t="array" ref="T5046">IF(OR(B5046="MAL ALIMI", B5046="ÜRETİM GİRİŞ"), MIN(I5046, MAX(0, I5046 + SUM(SUMIFS($I$1:I5045, $C$1:C5045, C5046, $B$1:B5045, {"MAL ALIMI","ÜRETİM GİRİŞ"})) - VLOOKUP(C5046, 'STOK RAPORU'!$C$2:$I$1000, 4, 0))), 0)</f>
        <v>0</v>
      </c>
      <c r="U5046" s="22">
        <f t="shared" si="316"/>
        <v>0</v>
      </c>
      <c r="V5046">
        <f t="shared" si="317"/>
        <v>0</v>
      </c>
      <c r="W5046" s="22">
        <f t="shared" si="318"/>
        <v>0</v>
      </c>
    </row>
    <row r="5047" spans="1:23" hidden="1" x14ac:dyDescent="0.25">
      <c r="A5047" s="3">
        <v>46087</v>
      </c>
      <c r="B5047" s="4" t="s">
        <v>334</v>
      </c>
      <c r="C5047" s="4" t="s">
        <v>161</v>
      </c>
      <c r="D5047" s="4"/>
      <c r="E5047" s="4" t="s">
        <v>921</v>
      </c>
      <c r="F5047" s="46" t="s">
        <v>2416</v>
      </c>
      <c r="G5047" s="4" t="s">
        <v>336</v>
      </c>
      <c r="H5047" s="4" t="s">
        <v>380</v>
      </c>
      <c r="I5047" s="4">
        <v>1</v>
      </c>
      <c r="J5047" s="21">
        <v>230</v>
      </c>
      <c r="K5047" s="21">
        <v>230</v>
      </c>
      <c r="L5047" s="5">
        <v>0</v>
      </c>
      <c r="M5047" s="4"/>
      <c r="N5047" s="4"/>
      <c r="O5047" s="5"/>
      <c r="P5047" s="5"/>
      <c r="Q5047" s="21">
        <v>0</v>
      </c>
      <c r="R5047" s="21">
        <v>0</v>
      </c>
      <c r="S5047" s="5">
        <f t="shared" si="315"/>
        <v>17054.662073026426</v>
      </c>
      <c r="T5047" cm="1">
        <f t="array" ref="T5047">IF(OR(B5047="MAL ALIMI", B5047="ÜRETİM GİRİŞ"), MIN(I5047, MAX(0, I5047 + SUM(SUMIFS($I$1:I5046, $C$1:C5046, C5047, $B$1:B5046, {"MAL ALIMI","ÜRETİM GİRİŞ"})) - VLOOKUP(C5047, 'STOK RAPORU'!$C$2:$I$1000, 4, 0))), 0)</f>
        <v>0</v>
      </c>
      <c r="U5047" s="22">
        <f t="shared" si="316"/>
        <v>0</v>
      </c>
      <c r="V5047">
        <f t="shared" si="317"/>
        <v>0</v>
      </c>
      <c r="W5047" s="22">
        <f t="shared" si="318"/>
        <v>0</v>
      </c>
    </row>
    <row r="5048" spans="1:23" hidden="1" x14ac:dyDescent="0.25">
      <c r="A5048" s="3">
        <v>46087</v>
      </c>
      <c r="B5048" s="4" t="s">
        <v>334</v>
      </c>
      <c r="C5048" s="4" t="s">
        <v>2121</v>
      </c>
      <c r="D5048" s="4"/>
      <c r="E5048" s="4"/>
      <c r="F5048" s="46" t="s">
        <v>2420</v>
      </c>
      <c r="G5048" s="4" t="s">
        <v>336</v>
      </c>
      <c r="H5048" s="4" t="s">
        <v>289</v>
      </c>
      <c r="I5048" s="4">
        <v>1</v>
      </c>
      <c r="J5048" s="21">
        <v>65</v>
      </c>
      <c r="K5048" s="21">
        <v>0</v>
      </c>
      <c r="L5048" s="5">
        <v>0</v>
      </c>
      <c r="M5048" s="4"/>
      <c r="N5048" s="4"/>
      <c r="O5048" s="5"/>
      <c r="P5048" s="5"/>
      <c r="Q5048" s="21">
        <v>65</v>
      </c>
      <c r="R5048" s="21">
        <v>0</v>
      </c>
      <c r="S5048" s="5">
        <f t="shared" si="315"/>
        <v>17119.662073026426</v>
      </c>
      <c r="T5048" cm="1">
        <f t="array" ref="T5048">IF(OR(B5048="MAL ALIMI", B5048="ÜRETİM GİRİŞ"), MIN(I5048, MAX(0, I5048 + SUM(SUMIFS($I$1:I5047, $C$1:C5047, C5048, $B$1:B5047, {"MAL ALIMI","ÜRETİM GİRİŞ"})) - VLOOKUP(C5048, 'STOK RAPORU'!$C$2:$I$1000, 4, 0))), 0)</f>
        <v>0</v>
      </c>
      <c r="U5048" s="22">
        <f t="shared" si="316"/>
        <v>0</v>
      </c>
      <c r="V5048">
        <f t="shared" si="317"/>
        <v>0</v>
      </c>
      <c r="W5048" s="22">
        <f t="shared" si="318"/>
        <v>0</v>
      </c>
    </row>
    <row r="5049" spans="1:23" hidden="1" x14ac:dyDescent="0.25">
      <c r="A5049" s="3">
        <v>46087</v>
      </c>
      <c r="B5049" s="4" t="s">
        <v>334</v>
      </c>
      <c r="C5049" s="4" t="s">
        <v>2273</v>
      </c>
      <c r="D5049" s="4"/>
      <c r="E5049" s="4"/>
      <c r="F5049" s="46" t="s">
        <v>2421</v>
      </c>
      <c r="G5049" s="4" t="s">
        <v>336</v>
      </c>
      <c r="H5049" s="4" t="s">
        <v>289</v>
      </c>
      <c r="I5049" s="4">
        <v>4</v>
      </c>
      <c r="J5049" s="21">
        <v>30</v>
      </c>
      <c r="K5049" s="21">
        <v>0</v>
      </c>
      <c r="L5049" s="5">
        <v>0</v>
      </c>
      <c r="M5049" s="4"/>
      <c r="N5049" s="4"/>
      <c r="O5049" s="5"/>
      <c r="P5049" s="5"/>
      <c r="Q5049" s="21">
        <v>120</v>
      </c>
      <c r="R5049" s="21">
        <v>0</v>
      </c>
      <c r="S5049" s="5">
        <f t="shared" si="315"/>
        <v>17239.662073026426</v>
      </c>
      <c r="T5049" cm="1">
        <f t="array" ref="T5049">IF(OR(B5049="MAL ALIMI", B5049="ÜRETİM GİRİŞ"), MIN(I5049, MAX(0, I5049 + SUM(SUMIFS($I$1:I5048, $C$1:C5048, C5049, $B$1:B5048, {"MAL ALIMI","ÜRETİM GİRİŞ"})) - VLOOKUP(C5049, 'STOK RAPORU'!$C$2:$I$1000, 4, 0))), 0)</f>
        <v>0</v>
      </c>
      <c r="U5049" s="22">
        <f t="shared" si="316"/>
        <v>0</v>
      </c>
      <c r="V5049">
        <f t="shared" si="317"/>
        <v>0</v>
      </c>
      <c r="W5049" s="22">
        <f t="shared" si="318"/>
        <v>0</v>
      </c>
    </row>
    <row r="5050" spans="1:23" hidden="1" x14ac:dyDescent="0.25">
      <c r="A5050" s="3">
        <v>46087</v>
      </c>
      <c r="B5050" s="4" t="s">
        <v>334</v>
      </c>
      <c r="C5050" s="4" t="s">
        <v>2117</v>
      </c>
      <c r="D5050" s="4"/>
      <c r="E5050" s="4"/>
      <c r="F5050" s="46" t="s">
        <v>2421</v>
      </c>
      <c r="G5050" s="4" t="s">
        <v>336</v>
      </c>
      <c r="H5050" s="4" t="s">
        <v>289</v>
      </c>
      <c r="I5050" s="4">
        <v>1</v>
      </c>
      <c r="J5050" s="21">
        <v>30</v>
      </c>
      <c r="K5050" s="21">
        <v>0</v>
      </c>
      <c r="L5050" s="5">
        <v>0</v>
      </c>
      <c r="M5050" s="4"/>
      <c r="N5050" s="4"/>
      <c r="O5050" s="5"/>
      <c r="P5050" s="5"/>
      <c r="Q5050" s="21">
        <v>30</v>
      </c>
      <c r="R5050" s="21">
        <v>0</v>
      </c>
      <c r="S5050" s="5">
        <f t="shared" si="315"/>
        <v>17269.662073026426</v>
      </c>
      <c r="T5050" cm="1">
        <f t="array" ref="T5050">IF(OR(B5050="MAL ALIMI", B5050="ÜRETİM GİRİŞ"), MIN(I5050, MAX(0, I5050 + SUM(SUMIFS($I$1:I5049, $C$1:C5049, C5050, $B$1:B5049, {"MAL ALIMI","ÜRETİM GİRİŞ"})) - VLOOKUP(C5050, 'STOK RAPORU'!$C$2:$I$1000, 4, 0))), 0)</f>
        <v>0</v>
      </c>
      <c r="U5050" s="22">
        <f t="shared" si="316"/>
        <v>0</v>
      </c>
      <c r="V5050">
        <f t="shared" si="317"/>
        <v>0</v>
      </c>
      <c r="W5050" s="22">
        <f t="shared" si="318"/>
        <v>0</v>
      </c>
    </row>
    <row r="5051" spans="1:23" hidden="1" x14ac:dyDescent="0.25">
      <c r="A5051" s="41">
        <v>46087</v>
      </c>
      <c r="B5051" s="42" t="s">
        <v>334</v>
      </c>
      <c r="C5051" s="42" t="s">
        <v>156</v>
      </c>
      <c r="D5051" s="42"/>
      <c r="E5051" s="42" t="s">
        <v>2348</v>
      </c>
      <c r="F5051" s="42" t="s">
        <v>2421</v>
      </c>
      <c r="G5051" s="42" t="s">
        <v>2437</v>
      </c>
      <c r="H5051" s="42" t="s">
        <v>304</v>
      </c>
      <c r="I5051" s="42">
        <v>19.350000000000001</v>
      </c>
      <c r="J5051" s="43">
        <v>144.7028</v>
      </c>
      <c r="K5051" s="43">
        <v>2799.9991800000003</v>
      </c>
      <c r="L5051" s="44">
        <v>0</v>
      </c>
      <c r="M5051" s="42"/>
      <c r="N5051" s="42"/>
      <c r="O5051" s="44"/>
      <c r="P5051" s="44"/>
      <c r="Q5051" s="43">
        <v>0</v>
      </c>
      <c r="R5051" s="43">
        <v>0</v>
      </c>
      <c r="S5051" s="5">
        <f t="shared" si="315"/>
        <v>17269.662073026426</v>
      </c>
      <c r="T5051" cm="1">
        <f t="array" ref="T5051">IF(OR(B5051="MAL ALIMI", B5051="ÜRETİM GİRİŞ"), MIN(I5051, MAX(0, I5051 + SUM(SUMIFS($I$1:I5050, $C$1:C5050, C5051, $B$1:B5050, {"MAL ALIMI","ÜRETİM GİRİŞ"})) - VLOOKUP(C5051, 'STOK RAPORU'!$C$2:$I$1000, 4, 0))), 0)</f>
        <v>0</v>
      </c>
      <c r="U5051" s="22">
        <f t="shared" si="316"/>
        <v>0</v>
      </c>
      <c r="V5051">
        <f t="shared" si="317"/>
        <v>0</v>
      </c>
      <c r="W5051" s="22">
        <f t="shared" si="318"/>
        <v>0</v>
      </c>
    </row>
    <row r="5052" spans="1:23" hidden="1" x14ac:dyDescent="0.25">
      <c r="A5052" s="3">
        <v>46087</v>
      </c>
      <c r="B5052" s="4" t="s">
        <v>334</v>
      </c>
      <c r="C5052" s="4" t="s">
        <v>160</v>
      </c>
      <c r="D5052" s="4"/>
      <c r="E5052" s="4" t="s">
        <v>921</v>
      </c>
      <c r="F5052" s="46" t="s">
        <v>2422</v>
      </c>
      <c r="G5052" s="4" t="s">
        <v>336</v>
      </c>
      <c r="H5052" s="4" t="s">
        <v>380</v>
      </c>
      <c r="I5052" s="4">
        <v>1</v>
      </c>
      <c r="J5052" s="21">
        <v>240</v>
      </c>
      <c r="K5052" s="21">
        <v>240</v>
      </c>
      <c r="L5052" s="5">
        <v>0</v>
      </c>
      <c r="M5052" s="4"/>
      <c r="N5052" s="4"/>
      <c r="O5052" s="5"/>
      <c r="P5052" s="5"/>
      <c r="Q5052" s="21">
        <v>0</v>
      </c>
      <c r="R5052" s="21">
        <v>0</v>
      </c>
      <c r="S5052" s="5">
        <f t="shared" si="315"/>
        <v>17269.662073026426</v>
      </c>
      <c r="T5052" cm="1">
        <f t="array" ref="T5052">IF(OR(B5052="MAL ALIMI", B5052="ÜRETİM GİRİŞ"), MIN(I5052, MAX(0, I5052 + SUM(SUMIFS($I$1:I5051, $C$1:C5051, C5052, $B$1:B5051, {"MAL ALIMI","ÜRETİM GİRİŞ"})) - VLOOKUP(C5052, 'STOK RAPORU'!$C$2:$I$1000, 4, 0))), 0)</f>
        <v>0</v>
      </c>
      <c r="U5052" s="22">
        <f t="shared" si="316"/>
        <v>0</v>
      </c>
      <c r="V5052">
        <f t="shared" si="317"/>
        <v>0</v>
      </c>
      <c r="W5052" s="22">
        <f t="shared" si="318"/>
        <v>0</v>
      </c>
    </row>
    <row r="5053" spans="1:23" hidden="1" x14ac:dyDescent="0.25">
      <c r="A5053" s="41">
        <v>46087</v>
      </c>
      <c r="B5053" s="42" t="s">
        <v>334</v>
      </c>
      <c r="C5053" s="42" t="s">
        <v>161</v>
      </c>
      <c r="D5053" s="42"/>
      <c r="E5053" s="42"/>
      <c r="F5053" s="42" t="s">
        <v>2422</v>
      </c>
      <c r="G5053" s="42" t="s">
        <v>2438</v>
      </c>
      <c r="H5053" s="42" t="s">
        <v>289</v>
      </c>
      <c r="I5053" s="42">
        <v>0.5</v>
      </c>
      <c r="J5053" s="43">
        <v>230</v>
      </c>
      <c r="K5053" s="43">
        <v>0</v>
      </c>
      <c r="L5053" s="44">
        <v>0</v>
      </c>
      <c r="M5053" s="42"/>
      <c r="N5053" s="42"/>
      <c r="O5053" s="44"/>
      <c r="P5053" s="44"/>
      <c r="Q5053" s="43">
        <v>115</v>
      </c>
      <c r="R5053" s="43">
        <v>0</v>
      </c>
      <c r="S5053" s="5">
        <f t="shared" si="315"/>
        <v>17384.662073026426</v>
      </c>
      <c r="T5053" cm="1">
        <f t="array" ref="T5053">IF(OR(B5053="MAL ALIMI", B5053="ÜRETİM GİRİŞ"), MIN(I5053, MAX(0, I5053 + SUM(SUMIFS($I$1:I5052, $C$1:C5052, C5053, $B$1:B5052, {"MAL ALIMI","ÜRETİM GİRİŞ"})) - VLOOKUP(C5053, 'STOK RAPORU'!$C$2:$I$1000, 4, 0))), 0)</f>
        <v>0</v>
      </c>
      <c r="U5053" s="22">
        <f t="shared" si="316"/>
        <v>0</v>
      </c>
      <c r="V5053">
        <f t="shared" si="317"/>
        <v>0</v>
      </c>
      <c r="W5053" s="22">
        <f t="shared" si="318"/>
        <v>0</v>
      </c>
    </row>
    <row r="5054" spans="1:23" hidden="1" x14ac:dyDescent="0.25">
      <c r="A5054" s="3">
        <v>46087</v>
      </c>
      <c r="B5054" s="4" t="s">
        <v>334</v>
      </c>
      <c r="C5054" s="4" t="s">
        <v>157</v>
      </c>
      <c r="D5054" s="4"/>
      <c r="E5054" s="4" t="s">
        <v>921</v>
      </c>
      <c r="F5054" s="46" t="s">
        <v>2423</v>
      </c>
      <c r="G5054" s="4" t="s">
        <v>336</v>
      </c>
      <c r="H5054" s="4" t="s">
        <v>380</v>
      </c>
      <c r="I5054" s="4">
        <v>1</v>
      </c>
      <c r="J5054" s="21">
        <v>200</v>
      </c>
      <c r="K5054" s="21">
        <v>200</v>
      </c>
      <c r="L5054" s="5">
        <v>0</v>
      </c>
      <c r="M5054" s="4"/>
      <c r="N5054" s="4"/>
      <c r="O5054" s="5"/>
      <c r="P5054" s="5"/>
      <c r="Q5054" s="21">
        <v>0</v>
      </c>
      <c r="R5054" s="21">
        <v>0</v>
      </c>
      <c r="S5054" s="5">
        <f t="shared" si="315"/>
        <v>17384.662073026426</v>
      </c>
      <c r="T5054" cm="1">
        <f t="array" ref="T5054">IF(OR(B5054="MAL ALIMI", B5054="ÜRETİM GİRİŞ"), MIN(I5054, MAX(0, I5054 + SUM(SUMIFS($I$1:I5053, $C$1:C5053, C5054, $B$1:B5053, {"MAL ALIMI","ÜRETİM GİRİŞ"})) - VLOOKUP(C5054, 'STOK RAPORU'!$C$2:$I$1000, 4, 0))), 0)</f>
        <v>0</v>
      </c>
      <c r="U5054" s="22">
        <f t="shared" si="316"/>
        <v>0</v>
      </c>
      <c r="V5054">
        <f t="shared" si="317"/>
        <v>0</v>
      </c>
      <c r="W5054" s="22">
        <f t="shared" si="318"/>
        <v>0</v>
      </c>
    </row>
    <row r="5055" spans="1:23" hidden="1" x14ac:dyDescent="0.25">
      <c r="A5055" s="3">
        <v>46087</v>
      </c>
      <c r="B5055" s="4" t="s">
        <v>334</v>
      </c>
      <c r="C5055" s="4" t="s">
        <v>156</v>
      </c>
      <c r="D5055" s="4"/>
      <c r="E5055" s="4" t="s">
        <v>921</v>
      </c>
      <c r="F5055" s="46" t="s">
        <v>2423</v>
      </c>
      <c r="G5055" s="4" t="s">
        <v>336</v>
      </c>
      <c r="H5055" s="4" t="s">
        <v>380</v>
      </c>
      <c r="I5055" s="4">
        <v>1</v>
      </c>
      <c r="J5055" s="21">
        <v>200</v>
      </c>
      <c r="K5055" s="21">
        <v>200</v>
      </c>
      <c r="L5055" s="5">
        <v>0</v>
      </c>
      <c r="M5055" s="4"/>
      <c r="N5055" s="4"/>
      <c r="O5055" s="5"/>
      <c r="P5055" s="5"/>
      <c r="Q5055" s="21">
        <v>0</v>
      </c>
      <c r="R5055" s="21">
        <v>0</v>
      </c>
      <c r="S5055" s="5">
        <f t="shared" si="315"/>
        <v>17384.662073026426</v>
      </c>
      <c r="T5055" cm="1">
        <f t="array" ref="T5055">IF(OR(B5055="MAL ALIMI", B5055="ÜRETİM GİRİŞ"), MIN(I5055, MAX(0, I5055 + SUM(SUMIFS($I$1:I5054, $C$1:C5054, C5055, $B$1:B5054, {"MAL ALIMI","ÜRETİM GİRİŞ"})) - VLOOKUP(C5055, 'STOK RAPORU'!$C$2:$I$1000, 4, 0))), 0)</f>
        <v>0</v>
      </c>
      <c r="U5055" s="22">
        <f t="shared" si="316"/>
        <v>0</v>
      </c>
      <c r="V5055">
        <f t="shared" si="317"/>
        <v>0</v>
      </c>
      <c r="W5055" s="22">
        <f t="shared" si="318"/>
        <v>0</v>
      </c>
    </row>
    <row r="5056" spans="1:23" hidden="1" x14ac:dyDescent="0.25">
      <c r="A5056" s="3">
        <v>46087</v>
      </c>
      <c r="B5056" s="4" t="s">
        <v>334</v>
      </c>
      <c r="C5056" s="4" t="s">
        <v>1501</v>
      </c>
      <c r="D5056" s="4"/>
      <c r="E5056" s="4"/>
      <c r="F5056" s="46" t="s">
        <v>2423</v>
      </c>
      <c r="G5056" s="4" t="s">
        <v>336</v>
      </c>
      <c r="H5056" s="4" t="s">
        <v>289</v>
      </c>
      <c r="I5056" s="4">
        <v>0.25</v>
      </c>
      <c r="J5056" s="21">
        <v>520</v>
      </c>
      <c r="K5056" s="21">
        <v>0</v>
      </c>
      <c r="L5056" s="5">
        <v>0</v>
      </c>
      <c r="M5056" s="4"/>
      <c r="N5056" s="4"/>
      <c r="O5056" s="5"/>
      <c r="P5056" s="5"/>
      <c r="Q5056" s="21">
        <v>130</v>
      </c>
      <c r="R5056" s="21">
        <v>0</v>
      </c>
      <c r="S5056" s="5">
        <f t="shared" si="315"/>
        <v>17514.662073026426</v>
      </c>
      <c r="T5056" cm="1">
        <f t="array" ref="T5056">IF(OR(B5056="MAL ALIMI", B5056="ÜRETİM GİRİŞ"), MIN(I5056, MAX(0, I5056 + SUM(SUMIFS($I$1:I5055, $C$1:C5055, C5056, $B$1:B5055, {"MAL ALIMI","ÜRETİM GİRİŞ"})) - VLOOKUP(C5056, 'STOK RAPORU'!$C$2:$I$1000, 4, 0))), 0)</f>
        <v>0</v>
      </c>
      <c r="U5056" s="22">
        <f t="shared" si="316"/>
        <v>0</v>
      </c>
      <c r="V5056">
        <f t="shared" si="317"/>
        <v>0</v>
      </c>
      <c r="W5056" s="22">
        <f t="shared" si="318"/>
        <v>0</v>
      </c>
    </row>
    <row r="5057" spans="1:23" hidden="1" x14ac:dyDescent="0.25">
      <c r="A5057" s="3">
        <v>46087</v>
      </c>
      <c r="B5057" s="4" t="s">
        <v>334</v>
      </c>
      <c r="C5057" s="4" t="s">
        <v>1423</v>
      </c>
      <c r="D5057" s="4"/>
      <c r="E5057" s="4"/>
      <c r="F5057" s="46" t="s">
        <v>2424</v>
      </c>
      <c r="G5057" s="4" t="s">
        <v>336</v>
      </c>
      <c r="H5057" s="4" t="s">
        <v>289</v>
      </c>
      <c r="I5057" s="4">
        <v>1</v>
      </c>
      <c r="J5057" s="21">
        <v>100</v>
      </c>
      <c r="K5057" s="21">
        <v>0</v>
      </c>
      <c r="L5057" s="5">
        <v>0</v>
      </c>
      <c r="M5057" s="4"/>
      <c r="N5057" s="4"/>
      <c r="O5057" s="5"/>
      <c r="P5057" s="5"/>
      <c r="Q5057" s="21">
        <v>100</v>
      </c>
      <c r="R5057" s="21">
        <v>0</v>
      </c>
      <c r="S5057" s="5">
        <f t="shared" si="315"/>
        <v>17614.662073026426</v>
      </c>
      <c r="T5057" cm="1">
        <f t="array" ref="T5057">IF(OR(B5057="MAL ALIMI", B5057="ÜRETİM GİRİŞ"), MIN(I5057, MAX(0, I5057 + SUM(SUMIFS($I$1:I5056, $C$1:C5056, C5057, $B$1:B5056, {"MAL ALIMI","ÜRETİM GİRİŞ"})) - VLOOKUP(C5057, 'STOK RAPORU'!$C$2:$I$1000, 4, 0))), 0)</f>
        <v>0</v>
      </c>
      <c r="U5057" s="22">
        <f t="shared" si="316"/>
        <v>0</v>
      </c>
      <c r="V5057">
        <f t="shared" si="317"/>
        <v>0</v>
      </c>
      <c r="W5057" s="22">
        <f t="shared" si="318"/>
        <v>0</v>
      </c>
    </row>
    <row r="5058" spans="1:23" hidden="1" x14ac:dyDescent="0.25">
      <c r="A5058" s="3">
        <v>46087</v>
      </c>
      <c r="B5058" s="4" t="s">
        <v>334</v>
      </c>
      <c r="C5058" s="4" t="s">
        <v>60</v>
      </c>
      <c r="D5058" s="4"/>
      <c r="E5058" s="4"/>
      <c r="F5058" s="46" t="s">
        <v>2424</v>
      </c>
      <c r="G5058" s="4" t="s">
        <v>336</v>
      </c>
      <c r="H5058" s="4" t="s">
        <v>289</v>
      </c>
      <c r="I5058" s="4">
        <v>0.05</v>
      </c>
      <c r="J5058" s="21">
        <v>1200</v>
      </c>
      <c r="K5058" s="21">
        <v>0</v>
      </c>
      <c r="L5058" s="5">
        <v>0</v>
      </c>
      <c r="M5058" s="4"/>
      <c r="N5058" s="4"/>
      <c r="O5058" s="5"/>
      <c r="P5058" s="5"/>
      <c r="Q5058" s="21">
        <v>60</v>
      </c>
      <c r="R5058" s="21">
        <v>0</v>
      </c>
      <c r="S5058" s="5">
        <f t="shared" si="315"/>
        <v>17674.662073026426</v>
      </c>
      <c r="T5058" cm="1">
        <f t="array" ref="T5058">IF(OR(B5058="MAL ALIMI", B5058="ÜRETİM GİRİŞ"), MIN(I5058, MAX(0, I5058 + SUM(SUMIFS($I$1:I5057, $C$1:C5057, C5058, $B$1:B5057, {"MAL ALIMI","ÜRETİM GİRİŞ"})) - VLOOKUP(C5058, 'STOK RAPORU'!$C$2:$I$1000, 4, 0))), 0)</f>
        <v>0</v>
      </c>
      <c r="U5058" s="22">
        <f t="shared" si="316"/>
        <v>0</v>
      </c>
      <c r="V5058">
        <f t="shared" si="317"/>
        <v>0</v>
      </c>
      <c r="W5058" s="22">
        <f t="shared" si="318"/>
        <v>0</v>
      </c>
    </row>
    <row r="5059" spans="1:23" hidden="1" x14ac:dyDescent="0.25">
      <c r="A5059" s="41">
        <v>46087</v>
      </c>
      <c r="B5059" s="42" t="s">
        <v>334</v>
      </c>
      <c r="C5059" s="42" t="s">
        <v>1024</v>
      </c>
      <c r="D5059" s="42"/>
      <c r="E5059" s="42"/>
      <c r="F5059" s="42" t="s">
        <v>2425</v>
      </c>
      <c r="G5059" s="42" t="s">
        <v>2439</v>
      </c>
      <c r="H5059" s="42" t="s">
        <v>289</v>
      </c>
      <c r="I5059" s="42">
        <v>0.69230769230769229</v>
      </c>
      <c r="J5059" s="43">
        <v>65</v>
      </c>
      <c r="K5059" s="43">
        <v>0</v>
      </c>
      <c r="L5059" s="44">
        <v>0</v>
      </c>
      <c r="M5059" s="42"/>
      <c r="N5059" s="42"/>
      <c r="O5059" s="44"/>
      <c r="P5059" s="44"/>
      <c r="Q5059" s="43">
        <v>45</v>
      </c>
      <c r="R5059" s="43">
        <v>0</v>
      </c>
      <c r="S5059" s="5">
        <f t="shared" si="315"/>
        <v>17719.662073026426</v>
      </c>
      <c r="T5059" cm="1">
        <f t="array" ref="T5059">IF(OR(B5059="MAL ALIMI", B5059="ÜRETİM GİRİŞ"), MIN(I5059, MAX(0, I5059 + SUM(SUMIFS($I$1:I5058, $C$1:C5058, C5059, $B$1:B5058, {"MAL ALIMI","ÜRETİM GİRİŞ"})) - VLOOKUP(C5059, 'STOK RAPORU'!$C$2:$I$1000, 4, 0))), 0)</f>
        <v>0</v>
      </c>
      <c r="U5059" s="22">
        <f t="shared" si="316"/>
        <v>0</v>
      </c>
      <c r="V5059">
        <f t="shared" si="317"/>
        <v>0</v>
      </c>
      <c r="W5059" s="22">
        <f t="shared" si="318"/>
        <v>0</v>
      </c>
    </row>
    <row r="5060" spans="1:23" hidden="1" x14ac:dyDescent="0.25">
      <c r="A5060" s="41">
        <v>46087</v>
      </c>
      <c r="B5060" s="42" t="s">
        <v>334</v>
      </c>
      <c r="C5060" s="42" t="s">
        <v>132</v>
      </c>
      <c r="D5060" s="42"/>
      <c r="E5060" s="42"/>
      <c r="F5060" s="42" t="s">
        <v>2425</v>
      </c>
      <c r="G5060" s="42" t="s">
        <v>2439</v>
      </c>
      <c r="H5060" s="42" t="s">
        <v>289</v>
      </c>
      <c r="I5060" s="42">
        <v>0.19</v>
      </c>
      <c r="J5060" s="43">
        <v>500</v>
      </c>
      <c r="K5060" s="43">
        <v>0</v>
      </c>
      <c r="L5060" s="44">
        <v>0</v>
      </c>
      <c r="M5060" s="42"/>
      <c r="N5060" s="42"/>
      <c r="O5060" s="44"/>
      <c r="P5060" s="44"/>
      <c r="Q5060" s="43">
        <v>95</v>
      </c>
      <c r="R5060" s="43">
        <v>0</v>
      </c>
      <c r="S5060" s="5">
        <f t="shared" ref="S5060:S5123" si="319">S5059+Q5060-R5060</f>
        <v>17814.662073026426</v>
      </c>
      <c r="T5060" cm="1">
        <f t="array" ref="T5060">IF(OR(B5060="MAL ALIMI", B5060="ÜRETİM GİRİŞ"), MIN(I5060, MAX(0, I5060 + SUM(SUMIFS($I$1:I5059, $C$1:C5059, C5060, $B$1:B5059, {"MAL ALIMI","ÜRETİM GİRİŞ"})) - VLOOKUP(C5060, 'STOK RAPORU'!$C$2:$I$1000, 4, 0))), 0)</f>
        <v>0</v>
      </c>
      <c r="U5060" s="22">
        <f t="shared" si="316"/>
        <v>0</v>
      </c>
      <c r="V5060">
        <f t="shared" si="317"/>
        <v>0</v>
      </c>
      <c r="W5060" s="22">
        <f t="shared" si="318"/>
        <v>0</v>
      </c>
    </row>
    <row r="5061" spans="1:23" hidden="1" x14ac:dyDescent="0.25">
      <c r="A5061" s="41">
        <v>46087</v>
      </c>
      <c r="B5061" s="42" t="s">
        <v>334</v>
      </c>
      <c r="C5061" s="42" t="s">
        <v>131</v>
      </c>
      <c r="D5061" s="42"/>
      <c r="E5061" s="42"/>
      <c r="F5061" s="42" t="s">
        <v>2425</v>
      </c>
      <c r="G5061" s="42" t="s">
        <v>2439</v>
      </c>
      <c r="H5061" s="42" t="s">
        <v>289</v>
      </c>
      <c r="I5061" s="42">
        <v>3.7499999999999999E-2</v>
      </c>
      <c r="J5061" s="43">
        <v>400</v>
      </c>
      <c r="K5061" s="43">
        <v>0</v>
      </c>
      <c r="L5061" s="44">
        <v>0</v>
      </c>
      <c r="M5061" s="42"/>
      <c r="N5061" s="42"/>
      <c r="O5061" s="44"/>
      <c r="P5061" s="44"/>
      <c r="Q5061" s="43">
        <v>15</v>
      </c>
      <c r="R5061" s="43">
        <v>0</v>
      </c>
      <c r="S5061" s="5">
        <f t="shared" si="319"/>
        <v>17829.662073026426</v>
      </c>
      <c r="T5061" cm="1">
        <f t="array" ref="T5061">IF(OR(B5061="MAL ALIMI", B5061="ÜRETİM GİRİŞ"), MIN(I5061, MAX(0, I5061 + SUM(SUMIFS($I$1:I5060, $C$1:C5060, C5061, $B$1:B5060, {"MAL ALIMI","ÜRETİM GİRİŞ"})) - VLOOKUP(C5061, 'STOK RAPORU'!$C$2:$I$1000, 4, 0))), 0)</f>
        <v>0</v>
      </c>
      <c r="U5061" s="22">
        <f t="shared" si="316"/>
        <v>0</v>
      </c>
      <c r="V5061">
        <f t="shared" si="317"/>
        <v>0</v>
      </c>
      <c r="W5061" s="22">
        <f t="shared" si="318"/>
        <v>0</v>
      </c>
    </row>
    <row r="5062" spans="1:23" hidden="1" x14ac:dyDescent="0.25">
      <c r="A5062" s="3">
        <v>46087</v>
      </c>
      <c r="B5062" s="4" t="s">
        <v>334</v>
      </c>
      <c r="C5062" s="4" t="s">
        <v>236</v>
      </c>
      <c r="D5062" s="4"/>
      <c r="E5062" s="4"/>
      <c r="F5062" s="46" t="s">
        <v>2426</v>
      </c>
      <c r="G5062" s="4" t="s">
        <v>336</v>
      </c>
      <c r="H5062" s="4" t="s">
        <v>289</v>
      </c>
      <c r="I5062" s="4">
        <v>0.53428571428571425</v>
      </c>
      <c r="J5062" s="21">
        <v>350</v>
      </c>
      <c r="K5062" s="21">
        <v>0</v>
      </c>
      <c r="L5062" s="5">
        <v>0</v>
      </c>
      <c r="M5062" s="4"/>
      <c r="N5062" s="4"/>
      <c r="O5062" s="5"/>
      <c r="P5062" s="5"/>
      <c r="Q5062" s="21">
        <v>187</v>
      </c>
      <c r="R5062" s="21">
        <v>0</v>
      </c>
      <c r="S5062" s="5">
        <f t="shared" si="319"/>
        <v>18016.662073026426</v>
      </c>
      <c r="T5062" cm="1">
        <f t="array" ref="T5062">IF(OR(B5062="MAL ALIMI", B5062="ÜRETİM GİRİŞ"), MIN(I5062, MAX(0, I5062 + SUM(SUMIFS($I$1:I5061, $C$1:C5061, C5062, $B$1:B5061, {"MAL ALIMI","ÜRETİM GİRİŞ"})) - VLOOKUP(C5062, 'STOK RAPORU'!$C$2:$I$1000, 4, 0))), 0)</f>
        <v>0</v>
      </c>
      <c r="U5062" s="22">
        <f t="shared" si="316"/>
        <v>0</v>
      </c>
      <c r="V5062">
        <f t="shared" si="317"/>
        <v>0</v>
      </c>
      <c r="W5062" s="22">
        <f t="shared" si="318"/>
        <v>0</v>
      </c>
    </row>
    <row r="5063" spans="1:23" hidden="1" x14ac:dyDescent="0.25">
      <c r="A5063" s="3">
        <v>46087</v>
      </c>
      <c r="B5063" s="4" t="s">
        <v>334</v>
      </c>
      <c r="C5063" s="4" t="s">
        <v>140</v>
      </c>
      <c r="D5063" s="4"/>
      <c r="E5063" s="4"/>
      <c r="F5063" s="46" t="s">
        <v>2426</v>
      </c>
      <c r="G5063" s="4" t="s">
        <v>336</v>
      </c>
      <c r="H5063" s="4" t="s">
        <v>289</v>
      </c>
      <c r="I5063" s="4">
        <v>5.7999999999999996E-2</v>
      </c>
      <c r="J5063" s="21">
        <v>300</v>
      </c>
      <c r="K5063" s="21">
        <v>0</v>
      </c>
      <c r="L5063" s="5">
        <v>0</v>
      </c>
      <c r="M5063" s="4"/>
      <c r="N5063" s="4"/>
      <c r="O5063" s="5"/>
      <c r="P5063" s="5"/>
      <c r="Q5063" s="21">
        <v>17.399999999999999</v>
      </c>
      <c r="R5063" s="21">
        <v>0</v>
      </c>
      <c r="S5063" s="5">
        <f t="shared" si="319"/>
        <v>18034.062073026427</v>
      </c>
      <c r="T5063" cm="1">
        <f t="array" ref="T5063">IF(OR(B5063="MAL ALIMI", B5063="ÜRETİM GİRİŞ"), MIN(I5063, MAX(0, I5063 + SUM(SUMIFS($I$1:I5062, $C$1:C5062, C5063, $B$1:B5062, {"MAL ALIMI","ÜRETİM GİRİŞ"})) - VLOOKUP(C5063, 'STOK RAPORU'!$C$2:$I$1000, 4, 0))), 0)</f>
        <v>0</v>
      </c>
      <c r="U5063" s="22">
        <f t="shared" si="316"/>
        <v>0</v>
      </c>
      <c r="V5063">
        <f t="shared" si="317"/>
        <v>0</v>
      </c>
      <c r="W5063" s="22">
        <f t="shared" si="318"/>
        <v>0</v>
      </c>
    </row>
    <row r="5064" spans="1:23" hidden="1" x14ac:dyDescent="0.25">
      <c r="A5064" s="3">
        <v>46087</v>
      </c>
      <c r="B5064" s="4" t="s">
        <v>334</v>
      </c>
      <c r="C5064" s="4" t="s">
        <v>98</v>
      </c>
      <c r="D5064" s="4"/>
      <c r="E5064" s="4"/>
      <c r="F5064" s="46" t="s">
        <v>2426</v>
      </c>
      <c r="G5064" s="4" t="s">
        <v>336</v>
      </c>
      <c r="H5064" s="4" t="s">
        <v>289</v>
      </c>
      <c r="I5064" s="4">
        <v>6.2E-2</v>
      </c>
      <c r="J5064" s="21">
        <v>400</v>
      </c>
      <c r="K5064" s="21">
        <v>0</v>
      </c>
      <c r="L5064" s="5">
        <v>0</v>
      </c>
      <c r="M5064" s="4"/>
      <c r="N5064" s="4"/>
      <c r="O5064" s="5"/>
      <c r="P5064" s="5"/>
      <c r="Q5064" s="21">
        <v>24.8</v>
      </c>
      <c r="R5064" s="21">
        <v>0</v>
      </c>
      <c r="S5064" s="5">
        <f t="shared" si="319"/>
        <v>18058.862073026427</v>
      </c>
      <c r="T5064" cm="1">
        <f t="array" ref="T5064">IF(OR(B5064="MAL ALIMI", B5064="ÜRETİM GİRİŞ"), MIN(I5064, MAX(0, I5064 + SUM(SUMIFS($I$1:I5063, $C$1:C5063, C5064, $B$1:B5063, {"MAL ALIMI","ÜRETİM GİRİŞ"})) - VLOOKUP(C5064, 'STOK RAPORU'!$C$2:$I$1000, 4, 0))), 0)</f>
        <v>0</v>
      </c>
      <c r="U5064" s="22">
        <f t="shared" si="316"/>
        <v>0</v>
      </c>
      <c r="V5064">
        <f t="shared" si="317"/>
        <v>0</v>
      </c>
      <c r="W5064" s="22">
        <f t="shared" si="318"/>
        <v>0</v>
      </c>
    </row>
    <row r="5065" spans="1:23" hidden="1" x14ac:dyDescent="0.25">
      <c r="A5065" s="3">
        <v>46087</v>
      </c>
      <c r="B5065" s="4" t="s">
        <v>334</v>
      </c>
      <c r="C5065" s="4" t="s">
        <v>146</v>
      </c>
      <c r="D5065" s="4"/>
      <c r="E5065" s="4"/>
      <c r="F5065" s="46" t="s">
        <v>2426</v>
      </c>
      <c r="G5065" s="4" t="s">
        <v>336</v>
      </c>
      <c r="H5065" s="4" t="s">
        <v>289</v>
      </c>
      <c r="I5065" s="4">
        <v>1</v>
      </c>
      <c r="J5065" s="21">
        <v>80</v>
      </c>
      <c r="K5065" s="21">
        <v>0</v>
      </c>
      <c r="L5065" s="5">
        <v>0</v>
      </c>
      <c r="M5065" s="4"/>
      <c r="N5065" s="4"/>
      <c r="O5065" s="5"/>
      <c r="P5065" s="5"/>
      <c r="Q5065" s="21">
        <v>80</v>
      </c>
      <c r="R5065" s="21">
        <v>0</v>
      </c>
      <c r="S5065" s="5">
        <f t="shared" si="319"/>
        <v>18138.862073026427</v>
      </c>
      <c r="T5065" cm="1">
        <f t="array" ref="T5065">IF(OR(B5065="MAL ALIMI", B5065="ÜRETİM GİRİŞ"), MIN(I5065, MAX(0, I5065 + SUM(SUMIFS($I$1:I5064, $C$1:C5064, C5065, $B$1:B5064, {"MAL ALIMI","ÜRETİM GİRİŞ"})) - VLOOKUP(C5065, 'STOK RAPORU'!$C$2:$I$1000, 4, 0))), 0)</f>
        <v>0</v>
      </c>
      <c r="U5065" s="22">
        <f t="shared" si="316"/>
        <v>0</v>
      </c>
      <c r="V5065">
        <f t="shared" si="317"/>
        <v>0</v>
      </c>
      <c r="W5065" s="22">
        <f t="shared" si="318"/>
        <v>0</v>
      </c>
    </row>
    <row r="5066" spans="1:23" hidden="1" x14ac:dyDescent="0.25">
      <c r="A5066" s="45">
        <v>46087</v>
      </c>
      <c r="B5066" s="46" t="s">
        <v>334</v>
      </c>
      <c r="C5066" s="46" t="s">
        <v>1501</v>
      </c>
      <c r="D5066" s="46"/>
      <c r="E5066" s="46"/>
      <c r="F5066" s="46" t="s">
        <v>2427</v>
      </c>
      <c r="G5066" s="46" t="s">
        <v>1771</v>
      </c>
      <c r="H5066" s="46" t="s">
        <v>289</v>
      </c>
      <c r="I5066" s="46">
        <v>1</v>
      </c>
      <c r="J5066" s="47">
        <v>600</v>
      </c>
      <c r="K5066" s="47">
        <v>0</v>
      </c>
      <c r="L5066" s="48">
        <v>0</v>
      </c>
      <c r="M5066" s="42"/>
      <c r="N5066" s="42"/>
      <c r="O5066" s="44"/>
      <c r="P5066" s="44"/>
      <c r="Q5066" s="47">
        <v>600</v>
      </c>
      <c r="R5066" s="47">
        <v>0</v>
      </c>
      <c r="S5066" s="5">
        <f t="shared" si="319"/>
        <v>18738.862073026427</v>
      </c>
      <c r="T5066" cm="1">
        <f t="array" ref="T5066">IF(OR(B5066="MAL ALIMI", B5066="ÜRETİM GİRİŞ"), MIN(I5066, MAX(0, I5066 + SUM(SUMIFS($I$1:I5065, $C$1:C5065, C5066, $B$1:B5065, {"MAL ALIMI","ÜRETİM GİRİŞ"})) - VLOOKUP(C5066, 'STOK RAPORU'!$C$2:$I$1000, 4, 0))), 0)</f>
        <v>0</v>
      </c>
      <c r="U5066" s="22">
        <f t="shared" si="316"/>
        <v>0</v>
      </c>
      <c r="V5066">
        <f t="shared" si="317"/>
        <v>0</v>
      </c>
      <c r="W5066" s="22">
        <f t="shared" si="318"/>
        <v>0</v>
      </c>
    </row>
    <row r="5067" spans="1:23" hidden="1" x14ac:dyDescent="0.25">
      <c r="A5067" s="3">
        <v>46087</v>
      </c>
      <c r="B5067" s="4" t="s">
        <v>334</v>
      </c>
      <c r="C5067" s="4" t="s">
        <v>132</v>
      </c>
      <c r="D5067" s="4"/>
      <c r="E5067" s="4" t="s">
        <v>921</v>
      </c>
      <c r="F5067" s="46" t="s">
        <v>2436</v>
      </c>
      <c r="G5067" s="4" t="s">
        <v>336</v>
      </c>
      <c r="H5067" s="4" t="s">
        <v>380</v>
      </c>
      <c r="I5067" s="4">
        <v>0.17</v>
      </c>
      <c r="J5067" s="21">
        <v>500</v>
      </c>
      <c r="K5067" s="21">
        <v>85</v>
      </c>
      <c r="L5067" s="5">
        <v>0</v>
      </c>
      <c r="M5067" s="4"/>
      <c r="N5067" s="4"/>
      <c r="O5067" s="5"/>
      <c r="P5067" s="5"/>
      <c r="Q5067" s="21">
        <v>0</v>
      </c>
      <c r="R5067" s="21">
        <v>0</v>
      </c>
      <c r="S5067" s="5">
        <f t="shared" si="319"/>
        <v>18738.862073026427</v>
      </c>
      <c r="T5067" cm="1">
        <f t="array" ref="T5067">IF(OR(B5067="MAL ALIMI", B5067="ÜRETİM GİRİŞ"), MIN(I5067, MAX(0, I5067 + SUM(SUMIFS($I$1:I5066, $C$1:C5066, C5067, $B$1:B5066, {"MAL ALIMI","ÜRETİM GİRİŞ"})) - VLOOKUP(C5067, 'STOK RAPORU'!$C$2:$I$1000, 4, 0))), 0)</f>
        <v>0</v>
      </c>
      <c r="U5067" s="22">
        <f t="shared" si="316"/>
        <v>0</v>
      </c>
      <c r="V5067">
        <f t="shared" si="317"/>
        <v>0</v>
      </c>
      <c r="W5067" s="22">
        <f t="shared" si="318"/>
        <v>0</v>
      </c>
    </row>
    <row r="5068" spans="1:23" hidden="1" x14ac:dyDescent="0.25">
      <c r="A5068" s="3">
        <v>46087</v>
      </c>
      <c r="B5068" s="4" t="s">
        <v>334</v>
      </c>
      <c r="C5068" s="4" t="s">
        <v>91</v>
      </c>
      <c r="D5068" s="4"/>
      <c r="E5068" s="4" t="s">
        <v>921</v>
      </c>
      <c r="F5068" s="46" t="s">
        <v>2436</v>
      </c>
      <c r="G5068" s="4" t="s">
        <v>336</v>
      </c>
      <c r="H5068" s="4" t="s">
        <v>380</v>
      </c>
      <c r="I5068" s="4">
        <v>6.8000000000000005E-2</v>
      </c>
      <c r="J5068" s="21">
        <v>750</v>
      </c>
      <c r="K5068" s="21">
        <v>51.000000000000007</v>
      </c>
      <c r="L5068" s="5">
        <v>0</v>
      </c>
      <c r="M5068" s="4"/>
      <c r="N5068" s="4"/>
      <c r="O5068" s="5"/>
      <c r="P5068" s="5"/>
      <c r="Q5068" s="21">
        <v>0</v>
      </c>
      <c r="R5068" s="21">
        <v>0</v>
      </c>
      <c r="S5068" s="5">
        <f t="shared" si="319"/>
        <v>18738.862073026427</v>
      </c>
      <c r="T5068" cm="1">
        <f t="array" ref="T5068">IF(OR(B5068="MAL ALIMI", B5068="ÜRETİM GİRİŞ"), MIN(I5068, MAX(0, I5068 + SUM(SUMIFS($I$1:I5067, $C$1:C5067, C5068, $B$1:B5067, {"MAL ALIMI","ÜRETİM GİRİŞ"})) - VLOOKUP(C5068, 'STOK RAPORU'!$C$2:$I$1000, 4, 0))), 0)</f>
        <v>0</v>
      </c>
      <c r="U5068" s="22">
        <f t="shared" si="316"/>
        <v>0</v>
      </c>
      <c r="V5068">
        <f t="shared" si="317"/>
        <v>0</v>
      </c>
      <c r="W5068" s="22">
        <f t="shared" si="318"/>
        <v>0</v>
      </c>
    </row>
    <row r="5069" spans="1:23" hidden="1" x14ac:dyDescent="0.25">
      <c r="A5069" s="3">
        <v>46087</v>
      </c>
      <c r="B5069" s="4" t="s">
        <v>334</v>
      </c>
      <c r="C5069" s="4" t="s">
        <v>1365</v>
      </c>
      <c r="D5069" s="4"/>
      <c r="E5069" s="4" t="s">
        <v>921</v>
      </c>
      <c r="F5069" s="46" t="s">
        <v>2436</v>
      </c>
      <c r="G5069" s="4" t="s">
        <v>336</v>
      </c>
      <c r="H5069" s="4" t="s">
        <v>380</v>
      </c>
      <c r="I5069" s="4">
        <v>1</v>
      </c>
      <c r="J5069" s="21">
        <v>140</v>
      </c>
      <c r="K5069" s="21">
        <v>140</v>
      </c>
      <c r="L5069" s="5">
        <v>0</v>
      </c>
      <c r="M5069" s="4"/>
      <c r="N5069" s="4"/>
      <c r="O5069" s="5"/>
      <c r="P5069" s="5"/>
      <c r="Q5069" s="21">
        <v>0</v>
      </c>
      <c r="R5069" s="21">
        <v>0</v>
      </c>
      <c r="S5069" s="5">
        <f t="shared" si="319"/>
        <v>18738.862073026427</v>
      </c>
      <c r="T5069" cm="1">
        <f t="array" ref="T5069">IF(OR(B5069="MAL ALIMI", B5069="ÜRETİM GİRİŞ"), MIN(I5069, MAX(0, I5069 + SUM(SUMIFS($I$1:I5068, $C$1:C5068, C5069, $B$1:B5068, {"MAL ALIMI","ÜRETİM GİRİŞ"})) - VLOOKUP(C5069, 'STOK RAPORU'!$C$2:$I$1000, 4, 0))), 0)</f>
        <v>0</v>
      </c>
      <c r="U5069" s="22">
        <f t="shared" si="316"/>
        <v>0</v>
      </c>
      <c r="V5069">
        <f t="shared" si="317"/>
        <v>0</v>
      </c>
      <c r="W5069" s="22">
        <f t="shared" si="318"/>
        <v>0</v>
      </c>
    </row>
    <row r="5070" spans="1:23" hidden="1" x14ac:dyDescent="0.25">
      <c r="A5070" s="3">
        <v>46087</v>
      </c>
      <c r="B5070" s="4" t="s">
        <v>334</v>
      </c>
      <c r="C5070" s="4" t="s">
        <v>1501</v>
      </c>
      <c r="D5070" s="4"/>
      <c r="E5070" s="4" t="s">
        <v>921</v>
      </c>
      <c r="F5070" s="46" t="s">
        <v>2436</v>
      </c>
      <c r="G5070" s="4" t="s">
        <v>336</v>
      </c>
      <c r="H5070" s="4" t="s">
        <v>380</v>
      </c>
      <c r="I5070" s="4">
        <v>0.16800000000000001</v>
      </c>
      <c r="J5070" s="21">
        <v>600</v>
      </c>
      <c r="K5070" s="21">
        <v>100.80000000000001</v>
      </c>
      <c r="L5070" s="5">
        <v>0</v>
      </c>
      <c r="M5070" s="4"/>
      <c r="N5070" s="4"/>
      <c r="O5070" s="5"/>
      <c r="P5070" s="5"/>
      <c r="Q5070" s="21">
        <v>0</v>
      </c>
      <c r="R5070" s="21">
        <v>0</v>
      </c>
      <c r="S5070" s="5">
        <f t="shared" si="319"/>
        <v>18738.862073026427</v>
      </c>
      <c r="T5070" cm="1">
        <f t="array" ref="T5070">IF(OR(B5070="MAL ALIMI", B5070="ÜRETİM GİRİŞ"), MIN(I5070, MAX(0, I5070 + SUM(SUMIFS($I$1:I5069, $C$1:C5069, C5070, $B$1:B5069, {"MAL ALIMI","ÜRETİM GİRİŞ"})) - VLOOKUP(C5070, 'STOK RAPORU'!$C$2:$I$1000, 4, 0))), 0)</f>
        <v>0</v>
      </c>
      <c r="U5070" s="22">
        <f t="shared" si="316"/>
        <v>0</v>
      </c>
      <c r="V5070">
        <f t="shared" si="317"/>
        <v>0</v>
      </c>
      <c r="W5070" s="22">
        <f t="shared" si="318"/>
        <v>0</v>
      </c>
    </row>
    <row r="5071" spans="1:23" hidden="1" x14ac:dyDescent="0.25">
      <c r="A5071" s="3">
        <v>46087</v>
      </c>
      <c r="B5071" s="4" t="s">
        <v>334</v>
      </c>
      <c r="C5071" s="4" t="s">
        <v>461</v>
      </c>
      <c r="D5071" s="4"/>
      <c r="E5071" s="4" t="s">
        <v>921</v>
      </c>
      <c r="F5071" s="46" t="s">
        <v>2436</v>
      </c>
      <c r="G5071" s="4" t="s">
        <v>336</v>
      </c>
      <c r="H5071" s="4" t="s">
        <v>380</v>
      </c>
      <c r="I5071" s="4">
        <v>1</v>
      </c>
      <c r="J5071" s="21">
        <v>100</v>
      </c>
      <c r="K5071" s="21">
        <v>100</v>
      </c>
      <c r="L5071" s="5">
        <v>0</v>
      </c>
      <c r="M5071" s="4"/>
      <c r="N5071" s="4"/>
      <c r="O5071" s="5"/>
      <c r="P5071" s="5"/>
      <c r="Q5071" s="21">
        <v>0</v>
      </c>
      <c r="R5071" s="21">
        <v>0</v>
      </c>
      <c r="S5071" s="5">
        <f t="shared" si="319"/>
        <v>18738.862073026427</v>
      </c>
      <c r="T5071" cm="1">
        <f t="array" ref="T5071">IF(OR(B5071="MAL ALIMI", B5071="ÜRETİM GİRİŞ"), MIN(I5071, MAX(0, I5071 + SUM(SUMIFS($I$1:I5070, $C$1:C5070, C5071, $B$1:B5070, {"MAL ALIMI","ÜRETİM GİRİŞ"})) - VLOOKUP(C5071, 'STOK RAPORU'!$C$2:$I$1000, 4, 0))), 0)</f>
        <v>0</v>
      </c>
      <c r="U5071" s="22">
        <f t="shared" si="316"/>
        <v>0</v>
      </c>
      <c r="V5071">
        <f t="shared" si="317"/>
        <v>0</v>
      </c>
      <c r="W5071" s="22">
        <f t="shared" si="318"/>
        <v>0</v>
      </c>
    </row>
    <row r="5072" spans="1:23" hidden="1" x14ac:dyDescent="0.25">
      <c r="A5072" s="3">
        <v>46087</v>
      </c>
      <c r="B5072" s="4" t="s">
        <v>334</v>
      </c>
      <c r="C5072" s="4" t="s">
        <v>231</v>
      </c>
      <c r="D5072" s="4"/>
      <c r="E5072" s="4" t="s">
        <v>921</v>
      </c>
      <c r="F5072" s="46" t="s">
        <v>2436</v>
      </c>
      <c r="G5072" s="4" t="s">
        <v>336</v>
      </c>
      <c r="H5072" s="4" t="s">
        <v>380</v>
      </c>
      <c r="I5072" s="4">
        <v>1</v>
      </c>
      <c r="J5072" s="21">
        <v>200</v>
      </c>
      <c r="K5072" s="21">
        <v>200</v>
      </c>
      <c r="L5072" s="5">
        <v>0</v>
      </c>
      <c r="M5072" s="4"/>
      <c r="N5072" s="4"/>
      <c r="O5072" s="5"/>
      <c r="P5072" s="5"/>
      <c r="Q5072" s="21">
        <v>0</v>
      </c>
      <c r="R5072" s="21">
        <v>0</v>
      </c>
      <c r="S5072" s="5">
        <f t="shared" si="319"/>
        <v>18738.862073026427</v>
      </c>
      <c r="T5072" cm="1">
        <f t="array" ref="T5072">IF(OR(B5072="MAL ALIMI", B5072="ÜRETİM GİRİŞ"), MIN(I5072, MAX(0, I5072 + SUM(SUMIFS($I$1:I5071, $C$1:C5071, C5072, $B$1:B5071, {"MAL ALIMI","ÜRETİM GİRİŞ"})) - VLOOKUP(C5072, 'STOK RAPORU'!$C$2:$I$1000, 4, 0))), 0)</f>
        <v>0</v>
      </c>
      <c r="U5072" s="22">
        <f t="shared" si="316"/>
        <v>0</v>
      </c>
      <c r="V5072">
        <f t="shared" si="317"/>
        <v>0</v>
      </c>
      <c r="W5072" s="22">
        <f t="shared" si="318"/>
        <v>0</v>
      </c>
    </row>
    <row r="5073" spans="1:23" hidden="1" x14ac:dyDescent="0.25">
      <c r="A5073" s="3">
        <v>46087</v>
      </c>
      <c r="B5073" s="4" t="s">
        <v>334</v>
      </c>
      <c r="C5073" s="4" t="s">
        <v>1176</v>
      </c>
      <c r="D5073" s="4"/>
      <c r="E5073" s="4" t="s">
        <v>921</v>
      </c>
      <c r="F5073" s="46" t="s">
        <v>2436</v>
      </c>
      <c r="G5073" s="4" t="s">
        <v>336</v>
      </c>
      <c r="H5073" s="4" t="s">
        <v>380</v>
      </c>
      <c r="I5073" s="4">
        <v>0.1</v>
      </c>
      <c r="J5073" s="21">
        <v>1500</v>
      </c>
      <c r="K5073" s="21">
        <v>150</v>
      </c>
      <c r="L5073" s="5">
        <v>0</v>
      </c>
      <c r="M5073" s="4"/>
      <c r="N5073" s="4"/>
      <c r="O5073" s="5"/>
      <c r="P5073" s="5"/>
      <c r="Q5073" s="21">
        <v>0</v>
      </c>
      <c r="R5073" s="21">
        <v>0</v>
      </c>
      <c r="S5073" s="5">
        <f t="shared" si="319"/>
        <v>18738.862073026427</v>
      </c>
      <c r="T5073" cm="1">
        <f t="array" ref="T5073">IF(OR(B5073="MAL ALIMI", B5073="ÜRETİM GİRİŞ"), MIN(I5073, MAX(0, I5073 + SUM(SUMIFS($I$1:I5072, $C$1:C5072, C5073, $B$1:B5072, {"MAL ALIMI","ÜRETİM GİRİŞ"})) - VLOOKUP(C5073, 'STOK RAPORU'!$C$2:$I$1000, 4, 0))), 0)</f>
        <v>0</v>
      </c>
      <c r="U5073" s="22">
        <f t="shared" si="316"/>
        <v>0</v>
      </c>
      <c r="V5073">
        <f t="shared" si="317"/>
        <v>0</v>
      </c>
      <c r="W5073" s="22">
        <f t="shared" si="318"/>
        <v>0</v>
      </c>
    </row>
    <row r="5074" spans="1:23" hidden="1" x14ac:dyDescent="0.25">
      <c r="A5074" s="3">
        <v>46087</v>
      </c>
      <c r="B5074" s="4" t="s">
        <v>334</v>
      </c>
      <c r="C5074" s="4" t="s">
        <v>1634</v>
      </c>
      <c r="D5074" s="4"/>
      <c r="E5074" s="4" t="s">
        <v>921</v>
      </c>
      <c r="F5074" s="46" t="s">
        <v>2436</v>
      </c>
      <c r="G5074" s="4" t="s">
        <v>336</v>
      </c>
      <c r="H5074" s="4" t="s">
        <v>380</v>
      </c>
      <c r="I5074" s="4">
        <v>0.5</v>
      </c>
      <c r="J5074" s="21">
        <v>400</v>
      </c>
      <c r="K5074" s="21">
        <v>200</v>
      </c>
      <c r="L5074" s="5">
        <v>0</v>
      </c>
      <c r="M5074" s="4"/>
      <c r="N5074" s="4"/>
      <c r="O5074" s="5"/>
      <c r="P5074" s="5"/>
      <c r="Q5074" s="21">
        <v>0</v>
      </c>
      <c r="R5074" s="21">
        <v>0</v>
      </c>
      <c r="S5074" s="5">
        <f t="shared" si="319"/>
        <v>18738.862073026427</v>
      </c>
      <c r="T5074" cm="1">
        <f t="array" ref="T5074">IF(OR(B5074="MAL ALIMI", B5074="ÜRETİM GİRİŞ"), MIN(I5074, MAX(0, I5074 + SUM(SUMIFS($I$1:I5073, $C$1:C5073, C5074, $B$1:B5073, {"MAL ALIMI","ÜRETİM GİRİŞ"})) - VLOOKUP(C5074, 'STOK RAPORU'!$C$2:$I$1000, 4, 0))), 0)</f>
        <v>0</v>
      </c>
      <c r="U5074" s="22">
        <f t="shared" si="316"/>
        <v>0</v>
      </c>
      <c r="V5074">
        <f t="shared" si="317"/>
        <v>0</v>
      </c>
      <c r="W5074" s="22">
        <f t="shared" si="318"/>
        <v>0</v>
      </c>
    </row>
    <row r="5075" spans="1:23" hidden="1" x14ac:dyDescent="0.25">
      <c r="A5075" s="3">
        <v>46087</v>
      </c>
      <c r="B5075" s="4" t="s">
        <v>946</v>
      </c>
      <c r="C5075" s="4"/>
      <c r="D5075" s="4"/>
      <c r="E5075" s="4" t="s">
        <v>921</v>
      </c>
      <c r="F5075" s="4"/>
      <c r="G5075" s="4" t="s">
        <v>946</v>
      </c>
      <c r="H5075" s="4" t="s">
        <v>380</v>
      </c>
      <c r="I5075" s="4">
        <v>1</v>
      </c>
      <c r="J5075" s="105">
        <v>2255</v>
      </c>
      <c r="K5075" s="21">
        <v>0</v>
      </c>
      <c r="L5075" s="111">
        <v>2255</v>
      </c>
      <c r="M5075" s="4"/>
      <c r="N5075" s="4"/>
      <c r="O5075" s="5"/>
      <c r="P5075" s="5"/>
      <c r="Q5075" s="21">
        <v>2255</v>
      </c>
      <c r="R5075" s="21">
        <v>0</v>
      </c>
      <c r="S5075" s="5">
        <f t="shared" si="319"/>
        <v>20993.862073026427</v>
      </c>
      <c r="T5075" cm="1">
        <f t="array" ref="T5075">IF(OR(B5075="MAL ALIMI", B5075="ÜRETİM GİRİŞ"), MIN(I5075, MAX(0, I5075 + SUM(SUMIFS($I$1:I5074, $C$1:C5074, C5075, $B$1:B5074, {"MAL ALIMI","ÜRETİM GİRİŞ"})) - VLOOKUP(C5075, 'STOK RAPORU'!$C$2:$I$1000, 4, 0))), 0)</f>
        <v>0</v>
      </c>
      <c r="U5075" s="22">
        <f t="shared" si="316"/>
        <v>0</v>
      </c>
      <c r="V5075">
        <f t="shared" si="317"/>
        <v>0</v>
      </c>
      <c r="W5075" s="22">
        <f t="shared" si="318"/>
        <v>0</v>
      </c>
    </row>
    <row r="5076" spans="1:23" hidden="1" x14ac:dyDescent="0.25">
      <c r="A5076" s="3">
        <v>46088</v>
      </c>
      <c r="B5076" s="4" t="s">
        <v>298</v>
      </c>
      <c r="C5076" s="4" t="s">
        <v>463</v>
      </c>
      <c r="D5076" s="4"/>
      <c r="E5076" s="4" t="s">
        <v>855</v>
      </c>
      <c r="F5076" s="4">
        <v>4248</v>
      </c>
      <c r="G5076" s="4" t="s">
        <v>2611</v>
      </c>
      <c r="H5076" s="4" t="s">
        <v>304</v>
      </c>
      <c r="I5076" s="4">
        <v>50</v>
      </c>
      <c r="J5076" s="21">
        <v>190</v>
      </c>
      <c r="K5076" s="21">
        <v>0</v>
      </c>
      <c r="L5076" s="5">
        <v>9500</v>
      </c>
      <c r="M5076" s="4"/>
      <c r="N5076" s="4"/>
      <c r="O5076" s="5"/>
      <c r="P5076" s="5"/>
      <c r="Q5076" s="21">
        <v>0</v>
      </c>
      <c r="R5076" s="21">
        <v>0</v>
      </c>
      <c r="S5076" s="5">
        <f t="shared" si="319"/>
        <v>20993.862073026427</v>
      </c>
      <c r="T5076" cm="1">
        <f t="array" ref="T5076">IF(OR(B5076="MAL ALIMI", B5076="ÜRETİM GİRİŞ"), MIN(I5076, MAX(0, I5076 + SUM(SUMIFS($I$1:I5075, $C$1:C5075, C5076, $B$1:B5075, {"MAL ALIMI","ÜRETİM GİRİŞ"})) - VLOOKUP(C5076, 'STOK RAPORU'!$C$2:$I$1000, 4, 0))), 0)</f>
        <v>38.634735606226201</v>
      </c>
      <c r="U5076" s="22">
        <f t="shared" si="316"/>
        <v>7340.5997651829784</v>
      </c>
      <c r="V5076">
        <f t="shared" si="317"/>
        <v>9500</v>
      </c>
      <c r="W5076" s="22">
        <f t="shared" si="318"/>
        <v>2159.4002348170216</v>
      </c>
    </row>
    <row r="5077" spans="1:23" hidden="1" x14ac:dyDescent="0.25">
      <c r="A5077" s="3">
        <v>46088</v>
      </c>
      <c r="B5077" s="4" t="s">
        <v>298</v>
      </c>
      <c r="C5077" s="4" t="s">
        <v>131</v>
      </c>
      <c r="D5077" s="4"/>
      <c r="E5077" s="4" t="s">
        <v>855</v>
      </c>
      <c r="F5077" s="4">
        <v>4248</v>
      </c>
      <c r="G5077" s="4" t="s">
        <v>2611</v>
      </c>
      <c r="H5077" s="4" t="s">
        <v>304</v>
      </c>
      <c r="I5077" s="4">
        <v>25</v>
      </c>
      <c r="J5077" s="21">
        <v>130</v>
      </c>
      <c r="K5077" s="21">
        <v>0</v>
      </c>
      <c r="L5077" s="5">
        <v>3250</v>
      </c>
      <c r="M5077" s="4"/>
      <c r="N5077" s="4"/>
      <c r="O5077" s="5"/>
      <c r="P5077" s="5"/>
      <c r="Q5077" s="21">
        <v>0</v>
      </c>
      <c r="R5077" s="21">
        <v>0</v>
      </c>
      <c r="S5077" s="5">
        <f t="shared" si="319"/>
        <v>20993.862073026427</v>
      </c>
      <c r="T5077" cm="1">
        <f t="array" ref="T5077">IF(OR(B5077="MAL ALIMI", B5077="ÜRETİM GİRİŞ"), MIN(I5077, MAX(0, I5077 + SUM(SUMIFS($I$1:I5076, $C$1:C5076, C5077, $B$1:B5076, {"MAL ALIMI","ÜRETİM GİRİŞ"})) - VLOOKUP(C5077, 'STOK RAPORU'!$C$2:$I$1000, 4, 0))), 0)</f>
        <v>25</v>
      </c>
      <c r="U5077" s="22">
        <f t="shared" si="316"/>
        <v>3250</v>
      </c>
      <c r="V5077">
        <f t="shared" si="317"/>
        <v>3250</v>
      </c>
      <c r="W5077" s="22">
        <f t="shared" si="318"/>
        <v>0</v>
      </c>
    </row>
    <row r="5078" spans="1:23" hidden="1" x14ac:dyDescent="0.25">
      <c r="A5078" s="3">
        <v>46088</v>
      </c>
      <c r="B5078" s="4" t="s">
        <v>298</v>
      </c>
      <c r="C5078" s="4" t="s">
        <v>96</v>
      </c>
      <c r="D5078" s="4"/>
      <c r="E5078" s="4" t="s">
        <v>855</v>
      </c>
      <c r="F5078" s="4">
        <v>4248</v>
      </c>
      <c r="G5078" s="4" t="s">
        <v>2611</v>
      </c>
      <c r="H5078" s="4" t="s">
        <v>304</v>
      </c>
      <c r="I5078" s="4">
        <v>25</v>
      </c>
      <c r="J5078" s="21">
        <v>180</v>
      </c>
      <c r="K5078" s="21">
        <v>0</v>
      </c>
      <c r="L5078" s="5">
        <v>4500</v>
      </c>
      <c r="M5078" s="4"/>
      <c r="N5078" s="4"/>
      <c r="O5078" s="5"/>
      <c r="P5078" s="5"/>
      <c r="Q5078" s="21">
        <v>0</v>
      </c>
      <c r="R5078" s="21">
        <v>0</v>
      </c>
      <c r="S5078" s="5">
        <f t="shared" si="319"/>
        <v>20993.862073026427</v>
      </c>
      <c r="T5078" cm="1">
        <f t="array" ref="T5078">IF(OR(B5078="MAL ALIMI", B5078="ÜRETİM GİRİŞ"), MIN(I5078, MAX(0, I5078 + SUM(SUMIFS($I$1:I5077, $C$1:C5077, C5078, $B$1:B5077, {"MAL ALIMI","ÜRETİM GİRİŞ"})) - VLOOKUP(C5078, 'STOK RAPORU'!$C$2:$I$1000, 4, 0))), 0)</f>
        <v>18.491736842105254</v>
      </c>
      <c r="U5078" s="22">
        <f t="shared" si="316"/>
        <v>3328.5126315789457</v>
      </c>
      <c r="V5078">
        <f t="shared" si="317"/>
        <v>4500</v>
      </c>
      <c r="W5078" s="22">
        <f t="shared" si="318"/>
        <v>1171.4873684210543</v>
      </c>
    </row>
    <row r="5079" spans="1:23" hidden="1" x14ac:dyDescent="0.25">
      <c r="A5079" s="3">
        <v>46088</v>
      </c>
      <c r="B5079" s="4" t="s">
        <v>298</v>
      </c>
      <c r="C5079" s="4" t="s">
        <v>129</v>
      </c>
      <c r="D5079" s="4"/>
      <c r="E5079" s="4" t="s">
        <v>855</v>
      </c>
      <c r="F5079" s="4">
        <v>4248</v>
      </c>
      <c r="G5079" s="4" t="s">
        <v>2611</v>
      </c>
      <c r="H5079" s="4" t="s">
        <v>304</v>
      </c>
      <c r="I5079" s="4">
        <v>25</v>
      </c>
      <c r="J5079" s="21">
        <v>200</v>
      </c>
      <c r="K5079" s="21">
        <v>0</v>
      </c>
      <c r="L5079" s="5">
        <v>5000</v>
      </c>
      <c r="M5079" s="4"/>
      <c r="N5079" s="4"/>
      <c r="O5079" s="5"/>
      <c r="P5079" s="5"/>
      <c r="Q5079" s="21">
        <v>0</v>
      </c>
      <c r="R5079" s="21">
        <v>0</v>
      </c>
      <c r="S5079" s="5">
        <f t="shared" si="319"/>
        <v>20993.862073026427</v>
      </c>
      <c r="T5079" cm="1">
        <f t="array" ref="T5079">IF(OR(B5079="MAL ALIMI", B5079="ÜRETİM GİRİŞ"), MIN(I5079, MAX(0, I5079 + SUM(SUMIFS($I$1:I5078, $C$1:C5078, C5079, $B$1:B5078, {"MAL ALIMI","ÜRETİM GİRİŞ"})) - VLOOKUP(C5079, 'STOK RAPORU'!$C$2:$I$1000, 4, 0))), 0)</f>
        <v>25</v>
      </c>
      <c r="U5079" s="22">
        <f t="shared" si="316"/>
        <v>5000</v>
      </c>
      <c r="V5079">
        <f t="shared" si="317"/>
        <v>5000</v>
      </c>
      <c r="W5079" s="22">
        <f t="shared" si="318"/>
        <v>0</v>
      </c>
    </row>
    <row r="5080" spans="1:23" hidden="1" x14ac:dyDescent="0.25">
      <c r="A5080" s="3">
        <v>46088</v>
      </c>
      <c r="B5080" s="4" t="s">
        <v>298</v>
      </c>
      <c r="C5080" s="4" t="s">
        <v>523</v>
      </c>
      <c r="D5080" s="4"/>
      <c r="E5080" s="4" t="s">
        <v>855</v>
      </c>
      <c r="F5080" s="4">
        <v>4248</v>
      </c>
      <c r="G5080" s="4" t="s">
        <v>2611</v>
      </c>
      <c r="H5080" s="4" t="s">
        <v>304</v>
      </c>
      <c r="I5080" s="4">
        <v>10</v>
      </c>
      <c r="J5080" s="21">
        <v>250</v>
      </c>
      <c r="K5080" s="21">
        <v>0</v>
      </c>
      <c r="L5080" s="5">
        <v>2500</v>
      </c>
      <c r="M5080" s="4"/>
      <c r="N5080" s="4"/>
      <c r="O5080" s="5"/>
      <c r="P5080" s="5"/>
      <c r="Q5080" s="21">
        <v>0</v>
      </c>
      <c r="R5080" s="21">
        <v>0</v>
      </c>
      <c r="S5080" s="5">
        <f t="shared" si="319"/>
        <v>20993.862073026427</v>
      </c>
      <c r="T5080" cm="1">
        <f t="array" ref="T5080">IF(OR(B5080="MAL ALIMI", B5080="ÜRETİM GİRİŞ"), MIN(I5080, MAX(0, I5080 + SUM(SUMIFS($I$1:I5079, $C$1:C5079, C5080, $B$1:B5079, {"MAL ALIMI","ÜRETİM GİRİŞ"})) - VLOOKUP(C5080, 'STOK RAPORU'!$C$2:$I$1000, 4, 0))), 0)</f>
        <v>10</v>
      </c>
      <c r="U5080" s="22">
        <f t="shared" si="316"/>
        <v>2500</v>
      </c>
      <c r="V5080">
        <f t="shared" si="317"/>
        <v>2500</v>
      </c>
      <c r="W5080" s="22">
        <f t="shared" si="318"/>
        <v>0</v>
      </c>
    </row>
    <row r="5081" spans="1:23" hidden="1" x14ac:dyDescent="0.25">
      <c r="A5081" s="3">
        <v>46088</v>
      </c>
      <c r="B5081" s="4" t="s">
        <v>298</v>
      </c>
      <c r="C5081" s="4" t="s">
        <v>60</v>
      </c>
      <c r="D5081" s="4"/>
      <c r="E5081" s="4" t="s">
        <v>855</v>
      </c>
      <c r="F5081" s="4">
        <v>4248</v>
      </c>
      <c r="G5081" s="4" t="s">
        <v>2611</v>
      </c>
      <c r="H5081" s="4" t="s">
        <v>304</v>
      </c>
      <c r="I5081" s="4">
        <v>5</v>
      </c>
      <c r="J5081" s="21">
        <v>470</v>
      </c>
      <c r="K5081" s="21">
        <v>0</v>
      </c>
      <c r="L5081" s="5">
        <v>2350</v>
      </c>
      <c r="M5081" s="4"/>
      <c r="N5081" s="4"/>
      <c r="O5081" s="5"/>
      <c r="P5081" s="5"/>
      <c r="Q5081" s="21">
        <v>0</v>
      </c>
      <c r="R5081" s="21">
        <v>0</v>
      </c>
      <c r="S5081" s="5">
        <f t="shared" si="319"/>
        <v>20993.862073026427</v>
      </c>
      <c r="T5081" cm="1">
        <f t="array" ref="T5081">IF(OR(B5081="MAL ALIMI", B5081="ÜRETİM GİRİŞ"), MIN(I5081, MAX(0, I5081 + SUM(SUMIFS($I$1:I5080, $C$1:C5080, C5081, $B$1:B5080, {"MAL ALIMI","ÜRETİM GİRİŞ"})) - VLOOKUP(C5081, 'STOK RAPORU'!$C$2:$I$1000, 4, 0))), 0)</f>
        <v>3.750000000000016</v>
      </c>
      <c r="U5081" s="22">
        <f t="shared" si="316"/>
        <v>1762.5000000000075</v>
      </c>
      <c r="V5081">
        <f t="shared" si="317"/>
        <v>2350</v>
      </c>
      <c r="W5081" s="22">
        <f t="shared" si="318"/>
        <v>587.4999999999925</v>
      </c>
    </row>
    <row r="5082" spans="1:23" hidden="1" x14ac:dyDescent="0.25">
      <c r="A5082" s="3">
        <v>46088</v>
      </c>
      <c r="B5082" s="4" t="s">
        <v>298</v>
      </c>
      <c r="C5082" s="4" t="s">
        <v>2488</v>
      </c>
      <c r="D5082" s="4"/>
      <c r="E5082" s="4" t="s">
        <v>855</v>
      </c>
      <c r="F5082" s="4">
        <v>4248</v>
      </c>
      <c r="G5082" s="4" t="s">
        <v>2611</v>
      </c>
      <c r="H5082" s="4" t="s">
        <v>304</v>
      </c>
      <c r="I5082" s="4">
        <v>10</v>
      </c>
      <c r="J5082" s="21">
        <v>275</v>
      </c>
      <c r="K5082" s="21">
        <v>0</v>
      </c>
      <c r="L5082" s="5">
        <v>2750</v>
      </c>
      <c r="M5082" s="4"/>
      <c r="N5082" s="4"/>
      <c r="O5082" s="5"/>
      <c r="P5082" s="5"/>
      <c r="Q5082" s="21">
        <v>0</v>
      </c>
      <c r="R5082" s="21">
        <v>0</v>
      </c>
      <c r="S5082" s="5">
        <f t="shared" si="319"/>
        <v>20993.862073026427</v>
      </c>
      <c r="T5082" cm="1">
        <f t="array" ref="T5082">IF(OR(B5082="MAL ALIMI", B5082="ÜRETİM GİRİŞ"), MIN(I5082, MAX(0, I5082 + SUM(SUMIFS($I$1:I5081, $C$1:C5081, C5082, $B$1:B5081, {"MAL ALIMI","ÜRETİM GİRİŞ"})) - VLOOKUP(C5082, 'STOK RAPORU'!$C$2:$I$1000, 4, 0))), 0)</f>
        <v>6.2148636363636358</v>
      </c>
      <c r="U5082" s="22">
        <f t="shared" si="316"/>
        <v>1709.0874999999999</v>
      </c>
      <c r="V5082">
        <f t="shared" si="317"/>
        <v>2750</v>
      </c>
      <c r="W5082" s="22">
        <f t="shared" si="318"/>
        <v>1040.9125000000001</v>
      </c>
    </row>
    <row r="5083" spans="1:23" hidden="1" x14ac:dyDescent="0.25">
      <c r="A5083" s="3">
        <v>46088</v>
      </c>
      <c r="B5083" s="4" t="s">
        <v>298</v>
      </c>
      <c r="C5083" s="4" t="s">
        <v>130</v>
      </c>
      <c r="D5083" s="4"/>
      <c r="E5083" s="4" t="s">
        <v>855</v>
      </c>
      <c r="F5083" s="4">
        <v>4248</v>
      </c>
      <c r="G5083" s="4" t="s">
        <v>2611</v>
      </c>
      <c r="H5083" s="4" t="s">
        <v>304</v>
      </c>
      <c r="I5083" s="4">
        <v>5</v>
      </c>
      <c r="J5083" s="21">
        <v>190</v>
      </c>
      <c r="K5083" s="21">
        <v>0</v>
      </c>
      <c r="L5083" s="5">
        <v>950</v>
      </c>
      <c r="M5083" s="4"/>
      <c r="N5083" s="4"/>
      <c r="O5083" s="5"/>
      <c r="P5083" s="5"/>
      <c r="Q5083" s="21">
        <v>0</v>
      </c>
      <c r="R5083" s="21">
        <v>0</v>
      </c>
      <c r="S5083" s="5">
        <f t="shared" si="319"/>
        <v>20993.862073026427</v>
      </c>
      <c r="T5083" cm="1">
        <f t="array" ref="T5083">IF(OR(B5083="MAL ALIMI", B5083="ÜRETİM GİRİŞ"), MIN(I5083, MAX(0, I5083 + SUM(SUMIFS($I$1:I5082, $C$1:C5082, C5083, $B$1:B5082, {"MAL ALIMI","ÜRETİM GİRİŞ"})) - VLOOKUP(C5083, 'STOK RAPORU'!$C$2:$I$1000, 4, 0))), 0)</f>
        <v>5</v>
      </c>
      <c r="U5083" s="22">
        <f t="shared" si="316"/>
        <v>950</v>
      </c>
      <c r="V5083">
        <f t="shared" si="317"/>
        <v>950</v>
      </c>
      <c r="W5083" s="22">
        <f t="shared" si="318"/>
        <v>0</v>
      </c>
    </row>
    <row r="5084" spans="1:23" hidden="1" x14ac:dyDescent="0.25">
      <c r="A5084" s="3">
        <v>46088</v>
      </c>
      <c r="B5084" s="4" t="s">
        <v>298</v>
      </c>
      <c r="C5084" s="4" t="s">
        <v>160</v>
      </c>
      <c r="D5084" s="4"/>
      <c r="E5084" s="4" t="s">
        <v>855</v>
      </c>
      <c r="F5084" s="4">
        <v>4248</v>
      </c>
      <c r="G5084" s="4" t="s">
        <v>2611</v>
      </c>
      <c r="H5084" s="4" t="s">
        <v>304</v>
      </c>
      <c r="I5084" s="4">
        <v>140</v>
      </c>
      <c r="J5084" s="21">
        <v>155</v>
      </c>
      <c r="K5084" s="21">
        <v>0</v>
      </c>
      <c r="L5084" s="5">
        <v>21700</v>
      </c>
      <c r="M5084" s="4"/>
      <c r="N5084" s="4"/>
      <c r="O5084" s="5"/>
      <c r="P5084" s="5"/>
      <c r="Q5084" s="21">
        <v>0</v>
      </c>
      <c r="R5084" s="21">
        <v>0</v>
      </c>
      <c r="S5084" s="5">
        <f t="shared" si="319"/>
        <v>20993.862073026427</v>
      </c>
      <c r="T5084" cm="1">
        <f t="array" ref="T5084">IF(OR(B5084="MAL ALIMI", B5084="ÜRETİM GİRİŞ"), MIN(I5084, MAX(0, I5084 + SUM(SUMIFS($I$1:I5083, $C$1:C5083, C5084, $B$1:B5083, {"MAL ALIMI","ÜRETİM GİRİŞ"})) - VLOOKUP(C5084, 'STOK RAPORU'!$C$2:$I$1000, 4, 0))), 0)</f>
        <v>0</v>
      </c>
      <c r="U5084" s="22">
        <f t="shared" si="316"/>
        <v>0</v>
      </c>
      <c r="V5084">
        <f t="shared" si="317"/>
        <v>21700</v>
      </c>
      <c r="W5084" s="22">
        <f t="shared" si="318"/>
        <v>21700</v>
      </c>
    </row>
    <row r="5085" spans="1:23" hidden="1" x14ac:dyDescent="0.25">
      <c r="A5085" s="3">
        <v>46088</v>
      </c>
      <c r="B5085" s="4" t="s">
        <v>298</v>
      </c>
      <c r="C5085" s="4" t="s">
        <v>161</v>
      </c>
      <c r="D5085" s="4"/>
      <c r="E5085" s="4" t="s">
        <v>855</v>
      </c>
      <c r="F5085" s="4">
        <v>4248</v>
      </c>
      <c r="G5085" s="4" t="s">
        <v>2611</v>
      </c>
      <c r="H5085" s="4" t="s">
        <v>304</v>
      </c>
      <c r="I5085" s="4">
        <v>60</v>
      </c>
      <c r="J5085" s="21">
        <v>140</v>
      </c>
      <c r="K5085" s="21">
        <v>0</v>
      </c>
      <c r="L5085" s="5">
        <v>8400</v>
      </c>
      <c r="M5085" s="4"/>
      <c r="N5085" s="4"/>
      <c r="O5085" s="5"/>
      <c r="P5085" s="5"/>
      <c r="Q5085" s="21">
        <v>0</v>
      </c>
      <c r="R5085" s="21">
        <v>0</v>
      </c>
      <c r="S5085" s="5">
        <f t="shared" si="319"/>
        <v>20993.862073026427</v>
      </c>
      <c r="T5085" cm="1">
        <f t="array" ref="T5085">IF(OR(B5085="MAL ALIMI", B5085="ÜRETİM GİRİŞ"), MIN(I5085, MAX(0, I5085 + SUM(SUMIFS($I$1:I5084, $C$1:C5084, C5085, $B$1:B5084, {"MAL ALIMI","ÜRETİM GİRİŞ"})) - VLOOKUP(C5085, 'STOK RAPORU'!$C$2:$I$1000, 4, 0))), 0)</f>
        <v>50.769000000000005</v>
      </c>
      <c r="U5085" s="22">
        <f t="shared" si="316"/>
        <v>7107.6600000000008</v>
      </c>
      <c r="V5085">
        <f t="shared" si="317"/>
        <v>8400</v>
      </c>
      <c r="W5085" s="22">
        <f t="shared" si="318"/>
        <v>1292.3399999999992</v>
      </c>
    </row>
    <row r="5086" spans="1:23" hidden="1" x14ac:dyDescent="0.25">
      <c r="A5086" s="3">
        <v>46088</v>
      </c>
      <c r="B5086" s="4" t="s">
        <v>298</v>
      </c>
      <c r="C5086" s="4" t="s">
        <v>192</v>
      </c>
      <c r="D5086" s="4"/>
      <c r="E5086" s="4" t="s">
        <v>855</v>
      </c>
      <c r="F5086" s="4">
        <v>4248</v>
      </c>
      <c r="G5086" s="4" t="s">
        <v>2611</v>
      </c>
      <c r="H5086" s="4" t="s">
        <v>304</v>
      </c>
      <c r="I5086" s="4">
        <v>2</v>
      </c>
      <c r="J5086" s="21">
        <v>100</v>
      </c>
      <c r="K5086" s="21">
        <v>0</v>
      </c>
      <c r="L5086" s="5">
        <v>200</v>
      </c>
      <c r="M5086" s="4"/>
      <c r="N5086" s="4"/>
      <c r="O5086" s="5"/>
      <c r="P5086" s="5"/>
      <c r="Q5086" s="21">
        <v>0</v>
      </c>
      <c r="R5086" s="21">
        <v>0</v>
      </c>
      <c r="S5086" s="5">
        <f t="shared" si="319"/>
        <v>20993.862073026427</v>
      </c>
      <c r="T5086" cm="1">
        <f t="array" ref="T5086">IF(OR(B5086="MAL ALIMI", B5086="ÜRETİM GİRİŞ"), MIN(I5086, MAX(0, I5086 + SUM(SUMIFS($I$1:I5085, $C$1:C5085, C5086, $B$1:B5085, {"MAL ALIMI","ÜRETİM GİRİŞ"})) - VLOOKUP(C5086, 'STOK RAPORU'!$C$2:$I$1000, 4, 0))), 0)</f>
        <v>0.29687961630695092</v>
      </c>
      <c r="U5086" s="22">
        <f t="shared" si="316"/>
        <v>29.687961630695092</v>
      </c>
      <c r="V5086">
        <f t="shared" si="317"/>
        <v>200</v>
      </c>
      <c r="W5086" s="22">
        <f t="shared" si="318"/>
        <v>170.3120383693049</v>
      </c>
    </row>
    <row r="5087" spans="1:23" hidden="1" x14ac:dyDescent="0.25">
      <c r="A5087" s="3">
        <v>46088</v>
      </c>
      <c r="B5087" s="4" t="s">
        <v>298</v>
      </c>
      <c r="C5087" s="4" t="s">
        <v>2601</v>
      </c>
      <c r="D5087" s="4"/>
      <c r="E5087" s="4" t="s">
        <v>855</v>
      </c>
      <c r="F5087" s="4">
        <v>4248</v>
      </c>
      <c r="G5087" s="4" t="s">
        <v>2611</v>
      </c>
      <c r="H5087" s="4" t="s">
        <v>304</v>
      </c>
      <c r="I5087" s="4">
        <v>1</v>
      </c>
      <c r="J5087" s="21">
        <v>85</v>
      </c>
      <c r="K5087" s="21">
        <v>0</v>
      </c>
      <c r="L5087" s="5">
        <v>85</v>
      </c>
      <c r="M5087" s="4"/>
      <c r="N5087" s="4"/>
      <c r="O5087" s="5"/>
      <c r="P5087" s="5"/>
      <c r="Q5087" s="21">
        <v>0</v>
      </c>
      <c r="R5087" s="21">
        <v>0</v>
      </c>
      <c r="S5087" s="5">
        <f t="shared" si="319"/>
        <v>20993.862073026427</v>
      </c>
      <c r="T5087" cm="1">
        <f t="array" ref="T5087">IF(OR(B5087="MAL ALIMI", B5087="ÜRETİM GİRİŞ"), MIN(I5087, MAX(0, I5087 + SUM(SUMIFS($I$1:I5086, $C$1:C5086, C5087, $B$1:B5086, {"MAL ALIMI","ÜRETİM GİRİŞ"})) - VLOOKUP(C5087, 'STOK RAPORU'!$C$2:$I$1000, 4, 0))), 0)</f>
        <v>0.8</v>
      </c>
      <c r="U5087" s="22">
        <f t="shared" si="316"/>
        <v>68</v>
      </c>
      <c r="V5087">
        <f t="shared" si="317"/>
        <v>85</v>
      </c>
      <c r="W5087" s="22">
        <f t="shared" si="318"/>
        <v>17</v>
      </c>
    </row>
    <row r="5088" spans="1:23" hidden="1" x14ac:dyDescent="0.25">
      <c r="A5088" s="3">
        <v>46088</v>
      </c>
      <c r="B5088" s="4" t="s">
        <v>298</v>
      </c>
      <c r="C5088" s="4" t="s">
        <v>2602</v>
      </c>
      <c r="D5088" s="4"/>
      <c r="E5088" s="4" t="s">
        <v>855</v>
      </c>
      <c r="F5088" s="4">
        <v>4248</v>
      </c>
      <c r="G5088" s="4" t="s">
        <v>2611</v>
      </c>
      <c r="H5088" s="4" t="s">
        <v>304</v>
      </c>
      <c r="I5088" s="4">
        <v>1</v>
      </c>
      <c r="J5088" s="21">
        <v>175</v>
      </c>
      <c r="K5088" s="21">
        <v>0</v>
      </c>
      <c r="L5088" s="5">
        <v>175</v>
      </c>
      <c r="M5088" s="4"/>
      <c r="N5088" s="4"/>
      <c r="O5088" s="5"/>
      <c r="P5088" s="5"/>
      <c r="Q5088" s="21">
        <v>0</v>
      </c>
      <c r="R5088" s="21">
        <v>0</v>
      </c>
      <c r="S5088" s="5">
        <f t="shared" si="319"/>
        <v>20993.862073026427</v>
      </c>
      <c r="T5088" cm="1">
        <f t="array" ref="T5088">IF(OR(B5088="MAL ALIMI", B5088="ÜRETİM GİRİŞ"), MIN(I5088, MAX(0, I5088 + SUM(SUMIFS($I$1:I5087, $C$1:C5087, C5088, $B$1:B5087, {"MAL ALIMI","ÜRETİM GİRİŞ"})) - VLOOKUP(C5088, 'STOK RAPORU'!$C$2:$I$1000, 4, 0))), 0)</f>
        <v>1</v>
      </c>
      <c r="U5088" s="22">
        <f t="shared" si="316"/>
        <v>175</v>
      </c>
      <c r="V5088">
        <f t="shared" si="317"/>
        <v>175</v>
      </c>
      <c r="W5088" s="22">
        <f t="shared" si="318"/>
        <v>0</v>
      </c>
    </row>
    <row r="5089" spans="1:23" hidden="1" x14ac:dyDescent="0.25">
      <c r="A5089" s="3">
        <v>46088</v>
      </c>
      <c r="B5089" s="4" t="s">
        <v>298</v>
      </c>
      <c r="C5089" s="4" t="s">
        <v>2603</v>
      </c>
      <c r="D5089" s="4"/>
      <c r="E5089" s="4" t="s">
        <v>855</v>
      </c>
      <c r="F5089" s="4">
        <v>4248</v>
      </c>
      <c r="G5089" s="4" t="s">
        <v>2611</v>
      </c>
      <c r="H5089" s="4" t="s">
        <v>304</v>
      </c>
      <c r="I5089" s="4">
        <v>1</v>
      </c>
      <c r="J5089" s="21">
        <v>400</v>
      </c>
      <c r="K5089" s="21">
        <v>0</v>
      </c>
      <c r="L5089" s="5">
        <v>400</v>
      </c>
      <c r="M5089" s="4"/>
      <c r="N5089" s="4"/>
      <c r="O5089" s="5"/>
      <c r="P5089" s="5"/>
      <c r="Q5089" s="21">
        <v>0</v>
      </c>
      <c r="R5089" s="21">
        <v>0</v>
      </c>
      <c r="S5089" s="5">
        <f t="shared" si="319"/>
        <v>20993.862073026427</v>
      </c>
      <c r="T5089" cm="1">
        <f t="array" ref="T5089">IF(OR(B5089="MAL ALIMI", B5089="ÜRETİM GİRİŞ"), MIN(I5089, MAX(0, I5089 + SUM(SUMIFS($I$1:I5088, $C$1:C5088, C5089, $B$1:B5088, {"MAL ALIMI","ÜRETİM GİRİŞ"})) - VLOOKUP(C5089, 'STOK RAPORU'!$C$2:$I$1000, 4, 0))), 0)</f>
        <v>0.9</v>
      </c>
      <c r="U5089" s="22">
        <f t="shared" si="316"/>
        <v>360</v>
      </c>
      <c r="V5089">
        <f t="shared" si="317"/>
        <v>400</v>
      </c>
      <c r="W5089" s="22">
        <f t="shared" si="318"/>
        <v>40</v>
      </c>
    </row>
    <row r="5090" spans="1:23" hidden="1" x14ac:dyDescent="0.25">
      <c r="A5090" s="3">
        <v>46088</v>
      </c>
      <c r="B5090" s="4" t="s">
        <v>298</v>
      </c>
      <c r="C5090" s="4" t="s">
        <v>2604</v>
      </c>
      <c r="D5090" s="4"/>
      <c r="E5090" s="4" t="s">
        <v>855</v>
      </c>
      <c r="F5090" s="4">
        <v>4248</v>
      </c>
      <c r="G5090" s="4" t="s">
        <v>2611</v>
      </c>
      <c r="H5090" s="4" t="s">
        <v>304</v>
      </c>
      <c r="I5090" s="4">
        <v>1</v>
      </c>
      <c r="J5090" s="21">
        <v>80</v>
      </c>
      <c r="K5090" s="21">
        <v>0</v>
      </c>
      <c r="L5090" s="5">
        <v>80</v>
      </c>
      <c r="M5090" s="4"/>
      <c r="N5090" s="4"/>
      <c r="O5090" s="5"/>
      <c r="P5090" s="5"/>
      <c r="Q5090" s="21">
        <v>0</v>
      </c>
      <c r="R5090" s="21">
        <v>0</v>
      </c>
      <c r="S5090" s="5">
        <f t="shared" si="319"/>
        <v>20993.862073026427</v>
      </c>
      <c r="T5090" cm="1">
        <f t="array" ref="T5090">IF(OR(B5090="MAL ALIMI", B5090="ÜRETİM GİRİŞ"), MIN(I5090, MAX(0, I5090 + SUM(SUMIFS($I$1:I5089, $C$1:C5089, C5090, $B$1:B5089, {"MAL ALIMI","ÜRETİM GİRİŞ"})) - VLOOKUP(C5090, 'STOK RAPORU'!$C$2:$I$1000, 4, 0))), 0)</f>
        <v>0.7</v>
      </c>
      <c r="U5090" s="22">
        <f t="shared" si="316"/>
        <v>56</v>
      </c>
      <c r="V5090">
        <f t="shared" si="317"/>
        <v>80</v>
      </c>
      <c r="W5090" s="22">
        <f t="shared" si="318"/>
        <v>24</v>
      </c>
    </row>
    <row r="5091" spans="1:23" hidden="1" x14ac:dyDescent="0.25">
      <c r="A5091" s="3">
        <v>46088</v>
      </c>
      <c r="B5091" s="4" t="s">
        <v>298</v>
      </c>
      <c r="C5091" s="4" t="s">
        <v>2605</v>
      </c>
      <c r="D5091" s="4"/>
      <c r="E5091" s="4" t="s">
        <v>855</v>
      </c>
      <c r="F5091" s="4">
        <v>4248</v>
      </c>
      <c r="G5091" s="4" t="s">
        <v>2611</v>
      </c>
      <c r="H5091" s="4" t="s">
        <v>304</v>
      </c>
      <c r="I5091" s="4">
        <v>10</v>
      </c>
      <c r="J5091" s="21">
        <v>140</v>
      </c>
      <c r="K5091" s="21">
        <v>0</v>
      </c>
      <c r="L5091" s="5">
        <v>1400</v>
      </c>
      <c r="M5091" s="4"/>
      <c r="N5091" s="4"/>
      <c r="O5091" s="5"/>
      <c r="P5091" s="5"/>
      <c r="Q5091" s="21">
        <v>0</v>
      </c>
      <c r="R5091" s="21">
        <v>0</v>
      </c>
      <c r="S5091" s="5">
        <f t="shared" si="319"/>
        <v>20993.862073026427</v>
      </c>
      <c r="T5091" cm="1">
        <f t="array" ref="T5091">IF(OR(B5091="MAL ALIMI", B5091="ÜRETİM GİRİŞ"), MIN(I5091, MAX(0, I5091 + SUM(SUMIFS($I$1:I5090, $C$1:C5090, C5091, $B$1:B5090, {"MAL ALIMI","ÜRETİM GİRİŞ"})) - VLOOKUP(C5091, 'STOK RAPORU'!$C$2:$I$1000, 4, 0))), 0)</f>
        <v>9.7140000000000004</v>
      </c>
      <c r="U5091" s="22">
        <f t="shared" si="316"/>
        <v>1359.96</v>
      </c>
      <c r="V5091">
        <f t="shared" si="317"/>
        <v>1400</v>
      </c>
      <c r="W5091" s="22">
        <f t="shared" si="318"/>
        <v>40.039999999999964</v>
      </c>
    </row>
    <row r="5092" spans="1:23" hidden="1" x14ac:dyDescent="0.25">
      <c r="A5092" s="3">
        <v>46088</v>
      </c>
      <c r="B5092" s="4" t="s">
        <v>298</v>
      </c>
      <c r="C5092" s="4" t="s">
        <v>2606</v>
      </c>
      <c r="D5092" s="4"/>
      <c r="E5092" s="4" t="s">
        <v>855</v>
      </c>
      <c r="F5092" s="4">
        <v>4248</v>
      </c>
      <c r="G5092" s="4" t="s">
        <v>2611</v>
      </c>
      <c r="H5092" s="4" t="s">
        <v>304</v>
      </c>
      <c r="I5092" s="4">
        <v>1</v>
      </c>
      <c r="J5092" s="21">
        <v>140</v>
      </c>
      <c r="K5092" s="21">
        <v>0</v>
      </c>
      <c r="L5092" s="5">
        <v>140</v>
      </c>
      <c r="M5092" s="4"/>
      <c r="N5092" s="4"/>
      <c r="O5092" s="5"/>
      <c r="P5092" s="5"/>
      <c r="Q5092" s="21">
        <v>0</v>
      </c>
      <c r="R5092" s="21">
        <v>0</v>
      </c>
      <c r="S5092" s="5">
        <f t="shared" si="319"/>
        <v>20993.862073026427</v>
      </c>
      <c r="T5092" cm="1">
        <f t="array" ref="T5092">IF(OR(B5092="MAL ALIMI", B5092="ÜRETİM GİRİŞ"), MIN(I5092, MAX(0, I5092 + SUM(SUMIFS($I$1:I5091, $C$1:C5091, C5092, $B$1:B5091, {"MAL ALIMI","ÜRETİM GİRİŞ"})) - VLOOKUP(C5092, 'STOK RAPORU'!$C$2:$I$1000, 4, 0))), 0)</f>
        <v>0.30000000000000004</v>
      </c>
      <c r="U5092" s="22">
        <f t="shared" si="316"/>
        <v>42.000000000000007</v>
      </c>
      <c r="V5092">
        <f t="shared" si="317"/>
        <v>140</v>
      </c>
      <c r="W5092" s="22">
        <f t="shared" si="318"/>
        <v>98</v>
      </c>
    </row>
    <row r="5093" spans="1:23" hidden="1" x14ac:dyDescent="0.25">
      <c r="A5093" s="3">
        <v>46088</v>
      </c>
      <c r="B5093" s="4" t="s">
        <v>298</v>
      </c>
      <c r="C5093" s="4" t="s">
        <v>2607</v>
      </c>
      <c r="D5093" s="4"/>
      <c r="E5093" s="4" t="s">
        <v>855</v>
      </c>
      <c r="F5093" s="4">
        <v>4248</v>
      </c>
      <c r="G5093" s="4" t="s">
        <v>2611</v>
      </c>
      <c r="H5093" s="4" t="s">
        <v>304</v>
      </c>
      <c r="I5093" s="4">
        <v>1</v>
      </c>
      <c r="J5093" s="21">
        <v>180</v>
      </c>
      <c r="K5093" s="21">
        <v>0</v>
      </c>
      <c r="L5093" s="5">
        <v>180</v>
      </c>
      <c r="M5093" s="4"/>
      <c r="N5093" s="4"/>
      <c r="O5093" s="5"/>
      <c r="P5093" s="5"/>
      <c r="Q5093" s="21">
        <v>0</v>
      </c>
      <c r="R5093" s="21">
        <v>0</v>
      </c>
      <c r="S5093" s="5">
        <f t="shared" si="319"/>
        <v>20993.862073026427</v>
      </c>
      <c r="T5093" cm="1">
        <f t="array" ref="T5093">IF(OR(B5093="MAL ALIMI", B5093="ÜRETİM GİRİŞ"), MIN(I5093, MAX(0, I5093 + SUM(SUMIFS($I$1:I5092, $C$1:C5092, C5093, $B$1:B5092, {"MAL ALIMI","ÜRETİM GİRİŞ"})) - VLOOKUP(C5093, 'STOK RAPORU'!$C$2:$I$1000, 4, 0))), 0)</f>
        <v>0.9</v>
      </c>
      <c r="U5093" s="22">
        <f t="shared" si="316"/>
        <v>162</v>
      </c>
      <c r="V5093">
        <f t="shared" si="317"/>
        <v>180</v>
      </c>
      <c r="W5093" s="22">
        <f t="shared" si="318"/>
        <v>18</v>
      </c>
    </row>
    <row r="5094" spans="1:23" hidden="1" x14ac:dyDescent="0.25">
      <c r="A5094" s="3">
        <v>46088</v>
      </c>
      <c r="B5094" s="4" t="s">
        <v>298</v>
      </c>
      <c r="C5094" s="4" t="s">
        <v>2608</v>
      </c>
      <c r="D5094" s="4"/>
      <c r="E5094" s="4" t="s">
        <v>855</v>
      </c>
      <c r="F5094" s="4">
        <v>4248</v>
      </c>
      <c r="G5094" s="4" t="s">
        <v>2611</v>
      </c>
      <c r="H5094" s="4" t="s">
        <v>304</v>
      </c>
      <c r="I5094" s="4">
        <v>1</v>
      </c>
      <c r="J5094" s="21">
        <v>170</v>
      </c>
      <c r="K5094" s="21">
        <v>0</v>
      </c>
      <c r="L5094" s="5">
        <v>170</v>
      </c>
      <c r="M5094" s="4"/>
      <c r="N5094" s="4"/>
      <c r="O5094" s="5"/>
      <c r="P5094" s="5"/>
      <c r="Q5094" s="21">
        <v>0</v>
      </c>
      <c r="R5094" s="21">
        <v>0</v>
      </c>
      <c r="S5094" s="5">
        <f t="shared" si="319"/>
        <v>20993.862073026427</v>
      </c>
      <c r="T5094" cm="1">
        <f t="array" ref="T5094">IF(OR(B5094="MAL ALIMI", B5094="ÜRETİM GİRİŞ"), MIN(I5094, MAX(0, I5094 + SUM(SUMIFS($I$1:I5093, $C$1:C5093, C5094, $B$1:B5093, {"MAL ALIMI","ÜRETİM GİRİŞ"})) - VLOOKUP(C5094, 'STOK RAPORU'!$C$2:$I$1000, 4, 0))), 0)</f>
        <v>0.19999999999999996</v>
      </c>
      <c r="U5094" s="22">
        <f t="shared" si="316"/>
        <v>33.999999999999993</v>
      </c>
      <c r="V5094">
        <f t="shared" si="317"/>
        <v>170</v>
      </c>
      <c r="W5094" s="22">
        <f t="shared" si="318"/>
        <v>136</v>
      </c>
    </row>
    <row r="5095" spans="1:23" hidden="1" x14ac:dyDescent="0.25">
      <c r="A5095" s="3">
        <v>46088</v>
      </c>
      <c r="B5095" s="4" t="s">
        <v>298</v>
      </c>
      <c r="C5095" s="4" t="s">
        <v>695</v>
      </c>
      <c r="D5095" s="4"/>
      <c r="E5095" s="4" t="s">
        <v>855</v>
      </c>
      <c r="F5095" s="4">
        <v>4248</v>
      </c>
      <c r="G5095" s="4" t="s">
        <v>2611</v>
      </c>
      <c r="H5095" s="4" t="s">
        <v>304</v>
      </c>
      <c r="I5095" s="4">
        <v>25</v>
      </c>
      <c r="J5095" s="21">
        <v>43</v>
      </c>
      <c r="K5095" s="21">
        <v>0</v>
      </c>
      <c r="L5095" s="5">
        <v>1075</v>
      </c>
      <c r="M5095" s="4"/>
      <c r="N5095" s="4"/>
      <c r="O5095" s="5"/>
      <c r="P5095" s="5"/>
      <c r="Q5095" s="21">
        <v>0</v>
      </c>
      <c r="R5095" s="21">
        <v>0</v>
      </c>
      <c r="S5095" s="5">
        <f t="shared" si="319"/>
        <v>20993.862073026427</v>
      </c>
      <c r="T5095" cm="1">
        <f t="array" ref="T5095">IF(OR(B5095="MAL ALIMI", B5095="ÜRETİM GİRİŞ"), MIN(I5095, MAX(0, I5095 + SUM(SUMIFS($I$1:I5094, $C$1:C5094, C5095, $B$1:B5094, {"MAL ALIMI","ÜRETİM GİRİŞ"})) - VLOOKUP(C5095, 'STOK RAPORU'!$C$2:$I$1000, 4, 0))), 0)</f>
        <v>24.08</v>
      </c>
      <c r="U5095" s="22">
        <f t="shared" si="316"/>
        <v>1035.4399999999998</v>
      </c>
      <c r="V5095">
        <f t="shared" si="317"/>
        <v>1075</v>
      </c>
      <c r="W5095" s="22">
        <f t="shared" si="318"/>
        <v>39.560000000000173</v>
      </c>
    </row>
    <row r="5096" spans="1:23" hidden="1" x14ac:dyDescent="0.25">
      <c r="A5096" s="3">
        <v>46088</v>
      </c>
      <c r="B5096" s="4" t="s">
        <v>334</v>
      </c>
      <c r="C5096" s="4" t="s">
        <v>2124</v>
      </c>
      <c r="D5096" s="4"/>
      <c r="E5096" s="4" t="s">
        <v>2343</v>
      </c>
      <c r="F5096" s="46" t="s">
        <v>2428</v>
      </c>
      <c r="G5096" s="4" t="s">
        <v>336</v>
      </c>
      <c r="H5096" s="4" t="s">
        <v>304</v>
      </c>
      <c r="I5096" s="4">
        <v>0.54400000000000004</v>
      </c>
      <c r="J5096" s="21">
        <v>500</v>
      </c>
      <c r="K5096" s="5">
        <v>272</v>
      </c>
      <c r="L5096" s="5">
        <v>0</v>
      </c>
      <c r="M5096" s="4"/>
      <c r="N5096" s="4"/>
      <c r="O5096" s="5"/>
      <c r="P5096" s="5"/>
      <c r="Q5096" s="21">
        <v>0</v>
      </c>
      <c r="R5096" s="21">
        <v>0</v>
      </c>
      <c r="S5096" s="5">
        <f t="shared" si="319"/>
        <v>20993.862073026427</v>
      </c>
      <c r="T5096" cm="1">
        <f t="array" ref="T5096">IF(OR(B5096="MAL ALIMI", B5096="ÜRETİM GİRİŞ"), MIN(I5096, MAX(0, I5096 + SUM(SUMIFS($I$1:I5095, $C$1:C5095, C5096, $B$1:B5095, {"MAL ALIMI","ÜRETİM GİRİŞ"})) - VLOOKUP(C5096, 'STOK RAPORU'!$C$2:$I$1000, 4, 0))), 0)</f>
        <v>0</v>
      </c>
      <c r="U5096" s="22">
        <f t="shared" si="316"/>
        <v>0</v>
      </c>
      <c r="V5096">
        <f t="shared" si="317"/>
        <v>0</v>
      </c>
      <c r="W5096" s="22">
        <f t="shared" si="318"/>
        <v>0</v>
      </c>
    </row>
    <row r="5097" spans="1:23" hidden="1" x14ac:dyDescent="0.25">
      <c r="A5097" s="3">
        <v>46088</v>
      </c>
      <c r="B5097" s="4" t="s">
        <v>334</v>
      </c>
      <c r="C5097" s="4" t="s">
        <v>2120</v>
      </c>
      <c r="D5097" s="4"/>
      <c r="E5097" s="4" t="s">
        <v>2343</v>
      </c>
      <c r="F5097" s="46" t="s">
        <v>2428</v>
      </c>
      <c r="G5097" s="4" t="s">
        <v>336</v>
      </c>
      <c r="H5097" s="4" t="s">
        <v>304</v>
      </c>
      <c r="I5097" s="4">
        <v>1.226</v>
      </c>
      <c r="J5097" s="21">
        <v>46.5</v>
      </c>
      <c r="K5097" s="5">
        <v>57.009</v>
      </c>
      <c r="L5097" s="5">
        <v>0</v>
      </c>
      <c r="M5097" s="4"/>
      <c r="N5097" s="4"/>
      <c r="O5097" s="5"/>
      <c r="P5097" s="5"/>
      <c r="Q5097" s="21">
        <v>0</v>
      </c>
      <c r="R5097" s="21">
        <v>0</v>
      </c>
      <c r="S5097" s="5">
        <f t="shared" si="319"/>
        <v>20993.862073026427</v>
      </c>
      <c r="T5097" cm="1">
        <f t="array" ref="T5097">IF(OR(B5097="MAL ALIMI", B5097="ÜRETİM GİRİŞ"), MIN(I5097, MAX(0, I5097 + SUM(SUMIFS($I$1:I5096, $C$1:C5096, C5097, $B$1:B5096, {"MAL ALIMI","ÜRETİM GİRİŞ"})) - VLOOKUP(C5097, 'STOK RAPORU'!$C$2:$I$1000, 4, 0))), 0)</f>
        <v>0</v>
      </c>
      <c r="U5097" s="22">
        <f t="shared" si="316"/>
        <v>0</v>
      </c>
      <c r="V5097">
        <f t="shared" si="317"/>
        <v>0</v>
      </c>
      <c r="W5097" s="22">
        <f t="shared" si="318"/>
        <v>0</v>
      </c>
    </row>
    <row r="5098" spans="1:23" hidden="1" x14ac:dyDescent="0.25">
      <c r="A5098" s="3">
        <v>46088</v>
      </c>
      <c r="B5098" s="4" t="s">
        <v>334</v>
      </c>
      <c r="C5098" s="4" t="s">
        <v>601</v>
      </c>
      <c r="D5098" s="4"/>
      <c r="E5098" s="4" t="s">
        <v>2343</v>
      </c>
      <c r="F5098" s="46" t="s">
        <v>2428</v>
      </c>
      <c r="G5098" s="4" t="s">
        <v>336</v>
      </c>
      <c r="H5098" s="4" t="s">
        <v>304</v>
      </c>
      <c r="I5098" s="4">
        <v>0.28799999999999998</v>
      </c>
      <c r="J5098" s="21">
        <v>550</v>
      </c>
      <c r="K5098" s="5">
        <v>158.39999999999998</v>
      </c>
      <c r="L5098" s="5">
        <v>0</v>
      </c>
      <c r="M5098" s="4"/>
      <c r="N5098" s="4"/>
      <c r="O5098" s="5"/>
      <c r="P5098" s="5"/>
      <c r="Q5098" s="21">
        <v>0</v>
      </c>
      <c r="R5098" s="21">
        <v>0</v>
      </c>
      <c r="S5098" s="5">
        <f t="shared" si="319"/>
        <v>20993.862073026427</v>
      </c>
      <c r="T5098" cm="1">
        <f t="array" ref="T5098">IF(OR(B5098="MAL ALIMI", B5098="ÜRETİM GİRİŞ"), MIN(I5098, MAX(0, I5098 + SUM(SUMIFS($I$1:I5097, $C$1:C5097, C5098, $B$1:B5097, {"MAL ALIMI","ÜRETİM GİRİŞ"})) - VLOOKUP(C5098, 'STOK RAPORU'!$C$2:$I$1000, 4, 0))), 0)</f>
        <v>0</v>
      </c>
      <c r="U5098" s="22">
        <f t="shared" si="316"/>
        <v>0</v>
      </c>
      <c r="V5098">
        <f t="shared" si="317"/>
        <v>0</v>
      </c>
      <c r="W5098" s="22">
        <f t="shared" si="318"/>
        <v>0</v>
      </c>
    </row>
    <row r="5099" spans="1:23" hidden="1" x14ac:dyDescent="0.25">
      <c r="A5099" s="3">
        <v>46088</v>
      </c>
      <c r="B5099" s="4" t="s">
        <v>334</v>
      </c>
      <c r="C5099" s="4" t="s">
        <v>691</v>
      </c>
      <c r="D5099" s="4"/>
      <c r="E5099" s="4" t="s">
        <v>2343</v>
      </c>
      <c r="F5099" s="46" t="s">
        <v>2428</v>
      </c>
      <c r="G5099" s="4" t="s">
        <v>336</v>
      </c>
      <c r="H5099" s="4" t="s">
        <v>304</v>
      </c>
      <c r="I5099" s="4">
        <v>0.28199999999999997</v>
      </c>
      <c r="J5099" s="21">
        <v>230</v>
      </c>
      <c r="K5099" s="5">
        <v>64.86</v>
      </c>
      <c r="L5099" s="5">
        <v>0</v>
      </c>
      <c r="M5099" s="4"/>
      <c r="N5099" s="4"/>
      <c r="O5099" s="5"/>
      <c r="P5099" s="5"/>
      <c r="Q5099" s="21">
        <v>0</v>
      </c>
      <c r="R5099" s="21">
        <v>0</v>
      </c>
      <c r="S5099" s="5">
        <f t="shared" si="319"/>
        <v>20993.862073026427</v>
      </c>
      <c r="T5099" cm="1">
        <f t="array" ref="T5099">IF(OR(B5099="MAL ALIMI", B5099="ÜRETİM GİRİŞ"), MIN(I5099, MAX(0, I5099 + SUM(SUMIFS($I$1:I5098, $C$1:C5098, C5099, $B$1:B5098, {"MAL ALIMI","ÜRETİM GİRİŞ"})) - VLOOKUP(C5099, 'STOK RAPORU'!$C$2:$I$1000, 4, 0))), 0)</f>
        <v>0</v>
      </c>
      <c r="U5099" s="22">
        <f t="shared" si="316"/>
        <v>0</v>
      </c>
      <c r="V5099">
        <f t="shared" si="317"/>
        <v>0</v>
      </c>
      <c r="W5099" s="22">
        <f t="shared" si="318"/>
        <v>0</v>
      </c>
    </row>
    <row r="5100" spans="1:23" hidden="1" x14ac:dyDescent="0.25">
      <c r="A5100" s="3">
        <v>46088</v>
      </c>
      <c r="B5100" s="4" t="s">
        <v>334</v>
      </c>
      <c r="C5100" s="4" t="s">
        <v>202</v>
      </c>
      <c r="D5100" s="4"/>
      <c r="E5100" s="4" t="s">
        <v>2343</v>
      </c>
      <c r="F5100" s="46" t="s">
        <v>2428</v>
      </c>
      <c r="G5100" s="4" t="s">
        <v>336</v>
      </c>
      <c r="H5100" s="4" t="s">
        <v>304</v>
      </c>
      <c r="I5100" s="4">
        <v>0.5</v>
      </c>
      <c r="J5100" s="21">
        <v>60</v>
      </c>
      <c r="K5100" s="5">
        <v>30</v>
      </c>
      <c r="L5100" s="5">
        <v>0</v>
      </c>
      <c r="M5100" s="4"/>
      <c r="N5100" s="4"/>
      <c r="O5100" s="5"/>
      <c r="P5100" s="5"/>
      <c r="Q5100" s="21">
        <v>0</v>
      </c>
      <c r="R5100" s="21">
        <v>0</v>
      </c>
      <c r="S5100" s="5">
        <f t="shared" si="319"/>
        <v>20993.862073026427</v>
      </c>
      <c r="T5100" cm="1">
        <f t="array" ref="T5100">IF(OR(B5100="MAL ALIMI", B5100="ÜRETİM GİRİŞ"), MIN(I5100, MAX(0, I5100 + SUM(SUMIFS($I$1:I5099, $C$1:C5099, C5100, $B$1:B5099, {"MAL ALIMI","ÜRETİM GİRİŞ"})) - VLOOKUP(C5100, 'STOK RAPORU'!$C$2:$I$1000, 4, 0))), 0)</f>
        <v>0</v>
      </c>
      <c r="U5100" s="22">
        <f t="shared" si="316"/>
        <v>0</v>
      </c>
      <c r="V5100">
        <f t="shared" si="317"/>
        <v>0</v>
      </c>
      <c r="W5100" s="22">
        <f t="shared" si="318"/>
        <v>0</v>
      </c>
    </row>
    <row r="5101" spans="1:23" hidden="1" x14ac:dyDescent="0.25">
      <c r="A5101" s="3">
        <v>46088</v>
      </c>
      <c r="B5101" s="4" t="s">
        <v>334</v>
      </c>
      <c r="C5101" s="4" t="s">
        <v>160</v>
      </c>
      <c r="D5101" s="4"/>
      <c r="E5101" s="4" t="s">
        <v>2343</v>
      </c>
      <c r="F5101" s="46" t="s">
        <v>2428</v>
      </c>
      <c r="G5101" s="4" t="s">
        <v>336</v>
      </c>
      <c r="H5101" s="4" t="s">
        <v>304</v>
      </c>
      <c r="I5101" s="4">
        <v>1</v>
      </c>
      <c r="J5101" s="21">
        <v>200</v>
      </c>
      <c r="K5101" s="5">
        <v>200</v>
      </c>
      <c r="L5101" s="5">
        <v>0</v>
      </c>
      <c r="M5101" s="4"/>
      <c r="N5101" s="4"/>
      <c r="O5101" s="5"/>
      <c r="P5101" s="5"/>
      <c r="Q5101" s="21">
        <v>0</v>
      </c>
      <c r="R5101" s="21">
        <v>0</v>
      </c>
      <c r="S5101" s="5">
        <f t="shared" si="319"/>
        <v>20993.862073026427</v>
      </c>
      <c r="T5101" cm="1">
        <f t="array" ref="T5101">IF(OR(B5101="MAL ALIMI", B5101="ÜRETİM GİRİŞ"), MIN(I5101, MAX(0, I5101 + SUM(SUMIFS($I$1:I5100, $C$1:C5100, C5101, $B$1:B5100, {"MAL ALIMI","ÜRETİM GİRİŞ"})) - VLOOKUP(C5101, 'STOK RAPORU'!$C$2:$I$1000, 4, 0))), 0)</f>
        <v>0</v>
      </c>
      <c r="U5101" s="22">
        <f t="shared" si="316"/>
        <v>0</v>
      </c>
      <c r="V5101">
        <f t="shared" si="317"/>
        <v>0</v>
      </c>
      <c r="W5101" s="22">
        <f t="shared" si="318"/>
        <v>0</v>
      </c>
    </row>
    <row r="5102" spans="1:23" hidden="1" x14ac:dyDescent="0.25">
      <c r="A5102" s="3">
        <v>46088</v>
      </c>
      <c r="B5102" s="4" t="s">
        <v>334</v>
      </c>
      <c r="C5102" s="4" t="s">
        <v>134</v>
      </c>
      <c r="D5102" s="4"/>
      <c r="E5102" s="4" t="s">
        <v>2343</v>
      </c>
      <c r="F5102" s="46" t="s">
        <v>2428</v>
      </c>
      <c r="G5102" s="4" t="s">
        <v>336</v>
      </c>
      <c r="H5102" s="4" t="s">
        <v>304</v>
      </c>
      <c r="I5102" s="4">
        <v>0.75</v>
      </c>
      <c r="J5102" s="21">
        <v>230</v>
      </c>
      <c r="K5102" s="5">
        <v>172.5</v>
      </c>
      <c r="L5102" s="5">
        <v>0</v>
      </c>
      <c r="M5102" s="4"/>
      <c r="N5102" s="4"/>
      <c r="O5102" s="5"/>
      <c r="P5102" s="5"/>
      <c r="Q5102" s="21">
        <v>0</v>
      </c>
      <c r="R5102" s="21">
        <v>0</v>
      </c>
      <c r="S5102" s="5">
        <f t="shared" si="319"/>
        <v>20993.862073026427</v>
      </c>
      <c r="T5102" cm="1">
        <f t="array" ref="T5102">IF(OR(B5102="MAL ALIMI", B5102="ÜRETİM GİRİŞ"), MIN(I5102, MAX(0, I5102 + SUM(SUMIFS($I$1:I5101, $C$1:C5101, C5102, $B$1:B5101, {"MAL ALIMI","ÜRETİM GİRİŞ"})) - VLOOKUP(C5102, 'STOK RAPORU'!$C$2:$I$1000, 4, 0))), 0)</f>
        <v>0</v>
      </c>
      <c r="U5102" s="22">
        <f t="shared" si="316"/>
        <v>0</v>
      </c>
      <c r="V5102">
        <f t="shared" si="317"/>
        <v>0</v>
      </c>
      <c r="W5102" s="22">
        <f t="shared" si="318"/>
        <v>0</v>
      </c>
    </row>
    <row r="5103" spans="1:23" hidden="1" x14ac:dyDescent="0.25">
      <c r="A5103" s="3">
        <v>46088</v>
      </c>
      <c r="B5103" s="4" t="s">
        <v>334</v>
      </c>
      <c r="C5103" s="4" t="s">
        <v>206</v>
      </c>
      <c r="D5103" s="4"/>
      <c r="E5103" s="4" t="s">
        <v>921</v>
      </c>
      <c r="F5103" s="46" t="s">
        <v>2429</v>
      </c>
      <c r="G5103" s="4" t="s">
        <v>336</v>
      </c>
      <c r="H5103" s="4" t="s">
        <v>380</v>
      </c>
      <c r="I5103" s="4">
        <v>1</v>
      </c>
      <c r="J5103" s="21">
        <v>290</v>
      </c>
      <c r="K5103" s="21">
        <v>290</v>
      </c>
      <c r="L5103" s="5">
        <v>0</v>
      </c>
      <c r="M5103" s="4"/>
      <c r="N5103" s="4"/>
      <c r="O5103" s="5"/>
      <c r="P5103" s="5"/>
      <c r="Q5103" s="21">
        <v>0</v>
      </c>
      <c r="R5103" s="21">
        <v>0</v>
      </c>
      <c r="S5103" s="5">
        <f t="shared" si="319"/>
        <v>20993.862073026427</v>
      </c>
      <c r="T5103" cm="1">
        <f t="array" ref="T5103">IF(OR(B5103="MAL ALIMI", B5103="ÜRETİM GİRİŞ"), MIN(I5103, MAX(0, I5103 + SUM(SUMIFS($I$1:I5102, $C$1:C5102, C5103, $B$1:B5102, {"MAL ALIMI","ÜRETİM GİRİŞ"})) - VLOOKUP(C5103, 'STOK RAPORU'!$C$2:$I$1000, 4, 0))), 0)</f>
        <v>0</v>
      </c>
      <c r="U5103" s="22">
        <f t="shared" si="316"/>
        <v>0</v>
      </c>
      <c r="V5103">
        <f t="shared" si="317"/>
        <v>0</v>
      </c>
      <c r="W5103" s="22">
        <f t="shared" si="318"/>
        <v>0</v>
      </c>
    </row>
    <row r="5104" spans="1:23" hidden="1" x14ac:dyDescent="0.25">
      <c r="A5104" s="3">
        <v>46088</v>
      </c>
      <c r="B5104" s="4" t="s">
        <v>334</v>
      </c>
      <c r="C5104" s="4" t="s">
        <v>156</v>
      </c>
      <c r="D5104" s="4"/>
      <c r="E5104" s="4"/>
      <c r="F5104" s="46" t="s">
        <v>2430</v>
      </c>
      <c r="G5104" s="4" t="s">
        <v>336</v>
      </c>
      <c r="H5104" s="4" t="s">
        <v>289</v>
      </c>
      <c r="I5104" s="4">
        <v>1</v>
      </c>
      <c r="J5104" s="21">
        <v>200</v>
      </c>
      <c r="K5104" s="21">
        <v>0</v>
      </c>
      <c r="L5104" s="5">
        <v>0</v>
      </c>
      <c r="M5104" s="4"/>
      <c r="N5104" s="4"/>
      <c r="O5104" s="5"/>
      <c r="P5104" s="5"/>
      <c r="Q5104" s="21">
        <v>200</v>
      </c>
      <c r="R5104" s="21">
        <v>0</v>
      </c>
      <c r="S5104" s="5">
        <f t="shared" si="319"/>
        <v>21193.862073026427</v>
      </c>
      <c r="T5104" cm="1">
        <f t="array" ref="T5104">IF(OR(B5104="MAL ALIMI", B5104="ÜRETİM GİRİŞ"), MIN(I5104, MAX(0, I5104 + SUM(SUMIFS($I$1:I5103, $C$1:C5103, C5104, $B$1:B5103, {"MAL ALIMI","ÜRETİM GİRİŞ"})) - VLOOKUP(C5104, 'STOK RAPORU'!$C$2:$I$1000, 4, 0))), 0)</f>
        <v>0</v>
      </c>
      <c r="U5104" s="22">
        <f t="shared" si="316"/>
        <v>0</v>
      </c>
      <c r="V5104">
        <f t="shared" si="317"/>
        <v>0</v>
      </c>
      <c r="W5104" s="22">
        <f t="shared" si="318"/>
        <v>0</v>
      </c>
    </row>
    <row r="5105" spans="1:23" hidden="1" x14ac:dyDescent="0.25">
      <c r="A5105" s="3">
        <v>46088</v>
      </c>
      <c r="B5105" s="4" t="s">
        <v>334</v>
      </c>
      <c r="C5105" s="4" t="s">
        <v>911</v>
      </c>
      <c r="D5105" s="4"/>
      <c r="E5105" s="4"/>
      <c r="F5105" s="46" t="s">
        <v>2431</v>
      </c>
      <c r="G5105" s="4" t="s">
        <v>336</v>
      </c>
      <c r="H5105" s="4" t="s">
        <v>289</v>
      </c>
      <c r="I5105" s="4">
        <v>1</v>
      </c>
      <c r="J5105" s="21">
        <v>130</v>
      </c>
      <c r="K5105" s="21">
        <v>0</v>
      </c>
      <c r="L5105" s="5">
        <v>0</v>
      </c>
      <c r="M5105" s="4"/>
      <c r="N5105" s="4"/>
      <c r="O5105" s="5"/>
      <c r="P5105" s="5"/>
      <c r="Q5105" s="21">
        <v>130</v>
      </c>
      <c r="R5105" s="21">
        <v>0</v>
      </c>
      <c r="S5105" s="5">
        <f t="shared" si="319"/>
        <v>21323.862073026427</v>
      </c>
      <c r="T5105" cm="1">
        <f t="array" ref="T5105">IF(OR(B5105="MAL ALIMI", B5105="ÜRETİM GİRİŞ"), MIN(I5105, MAX(0, I5105 + SUM(SUMIFS($I$1:I5104, $C$1:C5104, C5105, $B$1:B5104, {"MAL ALIMI","ÜRETİM GİRİŞ"})) - VLOOKUP(C5105, 'STOK RAPORU'!$C$2:$I$1000, 4, 0))), 0)</f>
        <v>0</v>
      </c>
      <c r="U5105" s="22">
        <f t="shared" si="316"/>
        <v>0</v>
      </c>
      <c r="V5105">
        <f t="shared" si="317"/>
        <v>0</v>
      </c>
      <c r="W5105" s="22">
        <f t="shared" si="318"/>
        <v>0</v>
      </c>
    </row>
    <row r="5106" spans="1:23" hidden="1" x14ac:dyDescent="0.25">
      <c r="A5106" s="3">
        <v>46088</v>
      </c>
      <c r="B5106" s="4" t="s">
        <v>334</v>
      </c>
      <c r="C5106" s="4" t="s">
        <v>166</v>
      </c>
      <c r="D5106" s="4"/>
      <c r="E5106" s="4"/>
      <c r="F5106" s="46" t="s">
        <v>2431</v>
      </c>
      <c r="G5106" s="4" t="s">
        <v>336</v>
      </c>
      <c r="H5106" s="4" t="s">
        <v>289</v>
      </c>
      <c r="I5106" s="4">
        <v>7.1428571428571425E-2</v>
      </c>
      <c r="J5106" s="21">
        <v>770</v>
      </c>
      <c r="K5106" s="21">
        <v>0</v>
      </c>
      <c r="L5106" s="5">
        <v>0</v>
      </c>
      <c r="M5106" s="4"/>
      <c r="N5106" s="4"/>
      <c r="O5106" s="5"/>
      <c r="P5106" s="5"/>
      <c r="Q5106" s="21">
        <v>55</v>
      </c>
      <c r="R5106" s="21">
        <v>0</v>
      </c>
      <c r="S5106" s="5">
        <f t="shared" si="319"/>
        <v>21378.862073026427</v>
      </c>
      <c r="T5106" cm="1">
        <f t="array" ref="T5106">IF(OR(B5106="MAL ALIMI", B5106="ÜRETİM GİRİŞ"), MIN(I5106, MAX(0, I5106 + SUM(SUMIFS($I$1:I5105, $C$1:C5105, C5106, $B$1:B5105, {"MAL ALIMI","ÜRETİM GİRİŞ"})) - VLOOKUP(C5106, 'STOK RAPORU'!$C$2:$I$1000, 4, 0))), 0)</f>
        <v>0</v>
      </c>
      <c r="U5106" s="22">
        <f t="shared" si="316"/>
        <v>0</v>
      </c>
      <c r="V5106">
        <f t="shared" si="317"/>
        <v>0</v>
      </c>
      <c r="W5106" s="22">
        <f t="shared" si="318"/>
        <v>0</v>
      </c>
    </row>
    <row r="5107" spans="1:23" hidden="1" x14ac:dyDescent="0.25">
      <c r="A5107" s="3">
        <v>46088</v>
      </c>
      <c r="B5107" s="4" t="s">
        <v>334</v>
      </c>
      <c r="C5107" s="4" t="s">
        <v>160</v>
      </c>
      <c r="D5107" s="4"/>
      <c r="E5107" s="4" t="s">
        <v>921</v>
      </c>
      <c r="F5107" s="46" t="s">
        <v>2432</v>
      </c>
      <c r="G5107" s="4" t="s">
        <v>336</v>
      </c>
      <c r="H5107" s="4" t="s">
        <v>380</v>
      </c>
      <c r="I5107" s="4">
        <v>0.5</v>
      </c>
      <c r="J5107" s="21">
        <v>250</v>
      </c>
      <c r="K5107" s="21">
        <v>125</v>
      </c>
      <c r="L5107" s="5">
        <v>0</v>
      </c>
      <c r="M5107" s="4"/>
      <c r="N5107" s="4"/>
      <c r="O5107" s="5"/>
      <c r="P5107" s="5"/>
      <c r="Q5107" s="21">
        <v>0</v>
      </c>
      <c r="R5107" s="21">
        <v>0</v>
      </c>
      <c r="S5107" s="5">
        <f t="shared" si="319"/>
        <v>21378.862073026427</v>
      </c>
      <c r="T5107" cm="1">
        <f t="array" ref="T5107">IF(OR(B5107="MAL ALIMI", B5107="ÜRETİM GİRİŞ"), MIN(I5107, MAX(0, I5107 + SUM(SUMIFS($I$1:I5106, $C$1:C5106, C5107, $B$1:B5106, {"MAL ALIMI","ÜRETİM GİRİŞ"})) - VLOOKUP(C5107, 'STOK RAPORU'!$C$2:$I$1000, 4, 0))), 0)</f>
        <v>0</v>
      </c>
      <c r="U5107" s="22">
        <f t="shared" si="316"/>
        <v>0</v>
      </c>
      <c r="V5107">
        <f t="shared" si="317"/>
        <v>0</v>
      </c>
      <c r="W5107" s="22">
        <f t="shared" si="318"/>
        <v>0</v>
      </c>
    </row>
    <row r="5108" spans="1:23" hidden="1" x14ac:dyDescent="0.25">
      <c r="A5108" s="3">
        <v>46088</v>
      </c>
      <c r="B5108" s="4" t="s">
        <v>334</v>
      </c>
      <c r="C5108" s="4" t="s">
        <v>161</v>
      </c>
      <c r="D5108" s="4"/>
      <c r="E5108" s="4" t="s">
        <v>921</v>
      </c>
      <c r="F5108" s="46" t="s">
        <v>2432</v>
      </c>
      <c r="G5108" s="4" t="s">
        <v>336</v>
      </c>
      <c r="H5108" s="4" t="s">
        <v>380</v>
      </c>
      <c r="I5108" s="4">
        <v>0.5</v>
      </c>
      <c r="J5108" s="21">
        <v>230</v>
      </c>
      <c r="K5108" s="21">
        <v>115</v>
      </c>
      <c r="L5108" s="5">
        <v>0</v>
      </c>
      <c r="M5108" s="4"/>
      <c r="N5108" s="4"/>
      <c r="O5108" s="5"/>
      <c r="P5108" s="5"/>
      <c r="Q5108" s="21">
        <v>0</v>
      </c>
      <c r="R5108" s="21">
        <v>0</v>
      </c>
      <c r="S5108" s="5">
        <f t="shared" si="319"/>
        <v>21378.862073026427</v>
      </c>
      <c r="T5108" cm="1">
        <f t="array" ref="T5108">IF(OR(B5108="MAL ALIMI", B5108="ÜRETİM GİRİŞ"), MIN(I5108, MAX(0, I5108 + SUM(SUMIFS($I$1:I5107, $C$1:C5107, C5108, $B$1:B5107, {"MAL ALIMI","ÜRETİM GİRİŞ"})) - VLOOKUP(C5108, 'STOK RAPORU'!$C$2:$I$1000, 4, 0))), 0)</f>
        <v>0</v>
      </c>
      <c r="U5108" s="22">
        <f t="shared" ref="U5108:U5170" si="320">T5108*J5108</f>
        <v>0</v>
      </c>
      <c r="V5108">
        <f t="shared" ref="V5108:V5170" si="321">IF(OR(B5108="MAL ALIMI", B5108="ÜRETİM GİRİŞ"), I5108 * J5108, 0)</f>
        <v>0</v>
      </c>
      <c r="W5108" s="22">
        <f t="shared" ref="W5108:W5170" si="322">V5108-U5108</f>
        <v>0</v>
      </c>
    </row>
    <row r="5109" spans="1:23" hidden="1" x14ac:dyDescent="0.25">
      <c r="A5109" s="3">
        <v>46088</v>
      </c>
      <c r="B5109" s="4" t="s">
        <v>334</v>
      </c>
      <c r="C5109" s="4" t="s">
        <v>92</v>
      </c>
      <c r="D5109" s="4"/>
      <c r="E5109" s="4" t="s">
        <v>921</v>
      </c>
      <c r="F5109" s="46" t="s">
        <v>2432</v>
      </c>
      <c r="G5109" s="4" t="s">
        <v>336</v>
      </c>
      <c r="H5109" s="4" t="s">
        <v>380</v>
      </c>
      <c r="I5109" s="4">
        <v>0.12</v>
      </c>
      <c r="J5109" s="21">
        <v>500</v>
      </c>
      <c r="K5109" s="21">
        <v>60</v>
      </c>
      <c r="L5109" s="5">
        <v>0</v>
      </c>
      <c r="M5109" s="4"/>
      <c r="N5109" s="4"/>
      <c r="O5109" s="5"/>
      <c r="P5109" s="5"/>
      <c r="Q5109" s="21">
        <v>0</v>
      </c>
      <c r="R5109" s="21">
        <v>0</v>
      </c>
      <c r="S5109" s="5">
        <f t="shared" si="319"/>
        <v>21378.862073026427</v>
      </c>
      <c r="T5109" cm="1">
        <f t="array" ref="T5109">IF(OR(B5109="MAL ALIMI", B5109="ÜRETİM GİRİŞ"), MIN(I5109, MAX(0, I5109 + SUM(SUMIFS($I$1:I5108, $C$1:C5108, C5109, $B$1:B5108, {"MAL ALIMI","ÜRETİM GİRİŞ"})) - VLOOKUP(C5109, 'STOK RAPORU'!$C$2:$I$1000, 4, 0))), 0)</f>
        <v>0</v>
      </c>
      <c r="U5109" s="22">
        <f t="shared" si="320"/>
        <v>0</v>
      </c>
      <c r="V5109">
        <f t="shared" si="321"/>
        <v>0</v>
      </c>
      <c r="W5109" s="22">
        <f t="shared" si="322"/>
        <v>0</v>
      </c>
    </row>
    <row r="5110" spans="1:23" hidden="1" x14ac:dyDescent="0.25">
      <c r="A5110" s="3">
        <v>46088</v>
      </c>
      <c r="B5110" s="4" t="s">
        <v>334</v>
      </c>
      <c r="C5110" s="4" t="s">
        <v>1041</v>
      </c>
      <c r="D5110" s="4"/>
      <c r="E5110" s="4"/>
      <c r="F5110" s="46" t="s">
        <v>2433</v>
      </c>
      <c r="G5110" s="4" t="s">
        <v>336</v>
      </c>
      <c r="H5110" s="4" t="s">
        <v>289</v>
      </c>
      <c r="I5110" s="4">
        <v>2.16</v>
      </c>
      <c r="J5110" s="21">
        <v>250</v>
      </c>
      <c r="K5110" s="21">
        <v>0</v>
      </c>
      <c r="L5110" s="5">
        <v>0</v>
      </c>
      <c r="M5110" s="4"/>
      <c r="N5110" s="4"/>
      <c r="O5110" s="5"/>
      <c r="P5110" s="5"/>
      <c r="Q5110" s="21">
        <v>540</v>
      </c>
      <c r="R5110" s="21">
        <v>0</v>
      </c>
      <c r="S5110" s="5">
        <f t="shared" si="319"/>
        <v>21918.862073026427</v>
      </c>
      <c r="T5110" cm="1">
        <f t="array" ref="T5110">IF(OR(B5110="MAL ALIMI", B5110="ÜRETİM GİRİŞ"), MIN(I5110, MAX(0, I5110 + SUM(SUMIFS($I$1:I5109, $C$1:C5109, C5110, $B$1:B5109, {"MAL ALIMI","ÜRETİM GİRİŞ"})) - VLOOKUP(C5110, 'STOK RAPORU'!$C$2:$I$1000, 4, 0))), 0)</f>
        <v>0</v>
      </c>
      <c r="U5110" s="22">
        <f t="shared" si="320"/>
        <v>0</v>
      </c>
      <c r="V5110">
        <f t="shared" si="321"/>
        <v>0</v>
      </c>
      <c r="W5110" s="22">
        <f t="shared" si="322"/>
        <v>0</v>
      </c>
    </row>
    <row r="5111" spans="1:23" hidden="1" x14ac:dyDescent="0.25">
      <c r="A5111" s="3">
        <v>46088</v>
      </c>
      <c r="B5111" s="4" t="s">
        <v>334</v>
      </c>
      <c r="C5111" s="4" t="s">
        <v>257</v>
      </c>
      <c r="D5111" s="4"/>
      <c r="E5111" s="4" t="s">
        <v>921</v>
      </c>
      <c r="F5111" s="46" t="s">
        <v>2434</v>
      </c>
      <c r="G5111" s="4" t="s">
        <v>336</v>
      </c>
      <c r="H5111" s="4" t="s">
        <v>380</v>
      </c>
      <c r="I5111" s="4">
        <v>1</v>
      </c>
      <c r="J5111" s="21">
        <v>190</v>
      </c>
      <c r="K5111" s="21">
        <v>190</v>
      </c>
      <c r="L5111" s="5">
        <v>0</v>
      </c>
      <c r="M5111" s="4"/>
      <c r="N5111" s="4"/>
      <c r="O5111" s="5"/>
      <c r="P5111" s="5"/>
      <c r="Q5111" s="21">
        <v>0</v>
      </c>
      <c r="R5111" s="21">
        <v>0</v>
      </c>
      <c r="S5111" s="5">
        <f t="shared" si="319"/>
        <v>21918.862073026427</v>
      </c>
      <c r="T5111" cm="1">
        <f t="array" ref="T5111">IF(OR(B5111="MAL ALIMI", B5111="ÜRETİM GİRİŞ"), MIN(I5111, MAX(0, I5111 + SUM(SUMIFS($I$1:I5110, $C$1:C5110, C5111, $B$1:B5110, {"MAL ALIMI","ÜRETİM GİRİŞ"})) - VLOOKUP(C5111, 'STOK RAPORU'!$C$2:$I$1000, 4, 0))), 0)</f>
        <v>0</v>
      </c>
      <c r="U5111" s="22">
        <f t="shared" si="320"/>
        <v>0</v>
      </c>
      <c r="V5111">
        <f t="shared" si="321"/>
        <v>0</v>
      </c>
      <c r="W5111" s="22">
        <f t="shared" si="322"/>
        <v>0</v>
      </c>
    </row>
    <row r="5112" spans="1:23" hidden="1" x14ac:dyDescent="0.25">
      <c r="A5112" s="3">
        <v>46088</v>
      </c>
      <c r="B5112" s="4" t="s">
        <v>334</v>
      </c>
      <c r="C5112" s="4" t="s">
        <v>1634</v>
      </c>
      <c r="D5112" s="4"/>
      <c r="E5112" s="4"/>
      <c r="F5112" s="46" t="s">
        <v>2435</v>
      </c>
      <c r="G5112" s="4" t="s">
        <v>336</v>
      </c>
      <c r="H5112" s="4" t="s">
        <v>289</v>
      </c>
      <c r="I5112" s="4">
        <v>1</v>
      </c>
      <c r="J5112" s="21">
        <v>300</v>
      </c>
      <c r="K5112" s="21">
        <v>0</v>
      </c>
      <c r="L5112" s="5">
        <v>0</v>
      </c>
      <c r="M5112" s="4"/>
      <c r="N5112" s="4"/>
      <c r="O5112" s="5"/>
      <c r="P5112" s="5"/>
      <c r="Q5112" s="21">
        <v>300</v>
      </c>
      <c r="R5112" s="21">
        <v>0</v>
      </c>
      <c r="S5112" s="5">
        <f t="shared" si="319"/>
        <v>22218.862073026427</v>
      </c>
      <c r="T5112" cm="1">
        <f t="array" ref="T5112">IF(OR(B5112="MAL ALIMI", B5112="ÜRETİM GİRİŞ"), MIN(I5112, MAX(0, I5112 + SUM(SUMIFS($I$1:I5111, $C$1:C5111, C5112, $B$1:B5111, {"MAL ALIMI","ÜRETİM GİRİŞ"})) - VLOOKUP(C5112, 'STOK RAPORU'!$C$2:$I$1000, 4, 0))), 0)</f>
        <v>0</v>
      </c>
      <c r="U5112" s="22">
        <f t="shared" si="320"/>
        <v>0</v>
      </c>
      <c r="V5112">
        <f t="shared" si="321"/>
        <v>0</v>
      </c>
      <c r="W5112" s="22">
        <f t="shared" si="322"/>
        <v>0</v>
      </c>
    </row>
    <row r="5113" spans="1:23" hidden="1" x14ac:dyDescent="0.25">
      <c r="A5113" s="3">
        <v>46088</v>
      </c>
      <c r="B5113" s="4" t="s">
        <v>334</v>
      </c>
      <c r="C5113" s="4" t="s">
        <v>160</v>
      </c>
      <c r="D5113" s="4"/>
      <c r="E5113" s="4"/>
      <c r="F5113" s="46" t="s">
        <v>2436</v>
      </c>
      <c r="G5113" s="4" t="s">
        <v>336</v>
      </c>
      <c r="H5113" s="4" t="s">
        <v>289</v>
      </c>
      <c r="I5113" s="4">
        <v>1</v>
      </c>
      <c r="J5113" s="21">
        <v>250</v>
      </c>
      <c r="K5113" s="21">
        <v>0</v>
      </c>
      <c r="L5113" s="5">
        <v>0</v>
      </c>
      <c r="M5113" s="4"/>
      <c r="N5113" s="4"/>
      <c r="O5113" s="5"/>
      <c r="P5113" s="5"/>
      <c r="Q5113" s="21">
        <v>250</v>
      </c>
      <c r="R5113" s="21">
        <v>0</v>
      </c>
      <c r="S5113" s="5">
        <f t="shared" si="319"/>
        <v>22468.862073026427</v>
      </c>
      <c r="T5113" cm="1">
        <f t="array" ref="T5113">IF(OR(B5113="MAL ALIMI", B5113="ÜRETİM GİRİŞ"), MIN(I5113, MAX(0, I5113 + SUM(SUMIFS($I$1:I5112, $C$1:C5112, C5113, $B$1:B5112, {"MAL ALIMI","ÜRETİM GİRİŞ"})) - VLOOKUP(C5113, 'STOK RAPORU'!$C$2:$I$1000, 4, 0))), 0)</f>
        <v>0</v>
      </c>
      <c r="U5113" s="22">
        <f t="shared" si="320"/>
        <v>0</v>
      </c>
      <c r="V5113">
        <f t="shared" si="321"/>
        <v>0</v>
      </c>
      <c r="W5113" s="22">
        <f t="shared" si="322"/>
        <v>0</v>
      </c>
    </row>
    <row r="5114" spans="1:23" hidden="1" x14ac:dyDescent="0.25">
      <c r="A5114" s="3">
        <v>46088</v>
      </c>
      <c r="B5114" s="4" t="s">
        <v>334</v>
      </c>
      <c r="C5114" s="4" t="s">
        <v>160</v>
      </c>
      <c r="D5114" s="4"/>
      <c r="E5114" s="4"/>
      <c r="F5114" s="46" t="s">
        <v>2441</v>
      </c>
      <c r="G5114" s="4" t="s">
        <v>336</v>
      </c>
      <c r="H5114" s="4" t="s">
        <v>289</v>
      </c>
      <c r="I5114" s="4">
        <v>1</v>
      </c>
      <c r="J5114" s="21">
        <v>250</v>
      </c>
      <c r="K5114" s="21">
        <v>0</v>
      </c>
      <c r="L5114" s="5">
        <v>0</v>
      </c>
      <c r="M5114" s="4"/>
      <c r="N5114" s="4"/>
      <c r="O5114" s="5"/>
      <c r="P5114" s="5"/>
      <c r="Q5114" s="21">
        <v>250</v>
      </c>
      <c r="R5114" s="21">
        <v>0</v>
      </c>
      <c r="S5114" s="5">
        <f t="shared" si="319"/>
        <v>22718.862073026427</v>
      </c>
      <c r="T5114" cm="1">
        <f t="array" ref="T5114">IF(OR(B5114="MAL ALIMI", B5114="ÜRETİM GİRİŞ"), MIN(I5114, MAX(0, I5114 + SUM(SUMIFS($I$1:I5113, $C$1:C5113, C5114, $B$1:B5113, {"MAL ALIMI","ÜRETİM GİRİŞ"})) - VLOOKUP(C5114, 'STOK RAPORU'!$C$2:$I$1000, 4, 0))), 0)</f>
        <v>0</v>
      </c>
      <c r="U5114" s="22">
        <f t="shared" si="320"/>
        <v>0</v>
      </c>
      <c r="V5114">
        <f t="shared" si="321"/>
        <v>0</v>
      </c>
      <c r="W5114" s="22">
        <f t="shared" si="322"/>
        <v>0</v>
      </c>
    </row>
    <row r="5115" spans="1:23" hidden="1" x14ac:dyDescent="0.25">
      <c r="A5115" s="3">
        <v>46088</v>
      </c>
      <c r="B5115" s="4" t="s">
        <v>334</v>
      </c>
      <c r="C5115" s="4" t="s">
        <v>158</v>
      </c>
      <c r="D5115" s="4"/>
      <c r="E5115" s="4" t="s">
        <v>921</v>
      </c>
      <c r="F5115" s="46" t="s">
        <v>2442</v>
      </c>
      <c r="G5115" s="4" t="s">
        <v>336</v>
      </c>
      <c r="H5115" s="4" t="s">
        <v>380</v>
      </c>
      <c r="I5115" s="4">
        <v>1</v>
      </c>
      <c r="J5115" s="21">
        <v>150</v>
      </c>
      <c r="K5115" s="21">
        <v>150</v>
      </c>
      <c r="L5115" s="5">
        <v>0</v>
      </c>
      <c r="M5115" s="4"/>
      <c r="N5115" s="4"/>
      <c r="O5115" s="5"/>
      <c r="P5115" s="5"/>
      <c r="Q5115" s="21">
        <v>0</v>
      </c>
      <c r="R5115" s="21">
        <v>0</v>
      </c>
      <c r="S5115" s="5">
        <f t="shared" si="319"/>
        <v>22718.862073026427</v>
      </c>
      <c r="T5115" cm="1">
        <f t="array" ref="T5115">IF(OR(B5115="MAL ALIMI", B5115="ÜRETİM GİRİŞ"), MIN(I5115, MAX(0, I5115 + SUM(SUMIFS($I$1:I5114, $C$1:C5114, C5115, $B$1:B5114, {"MAL ALIMI","ÜRETİM GİRİŞ"})) - VLOOKUP(C5115, 'STOK RAPORU'!$C$2:$I$1000, 4, 0))), 0)</f>
        <v>0</v>
      </c>
      <c r="U5115" s="22">
        <f t="shared" si="320"/>
        <v>0</v>
      </c>
      <c r="V5115">
        <f t="shared" si="321"/>
        <v>0</v>
      </c>
      <c r="W5115" s="22">
        <f t="shared" si="322"/>
        <v>0</v>
      </c>
    </row>
    <row r="5116" spans="1:23" hidden="1" x14ac:dyDescent="0.25">
      <c r="A5116" s="3">
        <v>46088</v>
      </c>
      <c r="B5116" s="4" t="s">
        <v>334</v>
      </c>
      <c r="C5116" s="4" t="s">
        <v>1041</v>
      </c>
      <c r="D5116" s="4"/>
      <c r="E5116" s="4" t="s">
        <v>921</v>
      </c>
      <c r="F5116" s="46" t="s">
        <v>2443</v>
      </c>
      <c r="G5116" s="4" t="s">
        <v>336</v>
      </c>
      <c r="H5116" s="4" t="s">
        <v>380</v>
      </c>
      <c r="I5116" s="4">
        <v>1</v>
      </c>
      <c r="J5116" s="21">
        <v>250</v>
      </c>
      <c r="K5116" s="21">
        <v>250</v>
      </c>
      <c r="L5116" s="5">
        <v>0</v>
      </c>
      <c r="M5116" s="4"/>
      <c r="N5116" s="4"/>
      <c r="O5116" s="5"/>
      <c r="P5116" s="5"/>
      <c r="Q5116" s="21">
        <v>0</v>
      </c>
      <c r="R5116" s="21">
        <v>0</v>
      </c>
      <c r="S5116" s="5">
        <f t="shared" si="319"/>
        <v>22718.862073026427</v>
      </c>
      <c r="T5116" cm="1">
        <f t="array" ref="T5116">IF(OR(B5116="MAL ALIMI", B5116="ÜRETİM GİRİŞ"), MIN(I5116, MAX(0, I5116 + SUM(SUMIFS($I$1:I5115, $C$1:C5115, C5116, $B$1:B5115, {"MAL ALIMI","ÜRETİM GİRİŞ"})) - VLOOKUP(C5116, 'STOK RAPORU'!$C$2:$I$1000, 4, 0))), 0)</f>
        <v>0</v>
      </c>
      <c r="U5116" s="22">
        <f t="shared" si="320"/>
        <v>0</v>
      </c>
      <c r="V5116">
        <f t="shared" si="321"/>
        <v>0</v>
      </c>
      <c r="W5116" s="22">
        <f t="shared" si="322"/>
        <v>0</v>
      </c>
    </row>
    <row r="5117" spans="1:23" hidden="1" x14ac:dyDescent="0.25">
      <c r="A5117" s="3">
        <v>46088</v>
      </c>
      <c r="B5117" s="4" t="s">
        <v>334</v>
      </c>
      <c r="C5117" s="4" t="s">
        <v>89</v>
      </c>
      <c r="D5117" s="4"/>
      <c r="E5117" s="4"/>
      <c r="F5117" s="46" t="s">
        <v>2444</v>
      </c>
      <c r="G5117" s="4" t="s">
        <v>336</v>
      </c>
      <c r="H5117" s="4" t="s">
        <v>289</v>
      </c>
      <c r="I5117" s="4">
        <v>0.1</v>
      </c>
      <c r="J5117" s="21">
        <v>650</v>
      </c>
      <c r="K5117" s="21">
        <v>0</v>
      </c>
      <c r="L5117" s="5">
        <v>0</v>
      </c>
      <c r="M5117" s="4"/>
      <c r="N5117" s="4"/>
      <c r="O5117" s="5"/>
      <c r="P5117" s="5"/>
      <c r="Q5117" s="21">
        <v>65</v>
      </c>
      <c r="R5117" s="21">
        <v>0</v>
      </c>
      <c r="S5117" s="5">
        <f t="shared" si="319"/>
        <v>22783.862073026427</v>
      </c>
      <c r="T5117" cm="1">
        <f t="array" ref="T5117">IF(OR(B5117="MAL ALIMI", B5117="ÜRETİM GİRİŞ"), MIN(I5117, MAX(0, I5117 + SUM(SUMIFS($I$1:I5116, $C$1:C5116, C5117, $B$1:B5116, {"MAL ALIMI","ÜRETİM GİRİŞ"})) - VLOOKUP(C5117, 'STOK RAPORU'!$C$2:$I$1000, 4, 0))), 0)</f>
        <v>0</v>
      </c>
      <c r="U5117" s="22">
        <f t="shared" si="320"/>
        <v>0</v>
      </c>
      <c r="V5117">
        <f t="shared" si="321"/>
        <v>0</v>
      </c>
      <c r="W5117" s="22">
        <f t="shared" si="322"/>
        <v>0</v>
      </c>
    </row>
    <row r="5118" spans="1:23" hidden="1" x14ac:dyDescent="0.25">
      <c r="A5118" s="3">
        <v>46088</v>
      </c>
      <c r="B5118" s="4" t="s">
        <v>334</v>
      </c>
      <c r="C5118" s="4" t="s">
        <v>463</v>
      </c>
      <c r="D5118" s="4"/>
      <c r="E5118" s="4"/>
      <c r="F5118" s="46" t="s">
        <v>2444</v>
      </c>
      <c r="G5118" s="4" t="s">
        <v>336</v>
      </c>
      <c r="H5118" s="4" t="s">
        <v>289</v>
      </c>
      <c r="I5118" s="4">
        <v>0.1125</v>
      </c>
      <c r="J5118" s="21">
        <v>400</v>
      </c>
      <c r="K5118" s="21">
        <v>0</v>
      </c>
      <c r="L5118" s="5">
        <v>0</v>
      </c>
      <c r="M5118" s="4"/>
      <c r="N5118" s="4"/>
      <c r="O5118" s="5"/>
      <c r="P5118" s="5"/>
      <c r="Q5118" s="21">
        <v>45</v>
      </c>
      <c r="R5118" s="21">
        <v>0</v>
      </c>
      <c r="S5118" s="5">
        <f t="shared" si="319"/>
        <v>22828.862073026427</v>
      </c>
      <c r="T5118" cm="1">
        <f t="array" ref="T5118">IF(OR(B5118="MAL ALIMI", B5118="ÜRETİM GİRİŞ"), MIN(I5118, MAX(0, I5118 + SUM(SUMIFS($I$1:I5117, $C$1:C5117, C5118, $B$1:B5117, {"MAL ALIMI","ÜRETİM GİRİŞ"})) - VLOOKUP(C5118, 'STOK RAPORU'!$C$2:$I$1000, 4, 0))), 0)</f>
        <v>0</v>
      </c>
      <c r="U5118" s="22">
        <f t="shared" si="320"/>
        <v>0</v>
      </c>
      <c r="V5118">
        <f t="shared" si="321"/>
        <v>0</v>
      </c>
      <c r="W5118" s="22">
        <f t="shared" si="322"/>
        <v>0</v>
      </c>
    </row>
    <row r="5119" spans="1:23" hidden="1" x14ac:dyDescent="0.25">
      <c r="A5119" s="3">
        <v>46088</v>
      </c>
      <c r="B5119" s="4" t="s">
        <v>334</v>
      </c>
      <c r="C5119" s="4" t="s">
        <v>1359</v>
      </c>
      <c r="D5119" s="4"/>
      <c r="E5119" s="4" t="s">
        <v>921</v>
      </c>
      <c r="F5119" s="46" t="s">
        <v>2445</v>
      </c>
      <c r="G5119" s="4" t="s">
        <v>336</v>
      </c>
      <c r="H5119" s="4" t="s">
        <v>380</v>
      </c>
      <c r="I5119" s="4">
        <v>0.1</v>
      </c>
      <c r="J5119" s="21">
        <v>450</v>
      </c>
      <c r="K5119" s="21">
        <v>45</v>
      </c>
      <c r="L5119" s="5">
        <v>0</v>
      </c>
      <c r="M5119" s="4"/>
      <c r="N5119" s="4"/>
      <c r="O5119" s="5"/>
      <c r="P5119" s="5"/>
      <c r="Q5119" s="21">
        <v>0</v>
      </c>
      <c r="R5119" s="21">
        <v>0</v>
      </c>
      <c r="S5119" s="5">
        <f t="shared" si="319"/>
        <v>22828.862073026427</v>
      </c>
      <c r="T5119" cm="1">
        <f t="array" ref="T5119">IF(OR(B5119="MAL ALIMI", B5119="ÜRETİM GİRİŞ"), MIN(I5119, MAX(0, I5119 + SUM(SUMIFS($I$1:I5118, $C$1:C5118, C5119, $B$1:B5118, {"MAL ALIMI","ÜRETİM GİRİŞ"})) - VLOOKUP(C5119, 'STOK RAPORU'!$C$2:$I$1000, 4, 0))), 0)</f>
        <v>0</v>
      </c>
      <c r="U5119" s="22">
        <f t="shared" si="320"/>
        <v>0</v>
      </c>
      <c r="V5119">
        <f t="shared" si="321"/>
        <v>0</v>
      </c>
      <c r="W5119" s="22">
        <f t="shared" si="322"/>
        <v>0</v>
      </c>
    </row>
    <row r="5120" spans="1:23" hidden="1" x14ac:dyDescent="0.25">
      <c r="A5120" s="3">
        <v>46088</v>
      </c>
      <c r="B5120" s="4" t="s">
        <v>334</v>
      </c>
      <c r="C5120" s="4" t="s">
        <v>132</v>
      </c>
      <c r="D5120" s="4"/>
      <c r="E5120" s="4" t="s">
        <v>921</v>
      </c>
      <c r="F5120" s="46" t="s">
        <v>2445</v>
      </c>
      <c r="G5120" s="4" t="s">
        <v>336</v>
      </c>
      <c r="H5120" s="4" t="s">
        <v>380</v>
      </c>
      <c r="I5120" s="4">
        <v>0.09</v>
      </c>
      <c r="J5120" s="21">
        <v>500</v>
      </c>
      <c r="K5120" s="21">
        <v>45</v>
      </c>
      <c r="L5120" s="5">
        <v>0</v>
      </c>
      <c r="M5120" s="4"/>
      <c r="N5120" s="4"/>
      <c r="O5120" s="5"/>
      <c r="P5120" s="5"/>
      <c r="Q5120" s="21">
        <v>0</v>
      </c>
      <c r="R5120" s="21">
        <v>0</v>
      </c>
      <c r="S5120" s="5">
        <f t="shared" si="319"/>
        <v>22828.862073026427</v>
      </c>
      <c r="T5120" cm="1">
        <f t="array" ref="T5120">IF(OR(B5120="MAL ALIMI", B5120="ÜRETİM GİRİŞ"), MIN(I5120, MAX(0, I5120 + SUM(SUMIFS($I$1:I5119, $C$1:C5119, C5120, $B$1:B5119, {"MAL ALIMI","ÜRETİM GİRİŞ"})) - VLOOKUP(C5120, 'STOK RAPORU'!$C$2:$I$1000, 4, 0))), 0)</f>
        <v>0</v>
      </c>
      <c r="U5120" s="22">
        <f t="shared" si="320"/>
        <v>0</v>
      </c>
      <c r="V5120">
        <f t="shared" si="321"/>
        <v>0</v>
      </c>
      <c r="W5120" s="22">
        <f t="shared" si="322"/>
        <v>0</v>
      </c>
    </row>
    <row r="5121" spans="1:23" hidden="1" x14ac:dyDescent="0.25">
      <c r="A5121" s="3">
        <v>46088</v>
      </c>
      <c r="B5121" s="4" t="s">
        <v>334</v>
      </c>
      <c r="C5121" s="4" t="s">
        <v>1151</v>
      </c>
      <c r="D5121" s="4"/>
      <c r="E5121" s="4"/>
      <c r="F5121" s="46" t="s">
        <v>2446</v>
      </c>
      <c r="G5121" s="4" t="s">
        <v>336</v>
      </c>
      <c r="H5121" s="4" t="s">
        <v>289</v>
      </c>
      <c r="I5121" s="4">
        <v>0.15555555555555556</v>
      </c>
      <c r="J5121" s="21">
        <v>360</v>
      </c>
      <c r="K5121" s="21">
        <v>0</v>
      </c>
      <c r="L5121" s="5">
        <v>0</v>
      </c>
      <c r="M5121" s="4"/>
      <c r="N5121" s="4"/>
      <c r="O5121" s="5"/>
      <c r="P5121" s="5"/>
      <c r="Q5121" s="21">
        <v>56</v>
      </c>
      <c r="R5121" s="21">
        <v>0</v>
      </c>
      <c r="S5121" s="5">
        <f t="shared" si="319"/>
        <v>22884.862073026427</v>
      </c>
      <c r="T5121" cm="1">
        <f t="array" ref="T5121">IF(OR(B5121="MAL ALIMI", B5121="ÜRETİM GİRİŞ"), MIN(I5121, MAX(0, I5121 + SUM(SUMIFS($I$1:I5120, $C$1:C5120, C5121, $B$1:B5120, {"MAL ALIMI","ÜRETİM GİRİŞ"})) - VLOOKUP(C5121, 'STOK RAPORU'!$C$2:$I$1000, 4, 0))), 0)</f>
        <v>0</v>
      </c>
      <c r="U5121" s="22">
        <f t="shared" si="320"/>
        <v>0</v>
      </c>
      <c r="V5121">
        <f t="shared" si="321"/>
        <v>0</v>
      </c>
      <c r="W5121" s="22">
        <f t="shared" si="322"/>
        <v>0</v>
      </c>
    </row>
    <row r="5122" spans="1:23" hidden="1" x14ac:dyDescent="0.25">
      <c r="A5122" s="3">
        <v>46088</v>
      </c>
      <c r="B5122" s="4" t="s">
        <v>334</v>
      </c>
      <c r="C5122" s="4" t="s">
        <v>463</v>
      </c>
      <c r="D5122" s="4"/>
      <c r="E5122" s="4"/>
      <c r="F5122" s="46" t="s">
        <v>2446</v>
      </c>
      <c r="G5122" s="4" t="s">
        <v>336</v>
      </c>
      <c r="H5122" s="4" t="s">
        <v>289</v>
      </c>
      <c r="I5122" s="4">
        <v>0.13</v>
      </c>
      <c r="J5122" s="21">
        <v>400</v>
      </c>
      <c r="K5122" s="21">
        <v>0</v>
      </c>
      <c r="L5122" s="5">
        <v>0</v>
      </c>
      <c r="M5122" s="4"/>
      <c r="N5122" s="4"/>
      <c r="O5122" s="5"/>
      <c r="P5122" s="5"/>
      <c r="Q5122" s="21">
        <v>52</v>
      </c>
      <c r="R5122" s="21">
        <v>0</v>
      </c>
      <c r="S5122" s="5">
        <f t="shared" si="319"/>
        <v>22936.862073026427</v>
      </c>
      <c r="T5122" cm="1">
        <f t="array" ref="T5122">IF(OR(B5122="MAL ALIMI", B5122="ÜRETİM GİRİŞ"), MIN(I5122, MAX(0, I5122 + SUM(SUMIFS($I$1:I5121, $C$1:C5121, C5122, $B$1:B5121, {"MAL ALIMI","ÜRETİM GİRİŞ"})) - VLOOKUP(C5122, 'STOK RAPORU'!$C$2:$I$1000, 4, 0))), 0)</f>
        <v>0</v>
      </c>
      <c r="U5122" s="22">
        <f t="shared" si="320"/>
        <v>0</v>
      </c>
      <c r="V5122">
        <f t="shared" si="321"/>
        <v>0</v>
      </c>
      <c r="W5122" s="22">
        <f t="shared" si="322"/>
        <v>0</v>
      </c>
    </row>
    <row r="5123" spans="1:23" hidden="1" x14ac:dyDescent="0.25">
      <c r="A5123" s="3">
        <v>46088</v>
      </c>
      <c r="B5123" s="4" t="s">
        <v>334</v>
      </c>
      <c r="C5123" s="4" t="s">
        <v>158</v>
      </c>
      <c r="D5123" s="4"/>
      <c r="E5123" s="4"/>
      <c r="F5123" s="46" t="s">
        <v>2447</v>
      </c>
      <c r="G5123" s="4" t="s">
        <v>336</v>
      </c>
      <c r="H5123" s="4" t="s">
        <v>289</v>
      </c>
      <c r="I5123" s="4">
        <v>2</v>
      </c>
      <c r="J5123" s="21">
        <v>150</v>
      </c>
      <c r="K5123" s="21">
        <v>0</v>
      </c>
      <c r="L5123" s="5">
        <v>0</v>
      </c>
      <c r="M5123" s="4"/>
      <c r="N5123" s="4"/>
      <c r="O5123" s="5"/>
      <c r="P5123" s="5"/>
      <c r="Q5123" s="21">
        <v>300</v>
      </c>
      <c r="R5123" s="21">
        <v>0</v>
      </c>
      <c r="S5123" s="5">
        <f t="shared" si="319"/>
        <v>23236.862073026427</v>
      </c>
      <c r="T5123" cm="1">
        <f t="array" ref="T5123">IF(OR(B5123="MAL ALIMI", B5123="ÜRETİM GİRİŞ"), MIN(I5123, MAX(0, I5123 + SUM(SUMIFS($I$1:I5122, $C$1:C5122, C5123, $B$1:B5122, {"MAL ALIMI","ÜRETİM GİRİŞ"})) - VLOOKUP(C5123, 'STOK RAPORU'!$C$2:$I$1000, 4, 0))), 0)</f>
        <v>0</v>
      </c>
      <c r="U5123" s="22">
        <f t="shared" si="320"/>
        <v>0</v>
      </c>
      <c r="V5123">
        <f t="shared" si="321"/>
        <v>0</v>
      </c>
      <c r="W5123" s="22">
        <f t="shared" si="322"/>
        <v>0</v>
      </c>
    </row>
    <row r="5124" spans="1:23" hidden="1" x14ac:dyDescent="0.25">
      <c r="A5124" s="3">
        <v>46088</v>
      </c>
      <c r="B5124" s="4" t="s">
        <v>334</v>
      </c>
      <c r="C5124" s="4" t="s">
        <v>2129</v>
      </c>
      <c r="D5124" s="4"/>
      <c r="E5124" s="4"/>
      <c r="F5124" s="46" t="s">
        <v>2447</v>
      </c>
      <c r="G5124" s="4" t="s">
        <v>336</v>
      </c>
      <c r="H5124" s="4" t="s">
        <v>289</v>
      </c>
      <c r="I5124" s="4">
        <v>0.35714285714285715</v>
      </c>
      <c r="J5124" s="21">
        <v>420</v>
      </c>
      <c r="K5124" s="21">
        <v>0</v>
      </c>
      <c r="L5124" s="5">
        <v>0</v>
      </c>
      <c r="M5124" s="4"/>
      <c r="N5124" s="4"/>
      <c r="O5124" s="5"/>
      <c r="P5124" s="5"/>
      <c r="Q5124" s="21">
        <v>150</v>
      </c>
      <c r="R5124" s="21">
        <v>0</v>
      </c>
      <c r="S5124" s="5">
        <f t="shared" ref="S5124:S5187" si="323">S5123+Q5124-R5124</f>
        <v>23386.862073026427</v>
      </c>
      <c r="T5124" cm="1">
        <f t="array" ref="T5124">IF(OR(B5124="MAL ALIMI", B5124="ÜRETİM GİRİŞ"), MIN(I5124, MAX(0, I5124 + SUM(SUMIFS($I$1:I5123, $C$1:C5123, C5124, $B$1:B5123, {"MAL ALIMI","ÜRETİM GİRİŞ"})) - VLOOKUP(C5124, 'STOK RAPORU'!$C$2:$I$1000, 4, 0))), 0)</f>
        <v>0</v>
      </c>
      <c r="U5124" s="22">
        <f t="shared" si="320"/>
        <v>0</v>
      </c>
      <c r="V5124">
        <f t="shared" si="321"/>
        <v>0</v>
      </c>
      <c r="W5124" s="22">
        <f t="shared" si="322"/>
        <v>0</v>
      </c>
    </row>
    <row r="5125" spans="1:23" hidden="1" x14ac:dyDescent="0.25">
      <c r="A5125" s="3">
        <v>46088</v>
      </c>
      <c r="B5125" s="4" t="s">
        <v>2344</v>
      </c>
      <c r="C5125" s="4"/>
      <c r="D5125" s="4"/>
      <c r="E5125" s="4" t="s">
        <v>2343</v>
      </c>
      <c r="F5125" s="4"/>
      <c r="G5125" s="4" t="s">
        <v>2570</v>
      </c>
      <c r="H5125" s="4" t="s">
        <v>304</v>
      </c>
      <c r="I5125" s="4">
        <v>1</v>
      </c>
      <c r="J5125" s="21">
        <v>950</v>
      </c>
      <c r="K5125" s="21">
        <v>0</v>
      </c>
      <c r="L5125" s="5">
        <v>950</v>
      </c>
      <c r="M5125" s="4"/>
      <c r="N5125" s="4"/>
      <c r="O5125" s="5"/>
      <c r="P5125" s="5"/>
      <c r="Q5125" s="21">
        <v>950</v>
      </c>
      <c r="R5125" s="21">
        <v>0</v>
      </c>
      <c r="S5125" s="5">
        <f t="shared" si="323"/>
        <v>24336.862073026427</v>
      </c>
      <c r="T5125" cm="1">
        <f t="array" ref="T5125">IF(OR(B5125="MAL ALIMI", B5125="ÜRETİM GİRİŞ"), MIN(I5125, MAX(0, I5125 + SUM(SUMIFS($I$1:I5124, $C$1:C5124, C5125, $B$1:B5124, {"MAL ALIMI","ÜRETİM GİRİŞ"})) - VLOOKUP(C5125, 'STOK RAPORU'!$C$2:$I$1000, 4, 0))), 0)</f>
        <v>0</v>
      </c>
      <c r="U5125" s="22">
        <f t="shared" si="320"/>
        <v>0</v>
      </c>
      <c r="V5125">
        <f t="shared" si="321"/>
        <v>0</v>
      </c>
      <c r="W5125" s="22">
        <f t="shared" si="322"/>
        <v>0</v>
      </c>
    </row>
    <row r="5126" spans="1:23" hidden="1" x14ac:dyDescent="0.25">
      <c r="A5126" s="3">
        <v>46089</v>
      </c>
      <c r="B5126" s="4" t="s">
        <v>298</v>
      </c>
      <c r="C5126" s="4" t="s">
        <v>2682</v>
      </c>
      <c r="D5126" s="4"/>
      <c r="E5126" s="4" t="s">
        <v>856</v>
      </c>
      <c r="F5126" s="4" t="s">
        <v>2684</v>
      </c>
      <c r="G5126" s="4" t="s">
        <v>753</v>
      </c>
      <c r="H5126" s="4" t="s">
        <v>1329</v>
      </c>
      <c r="I5126" s="4">
        <v>5</v>
      </c>
      <c r="J5126" s="21">
        <v>182.00399999999999</v>
      </c>
      <c r="K5126" s="21">
        <v>0</v>
      </c>
      <c r="L5126" s="5">
        <v>910.02</v>
      </c>
      <c r="M5126" s="4"/>
      <c r="N5126" s="4"/>
      <c r="O5126" s="5"/>
      <c r="P5126" s="5"/>
      <c r="Q5126" s="21">
        <v>0</v>
      </c>
      <c r="R5126" s="21">
        <v>0</v>
      </c>
      <c r="S5126" s="5">
        <f t="shared" si="323"/>
        <v>24336.862073026427</v>
      </c>
      <c r="T5126" cm="1">
        <f t="array" ref="T5126">IF(OR(B5126="MAL ALIMI", B5126="ÜRETİM GİRİŞ"), MIN(I5126, MAX(0, I5126 + SUM(SUMIFS($I$1:I5125, $C$1:C5125, C5126, $B$1:B5125, {"MAL ALIMI","ÜRETİM GİRİŞ"})) - VLOOKUP(C5126, 'STOK RAPORU'!$C$2:$I$1000, 4, 0))), 0)</f>
        <v>2</v>
      </c>
      <c r="U5126" s="22">
        <f t="shared" si="320"/>
        <v>364.00799999999998</v>
      </c>
      <c r="V5126">
        <f t="shared" si="321"/>
        <v>910.02</v>
      </c>
      <c r="W5126" s="22">
        <f t="shared" si="322"/>
        <v>546.01199999999994</v>
      </c>
    </row>
    <row r="5127" spans="1:23" hidden="1" x14ac:dyDescent="0.25">
      <c r="A5127" s="3">
        <v>46089</v>
      </c>
      <c r="B5127" s="4" t="s">
        <v>334</v>
      </c>
      <c r="C5127" s="4" t="s">
        <v>2124</v>
      </c>
      <c r="D5127" s="4"/>
      <c r="E5127" s="4"/>
      <c r="F5127" s="46" t="s">
        <v>2448</v>
      </c>
      <c r="G5127" s="4" t="s">
        <v>336</v>
      </c>
      <c r="H5127" s="4" t="s">
        <v>289</v>
      </c>
      <c r="I5127" s="4">
        <v>0.5</v>
      </c>
      <c r="J5127" s="21">
        <v>500</v>
      </c>
      <c r="K5127" s="21">
        <v>0</v>
      </c>
      <c r="L5127" s="5">
        <v>0</v>
      </c>
      <c r="M5127" s="4"/>
      <c r="N5127" s="4"/>
      <c r="O5127" s="5"/>
      <c r="P5127" s="5"/>
      <c r="Q5127" s="21">
        <v>250</v>
      </c>
      <c r="R5127" s="21">
        <v>0</v>
      </c>
      <c r="S5127" s="5">
        <f t="shared" si="323"/>
        <v>24586.862073026427</v>
      </c>
      <c r="T5127" cm="1">
        <f t="array" ref="T5127">IF(OR(B5127="MAL ALIMI", B5127="ÜRETİM GİRİŞ"), MIN(I5127, MAX(0, I5127 + SUM(SUMIFS($I$1:I5126, $C$1:C5126, C5127, $B$1:B5126, {"MAL ALIMI","ÜRETİM GİRİŞ"})) - VLOOKUP(C5127, 'STOK RAPORU'!$C$2:$I$1000, 4, 0))), 0)</f>
        <v>0</v>
      </c>
      <c r="U5127" s="22">
        <f t="shared" si="320"/>
        <v>0</v>
      </c>
      <c r="V5127">
        <f t="shared" si="321"/>
        <v>0</v>
      </c>
      <c r="W5127" s="22">
        <f t="shared" si="322"/>
        <v>0</v>
      </c>
    </row>
    <row r="5128" spans="1:23" hidden="1" x14ac:dyDescent="0.25">
      <c r="A5128" s="3">
        <v>46089</v>
      </c>
      <c r="B5128" s="4" t="s">
        <v>334</v>
      </c>
      <c r="C5128" s="4" t="s">
        <v>2129</v>
      </c>
      <c r="D5128" s="4"/>
      <c r="E5128" s="4"/>
      <c r="F5128" s="46" t="s">
        <v>2448</v>
      </c>
      <c r="G5128" s="4" t="s">
        <v>336</v>
      </c>
      <c r="H5128" s="4" t="s">
        <v>289</v>
      </c>
      <c r="I5128" s="4">
        <v>1</v>
      </c>
      <c r="J5128" s="21">
        <v>420</v>
      </c>
      <c r="K5128" s="21">
        <v>0</v>
      </c>
      <c r="L5128" s="5">
        <v>0</v>
      </c>
      <c r="M5128" s="4"/>
      <c r="N5128" s="4"/>
      <c r="O5128" s="5"/>
      <c r="P5128" s="5"/>
      <c r="Q5128" s="21">
        <v>420</v>
      </c>
      <c r="R5128" s="21">
        <v>0</v>
      </c>
      <c r="S5128" s="5">
        <f t="shared" si="323"/>
        <v>25006.862073026427</v>
      </c>
      <c r="T5128" cm="1">
        <f t="array" ref="T5128">IF(OR(B5128="MAL ALIMI", B5128="ÜRETİM GİRİŞ"), MIN(I5128, MAX(0, I5128 + SUM(SUMIFS($I$1:I5127, $C$1:C5127, C5128, $B$1:B5127, {"MAL ALIMI","ÜRETİM GİRİŞ"})) - VLOOKUP(C5128, 'STOK RAPORU'!$C$2:$I$1000, 4, 0))), 0)</f>
        <v>0</v>
      </c>
      <c r="U5128" s="22">
        <f t="shared" si="320"/>
        <v>0</v>
      </c>
      <c r="V5128">
        <f t="shared" si="321"/>
        <v>0</v>
      </c>
      <c r="W5128" s="22">
        <f t="shared" si="322"/>
        <v>0</v>
      </c>
    </row>
    <row r="5129" spans="1:23" hidden="1" x14ac:dyDescent="0.25">
      <c r="A5129" s="3">
        <v>46089</v>
      </c>
      <c r="B5129" s="4" t="s">
        <v>334</v>
      </c>
      <c r="C5129" s="4" t="s">
        <v>679</v>
      </c>
      <c r="D5129" s="4"/>
      <c r="E5129" s="4"/>
      <c r="F5129" s="46" t="s">
        <v>2448</v>
      </c>
      <c r="G5129" s="4" t="s">
        <v>336</v>
      </c>
      <c r="H5129" s="4" t="s">
        <v>289</v>
      </c>
      <c r="I5129" s="4">
        <v>0.25</v>
      </c>
      <c r="J5129" s="21">
        <v>400</v>
      </c>
      <c r="K5129" s="21">
        <v>0</v>
      </c>
      <c r="L5129" s="5">
        <v>0</v>
      </c>
      <c r="M5129" s="4"/>
      <c r="N5129" s="4"/>
      <c r="O5129" s="5"/>
      <c r="P5129" s="5"/>
      <c r="Q5129" s="21">
        <v>100</v>
      </c>
      <c r="R5129" s="21">
        <v>0</v>
      </c>
      <c r="S5129" s="5">
        <f t="shared" si="323"/>
        <v>25106.862073026427</v>
      </c>
      <c r="T5129" cm="1">
        <f t="array" ref="T5129">IF(OR(B5129="MAL ALIMI", B5129="ÜRETİM GİRİŞ"), MIN(I5129, MAX(0, I5129 + SUM(SUMIFS($I$1:I5128, $C$1:C5128, C5129, $B$1:B5128, {"MAL ALIMI","ÜRETİM GİRİŞ"})) - VLOOKUP(C5129, 'STOK RAPORU'!$C$2:$I$1000, 4, 0))), 0)</f>
        <v>0</v>
      </c>
      <c r="U5129" s="22">
        <f t="shared" si="320"/>
        <v>0</v>
      </c>
      <c r="V5129">
        <f t="shared" si="321"/>
        <v>0</v>
      </c>
      <c r="W5129" s="22">
        <f t="shared" si="322"/>
        <v>0</v>
      </c>
    </row>
    <row r="5130" spans="1:23" hidden="1" x14ac:dyDescent="0.25">
      <c r="A5130" s="3">
        <v>46089</v>
      </c>
      <c r="B5130" s="4" t="s">
        <v>334</v>
      </c>
      <c r="C5130" s="4" t="s">
        <v>227</v>
      </c>
      <c r="D5130" s="4"/>
      <c r="E5130" s="4"/>
      <c r="F5130" s="46" t="s">
        <v>2448</v>
      </c>
      <c r="G5130" s="4" t="s">
        <v>336</v>
      </c>
      <c r="H5130" s="4" t="s">
        <v>289</v>
      </c>
      <c r="I5130" s="4">
        <v>0.05</v>
      </c>
      <c r="J5130" s="21">
        <v>500</v>
      </c>
      <c r="K5130" s="21">
        <v>0</v>
      </c>
      <c r="L5130" s="5">
        <v>0</v>
      </c>
      <c r="M5130" s="4"/>
      <c r="N5130" s="4"/>
      <c r="O5130" s="5"/>
      <c r="P5130" s="5"/>
      <c r="Q5130" s="21">
        <v>25</v>
      </c>
      <c r="R5130" s="21">
        <v>0</v>
      </c>
      <c r="S5130" s="5">
        <f t="shared" si="323"/>
        <v>25131.862073026427</v>
      </c>
      <c r="T5130" cm="1">
        <f t="array" ref="T5130">IF(OR(B5130="MAL ALIMI", B5130="ÜRETİM GİRİŞ"), MIN(I5130, MAX(0, I5130 + SUM(SUMIFS($I$1:I5129, $C$1:C5129, C5130, $B$1:B5129, {"MAL ALIMI","ÜRETİM GİRİŞ"})) - VLOOKUP(C5130, 'STOK RAPORU'!$C$2:$I$1000, 4, 0))), 0)</f>
        <v>0</v>
      </c>
      <c r="U5130" s="22">
        <f t="shared" si="320"/>
        <v>0</v>
      </c>
      <c r="V5130">
        <f t="shared" si="321"/>
        <v>0</v>
      </c>
      <c r="W5130" s="22">
        <f t="shared" si="322"/>
        <v>0</v>
      </c>
    </row>
    <row r="5131" spans="1:23" hidden="1" x14ac:dyDescent="0.25">
      <c r="A5131" s="3">
        <v>46089</v>
      </c>
      <c r="B5131" s="4" t="s">
        <v>334</v>
      </c>
      <c r="C5131" s="4" t="s">
        <v>1269</v>
      </c>
      <c r="D5131" s="4"/>
      <c r="E5131" s="4"/>
      <c r="F5131" s="46" t="s">
        <v>2448</v>
      </c>
      <c r="G5131" s="4" t="s">
        <v>336</v>
      </c>
      <c r="H5131" s="4" t="s">
        <v>289</v>
      </c>
      <c r="I5131" s="4">
        <v>1</v>
      </c>
      <c r="J5131" s="21">
        <v>125</v>
      </c>
      <c r="K5131" s="21">
        <v>0</v>
      </c>
      <c r="L5131" s="5">
        <v>0</v>
      </c>
      <c r="M5131" s="4"/>
      <c r="N5131" s="4"/>
      <c r="O5131" s="5"/>
      <c r="P5131" s="5"/>
      <c r="Q5131" s="21">
        <v>125</v>
      </c>
      <c r="R5131" s="21">
        <v>0</v>
      </c>
      <c r="S5131" s="5">
        <f t="shared" si="323"/>
        <v>25256.862073026427</v>
      </c>
      <c r="T5131" cm="1">
        <f t="array" ref="T5131">IF(OR(B5131="MAL ALIMI", B5131="ÜRETİM GİRİŞ"), MIN(I5131, MAX(0, I5131 + SUM(SUMIFS($I$1:I5130, $C$1:C5130, C5131, $B$1:B5130, {"MAL ALIMI","ÜRETİM GİRİŞ"})) - VLOOKUP(C5131, 'STOK RAPORU'!$C$2:$I$1000, 4, 0))), 0)</f>
        <v>0</v>
      </c>
      <c r="U5131" s="22">
        <f t="shared" si="320"/>
        <v>0</v>
      </c>
      <c r="V5131">
        <f t="shared" si="321"/>
        <v>0</v>
      </c>
      <c r="W5131" s="22">
        <f t="shared" si="322"/>
        <v>0</v>
      </c>
    </row>
    <row r="5132" spans="1:23" hidden="1" x14ac:dyDescent="0.25">
      <c r="A5132" s="3">
        <v>46089</v>
      </c>
      <c r="B5132" s="4" t="s">
        <v>334</v>
      </c>
      <c r="C5132" s="4" t="s">
        <v>529</v>
      </c>
      <c r="D5132" s="4"/>
      <c r="E5132" s="4"/>
      <c r="F5132" s="46" t="s">
        <v>2448</v>
      </c>
      <c r="G5132" s="4" t="s">
        <v>336</v>
      </c>
      <c r="H5132" s="4" t="s">
        <v>289</v>
      </c>
      <c r="I5132" s="4">
        <v>0.1</v>
      </c>
      <c r="J5132" s="21">
        <v>600</v>
      </c>
      <c r="K5132" s="21">
        <v>0</v>
      </c>
      <c r="L5132" s="5">
        <v>0</v>
      </c>
      <c r="M5132" s="4"/>
      <c r="N5132" s="4"/>
      <c r="O5132" s="5"/>
      <c r="P5132" s="5"/>
      <c r="Q5132" s="21">
        <v>60</v>
      </c>
      <c r="R5132" s="21">
        <v>0</v>
      </c>
      <c r="S5132" s="5">
        <f t="shared" si="323"/>
        <v>25316.862073026427</v>
      </c>
      <c r="T5132" cm="1">
        <f t="array" ref="T5132">IF(OR(B5132="MAL ALIMI", B5132="ÜRETİM GİRİŞ"), MIN(I5132, MAX(0, I5132 + SUM(SUMIFS($I$1:I5131, $C$1:C5131, C5132, $B$1:B5131, {"MAL ALIMI","ÜRETİM GİRİŞ"})) - VLOOKUP(C5132, 'STOK RAPORU'!$C$2:$I$1000, 4, 0))), 0)</f>
        <v>0</v>
      </c>
      <c r="U5132" s="22">
        <f t="shared" si="320"/>
        <v>0</v>
      </c>
      <c r="V5132">
        <f t="shared" si="321"/>
        <v>0</v>
      </c>
      <c r="W5132" s="22">
        <f t="shared" si="322"/>
        <v>0</v>
      </c>
    </row>
    <row r="5133" spans="1:23" hidden="1" x14ac:dyDescent="0.25">
      <c r="A5133" s="3">
        <v>46089</v>
      </c>
      <c r="B5133" s="4" t="s">
        <v>334</v>
      </c>
      <c r="C5133" s="4" t="s">
        <v>224</v>
      </c>
      <c r="D5133" s="4"/>
      <c r="E5133" s="4"/>
      <c r="F5133" s="46" t="s">
        <v>2448</v>
      </c>
      <c r="G5133" s="4" t="s">
        <v>336</v>
      </c>
      <c r="H5133" s="4" t="s">
        <v>289</v>
      </c>
      <c r="I5133" s="4">
        <v>0.05</v>
      </c>
      <c r="J5133" s="21">
        <v>900</v>
      </c>
      <c r="K5133" s="21">
        <v>0</v>
      </c>
      <c r="L5133" s="5">
        <v>0</v>
      </c>
      <c r="M5133" s="4"/>
      <c r="N5133" s="4"/>
      <c r="O5133" s="5"/>
      <c r="P5133" s="5"/>
      <c r="Q5133" s="21">
        <v>45</v>
      </c>
      <c r="R5133" s="21">
        <v>0</v>
      </c>
      <c r="S5133" s="5">
        <f t="shared" si="323"/>
        <v>25361.862073026427</v>
      </c>
      <c r="T5133" cm="1">
        <f t="array" ref="T5133">IF(OR(B5133="MAL ALIMI", B5133="ÜRETİM GİRİŞ"), MIN(I5133, MAX(0, I5133 + SUM(SUMIFS($I$1:I5132, $C$1:C5132, C5133, $B$1:B5132, {"MAL ALIMI","ÜRETİM GİRİŞ"})) - VLOOKUP(C5133, 'STOK RAPORU'!$C$2:$I$1000, 4, 0))), 0)</f>
        <v>0</v>
      </c>
      <c r="U5133" s="22">
        <f t="shared" si="320"/>
        <v>0</v>
      </c>
      <c r="V5133">
        <f t="shared" si="321"/>
        <v>0</v>
      </c>
      <c r="W5133" s="22">
        <f t="shared" si="322"/>
        <v>0</v>
      </c>
    </row>
    <row r="5134" spans="1:23" hidden="1" x14ac:dyDescent="0.25">
      <c r="A5134" s="41">
        <v>46089</v>
      </c>
      <c r="B5134" s="42" t="s">
        <v>334</v>
      </c>
      <c r="C5134" s="42" t="s">
        <v>523</v>
      </c>
      <c r="D5134" s="42"/>
      <c r="E5134" s="42"/>
      <c r="F5134" s="42" t="s">
        <v>2449</v>
      </c>
      <c r="G5134" s="42" t="s">
        <v>2454</v>
      </c>
      <c r="H5134" s="42" t="s">
        <v>289</v>
      </c>
      <c r="I5134" s="42">
        <v>0.16</v>
      </c>
      <c r="J5134" s="43">
        <v>750</v>
      </c>
      <c r="K5134" s="43">
        <v>0</v>
      </c>
      <c r="L5134" s="44">
        <v>0</v>
      </c>
      <c r="M5134" s="42"/>
      <c r="N5134" s="42"/>
      <c r="O5134" s="44"/>
      <c r="P5134" s="44"/>
      <c r="Q5134" s="43">
        <v>120</v>
      </c>
      <c r="R5134" s="43">
        <v>0</v>
      </c>
      <c r="S5134" s="5">
        <f t="shared" si="323"/>
        <v>25481.862073026427</v>
      </c>
      <c r="T5134" cm="1">
        <f t="array" ref="T5134">IF(OR(B5134="MAL ALIMI", B5134="ÜRETİM GİRİŞ"), MIN(I5134, MAX(0, I5134 + SUM(SUMIFS($I$1:I5133, $C$1:C5133, C5134, $B$1:B5133, {"MAL ALIMI","ÜRETİM GİRİŞ"})) - VLOOKUP(C5134, 'STOK RAPORU'!$C$2:$I$1000, 4, 0))), 0)</f>
        <v>0</v>
      </c>
      <c r="U5134" s="22">
        <f t="shared" si="320"/>
        <v>0</v>
      </c>
      <c r="V5134">
        <f t="shared" si="321"/>
        <v>0</v>
      </c>
      <c r="W5134" s="22">
        <f t="shared" si="322"/>
        <v>0</v>
      </c>
    </row>
    <row r="5135" spans="1:23" hidden="1" x14ac:dyDescent="0.25">
      <c r="A5135" s="3">
        <v>46089</v>
      </c>
      <c r="B5135" s="4" t="s">
        <v>334</v>
      </c>
      <c r="C5135" s="4" t="s">
        <v>96</v>
      </c>
      <c r="D5135" s="4"/>
      <c r="E5135" s="4" t="s">
        <v>921</v>
      </c>
      <c r="F5135" s="46" t="s">
        <v>2450</v>
      </c>
      <c r="G5135" s="4" t="s">
        <v>336</v>
      </c>
      <c r="H5135" s="4" t="s">
        <v>380</v>
      </c>
      <c r="I5135" s="4">
        <v>0.188</v>
      </c>
      <c r="J5135" s="21">
        <v>400</v>
      </c>
      <c r="K5135" s="21">
        <v>75.2</v>
      </c>
      <c r="L5135" s="5">
        <v>0</v>
      </c>
      <c r="M5135" s="4"/>
      <c r="N5135" s="4"/>
      <c r="O5135" s="5"/>
      <c r="P5135" s="5"/>
      <c r="Q5135" s="21">
        <v>0</v>
      </c>
      <c r="R5135" s="21">
        <v>0</v>
      </c>
      <c r="S5135" s="5">
        <f t="shared" si="323"/>
        <v>25481.862073026427</v>
      </c>
      <c r="T5135" cm="1">
        <f t="array" ref="T5135">IF(OR(B5135="MAL ALIMI", B5135="ÜRETİM GİRİŞ"), MIN(I5135, MAX(0, I5135 + SUM(SUMIFS($I$1:I5134, $C$1:C5134, C5135, $B$1:B5134, {"MAL ALIMI","ÜRETİM GİRİŞ"})) - VLOOKUP(C5135, 'STOK RAPORU'!$C$2:$I$1000, 4, 0))), 0)</f>
        <v>0</v>
      </c>
      <c r="U5135" s="22">
        <f t="shared" si="320"/>
        <v>0</v>
      </c>
      <c r="V5135">
        <f t="shared" si="321"/>
        <v>0</v>
      </c>
      <c r="W5135" s="22">
        <f t="shared" si="322"/>
        <v>0</v>
      </c>
    </row>
    <row r="5136" spans="1:23" hidden="1" x14ac:dyDescent="0.25">
      <c r="A5136" s="3">
        <v>46089</v>
      </c>
      <c r="B5136" s="4" t="s">
        <v>334</v>
      </c>
      <c r="C5136" s="4" t="s">
        <v>129</v>
      </c>
      <c r="D5136" s="4"/>
      <c r="E5136" s="4" t="s">
        <v>921</v>
      </c>
      <c r="F5136" s="46" t="s">
        <v>2450</v>
      </c>
      <c r="G5136" s="4" t="s">
        <v>336</v>
      </c>
      <c r="H5136" s="4" t="s">
        <v>380</v>
      </c>
      <c r="I5136" s="4">
        <v>0.04</v>
      </c>
      <c r="J5136" s="21">
        <v>400</v>
      </c>
      <c r="K5136" s="21">
        <v>16</v>
      </c>
      <c r="L5136" s="5">
        <v>0</v>
      </c>
      <c r="M5136" s="4"/>
      <c r="N5136" s="4"/>
      <c r="O5136" s="5"/>
      <c r="P5136" s="5"/>
      <c r="Q5136" s="21">
        <v>0</v>
      </c>
      <c r="R5136" s="21">
        <v>0</v>
      </c>
      <c r="S5136" s="5">
        <f t="shared" si="323"/>
        <v>25481.862073026427</v>
      </c>
      <c r="T5136" cm="1">
        <f t="array" ref="T5136">IF(OR(B5136="MAL ALIMI", B5136="ÜRETİM GİRİŞ"), MIN(I5136, MAX(0, I5136 + SUM(SUMIFS($I$1:I5135, $C$1:C5135, C5136, $B$1:B5135, {"MAL ALIMI","ÜRETİM GİRİŞ"})) - VLOOKUP(C5136, 'STOK RAPORU'!$C$2:$I$1000, 4, 0))), 0)</f>
        <v>0</v>
      </c>
      <c r="U5136" s="22">
        <f t="shared" si="320"/>
        <v>0</v>
      </c>
      <c r="V5136">
        <f t="shared" si="321"/>
        <v>0</v>
      </c>
      <c r="W5136" s="22">
        <f t="shared" si="322"/>
        <v>0</v>
      </c>
    </row>
    <row r="5137" spans="1:23" hidden="1" x14ac:dyDescent="0.25">
      <c r="A5137" s="3">
        <v>46089</v>
      </c>
      <c r="B5137" s="4" t="s">
        <v>334</v>
      </c>
      <c r="C5137" s="4" t="s">
        <v>651</v>
      </c>
      <c r="D5137" s="4"/>
      <c r="E5137" s="4" t="s">
        <v>921</v>
      </c>
      <c r="F5137" s="46" t="s">
        <v>2450</v>
      </c>
      <c r="G5137" s="4" t="s">
        <v>336</v>
      </c>
      <c r="H5137" s="4" t="s">
        <v>380</v>
      </c>
      <c r="I5137" s="4">
        <v>1</v>
      </c>
      <c r="J5137" s="21">
        <v>400</v>
      </c>
      <c r="K5137" s="21">
        <v>400</v>
      </c>
      <c r="L5137" s="5">
        <v>0</v>
      </c>
      <c r="M5137" s="4"/>
      <c r="N5137" s="4"/>
      <c r="O5137" s="5"/>
      <c r="P5137" s="5"/>
      <c r="Q5137" s="21">
        <v>0</v>
      </c>
      <c r="R5137" s="21">
        <v>0</v>
      </c>
      <c r="S5137" s="5">
        <f t="shared" si="323"/>
        <v>25481.862073026427</v>
      </c>
      <c r="T5137" cm="1">
        <f t="array" ref="T5137">IF(OR(B5137="MAL ALIMI", B5137="ÜRETİM GİRİŞ"), MIN(I5137, MAX(0, I5137 + SUM(SUMIFS($I$1:I5136, $C$1:C5136, C5137, $B$1:B5136, {"MAL ALIMI","ÜRETİM GİRİŞ"})) - VLOOKUP(C5137, 'STOK RAPORU'!$C$2:$I$1000, 4, 0))), 0)</f>
        <v>0</v>
      </c>
      <c r="U5137" s="22">
        <f t="shared" si="320"/>
        <v>0</v>
      </c>
      <c r="V5137">
        <f t="shared" si="321"/>
        <v>0</v>
      </c>
      <c r="W5137" s="22">
        <f t="shared" si="322"/>
        <v>0</v>
      </c>
    </row>
    <row r="5138" spans="1:23" hidden="1" x14ac:dyDescent="0.25">
      <c r="A5138" s="3">
        <v>46089</v>
      </c>
      <c r="B5138" s="4" t="s">
        <v>334</v>
      </c>
      <c r="C5138" s="4" t="s">
        <v>156</v>
      </c>
      <c r="D5138" s="4"/>
      <c r="E5138" s="4" t="s">
        <v>921</v>
      </c>
      <c r="F5138" s="46" t="s">
        <v>2450</v>
      </c>
      <c r="G5138" s="4" t="s">
        <v>336</v>
      </c>
      <c r="H5138" s="4" t="s">
        <v>380</v>
      </c>
      <c r="I5138" s="4">
        <v>1</v>
      </c>
      <c r="J5138" s="21">
        <v>200</v>
      </c>
      <c r="K5138" s="21">
        <v>200</v>
      </c>
      <c r="L5138" s="5">
        <v>0</v>
      </c>
      <c r="M5138" s="4"/>
      <c r="N5138" s="4"/>
      <c r="O5138" s="5"/>
      <c r="P5138" s="5"/>
      <c r="Q5138" s="21">
        <v>0</v>
      </c>
      <c r="R5138" s="21">
        <v>0</v>
      </c>
      <c r="S5138" s="5">
        <f t="shared" si="323"/>
        <v>25481.862073026427</v>
      </c>
      <c r="T5138" cm="1">
        <f t="array" ref="T5138">IF(OR(B5138="MAL ALIMI", B5138="ÜRETİM GİRİŞ"), MIN(I5138, MAX(0, I5138 + SUM(SUMIFS($I$1:I5137, $C$1:C5137, C5138, $B$1:B5137, {"MAL ALIMI","ÜRETİM GİRİŞ"})) - VLOOKUP(C5138, 'STOK RAPORU'!$C$2:$I$1000, 4, 0))), 0)</f>
        <v>0</v>
      </c>
      <c r="U5138" s="22">
        <f t="shared" si="320"/>
        <v>0</v>
      </c>
      <c r="V5138">
        <f t="shared" si="321"/>
        <v>0</v>
      </c>
      <c r="W5138" s="22">
        <f t="shared" si="322"/>
        <v>0</v>
      </c>
    </row>
    <row r="5139" spans="1:23" hidden="1" x14ac:dyDescent="0.25">
      <c r="A5139" s="3">
        <v>46089</v>
      </c>
      <c r="B5139" s="4" t="s">
        <v>334</v>
      </c>
      <c r="C5139" s="4" t="s">
        <v>2120</v>
      </c>
      <c r="D5139" s="4"/>
      <c r="E5139" s="4" t="s">
        <v>921</v>
      </c>
      <c r="F5139" s="46" t="s">
        <v>2450</v>
      </c>
      <c r="G5139" s="4" t="s">
        <v>336</v>
      </c>
      <c r="H5139" s="4" t="s">
        <v>380</v>
      </c>
      <c r="I5139" s="4">
        <v>0.98199999999999998</v>
      </c>
      <c r="J5139" s="21">
        <v>65</v>
      </c>
      <c r="K5139" s="21">
        <v>63.83</v>
      </c>
      <c r="L5139" s="5">
        <v>0</v>
      </c>
      <c r="M5139" s="4"/>
      <c r="N5139" s="4"/>
      <c r="O5139" s="5"/>
      <c r="P5139" s="5"/>
      <c r="Q5139" s="21">
        <v>0</v>
      </c>
      <c r="R5139" s="21">
        <v>0</v>
      </c>
      <c r="S5139" s="5">
        <f t="shared" si="323"/>
        <v>25481.862073026427</v>
      </c>
      <c r="T5139" cm="1">
        <f t="array" ref="T5139">IF(OR(B5139="MAL ALIMI", B5139="ÜRETİM GİRİŞ"), MIN(I5139, MAX(0, I5139 + SUM(SUMIFS($I$1:I5138, $C$1:C5138, C5139, $B$1:B5138, {"MAL ALIMI","ÜRETİM GİRİŞ"})) - VLOOKUP(C5139, 'STOK RAPORU'!$C$2:$I$1000, 4, 0))), 0)</f>
        <v>0</v>
      </c>
      <c r="U5139" s="22">
        <f t="shared" si="320"/>
        <v>0</v>
      </c>
      <c r="V5139">
        <f t="shared" si="321"/>
        <v>0</v>
      </c>
      <c r="W5139" s="22">
        <f t="shared" si="322"/>
        <v>0</v>
      </c>
    </row>
    <row r="5140" spans="1:23" hidden="1" x14ac:dyDescent="0.25">
      <c r="A5140" s="3">
        <v>46089</v>
      </c>
      <c r="B5140" s="4" t="s">
        <v>334</v>
      </c>
      <c r="C5140" s="4" t="s">
        <v>126</v>
      </c>
      <c r="D5140" s="4"/>
      <c r="E5140" s="4" t="s">
        <v>921</v>
      </c>
      <c r="F5140" s="46" t="s">
        <v>2450</v>
      </c>
      <c r="G5140" s="4" t="s">
        <v>336</v>
      </c>
      <c r="H5140" s="4" t="s">
        <v>380</v>
      </c>
      <c r="I5140" s="4">
        <v>8.2000000000000003E-2</v>
      </c>
      <c r="J5140" s="21">
        <v>650</v>
      </c>
      <c r="K5140" s="21">
        <v>53.300000000000004</v>
      </c>
      <c r="L5140" s="5">
        <v>0</v>
      </c>
      <c r="M5140" s="4"/>
      <c r="N5140" s="4"/>
      <c r="O5140" s="5"/>
      <c r="P5140" s="5"/>
      <c r="Q5140" s="21">
        <v>0</v>
      </c>
      <c r="R5140" s="21">
        <v>0</v>
      </c>
      <c r="S5140" s="5">
        <f t="shared" si="323"/>
        <v>25481.862073026427</v>
      </c>
      <c r="T5140" cm="1">
        <f t="array" ref="T5140">IF(OR(B5140="MAL ALIMI", B5140="ÜRETİM GİRİŞ"), MIN(I5140, MAX(0, I5140 + SUM(SUMIFS($I$1:I5139, $C$1:C5139, C5140, $B$1:B5139, {"MAL ALIMI","ÜRETİM GİRİŞ"})) - VLOOKUP(C5140, 'STOK RAPORU'!$C$2:$I$1000, 4, 0))), 0)</f>
        <v>0</v>
      </c>
      <c r="U5140" s="22">
        <f t="shared" si="320"/>
        <v>0</v>
      </c>
      <c r="V5140">
        <f t="shared" si="321"/>
        <v>0</v>
      </c>
      <c r="W5140" s="22">
        <f t="shared" si="322"/>
        <v>0</v>
      </c>
    </row>
    <row r="5141" spans="1:23" hidden="1" x14ac:dyDescent="0.25">
      <c r="A5141" s="3">
        <v>46089</v>
      </c>
      <c r="B5141" s="4" t="s">
        <v>334</v>
      </c>
      <c r="C5141" s="4" t="s">
        <v>60</v>
      </c>
      <c r="D5141" s="4"/>
      <c r="E5141" s="4" t="s">
        <v>921</v>
      </c>
      <c r="F5141" s="46" t="s">
        <v>2450</v>
      </c>
      <c r="G5141" s="4" t="s">
        <v>336</v>
      </c>
      <c r="H5141" s="4" t="s">
        <v>380</v>
      </c>
      <c r="I5141" s="4">
        <v>0.05</v>
      </c>
      <c r="J5141" s="21">
        <v>1200</v>
      </c>
      <c r="K5141" s="21">
        <v>60</v>
      </c>
      <c r="L5141" s="5">
        <v>0</v>
      </c>
      <c r="M5141" s="4"/>
      <c r="N5141" s="4"/>
      <c r="O5141" s="5"/>
      <c r="P5141" s="5"/>
      <c r="Q5141" s="21">
        <v>0</v>
      </c>
      <c r="R5141" s="21">
        <v>0</v>
      </c>
      <c r="S5141" s="5">
        <f t="shared" si="323"/>
        <v>25481.862073026427</v>
      </c>
      <c r="T5141" cm="1">
        <f t="array" ref="T5141">IF(OR(B5141="MAL ALIMI", B5141="ÜRETİM GİRİŞ"), MIN(I5141, MAX(0, I5141 + SUM(SUMIFS($I$1:I5140, $C$1:C5140, C5141, $B$1:B5140, {"MAL ALIMI","ÜRETİM GİRİŞ"})) - VLOOKUP(C5141, 'STOK RAPORU'!$C$2:$I$1000, 4, 0))), 0)</f>
        <v>0</v>
      </c>
      <c r="U5141" s="22">
        <f t="shared" si="320"/>
        <v>0</v>
      </c>
      <c r="V5141">
        <f t="shared" si="321"/>
        <v>0</v>
      </c>
      <c r="W5141" s="22">
        <f t="shared" si="322"/>
        <v>0</v>
      </c>
    </row>
    <row r="5142" spans="1:23" hidden="1" x14ac:dyDescent="0.25">
      <c r="A5142" s="3">
        <v>46089</v>
      </c>
      <c r="B5142" s="4" t="s">
        <v>334</v>
      </c>
      <c r="C5142" s="4" t="s">
        <v>1634</v>
      </c>
      <c r="D5142" s="4"/>
      <c r="E5142" s="4"/>
      <c r="F5142" s="46" t="s">
        <v>2451</v>
      </c>
      <c r="G5142" s="4" t="s">
        <v>336</v>
      </c>
      <c r="H5142" s="4" t="s">
        <v>289</v>
      </c>
      <c r="I5142" s="4">
        <v>1</v>
      </c>
      <c r="J5142" s="21">
        <v>300</v>
      </c>
      <c r="K5142" s="21">
        <v>0</v>
      </c>
      <c r="L5142" s="5">
        <v>0</v>
      </c>
      <c r="M5142" s="4"/>
      <c r="N5142" s="4"/>
      <c r="O5142" s="5"/>
      <c r="P5142" s="5"/>
      <c r="Q5142" s="21">
        <v>300</v>
      </c>
      <c r="R5142" s="21">
        <v>0</v>
      </c>
      <c r="S5142" s="5">
        <f t="shared" si="323"/>
        <v>25781.862073026427</v>
      </c>
      <c r="T5142" cm="1">
        <f t="array" ref="T5142">IF(OR(B5142="MAL ALIMI", B5142="ÜRETİM GİRİŞ"), MIN(I5142, MAX(0, I5142 + SUM(SUMIFS($I$1:I5141, $C$1:C5141, C5142, $B$1:B5141, {"MAL ALIMI","ÜRETİM GİRİŞ"})) - VLOOKUP(C5142, 'STOK RAPORU'!$C$2:$I$1000, 4, 0))), 0)</f>
        <v>0</v>
      </c>
      <c r="U5142" s="22">
        <f t="shared" si="320"/>
        <v>0</v>
      </c>
      <c r="V5142">
        <f t="shared" si="321"/>
        <v>0</v>
      </c>
      <c r="W5142" s="22">
        <f t="shared" si="322"/>
        <v>0</v>
      </c>
    </row>
    <row r="5143" spans="1:23" hidden="1" x14ac:dyDescent="0.25">
      <c r="A5143" s="3">
        <v>46089</v>
      </c>
      <c r="B5143" s="4" t="s">
        <v>334</v>
      </c>
      <c r="C5143" s="4" t="s">
        <v>1024</v>
      </c>
      <c r="D5143" s="4"/>
      <c r="E5143" s="4"/>
      <c r="F5143" s="46" t="s">
        <v>2456</v>
      </c>
      <c r="G5143" s="4" t="s">
        <v>336</v>
      </c>
      <c r="H5143" s="4" t="s">
        <v>289</v>
      </c>
      <c r="I5143" s="4">
        <v>1.3384615384615384</v>
      </c>
      <c r="J5143" s="21">
        <v>65</v>
      </c>
      <c r="K5143" s="21">
        <v>0</v>
      </c>
      <c r="L5143" s="5">
        <v>0</v>
      </c>
      <c r="M5143" s="4"/>
      <c r="N5143" s="4"/>
      <c r="O5143" s="5"/>
      <c r="P5143" s="5"/>
      <c r="Q5143" s="21">
        <v>87</v>
      </c>
      <c r="R5143" s="21">
        <v>0</v>
      </c>
      <c r="S5143" s="5">
        <f t="shared" si="323"/>
        <v>25868.862073026427</v>
      </c>
      <c r="T5143" cm="1">
        <f t="array" ref="T5143">IF(OR(B5143="MAL ALIMI", B5143="ÜRETİM GİRİŞ"), MIN(I5143, MAX(0, I5143 + SUM(SUMIFS($I$1:I5142, $C$1:C5142, C5143, $B$1:B5142, {"MAL ALIMI","ÜRETİM GİRİŞ"})) - VLOOKUP(C5143, 'STOK RAPORU'!$C$2:$I$1000, 4, 0))), 0)</f>
        <v>0</v>
      </c>
      <c r="U5143" s="22">
        <f t="shared" si="320"/>
        <v>0</v>
      </c>
      <c r="V5143">
        <f t="shared" si="321"/>
        <v>0</v>
      </c>
      <c r="W5143" s="22">
        <f t="shared" si="322"/>
        <v>0</v>
      </c>
    </row>
    <row r="5144" spans="1:23" hidden="1" x14ac:dyDescent="0.25">
      <c r="A5144" s="3">
        <v>46089</v>
      </c>
      <c r="B5144" s="4" t="s">
        <v>334</v>
      </c>
      <c r="C5144" s="4" t="s">
        <v>651</v>
      </c>
      <c r="D5144" s="4"/>
      <c r="E5144" s="4"/>
      <c r="F5144" s="46" t="s">
        <v>2456</v>
      </c>
      <c r="G5144" s="4" t="s">
        <v>336</v>
      </c>
      <c r="H5144" s="4" t="s">
        <v>289</v>
      </c>
      <c r="I5144" s="4">
        <v>1</v>
      </c>
      <c r="J5144" s="21">
        <v>400</v>
      </c>
      <c r="K5144" s="21">
        <v>0</v>
      </c>
      <c r="L5144" s="5">
        <v>0</v>
      </c>
      <c r="M5144" s="4"/>
      <c r="N5144" s="4"/>
      <c r="O5144" s="5"/>
      <c r="P5144" s="5"/>
      <c r="Q5144" s="21">
        <v>400</v>
      </c>
      <c r="R5144" s="21">
        <v>0</v>
      </c>
      <c r="S5144" s="5">
        <f t="shared" si="323"/>
        <v>26268.862073026427</v>
      </c>
      <c r="T5144" cm="1">
        <f t="array" ref="T5144">IF(OR(B5144="MAL ALIMI", B5144="ÜRETİM GİRİŞ"), MIN(I5144, MAX(0, I5144 + SUM(SUMIFS($I$1:I5143, $C$1:C5143, C5144, $B$1:B5143, {"MAL ALIMI","ÜRETİM GİRİŞ"})) - VLOOKUP(C5144, 'STOK RAPORU'!$C$2:$I$1000, 4, 0))), 0)</f>
        <v>0</v>
      </c>
      <c r="U5144" s="22">
        <f t="shared" si="320"/>
        <v>0</v>
      </c>
      <c r="V5144">
        <f t="shared" si="321"/>
        <v>0</v>
      </c>
      <c r="W5144" s="22">
        <f t="shared" si="322"/>
        <v>0</v>
      </c>
    </row>
    <row r="5145" spans="1:23" hidden="1" x14ac:dyDescent="0.25">
      <c r="A5145" s="3">
        <v>46089</v>
      </c>
      <c r="B5145" s="4" t="s">
        <v>334</v>
      </c>
      <c r="C5145" s="4" t="s">
        <v>3383</v>
      </c>
      <c r="D5145" s="4"/>
      <c r="E5145" s="4"/>
      <c r="F5145" s="46" t="s">
        <v>2456</v>
      </c>
      <c r="G5145" s="4" t="s">
        <v>336</v>
      </c>
      <c r="H5145" s="4" t="s">
        <v>289</v>
      </c>
      <c r="I5145" s="4">
        <v>0.5</v>
      </c>
      <c r="J5145" s="21">
        <v>50</v>
      </c>
      <c r="K5145" s="21">
        <v>0</v>
      </c>
      <c r="L5145" s="5">
        <v>0</v>
      </c>
      <c r="M5145" s="4"/>
      <c r="N5145" s="4"/>
      <c r="O5145" s="5"/>
      <c r="P5145" s="5"/>
      <c r="Q5145" s="21">
        <v>25</v>
      </c>
      <c r="R5145" s="21">
        <v>0</v>
      </c>
      <c r="S5145" s="5">
        <f t="shared" si="323"/>
        <v>26293.862073026427</v>
      </c>
      <c r="T5145" cm="1">
        <f t="array" ref="T5145">IF(OR(B5145="MAL ALIMI", B5145="ÜRETİM GİRİŞ"), MIN(I5145, MAX(0, I5145 + SUM(SUMIFS($I$1:I5144, $C$1:C5144, C5145, $B$1:B5144, {"MAL ALIMI","ÜRETİM GİRİŞ"})) - VLOOKUP(C5145, 'STOK RAPORU'!$C$2:$I$1000, 4, 0))), 0)</f>
        <v>0</v>
      </c>
      <c r="U5145" s="22">
        <f t="shared" si="320"/>
        <v>0</v>
      </c>
      <c r="V5145">
        <f t="shared" si="321"/>
        <v>0</v>
      </c>
      <c r="W5145" s="22">
        <f t="shared" si="322"/>
        <v>0</v>
      </c>
    </row>
    <row r="5146" spans="1:23" hidden="1" x14ac:dyDescent="0.25">
      <c r="A5146" s="3">
        <v>46089</v>
      </c>
      <c r="B5146" s="4" t="s">
        <v>334</v>
      </c>
      <c r="C5146" s="4" t="s">
        <v>160</v>
      </c>
      <c r="D5146" s="4"/>
      <c r="E5146" s="4"/>
      <c r="F5146" s="46" t="s">
        <v>2456</v>
      </c>
      <c r="G5146" s="4" t="s">
        <v>336</v>
      </c>
      <c r="H5146" s="4" t="s">
        <v>289</v>
      </c>
      <c r="I5146" s="4">
        <v>1</v>
      </c>
      <c r="J5146" s="21">
        <v>250</v>
      </c>
      <c r="K5146" s="21">
        <v>0</v>
      </c>
      <c r="L5146" s="5">
        <v>0</v>
      </c>
      <c r="M5146" s="4"/>
      <c r="N5146" s="4"/>
      <c r="O5146" s="5"/>
      <c r="P5146" s="5"/>
      <c r="Q5146" s="21">
        <v>250</v>
      </c>
      <c r="R5146" s="21">
        <v>0</v>
      </c>
      <c r="S5146" s="5">
        <f t="shared" si="323"/>
        <v>26543.862073026427</v>
      </c>
      <c r="T5146" cm="1">
        <f t="array" ref="T5146">IF(OR(B5146="MAL ALIMI", B5146="ÜRETİM GİRİŞ"), MIN(I5146, MAX(0, I5146 + SUM(SUMIFS($I$1:I5145, $C$1:C5145, C5146, $B$1:B5145, {"MAL ALIMI","ÜRETİM GİRİŞ"})) - VLOOKUP(C5146, 'STOK RAPORU'!$C$2:$I$1000, 4, 0))), 0)</f>
        <v>0</v>
      </c>
      <c r="U5146" s="22">
        <f t="shared" si="320"/>
        <v>0</v>
      </c>
      <c r="V5146">
        <f t="shared" si="321"/>
        <v>0</v>
      </c>
      <c r="W5146" s="22">
        <f t="shared" si="322"/>
        <v>0</v>
      </c>
    </row>
    <row r="5147" spans="1:23" hidden="1" x14ac:dyDescent="0.25">
      <c r="A5147" s="3">
        <v>46089</v>
      </c>
      <c r="B5147" s="4" t="s">
        <v>334</v>
      </c>
      <c r="C5147" s="4" t="s">
        <v>140</v>
      </c>
      <c r="D5147" s="4"/>
      <c r="E5147" s="4" t="s">
        <v>921</v>
      </c>
      <c r="F5147" s="46" t="s">
        <v>2457</v>
      </c>
      <c r="G5147" s="4" t="s">
        <v>336</v>
      </c>
      <c r="H5147" s="4" t="s">
        <v>380</v>
      </c>
      <c r="I5147" s="4">
        <v>0.11666666666666667</v>
      </c>
      <c r="J5147" s="21">
        <v>300</v>
      </c>
      <c r="K5147" s="21">
        <v>35</v>
      </c>
      <c r="L5147" s="5">
        <v>0</v>
      </c>
      <c r="M5147" s="4"/>
      <c r="N5147" s="4"/>
      <c r="O5147" s="5"/>
      <c r="P5147" s="5"/>
      <c r="Q5147" s="21">
        <v>0</v>
      </c>
      <c r="R5147" s="21">
        <v>0</v>
      </c>
      <c r="S5147" s="5">
        <f t="shared" si="323"/>
        <v>26543.862073026427</v>
      </c>
      <c r="T5147" cm="1">
        <f t="array" ref="T5147">IF(OR(B5147="MAL ALIMI", B5147="ÜRETİM GİRİŞ"), MIN(I5147, MAX(0, I5147 + SUM(SUMIFS($I$1:I5146, $C$1:C5146, C5147, $B$1:B5146, {"MAL ALIMI","ÜRETİM GİRİŞ"})) - VLOOKUP(C5147, 'STOK RAPORU'!$C$2:$I$1000, 4, 0))), 0)</f>
        <v>0</v>
      </c>
      <c r="U5147" s="22">
        <f t="shared" si="320"/>
        <v>0</v>
      </c>
      <c r="V5147">
        <f t="shared" si="321"/>
        <v>0</v>
      </c>
      <c r="W5147" s="22">
        <f t="shared" si="322"/>
        <v>0</v>
      </c>
    </row>
    <row r="5148" spans="1:23" hidden="1" x14ac:dyDescent="0.25">
      <c r="A5148" s="3">
        <v>46089</v>
      </c>
      <c r="B5148" s="4" t="s">
        <v>334</v>
      </c>
      <c r="C5148" s="4" t="s">
        <v>2129</v>
      </c>
      <c r="D5148" s="4"/>
      <c r="E5148" s="4"/>
      <c r="F5148" s="46" t="s">
        <v>2458</v>
      </c>
      <c r="G5148" s="4" t="s">
        <v>336</v>
      </c>
      <c r="H5148" s="4" t="s">
        <v>289</v>
      </c>
      <c r="I5148" s="4">
        <v>0.97619047619047616</v>
      </c>
      <c r="J5148" s="21">
        <v>420</v>
      </c>
      <c r="K5148" s="21">
        <v>0</v>
      </c>
      <c r="L5148" s="5">
        <v>0</v>
      </c>
      <c r="M5148" s="4"/>
      <c r="N5148" s="4"/>
      <c r="O5148" s="5"/>
      <c r="P5148" s="5"/>
      <c r="Q5148" s="21">
        <v>410</v>
      </c>
      <c r="R5148" s="21">
        <v>0</v>
      </c>
      <c r="S5148" s="5">
        <f t="shared" si="323"/>
        <v>26953.862073026427</v>
      </c>
      <c r="T5148" cm="1">
        <f t="array" ref="T5148">IF(OR(B5148="MAL ALIMI", B5148="ÜRETİM GİRİŞ"), MIN(I5148, MAX(0, I5148 + SUM(SUMIFS($I$1:I5147, $C$1:C5147, C5148, $B$1:B5147, {"MAL ALIMI","ÜRETİM GİRİŞ"})) - VLOOKUP(C5148, 'STOK RAPORU'!$C$2:$I$1000, 4, 0))), 0)</f>
        <v>0</v>
      </c>
      <c r="U5148" s="22">
        <f t="shared" si="320"/>
        <v>0</v>
      </c>
      <c r="V5148">
        <f t="shared" si="321"/>
        <v>0</v>
      </c>
      <c r="W5148" s="22">
        <f t="shared" si="322"/>
        <v>0</v>
      </c>
    </row>
    <row r="5149" spans="1:23" hidden="1" x14ac:dyDescent="0.25">
      <c r="A5149" s="3">
        <v>46089</v>
      </c>
      <c r="B5149" s="4" t="s">
        <v>334</v>
      </c>
      <c r="C5149" s="4" t="s">
        <v>2124</v>
      </c>
      <c r="D5149" s="4"/>
      <c r="E5149" s="4" t="s">
        <v>921</v>
      </c>
      <c r="F5149" s="46" t="s">
        <v>2459</v>
      </c>
      <c r="G5149" s="4" t="s">
        <v>336</v>
      </c>
      <c r="H5149" s="4" t="s">
        <v>380</v>
      </c>
      <c r="I5149" s="4">
        <v>0.26</v>
      </c>
      <c r="J5149" s="21">
        <v>500</v>
      </c>
      <c r="K5149" s="21">
        <v>130</v>
      </c>
      <c r="L5149" s="5">
        <v>0</v>
      </c>
      <c r="M5149" s="4"/>
      <c r="N5149" s="4"/>
      <c r="O5149" s="5"/>
      <c r="P5149" s="5"/>
      <c r="Q5149" s="21">
        <v>0</v>
      </c>
      <c r="R5149" s="21">
        <v>0</v>
      </c>
      <c r="S5149" s="5">
        <f t="shared" si="323"/>
        <v>26953.862073026427</v>
      </c>
      <c r="T5149" cm="1">
        <f t="array" ref="T5149">IF(OR(B5149="MAL ALIMI", B5149="ÜRETİM GİRİŞ"), MIN(I5149, MAX(0, I5149 + SUM(SUMIFS($I$1:I5148, $C$1:C5148, C5149, $B$1:B5148, {"MAL ALIMI","ÜRETİM GİRİŞ"})) - VLOOKUP(C5149, 'STOK RAPORU'!$C$2:$I$1000, 4, 0))), 0)</f>
        <v>0</v>
      </c>
      <c r="U5149" s="22">
        <f t="shared" si="320"/>
        <v>0</v>
      </c>
      <c r="V5149">
        <f t="shared" si="321"/>
        <v>0</v>
      </c>
      <c r="W5149" s="22">
        <f t="shared" si="322"/>
        <v>0</v>
      </c>
    </row>
    <row r="5150" spans="1:23" hidden="1" x14ac:dyDescent="0.25">
      <c r="A5150" s="3">
        <v>46089</v>
      </c>
      <c r="B5150" s="4" t="s">
        <v>334</v>
      </c>
      <c r="C5150" s="4" t="s">
        <v>92</v>
      </c>
      <c r="D5150" s="4"/>
      <c r="E5150" s="4" t="s">
        <v>921</v>
      </c>
      <c r="F5150" s="46" t="s">
        <v>2459</v>
      </c>
      <c r="G5150" s="4" t="s">
        <v>336</v>
      </c>
      <c r="H5150" s="4" t="s">
        <v>380</v>
      </c>
      <c r="I5150" s="4">
        <v>0.11</v>
      </c>
      <c r="J5150" s="21">
        <v>500</v>
      </c>
      <c r="K5150" s="21">
        <v>55</v>
      </c>
      <c r="L5150" s="5">
        <v>0</v>
      </c>
      <c r="M5150" s="4"/>
      <c r="N5150" s="4"/>
      <c r="O5150" s="5"/>
      <c r="P5150" s="5"/>
      <c r="Q5150" s="21">
        <v>0</v>
      </c>
      <c r="R5150" s="21">
        <v>0</v>
      </c>
      <c r="S5150" s="5">
        <f t="shared" si="323"/>
        <v>26953.862073026427</v>
      </c>
      <c r="T5150" cm="1">
        <f t="array" ref="T5150">IF(OR(B5150="MAL ALIMI", B5150="ÜRETİM GİRİŞ"), MIN(I5150, MAX(0, I5150 + SUM(SUMIFS($I$1:I5149, $C$1:C5149, C5150, $B$1:B5149, {"MAL ALIMI","ÜRETİM GİRİŞ"})) - VLOOKUP(C5150, 'STOK RAPORU'!$C$2:$I$1000, 4, 0))), 0)</f>
        <v>0</v>
      </c>
      <c r="U5150" s="22">
        <f t="shared" si="320"/>
        <v>0</v>
      </c>
      <c r="V5150">
        <f t="shared" si="321"/>
        <v>0</v>
      </c>
      <c r="W5150" s="22">
        <f t="shared" si="322"/>
        <v>0</v>
      </c>
    </row>
    <row r="5151" spans="1:23" hidden="1" x14ac:dyDescent="0.25">
      <c r="A5151" s="3">
        <v>46089</v>
      </c>
      <c r="B5151" s="4" t="s">
        <v>334</v>
      </c>
      <c r="C5151" s="4" t="s">
        <v>209</v>
      </c>
      <c r="D5151" s="4"/>
      <c r="E5151" s="4" t="s">
        <v>921</v>
      </c>
      <c r="F5151" s="46" t="s">
        <v>2460</v>
      </c>
      <c r="G5151" s="4" t="s">
        <v>336</v>
      </c>
      <c r="H5151" s="4" t="s">
        <v>380</v>
      </c>
      <c r="I5151" s="4">
        <v>0.05</v>
      </c>
      <c r="J5151" s="21">
        <v>2600</v>
      </c>
      <c r="K5151" s="21">
        <v>130</v>
      </c>
      <c r="L5151" s="5">
        <v>0</v>
      </c>
      <c r="M5151" s="4"/>
      <c r="N5151" s="4"/>
      <c r="O5151" s="5"/>
      <c r="P5151" s="5"/>
      <c r="Q5151" s="21">
        <v>0</v>
      </c>
      <c r="R5151" s="21">
        <v>0</v>
      </c>
      <c r="S5151" s="5">
        <f t="shared" si="323"/>
        <v>26953.862073026427</v>
      </c>
      <c r="T5151" cm="1">
        <f t="array" ref="T5151">IF(OR(B5151="MAL ALIMI", B5151="ÜRETİM GİRİŞ"), MIN(I5151, MAX(0, I5151 + SUM(SUMIFS($I$1:I5150, $C$1:C5150, C5151, $B$1:B5150, {"MAL ALIMI","ÜRETİM GİRİŞ"})) - VLOOKUP(C5151, 'STOK RAPORU'!$C$2:$I$1000, 4, 0))), 0)</f>
        <v>0</v>
      </c>
      <c r="U5151" s="22">
        <f t="shared" si="320"/>
        <v>0</v>
      </c>
      <c r="V5151">
        <f t="shared" si="321"/>
        <v>0</v>
      </c>
      <c r="W5151" s="22">
        <f t="shared" si="322"/>
        <v>0</v>
      </c>
    </row>
    <row r="5152" spans="1:23" hidden="1" x14ac:dyDescent="0.25">
      <c r="A5152" s="3">
        <v>46089</v>
      </c>
      <c r="B5152" s="4" t="s">
        <v>334</v>
      </c>
      <c r="C5152" s="4" t="s">
        <v>524</v>
      </c>
      <c r="D5152" s="4"/>
      <c r="E5152" s="4" t="s">
        <v>921</v>
      </c>
      <c r="F5152" s="46" t="s">
        <v>2460</v>
      </c>
      <c r="G5152" s="4" t="s">
        <v>336</v>
      </c>
      <c r="H5152" s="4" t="s">
        <v>380</v>
      </c>
      <c r="I5152" s="4">
        <v>0.1</v>
      </c>
      <c r="J5152" s="21">
        <v>400</v>
      </c>
      <c r="K5152" s="21">
        <v>40</v>
      </c>
      <c r="L5152" s="5">
        <v>0</v>
      </c>
      <c r="M5152" s="4"/>
      <c r="N5152" s="4"/>
      <c r="O5152" s="5"/>
      <c r="P5152" s="5"/>
      <c r="Q5152" s="21">
        <v>0</v>
      </c>
      <c r="R5152" s="21">
        <v>0</v>
      </c>
      <c r="S5152" s="5">
        <f t="shared" si="323"/>
        <v>26953.862073026427</v>
      </c>
      <c r="T5152" cm="1">
        <f t="array" ref="T5152">IF(OR(B5152="MAL ALIMI", B5152="ÜRETİM GİRİŞ"), MIN(I5152, MAX(0, I5152 + SUM(SUMIFS($I$1:I5151, $C$1:C5151, C5152, $B$1:B5151, {"MAL ALIMI","ÜRETİM GİRİŞ"})) - VLOOKUP(C5152, 'STOK RAPORU'!$C$2:$I$1000, 4, 0))), 0)</f>
        <v>0</v>
      </c>
      <c r="U5152" s="22">
        <f t="shared" si="320"/>
        <v>0</v>
      </c>
      <c r="V5152">
        <f t="shared" si="321"/>
        <v>0</v>
      </c>
      <c r="W5152" s="22">
        <f t="shared" si="322"/>
        <v>0</v>
      </c>
    </row>
    <row r="5153" spans="1:23" hidden="1" x14ac:dyDescent="0.25">
      <c r="A5153" s="3">
        <v>46089</v>
      </c>
      <c r="B5153" s="4" t="s">
        <v>334</v>
      </c>
      <c r="C5153" s="4" t="s">
        <v>98</v>
      </c>
      <c r="D5153" s="4"/>
      <c r="E5153" s="4" t="s">
        <v>921</v>
      </c>
      <c r="F5153" s="46" t="s">
        <v>2460</v>
      </c>
      <c r="G5153" s="4" t="s">
        <v>336</v>
      </c>
      <c r="H5153" s="4" t="s">
        <v>380</v>
      </c>
      <c r="I5153" s="4">
        <v>0.1</v>
      </c>
      <c r="J5153" s="21">
        <v>400</v>
      </c>
      <c r="K5153" s="21">
        <v>40</v>
      </c>
      <c r="L5153" s="5">
        <v>0</v>
      </c>
      <c r="M5153" s="4"/>
      <c r="N5153" s="4"/>
      <c r="O5153" s="5"/>
      <c r="P5153" s="5"/>
      <c r="Q5153" s="21">
        <v>0</v>
      </c>
      <c r="R5153" s="21">
        <v>0</v>
      </c>
      <c r="S5153" s="5">
        <f t="shared" si="323"/>
        <v>26953.862073026427</v>
      </c>
      <c r="T5153" cm="1">
        <f t="array" ref="T5153">IF(OR(B5153="MAL ALIMI", B5153="ÜRETİM GİRİŞ"), MIN(I5153, MAX(0, I5153 + SUM(SUMIFS($I$1:I5152, $C$1:C5152, C5153, $B$1:B5152, {"MAL ALIMI","ÜRETİM GİRİŞ"})) - VLOOKUP(C5153, 'STOK RAPORU'!$C$2:$I$1000, 4, 0))), 0)</f>
        <v>0</v>
      </c>
      <c r="U5153" s="22">
        <f t="shared" si="320"/>
        <v>0</v>
      </c>
      <c r="V5153">
        <f t="shared" si="321"/>
        <v>0</v>
      </c>
      <c r="W5153" s="22">
        <f t="shared" si="322"/>
        <v>0</v>
      </c>
    </row>
    <row r="5154" spans="1:23" hidden="1" x14ac:dyDescent="0.25">
      <c r="A5154" s="3">
        <v>46089</v>
      </c>
      <c r="B5154" s="4" t="s">
        <v>334</v>
      </c>
      <c r="C5154" s="4" t="s">
        <v>140</v>
      </c>
      <c r="D5154" s="4"/>
      <c r="E5154" s="4" t="s">
        <v>921</v>
      </c>
      <c r="F5154" s="46" t="s">
        <v>2460</v>
      </c>
      <c r="G5154" s="4" t="s">
        <v>336</v>
      </c>
      <c r="H5154" s="4" t="s">
        <v>380</v>
      </c>
      <c r="I5154" s="4">
        <v>0.13333333333333333</v>
      </c>
      <c r="J5154" s="21">
        <v>300</v>
      </c>
      <c r="K5154" s="21">
        <v>40</v>
      </c>
      <c r="L5154" s="5">
        <v>0</v>
      </c>
      <c r="M5154" s="4"/>
      <c r="N5154" s="4"/>
      <c r="O5154" s="5"/>
      <c r="P5154" s="5"/>
      <c r="Q5154" s="21">
        <v>0</v>
      </c>
      <c r="R5154" s="21">
        <v>0</v>
      </c>
      <c r="S5154" s="5">
        <f t="shared" si="323"/>
        <v>26953.862073026427</v>
      </c>
      <c r="T5154" cm="1">
        <f t="array" ref="T5154">IF(OR(B5154="MAL ALIMI", B5154="ÜRETİM GİRİŞ"), MIN(I5154, MAX(0, I5154 + SUM(SUMIFS($I$1:I5153, $C$1:C5153, C5154, $B$1:B5153, {"MAL ALIMI","ÜRETİM GİRİŞ"})) - VLOOKUP(C5154, 'STOK RAPORU'!$C$2:$I$1000, 4, 0))), 0)</f>
        <v>0</v>
      </c>
      <c r="U5154" s="22">
        <f t="shared" si="320"/>
        <v>0</v>
      </c>
      <c r="V5154">
        <f t="shared" si="321"/>
        <v>0</v>
      </c>
      <c r="W5154" s="22">
        <f t="shared" si="322"/>
        <v>0</v>
      </c>
    </row>
    <row r="5155" spans="1:23" hidden="1" x14ac:dyDescent="0.25">
      <c r="A5155" s="3">
        <v>46089</v>
      </c>
      <c r="B5155" s="4" t="s">
        <v>334</v>
      </c>
      <c r="C5155" s="4" t="s">
        <v>237</v>
      </c>
      <c r="D5155" s="4"/>
      <c r="E5155" s="4"/>
      <c r="F5155" s="46" t="s">
        <v>2461</v>
      </c>
      <c r="G5155" s="4" t="s">
        <v>336</v>
      </c>
      <c r="H5155" s="4" t="s">
        <v>289</v>
      </c>
      <c r="I5155" s="4">
        <v>0.05</v>
      </c>
      <c r="J5155" s="21">
        <v>1800</v>
      </c>
      <c r="K5155" s="21">
        <v>0</v>
      </c>
      <c r="L5155" s="5">
        <v>0</v>
      </c>
      <c r="M5155" s="4"/>
      <c r="N5155" s="4"/>
      <c r="O5155" s="5"/>
      <c r="P5155" s="5"/>
      <c r="Q5155" s="21">
        <v>90</v>
      </c>
      <c r="R5155" s="21">
        <v>0</v>
      </c>
      <c r="S5155" s="5">
        <f t="shared" si="323"/>
        <v>27043.862073026427</v>
      </c>
      <c r="T5155" cm="1">
        <f t="array" ref="T5155">IF(OR(B5155="MAL ALIMI", B5155="ÜRETİM GİRİŞ"), MIN(I5155, MAX(0, I5155 + SUM(SUMIFS($I$1:I5154, $C$1:C5154, C5155, $B$1:B5154, {"MAL ALIMI","ÜRETİM GİRİŞ"})) - VLOOKUP(C5155, 'STOK RAPORU'!$C$2:$I$1000, 4, 0))), 0)</f>
        <v>0</v>
      </c>
      <c r="U5155" s="22">
        <f t="shared" si="320"/>
        <v>0</v>
      </c>
      <c r="V5155">
        <f t="shared" si="321"/>
        <v>0</v>
      </c>
      <c r="W5155" s="22">
        <f t="shared" si="322"/>
        <v>0</v>
      </c>
    </row>
    <row r="5156" spans="1:23" hidden="1" x14ac:dyDescent="0.25">
      <c r="A5156" s="3">
        <v>46089</v>
      </c>
      <c r="B5156" s="4" t="s">
        <v>334</v>
      </c>
      <c r="C5156" s="4" t="s">
        <v>1640</v>
      </c>
      <c r="D5156" s="4"/>
      <c r="E5156" s="4"/>
      <c r="F5156" s="46" t="s">
        <v>2461</v>
      </c>
      <c r="G5156" s="4" t="s">
        <v>336</v>
      </c>
      <c r="H5156" s="4" t="s">
        <v>289</v>
      </c>
      <c r="I5156" s="4">
        <v>0.05</v>
      </c>
      <c r="J5156" s="21">
        <v>1400</v>
      </c>
      <c r="K5156" s="21">
        <v>0</v>
      </c>
      <c r="L5156" s="5">
        <v>0</v>
      </c>
      <c r="M5156" s="4"/>
      <c r="N5156" s="4"/>
      <c r="O5156" s="5"/>
      <c r="P5156" s="5"/>
      <c r="Q5156" s="21">
        <v>70</v>
      </c>
      <c r="R5156" s="21">
        <v>0</v>
      </c>
      <c r="S5156" s="5">
        <f t="shared" si="323"/>
        <v>27113.862073026427</v>
      </c>
      <c r="T5156" cm="1">
        <f t="array" ref="T5156">IF(OR(B5156="MAL ALIMI", B5156="ÜRETİM GİRİŞ"), MIN(I5156, MAX(0, I5156 + SUM(SUMIFS($I$1:I5155, $C$1:C5155, C5156, $B$1:B5155, {"MAL ALIMI","ÜRETİM GİRİŞ"})) - VLOOKUP(C5156, 'STOK RAPORU'!$C$2:$I$1000, 4, 0))), 0)</f>
        <v>0</v>
      </c>
      <c r="U5156" s="22">
        <f t="shared" si="320"/>
        <v>0</v>
      </c>
      <c r="V5156">
        <f t="shared" si="321"/>
        <v>0</v>
      </c>
      <c r="W5156" s="22">
        <f t="shared" si="322"/>
        <v>0</v>
      </c>
    </row>
    <row r="5157" spans="1:23" hidden="1" x14ac:dyDescent="0.25">
      <c r="A5157" s="3">
        <v>46089</v>
      </c>
      <c r="B5157" s="4" t="s">
        <v>334</v>
      </c>
      <c r="C5157" s="4" t="s">
        <v>154</v>
      </c>
      <c r="D5157" s="4"/>
      <c r="E5157" s="4"/>
      <c r="F5157" s="46" t="s">
        <v>2461</v>
      </c>
      <c r="G5157" s="4" t="s">
        <v>336</v>
      </c>
      <c r="H5157" s="4" t="s">
        <v>289</v>
      </c>
      <c r="I5157" s="4">
        <v>0.1</v>
      </c>
      <c r="J5157" s="21">
        <v>400</v>
      </c>
      <c r="K5157" s="21">
        <v>0</v>
      </c>
      <c r="L5157" s="5">
        <v>0</v>
      </c>
      <c r="M5157" s="4"/>
      <c r="N5157" s="4"/>
      <c r="O5157" s="5"/>
      <c r="P5157" s="5"/>
      <c r="Q5157" s="21">
        <v>40</v>
      </c>
      <c r="R5157" s="21">
        <v>0</v>
      </c>
      <c r="S5157" s="5">
        <f t="shared" si="323"/>
        <v>27153.862073026427</v>
      </c>
      <c r="T5157" cm="1">
        <f t="array" ref="T5157">IF(OR(B5157="MAL ALIMI", B5157="ÜRETİM GİRİŞ"), MIN(I5157, MAX(0, I5157 + SUM(SUMIFS($I$1:I5156, $C$1:C5156, C5157, $B$1:B5156, {"MAL ALIMI","ÜRETİM GİRİŞ"})) - VLOOKUP(C5157, 'STOK RAPORU'!$C$2:$I$1000, 4, 0))), 0)</f>
        <v>0</v>
      </c>
      <c r="U5157" s="22">
        <f t="shared" si="320"/>
        <v>0</v>
      </c>
      <c r="V5157">
        <f t="shared" si="321"/>
        <v>0</v>
      </c>
      <c r="W5157" s="22">
        <f t="shared" si="322"/>
        <v>0</v>
      </c>
    </row>
    <row r="5158" spans="1:23" hidden="1" x14ac:dyDescent="0.25">
      <c r="A5158" s="3">
        <v>46089</v>
      </c>
      <c r="B5158" s="4" t="s">
        <v>334</v>
      </c>
      <c r="C5158" s="4" t="s">
        <v>161</v>
      </c>
      <c r="D5158" s="4"/>
      <c r="E5158" s="4" t="s">
        <v>921</v>
      </c>
      <c r="F5158" s="46" t="s">
        <v>2461</v>
      </c>
      <c r="G5158" s="4" t="s">
        <v>336</v>
      </c>
      <c r="H5158" s="4" t="s">
        <v>380</v>
      </c>
      <c r="I5158" s="4">
        <v>0.5</v>
      </c>
      <c r="J5158" s="21">
        <v>230</v>
      </c>
      <c r="K5158" s="21">
        <v>115</v>
      </c>
      <c r="L5158" s="5">
        <v>0</v>
      </c>
      <c r="M5158" s="4"/>
      <c r="N5158" s="4"/>
      <c r="O5158" s="5"/>
      <c r="P5158" s="5"/>
      <c r="Q5158" s="21">
        <v>0</v>
      </c>
      <c r="R5158" s="21">
        <v>0</v>
      </c>
      <c r="S5158" s="5">
        <f t="shared" si="323"/>
        <v>27153.862073026427</v>
      </c>
      <c r="T5158" cm="1">
        <f t="array" ref="T5158">IF(OR(B5158="MAL ALIMI", B5158="ÜRETİM GİRİŞ"), MIN(I5158, MAX(0, I5158 + SUM(SUMIFS($I$1:I5157, $C$1:C5157, C5158, $B$1:B5157, {"MAL ALIMI","ÜRETİM GİRİŞ"})) - VLOOKUP(C5158, 'STOK RAPORU'!$C$2:$I$1000, 4, 0))), 0)</f>
        <v>0</v>
      </c>
      <c r="U5158" s="22">
        <f t="shared" si="320"/>
        <v>0</v>
      </c>
      <c r="V5158">
        <f t="shared" si="321"/>
        <v>0</v>
      </c>
      <c r="W5158" s="22">
        <f t="shared" si="322"/>
        <v>0</v>
      </c>
    </row>
    <row r="5159" spans="1:23" hidden="1" x14ac:dyDescent="0.25">
      <c r="A5159" s="3">
        <v>46089</v>
      </c>
      <c r="B5159" s="4" t="s">
        <v>334</v>
      </c>
      <c r="C5159" s="4" t="s">
        <v>167</v>
      </c>
      <c r="D5159" s="4"/>
      <c r="E5159" s="4" t="s">
        <v>921</v>
      </c>
      <c r="F5159" s="46" t="s">
        <v>2461</v>
      </c>
      <c r="G5159" s="4" t="s">
        <v>336</v>
      </c>
      <c r="H5159" s="4" t="s">
        <v>380</v>
      </c>
      <c r="I5159" s="4">
        <v>0.5</v>
      </c>
      <c r="J5159" s="21">
        <v>230</v>
      </c>
      <c r="K5159" s="21">
        <v>115</v>
      </c>
      <c r="L5159" s="5">
        <v>0</v>
      </c>
      <c r="M5159" s="4"/>
      <c r="N5159" s="4"/>
      <c r="O5159" s="5"/>
      <c r="P5159" s="5"/>
      <c r="Q5159" s="21">
        <v>0</v>
      </c>
      <c r="R5159" s="21">
        <v>0</v>
      </c>
      <c r="S5159" s="5">
        <f t="shared" si="323"/>
        <v>27153.862073026427</v>
      </c>
      <c r="T5159" cm="1">
        <f t="array" ref="T5159">IF(OR(B5159="MAL ALIMI", B5159="ÜRETİM GİRİŞ"), MIN(I5159, MAX(0, I5159 + SUM(SUMIFS($I$1:I5158, $C$1:C5158, C5159, $B$1:B5158, {"MAL ALIMI","ÜRETİM GİRİŞ"})) - VLOOKUP(C5159, 'STOK RAPORU'!$C$2:$I$1000, 4, 0))), 0)</f>
        <v>0</v>
      </c>
      <c r="U5159" s="22">
        <f t="shared" si="320"/>
        <v>0</v>
      </c>
      <c r="V5159">
        <f t="shared" si="321"/>
        <v>0</v>
      </c>
      <c r="W5159" s="22">
        <f t="shared" si="322"/>
        <v>0</v>
      </c>
    </row>
    <row r="5160" spans="1:23" hidden="1" x14ac:dyDescent="0.25">
      <c r="A5160" s="3">
        <v>46089</v>
      </c>
      <c r="B5160" s="4" t="s">
        <v>334</v>
      </c>
      <c r="C5160" s="4" t="s">
        <v>223</v>
      </c>
      <c r="D5160" s="4"/>
      <c r="E5160" s="4" t="s">
        <v>921</v>
      </c>
      <c r="F5160" s="46" t="s">
        <v>2462</v>
      </c>
      <c r="G5160" s="4" t="s">
        <v>336</v>
      </c>
      <c r="H5160" s="4" t="s">
        <v>380</v>
      </c>
      <c r="I5160" s="4">
        <v>0.2</v>
      </c>
      <c r="J5160" s="21">
        <v>800</v>
      </c>
      <c r="K5160" s="21">
        <v>160</v>
      </c>
      <c r="L5160" s="5">
        <v>0</v>
      </c>
      <c r="M5160" s="4"/>
      <c r="N5160" s="4"/>
      <c r="O5160" s="5"/>
      <c r="P5160" s="5"/>
      <c r="Q5160" s="21">
        <v>0</v>
      </c>
      <c r="R5160" s="21">
        <v>0</v>
      </c>
      <c r="S5160" s="5">
        <f t="shared" si="323"/>
        <v>27153.862073026427</v>
      </c>
      <c r="T5160" cm="1">
        <f t="array" ref="T5160">IF(OR(B5160="MAL ALIMI", B5160="ÜRETİM GİRİŞ"), MIN(I5160, MAX(0, I5160 + SUM(SUMIFS($I$1:I5159, $C$1:C5159, C5160, $B$1:B5159, {"MAL ALIMI","ÜRETİM GİRİŞ"})) - VLOOKUP(C5160, 'STOK RAPORU'!$C$2:$I$1000, 4, 0))), 0)</f>
        <v>0</v>
      </c>
      <c r="U5160" s="22">
        <f t="shared" si="320"/>
        <v>0</v>
      </c>
      <c r="V5160">
        <f t="shared" si="321"/>
        <v>0</v>
      </c>
      <c r="W5160" s="22">
        <f t="shared" si="322"/>
        <v>0</v>
      </c>
    </row>
    <row r="5161" spans="1:23" hidden="1" x14ac:dyDescent="0.25">
      <c r="A5161" s="3">
        <v>46089</v>
      </c>
      <c r="B5161" s="4" t="s">
        <v>334</v>
      </c>
      <c r="C5161" s="4" t="s">
        <v>132</v>
      </c>
      <c r="D5161" s="4"/>
      <c r="E5161" s="4" t="s">
        <v>921</v>
      </c>
      <c r="F5161" s="46" t="s">
        <v>2462</v>
      </c>
      <c r="G5161" s="4" t="s">
        <v>336</v>
      </c>
      <c r="H5161" s="4" t="s">
        <v>380</v>
      </c>
      <c r="I5161" s="4">
        <v>0.26</v>
      </c>
      <c r="J5161" s="21">
        <v>500</v>
      </c>
      <c r="K5161" s="21">
        <v>130</v>
      </c>
      <c r="L5161" s="5">
        <v>0</v>
      </c>
      <c r="M5161" s="4"/>
      <c r="N5161" s="4"/>
      <c r="O5161" s="5"/>
      <c r="P5161" s="5"/>
      <c r="Q5161" s="21">
        <v>0</v>
      </c>
      <c r="R5161" s="21">
        <v>0</v>
      </c>
      <c r="S5161" s="5">
        <f t="shared" si="323"/>
        <v>27153.862073026427</v>
      </c>
      <c r="T5161" cm="1">
        <f t="array" ref="T5161">IF(OR(B5161="MAL ALIMI", B5161="ÜRETİM GİRİŞ"), MIN(I5161, MAX(0, I5161 + SUM(SUMIFS($I$1:I5160, $C$1:C5160, C5161, $B$1:B5160, {"MAL ALIMI","ÜRETİM GİRİŞ"})) - VLOOKUP(C5161, 'STOK RAPORU'!$C$2:$I$1000, 4, 0))), 0)</f>
        <v>0</v>
      </c>
      <c r="U5161" s="22">
        <f t="shared" si="320"/>
        <v>0</v>
      </c>
      <c r="V5161">
        <f t="shared" si="321"/>
        <v>0</v>
      </c>
      <c r="W5161" s="22">
        <f t="shared" si="322"/>
        <v>0</v>
      </c>
    </row>
    <row r="5162" spans="1:23" hidden="1" x14ac:dyDescent="0.25">
      <c r="A5162" s="3">
        <v>46089</v>
      </c>
      <c r="B5162" s="4" t="s">
        <v>334</v>
      </c>
      <c r="C5162" s="4" t="s">
        <v>160</v>
      </c>
      <c r="D5162" s="4"/>
      <c r="E5162" s="4" t="s">
        <v>921</v>
      </c>
      <c r="F5162" s="46" t="s">
        <v>2462</v>
      </c>
      <c r="G5162" s="4" t="s">
        <v>336</v>
      </c>
      <c r="H5162" s="4" t="s">
        <v>380</v>
      </c>
      <c r="I5162" s="4">
        <v>0.5</v>
      </c>
      <c r="J5162" s="21">
        <v>250</v>
      </c>
      <c r="K5162" s="21">
        <v>125</v>
      </c>
      <c r="L5162" s="5">
        <v>0</v>
      </c>
      <c r="M5162" s="4"/>
      <c r="N5162" s="4"/>
      <c r="O5162" s="5"/>
      <c r="P5162" s="5"/>
      <c r="Q5162" s="21">
        <v>0</v>
      </c>
      <c r="R5162" s="21">
        <v>0</v>
      </c>
      <c r="S5162" s="5">
        <f t="shared" si="323"/>
        <v>27153.862073026427</v>
      </c>
      <c r="T5162" cm="1">
        <f t="array" ref="T5162">IF(OR(B5162="MAL ALIMI", B5162="ÜRETİM GİRİŞ"), MIN(I5162, MAX(0, I5162 + SUM(SUMIFS($I$1:I5161, $C$1:C5161, C5162, $B$1:B5161, {"MAL ALIMI","ÜRETİM GİRİŞ"})) - VLOOKUP(C5162, 'STOK RAPORU'!$C$2:$I$1000, 4, 0))), 0)</f>
        <v>0</v>
      </c>
      <c r="U5162" s="22">
        <f t="shared" si="320"/>
        <v>0</v>
      </c>
      <c r="V5162">
        <f t="shared" si="321"/>
        <v>0</v>
      </c>
      <c r="W5162" s="22">
        <f t="shared" si="322"/>
        <v>0</v>
      </c>
    </row>
    <row r="5163" spans="1:23" hidden="1" x14ac:dyDescent="0.25">
      <c r="A5163" s="3">
        <v>46089</v>
      </c>
      <c r="B5163" s="4" t="s">
        <v>334</v>
      </c>
      <c r="C5163" s="4" t="s">
        <v>147</v>
      </c>
      <c r="D5163" s="4"/>
      <c r="E5163" s="4" t="s">
        <v>921</v>
      </c>
      <c r="F5163" s="46" t="s">
        <v>2462</v>
      </c>
      <c r="G5163" s="4" t="s">
        <v>336</v>
      </c>
      <c r="H5163" s="4" t="s">
        <v>380</v>
      </c>
      <c r="I5163" s="4">
        <v>1</v>
      </c>
      <c r="J5163" s="21">
        <v>65</v>
      </c>
      <c r="K5163" s="21">
        <v>65</v>
      </c>
      <c r="L5163" s="5">
        <v>0</v>
      </c>
      <c r="M5163" s="4"/>
      <c r="N5163" s="4"/>
      <c r="O5163" s="5"/>
      <c r="P5163" s="5"/>
      <c r="Q5163" s="21">
        <v>0</v>
      </c>
      <c r="R5163" s="21">
        <v>0</v>
      </c>
      <c r="S5163" s="5">
        <f t="shared" si="323"/>
        <v>27153.862073026427</v>
      </c>
      <c r="T5163" cm="1">
        <f t="array" ref="T5163">IF(OR(B5163="MAL ALIMI", B5163="ÜRETİM GİRİŞ"), MIN(I5163, MAX(0, I5163 + SUM(SUMIFS($I$1:I5162, $C$1:C5162, C5163, $B$1:B5162, {"MAL ALIMI","ÜRETİM GİRİŞ"})) - VLOOKUP(C5163, 'STOK RAPORU'!$C$2:$I$1000, 4, 0))), 0)</f>
        <v>0</v>
      </c>
      <c r="U5163" s="22">
        <f t="shared" si="320"/>
        <v>0</v>
      </c>
      <c r="V5163">
        <f t="shared" si="321"/>
        <v>0</v>
      </c>
      <c r="W5163" s="22">
        <f t="shared" si="322"/>
        <v>0</v>
      </c>
    </row>
    <row r="5164" spans="1:23" hidden="1" x14ac:dyDescent="0.25">
      <c r="A5164" s="3">
        <v>46089</v>
      </c>
      <c r="B5164" s="4" t="s">
        <v>334</v>
      </c>
      <c r="C5164" s="4" t="s">
        <v>1636</v>
      </c>
      <c r="D5164" s="4"/>
      <c r="E5164" s="4" t="s">
        <v>921</v>
      </c>
      <c r="F5164" s="46" t="s">
        <v>2462</v>
      </c>
      <c r="G5164" s="4" t="s">
        <v>336</v>
      </c>
      <c r="H5164" s="4" t="s">
        <v>380</v>
      </c>
      <c r="I5164" s="4">
        <v>1</v>
      </c>
      <c r="J5164" s="21">
        <v>150</v>
      </c>
      <c r="K5164" s="21">
        <v>150</v>
      </c>
      <c r="L5164" s="5">
        <v>0</v>
      </c>
      <c r="M5164" s="4"/>
      <c r="N5164" s="4"/>
      <c r="O5164" s="5"/>
      <c r="P5164" s="5"/>
      <c r="Q5164" s="21">
        <v>0</v>
      </c>
      <c r="R5164" s="21">
        <v>0</v>
      </c>
      <c r="S5164" s="5">
        <f t="shared" si="323"/>
        <v>27153.862073026427</v>
      </c>
      <c r="T5164" cm="1">
        <f t="array" ref="T5164">IF(OR(B5164="MAL ALIMI", B5164="ÜRETİM GİRİŞ"), MIN(I5164, MAX(0, I5164 + SUM(SUMIFS($I$1:I5163, $C$1:C5163, C5164, $B$1:B5163, {"MAL ALIMI","ÜRETİM GİRİŞ"})) - VLOOKUP(C5164, 'STOK RAPORU'!$C$2:$I$1000, 4, 0))), 0)</f>
        <v>0</v>
      </c>
      <c r="U5164" s="22">
        <f t="shared" si="320"/>
        <v>0</v>
      </c>
      <c r="V5164">
        <f t="shared" si="321"/>
        <v>0</v>
      </c>
      <c r="W5164" s="22">
        <f t="shared" si="322"/>
        <v>0</v>
      </c>
    </row>
    <row r="5165" spans="1:23" hidden="1" x14ac:dyDescent="0.25">
      <c r="A5165" s="3">
        <v>46089</v>
      </c>
      <c r="B5165" s="4" t="s">
        <v>334</v>
      </c>
      <c r="C5165" s="4" t="s">
        <v>196</v>
      </c>
      <c r="D5165" s="4"/>
      <c r="E5165" s="4" t="s">
        <v>921</v>
      </c>
      <c r="F5165" s="46" t="s">
        <v>2462</v>
      </c>
      <c r="G5165" s="4" t="s">
        <v>336</v>
      </c>
      <c r="H5165" s="4" t="s">
        <v>380</v>
      </c>
      <c r="I5165" s="4">
        <v>0.26200000000000001</v>
      </c>
      <c r="J5165" s="21">
        <v>230</v>
      </c>
      <c r="K5165" s="21">
        <v>60.260000000000005</v>
      </c>
      <c r="L5165" s="5">
        <v>0</v>
      </c>
      <c r="M5165" s="4"/>
      <c r="N5165" s="4"/>
      <c r="O5165" s="5"/>
      <c r="P5165" s="5"/>
      <c r="Q5165" s="21">
        <v>0</v>
      </c>
      <c r="R5165" s="21">
        <v>0</v>
      </c>
      <c r="S5165" s="5">
        <f t="shared" si="323"/>
        <v>27153.862073026427</v>
      </c>
      <c r="T5165" cm="1">
        <f t="array" ref="T5165">IF(OR(B5165="MAL ALIMI", B5165="ÜRETİM GİRİŞ"), MIN(I5165, MAX(0, I5165 + SUM(SUMIFS($I$1:I5164, $C$1:C5164, C5165, $B$1:B5164, {"MAL ALIMI","ÜRETİM GİRİŞ"})) - VLOOKUP(C5165, 'STOK RAPORU'!$C$2:$I$1000, 4, 0))), 0)</f>
        <v>0</v>
      </c>
      <c r="U5165" s="22">
        <f t="shared" si="320"/>
        <v>0</v>
      </c>
      <c r="V5165">
        <f t="shared" si="321"/>
        <v>0</v>
      </c>
      <c r="W5165" s="22">
        <f t="shared" si="322"/>
        <v>0</v>
      </c>
    </row>
    <row r="5166" spans="1:23" hidden="1" x14ac:dyDescent="0.25">
      <c r="A5166" s="3">
        <v>46089</v>
      </c>
      <c r="B5166" s="4" t="s">
        <v>334</v>
      </c>
      <c r="C5166" s="4" t="s">
        <v>197</v>
      </c>
      <c r="D5166" s="4"/>
      <c r="E5166" s="4" t="s">
        <v>921</v>
      </c>
      <c r="F5166" s="46" t="s">
        <v>2462</v>
      </c>
      <c r="G5166" s="4" t="s">
        <v>336</v>
      </c>
      <c r="H5166" s="4" t="s">
        <v>380</v>
      </c>
      <c r="I5166" s="4">
        <v>0.26200000000000001</v>
      </c>
      <c r="J5166" s="21">
        <v>230</v>
      </c>
      <c r="K5166" s="21">
        <v>60.260000000000005</v>
      </c>
      <c r="L5166" s="5">
        <v>0</v>
      </c>
      <c r="M5166" s="4"/>
      <c r="N5166" s="4"/>
      <c r="O5166" s="5"/>
      <c r="P5166" s="5"/>
      <c r="Q5166" s="21">
        <v>0</v>
      </c>
      <c r="R5166" s="21">
        <v>0</v>
      </c>
      <c r="S5166" s="5">
        <f t="shared" si="323"/>
        <v>27153.862073026427</v>
      </c>
      <c r="T5166" cm="1">
        <f t="array" ref="T5166">IF(OR(B5166="MAL ALIMI", B5166="ÜRETİM GİRİŞ"), MIN(I5166, MAX(0, I5166 + SUM(SUMIFS($I$1:I5165, $C$1:C5165, C5166, $B$1:B5165, {"MAL ALIMI","ÜRETİM GİRİŞ"})) - VLOOKUP(C5166, 'STOK RAPORU'!$C$2:$I$1000, 4, 0))), 0)</f>
        <v>0</v>
      </c>
      <c r="U5166" s="22">
        <f t="shared" si="320"/>
        <v>0</v>
      </c>
      <c r="V5166">
        <f t="shared" si="321"/>
        <v>0</v>
      </c>
      <c r="W5166" s="22">
        <f t="shared" si="322"/>
        <v>0</v>
      </c>
    </row>
    <row r="5167" spans="1:23" hidden="1" x14ac:dyDescent="0.25">
      <c r="A5167" s="3">
        <v>46089</v>
      </c>
      <c r="B5167" s="4" t="s">
        <v>334</v>
      </c>
      <c r="C5167" s="4" t="s">
        <v>252</v>
      </c>
      <c r="D5167" s="4"/>
      <c r="E5167" s="4" t="s">
        <v>921</v>
      </c>
      <c r="F5167" s="46" t="s">
        <v>2462</v>
      </c>
      <c r="G5167" s="4" t="s">
        <v>336</v>
      </c>
      <c r="H5167" s="4" t="s">
        <v>380</v>
      </c>
      <c r="I5167" s="4">
        <v>0.25</v>
      </c>
      <c r="J5167" s="21">
        <v>200</v>
      </c>
      <c r="K5167" s="21">
        <v>50</v>
      </c>
      <c r="L5167" s="5">
        <v>0</v>
      </c>
      <c r="M5167" s="4"/>
      <c r="N5167" s="4"/>
      <c r="O5167" s="5"/>
      <c r="P5167" s="5"/>
      <c r="Q5167" s="21">
        <v>0</v>
      </c>
      <c r="R5167" s="21">
        <v>0</v>
      </c>
      <c r="S5167" s="5">
        <f t="shared" si="323"/>
        <v>27153.862073026427</v>
      </c>
      <c r="T5167" cm="1">
        <f t="array" ref="T5167">IF(OR(B5167="MAL ALIMI", B5167="ÜRETİM GİRİŞ"), MIN(I5167, MAX(0, I5167 + SUM(SUMIFS($I$1:I5166, $C$1:C5166, C5167, $B$1:B5166, {"MAL ALIMI","ÜRETİM GİRİŞ"})) - VLOOKUP(C5167, 'STOK RAPORU'!$C$2:$I$1000, 4, 0))), 0)</f>
        <v>0</v>
      </c>
      <c r="U5167" s="22">
        <f t="shared" si="320"/>
        <v>0</v>
      </c>
      <c r="V5167">
        <f t="shared" si="321"/>
        <v>0</v>
      </c>
      <c r="W5167" s="22">
        <f t="shared" si="322"/>
        <v>0</v>
      </c>
    </row>
    <row r="5168" spans="1:23" hidden="1" x14ac:dyDescent="0.25">
      <c r="A5168" s="3">
        <v>46089</v>
      </c>
      <c r="B5168" s="4" t="s">
        <v>334</v>
      </c>
      <c r="C5168" s="4" t="s">
        <v>634</v>
      </c>
      <c r="D5168" s="4"/>
      <c r="E5168" s="4" t="s">
        <v>921</v>
      </c>
      <c r="F5168" s="46" t="s">
        <v>2462</v>
      </c>
      <c r="G5168" s="4" t="s">
        <v>336</v>
      </c>
      <c r="H5168" s="4" t="s">
        <v>380</v>
      </c>
      <c r="I5168" s="4">
        <v>0.23599999999999999</v>
      </c>
      <c r="J5168" s="21">
        <v>1060</v>
      </c>
      <c r="K5168" s="21">
        <v>250.16</v>
      </c>
      <c r="L5168" s="5">
        <v>0</v>
      </c>
      <c r="M5168" s="4"/>
      <c r="N5168" s="4"/>
      <c r="O5168" s="5"/>
      <c r="P5168" s="5"/>
      <c r="Q5168" s="21">
        <v>0</v>
      </c>
      <c r="R5168" s="21">
        <v>0</v>
      </c>
      <c r="S5168" s="5">
        <f t="shared" si="323"/>
        <v>27153.862073026427</v>
      </c>
      <c r="T5168" cm="1">
        <f t="array" ref="T5168">IF(OR(B5168="MAL ALIMI", B5168="ÜRETİM GİRİŞ"), MIN(I5168, MAX(0, I5168 + SUM(SUMIFS($I$1:I5167, $C$1:C5167, C5168, $B$1:B5167, {"MAL ALIMI","ÜRETİM GİRİŞ"})) - VLOOKUP(C5168, 'STOK RAPORU'!$C$2:$I$1000, 4, 0))), 0)</f>
        <v>0</v>
      </c>
      <c r="U5168" s="22">
        <f t="shared" si="320"/>
        <v>0</v>
      </c>
      <c r="V5168">
        <f t="shared" si="321"/>
        <v>0</v>
      </c>
      <c r="W5168" s="22">
        <f t="shared" si="322"/>
        <v>0</v>
      </c>
    </row>
    <row r="5169" spans="1:23" hidden="1" x14ac:dyDescent="0.25">
      <c r="A5169" s="3">
        <v>46089</v>
      </c>
      <c r="B5169" s="4" t="s">
        <v>334</v>
      </c>
      <c r="C5169" s="4" t="s">
        <v>2126</v>
      </c>
      <c r="D5169" s="4"/>
      <c r="E5169" s="4" t="s">
        <v>921</v>
      </c>
      <c r="F5169" s="46" t="s">
        <v>2463</v>
      </c>
      <c r="G5169" s="4" t="s">
        <v>336</v>
      </c>
      <c r="H5169" s="4" t="s">
        <v>380</v>
      </c>
      <c r="I5169" s="4">
        <v>1</v>
      </c>
      <c r="J5169" s="21">
        <v>370</v>
      </c>
      <c r="K5169" s="21">
        <v>370</v>
      </c>
      <c r="L5169" s="5">
        <v>0</v>
      </c>
      <c r="M5169" s="4"/>
      <c r="N5169" s="4"/>
      <c r="O5169" s="5"/>
      <c r="P5169" s="5"/>
      <c r="Q5169" s="21">
        <v>0</v>
      </c>
      <c r="R5169" s="21">
        <v>0</v>
      </c>
      <c r="S5169" s="5">
        <f t="shared" si="323"/>
        <v>27153.862073026427</v>
      </c>
      <c r="T5169" cm="1">
        <f t="array" ref="T5169">IF(OR(B5169="MAL ALIMI", B5169="ÜRETİM GİRİŞ"), MIN(I5169, MAX(0, I5169 + SUM(SUMIFS($I$1:I5168, $C$1:C5168, C5169, $B$1:B5168, {"MAL ALIMI","ÜRETİM GİRİŞ"})) - VLOOKUP(C5169, 'STOK RAPORU'!$C$2:$I$1000, 4, 0))), 0)</f>
        <v>0</v>
      </c>
      <c r="U5169" s="22">
        <f t="shared" si="320"/>
        <v>0</v>
      </c>
      <c r="V5169">
        <f t="shared" si="321"/>
        <v>0</v>
      </c>
      <c r="W5169" s="22">
        <f t="shared" si="322"/>
        <v>0</v>
      </c>
    </row>
    <row r="5170" spans="1:23" hidden="1" x14ac:dyDescent="0.25">
      <c r="A5170" s="3">
        <v>46089</v>
      </c>
      <c r="B5170" s="4" t="s">
        <v>334</v>
      </c>
      <c r="C5170" s="4" t="s">
        <v>91</v>
      </c>
      <c r="D5170" s="4"/>
      <c r="E5170" s="4" t="s">
        <v>921</v>
      </c>
      <c r="F5170" s="46" t="s">
        <v>2463</v>
      </c>
      <c r="G5170" s="4" t="s">
        <v>336</v>
      </c>
      <c r="H5170" s="4" t="s">
        <v>380</v>
      </c>
      <c r="I5170" s="4">
        <v>2.6666666666666668E-2</v>
      </c>
      <c r="J5170" s="21">
        <v>750</v>
      </c>
      <c r="K5170" s="21">
        <v>20</v>
      </c>
      <c r="L5170" s="5">
        <v>0</v>
      </c>
      <c r="M5170" s="4"/>
      <c r="N5170" s="4"/>
      <c r="O5170" s="5"/>
      <c r="P5170" s="5"/>
      <c r="Q5170" s="21">
        <v>0</v>
      </c>
      <c r="R5170" s="21">
        <v>0</v>
      </c>
      <c r="S5170" s="5">
        <f t="shared" si="323"/>
        <v>27153.862073026427</v>
      </c>
      <c r="T5170" cm="1">
        <f t="array" ref="T5170">IF(OR(B5170="MAL ALIMI", B5170="ÜRETİM GİRİŞ"), MIN(I5170, MAX(0, I5170 + SUM(SUMIFS($I$1:I5169, $C$1:C5169, C5170, $B$1:B5169, {"MAL ALIMI","ÜRETİM GİRİŞ"})) - VLOOKUP(C5170, 'STOK RAPORU'!$C$2:$I$1000, 4, 0))), 0)</f>
        <v>0</v>
      </c>
      <c r="U5170" s="22">
        <f t="shared" si="320"/>
        <v>0</v>
      </c>
      <c r="V5170">
        <f t="shared" si="321"/>
        <v>0</v>
      </c>
      <c r="W5170" s="22">
        <f t="shared" si="322"/>
        <v>0</v>
      </c>
    </row>
    <row r="5171" spans="1:23" hidden="1" x14ac:dyDescent="0.25">
      <c r="A5171" s="3">
        <v>46089</v>
      </c>
      <c r="B5171" s="4" t="s">
        <v>334</v>
      </c>
      <c r="C5171" s="4" t="s">
        <v>231</v>
      </c>
      <c r="D5171" s="4"/>
      <c r="E5171" s="4"/>
      <c r="F5171" s="46" t="s">
        <v>2464</v>
      </c>
      <c r="G5171" s="4" t="s">
        <v>336</v>
      </c>
      <c r="H5171" s="4" t="s">
        <v>289</v>
      </c>
      <c r="I5171" s="4">
        <v>1</v>
      </c>
      <c r="J5171" s="21">
        <v>200</v>
      </c>
      <c r="K5171" s="21">
        <v>0</v>
      </c>
      <c r="L5171" s="5">
        <v>0</v>
      </c>
      <c r="M5171" s="4"/>
      <c r="N5171" s="4"/>
      <c r="O5171" s="5"/>
      <c r="P5171" s="5"/>
      <c r="Q5171" s="21">
        <v>200</v>
      </c>
      <c r="R5171" s="21">
        <v>0</v>
      </c>
      <c r="S5171" s="5">
        <f t="shared" si="323"/>
        <v>27353.862073026427</v>
      </c>
      <c r="T5171" cm="1">
        <f t="array" ref="T5171">IF(OR(B5171="MAL ALIMI", B5171="ÜRETİM GİRİŞ"), MIN(I5171, MAX(0, I5171 + SUM(SUMIFS($I$1:I5170, $C$1:C5170, C5171, $B$1:B5170, {"MAL ALIMI","ÜRETİM GİRİŞ"})) - VLOOKUP(C5171, 'STOK RAPORU'!$C$2:$I$1000, 4, 0))), 0)</f>
        <v>0</v>
      </c>
      <c r="U5171" s="22">
        <f t="shared" ref="U5171:U5234" si="324">T5171*J5171</f>
        <v>0</v>
      </c>
      <c r="V5171">
        <f t="shared" ref="V5171:V5234" si="325">IF(OR(B5171="MAL ALIMI", B5171="ÜRETİM GİRİŞ"), I5171 * J5171, 0)</f>
        <v>0</v>
      </c>
      <c r="W5171" s="22">
        <f t="shared" ref="W5171:W5234" si="326">V5171-U5171</f>
        <v>0</v>
      </c>
    </row>
    <row r="5172" spans="1:23" hidden="1" x14ac:dyDescent="0.25">
      <c r="A5172" s="3">
        <v>46089</v>
      </c>
      <c r="B5172" s="4" t="s">
        <v>334</v>
      </c>
      <c r="C5172" s="4" t="s">
        <v>126</v>
      </c>
      <c r="D5172" s="4"/>
      <c r="E5172" s="4"/>
      <c r="F5172" s="46" t="s">
        <v>2465</v>
      </c>
      <c r="G5172" s="4" t="s">
        <v>336</v>
      </c>
      <c r="H5172" s="4" t="s">
        <v>289</v>
      </c>
      <c r="I5172" s="4">
        <v>0.06</v>
      </c>
      <c r="J5172" s="21">
        <v>650</v>
      </c>
      <c r="K5172" s="21">
        <v>0</v>
      </c>
      <c r="L5172" s="5">
        <v>0</v>
      </c>
      <c r="M5172" s="4"/>
      <c r="N5172" s="4"/>
      <c r="O5172" s="5"/>
      <c r="P5172" s="5"/>
      <c r="Q5172" s="21">
        <v>39</v>
      </c>
      <c r="R5172" s="21">
        <v>0</v>
      </c>
      <c r="S5172" s="5">
        <f t="shared" si="323"/>
        <v>27392.862073026427</v>
      </c>
      <c r="T5172" cm="1">
        <f t="array" ref="T5172">IF(OR(B5172="MAL ALIMI", B5172="ÜRETİM GİRİŞ"), MIN(I5172, MAX(0, I5172 + SUM(SUMIFS($I$1:I5171, $C$1:C5171, C5172, $B$1:B5171, {"MAL ALIMI","ÜRETİM GİRİŞ"})) - VLOOKUP(C5172, 'STOK RAPORU'!$C$2:$I$1000, 4, 0))), 0)</f>
        <v>0</v>
      </c>
      <c r="U5172" s="22">
        <f t="shared" si="324"/>
        <v>0</v>
      </c>
      <c r="V5172">
        <f t="shared" si="325"/>
        <v>0</v>
      </c>
      <c r="W5172" s="22">
        <f t="shared" si="326"/>
        <v>0</v>
      </c>
    </row>
    <row r="5173" spans="1:23" hidden="1" x14ac:dyDescent="0.25">
      <c r="A5173" s="3">
        <v>46089</v>
      </c>
      <c r="B5173" s="4" t="s">
        <v>334</v>
      </c>
      <c r="C5173" s="4" t="s">
        <v>463</v>
      </c>
      <c r="D5173" s="4"/>
      <c r="E5173" s="4"/>
      <c r="F5173" s="46" t="s">
        <v>2465</v>
      </c>
      <c r="G5173" s="4" t="s">
        <v>336</v>
      </c>
      <c r="H5173" s="4" t="s">
        <v>289</v>
      </c>
      <c r="I5173" s="4">
        <v>0.152</v>
      </c>
      <c r="J5173" s="21">
        <v>400</v>
      </c>
      <c r="K5173" s="21">
        <v>0</v>
      </c>
      <c r="L5173" s="5">
        <v>0</v>
      </c>
      <c r="M5173" s="4"/>
      <c r="N5173" s="4"/>
      <c r="O5173" s="5"/>
      <c r="P5173" s="5"/>
      <c r="Q5173" s="21">
        <v>60.8</v>
      </c>
      <c r="R5173" s="21">
        <v>0</v>
      </c>
      <c r="S5173" s="5">
        <f t="shared" si="323"/>
        <v>27453.662073026426</v>
      </c>
      <c r="T5173" cm="1">
        <f t="array" ref="T5173">IF(OR(B5173="MAL ALIMI", B5173="ÜRETİM GİRİŞ"), MIN(I5173, MAX(0, I5173 + SUM(SUMIFS($I$1:I5172, $C$1:C5172, C5173, $B$1:B5172, {"MAL ALIMI","ÜRETİM GİRİŞ"})) - VLOOKUP(C5173, 'STOK RAPORU'!$C$2:$I$1000, 4, 0))), 0)</f>
        <v>0</v>
      </c>
      <c r="U5173" s="22">
        <f t="shared" si="324"/>
        <v>0</v>
      </c>
      <c r="V5173">
        <f t="shared" si="325"/>
        <v>0</v>
      </c>
      <c r="W5173" s="22">
        <f t="shared" si="326"/>
        <v>0</v>
      </c>
    </row>
    <row r="5174" spans="1:23" hidden="1" x14ac:dyDescent="0.25">
      <c r="A5174" s="3">
        <v>46089</v>
      </c>
      <c r="B5174" s="4" t="s">
        <v>334</v>
      </c>
      <c r="C5174" s="4" t="s">
        <v>131</v>
      </c>
      <c r="D5174" s="4"/>
      <c r="E5174" s="4"/>
      <c r="F5174" s="46" t="s">
        <v>2465</v>
      </c>
      <c r="G5174" s="4" t="s">
        <v>336</v>
      </c>
      <c r="H5174" s="4" t="s">
        <v>289</v>
      </c>
      <c r="I5174" s="4">
        <v>7.400000000000001E-2</v>
      </c>
      <c r="J5174" s="21">
        <v>400</v>
      </c>
      <c r="K5174" s="21">
        <v>0</v>
      </c>
      <c r="L5174" s="5">
        <v>0</v>
      </c>
      <c r="M5174" s="4"/>
      <c r="N5174" s="4"/>
      <c r="O5174" s="5"/>
      <c r="P5174" s="5"/>
      <c r="Q5174" s="21">
        <v>29.600000000000005</v>
      </c>
      <c r="R5174" s="21">
        <v>0</v>
      </c>
      <c r="S5174" s="5">
        <f t="shared" si="323"/>
        <v>27483.262073026424</v>
      </c>
      <c r="T5174" cm="1">
        <f t="array" ref="T5174">IF(OR(B5174="MAL ALIMI", B5174="ÜRETİM GİRİŞ"), MIN(I5174, MAX(0, I5174 + SUM(SUMIFS($I$1:I5173, $C$1:C5173, C5174, $B$1:B5173, {"MAL ALIMI","ÜRETİM GİRİŞ"})) - VLOOKUP(C5174, 'STOK RAPORU'!$C$2:$I$1000, 4, 0))), 0)</f>
        <v>0</v>
      </c>
      <c r="U5174" s="22">
        <f t="shared" si="324"/>
        <v>0</v>
      </c>
      <c r="V5174">
        <f t="shared" si="325"/>
        <v>0</v>
      </c>
      <c r="W5174" s="22">
        <f t="shared" si="326"/>
        <v>0</v>
      </c>
    </row>
    <row r="5175" spans="1:23" hidden="1" x14ac:dyDescent="0.25">
      <c r="A5175" s="3">
        <v>46089</v>
      </c>
      <c r="B5175" s="4" t="s">
        <v>334</v>
      </c>
      <c r="C5175" s="4" t="s">
        <v>200</v>
      </c>
      <c r="D5175" s="4"/>
      <c r="E5175" s="4"/>
      <c r="F5175" s="46" t="s">
        <v>2465</v>
      </c>
      <c r="G5175" s="4" t="s">
        <v>336</v>
      </c>
      <c r="H5175" s="4" t="s">
        <v>289</v>
      </c>
      <c r="I5175" s="4">
        <v>0.25</v>
      </c>
      <c r="J5175" s="21">
        <v>360</v>
      </c>
      <c r="K5175" s="21">
        <v>0</v>
      </c>
      <c r="L5175" s="5">
        <v>0</v>
      </c>
      <c r="M5175" s="4"/>
      <c r="N5175" s="4"/>
      <c r="O5175" s="5"/>
      <c r="P5175" s="5"/>
      <c r="Q5175" s="21">
        <v>90</v>
      </c>
      <c r="R5175" s="21">
        <v>0</v>
      </c>
      <c r="S5175" s="5">
        <f t="shared" si="323"/>
        <v>27573.262073026424</v>
      </c>
      <c r="T5175" cm="1">
        <f t="array" ref="T5175">IF(OR(B5175="MAL ALIMI", B5175="ÜRETİM GİRİŞ"), MIN(I5175, MAX(0, I5175 + SUM(SUMIFS($I$1:I5174, $C$1:C5174, C5175, $B$1:B5174, {"MAL ALIMI","ÜRETİM GİRİŞ"})) - VLOOKUP(C5175, 'STOK RAPORU'!$C$2:$I$1000, 4, 0))), 0)</f>
        <v>0</v>
      </c>
      <c r="U5175" s="22">
        <f t="shared" si="324"/>
        <v>0</v>
      </c>
      <c r="V5175">
        <f t="shared" si="325"/>
        <v>0</v>
      </c>
      <c r="W5175" s="22">
        <f t="shared" si="326"/>
        <v>0</v>
      </c>
    </row>
    <row r="5176" spans="1:23" hidden="1" x14ac:dyDescent="0.25">
      <c r="A5176" s="3">
        <v>46089</v>
      </c>
      <c r="B5176" s="4" t="s">
        <v>334</v>
      </c>
      <c r="C5176" s="4" t="s">
        <v>140</v>
      </c>
      <c r="D5176" s="4"/>
      <c r="E5176" s="4"/>
      <c r="F5176" s="46" t="s">
        <v>2466</v>
      </c>
      <c r="G5176" s="4" t="s">
        <v>336</v>
      </c>
      <c r="H5176" s="4" t="s">
        <v>289</v>
      </c>
      <c r="I5176" s="4">
        <v>0.33333333333333331</v>
      </c>
      <c r="J5176" s="21">
        <v>300</v>
      </c>
      <c r="K5176" s="21">
        <v>0</v>
      </c>
      <c r="L5176" s="5">
        <v>0</v>
      </c>
      <c r="M5176" s="4"/>
      <c r="N5176" s="4"/>
      <c r="O5176" s="5"/>
      <c r="P5176" s="5"/>
      <c r="Q5176" s="21">
        <v>100</v>
      </c>
      <c r="R5176" s="21">
        <v>0</v>
      </c>
      <c r="S5176" s="5">
        <f t="shared" si="323"/>
        <v>27673.262073026424</v>
      </c>
      <c r="T5176" cm="1">
        <f t="array" ref="T5176">IF(OR(B5176="MAL ALIMI", B5176="ÜRETİM GİRİŞ"), MIN(I5176, MAX(0, I5176 + SUM(SUMIFS($I$1:I5175, $C$1:C5175, C5176, $B$1:B5175, {"MAL ALIMI","ÜRETİM GİRİŞ"})) - VLOOKUP(C5176, 'STOK RAPORU'!$C$2:$I$1000, 4, 0))), 0)</f>
        <v>0</v>
      </c>
      <c r="U5176" s="22">
        <f t="shared" si="324"/>
        <v>0</v>
      </c>
      <c r="V5176">
        <f t="shared" si="325"/>
        <v>0</v>
      </c>
      <c r="W5176" s="22">
        <f t="shared" si="326"/>
        <v>0</v>
      </c>
    </row>
    <row r="5177" spans="1:23" hidden="1" x14ac:dyDescent="0.25">
      <c r="A5177" s="3">
        <v>46089</v>
      </c>
      <c r="B5177" s="4" t="s">
        <v>334</v>
      </c>
      <c r="C5177" s="4" t="s">
        <v>126</v>
      </c>
      <c r="D5177" s="4"/>
      <c r="E5177" s="4"/>
      <c r="F5177" s="46" t="s">
        <v>2466</v>
      </c>
      <c r="G5177" s="4" t="s">
        <v>336</v>
      </c>
      <c r="H5177" s="4" t="s">
        <v>289</v>
      </c>
      <c r="I5177" s="4">
        <v>0.15384615384615385</v>
      </c>
      <c r="J5177" s="21">
        <v>650</v>
      </c>
      <c r="K5177" s="21">
        <v>0</v>
      </c>
      <c r="L5177" s="5">
        <v>0</v>
      </c>
      <c r="M5177" s="4"/>
      <c r="N5177" s="4"/>
      <c r="O5177" s="5"/>
      <c r="P5177" s="5"/>
      <c r="Q5177" s="21">
        <v>100</v>
      </c>
      <c r="R5177" s="21">
        <v>0</v>
      </c>
      <c r="S5177" s="5">
        <f t="shared" si="323"/>
        <v>27773.262073026424</v>
      </c>
      <c r="T5177" cm="1">
        <f t="array" ref="T5177">IF(OR(B5177="MAL ALIMI", B5177="ÜRETİM GİRİŞ"), MIN(I5177, MAX(0, I5177 + SUM(SUMIFS($I$1:I5176, $C$1:C5176, C5177, $B$1:B5176, {"MAL ALIMI","ÜRETİM GİRİŞ"})) - VLOOKUP(C5177, 'STOK RAPORU'!$C$2:$I$1000, 4, 0))), 0)</f>
        <v>0</v>
      </c>
      <c r="U5177" s="22">
        <f t="shared" si="324"/>
        <v>0</v>
      </c>
      <c r="V5177">
        <f t="shared" si="325"/>
        <v>0</v>
      </c>
      <c r="W5177" s="22">
        <f t="shared" si="326"/>
        <v>0</v>
      </c>
    </row>
    <row r="5178" spans="1:23" hidden="1" x14ac:dyDescent="0.25">
      <c r="A5178" s="3">
        <v>46089</v>
      </c>
      <c r="B5178" s="4" t="s">
        <v>334</v>
      </c>
      <c r="C5178" s="4" t="s">
        <v>132</v>
      </c>
      <c r="D5178" s="4"/>
      <c r="E5178" s="4"/>
      <c r="F5178" s="46" t="s">
        <v>2467</v>
      </c>
      <c r="G5178" s="4" t="s">
        <v>336</v>
      </c>
      <c r="H5178" s="4" t="s">
        <v>289</v>
      </c>
      <c r="I5178" s="4">
        <v>0.23200000000000001</v>
      </c>
      <c r="J5178" s="21">
        <v>500</v>
      </c>
      <c r="K5178" s="21">
        <v>0</v>
      </c>
      <c r="L5178" s="5">
        <v>0</v>
      </c>
      <c r="M5178" s="4"/>
      <c r="N5178" s="4"/>
      <c r="O5178" s="5"/>
      <c r="P5178" s="5"/>
      <c r="Q5178" s="21">
        <v>116</v>
      </c>
      <c r="R5178" s="21">
        <v>0</v>
      </c>
      <c r="S5178" s="5">
        <f t="shared" si="323"/>
        <v>27889.262073026424</v>
      </c>
      <c r="T5178" cm="1">
        <f t="array" ref="T5178">IF(OR(B5178="MAL ALIMI", B5178="ÜRETİM GİRİŞ"), MIN(I5178, MAX(0, I5178 + SUM(SUMIFS($I$1:I5177, $C$1:C5177, C5178, $B$1:B5177, {"MAL ALIMI","ÜRETİM GİRİŞ"})) - VLOOKUP(C5178, 'STOK RAPORU'!$C$2:$I$1000, 4, 0))), 0)</f>
        <v>0</v>
      </c>
      <c r="U5178" s="22">
        <f t="shared" si="324"/>
        <v>0</v>
      </c>
      <c r="V5178">
        <f t="shared" si="325"/>
        <v>0</v>
      </c>
      <c r="W5178" s="22">
        <f t="shared" si="326"/>
        <v>0</v>
      </c>
    </row>
    <row r="5179" spans="1:23" hidden="1" x14ac:dyDescent="0.25">
      <c r="A5179" s="3">
        <v>46089</v>
      </c>
      <c r="B5179" s="4" t="s">
        <v>334</v>
      </c>
      <c r="C5179" s="4" t="s">
        <v>1443</v>
      </c>
      <c r="D5179" s="4"/>
      <c r="E5179" s="4"/>
      <c r="F5179" s="46" t="s">
        <v>2467</v>
      </c>
      <c r="G5179" s="4" t="s">
        <v>336</v>
      </c>
      <c r="H5179" s="4" t="s">
        <v>289</v>
      </c>
      <c r="I5179" s="4">
        <v>2</v>
      </c>
      <c r="J5179" s="21">
        <v>20</v>
      </c>
      <c r="K5179" s="21">
        <v>0</v>
      </c>
      <c r="L5179" s="5">
        <v>0</v>
      </c>
      <c r="M5179" s="4"/>
      <c r="N5179" s="4"/>
      <c r="O5179" s="5"/>
      <c r="P5179" s="5"/>
      <c r="Q5179" s="21">
        <v>40</v>
      </c>
      <c r="R5179" s="21">
        <v>0</v>
      </c>
      <c r="S5179" s="5">
        <f t="shared" si="323"/>
        <v>27929.262073026424</v>
      </c>
      <c r="T5179" cm="1">
        <f t="array" ref="T5179">IF(OR(B5179="MAL ALIMI", B5179="ÜRETİM GİRİŞ"), MIN(I5179, MAX(0, I5179 + SUM(SUMIFS($I$1:I5178, $C$1:C5178, C5179, $B$1:B5178, {"MAL ALIMI","ÜRETİM GİRİŞ"})) - VLOOKUP(C5179, 'STOK RAPORU'!$C$2:$I$1000, 4, 0))), 0)</f>
        <v>0</v>
      </c>
      <c r="U5179" s="22">
        <f t="shared" si="324"/>
        <v>0</v>
      </c>
      <c r="V5179">
        <f t="shared" si="325"/>
        <v>0</v>
      </c>
      <c r="W5179" s="22">
        <f t="shared" si="326"/>
        <v>0</v>
      </c>
    </row>
    <row r="5180" spans="1:23" hidden="1" x14ac:dyDescent="0.25">
      <c r="A5180" s="3">
        <v>46089</v>
      </c>
      <c r="B5180" s="4" t="s">
        <v>334</v>
      </c>
      <c r="C5180" s="4" t="s">
        <v>1897</v>
      </c>
      <c r="D5180" s="4"/>
      <c r="E5180" s="4"/>
      <c r="F5180" s="46" t="s">
        <v>2468</v>
      </c>
      <c r="G5180" s="4" t="s">
        <v>336</v>
      </c>
      <c r="H5180" s="4" t="s">
        <v>289</v>
      </c>
      <c r="I5180" s="4">
        <v>1</v>
      </c>
      <c r="J5180" s="21">
        <v>295</v>
      </c>
      <c r="K5180" s="21">
        <v>0</v>
      </c>
      <c r="L5180" s="5">
        <v>0</v>
      </c>
      <c r="M5180" s="4"/>
      <c r="N5180" s="4"/>
      <c r="O5180" s="5"/>
      <c r="P5180" s="5"/>
      <c r="Q5180" s="21">
        <v>295</v>
      </c>
      <c r="R5180" s="21">
        <v>0</v>
      </c>
      <c r="S5180" s="5">
        <f t="shared" si="323"/>
        <v>28224.262073026424</v>
      </c>
      <c r="T5180" cm="1">
        <f t="array" ref="T5180">IF(OR(B5180="MAL ALIMI", B5180="ÜRETİM GİRİŞ"), MIN(I5180, MAX(0, I5180 + SUM(SUMIFS($I$1:I5179, $C$1:C5179, C5180, $B$1:B5179, {"MAL ALIMI","ÜRETİM GİRİŞ"})) - VLOOKUP(C5180, 'STOK RAPORU'!$C$2:$I$1000, 4, 0))), 0)</f>
        <v>0</v>
      </c>
      <c r="U5180" s="22">
        <f t="shared" si="324"/>
        <v>0</v>
      </c>
      <c r="V5180">
        <f t="shared" si="325"/>
        <v>0</v>
      </c>
      <c r="W5180" s="22">
        <f t="shared" si="326"/>
        <v>0</v>
      </c>
    </row>
    <row r="5181" spans="1:23" hidden="1" x14ac:dyDescent="0.25">
      <c r="A5181" s="3">
        <v>46089</v>
      </c>
      <c r="B5181" s="4" t="s">
        <v>334</v>
      </c>
      <c r="C5181" s="4" t="s">
        <v>166</v>
      </c>
      <c r="D5181" s="4"/>
      <c r="E5181" s="4" t="s">
        <v>921</v>
      </c>
      <c r="F5181" s="46" t="s">
        <v>2469</v>
      </c>
      <c r="G5181" s="4" t="s">
        <v>336</v>
      </c>
      <c r="H5181" s="4" t="s">
        <v>380</v>
      </c>
      <c r="I5181" s="4">
        <v>8.9610389610389612E-2</v>
      </c>
      <c r="J5181" s="21">
        <v>770</v>
      </c>
      <c r="K5181" s="21">
        <v>69</v>
      </c>
      <c r="L5181" s="5">
        <v>0</v>
      </c>
      <c r="M5181" s="4"/>
      <c r="N5181" s="4"/>
      <c r="O5181" s="5"/>
      <c r="P5181" s="5"/>
      <c r="Q5181" s="21">
        <v>0</v>
      </c>
      <c r="R5181" s="21">
        <v>0</v>
      </c>
      <c r="S5181" s="5">
        <f t="shared" si="323"/>
        <v>28224.262073026424</v>
      </c>
      <c r="T5181" cm="1">
        <f t="array" ref="T5181">IF(OR(B5181="MAL ALIMI", B5181="ÜRETİM GİRİŞ"), MIN(I5181, MAX(0, I5181 + SUM(SUMIFS($I$1:I5180, $C$1:C5180, C5181, $B$1:B5180, {"MAL ALIMI","ÜRETİM GİRİŞ"})) - VLOOKUP(C5181, 'STOK RAPORU'!$C$2:$I$1000, 4, 0))), 0)</f>
        <v>0</v>
      </c>
      <c r="U5181" s="22">
        <f t="shared" si="324"/>
        <v>0</v>
      </c>
      <c r="V5181">
        <f t="shared" si="325"/>
        <v>0</v>
      </c>
      <c r="W5181" s="22">
        <f t="shared" si="326"/>
        <v>0</v>
      </c>
    </row>
    <row r="5182" spans="1:23" hidden="1" x14ac:dyDescent="0.25">
      <c r="A5182" s="3">
        <v>46089</v>
      </c>
      <c r="B5182" s="4" t="s">
        <v>334</v>
      </c>
      <c r="C5182" s="4" t="s">
        <v>145</v>
      </c>
      <c r="D5182" s="4"/>
      <c r="E5182" s="4" t="s">
        <v>921</v>
      </c>
      <c r="F5182" s="46" t="s">
        <v>2469</v>
      </c>
      <c r="G5182" s="4" t="s">
        <v>336</v>
      </c>
      <c r="H5182" s="4" t="s">
        <v>380</v>
      </c>
      <c r="I5182" s="4">
        <v>1</v>
      </c>
      <c r="J5182" s="21">
        <v>65</v>
      </c>
      <c r="K5182" s="21">
        <v>65</v>
      </c>
      <c r="L5182" s="5">
        <v>0</v>
      </c>
      <c r="M5182" s="4"/>
      <c r="N5182" s="4"/>
      <c r="O5182" s="5"/>
      <c r="P5182" s="5"/>
      <c r="Q5182" s="21">
        <v>0</v>
      </c>
      <c r="R5182" s="21">
        <v>0</v>
      </c>
      <c r="S5182" s="5">
        <f t="shared" si="323"/>
        <v>28224.262073026424</v>
      </c>
      <c r="T5182" cm="1">
        <f t="array" ref="T5182">IF(OR(B5182="MAL ALIMI", B5182="ÜRETİM GİRİŞ"), MIN(I5182, MAX(0, I5182 + SUM(SUMIFS($I$1:I5181, $C$1:C5181, C5182, $B$1:B5181, {"MAL ALIMI","ÜRETİM GİRİŞ"})) - VLOOKUP(C5182, 'STOK RAPORU'!$C$2:$I$1000, 4, 0))), 0)</f>
        <v>0</v>
      </c>
      <c r="U5182" s="22">
        <f t="shared" si="324"/>
        <v>0</v>
      </c>
      <c r="V5182">
        <f t="shared" si="325"/>
        <v>0</v>
      </c>
      <c r="W5182" s="22">
        <f t="shared" si="326"/>
        <v>0</v>
      </c>
    </row>
    <row r="5183" spans="1:23" hidden="1" x14ac:dyDescent="0.25">
      <c r="A5183" s="3">
        <v>46089</v>
      </c>
      <c r="B5183" s="4" t="s">
        <v>2344</v>
      </c>
      <c r="C5183" s="4"/>
      <c r="D5183" s="4"/>
      <c r="E5183" s="4" t="s">
        <v>2348</v>
      </c>
      <c r="F5183" s="4"/>
      <c r="G5183" s="4" t="s">
        <v>2455</v>
      </c>
      <c r="H5183" s="4" t="s">
        <v>289</v>
      </c>
      <c r="I5183" s="4">
        <v>1</v>
      </c>
      <c r="J5183" s="21">
        <v>2800</v>
      </c>
      <c r="K5183" s="21">
        <v>0</v>
      </c>
      <c r="L5183" s="5">
        <v>2800</v>
      </c>
      <c r="M5183" s="4"/>
      <c r="N5183" s="4"/>
      <c r="O5183" s="5"/>
      <c r="P5183" s="5"/>
      <c r="Q5183" s="21">
        <v>2800</v>
      </c>
      <c r="R5183" s="21">
        <v>0</v>
      </c>
      <c r="S5183" s="5">
        <f t="shared" si="323"/>
        <v>31024.262073026424</v>
      </c>
      <c r="T5183" cm="1">
        <f t="array" ref="T5183">IF(OR(B5183="MAL ALIMI", B5183="ÜRETİM GİRİŞ"), MIN(I5183, MAX(0, I5183 + SUM(SUMIFS($I$1:I5182, $C$1:C5182, C5183, $B$1:B5182, {"MAL ALIMI","ÜRETİM GİRİŞ"})) - VLOOKUP(C5183, 'STOK RAPORU'!$C$2:$I$1000, 4, 0))), 0)</f>
        <v>0</v>
      </c>
      <c r="U5183" s="22">
        <f t="shared" si="324"/>
        <v>0</v>
      </c>
      <c r="V5183">
        <f t="shared" si="325"/>
        <v>0</v>
      </c>
      <c r="W5183" s="22">
        <f t="shared" si="326"/>
        <v>0</v>
      </c>
    </row>
    <row r="5184" spans="1:23" hidden="1" x14ac:dyDescent="0.25">
      <c r="A5184" s="3">
        <v>46089</v>
      </c>
      <c r="B5184" s="4" t="s">
        <v>334</v>
      </c>
      <c r="C5184" s="4" t="s">
        <v>91</v>
      </c>
      <c r="D5184" s="4"/>
      <c r="E5184" s="4" t="s">
        <v>2348</v>
      </c>
      <c r="F5184" s="4"/>
      <c r="G5184" s="4" t="s">
        <v>2437</v>
      </c>
      <c r="H5184" s="4" t="s">
        <v>304</v>
      </c>
      <c r="I5184" s="4">
        <v>2</v>
      </c>
      <c r="J5184" s="21">
        <v>630</v>
      </c>
      <c r="K5184" s="21">
        <v>1260</v>
      </c>
      <c r="L5184" s="5">
        <v>0</v>
      </c>
      <c r="M5184" s="4"/>
      <c r="N5184" s="4"/>
      <c r="O5184" s="5"/>
      <c r="P5184" s="5"/>
      <c r="Q5184" s="21">
        <v>0</v>
      </c>
      <c r="R5184" s="21">
        <v>0</v>
      </c>
      <c r="S5184" s="5">
        <f t="shared" si="323"/>
        <v>31024.262073026424</v>
      </c>
      <c r="T5184" cm="1">
        <f t="array" ref="T5184">IF(OR(B5184="MAL ALIMI", B5184="ÜRETİM GİRİŞ"), MIN(I5184, MAX(0, I5184 + SUM(SUMIFS($I$1:I5183, $C$1:C5183, C5184, $B$1:B5183, {"MAL ALIMI","ÜRETİM GİRİŞ"})) - VLOOKUP(C5184, 'STOK RAPORU'!$C$2:$I$1000, 4, 0))), 0)</f>
        <v>0</v>
      </c>
      <c r="U5184" s="22">
        <f t="shared" si="324"/>
        <v>0</v>
      </c>
      <c r="V5184">
        <f t="shared" si="325"/>
        <v>0</v>
      </c>
      <c r="W5184" s="22">
        <f t="shared" si="326"/>
        <v>0</v>
      </c>
    </row>
    <row r="5185" spans="1:23" hidden="1" x14ac:dyDescent="0.25">
      <c r="A5185" s="3">
        <v>46089</v>
      </c>
      <c r="B5185" s="4" t="s">
        <v>946</v>
      </c>
      <c r="C5185" s="4"/>
      <c r="D5185" s="4"/>
      <c r="E5185" s="4" t="s">
        <v>921</v>
      </c>
      <c r="F5185" s="4"/>
      <c r="G5185" s="4" t="s">
        <v>946</v>
      </c>
      <c r="H5185" s="4" t="s">
        <v>380</v>
      </c>
      <c r="I5185" s="4">
        <v>1</v>
      </c>
      <c r="J5185" s="105">
        <v>300</v>
      </c>
      <c r="K5185" s="21">
        <v>0</v>
      </c>
      <c r="L5185" s="32">
        <v>300</v>
      </c>
      <c r="M5185" s="4"/>
      <c r="N5185" s="4"/>
      <c r="O5185" s="5"/>
      <c r="P5185" s="5"/>
      <c r="Q5185" s="21">
        <v>300</v>
      </c>
      <c r="R5185" s="21">
        <v>0</v>
      </c>
      <c r="S5185" s="5">
        <f t="shared" si="323"/>
        <v>31324.262073026424</v>
      </c>
      <c r="T5185" cm="1">
        <f t="array" ref="T5185">IF(OR(B5185="MAL ALIMI", B5185="ÜRETİM GİRİŞ"), MIN(I5185, MAX(0, I5185 + SUM(SUMIFS($I$1:I5184, $C$1:C5184, C5185, $B$1:B5184, {"MAL ALIMI","ÜRETİM GİRİŞ"})) - VLOOKUP(C5185, 'STOK RAPORU'!$C$2:$I$1000, 4, 0))), 0)</f>
        <v>0</v>
      </c>
      <c r="U5185" s="22">
        <f t="shared" si="324"/>
        <v>0</v>
      </c>
      <c r="V5185">
        <f t="shared" si="325"/>
        <v>0</v>
      </c>
      <c r="W5185" s="22">
        <f t="shared" si="326"/>
        <v>0</v>
      </c>
    </row>
    <row r="5186" spans="1:23" hidden="1" x14ac:dyDescent="0.25">
      <c r="A5186" s="3">
        <v>46089</v>
      </c>
      <c r="B5186" s="4" t="s">
        <v>946</v>
      </c>
      <c r="C5186" s="4"/>
      <c r="D5186" s="4"/>
      <c r="E5186" s="4" t="s">
        <v>921</v>
      </c>
      <c r="F5186" s="4"/>
      <c r="G5186" s="4" t="s">
        <v>946</v>
      </c>
      <c r="H5186" s="4" t="s">
        <v>380</v>
      </c>
      <c r="I5186" s="4">
        <v>1</v>
      </c>
      <c r="J5186" s="105">
        <v>3435</v>
      </c>
      <c r="K5186" s="21">
        <v>0</v>
      </c>
      <c r="L5186" s="32">
        <v>3435</v>
      </c>
      <c r="M5186" s="4"/>
      <c r="N5186" s="4"/>
      <c r="O5186" s="5"/>
      <c r="P5186" s="5"/>
      <c r="Q5186" s="21">
        <v>3435</v>
      </c>
      <c r="R5186" s="21">
        <v>0</v>
      </c>
      <c r="S5186" s="5">
        <f t="shared" si="323"/>
        <v>34759.262073026424</v>
      </c>
      <c r="T5186" cm="1">
        <f t="array" ref="T5186">IF(OR(B5186="MAL ALIMI", B5186="ÜRETİM GİRİŞ"), MIN(I5186, MAX(0, I5186 + SUM(SUMIFS($I$1:I5185, $C$1:C5185, C5186, $B$1:B5185, {"MAL ALIMI","ÜRETİM GİRİŞ"})) - VLOOKUP(C5186, 'STOK RAPORU'!$C$2:$I$1000, 4, 0))), 0)</f>
        <v>0</v>
      </c>
      <c r="U5186" s="22">
        <f t="shared" si="324"/>
        <v>0</v>
      </c>
      <c r="V5186">
        <f t="shared" si="325"/>
        <v>0</v>
      </c>
      <c r="W5186" s="22">
        <f t="shared" si="326"/>
        <v>0</v>
      </c>
    </row>
    <row r="5187" spans="1:23" hidden="1" x14ac:dyDescent="0.25">
      <c r="A5187" s="3">
        <v>46090</v>
      </c>
      <c r="B5187" s="4" t="s">
        <v>334</v>
      </c>
      <c r="C5187" s="4" t="s">
        <v>3167</v>
      </c>
      <c r="D5187" s="4"/>
      <c r="E5187" s="4"/>
      <c r="F5187" s="46" t="s">
        <v>2470</v>
      </c>
      <c r="G5187" s="4" t="s">
        <v>336</v>
      </c>
      <c r="H5187" s="4" t="s">
        <v>289</v>
      </c>
      <c r="I5187" s="4">
        <v>0.124</v>
      </c>
      <c r="J5187" s="21">
        <v>400</v>
      </c>
      <c r="K5187" s="21">
        <v>0</v>
      </c>
      <c r="L5187" s="5">
        <v>0</v>
      </c>
      <c r="M5187" s="4"/>
      <c r="N5187" s="4"/>
      <c r="O5187" s="5"/>
      <c r="P5187" s="5"/>
      <c r="Q5187" s="21">
        <v>49.6</v>
      </c>
      <c r="R5187" s="21">
        <v>0</v>
      </c>
      <c r="S5187" s="5">
        <f t="shared" si="323"/>
        <v>34808.862073026423</v>
      </c>
      <c r="T5187" cm="1">
        <f t="array" ref="T5187">IF(OR(B5187="MAL ALIMI", B5187="ÜRETİM GİRİŞ"), MIN(I5187, MAX(0, I5187 + SUM(SUMIFS($I$1:I5186, $C$1:C5186, C5187, $B$1:B5186, {"MAL ALIMI","ÜRETİM GİRİŞ"})) - VLOOKUP(C5187, 'STOK RAPORU'!$C$2:$I$1000, 4, 0))), 0)</f>
        <v>0</v>
      </c>
      <c r="U5187" s="22">
        <f t="shared" si="324"/>
        <v>0</v>
      </c>
      <c r="V5187">
        <f t="shared" si="325"/>
        <v>0</v>
      </c>
      <c r="W5187" s="22">
        <f t="shared" si="326"/>
        <v>0</v>
      </c>
    </row>
    <row r="5188" spans="1:23" hidden="1" x14ac:dyDescent="0.25">
      <c r="A5188" s="3">
        <v>46090</v>
      </c>
      <c r="B5188" s="4" t="s">
        <v>334</v>
      </c>
      <c r="C5188" s="4" t="s">
        <v>140</v>
      </c>
      <c r="D5188" s="4"/>
      <c r="E5188" s="4"/>
      <c r="F5188" s="46" t="s">
        <v>2470</v>
      </c>
      <c r="G5188" s="4" t="s">
        <v>336</v>
      </c>
      <c r="H5188" s="4" t="s">
        <v>289</v>
      </c>
      <c r="I5188" s="4">
        <v>0.25</v>
      </c>
      <c r="J5188" s="21">
        <v>300</v>
      </c>
      <c r="K5188" s="21">
        <v>0</v>
      </c>
      <c r="L5188" s="5">
        <v>0</v>
      </c>
      <c r="M5188" s="4"/>
      <c r="N5188" s="4"/>
      <c r="O5188" s="5"/>
      <c r="P5188" s="5"/>
      <c r="Q5188" s="21">
        <v>75</v>
      </c>
      <c r="R5188" s="21">
        <v>0</v>
      </c>
      <c r="S5188" s="5">
        <f t="shared" ref="S5188:S5251" si="327">S5187+Q5188-R5188</f>
        <v>34883.862073026423</v>
      </c>
      <c r="T5188" cm="1">
        <f t="array" ref="T5188">IF(OR(B5188="MAL ALIMI", B5188="ÜRETİM GİRİŞ"), MIN(I5188, MAX(0, I5188 + SUM(SUMIFS($I$1:I5187, $C$1:C5187, C5188, $B$1:B5187, {"MAL ALIMI","ÜRETİM GİRİŞ"})) - VLOOKUP(C5188, 'STOK RAPORU'!$C$2:$I$1000, 4, 0))), 0)</f>
        <v>0</v>
      </c>
      <c r="U5188" s="22">
        <f t="shared" si="324"/>
        <v>0</v>
      </c>
      <c r="V5188">
        <f t="shared" si="325"/>
        <v>0</v>
      </c>
      <c r="W5188" s="22">
        <f t="shared" si="326"/>
        <v>0</v>
      </c>
    </row>
    <row r="5189" spans="1:23" hidden="1" x14ac:dyDescent="0.25">
      <c r="A5189" s="3">
        <v>46090</v>
      </c>
      <c r="B5189" s="4" t="s">
        <v>334</v>
      </c>
      <c r="C5189" s="4" t="s">
        <v>133</v>
      </c>
      <c r="D5189" s="4"/>
      <c r="E5189" s="4"/>
      <c r="F5189" s="46" t="s">
        <v>2470</v>
      </c>
      <c r="G5189" s="4" t="s">
        <v>336</v>
      </c>
      <c r="H5189" s="4" t="s">
        <v>289</v>
      </c>
      <c r="I5189" s="4">
        <v>0.16400000000000001</v>
      </c>
      <c r="J5189" s="21">
        <v>400</v>
      </c>
      <c r="K5189" s="21">
        <v>0</v>
      </c>
      <c r="L5189" s="5">
        <v>0</v>
      </c>
      <c r="M5189" s="4"/>
      <c r="N5189" s="4"/>
      <c r="O5189" s="5"/>
      <c r="P5189" s="5"/>
      <c r="Q5189" s="21">
        <v>65.600000000000009</v>
      </c>
      <c r="R5189" s="21">
        <v>0</v>
      </c>
      <c r="S5189" s="5">
        <f t="shared" si="327"/>
        <v>34949.462073026421</v>
      </c>
      <c r="T5189" cm="1">
        <f t="array" ref="T5189">IF(OR(B5189="MAL ALIMI", B5189="ÜRETİM GİRİŞ"), MIN(I5189, MAX(0, I5189 + SUM(SUMIFS($I$1:I5188, $C$1:C5188, C5189, $B$1:B5188, {"MAL ALIMI","ÜRETİM GİRİŞ"})) - VLOOKUP(C5189, 'STOK RAPORU'!$C$2:$I$1000, 4, 0))), 0)</f>
        <v>0</v>
      </c>
      <c r="U5189" s="22">
        <f t="shared" si="324"/>
        <v>0</v>
      </c>
      <c r="V5189">
        <f t="shared" si="325"/>
        <v>0</v>
      </c>
      <c r="W5189" s="22">
        <f t="shared" si="326"/>
        <v>0</v>
      </c>
    </row>
    <row r="5190" spans="1:23" hidden="1" x14ac:dyDescent="0.25">
      <c r="A5190" s="3">
        <v>46090</v>
      </c>
      <c r="B5190" s="4" t="s">
        <v>334</v>
      </c>
      <c r="C5190" s="4" t="s">
        <v>126</v>
      </c>
      <c r="D5190" s="4"/>
      <c r="E5190" s="4"/>
      <c r="F5190" s="46" t="s">
        <v>2470</v>
      </c>
      <c r="G5190" s="4" t="s">
        <v>336</v>
      </c>
      <c r="H5190" s="4" t="s">
        <v>289</v>
      </c>
      <c r="I5190" s="4">
        <v>7.5999999999999998E-2</v>
      </c>
      <c r="J5190" s="21">
        <v>650</v>
      </c>
      <c r="K5190" s="21">
        <v>0</v>
      </c>
      <c r="L5190" s="5">
        <v>0</v>
      </c>
      <c r="M5190" s="4"/>
      <c r="N5190" s="4"/>
      <c r="O5190" s="5"/>
      <c r="P5190" s="5"/>
      <c r="Q5190" s="21">
        <v>49.4</v>
      </c>
      <c r="R5190" s="21">
        <v>0</v>
      </c>
      <c r="S5190" s="5">
        <f t="shared" si="327"/>
        <v>34998.862073026423</v>
      </c>
      <c r="T5190" cm="1">
        <f t="array" ref="T5190">IF(OR(B5190="MAL ALIMI", B5190="ÜRETİM GİRİŞ"), MIN(I5190, MAX(0, I5190 + SUM(SUMIFS($I$1:I5189, $C$1:C5189, C5190, $B$1:B5189, {"MAL ALIMI","ÜRETİM GİRİŞ"})) - VLOOKUP(C5190, 'STOK RAPORU'!$C$2:$I$1000, 4, 0))), 0)</f>
        <v>0</v>
      </c>
      <c r="U5190" s="22">
        <f t="shared" si="324"/>
        <v>0</v>
      </c>
      <c r="V5190">
        <f t="shared" si="325"/>
        <v>0</v>
      </c>
      <c r="W5190" s="22">
        <f t="shared" si="326"/>
        <v>0</v>
      </c>
    </row>
    <row r="5191" spans="1:23" hidden="1" x14ac:dyDescent="0.25">
      <c r="A5191" s="3">
        <v>46090</v>
      </c>
      <c r="B5191" s="4" t="s">
        <v>334</v>
      </c>
      <c r="C5191" s="4" t="s">
        <v>156</v>
      </c>
      <c r="D5191" s="4"/>
      <c r="E5191" s="4"/>
      <c r="F5191" s="46" t="s">
        <v>2470</v>
      </c>
      <c r="G5191" s="4" t="s">
        <v>336</v>
      </c>
      <c r="H5191" s="4" t="s">
        <v>289</v>
      </c>
      <c r="I5191" s="4">
        <v>1</v>
      </c>
      <c r="J5191" s="21">
        <v>200</v>
      </c>
      <c r="K5191" s="21">
        <v>0</v>
      </c>
      <c r="L5191" s="5">
        <v>0</v>
      </c>
      <c r="M5191" s="4"/>
      <c r="N5191" s="4"/>
      <c r="O5191" s="5"/>
      <c r="P5191" s="5"/>
      <c r="Q5191" s="21">
        <v>200</v>
      </c>
      <c r="R5191" s="21">
        <v>0</v>
      </c>
      <c r="S5191" s="5">
        <f t="shared" si="327"/>
        <v>35198.862073026423</v>
      </c>
      <c r="T5191" cm="1">
        <f t="array" ref="T5191">IF(OR(B5191="MAL ALIMI", B5191="ÜRETİM GİRİŞ"), MIN(I5191, MAX(0, I5191 + SUM(SUMIFS($I$1:I5190, $C$1:C5190, C5191, $B$1:B5190, {"MAL ALIMI","ÜRETİM GİRİŞ"})) - VLOOKUP(C5191, 'STOK RAPORU'!$C$2:$I$1000, 4, 0))), 0)</f>
        <v>0</v>
      </c>
      <c r="U5191" s="22">
        <f t="shared" si="324"/>
        <v>0</v>
      </c>
      <c r="V5191">
        <f t="shared" si="325"/>
        <v>0</v>
      </c>
      <c r="W5191" s="22">
        <f t="shared" si="326"/>
        <v>0</v>
      </c>
    </row>
    <row r="5192" spans="1:23" hidden="1" x14ac:dyDescent="0.25">
      <c r="A5192" s="3">
        <v>46090</v>
      </c>
      <c r="B5192" s="4" t="s">
        <v>334</v>
      </c>
      <c r="C5192" s="4" t="s">
        <v>1359</v>
      </c>
      <c r="D5192" s="4"/>
      <c r="E5192" s="4"/>
      <c r="F5192" s="46" t="s">
        <v>2470</v>
      </c>
      <c r="G5192" s="4" t="s">
        <v>336</v>
      </c>
      <c r="H5192" s="4" t="s">
        <v>289</v>
      </c>
      <c r="I5192" s="4">
        <v>0.13300000000000001</v>
      </c>
      <c r="J5192" s="21">
        <v>450</v>
      </c>
      <c r="K5192" s="21">
        <v>0</v>
      </c>
      <c r="L5192" s="5">
        <v>0</v>
      </c>
      <c r="M5192" s="4"/>
      <c r="N5192" s="4"/>
      <c r="O5192" s="5"/>
      <c r="P5192" s="5"/>
      <c r="Q5192" s="21">
        <v>59.85</v>
      </c>
      <c r="R5192" s="21">
        <v>0</v>
      </c>
      <c r="S5192" s="5">
        <f t="shared" si="327"/>
        <v>35258.712073026421</v>
      </c>
      <c r="T5192" cm="1">
        <f t="array" ref="T5192">IF(OR(B5192="MAL ALIMI", B5192="ÜRETİM GİRİŞ"), MIN(I5192, MAX(0, I5192 + SUM(SUMIFS($I$1:I5191, $C$1:C5191, C5192, $B$1:B5191, {"MAL ALIMI","ÜRETİM GİRİŞ"})) - VLOOKUP(C5192, 'STOK RAPORU'!$C$2:$I$1000, 4, 0))), 0)</f>
        <v>0</v>
      </c>
      <c r="U5192" s="22">
        <f t="shared" si="324"/>
        <v>0</v>
      </c>
      <c r="V5192">
        <f t="shared" si="325"/>
        <v>0</v>
      </c>
      <c r="W5192" s="22">
        <f t="shared" si="326"/>
        <v>0</v>
      </c>
    </row>
    <row r="5193" spans="1:23" hidden="1" x14ac:dyDescent="0.25">
      <c r="A5193" s="3">
        <v>46090</v>
      </c>
      <c r="B5193" s="4" t="s">
        <v>334</v>
      </c>
      <c r="C5193" s="4" t="s">
        <v>241</v>
      </c>
      <c r="D5193" s="4"/>
      <c r="E5193" s="4"/>
      <c r="F5193" s="46" t="s">
        <v>2470</v>
      </c>
      <c r="G5193" s="4" t="s">
        <v>336</v>
      </c>
      <c r="H5193" s="4" t="s">
        <v>289</v>
      </c>
      <c r="I5193" s="4">
        <v>0.28000000000000003</v>
      </c>
      <c r="J5193" s="21">
        <v>430</v>
      </c>
      <c r="K5193" s="21">
        <v>0</v>
      </c>
      <c r="L5193" s="5">
        <v>0</v>
      </c>
      <c r="M5193" s="4"/>
      <c r="N5193" s="4"/>
      <c r="O5193" s="5"/>
      <c r="P5193" s="5"/>
      <c r="Q5193" s="21">
        <v>120.4</v>
      </c>
      <c r="R5193" s="21">
        <v>0</v>
      </c>
      <c r="S5193" s="5">
        <f t="shared" si="327"/>
        <v>35379.112073026423</v>
      </c>
      <c r="T5193" cm="1">
        <f t="array" ref="T5193">IF(OR(B5193="MAL ALIMI", B5193="ÜRETİM GİRİŞ"), MIN(I5193, MAX(0, I5193 + SUM(SUMIFS($I$1:I5192, $C$1:C5192, C5193, $B$1:B5192, {"MAL ALIMI","ÜRETİM GİRİŞ"})) - VLOOKUP(C5193, 'STOK RAPORU'!$C$2:$I$1000, 4, 0))), 0)</f>
        <v>0</v>
      </c>
      <c r="U5193" s="22">
        <f t="shared" si="324"/>
        <v>0</v>
      </c>
      <c r="V5193">
        <f t="shared" si="325"/>
        <v>0</v>
      </c>
      <c r="W5193" s="22">
        <f t="shared" si="326"/>
        <v>0</v>
      </c>
    </row>
    <row r="5194" spans="1:23" hidden="1" x14ac:dyDescent="0.25">
      <c r="A5194" s="3">
        <v>46090</v>
      </c>
      <c r="B5194" s="4" t="s">
        <v>334</v>
      </c>
      <c r="C5194" s="4" t="s">
        <v>161</v>
      </c>
      <c r="D5194" s="4"/>
      <c r="E5194" s="4" t="s">
        <v>921</v>
      </c>
      <c r="F5194" s="46" t="s">
        <v>2471</v>
      </c>
      <c r="G5194" s="4" t="s">
        <v>336</v>
      </c>
      <c r="H5194" s="4" t="s">
        <v>380</v>
      </c>
      <c r="I5194" s="4">
        <v>1</v>
      </c>
      <c r="J5194" s="21">
        <v>230</v>
      </c>
      <c r="K5194" s="21">
        <v>230</v>
      </c>
      <c r="L5194" s="5">
        <v>0</v>
      </c>
      <c r="M5194" s="4"/>
      <c r="N5194" s="4"/>
      <c r="O5194" s="5"/>
      <c r="P5194" s="5"/>
      <c r="Q5194" s="21">
        <v>0</v>
      </c>
      <c r="R5194" s="21">
        <v>0</v>
      </c>
      <c r="S5194" s="5">
        <f t="shared" si="327"/>
        <v>35379.112073026423</v>
      </c>
      <c r="T5194" cm="1">
        <f t="array" ref="T5194">IF(OR(B5194="MAL ALIMI", B5194="ÜRETİM GİRİŞ"), MIN(I5194, MAX(0, I5194 + SUM(SUMIFS($I$1:I5193, $C$1:C5193, C5194, $B$1:B5193, {"MAL ALIMI","ÜRETİM GİRİŞ"})) - VLOOKUP(C5194, 'STOK RAPORU'!$C$2:$I$1000, 4, 0))), 0)</f>
        <v>0</v>
      </c>
      <c r="U5194" s="22">
        <f t="shared" si="324"/>
        <v>0</v>
      </c>
      <c r="V5194">
        <f t="shared" si="325"/>
        <v>0</v>
      </c>
      <c r="W5194" s="22">
        <f t="shared" si="326"/>
        <v>0</v>
      </c>
    </row>
    <row r="5195" spans="1:23" hidden="1" x14ac:dyDescent="0.25">
      <c r="A5195" s="3">
        <v>46090</v>
      </c>
      <c r="B5195" s="4" t="s">
        <v>334</v>
      </c>
      <c r="C5195" s="4" t="s">
        <v>158</v>
      </c>
      <c r="D5195" s="4"/>
      <c r="E5195" s="4" t="s">
        <v>921</v>
      </c>
      <c r="F5195" s="46" t="s">
        <v>2472</v>
      </c>
      <c r="G5195" s="4" t="s">
        <v>336</v>
      </c>
      <c r="H5195" s="4" t="s">
        <v>380</v>
      </c>
      <c r="I5195" s="4">
        <v>1</v>
      </c>
      <c r="J5195" s="21">
        <v>150</v>
      </c>
      <c r="K5195" s="21">
        <v>150</v>
      </c>
      <c r="L5195" s="5">
        <v>0</v>
      </c>
      <c r="M5195" s="4"/>
      <c r="N5195" s="4"/>
      <c r="O5195" s="5"/>
      <c r="P5195" s="5"/>
      <c r="Q5195" s="21">
        <v>0</v>
      </c>
      <c r="R5195" s="21">
        <v>0</v>
      </c>
      <c r="S5195" s="5">
        <f t="shared" si="327"/>
        <v>35379.112073026423</v>
      </c>
      <c r="T5195" cm="1">
        <f t="array" ref="T5195">IF(OR(B5195="MAL ALIMI", B5195="ÜRETİM GİRİŞ"), MIN(I5195, MAX(0, I5195 + SUM(SUMIFS($I$1:I5194, $C$1:C5194, C5195, $B$1:B5194, {"MAL ALIMI","ÜRETİM GİRİŞ"})) - VLOOKUP(C5195, 'STOK RAPORU'!$C$2:$I$1000, 4, 0))), 0)</f>
        <v>0</v>
      </c>
      <c r="U5195" s="22">
        <f t="shared" si="324"/>
        <v>0</v>
      </c>
      <c r="V5195">
        <f t="shared" si="325"/>
        <v>0</v>
      </c>
      <c r="W5195" s="22">
        <f t="shared" si="326"/>
        <v>0</v>
      </c>
    </row>
    <row r="5196" spans="1:23" hidden="1" x14ac:dyDescent="0.25">
      <c r="A5196" s="3">
        <v>46090</v>
      </c>
      <c r="B5196" s="4" t="s">
        <v>334</v>
      </c>
      <c r="C5196" s="4" t="s">
        <v>60</v>
      </c>
      <c r="D5196" s="4"/>
      <c r="E5196" s="4" t="s">
        <v>921</v>
      </c>
      <c r="F5196" s="46" t="s">
        <v>2473</v>
      </c>
      <c r="G5196" s="4" t="s">
        <v>336</v>
      </c>
      <c r="H5196" s="4" t="s">
        <v>380</v>
      </c>
      <c r="I5196" s="4">
        <v>0.05</v>
      </c>
      <c r="J5196" s="21">
        <v>1200</v>
      </c>
      <c r="K5196" s="21">
        <v>60</v>
      </c>
      <c r="L5196" s="5">
        <v>0</v>
      </c>
      <c r="M5196" s="4"/>
      <c r="N5196" s="4"/>
      <c r="O5196" s="5"/>
      <c r="P5196" s="5"/>
      <c r="Q5196" s="21">
        <v>0</v>
      </c>
      <c r="R5196" s="21">
        <v>0</v>
      </c>
      <c r="S5196" s="5">
        <f t="shared" si="327"/>
        <v>35379.112073026423</v>
      </c>
      <c r="T5196" cm="1">
        <f t="array" ref="T5196">IF(OR(B5196="MAL ALIMI", B5196="ÜRETİM GİRİŞ"), MIN(I5196, MAX(0, I5196 + SUM(SUMIFS($I$1:I5195, $C$1:C5195, C5196, $B$1:B5195, {"MAL ALIMI","ÜRETİM GİRİŞ"})) - VLOOKUP(C5196, 'STOK RAPORU'!$C$2:$I$1000, 4, 0))), 0)</f>
        <v>0</v>
      </c>
      <c r="U5196" s="22">
        <f t="shared" si="324"/>
        <v>0</v>
      </c>
      <c r="V5196">
        <f t="shared" si="325"/>
        <v>0</v>
      </c>
      <c r="W5196" s="22">
        <f t="shared" si="326"/>
        <v>0</v>
      </c>
    </row>
    <row r="5197" spans="1:23" hidden="1" x14ac:dyDescent="0.25">
      <c r="A5197" s="3">
        <v>46090</v>
      </c>
      <c r="B5197" s="4" t="s">
        <v>334</v>
      </c>
      <c r="C5197" s="4" t="s">
        <v>1649</v>
      </c>
      <c r="D5197" s="4"/>
      <c r="E5197" s="4"/>
      <c r="F5197" s="46" t="s">
        <v>2474</v>
      </c>
      <c r="G5197" s="4" t="s">
        <v>336</v>
      </c>
      <c r="H5197" s="4" t="s">
        <v>289</v>
      </c>
      <c r="I5197" s="4">
        <v>0.03</v>
      </c>
      <c r="J5197" s="21">
        <v>1100</v>
      </c>
      <c r="K5197" s="21">
        <v>0</v>
      </c>
      <c r="L5197" s="5">
        <v>0</v>
      </c>
      <c r="M5197" s="4"/>
      <c r="N5197" s="4"/>
      <c r="O5197" s="5"/>
      <c r="P5197" s="5"/>
      <c r="Q5197" s="21">
        <v>33</v>
      </c>
      <c r="R5197" s="21">
        <v>0</v>
      </c>
      <c r="S5197" s="5">
        <f t="shared" si="327"/>
        <v>35412.112073026423</v>
      </c>
      <c r="T5197" cm="1">
        <f t="array" ref="T5197">IF(OR(B5197="MAL ALIMI", B5197="ÜRETİM GİRİŞ"), MIN(I5197, MAX(0, I5197 + SUM(SUMIFS($I$1:I5196, $C$1:C5196, C5197, $B$1:B5196, {"MAL ALIMI","ÜRETİM GİRİŞ"})) - VLOOKUP(C5197, 'STOK RAPORU'!$C$2:$I$1000, 4, 0))), 0)</f>
        <v>0</v>
      </c>
      <c r="U5197" s="22">
        <f t="shared" si="324"/>
        <v>0</v>
      </c>
      <c r="V5197">
        <f t="shared" si="325"/>
        <v>0</v>
      </c>
      <c r="W5197" s="22">
        <f t="shared" si="326"/>
        <v>0</v>
      </c>
    </row>
    <row r="5198" spans="1:23" hidden="1" x14ac:dyDescent="0.25">
      <c r="A5198" s="3">
        <v>46090</v>
      </c>
      <c r="B5198" s="4" t="s">
        <v>334</v>
      </c>
      <c r="C5198" s="4" t="s">
        <v>1041</v>
      </c>
      <c r="D5198" s="4"/>
      <c r="E5198" s="4" t="s">
        <v>921</v>
      </c>
      <c r="F5198" s="46" t="s">
        <v>2475</v>
      </c>
      <c r="G5198" s="4" t="s">
        <v>336</v>
      </c>
      <c r="H5198" s="4" t="s">
        <v>380</v>
      </c>
      <c r="I5198" s="4">
        <v>1</v>
      </c>
      <c r="J5198" s="21">
        <v>250</v>
      </c>
      <c r="K5198" s="21">
        <v>250</v>
      </c>
      <c r="L5198" s="5">
        <v>0</v>
      </c>
      <c r="M5198" s="4"/>
      <c r="N5198" s="4"/>
      <c r="O5198" s="5"/>
      <c r="P5198" s="5"/>
      <c r="Q5198" s="21">
        <v>0</v>
      </c>
      <c r="R5198" s="21">
        <v>0</v>
      </c>
      <c r="S5198" s="5">
        <f t="shared" si="327"/>
        <v>35412.112073026423</v>
      </c>
      <c r="T5198" cm="1">
        <f t="array" ref="T5198">IF(OR(B5198="MAL ALIMI", B5198="ÜRETİM GİRİŞ"), MIN(I5198, MAX(0, I5198 + SUM(SUMIFS($I$1:I5197, $C$1:C5197, C5198, $B$1:B5197, {"MAL ALIMI","ÜRETİM GİRİŞ"})) - VLOOKUP(C5198, 'STOK RAPORU'!$C$2:$I$1000, 4, 0))), 0)</f>
        <v>0</v>
      </c>
      <c r="U5198" s="22">
        <f t="shared" si="324"/>
        <v>0</v>
      </c>
      <c r="V5198">
        <f t="shared" si="325"/>
        <v>0</v>
      </c>
      <c r="W5198" s="22">
        <f t="shared" si="326"/>
        <v>0</v>
      </c>
    </row>
    <row r="5199" spans="1:23" hidden="1" x14ac:dyDescent="0.25">
      <c r="A5199" s="3">
        <v>46090</v>
      </c>
      <c r="B5199" s="4" t="s">
        <v>334</v>
      </c>
      <c r="C5199" s="4" t="s">
        <v>1634</v>
      </c>
      <c r="D5199" s="4"/>
      <c r="E5199" s="4" t="s">
        <v>921</v>
      </c>
      <c r="F5199" s="46" t="s">
        <v>2475</v>
      </c>
      <c r="G5199" s="4" t="s">
        <v>336</v>
      </c>
      <c r="H5199" s="4" t="s">
        <v>380</v>
      </c>
      <c r="I5199" s="4">
        <v>0.5</v>
      </c>
      <c r="J5199" s="21">
        <v>300</v>
      </c>
      <c r="K5199" s="21">
        <v>150</v>
      </c>
      <c r="L5199" s="5">
        <v>0</v>
      </c>
      <c r="M5199" s="4"/>
      <c r="N5199" s="4"/>
      <c r="O5199" s="5"/>
      <c r="P5199" s="5"/>
      <c r="Q5199" s="21">
        <v>0</v>
      </c>
      <c r="R5199" s="21">
        <v>0</v>
      </c>
      <c r="S5199" s="5">
        <f t="shared" si="327"/>
        <v>35412.112073026423</v>
      </c>
      <c r="T5199" cm="1">
        <f t="array" ref="T5199">IF(OR(B5199="MAL ALIMI", B5199="ÜRETİM GİRİŞ"), MIN(I5199, MAX(0, I5199 + SUM(SUMIFS($I$1:I5198, $C$1:C5198, C5199, $B$1:B5198, {"MAL ALIMI","ÜRETİM GİRİŞ"})) - VLOOKUP(C5199, 'STOK RAPORU'!$C$2:$I$1000, 4, 0))), 0)</f>
        <v>0</v>
      </c>
      <c r="U5199" s="22">
        <f t="shared" si="324"/>
        <v>0</v>
      </c>
      <c r="V5199">
        <f t="shared" si="325"/>
        <v>0</v>
      </c>
      <c r="W5199" s="22">
        <f t="shared" si="326"/>
        <v>0</v>
      </c>
    </row>
    <row r="5200" spans="1:23" hidden="1" x14ac:dyDescent="0.25">
      <c r="A5200" s="3">
        <v>46090</v>
      </c>
      <c r="B5200" s="4" t="s">
        <v>334</v>
      </c>
      <c r="C5200" s="4" t="s">
        <v>728</v>
      </c>
      <c r="D5200" s="4"/>
      <c r="E5200" s="4" t="s">
        <v>921</v>
      </c>
      <c r="F5200" s="46" t="s">
        <v>2475</v>
      </c>
      <c r="G5200" s="4" t="s">
        <v>336</v>
      </c>
      <c r="H5200" s="4" t="s">
        <v>380</v>
      </c>
      <c r="I5200" s="4">
        <v>0.12318840579710146</v>
      </c>
      <c r="J5200" s="21">
        <v>690</v>
      </c>
      <c r="K5200" s="21">
        <v>85</v>
      </c>
      <c r="L5200" s="5">
        <v>0</v>
      </c>
      <c r="M5200" s="4"/>
      <c r="N5200" s="4"/>
      <c r="O5200" s="5"/>
      <c r="P5200" s="5"/>
      <c r="Q5200" s="21">
        <v>0</v>
      </c>
      <c r="R5200" s="21">
        <v>0</v>
      </c>
      <c r="S5200" s="5">
        <f t="shared" si="327"/>
        <v>35412.112073026423</v>
      </c>
      <c r="T5200" cm="1">
        <f t="array" ref="T5200">IF(OR(B5200="MAL ALIMI", B5200="ÜRETİM GİRİŞ"), MIN(I5200, MAX(0, I5200 + SUM(SUMIFS($I$1:I5199, $C$1:C5199, C5200, $B$1:B5199, {"MAL ALIMI","ÜRETİM GİRİŞ"})) - VLOOKUP(C5200, 'STOK RAPORU'!$C$2:$I$1000, 4, 0))), 0)</f>
        <v>0</v>
      </c>
      <c r="U5200" s="22">
        <f t="shared" si="324"/>
        <v>0</v>
      </c>
      <c r="V5200">
        <f t="shared" si="325"/>
        <v>0</v>
      </c>
      <c r="W5200" s="22">
        <f t="shared" si="326"/>
        <v>0</v>
      </c>
    </row>
    <row r="5201" spans="1:23" hidden="1" x14ac:dyDescent="0.25">
      <c r="A5201" s="3">
        <v>46090</v>
      </c>
      <c r="B5201" s="4" t="s">
        <v>334</v>
      </c>
      <c r="C5201" s="4" t="s">
        <v>463</v>
      </c>
      <c r="D5201" s="4"/>
      <c r="E5201" s="4" t="s">
        <v>921</v>
      </c>
      <c r="F5201" s="46" t="s">
        <v>2475</v>
      </c>
      <c r="G5201" s="4" t="s">
        <v>336</v>
      </c>
      <c r="H5201" s="4" t="s">
        <v>380</v>
      </c>
      <c r="I5201" s="4">
        <v>8.7499999999999994E-2</v>
      </c>
      <c r="J5201" s="21">
        <v>400</v>
      </c>
      <c r="K5201" s="21">
        <v>35</v>
      </c>
      <c r="L5201" s="5">
        <v>0</v>
      </c>
      <c r="M5201" s="4"/>
      <c r="N5201" s="4"/>
      <c r="O5201" s="5"/>
      <c r="P5201" s="5"/>
      <c r="Q5201" s="21">
        <v>0</v>
      </c>
      <c r="R5201" s="21">
        <v>0</v>
      </c>
      <c r="S5201" s="5">
        <f t="shared" si="327"/>
        <v>35412.112073026423</v>
      </c>
      <c r="T5201" cm="1">
        <f t="array" ref="T5201">IF(OR(B5201="MAL ALIMI", B5201="ÜRETİM GİRİŞ"), MIN(I5201, MAX(0, I5201 + SUM(SUMIFS($I$1:I5200, $C$1:C5200, C5201, $B$1:B5200, {"MAL ALIMI","ÜRETİM GİRİŞ"})) - VLOOKUP(C5201, 'STOK RAPORU'!$C$2:$I$1000, 4, 0))), 0)</f>
        <v>0</v>
      </c>
      <c r="U5201" s="22">
        <f t="shared" si="324"/>
        <v>0</v>
      </c>
      <c r="V5201">
        <f t="shared" si="325"/>
        <v>0</v>
      </c>
      <c r="W5201" s="22">
        <f t="shared" si="326"/>
        <v>0</v>
      </c>
    </row>
    <row r="5202" spans="1:23" hidden="1" x14ac:dyDescent="0.25">
      <c r="A5202" s="3">
        <v>46090</v>
      </c>
      <c r="B5202" s="4" t="s">
        <v>334</v>
      </c>
      <c r="C5202" s="4" t="s">
        <v>193</v>
      </c>
      <c r="D5202" s="4"/>
      <c r="E5202" s="4"/>
      <c r="F5202" s="46" t="s">
        <v>2476</v>
      </c>
      <c r="G5202" s="4" t="s">
        <v>336</v>
      </c>
      <c r="H5202" s="4" t="s">
        <v>289</v>
      </c>
      <c r="I5202" s="4">
        <v>0.1</v>
      </c>
      <c r="J5202" s="21">
        <v>900</v>
      </c>
      <c r="K5202" s="21">
        <v>0</v>
      </c>
      <c r="L5202" s="5">
        <v>0</v>
      </c>
      <c r="M5202" s="4"/>
      <c r="N5202" s="4"/>
      <c r="O5202" s="5"/>
      <c r="P5202" s="5"/>
      <c r="Q5202" s="21">
        <v>90</v>
      </c>
      <c r="R5202" s="21">
        <v>0</v>
      </c>
      <c r="S5202" s="5">
        <f t="shared" si="327"/>
        <v>35502.112073026423</v>
      </c>
      <c r="T5202" cm="1">
        <f t="array" ref="T5202">IF(OR(B5202="MAL ALIMI", B5202="ÜRETİM GİRİŞ"), MIN(I5202, MAX(0, I5202 + SUM(SUMIFS($I$1:I5201, $C$1:C5201, C5202, $B$1:B5201, {"MAL ALIMI","ÜRETİM GİRİŞ"})) - VLOOKUP(C5202, 'STOK RAPORU'!$C$2:$I$1000, 4, 0))), 0)</f>
        <v>0</v>
      </c>
      <c r="U5202" s="22">
        <f t="shared" si="324"/>
        <v>0</v>
      </c>
      <c r="V5202">
        <f t="shared" si="325"/>
        <v>0</v>
      </c>
      <c r="W5202" s="22">
        <f t="shared" si="326"/>
        <v>0</v>
      </c>
    </row>
    <row r="5203" spans="1:23" hidden="1" x14ac:dyDescent="0.25">
      <c r="A5203" s="3">
        <v>46090</v>
      </c>
      <c r="B5203" s="4" t="s">
        <v>334</v>
      </c>
      <c r="C5203" s="4" t="s">
        <v>796</v>
      </c>
      <c r="D5203" s="4"/>
      <c r="E5203" s="4"/>
      <c r="F5203" s="46" t="s">
        <v>2477</v>
      </c>
      <c r="G5203" s="4" t="s">
        <v>336</v>
      </c>
      <c r="H5203" s="4" t="s">
        <v>289</v>
      </c>
      <c r="I5203" s="4">
        <v>1</v>
      </c>
      <c r="J5203" s="21">
        <v>260</v>
      </c>
      <c r="K5203" s="21">
        <v>0</v>
      </c>
      <c r="L5203" s="5">
        <v>0</v>
      </c>
      <c r="M5203" s="4"/>
      <c r="N5203" s="4"/>
      <c r="O5203" s="5"/>
      <c r="P5203" s="5"/>
      <c r="Q5203" s="21">
        <v>260</v>
      </c>
      <c r="R5203" s="21">
        <v>0</v>
      </c>
      <c r="S5203" s="5">
        <f t="shared" si="327"/>
        <v>35762.112073026423</v>
      </c>
      <c r="T5203" cm="1">
        <f t="array" ref="T5203">IF(OR(B5203="MAL ALIMI", B5203="ÜRETİM GİRİŞ"), MIN(I5203, MAX(0, I5203 + SUM(SUMIFS($I$1:I5202, $C$1:C5202, C5203, $B$1:B5202, {"MAL ALIMI","ÜRETİM GİRİŞ"})) - VLOOKUP(C5203, 'STOK RAPORU'!$C$2:$I$1000, 4, 0))), 0)</f>
        <v>0</v>
      </c>
      <c r="U5203" s="22">
        <f t="shared" si="324"/>
        <v>0</v>
      </c>
      <c r="V5203">
        <f t="shared" si="325"/>
        <v>0</v>
      </c>
      <c r="W5203" s="22">
        <f t="shared" si="326"/>
        <v>0</v>
      </c>
    </row>
    <row r="5204" spans="1:23" hidden="1" x14ac:dyDescent="0.25">
      <c r="A5204" s="3">
        <v>46090</v>
      </c>
      <c r="B5204" s="4" t="s">
        <v>334</v>
      </c>
      <c r="C5204" s="4" t="s">
        <v>192</v>
      </c>
      <c r="D5204" s="4"/>
      <c r="E5204" s="4"/>
      <c r="F5204" s="46" t="s">
        <v>2478</v>
      </c>
      <c r="G5204" s="4" t="s">
        <v>336</v>
      </c>
      <c r="H5204" s="4" t="s">
        <v>289</v>
      </c>
      <c r="I5204" s="4">
        <v>0.12</v>
      </c>
      <c r="J5204" s="21">
        <v>417</v>
      </c>
      <c r="K5204" s="21">
        <v>0</v>
      </c>
      <c r="L5204" s="5">
        <v>0</v>
      </c>
      <c r="M5204" s="4"/>
      <c r="N5204" s="4"/>
      <c r="O5204" s="5"/>
      <c r="P5204" s="5"/>
      <c r="Q5204" s="21">
        <v>50.04</v>
      </c>
      <c r="R5204" s="21">
        <v>0</v>
      </c>
      <c r="S5204" s="5">
        <f t="shared" si="327"/>
        <v>35812.152073026424</v>
      </c>
      <c r="T5204" cm="1">
        <f t="array" ref="T5204">IF(OR(B5204="MAL ALIMI", B5204="ÜRETİM GİRİŞ"), MIN(I5204, MAX(0, I5204 + SUM(SUMIFS($I$1:I5203, $C$1:C5203, C5204, $B$1:B5203, {"MAL ALIMI","ÜRETİM GİRİŞ"})) - VLOOKUP(C5204, 'STOK RAPORU'!$C$2:$I$1000, 4, 0))), 0)</f>
        <v>0</v>
      </c>
      <c r="U5204" s="22">
        <f t="shared" si="324"/>
        <v>0</v>
      </c>
      <c r="V5204">
        <f t="shared" si="325"/>
        <v>0</v>
      </c>
      <c r="W5204" s="22">
        <f t="shared" si="326"/>
        <v>0</v>
      </c>
    </row>
    <row r="5205" spans="1:23" hidden="1" x14ac:dyDescent="0.25">
      <c r="A5205" s="3">
        <v>46090</v>
      </c>
      <c r="B5205" s="4" t="s">
        <v>334</v>
      </c>
      <c r="C5205" s="4" t="s">
        <v>143</v>
      </c>
      <c r="D5205" s="4"/>
      <c r="E5205" s="4" t="s">
        <v>921</v>
      </c>
      <c r="F5205" s="46" t="s">
        <v>2479</v>
      </c>
      <c r="G5205" s="4" t="s">
        <v>336</v>
      </c>
      <c r="H5205" s="4" t="s">
        <v>380</v>
      </c>
      <c r="I5205" s="4">
        <v>1</v>
      </c>
      <c r="J5205" s="21">
        <v>100</v>
      </c>
      <c r="K5205" s="21">
        <v>100</v>
      </c>
      <c r="L5205" s="5">
        <v>0</v>
      </c>
      <c r="M5205" s="4"/>
      <c r="N5205" s="4"/>
      <c r="O5205" s="5"/>
      <c r="P5205" s="5"/>
      <c r="Q5205" s="21">
        <v>0</v>
      </c>
      <c r="R5205" s="21">
        <v>0</v>
      </c>
      <c r="S5205" s="5">
        <f t="shared" si="327"/>
        <v>35812.152073026424</v>
      </c>
      <c r="T5205" cm="1">
        <f t="array" ref="T5205">IF(OR(B5205="MAL ALIMI", B5205="ÜRETİM GİRİŞ"), MIN(I5205, MAX(0, I5205 + SUM(SUMIFS($I$1:I5204, $C$1:C5204, C5205, $B$1:B5204, {"MAL ALIMI","ÜRETİM GİRİŞ"})) - VLOOKUP(C5205, 'STOK RAPORU'!$C$2:$I$1000, 4, 0))), 0)</f>
        <v>0</v>
      </c>
      <c r="U5205" s="22">
        <f t="shared" si="324"/>
        <v>0</v>
      </c>
      <c r="V5205">
        <f t="shared" si="325"/>
        <v>0</v>
      </c>
      <c r="W5205" s="22">
        <f t="shared" si="326"/>
        <v>0</v>
      </c>
    </row>
    <row r="5206" spans="1:23" hidden="1" x14ac:dyDescent="0.25">
      <c r="A5206" s="45">
        <v>46090</v>
      </c>
      <c r="B5206" s="46" t="s">
        <v>334</v>
      </c>
      <c r="C5206" s="46" t="s">
        <v>821</v>
      </c>
      <c r="D5206" s="46"/>
      <c r="E5206" s="46"/>
      <c r="F5206" s="46" t="s">
        <v>2483</v>
      </c>
      <c r="G5206" s="46" t="s">
        <v>336</v>
      </c>
      <c r="H5206" s="46" t="s">
        <v>289</v>
      </c>
      <c r="I5206" s="46">
        <v>1</v>
      </c>
      <c r="J5206" s="47">
        <v>110</v>
      </c>
      <c r="K5206" s="47">
        <v>0</v>
      </c>
      <c r="L5206" s="48">
        <v>0</v>
      </c>
      <c r="M5206" s="42"/>
      <c r="N5206" s="42"/>
      <c r="O5206" s="44"/>
      <c r="P5206" s="44"/>
      <c r="Q5206" s="47">
        <v>110</v>
      </c>
      <c r="R5206" s="47">
        <v>0</v>
      </c>
      <c r="S5206" s="5">
        <f t="shared" si="327"/>
        <v>35922.152073026424</v>
      </c>
      <c r="T5206" cm="1">
        <f t="array" ref="T5206">IF(OR(B5206="MAL ALIMI", B5206="ÜRETİM GİRİŞ"), MIN(I5206, MAX(0, I5206 + SUM(SUMIFS($I$1:I5205, $C$1:C5205, C5206, $B$1:B5205, {"MAL ALIMI","ÜRETİM GİRİŞ"})) - VLOOKUP(C5206, 'STOK RAPORU'!$C$2:$I$1000, 4, 0))), 0)</f>
        <v>0</v>
      </c>
      <c r="U5206" s="22">
        <f t="shared" si="324"/>
        <v>0</v>
      </c>
      <c r="V5206">
        <f t="shared" si="325"/>
        <v>0</v>
      </c>
      <c r="W5206" s="22">
        <f t="shared" si="326"/>
        <v>0</v>
      </c>
    </row>
    <row r="5207" spans="1:23" hidden="1" x14ac:dyDescent="0.25">
      <c r="A5207" s="45">
        <v>46090</v>
      </c>
      <c r="B5207" s="46" t="s">
        <v>334</v>
      </c>
      <c r="C5207" s="46" t="s">
        <v>1640</v>
      </c>
      <c r="D5207" s="46"/>
      <c r="E5207" s="46"/>
      <c r="F5207" s="46" t="s">
        <v>2483</v>
      </c>
      <c r="G5207" s="46" t="s">
        <v>336</v>
      </c>
      <c r="H5207" s="46" t="s">
        <v>289</v>
      </c>
      <c r="I5207" s="46">
        <v>0.05</v>
      </c>
      <c r="J5207" s="47">
        <v>800</v>
      </c>
      <c r="K5207" s="47">
        <v>0</v>
      </c>
      <c r="L5207" s="48">
        <v>0</v>
      </c>
      <c r="M5207" s="42"/>
      <c r="N5207" s="42"/>
      <c r="O5207" s="44"/>
      <c r="P5207" s="44"/>
      <c r="Q5207" s="47">
        <v>40</v>
      </c>
      <c r="R5207" s="47">
        <v>0</v>
      </c>
      <c r="S5207" s="5">
        <f t="shared" si="327"/>
        <v>35962.152073026424</v>
      </c>
      <c r="T5207" cm="1">
        <f t="array" ref="T5207">IF(OR(B5207="MAL ALIMI", B5207="ÜRETİM GİRİŞ"), MIN(I5207, MAX(0, I5207 + SUM(SUMIFS($I$1:I5206, $C$1:C5206, C5207, $B$1:B5206, {"MAL ALIMI","ÜRETİM GİRİŞ"})) - VLOOKUP(C5207, 'STOK RAPORU'!$C$2:$I$1000, 4, 0))), 0)</f>
        <v>0</v>
      </c>
      <c r="U5207" s="22">
        <f t="shared" si="324"/>
        <v>0</v>
      </c>
      <c r="V5207">
        <f t="shared" si="325"/>
        <v>0</v>
      </c>
      <c r="W5207" s="22">
        <f t="shared" si="326"/>
        <v>0</v>
      </c>
    </row>
    <row r="5208" spans="1:23" hidden="1" x14ac:dyDescent="0.25">
      <c r="A5208" s="3">
        <v>46090</v>
      </c>
      <c r="B5208" s="4" t="s">
        <v>334</v>
      </c>
      <c r="C5208" s="4" t="s">
        <v>892</v>
      </c>
      <c r="D5208" s="4"/>
      <c r="E5208" s="4"/>
      <c r="F5208" s="46" t="s">
        <v>2484</v>
      </c>
      <c r="G5208" s="4" t="s">
        <v>336</v>
      </c>
      <c r="H5208" s="4" t="s">
        <v>289</v>
      </c>
      <c r="I5208" s="4">
        <v>1</v>
      </c>
      <c r="J5208" s="21">
        <v>60</v>
      </c>
      <c r="K5208" s="21">
        <v>0</v>
      </c>
      <c r="L5208" s="5">
        <v>0</v>
      </c>
      <c r="M5208" s="4"/>
      <c r="N5208" s="4"/>
      <c r="O5208" s="5"/>
      <c r="P5208" s="5"/>
      <c r="Q5208" s="21">
        <v>60</v>
      </c>
      <c r="R5208" s="21">
        <v>0</v>
      </c>
      <c r="S5208" s="5">
        <f t="shared" si="327"/>
        <v>36022.152073026424</v>
      </c>
      <c r="T5208" cm="1">
        <f t="array" ref="T5208">IF(OR(B5208="MAL ALIMI", B5208="ÜRETİM GİRİŞ"), MIN(I5208, MAX(0, I5208 + SUM(SUMIFS($I$1:I5207, $C$1:C5207, C5208, $B$1:B5207, {"MAL ALIMI","ÜRETİM GİRİŞ"})) - VLOOKUP(C5208, 'STOK RAPORU'!$C$2:$I$1000, 4, 0))), 0)</f>
        <v>0</v>
      </c>
      <c r="U5208" s="22">
        <f t="shared" si="324"/>
        <v>0</v>
      </c>
      <c r="V5208">
        <f t="shared" si="325"/>
        <v>0</v>
      </c>
      <c r="W5208" s="22">
        <f t="shared" si="326"/>
        <v>0</v>
      </c>
    </row>
    <row r="5209" spans="1:23" hidden="1" x14ac:dyDescent="0.25">
      <c r="A5209" s="3">
        <v>46090</v>
      </c>
      <c r="B5209" s="4" t="s">
        <v>334</v>
      </c>
      <c r="C5209" s="4" t="s">
        <v>158</v>
      </c>
      <c r="D5209" s="4"/>
      <c r="E5209" s="4"/>
      <c r="F5209" s="46" t="s">
        <v>2484</v>
      </c>
      <c r="G5209" s="4" t="s">
        <v>336</v>
      </c>
      <c r="H5209" s="4" t="s">
        <v>289</v>
      </c>
      <c r="I5209" s="4">
        <v>0.5</v>
      </c>
      <c r="J5209" s="21">
        <v>150</v>
      </c>
      <c r="K5209" s="21">
        <v>0</v>
      </c>
      <c r="L5209" s="5">
        <v>0</v>
      </c>
      <c r="M5209" s="4"/>
      <c r="N5209" s="4"/>
      <c r="O5209" s="5"/>
      <c r="P5209" s="5"/>
      <c r="Q5209" s="21">
        <v>75</v>
      </c>
      <c r="R5209" s="21">
        <v>0</v>
      </c>
      <c r="S5209" s="5">
        <f t="shared" si="327"/>
        <v>36097.152073026424</v>
      </c>
      <c r="T5209" cm="1">
        <f t="array" ref="T5209">IF(OR(B5209="MAL ALIMI", B5209="ÜRETİM GİRİŞ"), MIN(I5209, MAX(0, I5209 + SUM(SUMIFS($I$1:I5208, $C$1:C5208, C5209, $B$1:B5208, {"MAL ALIMI","ÜRETİM GİRİŞ"})) - VLOOKUP(C5209, 'STOK RAPORU'!$C$2:$I$1000, 4, 0))), 0)</f>
        <v>0</v>
      </c>
      <c r="U5209" s="22">
        <f t="shared" si="324"/>
        <v>0</v>
      </c>
      <c r="V5209">
        <f t="shared" si="325"/>
        <v>0</v>
      </c>
      <c r="W5209" s="22">
        <f t="shared" si="326"/>
        <v>0</v>
      </c>
    </row>
    <row r="5210" spans="1:23" hidden="1" x14ac:dyDescent="0.25">
      <c r="A5210" s="3">
        <v>46090</v>
      </c>
      <c r="B5210" s="4" t="s">
        <v>334</v>
      </c>
      <c r="C5210" s="4" t="s">
        <v>132</v>
      </c>
      <c r="D5210" s="4"/>
      <c r="E5210" s="4"/>
      <c r="F5210" s="46" t="s">
        <v>2484</v>
      </c>
      <c r="G5210" s="4" t="s">
        <v>336</v>
      </c>
      <c r="H5210" s="4" t="s">
        <v>289</v>
      </c>
      <c r="I5210" s="4">
        <v>0.188</v>
      </c>
      <c r="J5210" s="21">
        <v>500</v>
      </c>
      <c r="K5210" s="21">
        <v>0</v>
      </c>
      <c r="L5210" s="5">
        <v>0</v>
      </c>
      <c r="M5210" s="4"/>
      <c r="N5210" s="4"/>
      <c r="O5210" s="5"/>
      <c r="P5210" s="5"/>
      <c r="Q5210" s="21">
        <v>94</v>
      </c>
      <c r="R5210" s="21">
        <v>0</v>
      </c>
      <c r="S5210" s="5">
        <f t="shared" si="327"/>
        <v>36191.152073026424</v>
      </c>
      <c r="T5210" cm="1">
        <f t="array" ref="T5210">IF(OR(B5210="MAL ALIMI", B5210="ÜRETİM GİRİŞ"), MIN(I5210, MAX(0, I5210 + SUM(SUMIFS($I$1:I5209, $C$1:C5209, C5210, $B$1:B5209, {"MAL ALIMI","ÜRETİM GİRİŞ"})) - VLOOKUP(C5210, 'STOK RAPORU'!$C$2:$I$1000, 4, 0))), 0)</f>
        <v>0</v>
      </c>
      <c r="U5210" s="22">
        <f t="shared" si="324"/>
        <v>0</v>
      </c>
      <c r="V5210">
        <f t="shared" si="325"/>
        <v>0</v>
      </c>
      <c r="W5210" s="22">
        <f t="shared" si="326"/>
        <v>0</v>
      </c>
    </row>
    <row r="5211" spans="1:23" hidden="1" x14ac:dyDescent="0.25">
      <c r="A5211" s="3">
        <v>46090</v>
      </c>
      <c r="B5211" s="4" t="s">
        <v>334</v>
      </c>
      <c r="C5211" s="4" t="s">
        <v>89</v>
      </c>
      <c r="D5211" s="4"/>
      <c r="E5211" s="4"/>
      <c r="F5211" s="46" t="s">
        <v>2485</v>
      </c>
      <c r="G5211" s="4" t="s">
        <v>336</v>
      </c>
      <c r="H5211" s="4" t="s">
        <v>289</v>
      </c>
      <c r="I5211" s="4">
        <v>0.2</v>
      </c>
      <c r="J5211" s="21">
        <v>650</v>
      </c>
      <c r="K5211" s="21">
        <v>0</v>
      </c>
      <c r="L5211" s="5">
        <v>0</v>
      </c>
      <c r="M5211" s="4"/>
      <c r="N5211" s="4"/>
      <c r="O5211" s="5"/>
      <c r="P5211" s="5"/>
      <c r="Q5211" s="21">
        <v>130</v>
      </c>
      <c r="R5211" s="21">
        <v>0</v>
      </c>
      <c r="S5211" s="5">
        <f t="shared" si="327"/>
        <v>36321.152073026424</v>
      </c>
      <c r="T5211" cm="1">
        <f t="array" ref="T5211">IF(OR(B5211="MAL ALIMI", B5211="ÜRETİM GİRİŞ"), MIN(I5211, MAX(0, I5211 + SUM(SUMIFS($I$1:I5210, $C$1:C5210, C5211, $B$1:B5210, {"MAL ALIMI","ÜRETİM GİRİŞ"})) - VLOOKUP(C5211, 'STOK RAPORU'!$C$2:$I$1000, 4, 0))), 0)</f>
        <v>0</v>
      </c>
      <c r="U5211" s="22">
        <f t="shared" si="324"/>
        <v>0</v>
      </c>
      <c r="V5211">
        <f t="shared" si="325"/>
        <v>0</v>
      </c>
      <c r="W5211" s="22">
        <f t="shared" si="326"/>
        <v>0</v>
      </c>
    </row>
    <row r="5212" spans="1:23" hidden="1" x14ac:dyDescent="0.25">
      <c r="A5212" s="3">
        <v>46090</v>
      </c>
      <c r="B5212" s="4" t="s">
        <v>334</v>
      </c>
      <c r="C5212" s="4" t="s">
        <v>200</v>
      </c>
      <c r="D5212" s="4"/>
      <c r="E5212" s="4" t="s">
        <v>921</v>
      </c>
      <c r="F5212" s="46" t="s">
        <v>2486</v>
      </c>
      <c r="G5212" s="4" t="s">
        <v>336</v>
      </c>
      <c r="H5212" s="4" t="s">
        <v>380</v>
      </c>
      <c r="I5212" s="4">
        <v>0.25</v>
      </c>
      <c r="J5212" s="21">
        <v>360</v>
      </c>
      <c r="K5212" s="21">
        <v>90</v>
      </c>
      <c r="L5212" s="5">
        <v>0</v>
      </c>
      <c r="M5212" s="4"/>
      <c r="N5212" s="4"/>
      <c r="O5212" s="5"/>
      <c r="P5212" s="5"/>
      <c r="Q5212" s="21">
        <v>0</v>
      </c>
      <c r="R5212" s="21">
        <v>0</v>
      </c>
      <c r="S5212" s="5">
        <f t="shared" si="327"/>
        <v>36321.152073026424</v>
      </c>
      <c r="T5212" cm="1">
        <f t="array" ref="T5212">IF(OR(B5212="MAL ALIMI", B5212="ÜRETİM GİRİŞ"), MIN(I5212, MAX(0, I5212 + SUM(SUMIFS($I$1:I5211, $C$1:C5211, C5212, $B$1:B5211, {"MAL ALIMI","ÜRETİM GİRİŞ"})) - VLOOKUP(C5212, 'STOK RAPORU'!$C$2:$I$1000, 4, 0))), 0)</f>
        <v>0</v>
      </c>
      <c r="U5212" s="22">
        <f t="shared" si="324"/>
        <v>0</v>
      </c>
      <c r="V5212">
        <f t="shared" si="325"/>
        <v>0</v>
      </c>
      <c r="W5212" s="22">
        <f t="shared" si="326"/>
        <v>0</v>
      </c>
    </row>
    <row r="5213" spans="1:23" hidden="1" x14ac:dyDescent="0.25">
      <c r="A5213" s="3">
        <v>46090</v>
      </c>
      <c r="B5213" s="4" t="s">
        <v>334</v>
      </c>
      <c r="C5213" s="4" t="s">
        <v>231</v>
      </c>
      <c r="D5213" s="4"/>
      <c r="E5213" s="4" t="s">
        <v>921</v>
      </c>
      <c r="F5213" s="46" t="s">
        <v>2486</v>
      </c>
      <c r="G5213" s="4" t="s">
        <v>336</v>
      </c>
      <c r="H5213" s="4" t="s">
        <v>380</v>
      </c>
      <c r="I5213" s="4">
        <v>1</v>
      </c>
      <c r="J5213" s="21">
        <v>200</v>
      </c>
      <c r="K5213" s="21">
        <v>200</v>
      </c>
      <c r="L5213" s="5">
        <v>0</v>
      </c>
      <c r="M5213" s="4"/>
      <c r="N5213" s="4"/>
      <c r="O5213" s="5"/>
      <c r="P5213" s="5"/>
      <c r="Q5213" s="21">
        <v>0</v>
      </c>
      <c r="R5213" s="21">
        <v>0</v>
      </c>
      <c r="S5213" s="5">
        <f t="shared" si="327"/>
        <v>36321.152073026424</v>
      </c>
      <c r="T5213" cm="1">
        <f t="array" ref="T5213">IF(OR(B5213="MAL ALIMI", B5213="ÜRETİM GİRİŞ"), MIN(I5213, MAX(0, I5213 + SUM(SUMIFS($I$1:I5212, $C$1:C5212, C5213, $B$1:B5212, {"MAL ALIMI","ÜRETİM GİRİŞ"})) - VLOOKUP(C5213, 'STOK RAPORU'!$C$2:$I$1000, 4, 0))), 0)</f>
        <v>0</v>
      </c>
      <c r="U5213" s="22">
        <f t="shared" si="324"/>
        <v>0</v>
      </c>
      <c r="V5213">
        <f t="shared" si="325"/>
        <v>0</v>
      </c>
      <c r="W5213" s="22">
        <f t="shared" si="326"/>
        <v>0</v>
      </c>
    </row>
    <row r="5214" spans="1:23" hidden="1" x14ac:dyDescent="0.25">
      <c r="A5214" s="3">
        <v>46090</v>
      </c>
      <c r="B5214" s="4" t="s">
        <v>334</v>
      </c>
      <c r="C5214" s="4" t="s">
        <v>2273</v>
      </c>
      <c r="D5214" s="4"/>
      <c r="E5214" s="4"/>
      <c r="F5214" s="46" t="s">
        <v>2487</v>
      </c>
      <c r="G5214" s="4" t="s">
        <v>336</v>
      </c>
      <c r="H5214" s="4" t="s">
        <v>289</v>
      </c>
      <c r="I5214" s="4">
        <v>1</v>
      </c>
      <c r="J5214" s="21">
        <v>30</v>
      </c>
      <c r="K5214" s="21">
        <v>0</v>
      </c>
      <c r="L5214" s="5">
        <v>0</v>
      </c>
      <c r="M5214" s="4"/>
      <c r="N5214" s="4"/>
      <c r="O5214" s="5"/>
      <c r="P5214" s="5"/>
      <c r="Q5214" s="21">
        <v>30</v>
      </c>
      <c r="R5214" s="21">
        <v>0</v>
      </c>
      <c r="S5214" s="5">
        <f t="shared" si="327"/>
        <v>36351.152073026424</v>
      </c>
      <c r="T5214" cm="1">
        <f t="array" ref="T5214">IF(OR(B5214="MAL ALIMI", B5214="ÜRETİM GİRİŞ"), MIN(I5214, MAX(0, I5214 + SUM(SUMIFS($I$1:I5213, $C$1:C5213, C5214, $B$1:B5213, {"MAL ALIMI","ÜRETİM GİRİŞ"})) - VLOOKUP(C5214, 'STOK RAPORU'!$C$2:$I$1000, 4, 0))), 0)</f>
        <v>0</v>
      </c>
      <c r="U5214" s="22">
        <f t="shared" si="324"/>
        <v>0</v>
      </c>
      <c r="V5214">
        <f t="shared" si="325"/>
        <v>0</v>
      </c>
      <c r="W5214" s="22">
        <f t="shared" si="326"/>
        <v>0</v>
      </c>
    </row>
    <row r="5215" spans="1:23" hidden="1" x14ac:dyDescent="0.25">
      <c r="A5215" s="3">
        <v>46090</v>
      </c>
      <c r="B5215" s="4" t="s">
        <v>285</v>
      </c>
      <c r="C5215" s="4"/>
      <c r="D5215" s="4" t="s">
        <v>943</v>
      </c>
      <c r="E5215" s="4"/>
      <c r="F5215" s="4"/>
      <c r="G5215" s="4" t="s">
        <v>2884</v>
      </c>
      <c r="H5215" s="4" t="s">
        <v>289</v>
      </c>
      <c r="I5215" s="4">
        <v>1</v>
      </c>
      <c r="J5215" s="21">
        <v>2545.94</v>
      </c>
      <c r="K5215" s="21">
        <v>0</v>
      </c>
      <c r="L5215" s="5">
        <v>0</v>
      </c>
      <c r="M5215" s="4"/>
      <c r="N5215" s="4"/>
      <c r="O5215" s="5"/>
      <c r="P5215" s="5"/>
      <c r="Q5215" s="21">
        <v>0</v>
      </c>
      <c r="R5215" s="21">
        <v>2545.94</v>
      </c>
      <c r="S5215" s="5">
        <f t="shared" si="327"/>
        <v>33805.212073026421</v>
      </c>
      <c r="T5215" cm="1">
        <f t="array" ref="T5215">IF(OR(B5215="MAL ALIMI", B5215="ÜRETİM GİRİŞ"), MIN(I5215, MAX(0, I5215 + SUM(SUMIFS($I$1:I5214, $C$1:C5214, C5215, $B$1:B5214, {"MAL ALIMI","ÜRETİM GİRİŞ"})) - VLOOKUP(C5215, 'STOK RAPORU'!$C$2:$I$1000, 4, 0))), 0)</f>
        <v>0</v>
      </c>
      <c r="U5215" s="22">
        <f t="shared" si="324"/>
        <v>0</v>
      </c>
      <c r="V5215">
        <f t="shared" si="325"/>
        <v>0</v>
      </c>
      <c r="W5215" s="22">
        <f t="shared" si="326"/>
        <v>0</v>
      </c>
    </row>
    <row r="5216" spans="1:23" hidden="1" x14ac:dyDescent="0.25">
      <c r="A5216" s="3">
        <v>46090</v>
      </c>
      <c r="B5216" s="4" t="s">
        <v>946</v>
      </c>
      <c r="C5216" s="4"/>
      <c r="D5216" s="4"/>
      <c r="E5216" s="4" t="s">
        <v>921</v>
      </c>
      <c r="F5216" s="4"/>
      <c r="G5216" s="4" t="s">
        <v>946</v>
      </c>
      <c r="H5216" s="4" t="s">
        <v>380</v>
      </c>
      <c r="I5216" s="4">
        <v>1</v>
      </c>
      <c r="J5216" s="105">
        <v>8759</v>
      </c>
      <c r="K5216" s="21">
        <v>0</v>
      </c>
      <c r="L5216" s="32">
        <v>8759</v>
      </c>
      <c r="M5216" s="4"/>
      <c r="N5216" s="4"/>
      <c r="O5216" s="5"/>
      <c r="P5216" s="5"/>
      <c r="Q5216" s="21">
        <v>8759</v>
      </c>
      <c r="R5216" s="21">
        <v>0</v>
      </c>
      <c r="S5216" s="5">
        <f t="shared" si="327"/>
        <v>42564.212073026421</v>
      </c>
      <c r="T5216" cm="1">
        <f t="array" ref="T5216">IF(OR(B5216="MAL ALIMI", B5216="ÜRETİM GİRİŞ"), MIN(I5216, MAX(0, I5216 + SUM(SUMIFS($I$1:I5215, $C$1:C5215, C5216, $B$1:B5215, {"MAL ALIMI","ÜRETİM GİRİŞ"})) - VLOOKUP(C5216, 'STOK RAPORU'!$C$2:$I$1000, 4, 0))), 0)</f>
        <v>0</v>
      </c>
      <c r="U5216" s="22">
        <f t="shared" si="324"/>
        <v>0</v>
      </c>
      <c r="V5216">
        <f t="shared" si="325"/>
        <v>0</v>
      </c>
      <c r="W5216" s="22">
        <f t="shared" si="326"/>
        <v>0</v>
      </c>
    </row>
    <row r="5217" spans="1:23" hidden="1" x14ac:dyDescent="0.25">
      <c r="A5217" s="3">
        <v>46090</v>
      </c>
      <c r="B5217" s="4" t="s">
        <v>946</v>
      </c>
      <c r="C5217" s="4"/>
      <c r="D5217" s="4"/>
      <c r="E5217" s="4" t="s">
        <v>921</v>
      </c>
      <c r="F5217" s="4"/>
      <c r="G5217" s="4" t="s">
        <v>946</v>
      </c>
      <c r="H5217" s="4" t="s">
        <v>380</v>
      </c>
      <c r="I5217" s="4">
        <v>1</v>
      </c>
      <c r="J5217" s="105">
        <v>2300</v>
      </c>
      <c r="K5217" s="21">
        <v>0</v>
      </c>
      <c r="L5217" s="32">
        <v>2300</v>
      </c>
      <c r="M5217" s="4"/>
      <c r="N5217" s="4"/>
      <c r="O5217" s="5"/>
      <c r="P5217" s="5"/>
      <c r="Q5217" s="21">
        <v>2300</v>
      </c>
      <c r="R5217" s="21">
        <v>0</v>
      </c>
      <c r="S5217" s="5">
        <f t="shared" si="327"/>
        <v>44864.212073026421</v>
      </c>
      <c r="T5217" cm="1">
        <f t="array" ref="T5217">IF(OR(B5217="MAL ALIMI", B5217="ÜRETİM GİRİŞ"), MIN(I5217, MAX(0, I5217 + SUM(SUMIFS($I$1:I5216, $C$1:C5216, C5217, $B$1:B5216, {"MAL ALIMI","ÜRETİM GİRİŞ"})) - VLOOKUP(C5217, 'STOK RAPORU'!$C$2:$I$1000, 4, 0))), 0)</f>
        <v>0</v>
      </c>
      <c r="U5217" s="22">
        <f t="shared" si="324"/>
        <v>0</v>
      </c>
      <c r="V5217">
        <f t="shared" si="325"/>
        <v>0</v>
      </c>
      <c r="W5217" s="22">
        <f t="shared" si="326"/>
        <v>0</v>
      </c>
    </row>
    <row r="5218" spans="1:23" hidden="1" x14ac:dyDescent="0.25">
      <c r="A5218" s="3">
        <v>46091</v>
      </c>
      <c r="B5218" s="4" t="s">
        <v>334</v>
      </c>
      <c r="C5218" s="4" t="s">
        <v>160</v>
      </c>
      <c r="D5218" s="4"/>
      <c r="E5218" s="4"/>
      <c r="F5218" s="4" t="s">
        <v>2482</v>
      </c>
      <c r="G5218" s="4" t="s">
        <v>1884</v>
      </c>
      <c r="H5218" s="4" t="s">
        <v>289</v>
      </c>
      <c r="I5218" s="4">
        <v>13.85</v>
      </c>
      <c r="J5218" s="21">
        <v>150</v>
      </c>
      <c r="K5218" s="21">
        <v>0</v>
      </c>
      <c r="L5218" s="5">
        <v>0</v>
      </c>
      <c r="M5218" s="4"/>
      <c r="N5218" s="4"/>
      <c r="O5218" s="5"/>
      <c r="P5218" s="5"/>
      <c r="Q5218" s="21">
        <v>2077.5</v>
      </c>
      <c r="R5218" s="21">
        <v>0</v>
      </c>
      <c r="S5218" s="5">
        <f t="shared" si="327"/>
        <v>46941.712073026421</v>
      </c>
      <c r="T5218" cm="1">
        <f t="array" ref="T5218">IF(OR(B5218="MAL ALIMI", B5218="ÜRETİM GİRİŞ"), MIN(I5218, MAX(0, I5218 + SUM(SUMIFS($I$1:I5217, $C$1:C5217, C5218, $B$1:B5217, {"MAL ALIMI","ÜRETİM GİRİŞ"})) - VLOOKUP(C5218, 'STOK RAPORU'!$C$2:$I$1000, 4, 0))), 0)</f>
        <v>0</v>
      </c>
      <c r="U5218" s="22">
        <f t="shared" si="324"/>
        <v>0</v>
      </c>
      <c r="V5218">
        <f t="shared" si="325"/>
        <v>0</v>
      </c>
      <c r="W5218" s="22">
        <f t="shared" si="326"/>
        <v>0</v>
      </c>
    </row>
    <row r="5219" spans="1:23" hidden="1" x14ac:dyDescent="0.25">
      <c r="A5219" s="3">
        <v>46091</v>
      </c>
      <c r="B5219" s="4" t="s">
        <v>334</v>
      </c>
      <c r="C5219" s="4" t="s">
        <v>162</v>
      </c>
      <c r="D5219" s="4"/>
      <c r="E5219" s="4"/>
      <c r="F5219" s="4" t="s">
        <v>2482</v>
      </c>
      <c r="G5219" s="4" t="s">
        <v>1884</v>
      </c>
      <c r="H5219" s="4" t="s">
        <v>289</v>
      </c>
      <c r="I5219" s="4">
        <v>2.56</v>
      </c>
      <c r="J5219" s="21">
        <v>175</v>
      </c>
      <c r="K5219" s="21">
        <v>0</v>
      </c>
      <c r="L5219" s="5">
        <v>0</v>
      </c>
      <c r="M5219" s="4"/>
      <c r="N5219" s="4"/>
      <c r="O5219" s="5"/>
      <c r="P5219" s="5"/>
      <c r="Q5219" s="21">
        <v>448</v>
      </c>
      <c r="R5219" s="21">
        <v>0</v>
      </c>
      <c r="S5219" s="5">
        <f t="shared" si="327"/>
        <v>47389.712073026421</v>
      </c>
      <c r="T5219" cm="1">
        <f t="array" ref="T5219">IF(OR(B5219="MAL ALIMI", B5219="ÜRETİM GİRİŞ"), MIN(I5219, MAX(0, I5219 + SUM(SUMIFS($I$1:I5218, $C$1:C5218, C5219, $B$1:B5218, {"MAL ALIMI","ÜRETİM GİRİŞ"})) - VLOOKUP(C5219, 'STOK RAPORU'!$C$2:$I$1000, 4, 0))), 0)</f>
        <v>0</v>
      </c>
      <c r="U5219" s="22">
        <f t="shared" si="324"/>
        <v>0</v>
      </c>
      <c r="V5219">
        <f t="shared" si="325"/>
        <v>0</v>
      </c>
      <c r="W5219" s="22">
        <f t="shared" si="326"/>
        <v>0</v>
      </c>
    </row>
    <row r="5220" spans="1:23" hidden="1" x14ac:dyDescent="0.25">
      <c r="A5220" s="3">
        <v>46091</v>
      </c>
      <c r="B5220" s="4" t="s">
        <v>334</v>
      </c>
      <c r="C5220" s="4" t="s">
        <v>1634</v>
      </c>
      <c r="D5220" s="4"/>
      <c r="E5220" s="4"/>
      <c r="F5220" s="4" t="s">
        <v>2482</v>
      </c>
      <c r="G5220" s="4" t="s">
        <v>1884</v>
      </c>
      <c r="H5220" s="4" t="s">
        <v>289</v>
      </c>
      <c r="I5220" s="4">
        <v>1.4899999999999984</v>
      </c>
      <c r="J5220" s="21">
        <v>200</v>
      </c>
      <c r="K5220" s="21">
        <v>0</v>
      </c>
      <c r="L5220" s="5">
        <v>0</v>
      </c>
      <c r="M5220" s="4"/>
      <c r="N5220" s="4"/>
      <c r="O5220" s="5"/>
      <c r="P5220" s="5"/>
      <c r="Q5220" s="21">
        <v>297.99999999999966</v>
      </c>
      <c r="R5220" s="21">
        <v>0</v>
      </c>
      <c r="S5220" s="5">
        <f t="shared" si="327"/>
        <v>47687.712073026421</v>
      </c>
      <c r="T5220" cm="1">
        <f t="array" ref="T5220">IF(OR(B5220="MAL ALIMI", B5220="ÜRETİM GİRİŞ"), MIN(I5220, MAX(0, I5220 + SUM(SUMIFS($I$1:I5219, $C$1:C5219, C5220, $B$1:B5219, {"MAL ALIMI","ÜRETİM GİRİŞ"})) - VLOOKUP(C5220, 'STOK RAPORU'!$C$2:$I$1000, 4, 0))), 0)</f>
        <v>0</v>
      </c>
      <c r="U5220" s="22">
        <f t="shared" si="324"/>
        <v>0</v>
      </c>
      <c r="V5220">
        <f t="shared" si="325"/>
        <v>0</v>
      </c>
      <c r="W5220" s="22">
        <f t="shared" si="326"/>
        <v>0</v>
      </c>
    </row>
    <row r="5221" spans="1:23" hidden="1" x14ac:dyDescent="0.25">
      <c r="A5221" s="3">
        <v>46091</v>
      </c>
      <c r="B5221" s="4" t="s">
        <v>334</v>
      </c>
      <c r="C5221" s="4" t="s">
        <v>1150</v>
      </c>
      <c r="D5221" s="4"/>
      <c r="E5221" s="4"/>
      <c r="F5221" s="4" t="s">
        <v>2482</v>
      </c>
      <c r="G5221" s="4" t="s">
        <v>1884</v>
      </c>
      <c r="H5221" s="4" t="s">
        <v>289</v>
      </c>
      <c r="I5221" s="4">
        <v>0.14000000000000001</v>
      </c>
      <c r="J5221" s="21">
        <v>270</v>
      </c>
      <c r="K5221" s="21">
        <v>0</v>
      </c>
      <c r="L5221" s="5">
        <v>0</v>
      </c>
      <c r="M5221" s="4"/>
      <c r="N5221" s="4"/>
      <c r="O5221" s="5"/>
      <c r="P5221" s="5"/>
      <c r="Q5221" s="21">
        <v>37.800000000000004</v>
      </c>
      <c r="R5221" s="21">
        <v>0</v>
      </c>
      <c r="S5221" s="5">
        <f t="shared" si="327"/>
        <v>47725.512073026424</v>
      </c>
      <c r="T5221" cm="1">
        <f t="array" ref="T5221">IF(OR(B5221="MAL ALIMI", B5221="ÜRETİM GİRİŞ"), MIN(I5221, MAX(0, I5221 + SUM(SUMIFS($I$1:I5220, $C$1:C5220, C5221, $B$1:B5220, {"MAL ALIMI","ÜRETİM GİRİŞ"})) - VLOOKUP(C5221, 'STOK RAPORU'!$C$2:$I$1000, 4, 0))), 0)</f>
        <v>0</v>
      </c>
      <c r="U5221" s="22">
        <f t="shared" si="324"/>
        <v>0</v>
      </c>
      <c r="V5221">
        <f t="shared" si="325"/>
        <v>0</v>
      </c>
      <c r="W5221" s="22">
        <f t="shared" si="326"/>
        <v>0</v>
      </c>
    </row>
    <row r="5222" spans="1:23" hidden="1" x14ac:dyDescent="0.25">
      <c r="A5222" s="3">
        <v>46091</v>
      </c>
      <c r="B5222" s="4" t="s">
        <v>334</v>
      </c>
      <c r="C5222" s="4" t="s">
        <v>1894</v>
      </c>
      <c r="D5222" s="4"/>
      <c r="E5222" s="4"/>
      <c r="F5222" s="4" t="s">
        <v>2482</v>
      </c>
      <c r="G5222" s="4" t="s">
        <v>2802</v>
      </c>
      <c r="H5222" s="4" t="s">
        <v>289</v>
      </c>
      <c r="I5222" s="4">
        <v>1</v>
      </c>
      <c r="J5222" s="21">
        <v>35</v>
      </c>
      <c r="K5222" s="21">
        <v>0</v>
      </c>
      <c r="L5222" s="5">
        <v>0</v>
      </c>
      <c r="M5222" s="4"/>
      <c r="N5222" s="4"/>
      <c r="O5222" s="5"/>
      <c r="P5222" s="5"/>
      <c r="Q5222" s="21">
        <v>35</v>
      </c>
      <c r="R5222" s="21">
        <v>0</v>
      </c>
      <c r="S5222" s="5">
        <f t="shared" si="327"/>
        <v>47760.512073026424</v>
      </c>
      <c r="T5222" cm="1">
        <f t="array" ref="T5222">IF(OR(B5222="MAL ALIMI", B5222="ÜRETİM GİRİŞ"), MIN(I5222, MAX(0, I5222 + SUM(SUMIFS($I$1:I5221, $C$1:C5221, C5222, $B$1:B5221, {"MAL ALIMI","ÜRETİM GİRİŞ"})) - VLOOKUP(C5222, 'STOK RAPORU'!$C$2:$I$1000, 4, 0))), 0)</f>
        <v>0</v>
      </c>
      <c r="U5222" s="22">
        <f t="shared" si="324"/>
        <v>0</v>
      </c>
      <c r="V5222">
        <f t="shared" si="325"/>
        <v>0</v>
      </c>
      <c r="W5222" s="22">
        <f t="shared" si="326"/>
        <v>0</v>
      </c>
    </row>
    <row r="5223" spans="1:23" hidden="1" x14ac:dyDescent="0.25">
      <c r="A5223" s="3">
        <v>46091</v>
      </c>
      <c r="B5223" s="4" t="s">
        <v>334</v>
      </c>
      <c r="C5223" s="4" t="s">
        <v>233</v>
      </c>
      <c r="D5223" s="4"/>
      <c r="E5223" s="4"/>
      <c r="F5223" s="4" t="s">
        <v>2482</v>
      </c>
      <c r="G5223" s="4" t="s">
        <v>2802</v>
      </c>
      <c r="H5223" s="4" t="s">
        <v>289</v>
      </c>
      <c r="I5223" s="4">
        <v>1</v>
      </c>
      <c r="J5223" s="21">
        <v>95</v>
      </c>
      <c r="K5223" s="21">
        <v>0</v>
      </c>
      <c r="L5223" s="5">
        <v>0</v>
      </c>
      <c r="M5223" s="4"/>
      <c r="N5223" s="4"/>
      <c r="O5223" s="5"/>
      <c r="P5223" s="5"/>
      <c r="Q5223" s="21">
        <v>95</v>
      </c>
      <c r="R5223" s="21">
        <v>0</v>
      </c>
      <c r="S5223" s="5">
        <f t="shared" si="327"/>
        <v>47855.512073026424</v>
      </c>
      <c r="T5223" cm="1">
        <f t="array" ref="T5223">IF(OR(B5223="MAL ALIMI", B5223="ÜRETİM GİRİŞ"), MIN(I5223, MAX(0, I5223 + SUM(SUMIFS($I$1:I5222, $C$1:C5222, C5223, $B$1:B5222, {"MAL ALIMI","ÜRETİM GİRİŞ"})) - VLOOKUP(C5223, 'STOK RAPORU'!$C$2:$I$1000, 4, 0))), 0)</f>
        <v>0</v>
      </c>
      <c r="U5223" s="22">
        <f t="shared" si="324"/>
        <v>0</v>
      </c>
      <c r="V5223">
        <f t="shared" si="325"/>
        <v>0</v>
      </c>
      <c r="W5223" s="22">
        <f t="shared" si="326"/>
        <v>0</v>
      </c>
    </row>
    <row r="5224" spans="1:23" hidden="1" x14ac:dyDescent="0.25">
      <c r="A5224" s="3">
        <v>46091</v>
      </c>
      <c r="B5224" s="4" t="s">
        <v>334</v>
      </c>
      <c r="C5224" s="4" t="s">
        <v>175</v>
      </c>
      <c r="D5224" s="4"/>
      <c r="E5224" s="4"/>
      <c r="F5224" s="4" t="s">
        <v>2482</v>
      </c>
      <c r="G5224" s="4" t="s">
        <v>2802</v>
      </c>
      <c r="H5224" s="4" t="s">
        <v>289</v>
      </c>
      <c r="I5224" s="4">
        <v>5</v>
      </c>
      <c r="J5224" s="21">
        <v>199</v>
      </c>
      <c r="K5224" s="21">
        <v>0</v>
      </c>
      <c r="L5224" s="5">
        <v>0</v>
      </c>
      <c r="M5224" s="4"/>
      <c r="N5224" s="4"/>
      <c r="O5224" s="5"/>
      <c r="P5224" s="5"/>
      <c r="Q5224" s="21">
        <v>995</v>
      </c>
      <c r="R5224" s="21">
        <v>0</v>
      </c>
      <c r="S5224" s="5">
        <f t="shared" si="327"/>
        <v>48850.512073026424</v>
      </c>
      <c r="T5224" cm="1">
        <f t="array" ref="T5224">IF(OR(B5224="MAL ALIMI", B5224="ÜRETİM GİRİŞ"), MIN(I5224, MAX(0, I5224 + SUM(SUMIFS($I$1:I5223, $C$1:C5223, C5224, $B$1:B5223, {"MAL ALIMI","ÜRETİM GİRİŞ"})) - VLOOKUP(C5224, 'STOK RAPORU'!$C$2:$I$1000, 4, 0))), 0)</f>
        <v>0</v>
      </c>
      <c r="U5224" s="22">
        <f t="shared" si="324"/>
        <v>0</v>
      </c>
      <c r="V5224">
        <f t="shared" si="325"/>
        <v>0</v>
      </c>
      <c r="W5224" s="22">
        <f t="shared" si="326"/>
        <v>0</v>
      </c>
    </row>
    <row r="5225" spans="1:23" hidden="1" x14ac:dyDescent="0.25">
      <c r="A5225" s="3">
        <v>46091</v>
      </c>
      <c r="B5225" s="4" t="s">
        <v>334</v>
      </c>
      <c r="C5225" s="4" t="s">
        <v>2273</v>
      </c>
      <c r="D5225" s="4"/>
      <c r="E5225" s="4"/>
      <c r="F5225" s="4" t="s">
        <v>2482</v>
      </c>
      <c r="G5225" s="4" t="s">
        <v>2802</v>
      </c>
      <c r="H5225" s="4" t="s">
        <v>289</v>
      </c>
      <c r="I5225" s="4">
        <v>1</v>
      </c>
      <c r="J5225" s="21">
        <v>20</v>
      </c>
      <c r="K5225" s="21">
        <v>0</v>
      </c>
      <c r="L5225" s="5">
        <v>0</v>
      </c>
      <c r="M5225" s="4"/>
      <c r="N5225" s="4"/>
      <c r="O5225" s="5"/>
      <c r="P5225" s="5"/>
      <c r="Q5225" s="21">
        <v>20</v>
      </c>
      <c r="R5225" s="21">
        <v>0</v>
      </c>
      <c r="S5225" s="5">
        <f t="shared" si="327"/>
        <v>48870.512073026424</v>
      </c>
      <c r="T5225" cm="1">
        <f t="array" ref="T5225">IF(OR(B5225="MAL ALIMI", B5225="ÜRETİM GİRİŞ"), MIN(I5225, MAX(0, I5225 + SUM(SUMIFS($I$1:I5224, $C$1:C5224, C5225, $B$1:B5224, {"MAL ALIMI","ÜRETİM GİRİŞ"})) - VLOOKUP(C5225, 'STOK RAPORU'!$C$2:$I$1000, 4, 0))), 0)</f>
        <v>0</v>
      </c>
      <c r="U5225" s="22">
        <f t="shared" si="324"/>
        <v>0</v>
      </c>
      <c r="V5225">
        <f t="shared" si="325"/>
        <v>0</v>
      </c>
      <c r="W5225" s="22">
        <f t="shared" si="326"/>
        <v>0</v>
      </c>
    </row>
    <row r="5226" spans="1:23" hidden="1" x14ac:dyDescent="0.25">
      <c r="A5226" s="3">
        <v>46091</v>
      </c>
      <c r="B5226" s="4" t="s">
        <v>334</v>
      </c>
      <c r="C5226" s="4" t="s">
        <v>751</v>
      </c>
      <c r="D5226" s="4"/>
      <c r="E5226" s="4"/>
      <c r="F5226" s="4" t="s">
        <v>2482</v>
      </c>
      <c r="G5226" s="4" t="s">
        <v>1884</v>
      </c>
      <c r="H5226" s="4" t="s">
        <v>289</v>
      </c>
      <c r="I5226" s="4">
        <v>1</v>
      </c>
      <c r="J5226" s="21">
        <v>250</v>
      </c>
      <c r="K5226" s="21">
        <v>0</v>
      </c>
      <c r="L5226" s="5">
        <v>0</v>
      </c>
      <c r="M5226" s="4"/>
      <c r="N5226" s="4"/>
      <c r="O5226" s="5"/>
      <c r="P5226" s="5"/>
      <c r="Q5226" s="21">
        <v>250</v>
      </c>
      <c r="R5226" s="21">
        <v>0</v>
      </c>
      <c r="S5226" s="5">
        <f t="shared" si="327"/>
        <v>49120.512073026424</v>
      </c>
      <c r="T5226" cm="1">
        <f t="array" ref="T5226">IF(OR(B5226="MAL ALIMI", B5226="ÜRETİM GİRİŞ"), MIN(I5226, MAX(0, I5226 + SUM(SUMIFS($I$1:I5225, $C$1:C5225, C5226, $B$1:B5225, {"MAL ALIMI","ÜRETİM GİRİŞ"})) - VLOOKUP(C5226, 'STOK RAPORU'!$C$2:$I$1000, 4, 0))), 0)</f>
        <v>0</v>
      </c>
      <c r="U5226" s="22">
        <f t="shared" si="324"/>
        <v>0</v>
      </c>
      <c r="V5226">
        <f t="shared" si="325"/>
        <v>0</v>
      </c>
      <c r="W5226" s="22">
        <f t="shared" si="326"/>
        <v>0</v>
      </c>
    </row>
    <row r="5227" spans="1:23" hidden="1" x14ac:dyDescent="0.25">
      <c r="A5227" s="3">
        <v>46091</v>
      </c>
      <c r="B5227" s="4" t="s">
        <v>334</v>
      </c>
      <c r="C5227" s="4" t="s">
        <v>258</v>
      </c>
      <c r="D5227" s="4"/>
      <c r="E5227" s="4"/>
      <c r="F5227" s="4" t="s">
        <v>2482</v>
      </c>
      <c r="G5227" s="4" t="s">
        <v>2802</v>
      </c>
      <c r="H5227" s="4" t="s">
        <v>289</v>
      </c>
      <c r="I5227" s="4">
        <v>0.47</v>
      </c>
      <c r="J5227" s="21">
        <v>470</v>
      </c>
      <c r="K5227" s="21">
        <v>0</v>
      </c>
      <c r="L5227" s="5">
        <v>0</v>
      </c>
      <c r="M5227" s="4"/>
      <c r="N5227" s="4"/>
      <c r="O5227" s="5"/>
      <c r="P5227" s="5"/>
      <c r="Q5227" s="21">
        <v>220.89999999999998</v>
      </c>
      <c r="R5227" s="21">
        <v>0</v>
      </c>
      <c r="S5227" s="5">
        <f t="shared" si="327"/>
        <v>49341.412073026426</v>
      </c>
      <c r="T5227" cm="1">
        <f t="array" ref="T5227">IF(OR(B5227="MAL ALIMI", B5227="ÜRETİM GİRİŞ"), MIN(I5227, MAX(0, I5227 + SUM(SUMIFS($I$1:I5226, $C$1:C5226, C5227, $B$1:B5226, {"MAL ALIMI","ÜRETİM GİRİŞ"})) - VLOOKUP(C5227, 'STOK RAPORU'!$C$2:$I$1000, 4, 0))), 0)</f>
        <v>0</v>
      </c>
      <c r="U5227" s="22">
        <f t="shared" si="324"/>
        <v>0</v>
      </c>
      <c r="V5227">
        <f t="shared" si="325"/>
        <v>0</v>
      </c>
      <c r="W5227" s="22">
        <f t="shared" si="326"/>
        <v>0</v>
      </c>
    </row>
    <row r="5228" spans="1:23" hidden="1" x14ac:dyDescent="0.25">
      <c r="A5228" s="3">
        <v>46091</v>
      </c>
      <c r="B5228" s="4" t="s">
        <v>334</v>
      </c>
      <c r="C5228" s="4" t="s">
        <v>2562</v>
      </c>
      <c r="D5228" s="4"/>
      <c r="E5228" s="4"/>
      <c r="F5228" s="4" t="s">
        <v>2482</v>
      </c>
      <c r="G5228" s="4" t="s">
        <v>2802</v>
      </c>
      <c r="H5228" s="4" t="s">
        <v>289</v>
      </c>
      <c r="I5228" s="4">
        <v>1</v>
      </c>
      <c r="J5228" s="21">
        <v>50</v>
      </c>
      <c r="K5228" s="21">
        <v>0</v>
      </c>
      <c r="L5228" s="5">
        <v>0</v>
      </c>
      <c r="M5228" s="4"/>
      <c r="N5228" s="4"/>
      <c r="O5228" s="5"/>
      <c r="P5228" s="5"/>
      <c r="Q5228" s="21">
        <v>50</v>
      </c>
      <c r="R5228" s="21">
        <v>0</v>
      </c>
      <c r="S5228" s="5">
        <f t="shared" si="327"/>
        <v>49391.412073026426</v>
      </c>
      <c r="T5228" cm="1">
        <f t="array" ref="T5228">IF(OR(B5228="MAL ALIMI", B5228="ÜRETİM GİRİŞ"), MIN(I5228, MAX(0, I5228 + SUM(SUMIFS($I$1:I5227, $C$1:C5227, C5228, $B$1:B5227, {"MAL ALIMI","ÜRETİM GİRİŞ"})) - VLOOKUP(C5228, 'STOK RAPORU'!$C$2:$I$1000, 4, 0))), 0)</f>
        <v>0</v>
      </c>
      <c r="U5228" s="22">
        <f t="shared" si="324"/>
        <v>0</v>
      </c>
      <c r="V5228">
        <f t="shared" si="325"/>
        <v>0</v>
      </c>
      <c r="W5228" s="22">
        <f t="shared" si="326"/>
        <v>0</v>
      </c>
    </row>
    <row r="5229" spans="1:23" hidden="1" x14ac:dyDescent="0.25">
      <c r="A5229" s="3">
        <v>46091</v>
      </c>
      <c r="B5229" s="4" t="s">
        <v>334</v>
      </c>
      <c r="C5229" s="4" t="s">
        <v>817</v>
      </c>
      <c r="D5229" s="4"/>
      <c r="E5229" s="4"/>
      <c r="F5229" s="4" t="s">
        <v>2482</v>
      </c>
      <c r="G5229" s="4" t="s">
        <v>2802</v>
      </c>
      <c r="H5229" s="4" t="s">
        <v>289</v>
      </c>
      <c r="I5229" s="4">
        <v>1</v>
      </c>
      <c r="J5229" s="21">
        <v>91</v>
      </c>
      <c r="K5229" s="21">
        <v>0</v>
      </c>
      <c r="L5229" s="5">
        <v>0</v>
      </c>
      <c r="M5229" s="4"/>
      <c r="N5229" s="4"/>
      <c r="O5229" s="5"/>
      <c r="P5229" s="5"/>
      <c r="Q5229" s="21">
        <v>91</v>
      </c>
      <c r="R5229" s="21">
        <v>0</v>
      </c>
      <c r="S5229" s="5">
        <f t="shared" si="327"/>
        <v>49482.412073026426</v>
      </c>
      <c r="T5229" cm="1">
        <f t="array" ref="T5229">IF(OR(B5229="MAL ALIMI", B5229="ÜRETİM GİRİŞ"), MIN(I5229, MAX(0, I5229 + SUM(SUMIFS($I$1:I5228, $C$1:C5228, C5229, $B$1:B5228, {"MAL ALIMI","ÜRETİM GİRİŞ"})) - VLOOKUP(C5229, 'STOK RAPORU'!$C$2:$I$1000, 4, 0))), 0)</f>
        <v>0</v>
      </c>
      <c r="U5229" s="22">
        <f t="shared" si="324"/>
        <v>0</v>
      </c>
      <c r="V5229">
        <f t="shared" si="325"/>
        <v>0</v>
      </c>
      <c r="W5229" s="22">
        <f t="shared" si="326"/>
        <v>0</v>
      </c>
    </row>
    <row r="5230" spans="1:23" hidden="1" x14ac:dyDescent="0.25">
      <c r="A5230" s="3">
        <v>46091</v>
      </c>
      <c r="B5230" s="4" t="s">
        <v>334</v>
      </c>
      <c r="C5230" s="4" t="s">
        <v>74</v>
      </c>
      <c r="D5230" s="4"/>
      <c r="E5230" s="4"/>
      <c r="F5230" s="4" t="s">
        <v>2482</v>
      </c>
      <c r="G5230" s="4" t="s">
        <v>1884</v>
      </c>
      <c r="H5230" s="4" t="s">
        <v>289</v>
      </c>
      <c r="I5230" s="4">
        <v>0.15</v>
      </c>
      <c r="J5230" s="21">
        <v>500</v>
      </c>
      <c r="K5230" s="21">
        <v>0</v>
      </c>
      <c r="L5230" s="5">
        <v>0</v>
      </c>
      <c r="M5230" s="4"/>
      <c r="N5230" s="4"/>
      <c r="O5230" s="5"/>
      <c r="P5230" s="5"/>
      <c r="Q5230" s="21">
        <v>75</v>
      </c>
      <c r="R5230" s="21">
        <v>0</v>
      </c>
      <c r="S5230" s="5">
        <f t="shared" si="327"/>
        <v>49557.412073026426</v>
      </c>
      <c r="T5230" cm="1">
        <f t="array" ref="T5230">IF(OR(B5230="MAL ALIMI", B5230="ÜRETİM GİRİŞ"), MIN(I5230, MAX(0, I5230 + SUM(SUMIFS($I$1:I5229, $C$1:C5229, C5230, $B$1:B5229, {"MAL ALIMI","ÜRETİM GİRİŞ"})) - VLOOKUP(C5230, 'STOK RAPORU'!$C$2:$I$1000, 4, 0))), 0)</f>
        <v>0</v>
      </c>
      <c r="U5230" s="22">
        <f t="shared" si="324"/>
        <v>0</v>
      </c>
      <c r="V5230">
        <f t="shared" si="325"/>
        <v>0</v>
      </c>
      <c r="W5230" s="22">
        <f t="shared" si="326"/>
        <v>0</v>
      </c>
    </row>
    <row r="5231" spans="1:23" hidden="1" x14ac:dyDescent="0.25">
      <c r="A5231" s="3">
        <v>46091</v>
      </c>
      <c r="B5231" s="4" t="s">
        <v>334</v>
      </c>
      <c r="C5231" s="4" t="s">
        <v>74</v>
      </c>
      <c r="D5231" s="4"/>
      <c r="E5231" s="4"/>
      <c r="F5231" s="4" t="s">
        <v>2482</v>
      </c>
      <c r="G5231" s="4" t="s">
        <v>2802</v>
      </c>
      <c r="H5231" s="4" t="s">
        <v>289</v>
      </c>
      <c r="I5231" s="4">
        <v>0.05</v>
      </c>
      <c r="J5231" s="21">
        <v>500</v>
      </c>
      <c r="K5231" s="21">
        <v>0</v>
      </c>
      <c r="L5231" s="5">
        <v>0</v>
      </c>
      <c r="M5231" s="4"/>
      <c r="N5231" s="4"/>
      <c r="O5231" s="5"/>
      <c r="P5231" s="5"/>
      <c r="Q5231" s="21">
        <v>25</v>
      </c>
      <c r="R5231" s="21">
        <v>0</v>
      </c>
      <c r="S5231" s="5">
        <f t="shared" si="327"/>
        <v>49582.412073026426</v>
      </c>
      <c r="T5231" cm="1">
        <f t="array" ref="T5231">IF(OR(B5231="MAL ALIMI", B5231="ÜRETİM GİRİŞ"), MIN(I5231, MAX(0, I5231 + SUM(SUMIFS($I$1:I5230, $C$1:C5230, C5231, $B$1:B5230, {"MAL ALIMI","ÜRETİM GİRİŞ"})) - VLOOKUP(C5231, 'STOK RAPORU'!$C$2:$I$1000, 4, 0))), 0)</f>
        <v>0</v>
      </c>
      <c r="U5231" s="22">
        <f t="shared" si="324"/>
        <v>0</v>
      </c>
      <c r="V5231">
        <f t="shared" si="325"/>
        <v>0</v>
      </c>
      <c r="W5231" s="22">
        <f t="shared" si="326"/>
        <v>0</v>
      </c>
    </row>
    <row r="5232" spans="1:23" hidden="1" x14ac:dyDescent="0.25">
      <c r="A5232" s="3">
        <v>46091</v>
      </c>
      <c r="B5232" s="4" t="s">
        <v>334</v>
      </c>
      <c r="C5232" s="4" t="s">
        <v>148</v>
      </c>
      <c r="D5232" s="4"/>
      <c r="E5232" s="4"/>
      <c r="F5232" s="4" t="s">
        <v>2482</v>
      </c>
      <c r="G5232" s="4" t="s">
        <v>1945</v>
      </c>
      <c r="H5232" s="4" t="s">
        <v>289</v>
      </c>
      <c r="I5232" s="4">
        <v>1</v>
      </c>
      <c r="J5232" s="21">
        <v>35</v>
      </c>
      <c r="K5232" s="21">
        <v>0</v>
      </c>
      <c r="L5232" s="5">
        <v>0</v>
      </c>
      <c r="M5232" s="4"/>
      <c r="N5232" s="4"/>
      <c r="O5232" s="5"/>
      <c r="P5232" s="5"/>
      <c r="Q5232" s="21">
        <v>35</v>
      </c>
      <c r="R5232" s="21">
        <v>0</v>
      </c>
      <c r="S5232" s="5">
        <f t="shared" si="327"/>
        <v>49617.412073026426</v>
      </c>
      <c r="T5232" cm="1">
        <f t="array" ref="T5232">IF(OR(B5232="MAL ALIMI", B5232="ÜRETİM GİRİŞ"), MIN(I5232, MAX(0, I5232 + SUM(SUMIFS($I$1:I5231, $C$1:C5231, C5232, $B$1:B5231, {"MAL ALIMI","ÜRETİM GİRİŞ"})) - VLOOKUP(C5232, 'STOK RAPORU'!$C$2:$I$1000, 4, 0))), 0)</f>
        <v>0</v>
      </c>
      <c r="U5232" s="22">
        <f t="shared" si="324"/>
        <v>0</v>
      </c>
      <c r="V5232">
        <f t="shared" si="325"/>
        <v>0</v>
      </c>
      <c r="W5232" s="22">
        <f t="shared" si="326"/>
        <v>0</v>
      </c>
    </row>
    <row r="5233" spans="1:23" hidden="1" x14ac:dyDescent="0.25">
      <c r="A5233" s="3">
        <v>46091</v>
      </c>
      <c r="B5233" s="4" t="s">
        <v>334</v>
      </c>
      <c r="C5233" s="4" t="s">
        <v>148</v>
      </c>
      <c r="D5233" s="4"/>
      <c r="E5233" s="4"/>
      <c r="F5233" s="4" t="s">
        <v>2482</v>
      </c>
      <c r="G5233" s="4" t="s">
        <v>1884</v>
      </c>
      <c r="H5233" s="4" t="s">
        <v>289</v>
      </c>
      <c r="I5233" s="4">
        <v>1</v>
      </c>
      <c r="J5233" s="21">
        <v>65</v>
      </c>
      <c r="K5233" s="21">
        <v>0</v>
      </c>
      <c r="L5233" s="5">
        <v>0</v>
      </c>
      <c r="M5233" s="4"/>
      <c r="N5233" s="4"/>
      <c r="O5233" s="5"/>
      <c r="P5233" s="5"/>
      <c r="Q5233" s="21">
        <v>65</v>
      </c>
      <c r="R5233" s="21">
        <v>0</v>
      </c>
      <c r="S5233" s="5">
        <f t="shared" si="327"/>
        <v>49682.412073026426</v>
      </c>
      <c r="T5233" cm="1">
        <f t="array" ref="T5233">IF(OR(B5233="MAL ALIMI", B5233="ÜRETİM GİRİŞ"), MIN(I5233, MAX(0, I5233 + SUM(SUMIFS($I$1:I5232, $C$1:C5232, C5233, $B$1:B5232, {"MAL ALIMI","ÜRETİM GİRİŞ"})) - VLOOKUP(C5233, 'STOK RAPORU'!$C$2:$I$1000, 4, 0))), 0)</f>
        <v>0</v>
      </c>
      <c r="U5233" s="22">
        <f t="shared" si="324"/>
        <v>0</v>
      </c>
      <c r="V5233">
        <f t="shared" si="325"/>
        <v>0</v>
      </c>
      <c r="W5233" s="22">
        <f t="shared" si="326"/>
        <v>0</v>
      </c>
    </row>
    <row r="5234" spans="1:23" hidden="1" x14ac:dyDescent="0.25">
      <c r="A5234" s="3">
        <v>46091</v>
      </c>
      <c r="B5234" s="4" t="s">
        <v>334</v>
      </c>
      <c r="C5234" s="4" t="s">
        <v>149</v>
      </c>
      <c r="D5234" s="4"/>
      <c r="E5234" s="4"/>
      <c r="F5234" s="4" t="s">
        <v>2482</v>
      </c>
      <c r="G5234" s="4" t="s">
        <v>1884</v>
      </c>
      <c r="H5234" s="4" t="s">
        <v>289</v>
      </c>
      <c r="I5234" s="4">
        <v>1</v>
      </c>
      <c r="J5234" s="21">
        <v>65</v>
      </c>
      <c r="K5234" s="21">
        <v>0</v>
      </c>
      <c r="L5234" s="5">
        <v>0</v>
      </c>
      <c r="M5234" s="4"/>
      <c r="N5234" s="4"/>
      <c r="O5234" s="5"/>
      <c r="P5234" s="5"/>
      <c r="Q5234" s="21">
        <v>65</v>
      </c>
      <c r="R5234" s="21">
        <v>0</v>
      </c>
      <c r="S5234" s="5">
        <f t="shared" si="327"/>
        <v>49747.412073026426</v>
      </c>
      <c r="T5234" cm="1">
        <f t="array" ref="T5234">IF(OR(B5234="MAL ALIMI", B5234="ÜRETİM GİRİŞ"), MIN(I5234, MAX(0, I5234 + SUM(SUMIFS($I$1:I5233, $C$1:C5233, C5234, $B$1:B5233, {"MAL ALIMI","ÜRETİM GİRİŞ"})) - VLOOKUP(C5234, 'STOK RAPORU'!$C$2:$I$1000, 4, 0))), 0)</f>
        <v>0</v>
      </c>
      <c r="U5234" s="22">
        <f t="shared" si="324"/>
        <v>0</v>
      </c>
      <c r="V5234">
        <f t="shared" si="325"/>
        <v>0</v>
      </c>
      <c r="W5234" s="22">
        <f t="shared" si="326"/>
        <v>0</v>
      </c>
    </row>
    <row r="5235" spans="1:23" hidden="1" x14ac:dyDescent="0.25">
      <c r="A5235" s="3">
        <v>46091</v>
      </c>
      <c r="B5235" s="4" t="s">
        <v>334</v>
      </c>
      <c r="C5235" s="4" t="s">
        <v>591</v>
      </c>
      <c r="D5235" s="4"/>
      <c r="E5235" s="4"/>
      <c r="F5235" s="4" t="s">
        <v>2482</v>
      </c>
      <c r="G5235" s="4" t="s">
        <v>1884</v>
      </c>
      <c r="H5235" s="4" t="s">
        <v>289</v>
      </c>
      <c r="I5235" s="4">
        <v>1</v>
      </c>
      <c r="J5235" s="21">
        <v>350</v>
      </c>
      <c r="K5235" s="21">
        <v>0</v>
      </c>
      <c r="L5235" s="5">
        <v>0</v>
      </c>
      <c r="M5235" s="4"/>
      <c r="N5235" s="4"/>
      <c r="O5235" s="5"/>
      <c r="P5235" s="5"/>
      <c r="Q5235" s="21">
        <v>350</v>
      </c>
      <c r="R5235" s="21">
        <v>0</v>
      </c>
      <c r="S5235" s="5">
        <f t="shared" si="327"/>
        <v>50097.412073026426</v>
      </c>
      <c r="T5235" cm="1">
        <f t="array" ref="T5235">IF(OR(B5235="MAL ALIMI", B5235="ÜRETİM GİRİŞ"), MIN(I5235, MAX(0, I5235 + SUM(SUMIFS($I$1:I5234, $C$1:C5234, C5235, $B$1:B5234, {"MAL ALIMI","ÜRETİM GİRİŞ"})) - VLOOKUP(C5235, 'STOK RAPORU'!$C$2:$I$1000, 4, 0))), 0)</f>
        <v>0</v>
      </c>
      <c r="U5235" s="22">
        <f t="shared" ref="U5235:U5298" si="328">T5235*J5235</f>
        <v>0</v>
      </c>
      <c r="V5235">
        <f t="shared" ref="V5235:V5298" si="329">IF(OR(B5235="MAL ALIMI", B5235="ÜRETİM GİRİŞ"), I5235 * J5235, 0)</f>
        <v>0</v>
      </c>
      <c r="W5235" s="22">
        <f t="shared" ref="W5235:W5298" si="330">V5235-U5235</f>
        <v>0</v>
      </c>
    </row>
    <row r="5236" spans="1:23" hidden="1" x14ac:dyDescent="0.25">
      <c r="A5236" s="3">
        <v>46091</v>
      </c>
      <c r="B5236" s="4" t="s">
        <v>334</v>
      </c>
      <c r="C5236" s="4" t="s">
        <v>818</v>
      </c>
      <c r="D5236" s="4"/>
      <c r="E5236" s="4"/>
      <c r="F5236" s="4" t="s">
        <v>2482</v>
      </c>
      <c r="G5236" s="4" t="s">
        <v>1884</v>
      </c>
      <c r="H5236" s="4" t="s">
        <v>289</v>
      </c>
      <c r="I5236" s="4">
        <v>1</v>
      </c>
      <c r="J5236" s="21">
        <v>110</v>
      </c>
      <c r="K5236" s="21">
        <v>0</v>
      </c>
      <c r="L5236" s="5">
        <v>0</v>
      </c>
      <c r="M5236" s="4"/>
      <c r="N5236" s="4"/>
      <c r="O5236" s="5"/>
      <c r="P5236" s="5"/>
      <c r="Q5236" s="21">
        <v>110</v>
      </c>
      <c r="R5236" s="21">
        <v>0</v>
      </c>
      <c r="S5236" s="5">
        <f t="shared" si="327"/>
        <v>50207.412073026426</v>
      </c>
      <c r="T5236" cm="1">
        <f t="array" ref="T5236">IF(OR(B5236="MAL ALIMI", B5236="ÜRETİM GİRİŞ"), MIN(I5236, MAX(0, I5236 + SUM(SUMIFS($I$1:I5235, $C$1:C5235, C5236, $B$1:B5235, {"MAL ALIMI","ÜRETİM GİRİŞ"})) - VLOOKUP(C5236, 'STOK RAPORU'!$C$2:$I$1000, 4, 0))), 0)</f>
        <v>0</v>
      </c>
      <c r="U5236" s="22">
        <f t="shared" si="328"/>
        <v>0</v>
      </c>
      <c r="V5236">
        <f t="shared" si="329"/>
        <v>0</v>
      </c>
      <c r="W5236" s="22">
        <f t="shared" si="330"/>
        <v>0</v>
      </c>
    </row>
    <row r="5237" spans="1:23" hidden="1" x14ac:dyDescent="0.25">
      <c r="A5237" s="3">
        <v>46091</v>
      </c>
      <c r="B5237" s="4" t="s">
        <v>334</v>
      </c>
      <c r="C5237" s="4" t="s">
        <v>822</v>
      </c>
      <c r="D5237" s="4"/>
      <c r="E5237" s="4"/>
      <c r="F5237" s="4" t="s">
        <v>2482</v>
      </c>
      <c r="G5237" s="4" t="s">
        <v>1884</v>
      </c>
      <c r="H5237" s="4" t="s">
        <v>289</v>
      </c>
      <c r="I5237" s="4">
        <v>1</v>
      </c>
      <c r="J5237" s="21">
        <v>170</v>
      </c>
      <c r="K5237" s="21">
        <v>0</v>
      </c>
      <c r="L5237" s="5">
        <v>0</v>
      </c>
      <c r="M5237" s="4"/>
      <c r="N5237" s="4"/>
      <c r="O5237" s="5"/>
      <c r="P5237" s="5"/>
      <c r="Q5237" s="21">
        <v>170</v>
      </c>
      <c r="R5237" s="21">
        <v>0</v>
      </c>
      <c r="S5237" s="5">
        <f t="shared" si="327"/>
        <v>50377.412073026426</v>
      </c>
      <c r="T5237" cm="1">
        <f t="array" ref="T5237">IF(OR(B5237="MAL ALIMI", B5237="ÜRETİM GİRİŞ"), MIN(I5237, MAX(0, I5237 + SUM(SUMIFS($I$1:I5236, $C$1:C5236, C5237, $B$1:B5236, {"MAL ALIMI","ÜRETİM GİRİŞ"})) - VLOOKUP(C5237, 'STOK RAPORU'!$C$2:$I$1000, 4, 0))), 0)</f>
        <v>0</v>
      </c>
      <c r="U5237" s="22">
        <f t="shared" si="328"/>
        <v>0</v>
      </c>
      <c r="V5237">
        <f t="shared" si="329"/>
        <v>0</v>
      </c>
      <c r="W5237" s="22">
        <f t="shared" si="330"/>
        <v>0</v>
      </c>
    </row>
    <row r="5238" spans="1:23" hidden="1" x14ac:dyDescent="0.25">
      <c r="A5238" s="3">
        <v>46091</v>
      </c>
      <c r="B5238" s="4" t="s">
        <v>334</v>
      </c>
      <c r="C5238" s="4" t="s">
        <v>823</v>
      </c>
      <c r="D5238" s="4"/>
      <c r="E5238" s="4"/>
      <c r="F5238" s="4" t="s">
        <v>2482</v>
      </c>
      <c r="G5238" s="4" t="s">
        <v>1945</v>
      </c>
      <c r="H5238" s="4" t="s">
        <v>289</v>
      </c>
      <c r="I5238" s="4">
        <v>1</v>
      </c>
      <c r="J5238" s="21">
        <v>61</v>
      </c>
      <c r="K5238" s="21">
        <v>0</v>
      </c>
      <c r="L5238" s="5">
        <v>0</v>
      </c>
      <c r="M5238" s="4"/>
      <c r="N5238" s="4"/>
      <c r="O5238" s="5"/>
      <c r="P5238" s="5"/>
      <c r="Q5238" s="21">
        <v>61</v>
      </c>
      <c r="R5238" s="21">
        <v>0</v>
      </c>
      <c r="S5238" s="5">
        <f t="shared" si="327"/>
        <v>50438.412073026426</v>
      </c>
      <c r="T5238" cm="1">
        <f t="array" ref="T5238">IF(OR(B5238="MAL ALIMI", B5238="ÜRETİM GİRİŞ"), MIN(I5238, MAX(0, I5238 + SUM(SUMIFS($I$1:I5237, $C$1:C5237, C5238, $B$1:B5237, {"MAL ALIMI","ÜRETİM GİRİŞ"})) - VLOOKUP(C5238, 'STOK RAPORU'!$C$2:$I$1000, 4, 0))), 0)</f>
        <v>0</v>
      </c>
      <c r="U5238" s="22">
        <f t="shared" si="328"/>
        <v>0</v>
      </c>
      <c r="V5238">
        <f t="shared" si="329"/>
        <v>0</v>
      </c>
      <c r="W5238" s="22">
        <f t="shared" si="330"/>
        <v>0</v>
      </c>
    </row>
    <row r="5239" spans="1:23" hidden="1" x14ac:dyDescent="0.25">
      <c r="A5239" s="3">
        <v>46091</v>
      </c>
      <c r="B5239" s="4" t="s">
        <v>334</v>
      </c>
      <c r="C5239" s="4" t="s">
        <v>825</v>
      </c>
      <c r="D5239" s="4"/>
      <c r="E5239" s="4"/>
      <c r="F5239" s="4" t="s">
        <v>2482</v>
      </c>
      <c r="G5239" s="4" t="s">
        <v>1884</v>
      </c>
      <c r="H5239" s="4" t="s">
        <v>289</v>
      </c>
      <c r="I5239" s="4">
        <v>1</v>
      </c>
      <c r="J5239" s="21">
        <v>180</v>
      </c>
      <c r="K5239" s="21">
        <v>0</v>
      </c>
      <c r="L5239" s="5">
        <v>0</v>
      </c>
      <c r="M5239" s="4"/>
      <c r="N5239" s="4"/>
      <c r="O5239" s="5"/>
      <c r="P5239" s="5"/>
      <c r="Q5239" s="21">
        <v>180</v>
      </c>
      <c r="R5239" s="21">
        <v>0</v>
      </c>
      <c r="S5239" s="5">
        <f t="shared" si="327"/>
        <v>50618.412073026426</v>
      </c>
      <c r="T5239" cm="1">
        <f t="array" ref="T5239">IF(OR(B5239="MAL ALIMI", B5239="ÜRETİM GİRİŞ"), MIN(I5239, MAX(0, I5239 + SUM(SUMIFS($I$1:I5238, $C$1:C5238, C5239, $B$1:B5238, {"MAL ALIMI","ÜRETİM GİRİŞ"})) - VLOOKUP(C5239, 'STOK RAPORU'!$C$2:$I$1000, 4, 0))), 0)</f>
        <v>0</v>
      </c>
      <c r="U5239" s="22">
        <f t="shared" si="328"/>
        <v>0</v>
      </c>
      <c r="V5239">
        <f t="shared" si="329"/>
        <v>0</v>
      </c>
      <c r="W5239" s="22">
        <f t="shared" si="330"/>
        <v>0</v>
      </c>
    </row>
    <row r="5240" spans="1:23" hidden="1" x14ac:dyDescent="0.25">
      <c r="A5240" s="3">
        <v>46091</v>
      </c>
      <c r="B5240" s="4" t="s">
        <v>334</v>
      </c>
      <c r="C5240" s="4" t="s">
        <v>828</v>
      </c>
      <c r="D5240" s="4"/>
      <c r="E5240" s="4"/>
      <c r="F5240" s="4" t="s">
        <v>2482</v>
      </c>
      <c r="G5240" s="4" t="s">
        <v>1945</v>
      </c>
      <c r="H5240" s="4" t="s">
        <v>289</v>
      </c>
      <c r="I5240" s="4">
        <v>1</v>
      </c>
      <c r="J5240" s="21">
        <v>66</v>
      </c>
      <c r="K5240" s="21">
        <v>0</v>
      </c>
      <c r="L5240" s="5">
        <v>0</v>
      </c>
      <c r="M5240" s="4"/>
      <c r="N5240" s="4"/>
      <c r="O5240" s="5"/>
      <c r="P5240" s="5"/>
      <c r="Q5240" s="21">
        <v>66</v>
      </c>
      <c r="R5240" s="21">
        <v>0</v>
      </c>
      <c r="S5240" s="5">
        <f t="shared" si="327"/>
        <v>50684.412073026426</v>
      </c>
      <c r="T5240" cm="1">
        <f t="array" ref="T5240">IF(OR(B5240="MAL ALIMI", B5240="ÜRETİM GİRİŞ"), MIN(I5240, MAX(0, I5240 + SUM(SUMIFS($I$1:I5239, $C$1:C5239, C5240, $B$1:B5239, {"MAL ALIMI","ÜRETİM GİRİŞ"})) - VLOOKUP(C5240, 'STOK RAPORU'!$C$2:$I$1000, 4, 0))), 0)</f>
        <v>0</v>
      </c>
      <c r="U5240" s="22">
        <f t="shared" si="328"/>
        <v>0</v>
      </c>
      <c r="V5240">
        <f t="shared" si="329"/>
        <v>0</v>
      </c>
      <c r="W5240" s="22">
        <f t="shared" si="330"/>
        <v>0</v>
      </c>
    </row>
    <row r="5241" spans="1:23" hidden="1" x14ac:dyDescent="0.25">
      <c r="A5241" s="3">
        <v>46091</v>
      </c>
      <c r="B5241" s="4" t="s">
        <v>334</v>
      </c>
      <c r="C5241" s="4" t="s">
        <v>835</v>
      </c>
      <c r="D5241" s="4"/>
      <c r="E5241" s="4"/>
      <c r="F5241" s="4" t="s">
        <v>2482</v>
      </c>
      <c r="G5241" s="4" t="s">
        <v>1945</v>
      </c>
      <c r="H5241" s="4" t="s">
        <v>289</v>
      </c>
      <c r="I5241" s="4">
        <v>1</v>
      </c>
      <c r="J5241" s="21">
        <v>63</v>
      </c>
      <c r="K5241" s="21">
        <v>0</v>
      </c>
      <c r="L5241" s="5">
        <v>0</v>
      </c>
      <c r="M5241" s="4"/>
      <c r="N5241" s="4"/>
      <c r="O5241" s="5"/>
      <c r="P5241" s="5"/>
      <c r="Q5241" s="21">
        <v>63</v>
      </c>
      <c r="R5241" s="21">
        <v>0</v>
      </c>
      <c r="S5241" s="5">
        <f t="shared" si="327"/>
        <v>50747.412073026426</v>
      </c>
      <c r="T5241" cm="1">
        <f t="array" ref="T5241">IF(OR(B5241="MAL ALIMI", B5241="ÜRETİM GİRİŞ"), MIN(I5241, MAX(0, I5241 + SUM(SUMIFS($I$1:I5240, $C$1:C5240, C5241, $B$1:B5240, {"MAL ALIMI","ÜRETİM GİRİŞ"})) - VLOOKUP(C5241, 'STOK RAPORU'!$C$2:$I$1000, 4, 0))), 0)</f>
        <v>0</v>
      </c>
      <c r="U5241" s="22">
        <f t="shared" si="328"/>
        <v>0</v>
      </c>
      <c r="V5241">
        <f t="shared" si="329"/>
        <v>0</v>
      </c>
      <c r="W5241" s="22">
        <f t="shared" si="330"/>
        <v>0</v>
      </c>
    </row>
    <row r="5242" spans="1:23" hidden="1" x14ac:dyDescent="0.25">
      <c r="A5242" s="3">
        <v>46091</v>
      </c>
      <c r="B5242" s="4" t="s">
        <v>334</v>
      </c>
      <c r="C5242" s="4" t="s">
        <v>1271</v>
      </c>
      <c r="D5242" s="4"/>
      <c r="E5242" s="4"/>
      <c r="F5242" s="4" t="s">
        <v>2482</v>
      </c>
      <c r="G5242" s="4" t="s">
        <v>1884</v>
      </c>
      <c r="H5242" s="4" t="s">
        <v>289</v>
      </c>
      <c r="I5242" s="4">
        <v>1</v>
      </c>
      <c r="J5242" s="21">
        <v>190</v>
      </c>
      <c r="K5242" s="21">
        <v>0</v>
      </c>
      <c r="L5242" s="5">
        <v>0</v>
      </c>
      <c r="M5242" s="4"/>
      <c r="N5242" s="4"/>
      <c r="O5242" s="5"/>
      <c r="P5242" s="5"/>
      <c r="Q5242" s="21">
        <v>190</v>
      </c>
      <c r="R5242" s="21">
        <v>0</v>
      </c>
      <c r="S5242" s="5">
        <f t="shared" si="327"/>
        <v>50937.412073026426</v>
      </c>
      <c r="T5242" cm="1">
        <f t="array" ref="T5242">IF(OR(B5242="MAL ALIMI", B5242="ÜRETİM GİRİŞ"), MIN(I5242, MAX(0, I5242 + SUM(SUMIFS($I$1:I5241, $C$1:C5241, C5242, $B$1:B5241, {"MAL ALIMI","ÜRETİM GİRİŞ"})) - VLOOKUP(C5242, 'STOK RAPORU'!$C$2:$I$1000, 4, 0))), 0)</f>
        <v>0</v>
      </c>
      <c r="U5242" s="22">
        <f t="shared" si="328"/>
        <v>0</v>
      </c>
      <c r="V5242">
        <f t="shared" si="329"/>
        <v>0</v>
      </c>
      <c r="W5242" s="22">
        <f t="shared" si="330"/>
        <v>0</v>
      </c>
    </row>
    <row r="5243" spans="1:23" hidden="1" x14ac:dyDescent="0.25">
      <c r="A5243" s="3">
        <v>46091</v>
      </c>
      <c r="B5243" s="4" t="s">
        <v>334</v>
      </c>
      <c r="C5243" s="4" t="s">
        <v>2240</v>
      </c>
      <c r="D5243" s="4"/>
      <c r="E5243" s="4"/>
      <c r="F5243" s="4" t="s">
        <v>2482</v>
      </c>
      <c r="G5243" s="4" t="s">
        <v>1945</v>
      </c>
      <c r="H5243" s="4" t="s">
        <v>289</v>
      </c>
      <c r="I5243" s="4">
        <v>1</v>
      </c>
      <c r="J5243" s="21">
        <v>60</v>
      </c>
      <c r="K5243" s="21">
        <v>0</v>
      </c>
      <c r="L5243" s="5">
        <v>0</v>
      </c>
      <c r="M5243" s="4"/>
      <c r="N5243" s="4"/>
      <c r="O5243" s="5"/>
      <c r="P5243" s="5"/>
      <c r="Q5243" s="21">
        <v>60</v>
      </c>
      <c r="R5243" s="21">
        <v>0</v>
      </c>
      <c r="S5243" s="5">
        <f t="shared" si="327"/>
        <v>50997.412073026426</v>
      </c>
      <c r="T5243" cm="1">
        <f t="array" ref="T5243">IF(OR(B5243="MAL ALIMI", B5243="ÜRETİM GİRİŞ"), MIN(I5243, MAX(0, I5243 + SUM(SUMIFS($I$1:I5242, $C$1:C5242, C5243, $B$1:B5242, {"MAL ALIMI","ÜRETİM GİRİŞ"})) - VLOOKUP(C5243, 'STOK RAPORU'!$C$2:$I$1000, 4, 0))), 0)</f>
        <v>0</v>
      </c>
      <c r="U5243" s="22">
        <f t="shared" si="328"/>
        <v>0</v>
      </c>
      <c r="V5243">
        <f t="shared" si="329"/>
        <v>0</v>
      </c>
      <c r="W5243" s="22">
        <f t="shared" si="330"/>
        <v>0</v>
      </c>
    </row>
    <row r="5244" spans="1:23" hidden="1" x14ac:dyDescent="0.25">
      <c r="A5244" s="3">
        <v>46091</v>
      </c>
      <c r="B5244" s="4" t="s">
        <v>334</v>
      </c>
      <c r="C5244" s="4" t="s">
        <v>822</v>
      </c>
      <c r="D5244" s="4"/>
      <c r="E5244" s="4"/>
      <c r="F5244" s="4" t="s">
        <v>2482</v>
      </c>
      <c r="G5244" s="4" t="s">
        <v>1945</v>
      </c>
      <c r="H5244" s="4" t="s">
        <v>289</v>
      </c>
      <c r="I5244" s="4">
        <v>1</v>
      </c>
      <c r="J5244" s="21">
        <v>86</v>
      </c>
      <c r="K5244" s="21">
        <v>0</v>
      </c>
      <c r="L5244" s="5">
        <v>0</v>
      </c>
      <c r="M5244" s="4"/>
      <c r="N5244" s="4"/>
      <c r="O5244" s="5"/>
      <c r="P5244" s="5"/>
      <c r="Q5244" s="21">
        <v>86</v>
      </c>
      <c r="R5244" s="21">
        <v>0</v>
      </c>
      <c r="S5244" s="5">
        <f t="shared" si="327"/>
        <v>51083.412073026426</v>
      </c>
      <c r="T5244" cm="1">
        <f t="array" ref="T5244">IF(OR(B5244="MAL ALIMI", B5244="ÜRETİM GİRİŞ"), MIN(I5244, MAX(0, I5244 + SUM(SUMIFS($I$1:I5243, $C$1:C5243, C5244, $B$1:B5243, {"MAL ALIMI","ÜRETİM GİRİŞ"})) - VLOOKUP(C5244, 'STOK RAPORU'!$C$2:$I$1000, 4, 0))), 0)</f>
        <v>0</v>
      </c>
      <c r="U5244" s="22">
        <f t="shared" si="328"/>
        <v>0</v>
      </c>
      <c r="V5244">
        <f t="shared" si="329"/>
        <v>0</v>
      </c>
      <c r="W5244" s="22">
        <f t="shared" si="330"/>
        <v>0</v>
      </c>
    </row>
    <row r="5245" spans="1:23" hidden="1" x14ac:dyDescent="0.25">
      <c r="A5245" s="3">
        <v>46091</v>
      </c>
      <c r="B5245" s="4" t="s">
        <v>334</v>
      </c>
      <c r="C5245" s="4" t="s">
        <v>1143</v>
      </c>
      <c r="D5245" s="4"/>
      <c r="E5245" s="4"/>
      <c r="F5245" s="4" t="s">
        <v>2482</v>
      </c>
      <c r="G5245" s="4" t="s">
        <v>1945</v>
      </c>
      <c r="H5245" s="4" t="s">
        <v>289</v>
      </c>
      <c r="I5245" s="4">
        <v>1</v>
      </c>
      <c r="J5245" s="21">
        <v>75</v>
      </c>
      <c r="K5245" s="21">
        <v>0</v>
      </c>
      <c r="L5245" s="5">
        <v>0</v>
      </c>
      <c r="M5245" s="4"/>
      <c r="N5245" s="4"/>
      <c r="O5245" s="5"/>
      <c r="P5245" s="5"/>
      <c r="Q5245" s="21">
        <v>75</v>
      </c>
      <c r="R5245" s="21">
        <v>0</v>
      </c>
      <c r="S5245" s="5">
        <f t="shared" si="327"/>
        <v>51158.412073026426</v>
      </c>
      <c r="T5245" cm="1">
        <f t="array" ref="T5245">IF(OR(B5245="MAL ALIMI", B5245="ÜRETİM GİRİŞ"), MIN(I5245, MAX(0, I5245 + SUM(SUMIFS($I$1:I5244, $C$1:C5244, C5245, $B$1:B5244, {"MAL ALIMI","ÜRETİM GİRİŞ"})) - VLOOKUP(C5245, 'STOK RAPORU'!$C$2:$I$1000, 4, 0))), 0)</f>
        <v>0</v>
      </c>
      <c r="U5245" s="22">
        <f t="shared" si="328"/>
        <v>0</v>
      </c>
      <c r="V5245">
        <f t="shared" si="329"/>
        <v>0</v>
      </c>
      <c r="W5245" s="22">
        <f t="shared" si="330"/>
        <v>0</v>
      </c>
    </row>
    <row r="5246" spans="1:23" hidden="1" x14ac:dyDescent="0.25">
      <c r="A5246" s="3">
        <v>46091</v>
      </c>
      <c r="B5246" s="4" t="s">
        <v>334</v>
      </c>
      <c r="C5246" s="4" t="s">
        <v>218</v>
      </c>
      <c r="D5246" s="4"/>
      <c r="E5246" s="4"/>
      <c r="F5246" s="4" t="s">
        <v>2482</v>
      </c>
      <c r="G5246" s="4" t="s">
        <v>1945</v>
      </c>
      <c r="H5246" s="4" t="s">
        <v>289</v>
      </c>
      <c r="I5246" s="4">
        <v>1</v>
      </c>
      <c r="J5246" s="21">
        <v>225</v>
      </c>
      <c r="K5246" s="21">
        <v>0</v>
      </c>
      <c r="L5246" s="5">
        <v>0</v>
      </c>
      <c r="M5246" s="4"/>
      <c r="N5246" s="4"/>
      <c r="O5246" s="5"/>
      <c r="P5246" s="5"/>
      <c r="Q5246" s="21">
        <v>225</v>
      </c>
      <c r="R5246" s="21">
        <v>0</v>
      </c>
      <c r="S5246" s="5">
        <f t="shared" si="327"/>
        <v>51383.412073026426</v>
      </c>
      <c r="T5246" cm="1">
        <f t="array" ref="T5246">IF(OR(B5246="MAL ALIMI", B5246="ÜRETİM GİRİŞ"), MIN(I5246, MAX(0, I5246 + SUM(SUMIFS($I$1:I5245, $C$1:C5245, C5246, $B$1:B5245, {"MAL ALIMI","ÜRETİM GİRİŞ"})) - VLOOKUP(C5246, 'STOK RAPORU'!$C$2:$I$1000, 4, 0))), 0)</f>
        <v>0</v>
      </c>
      <c r="U5246" s="22">
        <f t="shared" si="328"/>
        <v>0</v>
      </c>
      <c r="V5246">
        <f t="shared" si="329"/>
        <v>0</v>
      </c>
      <c r="W5246" s="22">
        <f t="shared" si="330"/>
        <v>0</v>
      </c>
    </row>
    <row r="5247" spans="1:23" hidden="1" x14ac:dyDescent="0.25">
      <c r="A5247" s="3">
        <v>46091</v>
      </c>
      <c r="B5247" s="4" t="s">
        <v>334</v>
      </c>
      <c r="C5247" s="4" t="s">
        <v>1394</v>
      </c>
      <c r="D5247" s="4"/>
      <c r="E5247" s="4"/>
      <c r="F5247" s="4" t="s">
        <v>2482</v>
      </c>
      <c r="G5247" s="4" t="s">
        <v>1884</v>
      </c>
      <c r="H5247" s="4" t="s">
        <v>289</v>
      </c>
      <c r="I5247" s="4">
        <v>1</v>
      </c>
      <c r="J5247" s="21">
        <v>135</v>
      </c>
      <c r="K5247" s="21">
        <v>0</v>
      </c>
      <c r="L5247" s="5">
        <v>0</v>
      </c>
      <c r="M5247" s="4"/>
      <c r="N5247" s="4"/>
      <c r="O5247" s="5"/>
      <c r="P5247" s="5"/>
      <c r="Q5247" s="21">
        <v>135</v>
      </c>
      <c r="R5247" s="21">
        <v>0</v>
      </c>
      <c r="S5247" s="5">
        <f t="shared" si="327"/>
        <v>51518.412073026426</v>
      </c>
      <c r="T5247" cm="1">
        <f t="array" ref="T5247">IF(OR(B5247="MAL ALIMI", B5247="ÜRETİM GİRİŞ"), MIN(I5247, MAX(0, I5247 + SUM(SUMIFS($I$1:I5246, $C$1:C5246, C5247, $B$1:B5246, {"MAL ALIMI","ÜRETİM GİRİŞ"})) - VLOOKUP(C5247, 'STOK RAPORU'!$C$2:$I$1000, 4, 0))), 0)</f>
        <v>0</v>
      </c>
      <c r="U5247" s="22">
        <f t="shared" si="328"/>
        <v>0</v>
      </c>
      <c r="V5247">
        <f t="shared" si="329"/>
        <v>0</v>
      </c>
      <c r="W5247" s="22">
        <f t="shared" si="330"/>
        <v>0</v>
      </c>
    </row>
    <row r="5248" spans="1:23" hidden="1" x14ac:dyDescent="0.25">
      <c r="A5248" s="3">
        <v>46091</v>
      </c>
      <c r="B5248" s="4" t="s">
        <v>334</v>
      </c>
      <c r="C5248" s="4" t="s">
        <v>1397</v>
      </c>
      <c r="D5248" s="4"/>
      <c r="E5248" s="4"/>
      <c r="F5248" s="4" t="s">
        <v>2482</v>
      </c>
      <c r="G5248" s="4" t="s">
        <v>1945</v>
      </c>
      <c r="H5248" s="4" t="s">
        <v>289</v>
      </c>
      <c r="I5248" s="4">
        <v>1</v>
      </c>
      <c r="J5248" s="21">
        <v>59</v>
      </c>
      <c r="K5248" s="21">
        <v>0</v>
      </c>
      <c r="L5248" s="5">
        <v>0</v>
      </c>
      <c r="M5248" s="4"/>
      <c r="N5248" s="4"/>
      <c r="O5248" s="5"/>
      <c r="P5248" s="5"/>
      <c r="Q5248" s="21">
        <v>59</v>
      </c>
      <c r="R5248" s="21">
        <v>0</v>
      </c>
      <c r="S5248" s="5">
        <f t="shared" si="327"/>
        <v>51577.412073026426</v>
      </c>
      <c r="T5248" cm="1">
        <f t="array" ref="T5248">IF(OR(B5248="MAL ALIMI", B5248="ÜRETİM GİRİŞ"), MIN(I5248, MAX(0, I5248 + SUM(SUMIFS($I$1:I5247, $C$1:C5247, C5248, $B$1:B5247, {"MAL ALIMI","ÜRETİM GİRİŞ"})) - VLOOKUP(C5248, 'STOK RAPORU'!$C$2:$I$1000, 4, 0))), 0)</f>
        <v>0</v>
      </c>
      <c r="U5248" s="22">
        <f t="shared" si="328"/>
        <v>0</v>
      </c>
      <c r="V5248">
        <f t="shared" si="329"/>
        <v>0</v>
      </c>
      <c r="W5248" s="22">
        <f t="shared" si="330"/>
        <v>0</v>
      </c>
    </row>
    <row r="5249" spans="1:23" hidden="1" x14ac:dyDescent="0.25">
      <c r="A5249" s="3">
        <v>46091</v>
      </c>
      <c r="B5249" s="4" t="s">
        <v>334</v>
      </c>
      <c r="C5249" s="4" t="s">
        <v>169</v>
      </c>
      <c r="D5249" s="4"/>
      <c r="E5249" s="4"/>
      <c r="F5249" s="4" t="s">
        <v>2482</v>
      </c>
      <c r="G5249" s="4" t="s">
        <v>1945</v>
      </c>
      <c r="H5249" s="4" t="s">
        <v>289</v>
      </c>
      <c r="I5249" s="4">
        <v>1</v>
      </c>
      <c r="J5249" s="21">
        <v>100</v>
      </c>
      <c r="K5249" s="21">
        <v>0</v>
      </c>
      <c r="L5249" s="5">
        <v>0</v>
      </c>
      <c r="M5249" s="4"/>
      <c r="N5249" s="4"/>
      <c r="O5249" s="5"/>
      <c r="P5249" s="5"/>
      <c r="Q5249" s="21">
        <v>100</v>
      </c>
      <c r="R5249" s="21">
        <v>0</v>
      </c>
      <c r="S5249" s="5">
        <f t="shared" si="327"/>
        <v>51677.412073026426</v>
      </c>
      <c r="T5249" cm="1">
        <f t="array" ref="T5249">IF(OR(B5249="MAL ALIMI", B5249="ÜRETİM GİRİŞ"), MIN(I5249, MAX(0, I5249 + SUM(SUMIFS($I$1:I5248, $C$1:C5248, C5249, $B$1:B5248, {"MAL ALIMI","ÜRETİM GİRİŞ"})) - VLOOKUP(C5249, 'STOK RAPORU'!$C$2:$I$1000, 4, 0))), 0)</f>
        <v>0</v>
      </c>
      <c r="U5249" s="22">
        <f t="shared" si="328"/>
        <v>0</v>
      </c>
      <c r="V5249">
        <f t="shared" si="329"/>
        <v>0</v>
      </c>
      <c r="W5249" s="22">
        <f t="shared" si="330"/>
        <v>0</v>
      </c>
    </row>
    <row r="5250" spans="1:23" hidden="1" x14ac:dyDescent="0.25">
      <c r="A5250" s="3">
        <v>46091</v>
      </c>
      <c r="B5250" s="4" t="s">
        <v>334</v>
      </c>
      <c r="C5250" s="4" t="s">
        <v>619</v>
      </c>
      <c r="D5250" s="4"/>
      <c r="E5250" s="4"/>
      <c r="F5250" s="4" t="s">
        <v>2482</v>
      </c>
      <c r="G5250" s="4" t="s">
        <v>1945</v>
      </c>
      <c r="H5250" s="4" t="s">
        <v>289</v>
      </c>
      <c r="I5250" s="4">
        <v>0.3</v>
      </c>
      <c r="J5250" s="21">
        <v>110</v>
      </c>
      <c r="K5250" s="21">
        <v>0</v>
      </c>
      <c r="L5250" s="5">
        <v>0</v>
      </c>
      <c r="M5250" s="4"/>
      <c r="N5250" s="4"/>
      <c r="O5250" s="5"/>
      <c r="P5250" s="5"/>
      <c r="Q5250" s="21">
        <v>33</v>
      </c>
      <c r="R5250" s="21">
        <v>0</v>
      </c>
      <c r="S5250" s="5">
        <f t="shared" si="327"/>
        <v>51710.412073026426</v>
      </c>
      <c r="T5250" cm="1">
        <f t="array" ref="T5250">IF(OR(B5250="MAL ALIMI", B5250="ÜRETİM GİRİŞ"), MIN(I5250, MAX(0, I5250 + SUM(SUMIFS($I$1:I5249, $C$1:C5249, C5250, $B$1:B5249, {"MAL ALIMI","ÜRETİM GİRİŞ"})) - VLOOKUP(C5250, 'STOK RAPORU'!$C$2:$I$1000, 4, 0))), 0)</f>
        <v>0</v>
      </c>
      <c r="U5250" s="22">
        <f t="shared" si="328"/>
        <v>0</v>
      </c>
      <c r="V5250">
        <f t="shared" si="329"/>
        <v>0</v>
      </c>
      <c r="W5250" s="22">
        <f t="shared" si="330"/>
        <v>0</v>
      </c>
    </row>
    <row r="5251" spans="1:23" hidden="1" x14ac:dyDescent="0.25">
      <c r="A5251" s="3">
        <v>46091</v>
      </c>
      <c r="B5251" s="4" t="s">
        <v>334</v>
      </c>
      <c r="C5251" s="4" t="s">
        <v>620</v>
      </c>
      <c r="D5251" s="4"/>
      <c r="E5251" s="4"/>
      <c r="F5251" s="4" t="s">
        <v>2482</v>
      </c>
      <c r="G5251" s="4" t="s">
        <v>1945</v>
      </c>
      <c r="H5251" s="4" t="s">
        <v>289</v>
      </c>
      <c r="I5251" s="4">
        <v>1.34</v>
      </c>
      <c r="J5251" s="21">
        <v>140</v>
      </c>
      <c r="K5251" s="21">
        <v>0</v>
      </c>
      <c r="L5251" s="5">
        <v>0</v>
      </c>
      <c r="M5251" s="4"/>
      <c r="N5251" s="4"/>
      <c r="O5251" s="5"/>
      <c r="P5251" s="5"/>
      <c r="Q5251" s="21">
        <v>187.60000000000002</v>
      </c>
      <c r="R5251" s="21">
        <v>0</v>
      </c>
      <c r="S5251" s="5">
        <f t="shared" si="327"/>
        <v>51898.012073026424</v>
      </c>
      <c r="T5251" cm="1">
        <f t="array" ref="T5251">IF(OR(B5251="MAL ALIMI", B5251="ÜRETİM GİRİŞ"), MIN(I5251, MAX(0, I5251 + SUM(SUMIFS($I$1:I5250, $C$1:C5250, C5251, $B$1:B5250, {"MAL ALIMI","ÜRETİM GİRİŞ"})) - VLOOKUP(C5251, 'STOK RAPORU'!$C$2:$I$1000, 4, 0))), 0)</f>
        <v>0</v>
      </c>
      <c r="U5251" s="22">
        <f t="shared" si="328"/>
        <v>0</v>
      </c>
      <c r="V5251">
        <f t="shared" si="329"/>
        <v>0</v>
      </c>
      <c r="W5251" s="22">
        <f t="shared" si="330"/>
        <v>0</v>
      </c>
    </row>
    <row r="5252" spans="1:23" hidden="1" x14ac:dyDescent="0.25">
      <c r="A5252" s="3">
        <v>46091</v>
      </c>
      <c r="B5252" s="4" t="s">
        <v>334</v>
      </c>
      <c r="C5252" s="4" t="s">
        <v>730</v>
      </c>
      <c r="D5252" s="4"/>
      <c r="E5252" s="4"/>
      <c r="F5252" s="4" t="s">
        <v>2482</v>
      </c>
      <c r="G5252" s="4" t="s">
        <v>1945</v>
      </c>
      <c r="H5252" s="4" t="s">
        <v>289</v>
      </c>
      <c r="I5252" s="4">
        <v>2</v>
      </c>
      <c r="J5252" s="21">
        <v>60</v>
      </c>
      <c r="K5252" s="21">
        <v>0</v>
      </c>
      <c r="L5252" s="5">
        <v>0</v>
      </c>
      <c r="M5252" s="4"/>
      <c r="N5252" s="4"/>
      <c r="O5252" s="5"/>
      <c r="P5252" s="5"/>
      <c r="Q5252" s="21">
        <v>120</v>
      </c>
      <c r="R5252" s="21">
        <v>0</v>
      </c>
      <c r="S5252" s="5">
        <f t="shared" ref="S5252:S5315" si="331">S5251+Q5252-R5252</f>
        <v>52018.012073026424</v>
      </c>
      <c r="T5252" cm="1">
        <f t="array" ref="T5252">IF(OR(B5252="MAL ALIMI", B5252="ÜRETİM GİRİŞ"), MIN(I5252, MAX(0, I5252 + SUM(SUMIFS($I$1:I5251, $C$1:C5251, C5252, $B$1:B5251, {"MAL ALIMI","ÜRETİM GİRİŞ"})) - VLOOKUP(C5252, 'STOK RAPORU'!$C$2:$I$1000, 4, 0))), 0)</f>
        <v>0</v>
      </c>
      <c r="U5252" s="22">
        <f t="shared" si="328"/>
        <v>0</v>
      </c>
      <c r="V5252">
        <f t="shared" si="329"/>
        <v>0</v>
      </c>
      <c r="W5252" s="22">
        <f t="shared" si="330"/>
        <v>0</v>
      </c>
    </row>
    <row r="5253" spans="1:23" hidden="1" x14ac:dyDescent="0.25">
      <c r="A5253" s="3">
        <v>46091</v>
      </c>
      <c r="B5253" s="4" t="s">
        <v>334</v>
      </c>
      <c r="C5253" s="4" t="s">
        <v>731</v>
      </c>
      <c r="D5253" s="4"/>
      <c r="E5253" s="4"/>
      <c r="F5253" s="4" t="s">
        <v>2482</v>
      </c>
      <c r="G5253" s="4" t="s">
        <v>1945</v>
      </c>
      <c r="H5253" s="4" t="s">
        <v>289</v>
      </c>
      <c r="I5253" s="4">
        <v>1</v>
      </c>
      <c r="J5253" s="21">
        <v>60</v>
      </c>
      <c r="K5253" s="21">
        <v>0</v>
      </c>
      <c r="L5253" s="5">
        <v>0</v>
      </c>
      <c r="M5253" s="4"/>
      <c r="N5253" s="4"/>
      <c r="O5253" s="5"/>
      <c r="P5253" s="5"/>
      <c r="Q5253" s="21">
        <v>60</v>
      </c>
      <c r="R5253" s="21">
        <v>0</v>
      </c>
      <c r="S5253" s="5">
        <f t="shared" si="331"/>
        <v>52078.012073026424</v>
      </c>
      <c r="T5253" cm="1">
        <f t="array" ref="T5253">IF(OR(B5253="MAL ALIMI", B5253="ÜRETİM GİRİŞ"), MIN(I5253, MAX(0, I5253 + SUM(SUMIFS($I$1:I5252, $C$1:C5252, C5253, $B$1:B5252, {"MAL ALIMI","ÜRETİM GİRİŞ"})) - VLOOKUP(C5253, 'STOK RAPORU'!$C$2:$I$1000, 4, 0))), 0)</f>
        <v>0</v>
      </c>
      <c r="U5253" s="22">
        <f t="shared" si="328"/>
        <v>0</v>
      </c>
      <c r="V5253">
        <f t="shared" si="329"/>
        <v>0</v>
      </c>
      <c r="W5253" s="22">
        <f t="shared" si="330"/>
        <v>0</v>
      </c>
    </row>
    <row r="5254" spans="1:23" hidden="1" x14ac:dyDescent="0.25">
      <c r="A5254" s="3">
        <v>46091</v>
      </c>
      <c r="B5254" s="4" t="s">
        <v>334</v>
      </c>
      <c r="C5254" s="4" t="s">
        <v>196</v>
      </c>
      <c r="D5254" s="4"/>
      <c r="E5254" s="4"/>
      <c r="F5254" s="4" t="s">
        <v>2482</v>
      </c>
      <c r="G5254" s="4" t="s">
        <v>1945</v>
      </c>
      <c r="H5254" s="4" t="s">
        <v>289</v>
      </c>
      <c r="I5254" s="4">
        <v>3.14</v>
      </c>
      <c r="J5254" s="21">
        <v>130</v>
      </c>
      <c r="K5254" s="21">
        <v>0</v>
      </c>
      <c r="L5254" s="5">
        <v>0</v>
      </c>
      <c r="M5254" s="4"/>
      <c r="N5254" s="4"/>
      <c r="O5254" s="5"/>
      <c r="P5254" s="5"/>
      <c r="Q5254" s="21">
        <v>408.2</v>
      </c>
      <c r="R5254" s="21">
        <v>0</v>
      </c>
      <c r="S5254" s="5">
        <f t="shared" si="331"/>
        <v>52486.212073026421</v>
      </c>
      <c r="T5254" cm="1">
        <f t="array" ref="T5254">IF(OR(B5254="MAL ALIMI", B5254="ÜRETİM GİRİŞ"), MIN(I5254, MAX(0, I5254 + SUM(SUMIFS($I$1:I5253, $C$1:C5253, C5254, $B$1:B5253, {"MAL ALIMI","ÜRETİM GİRİŞ"})) - VLOOKUP(C5254, 'STOK RAPORU'!$C$2:$I$1000, 4, 0))), 0)</f>
        <v>0</v>
      </c>
      <c r="U5254" s="22">
        <f t="shared" si="328"/>
        <v>0</v>
      </c>
      <c r="V5254">
        <f t="shared" si="329"/>
        <v>0</v>
      </c>
      <c r="W5254" s="22">
        <f t="shared" si="330"/>
        <v>0</v>
      </c>
    </row>
    <row r="5255" spans="1:23" hidden="1" x14ac:dyDescent="0.25">
      <c r="A5255" s="3">
        <v>46091</v>
      </c>
      <c r="B5255" s="4" t="s">
        <v>334</v>
      </c>
      <c r="C5255" s="4" t="s">
        <v>197</v>
      </c>
      <c r="D5255" s="4"/>
      <c r="E5255" s="4"/>
      <c r="F5255" s="4" t="s">
        <v>2482</v>
      </c>
      <c r="G5255" s="4" t="s">
        <v>1945</v>
      </c>
      <c r="H5255" s="4" t="s">
        <v>289</v>
      </c>
      <c r="I5255" s="4">
        <v>3.27</v>
      </c>
      <c r="J5255" s="21">
        <v>130</v>
      </c>
      <c r="K5255" s="21">
        <v>0</v>
      </c>
      <c r="L5255" s="5">
        <v>0</v>
      </c>
      <c r="M5255" s="4"/>
      <c r="N5255" s="4"/>
      <c r="O5255" s="5"/>
      <c r="P5255" s="5"/>
      <c r="Q5255" s="21">
        <v>425.1</v>
      </c>
      <c r="R5255" s="21">
        <v>0</v>
      </c>
      <c r="S5255" s="5">
        <f t="shared" si="331"/>
        <v>52911.31207302642</v>
      </c>
      <c r="T5255" cm="1">
        <f t="array" ref="T5255">IF(OR(B5255="MAL ALIMI", B5255="ÜRETİM GİRİŞ"), MIN(I5255, MAX(0, I5255 + SUM(SUMIFS($I$1:I5254, $C$1:C5254, C5255, $B$1:B5254, {"MAL ALIMI","ÜRETİM GİRİŞ"})) - VLOOKUP(C5255, 'STOK RAPORU'!$C$2:$I$1000, 4, 0))), 0)</f>
        <v>0</v>
      </c>
      <c r="U5255" s="22">
        <f t="shared" si="328"/>
        <v>0</v>
      </c>
      <c r="V5255">
        <f t="shared" si="329"/>
        <v>0</v>
      </c>
      <c r="W5255" s="22">
        <f t="shared" si="330"/>
        <v>0</v>
      </c>
    </row>
    <row r="5256" spans="1:23" hidden="1" x14ac:dyDescent="0.25">
      <c r="A5256" s="3">
        <v>46091</v>
      </c>
      <c r="B5256" s="4" t="s">
        <v>334</v>
      </c>
      <c r="C5256" s="4" t="s">
        <v>200</v>
      </c>
      <c r="D5256" s="4"/>
      <c r="E5256" s="4"/>
      <c r="F5256" s="4" t="s">
        <v>2482</v>
      </c>
      <c r="G5256" s="4" t="s">
        <v>1884</v>
      </c>
      <c r="H5256" s="4" t="s">
        <v>289</v>
      </c>
      <c r="I5256" s="4">
        <v>0.49</v>
      </c>
      <c r="J5256" s="21">
        <v>360</v>
      </c>
      <c r="K5256" s="21">
        <v>0</v>
      </c>
      <c r="L5256" s="5">
        <v>0</v>
      </c>
      <c r="M5256" s="4"/>
      <c r="N5256" s="4"/>
      <c r="O5256" s="5"/>
      <c r="P5256" s="5"/>
      <c r="Q5256" s="21">
        <v>176.4</v>
      </c>
      <c r="R5256" s="21">
        <v>0</v>
      </c>
      <c r="S5256" s="5">
        <f t="shared" si="331"/>
        <v>53087.712073026421</v>
      </c>
      <c r="T5256" cm="1">
        <f t="array" ref="T5256">IF(OR(B5256="MAL ALIMI", B5256="ÜRETİM GİRİŞ"), MIN(I5256, MAX(0, I5256 + SUM(SUMIFS($I$1:I5255, $C$1:C5255, C5256, $B$1:B5255, {"MAL ALIMI","ÜRETİM GİRİŞ"})) - VLOOKUP(C5256, 'STOK RAPORU'!$C$2:$I$1000, 4, 0))), 0)</f>
        <v>0</v>
      </c>
      <c r="U5256" s="22">
        <f t="shared" si="328"/>
        <v>0</v>
      </c>
      <c r="V5256">
        <f t="shared" si="329"/>
        <v>0</v>
      </c>
      <c r="W5256" s="22">
        <f t="shared" si="330"/>
        <v>0</v>
      </c>
    </row>
    <row r="5257" spans="1:23" hidden="1" x14ac:dyDescent="0.25">
      <c r="A5257" s="3">
        <v>46091</v>
      </c>
      <c r="B5257" s="4" t="s">
        <v>334</v>
      </c>
      <c r="C5257" s="4" t="s">
        <v>222</v>
      </c>
      <c r="D5257" s="4"/>
      <c r="E5257" s="4"/>
      <c r="F5257" s="4" t="s">
        <v>2482</v>
      </c>
      <c r="G5257" s="4" t="s">
        <v>1945</v>
      </c>
      <c r="H5257" s="4" t="s">
        <v>289</v>
      </c>
      <c r="I5257" s="4">
        <v>1.4</v>
      </c>
      <c r="J5257" s="21">
        <v>450</v>
      </c>
      <c r="K5257" s="21">
        <v>0</v>
      </c>
      <c r="L5257" s="5">
        <v>0</v>
      </c>
      <c r="M5257" s="4"/>
      <c r="N5257" s="4"/>
      <c r="O5257" s="5"/>
      <c r="P5257" s="5"/>
      <c r="Q5257" s="21">
        <v>630</v>
      </c>
      <c r="R5257" s="21">
        <v>0</v>
      </c>
      <c r="S5257" s="5">
        <f t="shared" si="331"/>
        <v>53717.712073026421</v>
      </c>
      <c r="T5257" cm="1">
        <f t="array" ref="T5257">IF(OR(B5257="MAL ALIMI", B5257="ÜRETİM GİRİŞ"), MIN(I5257, MAX(0, I5257 + SUM(SUMIFS($I$1:I5256, $C$1:C5256, C5257, $B$1:B5256, {"MAL ALIMI","ÜRETİM GİRİŞ"})) - VLOOKUP(C5257, 'STOK RAPORU'!$C$2:$I$1000, 4, 0))), 0)</f>
        <v>0</v>
      </c>
      <c r="U5257" s="22">
        <f t="shared" si="328"/>
        <v>0</v>
      </c>
      <c r="V5257">
        <f t="shared" si="329"/>
        <v>0</v>
      </c>
      <c r="W5257" s="22">
        <f t="shared" si="330"/>
        <v>0</v>
      </c>
    </row>
    <row r="5258" spans="1:23" hidden="1" x14ac:dyDescent="0.25">
      <c r="A5258" s="3">
        <v>46091</v>
      </c>
      <c r="B5258" s="4" t="s">
        <v>334</v>
      </c>
      <c r="C5258" s="4" t="s">
        <v>2087</v>
      </c>
      <c r="D5258" s="4"/>
      <c r="E5258" s="4"/>
      <c r="F5258" s="4" t="s">
        <v>2482</v>
      </c>
      <c r="G5258" s="4" t="s">
        <v>1945</v>
      </c>
      <c r="H5258" s="4" t="s">
        <v>289</v>
      </c>
      <c r="I5258" s="4">
        <v>0.32</v>
      </c>
      <c r="J5258" s="21">
        <v>270</v>
      </c>
      <c r="K5258" s="21">
        <v>0</v>
      </c>
      <c r="L5258" s="5">
        <v>0</v>
      </c>
      <c r="M5258" s="4"/>
      <c r="N5258" s="4"/>
      <c r="O5258" s="5"/>
      <c r="P5258" s="5"/>
      <c r="Q5258" s="21">
        <v>86.4</v>
      </c>
      <c r="R5258" s="21">
        <v>0</v>
      </c>
      <c r="S5258" s="5">
        <f t="shared" si="331"/>
        <v>53804.112073026423</v>
      </c>
      <c r="T5258" cm="1">
        <f t="array" ref="T5258">IF(OR(B5258="MAL ALIMI", B5258="ÜRETİM GİRİŞ"), MIN(I5258, MAX(0, I5258 + SUM(SUMIFS($I$1:I5257, $C$1:C5257, C5258, $B$1:B5257, {"MAL ALIMI","ÜRETİM GİRİŞ"})) - VLOOKUP(C5258, 'STOK RAPORU'!$C$2:$I$1000, 4, 0))), 0)</f>
        <v>0</v>
      </c>
      <c r="U5258" s="22">
        <f t="shared" si="328"/>
        <v>0</v>
      </c>
      <c r="V5258">
        <f t="shared" si="329"/>
        <v>0</v>
      </c>
      <c r="W5258" s="22">
        <f t="shared" si="330"/>
        <v>0</v>
      </c>
    </row>
    <row r="5259" spans="1:23" hidden="1" x14ac:dyDescent="0.25">
      <c r="A5259" s="3">
        <v>46091</v>
      </c>
      <c r="B5259" s="4" t="s">
        <v>334</v>
      </c>
      <c r="C5259" s="4" t="s">
        <v>241</v>
      </c>
      <c r="D5259" s="4"/>
      <c r="E5259" s="4"/>
      <c r="F5259" s="4" t="s">
        <v>2482</v>
      </c>
      <c r="G5259" s="4" t="s">
        <v>1945</v>
      </c>
      <c r="H5259" s="4" t="s">
        <v>289</v>
      </c>
      <c r="I5259" s="4">
        <v>0.79</v>
      </c>
      <c r="J5259" s="21">
        <v>290</v>
      </c>
      <c r="K5259" s="21">
        <v>0</v>
      </c>
      <c r="L5259" s="5">
        <v>0</v>
      </c>
      <c r="M5259" s="4"/>
      <c r="N5259" s="4"/>
      <c r="O5259" s="5"/>
      <c r="P5259" s="5"/>
      <c r="Q5259" s="21">
        <v>229.10000000000002</v>
      </c>
      <c r="R5259" s="21">
        <v>0</v>
      </c>
      <c r="S5259" s="5">
        <f t="shared" si="331"/>
        <v>54033.212073026421</v>
      </c>
      <c r="T5259" cm="1">
        <f t="array" ref="T5259">IF(OR(B5259="MAL ALIMI", B5259="ÜRETİM GİRİŞ"), MIN(I5259, MAX(0, I5259 + SUM(SUMIFS($I$1:I5258, $C$1:C5258, C5259, $B$1:B5258, {"MAL ALIMI","ÜRETİM GİRİŞ"})) - VLOOKUP(C5259, 'STOK RAPORU'!$C$2:$I$1000, 4, 0))), 0)</f>
        <v>0</v>
      </c>
      <c r="U5259" s="22">
        <f t="shared" si="328"/>
        <v>0</v>
      </c>
      <c r="V5259">
        <f t="shared" si="329"/>
        <v>0</v>
      </c>
      <c r="W5259" s="22">
        <f t="shared" si="330"/>
        <v>0</v>
      </c>
    </row>
    <row r="5260" spans="1:23" hidden="1" x14ac:dyDescent="0.25">
      <c r="A5260" s="3">
        <v>46091</v>
      </c>
      <c r="B5260" s="4" t="s">
        <v>334</v>
      </c>
      <c r="C5260" s="4" t="s">
        <v>842</v>
      </c>
      <c r="D5260" s="4"/>
      <c r="E5260" s="4"/>
      <c r="F5260" s="4" t="s">
        <v>2482</v>
      </c>
      <c r="G5260" s="4" t="s">
        <v>1884</v>
      </c>
      <c r="H5260" s="4" t="s">
        <v>289</v>
      </c>
      <c r="I5260" s="4">
        <v>1</v>
      </c>
      <c r="J5260" s="21">
        <v>100</v>
      </c>
      <c r="K5260" s="21">
        <v>0</v>
      </c>
      <c r="L5260" s="5">
        <v>0</v>
      </c>
      <c r="M5260" s="4"/>
      <c r="N5260" s="4"/>
      <c r="O5260" s="5"/>
      <c r="P5260" s="5"/>
      <c r="Q5260" s="21">
        <v>100</v>
      </c>
      <c r="R5260" s="21">
        <v>0</v>
      </c>
      <c r="S5260" s="5">
        <f t="shared" si="331"/>
        <v>54133.212073026421</v>
      </c>
      <c r="T5260" cm="1">
        <f t="array" ref="T5260">IF(OR(B5260="MAL ALIMI", B5260="ÜRETİM GİRİŞ"), MIN(I5260, MAX(0, I5260 + SUM(SUMIFS($I$1:I5259, $C$1:C5259, C5260, $B$1:B5259, {"MAL ALIMI","ÜRETİM GİRİŞ"})) - VLOOKUP(C5260, 'STOK RAPORU'!$C$2:$I$1000, 4, 0))), 0)</f>
        <v>0</v>
      </c>
      <c r="U5260" s="22">
        <f t="shared" si="328"/>
        <v>0</v>
      </c>
      <c r="V5260">
        <f t="shared" si="329"/>
        <v>0</v>
      </c>
      <c r="W5260" s="22">
        <f t="shared" si="330"/>
        <v>0</v>
      </c>
    </row>
    <row r="5261" spans="1:23" hidden="1" x14ac:dyDescent="0.25">
      <c r="A5261" s="3">
        <v>46091</v>
      </c>
      <c r="B5261" s="4" t="s">
        <v>334</v>
      </c>
      <c r="C5261" s="4" t="s">
        <v>460</v>
      </c>
      <c r="D5261" s="4"/>
      <c r="E5261" s="4"/>
      <c r="F5261" s="4" t="s">
        <v>2482</v>
      </c>
      <c r="G5261" s="4" t="s">
        <v>1884</v>
      </c>
      <c r="H5261" s="4" t="s">
        <v>289</v>
      </c>
      <c r="I5261" s="4">
        <v>7</v>
      </c>
      <c r="J5261" s="21">
        <v>15</v>
      </c>
      <c r="K5261" s="21">
        <v>0</v>
      </c>
      <c r="L5261" s="5">
        <v>0</v>
      </c>
      <c r="M5261" s="4"/>
      <c r="N5261" s="4"/>
      <c r="O5261" s="5"/>
      <c r="P5261" s="5"/>
      <c r="Q5261" s="21">
        <v>105</v>
      </c>
      <c r="R5261" s="21">
        <v>0</v>
      </c>
      <c r="S5261" s="5">
        <f t="shared" si="331"/>
        <v>54238.212073026421</v>
      </c>
      <c r="T5261" cm="1">
        <f t="array" ref="T5261">IF(OR(B5261="MAL ALIMI", B5261="ÜRETİM GİRİŞ"), MIN(I5261, MAX(0, I5261 + SUM(SUMIFS($I$1:I5260, $C$1:C5260, C5261, $B$1:B5260, {"MAL ALIMI","ÜRETİM GİRİŞ"})) - VLOOKUP(C5261, 'STOK RAPORU'!$C$2:$I$1000, 4, 0))), 0)</f>
        <v>0</v>
      </c>
      <c r="U5261" s="22">
        <f t="shared" si="328"/>
        <v>0</v>
      </c>
      <c r="V5261">
        <f t="shared" si="329"/>
        <v>0</v>
      </c>
      <c r="W5261" s="22">
        <f t="shared" si="330"/>
        <v>0</v>
      </c>
    </row>
    <row r="5262" spans="1:23" hidden="1" x14ac:dyDescent="0.25">
      <c r="A5262" s="3">
        <v>46091</v>
      </c>
      <c r="B5262" s="4" t="s">
        <v>334</v>
      </c>
      <c r="C5262" s="4" t="s">
        <v>647</v>
      </c>
      <c r="D5262" s="4"/>
      <c r="E5262" s="4"/>
      <c r="F5262" s="4" t="s">
        <v>2482</v>
      </c>
      <c r="G5262" s="4" t="s">
        <v>1945</v>
      </c>
      <c r="H5262" s="4" t="s">
        <v>289</v>
      </c>
      <c r="I5262" s="4">
        <v>0.25</v>
      </c>
      <c r="J5262" s="21">
        <v>125</v>
      </c>
      <c r="K5262" s="21">
        <v>0</v>
      </c>
      <c r="L5262" s="5">
        <v>0</v>
      </c>
      <c r="M5262" s="4"/>
      <c r="N5262" s="4"/>
      <c r="O5262" s="5"/>
      <c r="P5262" s="5"/>
      <c r="Q5262" s="21">
        <v>31.25</v>
      </c>
      <c r="R5262" s="21">
        <v>0</v>
      </c>
      <c r="S5262" s="5">
        <f t="shared" si="331"/>
        <v>54269.462073026421</v>
      </c>
      <c r="T5262" cm="1">
        <f t="array" ref="T5262">IF(OR(B5262="MAL ALIMI", B5262="ÜRETİM GİRİŞ"), MIN(I5262, MAX(0, I5262 + SUM(SUMIFS($I$1:I5261, $C$1:C5261, C5262, $B$1:B5261, {"MAL ALIMI","ÜRETİM GİRİŞ"})) - VLOOKUP(C5262, 'STOK RAPORU'!$C$2:$I$1000, 4, 0))), 0)</f>
        <v>0</v>
      </c>
      <c r="U5262" s="22">
        <f t="shared" si="328"/>
        <v>0</v>
      </c>
      <c r="V5262">
        <f t="shared" si="329"/>
        <v>0</v>
      </c>
      <c r="W5262" s="22">
        <f t="shared" si="330"/>
        <v>0</v>
      </c>
    </row>
    <row r="5263" spans="1:23" hidden="1" x14ac:dyDescent="0.25">
      <c r="A5263" s="3">
        <v>46091</v>
      </c>
      <c r="B5263" s="4" t="s">
        <v>334</v>
      </c>
      <c r="C5263" s="4" t="s">
        <v>647</v>
      </c>
      <c r="D5263" s="4"/>
      <c r="E5263" s="4"/>
      <c r="F5263" s="4" t="s">
        <v>2482</v>
      </c>
      <c r="G5263" s="4" t="s">
        <v>1884</v>
      </c>
      <c r="H5263" s="4" t="s">
        <v>289</v>
      </c>
      <c r="I5263" s="4">
        <v>0.5</v>
      </c>
      <c r="J5263" s="21">
        <v>400</v>
      </c>
      <c r="K5263" s="21">
        <v>0</v>
      </c>
      <c r="L5263" s="5">
        <v>0</v>
      </c>
      <c r="M5263" s="4"/>
      <c r="N5263" s="4"/>
      <c r="O5263" s="5"/>
      <c r="P5263" s="5"/>
      <c r="Q5263" s="21">
        <v>200</v>
      </c>
      <c r="R5263" s="21">
        <v>0</v>
      </c>
      <c r="S5263" s="5">
        <f t="shared" si="331"/>
        <v>54469.462073026421</v>
      </c>
      <c r="T5263" cm="1">
        <f t="array" ref="T5263">IF(OR(B5263="MAL ALIMI", B5263="ÜRETİM GİRİŞ"), MIN(I5263, MAX(0, I5263 + SUM(SUMIFS($I$1:I5262, $C$1:C5262, C5263, $B$1:B5262, {"MAL ALIMI","ÜRETİM GİRİŞ"})) - VLOOKUP(C5263, 'STOK RAPORU'!$C$2:$I$1000, 4, 0))), 0)</f>
        <v>0</v>
      </c>
      <c r="U5263" s="22">
        <f t="shared" si="328"/>
        <v>0</v>
      </c>
      <c r="V5263">
        <f t="shared" si="329"/>
        <v>0</v>
      </c>
      <c r="W5263" s="22">
        <f t="shared" si="330"/>
        <v>0</v>
      </c>
    </row>
    <row r="5264" spans="1:23" hidden="1" x14ac:dyDescent="0.25">
      <c r="A5264" s="3">
        <v>46091</v>
      </c>
      <c r="B5264" s="4" t="s">
        <v>334</v>
      </c>
      <c r="C5264" s="4" t="s">
        <v>1399</v>
      </c>
      <c r="D5264" s="4"/>
      <c r="E5264" s="4"/>
      <c r="F5264" s="4" t="s">
        <v>2482</v>
      </c>
      <c r="G5264" s="4" t="s">
        <v>1884</v>
      </c>
      <c r="H5264" s="4" t="s">
        <v>289</v>
      </c>
      <c r="I5264" s="4">
        <v>1</v>
      </c>
      <c r="J5264" s="21">
        <v>170</v>
      </c>
      <c r="K5264" s="21">
        <v>0</v>
      </c>
      <c r="L5264" s="5">
        <v>0</v>
      </c>
      <c r="M5264" s="4"/>
      <c r="N5264" s="4"/>
      <c r="O5264" s="5"/>
      <c r="P5264" s="5"/>
      <c r="Q5264" s="21">
        <v>170</v>
      </c>
      <c r="R5264" s="21">
        <v>0</v>
      </c>
      <c r="S5264" s="5">
        <f t="shared" si="331"/>
        <v>54639.462073026421</v>
      </c>
      <c r="T5264" cm="1">
        <f t="array" ref="T5264">IF(OR(B5264="MAL ALIMI", B5264="ÜRETİM GİRİŞ"), MIN(I5264, MAX(0, I5264 + SUM(SUMIFS($I$1:I5263, $C$1:C5263, C5264, $B$1:B5263, {"MAL ALIMI","ÜRETİM GİRİŞ"})) - VLOOKUP(C5264, 'STOK RAPORU'!$C$2:$I$1000, 4, 0))), 0)</f>
        <v>0</v>
      </c>
      <c r="U5264" s="22">
        <f t="shared" si="328"/>
        <v>0</v>
      </c>
      <c r="V5264">
        <f t="shared" si="329"/>
        <v>0</v>
      </c>
      <c r="W5264" s="22">
        <f t="shared" si="330"/>
        <v>0</v>
      </c>
    </row>
    <row r="5265" spans="1:23" hidden="1" x14ac:dyDescent="0.25">
      <c r="A5265" s="3">
        <v>46091</v>
      </c>
      <c r="B5265" s="4" t="s">
        <v>334</v>
      </c>
      <c r="C5265" s="4" t="s">
        <v>468</v>
      </c>
      <c r="D5265" s="4"/>
      <c r="E5265" s="4"/>
      <c r="F5265" s="4" t="s">
        <v>2482</v>
      </c>
      <c r="G5265" s="4" t="s">
        <v>1945</v>
      </c>
      <c r="H5265" s="4" t="s">
        <v>289</v>
      </c>
      <c r="I5265" s="4">
        <v>3</v>
      </c>
      <c r="J5265" s="21">
        <v>22</v>
      </c>
      <c r="K5265" s="21">
        <v>0</v>
      </c>
      <c r="L5265" s="5">
        <v>0</v>
      </c>
      <c r="M5265" s="4"/>
      <c r="N5265" s="4"/>
      <c r="O5265" s="5"/>
      <c r="P5265" s="5"/>
      <c r="Q5265" s="21">
        <v>66</v>
      </c>
      <c r="R5265" s="21">
        <v>0</v>
      </c>
      <c r="S5265" s="5">
        <f t="shared" si="331"/>
        <v>54705.462073026421</v>
      </c>
      <c r="T5265" cm="1">
        <f t="array" ref="T5265">IF(OR(B5265="MAL ALIMI", B5265="ÜRETİM GİRİŞ"), MIN(I5265, MAX(0, I5265 + SUM(SUMIFS($I$1:I5264, $C$1:C5264, C5265, $B$1:B5264, {"MAL ALIMI","ÜRETİM GİRİŞ"})) - VLOOKUP(C5265, 'STOK RAPORU'!$C$2:$I$1000, 4, 0))), 0)</f>
        <v>0</v>
      </c>
      <c r="U5265" s="22">
        <f t="shared" si="328"/>
        <v>0</v>
      </c>
      <c r="V5265">
        <f t="shared" si="329"/>
        <v>0</v>
      </c>
      <c r="W5265" s="22">
        <f t="shared" si="330"/>
        <v>0</v>
      </c>
    </row>
    <row r="5266" spans="1:23" hidden="1" x14ac:dyDescent="0.25">
      <c r="A5266" s="3">
        <v>46091</v>
      </c>
      <c r="B5266" s="4" t="s">
        <v>334</v>
      </c>
      <c r="C5266" s="4" t="s">
        <v>225</v>
      </c>
      <c r="D5266" s="4"/>
      <c r="E5266" s="4"/>
      <c r="F5266" s="4" t="s">
        <v>2482</v>
      </c>
      <c r="G5266" s="4" t="s">
        <v>1884</v>
      </c>
      <c r="H5266" s="4" t="s">
        <v>289</v>
      </c>
      <c r="I5266" s="4">
        <v>1.1299999999999999</v>
      </c>
      <c r="J5266" s="21">
        <v>500</v>
      </c>
      <c r="K5266" s="21">
        <v>0</v>
      </c>
      <c r="L5266" s="5">
        <v>0</v>
      </c>
      <c r="M5266" s="4"/>
      <c r="N5266" s="4"/>
      <c r="O5266" s="5"/>
      <c r="P5266" s="5"/>
      <c r="Q5266" s="21">
        <v>565</v>
      </c>
      <c r="R5266" s="21">
        <v>0</v>
      </c>
      <c r="S5266" s="5">
        <f t="shared" si="331"/>
        <v>55270.462073026421</v>
      </c>
      <c r="T5266" cm="1">
        <f t="array" ref="T5266">IF(OR(B5266="MAL ALIMI", B5266="ÜRETİM GİRİŞ"), MIN(I5266, MAX(0, I5266 + SUM(SUMIFS($I$1:I5265, $C$1:C5265, C5266, $B$1:B5265, {"MAL ALIMI","ÜRETİM GİRİŞ"})) - VLOOKUP(C5266, 'STOK RAPORU'!$C$2:$I$1000, 4, 0))), 0)</f>
        <v>0</v>
      </c>
      <c r="U5266" s="22">
        <f t="shared" si="328"/>
        <v>0</v>
      </c>
      <c r="V5266">
        <f t="shared" si="329"/>
        <v>0</v>
      </c>
      <c r="W5266" s="22">
        <f t="shared" si="330"/>
        <v>0</v>
      </c>
    </row>
    <row r="5267" spans="1:23" hidden="1" x14ac:dyDescent="0.25">
      <c r="A5267" s="3">
        <v>46091</v>
      </c>
      <c r="B5267" s="4" t="s">
        <v>334</v>
      </c>
      <c r="C5267" s="4" t="s">
        <v>601</v>
      </c>
      <c r="D5267" s="4"/>
      <c r="E5267" s="4"/>
      <c r="F5267" s="4" t="s">
        <v>2482</v>
      </c>
      <c r="G5267" s="4" t="s">
        <v>1884</v>
      </c>
      <c r="H5267" s="4" t="s">
        <v>289</v>
      </c>
      <c r="I5267" s="4">
        <v>0.23</v>
      </c>
      <c r="J5267" s="21">
        <v>370</v>
      </c>
      <c r="K5267" s="21">
        <v>0</v>
      </c>
      <c r="L5267" s="5">
        <v>0</v>
      </c>
      <c r="M5267" s="4"/>
      <c r="N5267" s="4"/>
      <c r="O5267" s="5"/>
      <c r="P5267" s="5"/>
      <c r="Q5267" s="21">
        <v>85.100000000000009</v>
      </c>
      <c r="R5267" s="21">
        <v>0</v>
      </c>
      <c r="S5267" s="5">
        <f t="shared" si="331"/>
        <v>55355.56207302642</v>
      </c>
      <c r="T5267" cm="1">
        <f t="array" ref="T5267">IF(OR(B5267="MAL ALIMI", B5267="ÜRETİM GİRİŞ"), MIN(I5267, MAX(0, I5267 + SUM(SUMIFS($I$1:I5266, $C$1:C5266, C5267, $B$1:B5266, {"MAL ALIMI","ÜRETİM GİRİŞ"})) - VLOOKUP(C5267, 'STOK RAPORU'!$C$2:$I$1000, 4, 0))), 0)</f>
        <v>0</v>
      </c>
      <c r="U5267" s="22">
        <f t="shared" si="328"/>
        <v>0</v>
      </c>
      <c r="V5267">
        <f t="shared" si="329"/>
        <v>0</v>
      </c>
      <c r="W5267" s="22">
        <f t="shared" si="330"/>
        <v>0</v>
      </c>
    </row>
    <row r="5268" spans="1:23" hidden="1" x14ac:dyDescent="0.25">
      <c r="A5268" s="3">
        <v>46091</v>
      </c>
      <c r="B5268" s="4" t="s">
        <v>334</v>
      </c>
      <c r="C5268" s="4" t="s">
        <v>201</v>
      </c>
      <c r="D5268" s="4"/>
      <c r="E5268" s="4"/>
      <c r="F5268" s="4" t="s">
        <v>2482</v>
      </c>
      <c r="G5268" s="4" t="s">
        <v>1884</v>
      </c>
      <c r="H5268" s="4" t="s">
        <v>289</v>
      </c>
      <c r="I5268" s="4">
        <v>1.1100000000000001</v>
      </c>
      <c r="J5268" s="21">
        <v>620</v>
      </c>
      <c r="K5268" s="21">
        <v>0</v>
      </c>
      <c r="L5268" s="5">
        <v>0</v>
      </c>
      <c r="M5268" s="4"/>
      <c r="N5268" s="4"/>
      <c r="O5268" s="5"/>
      <c r="P5268" s="5"/>
      <c r="Q5268" s="21">
        <v>688.2</v>
      </c>
      <c r="R5268" s="21">
        <v>0</v>
      </c>
      <c r="S5268" s="5">
        <f t="shared" si="331"/>
        <v>56043.762073026417</v>
      </c>
      <c r="T5268" cm="1">
        <f t="array" ref="T5268">IF(OR(B5268="MAL ALIMI", B5268="ÜRETİM GİRİŞ"), MIN(I5268, MAX(0, I5268 + SUM(SUMIFS($I$1:I5267, $C$1:C5267, C5268, $B$1:B5267, {"MAL ALIMI","ÜRETİM GİRİŞ"})) - VLOOKUP(C5268, 'STOK RAPORU'!$C$2:$I$1000, 4, 0))), 0)</f>
        <v>0</v>
      </c>
      <c r="U5268" s="22">
        <f t="shared" si="328"/>
        <v>0</v>
      </c>
      <c r="V5268">
        <f t="shared" si="329"/>
        <v>0</v>
      </c>
      <c r="W5268" s="22">
        <f t="shared" si="330"/>
        <v>0</v>
      </c>
    </row>
    <row r="5269" spans="1:23" hidden="1" x14ac:dyDescent="0.25">
      <c r="A5269" s="3">
        <v>46091</v>
      </c>
      <c r="B5269" s="4" t="s">
        <v>334</v>
      </c>
      <c r="C5269" s="4" t="s">
        <v>1359</v>
      </c>
      <c r="D5269" s="4"/>
      <c r="E5269" s="4"/>
      <c r="F5269" s="4" t="s">
        <v>2482</v>
      </c>
      <c r="G5269" s="4" t="s">
        <v>1884</v>
      </c>
      <c r="H5269" s="4" t="s">
        <v>289</v>
      </c>
      <c r="I5269" s="4">
        <v>1.3460000000000001</v>
      </c>
      <c r="J5269" s="21">
        <v>300</v>
      </c>
      <c r="K5269" s="21">
        <v>0</v>
      </c>
      <c r="L5269" s="5">
        <v>0</v>
      </c>
      <c r="M5269" s="4"/>
      <c r="N5269" s="4"/>
      <c r="O5269" s="5"/>
      <c r="P5269" s="5"/>
      <c r="Q5269" s="21">
        <v>403.8</v>
      </c>
      <c r="R5269" s="21">
        <v>0</v>
      </c>
      <c r="S5269" s="5">
        <f t="shared" si="331"/>
        <v>56447.56207302642</v>
      </c>
      <c r="T5269" cm="1">
        <f t="array" ref="T5269">IF(OR(B5269="MAL ALIMI", B5269="ÜRETİM GİRİŞ"), MIN(I5269, MAX(0, I5269 + SUM(SUMIFS($I$1:I5268, $C$1:C5268, C5269, $B$1:B5268, {"MAL ALIMI","ÜRETİM GİRİŞ"})) - VLOOKUP(C5269, 'STOK RAPORU'!$C$2:$I$1000, 4, 0))), 0)</f>
        <v>0</v>
      </c>
      <c r="U5269" s="22">
        <f t="shared" si="328"/>
        <v>0</v>
      </c>
      <c r="V5269">
        <f t="shared" si="329"/>
        <v>0</v>
      </c>
      <c r="W5269" s="22">
        <f t="shared" si="330"/>
        <v>0</v>
      </c>
    </row>
    <row r="5270" spans="1:23" hidden="1" x14ac:dyDescent="0.25">
      <c r="A5270" s="3">
        <v>46091</v>
      </c>
      <c r="B5270" s="4" t="s">
        <v>334</v>
      </c>
      <c r="C5270" s="4" t="s">
        <v>226</v>
      </c>
      <c r="D5270" s="4"/>
      <c r="E5270" s="4"/>
      <c r="F5270" s="4" t="s">
        <v>2482</v>
      </c>
      <c r="G5270" s="4" t="s">
        <v>1884</v>
      </c>
      <c r="H5270" s="4" t="s">
        <v>289</v>
      </c>
      <c r="I5270" s="4">
        <v>5.1560000000000006</v>
      </c>
      <c r="J5270" s="21">
        <v>130</v>
      </c>
      <c r="K5270" s="21">
        <v>0</v>
      </c>
      <c r="L5270" s="5">
        <v>0</v>
      </c>
      <c r="M5270" s="4"/>
      <c r="N5270" s="4"/>
      <c r="O5270" s="5"/>
      <c r="P5270" s="5"/>
      <c r="Q5270" s="21">
        <v>670.28000000000009</v>
      </c>
      <c r="R5270" s="21">
        <v>0</v>
      </c>
      <c r="S5270" s="5">
        <f t="shared" si="331"/>
        <v>57117.842073026419</v>
      </c>
      <c r="T5270" cm="1">
        <f t="array" ref="T5270">IF(OR(B5270="MAL ALIMI", B5270="ÜRETİM GİRİŞ"), MIN(I5270, MAX(0, I5270 + SUM(SUMIFS($I$1:I5269, $C$1:C5269, C5270, $B$1:B5269, {"MAL ALIMI","ÜRETİM GİRİŞ"})) - VLOOKUP(C5270, 'STOK RAPORU'!$C$2:$I$1000, 4, 0))), 0)</f>
        <v>0</v>
      </c>
      <c r="U5270" s="22">
        <f t="shared" si="328"/>
        <v>0</v>
      </c>
      <c r="V5270">
        <f t="shared" si="329"/>
        <v>0</v>
      </c>
      <c r="W5270" s="22">
        <f t="shared" si="330"/>
        <v>0</v>
      </c>
    </row>
    <row r="5271" spans="1:23" hidden="1" x14ac:dyDescent="0.25">
      <c r="A5271" s="3">
        <v>46091</v>
      </c>
      <c r="B5271" s="4" t="s">
        <v>334</v>
      </c>
      <c r="C5271" s="4" t="s">
        <v>692</v>
      </c>
      <c r="D5271" s="4"/>
      <c r="E5271" s="4"/>
      <c r="F5271" s="4" t="s">
        <v>2482</v>
      </c>
      <c r="G5271" s="4" t="s">
        <v>1945</v>
      </c>
      <c r="H5271" s="4" t="s">
        <v>289</v>
      </c>
      <c r="I5271" s="4">
        <v>1.03</v>
      </c>
      <c r="J5271" s="21">
        <v>33</v>
      </c>
      <c r="K5271" s="21">
        <v>0</v>
      </c>
      <c r="L5271" s="5">
        <v>0</v>
      </c>
      <c r="M5271" s="4"/>
      <c r="N5271" s="4"/>
      <c r="O5271" s="5"/>
      <c r="P5271" s="5"/>
      <c r="Q5271" s="21">
        <v>33.99</v>
      </c>
      <c r="R5271" s="21">
        <v>0</v>
      </c>
      <c r="S5271" s="5">
        <f t="shared" si="331"/>
        <v>57151.832073026417</v>
      </c>
      <c r="T5271" cm="1">
        <f t="array" ref="T5271">IF(OR(B5271="MAL ALIMI", B5271="ÜRETİM GİRİŞ"), MIN(I5271, MAX(0, I5271 + SUM(SUMIFS($I$1:I5270, $C$1:C5270, C5271, $B$1:B5270, {"MAL ALIMI","ÜRETİM GİRİŞ"})) - VLOOKUP(C5271, 'STOK RAPORU'!$C$2:$I$1000, 4, 0))), 0)</f>
        <v>0</v>
      </c>
      <c r="U5271" s="22">
        <f t="shared" si="328"/>
        <v>0</v>
      </c>
      <c r="V5271">
        <f t="shared" si="329"/>
        <v>0</v>
      </c>
      <c r="W5271" s="22">
        <f t="shared" si="330"/>
        <v>0</v>
      </c>
    </row>
    <row r="5272" spans="1:23" hidden="1" x14ac:dyDescent="0.25">
      <c r="A5272" s="3">
        <v>46091</v>
      </c>
      <c r="B5272" s="4" t="s">
        <v>334</v>
      </c>
      <c r="C5272" s="4" t="s">
        <v>728</v>
      </c>
      <c r="D5272" s="4"/>
      <c r="E5272" s="4"/>
      <c r="F5272" s="4" t="s">
        <v>2482</v>
      </c>
      <c r="G5272" s="4" t="s">
        <v>1945</v>
      </c>
      <c r="H5272" s="4" t="s">
        <v>289</v>
      </c>
      <c r="I5272" s="4">
        <v>3.01</v>
      </c>
      <c r="J5272" s="21">
        <v>500</v>
      </c>
      <c r="K5272" s="21">
        <v>0</v>
      </c>
      <c r="L5272" s="5">
        <v>0</v>
      </c>
      <c r="M5272" s="4"/>
      <c r="N5272" s="4"/>
      <c r="O5272" s="5"/>
      <c r="P5272" s="5"/>
      <c r="Q5272" s="21">
        <v>1505</v>
      </c>
      <c r="R5272" s="21">
        <v>0</v>
      </c>
      <c r="S5272" s="5">
        <f t="shared" si="331"/>
        <v>58656.832073026417</v>
      </c>
      <c r="T5272" cm="1">
        <f t="array" ref="T5272">IF(OR(B5272="MAL ALIMI", B5272="ÜRETİM GİRİŞ"), MIN(I5272, MAX(0, I5272 + SUM(SUMIFS($I$1:I5271, $C$1:C5271, C5272, $B$1:B5271, {"MAL ALIMI","ÜRETİM GİRİŞ"})) - VLOOKUP(C5272, 'STOK RAPORU'!$C$2:$I$1000, 4, 0))), 0)</f>
        <v>0</v>
      </c>
      <c r="U5272" s="22">
        <f t="shared" si="328"/>
        <v>0</v>
      </c>
      <c r="V5272">
        <f t="shared" si="329"/>
        <v>0</v>
      </c>
      <c r="W5272" s="22">
        <f t="shared" si="330"/>
        <v>0</v>
      </c>
    </row>
    <row r="5273" spans="1:23" hidden="1" x14ac:dyDescent="0.25">
      <c r="A5273" s="3">
        <v>46091</v>
      </c>
      <c r="B5273" s="4" t="s">
        <v>334</v>
      </c>
      <c r="C5273" s="4" t="s">
        <v>223</v>
      </c>
      <c r="D5273" s="4"/>
      <c r="E5273" s="4"/>
      <c r="F5273" s="4" t="s">
        <v>2482</v>
      </c>
      <c r="G5273" s="4" t="s">
        <v>1945</v>
      </c>
      <c r="H5273" s="4" t="s">
        <v>289</v>
      </c>
      <c r="I5273" s="4">
        <v>3.11</v>
      </c>
      <c r="J5273" s="21">
        <v>550</v>
      </c>
      <c r="K5273" s="21">
        <v>0</v>
      </c>
      <c r="L5273" s="5">
        <v>0</v>
      </c>
      <c r="M5273" s="4"/>
      <c r="N5273" s="4"/>
      <c r="O5273" s="5"/>
      <c r="P5273" s="5"/>
      <c r="Q5273" s="21">
        <v>1710.5</v>
      </c>
      <c r="R5273" s="21">
        <v>0</v>
      </c>
      <c r="S5273" s="5">
        <f t="shared" si="331"/>
        <v>60367.332073026417</v>
      </c>
      <c r="T5273" cm="1">
        <f t="array" ref="T5273">IF(OR(B5273="MAL ALIMI", B5273="ÜRETİM GİRİŞ"), MIN(I5273, MAX(0, I5273 + SUM(SUMIFS($I$1:I5272, $C$1:C5272, C5273, $B$1:B5272, {"MAL ALIMI","ÜRETİM GİRİŞ"})) - VLOOKUP(C5273, 'STOK RAPORU'!$C$2:$I$1000, 4, 0))), 0)</f>
        <v>0</v>
      </c>
      <c r="U5273" s="22">
        <f t="shared" si="328"/>
        <v>0</v>
      </c>
      <c r="V5273">
        <f t="shared" si="329"/>
        <v>0</v>
      </c>
      <c r="W5273" s="22">
        <f t="shared" si="330"/>
        <v>0</v>
      </c>
    </row>
    <row r="5274" spans="1:23" hidden="1" x14ac:dyDescent="0.25">
      <c r="A5274" s="3">
        <v>46091</v>
      </c>
      <c r="B5274" s="4" t="s">
        <v>334</v>
      </c>
      <c r="C5274" s="4" t="s">
        <v>266</v>
      </c>
      <c r="D5274" s="4"/>
      <c r="E5274" s="4"/>
      <c r="F5274" s="4" t="s">
        <v>2482</v>
      </c>
      <c r="G5274" s="4" t="s">
        <v>1945</v>
      </c>
      <c r="H5274" s="4" t="s">
        <v>289</v>
      </c>
      <c r="I5274" s="4">
        <v>1.21</v>
      </c>
      <c r="J5274" s="21">
        <v>180</v>
      </c>
      <c r="K5274" s="21">
        <v>0</v>
      </c>
      <c r="L5274" s="5">
        <v>0</v>
      </c>
      <c r="M5274" s="4"/>
      <c r="N5274" s="4"/>
      <c r="O5274" s="5"/>
      <c r="P5274" s="5"/>
      <c r="Q5274" s="21">
        <v>217.79999999999998</v>
      </c>
      <c r="R5274" s="21">
        <v>0</v>
      </c>
      <c r="S5274" s="5">
        <f t="shared" si="331"/>
        <v>60585.13207302642</v>
      </c>
      <c r="T5274" cm="1">
        <f t="array" ref="T5274">IF(OR(B5274="MAL ALIMI", B5274="ÜRETİM GİRİŞ"), MIN(I5274, MAX(0, I5274 + SUM(SUMIFS($I$1:I5273, $C$1:C5273, C5274, $B$1:B5273, {"MAL ALIMI","ÜRETİM GİRİŞ"})) - VLOOKUP(C5274, 'STOK RAPORU'!$C$2:$I$1000, 4, 0))), 0)</f>
        <v>0</v>
      </c>
      <c r="U5274" s="22">
        <f t="shared" si="328"/>
        <v>0</v>
      </c>
      <c r="V5274">
        <f t="shared" si="329"/>
        <v>0</v>
      </c>
      <c r="W5274" s="22">
        <f t="shared" si="330"/>
        <v>0</v>
      </c>
    </row>
    <row r="5275" spans="1:23" hidden="1" x14ac:dyDescent="0.25">
      <c r="A5275" s="3">
        <v>46091</v>
      </c>
      <c r="B5275" s="4" t="s">
        <v>334</v>
      </c>
      <c r="C5275" s="4" t="s">
        <v>246</v>
      </c>
      <c r="D5275" s="4"/>
      <c r="E5275" s="4"/>
      <c r="F5275" s="4" t="s">
        <v>2482</v>
      </c>
      <c r="G5275" s="4" t="s">
        <v>1945</v>
      </c>
      <c r="H5275" s="4" t="s">
        <v>289</v>
      </c>
      <c r="I5275" s="4">
        <v>0.19</v>
      </c>
      <c r="J5275" s="21">
        <v>1155</v>
      </c>
      <c r="K5275" s="21">
        <v>0</v>
      </c>
      <c r="L5275" s="5">
        <v>0</v>
      </c>
      <c r="M5275" s="4"/>
      <c r="N5275" s="4"/>
      <c r="O5275" s="5"/>
      <c r="P5275" s="5"/>
      <c r="Q5275" s="21">
        <v>219.45</v>
      </c>
      <c r="R5275" s="21">
        <v>0</v>
      </c>
      <c r="S5275" s="5">
        <f t="shared" si="331"/>
        <v>60804.582073026417</v>
      </c>
      <c r="T5275" cm="1">
        <f t="array" ref="T5275">IF(OR(B5275="MAL ALIMI", B5275="ÜRETİM GİRİŞ"), MIN(I5275, MAX(0, I5275 + SUM(SUMIFS($I$1:I5274, $C$1:C5274, C5275, $B$1:B5274, {"MAL ALIMI","ÜRETİM GİRİŞ"})) - VLOOKUP(C5275, 'STOK RAPORU'!$C$2:$I$1000, 4, 0))), 0)</f>
        <v>0</v>
      </c>
      <c r="U5275" s="22">
        <f t="shared" si="328"/>
        <v>0</v>
      </c>
      <c r="V5275">
        <f t="shared" si="329"/>
        <v>0</v>
      </c>
      <c r="W5275" s="22">
        <f t="shared" si="330"/>
        <v>0</v>
      </c>
    </row>
    <row r="5276" spans="1:23" hidden="1" x14ac:dyDescent="0.25">
      <c r="A5276" s="3">
        <v>46091</v>
      </c>
      <c r="B5276" s="4" t="s">
        <v>334</v>
      </c>
      <c r="C5276" s="4" t="s">
        <v>245</v>
      </c>
      <c r="D5276" s="4"/>
      <c r="E5276" s="4"/>
      <c r="F5276" s="4" t="s">
        <v>2482</v>
      </c>
      <c r="G5276" s="4" t="s">
        <v>1945</v>
      </c>
      <c r="H5276" s="4" t="s">
        <v>289</v>
      </c>
      <c r="I5276" s="4">
        <v>0.76</v>
      </c>
      <c r="J5276" s="21">
        <v>475</v>
      </c>
      <c r="K5276" s="21">
        <v>0</v>
      </c>
      <c r="L5276" s="5">
        <v>0</v>
      </c>
      <c r="M5276" s="4"/>
      <c r="N5276" s="4"/>
      <c r="O5276" s="5"/>
      <c r="P5276" s="5"/>
      <c r="Q5276" s="21">
        <v>361</v>
      </c>
      <c r="R5276" s="21">
        <v>0</v>
      </c>
      <c r="S5276" s="5">
        <f t="shared" si="331"/>
        <v>61165.582073026417</v>
      </c>
      <c r="T5276" cm="1">
        <f t="array" ref="T5276">IF(OR(B5276="MAL ALIMI", B5276="ÜRETİM GİRİŞ"), MIN(I5276, MAX(0, I5276 + SUM(SUMIFS($I$1:I5275, $C$1:C5275, C5276, $B$1:B5275, {"MAL ALIMI","ÜRETİM GİRİŞ"})) - VLOOKUP(C5276, 'STOK RAPORU'!$C$2:$I$1000, 4, 0))), 0)</f>
        <v>0</v>
      </c>
      <c r="U5276" s="22">
        <f t="shared" si="328"/>
        <v>0</v>
      </c>
      <c r="V5276">
        <f t="shared" si="329"/>
        <v>0</v>
      </c>
      <c r="W5276" s="22">
        <f t="shared" si="330"/>
        <v>0</v>
      </c>
    </row>
    <row r="5277" spans="1:23" hidden="1" x14ac:dyDescent="0.25">
      <c r="A5277" s="3">
        <v>46091</v>
      </c>
      <c r="B5277" s="4" t="s">
        <v>334</v>
      </c>
      <c r="C5277" s="4" t="s">
        <v>244</v>
      </c>
      <c r="D5277" s="4"/>
      <c r="E5277" s="4"/>
      <c r="F5277" s="4" t="s">
        <v>2482</v>
      </c>
      <c r="G5277" s="4" t="s">
        <v>1945</v>
      </c>
      <c r="H5277" s="4" t="s">
        <v>289</v>
      </c>
      <c r="I5277" s="4">
        <v>0.53</v>
      </c>
      <c r="J5277" s="21">
        <v>520</v>
      </c>
      <c r="K5277" s="21">
        <v>0</v>
      </c>
      <c r="L5277" s="5">
        <v>0</v>
      </c>
      <c r="M5277" s="4"/>
      <c r="N5277" s="4"/>
      <c r="O5277" s="5"/>
      <c r="P5277" s="5"/>
      <c r="Q5277" s="21">
        <v>275.60000000000002</v>
      </c>
      <c r="R5277" s="21">
        <v>0</v>
      </c>
      <c r="S5277" s="5">
        <f t="shared" si="331"/>
        <v>61441.182073026415</v>
      </c>
      <c r="T5277" cm="1">
        <f t="array" ref="T5277">IF(OR(B5277="MAL ALIMI", B5277="ÜRETİM GİRİŞ"), MIN(I5277, MAX(0, I5277 + SUM(SUMIFS($I$1:I5276, $C$1:C5276, C5277, $B$1:B5276, {"MAL ALIMI","ÜRETİM GİRİŞ"})) - VLOOKUP(C5277, 'STOK RAPORU'!$C$2:$I$1000, 4, 0))), 0)</f>
        <v>0</v>
      </c>
      <c r="U5277" s="22">
        <f t="shared" si="328"/>
        <v>0</v>
      </c>
      <c r="V5277">
        <f t="shared" si="329"/>
        <v>0</v>
      </c>
      <c r="W5277" s="22">
        <f t="shared" si="330"/>
        <v>0</v>
      </c>
    </row>
    <row r="5278" spans="1:23" hidden="1" x14ac:dyDescent="0.25">
      <c r="A5278" s="3">
        <v>46091</v>
      </c>
      <c r="B5278" s="4" t="s">
        <v>334</v>
      </c>
      <c r="C5278" s="4" t="s">
        <v>185</v>
      </c>
      <c r="D5278" s="4"/>
      <c r="E5278" s="4"/>
      <c r="F5278" s="4" t="s">
        <v>2482</v>
      </c>
      <c r="G5278" s="4" t="s">
        <v>1945</v>
      </c>
      <c r="H5278" s="4" t="s">
        <v>289</v>
      </c>
      <c r="I5278" s="4">
        <v>4</v>
      </c>
      <c r="J5278" s="21">
        <v>146.25</v>
      </c>
      <c r="K5278" s="21">
        <v>0</v>
      </c>
      <c r="L5278" s="5">
        <v>0</v>
      </c>
      <c r="M5278" s="4"/>
      <c r="N5278" s="4"/>
      <c r="O5278" s="5"/>
      <c r="P5278" s="5"/>
      <c r="Q5278" s="21">
        <v>585</v>
      </c>
      <c r="R5278" s="21">
        <v>0</v>
      </c>
      <c r="S5278" s="5">
        <f t="shared" si="331"/>
        <v>62026.182073026415</v>
      </c>
      <c r="T5278" cm="1">
        <f t="array" ref="T5278">IF(OR(B5278="MAL ALIMI", B5278="ÜRETİM GİRİŞ"), MIN(I5278, MAX(0, I5278 + SUM(SUMIFS($I$1:I5277, $C$1:C5277, C5278, $B$1:B5277, {"MAL ALIMI","ÜRETİM GİRİŞ"})) - VLOOKUP(C5278, 'STOK RAPORU'!$C$2:$I$1000, 4, 0))), 0)</f>
        <v>0</v>
      </c>
      <c r="U5278" s="22">
        <f t="shared" si="328"/>
        <v>0</v>
      </c>
      <c r="V5278">
        <f t="shared" si="329"/>
        <v>0</v>
      </c>
      <c r="W5278" s="22">
        <f t="shared" si="330"/>
        <v>0</v>
      </c>
    </row>
    <row r="5279" spans="1:23" hidden="1" x14ac:dyDescent="0.25">
      <c r="A5279" s="3">
        <v>46091</v>
      </c>
      <c r="B5279" s="4" t="s">
        <v>334</v>
      </c>
      <c r="C5279" s="4" t="s">
        <v>236</v>
      </c>
      <c r="D5279" s="4"/>
      <c r="E5279" s="4"/>
      <c r="F5279" s="4" t="s">
        <v>2482</v>
      </c>
      <c r="G5279" s="4" t="s">
        <v>1945</v>
      </c>
      <c r="H5279" s="4" t="s">
        <v>289</v>
      </c>
      <c r="I5279" s="4">
        <v>0.39</v>
      </c>
      <c r="J5279" s="21">
        <v>140</v>
      </c>
      <c r="K5279" s="21">
        <v>0</v>
      </c>
      <c r="L5279" s="5">
        <v>0</v>
      </c>
      <c r="M5279" s="4"/>
      <c r="N5279" s="4"/>
      <c r="O5279" s="5"/>
      <c r="P5279" s="5"/>
      <c r="Q5279" s="21">
        <v>54.6</v>
      </c>
      <c r="R5279" s="21">
        <v>0</v>
      </c>
      <c r="S5279" s="5">
        <f t="shared" si="331"/>
        <v>62080.782073026414</v>
      </c>
      <c r="T5279" cm="1">
        <f t="array" ref="T5279">IF(OR(B5279="MAL ALIMI", B5279="ÜRETİM GİRİŞ"), MIN(I5279, MAX(0, I5279 + SUM(SUMIFS($I$1:I5278, $C$1:C5278, C5279, $B$1:B5278, {"MAL ALIMI","ÜRETİM GİRİŞ"})) - VLOOKUP(C5279, 'STOK RAPORU'!$C$2:$I$1000, 4, 0))), 0)</f>
        <v>0</v>
      </c>
      <c r="U5279" s="22">
        <f t="shared" si="328"/>
        <v>0</v>
      </c>
      <c r="V5279">
        <f t="shared" si="329"/>
        <v>0</v>
      </c>
      <c r="W5279" s="22">
        <f t="shared" si="330"/>
        <v>0</v>
      </c>
    </row>
    <row r="5280" spans="1:23" hidden="1" x14ac:dyDescent="0.25">
      <c r="A5280" s="3">
        <v>46091</v>
      </c>
      <c r="B5280" s="4" t="s">
        <v>334</v>
      </c>
      <c r="C5280" s="4" t="s">
        <v>253</v>
      </c>
      <c r="D5280" s="4"/>
      <c r="E5280" s="4"/>
      <c r="F5280" s="4" t="s">
        <v>2482</v>
      </c>
      <c r="G5280" s="4" t="s">
        <v>1945</v>
      </c>
      <c r="H5280" s="4" t="s">
        <v>289</v>
      </c>
      <c r="I5280" s="4">
        <v>1.46</v>
      </c>
      <c r="J5280" s="21">
        <v>170</v>
      </c>
      <c r="K5280" s="21">
        <v>0</v>
      </c>
      <c r="L5280" s="5">
        <v>0</v>
      </c>
      <c r="M5280" s="4"/>
      <c r="N5280" s="4"/>
      <c r="O5280" s="5"/>
      <c r="P5280" s="5"/>
      <c r="Q5280" s="21">
        <v>248.2</v>
      </c>
      <c r="R5280" s="21">
        <v>0</v>
      </c>
      <c r="S5280" s="5">
        <f t="shared" si="331"/>
        <v>62328.982073026411</v>
      </c>
      <c r="T5280" cm="1">
        <f t="array" ref="T5280">IF(OR(B5280="MAL ALIMI", B5280="ÜRETİM GİRİŞ"), MIN(I5280, MAX(0, I5280 + SUM(SUMIFS($I$1:I5279, $C$1:C5279, C5280, $B$1:B5279, {"MAL ALIMI","ÜRETİM GİRİŞ"})) - VLOOKUP(C5280, 'STOK RAPORU'!$C$2:$I$1000, 4, 0))), 0)</f>
        <v>0</v>
      </c>
      <c r="U5280" s="22">
        <f t="shared" si="328"/>
        <v>0</v>
      </c>
      <c r="V5280">
        <f t="shared" si="329"/>
        <v>0</v>
      </c>
      <c r="W5280" s="22">
        <f t="shared" si="330"/>
        <v>0</v>
      </c>
    </row>
    <row r="5281" spans="1:23" hidden="1" x14ac:dyDescent="0.25">
      <c r="A5281" s="3">
        <v>46091</v>
      </c>
      <c r="B5281" s="4" t="s">
        <v>334</v>
      </c>
      <c r="C5281" s="4" t="s">
        <v>648</v>
      </c>
      <c r="D5281" s="4"/>
      <c r="E5281" s="4"/>
      <c r="F5281" s="4" t="s">
        <v>2482</v>
      </c>
      <c r="G5281" s="4" t="s">
        <v>1945</v>
      </c>
      <c r="H5281" s="4" t="s">
        <v>289</v>
      </c>
      <c r="I5281" s="4">
        <v>0.63</v>
      </c>
      <c r="J5281" s="21">
        <v>450</v>
      </c>
      <c r="K5281" s="21">
        <v>0</v>
      </c>
      <c r="L5281" s="5">
        <v>0</v>
      </c>
      <c r="M5281" s="4"/>
      <c r="N5281" s="4"/>
      <c r="O5281" s="5"/>
      <c r="P5281" s="5"/>
      <c r="Q5281" s="21">
        <v>283.5</v>
      </c>
      <c r="R5281" s="21">
        <v>0</v>
      </c>
      <c r="S5281" s="5">
        <f t="shared" si="331"/>
        <v>62612.482073026411</v>
      </c>
      <c r="T5281" cm="1">
        <f t="array" ref="T5281">IF(OR(B5281="MAL ALIMI", B5281="ÜRETİM GİRİŞ"), MIN(I5281, MAX(0, I5281 + SUM(SUMIFS($I$1:I5280, $C$1:C5280, C5281, $B$1:B5280, {"MAL ALIMI","ÜRETİM GİRİŞ"})) - VLOOKUP(C5281, 'STOK RAPORU'!$C$2:$I$1000, 4, 0))), 0)</f>
        <v>0</v>
      </c>
      <c r="U5281" s="22">
        <f t="shared" si="328"/>
        <v>0</v>
      </c>
      <c r="V5281">
        <f t="shared" si="329"/>
        <v>0</v>
      </c>
      <c r="W5281" s="22">
        <f t="shared" si="330"/>
        <v>0</v>
      </c>
    </row>
    <row r="5282" spans="1:23" hidden="1" x14ac:dyDescent="0.25">
      <c r="A5282" s="3">
        <v>46091</v>
      </c>
      <c r="B5282" s="4" t="s">
        <v>334</v>
      </c>
      <c r="C5282" s="4" t="s">
        <v>247</v>
      </c>
      <c r="D5282" s="4"/>
      <c r="E5282" s="4"/>
      <c r="F5282" s="4" t="s">
        <v>2482</v>
      </c>
      <c r="G5282" s="4" t="s">
        <v>1945</v>
      </c>
      <c r="H5282" s="4" t="s">
        <v>289</v>
      </c>
      <c r="I5282" s="4">
        <v>0.59</v>
      </c>
      <c r="J5282" s="21">
        <v>1000</v>
      </c>
      <c r="K5282" s="21">
        <v>0</v>
      </c>
      <c r="L5282" s="5">
        <v>0</v>
      </c>
      <c r="M5282" s="4"/>
      <c r="N5282" s="4"/>
      <c r="O5282" s="5"/>
      <c r="P5282" s="5"/>
      <c r="Q5282" s="21">
        <v>590</v>
      </c>
      <c r="R5282" s="21">
        <v>0</v>
      </c>
      <c r="S5282" s="5">
        <f t="shared" si="331"/>
        <v>63202.482073026411</v>
      </c>
      <c r="T5282" cm="1">
        <f t="array" ref="T5282">IF(OR(B5282="MAL ALIMI", B5282="ÜRETİM GİRİŞ"), MIN(I5282, MAX(0, I5282 + SUM(SUMIFS($I$1:I5281, $C$1:C5281, C5282, $B$1:B5281, {"MAL ALIMI","ÜRETİM GİRİŞ"})) - VLOOKUP(C5282, 'STOK RAPORU'!$C$2:$I$1000, 4, 0))), 0)</f>
        <v>0</v>
      </c>
      <c r="U5282" s="22">
        <f t="shared" si="328"/>
        <v>0</v>
      </c>
      <c r="V5282">
        <f t="shared" si="329"/>
        <v>0</v>
      </c>
      <c r="W5282" s="22">
        <f t="shared" si="330"/>
        <v>0</v>
      </c>
    </row>
    <row r="5283" spans="1:23" hidden="1" x14ac:dyDescent="0.25">
      <c r="A5283" s="3">
        <v>46091</v>
      </c>
      <c r="B5283" s="4" t="s">
        <v>334</v>
      </c>
      <c r="C5283" s="4" t="s">
        <v>248</v>
      </c>
      <c r="D5283" s="4"/>
      <c r="E5283" s="4"/>
      <c r="F5283" s="4" t="s">
        <v>2482</v>
      </c>
      <c r="G5283" s="4" t="s">
        <v>1945</v>
      </c>
      <c r="H5283" s="4" t="s">
        <v>289</v>
      </c>
      <c r="I5283" s="4">
        <v>0.23</v>
      </c>
      <c r="J5283" s="21">
        <v>900</v>
      </c>
      <c r="K5283" s="21">
        <v>0</v>
      </c>
      <c r="L5283" s="5">
        <v>0</v>
      </c>
      <c r="M5283" s="4"/>
      <c r="N5283" s="4"/>
      <c r="O5283" s="5"/>
      <c r="P5283" s="5"/>
      <c r="Q5283" s="21">
        <v>207</v>
      </c>
      <c r="R5283" s="21">
        <v>0</v>
      </c>
      <c r="S5283" s="5">
        <f t="shared" si="331"/>
        <v>63409.482073026411</v>
      </c>
      <c r="T5283" cm="1">
        <f t="array" ref="T5283">IF(OR(B5283="MAL ALIMI", B5283="ÜRETİM GİRİŞ"), MIN(I5283, MAX(0, I5283 + SUM(SUMIFS($I$1:I5282, $C$1:C5282, C5283, $B$1:B5282, {"MAL ALIMI","ÜRETİM GİRİŞ"})) - VLOOKUP(C5283, 'STOK RAPORU'!$C$2:$I$1000, 4, 0))), 0)</f>
        <v>0</v>
      </c>
      <c r="U5283" s="22">
        <f t="shared" si="328"/>
        <v>0</v>
      </c>
      <c r="V5283">
        <f t="shared" si="329"/>
        <v>0</v>
      </c>
      <c r="W5283" s="22">
        <f t="shared" si="330"/>
        <v>0</v>
      </c>
    </row>
    <row r="5284" spans="1:23" hidden="1" x14ac:dyDescent="0.25">
      <c r="A5284" s="3">
        <v>46091</v>
      </c>
      <c r="B5284" s="4" t="s">
        <v>334</v>
      </c>
      <c r="C5284" s="4" t="s">
        <v>693</v>
      </c>
      <c r="D5284" s="4"/>
      <c r="E5284" s="4"/>
      <c r="F5284" s="4" t="s">
        <v>2482</v>
      </c>
      <c r="G5284" s="4" t="s">
        <v>1945</v>
      </c>
      <c r="H5284" s="4" t="s">
        <v>289</v>
      </c>
      <c r="I5284" s="4">
        <v>0.03</v>
      </c>
      <c r="J5284" s="21">
        <v>145</v>
      </c>
      <c r="K5284" s="21">
        <v>0</v>
      </c>
      <c r="L5284" s="5">
        <v>0</v>
      </c>
      <c r="M5284" s="4"/>
      <c r="N5284" s="4"/>
      <c r="O5284" s="5"/>
      <c r="P5284" s="5"/>
      <c r="Q5284" s="21">
        <v>4.3499999999999996</v>
      </c>
      <c r="R5284" s="21">
        <v>0</v>
      </c>
      <c r="S5284" s="5">
        <f t="shared" si="331"/>
        <v>63413.832073026409</v>
      </c>
      <c r="T5284" cm="1">
        <f t="array" ref="T5284">IF(OR(B5284="MAL ALIMI", B5284="ÜRETİM GİRİŞ"), MIN(I5284, MAX(0, I5284 + SUM(SUMIFS($I$1:I5283, $C$1:C5283, C5284, $B$1:B5283, {"MAL ALIMI","ÜRETİM GİRİŞ"})) - VLOOKUP(C5284, 'STOK RAPORU'!$C$2:$I$1000, 4, 0))), 0)</f>
        <v>0</v>
      </c>
      <c r="U5284" s="22">
        <f t="shared" si="328"/>
        <v>0</v>
      </c>
      <c r="V5284">
        <f t="shared" si="329"/>
        <v>0</v>
      </c>
      <c r="W5284" s="22">
        <f t="shared" si="330"/>
        <v>0</v>
      </c>
    </row>
    <row r="5285" spans="1:23" hidden="1" x14ac:dyDescent="0.25">
      <c r="A5285" s="3">
        <v>46091</v>
      </c>
      <c r="B5285" s="4" t="s">
        <v>334</v>
      </c>
      <c r="C5285" s="4" t="s">
        <v>694</v>
      </c>
      <c r="D5285" s="4"/>
      <c r="E5285" s="4"/>
      <c r="F5285" s="4" t="s">
        <v>2482</v>
      </c>
      <c r="G5285" s="4" t="s">
        <v>1884</v>
      </c>
      <c r="H5285" s="4" t="s">
        <v>289</v>
      </c>
      <c r="I5285" s="4">
        <v>0.61</v>
      </c>
      <c r="J5285" s="21">
        <v>195</v>
      </c>
      <c r="K5285" s="21">
        <v>0</v>
      </c>
      <c r="L5285" s="5">
        <v>0</v>
      </c>
      <c r="M5285" s="4"/>
      <c r="N5285" s="4"/>
      <c r="O5285" s="5"/>
      <c r="P5285" s="5"/>
      <c r="Q5285" s="21">
        <v>118.95</v>
      </c>
      <c r="R5285" s="21">
        <v>0</v>
      </c>
      <c r="S5285" s="5">
        <f t="shared" si="331"/>
        <v>63532.782073026407</v>
      </c>
      <c r="T5285" cm="1">
        <f t="array" ref="T5285">IF(OR(B5285="MAL ALIMI", B5285="ÜRETİM GİRİŞ"), MIN(I5285, MAX(0, I5285 + SUM(SUMIFS($I$1:I5284, $C$1:C5284, C5285, $B$1:B5284, {"MAL ALIMI","ÜRETİM GİRİŞ"})) - VLOOKUP(C5285, 'STOK RAPORU'!$C$2:$I$1000, 4, 0))), 0)</f>
        <v>0</v>
      </c>
      <c r="U5285" s="22">
        <f t="shared" si="328"/>
        <v>0</v>
      </c>
      <c r="V5285">
        <f t="shared" si="329"/>
        <v>0</v>
      </c>
      <c r="W5285" s="22">
        <f t="shared" si="330"/>
        <v>0</v>
      </c>
    </row>
    <row r="5286" spans="1:23" hidden="1" x14ac:dyDescent="0.25">
      <c r="A5286" s="3">
        <v>46091</v>
      </c>
      <c r="B5286" s="4" t="s">
        <v>334</v>
      </c>
      <c r="C5286" s="4" t="s">
        <v>691</v>
      </c>
      <c r="D5286" s="4"/>
      <c r="E5286" s="4"/>
      <c r="F5286" s="4" t="s">
        <v>2482</v>
      </c>
      <c r="G5286" s="4" t="s">
        <v>1945</v>
      </c>
      <c r="H5286" s="4" t="s">
        <v>289</v>
      </c>
      <c r="I5286" s="4">
        <v>0.65</v>
      </c>
      <c r="J5286" s="21">
        <v>120</v>
      </c>
      <c r="K5286" s="21">
        <v>0</v>
      </c>
      <c r="L5286" s="5">
        <v>0</v>
      </c>
      <c r="M5286" s="4"/>
      <c r="N5286" s="4"/>
      <c r="O5286" s="5"/>
      <c r="P5286" s="5"/>
      <c r="Q5286" s="21">
        <v>78</v>
      </c>
      <c r="R5286" s="21">
        <v>0</v>
      </c>
      <c r="S5286" s="5">
        <f t="shared" si="331"/>
        <v>63610.782073026407</v>
      </c>
      <c r="T5286" cm="1">
        <f t="array" ref="T5286">IF(OR(B5286="MAL ALIMI", B5286="ÜRETİM GİRİŞ"), MIN(I5286, MAX(0, I5286 + SUM(SUMIFS($I$1:I5285, $C$1:C5285, C5286, $B$1:B5285, {"MAL ALIMI","ÜRETİM GİRİŞ"})) - VLOOKUP(C5286, 'STOK RAPORU'!$C$2:$I$1000, 4, 0))), 0)</f>
        <v>0</v>
      </c>
      <c r="U5286" s="22">
        <f t="shared" si="328"/>
        <v>0</v>
      </c>
      <c r="V5286">
        <f t="shared" si="329"/>
        <v>0</v>
      </c>
      <c r="W5286" s="22">
        <f t="shared" si="330"/>
        <v>0</v>
      </c>
    </row>
    <row r="5287" spans="1:23" hidden="1" x14ac:dyDescent="0.25">
      <c r="A5287" s="3">
        <v>46091</v>
      </c>
      <c r="B5287" s="4" t="s">
        <v>334</v>
      </c>
      <c r="C5287" s="4" t="s">
        <v>254</v>
      </c>
      <c r="D5287" s="4"/>
      <c r="E5287" s="4"/>
      <c r="F5287" s="4" t="s">
        <v>2482</v>
      </c>
      <c r="G5287" s="4" t="s">
        <v>1945</v>
      </c>
      <c r="H5287" s="4" t="s">
        <v>289</v>
      </c>
      <c r="I5287" s="4">
        <v>1.7</v>
      </c>
      <c r="J5287" s="21">
        <v>115</v>
      </c>
      <c r="K5287" s="21">
        <v>0</v>
      </c>
      <c r="L5287" s="5">
        <v>0</v>
      </c>
      <c r="M5287" s="4"/>
      <c r="N5287" s="4"/>
      <c r="O5287" s="5"/>
      <c r="P5287" s="5"/>
      <c r="Q5287" s="21">
        <v>195.5</v>
      </c>
      <c r="R5287" s="21">
        <v>0</v>
      </c>
      <c r="S5287" s="5">
        <f t="shared" si="331"/>
        <v>63806.282073026407</v>
      </c>
      <c r="T5287" cm="1">
        <f t="array" ref="T5287">IF(OR(B5287="MAL ALIMI", B5287="ÜRETİM GİRİŞ"), MIN(I5287, MAX(0, I5287 + SUM(SUMIFS($I$1:I5286, $C$1:C5286, C5287, $B$1:B5286, {"MAL ALIMI","ÜRETİM GİRİŞ"})) - VLOOKUP(C5287, 'STOK RAPORU'!$C$2:$I$1000, 4, 0))), 0)</f>
        <v>0</v>
      </c>
      <c r="U5287" s="22">
        <f t="shared" si="328"/>
        <v>0</v>
      </c>
      <c r="V5287">
        <f t="shared" si="329"/>
        <v>0</v>
      </c>
      <c r="W5287" s="22">
        <f t="shared" si="330"/>
        <v>0</v>
      </c>
    </row>
    <row r="5288" spans="1:23" hidden="1" x14ac:dyDescent="0.25">
      <c r="A5288" s="3">
        <v>46091</v>
      </c>
      <c r="B5288" s="4" t="s">
        <v>334</v>
      </c>
      <c r="C5288" s="4" t="s">
        <v>252</v>
      </c>
      <c r="D5288" s="4"/>
      <c r="E5288" s="4"/>
      <c r="F5288" s="4" t="s">
        <v>2482</v>
      </c>
      <c r="G5288" s="4" t="s">
        <v>1945</v>
      </c>
      <c r="H5288" s="4" t="s">
        <v>289</v>
      </c>
      <c r="I5288" s="4">
        <v>0.5</v>
      </c>
      <c r="J5288" s="21">
        <v>120</v>
      </c>
      <c r="K5288" s="21">
        <v>0</v>
      </c>
      <c r="L5288" s="5">
        <v>0</v>
      </c>
      <c r="M5288" s="4"/>
      <c r="N5288" s="4"/>
      <c r="O5288" s="5"/>
      <c r="P5288" s="5"/>
      <c r="Q5288" s="21">
        <v>60</v>
      </c>
      <c r="R5288" s="21">
        <v>0</v>
      </c>
      <c r="S5288" s="5">
        <f t="shared" si="331"/>
        <v>63866.282073026407</v>
      </c>
      <c r="T5288" cm="1">
        <f t="array" ref="T5288">IF(OR(B5288="MAL ALIMI", B5288="ÜRETİM GİRİŞ"), MIN(I5288, MAX(0, I5288 + SUM(SUMIFS($I$1:I5287, $C$1:C5287, C5288, $B$1:B5287, {"MAL ALIMI","ÜRETİM GİRİŞ"})) - VLOOKUP(C5288, 'STOK RAPORU'!$C$2:$I$1000, 4, 0))), 0)</f>
        <v>0</v>
      </c>
      <c r="U5288" s="22">
        <f t="shared" si="328"/>
        <v>0</v>
      </c>
      <c r="V5288">
        <f t="shared" si="329"/>
        <v>0</v>
      </c>
      <c r="W5288" s="22">
        <f t="shared" si="330"/>
        <v>0</v>
      </c>
    </row>
    <row r="5289" spans="1:23" hidden="1" x14ac:dyDescent="0.25">
      <c r="A5289" s="3">
        <v>46091</v>
      </c>
      <c r="B5289" s="4" t="s">
        <v>334</v>
      </c>
      <c r="C5289" s="4" t="s">
        <v>690</v>
      </c>
      <c r="D5289" s="4"/>
      <c r="E5289" s="4"/>
      <c r="F5289" s="4" t="s">
        <v>2482</v>
      </c>
      <c r="G5289" s="4" t="s">
        <v>1945</v>
      </c>
      <c r="H5289" s="4" t="s">
        <v>289</v>
      </c>
      <c r="I5289" s="4">
        <v>0.4</v>
      </c>
      <c r="J5289" s="21">
        <v>225</v>
      </c>
      <c r="K5289" s="21">
        <v>0</v>
      </c>
      <c r="L5289" s="5">
        <v>0</v>
      </c>
      <c r="M5289" s="4"/>
      <c r="N5289" s="4"/>
      <c r="O5289" s="5"/>
      <c r="P5289" s="5"/>
      <c r="Q5289" s="21">
        <v>90</v>
      </c>
      <c r="R5289" s="21">
        <v>0</v>
      </c>
      <c r="S5289" s="5">
        <f t="shared" si="331"/>
        <v>63956.282073026407</v>
      </c>
      <c r="T5289" cm="1">
        <f t="array" ref="T5289">IF(OR(B5289="MAL ALIMI", B5289="ÜRETİM GİRİŞ"), MIN(I5289, MAX(0, I5289 + SUM(SUMIFS($I$1:I5288, $C$1:C5288, C5289, $B$1:B5288, {"MAL ALIMI","ÜRETİM GİRİŞ"})) - VLOOKUP(C5289, 'STOK RAPORU'!$C$2:$I$1000, 4, 0))), 0)</f>
        <v>0</v>
      </c>
      <c r="U5289" s="22">
        <f t="shared" si="328"/>
        <v>0</v>
      </c>
      <c r="V5289">
        <f t="shared" si="329"/>
        <v>0</v>
      </c>
      <c r="W5289" s="22">
        <f t="shared" si="330"/>
        <v>0</v>
      </c>
    </row>
    <row r="5290" spans="1:23" hidden="1" x14ac:dyDescent="0.25">
      <c r="A5290" s="3">
        <v>46091</v>
      </c>
      <c r="B5290" s="4" t="s">
        <v>334</v>
      </c>
      <c r="C5290" s="4" t="s">
        <v>598</v>
      </c>
      <c r="D5290" s="4"/>
      <c r="E5290" s="4"/>
      <c r="F5290" s="4" t="s">
        <v>2482</v>
      </c>
      <c r="G5290" s="4" t="s">
        <v>1945</v>
      </c>
      <c r="H5290" s="4" t="s">
        <v>289</v>
      </c>
      <c r="I5290" s="4">
        <v>1.377</v>
      </c>
      <c r="J5290" s="21">
        <v>225</v>
      </c>
      <c r="K5290" s="21">
        <v>0</v>
      </c>
      <c r="L5290" s="5">
        <v>0</v>
      </c>
      <c r="M5290" s="4"/>
      <c r="N5290" s="4"/>
      <c r="O5290" s="5"/>
      <c r="P5290" s="5"/>
      <c r="Q5290" s="21">
        <v>309.82499999999999</v>
      </c>
      <c r="R5290" s="21">
        <v>0</v>
      </c>
      <c r="S5290" s="5">
        <f t="shared" si="331"/>
        <v>64266.107073026404</v>
      </c>
      <c r="T5290" cm="1">
        <f t="array" ref="T5290">IF(OR(B5290="MAL ALIMI", B5290="ÜRETİM GİRİŞ"), MIN(I5290, MAX(0, I5290 + SUM(SUMIFS($I$1:I5289, $C$1:C5289, C5290, $B$1:B5289, {"MAL ALIMI","ÜRETİM GİRİŞ"})) - VLOOKUP(C5290, 'STOK RAPORU'!$C$2:$I$1000, 4, 0))), 0)</f>
        <v>0</v>
      </c>
      <c r="U5290" s="22">
        <f t="shared" si="328"/>
        <v>0</v>
      </c>
      <c r="V5290">
        <f t="shared" si="329"/>
        <v>0</v>
      </c>
      <c r="W5290" s="22">
        <f t="shared" si="330"/>
        <v>0</v>
      </c>
    </row>
    <row r="5291" spans="1:23" hidden="1" x14ac:dyDescent="0.25">
      <c r="A5291" s="3">
        <v>46091</v>
      </c>
      <c r="B5291" s="4" t="s">
        <v>334</v>
      </c>
      <c r="C5291" s="4" t="s">
        <v>2124</v>
      </c>
      <c r="D5291" s="4"/>
      <c r="E5291" s="4"/>
      <c r="F5291" s="4" t="s">
        <v>2482</v>
      </c>
      <c r="G5291" s="4" t="s">
        <v>1945</v>
      </c>
      <c r="H5291" s="4" t="s">
        <v>289</v>
      </c>
      <c r="I5291" s="4">
        <v>0.79</v>
      </c>
      <c r="J5291" s="21">
        <v>350</v>
      </c>
      <c r="K5291" s="21">
        <v>0</v>
      </c>
      <c r="L5291" s="5">
        <v>0</v>
      </c>
      <c r="M5291" s="4"/>
      <c r="N5291" s="4"/>
      <c r="O5291" s="5"/>
      <c r="P5291" s="5"/>
      <c r="Q5291" s="21">
        <v>276.5</v>
      </c>
      <c r="R5291" s="21">
        <v>0</v>
      </c>
      <c r="S5291" s="5">
        <f t="shared" si="331"/>
        <v>64542.607073026404</v>
      </c>
      <c r="T5291" cm="1">
        <f t="array" ref="T5291">IF(OR(B5291="MAL ALIMI", B5291="ÜRETİM GİRİŞ"), MIN(I5291, MAX(0, I5291 + SUM(SUMIFS($I$1:I5290, $C$1:C5290, C5291, $B$1:B5290, {"MAL ALIMI","ÜRETİM GİRİŞ"})) - VLOOKUP(C5291, 'STOK RAPORU'!$C$2:$I$1000, 4, 0))), 0)</f>
        <v>0</v>
      </c>
      <c r="U5291" s="22">
        <f t="shared" si="328"/>
        <v>0</v>
      </c>
      <c r="V5291">
        <f t="shared" si="329"/>
        <v>0</v>
      </c>
      <c r="W5291" s="22">
        <f t="shared" si="330"/>
        <v>0</v>
      </c>
    </row>
    <row r="5292" spans="1:23" hidden="1" x14ac:dyDescent="0.25">
      <c r="A5292" s="3">
        <v>46091</v>
      </c>
      <c r="B5292" s="4" t="s">
        <v>334</v>
      </c>
      <c r="C5292" s="4" t="s">
        <v>2130</v>
      </c>
      <c r="D5292" s="4"/>
      <c r="E5292" s="4"/>
      <c r="F5292" s="4" t="s">
        <v>2482</v>
      </c>
      <c r="G5292" s="4" t="s">
        <v>1945</v>
      </c>
      <c r="H5292" s="4" t="s">
        <v>289</v>
      </c>
      <c r="I5292" s="4">
        <v>2.17</v>
      </c>
      <c r="J5292" s="21">
        <v>310</v>
      </c>
      <c r="K5292" s="21">
        <v>0</v>
      </c>
      <c r="L5292" s="5">
        <v>0</v>
      </c>
      <c r="M5292" s="4"/>
      <c r="N5292" s="4"/>
      <c r="O5292" s="5"/>
      <c r="P5292" s="5"/>
      <c r="Q5292" s="21">
        <v>672.69999999999993</v>
      </c>
      <c r="R5292" s="21">
        <v>0</v>
      </c>
      <c r="S5292" s="5">
        <f t="shared" si="331"/>
        <v>65215.307073026401</v>
      </c>
      <c r="T5292" cm="1">
        <f t="array" ref="T5292">IF(OR(B5292="MAL ALIMI", B5292="ÜRETİM GİRİŞ"), MIN(I5292, MAX(0, I5292 + SUM(SUMIFS($I$1:I5291, $C$1:C5291, C5292, $B$1:B5291, {"MAL ALIMI","ÜRETİM GİRİŞ"})) - VLOOKUP(C5292, 'STOK RAPORU'!$C$2:$I$1000, 4, 0))), 0)</f>
        <v>0</v>
      </c>
      <c r="U5292" s="22">
        <f t="shared" si="328"/>
        <v>0</v>
      </c>
      <c r="V5292">
        <f t="shared" si="329"/>
        <v>0</v>
      </c>
      <c r="W5292" s="22">
        <f t="shared" si="330"/>
        <v>0</v>
      </c>
    </row>
    <row r="5293" spans="1:23" hidden="1" x14ac:dyDescent="0.25">
      <c r="A5293" s="3">
        <v>46091</v>
      </c>
      <c r="B5293" s="4" t="s">
        <v>334</v>
      </c>
      <c r="C5293" s="4" t="s">
        <v>251</v>
      </c>
      <c r="D5293" s="4"/>
      <c r="E5293" s="4"/>
      <c r="F5293" s="4" t="s">
        <v>2482</v>
      </c>
      <c r="G5293" s="4" t="s">
        <v>1945</v>
      </c>
      <c r="H5293" s="4" t="s">
        <v>289</v>
      </c>
      <c r="I5293" s="4">
        <v>1.72</v>
      </c>
      <c r="J5293" s="21">
        <v>455</v>
      </c>
      <c r="K5293" s="21">
        <v>0</v>
      </c>
      <c r="L5293" s="5">
        <v>0</v>
      </c>
      <c r="M5293" s="4"/>
      <c r="N5293" s="4"/>
      <c r="O5293" s="5"/>
      <c r="P5293" s="5"/>
      <c r="Q5293" s="21">
        <v>782.6</v>
      </c>
      <c r="R5293" s="21">
        <v>0</v>
      </c>
      <c r="S5293" s="5">
        <f t="shared" si="331"/>
        <v>65997.907073026407</v>
      </c>
      <c r="T5293" cm="1">
        <f t="array" ref="T5293">IF(OR(B5293="MAL ALIMI", B5293="ÜRETİM GİRİŞ"), MIN(I5293, MAX(0, I5293 + SUM(SUMIFS($I$1:I5292, $C$1:C5292, C5293, $B$1:B5292, {"MAL ALIMI","ÜRETİM GİRİŞ"})) - VLOOKUP(C5293, 'STOK RAPORU'!$C$2:$I$1000, 4, 0))), 0)</f>
        <v>0</v>
      </c>
      <c r="U5293" s="22">
        <f t="shared" si="328"/>
        <v>0</v>
      </c>
      <c r="V5293">
        <f t="shared" si="329"/>
        <v>0</v>
      </c>
      <c r="W5293" s="22">
        <f t="shared" si="330"/>
        <v>0</v>
      </c>
    </row>
    <row r="5294" spans="1:23" hidden="1" x14ac:dyDescent="0.25">
      <c r="A5294" s="3">
        <v>46091</v>
      </c>
      <c r="B5294" s="4" t="s">
        <v>334</v>
      </c>
      <c r="C5294" s="4" t="s">
        <v>1360</v>
      </c>
      <c r="D5294" s="4"/>
      <c r="E5294" s="4"/>
      <c r="F5294" s="4" t="s">
        <v>2482</v>
      </c>
      <c r="G5294" s="4" t="s">
        <v>1945</v>
      </c>
      <c r="H5294" s="4" t="s">
        <v>289</v>
      </c>
      <c r="I5294" s="4">
        <v>1.89</v>
      </c>
      <c r="J5294" s="21">
        <v>270</v>
      </c>
      <c r="K5294" s="21">
        <v>0</v>
      </c>
      <c r="L5294" s="5">
        <v>0</v>
      </c>
      <c r="M5294" s="4"/>
      <c r="N5294" s="4"/>
      <c r="O5294" s="5"/>
      <c r="P5294" s="5"/>
      <c r="Q5294" s="21">
        <v>510.29999999999995</v>
      </c>
      <c r="R5294" s="21">
        <v>0</v>
      </c>
      <c r="S5294" s="5">
        <f t="shared" si="331"/>
        <v>66508.207073026409</v>
      </c>
      <c r="T5294" cm="1">
        <f t="array" ref="T5294">IF(OR(B5294="MAL ALIMI", B5294="ÜRETİM GİRİŞ"), MIN(I5294, MAX(0, I5294 + SUM(SUMIFS($I$1:I5293, $C$1:C5293, C5294, $B$1:B5293, {"MAL ALIMI","ÜRETİM GİRİŞ"})) - VLOOKUP(C5294, 'STOK RAPORU'!$C$2:$I$1000, 4, 0))), 0)</f>
        <v>0</v>
      </c>
      <c r="U5294" s="22">
        <f t="shared" si="328"/>
        <v>0</v>
      </c>
      <c r="V5294">
        <f t="shared" si="329"/>
        <v>0</v>
      </c>
      <c r="W5294" s="22">
        <f t="shared" si="330"/>
        <v>0</v>
      </c>
    </row>
    <row r="5295" spans="1:23" hidden="1" x14ac:dyDescent="0.25">
      <c r="A5295" s="3">
        <v>46091</v>
      </c>
      <c r="B5295" s="4" t="s">
        <v>334</v>
      </c>
      <c r="C5295" s="4" t="s">
        <v>2129</v>
      </c>
      <c r="D5295" s="4"/>
      <c r="E5295" s="4"/>
      <c r="F5295" s="4" t="s">
        <v>2482</v>
      </c>
      <c r="G5295" s="4" t="s">
        <v>1945</v>
      </c>
      <c r="H5295" s="4" t="s">
        <v>289</v>
      </c>
      <c r="I5295" s="4">
        <v>1.03</v>
      </c>
      <c r="J5295" s="21">
        <v>305</v>
      </c>
      <c r="K5295" s="21">
        <v>0</v>
      </c>
      <c r="L5295" s="5">
        <v>0</v>
      </c>
      <c r="M5295" s="4"/>
      <c r="N5295" s="4"/>
      <c r="O5295" s="5"/>
      <c r="P5295" s="5"/>
      <c r="Q5295" s="21">
        <v>314.15000000000003</v>
      </c>
      <c r="R5295" s="21">
        <v>0</v>
      </c>
      <c r="S5295" s="5">
        <f t="shared" si="331"/>
        <v>66822.357073026404</v>
      </c>
      <c r="T5295" cm="1">
        <f t="array" ref="T5295">IF(OR(B5295="MAL ALIMI", B5295="ÜRETİM GİRİŞ"), MIN(I5295, MAX(0, I5295 + SUM(SUMIFS($I$1:I5294, $C$1:C5294, C5295, $B$1:B5294, {"MAL ALIMI","ÜRETİM GİRİŞ"})) - VLOOKUP(C5295, 'STOK RAPORU'!$C$2:$I$1000, 4, 0))), 0)</f>
        <v>0</v>
      </c>
      <c r="U5295" s="22">
        <f t="shared" si="328"/>
        <v>0</v>
      </c>
      <c r="V5295">
        <f t="shared" si="329"/>
        <v>0</v>
      </c>
      <c r="W5295" s="22">
        <f t="shared" si="330"/>
        <v>0</v>
      </c>
    </row>
    <row r="5296" spans="1:23" hidden="1" x14ac:dyDescent="0.25">
      <c r="A5296" s="3">
        <v>46091</v>
      </c>
      <c r="B5296" s="4" t="s">
        <v>334</v>
      </c>
      <c r="C5296" s="4" t="s">
        <v>2126</v>
      </c>
      <c r="D5296" s="4"/>
      <c r="E5296" s="4"/>
      <c r="F5296" s="4" t="s">
        <v>2482</v>
      </c>
      <c r="G5296" s="4" t="s">
        <v>1945</v>
      </c>
      <c r="H5296" s="4" t="s">
        <v>289</v>
      </c>
      <c r="I5296" s="4">
        <v>0.53</v>
      </c>
      <c r="J5296" s="21">
        <v>270</v>
      </c>
      <c r="K5296" s="21">
        <v>0</v>
      </c>
      <c r="L5296" s="5">
        <v>0</v>
      </c>
      <c r="M5296" s="4"/>
      <c r="N5296" s="4"/>
      <c r="O5296" s="5"/>
      <c r="P5296" s="5"/>
      <c r="Q5296" s="21">
        <v>143.1</v>
      </c>
      <c r="R5296" s="21">
        <v>0</v>
      </c>
      <c r="S5296" s="5">
        <f t="shared" si="331"/>
        <v>66965.457073026409</v>
      </c>
      <c r="T5296" cm="1">
        <f t="array" ref="T5296">IF(OR(B5296="MAL ALIMI", B5296="ÜRETİM GİRİŞ"), MIN(I5296, MAX(0, I5296 + SUM(SUMIFS($I$1:I5295, $C$1:C5295, C5296, $B$1:B5295, {"MAL ALIMI","ÜRETİM GİRİŞ"})) - VLOOKUP(C5296, 'STOK RAPORU'!$C$2:$I$1000, 4, 0))), 0)</f>
        <v>0</v>
      </c>
      <c r="U5296" s="22">
        <f t="shared" si="328"/>
        <v>0</v>
      </c>
      <c r="V5296">
        <f t="shared" si="329"/>
        <v>0</v>
      </c>
      <c r="W5296" s="22">
        <f t="shared" si="330"/>
        <v>0</v>
      </c>
    </row>
    <row r="5297" spans="1:23" hidden="1" x14ac:dyDescent="0.25">
      <c r="A5297" s="3">
        <v>46091</v>
      </c>
      <c r="B5297" s="4" t="s">
        <v>334</v>
      </c>
      <c r="C5297" s="4" t="s">
        <v>2520</v>
      </c>
      <c r="D5297" s="4"/>
      <c r="E5297" s="4"/>
      <c r="F5297" s="4" t="s">
        <v>2482</v>
      </c>
      <c r="G5297" s="4" t="s">
        <v>1945</v>
      </c>
      <c r="H5297" s="4" t="s">
        <v>289</v>
      </c>
      <c r="I5297" s="4">
        <v>0.02</v>
      </c>
      <c r="J5297" s="21">
        <v>400</v>
      </c>
      <c r="K5297" s="21">
        <v>0</v>
      </c>
      <c r="L5297" s="5">
        <v>0</v>
      </c>
      <c r="M5297" s="4"/>
      <c r="N5297" s="4"/>
      <c r="O5297" s="5"/>
      <c r="P5297" s="5"/>
      <c r="Q5297" s="21">
        <v>8</v>
      </c>
      <c r="R5297" s="21">
        <v>0</v>
      </c>
      <c r="S5297" s="5">
        <f t="shared" si="331"/>
        <v>66973.457073026409</v>
      </c>
      <c r="T5297" cm="1">
        <f t="array" ref="T5297">IF(OR(B5297="MAL ALIMI", B5297="ÜRETİM GİRİŞ"), MIN(I5297, MAX(0, I5297 + SUM(SUMIFS($I$1:I5296, $C$1:C5296, C5297, $B$1:B5296, {"MAL ALIMI","ÜRETİM GİRİŞ"})) - VLOOKUP(C5297, 'STOK RAPORU'!$C$2:$I$1000, 4, 0))), 0)</f>
        <v>0</v>
      </c>
      <c r="U5297" s="22">
        <f t="shared" si="328"/>
        <v>0</v>
      </c>
      <c r="V5297">
        <f t="shared" si="329"/>
        <v>0</v>
      </c>
      <c r="W5297" s="22">
        <f t="shared" si="330"/>
        <v>0</v>
      </c>
    </row>
    <row r="5298" spans="1:23" hidden="1" x14ac:dyDescent="0.25">
      <c r="A5298" s="3">
        <v>46091</v>
      </c>
      <c r="B5298" s="4" t="s">
        <v>334</v>
      </c>
      <c r="C5298" s="4" t="s">
        <v>2523</v>
      </c>
      <c r="D5298" s="4"/>
      <c r="E5298" s="4"/>
      <c r="F5298" s="4" t="s">
        <v>2482</v>
      </c>
      <c r="G5298" s="4" t="s">
        <v>1945</v>
      </c>
      <c r="H5298" s="4" t="s">
        <v>289</v>
      </c>
      <c r="I5298" s="4">
        <v>0.76</v>
      </c>
      <c r="J5298" s="21">
        <v>230</v>
      </c>
      <c r="K5298" s="21">
        <v>0</v>
      </c>
      <c r="L5298" s="5">
        <v>0</v>
      </c>
      <c r="M5298" s="4"/>
      <c r="N5298" s="4"/>
      <c r="O5298" s="5"/>
      <c r="P5298" s="5"/>
      <c r="Q5298" s="21">
        <v>174.8</v>
      </c>
      <c r="R5298" s="21">
        <v>0</v>
      </c>
      <c r="S5298" s="5">
        <f t="shared" si="331"/>
        <v>67148.257073026412</v>
      </c>
      <c r="T5298" cm="1">
        <f t="array" ref="T5298">IF(OR(B5298="MAL ALIMI", B5298="ÜRETİM GİRİŞ"), MIN(I5298, MAX(0, I5298 + SUM(SUMIFS($I$1:I5297, $C$1:C5297, C5298, $B$1:B5297, {"MAL ALIMI","ÜRETİM GİRİŞ"})) - VLOOKUP(C5298, 'STOK RAPORU'!$C$2:$I$1000, 4, 0))), 0)</f>
        <v>0</v>
      </c>
      <c r="U5298" s="22">
        <f t="shared" si="328"/>
        <v>0</v>
      </c>
      <c r="V5298">
        <f t="shared" si="329"/>
        <v>0</v>
      </c>
      <c r="W5298" s="22">
        <f t="shared" si="330"/>
        <v>0</v>
      </c>
    </row>
    <row r="5299" spans="1:23" hidden="1" x14ac:dyDescent="0.25">
      <c r="A5299" s="3">
        <v>46091</v>
      </c>
      <c r="B5299" s="4" t="s">
        <v>334</v>
      </c>
      <c r="C5299" s="4" t="s">
        <v>2127</v>
      </c>
      <c r="D5299" s="4"/>
      <c r="E5299" s="4"/>
      <c r="F5299" s="4" t="s">
        <v>2482</v>
      </c>
      <c r="G5299" s="4" t="s">
        <v>1945</v>
      </c>
      <c r="H5299" s="4" t="s">
        <v>289</v>
      </c>
      <c r="I5299" s="4">
        <v>0.12</v>
      </c>
      <c r="J5299" s="21">
        <v>300</v>
      </c>
      <c r="K5299" s="21">
        <v>0</v>
      </c>
      <c r="L5299" s="5">
        <v>0</v>
      </c>
      <c r="M5299" s="4"/>
      <c r="N5299" s="4"/>
      <c r="O5299" s="5"/>
      <c r="P5299" s="5"/>
      <c r="Q5299" s="21">
        <v>36</v>
      </c>
      <c r="R5299" s="21">
        <v>0</v>
      </c>
      <c r="S5299" s="5">
        <f t="shared" si="331"/>
        <v>67184.257073026412</v>
      </c>
      <c r="T5299" cm="1">
        <f t="array" ref="T5299">IF(OR(B5299="MAL ALIMI", B5299="ÜRETİM GİRİŞ"), MIN(I5299, MAX(0, I5299 + SUM(SUMIFS($I$1:I5298, $C$1:C5298, C5299, $B$1:B5298, {"MAL ALIMI","ÜRETİM GİRİŞ"})) - VLOOKUP(C5299, 'STOK RAPORU'!$C$2:$I$1000, 4, 0))), 0)</f>
        <v>0</v>
      </c>
      <c r="U5299" s="22">
        <f t="shared" ref="U5299:U5362" si="332">T5299*J5299</f>
        <v>0</v>
      </c>
      <c r="V5299">
        <f t="shared" ref="V5299:V5362" si="333">IF(OR(B5299="MAL ALIMI", B5299="ÜRETİM GİRİŞ"), I5299 * J5299, 0)</f>
        <v>0</v>
      </c>
      <c r="W5299" s="22">
        <f t="shared" ref="W5299:W5362" si="334">V5299-U5299</f>
        <v>0</v>
      </c>
    </row>
    <row r="5300" spans="1:23" hidden="1" x14ac:dyDescent="0.25">
      <c r="A5300" s="3">
        <v>46091</v>
      </c>
      <c r="B5300" s="4" t="s">
        <v>334</v>
      </c>
      <c r="C5300" s="4" t="s">
        <v>1357</v>
      </c>
      <c r="D5300" s="4"/>
      <c r="E5300" s="4"/>
      <c r="F5300" s="4" t="s">
        <v>2482</v>
      </c>
      <c r="G5300" s="4" t="s">
        <v>1945</v>
      </c>
      <c r="H5300" s="4" t="s">
        <v>289</v>
      </c>
      <c r="I5300" s="4">
        <v>3.02</v>
      </c>
      <c r="J5300" s="21">
        <v>380</v>
      </c>
      <c r="K5300" s="21">
        <v>0</v>
      </c>
      <c r="L5300" s="5">
        <v>0</v>
      </c>
      <c r="M5300" s="4"/>
      <c r="N5300" s="4"/>
      <c r="O5300" s="5"/>
      <c r="P5300" s="5"/>
      <c r="Q5300" s="21">
        <v>1147.5999999999999</v>
      </c>
      <c r="R5300" s="21">
        <v>0</v>
      </c>
      <c r="S5300" s="5">
        <f t="shared" si="331"/>
        <v>68331.857073026418</v>
      </c>
      <c r="T5300" cm="1">
        <f t="array" ref="T5300">IF(OR(B5300="MAL ALIMI", B5300="ÜRETİM GİRİŞ"), MIN(I5300, MAX(0, I5300 + SUM(SUMIFS($I$1:I5299, $C$1:C5299, C5300, $B$1:B5299, {"MAL ALIMI","ÜRETİM GİRİŞ"})) - VLOOKUP(C5300, 'STOK RAPORU'!$C$2:$I$1000, 4, 0))), 0)</f>
        <v>0</v>
      </c>
      <c r="U5300" s="22">
        <f t="shared" si="332"/>
        <v>0</v>
      </c>
      <c r="V5300">
        <f t="shared" si="333"/>
        <v>0</v>
      </c>
      <c r="W5300" s="22">
        <f t="shared" si="334"/>
        <v>0</v>
      </c>
    </row>
    <row r="5301" spans="1:23" hidden="1" x14ac:dyDescent="0.25">
      <c r="A5301" s="3">
        <v>46091</v>
      </c>
      <c r="B5301" s="4" t="s">
        <v>334</v>
      </c>
      <c r="C5301" s="4" t="s">
        <v>458</v>
      </c>
      <c r="D5301" s="4"/>
      <c r="E5301" s="4"/>
      <c r="F5301" s="4" t="s">
        <v>2482</v>
      </c>
      <c r="G5301" s="4" t="s">
        <v>1945</v>
      </c>
      <c r="H5301" s="4" t="s">
        <v>289</v>
      </c>
      <c r="I5301" s="4">
        <v>3.25</v>
      </c>
      <c r="J5301" s="21">
        <v>30</v>
      </c>
      <c r="K5301" s="21">
        <v>0</v>
      </c>
      <c r="L5301" s="5">
        <v>0</v>
      </c>
      <c r="M5301" s="4"/>
      <c r="N5301" s="4"/>
      <c r="O5301" s="5"/>
      <c r="P5301" s="5"/>
      <c r="Q5301" s="21">
        <v>97.5</v>
      </c>
      <c r="R5301" s="21">
        <v>0</v>
      </c>
      <c r="S5301" s="5">
        <f t="shared" si="331"/>
        <v>68429.357073026418</v>
      </c>
      <c r="T5301" cm="1">
        <f t="array" ref="T5301">IF(OR(B5301="MAL ALIMI", B5301="ÜRETİM GİRİŞ"), MIN(I5301, MAX(0, I5301 + SUM(SUMIFS($I$1:I5300, $C$1:C5300, C5301, $B$1:B5300, {"MAL ALIMI","ÜRETİM GİRİŞ"})) - VLOOKUP(C5301, 'STOK RAPORU'!$C$2:$I$1000, 4, 0))), 0)</f>
        <v>0</v>
      </c>
      <c r="U5301" s="22">
        <f t="shared" si="332"/>
        <v>0</v>
      </c>
      <c r="V5301">
        <f t="shared" si="333"/>
        <v>0</v>
      </c>
      <c r="W5301" s="22">
        <f t="shared" si="334"/>
        <v>0</v>
      </c>
    </row>
    <row r="5302" spans="1:23" hidden="1" x14ac:dyDescent="0.25">
      <c r="A5302" s="3">
        <v>46091</v>
      </c>
      <c r="B5302" s="4" t="s">
        <v>334</v>
      </c>
      <c r="C5302" s="4" t="s">
        <v>459</v>
      </c>
      <c r="D5302" s="4"/>
      <c r="E5302" s="4"/>
      <c r="F5302" s="4" t="s">
        <v>2482</v>
      </c>
      <c r="G5302" s="4" t="s">
        <v>1945</v>
      </c>
      <c r="H5302" s="4" t="s">
        <v>289</v>
      </c>
      <c r="I5302" s="4">
        <v>0.34</v>
      </c>
      <c r="J5302" s="21">
        <v>70</v>
      </c>
      <c r="K5302" s="21">
        <v>0</v>
      </c>
      <c r="L5302" s="5">
        <v>0</v>
      </c>
      <c r="M5302" s="4"/>
      <c r="N5302" s="4"/>
      <c r="O5302" s="5"/>
      <c r="P5302" s="5"/>
      <c r="Q5302" s="21">
        <v>23.8</v>
      </c>
      <c r="R5302" s="21">
        <v>0</v>
      </c>
      <c r="S5302" s="5">
        <f t="shared" si="331"/>
        <v>68453.157073026421</v>
      </c>
      <c r="T5302" cm="1">
        <f t="array" ref="T5302">IF(OR(B5302="MAL ALIMI", B5302="ÜRETİM GİRİŞ"), MIN(I5302, MAX(0, I5302 + SUM(SUMIFS($I$1:I5301, $C$1:C5301, C5302, $B$1:B5301, {"MAL ALIMI","ÜRETİM GİRİŞ"})) - VLOOKUP(C5302, 'STOK RAPORU'!$C$2:$I$1000, 4, 0))), 0)</f>
        <v>0</v>
      </c>
      <c r="U5302" s="22">
        <f t="shared" si="332"/>
        <v>0</v>
      </c>
      <c r="V5302">
        <f t="shared" si="333"/>
        <v>0</v>
      </c>
      <c r="W5302" s="22">
        <f t="shared" si="334"/>
        <v>0</v>
      </c>
    </row>
    <row r="5303" spans="1:23" hidden="1" x14ac:dyDescent="0.25">
      <c r="A5303" s="3">
        <v>46091</v>
      </c>
      <c r="B5303" s="4" t="s">
        <v>334</v>
      </c>
      <c r="C5303" s="4" t="s">
        <v>209</v>
      </c>
      <c r="D5303" s="4"/>
      <c r="E5303" s="4"/>
      <c r="F5303" s="4" t="s">
        <v>2482</v>
      </c>
      <c r="G5303" s="4" t="s">
        <v>1884</v>
      </c>
      <c r="H5303" s="4" t="s">
        <v>289</v>
      </c>
      <c r="I5303" s="4">
        <v>0.44</v>
      </c>
      <c r="J5303" s="21">
        <v>1125</v>
      </c>
      <c r="K5303" s="21">
        <v>0</v>
      </c>
      <c r="L5303" s="5">
        <v>0</v>
      </c>
      <c r="M5303" s="4"/>
      <c r="N5303" s="4"/>
      <c r="O5303" s="5"/>
      <c r="P5303" s="5"/>
      <c r="Q5303" s="21">
        <v>495</v>
      </c>
      <c r="R5303" s="21">
        <v>0</v>
      </c>
      <c r="S5303" s="5">
        <f t="shared" si="331"/>
        <v>68948.157073026421</v>
      </c>
      <c r="T5303" cm="1">
        <f t="array" ref="T5303">IF(OR(B5303="MAL ALIMI", B5303="ÜRETİM GİRİŞ"), MIN(I5303, MAX(0, I5303 + SUM(SUMIFS($I$1:I5302, $C$1:C5302, C5303, $B$1:B5302, {"MAL ALIMI","ÜRETİM GİRİŞ"})) - VLOOKUP(C5303, 'STOK RAPORU'!$C$2:$I$1000, 4, 0))), 0)</f>
        <v>0</v>
      </c>
      <c r="U5303" s="22">
        <f t="shared" si="332"/>
        <v>0</v>
      </c>
      <c r="V5303">
        <f t="shared" si="333"/>
        <v>0</v>
      </c>
      <c r="W5303" s="22">
        <f t="shared" si="334"/>
        <v>0</v>
      </c>
    </row>
    <row r="5304" spans="1:23" hidden="1" x14ac:dyDescent="0.25">
      <c r="A5304" s="3">
        <v>46091</v>
      </c>
      <c r="B5304" s="4" t="s">
        <v>334</v>
      </c>
      <c r="C5304" s="4" t="s">
        <v>210</v>
      </c>
      <c r="D5304" s="4"/>
      <c r="E5304" s="4"/>
      <c r="F5304" s="4" t="s">
        <v>2482</v>
      </c>
      <c r="G5304" s="4" t="s">
        <v>1884</v>
      </c>
      <c r="H5304" s="4" t="s">
        <v>289</v>
      </c>
      <c r="I5304" s="4">
        <v>0.12</v>
      </c>
      <c r="J5304" s="21">
        <v>2250</v>
      </c>
      <c r="K5304" s="21">
        <v>0</v>
      </c>
      <c r="L5304" s="5">
        <v>0</v>
      </c>
      <c r="M5304" s="4"/>
      <c r="N5304" s="4"/>
      <c r="O5304" s="5"/>
      <c r="P5304" s="5"/>
      <c r="Q5304" s="21">
        <v>270</v>
      </c>
      <c r="R5304" s="21">
        <v>0</v>
      </c>
      <c r="S5304" s="5">
        <f t="shared" si="331"/>
        <v>69218.157073026421</v>
      </c>
      <c r="T5304" cm="1">
        <f t="array" ref="T5304">IF(OR(B5304="MAL ALIMI", B5304="ÜRETİM GİRİŞ"), MIN(I5304, MAX(0, I5304 + SUM(SUMIFS($I$1:I5303, $C$1:C5303, C5304, $B$1:B5303, {"MAL ALIMI","ÜRETİM GİRİŞ"})) - VLOOKUP(C5304, 'STOK RAPORU'!$C$2:$I$1000, 4, 0))), 0)</f>
        <v>0</v>
      </c>
      <c r="U5304" s="22">
        <f t="shared" si="332"/>
        <v>0</v>
      </c>
      <c r="V5304">
        <f t="shared" si="333"/>
        <v>0</v>
      </c>
      <c r="W5304" s="22">
        <f t="shared" si="334"/>
        <v>0</v>
      </c>
    </row>
    <row r="5305" spans="1:23" hidden="1" x14ac:dyDescent="0.25">
      <c r="A5305" s="3">
        <v>46091</v>
      </c>
      <c r="B5305" s="4" t="s">
        <v>334</v>
      </c>
      <c r="C5305" s="4" t="s">
        <v>211</v>
      </c>
      <c r="D5305" s="4"/>
      <c r="E5305" s="4"/>
      <c r="F5305" s="4" t="s">
        <v>2482</v>
      </c>
      <c r="G5305" s="4" t="s">
        <v>1884</v>
      </c>
      <c r="H5305" s="4" t="s">
        <v>289</v>
      </c>
      <c r="I5305" s="4">
        <v>0.23</v>
      </c>
      <c r="J5305" s="21">
        <v>250</v>
      </c>
      <c r="K5305" s="21">
        <v>0</v>
      </c>
      <c r="L5305" s="5">
        <v>0</v>
      </c>
      <c r="M5305" s="4"/>
      <c r="N5305" s="4"/>
      <c r="O5305" s="5"/>
      <c r="P5305" s="5"/>
      <c r="Q5305" s="21">
        <v>57.5</v>
      </c>
      <c r="R5305" s="21">
        <v>0</v>
      </c>
      <c r="S5305" s="5">
        <f t="shared" si="331"/>
        <v>69275.657073026421</v>
      </c>
      <c r="T5305" cm="1">
        <f t="array" ref="T5305">IF(OR(B5305="MAL ALIMI", B5305="ÜRETİM GİRİŞ"), MIN(I5305, MAX(0, I5305 + SUM(SUMIFS($I$1:I5304, $C$1:C5304, C5305, $B$1:B5304, {"MAL ALIMI","ÜRETİM GİRİŞ"})) - VLOOKUP(C5305, 'STOK RAPORU'!$C$2:$I$1000, 4, 0))), 0)</f>
        <v>0</v>
      </c>
      <c r="U5305" s="22">
        <f t="shared" si="332"/>
        <v>0</v>
      </c>
      <c r="V5305">
        <f t="shared" si="333"/>
        <v>0</v>
      </c>
      <c r="W5305" s="22">
        <f t="shared" si="334"/>
        <v>0</v>
      </c>
    </row>
    <row r="5306" spans="1:23" hidden="1" x14ac:dyDescent="0.25">
      <c r="A5306" s="3">
        <v>46091</v>
      </c>
      <c r="B5306" s="4" t="s">
        <v>334</v>
      </c>
      <c r="C5306" s="4" t="s">
        <v>92</v>
      </c>
      <c r="D5306" s="4"/>
      <c r="E5306" s="4"/>
      <c r="F5306" s="4" t="s">
        <v>2482</v>
      </c>
      <c r="G5306" s="4" t="s">
        <v>1945</v>
      </c>
      <c r="H5306" s="4" t="s">
        <v>289</v>
      </c>
      <c r="I5306" s="4">
        <v>1.19</v>
      </c>
      <c r="J5306" s="21">
        <v>200</v>
      </c>
      <c r="K5306" s="21">
        <v>0</v>
      </c>
      <c r="L5306" s="5">
        <v>0</v>
      </c>
      <c r="M5306" s="4"/>
      <c r="N5306" s="4"/>
      <c r="O5306" s="5"/>
      <c r="P5306" s="5"/>
      <c r="Q5306" s="21">
        <v>238</v>
      </c>
      <c r="R5306" s="21">
        <v>0</v>
      </c>
      <c r="S5306" s="5">
        <f t="shared" si="331"/>
        <v>69513.657073026421</v>
      </c>
      <c r="T5306" cm="1">
        <f t="array" ref="T5306">IF(OR(B5306="MAL ALIMI", B5306="ÜRETİM GİRİŞ"), MIN(I5306, MAX(0, I5306 + SUM(SUMIFS($I$1:I5305, $C$1:C5305, C5306, $B$1:B5305, {"MAL ALIMI","ÜRETİM GİRİŞ"})) - VLOOKUP(C5306, 'STOK RAPORU'!$C$2:$I$1000, 4, 0))), 0)</f>
        <v>0</v>
      </c>
      <c r="U5306" s="22">
        <f t="shared" si="332"/>
        <v>0</v>
      </c>
      <c r="V5306">
        <f t="shared" si="333"/>
        <v>0</v>
      </c>
      <c r="W5306" s="22">
        <f t="shared" si="334"/>
        <v>0</v>
      </c>
    </row>
    <row r="5307" spans="1:23" hidden="1" x14ac:dyDescent="0.25">
      <c r="A5307" s="3">
        <v>46091</v>
      </c>
      <c r="B5307" s="4" t="s">
        <v>334</v>
      </c>
      <c r="C5307" s="4" t="s">
        <v>96</v>
      </c>
      <c r="D5307" s="4"/>
      <c r="E5307" s="4"/>
      <c r="F5307" s="4" t="s">
        <v>2482</v>
      </c>
      <c r="G5307" s="4" t="s">
        <v>1945</v>
      </c>
      <c r="H5307" s="4" t="s">
        <v>289</v>
      </c>
      <c r="I5307" s="4">
        <v>1.26</v>
      </c>
      <c r="J5307" s="21">
        <v>180</v>
      </c>
      <c r="K5307" s="21">
        <v>0</v>
      </c>
      <c r="L5307" s="5">
        <v>0</v>
      </c>
      <c r="M5307" s="4"/>
      <c r="N5307" s="4"/>
      <c r="O5307" s="5"/>
      <c r="P5307" s="5"/>
      <c r="Q5307" s="21">
        <v>226.8</v>
      </c>
      <c r="R5307" s="21">
        <v>0</v>
      </c>
      <c r="S5307" s="5">
        <f t="shared" si="331"/>
        <v>69740.457073026424</v>
      </c>
      <c r="T5307" cm="1">
        <f t="array" ref="T5307">IF(OR(B5307="MAL ALIMI", B5307="ÜRETİM GİRİŞ"), MIN(I5307, MAX(0, I5307 + SUM(SUMIFS($I$1:I5306, $C$1:C5306, C5307, $B$1:B5306, {"MAL ALIMI","ÜRETİM GİRİŞ"})) - VLOOKUP(C5307, 'STOK RAPORU'!$C$2:$I$1000, 4, 0))), 0)</f>
        <v>0</v>
      </c>
      <c r="U5307" s="22">
        <f t="shared" si="332"/>
        <v>0</v>
      </c>
      <c r="V5307">
        <f t="shared" si="333"/>
        <v>0</v>
      </c>
      <c r="W5307" s="22">
        <f t="shared" si="334"/>
        <v>0</v>
      </c>
    </row>
    <row r="5308" spans="1:23" hidden="1" x14ac:dyDescent="0.25">
      <c r="A5308" s="3">
        <v>46091</v>
      </c>
      <c r="B5308" s="4" t="s">
        <v>334</v>
      </c>
      <c r="C5308" s="4" t="s">
        <v>163</v>
      </c>
      <c r="D5308" s="4"/>
      <c r="E5308" s="4"/>
      <c r="F5308" s="4" t="s">
        <v>2482</v>
      </c>
      <c r="G5308" s="4" t="s">
        <v>1945</v>
      </c>
      <c r="H5308" s="4" t="s">
        <v>289</v>
      </c>
      <c r="I5308" s="4">
        <v>0.19</v>
      </c>
      <c r="J5308" s="21">
        <v>210</v>
      </c>
      <c r="K5308" s="21">
        <v>0</v>
      </c>
      <c r="L5308" s="5">
        <v>0</v>
      </c>
      <c r="M5308" s="4"/>
      <c r="N5308" s="4"/>
      <c r="O5308" s="5"/>
      <c r="P5308" s="5"/>
      <c r="Q5308" s="21">
        <v>39.9</v>
      </c>
      <c r="R5308" s="21">
        <v>0</v>
      </c>
      <c r="S5308" s="5">
        <f t="shared" si="331"/>
        <v>69780.357073026418</v>
      </c>
      <c r="T5308" cm="1">
        <f t="array" ref="T5308">IF(OR(B5308="MAL ALIMI", B5308="ÜRETİM GİRİŞ"), MIN(I5308, MAX(0, I5308 + SUM(SUMIFS($I$1:I5307, $C$1:C5307, C5308, $B$1:B5307, {"MAL ALIMI","ÜRETİM GİRİŞ"})) - VLOOKUP(C5308, 'STOK RAPORU'!$C$2:$I$1000, 4, 0))), 0)</f>
        <v>0</v>
      </c>
      <c r="U5308" s="22">
        <f t="shared" si="332"/>
        <v>0</v>
      </c>
      <c r="V5308">
        <f t="shared" si="333"/>
        <v>0</v>
      </c>
      <c r="W5308" s="22">
        <f t="shared" si="334"/>
        <v>0</v>
      </c>
    </row>
    <row r="5309" spans="1:23" hidden="1" x14ac:dyDescent="0.25">
      <c r="A5309" s="3">
        <v>46091</v>
      </c>
      <c r="B5309" s="4" t="s">
        <v>334</v>
      </c>
      <c r="C5309" s="4" t="s">
        <v>133</v>
      </c>
      <c r="D5309" s="4"/>
      <c r="E5309" s="4"/>
      <c r="F5309" s="4" t="s">
        <v>2482</v>
      </c>
      <c r="G5309" s="4" t="s">
        <v>1945</v>
      </c>
      <c r="H5309" s="4" t="s">
        <v>289</v>
      </c>
      <c r="I5309" s="4">
        <v>0.15</v>
      </c>
      <c r="J5309" s="21">
        <v>175</v>
      </c>
      <c r="K5309" s="21">
        <v>0</v>
      </c>
      <c r="L5309" s="5">
        <v>0</v>
      </c>
      <c r="M5309" s="4"/>
      <c r="N5309" s="4"/>
      <c r="O5309" s="5"/>
      <c r="P5309" s="5"/>
      <c r="Q5309" s="21">
        <v>26.25</v>
      </c>
      <c r="R5309" s="21">
        <v>0</v>
      </c>
      <c r="S5309" s="5">
        <f t="shared" si="331"/>
        <v>69806.607073026418</v>
      </c>
      <c r="T5309" cm="1">
        <f t="array" ref="T5309">IF(OR(B5309="MAL ALIMI", B5309="ÜRETİM GİRİŞ"), MIN(I5309, MAX(0, I5309 + SUM(SUMIFS($I$1:I5308, $C$1:C5308, C5309, $B$1:B5308, {"MAL ALIMI","ÜRETİM GİRİŞ"})) - VLOOKUP(C5309, 'STOK RAPORU'!$C$2:$I$1000, 4, 0))), 0)</f>
        <v>0</v>
      </c>
      <c r="U5309" s="22">
        <f t="shared" si="332"/>
        <v>0</v>
      </c>
      <c r="V5309">
        <f t="shared" si="333"/>
        <v>0</v>
      </c>
      <c r="W5309" s="22">
        <f t="shared" si="334"/>
        <v>0</v>
      </c>
    </row>
    <row r="5310" spans="1:23" hidden="1" x14ac:dyDescent="0.25">
      <c r="A5310" s="3">
        <v>46091</v>
      </c>
      <c r="B5310" s="4" t="s">
        <v>334</v>
      </c>
      <c r="C5310" s="4" t="s">
        <v>132</v>
      </c>
      <c r="D5310" s="4"/>
      <c r="E5310" s="4"/>
      <c r="F5310" s="4" t="s">
        <v>2482</v>
      </c>
      <c r="G5310" s="4" t="s">
        <v>1945</v>
      </c>
      <c r="H5310" s="4" t="s">
        <v>289</v>
      </c>
      <c r="I5310" s="4">
        <v>0.8</v>
      </c>
      <c r="J5310" s="21">
        <v>255</v>
      </c>
      <c r="K5310" s="21">
        <v>0</v>
      </c>
      <c r="L5310" s="5">
        <v>0</v>
      </c>
      <c r="M5310" s="4"/>
      <c r="N5310" s="4"/>
      <c r="O5310" s="5"/>
      <c r="P5310" s="5"/>
      <c r="Q5310" s="21">
        <v>204</v>
      </c>
      <c r="R5310" s="21">
        <v>0</v>
      </c>
      <c r="S5310" s="5">
        <f t="shared" si="331"/>
        <v>70010.607073026418</v>
      </c>
      <c r="T5310" cm="1">
        <f t="array" ref="T5310">IF(OR(B5310="MAL ALIMI", B5310="ÜRETİM GİRİŞ"), MIN(I5310, MAX(0, I5310 + SUM(SUMIFS($I$1:I5309, $C$1:C5309, C5310, $B$1:B5309, {"MAL ALIMI","ÜRETİM GİRİŞ"})) - VLOOKUP(C5310, 'STOK RAPORU'!$C$2:$I$1000, 4, 0))), 0)</f>
        <v>0</v>
      </c>
      <c r="U5310" s="22">
        <f t="shared" si="332"/>
        <v>0</v>
      </c>
      <c r="V5310">
        <f t="shared" si="333"/>
        <v>0</v>
      </c>
      <c r="W5310" s="22">
        <f t="shared" si="334"/>
        <v>0</v>
      </c>
    </row>
    <row r="5311" spans="1:23" hidden="1" x14ac:dyDescent="0.25">
      <c r="A5311" s="3">
        <v>46091</v>
      </c>
      <c r="B5311" s="4" t="s">
        <v>334</v>
      </c>
      <c r="C5311" s="4" t="s">
        <v>523</v>
      </c>
      <c r="D5311" s="4"/>
      <c r="E5311" s="4"/>
      <c r="F5311" s="4" t="s">
        <v>2482</v>
      </c>
      <c r="G5311" s="4" t="s">
        <v>1945</v>
      </c>
      <c r="H5311" s="4" t="s">
        <v>289</v>
      </c>
      <c r="I5311" s="4">
        <v>0.47</v>
      </c>
      <c r="J5311" s="21">
        <v>235</v>
      </c>
      <c r="K5311" s="21">
        <v>0</v>
      </c>
      <c r="L5311" s="5">
        <v>0</v>
      </c>
      <c r="M5311" s="4"/>
      <c r="N5311" s="4"/>
      <c r="O5311" s="5"/>
      <c r="P5311" s="5"/>
      <c r="Q5311" s="21">
        <v>110.44999999999999</v>
      </c>
      <c r="R5311" s="21">
        <v>0</v>
      </c>
      <c r="S5311" s="5">
        <f t="shared" si="331"/>
        <v>70121.057073026415</v>
      </c>
      <c r="T5311" cm="1">
        <f t="array" ref="T5311">IF(OR(B5311="MAL ALIMI", B5311="ÜRETİM GİRİŞ"), MIN(I5311, MAX(0, I5311 + SUM(SUMIFS($I$1:I5310, $C$1:C5310, C5311, $B$1:B5310, {"MAL ALIMI","ÜRETİM GİRİŞ"})) - VLOOKUP(C5311, 'STOK RAPORU'!$C$2:$I$1000, 4, 0))), 0)</f>
        <v>0</v>
      </c>
      <c r="U5311" s="22">
        <f t="shared" si="332"/>
        <v>0</v>
      </c>
      <c r="V5311">
        <f t="shared" si="333"/>
        <v>0</v>
      </c>
      <c r="W5311" s="22">
        <f t="shared" si="334"/>
        <v>0</v>
      </c>
    </row>
    <row r="5312" spans="1:23" hidden="1" x14ac:dyDescent="0.25">
      <c r="A5312" s="3">
        <v>46091</v>
      </c>
      <c r="B5312" s="4" t="s">
        <v>334</v>
      </c>
      <c r="C5312" s="4" t="s">
        <v>130</v>
      </c>
      <c r="D5312" s="4"/>
      <c r="E5312" s="4"/>
      <c r="F5312" s="4" t="s">
        <v>2482</v>
      </c>
      <c r="G5312" s="4" t="s">
        <v>1945</v>
      </c>
      <c r="H5312" s="4" t="s">
        <v>289</v>
      </c>
      <c r="I5312" s="4">
        <v>0.28000000000000003</v>
      </c>
      <c r="J5312" s="21">
        <v>185</v>
      </c>
      <c r="K5312" s="21">
        <v>0</v>
      </c>
      <c r="L5312" s="5">
        <v>0</v>
      </c>
      <c r="M5312" s="4"/>
      <c r="N5312" s="4"/>
      <c r="O5312" s="5"/>
      <c r="P5312" s="5"/>
      <c r="Q5312" s="21">
        <v>51.800000000000004</v>
      </c>
      <c r="R5312" s="21">
        <v>0</v>
      </c>
      <c r="S5312" s="5">
        <f t="shared" si="331"/>
        <v>70172.857073026418</v>
      </c>
      <c r="T5312" cm="1">
        <f t="array" ref="T5312">IF(OR(B5312="MAL ALIMI", B5312="ÜRETİM GİRİŞ"), MIN(I5312, MAX(0, I5312 + SUM(SUMIFS($I$1:I5311, $C$1:C5311, C5312, $B$1:B5311, {"MAL ALIMI","ÜRETİM GİRİŞ"})) - VLOOKUP(C5312, 'STOK RAPORU'!$C$2:$I$1000, 4, 0))), 0)</f>
        <v>0</v>
      </c>
      <c r="U5312" s="22">
        <f t="shared" si="332"/>
        <v>0</v>
      </c>
      <c r="V5312">
        <f t="shared" si="333"/>
        <v>0</v>
      </c>
      <c r="W5312" s="22">
        <f t="shared" si="334"/>
        <v>0</v>
      </c>
    </row>
    <row r="5313" spans="1:23" hidden="1" x14ac:dyDescent="0.25">
      <c r="A5313" s="3">
        <v>46091</v>
      </c>
      <c r="B5313" s="4" t="s">
        <v>334</v>
      </c>
      <c r="C5313" s="4" t="s">
        <v>126</v>
      </c>
      <c r="D5313" s="4"/>
      <c r="E5313" s="4"/>
      <c r="F5313" s="4" t="s">
        <v>2482</v>
      </c>
      <c r="G5313" s="4" t="s">
        <v>1945</v>
      </c>
      <c r="H5313" s="4" t="s">
        <v>289</v>
      </c>
      <c r="I5313" s="4">
        <v>1.1000000000000001</v>
      </c>
      <c r="J5313" s="21">
        <v>330</v>
      </c>
      <c r="K5313" s="21">
        <v>0</v>
      </c>
      <c r="L5313" s="5">
        <v>0</v>
      </c>
      <c r="M5313" s="4"/>
      <c r="N5313" s="4"/>
      <c r="O5313" s="5"/>
      <c r="P5313" s="5"/>
      <c r="Q5313" s="21">
        <v>363.00000000000006</v>
      </c>
      <c r="R5313" s="21">
        <v>0</v>
      </c>
      <c r="S5313" s="5">
        <f t="shared" si="331"/>
        <v>70535.857073026418</v>
      </c>
      <c r="T5313" cm="1">
        <f t="array" ref="T5313">IF(OR(B5313="MAL ALIMI", B5313="ÜRETİM GİRİŞ"), MIN(I5313, MAX(0, I5313 + SUM(SUMIFS($I$1:I5312, $C$1:C5312, C5313, $B$1:B5312, {"MAL ALIMI","ÜRETİM GİRİŞ"})) - VLOOKUP(C5313, 'STOK RAPORU'!$C$2:$I$1000, 4, 0))), 0)</f>
        <v>0</v>
      </c>
      <c r="U5313" s="22">
        <f t="shared" si="332"/>
        <v>0</v>
      </c>
      <c r="V5313">
        <f t="shared" si="333"/>
        <v>0</v>
      </c>
      <c r="W5313" s="22">
        <f t="shared" si="334"/>
        <v>0</v>
      </c>
    </row>
    <row r="5314" spans="1:23" hidden="1" x14ac:dyDescent="0.25">
      <c r="A5314" s="3">
        <v>46091</v>
      </c>
      <c r="B5314" s="4" t="s">
        <v>334</v>
      </c>
      <c r="C5314" s="4" t="s">
        <v>695</v>
      </c>
      <c r="D5314" s="4"/>
      <c r="E5314" s="4"/>
      <c r="F5314" s="4" t="s">
        <v>2482</v>
      </c>
      <c r="G5314" s="4" t="s">
        <v>1945</v>
      </c>
      <c r="H5314" s="4" t="s">
        <v>289</v>
      </c>
      <c r="I5314" s="4">
        <v>1.42</v>
      </c>
      <c r="J5314" s="21">
        <v>59</v>
      </c>
      <c r="K5314" s="21">
        <v>0</v>
      </c>
      <c r="L5314" s="5">
        <v>0</v>
      </c>
      <c r="M5314" s="4"/>
      <c r="N5314" s="4"/>
      <c r="O5314" s="5"/>
      <c r="P5314" s="5"/>
      <c r="Q5314" s="21">
        <v>83.78</v>
      </c>
      <c r="R5314" s="21">
        <v>0</v>
      </c>
      <c r="S5314" s="5">
        <f t="shared" si="331"/>
        <v>70619.637073026417</v>
      </c>
      <c r="T5314" cm="1">
        <f t="array" ref="T5314">IF(OR(B5314="MAL ALIMI", B5314="ÜRETİM GİRİŞ"), MIN(I5314, MAX(0, I5314 + SUM(SUMIFS($I$1:I5313, $C$1:C5313, C5314, $B$1:B5313, {"MAL ALIMI","ÜRETİM GİRİŞ"})) - VLOOKUP(C5314, 'STOK RAPORU'!$C$2:$I$1000, 4, 0))), 0)</f>
        <v>0</v>
      </c>
      <c r="U5314" s="22">
        <f t="shared" si="332"/>
        <v>0</v>
      </c>
      <c r="V5314">
        <f t="shared" si="333"/>
        <v>0</v>
      </c>
      <c r="W5314" s="22">
        <f t="shared" si="334"/>
        <v>0</v>
      </c>
    </row>
    <row r="5315" spans="1:23" hidden="1" x14ac:dyDescent="0.25">
      <c r="A5315" s="3">
        <v>46091</v>
      </c>
      <c r="B5315" s="4" t="s">
        <v>334</v>
      </c>
      <c r="C5315" s="4" t="s">
        <v>89</v>
      </c>
      <c r="D5315" s="4"/>
      <c r="E5315" s="4"/>
      <c r="F5315" s="4" t="s">
        <v>2482</v>
      </c>
      <c r="G5315" s="4" t="s">
        <v>1945</v>
      </c>
      <c r="H5315" s="4" t="s">
        <v>289</v>
      </c>
      <c r="I5315" s="4">
        <v>0.3</v>
      </c>
      <c r="J5315" s="21">
        <v>440</v>
      </c>
      <c r="K5315" s="21">
        <v>0</v>
      </c>
      <c r="L5315" s="5">
        <v>0</v>
      </c>
      <c r="M5315" s="4"/>
      <c r="N5315" s="4"/>
      <c r="O5315" s="5"/>
      <c r="P5315" s="5"/>
      <c r="Q5315" s="21">
        <v>132</v>
      </c>
      <c r="R5315" s="21">
        <v>0</v>
      </c>
      <c r="S5315" s="5">
        <f t="shared" si="331"/>
        <v>70751.637073026417</v>
      </c>
      <c r="T5315" cm="1">
        <f t="array" ref="T5315">IF(OR(B5315="MAL ALIMI", B5315="ÜRETİM GİRİŞ"), MIN(I5315, MAX(0, I5315 + SUM(SUMIFS($I$1:I5314, $C$1:C5314, C5315, $B$1:B5314, {"MAL ALIMI","ÜRETİM GİRİŞ"})) - VLOOKUP(C5315, 'STOK RAPORU'!$C$2:$I$1000, 4, 0))), 0)</f>
        <v>0</v>
      </c>
      <c r="U5315" s="22">
        <f t="shared" si="332"/>
        <v>0</v>
      </c>
      <c r="V5315">
        <f t="shared" si="333"/>
        <v>0</v>
      </c>
      <c r="W5315" s="22">
        <f t="shared" si="334"/>
        <v>0</v>
      </c>
    </row>
    <row r="5316" spans="1:23" hidden="1" x14ac:dyDescent="0.25">
      <c r="A5316" s="3">
        <v>46091</v>
      </c>
      <c r="B5316" s="4" t="s">
        <v>334</v>
      </c>
      <c r="C5316" s="4" t="s">
        <v>137</v>
      </c>
      <c r="D5316" s="4"/>
      <c r="E5316" s="4"/>
      <c r="F5316" s="4" t="s">
        <v>2482</v>
      </c>
      <c r="G5316" s="4" t="s">
        <v>1945</v>
      </c>
      <c r="H5316" s="4" t="s">
        <v>289</v>
      </c>
      <c r="I5316" s="4">
        <v>0.75</v>
      </c>
      <c r="J5316" s="21">
        <v>80</v>
      </c>
      <c r="K5316" s="21">
        <v>0</v>
      </c>
      <c r="L5316" s="5">
        <v>0</v>
      </c>
      <c r="M5316" s="4"/>
      <c r="N5316" s="4"/>
      <c r="O5316" s="5"/>
      <c r="P5316" s="5"/>
      <c r="Q5316" s="21">
        <v>60</v>
      </c>
      <c r="R5316" s="21">
        <v>0</v>
      </c>
      <c r="S5316" s="5">
        <f t="shared" ref="S5316:S5379" si="335">S5315+Q5316-R5316</f>
        <v>70811.637073026417</v>
      </c>
      <c r="T5316" cm="1">
        <f t="array" ref="T5316">IF(OR(B5316="MAL ALIMI", B5316="ÜRETİM GİRİŞ"), MIN(I5316, MAX(0, I5316 + SUM(SUMIFS($I$1:I5315, $C$1:C5315, C5316, $B$1:B5315, {"MAL ALIMI","ÜRETİM GİRİŞ"})) - VLOOKUP(C5316, 'STOK RAPORU'!$C$2:$I$1000, 4, 0))), 0)</f>
        <v>0</v>
      </c>
      <c r="U5316" s="22">
        <f t="shared" si="332"/>
        <v>0</v>
      </c>
      <c r="V5316">
        <f t="shared" si="333"/>
        <v>0</v>
      </c>
      <c r="W5316" s="22">
        <f t="shared" si="334"/>
        <v>0</v>
      </c>
    </row>
    <row r="5317" spans="1:23" hidden="1" x14ac:dyDescent="0.25">
      <c r="A5317" s="3">
        <v>46091</v>
      </c>
      <c r="B5317" s="4" t="s">
        <v>334</v>
      </c>
      <c r="C5317" s="4" t="s">
        <v>203</v>
      </c>
      <c r="D5317" s="4"/>
      <c r="E5317" s="4"/>
      <c r="F5317" s="4" t="s">
        <v>2482</v>
      </c>
      <c r="G5317" s="4" t="s">
        <v>1945</v>
      </c>
      <c r="H5317" s="4" t="s">
        <v>289</v>
      </c>
      <c r="I5317" s="4">
        <v>0.5</v>
      </c>
      <c r="J5317" s="21">
        <v>15</v>
      </c>
      <c r="K5317" s="21">
        <v>0</v>
      </c>
      <c r="L5317" s="5">
        <v>0</v>
      </c>
      <c r="M5317" s="4"/>
      <c r="N5317" s="4"/>
      <c r="O5317" s="5"/>
      <c r="P5317" s="5"/>
      <c r="Q5317" s="21">
        <v>7.5</v>
      </c>
      <c r="R5317" s="21">
        <v>0</v>
      </c>
      <c r="S5317" s="5">
        <f t="shared" si="335"/>
        <v>70819.137073026417</v>
      </c>
      <c r="T5317" cm="1">
        <f t="array" ref="T5317">IF(OR(B5317="MAL ALIMI", B5317="ÜRETİM GİRİŞ"), MIN(I5317, MAX(0, I5317 + SUM(SUMIFS($I$1:I5316, $C$1:C5316, C5317, $B$1:B5316, {"MAL ALIMI","ÜRETİM GİRİŞ"})) - VLOOKUP(C5317, 'STOK RAPORU'!$C$2:$I$1000, 4, 0))), 0)</f>
        <v>0</v>
      </c>
      <c r="U5317" s="22">
        <f t="shared" si="332"/>
        <v>0</v>
      </c>
      <c r="V5317">
        <f t="shared" si="333"/>
        <v>0</v>
      </c>
      <c r="W5317" s="22">
        <f t="shared" si="334"/>
        <v>0</v>
      </c>
    </row>
    <row r="5318" spans="1:23" hidden="1" x14ac:dyDescent="0.25">
      <c r="A5318" s="3">
        <v>46091</v>
      </c>
      <c r="B5318" s="4" t="s">
        <v>334</v>
      </c>
      <c r="C5318" s="4" t="s">
        <v>202</v>
      </c>
      <c r="D5318" s="4"/>
      <c r="E5318" s="4"/>
      <c r="F5318" s="4" t="s">
        <v>2482</v>
      </c>
      <c r="G5318" s="4" t="s">
        <v>1945</v>
      </c>
      <c r="H5318" s="4" t="s">
        <v>289</v>
      </c>
      <c r="I5318" s="4">
        <v>2.5</v>
      </c>
      <c r="J5318" s="21">
        <v>15</v>
      </c>
      <c r="K5318" s="21">
        <v>0</v>
      </c>
      <c r="L5318" s="5">
        <v>0</v>
      </c>
      <c r="M5318" s="4"/>
      <c r="N5318" s="4"/>
      <c r="O5318" s="5"/>
      <c r="P5318" s="5"/>
      <c r="Q5318" s="21">
        <v>37.5</v>
      </c>
      <c r="R5318" s="21">
        <v>0</v>
      </c>
      <c r="S5318" s="5">
        <f t="shared" si="335"/>
        <v>70856.637073026417</v>
      </c>
      <c r="T5318" cm="1">
        <f t="array" ref="T5318">IF(OR(B5318="MAL ALIMI", B5318="ÜRETİM GİRİŞ"), MIN(I5318, MAX(0, I5318 + SUM(SUMIFS($I$1:I5317, $C$1:C5317, C5318, $B$1:B5317, {"MAL ALIMI","ÜRETİM GİRİŞ"})) - VLOOKUP(C5318, 'STOK RAPORU'!$C$2:$I$1000, 4, 0))), 0)</f>
        <v>0</v>
      </c>
      <c r="U5318" s="22">
        <f t="shared" si="332"/>
        <v>0</v>
      </c>
      <c r="V5318">
        <f t="shared" si="333"/>
        <v>0</v>
      </c>
      <c r="W5318" s="22">
        <f t="shared" si="334"/>
        <v>0</v>
      </c>
    </row>
    <row r="5319" spans="1:23" hidden="1" x14ac:dyDescent="0.25">
      <c r="A5319" s="3">
        <v>46091</v>
      </c>
      <c r="B5319" s="4" t="s">
        <v>334</v>
      </c>
      <c r="C5319" s="4" t="s">
        <v>529</v>
      </c>
      <c r="D5319" s="4"/>
      <c r="E5319" s="4"/>
      <c r="F5319" s="4" t="s">
        <v>2482</v>
      </c>
      <c r="G5319" s="4" t="s">
        <v>1945</v>
      </c>
      <c r="H5319" s="4" t="s">
        <v>289</v>
      </c>
      <c r="I5319" s="4">
        <v>0.86</v>
      </c>
      <c r="J5319" s="21">
        <v>125</v>
      </c>
      <c r="K5319" s="21">
        <v>0</v>
      </c>
      <c r="L5319" s="5">
        <v>0</v>
      </c>
      <c r="M5319" s="4"/>
      <c r="N5319" s="4"/>
      <c r="O5319" s="5"/>
      <c r="P5319" s="5"/>
      <c r="Q5319" s="21">
        <v>107.5</v>
      </c>
      <c r="R5319" s="21">
        <v>0</v>
      </c>
      <c r="S5319" s="5">
        <f t="shared" si="335"/>
        <v>70964.137073026417</v>
      </c>
      <c r="T5319" cm="1">
        <f t="array" ref="T5319">IF(OR(B5319="MAL ALIMI", B5319="ÜRETİM GİRİŞ"), MIN(I5319, MAX(0, I5319 + SUM(SUMIFS($I$1:I5318, $C$1:C5318, C5319, $B$1:B5318, {"MAL ALIMI","ÜRETİM GİRİŞ"})) - VLOOKUP(C5319, 'STOK RAPORU'!$C$2:$I$1000, 4, 0))), 0)</f>
        <v>0</v>
      </c>
      <c r="U5319" s="22">
        <f t="shared" si="332"/>
        <v>0</v>
      </c>
      <c r="V5319">
        <f t="shared" si="333"/>
        <v>0</v>
      </c>
      <c r="W5319" s="22">
        <f t="shared" si="334"/>
        <v>0</v>
      </c>
    </row>
    <row r="5320" spans="1:23" hidden="1" x14ac:dyDescent="0.25">
      <c r="A5320" s="3">
        <v>46091</v>
      </c>
      <c r="B5320" s="4" t="s">
        <v>334</v>
      </c>
      <c r="C5320" s="4" t="s">
        <v>679</v>
      </c>
      <c r="D5320" s="4"/>
      <c r="E5320" s="4"/>
      <c r="F5320" s="4" t="s">
        <v>2482</v>
      </c>
      <c r="G5320" s="4" t="s">
        <v>1884</v>
      </c>
      <c r="H5320" s="4" t="s">
        <v>289</v>
      </c>
      <c r="I5320" s="4">
        <v>0.5</v>
      </c>
      <c r="J5320" s="21">
        <v>200</v>
      </c>
      <c r="K5320" s="21">
        <v>0</v>
      </c>
      <c r="L5320" s="5">
        <v>0</v>
      </c>
      <c r="M5320" s="4"/>
      <c r="N5320" s="4"/>
      <c r="O5320" s="5"/>
      <c r="P5320" s="5"/>
      <c r="Q5320" s="21">
        <v>100</v>
      </c>
      <c r="R5320" s="21">
        <v>0</v>
      </c>
      <c r="S5320" s="5">
        <f t="shared" si="335"/>
        <v>71064.137073026417</v>
      </c>
      <c r="T5320" cm="1">
        <f t="array" ref="T5320">IF(OR(B5320="MAL ALIMI", B5320="ÜRETİM GİRİŞ"), MIN(I5320, MAX(0, I5320 + SUM(SUMIFS($I$1:I5319, $C$1:C5319, C5320, $B$1:B5319, {"MAL ALIMI","ÜRETİM GİRİŞ"})) - VLOOKUP(C5320, 'STOK RAPORU'!$C$2:$I$1000, 4, 0))), 0)</f>
        <v>0</v>
      </c>
      <c r="U5320" s="22">
        <f t="shared" si="332"/>
        <v>0</v>
      </c>
      <c r="V5320">
        <f t="shared" si="333"/>
        <v>0</v>
      </c>
      <c r="W5320" s="22">
        <f t="shared" si="334"/>
        <v>0</v>
      </c>
    </row>
    <row r="5321" spans="1:23" hidden="1" x14ac:dyDescent="0.25">
      <c r="A5321" s="3">
        <v>46091</v>
      </c>
      <c r="B5321" s="4" t="s">
        <v>334</v>
      </c>
      <c r="C5321" s="4" t="s">
        <v>1176</v>
      </c>
      <c r="D5321" s="4"/>
      <c r="E5321" s="4"/>
      <c r="F5321" s="4" t="s">
        <v>2482</v>
      </c>
      <c r="G5321" s="4" t="s">
        <v>1884</v>
      </c>
      <c r="H5321" s="4" t="s">
        <v>289</v>
      </c>
      <c r="I5321" s="4">
        <v>0.2</v>
      </c>
      <c r="J5321" s="21">
        <v>1500</v>
      </c>
      <c r="K5321" s="21">
        <v>0</v>
      </c>
      <c r="L5321" s="5">
        <v>0</v>
      </c>
      <c r="M5321" s="4"/>
      <c r="N5321" s="4"/>
      <c r="O5321" s="5"/>
      <c r="P5321" s="5"/>
      <c r="Q5321" s="21">
        <v>300</v>
      </c>
      <c r="R5321" s="21">
        <v>0</v>
      </c>
      <c r="S5321" s="5">
        <f t="shared" si="335"/>
        <v>71364.137073026417</v>
      </c>
      <c r="T5321" cm="1">
        <f t="array" ref="T5321">IF(OR(B5321="MAL ALIMI", B5321="ÜRETİM GİRİŞ"), MIN(I5321, MAX(0, I5321 + SUM(SUMIFS($I$1:I5320, $C$1:C5320, C5321, $B$1:B5320, {"MAL ALIMI","ÜRETİM GİRİŞ"})) - VLOOKUP(C5321, 'STOK RAPORU'!$C$2:$I$1000, 4, 0))), 0)</f>
        <v>0</v>
      </c>
      <c r="U5321" s="22">
        <f t="shared" si="332"/>
        <v>0</v>
      </c>
      <c r="V5321">
        <f t="shared" si="333"/>
        <v>0</v>
      </c>
      <c r="W5321" s="22">
        <f t="shared" si="334"/>
        <v>0</v>
      </c>
    </row>
    <row r="5322" spans="1:23" hidden="1" x14ac:dyDescent="0.25">
      <c r="A5322" s="3">
        <v>46091</v>
      </c>
      <c r="B5322" s="4" t="s">
        <v>334</v>
      </c>
      <c r="C5322" s="4" t="s">
        <v>1443</v>
      </c>
      <c r="D5322" s="4"/>
      <c r="E5322" s="4"/>
      <c r="F5322" s="4" t="s">
        <v>2482</v>
      </c>
      <c r="G5322" s="4" t="s">
        <v>1884</v>
      </c>
      <c r="H5322" s="4" t="s">
        <v>289</v>
      </c>
      <c r="I5322" s="4">
        <v>5</v>
      </c>
      <c r="J5322" s="21">
        <v>10</v>
      </c>
      <c r="K5322" s="21">
        <v>0</v>
      </c>
      <c r="L5322" s="5">
        <v>0</v>
      </c>
      <c r="M5322" s="4"/>
      <c r="N5322" s="4"/>
      <c r="O5322" s="5"/>
      <c r="P5322" s="5"/>
      <c r="Q5322" s="21">
        <v>50</v>
      </c>
      <c r="R5322" s="21">
        <v>0</v>
      </c>
      <c r="S5322" s="5">
        <f t="shared" si="335"/>
        <v>71414.137073026417</v>
      </c>
      <c r="T5322" cm="1">
        <f t="array" ref="T5322">IF(OR(B5322="MAL ALIMI", B5322="ÜRETİM GİRİŞ"), MIN(I5322, MAX(0, I5322 + SUM(SUMIFS($I$1:I5321, $C$1:C5321, C5322, $B$1:B5321, {"MAL ALIMI","ÜRETİM GİRİŞ"})) - VLOOKUP(C5322, 'STOK RAPORU'!$C$2:$I$1000, 4, 0))), 0)</f>
        <v>0</v>
      </c>
      <c r="U5322" s="22">
        <f t="shared" si="332"/>
        <v>0</v>
      </c>
      <c r="V5322">
        <f t="shared" si="333"/>
        <v>0</v>
      </c>
      <c r="W5322" s="22">
        <f t="shared" si="334"/>
        <v>0</v>
      </c>
    </row>
    <row r="5323" spans="1:23" hidden="1" x14ac:dyDescent="0.25">
      <c r="A5323" s="3">
        <v>46091</v>
      </c>
      <c r="B5323" s="4" t="s">
        <v>334</v>
      </c>
      <c r="C5323" s="4" t="s">
        <v>697</v>
      </c>
      <c r="D5323" s="4"/>
      <c r="E5323" s="4"/>
      <c r="F5323" s="4" t="s">
        <v>2482</v>
      </c>
      <c r="G5323" s="4" t="s">
        <v>1884</v>
      </c>
      <c r="H5323" s="4" t="s">
        <v>289</v>
      </c>
      <c r="I5323" s="4">
        <v>0.1</v>
      </c>
      <c r="J5323" s="21">
        <v>240</v>
      </c>
      <c r="K5323" s="21">
        <v>0</v>
      </c>
      <c r="L5323" s="5">
        <v>0</v>
      </c>
      <c r="M5323" s="4"/>
      <c r="N5323" s="4"/>
      <c r="O5323" s="5"/>
      <c r="P5323" s="5"/>
      <c r="Q5323" s="21">
        <v>24</v>
      </c>
      <c r="R5323" s="21">
        <v>0</v>
      </c>
      <c r="S5323" s="5">
        <f t="shared" si="335"/>
        <v>71438.137073026417</v>
      </c>
      <c r="T5323" cm="1">
        <f t="array" ref="T5323">IF(OR(B5323="MAL ALIMI", B5323="ÜRETİM GİRİŞ"), MIN(I5323, MAX(0, I5323 + SUM(SUMIFS($I$1:I5322, $C$1:C5322, C5323, $B$1:B5322, {"MAL ALIMI","ÜRETİM GİRİŞ"})) - VLOOKUP(C5323, 'STOK RAPORU'!$C$2:$I$1000, 4, 0))), 0)</f>
        <v>0</v>
      </c>
      <c r="U5323" s="22">
        <f t="shared" si="332"/>
        <v>0</v>
      </c>
      <c r="V5323">
        <f t="shared" si="333"/>
        <v>0</v>
      </c>
      <c r="W5323" s="22">
        <f t="shared" si="334"/>
        <v>0</v>
      </c>
    </row>
    <row r="5324" spans="1:23" hidden="1" x14ac:dyDescent="0.25">
      <c r="A5324" s="3">
        <v>46091</v>
      </c>
      <c r="B5324" s="4" t="s">
        <v>334</v>
      </c>
      <c r="C5324" s="4" t="s">
        <v>237</v>
      </c>
      <c r="D5324" s="4"/>
      <c r="E5324" s="4"/>
      <c r="F5324" s="4" t="s">
        <v>2482</v>
      </c>
      <c r="G5324" s="4" t="s">
        <v>1884</v>
      </c>
      <c r="H5324" s="4" t="s">
        <v>289</v>
      </c>
      <c r="I5324" s="4">
        <v>0.26</v>
      </c>
      <c r="J5324" s="21">
        <v>600</v>
      </c>
      <c r="K5324" s="21">
        <v>0</v>
      </c>
      <c r="L5324" s="5">
        <v>0</v>
      </c>
      <c r="M5324" s="4"/>
      <c r="N5324" s="4"/>
      <c r="O5324" s="5"/>
      <c r="P5324" s="5"/>
      <c r="Q5324" s="21">
        <v>156</v>
      </c>
      <c r="R5324" s="21">
        <v>0</v>
      </c>
      <c r="S5324" s="5">
        <f t="shared" si="335"/>
        <v>71594.137073026417</v>
      </c>
      <c r="T5324" cm="1">
        <f t="array" ref="T5324">IF(OR(B5324="MAL ALIMI", B5324="ÜRETİM GİRİŞ"), MIN(I5324, MAX(0, I5324 + SUM(SUMIFS($I$1:I5323, $C$1:C5323, C5324, $B$1:B5323, {"MAL ALIMI","ÜRETİM GİRİŞ"})) - VLOOKUP(C5324, 'STOK RAPORU'!$C$2:$I$1000, 4, 0))), 0)</f>
        <v>0</v>
      </c>
      <c r="U5324" s="22">
        <f t="shared" si="332"/>
        <v>0</v>
      </c>
      <c r="V5324">
        <f t="shared" si="333"/>
        <v>0</v>
      </c>
      <c r="W5324" s="22">
        <f t="shared" si="334"/>
        <v>0</v>
      </c>
    </row>
    <row r="5325" spans="1:23" hidden="1" x14ac:dyDescent="0.25">
      <c r="A5325" s="3">
        <v>46091</v>
      </c>
      <c r="B5325" s="4" t="s">
        <v>334</v>
      </c>
      <c r="C5325" s="4" t="s">
        <v>892</v>
      </c>
      <c r="D5325" s="4"/>
      <c r="E5325" s="4"/>
      <c r="F5325" s="4" t="s">
        <v>2482</v>
      </c>
      <c r="G5325" s="4" t="s">
        <v>1884</v>
      </c>
      <c r="H5325" s="4" t="s">
        <v>289</v>
      </c>
      <c r="I5325" s="4">
        <v>2</v>
      </c>
      <c r="J5325" s="21">
        <v>25</v>
      </c>
      <c r="K5325" s="21">
        <v>0</v>
      </c>
      <c r="L5325" s="5">
        <v>0</v>
      </c>
      <c r="M5325" s="4"/>
      <c r="N5325" s="4"/>
      <c r="O5325" s="5"/>
      <c r="P5325" s="5"/>
      <c r="Q5325" s="21">
        <v>50</v>
      </c>
      <c r="R5325" s="21">
        <v>0</v>
      </c>
      <c r="S5325" s="5">
        <f t="shared" si="335"/>
        <v>71644.137073026417</v>
      </c>
      <c r="T5325" cm="1">
        <f t="array" ref="T5325">IF(OR(B5325="MAL ALIMI", B5325="ÜRETİM GİRİŞ"), MIN(I5325, MAX(0, I5325 + SUM(SUMIFS($I$1:I5324, $C$1:C5324, C5325, $B$1:B5324, {"MAL ALIMI","ÜRETİM GİRİŞ"})) - VLOOKUP(C5325, 'STOK RAPORU'!$C$2:$I$1000, 4, 0))), 0)</f>
        <v>0</v>
      </c>
      <c r="U5325" s="22">
        <f t="shared" si="332"/>
        <v>0</v>
      </c>
      <c r="V5325">
        <f t="shared" si="333"/>
        <v>0</v>
      </c>
      <c r="W5325" s="22">
        <f t="shared" si="334"/>
        <v>0</v>
      </c>
    </row>
    <row r="5326" spans="1:23" hidden="1" x14ac:dyDescent="0.25">
      <c r="A5326" s="3">
        <v>46091</v>
      </c>
      <c r="B5326" s="4" t="s">
        <v>334</v>
      </c>
      <c r="C5326" s="4" t="s">
        <v>156</v>
      </c>
      <c r="D5326" s="4"/>
      <c r="E5326" s="4"/>
      <c r="F5326" s="4" t="s">
        <v>2482</v>
      </c>
      <c r="G5326" s="4" t="s">
        <v>1884</v>
      </c>
      <c r="H5326" s="4" t="s">
        <v>289</v>
      </c>
      <c r="I5326" s="4">
        <v>4.6779999999999973</v>
      </c>
      <c r="J5326" s="21">
        <v>98.191199999999995</v>
      </c>
      <c r="K5326" s="21">
        <v>0</v>
      </c>
      <c r="L5326" s="5">
        <v>0</v>
      </c>
      <c r="M5326" s="4"/>
      <c r="N5326" s="4"/>
      <c r="O5326" s="5"/>
      <c r="P5326" s="5"/>
      <c r="Q5326" s="21">
        <v>459.33843359999969</v>
      </c>
      <c r="R5326" s="21">
        <v>0</v>
      </c>
      <c r="S5326" s="5">
        <f t="shared" si="335"/>
        <v>72103.475506626419</v>
      </c>
      <c r="T5326" cm="1">
        <f t="array" ref="T5326">IF(OR(B5326="MAL ALIMI", B5326="ÜRETİM GİRİŞ"), MIN(I5326, MAX(0, I5326 + SUM(SUMIFS($I$1:I5325, $C$1:C5325, C5326, $B$1:B5325, {"MAL ALIMI","ÜRETİM GİRİŞ"})) - VLOOKUP(C5326, 'STOK RAPORU'!$C$2:$I$1000, 4, 0))), 0)</f>
        <v>0</v>
      </c>
      <c r="U5326" s="22">
        <f t="shared" si="332"/>
        <v>0</v>
      </c>
      <c r="V5326">
        <f t="shared" si="333"/>
        <v>0</v>
      </c>
      <c r="W5326" s="22">
        <f t="shared" si="334"/>
        <v>0</v>
      </c>
    </row>
    <row r="5327" spans="1:23" hidden="1" x14ac:dyDescent="0.25">
      <c r="A5327" s="3">
        <v>46091</v>
      </c>
      <c r="B5327" s="4" t="s">
        <v>334</v>
      </c>
      <c r="C5327" s="4" t="s">
        <v>157</v>
      </c>
      <c r="D5327" s="4"/>
      <c r="E5327" s="4"/>
      <c r="F5327" s="4" t="s">
        <v>2482</v>
      </c>
      <c r="G5327" s="4" t="s">
        <v>1884</v>
      </c>
      <c r="H5327" s="4" t="s">
        <v>289</v>
      </c>
      <c r="I5327" s="4">
        <v>9.7856666666666143</v>
      </c>
      <c r="J5327" s="21">
        <v>98.191199999999995</v>
      </c>
      <c r="K5327" s="21">
        <v>0</v>
      </c>
      <c r="L5327" s="5">
        <v>0</v>
      </c>
      <c r="M5327" s="4"/>
      <c r="N5327" s="4"/>
      <c r="O5327" s="5"/>
      <c r="P5327" s="5"/>
      <c r="Q5327" s="21">
        <v>960.86635279999484</v>
      </c>
      <c r="R5327" s="21">
        <v>0</v>
      </c>
      <c r="S5327" s="5">
        <f t="shared" si="335"/>
        <v>73064.341859426408</v>
      </c>
      <c r="T5327" cm="1">
        <f t="array" ref="T5327">IF(OR(B5327="MAL ALIMI", B5327="ÜRETİM GİRİŞ"), MIN(I5327, MAX(0, I5327 + SUM(SUMIFS($I$1:I5326, $C$1:C5326, C5327, $B$1:B5326, {"MAL ALIMI","ÜRETİM GİRİŞ"})) - VLOOKUP(C5327, 'STOK RAPORU'!$C$2:$I$1000, 4, 0))), 0)</f>
        <v>0</v>
      </c>
      <c r="U5327" s="22">
        <f t="shared" si="332"/>
        <v>0</v>
      </c>
      <c r="V5327">
        <f t="shared" si="333"/>
        <v>0</v>
      </c>
      <c r="W5327" s="22">
        <f t="shared" si="334"/>
        <v>0</v>
      </c>
    </row>
    <row r="5328" spans="1:23" hidden="1" x14ac:dyDescent="0.25">
      <c r="A5328" s="3">
        <v>46091</v>
      </c>
      <c r="B5328" s="4" t="s">
        <v>334</v>
      </c>
      <c r="C5328" s="4" t="s">
        <v>158</v>
      </c>
      <c r="D5328" s="4"/>
      <c r="E5328" s="4"/>
      <c r="F5328" s="4" t="s">
        <v>2482</v>
      </c>
      <c r="G5328" s="4" t="s">
        <v>1884</v>
      </c>
      <c r="H5328" s="4" t="s">
        <v>289</v>
      </c>
      <c r="I5328" s="4">
        <v>26.637666666666689</v>
      </c>
      <c r="J5328" s="21">
        <v>65.891435000000001</v>
      </c>
      <c r="K5328" s="21">
        <v>0</v>
      </c>
      <c r="L5328" s="5">
        <v>0</v>
      </c>
      <c r="M5328" s="4"/>
      <c r="N5328" s="4"/>
      <c r="O5328" s="5"/>
      <c r="P5328" s="5"/>
      <c r="Q5328" s="21">
        <v>1755.1940817183349</v>
      </c>
      <c r="R5328" s="21">
        <v>0</v>
      </c>
      <c r="S5328" s="5">
        <f t="shared" si="335"/>
        <v>74819.535941144743</v>
      </c>
      <c r="T5328" cm="1">
        <f t="array" ref="T5328">IF(OR(B5328="MAL ALIMI", B5328="ÜRETİM GİRİŞ"), MIN(I5328, MAX(0, I5328 + SUM(SUMIFS($I$1:I5327, $C$1:C5327, C5328, $B$1:B5327, {"MAL ALIMI","ÜRETİM GİRİŞ"})) - VLOOKUP(C5328, 'STOK RAPORU'!$C$2:$I$1000, 4, 0))), 0)</f>
        <v>0</v>
      </c>
      <c r="U5328" s="22">
        <f t="shared" si="332"/>
        <v>0</v>
      </c>
      <c r="V5328">
        <f t="shared" si="333"/>
        <v>0</v>
      </c>
      <c r="W5328" s="22">
        <f t="shared" si="334"/>
        <v>0</v>
      </c>
    </row>
    <row r="5329" spans="1:23" hidden="1" x14ac:dyDescent="0.25">
      <c r="A5329" s="3">
        <v>46091</v>
      </c>
      <c r="B5329" s="4" t="s">
        <v>334</v>
      </c>
      <c r="C5329" s="4" t="s">
        <v>585</v>
      </c>
      <c r="D5329" s="4"/>
      <c r="E5329" s="4"/>
      <c r="F5329" s="4" t="s">
        <v>2482</v>
      </c>
      <c r="G5329" s="4" t="s">
        <v>1884</v>
      </c>
      <c r="H5329" s="4" t="s">
        <v>289</v>
      </c>
      <c r="I5329" s="4">
        <v>0.57999999999999829</v>
      </c>
      <c r="J5329" s="21">
        <v>94.316627906976748</v>
      </c>
      <c r="K5329" s="21">
        <v>0</v>
      </c>
      <c r="L5329" s="5">
        <v>0</v>
      </c>
      <c r="M5329" s="4"/>
      <c r="N5329" s="4"/>
      <c r="O5329" s="5"/>
      <c r="P5329" s="5"/>
      <c r="Q5329" s="21">
        <v>54.703644186046354</v>
      </c>
      <c r="R5329" s="21">
        <v>0</v>
      </c>
      <c r="S5329" s="5">
        <f t="shared" si="335"/>
        <v>74874.239585330783</v>
      </c>
      <c r="T5329" cm="1">
        <f t="array" ref="T5329">IF(OR(B5329="MAL ALIMI", B5329="ÜRETİM GİRİŞ"), MIN(I5329, MAX(0, I5329 + SUM(SUMIFS($I$1:I5328, $C$1:C5328, C5329, $B$1:B5328, {"MAL ALIMI","ÜRETİM GİRİŞ"})) - VLOOKUP(C5329, 'STOK RAPORU'!$C$2:$I$1000, 4, 0))), 0)</f>
        <v>0</v>
      </c>
      <c r="U5329" s="22">
        <f t="shared" si="332"/>
        <v>0</v>
      </c>
      <c r="V5329">
        <f t="shared" si="333"/>
        <v>0</v>
      </c>
      <c r="W5329" s="22">
        <f t="shared" si="334"/>
        <v>0</v>
      </c>
    </row>
    <row r="5330" spans="1:23" hidden="1" x14ac:dyDescent="0.25">
      <c r="A5330" s="3">
        <v>46091</v>
      </c>
      <c r="B5330" s="4" t="s">
        <v>334</v>
      </c>
      <c r="C5330" s="4" t="s">
        <v>586</v>
      </c>
      <c r="D5330" s="4"/>
      <c r="E5330" s="4"/>
      <c r="F5330" s="4" t="s">
        <v>2482</v>
      </c>
      <c r="G5330" s="4" t="s">
        <v>1884</v>
      </c>
      <c r="H5330" s="4" t="s">
        <v>289</v>
      </c>
      <c r="I5330" s="4">
        <v>0.45000000000000284</v>
      </c>
      <c r="J5330" s="21">
        <v>94.74666666666667</v>
      </c>
      <c r="K5330" s="21">
        <v>0</v>
      </c>
      <c r="L5330" s="5">
        <v>0</v>
      </c>
      <c r="M5330" s="4"/>
      <c r="N5330" s="4"/>
      <c r="O5330" s="5"/>
      <c r="P5330" s="5"/>
      <c r="Q5330" s="21">
        <v>42.636000000000273</v>
      </c>
      <c r="R5330" s="21">
        <v>0</v>
      </c>
      <c r="S5330" s="5">
        <f t="shared" si="335"/>
        <v>74916.875585330781</v>
      </c>
      <c r="T5330" cm="1">
        <f t="array" ref="T5330">IF(OR(B5330="MAL ALIMI", B5330="ÜRETİM GİRİŞ"), MIN(I5330, MAX(0, I5330 + SUM(SUMIFS($I$1:I5329, $C$1:C5329, C5330, $B$1:B5329, {"MAL ALIMI","ÜRETİM GİRİŞ"})) - VLOOKUP(C5330, 'STOK RAPORU'!$C$2:$I$1000, 4, 0))), 0)</f>
        <v>0</v>
      </c>
      <c r="U5330" s="22">
        <f t="shared" si="332"/>
        <v>0</v>
      </c>
      <c r="V5330">
        <f t="shared" si="333"/>
        <v>0</v>
      </c>
      <c r="W5330" s="22">
        <f t="shared" si="334"/>
        <v>0</v>
      </c>
    </row>
    <row r="5331" spans="1:23" hidden="1" x14ac:dyDescent="0.25">
      <c r="A5331" s="3">
        <v>46091</v>
      </c>
      <c r="B5331" s="4" t="s">
        <v>334</v>
      </c>
      <c r="C5331" s="4" t="s">
        <v>587</v>
      </c>
      <c r="D5331" s="4"/>
      <c r="E5331" s="4"/>
      <c r="F5331" s="4" t="s">
        <v>2482</v>
      </c>
      <c r="G5331" s="4" t="s">
        <v>1884</v>
      </c>
      <c r="H5331" s="4" t="s">
        <v>289</v>
      </c>
      <c r="I5331" s="4">
        <v>0.73266666666665969</v>
      </c>
      <c r="J5331" s="21">
        <v>72.784233419465977</v>
      </c>
      <c r="K5331" s="21">
        <v>0</v>
      </c>
      <c r="L5331" s="5">
        <v>0</v>
      </c>
      <c r="M5331" s="4"/>
      <c r="N5331" s="4"/>
      <c r="O5331" s="5"/>
      <c r="P5331" s="5"/>
      <c r="Q5331" s="21">
        <v>53.326581685328229</v>
      </c>
      <c r="R5331" s="21">
        <v>0</v>
      </c>
      <c r="S5331" s="5">
        <f t="shared" si="335"/>
        <v>74970.202167016105</v>
      </c>
      <c r="T5331" cm="1">
        <f t="array" ref="T5331">IF(OR(B5331="MAL ALIMI", B5331="ÜRETİM GİRİŞ"), MIN(I5331, MAX(0, I5331 + SUM(SUMIFS($I$1:I5330, $C$1:C5330, C5331, $B$1:B5330, {"MAL ALIMI","ÜRETİM GİRİŞ"})) - VLOOKUP(C5331, 'STOK RAPORU'!$C$2:$I$1000, 4, 0))), 0)</f>
        <v>0</v>
      </c>
      <c r="U5331" s="22">
        <f t="shared" si="332"/>
        <v>0</v>
      </c>
      <c r="V5331">
        <f t="shared" si="333"/>
        <v>0</v>
      </c>
      <c r="W5331" s="22">
        <f t="shared" si="334"/>
        <v>0</v>
      </c>
    </row>
    <row r="5332" spans="1:23" hidden="1" x14ac:dyDescent="0.25">
      <c r="A5332" s="3">
        <v>46091</v>
      </c>
      <c r="B5332" s="4" t="s">
        <v>334</v>
      </c>
      <c r="C5332" s="4" t="s">
        <v>160</v>
      </c>
      <c r="D5332" s="4"/>
      <c r="E5332" s="4"/>
      <c r="F5332" s="4" t="s">
        <v>2482</v>
      </c>
      <c r="G5332" s="4" t="s">
        <v>1884</v>
      </c>
      <c r="H5332" s="4" t="s">
        <v>289</v>
      </c>
      <c r="I5332" s="4">
        <v>3</v>
      </c>
      <c r="J5332" s="21">
        <v>152.5</v>
      </c>
      <c r="K5332" s="21">
        <v>0</v>
      </c>
      <c r="L5332" s="5">
        <v>0</v>
      </c>
      <c r="M5332" s="4"/>
      <c r="N5332" s="4"/>
      <c r="O5332" s="5"/>
      <c r="P5332" s="5"/>
      <c r="Q5332" s="21">
        <v>457.5</v>
      </c>
      <c r="R5332" s="21">
        <v>0</v>
      </c>
      <c r="S5332" s="5">
        <f t="shared" si="335"/>
        <v>75427.702167016105</v>
      </c>
      <c r="T5332" cm="1">
        <f t="array" ref="T5332">IF(OR(B5332="MAL ALIMI", B5332="ÜRETİM GİRİŞ"), MIN(I5332, MAX(0, I5332 + SUM(SUMIFS($I$1:I5331, $C$1:C5331, C5332, $B$1:B5331, {"MAL ALIMI","ÜRETİM GİRİŞ"})) - VLOOKUP(C5332, 'STOK RAPORU'!$C$2:$I$1000, 4, 0))), 0)</f>
        <v>0</v>
      </c>
      <c r="U5332" s="22">
        <f t="shared" si="332"/>
        <v>0</v>
      </c>
      <c r="V5332">
        <f t="shared" si="333"/>
        <v>0</v>
      </c>
      <c r="W5332" s="22">
        <f t="shared" si="334"/>
        <v>0</v>
      </c>
    </row>
    <row r="5333" spans="1:23" hidden="1" x14ac:dyDescent="0.25">
      <c r="A5333" s="3">
        <v>46091</v>
      </c>
      <c r="B5333" s="4" t="s">
        <v>334</v>
      </c>
      <c r="C5333" s="4" t="s">
        <v>161</v>
      </c>
      <c r="D5333" s="4"/>
      <c r="E5333" s="4"/>
      <c r="F5333" s="4" t="s">
        <v>2482</v>
      </c>
      <c r="G5333" s="4" t="s">
        <v>1884</v>
      </c>
      <c r="H5333" s="4" t="s">
        <v>289</v>
      </c>
      <c r="I5333" s="4">
        <v>33</v>
      </c>
      <c r="J5333" s="21">
        <v>135</v>
      </c>
      <c r="K5333" s="21">
        <v>0</v>
      </c>
      <c r="L5333" s="5">
        <v>0</v>
      </c>
      <c r="M5333" s="4"/>
      <c r="N5333" s="4"/>
      <c r="O5333" s="5"/>
      <c r="P5333" s="5"/>
      <c r="Q5333" s="21">
        <v>4455</v>
      </c>
      <c r="R5333" s="21">
        <v>0</v>
      </c>
      <c r="S5333" s="5">
        <f t="shared" si="335"/>
        <v>79882.702167016105</v>
      </c>
      <c r="T5333" cm="1">
        <f t="array" ref="T5333">IF(OR(B5333="MAL ALIMI", B5333="ÜRETİM GİRİŞ"), MIN(I5333, MAX(0, I5333 + SUM(SUMIFS($I$1:I5332, $C$1:C5332, C5333, $B$1:B5332, {"MAL ALIMI","ÜRETİM GİRİŞ"})) - VLOOKUP(C5333, 'STOK RAPORU'!$C$2:$I$1000, 4, 0))), 0)</f>
        <v>0</v>
      </c>
      <c r="U5333" s="22">
        <f t="shared" si="332"/>
        <v>0</v>
      </c>
      <c r="V5333">
        <f t="shared" si="333"/>
        <v>0</v>
      </c>
      <c r="W5333" s="22">
        <f t="shared" si="334"/>
        <v>0</v>
      </c>
    </row>
    <row r="5334" spans="1:23" hidden="1" x14ac:dyDescent="0.25">
      <c r="A5334" s="3">
        <v>46091</v>
      </c>
      <c r="B5334" s="4" t="s">
        <v>334</v>
      </c>
      <c r="C5334" s="4" t="s">
        <v>2129</v>
      </c>
      <c r="D5334" s="4"/>
      <c r="E5334" s="4"/>
      <c r="F5334" s="46" t="s">
        <v>2489</v>
      </c>
      <c r="G5334" s="4" t="s">
        <v>336</v>
      </c>
      <c r="H5334" s="4" t="s">
        <v>289</v>
      </c>
      <c r="I5334" s="4">
        <v>0.23809523809523808</v>
      </c>
      <c r="J5334" s="21">
        <v>420</v>
      </c>
      <c r="K5334" s="21">
        <v>0</v>
      </c>
      <c r="L5334" s="5">
        <v>0</v>
      </c>
      <c r="M5334" s="4"/>
      <c r="N5334" s="4"/>
      <c r="O5334" s="5"/>
      <c r="P5334" s="5"/>
      <c r="Q5334" s="21">
        <v>100</v>
      </c>
      <c r="R5334" s="21">
        <v>0</v>
      </c>
      <c r="S5334" s="5">
        <f t="shared" si="335"/>
        <v>79982.702167016105</v>
      </c>
      <c r="T5334" cm="1">
        <f t="array" ref="T5334">IF(OR(B5334="MAL ALIMI", B5334="ÜRETİM GİRİŞ"), MIN(I5334, MAX(0, I5334 + SUM(SUMIFS($I$1:I5333, $C$1:C5333, C5334, $B$1:B5333, {"MAL ALIMI","ÜRETİM GİRİŞ"})) - VLOOKUP(C5334, 'STOK RAPORU'!$C$2:$I$1000, 4, 0))), 0)</f>
        <v>0</v>
      </c>
      <c r="U5334" s="22">
        <f t="shared" si="332"/>
        <v>0</v>
      </c>
      <c r="V5334">
        <f t="shared" si="333"/>
        <v>0</v>
      </c>
      <c r="W5334" s="22">
        <f t="shared" si="334"/>
        <v>0</v>
      </c>
    </row>
    <row r="5335" spans="1:23" hidden="1" x14ac:dyDescent="0.25">
      <c r="A5335" s="41">
        <v>46091</v>
      </c>
      <c r="B5335" s="42" t="s">
        <v>334</v>
      </c>
      <c r="C5335" s="42" t="s">
        <v>154</v>
      </c>
      <c r="D5335" s="42"/>
      <c r="E5335" s="42"/>
      <c r="F5335" s="42" t="s">
        <v>2490</v>
      </c>
      <c r="G5335" s="42" t="s">
        <v>2526</v>
      </c>
      <c r="H5335" s="42" t="s">
        <v>289</v>
      </c>
      <c r="I5335" s="42">
        <v>0.1</v>
      </c>
      <c r="J5335" s="43">
        <v>400</v>
      </c>
      <c r="K5335" s="43">
        <v>0</v>
      </c>
      <c r="L5335" s="44">
        <v>0</v>
      </c>
      <c r="M5335" s="42"/>
      <c r="N5335" s="42"/>
      <c r="O5335" s="44"/>
      <c r="P5335" s="44"/>
      <c r="Q5335" s="43">
        <v>40</v>
      </c>
      <c r="R5335" s="43">
        <v>0</v>
      </c>
      <c r="S5335" s="5">
        <f t="shared" si="335"/>
        <v>80022.702167016105</v>
      </c>
      <c r="T5335" cm="1">
        <f t="array" ref="T5335">IF(OR(B5335="MAL ALIMI", B5335="ÜRETİM GİRİŞ"), MIN(I5335, MAX(0, I5335 + SUM(SUMIFS($I$1:I5334, $C$1:C5334, C5335, $B$1:B5334, {"MAL ALIMI","ÜRETİM GİRİŞ"})) - VLOOKUP(C5335, 'STOK RAPORU'!$C$2:$I$1000, 4, 0))), 0)</f>
        <v>0</v>
      </c>
      <c r="U5335" s="22">
        <f t="shared" si="332"/>
        <v>0</v>
      </c>
      <c r="V5335">
        <f t="shared" si="333"/>
        <v>0</v>
      </c>
      <c r="W5335" s="22">
        <f t="shared" si="334"/>
        <v>0</v>
      </c>
    </row>
    <row r="5336" spans="1:23" hidden="1" x14ac:dyDescent="0.25">
      <c r="A5336" s="41">
        <v>46091</v>
      </c>
      <c r="B5336" s="42" t="s">
        <v>334</v>
      </c>
      <c r="C5336" s="42" t="s">
        <v>152</v>
      </c>
      <c r="D5336" s="42"/>
      <c r="E5336" s="42"/>
      <c r="F5336" s="42" t="s">
        <v>2490</v>
      </c>
      <c r="G5336" s="42" t="s">
        <v>2526</v>
      </c>
      <c r="H5336" s="42" t="s">
        <v>289</v>
      </c>
      <c r="I5336" s="42">
        <v>0.1</v>
      </c>
      <c r="J5336" s="43">
        <v>400</v>
      </c>
      <c r="K5336" s="43">
        <v>0</v>
      </c>
      <c r="L5336" s="44">
        <v>0</v>
      </c>
      <c r="M5336" s="42"/>
      <c r="N5336" s="42"/>
      <c r="O5336" s="44"/>
      <c r="P5336" s="44"/>
      <c r="Q5336" s="43">
        <v>40</v>
      </c>
      <c r="R5336" s="43">
        <v>0</v>
      </c>
      <c r="S5336" s="5">
        <f t="shared" si="335"/>
        <v>80062.702167016105</v>
      </c>
      <c r="T5336" cm="1">
        <f t="array" ref="T5336">IF(OR(B5336="MAL ALIMI", B5336="ÜRETİM GİRİŞ"), MIN(I5336, MAX(0, I5336 + SUM(SUMIFS($I$1:I5335, $C$1:C5335, C5336, $B$1:B5335, {"MAL ALIMI","ÜRETİM GİRİŞ"})) - VLOOKUP(C5336, 'STOK RAPORU'!$C$2:$I$1000, 4, 0))), 0)</f>
        <v>0</v>
      </c>
      <c r="U5336" s="22">
        <f t="shared" si="332"/>
        <v>0</v>
      </c>
      <c r="V5336">
        <f t="shared" si="333"/>
        <v>0</v>
      </c>
      <c r="W5336" s="22">
        <f t="shared" si="334"/>
        <v>0</v>
      </c>
    </row>
    <row r="5337" spans="1:23" hidden="1" x14ac:dyDescent="0.25">
      <c r="A5337" s="3">
        <v>46091</v>
      </c>
      <c r="B5337" s="4" t="s">
        <v>334</v>
      </c>
      <c r="C5337" s="4" t="s">
        <v>168</v>
      </c>
      <c r="D5337" s="4"/>
      <c r="E5337" s="4"/>
      <c r="F5337" s="46" t="s">
        <v>2491</v>
      </c>
      <c r="G5337" s="4" t="s">
        <v>336</v>
      </c>
      <c r="H5337" s="4" t="s">
        <v>289</v>
      </c>
      <c r="I5337" s="4">
        <v>1</v>
      </c>
      <c r="J5337" s="21">
        <v>200</v>
      </c>
      <c r="K5337" s="21">
        <v>0</v>
      </c>
      <c r="L5337" s="5">
        <v>0</v>
      </c>
      <c r="M5337" s="4"/>
      <c r="N5337" s="4"/>
      <c r="O5337" s="5"/>
      <c r="P5337" s="5"/>
      <c r="Q5337" s="21">
        <v>200</v>
      </c>
      <c r="R5337" s="21">
        <v>0</v>
      </c>
      <c r="S5337" s="5">
        <f t="shared" si="335"/>
        <v>80262.702167016105</v>
      </c>
      <c r="T5337" cm="1">
        <f t="array" ref="T5337">IF(OR(B5337="MAL ALIMI", B5337="ÜRETİM GİRİŞ"), MIN(I5337, MAX(0, I5337 + SUM(SUMIFS($I$1:I5336, $C$1:C5336, C5337, $B$1:B5336, {"MAL ALIMI","ÜRETİM GİRİŞ"})) - VLOOKUP(C5337, 'STOK RAPORU'!$C$2:$I$1000, 4, 0))), 0)</f>
        <v>0</v>
      </c>
      <c r="U5337" s="22">
        <f t="shared" si="332"/>
        <v>0</v>
      </c>
      <c r="V5337">
        <f t="shared" si="333"/>
        <v>0</v>
      </c>
      <c r="W5337" s="22">
        <f t="shared" si="334"/>
        <v>0</v>
      </c>
    </row>
    <row r="5338" spans="1:23" hidden="1" x14ac:dyDescent="0.25">
      <c r="A5338" s="3">
        <v>46091</v>
      </c>
      <c r="B5338" s="4" t="s">
        <v>334</v>
      </c>
      <c r="C5338" s="4" t="s">
        <v>161</v>
      </c>
      <c r="D5338" s="4"/>
      <c r="E5338" s="4" t="s">
        <v>921</v>
      </c>
      <c r="F5338" s="46" t="s">
        <v>2492</v>
      </c>
      <c r="G5338" s="4" t="s">
        <v>336</v>
      </c>
      <c r="H5338" s="4" t="s">
        <v>380</v>
      </c>
      <c r="I5338" s="4">
        <v>1</v>
      </c>
      <c r="J5338" s="21">
        <v>230</v>
      </c>
      <c r="K5338" s="21">
        <v>230</v>
      </c>
      <c r="L5338" s="5">
        <v>0</v>
      </c>
      <c r="M5338" s="4"/>
      <c r="N5338" s="4"/>
      <c r="O5338" s="5"/>
      <c r="P5338" s="5"/>
      <c r="Q5338" s="21">
        <v>0</v>
      </c>
      <c r="R5338" s="21">
        <v>0</v>
      </c>
      <c r="S5338" s="5">
        <f t="shared" si="335"/>
        <v>80262.702167016105</v>
      </c>
      <c r="T5338" cm="1">
        <f t="array" ref="T5338">IF(OR(B5338="MAL ALIMI", B5338="ÜRETİM GİRİŞ"), MIN(I5338, MAX(0, I5338 + SUM(SUMIFS($I$1:I5337, $C$1:C5337, C5338, $B$1:B5337, {"MAL ALIMI","ÜRETİM GİRİŞ"})) - VLOOKUP(C5338, 'STOK RAPORU'!$C$2:$I$1000, 4, 0))), 0)</f>
        <v>0</v>
      </c>
      <c r="U5338" s="22">
        <f t="shared" si="332"/>
        <v>0</v>
      </c>
      <c r="V5338">
        <f t="shared" si="333"/>
        <v>0</v>
      </c>
      <c r="W5338" s="22">
        <f t="shared" si="334"/>
        <v>0</v>
      </c>
    </row>
    <row r="5339" spans="1:23" hidden="1" x14ac:dyDescent="0.25">
      <c r="A5339" s="3">
        <v>46091</v>
      </c>
      <c r="B5339" s="4" t="s">
        <v>334</v>
      </c>
      <c r="C5339" s="4" t="s">
        <v>530</v>
      </c>
      <c r="D5339" s="4"/>
      <c r="E5339" s="4" t="s">
        <v>921</v>
      </c>
      <c r="F5339" s="46" t="s">
        <v>2493</v>
      </c>
      <c r="G5339" s="4" t="s">
        <v>336</v>
      </c>
      <c r="H5339" s="4" t="s">
        <v>380</v>
      </c>
      <c r="I5339" s="4">
        <v>0.5</v>
      </c>
      <c r="J5339" s="21">
        <v>300</v>
      </c>
      <c r="K5339" s="21">
        <v>150</v>
      </c>
      <c r="L5339" s="5">
        <v>0</v>
      </c>
      <c r="M5339" s="4"/>
      <c r="N5339" s="4"/>
      <c r="O5339" s="5"/>
      <c r="P5339" s="5"/>
      <c r="Q5339" s="21">
        <v>0</v>
      </c>
      <c r="R5339" s="21">
        <v>0</v>
      </c>
      <c r="S5339" s="5">
        <f t="shared" si="335"/>
        <v>80262.702167016105</v>
      </c>
      <c r="T5339" cm="1">
        <f t="array" ref="T5339">IF(OR(B5339="MAL ALIMI", B5339="ÜRETİM GİRİŞ"), MIN(I5339, MAX(0, I5339 + SUM(SUMIFS($I$1:I5338, $C$1:C5338, C5339, $B$1:B5338, {"MAL ALIMI","ÜRETİM GİRİŞ"})) - VLOOKUP(C5339, 'STOK RAPORU'!$C$2:$I$1000, 4, 0))), 0)</f>
        <v>0</v>
      </c>
      <c r="U5339" s="22">
        <f t="shared" si="332"/>
        <v>0</v>
      </c>
      <c r="V5339">
        <f t="shared" si="333"/>
        <v>0</v>
      </c>
      <c r="W5339" s="22">
        <f t="shared" si="334"/>
        <v>0</v>
      </c>
    </row>
    <row r="5340" spans="1:23" hidden="1" x14ac:dyDescent="0.25">
      <c r="A5340" s="3">
        <v>46091</v>
      </c>
      <c r="B5340" s="4" t="s">
        <v>334</v>
      </c>
      <c r="C5340" s="4" t="s">
        <v>459</v>
      </c>
      <c r="D5340" s="4"/>
      <c r="E5340" s="4" t="s">
        <v>921</v>
      </c>
      <c r="F5340" s="46" t="s">
        <v>2493</v>
      </c>
      <c r="G5340" s="4" t="s">
        <v>336</v>
      </c>
      <c r="H5340" s="4" t="s">
        <v>380</v>
      </c>
      <c r="I5340" s="4">
        <v>0.5</v>
      </c>
      <c r="J5340" s="21">
        <v>140</v>
      </c>
      <c r="K5340" s="21">
        <v>70</v>
      </c>
      <c r="L5340" s="5">
        <v>0</v>
      </c>
      <c r="M5340" s="4"/>
      <c r="N5340" s="4"/>
      <c r="O5340" s="5"/>
      <c r="P5340" s="5"/>
      <c r="Q5340" s="21">
        <v>0</v>
      </c>
      <c r="R5340" s="21">
        <v>0</v>
      </c>
      <c r="S5340" s="5">
        <f t="shared" si="335"/>
        <v>80262.702167016105</v>
      </c>
      <c r="T5340" cm="1">
        <f t="array" ref="T5340">IF(OR(B5340="MAL ALIMI", B5340="ÜRETİM GİRİŞ"), MIN(I5340, MAX(0, I5340 + SUM(SUMIFS($I$1:I5339, $C$1:C5339, C5340, $B$1:B5339, {"MAL ALIMI","ÜRETİM GİRİŞ"})) - VLOOKUP(C5340, 'STOK RAPORU'!$C$2:$I$1000, 4, 0))), 0)</f>
        <v>0</v>
      </c>
      <c r="U5340" s="22">
        <f t="shared" si="332"/>
        <v>0</v>
      </c>
      <c r="V5340">
        <f t="shared" si="333"/>
        <v>0</v>
      </c>
      <c r="W5340" s="22">
        <f t="shared" si="334"/>
        <v>0</v>
      </c>
    </row>
    <row r="5341" spans="1:23" hidden="1" x14ac:dyDescent="0.25">
      <c r="A5341" s="3">
        <v>46091</v>
      </c>
      <c r="B5341" s="4" t="s">
        <v>334</v>
      </c>
      <c r="C5341" s="4" t="s">
        <v>529</v>
      </c>
      <c r="D5341" s="4"/>
      <c r="E5341" s="4" t="s">
        <v>921</v>
      </c>
      <c r="F5341" s="46" t="s">
        <v>2493</v>
      </c>
      <c r="G5341" s="4" t="s">
        <v>336</v>
      </c>
      <c r="H5341" s="4" t="s">
        <v>380</v>
      </c>
      <c r="I5341" s="4">
        <v>0.1</v>
      </c>
      <c r="J5341" s="21">
        <v>600</v>
      </c>
      <c r="K5341" s="21">
        <v>60</v>
      </c>
      <c r="L5341" s="5">
        <v>0</v>
      </c>
      <c r="M5341" s="4"/>
      <c r="N5341" s="4"/>
      <c r="O5341" s="5"/>
      <c r="P5341" s="5"/>
      <c r="Q5341" s="21">
        <v>0</v>
      </c>
      <c r="R5341" s="21">
        <v>0</v>
      </c>
      <c r="S5341" s="5">
        <f t="shared" si="335"/>
        <v>80262.702167016105</v>
      </c>
      <c r="T5341" cm="1">
        <f t="array" ref="T5341">IF(OR(B5341="MAL ALIMI", B5341="ÜRETİM GİRİŞ"), MIN(I5341, MAX(0, I5341 + SUM(SUMIFS($I$1:I5340, $C$1:C5340, C5341, $B$1:B5340, {"MAL ALIMI","ÜRETİM GİRİŞ"})) - VLOOKUP(C5341, 'STOK RAPORU'!$C$2:$I$1000, 4, 0))), 0)</f>
        <v>0</v>
      </c>
      <c r="U5341" s="22">
        <f t="shared" si="332"/>
        <v>0</v>
      </c>
      <c r="V5341">
        <f t="shared" si="333"/>
        <v>0</v>
      </c>
      <c r="W5341" s="22">
        <f t="shared" si="334"/>
        <v>0</v>
      </c>
    </row>
    <row r="5342" spans="1:23" hidden="1" x14ac:dyDescent="0.25">
      <c r="A5342" s="3">
        <v>46091</v>
      </c>
      <c r="B5342" s="4" t="s">
        <v>334</v>
      </c>
      <c r="C5342" s="4" t="s">
        <v>1501</v>
      </c>
      <c r="D5342" s="4"/>
      <c r="E5342" s="4"/>
      <c r="F5342" s="46" t="s">
        <v>2494</v>
      </c>
      <c r="G5342" s="4" t="s">
        <v>336</v>
      </c>
      <c r="H5342" s="4" t="s">
        <v>289</v>
      </c>
      <c r="I5342" s="4">
        <v>0.25</v>
      </c>
      <c r="J5342" s="21">
        <v>600</v>
      </c>
      <c r="K5342" s="21">
        <v>0</v>
      </c>
      <c r="L5342" s="5">
        <v>0</v>
      </c>
      <c r="M5342" s="4"/>
      <c r="N5342" s="4"/>
      <c r="O5342" s="5"/>
      <c r="P5342" s="5"/>
      <c r="Q5342" s="21">
        <v>150</v>
      </c>
      <c r="R5342" s="21">
        <v>0</v>
      </c>
      <c r="S5342" s="5">
        <f t="shared" si="335"/>
        <v>80412.702167016105</v>
      </c>
      <c r="T5342" cm="1">
        <f t="array" ref="T5342">IF(OR(B5342="MAL ALIMI", B5342="ÜRETİM GİRİŞ"), MIN(I5342, MAX(0, I5342 + SUM(SUMIFS($I$1:I5341, $C$1:C5341, C5342, $B$1:B5341, {"MAL ALIMI","ÜRETİM GİRİŞ"})) - VLOOKUP(C5342, 'STOK RAPORU'!$C$2:$I$1000, 4, 0))), 0)</f>
        <v>0</v>
      </c>
      <c r="U5342" s="22">
        <f t="shared" si="332"/>
        <v>0</v>
      </c>
      <c r="V5342">
        <f t="shared" si="333"/>
        <v>0</v>
      </c>
      <c r="W5342" s="22">
        <f t="shared" si="334"/>
        <v>0</v>
      </c>
    </row>
    <row r="5343" spans="1:23" hidden="1" x14ac:dyDescent="0.25">
      <c r="A5343" s="3">
        <v>46091</v>
      </c>
      <c r="B5343" s="4" t="s">
        <v>334</v>
      </c>
      <c r="C5343" s="4" t="s">
        <v>196</v>
      </c>
      <c r="D5343" s="4"/>
      <c r="E5343" s="4"/>
      <c r="F5343" s="46" t="s">
        <v>2494</v>
      </c>
      <c r="G5343" s="4" t="s">
        <v>336</v>
      </c>
      <c r="H5343" s="4" t="s">
        <v>289</v>
      </c>
      <c r="I5343" s="4">
        <v>0.2608695652173913</v>
      </c>
      <c r="J5343" s="21">
        <v>230</v>
      </c>
      <c r="K5343" s="21">
        <v>0</v>
      </c>
      <c r="L5343" s="5">
        <v>0</v>
      </c>
      <c r="M5343" s="4"/>
      <c r="N5343" s="4"/>
      <c r="O5343" s="5"/>
      <c r="P5343" s="5"/>
      <c r="Q5343" s="21">
        <v>60</v>
      </c>
      <c r="R5343" s="21">
        <v>0</v>
      </c>
      <c r="S5343" s="5">
        <f t="shared" si="335"/>
        <v>80472.702167016105</v>
      </c>
      <c r="T5343" cm="1">
        <f t="array" ref="T5343">IF(OR(B5343="MAL ALIMI", B5343="ÜRETİM GİRİŞ"), MIN(I5343, MAX(0, I5343 + SUM(SUMIFS($I$1:I5342, $C$1:C5342, C5343, $B$1:B5342, {"MAL ALIMI","ÜRETİM GİRİŞ"})) - VLOOKUP(C5343, 'STOK RAPORU'!$C$2:$I$1000, 4, 0))), 0)</f>
        <v>0</v>
      </c>
      <c r="U5343" s="22">
        <f t="shared" si="332"/>
        <v>0</v>
      </c>
      <c r="V5343">
        <f t="shared" si="333"/>
        <v>0</v>
      </c>
      <c r="W5343" s="22">
        <f t="shared" si="334"/>
        <v>0</v>
      </c>
    </row>
    <row r="5344" spans="1:23" hidden="1" x14ac:dyDescent="0.25">
      <c r="A5344" s="3">
        <v>46091</v>
      </c>
      <c r="B5344" s="4" t="s">
        <v>334</v>
      </c>
      <c r="C5344" s="4" t="s">
        <v>197</v>
      </c>
      <c r="D5344" s="4"/>
      <c r="E5344" s="4"/>
      <c r="F5344" s="46" t="s">
        <v>2494</v>
      </c>
      <c r="G5344" s="4" t="s">
        <v>336</v>
      </c>
      <c r="H5344" s="4" t="s">
        <v>289</v>
      </c>
      <c r="I5344" s="4">
        <v>0.2608695652173913</v>
      </c>
      <c r="J5344" s="21">
        <v>230</v>
      </c>
      <c r="K5344" s="21">
        <v>0</v>
      </c>
      <c r="L5344" s="5">
        <v>0</v>
      </c>
      <c r="M5344" s="4"/>
      <c r="N5344" s="4"/>
      <c r="O5344" s="5"/>
      <c r="P5344" s="5"/>
      <c r="Q5344" s="21">
        <v>60</v>
      </c>
      <c r="R5344" s="21">
        <v>0</v>
      </c>
      <c r="S5344" s="5">
        <f t="shared" si="335"/>
        <v>80532.702167016105</v>
      </c>
      <c r="T5344" cm="1">
        <f t="array" ref="T5344">IF(OR(B5344="MAL ALIMI", B5344="ÜRETİM GİRİŞ"), MIN(I5344, MAX(0, I5344 + SUM(SUMIFS($I$1:I5343, $C$1:C5343, C5344, $B$1:B5343, {"MAL ALIMI","ÜRETİM GİRİŞ"})) - VLOOKUP(C5344, 'STOK RAPORU'!$C$2:$I$1000, 4, 0))), 0)</f>
        <v>0</v>
      </c>
      <c r="U5344" s="22">
        <f t="shared" si="332"/>
        <v>0</v>
      </c>
      <c r="V5344">
        <f t="shared" si="333"/>
        <v>0</v>
      </c>
      <c r="W5344" s="22">
        <f t="shared" si="334"/>
        <v>0</v>
      </c>
    </row>
    <row r="5345" spans="1:23" hidden="1" x14ac:dyDescent="0.25">
      <c r="A5345" s="3">
        <v>46091</v>
      </c>
      <c r="B5345" s="4" t="s">
        <v>334</v>
      </c>
      <c r="C5345" s="4" t="s">
        <v>241</v>
      </c>
      <c r="D5345" s="4"/>
      <c r="E5345" s="4"/>
      <c r="F5345" s="46" t="s">
        <v>2494</v>
      </c>
      <c r="G5345" s="4" t="s">
        <v>336</v>
      </c>
      <c r="H5345" s="4" t="s">
        <v>289</v>
      </c>
      <c r="I5345" s="4">
        <v>0.27906976744186046</v>
      </c>
      <c r="J5345" s="21">
        <v>430</v>
      </c>
      <c r="K5345" s="21">
        <v>0</v>
      </c>
      <c r="L5345" s="5">
        <v>0</v>
      </c>
      <c r="M5345" s="4"/>
      <c r="N5345" s="4"/>
      <c r="O5345" s="5"/>
      <c r="P5345" s="5"/>
      <c r="Q5345" s="21">
        <v>120</v>
      </c>
      <c r="R5345" s="21">
        <v>0</v>
      </c>
      <c r="S5345" s="5">
        <f t="shared" si="335"/>
        <v>80652.702167016105</v>
      </c>
      <c r="T5345" cm="1">
        <f t="array" ref="T5345">IF(OR(B5345="MAL ALIMI", B5345="ÜRETİM GİRİŞ"), MIN(I5345, MAX(0, I5345 + SUM(SUMIFS($I$1:I5344, $C$1:C5344, C5345, $B$1:B5344, {"MAL ALIMI","ÜRETİM GİRİŞ"})) - VLOOKUP(C5345, 'STOK RAPORU'!$C$2:$I$1000, 4, 0))), 0)</f>
        <v>0</v>
      </c>
      <c r="U5345" s="22">
        <f t="shared" si="332"/>
        <v>0</v>
      </c>
      <c r="V5345">
        <f t="shared" si="333"/>
        <v>0</v>
      </c>
      <c r="W5345" s="22">
        <f t="shared" si="334"/>
        <v>0</v>
      </c>
    </row>
    <row r="5346" spans="1:23" hidden="1" x14ac:dyDescent="0.25">
      <c r="A5346" s="3">
        <v>46091</v>
      </c>
      <c r="B5346" s="4" t="s">
        <v>334</v>
      </c>
      <c r="C5346" s="4" t="s">
        <v>209</v>
      </c>
      <c r="D5346" s="4"/>
      <c r="E5346" s="4"/>
      <c r="F5346" s="46" t="s">
        <v>2494</v>
      </c>
      <c r="G5346" s="4" t="s">
        <v>336</v>
      </c>
      <c r="H5346" s="4" t="s">
        <v>289</v>
      </c>
      <c r="I5346" s="4">
        <v>0.05</v>
      </c>
      <c r="J5346" s="21">
        <v>2600</v>
      </c>
      <c r="K5346" s="21">
        <v>0</v>
      </c>
      <c r="L5346" s="5">
        <v>0</v>
      </c>
      <c r="M5346" s="4"/>
      <c r="N5346" s="4"/>
      <c r="O5346" s="5"/>
      <c r="P5346" s="5"/>
      <c r="Q5346" s="21">
        <v>130</v>
      </c>
      <c r="R5346" s="21">
        <v>0</v>
      </c>
      <c r="S5346" s="5">
        <f t="shared" si="335"/>
        <v>80782.702167016105</v>
      </c>
      <c r="T5346" cm="1">
        <f t="array" ref="T5346">IF(OR(B5346="MAL ALIMI", B5346="ÜRETİM GİRİŞ"), MIN(I5346, MAX(0, I5346 + SUM(SUMIFS($I$1:I5345, $C$1:C5345, C5346, $B$1:B5345, {"MAL ALIMI","ÜRETİM GİRİŞ"})) - VLOOKUP(C5346, 'STOK RAPORU'!$C$2:$I$1000, 4, 0))), 0)</f>
        <v>0</v>
      </c>
      <c r="U5346" s="22">
        <f t="shared" si="332"/>
        <v>0</v>
      </c>
      <c r="V5346">
        <f t="shared" si="333"/>
        <v>0</v>
      </c>
      <c r="W5346" s="22">
        <f t="shared" si="334"/>
        <v>0</v>
      </c>
    </row>
    <row r="5347" spans="1:23" hidden="1" x14ac:dyDescent="0.25">
      <c r="A5347" s="3">
        <v>46091</v>
      </c>
      <c r="B5347" s="4" t="s">
        <v>334</v>
      </c>
      <c r="C5347" s="4" t="s">
        <v>2281</v>
      </c>
      <c r="D5347" s="4"/>
      <c r="E5347" s="4" t="s">
        <v>921</v>
      </c>
      <c r="F5347" s="46" t="s">
        <v>2495</v>
      </c>
      <c r="G5347" s="4" t="s">
        <v>336</v>
      </c>
      <c r="H5347" s="4" t="s">
        <v>380</v>
      </c>
      <c r="I5347" s="4">
        <v>0.21</v>
      </c>
      <c r="J5347" s="21">
        <v>2400</v>
      </c>
      <c r="K5347" s="21">
        <v>504</v>
      </c>
      <c r="L5347" s="5">
        <v>0</v>
      </c>
      <c r="M5347" s="4"/>
      <c r="N5347" s="4"/>
      <c r="O5347" s="5"/>
      <c r="P5347" s="5"/>
      <c r="Q5347" s="21">
        <v>0</v>
      </c>
      <c r="R5347" s="21">
        <v>0</v>
      </c>
      <c r="S5347" s="5">
        <f t="shared" si="335"/>
        <v>80782.702167016105</v>
      </c>
      <c r="T5347" cm="1">
        <f t="array" ref="T5347">IF(OR(B5347="MAL ALIMI", B5347="ÜRETİM GİRİŞ"), MIN(I5347, MAX(0, I5347 + SUM(SUMIFS($I$1:I5346, $C$1:C5346, C5347, $B$1:B5346, {"MAL ALIMI","ÜRETİM GİRİŞ"})) - VLOOKUP(C5347, 'STOK RAPORU'!$C$2:$I$1000, 4, 0))), 0)</f>
        <v>0</v>
      </c>
      <c r="U5347" s="22">
        <f t="shared" si="332"/>
        <v>0</v>
      </c>
      <c r="V5347">
        <f t="shared" si="333"/>
        <v>0</v>
      </c>
      <c r="W5347" s="22">
        <f t="shared" si="334"/>
        <v>0</v>
      </c>
    </row>
    <row r="5348" spans="1:23" hidden="1" x14ac:dyDescent="0.25">
      <c r="A5348" s="3">
        <v>46091</v>
      </c>
      <c r="B5348" s="4" t="s">
        <v>334</v>
      </c>
      <c r="C5348" s="4" t="s">
        <v>167</v>
      </c>
      <c r="D5348" s="4"/>
      <c r="E5348" s="4"/>
      <c r="F5348" s="46" t="s">
        <v>2496</v>
      </c>
      <c r="G5348" s="4" t="s">
        <v>336</v>
      </c>
      <c r="H5348" s="4" t="s">
        <v>289</v>
      </c>
      <c r="I5348" s="4">
        <v>1</v>
      </c>
      <c r="J5348" s="21">
        <v>230</v>
      </c>
      <c r="K5348" s="21">
        <v>0</v>
      </c>
      <c r="L5348" s="5">
        <v>0</v>
      </c>
      <c r="M5348" s="4"/>
      <c r="N5348" s="4"/>
      <c r="O5348" s="5"/>
      <c r="P5348" s="5"/>
      <c r="Q5348" s="21">
        <v>230</v>
      </c>
      <c r="R5348" s="21">
        <v>0</v>
      </c>
      <c r="S5348" s="5">
        <f t="shared" si="335"/>
        <v>81012.702167016105</v>
      </c>
      <c r="T5348" cm="1">
        <f t="array" ref="T5348">IF(OR(B5348="MAL ALIMI", B5348="ÜRETİM GİRİŞ"), MIN(I5348, MAX(0, I5348 + SUM(SUMIFS($I$1:I5347, $C$1:C5347, C5348, $B$1:B5347, {"MAL ALIMI","ÜRETİM GİRİŞ"})) - VLOOKUP(C5348, 'STOK RAPORU'!$C$2:$I$1000, 4, 0))), 0)</f>
        <v>0</v>
      </c>
      <c r="U5348" s="22">
        <f t="shared" si="332"/>
        <v>0</v>
      </c>
      <c r="V5348">
        <f t="shared" si="333"/>
        <v>0</v>
      </c>
      <c r="W5348" s="22">
        <f t="shared" si="334"/>
        <v>0</v>
      </c>
    </row>
    <row r="5349" spans="1:23" hidden="1" x14ac:dyDescent="0.25">
      <c r="A5349" s="3">
        <v>46091</v>
      </c>
      <c r="B5349" s="4" t="s">
        <v>334</v>
      </c>
      <c r="C5349" s="4" t="s">
        <v>1368</v>
      </c>
      <c r="D5349" s="4"/>
      <c r="E5349" s="4"/>
      <c r="F5349" s="46" t="s">
        <v>2496</v>
      </c>
      <c r="G5349" s="4" t="s">
        <v>336</v>
      </c>
      <c r="H5349" s="4" t="s">
        <v>289</v>
      </c>
      <c r="I5349" s="4">
        <v>1</v>
      </c>
      <c r="J5349" s="21">
        <v>180</v>
      </c>
      <c r="K5349" s="21">
        <v>0</v>
      </c>
      <c r="L5349" s="5">
        <v>0</v>
      </c>
      <c r="M5349" s="4"/>
      <c r="N5349" s="4"/>
      <c r="O5349" s="5"/>
      <c r="P5349" s="5"/>
      <c r="Q5349" s="21">
        <v>180</v>
      </c>
      <c r="R5349" s="21">
        <v>0</v>
      </c>
      <c r="S5349" s="5">
        <f t="shared" si="335"/>
        <v>81192.702167016105</v>
      </c>
      <c r="T5349" cm="1">
        <f t="array" ref="T5349">IF(OR(B5349="MAL ALIMI", B5349="ÜRETİM GİRİŞ"), MIN(I5349, MAX(0, I5349 + SUM(SUMIFS($I$1:I5348, $C$1:C5348, C5349, $B$1:B5348, {"MAL ALIMI","ÜRETİM GİRİŞ"})) - VLOOKUP(C5349, 'STOK RAPORU'!$C$2:$I$1000, 4, 0))), 0)</f>
        <v>0</v>
      </c>
      <c r="U5349" s="22">
        <f t="shared" si="332"/>
        <v>0</v>
      </c>
      <c r="V5349">
        <f t="shared" si="333"/>
        <v>0</v>
      </c>
      <c r="W5349" s="22">
        <f t="shared" si="334"/>
        <v>0</v>
      </c>
    </row>
    <row r="5350" spans="1:23" hidden="1" x14ac:dyDescent="0.25">
      <c r="A5350" s="3">
        <v>46091</v>
      </c>
      <c r="B5350" s="4" t="s">
        <v>334</v>
      </c>
      <c r="C5350" s="4" t="s">
        <v>728</v>
      </c>
      <c r="D5350" s="4"/>
      <c r="E5350" s="4"/>
      <c r="F5350" s="46" t="s">
        <v>2496</v>
      </c>
      <c r="G5350" s="4" t="s">
        <v>336</v>
      </c>
      <c r="H5350" s="4" t="s">
        <v>289</v>
      </c>
      <c r="I5350" s="4">
        <v>4.3478260869565216E-2</v>
      </c>
      <c r="J5350" s="21">
        <v>690</v>
      </c>
      <c r="K5350" s="21">
        <v>0</v>
      </c>
      <c r="L5350" s="5">
        <v>0</v>
      </c>
      <c r="M5350" s="4"/>
      <c r="N5350" s="4"/>
      <c r="O5350" s="5"/>
      <c r="P5350" s="5"/>
      <c r="Q5350" s="21">
        <v>30</v>
      </c>
      <c r="R5350" s="21">
        <v>0</v>
      </c>
      <c r="S5350" s="5">
        <f t="shared" si="335"/>
        <v>81222.702167016105</v>
      </c>
      <c r="T5350" cm="1">
        <f t="array" ref="T5350">IF(OR(B5350="MAL ALIMI", B5350="ÜRETİM GİRİŞ"), MIN(I5350, MAX(0, I5350 + SUM(SUMIFS($I$1:I5349, $C$1:C5349, C5350, $B$1:B5349, {"MAL ALIMI","ÜRETİM GİRİŞ"})) - VLOOKUP(C5350, 'STOK RAPORU'!$C$2:$I$1000, 4, 0))), 0)</f>
        <v>0</v>
      </c>
      <c r="U5350" s="22">
        <f t="shared" si="332"/>
        <v>0</v>
      </c>
      <c r="V5350">
        <f t="shared" si="333"/>
        <v>0</v>
      </c>
      <c r="W5350" s="22">
        <f t="shared" si="334"/>
        <v>0</v>
      </c>
    </row>
    <row r="5351" spans="1:23" hidden="1" x14ac:dyDescent="0.25">
      <c r="A5351" s="3">
        <v>46091</v>
      </c>
      <c r="B5351" s="4" t="s">
        <v>334</v>
      </c>
      <c r="C5351" s="4" t="s">
        <v>266</v>
      </c>
      <c r="D5351" s="4"/>
      <c r="E5351" s="4"/>
      <c r="F5351" s="46" t="s">
        <v>2496</v>
      </c>
      <c r="G5351" s="4" t="s">
        <v>336</v>
      </c>
      <c r="H5351" s="4" t="s">
        <v>289</v>
      </c>
      <c r="I5351" s="4">
        <v>0.12</v>
      </c>
      <c r="J5351" s="21">
        <v>250</v>
      </c>
      <c r="K5351" s="21">
        <v>0</v>
      </c>
      <c r="L5351" s="5">
        <v>0</v>
      </c>
      <c r="M5351" s="4"/>
      <c r="N5351" s="4"/>
      <c r="O5351" s="5"/>
      <c r="P5351" s="5"/>
      <c r="Q5351" s="21">
        <v>30</v>
      </c>
      <c r="R5351" s="21">
        <v>0</v>
      </c>
      <c r="S5351" s="5">
        <f t="shared" si="335"/>
        <v>81252.702167016105</v>
      </c>
      <c r="T5351" cm="1">
        <f t="array" ref="T5351">IF(OR(B5351="MAL ALIMI", B5351="ÜRETİM GİRİŞ"), MIN(I5351, MAX(0, I5351 + SUM(SUMIFS($I$1:I5350, $C$1:C5350, C5351, $B$1:B5350, {"MAL ALIMI","ÜRETİM GİRİŞ"})) - VLOOKUP(C5351, 'STOK RAPORU'!$C$2:$I$1000, 4, 0))), 0)</f>
        <v>0</v>
      </c>
      <c r="U5351" s="22">
        <f t="shared" si="332"/>
        <v>0</v>
      </c>
      <c r="V5351">
        <f t="shared" si="333"/>
        <v>0</v>
      </c>
      <c r="W5351" s="22">
        <f t="shared" si="334"/>
        <v>0</v>
      </c>
    </row>
    <row r="5352" spans="1:23" hidden="1" x14ac:dyDescent="0.25">
      <c r="A5352" s="3">
        <v>46091</v>
      </c>
      <c r="B5352" s="4" t="s">
        <v>334</v>
      </c>
      <c r="C5352" s="4" t="s">
        <v>209</v>
      </c>
      <c r="D5352" s="4"/>
      <c r="E5352" s="4"/>
      <c r="F5352" s="46" t="s">
        <v>2496</v>
      </c>
      <c r="G5352" s="4" t="s">
        <v>336</v>
      </c>
      <c r="H5352" s="4" t="s">
        <v>289</v>
      </c>
      <c r="I5352" s="4">
        <v>0.05</v>
      </c>
      <c r="J5352" s="21">
        <v>2600</v>
      </c>
      <c r="K5352" s="21">
        <v>0</v>
      </c>
      <c r="L5352" s="5">
        <v>0</v>
      </c>
      <c r="M5352" s="4"/>
      <c r="N5352" s="4"/>
      <c r="O5352" s="5"/>
      <c r="P5352" s="5"/>
      <c r="Q5352" s="21">
        <v>130</v>
      </c>
      <c r="R5352" s="21">
        <v>0</v>
      </c>
      <c r="S5352" s="5">
        <f t="shared" si="335"/>
        <v>81382.702167016105</v>
      </c>
      <c r="T5352" cm="1">
        <f t="array" ref="T5352">IF(OR(B5352="MAL ALIMI", B5352="ÜRETİM GİRİŞ"), MIN(I5352, MAX(0, I5352 + SUM(SUMIFS($I$1:I5351, $C$1:C5351, C5352, $B$1:B5351, {"MAL ALIMI","ÜRETİM GİRİŞ"})) - VLOOKUP(C5352, 'STOK RAPORU'!$C$2:$I$1000, 4, 0))), 0)</f>
        <v>0</v>
      </c>
      <c r="U5352" s="22">
        <f t="shared" si="332"/>
        <v>0</v>
      </c>
      <c r="V5352">
        <f t="shared" si="333"/>
        <v>0</v>
      </c>
      <c r="W5352" s="22">
        <f t="shared" si="334"/>
        <v>0</v>
      </c>
    </row>
    <row r="5353" spans="1:23" hidden="1" x14ac:dyDescent="0.25">
      <c r="A5353" s="3">
        <v>46091</v>
      </c>
      <c r="B5353" s="4" t="s">
        <v>334</v>
      </c>
      <c r="C5353" s="4" t="s">
        <v>137</v>
      </c>
      <c r="D5353" s="4"/>
      <c r="E5353" s="4" t="s">
        <v>921</v>
      </c>
      <c r="F5353" s="46" t="s">
        <v>2497</v>
      </c>
      <c r="G5353" s="4" t="s">
        <v>336</v>
      </c>
      <c r="H5353" s="4" t="s">
        <v>380</v>
      </c>
      <c r="I5353" s="4">
        <v>0.27777777777777779</v>
      </c>
      <c r="J5353" s="21">
        <v>180</v>
      </c>
      <c r="K5353" s="21">
        <v>50</v>
      </c>
      <c r="L5353" s="5">
        <v>0</v>
      </c>
      <c r="M5353" s="4"/>
      <c r="N5353" s="4"/>
      <c r="O5353" s="5"/>
      <c r="P5353" s="5"/>
      <c r="Q5353" s="21">
        <v>0</v>
      </c>
      <c r="R5353" s="21">
        <v>0</v>
      </c>
      <c r="S5353" s="5">
        <f t="shared" si="335"/>
        <v>81382.702167016105</v>
      </c>
      <c r="T5353" cm="1">
        <f t="array" ref="T5353">IF(OR(B5353="MAL ALIMI", B5353="ÜRETİM GİRİŞ"), MIN(I5353, MAX(0, I5353 + SUM(SUMIFS($I$1:I5352, $C$1:C5352, C5353, $B$1:B5352, {"MAL ALIMI","ÜRETİM GİRİŞ"})) - VLOOKUP(C5353, 'STOK RAPORU'!$C$2:$I$1000, 4, 0))), 0)</f>
        <v>0</v>
      </c>
      <c r="U5353" s="22">
        <f t="shared" si="332"/>
        <v>0</v>
      </c>
      <c r="V5353">
        <f t="shared" si="333"/>
        <v>0</v>
      </c>
      <c r="W5353" s="22">
        <f t="shared" si="334"/>
        <v>0</v>
      </c>
    </row>
    <row r="5354" spans="1:23" hidden="1" x14ac:dyDescent="0.25">
      <c r="A5354" s="3">
        <v>46091</v>
      </c>
      <c r="B5354" s="4" t="s">
        <v>334</v>
      </c>
      <c r="C5354" s="4" t="s">
        <v>137</v>
      </c>
      <c r="D5354" s="4"/>
      <c r="E5354" s="4"/>
      <c r="F5354" s="46" t="s">
        <v>2498</v>
      </c>
      <c r="G5354" s="4" t="s">
        <v>336</v>
      </c>
      <c r="H5354" s="4" t="s">
        <v>289</v>
      </c>
      <c r="I5354" s="4">
        <v>0.27777777777777779</v>
      </c>
      <c r="J5354" s="21">
        <v>180</v>
      </c>
      <c r="K5354" s="21">
        <v>0</v>
      </c>
      <c r="L5354" s="5">
        <v>0</v>
      </c>
      <c r="M5354" s="4"/>
      <c r="N5354" s="4"/>
      <c r="O5354" s="5"/>
      <c r="P5354" s="5"/>
      <c r="Q5354" s="21">
        <v>50</v>
      </c>
      <c r="R5354" s="21">
        <v>0</v>
      </c>
      <c r="S5354" s="5">
        <f t="shared" si="335"/>
        <v>81432.702167016105</v>
      </c>
      <c r="T5354" cm="1">
        <f t="array" ref="T5354">IF(OR(B5354="MAL ALIMI", B5354="ÜRETİM GİRİŞ"), MIN(I5354, MAX(0, I5354 + SUM(SUMIFS($I$1:I5353, $C$1:C5353, C5354, $B$1:B5353, {"MAL ALIMI","ÜRETİM GİRİŞ"})) - VLOOKUP(C5354, 'STOK RAPORU'!$C$2:$I$1000, 4, 0))), 0)</f>
        <v>0</v>
      </c>
      <c r="U5354" s="22">
        <f t="shared" si="332"/>
        <v>0</v>
      </c>
      <c r="V5354">
        <f t="shared" si="333"/>
        <v>0</v>
      </c>
      <c r="W5354" s="22">
        <f t="shared" si="334"/>
        <v>0</v>
      </c>
    </row>
    <row r="5355" spans="1:23" hidden="1" x14ac:dyDescent="0.25">
      <c r="A5355" s="3">
        <v>46091</v>
      </c>
      <c r="B5355" s="4" t="s">
        <v>334</v>
      </c>
      <c r="C5355" s="4" t="s">
        <v>2488</v>
      </c>
      <c r="D5355" s="4"/>
      <c r="E5355" s="4" t="s">
        <v>921</v>
      </c>
      <c r="F5355" s="46" t="s">
        <v>2499</v>
      </c>
      <c r="G5355" s="4" t="s">
        <v>336</v>
      </c>
      <c r="H5355" s="4" t="s">
        <v>380</v>
      </c>
      <c r="I5355" s="4">
        <v>0.15</v>
      </c>
      <c r="J5355" s="21">
        <v>400</v>
      </c>
      <c r="K5355" s="21">
        <v>60</v>
      </c>
      <c r="L5355" s="5">
        <v>0</v>
      </c>
      <c r="M5355" s="4"/>
      <c r="N5355" s="4"/>
      <c r="O5355" s="5"/>
      <c r="P5355" s="5"/>
      <c r="Q5355" s="21">
        <v>0</v>
      </c>
      <c r="R5355" s="21">
        <v>0</v>
      </c>
      <c r="S5355" s="5">
        <f t="shared" si="335"/>
        <v>81432.702167016105</v>
      </c>
      <c r="T5355" cm="1">
        <f t="array" ref="T5355">IF(OR(B5355="MAL ALIMI", B5355="ÜRETİM GİRİŞ"), MIN(I5355, MAX(0, I5355 + SUM(SUMIFS($I$1:I5354, $C$1:C5354, C5355, $B$1:B5354, {"MAL ALIMI","ÜRETİM GİRİŞ"})) - VLOOKUP(C5355, 'STOK RAPORU'!$C$2:$I$1000, 4, 0))), 0)</f>
        <v>0</v>
      </c>
      <c r="U5355" s="22">
        <f t="shared" si="332"/>
        <v>0</v>
      </c>
      <c r="V5355">
        <f t="shared" si="333"/>
        <v>0</v>
      </c>
      <c r="W5355" s="22">
        <f t="shared" si="334"/>
        <v>0</v>
      </c>
    </row>
    <row r="5356" spans="1:23" hidden="1" x14ac:dyDescent="0.25">
      <c r="A5356" s="3">
        <v>46091</v>
      </c>
      <c r="B5356" s="4" t="s">
        <v>334</v>
      </c>
      <c r="C5356" s="4" t="s">
        <v>3167</v>
      </c>
      <c r="D5356" s="4"/>
      <c r="E5356" s="4" t="s">
        <v>921</v>
      </c>
      <c r="F5356" s="46" t="s">
        <v>2499</v>
      </c>
      <c r="G5356" s="4" t="s">
        <v>336</v>
      </c>
      <c r="H5356" s="4" t="s">
        <v>380</v>
      </c>
      <c r="I5356" s="4">
        <v>0.1</v>
      </c>
      <c r="J5356" s="21">
        <v>400</v>
      </c>
      <c r="K5356" s="21">
        <v>40</v>
      </c>
      <c r="L5356" s="5">
        <v>0</v>
      </c>
      <c r="M5356" s="4"/>
      <c r="N5356" s="4"/>
      <c r="O5356" s="5"/>
      <c r="P5356" s="5"/>
      <c r="Q5356" s="21">
        <v>0</v>
      </c>
      <c r="R5356" s="21">
        <v>0</v>
      </c>
      <c r="S5356" s="5">
        <f t="shared" si="335"/>
        <v>81432.702167016105</v>
      </c>
      <c r="T5356" cm="1">
        <f t="array" ref="T5356">IF(OR(B5356="MAL ALIMI", B5356="ÜRETİM GİRİŞ"), MIN(I5356, MAX(0, I5356 + SUM(SUMIFS($I$1:I5355, $C$1:C5355, C5356, $B$1:B5355, {"MAL ALIMI","ÜRETİM GİRİŞ"})) - VLOOKUP(C5356, 'STOK RAPORU'!$C$2:$I$1000, 4, 0))), 0)</f>
        <v>0</v>
      </c>
      <c r="U5356" s="22">
        <f t="shared" si="332"/>
        <v>0</v>
      </c>
      <c r="V5356">
        <f t="shared" si="333"/>
        <v>0</v>
      </c>
      <c r="W5356" s="22">
        <f t="shared" si="334"/>
        <v>0</v>
      </c>
    </row>
    <row r="5357" spans="1:23" hidden="1" x14ac:dyDescent="0.25">
      <c r="A5357" s="3">
        <v>46091</v>
      </c>
      <c r="B5357" s="4" t="s">
        <v>334</v>
      </c>
      <c r="C5357" s="4" t="s">
        <v>173</v>
      </c>
      <c r="D5357" s="4"/>
      <c r="E5357" s="4" t="s">
        <v>921</v>
      </c>
      <c r="F5357" s="46" t="s">
        <v>2500</v>
      </c>
      <c r="G5357" s="4" t="s">
        <v>336</v>
      </c>
      <c r="H5357" s="4" t="s">
        <v>380</v>
      </c>
      <c r="I5357" s="4">
        <v>1</v>
      </c>
      <c r="J5357" s="21">
        <v>100</v>
      </c>
      <c r="K5357" s="21">
        <v>100</v>
      </c>
      <c r="L5357" s="5">
        <v>0</v>
      </c>
      <c r="M5357" s="4"/>
      <c r="N5357" s="4"/>
      <c r="O5357" s="5"/>
      <c r="P5357" s="5"/>
      <c r="Q5357" s="21">
        <v>0</v>
      </c>
      <c r="R5357" s="21">
        <v>0</v>
      </c>
      <c r="S5357" s="5">
        <f t="shared" si="335"/>
        <v>81432.702167016105</v>
      </c>
      <c r="T5357" cm="1">
        <f t="array" ref="T5357">IF(OR(B5357="MAL ALIMI", B5357="ÜRETİM GİRİŞ"), MIN(I5357, MAX(0, I5357 + SUM(SUMIFS($I$1:I5356, $C$1:C5356, C5357, $B$1:B5356, {"MAL ALIMI","ÜRETİM GİRİŞ"})) - VLOOKUP(C5357, 'STOK RAPORU'!$C$2:$I$1000, 4, 0))), 0)</f>
        <v>0</v>
      </c>
      <c r="U5357" s="22">
        <f t="shared" si="332"/>
        <v>0</v>
      </c>
      <c r="V5357">
        <f t="shared" si="333"/>
        <v>0</v>
      </c>
      <c r="W5357" s="22">
        <f t="shared" si="334"/>
        <v>0</v>
      </c>
    </row>
    <row r="5358" spans="1:23" hidden="1" x14ac:dyDescent="0.25">
      <c r="A5358" s="3">
        <v>46091</v>
      </c>
      <c r="B5358" s="4" t="s">
        <v>334</v>
      </c>
      <c r="C5358" s="4" t="s">
        <v>152</v>
      </c>
      <c r="D5358" s="4"/>
      <c r="E5358" s="4" t="s">
        <v>921</v>
      </c>
      <c r="F5358" s="46" t="s">
        <v>2500</v>
      </c>
      <c r="G5358" s="4" t="s">
        <v>336</v>
      </c>
      <c r="H5358" s="4" t="s">
        <v>380</v>
      </c>
      <c r="I5358" s="4">
        <v>0.1</v>
      </c>
      <c r="J5358" s="21">
        <v>400</v>
      </c>
      <c r="K5358" s="21">
        <v>40</v>
      </c>
      <c r="L5358" s="5">
        <v>0</v>
      </c>
      <c r="M5358" s="4"/>
      <c r="N5358" s="4"/>
      <c r="O5358" s="5"/>
      <c r="P5358" s="5"/>
      <c r="Q5358" s="21">
        <v>0</v>
      </c>
      <c r="R5358" s="21">
        <v>0</v>
      </c>
      <c r="S5358" s="5">
        <f t="shared" si="335"/>
        <v>81432.702167016105</v>
      </c>
      <c r="T5358" cm="1">
        <f t="array" ref="T5358">IF(OR(B5358="MAL ALIMI", B5358="ÜRETİM GİRİŞ"), MIN(I5358, MAX(0, I5358 + SUM(SUMIFS($I$1:I5357, $C$1:C5357, C5358, $B$1:B5357, {"MAL ALIMI","ÜRETİM GİRİŞ"})) - VLOOKUP(C5358, 'STOK RAPORU'!$C$2:$I$1000, 4, 0))), 0)</f>
        <v>0</v>
      </c>
      <c r="U5358" s="22">
        <f t="shared" si="332"/>
        <v>0</v>
      </c>
      <c r="V5358">
        <f t="shared" si="333"/>
        <v>0</v>
      </c>
      <c r="W5358" s="22">
        <f t="shared" si="334"/>
        <v>0</v>
      </c>
    </row>
    <row r="5359" spans="1:23" hidden="1" x14ac:dyDescent="0.25">
      <c r="A5359" s="3">
        <v>46091</v>
      </c>
      <c r="B5359" s="4" t="s">
        <v>334</v>
      </c>
      <c r="C5359" s="4" t="s">
        <v>1896</v>
      </c>
      <c r="D5359" s="4"/>
      <c r="E5359" s="4" t="s">
        <v>921</v>
      </c>
      <c r="F5359" s="46" t="s">
        <v>2500</v>
      </c>
      <c r="G5359" s="4" t="s">
        <v>336</v>
      </c>
      <c r="H5359" s="4" t="s">
        <v>380</v>
      </c>
      <c r="I5359" s="4">
        <v>0.1</v>
      </c>
      <c r="J5359" s="21">
        <v>400</v>
      </c>
      <c r="K5359" s="21">
        <v>40</v>
      </c>
      <c r="L5359" s="5">
        <v>0</v>
      </c>
      <c r="M5359" s="4"/>
      <c r="N5359" s="4"/>
      <c r="O5359" s="5"/>
      <c r="P5359" s="5"/>
      <c r="Q5359" s="21">
        <v>0</v>
      </c>
      <c r="R5359" s="21">
        <v>0</v>
      </c>
      <c r="S5359" s="5">
        <f t="shared" si="335"/>
        <v>81432.702167016105</v>
      </c>
      <c r="T5359" cm="1">
        <f t="array" ref="T5359">IF(OR(B5359="MAL ALIMI", B5359="ÜRETİM GİRİŞ"), MIN(I5359, MAX(0, I5359 + SUM(SUMIFS($I$1:I5358, $C$1:C5358, C5359, $B$1:B5358, {"MAL ALIMI","ÜRETİM GİRİŞ"})) - VLOOKUP(C5359, 'STOK RAPORU'!$C$2:$I$1000, 4, 0))), 0)</f>
        <v>0</v>
      </c>
      <c r="U5359" s="22">
        <f t="shared" si="332"/>
        <v>0</v>
      </c>
      <c r="V5359">
        <f t="shared" si="333"/>
        <v>0</v>
      </c>
      <c r="W5359" s="22">
        <f t="shared" si="334"/>
        <v>0</v>
      </c>
    </row>
    <row r="5360" spans="1:23" hidden="1" x14ac:dyDescent="0.25">
      <c r="A5360" s="3">
        <v>46091</v>
      </c>
      <c r="B5360" s="4" t="s">
        <v>334</v>
      </c>
      <c r="C5360" s="4" t="s">
        <v>1023</v>
      </c>
      <c r="D5360" s="4"/>
      <c r="E5360" s="4" t="s">
        <v>921</v>
      </c>
      <c r="F5360" s="46" t="s">
        <v>2501</v>
      </c>
      <c r="G5360" s="4" t="s">
        <v>336</v>
      </c>
      <c r="H5360" s="4" t="s">
        <v>380</v>
      </c>
      <c r="I5360" s="4">
        <v>1.0615384615384615</v>
      </c>
      <c r="J5360" s="21">
        <v>65</v>
      </c>
      <c r="K5360" s="21">
        <v>69</v>
      </c>
      <c r="L5360" s="5">
        <v>0</v>
      </c>
      <c r="M5360" s="4"/>
      <c r="N5360" s="4"/>
      <c r="O5360" s="5"/>
      <c r="P5360" s="5"/>
      <c r="Q5360" s="21">
        <v>0</v>
      </c>
      <c r="R5360" s="21">
        <v>0</v>
      </c>
      <c r="S5360" s="5">
        <f t="shared" si="335"/>
        <v>81432.702167016105</v>
      </c>
      <c r="T5360" cm="1">
        <f t="array" ref="T5360">IF(OR(B5360="MAL ALIMI", B5360="ÜRETİM GİRİŞ"), MIN(I5360, MAX(0, I5360 + SUM(SUMIFS($I$1:I5359, $C$1:C5359, C5360, $B$1:B5359, {"MAL ALIMI","ÜRETİM GİRİŞ"})) - VLOOKUP(C5360, 'STOK RAPORU'!$C$2:$I$1000, 4, 0))), 0)</f>
        <v>0</v>
      </c>
      <c r="U5360" s="22">
        <f t="shared" si="332"/>
        <v>0</v>
      </c>
      <c r="V5360">
        <f t="shared" si="333"/>
        <v>0</v>
      </c>
      <c r="W5360" s="22">
        <f t="shared" si="334"/>
        <v>0</v>
      </c>
    </row>
    <row r="5361" spans="1:23" hidden="1" x14ac:dyDescent="0.25">
      <c r="A5361" s="3">
        <v>46091</v>
      </c>
      <c r="B5361" s="4" t="s">
        <v>334</v>
      </c>
      <c r="C5361" s="4" t="s">
        <v>2129</v>
      </c>
      <c r="D5361" s="4"/>
      <c r="E5361" s="4" t="s">
        <v>921</v>
      </c>
      <c r="F5361" s="46" t="s">
        <v>2501</v>
      </c>
      <c r="G5361" s="4" t="s">
        <v>336</v>
      </c>
      <c r="H5361" s="4" t="s">
        <v>380</v>
      </c>
      <c r="I5361" s="4">
        <v>0.32142857142857145</v>
      </c>
      <c r="J5361" s="21">
        <v>420</v>
      </c>
      <c r="K5361" s="21">
        <v>135</v>
      </c>
      <c r="L5361" s="5">
        <v>0</v>
      </c>
      <c r="M5361" s="4"/>
      <c r="N5361" s="4"/>
      <c r="O5361" s="5"/>
      <c r="P5361" s="5"/>
      <c r="Q5361" s="21">
        <v>0</v>
      </c>
      <c r="R5361" s="21">
        <v>0</v>
      </c>
      <c r="S5361" s="5">
        <f t="shared" si="335"/>
        <v>81432.702167016105</v>
      </c>
      <c r="T5361" cm="1">
        <f t="array" ref="T5361">IF(OR(B5361="MAL ALIMI", B5361="ÜRETİM GİRİŞ"), MIN(I5361, MAX(0, I5361 + SUM(SUMIFS($I$1:I5360, $C$1:C5360, C5361, $B$1:B5360, {"MAL ALIMI","ÜRETİM GİRİŞ"})) - VLOOKUP(C5361, 'STOK RAPORU'!$C$2:$I$1000, 4, 0))), 0)</f>
        <v>0</v>
      </c>
      <c r="U5361" s="22">
        <f t="shared" si="332"/>
        <v>0</v>
      </c>
      <c r="V5361">
        <f t="shared" si="333"/>
        <v>0</v>
      </c>
      <c r="W5361" s="22">
        <f t="shared" si="334"/>
        <v>0</v>
      </c>
    </row>
    <row r="5362" spans="1:23" hidden="1" x14ac:dyDescent="0.25">
      <c r="A5362" s="3">
        <v>46091</v>
      </c>
      <c r="B5362" s="4" t="s">
        <v>334</v>
      </c>
      <c r="C5362" s="4" t="s">
        <v>1634</v>
      </c>
      <c r="D5362" s="4"/>
      <c r="E5362" s="4" t="s">
        <v>921</v>
      </c>
      <c r="F5362" s="46" t="s">
        <v>2501</v>
      </c>
      <c r="G5362" s="4" t="s">
        <v>336</v>
      </c>
      <c r="H5362" s="4" t="s">
        <v>380</v>
      </c>
      <c r="I5362" s="4">
        <v>0.5</v>
      </c>
      <c r="J5362" s="21">
        <v>300</v>
      </c>
      <c r="K5362" s="21">
        <v>150</v>
      </c>
      <c r="L5362" s="5">
        <v>0</v>
      </c>
      <c r="M5362" s="4"/>
      <c r="N5362" s="4"/>
      <c r="O5362" s="5"/>
      <c r="P5362" s="5"/>
      <c r="Q5362" s="21">
        <v>0</v>
      </c>
      <c r="R5362" s="21">
        <v>0</v>
      </c>
      <c r="S5362" s="5">
        <f t="shared" si="335"/>
        <v>81432.702167016105</v>
      </c>
      <c r="T5362" cm="1">
        <f t="array" ref="T5362">IF(OR(B5362="MAL ALIMI", B5362="ÜRETİM GİRİŞ"), MIN(I5362, MAX(0, I5362 + SUM(SUMIFS($I$1:I5361, $C$1:C5361, C5362, $B$1:B5361, {"MAL ALIMI","ÜRETİM GİRİŞ"})) - VLOOKUP(C5362, 'STOK RAPORU'!$C$2:$I$1000, 4, 0))), 0)</f>
        <v>0</v>
      </c>
      <c r="U5362" s="22">
        <f t="shared" si="332"/>
        <v>0</v>
      </c>
      <c r="V5362">
        <f t="shared" si="333"/>
        <v>0</v>
      </c>
      <c r="W5362" s="22">
        <f t="shared" si="334"/>
        <v>0</v>
      </c>
    </row>
    <row r="5363" spans="1:23" hidden="1" x14ac:dyDescent="0.25">
      <c r="A5363" s="3">
        <v>46091</v>
      </c>
      <c r="B5363" s="4" t="s">
        <v>334</v>
      </c>
      <c r="C5363" s="4" t="s">
        <v>132</v>
      </c>
      <c r="D5363" s="4"/>
      <c r="E5363" s="4" t="s">
        <v>921</v>
      </c>
      <c r="F5363" s="46" t="s">
        <v>2502</v>
      </c>
      <c r="G5363" s="4" t="s">
        <v>336</v>
      </c>
      <c r="H5363" s="4" t="s">
        <v>380</v>
      </c>
      <c r="I5363" s="4">
        <v>0.2</v>
      </c>
      <c r="J5363" s="21">
        <v>500</v>
      </c>
      <c r="K5363" s="21">
        <v>100</v>
      </c>
      <c r="L5363" s="5">
        <v>0</v>
      </c>
      <c r="M5363" s="4"/>
      <c r="N5363" s="4"/>
      <c r="O5363" s="5"/>
      <c r="P5363" s="5"/>
      <c r="Q5363" s="21">
        <v>0</v>
      </c>
      <c r="R5363" s="21">
        <v>0</v>
      </c>
      <c r="S5363" s="5">
        <f t="shared" si="335"/>
        <v>81432.702167016105</v>
      </c>
      <c r="T5363" cm="1">
        <f t="array" ref="T5363">IF(OR(B5363="MAL ALIMI", B5363="ÜRETİM GİRİŞ"), MIN(I5363, MAX(0, I5363 + SUM(SUMIFS($I$1:I5362, $C$1:C5362, C5363, $B$1:B5362, {"MAL ALIMI","ÜRETİM GİRİŞ"})) - VLOOKUP(C5363, 'STOK RAPORU'!$C$2:$I$1000, 4, 0))), 0)</f>
        <v>0</v>
      </c>
      <c r="U5363" s="22">
        <f t="shared" ref="U5363:U5426" si="336">T5363*J5363</f>
        <v>0</v>
      </c>
      <c r="V5363">
        <f t="shared" ref="V5363:V5426" si="337">IF(OR(B5363="MAL ALIMI", B5363="ÜRETİM GİRİŞ"), I5363 * J5363, 0)</f>
        <v>0</v>
      </c>
      <c r="W5363" s="22">
        <f t="shared" ref="W5363:W5426" si="338">V5363-U5363</f>
        <v>0</v>
      </c>
    </row>
    <row r="5364" spans="1:23" hidden="1" x14ac:dyDescent="0.25">
      <c r="A5364" s="3">
        <v>46091</v>
      </c>
      <c r="B5364" s="4" t="s">
        <v>334</v>
      </c>
      <c r="C5364" s="4" t="s">
        <v>463</v>
      </c>
      <c r="D5364" s="4"/>
      <c r="E5364" s="4" t="s">
        <v>921</v>
      </c>
      <c r="F5364" s="46" t="s">
        <v>2502</v>
      </c>
      <c r="G5364" s="4" t="s">
        <v>336</v>
      </c>
      <c r="H5364" s="4" t="s">
        <v>380</v>
      </c>
      <c r="I5364" s="4">
        <v>0.17499999999999999</v>
      </c>
      <c r="J5364" s="21">
        <v>400</v>
      </c>
      <c r="K5364" s="21">
        <v>70</v>
      </c>
      <c r="L5364" s="5">
        <v>0</v>
      </c>
      <c r="M5364" s="4"/>
      <c r="N5364" s="4"/>
      <c r="O5364" s="5"/>
      <c r="P5364" s="5"/>
      <c r="Q5364" s="21">
        <v>0</v>
      </c>
      <c r="R5364" s="21">
        <v>0</v>
      </c>
      <c r="S5364" s="5">
        <f t="shared" si="335"/>
        <v>81432.702167016105</v>
      </c>
      <c r="T5364" cm="1">
        <f t="array" ref="T5364">IF(OR(B5364="MAL ALIMI", B5364="ÜRETİM GİRİŞ"), MIN(I5364, MAX(0, I5364 + SUM(SUMIFS($I$1:I5363, $C$1:C5363, C5364, $B$1:B5363, {"MAL ALIMI","ÜRETİM GİRİŞ"})) - VLOOKUP(C5364, 'STOK RAPORU'!$C$2:$I$1000, 4, 0))), 0)</f>
        <v>0</v>
      </c>
      <c r="U5364" s="22">
        <f t="shared" si="336"/>
        <v>0</v>
      </c>
      <c r="V5364">
        <f t="shared" si="337"/>
        <v>0</v>
      </c>
      <c r="W5364" s="22">
        <f t="shared" si="338"/>
        <v>0</v>
      </c>
    </row>
    <row r="5365" spans="1:23" hidden="1" x14ac:dyDescent="0.25">
      <c r="A5365" s="3">
        <v>46091</v>
      </c>
      <c r="B5365" s="4" t="s">
        <v>334</v>
      </c>
      <c r="C5365" s="4" t="s">
        <v>1897</v>
      </c>
      <c r="D5365" s="4"/>
      <c r="E5365" s="4"/>
      <c r="F5365" s="46" t="s">
        <v>2503</v>
      </c>
      <c r="G5365" s="4" t="s">
        <v>336</v>
      </c>
      <c r="H5365" s="4" t="s">
        <v>289</v>
      </c>
      <c r="I5365" s="4">
        <v>1</v>
      </c>
      <c r="J5365" s="21">
        <v>295</v>
      </c>
      <c r="K5365" s="21">
        <v>0</v>
      </c>
      <c r="L5365" s="5">
        <v>0</v>
      </c>
      <c r="M5365" s="4"/>
      <c r="N5365" s="4"/>
      <c r="O5365" s="5"/>
      <c r="P5365" s="5"/>
      <c r="Q5365" s="21">
        <v>295</v>
      </c>
      <c r="R5365" s="21">
        <v>0</v>
      </c>
      <c r="S5365" s="5">
        <f t="shared" si="335"/>
        <v>81727.702167016105</v>
      </c>
      <c r="T5365" cm="1">
        <f t="array" ref="T5365">IF(OR(B5365="MAL ALIMI", B5365="ÜRETİM GİRİŞ"), MIN(I5365, MAX(0, I5365 + SUM(SUMIFS($I$1:I5364, $C$1:C5364, C5365, $B$1:B5364, {"MAL ALIMI","ÜRETİM GİRİŞ"})) - VLOOKUP(C5365, 'STOK RAPORU'!$C$2:$I$1000, 4, 0))), 0)</f>
        <v>0</v>
      </c>
      <c r="U5365" s="22">
        <f t="shared" si="336"/>
        <v>0</v>
      </c>
      <c r="V5365">
        <f t="shared" si="337"/>
        <v>0</v>
      </c>
      <c r="W5365" s="22">
        <f t="shared" si="338"/>
        <v>0</v>
      </c>
    </row>
    <row r="5366" spans="1:23" hidden="1" x14ac:dyDescent="0.25">
      <c r="A5366" s="3">
        <v>46091</v>
      </c>
      <c r="B5366" s="4" t="s">
        <v>334</v>
      </c>
      <c r="C5366" s="4" t="s">
        <v>266</v>
      </c>
      <c r="D5366" s="4"/>
      <c r="E5366" s="4"/>
      <c r="F5366" s="46" t="s">
        <v>2504</v>
      </c>
      <c r="G5366" s="4" t="s">
        <v>336</v>
      </c>
      <c r="H5366" s="4" t="s">
        <v>289</v>
      </c>
      <c r="I5366" s="4">
        <v>1</v>
      </c>
      <c r="J5366" s="21">
        <v>250</v>
      </c>
      <c r="K5366" s="21">
        <v>0</v>
      </c>
      <c r="L5366" s="5">
        <v>0</v>
      </c>
      <c r="M5366" s="4"/>
      <c r="N5366" s="4"/>
      <c r="O5366" s="5"/>
      <c r="P5366" s="5"/>
      <c r="Q5366" s="21">
        <v>250</v>
      </c>
      <c r="R5366" s="21">
        <v>0</v>
      </c>
      <c r="S5366" s="5">
        <f t="shared" si="335"/>
        <v>81977.702167016105</v>
      </c>
      <c r="T5366" cm="1">
        <f t="array" ref="T5366">IF(OR(B5366="MAL ALIMI", B5366="ÜRETİM GİRİŞ"), MIN(I5366, MAX(0, I5366 + SUM(SUMIFS($I$1:I5365, $C$1:C5365, C5366, $B$1:B5365, {"MAL ALIMI","ÜRETİM GİRİŞ"})) - VLOOKUP(C5366, 'STOK RAPORU'!$C$2:$I$1000, 4, 0))), 0)</f>
        <v>0</v>
      </c>
      <c r="U5366" s="22">
        <f t="shared" si="336"/>
        <v>0</v>
      </c>
      <c r="V5366">
        <f t="shared" si="337"/>
        <v>0</v>
      </c>
      <c r="W5366" s="22">
        <f t="shared" si="338"/>
        <v>0</v>
      </c>
    </row>
    <row r="5367" spans="1:23" hidden="1" x14ac:dyDescent="0.25">
      <c r="A5367" s="3">
        <v>46091</v>
      </c>
      <c r="B5367" s="4" t="s">
        <v>334</v>
      </c>
      <c r="C5367" s="4" t="s">
        <v>161</v>
      </c>
      <c r="D5367" s="4"/>
      <c r="E5367" s="4"/>
      <c r="F5367" s="46" t="s">
        <v>2505</v>
      </c>
      <c r="G5367" s="4" t="s">
        <v>336</v>
      </c>
      <c r="H5367" s="4" t="s">
        <v>289</v>
      </c>
      <c r="I5367" s="4">
        <v>1</v>
      </c>
      <c r="J5367" s="21">
        <v>230</v>
      </c>
      <c r="K5367" s="21">
        <v>0</v>
      </c>
      <c r="L5367" s="5">
        <v>0</v>
      </c>
      <c r="M5367" s="4"/>
      <c r="N5367" s="4"/>
      <c r="O5367" s="5"/>
      <c r="P5367" s="5"/>
      <c r="Q5367" s="21">
        <v>230</v>
      </c>
      <c r="R5367" s="21">
        <v>0</v>
      </c>
      <c r="S5367" s="5">
        <f t="shared" si="335"/>
        <v>82207.702167016105</v>
      </c>
      <c r="T5367" cm="1">
        <f t="array" ref="T5367">IF(OR(B5367="MAL ALIMI", B5367="ÜRETİM GİRİŞ"), MIN(I5367, MAX(0, I5367 + SUM(SUMIFS($I$1:I5366, $C$1:C5366, C5367, $B$1:B5366, {"MAL ALIMI","ÜRETİM GİRİŞ"})) - VLOOKUP(C5367, 'STOK RAPORU'!$C$2:$I$1000, 4, 0))), 0)</f>
        <v>0</v>
      </c>
      <c r="U5367" s="22">
        <f t="shared" si="336"/>
        <v>0</v>
      </c>
      <c r="V5367">
        <f t="shared" si="337"/>
        <v>0</v>
      </c>
      <c r="W5367" s="22">
        <f t="shared" si="338"/>
        <v>0</v>
      </c>
    </row>
    <row r="5368" spans="1:23" hidden="1" x14ac:dyDescent="0.25">
      <c r="A5368" s="3">
        <v>46091</v>
      </c>
      <c r="B5368" s="4" t="s">
        <v>334</v>
      </c>
      <c r="C5368" s="4" t="s">
        <v>161</v>
      </c>
      <c r="D5368" s="4"/>
      <c r="E5368" s="4"/>
      <c r="F5368" s="46" t="s">
        <v>2506</v>
      </c>
      <c r="G5368" s="4" t="s">
        <v>336</v>
      </c>
      <c r="H5368" s="4" t="s">
        <v>289</v>
      </c>
      <c r="I5368" s="4">
        <v>1</v>
      </c>
      <c r="J5368" s="21">
        <v>230</v>
      </c>
      <c r="K5368" s="21">
        <v>0</v>
      </c>
      <c r="L5368" s="5">
        <v>0</v>
      </c>
      <c r="M5368" s="4"/>
      <c r="N5368" s="4"/>
      <c r="O5368" s="5"/>
      <c r="P5368" s="5"/>
      <c r="Q5368" s="21">
        <v>230</v>
      </c>
      <c r="R5368" s="21">
        <v>0</v>
      </c>
      <c r="S5368" s="5">
        <f t="shared" si="335"/>
        <v>82437.702167016105</v>
      </c>
      <c r="T5368" cm="1">
        <f t="array" ref="T5368">IF(OR(B5368="MAL ALIMI", B5368="ÜRETİM GİRİŞ"), MIN(I5368, MAX(0, I5368 + SUM(SUMIFS($I$1:I5367, $C$1:C5367, C5368, $B$1:B5367, {"MAL ALIMI","ÜRETİM GİRİŞ"})) - VLOOKUP(C5368, 'STOK RAPORU'!$C$2:$I$1000, 4, 0))), 0)</f>
        <v>0</v>
      </c>
      <c r="U5368" s="22">
        <f t="shared" si="336"/>
        <v>0</v>
      </c>
      <c r="V5368">
        <f t="shared" si="337"/>
        <v>0</v>
      </c>
      <c r="W5368" s="22">
        <f t="shared" si="338"/>
        <v>0</v>
      </c>
    </row>
    <row r="5369" spans="1:23" hidden="1" x14ac:dyDescent="0.25">
      <c r="A5369" s="3">
        <v>46091</v>
      </c>
      <c r="B5369" s="4" t="s">
        <v>334</v>
      </c>
      <c r="C5369" s="4" t="s">
        <v>96</v>
      </c>
      <c r="D5369" s="4"/>
      <c r="E5369" s="4"/>
      <c r="F5369" s="46" t="s">
        <v>2527</v>
      </c>
      <c r="G5369" s="4" t="s">
        <v>336</v>
      </c>
      <c r="H5369" s="4" t="s">
        <v>289</v>
      </c>
      <c r="I5369" s="4">
        <v>0.252</v>
      </c>
      <c r="J5369" s="21">
        <v>400</v>
      </c>
      <c r="K5369" s="21">
        <v>0</v>
      </c>
      <c r="L5369" s="5">
        <v>0</v>
      </c>
      <c r="M5369" s="4"/>
      <c r="N5369" s="4"/>
      <c r="O5369" s="5"/>
      <c r="P5369" s="5"/>
      <c r="Q5369" s="21">
        <v>100.8</v>
      </c>
      <c r="R5369" s="21">
        <v>0</v>
      </c>
      <c r="S5369" s="5">
        <f t="shared" si="335"/>
        <v>82538.502167016108</v>
      </c>
      <c r="T5369" cm="1">
        <f t="array" ref="T5369">IF(OR(B5369="MAL ALIMI", B5369="ÜRETİM GİRİŞ"), MIN(I5369, MAX(0, I5369 + SUM(SUMIFS($I$1:I5368, $C$1:C5368, C5369, $B$1:B5368, {"MAL ALIMI","ÜRETİM GİRİŞ"})) - VLOOKUP(C5369, 'STOK RAPORU'!$C$2:$I$1000, 4, 0))), 0)</f>
        <v>0</v>
      </c>
      <c r="U5369" s="22">
        <f t="shared" si="336"/>
        <v>0</v>
      </c>
      <c r="V5369">
        <f t="shared" si="337"/>
        <v>0</v>
      </c>
      <c r="W5369" s="22">
        <f t="shared" si="338"/>
        <v>0</v>
      </c>
    </row>
    <row r="5370" spans="1:23" hidden="1" x14ac:dyDescent="0.25">
      <c r="A5370" s="3">
        <v>46091</v>
      </c>
      <c r="B5370" s="4" t="s">
        <v>334</v>
      </c>
      <c r="C5370" s="4" t="s">
        <v>92</v>
      </c>
      <c r="D5370" s="4"/>
      <c r="E5370" s="4"/>
      <c r="F5370" s="46" t="s">
        <v>2527</v>
      </c>
      <c r="G5370" s="4" t="s">
        <v>336</v>
      </c>
      <c r="H5370" s="4" t="s">
        <v>289</v>
      </c>
      <c r="I5370" s="4">
        <v>0.20599999999999999</v>
      </c>
      <c r="J5370" s="21">
        <v>500</v>
      </c>
      <c r="K5370" s="21">
        <v>0</v>
      </c>
      <c r="L5370" s="5">
        <v>0</v>
      </c>
      <c r="M5370" s="4"/>
      <c r="N5370" s="4"/>
      <c r="O5370" s="5"/>
      <c r="P5370" s="5"/>
      <c r="Q5370" s="21">
        <v>103</v>
      </c>
      <c r="R5370" s="21">
        <v>0</v>
      </c>
      <c r="S5370" s="5">
        <f t="shared" si="335"/>
        <v>82641.502167016108</v>
      </c>
      <c r="T5370" cm="1">
        <f t="array" ref="T5370">IF(OR(B5370="MAL ALIMI", B5370="ÜRETİM GİRİŞ"), MIN(I5370, MAX(0, I5370 + SUM(SUMIFS($I$1:I5369, $C$1:C5369, C5370, $B$1:B5369, {"MAL ALIMI","ÜRETİM GİRİŞ"})) - VLOOKUP(C5370, 'STOK RAPORU'!$C$2:$I$1000, 4, 0))), 0)</f>
        <v>0</v>
      </c>
      <c r="U5370" s="22">
        <f t="shared" si="336"/>
        <v>0</v>
      </c>
      <c r="V5370">
        <f t="shared" si="337"/>
        <v>0</v>
      </c>
      <c r="W5370" s="22">
        <f t="shared" si="338"/>
        <v>0</v>
      </c>
    </row>
    <row r="5371" spans="1:23" hidden="1" x14ac:dyDescent="0.25">
      <c r="A5371" s="3">
        <v>46091</v>
      </c>
      <c r="B5371" s="4" t="s">
        <v>334</v>
      </c>
      <c r="C5371" s="4" t="s">
        <v>695</v>
      </c>
      <c r="D5371" s="4"/>
      <c r="E5371" s="4"/>
      <c r="F5371" s="46" t="s">
        <v>2527</v>
      </c>
      <c r="G5371" s="4" t="s">
        <v>336</v>
      </c>
      <c r="H5371" s="4" t="s">
        <v>289</v>
      </c>
      <c r="I5371" s="4">
        <v>0.5</v>
      </c>
      <c r="J5371" s="21">
        <v>120</v>
      </c>
      <c r="K5371" s="21">
        <v>0</v>
      </c>
      <c r="L5371" s="5">
        <v>0</v>
      </c>
      <c r="M5371" s="4"/>
      <c r="N5371" s="4"/>
      <c r="O5371" s="5"/>
      <c r="P5371" s="5"/>
      <c r="Q5371" s="21">
        <v>60</v>
      </c>
      <c r="R5371" s="21">
        <v>0</v>
      </c>
      <c r="S5371" s="5">
        <f t="shared" si="335"/>
        <v>82701.502167016108</v>
      </c>
      <c r="T5371" cm="1">
        <f t="array" ref="T5371">IF(OR(B5371="MAL ALIMI", B5371="ÜRETİM GİRİŞ"), MIN(I5371, MAX(0, I5371 + SUM(SUMIFS($I$1:I5370, $C$1:C5370, C5371, $B$1:B5370, {"MAL ALIMI","ÜRETİM GİRİŞ"})) - VLOOKUP(C5371, 'STOK RAPORU'!$C$2:$I$1000, 4, 0))), 0)</f>
        <v>0</v>
      </c>
      <c r="U5371" s="22">
        <f t="shared" si="336"/>
        <v>0</v>
      </c>
      <c r="V5371">
        <f t="shared" si="337"/>
        <v>0</v>
      </c>
      <c r="W5371" s="22">
        <f t="shared" si="338"/>
        <v>0</v>
      </c>
    </row>
    <row r="5372" spans="1:23" hidden="1" x14ac:dyDescent="0.25">
      <c r="A5372" s="3">
        <v>46091</v>
      </c>
      <c r="B5372" s="4" t="s">
        <v>334</v>
      </c>
      <c r="C5372" s="4" t="s">
        <v>463</v>
      </c>
      <c r="D5372" s="4"/>
      <c r="E5372" s="4"/>
      <c r="F5372" s="46" t="s">
        <v>2527</v>
      </c>
      <c r="G5372" s="4" t="s">
        <v>336</v>
      </c>
      <c r="H5372" s="4" t="s">
        <v>289</v>
      </c>
      <c r="I5372" s="4">
        <v>0.28599999999999998</v>
      </c>
      <c r="J5372" s="21">
        <v>400</v>
      </c>
      <c r="K5372" s="21">
        <v>0</v>
      </c>
      <c r="L5372" s="5">
        <v>0</v>
      </c>
      <c r="M5372" s="4"/>
      <c r="N5372" s="4"/>
      <c r="O5372" s="5"/>
      <c r="P5372" s="5"/>
      <c r="Q5372" s="21">
        <v>114.39999999999999</v>
      </c>
      <c r="R5372" s="21">
        <v>0</v>
      </c>
      <c r="S5372" s="5">
        <f t="shared" si="335"/>
        <v>82815.902167016102</v>
      </c>
      <c r="T5372" cm="1">
        <f t="array" ref="T5372">IF(OR(B5372="MAL ALIMI", B5372="ÜRETİM GİRİŞ"), MIN(I5372, MAX(0, I5372 + SUM(SUMIFS($I$1:I5371, $C$1:C5371, C5372, $B$1:B5371, {"MAL ALIMI","ÜRETİM GİRİŞ"})) - VLOOKUP(C5372, 'STOK RAPORU'!$C$2:$I$1000, 4, 0))), 0)</f>
        <v>0</v>
      </c>
      <c r="U5372" s="22">
        <f t="shared" si="336"/>
        <v>0</v>
      </c>
      <c r="V5372">
        <f t="shared" si="337"/>
        <v>0</v>
      </c>
      <c r="W5372" s="22">
        <f t="shared" si="338"/>
        <v>0</v>
      </c>
    </row>
    <row r="5373" spans="1:23" hidden="1" x14ac:dyDescent="0.25">
      <c r="A5373" s="3">
        <v>46091</v>
      </c>
      <c r="B5373" s="4" t="s">
        <v>334</v>
      </c>
      <c r="C5373" s="4" t="s">
        <v>1041</v>
      </c>
      <c r="D5373" s="4"/>
      <c r="E5373" s="4"/>
      <c r="F5373" s="46" t="s">
        <v>2527</v>
      </c>
      <c r="G5373" s="4" t="s">
        <v>336</v>
      </c>
      <c r="H5373" s="4" t="s">
        <v>289</v>
      </c>
      <c r="I5373" s="4">
        <v>1</v>
      </c>
      <c r="J5373" s="21">
        <v>250</v>
      </c>
      <c r="K5373" s="21">
        <v>0</v>
      </c>
      <c r="L5373" s="5">
        <v>0</v>
      </c>
      <c r="M5373" s="4"/>
      <c r="N5373" s="4"/>
      <c r="O5373" s="5"/>
      <c r="P5373" s="5"/>
      <c r="Q5373" s="21">
        <v>250</v>
      </c>
      <c r="R5373" s="21">
        <v>0</v>
      </c>
      <c r="S5373" s="5">
        <f t="shared" si="335"/>
        <v>83065.902167016102</v>
      </c>
      <c r="T5373" cm="1">
        <f t="array" ref="T5373">IF(OR(B5373="MAL ALIMI", B5373="ÜRETİM GİRİŞ"), MIN(I5373, MAX(0, I5373 + SUM(SUMIFS($I$1:I5372, $C$1:C5372, C5373, $B$1:B5372, {"MAL ALIMI","ÜRETİM GİRİŞ"})) - VLOOKUP(C5373, 'STOK RAPORU'!$C$2:$I$1000, 4, 0))), 0)</f>
        <v>0</v>
      </c>
      <c r="U5373" s="22">
        <f t="shared" si="336"/>
        <v>0</v>
      </c>
      <c r="V5373">
        <f t="shared" si="337"/>
        <v>0</v>
      </c>
      <c r="W5373" s="22">
        <f t="shared" si="338"/>
        <v>0</v>
      </c>
    </row>
    <row r="5374" spans="1:23" hidden="1" x14ac:dyDescent="0.25">
      <c r="A5374" s="3">
        <v>46091</v>
      </c>
      <c r="B5374" s="4" t="s">
        <v>334</v>
      </c>
      <c r="C5374" s="4" t="s">
        <v>1897</v>
      </c>
      <c r="D5374" s="4"/>
      <c r="E5374" s="4"/>
      <c r="F5374" s="46" t="s">
        <v>2801</v>
      </c>
      <c r="G5374" s="4" t="s">
        <v>1945</v>
      </c>
      <c r="H5374" s="4" t="s">
        <v>289</v>
      </c>
      <c r="I5374" s="4">
        <v>1</v>
      </c>
      <c r="J5374" s="21">
        <v>230</v>
      </c>
      <c r="K5374" s="21">
        <v>0</v>
      </c>
      <c r="L5374" s="5">
        <v>0</v>
      </c>
      <c r="M5374" s="4"/>
      <c r="N5374" s="4"/>
      <c r="O5374" s="5"/>
      <c r="P5374" s="5"/>
      <c r="Q5374" s="21">
        <v>230</v>
      </c>
      <c r="R5374" s="21">
        <v>0</v>
      </c>
      <c r="S5374" s="5">
        <f t="shared" si="335"/>
        <v>83295.902167016102</v>
      </c>
      <c r="T5374" cm="1">
        <f t="array" ref="T5374">IF(OR(B5374="MAL ALIMI", B5374="ÜRETİM GİRİŞ"), MIN(I5374, MAX(0, I5374 + SUM(SUMIFS($I$1:I5373, $C$1:C5373, C5374, $B$1:B5373, {"MAL ALIMI","ÜRETİM GİRİŞ"})) - VLOOKUP(C5374, 'STOK RAPORU'!$C$2:$I$1000, 4, 0))), 0)</f>
        <v>0</v>
      </c>
      <c r="U5374" s="22">
        <f t="shared" si="336"/>
        <v>0</v>
      </c>
      <c r="V5374">
        <f t="shared" si="337"/>
        <v>0</v>
      </c>
      <c r="W5374" s="22">
        <f t="shared" si="338"/>
        <v>0</v>
      </c>
    </row>
    <row r="5375" spans="1:23" hidden="1" x14ac:dyDescent="0.25">
      <c r="A5375" s="3">
        <v>46091</v>
      </c>
      <c r="B5375" s="4" t="s">
        <v>334</v>
      </c>
      <c r="C5375" s="4" t="s">
        <v>1393</v>
      </c>
      <c r="D5375" s="4"/>
      <c r="E5375" s="4"/>
      <c r="F5375" s="46" t="s">
        <v>2801</v>
      </c>
      <c r="G5375" s="4" t="s">
        <v>1945</v>
      </c>
      <c r="H5375" s="4" t="s">
        <v>289</v>
      </c>
      <c r="I5375" s="4">
        <v>1</v>
      </c>
      <c r="J5375" s="21">
        <v>71</v>
      </c>
      <c r="K5375" s="21">
        <v>0</v>
      </c>
      <c r="L5375" s="5">
        <v>0</v>
      </c>
      <c r="M5375" s="4"/>
      <c r="N5375" s="4"/>
      <c r="O5375" s="5"/>
      <c r="P5375" s="5"/>
      <c r="Q5375" s="21">
        <v>71</v>
      </c>
      <c r="R5375" s="21">
        <v>0</v>
      </c>
      <c r="S5375" s="5">
        <f t="shared" si="335"/>
        <v>83366.902167016102</v>
      </c>
      <c r="T5375" cm="1">
        <f t="array" ref="T5375">IF(OR(B5375="MAL ALIMI", B5375="ÜRETİM GİRİŞ"), MIN(I5375, MAX(0, I5375 + SUM(SUMIFS($I$1:I5374, $C$1:C5374, C5375, $B$1:B5374, {"MAL ALIMI","ÜRETİM GİRİŞ"})) - VLOOKUP(C5375, 'STOK RAPORU'!$C$2:$I$1000, 4, 0))), 0)</f>
        <v>0</v>
      </c>
      <c r="U5375" s="22">
        <f t="shared" si="336"/>
        <v>0</v>
      </c>
      <c r="V5375">
        <f t="shared" si="337"/>
        <v>0</v>
      </c>
      <c r="W5375" s="22">
        <f t="shared" si="338"/>
        <v>0</v>
      </c>
    </row>
    <row r="5376" spans="1:23" hidden="1" x14ac:dyDescent="0.25">
      <c r="A5376" s="3">
        <v>46091</v>
      </c>
      <c r="B5376" s="4" t="s">
        <v>917</v>
      </c>
      <c r="C5376" s="4"/>
      <c r="D5376" s="4"/>
      <c r="E5376" s="4" t="s">
        <v>856</v>
      </c>
      <c r="F5376" s="4"/>
      <c r="G5376" s="4" t="s">
        <v>920</v>
      </c>
      <c r="H5376" s="4" t="s">
        <v>289</v>
      </c>
      <c r="I5376" s="4">
        <v>1</v>
      </c>
      <c r="J5376" s="21"/>
      <c r="K5376" s="21">
        <v>2589.56</v>
      </c>
      <c r="L5376" s="5">
        <v>0</v>
      </c>
      <c r="M5376" s="4"/>
      <c r="N5376" s="4"/>
      <c r="O5376" s="5"/>
      <c r="P5376" s="5"/>
      <c r="Q5376" s="21">
        <v>0</v>
      </c>
      <c r="R5376" s="21">
        <v>2589.56</v>
      </c>
      <c r="S5376" s="5">
        <f t="shared" si="335"/>
        <v>80777.342167016104</v>
      </c>
      <c r="T5376" cm="1">
        <f t="array" ref="T5376">IF(OR(B5376="MAL ALIMI", B5376="ÜRETİM GİRİŞ"), MIN(I5376, MAX(0, I5376 + SUM(SUMIFS($I$1:I5375, $C$1:C5375, C5376, $B$1:B5375, {"MAL ALIMI","ÜRETİM GİRİŞ"})) - VLOOKUP(C5376, 'STOK RAPORU'!$C$2:$I$1000, 4, 0))), 0)</f>
        <v>0</v>
      </c>
      <c r="U5376" s="22">
        <f t="shared" si="336"/>
        <v>0</v>
      </c>
      <c r="V5376">
        <f t="shared" si="337"/>
        <v>0</v>
      </c>
      <c r="W5376" s="22">
        <f t="shared" si="338"/>
        <v>0</v>
      </c>
    </row>
    <row r="5377" spans="1:23" hidden="1" x14ac:dyDescent="0.25">
      <c r="A5377" s="3">
        <v>46091</v>
      </c>
      <c r="B5377" s="4" t="s">
        <v>946</v>
      </c>
      <c r="C5377" s="4"/>
      <c r="D5377" s="4"/>
      <c r="E5377" s="4" t="s">
        <v>921</v>
      </c>
      <c r="F5377" s="4"/>
      <c r="G5377" s="4" t="s">
        <v>946</v>
      </c>
      <c r="H5377" s="4" t="s">
        <v>380</v>
      </c>
      <c r="I5377" s="4">
        <v>1</v>
      </c>
      <c r="J5377" s="105">
        <v>2705</v>
      </c>
      <c r="K5377" s="21">
        <v>0</v>
      </c>
      <c r="L5377" s="32">
        <v>2705</v>
      </c>
      <c r="M5377" s="4"/>
      <c r="N5377" s="4"/>
      <c r="O5377" s="5"/>
      <c r="P5377" s="5"/>
      <c r="Q5377" s="21">
        <v>2705</v>
      </c>
      <c r="R5377" s="21">
        <v>0</v>
      </c>
      <c r="S5377" s="5">
        <f t="shared" si="335"/>
        <v>83482.342167016104</v>
      </c>
      <c r="T5377" cm="1">
        <f t="array" ref="T5377">IF(OR(B5377="MAL ALIMI", B5377="ÜRETİM GİRİŞ"), MIN(I5377, MAX(0, I5377 + SUM(SUMIFS($I$1:I5376, $C$1:C5376, C5377, $B$1:B5376, {"MAL ALIMI","ÜRETİM GİRİŞ"})) - VLOOKUP(C5377, 'STOK RAPORU'!$C$2:$I$1000, 4, 0))), 0)</f>
        <v>0</v>
      </c>
      <c r="U5377" s="22">
        <f t="shared" si="336"/>
        <v>0</v>
      </c>
      <c r="V5377">
        <f t="shared" si="337"/>
        <v>0</v>
      </c>
      <c r="W5377" s="22">
        <f t="shared" si="338"/>
        <v>0</v>
      </c>
    </row>
    <row r="5378" spans="1:23" hidden="1" x14ac:dyDescent="0.25">
      <c r="A5378" s="3">
        <v>46092</v>
      </c>
      <c r="B5378" s="4" t="s">
        <v>298</v>
      </c>
      <c r="C5378" s="4" t="s">
        <v>2562</v>
      </c>
      <c r="D5378" s="4"/>
      <c r="E5378" s="4" t="s">
        <v>2381</v>
      </c>
      <c r="F5378" s="4" t="s">
        <v>2564</v>
      </c>
      <c r="G5378" s="4" t="s">
        <v>2381</v>
      </c>
      <c r="H5378" s="4" t="s">
        <v>304</v>
      </c>
      <c r="I5378" s="4">
        <v>5</v>
      </c>
      <c r="J5378" s="21">
        <v>50.5</v>
      </c>
      <c r="K5378" s="21">
        <v>0</v>
      </c>
      <c r="L5378" s="5">
        <v>252.5</v>
      </c>
      <c r="M5378" s="4"/>
      <c r="N5378" s="4"/>
      <c r="O5378" s="5"/>
      <c r="P5378" s="5"/>
      <c r="Q5378" s="21">
        <v>0</v>
      </c>
      <c r="R5378" s="21">
        <v>0</v>
      </c>
      <c r="S5378" s="5">
        <f t="shared" si="335"/>
        <v>83482.342167016104</v>
      </c>
      <c r="T5378" cm="1">
        <f t="array" ref="T5378">IF(OR(B5378="MAL ALIMI", B5378="ÜRETİM GİRİŞ"), MIN(I5378, MAX(0, I5378 + SUM(SUMIFS($I$1:I5377, $C$1:C5377, C5378, $B$1:B5377, {"MAL ALIMI","ÜRETİM GİRİŞ"})) - VLOOKUP(C5378, 'STOK RAPORU'!$C$2:$I$1000, 4, 0))), 0)</f>
        <v>0</v>
      </c>
      <c r="U5378" s="22">
        <f t="shared" si="336"/>
        <v>0</v>
      </c>
      <c r="V5378">
        <f t="shared" si="337"/>
        <v>252.5</v>
      </c>
      <c r="W5378" s="22">
        <f t="shared" si="338"/>
        <v>252.5</v>
      </c>
    </row>
    <row r="5379" spans="1:23" hidden="1" x14ac:dyDescent="0.25">
      <c r="A5379" s="3">
        <v>46092</v>
      </c>
      <c r="B5379" s="4" t="s">
        <v>298</v>
      </c>
      <c r="C5379" s="4" t="s">
        <v>2563</v>
      </c>
      <c r="D5379" s="4"/>
      <c r="E5379" s="4" t="s">
        <v>2381</v>
      </c>
      <c r="F5379" s="4" t="s">
        <v>2564</v>
      </c>
      <c r="G5379" s="4" t="s">
        <v>2381</v>
      </c>
      <c r="H5379" s="4" t="s">
        <v>304</v>
      </c>
      <c r="I5379" s="4">
        <v>3</v>
      </c>
      <c r="J5379" s="21">
        <v>50.5</v>
      </c>
      <c r="K5379" s="21">
        <v>0</v>
      </c>
      <c r="L5379" s="5">
        <v>151.5</v>
      </c>
      <c r="M5379" s="4"/>
      <c r="N5379" s="4"/>
      <c r="O5379" s="5"/>
      <c r="P5379" s="5"/>
      <c r="Q5379" s="21">
        <v>0</v>
      </c>
      <c r="R5379" s="21">
        <v>0</v>
      </c>
      <c r="S5379" s="5">
        <f t="shared" si="335"/>
        <v>83482.342167016104</v>
      </c>
      <c r="T5379" cm="1">
        <f t="array" ref="T5379">IF(OR(B5379="MAL ALIMI", B5379="ÜRETİM GİRİŞ"), MIN(I5379, MAX(0, I5379 + SUM(SUMIFS($I$1:I5378, $C$1:C5378, C5379, $B$1:B5378, {"MAL ALIMI","ÜRETİM GİRİŞ"})) - VLOOKUP(C5379, 'STOK RAPORU'!$C$2:$I$1000, 4, 0))), 0)</f>
        <v>0</v>
      </c>
      <c r="U5379" s="22">
        <f t="shared" si="336"/>
        <v>0</v>
      </c>
      <c r="V5379">
        <f t="shared" si="337"/>
        <v>151.5</v>
      </c>
      <c r="W5379" s="22">
        <f t="shared" si="338"/>
        <v>151.5</v>
      </c>
    </row>
    <row r="5380" spans="1:23" hidden="1" x14ac:dyDescent="0.25">
      <c r="A5380" s="3">
        <v>46092</v>
      </c>
      <c r="B5380" s="4" t="s">
        <v>298</v>
      </c>
      <c r="C5380" s="4" t="s">
        <v>2565</v>
      </c>
      <c r="D5380" s="4"/>
      <c r="E5380" s="4" t="s">
        <v>2381</v>
      </c>
      <c r="F5380" s="4" t="s">
        <v>2564</v>
      </c>
      <c r="G5380" s="4" t="s">
        <v>2381</v>
      </c>
      <c r="H5380" s="4" t="s">
        <v>304</v>
      </c>
      <c r="I5380" s="4">
        <v>5</v>
      </c>
      <c r="J5380" s="21">
        <v>434.3</v>
      </c>
      <c r="K5380" s="21">
        <v>0</v>
      </c>
      <c r="L5380" s="5">
        <v>2171.5</v>
      </c>
      <c r="M5380" s="4"/>
      <c r="N5380" s="4"/>
      <c r="O5380" s="5"/>
      <c r="P5380" s="5"/>
      <c r="Q5380" s="21">
        <v>0</v>
      </c>
      <c r="R5380" s="21">
        <v>0</v>
      </c>
      <c r="S5380" s="5">
        <f t="shared" ref="S5380:S5443" si="339">S5379+Q5380-R5380</f>
        <v>83482.342167016104</v>
      </c>
      <c r="T5380" cm="1">
        <f t="array" ref="T5380">IF(OR(B5380="MAL ALIMI", B5380="ÜRETİM GİRİŞ"), MIN(I5380, MAX(0, I5380 + SUM(SUMIFS($I$1:I5379, $C$1:C5379, C5380, $B$1:B5379, {"MAL ALIMI","ÜRETİM GİRİŞ"})) - VLOOKUP(C5380, 'STOK RAPORU'!$C$2:$I$1000, 4, 0))), 0)</f>
        <v>1.0660046153846157</v>
      </c>
      <c r="U5380" s="22">
        <f t="shared" si="336"/>
        <v>462.9658044615386</v>
      </c>
      <c r="V5380">
        <f t="shared" si="337"/>
        <v>2171.5</v>
      </c>
      <c r="W5380" s="22">
        <f t="shared" si="338"/>
        <v>1708.5341955384615</v>
      </c>
    </row>
    <row r="5381" spans="1:23" hidden="1" x14ac:dyDescent="0.25">
      <c r="A5381" s="3">
        <v>46092</v>
      </c>
      <c r="B5381" s="4" t="s">
        <v>298</v>
      </c>
      <c r="C5381" s="4" t="s">
        <v>266</v>
      </c>
      <c r="D5381" s="4"/>
      <c r="E5381" s="4" t="s">
        <v>2381</v>
      </c>
      <c r="F5381" s="4" t="s">
        <v>2564</v>
      </c>
      <c r="G5381" s="4" t="s">
        <v>2381</v>
      </c>
      <c r="H5381" s="4" t="s">
        <v>304</v>
      </c>
      <c r="I5381" s="4">
        <v>5</v>
      </c>
      <c r="J5381" s="21">
        <v>181.8</v>
      </c>
      <c r="K5381" s="21">
        <v>0</v>
      </c>
      <c r="L5381" s="5">
        <v>909</v>
      </c>
      <c r="M5381" s="4"/>
      <c r="N5381" s="4"/>
      <c r="O5381" s="5"/>
      <c r="P5381" s="5"/>
      <c r="Q5381" s="21">
        <v>0</v>
      </c>
      <c r="R5381" s="21">
        <v>0</v>
      </c>
      <c r="S5381" s="5">
        <f t="shared" si="339"/>
        <v>83482.342167016104</v>
      </c>
      <c r="T5381" cm="1">
        <f t="array" ref="T5381">IF(OR(B5381="MAL ALIMI", B5381="ÜRETİM GİRİŞ"), MIN(I5381, MAX(0, I5381 + SUM(SUMIFS($I$1:I5380, $C$1:C5380, C5381, $B$1:B5380, {"MAL ALIMI","ÜRETİM GİRİŞ"})) - VLOOKUP(C5381, 'STOK RAPORU'!$C$2:$I$1000, 4, 0))), 0)</f>
        <v>0.14300000000000068</v>
      </c>
      <c r="U5381" s="22">
        <f t="shared" si="336"/>
        <v>25.997400000000127</v>
      </c>
      <c r="V5381">
        <f t="shared" si="337"/>
        <v>909</v>
      </c>
      <c r="W5381" s="22">
        <f t="shared" si="338"/>
        <v>883.00259999999992</v>
      </c>
    </row>
    <row r="5382" spans="1:23" hidden="1" x14ac:dyDescent="0.25">
      <c r="A5382" s="3">
        <v>46092</v>
      </c>
      <c r="B5382" s="4" t="s">
        <v>334</v>
      </c>
      <c r="C5382" s="4" t="s">
        <v>2124</v>
      </c>
      <c r="D5382" s="4"/>
      <c r="E5382" s="4" t="s">
        <v>921</v>
      </c>
      <c r="F5382" s="46" t="s">
        <v>2507</v>
      </c>
      <c r="G5382" s="4" t="s">
        <v>336</v>
      </c>
      <c r="H5382" s="4" t="s">
        <v>380</v>
      </c>
      <c r="I5382" s="4">
        <v>0.44</v>
      </c>
      <c r="J5382" s="21">
        <v>500</v>
      </c>
      <c r="K5382" s="21">
        <v>220</v>
      </c>
      <c r="L5382" s="5">
        <v>0</v>
      </c>
      <c r="M5382" s="4"/>
      <c r="N5382" s="4"/>
      <c r="O5382" s="5"/>
      <c r="P5382" s="5"/>
      <c r="Q5382" s="21">
        <v>0</v>
      </c>
      <c r="R5382" s="21">
        <v>0</v>
      </c>
      <c r="S5382" s="5">
        <f t="shared" si="339"/>
        <v>83482.342167016104</v>
      </c>
      <c r="T5382" cm="1">
        <f t="array" ref="T5382">IF(OR(B5382="MAL ALIMI", B5382="ÜRETİM GİRİŞ"), MIN(I5382, MAX(0, I5382 + SUM(SUMIFS($I$1:I5381, $C$1:C5381, C5382, $B$1:B5381, {"MAL ALIMI","ÜRETİM GİRİŞ"})) - VLOOKUP(C5382, 'STOK RAPORU'!$C$2:$I$1000, 4, 0))), 0)</f>
        <v>0</v>
      </c>
      <c r="U5382" s="22">
        <f t="shared" si="336"/>
        <v>0</v>
      </c>
      <c r="V5382">
        <f t="shared" si="337"/>
        <v>0</v>
      </c>
      <c r="W5382" s="22">
        <f t="shared" si="338"/>
        <v>0</v>
      </c>
    </row>
    <row r="5383" spans="1:23" hidden="1" x14ac:dyDescent="0.25">
      <c r="A5383" s="3">
        <v>46092</v>
      </c>
      <c r="B5383" s="4" t="s">
        <v>334</v>
      </c>
      <c r="C5383" s="4" t="s">
        <v>2125</v>
      </c>
      <c r="D5383" s="4"/>
      <c r="E5383" s="4"/>
      <c r="F5383" s="46" t="s">
        <v>2508</v>
      </c>
      <c r="G5383" s="4" t="s">
        <v>336</v>
      </c>
      <c r="H5383" s="4" t="s">
        <v>289</v>
      </c>
      <c r="I5383" s="4">
        <v>0.50270270270270268</v>
      </c>
      <c r="J5383" s="21">
        <v>370</v>
      </c>
      <c r="K5383" s="21">
        <v>0</v>
      </c>
      <c r="L5383" s="5">
        <v>0</v>
      </c>
      <c r="M5383" s="4"/>
      <c r="N5383" s="4"/>
      <c r="O5383" s="5"/>
      <c r="P5383" s="5"/>
      <c r="Q5383" s="21">
        <v>186</v>
      </c>
      <c r="R5383" s="21">
        <v>0</v>
      </c>
      <c r="S5383" s="5">
        <f t="shared" si="339"/>
        <v>83668.342167016104</v>
      </c>
      <c r="T5383" cm="1">
        <f t="array" ref="T5383">IF(OR(B5383="MAL ALIMI", B5383="ÜRETİM GİRİŞ"), MIN(I5383, MAX(0, I5383 + SUM(SUMIFS($I$1:I5382, $C$1:C5382, C5383, $B$1:B5382, {"MAL ALIMI","ÜRETİM GİRİŞ"})) - VLOOKUP(C5383, 'STOK RAPORU'!$C$2:$I$1000, 4, 0))), 0)</f>
        <v>0</v>
      </c>
      <c r="U5383" s="22">
        <f t="shared" si="336"/>
        <v>0</v>
      </c>
      <c r="V5383">
        <f t="shared" si="337"/>
        <v>0</v>
      </c>
      <c r="W5383" s="22">
        <f t="shared" si="338"/>
        <v>0</v>
      </c>
    </row>
    <row r="5384" spans="1:23" hidden="1" x14ac:dyDescent="0.25">
      <c r="A5384" s="3">
        <v>46092</v>
      </c>
      <c r="B5384" s="4" t="s">
        <v>334</v>
      </c>
      <c r="C5384" s="4" t="s">
        <v>1357</v>
      </c>
      <c r="D5384" s="4"/>
      <c r="E5384" s="4"/>
      <c r="F5384" s="46" t="s">
        <v>2508</v>
      </c>
      <c r="G5384" s="4" t="s">
        <v>336</v>
      </c>
      <c r="H5384" s="4" t="s">
        <v>289</v>
      </c>
      <c r="I5384" s="4">
        <v>0.50701754385964914</v>
      </c>
      <c r="J5384" s="21">
        <v>570</v>
      </c>
      <c r="K5384" s="21">
        <v>0</v>
      </c>
      <c r="L5384" s="5">
        <v>0</v>
      </c>
      <c r="M5384" s="4"/>
      <c r="N5384" s="4"/>
      <c r="O5384" s="5"/>
      <c r="P5384" s="5"/>
      <c r="Q5384" s="21">
        <v>289</v>
      </c>
      <c r="R5384" s="21">
        <v>0</v>
      </c>
      <c r="S5384" s="5">
        <f t="shared" si="339"/>
        <v>83957.342167016104</v>
      </c>
      <c r="T5384" cm="1">
        <f t="array" ref="T5384">IF(OR(B5384="MAL ALIMI", B5384="ÜRETİM GİRİŞ"), MIN(I5384, MAX(0, I5384 + SUM(SUMIFS($I$1:I5383, $C$1:C5383, C5384, $B$1:B5383, {"MAL ALIMI","ÜRETİM GİRİŞ"})) - VLOOKUP(C5384, 'STOK RAPORU'!$C$2:$I$1000, 4, 0))), 0)</f>
        <v>0</v>
      </c>
      <c r="U5384" s="22">
        <f t="shared" si="336"/>
        <v>0</v>
      </c>
      <c r="V5384">
        <f t="shared" si="337"/>
        <v>0</v>
      </c>
      <c r="W5384" s="22">
        <f t="shared" si="338"/>
        <v>0</v>
      </c>
    </row>
    <row r="5385" spans="1:23" hidden="1" x14ac:dyDescent="0.25">
      <c r="A5385" s="3">
        <v>46092</v>
      </c>
      <c r="B5385" s="4" t="s">
        <v>334</v>
      </c>
      <c r="C5385" s="4" t="s">
        <v>152</v>
      </c>
      <c r="D5385" s="4"/>
      <c r="E5385" s="4"/>
      <c r="F5385" s="46" t="s">
        <v>2509</v>
      </c>
      <c r="G5385" s="4" t="s">
        <v>336</v>
      </c>
      <c r="H5385" s="4" t="s">
        <v>289</v>
      </c>
      <c r="I5385" s="4">
        <v>0.1</v>
      </c>
      <c r="J5385" s="21">
        <v>400</v>
      </c>
      <c r="K5385" s="21">
        <v>0</v>
      </c>
      <c r="L5385" s="5">
        <v>0</v>
      </c>
      <c r="M5385" s="4"/>
      <c r="N5385" s="4"/>
      <c r="O5385" s="5"/>
      <c r="P5385" s="5"/>
      <c r="Q5385" s="21">
        <v>40</v>
      </c>
      <c r="R5385" s="21">
        <v>0</v>
      </c>
      <c r="S5385" s="5">
        <f t="shared" si="339"/>
        <v>83997.342167016104</v>
      </c>
      <c r="T5385" cm="1">
        <f t="array" ref="T5385">IF(OR(B5385="MAL ALIMI", B5385="ÜRETİM GİRİŞ"), MIN(I5385, MAX(0, I5385 + SUM(SUMIFS($I$1:I5384, $C$1:C5384, C5385, $B$1:B5384, {"MAL ALIMI","ÜRETİM GİRİŞ"})) - VLOOKUP(C5385, 'STOK RAPORU'!$C$2:$I$1000, 4, 0))), 0)</f>
        <v>0</v>
      </c>
      <c r="U5385" s="22">
        <f t="shared" si="336"/>
        <v>0</v>
      </c>
      <c r="V5385">
        <f t="shared" si="337"/>
        <v>0</v>
      </c>
      <c r="W5385" s="22">
        <f t="shared" si="338"/>
        <v>0</v>
      </c>
    </row>
    <row r="5386" spans="1:23" hidden="1" x14ac:dyDescent="0.25">
      <c r="A5386" s="3">
        <v>46092</v>
      </c>
      <c r="B5386" s="4" t="s">
        <v>334</v>
      </c>
      <c r="C5386" s="4" t="s">
        <v>161</v>
      </c>
      <c r="D5386" s="4"/>
      <c r="E5386" s="4"/>
      <c r="F5386" s="46" t="s">
        <v>2509</v>
      </c>
      <c r="G5386" s="4" t="s">
        <v>336</v>
      </c>
      <c r="H5386" s="4" t="s">
        <v>289</v>
      </c>
      <c r="I5386" s="4">
        <v>1</v>
      </c>
      <c r="J5386" s="21">
        <v>230</v>
      </c>
      <c r="K5386" s="21">
        <v>0</v>
      </c>
      <c r="L5386" s="5">
        <v>0</v>
      </c>
      <c r="M5386" s="4"/>
      <c r="N5386" s="4"/>
      <c r="O5386" s="5"/>
      <c r="P5386" s="5"/>
      <c r="Q5386" s="21">
        <v>230</v>
      </c>
      <c r="R5386" s="21">
        <v>0</v>
      </c>
      <c r="S5386" s="5">
        <f t="shared" si="339"/>
        <v>84227.342167016104</v>
      </c>
      <c r="T5386" cm="1">
        <f t="array" ref="T5386">IF(OR(B5386="MAL ALIMI", B5386="ÜRETİM GİRİŞ"), MIN(I5386, MAX(0, I5386 + SUM(SUMIFS($I$1:I5385, $C$1:C5385, C5386, $B$1:B5385, {"MAL ALIMI","ÜRETİM GİRİŞ"})) - VLOOKUP(C5386, 'STOK RAPORU'!$C$2:$I$1000, 4, 0))), 0)</f>
        <v>0</v>
      </c>
      <c r="U5386" s="22">
        <f t="shared" si="336"/>
        <v>0</v>
      </c>
      <c r="V5386">
        <f t="shared" si="337"/>
        <v>0</v>
      </c>
      <c r="W5386" s="22">
        <f t="shared" si="338"/>
        <v>0</v>
      </c>
    </row>
    <row r="5387" spans="1:23" hidden="1" x14ac:dyDescent="0.25">
      <c r="A5387" s="3">
        <v>46092</v>
      </c>
      <c r="B5387" s="4" t="s">
        <v>334</v>
      </c>
      <c r="C5387" s="4" t="s">
        <v>187</v>
      </c>
      <c r="D5387" s="4"/>
      <c r="E5387" s="4"/>
      <c r="F5387" s="46" t="s">
        <v>2510</v>
      </c>
      <c r="G5387" s="4" t="s">
        <v>336</v>
      </c>
      <c r="H5387" s="4" t="s">
        <v>289</v>
      </c>
      <c r="I5387" s="4">
        <v>1</v>
      </c>
      <c r="J5387" s="21">
        <v>60</v>
      </c>
      <c r="K5387" s="21">
        <v>0</v>
      </c>
      <c r="L5387" s="5">
        <v>0</v>
      </c>
      <c r="M5387" s="4"/>
      <c r="N5387" s="4"/>
      <c r="O5387" s="5"/>
      <c r="P5387" s="5"/>
      <c r="Q5387" s="21">
        <v>60</v>
      </c>
      <c r="R5387" s="21">
        <v>0</v>
      </c>
      <c r="S5387" s="5">
        <f t="shared" si="339"/>
        <v>84287.342167016104</v>
      </c>
      <c r="T5387" cm="1">
        <f t="array" ref="T5387">IF(OR(B5387="MAL ALIMI", B5387="ÜRETİM GİRİŞ"), MIN(I5387, MAX(0, I5387 + SUM(SUMIFS($I$1:I5386, $C$1:C5386, C5387, $B$1:B5386, {"MAL ALIMI","ÜRETİM GİRİŞ"})) - VLOOKUP(C5387, 'STOK RAPORU'!$C$2:$I$1000, 4, 0))), 0)</f>
        <v>0</v>
      </c>
      <c r="U5387" s="22">
        <f t="shared" si="336"/>
        <v>0</v>
      </c>
      <c r="V5387">
        <f t="shared" si="337"/>
        <v>0</v>
      </c>
      <c r="W5387" s="22">
        <f t="shared" si="338"/>
        <v>0</v>
      </c>
    </row>
    <row r="5388" spans="1:23" hidden="1" x14ac:dyDescent="0.25">
      <c r="A5388" s="3">
        <v>46092</v>
      </c>
      <c r="B5388" s="4" t="s">
        <v>334</v>
      </c>
      <c r="C5388" s="4" t="s">
        <v>463</v>
      </c>
      <c r="D5388" s="4"/>
      <c r="E5388" s="4"/>
      <c r="F5388" s="46" t="s">
        <v>2511</v>
      </c>
      <c r="G5388" s="4" t="s">
        <v>336</v>
      </c>
      <c r="H5388" s="4" t="s">
        <v>289</v>
      </c>
      <c r="I5388" s="4">
        <v>0.25</v>
      </c>
      <c r="J5388" s="21">
        <v>400</v>
      </c>
      <c r="K5388" s="21">
        <v>0</v>
      </c>
      <c r="L5388" s="5">
        <v>0</v>
      </c>
      <c r="M5388" s="4"/>
      <c r="N5388" s="4"/>
      <c r="O5388" s="5"/>
      <c r="P5388" s="5"/>
      <c r="Q5388" s="21">
        <v>100</v>
      </c>
      <c r="R5388" s="21">
        <v>0</v>
      </c>
      <c r="S5388" s="5">
        <f t="shared" si="339"/>
        <v>84387.342167016104</v>
      </c>
      <c r="T5388" cm="1">
        <f t="array" ref="T5388">IF(OR(B5388="MAL ALIMI", B5388="ÜRETİM GİRİŞ"), MIN(I5388, MAX(0, I5388 + SUM(SUMIFS($I$1:I5387, $C$1:C5387, C5388, $B$1:B5387, {"MAL ALIMI","ÜRETİM GİRİŞ"})) - VLOOKUP(C5388, 'STOK RAPORU'!$C$2:$I$1000, 4, 0))), 0)</f>
        <v>0</v>
      </c>
      <c r="U5388" s="22">
        <f t="shared" si="336"/>
        <v>0</v>
      </c>
      <c r="V5388">
        <f t="shared" si="337"/>
        <v>0</v>
      </c>
      <c r="W5388" s="22">
        <f t="shared" si="338"/>
        <v>0</v>
      </c>
    </row>
    <row r="5389" spans="1:23" hidden="1" x14ac:dyDescent="0.25">
      <c r="A5389" s="3">
        <v>46092</v>
      </c>
      <c r="B5389" s="4" t="s">
        <v>334</v>
      </c>
      <c r="C5389" s="4" t="s">
        <v>131</v>
      </c>
      <c r="D5389" s="4"/>
      <c r="E5389" s="4"/>
      <c r="F5389" s="46" t="s">
        <v>2511</v>
      </c>
      <c r="G5389" s="4" t="s">
        <v>336</v>
      </c>
      <c r="H5389" s="4" t="s">
        <v>289</v>
      </c>
      <c r="I5389" s="4">
        <v>0.1075</v>
      </c>
      <c r="J5389" s="21">
        <v>400</v>
      </c>
      <c r="K5389" s="21">
        <v>0</v>
      </c>
      <c r="L5389" s="5">
        <v>0</v>
      </c>
      <c r="M5389" s="4"/>
      <c r="N5389" s="4"/>
      <c r="O5389" s="5"/>
      <c r="P5389" s="5"/>
      <c r="Q5389" s="21">
        <v>43</v>
      </c>
      <c r="R5389" s="21">
        <v>0</v>
      </c>
      <c r="S5389" s="5">
        <f t="shared" si="339"/>
        <v>84430.342167016104</v>
      </c>
      <c r="T5389" cm="1">
        <f t="array" ref="T5389">IF(OR(B5389="MAL ALIMI", B5389="ÜRETİM GİRİŞ"), MIN(I5389, MAX(0, I5389 + SUM(SUMIFS($I$1:I5388, $C$1:C5388, C5389, $B$1:B5388, {"MAL ALIMI","ÜRETİM GİRİŞ"})) - VLOOKUP(C5389, 'STOK RAPORU'!$C$2:$I$1000, 4, 0))), 0)</f>
        <v>0</v>
      </c>
      <c r="U5389" s="22">
        <f t="shared" si="336"/>
        <v>0</v>
      </c>
      <c r="V5389">
        <f t="shared" si="337"/>
        <v>0</v>
      </c>
      <c r="W5389" s="22">
        <f t="shared" si="338"/>
        <v>0</v>
      </c>
    </row>
    <row r="5390" spans="1:23" hidden="1" x14ac:dyDescent="0.25">
      <c r="A5390" s="3">
        <v>46092</v>
      </c>
      <c r="B5390" s="4" t="s">
        <v>334</v>
      </c>
      <c r="C5390" s="4" t="s">
        <v>140</v>
      </c>
      <c r="D5390" s="4"/>
      <c r="E5390" s="4"/>
      <c r="F5390" s="46" t="s">
        <v>2512</v>
      </c>
      <c r="G5390" s="4" t="s">
        <v>336</v>
      </c>
      <c r="H5390" s="4" t="s">
        <v>289</v>
      </c>
      <c r="I5390" s="4">
        <v>0.15</v>
      </c>
      <c r="J5390" s="21">
        <v>300</v>
      </c>
      <c r="K5390" s="21">
        <v>0</v>
      </c>
      <c r="L5390" s="5">
        <v>0</v>
      </c>
      <c r="M5390" s="4"/>
      <c r="N5390" s="4"/>
      <c r="O5390" s="5"/>
      <c r="P5390" s="5"/>
      <c r="Q5390" s="21">
        <v>45</v>
      </c>
      <c r="R5390" s="21">
        <v>0</v>
      </c>
      <c r="S5390" s="5">
        <f t="shared" si="339"/>
        <v>84475.342167016104</v>
      </c>
      <c r="T5390" cm="1">
        <f t="array" ref="T5390">IF(OR(B5390="MAL ALIMI", B5390="ÜRETİM GİRİŞ"), MIN(I5390, MAX(0, I5390 + SUM(SUMIFS($I$1:I5389, $C$1:C5389, C5390, $B$1:B5389, {"MAL ALIMI","ÜRETİM GİRİŞ"})) - VLOOKUP(C5390, 'STOK RAPORU'!$C$2:$I$1000, 4, 0))), 0)</f>
        <v>0</v>
      </c>
      <c r="U5390" s="22">
        <f t="shared" si="336"/>
        <v>0</v>
      </c>
      <c r="V5390">
        <f t="shared" si="337"/>
        <v>0</v>
      </c>
      <c r="W5390" s="22">
        <f t="shared" si="338"/>
        <v>0</v>
      </c>
    </row>
    <row r="5391" spans="1:23" hidden="1" x14ac:dyDescent="0.25">
      <c r="A5391" s="3">
        <v>46092</v>
      </c>
      <c r="B5391" s="4" t="s">
        <v>334</v>
      </c>
      <c r="C5391" s="4" t="s">
        <v>200</v>
      </c>
      <c r="D5391" s="4"/>
      <c r="E5391" s="4"/>
      <c r="F5391" s="46" t="s">
        <v>2513</v>
      </c>
      <c r="G5391" s="4" t="s">
        <v>336</v>
      </c>
      <c r="H5391" s="4" t="s">
        <v>289</v>
      </c>
      <c r="I5391" s="4">
        <v>0.5</v>
      </c>
      <c r="J5391" s="21">
        <v>360</v>
      </c>
      <c r="K5391" s="21">
        <v>0</v>
      </c>
      <c r="L5391" s="5">
        <v>0</v>
      </c>
      <c r="M5391" s="4"/>
      <c r="N5391" s="4"/>
      <c r="O5391" s="5"/>
      <c r="P5391" s="5"/>
      <c r="Q5391" s="21">
        <v>180</v>
      </c>
      <c r="R5391" s="21">
        <v>0</v>
      </c>
      <c r="S5391" s="5">
        <f t="shared" si="339"/>
        <v>84655.342167016104</v>
      </c>
      <c r="T5391" cm="1">
        <f t="array" ref="T5391">IF(OR(B5391="MAL ALIMI", B5391="ÜRETİM GİRİŞ"), MIN(I5391, MAX(0, I5391 + SUM(SUMIFS($I$1:I5390, $C$1:C5390, C5391, $B$1:B5390, {"MAL ALIMI","ÜRETİM GİRİŞ"})) - VLOOKUP(C5391, 'STOK RAPORU'!$C$2:$I$1000, 4, 0))), 0)</f>
        <v>0</v>
      </c>
      <c r="U5391" s="22">
        <f t="shared" si="336"/>
        <v>0</v>
      </c>
      <c r="V5391">
        <f t="shared" si="337"/>
        <v>0</v>
      </c>
      <c r="W5391" s="22">
        <f t="shared" si="338"/>
        <v>0</v>
      </c>
    </row>
    <row r="5392" spans="1:23" hidden="1" x14ac:dyDescent="0.25">
      <c r="A5392" s="3">
        <v>46092</v>
      </c>
      <c r="B5392" s="4" t="s">
        <v>334</v>
      </c>
      <c r="C5392" s="4" t="s">
        <v>523</v>
      </c>
      <c r="D5392" s="4"/>
      <c r="E5392" s="4"/>
      <c r="F5392" s="46" t="s">
        <v>2513</v>
      </c>
      <c r="G5392" s="4" t="s">
        <v>336</v>
      </c>
      <c r="H5392" s="4" t="s">
        <v>289</v>
      </c>
      <c r="I5392" s="4">
        <v>0.08</v>
      </c>
      <c r="J5392" s="21">
        <v>750</v>
      </c>
      <c r="K5392" s="21">
        <v>0</v>
      </c>
      <c r="L5392" s="5">
        <v>0</v>
      </c>
      <c r="M5392" s="4"/>
      <c r="N5392" s="4"/>
      <c r="O5392" s="5"/>
      <c r="P5392" s="5"/>
      <c r="Q5392" s="21">
        <v>60</v>
      </c>
      <c r="R5392" s="21">
        <v>0</v>
      </c>
      <c r="S5392" s="5">
        <f t="shared" si="339"/>
        <v>84715.342167016104</v>
      </c>
      <c r="T5392" cm="1">
        <f t="array" ref="T5392">IF(OR(B5392="MAL ALIMI", B5392="ÜRETİM GİRİŞ"), MIN(I5392, MAX(0, I5392 + SUM(SUMIFS($I$1:I5391, $C$1:C5391, C5392, $B$1:B5391, {"MAL ALIMI","ÜRETİM GİRİŞ"})) - VLOOKUP(C5392, 'STOK RAPORU'!$C$2:$I$1000, 4, 0))), 0)</f>
        <v>0</v>
      </c>
      <c r="U5392" s="22">
        <f t="shared" si="336"/>
        <v>0</v>
      </c>
      <c r="V5392">
        <f t="shared" si="337"/>
        <v>0</v>
      </c>
      <c r="W5392" s="22">
        <f t="shared" si="338"/>
        <v>0</v>
      </c>
    </row>
    <row r="5393" spans="1:23" hidden="1" x14ac:dyDescent="0.25">
      <c r="A5393" s="3">
        <v>46092</v>
      </c>
      <c r="B5393" s="4" t="s">
        <v>334</v>
      </c>
      <c r="C5393" s="4" t="s">
        <v>209</v>
      </c>
      <c r="D5393" s="4"/>
      <c r="E5393" s="4"/>
      <c r="F5393" s="46" t="s">
        <v>2514</v>
      </c>
      <c r="G5393" s="4" t="s">
        <v>336</v>
      </c>
      <c r="H5393" s="4" t="s">
        <v>289</v>
      </c>
      <c r="I5393" s="4">
        <v>0.05</v>
      </c>
      <c r="J5393" s="21">
        <v>2600</v>
      </c>
      <c r="K5393" s="21">
        <v>0</v>
      </c>
      <c r="L5393" s="5">
        <v>0</v>
      </c>
      <c r="M5393" s="4"/>
      <c r="N5393" s="4"/>
      <c r="O5393" s="5"/>
      <c r="P5393" s="5"/>
      <c r="Q5393" s="21">
        <v>130</v>
      </c>
      <c r="R5393" s="21">
        <v>0</v>
      </c>
      <c r="S5393" s="5">
        <f t="shared" si="339"/>
        <v>84845.342167016104</v>
      </c>
      <c r="T5393" cm="1">
        <f t="array" ref="T5393">IF(OR(B5393="MAL ALIMI", B5393="ÜRETİM GİRİŞ"), MIN(I5393, MAX(0, I5393 + SUM(SUMIFS($I$1:I5392, $C$1:C5392, C5393, $B$1:B5392, {"MAL ALIMI","ÜRETİM GİRİŞ"})) - VLOOKUP(C5393, 'STOK RAPORU'!$C$2:$I$1000, 4, 0))), 0)</f>
        <v>0</v>
      </c>
      <c r="U5393" s="22">
        <f t="shared" si="336"/>
        <v>0</v>
      </c>
      <c r="V5393">
        <f t="shared" si="337"/>
        <v>0</v>
      </c>
      <c r="W5393" s="22">
        <f t="shared" si="338"/>
        <v>0</v>
      </c>
    </row>
    <row r="5394" spans="1:23" hidden="1" x14ac:dyDescent="0.25">
      <c r="A5394" s="3">
        <v>46092</v>
      </c>
      <c r="B5394" s="4" t="s">
        <v>334</v>
      </c>
      <c r="C5394" s="4" t="s">
        <v>2281</v>
      </c>
      <c r="D5394" s="4"/>
      <c r="E5394" s="4" t="s">
        <v>921</v>
      </c>
      <c r="F5394" s="46" t="s">
        <v>2515</v>
      </c>
      <c r="G5394" s="4" t="s">
        <v>336</v>
      </c>
      <c r="H5394" s="4" t="s">
        <v>380</v>
      </c>
      <c r="I5394" s="4">
        <v>0.15</v>
      </c>
      <c r="J5394" s="21">
        <v>2400</v>
      </c>
      <c r="K5394" s="21">
        <v>360</v>
      </c>
      <c r="L5394" s="5">
        <v>0</v>
      </c>
      <c r="M5394" s="4"/>
      <c r="N5394" s="4"/>
      <c r="O5394" s="5"/>
      <c r="P5394" s="5"/>
      <c r="Q5394" s="21">
        <v>0</v>
      </c>
      <c r="R5394" s="21">
        <v>0</v>
      </c>
      <c r="S5394" s="5">
        <f t="shared" si="339"/>
        <v>84845.342167016104</v>
      </c>
      <c r="T5394" cm="1">
        <f t="array" ref="T5394">IF(OR(B5394="MAL ALIMI", B5394="ÜRETİM GİRİŞ"), MIN(I5394, MAX(0, I5394 + SUM(SUMIFS($I$1:I5393, $C$1:C5393, C5394, $B$1:B5393, {"MAL ALIMI","ÜRETİM GİRİŞ"})) - VLOOKUP(C5394, 'STOK RAPORU'!$C$2:$I$1000, 4, 0))), 0)</f>
        <v>0</v>
      </c>
      <c r="U5394" s="22">
        <f t="shared" si="336"/>
        <v>0</v>
      </c>
      <c r="V5394">
        <f t="shared" si="337"/>
        <v>0</v>
      </c>
      <c r="W5394" s="22">
        <f t="shared" si="338"/>
        <v>0</v>
      </c>
    </row>
    <row r="5395" spans="1:23" hidden="1" x14ac:dyDescent="0.25">
      <c r="A5395" s="41">
        <v>46092</v>
      </c>
      <c r="B5395" s="42" t="s">
        <v>334</v>
      </c>
      <c r="C5395" s="42" t="s">
        <v>1501</v>
      </c>
      <c r="D5395" s="42"/>
      <c r="E5395" s="42"/>
      <c r="F5395" s="42" t="s">
        <v>2516</v>
      </c>
      <c r="G5395" s="42" t="s">
        <v>2163</v>
      </c>
      <c r="H5395" s="42" t="s">
        <v>289</v>
      </c>
      <c r="I5395" s="42">
        <v>1</v>
      </c>
      <c r="J5395" s="43">
        <v>600</v>
      </c>
      <c r="K5395" s="43">
        <v>0</v>
      </c>
      <c r="L5395" s="44">
        <v>0</v>
      </c>
      <c r="M5395" s="42"/>
      <c r="N5395" s="42"/>
      <c r="O5395" s="44"/>
      <c r="P5395" s="44"/>
      <c r="Q5395" s="43">
        <v>600</v>
      </c>
      <c r="R5395" s="43">
        <v>0</v>
      </c>
      <c r="S5395" s="5">
        <f t="shared" si="339"/>
        <v>85445.342167016104</v>
      </c>
      <c r="T5395" cm="1">
        <f t="array" ref="T5395">IF(OR(B5395="MAL ALIMI", B5395="ÜRETİM GİRİŞ"), MIN(I5395, MAX(0, I5395 + SUM(SUMIFS($I$1:I5394, $C$1:C5394, C5395, $B$1:B5394, {"MAL ALIMI","ÜRETİM GİRİŞ"})) - VLOOKUP(C5395, 'STOK RAPORU'!$C$2:$I$1000, 4, 0))), 0)</f>
        <v>0</v>
      </c>
      <c r="U5395" s="22">
        <f t="shared" si="336"/>
        <v>0</v>
      </c>
      <c r="V5395">
        <f t="shared" si="337"/>
        <v>0</v>
      </c>
      <c r="W5395" s="22">
        <f t="shared" si="338"/>
        <v>0</v>
      </c>
    </row>
    <row r="5396" spans="1:23" hidden="1" x14ac:dyDescent="0.25">
      <c r="A5396" s="41">
        <v>46092</v>
      </c>
      <c r="B5396" s="42" t="s">
        <v>334</v>
      </c>
      <c r="C5396" s="42" t="s">
        <v>524</v>
      </c>
      <c r="D5396" s="42"/>
      <c r="E5396" s="42"/>
      <c r="F5396" s="42" t="s">
        <v>2516</v>
      </c>
      <c r="G5396" s="42" t="s">
        <v>2163</v>
      </c>
      <c r="H5396" s="42" t="s">
        <v>289</v>
      </c>
      <c r="I5396" s="42">
        <v>0.1</v>
      </c>
      <c r="J5396" s="43">
        <v>400</v>
      </c>
      <c r="K5396" s="43">
        <v>0</v>
      </c>
      <c r="L5396" s="44">
        <v>0</v>
      </c>
      <c r="M5396" s="42"/>
      <c r="N5396" s="42"/>
      <c r="O5396" s="44"/>
      <c r="P5396" s="44"/>
      <c r="Q5396" s="43">
        <v>40</v>
      </c>
      <c r="R5396" s="43">
        <v>0</v>
      </c>
      <c r="S5396" s="5">
        <f t="shared" si="339"/>
        <v>85485.342167016104</v>
      </c>
      <c r="T5396" cm="1">
        <f t="array" ref="T5396">IF(OR(B5396="MAL ALIMI", B5396="ÜRETİM GİRİŞ"), MIN(I5396, MAX(0, I5396 + SUM(SUMIFS($I$1:I5395, $C$1:C5395, C5396, $B$1:B5395, {"MAL ALIMI","ÜRETİM GİRİŞ"})) - VLOOKUP(C5396, 'STOK RAPORU'!$C$2:$I$1000, 4, 0))), 0)</f>
        <v>0</v>
      </c>
      <c r="U5396" s="22">
        <f t="shared" si="336"/>
        <v>0</v>
      </c>
      <c r="V5396">
        <f t="shared" si="337"/>
        <v>0</v>
      </c>
      <c r="W5396" s="22">
        <f t="shared" si="338"/>
        <v>0</v>
      </c>
    </row>
    <row r="5397" spans="1:23" hidden="1" x14ac:dyDescent="0.25">
      <c r="A5397" s="41">
        <v>46092</v>
      </c>
      <c r="B5397" s="42" t="s">
        <v>334</v>
      </c>
      <c r="C5397" s="42" t="s">
        <v>223</v>
      </c>
      <c r="D5397" s="42"/>
      <c r="E5397" s="42"/>
      <c r="F5397" s="42" t="s">
        <v>2516</v>
      </c>
      <c r="G5397" s="42" t="s">
        <v>2163</v>
      </c>
      <c r="H5397" s="42" t="s">
        <v>289</v>
      </c>
      <c r="I5397" s="42">
        <v>0.875</v>
      </c>
      <c r="J5397" s="43">
        <v>800</v>
      </c>
      <c r="K5397" s="43">
        <v>0</v>
      </c>
      <c r="L5397" s="44">
        <v>0</v>
      </c>
      <c r="M5397" s="42"/>
      <c r="N5397" s="42"/>
      <c r="O5397" s="44"/>
      <c r="P5397" s="44"/>
      <c r="Q5397" s="43">
        <v>700</v>
      </c>
      <c r="R5397" s="43">
        <v>0</v>
      </c>
      <c r="S5397" s="5">
        <f t="shared" si="339"/>
        <v>86185.342167016104</v>
      </c>
      <c r="T5397" cm="1">
        <f t="array" ref="T5397">IF(OR(B5397="MAL ALIMI", B5397="ÜRETİM GİRİŞ"), MIN(I5397, MAX(0, I5397 + SUM(SUMIFS($I$1:I5396, $C$1:C5396, C5397, $B$1:B5396, {"MAL ALIMI","ÜRETİM GİRİŞ"})) - VLOOKUP(C5397, 'STOK RAPORU'!$C$2:$I$1000, 4, 0))), 0)</f>
        <v>0</v>
      </c>
      <c r="U5397" s="22">
        <f t="shared" si="336"/>
        <v>0</v>
      </c>
      <c r="V5397">
        <f t="shared" si="337"/>
        <v>0</v>
      </c>
      <c r="W5397" s="22">
        <f t="shared" si="338"/>
        <v>0</v>
      </c>
    </row>
    <row r="5398" spans="1:23" hidden="1" x14ac:dyDescent="0.25">
      <c r="A5398" s="3">
        <v>46092</v>
      </c>
      <c r="B5398" s="4" t="s">
        <v>334</v>
      </c>
      <c r="C5398" s="4" t="s">
        <v>140</v>
      </c>
      <c r="D5398" s="4"/>
      <c r="E5398" s="4"/>
      <c r="F5398" s="46" t="s">
        <v>2517</v>
      </c>
      <c r="G5398" s="4" t="s">
        <v>336</v>
      </c>
      <c r="H5398" s="4" t="s">
        <v>289</v>
      </c>
      <c r="I5398" s="4">
        <v>0.05</v>
      </c>
      <c r="J5398" s="21">
        <v>300</v>
      </c>
      <c r="K5398" s="21">
        <v>0</v>
      </c>
      <c r="L5398" s="5">
        <v>0</v>
      </c>
      <c r="M5398" s="4"/>
      <c r="N5398" s="4"/>
      <c r="O5398" s="5"/>
      <c r="P5398" s="5"/>
      <c r="Q5398" s="21">
        <v>15</v>
      </c>
      <c r="R5398" s="21">
        <v>0</v>
      </c>
      <c r="S5398" s="5">
        <f t="shared" si="339"/>
        <v>86200.342167016104</v>
      </c>
      <c r="T5398" cm="1">
        <f t="array" ref="T5398">IF(OR(B5398="MAL ALIMI", B5398="ÜRETİM GİRİŞ"), MIN(I5398, MAX(0, I5398 + SUM(SUMIFS($I$1:I5397, $C$1:C5397, C5398, $B$1:B5397, {"MAL ALIMI","ÜRETİM GİRİŞ"})) - VLOOKUP(C5398, 'STOK RAPORU'!$C$2:$I$1000, 4, 0))), 0)</f>
        <v>0</v>
      </c>
      <c r="U5398" s="22">
        <f t="shared" si="336"/>
        <v>0</v>
      </c>
      <c r="V5398">
        <f t="shared" si="337"/>
        <v>0</v>
      </c>
      <c r="W5398" s="22">
        <f t="shared" si="338"/>
        <v>0</v>
      </c>
    </row>
    <row r="5399" spans="1:23" hidden="1" x14ac:dyDescent="0.25">
      <c r="A5399" s="3">
        <v>46092</v>
      </c>
      <c r="B5399" s="4" t="s">
        <v>334</v>
      </c>
      <c r="C5399" s="4" t="s">
        <v>96</v>
      </c>
      <c r="D5399" s="4"/>
      <c r="E5399" s="4"/>
      <c r="F5399" s="46" t="s">
        <v>2517</v>
      </c>
      <c r="G5399" s="4" t="s">
        <v>336</v>
      </c>
      <c r="H5399" s="4" t="s">
        <v>289</v>
      </c>
      <c r="I5399" s="4">
        <v>0.13</v>
      </c>
      <c r="J5399" s="21">
        <v>400</v>
      </c>
      <c r="K5399" s="21">
        <v>0</v>
      </c>
      <c r="L5399" s="5">
        <v>0</v>
      </c>
      <c r="M5399" s="4"/>
      <c r="N5399" s="4"/>
      <c r="O5399" s="5"/>
      <c r="P5399" s="5"/>
      <c r="Q5399" s="21">
        <v>52</v>
      </c>
      <c r="R5399" s="21">
        <v>0</v>
      </c>
      <c r="S5399" s="5">
        <f t="shared" si="339"/>
        <v>86252.342167016104</v>
      </c>
      <c r="T5399" cm="1">
        <f t="array" ref="T5399">IF(OR(B5399="MAL ALIMI", B5399="ÜRETİM GİRİŞ"), MIN(I5399, MAX(0, I5399 + SUM(SUMIFS($I$1:I5398, $C$1:C5398, C5399, $B$1:B5398, {"MAL ALIMI","ÜRETİM GİRİŞ"})) - VLOOKUP(C5399, 'STOK RAPORU'!$C$2:$I$1000, 4, 0))), 0)</f>
        <v>0</v>
      </c>
      <c r="U5399" s="22">
        <f t="shared" si="336"/>
        <v>0</v>
      </c>
      <c r="V5399">
        <f t="shared" si="337"/>
        <v>0</v>
      </c>
      <c r="W5399" s="22">
        <f t="shared" si="338"/>
        <v>0</v>
      </c>
    </row>
    <row r="5400" spans="1:23" hidden="1" x14ac:dyDescent="0.25">
      <c r="A5400" s="3">
        <v>46092</v>
      </c>
      <c r="B5400" s="4" t="s">
        <v>334</v>
      </c>
      <c r="C5400" s="4" t="s">
        <v>1897</v>
      </c>
      <c r="D5400" s="4"/>
      <c r="E5400" s="4"/>
      <c r="F5400" s="46" t="s">
        <v>2517</v>
      </c>
      <c r="G5400" s="4" t="s">
        <v>336</v>
      </c>
      <c r="H5400" s="4" t="s">
        <v>289</v>
      </c>
      <c r="I5400" s="4">
        <v>1</v>
      </c>
      <c r="J5400" s="21">
        <v>295</v>
      </c>
      <c r="K5400" s="21">
        <v>0</v>
      </c>
      <c r="L5400" s="5">
        <v>0</v>
      </c>
      <c r="M5400" s="4"/>
      <c r="N5400" s="4"/>
      <c r="O5400" s="5"/>
      <c r="P5400" s="5"/>
      <c r="Q5400" s="21">
        <v>295</v>
      </c>
      <c r="R5400" s="21">
        <v>0</v>
      </c>
      <c r="S5400" s="5">
        <f t="shared" si="339"/>
        <v>86547.342167016104</v>
      </c>
      <c r="T5400" cm="1">
        <f t="array" ref="T5400">IF(OR(B5400="MAL ALIMI", B5400="ÜRETİM GİRİŞ"), MIN(I5400, MAX(0, I5400 + SUM(SUMIFS($I$1:I5399, $C$1:C5399, C5400, $B$1:B5399, {"MAL ALIMI","ÜRETİM GİRİŞ"})) - VLOOKUP(C5400, 'STOK RAPORU'!$C$2:$I$1000, 4, 0))), 0)</f>
        <v>0</v>
      </c>
      <c r="U5400" s="22">
        <f t="shared" si="336"/>
        <v>0</v>
      </c>
      <c r="V5400">
        <f t="shared" si="337"/>
        <v>0</v>
      </c>
      <c r="W5400" s="22">
        <f t="shared" si="338"/>
        <v>0</v>
      </c>
    </row>
    <row r="5401" spans="1:23" hidden="1" x14ac:dyDescent="0.25">
      <c r="A5401" s="3">
        <v>46092</v>
      </c>
      <c r="B5401" s="4" t="s">
        <v>334</v>
      </c>
      <c r="C5401" s="4" t="s">
        <v>141</v>
      </c>
      <c r="D5401" s="4"/>
      <c r="E5401" s="4"/>
      <c r="F5401" s="46" t="s">
        <v>2518</v>
      </c>
      <c r="G5401" s="4" t="s">
        <v>336</v>
      </c>
      <c r="H5401" s="4" t="s">
        <v>289</v>
      </c>
      <c r="I5401" s="4">
        <v>4.8000000000000001E-2</v>
      </c>
      <c r="J5401" s="21">
        <v>140</v>
      </c>
      <c r="K5401" s="21">
        <v>0</v>
      </c>
      <c r="L5401" s="5">
        <v>0</v>
      </c>
      <c r="M5401" s="4"/>
      <c r="N5401" s="4"/>
      <c r="O5401" s="5"/>
      <c r="P5401" s="5"/>
      <c r="Q5401" s="21">
        <v>6.72</v>
      </c>
      <c r="R5401" s="21">
        <v>0</v>
      </c>
      <c r="S5401" s="5">
        <f t="shared" si="339"/>
        <v>86554.062167016105</v>
      </c>
      <c r="T5401" cm="1">
        <f t="array" ref="T5401">IF(OR(B5401="MAL ALIMI", B5401="ÜRETİM GİRİŞ"), MIN(I5401, MAX(0, I5401 + SUM(SUMIFS($I$1:I5400, $C$1:C5400, C5401, $B$1:B5400, {"MAL ALIMI","ÜRETİM GİRİŞ"})) - VLOOKUP(C5401, 'STOK RAPORU'!$C$2:$I$1000, 4, 0))), 0)</f>
        <v>0</v>
      </c>
      <c r="U5401" s="22">
        <f t="shared" si="336"/>
        <v>0</v>
      </c>
      <c r="V5401">
        <f t="shared" si="337"/>
        <v>0</v>
      </c>
      <c r="W5401" s="22">
        <f t="shared" si="338"/>
        <v>0</v>
      </c>
    </row>
    <row r="5402" spans="1:23" hidden="1" x14ac:dyDescent="0.25">
      <c r="A5402" s="41">
        <v>46092</v>
      </c>
      <c r="B5402" s="42" t="s">
        <v>334</v>
      </c>
      <c r="C5402" s="42" t="s">
        <v>133</v>
      </c>
      <c r="D5402" s="42"/>
      <c r="E5402" s="42"/>
      <c r="F5402" s="42" t="s">
        <v>2519</v>
      </c>
      <c r="G5402" s="42" t="s">
        <v>2526</v>
      </c>
      <c r="H5402" s="42" t="s">
        <v>289</v>
      </c>
      <c r="I5402" s="42">
        <v>1.05</v>
      </c>
      <c r="J5402" s="43">
        <v>400</v>
      </c>
      <c r="K5402" s="43">
        <v>0</v>
      </c>
      <c r="L5402" s="44">
        <v>0</v>
      </c>
      <c r="M5402" s="42"/>
      <c r="N5402" s="42"/>
      <c r="O5402" s="44"/>
      <c r="P5402" s="44"/>
      <c r="Q5402" s="43">
        <v>420</v>
      </c>
      <c r="R5402" s="43">
        <v>0</v>
      </c>
      <c r="S5402" s="5">
        <f t="shared" si="339"/>
        <v>86974.062167016105</v>
      </c>
      <c r="T5402" cm="1">
        <f t="array" ref="T5402">IF(OR(B5402="MAL ALIMI", B5402="ÜRETİM GİRİŞ"), MIN(I5402, MAX(0, I5402 + SUM(SUMIFS($I$1:I5401, $C$1:C5401, C5402, $B$1:B5401, {"MAL ALIMI","ÜRETİM GİRİŞ"})) - VLOOKUP(C5402, 'STOK RAPORU'!$C$2:$I$1000, 4, 0))), 0)</f>
        <v>0</v>
      </c>
      <c r="U5402" s="22">
        <f t="shared" si="336"/>
        <v>0</v>
      </c>
      <c r="V5402">
        <f t="shared" si="337"/>
        <v>0</v>
      </c>
      <c r="W5402" s="22">
        <f t="shared" si="338"/>
        <v>0</v>
      </c>
    </row>
    <row r="5403" spans="1:23" hidden="1" x14ac:dyDescent="0.25">
      <c r="A5403" s="45">
        <v>46092</v>
      </c>
      <c r="B5403" s="46" t="s">
        <v>334</v>
      </c>
      <c r="C5403" s="46" t="s">
        <v>2520</v>
      </c>
      <c r="D5403" s="46"/>
      <c r="E5403" s="46"/>
      <c r="F5403" s="46" t="s">
        <v>2524</v>
      </c>
      <c r="G5403" s="46" t="s">
        <v>336</v>
      </c>
      <c r="H5403" s="46" t="s">
        <v>289</v>
      </c>
      <c r="I5403" s="46">
        <v>0.6</v>
      </c>
      <c r="J5403" s="47">
        <v>550</v>
      </c>
      <c r="K5403" s="47">
        <v>0</v>
      </c>
      <c r="L5403" s="48">
        <v>0</v>
      </c>
      <c r="M5403" s="46"/>
      <c r="N5403" s="46"/>
      <c r="O5403" s="48"/>
      <c r="P5403" s="48"/>
      <c r="Q5403" s="47">
        <v>330</v>
      </c>
      <c r="R5403" s="47">
        <v>0</v>
      </c>
      <c r="S5403" s="5">
        <f t="shared" si="339"/>
        <v>87304.062167016105</v>
      </c>
      <c r="T5403" cm="1">
        <f t="array" ref="T5403">IF(OR(B5403="MAL ALIMI", B5403="ÜRETİM GİRİŞ"), MIN(I5403, MAX(0, I5403 + SUM(SUMIFS($I$1:I5402, $C$1:C5402, C5403, $B$1:B5402, {"MAL ALIMI","ÜRETİM GİRİŞ"})) - VLOOKUP(C5403, 'STOK RAPORU'!$C$2:$I$1000, 4, 0))), 0)</f>
        <v>0</v>
      </c>
      <c r="U5403" s="22">
        <f t="shared" si="336"/>
        <v>0</v>
      </c>
      <c r="V5403">
        <f t="shared" si="337"/>
        <v>0</v>
      </c>
      <c r="W5403" s="22">
        <f t="shared" si="338"/>
        <v>0</v>
      </c>
    </row>
    <row r="5404" spans="1:23" hidden="1" x14ac:dyDescent="0.25">
      <c r="A5404" s="45">
        <v>46092</v>
      </c>
      <c r="B5404" s="46" t="s">
        <v>334</v>
      </c>
      <c r="C5404" s="46" t="s">
        <v>2125</v>
      </c>
      <c r="D5404" s="46"/>
      <c r="E5404" s="4" t="s">
        <v>921</v>
      </c>
      <c r="F5404" s="46" t="s">
        <v>2525</v>
      </c>
      <c r="G5404" s="46" t="s">
        <v>336</v>
      </c>
      <c r="H5404" s="46" t="s">
        <v>380</v>
      </c>
      <c r="I5404" s="46">
        <v>0.5</v>
      </c>
      <c r="J5404" s="47">
        <v>370</v>
      </c>
      <c r="K5404" s="47">
        <v>185</v>
      </c>
      <c r="L5404" s="48">
        <v>0</v>
      </c>
      <c r="M5404" s="46"/>
      <c r="N5404" s="46"/>
      <c r="O5404" s="48"/>
      <c r="P5404" s="48"/>
      <c r="Q5404" s="47">
        <v>0</v>
      </c>
      <c r="R5404" s="47">
        <v>0</v>
      </c>
      <c r="S5404" s="5">
        <f t="shared" si="339"/>
        <v>87304.062167016105</v>
      </c>
      <c r="T5404" cm="1">
        <f t="array" ref="T5404">IF(OR(B5404="MAL ALIMI", B5404="ÜRETİM GİRİŞ"), MIN(I5404, MAX(0, I5404 + SUM(SUMIFS($I$1:I5403, $C$1:C5403, C5404, $B$1:B5403, {"MAL ALIMI","ÜRETİM GİRİŞ"})) - VLOOKUP(C5404, 'STOK RAPORU'!$C$2:$I$1000, 4, 0))), 0)</f>
        <v>0</v>
      </c>
      <c r="U5404" s="22">
        <f t="shared" si="336"/>
        <v>0</v>
      </c>
      <c r="V5404">
        <f t="shared" si="337"/>
        <v>0</v>
      </c>
      <c r="W5404" s="22">
        <f t="shared" si="338"/>
        <v>0</v>
      </c>
    </row>
    <row r="5405" spans="1:23" hidden="1" x14ac:dyDescent="0.25">
      <c r="A5405" s="3">
        <v>46092</v>
      </c>
      <c r="B5405" s="4" t="s">
        <v>334</v>
      </c>
      <c r="C5405" s="4" t="s">
        <v>2129</v>
      </c>
      <c r="D5405" s="4"/>
      <c r="E5405" s="4" t="s">
        <v>921</v>
      </c>
      <c r="F5405" s="46" t="s">
        <v>2525</v>
      </c>
      <c r="G5405" s="4" t="s">
        <v>336</v>
      </c>
      <c r="H5405" s="4" t="s">
        <v>380</v>
      </c>
      <c r="I5405" s="4">
        <v>0.5</v>
      </c>
      <c r="J5405" s="21">
        <v>420</v>
      </c>
      <c r="K5405" s="21">
        <v>210</v>
      </c>
      <c r="L5405" s="5">
        <v>0</v>
      </c>
      <c r="M5405" s="4"/>
      <c r="N5405" s="4"/>
      <c r="O5405" s="5"/>
      <c r="P5405" s="5"/>
      <c r="Q5405" s="21">
        <v>0</v>
      </c>
      <c r="R5405" s="21">
        <v>0</v>
      </c>
      <c r="S5405" s="5">
        <f t="shared" si="339"/>
        <v>87304.062167016105</v>
      </c>
      <c r="T5405" cm="1">
        <f t="array" ref="T5405">IF(OR(B5405="MAL ALIMI", B5405="ÜRETİM GİRİŞ"), MIN(I5405, MAX(0, I5405 + SUM(SUMIFS($I$1:I5404, $C$1:C5404, C5405, $B$1:B5404, {"MAL ALIMI","ÜRETİM GİRİŞ"})) - VLOOKUP(C5405, 'STOK RAPORU'!$C$2:$I$1000, 4, 0))), 0)</f>
        <v>0</v>
      </c>
      <c r="U5405" s="22">
        <f t="shared" si="336"/>
        <v>0</v>
      </c>
      <c r="V5405">
        <f t="shared" si="337"/>
        <v>0</v>
      </c>
      <c r="W5405" s="22">
        <f t="shared" si="338"/>
        <v>0</v>
      </c>
    </row>
    <row r="5406" spans="1:23" hidden="1" x14ac:dyDescent="0.25">
      <c r="A5406" s="3">
        <v>46092</v>
      </c>
      <c r="B5406" s="4" t="s">
        <v>946</v>
      </c>
      <c r="C5406" s="4"/>
      <c r="D5406" s="4"/>
      <c r="E5406" s="4" t="s">
        <v>921</v>
      </c>
      <c r="F5406" s="4"/>
      <c r="G5406" s="4" t="s">
        <v>2640</v>
      </c>
      <c r="H5406" s="4" t="s">
        <v>380</v>
      </c>
      <c r="I5406" s="4">
        <v>1</v>
      </c>
      <c r="J5406" s="105">
        <v>3484.5</v>
      </c>
      <c r="K5406" s="35">
        <v>0</v>
      </c>
      <c r="L5406" s="32">
        <v>3484.5</v>
      </c>
      <c r="M5406" s="35">
        <v>208</v>
      </c>
      <c r="N5406" s="35">
        <v>0</v>
      </c>
      <c r="O5406" s="5"/>
      <c r="P5406" s="5"/>
      <c r="Q5406" s="35">
        <v>3484.5</v>
      </c>
      <c r="R5406" s="35">
        <v>0</v>
      </c>
      <c r="S5406" s="5">
        <f t="shared" si="339"/>
        <v>90788.562167016105</v>
      </c>
      <c r="T5406" cm="1">
        <f t="array" ref="T5406">IF(OR(B5406="MAL ALIMI", B5406="ÜRETİM GİRİŞ"), MIN(I5406, MAX(0, I5406 + SUM(SUMIFS($I$1:I5405, $C$1:C5405, C5406, $B$1:B5405, {"MAL ALIMI","ÜRETİM GİRİŞ"})) - VLOOKUP(C5406, 'STOK RAPORU'!$C$2:$I$1000, 4, 0))), 0)</f>
        <v>0</v>
      </c>
      <c r="U5406" s="22">
        <f t="shared" si="336"/>
        <v>0</v>
      </c>
      <c r="V5406">
        <f t="shared" si="337"/>
        <v>0</v>
      </c>
      <c r="W5406" s="22">
        <f t="shared" si="338"/>
        <v>0</v>
      </c>
    </row>
    <row r="5407" spans="1:23" hidden="1" x14ac:dyDescent="0.25">
      <c r="A5407" s="3">
        <v>46092</v>
      </c>
      <c r="B5407" s="4" t="s">
        <v>917</v>
      </c>
      <c r="C5407" s="4"/>
      <c r="D5407" s="4"/>
      <c r="E5407" s="4" t="s">
        <v>2381</v>
      </c>
      <c r="F5407" s="4"/>
      <c r="G5407" s="4" t="s">
        <v>2640</v>
      </c>
      <c r="H5407" s="4" t="s">
        <v>289</v>
      </c>
      <c r="I5407" s="4">
        <v>1</v>
      </c>
      <c r="J5407" s="35">
        <v>0</v>
      </c>
      <c r="K5407" s="102">
        <v>3484.5</v>
      </c>
      <c r="L5407" s="5">
        <v>0</v>
      </c>
      <c r="M5407" s="4"/>
      <c r="N5407" s="4"/>
      <c r="O5407" s="5"/>
      <c r="P5407" s="5"/>
      <c r="Q5407" s="35">
        <v>0</v>
      </c>
      <c r="R5407" s="35">
        <v>3484.5</v>
      </c>
      <c r="S5407" s="5">
        <f t="shared" si="339"/>
        <v>87304.062167016105</v>
      </c>
      <c r="T5407" cm="1">
        <f t="array" ref="T5407">IF(OR(B5407="MAL ALIMI", B5407="ÜRETİM GİRİŞ"), MIN(I5407, MAX(0, I5407 + SUM(SUMIFS($I$1:I5406, $C$1:C5406, C5407, $B$1:B5406, {"MAL ALIMI","ÜRETİM GİRİŞ"})) - VLOOKUP(C5407, 'STOK RAPORU'!$C$2:$I$1000, 4, 0))), 0)</f>
        <v>0</v>
      </c>
      <c r="U5407" s="22">
        <f t="shared" si="336"/>
        <v>0</v>
      </c>
      <c r="V5407">
        <f t="shared" si="337"/>
        <v>0</v>
      </c>
      <c r="W5407" s="22">
        <f t="shared" si="338"/>
        <v>0</v>
      </c>
    </row>
    <row r="5408" spans="1:23" hidden="1" x14ac:dyDescent="0.25">
      <c r="A5408" s="3">
        <v>46092</v>
      </c>
      <c r="B5408" s="4" t="s">
        <v>298</v>
      </c>
      <c r="C5408" s="4" t="s">
        <v>2523</v>
      </c>
      <c r="D5408" s="4"/>
      <c r="E5408" s="4" t="s">
        <v>2567</v>
      </c>
      <c r="F5408" s="4"/>
      <c r="G5408" s="4" t="s">
        <v>2568</v>
      </c>
      <c r="H5408" s="4" t="s">
        <v>304</v>
      </c>
      <c r="I5408" s="4">
        <v>5</v>
      </c>
      <c r="J5408" s="21">
        <v>230</v>
      </c>
      <c r="K5408" s="21">
        <v>0</v>
      </c>
      <c r="L5408" s="5">
        <v>1150</v>
      </c>
      <c r="M5408" s="4"/>
      <c r="N5408" s="4"/>
      <c r="O5408" s="5"/>
      <c r="P5408" s="5"/>
      <c r="Q5408" s="21">
        <v>0</v>
      </c>
      <c r="R5408" s="21">
        <v>0</v>
      </c>
      <c r="S5408" s="5">
        <f t="shared" si="339"/>
        <v>87304.062167016105</v>
      </c>
      <c r="T5408" cm="1">
        <f t="array" ref="T5408">IF(OR(B5408="MAL ALIMI", B5408="ÜRETİM GİRİŞ"), MIN(I5408, MAX(0, I5408 + SUM(SUMIFS($I$1:I5407, $C$1:C5407, C5408, $B$1:B5407, {"MAL ALIMI","ÜRETİM GİRİŞ"})) - VLOOKUP(C5408, 'STOK RAPORU'!$C$2:$I$1000, 4, 0))), 0)</f>
        <v>4.04</v>
      </c>
      <c r="U5408" s="22">
        <f t="shared" si="336"/>
        <v>929.2</v>
      </c>
      <c r="V5408">
        <f t="shared" si="337"/>
        <v>1150</v>
      </c>
      <c r="W5408" s="22">
        <f t="shared" si="338"/>
        <v>220.79999999999995</v>
      </c>
    </row>
    <row r="5409" spans="1:23" hidden="1" x14ac:dyDescent="0.25">
      <c r="A5409" s="3">
        <v>46092</v>
      </c>
      <c r="B5409" s="4" t="s">
        <v>298</v>
      </c>
      <c r="C5409" s="4" t="s">
        <v>2521</v>
      </c>
      <c r="D5409" s="4"/>
      <c r="E5409" s="4" t="s">
        <v>2567</v>
      </c>
      <c r="F5409" s="4"/>
      <c r="G5409" s="4" t="s">
        <v>2568</v>
      </c>
      <c r="H5409" s="4" t="s">
        <v>304</v>
      </c>
      <c r="I5409" s="4">
        <v>5</v>
      </c>
      <c r="J5409" s="21">
        <v>390</v>
      </c>
      <c r="K5409" s="21">
        <v>0</v>
      </c>
      <c r="L5409" s="5">
        <v>1950</v>
      </c>
      <c r="M5409" s="4"/>
      <c r="N5409" s="4"/>
      <c r="O5409" s="5"/>
      <c r="P5409" s="5"/>
      <c r="Q5409" s="21">
        <v>0</v>
      </c>
      <c r="R5409" s="21">
        <v>0</v>
      </c>
      <c r="S5409" s="5">
        <f t="shared" si="339"/>
        <v>87304.062167016105</v>
      </c>
      <c r="T5409" cm="1">
        <f t="array" ref="T5409">IF(OR(B5409="MAL ALIMI", B5409="ÜRETİM GİRİŞ"), MIN(I5409, MAX(0, I5409 + SUM(SUMIFS($I$1:I5408, $C$1:C5408, C5409, $B$1:B5408, {"MAL ALIMI","ÜRETİM GİRİŞ"})) - VLOOKUP(C5409, 'STOK RAPORU'!$C$2:$I$1000, 4, 0))), 0)</f>
        <v>5</v>
      </c>
      <c r="U5409" s="22">
        <f t="shared" si="336"/>
        <v>1950</v>
      </c>
      <c r="V5409">
        <f t="shared" si="337"/>
        <v>1950</v>
      </c>
      <c r="W5409" s="22">
        <f t="shared" si="338"/>
        <v>0</v>
      </c>
    </row>
    <row r="5410" spans="1:23" hidden="1" x14ac:dyDescent="0.25">
      <c r="A5410" s="3">
        <v>46092</v>
      </c>
      <c r="B5410" s="4" t="s">
        <v>298</v>
      </c>
      <c r="C5410" s="4" t="s">
        <v>2520</v>
      </c>
      <c r="D5410" s="4"/>
      <c r="E5410" s="4" t="s">
        <v>2567</v>
      </c>
      <c r="F5410" s="4"/>
      <c r="G5410" s="4" t="s">
        <v>2568</v>
      </c>
      <c r="H5410" s="4" t="s">
        <v>304</v>
      </c>
      <c r="I5410" s="4">
        <v>5</v>
      </c>
      <c r="J5410" s="21">
        <v>450</v>
      </c>
      <c r="K5410" s="21">
        <v>0</v>
      </c>
      <c r="L5410" s="5">
        <v>2250</v>
      </c>
      <c r="M5410" s="4"/>
      <c r="N5410" s="4"/>
      <c r="O5410" s="5"/>
      <c r="P5410" s="5"/>
      <c r="Q5410" s="21">
        <v>0</v>
      </c>
      <c r="R5410" s="21">
        <v>0</v>
      </c>
      <c r="S5410" s="5">
        <f t="shared" si="339"/>
        <v>87304.062167016105</v>
      </c>
      <c r="T5410" cm="1">
        <f t="array" ref="T5410">IF(OR(B5410="MAL ALIMI", B5410="ÜRETİM GİRİŞ"), MIN(I5410, MAX(0, I5410 + SUM(SUMIFS($I$1:I5409, $C$1:C5409, C5410, $B$1:B5409, {"MAL ALIMI","ÜRETİM GİRİŞ"})) - VLOOKUP(C5410, 'STOK RAPORU'!$C$2:$I$1000, 4, 0))), 0)</f>
        <v>0</v>
      </c>
      <c r="U5410" s="22">
        <f t="shared" si="336"/>
        <v>0</v>
      </c>
      <c r="V5410">
        <f t="shared" si="337"/>
        <v>2250</v>
      </c>
      <c r="W5410" s="22">
        <f t="shared" si="338"/>
        <v>2250</v>
      </c>
    </row>
    <row r="5411" spans="1:23" hidden="1" x14ac:dyDescent="0.25">
      <c r="A5411" s="3">
        <v>46092</v>
      </c>
      <c r="B5411" s="4" t="s">
        <v>917</v>
      </c>
      <c r="C5411" s="4"/>
      <c r="D5411" s="4"/>
      <c r="E5411" s="4" t="s">
        <v>2567</v>
      </c>
      <c r="F5411" s="4"/>
      <c r="G5411" s="4" t="s">
        <v>2569</v>
      </c>
      <c r="H5411" s="4" t="s">
        <v>304</v>
      </c>
      <c r="I5411" s="4">
        <v>1</v>
      </c>
      <c r="J5411" s="21">
        <v>0</v>
      </c>
      <c r="K5411" s="21">
        <v>3000</v>
      </c>
      <c r="L5411" s="5">
        <v>0</v>
      </c>
      <c r="M5411" s="4"/>
      <c r="N5411" s="4"/>
      <c r="O5411" s="5"/>
      <c r="P5411" s="5"/>
      <c r="Q5411" s="21">
        <v>0</v>
      </c>
      <c r="R5411" s="21">
        <v>3000</v>
      </c>
      <c r="S5411" s="5">
        <f t="shared" si="339"/>
        <v>84304.062167016105</v>
      </c>
      <c r="T5411" cm="1">
        <f t="array" ref="T5411">IF(OR(B5411="MAL ALIMI", B5411="ÜRETİM GİRİŞ"), MIN(I5411, MAX(0, I5411 + SUM(SUMIFS($I$1:I5410, $C$1:C5410, C5411, $B$1:B5410, {"MAL ALIMI","ÜRETİM GİRİŞ"})) - VLOOKUP(C5411, 'STOK RAPORU'!$C$2:$I$1000, 4, 0))), 0)</f>
        <v>0</v>
      </c>
      <c r="U5411" s="22">
        <f t="shared" si="336"/>
        <v>0</v>
      </c>
      <c r="V5411">
        <f t="shared" si="337"/>
        <v>0</v>
      </c>
      <c r="W5411" s="22">
        <f t="shared" si="338"/>
        <v>0</v>
      </c>
    </row>
    <row r="5412" spans="1:23" hidden="1" x14ac:dyDescent="0.25">
      <c r="A5412" s="3">
        <v>46092</v>
      </c>
      <c r="B5412" s="4" t="s">
        <v>917</v>
      </c>
      <c r="C5412" s="4"/>
      <c r="D5412" s="4"/>
      <c r="E5412" s="4" t="s">
        <v>1361</v>
      </c>
      <c r="F5412" s="4"/>
      <c r="G5412" s="4" t="s">
        <v>2132</v>
      </c>
      <c r="H5412" s="4" t="s">
        <v>289</v>
      </c>
      <c r="I5412" s="4">
        <v>1</v>
      </c>
      <c r="J5412" s="21">
        <v>0</v>
      </c>
      <c r="K5412" s="21">
        <v>5000</v>
      </c>
      <c r="L5412" s="5">
        <v>0</v>
      </c>
      <c r="M5412" s="4"/>
      <c r="N5412" s="4"/>
      <c r="O5412" s="5"/>
      <c r="P5412" s="5"/>
      <c r="Q5412" s="21">
        <v>0</v>
      </c>
      <c r="R5412" s="21">
        <v>5000</v>
      </c>
      <c r="S5412" s="5">
        <f t="shared" si="339"/>
        <v>79304.062167016105</v>
      </c>
      <c r="T5412" cm="1">
        <f t="array" ref="T5412">IF(OR(B5412="MAL ALIMI", B5412="ÜRETİM GİRİŞ"), MIN(I5412, MAX(0, I5412 + SUM(SUMIFS($I$1:I5411, $C$1:C5411, C5412, $B$1:B5411, {"MAL ALIMI","ÜRETİM GİRİŞ"})) - VLOOKUP(C5412, 'STOK RAPORU'!$C$2:$I$1000, 4, 0))), 0)</f>
        <v>0</v>
      </c>
      <c r="U5412" s="22">
        <f t="shared" si="336"/>
        <v>0</v>
      </c>
      <c r="V5412">
        <f t="shared" si="337"/>
        <v>0</v>
      </c>
      <c r="W5412" s="22">
        <f t="shared" si="338"/>
        <v>0</v>
      </c>
    </row>
    <row r="5413" spans="1:23" hidden="1" x14ac:dyDescent="0.25">
      <c r="A5413" s="3">
        <v>46092</v>
      </c>
      <c r="B5413" s="4" t="s">
        <v>298</v>
      </c>
      <c r="C5413" s="4" t="s">
        <v>1634</v>
      </c>
      <c r="D5413" s="4"/>
      <c r="E5413" s="4"/>
      <c r="F5413" s="4"/>
      <c r="G5413" s="4" t="s">
        <v>2742</v>
      </c>
      <c r="H5413" s="4" t="s">
        <v>289</v>
      </c>
      <c r="I5413" s="4">
        <v>4</v>
      </c>
      <c r="J5413" s="21">
        <v>375</v>
      </c>
      <c r="K5413" s="21">
        <v>0</v>
      </c>
      <c r="L5413" s="5">
        <v>0</v>
      </c>
      <c r="M5413" s="4"/>
      <c r="N5413" s="4"/>
      <c r="O5413" s="5"/>
      <c r="P5413" s="5"/>
      <c r="Q5413" s="21">
        <v>0</v>
      </c>
      <c r="R5413" s="21">
        <v>1500</v>
      </c>
      <c r="S5413" s="5">
        <f t="shared" si="339"/>
        <v>77804.062167016105</v>
      </c>
      <c r="T5413" cm="1">
        <f t="array" ref="T5413">IF(OR(B5413="MAL ALIMI", B5413="ÜRETİM GİRİŞ"), MIN(I5413, MAX(0, I5413 + SUM(SUMIFS($I$1:I5412, $C$1:C5412, C5413, $B$1:B5412, {"MAL ALIMI","ÜRETİM GİRİŞ"})) - VLOOKUP(C5413, 'STOK RAPORU'!$C$2:$I$1000, 4, 0))), 0)</f>
        <v>0</v>
      </c>
      <c r="U5413" s="22">
        <f t="shared" si="336"/>
        <v>0</v>
      </c>
      <c r="V5413">
        <f t="shared" si="337"/>
        <v>1500</v>
      </c>
      <c r="W5413" s="22">
        <f t="shared" si="338"/>
        <v>1500</v>
      </c>
    </row>
    <row r="5414" spans="1:23" hidden="1" x14ac:dyDescent="0.25">
      <c r="A5414" s="3">
        <v>46092</v>
      </c>
      <c r="B5414" s="4" t="s">
        <v>298</v>
      </c>
      <c r="C5414" s="4" t="s">
        <v>1634</v>
      </c>
      <c r="D5414" s="4"/>
      <c r="E5414" s="4"/>
      <c r="F5414" s="4"/>
      <c r="G5414" s="4" t="s">
        <v>2743</v>
      </c>
      <c r="H5414" s="4" t="s">
        <v>289</v>
      </c>
      <c r="I5414" s="4">
        <v>23.5</v>
      </c>
      <c r="J5414" s="21">
        <v>200</v>
      </c>
      <c r="K5414" s="21">
        <v>0</v>
      </c>
      <c r="L5414" s="5">
        <v>0</v>
      </c>
      <c r="M5414" s="4"/>
      <c r="N5414" s="4"/>
      <c r="O5414" s="5"/>
      <c r="P5414" s="5"/>
      <c r="Q5414" s="21">
        <v>0</v>
      </c>
      <c r="R5414" s="21">
        <v>4700</v>
      </c>
      <c r="S5414" s="5">
        <f t="shared" si="339"/>
        <v>73104.062167016105</v>
      </c>
      <c r="T5414" cm="1">
        <f t="array" ref="T5414">IF(OR(B5414="MAL ALIMI", B5414="ÜRETİM GİRİŞ"), MIN(I5414, MAX(0, I5414 + SUM(SUMIFS($I$1:I5413, $C$1:C5413, C5414, $B$1:B5413, {"MAL ALIMI","ÜRETİM GİRİŞ"})) - VLOOKUP(C5414, 'STOK RAPORU'!$C$2:$I$1000, 4, 0))), 0)</f>
        <v>0</v>
      </c>
      <c r="U5414" s="22">
        <f t="shared" si="336"/>
        <v>0</v>
      </c>
      <c r="V5414">
        <f t="shared" si="337"/>
        <v>4700</v>
      </c>
      <c r="W5414" s="22">
        <f t="shared" si="338"/>
        <v>4700</v>
      </c>
    </row>
    <row r="5415" spans="1:23" hidden="1" x14ac:dyDescent="0.25">
      <c r="A5415" s="3">
        <v>46092</v>
      </c>
      <c r="B5415" s="4" t="s">
        <v>946</v>
      </c>
      <c r="C5415" s="4"/>
      <c r="D5415" s="4"/>
      <c r="E5415" s="4" t="s">
        <v>921</v>
      </c>
      <c r="F5415" s="4"/>
      <c r="G5415" s="4" t="s">
        <v>946</v>
      </c>
      <c r="H5415" s="4" t="s">
        <v>380</v>
      </c>
      <c r="I5415" s="4">
        <v>1</v>
      </c>
      <c r="J5415" s="105">
        <v>320</v>
      </c>
      <c r="K5415" s="21">
        <v>0</v>
      </c>
      <c r="L5415" s="32">
        <v>320</v>
      </c>
      <c r="M5415" s="4"/>
      <c r="N5415" s="4"/>
      <c r="O5415" s="5"/>
      <c r="P5415" s="5"/>
      <c r="Q5415" s="21">
        <v>320</v>
      </c>
      <c r="R5415" s="21">
        <v>0</v>
      </c>
      <c r="S5415" s="5">
        <f t="shared" si="339"/>
        <v>73424.062167016105</v>
      </c>
      <c r="T5415" cm="1">
        <f t="array" ref="T5415">IF(OR(B5415="MAL ALIMI", B5415="ÜRETİM GİRİŞ"), MIN(I5415, MAX(0, I5415 + SUM(SUMIFS($I$1:I5414, $C$1:C5414, C5415, $B$1:B5414, {"MAL ALIMI","ÜRETİM GİRİŞ"})) - VLOOKUP(C5415, 'STOK RAPORU'!$C$2:$I$1000, 4, 0))), 0)</f>
        <v>0</v>
      </c>
      <c r="U5415" s="22">
        <f t="shared" si="336"/>
        <v>0</v>
      </c>
      <c r="V5415">
        <f t="shared" si="337"/>
        <v>0</v>
      </c>
      <c r="W5415" s="22">
        <f t="shared" si="338"/>
        <v>0</v>
      </c>
    </row>
    <row r="5416" spans="1:23" hidden="1" x14ac:dyDescent="0.25">
      <c r="A5416" s="3">
        <v>46093</v>
      </c>
      <c r="B5416" s="4" t="s">
        <v>334</v>
      </c>
      <c r="C5416" s="4" t="s">
        <v>140</v>
      </c>
      <c r="D5416" s="4"/>
      <c r="E5416" s="4" t="s">
        <v>921</v>
      </c>
      <c r="F5416" s="46" t="s">
        <v>2528</v>
      </c>
      <c r="G5416" s="4" t="s">
        <v>336</v>
      </c>
      <c r="H5416" s="4" t="s">
        <v>380</v>
      </c>
      <c r="I5416" s="4">
        <v>0.13333333333333333</v>
      </c>
      <c r="J5416" s="21">
        <v>300</v>
      </c>
      <c r="K5416" s="21">
        <v>40</v>
      </c>
      <c r="L5416" s="5">
        <v>0</v>
      </c>
      <c r="M5416" s="4"/>
      <c r="N5416" s="4"/>
      <c r="O5416" s="5"/>
      <c r="P5416" s="5"/>
      <c r="Q5416" s="21">
        <v>0</v>
      </c>
      <c r="R5416" s="21">
        <v>0</v>
      </c>
      <c r="S5416" s="5">
        <f t="shared" si="339"/>
        <v>73424.062167016105</v>
      </c>
      <c r="T5416" cm="1">
        <f t="array" ref="T5416">IF(OR(B5416="MAL ALIMI", B5416="ÜRETİM GİRİŞ"), MIN(I5416, MAX(0, I5416 + SUM(SUMIFS($I$1:I5415, $C$1:C5415, C5416, $B$1:B5415, {"MAL ALIMI","ÜRETİM GİRİŞ"})) - VLOOKUP(C5416, 'STOK RAPORU'!$C$2:$I$1000, 4, 0))), 0)</f>
        <v>0</v>
      </c>
      <c r="U5416" s="22">
        <f t="shared" si="336"/>
        <v>0</v>
      </c>
      <c r="V5416">
        <f t="shared" si="337"/>
        <v>0</v>
      </c>
      <c r="W5416" s="22">
        <f t="shared" si="338"/>
        <v>0</v>
      </c>
    </row>
    <row r="5417" spans="1:23" hidden="1" x14ac:dyDescent="0.25">
      <c r="A5417" s="3">
        <v>46093</v>
      </c>
      <c r="B5417" s="4" t="s">
        <v>334</v>
      </c>
      <c r="C5417" s="4" t="s">
        <v>89</v>
      </c>
      <c r="D5417" s="4"/>
      <c r="E5417" s="4" t="s">
        <v>921</v>
      </c>
      <c r="F5417" s="46" t="s">
        <v>2528</v>
      </c>
      <c r="G5417" s="4" t="s">
        <v>336</v>
      </c>
      <c r="H5417" s="4" t="s">
        <v>380</v>
      </c>
      <c r="I5417" s="4">
        <v>0.5</v>
      </c>
      <c r="J5417" s="21">
        <v>600</v>
      </c>
      <c r="K5417" s="21">
        <v>300</v>
      </c>
      <c r="L5417" s="5">
        <v>0</v>
      </c>
      <c r="M5417" s="4"/>
      <c r="N5417" s="4"/>
      <c r="O5417" s="5"/>
      <c r="P5417" s="5"/>
      <c r="Q5417" s="21">
        <v>0</v>
      </c>
      <c r="R5417" s="21">
        <v>0</v>
      </c>
      <c r="S5417" s="5">
        <f t="shared" si="339"/>
        <v>73424.062167016105</v>
      </c>
      <c r="T5417" cm="1">
        <f t="array" ref="T5417">IF(OR(B5417="MAL ALIMI", B5417="ÜRETİM GİRİŞ"), MIN(I5417, MAX(0, I5417 + SUM(SUMIFS($I$1:I5416, $C$1:C5416, C5417, $B$1:B5416, {"MAL ALIMI","ÜRETİM GİRİŞ"})) - VLOOKUP(C5417, 'STOK RAPORU'!$C$2:$I$1000, 4, 0))), 0)</f>
        <v>0</v>
      </c>
      <c r="U5417" s="22">
        <f t="shared" si="336"/>
        <v>0</v>
      </c>
      <c r="V5417">
        <f t="shared" si="337"/>
        <v>0</v>
      </c>
      <c r="W5417" s="22">
        <f t="shared" si="338"/>
        <v>0</v>
      </c>
    </row>
    <row r="5418" spans="1:23" hidden="1" x14ac:dyDescent="0.25">
      <c r="A5418" s="3">
        <v>46093</v>
      </c>
      <c r="B5418" s="4" t="s">
        <v>334</v>
      </c>
      <c r="C5418" s="4" t="s">
        <v>126</v>
      </c>
      <c r="D5418" s="4"/>
      <c r="E5418" s="4"/>
      <c r="F5418" s="46" t="s">
        <v>2529</v>
      </c>
      <c r="G5418" s="4" t="s">
        <v>336</v>
      </c>
      <c r="H5418" s="4" t="s">
        <v>289</v>
      </c>
      <c r="I5418" s="4">
        <v>0.30769230769230771</v>
      </c>
      <c r="J5418" s="21">
        <v>650</v>
      </c>
      <c r="K5418" s="21">
        <v>0</v>
      </c>
      <c r="L5418" s="5">
        <v>0</v>
      </c>
      <c r="M5418" s="4"/>
      <c r="N5418" s="4"/>
      <c r="O5418" s="5"/>
      <c r="P5418" s="5"/>
      <c r="Q5418" s="21">
        <v>200</v>
      </c>
      <c r="R5418" s="21">
        <v>0</v>
      </c>
      <c r="S5418" s="5">
        <f t="shared" si="339"/>
        <v>73624.062167016105</v>
      </c>
      <c r="T5418" cm="1">
        <f t="array" ref="T5418">IF(OR(B5418="MAL ALIMI", B5418="ÜRETİM GİRİŞ"), MIN(I5418, MAX(0, I5418 + SUM(SUMIFS($I$1:I5417, $C$1:C5417, C5418, $B$1:B5417, {"MAL ALIMI","ÜRETİM GİRİŞ"})) - VLOOKUP(C5418, 'STOK RAPORU'!$C$2:$I$1000, 4, 0))), 0)</f>
        <v>0</v>
      </c>
      <c r="U5418" s="22">
        <f t="shared" si="336"/>
        <v>0</v>
      </c>
      <c r="V5418">
        <f t="shared" si="337"/>
        <v>0</v>
      </c>
      <c r="W5418" s="22">
        <f t="shared" si="338"/>
        <v>0</v>
      </c>
    </row>
    <row r="5419" spans="1:23" hidden="1" x14ac:dyDescent="0.25">
      <c r="A5419" s="3">
        <v>46093</v>
      </c>
      <c r="B5419" s="4" t="s">
        <v>334</v>
      </c>
      <c r="C5419" s="4" t="s">
        <v>91</v>
      </c>
      <c r="D5419" s="4"/>
      <c r="E5419" s="4"/>
      <c r="F5419" s="46" t="s">
        <v>2529</v>
      </c>
      <c r="G5419" s="4" t="s">
        <v>336</v>
      </c>
      <c r="H5419" s="4" t="s">
        <v>289</v>
      </c>
      <c r="I5419" s="4">
        <v>0.11600000000000001</v>
      </c>
      <c r="J5419" s="21">
        <v>750</v>
      </c>
      <c r="K5419" s="21">
        <v>0</v>
      </c>
      <c r="L5419" s="5">
        <v>0</v>
      </c>
      <c r="M5419" s="4"/>
      <c r="N5419" s="4"/>
      <c r="O5419" s="5"/>
      <c r="P5419" s="5"/>
      <c r="Q5419" s="21">
        <v>87</v>
      </c>
      <c r="R5419" s="21">
        <v>0</v>
      </c>
      <c r="S5419" s="5">
        <f t="shared" si="339"/>
        <v>73711.062167016105</v>
      </c>
      <c r="T5419" cm="1">
        <f t="array" ref="T5419">IF(OR(B5419="MAL ALIMI", B5419="ÜRETİM GİRİŞ"), MIN(I5419, MAX(0, I5419 + SUM(SUMIFS($I$1:I5418, $C$1:C5418, C5419, $B$1:B5418, {"MAL ALIMI","ÜRETİM GİRİŞ"})) - VLOOKUP(C5419, 'STOK RAPORU'!$C$2:$I$1000, 4, 0))), 0)</f>
        <v>0</v>
      </c>
      <c r="U5419" s="22">
        <f t="shared" si="336"/>
        <v>0</v>
      </c>
      <c r="V5419">
        <f t="shared" si="337"/>
        <v>0</v>
      </c>
      <c r="W5419" s="22">
        <f t="shared" si="338"/>
        <v>0</v>
      </c>
    </row>
    <row r="5420" spans="1:23" hidden="1" x14ac:dyDescent="0.25">
      <c r="A5420" s="3">
        <v>46093</v>
      </c>
      <c r="B5420" s="4" t="s">
        <v>334</v>
      </c>
      <c r="C5420" s="4" t="s">
        <v>2488</v>
      </c>
      <c r="D5420" s="4"/>
      <c r="E5420" s="4" t="s">
        <v>921</v>
      </c>
      <c r="F5420" s="46" t="s">
        <v>2530</v>
      </c>
      <c r="G5420" s="4" t="s">
        <v>336</v>
      </c>
      <c r="H5420" s="4" t="s">
        <v>380</v>
      </c>
      <c r="I5420" s="4">
        <v>0.54749999999999999</v>
      </c>
      <c r="J5420" s="21">
        <v>400</v>
      </c>
      <c r="K5420" s="21">
        <v>219</v>
      </c>
      <c r="L5420" s="5">
        <v>0</v>
      </c>
      <c r="M5420" s="4"/>
      <c r="N5420" s="4"/>
      <c r="O5420" s="5"/>
      <c r="P5420" s="5"/>
      <c r="Q5420" s="21">
        <v>0</v>
      </c>
      <c r="R5420" s="21">
        <v>0</v>
      </c>
      <c r="S5420" s="5">
        <f t="shared" si="339"/>
        <v>73711.062167016105</v>
      </c>
      <c r="T5420" cm="1">
        <f t="array" ref="T5420">IF(OR(B5420="MAL ALIMI", B5420="ÜRETİM GİRİŞ"), MIN(I5420, MAX(0, I5420 + SUM(SUMIFS($I$1:I5419, $C$1:C5419, C5420, $B$1:B5419, {"MAL ALIMI","ÜRETİM GİRİŞ"})) - VLOOKUP(C5420, 'STOK RAPORU'!$C$2:$I$1000, 4, 0))), 0)</f>
        <v>0</v>
      </c>
      <c r="U5420" s="22">
        <f t="shared" si="336"/>
        <v>0</v>
      </c>
      <c r="V5420">
        <f t="shared" si="337"/>
        <v>0</v>
      </c>
      <c r="W5420" s="22">
        <f t="shared" si="338"/>
        <v>0</v>
      </c>
    </row>
    <row r="5421" spans="1:23" hidden="1" x14ac:dyDescent="0.25">
      <c r="A5421" s="3">
        <v>46093</v>
      </c>
      <c r="B5421" s="4" t="s">
        <v>334</v>
      </c>
      <c r="C5421" s="4" t="s">
        <v>195</v>
      </c>
      <c r="D5421" s="4"/>
      <c r="E5421" s="4" t="s">
        <v>921</v>
      </c>
      <c r="F5421" s="46" t="s">
        <v>2531</v>
      </c>
      <c r="G5421" s="4" t="s">
        <v>336</v>
      </c>
      <c r="H5421" s="4" t="s">
        <v>380</v>
      </c>
      <c r="I5421" s="4">
        <v>0.05</v>
      </c>
      <c r="J5421" s="21">
        <v>1000</v>
      </c>
      <c r="K5421" s="21">
        <v>50</v>
      </c>
      <c r="L5421" s="5">
        <v>0</v>
      </c>
      <c r="M5421" s="4"/>
      <c r="N5421" s="4"/>
      <c r="O5421" s="5"/>
      <c r="P5421" s="5"/>
      <c r="Q5421" s="21">
        <v>0</v>
      </c>
      <c r="R5421" s="21">
        <v>0</v>
      </c>
      <c r="S5421" s="5">
        <f t="shared" si="339"/>
        <v>73711.062167016105</v>
      </c>
      <c r="T5421" cm="1">
        <f t="array" ref="T5421">IF(OR(B5421="MAL ALIMI", B5421="ÜRETİM GİRİŞ"), MIN(I5421, MAX(0, I5421 + SUM(SUMIFS($I$1:I5420, $C$1:C5420, C5421, $B$1:B5420, {"MAL ALIMI","ÜRETİM GİRİŞ"})) - VLOOKUP(C5421, 'STOK RAPORU'!$C$2:$I$1000, 4, 0))), 0)</f>
        <v>0</v>
      </c>
      <c r="U5421" s="22">
        <f t="shared" si="336"/>
        <v>0</v>
      </c>
      <c r="V5421">
        <f t="shared" si="337"/>
        <v>0</v>
      </c>
      <c r="W5421" s="22">
        <f t="shared" si="338"/>
        <v>0</v>
      </c>
    </row>
    <row r="5422" spans="1:23" hidden="1" x14ac:dyDescent="0.25">
      <c r="A5422" s="3">
        <v>46093</v>
      </c>
      <c r="B5422" s="4" t="s">
        <v>334</v>
      </c>
      <c r="C5422" s="4" t="s">
        <v>457</v>
      </c>
      <c r="D5422" s="4"/>
      <c r="E5422" s="4"/>
      <c r="F5422" s="46" t="s">
        <v>2532</v>
      </c>
      <c r="G5422" s="4" t="s">
        <v>336</v>
      </c>
      <c r="H5422" s="4" t="s">
        <v>289</v>
      </c>
      <c r="I5422" s="4">
        <v>0.1</v>
      </c>
      <c r="J5422" s="21">
        <v>700</v>
      </c>
      <c r="K5422" s="21">
        <v>0</v>
      </c>
      <c r="L5422" s="5">
        <v>0</v>
      </c>
      <c r="M5422" s="4"/>
      <c r="N5422" s="4"/>
      <c r="O5422" s="5"/>
      <c r="P5422" s="5"/>
      <c r="Q5422" s="21">
        <v>70</v>
      </c>
      <c r="R5422" s="21">
        <v>0</v>
      </c>
      <c r="S5422" s="5">
        <f t="shared" si="339"/>
        <v>73781.062167016105</v>
      </c>
      <c r="T5422" cm="1">
        <f t="array" ref="T5422">IF(OR(B5422="MAL ALIMI", B5422="ÜRETİM GİRİŞ"), MIN(I5422, MAX(0, I5422 + SUM(SUMIFS($I$1:I5421, $C$1:C5421, C5422, $B$1:B5421, {"MAL ALIMI","ÜRETİM GİRİŞ"})) - VLOOKUP(C5422, 'STOK RAPORU'!$C$2:$I$1000, 4, 0))), 0)</f>
        <v>0</v>
      </c>
      <c r="U5422" s="22">
        <f t="shared" si="336"/>
        <v>0</v>
      </c>
      <c r="V5422">
        <f t="shared" si="337"/>
        <v>0</v>
      </c>
      <c r="W5422" s="22">
        <f t="shared" si="338"/>
        <v>0</v>
      </c>
    </row>
    <row r="5423" spans="1:23" hidden="1" x14ac:dyDescent="0.25">
      <c r="A5423" s="3">
        <v>46093</v>
      </c>
      <c r="B5423" s="4" t="s">
        <v>334</v>
      </c>
      <c r="C5423" s="4" t="s">
        <v>60</v>
      </c>
      <c r="D5423" s="4"/>
      <c r="E5423" s="4"/>
      <c r="F5423" s="46" t="s">
        <v>2532</v>
      </c>
      <c r="G5423" s="4" t="s">
        <v>336</v>
      </c>
      <c r="H5423" s="4" t="s">
        <v>289</v>
      </c>
      <c r="I5423" s="4">
        <v>0.05</v>
      </c>
      <c r="J5423" s="21">
        <v>1200</v>
      </c>
      <c r="K5423" s="21">
        <v>0</v>
      </c>
      <c r="L5423" s="5">
        <v>0</v>
      </c>
      <c r="M5423" s="4"/>
      <c r="N5423" s="4"/>
      <c r="O5423" s="5"/>
      <c r="P5423" s="5"/>
      <c r="Q5423" s="21">
        <v>60</v>
      </c>
      <c r="R5423" s="21">
        <v>0</v>
      </c>
      <c r="S5423" s="5">
        <f t="shared" si="339"/>
        <v>73841.062167016105</v>
      </c>
      <c r="T5423" cm="1">
        <f t="array" ref="T5423">IF(OR(B5423="MAL ALIMI", B5423="ÜRETİM GİRİŞ"), MIN(I5423, MAX(0, I5423 + SUM(SUMIFS($I$1:I5422, $C$1:C5422, C5423, $B$1:B5422, {"MAL ALIMI","ÜRETİM GİRİŞ"})) - VLOOKUP(C5423, 'STOK RAPORU'!$C$2:$I$1000, 4, 0))), 0)</f>
        <v>0</v>
      </c>
      <c r="U5423" s="22">
        <f t="shared" si="336"/>
        <v>0</v>
      </c>
      <c r="V5423">
        <f t="shared" si="337"/>
        <v>0</v>
      </c>
      <c r="W5423" s="22">
        <f t="shared" si="338"/>
        <v>0</v>
      </c>
    </row>
    <row r="5424" spans="1:23" hidden="1" x14ac:dyDescent="0.25">
      <c r="A5424" s="3">
        <v>46093</v>
      </c>
      <c r="B5424" s="4" t="s">
        <v>334</v>
      </c>
      <c r="C5424" s="4" t="s">
        <v>796</v>
      </c>
      <c r="D5424" s="4"/>
      <c r="E5424" s="4" t="s">
        <v>921</v>
      </c>
      <c r="F5424" s="46" t="s">
        <v>2533</v>
      </c>
      <c r="G5424" s="4" t="s">
        <v>336</v>
      </c>
      <c r="H5424" s="4" t="s">
        <v>380</v>
      </c>
      <c r="I5424" s="4">
        <v>1</v>
      </c>
      <c r="J5424" s="21">
        <v>260</v>
      </c>
      <c r="K5424" s="21">
        <v>260</v>
      </c>
      <c r="L5424" s="5">
        <v>0</v>
      </c>
      <c r="M5424" s="4"/>
      <c r="N5424" s="4"/>
      <c r="O5424" s="5"/>
      <c r="P5424" s="5"/>
      <c r="Q5424" s="21">
        <v>0</v>
      </c>
      <c r="R5424" s="21">
        <v>0</v>
      </c>
      <c r="S5424" s="5">
        <f t="shared" si="339"/>
        <v>73841.062167016105</v>
      </c>
      <c r="T5424" cm="1">
        <f t="array" ref="T5424">IF(OR(B5424="MAL ALIMI", B5424="ÜRETİM GİRİŞ"), MIN(I5424, MAX(0, I5424 + SUM(SUMIFS($I$1:I5423, $C$1:C5423, C5424, $B$1:B5423, {"MAL ALIMI","ÜRETİM GİRİŞ"})) - VLOOKUP(C5424, 'STOK RAPORU'!$C$2:$I$1000, 4, 0))), 0)</f>
        <v>0</v>
      </c>
      <c r="U5424" s="22">
        <f t="shared" si="336"/>
        <v>0</v>
      </c>
      <c r="V5424">
        <f t="shared" si="337"/>
        <v>0</v>
      </c>
      <c r="W5424" s="22">
        <f t="shared" si="338"/>
        <v>0</v>
      </c>
    </row>
    <row r="5425" spans="1:23" hidden="1" x14ac:dyDescent="0.25">
      <c r="A5425" s="3">
        <v>46093</v>
      </c>
      <c r="B5425" s="4" t="s">
        <v>334</v>
      </c>
      <c r="C5425" s="4" t="s">
        <v>755</v>
      </c>
      <c r="D5425" s="4"/>
      <c r="E5425" s="4" t="s">
        <v>921</v>
      </c>
      <c r="F5425" s="46" t="s">
        <v>2534</v>
      </c>
      <c r="G5425" s="4" t="s">
        <v>336</v>
      </c>
      <c r="H5425" s="4" t="s">
        <v>380</v>
      </c>
      <c r="I5425" s="4">
        <v>1</v>
      </c>
      <c r="J5425" s="21">
        <v>260</v>
      </c>
      <c r="K5425" s="21">
        <v>260</v>
      </c>
      <c r="L5425" s="5">
        <v>0</v>
      </c>
      <c r="M5425" s="4"/>
      <c r="N5425" s="4"/>
      <c r="O5425" s="5"/>
      <c r="P5425" s="5"/>
      <c r="Q5425" s="21">
        <v>0</v>
      </c>
      <c r="R5425" s="21">
        <v>0</v>
      </c>
      <c r="S5425" s="5">
        <f t="shared" si="339"/>
        <v>73841.062167016105</v>
      </c>
      <c r="T5425" cm="1">
        <f t="array" ref="T5425">IF(OR(B5425="MAL ALIMI", B5425="ÜRETİM GİRİŞ"), MIN(I5425, MAX(0, I5425 + SUM(SUMIFS($I$1:I5424, $C$1:C5424, C5425, $B$1:B5424, {"MAL ALIMI","ÜRETİM GİRİŞ"})) - VLOOKUP(C5425, 'STOK RAPORU'!$C$2:$I$1000, 4, 0))), 0)</f>
        <v>0</v>
      </c>
      <c r="U5425" s="22">
        <f t="shared" si="336"/>
        <v>0</v>
      </c>
      <c r="V5425">
        <f t="shared" si="337"/>
        <v>0</v>
      </c>
      <c r="W5425" s="22">
        <f t="shared" si="338"/>
        <v>0</v>
      </c>
    </row>
    <row r="5426" spans="1:23" hidden="1" x14ac:dyDescent="0.25">
      <c r="A5426" s="3">
        <v>46093</v>
      </c>
      <c r="B5426" s="4" t="s">
        <v>334</v>
      </c>
      <c r="C5426" s="4" t="s">
        <v>1393</v>
      </c>
      <c r="D5426" s="4"/>
      <c r="E5426" s="4"/>
      <c r="F5426" s="46" t="s">
        <v>2535</v>
      </c>
      <c r="G5426" s="4" t="s">
        <v>336</v>
      </c>
      <c r="H5426" s="4" t="s">
        <v>289</v>
      </c>
      <c r="I5426" s="4">
        <v>1</v>
      </c>
      <c r="J5426" s="21">
        <v>135</v>
      </c>
      <c r="K5426" s="21">
        <v>0</v>
      </c>
      <c r="L5426" s="5">
        <v>0</v>
      </c>
      <c r="M5426" s="4"/>
      <c r="N5426" s="4"/>
      <c r="O5426" s="5"/>
      <c r="P5426" s="5"/>
      <c r="Q5426" s="21">
        <v>135</v>
      </c>
      <c r="R5426" s="21">
        <v>0</v>
      </c>
      <c r="S5426" s="5">
        <f t="shared" si="339"/>
        <v>73976.062167016105</v>
      </c>
      <c r="T5426" cm="1">
        <f t="array" ref="T5426">IF(OR(B5426="MAL ALIMI", B5426="ÜRETİM GİRİŞ"), MIN(I5426, MAX(0, I5426 + SUM(SUMIFS($I$1:I5425, $C$1:C5425, C5426, $B$1:B5425, {"MAL ALIMI","ÜRETİM GİRİŞ"})) - VLOOKUP(C5426, 'STOK RAPORU'!$C$2:$I$1000, 4, 0))), 0)</f>
        <v>0</v>
      </c>
      <c r="U5426" s="22">
        <f t="shared" si="336"/>
        <v>0</v>
      </c>
      <c r="V5426">
        <f t="shared" si="337"/>
        <v>0</v>
      </c>
      <c r="W5426" s="22">
        <f t="shared" si="338"/>
        <v>0</v>
      </c>
    </row>
    <row r="5427" spans="1:23" hidden="1" x14ac:dyDescent="0.25">
      <c r="A5427" s="3">
        <v>46093</v>
      </c>
      <c r="B5427" s="4" t="s">
        <v>334</v>
      </c>
      <c r="C5427" s="4" t="s">
        <v>89</v>
      </c>
      <c r="D5427" s="4"/>
      <c r="E5427" s="4"/>
      <c r="F5427" s="46" t="s">
        <v>2535</v>
      </c>
      <c r="G5427" s="4" t="s">
        <v>336</v>
      </c>
      <c r="H5427" s="4" t="s">
        <v>289</v>
      </c>
      <c r="I5427" s="4">
        <v>0.1</v>
      </c>
      <c r="J5427" s="21">
        <v>600</v>
      </c>
      <c r="K5427" s="21">
        <v>0</v>
      </c>
      <c r="L5427" s="5">
        <v>0</v>
      </c>
      <c r="M5427" s="4"/>
      <c r="N5427" s="4"/>
      <c r="O5427" s="5"/>
      <c r="P5427" s="5"/>
      <c r="Q5427" s="21">
        <v>60</v>
      </c>
      <c r="R5427" s="21">
        <v>0</v>
      </c>
      <c r="S5427" s="5">
        <f t="shared" si="339"/>
        <v>74036.062167016105</v>
      </c>
      <c r="T5427" cm="1">
        <f t="array" ref="T5427">IF(OR(B5427="MAL ALIMI", B5427="ÜRETİM GİRİŞ"), MIN(I5427, MAX(0, I5427 + SUM(SUMIFS($I$1:I5426, $C$1:C5426, C5427, $B$1:B5426, {"MAL ALIMI","ÜRETİM GİRİŞ"})) - VLOOKUP(C5427, 'STOK RAPORU'!$C$2:$I$1000, 4, 0))), 0)</f>
        <v>0</v>
      </c>
      <c r="U5427" s="22">
        <f t="shared" ref="U5427:U5490" si="340">T5427*J5427</f>
        <v>0</v>
      </c>
      <c r="V5427">
        <f t="shared" ref="V5427:V5490" si="341">IF(OR(B5427="MAL ALIMI", B5427="ÜRETİM GİRİŞ"), I5427 * J5427, 0)</f>
        <v>0</v>
      </c>
      <c r="W5427" s="22">
        <f t="shared" ref="W5427:W5490" si="342">V5427-U5427</f>
        <v>0</v>
      </c>
    </row>
    <row r="5428" spans="1:23" hidden="1" x14ac:dyDescent="0.25">
      <c r="A5428" s="3">
        <v>46093</v>
      </c>
      <c r="B5428" s="4" t="s">
        <v>334</v>
      </c>
      <c r="C5428" s="4" t="s">
        <v>166</v>
      </c>
      <c r="D5428" s="4"/>
      <c r="E5428" s="4"/>
      <c r="F5428" s="46" t="s">
        <v>2536</v>
      </c>
      <c r="G5428" s="4" t="s">
        <v>336</v>
      </c>
      <c r="H5428" s="4" t="s">
        <v>289</v>
      </c>
      <c r="I5428" s="4">
        <v>4.5454545454545456E-2</v>
      </c>
      <c r="J5428" s="21">
        <v>770</v>
      </c>
      <c r="K5428" s="21">
        <v>0</v>
      </c>
      <c r="L5428" s="5">
        <v>0</v>
      </c>
      <c r="M5428" s="4"/>
      <c r="N5428" s="4"/>
      <c r="O5428" s="5"/>
      <c r="P5428" s="5"/>
      <c r="Q5428" s="21">
        <v>35</v>
      </c>
      <c r="R5428" s="21">
        <v>0</v>
      </c>
      <c r="S5428" s="5">
        <f t="shared" si="339"/>
        <v>74071.062167016105</v>
      </c>
      <c r="T5428" cm="1">
        <f t="array" ref="T5428">IF(OR(B5428="MAL ALIMI", B5428="ÜRETİM GİRİŞ"), MIN(I5428, MAX(0, I5428 + SUM(SUMIFS($I$1:I5427, $C$1:C5427, C5428, $B$1:B5427, {"MAL ALIMI","ÜRETİM GİRİŞ"})) - VLOOKUP(C5428, 'STOK RAPORU'!$C$2:$I$1000, 4, 0))), 0)</f>
        <v>0</v>
      </c>
      <c r="U5428" s="22">
        <f t="shared" si="340"/>
        <v>0</v>
      </c>
      <c r="V5428">
        <f t="shared" si="341"/>
        <v>0</v>
      </c>
      <c r="W5428" s="22">
        <f t="shared" si="342"/>
        <v>0</v>
      </c>
    </row>
    <row r="5429" spans="1:23" hidden="1" x14ac:dyDescent="0.25">
      <c r="A5429" s="3">
        <v>46093</v>
      </c>
      <c r="B5429" s="4" t="s">
        <v>334</v>
      </c>
      <c r="C5429" s="4" t="s">
        <v>141</v>
      </c>
      <c r="D5429" s="4"/>
      <c r="E5429" s="4" t="s">
        <v>921</v>
      </c>
      <c r="F5429" s="46" t="s">
        <v>2537</v>
      </c>
      <c r="G5429" s="4" t="s">
        <v>336</v>
      </c>
      <c r="H5429" s="4" t="s">
        <v>380</v>
      </c>
      <c r="I5429" s="4">
        <v>0.14285714285714285</v>
      </c>
      <c r="J5429" s="21">
        <v>140</v>
      </c>
      <c r="K5429" s="21">
        <v>20</v>
      </c>
      <c r="L5429" s="5">
        <v>0</v>
      </c>
      <c r="M5429" s="4"/>
      <c r="N5429" s="4"/>
      <c r="O5429" s="5"/>
      <c r="P5429" s="5"/>
      <c r="Q5429" s="21">
        <v>0</v>
      </c>
      <c r="R5429" s="21">
        <v>0</v>
      </c>
      <c r="S5429" s="5">
        <f t="shared" si="339"/>
        <v>74071.062167016105</v>
      </c>
      <c r="T5429" cm="1">
        <f t="array" ref="T5429">IF(OR(B5429="MAL ALIMI", B5429="ÜRETİM GİRİŞ"), MIN(I5429, MAX(0, I5429 + SUM(SUMIFS($I$1:I5428, $C$1:C5428, C5429, $B$1:B5428, {"MAL ALIMI","ÜRETİM GİRİŞ"})) - VLOOKUP(C5429, 'STOK RAPORU'!$C$2:$I$1000, 4, 0))), 0)</f>
        <v>0</v>
      </c>
      <c r="U5429" s="22">
        <f t="shared" si="340"/>
        <v>0</v>
      </c>
      <c r="V5429">
        <f t="shared" si="341"/>
        <v>0</v>
      </c>
      <c r="W5429" s="22">
        <f t="shared" si="342"/>
        <v>0</v>
      </c>
    </row>
    <row r="5430" spans="1:23" hidden="1" x14ac:dyDescent="0.25">
      <c r="A5430" s="3">
        <v>46093</v>
      </c>
      <c r="B5430" s="4" t="s">
        <v>334</v>
      </c>
      <c r="C5430" s="4" t="s">
        <v>133</v>
      </c>
      <c r="D5430" s="4"/>
      <c r="E5430" s="4" t="s">
        <v>921</v>
      </c>
      <c r="F5430" s="46" t="s">
        <v>2538</v>
      </c>
      <c r="G5430" s="4" t="s">
        <v>336</v>
      </c>
      <c r="H5430" s="4" t="s">
        <v>380</v>
      </c>
      <c r="I5430" s="4">
        <v>0.17499999999999999</v>
      </c>
      <c r="J5430" s="21">
        <v>400</v>
      </c>
      <c r="K5430" s="21">
        <v>70</v>
      </c>
      <c r="L5430" s="5">
        <v>0</v>
      </c>
      <c r="M5430" s="4"/>
      <c r="N5430" s="4"/>
      <c r="O5430" s="5"/>
      <c r="P5430" s="5"/>
      <c r="Q5430" s="21">
        <v>0</v>
      </c>
      <c r="R5430" s="21">
        <v>0</v>
      </c>
      <c r="S5430" s="5">
        <f t="shared" si="339"/>
        <v>74071.062167016105</v>
      </c>
      <c r="T5430" cm="1">
        <f t="array" ref="T5430">IF(OR(B5430="MAL ALIMI", B5430="ÜRETİM GİRİŞ"), MIN(I5430, MAX(0, I5430 + SUM(SUMIFS($I$1:I5429, $C$1:C5429, C5430, $B$1:B5429, {"MAL ALIMI","ÜRETİM GİRİŞ"})) - VLOOKUP(C5430, 'STOK RAPORU'!$C$2:$I$1000, 4, 0))), 0)</f>
        <v>0</v>
      </c>
      <c r="U5430" s="22">
        <f t="shared" si="340"/>
        <v>0</v>
      </c>
      <c r="V5430">
        <f t="shared" si="341"/>
        <v>0</v>
      </c>
      <c r="W5430" s="22">
        <f t="shared" si="342"/>
        <v>0</v>
      </c>
    </row>
    <row r="5431" spans="1:23" hidden="1" x14ac:dyDescent="0.25">
      <c r="A5431" s="3">
        <v>46093</v>
      </c>
      <c r="B5431" s="4" t="s">
        <v>334</v>
      </c>
      <c r="C5431" s="4" t="s">
        <v>91</v>
      </c>
      <c r="D5431" s="4"/>
      <c r="E5431" s="4" t="s">
        <v>921</v>
      </c>
      <c r="F5431" s="46" t="s">
        <v>2538</v>
      </c>
      <c r="G5431" s="4" t="s">
        <v>336</v>
      </c>
      <c r="H5431" s="4" t="s">
        <v>380</v>
      </c>
      <c r="I5431" s="4">
        <v>3.2000000000000001E-2</v>
      </c>
      <c r="J5431" s="21">
        <v>750</v>
      </c>
      <c r="K5431" s="21">
        <v>24</v>
      </c>
      <c r="L5431" s="5">
        <v>0</v>
      </c>
      <c r="M5431" s="4"/>
      <c r="N5431" s="4"/>
      <c r="O5431" s="5"/>
      <c r="P5431" s="5"/>
      <c r="Q5431" s="21">
        <v>0</v>
      </c>
      <c r="R5431" s="21">
        <v>0</v>
      </c>
      <c r="S5431" s="5">
        <f t="shared" si="339"/>
        <v>74071.062167016105</v>
      </c>
      <c r="T5431" cm="1">
        <f t="array" ref="T5431">IF(OR(B5431="MAL ALIMI", B5431="ÜRETİM GİRİŞ"), MIN(I5431, MAX(0, I5431 + SUM(SUMIFS($I$1:I5430, $C$1:C5430, C5431, $B$1:B5430, {"MAL ALIMI","ÜRETİM GİRİŞ"})) - VLOOKUP(C5431, 'STOK RAPORU'!$C$2:$I$1000, 4, 0))), 0)</f>
        <v>0</v>
      </c>
      <c r="U5431" s="22">
        <f t="shared" si="340"/>
        <v>0</v>
      </c>
      <c r="V5431">
        <f t="shared" si="341"/>
        <v>0</v>
      </c>
      <c r="W5431" s="22">
        <f t="shared" si="342"/>
        <v>0</v>
      </c>
    </row>
    <row r="5432" spans="1:23" hidden="1" x14ac:dyDescent="0.25">
      <c r="A5432" s="3">
        <v>46093</v>
      </c>
      <c r="B5432" s="4" t="s">
        <v>334</v>
      </c>
      <c r="C5432" s="4" t="s">
        <v>137</v>
      </c>
      <c r="D5432" s="4"/>
      <c r="E5432" s="4" t="s">
        <v>921</v>
      </c>
      <c r="F5432" s="46" t="s">
        <v>2538</v>
      </c>
      <c r="G5432" s="4" t="s">
        <v>336</v>
      </c>
      <c r="H5432" s="4" t="s">
        <v>380</v>
      </c>
      <c r="I5432" s="4">
        <v>0.27800000000000002</v>
      </c>
      <c r="J5432" s="21">
        <v>180</v>
      </c>
      <c r="K5432" s="21">
        <v>50.040000000000006</v>
      </c>
      <c r="L5432" s="5">
        <v>0</v>
      </c>
      <c r="M5432" s="4"/>
      <c r="N5432" s="4"/>
      <c r="O5432" s="5"/>
      <c r="P5432" s="5"/>
      <c r="Q5432" s="21">
        <v>0</v>
      </c>
      <c r="R5432" s="21">
        <v>0</v>
      </c>
      <c r="S5432" s="5">
        <f t="shared" si="339"/>
        <v>74071.062167016105</v>
      </c>
      <c r="T5432" cm="1">
        <f t="array" ref="T5432">IF(OR(B5432="MAL ALIMI", B5432="ÜRETİM GİRİŞ"), MIN(I5432, MAX(0, I5432 + SUM(SUMIFS($I$1:I5431, $C$1:C5431, C5432, $B$1:B5431, {"MAL ALIMI","ÜRETİM GİRİŞ"})) - VLOOKUP(C5432, 'STOK RAPORU'!$C$2:$I$1000, 4, 0))), 0)</f>
        <v>0</v>
      </c>
      <c r="U5432" s="22">
        <f t="shared" si="340"/>
        <v>0</v>
      </c>
      <c r="V5432">
        <f t="shared" si="341"/>
        <v>0</v>
      </c>
      <c r="W5432" s="22">
        <f t="shared" si="342"/>
        <v>0</v>
      </c>
    </row>
    <row r="5433" spans="1:23" hidden="1" x14ac:dyDescent="0.25">
      <c r="A5433" s="3">
        <v>46093</v>
      </c>
      <c r="B5433" s="4" t="s">
        <v>334</v>
      </c>
      <c r="C5433" s="4" t="s">
        <v>1150</v>
      </c>
      <c r="D5433" s="4"/>
      <c r="E5433" s="4"/>
      <c r="F5433" s="46" t="s">
        <v>2539</v>
      </c>
      <c r="G5433" s="4" t="s">
        <v>336</v>
      </c>
      <c r="H5433" s="4" t="s">
        <v>289</v>
      </c>
      <c r="I5433" s="4">
        <v>9.2592592592592587E-2</v>
      </c>
      <c r="J5433" s="21">
        <v>540</v>
      </c>
      <c r="K5433" s="21">
        <v>0</v>
      </c>
      <c r="L5433" s="5">
        <v>0</v>
      </c>
      <c r="M5433" s="4"/>
      <c r="N5433" s="4"/>
      <c r="O5433" s="5"/>
      <c r="P5433" s="5"/>
      <c r="Q5433" s="21">
        <v>50</v>
      </c>
      <c r="R5433" s="21">
        <v>0</v>
      </c>
      <c r="S5433" s="5">
        <f t="shared" si="339"/>
        <v>74121.062167016105</v>
      </c>
      <c r="T5433" cm="1">
        <f t="array" ref="T5433">IF(OR(B5433="MAL ALIMI", B5433="ÜRETİM GİRİŞ"), MIN(I5433, MAX(0, I5433 + SUM(SUMIFS($I$1:I5432, $C$1:C5432, C5433, $B$1:B5432, {"MAL ALIMI","ÜRETİM GİRİŞ"})) - VLOOKUP(C5433, 'STOK RAPORU'!$C$2:$I$1000, 4, 0))), 0)</f>
        <v>0</v>
      </c>
      <c r="U5433" s="22">
        <f t="shared" si="340"/>
        <v>0</v>
      </c>
      <c r="V5433">
        <f t="shared" si="341"/>
        <v>0</v>
      </c>
      <c r="W5433" s="22">
        <f t="shared" si="342"/>
        <v>0</v>
      </c>
    </row>
    <row r="5434" spans="1:23" hidden="1" x14ac:dyDescent="0.25">
      <c r="A5434" s="3">
        <v>46093</v>
      </c>
      <c r="B5434" s="4" t="s">
        <v>334</v>
      </c>
      <c r="C5434" s="4" t="s">
        <v>160</v>
      </c>
      <c r="D5434" s="4"/>
      <c r="E5434" s="4"/>
      <c r="F5434" s="46" t="s">
        <v>2539</v>
      </c>
      <c r="G5434" s="4" t="s">
        <v>336</v>
      </c>
      <c r="H5434" s="4" t="s">
        <v>289</v>
      </c>
      <c r="I5434" s="4">
        <v>1</v>
      </c>
      <c r="J5434" s="21">
        <v>250</v>
      </c>
      <c r="K5434" s="21">
        <v>0</v>
      </c>
      <c r="L5434" s="5">
        <v>0</v>
      </c>
      <c r="M5434" s="4"/>
      <c r="N5434" s="4"/>
      <c r="O5434" s="5"/>
      <c r="P5434" s="5"/>
      <c r="Q5434" s="21">
        <v>250</v>
      </c>
      <c r="R5434" s="21">
        <v>0</v>
      </c>
      <c r="S5434" s="5">
        <f t="shared" si="339"/>
        <v>74371.062167016105</v>
      </c>
      <c r="T5434" cm="1">
        <f t="array" ref="T5434">IF(OR(B5434="MAL ALIMI", B5434="ÜRETİM GİRİŞ"), MIN(I5434, MAX(0, I5434 + SUM(SUMIFS($I$1:I5433, $C$1:C5433, C5434, $B$1:B5433, {"MAL ALIMI","ÜRETİM GİRİŞ"})) - VLOOKUP(C5434, 'STOK RAPORU'!$C$2:$I$1000, 4, 0))), 0)</f>
        <v>0</v>
      </c>
      <c r="U5434" s="22">
        <f t="shared" si="340"/>
        <v>0</v>
      </c>
      <c r="V5434">
        <f t="shared" si="341"/>
        <v>0</v>
      </c>
      <c r="W5434" s="22">
        <f t="shared" si="342"/>
        <v>0</v>
      </c>
    </row>
    <row r="5435" spans="1:23" hidden="1" x14ac:dyDescent="0.25">
      <c r="A5435" s="3">
        <v>46093</v>
      </c>
      <c r="B5435" s="4" t="s">
        <v>334</v>
      </c>
      <c r="C5435" s="4" t="s">
        <v>1634</v>
      </c>
      <c r="D5435" s="4"/>
      <c r="E5435" s="4" t="s">
        <v>921</v>
      </c>
      <c r="F5435" s="46" t="s">
        <v>2540</v>
      </c>
      <c r="G5435" s="4" t="s">
        <v>336</v>
      </c>
      <c r="H5435" s="4" t="s">
        <v>380</v>
      </c>
      <c r="I5435" s="4">
        <v>1.1514285714285715</v>
      </c>
      <c r="J5435" s="21">
        <v>350</v>
      </c>
      <c r="K5435" s="21">
        <v>403</v>
      </c>
      <c r="L5435" s="5">
        <v>0</v>
      </c>
      <c r="M5435" s="4"/>
      <c r="N5435" s="4"/>
      <c r="O5435" s="5"/>
      <c r="P5435" s="5"/>
      <c r="Q5435" s="21">
        <v>0</v>
      </c>
      <c r="R5435" s="21">
        <v>0</v>
      </c>
      <c r="S5435" s="5">
        <f t="shared" si="339"/>
        <v>74371.062167016105</v>
      </c>
      <c r="T5435" cm="1">
        <f t="array" ref="T5435">IF(OR(B5435="MAL ALIMI", B5435="ÜRETİM GİRİŞ"), MIN(I5435, MAX(0, I5435 + SUM(SUMIFS($I$1:I5434, $C$1:C5434, C5435, $B$1:B5434, {"MAL ALIMI","ÜRETİM GİRİŞ"})) - VLOOKUP(C5435, 'STOK RAPORU'!$C$2:$I$1000, 4, 0))), 0)</f>
        <v>0</v>
      </c>
      <c r="U5435" s="22">
        <f t="shared" si="340"/>
        <v>0</v>
      </c>
      <c r="V5435">
        <f t="shared" si="341"/>
        <v>0</v>
      </c>
      <c r="W5435" s="22">
        <f t="shared" si="342"/>
        <v>0</v>
      </c>
    </row>
    <row r="5436" spans="1:23" hidden="1" x14ac:dyDescent="0.25">
      <c r="A5436" s="3">
        <v>46093</v>
      </c>
      <c r="B5436" s="4" t="s">
        <v>334</v>
      </c>
      <c r="C5436" s="4" t="s">
        <v>133</v>
      </c>
      <c r="D5436" s="4"/>
      <c r="E5436" s="4" t="s">
        <v>921</v>
      </c>
      <c r="F5436" s="46" t="s">
        <v>2541</v>
      </c>
      <c r="G5436" s="4" t="s">
        <v>336</v>
      </c>
      <c r="H5436" s="4" t="s">
        <v>380</v>
      </c>
      <c r="I5436" s="4">
        <v>9.7500000000000003E-2</v>
      </c>
      <c r="J5436" s="21">
        <v>400</v>
      </c>
      <c r="K5436" s="21">
        <v>39</v>
      </c>
      <c r="L5436" s="5">
        <v>0</v>
      </c>
      <c r="M5436" s="4"/>
      <c r="N5436" s="4"/>
      <c r="O5436" s="5"/>
      <c r="P5436" s="5"/>
      <c r="Q5436" s="21">
        <v>0</v>
      </c>
      <c r="R5436" s="21">
        <v>0</v>
      </c>
      <c r="S5436" s="5">
        <f t="shared" si="339"/>
        <v>74371.062167016105</v>
      </c>
      <c r="T5436" cm="1">
        <f t="array" ref="T5436">IF(OR(B5436="MAL ALIMI", B5436="ÜRETİM GİRİŞ"), MIN(I5436, MAX(0, I5436 + SUM(SUMIFS($I$1:I5435, $C$1:C5435, C5436, $B$1:B5435, {"MAL ALIMI","ÜRETİM GİRİŞ"})) - VLOOKUP(C5436, 'STOK RAPORU'!$C$2:$I$1000, 4, 0))), 0)</f>
        <v>0</v>
      </c>
      <c r="U5436" s="22">
        <f t="shared" si="340"/>
        <v>0</v>
      </c>
      <c r="V5436">
        <f t="shared" si="341"/>
        <v>0</v>
      </c>
      <c r="W5436" s="22">
        <f t="shared" si="342"/>
        <v>0</v>
      </c>
    </row>
    <row r="5437" spans="1:23" hidden="1" x14ac:dyDescent="0.25">
      <c r="A5437" s="3">
        <v>46093</v>
      </c>
      <c r="B5437" s="4" t="s">
        <v>334</v>
      </c>
      <c r="C5437" s="4" t="s">
        <v>92</v>
      </c>
      <c r="D5437" s="4"/>
      <c r="E5437" s="4" t="s">
        <v>921</v>
      </c>
      <c r="F5437" s="46" t="s">
        <v>2541</v>
      </c>
      <c r="G5437" s="4" t="s">
        <v>336</v>
      </c>
      <c r="H5437" s="4" t="s">
        <v>380</v>
      </c>
      <c r="I5437" s="4">
        <v>6.6000000000000003E-2</v>
      </c>
      <c r="J5437" s="21">
        <v>500</v>
      </c>
      <c r="K5437" s="21">
        <v>33</v>
      </c>
      <c r="L5437" s="5">
        <v>0</v>
      </c>
      <c r="M5437" s="4"/>
      <c r="N5437" s="4"/>
      <c r="O5437" s="5"/>
      <c r="P5437" s="5"/>
      <c r="Q5437" s="21">
        <v>0</v>
      </c>
      <c r="R5437" s="21">
        <v>0</v>
      </c>
      <c r="S5437" s="5">
        <f t="shared" si="339"/>
        <v>74371.062167016105</v>
      </c>
      <c r="T5437" cm="1">
        <f t="array" ref="T5437">IF(OR(B5437="MAL ALIMI", B5437="ÜRETİM GİRİŞ"), MIN(I5437, MAX(0, I5437 + SUM(SUMIFS($I$1:I5436, $C$1:C5436, C5437, $B$1:B5436, {"MAL ALIMI","ÜRETİM GİRİŞ"})) - VLOOKUP(C5437, 'STOK RAPORU'!$C$2:$I$1000, 4, 0))), 0)</f>
        <v>0</v>
      </c>
      <c r="U5437" s="22">
        <f t="shared" si="340"/>
        <v>0</v>
      </c>
      <c r="V5437">
        <f t="shared" si="341"/>
        <v>0</v>
      </c>
      <c r="W5437" s="22">
        <f t="shared" si="342"/>
        <v>0</v>
      </c>
    </row>
    <row r="5438" spans="1:23" hidden="1" x14ac:dyDescent="0.25">
      <c r="A5438" s="3">
        <v>46093</v>
      </c>
      <c r="B5438" s="4" t="s">
        <v>334</v>
      </c>
      <c r="C5438" s="4" t="s">
        <v>463</v>
      </c>
      <c r="D5438" s="4"/>
      <c r="E5438" s="4" t="s">
        <v>921</v>
      </c>
      <c r="F5438" s="46" t="s">
        <v>2541</v>
      </c>
      <c r="G5438" s="4" t="s">
        <v>336</v>
      </c>
      <c r="H5438" s="4" t="s">
        <v>380</v>
      </c>
      <c r="I5438" s="4">
        <v>6.7500000000000004E-2</v>
      </c>
      <c r="J5438" s="21">
        <v>400</v>
      </c>
      <c r="K5438" s="21">
        <v>27</v>
      </c>
      <c r="L5438" s="5">
        <v>0</v>
      </c>
      <c r="M5438" s="4"/>
      <c r="N5438" s="4"/>
      <c r="O5438" s="5"/>
      <c r="P5438" s="5"/>
      <c r="Q5438" s="21">
        <v>0</v>
      </c>
      <c r="R5438" s="21">
        <v>0</v>
      </c>
      <c r="S5438" s="5">
        <f t="shared" si="339"/>
        <v>74371.062167016105</v>
      </c>
      <c r="T5438" cm="1">
        <f t="array" ref="T5438">IF(OR(B5438="MAL ALIMI", B5438="ÜRETİM GİRİŞ"), MIN(I5438, MAX(0, I5438 + SUM(SUMIFS($I$1:I5437, $C$1:C5437, C5438, $B$1:B5437, {"MAL ALIMI","ÜRETİM GİRİŞ"})) - VLOOKUP(C5438, 'STOK RAPORU'!$C$2:$I$1000, 4, 0))), 0)</f>
        <v>0</v>
      </c>
      <c r="U5438" s="22">
        <f t="shared" si="340"/>
        <v>0</v>
      </c>
      <c r="V5438">
        <f t="shared" si="341"/>
        <v>0</v>
      </c>
      <c r="W5438" s="22">
        <f t="shared" si="342"/>
        <v>0</v>
      </c>
    </row>
    <row r="5439" spans="1:23" hidden="1" x14ac:dyDescent="0.25">
      <c r="A5439" s="3">
        <v>46093</v>
      </c>
      <c r="B5439" s="4" t="s">
        <v>334</v>
      </c>
      <c r="C5439" s="4" t="s">
        <v>160</v>
      </c>
      <c r="D5439" s="4"/>
      <c r="E5439" s="4" t="s">
        <v>921</v>
      </c>
      <c r="F5439" s="46" t="s">
        <v>2541</v>
      </c>
      <c r="G5439" s="4" t="s">
        <v>336</v>
      </c>
      <c r="H5439" s="4" t="s">
        <v>380</v>
      </c>
      <c r="I5439" s="4">
        <v>1</v>
      </c>
      <c r="J5439" s="21">
        <v>250</v>
      </c>
      <c r="K5439" s="21">
        <v>250</v>
      </c>
      <c r="L5439" s="5">
        <v>0</v>
      </c>
      <c r="M5439" s="4"/>
      <c r="N5439" s="4"/>
      <c r="O5439" s="5"/>
      <c r="P5439" s="5"/>
      <c r="Q5439" s="21">
        <v>0</v>
      </c>
      <c r="R5439" s="21">
        <v>0</v>
      </c>
      <c r="S5439" s="5">
        <f t="shared" si="339"/>
        <v>74371.062167016105</v>
      </c>
      <c r="T5439" cm="1">
        <f t="array" ref="T5439">IF(OR(B5439="MAL ALIMI", B5439="ÜRETİM GİRİŞ"), MIN(I5439, MAX(0, I5439 + SUM(SUMIFS($I$1:I5438, $C$1:C5438, C5439, $B$1:B5438, {"MAL ALIMI","ÜRETİM GİRİŞ"})) - VLOOKUP(C5439, 'STOK RAPORU'!$C$2:$I$1000, 4, 0))), 0)</f>
        <v>0</v>
      </c>
      <c r="U5439" s="22">
        <f t="shared" si="340"/>
        <v>0</v>
      </c>
      <c r="V5439">
        <f t="shared" si="341"/>
        <v>0</v>
      </c>
      <c r="W5439" s="22">
        <f t="shared" si="342"/>
        <v>0</v>
      </c>
    </row>
    <row r="5440" spans="1:23" hidden="1" x14ac:dyDescent="0.25">
      <c r="A5440" s="3">
        <v>46093</v>
      </c>
      <c r="B5440" s="4" t="s">
        <v>334</v>
      </c>
      <c r="C5440" s="4" t="s">
        <v>161</v>
      </c>
      <c r="D5440" s="4"/>
      <c r="E5440" s="4" t="s">
        <v>921</v>
      </c>
      <c r="F5440" s="46" t="s">
        <v>2541</v>
      </c>
      <c r="G5440" s="4" t="s">
        <v>336</v>
      </c>
      <c r="H5440" s="4" t="s">
        <v>380</v>
      </c>
      <c r="I5440" s="4">
        <v>1</v>
      </c>
      <c r="J5440" s="21">
        <v>230</v>
      </c>
      <c r="K5440" s="21">
        <v>230</v>
      </c>
      <c r="L5440" s="5">
        <v>0</v>
      </c>
      <c r="M5440" s="4"/>
      <c r="N5440" s="4"/>
      <c r="O5440" s="5"/>
      <c r="P5440" s="5"/>
      <c r="Q5440" s="21">
        <v>0</v>
      </c>
      <c r="R5440" s="21">
        <v>0</v>
      </c>
      <c r="S5440" s="5">
        <f t="shared" si="339"/>
        <v>74371.062167016105</v>
      </c>
      <c r="T5440" cm="1">
        <f t="array" ref="T5440">IF(OR(B5440="MAL ALIMI", B5440="ÜRETİM GİRİŞ"), MIN(I5440, MAX(0, I5440 + SUM(SUMIFS($I$1:I5439, $C$1:C5439, C5440, $B$1:B5439, {"MAL ALIMI","ÜRETİM GİRİŞ"})) - VLOOKUP(C5440, 'STOK RAPORU'!$C$2:$I$1000, 4, 0))), 0)</f>
        <v>0</v>
      </c>
      <c r="U5440" s="22">
        <f t="shared" si="340"/>
        <v>0</v>
      </c>
      <c r="V5440">
        <f t="shared" si="341"/>
        <v>0</v>
      </c>
      <c r="W5440" s="22">
        <f t="shared" si="342"/>
        <v>0</v>
      </c>
    </row>
    <row r="5441" spans="1:23" hidden="1" x14ac:dyDescent="0.25">
      <c r="A5441" s="3">
        <v>46093</v>
      </c>
      <c r="B5441" s="4" t="s">
        <v>334</v>
      </c>
      <c r="C5441" s="4" t="s">
        <v>219</v>
      </c>
      <c r="D5441" s="4"/>
      <c r="E5441" s="4"/>
      <c r="F5441" s="46" t="s">
        <v>2542</v>
      </c>
      <c r="G5441" s="4" t="s">
        <v>336</v>
      </c>
      <c r="H5441" s="4" t="s">
        <v>289</v>
      </c>
      <c r="I5441" s="4">
        <v>0.05</v>
      </c>
      <c r="J5441" s="21">
        <v>2000</v>
      </c>
      <c r="K5441" s="21">
        <v>0</v>
      </c>
      <c r="L5441" s="5">
        <v>0</v>
      </c>
      <c r="M5441" s="4"/>
      <c r="N5441" s="4"/>
      <c r="O5441" s="5"/>
      <c r="P5441" s="5"/>
      <c r="Q5441" s="21">
        <v>100</v>
      </c>
      <c r="R5441" s="21">
        <v>0</v>
      </c>
      <c r="S5441" s="5">
        <f t="shared" si="339"/>
        <v>74471.062167016105</v>
      </c>
      <c r="T5441" cm="1">
        <f t="array" ref="T5441">IF(OR(B5441="MAL ALIMI", B5441="ÜRETİM GİRİŞ"), MIN(I5441, MAX(0, I5441 + SUM(SUMIFS($I$1:I5440, $C$1:C5440, C5441, $B$1:B5440, {"MAL ALIMI","ÜRETİM GİRİŞ"})) - VLOOKUP(C5441, 'STOK RAPORU'!$C$2:$I$1000, 4, 0))), 0)</f>
        <v>0</v>
      </c>
      <c r="U5441" s="22">
        <f t="shared" si="340"/>
        <v>0</v>
      </c>
      <c r="V5441">
        <f t="shared" si="341"/>
        <v>0</v>
      </c>
      <c r="W5441" s="22">
        <f t="shared" si="342"/>
        <v>0</v>
      </c>
    </row>
    <row r="5442" spans="1:23" hidden="1" x14ac:dyDescent="0.25">
      <c r="A5442" s="3">
        <v>46093</v>
      </c>
      <c r="B5442" s="4" t="s">
        <v>334</v>
      </c>
      <c r="C5442" s="4" t="s">
        <v>237</v>
      </c>
      <c r="D5442" s="4"/>
      <c r="E5442" s="4"/>
      <c r="F5442" s="46" t="s">
        <v>2542</v>
      </c>
      <c r="G5442" s="4" t="s">
        <v>336</v>
      </c>
      <c r="H5442" s="4" t="s">
        <v>289</v>
      </c>
      <c r="I5442" s="4">
        <v>0.05</v>
      </c>
      <c r="J5442" s="21">
        <v>1800</v>
      </c>
      <c r="K5442" s="21">
        <v>0</v>
      </c>
      <c r="L5442" s="5">
        <v>0</v>
      </c>
      <c r="M5442" s="4"/>
      <c r="N5442" s="4"/>
      <c r="O5442" s="5"/>
      <c r="P5442" s="5"/>
      <c r="Q5442" s="21">
        <v>90</v>
      </c>
      <c r="R5442" s="21">
        <v>0</v>
      </c>
      <c r="S5442" s="5">
        <f t="shared" si="339"/>
        <v>74561.062167016105</v>
      </c>
      <c r="T5442" cm="1">
        <f t="array" ref="T5442">IF(OR(B5442="MAL ALIMI", B5442="ÜRETİM GİRİŞ"), MIN(I5442, MAX(0, I5442 + SUM(SUMIFS($I$1:I5441, $C$1:C5441, C5442, $B$1:B5441, {"MAL ALIMI","ÜRETİM GİRİŞ"})) - VLOOKUP(C5442, 'STOK RAPORU'!$C$2:$I$1000, 4, 0))), 0)</f>
        <v>0</v>
      </c>
      <c r="U5442" s="22">
        <f t="shared" si="340"/>
        <v>0</v>
      </c>
      <c r="V5442">
        <f t="shared" si="341"/>
        <v>0</v>
      </c>
      <c r="W5442" s="22">
        <f t="shared" si="342"/>
        <v>0</v>
      </c>
    </row>
    <row r="5443" spans="1:23" hidden="1" x14ac:dyDescent="0.25">
      <c r="A5443" s="3">
        <v>46093</v>
      </c>
      <c r="B5443" s="4" t="s">
        <v>334</v>
      </c>
      <c r="C5443" s="4" t="s">
        <v>98</v>
      </c>
      <c r="D5443" s="4"/>
      <c r="E5443" s="4"/>
      <c r="F5443" s="46" t="s">
        <v>2543</v>
      </c>
      <c r="G5443" s="4" t="s">
        <v>336</v>
      </c>
      <c r="H5443" s="4" t="s">
        <v>289</v>
      </c>
      <c r="I5443" s="4">
        <v>7.0000000000000007E-2</v>
      </c>
      <c r="J5443" s="21">
        <v>400</v>
      </c>
      <c r="K5443" s="21">
        <v>0</v>
      </c>
      <c r="L5443" s="5">
        <v>0</v>
      </c>
      <c r="M5443" s="4"/>
      <c r="N5443" s="4"/>
      <c r="O5443" s="5"/>
      <c r="P5443" s="5"/>
      <c r="Q5443" s="21">
        <v>28.000000000000004</v>
      </c>
      <c r="R5443" s="21">
        <v>0</v>
      </c>
      <c r="S5443" s="5">
        <f t="shared" si="339"/>
        <v>74589.062167016105</v>
      </c>
      <c r="T5443" cm="1">
        <f t="array" ref="T5443">IF(OR(B5443="MAL ALIMI", B5443="ÜRETİM GİRİŞ"), MIN(I5443, MAX(0, I5443 + SUM(SUMIFS($I$1:I5442, $C$1:C5442, C5443, $B$1:B5442, {"MAL ALIMI","ÜRETİM GİRİŞ"})) - VLOOKUP(C5443, 'STOK RAPORU'!$C$2:$I$1000, 4, 0))), 0)</f>
        <v>0</v>
      </c>
      <c r="U5443" s="22">
        <f t="shared" si="340"/>
        <v>0</v>
      </c>
      <c r="V5443">
        <f t="shared" si="341"/>
        <v>0</v>
      </c>
      <c r="W5443" s="22">
        <f t="shared" si="342"/>
        <v>0</v>
      </c>
    </row>
    <row r="5444" spans="1:23" hidden="1" x14ac:dyDescent="0.25">
      <c r="A5444" s="3">
        <v>46093</v>
      </c>
      <c r="B5444" s="4" t="s">
        <v>334</v>
      </c>
      <c r="C5444" s="4" t="s">
        <v>166</v>
      </c>
      <c r="D5444" s="4"/>
      <c r="E5444" s="4"/>
      <c r="F5444" s="46" t="s">
        <v>2543</v>
      </c>
      <c r="G5444" s="4" t="s">
        <v>336</v>
      </c>
      <c r="H5444" s="4" t="s">
        <v>289</v>
      </c>
      <c r="I5444" s="4">
        <v>4.6753246753246755E-2</v>
      </c>
      <c r="J5444" s="21">
        <v>770</v>
      </c>
      <c r="K5444" s="21">
        <v>0</v>
      </c>
      <c r="L5444" s="5">
        <v>0</v>
      </c>
      <c r="M5444" s="4"/>
      <c r="N5444" s="4"/>
      <c r="O5444" s="5"/>
      <c r="P5444" s="5"/>
      <c r="Q5444" s="21">
        <v>36</v>
      </c>
      <c r="R5444" s="21">
        <v>0</v>
      </c>
      <c r="S5444" s="5">
        <f t="shared" ref="S5444:S5507" si="343">S5443+Q5444-R5444</f>
        <v>74625.062167016105</v>
      </c>
      <c r="T5444" cm="1">
        <f t="array" ref="T5444">IF(OR(B5444="MAL ALIMI", B5444="ÜRETİM GİRİŞ"), MIN(I5444, MAX(0, I5444 + SUM(SUMIFS($I$1:I5443, $C$1:C5443, C5444, $B$1:B5443, {"MAL ALIMI","ÜRETİM GİRİŞ"})) - VLOOKUP(C5444, 'STOK RAPORU'!$C$2:$I$1000, 4, 0))), 0)</f>
        <v>0</v>
      </c>
      <c r="U5444" s="22">
        <f t="shared" si="340"/>
        <v>0</v>
      </c>
      <c r="V5444">
        <f t="shared" si="341"/>
        <v>0</v>
      </c>
      <c r="W5444" s="22">
        <f t="shared" si="342"/>
        <v>0</v>
      </c>
    </row>
    <row r="5445" spans="1:23" hidden="1" x14ac:dyDescent="0.25">
      <c r="A5445" s="3">
        <v>46093</v>
      </c>
      <c r="B5445" s="4" t="s">
        <v>334</v>
      </c>
      <c r="C5445" s="4" t="s">
        <v>209</v>
      </c>
      <c r="D5445" s="4"/>
      <c r="E5445" s="4" t="s">
        <v>921</v>
      </c>
      <c r="F5445" s="46" t="s">
        <v>2544</v>
      </c>
      <c r="G5445" s="4" t="s">
        <v>336</v>
      </c>
      <c r="H5445" s="4" t="s">
        <v>380</v>
      </c>
      <c r="I5445" s="4">
        <v>0.05</v>
      </c>
      <c r="J5445" s="21">
        <v>2600</v>
      </c>
      <c r="K5445" s="21">
        <v>130</v>
      </c>
      <c r="L5445" s="5">
        <v>0</v>
      </c>
      <c r="M5445" s="4"/>
      <c r="N5445" s="4"/>
      <c r="O5445" s="5"/>
      <c r="P5445" s="5"/>
      <c r="Q5445" s="21">
        <v>0</v>
      </c>
      <c r="R5445" s="21">
        <v>0</v>
      </c>
      <c r="S5445" s="5">
        <f t="shared" si="343"/>
        <v>74625.062167016105</v>
      </c>
      <c r="T5445" cm="1">
        <f t="array" ref="T5445">IF(OR(B5445="MAL ALIMI", B5445="ÜRETİM GİRİŞ"), MIN(I5445, MAX(0, I5445 + SUM(SUMIFS($I$1:I5444, $C$1:C5444, C5445, $B$1:B5444, {"MAL ALIMI","ÜRETİM GİRİŞ"})) - VLOOKUP(C5445, 'STOK RAPORU'!$C$2:$I$1000, 4, 0))), 0)</f>
        <v>0</v>
      </c>
      <c r="U5445" s="22">
        <f t="shared" si="340"/>
        <v>0</v>
      </c>
      <c r="V5445">
        <f t="shared" si="341"/>
        <v>0</v>
      </c>
      <c r="W5445" s="22">
        <f t="shared" si="342"/>
        <v>0</v>
      </c>
    </row>
    <row r="5446" spans="1:23" hidden="1" x14ac:dyDescent="0.25">
      <c r="A5446" s="3">
        <v>46093</v>
      </c>
      <c r="B5446" s="4" t="s">
        <v>334</v>
      </c>
      <c r="C5446" s="4" t="s">
        <v>1897</v>
      </c>
      <c r="D5446" s="4"/>
      <c r="E5446" s="4"/>
      <c r="F5446" s="46" t="s">
        <v>2545</v>
      </c>
      <c r="G5446" s="4" t="s">
        <v>336</v>
      </c>
      <c r="H5446" s="4" t="s">
        <v>289</v>
      </c>
      <c r="I5446" s="4">
        <v>2</v>
      </c>
      <c r="J5446" s="21">
        <v>295</v>
      </c>
      <c r="K5446" s="21">
        <v>0</v>
      </c>
      <c r="L5446" s="5">
        <v>0</v>
      </c>
      <c r="M5446" s="4"/>
      <c r="N5446" s="4"/>
      <c r="O5446" s="5"/>
      <c r="P5446" s="5"/>
      <c r="Q5446" s="21">
        <v>590</v>
      </c>
      <c r="R5446" s="21">
        <v>0</v>
      </c>
      <c r="S5446" s="5">
        <f t="shared" si="343"/>
        <v>75215.062167016105</v>
      </c>
      <c r="T5446" cm="1">
        <f t="array" ref="T5446">IF(OR(B5446="MAL ALIMI", B5446="ÜRETİM GİRİŞ"), MIN(I5446, MAX(0, I5446 + SUM(SUMIFS($I$1:I5445, $C$1:C5445, C5446, $B$1:B5445, {"MAL ALIMI","ÜRETİM GİRİŞ"})) - VLOOKUP(C5446, 'STOK RAPORU'!$C$2:$I$1000, 4, 0))), 0)</f>
        <v>0</v>
      </c>
      <c r="U5446" s="22">
        <f t="shared" si="340"/>
        <v>0</v>
      </c>
      <c r="V5446">
        <f t="shared" si="341"/>
        <v>0</v>
      </c>
      <c r="W5446" s="22">
        <f t="shared" si="342"/>
        <v>0</v>
      </c>
    </row>
    <row r="5447" spans="1:23" hidden="1" x14ac:dyDescent="0.25">
      <c r="A5447" s="41">
        <v>46093</v>
      </c>
      <c r="B5447" s="42" t="s">
        <v>334</v>
      </c>
      <c r="C5447" s="42" t="s">
        <v>651</v>
      </c>
      <c r="D5447" s="42"/>
      <c r="E5447" s="42"/>
      <c r="F5447" s="42" t="s">
        <v>2546</v>
      </c>
      <c r="G5447" s="42" t="s">
        <v>1690</v>
      </c>
      <c r="H5447" s="42" t="s">
        <v>289</v>
      </c>
      <c r="I5447" s="42">
        <v>1</v>
      </c>
      <c r="J5447" s="43">
        <v>400</v>
      </c>
      <c r="K5447" s="43">
        <v>0</v>
      </c>
      <c r="L5447" s="44">
        <v>0</v>
      </c>
      <c r="M5447" s="42"/>
      <c r="N5447" s="42"/>
      <c r="O5447" s="44"/>
      <c r="P5447" s="44"/>
      <c r="Q5447" s="43">
        <v>400</v>
      </c>
      <c r="R5447" s="43">
        <v>0</v>
      </c>
      <c r="S5447" s="5">
        <f t="shared" si="343"/>
        <v>75615.062167016105</v>
      </c>
      <c r="T5447" cm="1">
        <f t="array" ref="T5447">IF(OR(B5447="MAL ALIMI", B5447="ÜRETİM GİRİŞ"), MIN(I5447, MAX(0, I5447 + SUM(SUMIFS($I$1:I5446, $C$1:C5446, C5447, $B$1:B5446, {"MAL ALIMI","ÜRETİM GİRİŞ"})) - VLOOKUP(C5447, 'STOK RAPORU'!$C$2:$I$1000, 4, 0))), 0)</f>
        <v>0</v>
      </c>
      <c r="U5447" s="22">
        <f t="shared" si="340"/>
        <v>0</v>
      </c>
      <c r="V5447">
        <f t="shared" si="341"/>
        <v>0</v>
      </c>
      <c r="W5447" s="22">
        <f t="shared" si="342"/>
        <v>0</v>
      </c>
    </row>
    <row r="5448" spans="1:23" hidden="1" x14ac:dyDescent="0.25">
      <c r="A5448" s="3">
        <v>46093</v>
      </c>
      <c r="B5448" s="4" t="s">
        <v>334</v>
      </c>
      <c r="C5448" s="4" t="s">
        <v>2129</v>
      </c>
      <c r="D5448" s="4"/>
      <c r="E5448" s="4"/>
      <c r="F5448" s="46" t="s">
        <v>2547</v>
      </c>
      <c r="G5448" s="4" t="s">
        <v>336</v>
      </c>
      <c r="H5448" s="4" t="s">
        <v>289</v>
      </c>
      <c r="I5448" s="4">
        <v>0.5</v>
      </c>
      <c r="J5448" s="21">
        <v>420</v>
      </c>
      <c r="K5448" s="21">
        <v>0</v>
      </c>
      <c r="L5448" s="5">
        <v>0</v>
      </c>
      <c r="M5448" s="4"/>
      <c r="N5448" s="4"/>
      <c r="O5448" s="5"/>
      <c r="P5448" s="5"/>
      <c r="Q5448" s="21">
        <v>210</v>
      </c>
      <c r="R5448" s="21">
        <v>0</v>
      </c>
      <c r="S5448" s="5">
        <f t="shared" si="343"/>
        <v>75825.062167016105</v>
      </c>
      <c r="T5448" cm="1">
        <f t="array" ref="T5448">IF(OR(B5448="MAL ALIMI", B5448="ÜRETİM GİRİŞ"), MIN(I5448, MAX(0, I5448 + SUM(SUMIFS($I$1:I5447, $C$1:C5447, C5448, $B$1:B5447, {"MAL ALIMI","ÜRETİM GİRİŞ"})) - VLOOKUP(C5448, 'STOK RAPORU'!$C$2:$I$1000, 4, 0))), 0)</f>
        <v>0</v>
      </c>
      <c r="U5448" s="22">
        <f t="shared" si="340"/>
        <v>0</v>
      </c>
      <c r="V5448">
        <f t="shared" si="341"/>
        <v>0</v>
      </c>
      <c r="W5448" s="22">
        <f t="shared" si="342"/>
        <v>0</v>
      </c>
    </row>
    <row r="5449" spans="1:23" hidden="1" x14ac:dyDescent="0.25">
      <c r="A5449" s="3">
        <v>46093</v>
      </c>
      <c r="B5449" s="4" t="s">
        <v>334</v>
      </c>
      <c r="C5449" s="4" t="s">
        <v>1041</v>
      </c>
      <c r="D5449" s="4"/>
      <c r="E5449" s="4"/>
      <c r="F5449" s="46" t="s">
        <v>2548</v>
      </c>
      <c r="G5449" s="4" t="s">
        <v>336</v>
      </c>
      <c r="H5449" s="4" t="s">
        <v>289</v>
      </c>
      <c r="I5449" s="4">
        <v>0.5</v>
      </c>
      <c r="J5449" s="21">
        <v>250</v>
      </c>
      <c r="K5449" s="21">
        <v>0</v>
      </c>
      <c r="L5449" s="5">
        <v>0</v>
      </c>
      <c r="M5449" s="4"/>
      <c r="N5449" s="4"/>
      <c r="O5449" s="5"/>
      <c r="P5449" s="5"/>
      <c r="Q5449" s="21">
        <v>125</v>
      </c>
      <c r="R5449" s="21">
        <v>0</v>
      </c>
      <c r="S5449" s="5">
        <f t="shared" si="343"/>
        <v>75950.062167016105</v>
      </c>
      <c r="T5449" cm="1">
        <f t="array" ref="T5449">IF(OR(B5449="MAL ALIMI", B5449="ÜRETİM GİRİŞ"), MIN(I5449, MAX(0, I5449 + SUM(SUMIFS($I$1:I5448, $C$1:C5448, C5449, $B$1:B5448, {"MAL ALIMI","ÜRETİM GİRİŞ"})) - VLOOKUP(C5449, 'STOK RAPORU'!$C$2:$I$1000, 4, 0))), 0)</f>
        <v>0</v>
      </c>
      <c r="U5449" s="22">
        <f t="shared" si="340"/>
        <v>0</v>
      </c>
      <c r="V5449">
        <f t="shared" si="341"/>
        <v>0</v>
      </c>
      <c r="W5449" s="22">
        <f t="shared" si="342"/>
        <v>0</v>
      </c>
    </row>
    <row r="5450" spans="1:23" hidden="1" x14ac:dyDescent="0.25">
      <c r="A5450" s="3">
        <v>46093</v>
      </c>
      <c r="B5450" s="4" t="s">
        <v>334</v>
      </c>
      <c r="C5450" s="4" t="s">
        <v>463</v>
      </c>
      <c r="D5450" s="4"/>
      <c r="E5450" s="4"/>
      <c r="F5450" s="46" t="s">
        <v>2549</v>
      </c>
      <c r="G5450" s="4" t="s">
        <v>336</v>
      </c>
      <c r="H5450" s="4" t="s">
        <v>289</v>
      </c>
      <c r="I5450" s="4">
        <v>7.4999999999999997E-2</v>
      </c>
      <c r="J5450" s="21">
        <v>400</v>
      </c>
      <c r="K5450" s="21">
        <v>0</v>
      </c>
      <c r="L5450" s="5">
        <v>0</v>
      </c>
      <c r="M5450" s="4"/>
      <c r="N5450" s="4"/>
      <c r="O5450" s="5"/>
      <c r="P5450" s="5"/>
      <c r="Q5450" s="21">
        <v>30</v>
      </c>
      <c r="R5450" s="21">
        <v>0</v>
      </c>
      <c r="S5450" s="5">
        <f t="shared" si="343"/>
        <v>75980.062167016105</v>
      </c>
      <c r="T5450" cm="1">
        <f t="array" ref="T5450">IF(OR(B5450="MAL ALIMI", B5450="ÜRETİM GİRİŞ"), MIN(I5450, MAX(0, I5450 + SUM(SUMIFS($I$1:I5449, $C$1:C5449, C5450, $B$1:B5449, {"MAL ALIMI","ÜRETİM GİRİŞ"})) - VLOOKUP(C5450, 'STOK RAPORU'!$C$2:$I$1000, 4, 0))), 0)</f>
        <v>0</v>
      </c>
      <c r="U5450" s="22">
        <f t="shared" si="340"/>
        <v>0</v>
      </c>
      <c r="V5450">
        <f t="shared" si="341"/>
        <v>0</v>
      </c>
      <c r="W5450" s="22">
        <f t="shared" si="342"/>
        <v>0</v>
      </c>
    </row>
    <row r="5451" spans="1:23" hidden="1" x14ac:dyDescent="0.25">
      <c r="A5451" s="3">
        <v>46093</v>
      </c>
      <c r="B5451" s="4" t="s">
        <v>334</v>
      </c>
      <c r="C5451" s="4" t="s">
        <v>634</v>
      </c>
      <c r="D5451" s="4"/>
      <c r="E5451" s="4" t="s">
        <v>921</v>
      </c>
      <c r="F5451" s="46" t="s">
        <v>2550</v>
      </c>
      <c r="G5451" s="4" t="s">
        <v>336</v>
      </c>
      <c r="H5451" s="4" t="s">
        <v>380</v>
      </c>
      <c r="I5451" s="4">
        <v>0.504</v>
      </c>
      <c r="J5451" s="21">
        <v>850</v>
      </c>
      <c r="K5451" s="21">
        <v>428.4</v>
      </c>
      <c r="L5451" s="5">
        <v>0</v>
      </c>
      <c r="M5451" s="4"/>
      <c r="N5451" s="4"/>
      <c r="O5451" s="5"/>
      <c r="P5451" s="5"/>
      <c r="Q5451" s="21">
        <v>0</v>
      </c>
      <c r="R5451" s="21">
        <v>0</v>
      </c>
      <c r="S5451" s="5">
        <f t="shared" si="343"/>
        <v>75980.062167016105</v>
      </c>
      <c r="T5451" cm="1">
        <f t="array" ref="T5451">IF(OR(B5451="MAL ALIMI", B5451="ÜRETİM GİRİŞ"), MIN(I5451, MAX(0, I5451 + SUM(SUMIFS($I$1:I5450, $C$1:C5450, C5451, $B$1:B5450, {"MAL ALIMI","ÜRETİM GİRİŞ"})) - VLOOKUP(C5451, 'STOK RAPORU'!$C$2:$I$1000, 4, 0))), 0)</f>
        <v>0</v>
      </c>
      <c r="U5451" s="22">
        <f t="shared" si="340"/>
        <v>0</v>
      </c>
      <c r="V5451">
        <f t="shared" si="341"/>
        <v>0</v>
      </c>
      <c r="W5451" s="22">
        <f t="shared" si="342"/>
        <v>0</v>
      </c>
    </row>
    <row r="5452" spans="1:23" hidden="1" x14ac:dyDescent="0.25">
      <c r="A5452" s="3">
        <v>46093</v>
      </c>
      <c r="B5452" s="4" t="s">
        <v>285</v>
      </c>
      <c r="C5452" s="4"/>
      <c r="D5452" s="4" t="s">
        <v>673</v>
      </c>
      <c r="E5452" s="4"/>
      <c r="F5452" s="4"/>
      <c r="G5452" s="4" t="s">
        <v>2638</v>
      </c>
      <c r="H5452" s="4" t="s">
        <v>289</v>
      </c>
      <c r="I5452" s="4">
        <v>1</v>
      </c>
      <c r="J5452" s="21">
        <v>7676.95</v>
      </c>
      <c r="K5452" s="21">
        <v>0</v>
      </c>
      <c r="L5452" s="5">
        <v>0</v>
      </c>
      <c r="M5452" s="4"/>
      <c r="N5452" s="4"/>
      <c r="O5452" s="5"/>
      <c r="P5452" s="5"/>
      <c r="Q5452" s="21">
        <v>0</v>
      </c>
      <c r="R5452" s="21">
        <v>7676.95</v>
      </c>
      <c r="S5452" s="5">
        <f t="shared" si="343"/>
        <v>68303.112167016108</v>
      </c>
      <c r="T5452" cm="1">
        <f t="array" ref="T5452">IF(OR(B5452="MAL ALIMI", B5452="ÜRETİM GİRİŞ"), MIN(I5452, MAX(0, I5452 + SUM(SUMIFS($I$1:I5451, $C$1:C5451, C5452, $B$1:B5451, {"MAL ALIMI","ÜRETİM GİRİŞ"})) - VLOOKUP(C5452, 'STOK RAPORU'!$C$2:$I$1000, 4, 0))), 0)</f>
        <v>0</v>
      </c>
      <c r="U5452" s="22">
        <f t="shared" si="340"/>
        <v>0</v>
      </c>
      <c r="V5452">
        <f t="shared" si="341"/>
        <v>0</v>
      </c>
      <c r="W5452" s="22">
        <f t="shared" si="342"/>
        <v>0</v>
      </c>
    </row>
    <row r="5453" spans="1:23" hidden="1" x14ac:dyDescent="0.25">
      <c r="A5453" s="3">
        <v>46094</v>
      </c>
      <c r="B5453" s="4" t="s">
        <v>298</v>
      </c>
      <c r="C5453" s="4" t="s">
        <v>2120</v>
      </c>
      <c r="D5453" s="4"/>
      <c r="E5453" s="4" t="s">
        <v>350</v>
      </c>
      <c r="F5453" s="4">
        <v>1000206</v>
      </c>
      <c r="G5453" s="4" t="s">
        <v>350</v>
      </c>
      <c r="H5453" s="4" t="s">
        <v>304</v>
      </c>
      <c r="I5453" s="4">
        <v>25</v>
      </c>
      <c r="J5453" s="21">
        <v>31</v>
      </c>
      <c r="K5453" s="21">
        <v>0</v>
      </c>
      <c r="L5453" s="5">
        <v>775</v>
      </c>
      <c r="M5453" s="4"/>
      <c r="N5453" s="4"/>
      <c r="O5453" s="5"/>
      <c r="P5453" s="5"/>
      <c r="Q5453" s="21">
        <v>0</v>
      </c>
      <c r="R5453" s="21">
        <v>0</v>
      </c>
      <c r="S5453" s="5">
        <f t="shared" si="343"/>
        <v>68303.112167016108</v>
      </c>
      <c r="T5453" cm="1">
        <f t="array" ref="T5453">IF(OR(B5453="MAL ALIMI", B5453="ÜRETİM GİRİŞ"), MIN(I5453, MAX(0, I5453 + SUM(SUMIFS($I$1:I5452, $C$1:C5452, C5453, $B$1:B5452, {"MAL ALIMI","ÜRETİM GİRİŞ"})) - VLOOKUP(C5453, 'STOK RAPORU'!$C$2:$I$1000, 4, 0))), 0)</f>
        <v>5.9030769230769238</v>
      </c>
      <c r="U5453" s="22">
        <f t="shared" si="340"/>
        <v>182.99538461538464</v>
      </c>
      <c r="V5453">
        <f t="shared" si="341"/>
        <v>775</v>
      </c>
      <c r="W5453" s="22">
        <f t="shared" si="342"/>
        <v>592.00461538461536</v>
      </c>
    </row>
    <row r="5454" spans="1:23" hidden="1" x14ac:dyDescent="0.25">
      <c r="A5454" s="3">
        <v>46094</v>
      </c>
      <c r="B5454" s="4" t="s">
        <v>298</v>
      </c>
      <c r="C5454" s="4" t="s">
        <v>200</v>
      </c>
      <c r="D5454" s="4"/>
      <c r="E5454" s="4" t="s">
        <v>350</v>
      </c>
      <c r="F5454" s="4">
        <v>1000206</v>
      </c>
      <c r="G5454" s="4" t="s">
        <v>350</v>
      </c>
      <c r="H5454" s="4" t="s">
        <v>304</v>
      </c>
      <c r="I5454" s="4">
        <v>2</v>
      </c>
      <c r="J5454" s="21">
        <v>195</v>
      </c>
      <c r="K5454" s="21">
        <v>0</v>
      </c>
      <c r="L5454" s="5">
        <v>390</v>
      </c>
      <c r="M5454" s="4"/>
      <c r="N5454" s="4"/>
      <c r="O5454" s="5"/>
      <c r="P5454" s="5"/>
      <c r="Q5454" s="21">
        <v>0</v>
      </c>
      <c r="R5454" s="21">
        <v>0</v>
      </c>
      <c r="S5454" s="5">
        <f t="shared" si="343"/>
        <v>68303.112167016108</v>
      </c>
      <c r="T5454" cm="1">
        <f t="array" ref="T5454">IF(OR(B5454="MAL ALIMI", B5454="ÜRETİM GİRİŞ"), MIN(I5454, MAX(0, I5454 + SUM(SUMIFS($I$1:I5453, $C$1:C5453, C5454, $B$1:B5453, {"MAL ALIMI","ÜRETİM GİRİŞ"})) - VLOOKUP(C5454, 'STOK RAPORU'!$C$2:$I$1000, 4, 0))), 0)</f>
        <v>0</v>
      </c>
      <c r="U5454" s="22">
        <f t="shared" si="340"/>
        <v>0</v>
      </c>
      <c r="V5454">
        <f t="shared" si="341"/>
        <v>390</v>
      </c>
      <c r="W5454" s="22">
        <f t="shared" si="342"/>
        <v>390</v>
      </c>
    </row>
    <row r="5455" spans="1:23" hidden="1" x14ac:dyDescent="0.25">
      <c r="A5455" s="3">
        <v>46094</v>
      </c>
      <c r="B5455" s="4" t="s">
        <v>298</v>
      </c>
      <c r="C5455" s="4" t="s">
        <v>202</v>
      </c>
      <c r="D5455" s="4"/>
      <c r="E5455" s="4" t="s">
        <v>350</v>
      </c>
      <c r="F5455" s="4">
        <v>1000206</v>
      </c>
      <c r="G5455" s="4" t="s">
        <v>350</v>
      </c>
      <c r="H5455" s="4" t="s">
        <v>304</v>
      </c>
      <c r="I5455" s="4">
        <v>25</v>
      </c>
      <c r="J5455" s="21">
        <v>19</v>
      </c>
      <c r="K5455" s="21">
        <v>0</v>
      </c>
      <c r="L5455" s="5">
        <v>475</v>
      </c>
      <c r="M5455" s="4"/>
      <c r="N5455" s="4"/>
      <c r="O5455" s="5"/>
      <c r="P5455" s="5"/>
      <c r="Q5455" s="21">
        <v>0</v>
      </c>
      <c r="R5455" s="21">
        <v>0</v>
      </c>
      <c r="S5455" s="5">
        <f t="shared" si="343"/>
        <v>68303.112167016108</v>
      </c>
      <c r="T5455" cm="1">
        <f t="array" ref="T5455">IF(OR(B5455="MAL ALIMI", B5455="ÜRETİM GİRİŞ"), MIN(I5455, MAX(0, I5455 + SUM(SUMIFS($I$1:I5454, $C$1:C5454, C5455, $B$1:B5454, {"MAL ALIMI","ÜRETİM GİRİŞ"})) - VLOOKUP(C5455, 'STOK RAPORU'!$C$2:$I$1000, 4, 0))), 0)</f>
        <v>18.75</v>
      </c>
      <c r="U5455" s="22">
        <f t="shared" si="340"/>
        <v>356.25</v>
      </c>
      <c r="V5455">
        <f t="shared" si="341"/>
        <v>475</v>
      </c>
      <c r="W5455" s="22">
        <f t="shared" si="342"/>
        <v>118.75</v>
      </c>
    </row>
    <row r="5456" spans="1:23" hidden="1" x14ac:dyDescent="0.25">
      <c r="A5456" s="3">
        <v>46094</v>
      </c>
      <c r="B5456" s="4" t="s">
        <v>298</v>
      </c>
      <c r="C5456" s="4" t="s">
        <v>205</v>
      </c>
      <c r="D5456" s="4"/>
      <c r="E5456" s="4" t="s">
        <v>350</v>
      </c>
      <c r="F5456" s="4">
        <v>1000206</v>
      </c>
      <c r="G5456" s="4" t="s">
        <v>350</v>
      </c>
      <c r="H5456" s="4" t="s">
        <v>304</v>
      </c>
      <c r="I5456" s="4">
        <v>3</v>
      </c>
      <c r="J5456" s="21">
        <v>205</v>
      </c>
      <c r="K5456" s="21">
        <v>0</v>
      </c>
      <c r="L5456" s="5">
        <v>615</v>
      </c>
      <c r="M5456" s="4"/>
      <c r="N5456" s="4"/>
      <c r="O5456" s="5"/>
      <c r="P5456" s="5"/>
      <c r="Q5456" s="21">
        <v>0</v>
      </c>
      <c r="R5456" s="21">
        <v>0</v>
      </c>
      <c r="S5456" s="5">
        <f t="shared" si="343"/>
        <v>68303.112167016108</v>
      </c>
      <c r="T5456" cm="1">
        <f t="array" ref="T5456">IF(OR(B5456="MAL ALIMI", B5456="ÜRETİM GİRİŞ"), MIN(I5456, MAX(0, I5456 + SUM(SUMIFS($I$1:I5455, $C$1:C5455, C5456, $B$1:B5455, {"MAL ALIMI","ÜRETİM GİRİŞ"})) - VLOOKUP(C5456, 'STOK RAPORU'!$C$2:$I$1000, 4, 0))), 0)</f>
        <v>2</v>
      </c>
      <c r="U5456" s="22">
        <f t="shared" si="340"/>
        <v>410</v>
      </c>
      <c r="V5456">
        <f t="shared" si="341"/>
        <v>615</v>
      </c>
      <c r="W5456" s="22">
        <f t="shared" si="342"/>
        <v>205</v>
      </c>
    </row>
    <row r="5457" spans="1:23" hidden="1" x14ac:dyDescent="0.25">
      <c r="A5457" s="3">
        <v>46094</v>
      </c>
      <c r="B5457" s="4" t="s">
        <v>298</v>
      </c>
      <c r="C5457" s="4" t="s">
        <v>206</v>
      </c>
      <c r="D5457" s="4"/>
      <c r="E5457" s="4" t="s">
        <v>350</v>
      </c>
      <c r="F5457" s="4">
        <v>1000206</v>
      </c>
      <c r="G5457" s="4" t="s">
        <v>350</v>
      </c>
      <c r="H5457" s="4" t="s">
        <v>304</v>
      </c>
      <c r="I5457" s="4">
        <v>3</v>
      </c>
      <c r="J5457" s="21">
        <v>185</v>
      </c>
      <c r="K5457" s="21">
        <v>0</v>
      </c>
      <c r="L5457" s="5">
        <v>555</v>
      </c>
      <c r="M5457" s="4"/>
      <c r="N5457" s="4"/>
      <c r="O5457" s="5"/>
      <c r="P5457" s="5"/>
      <c r="Q5457" s="21">
        <v>0</v>
      </c>
      <c r="R5457" s="21">
        <v>0</v>
      </c>
      <c r="S5457" s="5">
        <f t="shared" si="343"/>
        <v>68303.112167016108</v>
      </c>
      <c r="T5457" cm="1">
        <f t="array" ref="T5457">IF(OR(B5457="MAL ALIMI", B5457="ÜRETİM GİRİŞ"), MIN(I5457, MAX(0, I5457 + SUM(SUMIFS($I$1:I5456, $C$1:C5456, C5457, $B$1:B5456, {"MAL ALIMI","ÜRETİM GİRİŞ"})) - VLOOKUP(C5457, 'STOK RAPORU'!$C$2:$I$1000, 4, 0))), 0)</f>
        <v>1</v>
      </c>
      <c r="U5457" s="22">
        <f t="shared" si="340"/>
        <v>185</v>
      </c>
      <c r="V5457">
        <f t="shared" si="341"/>
        <v>555</v>
      </c>
      <c r="W5457" s="22">
        <f t="shared" si="342"/>
        <v>370</v>
      </c>
    </row>
    <row r="5458" spans="1:23" hidden="1" x14ac:dyDescent="0.25">
      <c r="A5458" s="3">
        <v>46094</v>
      </c>
      <c r="B5458" s="4" t="s">
        <v>298</v>
      </c>
      <c r="C5458" s="4" t="s">
        <v>2121</v>
      </c>
      <c r="D5458" s="4"/>
      <c r="E5458" s="4" t="s">
        <v>350</v>
      </c>
      <c r="F5458" s="4">
        <v>1000206</v>
      </c>
      <c r="G5458" s="4" t="s">
        <v>350</v>
      </c>
      <c r="H5458" s="4" t="s">
        <v>304</v>
      </c>
      <c r="I5458" s="4">
        <v>15.2</v>
      </c>
      <c r="J5458" s="21">
        <v>32</v>
      </c>
      <c r="K5458" s="21">
        <v>0</v>
      </c>
      <c r="L5458" s="5">
        <v>486.4</v>
      </c>
      <c r="M5458" s="4"/>
      <c r="N5458" s="4"/>
      <c r="O5458" s="5"/>
      <c r="P5458" s="5"/>
      <c r="Q5458" s="21">
        <v>0</v>
      </c>
      <c r="R5458" s="21">
        <v>0</v>
      </c>
      <c r="S5458" s="5">
        <f t="shared" si="343"/>
        <v>68303.112167016108</v>
      </c>
      <c r="T5458" cm="1">
        <f t="array" ref="T5458">IF(OR(B5458="MAL ALIMI", B5458="ÜRETİM GİRİŞ"), MIN(I5458, MAX(0, I5458 + SUM(SUMIFS($I$1:I5457, $C$1:C5457, C5458, $B$1:B5457, {"MAL ALIMI","ÜRETİM GİRİŞ"})) - VLOOKUP(C5458, 'STOK RAPORU'!$C$2:$I$1000, 4, 0))), 0)</f>
        <v>15.2</v>
      </c>
      <c r="U5458" s="22">
        <f t="shared" si="340"/>
        <v>486.4</v>
      </c>
      <c r="V5458">
        <f t="shared" si="341"/>
        <v>486.4</v>
      </c>
      <c r="W5458" s="22">
        <f t="shared" si="342"/>
        <v>0</v>
      </c>
    </row>
    <row r="5459" spans="1:23" hidden="1" x14ac:dyDescent="0.25">
      <c r="A5459" s="3">
        <v>46094</v>
      </c>
      <c r="B5459" s="4" t="s">
        <v>298</v>
      </c>
      <c r="C5459" s="4" t="s">
        <v>1897</v>
      </c>
      <c r="D5459" s="4"/>
      <c r="E5459" s="4" t="s">
        <v>350</v>
      </c>
      <c r="F5459" s="4">
        <v>1000206</v>
      </c>
      <c r="G5459" s="4" t="s">
        <v>350</v>
      </c>
      <c r="H5459" s="4" t="s">
        <v>304</v>
      </c>
      <c r="I5459" s="4">
        <v>10</v>
      </c>
      <c r="J5459" s="21">
        <v>230</v>
      </c>
      <c r="K5459" s="21">
        <v>0</v>
      </c>
      <c r="L5459" s="5">
        <v>2300</v>
      </c>
      <c r="M5459" s="4"/>
      <c r="N5459" s="4"/>
      <c r="O5459" s="5"/>
      <c r="P5459" s="5"/>
      <c r="Q5459" s="21">
        <v>0</v>
      </c>
      <c r="R5459" s="21">
        <v>0</v>
      </c>
      <c r="S5459" s="5">
        <f t="shared" si="343"/>
        <v>68303.112167016108</v>
      </c>
      <c r="T5459" cm="1">
        <f t="array" ref="T5459">IF(OR(B5459="MAL ALIMI", B5459="ÜRETİM GİRİŞ"), MIN(I5459, MAX(0, I5459 + SUM(SUMIFS($I$1:I5458, $C$1:C5458, C5459, $B$1:B5458, {"MAL ALIMI","ÜRETİM GİRİŞ"})) - VLOOKUP(C5459, 'STOK RAPORU'!$C$2:$I$1000, 4, 0))), 0)</f>
        <v>0</v>
      </c>
      <c r="U5459" s="22">
        <f t="shared" si="340"/>
        <v>0</v>
      </c>
      <c r="V5459">
        <f t="shared" si="341"/>
        <v>2300</v>
      </c>
      <c r="W5459" s="22">
        <f t="shared" si="342"/>
        <v>2300</v>
      </c>
    </row>
    <row r="5460" spans="1:23" hidden="1" x14ac:dyDescent="0.25">
      <c r="A5460" s="3">
        <v>46094</v>
      </c>
      <c r="B5460" s="4" t="s">
        <v>334</v>
      </c>
      <c r="C5460" s="4" t="s">
        <v>728</v>
      </c>
      <c r="D5460" s="4"/>
      <c r="E5460" s="4" t="s">
        <v>921</v>
      </c>
      <c r="F5460" s="46" t="s">
        <v>2551</v>
      </c>
      <c r="G5460" s="4" t="s">
        <v>336</v>
      </c>
      <c r="H5460" s="4" t="s">
        <v>380</v>
      </c>
      <c r="I5460" s="4">
        <v>0.28985507246376813</v>
      </c>
      <c r="J5460" s="21">
        <v>690</v>
      </c>
      <c r="K5460" s="21">
        <v>200</v>
      </c>
      <c r="L5460" s="5">
        <v>0</v>
      </c>
      <c r="M5460" s="4"/>
      <c r="N5460" s="4"/>
      <c r="O5460" s="5"/>
      <c r="P5460" s="5"/>
      <c r="Q5460" s="21">
        <v>0</v>
      </c>
      <c r="R5460" s="21">
        <v>0</v>
      </c>
      <c r="S5460" s="5">
        <f t="shared" si="343"/>
        <v>68303.112167016108</v>
      </c>
      <c r="T5460" cm="1">
        <f t="array" ref="T5460">IF(OR(B5460="MAL ALIMI", B5460="ÜRETİM GİRİŞ"), MIN(I5460, MAX(0, I5460 + SUM(SUMIFS($I$1:I5459, $C$1:C5459, C5460, $B$1:B5459, {"MAL ALIMI","ÜRETİM GİRİŞ"})) - VLOOKUP(C5460, 'STOK RAPORU'!$C$2:$I$1000, 4, 0))), 0)</f>
        <v>0</v>
      </c>
      <c r="U5460" s="22">
        <f t="shared" si="340"/>
        <v>0</v>
      </c>
      <c r="V5460">
        <f t="shared" si="341"/>
        <v>0</v>
      </c>
      <c r="W5460" s="22">
        <f t="shared" si="342"/>
        <v>0</v>
      </c>
    </row>
    <row r="5461" spans="1:23" hidden="1" x14ac:dyDescent="0.25">
      <c r="A5461" s="3">
        <v>46094</v>
      </c>
      <c r="B5461" s="4" t="s">
        <v>334</v>
      </c>
      <c r="C5461" s="4" t="s">
        <v>1366</v>
      </c>
      <c r="D5461" s="4"/>
      <c r="E5461" s="4"/>
      <c r="F5461" s="46" t="s">
        <v>2552</v>
      </c>
      <c r="G5461" s="4" t="s">
        <v>336</v>
      </c>
      <c r="H5461" s="4" t="s">
        <v>289</v>
      </c>
      <c r="I5461" s="4">
        <v>1</v>
      </c>
      <c r="J5461" s="21">
        <v>195</v>
      </c>
      <c r="K5461" s="21">
        <v>0</v>
      </c>
      <c r="L5461" s="5">
        <v>0</v>
      </c>
      <c r="M5461" s="4"/>
      <c r="N5461" s="4"/>
      <c r="O5461" s="5"/>
      <c r="P5461" s="5"/>
      <c r="Q5461" s="21">
        <v>195</v>
      </c>
      <c r="R5461" s="21">
        <v>0</v>
      </c>
      <c r="S5461" s="5">
        <f t="shared" si="343"/>
        <v>68498.112167016108</v>
      </c>
      <c r="T5461" cm="1">
        <f t="array" ref="T5461">IF(OR(B5461="MAL ALIMI", B5461="ÜRETİM GİRİŞ"), MIN(I5461, MAX(0, I5461 + SUM(SUMIFS($I$1:I5460, $C$1:C5460, C5461, $B$1:B5460, {"MAL ALIMI","ÜRETİM GİRİŞ"})) - VLOOKUP(C5461, 'STOK RAPORU'!$C$2:$I$1000, 4, 0))), 0)</f>
        <v>0</v>
      </c>
      <c r="U5461" s="22">
        <f t="shared" si="340"/>
        <v>0</v>
      </c>
      <c r="V5461">
        <f t="shared" si="341"/>
        <v>0</v>
      </c>
      <c r="W5461" s="22">
        <f t="shared" si="342"/>
        <v>0</v>
      </c>
    </row>
    <row r="5462" spans="1:23" hidden="1" x14ac:dyDescent="0.25">
      <c r="A5462" s="3">
        <v>46094</v>
      </c>
      <c r="B5462" s="4" t="s">
        <v>334</v>
      </c>
      <c r="C5462" s="4" t="s">
        <v>200</v>
      </c>
      <c r="D5462" s="4"/>
      <c r="E5462" s="4" t="s">
        <v>921</v>
      </c>
      <c r="F5462" s="46" t="s">
        <v>2553</v>
      </c>
      <c r="G5462" s="4" t="s">
        <v>336</v>
      </c>
      <c r="H5462" s="4" t="s">
        <v>380</v>
      </c>
      <c r="I5462" s="4">
        <v>0.25</v>
      </c>
      <c r="J5462" s="21">
        <v>360</v>
      </c>
      <c r="K5462" s="21">
        <v>90</v>
      </c>
      <c r="L5462" s="5">
        <v>0</v>
      </c>
      <c r="M5462" s="4"/>
      <c r="N5462" s="4"/>
      <c r="O5462" s="5"/>
      <c r="P5462" s="5"/>
      <c r="Q5462" s="21">
        <v>0</v>
      </c>
      <c r="R5462" s="21">
        <v>0</v>
      </c>
      <c r="S5462" s="5">
        <f t="shared" si="343"/>
        <v>68498.112167016108</v>
      </c>
      <c r="T5462" cm="1">
        <f t="array" ref="T5462">IF(OR(B5462="MAL ALIMI", B5462="ÜRETİM GİRİŞ"), MIN(I5462, MAX(0, I5462 + SUM(SUMIFS($I$1:I5461, $C$1:C5461, C5462, $B$1:B5461, {"MAL ALIMI","ÜRETİM GİRİŞ"})) - VLOOKUP(C5462, 'STOK RAPORU'!$C$2:$I$1000, 4, 0))), 0)</f>
        <v>0</v>
      </c>
      <c r="U5462" s="22">
        <f t="shared" si="340"/>
        <v>0</v>
      </c>
      <c r="V5462">
        <f t="shared" si="341"/>
        <v>0</v>
      </c>
      <c r="W5462" s="22">
        <f t="shared" si="342"/>
        <v>0</v>
      </c>
    </row>
    <row r="5463" spans="1:23" hidden="1" x14ac:dyDescent="0.25">
      <c r="A5463" s="3">
        <v>46094</v>
      </c>
      <c r="B5463" s="4" t="s">
        <v>334</v>
      </c>
      <c r="C5463" s="4" t="s">
        <v>1634</v>
      </c>
      <c r="D5463" s="4"/>
      <c r="E5463" s="4" t="s">
        <v>921</v>
      </c>
      <c r="F5463" s="46" t="s">
        <v>2554</v>
      </c>
      <c r="G5463" s="4" t="s">
        <v>336</v>
      </c>
      <c r="H5463" s="4" t="s">
        <v>380</v>
      </c>
      <c r="I5463" s="4">
        <v>1.2314285714285715</v>
      </c>
      <c r="J5463" s="21">
        <v>350</v>
      </c>
      <c r="K5463" s="21">
        <v>431.00000000000006</v>
      </c>
      <c r="L5463" s="5">
        <v>0</v>
      </c>
      <c r="M5463" s="4"/>
      <c r="N5463" s="4"/>
      <c r="O5463" s="5"/>
      <c r="P5463" s="5"/>
      <c r="Q5463" s="21">
        <v>0</v>
      </c>
      <c r="R5463" s="21">
        <v>0</v>
      </c>
      <c r="S5463" s="5">
        <f t="shared" si="343"/>
        <v>68498.112167016108</v>
      </c>
      <c r="T5463" cm="1">
        <f t="array" ref="T5463">IF(OR(B5463="MAL ALIMI", B5463="ÜRETİM GİRİŞ"), MIN(I5463, MAX(0, I5463 + SUM(SUMIFS($I$1:I5462, $C$1:C5462, C5463, $B$1:B5462, {"MAL ALIMI","ÜRETİM GİRİŞ"})) - VLOOKUP(C5463, 'STOK RAPORU'!$C$2:$I$1000, 4, 0))), 0)</f>
        <v>0</v>
      </c>
      <c r="U5463" s="22">
        <f t="shared" si="340"/>
        <v>0</v>
      </c>
      <c r="V5463">
        <f t="shared" si="341"/>
        <v>0</v>
      </c>
      <c r="W5463" s="22">
        <f t="shared" si="342"/>
        <v>0</v>
      </c>
    </row>
    <row r="5464" spans="1:23" hidden="1" x14ac:dyDescent="0.25">
      <c r="A5464" s="3">
        <v>46094</v>
      </c>
      <c r="B5464" s="4" t="s">
        <v>334</v>
      </c>
      <c r="C5464" s="4" t="s">
        <v>892</v>
      </c>
      <c r="D5464" s="4"/>
      <c r="E5464" s="4"/>
      <c r="F5464" s="46" t="s">
        <v>2555</v>
      </c>
      <c r="G5464" s="4" t="s">
        <v>336</v>
      </c>
      <c r="H5464" s="4" t="s">
        <v>289</v>
      </c>
      <c r="I5464" s="4">
        <v>0.5</v>
      </c>
      <c r="J5464" s="21">
        <v>60</v>
      </c>
      <c r="K5464" s="21">
        <v>0</v>
      </c>
      <c r="L5464" s="5">
        <v>0</v>
      </c>
      <c r="M5464" s="4"/>
      <c r="N5464" s="4"/>
      <c r="O5464" s="5"/>
      <c r="P5464" s="5"/>
      <c r="Q5464" s="21">
        <v>30</v>
      </c>
      <c r="R5464" s="21">
        <v>0</v>
      </c>
      <c r="S5464" s="5">
        <f t="shared" si="343"/>
        <v>68528.112167016108</v>
      </c>
      <c r="T5464" cm="1">
        <f t="array" ref="T5464">IF(OR(B5464="MAL ALIMI", B5464="ÜRETİM GİRİŞ"), MIN(I5464, MAX(0, I5464 + SUM(SUMIFS($I$1:I5463, $C$1:C5463, C5464, $B$1:B5463, {"MAL ALIMI","ÜRETİM GİRİŞ"})) - VLOOKUP(C5464, 'STOK RAPORU'!$C$2:$I$1000, 4, 0))), 0)</f>
        <v>0</v>
      </c>
      <c r="U5464" s="22">
        <f t="shared" si="340"/>
        <v>0</v>
      </c>
      <c r="V5464">
        <f t="shared" si="341"/>
        <v>0</v>
      </c>
      <c r="W5464" s="22">
        <f t="shared" si="342"/>
        <v>0</v>
      </c>
    </row>
    <row r="5465" spans="1:23" hidden="1" x14ac:dyDescent="0.25">
      <c r="A5465" s="3">
        <v>46094</v>
      </c>
      <c r="B5465" s="4" t="s">
        <v>334</v>
      </c>
      <c r="C5465" s="4" t="s">
        <v>161</v>
      </c>
      <c r="D5465" s="4"/>
      <c r="E5465" s="4"/>
      <c r="F5465" s="46" t="s">
        <v>2556</v>
      </c>
      <c r="G5465" s="4" t="s">
        <v>336</v>
      </c>
      <c r="H5465" s="4" t="s">
        <v>289</v>
      </c>
      <c r="I5465" s="4">
        <v>1</v>
      </c>
      <c r="J5465" s="21">
        <v>230</v>
      </c>
      <c r="K5465" s="21">
        <v>0</v>
      </c>
      <c r="L5465" s="5">
        <v>0</v>
      </c>
      <c r="M5465" s="4"/>
      <c r="N5465" s="4"/>
      <c r="O5465" s="5"/>
      <c r="P5465" s="5"/>
      <c r="Q5465" s="21">
        <v>230</v>
      </c>
      <c r="R5465" s="21">
        <v>0</v>
      </c>
      <c r="S5465" s="5">
        <f t="shared" si="343"/>
        <v>68758.112167016108</v>
      </c>
      <c r="T5465" cm="1">
        <f t="array" ref="T5465">IF(OR(B5465="MAL ALIMI", B5465="ÜRETİM GİRİŞ"), MIN(I5465, MAX(0, I5465 + SUM(SUMIFS($I$1:I5464, $C$1:C5464, C5465, $B$1:B5464, {"MAL ALIMI","ÜRETİM GİRİŞ"})) - VLOOKUP(C5465, 'STOK RAPORU'!$C$2:$I$1000, 4, 0))), 0)</f>
        <v>0</v>
      </c>
      <c r="U5465" s="22">
        <f t="shared" si="340"/>
        <v>0</v>
      </c>
      <c r="V5465">
        <f t="shared" si="341"/>
        <v>0</v>
      </c>
      <c r="W5465" s="22">
        <f t="shared" si="342"/>
        <v>0</v>
      </c>
    </row>
    <row r="5466" spans="1:23" hidden="1" x14ac:dyDescent="0.25">
      <c r="A5466" s="3">
        <v>46094</v>
      </c>
      <c r="B5466" s="4" t="s">
        <v>334</v>
      </c>
      <c r="C5466" s="4" t="s">
        <v>2086</v>
      </c>
      <c r="D5466" s="4"/>
      <c r="E5466" s="4"/>
      <c r="F5466" s="46" t="s">
        <v>2556</v>
      </c>
      <c r="G5466" s="4" t="s">
        <v>336</v>
      </c>
      <c r="H5466" s="4" t="s">
        <v>289</v>
      </c>
      <c r="I5466" s="4">
        <v>0.1</v>
      </c>
      <c r="J5466" s="21">
        <v>900</v>
      </c>
      <c r="K5466" s="21">
        <v>0</v>
      </c>
      <c r="L5466" s="5">
        <v>0</v>
      </c>
      <c r="M5466" s="4"/>
      <c r="N5466" s="4"/>
      <c r="O5466" s="5"/>
      <c r="P5466" s="5"/>
      <c r="Q5466" s="21">
        <v>90</v>
      </c>
      <c r="R5466" s="21">
        <v>0</v>
      </c>
      <c r="S5466" s="5">
        <f t="shared" si="343"/>
        <v>68848.112167016108</v>
      </c>
      <c r="T5466" cm="1">
        <f t="array" ref="T5466">IF(OR(B5466="MAL ALIMI", B5466="ÜRETİM GİRİŞ"), MIN(I5466, MAX(0, I5466 + SUM(SUMIFS($I$1:I5465, $C$1:C5465, C5466, $B$1:B5465, {"MAL ALIMI","ÜRETİM GİRİŞ"})) - VLOOKUP(C5466, 'STOK RAPORU'!$C$2:$I$1000, 4, 0))), 0)</f>
        <v>0</v>
      </c>
      <c r="U5466" s="22">
        <f t="shared" si="340"/>
        <v>0</v>
      </c>
      <c r="V5466">
        <f t="shared" si="341"/>
        <v>0</v>
      </c>
      <c r="W5466" s="22">
        <f t="shared" si="342"/>
        <v>0</v>
      </c>
    </row>
    <row r="5467" spans="1:23" hidden="1" x14ac:dyDescent="0.25">
      <c r="A5467" s="3">
        <v>46094</v>
      </c>
      <c r="B5467" s="4" t="s">
        <v>334</v>
      </c>
      <c r="C5467" s="4" t="s">
        <v>205</v>
      </c>
      <c r="D5467" s="4"/>
      <c r="E5467" s="4" t="s">
        <v>921</v>
      </c>
      <c r="F5467" s="46" t="s">
        <v>2557</v>
      </c>
      <c r="G5467" s="4" t="s">
        <v>336</v>
      </c>
      <c r="H5467" s="4" t="s">
        <v>380</v>
      </c>
      <c r="I5467" s="4">
        <v>1</v>
      </c>
      <c r="J5467" s="21">
        <v>290</v>
      </c>
      <c r="K5467" s="21">
        <v>290</v>
      </c>
      <c r="L5467" s="5">
        <v>0</v>
      </c>
      <c r="M5467" s="4"/>
      <c r="N5467" s="4"/>
      <c r="O5467" s="5"/>
      <c r="P5467" s="5"/>
      <c r="Q5467" s="21">
        <v>0</v>
      </c>
      <c r="R5467" s="21">
        <v>0</v>
      </c>
      <c r="S5467" s="5">
        <f t="shared" si="343"/>
        <v>68848.112167016108</v>
      </c>
      <c r="T5467" cm="1">
        <f t="array" ref="T5467">IF(OR(B5467="MAL ALIMI", B5467="ÜRETİM GİRİŞ"), MIN(I5467, MAX(0, I5467 + SUM(SUMIFS($I$1:I5466, $C$1:C5466, C5467, $B$1:B5466, {"MAL ALIMI","ÜRETİM GİRİŞ"})) - VLOOKUP(C5467, 'STOK RAPORU'!$C$2:$I$1000, 4, 0))), 0)</f>
        <v>0</v>
      </c>
      <c r="U5467" s="22">
        <f t="shared" si="340"/>
        <v>0</v>
      </c>
      <c r="V5467">
        <f t="shared" si="341"/>
        <v>0</v>
      </c>
      <c r="W5467" s="22">
        <f t="shared" si="342"/>
        <v>0</v>
      </c>
    </row>
    <row r="5468" spans="1:23" hidden="1" x14ac:dyDescent="0.25">
      <c r="A5468" s="3">
        <v>46094</v>
      </c>
      <c r="B5468" s="4" t="s">
        <v>334</v>
      </c>
      <c r="C5468" s="4" t="s">
        <v>2488</v>
      </c>
      <c r="D5468" s="4"/>
      <c r="E5468" s="4" t="s">
        <v>921</v>
      </c>
      <c r="F5468" s="46" t="s">
        <v>2558</v>
      </c>
      <c r="G5468" s="4" t="s">
        <v>336</v>
      </c>
      <c r="H5468" s="4" t="s">
        <v>380</v>
      </c>
      <c r="I5468" s="4">
        <v>0.1</v>
      </c>
      <c r="J5468" s="21">
        <v>500</v>
      </c>
      <c r="K5468" s="21">
        <v>50</v>
      </c>
      <c r="L5468" s="5">
        <v>0</v>
      </c>
      <c r="M5468" s="4"/>
      <c r="N5468" s="4"/>
      <c r="O5468" s="5"/>
      <c r="P5468" s="5"/>
      <c r="Q5468" s="21">
        <v>0</v>
      </c>
      <c r="R5468" s="21">
        <v>0</v>
      </c>
      <c r="S5468" s="5">
        <f t="shared" si="343"/>
        <v>68848.112167016108</v>
      </c>
      <c r="T5468" cm="1">
        <f t="array" ref="T5468">IF(OR(B5468="MAL ALIMI", B5468="ÜRETİM GİRİŞ"), MIN(I5468, MAX(0, I5468 + SUM(SUMIFS($I$1:I5467, $C$1:C5467, C5468, $B$1:B5467, {"MAL ALIMI","ÜRETİM GİRİŞ"})) - VLOOKUP(C5468, 'STOK RAPORU'!$C$2:$I$1000, 4, 0))), 0)</f>
        <v>0</v>
      </c>
      <c r="U5468" s="22">
        <f t="shared" si="340"/>
        <v>0</v>
      </c>
      <c r="V5468">
        <f t="shared" si="341"/>
        <v>0</v>
      </c>
      <c r="W5468" s="22">
        <f t="shared" si="342"/>
        <v>0</v>
      </c>
    </row>
    <row r="5469" spans="1:23" hidden="1" x14ac:dyDescent="0.25">
      <c r="A5469" s="3">
        <v>46094</v>
      </c>
      <c r="B5469" s="4" t="s">
        <v>334</v>
      </c>
      <c r="C5469" s="4" t="s">
        <v>60</v>
      </c>
      <c r="D5469" s="4"/>
      <c r="E5469" s="4" t="s">
        <v>921</v>
      </c>
      <c r="F5469" s="46" t="s">
        <v>2558</v>
      </c>
      <c r="G5469" s="4" t="s">
        <v>336</v>
      </c>
      <c r="H5469" s="4" t="s">
        <v>380</v>
      </c>
      <c r="I5469" s="4">
        <v>0.05</v>
      </c>
      <c r="J5469" s="21">
        <v>1200</v>
      </c>
      <c r="K5469" s="21">
        <v>60</v>
      </c>
      <c r="L5469" s="5">
        <v>0</v>
      </c>
      <c r="M5469" s="4"/>
      <c r="N5469" s="4"/>
      <c r="O5469" s="5"/>
      <c r="P5469" s="5"/>
      <c r="Q5469" s="21">
        <v>0</v>
      </c>
      <c r="R5469" s="21">
        <v>0</v>
      </c>
      <c r="S5469" s="5">
        <f t="shared" si="343"/>
        <v>68848.112167016108</v>
      </c>
      <c r="T5469" cm="1">
        <f t="array" ref="T5469">IF(OR(B5469="MAL ALIMI", B5469="ÜRETİM GİRİŞ"), MIN(I5469, MAX(0, I5469 + SUM(SUMIFS($I$1:I5468, $C$1:C5468, C5469, $B$1:B5468, {"MAL ALIMI","ÜRETİM GİRİŞ"})) - VLOOKUP(C5469, 'STOK RAPORU'!$C$2:$I$1000, 4, 0))), 0)</f>
        <v>0</v>
      </c>
      <c r="U5469" s="22">
        <f t="shared" si="340"/>
        <v>0</v>
      </c>
      <c r="V5469">
        <f t="shared" si="341"/>
        <v>0</v>
      </c>
      <c r="W5469" s="22">
        <f t="shared" si="342"/>
        <v>0</v>
      </c>
    </row>
    <row r="5470" spans="1:23" hidden="1" x14ac:dyDescent="0.25">
      <c r="A5470" s="3">
        <v>46094</v>
      </c>
      <c r="B5470" s="4" t="s">
        <v>334</v>
      </c>
      <c r="C5470" s="4" t="s">
        <v>463</v>
      </c>
      <c r="D5470" s="4"/>
      <c r="E5470" s="4" t="s">
        <v>921</v>
      </c>
      <c r="F5470" s="46" t="s">
        <v>2559</v>
      </c>
      <c r="G5470" s="4" t="s">
        <v>2561</v>
      </c>
      <c r="H5470" s="4" t="s">
        <v>380</v>
      </c>
      <c r="I5470" s="4">
        <v>2</v>
      </c>
      <c r="J5470" s="21">
        <v>255</v>
      </c>
      <c r="K5470" s="21">
        <v>510</v>
      </c>
      <c r="L5470" s="5">
        <v>0</v>
      </c>
      <c r="M5470" s="4"/>
      <c r="N5470" s="4"/>
      <c r="O5470" s="5"/>
      <c r="P5470" s="5"/>
      <c r="Q5470" s="21">
        <v>0</v>
      </c>
      <c r="R5470" s="21">
        <v>0</v>
      </c>
      <c r="S5470" s="5">
        <f t="shared" si="343"/>
        <v>68848.112167016108</v>
      </c>
      <c r="T5470" cm="1">
        <f t="array" ref="T5470">IF(OR(B5470="MAL ALIMI", B5470="ÜRETİM GİRİŞ"), MIN(I5470, MAX(0, I5470 + SUM(SUMIFS($I$1:I5469, $C$1:C5469, C5470, $B$1:B5469, {"MAL ALIMI","ÜRETİM GİRİŞ"})) - VLOOKUP(C5470, 'STOK RAPORU'!$C$2:$I$1000, 4, 0))), 0)</f>
        <v>0</v>
      </c>
      <c r="U5470" s="22">
        <f t="shared" si="340"/>
        <v>0</v>
      </c>
      <c r="V5470">
        <f t="shared" si="341"/>
        <v>0</v>
      </c>
      <c r="W5470" s="22">
        <f t="shared" si="342"/>
        <v>0</v>
      </c>
    </row>
    <row r="5471" spans="1:23" hidden="1" x14ac:dyDescent="0.25">
      <c r="A5471" s="3">
        <v>46094</v>
      </c>
      <c r="B5471" s="4" t="s">
        <v>334</v>
      </c>
      <c r="C5471" s="4" t="s">
        <v>96</v>
      </c>
      <c r="D5471" s="4"/>
      <c r="E5471" s="4" t="s">
        <v>921</v>
      </c>
      <c r="F5471" s="46" t="s">
        <v>2559</v>
      </c>
      <c r="G5471" s="4" t="s">
        <v>2561</v>
      </c>
      <c r="H5471" s="4" t="s">
        <v>380</v>
      </c>
      <c r="I5471" s="4">
        <v>1</v>
      </c>
      <c r="J5471" s="21">
        <v>250</v>
      </c>
      <c r="K5471" s="21">
        <v>250</v>
      </c>
      <c r="L5471" s="5">
        <v>0</v>
      </c>
      <c r="M5471" s="4"/>
      <c r="N5471" s="4"/>
      <c r="O5471" s="5"/>
      <c r="P5471" s="5"/>
      <c r="Q5471" s="21">
        <v>0</v>
      </c>
      <c r="R5471" s="21">
        <v>0</v>
      </c>
      <c r="S5471" s="5">
        <f t="shared" si="343"/>
        <v>68848.112167016108</v>
      </c>
      <c r="T5471" cm="1">
        <f t="array" ref="T5471">IF(OR(B5471="MAL ALIMI", B5471="ÜRETİM GİRİŞ"), MIN(I5471, MAX(0, I5471 + SUM(SUMIFS($I$1:I5470, $C$1:C5470, C5471, $B$1:B5470, {"MAL ALIMI","ÜRETİM GİRİŞ"})) - VLOOKUP(C5471, 'STOK RAPORU'!$C$2:$I$1000, 4, 0))), 0)</f>
        <v>0</v>
      </c>
      <c r="U5471" s="22">
        <f t="shared" si="340"/>
        <v>0</v>
      </c>
      <c r="V5471">
        <f t="shared" si="341"/>
        <v>0</v>
      </c>
      <c r="W5471" s="22">
        <f t="shared" si="342"/>
        <v>0</v>
      </c>
    </row>
    <row r="5472" spans="1:23" hidden="1" x14ac:dyDescent="0.25">
      <c r="A5472" s="3">
        <v>46094</v>
      </c>
      <c r="B5472" s="4" t="s">
        <v>334</v>
      </c>
      <c r="C5472" s="4" t="s">
        <v>133</v>
      </c>
      <c r="D5472" s="4"/>
      <c r="E5472" s="4" t="s">
        <v>921</v>
      </c>
      <c r="F5472" s="46" t="s">
        <v>2559</v>
      </c>
      <c r="G5472" s="4" t="s">
        <v>2561</v>
      </c>
      <c r="H5472" s="4" t="s">
        <v>380</v>
      </c>
      <c r="I5472" s="4">
        <v>1</v>
      </c>
      <c r="J5472" s="21">
        <v>240</v>
      </c>
      <c r="K5472" s="21">
        <v>240</v>
      </c>
      <c r="L5472" s="5">
        <v>0</v>
      </c>
      <c r="M5472" s="4"/>
      <c r="N5472" s="4"/>
      <c r="O5472" s="5"/>
      <c r="P5472" s="5"/>
      <c r="Q5472" s="21">
        <v>0</v>
      </c>
      <c r="R5472" s="21">
        <v>0</v>
      </c>
      <c r="S5472" s="5">
        <f t="shared" si="343"/>
        <v>68848.112167016108</v>
      </c>
      <c r="T5472" cm="1">
        <f t="array" ref="T5472">IF(OR(B5472="MAL ALIMI", B5472="ÜRETİM GİRİŞ"), MIN(I5472, MAX(0, I5472 + SUM(SUMIFS($I$1:I5471, $C$1:C5471, C5472, $B$1:B5471, {"MAL ALIMI","ÜRETİM GİRİŞ"})) - VLOOKUP(C5472, 'STOK RAPORU'!$C$2:$I$1000, 4, 0))), 0)</f>
        <v>0</v>
      </c>
      <c r="U5472" s="22">
        <f t="shared" si="340"/>
        <v>0</v>
      </c>
      <c r="V5472">
        <f t="shared" si="341"/>
        <v>0</v>
      </c>
      <c r="W5472" s="22">
        <f t="shared" si="342"/>
        <v>0</v>
      </c>
    </row>
    <row r="5473" spans="1:23" hidden="1" x14ac:dyDescent="0.25">
      <c r="A5473" s="3">
        <v>46094</v>
      </c>
      <c r="B5473" s="4" t="s">
        <v>334</v>
      </c>
      <c r="C5473" s="4" t="s">
        <v>523</v>
      </c>
      <c r="D5473" s="4"/>
      <c r="E5473" s="4" t="s">
        <v>921</v>
      </c>
      <c r="F5473" s="46" t="s">
        <v>2600</v>
      </c>
      <c r="G5473" s="4" t="s">
        <v>336</v>
      </c>
      <c r="H5473" s="4" t="s">
        <v>380</v>
      </c>
      <c r="I5473" s="4">
        <v>0.08</v>
      </c>
      <c r="J5473" s="21">
        <v>750</v>
      </c>
      <c r="K5473" s="21">
        <v>60</v>
      </c>
      <c r="L5473" s="5">
        <v>0</v>
      </c>
      <c r="M5473" s="4"/>
      <c r="N5473" s="4"/>
      <c r="O5473" s="5"/>
      <c r="P5473" s="5"/>
      <c r="Q5473" s="21">
        <v>0</v>
      </c>
      <c r="R5473" s="21">
        <v>0</v>
      </c>
      <c r="S5473" s="5">
        <f t="shared" si="343"/>
        <v>68848.112167016108</v>
      </c>
      <c r="T5473" cm="1">
        <f t="array" ref="T5473">IF(OR(B5473="MAL ALIMI", B5473="ÜRETİM GİRİŞ"), MIN(I5473, MAX(0, I5473 + SUM(SUMIFS($I$1:I5472, $C$1:C5472, C5473, $B$1:B5472, {"MAL ALIMI","ÜRETİM GİRİŞ"})) - VLOOKUP(C5473, 'STOK RAPORU'!$C$2:$I$1000, 4, 0))), 0)</f>
        <v>0</v>
      </c>
      <c r="U5473" s="22">
        <f t="shared" si="340"/>
        <v>0</v>
      </c>
      <c r="V5473">
        <f t="shared" si="341"/>
        <v>0</v>
      </c>
      <c r="W5473" s="22">
        <f t="shared" si="342"/>
        <v>0</v>
      </c>
    </row>
    <row r="5474" spans="1:23" hidden="1" x14ac:dyDescent="0.25">
      <c r="A5474" s="3">
        <v>46094</v>
      </c>
      <c r="B5474" s="4" t="s">
        <v>334</v>
      </c>
      <c r="C5474" s="4" t="s">
        <v>241</v>
      </c>
      <c r="D5474" s="4"/>
      <c r="E5474" s="4" t="s">
        <v>921</v>
      </c>
      <c r="F5474" s="46" t="s">
        <v>2600</v>
      </c>
      <c r="G5474" s="4" t="s">
        <v>336</v>
      </c>
      <c r="H5474" s="4" t="s">
        <v>380</v>
      </c>
      <c r="I5474" s="4">
        <v>0.27906976744186046</v>
      </c>
      <c r="J5474" s="21">
        <v>430</v>
      </c>
      <c r="K5474" s="21">
        <v>120</v>
      </c>
      <c r="L5474" s="5">
        <v>0</v>
      </c>
      <c r="M5474" s="4"/>
      <c r="N5474" s="4"/>
      <c r="O5474" s="5"/>
      <c r="P5474" s="5"/>
      <c r="Q5474" s="21">
        <v>0</v>
      </c>
      <c r="R5474" s="21">
        <v>0</v>
      </c>
      <c r="S5474" s="5">
        <f t="shared" si="343"/>
        <v>68848.112167016108</v>
      </c>
      <c r="T5474" cm="1">
        <f t="array" ref="T5474">IF(OR(B5474="MAL ALIMI", B5474="ÜRETİM GİRİŞ"), MIN(I5474, MAX(0, I5474 + SUM(SUMIFS($I$1:I5473, $C$1:C5473, C5474, $B$1:B5473, {"MAL ALIMI","ÜRETİM GİRİŞ"})) - VLOOKUP(C5474, 'STOK RAPORU'!$C$2:$I$1000, 4, 0))), 0)</f>
        <v>0</v>
      </c>
      <c r="U5474" s="22">
        <f t="shared" si="340"/>
        <v>0</v>
      </c>
      <c r="V5474">
        <f t="shared" si="341"/>
        <v>0</v>
      </c>
      <c r="W5474" s="22">
        <f t="shared" si="342"/>
        <v>0</v>
      </c>
    </row>
    <row r="5475" spans="1:23" hidden="1" x14ac:dyDescent="0.25">
      <c r="A5475" s="3">
        <v>46094</v>
      </c>
      <c r="B5475" s="4" t="s">
        <v>946</v>
      </c>
      <c r="C5475" s="4"/>
      <c r="D5475" s="4"/>
      <c r="E5475" s="4" t="s">
        <v>921</v>
      </c>
      <c r="F5475" s="4"/>
      <c r="G5475" s="4" t="s">
        <v>2599</v>
      </c>
      <c r="H5475" s="4" t="s">
        <v>304</v>
      </c>
      <c r="I5475" s="4">
        <v>1</v>
      </c>
      <c r="J5475" s="105">
        <v>50000</v>
      </c>
      <c r="K5475" s="21">
        <v>0</v>
      </c>
      <c r="L5475" s="32">
        <v>50000</v>
      </c>
      <c r="M5475" s="4"/>
      <c r="N5475" s="4"/>
      <c r="O5475" s="5"/>
      <c r="P5475" s="5"/>
      <c r="Q5475" s="21">
        <v>50000</v>
      </c>
      <c r="R5475" s="21">
        <v>0</v>
      </c>
      <c r="S5475" s="5">
        <f t="shared" si="343"/>
        <v>118848.11216701611</v>
      </c>
      <c r="T5475" cm="1">
        <f t="array" ref="T5475">IF(OR(B5475="MAL ALIMI", B5475="ÜRETİM GİRİŞ"), MIN(I5475, MAX(0, I5475 + SUM(SUMIFS($I$1:I5474, $C$1:C5474, C5475, $B$1:B5474, {"MAL ALIMI","ÜRETİM GİRİŞ"})) - VLOOKUP(C5475, 'STOK RAPORU'!$C$2:$I$1000, 4, 0))), 0)</f>
        <v>0</v>
      </c>
      <c r="U5475" s="22">
        <f t="shared" si="340"/>
        <v>0</v>
      </c>
      <c r="V5475">
        <f t="shared" si="341"/>
        <v>0</v>
      </c>
      <c r="W5475" s="22">
        <f t="shared" si="342"/>
        <v>0</v>
      </c>
    </row>
    <row r="5476" spans="1:23" hidden="1" x14ac:dyDescent="0.25">
      <c r="A5476" s="3">
        <v>46094</v>
      </c>
      <c r="B5476" s="4" t="s">
        <v>917</v>
      </c>
      <c r="C5476" s="4"/>
      <c r="D5476" s="4"/>
      <c r="E5476" s="4" t="s">
        <v>350</v>
      </c>
      <c r="F5476" s="4"/>
      <c r="G5476" s="4" t="s">
        <v>2599</v>
      </c>
      <c r="H5476" s="4" t="s">
        <v>304</v>
      </c>
      <c r="I5476" s="4">
        <v>1</v>
      </c>
      <c r="J5476" s="21">
        <v>50000</v>
      </c>
      <c r="K5476" s="102">
        <v>50000</v>
      </c>
      <c r="L5476" s="5">
        <v>0</v>
      </c>
      <c r="M5476" s="4"/>
      <c r="N5476" s="4"/>
      <c r="O5476" s="5"/>
      <c r="P5476" s="5"/>
      <c r="Q5476" s="21">
        <v>0</v>
      </c>
      <c r="R5476" s="21">
        <v>50000</v>
      </c>
      <c r="S5476" s="5">
        <f t="shared" si="343"/>
        <v>68848.112167016108</v>
      </c>
      <c r="T5476" cm="1">
        <f t="array" ref="T5476">IF(OR(B5476="MAL ALIMI", B5476="ÜRETİM GİRİŞ"), MIN(I5476, MAX(0, I5476 + SUM(SUMIFS($I$1:I5475, $C$1:C5475, C5476, $B$1:B5475, {"MAL ALIMI","ÜRETİM GİRİŞ"})) - VLOOKUP(C5476, 'STOK RAPORU'!$C$2:$I$1000, 4, 0))), 0)</f>
        <v>0</v>
      </c>
      <c r="U5476" s="22">
        <f t="shared" si="340"/>
        <v>0</v>
      </c>
      <c r="V5476">
        <f t="shared" si="341"/>
        <v>0</v>
      </c>
      <c r="W5476" s="22">
        <f t="shared" si="342"/>
        <v>0</v>
      </c>
    </row>
    <row r="5477" spans="1:23" hidden="1" x14ac:dyDescent="0.25">
      <c r="A5477" s="3">
        <v>46094</v>
      </c>
      <c r="B5477" s="4" t="s">
        <v>946</v>
      </c>
      <c r="C5477" s="4"/>
      <c r="D5477" s="4"/>
      <c r="E5477" s="4" t="s">
        <v>921</v>
      </c>
      <c r="F5477" s="4"/>
      <c r="G5477" s="4" t="s">
        <v>946</v>
      </c>
      <c r="H5477" s="4" t="s">
        <v>380</v>
      </c>
      <c r="I5477" s="4">
        <v>1</v>
      </c>
      <c r="J5477" s="105">
        <v>500</v>
      </c>
      <c r="K5477" s="21">
        <v>0</v>
      </c>
      <c r="L5477" s="32">
        <v>500</v>
      </c>
      <c r="M5477" s="4"/>
      <c r="N5477" s="4"/>
      <c r="O5477" s="5"/>
      <c r="P5477" s="5"/>
      <c r="Q5477" s="21">
        <v>500</v>
      </c>
      <c r="R5477" s="21">
        <v>0</v>
      </c>
      <c r="S5477" s="5">
        <f t="shared" si="343"/>
        <v>69348.112167016108</v>
      </c>
      <c r="T5477" cm="1">
        <f t="array" ref="T5477">IF(OR(B5477="MAL ALIMI", B5477="ÜRETİM GİRİŞ"), MIN(I5477, MAX(0, I5477 + SUM(SUMIFS($I$1:I5476, $C$1:C5476, C5477, $B$1:B5476, {"MAL ALIMI","ÜRETİM GİRİŞ"})) - VLOOKUP(C5477, 'STOK RAPORU'!$C$2:$I$1000, 4, 0))), 0)</f>
        <v>0</v>
      </c>
      <c r="U5477" s="22">
        <f t="shared" si="340"/>
        <v>0</v>
      </c>
      <c r="V5477">
        <f t="shared" si="341"/>
        <v>0</v>
      </c>
      <c r="W5477" s="22">
        <f t="shared" si="342"/>
        <v>0</v>
      </c>
    </row>
    <row r="5478" spans="1:23" hidden="1" x14ac:dyDescent="0.25">
      <c r="A5478" s="3">
        <v>46094</v>
      </c>
      <c r="B5478" s="4" t="s">
        <v>946</v>
      </c>
      <c r="C5478" s="4"/>
      <c r="D5478" s="4"/>
      <c r="E5478" s="4" t="s">
        <v>921</v>
      </c>
      <c r="F5478" s="4"/>
      <c r="G5478" s="4" t="s">
        <v>946</v>
      </c>
      <c r="H5478" s="4" t="s">
        <v>380</v>
      </c>
      <c r="I5478" s="4">
        <v>1</v>
      </c>
      <c r="J5478" s="105">
        <v>807.5</v>
      </c>
      <c r="K5478" s="21">
        <v>0</v>
      </c>
      <c r="L5478" s="32">
        <v>807.5</v>
      </c>
      <c r="M5478" s="4"/>
      <c r="N5478" s="4"/>
      <c r="O5478" s="5"/>
      <c r="P5478" s="5"/>
      <c r="Q5478" s="21">
        <v>807.5</v>
      </c>
      <c r="R5478" s="21">
        <v>0</v>
      </c>
      <c r="S5478" s="5">
        <f t="shared" si="343"/>
        <v>70155.612167016108</v>
      </c>
      <c r="T5478" cm="1">
        <f t="array" ref="T5478">IF(OR(B5478="MAL ALIMI", B5478="ÜRETİM GİRİŞ"), MIN(I5478, MAX(0, I5478 + SUM(SUMIFS($I$1:I5477, $C$1:C5477, C5478, $B$1:B5477, {"MAL ALIMI","ÜRETİM GİRİŞ"})) - VLOOKUP(C5478, 'STOK RAPORU'!$C$2:$I$1000, 4, 0))), 0)</f>
        <v>0</v>
      </c>
      <c r="U5478" s="22">
        <f t="shared" si="340"/>
        <v>0</v>
      </c>
      <c r="V5478">
        <f t="shared" si="341"/>
        <v>0</v>
      </c>
      <c r="W5478" s="22">
        <f t="shared" si="342"/>
        <v>0</v>
      </c>
    </row>
    <row r="5479" spans="1:23" hidden="1" x14ac:dyDescent="0.25">
      <c r="A5479" s="3">
        <v>46095</v>
      </c>
      <c r="B5479" s="4" t="s">
        <v>334</v>
      </c>
      <c r="C5479" s="4" t="s">
        <v>160</v>
      </c>
      <c r="D5479" s="4"/>
      <c r="E5479" s="4" t="s">
        <v>2343</v>
      </c>
      <c r="F5479" s="46" t="s">
        <v>2612</v>
      </c>
      <c r="G5479" s="4" t="s">
        <v>2613</v>
      </c>
      <c r="H5479" s="4" t="s">
        <v>304</v>
      </c>
      <c r="I5479" s="4">
        <v>5</v>
      </c>
      <c r="J5479" s="21">
        <v>200</v>
      </c>
      <c r="K5479" s="21">
        <v>1000</v>
      </c>
      <c r="L5479" s="5">
        <v>0</v>
      </c>
      <c r="M5479" s="4"/>
      <c r="N5479" s="4"/>
      <c r="O5479" s="5"/>
      <c r="P5479" s="5"/>
      <c r="Q5479" s="21">
        <v>0</v>
      </c>
      <c r="R5479" s="21">
        <v>0</v>
      </c>
      <c r="S5479" s="5">
        <f t="shared" si="343"/>
        <v>70155.612167016108</v>
      </c>
      <c r="T5479" cm="1">
        <f t="array" ref="T5479">IF(OR(B5479="MAL ALIMI", B5479="ÜRETİM GİRİŞ"), MIN(I5479, MAX(0, I5479 + SUM(SUMIFS($I$1:I5478, $C$1:C5478, C5479, $B$1:B5478, {"MAL ALIMI","ÜRETİM GİRİŞ"})) - VLOOKUP(C5479, 'STOK RAPORU'!$C$2:$I$1000, 4, 0))), 0)</f>
        <v>0</v>
      </c>
      <c r="U5479" s="22">
        <f t="shared" si="340"/>
        <v>0</v>
      </c>
      <c r="V5479">
        <f t="shared" si="341"/>
        <v>0</v>
      </c>
      <c r="W5479" s="22">
        <f t="shared" si="342"/>
        <v>0</v>
      </c>
    </row>
    <row r="5480" spans="1:23" hidden="1" x14ac:dyDescent="0.25">
      <c r="A5480" s="3">
        <v>46095</v>
      </c>
      <c r="B5480" s="4" t="s">
        <v>334</v>
      </c>
      <c r="C5480" s="4" t="s">
        <v>2488</v>
      </c>
      <c r="D5480" s="4"/>
      <c r="E5480" s="4" t="s">
        <v>921</v>
      </c>
      <c r="F5480" s="46" t="s">
        <v>2614</v>
      </c>
      <c r="G5480" s="4" t="s">
        <v>336</v>
      </c>
      <c r="H5480" s="4" t="s">
        <v>380</v>
      </c>
      <c r="I5480" s="4">
        <v>0.21</v>
      </c>
      <c r="J5480" s="21">
        <v>500</v>
      </c>
      <c r="K5480" s="21">
        <v>105</v>
      </c>
      <c r="L5480" s="5">
        <v>0</v>
      </c>
      <c r="M5480" s="4"/>
      <c r="N5480" s="4"/>
      <c r="O5480" s="5"/>
      <c r="P5480" s="5"/>
      <c r="Q5480" s="21">
        <v>0</v>
      </c>
      <c r="R5480" s="21">
        <v>0</v>
      </c>
      <c r="S5480" s="5">
        <f t="shared" si="343"/>
        <v>70155.612167016108</v>
      </c>
      <c r="T5480" cm="1">
        <f t="array" ref="T5480">IF(OR(B5480="MAL ALIMI", B5480="ÜRETİM GİRİŞ"), MIN(I5480, MAX(0, I5480 + SUM(SUMIFS($I$1:I5479, $C$1:C5479, C5480, $B$1:B5479, {"MAL ALIMI","ÜRETİM GİRİŞ"})) - VLOOKUP(C5480, 'STOK RAPORU'!$C$2:$I$1000, 4, 0))), 0)</f>
        <v>0</v>
      </c>
      <c r="U5480" s="22">
        <f t="shared" si="340"/>
        <v>0</v>
      </c>
      <c r="V5480">
        <f t="shared" si="341"/>
        <v>0</v>
      </c>
      <c r="W5480" s="22">
        <f t="shared" si="342"/>
        <v>0</v>
      </c>
    </row>
    <row r="5481" spans="1:23" hidden="1" x14ac:dyDescent="0.25">
      <c r="A5481" s="3">
        <v>46095</v>
      </c>
      <c r="B5481" s="4" t="s">
        <v>334</v>
      </c>
      <c r="C5481" s="4" t="s">
        <v>2126</v>
      </c>
      <c r="D5481" s="4"/>
      <c r="E5481" s="4" t="s">
        <v>921</v>
      </c>
      <c r="F5481" s="46" t="s">
        <v>2614</v>
      </c>
      <c r="G5481" s="4" t="s">
        <v>336</v>
      </c>
      <c r="H5481" s="4" t="s">
        <v>380</v>
      </c>
      <c r="I5481" s="4">
        <v>0.56486486486486487</v>
      </c>
      <c r="J5481" s="21">
        <v>370</v>
      </c>
      <c r="K5481" s="21">
        <v>209</v>
      </c>
      <c r="L5481" s="5">
        <v>0</v>
      </c>
      <c r="M5481" s="4"/>
      <c r="N5481" s="4"/>
      <c r="O5481" s="5"/>
      <c r="P5481" s="5"/>
      <c r="Q5481" s="21">
        <v>0</v>
      </c>
      <c r="R5481" s="21">
        <v>0</v>
      </c>
      <c r="S5481" s="5">
        <f t="shared" si="343"/>
        <v>70155.612167016108</v>
      </c>
      <c r="T5481" cm="1">
        <f t="array" ref="T5481">IF(OR(B5481="MAL ALIMI", B5481="ÜRETİM GİRİŞ"), MIN(I5481, MAX(0, I5481 + SUM(SUMIFS($I$1:I5480, $C$1:C5480, C5481, $B$1:B5480, {"MAL ALIMI","ÜRETİM GİRİŞ"})) - VLOOKUP(C5481, 'STOK RAPORU'!$C$2:$I$1000, 4, 0))), 0)</f>
        <v>0</v>
      </c>
      <c r="U5481" s="22">
        <f t="shared" si="340"/>
        <v>0</v>
      </c>
      <c r="V5481">
        <f t="shared" si="341"/>
        <v>0</v>
      </c>
      <c r="W5481" s="22">
        <f t="shared" si="342"/>
        <v>0</v>
      </c>
    </row>
    <row r="5482" spans="1:23" hidden="1" x14ac:dyDescent="0.25">
      <c r="A5482" s="3">
        <v>46095</v>
      </c>
      <c r="B5482" s="4" t="s">
        <v>334</v>
      </c>
      <c r="C5482" s="4" t="s">
        <v>648</v>
      </c>
      <c r="D5482" s="4"/>
      <c r="E5482" s="4" t="s">
        <v>921</v>
      </c>
      <c r="F5482" s="46" t="s">
        <v>2614</v>
      </c>
      <c r="G5482" s="4" t="s">
        <v>336</v>
      </c>
      <c r="H5482" s="4" t="s">
        <v>380</v>
      </c>
      <c r="I5482" s="4">
        <v>0.15384615384615385</v>
      </c>
      <c r="J5482" s="21">
        <v>650</v>
      </c>
      <c r="K5482" s="21">
        <v>100</v>
      </c>
      <c r="L5482" s="5">
        <v>0</v>
      </c>
      <c r="M5482" s="4"/>
      <c r="N5482" s="4"/>
      <c r="O5482" s="5"/>
      <c r="P5482" s="5"/>
      <c r="Q5482" s="21">
        <v>0</v>
      </c>
      <c r="R5482" s="21">
        <v>0</v>
      </c>
      <c r="S5482" s="5">
        <f t="shared" si="343"/>
        <v>70155.612167016108</v>
      </c>
      <c r="T5482" cm="1">
        <f t="array" ref="T5482">IF(OR(B5482="MAL ALIMI", B5482="ÜRETİM GİRİŞ"), MIN(I5482, MAX(0, I5482 + SUM(SUMIFS($I$1:I5481, $C$1:C5481, C5482, $B$1:B5481, {"MAL ALIMI","ÜRETİM GİRİŞ"})) - VLOOKUP(C5482, 'STOK RAPORU'!$C$2:$I$1000, 4, 0))), 0)</f>
        <v>0</v>
      </c>
      <c r="U5482" s="22">
        <f t="shared" si="340"/>
        <v>0</v>
      </c>
      <c r="V5482">
        <f t="shared" si="341"/>
        <v>0</v>
      </c>
      <c r="W5482" s="22">
        <f t="shared" si="342"/>
        <v>0</v>
      </c>
    </row>
    <row r="5483" spans="1:23" hidden="1" x14ac:dyDescent="0.25">
      <c r="A5483" s="3">
        <v>46095</v>
      </c>
      <c r="B5483" s="4" t="s">
        <v>334</v>
      </c>
      <c r="C5483" s="4" t="s">
        <v>693</v>
      </c>
      <c r="D5483" s="4"/>
      <c r="E5483" s="4" t="s">
        <v>921</v>
      </c>
      <c r="F5483" s="46" t="s">
        <v>2614</v>
      </c>
      <c r="G5483" s="4" t="s">
        <v>336</v>
      </c>
      <c r="H5483" s="4" t="s">
        <v>380</v>
      </c>
      <c r="I5483" s="4">
        <v>0.25641025641025639</v>
      </c>
      <c r="J5483" s="21">
        <v>195</v>
      </c>
      <c r="K5483" s="21">
        <v>49.999999999999993</v>
      </c>
      <c r="L5483" s="5">
        <v>0</v>
      </c>
      <c r="M5483" s="4"/>
      <c r="N5483" s="4"/>
      <c r="O5483" s="5"/>
      <c r="P5483" s="5"/>
      <c r="Q5483" s="21">
        <v>0</v>
      </c>
      <c r="R5483" s="21">
        <v>0</v>
      </c>
      <c r="S5483" s="5">
        <f t="shared" si="343"/>
        <v>70155.612167016108</v>
      </c>
      <c r="T5483" cm="1">
        <f t="array" ref="T5483">IF(OR(B5483="MAL ALIMI", B5483="ÜRETİM GİRİŞ"), MIN(I5483, MAX(0, I5483 + SUM(SUMIFS($I$1:I5482, $C$1:C5482, C5483, $B$1:B5482, {"MAL ALIMI","ÜRETİM GİRİŞ"})) - VLOOKUP(C5483, 'STOK RAPORU'!$C$2:$I$1000, 4, 0))), 0)</f>
        <v>0</v>
      </c>
      <c r="U5483" s="22">
        <f t="shared" si="340"/>
        <v>0</v>
      </c>
      <c r="V5483">
        <f t="shared" si="341"/>
        <v>0</v>
      </c>
      <c r="W5483" s="22">
        <f t="shared" si="342"/>
        <v>0</v>
      </c>
    </row>
    <row r="5484" spans="1:23" hidden="1" x14ac:dyDescent="0.25">
      <c r="A5484" s="3">
        <v>46095</v>
      </c>
      <c r="B5484" s="4" t="s">
        <v>334</v>
      </c>
      <c r="C5484" s="4" t="s">
        <v>1501</v>
      </c>
      <c r="D5484" s="4"/>
      <c r="E5484" s="4" t="s">
        <v>921</v>
      </c>
      <c r="F5484" s="46" t="s">
        <v>2614</v>
      </c>
      <c r="G5484" s="4" t="s">
        <v>336</v>
      </c>
      <c r="H5484" s="4" t="s">
        <v>380</v>
      </c>
      <c r="I5484" s="4">
        <v>0.25</v>
      </c>
      <c r="J5484" s="21">
        <v>600</v>
      </c>
      <c r="K5484" s="21">
        <v>150</v>
      </c>
      <c r="L5484" s="5">
        <v>0</v>
      </c>
      <c r="M5484" s="4"/>
      <c r="N5484" s="4"/>
      <c r="O5484" s="5"/>
      <c r="P5484" s="5"/>
      <c r="Q5484" s="21">
        <v>0</v>
      </c>
      <c r="R5484" s="21">
        <v>0</v>
      </c>
      <c r="S5484" s="5">
        <f t="shared" si="343"/>
        <v>70155.612167016108</v>
      </c>
      <c r="T5484" cm="1">
        <f t="array" ref="T5484">IF(OR(B5484="MAL ALIMI", B5484="ÜRETİM GİRİŞ"), MIN(I5484, MAX(0, I5484 + SUM(SUMIFS($I$1:I5483, $C$1:C5483, C5484, $B$1:B5483, {"MAL ALIMI","ÜRETİM GİRİŞ"})) - VLOOKUP(C5484, 'STOK RAPORU'!$C$2:$I$1000, 4, 0))), 0)</f>
        <v>0</v>
      </c>
      <c r="U5484" s="22">
        <f t="shared" si="340"/>
        <v>0</v>
      </c>
      <c r="V5484">
        <f t="shared" si="341"/>
        <v>0</v>
      </c>
      <c r="W5484" s="22">
        <f t="shared" si="342"/>
        <v>0</v>
      </c>
    </row>
    <row r="5485" spans="1:23" hidden="1" x14ac:dyDescent="0.25">
      <c r="A5485" s="3">
        <v>46095</v>
      </c>
      <c r="B5485" s="4" t="s">
        <v>334</v>
      </c>
      <c r="C5485" s="4" t="s">
        <v>1897</v>
      </c>
      <c r="D5485" s="4"/>
      <c r="E5485" s="4" t="s">
        <v>921</v>
      </c>
      <c r="F5485" s="46" t="s">
        <v>2614</v>
      </c>
      <c r="G5485" s="4" t="s">
        <v>336</v>
      </c>
      <c r="H5485" s="4" t="s">
        <v>380</v>
      </c>
      <c r="I5485" s="4">
        <v>1</v>
      </c>
      <c r="J5485" s="21">
        <v>300</v>
      </c>
      <c r="K5485" s="21">
        <v>300</v>
      </c>
      <c r="L5485" s="5">
        <v>0</v>
      </c>
      <c r="M5485" s="4"/>
      <c r="N5485" s="4"/>
      <c r="O5485" s="5"/>
      <c r="P5485" s="5"/>
      <c r="Q5485" s="21">
        <v>0</v>
      </c>
      <c r="R5485" s="21">
        <v>0</v>
      </c>
      <c r="S5485" s="5">
        <f t="shared" si="343"/>
        <v>70155.612167016108</v>
      </c>
      <c r="T5485" cm="1">
        <f t="array" ref="T5485">IF(OR(B5485="MAL ALIMI", B5485="ÜRETİM GİRİŞ"), MIN(I5485, MAX(0, I5485 + SUM(SUMIFS($I$1:I5484, $C$1:C5484, C5485, $B$1:B5484, {"MAL ALIMI","ÜRETİM GİRİŞ"})) - VLOOKUP(C5485, 'STOK RAPORU'!$C$2:$I$1000, 4, 0))), 0)</f>
        <v>0</v>
      </c>
      <c r="U5485" s="22">
        <f t="shared" si="340"/>
        <v>0</v>
      </c>
      <c r="V5485">
        <f t="shared" si="341"/>
        <v>0</v>
      </c>
      <c r="W5485" s="22">
        <f t="shared" si="342"/>
        <v>0</v>
      </c>
    </row>
    <row r="5486" spans="1:23" hidden="1" x14ac:dyDescent="0.25">
      <c r="A5486" s="3">
        <v>46095</v>
      </c>
      <c r="B5486" s="4" t="s">
        <v>334</v>
      </c>
      <c r="C5486" s="4" t="s">
        <v>728</v>
      </c>
      <c r="D5486" s="4"/>
      <c r="E5486" s="4"/>
      <c r="F5486" s="46" t="s">
        <v>2615</v>
      </c>
      <c r="G5486" s="4" t="s">
        <v>336</v>
      </c>
      <c r="H5486" s="4" t="s">
        <v>289</v>
      </c>
      <c r="I5486" s="4">
        <v>0.20144927536231885</v>
      </c>
      <c r="J5486" s="21">
        <v>690</v>
      </c>
      <c r="K5486" s="21">
        <v>0</v>
      </c>
      <c r="L5486" s="5">
        <v>0</v>
      </c>
      <c r="M5486" s="4"/>
      <c r="N5486" s="4"/>
      <c r="O5486" s="5"/>
      <c r="P5486" s="5"/>
      <c r="Q5486" s="21">
        <v>139</v>
      </c>
      <c r="R5486" s="21">
        <v>0</v>
      </c>
      <c r="S5486" s="5">
        <f t="shared" si="343"/>
        <v>70294.612167016108</v>
      </c>
      <c r="T5486" cm="1">
        <f t="array" ref="T5486">IF(OR(B5486="MAL ALIMI", B5486="ÜRETİM GİRİŞ"), MIN(I5486, MAX(0, I5486 + SUM(SUMIFS($I$1:I5485, $C$1:C5485, C5486, $B$1:B5485, {"MAL ALIMI","ÜRETİM GİRİŞ"})) - VLOOKUP(C5486, 'STOK RAPORU'!$C$2:$I$1000, 4, 0))), 0)</f>
        <v>0</v>
      </c>
      <c r="U5486" s="22">
        <f t="shared" si="340"/>
        <v>0</v>
      </c>
      <c r="V5486">
        <f t="shared" si="341"/>
        <v>0</v>
      </c>
      <c r="W5486" s="22">
        <f t="shared" si="342"/>
        <v>0</v>
      </c>
    </row>
    <row r="5487" spans="1:23" hidden="1" x14ac:dyDescent="0.25">
      <c r="A5487" s="3">
        <v>46095</v>
      </c>
      <c r="B5487" s="4" t="s">
        <v>334</v>
      </c>
      <c r="C5487" s="4" t="s">
        <v>160</v>
      </c>
      <c r="D5487" s="4"/>
      <c r="E5487" s="4"/>
      <c r="F5487" s="46" t="s">
        <v>2615</v>
      </c>
      <c r="G5487" s="4" t="s">
        <v>336</v>
      </c>
      <c r="H5487" s="4" t="s">
        <v>289</v>
      </c>
      <c r="I5487" s="4">
        <v>0.5</v>
      </c>
      <c r="J5487" s="21">
        <v>250</v>
      </c>
      <c r="K5487" s="21">
        <v>0</v>
      </c>
      <c r="L5487" s="5">
        <v>0</v>
      </c>
      <c r="M5487" s="4"/>
      <c r="N5487" s="4"/>
      <c r="O5487" s="5"/>
      <c r="P5487" s="5"/>
      <c r="Q5487" s="21">
        <v>125</v>
      </c>
      <c r="R5487" s="21">
        <v>0</v>
      </c>
      <c r="S5487" s="5">
        <f t="shared" si="343"/>
        <v>70419.612167016108</v>
      </c>
      <c r="T5487" cm="1">
        <f t="array" ref="T5487">IF(OR(B5487="MAL ALIMI", B5487="ÜRETİM GİRİŞ"), MIN(I5487, MAX(0, I5487 + SUM(SUMIFS($I$1:I5486, $C$1:C5486, C5487, $B$1:B5486, {"MAL ALIMI","ÜRETİM GİRİŞ"})) - VLOOKUP(C5487, 'STOK RAPORU'!$C$2:$I$1000, 4, 0))), 0)</f>
        <v>0</v>
      </c>
      <c r="U5487" s="22">
        <f t="shared" si="340"/>
        <v>0</v>
      </c>
      <c r="V5487">
        <f t="shared" si="341"/>
        <v>0</v>
      </c>
      <c r="W5487" s="22">
        <f t="shared" si="342"/>
        <v>0</v>
      </c>
    </row>
    <row r="5488" spans="1:23" hidden="1" x14ac:dyDescent="0.25">
      <c r="A5488" s="3">
        <v>46095</v>
      </c>
      <c r="B5488" s="4" t="s">
        <v>334</v>
      </c>
      <c r="C5488" s="4" t="s">
        <v>161</v>
      </c>
      <c r="D5488" s="4"/>
      <c r="E5488" s="4"/>
      <c r="F5488" s="46" t="s">
        <v>2615</v>
      </c>
      <c r="G5488" s="4" t="s">
        <v>336</v>
      </c>
      <c r="H5488" s="4" t="s">
        <v>289</v>
      </c>
      <c r="I5488" s="4">
        <v>0.5</v>
      </c>
      <c r="J5488" s="21">
        <v>230</v>
      </c>
      <c r="K5488" s="21">
        <v>0</v>
      </c>
      <c r="L5488" s="5">
        <v>0</v>
      </c>
      <c r="M5488" s="4"/>
      <c r="N5488" s="4"/>
      <c r="O5488" s="5"/>
      <c r="P5488" s="5"/>
      <c r="Q5488" s="21">
        <v>115</v>
      </c>
      <c r="R5488" s="21">
        <v>0</v>
      </c>
      <c r="S5488" s="5">
        <f t="shared" si="343"/>
        <v>70534.612167016108</v>
      </c>
      <c r="T5488" cm="1">
        <f t="array" ref="T5488">IF(OR(B5488="MAL ALIMI", B5488="ÜRETİM GİRİŞ"), MIN(I5488, MAX(0, I5488 + SUM(SUMIFS($I$1:I5487, $C$1:C5487, C5488, $B$1:B5487, {"MAL ALIMI","ÜRETİM GİRİŞ"})) - VLOOKUP(C5488, 'STOK RAPORU'!$C$2:$I$1000, 4, 0))), 0)</f>
        <v>0</v>
      </c>
      <c r="U5488" s="22">
        <f t="shared" si="340"/>
        <v>0</v>
      </c>
      <c r="V5488">
        <f t="shared" si="341"/>
        <v>0</v>
      </c>
      <c r="W5488" s="22">
        <f t="shared" si="342"/>
        <v>0</v>
      </c>
    </row>
    <row r="5489" spans="1:23" hidden="1" x14ac:dyDescent="0.25">
      <c r="A5489" s="3">
        <v>46095</v>
      </c>
      <c r="B5489" s="4" t="s">
        <v>334</v>
      </c>
      <c r="C5489" s="4" t="s">
        <v>822</v>
      </c>
      <c r="D5489" s="4"/>
      <c r="E5489" s="4"/>
      <c r="F5489" s="46" t="s">
        <v>2616</v>
      </c>
      <c r="G5489" s="4" t="s">
        <v>336</v>
      </c>
      <c r="H5489" s="4" t="s">
        <v>289</v>
      </c>
      <c r="I5489" s="4">
        <v>1</v>
      </c>
      <c r="J5489" s="21">
        <v>170</v>
      </c>
      <c r="K5489" s="21">
        <v>0</v>
      </c>
      <c r="L5489" s="5">
        <v>0</v>
      </c>
      <c r="M5489" s="4"/>
      <c r="N5489" s="4"/>
      <c r="O5489" s="5"/>
      <c r="P5489" s="5"/>
      <c r="Q5489" s="21">
        <v>170</v>
      </c>
      <c r="R5489" s="21">
        <v>0</v>
      </c>
      <c r="S5489" s="5">
        <f t="shared" si="343"/>
        <v>70704.612167016108</v>
      </c>
      <c r="T5489" cm="1">
        <f t="array" ref="T5489">IF(OR(B5489="MAL ALIMI", B5489="ÜRETİM GİRİŞ"), MIN(I5489, MAX(0, I5489 + SUM(SUMIFS($I$1:I5488, $C$1:C5488, C5489, $B$1:B5488, {"MAL ALIMI","ÜRETİM GİRİŞ"})) - VLOOKUP(C5489, 'STOK RAPORU'!$C$2:$I$1000, 4, 0))), 0)</f>
        <v>0</v>
      </c>
      <c r="U5489" s="22">
        <f t="shared" si="340"/>
        <v>0</v>
      </c>
      <c r="V5489">
        <f t="shared" si="341"/>
        <v>0</v>
      </c>
      <c r="W5489" s="22">
        <f t="shared" si="342"/>
        <v>0</v>
      </c>
    </row>
    <row r="5490" spans="1:23" hidden="1" x14ac:dyDescent="0.25">
      <c r="A5490" s="3">
        <v>46095</v>
      </c>
      <c r="B5490" s="4" t="s">
        <v>334</v>
      </c>
      <c r="C5490" s="4" t="s">
        <v>126</v>
      </c>
      <c r="D5490" s="4"/>
      <c r="E5490" s="4" t="s">
        <v>921</v>
      </c>
      <c r="F5490" s="46" t="s">
        <v>2617</v>
      </c>
      <c r="G5490" s="4" t="s">
        <v>336</v>
      </c>
      <c r="H5490" s="4" t="s">
        <v>380</v>
      </c>
      <c r="I5490" s="4">
        <v>0.15538461538461537</v>
      </c>
      <c r="J5490" s="21">
        <v>650</v>
      </c>
      <c r="K5490" s="21">
        <v>100.99999999999999</v>
      </c>
      <c r="L5490" s="5">
        <v>0</v>
      </c>
      <c r="M5490" s="4"/>
      <c r="N5490" s="4"/>
      <c r="O5490" s="5"/>
      <c r="P5490" s="5"/>
      <c r="Q5490" s="21">
        <v>0</v>
      </c>
      <c r="R5490" s="21">
        <v>0</v>
      </c>
      <c r="S5490" s="5">
        <f t="shared" si="343"/>
        <v>70704.612167016108</v>
      </c>
      <c r="T5490" cm="1">
        <f t="array" ref="T5490">IF(OR(B5490="MAL ALIMI", B5490="ÜRETİM GİRİŞ"), MIN(I5490, MAX(0, I5490 + SUM(SUMIFS($I$1:I5489, $C$1:C5489, C5490, $B$1:B5489, {"MAL ALIMI","ÜRETİM GİRİŞ"})) - VLOOKUP(C5490, 'STOK RAPORU'!$C$2:$I$1000, 4, 0))), 0)</f>
        <v>0</v>
      </c>
      <c r="U5490" s="22">
        <f t="shared" si="340"/>
        <v>0</v>
      </c>
      <c r="V5490">
        <f t="shared" si="341"/>
        <v>0</v>
      </c>
      <c r="W5490" s="22">
        <f t="shared" si="342"/>
        <v>0</v>
      </c>
    </row>
    <row r="5491" spans="1:23" hidden="1" x14ac:dyDescent="0.25">
      <c r="A5491" s="3">
        <v>46095</v>
      </c>
      <c r="B5491" s="4" t="s">
        <v>334</v>
      </c>
      <c r="C5491" s="4" t="s">
        <v>463</v>
      </c>
      <c r="D5491" s="4"/>
      <c r="E5491" s="4" t="s">
        <v>921</v>
      </c>
      <c r="F5491" s="46" t="s">
        <v>2617</v>
      </c>
      <c r="G5491" s="4" t="s">
        <v>336</v>
      </c>
      <c r="H5491" s="4" t="s">
        <v>380</v>
      </c>
      <c r="I5491" s="4">
        <v>0.23749999999999999</v>
      </c>
      <c r="J5491" s="21">
        <v>400</v>
      </c>
      <c r="K5491" s="21">
        <v>95</v>
      </c>
      <c r="L5491" s="5">
        <v>0</v>
      </c>
      <c r="M5491" s="4"/>
      <c r="N5491" s="4"/>
      <c r="O5491" s="5"/>
      <c r="P5491" s="5"/>
      <c r="Q5491" s="21">
        <v>0</v>
      </c>
      <c r="R5491" s="21">
        <v>0</v>
      </c>
      <c r="S5491" s="5">
        <f t="shared" si="343"/>
        <v>70704.612167016108</v>
      </c>
      <c r="T5491" cm="1">
        <f t="array" ref="T5491">IF(OR(B5491="MAL ALIMI", B5491="ÜRETİM GİRİŞ"), MIN(I5491, MAX(0, I5491 + SUM(SUMIFS($I$1:I5490, $C$1:C5490, C5491, $B$1:B5490, {"MAL ALIMI","ÜRETİM GİRİŞ"})) - VLOOKUP(C5491, 'STOK RAPORU'!$C$2:$I$1000, 4, 0))), 0)</f>
        <v>0</v>
      </c>
      <c r="U5491" s="22">
        <f t="shared" ref="U5491:U5554" si="344">T5491*J5491</f>
        <v>0</v>
      </c>
      <c r="V5491">
        <f t="shared" ref="V5491:V5554" si="345">IF(OR(B5491="MAL ALIMI", B5491="ÜRETİM GİRİŞ"), I5491 * J5491, 0)</f>
        <v>0</v>
      </c>
      <c r="W5491" s="22">
        <f t="shared" ref="W5491:W5554" si="346">V5491-U5491</f>
        <v>0</v>
      </c>
    </row>
    <row r="5492" spans="1:23" hidden="1" x14ac:dyDescent="0.25">
      <c r="A5492" s="3">
        <v>46095</v>
      </c>
      <c r="B5492" s="4" t="s">
        <v>334</v>
      </c>
      <c r="C5492" s="4" t="s">
        <v>463</v>
      </c>
      <c r="D5492" s="4"/>
      <c r="E5492" s="4" t="s">
        <v>921</v>
      </c>
      <c r="F5492" s="46" t="s">
        <v>2617</v>
      </c>
      <c r="G5492" s="4" t="s">
        <v>336</v>
      </c>
      <c r="H5492" s="4" t="s">
        <v>380</v>
      </c>
      <c r="I5492" s="4">
        <v>0.19</v>
      </c>
      <c r="J5492" s="21">
        <v>400</v>
      </c>
      <c r="K5492" s="21">
        <v>76</v>
      </c>
      <c r="L5492" s="5">
        <v>0</v>
      </c>
      <c r="M5492" s="4"/>
      <c r="N5492" s="4"/>
      <c r="O5492" s="5"/>
      <c r="P5492" s="5"/>
      <c r="Q5492" s="21">
        <v>0</v>
      </c>
      <c r="R5492" s="21">
        <v>0</v>
      </c>
      <c r="S5492" s="5">
        <f t="shared" si="343"/>
        <v>70704.612167016108</v>
      </c>
      <c r="T5492" cm="1">
        <f t="array" ref="T5492">IF(OR(B5492="MAL ALIMI", B5492="ÜRETİM GİRİŞ"), MIN(I5492, MAX(0, I5492 + SUM(SUMIFS($I$1:I5491, $C$1:C5491, C5492, $B$1:B5491, {"MAL ALIMI","ÜRETİM GİRİŞ"})) - VLOOKUP(C5492, 'STOK RAPORU'!$C$2:$I$1000, 4, 0))), 0)</f>
        <v>0</v>
      </c>
      <c r="U5492" s="22">
        <f t="shared" si="344"/>
        <v>0</v>
      </c>
      <c r="V5492">
        <f t="shared" si="345"/>
        <v>0</v>
      </c>
      <c r="W5492" s="22">
        <f t="shared" si="346"/>
        <v>0</v>
      </c>
    </row>
    <row r="5493" spans="1:23" hidden="1" x14ac:dyDescent="0.25">
      <c r="A5493" s="3">
        <v>46095</v>
      </c>
      <c r="B5493" s="4" t="s">
        <v>334</v>
      </c>
      <c r="C5493" s="4" t="s">
        <v>163</v>
      </c>
      <c r="D5493" s="4"/>
      <c r="E5493" s="4" t="s">
        <v>921</v>
      </c>
      <c r="F5493" s="46" t="s">
        <v>2617</v>
      </c>
      <c r="G5493" s="4" t="s">
        <v>336</v>
      </c>
      <c r="H5493" s="4" t="s">
        <v>380</v>
      </c>
      <c r="I5493" s="4">
        <v>0.2688888888888889</v>
      </c>
      <c r="J5493" s="21">
        <v>450</v>
      </c>
      <c r="K5493" s="21">
        <v>121</v>
      </c>
      <c r="L5493" s="5">
        <v>0</v>
      </c>
      <c r="M5493" s="4"/>
      <c r="N5493" s="4"/>
      <c r="O5493" s="5"/>
      <c r="P5493" s="5"/>
      <c r="Q5493" s="21">
        <v>0</v>
      </c>
      <c r="R5493" s="21">
        <v>0</v>
      </c>
      <c r="S5493" s="5">
        <f t="shared" si="343"/>
        <v>70704.612167016108</v>
      </c>
      <c r="T5493" cm="1">
        <f t="array" ref="T5493">IF(OR(B5493="MAL ALIMI", B5493="ÜRETİM GİRİŞ"), MIN(I5493, MAX(0, I5493 + SUM(SUMIFS($I$1:I5492, $C$1:C5492, C5493, $B$1:B5492, {"MAL ALIMI","ÜRETİM GİRİŞ"})) - VLOOKUP(C5493, 'STOK RAPORU'!$C$2:$I$1000, 4, 0))), 0)</f>
        <v>0</v>
      </c>
      <c r="U5493" s="22">
        <f t="shared" si="344"/>
        <v>0</v>
      </c>
      <c r="V5493">
        <f t="shared" si="345"/>
        <v>0</v>
      </c>
      <c r="W5493" s="22">
        <f t="shared" si="346"/>
        <v>0</v>
      </c>
    </row>
    <row r="5494" spans="1:23" hidden="1" x14ac:dyDescent="0.25">
      <c r="A5494" s="3">
        <v>46095</v>
      </c>
      <c r="B5494" s="4" t="s">
        <v>334</v>
      </c>
      <c r="C5494" s="4" t="s">
        <v>91</v>
      </c>
      <c r="D5494" s="4"/>
      <c r="E5494" s="4" t="s">
        <v>921</v>
      </c>
      <c r="F5494" s="46" t="s">
        <v>2617</v>
      </c>
      <c r="G5494" s="4" t="s">
        <v>336</v>
      </c>
      <c r="H5494" s="4" t="s">
        <v>380</v>
      </c>
      <c r="I5494" s="4">
        <v>8.1333333333333327E-2</v>
      </c>
      <c r="J5494" s="21">
        <v>750</v>
      </c>
      <c r="K5494" s="21">
        <v>60.999999999999993</v>
      </c>
      <c r="L5494" s="5">
        <v>0</v>
      </c>
      <c r="M5494" s="4"/>
      <c r="N5494" s="4"/>
      <c r="O5494" s="5"/>
      <c r="P5494" s="5"/>
      <c r="Q5494" s="21">
        <v>0</v>
      </c>
      <c r="R5494" s="21">
        <v>0</v>
      </c>
      <c r="S5494" s="5">
        <f t="shared" si="343"/>
        <v>70704.612167016108</v>
      </c>
      <c r="T5494" cm="1">
        <f t="array" ref="T5494">IF(OR(B5494="MAL ALIMI", B5494="ÜRETİM GİRİŞ"), MIN(I5494, MAX(0, I5494 + SUM(SUMIFS($I$1:I5493, $C$1:C5493, C5494, $B$1:B5493, {"MAL ALIMI","ÜRETİM GİRİŞ"})) - VLOOKUP(C5494, 'STOK RAPORU'!$C$2:$I$1000, 4, 0))), 0)</f>
        <v>0</v>
      </c>
      <c r="U5494" s="22">
        <f t="shared" si="344"/>
        <v>0</v>
      </c>
      <c r="V5494">
        <f t="shared" si="345"/>
        <v>0</v>
      </c>
      <c r="W5494" s="22">
        <f t="shared" si="346"/>
        <v>0</v>
      </c>
    </row>
    <row r="5495" spans="1:23" hidden="1" x14ac:dyDescent="0.25">
      <c r="A5495" s="3">
        <v>46095</v>
      </c>
      <c r="B5495" s="4" t="s">
        <v>334</v>
      </c>
      <c r="C5495" s="4" t="s">
        <v>588</v>
      </c>
      <c r="D5495" s="4"/>
      <c r="E5495" s="4" t="s">
        <v>921</v>
      </c>
      <c r="F5495" s="46" t="s">
        <v>2617</v>
      </c>
      <c r="G5495" s="4" t="s">
        <v>336</v>
      </c>
      <c r="H5495" s="4" t="s">
        <v>380</v>
      </c>
      <c r="I5495" s="4">
        <v>1</v>
      </c>
      <c r="J5495" s="21">
        <v>350</v>
      </c>
      <c r="K5495" s="21">
        <v>350</v>
      </c>
      <c r="L5495" s="5">
        <v>0</v>
      </c>
      <c r="M5495" s="4"/>
      <c r="N5495" s="4"/>
      <c r="O5495" s="5"/>
      <c r="P5495" s="5"/>
      <c r="Q5495" s="21">
        <v>0</v>
      </c>
      <c r="R5495" s="21">
        <v>0</v>
      </c>
      <c r="S5495" s="5">
        <f t="shared" si="343"/>
        <v>70704.612167016108</v>
      </c>
      <c r="T5495" cm="1">
        <f t="array" ref="T5495">IF(OR(B5495="MAL ALIMI", B5495="ÜRETİM GİRİŞ"), MIN(I5495, MAX(0, I5495 + SUM(SUMIFS($I$1:I5494, $C$1:C5494, C5495, $B$1:B5494, {"MAL ALIMI","ÜRETİM GİRİŞ"})) - VLOOKUP(C5495, 'STOK RAPORU'!$C$2:$I$1000, 4, 0))), 0)</f>
        <v>0</v>
      </c>
      <c r="U5495" s="22">
        <f t="shared" si="344"/>
        <v>0</v>
      </c>
      <c r="V5495">
        <f t="shared" si="345"/>
        <v>0</v>
      </c>
      <c r="W5495" s="22">
        <f t="shared" si="346"/>
        <v>0</v>
      </c>
    </row>
    <row r="5496" spans="1:23" hidden="1" x14ac:dyDescent="0.25">
      <c r="A5496" s="3">
        <v>46095</v>
      </c>
      <c r="B5496" s="4" t="s">
        <v>334</v>
      </c>
      <c r="C5496" s="4" t="s">
        <v>161</v>
      </c>
      <c r="D5496" s="4"/>
      <c r="E5496" s="4"/>
      <c r="F5496" s="46" t="s">
        <v>2618</v>
      </c>
      <c r="G5496" s="4" t="s">
        <v>336</v>
      </c>
      <c r="H5496" s="4" t="s">
        <v>289</v>
      </c>
      <c r="I5496" s="4">
        <v>1</v>
      </c>
      <c r="J5496" s="21">
        <v>230</v>
      </c>
      <c r="K5496" s="21">
        <v>0</v>
      </c>
      <c r="L5496" s="5">
        <v>0</v>
      </c>
      <c r="M5496" s="4"/>
      <c r="N5496" s="4"/>
      <c r="O5496" s="5"/>
      <c r="P5496" s="5"/>
      <c r="Q5496" s="21">
        <v>230</v>
      </c>
      <c r="R5496" s="21">
        <v>0</v>
      </c>
      <c r="S5496" s="5">
        <f t="shared" si="343"/>
        <v>70934.612167016108</v>
      </c>
      <c r="T5496" cm="1">
        <f t="array" ref="T5496">IF(OR(B5496="MAL ALIMI", B5496="ÜRETİM GİRİŞ"), MIN(I5496, MAX(0, I5496 + SUM(SUMIFS($I$1:I5495, $C$1:C5495, C5496, $B$1:B5495, {"MAL ALIMI","ÜRETİM GİRİŞ"})) - VLOOKUP(C5496, 'STOK RAPORU'!$C$2:$I$1000, 4, 0))), 0)</f>
        <v>0</v>
      </c>
      <c r="U5496" s="22">
        <f t="shared" si="344"/>
        <v>0</v>
      </c>
      <c r="V5496">
        <f t="shared" si="345"/>
        <v>0</v>
      </c>
      <c r="W5496" s="22">
        <f t="shared" si="346"/>
        <v>0</v>
      </c>
    </row>
    <row r="5497" spans="1:23" hidden="1" x14ac:dyDescent="0.25">
      <c r="A5497" s="3">
        <v>46095</v>
      </c>
      <c r="B5497" s="4" t="s">
        <v>334</v>
      </c>
      <c r="C5497" s="4" t="s">
        <v>160</v>
      </c>
      <c r="D5497" s="4"/>
      <c r="E5497" s="4"/>
      <c r="F5497" s="46" t="s">
        <v>2618</v>
      </c>
      <c r="G5497" s="4" t="s">
        <v>336</v>
      </c>
      <c r="H5497" s="4" t="s">
        <v>289</v>
      </c>
      <c r="I5497" s="4">
        <v>1</v>
      </c>
      <c r="J5497" s="21">
        <v>250</v>
      </c>
      <c r="K5497" s="21">
        <v>0</v>
      </c>
      <c r="L5497" s="5">
        <v>0</v>
      </c>
      <c r="M5497" s="4"/>
      <c r="N5497" s="4"/>
      <c r="O5497" s="5"/>
      <c r="P5497" s="5"/>
      <c r="Q5497" s="21">
        <v>250</v>
      </c>
      <c r="R5497" s="21">
        <v>0</v>
      </c>
      <c r="S5497" s="5">
        <f t="shared" si="343"/>
        <v>71184.612167016108</v>
      </c>
      <c r="T5497" cm="1">
        <f t="array" ref="T5497">IF(OR(B5497="MAL ALIMI", B5497="ÜRETİM GİRİŞ"), MIN(I5497, MAX(0, I5497 + SUM(SUMIFS($I$1:I5496, $C$1:C5496, C5497, $B$1:B5496, {"MAL ALIMI","ÜRETİM GİRİŞ"})) - VLOOKUP(C5497, 'STOK RAPORU'!$C$2:$I$1000, 4, 0))), 0)</f>
        <v>0</v>
      </c>
      <c r="U5497" s="22">
        <f t="shared" si="344"/>
        <v>0</v>
      </c>
      <c r="V5497">
        <f t="shared" si="345"/>
        <v>0</v>
      </c>
      <c r="W5497" s="22">
        <f t="shared" si="346"/>
        <v>0</v>
      </c>
    </row>
    <row r="5498" spans="1:23" hidden="1" x14ac:dyDescent="0.25">
      <c r="A5498" s="3">
        <v>46095</v>
      </c>
      <c r="B5498" s="4" t="s">
        <v>334</v>
      </c>
      <c r="C5498" s="4" t="s">
        <v>92</v>
      </c>
      <c r="D5498" s="4"/>
      <c r="E5498" s="4"/>
      <c r="F5498" s="46" t="s">
        <v>2619</v>
      </c>
      <c r="G5498" s="4" t="s">
        <v>336</v>
      </c>
      <c r="H5498" s="4" t="s">
        <v>289</v>
      </c>
      <c r="I5498" s="4">
        <v>0.16</v>
      </c>
      <c r="J5498" s="21">
        <v>500</v>
      </c>
      <c r="K5498" s="21">
        <v>0</v>
      </c>
      <c r="L5498" s="5">
        <v>0</v>
      </c>
      <c r="M5498" s="4"/>
      <c r="N5498" s="4"/>
      <c r="O5498" s="5"/>
      <c r="P5498" s="5"/>
      <c r="Q5498" s="21">
        <v>80</v>
      </c>
      <c r="R5498" s="21">
        <v>0</v>
      </c>
      <c r="S5498" s="5">
        <f t="shared" si="343"/>
        <v>71264.612167016108</v>
      </c>
      <c r="T5498" cm="1">
        <f t="array" ref="T5498">IF(OR(B5498="MAL ALIMI", B5498="ÜRETİM GİRİŞ"), MIN(I5498, MAX(0, I5498 + SUM(SUMIFS($I$1:I5497, $C$1:C5497, C5498, $B$1:B5497, {"MAL ALIMI","ÜRETİM GİRİŞ"})) - VLOOKUP(C5498, 'STOK RAPORU'!$C$2:$I$1000, 4, 0))), 0)</f>
        <v>0</v>
      </c>
      <c r="U5498" s="22">
        <f t="shared" si="344"/>
        <v>0</v>
      </c>
      <c r="V5498">
        <f t="shared" si="345"/>
        <v>0</v>
      </c>
      <c r="W5498" s="22">
        <f t="shared" si="346"/>
        <v>0</v>
      </c>
    </row>
    <row r="5499" spans="1:23" hidden="1" x14ac:dyDescent="0.25">
      <c r="A5499" s="3">
        <v>46095</v>
      </c>
      <c r="B5499" s="4" t="s">
        <v>334</v>
      </c>
      <c r="C5499" s="4" t="s">
        <v>152</v>
      </c>
      <c r="D5499" s="4"/>
      <c r="E5499" s="4" t="s">
        <v>921</v>
      </c>
      <c r="F5499" s="46" t="s">
        <v>2620</v>
      </c>
      <c r="G5499" s="4" t="s">
        <v>336</v>
      </c>
      <c r="H5499" s="4" t="s">
        <v>380</v>
      </c>
      <c r="I5499" s="4">
        <v>0.2</v>
      </c>
      <c r="J5499" s="21">
        <v>400</v>
      </c>
      <c r="K5499" s="21">
        <v>80</v>
      </c>
      <c r="L5499" s="5">
        <v>0</v>
      </c>
      <c r="M5499" s="4"/>
      <c r="N5499" s="4"/>
      <c r="O5499" s="5"/>
      <c r="P5499" s="5"/>
      <c r="Q5499" s="21">
        <v>0</v>
      </c>
      <c r="R5499" s="21">
        <v>0</v>
      </c>
      <c r="S5499" s="5">
        <f t="shared" si="343"/>
        <v>71264.612167016108</v>
      </c>
      <c r="T5499" cm="1">
        <f t="array" ref="T5499">IF(OR(B5499="MAL ALIMI", B5499="ÜRETİM GİRİŞ"), MIN(I5499, MAX(0, I5499 + SUM(SUMIFS($I$1:I5498, $C$1:C5498, C5499, $B$1:B5498, {"MAL ALIMI","ÜRETİM GİRİŞ"})) - VLOOKUP(C5499, 'STOK RAPORU'!$C$2:$I$1000, 4, 0))), 0)</f>
        <v>0</v>
      </c>
      <c r="U5499" s="22">
        <f t="shared" si="344"/>
        <v>0</v>
      </c>
      <c r="V5499">
        <f t="shared" si="345"/>
        <v>0</v>
      </c>
      <c r="W5499" s="22">
        <f t="shared" si="346"/>
        <v>0</v>
      </c>
    </row>
    <row r="5500" spans="1:23" hidden="1" x14ac:dyDescent="0.25">
      <c r="A5500" s="3">
        <v>46095</v>
      </c>
      <c r="B5500" s="4" t="s">
        <v>334</v>
      </c>
      <c r="C5500" s="4" t="s">
        <v>2124</v>
      </c>
      <c r="D5500" s="4"/>
      <c r="E5500" s="4" t="s">
        <v>921</v>
      </c>
      <c r="F5500" s="46" t="s">
        <v>2620</v>
      </c>
      <c r="G5500" s="4" t="s">
        <v>336</v>
      </c>
      <c r="H5500" s="4" t="s">
        <v>380</v>
      </c>
      <c r="I5500" s="4">
        <v>0.44600000000000001</v>
      </c>
      <c r="J5500" s="21">
        <v>500</v>
      </c>
      <c r="K5500" s="21">
        <v>223</v>
      </c>
      <c r="L5500" s="5">
        <v>0</v>
      </c>
      <c r="M5500" s="4"/>
      <c r="N5500" s="4"/>
      <c r="O5500" s="5"/>
      <c r="P5500" s="5"/>
      <c r="Q5500" s="21">
        <v>0</v>
      </c>
      <c r="R5500" s="21">
        <v>0</v>
      </c>
      <c r="S5500" s="5">
        <f t="shared" si="343"/>
        <v>71264.612167016108</v>
      </c>
      <c r="T5500" cm="1">
        <f t="array" ref="T5500">IF(OR(B5500="MAL ALIMI", B5500="ÜRETİM GİRİŞ"), MIN(I5500, MAX(0, I5500 + SUM(SUMIFS($I$1:I5499, $C$1:C5499, C5500, $B$1:B5499, {"MAL ALIMI","ÜRETİM GİRİŞ"})) - VLOOKUP(C5500, 'STOK RAPORU'!$C$2:$I$1000, 4, 0))), 0)</f>
        <v>0</v>
      </c>
      <c r="U5500" s="22">
        <f t="shared" si="344"/>
        <v>0</v>
      </c>
      <c r="V5500">
        <f t="shared" si="345"/>
        <v>0</v>
      </c>
      <c r="W5500" s="22">
        <f t="shared" si="346"/>
        <v>0</v>
      </c>
    </row>
    <row r="5501" spans="1:23" hidden="1" x14ac:dyDescent="0.25">
      <c r="A5501" s="3">
        <v>46095</v>
      </c>
      <c r="B5501" s="4" t="s">
        <v>334</v>
      </c>
      <c r="C5501" s="4" t="s">
        <v>230</v>
      </c>
      <c r="D5501" s="4"/>
      <c r="E5501" s="4"/>
      <c r="F5501" s="46" t="s">
        <v>2621</v>
      </c>
      <c r="G5501" s="4" t="s">
        <v>336</v>
      </c>
      <c r="H5501" s="4" t="s">
        <v>289</v>
      </c>
      <c r="I5501" s="4">
        <v>2</v>
      </c>
      <c r="J5501" s="21">
        <v>200</v>
      </c>
      <c r="K5501" s="21">
        <v>0</v>
      </c>
      <c r="L5501" s="5">
        <v>0</v>
      </c>
      <c r="M5501" s="4"/>
      <c r="N5501" s="4"/>
      <c r="O5501" s="5"/>
      <c r="P5501" s="5"/>
      <c r="Q5501" s="21">
        <v>400</v>
      </c>
      <c r="R5501" s="21">
        <v>0</v>
      </c>
      <c r="S5501" s="5">
        <f t="shared" si="343"/>
        <v>71664.612167016108</v>
      </c>
      <c r="T5501" cm="1">
        <f t="array" ref="T5501">IF(OR(B5501="MAL ALIMI", B5501="ÜRETİM GİRİŞ"), MIN(I5501, MAX(0, I5501 + SUM(SUMIFS($I$1:I5500, $C$1:C5500, C5501, $B$1:B5500, {"MAL ALIMI","ÜRETİM GİRİŞ"})) - VLOOKUP(C5501, 'STOK RAPORU'!$C$2:$I$1000, 4, 0))), 0)</f>
        <v>0</v>
      </c>
      <c r="U5501" s="22">
        <f t="shared" si="344"/>
        <v>0</v>
      </c>
      <c r="V5501">
        <f t="shared" si="345"/>
        <v>0</v>
      </c>
      <c r="W5501" s="22">
        <f t="shared" si="346"/>
        <v>0</v>
      </c>
    </row>
    <row r="5502" spans="1:23" hidden="1" x14ac:dyDescent="0.25">
      <c r="A5502" s="3">
        <v>46095</v>
      </c>
      <c r="B5502" s="4" t="s">
        <v>334</v>
      </c>
      <c r="C5502" s="4" t="s">
        <v>194</v>
      </c>
      <c r="D5502" s="4"/>
      <c r="E5502" s="4"/>
      <c r="F5502" s="46" t="s">
        <v>2621</v>
      </c>
      <c r="G5502" s="4" t="s">
        <v>336</v>
      </c>
      <c r="H5502" s="4" t="s">
        <v>289</v>
      </c>
      <c r="I5502" s="4">
        <v>0.504</v>
      </c>
      <c r="J5502" s="21">
        <v>750</v>
      </c>
      <c r="K5502" s="21">
        <v>0</v>
      </c>
      <c r="L5502" s="5">
        <v>0</v>
      </c>
      <c r="M5502" s="4"/>
      <c r="N5502" s="4"/>
      <c r="O5502" s="5"/>
      <c r="P5502" s="5"/>
      <c r="Q5502" s="21">
        <v>378</v>
      </c>
      <c r="R5502" s="21">
        <v>0</v>
      </c>
      <c r="S5502" s="5">
        <f t="shared" si="343"/>
        <v>72042.612167016108</v>
      </c>
      <c r="T5502" cm="1">
        <f t="array" ref="T5502">IF(OR(B5502="MAL ALIMI", B5502="ÜRETİM GİRİŞ"), MIN(I5502, MAX(0, I5502 + SUM(SUMIFS($I$1:I5501, $C$1:C5501, C5502, $B$1:B5501, {"MAL ALIMI","ÜRETİM GİRİŞ"})) - VLOOKUP(C5502, 'STOK RAPORU'!$C$2:$I$1000, 4, 0))), 0)</f>
        <v>0</v>
      </c>
      <c r="U5502" s="22">
        <f t="shared" si="344"/>
        <v>0</v>
      </c>
      <c r="V5502">
        <f t="shared" si="345"/>
        <v>0</v>
      </c>
      <c r="W5502" s="22">
        <f t="shared" si="346"/>
        <v>0</v>
      </c>
    </row>
    <row r="5503" spans="1:23" hidden="1" x14ac:dyDescent="0.25">
      <c r="A5503" s="3">
        <v>46095</v>
      </c>
      <c r="B5503" s="4" t="s">
        <v>334</v>
      </c>
      <c r="C5503" s="4" t="s">
        <v>158</v>
      </c>
      <c r="D5503" s="4"/>
      <c r="E5503" s="4"/>
      <c r="F5503" s="46" t="s">
        <v>2622</v>
      </c>
      <c r="G5503" s="4" t="s">
        <v>336</v>
      </c>
      <c r="H5503" s="4" t="s">
        <v>289</v>
      </c>
      <c r="I5503" s="4">
        <v>1</v>
      </c>
      <c r="J5503" s="21">
        <v>150</v>
      </c>
      <c r="K5503" s="21">
        <v>0</v>
      </c>
      <c r="L5503" s="5">
        <v>0</v>
      </c>
      <c r="M5503" s="4"/>
      <c r="N5503" s="4"/>
      <c r="O5503" s="5"/>
      <c r="P5503" s="5"/>
      <c r="Q5503" s="21">
        <v>150</v>
      </c>
      <c r="R5503" s="21">
        <v>0</v>
      </c>
      <c r="S5503" s="5">
        <f t="shared" si="343"/>
        <v>72192.612167016108</v>
      </c>
      <c r="T5503" cm="1">
        <f t="array" ref="T5503">IF(OR(B5503="MAL ALIMI", B5503="ÜRETİM GİRİŞ"), MIN(I5503, MAX(0, I5503 + SUM(SUMIFS($I$1:I5502, $C$1:C5502, C5503, $B$1:B5502, {"MAL ALIMI","ÜRETİM GİRİŞ"})) - VLOOKUP(C5503, 'STOK RAPORU'!$C$2:$I$1000, 4, 0))), 0)</f>
        <v>0</v>
      </c>
      <c r="U5503" s="22">
        <f t="shared" si="344"/>
        <v>0</v>
      </c>
      <c r="V5503">
        <f t="shared" si="345"/>
        <v>0</v>
      </c>
      <c r="W5503" s="22">
        <f t="shared" si="346"/>
        <v>0</v>
      </c>
    </row>
    <row r="5504" spans="1:23" hidden="1" x14ac:dyDescent="0.25">
      <c r="A5504" s="3">
        <v>46095</v>
      </c>
      <c r="B5504" s="4" t="s">
        <v>334</v>
      </c>
      <c r="C5504" s="4" t="s">
        <v>2565</v>
      </c>
      <c r="D5504" s="4"/>
      <c r="E5504" s="4" t="s">
        <v>921</v>
      </c>
      <c r="F5504" s="46" t="s">
        <v>2623</v>
      </c>
      <c r="G5504" s="4" t="s">
        <v>336</v>
      </c>
      <c r="H5504" s="4" t="s">
        <v>380</v>
      </c>
      <c r="I5504" s="4">
        <v>0.37137999999999999</v>
      </c>
      <c r="J5504" s="21">
        <v>650</v>
      </c>
      <c r="K5504" s="21">
        <v>241.39699999999999</v>
      </c>
      <c r="L5504" s="5">
        <v>0</v>
      </c>
      <c r="M5504" s="4"/>
      <c r="N5504" s="4"/>
      <c r="O5504" s="5"/>
      <c r="P5504" s="5"/>
      <c r="Q5504" s="21">
        <v>0</v>
      </c>
      <c r="R5504" s="21">
        <v>0</v>
      </c>
      <c r="S5504" s="5">
        <f t="shared" si="343"/>
        <v>72192.612167016108</v>
      </c>
      <c r="T5504" cm="1">
        <f t="array" ref="T5504">IF(OR(B5504="MAL ALIMI", B5504="ÜRETİM GİRİŞ"), MIN(I5504, MAX(0, I5504 + SUM(SUMIFS($I$1:I5503, $C$1:C5503, C5504, $B$1:B5503, {"MAL ALIMI","ÜRETİM GİRİŞ"})) - VLOOKUP(C5504, 'STOK RAPORU'!$C$2:$I$1000, 4, 0))), 0)</f>
        <v>0</v>
      </c>
      <c r="U5504" s="22">
        <f t="shared" si="344"/>
        <v>0</v>
      </c>
      <c r="V5504">
        <f t="shared" si="345"/>
        <v>0</v>
      </c>
      <c r="W5504" s="22">
        <f t="shared" si="346"/>
        <v>0</v>
      </c>
    </row>
    <row r="5505" spans="1:23" hidden="1" x14ac:dyDescent="0.25">
      <c r="A5505" s="3">
        <v>46095</v>
      </c>
      <c r="B5505" s="4" t="s">
        <v>334</v>
      </c>
      <c r="C5505" s="4" t="s">
        <v>2565</v>
      </c>
      <c r="D5505" s="4"/>
      <c r="E5505" s="4" t="s">
        <v>921</v>
      </c>
      <c r="F5505" s="46" t="s">
        <v>2623</v>
      </c>
      <c r="G5505" s="4" t="s">
        <v>336</v>
      </c>
      <c r="H5505" s="4" t="s">
        <v>380</v>
      </c>
      <c r="I5505" s="4">
        <v>0.24399999999999999</v>
      </c>
      <c r="J5505" s="21">
        <v>650</v>
      </c>
      <c r="K5505" s="21">
        <v>158.6</v>
      </c>
      <c r="L5505" s="5">
        <v>0</v>
      </c>
      <c r="M5505" s="4"/>
      <c r="N5505" s="4"/>
      <c r="O5505" s="5"/>
      <c r="P5505" s="5"/>
      <c r="Q5505" s="21">
        <v>0</v>
      </c>
      <c r="R5505" s="21">
        <v>0</v>
      </c>
      <c r="S5505" s="5">
        <f t="shared" si="343"/>
        <v>72192.612167016108</v>
      </c>
      <c r="T5505" cm="1">
        <f t="array" ref="T5505">IF(OR(B5505="MAL ALIMI", B5505="ÜRETİM GİRİŞ"), MIN(I5505, MAX(0, I5505 + SUM(SUMIFS($I$1:I5504, $C$1:C5504, C5505, $B$1:B5504, {"MAL ALIMI","ÜRETİM GİRİŞ"})) - VLOOKUP(C5505, 'STOK RAPORU'!$C$2:$I$1000, 4, 0))), 0)</f>
        <v>0</v>
      </c>
      <c r="U5505" s="22">
        <f t="shared" si="344"/>
        <v>0</v>
      </c>
      <c r="V5505">
        <f t="shared" si="345"/>
        <v>0</v>
      </c>
      <c r="W5505" s="22">
        <f t="shared" si="346"/>
        <v>0</v>
      </c>
    </row>
    <row r="5506" spans="1:23" hidden="1" x14ac:dyDescent="0.25">
      <c r="A5506" s="3">
        <v>46095</v>
      </c>
      <c r="B5506" s="4" t="s">
        <v>334</v>
      </c>
      <c r="C5506" s="4" t="s">
        <v>2124</v>
      </c>
      <c r="D5506" s="4"/>
      <c r="E5506" s="4"/>
      <c r="F5506" s="46" t="s">
        <v>2624</v>
      </c>
      <c r="G5506" s="4" t="s">
        <v>336</v>
      </c>
      <c r="H5506" s="4" t="s">
        <v>289</v>
      </c>
      <c r="I5506" s="4">
        <v>0.26</v>
      </c>
      <c r="J5506" s="21">
        <v>500</v>
      </c>
      <c r="K5506" s="21">
        <v>0</v>
      </c>
      <c r="L5506" s="5">
        <v>0</v>
      </c>
      <c r="M5506" s="4"/>
      <c r="N5506" s="4"/>
      <c r="O5506" s="5"/>
      <c r="P5506" s="5"/>
      <c r="Q5506" s="21">
        <v>130</v>
      </c>
      <c r="R5506" s="21">
        <v>0</v>
      </c>
      <c r="S5506" s="5">
        <f t="shared" si="343"/>
        <v>72322.612167016108</v>
      </c>
      <c r="T5506" cm="1">
        <f t="array" ref="T5506">IF(OR(B5506="MAL ALIMI", B5506="ÜRETİM GİRİŞ"), MIN(I5506, MAX(0, I5506 + SUM(SUMIFS($I$1:I5505, $C$1:C5505, C5506, $B$1:B5505, {"MAL ALIMI","ÜRETİM GİRİŞ"})) - VLOOKUP(C5506, 'STOK RAPORU'!$C$2:$I$1000, 4, 0))), 0)</f>
        <v>0</v>
      </c>
      <c r="U5506" s="22">
        <f t="shared" si="344"/>
        <v>0</v>
      </c>
      <c r="V5506">
        <f t="shared" si="345"/>
        <v>0</v>
      </c>
      <c r="W5506" s="22">
        <f t="shared" si="346"/>
        <v>0</v>
      </c>
    </row>
    <row r="5507" spans="1:23" hidden="1" x14ac:dyDescent="0.25">
      <c r="A5507" s="3">
        <v>46095</v>
      </c>
      <c r="B5507" s="4" t="s">
        <v>334</v>
      </c>
      <c r="C5507" s="4" t="s">
        <v>2520</v>
      </c>
      <c r="D5507" s="4"/>
      <c r="E5507" s="4"/>
      <c r="F5507" s="46" t="s">
        <v>2624</v>
      </c>
      <c r="G5507" s="4" t="s">
        <v>336</v>
      </c>
      <c r="H5507" s="4" t="s">
        <v>289</v>
      </c>
      <c r="I5507" s="4">
        <v>0.12727272727272726</v>
      </c>
      <c r="J5507" s="21">
        <v>550</v>
      </c>
      <c r="K5507" s="21">
        <v>0</v>
      </c>
      <c r="L5507" s="5">
        <v>0</v>
      </c>
      <c r="M5507" s="4"/>
      <c r="N5507" s="4"/>
      <c r="O5507" s="5"/>
      <c r="P5507" s="5"/>
      <c r="Q5507" s="21">
        <v>69.999999999999986</v>
      </c>
      <c r="R5507" s="21">
        <v>0</v>
      </c>
      <c r="S5507" s="5">
        <f t="shared" si="343"/>
        <v>72392.612167016108</v>
      </c>
      <c r="T5507" cm="1">
        <f t="array" ref="T5507">IF(OR(B5507="MAL ALIMI", B5507="ÜRETİM GİRİŞ"), MIN(I5507, MAX(0, I5507 + SUM(SUMIFS($I$1:I5506, $C$1:C5506, C5507, $B$1:B5506, {"MAL ALIMI","ÜRETİM GİRİŞ"})) - VLOOKUP(C5507, 'STOK RAPORU'!$C$2:$I$1000, 4, 0))), 0)</f>
        <v>0</v>
      </c>
      <c r="U5507" s="22">
        <f t="shared" si="344"/>
        <v>0</v>
      </c>
      <c r="V5507">
        <f t="shared" si="345"/>
        <v>0</v>
      </c>
      <c r="W5507" s="22">
        <f t="shared" si="346"/>
        <v>0</v>
      </c>
    </row>
    <row r="5508" spans="1:23" hidden="1" x14ac:dyDescent="0.25">
      <c r="A5508" s="3">
        <v>46095</v>
      </c>
      <c r="B5508" s="4" t="s">
        <v>334</v>
      </c>
      <c r="C5508" s="4" t="s">
        <v>2520</v>
      </c>
      <c r="D5508" s="4"/>
      <c r="E5508" s="4" t="s">
        <v>921</v>
      </c>
      <c r="F5508" s="46" t="s">
        <v>2625</v>
      </c>
      <c r="G5508" s="4" t="s">
        <v>336</v>
      </c>
      <c r="H5508" s="4" t="s">
        <v>380</v>
      </c>
      <c r="I5508" s="4">
        <v>0.25454545454545452</v>
      </c>
      <c r="J5508" s="21">
        <v>550</v>
      </c>
      <c r="K5508" s="21">
        <v>139.99999999999997</v>
      </c>
      <c r="L5508" s="5">
        <v>0</v>
      </c>
      <c r="M5508" s="4"/>
      <c r="N5508" s="4"/>
      <c r="O5508" s="5"/>
      <c r="P5508" s="5"/>
      <c r="Q5508" s="21">
        <v>0</v>
      </c>
      <c r="R5508" s="21">
        <v>0</v>
      </c>
      <c r="S5508" s="5">
        <f t="shared" ref="S5508:S5571" si="347">S5507+Q5508-R5508</f>
        <v>72392.612167016108</v>
      </c>
      <c r="T5508" cm="1">
        <f t="array" ref="T5508">IF(OR(B5508="MAL ALIMI", B5508="ÜRETİM GİRİŞ"), MIN(I5508, MAX(0, I5508 + SUM(SUMIFS($I$1:I5507, $C$1:C5507, C5508, $B$1:B5507, {"MAL ALIMI","ÜRETİM GİRİŞ"})) - VLOOKUP(C5508, 'STOK RAPORU'!$C$2:$I$1000, 4, 0))), 0)</f>
        <v>0</v>
      </c>
      <c r="U5508" s="22">
        <f t="shared" si="344"/>
        <v>0</v>
      </c>
      <c r="V5508">
        <f t="shared" si="345"/>
        <v>0</v>
      </c>
      <c r="W5508" s="22">
        <f t="shared" si="346"/>
        <v>0</v>
      </c>
    </row>
    <row r="5509" spans="1:23" hidden="1" x14ac:dyDescent="0.25">
      <c r="A5509" s="3">
        <v>46095</v>
      </c>
      <c r="B5509" s="4" t="s">
        <v>334</v>
      </c>
      <c r="C5509" s="4" t="s">
        <v>2523</v>
      </c>
      <c r="D5509" s="4"/>
      <c r="E5509" s="4" t="s">
        <v>921</v>
      </c>
      <c r="F5509" s="46" t="s">
        <v>2625</v>
      </c>
      <c r="G5509" s="4" t="s">
        <v>336</v>
      </c>
      <c r="H5509" s="4" t="s">
        <v>380</v>
      </c>
      <c r="I5509" s="4">
        <v>0.2</v>
      </c>
      <c r="J5509" s="21">
        <v>350</v>
      </c>
      <c r="K5509" s="21">
        <v>70</v>
      </c>
      <c r="L5509" s="5">
        <v>0</v>
      </c>
      <c r="M5509" s="4"/>
      <c r="N5509" s="4"/>
      <c r="O5509" s="5"/>
      <c r="P5509" s="5"/>
      <c r="Q5509" s="21">
        <v>0</v>
      </c>
      <c r="R5509" s="21">
        <v>0</v>
      </c>
      <c r="S5509" s="5">
        <f t="shared" si="347"/>
        <v>72392.612167016108</v>
      </c>
      <c r="T5509" cm="1">
        <f t="array" ref="T5509">IF(OR(B5509="MAL ALIMI", B5509="ÜRETİM GİRİŞ"), MIN(I5509, MAX(0, I5509 + SUM(SUMIFS($I$1:I5508, $C$1:C5508, C5509, $B$1:B5508, {"MAL ALIMI","ÜRETİM GİRİŞ"})) - VLOOKUP(C5509, 'STOK RAPORU'!$C$2:$I$1000, 4, 0))), 0)</f>
        <v>0</v>
      </c>
      <c r="U5509" s="22">
        <f t="shared" si="344"/>
        <v>0</v>
      </c>
      <c r="V5509">
        <f t="shared" si="345"/>
        <v>0</v>
      </c>
      <c r="W5509" s="22">
        <f t="shared" si="346"/>
        <v>0</v>
      </c>
    </row>
    <row r="5510" spans="1:23" hidden="1" x14ac:dyDescent="0.25">
      <c r="A5510" s="3">
        <v>46095</v>
      </c>
      <c r="B5510" s="4" t="s">
        <v>334</v>
      </c>
      <c r="C5510" s="4" t="s">
        <v>241</v>
      </c>
      <c r="D5510" s="4"/>
      <c r="E5510" s="4" t="s">
        <v>921</v>
      </c>
      <c r="F5510" s="46" t="s">
        <v>2625</v>
      </c>
      <c r="G5510" s="4" t="s">
        <v>336</v>
      </c>
      <c r="H5510" s="4" t="s">
        <v>380</v>
      </c>
      <c r="I5510" s="4">
        <v>0.27906976744186046</v>
      </c>
      <c r="J5510" s="21">
        <v>430</v>
      </c>
      <c r="K5510" s="21">
        <v>120</v>
      </c>
      <c r="L5510" s="5">
        <v>0</v>
      </c>
      <c r="M5510" s="4"/>
      <c r="N5510" s="4"/>
      <c r="O5510" s="5"/>
      <c r="P5510" s="5"/>
      <c r="Q5510" s="21">
        <v>0</v>
      </c>
      <c r="R5510" s="21">
        <v>0</v>
      </c>
      <c r="S5510" s="5">
        <f t="shared" si="347"/>
        <v>72392.612167016108</v>
      </c>
      <c r="T5510" cm="1">
        <f t="array" ref="T5510">IF(OR(B5510="MAL ALIMI", B5510="ÜRETİM GİRİŞ"), MIN(I5510, MAX(0, I5510 + SUM(SUMIFS($I$1:I5509, $C$1:C5509, C5510, $B$1:B5509, {"MAL ALIMI","ÜRETİM GİRİŞ"})) - VLOOKUP(C5510, 'STOK RAPORU'!$C$2:$I$1000, 4, 0))), 0)</f>
        <v>0</v>
      </c>
      <c r="U5510" s="22">
        <f t="shared" si="344"/>
        <v>0</v>
      </c>
      <c r="V5510">
        <f t="shared" si="345"/>
        <v>0</v>
      </c>
      <c r="W5510" s="22">
        <f t="shared" si="346"/>
        <v>0</v>
      </c>
    </row>
    <row r="5511" spans="1:23" hidden="1" x14ac:dyDescent="0.25">
      <c r="A5511" s="3">
        <v>46095</v>
      </c>
      <c r="B5511" s="4" t="s">
        <v>334</v>
      </c>
      <c r="C5511" s="4" t="s">
        <v>2562</v>
      </c>
      <c r="D5511" s="4"/>
      <c r="E5511" s="4" t="s">
        <v>921</v>
      </c>
      <c r="F5511" s="46" t="s">
        <v>2625</v>
      </c>
      <c r="G5511" s="4" t="s">
        <v>336</v>
      </c>
      <c r="H5511" s="4" t="s">
        <v>380</v>
      </c>
      <c r="I5511" s="4">
        <v>1</v>
      </c>
      <c r="J5511" s="21">
        <v>90</v>
      </c>
      <c r="K5511" s="21">
        <v>90</v>
      </c>
      <c r="L5511" s="5">
        <v>0</v>
      </c>
      <c r="M5511" s="4"/>
      <c r="N5511" s="4"/>
      <c r="O5511" s="5"/>
      <c r="P5511" s="5"/>
      <c r="Q5511" s="21">
        <v>0</v>
      </c>
      <c r="R5511" s="21">
        <v>0</v>
      </c>
      <c r="S5511" s="5">
        <f t="shared" si="347"/>
        <v>72392.612167016108</v>
      </c>
      <c r="T5511" cm="1">
        <f t="array" ref="T5511">IF(OR(B5511="MAL ALIMI", B5511="ÜRETİM GİRİŞ"), MIN(I5511, MAX(0, I5511 + SUM(SUMIFS($I$1:I5510, $C$1:C5510, C5511, $B$1:B5510, {"MAL ALIMI","ÜRETİM GİRİŞ"})) - VLOOKUP(C5511, 'STOK RAPORU'!$C$2:$I$1000, 4, 0))), 0)</f>
        <v>0</v>
      </c>
      <c r="U5511" s="22">
        <f t="shared" si="344"/>
        <v>0</v>
      </c>
      <c r="V5511">
        <f t="shared" si="345"/>
        <v>0</v>
      </c>
      <c r="W5511" s="22">
        <f t="shared" si="346"/>
        <v>0</v>
      </c>
    </row>
    <row r="5512" spans="1:23" hidden="1" x14ac:dyDescent="0.25">
      <c r="A5512" s="3">
        <v>46095</v>
      </c>
      <c r="B5512" s="4" t="s">
        <v>334</v>
      </c>
      <c r="C5512" s="4" t="s">
        <v>2124</v>
      </c>
      <c r="D5512" s="4"/>
      <c r="E5512" s="4"/>
      <c r="F5512" s="46" t="s">
        <v>2626</v>
      </c>
      <c r="G5512" s="4" t="s">
        <v>336</v>
      </c>
      <c r="H5512" s="4" t="s">
        <v>289</v>
      </c>
      <c r="I5512" s="4">
        <v>0.27</v>
      </c>
      <c r="J5512" s="21">
        <v>500</v>
      </c>
      <c r="K5512" s="21">
        <v>0</v>
      </c>
      <c r="L5512" s="5">
        <v>0</v>
      </c>
      <c r="M5512" s="4"/>
      <c r="N5512" s="4"/>
      <c r="O5512" s="5"/>
      <c r="P5512" s="5"/>
      <c r="Q5512" s="21">
        <v>135</v>
      </c>
      <c r="R5512" s="21">
        <v>0</v>
      </c>
      <c r="S5512" s="5">
        <f t="shared" si="347"/>
        <v>72527.612167016108</v>
      </c>
      <c r="T5512" cm="1">
        <f t="array" ref="T5512">IF(OR(B5512="MAL ALIMI", B5512="ÜRETİM GİRİŞ"), MIN(I5512, MAX(0, I5512 + SUM(SUMIFS($I$1:I5511, $C$1:C5511, C5512, $B$1:B5511, {"MAL ALIMI","ÜRETİM GİRİŞ"})) - VLOOKUP(C5512, 'STOK RAPORU'!$C$2:$I$1000, 4, 0))), 0)</f>
        <v>0</v>
      </c>
      <c r="U5512" s="22">
        <f t="shared" si="344"/>
        <v>0</v>
      </c>
      <c r="V5512">
        <f t="shared" si="345"/>
        <v>0</v>
      </c>
      <c r="W5512" s="22">
        <f t="shared" si="346"/>
        <v>0</v>
      </c>
    </row>
    <row r="5513" spans="1:23" hidden="1" x14ac:dyDescent="0.25">
      <c r="A5513" s="3">
        <v>46095</v>
      </c>
      <c r="B5513" s="4" t="s">
        <v>334</v>
      </c>
      <c r="C5513" s="4" t="s">
        <v>132</v>
      </c>
      <c r="D5513" s="4"/>
      <c r="E5513" s="4"/>
      <c r="F5513" s="46" t="s">
        <v>2626</v>
      </c>
      <c r="G5513" s="4" t="s">
        <v>336</v>
      </c>
      <c r="H5513" s="4" t="s">
        <v>289</v>
      </c>
      <c r="I5513" s="4">
        <v>0.5</v>
      </c>
      <c r="J5513" s="21">
        <v>500</v>
      </c>
      <c r="K5513" s="21">
        <v>0</v>
      </c>
      <c r="L5513" s="5">
        <v>0</v>
      </c>
      <c r="M5513" s="4"/>
      <c r="N5513" s="4"/>
      <c r="O5513" s="5"/>
      <c r="P5513" s="5"/>
      <c r="Q5513" s="21">
        <v>250</v>
      </c>
      <c r="R5513" s="21">
        <v>0</v>
      </c>
      <c r="S5513" s="5">
        <f t="shared" si="347"/>
        <v>72777.612167016108</v>
      </c>
      <c r="T5513" cm="1">
        <f t="array" ref="T5513">IF(OR(B5513="MAL ALIMI", B5513="ÜRETİM GİRİŞ"), MIN(I5513, MAX(0, I5513 + SUM(SUMIFS($I$1:I5512, $C$1:C5512, C5513, $B$1:B5512, {"MAL ALIMI","ÜRETİM GİRİŞ"})) - VLOOKUP(C5513, 'STOK RAPORU'!$C$2:$I$1000, 4, 0))), 0)</f>
        <v>0</v>
      </c>
      <c r="U5513" s="22">
        <f t="shared" si="344"/>
        <v>0</v>
      </c>
      <c r="V5513">
        <f t="shared" si="345"/>
        <v>0</v>
      </c>
      <c r="W5513" s="22">
        <f t="shared" si="346"/>
        <v>0</v>
      </c>
    </row>
    <row r="5514" spans="1:23" hidden="1" x14ac:dyDescent="0.25">
      <c r="A5514" s="3">
        <v>46095</v>
      </c>
      <c r="B5514" s="4" t="s">
        <v>334</v>
      </c>
      <c r="C5514" s="4" t="s">
        <v>156</v>
      </c>
      <c r="D5514" s="4"/>
      <c r="E5514" s="4"/>
      <c r="F5514" s="46" t="s">
        <v>2626</v>
      </c>
      <c r="G5514" s="4" t="s">
        <v>336</v>
      </c>
      <c r="H5514" s="4" t="s">
        <v>289</v>
      </c>
      <c r="I5514" s="4">
        <v>1</v>
      </c>
      <c r="J5514" s="21">
        <v>200</v>
      </c>
      <c r="K5514" s="21">
        <v>0</v>
      </c>
      <c r="L5514" s="5">
        <v>0</v>
      </c>
      <c r="M5514" s="4"/>
      <c r="N5514" s="4"/>
      <c r="O5514" s="5"/>
      <c r="P5514" s="5"/>
      <c r="Q5514" s="21">
        <v>200</v>
      </c>
      <c r="R5514" s="21">
        <v>0</v>
      </c>
      <c r="S5514" s="5">
        <f t="shared" si="347"/>
        <v>72977.612167016108</v>
      </c>
      <c r="T5514" cm="1">
        <f t="array" ref="T5514">IF(OR(B5514="MAL ALIMI", B5514="ÜRETİM GİRİŞ"), MIN(I5514, MAX(0, I5514 + SUM(SUMIFS($I$1:I5513, $C$1:C5513, C5514, $B$1:B5513, {"MAL ALIMI","ÜRETİM GİRİŞ"})) - VLOOKUP(C5514, 'STOK RAPORU'!$C$2:$I$1000, 4, 0))), 0)</f>
        <v>0</v>
      </c>
      <c r="U5514" s="22">
        <f t="shared" si="344"/>
        <v>0</v>
      </c>
      <c r="V5514">
        <f t="shared" si="345"/>
        <v>0</v>
      </c>
      <c r="W5514" s="22">
        <f t="shared" si="346"/>
        <v>0</v>
      </c>
    </row>
    <row r="5515" spans="1:23" hidden="1" x14ac:dyDescent="0.25">
      <c r="A5515" s="3">
        <v>46095</v>
      </c>
      <c r="B5515" s="4" t="s">
        <v>334</v>
      </c>
      <c r="C5515" s="4" t="s">
        <v>60</v>
      </c>
      <c r="D5515" s="4"/>
      <c r="E5515" s="4"/>
      <c r="F5515" s="46" t="s">
        <v>2626</v>
      </c>
      <c r="G5515" s="4" t="s">
        <v>336</v>
      </c>
      <c r="H5515" s="4" t="s">
        <v>289</v>
      </c>
      <c r="I5515" s="4">
        <v>0.05</v>
      </c>
      <c r="J5515" s="21">
        <v>1200</v>
      </c>
      <c r="K5515" s="21">
        <v>0</v>
      </c>
      <c r="L5515" s="5">
        <v>0</v>
      </c>
      <c r="M5515" s="4"/>
      <c r="N5515" s="4"/>
      <c r="O5515" s="5"/>
      <c r="P5515" s="5"/>
      <c r="Q5515" s="21">
        <v>60</v>
      </c>
      <c r="R5515" s="21">
        <v>0</v>
      </c>
      <c r="S5515" s="5">
        <f t="shared" si="347"/>
        <v>73037.612167016108</v>
      </c>
      <c r="T5515" cm="1">
        <f t="array" ref="T5515">IF(OR(B5515="MAL ALIMI", B5515="ÜRETİM GİRİŞ"), MIN(I5515, MAX(0, I5515 + SUM(SUMIFS($I$1:I5514, $C$1:C5514, C5515, $B$1:B5514, {"MAL ALIMI","ÜRETİM GİRİŞ"})) - VLOOKUP(C5515, 'STOK RAPORU'!$C$2:$I$1000, 4, 0))), 0)</f>
        <v>0</v>
      </c>
      <c r="U5515" s="22">
        <f t="shared" si="344"/>
        <v>0</v>
      </c>
      <c r="V5515">
        <f t="shared" si="345"/>
        <v>0</v>
      </c>
      <c r="W5515" s="22">
        <f t="shared" si="346"/>
        <v>0</v>
      </c>
    </row>
    <row r="5516" spans="1:23" hidden="1" x14ac:dyDescent="0.25">
      <c r="A5516" s="3">
        <v>46095</v>
      </c>
      <c r="B5516" s="4" t="s">
        <v>334</v>
      </c>
      <c r="C5516" s="4" t="s">
        <v>1501</v>
      </c>
      <c r="D5516" s="4"/>
      <c r="E5516" s="4"/>
      <c r="F5516" s="46" t="s">
        <v>2626</v>
      </c>
      <c r="G5516" s="4" t="s">
        <v>336</v>
      </c>
      <c r="H5516" s="4" t="s">
        <v>289</v>
      </c>
      <c r="I5516" s="4">
        <v>0.25</v>
      </c>
      <c r="J5516" s="21">
        <v>600</v>
      </c>
      <c r="K5516" s="21">
        <v>0</v>
      </c>
      <c r="L5516" s="5">
        <v>0</v>
      </c>
      <c r="M5516" s="4"/>
      <c r="N5516" s="4"/>
      <c r="O5516" s="5"/>
      <c r="P5516" s="5"/>
      <c r="Q5516" s="21">
        <v>150</v>
      </c>
      <c r="R5516" s="21">
        <v>0</v>
      </c>
      <c r="S5516" s="5">
        <f t="shared" si="347"/>
        <v>73187.612167016108</v>
      </c>
      <c r="T5516" cm="1">
        <f t="array" ref="T5516">IF(OR(B5516="MAL ALIMI", B5516="ÜRETİM GİRİŞ"), MIN(I5516, MAX(0, I5516 + SUM(SUMIFS($I$1:I5515, $C$1:C5515, C5516, $B$1:B5515, {"MAL ALIMI","ÜRETİM GİRİŞ"})) - VLOOKUP(C5516, 'STOK RAPORU'!$C$2:$I$1000, 4, 0))), 0)</f>
        <v>0</v>
      </c>
      <c r="U5516" s="22">
        <f t="shared" si="344"/>
        <v>0</v>
      </c>
      <c r="V5516">
        <f t="shared" si="345"/>
        <v>0</v>
      </c>
      <c r="W5516" s="22">
        <f t="shared" si="346"/>
        <v>0</v>
      </c>
    </row>
    <row r="5517" spans="1:23" hidden="1" x14ac:dyDescent="0.25">
      <c r="A5517" s="3">
        <v>46095</v>
      </c>
      <c r="B5517" s="4" t="s">
        <v>334</v>
      </c>
      <c r="C5517" s="4" t="s">
        <v>728</v>
      </c>
      <c r="D5517" s="4"/>
      <c r="E5517" s="4" t="s">
        <v>921</v>
      </c>
      <c r="F5517" s="46" t="s">
        <v>2627</v>
      </c>
      <c r="G5517" s="4" t="s">
        <v>336</v>
      </c>
      <c r="H5517" s="4" t="s">
        <v>380</v>
      </c>
      <c r="I5517" s="4">
        <v>0.2</v>
      </c>
      <c r="J5517" s="21">
        <v>690</v>
      </c>
      <c r="K5517" s="21">
        <v>138</v>
      </c>
      <c r="L5517" s="5">
        <v>0</v>
      </c>
      <c r="M5517" s="4"/>
      <c r="N5517" s="4"/>
      <c r="O5517" s="5"/>
      <c r="P5517" s="5"/>
      <c r="Q5517" s="21">
        <v>0</v>
      </c>
      <c r="R5517" s="21">
        <v>0</v>
      </c>
      <c r="S5517" s="5">
        <f t="shared" si="347"/>
        <v>73187.612167016108</v>
      </c>
      <c r="T5517" cm="1">
        <f t="array" ref="T5517">IF(OR(B5517="MAL ALIMI", B5517="ÜRETİM GİRİŞ"), MIN(I5517, MAX(0, I5517 + SUM(SUMIFS($I$1:I5516, $C$1:C5516, C5517, $B$1:B5516, {"MAL ALIMI","ÜRETİM GİRİŞ"})) - VLOOKUP(C5517, 'STOK RAPORU'!$C$2:$I$1000, 4, 0))), 0)</f>
        <v>0</v>
      </c>
      <c r="U5517" s="22">
        <f t="shared" si="344"/>
        <v>0</v>
      </c>
      <c r="V5517">
        <f t="shared" si="345"/>
        <v>0</v>
      </c>
      <c r="W5517" s="22">
        <f t="shared" si="346"/>
        <v>0</v>
      </c>
    </row>
    <row r="5518" spans="1:23" hidden="1" x14ac:dyDescent="0.25">
      <c r="A5518" s="3">
        <v>46095</v>
      </c>
      <c r="B5518" s="4" t="s">
        <v>334</v>
      </c>
      <c r="C5518" s="4" t="s">
        <v>2520</v>
      </c>
      <c r="D5518" s="4"/>
      <c r="E5518" s="4" t="s">
        <v>921</v>
      </c>
      <c r="F5518" s="46" t="s">
        <v>2627</v>
      </c>
      <c r="G5518" s="4" t="s">
        <v>336</v>
      </c>
      <c r="H5518" s="4" t="s">
        <v>380</v>
      </c>
      <c r="I5518" s="4">
        <v>0.5</v>
      </c>
      <c r="J5518" s="21">
        <v>550</v>
      </c>
      <c r="K5518" s="21">
        <v>275</v>
      </c>
      <c r="L5518" s="5">
        <v>0</v>
      </c>
      <c r="M5518" s="4"/>
      <c r="N5518" s="4"/>
      <c r="O5518" s="5"/>
      <c r="P5518" s="5"/>
      <c r="Q5518" s="21">
        <v>0</v>
      </c>
      <c r="R5518" s="21">
        <v>0</v>
      </c>
      <c r="S5518" s="5">
        <f t="shared" si="347"/>
        <v>73187.612167016108</v>
      </c>
      <c r="T5518" cm="1">
        <f t="array" ref="T5518">IF(OR(B5518="MAL ALIMI", B5518="ÜRETİM GİRİŞ"), MIN(I5518, MAX(0, I5518 + SUM(SUMIFS($I$1:I5517, $C$1:C5517, C5518, $B$1:B5517, {"MAL ALIMI","ÜRETİM GİRİŞ"})) - VLOOKUP(C5518, 'STOK RAPORU'!$C$2:$I$1000, 4, 0))), 0)</f>
        <v>0</v>
      </c>
      <c r="U5518" s="22">
        <f t="shared" si="344"/>
        <v>0</v>
      </c>
      <c r="V5518">
        <f t="shared" si="345"/>
        <v>0</v>
      </c>
      <c r="W5518" s="22">
        <f t="shared" si="346"/>
        <v>0</v>
      </c>
    </row>
    <row r="5519" spans="1:23" hidden="1" x14ac:dyDescent="0.25">
      <c r="A5519" s="3">
        <v>46095</v>
      </c>
      <c r="B5519" s="4" t="s">
        <v>334</v>
      </c>
      <c r="C5519" s="4" t="s">
        <v>2124</v>
      </c>
      <c r="D5519" s="4"/>
      <c r="E5519" s="4" t="s">
        <v>921</v>
      </c>
      <c r="F5519" s="46" t="s">
        <v>2627</v>
      </c>
      <c r="G5519" s="4" t="s">
        <v>336</v>
      </c>
      <c r="H5519" s="4" t="s">
        <v>380</v>
      </c>
      <c r="I5519" s="4">
        <v>0.5</v>
      </c>
      <c r="J5519" s="21">
        <v>500</v>
      </c>
      <c r="K5519" s="21">
        <v>250</v>
      </c>
      <c r="L5519" s="5">
        <v>0</v>
      </c>
      <c r="M5519" s="4"/>
      <c r="N5519" s="4"/>
      <c r="O5519" s="5"/>
      <c r="P5519" s="5"/>
      <c r="Q5519" s="21">
        <v>0</v>
      </c>
      <c r="R5519" s="21">
        <v>0</v>
      </c>
      <c r="S5519" s="5">
        <f t="shared" si="347"/>
        <v>73187.612167016108</v>
      </c>
      <c r="T5519" cm="1">
        <f t="array" ref="T5519">IF(OR(B5519="MAL ALIMI", B5519="ÜRETİM GİRİŞ"), MIN(I5519, MAX(0, I5519 + SUM(SUMIFS($I$1:I5518, $C$1:C5518, C5519, $B$1:B5518, {"MAL ALIMI","ÜRETİM GİRİŞ"})) - VLOOKUP(C5519, 'STOK RAPORU'!$C$2:$I$1000, 4, 0))), 0)</f>
        <v>0</v>
      </c>
      <c r="U5519" s="22">
        <f t="shared" si="344"/>
        <v>0</v>
      </c>
      <c r="V5519">
        <f t="shared" si="345"/>
        <v>0</v>
      </c>
      <c r="W5519" s="22">
        <f t="shared" si="346"/>
        <v>0</v>
      </c>
    </row>
    <row r="5520" spans="1:23" hidden="1" x14ac:dyDescent="0.25">
      <c r="A5520" s="3">
        <v>46095</v>
      </c>
      <c r="B5520" s="4" t="s">
        <v>334</v>
      </c>
      <c r="C5520" s="4" t="s">
        <v>160</v>
      </c>
      <c r="D5520" s="4"/>
      <c r="E5520" s="4"/>
      <c r="F5520" s="46" t="s">
        <v>2628</v>
      </c>
      <c r="G5520" s="4" t="s">
        <v>336</v>
      </c>
      <c r="H5520" s="4" t="s">
        <v>289</v>
      </c>
      <c r="I5520" s="4">
        <v>1</v>
      </c>
      <c r="J5520" s="21">
        <v>250</v>
      </c>
      <c r="K5520" s="21">
        <v>0</v>
      </c>
      <c r="L5520" s="5">
        <v>0</v>
      </c>
      <c r="M5520" s="4"/>
      <c r="N5520" s="4"/>
      <c r="O5520" s="5"/>
      <c r="P5520" s="5"/>
      <c r="Q5520" s="21">
        <v>250</v>
      </c>
      <c r="R5520" s="21">
        <v>0</v>
      </c>
      <c r="S5520" s="5">
        <f t="shared" si="347"/>
        <v>73437.612167016108</v>
      </c>
      <c r="T5520" cm="1">
        <f t="array" ref="T5520">IF(OR(B5520="MAL ALIMI", B5520="ÜRETİM GİRİŞ"), MIN(I5520, MAX(0, I5520 + SUM(SUMIFS($I$1:I5519, $C$1:C5519, C5520, $B$1:B5519, {"MAL ALIMI","ÜRETİM GİRİŞ"})) - VLOOKUP(C5520, 'STOK RAPORU'!$C$2:$I$1000, 4, 0))), 0)</f>
        <v>0</v>
      </c>
      <c r="U5520" s="22">
        <f t="shared" si="344"/>
        <v>0</v>
      </c>
      <c r="V5520">
        <f t="shared" si="345"/>
        <v>0</v>
      </c>
      <c r="W5520" s="22">
        <f t="shared" si="346"/>
        <v>0</v>
      </c>
    </row>
    <row r="5521" spans="1:23" hidden="1" x14ac:dyDescent="0.25">
      <c r="A5521" s="3">
        <v>46095</v>
      </c>
      <c r="B5521" s="4" t="s">
        <v>334</v>
      </c>
      <c r="C5521" s="4" t="s">
        <v>130</v>
      </c>
      <c r="D5521" s="4"/>
      <c r="E5521" s="4" t="s">
        <v>921</v>
      </c>
      <c r="F5521" s="46" t="s">
        <v>2629</v>
      </c>
      <c r="G5521" s="4" t="s">
        <v>336</v>
      </c>
      <c r="H5521" s="4" t="s">
        <v>380</v>
      </c>
      <c r="I5521" s="4">
        <v>8.5365853658536592E-2</v>
      </c>
      <c r="J5521" s="21">
        <v>410</v>
      </c>
      <c r="K5521" s="21">
        <v>35</v>
      </c>
      <c r="L5521" s="5">
        <v>0</v>
      </c>
      <c r="M5521" s="4"/>
      <c r="N5521" s="4"/>
      <c r="O5521" s="5"/>
      <c r="P5521" s="5"/>
      <c r="Q5521" s="21">
        <v>0</v>
      </c>
      <c r="R5521" s="21">
        <v>0</v>
      </c>
      <c r="S5521" s="5">
        <f t="shared" si="347"/>
        <v>73437.612167016108</v>
      </c>
      <c r="T5521" cm="1">
        <f t="array" ref="T5521">IF(OR(B5521="MAL ALIMI", B5521="ÜRETİM GİRİŞ"), MIN(I5521, MAX(0, I5521 + SUM(SUMIFS($I$1:I5520, $C$1:C5520, C5521, $B$1:B5520, {"MAL ALIMI","ÜRETİM GİRİŞ"})) - VLOOKUP(C5521, 'STOK RAPORU'!$C$2:$I$1000, 4, 0))), 0)</f>
        <v>0</v>
      </c>
      <c r="U5521" s="22">
        <f t="shared" si="344"/>
        <v>0</v>
      </c>
      <c r="V5521">
        <f t="shared" si="345"/>
        <v>0</v>
      </c>
      <c r="W5521" s="22">
        <f t="shared" si="346"/>
        <v>0</v>
      </c>
    </row>
    <row r="5522" spans="1:23" hidden="1" x14ac:dyDescent="0.25">
      <c r="A5522" s="3">
        <v>46095</v>
      </c>
      <c r="B5522" s="4" t="s">
        <v>334</v>
      </c>
      <c r="C5522" s="4" t="s">
        <v>126</v>
      </c>
      <c r="D5522" s="4"/>
      <c r="E5522" s="4" t="s">
        <v>921</v>
      </c>
      <c r="F5522" s="46" t="s">
        <v>2629</v>
      </c>
      <c r="G5522" s="4" t="s">
        <v>336</v>
      </c>
      <c r="H5522" s="4" t="s">
        <v>380</v>
      </c>
      <c r="I5522" s="4">
        <v>9.2307692307692313E-2</v>
      </c>
      <c r="J5522" s="21">
        <v>650</v>
      </c>
      <c r="K5522" s="21">
        <v>60</v>
      </c>
      <c r="L5522" s="5">
        <v>0</v>
      </c>
      <c r="M5522" s="4"/>
      <c r="N5522" s="4"/>
      <c r="O5522" s="5"/>
      <c r="P5522" s="5"/>
      <c r="Q5522" s="21">
        <v>0</v>
      </c>
      <c r="R5522" s="21">
        <v>0</v>
      </c>
      <c r="S5522" s="5">
        <f t="shared" si="347"/>
        <v>73437.612167016108</v>
      </c>
      <c r="T5522" cm="1">
        <f t="array" ref="T5522">IF(OR(B5522="MAL ALIMI", B5522="ÜRETİM GİRİŞ"), MIN(I5522, MAX(0, I5522 + SUM(SUMIFS($I$1:I5521, $C$1:C5521, C5522, $B$1:B5521, {"MAL ALIMI","ÜRETİM GİRİŞ"})) - VLOOKUP(C5522, 'STOK RAPORU'!$C$2:$I$1000, 4, 0))), 0)</f>
        <v>0</v>
      </c>
      <c r="U5522" s="22">
        <f t="shared" si="344"/>
        <v>0</v>
      </c>
      <c r="V5522">
        <f t="shared" si="345"/>
        <v>0</v>
      </c>
      <c r="W5522" s="22">
        <f t="shared" si="346"/>
        <v>0</v>
      </c>
    </row>
    <row r="5523" spans="1:23" hidden="1" x14ac:dyDescent="0.25">
      <c r="A5523" s="3">
        <v>46095</v>
      </c>
      <c r="B5523" s="4" t="s">
        <v>334</v>
      </c>
      <c r="C5523" s="4" t="s">
        <v>132</v>
      </c>
      <c r="D5523" s="4"/>
      <c r="E5523" s="4" t="s">
        <v>921</v>
      </c>
      <c r="F5523" s="46" t="s">
        <v>2629</v>
      </c>
      <c r="G5523" s="4" t="s">
        <v>336</v>
      </c>
      <c r="H5523" s="4" t="s">
        <v>380</v>
      </c>
      <c r="I5523" s="4">
        <v>0.1</v>
      </c>
      <c r="J5523" s="21">
        <v>500</v>
      </c>
      <c r="K5523" s="21">
        <v>50</v>
      </c>
      <c r="L5523" s="5">
        <v>0</v>
      </c>
      <c r="M5523" s="4"/>
      <c r="N5523" s="4"/>
      <c r="O5523" s="5"/>
      <c r="P5523" s="5"/>
      <c r="Q5523" s="21">
        <v>0</v>
      </c>
      <c r="R5523" s="21">
        <v>0</v>
      </c>
      <c r="S5523" s="5">
        <f t="shared" si="347"/>
        <v>73437.612167016108</v>
      </c>
      <c r="T5523" cm="1">
        <f t="array" ref="T5523">IF(OR(B5523="MAL ALIMI", B5523="ÜRETİM GİRİŞ"), MIN(I5523, MAX(0, I5523 + SUM(SUMIFS($I$1:I5522, $C$1:C5522, C5523, $B$1:B5522, {"MAL ALIMI","ÜRETİM GİRİŞ"})) - VLOOKUP(C5523, 'STOK RAPORU'!$C$2:$I$1000, 4, 0))), 0)</f>
        <v>0</v>
      </c>
      <c r="U5523" s="22">
        <f t="shared" si="344"/>
        <v>0</v>
      </c>
      <c r="V5523">
        <f t="shared" si="345"/>
        <v>0</v>
      </c>
      <c r="W5523" s="22">
        <f t="shared" si="346"/>
        <v>0</v>
      </c>
    </row>
    <row r="5524" spans="1:23" hidden="1" x14ac:dyDescent="0.25">
      <c r="A5524" s="3">
        <v>46095</v>
      </c>
      <c r="B5524" s="4" t="s">
        <v>334</v>
      </c>
      <c r="C5524" s="4" t="s">
        <v>89</v>
      </c>
      <c r="D5524" s="4"/>
      <c r="E5524" s="4"/>
      <c r="F5524" s="46" t="s">
        <v>2630</v>
      </c>
      <c r="G5524" s="4" t="s">
        <v>336</v>
      </c>
      <c r="H5524" s="4" t="s">
        <v>289</v>
      </c>
      <c r="I5524" s="4">
        <v>0.1</v>
      </c>
      <c r="J5524" s="21">
        <v>65</v>
      </c>
      <c r="K5524" s="21">
        <v>0</v>
      </c>
      <c r="L5524" s="5">
        <v>0</v>
      </c>
      <c r="M5524" s="4"/>
      <c r="N5524" s="4"/>
      <c r="O5524" s="5"/>
      <c r="P5524" s="5"/>
      <c r="Q5524" s="21">
        <v>6.5</v>
      </c>
      <c r="R5524" s="21">
        <v>0</v>
      </c>
      <c r="S5524" s="5">
        <f t="shared" si="347"/>
        <v>73444.112167016108</v>
      </c>
      <c r="T5524" cm="1">
        <f t="array" ref="T5524">IF(OR(B5524="MAL ALIMI", B5524="ÜRETİM GİRİŞ"), MIN(I5524, MAX(0, I5524 + SUM(SUMIFS($I$1:I5523, $C$1:C5523, C5524, $B$1:B5523, {"MAL ALIMI","ÜRETİM GİRİŞ"})) - VLOOKUP(C5524, 'STOK RAPORU'!$C$2:$I$1000, 4, 0))), 0)</f>
        <v>0</v>
      </c>
      <c r="U5524" s="22">
        <f t="shared" si="344"/>
        <v>0</v>
      </c>
      <c r="V5524">
        <f t="shared" si="345"/>
        <v>0</v>
      </c>
      <c r="W5524" s="22">
        <f t="shared" si="346"/>
        <v>0</v>
      </c>
    </row>
    <row r="5525" spans="1:23" hidden="1" x14ac:dyDescent="0.25">
      <c r="A5525" s="3">
        <v>46095</v>
      </c>
      <c r="B5525" s="4" t="s">
        <v>334</v>
      </c>
      <c r="C5525" s="4" t="s">
        <v>2579</v>
      </c>
      <c r="D5525" s="4"/>
      <c r="E5525" s="4"/>
      <c r="F5525" s="46" t="s">
        <v>2630</v>
      </c>
      <c r="G5525" s="4" t="s">
        <v>336</v>
      </c>
      <c r="H5525" s="4" t="s">
        <v>289</v>
      </c>
      <c r="I5525" s="4">
        <v>1</v>
      </c>
      <c r="J5525" s="21">
        <v>10</v>
      </c>
      <c r="K5525" s="21">
        <v>0</v>
      </c>
      <c r="L5525" s="5">
        <v>0</v>
      </c>
      <c r="M5525" s="4"/>
      <c r="N5525" s="4"/>
      <c r="O5525" s="5"/>
      <c r="P5525" s="5"/>
      <c r="Q5525" s="21">
        <v>10</v>
      </c>
      <c r="R5525" s="21">
        <v>0</v>
      </c>
      <c r="S5525" s="5">
        <f t="shared" si="347"/>
        <v>73454.112167016108</v>
      </c>
      <c r="T5525" cm="1">
        <f t="array" ref="T5525">IF(OR(B5525="MAL ALIMI", B5525="ÜRETİM GİRİŞ"), MIN(I5525, MAX(0, I5525 + SUM(SUMIFS($I$1:I5524, $C$1:C5524, C5525, $B$1:B5524, {"MAL ALIMI","ÜRETİM GİRİŞ"})) - VLOOKUP(C5525, 'STOK RAPORU'!$C$2:$I$1000, 4, 0))), 0)</f>
        <v>0</v>
      </c>
      <c r="U5525" s="22">
        <f t="shared" si="344"/>
        <v>0</v>
      </c>
      <c r="V5525">
        <f t="shared" si="345"/>
        <v>0</v>
      </c>
      <c r="W5525" s="22">
        <f t="shared" si="346"/>
        <v>0</v>
      </c>
    </row>
    <row r="5526" spans="1:23" hidden="1" x14ac:dyDescent="0.25">
      <c r="A5526" s="3">
        <v>46095</v>
      </c>
      <c r="B5526" s="4" t="s">
        <v>917</v>
      </c>
      <c r="C5526" s="4"/>
      <c r="D5526" s="4"/>
      <c r="E5526" s="4" t="s">
        <v>2567</v>
      </c>
      <c r="F5526" s="4"/>
      <c r="G5526" s="4" t="s">
        <v>2609</v>
      </c>
      <c r="H5526" s="4" t="s">
        <v>289</v>
      </c>
      <c r="I5526" s="4">
        <v>1</v>
      </c>
      <c r="J5526" s="21">
        <v>2350</v>
      </c>
      <c r="K5526" s="21">
        <v>2350</v>
      </c>
      <c r="L5526" s="5">
        <v>0</v>
      </c>
      <c r="M5526" s="4"/>
      <c r="N5526" s="4"/>
      <c r="O5526" s="5"/>
      <c r="P5526" s="5"/>
      <c r="Q5526" s="21">
        <v>0</v>
      </c>
      <c r="R5526" s="21">
        <v>2350</v>
      </c>
      <c r="S5526" s="5">
        <f t="shared" si="347"/>
        <v>71104.112167016108</v>
      </c>
      <c r="T5526" cm="1">
        <f t="array" ref="T5526">IF(OR(B5526="MAL ALIMI", B5526="ÜRETİM GİRİŞ"), MIN(I5526, MAX(0, I5526 + SUM(SUMIFS($I$1:I5525, $C$1:C5525, C5526, $B$1:B5525, {"MAL ALIMI","ÜRETİM GİRİŞ"})) - VLOOKUP(C5526, 'STOK RAPORU'!$C$2:$I$1000, 4, 0))), 0)</f>
        <v>0</v>
      </c>
      <c r="U5526" s="22">
        <f t="shared" si="344"/>
        <v>0</v>
      </c>
      <c r="V5526">
        <f t="shared" si="345"/>
        <v>0</v>
      </c>
      <c r="W5526" s="22">
        <f t="shared" si="346"/>
        <v>0</v>
      </c>
    </row>
    <row r="5527" spans="1:23" hidden="1" x14ac:dyDescent="0.25">
      <c r="A5527" s="3">
        <v>46095</v>
      </c>
      <c r="B5527" s="4" t="s">
        <v>2344</v>
      </c>
      <c r="C5527" s="4"/>
      <c r="D5527" s="4"/>
      <c r="E5527" s="4" t="s">
        <v>2348</v>
      </c>
      <c r="F5527" s="4"/>
      <c r="G5527" s="4" t="s">
        <v>2610</v>
      </c>
      <c r="H5527" s="4" t="s">
        <v>289</v>
      </c>
      <c r="I5527" s="4">
        <v>1</v>
      </c>
      <c r="J5527" s="21">
        <v>1260</v>
      </c>
      <c r="K5527" s="21">
        <v>0</v>
      </c>
      <c r="L5527" s="5">
        <v>1260</v>
      </c>
      <c r="M5527" s="4"/>
      <c r="N5527" s="4"/>
      <c r="O5527" s="5"/>
      <c r="P5527" s="5"/>
      <c r="Q5527" s="21">
        <v>1260</v>
      </c>
      <c r="R5527" s="21">
        <v>0</v>
      </c>
      <c r="S5527" s="5">
        <f t="shared" si="347"/>
        <v>72364.112167016108</v>
      </c>
      <c r="T5527" cm="1">
        <f t="array" ref="T5527">IF(OR(B5527="MAL ALIMI", B5527="ÜRETİM GİRİŞ"), MIN(I5527, MAX(0, I5527 + SUM(SUMIFS($I$1:I5526, $C$1:C5526, C5527, $B$1:B5526, {"MAL ALIMI","ÜRETİM GİRİŞ"})) - VLOOKUP(C5527, 'STOK RAPORU'!$C$2:$I$1000, 4, 0))), 0)</f>
        <v>0</v>
      </c>
      <c r="U5527" s="22">
        <f t="shared" si="344"/>
        <v>0</v>
      </c>
      <c r="V5527">
        <f t="shared" si="345"/>
        <v>0</v>
      </c>
      <c r="W5527" s="22">
        <f t="shared" si="346"/>
        <v>0</v>
      </c>
    </row>
    <row r="5528" spans="1:23" hidden="1" x14ac:dyDescent="0.25">
      <c r="A5528" s="3">
        <v>46096</v>
      </c>
      <c r="B5528" s="4" t="s">
        <v>334</v>
      </c>
      <c r="C5528" s="4" t="s">
        <v>459</v>
      </c>
      <c r="D5528" s="4"/>
      <c r="E5528" s="4"/>
      <c r="F5528" s="46" t="s">
        <v>2631</v>
      </c>
      <c r="G5528" s="4" t="s">
        <v>336</v>
      </c>
      <c r="H5528" s="4" t="s">
        <v>289</v>
      </c>
      <c r="I5528" s="4">
        <v>0.14285714285714285</v>
      </c>
      <c r="J5528" s="21">
        <v>140</v>
      </c>
      <c r="K5528" s="21">
        <v>0</v>
      </c>
      <c r="L5528" s="5">
        <v>0</v>
      </c>
      <c r="M5528" s="4"/>
      <c r="N5528" s="4"/>
      <c r="O5528" s="5"/>
      <c r="P5528" s="5"/>
      <c r="Q5528" s="21">
        <v>20</v>
      </c>
      <c r="R5528" s="21">
        <v>0</v>
      </c>
      <c r="S5528" s="5">
        <f t="shared" si="347"/>
        <v>72384.112167016108</v>
      </c>
      <c r="T5528" cm="1">
        <f t="array" ref="T5528">IF(OR(B5528="MAL ALIMI", B5528="ÜRETİM GİRİŞ"), MIN(I5528, MAX(0, I5528 + SUM(SUMIFS($I$1:I5527, $C$1:C5527, C5528, $B$1:B5527, {"MAL ALIMI","ÜRETİM GİRİŞ"})) - VLOOKUP(C5528, 'STOK RAPORU'!$C$2:$I$1000, 4, 0))), 0)</f>
        <v>0</v>
      </c>
      <c r="U5528" s="22">
        <f t="shared" si="344"/>
        <v>0</v>
      </c>
      <c r="V5528">
        <f t="shared" si="345"/>
        <v>0</v>
      </c>
      <c r="W5528" s="22">
        <f t="shared" si="346"/>
        <v>0</v>
      </c>
    </row>
    <row r="5529" spans="1:23" hidden="1" x14ac:dyDescent="0.25">
      <c r="A5529" s="3">
        <v>46096</v>
      </c>
      <c r="B5529" s="4" t="s">
        <v>334</v>
      </c>
      <c r="C5529" s="4" t="s">
        <v>463</v>
      </c>
      <c r="D5529" s="4"/>
      <c r="E5529" s="4"/>
      <c r="F5529" s="46" t="s">
        <v>2632</v>
      </c>
      <c r="G5529" s="4" t="s">
        <v>336</v>
      </c>
      <c r="H5529" s="4" t="s">
        <v>289</v>
      </c>
      <c r="I5529" s="4">
        <v>1</v>
      </c>
      <c r="J5529" s="21">
        <v>400</v>
      </c>
      <c r="K5529" s="21">
        <v>0</v>
      </c>
      <c r="L5529" s="5">
        <v>0</v>
      </c>
      <c r="M5529" s="4"/>
      <c r="N5529" s="4"/>
      <c r="O5529" s="5"/>
      <c r="P5529" s="5"/>
      <c r="Q5529" s="21">
        <v>400</v>
      </c>
      <c r="R5529" s="21">
        <v>0</v>
      </c>
      <c r="S5529" s="5">
        <f t="shared" si="347"/>
        <v>72784.112167016108</v>
      </c>
      <c r="T5529" cm="1">
        <f t="array" ref="T5529">IF(OR(B5529="MAL ALIMI", B5529="ÜRETİM GİRİŞ"), MIN(I5529, MAX(0, I5529 + SUM(SUMIFS($I$1:I5528, $C$1:C5528, C5529, $B$1:B5528, {"MAL ALIMI","ÜRETİM GİRİŞ"})) - VLOOKUP(C5529, 'STOK RAPORU'!$C$2:$I$1000, 4, 0))), 0)</f>
        <v>0</v>
      </c>
      <c r="U5529" s="22">
        <f t="shared" si="344"/>
        <v>0</v>
      </c>
      <c r="V5529">
        <f t="shared" si="345"/>
        <v>0</v>
      </c>
      <c r="W5529" s="22">
        <f t="shared" si="346"/>
        <v>0</v>
      </c>
    </row>
    <row r="5530" spans="1:23" hidden="1" x14ac:dyDescent="0.25">
      <c r="A5530" s="3">
        <v>46096</v>
      </c>
      <c r="B5530" s="4" t="s">
        <v>334</v>
      </c>
      <c r="C5530" s="4" t="s">
        <v>132</v>
      </c>
      <c r="D5530" s="4"/>
      <c r="E5530" s="4"/>
      <c r="F5530" s="46" t="s">
        <v>2632</v>
      </c>
      <c r="G5530" s="4" t="s">
        <v>336</v>
      </c>
      <c r="H5530" s="4" t="s">
        <v>289</v>
      </c>
      <c r="I5530" s="4">
        <v>0.5</v>
      </c>
      <c r="J5530" s="21">
        <v>500</v>
      </c>
      <c r="K5530" s="21">
        <v>0</v>
      </c>
      <c r="L5530" s="5">
        <v>0</v>
      </c>
      <c r="M5530" s="4"/>
      <c r="N5530" s="4"/>
      <c r="O5530" s="5"/>
      <c r="P5530" s="5"/>
      <c r="Q5530" s="21">
        <v>250</v>
      </c>
      <c r="R5530" s="21">
        <v>0</v>
      </c>
      <c r="S5530" s="5">
        <f t="shared" si="347"/>
        <v>73034.112167016108</v>
      </c>
      <c r="T5530" cm="1">
        <f t="array" ref="T5530">IF(OR(B5530="MAL ALIMI", B5530="ÜRETİM GİRİŞ"), MIN(I5530, MAX(0, I5530 + SUM(SUMIFS($I$1:I5529, $C$1:C5529, C5530, $B$1:B5529, {"MAL ALIMI","ÜRETİM GİRİŞ"})) - VLOOKUP(C5530, 'STOK RAPORU'!$C$2:$I$1000, 4, 0))), 0)</f>
        <v>0</v>
      </c>
      <c r="U5530" s="22">
        <f t="shared" si="344"/>
        <v>0</v>
      </c>
      <c r="V5530">
        <f t="shared" si="345"/>
        <v>0</v>
      </c>
      <c r="W5530" s="22">
        <f t="shared" si="346"/>
        <v>0</v>
      </c>
    </row>
    <row r="5531" spans="1:23" hidden="1" x14ac:dyDescent="0.25">
      <c r="A5531" s="3">
        <v>46096</v>
      </c>
      <c r="B5531" s="4" t="s">
        <v>334</v>
      </c>
      <c r="C5531" s="4" t="s">
        <v>137</v>
      </c>
      <c r="D5531" s="4"/>
      <c r="E5531" s="4"/>
      <c r="F5531" s="46" t="s">
        <v>2632</v>
      </c>
      <c r="G5531" s="4" t="s">
        <v>336</v>
      </c>
      <c r="H5531" s="4" t="s">
        <v>289</v>
      </c>
      <c r="I5531" s="4">
        <v>0.27777777777777779</v>
      </c>
      <c r="J5531" s="21">
        <v>180</v>
      </c>
      <c r="K5531" s="21">
        <v>0</v>
      </c>
      <c r="L5531" s="5">
        <v>0</v>
      </c>
      <c r="M5531" s="4"/>
      <c r="N5531" s="4"/>
      <c r="O5531" s="5"/>
      <c r="P5531" s="5"/>
      <c r="Q5531" s="21">
        <v>50</v>
      </c>
      <c r="R5531" s="21">
        <v>0</v>
      </c>
      <c r="S5531" s="5">
        <f t="shared" si="347"/>
        <v>73084.112167016108</v>
      </c>
      <c r="T5531" cm="1">
        <f t="array" ref="T5531">IF(OR(B5531="MAL ALIMI", B5531="ÜRETİM GİRİŞ"), MIN(I5531, MAX(0, I5531 + SUM(SUMIFS($I$1:I5530, $C$1:C5530, C5531, $B$1:B5530, {"MAL ALIMI","ÜRETİM GİRİŞ"})) - VLOOKUP(C5531, 'STOK RAPORU'!$C$2:$I$1000, 4, 0))), 0)</f>
        <v>0</v>
      </c>
      <c r="U5531" s="22">
        <f t="shared" si="344"/>
        <v>0</v>
      </c>
      <c r="V5531">
        <f t="shared" si="345"/>
        <v>0</v>
      </c>
      <c r="W5531" s="22">
        <f t="shared" si="346"/>
        <v>0</v>
      </c>
    </row>
    <row r="5532" spans="1:23" hidden="1" x14ac:dyDescent="0.25">
      <c r="A5532" s="3">
        <v>46096</v>
      </c>
      <c r="B5532" s="4" t="s">
        <v>334</v>
      </c>
      <c r="C5532" s="4" t="s">
        <v>218</v>
      </c>
      <c r="D5532" s="4"/>
      <c r="E5532" s="4"/>
      <c r="F5532" s="46" t="s">
        <v>2632</v>
      </c>
      <c r="G5532" s="4" t="s">
        <v>336</v>
      </c>
      <c r="H5532" s="4" t="s">
        <v>289</v>
      </c>
      <c r="I5532" s="4">
        <v>1</v>
      </c>
      <c r="J5532" s="21">
        <v>300</v>
      </c>
      <c r="K5532" s="21">
        <v>0</v>
      </c>
      <c r="L5532" s="5">
        <v>0</v>
      </c>
      <c r="M5532" s="4"/>
      <c r="N5532" s="4"/>
      <c r="O5532" s="5"/>
      <c r="P5532" s="5"/>
      <c r="Q5532" s="21">
        <v>300</v>
      </c>
      <c r="R5532" s="21">
        <v>0</v>
      </c>
      <c r="S5532" s="5">
        <f t="shared" si="347"/>
        <v>73384.112167016108</v>
      </c>
      <c r="T5532" cm="1">
        <f t="array" ref="T5532">IF(OR(B5532="MAL ALIMI", B5532="ÜRETİM GİRİŞ"), MIN(I5532, MAX(0, I5532 + SUM(SUMIFS($I$1:I5531, $C$1:C5531, C5532, $B$1:B5531, {"MAL ALIMI","ÜRETİM GİRİŞ"})) - VLOOKUP(C5532, 'STOK RAPORU'!$C$2:$I$1000, 4, 0))), 0)</f>
        <v>0</v>
      </c>
      <c r="U5532" s="22">
        <f t="shared" si="344"/>
        <v>0</v>
      </c>
      <c r="V5532">
        <f t="shared" si="345"/>
        <v>0</v>
      </c>
      <c r="W5532" s="22">
        <f t="shared" si="346"/>
        <v>0</v>
      </c>
    </row>
    <row r="5533" spans="1:23" hidden="1" x14ac:dyDescent="0.25">
      <c r="A5533" s="3">
        <v>46096</v>
      </c>
      <c r="B5533" s="4" t="s">
        <v>334</v>
      </c>
      <c r="C5533" s="4" t="s">
        <v>651</v>
      </c>
      <c r="D5533" s="4"/>
      <c r="E5533" s="4" t="s">
        <v>921</v>
      </c>
      <c r="F5533" s="46" t="s">
        <v>2633</v>
      </c>
      <c r="G5533" s="4" t="s">
        <v>336</v>
      </c>
      <c r="H5533" s="4" t="s">
        <v>380</v>
      </c>
      <c r="I5533" s="4">
        <v>1</v>
      </c>
      <c r="J5533" s="21">
        <v>400</v>
      </c>
      <c r="K5533" s="21">
        <v>400</v>
      </c>
      <c r="L5533" s="5">
        <v>0</v>
      </c>
      <c r="M5533" s="4"/>
      <c r="N5533" s="4"/>
      <c r="O5533" s="5"/>
      <c r="P5533" s="5"/>
      <c r="Q5533" s="21">
        <v>0</v>
      </c>
      <c r="R5533" s="21">
        <v>0</v>
      </c>
      <c r="S5533" s="5">
        <f t="shared" si="347"/>
        <v>73384.112167016108</v>
      </c>
      <c r="T5533" cm="1">
        <f t="array" ref="T5533">IF(OR(B5533="MAL ALIMI", B5533="ÜRETİM GİRİŞ"), MIN(I5533, MAX(0, I5533 + SUM(SUMIFS($I$1:I5532, $C$1:C5532, C5533, $B$1:B5532, {"MAL ALIMI","ÜRETİM GİRİŞ"})) - VLOOKUP(C5533, 'STOK RAPORU'!$C$2:$I$1000, 4, 0))), 0)</f>
        <v>0</v>
      </c>
      <c r="U5533" s="22">
        <f t="shared" si="344"/>
        <v>0</v>
      </c>
      <c r="V5533">
        <f t="shared" si="345"/>
        <v>0</v>
      </c>
      <c r="W5533" s="22">
        <f t="shared" si="346"/>
        <v>0</v>
      </c>
    </row>
    <row r="5534" spans="1:23" hidden="1" x14ac:dyDescent="0.25">
      <c r="A5534" s="3">
        <v>46096</v>
      </c>
      <c r="B5534" s="4" t="s">
        <v>334</v>
      </c>
      <c r="C5534" s="4" t="s">
        <v>131</v>
      </c>
      <c r="D5534" s="4"/>
      <c r="E5534" s="4" t="s">
        <v>921</v>
      </c>
      <c r="F5534" s="46" t="s">
        <v>2633</v>
      </c>
      <c r="G5534" s="4" t="s">
        <v>336</v>
      </c>
      <c r="H5534" s="4" t="s">
        <v>380</v>
      </c>
      <c r="I5534" s="4">
        <v>0.05</v>
      </c>
      <c r="J5534" s="21">
        <v>400</v>
      </c>
      <c r="K5534" s="21">
        <v>20</v>
      </c>
      <c r="L5534" s="5">
        <v>0</v>
      </c>
      <c r="M5534" s="4"/>
      <c r="N5534" s="4"/>
      <c r="O5534" s="5"/>
      <c r="P5534" s="5"/>
      <c r="Q5534" s="21">
        <v>0</v>
      </c>
      <c r="R5534" s="21">
        <v>0</v>
      </c>
      <c r="S5534" s="5">
        <f t="shared" si="347"/>
        <v>73384.112167016108</v>
      </c>
      <c r="T5534" cm="1">
        <f t="array" ref="T5534">IF(OR(B5534="MAL ALIMI", B5534="ÜRETİM GİRİŞ"), MIN(I5534, MAX(0, I5534 + SUM(SUMIFS($I$1:I5533, $C$1:C5533, C5534, $B$1:B5533, {"MAL ALIMI","ÜRETİM GİRİŞ"})) - VLOOKUP(C5534, 'STOK RAPORU'!$C$2:$I$1000, 4, 0))), 0)</f>
        <v>0</v>
      </c>
      <c r="U5534" s="22">
        <f t="shared" si="344"/>
        <v>0</v>
      </c>
      <c r="V5534">
        <f t="shared" si="345"/>
        <v>0</v>
      </c>
      <c r="W5534" s="22">
        <f t="shared" si="346"/>
        <v>0</v>
      </c>
    </row>
    <row r="5535" spans="1:23" hidden="1" x14ac:dyDescent="0.25">
      <c r="A5535" s="3">
        <v>46096</v>
      </c>
      <c r="B5535" s="4" t="s">
        <v>334</v>
      </c>
      <c r="C5535" s="4" t="s">
        <v>161</v>
      </c>
      <c r="D5535" s="4"/>
      <c r="E5535" s="4" t="s">
        <v>921</v>
      </c>
      <c r="F5535" s="46" t="s">
        <v>2633</v>
      </c>
      <c r="G5535" s="4" t="s">
        <v>336</v>
      </c>
      <c r="H5535" s="4" t="s">
        <v>380</v>
      </c>
      <c r="I5535" s="4">
        <v>1</v>
      </c>
      <c r="J5535" s="21">
        <v>255</v>
      </c>
      <c r="K5535" s="21">
        <v>255</v>
      </c>
      <c r="L5535" s="5">
        <v>0</v>
      </c>
      <c r="M5535" s="4"/>
      <c r="N5535" s="4"/>
      <c r="O5535" s="5"/>
      <c r="P5535" s="5"/>
      <c r="Q5535" s="21">
        <v>0</v>
      </c>
      <c r="R5535" s="21">
        <v>0</v>
      </c>
      <c r="S5535" s="5">
        <f t="shared" si="347"/>
        <v>73384.112167016108</v>
      </c>
      <c r="T5535" cm="1">
        <f t="array" ref="T5535">IF(OR(B5535="MAL ALIMI", B5535="ÜRETİM GİRİŞ"), MIN(I5535, MAX(0, I5535 + SUM(SUMIFS($I$1:I5534, $C$1:C5534, C5535, $B$1:B5534, {"MAL ALIMI","ÜRETİM GİRİŞ"})) - VLOOKUP(C5535, 'STOK RAPORU'!$C$2:$I$1000, 4, 0))), 0)</f>
        <v>0</v>
      </c>
      <c r="U5535" s="22">
        <f t="shared" si="344"/>
        <v>0</v>
      </c>
      <c r="V5535">
        <f t="shared" si="345"/>
        <v>0</v>
      </c>
      <c r="W5535" s="22">
        <f t="shared" si="346"/>
        <v>0</v>
      </c>
    </row>
    <row r="5536" spans="1:23" hidden="1" x14ac:dyDescent="0.25">
      <c r="A5536" s="3">
        <v>46096</v>
      </c>
      <c r="B5536" s="4" t="s">
        <v>334</v>
      </c>
      <c r="C5536" s="4" t="s">
        <v>157</v>
      </c>
      <c r="D5536" s="4"/>
      <c r="E5536" s="4" t="s">
        <v>921</v>
      </c>
      <c r="F5536" s="46" t="s">
        <v>2633</v>
      </c>
      <c r="G5536" s="4" t="s">
        <v>336</v>
      </c>
      <c r="H5536" s="4" t="s">
        <v>380</v>
      </c>
      <c r="I5536" s="4">
        <v>0.5</v>
      </c>
      <c r="J5536" s="21">
        <v>200</v>
      </c>
      <c r="K5536" s="21">
        <v>100</v>
      </c>
      <c r="L5536" s="5">
        <v>0</v>
      </c>
      <c r="M5536" s="4"/>
      <c r="N5536" s="4"/>
      <c r="O5536" s="5"/>
      <c r="P5536" s="5"/>
      <c r="Q5536" s="21">
        <v>0</v>
      </c>
      <c r="R5536" s="21">
        <v>0</v>
      </c>
      <c r="S5536" s="5">
        <f t="shared" si="347"/>
        <v>73384.112167016108</v>
      </c>
      <c r="T5536" cm="1">
        <f t="array" ref="T5536">IF(OR(B5536="MAL ALIMI", B5536="ÜRETİM GİRİŞ"), MIN(I5536, MAX(0, I5536 + SUM(SUMIFS($I$1:I5535, $C$1:C5535, C5536, $B$1:B5535, {"MAL ALIMI","ÜRETİM GİRİŞ"})) - VLOOKUP(C5536, 'STOK RAPORU'!$C$2:$I$1000, 4, 0))), 0)</f>
        <v>0</v>
      </c>
      <c r="U5536" s="22">
        <f t="shared" si="344"/>
        <v>0</v>
      </c>
      <c r="V5536">
        <f t="shared" si="345"/>
        <v>0</v>
      </c>
      <c r="W5536" s="22">
        <f t="shared" si="346"/>
        <v>0</v>
      </c>
    </row>
    <row r="5537" spans="1:23" hidden="1" x14ac:dyDescent="0.25">
      <c r="A5537" s="3">
        <v>46096</v>
      </c>
      <c r="B5537" s="4" t="s">
        <v>334</v>
      </c>
      <c r="C5537" s="4" t="s">
        <v>158</v>
      </c>
      <c r="D5537" s="4"/>
      <c r="E5537" s="4" t="s">
        <v>921</v>
      </c>
      <c r="F5537" s="46" t="s">
        <v>2633</v>
      </c>
      <c r="G5537" s="4" t="s">
        <v>336</v>
      </c>
      <c r="H5537" s="4" t="s">
        <v>380</v>
      </c>
      <c r="I5537" s="4">
        <v>0.5</v>
      </c>
      <c r="J5537" s="21">
        <v>150</v>
      </c>
      <c r="K5537" s="21">
        <v>75</v>
      </c>
      <c r="L5537" s="5">
        <v>0</v>
      </c>
      <c r="M5537" s="4"/>
      <c r="N5537" s="4"/>
      <c r="O5537" s="5"/>
      <c r="P5537" s="5"/>
      <c r="Q5537" s="21">
        <v>0</v>
      </c>
      <c r="R5537" s="21">
        <v>0</v>
      </c>
      <c r="S5537" s="5">
        <f t="shared" si="347"/>
        <v>73384.112167016108</v>
      </c>
      <c r="T5537" cm="1">
        <f t="array" ref="T5537">IF(OR(B5537="MAL ALIMI", B5537="ÜRETİM GİRİŞ"), MIN(I5537, MAX(0, I5537 + SUM(SUMIFS($I$1:I5536, $C$1:C5536, C5537, $B$1:B5536, {"MAL ALIMI","ÜRETİM GİRİŞ"})) - VLOOKUP(C5537, 'STOK RAPORU'!$C$2:$I$1000, 4, 0))), 0)</f>
        <v>0</v>
      </c>
      <c r="U5537" s="22">
        <f t="shared" si="344"/>
        <v>0</v>
      </c>
      <c r="V5537">
        <f t="shared" si="345"/>
        <v>0</v>
      </c>
      <c r="W5537" s="22">
        <f t="shared" si="346"/>
        <v>0</v>
      </c>
    </row>
    <row r="5538" spans="1:23" hidden="1" x14ac:dyDescent="0.25">
      <c r="A5538" s="3">
        <v>46096</v>
      </c>
      <c r="B5538" s="4" t="s">
        <v>334</v>
      </c>
      <c r="C5538" s="4" t="s">
        <v>156</v>
      </c>
      <c r="D5538" s="4"/>
      <c r="E5538" s="4"/>
      <c r="F5538" s="46" t="s">
        <v>2634</v>
      </c>
      <c r="G5538" s="4" t="s">
        <v>336</v>
      </c>
      <c r="H5538" s="4" t="s">
        <v>289</v>
      </c>
      <c r="I5538" s="4">
        <v>1</v>
      </c>
      <c r="J5538" s="21">
        <v>200</v>
      </c>
      <c r="K5538" s="21">
        <v>0</v>
      </c>
      <c r="L5538" s="5">
        <v>0</v>
      </c>
      <c r="M5538" s="4"/>
      <c r="N5538" s="4"/>
      <c r="O5538" s="5"/>
      <c r="P5538" s="5"/>
      <c r="Q5538" s="21">
        <v>200</v>
      </c>
      <c r="R5538" s="21">
        <v>0</v>
      </c>
      <c r="S5538" s="5">
        <f t="shared" si="347"/>
        <v>73584.112167016108</v>
      </c>
      <c r="T5538" cm="1">
        <f t="array" ref="T5538">IF(OR(B5538="MAL ALIMI", B5538="ÜRETİM GİRİŞ"), MIN(I5538, MAX(0, I5538 + SUM(SUMIFS($I$1:I5537, $C$1:C5537, C5538, $B$1:B5537, {"MAL ALIMI","ÜRETİM GİRİŞ"})) - VLOOKUP(C5538, 'STOK RAPORU'!$C$2:$I$1000, 4, 0))), 0)</f>
        <v>0</v>
      </c>
      <c r="U5538" s="22">
        <f t="shared" si="344"/>
        <v>0</v>
      </c>
      <c r="V5538">
        <f t="shared" si="345"/>
        <v>0</v>
      </c>
      <c r="W5538" s="22">
        <f t="shared" si="346"/>
        <v>0</v>
      </c>
    </row>
    <row r="5539" spans="1:23" hidden="1" x14ac:dyDescent="0.25">
      <c r="A5539" s="3">
        <v>46096</v>
      </c>
      <c r="B5539" s="4" t="s">
        <v>334</v>
      </c>
      <c r="C5539" s="4" t="s">
        <v>237</v>
      </c>
      <c r="D5539" s="4"/>
      <c r="E5539" s="4"/>
      <c r="F5539" s="46" t="s">
        <v>2634</v>
      </c>
      <c r="G5539" s="4" t="s">
        <v>336</v>
      </c>
      <c r="H5539" s="4" t="s">
        <v>289</v>
      </c>
      <c r="I5539" s="4">
        <v>0.05</v>
      </c>
      <c r="J5539" s="21">
        <v>1800</v>
      </c>
      <c r="K5539" s="21">
        <v>0</v>
      </c>
      <c r="L5539" s="5">
        <v>0</v>
      </c>
      <c r="M5539" s="4"/>
      <c r="N5539" s="4"/>
      <c r="O5539" s="5"/>
      <c r="P5539" s="5"/>
      <c r="Q5539" s="21">
        <v>90</v>
      </c>
      <c r="R5539" s="21">
        <v>0</v>
      </c>
      <c r="S5539" s="5">
        <f t="shared" si="347"/>
        <v>73674.112167016108</v>
      </c>
      <c r="T5539" cm="1">
        <f t="array" ref="T5539">IF(OR(B5539="MAL ALIMI", B5539="ÜRETİM GİRİŞ"), MIN(I5539, MAX(0, I5539 + SUM(SUMIFS($I$1:I5538, $C$1:C5538, C5539, $B$1:B5538, {"MAL ALIMI","ÜRETİM GİRİŞ"})) - VLOOKUP(C5539, 'STOK RAPORU'!$C$2:$I$1000, 4, 0))), 0)</f>
        <v>0</v>
      </c>
      <c r="U5539" s="22">
        <f t="shared" si="344"/>
        <v>0</v>
      </c>
      <c r="V5539">
        <f t="shared" si="345"/>
        <v>0</v>
      </c>
      <c r="W5539" s="22">
        <f t="shared" si="346"/>
        <v>0</v>
      </c>
    </row>
    <row r="5540" spans="1:23" hidden="1" x14ac:dyDescent="0.25">
      <c r="A5540" s="3">
        <v>46096</v>
      </c>
      <c r="B5540" s="4" t="s">
        <v>334</v>
      </c>
      <c r="C5540" s="4" t="s">
        <v>2124</v>
      </c>
      <c r="D5540" s="4"/>
      <c r="E5540" s="4"/>
      <c r="F5540" s="46" t="s">
        <v>2634</v>
      </c>
      <c r="G5540" s="4" t="s">
        <v>336</v>
      </c>
      <c r="H5540" s="4" t="s">
        <v>289</v>
      </c>
      <c r="I5540" s="4">
        <v>0.4</v>
      </c>
      <c r="J5540" s="21">
        <v>500</v>
      </c>
      <c r="K5540" s="21">
        <v>0</v>
      </c>
      <c r="L5540" s="5">
        <v>0</v>
      </c>
      <c r="M5540" s="4"/>
      <c r="N5540" s="4"/>
      <c r="O5540" s="5"/>
      <c r="P5540" s="5"/>
      <c r="Q5540" s="21">
        <v>200</v>
      </c>
      <c r="R5540" s="21">
        <v>0</v>
      </c>
      <c r="S5540" s="5">
        <f t="shared" si="347"/>
        <v>73874.112167016108</v>
      </c>
      <c r="T5540" cm="1">
        <f t="array" ref="T5540">IF(OR(B5540="MAL ALIMI", B5540="ÜRETİM GİRİŞ"), MIN(I5540, MAX(0, I5540 + SUM(SUMIFS($I$1:I5539, $C$1:C5539, C5540, $B$1:B5539, {"MAL ALIMI","ÜRETİM GİRİŞ"})) - VLOOKUP(C5540, 'STOK RAPORU'!$C$2:$I$1000, 4, 0))), 0)</f>
        <v>0</v>
      </c>
      <c r="U5540" s="22">
        <f t="shared" si="344"/>
        <v>0</v>
      </c>
      <c r="V5540">
        <f t="shared" si="345"/>
        <v>0</v>
      </c>
      <c r="W5540" s="22">
        <f t="shared" si="346"/>
        <v>0</v>
      </c>
    </row>
    <row r="5541" spans="1:23" hidden="1" x14ac:dyDescent="0.25">
      <c r="A5541" s="3">
        <v>46096</v>
      </c>
      <c r="B5541" s="4" t="s">
        <v>334</v>
      </c>
      <c r="C5541" s="4" t="s">
        <v>153</v>
      </c>
      <c r="D5541" s="4"/>
      <c r="E5541" s="4"/>
      <c r="F5541" s="46" t="s">
        <v>2634</v>
      </c>
      <c r="G5541" s="4" t="s">
        <v>336</v>
      </c>
      <c r="H5541" s="4" t="s">
        <v>289</v>
      </c>
      <c r="I5541" s="4">
        <v>0.1</v>
      </c>
      <c r="J5541" s="21">
        <v>400</v>
      </c>
      <c r="K5541" s="21">
        <v>0</v>
      </c>
      <c r="L5541" s="5">
        <v>0</v>
      </c>
      <c r="M5541" s="4"/>
      <c r="N5541" s="4"/>
      <c r="O5541" s="5"/>
      <c r="P5541" s="5"/>
      <c r="Q5541" s="21">
        <v>40</v>
      </c>
      <c r="R5541" s="21">
        <v>0</v>
      </c>
      <c r="S5541" s="5">
        <f t="shared" si="347"/>
        <v>73914.112167016108</v>
      </c>
      <c r="T5541" cm="1">
        <f t="array" ref="T5541">IF(OR(B5541="MAL ALIMI", B5541="ÜRETİM GİRİŞ"), MIN(I5541, MAX(0, I5541 + SUM(SUMIFS($I$1:I5540, $C$1:C5540, C5541, $B$1:B5540, {"MAL ALIMI","ÜRETİM GİRİŞ"})) - VLOOKUP(C5541, 'STOK RAPORU'!$C$2:$I$1000, 4, 0))), 0)</f>
        <v>0</v>
      </c>
      <c r="U5541" s="22">
        <f t="shared" si="344"/>
        <v>0</v>
      </c>
      <c r="V5541">
        <f t="shared" si="345"/>
        <v>0</v>
      </c>
      <c r="W5541" s="22">
        <f t="shared" si="346"/>
        <v>0</v>
      </c>
    </row>
    <row r="5542" spans="1:23" hidden="1" x14ac:dyDescent="0.25">
      <c r="A5542" s="3">
        <v>46096</v>
      </c>
      <c r="B5542" s="4" t="s">
        <v>334</v>
      </c>
      <c r="C5542" s="4" t="s">
        <v>463</v>
      </c>
      <c r="D5542" s="4"/>
      <c r="E5542" s="4"/>
      <c r="F5542" s="46" t="s">
        <v>2635</v>
      </c>
      <c r="G5542" s="4" t="s">
        <v>336</v>
      </c>
      <c r="H5542" s="4" t="s">
        <v>289</v>
      </c>
      <c r="I5542" s="4">
        <v>0.17249999999999999</v>
      </c>
      <c r="J5542" s="21">
        <v>400</v>
      </c>
      <c r="K5542" s="21">
        <v>0</v>
      </c>
      <c r="L5542" s="5">
        <v>0</v>
      </c>
      <c r="M5542" s="4"/>
      <c r="N5542" s="4"/>
      <c r="O5542" s="5"/>
      <c r="P5542" s="5"/>
      <c r="Q5542" s="21">
        <v>69</v>
      </c>
      <c r="R5542" s="21">
        <v>0</v>
      </c>
      <c r="S5542" s="5">
        <f t="shared" si="347"/>
        <v>73983.112167016108</v>
      </c>
      <c r="T5542" cm="1">
        <f t="array" ref="T5542">IF(OR(B5542="MAL ALIMI", B5542="ÜRETİM GİRİŞ"), MIN(I5542, MAX(0, I5542 + SUM(SUMIFS($I$1:I5541, $C$1:C5541, C5542, $B$1:B5541, {"MAL ALIMI","ÜRETİM GİRİŞ"})) - VLOOKUP(C5542, 'STOK RAPORU'!$C$2:$I$1000, 4, 0))), 0)</f>
        <v>0</v>
      </c>
      <c r="U5542" s="22">
        <f t="shared" si="344"/>
        <v>0</v>
      </c>
      <c r="V5542">
        <f t="shared" si="345"/>
        <v>0</v>
      </c>
      <c r="W5542" s="22">
        <f t="shared" si="346"/>
        <v>0</v>
      </c>
    </row>
    <row r="5543" spans="1:23" hidden="1" x14ac:dyDescent="0.25">
      <c r="A5543" s="3">
        <v>46096</v>
      </c>
      <c r="B5543" s="4" t="s">
        <v>334</v>
      </c>
      <c r="C5543" s="4" t="s">
        <v>129</v>
      </c>
      <c r="D5543" s="4"/>
      <c r="E5543" s="4"/>
      <c r="F5543" s="46" t="s">
        <v>2635</v>
      </c>
      <c r="G5543" s="4" t="s">
        <v>336</v>
      </c>
      <c r="H5543" s="4" t="s">
        <v>289</v>
      </c>
      <c r="I5543" s="4">
        <v>0.1275</v>
      </c>
      <c r="J5543" s="21">
        <v>400</v>
      </c>
      <c r="K5543" s="21">
        <v>0</v>
      </c>
      <c r="L5543" s="5">
        <v>0</v>
      </c>
      <c r="M5543" s="4"/>
      <c r="N5543" s="4"/>
      <c r="O5543" s="5"/>
      <c r="P5543" s="5"/>
      <c r="Q5543" s="21">
        <v>51</v>
      </c>
      <c r="R5543" s="21">
        <v>0</v>
      </c>
      <c r="S5543" s="5">
        <f t="shared" si="347"/>
        <v>74034.112167016108</v>
      </c>
      <c r="T5543" cm="1">
        <f t="array" ref="T5543">IF(OR(B5543="MAL ALIMI", B5543="ÜRETİM GİRİŞ"), MIN(I5543, MAX(0, I5543 + SUM(SUMIFS($I$1:I5542, $C$1:C5542, C5543, $B$1:B5542, {"MAL ALIMI","ÜRETİM GİRİŞ"})) - VLOOKUP(C5543, 'STOK RAPORU'!$C$2:$I$1000, 4, 0))), 0)</f>
        <v>0</v>
      </c>
      <c r="U5543" s="22">
        <f t="shared" si="344"/>
        <v>0</v>
      </c>
      <c r="V5543">
        <f t="shared" si="345"/>
        <v>0</v>
      </c>
      <c r="W5543" s="22">
        <f t="shared" si="346"/>
        <v>0</v>
      </c>
    </row>
    <row r="5544" spans="1:23" hidden="1" x14ac:dyDescent="0.25">
      <c r="A5544" s="3">
        <v>46096</v>
      </c>
      <c r="B5544" s="4" t="s">
        <v>334</v>
      </c>
      <c r="C5544" s="4" t="s">
        <v>160</v>
      </c>
      <c r="D5544" s="4"/>
      <c r="E5544" s="4" t="s">
        <v>921</v>
      </c>
      <c r="F5544" s="46" t="s">
        <v>2636</v>
      </c>
      <c r="G5544" s="4" t="s">
        <v>336</v>
      </c>
      <c r="H5544" s="4" t="s">
        <v>380</v>
      </c>
      <c r="I5544" s="4">
        <v>1</v>
      </c>
      <c r="J5544" s="21">
        <v>250</v>
      </c>
      <c r="K5544" s="21">
        <v>250</v>
      </c>
      <c r="L5544" s="5">
        <v>0</v>
      </c>
      <c r="M5544" s="4"/>
      <c r="N5544" s="4"/>
      <c r="O5544" s="5"/>
      <c r="P5544" s="5"/>
      <c r="Q5544" s="21">
        <v>0</v>
      </c>
      <c r="R5544" s="21">
        <v>0</v>
      </c>
      <c r="S5544" s="5">
        <f t="shared" si="347"/>
        <v>74034.112167016108</v>
      </c>
      <c r="T5544" cm="1">
        <f t="array" ref="T5544">IF(OR(B5544="MAL ALIMI", B5544="ÜRETİM GİRİŞ"), MIN(I5544, MAX(0, I5544 + SUM(SUMIFS($I$1:I5543, $C$1:C5543, C5544, $B$1:B5543, {"MAL ALIMI","ÜRETİM GİRİŞ"})) - VLOOKUP(C5544, 'STOK RAPORU'!$C$2:$I$1000, 4, 0))), 0)</f>
        <v>0</v>
      </c>
      <c r="U5544" s="22">
        <f t="shared" si="344"/>
        <v>0</v>
      </c>
      <c r="V5544">
        <f t="shared" si="345"/>
        <v>0</v>
      </c>
      <c r="W5544" s="22">
        <f t="shared" si="346"/>
        <v>0</v>
      </c>
    </row>
    <row r="5545" spans="1:23" hidden="1" x14ac:dyDescent="0.25">
      <c r="A5545" s="3">
        <v>46096</v>
      </c>
      <c r="B5545" s="4" t="s">
        <v>334</v>
      </c>
      <c r="C5545" s="4" t="s">
        <v>161</v>
      </c>
      <c r="D5545" s="4"/>
      <c r="E5545" s="4" t="s">
        <v>921</v>
      </c>
      <c r="F5545" s="46" t="s">
        <v>2636</v>
      </c>
      <c r="G5545" s="4" t="s">
        <v>336</v>
      </c>
      <c r="H5545" s="4" t="s">
        <v>380</v>
      </c>
      <c r="I5545" s="4">
        <v>1</v>
      </c>
      <c r="J5545" s="21">
        <v>230</v>
      </c>
      <c r="K5545" s="21">
        <v>230</v>
      </c>
      <c r="L5545" s="5">
        <v>0</v>
      </c>
      <c r="M5545" s="4"/>
      <c r="N5545" s="4"/>
      <c r="O5545" s="5"/>
      <c r="P5545" s="5"/>
      <c r="Q5545" s="21">
        <v>0</v>
      </c>
      <c r="R5545" s="21">
        <v>0</v>
      </c>
      <c r="S5545" s="5">
        <f t="shared" si="347"/>
        <v>74034.112167016108</v>
      </c>
      <c r="T5545" cm="1">
        <f t="array" ref="T5545">IF(OR(B5545="MAL ALIMI", B5545="ÜRETİM GİRİŞ"), MIN(I5545, MAX(0, I5545 + SUM(SUMIFS($I$1:I5544, $C$1:C5544, C5545, $B$1:B5544, {"MAL ALIMI","ÜRETİM GİRİŞ"})) - VLOOKUP(C5545, 'STOK RAPORU'!$C$2:$I$1000, 4, 0))), 0)</f>
        <v>0</v>
      </c>
      <c r="U5545" s="22">
        <f t="shared" si="344"/>
        <v>0</v>
      </c>
      <c r="V5545">
        <f t="shared" si="345"/>
        <v>0</v>
      </c>
      <c r="W5545" s="22">
        <f t="shared" si="346"/>
        <v>0</v>
      </c>
    </row>
    <row r="5546" spans="1:23" hidden="1" x14ac:dyDescent="0.25">
      <c r="A5546" s="3">
        <v>46096</v>
      </c>
      <c r="B5546" s="4" t="s">
        <v>334</v>
      </c>
      <c r="C5546" s="4" t="s">
        <v>490</v>
      </c>
      <c r="D5546" s="4"/>
      <c r="E5546" s="4" t="s">
        <v>921</v>
      </c>
      <c r="F5546" s="46" t="s">
        <v>2636</v>
      </c>
      <c r="G5546" s="4" t="s">
        <v>336</v>
      </c>
      <c r="H5546" s="4" t="s">
        <v>380</v>
      </c>
      <c r="I5546" s="4">
        <v>1</v>
      </c>
      <c r="J5546" s="21">
        <v>220</v>
      </c>
      <c r="K5546" s="21">
        <v>220</v>
      </c>
      <c r="L5546" s="5">
        <v>0</v>
      </c>
      <c r="M5546" s="4"/>
      <c r="N5546" s="4"/>
      <c r="O5546" s="5"/>
      <c r="P5546" s="5"/>
      <c r="Q5546" s="21">
        <v>0</v>
      </c>
      <c r="R5546" s="21">
        <v>0</v>
      </c>
      <c r="S5546" s="5">
        <f t="shared" si="347"/>
        <v>74034.112167016108</v>
      </c>
      <c r="T5546" cm="1">
        <f t="array" ref="T5546">IF(OR(B5546="MAL ALIMI", B5546="ÜRETİM GİRİŞ"), MIN(I5546, MAX(0, I5546 + SUM(SUMIFS($I$1:I5545, $C$1:C5545, C5546, $B$1:B5545, {"MAL ALIMI","ÜRETİM GİRİŞ"})) - VLOOKUP(C5546, 'STOK RAPORU'!$C$2:$I$1000, 4, 0))), 0)</f>
        <v>0</v>
      </c>
      <c r="U5546" s="22">
        <f t="shared" si="344"/>
        <v>0</v>
      </c>
      <c r="V5546">
        <f t="shared" si="345"/>
        <v>0</v>
      </c>
      <c r="W5546" s="22">
        <f t="shared" si="346"/>
        <v>0</v>
      </c>
    </row>
    <row r="5547" spans="1:23" hidden="1" x14ac:dyDescent="0.25">
      <c r="A5547" s="3">
        <v>46096</v>
      </c>
      <c r="B5547" s="4" t="s">
        <v>334</v>
      </c>
      <c r="C5547" s="4" t="s">
        <v>92</v>
      </c>
      <c r="D5547" s="4"/>
      <c r="E5547" s="4" t="s">
        <v>921</v>
      </c>
      <c r="F5547" s="46" t="s">
        <v>2637</v>
      </c>
      <c r="G5547" s="4" t="s">
        <v>336</v>
      </c>
      <c r="H5547" s="4" t="s">
        <v>380</v>
      </c>
      <c r="I5547" s="4">
        <v>0.222</v>
      </c>
      <c r="J5547" s="21">
        <v>500</v>
      </c>
      <c r="K5547" s="21">
        <v>111</v>
      </c>
      <c r="L5547" s="5">
        <v>0</v>
      </c>
      <c r="M5547" s="4"/>
      <c r="N5547" s="4"/>
      <c r="O5547" s="5"/>
      <c r="P5547" s="5"/>
      <c r="Q5547" s="21">
        <v>0</v>
      </c>
      <c r="R5547" s="21">
        <v>0</v>
      </c>
      <c r="S5547" s="5">
        <f t="shared" si="347"/>
        <v>74034.112167016108</v>
      </c>
      <c r="T5547" cm="1">
        <f t="array" ref="T5547">IF(OR(B5547="MAL ALIMI", B5547="ÜRETİM GİRİŞ"), MIN(I5547, MAX(0, I5547 + SUM(SUMIFS($I$1:I5546, $C$1:C5546, C5547, $B$1:B5546, {"MAL ALIMI","ÜRETİM GİRİŞ"})) - VLOOKUP(C5547, 'STOK RAPORU'!$C$2:$I$1000, 4, 0))), 0)</f>
        <v>0</v>
      </c>
      <c r="U5547" s="22">
        <f t="shared" si="344"/>
        <v>0</v>
      </c>
      <c r="V5547">
        <f t="shared" si="345"/>
        <v>0</v>
      </c>
      <c r="W5547" s="22">
        <f t="shared" si="346"/>
        <v>0</v>
      </c>
    </row>
    <row r="5548" spans="1:23" hidden="1" x14ac:dyDescent="0.25">
      <c r="A5548" s="3">
        <v>46096</v>
      </c>
      <c r="B5548" s="4" t="s">
        <v>334</v>
      </c>
      <c r="C5548" s="4" t="s">
        <v>96</v>
      </c>
      <c r="D5548" s="4"/>
      <c r="E5548" s="4" t="s">
        <v>921</v>
      </c>
      <c r="F5548" s="46" t="s">
        <v>2637</v>
      </c>
      <c r="G5548" s="4" t="s">
        <v>336</v>
      </c>
      <c r="H5548" s="4" t="s">
        <v>380</v>
      </c>
      <c r="I5548" s="4">
        <v>0.21</v>
      </c>
      <c r="J5548" s="21">
        <v>400</v>
      </c>
      <c r="K5548" s="21">
        <v>84</v>
      </c>
      <c r="L5548" s="5">
        <v>0</v>
      </c>
      <c r="M5548" s="4"/>
      <c r="N5548" s="4"/>
      <c r="O5548" s="5"/>
      <c r="P5548" s="5"/>
      <c r="Q5548" s="21">
        <v>0</v>
      </c>
      <c r="R5548" s="21">
        <v>0</v>
      </c>
      <c r="S5548" s="5">
        <f t="shared" si="347"/>
        <v>74034.112167016108</v>
      </c>
      <c r="T5548" cm="1">
        <f t="array" ref="T5548">IF(OR(B5548="MAL ALIMI", B5548="ÜRETİM GİRİŞ"), MIN(I5548, MAX(0, I5548 + SUM(SUMIFS($I$1:I5547, $C$1:C5547, C5548, $B$1:B5547, {"MAL ALIMI","ÜRETİM GİRİŞ"})) - VLOOKUP(C5548, 'STOK RAPORU'!$C$2:$I$1000, 4, 0))), 0)</f>
        <v>0</v>
      </c>
      <c r="U5548" s="22">
        <f t="shared" si="344"/>
        <v>0</v>
      </c>
      <c r="V5548">
        <f t="shared" si="345"/>
        <v>0</v>
      </c>
      <c r="W5548" s="22">
        <f t="shared" si="346"/>
        <v>0</v>
      </c>
    </row>
    <row r="5549" spans="1:23" hidden="1" x14ac:dyDescent="0.25">
      <c r="A5549" s="3">
        <v>46096</v>
      </c>
      <c r="B5549" s="4" t="s">
        <v>334</v>
      </c>
      <c r="C5549" s="4" t="s">
        <v>129</v>
      </c>
      <c r="D5549" s="4"/>
      <c r="E5549" s="4" t="s">
        <v>921</v>
      </c>
      <c r="F5549" s="46" t="s">
        <v>2637</v>
      </c>
      <c r="G5549" s="4" t="s">
        <v>336</v>
      </c>
      <c r="H5549" s="4" t="s">
        <v>380</v>
      </c>
      <c r="I5549" s="4">
        <v>0.05</v>
      </c>
      <c r="J5549" s="21">
        <v>400</v>
      </c>
      <c r="K5549" s="21">
        <v>20</v>
      </c>
      <c r="L5549" s="5">
        <v>0</v>
      </c>
      <c r="M5549" s="4"/>
      <c r="N5549" s="4"/>
      <c r="O5549" s="5"/>
      <c r="P5549" s="5"/>
      <c r="Q5549" s="21">
        <v>0</v>
      </c>
      <c r="R5549" s="21">
        <v>0</v>
      </c>
      <c r="S5549" s="5">
        <f t="shared" si="347"/>
        <v>74034.112167016108</v>
      </c>
      <c r="T5549" cm="1">
        <f t="array" ref="T5549">IF(OR(B5549="MAL ALIMI", B5549="ÜRETİM GİRİŞ"), MIN(I5549, MAX(0, I5549 + SUM(SUMIFS($I$1:I5548, $C$1:C5548, C5549, $B$1:B5548, {"MAL ALIMI","ÜRETİM GİRİŞ"})) - VLOOKUP(C5549, 'STOK RAPORU'!$C$2:$I$1000, 4, 0))), 0)</f>
        <v>0</v>
      </c>
      <c r="U5549" s="22">
        <f t="shared" si="344"/>
        <v>0</v>
      </c>
      <c r="V5549">
        <f t="shared" si="345"/>
        <v>0</v>
      </c>
      <c r="W5549" s="22">
        <f t="shared" si="346"/>
        <v>0</v>
      </c>
    </row>
    <row r="5550" spans="1:23" hidden="1" x14ac:dyDescent="0.25">
      <c r="A5550" s="3">
        <v>46096</v>
      </c>
      <c r="B5550" s="4" t="s">
        <v>334</v>
      </c>
      <c r="C5550" s="4" t="s">
        <v>157</v>
      </c>
      <c r="D5550" s="4"/>
      <c r="E5550" s="4" t="s">
        <v>921</v>
      </c>
      <c r="F5550" s="46" t="s">
        <v>2637</v>
      </c>
      <c r="G5550" s="4" t="s">
        <v>336</v>
      </c>
      <c r="H5550" s="4" t="s">
        <v>380</v>
      </c>
      <c r="I5550" s="4">
        <v>0.5</v>
      </c>
      <c r="J5550" s="21">
        <v>200</v>
      </c>
      <c r="K5550" s="21">
        <v>100</v>
      </c>
      <c r="L5550" s="5">
        <v>0</v>
      </c>
      <c r="M5550" s="4"/>
      <c r="N5550" s="4"/>
      <c r="O5550" s="5"/>
      <c r="P5550" s="5"/>
      <c r="Q5550" s="21">
        <v>0</v>
      </c>
      <c r="R5550" s="21">
        <v>0</v>
      </c>
      <c r="S5550" s="5">
        <f t="shared" si="347"/>
        <v>74034.112167016108</v>
      </c>
      <c r="T5550" cm="1">
        <f t="array" ref="T5550">IF(OR(B5550="MAL ALIMI", B5550="ÜRETİM GİRİŞ"), MIN(I5550, MAX(0, I5550 + SUM(SUMIFS($I$1:I5549, $C$1:C5549, C5550, $B$1:B5549, {"MAL ALIMI","ÜRETİM GİRİŞ"})) - VLOOKUP(C5550, 'STOK RAPORU'!$C$2:$I$1000, 4, 0))), 0)</f>
        <v>0</v>
      </c>
      <c r="U5550" s="22">
        <f t="shared" si="344"/>
        <v>0</v>
      </c>
      <c r="V5550">
        <f t="shared" si="345"/>
        <v>0</v>
      </c>
      <c r="W5550" s="22">
        <f t="shared" si="346"/>
        <v>0</v>
      </c>
    </row>
    <row r="5551" spans="1:23" hidden="1" x14ac:dyDescent="0.25">
      <c r="A5551" s="3">
        <v>46096</v>
      </c>
      <c r="B5551" s="4" t="s">
        <v>334</v>
      </c>
      <c r="C5551" s="4" t="s">
        <v>716</v>
      </c>
      <c r="D5551" s="4"/>
      <c r="E5551" s="4" t="s">
        <v>921</v>
      </c>
      <c r="F5551" s="46" t="s">
        <v>2637</v>
      </c>
      <c r="G5551" s="4" t="s">
        <v>336</v>
      </c>
      <c r="H5551" s="4" t="s">
        <v>380</v>
      </c>
      <c r="I5551" s="4">
        <v>1</v>
      </c>
      <c r="J5551" s="21">
        <v>280</v>
      </c>
      <c r="K5551" s="21">
        <v>280</v>
      </c>
      <c r="L5551" s="5">
        <v>0</v>
      </c>
      <c r="M5551" s="4"/>
      <c r="N5551" s="4"/>
      <c r="O5551" s="5"/>
      <c r="P5551" s="5"/>
      <c r="Q5551" s="21">
        <v>0</v>
      </c>
      <c r="R5551" s="21">
        <v>0</v>
      </c>
      <c r="S5551" s="5">
        <f t="shared" si="347"/>
        <v>74034.112167016108</v>
      </c>
      <c r="T5551" cm="1">
        <f t="array" ref="T5551">IF(OR(B5551="MAL ALIMI", B5551="ÜRETİM GİRİŞ"), MIN(I5551, MAX(0, I5551 + SUM(SUMIFS($I$1:I5550, $C$1:C5550, C5551, $B$1:B5550, {"MAL ALIMI","ÜRETİM GİRİŞ"})) - VLOOKUP(C5551, 'STOK RAPORU'!$C$2:$I$1000, 4, 0))), 0)</f>
        <v>0</v>
      </c>
      <c r="U5551" s="22">
        <f t="shared" si="344"/>
        <v>0</v>
      </c>
      <c r="V5551">
        <f t="shared" si="345"/>
        <v>0</v>
      </c>
      <c r="W5551" s="22">
        <f t="shared" si="346"/>
        <v>0</v>
      </c>
    </row>
    <row r="5552" spans="1:23" hidden="1" x14ac:dyDescent="0.25">
      <c r="A5552" s="3">
        <v>46096</v>
      </c>
      <c r="B5552" s="4" t="s">
        <v>334</v>
      </c>
      <c r="C5552" s="4" t="s">
        <v>160</v>
      </c>
      <c r="D5552" s="4"/>
      <c r="E5552" s="4"/>
      <c r="F5552" s="46" t="s">
        <v>2642</v>
      </c>
      <c r="G5552" s="4" t="s">
        <v>336</v>
      </c>
      <c r="H5552" s="4" t="s">
        <v>289</v>
      </c>
      <c r="I5552" s="4">
        <v>1</v>
      </c>
      <c r="J5552" s="21">
        <v>250</v>
      </c>
      <c r="K5552" s="21">
        <v>0</v>
      </c>
      <c r="L5552" s="5">
        <v>0</v>
      </c>
      <c r="M5552" s="4"/>
      <c r="N5552" s="4"/>
      <c r="O5552" s="5"/>
      <c r="P5552" s="5"/>
      <c r="Q5552" s="21">
        <v>250</v>
      </c>
      <c r="R5552" s="21">
        <v>0</v>
      </c>
      <c r="S5552" s="5">
        <f t="shared" si="347"/>
        <v>74284.112167016108</v>
      </c>
      <c r="T5552" cm="1">
        <f t="array" ref="T5552">IF(OR(B5552="MAL ALIMI", B5552="ÜRETİM GİRİŞ"), MIN(I5552, MAX(0, I5552 + SUM(SUMIFS($I$1:I5551, $C$1:C5551, C5552, $B$1:B5551, {"MAL ALIMI","ÜRETİM GİRİŞ"})) - VLOOKUP(C5552, 'STOK RAPORU'!$C$2:$I$1000, 4, 0))), 0)</f>
        <v>0</v>
      </c>
      <c r="U5552" s="22">
        <f t="shared" si="344"/>
        <v>0</v>
      </c>
      <c r="V5552">
        <f t="shared" si="345"/>
        <v>0</v>
      </c>
      <c r="W5552" s="22">
        <f t="shared" si="346"/>
        <v>0</v>
      </c>
    </row>
    <row r="5553" spans="1:23" hidden="1" x14ac:dyDescent="0.25">
      <c r="A5553" s="3">
        <v>46096</v>
      </c>
      <c r="B5553" s="4" t="s">
        <v>334</v>
      </c>
      <c r="C5553" s="4" t="s">
        <v>145</v>
      </c>
      <c r="D5553" s="4"/>
      <c r="E5553" s="4"/>
      <c r="F5553" s="46" t="s">
        <v>2642</v>
      </c>
      <c r="G5553" s="4" t="s">
        <v>336</v>
      </c>
      <c r="H5553" s="4" t="s">
        <v>289</v>
      </c>
      <c r="I5553" s="4">
        <v>1</v>
      </c>
      <c r="J5553" s="21">
        <v>60</v>
      </c>
      <c r="K5553" s="21">
        <v>0</v>
      </c>
      <c r="L5553" s="5">
        <v>0</v>
      </c>
      <c r="M5553" s="4"/>
      <c r="N5553" s="4"/>
      <c r="O5553" s="5"/>
      <c r="P5553" s="5"/>
      <c r="Q5553" s="21">
        <v>60</v>
      </c>
      <c r="R5553" s="21">
        <v>0</v>
      </c>
      <c r="S5553" s="5">
        <f t="shared" si="347"/>
        <v>74344.112167016108</v>
      </c>
      <c r="T5553" cm="1">
        <f t="array" ref="T5553">IF(OR(B5553="MAL ALIMI", B5553="ÜRETİM GİRİŞ"), MIN(I5553, MAX(0, I5553 + SUM(SUMIFS($I$1:I5552, $C$1:C5552, C5553, $B$1:B5552, {"MAL ALIMI","ÜRETİM GİRİŞ"})) - VLOOKUP(C5553, 'STOK RAPORU'!$C$2:$I$1000, 4, 0))), 0)</f>
        <v>0</v>
      </c>
      <c r="U5553" s="22">
        <f t="shared" si="344"/>
        <v>0</v>
      </c>
      <c r="V5553">
        <f t="shared" si="345"/>
        <v>0</v>
      </c>
      <c r="W5553" s="22">
        <f t="shared" si="346"/>
        <v>0</v>
      </c>
    </row>
    <row r="5554" spans="1:23" hidden="1" x14ac:dyDescent="0.25">
      <c r="A5554" s="3">
        <v>46096</v>
      </c>
      <c r="B5554" s="4" t="s">
        <v>334</v>
      </c>
      <c r="C5554" s="4" t="s">
        <v>131</v>
      </c>
      <c r="D5554" s="4"/>
      <c r="E5554" s="4"/>
      <c r="F5554" s="46" t="s">
        <v>2642</v>
      </c>
      <c r="G5554" s="4" t="s">
        <v>336</v>
      </c>
      <c r="H5554" s="4" t="s">
        <v>289</v>
      </c>
      <c r="I5554" s="4">
        <v>3.6000000000000004E-2</v>
      </c>
      <c r="J5554" s="21">
        <v>400</v>
      </c>
      <c r="K5554" s="21">
        <v>0</v>
      </c>
      <c r="L5554" s="5">
        <v>0</v>
      </c>
      <c r="M5554" s="4"/>
      <c r="N5554" s="4"/>
      <c r="O5554" s="5"/>
      <c r="P5554" s="5"/>
      <c r="Q5554" s="21">
        <v>14.400000000000002</v>
      </c>
      <c r="R5554" s="21">
        <v>0</v>
      </c>
      <c r="S5554" s="5">
        <f t="shared" si="347"/>
        <v>74358.512167016102</v>
      </c>
      <c r="T5554" cm="1">
        <f t="array" ref="T5554">IF(OR(B5554="MAL ALIMI", B5554="ÜRETİM GİRİŞ"), MIN(I5554, MAX(0, I5554 + SUM(SUMIFS($I$1:I5553, $C$1:C5553, C5554, $B$1:B5553, {"MAL ALIMI","ÜRETİM GİRİŞ"})) - VLOOKUP(C5554, 'STOK RAPORU'!$C$2:$I$1000, 4, 0))), 0)</f>
        <v>0</v>
      </c>
      <c r="U5554" s="22">
        <f t="shared" si="344"/>
        <v>0</v>
      </c>
      <c r="V5554">
        <f t="shared" si="345"/>
        <v>0</v>
      </c>
      <c r="W5554" s="22">
        <f t="shared" si="346"/>
        <v>0</v>
      </c>
    </row>
    <row r="5555" spans="1:23" hidden="1" x14ac:dyDescent="0.25">
      <c r="A5555" s="3">
        <v>46096</v>
      </c>
      <c r="B5555" s="4" t="s">
        <v>334</v>
      </c>
      <c r="C5555" s="4" t="s">
        <v>133</v>
      </c>
      <c r="D5555" s="4"/>
      <c r="E5555" s="4"/>
      <c r="F5555" s="46" t="s">
        <v>2642</v>
      </c>
      <c r="G5555" s="4" t="s">
        <v>336</v>
      </c>
      <c r="H5555" s="4" t="s">
        <v>289</v>
      </c>
      <c r="I5555" s="4">
        <v>0.08</v>
      </c>
      <c r="J5555" s="21">
        <v>400</v>
      </c>
      <c r="K5555" s="21">
        <v>0</v>
      </c>
      <c r="L5555" s="5">
        <v>0</v>
      </c>
      <c r="M5555" s="4"/>
      <c r="N5555" s="4"/>
      <c r="O5555" s="5"/>
      <c r="P5555" s="5"/>
      <c r="Q5555" s="21">
        <v>32</v>
      </c>
      <c r="R5555" s="21">
        <v>0</v>
      </c>
      <c r="S5555" s="5">
        <f t="shared" si="347"/>
        <v>74390.512167016102</v>
      </c>
      <c r="T5555" cm="1">
        <f t="array" ref="T5555">IF(OR(B5555="MAL ALIMI", B5555="ÜRETİM GİRİŞ"), MIN(I5555, MAX(0, I5555 + SUM(SUMIFS($I$1:I5554, $C$1:C5554, C5555, $B$1:B5554, {"MAL ALIMI","ÜRETİM GİRİŞ"})) - VLOOKUP(C5555, 'STOK RAPORU'!$C$2:$I$1000, 4, 0))), 0)</f>
        <v>0</v>
      </c>
      <c r="U5555" s="22">
        <f t="shared" ref="U5555:U5618" si="348">T5555*J5555</f>
        <v>0</v>
      </c>
      <c r="V5555">
        <f t="shared" ref="V5555:V5618" si="349">IF(OR(B5555="MAL ALIMI", B5555="ÜRETİM GİRİŞ"), I5555 * J5555, 0)</f>
        <v>0</v>
      </c>
      <c r="W5555" s="22">
        <f t="shared" ref="W5555:W5618" si="350">V5555-U5555</f>
        <v>0</v>
      </c>
    </row>
    <row r="5556" spans="1:23" hidden="1" x14ac:dyDescent="0.25">
      <c r="A5556" s="3">
        <v>46096</v>
      </c>
      <c r="B5556" s="4" t="s">
        <v>334</v>
      </c>
      <c r="C5556" s="4" t="s">
        <v>161</v>
      </c>
      <c r="D5556" s="4"/>
      <c r="E5556" s="4" t="s">
        <v>921</v>
      </c>
      <c r="F5556" s="46" t="s">
        <v>2643</v>
      </c>
      <c r="G5556" s="4" t="s">
        <v>336</v>
      </c>
      <c r="H5556" s="4" t="s">
        <v>380</v>
      </c>
      <c r="I5556" s="4">
        <v>0.25</v>
      </c>
      <c r="J5556" s="21">
        <v>230</v>
      </c>
      <c r="K5556" s="21">
        <v>57.5</v>
      </c>
      <c r="L5556" s="5">
        <v>0</v>
      </c>
      <c r="M5556" s="4"/>
      <c r="N5556" s="4"/>
      <c r="O5556" s="5"/>
      <c r="P5556" s="5"/>
      <c r="Q5556" s="21">
        <v>0</v>
      </c>
      <c r="R5556" s="21">
        <v>0</v>
      </c>
      <c r="S5556" s="5">
        <f t="shared" si="347"/>
        <v>74390.512167016102</v>
      </c>
      <c r="T5556" cm="1">
        <f t="array" ref="T5556">IF(OR(B5556="MAL ALIMI", B5556="ÜRETİM GİRİŞ"), MIN(I5556, MAX(0, I5556 + SUM(SUMIFS($I$1:I5555, $C$1:C5555, C5556, $B$1:B5555, {"MAL ALIMI","ÜRETİM GİRİŞ"})) - VLOOKUP(C5556, 'STOK RAPORU'!$C$2:$I$1000, 4, 0))), 0)</f>
        <v>0</v>
      </c>
      <c r="U5556" s="22">
        <f t="shared" si="348"/>
        <v>0</v>
      </c>
      <c r="V5556">
        <f t="shared" si="349"/>
        <v>0</v>
      </c>
      <c r="W5556" s="22">
        <f t="shared" si="350"/>
        <v>0</v>
      </c>
    </row>
    <row r="5557" spans="1:23" hidden="1" x14ac:dyDescent="0.25">
      <c r="A5557" s="3">
        <v>46096</v>
      </c>
      <c r="B5557" s="4" t="s">
        <v>334</v>
      </c>
      <c r="C5557" s="4" t="s">
        <v>168</v>
      </c>
      <c r="D5557" s="4"/>
      <c r="E5557" s="4" t="s">
        <v>921</v>
      </c>
      <c r="F5557" s="46" t="s">
        <v>2643</v>
      </c>
      <c r="G5557" s="4" t="s">
        <v>336</v>
      </c>
      <c r="H5557" s="4" t="s">
        <v>380</v>
      </c>
      <c r="I5557" s="4">
        <v>0.25</v>
      </c>
      <c r="J5557" s="21">
        <v>230</v>
      </c>
      <c r="K5557" s="21">
        <v>57.5</v>
      </c>
      <c r="L5557" s="5">
        <v>0</v>
      </c>
      <c r="M5557" s="4"/>
      <c r="N5557" s="4"/>
      <c r="O5557" s="5"/>
      <c r="P5557" s="5"/>
      <c r="Q5557" s="21">
        <v>0</v>
      </c>
      <c r="R5557" s="21">
        <v>0</v>
      </c>
      <c r="S5557" s="5">
        <f t="shared" si="347"/>
        <v>74390.512167016102</v>
      </c>
      <c r="T5557" cm="1">
        <f t="array" ref="T5557">IF(OR(B5557="MAL ALIMI", B5557="ÜRETİM GİRİŞ"), MIN(I5557, MAX(0, I5557 + SUM(SUMIFS($I$1:I5556, $C$1:C5556, C5557, $B$1:B5556, {"MAL ALIMI","ÜRETİM GİRİŞ"})) - VLOOKUP(C5557, 'STOK RAPORU'!$C$2:$I$1000, 4, 0))), 0)</f>
        <v>0</v>
      </c>
      <c r="U5557" s="22">
        <f t="shared" si="348"/>
        <v>0</v>
      </c>
      <c r="V5557">
        <f t="shared" si="349"/>
        <v>0</v>
      </c>
      <c r="W5557" s="22">
        <f t="shared" si="350"/>
        <v>0</v>
      </c>
    </row>
    <row r="5558" spans="1:23" hidden="1" x14ac:dyDescent="0.25">
      <c r="A5558" s="3">
        <v>46096</v>
      </c>
      <c r="B5558" s="4" t="s">
        <v>334</v>
      </c>
      <c r="C5558" s="4" t="s">
        <v>160</v>
      </c>
      <c r="D5558" s="4"/>
      <c r="E5558" s="4" t="s">
        <v>921</v>
      </c>
      <c r="F5558" s="46" t="s">
        <v>2643</v>
      </c>
      <c r="G5558" s="4" t="s">
        <v>336</v>
      </c>
      <c r="H5558" s="4" t="s">
        <v>380</v>
      </c>
      <c r="I5558" s="4">
        <v>0.5</v>
      </c>
      <c r="J5558" s="21">
        <v>250</v>
      </c>
      <c r="K5558" s="21">
        <v>125</v>
      </c>
      <c r="L5558" s="5">
        <v>0</v>
      </c>
      <c r="M5558" s="4"/>
      <c r="N5558" s="4"/>
      <c r="O5558" s="5"/>
      <c r="P5558" s="5"/>
      <c r="Q5558" s="21">
        <v>0</v>
      </c>
      <c r="R5558" s="21">
        <v>0</v>
      </c>
      <c r="S5558" s="5">
        <f t="shared" si="347"/>
        <v>74390.512167016102</v>
      </c>
      <c r="T5558" cm="1">
        <f t="array" ref="T5558">IF(OR(B5558="MAL ALIMI", B5558="ÜRETİM GİRİŞ"), MIN(I5558, MAX(0, I5558 + SUM(SUMIFS($I$1:I5557, $C$1:C5557, C5558, $B$1:B5557, {"MAL ALIMI","ÜRETİM GİRİŞ"})) - VLOOKUP(C5558, 'STOK RAPORU'!$C$2:$I$1000, 4, 0))), 0)</f>
        <v>0</v>
      </c>
      <c r="U5558" s="22">
        <f t="shared" si="348"/>
        <v>0</v>
      </c>
      <c r="V5558">
        <f t="shared" si="349"/>
        <v>0</v>
      </c>
      <c r="W5558" s="22">
        <f t="shared" si="350"/>
        <v>0</v>
      </c>
    </row>
    <row r="5559" spans="1:23" hidden="1" x14ac:dyDescent="0.25">
      <c r="A5559" s="3">
        <v>46096</v>
      </c>
      <c r="B5559" s="4" t="s">
        <v>334</v>
      </c>
      <c r="C5559" s="4" t="s">
        <v>1443</v>
      </c>
      <c r="D5559" s="4"/>
      <c r="E5559" s="4" t="s">
        <v>921</v>
      </c>
      <c r="F5559" s="46" t="s">
        <v>2643</v>
      </c>
      <c r="G5559" s="4" t="s">
        <v>336</v>
      </c>
      <c r="H5559" s="4" t="s">
        <v>380</v>
      </c>
      <c r="I5559" s="4">
        <v>1</v>
      </c>
      <c r="J5559" s="21">
        <v>20</v>
      </c>
      <c r="K5559" s="21">
        <v>20</v>
      </c>
      <c r="L5559" s="5">
        <v>0</v>
      </c>
      <c r="M5559" s="4"/>
      <c r="N5559" s="4"/>
      <c r="O5559" s="5"/>
      <c r="P5559" s="5"/>
      <c r="Q5559" s="21">
        <v>0</v>
      </c>
      <c r="R5559" s="21">
        <v>0</v>
      </c>
      <c r="S5559" s="5">
        <f t="shared" si="347"/>
        <v>74390.512167016102</v>
      </c>
      <c r="T5559" cm="1">
        <f t="array" ref="T5559">IF(OR(B5559="MAL ALIMI", B5559="ÜRETİM GİRİŞ"), MIN(I5559, MAX(0, I5559 + SUM(SUMIFS($I$1:I5558, $C$1:C5558, C5559, $B$1:B5558, {"MAL ALIMI","ÜRETİM GİRİŞ"})) - VLOOKUP(C5559, 'STOK RAPORU'!$C$2:$I$1000, 4, 0))), 0)</f>
        <v>0</v>
      </c>
      <c r="U5559" s="22">
        <f t="shared" si="348"/>
        <v>0</v>
      </c>
      <c r="V5559">
        <f t="shared" si="349"/>
        <v>0</v>
      </c>
      <c r="W5559" s="22">
        <f t="shared" si="350"/>
        <v>0</v>
      </c>
    </row>
    <row r="5560" spans="1:23" hidden="1" x14ac:dyDescent="0.25">
      <c r="A5560" s="3">
        <v>46096</v>
      </c>
      <c r="B5560" s="4" t="s">
        <v>334</v>
      </c>
      <c r="C5560" s="4" t="s">
        <v>92</v>
      </c>
      <c r="D5560" s="4"/>
      <c r="E5560" s="4"/>
      <c r="F5560" s="46" t="s">
        <v>2644</v>
      </c>
      <c r="G5560" s="4" t="s">
        <v>336</v>
      </c>
      <c r="H5560" s="4" t="s">
        <v>289</v>
      </c>
      <c r="I5560" s="4">
        <v>0.154</v>
      </c>
      <c r="J5560" s="21">
        <v>500</v>
      </c>
      <c r="K5560" s="21">
        <v>0</v>
      </c>
      <c r="L5560" s="5">
        <v>0</v>
      </c>
      <c r="M5560" s="4"/>
      <c r="N5560" s="4"/>
      <c r="O5560" s="5"/>
      <c r="P5560" s="5"/>
      <c r="Q5560" s="21">
        <v>77</v>
      </c>
      <c r="R5560" s="21">
        <v>0</v>
      </c>
      <c r="S5560" s="5">
        <f t="shared" si="347"/>
        <v>74467.512167016102</v>
      </c>
      <c r="T5560" cm="1">
        <f t="array" ref="T5560">IF(OR(B5560="MAL ALIMI", B5560="ÜRETİM GİRİŞ"), MIN(I5560, MAX(0, I5560 + SUM(SUMIFS($I$1:I5559, $C$1:C5559, C5560, $B$1:B5559, {"MAL ALIMI","ÜRETİM GİRİŞ"})) - VLOOKUP(C5560, 'STOK RAPORU'!$C$2:$I$1000, 4, 0))), 0)</f>
        <v>0</v>
      </c>
      <c r="U5560" s="22">
        <f t="shared" si="348"/>
        <v>0</v>
      </c>
      <c r="V5560">
        <f t="shared" si="349"/>
        <v>0</v>
      </c>
      <c r="W5560" s="22">
        <f t="shared" si="350"/>
        <v>0</v>
      </c>
    </row>
    <row r="5561" spans="1:23" hidden="1" x14ac:dyDescent="0.25">
      <c r="A5561" s="3">
        <v>46096</v>
      </c>
      <c r="B5561" s="4" t="s">
        <v>334</v>
      </c>
      <c r="C5561" s="4" t="s">
        <v>129</v>
      </c>
      <c r="D5561" s="4"/>
      <c r="E5561" s="4"/>
      <c r="F5561" s="46" t="s">
        <v>2644</v>
      </c>
      <c r="G5561" s="4" t="s">
        <v>336</v>
      </c>
      <c r="H5561" s="4" t="s">
        <v>289</v>
      </c>
      <c r="I5561" s="4">
        <v>7.400000000000001E-2</v>
      </c>
      <c r="J5561" s="21">
        <v>400</v>
      </c>
      <c r="K5561" s="21">
        <v>0</v>
      </c>
      <c r="L5561" s="5">
        <v>0</v>
      </c>
      <c r="M5561" s="4"/>
      <c r="N5561" s="4"/>
      <c r="O5561" s="5"/>
      <c r="P5561" s="5"/>
      <c r="Q5561" s="21">
        <v>29.600000000000005</v>
      </c>
      <c r="R5561" s="21">
        <v>0</v>
      </c>
      <c r="S5561" s="5">
        <f t="shared" si="347"/>
        <v>74497.112167016108</v>
      </c>
      <c r="T5561" cm="1">
        <f t="array" ref="T5561">IF(OR(B5561="MAL ALIMI", B5561="ÜRETİM GİRİŞ"), MIN(I5561, MAX(0, I5561 + SUM(SUMIFS($I$1:I5560, $C$1:C5560, C5561, $B$1:B5560, {"MAL ALIMI","ÜRETİM GİRİŞ"})) - VLOOKUP(C5561, 'STOK RAPORU'!$C$2:$I$1000, 4, 0))), 0)</f>
        <v>0</v>
      </c>
      <c r="U5561" s="22">
        <f t="shared" si="348"/>
        <v>0</v>
      </c>
      <c r="V5561">
        <f t="shared" si="349"/>
        <v>0</v>
      </c>
      <c r="W5561" s="22">
        <f t="shared" si="350"/>
        <v>0</v>
      </c>
    </row>
    <row r="5562" spans="1:23" hidden="1" x14ac:dyDescent="0.25">
      <c r="A5562" s="3">
        <v>46096</v>
      </c>
      <c r="B5562" s="4" t="s">
        <v>334</v>
      </c>
      <c r="C5562" s="4" t="s">
        <v>131</v>
      </c>
      <c r="D5562" s="4"/>
      <c r="E5562" s="4"/>
      <c r="F5562" s="46" t="s">
        <v>2644</v>
      </c>
      <c r="G5562" s="4" t="s">
        <v>336</v>
      </c>
      <c r="H5562" s="4" t="s">
        <v>289</v>
      </c>
      <c r="I5562" s="4">
        <v>6.7500000000000004E-2</v>
      </c>
      <c r="J5562" s="21">
        <v>400</v>
      </c>
      <c r="K5562" s="21">
        <v>0</v>
      </c>
      <c r="L5562" s="5">
        <v>0</v>
      </c>
      <c r="M5562" s="4"/>
      <c r="N5562" s="4"/>
      <c r="O5562" s="5"/>
      <c r="P5562" s="5"/>
      <c r="Q5562" s="21">
        <v>27</v>
      </c>
      <c r="R5562" s="21">
        <v>0</v>
      </c>
      <c r="S5562" s="5">
        <f t="shared" si="347"/>
        <v>74524.112167016108</v>
      </c>
      <c r="T5562" cm="1">
        <f t="array" ref="T5562">IF(OR(B5562="MAL ALIMI", B5562="ÜRETİM GİRİŞ"), MIN(I5562, MAX(0, I5562 + SUM(SUMIFS($I$1:I5561, $C$1:C5561, C5562, $B$1:B5561, {"MAL ALIMI","ÜRETİM GİRİŞ"})) - VLOOKUP(C5562, 'STOK RAPORU'!$C$2:$I$1000, 4, 0))), 0)</f>
        <v>0</v>
      </c>
      <c r="U5562" s="22">
        <f t="shared" si="348"/>
        <v>0</v>
      </c>
      <c r="V5562">
        <f t="shared" si="349"/>
        <v>0</v>
      </c>
      <c r="W5562" s="22">
        <f t="shared" si="350"/>
        <v>0</v>
      </c>
    </row>
    <row r="5563" spans="1:23" hidden="1" x14ac:dyDescent="0.25">
      <c r="A5563" s="3">
        <v>46096</v>
      </c>
      <c r="B5563" s="4" t="s">
        <v>334</v>
      </c>
      <c r="C5563" s="4" t="s">
        <v>591</v>
      </c>
      <c r="D5563" s="4"/>
      <c r="E5563" s="4" t="s">
        <v>921</v>
      </c>
      <c r="F5563" s="46" t="s">
        <v>2645</v>
      </c>
      <c r="G5563" s="4" t="s">
        <v>336</v>
      </c>
      <c r="H5563" s="4" t="s">
        <v>380</v>
      </c>
      <c r="I5563" s="4">
        <v>1</v>
      </c>
      <c r="J5563" s="21">
        <v>350</v>
      </c>
      <c r="K5563" s="21">
        <v>350</v>
      </c>
      <c r="L5563" s="5">
        <v>0</v>
      </c>
      <c r="M5563" s="4"/>
      <c r="N5563" s="4"/>
      <c r="O5563" s="5"/>
      <c r="P5563" s="5"/>
      <c r="Q5563" s="21">
        <v>0</v>
      </c>
      <c r="R5563" s="21">
        <v>0</v>
      </c>
      <c r="S5563" s="5">
        <f t="shared" si="347"/>
        <v>74524.112167016108</v>
      </c>
      <c r="T5563" cm="1">
        <f t="array" ref="T5563">IF(OR(B5563="MAL ALIMI", B5563="ÜRETİM GİRİŞ"), MIN(I5563, MAX(0, I5563 + SUM(SUMIFS($I$1:I5562, $C$1:C5562, C5563, $B$1:B5562, {"MAL ALIMI","ÜRETİM GİRİŞ"})) - VLOOKUP(C5563, 'STOK RAPORU'!$C$2:$I$1000, 4, 0))), 0)</f>
        <v>0</v>
      </c>
      <c r="U5563" s="22">
        <f t="shared" si="348"/>
        <v>0</v>
      </c>
      <c r="V5563">
        <f t="shared" si="349"/>
        <v>0</v>
      </c>
      <c r="W5563" s="22">
        <f t="shared" si="350"/>
        <v>0</v>
      </c>
    </row>
    <row r="5564" spans="1:23" hidden="1" x14ac:dyDescent="0.25">
      <c r="A5564" s="3">
        <v>46096</v>
      </c>
      <c r="B5564" s="4" t="s">
        <v>334</v>
      </c>
      <c r="C5564" s="4" t="s">
        <v>156</v>
      </c>
      <c r="D5564" s="4"/>
      <c r="E5564" s="4" t="s">
        <v>921</v>
      </c>
      <c r="F5564" s="46" t="s">
        <v>2645</v>
      </c>
      <c r="G5564" s="4" t="s">
        <v>336</v>
      </c>
      <c r="H5564" s="4" t="s">
        <v>380</v>
      </c>
      <c r="I5564" s="4">
        <v>1</v>
      </c>
      <c r="J5564" s="21">
        <v>200</v>
      </c>
      <c r="K5564" s="21">
        <v>200</v>
      </c>
      <c r="L5564" s="5">
        <v>0</v>
      </c>
      <c r="M5564" s="4"/>
      <c r="N5564" s="4"/>
      <c r="O5564" s="5"/>
      <c r="P5564" s="5"/>
      <c r="Q5564" s="21">
        <v>0</v>
      </c>
      <c r="R5564" s="21">
        <v>0</v>
      </c>
      <c r="S5564" s="5">
        <f t="shared" si="347"/>
        <v>74524.112167016108</v>
      </c>
      <c r="T5564" cm="1">
        <f t="array" ref="T5564">IF(OR(B5564="MAL ALIMI", B5564="ÜRETİM GİRİŞ"), MIN(I5564, MAX(0, I5564 + SUM(SUMIFS($I$1:I5563, $C$1:C5563, C5564, $B$1:B5563, {"MAL ALIMI","ÜRETİM GİRİŞ"})) - VLOOKUP(C5564, 'STOK RAPORU'!$C$2:$I$1000, 4, 0))), 0)</f>
        <v>0</v>
      </c>
      <c r="U5564" s="22">
        <f t="shared" si="348"/>
        <v>0</v>
      </c>
      <c r="V5564">
        <f t="shared" si="349"/>
        <v>0</v>
      </c>
      <c r="W5564" s="22">
        <f t="shared" si="350"/>
        <v>0</v>
      </c>
    </row>
    <row r="5565" spans="1:23" hidden="1" x14ac:dyDescent="0.25">
      <c r="A5565" s="3">
        <v>46096</v>
      </c>
      <c r="B5565" s="4" t="s">
        <v>334</v>
      </c>
      <c r="C5565" s="4" t="s">
        <v>166</v>
      </c>
      <c r="D5565" s="4"/>
      <c r="E5565" s="4"/>
      <c r="F5565" s="46" t="s">
        <v>2646</v>
      </c>
      <c r="G5565" s="4" t="s">
        <v>336</v>
      </c>
      <c r="H5565" s="4" t="s">
        <v>289</v>
      </c>
      <c r="I5565" s="4">
        <v>8.9610389610389612E-2</v>
      </c>
      <c r="J5565" s="21">
        <v>770</v>
      </c>
      <c r="K5565" s="21">
        <v>0</v>
      </c>
      <c r="L5565" s="5">
        <v>0</v>
      </c>
      <c r="M5565" s="4"/>
      <c r="N5565" s="4"/>
      <c r="O5565" s="5"/>
      <c r="P5565" s="5"/>
      <c r="Q5565" s="21">
        <v>69</v>
      </c>
      <c r="R5565" s="21">
        <v>0</v>
      </c>
      <c r="S5565" s="5">
        <f t="shared" si="347"/>
        <v>74593.112167016108</v>
      </c>
      <c r="T5565" cm="1">
        <f t="array" ref="T5565">IF(OR(B5565="MAL ALIMI", B5565="ÜRETİM GİRİŞ"), MIN(I5565, MAX(0, I5565 + SUM(SUMIFS($I$1:I5564, $C$1:C5564, C5565, $B$1:B5564, {"MAL ALIMI","ÜRETİM GİRİŞ"})) - VLOOKUP(C5565, 'STOK RAPORU'!$C$2:$I$1000, 4, 0))), 0)</f>
        <v>0</v>
      </c>
      <c r="U5565" s="22">
        <f t="shared" si="348"/>
        <v>0</v>
      </c>
      <c r="V5565">
        <f t="shared" si="349"/>
        <v>0</v>
      </c>
      <c r="W5565" s="22">
        <f t="shared" si="350"/>
        <v>0</v>
      </c>
    </row>
    <row r="5566" spans="1:23" hidden="1" x14ac:dyDescent="0.25">
      <c r="A5566" s="3">
        <v>46096</v>
      </c>
      <c r="B5566" s="4" t="s">
        <v>334</v>
      </c>
      <c r="C5566" s="4" t="s">
        <v>166</v>
      </c>
      <c r="D5566" s="4"/>
      <c r="E5566" s="4" t="s">
        <v>921</v>
      </c>
      <c r="F5566" s="46" t="s">
        <v>2647</v>
      </c>
      <c r="G5566" s="4" t="s">
        <v>336</v>
      </c>
      <c r="H5566" s="4" t="s">
        <v>380</v>
      </c>
      <c r="I5566" s="4">
        <v>8.3116883116883117E-2</v>
      </c>
      <c r="J5566" s="21">
        <v>770</v>
      </c>
      <c r="K5566" s="21">
        <v>64</v>
      </c>
      <c r="L5566" s="5">
        <v>0</v>
      </c>
      <c r="M5566" s="4"/>
      <c r="N5566" s="4"/>
      <c r="O5566" s="5"/>
      <c r="P5566" s="5"/>
      <c r="Q5566" s="21">
        <v>0</v>
      </c>
      <c r="R5566" s="21">
        <v>0</v>
      </c>
      <c r="S5566" s="5">
        <f t="shared" si="347"/>
        <v>74593.112167016108</v>
      </c>
      <c r="T5566" cm="1">
        <f t="array" ref="T5566">IF(OR(B5566="MAL ALIMI", B5566="ÜRETİM GİRİŞ"), MIN(I5566, MAX(0, I5566 + SUM(SUMIFS($I$1:I5565, $C$1:C5565, C5566, $B$1:B5565, {"MAL ALIMI","ÜRETİM GİRİŞ"})) - VLOOKUP(C5566, 'STOK RAPORU'!$C$2:$I$1000, 4, 0))), 0)</f>
        <v>0</v>
      </c>
      <c r="U5566" s="22">
        <f t="shared" si="348"/>
        <v>0</v>
      </c>
      <c r="V5566">
        <f t="shared" si="349"/>
        <v>0</v>
      </c>
      <c r="W5566" s="22">
        <f t="shared" si="350"/>
        <v>0</v>
      </c>
    </row>
    <row r="5567" spans="1:23" hidden="1" x14ac:dyDescent="0.25">
      <c r="A5567" s="3">
        <v>46096</v>
      </c>
      <c r="B5567" s="4" t="s">
        <v>334</v>
      </c>
      <c r="C5567" s="4" t="s">
        <v>821</v>
      </c>
      <c r="D5567" s="4"/>
      <c r="E5567" s="4"/>
      <c r="F5567" s="46" t="s">
        <v>2648</v>
      </c>
      <c r="G5567" s="4" t="s">
        <v>336</v>
      </c>
      <c r="H5567" s="4" t="s">
        <v>289</v>
      </c>
      <c r="I5567" s="4">
        <v>1</v>
      </c>
      <c r="J5567" s="21">
        <v>100</v>
      </c>
      <c r="K5567" s="21">
        <v>0</v>
      </c>
      <c r="L5567" s="5">
        <v>0</v>
      </c>
      <c r="M5567" s="4"/>
      <c r="N5567" s="4"/>
      <c r="O5567" s="5"/>
      <c r="P5567" s="5"/>
      <c r="Q5567" s="21">
        <v>100</v>
      </c>
      <c r="R5567" s="21">
        <v>0</v>
      </c>
      <c r="S5567" s="5">
        <f t="shared" si="347"/>
        <v>74693.112167016108</v>
      </c>
      <c r="T5567" cm="1">
        <f t="array" ref="T5567">IF(OR(B5567="MAL ALIMI", B5567="ÜRETİM GİRİŞ"), MIN(I5567, MAX(0, I5567 + SUM(SUMIFS($I$1:I5566, $C$1:C5566, C5567, $B$1:B5566, {"MAL ALIMI","ÜRETİM GİRİŞ"})) - VLOOKUP(C5567, 'STOK RAPORU'!$C$2:$I$1000, 4, 0))), 0)</f>
        <v>0</v>
      </c>
      <c r="U5567" s="22">
        <f t="shared" si="348"/>
        <v>0</v>
      </c>
      <c r="V5567">
        <f t="shared" si="349"/>
        <v>0</v>
      </c>
      <c r="W5567" s="22">
        <f t="shared" si="350"/>
        <v>0</v>
      </c>
    </row>
    <row r="5568" spans="1:23" hidden="1" x14ac:dyDescent="0.25">
      <c r="A5568" s="3">
        <v>46097</v>
      </c>
      <c r="B5568" s="4" t="s">
        <v>334</v>
      </c>
      <c r="C5568" s="4" t="s">
        <v>157</v>
      </c>
      <c r="D5568" s="4"/>
      <c r="E5568" s="4"/>
      <c r="F5568" s="46" t="s">
        <v>2651</v>
      </c>
      <c r="G5568" s="4" t="s">
        <v>336</v>
      </c>
      <c r="H5568" s="4" t="s">
        <v>289</v>
      </c>
      <c r="I5568" s="4">
        <v>0.5</v>
      </c>
      <c r="J5568" s="21">
        <v>200</v>
      </c>
      <c r="K5568" s="21">
        <v>0</v>
      </c>
      <c r="L5568" s="5">
        <v>0</v>
      </c>
      <c r="M5568" s="4"/>
      <c r="N5568" s="4"/>
      <c r="O5568" s="5"/>
      <c r="P5568" s="5"/>
      <c r="Q5568" s="21">
        <v>100</v>
      </c>
      <c r="R5568" s="21">
        <v>0</v>
      </c>
      <c r="S5568" s="5">
        <f t="shared" si="347"/>
        <v>74793.112167016108</v>
      </c>
      <c r="T5568" cm="1">
        <f t="array" ref="T5568">IF(OR(B5568="MAL ALIMI", B5568="ÜRETİM GİRİŞ"), MIN(I5568, MAX(0, I5568 + SUM(SUMIFS($I$1:I5567, $C$1:C5567, C5568, $B$1:B5567, {"MAL ALIMI","ÜRETİM GİRİŞ"})) - VLOOKUP(C5568, 'STOK RAPORU'!$C$2:$I$1000, 4, 0))), 0)</f>
        <v>0</v>
      </c>
      <c r="U5568" s="22">
        <f t="shared" si="348"/>
        <v>0</v>
      </c>
      <c r="V5568">
        <f t="shared" si="349"/>
        <v>0</v>
      </c>
      <c r="W5568" s="22">
        <f t="shared" si="350"/>
        <v>0</v>
      </c>
    </row>
    <row r="5569" spans="1:23" hidden="1" x14ac:dyDescent="0.25">
      <c r="A5569" s="3">
        <v>46097</v>
      </c>
      <c r="B5569" s="4" t="s">
        <v>334</v>
      </c>
      <c r="C5569" s="4" t="s">
        <v>1634</v>
      </c>
      <c r="D5569" s="4"/>
      <c r="E5569" s="4" t="s">
        <v>921</v>
      </c>
      <c r="F5569" s="46" t="s">
        <v>2652</v>
      </c>
      <c r="G5569" s="4" t="s">
        <v>336</v>
      </c>
      <c r="H5569" s="4" t="s">
        <v>380</v>
      </c>
      <c r="I5569" s="4">
        <v>0.58571428571428574</v>
      </c>
      <c r="J5569" s="21">
        <v>350</v>
      </c>
      <c r="K5569" s="21">
        <v>205</v>
      </c>
      <c r="L5569" s="5">
        <v>0</v>
      </c>
      <c r="M5569" s="4"/>
      <c r="N5569" s="4"/>
      <c r="O5569" s="5"/>
      <c r="P5569" s="5"/>
      <c r="Q5569" s="21">
        <v>0</v>
      </c>
      <c r="R5569" s="21">
        <v>0</v>
      </c>
      <c r="S5569" s="5">
        <f t="shared" si="347"/>
        <v>74793.112167016108</v>
      </c>
      <c r="T5569" cm="1">
        <f t="array" ref="T5569">IF(OR(B5569="MAL ALIMI", B5569="ÜRETİM GİRİŞ"), MIN(I5569, MAX(0, I5569 + SUM(SUMIFS($I$1:I5568, $C$1:C5568, C5569, $B$1:B5568, {"MAL ALIMI","ÜRETİM GİRİŞ"})) - VLOOKUP(C5569, 'STOK RAPORU'!$C$2:$I$1000, 4, 0))), 0)</f>
        <v>0</v>
      </c>
      <c r="U5569" s="22">
        <f t="shared" si="348"/>
        <v>0</v>
      </c>
      <c r="V5569">
        <f t="shared" si="349"/>
        <v>0</v>
      </c>
      <c r="W5569" s="22">
        <f t="shared" si="350"/>
        <v>0</v>
      </c>
    </row>
    <row r="5570" spans="1:23" hidden="1" x14ac:dyDescent="0.25">
      <c r="A5570" s="3">
        <v>46097</v>
      </c>
      <c r="B5570" s="4" t="s">
        <v>334</v>
      </c>
      <c r="C5570" s="4" t="s">
        <v>651</v>
      </c>
      <c r="D5570" s="4"/>
      <c r="E5570" s="4" t="s">
        <v>921</v>
      </c>
      <c r="F5570" s="46" t="s">
        <v>2653</v>
      </c>
      <c r="G5570" s="4" t="s">
        <v>336</v>
      </c>
      <c r="H5570" s="4" t="s">
        <v>380</v>
      </c>
      <c r="I5570" s="4">
        <v>1</v>
      </c>
      <c r="J5570" s="21">
        <v>400</v>
      </c>
      <c r="K5570" s="21">
        <v>400</v>
      </c>
      <c r="L5570" s="5">
        <v>0</v>
      </c>
      <c r="M5570" s="4"/>
      <c r="N5570" s="4"/>
      <c r="O5570" s="5"/>
      <c r="P5570" s="5"/>
      <c r="Q5570" s="21">
        <v>0</v>
      </c>
      <c r="R5570" s="21">
        <v>0</v>
      </c>
      <c r="S5570" s="5">
        <f t="shared" si="347"/>
        <v>74793.112167016108</v>
      </c>
      <c r="T5570" cm="1">
        <f t="array" ref="T5570">IF(OR(B5570="MAL ALIMI", B5570="ÜRETİM GİRİŞ"), MIN(I5570, MAX(0, I5570 + SUM(SUMIFS($I$1:I5569, $C$1:C5569, C5570, $B$1:B5569, {"MAL ALIMI","ÜRETİM GİRİŞ"})) - VLOOKUP(C5570, 'STOK RAPORU'!$C$2:$I$1000, 4, 0))), 0)</f>
        <v>0</v>
      </c>
      <c r="U5570" s="22">
        <f t="shared" si="348"/>
        <v>0</v>
      </c>
      <c r="V5570">
        <f t="shared" si="349"/>
        <v>0</v>
      </c>
      <c r="W5570" s="22">
        <f t="shared" si="350"/>
        <v>0</v>
      </c>
    </row>
    <row r="5571" spans="1:23" hidden="1" x14ac:dyDescent="0.25">
      <c r="A5571" s="3">
        <v>46097</v>
      </c>
      <c r="B5571" s="4" t="s">
        <v>334</v>
      </c>
      <c r="C5571" s="4" t="s">
        <v>160</v>
      </c>
      <c r="D5571" s="4"/>
      <c r="E5571" s="4"/>
      <c r="F5571" s="46" t="s">
        <v>2654</v>
      </c>
      <c r="G5571" s="4" t="s">
        <v>336</v>
      </c>
      <c r="H5571" s="4" t="s">
        <v>289</v>
      </c>
      <c r="I5571" s="4">
        <v>1</v>
      </c>
      <c r="J5571" s="21">
        <v>250</v>
      </c>
      <c r="K5571" s="21">
        <v>0</v>
      </c>
      <c r="L5571" s="5">
        <v>0</v>
      </c>
      <c r="M5571" s="4"/>
      <c r="N5571" s="4"/>
      <c r="O5571" s="5"/>
      <c r="P5571" s="5"/>
      <c r="Q5571" s="21">
        <v>250</v>
      </c>
      <c r="R5571" s="21">
        <v>0</v>
      </c>
      <c r="S5571" s="5">
        <f t="shared" si="347"/>
        <v>75043.112167016108</v>
      </c>
      <c r="T5571" cm="1">
        <f t="array" ref="T5571">IF(OR(B5571="MAL ALIMI", B5571="ÜRETİM GİRİŞ"), MIN(I5571, MAX(0, I5571 + SUM(SUMIFS($I$1:I5570, $C$1:C5570, C5571, $B$1:B5570, {"MAL ALIMI","ÜRETİM GİRİŞ"})) - VLOOKUP(C5571, 'STOK RAPORU'!$C$2:$I$1000, 4, 0))), 0)</f>
        <v>0</v>
      </c>
      <c r="U5571" s="22">
        <f t="shared" si="348"/>
        <v>0</v>
      </c>
      <c r="V5571">
        <f t="shared" si="349"/>
        <v>0</v>
      </c>
      <c r="W5571" s="22">
        <f t="shared" si="350"/>
        <v>0</v>
      </c>
    </row>
    <row r="5572" spans="1:23" hidden="1" x14ac:dyDescent="0.25">
      <c r="A5572" s="3">
        <v>46097</v>
      </c>
      <c r="B5572" s="4" t="s">
        <v>334</v>
      </c>
      <c r="C5572" s="4" t="s">
        <v>1041</v>
      </c>
      <c r="D5572" s="4"/>
      <c r="E5572" s="4"/>
      <c r="F5572" s="46" t="s">
        <v>2655</v>
      </c>
      <c r="G5572" s="4" t="s">
        <v>336</v>
      </c>
      <c r="H5572" s="4" t="s">
        <v>289</v>
      </c>
      <c r="I5572" s="4">
        <v>1</v>
      </c>
      <c r="J5572" s="21">
        <v>200</v>
      </c>
      <c r="K5572" s="21">
        <v>0</v>
      </c>
      <c r="L5572" s="5">
        <v>0</v>
      </c>
      <c r="M5572" s="4"/>
      <c r="N5572" s="4"/>
      <c r="O5572" s="5"/>
      <c r="P5572" s="5"/>
      <c r="Q5572" s="21">
        <v>200</v>
      </c>
      <c r="R5572" s="21">
        <v>0</v>
      </c>
      <c r="S5572" s="5">
        <f t="shared" ref="S5572:S5635" si="351">S5571+Q5572-R5572</f>
        <v>75243.112167016108</v>
      </c>
      <c r="T5572" cm="1">
        <f t="array" ref="T5572">IF(OR(B5572="MAL ALIMI", B5572="ÜRETİM GİRİŞ"), MIN(I5572, MAX(0, I5572 + SUM(SUMIFS($I$1:I5571, $C$1:C5571, C5572, $B$1:B5571, {"MAL ALIMI","ÜRETİM GİRİŞ"})) - VLOOKUP(C5572, 'STOK RAPORU'!$C$2:$I$1000, 4, 0))), 0)</f>
        <v>0</v>
      </c>
      <c r="U5572" s="22">
        <f t="shared" si="348"/>
        <v>0</v>
      </c>
      <c r="V5572">
        <f t="shared" si="349"/>
        <v>0</v>
      </c>
      <c r="W5572" s="22">
        <f t="shared" si="350"/>
        <v>0</v>
      </c>
    </row>
    <row r="5573" spans="1:23" hidden="1" x14ac:dyDescent="0.25">
      <c r="A5573" s="3">
        <v>46097</v>
      </c>
      <c r="B5573" s="4" t="s">
        <v>334</v>
      </c>
      <c r="C5573" s="4" t="s">
        <v>132</v>
      </c>
      <c r="D5573" s="4"/>
      <c r="E5573" s="4"/>
      <c r="F5573" s="46" t="s">
        <v>2656</v>
      </c>
      <c r="G5573" s="4" t="s">
        <v>336</v>
      </c>
      <c r="H5573" s="4" t="s">
        <v>289</v>
      </c>
      <c r="I5573" s="4">
        <v>0.2</v>
      </c>
      <c r="J5573" s="21">
        <v>500</v>
      </c>
      <c r="K5573" s="21">
        <v>0</v>
      </c>
      <c r="L5573" s="5">
        <v>0</v>
      </c>
      <c r="M5573" s="4"/>
      <c r="N5573" s="4"/>
      <c r="O5573" s="5"/>
      <c r="P5573" s="5"/>
      <c r="Q5573" s="21">
        <v>100</v>
      </c>
      <c r="R5573" s="21">
        <v>0</v>
      </c>
      <c r="S5573" s="5">
        <f t="shared" si="351"/>
        <v>75343.112167016108</v>
      </c>
      <c r="T5573" cm="1">
        <f t="array" ref="T5573">IF(OR(B5573="MAL ALIMI", B5573="ÜRETİM GİRİŞ"), MIN(I5573, MAX(0, I5573 + SUM(SUMIFS($I$1:I5572, $C$1:C5572, C5573, $B$1:B5572, {"MAL ALIMI","ÜRETİM GİRİŞ"})) - VLOOKUP(C5573, 'STOK RAPORU'!$C$2:$I$1000, 4, 0))), 0)</f>
        <v>0</v>
      </c>
      <c r="U5573" s="22">
        <f t="shared" si="348"/>
        <v>0</v>
      </c>
      <c r="V5573">
        <f t="shared" si="349"/>
        <v>0</v>
      </c>
      <c r="W5573" s="22">
        <f t="shared" si="350"/>
        <v>0</v>
      </c>
    </row>
    <row r="5574" spans="1:23" hidden="1" x14ac:dyDescent="0.25">
      <c r="A5574" s="3">
        <v>46097</v>
      </c>
      <c r="B5574" s="4" t="s">
        <v>334</v>
      </c>
      <c r="C5574" s="4" t="s">
        <v>590</v>
      </c>
      <c r="D5574" s="4"/>
      <c r="E5574" s="4" t="s">
        <v>2343</v>
      </c>
      <c r="F5574" s="46" t="s">
        <v>2657</v>
      </c>
      <c r="G5574" s="4" t="s">
        <v>2613</v>
      </c>
      <c r="H5574" s="4" t="s">
        <v>304</v>
      </c>
      <c r="I5574" s="4">
        <v>5</v>
      </c>
      <c r="J5574" s="21">
        <v>65</v>
      </c>
      <c r="K5574" s="21">
        <v>325</v>
      </c>
      <c r="L5574" s="5">
        <v>0</v>
      </c>
      <c r="M5574" s="4"/>
      <c r="N5574" s="4"/>
      <c r="O5574" s="5"/>
      <c r="P5574" s="5"/>
      <c r="Q5574" s="21">
        <v>0</v>
      </c>
      <c r="R5574" s="21">
        <v>0</v>
      </c>
      <c r="S5574" s="5">
        <f t="shared" si="351"/>
        <v>75343.112167016108</v>
      </c>
      <c r="T5574" cm="1">
        <f t="array" ref="T5574">IF(OR(B5574="MAL ALIMI", B5574="ÜRETİM GİRİŞ"), MIN(I5574, MAX(0, I5574 + SUM(SUMIFS($I$1:I5573, $C$1:C5573, C5574, $B$1:B5573, {"MAL ALIMI","ÜRETİM GİRİŞ"})) - VLOOKUP(C5574, 'STOK RAPORU'!$C$2:$I$1000, 4, 0))), 0)</f>
        <v>0</v>
      </c>
      <c r="U5574" s="22">
        <f t="shared" si="348"/>
        <v>0</v>
      </c>
      <c r="V5574">
        <f t="shared" si="349"/>
        <v>0</v>
      </c>
      <c r="W5574" s="22">
        <f t="shared" si="350"/>
        <v>0</v>
      </c>
    </row>
    <row r="5575" spans="1:23" hidden="1" x14ac:dyDescent="0.25">
      <c r="A5575" s="3">
        <v>46097</v>
      </c>
      <c r="B5575" s="4" t="s">
        <v>334</v>
      </c>
      <c r="C5575" s="4" t="s">
        <v>126</v>
      </c>
      <c r="D5575" s="4"/>
      <c r="E5575" s="4" t="s">
        <v>2343</v>
      </c>
      <c r="F5575" s="46" t="s">
        <v>2657</v>
      </c>
      <c r="G5575" s="4" t="s">
        <v>2613</v>
      </c>
      <c r="H5575" s="4" t="s">
        <v>304</v>
      </c>
      <c r="I5575" s="4">
        <v>0.25</v>
      </c>
      <c r="J5575" s="21">
        <v>490</v>
      </c>
      <c r="K5575" s="21">
        <v>122.5</v>
      </c>
      <c r="L5575" s="5">
        <v>0</v>
      </c>
      <c r="M5575" s="4"/>
      <c r="N5575" s="4"/>
      <c r="O5575" s="5"/>
      <c r="P5575" s="5"/>
      <c r="Q5575" s="21">
        <v>0</v>
      </c>
      <c r="R5575" s="21">
        <v>0</v>
      </c>
      <c r="S5575" s="5">
        <f t="shared" si="351"/>
        <v>75343.112167016108</v>
      </c>
      <c r="T5575" cm="1">
        <f t="array" ref="T5575">IF(OR(B5575="MAL ALIMI", B5575="ÜRETİM GİRİŞ"), MIN(I5575, MAX(0, I5575 + SUM(SUMIFS($I$1:I5574, $C$1:C5574, C5575, $B$1:B5574, {"MAL ALIMI","ÜRETİM GİRİŞ"})) - VLOOKUP(C5575, 'STOK RAPORU'!$C$2:$I$1000, 4, 0))), 0)</f>
        <v>0</v>
      </c>
      <c r="U5575" s="22">
        <f t="shared" si="348"/>
        <v>0</v>
      </c>
      <c r="V5575">
        <f t="shared" si="349"/>
        <v>0</v>
      </c>
      <c r="W5575" s="22">
        <f t="shared" si="350"/>
        <v>0</v>
      </c>
    </row>
    <row r="5576" spans="1:23" hidden="1" x14ac:dyDescent="0.25">
      <c r="A5576" s="3">
        <v>46097</v>
      </c>
      <c r="B5576" s="4" t="s">
        <v>334</v>
      </c>
      <c r="C5576" s="4" t="s">
        <v>129</v>
      </c>
      <c r="D5576" s="4"/>
      <c r="E5576" s="4" t="s">
        <v>2343</v>
      </c>
      <c r="F5576" s="46" t="s">
        <v>2657</v>
      </c>
      <c r="G5576" s="4" t="s">
        <v>2613</v>
      </c>
      <c r="H5576" s="4" t="s">
        <v>304</v>
      </c>
      <c r="I5576" s="4">
        <v>0.25</v>
      </c>
      <c r="J5576" s="21">
        <v>295</v>
      </c>
      <c r="K5576" s="21">
        <v>73.75</v>
      </c>
      <c r="L5576" s="5">
        <v>0</v>
      </c>
      <c r="M5576" s="4"/>
      <c r="N5576" s="4"/>
      <c r="O5576" s="5"/>
      <c r="P5576" s="5"/>
      <c r="Q5576" s="21">
        <v>0</v>
      </c>
      <c r="R5576" s="21">
        <v>0</v>
      </c>
      <c r="S5576" s="5">
        <f t="shared" si="351"/>
        <v>75343.112167016108</v>
      </c>
      <c r="T5576" cm="1">
        <f t="array" ref="T5576">IF(OR(B5576="MAL ALIMI", B5576="ÜRETİM GİRİŞ"), MIN(I5576, MAX(0, I5576 + SUM(SUMIFS($I$1:I5575, $C$1:C5575, C5576, $B$1:B5575, {"MAL ALIMI","ÜRETİM GİRİŞ"})) - VLOOKUP(C5576, 'STOK RAPORU'!$C$2:$I$1000, 4, 0))), 0)</f>
        <v>0</v>
      </c>
      <c r="U5576" s="22">
        <f t="shared" si="348"/>
        <v>0</v>
      </c>
      <c r="V5576">
        <f t="shared" si="349"/>
        <v>0</v>
      </c>
      <c r="W5576" s="22">
        <f t="shared" si="350"/>
        <v>0</v>
      </c>
    </row>
    <row r="5577" spans="1:23" hidden="1" x14ac:dyDescent="0.25">
      <c r="A5577" s="3">
        <v>46097</v>
      </c>
      <c r="B5577" s="4" t="s">
        <v>334</v>
      </c>
      <c r="C5577" s="4" t="s">
        <v>1634</v>
      </c>
      <c r="D5577" s="4"/>
      <c r="E5577" s="4"/>
      <c r="F5577" s="46" t="s">
        <v>2658</v>
      </c>
      <c r="G5577" s="4" t="s">
        <v>336</v>
      </c>
      <c r="H5577" s="4" t="s">
        <v>289</v>
      </c>
      <c r="I5577" s="4">
        <v>0.372</v>
      </c>
      <c r="J5577" s="21">
        <v>350</v>
      </c>
      <c r="K5577" s="21">
        <v>0</v>
      </c>
      <c r="L5577" s="5">
        <v>0</v>
      </c>
      <c r="M5577" s="4"/>
      <c r="N5577" s="4"/>
      <c r="O5577" s="5"/>
      <c r="P5577" s="5"/>
      <c r="Q5577" s="21">
        <v>130.19999999999999</v>
      </c>
      <c r="R5577" s="21">
        <v>0</v>
      </c>
      <c r="S5577" s="5">
        <f t="shared" si="351"/>
        <v>75473.312167016105</v>
      </c>
      <c r="T5577" cm="1">
        <f t="array" ref="T5577">IF(OR(B5577="MAL ALIMI", B5577="ÜRETİM GİRİŞ"), MIN(I5577, MAX(0, I5577 + SUM(SUMIFS($I$1:I5576, $C$1:C5576, C5577, $B$1:B5576, {"MAL ALIMI","ÜRETİM GİRİŞ"})) - VLOOKUP(C5577, 'STOK RAPORU'!$C$2:$I$1000, 4, 0))), 0)</f>
        <v>0</v>
      </c>
      <c r="U5577" s="22">
        <f t="shared" si="348"/>
        <v>0</v>
      </c>
      <c r="V5577">
        <f t="shared" si="349"/>
        <v>0</v>
      </c>
      <c r="W5577" s="22">
        <f t="shared" si="350"/>
        <v>0</v>
      </c>
    </row>
    <row r="5578" spans="1:23" hidden="1" x14ac:dyDescent="0.25">
      <c r="A5578" s="3">
        <v>46097</v>
      </c>
      <c r="B5578" s="4" t="s">
        <v>334</v>
      </c>
      <c r="C5578" s="4" t="s">
        <v>1634</v>
      </c>
      <c r="D5578" s="4"/>
      <c r="E5578" s="4"/>
      <c r="F5578" s="46" t="s">
        <v>2658</v>
      </c>
      <c r="G5578" s="4" t="s">
        <v>336</v>
      </c>
      <c r="H5578" s="4" t="s">
        <v>289</v>
      </c>
      <c r="I5578" s="4">
        <v>0.4</v>
      </c>
      <c r="J5578" s="21">
        <v>350</v>
      </c>
      <c r="K5578" s="21">
        <v>0</v>
      </c>
      <c r="L5578" s="5">
        <v>0</v>
      </c>
      <c r="M5578" s="4"/>
      <c r="N5578" s="4"/>
      <c r="O5578" s="5"/>
      <c r="P5578" s="5"/>
      <c r="Q5578" s="21">
        <v>140</v>
      </c>
      <c r="R5578" s="21">
        <v>0</v>
      </c>
      <c r="S5578" s="5">
        <f t="shared" si="351"/>
        <v>75613.312167016105</v>
      </c>
      <c r="T5578" cm="1">
        <f t="array" ref="T5578">IF(OR(B5578="MAL ALIMI", B5578="ÜRETİM GİRİŞ"), MIN(I5578, MAX(0, I5578 + SUM(SUMIFS($I$1:I5577, $C$1:C5577, C5578, $B$1:B5577, {"MAL ALIMI","ÜRETİM GİRİŞ"})) - VLOOKUP(C5578, 'STOK RAPORU'!$C$2:$I$1000, 4, 0))), 0)</f>
        <v>0</v>
      </c>
      <c r="U5578" s="22">
        <f t="shared" si="348"/>
        <v>0</v>
      </c>
      <c r="V5578">
        <f t="shared" si="349"/>
        <v>0</v>
      </c>
      <c r="W5578" s="22">
        <f t="shared" si="350"/>
        <v>0</v>
      </c>
    </row>
    <row r="5579" spans="1:23" hidden="1" x14ac:dyDescent="0.25">
      <c r="A5579" s="3">
        <v>46097</v>
      </c>
      <c r="B5579" s="4" t="s">
        <v>334</v>
      </c>
      <c r="C5579" s="4" t="s">
        <v>160</v>
      </c>
      <c r="D5579" s="4"/>
      <c r="E5579" s="4"/>
      <c r="F5579" s="46" t="s">
        <v>2658</v>
      </c>
      <c r="G5579" s="4" t="s">
        <v>336</v>
      </c>
      <c r="H5579" s="4" t="s">
        <v>289</v>
      </c>
      <c r="I5579" s="4">
        <v>1</v>
      </c>
      <c r="J5579" s="21">
        <v>250</v>
      </c>
      <c r="K5579" s="21">
        <v>0</v>
      </c>
      <c r="L5579" s="5">
        <v>0</v>
      </c>
      <c r="M5579" s="4"/>
      <c r="N5579" s="4"/>
      <c r="O5579" s="5"/>
      <c r="P5579" s="5"/>
      <c r="Q5579" s="21">
        <v>250</v>
      </c>
      <c r="R5579" s="21">
        <v>0</v>
      </c>
      <c r="S5579" s="5">
        <f t="shared" si="351"/>
        <v>75863.312167016105</v>
      </c>
      <c r="T5579" cm="1">
        <f t="array" ref="T5579">IF(OR(B5579="MAL ALIMI", B5579="ÜRETİM GİRİŞ"), MIN(I5579, MAX(0, I5579 + SUM(SUMIFS($I$1:I5578, $C$1:C5578, C5579, $B$1:B5578, {"MAL ALIMI","ÜRETİM GİRİŞ"})) - VLOOKUP(C5579, 'STOK RAPORU'!$C$2:$I$1000, 4, 0))), 0)</f>
        <v>0</v>
      </c>
      <c r="U5579" s="22">
        <f t="shared" si="348"/>
        <v>0</v>
      </c>
      <c r="V5579">
        <f t="shared" si="349"/>
        <v>0</v>
      </c>
      <c r="W5579" s="22">
        <f t="shared" si="350"/>
        <v>0</v>
      </c>
    </row>
    <row r="5580" spans="1:23" hidden="1" x14ac:dyDescent="0.25">
      <c r="A5580" s="3">
        <v>46097</v>
      </c>
      <c r="B5580" s="4" t="s">
        <v>334</v>
      </c>
      <c r="C5580" s="4" t="s">
        <v>161</v>
      </c>
      <c r="D5580" s="4"/>
      <c r="E5580" s="4"/>
      <c r="F5580" s="46" t="s">
        <v>2658</v>
      </c>
      <c r="G5580" s="4" t="s">
        <v>336</v>
      </c>
      <c r="H5580" s="4" t="s">
        <v>289</v>
      </c>
      <c r="I5580" s="4">
        <v>1</v>
      </c>
      <c r="J5580" s="21">
        <v>230</v>
      </c>
      <c r="K5580" s="21">
        <v>0</v>
      </c>
      <c r="L5580" s="5">
        <v>0</v>
      </c>
      <c r="M5580" s="4"/>
      <c r="N5580" s="4"/>
      <c r="O5580" s="5"/>
      <c r="P5580" s="5"/>
      <c r="Q5580" s="21">
        <v>230</v>
      </c>
      <c r="R5580" s="21">
        <v>0</v>
      </c>
      <c r="S5580" s="5">
        <f t="shared" si="351"/>
        <v>76093.312167016105</v>
      </c>
      <c r="T5580" cm="1">
        <f t="array" ref="T5580">IF(OR(B5580="MAL ALIMI", B5580="ÜRETİM GİRİŞ"), MIN(I5580, MAX(0, I5580 + SUM(SUMIFS($I$1:I5579, $C$1:C5579, C5580, $B$1:B5579, {"MAL ALIMI","ÜRETİM GİRİŞ"})) - VLOOKUP(C5580, 'STOK RAPORU'!$C$2:$I$1000, 4, 0))), 0)</f>
        <v>0</v>
      </c>
      <c r="U5580" s="22">
        <f t="shared" si="348"/>
        <v>0</v>
      </c>
      <c r="V5580">
        <f t="shared" si="349"/>
        <v>0</v>
      </c>
      <c r="W5580" s="22">
        <f t="shared" si="350"/>
        <v>0</v>
      </c>
    </row>
    <row r="5581" spans="1:23" hidden="1" x14ac:dyDescent="0.25">
      <c r="A5581" s="3">
        <v>46097</v>
      </c>
      <c r="B5581" s="4" t="s">
        <v>334</v>
      </c>
      <c r="C5581" s="4" t="s">
        <v>137</v>
      </c>
      <c r="D5581" s="4"/>
      <c r="E5581" s="4"/>
      <c r="F5581" s="46" t="s">
        <v>2658</v>
      </c>
      <c r="G5581" s="4" t="s">
        <v>336</v>
      </c>
      <c r="H5581" s="4" t="s">
        <v>289</v>
      </c>
      <c r="I5581" s="4">
        <v>0.27777777777777779</v>
      </c>
      <c r="J5581" s="21">
        <v>180</v>
      </c>
      <c r="K5581" s="21">
        <v>0</v>
      </c>
      <c r="L5581" s="5">
        <v>0</v>
      </c>
      <c r="M5581" s="4"/>
      <c r="N5581" s="4"/>
      <c r="O5581" s="5"/>
      <c r="P5581" s="5"/>
      <c r="Q5581" s="21">
        <v>50</v>
      </c>
      <c r="R5581" s="21">
        <v>0</v>
      </c>
      <c r="S5581" s="5">
        <f t="shared" si="351"/>
        <v>76143.312167016105</v>
      </c>
      <c r="T5581" cm="1">
        <f t="array" ref="T5581">IF(OR(B5581="MAL ALIMI", B5581="ÜRETİM GİRİŞ"), MIN(I5581, MAX(0, I5581 + SUM(SUMIFS($I$1:I5580, $C$1:C5580, C5581, $B$1:B5580, {"MAL ALIMI","ÜRETİM GİRİŞ"})) - VLOOKUP(C5581, 'STOK RAPORU'!$C$2:$I$1000, 4, 0))), 0)</f>
        <v>0</v>
      </c>
      <c r="U5581" s="22">
        <f t="shared" si="348"/>
        <v>0</v>
      </c>
      <c r="V5581">
        <f t="shared" si="349"/>
        <v>0</v>
      </c>
      <c r="W5581" s="22">
        <f t="shared" si="350"/>
        <v>0</v>
      </c>
    </row>
    <row r="5582" spans="1:23" hidden="1" x14ac:dyDescent="0.25">
      <c r="A5582" s="3">
        <v>46097</v>
      </c>
      <c r="B5582" s="4" t="s">
        <v>334</v>
      </c>
      <c r="C5582" s="4" t="s">
        <v>160</v>
      </c>
      <c r="D5582" s="4"/>
      <c r="E5582" s="4" t="s">
        <v>921</v>
      </c>
      <c r="F5582" s="46" t="s">
        <v>2659</v>
      </c>
      <c r="G5582" s="4" t="s">
        <v>336</v>
      </c>
      <c r="H5582" s="4" t="s">
        <v>380</v>
      </c>
      <c r="I5582" s="4">
        <v>0.5</v>
      </c>
      <c r="J5582" s="21">
        <v>250</v>
      </c>
      <c r="K5582" s="21">
        <v>125</v>
      </c>
      <c r="L5582" s="5">
        <v>0</v>
      </c>
      <c r="M5582" s="4"/>
      <c r="N5582" s="4"/>
      <c r="O5582" s="5"/>
      <c r="P5582" s="5"/>
      <c r="Q5582" s="21">
        <v>0</v>
      </c>
      <c r="R5582" s="21">
        <v>0</v>
      </c>
      <c r="S5582" s="5">
        <f t="shared" si="351"/>
        <v>76143.312167016105</v>
      </c>
      <c r="T5582" cm="1">
        <f t="array" ref="T5582">IF(OR(B5582="MAL ALIMI", B5582="ÜRETİM GİRİŞ"), MIN(I5582, MAX(0, I5582 + SUM(SUMIFS($I$1:I5581, $C$1:C5581, C5582, $B$1:B5581, {"MAL ALIMI","ÜRETİM GİRİŞ"})) - VLOOKUP(C5582, 'STOK RAPORU'!$C$2:$I$1000, 4, 0))), 0)</f>
        <v>0</v>
      </c>
      <c r="U5582" s="22">
        <f t="shared" si="348"/>
        <v>0</v>
      </c>
      <c r="V5582">
        <f t="shared" si="349"/>
        <v>0</v>
      </c>
      <c r="W5582" s="22">
        <f t="shared" si="350"/>
        <v>0</v>
      </c>
    </row>
    <row r="5583" spans="1:23" hidden="1" x14ac:dyDescent="0.25">
      <c r="A5583" s="3">
        <v>46097</v>
      </c>
      <c r="B5583" s="4" t="s">
        <v>334</v>
      </c>
      <c r="C5583" s="4" t="s">
        <v>161</v>
      </c>
      <c r="D5583" s="4"/>
      <c r="E5583" s="4" t="s">
        <v>921</v>
      </c>
      <c r="F5583" s="46" t="s">
        <v>2659</v>
      </c>
      <c r="G5583" s="4" t="s">
        <v>336</v>
      </c>
      <c r="H5583" s="4" t="s">
        <v>380</v>
      </c>
      <c r="I5583" s="4">
        <v>0.5</v>
      </c>
      <c r="J5583" s="21">
        <v>230</v>
      </c>
      <c r="K5583" s="21">
        <v>115</v>
      </c>
      <c r="L5583" s="5">
        <v>0</v>
      </c>
      <c r="M5583" s="4"/>
      <c r="N5583" s="4"/>
      <c r="O5583" s="5"/>
      <c r="P5583" s="5"/>
      <c r="Q5583" s="21">
        <v>0</v>
      </c>
      <c r="R5583" s="21">
        <v>0</v>
      </c>
      <c r="S5583" s="5">
        <f t="shared" si="351"/>
        <v>76143.312167016105</v>
      </c>
      <c r="T5583" cm="1">
        <f t="array" ref="T5583">IF(OR(B5583="MAL ALIMI", B5583="ÜRETİM GİRİŞ"), MIN(I5583, MAX(0, I5583 + SUM(SUMIFS($I$1:I5582, $C$1:C5582, C5583, $B$1:B5582, {"MAL ALIMI","ÜRETİM GİRİŞ"})) - VLOOKUP(C5583, 'STOK RAPORU'!$C$2:$I$1000, 4, 0))), 0)</f>
        <v>0</v>
      </c>
      <c r="U5583" s="22">
        <f t="shared" si="348"/>
        <v>0</v>
      </c>
      <c r="V5583">
        <f t="shared" si="349"/>
        <v>0</v>
      </c>
      <c r="W5583" s="22">
        <f t="shared" si="350"/>
        <v>0</v>
      </c>
    </row>
    <row r="5584" spans="1:23" hidden="1" x14ac:dyDescent="0.25">
      <c r="A5584" s="3">
        <v>46097</v>
      </c>
      <c r="B5584" s="4" t="s">
        <v>334</v>
      </c>
      <c r="C5584" s="4" t="s">
        <v>131</v>
      </c>
      <c r="D5584" s="4"/>
      <c r="E5584" s="4" t="s">
        <v>921</v>
      </c>
      <c r="F5584" s="46" t="s">
        <v>2659</v>
      </c>
      <c r="G5584" s="4" t="s">
        <v>336</v>
      </c>
      <c r="H5584" s="4" t="s">
        <v>380</v>
      </c>
      <c r="I5584" s="4">
        <v>7.0000000000000007E-2</v>
      </c>
      <c r="J5584" s="21">
        <v>400</v>
      </c>
      <c r="K5584" s="21">
        <v>28.000000000000004</v>
      </c>
      <c r="L5584" s="5">
        <v>0</v>
      </c>
      <c r="M5584" s="4"/>
      <c r="N5584" s="4"/>
      <c r="O5584" s="5"/>
      <c r="P5584" s="5"/>
      <c r="Q5584" s="21">
        <v>0</v>
      </c>
      <c r="R5584" s="21">
        <v>0</v>
      </c>
      <c r="S5584" s="5">
        <f t="shared" si="351"/>
        <v>76143.312167016105</v>
      </c>
      <c r="T5584" cm="1">
        <f t="array" ref="T5584">IF(OR(B5584="MAL ALIMI", B5584="ÜRETİM GİRİŞ"), MIN(I5584, MAX(0, I5584 + SUM(SUMIFS($I$1:I5583, $C$1:C5583, C5584, $B$1:B5583, {"MAL ALIMI","ÜRETİM GİRİŞ"})) - VLOOKUP(C5584, 'STOK RAPORU'!$C$2:$I$1000, 4, 0))), 0)</f>
        <v>0</v>
      </c>
      <c r="U5584" s="22">
        <f t="shared" si="348"/>
        <v>0</v>
      </c>
      <c r="V5584">
        <f t="shared" si="349"/>
        <v>0</v>
      </c>
      <c r="W5584" s="22">
        <f t="shared" si="350"/>
        <v>0</v>
      </c>
    </row>
    <row r="5585" spans="1:23" hidden="1" x14ac:dyDescent="0.25">
      <c r="A5585" s="3">
        <v>46097</v>
      </c>
      <c r="B5585" s="4" t="s">
        <v>334</v>
      </c>
      <c r="C5585" s="4" t="s">
        <v>205</v>
      </c>
      <c r="D5585" s="4"/>
      <c r="E5585" s="4" t="s">
        <v>921</v>
      </c>
      <c r="F5585" s="46" t="s">
        <v>2659</v>
      </c>
      <c r="G5585" s="4" t="s">
        <v>336</v>
      </c>
      <c r="H5585" s="4" t="s">
        <v>380</v>
      </c>
      <c r="I5585" s="4">
        <v>1</v>
      </c>
      <c r="J5585" s="21">
        <v>290</v>
      </c>
      <c r="K5585" s="21">
        <v>290</v>
      </c>
      <c r="L5585" s="5">
        <v>0</v>
      </c>
      <c r="M5585" s="4"/>
      <c r="N5585" s="4"/>
      <c r="O5585" s="5"/>
      <c r="P5585" s="5"/>
      <c r="Q5585" s="21">
        <v>0</v>
      </c>
      <c r="R5585" s="21">
        <v>0</v>
      </c>
      <c r="S5585" s="5">
        <f t="shared" si="351"/>
        <v>76143.312167016105</v>
      </c>
      <c r="T5585" cm="1">
        <f t="array" ref="T5585">IF(OR(B5585="MAL ALIMI", B5585="ÜRETİM GİRİŞ"), MIN(I5585, MAX(0, I5585 + SUM(SUMIFS($I$1:I5584, $C$1:C5584, C5585, $B$1:B5584, {"MAL ALIMI","ÜRETİM GİRİŞ"})) - VLOOKUP(C5585, 'STOK RAPORU'!$C$2:$I$1000, 4, 0))), 0)</f>
        <v>0</v>
      </c>
      <c r="U5585" s="22">
        <f t="shared" si="348"/>
        <v>0</v>
      </c>
      <c r="V5585">
        <f t="shared" si="349"/>
        <v>0</v>
      </c>
      <c r="W5585" s="22">
        <f t="shared" si="350"/>
        <v>0</v>
      </c>
    </row>
    <row r="5586" spans="1:23" hidden="1" x14ac:dyDescent="0.25">
      <c r="A5586" s="3">
        <v>46097</v>
      </c>
      <c r="B5586" s="4" t="s">
        <v>334</v>
      </c>
      <c r="C5586" s="4" t="s">
        <v>691</v>
      </c>
      <c r="D5586" s="4"/>
      <c r="E5586" s="4" t="s">
        <v>921</v>
      </c>
      <c r="F5586" s="46" t="s">
        <v>2659</v>
      </c>
      <c r="G5586" s="4" t="s">
        <v>336</v>
      </c>
      <c r="H5586" s="4" t="s">
        <v>380</v>
      </c>
      <c r="I5586" s="4">
        <v>0.21739130434782608</v>
      </c>
      <c r="J5586" s="21">
        <v>230</v>
      </c>
      <c r="K5586" s="21">
        <v>50</v>
      </c>
      <c r="L5586" s="5">
        <v>0</v>
      </c>
      <c r="M5586" s="4"/>
      <c r="N5586" s="4"/>
      <c r="O5586" s="5"/>
      <c r="P5586" s="5"/>
      <c r="Q5586" s="21">
        <v>0</v>
      </c>
      <c r="R5586" s="21">
        <v>0</v>
      </c>
      <c r="S5586" s="5">
        <f t="shared" si="351"/>
        <v>76143.312167016105</v>
      </c>
      <c r="T5586" cm="1">
        <f t="array" ref="T5586">IF(OR(B5586="MAL ALIMI", B5586="ÜRETİM GİRİŞ"), MIN(I5586, MAX(0, I5586 + SUM(SUMIFS($I$1:I5585, $C$1:C5585, C5586, $B$1:B5585, {"MAL ALIMI","ÜRETİM GİRİŞ"})) - VLOOKUP(C5586, 'STOK RAPORU'!$C$2:$I$1000, 4, 0))), 0)</f>
        <v>0</v>
      </c>
      <c r="U5586" s="22">
        <f t="shared" si="348"/>
        <v>0</v>
      </c>
      <c r="V5586">
        <f t="shared" si="349"/>
        <v>0</v>
      </c>
      <c r="W5586" s="22">
        <f t="shared" si="350"/>
        <v>0</v>
      </c>
    </row>
    <row r="5587" spans="1:23" hidden="1" x14ac:dyDescent="0.25">
      <c r="A5587" s="3">
        <v>46097</v>
      </c>
      <c r="B5587" s="4" t="s">
        <v>334</v>
      </c>
      <c r="C5587" s="4" t="s">
        <v>1634</v>
      </c>
      <c r="D5587" s="4"/>
      <c r="E5587" s="4" t="s">
        <v>921</v>
      </c>
      <c r="F5587" s="46" t="s">
        <v>2659</v>
      </c>
      <c r="G5587" s="4" t="s">
        <v>336</v>
      </c>
      <c r="H5587" s="4" t="s">
        <v>380</v>
      </c>
      <c r="I5587" s="4">
        <v>0.56285714285714283</v>
      </c>
      <c r="J5587" s="21">
        <v>350</v>
      </c>
      <c r="K5587" s="21">
        <v>197</v>
      </c>
      <c r="L5587" s="5">
        <v>0</v>
      </c>
      <c r="M5587" s="4"/>
      <c r="N5587" s="4"/>
      <c r="O5587" s="5"/>
      <c r="P5587" s="5"/>
      <c r="Q5587" s="21">
        <v>0</v>
      </c>
      <c r="R5587" s="21">
        <v>0</v>
      </c>
      <c r="S5587" s="5">
        <f t="shared" si="351"/>
        <v>76143.312167016105</v>
      </c>
      <c r="T5587" cm="1">
        <f t="array" ref="T5587">IF(OR(B5587="MAL ALIMI", B5587="ÜRETİM GİRİŞ"), MIN(I5587, MAX(0, I5587 + SUM(SUMIFS($I$1:I5586, $C$1:C5586, C5587, $B$1:B5586, {"MAL ALIMI","ÜRETİM GİRİŞ"})) - VLOOKUP(C5587, 'STOK RAPORU'!$C$2:$I$1000, 4, 0))), 0)</f>
        <v>0</v>
      </c>
      <c r="U5587" s="22">
        <f t="shared" si="348"/>
        <v>0</v>
      </c>
      <c r="V5587">
        <f t="shared" si="349"/>
        <v>0</v>
      </c>
      <c r="W5587" s="22">
        <f t="shared" si="350"/>
        <v>0</v>
      </c>
    </row>
    <row r="5588" spans="1:23" hidden="1" x14ac:dyDescent="0.25">
      <c r="A5588" s="3">
        <v>46097</v>
      </c>
      <c r="B5588" s="4" t="s">
        <v>334</v>
      </c>
      <c r="C5588" s="4" t="s">
        <v>98</v>
      </c>
      <c r="D5588" s="4"/>
      <c r="E5588" s="4"/>
      <c r="F5588" s="46" t="s">
        <v>2660</v>
      </c>
      <c r="G5588" s="4" t="s">
        <v>336</v>
      </c>
      <c r="H5588" s="4" t="s">
        <v>289</v>
      </c>
      <c r="I5588" s="4">
        <v>6.25E-2</v>
      </c>
      <c r="J5588" s="21">
        <v>400</v>
      </c>
      <c r="K5588" s="21">
        <v>0</v>
      </c>
      <c r="L5588" s="5">
        <v>0</v>
      </c>
      <c r="M5588" s="4"/>
      <c r="N5588" s="4"/>
      <c r="O5588" s="5"/>
      <c r="P5588" s="5"/>
      <c r="Q5588" s="21">
        <v>25</v>
      </c>
      <c r="R5588" s="21">
        <v>0</v>
      </c>
      <c r="S5588" s="5">
        <f t="shared" si="351"/>
        <v>76168.312167016105</v>
      </c>
      <c r="T5588" cm="1">
        <f t="array" ref="T5588">IF(OR(B5588="MAL ALIMI", B5588="ÜRETİM GİRİŞ"), MIN(I5588, MAX(0, I5588 + SUM(SUMIFS($I$1:I5587, $C$1:C5587, C5588, $B$1:B5587, {"MAL ALIMI","ÜRETİM GİRİŞ"})) - VLOOKUP(C5588, 'STOK RAPORU'!$C$2:$I$1000, 4, 0))), 0)</f>
        <v>0</v>
      </c>
      <c r="U5588" s="22">
        <f t="shared" si="348"/>
        <v>0</v>
      </c>
      <c r="V5588">
        <f t="shared" si="349"/>
        <v>0</v>
      </c>
      <c r="W5588" s="22">
        <f t="shared" si="350"/>
        <v>0</v>
      </c>
    </row>
    <row r="5589" spans="1:23" hidden="1" x14ac:dyDescent="0.25">
      <c r="A5589" s="3">
        <v>46097</v>
      </c>
      <c r="B5589" s="4" t="s">
        <v>334</v>
      </c>
      <c r="C5589" s="4" t="s">
        <v>166</v>
      </c>
      <c r="D5589" s="4"/>
      <c r="E5589" s="4" t="s">
        <v>921</v>
      </c>
      <c r="F5589" s="46" t="s">
        <v>2661</v>
      </c>
      <c r="G5589" s="4" t="s">
        <v>336</v>
      </c>
      <c r="H5589" s="4" t="s">
        <v>380</v>
      </c>
      <c r="I5589" s="4">
        <v>7.5324675324675322E-2</v>
      </c>
      <c r="J5589" s="21">
        <v>770</v>
      </c>
      <c r="K5589" s="21">
        <v>58</v>
      </c>
      <c r="L5589" s="5">
        <v>0</v>
      </c>
      <c r="M5589" s="4"/>
      <c r="N5589" s="4"/>
      <c r="O5589" s="5"/>
      <c r="P5589" s="5"/>
      <c r="Q5589" s="21">
        <v>0</v>
      </c>
      <c r="R5589" s="21">
        <v>0</v>
      </c>
      <c r="S5589" s="5">
        <f t="shared" si="351"/>
        <v>76168.312167016105</v>
      </c>
      <c r="T5589" cm="1">
        <f t="array" ref="T5589">IF(OR(B5589="MAL ALIMI", B5589="ÜRETİM GİRİŞ"), MIN(I5589, MAX(0, I5589 + SUM(SUMIFS($I$1:I5588, $C$1:C5588, C5589, $B$1:B5588, {"MAL ALIMI","ÜRETİM GİRİŞ"})) - VLOOKUP(C5589, 'STOK RAPORU'!$C$2:$I$1000, 4, 0))), 0)</f>
        <v>0</v>
      </c>
      <c r="U5589" s="22">
        <f t="shared" si="348"/>
        <v>0</v>
      </c>
      <c r="V5589">
        <f t="shared" si="349"/>
        <v>0</v>
      </c>
      <c r="W5589" s="22">
        <f t="shared" si="350"/>
        <v>0</v>
      </c>
    </row>
    <row r="5590" spans="1:23" hidden="1" x14ac:dyDescent="0.25">
      <c r="A5590" s="3">
        <v>46097</v>
      </c>
      <c r="B5590" s="4" t="s">
        <v>334</v>
      </c>
      <c r="C5590" s="4" t="s">
        <v>129</v>
      </c>
      <c r="D5590" s="4"/>
      <c r="E5590" s="4" t="s">
        <v>921</v>
      </c>
      <c r="F5590" s="46" t="s">
        <v>2661</v>
      </c>
      <c r="G5590" s="4" t="s">
        <v>336</v>
      </c>
      <c r="H5590" s="4" t="s">
        <v>380</v>
      </c>
      <c r="I5590" s="4">
        <v>0.115</v>
      </c>
      <c r="J5590" s="21">
        <v>400</v>
      </c>
      <c r="K5590" s="21">
        <v>46</v>
      </c>
      <c r="L5590" s="5">
        <v>0</v>
      </c>
      <c r="M5590" s="4"/>
      <c r="N5590" s="4"/>
      <c r="O5590" s="5"/>
      <c r="P5590" s="5"/>
      <c r="Q5590" s="21">
        <v>0</v>
      </c>
      <c r="R5590" s="21">
        <v>0</v>
      </c>
      <c r="S5590" s="5">
        <f t="shared" si="351"/>
        <v>76168.312167016105</v>
      </c>
      <c r="T5590" cm="1">
        <f t="array" ref="T5590">IF(OR(B5590="MAL ALIMI", B5590="ÜRETİM GİRİŞ"), MIN(I5590, MAX(0, I5590 + SUM(SUMIFS($I$1:I5589, $C$1:C5589, C5590, $B$1:B5589, {"MAL ALIMI","ÜRETİM GİRİŞ"})) - VLOOKUP(C5590, 'STOK RAPORU'!$C$2:$I$1000, 4, 0))), 0)</f>
        <v>0</v>
      </c>
      <c r="U5590" s="22">
        <f t="shared" si="348"/>
        <v>0</v>
      </c>
      <c r="V5590">
        <f t="shared" si="349"/>
        <v>0</v>
      </c>
      <c r="W5590" s="22">
        <f t="shared" si="350"/>
        <v>0</v>
      </c>
    </row>
    <row r="5591" spans="1:23" hidden="1" x14ac:dyDescent="0.25">
      <c r="A5591" s="3">
        <v>46097</v>
      </c>
      <c r="B5591" s="4" t="s">
        <v>334</v>
      </c>
      <c r="C5591" s="4" t="s">
        <v>3167</v>
      </c>
      <c r="D5591" s="4"/>
      <c r="E5591" s="4" t="s">
        <v>921</v>
      </c>
      <c r="F5591" s="46" t="s">
        <v>2661</v>
      </c>
      <c r="G5591" s="4" t="s">
        <v>336</v>
      </c>
      <c r="H5591" s="4" t="s">
        <v>380</v>
      </c>
      <c r="I5591" s="4">
        <v>0.1525</v>
      </c>
      <c r="J5591" s="21">
        <v>400</v>
      </c>
      <c r="K5591" s="21">
        <v>61</v>
      </c>
      <c r="L5591" s="5">
        <v>0</v>
      </c>
      <c r="M5591" s="4"/>
      <c r="N5591" s="4"/>
      <c r="O5591" s="5"/>
      <c r="P5591" s="5"/>
      <c r="Q5591" s="21">
        <v>0</v>
      </c>
      <c r="R5591" s="21">
        <v>0</v>
      </c>
      <c r="S5591" s="5">
        <f t="shared" si="351"/>
        <v>76168.312167016105</v>
      </c>
      <c r="T5591" cm="1">
        <f t="array" ref="T5591">IF(OR(B5591="MAL ALIMI", B5591="ÜRETİM GİRİŞ"), MIN(I5591, MAX(0, I5591 + SUM(SUMIFS($I$1:I5590, $C$1:C5590, C5591, $B$1:B5590, {"MAL ALIMI","ÜRETİM GİRİŞ"})) - VLOOKUP(C5591, 'STOK RAPORU'!$C$2:$I$1000, 4, 0))), 0)</f>
        <v>0</v>
      </c>
      <c r="U5591" s="22">
        <f t="shared" si="348"/>
        <v>0</v>
      </c>
      <c r="V5591">
        <f t="shared" si="349"/>
        <v>0</v>
      </c>
      <c r="W5591" s="22">
        <f t="shared" si="350"/>
        <v>0</v>
      </c>
    </row>
    <row r="5592" spans="1:23" hidden="1" x14ac:dyDescent="0.25">
      <c r="A5592" s="3">
        <v>46097</v>
      </c>
      <c r="B5592" s="4" t="s">
        <v>334</v>
      </c>
      <c r="C5592" s="4" t="s">
        <v>651</v>
      </c>
      <c r="D5592" s="4"/>
      <c r="E5592" s="4"/>
      <c r="F5592" s="46" t="s">
        <v>2662</v>
      </c>
      <c r="G5592" s="4" t="s">
        <v>336</v>
      </c>
      <c r="H5592" s="4" t="s">
        <v>289</v>
      </c>
      <c r="I5592" s="4">
        <v>1</v>
      </c>
      <c r="J5592" s="21">
        <v>400</v>
      </c>
      <c r="K5592" s="21">
        <v>0</v>
      </c>
      <c r="L5592" s="5">
        <v>0</v>
      </c>
      <c r="M5592" s="4"/>
      <c r="N5592" s="4"/>
      <c r="O5592" s="5"/>
      <c r="P5592" s="5"/>
      <c r="Q5592" s="21">
        <v>400</v>
      </c>
      <c r="R5592" s="21">
        <v>0</v>
      </c>
      <c r="S5592" s="5">
        <f t="shared" si="351"/>
        <v>76568.312167016105</v>
      </c>
      <c r="T5592" cm="1">
        <f t="array" ref="T5592">IF(OR(B5592="MAL ALIMI", B5592="ÜRETİM GİRİŞ"), MIN(I5592, MAX(0, I5592 + SUM(SUMIFS($I$1:I5591, $C$1:C5591, C5592, $B$1:B5591, {"MAL ALIMI","ÜRETİM GİRİŞ"})) - VLOOKUP(C5592, 'STOK RAPORU'!$C$2:$I$1000, 4, 0))), 0)</f>
        <v>0</v>
      </c>
      <c r="U5592" s="22">
        <f t="shared" si="348"/>
        <v>0</v>
      </c>
      <c r="V5592">
        <f t="shared" si="349"/>
        <v>0</v>
      </c>
      <c r="W5592" s="22">
        <f t="shared" si="350"/>
        <v>0</v>
      </c>
    </row>
    <row r="5593" spans="1:23" hidden="1" x14ac:dyDescent="0.25">
      <c r="A5593" s="3">
        <v>46097</v>
      </c>
      <c r="B5593" s="4" t="s">
        <v>334</v>
      </c>
      <c r="C5593" s="4" t="s">
        <v>691</v>
      </c>
      <c r="D5593" s="4"/>
      <c r="E5593" s="4"/>
      <c r="F5593" s="46" t="s">
        <v>2663</v>
      </c>
      <c r="G5593" s="4" t="s">
        <v>336</v>
      </c>
      <c r="H5593" s="4" t="s">
        <v>289</v>
      </c>
      <c r="I5593" s="4">
        <v>0.32608695652173914</v>
      </c>
      <c r="J5593" s="21">
        <v>230</v>
      </c>
      <c r="K5593" s="21">
        <v>0</v>
      </c>
      <c r="L5593" s="5">
        <v>0</v>
      </c>
      <c r="M5593" s="4"/>
      <c r="N5593" s="4"/>
      <c r="O5593" s="5"/>
      <c r="P5593" s="5"/>
      <c r="Q5593" s="21">
        <v>75</v>
      </c>
      <c r="R5593" s="21">
        <v>0</v>
      </c>
      <c r="S5593" s="5">
        <f t="shared" si="351"/>
        <v>76643.312167016105</v>
      </c>
      <c r="T5593" cm="1">
        <f t="array" ref="T5593">IF(OR(B5593="MAL ALIMI", B5593="ÜRETİM GİRİŞ"), MIN(I5593, MAX(0, I5593 + SUM(SUMIFS($I$1:I5592, $C$1:C5592, C5593, $B$1:B5592, {"MAL ALIMI","ÜRETİM GİRİŞ"})) - VLOOKUP(C5593, 'STOK RAPORU'!$C$2:$I$1000, 4, 0))), 0)</f>
        <v>0</v>
      </c>
      <c r="U5593" s="22">
        <f t="shared" si="348"/>
        <v>0</v>
      </c>
      <c r="V5593">
        <f t="shared" si="349"/>
        <v>0</v>
      </c>
      <c r="W5593" s="22">
        <f t="shared" si="350"/>
        <v>0</v>
      </c>
    </row>
    <row r="5594" spans="1:23" hidden="1" x14ac:dyDescent="0.25">
      <c r="A5594" s="3">
        <v>46097</v>
      </c>
      <c r="B5594" s="4" t="s">
        <v>334</v>
      </c>
      <c r="C5594" s="4" t="s">
        <v>468</v>
      </c>
      <c r="D5594" s="4"/>
      <c r="E5594" s="4" t="s">
        <v>921</v>
      </c>
      <c r="F5594" s="46" t="s">
        <v>2664</v>
      </c>
      <c r="G5594" s="4" t="s">
        <v>336</v>
      </c>
      <c r="H5594" s="4" t="s">
        <v>380</v>
      </c>
      <c r="I5594" s="4">
        <v>1</v>
      </c>
      <c r="J5594" s="21">
        <v>50</v>
      </c>
      <c r="K5594" s="21">
        <v>50</v>
      </c>
      <c r="L5594" s="5">
        <v>0</v>
      </c>
      <c r="M5594" s="4"/>
      <c r="N5594" s="4"/>
      <c r="O5594" s="5"/>
      <c r="P5594" s="5"/>
      <c r="Q5594" s="21">
        <v>0</v>
      </c>
      <c r="R5594" s="21">
        <v>0</v>
      </c>
      <c r="S5594" s="5">
        <f t="shared" si="351"/>
        <v>76643.312167016105</v>
      </c>
      <c r="T5594" cm="1">
        <f t="array" ref="T5594">IF(OR(B5594="MAL ALIMI", B5594="ÜRETİM GİRİŞ"), MIN(I5594, MAX(0, I5594 + SUM(SUMIFS($I$1:I5593, $C$1:C5593, C5594, $B$1:B5593, {"MAL ALIMI","ÜRETİM GİRİŞ"})) - VLOOKUP(C5594, 'STOK RAPORU'!$C$2:$I$1000, 4, 0))), 0)</f>
        <v>0</v>
      </c>
      <c r="U5594" s="22">
        <f t="shared" si="348"/>
        <v>0</v>
      </c>
      <c r="V5594">
        <f t="shared" si="349"/>
        <v>0</v>
      </c>
      <c r="W5594" s="22">
        <f t="shared" si="350"/>
        <v>0</v>
      </c>
    </row>
    <row r="5595" spans="1:23" hidden="1" x14ac:dyDescent="0.25">
      <c r="A5595" s="3">
        <v>46097</v>
      </c>
      <c r="B5595" s="4" t="s">
        <v>334</v>
      </c>
      <c r="C5595" s="4" t="s">
        <v>465</v>
      </c>
      <c r="D5595" s="4"/>
      <c r="E5595" s="4" t="s">
        <v>921</v>
      </c>
      <c r="F5595" s="46" t="s">
        <v>2664</v>
      </c>
      <c r="G5595" s="4" t="s">
        <v>336</v>
      </c>
      <c r="H5595" s="4" t="s">
        <v>380</v>
      </c>
      <c r="I5595" s="4">
        <v>1</v>
      </c>
      <c r="J5595" s="21">
        <v>50</v>
      </c>
      <c r="K5595" s="21">
        <v>50</v>
      </c>
      <c r="L5595" s="5">
        <v>0</v>
      </c>
      <c r="M5595" s="4"/>
      <c r="N5595" s="4"/>
      <c r="O5595" s="5"/>
      <c r="P5595" s="5"/>
      <c r="Q5595" s="21">
        <v>0</v>
      </c>
      <c r="R5595" s="21">
        <v>0</v>
      </c>
      <c r="S5595" s="5">
        <f t="shared" si="351"/>
        <v>76643.312167016105</v>
      </c>
      <c r="T5595" cm="1">
        <f t="array" ref="T5595">IF(OR(B5595="MAL ALIMI", B5595="ÜRETİM GİRİŞ"), MIN(I5595, MAX(0, I5595 + SUM(SUMIFS($I$1:I5594, $C$1:C5594, C5595, $B$1:B5594, {"MAL ALIMI","ÜRETİM GİRİŞ"})) - VLOOKUP(C5595, 'STOK RAPORU'!$C$2:$I$1000, 4, 0))), 0)</f>
        <v>0</v>
      </c>
      <c r="U5595" s="22">
        <f t="shared" si="348"/>
        <v>0</v>
      </c>
      <c r="V5595">
        <f t="shared" si="349"/>
        <v>0</v>
      </c>
      <c r="W5595" s="22">
        <f t="shared" si="350"/>
        <v>0</v>
      </c>
    </row>
    <row r="5596" spans="1:23" hidden="1" x14ac:dyDescent="0.25">
      <c r="A5596" s="3">
        <v>46097</v>
      </c>
      <c r="B5596" s="4" t="s">
        <v>334</v>
      </c>
      <c r="C5596" s="4" t="s">
        <v>2588</v>
      </c>
      <c r="D5596" s="4"/>
      <c r="E5596" s="4" t="s">
        <v>921</v>
      </c>
      <c r="F5596" s="46" t="s">
        <v>2664</v>
      </c>
      <c r="G5596" s="4" t="s">
        <v>336</v>
      </c>
      <c r="H5596" s="4" t="s">
        <v>380</v>
      </c>
      <c r="I5596" s="4">
        <v>1</v>
      </c>
      <c r="J5596" s="21">
        <v>120</v>
      </c>
      <c r="K5596" s="21">
        <v>120</v>
      </c>
      <c r="L5596" s="5">
        <v>0</v>
      </c>
      <c r="M5596" s="4"/>
      <c r="N5596" s="4"/>
      <c r="O5596" s="5"/>
      <c r="P5596" s="5"/>
      <c r="Q5596" s="21">
        <v>0</v>
      </c>
      <c r="R5596" s="21">
        <v>0</v>
      </c>
      <c r="S5596" s="5">
        <f t="shared" si="351"/>
        <v>76643.312167016105</v>
      </c>
      <c r="T5596" cm="1">
        <f t="array" ref="T5596">IF(OR(B5596="MAL ALIMI", B5596="ÜRETİM GİRİŞ"), MIN(I5596, MAX(0, I5596 + SUM(SUMIFS($I$1:I5595, $C$1:C5595, C5596, $B$1:B5595, {"MAL ALIMI","ÜRETİM GİRİŞ"})) - VLOOKUP(C5596, 'STOK RAPORU'!$C$2:$I$1000, 4, 0))), 0)</f>
        <v>0</v>
      </c>
      <c r="U5596" s="22">
        <f t="shared" si="348"/>
        <v>0</v>
      </c>
      <c r="V5596">
        <f t="shared" si="349"/>
        <v>0</v>
      </c>
      <c r="W5596" s="22">
        <f t="shared" si="350"/>
        <v>0</v>
      </c>
    </row>
    <row r="5597" spans="1:23" hidden="1" x14ac:dyDescent="0.25">
      <c r="A5597" s="3">
        <v>46097</v>
      </c>
      <c r="B5597" s="4" t="s">
        <v>334</v>
      </c>
      <c r="C5597" s="4" t="s">
        <v>256</v>
      </c>
      <c r="D5597" s="4"/>
      <c r="E5597" s="4" t="s">
        <v>921</v>
      </c>
      <c r="F5597" s="46" t="s">
        <v>2665</v>
      </c>
      <c r="G5597" s="4" t="s">
        <v>336</v>
      </c>
      <c r="H5597" s="4" t="s">
        <v>380</v>
      </c>
      <c r="I5597" s="4">
        <v>1</v>
      </c>
      <c r="J5597" s="21">
        <v>190</v>
      </c>
      <c r="K5597" s="21">
        <v>190</v>
      </c>
      <c r="L5597" s="5">
        <v>0</v>
      </c>
      <c r="M5597" s="4"/>
      <c r="N5597" s="4"/>
      <c r="O5597" s="5"/>
      <c r="P5597" s="5"/>
      <c r="Q5597" s="21">
        <v>0</v>
      </c>
      <c r="R5597" s="21">
        <v>0</v>
      </c>
      <c r="S5597" s="5">
        <f t="shared" si="351"/>
        <v>76643.312167016105</v>
      </c>
      <c r="T5597" cm="1">
        <f t="array" ref="T5597">IF(OR(B5597="MAL ALIMI", B5597="ÜRETİM GİRİŞ"), MIN(I5597, MAX(0, I5597 + SUM(SUMIFS($I$1:I5596, $C$1:C5596, C5597, $B$1:B5596, {"MAL ALIMI","ÜRETİM GİRİŞ"})) - VLOOKUP(C5597, 'STOK RAPORU'!$C$2:$I$1000, 4, 0))), 0)</f>
        <v>0</v>
      </c>
      <c r="U5597" s="22">
        <f t="shared" si="348"/>
        <v>0</v>
      </c>
      <c r="V5597">
        <f t="shared" si="349"/>
        <v>0</v>
      </c>
      <c r="W5597" s="22">
        <f t="shared" si="350"/>
        <v>0</v>
      </c>
    </row>
    <row r="5598" spans="1:23" hidden="1" x14ac:dyDescent="0.25">
      <c r="A5598" s="3">
        <v>46097</v>
      </c>
      <c r="B5598" s="4" t="s">
        <v>334</v>
      </c>
      <c r="C5598" s="4" t="s">
        <v>728</v>
      </c>
      <c r="D5598" s="4"/>
      <c r="E5598" s="4" t="s">
        <v>921</v>
      </c>
      <c r="F5598" s="46" t="s">
        <v>2666</v>
      </c>
      <c r="G5598" s="4" t="s">
        <v>336</v>
      </c>
      <c r="H5598" s="4" t="s">
        <v>380</v>
      </c>
      <c r="I5598" s="4">
        <v>0.36</v>
      </c>
      <c r="J5598" s="21">
        <v>650</v>
      </c>
      <c r="K5598" s="21">
        <v>234</v>
      </c>
      <c r="L5598" s="5">
        <v>0</v>
      </c>
      <c r="M5598" s="4"/>
      <c r="N5598" s="4"/>
      <c r="O5598" s="5"/>
      <c r="P5598" s="5"/>
      <c r="Q5598" s="21">
        <v>0</v>
      </c>
      <c r="R5598" s="21">
        <v>0</v>
      </c>
      <c r="S5598" s="5">
        <f t="shared" si="351"/>
        <v>76643.312167016105</v>
      </c>
      <c r="T5598" cm="1">
        <f t="array" ref="T5598">IF(OR(B5598="MAL ALIMI", B5598="ÜRETİM GİRİŞ"), MIN(I5598, MAX(0, I5598 + SUM(SUMIFS($I$1:I5597, $C$1:C5597, C5598, $B$1:B5597, {"MAL ALIMI","ÜRETİM GİRİŞ"})) - VLOOKUP(C5598, 'STOK RAPORU'!$C$2:$I$1000, 4, 0))), 0)</f>
        <v>0</v>
      </c>
      <c r="U5598" s="22">
        <f t="shared" si="348"/>
        <v>0</v>
      </c>
      <c r="V5598">
        <f t="shared" si="349"/>
        <v>0</v>
      </c>
      <c r="W5598" s="22">
        <f t="shared" si="350"/>
        <v>0</v>
      </c>
    </row>
    <row r="5599" spans="1:23" hidden="1" x14ac:dyDescent="0.25">
      <c r="A5599" s="3">
        <v>46097</v>
      </c>
      <c r="B5599" s="4" t="s">
        <v>334</v>
      </c>
      <c r="C5599" s="4" t="s">
        <v>2127</v>
      </c>
      <c r="D5599" s="4"/>
      <c r="E5599" s="4" t="s">
        <v>921</v>
      </c>
      <c r="F5599" s="46" t="s">
        <v>2666</v>
      </c>
      <c r="G5599" s="4" t="s">
        <v>336</v>
      </c>
      <c r="H5599" s="4" t="s">
        <v>380</v>
      </c>
      <c r="I5599" s="4">
        <v>0.5</v>
      </c>
      <c r="J5599" s="21">
        <v>400</v>
      </c>
      <c r="K5599" s="21">
        <v>200</v>
      </c>
      <c r="L5599" s="5">
        <v>0</v>
      </c>
      <c r="M5599" s="4"/>
      <c r="N5599" s="4"/>
      <c r="O5599" s="5"/>
      <c r="P5599" s="5"/>
      <c r="Q5599" s="21">
        <v>0</v>
      </c>
      <c r="R5599" s="21">
        <v>0</v>
      </c>
      <c r="S5599" s="5">
        <f t="shared" si="351"/>
        <v>76643.312167016105</v>
      </c>
      <c r="T5599" cm="1">
        <f t="array" ref="T5599">IF(OR(B5599="MAL ALIMI", B5599="ÜRETİM GİRİŞ"), MIN(I5599, MAX(0, I5599 + SUM(SUMIFS($I$1:I5598, $C$1:C5598, C5599, $B$1:B5598, {"MAL ALIMI","ÜRETİM GİRİŞ"})) - VLOOKUP(C5599, 'STOK RAPORU'!$C$2:$I$1000, 4, 0))), 0)</f>
        <v>0</v>
      </c>
      <c r="U5599" s="22">
        <f t="shared" si="348"/>
        <v>0</v>
      </c>
      <c r="V5599">
        <f t="shared" si="349"/>
        <v>0</v>
      </c>
      <c r="W5599" s="22">
        <f t="shared" si="350"/>
        <v>0</v>
      </c>
    </row>
    <row r="5600" spans="1:23" hidden="1" x14ac:dyDescent="0.25">
      <c r="A5600" s="3">
        <v>46097</v>
      </c>
      <c r="B5600" s="4" t="s">
        <v>334</v>
      </c>
      <c r="C5600" s="4" t="s">
        <v>692</v>
      </c>
      <c r="D5600" s="4"/>
      <c r="E5600" s="4" t="s">
        <v>921</v>
      </c>
      <c r="F5600" s="46" t="s">
        <v>2666</v>
      </c>
      <c r="G5600" s="4" t="s">
        <v>336</v>
      </c>
      <c r="H5600" s="4" t="s">
        <v>380</v>
      </c>
      <c r="I5600" s="4">
        <v>1</v>
      </c>
      <c r="J5600" s="21">
        <v>60</v>
      </c>
      <c r="K5600" s="21">
        <v>60</v>
      </c>
      <c r="L5600" s="5">
        <v>0</v>
      </c>
      <c r="M5600" s="4"/>
      <c r="N5600" s="4"/>
      <c r="O5600" s="5"/>
      <c r="P5600" s="5"/>
      <c r="Q5600" s="21">
        <v>0</v>
      </c>
      <c r="R5600" s="21">
        <v>0</v>
      </c>
      <c r="S5600" s="5">
        <f t="shared" si="351"/>
        <v>76643.312167016105</v>
      </c>
      <c r="T5600" cm="1">
        <f t="array" ref="T5600">IF(OR(B5600="MAL ALIMI", B5600="ÜRETİM GİRİŞ"), MIN(I5600, MAX(0, I5600 + SUM(SUMIFS($I$1:I5599, $C$1:C5599, C5600, $B$1:B5599, {"MAL ALIMI","ÜRETİM GİRİŞ"})) - VLOOKUP(C5600, 'STOK RAPORU'!$C$2:$I$1000, 4, 0))), 0)</f>
        <v>0</v>
      </c>
      <c r="U5600" s="22">
        <f t="shared" si="348"/>
        <v>0</v>
      </c>
      <c r="V5600">
        <f t="shared" si="349"/>
        <v>0</v>
      </c>
      <c r="W5600" s="22">
        <f t="shared" si="350"/>
        <v>0</v>
      </c>
    </row>
    <row r="5601" spans="1:23" hidden="1" x14ac:dyDescent="0.25">
      <c r="A5601" s="3">
        <v>46097</v>
      </c>
      <c r="B5601" s="4" t="s">
        <v>334</v>
      </c>
      <c r="C5601" s="4" t="s">
        <v>731</v>
      </c>
      <c r="D5601" s="4"/>
      <c r="E5601" s="4"/>
      <c r="F5601" s="46" t="s">
        <v>2666</v>
      </c>
      <c r="G5601" s="4" t="s">
        <v>336</v>
      </c>
      <c r="H5601" s="4" t="s">
        <v>289</v>
      </c>
      <c r="I5601" s="4">
        <v>1</v>
      </c>
      <c r="J5601" s="21">
        <v>90</v>
      </c>
      <c r="K5601" s="21">
        <v>0</v>
      </c>
      <c r="L5601" s="5">
        <v>0</v>
      </c>
      <c r="M5601" s="4"/>
      <c r="N5601" s="4"/>
      <c r="O5601" s="5"/>
      <c r="P5601" s="5"/>
      <c r="Q5601" s="21">
        <v>90</v>
      </c>
      <c r="R5601" s="21">
        <v>0</v>
      </c>
      <c r="S5601" s="5">
        <f t="shared" si="351"/>
        <v>76733.312167016105</v>
      </c>
      <c r="T5601" cm="1">
        <f t="array" ref="T5601">IF(OR(B5601="MAL ALIMI", B5601="ÜRETİM GİRİŞ"), MIN(I5601, MAX(0, I5601 + SUM(SUMIFS($I$1:I5600, $C$1:C5600, C5601, $B$1:B5600, {"MAL ALIMI","ÜRETİM GİRİŞ"})) - VLOOKUP(C5601, 'STOK RAPORU'!$C$2:$I$1000, 4, 0))), 0)</f>
        <v>0</v>
      </c>
      <c r="U5601" s="22">
        <f t="shared" si="348"/>
        <v>0</v>
      </c>
      <c r="V5601">
        <f t="shared" si="349"/>
        <v>0</v>
      </c>
      <c r="W5601" s="22">
        <f t="shared" si="350"/>
        <v>0</v>
      </c>
    </row>
    <row r="5602" spans="1:23" hidden="1" x14ac:dyDescent="0.25">
      <c r="A5602" s="3">
        <v>46097</v>
      </c>
      <c r="B5602" s="4" t="s">
        <v>334</v>
      </c>
      <c r="C5602" s="4" t="s">
        <v>463</v>
      </c>
      <c r="D5602" s="4"/>
      <c r="E5602" s="4"/>
      <c r="F5602" s="46" t="s">
        <v>2667</v>
      </c>
      <c r="G5602" s="4" t="s">
        <v>336</v>
      </c>
      <c r="H5602" s="4" t="s">
        <v>289</v>
      </c>
      <c r="I5602" s="4">
        <v>0.25</v>
      </c>
      <c r="J5602" s="21">
        <v>400</v>
      </c>
      <c r="K5602" s="21">
        <v>0</v>
      </c>
      <c r="L5602" s="5">
        <v>0</v>
      </c>
      <c r="M5602" s="4"/>
      <c r="N5602" s="4"/>
      <c r="O5602" s="5"/>
      <c r="P5602" s="5"/>
      <c r="Q5602" s="21">
        <v>100</v>
      </c>
      <c r="R5602" s="21">
        <v>0</v>
      </c>
      <c r="S5602" s="5">
        <f t="shared" si="351"/>
        <v>76833.312167016105</v>
      </c>
      <c r="T5602" cm="1">
        <f t="array" ref="T5602">IF(OR(B5602="MAL ALIMI", B5602="ÜRETİM GİRİŞ"), MIN(I5602, MAX(0, I5602 + SUM(SUMIFS($I$1:I5601, $C$1:C5601, C5602, $B$1:B5601, {"MAL ALIMI","ÜRETİM GİRİŞ"})) - VLOOKUP(C5602, 'STOK RAPORU'!$C$2:$I$1000, 4, 0))), 0)</f>
        <v>0</v>
      </c>
      <c r="U5602" s="22">
        <f t="shared" si="348"/>
        <v>0</v>
      </c>
      <c r="V5602">
        <f t="shared" si="349"/>
        <v>0</v>
      </c>
      <c r="W5602" s="22">
        <f t="shared" si="350"/>
        <v>0</v>
      </c>
    </row>
    <row r="5603" spans="1:23" hidden="1" x14ac:dyDescent="0.25">
      <c r="A5603" s="3">
        <v>46097</v>
      </c>
      <c r="B5603" s="4" t="s">
        <v>285</v>
      </c>
      <c r="C5603" s="4"/>
      <c r="D5603" s="4" t="s">
        <v>113</v>
      </c>
      <c r="E5603" s="4"/>
      <c r="F5603" s="4"/>
      <c r="G5603" s="4" t="s">
        <v>2122</v>
      </c>
      <c r="H5603" s="4" t="s">
        <v>289</v>
      </c>
      <c r="I5603" s="4">
        <v>1</v>
      </c>
      <c r="J5603" s="21">
        <v>2000</v>
      </c>
      <c r="K5603" s="21">
        <v>0</v>
      </c>
      <c r="L5603" s="5">
        <v>0</v>
      </c>
      <c r="M5603" s="4"/>
      <c r="N5603" s="4"/>
      <c r="O5603" s="5"/>
      <c r="P5603" s="5"/>
      <c r="Q5603" s="21">
        <v>0</v>
      </c>
      <c r="R5603" s="21">
        <v>2000</v>
      </c>
      <c r="S5603" s="5">
        <f t="shared" si="351"/>
        <v>74833.312167016105</v>
      </c>
      <c r="T5603" cm="1">
        <f t="array" ref="T5603">IF(OR(B5603="MAL ALIMI", B5603="ÜRETİM GİRİŞ"), MIN(I5603, MAX(0, I5603 + SUM(SUMIFS($I$1:I5602, $C$1:C5602, C5603, $B$1:B5602, {"MAL ALIMI","ÜRETİM GİRİŞ"})) - VLOOKUP(C5603, 'STOK RAPORU'!$C$2:$I$1000, 4, 0))), 0)</f>
        <v>0</v>
      </c>
      <c r="U5603" s="22">
        <f t="shared" si="348"/>
        <v>0</v>
      </c>
      <c r="V5603">
        <f t="shared" si="349"/>
        <v>0</v>
      </c>
      <c r="W5603" s="22">
        <f t="shared" si="350"/>
        <v>0</v>
      </c>
    </row>
    <row r="5604" spans="1:23" hidden="1" x14ac:dyDescent="0.25">
      <c r="A5604" s="3">
        <v>46097</v>
      </c>
      <c r="B5604" s="4" t="s">
        <v>917</v>
      </c>
      <c r="C5604" s="4"/>
      <c r="D5604" s="4"/>
      <c r="E5604" s="4" t="s">
        <v>855</v>
      </c>
      <c r="F5604" s="4"/>
      <c r="G5604" s="4" t="s">
        <v>2649</v>
      </c>
      <c r="H5604" s="4" t="s">
        <v>289</v>
      </c>
      <c r="I5604" s="4">
        <v>1</v>
      </c>
      <c r="J5604" s="21">
        <v>20000</v>
      </c>
      <c r="K5604" s="21">
        <v>20000</v>
      </c>
      <c r="L5604" s="5">
        <v>0</v>
      </c>
      <c r="M5604" s="4"/>
      <c r="N5604" s="4"/>
      <c r="O5604" s="5"/>
      <c r="P5604" s="5"/>
      <c r="Q5604" s="21">
        <v>0</v>
      </c>
      <c r="R5604" s="21">
        <v>20000</v>
      </c>
      <c r="S5604" s="5">
        <f t="shared" si="351"/>
        <v>54833.312167016105</v>
      </c>
      <c r="T5604" cm="1">
        <f t="array" ref="T5604">IF(OR(B5604="MAL ALIMI", B5604="ÜRETİM GİRİŞ"), MIN(I5604, MAX(0, I5604 + SUM(SUMIFS($I$1:I5603, $C$1:C5603, C5604, $B$1:B5603, {"MAL ALIMI","ÜRETİM GİRİŞ"})) - VLOOKUP(C5604, 'STOK RAPORU'!$C$2:$I$1000, 4, 0))), 0)</f>
        <v>0</v>
      </c>
      <c r="U5604" s="22">
        <f t="shared" si="348"/>
        <v>0</v>
      </c>
      <c r="V5604">
        <f t="shared" si="349"/>
        <v>0</v>
      </c>
      <c r="W5604" s="22">
        <f t="shared" si="350"/>
        <v>0</v>
      </c>
    </row>
    <row r="5605" spans="1:23" hidden="1" x14ac:dyDescent="0.25">
      <c r="A5605" s="3">
        <v>46098</v>
      </c>
      <c r="B5605" s="4" t="s">
        <v>334</v>
      </c>
      <c r="C5605" s="4" t="s">
        <v>1183</v>
      </c>
      <c r="D5605" s="4"/>
      <c r="E5605" s="4" t="s">
        <v>921</v>
      </c>
      <c r="F5605" s="46" t="s">
        <v>2689</v>
      </c>
      <c r="G5605" s="4" t="s">
        <v>336</v>
      </c>
      <c r="H5605" s="4" t="s">
        <v>380</v>
      </c>
      <c r="I5605" s="4">
        <v>0.1</v>
      </c>
      <c r="J5605" s="21">
        <v>900</v>
      </c>
      <c r="K5605" s="21">
        <v>90</v>
      </c>
      <c r="L5605" s="5">
        <v>0</v>
      </c>
      <c r="M5605" s="4"/>
      <c r="N5605" s="4"/>
      <c r="O5605" s="5"/>
      <c r="P5605" s="5"/>
      <c r="Q5605" s="21">
        <v>0</v>
      </c>
      <c r="R5605" s="21">
        <v>0</v>
      </c>
      <c r="S5605" s="5">
        <f t="shared" si="351"/>
        <v>54833.312167016105</v>
      </c>
      <c r="T5605" cm="1">
        <f t="array" ref="T5605">IF(OR(B5605="MAL ALIMI", B5605="ÜRETİM GİRİŞ"), MIN(I5605, MAX(0, I5605 + SUM(SUMIFS($I$1:I5604, $C$1:C5604, C5605, $B$1:B5604, {"MAL ALIMI","ÜRETİM GİRİŞ"})) - VLOOKUP(C5605, 'STOK RAPORU'!$C$2:$I$1000, 4, 0))), 0)</f>
        <v>0</v>
      </c>
      <c r="U5605" s="22">
        <f t="shared" si="348"/>
        <v>0</v>
      </c>
      <c r="V5605">
        <f t="shared" si="349"/>
        <v>0</v>
      </c>
      <c r="W5605" s="22">
        <f t="shared" si="350"/>
        <v>0</v>
      </c>
    </row>
    <row r="5606" spans="1:23" hidden="1" x14ac:dyDescent="0.25">
      <c r="A5606" s="3">
        <v>46098</v>
      </c>
      <c r="B5606" s="4" t="s">
        <v>334</v>
      </c>
      <c r="C5606" s="4" t="s">
        <v>91</v>
      </c>
      <c r="D5606" s="4"/>
      <c r="E5606" s="4"/>
      <c r="F5606" s="46" t="s">
        <v>2690</v>
      </c>
      <c r="G5606" s="4" t="s">
        <v>336</v>
      </c>
      <c r="H5606" s="4" t="s">
        <v>289</v>
      </c>
      <c r="I5606" s="4">
        <v>4.8000000000000001E-2</v>
      </c>
      <c r="J5606" s="21">
        <v>750</v>
      </c>
      <c r="K5606" s="21">
        <v>0</v>
      </c>
      <c r="L5606" s="5">
        <v>0</v>
      </c>
      <c r="M5606" s="4"/>
      <c r="N5606" s="4"/>
      <c r="O5606" s="5"/>
      <c r="P5606" s="5"/>
      <c r="Q5606" s="21">
        <v>36</v>
      </c>
      <c r="R5606" s="21">
        <v>0</v>
      </c>
      <c r="S5606" s="5">
        <f t="shared" si="351"/>
        <v>54869.312167016105</v>
      </c>
      <c r="T5606" cm="1">
        <f t="array" ref="T5606">IF(OR(B5606="MAL ALIMI", B5606="ÜRETİM GİRİŞ"), MIN(I5606, MAX(0, I5606 + SUM(SUMIFS($I$1:I5605, $C$1:C5605, C5606, $B$1:B5605, {"MAL ALIMI","ÜRETİM GİRİŞ"})) - VLOOKUP(C5606, 'STOK RAPORU'!$C$2:$I$1000, 4, 0))), 0)</f>
        <v>0</v>
      </c>
      <c r="U5606" s="22">
        <f t="shared" si="348"/>
        <v>0</v>
      </c>
      <c r="V5606">
        <f t="shared" si="349"/>
        <v>0</v>
      </c>
      <c r="W5606" s="22">
        <f t="shared" si="350"/>
        <v>0</v>
      </c>
    </row>
    <row r="5607" spans="1:23" hidden="1" x14ac:dyDescent="0.25">
      <c r="A5607" s="3">
        <v>46098</v>
      </c>
      <c r="B5607" s="4" t="s">
        <v>334</v>
      </c>
      <c r="C5607" s="4" t="s">
        <v>160</v>
      </c>
      <c r="D5607" s="4"/>
      <c r="E5607" s="4" t="s">
        <v>921</v>
      </c>
      <c r="F5607" s="46" t="s">
        <v>2691</v>
      </c>
      <c r="G5607" s="4" t="s">
        <v>336</v>
      </c>
      <c r="H5607" s="4" t="s">
        <v>380</v>
      </c>
      <c r="I5607" s="4">
        <v>1</v>
      </c>
      <c r="J5607" s="21">
        <v>250</v>
      </c>
      <c r="K5607" s="21">
        <v>250</v>
      </c>
      <c r="L5607" s="5">
        <v>0</v>
      </c>
      <c r="M5607" s="4"/>
      <c r="N5607" s="4"/>
      <c r="O5607" s="5"/>
      <c r="P5607" s="5"/>
      <c r="Q5607" s="21">
        <v>0</v>
      </c>
      <c r="R5607" s="21">
        <v>0</v>
      </c>
      <c r="S5607" s="5">
        <f t="shared" si="351"/>
        <v>54869.312167016105</v>
      </c>
      <c r="T5607" cm="1">
        <f t="array" ref="T5607">IF(OR(B5607="MAL ALIMI", B5607="ÜRETİM GİRİŞ"), MIN(I5607, MAX(0, I5607 + SUM(SUMIFS($I$1:I5606, $C$1:C5606, C5607, $B$1:B5606, {"MAL ALIMI","ÜRETİM GİRİŞ"})) - VLOOKUP(C5607, 'STOK RAPORU'!$C$2:$I$1000, 4, 0))), 0)</f>
        <v>0</v>
      </c>
      <c r="U5607" s="22">
        <f t="shared" si="348"/>
        <v>0</v>
      </c>
      <c r="V5607">
        <f t="shared" si="349"/>
        <v>0</v>
      </c>
      <c r="W5607" s="22">
        <f t="shared" si="350"/>
        <v>0</v>
      </c>
    </row>
    <row r="5608" spans="1:23" hidden="1" x14ac:dyDescent="0.25">
      <c r="A5608" s="3">
        <v>46098</v>
      </c>
      <c r="B5608" s="4" t="s">
        <v>334</v>
      </c>
      <c r="C5608" s="4" t="s">
        <v>161</v>
      </c>
      <c r="D5608" s="4"/>
      <c r="E5608" s="4" t="s">
        <v>921</v>
      </c>
      <c r="F5608" s="46" t="s">
        <v>2691</v>
      </c>
      <c r="G5608" s="4" t="s">
        <v>336</v>
      </c>
      <c r="H5608" s="4" t="s">
        <v>380</v>
      </c>
      <c r="I5608" s="4">
        <v>1</v>
      </c>
      <c r="J5608" s="21">
        <v>230</v>
      </c>
      <c r="K5608" s="21">
        <v>230</v>
      </c>
      <c r="L5608" s="5">
        <v>0</v>
      </c>
      <c r="M5608" s="4"/>
      <c r="N5608" s="4"/>
      <c r="O5608" s="5"/>
      <c r="P5608" s="5"/>
      <c r="Q5608" s="21">
        <v>0</v>
      </c>
      <c r="R5608" s="21">
        <v>0</v>
      </c>
      <c r="S5608" s="5">
        <f t="shared" si="351"/>
        <v>54869.312167016105</v>
      </c>
      <c r="T5608" cm="1">
        <f t="array" ref="T5608">IF(OR(B5608="MAL ALIMI", B5608="ÜRETİM GİRİŞ"), MIN(I5608, MAX(0, I5608 + SUM(SUMIFS($I$1:I5607, $C$1:C5607, C5608, $B$1:B5607, {"MAL ALIMI","ÜRETİM GİRİŞ"})) - VLOOKUP(C5608, 'STOK RAPORU'!$C$2:$I$1000, 4, 0))), 0)</f>
        <v>0</v>
      </c>
      <c r="U5608" s="22">
        <f t="shared" si="348"/>
        <v>0</v>
      </c>
      <c r="V5608">
        <f t="shared" si="349"/>
        <v>0</v>
      </c>
      <c r="W5608" s="22">
        <f t="shared" si="350"/>
        <v>0</v>
      </c>
    </row>
    <row r="5609" spans="1:23" hidden="1" x14ac:dyDescent="0.25">
      <c r="A5609" s="3">
        <v>46098</v>
      </c>
      <c r="B5609" s="4" t="s">
        <v>334</v>
      </c>
      <c r="C5609" s="4" t="s">
        <v>1634</v>
      </c>
      <c r="D5609" s="4"/>
      <c r="E5609" s="4"/>
      <c r="F5609" s="46" t="s">
        <v>2692</v>
      </c>
      <c r="G5609" s="4" t="s">
        <v>336</v>
      </c>
      <c r="H5609" s="4" t="s">
        <v>289</v>
      </c>
      <c r="I5609" s="4">
        <v>0.56285714285714283</v>
      </c>
      <c r="J5609" s="21">
        <v>350</v>
      </c>
      <c r="K5609" s="21">
        <v>0</v>
      </c>
      <c r="L5609" s="5">
        <v>0</v>
      </c>
      <c r="M5609" s="4"/>
      <c r="N5609" s="4"/>
      <c r="O5609" s="5"/>
      <c r="P5609" s="5"/>
      <c r="Q5609" s="21">
        <v>197</v>
      </c>
      <c r="R5609" s="21">
        <v>0</v>
      </c>
      <c r="S5609" s="5">
        <f t="shared" si="351"/>
        <v>55066.312167016105</v>
      </c>
      <c r="T5609" cm="1">
        <f t="array" ref="T5609">IF(OR(B5609="MAL ALIMI", B5609="ÜRETİM GİRİŞ"), MIN(I5609, MAX(0, I5609 + SUM(SUMIFS($I$1:I5608, $C$1:C5608, C5609, $B$1:B5608, {"MAL ALIMI","ÜRETİM GİRİŞ"})) - VLOOKUP(C5609, 'STOK RAPORU'!$C$2:$I$1000, 4, 0))), 0)</f>
        <v>0</v>
      </c>
      <c r="U5609" s="22">
        <f t="shared" si="348"/>
        <v>0</v>
      </c>
      <c r="V5609">
        <f t="shared" si="349"/>
        <v>0</v>
      </c>
      <c r="W5609" s="22">
        <f t="shared" si="350"/>
        <v>0</v>
      </c>
    </row>
    <row r="5610" spans="1:23" hidden="1" x14ac:dyDescent="0.25">
      <c r="A5610" s="3">
        <v>46098</v>
      </c>
      <c r="B5610" s="4" t="s">
        <v>334</v>
      </c>
      <c r="C5610" s="4" t="s">
        <v>167</v>
      </c>
      <c r="D5610" s="4"/>
      <c r="E5610" s="4"/>
      <c r="F5610" s="46" t="s">
        <v>2693</v>
      </c>
      <c r="G5610" s="4" t="s">
        <v>336</v>
      </c>
      <c r="H5610" s="4" t="s">
        <v>289</v>
      </c>
      <c r="I5610" s="4">
        <v>0.5</v>
      </c>
      <c r="J5610" s="21">
        <v>230</v>
      </c>
      <c r="K5610" s="21">
        <v>0</v>
      </c>
      <c r="L5610" s="5">
        <v>0</v>
      </c>
      <c r="M5610" s="4"/>
      <c r="N5610" s="4"/>
      <c r="O5610" s="5"/>
      <c r="P5610" s="5"/>
      <c r="Q5610" s="21">
        <v>115</v>
      </c>
      <c r="R5610" s="21">
        <v>0</v>
      </c>
      <c r="S5610" s="5">
        <f t="shared" si="351"/>
        <v>55181.312167016105</v>
      </c>
      <c r="T5610" cm="1">
        <f t="array" ref="T5610">IF(OR(B5610="MAL ALIMI", B5610="ÜRETİM GİRİŞ"), MIN(I5610, MAX(0, I5610 + SUM(SUMIFS($I$1:I5609, $C$1:C5609, C5610, $B$1:B5609, {"MAL ALIMI","ÜRETİM GİRİŞ"})) - VLOOKUP(C5610, 'STOK RAPORU'!$C$2:$I$1000, 4, 0))), 0)</f>
        <v>0</v>
      </c>
      <c r="U5610" s="22">
        <f t="shared" si="348"/>
        <v>0</v>
      </c>
      <c r="V5610">
        <f t="shared" si="349"/>
        <v>0</v>
      </c>
      <c r="W5610" s="22">
        <f t="shared" si="350"/>
        <v>0</v>
      </c>
    </row>
    <row r="5611" spans="1:23" hidden="1" x14ac:dyDescent="0.25">
      <c r="A5611" s="3">
        <v>46098</v>
      </c>
      <c r="B5611" s="4" t="s">
        <v>334</v>
      </c>
      <c r="C5611" s="4" t="s">
        <v>695</v>
      </c>
      <c r="D5611" s="4"/>
      <c r="E5611" s="4" t="s">
        <v>921</v>
      </c>
      <c r="F5611" s="46" t="s">
        <v>2694</v>
      </c>
      <c r="G5611" s="4" t="s">
        <v>336</v>
      </c>
      <c r="H5611" s="4" t="s">
        <v>380</v>
      </c>
      <c r="I5611" s="4">
        <v>0.5</v>
      </c>
      <c r="J5611" s="21">
        <v>120</v>
      </c>
      <c r="K5611" s="21">
        <v>60</v>
      </c>
      <c r="L5611" s="5">
        <v>0</v>
      </c>
      <c r="M5611" s="4"/>
      <c r="N5611" s="4"/>
      <c r="O5611" s="5"/>
      <c r="P5611" s="5"/>
      <c r="Q5611" s="21">
        <v>0</v>
      </c>
      <c r="R5611" s="21">
        <v>0</v>
      </c>
      <c r="S5611" s="5">
        <f t="shared" si="351"/>
        <v>55181.312167016105</v>
      </c>
      <c r="T5611" cm="1">
        <f t="array" ref="T5611">IF(OR(B5611="MAL ALIMI", B5611="ÜRETİM GİRİŞ"), MIN(I5611, MAX(0, I5611 + SUM(SUMIFS($I$1:I5610, $C$1:C5610, C5611, $B$1:B5610, {"MAL ALIMI","ÜRETİM GİRİŞ"})) - VLOOKUP(C5611, 'STOK RAPORU'!$C$2:$I$1000, 4, 0))), 0)</f>
        <v>0</v>
      </c>
      <c r="U5611" s="22">
        <f t="shared" si="348"/>
        <v>0</v>
      </c>
      <c r="V5611">
        <f t="shared" si="349"/>
        <v>0</v>
      </c>
      <c r="W5611" s="22">
        <f t="shared" si="350"/>
        <v>0</v>
      </c>
    </row>
    <row r="5612" spans="1:23" hidden="1" x14ac:dyDescent="0.25">
      <c r="A5612" s="3">
        <v>46098</v>
      </c>
      <c r="B5612" s="4" t="s">
        <v>334</v>
      </c>
      <c r="C5612" s="4" t="s">
        <v>1365</v>
      </c>
      <c r="D5612" s="4"/>
      <c r="E5612" s="4"/>
      <c r="F5612" s="46" t="s">
        <v>2695</v>
      </c>
      <c r="G5612" s="4" t="s">
        <v>336</v>
      </c>
      <c r="H5612" s="4" t="s">
        <v>289</v>
      </c>
      <c r="I5612" s="4">
        <v>1</v>
      </c>
      <c r="J5612" s="21">
        <v>140</v>
      </c>
      <c r="K5612" s="21">
        <v>0</v>
      </c>
      <c r="L5612" s="5">
        <v>0</v>
      </c>
      <c r="M5612" s="4"/>
      <c r="N5612" s="4"/>
      <c r="O5612" s="5"/>
      <c r="P5612" s="5"/>
      <c r="Q5612" s="21">
        <v>140</v>
      </c>
      <c r="R5612" s="21">
        <v>0</v>
      </c>
      <c r="S5612" s="5">
        <f t="shared" si="351"/>
        <v>55321.312167016105</v>
      </c>
      <c r="T5612" cm="1">
        <f t="array" ref="T5612">IF(OR(B5612="MAL ALIMI", B5612="ÜRETİM GİRİŞ"), MIN(I5612, MAX(0, I5612 + SUM(SUMIFS($I$1:I5611, $C$1:C5611, C5612, $B$1:B5611, {"MAL ALIMI","ÜRETİM GİRİŞ"})) - VLOOKUP(C5612, 'STOK RAPORU'!$C$2:$I$1000, 4, 0))), 0)</f>
        <v>0</v>
      </c>
      <c r="U5612" s="22">
        <f t="shared" si="348"/>
        <v>0</v>
      </c>
      <c r="V5612">
        <f t="shared" si="349"/>
        <v>0</v>
      </c>
      <c r="W5612" s="22">
        <f t="shared" si="350"/>
        <v>0</v>
      </c>
    </row>
    <row r="5613" spans="1:23" hidden="1" x14ac:dyDescent="0.25">
      <c r="A5613" s="3">
        <v>46098</v>
      </c>
      <c r="B5613" s="4" t="s">
        <v>334</v>
      </c>
      <c r="C5613" s="4" t="s">
        <v>520</v>
      </c>
      <c r="D5613" s="4"/>
      <c r="E5613" s="4"/>
      <c r="F5613" s="46" t="s">
        <v>2695</v>
      </c>
      <c r="G5613" s="4" t="s">
        <v>336</v>
      </c>
      <c r="H5613" s="4" t="s">
        <v>289</v>
      </c>
      <c r="I5613" s="4">
        <v>1</v>
      </c>
      <c r="J5613" s="21">
        <v>250</v>
      </c>
      <c r="K5613" s="21">
        <v>0</v>
      </c>
      <c r="L5613" s="5">
        <v>0</v>
      </c>
      <c r="M5613" s="4"/>
      <c r="N5613" s="4"/>
      <c r="O5613" s="5"/>
      <c r="P5613" s="5"/>
      <c r="Q5613" s="21">
        <v>250</v>
      </c>
      <c r="R5613" s="21">
        <v>0</v>
      </c>
      <c r="S5613" s="5">
        <f t="shared" si="351"/>
        <v>55571.312167016105</v>
      </c>
      <c r="T5613" cm="1">
        <f t="array" ref="T5613">IF(OR(B5613="MAL ALIMI", B5613="ÜRETİM GİRİŞ"), MIN(I5613, MAX(0, I5613 + SUM(SUMIFS($I$1:I5612, $C$1:C5612, C5613, $B$1:B5612, {"MAL ALIMI","ÜRETİM GİRİŞ"})) - VLOOKUP(C5613, 'STOK RAPORU'!$C$2:$I$1000, 4, 0))), 0)</f>
        <v>0</v>
      </c>
      <c r="U5613" s="22">
        <f t="shared" si="348"/>
        <v>0</v>
      </c>
      <c r="V5613">
        <f t="shared" si="349"/>
        <v>0</v>
      </c>
      <c r="W5613" s="22">
        <f t="shared" si="350"/>
        <v>0</v>
      </c>
    </row>
    <row r="5614" spans="1:23" hidden="1" x14ac:dyDescent="0.25">
      <c r="A5614" s="3">
        <v>46098</v>
      </c>
      <c r="B5614" s="4" t="s">
        <v>334</v>
      </c>
      <c r="C5614" s="4" t="s">
        <v>219</v>
      </c>
      <c r="D5614" s="4"/>
      <c r="E5614" s="4" t="s">
        <v>921</v>
      </c>
      <c r="F5614" s="46" t="s">
        <v>2696</v>
      </c>
      <c r="G5614" s="4" t="s">
        <v>336</v>
      </c>
      <c r="H5614" s="4" t="s">
        <v>380</v>
      </c>
      <c r="I5614" s="4">
        <v>0.05</v>
      </c>
      <c r="J5614" s="21">
        <v>2000</v>
      </c>
      <c r="K5614" s="21">
        <v>100</v>
      </c>
      <c r="L5614" s="5">
        <v>0</v>
      </c>
      <c r="M5614" s="4"/>
      <c r="N5614" s="4"/>
      <c r="O5614" s="5"/>
      <c r="P5614" s="5"/>
      <c r="Q5614" s="21">
        <v>0</v>
      </c>
      <c r="R5614" s="21">
        <v>0</v>
      </c>
      <c r="S5614" s="5">
        <f t="shared" si="351"/>
        <v>55571.312167016105</v>
      </c>
      <c r="T5614" cm="1">
        <f t="array" ref="T5614">IF(OR(B5614="MAL ALIMI", B5614="ÜRETİM GİRİŞ"), MIN(I5614, MAX(0, I5614 + SUM(SUMIFS($I$1:I5613, $C$1:C5613, C5614, $B$1:B5613, {"MAL ALIMI","ÜRETİM GİRİŞ"})) - VLOOKUP(C5614, 'STOK RAPORU'!$C$2:$I$1000, 4, 0))), 0)</f>
        <v>0</v>
      </c>
      <c r="U5614" s="22">
        <f t="shared" si="348"/>
        <v>0</v>
      </c>
      <c r="V5614">
        <f t="shared" si="349"/>
        <v>0</v>
      </c>
      <c r="W5614" s="22">
        <f t="shared" si="350"/>
        <v>0</v>
      </c>
    </row>
    <row r="5615" spans="1:23" hidden="1" x14ac:dyDescent="0.25">
      <c r="A5615" s="3">
        <v>46098</v>
      </c>
      <c r="B5615" s="4" t="s">
        <v>334</v>
      </c>
      <c r="C5615" s="4" t="s">
        <v>224</v>
      </c>
      <c r="D5615" s="4"/>
      <c r="E5615" s="4" t="s">
        <v>921</v>
      </c>
      <c r="F5615" s="46" t="s">
        <v>2696</v>
      </c>
      <c r="G5615" s="4" t="s">
        <v>336</v>
      </c>
      <c r="H5615" s="4" t="s">
        <v>380</v>
      </c>
      <c r="I5615" s="4">
        <v>0.05</v>
      </c>
      <c r="J5615" s="21">
        <v>900</v>
      </c>
      <c r="K5615" s="21">
        <v>45</v>
      </c>
      <c r="L5615" s="5">
        <v>0</v>
      </c>
      <c r="M5615" s="4"/>
      <c r="N5615" s="4"/>
      <c r="O5615" s="5"/>
      <c r="P5615" s="5"/>
      <c r="Q5615" s="21">
        <v>0</v>
      </c>
      <c r="R5615" s="21">
        <v>0</v>
      </c>
      <c r="S5615" s="5">
        <f t="shared" si="351"/>
        <v>55571.312167016105</v>
      </c>
      <c r="T5615" cm="1">
        <f t="array" ref="T5615">IF(OR(B5615="MAL ALIMI", B5615="ÜRETİM GİRİŞ"), MIN(I5615, MAX(0, I5615 + SUM(SUMIFS($I$1:I5614, $C$1:C5614, C5615, $B$1:B5614, {"MAL ALIMI","ÜRETİM GİRİŞ"})) - VLOOKUP(C5615, 'STOK RAPORU'!$C$2:$I$1000, 4, 0))), 0)</f>
        <v>0</v>
      </c>
      <c r="U5615" s="22">
        <f t="shared" si="348"/>
        <v>0</v>
      </c>
      <c r="V5615">
        <f t="shared" si="349"/>
        <v>0</v>
      </c>
      <c r="W5615" s="22">
        <f t="shared" si="350"/>
        <v>0</v>
      </c>
    </row>
    <row r="5616" spans="1:23" hidden="1" x14ac:dyDescent="0.25">
      <c r="A5616" s="3">
        <v>46098</v>
      </c>
      <c r="B5616" s="4" t="s">
        <v>334</v>
      </c>
      <c r="C5616" s="4" t="s">
        <v>131</v>
      </c>
      <c r="D5616" s="4"/>
      <c r="E5616" s="4"/>
      <c r="F5616" s="46" t="s">
        <v>2697</v>
      </c>
      <c r="G5616" s="4" t="s">
        <v>336</v>
      </c>
      <c r="H5616" s="4" t="s">
        <v>289</v>
      </c>
      <c r="I5616" s="4">
        <v>0.1</v>
      </c>
      <c r="J5616" s="21">
        <v>400</v>
      </c>
      <c r="K5616" s="21">
        <v>0</v>
      </c>
      <c r="L5616" s="5">
        <v>0</v>
      </c>
      <c r="M5616" s="4"/>
      <c r="N5616" s="4"/>
      <c r="O5616" s="5"/>
      <c r="P5616" s="5"/>
      <c r="Q5616" s="21">
        <v>40</v>
      </c>
      <c r="R5616" s="21">
        <v>0</v>
      </c>
      <c r="S5616" s="5">
        <f t="shared" si="351"/>
        <v>55611.312167016105</v>
      </c>
      <c r="T5616" cm="1">
        <f t="array" ref="T5616">IF(OR(B5616="MAL ALIMI", B5616="ÜRETİM GİRİŞ"), MIN(I5616, MAX(0, I5616 + SUM(SUMIFS($I$1:I5615, $C$1:C5615, C5616, $B$1:B5615, {"MAL ALIMI","ÜRETİM GİRİŞ"})) - VLOOKUP(C5616, 'STOK RAPORU'!$C$2:$I$1000, 4, 0))), 0)</f>
        <v>0</v>
      </c>
      <c r="U5616" s="22">
        <f t="shared" si="348"/>
        <v>0</v>
      </c>
      <c r="V5616">
        <f t="shared" si="349"/>
        <v>0</v>
      </c>
      <c r="W5616" s="22">
        <f t="shared" si="350"/>
        <v>0</v>
      </c>
    </row>
    <row r="5617" spans="1:23" hidden="1" x14ac:dyDescent="0.25">
      <c r="A5617" s="3">
        <v>46098</v>
      </c>
      <c r="B5617" s="4" t="s">
        <v>334</v>
      </c>
      <c r="C5617" s="4" t="s">
        <v>1024</v>
      </c>
      <c r="D5617" s="4"/>
      <c r="E5617" s="4"/>
      <c r="F5617" s="46" t="s">
        <v>2698</v>
      </c>
      <c r="G5617" s="4" t="s">
        <v>336</v>
      </c>
      <c r="H5617" s="4" t="s">
        <v>289</v>
      </c>
      <c r="I5617" s="4">
        <v>1.62</v>
      </c>
      <c r="J5617" s="21">
        <v>65</v>
      </c>
      <c r="K5617" s="21">
        <v>0</v>
      </c>
      <c r="L5617" s="5">
        <v>0</v>
      </c>
      <c r="M5617" s="4"/>
      <c r="N5617" s="4"/>
      <c r="O5617" s="5"/>
      <c r="P5617" s="5"/>
      <c r="Q5617" s="21">
        <v>105.30000000000001</v>
      </c>
      <c r="R5617" s="21">
        <v>0</v>
      </c>
      <c r="S5617" s="5">
        <f t="shared" si="351"/>
        <v>55716.612167016108</v>
      </c>
      <c r="T5617" cm="1">
        <f t="array" ref="T5617">IF(OR(B5617="MAL ALIMI", B5617="ÜRETİM GİRİŞ"), MIN(I5617, MAX(0, I5617 + SUM(SUMIFS($I$1:I5616, $C$1:C5616, C5617, $B$1:B5616, {"MAL ALIMI","ÜRETİM GİRİŞ"})) - VLOOKUP(C5617, 'STOK RAPORU'!$C$2:$I$1000, 4, 0))), 0)</f>
        <v>0</v>
      </c>
      <c r="U5617" s="22">
        <f t="shared" si="348"/>
        <v>0</v>
      </c>
      <c r="V5617">
        <f t="shared" si="349"/>
        <v>0</v>
      </c>
      <c r="W5617" s="22">
        <f t="shared" si="350"/>
        <v>0</v>
      </c>
    </row>
    <row r="5618" spans="1:23" hidden="1" x14ac:dyDescent="0.25">
      <c r="A5618" s="3">
        <v>46098</v>
      </c>
      <c r="B5618" s="4" t="s">
        <v>334</v>
      </c>
      <c r="C5618" s="4" t="s">
        <v>2565</v>
      </c>
      <c r="D5618" s="4"/>
      <c r="E5618" s="4"/>
      <c r="F5618" s="46" t="s">
        <v>2699</v>
      </c>
      <c r="G5618" s="4" t="s">
        <v>336</v>
      </c>
      <c r="H5618" s="4" t="s">
        <v>289</v>
      </c>
      <c r="I5618" s="4">
        <v>0.46153846153846156</v>
      </c>
      <c r="J5618" s="21">
        <v>650</v>
      </c>
      <c r="K5618" s="21">
        <v>0</v>
      </c>
      <c r="L5618" s="5">
        <v>0</v>
      </c>
      <c r="M5618" s="4"/>
      <c r="N5618" s="4"/>
      <c r="O5618" s="5"/>
      <c r="P5618" s="5"/>
      <c r="Q5618" s="21">
        <v>300</v>
      </c>
      <c r="R5618" s="21">
        <v>0</v>
      </c>
      <c r="S5618" s="5">
        <f t="shared" si="351"/>
        <v>56016.612167016108</v>
      </c>
      <c r="T5618" cm="1">
        <f t="array" ref="T5618">IF(OR(B5618="MAL ALIMI", B5618="ÜRETİM GİRİŞ"), MIN(I5618, MAX(0, I5618 + SUM(SUMIFS($I$1:I5617, $C$1:C5617, C5618, $B$1:B5617, {"MAL ALIMI","ÜRETİM GİRİŞ"})) - VLOOKUP(C5618, 'STOK RAPORU'!$C$2:$I$1000, 4, 0))), 0)</f>
        <v>0</v>
      </c>
      <c r="U5618" s="22">
        <f t="shared" si="348"/>
        <v>0</v>
      </c>
      <c r="V5618">
        <f t="shared" si="349"/>
        <v>0</v>
      </c>
      <c r="W5618" s="22">
        <f t="shared" si="350"/>
        <v>0</v>
      </c>
    </row>
    <row r="5619" spans="1:23" hidden="1" x14ac:dyDescent="0.25">
      <c r="A5619" s="3">
        <v>46098</v>
      </c>
      <c r="B5619" s="4" t="s">
        <v>334</v>
      </c>
      <c r="C5619" s="4" t="s">
        <v>2562</v>
      </c>
      <c r="D5619" s="4"/>
      <c r="E5619" s="4"/>
      <c r="F5619" s="46" t="s">
        <v>2699</v>
      </c>
      <c r="G5619" s="4" t="s">
        <v>336</v>
      </c>
      <c r="H5619" s="4" t="s">
        <v>289</v>
      </c>
      <c r="I5619" s="4">
        <v>1</v>
      </c>
      <c r="J5619" s="21">
        <v>90</v>
      </c>
      <c r="K5619" s="21">
        <v>0</v>
      </c>
      <c r="L5619" s="5">
        <v>0</v>
      </c>
      <c r="M5619" s="4"/>
      <c r="N5619" s="4"/>
      <c r="O5619" s="5"/>
      <c r="P5619" s="5"/>
      <c r="Q5619" s="21">
        <v>90</v>
      </c>
      <c r="R5619" s="21">
        <v>0</v>
      </c>
      <c r="S5619" s="5">
        <f t="shared" si="351"/>
        <v>56106.612167016108</v>
      </c>
      <c r="T5619" cm="1">
        <f t="array" ref="T5619">IF(OR(B5619="MAL ALIMI", B5619="ÜRETİM GİRİŞ"), MIN(I5619, MAX(0, I5619 + SUM(SUMIFS($I$1:I5618, $C$1:C5618, C5619, $B$1:B5618, {"MAL ALIMI","ÜRETİM GİRİŞ"})) - VLOOKUP(C5619, 'STOK RAPORU'!$C$2:$I$1000, 4, 0))), 0)</f>
        <v>0</v>
      </c>
      <c r="U5619" s="22">
        <f t="shared" ref="U5619:U5682" si="352">T5619*J5619</f>
        <v>0</v>
      </c>
      <c r="V5619">
        <f t="shared" ref="V5619:V5682" si="353">IF(OR(B5619="MAL ALIMI", B5619="ÜRETİM GİRİŞ"), I5619 * J5619, 0)</f>
        <v>0</v>
      </c>
      <c r="W5619" s="22">
        <f t="shared" ref="W5619:W5682" si="354">V5619-U5619</f>
        <v>0</v>
      </c>
    </row>
    <row r="5620" spans="1:23" hidden="1" x14ac:dyDescent="0.25">
      <c r="A5620" s="3">
        <v>46098</v>
      </c>
      <c r="B5620" s="4" t="s">
        <v>334</v>
      </c>
      <c r="C5620" s="4" t="s">
        <v>2563</v>
      </c>
      <c r="D5620" s="4"/>
      <c r="E5620" s="4"/>
      <c r="F5620" s="46" t="s">
        <v>2699</v>
      </c>
      <c r="G5620" s="4" t="s">
        <v>336</v>
      </c>
      <c r="H5620" s="4" t="s">
        <v>289</v>
      </c>
      <c r="I5620" s="4">
        <v>1</v>
      </c>
      <c r="J5620" s="21">
        <v>90</v>
      </c>
      <c r="K5620" s="21">
        <v>0</v>
      </c>
      <c r="L5620" s="5">
        <v>0</v>
      </c>
      <c r="M5620" s="4"/>
      <c r="N5620" s="4"/>
      <c r="O5620" s="5"/>
      <c r="P5620" s="5"/>
      <c r="Q5620" s="21">
        <v>90</v>
      </c>
      <c r="R5620" s="21">
        <v>0</v>
      </c>
      <c r="S5620" s="5">
        <f t="shared" si="351"/>
        <v>56196.612167016108</v>
      </c>
      <c r="T5620" cm="1">
        <f t="array" ref="T5620">IF(OR(B5620="MAL ALIMI", B5620="ÜRETİM GİRİŞ"), MIN(I5620, MAX(0, I5620 + SUM(SUMIFS($I$1:I5619, $C$1:C5619, C5620, $B$1:B5619, {"MAL ALIMI","ÜRETİM GİRİŞ"})) - VLOOKUP(C5620, 'STOK RAPORU'!$C$2:$I$1000, 4, 0))), 0)</f>
        <v>0</v>
      </c>
      <c r="U5620" s="22">
        <f t="shared" si="352"/>
        <v>0</v>
      </c>
      <c r="V5620">
        <f t="shared" si="353"/>
        <v>0</v>
      </c>
      <c r="W5620" s="22">
        <f t="shared" si="354"/>
        <v>0</v>
      </c>
    </row>
    <row r="5621" spans="1:23" hidden="1" x14ac:dyDescent="0.25">
      <c r="A5621" s="3">
        <v>46098</v>
      </c>
      <c r="B5621" s="4" t="s">
        <v>334</v>
      </c>
      <c r="C5621" s="4" t="s">
        <v>1641</v>
      </c>
      <c r="D5621" s="4"/>
      <c r="E5621" s="4"/>
      <c r="F5621" s="46" t="s">
        <v>2699</v>
      </c>
      <c r="G5621" s="4" t="s">
        <v>336</v>
      </c>
      <c r="H5621" s="4" t="s">
        <v>289</v>
      </c>
      <c r="I5621" s="4">
        <v>0.1</v>
      </c>
      <c r="J5621" s="21">
        <v>950</v>
      </c>
      <c r="K5621" s="21">
        <v>0</v>
      </c>
      <c r="L5621" s="5">
        <v>0</v>
      </c>
      <c r="M5621" s="4"/>
      <c r="N5621" s="4"/>
      <c r="O5621" s="5"/>
      <c r="P5621" s="5"/>
      <c r="Q5621" s="21">
        <v>95</v>
      </c>
      <c r="R5621" s="21">
        <v>0</v>
      </c>
      <c r="S5621" s="5">
        <f t="shared" si="351"/>
        <v>56291.612167016108</v>
      </c>
      <c r="T5621" cm="1">
        <f t="array" ref="T5621">IF(OR(B5621="MAL ALIMI", B5621="ÜRETİM GİRİŞ"), MIN(I5621, MAX(0, I5621 + SUM(SUMIFS($I$1:I5620, $C$1:C5620, C5621, $B$1:B5620, {"MAL ALIMI","ÜRETİM GİRİŞ"})) - VLOOKUP(C5621, 'STOK RAPORU'!$C$2:$I$1000, 4, 0))), 0)</f>
        <v>0</v>
      </c>
      <c r="U5621" s="22">
        <f t="shared" si="352"/>
        <v>0</v>
      </c>
      <c r="V5621">
        <f t="shared" si="353"/>
        <v>0</v>
      </c>
      <c r="W5621" s="22">
        <f t="shared" si="354"/>
        <v>0</v>
      </c>
    </row>
    <row r="5622" spans="1:23" hidden="1" x14ac:dyDescent="0.25">
      <c r="A5622" s="3">
        <v>46098</v>
      </c>
      <c r="B5622" s="4" t="s">
        <v>334</v>
      </c>
      <c r="C5622" s="4" t="s">
        <v>2117</v>
      </c>
      <c r="D5622" s="4"/>
      <c r="E5622" s="4"/>
      <c r="F5622" s="46" t="s">
        <v>2699</v>
      </c>
      <c r="G5622" s="4" t="s">
        <v>336</v>
      </c>
      <c r="H5622" s="4" t="s">
        <v>289</v>
      </c>
      <c r="I5622" s="4">
        <v>1</v>
      </c>
      <c r="J5622" s="21">
        <v>30</v>
      </c>
      <c r="K5622" s="21">
        <v>0</v>
      </c>
      <c r="L5622" s="5">
        <v>0</v>
      </c>
      <c r="M5622" s="4"/>
      <c r="N5622" s="4"/>
      <c r="O5622" s="5"/>
      <c r="P5622" s="5"/>
      <c r="Q5622" s="21">
        <v>30</v>
      </c>
      <c r="R5622" s="21">
        <v>0</v>
      </c>
      <c r="S5622" s="5">
        <f t="shared" si="351"/>
        <v>56321.612167016108</v>
      </c>
      <c r="T5622" cm="1">
        <f t="array" ref="T5622">IF(OR(B5622="MAL ALIMI", B5622="ÜRETİM GİRİŞ"), MIN(I5622, MAX(0, I5622 + SUM(SUMIFS($I$1:I5621, $C$1:C5621, C5622, $B$1:B5621, {"MAL ALIMI","ÜRETİM GİRİŞ"})) - VLOOKUP(C5622, 'STOK RAPORU'!$C$2:$I$1000, 4, 0))), 0)</f>
        <v>0</v>
      </c>
      <c r="U5622" s="22">
        <f t="shared" si="352"/>
        <v>0</v>
      </c>
      <c r="V5622">
        <f t="shared" si="353"/>
        <v>0</v>
      </c>
      <c r="W5622" s="22">
        <f t="shared" si="354"/>
        <v>0</v>
      </c>
    </row>
    <row r="5623" spans="1:23" hidden="1" x14ac:dyDescent="0.25">
      <c r="A5623" s="3">
        <v>46098</v>
      </c>
      <c r="B5623" s="4" t="s">
        <v>334</v>
      </c>
      <c r="C5623" s="4" t="s">
        <v>2605</v>
      </c>
      <c r="D5623" s="4"/>
      <c r="E5623" s="4"/>
      <c r="F5623" s="46" t="s">
        <v>2700</v>
      </c>
      <c r="G5623" s="4" t="s">
        <v>336</v>
      </c>
      <c r="H5623" s="4" t="s">
        <v>289</v>
      </c>
      <c r="I5623" s="4">
        <v>0.28599999999999998</v>
      </c>
      <c r="J5623" s="21">
        <v>280</v>
      </c>
      <c r="K5623" s="21">
        <v>0</v>
      </c>
      <c r="L5623" s="5">
        <v>0</v>
      </c>
      <c r="M5623" s="4"/>
      <c r="N5623" s="4"/>
      <c r="O5623" s="5"/>
      <c r="P5623" s="5"/>
      <c r="Q5623" s="21">
        <v>80.08</v>
      </c>
      <c r="R5623" s="21">
        <v>0</v>
      </c>
      <c r="S5623" s="5">
        <f t="shared" si="351"/>
        <v>56401.69216701611</v>
      </c>
      <c r="T5623" cm="1">
        <f t="array" ref="T5623">IF(OR(B5623="MAL ALIMI", B5623="ÜRETİM GİRİŞ"), MIN(I5623, MAX(0, I5623 + SUM(SUMIFS($I$1:I5622, $C$1:C5622, C5623, $B$1:B5622, {"MAL ALIMI","ÜRETİM GİRİŞ"})) - VLOOKUP(C5623, 'STOK RAPORU'!$C$2:$I$1000, 4, 0))), 0)</f>
        <v>0</v>
      </c>
      <c r="U5623" s="22">
        <f t="shared" si="352"/>
        <v>0</v>
      </c>
      <c r="V5623">
        <f t="shared" si="353"/>
        <v>0</v>
      </c>
      <c r="W5623" s="22">
        <f t="shared" si="354"/>
        <v>0</v>
      </c>
    </row>
    <row r="5624" spans="1:23" hidden="1" x14ac:dyDescent="0.25">
      <c r="A5624" s="3">
        <v>46098</v>
      </c>
      <c r="B5624" s="4" t="s">
        <v>334</v>
      </c>
      <c r="C5624" s="4" t="s">
        <v>158</v>
      </c>
      <c r="D5624" s="4"/>
      <c r="E5624" s="4"/>
      <c r="F5624" s="46" t="s">
        <v>2701</v>
      </c>
      <c r="G5624" s="4" t="s">
        <v>336</v>
      </c>
      <c r="H5624" s="4" t="s">
        <v>289</v>
      </c>
      <c r="I5624" s="4">
        <v>1</v>
      </c>
      <c r="J5624" s="21">
        <v>150</v>
      </c>
      <c r="K5624" s="21">
        <v>0</v>
      </c>
      <c r="L5624" s="5">
        <v>0</v>
      </c>
      <c r="M5624" s="4"/>
      <c r="N5624" s="4"/>
      <c r="O5624" s="5"/>
      <c r="P5624" s="5"/>
      <c r="Q5624" s="21">
        <v>150</v>
      </c>
      <c r="R5624" s="21">
        <v>0</v>
      </c>
      <c r="S5624" s="5">
        <f t="shared" si="351"/>
        <v>56551.69216701611</v>
      </c>
      <c r="T5624" cm="1">
        <f t="array" ref="T5624">IF(OR(B5624="MAL ALIMI", B5624="ÜRETİM GİRİŞ"), MIN(I5624, MAX(0, I5624 + SUM(SUMIFS($I$1:I5623, $C$1:C5623, C5624, $B$1:B5623, {"MAL ALIMI","ÜRETİM GİRİŞ"})) - VLOOKUP(C5624, 'STOK RAPORU'!$C$2:$I$1000, 4, 0))), 0)</f>
        <v>0</v>
      </c>
      <c r="U5624" s="22">
        <f t="shared" si="352"/>
        <v>0</v>
      </c>
      <c r="V5624">
        <f t="shared" si="353"/>
        <v>0</v>
      </c>
      <c r="W5624" s="22">
        <f t="shared" si="354"/>
        <v>0</v>
      </c>
    </row>
    <row r="5625" spans="1:23" hidden="1" x14ac:dyDescent="0.25">
      <c r="A5625" s="3">
        <v>46098</v>
      </c>
      <c r="B5625" s="4" t="s">
        <v>334</v>
      </c>
      <c r="C5625" s="4" t="s">
        <v>690</v>
      </c>
      <c r="D5625" s="4"/>
      <c r="E5625" s="4" t="s">
        <v>921</v>
      </c>
      <c r="F5625" s="46" t="s">
        <v>2702</v>
      </c>
      <c r="G5625" s="4" t="s">
        <v>336</v>
      </c>
      <c r="H5625" s="4" t="s">
        <v>380</v>
      </c>
      <c r="I5625" s="4">
        <v>0.36470588235294116</v>
      </c>
      <c r="J5625" s="21">
        <v>340</v>
      </c>
      <c r="K5625" s="21">
        <v>124</v>
      </c>
      <c r="L5625" s="5">
        <v>0</v>
      </c>
      <c r="M5625" s="4"/>
      <c r="N5625" s="4"/>
      <c r="O5625" s="5"/>
      <c r="P5625" s="5"/>
      <c r="Q5625" s="21">
        <v>0</v>
      </c>
      <c r="R5625" s="21">
        <v>0</v>
      </c>
      <c r="S5625" s="5">
        <f t="shared" si="351"/>
        <v>56551.69216701611</v>
      </c>
      <c r="T5625" cm="1">
        <f t="array" ref="T5625">IF(OR(B5625="MAL ALIMI", B5625="ÜRETİM GİRİŞ"), MIN(I5625, MAX(0, I5625 + SUM(SUMIFS($I$1:I5624, $C$1:C5624, C5625, $B$1:B5624, {"MAL ALIMI","ÜRETİM GİRİŞ"})) - VLOOKUP(C5625, 'STOK RAPORU'!$C$2:$I$1000, 4, 0))), 0)</f>
        <v>0</v>
      </c>
      <c r="U5625" s="22">
        <f t="shared" si="352"/>
        <v>0</v>
      </c>
      <c r="V5625">
        <f t="shared" si="353"/>
        <v>0</v>
      </c>
      <c r="W5625" s="22">
        <f t="shared" si="354"/>
        <v>0</v>
      </c>
    </row>
    <row r="5626" spans="1:23" hidden="1" x14ac:dyDescent="0.25">
      <c r="A5626" s="3">
        <v>46098</v>
      </c>
      <c r="B5626" s="4" t="s">
        <v>334</v>
      </c>
      <c r="C5626" s="4" t="s">
        <v>259</v>
      </c>
      <c r="D5626" s="4"/>
      <c r="E5626" s="4" t="s">
        <v>921</v>
      </c>
      <c r="F5626" s="46" t="s">
        <v>2702</v>
      </c>
      <c r="G5626" s="4" t="s">
        <v>336</v>
      </c>
      <c r="H5626" s="4" t="s">
        <v>380</v>
      </c>
      <c r="I5626" s="4">
        <v>1</v>
      </c>
      <c r="J5626" s="21">
        <v>100</v>
      </c>
      <c r="K5626" s="21">
        <v>100</v>
      </c>
      <c r="L5626" s="5">
        <v>0</v>
      </c>
      <c r="M5626" s="4"/>
      <c r="N5626" s="4"/>
      <c r="O5626" s="5"/>
      <c r="P5626" s="5"/>
      <c r="Q5626" s="21">
        <v>0</v>
      </c>
      <c r="R5626" s="21">
        <v>0</v>
      </c>
      <c r="S5626" s="5">
        <f t="shared" si="351"/>
        <v>56551.69216701611</v>
      </c>
      <c r="T5626" cm="1">
        <f t="array" ref="T5626">IF(OR(B5626="MAL ALIMI", B5626="ÜRETİM GİRİŞ"), MIN(I5626, MAX(0, I5626 + SUM(SUMIFS($I$1:I5625, $C$1:C5625, C5626, $B$1:B5625, {"MAL ALIMI","ÜRETİM GİRİŞ"})) - VLOOKUP(C5626, 'STOK RAPORU'!$C$2:$I$1000, 4, 0))), 0)</f>
        <v>0</v>
      </c>
      <c r="U5626" s="22">
        <f t="shared" si="352"/>
        <v>0</v>
      </c>
      <c r="V5626">
        <f t="shared" si="353"/>
        <v>0</v>
      </c>
      <c r="W5626" s="22">
        <f t="shared" si="354"/>
        <v>0</v>
      </c>
    </row>
    <row r="5627" spans="1:23" hidden="1" x14ac:dyDescent="0.25">
      <c r="A5627" s="3">
        <v>46098</v>
      </c>
      <c r="B5627" s="4" t="s">
        <v>334</v>
      </c>
      <c r="C5627" s="4" t="s">
        <v>1428</v>
      </c>
      <c r="D5627" s="4"/>
      <c r="E5627" s="4"/>
      <c r="F5627" s="46" t="s">
        <v>2703</v>
      </c>
      <c r="G5627" s="4" t="s">
        <v>336</v>
      </c>
      <c r="H5627" s="4" t="s">
        <v>289</v>
      </c>
      <c r="I5627" s="4">
        <v>0.1</v>
      </c>
      <c r="J5627" s="21">
        <v>800</v>
      </c>
      <c r="K5627" s="21">
        <v>0</v>
      </c>
      <c r="L5627" s="5">
        <v>0</v>
      </c>
      <c r="M5627" s="4"/>
      <c r="N5627" s="4"/>
      <c r="O5627" s="5"/>
      <c r="P5627" s="5"/>
      <c r="Q5627" s="21">
        <v>80</v>
      </c>
      <c r="R5627" s="21">
        <v>0</v>
      </c>
      <c r="S5627" s="5">
        <f t="shared" si="351"/>
        <v>56631.69216701611</v>
      </c>
      <c r="T5627" cm="1">
        <f t="array" ref="T5627">IF(OR(B5627="MAL ALIMI", B5627="ÜRETİM GİRİŞ"), MIN(I5627, MAX(0, I5627 + SUM(SUMIFS($I$1:I5626, $C$1:C5626, C5627, $B$1:B5626, {"MAL ALIMI","ÜRETİM GİRİŞ"})) - VLOOKUP(C5627, 'STOK RAPORU'!$C$2:$I$1000, 4, 0))), 0)</f>
        <v>0</v>
      </c>
      <c r="U5627" s="22">
        <f t="shared" si="352"/>
        <v>0</v>
      </c>
      <c r="V5627">
        <f t="shared" si="353"/>
        <v>0</v>
      </c>
      <c r="W5627" s="22">
        <f t="shared" si="354"/>
        <v>0</v>
      </c>
    </row>
    <row r="5628" spans="1:23" hidden="1" x14ac:dyDescent="0.25">
      <c r="A5628" s="3">
        <v>46098</v>
      </c>
      <c r="B5628" s="4" t="s">
        <v>334</v>
      </c>
      <c r="C5628" s="4" t="s">
        <v>126</v>
      </c>
      <c r="D5628" s="4"/>
      <c r="E5628" s="4"/>
      <c r="F5628" s="46" t="s">
        <v>2703</v>
      </c>
      <c r="G5628" s="4" t="s">
        <v>336</v>
      </c>
      <c r="H5628" s="4" t="s">
        <v>289</v>
      </c>
      <c r="I5628" s="4">
        <v>0.1</v>
      </c>
      <c r="J5628" s="21">
        <v>650</v>
      </c>
      <c r="K5628" s="21">
        <v>0</v>
      </c>
      <c r="L5628" s="5">
        <v>0</v>
      </c>
      <c r="M5628" s="4"/>
      <c r="N5628" s="4"/>
      <c r="O5628" s="5"/>
      <c r="P5628" s="5"/>
      <c r="Q5628" s="21">
        <v>65</v>
      </c>
      <c r="R5628" s="21">
        <v>0</v>
      </c>
      <c r="S5628" s="5">
        <f t="shared" si="351"/>
        <v>56696.69216701611</v>
      </c>
      <c r="T5628" cm="1">
        <f t="array" ref="T5628">IF(OR(B5628="MAL ALIMI", B5628="ÜRETİM GİRİŞ"), MIN(I5628, MAX(0, I5628 + SUM(SUMIFS($I$1:I5627, $C$1:C5627, C5628, $B$1:B5627, {"MAL ALIMI","ÜRETİM GİRİŞ"})) - VLOOKUP(C5628, 'STOK RAPORU'!$C$2:$I$1000, 4, 0))), 0)</f>
        <v>0</v>
      </c>
      <c r="U5628" s="22">
        <f t="shared" si="352"/>
        <v>0</v>
      </c>
      <c r="V5628">
        <f t="shared" si="353"/>
        <v>0</v>
      </c>
      <c r="W5628" s="22">
        <f t="shared" si="354"/>
        <v>0</v>
      </c>
    </row>
    <row r="5629" spans="1:23" hidden="1" x14ac:dyDescent="0.25">
      <c r="A5629" s="3">
        <v>46098</v>
      </c>
      <c r="B5629" s="4" t="s">
        <v>334</v>
      </c>
      <c r="C5629" s="4" t="s">
        <v>227</v>
      </c>
      <c r="D5629" s="4"/>
      <c r="E5629" s="4"/>
      <c r="F5629" s="46" t="s">
        <v>2704</v>
      </c>
      <c r="G5629" s="4" t="s">
        <v>336</v>
      </c>
      <c r="H5629" s="4" t="s">
        <v>289</v>
      </c>
      <c r="I5629" s="4">
        <v>0.1</v>
      </c>
      <c r="J5629" s="21">
        <v>500</v>
      </c>
      <c r="K5629" s="21">
        <v>0</v>
      </c>
      <c r="L5629" s="5">
        <v>0</v>
      </c>
      <c r="M5629" s="4"/>
      <c r="N5629" s="4"/>
      <c r="O5629" s="5"/>
      <c r="P5629" s="5"/>
      <c r="Q5629" s="21">
        <v>50</v>
      </c>
      <c r="R5629" s="21">
        <v>0</v>
      </c>
      <c r="S5629" s="5">
        <f t="shared" si="351"/>
        <v>56746.69216701611</v>
      </c>
      <c r="T5629" cm="1">
        <f t="array" ref="T5629">IF(OR(B5629="MAL ALIMI", B5629="ÜRETİM GİRİŞ"), MIN(I5629, MAX(0, I5629 + SUM(SUMIFS($I$1:I5628, $C$1:C5628, C5629, $B$1:B5628, {"MAL ALIMI","ÜRETİM GİRİŞ"})) - VLOOKUP(C5629, 'STOK RAPORU'!$C$2:$I$1000, 4, 0))), 0)</f>
        <v>0</v>
      </c>
      <c r="U5629" s="22">
        <f t="shared" si="352"/>
        <v>0</v>
      </c>
      <c r="V5629">
        <f t="shared" si="353"/>
        <v>0</v>
      </c>
      <c r="W5629" s="22">
        <f t="shared" si="354"/>
        <v>0</v>
      </c>
    </row>
    <row r="5630" spans="1:23" hidden="1" x14ac:dyDescent="0.25">
      <c r="A5630" s="3">
        <v>46098</v>
      </c>
      <c r="B5630" s="4" t="s">
        <v>334</v>
      </c>
      <c r="C5630" s="4" t="s">
        <v>131</v>
      </c>
      <c r="D5630" s="4"/>
      <c r="E5630" s="4"/>
      <c r="F5630" s="46" t="s">
        <v>2705</v>
      </c>
      <c r="G5630" s="4" t="s">
        <v>336</v>
      </c>
      <c r="H5630" s="4" t="s">
        <v>289</v>
      </c>
      <c r="I5630" s="4">
        <v>6.25E-2</v>
      </c>
      <c r="J5630" s="21">
        <v>400</v>
      </c>
      <c r="K5630" s="21">
        <v>0</v>
      </c>
      <c r="L5630" s="5">
        <v>0</v>
      </c>
      <c r="M5630" s="4"/>
      <c r="N5630" s="4"/>
      <c r="O5630" s="5"/>
      <c r="P5630" s="5"/>
      <c r="Q5630" s="21">
        <v>25</v>
      </c>
      <c r="R5630" s="21">
        <v>0</v>
      </c>
      <c r="S5630" s="5">
        <f t="shared" si="351"/>
        <v>56771.69216701611</v>
      </c>
      <c r="T5630" cm="1">
        <f t="array" ref="T5630">IF(OR(B5630="MAL ALIMI", B5630="ÜRETİM GİRİŞ"), MIN(I5630, MAX(0, I5630 + SUM(SUMIFS($I$1:I5629, $C$1:C5629, C5630, $B$1:B5629, {"MAL ALIMI","ÜRETİM GİRİŞ"})) - VLOOKUP(C5630, 'STOK RAPORU'!$C$2:$I$1000, 4, 0))), 0)</f>
        <v>0</v>
      </c>
      <c r="U5630" s="22">
        <f t="shared" si="352"/>
        <v>0</v>
      </c>
      <c r="V5630">
        <f t="shared" si="353"/>
        <v>0</v>
      </c>
      <c r="W5630" s="22">
        <f t="shared" si="354"/>
        <v>0</v>
      </c>
    </row>
    <row r="5631" spans="1:23" hidden="1" x14ac:dyDescent="0.25">
      <c r="A5631" s="3">
        <v>46098</v>
      </c>
      <c r="B5631" s="4" t="s">
        <v>946</v>
      </c>
      <c r="C5631" s="4"/>
      <c r="D5631" s="4"/>
      <c r="E5631" s="4" t="s">
        <v>921</v>
      </c>
      <c r="F5631" s="4"/>
      <c r="G5631" s="4" t="s">
        <v>2837</v>
      </c>
      <c r="H5631" s="4" t="s">
        <v>380</v>
      </c>
      <c r="I5631" s="4">
        <v>1</v>
      </c>
      <c r="J5631" s="105">
        <v>862.18</v>
      </c>
      <c r="K5631" s="35">
        <v>0</v>
      </c>
      <c r="L5631" s="115">
        <v>862.18</v>
      </c>
      <c r="M5631" s="4"/>
      <c r="N5631" s="4"/>
      <c r="O5631" s="5"/>
      <c r="P5631" s="5"/>
      <c r="Q5631" s="35">
        <v>862.18</v>
      </c>
      <c r="R5631" s="35">
        <v>0</v>
      </c>
      <c r="S5631" s="5">
        <f t="shared" si="351"/>
        <v>57633.87216701611</v>
      </c>
      <c r="T5631" cm="1">
        <f t="array" ref="T5631">IF(OR(B5631="MAL ALIMI", B5631="ÜRETİM GİRİŞ"), MIN(I5631, MAX(0, I5631 + SUM(SUMIFS($I$1:I5630, $C$1:C5630, C5631, $B$1:B5630, {"MAL ALIMI","ÜRETİM GİRİŞ"})) - VLOOKUP(C5631, 'STOK RAPORU'!$C$2:$I$1000, 4, 0))), 0)</f>
        <v>0</v>
      </c>
      <c r="U5631" s="22">
        <f t="shared" si="352"/>
        <v>0</v>
      </c>
      <c r="V5631">
        <f t="shared" si="353"/>
        <v>0</v>
      </c>
      <c r="W5631" s="22">
        <f t="shared" si="354"/>
        <v>0</v>
      </c>
    </row>
    <row r="5632" spans="1:23" hidden="1" x14ac:dyDescent="0.25">
      <c r="A5632" s="3">
        <v>46098</v>
      </c>
      <c r="B5632" s="4" t="s">
        <v>285</v>
      </c>
      <c r="C5632" s="4"/>
      <c r="D5632" s="4" t="s">
        <v>943</v>
      </c>
      <c r="E5632" s="4"/>
      <c r="F5632" s="4"/>
      <c r="G5632" s="4" t="s">
        <v>2837</v>
      </c>
      <c r="H5632" s="4" t="s">
        <v>289</v>
      </c>
      <c r="I5632" s="4">
        <v>1</v>
      </c>
      <c r="J5632" s="35">
        <v>862.18</v>
      </c>
      <c r="K5632" s="35">
        <v>0</v>
      </c>
      <c r="L5632" s="5">
        <v>0</v>
      </c>
      <c r="M5632" s="4"/>
      <c r="N5632" s="4"/>
      <c r="O5632" s="5"/>
      <c r="P5632" s="5"/>
      <c r="Q5632" s="35">
        <v>0</v>
      </c>
      <c r="R5632" s="35">
        <v>862.18</v>
      </c>
      <c r="S5632" s="5">
        <f t="shared" si="351"/>
        <v>56771.69216701611</v>
      </c>
      <c r="T5632" cm="1">
        <f t="array" ref="T5632">IF(OR(B5632="MAL ALIMI", B5632="ÜRETİM GİRİŞ"), MIN(I5632, MAX(0, I5632 + SUM(SUMIFS($I$1:I5631, $C$1:C5631, C5632, $B$1:B5631, {"MAL ALIMI","ÜRETİM GİRİŞ"})) - VLOOKUP(C5632, 'STOK RAPORU'!$C$2:$I$1000, 4, 0))), 0)</f>
        <v>0</v>
      </c>
      <c r="U5632" s="22">
        <f t="shared" si="352"/>
        <v>0</v>
      </c>
      <c r="V5632">
        <f t="shared" si="353"/>
        <v>0</v>
      </c>
      <c r="W5632" s="22">
        <f t="shared" si="354"/>
        <v>0</v>
      </c>
    </row>
    <row r="5633" spans="1:23" hidden="1" x14ac:dyDescent="0.25">
      <c r="A5633" s="3">
        <v>46099</v>
      </c>
      <c r="B5633" s="4" t="s">
        <v>334</v>
      </c>
      <c r="C5633" s="4" t="s">
        <v>695</v>
      </c>
      <c r="D5633" s="4"/>
      <c r="E5633" s="4" t="s">
        <v>921</v>
      </c>
      <c r="F5633" s="46" t="s">
        <v>2706</v>
      </c>
      <c r="G5633" s="4" t="s">
        <v>336</v>
      </c>
      <c r="H5633" s="4" t="s">
        <v>380</v>
      </c>
      <c r="I5633" s="4">
        <v>1</v>
      </c>
      <c r="J5633" s="21">
        <v>120</v>
      </c>
      <c r="K5633" s="21">
        <v>120</v>
      </c>
      <c r="L5633" s="5">
        <v>0</v>
      </c>
      <c r="M5633" s="4"/>
      <c r="N5633" s="4"/>
      <c r="O5633" s="5"/>
      <c r="P5633" s="5"/>
      <c r="Q5633" s="21">
        <v>0</v>
      </c>
      <c r="R5633" s="21">
        <v>0</v>
      </c>
      <c r="S5633" s="5">
        <f t="shared" si="351"/>
        <v>56771.69216701611</v>
      </c>
      <c r="T5633" cm="1">
        <f t="array" ref="T5633">IF(OR(B5633="MAL ALIMI", B5633="ÜRETİM GİRİŞ"), MIN(I5633, MAX(0, I5633 + SUM(SUMIFS($I$1:I5632, $C$1:C5632, C5633, $B$1:B5632, {"MAL ALIMI","ÜRETİM GİRİŞ"})) - VLOOKUP(C5633, 'STOK RAPORU'!$C$2:$I$1000, 4, 0))), 0)</f>
        <v>0</v>
      </c>
      <c r="U5633" s="22">
        <f t="shared" si="352"/>
        <v>0</v>
      </c>
      <c r="V5633">
        <f t="shared" si="353"/>
        <v>0</v>
      </c>
      <c r="W5633" s="22">
        <f t="shared" si="354"/>
        <v>0</v>
      </c>
    </row>
    <row r="5634" spans="1:23" hidden="1" x14ac:dyDescent="0.25">
      <c r="A5634" s="3">
        <v>46099</v>
      </c>
      <c r="B5634" s="4" t="s">
        <v>334</v>
      </c>
      <c r="C5634" s="4" t="s">
        <v>691</v>
      </c>
      <c r="D5634" s="4"/>
      <c r="E5634" s="4" t="s">
        <v>921</v>
      </c>
      <c r="F5634" s="46" t="s">
        <v>2706</v>
      </c>
      <c r="G5634" s="4" t="s">
        <v>336</v>
      </c>
      <c r="H5634" s="4" t="s">
        <v>380</v>
      </c>
      <c r="I5634" s="4">
        <v>0.30434782608695654</v>
      </c>
      <c r="J5634" s="21">
        <v>230</v>
      </c>
      <c r="K5634" s="21">
        <v>70</v>
      </c>
      <c r="L5634" s="5">
        <v>0</v>
      </c>
      <c r="M5634" s="4"/>
      <c r="N5634" s="4"/>
      <c r="O5634" s="5"/>
      <c r="P5634" s="5"/>
      <c r="Q5634" s="21">
        <v>0</v>
      </c>
      <c r="R5634" s="21">
        <v>0</v>
      </c>
      <c r="S5634" s="5">
        <f t="shared" si="351"/>
        <v>56771.69216701611</v>
      </c>
      <c r="T5634" cm="1">
        <f t="array" ref="T5634">IF(OR(B5634="MAL ALIMI", B5634="ÜRETİM GİRİŞ"), MIN(I5634, MAX(0, I5634 + SUM(SUMIFS($I$1:I5633, $C$1:C5633, C5634, $B$1:B5633, {"MAL ALIMI","ÜRETİM GİRİŞ"})) - VLOOKUP(C5634, 'STOK RAPORU'!$C$2:$I$1000, 4, 0))), 0)</f>
        <v>0</v>
      </c>
      <c r="U5634" s="22">
        <f t="shared" si="352"/>
        <v>0</v>
      </c>
      <c r="V5634">
        <f t="shared" si="353"/>
        <v>0</v>
      </c>
      <c r="W5634" s="22">
        <f t="shared" si="354"/>
        <v>0</v>
      </c>
    </row>
    <row r="5635" spans="1:23" hidden="1" x14ac:dyDescent="0.25">
      <c r="A5635" s="3">
        <v>46099</v>
      </c>
      <c r="B5635" s="4" t="s">
        <v>334</v>
      </c>
      <c r="C5635" s="4" t="s">
        <v>241</v>
      </c>
      <c r="D5635" s="4"/>
      <c r="E5635" s="4" t="s">
        <v>921</v>
      </c>
      <c r="F5635" s="46" t="s">
        <v>2706</v>
      </c>
      <c r="G5635" s="4" t="s">
        <v>336</v>
      </c>
      <c r="H5635" s="4" t="s">
        <v>380</v>
      </c>
      <c r="I5635" s="4">
        <v>0.23255813953488372</v>
      </c>
      <c r="J5635" s="21">
        <v>430</v>
      </c>
      <c r="K5635" s="21">
        <v>100</v>
      </c>
      <c r="L5635" s="5">
        <v>0</v>
      </c>
      <c r="M5635" s="4"/>
      <c r="N5635" s="4"/>
      <c r="O5635" s="5"/>
      <c r="P5635" s="5"/>
      <c r="Q5635" s="21">
        <v>0</v>
      </c>
      <c r="R5635" s="21">
        <v>0</v>
      </c>
      <c r="S5635" s="5">
        <f t="shared" si="351"/>
        <v>56771.69216701611</v>
      </c>
      <c r="T5635" cm="1">
        <f t="array" ref="T5635">IF(OR(B5635="MAL ALIMI", B5635="ÜRETİM GİRİŞ"), MIN(I5635, MAX(0, I5635 + SUM(SUMIFS($I$1:I5634, $C$1:C5634, C5635, $B$1:B5634, {"MAL ALIMI","ÜRETİM GİRİŞ"})) - VLOOKUP(C5635, 'STOK RAPORU'!$C$2:$I$1000, 4, 0))), 0)</f>
        <v>0</v>
      </c>
      <c r="U5635" s="22">
        <f t="shared" si="352"/>
        <v>0</v>
      </c>
      <c r="V5635">
        <f t="shared" si="353"/>
        <v>0</v>
      </c>
      <c r="W5635" s="22">
        <f t="shared" si="354"/>
        <v>0</v>
      </c>
    </row>
    <row r="5636" spans="1:23" hidden="1" x14ac:dyDescent="0.25">
      <c r="A5636" s="41">
        <v>46099</v>
      </c>
      <c r="B5636" s="42" t="s">
        <v>334</v>
      </c>
      <c r="C5636" s="42" t="s">
        <v>168</v>
      </c>
      <c r="D5636" s="42"/>
      <c r="E5636" s="42"/>
      <c r="F5636" s="42" t="s">
        <v>2707</v>
      </c>
      <c r="G5636" s="42" t="s">
        <v>2708</v>
      </c>
      <c r="H5636" s="42" t="s">
        <v>289</v>
      </c>
      <c r="I5636" s="42">
        <v>1</v>
      </c>
      <c r="J5636" s="43">
        <v>200</v>
      </c>
      <c r="K5636" s="43">
        <v>0</v>
      </c>
      <c r="L5636" s="44">
        <v>0</v>
      </c>
      <c r="M5636" s="42"/>
      <c r="N5636" s="42"/>
      <c r="O5636" s="44"/>
      <c r="P5636" s="44"/>
      <c r="Q5636" s="43">
        <v>200</v>
      </c>
      <c r="R5636" s="21">
        <v>0</v>
      </c>
      <c r="S5636" s="5">
        <f t="shared" ref="S5636:S5699" si="355">S5635+Q5636-R5636</f>
        <v>56971.69216701611</v>
      </c>
      <c r="T5636" cm="1">
        <f t="array" ref="T5636">IF(OR(B5636="MAL ALIMI", B5636="ÜRETİM GİRİŞ"), MIN(I5636, MAX(0, I5636 + SUM(SUMIFS($I$1:I5635, $C$1:C5635, C5636, $B$1:B5635, {"MAL ALIMI","ÜRETİM GİRİŞ"})) - VLOOKUP(C5636, 'STOK RAPORU'!$C$2:$I$1000, 4, 0))), 0)</f>
        <v>0</v>
      </c>
      <c r="U5636" s="22">
        <f t="shared" si="352"/>
        <v>0</v>
      </c>
      <c r="V5636">
        <f t="shared" si="353"/>
        <v>0</v>
      </c>
      <c r="W5636" s="22">
        <f t="shared" si="354"/>
        <v>0</v>
      </c>
    </row>
    <row r="5637" spans="1:23" hidden="1" x14ac:dyDescent="0.25">
      <c r="A5637" s="41">
        <v>46099</v>
      </c>
      <c r="B5637" s="42" t="s">
        <v>334</v>
      </c>
      <c r="C5637" s="42" t="s">
        <v>167</v>
      </c>
      <c r="D5637" s="42"/>
      <c r="E5637" s="42"/>
      <c r="F5637" s="42" t="s">
        <v>2707</v>
      </c>
      <c r="G5637" s="42" t="s">
        <v>2708</v>
      </c>
      <c r="H5637" s="42" t="s">
        <v>289</v>
      </c>
      <c r="I5637" s="42">
        <v>1</v>
      </c>
      <c r="J5637" s="43">
        <v>200</v>
      </c>
      <c r="K5637" s="43">
        <v>0</v>
      </c>
      <c r="L5637" s="44">
        <v>0</v>
      </c>
      <c r="M5637" s="42"/>
      <c r="N5637" s="42"/>
      <c r="O5637" s="44"/>
      <c r="P5637" s="44"/>
      <c r="Q5637" s="43">
        <v>200</v>
      </c>
      <c r="R5637" s="43">
        <v>0</v>
      </c>
      <c r="S5637" s="5">
        <f t="shared" si="355"/>
        <v>57171.69216701611</v>
      </c>
      <c r="T5637" cm="1">
        <f t="array" ref="T5637">IF(OR(B5637="MAL ALIMI", B5637="ÜRETİM GİRİŞ"), MIN(I5637, MAX(0, I5637 + SUM(SUMIFS($I$1:I5636, $C$1:C5636, C5637, $B$1:B5636, {"MAL ALIMI","ÜRETİM GİRİŞ"})) - VLOOKUP(C5637, 'STOK RAPORU'!$C$2:$I$1000, 4, 0))), 0)</f>
        <v>0</v>
      </c>
      <c r="U5637" s="22">
        <f t="shared" si="352"/>
        <v>0</v>
      </c>
      <c r="V5637">
        <f t="shared" si="353"/>
        <v>0</v>
      </c>
      <c r="W5637" s="22">
        <f t="shared" si="354"/>
        <v>0</v>
      </c>
    </row>
    <row r="5638" spans="1:23" hidden="1" x14ac:dyDescent="0.25">
      <c r="A5638" s="41">
        <v>46099</v>
      </c>
      <c r="B5638" s="42" t="s">
        <v>334</v>
      </c>
      <c r="C5638" s="42" t="s">
        <v>160</v>
      </c>
      <c r="D5638" s="42"/>
      <c r="E5638" s="42"/>
      <c r="F5638" s="42" t="s">
        <v>2707</v>
      </c>
      <c r="G5638" s="42" t="s">
        <v>2708</v>
      </c>
      <c r="H5638" s="42" t="s">
        <v>289</v>
      </c>
      <c r="I5638" s="42">
        <v>1</v>
      </c>
      <c r="J5638" s="43">
        <v>230</v>
      </c>
      <c r="K5638" s="43">
        <v>0</v>
      </c>
      <c r="L5638" s="44">
        <v>0</v>
      </c>
      <c r="M5638" s="42"/>
      <c r="N5638" s="42"/>
      <c r="O5638" s="44"/>
      <c r="P5638" s="44"/>
      <c r="Q5638" s="43">
        <v>230</v>
      </c>
      <c r="R5638" s="43">
        <v>0</v>
      </c>
      <c r="S5638" s="5">
        <f t="shared" si="355"/>
        <v>57401.69216701611</v>
      </c>
      <c r="T5638" cm="1">
        <f t="array" ref="T5638">IF(OR(B5638="MAL ALIMI", B5638="ÜRETİM GİRİŞ"), MIN(I5638, MAX(0, I5638 + SUM(SUMIFS($I$1:I5637, $C$1:C5637, C5638, $B$1:B5637, {"MAL ALIMI","ÜRETİM GİRİŞ"})) - VLOOKUP(C5638, 'STOK RAPORU'!$C$2:$I$1000, 4, 0))), 0)</f>
        <v>0</v>
      </c>
      <c r="U5638" s="22">
        <f t="shared" si="352"/>
        <v>0</v>
      </c>
      <c r="V5638">
        <f t="shared" si="353"/>
        <v>0</v>
      </c>
      <c r="W5638" s="22">
        <f t="shared" si="354"/>
        <v>0</v>
      </c>
    </row>
    <row r="5639" spans="1:23" hidden="1" x14ac:dyDescent="0.25">
      <c r="A5639" s="41">
        <v>46099</v>
      </c>
      <c r="B5639" s="42" t="s">
        <v>334</v>
      </c>
      <c r="C5639" s="42" t="s">
        <v>161</v>
      </c>
      <c r="D5639" s="42"/>
      <c r="E5639" s="42"/>
      <c r="F5639" s="42" t="s">
        <v>2707</v>
      </c>
      <c r="G5639" s="42" t="s">
        <v>2708</v>
      </c>
      <c r="H5639" s="42" t="s">
        <v>289</v>
      </c>
      <c r="I5639" s="42">
        <v>1</v>
      </c>
      <c r="J5639" s="43">
        <v>230</v>
      </c>
      <c r="K5639" s="43">
        <v>0</v>
      </c>
      <c r="L5639" s="44">
        <v>0</v>
      </c>
      <c r="M5639" s="42"/>
      <c r="N5639" s="42"/>
      <c r="O5639" s="44"/>
      <c r="P5639" s="44"/>
      <c r="Q5639" s="43">
        <v>230</v>
      </c>
      <c r="R5639" s="43">
        <v>0</v>
      </c>
      <c r="S5639" s="5">
        <f t="shared" si="355"/>
        <v>57631.69216701611</v>
      </c>
      <c r="T5639" cm="1">
        <f t="array" ref="T5639">IF(OR(B5639="MAL ALIMI", B5639="ÜRETİM GİRİŞ"), MIN(I5639, MAX(0, I5639 + SUM(SUMIFS($I$1:I5638, $C$1:C5638, C5639, $B$1:B5638, {"MAL ALIMI","ÜRETİM GİRİŞ"})) - VLOOKUP(C5639, 'STOK RAPORU'!$C$2:$I$1000, 4, 0))), 0)</f>
        <v>0</v>
      </c>
      <c r="U5639" s="22">
        <f t="shared" si="352"/>
        <v>0</v>
      </c>
      <c r="V5639">
        <f t="shared" si="353"/>
        <v>0</v>
      </c>
      <c r="W5639" s="22">
        <f t="shared" si="354"/>
        <v>0</v>
      </c>
    </row>
    <row r="5640" spans="1:23" hidden="1" x14ac:dyDescent="0.25">
      <c r="A5640" s="41">
        <v>46099</v>
      </c>
      <c r="B5640" s="42" t="s">
        <v>334</v>
      </c>
      <c r="C5640" s="42" t="s">
        <v>1150</v>
      </c>
      <c r="D5640" s="42"/>
      <c r="E5640" s="42"/>
      <c r="F5640" s="42" t="s">
        <v>2707</v>
      </c>
      <c r="G5640" s="42" t="s">
        <v>2708</v>
      </c>
      <c r="H5640" s="42" t="s">
        <v>289</v>
      </c>
      <c r="I5640" s="42">
        <v>0.2</v>
      </c>
      <c r="J5640" s="43">
        <v>500</v>
      </c>
      <c r="K5640" s="43">
        <v>0</v>
      </c>
      <c r="L5640" s="44">
        <v>0</v>
      </c>
      <c r="M5640" s="42"/>
      <c r="N5640" s="42"/>
      <c r="O5640" s="44"/>
      <c r="P5640" s="44"/>
      <c r="Q5640" s="43">
        <v>100</v>
      </c>
      <c r="R5640" s="43">
        <v>0</v>
      </c>
      <c r="S5640" s="5">
        <f t="shared" si="355"/>
        <v>57731.69216701611</v>
      </c>
      <c r="T5640" cm="1">
        <f t="array" ref="T5640">IF(OR(B5640="MAL ALIMI", B5640="ÜRETİM GİRİŞ"), MIN(I5640, MAX(0, I5640 + SUM(SUMIFS($I$1:I5639, $C$1:C5639, C5640, $B$1:B5639, {"MAL ALIMI","ÜRETİM GİRİŞ"})) - VLOOKUP(C5640, 'STOK RAPORU'!$C$2:$I$1000, 4, 0))), 0)</f>
        <v>0</v>
      </c>
      <c r="U5640" s="22">
        <f t="shared" si="352"/>
        <v>0</v>
      </c>
      <c r="V5640">
        <f t="shared" si="353"/>
        <v>0</v>
      </c>
      <c r="W5640" s="22">
        <f t="shared" si="354"/>
        <v>0</v>
      </c>
    </row>
    <row r="5641" spans="1:23" hidden="1" x14ac:dyDescent="0.25">
      <c r="A5641" s="41">
        <v>46099</v>
      </c>
      <c r="B5641" s="42" t="s">
        <v>334</v>
      </c>
      <c r="C5641" s="42" t="s">
        <v>91</v>
      </c>
      <c r="D5641" s="42"/>
      <c r="E5641" s="42"/>
      <c r="F5641" s="42" t="s">
        <v>2707</v>
      </c>
      <c r="G5641" s="42" t="s">
        <v>2708</v>
      </c>
      <c r="H5641" s="42" t="s">
        <v>289</v>
      </c>
      <c r="I5641" s="42">
        <v>0.1</v>
      </c>
      <c r="J5641" s="43">
        <v>750</v>
      </c>
      <c r="K5641" s="43">
        <v>0</v>
      </c>
      <c r="L5641" s="44">
        <v>0</v>
      </c>
      <c r="M5641" s="42"/>
      <c r="N5641" s="42"/>
      <c r="O5641" s="44"/>
      <c r="P5641" s="44"/>
      <c r="Q5641" s="43">
        <v>75</v>
      </c>
      <c r="R5641" s="43">
        <v>0</v>
      </c>
      <c r="S5641" s="5">
        <f t="shared" si="355"/>
        <v>57806.69216701611</v>
      </c>
      <c r="T5641" cm="1">
        <f t="array" ref="T5641">IF(OR(B5641="MAL ALIMI", B5641="ÜRETİM GİRİŞ"), MIN(I5641, MAX(0, I5641 + SUM(SUMIFS($I$1:I5640, $C$1:C5640, C5641, $B$1:B5640, {"MAL ALIMI","ÜRETİM GİRİŞ"})) - VLOOKUP(C5641, 'STOK RAPORU'!$C$2:$I$1000, 4, 0))), 0)</f>
        <v>0</v>
      </c>
      <c r="U5641" s="22">
        <f t="shared" si="352"/>
        <v>0</v>
      </c>
      <c r="V5641">
        <f t="shared" si="353"/>
        <v>0</v>
      </c>
      <c r="W5641" s="22">
        <f t="shared" si="354"/>
        <v>0</v>
      </c>
    </row>
    <row r="5642" spans="1:23" hidden="1" x14ac:dyDescent="0.25">
      <c r="A5642" s="41">
        <v>46099</v>
      </c>
      <c r="B5642" s="42" t="s">
        <v>334</v>
      </c>
      <c r="C5642" s="42" t="s">
        <v>92</v>
      </c>
      <c r="D5642" s="42"/>
      <c r="E5642" s="42"/>
      <c r="F5642" s="42" t="s">
        <v>2707</v>
      </c>
      <c r="G5642" s="42" t="s">
        <v>2708</v>
      </c>
      <c r="H5642" s="42" t="s">
        <v>289</v>
      </c>
      <c r="I5642" s="42">
        <v>0.28499999999999998</v>
      </c>
      <c r="J5642" s="43">
        <v>500</v>
      </c>
      <c r="K5642" s="43">
        <v>0</v>
      </c>
      <c r="L5642" s="44">
        <v>0</v>
      </c>
      <c r="M5642" s="42"/>
      <c r="N5642" s="42"/>
      <c r="O5642" s="44"/>
      <c r="P5642" s="44"/>
      <c r="Q5642" s="43">
        <v>142.5</v>
      </c>
      <c r="R5642" s="43">
        <v>0</v>
      </c>
      <c r="S5642" s="5">
        <f t="shared" si="355"/>
        <v>57949.19216701611</v>
      </c>
      <c r="T5642" cm="1">
        <f t="array" ref="T5642">IF(OR(B5642="MAL ALIMI", B5642="ÜRETİM GİRİŞ"), MIN(I5642, MAX(0, I5642 + SUM(SUMIFS($I$1:I5641, $C$1:C5641, C5642, $B$1:B5641, {"MAL ALIMI","ÜRETİM GİRİŞ"})) - VLOOKUP(C5642, 'STOK RAPORU'!$C$2:$I$1000, 4, 0))), 0)</f>
        <v>0</v>
      </c>
      <c r="U5642" s="22">
        <f t="shared" si="352"/>
        <v>0</v>
      </c>
      <c r="V5642">
        <f t="shared" si="353"/>
        <v>0</v>
      </c>
      <c r="W5642" s="22">
        <f t="shared" si="354"/>
        <v>0</v>
      </c>
    </row>
    <row r="5643" spans="1:23" hidden="1" x14ac:dyDescent="0.25">
      <c r="A5643" s="41">
        <v>46099</v>
      </c>
      <c r="B5643" s="42" t="s">
        <v>334</v>
      </c>
      <c r="C5643" s="42" t="s">
        <v>523</v>
      </c>
      <c r="D5643" s="42"/>
      <c r="E5643" s="42"/>
      <c r="F5643" s="42" t="s">
        <v>2707</v>
      </c>
      <c r="G5643" s="42" t="s">
        <v>2708</v>
      </c>
      <c r="H5643" s="42" t="s">
        <v>289</v>
      </c>
      <c r="I5643" s="42">
        <v>0.08</v>
      </c>
      <c r="J5643" s="43">
        <v>750</v>
      </c>
      <c r="K5643" s="43">
        <v>0</v>
      </c>
      <c r="L5643" s="44">
        <v>0</v>
      </c>
      <c r="M5643" s="42"/>
      <c r="N5643" s="42"/>
      <c r="O5643" s="44"/>
      <c r="P5643" s="44"/>
      <c r="Q5643" s="43">
        <v>60</v>
      </c>
      <c r="R5643" s="43">
        <v>0</v>
      </c>
      <c r="S5643" s="5">
        <f t="shared" si="355"/>
        <v>58009.19216701611</v>
      </c>
      <c r="T5643" cm="1">
        <f t="array" ref="T5643">IF(OR(B5643="MAL ALIMI", B5643="ÜRETİM GİRİŞ"), MIN(I5643, MAX(0, I5643 + SUM(SUMIFS($I$1:I5642, $C$1:C5642, C5643, $B$1:B5642, {"MAL ALIMI","ÜRETİM GİRİŞ"})) - VLOOKUP(C5643, 'STOK RAPORU'!$C$2:$I$1000, 4, 0))), 0)</f>
        <v>0</v>
      </c>
      <c r="U5643" s="22">
        <f t="shared" si="352"/>
        <v>0</v>
      </c>
      <c r="V5643">
        <f t="shared" si="353"/>
        <v>0</v>
      </c>
      <c r="W5643" s="22">
        <f t="shared" si="354"/>
        <v>0</v>
      </c>
    </row>
    <row r="5644" spans="1:23" hidden="1" x14ac:dyDescent="0.25">
      <c r="A5644" s="41">
        <v>46099</v>
      </c>
      <c r="B5644" s="42" t="s">
        <v>334</v>
      </c>
      <c r="C5644" s="42" t="s">
        <v>463</v>
      </c>
      <c r="D5644" s="42"/>
      <c r="E5644" s="42"/>
      <c r="F5644" s="42" t="s">
        <v>2707</v>
      </c>
      <c r="G5644" s="42" t="s">
        <v>2708</v>
      </c>
      <c r="H5644" s="42" t="s">
        <v>289</v>
      </c>
      <c r="I5644" s="42">
        <v>0.3</v>
      </c>
      <c r="J5644" s="43">
        <v>400</v>
      </c>
      <c r="K5644" s="43">
        <v>0</v>
      </c>
      <c r="L5644" s="44">
        <v>0</v>
      </c>
      <c r="M5644" s="42"/>
      <c r="N5644" s="42"/>
      <c r="O5644" s="44"/>
      <c r="P5644" s="44"/>
      <c r="Q5644" s="43">
        <v>120</v>
      </c>
      <c r="R5644" s="43">
        <v>0</v>
      </c>
      <c r="S5644" s="5">
        <f t="shared" si="355"/>
        <v>58129.19216701611</v>
      </c>
      <c r="T5644" cm="1">
        <f t="array" ref="T5644">IF(OR(B5644="MAL ALIMI", B5644="ÜRETİM GİRİŞ"), MIN(I5644, MAX(0, I5644 + SUM(SUMIFS($I$1:I5643, $C$1:C5643, C5644, $B$1:B5643, {"MAL ALIMI","ÜRETİM GİRİŞ"})) - VLOOKUP(C5644, 'STOK RAPORU'!$C$2:$I$1000, 4, 0))), 0)</f>
        <v>0</v>
      </c>
      <c r="U5644" s="22">
        <f t="shared" si="352"/>
        <v>0</v>
      </c>
      <c r="V5644">
        <f t="shared" si="353"/>
        <v>0</v>
      </c>
      <c r="W5644" s="22">
        <f t="shared" si="354"/>
        <v>0</v>
      </c>
    </row>
    <row r="5645" spans="1:23" hidden="1" x14ac:dyDescent="0.25">
      <c r="A5645" s="41">
        <v>46099</v>
      </c>
      <c r="B5645" s="42" t="s">
        <v>334</v>
      </c>
      <c r="C5645" s="42" t="s">
        <v>158</v>
      </c>
      <c r="D5645" s="42"/>
      <c r="E5645" s="42"/>
      <c r="F5645" s="42" t="s">
        <v>2707</v>
      </c>
      <c r="G5645" s="42" t="s">
        <v>2708</v>
      </c>
      <c r="H5645" s="42" t="s">
        <v>289</v>
      </c>
      <c r="I5645" s="42">
        <v>1</v>
      </c>
      <c r="J5645" s="43">
        <v>150</v>
      </c>
      <c r="K5645" s="43">
        <v>0</v>
      </c>
      <c r="L5645" s="44">
        <v>0</v>
      </c>
      <c r="M5645" s="42"/>
      <c r="N5645" s="42"/>
      <c r="O5645" s="44"/>
      <c r="P5645" s="44"/>
      <c r="Q5645" s="43">
        <v>150</v>
      </c>
      <c r="R5645" s="43">
        <v>0</v>
      </c>
      <c r="S5645" s="5">
        <f t="shared" si="355"/>
        <v>58279.19216701611</v>
      </c>
      <c r="T5645" cm="1">
        <f t="array" ref="T5645">IF(OR(B5645="MAL ALIMI", B5645="ÜRETİM GİRİŞ"), MIN(I5645, MAX(0, I5645 + SUM(SUMIFS($I$1:I5644, $C$1:C5644, C5645, $B$1:B5644, {"MAL ALIMI","ÜRETİM GİRİŞ"})) - VLOOKUP(C5645, 'STOK RAPORU'!$C$2:$I$1000, 4, 0))), 0)</f>
        <v>0</v>
      </c>
      <c r="U5645" s="22">
        <f t="shared" si="352"/>
        <v>0</v>
      </c>
      <c r="V5645">
        <f t="shared" si="353"/>
        <v>0</v>
      </c>
      <c r="W5645" s="22">
        <f t="shared" si="354"/>
        <v>0</v>
      </c>
    </row>
    <row r="5646" spans="1:23" hidden="1" x14ac:dyDescent="0.25">
      <c r="A5646" s="41">
        <v>46099</v>
      </c>
      <c r="B5646" s="42" t="s">
        <v>334</v>
      </c>
      <c r="C5646" s="42" t="s">
        <v>157</v>
      </c>
      <c r="D5646" s="42"/>
      <c r="E5646" s="42"/>
      <c r="F5646" s="42" t="s">
        <v>2707</v>
      </c>
      <c r="G5646" s="42" t="s">
        <v>2708</v>
      </c>
      <c r="H5646" s="42" t="s">
        <v>289</v>
      </c>
      <c r="I5646" s="42">
        <v>1</v>
      </c>
      <c r="J5646" s="43">
        <v>200</v>
      </c>
      <c r="K5646" s="43">
        <v>0</v>
      </c>
      <c r="L5646" s="44">
        <v>0</v>
      </c>
      <c r="M5646" s="42"/>
      <c r="N5646" s="42"/>
      <c r="O5646" s="44"/>
      <c r="P5646" s="44"/>
      <c r="Q5646" s="43">
        <v>200</v>
      </c>
      <c r="R5646" s="43">
        <v>0</v>
      </c>
      <c r="S5646" s="5">
        <f t="shared" si="355"/>
        <v>58479.19216701611</v>
      </c>
      <c r="T5646" cm="1">
        <f t="array" ref="T5646">IF(OR(B5646="MAL ALIMI", B5646="ÜRETİM GİRİŞ"), MIN(I5646, MAX(0, I5646 + SUM(SUMIFS($I$1:I5645, $C$1:C5645, C5646, $B$1:B5645, {"MAL ALIMI","ÜRETİM GİRİŞ"})) - VLOOKUP(C5646, 'STOK RAPORU'!$C$2:$I$1000, 4, 0))), 0)</f>
        <v>0</v>
      </c>
      <c r="U5646" s="22">
        <f t="shared" si="352"/>
        <v>0</v>
      </c>
      <c r="V5646">
        <f t="shared" si="353"/>
        <v>0</v>
      </c>
      <c r="W5646" s="22">
        <f t="shared" si="354"/>
        <v>0</v>
      </c>
    </row>
    <row r="5647" spans="1:23" hidden="1" x14ac:dyDescent="0.25">
      <c r="A5647" s="41">
        <v>46099</v>
      </c>
      <c r="B5647" s="42" t="s">
        <v>334</v>
      </c>
      <c r="C5647" s="42" t="s">
        <v>690</v>
      </c>
      <c r="D5647" s="42"/>
      <c r="E5647" s="42"/>
      <c r="F5647" s="42" t="s">
        <v>2707</v>
      </c>
      <c r="G5647" s="42" t="s">
        <v>2708</v>
      </c>
      <c r="H5647" s="42" t="s">
        <v>289</v>
      </c>
      <c r="I5647" s="42">
        <v>0.75294117647058822</v>
      </c>
      <c r="J5647" s="43">
        <v>340</v>
      </c>
      <c r="K5647" s="43">
        <v>0</v>
      </c>
      <c r="L5647" s="44">
        <v>0</v>
      </c>
      <c r="M5647" s="42"/>
      <c r="N5647" s="42"/>
      <c r="O5647" s="44"/>
      <c r="P5647" s="44"/>
      <c r="Q5647" s="43">
        <v>256</v>
      </c>
      <c r="R5647" s="43">
        <v>0</v>
      </c>
      <c r="S5647" s="5">
        <f t="shared" si="355"/>
        <v>58735.19216701611</v>
      </c>
      <c r="T5647" cm="1">
        <f t="array" ref="T5647">IF(OR(B5647="MAL ALIMI", B5647="ÜRETİM GİRİŞ"), MIN(I5647, MAX(0, I5647 + SUM(SUMIFS($I$1:I5646, $C$1:C5646, C5647, $B$1:B5646, {"MAL ALIMI","ÜRETİM GİRİŞ"})) - VLOOKUP(C5647, 'STOK RAPORU'!$C$2:$I$1000, 4, 0))), 0)</f>
        <v>0</v>
      </c>
      <c r="U5647" s="22">
        <f t="shared" si="352"/>
        <v>0</v>
      </c>
      <c r="V5647">
        <f t="shared" si="353"/>
        <v>0</v>
      </c>
      <c r="W5647" s="22">
        <f t="shared" si="354"/>
        <v>0</v>
      </c>
    </row>
    <row r="5648" spans="1:23" hidden="1" x14ac:dyDescent="0.25">
      <c r="A5648" s="3">
        <v>46099</v>
      </c>
      <c r="B5648" s="4" t="s">
        <v>334</v>
      </c>
      <c r="C5648" s="4" t="s">
        <v>1648</v>
      </c>
      <c r="D5648" s="4"/>
      <c r="E5648" s="4"/>
      <c r="F5648" s="46" t="s">
        <v>2709</v>
      </c>
      <c r="G5648" s="4" t="s">
        <v>336</v>
      </c>
      <c r="H5648" s="4" t="s">
        <v>289</v>
      </c>
      <c r="I5648" s="4">
        <v>0.1</v>
      </c>
      <c r="J5648" s="21">
        <v>1200</v>
      </c>
      <c r="K5648" s="21">
        <v>0</v>
      </c>
      <c r="L5648" s="5">
        <v>0</v>
      </c>
      <c r="M5648" s="4"/>
      <c r="N5648" s="4"/>
      <c r="O5648" s="5"/>
      <c r="P5648" s="5"/>
      <c r="Q5648" s="21">
        <v>120</v>
      </c>
      <c r="R5648" s="21">
        <v>0</v>
      </c>
      <c r="S5648" s="5">
        <f t="shared" si="355"/>
        <v>58855.19216701611</v>
      </c>
      <c r="T5648" cm="1">
        <f t="array" ref="T5648">IF(OR(B5648="MAL ALIMI", B5648="ÜRETİM GİRİŞ"), MIN(I5648, MAX(0, I5648 + SUM(SUMIFS($I$1:I5647, $C$1:C5647, C5648, $B$1:B5647, {"MAL ALIMI","ÜRETİM GİRİŞ"})) - VLOOKUP(C5648, 'STOK RAPORU'!$C$2:$I$1000, 4, 0))), 0)</f>
        <v>0</v>
      </c>
      <c r="U5648" s="22">
        <f t="shared" si="352"/>
        <v>0</v>
      </c>
      <c r="V5648">
        <f t="shared" si="353"/>
        <v>0</v>
      </c>
      <c r="W5648" s="22">
        <f t="shared" si="354"/>
        <v>0</v>
      </c>
    </row>
    <row r="5649" spans="1:23" hidden="1" x14ac:dyDescent="0.25">
      <c r="A5649" s="3">
        <v>46099</v>
      </c>
      <c r="B5649" s="4" t="s">
        <v>334</v>
      </c>
      <c r="C5649" s="4" t="s">
        <v>695</v>
      </c>
      <c r="D5649" s="4"/>
      <c r="E5649" s="4"/>
      <c r="F5649" s="46" t="s">
        <v>2710</v>
      </c>
      <c r="G5649" s="4" t="s">
        <v>336</v>
      </c>
      <c r="H5649" s="4" t="s">
        <v>289</v>
      </c>
      <c r="I5649" s="4">
        <v>1</v>
      </c>
      <c r="J5649" s="21">
        <v>120</v>
      </c>
      <c r="K5649" s="21">
        <v>0</v>
      </c>
      <c r="L5649" s="5">
        <v>0</v>
      </c>
      <c r="M5649" s="4"/>
      <c r="N5649" s="4"/>
      <c r="O5649" s="5"/>
      <c r="P5649" s="5"/>
      <c r="Q5649" s="21">
        <v>120</v>
      </c>
      <c r="R5649" s="21">
        <v>0</v>
      </c>
      <c r="S5649" s="5">
        <f t="shared" si="355"/>
        <v>58975.19216701611</v>
      </c>
      <c r="T5649" cm="1">
        <f t="array" ref="T5649">IF(OR(B5649="MAL ALIMI", B5649="ÜRETİM GİRİŞ"), MIN(I5649, MAX(0, I5649 + SUM(SUMIFS($I$1:I5648, $C$1:C5648, C5649, $B$1:B5648, {"MAL ALIMI","ÜRETİM GİRİŞ"})) - VLOOKUP(C5649, 'STOK RAPORU'!$C$2:$I$1000, 4, 0))), 0)</f>
        <v>0</v>
      </c>
      <c r="U5649" s="22">
        <f t="shared" si="352"/>
        <v>0</v>
      </c>
      <c r="V5649">
        <f t="shared" si="353"/>
        <v>0</v>
      </c>
      <c r="W5649" s="22">
        <f t="shared" si="354"/>
        <v>0</v>
      </c>
    </row>
    <row r="5650" spans="1:23" hidden="1" x14ac:dyDescent="0.25">
      <c r="A5650" s="3">
        <v>46099</v>
      </c>
      <c r="B5650" s="4" t="s">
        <v>334</v>
      </c>
      <c r="C5650" s="4" t="s">
        <v>2562</v>
      </c>
      <c r="D5650" s="4"/>
      <c r="E5650" s="4"/>
      <c r="F5650" s="46" t="s">
        <v>2711</v>
      </c>
      <c r="G5650" s="4" t="s">
        <v>336</v>
      </c>
      <c r="H5650" s="4" t="s">
        <v>289</v>
      </c>
      <c r="I5650" s="4">
        <v>1</v>
      </c>
      <c r="J5650" s="21">
        <v>90</v>
      </c>
      <c r="K5650" s="21">
        <v>0</v>
      </c>
      <c r="L5650" s="5">
        <v>0</v>
      </c>
      <c r="M5650" s="4"/>
      <c r="N5650" s="4"/>
      <c r="O5650" s="5"/>
      <c r="P5650" s="5"/>
      <c r="Q5650" s="21">
        <v>90</v>
      </c>
      <c r="R5650" s="21">
        <v>0</v>
      </c>
      <c r="S5650" s="5">
        <f t="shared" si="355"/>
        <v>59065.19216701611</v>
      </c>
      <c r="T5650" cm="1">
        <f t="array" ref="T5650">IF(OR(B5650="MAL ALIMI", B5650="ÜRETİM GİRİŞ"), MIN(I5650, MAX(0, I5650 + SUM(SUMIFS($I$1:I5649, $C$1:C5649, C5650, $B$1:B5649, {"MAL ALIMI","ÜRETİM GİRİŞ"})) - VLOOKUP(C5650, 'STOK RAPORU'!$C$2:$I$1000, 4, 0))), 0)</f>
        <v>0</v>
      </c>
      <c r="U5650" s="22">
        <f t="shared" si="352"/>
        <v>0</v>
      </c>
      <c r="V5650">
        <f t="shared" si="353"/>
        <v>0</v>
      </c>
      <c r="W5650" s="22">
        <f t="shared" si="354"/>
        <v>0</v>
      </c>
    </row>
    <row r="5651" spans="1:23" hidden="1" x14ac:dyDescent="0.25">
      <c r="A5651" s="3">
        <v>46099</v>
      </c>
      <c r="B5651" s="4" t="s">
        <v>334</v>
      </c>
      <c r="C5651" s="4" t="s">
        <v>1501</v>
      </c>
      <c r="D5651" s="4"/>
      <c r="E5651" s="4"/>
      <c r="F5651" s="46" t="s">
        <v>2712</v>
      </c>
      <c r="G5651" s="4" t="s">
        <v>336</v>
      </c>
      <c r="H5651" s="4" t="s">
        <v>289</v>
      </c>
      <c r="I5651" s="4">
        <v>0.25</v>
      </c>
      <c r="J5651" s="21">
        <v>600</v>
      </c>
      <c r="K5651" s="21">
        <v>0</v>
      </c>
      <c r="L5651" s="5">
        <v>0</v>
      </c>
      <c r="M5651" s="4"/>
      <c r="N5651" s="4"/>
      <c r="O5651" s="5"/>
      <c r="P5651" s="5"/>
      <c r="Q5651" s="21">
        <v>150</v>
      </c>
      <c r="R5651" s="21">
        <v>0</v>
      </c>
      <c r="S5651" s="5">
        <f t="shared" si="355"/>
        <v>59215.19216701611</v>
      </c>
      <c r="T5651" cm="1">
        <f t="array" ref="T5651">IF(OR(B5651="MAL ALIMI", B5651="ÜRETİM GİRİŞ"), MIN(I5651, MAX(0, I5651 + SUM(SUMIFS($I$1:I5650, $C$1:C5650, C5651, $B$1:B5650, {"MAL ALIMI","ÜRETİM GİRİŞ"})) - VLOOKUP(C5651, 'STOK RAPORU'!$C$2:$I$1000, 4, 0))), 0)</f>
        <v>0</v>
      </c>
      <c r="U5651" s="22">
        <f t="shared" si="352"/>
        <v>0</v>
      </c>
      <c r="V5651">
        <f t="shared" si="353"/>
        <v>0</v>
      </c>
      <c r="W5651" s="22">
        <f t="shared" si="354"/>
        <v>0</v>
      </c>
    </row>
    <row r="5652" spans="1:23" hidden="1" x14ac:dyDescent="0.25">
      <c r="A5652" s="3">
        <v>46099</v>
      </c>
      <c r="B5652" s="4" t="s">
        <v>334</v>
      </c>
      <c r="C5652" s="4" t="s">
        <v>530</v>
      </c>
      <c r="D5652" s="4"/>
      <c r="E5652" s="4"/>
      <c r="F5652" s="46" t="s">
        <v>2712</v>
      </c>
      <c r="G5652" s="4" t="s">
        <v>336</v>
      </c>
      <c r="H5652" s="4" t="s">
        <v>289</v>
      </c>
      <c r="I5652" s="4">
        <v>0.5</v>
      </c>
      <c r="J5652" s="21">
        <v>300</v>
      </c>
      <c r="K5652" s="21">
        <v>0</v>
      </c>
      <c r="L5652" s="5">
        <v>0</v>
      </c>
      <c r="M5652" s="4"/>
      <c r="N5652" s="4"/>
      <c r="O5652" s="5"/>
      <c r="P5652" s="5"/>
      <c r="Q5652" s="21">
        <v>150</v>
      </c>
      <c r="R5652" s="21">
        <v>0</v>
      </c>
      <c r="S5652" s="5">
        <f t="shared" si="355"/>
        <v>59365.19216701611</v>
      </c>
      <c r="T5652" cm="1">
        <f t="array" ref="T5652">IF(OR(B5652="MAL ALIMI", B5652="ÜRETİM GİRİŞ"), MIN(I5652, MAX(0, I5652 + SUM(SUMIFS($I$1:I5651, $C$1:C5651, C5652, $B$1:B5651, {"MAL ALIMI","ÜRETİM GİRİŞ"})) - VLOOKUP(C5652, 'STOK RAPORU'!$C$2:$I$1000, 4, 0))), 0)</f>
        <v>0</v>
      </c>
      <c r="U5652" s="22">
        <f t="shared" si="352"/>
        <v>0</v>
      </c>
      <c r="V5652">
        <f t="shared" si="353"/>
        <v>0</v>
      </c>
      <c r="W5652" s="22">
        <f t="shared" si="354"/>
        <v>0</v>
      </c>
    </row>
    <row r="5653" spans="1:23" hidden="1" x14ac:dyDescent="0.25">
      <c r="A5653" s="3">
        <v>46099</v>
      </c>
      <c r="B5653" s="4" t="s">
        <v>334</v>
      </c>
      <c r="C5653" s="4" t="s">
        <v>751</v>
      </c>
      <c r="D5653" s="4"/>
      <c r="E5653" s="4"/>
      <c r="F5653" s="46" t="s">
        <v>2713</v>
      </c>
      <c r="G5653" s="4" t="s">
        <v>336</v>
      </c>
      <c r="H5653" s="4" t="s">
        <v>289</v>
      </c>
      <c r="I5653" s="4">
        <v>1</v>
      </c>
      <c r="J5653" s="21">
        <v>250</v>
      </c>
      <c r="K5653" s="21">
        <v>0</v>
      </c>
      <c r="L5653" s="5">
        <v>0</v>
      </c>
      <c r="M5653" s="4"/>
      <c r="N5653" s="4"/>
      <c r="O5653" s="5"/>
      <c r="P5653" s="5"/>
      <c r="Q5653" s="21">
        <v>250</v>
      </c>
      <c r="R5653" s="21">
        <v>0</v>
      </c>
      <c r="S5653" s="5">
        <f t="shared" si="355"/>
        <v>59615.19216701611</v>
      </c>
      <c r="T5653" cm="1">
        <f t="array" ref="T5653">IF(OR(B5653="MAL ALIMI", B5653="ÜRETİM GİRİŞ"), MIN(I5653, MAX(0, I5653 + SUM(SUMIFS($I$1:I5652, $C$1:C5652, C5653, $B$1:B5652, {"MAL ALIMI","ÜRETİM GİRİŞ"})) - VLOOKUP(C5653, 'STOK RAPORU'!$C$2:$I$1000, 4, 0))), 0)</f>
        <v>0</v>
      </c>
      <c r="U5653" s="22">
        <f t="shared" si="352"/>
        <v>0</v>
      </c>
      <c r="V5653">
        <f t="shared" si="353"/>
        <v>0</v>
      </c>
      <c r="W5653" s="22">
        <f t="shared" si="354"/>
        <v>0</v>
      </c>
    </row>
    <row r="5654" spans="1:23" hidden="1" x14ac:dyDescent="0.25">
      <c r="A5654" s="3">
        <v>46099</v>
      </c>
      <c r="B5654" s="4" t="s">
        <v>334</v>
      </c>
      <c r="C5654" s="4" t="s">
        <v>156</v>
      </c>
      <c r="D5654" s="4"/>
      <c r="E5654" s="4"/>
      <c r="F5654" s="46" t="s">
        <v>2714</v>
      </c>
      <c r="G5654" s="4" t="s">
        <v>336</v>
      </c>
      <c r="H5654" s="4" t="s">
        <v>289</v>
      </c>
      <c r="I5654" s="4">
        <v>1</v>
      </c>
      <c r="J5654" s="21">
        <v>200</v>
      </c>
      <c r="K5654" s="21">
        <v>0</v>
      </c>
      <c r="L5654" s="5">
        <v>0</v>
      </c>
      <c r="M5654" s="4"/>
      <c r="N5654" s="4"/>
      <c r="O5654" s="5"/>
      <c r="P5654" s="5"/>
      <c r="Q5654" s="21">
        <v>200</v>
      </c>
      <c r="R5654" s="21">
        <v>0</v>
      </c>
      <c r="S5654" s="5">
        <f t="shared" si="355"/>
        <v>59815.19216701611</v>
      </c>
      <c r="T5654" cm="1">
        <f t="array" ref="T5654">IF(OR(B5654="MAL ALIMI", B5654="ÜRETİM GİRİŞ"), MIN(I5654, MAX(0, I5654 + SUM(SUMIFS($I$1:I5653, $C$1:C5653, C5654, $B$1:B5653, {"MAL ALIMI","ÜRETİM GİRİŞ"})) - VLOOKUP(C5654, 'STOK RAPORU'!$C$2:$I$1000, 4, 0))), 0)</f>
        <v>0</v>
      </c>
      <c r="U5654" s="22">
        <f t="shared" si="352"/>
        <v>0</v>
      </c>
      <c r="V5654">
        <f t="shared" si="353"/>
        <v>0</v>
      </c>
      <c r="W5654" s="22">
        <f t="shared" si="354"/>
        <v>0</v>
      </c>
    </row>
    <row r="5655" spans="1:23" hidden="1" x14ac:dyDescent="0.25">
      <c r="A5655" s="3">
        <v>46099</v>
      </c>
      <c r="B5655" s="4" t="s">
        <v>334</v>
      </c>
      <c r="C5655" s="4" t="s">
        <v>1269</v>
      </c>
      <c r="D5655" s="4"/>
      <c r="E5655" s="4"/>
      <c r="F5655" s="46" t="s">
        <v>2714</v>
      </c>
      <c r="G5655" s="4" t="s">
        <v>336</v>
      </c>
      <c r="H5655" s="4" t="s">
        <v>289</v>
      </c>
      <c r="I5655" s="4">
        <v>1</v>
      </c>
      <c r="J5655" s="21">
        <v>125</v>
      </c>
      <c r="K5655" s="21">
        <v>0</v>
      </c>
      <c r="L5655" s="5">
        <v>0</v>
      </c>
      <c r="M5655" s="4"/>
      <c r="N5655" s="4"/>
      <c r="O5655" s="5"/>
      <c r="P5655" s="5"/>
      <c r="Q5655" s="21">
        <v>125</v>
      </c>
      <c r="R5655" s="21">
        <v>0</v>
      </c>
      <c r="S5655" s="5">
        <f t="shared" si="355"/>
        <v>59940.19216701611</v>
      </c>
      <c r="T5655" cm="1">
        <f t="array" ref="T5655">IF(OR(B5655="MAL ALIMI", B5655="ÜRETİM GİRİŞ"), MIN(I5655, MAX(0, I5655 + SUM(SUMIFS($I$1:I5654, $C$1:C5654, C5655, $B$1:B5654, {"MAL ALIMI","ÜRETİM GİRİŞ"})) - VLOOKUP(C5655, 'STOK RAPORU'!$C$2:$I$1000, 4, 0))), 0)</f>
        <v>0</v>
      </c>
      <c r="U5655" s="22">
        <f t="shared" si="352"/>
        <v>0</v>
      </c>
      <c r="V5655">
        <f t="shared" si="353"/>
        <v>0</v>
      </c>
      <c r="W5655" s="22">
        <f t="shared" si="354"/>
        <v>0</v>
      </c>
    </row>
    <row r="5656" spans="1:23" hidden="1" x14ac:dyDescent="0.25">
      <c r="A5656" s="3">
        <v>46099</v>
      </c>
      <c r="B5656" s="4" t="s">
        <v>334</v>
      </c>
      <c r="C5656" s="4" t="s">
        <v>160</v>
      </c>
      <c r="D5656" s="4"/>
      <c r="E5656" s="4" t="s">
        <v>921</v>
      </c>
      <c r="F5656" s="46" t="s">
        <v>2715</v>
      </c>
      <c r="G5656" s="4" t="s">
        <v>336</v>
      </c>
      <c r="H5656" s="4" t="s">
        <v>380</v>
      </c>
      <c r="I5656" s="4">
        <v>1</v>
      </c>
      <c r="J5656" s="21">
        <v>250</v>
      </c>
      <c r="K5656" s="21">
        <v>250</v>
      </c>
      <c r="L5656" s="5">
        <v>0</v>
      </c>
      <c r="M5656" s="4"/>
      <c r="N5656" s="4"/>
      <c r="O5656" s="5"/>
      <c r="P5656" s="5"/>
      <c r="Q5656" s="21">
        <v>0</v>
      </c>
      <c r="R5656" s="21">
        <v>0</v>
      </c>
      <c r="S5656" s="5">
        <f t="shared" si="355"/>
        <v>59940.19216701611</v>
      </c>
      <c r="T5656" cm="1">
        <f t="array" ref="T5656">IF(OR(B5656="MAL ALIMI", B5656="ÜRETİM GİRİŞ"), MIN(I5656, MAX(0, I5656 + SUM(SUMIFS($I$1:I5655, $C$1:C5655, C5656, $B$1:B5655, {"MAL ALIMI","ÜRETİM GİRİŞ"})) - VLOOKUP(C5656, 'STOK RAPORU'!$C$2:$I$1000, 4, 0))), 0)</f>
        <v>0</v>
      </c>
      <c r="U5656" s="22">
        <f t="shared" si="352"/>
        <v>0</v>
      </c>
      <c r="V5656">
        <f t="shared" si="353"/>
        <v>0</v>
      </c>
      <c r="W5656" s="22">
        <f t="shared" si="354"/>
        <v>0</v>
      </c>
    </row>
    <row r="5657" spans="1:23" hidden="1" x14ac:dyDescent="0.25">
      <c r="A5657" s="3">
        <v>46099</v>
      </c>
      <c r="B5657" s="4" t="s">
        <v>334</v>
      </c>
      <c r="C5657" s="4" t="s">
        <v>1142</v>
      </c>
      <c r="D5657" s="4"/>
      <c r="E5657" s="4"/>
      <c r="F5657" s="46" t="s">
        <v>2715</v>
      </c>
      <c r="G5657" s="4" t="s">
        <v>336</v>
      </c>
      <c r="H5657" s="4" t="s">
        <v>289</v>
      </c>
      <c r="I5657" s="4">
        <v>0.105</v>
      </c>
      <c r="J5657" s="21">
        <v>490</v>
      </c>
      <c r="K5657" s="21">
        <v>0</v>
      </c>
      <c r="L5657" s="5">
        <v>0</v>
      </c>
      <c r="M5657" s="4"/>
      <c r="N5657" s="4"/>
      <c r="O5657" s="5"/>
      <c r="P5657" s="5"/>
      <c r="Q5657" s="21">
        <v>51.449999999999996</v>
      </c>
      <c r="R5657" s="21">
        <v>0</v>
      </c>
      <c r="S5657" s="5">
        <f t="shared" si="355"/>
        <v>59991.642167016107</v>
      </c>
      <c r="T5657" cm="1">
        <f t="array" ref="T5657">IF(OR(B5657="MAL ALIMI", B5657="ÜRETİM GİRİŞ"), MIN(I5657, MAX(0, I5657 + SUM(SUMIFS($I$1:I5656, $C$1:C5656, C5657, $B$1:B5656, {"MAL ALIMI","ÜRETİM GİRİŞ"})) - VLOOKUP(C5657, 'STOK RAPORU'!$C$2:$I$1000, 4, 0))), 0)</f>
        <v>0</v>
      </c>
      <c r="U5657" s="22">
        <f t="shared" si="352"/>
        <v>0</v>
      </c>
      <c r="V5657">
        <f t="shared" si="353"/>
        <v>0</v>
      </c>
      <c r="W5657" s="22">
        <f t="shared" si="354"/>
        <v>0</v>
      </c>
    </row>
    <row r="5658" spans="1:23" hidden="1" x14ac:dyDescent="0.25">
      <c r="A5658" s="3">
        <v>46099</v>
      </c>
      <c r="B5658" s="4" t="s">
        <v>334</v>
      </c>
      <c r="C5658" s="4" t="s">
        <v>1024</v>
      </c>
      <c r="D5658" s="4"/>
      <c r="E5658" s="4"/>
      <c r="F5658" s="46" t="s">
        <v>2716</v>
      </c>
      <c r="G5658" s="4" t="s">
        <v>336</v>
      </c>
      <c r="H5658" s="4" t="s">
        <v>289</v>
      </c>
      <c r="I5658" s="4">
        <v>4</v>
      </c>
      <c r="J5658" s="21">
        <v>62.5</v>
      </c>
      <c r="K5658" s="21">
        <v>0</v>
      </c>
      <c r="L5658" s="5">
        <v>0</v>
      </c>
      <c r="M5658" s="4"/>
      <c r="N5658" s="4"/>
      <c r="O5658" s="5"/>
      <c r="P5658" s="5"/>
      <c r="Q5658" s="21">
        <v>250</v>
      </c>
      <c r="R5658" s="21">
        <v>0</v>
      </c>
      <c r="S5658" s="5">
        <f t="shared" si="355"/>
        <v>60241.642167016107</v>
      </c>
      <c r="T5658" cm="1">
        <f t="array" ref="T5658">IF(OR(B5658="MAL ALIMI", B5658="ÜRETİM GİRİŞ"), MIN(I5658, MAX(0, I5658 + SUM(SUMIFS($I$1:I5657, $C$1:C5657, C5658, $B$1:B5657, {"MAL ALIMI","ÜRETİM GİRİŞ"})) - VLOOKUP(C5658, 'STOK RAPORU'!$C$2:$I$1000, 4, 0))), 0)</f>
        <v>0</v>
      </c>
      <c r="U5658" s="22">
        <f t="shared" si="352"/>
        <v>0</v>
      </c>
      <c r="V5658">
        <f t="shared" si="353"/>
        <v>0</v>
      </c>
      <c r="W5658" s="22">
        <f t="shared" si="354"/>
        <v>0</v>
      </c>
    </row>
    <row r="5659" spans="1:23" hidden="1" x14ac:dyDescent="0.25">
      <c r="A5659" s="3">
        <v>46099</v>
      </c>
      <c r="B5659" s="4" t="s">
        <v>334</v>
      </c>
      <c r="C5659" s="4" t="s">
        <v>463</v>
      </c>
      <c r="D5659" s="4"/>
      <c r="E5659" s="4"/>
      <c r="F5659" s="46" t="s">
        <v>2716</v>
      </c>
      <c r="G5659" s="4" t="s">
        <v>336</v>
      </c>
      <c r="H5659" s="4" t="s">
        <v>289</v>
      </c>
      <c r="I5659" s="4">
        <v>0.25</v>
      </c>
      <c r="J5659" s="21">
        <v>400</v>
      </c>
      <c r="K5659" s="21">
        <v>0</v>
      </c>
      <c r="L5659" s="5">
        <v>0</v>
      </c>
      <c r="M5659" s="4"/>
      <c r="N5659" s="4"/>
      <c r="O5659" s="5"/>
      <c r="P5659" s="5"/>
      <c r="Q5659" s="21">
        <v>100</v>
      </c>
      <c r="R5659" s="21">
        <v>0</v>
      </c>
      <c r="S5659" s="5">
        <f t="shared" si="355"/>
        <v>60341.642167016107</v>
      </c>
      <c r="T5659" cm="1">
        <f t="array" ref="T5659">IF(OR(B5659="MAL ALIMI", B5659="ÜRETİM GİRİŞ"), MIN(I5659, MAX(0, I5659 + SUM(SUMIFS($I$1:I5658, $C$1:C5658, C5659, $B$1:B5658, {"MAL ALIMI","ÜRETİM GİRİŞ"})) - VLOOKUP(C5659, 'STOK RAPORU'!$C$2:$I$1000, 4, 0))), 0)</f>
        <v>0</v>
      </c>
      <c r="U5659" s="22">
        <f t="shared" si="352"/>
        <v>0</v>
      </c>
      <c r="V5659">
        <f t="shared" si="353"/>
        <v>0</v>
      </c>
      <c r="W5659" s="22">
        <f t="shared" si="354"/>
        <v>0</v>
      </c>
    </row>
    <row r="5660" spans="1:23" hidden="1" x14ac:dyDescent="0.25">
      <c r="A5660" s="3">
        <v>46099</v>
      </c>
      <c r="B5660" s="4" t="s">
        <v>334</v>
      </c>
      <c r="C5660" s="4" t="s">
        <v>160</v>
      </c>
      <c r="D5660" s="4"/>
      <c r="E5660" s="4"/>
      <c r="F5660" s="46" t="s">
        <v>2716</v>
      </c>
      <c r="G5660" s="4" t="s">
        <v>336</v>
      </c>
      <c r="H5660" s="4" t="s">
        <v>289</v>
      </c>
      <c r="I5660" s="4">
        <v>1</v>
      </c>
      <c r="J5660" s="21">
        <v>250</v>
      </c>
      <c r="K5660" s="21">
        <v>0</v>
      </c>
      <c r="L5660" s="5">
        <v>0</v>
      </c>
      <c r="M5660" s="4"/>
      <c r="N5660" s="4"/>
      <c r="O5660" s="5"/>
      <c r="P5660" s="5"/>
      <c r="Q5660" s="21">
        <v>250</v>
      </c>
      <c r="R5660" s="21">
        <v>0</v>
      </c>
      <c r="S5660" s="5">
        <f t="shared" si="355"/>
        <v>60591.642167016107</v>
      </c>
      <c r="T5660" cm="1">
        <f t="array" ref="T5660">IF(OR(B5660="MAL ALIMI", B5660="ÜRETİM GİRİŞ"), MIN(I5660, MAX(0, I5660 + SUM(SUMIFS($I$1:I5659, $C$1:C5659, C5660, $B$1:B5659, {"MAL ALIMI","ÜRETİM GİRİŞ"})) - VLOOKUP(C5660, 'STOK RAPORU'!$C$2:$I$1000, 4, 0))), 0)</f>
        <v>0</v>
      </c>
      <c r="U5660" s="22">
        <f t="shared" si="352"/>
        <v>0</v>
      </c>
      <c r="V5660">
        <f t="shared" si="353"/>
        <v>0</v>
      </c>
      <c r="W5660" s="22">
        <f t="shared" si="354"/>
        <v>0</v>
      </c>
    </row>
    <row r="5661" spans="1:23" hidden="1" x14ac:dyDescent="0.25">
      <c r="A5661" s="3">
        <v>46099</v>
      </c>
      <c r="B5661" s="4" t="s">
        <v>334</v>
      </c>
      <c r="C5661" s="4" t="s">
        <v>651</v>
      </c>
      <c r="D5661" s="4"/>
      <c r="E5661" s="4"/>
      <c r="F5661" s="46" t="s">
        <v>2716</v>
      </c>
      <c r="G5661" s="4" t="s">
        <v>336</v>
      </c>
      <c r="H5661" s="4" t="s">
        <v>289</v>
      </c>
      <c r="I5661" s="4">
        <v>1</v>
      </c>
      <c r="J5661" s="21">
        <v>400</v>
      </c>
      <c r="K5661" s="21">
        <v>0</v>
      </c>
      <c r="L5661" s="5">
        <v>0</v>
      </c>
      <c r="M5661" s="4"/>
      <c r="N5661" s="4"/>
      <c r="O5661" s="5"/>
      <c r="P5661" s="5"/>
      <c r="Q5661" s="21">
        <v>400</v>
      </c>
      <c r="R5661" s="21">
        <v>0</v>
      </c>
      <c r="S5661" s="5">
        <f t="shared" si="355"/>
        <v>60991.642167016107</v>
      </c>
      <c r="T5661" cm="1">
        <f t="array" ref="T5661">IF(OR(B5661="MAL ALIMI", B5661="ÜRETİM GİRİŞ"), MIN(I5661, MAX(0, I5661 + SUM(SUMIFS($I$1:I5660, $C$1:C5660, C5661, $B$1:B5660, {"MAL ALIMI","ÜRETİM GİRİŞ"})) - VLOOKUP(C5661, 'STOK RAPORU'!$C$2:$I$1000, 4, 0))), 0)</f>
        <v>0</v>
      </c>
      <c r="U5661" s="22">
        <f t="shared" si="352"/>
        <v>0</v>
      </c>
      <c r="V5661">
        <f t="shared" si="353"/>
        <v>0</v>
      </c>
      <c r="W5661" s="22">
        <f t="shared" si="354"/>
        <v>0</v>
      </c>
    </row>
    <row r="5662" spans="1:23" hidden="1" x14ac:dyDescent="0.25">
      <c r="A5662" s="3">
        <v>46099</v>
      </c>
      <c r="B5662" s="4" t="s">
        <v>334</v>
      </c>
      <c r="C5662" s="4" t="s">
        <v>160</v>
      </c>
      <c r="D5662" s="4"/>
      <c r="E5662" s="4" t="s">
        <v>921</v>
      </c>
      <c r="F5662" s="46" t="s">
        <v>2717</v>
      </c>
      <c r="G5662" s="4" t="s">
        <v>336</v>
      </c>
      <c r="H5662" s="4" t="s">
        <v>380</v>
      </c>
      <c r="I5662" s="4">
        <v>1</v>
      </c>
      <c r="J5662" s="21">
        <v>250</v>
      </c>
      <c r="K5662" s="21">
        <v>250</v>
      </c>
      <c r="L5662" s="5">
        <v>0</v>
      </c>
      <c r="M5662" s="4"/>
      <c r="N5662" s="4"/>
      <c r="O5662" s="5"/>
      <c r="P5662" s="5"/>
      <c r="Q5662" s="21">
        <v>0</v>
      </c>
      <c r="R5662" s="21">
        <v>0</v>
      </c>
      <c r="S5662" s="5">
        <f t="shared" si="355"/>
        <v>60991.642167016107</v>
      </c>
      <c r="T5662" cm="1">
        <f t="array" ref="T5662">IF(OR(B5662="MAL ALIMI", B5662="ÜRETİM GİRİŞ"), MIN(I5662, MAX(0, I5662 + SUM(SUMIFS($I$1:I5661, $C$1:C5661, C5662, $B$1:B5661, {"MAL ALIMI","ÜRETİM GİRİŞ"})) - VLOOKUP(C5662, 'STOK RAPORU'!$C$2:$I$1000, 4, 0))), 0)</f>
        <v>0</v>
      </c>
      <c r="U5662" s="22">
        <f t="shared" si="352"/>
        <v>0</v>
      </c>
      <c r="V5662">
        <f t="shared" si="353"/>
        <v>0</v>
      </c>
      <c r="W5662" s="22">
        <f t="shared" si="354"/>
        <v>0</v>
      </c>
    </row>
    <row r="5663" spans="1:23" hidden="1" x14ac:dyDescent="0.25">
      <c r="A5663" s="3">
        <v>46099</v>
      </c>
      <c r="B5663" s="4" t="s">
        <v>334</v>
      </c>
      <c r="C5663" s="4" t="s">
        <v>161</v>
      </c>
      <c r="D5663" s="4"/>
      <c r="E5663" s="4" t="s">
        <v>921</v>
      </c>
      <c r="F5663" s="46" t="s">
        <v>2717</v>
      </c>
      <c r="G5663" s="4" t="s">
        <v>336</v>
      </c>
      <c r="H5663" s="4" t="s">
        <v>380</v>
      </c>
      <c r="I5663" s="4">
        <v>1</v>
      </c>
      <c r="J5663" s="21">
        <v>250</v>
      </c>
      <c r="K5663" s="21">
        <v>250</v>
      </c>
      <c r="L5663" s="5">
        <v>0</v>
      </c>
      <c r="M5663" s="4"/>
      <c r="N5663" s="4"/>
      <c r="O5663" s="5"/>
      <c r="P5663" s="5"/>
      <c r="Q5663" s="21">
        <v>0</v>
      </c>
      <c r="R5663" s="21">
        <v>0</v>
      </c>
      <c r="S5663" s="5">
        <f t="shared" si="355"/>
        <v>60991.642167016107</v>
      </c>
      <c r="T5663" cm="1">
        <f t="array" ref="T5663">IF(OR(B5663="MAL ALIMI", B5663="ÜRETİM GİRİŞ"), MIN(I5663, MAX(0, I5663 + SUM(SUMIFS($I$1:I5662, $C$1:C5662, C5663, $B$1:B5662, {"MAL ALIMI","ÜRETİM GİRİŞ"})) - VLOOKUP(C5663, 'STOK RAPORU'!$C$2:$I$1000, 4, 0))), 0)</f>
        <v>0</v>
      </c>
      <c r="U5663" s="22">
        <f t="shared" si="352"/>
        <v>0</v>
      </c>
      <c r="V5663">
        <f t="shared" si="353"/>
        <v>0</v>
      </c>
      <c r="W5663" s="22">
        <f t="shared" si="354"/>
        <v>0</v>
      </c>
    </row>
    <row r="5664" spans="1:23" hidden="1" x14ac:dyDescent="0.25">
      <c r="A5664" s="3">
        <v>46099</v>
      </c>
      <c r="B5664" s="4" t="s">
        <v>334</v>
      </c>
      <c r="C5664" s="4" t="s">
        <v>160</v>
      </c>
      <c r="D5664" s="4"/>
      <c r="E5664" s="4" t="s">
        <v>921</v>
      </c>
      <c r="F5664" s="46" t="s">
        <v>2718</v>
      </c>
      <c r="G5664" s="4" t="s">
        <v>336</v>
      </c>
      <c r="H5664" s="4" t="s">
        <v>380</v>
      </c>
      <c r="I5664" s="4">
        <v>1</v>
      </c>
      <c r="J5664" s="21">
        <v>250</v>
      </c>
      <c r="K5664" s="21">
        <v>250</v>
      </c>
      <c r="L5664" s="5">
        <v>0</v>
      </c>
      <c r="M5664" s="4"/>
      <c r="N5664" s="4"/>
      <c r="O5664" s="5"/>
      <c r="P5664" s="5"/>
      <c r="Q5664" s="21">
        <v>0</v>
      </c>
      <c r="R5664" s="21">
        <v>0</v>
      </c>
      <c r="S5664" s="5">
        <f t="shared" si="355"/>
        <v>60991.642167016107</v>
      </c>
      <c r="T5664" cm="1">
        <f t="array" ref="T5664">IF(OR(B5664="MAL ALIMI", B5664="ÜRETİM GİRİŞ"), MIN(I5664, MAX(0, I5664 + SUM(SUMIFS($I$1:I5663, $C$1:C5663, C5664, $B$1:B5663, {"MAL ALIMI","ÜRETİM GİRİŞ"})) - VLOOKUP(C5664, 'STOK RAPORU'!$C$2:$I$1000, 4, 0))), 0)</f>
        <v>0</v>
      </c>
      <c r="U5664" s="22">
        <f t="shared" si="352"/>
        <v>0</v>
      </c>
      <c r="V5664">
        <f t="shared" si="353"/>
        <v>0</v>
      </c>
      <c r="W5664" s="22">
        <f t="shared" si="354"/>
        <v>0</v>
      </c>
    </row>
    <row r="5665" spans="1:23" hidden="1" x14ac:dyDescent="0.25">
      <c r="A5665" s="3">
        <v>46099</v>
      </c>
      <c r="B5665" s="4" t="s">
        <v>334</v>
      </c>
      <c r="C5665" s="4" t="s">
        <v>161</v>
      </c>
      <c r="D5665" s="4"/>
      <c r="E5665" s="4" t="s">
        <v>921</v>
      </c>
      <c r="F5665" s="46" t="s">
        <v>2718</v>
      </c>
      <c r="G5665" s="4" t="s">
        <v>336</v>
      </c>
      <c r="H5665" s="4" t="s">
        <v>380</v>
      </c>
      <c r="I5665" s="4">
        <v>1</v>
      </c>
      <c r="J5665" s="21">
        <v>250</v>
      </c>
      <c r="K5665" s="21">
        <v>250</v>
      </c>
      <c r="L5665" s="5">
        <v>0</v>
      </c>
      <c r="M5665" s="4"/>
      <c r="N5665" s="4"/>
      <c r="O5665" s="5"/>
      <c r="P5665" s="5"/>
      <c r="Q5665" s="21">
        <v>0</v>
      </c>
      <c r="R5665" s="21">
        <v>0</v>
      </c>
      <c r="S5665" s="5">
        <f t="shared" si="355"/>
        <v>60991.642167016107</v>
      </c>
      <c r="T5665" cm="1">
        <f t="array" ref="T5665">IF(OR(B5665="MAL ALIMI", B5665="ÜRETİM GİRİŞ"), MIN(I5665, MAX(0, I5665 + SUM(SUMIFS($I$1:I5664, $C$1:C5664, C5665, $B$1:B5664, {"MAL ALIMI","ÜRETİM GİRİŞ"})) - VLOOKUP(C5665, 'STOK RAPORU'!$C$2:$I$1000, 4, 0))), 0)</f>
        <v>0</v>
      </c>
      <c r="U5665" s="22">
        <f t="shared" si="352"/>
        <v>0</v>
      </c>
      <c r="V5665">
        <f t="shared" si="353"/>
        <v>0</v>
      </c>
      <c r="W5665" s="22">
        <f t="shared" si="354"/>
        <v>0</v>
      </c>
    </row>
    <row r="5666" spans="1:23" hidden="1" x14ac:dyDescent="0.25">
      <c r="A5666" s="3">
        <v>46099</v>
      </c>
      <c r="B5666" s="4" t="s">
        <v>334</v>
      </c>
      <c r="C5666" s="4" t="s">
        <v>911</v>
      </c>
      <c r="D5666" s="4"/>
      <c r="E5666" s="4" t="s">
        <v>921</v>
      </c>
      <c r="F5666" s="46" t="s">
        <v>2718</v>
      </c>
      <c r="G5666" s="4" t="s">
        <v>336</v>
      </c>
      <c r="H5666" s="4" t="s">
        <v>380</v>
      </c>
      <c r="I5666" s="4">
        <v>1</v>
      </c>
      <c r="J5666" s="21">
        <v>130</v>
      </c>
      <c r="K5666" s="21">
        <v>130</v>
      </c>
      <c r="L5666" s="5">
        <v>0</v>
      </c>
      <c r="M5666" s="4"/>
      <c r="N5666" s="4"/>
      <c r="O5666" s="5"/>
      <c r="P5666" s="5"/>
      <c r="Q5666" s="21">
        <v>0</v>
      </c>
      <c r="R5666" s="21">
        <v>0</v>
      </c>
      <c r="S5666" s="5">
        <f t="shared" si="355"/>
        <v>60991.642167016107</v>
      </c>
      <c r="T5666" cm="1">
        <f t="array" ref="T5666">IF(OR(B5666="MAL ALIMI", B5666="ÜRETİM GİRİŞ"), MIN(I5666, MAX(0, I5666 + SUM(SUMIFS($I$1:I5665, $C$1:C5665, C5666, $B$1:B5665, {"MAL ALIMI","ÜRETİM GİRİŞ"})) - VLOOKUP(C5666, 'STOK RAPORU'!$C$2:$I$1000, 4, 0))), 0)</f>
        <v>0</v>
      </c>
      <c r="U5666" s="22">
        <f t="shared" si="352"/>
        <v>0</v>
      </c>
      <c r="V5666">
        <f t="shared" si="353"/>
        <v>0</v>
      </c>
      <c r="W5666" s="22">
        <f t="shared" si="354"/>
        <v>0</v>
      </c>
    </row>
    <row r="5667" spans="1:23" hidden="1" x14ac:dyDescent="0.25">
      <c r="A5667" s="3">
        <v>46099</v>
      </c>
      <c r="B5667" s="4" t="s">
        <v>334</v>
      </c>
      <c r="C5667" s="4" t="s">
        <v>160</v>
      </c>
      <c r="D5667" s="4"/>
      <c r="E5667" s="4" t="s">
        <v>921</v>
      </c>
      <c r="F5667" s="46" t="s">
        <v>2719</v>
      </c>
      <c r="G5667" s="4" t="s">
        <v>336</v>
      </c>
      <c r="H5667" s="4" t="s">
        <v>380</v>
      </c>
      <c r="I5667" s="4">
        <v>1</v>
      </c>
      <c r="J5667" s="21">
        <v>250</v>
      </c>
      <c r="K5667" s="21">
        <v>250</v>
      </c>
      <c r="L5667" s="5">
        <v>0</v>
      </c>
      <c r="M5667" s="4"/>
      <c r="N5667" s="4"/>
      <c r="O5667" s="5"/>
      <c r="P5667" s="5"/>
      <c r="Q5667" s="21">
        <v>0</v>
      </c>
      <c r="R5667" s="21">
        <v>0</v>
      </c>
      <c r="S5667" s="5">
        <f t="shared" si="355"/>
        <v>60991.642167016107</v>
      </c>
      <c r="T5667" cm="1">
        <f t="array" ref="T5667">IF(OR(B5667="MAL ALIMI", B5667="ÜRETİM GİRİŞ"), MIN(I5667, MAX(0, I5667 + SUM(SUMIFS($I$1:I5666, $C$1:C5666, C5667, $B$1:B5666, {"MAL ALIMI","ÜRETİM GİRİŞ"})) - VLOOKUP(C5667, 'STOK RAPORU'!$C$2:$I$1000, 4, 0))), 0)</f>
        <v>0</v>
      </c>
      <c r="U5667" s="22">
        <f t="shared" si="352"/>
        <v>0</v>
      </c>
      <c r="V5667">
        <f t="shared" si="353"/>
        <v>0</v>
      </c>
      <c r="W5667" s="22">
        <f t="shared" si="354"/>
        <v>0</v>
      </c>
    </row>
    <row r="5668" spans="1:23" hidden="1" x14ac:dyDescent="0.25">
      <c r="A5668" s="3">
        <v>46099</v>
      </c>
      <c r="B5668" s="4" t="s">
        <v>334</v>
      </c>
      <c r="C5668" s="4" t="s">
        <v>463</v>
      </c>
      <c r="D5668" s="4"/>
      <c r="E5668" s="4"/>
      <c r="F5668" s="46" t="s">
        <v>2720</v>
      </c>
      <c r="G5668" s="4" t="s">
        <v>336</v>
      </c>
      <c r="H5668" s="4" t="s">
        <v>289</v>
      </c>
      <c r="I5668" s="4">
        <v>0.17499999999999999</v>
      </c>
      <c r="J5668" s="21">
        <v>400</v>
      </c>
      <c r="K5668" s="21">
        <v>0</v>
      </c>
      <c r="L5668" s="5">
        <v>0</v>
      </c>
      <c r="M5668" s="4"/>
      <c r="N5668" s="4"/>
      <c r="O5668" s="5"/>
      <c r="P5668" s="5"/>
      <c r="Q5668" s="21">
        <v>70</v>
      </c>
      <c r="R5668" s="21">
        <v>0</v>
      </c>
      <c r="S5668" s="5">
        <f t="shared" si="355"/>
        <v>61061.642167016107</v>
      </c>
      <c r="T5668" cm="1">
        <f t="array" ref="T5668">IF(OR(B5668="MAL ALIMI", B5668="ÜRETİM GİRİŞ"), MIN(I5668, MAX(0, I5668 + SUM(SUMIFS($I$1:I5667, $C$1:C5667, C5668, $B$1:B5667, {"MAL ALIMI","ÜRETİM GİRİŞ"})) - VLOOKUP(C5668, 'STOK RAPORU'!$C$2:$I$1000, 4, 0))), 0)</f>
        <v>0</v>
      </c>
      <c r="U5668" s="22">
        <f t="shared" si="352"/>
        <v>0</v>
      </c>
      <c r="V5668">
        <f t="shared" si="353"/>
        <v>0</v>
      </c>
      <c r="W5668" s="22">
        <f t="shared" si="354"/>
        <v>0</v>
      </c>
    </row>
    <row r="5669" spans="1:23" hidden="1" x14ac:dyDescent="0.25">
      <c r="A5669" s="3">
        <v>46099</v>
      </c>
      <c r="B5669" s="4" t="s">
        <v>334</v>
      </c>
      <c r="C5669" s="4" t="s">
        <v>2282</v>
      </c>
      <c r="D5669" s="4"/>
      <c r="E5669" s="4"/>
      <c r="F5669" s="46" t="s">
        <v>2720</v>
      </c>
      <c r="G5669" s="4" t="s">
        <v>336</v>
      </c>
      <c r="H5669" s="4" t="s">
        <v>289</v>
      </c>
      <c r="I5669" s="4">
        <v>0.1</v>
      </c>
      <c r="J5669" s="21">
        <v>2500</v>
      </c>
      <c r="K5669" s="21">
        <v>0</v>
      </c>
      <c r="L5669" s="5">
        <v>0</v>
      </c>
      <c r="M5669" s="4"/>
      <c r="N5669" s="4"/>
      <c r="O5669" s="5"/>
      <c r="P5669" s="5"/>
      <c r="Q5669" s="21">
        <v>250</v>
      </c>
      <c r="R5669" s="21">
        <v>0</v>
      </c>
      <c r="S5669" s="5">
        <f t="shared" si="355"/>
        <v>61311.642167016107</v>
      </c>
      <c r="T5669" cm="1">
        <f t="array" ref="T5669">IF(OR(B5669="MAL ALIMI", B5669="ÜRETİM GİRİŞ"), MIN(I5669, MAX(0, I5669 + SUM(SUMIFS($I$1:I5668, $C$1:C5668, C5669, $B$1:B5668, {"MAL ALIMI","ÜRETİM GİRİŞ"})) - VLOOKUP(C5669, 'STOK RAPORU'!$C$2:$I$1000, 4, 0))), 0)</f>
        <v>0</v>
      </c>
      <c r="U5669" s="22">
        <f t="shared" si="352"/>
        <v>0</v>
      </c>
      <c r="V5669">
        <f t="shared" si="353"/>
        <v>0</v>
      </c>
      <c r="W5669" s="22">
        <f t="shared" si="354"/>
        <v>0</v>
      </c>
    </row>
    <row r="5670" spans="1:23" hidden="1" x14ac:dyDescent="0.25">
      <c r="A5670" s="3">
        <v>46099</v>
      </c>
      <c r="B5670" s="4" t="s">
        <v>334</v>
      </c>
      <c r="C5670" s="4" t="s">
        <v>1365</v>
      </c>
      <c r="D5670" s="4"/>
      <c r="E5670" s="4"/>
      <c r="F5670" s="46" t="s">
        <v>2720</v>
      </c>
      <c r="G5670" s="4" t="s">
        <v>336</v>
      </c>
      <c r="H5670" s="4" t="s">
        <v>289</v>
      </c>
      <c r="I5670" s="4">
        <v>1</v>
      </c>
      <c r="J5670" s="21">
        <v>140</v>
      </c>
      <c r="K5670" s="21">
        <v>0</v>
      </c>
      <c r="L5670" s="5">
        <v>0</v>
      </c>
      <c r="M5670" s="4"/>
      <c r="N5670" s="4"/>
      <c r="O5670" s="5"/>
      <c r="P5670" s="5"/>
      <c r="Q5670" s="21">
        <v>140</v>
      </c>
      <c r="R5670" s="21">
        <v>0</v>
      </c>
      <c r="S5670" s="5">
        <f t="shared" si="355"/>
        <v>61451.642167016107</v>
      </c>
      <c r="T5670" cm="1">
        <f t="array" ref="T5670">IF(OR(B5670="MAL ALIMI", B5670="ÜRETİM GİRİŞ"), MIN(I5670, MAX(0, I5670 + SUM(SUMIFS($I$1:I5669, $C$1:C5669, C5670, $B$1:B5669, {"MAL ALIMI","ÜRETİM GİRİŞ"})) - VLOOKUP(C5670, 'STOK RAPORU'!$C$2:$I$1000, 4, 0))), 0)</f>
        <v>0</v>
      </c>
      <c r="U5670" s="22">
        <f t="shared" si="352"/>
        <v>0</v>
      </c>
      <c r="V5670">
        <f t="shared" si="353"/>
        <v>0</v>
      </c>
      <c r="W5670" s="22">
        <f t="shared" si="354"/>
        <v>0</v>
      </c>
    </row>
    <row r="5671" spans="1:23" hidden="1" x14ac:dyDescent="0.25">
      <c r="A5671" s="3">
        <v>46099</v>
      </c>
      <c r="B5671" s="4" t="s">
        <v>334</v>
      </c>
      <c r="C5671" s="4" t="s">
        <v>1366</v>
      </c>
      <c r="D5671" s="4"/>
      <c r="E5671" s="4"/>
      <c r="F5671" s="46" t="s">
        <v>2720</v>
      </c>
      <c r="G5671" s="4" t="s">
        <v>336</v>
      </c>
      <c r="H5671" s="4" t="s">
        <v>289</v>
      </c>
      <c r="I5671" s="4">
        <v>1</v>
      </c>
      <c r="J5671" s="21">
        <v>195</v>
      </c>
      <c r="K5671" s="21">
        <v>0</v>
      </c>
      <c r="L5671" s="5">
        <v>0</v>
      </c>
      <c r="M5671" s="4"/>
      <c r="N5671" s="4"/>
      <c r="O5671" s="5"/>
      <c r="P5671" s="5"/>
      <c r="Q5671" s="21">
        <v>195</v>
      </c>
      <c r="R5671" s="21">
        <v>0</v>
      </c>
      <c r="S5671" s="5">
        <f t="shared" si="355"/>
        <v>61646.642167016107</v>
      </c>
      <c r="T5671" cm="1">
        <f t="array" ref="T5671">IF(OR(B5671="MAL ALIMI", B5671="ÜRETİM GİRİŞ"), MIN(I5671, MAX(0, I5671 + SUM(SUMIFS($I$1:I5670, $C$1:C5670, C5671, $B$1:B5670, {"MAL ALIMI","ÜRETİM GİRİŞ"})) - VLOOKUP(C5671, 'STOK RAPORU'!$C$2:$I$1000, 4, 0))), 0)</f>
        <v>0</v>
      </c>
      <c r="U5671" s="22">
        <f t="shared" si="352"/>
        <v>0</v>
      </c>
      <c r="V5671">
        <f t="shared" si="353"/>
        <v>0</v>
      </c>
      <c r="W5671" s="22">
        <f t="shared" si="354"/>
        <v>0</v>
      </c>
    </row>
    <row r="5672" spans="1:23" hidden="1" x14ac:dyDescent="0.25">
      <c r="A5672" s="3">
        <v>46099</v>
      </c>
      <c r="B5672" s="4" t="s">
        <v>334</v>
      </c>
      <c r="C5672" s="4" t="s">
        <v>679</v>
      </c>
      <c r="D5672" s="4"/>
      <c r="E5672" s="4"/>
      <c r="F5672" s="46" t="s">
        <v>2721</v>
      </c>
      <c r="G5672" s="4" t="s">
        <v>336</v>
      </c>
      <c r="H5672" s="4" t="s">
        <v>289</v>
      </c>
      <c r="I5672" s="4">
        <v>0.2</v>
      </c>
      <c r="J5672" s="21">
        <v>400</v>
      </c>
      <c r="K5672" s="21">
        <v>0</v>
      </c>
      <c r="L5672" s="5">
        <v>0</v>
      </c>
      <c r="M5672" s="4"/>
      <c r="N5672" s="4"/>
      <c r="O5672" s="5"/>
      <c r="P5672" s="5"/>
      <c r="Q5672" s="21">
        <v>80</v>
      </c>
      <c r="R5672" s="21">
        <v>0</v>
      </c>
      <c r="S5672" s="5">
        <f t="shared" si="355"/>
        <v>61726.642167016107</v>
      </c>
      <c r="T5672" cm="1">
        <f t="array" ref="T5672">IF(OR(B5672="MAL ALIMI", B5672="ÜRETİM GİRİŞ"), MIN(I5672, MAX(0, I5672 + SUM(SUMIFS($I$1:I5671, $C$1:C5671, C5672, $B$1:B5671, {"MAL ALIMI","ÜRETİM GİRİŞ"})) - VLOOKUP(C5672, 'STOK RAPORU'!$C$2:$I$1000, 4, 0))), 0)</f>
        <v>0</v>
      </c>
      <c r="U5672" s="22">
        <f t="shared" si="352"/>
        <v>0</v>
      </c>
      <c r="V5672">
        <f t="shared" si="353"/>
        <v>0</v>
      </c>
      <c r="W5672" s="22">
        <f t="shared" si="354"/>
        <v>0</v>
      </c>
    </row>
    <row r="5673" spans="1:23" hidden="1" x14ac:dyDescent="0.25">
      <c r="A5673" s="3">
        <v>46099</v>
      </c>
      <c r="B5673" s="4" t="s">
        <v>334</v>
      </c>
      <c r="C5673" s="4" t="s">
        <v>486</v>
      </c>
      <c r="D5673" s="4"/>
      <c r="E5673" s="4"/>
      <c r="F5673" s="46" t="s">
        <v>2721</v>
      </c>
      <c r="G5673" s="4" t="s">
        <v>336</v>
      </c>
      <c r="H5673" s="4" t="s">
        <v>289</v>
      </c>
      <c r="I5673" s="4">
        <v>0.2</v>
      </c>
      <c r="J5673" s="21">
        <v>250</v>
      </c>
      <c r="K5673" s="21">
        <v>0</v>
      </c>
      <c r="L5673" s="5">
        <v>0</v>
      </c>
      <c r="M5673" s="4"/>
      <c r="N5673" s="4"/>
      <c r="O5673" s="5"/>
      <c r="P5673" s="5"/>
      <c r="Q5673" s="21">
        <v>50</v>
      </c>
      <c r="R5673" s="21">
        <v>0</v>
      </c>
      <c r="S5673" s="5">
        <f t="shared" si="355"/>
        <v>61776.642167016107</v>
      </c>
      <c r="T5673" cm="1">
        <f t="array" ref="T5673">IF(OR(B5673="MAL ALIMI", B5673="ÜRETİM GİRİŞ"), MIN(I5673, MAX(0, I5673 + SUM(SUMIFS($I$1:I5672, $C$1:C5672, C5673, $B$1:B5672, {"MAL ALIMI","ÜRETİM GİRİŞ"})) - VLOOKUP(C5673, 'STOK RAPORU'!$C$2:$I$1000, 4, 0))), 0)</f>
        <v>0</v>
      </c>
      <c r="U5673" s="22">
        <f t="shared" si="352"/>
        <v>0</v>
      </c>
      <c r="V5673">
        <f t="shared" si="353"/>
        <v>0</v>
      </c>
      <c r="W5673" s="22">
        <f t="shared" si="354"/>
        <v>0</v>
      </c>
    </row>
    <row r="5674" spans="1:23" hidden="1" x14ac:dyDescent="0.25">
      <c r="A5674" s="3">
        <v>46099</v>
      </c>
      <c r="B5674" s="4" t="s">
        <v>334</v>
      </c>
      <c r="C5674" s="4" t="s">
        <v>695</v>
      </c>
      <c r="D5674" s="4"/>
      <c r="E5674" s="4" t="s">
        <v>921</v>
      </c>
      <c r="F5674" s="46" t="s">
        <v>2722</v>
      </c>
      <c r="G5674" s="4" t="s">
        <v>336</v>
      </c>
      <c r="H5674" s="4" t="s">
        <v>380</v>
      </c>
      <c r="I5674" s="4">
        <v>0.5</v>
      </c>
      <c r="J5674" s="21">
        <v>120</v>
      </c>
      <c r="K5674" s="21">
        <v>60</v>
      </c>
      <c r="L5674" s="5">
        <v>0</v>
      </c>
      <c r="M5674" s="4"/>
      <c r="N5674" s="4"/>
      <c r="O5674" s="5"/>
      <c r="P5674" s="5"/>
      <c r="Q5674" s="21">
        <v>0</v>
      </c>
      <c r="R5674" s="21">
        <v>0</v>
      </c>
      <c r="S5674" s="5">
        <f t="shared" si="355"/>
        <v>61776.642167016107</v>
      </c>
      <c r="T5674" cm="1">
        <f t="array" ref="T5674">IF(OR(B5674="MAL ALIMI", B5674="ÜRETİM GİRİŞ"), MIN(I5674, MAX(0, I5674 + SUM(SUMIFS($I$1:I5673, $C$1:C5673, C5674, $B$1:B5673, {"MAL ALIMI","ÜRETİM GİRİŞ"})) - VLOOKUP(C5674, 'STOK RAPORU'!$C$2:$I$1000, 4, 0))), 0)</f>
        <v>0</v>
      </c>
      <c r="U5674" s="22">
        <f t="shared" si="352"/>
        <v>0</v>
      </c>
      <c r="V5674">
        <f t="shared" si="353"/>
        <v>0</v>
      </c>
      <c r="W5674" s="22">
        <f t="shared" si="354"/>
        <v>0</v>
      </c>
    </row>
    <row r="5675" spans="1:23" hidden="1" x14ac:dyDescent="0.25">
      <c r="A5675" s="3">
        <v>46099</v>
      </c>
      <c r="B5675" s="4" t="s">
        <v>334</v>
      </c>
      <c r="C5675" s="4" t="s">
        <v>523</v>
      </c>
      <c r="D5675" s="4"/>
      <c r="E5675" s="4" t="s">
        <v>921</v>
      </c>
      <c r="F5675" s="46" t="s">
        <v>2722</v>
      </c>
      <c r="G5675" s="4" t="s">
        <v>336</v>
      </c>
      <c r="H5675" s="4" t="s">
        <v>380</v>
      </c>
      <c r="I5675" s="4">
        <v>0.08</v>
      </c>
      <c r="J5675" s="21">
        <v>750</v>
      </c>
      <c r="K5675" s="21">
        <v>60</v>
      </c>
      <c r="L5675" s="5">
        <v>0</v>
      </c>
      <c r="M5675" s="4"/>
      <c r="N5675" s="4"/>
      <c r="O5675" s="5"/>
      <c r="P5675" s="5"/>
      <c r="Q5675" s="21">
        <v>0</v>
      </c>
      <c r="R5675" s="21">
        <v>0</v>
      </c>
      <c r="S5675" s="5">
        <f t="shared" si="355"/>
        <v>61776.642167016107</v>
      </c>
      <c r="T5675" cm="1">
        <f t="array" ref="T5675">IF(OR(B5675="MAL ALIMI", B5675="ÜRETİM GİRİŞ"), MIN(I5675, MAX(0, I5675 + SUM(SUMIFS($I$1:I5674, $C$1:C5674, C5675, $B$1:B5674, {"MAL ALIMI","ÜRETİM GİRİŞ"})) - VLOOKUP(C5675, 'STOK RAPORU'!$C$2:$I$1000, 4, 0))), 0)</f>
        <v>0</v>
      </c>
      <c r="U5675" s="22">
        <f t="shared" si="352"/>
        <v>0</v>
      </c>
      <c r="V5675">
        <f t="shared" si="353"/>
        <v>0</v>
      </c>
      <c r="W5675" s="22">
        <f t="shared" si="354"/>
        <v>0</v>
      </c>
    </row>
    <row r="5676" spans="1:23" hidden="1" x14ac:dyDescent="0.25">
      <c r="A5676" s="3">
        <v>46099</v>
      </c>
      <c r="B5676" s="4" t="s">
        <v>334</v>
      </c>
      <c r="C5676" s="4" t="s">
        <v>91</v>
      </c>
      <c r="D5676" s="4"/>
      <c r="E5676" s="4" t="s">
        <v>921</v>
      </c>
      <c r="F5676" s="46" t="s">
        <v>2722</v>
      </c>
      <c r="G5676" s="4" t="s">
        <v>336</v>
      </c>
      <c r="H5676" s="4" t="s">
        <v>380</v>
      </c>
      <c r="I5676" s="4">
        <v>0.04</v>
      </c>
      <c r="J5676" s="21">
        <v>750</v>
      </c>
      <c r="K5676" s="21">
        <v>30</v>
      </c>
      <c r="L5676" s="5">
        <v>0</v>
      </c>
      <c r="M5676" s="4"/>
      <c r="N5676" s="4"/>
      <c r="O5676" s="5"/>
      <c r="P5676" s="5"/>
      <c r="Q5676" s="21">
        <v>0</v>
      </c>
      <c r="R5676" s="21">
        <v>0</v>
      </c>
      <c r="S5676" s="5">
        <f t="shared" si="355"/>
        <v>61776.642167016107</v>
      </c>
      <c r="T5676" cm="1">
        <f t="array" ref="T5676">IF(OR(B5676="MAL ALIMI", B5676="ÜRETİM GİRİŞ"), MIN(I5676, MAX(0, I5676 + SUM(SUMIFS($I$1:I5675, $C$1:C5675, C5676, $B$1:B5675, {"MAL ALIMI","ÜRETİM GİRİŞ"})) - VLOOKUP(C5676, 'STOK RAPORU'!$C$2:$I$1000, 4, 0))), 0)</f>
        <v>0</v>
      </c>
      <c r="U5676" s="22">
        <f t="shared" si="352"/>
        <v>0</v>
      </c>
      <c r="V5676">
        <f t="shared" si="353"/>
        <v>0</v>
      </c>
      <c r="W5676" s="22">
        <f t="shared" si="354"/>
        <v>0</v>
      </c>
    </row>
    <row r="5677" spans="1:23" hidden="1" x14ac:dyDescent="0.25">
      <c r="A5677" s="3">
        <v>46099</v>
      </c>
      <c r="B5677" s="4" t="s">
        <v>334</v>
      </c>
      <c r="C5677" s="4" t="s">
        <v>130</v>
      </c>
      <c r="D5677" s="4"/>
      <c r="E5677" s="4" t="s">
        <v>921</v>
      </c>
      <c r="F5677" s="46" t="s">
        <v>2722</v>
      </c>
      <c r="G5677" s="4" t="s">
        <v>336</v>
      </c>
      <c r="H5677" s="4" t="s">
        <v>380</v>
      </c>
      <c r="I5677" s="4">
        <v>9.7560975609756101E-2</v>
      </c>
      <c r="J5677" s="21">
        <v>410</v>
      </c>
      <c r="K5677" s="21">
        <v>40</v>
      </c>
      <c r="L5677" s="5">
        <v>0</v>
      </c>
      <c r="M5677" s="4"/>
      <c r="N5677" s="4"/>
      <c r="O5677" s="5"/>
      <c r="P5677" s="5"/>
      <c r="Q5677" s="21">
        <v>0</v>
      </c>
      <c r="R5677" s="21">
        <v>0</v>
      </c>
      <c r="S5677" s="5">
        <f t="shared" si="355"/>
        <v>61776.642167016107</v>
      </c>
      <c r="T5677" cm="1">
        <f t="array" ref="T5677">IF(OR(B5677="MAL ALIMI", B5677="ÜRETİM GİRİŞ"), MIN(I5677, MAX(0, I5677 + SUM(SUMIFS($I$1:I5676, $C$1:C5676, C5677, $B$1:B5676, {"MAL ALIMI","ÜRETİM GİRİŞ"})) - VLOOKUP(C5677, 'STOK RAPORU'!$C$2:$I$1000, 4, 0))), 0)</f>
        <v>0</v>
      </c>
      <c r="U5677" s="22">
        <f t="shared" si="352"/>
        <v>0</v>
      </c>
      <c r="V5677">
        <f t="shared" si="353"/>
        <v>0</v>
      </c>
      <c r="W5677" s="22">
        <f t="shared" si="354"/>
        <v>0</v>
      </c>
    </row>
    <row r="5678" spans="1:23" hidden="1" x14ac:dyDescent="0.25">
      <c r="A5678" s="3">
        <v>46099</v>
      </c>
      <c r="B5678" s="4" t="s">
        <v>334</v>
      </c>
      <c r="C5678" s="4" t="s">
        <v>165</v>
      </c>
      <c r="D5678" s="4"/>
      <c r="E5678" s="4" t="s">
        <v>921</v>
      </c>
      <c r="F5678" s="46" t="s">
        <v>2722</v>
      </c>
      <c r="G5678" s="4" t="s">
        <v>336</v>
      </c>
      <c r="H5678" s="4" t="s">
        <v>380</v>
      </c>
      <c r="I5678" s="4">
        <v>0.1</v>
      </c>
      <c r="J5678" s="21">
        <v>250</v>
      </c>
      <c r="K5678" s="21">
        <v>25</v>
      </c>
      <c r="L5678" s="5">
        <v>0</v>
      </c>
      <c r="M5678" s="4"/>
      <c r="N5678" s="4"/>
      <c r="O5678" s="5"/>
      <c r="P5678" s="5"/>
      <c r="Q5678" s="21">
        <v>0</v>
      </c>
      <c r="R5678" s="21">
        <v>0</v>
      </c>
      <c r="S5678" s="5">
        <f t="shared" si="355"/>
        <v>61776.642167016107</v>
      </c>
      <c r="T5678" cm="1">
        <f t="array" ref="T5678">IF(OR(B5678="MAL ALIMI", B5678="ÜRETİM GİRİŞ"), MIN(I5678, MAX(0, I5678 + SUM(SUMIFS($I$1:I5677, $C$1:C5677, C5678, $B$1:B5677, {"MAL ALIMI","ÜRETİM GİRİŞ"})) - VLOOKUP(C5678, 'STOK RAPORU'!$C$2:$I$1000, 4, 0))), 0)</f>
        <v>0</v>
      </c>
      <c r="U5678" s="22">
        <f t="shared" si="352"/>
        <v>0</v>
      </c>
      <c r="V5678">
        <f t="shared" si="353"/>
        <v>0</v>
      </c>
      <c r="W5678" s="22">
        <f t="shared" si="354"/>
        <v>0</v>
      </c>
    </row>
    <row r="5679" spans="1:23" hidden="1" x14ac:dyDescent="0.25">
      <c r="A5679" s="3">
        <v>46099</v>
      </c>
      <c r="B5679" s="4" t="s">
        <v>334</v>
      </c>
      <c r="C5679" s="4" t="s">
        <v>695</v>
      </c>
      <c r="D5679" s="4"/>
      <c r="E5679" s="4"/>
      <c r="F5679" s="46" t="s">
        <v>2723</v>
      </c>
      <c r="G5679" s="4" t="s">
        <v>336</v>
      </c>
      <c r="H5679" s="4" t="s">
        <v>289</v>
      </c>
      <c r="I5679" s="4">
        <v>0.5</v>
      </c>
      <c r="J5679" s="21">
        <v>120</v>
      </c>
      <c r="K5679" s="21">
        <v>0</v>
      </c>
      <c r="L5679" s="5">
        <v>0</v>
      </c>
      <c r="M5679" s="4"/>
      <c r="N5679" s="4"/>
      <c r="O5679" s="5"/>
      <c r="P5679" s="5"/>
      <c r="Q5679" s="21">
        <v>60</v>
      </c>
      <c r="R5679" s="21">
        <v>0</v>
      </c>
      <c r="S5679" s="5">
        <f t="shared" si="355"/>
        <v>61836.642167016107</v>
      </c>
      <c r="T5679" cm="1">
        <f t="array" ref="T5679">IF(OR(B5679="MAL ALIMI", B5679="ÜRETİM GİRİŞ"), MIN(I5679, MAX(0, I5679 + SUM(SUMIFS($I$1:I5678, $C$1:C5678, C5679, $B$1:B5678, {"MAL ALIMI","ÜRETİM GİRİŞ"})) - VLOOKUP(C5679, 'STOK RAPORU'!$C$2:$I$1000, 4, 0))), 0)</f>
        <v>0</v>
      </c>
      <c r="U5679" s="22">
        <f t="shared" si="352"/>
        <v>0</v>
      </c>
      <c r="V5679">
        <f t="shared" si="353"/>
        <v>0</v>
      </c>
      <c r="W5679" s="22">
        <f t="shared" si="354"/>
        <v>0</v>
      </c>
    </row>
    <row r="5680" spans="1:23" hidden="1" x14ac:dyDescent="0.25">
      <c r="A5680" s="3">
        <v>46099</v>
      </c>
      <c r="B5680" s="4" t="s">
        <v>334</v>
      </c>
      <c r="C5680" s="4" t="s">
        <v>229</v>
      </c>
      <c r="D5680" s="4"/>
      <c r="E5680" s="4"/>
      <c r="F5680" s="46" t="s">
        <v>2724</v>
      </c>
      <c r="G5680" s="4" t="s">
        <v>336</v>
      </c>
      <c r="H5680" s="4" t="s">
        <v>289</v>
      </c>
      <c r="I5680" s="4">
        <v>1</v>
      </c>
      <c r="J5680" s="21">
        <v>200</v>
      </c>
      <c r="K5680" s="21">
        <v>0</v>
      </c>
      <c r="L5680" s="5">
        <v>0</v>
      </c>
      <c r="M5680" s="4"/>
      <c r="N5680" s="4"/>
      <c r="O5680" s="5"/>
      <c r="P5680" s="5"/>
      <c r="Q5680" s="21">
        <v>200</v>
      </c>
      <c r="R5680" s="21">
        <v>0</v>
      </c>
      <c r="S5680" s="5">
        <f t="shared" si="355"/>
        <v>62036.642167016107</v>
      </c>
      <c r="T5680" cm="1">
        <f t="array" ref="T5680">IF(OR(B5680="MAL ALIMI", B5680="ÜRETİM GİRİŞ"), MIN(I5680, MAX(0, I5680 + SUM(SUMIFS($I$1:I5679, $C$1:C5679, C5680, $B$1:B5679, {"MAL ALIMI","ÜRETİM GİRİŞ"})) - VLOOKUP(C5680, 'STOK RAPORU'!$C$2:$I$1000, 4, 0))), 0)</f>
        <v>0</v>
      </c>
      <c r="U5680" s="22">
        <f t="shared" si="352"/>
        <v>0</v>
      </c>
      <c r="V5680">
        <f t="shared" si="353"/>
        <v>0</v>
      </c>
      <c r="W5680" s="22">
        <f t="shared" si="354"/>
        <v>0</v>
      </c>
    </row>
    <row r="5681" spans="1:23" hidden="1" x14ac:dyDescent="0.25">
      <c r="A5681" s="3">
        <v>46100</v>
      </c>
      <c r="B5681" s="4" t="s">
        <v>334</v>
      </c>
      <c r="C5681" s="4" t="s">
        <v>156</v>
      </c>
      <c r="D5681" s="4"/>
      <c r="E5681" s="4"/>
      <c r="F5681" s="46" t="s">
        <v>2725</v>
      </c>
      <c r="G5681" s="4" t="s">
        <v>336</v>
      </c>
      <c r="H5681" s="4" t="s">
        <v>289</v>
      </c>
      <c r="I5681" s="4">
        <v>0.5</v>
      </c>
      <c r="J5681" s="21">
        <v>200</v>
      </c>
      <c r="K5681" s="21">
        <v>0</v>
      </c>
      <c r="L5681" s="5">
        <v>0</v>
      </c>
      <c r="M5681" s="4"/>
      <c r="N5681" s="4"/>
      <c r="O5681" s="5"/>
      <c r="P5681" s="5"/>
      <c r="Q5681" s="21">
        <v>100</v>
      </c>
      <c r="R5681" s="21">
        <v>0</v>
      </c>
      <c r="S5681" s="5">
        <f t="shared" si="355"/>
        <v>62136.642167016107</v>
      </c>
      <c r="T5681" cm="1">
        <f t="array" ref="T5681">IF(OR(B5681="MAL ALIMI", B5681="ÜRETİM GİRİŞ"), MIN(I5681, MAX(0, I5681 + SUM(SUMIFS($I$1:I5680, $C$1:C5680, C5681, $B$1:B5680, {"MAL ALIMI","ÜRETİM GİRİŞ"})) - VLOOKUP(C5681, 'STOK RAPORU'!$C$2:$I$1000, 4, 0))), 0)</f>
        <v>0</v>
      </c>
      <c r="U5681" s="22">
        <f t="shared" si="352"/>
        <v>0</v>
      </c>
      <c r="V5681">
        <f t="shared" si="353"/>
        <v>0</v>
      </c>
      <c r="W5681" s="22">
        <f t="shared" si="354"/>
        <v>0</v>
      </c>
    </row>
    <row r="5682" spans="1:23" hidden="1" x14ac:dyDescent="0.25">
      <c r="A5682" s="3">
        <v>46100</v>
      </c>
      <c r="B5682" s="4" t="s">
        <v>334</v>
      </c>
      <c r="C5682" s="4" t="s">
        <v>163</v>
      </c>
      <c r="D5682" s="4"/>
      <c r="E5682" s="4"/>
      <c r="F5682" s="46" t="s">
        <v>2725</v>
      </c>
      <c r="G5682" s="4" t="s">
        <v>336</v>
      </c>
      <c r="H5682" s="4" t="s">
        <v>289</v>
      </c>
      <c r="I5682" s="4">
        <v>0.22222222222222221</v>
      </c>
      <c r="J5682" s="21">
        <v>450</v>
      </c>
      <c r="K5682" s="21">
        <v>0</v>
      </c>
      <c r="L5682" s="5">
        <v>0</v>
      </c>
      <c r="M5682" s="4"/>
      <c r="N5682" s="4"/>
      <c r="O5682" s="5"/>
      <c r="P5682" s="5"/>
      <c r="Q5682" s="21">
        <v>100</v>
      </c>
      <c r="R5682" s="21">
        <v>0</v>
      </c>
      <c r="S5682" s="5">
        <f t="shared" si="355"/>
        <v>62236.642167016107</v>
      </c>
      <c r="T5682" cm="1">
        <f t="array" ref="T5682">IF(OR(B5682="MAL ALIMI", B5682="ÜRETİM GİRİŞ"), MIN(I5682, MAX(0, I5682 + SUM(SUMIFS($I$1:I5681, $C$1:C5681, C5682, $B$1:B5681, {"MAL ALIMI","ÜRETİM GİRİŞ"})) - VLOOKUP(C5682, 'STOK RAPORU'!$C$2:$I$1000, 4, 0))), 0)</f>
        <v>0</v>
      </c>
      <c r="U5682" s="22">
        <f t="shared" si="352"/>
        <v>0</v>
      </c>
      <c r="V5682">
        <f t="shared" si="353"/>
        <v>0</v>
      </c>
      <c r="W5682" s="22">
        <f t="shared" si="354"/>
        <v>0</v>
      </c>
    </row>
    <row r="5683" spans="1:23" hidden="1" x14ac:dyDescent="0.25">
      <c r="A5683" s="3">
        <v>46100</v>
      </c>
      <c r="B5683" s="4" t="s">
        <v>334</v>
      </c>
      <c r="C5683" s="4" t="s">
        <v>2117</v>
      </c>
      <c r="D5683" s="4"/>
      <c r="E5683" s="4"/>
      <c r="F5683" s="46" t="s">
        <v>2726</v>
      </c>
      <c r="G5683" s="4" t="s">
        <v>336</v>
      </c>
      <c r="H5683" s="4" t="s">
        <v>289</v>
      </c>
      <c r="I5683" s="4">
        <v>3</v>
      </c>
      <c r="J5683" s="21">
        <v>30</v>
      </c>
      <c r="K5683" s="21">
        <v>0</v>
      </c>
      <c r="L5683" s="5">
        <v>0</v>
      </c>
      <c r="M5683" s="4"/>
      <c r="N5683" s="4"/>
      <c r="O5683" s="5"/>
      <c r="P5683" s="5"/>
      <c r="Q5683" s="21">
        <v>90</v>
      </c>
      <c r="R5683" s="21">
        <v>0</v>
      </c>
      <c r="S5683" s="5">
        <f t="shared" si="355"/>
        <v>62326.642167016107</v>
      </c>
      <c r="T5683" cm="1">
        <f t="array" ref="T5683">IF(OR(B5683="MAL ALIMI", B5683="ÜRETİM GİRİŞ"), MIN(I5683, MAX(0, I5683 + SUM(SUMIFS($I$1:I5682, $C$1:C5682, C5683, $B$1:B5682, {"MAL ALIMI","ÜRETİM GİRİŞ"})) - VLOOKUP(C5683, 'STOK RAPORU'!$C$2:$I$1000, 4, 0))), 0)</f>
        <v>0</v>
      </c>
      <c r="U5683" s="22">
        <f t="shared" ref="U5683:U5746" si="356">T5683*J5683</f>
        <v>0</v>
      </c>
      <c r="V5683">
        <f t="shared" ref="V5683:V5746" si="357">IF(OR(B5683="MAL ALIMI", B5683="ÜRETİM GİRİŞ"), I5683 * J5683, 0)</f>
        <v>0</v>
      </c>
      <c r="W5683" s="22">
        <f t="shared" ref="W5683:W5746" si="358">V5683-U5683</f>
        <v>0</v>
      </c>
    </row>
    <row r="5684" spans="1:23" hidden="1" x14ac:dyDescent="0.25">
      <c r="A5684" s="3">
        <v>46100</v>
      </c>
      <c r="B5684" s="4" t="s">
        <v>334</v>
      </c>
      <c r="C5684" s="4" t="s">
        <v>193</v>
      </c>
      <c r="D5684" s="4"/>
      <c r="E5684" s="4"/>
      <c r="F5684" s="46" t="s">
        <v>2727</v>
      </c>
      <c r="G5684" s="4" t="s">
        <v>336</v>
      </c>
      <c r="H5684" s="4" t="s">
        <v>289</v>
      </c>
      <c r="I5684" s="4">
        <v>0.1</v>
      </c>
      <c r="J5684" s="21">
        <v>900</v>
      </c>
      <c r="K5684" s="21">
        <v>0</v>
      </c>
      <c r="L5684" s="5">
        <v>0</v>
      </c>
      <c r="M5684" s="4"/>
      <c r="N5684" s="4"/>
      <c r="O5684" s="5"/>
      <c r="P5684" s="5"/>
      <c r="Q5684" s="21">
        <v>90</v>
      </c>
      <c r="R5684" s="21">
        <v>0</v>
      </c>
      <c r="S5684" s="5">
        <f t="shared" si="355"/>
        <v>62416.642167016107</v>
      </c>
      <c r="T5684" cm="1">
        <f t="array" ref="T5684">IF(OR(B5684="MAL ALIMI", B5684="ÜRETİM GİRİŞ"), MIN(I5684, MAX(0, I5684 + SUM(SUMIFS($I$1:I5683, $C$1:C5683, C5684, $B$1:B5683, {"MAL ALIMI","ÜRETİM GİRİŞ"})) - VLOOKUP(C5684, 'STOK RAPORU'!$C$2:$I$1000, 4, 0))), 0)</f>
        <v>0</v>
      </c>
      <c r="U5684" s="22">
        <f t="shared" si="356"/>
        <v>0</v>
      </c>
      <c r="V5684">
        <f t="shared" si="357"/>
        <v>0</v>
      </c>
      <c r="W5684" s="22">
        <f t="shared" si="358"/>
        <v>0</v>
      </c>
    </row>
    <row r="5685" spans="1:23" hidden="1" x14ac:dyDescent="0.25">
      <c r="A5685" s="3">
        <v>46100</v>
      </c>
      <c r="B5685" s="4" t="s">
        <v>334</v>
      </c>
      <c r="C5685" s="4" t="s">
        <v>1041</v>
      </c>
      <c r="D5685" s="4"/>
      <c r="E5685" s="4"/>
      <c r="F5685" s="46" t="s">
        <v>2728</v>
      </c>
      <c r="G5685" s="4" t="s">
        <v>336</v>
      </c>
      <c r="H5685" s="4" t="s">
        <v>289</v>
      </c>
      <c r="I5685" s="4">
        <v>1.2</v>
      </c>
      <c r="J5685" s="21">
        <v>250</v>
      </c>
      <c r="K5685" s="21">
        <v>0</v>
      </c>
      <c r="L5685" s="5">
        <v>0</v>
      </c>
      <c r="M5685" s="4"/>
      <c r="N5685" s="4"/>
      <c r="O5685" s="5"/>
      <c r="P5685" s="5"/>
      <c r="Q5685" s="21">
        <v>300</v>
      </c>
      <c r="R5685" s="21">
        <v>0</v>
      </c>
      <c r="S5685" s="5">
        <f t="shared" si="355"/>
        <v>62716.642167016107</v>
      </c>
      <c r="T5685" cm="1">
        <f t="array" ref="T5685">IF(OR(B5685="MAL ALIMI", B5685="ÜRETİM GİRİŞ"), MIN(I5685, MAX(0, I5685 + SUM(SUMIFS($I$1:I5684, $C$1:C5684, C5685, $B$1:B5684, {"MAL ALIMI","ÜRETİM GİRİŞ"})) - VLOOKUP(C5685, 'STOK RAPORU'!$C$2:$I$1000, 4, 0))), 0)</f>
        <v>0</v>
      </c>
      <c r="U5685" s="22">
        <f t="shared" si="356"/>
        <v>0</v>
      </c>
      <c r="V5685">
        <f t="shared" si="357"/>
        <v>0</v>
      </c>
      <c r="W5685" s="22">
        <f t="shared" si="358"/>
        <v>0</v>
      </c>
    </row>
    <row r="5686" spans="1:23" hidden="1" x14ac:dyDescent="0.25">
      <c r="A5686" s="3">
        <v>46100</v>
      </c>
      <c r="B5686" s="4" t="s">
        <v>334</v>
      </c>
      <c r="C5686" s="4" t="s">
        <v>160</v>
      </c>
      <c r="D5686" s="4"/>
      <c r="E5686" s="4" t="s">
        <v>921</v>
      </c>
      <c r="F5686" s="46" t="s">
        <v>2730</v>
      </c>
      <c r="G5686" s="4" t="s">
        <v>336</v>
      </c>
      <c r="H5686" s="4" t="s">
        <v>380</v>
      </c>
      <c r="I5686" s="4">
        <v>1</v>
      </c>
      <c r="J5686" s="21">
        <v>250</v>
      </c>
      <c r="K5686" s="21">
        <v>250</v>
      </c>
      <c r="L5686" s="5">
        <v>0</v>
      </c>
      <c r="M5686" s="4"/>
      <c r="N5686" s="4"/>
      <c r="O5686" s="5"/>
      <c r="P5686" s="5"/>
      <c r="Q5686" s="21">
        <v>0</v>
      </c>
      <c r="R5686" s="21">
        <v>0</v>
      </c>
      <c r="S5686" s="5">
        <f t="shared" si="355"/>
        <v>62716.642167016107</v>
      </c>
      <c r="T5686" cm="1">
        <f t="array" ref="T5686">IF(OR(B5686="MAL ALIMI", B5686="ÜRETİM GİRİŞ"), MIN(I5686, MAX(0, I5686 + SUM(SUMIFS($I$1:I5685, $C$1:C5685, C5686, $B$1:B5685, {"MAL ALIMI","ÜRETİM GİRİŞ"})) - VLOOKUP(C5686, 'STOK RAPORU'!$C$2:$I$1000, 4, 0))), 0)</f>
        <v>0</v>
      </c>
      <c r="U5686" s="22">
        <f t="shared" si="356"/>
        <v>0</v>
      </c>
      <c r="V5686">
        <f t="shared" si="357"/>
        <v>0</v>
      </c>
      <c r="W5686" s="22">
        <f t="shared" si="358"/>
        <v>0</v>
      </c>
    </row>
    <row r="5687" spans="1:23" hidden="1" x14ac:dyDescent="0.25">
      <c r="A5687" s="3">
        <v>46100</v>
      </c>
      <c r="B5687" s="4" t="s">
        <v>334</v>
      </c>
      <c r="C5687" s="4" t="s">
        <v>161</v>
      </c>
      <c r="D5687" s="4"/>
      <c r="E5687" s="4" t="s">
        <v>921</v>
      </c>
      <c r="F5687" s="46" t="s">
        <v>2730</v>
      </c>
      <c r="G5687" s="4" t="s">
        <v>336</v>
      </c>
      <c r="H5687" s="4" t="s">
        <v>380</v>
      </c>
      <c r="I5687" s="4">
        <v>1</v>
      </c>
      <c r="J5687" s="21">
        <v>250</v>
      </c>
      <c r="K5687" s="21">
        <v>250</v>
      </c>
      <c r="L5687" s="5">
        <v>0</v>
      </c>
      <c r="M5687" s="4"/>
      <c r="N5687" s="4"/>
      <c r="O5687" s="5"/>
      <c r="P5687" s="5"/>
      <c r="Q5687" s="21">
        <v>0</v>
      </c>
      <c r="R5687" s="21">
        <v>0</v>
      </c>
      <c r="S5687" s="5">
        <f t="shared" si="355"/>
        <v>62716.642167016107</v>
      </c>
      <c r="T5687" cm="1">
        <f t="array" ref="T5687">IF(OR(B5687="MAL ALIMI", B5687="ÜRETİM GİRİŞ"), MIN(I5687, MAX(0, I5687 + SUM(SUMIFS($I$1:I5686, $C$1:C5686, C5687, $B$1:B5686, {"MAL ALIMI","ÜRETİM GİRİŞ"})) - VLOOKUP(C5687, 'STOK RAPORU'!$C$2:$I$1000, 4, 0))), 0)</f>
        <v>0</v>
      </c>
      <c r="U5687" s="22">
        <f t="shared" si="356"/>
        <v>0</v>
      </c>
      <c r="V5687">
        <f t="shared" si="357"/>
        <v>0</v>
      </c>
      <c r="W5687" s="22">
        <f t="shared" si="358"/>
        <v>0</v>
      </c>
    </row>
    <row r="5688" spans="1:23" hidden="1" x14ac:dyDescent="0.25">
      <c r="A5688" s="3">
        <v>46100</v>
      </c>
      <c r="B5688" s="4" t="s">
        <v>334</v>
      </c>
      <c r="C5688" s="4" t="s">
        <v>163</v>
      </c>
      <c r="D5688" s="4"/>
      <c r="E5688" s="4" t="s">
        <v>921</v>
      </c>
      <c r="F5688" s="46" t="s">
        <v>2731</v>
      </c>
      <c r="G5688" s="4" t="s">
        <v>336</v>
      </c>
      <c r="H5688" s="4" t="s">
        <v>380</v>
      </c>
      <c r="I5688" s="4">
        <v>0.14199999999999999</v>
      </c>
      <c r="J5688" s="21">
        <v>450</v>
      </c>
      <c r="K5688" s="21">
        <v>63.899999999999991</v>
      </c>
      <c r="L5688" s="5">
        <v>0</v>
      </c>
      <c r="M5688" s="4"/>
      <c r="N5688" s="4"/>
      <c r="O5688" s="5"/>
      <c r="P5688" s="5"/>
      <c r="Q5688" s="21">
        <v>0</v>
      </c>
      <c r="R5688" s="21">
        <v>0</v>
      </c>
      <c r="S5688" s="5">
        <f t="shared" si="355"/>
        <v>62716.642167016107</v>
      </c>
      <c r="T5688" cm="1">
        <f t="array" ref="T5688">IF(OR(B5688="MAL ALIMI", B5688="ÜRETİM GİRİŞ"), MIN(I5688, MAX(0, I5688 + SUM(SUMIFS($I$1:I5687, $C$1:C5687, C5688, $B$1:B5687, {"MAL ALIMI","ÜRETİM GİRİŞ"})) - VLOOKUP(C5688, 'STOK RAPORU'!$C$2:$I$1000, 4, 0))), 0)</f>
        <v>0</v>
      </c>
      <c r="U5688" s="22">
        <f t="shared" si="356"/>
        <v>0</v>
      </c>
      <c r="V5688">
        <f t="shared" si="357"/>
        <v>0</v>
      </c>
      <c r="W5688" s="22">
        <f t="shared" si="358"/>
        <v>0</v>
      </c>
    </row>
    <row r="5689" spans="1:23" hidden="1" x14ac:dyDescent="0.25">
      <c r="A5689" s="3">
        <v>46100</v>
      </c>
      <c r="B5689" s="4" t="s">
        <v>334</v>
      </c>
      <c r="C5689" s="4" t="s">
        <v>126</v>
      </c>
      <c r="D5689" s="4"/>
      <c r="E5689" s="4" t="s">
        <v>921</v>
      </c>
      <c r="F5689" s="46" t="s">
        <v>2731</v>
      </c>
      <c r="G5689" s="4" t="s">
        <v>336</v>
      </c>
      <c r="H5689" s="4" t="s">
        <v>380</v>
      </c>
      <c r="I5689" s="4">
        <v>0.154</v>
      </c>
      <c r="J5689" s="21">
        <v>650</v>
      </c>
      <c r="K5689" s="21">
        <v>100.1</v>
      </c>
      <c r="L5689" s="5">
        <v>0</v>
      </c>
      <c r="M5689" s="4"/>
      <c r="N5689" s="4"/>
      <c r="O5689" s="5"/>
      <c r="P5689" s="5"/>
      <c r="Q5689" s="21">
        <v>0</v>
      </c>
      <c r="R5689" s="21">
        <v>0</v>
      </c>
      <c r="S5689" s="5">
        <f t="shared" si="355"/>
        <v>62716.642167016107</v>
      </c>
      <c r="T5689" cm="1">
        <f t="array" ref="T5689">IF(OR(B5689="MAL ALIMI", B5689="ÜRETİM GİRİŞ"), MIN(I5689, MAX(0, I5689 + SUM(SUMIFS($I$1:I5688, $C$1:C5688, C5689, $B$1:B5688, {"MAL ALIMI","ÜRETİM GİRİŞ"})) - VLOOKUP(C5689, 'STOK RAPORU'!$C$2:$I$1000, 4, 0))), 0)</f>
        <v>0</v>
      </c>
      <c r="U5689" s="22">
        <f t="shared" si="356"/>
        <v>0</v>
      </c>
      <c r="V5689">
        <f t="shared" si="357"/>
        <v>0</v>
      </c>
      <c r="W5689" s="22">
        <f t="shared" si="358"/>
        <v>0</v>
      </c>
    </row>
    <row r="5690" spans="1:23" hidden="1" x14ac:dyDescent="0.25">
      <c r="A5690" s="3">
        <v>46100</v>
      </c>
      <c r="B5690" s="4" t="s">
        <v>334</v>
      </c>
      <c r="C5690" s="4" t="s">
        <v>463</v>
      </c>
      <c r="D5690" s="4"/>
      <c r="E5690" s="4" t="s">
        <v>921</v>
      </c>
      <c r="F5690" s="46" t="s">
        <v>2731</v>
      </c>
      <c r="G5690" s="4" t="s">
        <v>336</v>
      </c>
      <c r="H5690" s="4" t="s">
        <v>380</v>
      </c>
      <c r="I5690" s="4">
        <v>0.16400000000000001</v>
      </c>
      <c r="J5690" s="21">
        <v>400</v>
      </c>
      <c r="K5690" s="21">
        <v>65.600000000000009</v>
      </c>
      <c r="L5690" s="5">
        <v>0</v>
      </c>
      <c r="M5690" s="4"/>
      <c r="N5690" s="4"/>
      <c r="O5690" s="5"/>
      <c r="P5690" s="5"/>
      <c r="Q5690" s="21">
        <v>0</v>
      </c>
      <c r="R5690" s="21">
        <v>0</v>
      </c>
      <c r="S5690" s="5">
        <f t="shared" si="355"/>
        <v>62716.642167016107</v>
      </c>
      <c r="T5690" cm="1">
        <f t="array" ref="T5690">IF(OR(B5690="MAL ALIMI", B5690="ÜRETİM GİRİŞ"), MIN(I5690, MAX(0, I5690 + SUM(SUMIFS($I$1:I5689, $C$1:C5689, C5690, $B$1:B5689, {"MAL ALIMI","ÜRETİM GİRİŞ"})) - VLOOKUP(C5690, 'STOK RAPORU'!$C$2:$I$1000, 4, 0))), 0)</f>
        <v>0</v>
      </c>
      <c r="U5690" s="22">
        <f t="shared" si="356"/>
        <v>0</v>
      </c>
      <c r="V5690">
        <f t="shared" si="357"/>
        <v>0</v>
      </c>
      <c r="W5690" s="22">
        <f t="shared" si="358"/>
        <v>0</v>
      </c>
    </row>
    <row r="5691" spans="1:23" hidden="1" x14ac:dyDescent="0.25">
      <c r="A5691" s="3">
        <v>46100</v>
      </c>
      <c r="B5691" s="4" t="s">
        <v>334</v>
      </c>
      <c r="C5691" s="4" t="s">
        <v>2565</v>
      </c>
      <c r="D5691" s="4"/>
      <c r="E5691" s="4" t="s">
        <v>921</v>
      </c>
      <c r="F5691" s="46" t="s">
        <v>2731</v>
      </c>
      <c r="G5691" s="4" t="s">
        <v>336</v>
      </c>
      <c r="H5691" s="4" t="s">
        <v>380</v>
      </c>
      <c r="I5691" s="4">
        <v>0.15</v>
      </c>
      <c r="J5691" s="21">
        <v>650</v>
      </c>
      <c r="K5691" s="21">
        <v>97.5</v>
      </c>
      <c r="L5691" s="5">
        <v>0</v>
      </c>
      <c r="M5691" s="4"/>
      <c r="N5691" s="4"/>
      <c r="O5691" s="5"/>
      <c r="P5691" s="5"/>
      <c r="Q5691" s="21">
        <v>0</v>
      </c>
      <c r="R5691" s="21">
        <v>0</v>
      </c>
      <c r="S5691" s="5">
        <f t="shared" si="355"/>
        <v>62716.642167016107</v>
      </c>
      <c r="T5691" cm="1">
        <f t="array" ref="T5691">IF(OR(B5691="MAL ALIMI", B5691="ÜRETİM GİRİŞ"), MIN(I5691, MAX(0, I5691 + SUM(SUMIFS($I$1:I5690, $C$1:C5690, C5691, $B$1:B5690, {"MAL ALIMI","ÜRETİM GİRİŞ"})) - VLOOKUP(C5691, 'STOK RAPORU'!$C$2:$I$1000, 4, 0))), 0)</f>
        <v>0</v>
      </c>
      <c r="U5691" s="22">
        <f t="shared" si="356"/>
        <v>0</v>
      </c>
      <c r="V5691">
        <f t="shared" si="357"/>
        <v>0</v>
      </c>
      <c r="W5691" s="22">
        <f t="shared" si="358"/>
        <v>0</v>
      </c>
    </row>
    <row r="5692" spans="1:23" hidden="1" x14ac:dyDescent="0.25">
      <c r="A5692" s="3">
        <v>46100</v>
      </c>
      <c r="B5692" s="4" t="s">
        <v>334</v>
      </c>
      <c r="C5692" s="4" t="s">
        <v>1041</v>
      </c>
      <c r="D5692" s="4"/>
      <c r="E5692" s="4"/>
      <c r="F5692" s="46" t="s">
        <v>2732</v>
      </c>
      <c r="G5692" s="4" t="s">
        <v>336</v>
      </c>
      <c r="H5692" s="4" t="s">
        <v>289</v>
      </c>
      <c r="I5692" s="4">
        <v>2</v>
      </c>
      <c r="J5692" s="21">
        <v>250</v>
      </c>
      <c r="K5692" s="21">
        <v>0</v>
      </c>
      <c r="L5692" s="5">
        <v>0</v>
      </c>
      <c r="M5692" s="4"/>
      <c r="N5692" s="4"/>
      <c r="O5692" s="5"/>
      <c r="P5692" s="5"/>
      <c r="Q5692" s="21">
        <v>500</v>
      </c>
      <c r="R5692" s="21">
        <v>0</v>
      </c>
      <c r="S5692" s="5">
        <f t="shared" si="355"/>
        <v>63216.642167016107</v>
      </c>
      <c r="T5692" cm="1">
        <f t="array" ref="T5692">IF(OR(B5692="MAL ALIMI", B5692="ÜRETİM GİRİŞ"), MIN(I5692, MAX(0, I5692 + SUM(SUMIFS($I$1:I5691, $C$1:C5691, C5692, $B$1:B5691, {"MAL ALIMI","ÜRETİM GİRİŞ"})) - VLOOKUP(C5692, 'STOK RAPORU'!$C$2:$I$1000, 4, 0))), 0)</f>
        <v>0</v>
      </c>
      <c r="U5692" s="22">
        <f t="shared" si="356"/>
        <v>0</v>
      </c>
      <c r="V5692">
        <f t="shared" si="357"/>
        <v>0</v>
      </c>
      <c r="W5692" s="22">
        <f t="shared" si="358"/>
        <v>0</v>
      </c>
    </row>
    <row r="5693" spans="1:23" hidden="1" x14ac:dyDescent="0.25">
      <c r="A5693" s="3">
        <v>46100</v>
      </c>
      <c r="B5693" s="4" t="s">
        <v>334</v>
      </c>
      <c r="C5693" s="4" t="s">
        <v>237</v>
      </c>
      <c r="D5693" s="4"/>
      <c r="E5693" s="4"/>
      <c r="F5693" s="46" t="s">
        <v>2732</v>
      </c>
      <c r="G5693" s="4" t="s">
        <v>336</v>
      </c>
      <c r="H5693" s="4" t="s">
        <v>289</v>
      </c>
      <c r="I5693" s="4">
        <v>0.05</v>
      </c>
      <c r="J5693" s="21">
        <v>1000</v>
      </c>
      <c r="K5693" s="21">
        <v>0</v>
      </c>
      <c r="L5693" s="5">
        <v>0</v>
      </c>
      <c r="M5693" s="4"/>
      <c r="N5693" s="4"/>
      <c r="O5693" s="5"/>
      <c r="P5693" s="5"/>
      <c r="Q5693" s="21">
        <v>50</v>
      </c>
      <c r="R5693" s="21">
        <v>0</v>
      </c>
      <c r="S5693" s="5">
        <f t="shared" si="355"/>
        <v>63266.642167016107</v>
      </c>
      <c r="T5693" cm="1">
        <f t="array" ref="T5693">IF(OR(B5693="MAL ALIMI", B5693="ÜRETİM GİRİŞ"), MIN(I5693, MAX(0, I5693 + SUM(SUMIFS($I$1:I5692, $C$1:C5692, C5693, $B$1:B5692, {"MAL ALIMI","ÜRETİM GİRİŞ"})) - VLOOKUP(C5693, 'STOK RAPORU'!$C$2:$I$1000, 4, 0))), 0)</f>
        <v>0</v>
      </c>
      <c r="U5693" s="22">
        <f t="shared" si="356"/>
        <v>0</v>
      </c>
      <c r="V5693">
        <f t="shared" si="357"/>
        <v>0</v>
      </c>
      <c r="W5693" s="22">
        <f t="shared" si="358"/>
        <v>0</v>
      </c>
    </row>
    <row r="5694" spans="1:23" hidden="1" x14ac:dyDescent="0.25">
      <c r="A5694" s="3">
        <v>46100</v>
      </c>
      <c r="B5694" s="4" t="s">
        <v>334</v>
      </c>
      <c r="C5694" s="4" t="s">
        <v>157</v>
      </c>
      <c r="D5694" s="4"/>
      <c r="E5694" s="4"/>
      <c r="F5694" s="46" t="s">
        <v>2733</v>
      </c>
      <c r="G5694" s="4" t="s">
        <v>336</v>
      </c>
      <c r="H5694" s="4" t="s">
        <v>289</v>
      </c>
      <c r="I5694" s="4">
        <v>1</v>
      </c>
      <c r="J5694" s="21">
        <v>200</v>
      </c>
      <c r="K5694" s="21">
        <v>0</v>
      </c>
      <c r="L5694" s="5">
        <v>0</v>
      </c>
      <c r="M5694" s="4"/>
      <c r="N5694" s="4"/>
      <c r="O5694" s="5"/>
      <c r="P5694" s="5"/>
      <c r="Q5694" s="21">
        <v>200</v>
      </c>
      <c r="R5694" s="21">
        <v>0</v>
      </c>
      <c r="S5694" s="5">
        <f t="shared" si="355"/>
        <v>63466.642167016107</v>
      </c>
      <c r="T5694" cm="1">
        <f t="array" ref="T5694">IF(OR(B5694="MAL ALIMI", B5694="ÜRETİM GİRİŞ"), MIN(I5694, MAX(0, I5694 + SUM(SUMIFS($I$1:I5693, $C$1:C5693, C5694, $B$1:B5693, {"MAL ALIMI","ÜRETİM GİRİŞ"})) - VLOOKUP(C5694, 'STOK RAPORU'!$C$2:$I$1000, 4, 0))), 0)</f>
        <v>0</v>
      </c>
      <c r="U5694" s="22">
        <f t="shared" si="356"/>
        <v>0</v>
      </c>
      <c r="V5694">
        <f t="shared" si="357"/>
        <v>0</v>
      </c>
      <c r="W5694" s="22">
        <f t="shared" si="358"/>
        <v>0</v>
      </c>
    </row>
    <row r="5695" spans="1:23" hidden="1" x14ac:dyDescent="0.25">
      <c r="A5695" s="3">
        <v>46100</v>
      </c>
      <c r="B5695" s="4" t="s">
        <v>334</v>
      </c>
      <c r="C5695" s="4" t="s">
        <v>158</v>
      </c>
      <c r="D5695" s="4"/>
      <c r="E5695" s="4"/>
      <c r="F5695" s="46" t="s">
        <v>2733</v>
      </c>
      <c r="G5695" s="4" t="s">
        <v>336</v>
      </c>
      <c r="H5695" s="4" t="s">
        <v>289</v>
      </c>
      <c r="I5695" s="4">
        <v>0.5</v>
      </c>
      <c r="J5695" s="21">
        <v>150</v>
      </c>
      <c r="K5695" s="21">
        <v>0</v>
      </c>
      <c r="L5695" s="5">
        <v>0</v>
      </c>
      <c r="M5695" s="4"/>
      <c r="N5695" s="4"/>
      <c r="O5695" s="5"/>
      <c r="P5695" s="5"/>
      <c r="Q5695" s="21">
        <v>75</v>
      </c>
      <c r="R5695" s="21">
        <v>0</v>
      </c>
      <c r="S5695" s="5">
        <f t="shared" si="355"/>
        <v>63541.642167016107</v>
      </c>
      <c r="T5695" cm="1">
        <f t="array" ref="T5695">IF(OR(B5695="MAL ALIMI", B5695="ÜRETİM GİRİŞ"), MIN(I5695, MAX(0, I5695 + SUM(SUMIFS($I$1:I5694, $C$1:C5694, C5695, $B$1:B5694, {"MAL ALIMI","ÜRETİM GİRİŞ"})) - VLOOKUP(C5695, 'STOK RAPORU'!$C$2:$I$1000, 4, 0))), 0)</f>
        <v>0</v>
      </c>
      <c r="U5695" s="22">
        <f t="shared" si="356"/>
        <v>0</v>
      </c>
      <c r="V5695">
        <f t="shared" si="357"/>
        <v>0</v>
      </c>
      <c r="W5695" s="22">
        <f t="shared" si="358"/>
        <v>0</v>
      </c>
    </row>
    <row r="5696" spans="1:23" hidden="1" x14ac:dyDescent="0.25">
      <c r="A5696" s="3">
        <v>46100</v>
      </c>
      <c r="B5696" s="4" t="s">
        <v>334</v>
      </c>
      <c r="C5696" s="4" t="s">
        <v>163</v>
      </c>
      <c r="D5696" s="4"/>
      <c r="E5696" s="4"/>
      <c r="F5696" s="46" t="s">
        <v>2733</v>
      </c>
      <c r="G5696" s="4" t="s">
        <v>336</v>
      </c>
      <c r="H5696" s="4" t="s">
        <v>289</v>
      </c>
      <c r="I5696" s="4">
        <v>8.8888888888888892E-2</v>
      </c>
      <c r="J5696" s="21">
        <v>450</v>
      </c>
      <c r="K5696" s="21">
        <v>0</v>
      </c>
      <c r="L5696" s="5">
        <v>0</v>
      </c>
      <c r="M5696" s="4"/>
      <c r="N5696" s="4"/>
      <c r="O5696" s="5"/>
      <c r="P5696" s="5"/>
      <c r="Q5696" s="21">
        <v>40</v>
      </c>
      <c r="R5696" s="21">
        <v>0</v>
      </c>
      <c r="S5696" s="5">
        <f t="shared" si="355"/>
        <v>63581.642167016107</v>
      </c>
      <c r="T5696" cm="1">
        <f t="array" ref="T5696">IF(OR(B5696="MAL ALIMI", B5696="ÜRETİM GİRİŞ"), MIN(I5696, MAX(0, I5696 + SUM(SUMIFS($I$1:I5695, $C$1:C5695, C5696, $B$1:B5695, {"MAL ALIMI","ÜRETİM GİRİŞ"})) - VLOOKUP(C5696, 'STOK RAPORU'!$C$2:$I$1000, 4, 0))), 0)</f>
        <v>0</v>
      </c>
      <c r="U5696" s="22">
        <f t="shared" si="356"/>
        <v>0</v>
      </c>
      <c r="V5696">
        <f t="shared" si="357"/>
        <v>0</v>
      </c>
      <c r="W5696" s="22">
        <f t="shared" si="358"/>
        <v>0</v>
      </c>
    </row>
    <row r="5697" spans="1:23" hidden="1" x14ac:dyDescent="0.25">
      <c r="A5697" s="3">
        <v>46100</v>
      </c>
      <c r="B5697" s="4" t="s">
        <v>334</v>
      </c>
      <c r="C5697" s="4" t="s">
        <v>826</v>
      </c>
      <c r="D5697" s="4"/>
      <c r="E5697" s="4" t="s">
        <v>921</v>
      </c>
      <c r="F5697" s="46" t="s">
        <v>2734</v>
      </c>
      <c r="G5697" s="4" t="s">
        <v>336</v>
      </c>
      <c r="H5697" s="4" t="s">
        <v>380</v>
      </c>
      <c r="I5697" s="4">
        <v>1</v>
      </c>
      <c r="J5697" s="21">
        <v>130</v>
      </c>
      <c r="K5697" s="21">
        <v>130</v>
      </c>
      <c r="L5697" s="5">
        <v>0</v>
      </c>
      <c r="M5697" s="4"/>
      <c r="N5697" s="4"/>
      <c r="O5697" s="5"/>
      <c r="P5697" s="5"/>
      <c r="Q5697" s="21">
        <v>0</v>
      </c>
      <c r="R5697" s="21">
        <v>0</v>
      </c>
      <c r="S5697" s="5">
        <f t="shared" si="355"/>
        <v>63581.642167016107</v>
      </c>
      <c r="T5697" cm="1">
        <f t="array" ref="T5697">IF(OR(B5697="MAL ALIMI", B5697="ÜRETİM GİRİŞ"), MIN(I5697, MAX(0, I5697 + SUM(SUMIFS($I$1:I5696, $C$1:C5696, C5697, $B$1:B5696, {"MAL ALIMI","ÜRETİM GİRİŞ"})) - VLOOKUP(C5697, 'STOK RAPORU'!$C$2:$I$1000, 4, 0))), 0)</f>
        <v>0</v>
      </c>
      <c r="U5697" s="22">
        <f t="shared" si="356"/>
        <v>0</v>
      </c>
      <c r="V5697">
        <f t="shared" si="357"/>
        <v>0</v>
      </c>
      <c r="W5697" s="22">
        <f t="shared" si="358"/>
        <v>0</v>
      </c>
    </row>
    <row r="5698" spans="1:23" hidden="1" x14ac:dyDescent="0.25">
      <c r="A5698" s="3">
        <v>46100</v>
      </c>
      <c r="B5698" s="4" t="s">
        <v>334</v>
      </c>
      <c r="C5698" s="4" t="s">
        <v>679</v>
      </c>
      <c r="D5698" s="4"/>
      <c r="E5698" s="4"/>
      <c r="F5698" s="46" t="s">
        <v>2735</v>
      </c>
      <c r="G5698" s="4" t="s">
        <v>336</v>
      </c>
      <c r="H5698" s="4" t="s">
        <v>289</v>
      </c>
      <c r="I5698" s="4">
        <v>0.25</v>
      </c>
      <c r="J5698" s="21">
        <v>200</v>
      </c>
      <c r="K5698" s="21">
        <v>0</v>
      </c>
      <c r="L5698" s="5">
        <v>0</v>
      </c>
      <c r="M5698" s="4"/>
      <c r="N5698" s="4"/>
      <c r="O5698" s="5"/>
      <c r="P5698" s="5"/>
      <c r="Q5698" s="21">
        <v>50</v>
      </c>
      <c r="R5698" s="21">
        <v>0</v>
      </c>
      <c r="S5698" s="5">
        <f t="shared" si="355"/>
        <v>63631.642167016107</v>
      </c>
      <c r="T5698" cm="1">
        <f t="array" ref="T5698">IF(OR(B5698="MAL ALIMI", B5698="ÜRETİM GİRİŞ"), MIN(I5698, MAX(0, I5698 + SUM(SUMIFS($I$1:I5697, $C$1:C5697, C5698, $B$1:B5697, {"MAL ALIMI","ÜRETİM GİRİŞ"})) - VLOOKUP(C5698, 'STOK RAPORU'!$C$2:$I$1000, 4, 0))), 0)</f>
        <v>0</v>
      </c>
      <c r="U5698" s="22">
        <f t="shared" si="356"/>
        <v>0</v>
      </c>
      <c r="V5698">
        <f t="shared" si="357"/>
        <v>0</v>
      </c>
      <c r="W5698" s="22">
        <f t="shared" si="358"/>
        <v>0</v>
      </c>
    </row>
    <row r="5699" spans="1:23" hidden="1" x14ac:dyDescent="0.25">
      <c r="A5699" s="3">
        <v>46100</v>
      </c>
      <c r="B5699" s="4" t="s">
        <v>334</v>
      </c>
      <c r="C5699" s="4" t="s">
        <v>158</v>
      </c>
      <c r="D5699" s="4"/>
      <c r="E5699" s="4"/>
      <c r="F5699" s="46" t="s">
        <v>2736</v>
      </c>
      <c r="G5699" s="4" t="s">
        <v>336</v>
      </c>
      <c r="H5699" s="4" t="s">
        <v>289</v>
      </c>
      <c r="I5699" s="4">
        <v>4</v>
      </c>
      <c r="J5699" s="21">
        <v>150</v>
      </c>
      <c r="K5699" s="21">
        <v>0</v>
      </c>
      <c r="L5699" s="5">
        <v>0</v>
      </c>
      <c r="M5699" s="4"/>
      <c r="N5699" s="4"/>
      <c r="O5699" s="5"/>
      <c r="P5699" s="5"/>
      <c r="Q5699" s="21">
        <v>600</v>
      </c>
      <c r="R5699" s="21">
        <v>0</v>
      </c>
      <c r="S5699" s="5">
        <f t="shared" si="355"/>
        <v>64231.642167016107</v>
      </c>
      <c r="T5699" cm="1">
        <f t="array" ref="T5699">IF(OR(B5699="MAL ALIMI", B5699="ÜRETİM GİRİŞ"), MIN(I5699, MAX(0, I5699 + SUM(SUMIFS($I$1:I5698, $C$1:C5698, C5699, $B$1:B5698, {"MAL ALIMI","ÜRETİM GİRİŞ"})) - VLOOKUP(C5699, 'STOK RAPORU'!$C$2:$I$1000, 4, 0))), 0)</f>
        <v>0</v>
      </c>
      <c r="U5699" s="22">
        <f t="shared" si="356"/>
        <v>0</v>
      </c>
      <c r="V5699">
        <f t="shared" si="357"/>
        <v>0</v>
      </c>
      <c r="W5699" s="22">
        <f t="shared" si="358"/>
        <v>0</v>
      </c>
    </row>
    <row r="5700" spans="1:23" hidden="1" x14ac:dyDescent="0.25">
      <c r="A5700" s="3">
        <v>46100</v>
      </c>
      <c r="B5700" s="4" t="s">
        <v>334</v>
      </c>
      <c r="C5700" s="4" t="s">
        <v>96</v>
      </c>
      <c r="D5700" s="4"/>
      <c r="E5700" s="4"/>
      <c r="F5700" s="46" t="s">
        <v>2737</v>
      </c>
      <c r="G5700" s="4" t="s">
        <v>336</v>
      </c>
      <c r="H5700" s="4" t="s">
        <v>289</v>
      </c>
      <c r="I5700" s="4">
        <v>0.5</v>
      </c>
      <c r="J5700" s="21">
        <v>400</v>
      </c>
      <c r="K5700" s="21">
        <v>0</v>
      </c>
      <c r="L5700" s="5">
        <v>0</v>
      </c>
      <c r="M5700" s="4"/>
      <c r="N5700" s="4"/>
      <c r="O5700" s="5"/>
      <c r="P5700" s="5"/>
      <c r="Q5700" s="21">
        <v>200</v>
      </c>
      <c r="R5700" s="21">
        <v>0</v>
      </c>
      <c r="S5700" s="5">
        <f t="shared" ref="S5700:S5763" si="359">S5699+Q5700-R5700</f>
        <v>64431.642167016107</v>
      </c>
      <c r="T5700" cm="1">
        <f t="array" ref="T5700">IF(OR(B5700="MAL ALIMI", B5700="ÜRETİM GİRİŞ"), MIN(I5700, MAX(0, I5700 + SUM(SUMIFS($I$1:I5699, $C$1:C5699, C5700, $B$1:B5699, {"MAL ALIMI","ÜRETİM GİRİŞ"})) - VLOOKUP(C5700, 'STOK RAPORU'!$C$2:$I$1000, 4, 0))), 0)</f>
        <v>0</v>
      </c>
      <c r="U5700" s="22">
        <f t="shared" si="356"/>
        <v>0</v>
      </c>
      <c r="V5700">
        <f t="shared" si="357"/>
        <v>0</v>
      </c>
      <c r="W5700" s="22">
        <f t="shared" si="358"/>
        <v>0</v>
      </c>
    </row>
    <row r="5701" spans="1:23" hidden="1" x14ac:dyDescent="0.25">
      <c r="A5701" s="41">
        <v>46100</v>
      </c>
      <c r="B5701" s="42" t="s">
        <v>334</v>
      </c>
      <c r="C5701" s="42" t="s">
        <v>96</v>
      </c>
      <c r="D5701" s="42"/>
      <c r="E5701" s="42"/>
      <c r="F5701" s="42" t="s">
        <v>2738</v>
      </c>
      <c r="G5701" s="42" t="s">
        <v>1605</v>
      </c>
      <c r="H5701" s="42" t="s">
        <v>289</v>
      </c>
      <c r="I5701" s="42">
        <v>1</v>
      </c>
      <c r="J5701" s="43">
        <v>400</v>
      </c>
      <c r="K5701" s="43">
        <v>0</v>
      </c>
      <c r="L5701" s="44">
        <v>0</v>
      </c>
      <c r="M5701" s="42"/>
      <c r="N5701" s="42"/>
      <c r="O5701" s="44"/>
      <c r="P5701" s="44"/>
      <c r="Q5701" s="43">
        <v>400</v>
      </c>
      <c r="R5701" s="43">
        <v>0</v>
      </c>
      <c r="S5701" s="5">
        <f t="shared" si="359"/>
        <v>64831.642167016107</v>
      </c>
      <c r="T5701" cm="1">
        <f t="array" ref="T5701">IF(OR(B5701="MAL ALIMI", B5701="ÜRETİM GİRİŞ"), MIN(I5701, MAX(0, I5701 + SUM(SUMIFS($I$1:I5700, $C$1:C5700, C5701, $B$1:B5700, {"MAL ALIMI","ÜRETİM GİRİŞ"})) - VLOOKUP(C5701, 'STOK RAPORU'!$C$2:$I$1000, 4, 0))), 0)</f>
        <v>0</v>
      </c>
      <c r="U5701" s="22">
        <f t="shared" si="356"/>
        <v>0</v>
      </c>
      <c r="V5701">
        <f t="shared" si="357"/>
        <v>0</v>
      </c>
      <c r="W5701" s="22">
        <f t="shared" si="358"/>
        <v>0</v>
      </c>
    </row>
    <row r="5702" spans="1:23" hidden="1" x14ac:dyDescent="0.25">
      <c r="A5702" s="41">
        <v>46100</v>
      </c>
      <c r="B5702" s="42" t="s">
        <v>334</v>
      </c>
      <c r="C5702" s="42" t="s">
        <v>1150</v>
      </c>
      <c r="D5702" s="42"/>
      <c r="E5702" s="42"/>
      <c r="F5702" s="42" t="s">
        <v>2738</v>
      </c>
      <c r="G5702" s="42" t="s">
        <v>1605</v>
      </c>
      <c r="H5702" s="42" t="s">
        <v>289</v>
      </c>
      <c r="I5702" s="42">
        <v>1</v>
      </c>
      <c r="J5702" s="43">
        <v>500</v>
      </c>
      <c r="K5702" s="43">
        <v>0</v>
      </c>
      <c r="L5702" s="44">
        <v>0</v>
      </c>
      <c r="M5702" s="42"/>
      <c r="N5702" s="42"/>
      <c r="O5702" s="44"/>
      <c r="P5702" s="44"/>
      <c r="Q5702" s="43">
        <v>500</v>
      </c>
      <c r="R5702" s="43">
        <v>0</v>
      </c>
      <c r="S5702" s="5">
        <f t="shared" si="359"/>
        <v>65331.642167016107</v>
      </c>
      <c r="T5702" cm="1">
        <f t="array" ref="T5702">IF(OR(B5702="MAL ALIMI", B5702="ÜRETİM GİRİŞ"), MIN(I5702, MAX(0, I5702 + SUM(SUMIFS($I$1:I5701, $C$1:C5701, C5702, $B$1:B5701, {"MAL ALIMI","ÜRETİM GİRİŞ"})) - VLOOKUP(C5702, 'STOK RAPORU'!$C$2:$I$1000, 4, 0))), 0)</f>
        <v>0</v>
      </c>
      <c r="U5702" s="22">
        <f t="shared" si="356"/>
        <v>0</v>
      </c>
      <c r="V5702">
        <f t="shared" si="357"/>
        <v>0</v>
      </c>
      <c r="W5702" s="22">
        <f t="shared" si="358"/>
        <v>0</v>
      </c>
    </row>
    <row r="5703" spans="1:23" hidden="1" x14ac:dyDescent="0.25">
      <c r="A5703" s="41">
        <v>46100</v>
      </c>
      <c r="B5703" s="42" t="s">
        <v>334</v>
      </c>
      <c r="C5703" s="42" t="s">
        <v>2120</v>
      </c>
      <c r="D5703" s="42"/>
      <c r="E5703" s="42"/>
      <c r="F5703" s="42" t="s">
        <v>2738</v>
      </c>
      <c r="G5703" s="42" t="s">
        <v>3107</v>
      </c>
      <c r="H5703" s="4" t="s">
        <v>289</v>
      </c>
      <c r="I5703" s="42">
        <v>1</v>
      </c>
      <c r="J5703" s="43">
        <v>50</v>
      </c>
      <c r="K5703" s="43">
        <v>0</v>
      </c>
      <c r="L5703" s="44">
        <v>0</v>
      </c>
      <c r="M5703" s="42"/>
      <c r="N5703" s="42"/>
      <c r="O5703" s="44"/>
      <c r="P5703" s="44"/>
      <c r="Q5703" s="43">
        <v>50</v>
      </c>
      <c r="R5703" s="43">
        <v>0</v>
      </c>
      <c r="S5703" s="5">
        <f t="shared" si="359"/>
        <v>65381.642167016107</v>
      </c>
      <c r="T5703" cm="1">
        <f t="array" ref="T5703">IF(OR(B5703="MAL ALIMI", B5703="ÜRETİM GİRİŞ"), MIN(I5703, MAX(0, I5703 + SUM(SUMIFS($I$1:I5702, $C$1:C5702, C5703, $B$1:B5702, {"MAL ALIMI","ÜRETİM GİRİŞ"})) - VLOOKUP(C5703, 'STOK RAPORU'!$C$2:$I$1000, 4, 0))), 0)</f>
        <v>0</v>
      </c>
      <c r="U5703" s="22">
        <f t="shared" si="356"/>
        <v>0</v>
      </c>
      <c r="V5703">
        <f t="shared" si="357"/>
        <v>0</v>
      </c>
      <c r="W5703" s="22">
        <f t="shared" si="358"/>
        <v>0</v>
      </c>
    </row>
    <row r="5704" spans="1:23" hidden="1" x14ac:dyDescent="0.25">
      <c r="A5704" s="3">
        <v>46100</v>
      </c>
      <c r="B5704" s="4" t="s">
        <v>334</v>
      </c>
      <c r="C5704" s="4" t="s">
        <v>158</v>
      </c>
      <c r="D5704" s="4"/>
      <c r="E5704" s="4"/>
      <c r="F5704" s="46" t="s">
        <v>2739</v>
      </c>
      <c r="G5704" s="4" t="s">
        <v>2740</v>
      </c>
      <c r="H5704" s="4" t="s">
        <v>289</v>
      </c>
      <c r="I5704" s="4">
        <v>2</v>
      </c>
      <c r="J5704" s="21">
        <v>150</v>
      </c>
      <c r="K5704" s="21">
        <v>0</v>
      </c>
      <c r="L5704" s="5">
        <v>0</v>
      </c>
      <c r="M5704" s="4"/>
      <c r="N5704" s="4"/>
      <c r="O5704" s="5"/>
      <c r="P5704" s="5"/>
      <c r="Q5704" s="21">
        <v>300</v>
      </c>
      <c r="R5704" s="21">
        <v>0</v>
      </c>
      <c r="S5704" s="5">
        <f t="shared" si="359"/>
        <v>65681.642167016107</v>
      </c>
      <c r="T5704" cm="1">
        <f t="array" ref="T5704">IF(OR(B5704="MAL ALIMI", B5704="ÜRETİM GİRİŞ"), MIN(I5704, MAX(0, I5704 + SUM(SUMIFS($I$1:I5703, $C$1:C5703, C5704, $B$1:B5703, {"MAL ALIMI","ÜRETİM GİRİŞ"})) - VLOOKUP(C5704, 'STOK RAPORU'!$C$2:$I$1000, 4, 0))), 0)</f>
        <v>0</v>
      </c>
      <c r="U5704" s="22">
        <f t="shared" si="356"/>
        <v>0</v>
      </c>
      <c r="V5704">
        <f t="shared" si="357"/>
        <v>0</v>
      </c>
      <c r="W5704" s="22">
        <f t="shared" si="358"/>
        <v>0</v>
      </c>
    </row>
    <row r="5705" spans="1:23" hidden="1" x14ac:dyDescent="0.25">
      <c r="A5705" s="3">
        <v>46100</v>
      </c>
      <c r="B5705" s="4" t="s">
        <v>334</v>
      </c>
      <c r="C5705" s="4" t="s">
        <v>92</v>
      </c>
      <c r="D5705" s="4"/>
      <c r="E5705" s="4"/>
      <c r="F5705" s="46" t="s">
        <v>2739</v>
      </c>
      <c r="G5705" s="4" t="s">
        <v>2740</v>
      </c>
      <c r="H5705" s="4" t="s">
        <v>289</v>
      </c>
      <c r="I5705" s="4">
        <v>0.2</v>
      </c>
      <c r="J5705" s="21">
        <v>500</v>
      </c>
      <c r="K5705" s="21">
        <v>0</v>
      </c>
      <c r="L5705" s="5">
        <v>0</v>
      </c>
      <c r="M5705" s="4"/>
      <c r="N5705" s="4"/>
      <c r="O5705" s="5"/>
      <c r="P5705" s="5"/>
      <c r="Q5705" s="21">
        <v>100</v>
      </c>
      <c r="R5705" s="21">
        <v>0</v>
      </c>
      <c r="S5705" s="5">
        <f t="shared" si="359"/>
        <v>65781.642167016107</v>
      </c>
      <c r="T5705" cm="1">
        <f t="array" ref="T5705">IF(OR(B5705="MAL ALIMI", B5705="ÜRETİM GİRİŞ"), MIN(I5705, MAX(0, I5705 + SUM(SUMIFS($I$1:I5704, $C$1:C5704, C5705, $B$1:B5704, {"MAL ALIMI","ÜRETİM GİRİŞ"})) - VLOOKUP(C5705, 'STOK RAPORU'!$C$2:$I$1000, 4, 0))), 0)</f>
        <v>0</v>
      </c>
      <c r="U5705" s="22">
        <f t="shared" si="356"/>
        <v>0</v>
      </c>
      <c r="V5705">
        <f t="shared" si="357"/>
        <v>0</v>
      </c>
      <c r="W5705" s="22">
        <f t="shared" si="358"/>
        <v>0</v>
      </c>
    </row>
    <row r="5706" spans="1:23" hidden="1" x14ac:dyDescent="0.25">
      <c r="A5706" s="3">
        <v>46100</v>
      </c>
      <c r="B5706" s="4" t="s">
        <v>334</v>
      </c>
      <c r="C5706" s="4" t="s">
        <v>202</v>
      </c>
      <c r="D5706" s="4"/>
      <c r="E5706" s="4"/>
      <c r="F5706" s="46" t="s">
        <v>2739</v>
      </c>
      <c r="G5706" s="4" t="s">
        <v>2740</v>
      </c>
      <c r="H5706" s="4" t="s">
        <v>289</v>
      </c>
      <c r="I5706" s="4">
        <v>1</v>
      </c>
      <c r="J5706" s="21">
        <v>90</v>
      </c>
      <c r="K5706" s="21">
        <v>0</v>
      </c>
      <c r="L5706" s="5">
        <v>0</v>
      </c>
      <c r="M5706" s="4"/>
      <c r="N5706" s="4"/>
      <c r="O5706" s="5"/>
      <c r="P5706" s="5"/>
      <c r="Q5706" s="21">
        <v>90</v>
      </c>
      <c r="R5706" s="21">
        <v>0</v>
      </c>
      <c r="S5706" s="5">
        <f t="shared" si="359"/>
        <v>65871.642167016107</v>
      </c>
      <c r="T5706" cm="1">
        <f t="array" ref="T5706">IF(OR(B5706="MAL ALIMI", B5706="ÜRETİM GİRİŞ"), MIN(I5706, MAX(0, I5706 + SUM(SUMIFS($I$1:I5705, $C$1:C5705, C5706, $B$1:B5705, {"MAL ALIMI","ÜRETİM GİRİŞ"})) - VLOOKUP(C5706, 'STOK RAPORU'!$C$2:$I$1000, 4, 0))), 0)</f>
        <v>0</v>
      </c>
      <c r="U5706" s="22">
        <f t="shared" si="356"/>
        <v>0</v>
      </c>
      <c r="V5706">
        <f t="shared" si="357"/>
        <v>0</v>
      </c>
      <c r="W5706" s="22">
        <f t="shared" si="358"/>
        <v>0</v>
      </c>
    </row>
    <row r="5707" spans="1:23" hidden="1" x14ac:dyDescent="0.25">
      <c r="A5707" s="3">
        <v>46100</v>
      </c>
      <c r="B5707" s="4" t="s">
        <v>334</v>
      </c>
      <c r="C5707" s="4" t="s">
        <v>131</v>
      </c>
      <c r="D5707" s="4"/>
      <c r="E5707" s="4"/>
      <c r="F5707" s="46" t="s">
        <v>2739</v>
      </c>
      <c r="G5707" s="4" t="s">
        <v>2740</v>
      </c>
      <c r="H5707" s="4" t="s">
        <v>289</v>
      </c>
      <c r="I5707" s="4">
        <v>0.125</v>
      </c>
      <c r="J5707" s="21">
        <v>400</v>
      </c>
      <c r="K5707" s="21">
        <v>0</v>
      </c>
      <c r="L5707" s="5">
        <v>0</v>
      </c>
      <c r="M5707" s="4"/>
      <c r="N5707" s="4"/>
      <c r="O5707" s="5"/>
      <c r="P5707" s="5"/>
      <c r="Q5707" s="21">
        <v>50</v>
      </c>
      <c r="R5707" s="21">
        <v>0</v>
      </c>
      <c r="S5707" s="5">
        <f t="shared" si="359"/>
        <v>65921.642167016107</v>
      </c>
      <c r="T5707" cm="1">
        <f t="array" ref="T5707">IF(OR(B5707="MAL ALIMI", B5707="ÜRETİM GİRİŞ"), MIN(I5707, MAX(0, I5707 + SUM(SUMIFS($I$1:I5706, $C$1:C5706, C5707, $B$1:B5706, {"MAL ALIMI","ÜRETİM GİRİŞ"})) - VLOOKUP(C5707, 'STOK RAPORU'!$C$2:$I$1000, 4, 0))), 0)</f>
        <v>0</v>
      </c>
      <c r="U5707" s="22">
        <f t="shared" si="356"/>
        <v>0</v>
      </c>
      <c r="V5707">
        <f t="shared" si="357"/>
        <v>0</v>
      </c>
      <c r="W5707" s="22">
        <f t="shared" si="358"/>
        <v>0</v>
      </c>
    </row>
    <row r="5708" spans="1:23" hidden="1" x14ac:dyDescent="0.25">
      <c r="A5708" s="41">
        <v>46100</v>
      </c>
      <c r="B5708" s="42" t="s">
        <v>334</v>
      </c>
      <c r="C5708" s="42" t="s">
        <v>2120</v>
      </c>
      <c r="D5708" s="42"/>
      <c r="E5708" s="42"/>
      <c r="F5708" s="42" t="s">
        <v>2741</v>
      </c>
      <c r="G5708" s="42" t="s">
        <v>1610</v>
      </c>
      <c r="H5708" s="4" t="s">
        <v>289</v>
      </c>
      <c r="I5708" s="42">
        <v>3.0769230769230771</v>
      </c>
      <c r="J5708" s="43">
        <v>65</v>
      </c>
      <c r="K5708" s="43">
        <v>0</v>
      </c>
      <c r="L5708" s="44">
        <v>0</v>
      </c>
      <c r="M5708" s="42"/>
      <c r="N5708" s="42"/>
      <c r="O5708" s="44"/>
      <c r="P5708" s="44"/>
      <c r="Q5708" s="43">
        <v>200</v>
      </c>
      <c r="R5708" s="43">
        <v>0</v>
      </c>
      <c r="S5708" s="5">
        <f t="shared" si="359"/>
        <v>66121.642167016107</v>
      </c>
      <c r="T5708" cm="1">
        <f t="array" ref="T5708">IF(OR(B5708="MAL ALIMI", B5708="ÜRETİM GİRİŞ"), MIN(I5708, MAX(0, I5708 + SUM(SUMIFS($I$1:I5707, $C$1:C5707, C5708, $B$1:B5707, {"MAL ALIMI","ÜRETİM GİRİŞ"})) - VLOOKUP(C5708, 'STOK RAPORU'!$C$2:$I$1000, 4, 0))), 0)</f>
        <v>0</v>
      </c>
      <c r="U5708" s="22">
        <f t="shared" si="356"/>
        <v>0</v>
      </c>
      <c r="V5708">
        <f t="shared" si="357"/>
        <v>0</v>
      </c>
      <c r="W5708" s="22">
        <f t="shared" si="358"/>
        <v>0</v>
      </c>
    </row>
    <row r="5709" spans="1:23" hidden="1" x14ac:dyDescent="0.25">
      <c r="A5709" s="41">
        <v>46100</v>
      </c>
      <c r="B5709" s="42" t="s">
        <v>334</v>
      </c>
      <c r="C5709" s="42" t="s">
        <v>131</v>
      </c>
      <c r="D5709" s="42"/>
      <c r="E5709" s="42"/>
      <c r="F5709" s="42" t="s">
        <v>2741</v>
      </c>
      <c r="G5709" s="42" t="s">
        <v>1610</v>
      </c>
      <c r="H5709" s="4" t="s">
        <v>289</v>
      </c>
      <c r="I5709" s="42">
        <v>0.5</v>
      </c>
      <c r="J5709" s="43">
        <v>400</v>
      </c>
      <c r="K5709" s="43">
        <v>0</v>
      </c>
      <c r="L5709" s="44">
        <v>0</v>
      </c>
      <c r="M5709" s="42"/>
      <c r="N5709" s="42"/>
      <c r="O5709" s="44"/>
      <c r="P5709" s="44"/>
      <c r="Q5709" s="43">
        <v>200</v>
      </c>
      <c r="R5709" s="43">
        <v>0</v>
      </c>
      <c r="S5709" s="5">
        <f t="shared" si="359"/>
        <v>66321.642167016107</v>
      </c>
      <c r="T5709" cm="1">
        <f t="array" ref="T5709">IF(OR(B5709="MAL ALIMI", B5709="ÜRETİM GİRİŞ"), MIN(I5709, MAX(0, I5709 + SUM(SUMIFS($I$1:I5708, $C$1:C5708, C5709, $B$1:B5708, {"MAL ALIMI","ÜRETİM GİRİŞ"})) - VLOOKUP(C5709, 'STOK RAPORU'!$C$2:$I$1000, 4, 0))), 0)</f>
        <v>0</v>
      </c>
      <c r="U5709" s="22">
        <f t="shared" si="356"/>
        <v>0</v>
      </c>
      <c r="V5709">
        <f t="shared" si="357"/>
        <v>0</v>
      </c>
      <c r="W5709" s="22">
        <f t="shared" si="358"/>
        <v>0</v>
      </c>
    </row>
    <row r="5710" spans="1:23" hidden="1" x14ac:dyDescent="0.25">
      <c r="A5710" s="41">
        <v>46100</v>
      </c>
      <c r="B5710" s="42" t="s">
        <v>334</v>
      </c>
      <c r="C5710" s="42" t="s">
        <v>91</v>
      </c>
      <c r="D5710" s="42"/>
      <c r="E5710" s="42"/>
      <c r="F5710" s="42" t="s">
        <v>2741</v>
      </c>
      <c r="G5710" s="42" t="s">
        <v>1610</v>
      </c>
      <c r="H5710" s="4" t="s">
        <v>289</v>
      </c>
      <c r="I5710" s="42">
        <v>0.33333333333333331</v>
      </c>
      <c r="J5710" s="43">
        <v>750</v>
      </c>
      <c r="K5710" s="43">
        <v>0</v>
      </c>
      <c r="L5710" s="44">
        <v>0</v>
      </c>
      <c r="M5710" s="42"/>
      <c r="N5710" s="42"/>
      <c r="O5710" s="44"/>
      <c r="P5710" s="44"/>
      <c r="Q5710" s="43">
        <v>250</v>
      </c>
      <c r="R5710" s="43">
        <v>0</v>
      </c>
      <c r="S5710" s="5">
        <f t="shared" si="359"/>
        <v>66571.642167016107</v>
      </c>
      <c r="T5710" cm="1">
        <f t="array" ref="T5710">IF(OR(B5710="MAL ALIMI", B5710="ÜRETİM GİRİŞ"), MIN(I5710, MAX(0, I5710 + SUM(SUMIFS($I$1:I5709, $C$1:C5709, C5710, $B$1:B5709, {"MAL ALIMI","ÜRETİM GİRİŞ"})) - VLOOKUP(C5710, 'STOK RAPORU'!$C$2:$I$1000, 4, 0))), 0)</f>
        <v>0</v>
      </c>
      <c r="U5710" s="22">
        <f t="shared" si="356"/>
        <v>0</v>
      </c>
      <c r="V5710">
        <f t="shared" si="357"/>
        <v>0</v>
      </c>
      <c r="W5710" s="22">
        <f t="shared" si="358"/>
        <v>0</v>
      </c>
    </row>
    <row r="5711" spans="1:23" hidden="1" x14ac:dyDescent="0.25">
      <c r="A5711" s="41">
        <v>46100</v>
      </c>
      <c r="B5711" s="42" t="s">
        <v>334</v>
      </c>
      <c r="C5711" s="42" t="s">
        <v>96</v>
      </c>
      <c r="D5711" s="42"/>
      <c r="E5711" s="42"/>
      <c r="F5711" s="42" t="s">
        <v>2741</v>
      </c>
      <c r="G5711" s="42" t="s">
        <v>1610</v>
      </c>
      <c r="H5711" s="4" t="s">
        <v>289</v>
      </c>
      <c r="I5711" s="42">
        <v>1.25</v>
      </c>
      <c r="J5711" s="43">
        <v>400</v>
      </c>
      <c r="K5711" s="43">
        <v>0</v>
      </c>
      <c r="L5711" s="44">
        <v>0</v>
      </c>
      <c r="M5711" s="42"/>
      <c r="N5711" s="42"/>
      <c r="O5711" s="44"/>
      <c r="P5711" s="44"/>
      <c r="Q5711" s="43">
        <v>500</v>
      </c>
      <c r="R5711" s="43">
        <v>0</v>
      </c>
      <c r="S5711" s="5">
        <f t="shared" si="359"/>
        <v>67071.642167016107</v>
      </c>
      <c r="T5711" cm="1">
        <f t="array" ref="T5711">IF(OR(B5711="MAL ALIMI", B5711="ÜRETİM GİRİŞ"), MIN(I5711, MAX(0, I5711 + SUM(SUMIFS($I$1:I5710, $C$1:C5710, C5711, $B$1:B5710, {"MAL ALIMI","ÜRETİM GİRİŞ"})) - VLOOKUP(C5711, 'STOK RAPORU'!$C$2:$I$1000, 4, 0))), 0)</f>
        <v>0</v>
      </c>
      <c r="U5711" s="22">
        <f t="shared" si="356"/>
        <v>0</v>
      </c>
      <c r="V5711">
        <f t="shared" si="357"/>
        <v>0</v>
      </c>
      <c r="W5711" s="22">
        <f t="shared" si="358"/>
        <v>0</v>
      </c>
    </row>
    <row r="5712" spans="1:23" hidden="1" x14ac:dyDescent="0.25">
      <c r="A5712" s="41">
        <v>46100</v>
      </c>
      <c r="B5712" s="42" t="s">
        <v>334</v>
      </c>
      <c r="C5712" s="42" t="s">
        <v>92</v>
      </c>
      <c r="D5712" s="42"/>
      <c r="E5712" s="42"/>
      <c r="F5712" s="42" t="s">
        <v>2741</v>
      </c>
      <c r="G5712" s="42" t="s">
        <v>1610</v>
      </c>
      <c r="H5712" s="4" t="s">
        <v>289</v>
      </c>
      <c r="I5712" s="42">
        <v>1</v>
      </c>
      <c r="J5712" s="43">
        <v>500</v>
      </c>
      <c r="K5712" s="43">
        <v>0</v>
      </c>
      <c r="L5712" s="44">
        <v>0</v>
      </c>
      <c r="M5712" s="42"/>
      <c r="N5712" s="42"/>
      <c r="O5712" s="44"/>
      <c r="P5712" s="44"/>
      <c r="Q5712" s="43">
        <v>500</v>
      </c>
      <c r="R5712" s="43">
        <v>0</v>
      </c>
      <c r="S5712" s="5">
        <f t="shared" si="359"/>
        <v>67571.642167016107</v>
      </c>
      <c r="T5712" cm="1">
        <f t="array" ref="T5712">IF(OR(B5712="MAL ALIMI", B5712="ÜRETİM GİRİŞ"), MIN(I5712, MAX(0, I5712 + SUM(SUMIFS($I$1:I5711, $C$1:C5711, C5712, $B$1:B5711, {"MAL ALIMI","ÜRETİM GİRİŞ"})) - VLOOKUP(C5712, 'STOK RAPORU'!$C$2:$I$1000, 4, 0))), 0)</f>
        <v>0</v>
      </c>
      <c r="U5712" s="22">
        <f t="shared" si="356"/>
        <v>0</v>
      </c>
      <c r="V5712">
        <f t="shared" si="357"/>
        <v>0</v>
      </c>
      <c r="W5712" s="22">
        <f t="shared" si="358"/>
        <v>0</v>
      </c>
    </row>
    <row r="5713" spans="1:23" hidden="1" x14ac:dyDescent="0.25">
      <c r="A5713" s="41">
        <v>46100</v>
      </c>
      <c r="B5713" s="42" t="s">
        <v>334</v>
      </c>
      <c r="C5713" s="42" t="s">
        <v>126</v>
      </c>
      <c r="D5713" s="42"/>
      <c r="E5713" s="42"/>
      <c r="F5713" s="42" t="s">
        <v>2741</v>
      </c>
      <c r="G5713" s="42" t="s">
        <v>1610</v>
      </c>
      <c r="H5713" s="4" t="s">
        <v>289</v>
      </c>
      <c r="I5713" s="42">
        <v>0.76923076923076927</v>
      </c>
      <c r="J5713" s="43">
        <v>650</v>
      </c>
      <c r="K5713" s="43">
        <v>0</v>
      </c>
      <c r="L5713" s="44">
        <v>0</v>
      </c>
      <c r="M5713" s="42"/>
      <c r="N5713" s="42"/>
      <c r="O5713" s="44"/>
      <c r="P5713" s="44"/>
      <c r="Q5713" s="43">
        <v>500</v>
      </c>
      <c r="R5713" s="43">
        <v>0</v>
      </c>
      <c r="S5713" s="5">
        <f t="shared" si="359"/>
        <v>68071.642167016107</v>
      </c>
      <c r="T5713" cm="1">
        <f t="array" ref="T5713">IF(OR(B5713="MAL ALIMI", B5713="ÜRETİM GİRİŞ"), MIN(I5713, MAX(0, I5713 + SUM(SUMIFS($I$1:I5712, $C$1:C5712, C5713, $B$1:B5712, {"MAL ALIMI","ÜRETİM GİRİŞ"})) - VLOOKUP(C5713, 'STOK RAPORU'!$C$2:$I$1000, 4, 0))), 0)</f>
        <v>0</v>
      </c>
      <c r="U5713" s="22">
        <f t="shared" si="356"/>
        <v>0</v>
      </c>
      <c r="V5713">
        <f t="shared" si="357"/>
        <v>0</v>
      </c>
      <c r="W5713" s="22">
        <f t="shared" si="358"/>
        <v>0</v>
      </c>
    </row>
    <row r="5714" spans="1:23" hidden="1" x14ac:dyDescent="0.25">
      <c r="A5714" s="41">
        <v>46100</v>
      </c>
      <c r="B5714" s="42" t="s">
        <v>334</v>
      </c>
      <c r="C5714" s="42" t="s">
        <v>163</v>
      </c>
      <c r="D5714" s="42"/>
      <c r="E5714" s="42"/>
      <c r="F5714" s="42" t="s">
        <v>2741</v>
      </c>
      <c r="G5714" s="42" t="s">
        <v>1610</v>
      </c>
      <c r="H5714" s="4" t="s">
        <v>289</v>
      </c>
      <c r="I5714" s="42">
        <v>1.1111111111111112</v>
      </c>
      <c r="J5714" s="43">
        <v>450</v>
      </c>
      <c r="K5714" s="43">
        <v>0</v>
      </c>
      <c r="L5714" s="44">
        <v>0</v>
      </c>
      <c r="M5714" s="42"/>
      <c r="N5714" s="42"/>
      <c r="O5714" s="44"/>
      <c r="P5714" s="44"/>
      <c r="Q5714" s="43">
        <v>500</v>
      </c>
      <c r="R5714" s="43">
        <v>0</v>
      </c>
      <c r="S5714" s="5">
        <f t="shared" si="359"/>
        <v>68571.642167016107</v>
      </c>
      <c r="T5714" cm="1">
        <f t="array" ref="T5714">IF(OR(B5714="MAL ALIMI", B5714="ÜRETİM GİRİŞ"), MIN(I5714, MAX(0, I5714 + SUM(SUMIFS($I$1:I5713, $C$1:C5713, C5714, $B$1:B5713, {"MAL ALIMI","ÜRETİM GİRİŞ"})) - VLOOKUP(C5714, 'STOK RAPORU'!$C$2:$I$1000, 4, 0))), 0)</f>
        <v>0</v>
      </c>
      <c r="U5714" s="22">
        <f t="shared" si="356"/>
        <v>0</v>
      </c>
      <c r="V5714">
        <f t="shared" si="357"/>
        <v>0</v>
      </c>
      <c r="W5714" s="22">
        <f t="shared" si="358"/>
        <v>0</v>
      </c>
    </row>
    <row r="5715" spans="1:23" hidden="1" x14ac:dyDescent="0.25">
      <c r="A5715" s="41">
        <v>46100</v>
      </c>
      <c r="B5715" s="42" t="s">
        <v>334</v>
      </c>
      <c r="C5715" s="42" t="s">
        <v>463</v>
      </c>
      <c r="D5715" s="42"/>
      <c r="E5715" s="42"/>
      <c r="F5715" s="42" t="s">
        <v>2741</v>
      </c>
      <c r="G5715" s="42" t="s">
        <v>1610</v>
      </c>
      <c r="H5715" s="4" t="s">
        <v>289</v>
      </c>
      <c r="I5715" s="42">
        <v>1.25</v>
      </c>
      <c r="J5715" s="43">
        <v>400</v>
      </c>
      <c r="K5715" s="43">
        <v>0</v>
      </c>
      <c r="L5715" s="44">
        <v>0</v>
      </c>
      <c r="M5715" s="42"/>
      <c r="N5715" s="42"/>
      <c r="O5715" s="44"/>
      <c r="P5715" s="44"/>
      <c r="Q5715" s="43">
        <v>500</v>
      </c>
      <c r="R5715" s="43">
        <v>0</v>
      </c>
      <c r="S5715" s="5">
        <f t="shared" si="359"/>
        <v>69071.642167016107</v>
      </c>
      <c r="T5715" cm="1">
        <f t="array" ref="T5715">IF(OR(B5715="MAL ALIMI", B5715="ÜRETİM GİRİŞ"), MIN(I5715, MAX(0, I5715 + SUM(SUMIFS($I$1:I5714, $C$1:C5714, C5715, $B$1:B5714, {"MAL ALIMI","ÜRETİM GİRİŞ"})) - VLOOKUP(C5715, 'STOK RAPORU'!$C$2:$I$1000, 4, 0))), 0)</f>
        <v>0</v>
      </c>
      <c r="U5715" s="22">
        <f t="shared" si="356"/>
        <v>0</v>
      </c>
      <c r="V5715">
        <f t="shared" si="357"/>
        <v>0</v>
      </c>
      <c r="W5715" s="22">
        <f t="shared" si="358"/>
        <v>0</v>
      </c>
    </row>
    <row r="5716" spans="1:23" hidden="1" x14ac:dyDescent="0.25">
      <c r="A5716" s="41">
        <v>46100</v>
      </c>
      <c r="B5716" s="42" t="s">
        <v>334</v>
      </c>
      <c r="C5716" s="42" t="s">
        <v>160</v>
      </c>
      <c r="D5716" s="42"/>
      <c r="E5716" s="42"/>
      <c r="F5716" s="42" t="s">
        <v>2741</v>
      </c>
      <c r="G5716" s="42" t="s">
        <v>1610</v>
      </c>
      <c r="H5716" s="4" t="s">
        <v>289</v>
      </c>
      <c r="I5716" s="42">
        <v>5</v>
      </c>
      <c r="J5716" s="43">
        <v>250</v>
      </c>
      <c r="K5716" s="43">
        <v>0</v>
      </c>
      <c r="L5716" s="44">
        <v>0</v>
      </c>
      <c r="M5716" s="42"/>
      <c r="N5716" s="42"/>
      <c r="O5716" s="44"/>
      <c r="P5716" s="44"/>
      <c r="Q5716" s="43">
        <v>1250</v>
      </c>
      <c r="R5716" s="43">
        <v>0</v>
      </c>
      <c r="S5716" s="5">
        <f t="shared" si="359"/>
        <v>70321.642167016107</v>
      </c>
      <c r="T5716" cm="1">
        <f t="array" ref="T5716">IF(OR(B5716="MAL ALIMI", B5716="ÜRETİM GİRİŞ"), MIN(I5716, MAX(0, I5716 + SUM(SUMIFS($I$1:I5715, $C$1:C5715, C5716, $B$1:B5715, {"MAL ALIMI","ÜRETİM GİRİŞ"})) - VLOOKUP(C5716, 'STOK RAPORU'!$C$2:$I$1000, 4, 0))), 0)</f>
        <v>0</v>
      </c>
      <c r="U5716" s="22">
        <f t="shared" si="356"/>
        <v>0</v>
      </c>
      <c r="V5716">
        <f t="shared" si="357"/>
        <v>0</v>
      </c>
      <c r="W5716" s="22">
        <f t="shared" si="358"/>
        <v>0</v>
      </c>
    </row>
    <row r="5717" spans="1:23" hidden="1" x14ac:dyDescent="0.25">
      <c r="A5717" s="41">
        <v>46100</v>
      </c>
      <c r="B5717" s="42" t="s">
        <v>334</v>
      </c>
      <c r="C5717" s="42" t="s">
        <v>161</v>
      </c>
      <c r="D5717" s="42"/>
      <c r="E5717" s="42"/>
      <c r="F5717" s="42" t="s">
        <v>2741</v>
      </c>
      <c r="G5717" s="42" t="s">
        <v>1610</v>
      </c>
      <c r="H5717" s="4" t="s">
        <v>289</v>
      </c>
      <c r="I5717" s="42">
        <v>2</v>
      </c>
      <c r="J5717" s="43">
        <v>250</v>
      </c>
      <c r="K5717" s="43">
        <v>0</v>
      </c>
      <c r="L5717" s="44">
        <v>0</v>
      </c>
      <c r="M5717" s="42"/>
      <c r="N5717" s="42"/>
      <c r="O5717" s="44"/>
      <c r="P5717" s="44"/>
      <c r="Q5717" s="43">
        <v>500</v>
      </c>
      <c r="R5717" s="43">
        <v>0</v>
      </c>
      <c r="S5717" s="5">
        <f t="shared" si="359"/>
        <v>70821.642167016107</v>
      </c>
      <c r="T5717" cm="1">
        <f t="array" ref="T5717">IF(OR(B5717="MAL ALIMI", B5717="ÜRETİM GİRİŞ"), MIN(I5717, MAX(0, I5717 + SUM(SUMIFS($I$1:I5716, $C$1:C5716, C5717, $B$1:B5716, {"MAL ALIMI","ÜRETİM GİRİŞ"})) - VLOOKUP(C5717, 'STOK RAPORU'!$C$2:$I$1000, 4, 0))), 0)</f>
        <v>0</v>
      </c>
      <c r="U5717" s="22">
        <f t="shared" si="356"/>
        <v>0</v>
      </c>
      <c r="V5717">
        <f t="shared" si="357"/>
        <v>0</v>
      </c>
      <c r="W5717" s="22">
        <f t="shared" si="358"/>
        <v>0</v>
      </c>
    </row>
    <row r="5718" spans="1:23" hidden="1" x14ac:dyDescent="0.25">
      <c r="A5718" s="41">
        <v>46100</v>
      </c>
      <c r="B5718" s="42" t="s">
        <v>334</v>
      </c>
      <c r="C5718" s="42" t="s">
        <v>157</v>
      </c>
      <c r="D5718" s="42"/>
      <c r="E5718" s="42"/>
      <c r="F5718" s="42" t="s">
        <v>2741</v>
      </c>
      <c r="G5718" s="42" t="s">
        <v>1610</v>
      </c>
      <c r="H5718" s="4" t="s">
        <v>289</v>
      </c>
      <c r="I5718" s="42">
        <v>5</v>
      </c>
      <c r="J5718" s="43">
        <v>200</v>
      </c>
      <c r="K5718" s="43">
        <v>0</v>
      </c>
      <c r="L5718" s="44">
        <v>0</v>
      </c>
      <c r="M5718" s="42"/>
      <c r="N5718" s="42"/>
      <c r="O5718" s="44"/>
      <c r="P5718" s="44"/>
      <c r="Q5718" s="43">
        <v>1000</v>
      </c>
      <c r="R5718" s="43">
        <v>0</v>
      </c>
      <c r="S5718" s="5">
        <f t="shared" si="359"/>
        <v>71821.642167016107</v>
      </c>
      <c r="T5718" cm="1">
        <f t="array" ref="T5718">IF(OR(B5718="MAL ALIMI", B5718="ÜRETİM GİRİŞ"), MIN(I5718, MAX(0, I5718 + SUM(SUMIFS($I$1:I5717, $C$1:C5717, C5718, $B$1:B5717, {"MAL ALIMI","ÜRETİM GİRİŞ"})) - VLOOKUP(C5718, 'STOK RAPORU'!$C$2:$I$1000, 4, 0))), 0)</f>
        <v>0</v>
      </c>
      <c r="U5718" s="22">
        <f t="shared" si="356"/>
        <v>0</v>
      </c>
      <c r="V5718">
        <f t="shared" si="357"/>
        <v>0</v>
      </c>
      <c r="W5718" s="22">
        <f t="shared" si="358"/>
        <v>0</v>
      </c>
    </row>
    <row r="5719" spans="1:23" hidden="1" x14ac:dyDescent="0.25">
      <c r="A5719" s="41">
        <v>46100</v>
      </c>
      <c r="B5719" s="42" t="s">
        <v>334</v>
      </c>
      <c r="C5719" s="42" t="s">
        <v>158</v>
      </c>
      <c r="D5719" s="42"/>
      <c r="E5719" s="42"/>
      <c r="F5719" s="42" t="s">
        <v>2741</v>
      </c>
      <c r="G5719" s="42" t="s">
        <v>1610</v>
      </c>
      <c r="H5719" s="4" t="s">
        <v>289</v>
      </c>
      <c r="I5719" s="42">
        <v>3</v>
      </c>
      <c r="J5719" s="43">
        <v>150</v>
      </c>
      <c r="K5719" s="43">
        <v>0</v>
      </c>
      <c r="L5719" s="44">
        <v>0</v>
      </c>
      <c r="M5719" s="42"/>
      <c r="N5719" s="42"/>
      <c r="O5719" s="44"/>
      <c r="P5719" s="44"/>
      <c r="Q5719" s="43">
        <v>450</v>
      </c>
      <c r="R5719" s="43">
        <v>0</v>
      </c>
      <c r="S5719" s="5">
        <f t="shared" si="359"/>
        <v>72271.642167016107</v>
      </c>
      <c r="T5719" cm="1">
        <f t="array" ref="T5719">IF(OR(B5719="MAL ALIMI", B5719="ÜRETİM GİRİŞ"), MIN(I5719, MAX(0, I5719 + SUM(SUMIFS($I$1:I5718, $C$1:C5718, C5719, $B$1:B5718, {"MAL ALIMI","ÜRETİM GİRİŞ"})) - VLOOKUP(C5719, 'STOK RAPORU'!$C$2:$I$1000, 4, 0))), 0)</f>
        <v>0</v>
      </c>
      <c r="U5719" s="22">
        <f t="shared" si="356"/>
        <v>0</v>
      </c>
      <c r="V5719">
        <f t="shared" si="357"/>
        <v>0</v>
      </c>
      <c r="W5719" s="22">
        <f t="shared" si="358"/>
        <v>0</v>
      </c>
    </row>
    <row r="5720" spans="1:23" hidden="1" x14ac:dyDescent="0.25">
      <c r="A5720" s="3">
        <v>46104</v>
      </c>
      <c r="B5720" s="4" t="s">
        <v>334</v>
      </c>
      <c r="C5720" s="4" t="s">
        <v>208</v>
      </c>
      <c r="D5720" s="4"/>
      <c r="E5720" s="4"/>
      <c r="F5720" s="46" t="s">
        <v>2745</v>
      </c>
      <c r="G5720" s="4" t="s">
        <v>336</v>
      </c>
      <c r="H5720" s="4" t="s">
        <v>289</v>
      </c>
      <c r="I5720" s="4">
        <v>0.5</v>
      </c>
      <c r="J5720" s="21">
        <v>140</v>
      </c>
      <c r="K5720" s="21">
        <v>0</v>
      </c>
      <c r="L5720" s="5">
        <v>0</v>
      </c>
      <c r="M5720" s="4"/>
      <c r="N5720" s="4"/>
      <c r="O5720" s="5"/>
      <c r="P5720" s="5"/>
      <c r="Q5720" s="21">
        <v>70</v>
      </c>
      <c r="R5720" s="21">
        <v>0</v>
      </c>
      <c r="S5720" s="5">
        <f t="shared" si="359"/>
        <v>72341.642167016107</v>
      </c>
      <c r="T5720" cm="1">
        <f t="array" ref="T5720">IF(OR(B5720="MAL ALIMI", B5720="ÜRETİM GİRİŞ"), MIN(I5720, MAX(0, I5720 + SUM(SUMIFS($I$1:I5719, $C$1:C5719, C5720, $B$1:B5719, {"MAL ALIMI","ÜRETİM GİRİŞ"})) - VLOOKUP(C5720, 'STOK RAPORU'!$C$2:$I$1000, 4, 0))), 0)</f>
        <v>0</v>
      </c>
      <c r="U5720" s="22">
        <f t="shared" si="356"/>
        <v>0</v>
      </c>
      <c r="V5720">
        <f t="shared" si="357"/>
        <v>0</v>
      </c>
      <c r="W5720" s="22">
        <f t="shared" si="358"/>
        <v>0</v>
      </c>
    </row>
    <row r="5721" spans="1:23" hidden="1" x14ac:dyDescent="0.25">
      <c r="A5721" s="3">
        <v>46104</v>
      </c>
      <c r="B5721" s="4" t="s">
        <v>334</v>
      </c>
      <c r="C5721" s="4" t="s">
        <v>202</v>
      </c>
      <c r="D5721" s="4"/>
      <c r="E5721" s="4"/>
      <c r="F5721" s="46" t="s">
        <v>2745</v>
      </c>
      <c r="G5721" s="4" t="s">
        <v>336</v>
      </c>
      <c r="H5721" s="4" t="s">
        <v>289</v>
      </c>
      <c r="I5721" s="4">
        <v>0.5</v>
      </c>
      <c r="J5721" s="21">
        <v>80</v>
      </c>
      <c r="K5721" s="21">
        <v>0</v>
      </c>
      <c r="L5721" s="5">
        <v>0</v>
      </c>
      <c r="M5721" s="4"/>
      <c r="N5721" s="4"/>
      <c r="O5721" s="5"/>
      <c r="P5721" s="5"/>
      <c r="Q5721" s="21">
        <v>40</v>
      </c>
      <c r="R5721" s="21">
        <v>0</v>
      </c>
      <c r="S5721" s="5">
        <f t="shared" si="359"/>
        <v>72381.642167016107</v>
      </c>
      <c r="T5721" cm="1">
        <f t="array" ref="T5721">IF(OR(B5721="MAL ALIMI", B5721="ÜRETİM GİRİŞ"), MIN(I5721, MAX(0, I5721 + SUM(SUMIFS($I$1:I5720, $C$1:C5720, C5721, $B$1:B5720, {"MAL ALIMI","ÜRETİM GİRİŞ"})) - VLOOKUP(C5721, 'STOK RAPORU'!$C$2:$I$1000, 4, 0))), 0)</f>
        <v>0</v>
      </c>
      <c r="U5721" s="22">
        <f t="shared" si="356"/>
        <v>0</v>
      </c>
      <c r="V5721">
        <f t="shared" si="357"/>
        <v>0</v>
      </c>
      <c r="W5721" s="22">
        <f t="shared" si="358"/>
        <v>0</v>
      </c>
    </row>
    <row r="5722" spans="1:23" hidden="1" x14ac:dyDescent="0.25">
      <c r="A5722" s="3">
        <v>46104</v>
      </c>
      <c r="B5722" s="4" t="s">
        <v>334</v>
      </c>
      <c r="C5722" s="4" t="s">
        <v>835</v>
      </c>
      <c r="D5722" s="4"/>
      <c r="E5722" s="4" t="s">
        <v>921</v>
      </c>
      <c r="F5722" s="46" t="s">
        <v>2746</v>
      </c>
      <c r="G5722" s="4" t="s">
        <v>336</v>
      </c>
      <c r="H5722" s="4" t="s">
        <v>380</v>
      </c>
      <c r="I5722" s="4">
        <v>1</v>
      </c>
      <c r="J5722" s="21">
        <v>130</v>
      </c>
      <c r="K5722" s="21">
        <v>130</v>
      </c>
      <c r="L5722" s="5">
        <v>0</v>
      </c>
      <c r="M5722" s="4"/>
      <c r="N5722" s="4"/>
      <c r="O5722" s="5"/>
      <c r="P5722" s="5"/>
      <c r="Q5722" s="21">
        <v>0</v>
      </c>
      <c r="R5722" s="21">
        <v>0</v>
      </c>
      <c r="S5722" s="5">
        <f t="shared" si="359"/>
        <v>72381.642167016107</v>
      </c>
      <c r="T5722" cm="1">
        <f t="array" ref="T5722">IF(OR(B5722="MAL ALIMI", B5722="ÜRETİM GİRİŞ"), MIN(I5722, MAX(0, I5722 + SUM(SUMIFS($I$1:I5721, $C$1:C5721, C5722, $B$1:B5721, {"MAL ALIMI","ÜRETİM GİRİŞ"})) - VLOOKUP(C5722, 'STOK RAPORU'!$C$2:$I$1000, 4, 0))), 0)</f>
        <v>0</v>
      </c>
      <c r="U5722" s="22">
        <f t="shared" si="356"/>
        <v>0</v>
      </c>
      <c r="V5722">
        <f t="shared" si="357"/>
        <v>0</v>
      </c>
      <c r="W5722" s="22">
        <f t="shared" si="358"/>
        <v>0</v>
      </c>
    </row>
    <row r="5723" spans="1:23" hidden="1" x14ac:dyDescent="0.25">
      <c r="A5723" s="3">
        <v>46104</v>
      </c>
      <c r="B5723" s="4" t="s">
        <v>334</v>
      </c>
      <c r="C5723" s="4" t="s">
        <v>826</v>
      </c>
      <c r="D5723" s="4"/>
      <c r="E5723" s="4" t="s">
        <v>921</v>
      </c>
      <c r="F5723" s="46" t="s">
        <v>2746</v>
      </c>
      <c r="G5723" s="4" t="s">
        <v>336</v>
      </c>
      <c r="H5723" s="4" t="s">
        <v>380</v>
      </c>
      <c r="I5723" s="4">
        <v>1</v>
      </c>
      <c r="J5723" s="21">
        <v>130</v>
      </c>
      <c r="K5723" s="21">
        <v>130</v>
      </c>
      <c r="L5723" s="5">
        <v>0</v>
      </c>
      <c r="M5723" s="4"/>
      <c r="N5723" s="4"/>
      <c r="O5723" s="5"/>
      <c r="P5723" s="5"/>
      <c r="Q5723" s="21">
        <v>0</v>
      </c>
      <c r="R5723" s="21">
        <v>0</v>
      </c>
      <c r="S5723" s="5">
        <f t="shared" si="359"/>
        <v>72381.642167016107</v>
      </c>
      <c r="T5723" cm="1">
        <f t="array" ref="T5723">IF(OR(B5723="MAL ALIMI", B5723="ÜRETİM GİRİŞ"), MIN(I5723, MAX(0, I5723 + SUM(SUMIFS($I$1:I5722, $C$1:C5722, C5723, $B$1:B5722, {"MAL ALIMI","ÜRETİM GİRİŞ"})) - VLOOKUP(C5723, 'STOK RAPORU'!$C$2:$I$1000, 4, 0))), 0)</f>
        <v>0</v>
      </c>
      <c r="U5723" s="22">
        <f t="shared" si="356"/>
        <v>0</v>
      </c>
      <c r="V5723">
        <f t="shared" si="357"/>
        <v>0</v>
      </c>
      <c r="W5723" s="22">
        <f t="shared" si="358"/>
        <v>0</v>
      </c>
    </row>
    <row r="5724" spans="1:23" hidden="1" x14ac:dyDescent="0.25">
      <c r="A5724" s="3">
        <v>46104</v>
      </c>
      <c r="B5724" s="4" t="s">
        <v>334</v>
      </c>
      <c r="C5724" s="4" t="s">
        <v>223</v>
      </c>
      <c r="D5724" s="4"/>
      <c r="E5724" s="4" t="s">
        <v>921</v>
      </c>
      <c r="F5724" s="46" t="s">
        <v>2746</v>
      </c>
      <c r="G5724" s="4" t="s">
        <v>336</v>
      </c>
      <c r="H5724" s="4" t="s">
        <v>380</v>
      </c>
      <c r="I5724" s="4">
        <v>0.35</v>
      </c>
      <c r="J5724" s="21">
        <v>800</v>
      </c>
      <c r="K5724" s="21">
        <v>280</v>
      </c>
      <c r="L5724" s="5">
        <v>0</v>
      </c>
      <c r="M5724" s="4"/>
      <c r="N5724" s="4"/>
      <c r="O5724" s="5"/>
      <c r="P5724" s="5"/>
      <c r="Q5724" s="21">
        <v>0</v>
      </c>
      <c r="R5724" s="21">
        <v>0</v>
      </c>
      <c r="S5724" s="5">
        <f t="shared" si="359"/>
        <v>72381.642167016107</v>
      </c>
      <c r="T5724" cm="1">
        <f t="array" ref="T5724">IF(OR(B5724="MAL ALIMI", B5724="ÜRETİM GİRİŞ"), MIN(I5724, MAX(0, I5724 + SUM(SUMIFS($I$1:I5723, $C$1:C5723, C5724, $B$1:B5723, {"MAL ALIMI","ÜRETİM GİRİŞ"})) - VLOOKUP(C5724, 'STOK RAPORU'!$C$2:$I$1000, 4, 0))), 0)</f>
        <v>0</v>
      </c>
      <c r="U5724" s="22">
        <f t="shared" si="356"/>
        <v>0</v>
      </c>
      <c r="V5724">
        <f t="shared" si="357"/>
        <v>0</v>
      </c>
      <c r="W5724" s="22">
        <f t="shared" si="358"/>
        <v>0</v>
      </c>
    </row>
    <row r="5725" spans="1:23" hidden="1" x14ac:dyDescent="0.25">
      <c r="A5725" s="3">
        <v>46104</v>
      </c>
      <c r="B5725" s="4" t="s">
        <v>334</v>
      </c>
      <c r="C5725" s="4" t="s">
        <v>1176</v>
      </c>
      <c r="D5725" s="4"/>
      <c r="E5725" s="4"/>
      <c r="F5725" s="46" t="s">
        <v>2747</v>
      </c>
      <c r="G5725" s="4" t="s">
        <v>336</v>
      </c>
      <c r="H5725" s="4" t="s">
        <v>289</v>
      </c>
      <c r="I5725" s="4">
        <v>0.1</v>
      </c>
      <c r="J5725" s="21">
        <v>2000</v>
      </c>
      <c r="K5725" s="21">
        <v>0</v>
      </c>
      <c r="L5725" s="5">
        <v>0</v>
      </c>
      <c r="M5725" s="4"/>
      <c r="N5725" s="4"/>
      <c r="O5725" s="5"/>
      <c r="P5725" s="5"/>
      <c r="Q5725" s="21">
        <v>200</v>
      </c>
      <c r="R5725" s="21">
        <v>0</v>
      </c>
      <c r="S5725" s="5">
        <f t="shared" si="359"/>
        <v>72581.642167016107</v>
      </c>
      <c r="T5725" cm="1">
        <f t="array" ref="T5725">IF(OR(B5725="MAL ALIMI", B5725="ÜRETİM GİRİŞ"), MIN(I5725, MAX(0, I5725 + SUM(SUMIFS($I$1:I5724, $C$1:C5724, C5725, $B$1:B5724, {"MAL ALIMI","ÜRETİM GİRİŞ"})) - VLOOKUP(C5725, 'STOK RAPORU'!$C$2:$I$1000, 4, 0))), 0)</f>
        <v>0</v>
      </c>
      <c r="U5725" s="22">
        <f t="shared" si="356"/>
        <v>0</v>
      </c>
      <c r="V5725">
        <f t="shared" si="357"/>
        <v>0</v>
      </c>
      <c r="W5725" s="22">
        <f t="shared" si="358"/>
        <v>0</v>
      </c>
    </row>
    <row r="5726" spans="1:23" hidden="1" x14ac:dyDescent="0.25">
      <c r="A5726" s="3">
        <v>46104</v>
      </c>
      <c r="B5726" s="4" t="s">
        <v>334</v>
      </c>
      <c r="C5726" s="4" t="s">
        <v>460</v>
      </c>
      <c r="D5726" s="4"/>
      <c r="E5726" s="4"/>
      <c r="F5726" s="46" t="s">
        <v>2747</v>
      </c>
      <c r="G5726" s="4" t="s">
        <v>336</v>
      </c>
      <c r="H5726" s="4" t="s">
        <v>289</v>
      </c>
      <c r="I5726" s="4">
        <v>3</v>
      </c>
      <c r="J5726" s="21">
        <v>15</v>
      </c>
      <c r="K5726" s="21">
        <v>0</v>
      </c>
      <c r="L5726" s="5">
        <v>0</v>
      </c>
      <c r="M5726" s="4"/>
      <c r="N5726" s="4"/>
      <c r="O5726" s="5"/>
      <c r="P5726" s="5"/>
      <c r="Q5726" s="21">
        <v>45</v>
      </c>
      <c r="R5726" s="21">
        <v>0</v>
      </c>
      <c r="S5726" s="5">
        <f t="shared" si="359"/>
        <v>72626.642167016107</v>
      </c>
      <c r="T5726" cm="1">
        <f t="array" ref="T5726">IF(OR(B5726="MAL ALIMI", B5726="ÜRETİM GİRİŞ"), MIN(I5726, MAX(0, I5726 + SUM(SUMIFS($I$1:I5725, $C$1:C5725, C5726, $B$1:B5725, {"MAL ALIMI","ÜRETİM GİRİŞ"})) - VLOOKUP(C5726, 'STOK RAPORU'!$C$2:$I$1000, 4, 0))), 0)</f>
        <v>0</v>
      </c>
      <c r="U5726" s="22">
        <f t="shared" si="356"/>
        <v>0</v>
      </c>
      <c r="V5726">
        <f t="shared" si="357"/>
        <v>0</v>
      </c>
      <c r="W5726" s="22">
        <f t="shared" si="358"/>
        <v>0</v>
      </c>
    </row>
    <row r="5727" spans="1:23" hidden="1" x14ac:dyDescent="0.25">
      <c r="A5727" s="3">
        <v>46104</v>
      </c>
      <c r="B5727" s="4" t="s">
        <v>334</v>
      </c>
      <c r="C5727" s="4" t="s">
        <v>530</v>
      </c>
      <c r="D5727" s="4"/>
      <c r="E5727" s="4" t="s">
        <v>921</v>
      </c>
      <c r="F5727" s="46" t="s">
        <v>2748</v>
      </c>
      <c r="G5727" s="4" t="s">
        <v>336</v>
      </c>
      <c r="H5727" s="4" t="s">
        <v>380</v>
      </c>
      <c r="I5727" s="4">
        <v>0.5</v>
      </c>
      <c r="J5727" s="21">
        <v>300</v>
      </c>
      <c r="K5727" s="21">
        <v>150</v>
      </c>
      <c r="L5727" s="5">
        <v>0</v>
      </c>
      <c r="M5727" s="4"/>
      <c r="N5727" s="4"/>
      <c r="O5727" s="5"/>
      <c r="P5727" s="5"/>
      <c r="Q5727" s="21">
        <v>0</v>
      </c>
      <c r="R5727" s="21">
        <v>0</v>
      </c>
      <c r="S5727" s="5">
        <f t="shared" si="359"/>
        <v>72626.642167016107</v>
      </c>
      <c r="T5727" cm="1">
        <f t="array" ref="T5727">IF(OR(B5727="MAL ALIMI", B5727="ÜRETİM GİRİŞ"), MIN(I5727, MAX(0, I5727 + SUM(SUMIFS($I$1:I5726, $C$1:C5726, C5727, $B$1:B5726, {"MAL ALIMI","ÜRETİM GİRİŞ"})) - VLOOKUP(C5727, 'STOK RAPORU'!$C$2:$I$1000, 4, 0))), 0)</f>
        <v>0</v>
      </c>
      <c r="U5727" s="22">
        <f t="shared" si="356"/>
        <v>0</v>
      </c>
      <c r="V5727">
        <f t="shared" si="357"/>
        <v>0</v>
      </c>
      <c r="W5727" s="22">
        <f t="shared" si="358"/>
        <v>0</v>
      </c>
    </row>
    <row r="5728" spans="1:23" hidden="1" x14ac:dyDescent="0.25">
      <c r="A5728" s="41">
        <v>46104</v>
      </c>
      <c r="B5728" s="42" t="s">
        <v>334</v>
      </c>
      <c r="C5728" s="42" t="s">
        <v>156</v>
      </c>
      <c r="D5728" s="42"/>
      <c r="E5728" s="42"/>
      <c r="F5728" s="42" t="s">
        <v>2749</v>
      </c>
      <c r="G5728" s="42" t="s">
        <v>1771</v>
      </c>
      <c r="H5728" s="42" t="s">
        <v>289</v>
      </c>
      <c r="I5728" s="42">
        <v>2</v>
      </c>
      <c r="J5728" s="43">
        <v>200</v>
      </c>
      <c r="K5728" s="43">
        <v>0</v>
      </c>
      <c r="L5728" s="44">
        <v>0</v>
      </c>
      <c r="M5728" s="42"/>
      <c r="N5728" s="42"/>
      <c r="O5728" s="44"/>
      <c r="P5728" s="44"/>
      <c r="Q5728" s="43">
        <v>400</v>
      </c>
      <c r="R5728" s="21">
        <v>0</v>
      </c>
      <c r="S5728" s="5">
        <f t="shared" si="359"/>
        <v>73026.642167016107</v>
      </c>
      <c r="T5728" cm="1">
        <f t="array" ref="T5728">IF(OR(B5728="MAL ALIMI", B5728="ÜRETİM GİRİŞ"), MIN(I5728, MAX(0, I5728 + SUM(SUMIFS($I$1:I5727, $C$1:C5727, C5728, $B$1:B5727, {"MAL ALIMI","ÜRETİM GİRİŞ"})) - VLOOKUP(C5728, 'STOK RAPORU'!$C$2:$I$1000, 4, 0))), 0)</f>
        <v>0</v>
      </c>
      <c r="U5728" s="22">
        <f t="shared" si="356"/>
        <v>0</v>
      </c>
      <c r="V5728">
        <f t="shared" si="357"/>
        <v>0</v>
      </c>
      <c r="W5728" s="22">
        <f t="shared" si="358"/>
        <v>0</v>
      </c>
    </row>
    <row r="5729" spans="1:23" hidden="1" x14ac:dyDescent="0.25">
      <c r="A5729" s="41">
        <v>46104</v>
      </c>
      <c r="B5729" s="42" t="s">
        <v>334</v>
      </c>
      <c r="C5729" s="42" t="s">
        <v>158</v>
      </c>
      <c r="D5729" s="42"/>
      <c r="E5729" s="42"/>
      <c r="F5729" s="42" t="s">
        <v>2749</v>
      </c>
      <c r="G5729" s="42" t="s">
        <v>1771</v>
      </c>
      <c r="H5729" s="42" t="s">
        <v>289</v>
      </c>
      <c r="I5729" s="42">
        <v>2</v>
      </c>
      <c r="J5729" s="43">
        <v>150</v>
      </c>
      <c r="K5729" s="43">
        <v>0</v>
      </c>
      <c r="L5729" s="44">
        <v>0</v>
      </c>
      <c r="M5729" s="42"/>
      <c r="N5729" s="42"/>
      <c r="O5729" s="44"/>
      <c r="P5729" s="44"/>
      <c r="Q5729" s="43">
        <v>300</v>
      </c>
      <c r="R5729" s="21">
        <v>0</v>
      </c>
      <c r="S5729" s="5">
        <f t="shared" si="359"/>
        <v>73326.642167016107</v>
      </c>
      <c r="T5729" cm="1">
        <f t="array" ref="T5729">IF(OR(B5729="MAL ALIMI", B5729="ÜRETİM GİRİŞ"), MIN(I5729, MAX(0, I5729 + SUM(SUMIFS($I$1:I5728, $C$1:C5728, C5729, $B$1:B5728, {"MAL ALIMI","ÜRETİM GİRİŞ"})) - VLOOKUP(C5729, 'STOK RAPORU'!$C$2:$I$1000, 4, 0))), 0)</f>
        <v>0</v>
      </c>
      <c r="U5729" s="22">
        <f t="shared" si="356"/>
        <v>0</v>
      </c>
      <c r="V5729">
        <f t="shared" si="357"/>
        <v>0</v>
      </c>
      <c r="W5729" s="22">
        <f t="shared" si="358"/>
        <v>0</v>
      </c>
    </row>
    <row r="5730" spans="1:23" hidden="1" x14ac:dyDescent="0.25">
      <c r="A5730" s="41">
        <v>46104</v>
      </c>
      <c r="B5730" s="42" t="s">
        <v>334</v>
      </c>
      <c r="C5730" s="42" t="s">
        <v>74</v>
      </c>
      <c r="D5730" s="42"/>
      <c r="E5730" s="42"/>
      <c r="F5730" s="42" t="s">
        <v>2749</v>
      </c>
      <c r="G5730" s="42" t="s">
        <v>1771</v>
      </c>
      <c r="H5730" s="42" t="s">
        <v>289</v>
      </c>
      <c r="I5730" s="42">
        <v>0.05</v>
      </c>
      <c r="J5730" s="43">
        <v>1400</v>
      </c>
      <c r="K5730" s="43">
        <v>0</v>
      </c>
      <c r="L5730" s="44">
        <v>0</v>
      </c>
      <c r="M5730" s="42"/>
      <c r="N5730" s="42"/>
      <c r="O5730" s="44"/>
      <c r="P5730" s="44"/>
      <c r="Q5730" s="43">
        <v>70</v>
      </c>
      <c r="R5730" s="21">
        <v>0</v>
      </c>
      <c r="S5730" s="5">
        <f t="shared" si="359"/>
        <v>73396.642167016107</v>
      </c>
      <c r="T5730" cm="1">
        <f t="array" ref="T5730">IF(OR(B5730="MAL ALIMI", B5730="ÜRETİM GİRİŞ"), MIN(I5730, MAX(0, I5730 + SUM(SUMIFS($I$1:I5729, $C$1:C5729, C5730, $B$1:B5729, {"MAL ALIMI","ÜRETİM GİRİŞ"})) - VLOOKUP(C5730, 'STOK RAPORU'!$C$2:$I$1000, 4, 0))), 0)</f>
        <v>0</v>
      </c>
      <c r="U5730" s="22">
        <f t="shared" si="356"/>
        <v>0</v>
      </c>
      <c r="V5730">
        <f t="shared" si="357"/>
        <v>0</v>
      </c>
      <c r="W5730" s="22">
        <f t="shared" si="358"/>
        <v>0</v>
      </c>
    </row>
    <row r="5731" spans="1:23" hidden="1" x14ac:dyDescent="0.25">
      <c r="A5731" s="41">
        <v>46104</v>
      </c>
      <c r="B5731" s="42" t="s">
        <v>334</v>
      </c>
      <c r="C5731" s="42" t="s">
        <v>195</v>
      </c>
      <c r="D5731" s="42"/>
      <c r="E5731" s="42"/>
      <c r="F5731" s="42" t="s">
        <v>2750</v>
      </c>
      <c r="G5731" s="42" t="s">
        <v>2526</v>
      </c>
      <c r="H5731" s="42" t="s">
        <v>289</v>
      </c>
      <c r="I5731" s="42">
        <v>0.06</v>
      </c>
      <c r="J5731" s="43">
        <v>1000</v>
      </c>
      <c r="K5731" s="43">
        <v>0</v>
      </c>
      <c r="L5731" s="44">
        <v>0</v>
      </c>
      <c r="M5731" s="42"/>
      <c r="N5731" s="42"/>
      <c r="O5731" s="44"/>
      <c r="P5731" s="44"/>
      <c r="Q5731" s="43">
        <v>60</v>
      </c>
      <c r="R5731" s="21">
        <v>0</v>
      </c>
      <c r="S5731" s="5">
        <f t="shared" si="359"/>
        <v>73456.642167016107</v>
      </c>
      <c r="T5731" cm="1">
        <f t="array" ref="T5731">IF(OR(B5731="MAL ALIMI", B5731="ÜRETİM GİRİŞ"), MIN(I5731, MAX(0, I5731 + SUM(SUMIFS($I$1:I5730, $C$1:C5730, C5731, $B$1:B5730, {"MAL ALIMI","ÜRETİM GİRİŞ"})) - VLOOKUP(C5731, 'STOK RAPORU'!$C$2:$I$1000, 4, 0))), 0)</f>
        <v>0</v>
      </c>
      <c r="U5731" s="22">
        <f t="shared" si="356"/>
        <v>0</v>
      </c>
      <c r="V5731">
        <f t="shared" si="357"/>
        <v>0</v>
      </c>
      <c r="W5731" s="22">
        <f t="shared" si="358"/>
        <v>0</v>
      </c>
    </row>
    <row r="5732" spans="1:23" hidden="1" x14ac:dyDescent="0.25">
      <c r="A5732" s="41">
        <v>46104</v>
      </c>
      <c r="B5732" s="42" t="s">
        <v>334</v>
      </c>
      <c r="C5732" s="42" t="s">
        <v>249</v>
      </c>
      <c r="D5732" s="42"/>
      <c r="E5732" s="42"/>
      <c r="F5732" s="42" t="s">
        <v>2750</v>
      </c>
      <c r="G5732" s="42" t="s">
        <v>2526</v>
      </c>
      <c r="H5732" s="42" t="s">
        <v>289</v>
      </c>
      <c r="I5732" s="42">
        <v>0.1</v>
      </c>
      <c r="J5732" s="43">
        <v>900</v>
      </c>
      <c r="K5732" s="43">
        <v>0</v>
      </c>
      <c r="L5732" s="44">
        <v>0</v>
      </c>
      <c r="M5732" s="42"/>
      <c r="N5732" s="42"/>
      <c r="O5732" s="44"/>
      <c r="P5732" s="44"/>
      <c r="Q5732" s="43">
        <v>90</v>
      </c>
      <c r="R5732" s="21">
        <v>0</v>
      </c>
      <c r="S5732" s="5">
        <f t="shared" si="359"/>
        <v>73546.642167016107</v>
      </c>
      <c r="T5732" cm="1">
        <f t="array" ref="T5732">IF(OR(B5732="MAL ALIMI", B5732="ÜRETİM GİRİŞ"), MIN(I5732, MAX(0, I5732 + SUM(SUMIFS($I$1:I5731, $C$1:C5731, C5732, $B$1:B5731, {"MAL ALIMI","ÜRETİM GİRİŞ"})) - VLOOKUP(C5732, 'STOK RAPORU'!$C$2:$I$1000, 4, 0))), 0)</f>
        <v>0</v>
      </c>
      <c r="U5732" s="22">
        <f t="shared" si="356"/>
        <v>0</v>
      </c>
      <c r="V5732">
        <f t="shared" si="357"/>
        <v>0</v>
      </c>
      <c r="W5732" s="22">
        <f t="shared" si="358"/>
        <v>0</v>
      </c>
    </row>
    <row r="5733" spans="1:23" hidden="1" x14ac:dyDescent="0.25">
      <c r="A5733" s="41">
        <v>46104</v>
      </c>
      <c r="B5733" s="42" t="s">
        <v>334</v>
      </c>
      <c r="C5733" s="42" t="s">
        <v>74</v>
      </c>
      <c r="D5733" s="42"/>
      <c r="E5733" s="42"/>
      <c r="F5733" s="42" t="s">
        <v>2751</v>
      </c>
      <c r="G5733" s="42" t="s">
        <v>2758</v>
      </c>
      <c r="H5733" s="42" t="s">
        <v>289</v>
      </c>
      <c r="I5733" s="42">
        <v>0.1</v>
      </c>
      <c r="J5733" s="43">
        <v>1400</v>
      </c>
      <c r="K5733" s="43">
        <v>0</v>
      </c>
      <c r="L5733" s="44">
        <v>0</v>
      </c>
      <c r="M5733" s="42"/>
      <c r="N5733" s="42"/>
      <c r="O5733" s="44"/>
      <c r="P5733" s="44"/>
      <c r="Q5733" s="43">
        <v>140</v>
      </c>
      <c r="R5733" s="43">
        <v>0</v>
      </c>
      <c r="S5733" s="5">
        <f t="shared" si="359"/>
        <v>73686.642167016107</v>
      </c>
      <c r="T5733" cm="1">
        <f t="array" ref="T5733">IF(OR(B5733="MAL ALIMI", B5733="ÜRETİM GİRİŞ"), MIN(I5733, MAX(0, I5733 + SUM(SUMIFS($I$1:I5732, $C$1:C5732, C5733, $B$1:B5732, {"MAL ALIMI","ÜRETİM GİRİŞ"})) - VLOOKUP(C5733, 'STOK RAPORU'!$C$2:$I$1000, 4, 0))), 0)</f>
        <v>0</v>
      </c>
      <c r="U5733" s="22">
        <f t="shared" si="356"/>
        <v>0</v>
      </c>
      <c r="V5733">
        <f t="shared" si="357"/>
        <v>0</v>
      </c>
      <c r="W5733" s="22">
        <f t="shared" si="358"/>
        <v>0</v>
      </c>
    </row>
    <row r="5734" spans="1:23" hidden="1" x14ac:dyDescent="0.25">
      <c r="A5734" s="41">
        <v>46104</v>
      </c>
      <c r="B5734" s="42" t="s">
        <v>334</v>
      </c>
      <c r="C5734" s="42" t="s">
        <v>156</v>
      </c>
      <c r="D5734" s="42"/>
      <c r="E5734" s="42"/>
      <c r="F5734" s="42" t="s">
        <v>2752</v>
      </c>
      <c r="G5734" s="42" t="s">
        <v>2759</v>
      </c>
      <c r="H5734" s="42" t="s">
        <v>289</v>
      </c>
      <c r="I5734" s="42">
        <v>1</v>
      </c>
      <c r="J5734" s="43">
        <v>200</v>
      </c>
      <c r="K5734" s="43">
        <v>0</v>
      </c>
      <c r="L5734" s="44">
        <v>0</v>
      </c>
      <c r="M5734" s="42"/>
      <c r="N5734" s="42"/>
      <c r="O5734" s="44"/>
      <c r="P5734" s="44"/>
      <c r="Q5734" s="43">
        <v>200</v>
      </c>
      <c r="R5734" s="21">
        <v>0</v>
      </c>
      <c r="S5734" s="5">
        <f t="shared" si="359"/>
        <v>73886.642167016107</v>
      </c>
      <c r="T5734" cm="1">
        <f t="array" ref="T5734">IF(OR(B5734="MAL ALIMI", B5734="ÜRETİM GİRİŞ"), MIN(I5734, MAX(0, I5734 + SUM(SUMIFS($I$1:I5733, $C$1:C5733, C5734, $B$1:B5733, {"MAL ALIMI","ÜRETİM GİRİŞ"})) - VLOOKUP(C5734, 'STOK RAPORU'!$C$2:$I$1000, 4, 0))), 0)</f>
        <v>0</v>
      </c>
      <c r="U5734" s="22">
        <f t="shared" si="356"/>
        <v>0</v>
      </c>
      <c r="V5734">
        <f t="shared" si="357"/>
        <v>0</v>
      </c>
      <c r="W5734" s="22">
        <f t="shared" si="358"/>
        <v>0</v>
      </c>
    </row>
    <row r="5735" spans="1:23" hidden="1" x14ac:dyDescent="0.25">
      <c r="A5735" s="41">
        <v>46104</v>
      </c>
      <c r="B5735" s="42" t="s">
        <v>334</v>
      </c>
      <c r="C5735" s="42" t="s">
        <v>74</v>
      </c>
      <c r="D5735" s="42"/>
      <c r="E5735" s="42"/>
      <c r="F5735" s="42" t="s">
        <v>2752</v>
      </c>
      <c r="G5735" s="42" t="s">
        <v>2759</v>
      </c>
      <c r="H5735" s="42" t="s">
        <v>289</v>
      </c>
      <c r="I5735" s="42">
        <v>0.05</v>
      </c>
      <c r="J5735" s="43">
        <v>1400</v>
      </c>
      <c r="K5735" s="43">
        <v>0</v>
      </c>
      <c r="L5735" s="44">
        <v>0</v>
      </c>
      <c r="M5735" s="42"/>
      <c r="N5735" s="42"/>
      <c r="O5735" s="44"/>
      <c r="P5735" s="44"/>
      <c r="Q5735" s="43">
        <v>70</v>
      </c>
      <c r="R5735" s="21">
        <v>0</v>
      </c>
      <c r="S5735" s="5">
        <f t="shared" si="359"/>
        <v>73956.642167016107</v>
      </c>
      <c r="T5735" cm="1">
        <f t="array" ref="T5735">IF(OR(B5735="MAL ALIMI", B5735="ÜRETİM GİRİŞ"), MIN(I5735, MAX(0, I5735 + SUM(SUMIFS($I$1:I5734, $C$1:C5734, C5735, $B$1:B5734, {"MAL ALIMI","ÜRETİM GİRİŞ"})) - VLOOKUP(C5735, 'STOK RAPORU'!$C$2:$I$1000, 4, 0))), 0)</f>
        <v>0</v>
      </c>
      <c r="U5735" s="22">
        <f t="shared" si="356"/>
        <v>0</v>
      </c>
      <c r="V5735">
        <f t="shared" si="357"/>
        <v>0</v>
      </c>
      <c r="W5735" s="22">
        <f t="shared" si="358"/>
        <v>0</v>
      </c>
    </row>
    <row r="5736" spans="1:23" hidden="1" x14ac:dyDescent="0.25">
      <c r="A5736" s="3">
        <v>46104</v>
      </c>
      <c r="B5736" s="4" t="s">
        <v>334</v>
      </c>
      <c r="C5736" s="4" t="s">
        <v>2281</v>
      </c>
      <c r="D5736" s="4"/>
      <c r="E5736" s="4" t="s">
        <v>921</v>
      </c>
      <c r="F5736" s="46" t="s">
        <v>2753</v>
      </c>
      <c r="G5736" s="4" t="s">
        <v>336</v>
      </c>
      <c r="H5736" s="4" t="s">
        <v>380</v>
      </c>
      <c r="I5736" s="4">
        <v>0.1</v>
      </c>
      <c r="J5736" s="21">
        <v>2700</v>
      </c>
      <c r="K5736" s="21">
        <v>270</v>
      </c>
      <c r="L5736" s="5">
        <v>0</v>
      </c>
      <c r="M5736" s="4"/>
      <c r="N5736" s="4"/>
      <c r="O5736" s="5"/>
      <c r="P5736" s="5"/>
      <c r="Q5736" s="21">
        <v>0</v>
      </c>
      <c r="R5736" s="21">
        <v>0</v>
      </c>
      <c r="S5736" s="5">
        <f t="shared" si="359"/>
        <v>73956.642167016107</v>
      </c>
      <c r="T5736" cm="1">
        <f t="array" ref="T5736">IF(OR(B5736="MAL ALIMI", B5736="ÜRETİM GİRİŞ"), MIN(I5736, MAX(0, I5736 + SUM(SUMIFS($I$1:I5735, $C$1:C5735, C5736, $B$1:B5735, {"MAL ALIMI","ÜRETİM GİRİŞ"})) - VLOOKUP(C5736, 'STOK RAPORU'!$C$2:$I$1000, 4, 0))), 0)</f>
        <v>0</v>
      </c>
      <c r="U5736" s="22">
        <f t="shared" si="356"/>
        <v>0</v>
      </c>
      <c r="V5736">
        <f t="shared" si="357"/>
        <v>0</v>
      </c>
      <c r="W5736" s="22">
        <f t="shared" si="358"/>
        <v>0</v>
      </c>
    </row>
    <row r="5737" spans="1:23" hidden="1" x14ac:dyDescent="0.25">
      <c r="A5737" s="3">
        <v>46104</v>
      </c>
      <c r="B5737" s="4" t="s">
        <v>334</v>
      </c>
      <c r="C5737" s="4" t="s">
        <v>237</v>
      </c>
      <c r="D5737" s="4"/>
      <c r="E5737" s="4" t="s">
        <v>921</v>
      </c>
      <c r="F5737" s="46" t="s">
        <v>2754</v>
      </c>
      <c r="G5737" s="4" t="s">
        <v>336</v>
      </c>
      <c r="H5737" s="4" t="s">
        <v>380</v>
      </c>
      <c r="I5737" s="4">
        <v>0.05</v>
      </c>
      <c r="J5737" s="21">
        <v>1800</v>
      </c>
      <c r="K5737" s="21">
        <v>90</v>
      </c>
      <c r="L5737" s="5">
        <v>0</v>
      </c>
      <c r="M5737" s="4"/>
      <c r="N5737" s="4"/>
      <c r="O5737" s="5"/>
      <c r="P5737" s="5"/>
      <c r="Q5737" s="21">
        <v>0</v>
      </c>
      <c r="R5737" s="21">
        <v>0</v>
      </c>
      <c r="S5737" s="5">
        <f t="shared" si="359"/>
        <v>73956.642167016107</v>
      </c>
      <c r="T5737" cm="1">
        <f t="array" ref="T5737">IF(OR(B5737="MAL ALIMI", B5737="ÜRETİM GİRİŞ"), MIN(I5737, MAX(0, I5737 + SUM(SUMIFS($I$1:I5736, $C$1:C5736, C5737, $B$1:B5736, {"MAL ALIMI","ÜRETİM GİRİŞ"})) - VLOOKUP(C5737, 'STOK RAPORU'!$C$2:$I$1000, 4, 0))), 0)</f>
        <v>0</v>
      </c>
      <c r="U5737" s="22">
        <f t="shared" si="356"/>
        <v>0</v>
      </c>
      <c r="V5737">
        <f t="shared" si="357"/>
        <v>0</v>
      </c>
      <c r="W5737" s="22">
        <f t="shared" si="358"/>
        <v>0</v>
      </c>
    </row>
    <row r="5738" spans="1:23" hidden="1" x14ac:dyDescent="0.25">
      <c r="A5738" s="3">
        <v>46104</v>
      </c>
      <c r="B5738" s="4" t="s">
        <v>334</v>
      </c>
      <c r="C5738" s="4" t="s">
        <v>825</v>
      </c>
      <c r="D5738" s="4"/>
      <c r="E5738" s="4"/>
      <c r="F5738" s="46" t="s">
        <v>2755</v>
      </c>
      <c r="G5738" s="4" t="s">
        <v>336</v>
      </c>
      <c r="H5738" s="4" t="s">
        <v>289</v>
      </c>
      <c r="I5738" s="4">
        <v>1</v>
      </c>
      <c r="J5738" s="21">
        <v>180</v>
      </c>
      <c r="K5738" s="21">
        <v>0</v>
      </c>
      <c r="L5738" s="5">
        <v>0</v>
      </c>
      <c r="M5738" s="4"/>
      <c r="N5738" s="4"/>
      <c r="O5738" s="5"/>
      <c r="P5738" s="5"/>
      <c r="Q5738" s="21">
        <v>180</v>
      </c>
      <c r="R5738" s="21">
        <v>0</v>
      </c>
      <c r="S5738" s="5">
        <f t="shared" si="359"/>
        <v>74136.642167016107</v>
      </c>
      <c r="T5738" cm="1">
        <f t="array" ref="T5738">IF(OR(B5738="MAL ALIMI", B5738="ÜRETİM GİRİŞ"), MIN(I5738, MAX(0, I5738 + SUM(SUMIFS($I$1:I5737, $C$1:C5737, C5738, $B$1:B5737, {"MAL ALIMI","ÜRETİM GİRİŞ"})) - VLOOKUP(C5738, 'STOK RAPORU'!$C$2:$I$1000, 4, 0))), 0)</f>
        <v>0</v>
      </c>
      <c r="U5738" s="22">
        <f t="shared" si="356"/>
        <v>0</v>
      </c>
      <c r="V5738">
        <f t="shared" si="357"/>
        <v>0</v>
      </c>
      <c r="W5738" s="22">
        <f t="shared" si="358"/>
        <v>0</v>
      </c>
    </row>
    <row r="5739" spans="1:23" hidden="1" x14ac:dyDescent="0.25">
      <c r="A5739" s="41">
        <v>46104</v>
      </c>
      <c r="B5739" s="42" t="s">
        <v>334</v>
      </c>
      <c r="C5739" s="42" t="s">
        <v>1041</v>
      </c>
      <c r="D5739" s="42"/>
      <c r="E5739" s="42"/>
      <c r="F5739" s="42" t="s">
        <v>2756</v>
      </c>
      <c r="G5739" s="42" t="s">
        <v>336</v>
      </c>
      <c r="H5739" s="42" t="s">
        <v>289</v>
      </c>
      <c r="I5739" s="42">
        <v>1</v>
      </c>
      <c r="J5739" s="43">
        <v>250</v>
      </c>
      <c r="K5739" s="43">
        <v>0</v>
      </c>
      <c r="L5739" s="44">
        <v>0</v>
      </c>
      <c r="M5739" s="42"/>
      <c r="N5739" s="42"/>
      <c r="O5739" s="44"/>
      <c r="P5739" s="44"/>
      <c r="Q5739" s="43">
        <v>250</v>
      </c>
      <c r="R5739" s="43">
        <v>0</v>
      </c>
      <c r="S5739" s="5">
        <f t="shared" si="359"/>
        <v>74386.642167016107</v>
      </c>
      <c r="T5739" cm="1">
        <f t="array" ref="T5739">IF(OR(B5739="MAL ALIMI", B5739="ÜRETİM GİRİŞ"), MIN(I5739, MAX(0, I5739 + SUM(SUMIFS($I$1:I5738, $C$1:C5738, C5739, $B$1:B5738, {"MAL ALIMI","ÜRETİM GİRİŞ"})) - VLOOKUP(C5739, 'STOK RAPORU'!$C$2:$I$1000, 4, 0))), 0)</f>
        <v>0</v>
      </c>
      <c r="U5739" s="22">
        <f t="shared" si="356"/>
        <v>0</v>
      </c>
      <c r="V5739">
        <f t="shared" si="357"/>
        <v>0</v>
      </c>
      <c r="W5739" s="22">
        <f t="shared" si="358"/>
        <v>0</v>
      </c>
    </row>
    <row r="5740" spans="1:23" hidden="1" x14ac:dyDescent="0.25">
      <c r="A5740" s="3">
        <v>46104</v>
      </c>
      <c r="B5740" s="4" t="s">
        <v>334</v>
      </c>
      <c r="C5740" s="4" t="s">
        <v>236</v>
      </c>
      <c r="D5740" s="4"/>
      <c r="E5740" s="4"/>
      <c r="F5740" s="46" t="s">
        <v>2757</v>
      </c>
      <c r="G5740" s="4" t="s">
        <v>336</v>
      </c>
      <c r="H5740" s="4" t="s">
        <v>289</v>
      </c>
      <c r="I5740" s="4">
        <v>0.44400000000000001</v>
      </c>
      <c r="J5740" s="21">
        <v>350</v>
      </c>
      <c r="K5740" s="21">
        <v>0</v>
      </c>
      <c r="L5740" s="5">
        <v>0</v>
      </c>
      <c r="M5740" s="4"/>
      <c r="N5740" s="4"/>
      <c r="O5740" s="5"/>
      <c r="P5740" s="5"/>
      <c r="Q5740" s="21">
        <v>155.4</v>
      </c>
      <c r="R5740" s="21">
        <v>0</v>
      </c>
      <c r="S5740" s="5">
        <f t="shared" si="359"/>
        <v>74542.042167016101</v>
      </c>
      <c r="T5740" cm="1">
        <f t="array" ref="T5740">IF(OR(B5740="MAL ALIMI", B5740="ÜRETİM GİRİŞ"), MIN(I5740, MAX(0, I5740 + SUM(SUMIFS($I$1:I5739, $C$1:C5739, C5740, $B$1:B5739, {"MAL ALIMI","ÜRETİM GİRİŞ"})) - VLOOKUP(C5740, 'STOK RAPORU'!$C$2:$I$1000, 4, 0))), 0)</f>
        <v>0</v>
      </c>
      <c r="U5740" s="22">
        <f t="shared" si="356"/>
        <v>0</v>
      </c>
      <c r="V5740">
        <f t="shared" si="357"/>
        <v>0</v>
      </c>
      <c r="W5740" s="22">
        <f t="shared" si="358"/>
        <v>0</v>
      </c>
    </row>
    <row r="5741" spans="1:23" hidden="1" x14ac:dyDescent="0.25">
      <c r="A5741" s="3">
        <v>46104</v>
      </c>
      <c r="B5741" s="3" t="s">
        <v>285</v>
      </c>
      <c r="C5741" s="4"/>
      <c r="D5741" s="4" t="s">
        <v>106</v>
      </c>
      <c r="E5741" s="4"/>
      <c r="F5741" s="4"/>
      <c r="G5741" s="4" t="s">
        <v>2744</v>
      </c>
      <c r="H5741" s="4" t="s">
        <v>289</v>
      </c>
      <c r="I5741" s="4">
        <v>1</v>
      </c>
      <c r="J5741" s="21">
        <v>4600</v>
      </c>
      <c r="K5741" s="21">
        <v>0</v>
      </c>
      <c r="L5741" s="5">
        <v>0</v>
      </c>
      <c r="M5741" s="4"/>
      <c r="N5741" s="4"/>
      <c r="O5741" s="5"/>
      <c r="P5741" s="5"/>
      <c r="Q5741" s="21">
        <v>0</v>
      </c>
      <c r="R5741" s="21">
        <v>4600</v>
      </c>
      <c r="S5741" s="5">
        <f t="shared" si="359"/>
        <v>69942.042167016101</v>
      </c>
      <c r="T5741" cm="1">
        <f t="array" ref="T5741">IF(OR(B5741="MAL ALIMI", B5741="ÜRETİM GİRİŞ"), MIN(I5741, MAX(0, I5741 + SUM(SUMIFS($I$1:I5740, $C$1:C5740, C5741, $B$1:B5740, {"MAL ALIMI","ÜRETİM GİRİŞ"})) - VLOOKUP(C5741, 'STOK RAPORU'!$C$2:$I$1000, 4, 0))), 0)</f>
        <v>0</v>
      </c>
      <c r="U5741" s="22">
        <f t="shared" si="356"/>
        <v>0</v>
      </c>
      <c r="V5741">
        <f t="shared" si="357"/>
        <v>0</v>
      </c>
      <c r="W5741" s="22">
        <f t="shared" si="358"/>
        <v>0</v>
      </c>
    </row>
    <row r="5742" spans="1:23" hidden="1" x14ac:dyDescent="0.25">
      <c r="A5742" s="3">
        <v>46104</v>
      </c>
      <c r="B5742" s="4" t="s">
        <v>946</v>
      </c>
      <c r="C5742" s="4"/>
      <c r="D5742" s="4"/>
      <c r="E5742" s="4" t="s">
        <v>921</v>
      </c>
      <c r="F5742" s="4"/>
      <c r="G5742" s="4" t="s">
        <v>2838</v>
      </c>
      <c r="H5742" s="4" t="s">
        <v>380</v>
      </c>
      <c r="I5742" s="4">
        <v>1</v>
      </c>
      <c r="J5742" s="105">
        <v>1865</v>
      </c>
      <c r="K5742" s="35">
        <v>0</v>
      </c>
      <c r="L5742" s="32">
        <v>1865</v>
      </c>
      <c r="M5742" s="4"/>
      <c r="N5742" s="4"/>
      <c r="O5742" s="5"/>
      <c r="P5742" s="5"/>
      <c r="Q5742" s="35">
        <v>1865</v>
      </c>
      <c r="R5742" s="35">
        <v>0</v>
      </c>
      <c r="S5742" s="5">
        <f t="shared" si="359"/>
        <v>71807.042167016101</v>
      </c>
      <c r="T5742" cm="1">
        <f t="array" ref="T5742">IF(OR(B5742="MAL ALIMI", B5742="ÜRETİM GİRİŞ"), MIN(I5742, MAX(0, I5742 + SUM(SUMIFS($I$1:I5741, $C$1:C5741, C5742, $B$1:B5741, {"MAL ALIMI","ÜRETİM GİRİŞ"})) - VLOOKUP(C5742, 'STOK RAPORU'!$C$2:$I$1000, 4, 0))), 0)</f>
        <v>0</v>
      </c>
      <c r="U5742" s="22">
        <f t="shared" si="356"/>
        <v>0</v>
      </c>
      <c r="V5742">
        <f t="shared" si="357"/>
        <v>0</v>
      </c>
      <c r="W5742" s="22">
        <f t="shared" si="358"/>
        <v>0</v>
      </c>
    </row>
    <row r="5743" spans="1:23" hidden="1" x14ac:dyDescent="0.25">
      <c r="A5743" s="3">
        <v>46104</v>
      </c>
      <c r="B5743" s="4" t="s">
        <v>285</v>
      </c>
      <c r="C5743" s="4"/>
      <c r="D5743" s="4" t="s">
        <v>943</v>
      </c>
      <c r="E5743" s="4"/>
      <c r="F5743" s="4"/>
      <c r="G5743" s="4" t="s">
        <v>2838</v>
      </c>
      <c r="H5743" s="4" t="s">
        <v>289</v>
      </c>
      <c r="I5743" s="4">
        <v>1</v>
      </c>
      <c r="J5743" s="35">
        <v>1865</v>
      </c>
      <c r="K5743" s="35">
        <v>0</v>
      </c>
      <c r="L5743" s="5">
        <v>0</v>
      </c>
      <c r="M5743" s="4"/>
      <c r="N5743" s="4"/>
      <c r="O5743" s="5"/>
      <c r="P5743" s="5"/>
      <c r="Q5743" s="35">
        <v>0</v>
      </c>
      <c r="R5743" s="35">
        <v>1865</v>
      </c>
      <c r="S5743" s="5">
        <f t="shared" si="359"/>
        <v>69942.042167016101</v>
      </c>
      <c r="T5743" cm="1">
        <f t="array" ref="T5743">IF(OR(B5743="MAL ALIMI", B5743="ÜRETİM GİRİŞ"), MIN(I5743, MAX(0, I5743 + SUM(SUMIFS($I$1:I5742, $C$1:C5742, C5743, $B$1:B5742, {"MAL ALIMI","ÜRETİM GİRİŞ"})) - VLOOKUP(C5743, 'STOK RAPORU'!$C$2:$I$1000, 4, 0))), 0)</f>
        <v>0</v>
      </c>
      <c r="U5743" s="22">
        <f t="shared" si="356"/>
        <v>0</v>
      </c>
      <c r="V5743">
        <f t="shared" si="357"/>
        <v>0</v>
      </c>
      <c r="W5743" s="22">
        <f t="shared" si="358"/>
        <v>0</v>
      </c>
    </row>
    <row r="5744" spans="1:23" hidden="1" x14ac:dyDescent="0.25">
      <c r="A5744" s="3">
        <v>46104</v>
      </c>
      <c r="B5744" s="4" t="s">
        <v>285</v>
      </c>
      <c r="C5744" s="4"/>
      <c r="D5744" s="4" t="s">
        <v>111</v>
      </c>
      <c r="E5744" s="4"/>
      <c r="F5744" s="4"/>
      <c r="G5744" s="4" t="s">
        <v>2760</v>
      </c>
      <c r="H5744" s="4" t="s">
        <v>289</v>
      </c>
      <c r="I5744" s="4">
        <v>1</v>
      </c>
      <c r="J5744" s="21">
        <v>150</v>
      </c>
      <c r="K5744" s="21">
        <v>0</v>
      </c>
      <c r="L5744" s="5">
        <v>0</v>
      </c>
      <c r="M5744" s="4"/>
      <c r="N5744" s="4"/>
      <c r="O5744" s="5"/>
      <c r="P5744" s="5"/>
      <c r="Q5744" s="21">
        <v>0</v>
      </c>
      <c r="R5744" s="21">
        <v>150</v>
      </c>
      <c r="S5744" s="5">
        <f t="shared" si="359"/>
        <v>69792.042167016101</v>
      </c>
      <c r="T5744" cm="1">
        <f t="array" ref="T5744">IF(OR(B5744="MAL ALIMI", B5744="ÜRETİM GİRİŞ"), MIN(I5744, MAX(0, I5744 + SUM(SUMIFS($I$1:I5743, $C$1:C5743, C5744, $B$1:B5743, {"MAL ALIMI","ÜRETİM GİRİŞ"})) - VLOOKUP(C5744, 'STOK RAPORU'!$C$2:$I$1000, 4, 0))), 0)</f>
        <v>0</v>
      </c>
      <c r="U5744" s="22">
        <f t="shared" si="356"/>
        <v>0</v>
      </c>
      <c r="V5744">
        <f t="shared" si="357"/>
        <v>0</v>
      </c>
      <c r="W5744" s="22">
        <f t="shared" si="358"/>
        <v>0</v>
      </c>
    </row>
    <row r="5745" spans="1:23" hidden="1" x14ac:dyDescent="0.25">
      <c r="A5745" s="3">
        <v>46105</v>
      </c>
      <c r="B5745" s="4" t="s">
        <v>334</v>
      </c>
      <c r="C5745" s="4" t="s">
        <v>132</v>
      </c>
      <c r="D5745" s="4"/>
      <c r="E5745" s="4" t="s">
        <v>921</v>
      </c>
      <c r="F5745" s="46" t="s">
        <v>2762</v>
      </c>
      <c r="G5745" s="4" t="s">
        <v>336</v>
      </c>
      <c r="H5745" s="4" t="s">
        <v>380</v>
      </c>
      <c r="I5745" s="4">
        <v>0.188</v>
      </c>
      <c r="J5745" s="21">
        <v>500</v>
      </c>
      <c r="K5745" s="21">
        <v>94</v>
      </c>
      <c r="L5745" s="5">
        <v>0</v>
      </c>
      <c r="M5745" s="4"/>
      <c r="N5745" s="4"/>
      <c r="O5745" s="5"/>
      <c r="P5745" s="5"/>
      <c r="Q5745" s="21">
        <v>0</v>
      </c>
      <c r="R5745" s="21">
        <v>0</v>
      </c>
      <c r="S5745" s="5">
        <f t="shared" si="359"/>
        <v>69792.042167016101</v>
      </c>
      <c r="T5745" cm="1">
        <f t="array" ref="T5745">IF(OR(B5745="MAL ALIMI", B5745="ÜRETİM GİRİŞ"), MIN(I5745, MAX(0, I5745 + SUM(SUMIFS($I$1:I5744, $C$1:C5744, C5745, $B$1:B5744, {"MAL ALIMI","ÜRETİM GİRİŞ"})) - VLOOKUP(C5745, 'STOK RAPORU'!$C$2:$I$1000, 4, 0))), 0)</f>
        <v>0</v>
      </c>
      <c r="U5745" s="22">
        <f t="shared" si="356"/>
        <v>0</v>
      </c>
      <c r="V5745">
        <f t="shared" si="357"/>
        <v>0</v>
      </c>
      <c r="W5745" s="22">
        <f t="shared" si="358"/>
        <v>0</v>
      </c>
    </row>
    <row r="5746" spans="1:23" hidden="1" x14ac:dyDescent="0.25">
      <c r="A5746" s="3">
        <v>46105</v>
      </c>
      <c r="B5746" s="4" t="s">
        <v>334</v>
      </c>
      <c r="C5746" s="4" t="s">
        <v>96</v>
      </c>
      <c r="D5746" s="4"/>
      <c r="E5746" s="4" t="s">
        <v>921</v>
      </c>
      <c r="F5746" s="46" t="s">
        <v>2762</v>
      </c>
      <c r="G5746" s="4" t="s">
        <v>336</v>
      </c>
      <c r="H5746" s="4" t="s">
        <v>380</v>
      </c>
      <c r="I5746" s="4">
        <v>0.09</v>
      </c>
      <c r="J5746" s="21">
        <v>400</v>
      </c>
      <c r="K5746" s="21">
        <v>36</v>
      </c>
      <c r="L5746" s="5">
        <v>0</v>
      </c>
      <c r="M5746" s="4"/>
      <c r="N5746" s="4"/>
      <c r="O5746" s="5"/>
      <c r="P5746" s="5"/>
      <c r="Q5746" s="21">
        <v>0</v>
      </c>
      <c r="R5746" s="21">
        <v>0</v>
      </c>
      <c r="S5746" s="5">
        <f t="shared" si="359"/>
        <v>69792.042167016101</v>
      </c>
      <c r="T5746" cm="1">
        <f t="array" ref="T5746">IF(OR(B5746="MAL ALIMI", B5746="ÜRETİM GİRİŞ"), MIN(I5746, MAX(0, I5746 + SUM(SUMIFS($I$1:I5745, $C$1:C5745, C5746, $B$1:B5745, {"MAL ALIMI","ÜRETİM GİRİŞ"})) - VLOOKUP(C5746, 'STOK RAPORU'!$C$2:$I$1000, 4, 0))), 0)</f>
        <v>0</v>
      </c>
      <c r="U5746" s="22">
        <f t="shared" si="356"/>
        <v>0</v>
      </c>
      <c r="V5746">
        <f t="shared" si="357"/>
        <v>0</v>
      </c>
      <c r="W5746" s="22">
        <f t="shared" si="358"/>
        <v>0</v>
      </c>
    </row>
    <row r="5747" spans="1:23" hidden="1" x14ac:dyDescent="0.25">
      <c r="A5747" s="3">
        <v>46105</v>
      </c>
      <c r="B5747" s="4" t="s">
        <v>334</v>
      </c>
      <c r="C5747" s="4" t="s">
        <v>92</v>
      </c>
      <c r="D5747" s="4"/>
      <c r="E5747" s="4" t="s">
        <v>921</v>
      </c>
      <c r="F5747" s="46" t="s">
        <v>2762</v>
      </c>
      <c r="G5747" s="4" t="s">
        <v>336</v>
      </c>
      <c r="H5747" s="4" t="s">
        <v>380</v>
      </c>
      <c r="I5747" s="4">
        <v>0.186</v>
      </c>
      <c r="J5747" s="21">
        <v>500</v>
      </c>
      <c r="K5747" s="21">
        <v>93</v>
      </c>
      <c r="L5747" s="5">
        <v>0</v>
      </c>
      <c r="M5747" s="4"/>
      <c r="N5747" s="4"/>
      <c r="O5747" s="5"/>
      <c r="P5747" s="5"/>
      <c r="Q5747" s="21">
        <v>0</v>
      </c>
      <c r="R5747" s="21">
        <v>0</v>
      </c>
      <c r="S5747" s="5">
        <f t="shared" si="359"/>
        <v>69792.042167016101</v>
      </c>
      <c r="T5747" cm="1">
        <f t="array" ref="T5747">IF(OR(B5747="MAL ALIMI", B5747="ÜRETİM GİRİŞ"), MIN(I5747, MAX(0, I5747 + SUM(SUMIFS($I$1:I5746, $C$1:C5746, C5747, $B$1:B5746, {"MAL ALIMI","ÜRETİM GİRİŞ"})) - VLOOKUP(C5747, 'STOK RAPORU'!$C$2:$I$1000, 4, 0))), 0)</f>
        <v>0</v>
      </c>
      <c r="U5747" s="22">
        <f t="shared" ref="U5747:U5810" si="360">T5747*J5747</f>
        <v>0</v>
      </c>
      <c r="V5747">
        <f t="shared" ref="V5747:V5810" si="361">IF(OR(B5747="MAL ALIMI", B5747="ÜRETİM GİRİŞ"), I5747 * J5747, 0)</f>
        <v>0</v>
      </c>
      <c r="W5747" s="22">
        <f t="shared" ref="W5747:W5810" si="362">V5747-U5747</f>
        <v>0</v>
      </c>
    </row>
    <row r="5748" spans="1:23" hidden="1" x14ac:dyDescent="0.25">
      <c r="A5748" s="3">
        <v>46105</v>
      </c>
      <c r="B5748" s="4" t="s">
        <v>334</v>
      </c>
      <c r="C5748" s="4" t="s">
        <v>1501</v>
      </c>
      <c r="D5748" s="4"/>
      <c r="E5748" s="4" t="s">
        <v>921</v>
      </c>
      <c r="F5748" s="46" t="s">
        <v>2762</v>
      </c>
      <c r="G5748" s="4" t="s">
        <v>336</v>
      </c>
      <c r="H5748" s="4" t="s">
        <v>380</v>
      </c>
      <c r="I5748" s="4">
        <v>0.16666666666666666</v>
      </c>
      <c r="J5748" s="21">
        <v>600</v>
      </c>
      <c r="K5748" s="21">
        <v>100</v>
      </c>
      <c r="L5748" s="5">
        <v>0</v>
      </c>
      <c r="M5748" s="4"/>
      <c r="N5748" s="4"/>
      <c r="O5748" s="5"/>
      <c r="P5748" s="5"/>
      <c r="Q5748" s="21">
        <v>0</v>
      </c>
      <c r="R5748" s="21">
        <v>0</v>
      </c>
      <c r="S5748" s="5">
        <f t="shared" si="359"/>
        <v>69792.042167016101</v>
      </c>
      <c r="T5748" cm="1">
        <f t="array" ref="T5748">IF(OR(B5748="MAL ALIMI", B5748="ÜRETİM GİRİŞ"), MIN(I5748, MAX(0, I5748 + SUM(SUMIFS($I$1:I5747, $C$1:C5747, C5748, $B$1:B5747, {"MAL ALIMI","ÜRETİM GİRİŞ"})) - VLOOKUP(C5748, 'STOK RAPORU'!$C$2:$I$1000, 4, 0))), 0)</f>
        <v>0</v>
      </c>
      <c r="U5748" s="22">
        <f t="shared" si="360"/>
        <v>0</v>
      </c>
      <c r="V5748">
        <f t="shared" si="361"/>
        <v>0</v>
      </c>
      <c r="W5748" s="22">
        <f t="shared" si="362"/>
        <v>0</v>
      </c>
    </row>
    <row r="5749" spans="1:23" hidden="1" x14ac:dyDescent="0.25">
      <c r="A5749" s="3">
        <v>46105</v>
      </c>
      <c r="B5749" s="4" t="s">
        <v>334</v>
      </c>
      <c r="C5749" s="4" t="s">
        <v>266</v>
      </c>
      <c r="D5749" s="4"/>
      <c r="E5749" s="4"/>
      <c r="F5749" s="46" t="s">
        <v>2763</v>
      </c>
      <c r="G5749" s="4" t="s">
        <v>336</v>
      </c>
      <c r="H5749" s="4" t="s">
        <v>289</v>
      </c>
      <c r="I5749" s="4">
        <v>1</v>
      </c>
      <c r="J5749" s="21">
        <v>250</v>
      </c>
      <c r="K5749" s="21">
        <v>0</v>
      </c>
      <c r="L5749" s="5">
        <v>0</v>
      </c>
      <c r="M5749" s="4"/>
      <c r="N5749" s="4"/>
      <c r="O5749" s="5"/>
      <c r="P5749" s="5"/>
      <c r="Q5749" s="21">
        <v>250</v>
      </c>
      <c r="R5749" s="21">
        <v>0</v>
      </c>
      <c r="S5749" s="5">
        <f t="shared" si="359"/>
        <v>70042.042167016101</v>
      </c>
      <c r="T5749" cm="1">
        <f t="array" ref="T5749">IF(OR(B5749="MAL ALIMI", B5749="ÜRETİM GİRİŞ"), MIN(I5749, MAX(0, I5749 + SUM(SUMIFS($I$1:I5748, $C$1:C5748, C5749, $B$1:B5748, {"MAL ALIMI","ÜRETİM GİRİŞ"})) - VLOOKUP(C5749, 'STOK RAPORU'!$C$2:$I$1000, 4, 0))), 0)</f>
        <v>0</v>
      </c>
      <c r="U5749" s="22">
        <f t="shared" si="360"/>
        <v>0</v>
      </c>
      <c r="V5749">
        <f t="shared" si="361"/>
        <v>0</v>
      </c>
      <c r="W5749" s="22">
        <f t="shared" si="362"/>
        <v>0</v>
      </c>
    </row>
    <row r="5750" spans="1:23" hidden="1" x14ac:dyDescent="0.25">
      <c r="A5750" s="3">
        <v>46105</v>
      </c>
      <c r="B5750" s="4" t="s">
        <v>334</v>
      </c>
      <c r="C5750" s="4" t="s">
        <v>132</v>
      </c>
      <c r="D5750" s="4"/>
      <c r="E5750" s="4"/>
      <c r="F5750" s="46" t="s">
        <v>2763</v>
      </c>
      <c r="G5750" s="4" t="s">
        <v>336</v>
      </c>
      <c r="H5750" s="4" t="s">
        <v>289</v>
      </c>
      <c r="I5750" s="4">
        <v>0.1</v>
      </c>
      <c r="J5750" s="21">
        <v>500</v>
      </c>
      <c r="K5750" s="21">
        <v>0</v>
      </c>
      <c r="L5750" s="5">
        <v>0</v>
      </c>
      <c r="M5750" s="4"/>
      <c r="N5750" s="4"/>
      <c r="O5750" s="5"/>
      <c r="P5750" s="5"/>
      <c r="Q5750" s="21">
        <v>50</v>
      </c>
      <c r="R5750" s="21">
        <v>0</v>
      </c>
      <c r="S5750" s="5">
        <f t="shared" si="359"/>
        <v>70092.042167016101</v>
      </c>
      <c r="T5750" cm="1">
        <f t="array" ref="T5750">IF(OR(B5750="MAL ALIMI", B5750="ÜRETİM GİRİŞ"), MIN(I5750, MAX(0, I5750 + SUM(SUMIFS($I$1:I5749, $C$1:C5749, C5750, $B$1:B5749, {"MAL ALIMI","ÜRETİM GİRİŞ"})) - VLOOKUP(C5750, 'STOK RAPORU'!$C$2:$I$1000, 4, 0))), 0)</f>
        <v>0</v>
      </c>
      <c r="U5750" s="22">
        <f t="shared" si="360"/>
        <v>0</v>
      </c>
      <c r="V5750">
        <f t="shared" si="361"/>
        <v>0</v>
      </c>
      <c r="W5750" s="22">
        <f t="shared" si="362"/>
        <v>0</v>
      </c>
    </row>
    <row r="5751" spans="1:23" hidden="1" x14ac:dyDescent="0.25">
      <c r="A5751" s="3">
        <v>46105</v>
      </c>
      <c r="B5751" s="4" t="s">
        <v>334</v>
      </c>
      <c r="C5751" s="4" t="s">
        <v>160</v>
      </c>
      <c r="D5751" s="4"/>
      <c r="E5751" s="4"/>
      <c r="F5751" s="46" t="s">
        <v>2764</v>
      </c>
      <c r="G5751" s="4" t="s">
        <v>336</v>
      </c>
      <c r="H5751" s="4" t="s">
        <v>289</v>
      </c>
      <c r="I5751" s="4">
        <v>1</v>
      </c>
      <c r="J5751" s="21">
        <v>250</v>
      </c>
      <c r="K5751" s="21">
        <v>0</v>
      </c>
      <c r="L5751" s="5">
        <v>0</v>
      </c>
      <c r="M5751" s="4"/>
      <c r="N5751" s="4"/>
      <c r="O5751" s="5"/>
      <c r="P5751" s="5"/>
      <c r="Q5751" s="21">
        <v>250</v>
      </c>
      <c r="R5751" s="21">
        <v>0</v>
      </c>
      <c r="S5751" s="5">
        <f t="shared" si="359"/>
        <v>70342.042167016101</v>
      </c>
      <c r="T5751" cm="1">
        <f t="array" ref="T5751">IF(OR(B5751="MAL ALIMI", B5751="ÜRETİM GİRİŞ"), MIN(I5751, MAX(0, I5751 + SUM(SUMIFS($I$1:I5750, $C$1:C5750, C5751, $B$1:B5750, {"MAL ALIMI","ÜRETİM GİRİŞ"})) - VLOOKUP(C5751, 'STOK RAPORU'!$C$2:$I$1000, 4, 0))), 0)</f>
        <v>0</v>
      </c>
      <c r="U5751" s="22">
        <f t="shared" si="360"/>
        <v>0</v>
      </c>
      <c r="V5751">
        <f t="shared" si="361"/>
        <v>0</v>
      </c>
      <c r="W5751" s="22">
        <f t="shared" si="362"/>
        <v>0</v>
      </c>
    </row>
    <row r="5752" spans="1:23" hidden="1" x14ac:dyDescent="0.25">
      <c r="A5752" s="3">
        <v>46105</v>
      </c>
      <c r="B5752" s="4" t="s">
        <v>334</v>
      </c>
      <c r="C5752" s="4" t="s">
        <v>60</v>
      </c>
      <c r="D5752" s="4"/>
      <c r="E5752" s="4"/>
      <c r="F5752" s="46" t="s">
        <v>2765</v>
      </c>
      <c r="G5752" s="4" t="s">
        <v>336</v>
      </c>
      <c r="H5752" s="4" t="s">
        <v>289</v>
      </c>
      <c r="I5752" s="4">
        <v>0.05</v>
      </c>
      <c r="J5752" s="21">
        <v>1200</v>
      </c>
      <c r="K5752" s="21">
        <v>0</v>
      </c>
      <c r="L5752" s="5">
        <v>0</v>
      </c>
      <c r="M5752" s="4"/>
      <c r="N5752" s="4"/>
      <c r="O5752" s="5"/>
      <c r="P5752" s="5"/>
      <c r="Q5752" s="21">
        <v>60</v>
      </c>
      <c r="R5752" s="21">
        <v>0</v>
      </c>
      <c r="S5752" s="5">
        <f t="shared" si="359"/>
        <v>70402.042167016101</v>
      </c>
      <c r="T5752" cm="1">
        <f t="array" ref="T5752">IF(OR(B5752="MAL ALIMI", B5752="ÜRETİM GİRİŞ"), MIN(I5752, MAX(0, I5752 + SUM(SUMIFS($I$1:I5751, $C$1:C5751, C5752, $B$1:B5751, {"MAL ALIMI","ÜRETİM GİRİŞ"})) - VLOOKUP(C5752, 'STOK RAPORU'!$C$2:$I$1000, 4, 0))), 0)</f>
        <v>0</v>
      </c>
      <c r="U5752" s="22">
        <f t="shared" si="360"/>
        <v>0</v>
      </c>
      <c r="V5752">
        <f t="shared" si="361"/>
        <v>0</v>
      </c>
      <c r="W5752" s="22">
        <f t="shared" si="362"/>
        <v>0</v>
      </c>
    </row>
    <row r="5753" spans="1:23" hidden="1" x14ac:dyDescent="0.25">
      <c r="A5753" s="3">
        <v>46105</v>
      </c>
      <c r="B5753" s="4" t="s">
        <v>334</v>
      </c>
      <c r="C5753" s="4" t="s">
        <v>1151</v>
      </c>
      <c r="D5753" s="4"/>
      <c r="E5753" s="4"/>
      <c r="F5753" s="46" t="s">
        <v>2766</v>
      </c>
      <c r="G5753" s="4" t="s">
        <v>336</v>
      </c>
      <c r="H5753" s="4" t="s">
        <v>289</v>
      </c>
      <c r="I5753" s="4">
        <v>0.27777777777777779</v>
      </c>
      <c r="J5753" s="21">
        <v>360</v>
      </c>
      <c r="K5753" s="21">
        <v>0</v>
      </c>
      <c r="L5753" s="5">
        <v>0</v>
      </c>
      <c r="M5753" s="4"/>
      <c r="N5753" s="4"/>
      <c r="O5753" s="5"/>
      <c r="P5753" s="5"/>
      <c r="Q5753" s="21">
        <v>100</v>
      </c>
      <c r="R5753" s="21">
        <v>0</v>
      </c>
      <c r="S5753" s="5">
        <f t="shared" si="359"/>
        <v>70502.042167016101</v>
      </c>
      <c r="T5753" cm="1">
        <f t="array" ref="T5753">IF(OR(B5753="MAL ALIMI", B5753="ÜRETİM GİRİŞ"), MIN(I5753, MAX(0, I5753 + SUM(SUMIFS($I$1:I5752, $C$1:C5752, C5753, $B$1:B5752, {"MAL ALIMI","ÜRETİM GİRİŞ"})) - VLOOKUP(C5753, 'STOK RAPORU'!$C$2:$I$1000, 4, 0))), 0)</f>
        <v>0</v>
      </c>
      <c r="U5753" s="22">
        <f t="shared" si="360"/>
        <v>0</v>
      </c>
      <c r="V5753">
        <f t="shared" si="361"/>
        <v>0</v>
      </c>
      <c r="W5753" s="22">
        <f t="shared" si="362"/>
        <v>0</v>
      </c>
    </row>
    <row r="5754" spans="1:23" hidden="1" x14ac:dyDescent="0.25">
      <c r="A5754" s="3">
        <v>46105</v>
      </c>
      <c r="B5754" s="4" t="s">
        <v>334</v>
      </c>
      <c r="C5754" s="4" t="s">
        <v>149</v>
      </c>
      <c r="D5754" s="4"/>
      <c r="E5754" s="4"/>
      <c r="F5754" s="46" t="s">
        <v>2767</v>
      </c>
      <c r="G5754" s="4" t="s">
        <v>336</v>
      </c>
      <c r="H5754" s="4" t="s">
        <v>289</v>
      </c>
      <c r="I5754" s="4">
        <v>1</v>
      </c>
      <c r="J5754" s="21">
        <v>65</v>
      </c>
      <c r="K5754" s="21">
        <v>0</v>
      </c>
      <c r="L5754" s="5">
        <v>0</v>
      </c>
      <c r="M5754" s="4"/>
      <c r="N5754" s="4"/>
      <c r="O5754" s="5"/>
      <c r="P5754" s="5"/>
      <c r="Q5754" s="21">
        <v>65</v>
      </c>
      <c r="R5754" s="21">
        <v>0</v>
      </c>
      <c r="S5754" s="5">
        <f t="shared" si="359"/>
        <v>70567.042167016101</v>
      </c>
      <c r="T5754" cm="1">
        <f t="array" ref="T5754">IF(OR(B5754="MAL ALIMI", B5754="ÜRETİM GİRİŞ"), MIN(I5754, MAX(0, I5754 + SUM(SUMIFS($I$1:I5753, $C$1:C5753, C5754, $B$1:B5753, {"MAL ALIMI","ÜRETİM GİRİŞ"})) - VLOOKUP(C5754, 'STOK RAPORU'!$C$2:$I$1000, 4, 0))), 0)</f>
        <v>0</v>
      </c>
      <c r="U5754" s="22">
        <f t="shared" si="360"/>
        <v>0</v>
      </c>
      <c r="V5754">
        <f t="shared" si="361"/>
        <v>0</v>
      </c>
      <c r="W5754" s="22">
        <f t="shared" si="362"/>
        <v>0</v>
      </c>
    </row>
    <row r="5755" spans="1:23" hidden="1" x14ac:dyDescent="0.25">
      <c r="A5755" s="3">
        <v>46105</v>
      </c>
      <c r="B5755" s="4" t="s">
        <v>334</v>
      </c>
      <c r="C5755" s="4" t="s">
        <v>679</v>
      </c>
      <c r="D5755" s="4"/>
      <c r="E5755" s="4"/>
      <c r="F5755" s="46" t="s">
        <v>2768</v>
      </c>
      <c r="G5755" s="4" t="s">
        <v>336</v>
      </c>
      <c r="H5755" s="4" t="s">
        <v>289</v>
      </c>
      <c r="I5755" s="4">
        <v>0.25</v>
      </c>
      <c r="J5755" s="21">
        <v>400</v>
      </c>
      <c r="K5755" s="21">
        <v>0</v>
      </c>
      <c r="L5755" s="5">
        <v>0</v>
      </c>
      <c r="M5755" s="4"/>
      <c r="N5755" s="4"/>
      <c r="O5755" s="5"/>
      <c r="P5755" s="5"/>
      <c r="Q5755" s="21">
        <v>100</v>
      </c>
      <c r="R5755" s="21">
        <v>0</v>
      </c>
      <c r="S5755" s="5">
        <f t="shared" si="359"/>
        <v>70667.042167016101</v>
      </c>
      <c r="T5755" cm="1">
        <f t="array" ref="T5755">IF(OR(B5755="MAL ALIMI", B5755="ÜRETİM GİRİŞ"), MIN(I5755, MAX(0, I5755 + SUM(SUMIFS($I$1:I5754, $C$1:C5754, C5755, $B$1:B5754, {"MAL ALIMI","ÜRETİM GİRİŞ"})) - VLOOKUP(C5755, 'STOK RAPORU'!$C$2:$I$1000, 4, 0))), 0)</f>
        <v>0</v>
      </c>
      <c r="U5755" s="22">
        <f t="shared" si="360"/>
        <v>0</v>
      </c>
      <c r="V5755">
        <f t="shared" si="361"/>
        <v>0</v>
      </c>
      <c r="W5755" s="22">
        <f t="shared" si="362"/>
        <v>0</v>
      </c>
    </row>
    <row r="5756" spans="1:23" hidden="1" x14ac:dyDescent="0.25">
      <c r="A5756" s="3">
        <v>46105</v>
      </c>
      <c r="B5756" s="4" t="s">
        <v>334</v>
      </c>
      <c r="C5756" s="4" t="s">
        <v>160</v>
      </c>
      <c r="D5756" s="4"/>
      <c r="E5756" s="4" t="s">
        <v>921</v>
      </c>
      <c r="F5756" s="46" t="s">
        <v>2769</v>
      </c>
      <c r="G5756" s="4" t="s">
        <v>336</v>
      </c>
      <c r="H5756" s="4" t="s">
        <v>380</v>
      </c>
      <c r="I5756" s="4">
        <v>1</v>
      </c>
      <c r="J5756" s="21">
        <v>250</v>
      </c>
      <c r="K5756" s="21">
        <v>250</v>
      </c>
      <c r="L5756" s="5">
        <v>0</v>
      </c>
      <c r="M5756" s="4"/>
      <c r="N5756" s="4"/>
      <c r="O5756" s="5"/>
      <c r="P5756" s="5"/>
      <c r="Q5756" s="21">
        <v>0</v>
      </c>
      <c r="R5756" s="21">
        <v>0</v>
      </c>
      <c r="S5756" s="5">
        <f t="shared" si="359"/>
        <v>70667.042167016101</v>
      </c>
      <c r="T5756" cm="1">
        <f t="array" ref="T5756">IF(OR(B5756="MAL ALIMI", B5756="ÜRETİM GİRİŞ"), MIN(I5756, MAX(0, I5756 + SUM(SUMIFS($I$1:I5755, $C$1:C5755, C5756, $B$1:B5755, {"MAL ALIMI","ÜRETİM GİRİŞ"})) - VLOOKUP(C5756, 'STOK RAPORU'!$C$2:$I$1000, 4, 0))), 0)</f>
        <v>0</v>
      </c>
      <c r="U5756" s="22">
        <f t="shared" si="360"/>
        <v>0</v>
      </c>
      <c r="V5756">
        <f t="shared" si="361"/>
        <v>0</v>
      </c>
      <c r="W5756" s="22">
        <f t="shared" si="362"/>
        <v>0</v>
      </c>
    </row>
    <row r="5757" spans="1:23" hidden="1" x14ac:dyDescent="0.25">
      <c r="A5757" s="3">
        <v>46105</v>
      </c>
      <c r="B5757" s="4" t="s">
        <v>334</v>
      </c>
      <c r="C5757" s="4" t="s">
        <v>161</v>
      </c>
      <c r="D5757" s="4"/>
      <c r="E5757" s="4" t="s">
        <v>921</v>
      </c>
      <c r="F5757" s="46" t="s">
        <v>2769</v>
      </c>
      <c r="G5757" s="4" t="s">
        <v>336</v>
      </c>
      <c r="H5757" s="4" t="s">
        <v>380</v>
      </c>
      <c r="I5757" s="4">
        <v>1</v>
      </c>
      <c r="J5757" s="21">
        <v>250</v>
      </c>
      <c r="K5757" s="21">
        <v>250</v>
      </c>
      <c r="L5757" s="5">
        <v>0</v>
      </c>
      <c r="M5757" s="4"/>
      <c r="N5757" s="4"/>
      <c r="O5757" s="5"/>
      <c r="P5757" s="5"/>
      <c r="Q5757" s="21">
        <v>0</v>
      </c>
      <c r="R5757" s="21">
        <v>0</v>
      </c>
      <c r="S5757" s="5">
        <f t="shared" si="359"/>
        <v>70667.042167016101</v>
      </c>
      <c r="T5757" cm="1">
        <f t="array" ref="T5757">IF(OR(B5757="MAL ALIMI", B5757="ÜRETİM GİRİŞ"), MIN(I5757, MAX(0, I5757 + SUM(SUMIFS($I$1:I5756, $C$1:C5756, C5757, $B$1:B5756, {"MAL ALIMI","ÜRETİM GİRİŞ"})) - VLOOKUP(C5757, 'STOK RAPORU'!$C$2:$I$1000, 4, 0))), 0)</f>
        <v>0</v>
      </c>
      <c r="U5757" s="22">
        <f t="shared" si="360"/>
        <v>0</v>
      </c>
      <c r="V5757">
        <f t="shared" si="361"/>
        <v>0</v>
      </c>
      <c r="W5757" s="22">
        <f t="shared" si="362"/>
        <v>0</v>
      </c>
    </row>
    <row r="5758" spans="1:23" hidden="1" x14ac:dyDescent="0.25">
      <c r="A5758" s="3">
        <v>46105</v>
      </c>
      <c r="B5758" s="4" t="s">
        <v>334</v>
      </c>
      <c r="C5758" s="4" t="s">
        <v>146</v>
      </c>
      <c r="D5758" s="4"/>
      <c r="E5758" s="4" t="s">
        <v>921</v>
      </c>
      <c r="F5758" s="46" t="s">
        <v>2769</v>
      </c>
      <c r="G5758" s="4" t="s">
        <v>336</v>
      </c>
      <c r="H5758" s="4" t="s">
        <v>380</v>
      </c>
      <c r="I5758" s="4">
        <v>1</v>
      </c>
      <c r="J5758" s="21">
        <v>80</v>
      </c>
      <c r="K5758" s="21">
        <v>80</v>
      </c>
      <c r="L5758" s="5">
        <v>0</v>
      </c>
      <c r="M5758" s="4"/>
      <c r="N5758" s="4"/>
      <c r="O5758" s="5"/>
      <c r="P5758" s="5"/>
      <c r="Q5758" s="21">
        <v>0</v>
      </c>
      <c r="R5758" s="21">
        <v>0</v>
      </c>
      <c r="S5758" s="5">
        <f t="shared" si="359"/>
        <v>70667.042167016101</v>
      </c>
      <c r="T5758" cm="1">
        <f t="array" ref="T5758">IF(OR(B5758="MAL ALIMI", B5758="ÜRETİM GİRİŞ"), MIN(I5758, MAX(0, I5758 + SUM(SUMIFS($I$1:I5757, $C$1:C5757, C5758, $B$1:B5757, {"MAL ALIMI","ÜRETİM GİRİŞ"})) - VLOOKUP(C5758, 'STOK RAPORU'!$C$2:$I$1000, 4, 0))), 0)</f>
        <v>0</v>
      </c>
      <c r="U5758" s="22">
        <f t="shared" si="360"/>
        <v>0</v>
      </c>
      <c r="V5758">
        <f t="shared" si="361"/>
        <v>0</v>
      </c>
      <c r="W5758" s="22">
        <f t="shared" si="362"/>
        <v>0</v>
      </c>
    </row>
    <row r="5759" spans="1:23" hidden="1" x14ac:dyDescent="0.25">
      <c r="A5759" s="3">
        <v>46105</v>
      </c>
      <c r="B5759" s="4" t="s">
        <v>334</v>
      </c>
      <c r="C5759" s="4" t="s">
        <v>143</v>
      </c>
      <c r="D5759" s="4"/>
      <c r="E5759" s="4" t="s">
        <v>921</v>
      </c>
      <c r="F5759" s="46" t="s">
        <v>2769</v>
      </c>
      <c r="G5759" s="4" t="s">
        <v>336</v>
      </c>
      <c r="H5759" s="4" t="s">
        <v>380</v>
      </c>
      <c r="I5759" s="4">
        <v>1</v>
      </c>
      <c r="J5759" s="21">
        <v>100</v>
      </c>
      <c r="K5759" s="21">
        <v>100</v>
      </c>
      <c r="L5759" s="5">
        <v>0</v>
      </c>
      <c r="M5759" s="4"/>
      <c r="N5759" s="4"/>
      <c r="O5759" s="5"/>
      <c r="P5759" s="5"/>
      <c r="Q5759" s="21">
        <v>0</v>
      </c>
      <c r="R5759" s="21">
        <v>0</v>
      </c>
      <c r="S5759" s="5">
        <f t="shared" si="359"/>
        <v>70667.042167016101</v>
      </c>
      <c r="T5759" cm="1">
        <f t="array" ref="T5759">IF(OR(B5759="MAL ALIMI", B5759="ÜRETİM GİRİŞ"), MIN(I5759, MAX(0, I5759 + SUM(SUMIFS($I$1:I5758, $C$1:C5758, C5759, $B$1:B5758, {"MAL ALIMI","ÜRETİM GİRİŞ"})) - VLOOKUP(C5759, 'STOK RAPORU'!$C$2:$I$1000, 4, 0))), 0)</f>
        <v>0</v>
      </c>
      <c r="U5759" s="22">
        <f t="shared" si="360"/>
        <v>0</v>
      </c>
      <c r="V5759">
        <f t="shared" si="361"/>
        <v>0</v>
      </c>
      <c r="W5759" s="22">
        <f t="shared" si="362"/>
        <v>0</v>
      </c>
    </row>
    <row r="5760" spans="1:23" hidden="1" x14ac:dyDescent="0.25">
      <c r="A5760" s="3">
        <v>46105</v>
      </c>
      <c r="B5760" s="4" t="s">
        <v>334</v>
      </c>
      <c r="C5760" s="4" t="s">
        <v>270</v>
      </c>
      <c r="D5760" s="4"/>
      <c r="E5760" s="4" t="s">
        <v>921</v>
      </c>
      <c r="F5760" s="46" t="s">
        <v>2770</v>
      </c>
      <c r="G5760" s="4" t="s">
        <v>336</v>
      </c>
      <c r="H5760" s="4" t="s">
        <v>380</v>
      </c>
      <c r="I5760" s="4">
        <v>1</v>
      </c>
      <c r="J5760" s="21">
        <v>165</v>
      </c>
      <c r="K5760" s="21">
        <v>165</v>
      </c>
      <c r="L5760" s="5">
        <v>0</v>
      </c>
      <c r="M5760" s="4"/>
      <c r="N5760" s="4"/>
      <c r="O5760" s="5"/>
      <c r="P5760" s="5"/>
      <c r="Q5760" s="21">
        <v>0</v>
      </c>
      <c r="R5760" s="21">
        <v>0</v>
      </c>
      <c r="S5760" s="5">
        <f t="shared" si="359"/>
        <v>70667.042167016101</v>
      </c>
      <c r="T5760" cm="1">
        <f t="array" ref="T5760">IF(OR(B5760="MAL ALIMI", B5760="ÜRETİM GİRİŞ"), MIN(I5760, MAX(0, I5760 + SUM(SUMIFS($I$1:I5759, $C$1:C5759, C5760, $B$1:B5759, {"MAL ALIMI","ÜRETİM GİRİŞ"})) - VLOOKUP(C5760, 'STOK RAPORU'!$C$2:$I$1000, 4, 0))), 0)</f>
        <v>0</v>
      </c>
      <c r="U5760" s="22">
        <f t="shared" si="360"/>
        <v>0</v>
      </c>
      <c r="V5760">
        <f t="shared" si="361"/>
        <v>0</v>
      </c>
      <c r="W5760" s="22">
        <f t="shared" si="362"/>
        <v>0</v>
      </c>
    </row>
    <row r="5761" spans="1:23" hidden="1" x14ac:dyDescent="0.25">
      <c r="A5761" s="3">
        <v>46105</v>
      </c>
      <c r="B5761" s="4" t="s">
        <v>334</v>
      </c>
      <c r="C5761" s="4" t="s">
        <v>163</v>
      </c>
      <c r="D5761" s="4"/>
      <c r="E5761" s="4" t="s">
        <v>921</v>
      </c>
      <c r="F5761" s="46" t="s">
        <v>2771</v>
      </c>
      <c r="G5761" s="4" t="s">
        <v>336</v>
      </c>
      <c r="H5761" s="4" t="s">
        <v>380</v>
      </c>
      <c r="I5761" s="4">
        <v>0.22222222222222221</v>
      </c>
      <c r="J5761" s="21">
        <v>450</v>
      </c>
      <c r="K5761" s="21">
        <v>100</v>
      </c>
      <c r="L5761" s="5">
        <v>0</v>
      </c>
      <c r="M5761" s="4"/>
      <c r="N5761" s="4"/>
      <c r="O5761" s="5"/>
      <c r="P5761" s="5"/>
      <c r="Q5761" s="21">
        <v>0</v>
      </c>
      <c r="R5761" s="21">
        <v>0</v>
      </c>
      <c r="S5761" s="5">
        <f t="shared" si="359"/>
        <v>70667.042167016101</v>
      </c>
      <c r="T5761" cm="1">
        <f t="array" ref="T5761">IF(OR(B5761="MAL ALIMI", B5761="ÜRETİM GİRİŞ"), MIN(I5761, MAX(0, I5761 + SUM(SUMIFS($I$1:I5760, $C$1:C5760, C5761, $B$1:B5760, {"MAL ALIMI","ÜRETİM GİRİŞ"})) - VLOOKUP(C5761, 'STOK RAPORU'!$C$2:$I$1000, 4, 0))), 0)</f>
        <v>0</v>
      </c>
      <c r="U5761" s="22">
        <f t="shared" si="360"/>
        <v>0</v>
      </c>
      <c r="V5761">
        <f t="shared" si="361"/>
        <v>0</v>
      </c>
      <c r="W5761" s="22">
        <f t="shared" si="362"/>
        <v>0</v>
      </c>
    </row>
    <row r="5762" spans="1:23" hidden="1" x14ac:dyDescent="0.25">
      <c r="A5762" s="3">
        <v>46105</v>
      </c>
      <c r="B5762" s="4" t="s">
        <v>334</v>
      </c>
      <c r="C5762" s="4" t="s">
        <v>463</v>
      </c>
      <c r="D5762" s="4"/>
      <c r="E5762" s="4" t="s">
        <v>921</v>
      </c>
      <c r="F5762" s="46" t="s">
        <v>2771</v>
      </c>
      <c r="G5762" s="4" t="s">
        <v>336</v>
      </c>
      <c r="H5762" s="4" t="s">
        <v>380</v>
      </c>
      <c r="I5762" s="4">
        <v>0.25</v>
      </c>
      <c r="J5762" s="21">
        <v>400</v>
      </c>
      <c r="K5762" s="21">
        <v>100</v>
      </c>
      <c r="L5762" s="5">
        <v>0</v>
      </c>
      <c r="M5762" s="4"/>
      <c r="N5762" s="4"/>
      <c r="O5762" s="5"/>
      <c r="P5762" s="5"/>
      <c r="Q5762" s="21">
        <v>0</v>
      </c>
      <c r="R5762" s="21">
        <v>0</v>
      </c>
      <c r="S5762" s="5">
        <f t="shared" si="359"/>
        <v>70667.042167016101</v>
      </c>
      <c r="T5762" cm="1">
        <f t="array" ref="T5762">IF(OR(B5762="MAL ALIMI", B5762="ÜRETİM GİRİŞ"), MIN(I5762, MAX(0, I5762 + SUM(SUMIFS($I$1:I5761, $C$1:C5761, C5762, $B$1:B5761, {"MAL ALIMI","ÜRETİM GİRİŞ"})) - VLOOKUP(C5762, 'STOK RAPORU'!$C$2:$I$1000, 4, 0))), 0)</f>
        <v>0</v>
      </c>
      <c r="U5762" s="22">
        <f t="shared" si="360"/>
        <v>0</v>
      </c>
      <c r="V5762">
        <f t="shared" si="361"/>
        <v>0</v>
      </c>
      <c r="W5762" s="22">
        <f t="shared" si="362"/>
        <v>0</v>
      </c>
    </row>
    <row r="5763" spans="1:23" hidden="1" x14ac:dyDescent="0.25">
      <c r="A5763" s="3">
        <v>46105</v>
      </c>
      <c r="B5763" s="4" t="s">
        <v>334</v>
      </c>
      <c r="C5763" s="4" t="s">
        <v>2127</v>
      </c>
      <c r="D5763" s="4"/>
      <c r="E5763" s="4" t="s">
        <v>921</v>
      </c>
      <c r="F5763" s="46" t="s">
        <v>2771</v>
      </c>
      <c r="G5763" s="4" t="s">
        <v>336</v>
      </c>
      <c r="H5763" s="4" t="s">
        <v>380</v>
      </c>
      <c r="I5763" s="4">
        <v>0.25</v>
      </c>
      <c r="J5763" s="21">
        <v>400</v>
      </c>
      <c r="K5763" s="21">
        <v>100</v>
      </c>
      <c r="L5763" s="5">
        <v>0</v>
      </c>
      <c r="M5763" s="4"/>
      <c r="N5763" s="4"/>
      <c r="O5763" s="5"/>
      <c r="P5763" s="5"/>
      <c r="Q5763" s="21">
        <v>0</v>
      </c>
      <c r="R5763" s="21">
        <v>0</v>
      </c>
      <c r="S5763" s="5">
        <f t="shared" si="359"/>
        <v>70667.042167016101</v>
      </c>
      <c r="T5763" cm="1">
        <f t="array" ref="T5763">IF(OR(B5763="MAL ALIMI", B5763="ÜRETİM GİRİŞ"), MIN(I5763, MAX(0, I5763 + SUM(SUMIFS($I$1:I5762, $C$1:C5762, C5763, $B$1:B5762, {"MAL ALIMI","ÜRETİM GİRİŞ"})) - VLOOKUP(C5763, 'STOK RAPORU'!$C$2:$I$1000, 4, 0))), 0)</f>
        <v>0</v>
      </c>
      <c r="U5763" s="22">
        <f t="shared" si="360"/>
        <v>0</v>
      </c>
      <c r="V5763">
        <f t="shared" si="361"/>
        <v>0</v>
      </c>
      <c r="W5763" s="22">
        <f t="shared" si="362"/>
        <v>0</v>
      </c>
    </row>
    <row r="5764" spans="1:23" hidden="1" x14ac:dyDescent="0.25">
      <c r="A5764" s="3">
        <v>46105</v>
      </c>
      <c r="B5764" s="4" t="s">
        <v>334</v>
      </c>
      <c r="C5764" s="4" t="s">
        <v>2087</v>
      </c>
      <c r="D5764" s="4"/>
      <c r="E5764" s="4" t="s">
        <v>921</v>
      </c>
      <c r="F5764" s="46" t="s">
        <v>2771</v>
      </c>
      <c r="G5764" s="4" t="s">
        <v>336</v>
      </c>
      <c r="H5764" s="4" t="s">
        <v>380</v>
      </c>
      <c r="I5764" s="4">
        <v>0.27906976744186046</v>
      </c>
      <c r="J5764" s="21">
        <v>430</v>
      </c>
      <c r="K5764" s="21">
        <v>120</v>
      </c>
      <c r="L5764" s="5">
        <v>0</v>
      </c>
      <c r="M5764" s="4"/>
      <c r="N5764" s="4"/>
      <c r="O5764" s="5"/>
      <c r="P5764" s="5"/>
      <c r="Q5764" s="21">
        <v>0</v>
      </c>
      <c r="R5764" s="21">
        <v>0</v>
      </c>
      <c r="S5764" s="5">
        <f t="shared" ref="S5764:S5827" si="363">S5763+Q5764-R5764</f>
        <v>70667.042167016101</v>
      </c>
      <c r="T5764" cm="1">
        <f t="array" ref="T5764">IF(OR(B5764="MAL ALIMI", B5764="ÜRETİM GİRİŞ"), MIN(I5764, MAX(0, I5764 + SUM(SUMIFS($I$1:I5763, $C$1:C5763, C5764, $B$1:B5763, {"MAL ALIMI","ÜRETİM GİRİŞ"})) - VLOOKUP(C5764, 'STOK RAPORU'!$C$2:$I$1000, 4, 0))), 0)</f>
        <v>0</v>
      </c>
      <c r="U5764" s="22">
        <f t="shared" si="360"/>
        <v>0</v>
      </c>
      <c r="V5764">
        <f t="shared" si="361"/>
        <v>0</v>
      </c>
      <c r="W5764" s="22">
        <f t="shared" si="362"/>
        <v>0</v>
      </c>
    </row>
    <row r="5765" spans="1:23" hidden="1" x14ac:dyDescent="0.25">
      <c r="A5765" s="3">
        <v>46105</v>
      </c>
      <c r="B5765" s="4" t="s">
        <v>334</v>
      </c>
      <c r="C5765" s="4" t="s">
        <v>197</v>
      </c>
      <c r="D5765" s="4"/>
      <c r="E5765" s="4" t="s">
        <v>921</v>
      </c>
      <c r="F5765" s="46" t="s">
        <v>2771</v>
      </c>
      <c r="G5765" s="4" t="s">
        <v>336</v>
      </c>
      <c r="H5765" s="4" t="s">
        <v>380</v>
      </c>
      <c r="I5765" s="4">
        <v>0.2608695652173913</v>
      </c>
      <c r="J5765" s="21">
        <v>230</v>
      </c>
      <c r="K5765" s="21">
        <v>60</v>
      </c>
      <c r="L5765" s="5">
        <v>0</v>
      </c>
      <c r="M5765" s="4"/>
      <c r="N5765" s="4"/>
      <c r="O5765" s="5"/>
      <c r="P5765" s="5"/>
      <c r="Q5765" s="21">
        <v>0</v>
      </c>
      <c r="R5765" s="21">
        <v>0</v>
      </c>
      <c r="S5765" s="5">
        <f t="shared" si="363"/>
        <v>70667.042167016101</v>
      </c>
      <c r="T5765" cm="1">
        <f t="array" ref="T5765">IF(OR(B5765="MAL ALIMI", B5765="ÜRETİM GİRİŞ"), MIN(I5765, MAX(0, I5765 + SUM(SUMIFS($I$1:I5764, $C$1:C5764, C5765, $B$1:B5764, {"MAL ALIMI","ÜRETİM GİRİŞ"})) - VLOOKUP(C5765, 'STOK RAPORU'!$C$2:$I$1000, 4, 0))), 0)</f>
        <v>0</v>
      </c>
      <c r="U5765" s="22">
        <f t="shared" si="360"/>
        <v>0</v>
      </c>
      <c r="V5765">
        <f t="shared" si="361"/>
        <v>0</v>
      </c>
      <c r="W5765" s="22">
        <f t="shared" si="362"/>
        <v>0</v>
      </c>
    </row>
    <row r="5766" spans="1:23" hidden="1" x14ac:dyDescent="0.25">
      <c r="A5766" s="3">
        <v>46105</v>
      </c>
      <c r="B5766" s="4" t="s">
        <v>334</v>
      </c>
      <c r="C5766" s="4" t="s">
        <v>253</v>
      </c>
      <c r="D5766" s="4"/>
      <c r="E5766" s="4" t="s">
        <v>921</v>
      </c>
      <c r="F5766" s="46" t="s">
        <v>2771</v>
      </c>
      <c r="G5766" s="4" t="s">
        <v>336</v>
      </c>
      <c r="H5766" s="4" t="s">
        <v>380</v>
      </c>
      <c r="I5766" s="4">
        <v>0.20833333333333334</v>
      </c>
      <c r="J5766" s="21">
        <v>240</v>
      </c>
      <c r="K5766" s="21">
        <v>50</v>
      </c>
      <c r="L5766" s="5">
        <v>0</v>
      </c>
      <c r="M5766" s="4"/>
      <c r="N5766" s="4"/>
      <c r="O5766" s="5"/>
      <c r="P5766" s="5"/>
      <c r="Q5766" s="21">
        <v>0</v>
      </c>
      <c r="R5766" s="21">
        <v>0</v>
      </c>
      <c r="S5766" s="5">
        <f t="shared" si="363"/>
        <v>70667.042167016101</v>
      </c>
      <c r="T5766" cm="1">
        <f t="array" ref="T5766">IF(OR(B5766="MAL ALIMI", B5766="ÜRETİM GİRİŞ"), MIN(I5766, MAX(0, I5766 + SUM(SUMIFS($I$1:I5765, $C$1:C5765, C5766, $B$1:B5765, {"MAL ALIMI","ÜRETİM GİRİŞ"})) - VLOOKUP(C5766, 'STOK RAPORU'!$C$2:$I$1000, 4, 0))), 0)</f>
        <v>0</v>
      </c>
      <c r="U5766" s="22">
        <f t="shared" si="360"/>
        <v>0</v>
      </c>
      <c r="V5766">
        <f t="shared" si="361"/>
        <v>0</v>
      </c>
      <c r="W5766" s="22">
        <f t="shared" si="362"/>
        <v>0</v>
      </c>
    </row>
    <row r="5767" spans="1:23" hidden="1" x14ac:dyDescent="0.25">
      <c r="A5767" s="3">
        <v>46105</v>
      </c>
      <c r="B5767" s="4" t="s">
        <v>334</v>
      </c>
      <c r="C5767" s="4" t="s">
        <v>1634</v>
      </c>
      <c r="D5767" s="4"/>
      <c r="E5767" s="4" t="s">
        <v>921</v>
      </c>
      <c r="F5767" s="46" t="s">
        <v>2772</v>
      </c>
      <c r="G5767" s="4" t="s">
        <v>336</v>
      </c>
      <c r="H5767" s="4" t="s">
        <v>380</v>
      </c>
      <c r="I5767" s="4">
        <v>1.2</v>
      </c>
      <c r="J5767" s="21">
        <v>350</v>
      </c>
      <c r="K5767" s="21">
        <v>420</v>
      </c>
      <c r="L5767" s="5">
        <v>0</v>
      </c>
      <c r="M5767" s="4"/>
      <c r="N5767" s="4"/>
      <c r="O5767" s="5"/>
      <c r="P5767" s="5"/>
      <c r="Q5767" s="21">
        <v>0</v>
      </c>
      <c r="R5767" s="21">
        <v>0</v>
      </c>
      <c r="S5767" s="5">
        <f t="shared" si="363"/>
        <v>70667.042167016101</v>
      </c>
      <c r="T5767" cm="1">
        <f t="array" ref="T5767">IF(OR(B5767="MAL ALIMI", B5767="ÜRETİM GİRİŞ"), MIN(I5767, MAX(0, I5767 + SUM(SUMIFS($I$1:I5766, $C$1:C5766, C5767, $B$1:B5766, {"MAL ALIMI","ÜRETİM GİRİŞ"})) - VLOOKUP(C5767, 'STOK RAPORU'!$C$2:$I$1000, 4, 0))), 0)</f>
        <v>0</v>
      </c>
      <c r="U5767" s="22">
        <f t="shared" si="360"/>
        <v>0</v>
      </c>
      <c r="V5767">
        <f t="shared" si="361"/>
        <v>0</v>
      </c>
      <c r="W5767" s="22">
        <f t="shared" si="362"/>
        <v>0</v>
      </c>
    </row>
    <row r="5768" spans="1:23" hidden="1" x14ac:dyDescent="0.25">
      <c r="A5768" s="3">
        <v>46105</v>
      </c>
      <c r="B5768" s="4" t="s">
        <v>334</v>
      </c>
      <c r="C5768" s="4" t="s">
        <v>76</v>
      </c>
      <c r="D5768" s="4"/>
      <c r="E5768" s="4"/>
      <c r="F5768" s="46" t="s">
        <v>2773</v>
      </c>
      <c r="G5768" s="4" t="s">
        <v>336</v>
      </c>
      <c r="H5768" s="4" t="s">
        <v>289</v>
      </c>
      <c r="I5768" s="4">
        <v>8.2500000000000004E-2</v>
      </c>
      <c r="J5768" s="21">
        <v>400</v>
      </c>
      <c r="K5768" s="21">
        <v>0</v>
      </c>
      <c r="L5768" s="5">
        <v>0</v>
      </c>
      <c r="M5768" s="4"/>
      <c r="N5768" s="4"/>
      <c r="O5768" s="5"/>
      <c r="P5768" s="5"/>
      <c r="Q5768" s="21">
        <v>33</v>
      </c>
      <c r="R5768" s="21">
        <v>0</v>
      </c>
      <c r="S5768" s="5">
        <f t="shared" si="363"/>
        <v>70700.042167016101</v>
      </c>
      <c r="T5768" cm="1">
        <f t="array" ref="T5768">IF(OR(B5768="MAL ALIMI", B5768="ÜRETİM GİRİŞ"), MIN(I5768, MAX(0, I5768 + SUM(SUMIFS($I$1:I5767, $C$1:C5767, C5768, $B$1:B5767, {"MAL ALIMI","ÜRETİM GİRİŞ"})) - VLOOKUP(C5768, 'STOK RAPORU'!$C$2:$I$1000, 4, 0))), 0)</f>
        <v>0</v>
      </c>
      <c r="U5768" s="22">
        <f t="shared" si="360"/>
        <v>0</v>
      </c>
      <c r="V5768">
        <f t="shared" si="361"/>
        <v>0</v>
      </c>
      <c r="W5768" s="22">
        <f t="shared" si="362"/>
        <v>0</v>
      </c>
    </row>
    <row r="5769" spans="1:23" hidden="1" x14ac:dyDescent="0.25">
      <c r="A5769" s="3">
        <v>46105</v>
      </c>
      <c r="B5769" s="4" t="s">
        <v>334</v>
      </c>
      <c r="C5769" s="4" t="s">
        <v>1393</v>
      </c>
      <c r="D5769" s="4"/>
      <c r="E5769" s="4"/>
      <c r="F5769" s="46" t="s">
        <v>2774</v>
      </c>
      <c r="G5769" s="4" t="s">
        <v>336</v>
      </c>
      <c r="H5769" s="4" t="s">
        <v>289</v>
      </c>
      <c r="I5769" s="4">
        <v>1</v>
      </c>
      <c r="J5769" s="21">
        <v>130</v>
      </c>
      <c r="K5769" s="21">
        <v>0</v>
      </c>
      <c r="L5769" s="5">
        <v>0</v>
      </c>
      <c r="M5769" s="4"/>
      <c r="N5769" s="4"/>
      <c r="O5769" s="5"/>
      <c r="P5769" s="5"/>
      <c r="Q5769" s="21">
        <v>130</v>
      </c>
      <c r="R5769" s="21">
        <v>0</v>
      </c>
      <c r="S5769" s="5">
        <f t="shared" si="363"/>
        <v>70830.042167016101</v>
      </c>
      <c r="T5769" cm="1">
        <f t="array" ref="T5769">IF(OR(B5769="MAL ALIMI", B5769="ÜRETİM GİRİŞ"), MIN(I5769, MAX(0, I5769 + SUM(SUMIFS($I$1:I5768, $C$1:C5768, C5769, $B$1:B5768, {"MAL ALIMI","ÜRETİM GİRİŞ"})) - VLOOKUP(C5769, 'STOK RAPORU'!$C$2:$I$1000, 4, 0))), 0)</f>
        <v>0</v>
      </c>
      <c r="U5769" s="22">
        <f t="shared" si="360"/>
        <v>0</v>
      </c>
      <c r="V5769">
        <f t="shared" si="361"/>
        <v>0</v>
      </c>
      <c r="W5769" s="22">
        <f t="shared" si="362"/>
        <v>0</v>
      </c>
    </row>
    <row r="5770" spans="1:23" hidden="1" x14ac:dyDescent="0.25">
      <c r="A5770" s="3">
        <v>46105</v>
      </c>
      <c r="B5770" s="4" t="s">
        <v>334</v>
      </c>
      <c r="C5770" s="4" t="s">
        <v>2117</v>
      </c>
      <c r="D5770" s="4"/>
      <c r="E5770" s="4"/>
      <c r="F5770" s="46" t="s">
        <v>2774</v>
      </c>
      <c r="G5770" s="4" t="s">
        <v>336</v>
      </c>
      <c r="H5770" s="4" t="s">
        <v>289</v>
      </c>
      <c r="I5770" s="4">
        <v>1</v>
      </c>
      <c r="J5770" s="21">
        <v>30</v>
      </c>
      <c r="K5770" s="21">
        <v>0</v>
      </c>
      <c r="L5770" s="5">
        <v>0</v>
      </c>
      <c r="M5770" s="4"/>
      <c r="N5770" s="4"/>
      <c r="O5770" s="5"/>
      <c r="P5770" s="5"/>
      <c r="Q5770" s="21">
        <v>30</v>
      </c>
      <c r="R5770" s="21">
        <v>0</v>
      </c>
      <c r="S5770" s="5">
        <f t="shared" si="363"/>
        <v>70860.042167016101</v>
      </c>
      <c r="T5770" cm="1">
        <f t="array" ref="T5770">IF(OR(B5770="MAL ALIMI", B5770="ÜRETİM GİRİŞ"), MIN(I5770, MAX(0, I5770 + SUM(SUMIFS($I$1:I5769, $C$1:C5769, C5770, $B$1:B5769, {"MAL ALIMI","ÜRETİM GİRİŞ"})) - VLOOKUP(C5770, 'STOK RAPORU'!$C$2:$I$1000, 4, 0))), 0)</f>
        <v>0</v>
      </c>
      <c r="U5770" s="22">
        <f t="shared" si="360"/>
        <v>0</v>
      </c>
      <c r="V5770">
        <f t="shared" si="361"/>
        <v>0</v>
      </c>
      <c r="W5770" s="22">
        <f t="shared" si="362"/>
        <v>0</v>
      </c>
    </row>
    <row r="5771" spans="1:23" hidden="1" x14ac:dyDescent="0.25">
      <c r="A5771" s="3">
        <v>46105</v>
      </c>
      <c r="B5771" s="4" t="s">
        <v>334</v>
      </c>
      <c r="C5771" s="4" t="s">
        <v>236</v>
      </c>
      <c r="D5771" s="4"/>
      <c r="E5771" s="4"/>
      <c r="F5771" s="46" t="s">
        <v>2774</v>
      </c>
      <c r="G5771" s="4" t="s">
        <v>336</v>
      </c>
      <c r="H5771" s="4" t="s">
        <v>289</v>
      </c>
      <c r="I5771" s="4">
        <v>9.4E-2</v>
      </c>
      <c r="J5771" s="21">
        <v>350</v>
      </c>
      <c r="K5771" s="21">
        <v>0</v>
      </c>
      <c r="L5771" s="5">
        <v>0</v>
      </c>
      <c r="M5771" s="4"/>
      <c r="N5771" s="4"/>
      <c r="O5771" s="5"/>
      <c r="P5771" s="5"/>
      <c r="Q5771" s="21">
        <v>32.9</v>
      </c>
      <c r="R5771" s="21">
        <v>0</v>
      </c>
      <c r="S5771" s="5">
        <f t="shared" si="363"/>
        <v>70892.942167016095</v>
      </c>
      <c r="T5771" cm="1">
        <f t="array" ref="T5771">IF(OR(B5771="MAL ALIMI", B5771="ÜRETİM GİRİŞ"), MIN(I5771, MAX(0, I5771 + SUM(SUMIFS($I$1:I5770, $C$1:C5770, C5771, $B$1:B5770, {"MAL ALIMI","ÜRETİM GİRİŞ"})) - VLOOKUP(C5771, 'STOK RAPORU'!$C$2:$I$1000, 4, 0))), 0)</f>
        <v>0</v>
      </c>
      <c r="U5771" s="22">
        <f t="shared" si="360"/>
        <v>0</v>
      </c>
      <c r="V5771">
        <f t="shared" si="361"/>
        <v>0</v>
      </c>
      <c r="W5771" s="22">
        <f t="shared" si="362"/>
        <v>0</v>
      </c>
    </row>
    <row r="5772" spans="1:23" hidden="1" x14ac:dyDescent="0.25">
      <c r="A5772" s="3">
        <v>46105</v>
      </c>
      <c r="B5772" s="4" t="s">
        <v>334</v>
      </c>
      <c r="C5772" s="4" t="s">
        <v>2579</v>
      </c>
      <c r="D5772" s="4"/>
      <c r="E5772" s="4"/>
      <c r="F5772" s="46" t="s">
        <v>2774</v>
      </c>
      <c r="G5772" s="4" t="s">
        <v>336</v>
      </c>
      <c r="H5772" s="4" t="s">
        <v>289</v>
      </c>
      <c r="I5772" s="4">
        <v>1</v>
      </c>
      <c r="J5772" s="21">
        <v>10</v>
      </c>
      <c r="K5772" s="21">
        <v>0</v>
      </c>
      <c r="L5772" s="5">
        <v>0</v>
      </c>
      <c r="M5772" s="4"/>
      <c r="N5772" s="4"/>
      <c r="O5772" s="5"/>
      <c r="P5772" s="5"/>
      <c r="Q5772" s="21">
        <v>10</v>
      </c>
      <c r="R5772" s="21">
        <v>0</v>
      </c>
      <c r="S5772" s="5">
        <f t="shared" si="363"/>
        <v>70902.942167016095</v>
      </c>
      <c r="T5772" cm="1">
        <f t="array" ref="T5772">IF(OR(B5772="MAL ALIMI", B5772="ÜRETİM GİRİŞ"), MIN(I5772, MAX(0, I5772 + SUM(SUMIFS($I$1:I5771, $C$1:C5771, C5772, $B$1:B5771, {"MAL ALIMI","ÜRETİM GİRİŞ"})) - VLOOKUP(C5772, 'STOK RAPORU'!$C$2:$I$1000, 4, 0))), 0)</f>
        <v>0</v>
      </c>
      <c r="U5772" s="22">
        <f t="shared" si="360"/>
        <v>0</v>
      </c>
      <c r="V5772">
        <f t="shared" si="361"/>
        <v>0</v>
      </c>
      <c r="W5772" s="22">
        <f t="shared" si="362"/>
        <v>0</v>
      </c>
    </row>
    <row r="5773" spans="1:23" hidden="1" x14ac:dyDescent="0.25">
      <c r="A5773" s="3">
        <v>46105</v>
      </c>
      <c r="B5773" s="4" t="s">
        <v>334</v>
      </c>
      <c r="C5773" s="4" t="s">
        <v>1140</v>
      </c>
      <c r="D5773" s="4"/>
      <c r="E5773" s="4" t="s">
        <v>921</v>
      </c>
      <c r="F5773" s="46" t="s">
        <v>2775</v>
      </c>
      <c r="G5773" s="4" t="s">
        <v>336</v>
      </c>
      <c r="H5773" s="4" t="s">
        <v>380</v>
      </c>
      <c r="I5773" s="4">
        <v>1</v>
      </c>
      <c r="J5773" s="21">
        <v>350</v>
      </c>
      <c r="K5773" s="21">
        <v>350</v>
      </c>
      <c r="L5773" s="5">
        <v>0</v>
      </c>
      <c r="M5773" s="4"/>
      <c r="N5773" s="4"/>
      <c r="O5773" s="5"/>
      <c r="P5773" s="5"/>
      <c r="Q5773" s="21">
        <v>0</v>
      </c>
      <c r="R5773" s="21">
        <v>0</v>
      </c>
      <c r="S5773" s="5">
        <f t="shared" si="363"/>
        <v>70902.942167016095</v>
      </c>
      <c r="T5773" cm="1">
        <f t="array" ref="T5773">IF(OR(B5773="MAL ALIMI", B5773="ÜRETİM GİRİŞ"), MIN(I5773, MAX(0, I5773 + SUM(SUMIFS($I$1:I5772, $C$1:C5772, C5773, $B$1:B5772, {"MAL ALIMI","ÜRETİM GİRİŞ"})) - VLOOKUP(C5773, 'STOK RAPORU'!$C$2:$I$1000, 4, 0))), 0)</f>
        <v>0</v>
      </c>
      <c r="U5773" s="22">
        <f t="shared" si="360"/>
        <v>0</v>
      </c>
      <c r="V5773">
        <f t="shared" si="361"/>
        <v>0</v>
      </c>
      <c r="W5773" s="22">
        <f t="shared" si="362"/>
        <v>0</v>
      </c>
    </row>
    <row r="5774" spans="1:23" hidden="1" x14ac:dyDescent="0.25">
      <c r="A5774" s="3">
        <v>46105</v>
      </c>
      <c r="B5774" s="4" t="s">
        <v>285</v>
      </c>
      <c r="C5774" s="4"/>
      <c r="D5774" s="4" t="s">
        <v>673</v>
      </c>
      <c r="E5774" s="4"/>
      <c r="F5774" s="4"/>
      <c r="G5774" s="4" t="s">
        <v>2761</v>
      </c>
      <c r="H5774" s="4" t="s">
        <v>289</v>
      </c>
      <c r="I5774" s="4">
        <v>1</v>
      </c>
      <c r="J5774" s="21">
        <v>331</v>
      </c>
      <c r="K5774" s="21">
        <v>0</v>
      </c>
      <c r="L5774" s="5">
        <v>0</v>
      </c>
      <c r="M5774" s="4"/>
      <c r="N5774" s="4"/>
      <c r="O5774" s="5"/>
      <c r="P5774" s="5"/>
      <c r="Q5774" s="21">
        <v>0</v>
      </c>
      <c r="R5774" s="21">
        <v>331</v>
      </c>
      <c r="S5774" s="5">
        <f t="shared" si="363"/>
        <v>70571.942167016095</v>
      </c>
      <c r="T5774" cm="1">
        <f t="array" ref="T5774">IF(OR(B5774="MAL ALIMI", B5774="ÜRETİM GİRİŞ"), MIN(I5774, MAX(0, I5774 + SUM(SUMIFS($I$1:I5773, $C$1:C5773, C5774, $B$1:B5773, {"MAL ALIMI","ÜRETİM GİRİŞ"})) - VLOOKUP(C5774, 'STOK RAPORU'!$C$2:$I$1000, 4, 0))), 0)</f>
        <v>0</v>
      </c>
      <c r="U5774" s="22">
        <f t="shared" si="360"/>
        <v>0</v>
      </c>
      <c r="V5774">
        <f t="shared" si="361"/>
        <v>0</v>
      </c>
      <c r="W5774" s="22">
        <f t="shared" si="362"/>
        <v>0</v>
      </c>
    </row>
    <row r="5775" spans="1:23" hidden="1" x14ac:dyDescent="0.25">
      <c r="A5775" s="3">
        <v>46106</v>
      </c>
      <c r="B5775" s="4" t="s">
        <v>334</v>
      </c>
      <c r="C5775" s="4" t="s">
        <v>160</v>
      </c>
      <c r="D5775" s="4"/>
      <c r="E5775" s="4"/>
      <c r="F5775" s="46" t="s">
        <v>2776</v>
      </c>
      <c r="G5775" s="4" t="s">
        <v>336</v>
      </c>
      <c r="H5775" s="4" t="s">
        <v>289</v>
      </c>
      <c r="I5775" s="4">
        <v>1</v>
      </c>
      <c r="J5775" s="21">
        <v>250</v>
      </c>
      <c r="K5775" s="21">
        <v>0</v>
      </c>
      <c r="L5775" s="5">
        <v>0</v>
      </c>
      <c r="M5775" s="4"/>
      <c r="N5775" s="4"/>
      <c r="O5775" s="5"/>
      <c r="P5775" s="5"/>
      <c r="Q5775" s="21">
        <v>250</v>
      </c>
      <c r="R5775" s="21">
        <v>0</v>
      </c>
      <c r="S5775" s="5">
        <f t="shared" si="363"/>
        <v>70821.942167016095</v>
      </c>
      <c r="T5775" cm="1">
        <f t="array" ref="T5775">IF(OR(B5775="MAL ALIMI", B5775="ÜRETİM GİRİŞ"), MIN(I5775, MAX(0, I5775 + SUM(SUMIFS($I$1:I5774, $C$1:C5774, C5775, $B$1:B5774, {"MAL ALIMI","ÜRETİM GİRİŞ"})) - VLOOKUP(C5775, 'STOK RAPORU'!$C$2:$I$1000, 4, 0))), 0)</f>
        <v>0</v>
      </c>
      <c r="U5775" s="22">
        <f t="shared" si="360"/>
        <v>0</v>
      </c>
      <c r="V5775">
        <f t="shared" si="361"/>
        <v>0</v>
      </c>
      <c r="W5775" s="22">
        <f t="shared" si="362"/>
        <v>0</v>
      </c>
    </row>
    <row r="5776" spans="1:23" hidden="1" x14ac:dyDescent="0.25">
      <c r="A5776" s="3">
        <v>46106</v>
      </c>
      <c r="B5776" s="4" t="s">
        <v>334</v>
      </c>
      <c r="C5776" s="4" t="s">
        <v>1634</v>
      </c>
      <c r="D5776" s="4"/>
      <c r="E5776" s="4"/>
      <c r="F5776" s="46" t="s">
        <v>2776</v>
      </c>
      <c r="G5776" s="4" t="s">
        <v>336</v>
      </c>
      <c r="H5776" s="4" t="s">
        <v>289</v>
      </c>
      <c r="I5776" s="4">
        <v>0.5</v>
      </c>
      <c r="J5776" s="21">
        <v>350</v>
      </c>
      <c r="K5776" s="21">
        <v>0</v>
      </c>
      <c r="L5776" s="5">
        <v>0</v>
      </c>
      <c r="M5776" s="4"/>
      <c r="N5776" s="4"/>
      <c r="O5776" s="5"/>
      <c r="P5776" s="5"/>
      <c r="Q5776" s="21">
        <v>175</v>
      </c>
      <c r="R5776" s="21">
        <v>0</v>
      </c>
      <c r="S5776" s="5">
        <f t="shared" si="363"/>
        <v>70996.942167016095</v>
      </c>
      <c r="T5776" cm="1">
        <f t="array" ref="T5776">IF(OR(B5776="MAL ALIMI", B5776="ÜRETİM GİRİŞ"), MIN(I5776, MAX(0, I5776 + SUM(SUMIFS($I$1:I5775, $C$1:C5775, C5776, $B$1:B5775, {"MAL ALIMI","ÜRETİM GİRİŞ"})) - VLOOKUP(C5776, 'STOK RAPORU'!$C$2:$I$1000, 4, 0))), 0)</f>
        <v>0</v>
      </c>
      <c r="U5776" s="22">
        <f t="shared" si="360"/>
        <v>0</v>
      </c>
      <c r="V5776">
        <f t="shared" si="361"/>
        <v>0</v>
      </c>
      <c r="W5776" s="22">
        <f t="shared" si="362"/>
        <v>0</v>
      </c>
    </row>
    <row r="5777" spans="1:23" hidden="1" x14ac:dyDescent="0.25">
      <c r="A5777" s="3">
        <v>46106</v>
      </c>
      <c r="B5777" s="4" t="s">
        <v>334</v>
      </c>
      <c r="C5777" s="4" t="s">
        <v>463</v>
      </c>
      <c r="D5777" s="4"/>
      <c r="E5777" s="4"/>
      <c r="F5777" s="46" t="s">
        <v>2776</v>
      </c>
      <c r="G5777" s="4" t="s">
        <v>336</v>
      </c>
      <c r="H5777" s="4" t="s">
        <v>289</v>
      </c>
      <c r="I5777" s="4">
        <v>9.2499999999999999E-2</v>
      </c>
      <c r="J5777" s="21">
        <v>400</v>
      </c>
      <c r="K5777" s="21">
        <v>0</v>
      </c>
      <c r="L5777" s="5">
        <v>0</v>
      </c>
      <c r="M5777" s="4"/>
      <c r="N5777" s="4"/>
      <c r="O5777" s="5"/>
      <c r="P5777" s="5"/>
      <c r="Q5777" s="21">
        <v>37</v>
      </c>
      <c r="R5777" s="21">
        <v>0</v>
      </c>
      <c r="S5777" s="5">
        <f t="shared" si="363"/>
        <v>71033.942167016095</v>
      </c>
      <c r="T5777" cm="1">
        <f t="array" ref="T5777">IF(OR(B5777="MAL ALIMI", B5777="ÜRETİM GİRİŞ"), MIN(I5777, MAX(0, I5777 + SUM(SUMIFS($I$1:I5776, $C$1:C5776, C5777, $B$1:B5776, {"MAL ALIMI","ÜRETİM GİRİŞ"})) - VLOOKUP(C5777, 'STOK RAPORU'!$C$2:$I$1000, 4, 0))), 0)</f>
        <v>0</v>
      </c>
      <c r="U5777" s="22">
        <f t="shared" si="360"/>
        <v>0</v>
      </c>
      <c r="V5777">
        <f t="shared" si="361"/>
        <v>0</v>
      </c>
      <c r="W5777" s="22">
        <f t="shared" si="362"/>
        <v>0</v>
      </c>
    </row>
    <row r="5778" spans="1:23" hidden="1" x14ac:dyDescent="0.25">
      <c r="A5778" s="3">
        <v>46106</v>
      </c>
      <c r="B5778" s="4" t="s">
        <v>334</v>
      </c>
      <c r="C5778" s="4" t="s">
        <v>137</v>
      </c>
      <c r="D5778" s="4"/>
      <c r="E5778" s="4" t="s">
        <v>921</v>
      </c>
      <c r="F5778" s="46" t="s">
        <v>2777</v>
      </c>
      <c r="G5778" s="4" t="s">
        <v>336</v>
      </c>
      <c r="H5778" s="4" t="s">
        <v>380</v>
      </c>
      <c r="I5778" s="4">
        <v>0.27777777777777779</v>
      </c>
      <c r="J5778" s="21">
        <v>180</v>
      </c>
      <c r="K5778" s="21">
        <v>50</v>
      </c>
      <c r="L5778" s="5">
        <v>0</v>
      </c>
      <c r="M5778" s="4"/>
      <c r="N5778" s="4"/>
      <c r="O5778" s="5"/>
      <c r="P5778" s="5"/>
      <c r="Q5778" s="21">
        <v>0</v>
      </c>
      <c r="R5778" s="21">
        <v>0</v>
      </c>
      <c r="S5778" s="5">
        <f t="shared" si="363"/>
        <v>71033.942167016095</v>
      </c>
      <c r="T5778" cm="1">
        <f t="array" ref="T5778">IF(OR(B5778="MAL ALIMI", B5778="ÜRETİM GİRİŞ"), MIN(I5778, MAX(0, I5778 + SUM(SUMIFS($I$1:I5777, $C$1:C5777, C5778, $B$1:B5777, {"MAL ALIMI","ÜRETİM GİRİŞ"})) - VLOOKUP(C5778, 'STOK RAPORU'!$C$2:$I$1000, 4, 0))), 0)</f>
        <v>0</v>
      </c>
      <c r="U5778" s="22">
        <f t="shared" si="360"/>
        <v>0</v>
      </c>
      <c r="V5778">
        <f t="shared" si="361"/>
        <v>0</v>
      </c>
      <c r="W5778" s="22">
        <f t="shared" si="362"/>
        <v>0</v>
      </c>
    </row>
    <row r="5779" spans="1:23" hidden="1" x14ac:dyDescent="0.25">
      <c r="A5779" s="3">
        <v>46106</v>
      </c>
      <c r="B5779" s="4" t="s">
        <v>334</v>
      </c>
      <c r="C5779" s="4" t="s">
        <v>1443</v>
      </c>
      <c r="D5779" s="4"/>
      <c r="E5779" s="4"/>
      <c r="F5779" s="46" t="s">
        <v>2778</v>
      </c>
      <c r="G5779" s="4" t="s">
        <v>336</v>
      </c>
      <c r="H5779" s="4" t="s">
        <v>289</v>
      </c>
      <c r="I5779" s="4">
        <v>1</v>
      </c>
      <c r="J5779" s="21">
        <v>20</v>
      </c>
      <c r="K5779" s="21">
        <v>0</v>
      </c>
      <c r="L5779" s="5">
        <v>0</v>
      </c>
      <c r="M5779" s="4"/>
      <c r="N5779" s="4"/>
      <c r="O5779" s="5"/>
      <c r="P5779" s="5"/>
      <c r="Q5779" s="21">
        <v>20</v>
      </c>
      <c r="R5779" s="21">
        <v>0</v>
      </c>
      <c r="S5779" s="5">
        <f t="shared" si="363"/>
        <v>71053.942167016095</v>
      </c>
      <c r="T5779" cm="1">
        <f t="array" ref="T5779">IF(OR(B5779="MAL ALIMI", B5779="ÜRETİM GİRİŞ"), MIN(I5779, MAX(0, I5779 + SUM(SUMIFS($I$1:I5778, $C$1:C5778, C5779, $B$1:B5778, {"MAL ALIMI","ÜRETİM GİRİŞ"})) - VLOOKUP(C5779, 'STOK RAPORU'!$C$2:$I$1000, 4, 0))), 0)</f>
        <v>0</v>
      </c>
      <c r="U5779" s="22">
        <f t="shared" si="360"/>
        <v>0</v>
      </c>
      <c r="V5779">
        <f t="shared" si="361"/>
        <v>0</v>
      </c>
      <c r="W5779" s="22">
        <f t="shared" si="362"/>
        <v>0</v>
      </c>
    </row>
    <row r="5780" spans="1:23" hidden="1" x14ac:dyDescent="0.25">
      <c r="A5780" s="3">
        <v>46106</v>
      </c>
      <c r="B5780" s="4" t="s">
        <v>334</v>
      </c>
      <c r="C5780" s="4" t="s">
        <v>160</v>
      </c>
      <c r="D5780" s="4"/>
      <c r="E5780" s="4"/>
      <c r="F5780" s="46" t="s">
        <v>2778</v>
      </c>
      <c r="G5780" s="4" t="s">
        <v>336</v>
      </c>
      <c r="H5780" s="4" t="s">
        <v>289</v>
      </c>
      <c r="I5780" s="4">
        <v>1</v>
      </c>
      <c r="J5780" s="21">
        <v>250</v>
      </c>
      <c r="K5780" s="21">
        <v>0</v>
      </c>
      <c r="L5780" s="5">
        <v>0</v>
      </c>
      <c r="M5780" s="4"/>
      <c r="N5780" s="4"/>
      <c r="O5780" s="5"/>
      <c r="P5780" s="5"/>
      <c r="Q5780" s="21">
        <v>250</v>
      </c>
      <c r="R5780" s="21">
        <v>0</v>
      </c>
      <c r="S5780" s="5">
        <f t="shared" si="363"/>
        <v>71303.942167016095</v>
      </c>
      <c r="T5780" cm="1">
        <f t="array" ref="T5780">IF(OR(B5780="MAL ALIMI", B5780="ÜRETİM GİRİŞ"), MIN(I5780, MAX(0, I5780 + SUM(SUMIFS($I$1:I5779, $C$1:C5779, C5780, $B$1:B5779, {"MAL ALIMI","ÜRETİM GİRİŞ"})) - VLOOKUP(C5780, 'STOK RAPORU'!$C$2:$I$1000, 4, 0))), 0)</f>
        <v>0</v>
      </c>
      <c r="U5780" s="22">
        <f t="shared" si="360"/>
        <v>0</v>
      </c>
      <c r="V5780">
        <f t="shared" si="361"/>
        <v>0</v>
      </c>
      <c r="W5780" s="22">
        <f t="shared" si="362"/>
        <v>0</v>
      </c>
    </row>
    <row r="5781" spans="1:23" hidden="1" x14ac:dyDescent="0.25">
      <c r="A5781" s="3">
        <v>46106</v>
      </c>
      <c r="B5781" s="4" t="s">
        <v>334</v>
      </c>
      <c r="C5781" s="4" t="s">
        <v>168</v>
      </c>
      <c r="D5781" s="4"/>
      <c r="E5781" s="4"/>
      <c r="F5781" s="46" t="s">
        <v>2778</v>
      </c>
      <c r="G5781" s="4" t="s">
        <v>336</v>
      </c>
      <c r="H5781" s="4" t="s">
        <v>289</v>
      </c>
      <c r="I5781" s="4">
        <v>1</v>
      </c>
      <c r="J5781" s="21">
        <v>230</v>
      </c>
      <c r="K5781" s="21">
        <v>0</v>
      </c>
      <c r="L5781" s="5">
        <v>0</v>
      </c>
      <c r="M5781" s="4"/>
      <c r="N5781" s="4"/>
      <c r="O5781" s="5"/>
      <c r="P5781" s="5"/>
      <c r="Q5781" s="21">
        <v>230</v>
      </c>
      <c r="R5781" s="21">
        <v>0</v>
      </c>
      <c r="S5781" s="5">
        <f t="shared" si="363"/>
        <v>71533.942167016095</v>
      </c>
      <c r="T5781" cm="1">
        <f t="array" ref="T5781">IF(OR(B5781="MAL ALIMI", B5781="ÜRETİM GİRİŞ"), MIN(I5781, MAX(0, I5781 + SUM(SUMIFS($I$1:I5780, $C$1:C5780, C5781, $B$1:B5780, {"MAL ALIMI","ÜRETİM GİRİŞ"})) - VLOOKUP(C5781, 'STOK RAPORU'!$C$2:$I$1000, 4, 0))), 0)</f>
        <v>0</v>
      </c>
      <c r="U5781" s="22">
        <f t="shared" si="360"/>
        <v>0</v>
      </c>
      <c r="V5781">
        <f t="shared" si="361"/>
        <v>0</v>
      </c>
      <c r="W5781" s="22">
        <f t="shared" si="362"/>
        <v>0</v>
      </c>
    </row>
    <row r="5782" spans="1:23" hidden="1" x14ac:dyDescent="0.25">
      <c r="A5782" s="3">
        <v>46106</v>
      </c>
      <c r="B5782" s="4" t="s">
        <v>334</v>
      </c>
      <c r="C5782" s="4" t="s">
        <v>168</v>
      </c>
      <c r="D5782" s="4"/>
      <c r="E5782" s="4"/>
      <c r="F5782" s="46" t="s">
        <v>2779</v>
      </c>
      <c r="G5782" s="4" t="s">
        <v>336</v>
      </c>
      <c r="H5782" s="4" t="s">
        <v>289</v>
      </c>
      <c r="I5782" s="4">
        <v>1</v>
      </c>
      <c r="J5782" s="21">
        <v>230</v>
      </c>
      <c r="K5782" s="21">
        <v>0</v>
      </c>
      <c r="L5782" s="5">
        <v>0</v>
      </c>
      <c r="M5782" s="4"/>
      <c r="N5782" s="4"/>
      <c r="O5782" s="5"/>
      <c r="P5782" s="5"/>
      <c r="Q5782" s="21">
        <v>230</v>
      </c>
      <c r="R5782" s="21">
        <v>0</v>
      </c>
      <c r="S5782" s="5">
        <f t="shared" si="363"/>
        <v>71763.942167016095</v>
      </c>
      <c r="T5782" cm="1">
        <f t="array" ref="T5782">IF(OR(B5782="MAL ALIMI", B5782="ÜRETİM GİRİŞ"), MIN(I5782, MAX(0, I5782 + SUM(SUMIFS($I$1:I5781, $C$1:C5781, C5782, $B$1:B5781, {"MAL ALIMI","ÜRETİM GİRİŞ"})) - VLOOKUP(C5782, 'STOK RAPORU'!$C$2:$I$1000, 4, 0))), 0)</f>
        <v>0</v>
      </c>
      <c r="U5782" s="22">
        <f t="shared" si="360"/>
        <v>0</v>
      </c>
      <c r="V5782">
        <f t="shared" si="361"/>
        <v>0</v>
      </c>
      <c r="W5782" s="22">
        <f t="shared" si="362"/>
        <v>0</v>
      </c>
    </row>
    <row r="5783" spans="1:23" hidden="1" x14ac:dyDescent="0.25">
      <c r="A5783" s="3">
        <v>46106</v>
      </c>
      <c r="B5783" s="4" t="s">
        <v>334</v>
      </c>
      <c r="C5783" s="4" t="s">
        <v>160</v>
      </c>
      <c r="D5783" s="4"/>
      <c r="E5783" s="4"/>
      <c r="F5783" s="46" t="s">
        <v>2779</v>
      </c>
      <c r="G5783" s="4" t="s">
        <v>336</v>
      </c>
      <c r="H5783" s="4" t="s">
        <v>289</v>
      </c>
      <c r="I5783" s="4">
        <v>1</v>
      </c>
      <c r="J5783" s="21">
        <v>250</v>
      </c>
      <c r="K5783" s="21">
        <v>0</v>
      </c>
      <c r="L5783" s="5">
        <v>0</v>
      </c>
      <c r="M5783" s="4"/>
      <c r="N5783" s="4"/>
      <c r="O5783" s="5"/>
      <c r="P5783" s="5"/>
      <c r="Q5783" s="21">
        <v>250</v>
      </c>
      <c r="R5783" s="21">
        <v>0</v>
      </c>
      <c r="S5783" s="5">
        <f t="shared" si="363"/>
        <v>72013.942167016095</v>
      </c>
      <c r="T5783" cm="1">
        <f t="array" ref="T5783">IF(OR(B5783="MAL ALIMI", B5783="ÜRETİM GİRİŞ"), MIN(I5783, MAX(0, I5783 + SUM(SUMIFS($I$1:I5782, $C$1:C5782, C5783, $B$1:B5782, {"MAL ALIMI","ÜRETİM GİRİŞ"})) - VLOOKUP(C5783, 'STOK RAPORU'!$C$2:$I$1000, 4, 0))), 0)</f>
        <v>0</v>
      </c>
      <c r="U5783" s="22">
        <f t="shared" si="360"/>
        <v>0</v>
      </c>
      <c r="V5783">
        <f t="shared" si="361"/>
        <v>0</v>
      </c>
      <c r="W5783" s="22">
        <f t="shared" si="362"/>
        <v>0</v>
      </c>
    </row>
    <row r="5784" spans="1:23" hidden="1" x14ac:dyDescent="0.25">
      <c r="A5784" s="3">
        <v>46106</v>
      </c>
      <c r="B5784" s="4" t="s">
        <v>334</v>
      </c>
      <c r="C5784" s="4" t="s">
        <v>823</v>
      </c>
      <c r="D5784" s="4"/>
      <c r="E5784" s="4"/>
      <c r="F5784" s="46" t="s">
        <v>2780</v>
      </c>
      <c r="G5784" s="4" t="s">
        <v>336</v>
      </c>
      <c r="H5784" s="4" t="s">
        <v>289</v>
      </c>
      <c r="I5784" s="4">
        <v>1</v>
      </c>
      <c r="J5784" s="21">
        <v>125</v>
      </c>
      <c r="K5784" s="21">
        <v>0</v>
      </c>
      <c r="L5784" s="5">
        <v>0</v>
      </c>
      <c r="M5784" s="4"/>
      <c r="N5784" s="4"/>
      <c r="O5784" s="5"/>
      <c r="P5784" s="5"/>
      <c r="Q5784" s="21">
        <v>125</v>
      </c>
      <c r="R5784" s="21">
        <v>0</v>
      </c>
      <c r="S5784" s="5">
        <f t="shared" si="363"/>
        <v>72138.942167016095</v>
      </c>
      <c r="T5784" cm="1">
        <f t="array" ref="T5784">IF(OR(B5784="MAL ALIMI", B5784="ÜRETİM GİRİŞ"), MIN(I5784, MAX(0, I5784 + SUM(SUMIFS($I$1:I5783, $C$1:C5783, C5784, $B$1:B5783, {"MAL ALIMI","ÜRETİM GİRİŞ"})) - VLOOKUP(C5784, 'STOK RAPORU'!$C$2:$I$1000, 4, 0))), 0)</f>
        <v>0</v>
      </c>
      <c r="U5784" s="22">
        <f t="shared" si="360"/>
        <v>0</v>
      </c>
      <c r="V5784">
        <f t="shared" si="361"/>
        <v>0</v>
      </c>
      <c r="W5784" s="22">
        <f t="shared" si="362"/>
        <v>0</v>
      </c>
    </row>
    <row r="5785" spans="1:23" hidden="1" x14ac:dyDescent="0.25">
      <c r="A5785" s="3">
        <v>46106</v>
      </c>
      <c r="B5785" s="4" t="s">
        <v>334</v>
      </c>
      <c r="C5785" s="4" t="s">
        <v>195</v>
      </c>
      <c r="D5785" s="4"/>
      <c r="E5785" s="4"/>
      <c r="F5785" s="46" t="s">
        <v>2781</v>
      </c>
      <c r="G5785" s="4" t="s">
        <v>336</v>
      </c>
      <c r="H5785" s="4" t="s">
        <v>289</v>
      </c>
      <c r="I5785" s="4">
        <v>0.05</v>
      </c>
      <c r="J5785" s="21">
        <v>1000</v>
      </c>
      <c r="K5785" s="21">
        <v>0</v>
      </c>
      <c r="L5785" s="5">
        <v>0</v>
      </c>
      <c r="M5785" s="4"/>
      <c r="N5785" s="4"/>
      <c r="O5785" s="5"/>
      <c r="P5785" s="5"/>
      <c r="Q5785" s="21">
        <v>50</v>
      </c>
      <c r="R5785" s="21">
        <v>0</v>
      </c>
      <c r="S5785" s="5">
        <f t="shared" si="363"/>
        <v>72188.942167016095</v>
      </c>
      <c r="T5785" cm="1">
        <f t="array" ref="T5785">IF(OR(B5785="MAL ALIMI", B5785="ÜRETİM GİRİŞ"), MIN(I5785, MAX(0, I5785 + SUM(SUMIFS($I$1:I5784, $C$1:C5784, C5785, $B$1:B5784, {"MAL ALIMI","ÜRETİM GİRİŞ"})) - VLOOKUP(C5785, 'STOK RAPORU'!$C$2:$I$1000, 4, 0))), 0)</f>
        <v>0</v>
      </c>
      <c r="U5785" s="22">
        <f t="shared" si="360"/>
        <v>0</v>
      </c>
      <c r="V5785">
        <f t="shared" si="361"/>
        <v>0</v>
      </c>
      <c r="W5785" s="22">
        <f t="shared" si="362"/>
        <v>0</v>
      </c>
    </row>
    <row r="5786" spans="1:23" hidden="1" x14ac:dyDescent="0.25">
      <c r="A5786" s="3">
        <v>46106</v>
      </c>
      <c r="B5786" s="4" t="s">
        <v>334</v>
      </c>
      <c r="C5786" s="4" t="s">
        <v>249</v>
      </c>
      <c r="D5786" s="4"/>
      <c r="E5786" s="4"/>
      <c r="F5786" s="46" t="s">
        <v>2781</v>
      </c>
      <c r="G5786" s="4" t="s">
        <v>336</v>
      </c>
      <c r="H5786" s="4" t="s">
        <v>289</v>
      </c>
      <c r="I5786" s="4">
        <v>0.1</v>
      </c>
      <c r="J5786" s="21">
        <v>900</v>
      </c>
      <c r="K5786" s="21">
        <v>0</v>
      </c>
      <c r="L5786" s="5">
        <v>0</v>
      </c>
      <c r="M5786" s="4"/>
      <c r="N5786" s="4"/>
      <c r="O5786" s="5"/>
      <c r="P5786" s="5"/>
      <c r="Q5786" s="21">
        <v>90</v>
      </c>
      <c r="R5786" s="21">
        <v>0</v>
      </c>
      <c r="S5786" s="5">
        <f t="shared" si="363"/>
        <v>72278.942167016095</v>
      </c>
      <c r="T5786" cm="1">
        <f t="array" ref="T5786">IF(OR(B5786="MAL ALIMI", B5786="ÜRETİM GİRİŞ"), MIN(I5786, MAX(0, I5786 + SUM(SUMIFS($I$1:I5785, $C$1:C5785, C5786, $B$1:B5785, {"MAL ALIMI","ÜRETİM GİRİŞ"})) - VLOOKUP(C5786, 'STOK RAPORU'!$C$2:$I$1000, 4, 0))), 0)</f>
        <v>0</v>
      </c>
      <c r="U5786" s="22">
        <f t="shared" si="360"/>
        <v>0</v>
      </c>
      <c r="V5786">
        <f t="shared" si="361"/>
        <v>0</v>
      </c>
      <c r="W5786" s="22">
        <f t="shared" si="362"/>
        <v>0</v>
      </c>
    </row>
    <row r="5787" spans="1:23" hidden="1" x14ac:dyDescent="0.25">
      <c r="A5787" s="3">
        <v>46106</v>
      </c>
      <c r="B5787" s="4" t="s">
        <v>334</v>
      </c>
      <c r="C5787" s="4" t="s">
        <v>126</v>
      </c>
      <c r="D5787" s="4"/>
      <c r="E5787" s="4"/>
      <c r="F5787" s="46" t="s">
        <v>2781</v>
      </c>
      <c r="G5787" s="4" t="s">
        <v>336</v>
      </c>
      <c r="H5787" s="4" t="s">
        <v>289</v>
      </c>
      <c r="I5787" s="4">
        <v>7.6923076923076927E-2</v>
      </c>
      <c r="J5787" s="21">
        <v>650</v>
      </c>
      <c r="K5787" s="21">
        <v>0</v>
      </c>
      <c r="L5787" s="5">
        <v>0</v>
      </c>
      <c r="M5787" s="4"/>
      <c r="N5787" s="4"/>
      <c r="O5787" s="5"/>
      <c r="P5787" s="5"/>
      <c r="Q5787" s="21">
        <v>50</v>
      </c>
      <c r="R5787" s="21">
        <v>0</v>
      </c>
      <c r="S5787" s="5">
        <f t="shared" si="363"/>
        <v>72328.942167016095</v>
      </c>
      <c r="T5787" cm="1">
        <f t="array" ref="T5787">IF(OR(B5787="MAL ALIMI", B5787="ÜRETİM GİRİŞ"), MIN(I5787, MAX(0, I5787 + SUM(SUMIFS($I$1:I5786, $C$1:C5786, C5787, $B$1:B5786, {"MAL ALIMI","ÜRETİM GİRİŞ"})) - VLOOKUP(C5787, 'STOK RAPORU'!$C$2:$I$1000, 4, 0))), 0)</f>
        <v>0</v>
      </c>
      <c r="U5787" s="22">
        <f t="shared" si="360"/>
        <v>0</v>
      </c>
      <c r="V5787">
        <f t="shared" si="361"/>
        <v>0</v>
      </c>
      <c r="W5787" s="22">
        <f t="shared" si="362"/>
        <v>0</v>
      </c>
    </row>
    <row r="5788" spans="1:23" hidden="1" x14ac:dyDescent="0.25">
      <c r="A5788" s="3">
        <v>46106</v>
      </c>
      <c r="B5788" s="4" t="s">
        <v>334</v>
      </c>
      <c r="C5788" s="4" t="s">
        <v>1501</v>
      </c>
      <c r="D5788" s="4"/>
      <c r="E5788" s="4" t="s">
        <v>921</v>
      </c>
      <c r="F5788" s="46" t="s">
        <v>2782</v>
      </c>
      <c r="G5788" s="4" t="s">
        <v>336</v>
      </c>
      <c r="H5788" s="4" t="s">
        <v>380</v>
      </c>
      <c r="I5788" s="4">
        <v>0.33333333333333331</v>
      </c>
      <c r="J5788" s="21">
        <v>600</v>
      </c>
      <c r="K5788" s="21">
        <v>200</v>
      </c>
      <c r="L5788" s="5">
        <v>0</v>
      </c>
      <c r="M5788" s="4"/>
      <c r="N5788" s="4"/>
      <c r="O5788" s="5"/>
      <c r="P5788" s="5"/>
      <c r="Q5788" s="21">
        <v>0</v>
      </c>
      <c r="R5788" s="21">
        <v>0</v>
      </c>
      <c r="S5788" s="5">
        <f t="shared" si="363"/>
        <v>72328.942167016095</v>
      </c>
      <c r="T5788" cm="1">
        <f t="array" ref="T5788">IF(OR(B5788="MAL ALIMI", B5788="ÜRETİM GİRİŞ"), MIN(I5788, MAX(0, I5788 + SUM(SUMIFS($I$1:I5787, $C$1:C5787, C5788, $B$1:B5787, {"MAL ALIMI","ÜRETİM GİRİŞ"})) - VLOOKUP(C5788, 'STOK RAPORU'!$C$2:$I$1000, 4, 0))), 0)</f>
        <v>0</v>
      </c>
      <c r="U5788" s="22">
        <f t="shared" si="360"/>
        <v>0</v>
      </c>
      <c r="V5788">
        <f t="shared" si="361"/>
        <v>0</v>
      </c>
      <c r="W5788" s="22">
        <f t="shared" si="362"/>
        <v>0</v>
      </c>
    </row>
    <row r="5789" spans="1:23" hidden="1" x14ac:dyDescent="0.25">
      <c r="A5789" s="3">
        <v>46106</v>
      </c>
      <c r="B5789" s="4" t="s">
        <v>334</v>
      </c>
      <c r="C5789" s="4" t="s">
        <v>1897</v>
      </c>
      <c r="D5789" s="4"/>
      <c r="E5789" s="4" t="s">
        <v>921</v>
      </c>
      <c r="F5789" s="46" t="s">
        <v>2783</v>
      </c>
      <c r="G5789" s="4" t="s">
        <v>336</v>
      </c>
      <c r="H5789" s="4" t="s">
        <v>380</v>
      </c>
      <c r="I5789" s="4">
        <v>1</v>
      </c>
      <c r="J5789" s="21">
        <v>300</v>
      </c>
      <c r="K5789" s="21">
        <v>300</v>
      </c>
      <c r="L5789" s="5">
        <v>0</v>
      </c>
      <c r="M5789" s="4"/>
      <c r="N5789" s="4"/>
      <c r="O5789" s="5"/>
      <c r="P5789" s="5"/>
      <c r="Q5789" s="21">
        <v>0</v>
      </c>
      <c r="R5789" s="21">
        <v>0</v>
      </c>
      <c r="S5789" s="5">
        <f t="shared" si="363"/>
        <v>72328.942167016095</v>
      </c>
      <c r="T5789" cm="1">
        <f t="array" ref="T5789">IF(OR(B5789="MAL ALIMI", B5789="ÜRETİM GİRİŞ"), MIN(I5789, MAX(0, I5789 + SUM(SUMIFS($I$1:I5788, $C$1:C5788, C5789, $B$1:B5788, {"MAL ALIMI","ÜRETİM GİRİŞ"})) - VLOOKUP(C5789, 'STOK RAPORU'!$C$2:$I$1000, 4, 0))), 0)</f>
        <v>0</v>
      </c>
      <c r="U5789" s="22">
        <f t="shared" si="360"/>
        <v>0</v>
      </c>
      <c r="V5789">
        <f t="shared" si="361"/>
        <v>0</v>
      </c>
      <c r="W5789" s="22">
        <f t="shared" si="362"/>
        <v>0</v>
      </c>
    </row>
    <row r="5790" spans="1:23" hidden="1" x14ac:dyDescent="0.25">
      <c r="A5790" s="3">
        <v>46106</v>
      </c>
      <c r="B5790" s="4" t="s">
        <v>334</v>
      </c>
      <c r="C5790" s="4" t="s">
        <v>1634</v>
      </c>
      <c r="D5790" s="4"/>
      <c r="E5790" s="4" t="s">
        <v>921</v>
      </c>
      <c r="F5790" s="46" t="s">
        <v>2784</v>
      </c>
      <c r="G5790" s="4" t="s">
        <v>336</v>
      </c>
      <c r="H5790" s="4" t="s">
        <v>380</v>
      </c>
      <c r="I5790" s="4">
        <v>1</v>
      </c>
      <c r="J5790" s="21">
        <v>350</v>
      </c>
      <c r="K5790" s="21">
        <v>350</v>
      </c>
      <c r="L5790" s="5">
        <v>0</v>
      </c>
      <c r="M5790" s="4"/>
      <c r="N5790" s="4"/>
      <c r="O5790" s="5"/>
      <c r="P5790" s="5"/>
      <c r="Q5790" s="21">
        <v>0</v>
      </c>
      <c r="R5790" s="21">
        <v>0</v>
      </c>
      <c r="S5790" s="5">
        <f t="shared" si="363"/>
        <v>72328.942167016095</v>
      </c>
      <c r="T5790" cm="1">
        <f t="array" ref="T5790">IF(OR(B5790="MAL ALIMI", B5790="ÜRETİM GİRİŞ"), MIN(I5790, MAX(0, I5790 + SUM(SUMIFS($I$1:I5789, $C$1:C5789, C5790, $B$1:B5789, {"MAL ALIMI","ÜRETİM GİRİŞ"})) - VLOOKUP(C5790, 'STOK RAPORU'!$C$2:$I$1000, 4, 0))), 0)</f>
        <v>0</v>
      </c>
      <c r="U5790" s="22">
        <f t="shared" si="360"/>
        <v>0</v>
      </c>
      <c r="V5790">
        <f t="shared" si="361"/>
        <v>0</v>
      </c>
      <c r="W5790" s="22">
        <f t="shared" si="362"/>
        <v>0</v>
      </c>
    </row>
    <row r="5791" spans="1:23" hidden="1" x14ac:dyDescent="0.25">
      <c r="A5791" s="3">
        <v>46106</v>
      </c>
      <c r="B5791" s="4" t="s">
        <v>334</v>
      </c>
      <c r="C5791" s="4" t="s">
        <v>193</v>
      </c>
      <c r="D5791" s="4"/>
      <c r="E5791" s="4"/>
      <c r="F5791" s="46" t="s">
        <v>2785</v>
      </c>
      <c r="G5791" s="4" t="s">
        <v>336</v>
      </c>
      <c r="H5791" s="4" t="s">
        <v>289</v>
      </c>
      <c r="I5791" s="4">
        <v>0.1</v>
      </c>
      <c r="J5791" s="21">
        <v>900</v>
      </c>
      <c r="K5791" s="21">
        <v>0</v>
      </c>
      <c r="L5791" s="5">
        <v>0</v>
      </c>
      <c r="M5791" s="4"/>
      <c r="N5791" s="4"/>
      <c r="O5791" s="5"/>
      <c r="P5791" s="5"/>
      <c r="Q5791" s="21">
        <v>90</v>
      </c>
      <c r="R5791" s="21">
        <v>0</v>
      </c>
      <c r="S5791" s="5">
        <f t="shared" si="363"/>
        <v>72418.942167016095</v>
      </c>
      <c r="T5791" cm="1">
        <f t="array" ref="T5791">IF(OR(B5791="MAL ALIMI", B5791="ÜRETİM GİRİŞ"), MIN(I5791, MAX(0, I5791 + SUM(SUMIFS($I$1:I5790, $C$1:C5790, C5791, $B$1:B5790, {"MAL ALIMI","ÜRETİM GİRİŞ"})) - VLOOKUP(C5791, 'STOK RAPORU'!$C$2:$I$1000, 4, 0))), 0)</f>
        <v>0</v>
      </c>
      <c r="U5791" s="22">
        <f t="shared" si="360"/>
        <v>0</v>
      </c>
      <c r="V5791">
        <f t="shared" si="361"/>
        <v>0</v>
      </c>
      <c r="W5791" s="22">
        <f t="shared" si="362"/>
        <v>0</v>
      </c>
    </row>
    <row r="5792" spans="1:23" hidden="1" x14ac:dyDescent="0.25">
      <c r="A5792" s="3">
        <v>46106</v>
      </c>
      <c r="B5792" s="4" t="s">
        <v>334</v>
      </c>
      <c r="C5792" s="4" t="s">
        <v>133</v>
      </c>
      <c r="D5792" s="4"/>
      <c r="E5792" s="4"/>
      <c r="F5792" s="46" t="s">
        <v>2785</v>
      </c>
      <c r="G5792" s="4" t="s">
        <v>336</v>
      </c>
      <c r="H5792" s="4" t="s">
        <v>289</v>
      </c>
      <c r="I5792" s="4">
        <v>0.125</v>
      </c>
      <c r="J5792" s="21">
        <v>400</v>
      </c>
      <c r="K5792" s="21">
        <v>0</v>
      </c>
      <c r="L5792" s="5">
        <v>0</v>
      </c>
      <c r="M5792" s="4"/>
      <c r="N5792" s="4"/>
      <c r="O5792" s="5"/>
      <c r="P5792" s="5"/>
      <c r="Q5792" s="21">
        <v>50</v>
      </c>
      <c r="R5792" s="21">
        <v>0</v>
      </c>
      <c r="S5792" s="5">
        <f t="shared" si="363"/>
        <v>72468.942167016095</v>
      </c>
      <c r="T5792" cm="1">
        <f t="array" ref="T5792">IF(OR(B5792="MAL ALIMI", B5792="ÜRETİM GİRİŞ"), MIN(I5792, MAX(0, I5792 + SUM(SUMIFS($I$1:I5791, $C$1:C5791, C5792, $B$1:B5791, {"MAL ALIMI","ÜRETİM GİRİŞ"})) - VLOOKUP(C5792, 'STOK RAPORU'!$C$2:$I$1000, 4, 0))), 0)</f>
        <v>0</v>
      </c>
      <c r="U5792" s="22">
        <f t="shared" si="360"/>
        <v>0</v>
      </c>
      <c r="V5792">
        <f t="shared" si="361"/>
        <v>0</v>
      </c>
      <c r="W5792" s="22">
        <f t="shared" si="362"/>
        <v>0</v>
      </c>
    </row>
    <row r="5793" spans="1:23" hidden="1" x14ac:dyDescent="0.25">
      <c r="A5793" s="3">
        <v>46106</v>
      </c>
      <c r="B5793" s="4" t="s">
        <v>334</v>
      </c>
      <c r="C5793" s="4" t="s">
        <v>96</v>
      </c>
      <c r="D5793" s="4"/>
      <c r="E5793" s="4" t="s">
        <v>921</v>
      </c>
      <c r="F5793" s="46" t="s">
        <v>2786</v>
      </c>
      <c r="G5793" s="4" t="s">
        <v>336</v>
      </c>
      <c r="H5793" s="4" t="s">
        <v>380</v>
      </c>
      <c r="I5793" s="4">
        <v>0.19500000000000001</v>
      </c>
      <c r="J5793" s="21">
        <v>400</v>
      </c>
      <c r="K5793" s="21">
        <v>78</v>
      </c>
      <c r="L5793" s="5">
        <v>0</v>
      </c>
      <c r="M5793" s="4"/>
      <c r="N5793" s="4"/>
      <c r="O5793" s="5"/>
      <c r="P5793" s="5"/>
      <c r="Q5793" s="21">
        <v>0</v>
      </c>
      <c r="R5793" s="21">
        <v>0</v>
      </c>
      <c r="S5793" s="5">
        <f t="shared" si="363"/>
        <v>72468.942167016095</v>
      </c>
      <c r="T5793" cm="1">
        <f t="array" ref="T5793">IF(OR(B5793="MAL ALIMI", B5793="ÜRETİM GİRİŞ"), MIN(I5793, MAX(0, I5793 + SUM(SUMIFS($I$1:I5792, $C$1:C5792, C5793, $B$1:B5792, {"MAL ALIMI","ÜRETİM GİRİŞ"})) - VLOOKUP(C5793, 'STOK RAPORU'!$C$2:$I$1000, 4, 0))), 0)</f>
        <v>0</v>
      </c>
      <c r="U5793" s="22">
        <f t="shared" si="360"/>
        <v>0</v>
      </c>
      <c r="V5793">
        <f t="shared" si="361"/>
        <v>0</v>
      </c>
      <c r="W5793" s="22">
        <f t="shared" si="362"/>
        <v>0</v>
      </c>
    </row>
    <row r="5794" spans="1:23" hidden="1" x14ac:dyDescent="0.25">
      <c r="A5794" s="3">
        <v>46106</v>
      </c>
      <c r="B5794" s="4" t="s">
        <v>946</v>
      </c>
      <c r="C5794" s="4"/>
      <c r="D5794" s="4"/>
      <c r="E5794" s="4" t="s">
        <v>921</v>
      </c>
      <c r="F5794" s="4"/>
      <c r="G5794" s="4" t="s">
        <v>2839</v>
      </c>
      <c r="H5794" s="4" t="s">
        <v>380</v>
      </c>
      <c r="I5794" s="4">
        <v>1</v>
      </c>
      <c r="J5794" s="105">
        <v>10035</v>
      </c>
      <c r="K5794" s="21">
        <v>0</v>
      </c>
      <c r="L5794" s="32">
        <v>10035</v>
      </c>
      <c r="M5794" s="4"/>
      <c r="N5794" s="4"/>
      <c r="O5794" s="5"/>
      <c r="P5794" s="5"/>
      <c r="Q5794" s="21">
        <v>10035</v>
      </c>
      <c r="R5794" s="21">
        <v>0</v>
      </c>
      <c r="S5794" s="5">
        <f t="shared" si="363"/>
        <v>82503.942167016095</v>
      </c>
      <c r="T5794" cm="1">
        <f t="array" ref="T5794">IF(OR(B5794="MAL ALIMI", B5794="ÜRETİM GİRİŞ"), MIN(I5794, MAX(0, I5794 + SUM(SUMIFS($I$1:I5793, $C$1:C5793, C5794, $B$1:B5793, {"MAL ALIMI","ÜRETİM GİRİŞ"})) - VLOOKUP(C5794, 'STOK RAPORU'!$C$2:$I$1000, 4, 0))), 0)</f>
        <v>0</v>
      </c>
      <c r="U5794" s="22">
        <f t="shared" si="360"/>
        <v>0</v>
      </c>
      <c r="V5794">
        <f t="shared" si="361"/>
        <v>0</v>
      </c>
      <c r="W5794" s="22">
        <f t="shared" si="362"/>
        <v>0</v>
      </c>
    </row>
    <row r="5795" spans="1:23" hidden="1" x14ac:dyDescent="0.25">
      <c r="A5795" s="3">
        <v>46106</v>
      </c>
      <c r="B5795" s="4" t="s">
        <v>285</v>
      </c>
      <c r="C5795" s="4"/>
      <c r="D5795" s="4" t="s">
        <v>673</v>
      </c>
      <c r="E5795" s="4"/>
      <c r="F5795" s="4"/>
      <c r="G5795" s="4" t="s">
        <v>2839</v>
      </c>
      <c r="H5795" s="4" t="s">
        <v>289</v>
      </c>
      <c r="I5795" s="4">
        <v>1</v>
      </c>
      <c r="J5795" s="21">
        <v>10035</v>
      </c>
      <c r="K5795" s="21">
        <v>0</v>
      </c>
      <c r="L5795" s="5">
        <v>0</v>
      </c>
      <c r="M5795" s="4"/>
      <c r="N5795" s="4"/>
      <c r="O5795" s="5"/>
      <c r="P5795" s="5"/>
      <c r="Q5795" s="21">
        <v>0</v>
      </c>
      <c r="R5795" s="21">
        <v>10035</v>
      </c>
      <c r="S5795" s="5">
        <f t="shared" si="363"/>
        <v>72468.942167016095</v>
      </c>
      <c r="T5795" cm="1">
        <f t="array" ref="T5795">IF(OR(B5795="MAL ALIMI", B5795="ÜRETİM GİRİŞ"), MIN(I5795, MAX(0, I5795 + SUM(SUMIFS($I$1:I5794, $C$1:C5794, C5795, $B$1:B5794, {"MAL ALIMI","ÜRETİM GİRİŞ"})) - VLOOKUP(C5795, 'STOK RAPORU'!$C$2:$I$1000, 4, 0))), 0)</f>
        <v>0</v>
      </c>
      <c r="U5795" s="22">
        <f t="shared" si="360"/>
        <v>0</v>
      </c>
      <c r="V5795">
        <f t="shared" si="361"/>
        <v>0</v>
      </c>
      <c r="W5795" s="22">
        <f t="shared" si="362"/>
        <v>0</v>
      </c>
    </row>
    <row r="5796" spans="1:23" hidden="1" x14ac:dyDescent="0.25">
      <c r="A5796" s="3">
        <v>46106</v>
      </c>
      <c r="B5796" s="4" t="s">
        <v>946</v>
      </c>
      <c r="C5796" s="4"/>
      <c r="D5796" s="4"/>
      <c r="E5796" s="4" t="s">
        <v>921</v>
      </c>
      <c r="F5796" s="4"/>
      <c r="G5796" s="4" t="s">
        <v>2840</v>
      </c>
      <c r="H5796" s="4" t="s">
        <v>380</v>
      </c>
      <c r="I5796" s="4">
        <v>1</v>
      </c>
      <c r="J5796" s="105">
        <v>21870</v>
      </c>
      <c r="K5796" s="21">
        <v>0</v>
      </c>
      <c r="L5796" s="32">
        <v>21870</v>
      </c>
      <c r="M5796" s="4"/>
      <c r="N5796" s="4"/>
      <c r="O5796" s="5"/>
      <c r="P5796" s="5"/>
      <c r="Q5796" s="21">
        <v>21870</v>
      </c>
      <c r="R5796" s="21">
        <v>0</v>
      </c>
      <c r="S5796" s="5">
        <f t="shared" si="363"/>
        <v>94338.942167016095</v>
      </c>
      <c r="T5796" cm="1">
        <f t="array" ref="T5796">IF(OR(B5796="MAL ALIMI", B5796="ÜRETİM GİRİŞ"), MIN(I5796, MAX(0, I5796 + SUM(SUMIFS($I$1:I5795, $C$1:C5795, C5796, $B$1:B5795, {"MAL ALIMI","ÜRETİM GİRİŞ"})) - VLOOKUP(C5796, 'STOK RAPORU'!$C$2:$I$1000, 4, 0))), 0)</f>
        <v>0</v>
      </c>
      <c r="U5796" s="22">
        <f t="shared" si="360"/>
        <v>0</v>
      </c>
      <c r="V5796">
        <f t="shared" si="361"/>
        <v>0</v>
      </c>
      <c r="W5796" s="22">
        <f t="shared" si="362"/>
        <v>0</v>
      </c>
    </row>
    <row r="5797" spans="1:23" hidden="1" x14ac:dyDescent="0.25">
      <c r="A5797" s="3">
        <v>46106</v>
      </c>
      <c r="B5797" s="4" t="s">
        <v>917</v>
      </c>
      <c r="C5797" s="4"/>
      <c r="D5797" s="4"/>
      <c r="E5797" s="4" t="s">
        <v>836</v>
      </c>
      <c r="F5797" s="4"/>
      <c r="G5797" s="4" t="s">
        <v>2840</v>
      </c>
      <c r="H5797" s="4" t="s">
        <v>289</v>
      </c>
      <c r="I5797" s="4">
        <v>1</v>
      </c>
      <c r="J5797" s="21">
        <v>21870</v>
      </c>
      <c r="K5797" s="102">
        <v>21870</v>
      </c>
      <c r="L5797" s="5">
        <v>0</v>
      </c>
      <c r="M5797" s="4"/>
      <c r="N5797" s="4"/>
      <c r="O5797" s="5"/>
      <c r="P5797" s="5"/>
      <c r="Q5797" s="21">
        <v>0</v>
      </c>
      <c r="R5797" s="21">
        <v>21870</v>
      </c>
      <c r="S5797" s="5">
        <f t="shared" si="363"/>
        <v>72468.942167016095</v>
      </c>
      <c r="T5797" cm="1">
        <f t="array" ref="T5797">IF(OR(B5797="MAL ALIMI", B5797="ÜRETİM GİRİŞ"), MIN(I5797, MAX(0, I5797 + SUM(SUMIFS($I$1:I5796, $C$1:C5796, C5797, $B$1:B5796, {"MAL ALIMI","ÜRETİM GİRİŞ"})) - VLOOKUP(C5797, 'STOK RAPORU'!$C$2:$I$1000, 4, 0))), 0)</f>
        <v>0</v>
      </c>
      <c r="U5797" s="22">
        <f t="shared" si="360"/>
        <v>0</v>
      </c>
      <c r="V5797">
        <f t="shared" si="361"/>
        <v>0</v>
      </c>
      <c r="W5797" s="22">
        <f t="shared" si="362"/>
        <v>0</v>
      </c>
    </row>
    <row r="5798" spans="1:23" hidden="1" x14ac:dyDescent="0.25">
      <c r="A5798" s="3">
        <v>46106</v>
      </c>
      <c r="B5798" s="4" t="s">
        <v>946</v>
      </c>
      <c r="C5798" s="4"/>
      <c r="D5798" s="4"/>
      <c r="E5798" s="4" t="s">
        <v>921</v>
      </c>
      <c r="F5798" s="4"/>
      <c r="G5798" s="4" t="s">
        <v>2842</v>
      </c>
      <c r="H5798" s="4" t="s">
        <v>380</v>
      </c>
      <c r="I5798" s="4">
        <v>1</v>
      </c>
      <c r="J5798" s="105">
        <v>777.45</v>
      </c>
      <c r="K5798" s="21">
        <v>0</v>
      </c>
      <c r="L5798" s="32">
        <v>777.45</v>
      </c>
      <c r="M5798" s="21">
        <v>10035</v>
      </c>
      <c r="N5798" s="21">
        <v>0</v>
      </c>
      <c r="O5798" s="5"/>
      <c r="P5798" s="5"/>
      <c r="Q5798" s="21">
        <v>777.45</v>
      </c>
      <c r="R5798" s="21">
        <v>0</v>
      </c>
      <c r="S5798" s="5">
        <f t="shared" si="363"/>
        <v>73246.392167016093</v>
      </c>
      <c r="T5798" cm="1">
        <f t="array" ref="T5798">IF(OR(B5798="MAL ALIMI", B5798="ÜRETİM GİRİŞ"), MIN(I5798, MAX(0, I5798 + SUM(SUMIFS($I$1:I5797, $C$1:C5797, C5798, $B$1:B5797, {"MAL ALIMI","ÜRETİM GİRİŞ"})) - VLOOKUP(C5798, 'STOK RAPORU'!$C$2:$I$1000, 4, 0))), 0)</f>
        <v>0</v>
      </c>
      <c r="U5798" s="22">
        <f t="shared" si="360"/>
        <v>0</v>
      </c>
      <c r="V5798">
        <f t="shared" si="361"/>
        <v>0</v>
      </c>
      <c r="W5798" s="22">
        <f t="shared" si="362"/>
        <v>0</v>
      </c>
    </row>
    <row r="5799" spans="1:23" hidden="1" x14ac:dyDescent="0.25">
      <c r="A5799" s="3">
        <v>46106</v>
      </c>
      <c r="B5799" s="4" t="s">
        <v>285</v>
      </c>
      <c r="C5799" s="4"/>
      <c r="D5799" s="4" t="s">
        <v>1815</v>
      </c>
      <c r="E5799" s="4"/>
      <c r="F5799" s="4"/>
      <c r="G5799" s="4" t="s">
        <v>2842</v>
      </c>
      <c r="H5799" s="4" t="s">
        <v>289</v>
      </c>
      <c r="I5799" s="4">
        <v>1</v>
      </c>
      <c r="J5799" s="21">
        <v>777.45</v>
      </c>
      <c r="K5799" s="21">
        <v>0</v>
      </c>
      <c r="L5799" s="5">
        <v>0</v>
      </c>
      <c r="M5799" s="21">
        <v>0</v>
      </c>
      <c r="N5799" s="21">
        <v>10035</v>
      </c>
      <c r="O5799" s="5"/>
      <c r="P5799" s="5"/>
      <c r="Q5799" s="21">
        <v>0</v>
      </c>
      <c r="R5799" s="21">
        <v>777.45</v>
      </c>
      <c r="S5799" s="5">
        <f t="shared" si="363"/>
        <v>72468.942167016095</v>
      </c>
      <c r="T5799" cm="1">
        <f t="array" ref="T5799">IF(OR(B5799="MAL ALIMI", B5799="ÜRETİM GİRİŞ"), MIN(I5799, MAX(0, I5799 + SUM(SUMIFS($I$1:I5798, $C$1:C5798, C5799, $B$1:B5798, {"MAL ALIMI","ÜRETİM GİRİŞ"})) - VLOOKUP(C5799, 'STOK RAPORU'!$C$2:$I$1000, 4, 0))), 0)</f>
        <v>0</v>
      </c>
      <c r="U5799" s="22">
        <f t="shared" si="360"/>
        <v>0</v>
      </c>
      <c r="V5799">
        <f t="shared" si="361"/>
        <v>0</v>
      </c>
      <c r="W5799" s="22">
        <f t="shared" si="362"/>
        <v>0</v>
      </c>
    </row>
    <row r="5800" spans="1:23" hidden="1" x14ac:dyDescent="0.25">
      <c r="A5800" s="3">
        <v>46107</v>
      </c>
      <c r="B5800" s="4" t="s">
        <v>334</v>
      </c>
      <c r="C5800" s="4" t="s">
        <v>157</v>
      </c>
      <c r="D5800" s="4"/>
      <c r="E5800" s="4" t="s">
        <v>921</v>
      </c>
      <c r="F5800" s="46" t="s">
        <v>2787</v>
      </c>
      <c r="G5800" s="4" t="s">
        <v>336</v>
      </c>
      <c r="H5800" s="4" t="s">
        <v>380</v>
      </c>
      <c r="I5800" s="4">
        <v>0.5</v>
      </c>
      <c r="J5800" s="21">
        <v>200</v>
      </c>
      <c r="K5800" s="21">
        <v>100</v>
      </c>
      <c r="L5800" s="5">
        <v>0</v>
      </c>
      <c r="M5800" s="4"/>
      <c r="N5800" s="4"/>
      <c r="O5800" s="5"/>
      <c r="P5800" s="5"/>
      <c r="Q5800" s="21">
        <v>0</v>
      </c>
      <c r="R5800" s="21">
        <v>0</v>
      </c>
      <c r="S5800" s="5">
        <f t="shared" si="363"/>
        <v>72468.942167016095</v>
      </c>
      <c r="T5800" cm="1">
        <f t="array" ref="T5800">IF(OR(B5800="MAL ALIMI", B5800="ÜRETİM GİRİŞ"), MIN(I5800, MAX(0, I5800 + SUM(SUMIFS($I$1:I5799, $C$1:C5799, C5800, $B$1:B5799, {"MAL ALIMI","ÜRETİM GİRİŞ"})) - VLOOKUP(C5800, 'STOK RAPORU'!$C$2:$I$1000, 4, 0))), 0)</f>
        <v>0</v>
      </c>
      <c r="U5800" s="22">
        <f t="shared" si="360"/>
        <v>0</v>
      </c>
      <c r="V5800">
        <f t="shared" si="361"/>
        <v>0</v>
      </c>
      <c r="W5800" s="22">
        <f t="shared" si="362"/>
        <v>0</v>
      </c>
    </row>
    <row r="5801" spans="1:23" hidden="1" x14ac:dyDescent="0.25">
      <c r="A5801" s="3">
        <v>46107</v>
      </c>
      <c r="B5801" s="4" t="s">
        <v>334</v>
      </c>
      <c r="C5801" s="4" t="s">
        <v>163</v>
      </c>
      <c r="D5801" s="4"/>
      <c r="E5801" s="4" t="s">
        <v>921</v>
      </c>
      <c r="F5801" s="46" t="s">
        <v>2787</v>
      </c>
      <c r="G5801" s="4" t="s">
        <v>336</v>
      </c>
      <c r="H5801" s="4" t="s">
        <v>380</v>
      </c>
      <c r="I5801" s="4">
        <v>0.122</v>
      </c>
      <c r="J5801" s="21">
        <v>450</v>
      </c>
      <c r="K5801" s="21">
        <v>54.9</v>
      </c>
      <c r="L5801" s="5">
        <v>0</v>
      </c>
      <c r="M5801" s="4"/>
      <c r="N5801" s="4"/>
      <c r="O5801" s="5"/>
      <c r="P5801" s="5"/>
      <c r="Q5801" s="21">
        <v>0</v>
      </c>
      <c r="R5801" s="21">
        <v>0</v>
      </c>
      <c r="S5801" s="5">
        <f t="shared" si="363"/>
        <v>72468.942167016095</v>
      </c>
      <c r="T5801" cm="1">
        <f t="array" ref="T5801">IF(OR(B5801="MAL ALIMI", B5801="ÜRETİM GİRİŞ"), MIN(I5801, MAX(0, I5801 + SUM(SUMIFS($I$1:I5800, $C$1:C5800, C5801, $B$1:B5800, {"MAL ALIMI","ÜRETİM GİRİŞ"})) - VLOOKUP(C5801, 'STOK RAPORU'!$C$2:$I$1000, 4, 0))), 0)</f>
        <v>0</v>
      </c>
      <c r="U5801" s="22">
        <f t="shared" si="360"/>
        <v>0</v>
      </c>
      <c r="V5801">
        <f t="shared" si="361"/>
        <v>0</v>
      </c>
      <c r="W5801" s="22">
        <f t="shared" si="362"/>
        <v>0</v>
      </c>
    </row>
    <row r="5802" spans="1:23" hidden="1" x14ac:dyDescent="0.25">
      <c r="A5802" s="3">
        <v>46107</v>
      </c>
      <c r="B5802" s="4" t="s">
        <v>334</v>
      </c>
      <c r="C5802" s="4" t="s">
        <v>126</v>
      </c>
      <c r="D5802" s="4"/>
      <c r="E5802" s="4" t="s">
        <v>921</v>
      </c>
      <c r="F5802" s="46" t="s">
        <v>2787</v>
      </c>
      <c r="G5802" s="4" t="s">
        <v>336</v>
      </c>
      <c r="H5802" s="4" t="s">
        <v>380</v>
      </c>
      <c r="I5802" s="4">
        <v>7.3999999999999996E-2</v>
      </c>
      <c r="J5802" s="21">
        <v>650</v>
      </c>
      <c r="K5802" s="21">
        <v>48.099999999999994</v>
      </c>
      <c r="L5802" s="5">
        <v>0</v>
      </c>
      <c r="M5802" s="4"/>
      <c r="N5802" s="4"/>
      <c r="O5802" s="5"/>
      <c r="P5802" s="5"/>
      <c r="Q5802" s="21">
        <v>0</v>
      </c>
      <c r="R5802" s="21">
        <v>0</v>
      </c>
      <c r="S5802" s="5">
        <f t="shared" si="363"/>
        <v>72468.942167016095</v>
      </c>
      <c r="T5802" cm="1">
        <f t="array" ref="T5802">IF(OR(B5802="MAL ALIMI", B5802="ÜRETİM GİRİŞ"), MIN(I5802, MAX(0, I5802 + SUM(SUMIFS($I$1:I5801, $C$1:C5801, C5802, $B$1:B5801, {"MAL ALIMI","ÜRETİM GİRİŞ"})) - VLOOKUP(C5802, 'STOK RAPORU'!$C$2:$I$1000, 4, 0))), 0)</f>
        <v>0</v>
      </c>
      <c r="U5802" s="22">
        <f t="shared" si="360"/>
        <v>0</v>
      </c>
      <c r="V5802">
        <f t="shared" si="361"/>
        <v>0</v>
      </c>
      <c r="W5802" s="22">
        <f t="shared" si="362"/>
        <v>0</v>
      </c>
    </row>
    <row r="5803" spans="1:23" hidden="1" x14ac:dyDescent="0.25">
      <c r="A5803" s="3">
        <v>46107</v>
      </c>
      <c r="B5803" s="4" t="s">
        <v>334</v>
      </c>
      <c r="C5803" s="4" t="s">
        <v>160</v>
      </c>
      <c r="D5803" s="4"/>
      <c r="E5803" s="4"/>
      <c r="F5803" s="46" t="s">
        <v>2788</v>
      </c>
      <c r="G5803" s="4" t="s">
        <v>336</v>
      </c>
      <c r="H5803" s="4" t="s">
        <v>289</v>
      </c>
      <c r="I5803" s="4">
        <v>1</v>
      </c>
      <c r="J5803" s="21">
        <v>250</v>
      </c>
      <c r="K5803" s="21">
        <v>0</v>
      </c>
      <c r="L5803" s="5">
        <v>0</v>
      </c>
      <c r="M5803" s="4"/>
      <c r="N5803" s="4"/>
      <c r="O5803" s="5"/>
      <c r="P5803" s="5"/>
      <c r="Q5803" s="21">
        <v>250</v>
      </c>
      <c r="R5803" s="21">
        <v>0</v>
      </c>
      <c r="S5803" s="5">
        <f t="shared" si="363"/>
        <v>72718.942167016095</v>
      </c>
      <c r="T5803" cm="1">
        <f t="array" ref="T5803">IF(OR(B5803="MAL ALIMI", B5803="ÜRETİM GİRİŞ"), MIN(I5803, MAX(0, I5803 + SUM(SUMIFS($I$1:I5802, $C$1:C5802, C5803, $B$1:B5802, {"MAL ALIMI","ÜRETİM GİRİŞ"})) - VLOOKUP(C5803, 'STOK RAPORU'!$C$2:$I$1000, 4, 0))), 0)</f>
        <v>0</v>
      </c>
      <c r="U5803" s="22">
        <f t="shared" si="360"/>
        <v>0</v>
      </c>
      <c r="V5803">
        <f t="shared" si="361"/>
        <v>0</v>
      </c>
      <c r="W5803" s="22">
        <f t="shared" si="362"/>
        <v>0</v>
      </c>
    </row>
    <row r="5804" spans="1:23" hidden="1" x14ac:dyDescent="0.25">
      <c r="A5804" s="3">
        <v>46107</v>
      </c>
      <c r="B5804" s="4" t="s">
        <v>334</v>
      </c>
      <c r="C5804" s="4" t="s">
        <v>160</v>
      </c>
      <c r="D5804" s="4"/>
      <c r="E5804" s="4" t="s">
        <v>921</v>
      </c>
      <c r="F5804" s="46" t="s">
        <v>2789</v>
      </c>
      <c r="G5804" s="4" t="s">
        <v>336</v>
      </c>
      <c r="H5804" s="4" t="s">
        <v>380</v>
      </c>
      <c r="I5804" s="4">
        <v>1</v>
      </c>
      <c r="J5804" s="21">
        <v>250</v>
      </c>
      <c r="K5804" s="21">
        <v>250</v>
      </c>
      <c r="L5804" s="5">
        <v>0</v>
      </c>
      <c r="M5804" s="4"/>
      <c r="N5804" s="4"/>
      <c r="O5804" s="5"/>
      <c r="P5804" s="5"/>
      <c r="Q5804" s="21">
        <v>0</v>
      </c>
      <c r="R5804" s="21">
        <v>0</v>
      </c>
      <c r="S5804" s="5">
        <f t="shared" si="363"/>
        <v>72718.942167016095</v>
      </c>
      <c r="T5804" cm="1">
        <f t="array" ref="T5804">IF(OR(B5804="MAL ALIMI", B5804="ÜRETİM GİRİŞ"), MIN(I5804, MAX(0, I5804 + SUM(SUMIFS($I$1:I5803, $C$1:C5803, C5804, $B$1:B5803, {"MAL ALIMI","ÜRETİM GİRİŞ"})) - VLOOKUP(C5804, 'STOK RAPORU'!$C$2:$I$1000, 4, 0))), 0)</f>
        <v>0</v>
      </c>
      <c r="U5804" s="22">
        <f t="shared" si="360"/>
        <v>0</v>
      </c>
      <c r="V5804">
        <f t="shared" si="361"/>
        <v>0</v>
      </c>
      <c r="W5804" s="22">
        <f t="shared" si="362"/>
        <v>0</v>
      </c>
    </row>
    <row r="5805" spans="1:23" hidden="1" x14ac:dyDescent="0.25">
      <c r="A5805" s="3">
        <v>46107</v>
      </c>
      <c r="B5805" s="4" t="s">
        <v>334</v>
      </c>
      <c r="C5805" s="4" t="s">
        <v>92</v>
      </c>
      <c r="D5805" s="4"/>
      <c r="E5805" s="4" t="s">
        <v>921</v>
      </c>
      <c r="F5805" s="46" t="s">
        <v>2789</v>
      </c>
      <c r="G5805" s="4" t="s">
        <v>336</v>
      </c>
      <c r="H5805" s="4" t="s">
        <v>380</v>
      </c>
      <c r="I5805" s="4">
        <v>0.21</v>
      </c>
      <c r="J5805" s="21">
        <v>500</v>
      </c>
      <c r="K5805" s="21">
        <v>105</v>
      </c>
      <c r="L5805" s="5">
        <v>0</v>
      </c>
      <c r="M5805" s="4"/>
      <c r="N5805" s="4"/>
      <c r="O5805" s="5"/>
      <c r="P5805" s="5"/>
      <c r="Q5805" s="21">
        <v>0</v>
      </c>
      <c r="R5805" s="21">
        <v>0</v>
      </c>
      <c r="S5805" s="5">
        <f t="shared" si="363"/>
        <v>72718.942167016095</v>
      </c>
      <c r="T5805" cm="1">
        <f t="array" ref="T5805">IF(OR(B5805="MAL ALIMI", B5805="ÜRETİM GİRİŞ"), MIN(I5805, MAX(0, I5805 + SUM(SUMIFS($I$1:I5804, $C$1:C5804, C5805, $B$1:B5804, {"MAL ALIMI","ÜRETİM GİRİŞ"})) - VLOOKUP(C5805, 'STOK RAPORU'!$C$2:$I$1000, 4, 0))), 0)</f>
        <v>0</v>
      </c>
      <c r="U5805" s="22">
        <f t="shared" si="360"/>
        <v>0</v>
      </c>
      <c r="V5805">
        <f t="shared" si="361"/>
        <v>0</v>
      </c>
      <c r="W5805" s="22">
        <f t="shared" si="362"/>
        <v>0</v>
      </c>
    </row>
    <row r="5806" spans="1:23" hidden="1" x14ac:dyDescent="0.25">
      <c r="A5806" s="3">
        <v>46107</v>
      </c>
      <c r="B5806" s="4" t="s">
        <v>334</v>
      </c>
      <c r="C5806" s="4" t="s">
        <v>132</v>
      </c>
      <c r="D5806" s="4"/>
      <c r="E5806" s="4" t="s">
        <v>921</v>
      </c>
      <c r="F5806" s="46" t="s">
        <v>2789</v>
      </c>
      <c r="G5806" s="4" t="s">
        <v>336</v>
      </c>
      <c r="H5806" s="4" t="s">
        <v>380</v>
      </c>
      <c r="I5806" s="4">
        <v>0.246</v>
      </c>
      <c r="J5806" s="21">
        <v>500</v>
      </c>
      <c r="K5806" s="21">
        <v>123</v>
      </c>
      <c r="L5806" s="5">
        <v>0</v>
      </c>
      <c r="M5806" s="4"/>
      <c r="N5806" s="4"/>
      <c r="O5806" s="5"/>
      <c r="P5806" s="5"/>
      <c r="Q5806" s="21">
        <v>0</v>
      </c>
      <c r="R5806" s="21">
        <v>0</v>
      </c>
      <c r="S5806" s="5">
        <f t="shared" si="363"/>
        <v>72718.942167016095</v>
      </c>
      <c r="T5806" cm="1">
        <f t="array" ref="T5806">IF(OR(B5806="MAL ALIMI", B5806="ÜRETİM GİRİŞ"), MIN(I5806, MAX(0, I5806 + SUM(SUMIFS($I$1:I5805, $C$1:C5805, C5806, $B$1:B5805, {"MAL ALIMI","ÜRETİM GİRİŞ"})) - VLOOKUP(C5806, 'STOK RAPORU'!$C$2:$I$1000, 4, 0))), 0)</f>
        <v>0</v>
      </c>
      <c r="U5806" s="22">
        <f t="shared" si="360"/>
        <v>0</v>
      </c>
      <c r="V5806">
        <f t="shared" si="361"/>
        <v>0</v>
      </c>
      <c r="W5806" s="22">
        <f t="shared" si="362"/>
        <v>0</v>
      </c>
    </row>
    <row r="5807" spans="1:23" hidden="1" x14ac:dyDescent="0.25">
      <c r="A5807" s="3">
        <v>46107</v>
      </c>
      <c r="B5807" s="4" t="s">
        <v>334</v>
      </c>
      <c r="C5807" s="4" t="s">
        <v>2488</v>
      </c>
      <c r="D5807" s="4"/>
      <c r="E5807" s="4" t="s">
        <v>921</v>
      </c>
      <c r="F5807" s="46" t="s">
        <v>2789</v>
      </c>
      <c r="G5807" s="4" t="s">
        <v>336</v>
      </c>
      <c r="H5807" s="4" t="s">
        <v>380</v>
      </c>
      <c r="I5807" s="4">
        <v>0.114</v>
      </c>
      <c r="J5807" s="21">
        <v>550</v>
      </c>
      <c r="K5807" s="21">
        <v>62.7</v>
      </c>
      <c r="L5807" s="5">
        <v>0</v>
      </c>
      <c r="M5807" s="4"/>
      <c r="N5807" s="4"/>
      <c r="O5807" s="5"/>
      <c r="P5807" s="5"/>
      <c r="Q5807" s="21">
        <v>0</v>
      </c>
      <c r="R5807" s="21">
        <v>0</v>
      </c>
      <c r="S5807" s="5">
        <f t="shared" si="363"/>
        <v>72718.942167016095</v>
      </c>
      <c r="T5807" cm="1">
        <f t="array" ref="T5807">IF(OR(B5807="MAL ALIMI", B5807="ÜRETİM GİRİŞ"), MIN(I5807, MAX(0, I5807 + SUM(SUMIFS($I$1:I5806, $C$1:C5806, C5807, $B$1:B5806, {"MAL ALIMI","ÜRETİM GİRİŞ"})) - VLOOKUP(C5807, 'STOK RAPORU'!$C$2:$I$1000, 4, 0))), 0)</f>
        <v>0</v>
      </c>
      <c r="U5807" s="22">
        <f t="shared" si="360"/>
        <v>0</v>
      </c>
      <c r="V5807">
        <f t="shared" si="361"/>
        <v>0</v>
      </c>
      <c r="W5807" s="22">
        <f t="shared" si="362"/>
        <v>0</v>
      </c>
    </row>
    <row r="5808" spans="1:23" hidden="1" x14ac:dyDescent="0.25">
      <c r="A5808" s="3">
        <v>46107</v>
      </c>
      <c r="B5808" s="4" t="s">
        <v>334</v>
      </c>
      <c r="C5808" s="4" t="s">
        <v>3167</v>
      </c>
      <c r="D5808" s="4"/>
      <c r="E5808" s="4" t="s">
        <v>921</v>
      </c>
      <c r="F5808" s="46" t="s">
        <v>2789</v>
      </c>
      <c r="G5808" s="4" t="s">
        <v>336</v>
      </c>
      <c r="H5808" s="4" t="s">
        <v>380</v>
      </c>
      <c r="I5808" s="4">
        <v>0.11799999999999999</v>
      </c>
      <c r="J5808" s="21">
        <v>400</v>
      </c>
      <c r="K5808" s="21">
        <v>47.199999999999996</v>
      </c>
      <c r="L5808" s="5">
        <v>0</v>
      </c>
      <c r="M5808" s="4"/>
      <c r="N5808" s="4"/>
      <c r="O5808" s="5"/>
      <c r="P5808" s="5"/>
      <c r="Q5808" s="21">
        <v>0</v>
      </c>
      <c r="R5808" s="21">
        <v>0</v>
      </c>
      <c r="S5808" s="5">
        <f t="shared" si="363"/>
        <v>72718.942167016095</v>
      </c>
      <c r="T5808" cm="1">
        <f t="array" ref="T5808">IF(OR(B5808="MAL ALIMI", B5808="ÜRETİM GİRİŞ"), MIN(I5808, MAX(0, I5808 + SUM(SUMIFS($I$1:I5807, $C$1:C5807, C5808, $B$1:B5807, {"MAL ALIMI","ÜRETİM GİRİŞ"})) - VLOOKUP(C5808, 'STOK RAPORU'!$C$2:$I$1000, 4, 0))), 0)</f>
        <v>0</v>
      </c>
      <c r="U5808" s="22">
        <f t="shared" si="360"/>
        <v>0</v>
      </c>
      <c r="V5808">
        <f t="shared" si="361"/>
        <v>0</v>
      </c>
      <c r="W5808" s="22">
        <f t="shared" si="362"/>
        <v>0</v>
      </c>
    </row>
    <row r="5809" spans="1:23" hidden="1" x14ac:dyDescent="0.25">
      <c r="A5809" s="3">
        <v>46107</v>
      </c>
      <c r="B5809" s="4" t="s">
        <v>334</v>
      </c>
      <c r="C5809" s="4" t="s">
        <v>96</v>
      </c>
      <c r="D5809" s="4"/>
      <c r="E5809" s="4" t="s">
        <v>921</v>
      </c>
      <c r="F5809" s="46" t="s">
        <v>2789</v>
      </c>
      <c r="G5809" s="4" t="s">
        <v>336</v>
      </c>
      <c r="H5809" s="4" t="s">
        <v>380</v>
      </c>
      <c r="I5809" s="4">
        <v>0.23</v>
      </c>
      <c r="J5809" s="21">
        <v>400</v>
      </c>
      <c r="K5809" s="21">
        <v>92</v>
      </c>
      <c r="L5809" s="5">
        <v>0</v>
      </c>
      <c r="M5809" s="4"/>
      <c r="N5809" s="4"/>
      <c r="O5809" s="5"/>
      <c r="P5809" s="5"/>
      <c r="Q5809" s="21">
        <v>0</v>
      </c>
      <c r="R5809" s="21">
        <v>0</v>
      </c>
      <c r="S5809" s="5">
        <f t="shared" si="363"/>
        <v>72718.942167016095</v>
      </c>
      <c r="T5809" cm="1">
        <f t="array" ref="T5809">IF(OR(B5809="MAL ALIMI", B5809="ÜRETİM GİRİŞ"), MIN(I5809, MAX(0, I5809 + SUM(SUMIFS($I$1:I5808, $C$1:C5808, C5809, $B$1:B5808, {"MAL ALIMI","ÜRETİM GİRİŞ"})) - VLOOKUP(C5809, 'STOK RAPORU'!$C$2:$I$1000, 4, 0))), 0)</f>
        <v>0</v>
      </c>
      <c r="U5809" s="22">
        <f t="shared" si="360"/>
        <v>0</v>
      </c>
      <c r="V5809">
        <f t="shared" si="361"/>
        <v>0</v>
      </c>
      <c r="W5809" s="22">
        <f t="shared" si="362"/>
        <v>0</v>
      </c>
    </row>
    <row r="5810" spans="1:23" hidden="1" x14ac:dyDescent="0.25">
      <c r="A5810" s="3">
        <v>46107</v>
      </c>
      <c r="B5810" s="4" t="s">
        <v>334</v>
      </c>
      <c r="C5810" s="4" t="s">
        <v>830</v>
      </c>
      <c r="D5810" s="4"/>
      <c r="E5810" s="4" t="s">
        <v>921</v>
      </c>
      <c r="F5810" s="46" t="s">
        <v>2790</v>
      </c>
      <c r="G5810" s="4" t="s">
        <v>336</v>
      </c>
      <c r="H5810" s="4" t="s">
        <v>380</v>
      </c>
      <c r="I5810" s="4">
        <v>1</v>
      </c>
      <c r="J5810" s="21">
        <v>130</v>
      </c>
      <c r="K5810" s="21">
        <v>130</v>
      </c>
      <c r="L5810" s="5">
        <v>0</v>
      </c>
      <c r="M5810" s="4"/>
      <c r="N5810" s="4"/>
      <c r="O5810" s="5"/>
      <c r="P5810" s="5"/>
      <c r="Q5810" s="21">
        <v>0</v>
      </c>
      <c r="R5810" s="21">
        <v>0</v>
      </c>
      <c r="S5810" s="5">
        <f t="shared" si="363"/>
        <v>72718.942167016095</v>
      </c>
      <c r="T5810" cm="1">
        <f t="array" ref="T5810">IF(OR(B5810="MAL ALIMI", B5810="ÜRETİM GİRİŞ"), MIN(I5810, MAX(0, I5810 + SUM(SUMIFS($I$1:I5809, $C$1:C5809, C5810, $B$1:B5809, {"MAL ALIMI","ÜRETİM GİRİŞ"})) - VLOOKUP(C5810, 'STOK RAPORU'!$C$2:$I$1000, 4, 0))), 0)</f>
        <v>0</v>
      </c>
      <c r="U5810" s="22">
        <f t="shared" si="360"/>
        <v>0</v>
      </c>
      <c r="V5810">
        <f t="shared" si="361"/>
        <v>0</v>
      </c>
      <c r="W5810" s="22">
        <f t="shared" si="362"/>
        <v>0</v>
      </c>
    </row>
    <row r="5811" spans="1:23" hidden="1" x14ac:dyDescent="0.25">
      <c r="A5811" s="3">
        <v>46107</v>
      </c>
      <c r="B5811" s="4" t="s">
        <v>334</v>
      </c>
      <c r="C5811" s="4" t="s">
        <v>835</v>
      </c>
      <c r="D5811" s="4"/>
      <c r="E5811" s="4" t="s">
        <v>921</v>
      </c>
      <c r="F5811" s="46" t="s">
        <v>2790</v>
      </c>
      <c r="G5811" s="4" t="s">
        <v>336</v>
      </c>
      <c r="H5811" s="4" t="s">
        <v>380</v>
      </c>
      <c r="I5811" s="4">
        <v>1</v>
      </c>
      <c r="J5811" s="21">
        <v>130</v>
      </c>
      <c r="K5811" s="21">
        <v>130</v>
      </c>
      <c r="L5811" s="5">
        <v>0</v>
      </c>
      <c r="M5811" s="4"/>
      <c r="N5811" s="4"/>
      <c r="O5811" s="5"/>
      <c r="P5811" s="5"/>
      <c r="Q5811" s="21">
        <v>0</v>
      </c>
      <c r="R5811" s="21">
        <v>0</v>
      </c>
      <c r="S5811" s="5">
        <f t="shared" si="363"/>
        <v>72718.942167016095</v>
      </c>
      <c r="T5811" cm="1">
        <f t="array" ref="T5811">IF(OR(B5811="MAL ALIMI", B5811="ÜRETİM GİRİŞ"), MIN(I5811, MAX(0, I5811 + SUM(SUMIFS($I$1:I5810, $C$1:C5810, C5811, $B$1:B5810, {"MAL ALIMI","ÜRETİM GİRİŞ"})) - VLOOKUP(C5811, 'STOK RAPORU'!$C$2:$I$1000, 4, 0))), 0)</f>
        <v>0</v>
      </c>
      <c r="U5811" s="22">
        <f t="shared" ref="U5811:U5873" si="364">T5811*J5811</f>
        <v>0</v>
      </c>
      <c r="V5811">
        <f t="shared" ref="V5811:V5873" si="365">IF(OR(B5811="MAL ALIMI", B5811="ÜRETİM GİRİŞ"), I5811 * J5811, 0)</f>
        <v>0</v>
      </c>
      <c r="W5811" s="22">
        <f t="shared" ref="W5811:W5873" si="366">V5811-U5811</f>
        <v>0</v>
      </c>
    </row>
    <row r="5812" spans="1:23" hidden="1" x14ac:dyDescent="0.25">
      <c r="A5812" s="3">
        <v>46107</v>
      </c>
      <c r="B5812" s="4" t="s">
        <v>334</v>
      </c>
      <c r="C5812" s="4" t="s">
        <v>219</v>
      </c>
      <c r="D5812" s="4"/>
      <c r="E5812" s="4"/>
      <c r="F5812" s="46" t="s">
        <v>2791</v>
      </c>
      <c r="G5812" s="4" t="s">
        <v>336</v>
      </c>
      <c r="H5812" s="4" t="s">
        <v>289</v>
      </c>
      <c r="I5812" s="4">
        <v>0.05</v>
      </c>
      <c r="J5812" s="21">
        <v>2000</v>
      </c>
      <c r="K5812" s="21">
        <v>0</v>
      </c>
      <c r="L5812" s="5">
        <v>0</v>
      </c>
      <c r="M5812" s="4"/>
      <c r="N5812" s="4"/>
      <c r="O5812" s="5"/>
      <c r="P5812" s="5"/>
      <c r="Q5812" s="21">
        <v>100</v>
      </c>
      <c r="R5812" s="21">
        <v>0</v>
      </c>
      <c r="S5812" s="5">
        <f t="shared" si="363"/>
        <v>72818.942167016095</v>
      </c>
      <c r="T5812" cm="1">
        <f t="array" ref="T5812">IF(OR(B5812="MAL ALIMI", B5812="ÜRETİM GİRİŞ"), MIN(I5812, MAX(0, I5812 + SUM(SUMIFS($I$1:I5811, $C$1:C5811, C5812, $B$1:B5811, {"MAL ALIMI","ÜRETİM GİRİŞ"})) - VLOOKUP(C5812, 'STOK RAPORU'!$C$2:$I$1000, 4, 0))), 0)</f>
        <v>0</v>
      </c>
      <c r="U5812" s="22">
        <f t="shared" si="364"/>
        <v>0</v>
      </c>
      <c r="V5812">
        <f t="shared" si="365"/>
        <v>0</v>
      </c>
      <c r="W5812" s="22">
        <f t="shared" si="366"/>
        <v>0</v>
      </c>
    </row>
    <row r="5813" spans="1:23" hidden="1" x14ac:dyDescent="0.25">
      <c r="A5813" s="3">
        <v>46107</v>
      </c>
      <c r="B5813" s="4" t="s">
        <v>334</v>
      </c>
      <c r="C5813" s="4" t="s">
        <v>60</v>
      </c>
      <c r="D5813" s="4"/>
      <c r="E5813" s="4" t="s">
        <v>921</v>
      </c>
      <c r="F5813" s="46" t="s">
        <v>2791</v>
      </c>
      <c r="G5813" s="4" t="s">
        <v>336</v>
      </c>
      <c r="H5813" s="4" t="s">
        <v>380</v>
      </c>
      <c r="I5813" s="4">
        <v>0.05</v>
      </c>
      <c r="J5813" s="21">
        <v>1200</v>
      </c>
      <c r="K5813" s="21">
        <v>60</v>
      </c>
      <c r="L5813" s="5">
        <v>0</v>
      </c>
      <c r="M5813" s="4"/>
      <c r="N5813" s="4"/>
      <c r="O5813" s="5"/>
      <c r="P5813" s="5"/>
      <c r="Q5813" s="21">
        <v>0</v>
      </c>
      <c r="R5813" s="21">
        <v>0</v>
      </c>
      <c r="S5813" s="5">
        <f t="shared" si="363"/>
        <v>72818.942167016095</v>
      </c>
      <c r="T5813" cm="1">
        <f t="array" ref="T5813">IF(OR(B5813="MAL ALIMI", B5813="ÜRETİM GİRİŞ"), MIN(I5813, MAX(0, I5813 + SUM(SUMIFS($I$1:I5812, $C$1:C5812, C5813, $B$1:B5812, {"MAL ALIMI","ÜRETİM GİRİŞ"})) - VLOOKUP(C5813, 'STOK RAPORU'!$C$2:$I$1000, 4, 0))), 0)</f>
        <v>0</v>
      </c>
      <c r="U5813" s="22">
        <f t="shared" si="364"/>
        <v>0</v>
      </c>
      <c r="V5813">
        <f t="shared" si="365"/>
        <v>0</v>
      </c>
      <c r="W5813" s="22">
        <f t="shared" si="366"/>
        <v>0</v>
      </c>
    </row>
    <row r="5814" spans="1:23" hidden="1" x14ac:dyDescent="0.25">
      <c r="A5814" s="3">
        <v>46107</v>
      </c>
      <c r="B5814" s="4" t="s">
        <v>334</v>
      </c>
      <c r="C5814" s="4" t="s">
        <v>2606</v>
      </c>
      <c r="D5814" s="4"/>
      <c r="E5814" s="4" t="s">
        <v>921</v>
      </c>
      <c r="F5814" s="46" t="s">
        <v>2791</v>
      </c>
      <c r="G5814" s="4" t="s">
        <v>336</v>
      </c>
      <c r="H5814" s="4" t="s">
        <v>380</v>
      </c>
      <c r="I5814" s="4">
        <v>0.2</v>
      </c>
      <c r="J5814" s="21">
        <v>250</v>
      </c>
      <c r="K5814" s="21">
        <v>50</v>
      </c>
      <c r="L5814" s="5">
        <v>0</v>
      </c>
      <c r="M5814" s="4"/>
      <c r="N5814" s="4"/>
      <c r="O5814" s="5"/>
      <c r="P5814" s="5"/>
      <c r="Q5814" s="21">
        <v>0</v>
      </c>
      <c r="R5814" s="21">
        <v>0</v>
      </c>
      <c r="S5814" s="5">
        <f t="shared" si="363"/>
        <v>72818.942167016095</v>
      </c>
      <c r="T5814" cm="1">
        <f t="array" ref="T5814">IF(OR(B5814="MAL ALIMI", B5814="ÜRETİM GİRİŞ"), MIN(I5814, MAX(0, I5814 + SUM(SUMIFS($I$1:I5813, $C$1:C5813, C5814, $B$1:B5813, {"MAL ALIMI","ÜRETİM GİRİŞ"})) - VLOOKUP(C5814, 'STOK RAPORU'!$C$2:$I$1000, 4, 0))), 0)</f>
        <v>0</v>
      </c>
      <c r="U5814" s="22">
        <f t="shared" si="364"/>
        <v>0</v>
      </c>
      <c r="V5814">
        <f t="shared" si="365"/>
        <v>0</v>
      </c>
      <c r="W5814" s="22">
        <f t="shared" si="366"/>
        <v>0</v>
      </c>
    </row>
    <row r="5815" spans="1:23" hidden="1" x14ac:dyDescent="0.25">
      <c r="A5815" s="3">
        <v>46107</v>
      </c>
      <c r="B5815" s="4" t="s">
        <v>334</v>
      </c>
      <c r="C5815" s="4" t="s">
        <v>592</v>
      </c>
      <c r="D5815" s="4"/>
      <c r="E5815" s="4" t="s">
        <v>921</v>
      </c>
      <c r="F5815" s="46" t="s">
        <v>2791</v>
      </c>
      <c r="G5815" s="4" t="s">
        <v>336</v>
      </c>
      <c r="H5815" s="4" t="s">
        <v>380</v>
      </c>
      <c r="I5815" s="4">
        <v>2</v>
      </c>
      <c r="J5815" s="21">
        <v>35</v>
      </c>
      <c r="K5815" s="21">
        <v>70</v>
      </c>
      <c r="L5815" s="5">
        <v>0</v>
      </c>
      <c r="M5815" s="4"/>
      <c r="N5815" s="4"/>
      <c r="O5815" s="5"/>
      <c r="P5815" s="5"/>
      <c r="Q5815" s="21">
        <v>0</v>
      </c>
      <c r="R5815" s="21">
        <v>0</v>
      </c>
      <c r="S5815" s="5">
        <f t="shared" si="363"/>
        <v>72818.942167016095</v>
      </c>
      <c r="T5815" cm="1">
        <f t="array" ref="T5815">IF(OR(B5815="MAL ALIMI", B5815="ÜRETİM GİRİŞ"), MIN(I5815, MAX(0, I5815 + SUM(SUMIFS($I$1:I5814, $C$1:C5814, C5815, $B$1:B5814, {"MAL ALIMI","ÜRETİM GİRİŞ"})) - VLOOKUP(C5815, 'STOK RAPORU'!$C$2:$I$1000, 4, 0))), 0)</f>
        <v>0</v>
      </c>
      <c r="U5815" s="22">
        <f t="shared" si="364"/>
        <v>0</v>
      </c>
      <c r="V5815">
        <f t="shared" si="365"/>
        <v>0</v>
      </c>
      <c r="W5815" s="22">
        <f t="shared" si="366"/>
        <v>0</v>
      </c>
    </row>
    <row r="5816" spans="1:23" hidden="1" x14ac:dyDescent="0.25">
      <c r="A5816" s="3">
        <v>46107</v>
      </c>
      <c r="B5816" s="4" t="s">
        <v>334</v>
      </c>
      <c r="C5816" s="4" t="s">
        <v>695</v>
      </c>
      <c r="D5816" s="4"/>
      <c r="E5816" s="4" t="s">
        <v>921</v>
      </c>
      <c r="F5816" s="46" t="s">
        <v>2791</v>
      </c>
      <c r="G5816" s="4" t="s">
        <v>336</v>
      </c>
      <c r="H5816" s="4" t="s">
        <v>380</v>
      </c>
      <c r="I5816" s="4">
        <v>0.5</v>
      </c>
      <c r="J5816" s="21">
        <v>120</v>
      </c>
      <c r="K5816" s="21">
        <v>60</v>
      </c>
      <c r="L5816" s="5">
        <v>0</v>
      </c>
      <c r="M5816" s="4"/>
      <c r="N5816" s="4"/>
      <c r="O5816" s="5"/>
      <c r="P5816" s="5"/>
      <c r="Q5816" s="21">
        <v>0</v>
      </c>
      <c r="R5816" s="21">
        <v>0</v>
      </c>
      <c r="S5816" s="5">
        <f t="shared" si="363"/>
        <v>72818.942167016095</v>
      </c>
      <c r="T5816" cm="1">
        <f t="array" ref="T5816">IF(OR(B5816="MAL ALIMI", B5816="ÜRETİM GİRİŞ"), MIN(I5816, MAX(0, I5816 + SUM(SUMIFS($I$1:I5815, $C$1:C5815, C5816, $B$1:B5815, {"MAL ALIMI","ÜRETİM GİRİŞ"})) - VLOOKUP(C5816, 'STOK RAPORU'!$C$2:$I$1000, 4, 0))), 0)</f>
        <v>0</v>
      </c>
      <c r="U5816" s="22">
        <f t="shared" si="364"/>
        <v>0</v>
      </c>
      <c r="V5816">
        <f t="shared" si="365"/>
        <v>0</v>
      </c>
      <c r="W5816" s="22">
        <f t="shared" si="366"/>
        <v>0</v>
      </c>
    </row>
    <row r="5817" spans="1:23" hidden="1" x14ac:dyDescent="0.25">
      <c r="A5817" s="3">
        <v>46107</v>
      </c>
      <c r="B5817" s="4" t="s">
        <v>334</v>
      </c>
      <c r="C5817" s="4" t="s">
        <v>751</v>
      </c>
      <c r="D5817" s="4"/>
      <c r="E5817" s="4" t="s">
        <v>921</v>
      </c>
      <c r="F5817" s="46" t="s">
        <v>2791</v>
      </c>
      <c r="G5817" s="4" t="s">
        <v>336</v>
      </c>
      <c r="H5817" s="4" t="s">
        <v>380</v>
      </c>
      <c r="I5817" s="4">
        <v>1</v>
      </c>
      <c r="J5817" s="21">
        <v>250</v>
      </c>
      <c r="K5817" s="21">
        <v>250</v>
      </c>
      <c r="L5817" s="5">
        <v>0</v>
      </c>
      <c r="M5817" s="4"/>
      <c r="N5817" s="4"/>
      <c r="O5817" s="5"/>
      <c r="P5817" s="5"/>
      <c r="Q5817" s="21">
        <v>0</v>
      </c>
      <c r="R5817" s="21">
        <v>0</v>
      </c>
      <c r="S5817" s="5">
        <f t="shared" si="363"/>
        <v>72818.942167016095</v>
      </c>
      <c r="T5817" cm="1">
        <f t="array" ref="T5817">IF(OR(B5817="MAL ALIMI", B5817="ÜRETİM GİRİŞ"), MIN(I5817, MAX(0, I5817 + SUM(SUMIFS($I$1:I5816, $C$1:C5816, C5817, $B$1:B5816, {"MAL ALIMI","ÜRETİM GİRİŞ"})) - VLOOKUP(C5817, 'STOK RAPORU'!$C$2:$I$1000, 4, 0))), 0)</f>
        <v>0</v>
      </c>
      <c r="U5817" s="22">
        <f t="shared" si="364"/>
        <v>0</v>
      </c>
      <c r="V5817">
        <f t="shared" si="365"/>
        <v>0</v>
      </c>
      <c r="W5817" s="22">
        <f t="shared" si="366"/>
        <v>0</v>
      </c>
    </row>
    <row r="5818" spans="1:23" hidden="1" x14ac:dyDescent="0.25">
      <c r="A5818" s="3">
        <v>46107</v>
      </c>
      <c r="B5818" s="4" t="s">
        <v>334</v>
      </c>
      <c r="C5818" s="4" t="s">
        <v>226</v>
      </c>
      <c r="D5818" s="4"/>
      <c r="E5818" s="4" t="s">
        <v>921</v>
      </c>
      <c r="F5818" s="46" t="s">
        <v>2791</v>
      </c>
      <c r="G5818" s="4" t="s">
        <v>336</v>
      </c>
      <c r="H5818" s="4" t="s">
        <v>380</v>
      </c>
      <c r="I5818" s="4">
        <v>0.22727272727272727</v>
      </c>
      <c r="J5818" s="21">
        <v>220</v>
      </c>
      <c r="K5818" s="21">
        <v>50</v>
      </c>
      <c r="L5818" s="5">
        <v>0</v>
      </c>
      <c r="M5818" s="4"/>
      <c r="N5818" s="4"/>
      <c r="O5818" s="5"/>
      <c r="P5818" s="5"/>
      <c r="Q5818" s="21">
        <v>0</v>
      </c>
      <c r="R5818" s="21">
        <v>0</v>
      </c>
      <c r="S5818" s="5">
        <f t="shared" si="363"/>
        <v>72818.942167016095</v>
      </c>
      <c r="T5818" cm="1">
        <f t="array" ref="T5818">IF(OR(B5818="MAL ALIMI", B5818="ÜRETİM GİRİŞ"), MIN(I5818, MAX(0, I5818 + SUM(SUMIFS($I$1:I5817, $C$1:C5817, C5818, $B$1:B5817, {"MAL ALIMI","ÜRETİM GİRİŞ"})) - VLOOKUP(C5818, 'STOK RAPORU'!$C$2:$I$1000, 4, 0))), 0)</f>
        <v>0</v>
      </c>
      <c r="U5818" s="22">
        <f t="shared" si="364"/>
        <v>0</v>
      </c>
      <c r="V5818">
        <f t="shared" si="365"/>
        <v>0</v>
      </c>
      <c r="W5818" s="22">
        <f t="shared" si="366"/>
        <v>0</v>
      </c>
    </row>
    <row r="5819" spans="1:23" hidden="1" x14ac:dyDescent="0.25">
      <c r="A5819" s="3">
        <v>46107</v>
      </c>
      <c r="B5819" s="4" t="s">
        <v>334</v>
      </c>
      <c r="C5819" s="4" t="s">
        <v>1443</v>
      </c>
      <c r="D5819" s="4"/>
      <c r="E5819" s="4" t="s">
        <v>921</v>
      </c>
      <c r="F5819" s="46" t="s">
        <v>2791</v>
      </c>
      <c r="G5819" s="4" t="s">
        <v>336</v>
      </c>
      <c r="H5819" s="4" t="s">
        <v>380</v>
      </c>
      <c r="I5819" s="4">
        <v>1</v>
      </c>
      <c r="J5819" s="21">
        <v>20</v>
      </c>
      <c r="K5819" s="21">
        <v>20</v>
      </c>
      <c r="L5819" s="5">
        <v>0</v>
      </c>
      <c r="M5819" s="4"/>
      <c r="N5819" s="4"/>
      <c r="O5819" s="5"/>
      <c r="P5819" s="5"/>
      <c r="Q5819" s="21">
        <v>0</v>
      </c>
      <c r="R5819" s="21">
        <v>0</v>
      </c>
      <c r="S5819" s="5">
        <f t="shared" si="363"/>
        <v>72818.942167016095</v>
      </c>
      <c r="T5819" cm="1">
        <f t="array" ref="T5819">IF(OR(B5819="MAL ALIMI", B5819="ÜRETİM GİRİŞ"), MIN(I5819, MAX(0, I5819 + SUM(SUMIFS($I$1:I5818, $C$1:C5818, C5819, $B$1:B5818, {"MAL ALIMI","ÜRETİM GİRİŞ"})) - VLOOKUP(C5819, 'STOK RAPORU'!$C$2:$I$1000, 4, 0))), 0)</f>
        <v>0</v>
      </c>
      <c r="U5819" s="22">
        <f t="shared" si="364"/>
        <v>0</v>
      </c>
      <c r="V5819">
        <f t="shared" si="365"/>
        <v>0</v>
      </c>
      <c r="W5819" s="22">
        <f t="shared" si="366"/>
        <v>0</v>
      </c>
    </row>
    <row r="5820" spans="1:23" hidden="1" x14ac:dyDescent="0.25">
      <c r="A5820" s="3">
        <v>46107</v>
      </c>
      <c r="B5820" s="4" t="s">
        <v>334</v>
      </c>
      <c r="C5820" s="4" t="s">
        <v>2601</v>
      </c>
      <c r="D5820" s="4"/>
      <c r="E5820" s="4" t="s">
        <v>921</v>
      </c>
      <c r="F5820" s="46" t="s">
        <v>2791</v>
      </c>
      <c r="G5820" s="4" t="s">
        <v>336</v>
      </c>
      <c r="H5820" s="4" t="s">
        <v>380</v>
      </c>
      <c r="I5820" s="4">
        <v>0.05</v>
      </c>
      <c r="J5820" s="21">
        <v>500</v>
      </c>
      <c r="K5820" s="21">
        <v>25</v>
      </c>
      <c r="L5820" s="5">
        <v>0</v>
      </c>
      <c r="M5820" s="4"/>
      <c r="N5820" s="4"/>
      <c r="O5820" s="5"/>
      <c r="P5820" s="5"/>
      <c r="Q5820" s="21">
        <v>0</v>
      </c>
      <c r="R5820" s="21">
        <v>0</v>
      </c>
      <c r="S5820" s="5">
        <f t="shared" si="363"/>
        <v>72818.942167016095</v>
      </c>
      <c r="T5820" cm="1">
        <f t="array" ref="T5820">IF(OR(B5820="MAL ALIMI", B5820="ÜRETİM GİRİŞ"), MIN(I5820, MAX(0, I5820 + SUM(SUMIFS($I$1:I5819, $C$1:C5819, C5820, $B$1:B5819, {"MAL ALIMI","ÜRETİM GİRİŞ"})) - VLOOKUP(C5820, 'STOK RAPORU'!$C$2:$I$1000, 4, 0))), 0)</f>
        <v>0</v>
      </c>
      <c r="U5820" s="22">
        <f t="shared" si="364"/>
        <v>0</v>
      </c>
      <c r="V5820">
        <f t="shared" si="365"/>
        <v>0</v>
      </c>
      <c r="W5820" s="22">
        <f t="shared" si="366"/>
        <v>0</v>
      </c>
    </row>
    <row r="5821" spans="1:23" hidden="1" x14ac:dyDescent="0.25">
      <c r="A5821" s="3">
        <v>46107</v>
      </c>
      <c r="B5821" s="4" t="s">
        <v>334</v>
      </c>
      <c r="C5821" s="4" t="s">
        <v>221</v>
      </c>
      <c r="D5821" s="4"/>
      <c r="E5821" s="4"/>
      <c r="F5821" s="46" t="s">
        <v>2792</v>
      </c>
      <c r="G5821" s="4" t="s">
        <v>336</v>
      </c>
      <c r="H5821" s="4" t="s">
        <v>289</v>
      </c>
      <c r="I5821" s="4">
        <v>3.7692307692307692E-2</v>
      </c>
      <c r="J5821" s="21">
        <v>1300</v>
      </c>
      <c r="K5821" s="21">
        <v>0</v>
      </c>
      <c r="L5821" s="5">
        <v>0</v>
      </c>
      <c r="M5821" s="4"/>
      <c r="N5821" s="4"/>
      <c r="O5821" s="5"/>
      <c r="P5821" s="5"/>
      <c r="Q5821" s="21">
        <v>49</v>
      </c>
      <c r="R5821" s="21">
        <v>0</v>
      </c>
      <c r="S5821" s="5">
        <f t="shared" si="363"/>
        <v>72867.942167016095</v>
      </c>
      <c r="T5821" cm="1">
        <f t="array" ref="T5821">IF(OR(B5821="MAL ALIMI", B5821="ÜRETİM GİRİŞ"), MIN(I5821, MAX(0, I5821 + SUM(SUMIFS($I$1:I5820, $C$1:C5820, C5821, $B$1:B5820, {"MAL ALIMI","ÜRETİM GİRİŞ"})) - VLOOKUP(C5821, 'STOK RAPORU'!$C$2:$I$1000, 4, 0))), 0)</f>
        <v>0</v>
      </c>
      <c r="U5821" s="22">
        <f t="shared" si="364"/>
        <v>0</v>
      </c>
      <c r="V5821">
        <f t="shared" si="365"/>
        <v>0</v>
      </c>
      <c r="W5821" s="22">
        <f t="shared" si="366"/>
        <v>0</v>
      </c>
    </row>
    <row r="5822" spans="1:23" hidden="1" x14ac:dyDescent="0.25">
      <c r="A5822" s="3">
        <v>46107</v>
      </c>
      <c r="B5822" s="4" t="s">
        <v>334</v>
      </c>
      <c r="C5822" s="4" t="s">
        <v>589</v>
      </c>
      <c r="D5822" s="4"/>
      <c r="E5822" s="4"/>
      <c r="F5822" s="46" t="s">
        <v>2792</v>
      </c>
      <c r="G5822" s="4" t="s">
        <v>336</v>
      </c>
      <c r="H5822" s="4" t="s">
        <v>289</v>
      </c>
      <c r="I5822" s="4">
        <v>0.1</v>
      </c>
      <c r="J5822" s="21">
        <v>800</v>
      </c>
      <c r="K5822" s="21">
        <v>0</v>
      </c>
      <c r="L5822" s="5">
        <v>0</v>
      </c>
      <c r="M5822" s="4"/>
      <c r="N5822" s="4"/>
      <c r="O5822" s="5"/>
      <c r="P5822" s="5"/>
      <c r="Q5822" s="21">
        <v>80</v>
      </c>
      <c r="R5822" s="21">
        <v>0</v>
      </c>
      <c r="S5822" s="5">
        <f t="shared" si="363"/>
        <v>72947.942167016095</v>
      </c>
      <c r="T5822" cm="1">
        <f t="array" ref="T5822">IF(OR(B5822="MAL ALIMI", B5822="ÜRETİM GİRİŞ"), MIN(I5822, MAX(0, I5822 + SUM(SUMIFS($I$1:I5821, $C$1:C5821, C5822, $B$1:B5821, {"MAL ALIMI","ÜRETİM GİRİŞ"})) - VLOOKUP(C5822, 'STOK RAPORU'!$C$2:$I$1000, 4, 0))), 0)</f>
        <v>0</v>
      </c>
      <c r="U5822" s="22">
        <f t="shared" si="364"/>
        <v>0</v>
      </c>
      <c r="V5822">
        <f t="shared" si="365"/>
        <v>0</v>
      </c>
      <c r="W5822" s="22">
        <f t="shared" si="366"/>
        <v>0</v>
      </c>
    </row>
    <row r="5823" spans="1:23" hidden="1" x14ac:dyDescent="0.25">
      <c r="A5823" s="3">
        <v>46107</v>
      </c>
      <c r="B5823" s="4" t="s">
        <v>334</v>
      </c>
      <c r="C5823" s="4" t="s">
        <v>137</v>
      </c>
      <c r="D5823" s="4"/>
      <c r="E5823" s="4"/>
      <c r="F5823" s="46" t="s">
        <v>2792</v>
      </c>
      <c r="G5823" s="4" t="s">
        <v>336</v>
      </c>
      <c r="H5823" s="4" t="s">
        <v>289</v>
      </c>
      <c r="I5823" s="4">
        <v>0.27777777777777779</v>
      </c>
      <c r="J5823" s="21">
        <v>180</v>
      </c>
      <c r="K5823" s="21">
        <v>0</v>
      </c>
      <c r="L5823" s="5">
        <v>0</v>
      </c>
      <c r="M5823" s="4"/>
      <c r="N5823" s="4"/>
      <c r="O5823" s="5"/>
      <c r="P5823" s="5"/>
      <c r="Q5823" s="21">
        <v>50</v>
      </c>
      <c r="R5823" s="21">
        <v>0</v>
      </c>
      <c r="S5823" s="5">
        <f t="shared" si="363"/>
        <v>72997.942167016095</v>
      </c>
      <c r="T5823" cm="1">
        <f t="array" ref="T5823">IF(OR(B5823="MAL ALIMI", B5823="ÜRETİM GİRİŞ"), MIN(I5823, MAX(0, I5823 + SUM(SUMIFS($I$1:I5822, $C$1:C5822, C5823, $B$1:B5822, {"MAL ALIMI","ÜRETİM GİRİŞ"})) - VLOOKUP(C5823, 'STOK RAPORU'!$C$2:$I$1000, 4, 0))), 0)</f>
        <v>0</v>
      </c>
      <c r="U5823" s="22">
        <f t="shared" si="364"/>
        <v>0</v>
      </c>
      <c r="V5823">
        <f t="shared" si="365"/>
        <v>0</v>
      </c>
      <c r="W5823" s="22">
        <f t="shared" si="366"/>
        <v>0</v>
      </c>
    </row>
    <row r="5824" spans="1:23" hidden="1" x14ac:dyDescent="0.25">
      <c r="A5824" s="3">
        <v>46107</v>
      </c>
      <c r="B5824" s="4" t="s">
        <v>334</v>
      </c>
      <c r="C5824" s="4" t="s">
        <v>1203</v>
      </c>
      <c r="D5824" s="4"/>
      <c r="E5824" s="4"/>
      <c r="F5824" s="46" t="s">
        <v>2792</v>
      </c>
      <c r="G5824" s="4" t="s">
        <v>336</v>
      </c>
      <c r="H5824" s="4" t="s">
        <v>289</v>
      </c>
      <c r="I5824" s="4">
        <v>1</v>
      </c>
      <c r="J5824" s="21">
        <v>140</v>
      </c>
      <c r="K5824" s="21">
        <v>0</v>
      </c>
      <c r="L5824" s="5">
        <v>0</v>
      </c>
      <c r="M5824" s="4"/>
      <c r="N5824" s="4"/>
      <c r="O5824" s="5"/>
      <c r="P5824" s="5"/>
      <c r="Q5824" s="21">
        <v>140</v>
      </c>
      <c r="R5824" s="21">
        <v>0</v>
      </c>
      <c r="S5824" s="5">
        <f t="shared" si="363"/>
        <v>73137.942167016095</v>
      </c>
      <c r="T5824" cm="1">
        <f t="array" ref="T5824">IF(OR(B5824="MAL ALIMI", B5824="ÜRETİM GİRİŞ"), MIN(I5824, MAX(0, I5824 + SUM(SUMIFS($I$1:I5823, $C$1:C5823, C5824, $B$1:B5823, {"MAL ALIMI","ÜRETİM GİRİŞ"})) - VLOOKUP(C5824, 'STOK RAPORU'!$C$2:$I$1000, 4, 0))), 0)</f>
        <v>0</v>
      </c>
      <c r="U5824" s="22">
        <f t="shared" si="364"/>
        <v>0</v>
      </c>
      <c r="V5824">
        <f t="shared" si="365"/>
        <v>0</v>
      </c>
      <c r="W5824" s="22">
        <f t="shared" si="366"/>
        <v>0</v>
      </c>
    </row>
    <row r="5825" spans="1:23" hidden="1" x14ac:dyDescent="0.25">
      <c r="A5825" s="3">
        <v>46107</v>
      </c>
      <c r="B5825" s="4" t="s">
        <v>334</v>
      </c>
      <c r="C5825" s="4" t="s">
        <v>158</v>
      </c>
      <c r="D5825" s="4"/>
      <c r="E5825" s="4"/>
      <c r="F5825" s="46" t="s">
        <v>2793</v>
      </c>
      <c r="G5825" s="4" t="s">
        <v>336</v>
      </c>
      <c r="H5825" s="4" t="s">
        <v>289</v>
      </c>
      <c r="I5825" s="4">
        <v>0.5</v>
      </c>
      <c r="J5825" s="21">
        <v>150</v>
      </c>
      <c r="K5825" s="21">
        <v>0</v>
      </c>
      <c r="L5825" s="5">
        <v>0</v>
      </c>
      <c r="M5825" s="4"/>
      <c r="N5825" s="4"/>
      <c r="O5825" s="5"/>
      <c r="P5825" s="5"/>
      <c r="Q5825" s="21">
        <v>75</v>
      </c>
      <c r="R5825" s="21">
        <v>0</v>
      </c>
      <c r="S5825" s="5">
        <f t="shared" si="363"/>
        <v>73212.942167016095</v>
      </c>
      <c r="T5825" cm="1">
        <f t="array" ref="T5825">IF(OR(B5825="MAL ALIMI", B5825="ÜRETİM GİRİŞ"), MIN(I5825, MAX(0, I5825 + SUM(SUMIFS($I$1:I5824, $C$1:C5824, C5825, $B$1:B5824, {"MAL ALIMI","ÜRETİM GİRİŞ"})) - VLOOKUP(C5825, 'STOK RAPORU'!$C$2:$I$1000, 4, 0))), 0)</f>
        <v>0</v>
      </c>
      <c r="U5825" s="22">
        <f t="shared" si="364"/>
        <v>0</v>
      </c>
      <c r="V5825">
        <f t="shared" si="365"/>
        <v>0</v>
      </c>
      <c r="W5825" s="22">
        <f t="shared" si="366"/>
        <v>0</v>
      </c>
    </row>
    <row r="5826" spans="1:23" hidden="1" x14ac:dyDescent="0.25">
      <c r="A5826" s="3">
        <v>46107</v>
      </c>
      <c r="B5826" s="4" t="s">
        <v>334</v>
      </c>
      <c r="C5826" s="4" t="s">
        <v>157</v>
      </c>
      <c r="D5826" s="4"/>
      <c r="E5826" s="4"/>
      <c r="F5826" s="46" t="s">
        <v>2793</v>
      </c>
      <c r="G5826" s="4" t="s">
        <v>336</v>
      </c>
      <c r="H5826" s="4" t="s">
        <v>289</v>
      </c>
      <c r="I5826" s="4">
        <v>0.52</v>
      </c>
      <c r="J5826" s="21">
        <v>200</v>
      </c>
      <c r="K5826" s="21">
        <v>0</v>
      </c>
      <c r="L5826" s="5">
        <v>0</v>
      </c>
      <c r="M5826" s="4"/>
      <c r="N5826" s="4"/>
      <c r="O5826" s="5"/>
      <c r="P5826" s="5"/>
      <c r="Q5826" s="21">
        <v>104</v>
      </c>
      <c r="R5826" s="21">
        <v>0</v>
      </c>
      <c r="S5826" s="5">
        <f t="shared" si="363"/>
        <v>73316.942167016095</v>
      </c>
      <c r="T5826" cm="1">
        <f t="array" ref="T5826">IF(OR(B5826="MAL ALIMI", B5826="ÜRETİM GİRİŞ"), MIN(I5826, MAX(0, I5826 + SUM(SUMIFS($I$1:I5825, $C$1:C5825, C5826, $B$1:B5825, {"MAL ALIMI","ÜRETİM GİRİŞ"})) - VLOOKUP(C5826, 'STOK RAPORU'!$C$2:$I$1000, 4, 0))), 0)</f>
        <v>0</v>
      </c>
      <c r="U5826" s="22">
        <f t="shared" si="364"/>
        <v>0</v>
      </c>
      <c r="V5826">
        <f t="shared" si="365"/>
        <v>0</v>
      </c>
      <c r="W5826" s="22">
        <f t="shared" si="366"/>
        <v>0</v>
      </c>
    </row>
    <row r="5827" spans="1:23" hidden="1" x14ac:dyDescent="0.25">
      <c r="A5827" s="3">
        <v>46107</v>
      </c>
      <c r="B5827" s="4" t="s">
        <v>334</v>
      </c>
      <c r="C5827" s="4" t="s">
        <v>189</v>
      </c>
      <c r="D5827" s="4"/>
      <c r="E5827" s="4"/>
      <c r="F5827" s="46" t="s">
        <v>2794</v>
      </c>
      <c r="G5827" s="4" t="s">
        <v>336</v>
      </c>
      <c r="H5827" s="4" t="s">
        <v>289</v>
      </c>
      <c r="I5827" s="4">
        <v>5.8108108108108111E-2</v>
      </c>
      <c r="J5827" s="21">
        <v>740</v>
      </c>
      <c r="K5827" s="21">
        <v>0</v>
      </c>
      <c r="L5827" s="5">
        <v>0</v>
      </c>
      <c r="M5827" s="4"/>
      <c r="N5827" s="4"/>
      <c r="O5827" s="5"/>
      <c r="P5827" s="5"/>
      <c r="Q5827" s="21">
        <v>43</v>
      </c>
      <c r="R5827" s="21">
        <v>0</v>
      </c>
      <c r="S5827" s="5">
        <f t="shared" si="363"/>
        <v>73359.942167016095</v>
      </c>
      <c r="T5827" cm="1">
        <f t="array" ref="T5827">IF(OR(B5827="MAL ALIMI", B5827="ÜRETİM GİRİŞ"), MIN(I5827, MAX(0, I5827 + SUM(SUMIFS($I$1:I5826, $C$1:C5826, C5827, $B$1:B5826, {"MAL ALIMI","ÜRETİM GİRİŞ"})) - VLOOKUP(C5827, 'STOK RAPORU'!$C$2:$I$1000, 4, 0))), 0)</f>
        <v>0</v>
      </c>
      <c r="U5827" s="22">
        <f t="shared" si="364"/>
        <v>0</v>
      </c>
      <c r="V5827">
        <f t="shared" si="365"/>
        <v>0</v>
      </c>
      <c r="W5827" s="22">
        <f t="shared" si="366"/>
        <v>0</v>
      </c>
    </row>
    <row r="5828" spans="1:23" hidden="1" x14ac:dyDescent="0.25">
      <c r="A5828" s="3">
        <v>46107</v>
      </c>
      <c r="B5828" s="4" t="s">
        <v>334</v>
      </c>
      <c r="C5828" s="4" t="s">
        <v>219</v>
      </c>
      <c r="D5828" s="4"/>
      <c r="E5828" s="4"/>
      <c r="F5828" s="46" t="s">
        <v>2794</v>
      </c>
      <c r="G5828" s="4" t="s">
        <v>336</v>
      </c>
      <c r="H5828" s="4" t="s">
        <v>289</v>
      </c>
      <c r="I5828" s="4">
        <v>2.5999999999999999E-2</v>
      </c>
      <c r="J5828" s="21">
        <v>2000</v>
      </c>
      <c r="K5828" s="21">
        <v>0</v>
      </c>
      <c r="L5828" s="5">
        <v>0</v>
      </c>
      <c r="M5828" s="4"/>
      <c r="N5828" s="4"/>
      <c r="O5828" s="5"/>
      <c r="P5828" s="5"/>
      <c r="Q5828" s="21">
        <v>52</v>
      </c>
      <c r="R5828" s="21">
        <v>0</v>
      </c>
      <c r="S5828" s="5">
        <f t="shared" ref="S5828:S5891" si="367">S5827+Q5828-R5828</f>
        <v>73411.942167016095</v>
      </c>
      <c r="T5828" cm="1">
        <f t="array" ref="T5828">IF(OR(B5828="MAL ALIMI", B5828="ÜRETİM GİRİŞ"), MIN(I5828, MAX(0, I5828 + SUM(SUMIFS($I$1:I5827, $C$1:C5827, C5828, $B$1:B5827, {"MAL ALIMI","ÜRETİM GİRİŞ"})) - VLOOKUP(C5828, 'STOK RAPORU'!$C$2:$I$1000, 4, 0))), 0)</f>
        <v>0</v>
      </c>
      <c r="U5828" s="22">
        <f t="shared" si="364"/>
        <v>0</v>
      </c>
      <c r="V5828">
        <f t="shared" si="365"/>
        <v>0</v>
      </c>
      <c r="W5828" s="22">
        <f t="shared" si="366"/>
        <v>0</v>
      </c>
    </row>
    <row r="5829" spans="1:23" hidden="1" x14ac:dyDescent="0.25">
      <c r="A5829" s="3">
        <v>46107</v>
      </c>
      <c r="B5829" s="4" t="s">
        <v>334</v>
      </c>
      <c r="C5829" s="4" t="s">
        <v>1359</v>
      </c>
      <c r="D5829" s="4"/>
      <c r="E5829" s="4"/>
      <c r="F5829" s="46" t="s">
        <v>2794</v>
      </c>
      <c r="G5829" s="4" t="s">
        <v>336</v>
      </c>
      <c r="H5829" s="4" t="s">
        <v>289</v>
      </c>
      <c r="I5829" s="4">
        <v>7.7777777777777779E-2</v>
      </c>
      <c r="J5829" s="21">
        <v>450</v>
      </c>
      <c r="K5829" s="21">
        <v>0</v>
      </c>
      <c r="L5829" s="5">
        <v>0</v>
      </c>
      <c r="M5829" s="4"/>
      <c r="N5829" s="4"/>
      <c r="O5829" s="5"/>
      <c r="P5829" s="5"/>
      <c r="Q5829" s="21">
        <v>35</v>
      </c>
      <c r="R5829" s="21">
        <v>0</v>
      </c>
      <c r="S5829" s="5">
        <f t="shared" si="367"/>
        <v>73446.942167016095</v>
      </c>
      <c r="T5829" cm="1">
        <f t="array" ref="T5829">IF(OR(B5829="MAL ALIMI", B5829="ÜRETİM GİRİŞ"), MIN(I5829, MAX(0, I5829 + SUM(SUMIFS($I$1:I5828, $C$1:C5828, C5829, $B$1:B5828, {"MAL ALIMI","ÜRETİM GİRİŞ"})) - VLOOKUP(C5829, 'STOK RAPORU'!$C$2:$I$1000, 4, 0))), 0)</f>
        <v>0</v>
      </c>
      <c r="U5829" s="22">
        <f t="shared" si="364"/>
        <v>0</v>
      </c>
      <c r="V5829">
        <f t="shared" si="365"/>
        <v>0</v>
      </c>
      <c r="W5829" s="22">
        <f t="shared" si="366"/>
        <v>0</v>
      </c>
    </row>
    <row r="5830" spans="1:23" hidden="1" x14ac:dyDescent="0.25">
      <c r="A5830" s="3">
        <v>46107</v>
      </c>
      <c r="B5830" s="4" t="s">
        <v>285</v>
      </c>
      <c r="C5830" s="4"/>
      <c r="D5830" s="4" t="s">
        <v>1815</v>
      </c>
      <c r="E5830" s="4"/>
      <c r="F5830" s="4"/>
      <c r="G5830" s="4" t="s">
        <v>1986</v>
      </c>
      <c r="H5830" s="4" t="s">
        <v>289</v>
      </c>
      <c r="I5830" s="4">
        <v>1</v>
      </c>
      <c r="J5830" s="21">
        <v>441</v>
      </c>
      <c r="K5830" s="21">
        <v>0</v>
      </c>
      <c r="L5830" s="5">
        <v>0</v>
      </c>
      <c r="M5830" s="4"/>
      <c r="N5830" s="4"/>
      <c r="O5830" s="5"/>
      <c r="P5830" s="5"/>
      <c r="Q5830" s="21">
        <v>0</v>
      </c>
      <c r="R5830" s="21">
        <v>441</v>
      </c>
      <c r="S5830" s="5">
        <f t="shared" si="367"/>
        <v>73005.942167016095</v>
      </c>
      <c r="T5830" cm="1">
        <f t="array" ref="T5830">IF(OR(B5830="MAL ALIMI", B5830="ÜRETİM GİRİŞ"), MIN(I5830, MAX(0, I5830 + SUM(SUMIFS($I$1:I5829, $C$1:C5829, C5830, $B$1:B5829, {"MAL ALIMI","ÜRETİM GİRİŞ"})) - VLOOKUP(C5830, 'STOK RAPORU'!$C$2:$I$1000, 4, 0))), 0)</f>
        <v>0</v>
      </c>
      <c r="U5830" s="22">
        <f t="shared" si="364"/>
        <v>0</v>
      </c>
      <c r="V5830">
        <f t="shared" si="365"/>
        <v>0</v>
      </c>
      <c r="W5830" s="22">
        <f t="shared" si="366"/>
        <v>0</v>
      </c>
    </row>
    <row r="5831" spans="1:23" hidden="1" x14ac:dyDescent="0.25">
      <c r="A5831" s="3">
        <v>46108</v>
      </c>
      <c r="B5831" s="4" t="s">
        <v>334</v>
      </c>
      <c r="C5831" s="4" t="s">
        <v>1391</v>
      </c>
      <c r="D5831" s="4"/>
      <c r="E5831" s="4" t="s">
        <v>921</v>
      </c>
      <c r="F5831" s="46" t="s">
        <v>2795</v>
      </c>
      <c r="G5831" s="4" t="s">
        <v>336</v>
      </c>
      <c r="H5831" s="4" t="s">
        <v>380</v>
      </c>
      <c r="I5831" s="4">
        <v>1</v>
      </c>
      <c r="J5831" s="21">
        <v>190</v>
      </c>
      <c r="K5831" s="21">
        <v>190</v>
      </c>
      <c r="L5831" s="5">
        <v>0</v>
      </c>
      <c r="M5831" s="4"/>
      <c r="N5831" s="4"/>
      <c r="O5831" s="5"/>
      <c r="P5831" s="5"/>
      <c r="Q5831" s="21">
        <v>0</v>
      </c>
      <c r="R5831" s="21">
        <v>0</v>
      </c>
      <c r="S5831" s="5">
        <f t="shared" si="367"/>
        <v>73005.942167016095</v>
      </c>
      <c r="T5831" cm="1">
        <f t="array" ref="T5831">IF(OR(B5831="MAL ALIMI", B5831="ÜRETİM GİRİŞ"), MIN(I5831, MAX(0, I5831 + SUM(SUMIFS($I$1:I5830, $C$1:C5830, C5831, $B$1:B5830, {"MAL ALIMI","ÜRETİM GİRİŞ"})) - VLOOKUP(C5831, 'STOK RAPORU'!$C$2:$I$1000, 4, 0))), 0)</f>
        <v>0</v>
      </c>
      <c r="U5831" s="22">
        <f t="shared" si="364"/>
        <v>0</v>
      </c>
      <c r="V5831">
        <f t="shared" si="365"/>
        <v>0</v>
      </c>
      <c r="W5831" s="22">
        <f t="shared" si="366"/>
        <v>0</v>
      </c>
    </row>
    <row r="5832" spans="1:23" hidden="1" x14ac:dyDescent="0.25">
      <c r="A5832" s="3">
        <v>46108</v>
      </c>
      <c r="B5832" s="4" t="s">
        <v>334</v>
      </c>
      <c r="C5832" s="4" t="s">
        <v>529</v>
      </c>
      <c r="D5832" s="4"/>
      <c r="E5832" s="4" t="s">
        <v>921</v>
      </c>
      <c r="F5832" s="46" t="s">
        <v>2796</v>
      </c>
      <c r="G5832" s="4" t="s">
        <v>336</v>
      </c>
      <c r="H5832" s="4" t="s">
        <v>380</v>
      </c>
      <c r="I5832" s="4">
        <v>0.1</v>
      </c>
      <c r="J5832" s="21">
        <v>600</v>
      </c>
      <c r="K5832" s="21">
        <v>60</v>
      </c>
      <c r="L5832" s="5">
        <v>0</v>
      </c>
      <c r="M5832" s="4"/>
      <c r="N5832" s="4"/>
      <c r="O5832" s="5"/>
      <c r="P5832" s="5"/>
      <c r="Q5832" s="21">
        <v>0</v>
      </c>
      <c r="R5832" s="21">
        <v>0</v>
      </c>
      <c r="S5832" s="5">
        <f t="shared" si="367"/>
        <v>73005.942167016095</v>
      </c>
      <c r="T5832" cm="1">
        <f t="array" ref="T5832">IF(OR(B5832="MAL ALIMI", B5832="ÜRETİM GİRİŞ"), MIN(I5832, MAX(0, I5832 + SUM(SUMIFS($I$1:I5831, $C$1:C5831, C5832, $B$1:B5831, {"MAL ALIMI","ÜRETİM GİRİŞ"})) - VLOOKUP(C5832, 'STOK RAPORU'!$C$2:$I$1000, 4, 0))), 0)</f>
        <v>0</v>
      </c>
      <c r="U5832" s="22">
        <f t="shared" si="364"/>
        <v>0</v>
      </c>
      <c r="V5832">
        <f t="shared" si="365"/>
        <v>0</v>
      </c>
      <c r="W5832" s="22">
        <f t="shared" si="366"/>
        <v>0</v>
      </c>
    </row>
    <row r="5833" spans="1:23" hidden="1" x14ac:dyDescent="0.25">
      <c r="A5833" s="3">
        <v>46108</v>
      </c>
      <c r="B5833" s="4" t="s">
        <v>334</v>
      </c>
      <c r="C5833" s="4" t="s">
        <v>486</v>
      </c>
      <c r="D5833" s="4"/>
      <c r="E5833" s="4" t="s">
        <v>921</v>
      </c>
      <c r="F5833" s="46" t="s">
        <v>2797</v>
      </c>
      <c r="G5833" s="4" t="s">
        <v>336</v>
      </c>
      <c r="H5833" s="4" t="s">
        <v>380</v>
      </c>
      <c r="I5833" s="4">
        <v>0.2</v>
      </c>
      <c r="J5833" s="21">
        <v>200</v>
      </c>
      <c r="K5833" s="21">
        <v>40</v>
      </c>
      <c r="L5833" s="5">
        <v>0</v>
      </c>
      <c r="M5833" s="4"/>
      <c r="N5833" s="4"/>
      <c r="O5833" s="5"/>
      <c r="P5833" s="5"/>
      <c r="Q5833" s="21">
        <v>0</v>
      </c>
      <c r="R5833" s="21">
        <v>0</v>
      </c>
      <c r="S5833" s="5">
        <f t="shared" si="367"/>
        <v>73005.942167016095</v>
      </c>
      <c r="T5833" cm="1">
        <f t="array" ref="T5833">IF(OR(B5833="MAL ALIMI", B5833="ÜRETİM GİRİŞ"), MIN(I5833, MAX(0, I5833 + SUM(SUMIFS($I$1:I5832, $C$1:C5832, C5833, $B$1:B5832, {"MAL ALIMI","ÜRETİM GİRİŞ"})) - VLOOKUP(C5833, 'STOK RAPORU'!$C$2:$I$1000, 4, 0))), 0)</f>
        <v>0</v>
      </c>
      <c r="U5833" s="22">
        <f t="shared" si="364"/>
        <v>0</v>
      </c>
      <c r="V5833">
        <f t="shared" si="365"/>
        <v>0</v>
      </c>
      <c r="W5833" s="22">
        <f t="shared" si="366"/>
        <v>0</v>
      </c>
    </row>
    <row r="5834" spans="1:23" hidden="1" x14ac:dyDescent="0.25">
      <c r="A5834" s="3">
        <v>46108</v>
      </c>
      <c r="B5834" s="4" t="s">
        <v>334</v>
      </c>
      <c r="C5834" s="4" t="s">
        <v>1638</v>
      </c>
      <c r="D5834" s="4"/>
      <c r="E5834" s="4" t="s">
        <v>921</v>
      </c>
      <c r="F5834" s="46" t="s">
        <v>2797</v>
      </c>
      <c r="G5834" s="4" t="s">
        <v>336</v>
      </c>
      <c r="H5834" s="4" t="s">
        <v>380</v>
      </c>
      <c r="I5834" s="4">
        <v>1</v>
      </c>
      <c r="J5834" s="21">
        <v>100</v>
      </c>
      <c r="K5834" s="21">
        <v>100</v>
      </c>
      <c r="L5834" s="5">
        <v>0</v>
      </c>
      <c r="M5834" s="4"/>
      <c r="N5834" s="4"/>
      <c r="O5834" s="5"/>
      <c r="P5834" s="5"/>
      <c r="Q5834" s="21">
        <v>0</v>
      </c>
      <c r="R5834" s="21">
        <v>0</v>
      </c>
      <c r="S5834" s="5">
        <f t="shared" si="367"/>
        <v>73005.942167016095</v>
      </c>
      <c r="T5834" cm="1">
        <f t="array" ref="T5834">IF(OR(B5834="MAL ALIMI", B5834="ÜRETİM GİRİŞ"), MIN(I5834, MAX(0, I5834 + SUM(SUMIFS($I$1:I5833, $C$1:C5833, C5834, $B$1:B5833, {"MAL ALIMI","ÜRETİM GİRİŞ"})) - VLOOKUP(C5834, 'STOK RAPORU'!$C$2:$I$1000, 4, 0))), 0)</f>
        <v>0</v>
      </c>
      <c r="U5834" s="22">
        <f t="shared" si="364"/>
        <v>0</v>
      </c>
      <c r="V5834">
        <f t="shared" si="365"/>
        <v>0</v>
      </c>
      <c r="W5834" s="22">
        <f t="shared" si="366"/>
        <v>0</v>
      </c>
    </row>
    <row r="5835" spans="1:23" hidden="1" x14ac:dyDescent="0.25">
      <c r="A5835" s="3">
        <v>46108</v>
      </c>
      <c r="B5835" s="4" t="s">
        <v>334</v>
      </c>
      <c r="C5835" s="4" t="s">
        <v>588</v>
      </c>
      <c r="D5835" s="4"/>
      <c r="E5835" s="4" t="s">
        <v>921</v>
      </c>
      <c r="F5835" s="46" t="s">
        <v>2798</v>
      </c>
      <c r="G5835" s="4" t="s">
        <v>336</v>
      </c>
      <c r="H5835" s="4" t="s">
        <v>380</v>
      </c>
      <c r="I5835" s="4">
        <v>1</v>
      </c>
      <c r="J5835" s="21">
        <v>350</v>
      </c>
      <c r="K5835" s="21">
        <v>350</v>
      </c>
      <c r="L5835" s="5">
        <v>0</v>
      </c>
      <c r="M5835" s="4"/>
      <c r="N5835" s="4"/>
      <c r="O5835" s="5"/>
      <c r="P5835" s="5"/>
      <c r="Q5835" s="21">
        <v>0</v>
      </c>
      <c r="R5835" s="21">
        <v>0</v>
      </c>
      <c r="S5835" s="5">
        <f t="shared" si="367"/>
        <v>73005.942167016095</v>
      </c>
      <c r="T5835" cm="1">
        <f t="array" ref="T5835">IF(OR(B5835="MAL ALIMI", B5835="ÜRETİM GİRİŞ"), MIN(I5835, MAX(0, I5835 + SUM(SUMIFS($I$1:I5834, $C$1:C5834, C5835, $B$1:B5834, {"MAL ALIMI","ÜRETİM GİRİŞ"})) - VLOOKUP(C5835, 'STOK RAPORU'!$C$2:$I$1000, 4, 0))), 0)</f>
        <v>0</v>
      </c>
      <c r="U5835" s="22">
        <f t="shared" si="364"/>
        <v>0</v>
      </c>
      <c r="V5835">
        <f t="shared" si="365"/>
        <v>0</v>
      </c>
      <c r="W5835" s="22">
        <f t="shared" si="366"/>
        <v>0</v>
      </c>
    </row>
    <row r="5836" spans="1:23" hidden="1" x14ac:dyDescent="0.25">
      <c r="A5836" s="3">
        <v>46108</v>
      </c>
      <c r="B5836" s="4" t="s">
        <v>334</v>
      </c>
      <c r="C5836" s="4" t="s">
        <v>468</v>
      </c>
      <c r="D5836" s="4"/>
      <c r="E5836" s="4" t="s">
        <v>921</v>
      </c>
      <c r="F5836" s="46" t="s">
        <v>2799</v>
      </c>
      <c r="G5836" s="4" t="s">
        <v>336</v>
      </c>
      <c r="H5836" s="4" t="s">
        <v>380</v>
      </c>
      <c r="I5836" s="4">
        <v>2</v>
      </c>
      <c r="J5836" s="21">
        <v>50</v>
      </c>
      <c r="K5836" s="21">
        <v>100</v>
      </c>
      <c r="L5836" s="5">
        <v>0</v>
      </c>
      <c r="M5836" s="4"/>
      <c r="N5836" s="4"/>
      <c r="O5836" s="5"/>
      <c r="P5836" s="5"/>
      <c r="Q5836" s="21">
        <v>0</v>
      </c>
      <c r="R5836" s="21">
        <v>0</v>
      </c>
      <c r="S5836" s="5">
        <f t="shared" si="367"/>
        <v>73005.942167016095</v>
      </c>
      <c r="T5836" cm="1">
        <f t="array" ref="T5836">IF(OR(B5836="MAL ALIMI", B5836="ÜRETİM GİRİŞ"), MIN(I5836, MAX(0, I5836 + SUM(SUMIFS($I$1:I5835, $C$1:C5835, C5836, $B$1:B5835, {"MAL ALIMI","ÜRETİM GİRİŞ"})) - VLOOKUP(C5836, 'STOK RAPORU'!$C$2:$I$1000, 4, 0))), 0)</f>
        <v>0</v>
      </c>
      <c r="U5836" s="22">
        <f t="shared" si="364"/>
        <v>0</v>
      </c>
      <c r="V5836">
        <f t="shared" si="365"/>
        <v>0</v>
      </c>
      <c r="W5836" s="22">
        <f t="shared" si="366"/>
        <v>0</v>
      </c>
    </row>
    <row r="5837" spans="1:23" hidden="1" x14ac:dyDescent="0.25">
      <c r="A5837" s="3">
        <v>46108</v>
      </c>
      <c r="B5837" s="4" t="s">
        <v>334</v>
      </c>
      <c r="C5837" s="4" t="s">
        <v>1392</v>
      </c>
      <c r="D5837" s="4"/>
      <c r="E5837" s="4"/>
      <c r="F5837" s="46" t="s">
        <v>2800</v>
      </c>
      <c r="G5837" s="4" t="s">
        <v>336</v>
      </c>
      <c r="H5837" s="4" t="s">
        <v>289</v>
      </c>
      <c r="I5837" s="4">
        <v>1</v>
      </c>
      <c r="J5837" s="21">
        <v>190</v>
      </c>
      <c r="K5837" s="21">
        <v>0</v>
      </c>
      <c r="L5837" s="5">
        <v>0</v>
      </c>
      <c r="M5837" s="4"/>
      <c r="N5837" s="4"/>
      <c r="O5837" s="5"/>
      <c r="P5837" s="5"/>
      <c r="Q5837" s="21">
        <v>190</v>
      </c>
      <c r="R5837" s="21">
        <v>0</v>
      </c>
      <c r="S5837" s="5">
        <f t="shared" si="367"/>
        <v>73195.942167016095</v>
      </c>
      <c r="T5837" cm="1">
        <f t="array" ref="T5837">IF(OR(B5837="MAL ALIMI", B5837="ÜRETİM GİRİŞ"), MIN(I5837, MAX(0, I5837 + SUM(SUMIFS($I$1:I5836, $C$1:C5836, C5837, $B$1:B5836, {"MAL ALIMI","ÜRETİM GİRİŞ"})) - VLOOKUP(C5837, 'STOK RAPORU'!$C$2:$I$1000, 4, 0))), 0)</f>
        <v>0</v>
      </c>
      <c r="U5837" s="22">
        <f t="shared" si="364"/>
        <v>0</v>
      </c>
      <c r="V5837">
        <f t="shared" si="365"/>
        <v>0</v>
      </c>
      <c r="W5837" s="22">
        <f t="shared" si="366"/>
        <v>0</v>
      </c>
    </row>
    <row r="5838" spans="1:23" hidden="1" x14ac:dyDescent="0.25">
      <c r="A5838" s="3">
        <v>46108</v>
      </c>
      <c r="B5838" s="4" t="s">
        <v>334</v>
      </c>
      <c r="C5838" s="4" t="s">
        <v>158</v>
      </c>
      <c r="D5838" s="4"/>
      <c r="E5838" s="4"/>
      <c r="F5838" s="46" t="s">
        <v>2801</v>
      </c>
      <c r="G5838" s="4" t="s">
        <v>336</v>
      </c>
      <c r="H5838" s="4" t="s">
        <v>289</v>
      </c>
      <c r="I5838" s="4">
        <v>1</v>
      </c>
      <c r="J5838" s="21">
        <v>150</v>
      </c>
      <c r="K5838" s="21">
        <v>0</v>
      </c>
      <c r="L5838" s="5">
        <v>0</v>
      </c>
      <c r="M5838" s="4"/>
      <c r="N5838" s="4"/>
      <c r="O5838" s="5"/>
      <c r="P5838" s="5"/>
      <c r="Q5838" s="21">
        <v>150</v>
      </c>
      <c r="R5838" s="21">
        <v>0</v>
      </c>
      <c r="S5838" s="5">
        <f t="shared" si="367"/>
        <v>73345.942167016095</v>
      </c>
      <c r="T5838" cm="1">
        <f t="array" ref="T5838">IF(OR(B5838="MAL ALIMI", B5838="ÜRETİM GİRİŞ"), MIN(I5838, MAX(0, I5838 + SUM(SUMIFS($I$1:I5837, $C$1:C5837, C5838, $B$1:B5837, {"MAL ALIMI","ÜRETİM GİRİŞ"})) - VLOOKUP(C5838, 'STOK RAPORU'!$C$2:$I$1000, 4, 0))), 0)</f>
        <v>0</v>
      </c>
      <c r="U5838" s="22">
        <f t="shared" si="364"/>
        <v>0</v>
      </c>
      <c r="V5838">
        <f t="shared" si="365"/>
        <v>0</v>
      </c>
      <c r="W5838" s="22">
        <f t="shared" si="366"/>
        <v>0</v>
      </c>
    </row>
    <row r="5839" spans="1:23" hidden="1" x14ac:dyDescent="0.25">
      <c r="A5839" s="3">
        <v>46108</v>
      </c>
      <c r="B5839" s="4" t="s">
        <v>334</v>
      </c>
      <c r="C5839" s="4" t="s">
        <v>196</v>
      </c>
      <c r="D5839" s="4"/>
      <c r="E5839" s="4"/>
      <c r="F5839" s="46" t="s">
        <v>2801</v>
      </c>
      <c r="G5839" s="4" t="s">
        <v>1945</v>
      </c>
      <c r="H5839" s="4" t="s">
        <v>289</v>
      </c>
      <c r="I5839" s="4">
        <v>0.52200000000000002</v>
      </c>
      <c r="J5839" s="21">
        <v>130</v>
      </c>
      <c r="K5839" s="21">
        <v>0</v>
      </c>
      <c r="L5839" s="5">
        <v>0</v>
      </c>
      <c r="M5839" s="4"/>
      <c r="N5839" s="4"/>
      <c r="O5839" s="5"/>
      <c r="P5839" s="5"/>
      <c r="Q5839" s="21">
        <v>67.86</v>
      </c>
      <c r="R5839" s="21">
        <v>0</v>
      </c>
      <c r="S5839" s="5">
        <f t="shared" si="367"/>
        <v>73413.802167016096</v>
      </c>
      <c r="T5839" cm="1">
        <f t="array" ref="T5839">IF(OR(B5839="MAL ALIMI", B5839="ÜRETİM GİRİŞ"), MIN(I5839, MAX(0, I5839 + SUM(SUMIFS($I$1:I5838, $C$1:C5838, C5839, $B$1:B5838, {"MAL ALIMI","ÜRETİM GİRİŞ"})) - VLOOKUP(C5839, 'STOK RAPORU'!$C$2:$I$1000, 4, 0))), 0)</f>
        <v>0</v>
      </c>
      <c r="U5839" s="22">
        <f t="shared" si="364"/>
        <v>0</v>
      </c>
      <c r="V5839">
        <f t="shared" si="365"/>
        <v>0</v>
      </c>
      <c r="W5839" s="22">
        <f t="shared" si="366"/>
        <v>0</v>
      </c>
    </row>
    <row r="5840" spans="1:23" hidden="1" x14ac:dyDescent="0.25">
      <c r="A5840" s="3">
        <v>46108</v>
      </c>
      <c r="B5840" s="4" t="s">
        <v>334</v>
      </c>
      <c r="C5840" s="4" t="s">
        <v>218</v>
      </c>
      <c r="D5840" s="4"/>
      <c r="E5840" s="4"/>
      <c r="F5840" s="46" t="s">
        <v>2801</v>
      </c>
      <c r="G5840" s="4" t="s">
        <v>1945</v>
      </c>
      <c r="H5840" s="4" t="s">
        <v>289</v>
      </c>
      <c r="I5840" s="4">
        <v>1</v>
      </c>
      <c r="J5840" s="21">
        <v>225</v>
      </c>
      <c r="K5840" s="21">
        <v>0</v>
      </c>
      <c r="L5840" s="5">
        <v>0</v>
      </c>
      <c r="M5840" s="4"/>
      <c r="N5840" s="4"/>
      <c r="O5840" s="5"/>
      <c r="P5840" s="5"/>
      <c r="Q5840" s="21">
        <v>225</v>
      </c>
      <c r="R5840" s="21">
        <v>0</v>
      </c>
      <c r="S5840" s="5">
        <f t="shared" si="367"/>
        <v>73638.802167016096</v>
      </c>
      <c r="T5840" cm="1">
        <f t="array" ref="T5840">IF(OR(B5840="MAL ALIMI", B5840="ÜRETİM GİRİŞ"), MIN(I5840, MAX(0, I5840 + SUM(SUMIFS($I$1:I5839, $C$1:C5839, C5840, $B$1:B5839, {"MAL ALIMI","ÜRETİM GİRİŞ"})) - VLOOKUP(C5840, 'STOK RAPORU'!$C$2:$I$1000, 4, 0))), 0)</f>
        <v>0</v>
      </c>
      <c r="U5840" s="22">
        <f t="shared" si="364"/>
        <v>0</v>
      </c>
      <c r="V5840">
        <f t="shared" si="365"/>
        <v>0</v>
      </c>
      <c r="W5840" s="22">
        <f t="shared" si="366"/>
        <v>0</v>
      </c>
    </row>
    <row r="5841" spans="1:23" hidden="1" x14ac:dyDescent="0.25">
      <c r="A5841" s="3">
        <v>46109</v>
      </c>
      <c r="B5841" s="4" t="s">
        <v>334</v>
      </c>
      <c r="C5841" s="4" t="s">
        <v>133</v>
      </c>
      <c r="D5841" s="4"/>
      <c r="E5841" s="4"/>
      <c r="F5841" s="46" t="s">
        <v>2819</v>
      </c>
      <c r="G5841" s="4" t="s">
        <v>336</v>
      </c>
      <c r="H5841" s="4" t="s">
        <v>289</v>
      </c>
      <c r="I5841" s="4">
        <v>0.25</v>
      </c>
      <c r="J5841" s="21">
        <v>400</v>
      </c>
      <c r="K5841" s="21">
        <v>0</v>
      </c>
      <c r="L5841" s="5">
        <v>0</v>
      </c>
      <c r="M5841" s="4"/>
      <c r="N5841" s="4"/>
      <c r="O5841" s="5"/>
      <c r="P5841" s="5"/>
      <c r="Q5841" s="21">
        <v>100</v>
      </c>
      <c r="R5841" s="21">
        <v>0</v>
      </c>
      <c r="S5841" s="5">
        <f t="shared" si="367"/>
        <v>73738.802167016096</v>
      </c>
      <c r="T5841" cm="1">
        <f t="array" ref="T5841">IF(OR(B5841="MAL ALIMI", B5841="ÜRETİM GİRİŞ"), MIN(I5841, MAX(0, I5841 + SUM(SUMIFS($I$1:I5840, $C$1:C5840, C5841, $B$1:B5840, {"MAL ALIMI","ÜRETİM GİRİŞ"})) - VLOOKUP(C5841, 'STOK RAPORU'!$C$2:$I$1000, 4, 0))), 0)</f>
        <v>0</v>
      </c>
      <c r="U5841" s="22">
        <f t="shared" si="364"/>
        <v>0</v>
      </c>
      <c r="V5841">
        <f t="shared" si="365"/>
        <v>0</v>
      </c>
      <c r="W5841" s="22">
        <f t="shared" si="366"/>
        <v>0</v>
      </c>
    </row>
    <row r="5842" spans="1:23" hidden="1" x14ac:dyDescent="0.25">
      <c r="A5842" s="3">
        <v>46109</v>
      </c>
      <c r="B5842" s="4" t="s">
        <v>334</v>
      </c>
      <c r="C5842" s="4" t="s">
        <v>91</v>
      </c>
      <c r="D5842" s="4"/>
      <c r="E5842" s="4"/>
      <c r="F5842" s="46" t="s">
        <v>2819</v>
      </c>
      <c r="G5842" s="4" t="s">
        <v>336</v>
      </c>
      <c r="H5842" s="4" t="s">
        <v>289</v>
      </c>
      <c r="I5842" s="4">
        <v>3.3333333333333333E-2</v>
      </c>
      <c r="J5842" s="21">
        <v>750</v>
      </c>
      <c r="K5842" s="21">
        <v>0</v>
      </c>
      <c r="L5842" s="5">
        <v>0</v>
      </c>
      <c r="M5842" s="4"/>
      <c r="N5842" s="4"/>
      <c r="O5842" s="5"/>
      <c r="P5842" s="5"/>
      <c r="Q5842" s="21">
        <v>25</v>
      </c>
      <c r="R5842" s="21">
        <v>0</v>
      </c>
      <c r="S5842" s="5">
        <f t="shared" si="367"/>
        <v>73763.802167016096</v>
      </c>
      <c r="T5842" cm="1">
        <f t="array" ref="T5842">IF(OR(B5842="MAL ALIMI", B5842="ÜRETİM GİRİŞ"), MIN(I5842, MAX(0, I5842 + SUM(SUMIFS($I$1:I5841, $C$1:C5841, C5842, $B$1:B5841, {"MAL ALIMI","ÜRETİM GİRİŞ"})) - VLOOKUP(C5842, 'STOK RAPORU'!$C$2:$I$1000, 4, 0))), 0)</f>
        <v>0</v>
      </c>
      <c r="U5842" s="22">
        <f t="shared" si="364"/>
        <v>0</v>
      </c>
      <c r="V5842">
        <f t="shared" si="365"/>
        <v>0</v>
      </c>
      <c r="W5842" s="22">
        <f t="shared" si="366"/>
        <v>0</v>
      </c>
    </row>
    <row r="5843" spans="1:23" hidden="1" x14ac:dyDescent="0.25">
      <c r="A5843" s="3">
        <v>46109</v>
      </c>
      <c r="B5843" s="4" t="s">
        <v>334</v>
      </c>
      <c r="C5843" s="4" t="s">
        <v>815</v>
      </c>
      <c r="D5843" s="4"/>
      <c r="E5843" s="4"/>
      <c r="F5843" s="46" t="s">
        <v>2820</v>
      </c>
      <c r="G5843" s="4" t="s">
        <v>336</v>
      </c>
      <c r="H5843" s="4" t="s">
        <v>289</v>
      </c>
      <c r="I5843" s="4">
        <v>1</v>
      </c>
      <c r="J5843" s="21">
        <v>130</v>
      </c>
      <c r="K5843" s="21">
        <v>0</v>
      </c>
      <c r="L5843" s="5">
        <v>0</v>
      </c>
      <c r="M5843" s="4"/>
      <c r="N5843" s="4"/>
      <c r="O5843" s="5"/>
      <c r="P5843" s="5"/>
      <c r="Q5843" s="21">
        <v>130</v>
      </c>
      <c r="R5843" s="21">
        <v>0</v>
      </c>
      <c r="S5843" s="5">
        <f t="shared" si="367"/>
        <v>73893.802167016096</v>
      </c>
      <c r="T5843" cm="1">
        <f t="array" ref="T5843">IF(OR(B5843="MAL ALIMI", B5843="ÜRETİM GİRİŞ"), MIN(I5843, MAX(0, I5843 + SUM(SUMIFS($I$1:I5842, $C$1:C5842, C5843, $B$1:B5842, {"MAL ALIMI","ÜRETİM GİRİŞ"})) - VLOOKUP(C5843, 'STOK RAPORU'!$C$2:$I$1000, 4, 0))), 0)</f>
        <v>0</v>
      </c>
      <c r="U5843" s="22">
        <f t="shared" si="364"/>
        <v>0</v>
      </c>
      <c r="V5843">
        <f t="shared" si="365"/>
        <v>0</v>
      </c>
      <c r="W5843" s="22">
        <f t="shared" si="366"/>
        <v>0</v>
      </c>
    </row>
    <row r="5844" spans="1:23" hidden="1" x14ac:dyDescent="0.25">
      <c r="A5844" s="3">
        <v>46109</v>
      </c>
      <c r="B5844" s="4" t="s">
        <v>334</v>
      </c>
      <c r="C5844" s="4" t="s">
        <v>91</v>
      </c>
      <c r="D5844" s="4"/>
      <c r="E5844" s="4"/>
      <c r="F5844" s="46" t="s">
        <v>2820</v>
      </c>
      <c r="G5844" s="4" t="s">
        <v>336</v>
      </c>
      <c r="H5844" s="4" t="s">
        <v>289</v>
      </c>
      <c r="I5844" s="4">
        <v>7.1999999999999995E-2</v>
      </c>
      <c r="J5844" s="21">
        <v>750</v>
      </c>
      <c r="K5844" s="21">
        <v>0</v>
      </c>
      <c r="L5844" s="5">
        <v>0</v>
      </c>
      <c r="M5844" s="4"/>
      <c r="N5844" s="4"/>
      <c r="O5844" s="5"/>
      <c r="P5844" s="5"/>
      <c r="Q5844" s="21">
        <v>53.999999999999993</v>
      </c>
      <c r="R5844" s="21">
        <v>0</v>
      </c>
      <c r="S5844" s="5">
        <f t="shared" si="367"/>
        <v>73947.802167016096</v>
      </c>
      <c r="T5844" cm="1">
        <f t="array" ref="T5844">IF(OR(B5844="MAL ALIMI", B5844="ÜRETİM GİRİŞ"), MIN(I5844, MAX(0, I5844 + SUM(SUMIFS($I$1:I5843, $C$1:C5843, C5844, $B$1:B5843, {"MAL ALIMI","ÜRETİM GİRİŞ"})) - VLOOKUP(C5844, 'STOK RAPORU'!$C$2:$I$1000, 4, 0))), 0)</f>
        <v>0</v>
      </c>
      <c r="U5844" s="22">
        <f t="shared" si="364"/>
        <v>0</v>
      </c>
      <c r="V5844">
        <f t="shared" si="365"/>
        <v>0</v>
      </c>
      <c r="W5844" s="22">
        <f t="shared" si="366"/>
        <v>0</v>
      </c>
    </row>
    <row r="5845" spans="1:23" hidden="1" x14ac:dyDescent="0.25">
      <c r="A5845" s="41">
        <v>46109</v>
      </c>
      <c r="B5845" s="42" t="s">
        <v>334</v>
      </c>
      <c r="C5845" s="42" t="s">
        <v>1894</v>
      </c>
      <c r="D5845" s="42"/>
      <c r="E5845" s="42"/>
      <c r="F5845" s="42" t="s">
        <v>2821</v>
      </c>
      <c r="G5845" s="42" t="s">
        <v>2823</v>
      </c>
      <c r="H5845" s="42" t="s">
        <v>289</v>
      </c>
      <c r="I5845" s="42">
        <v>1</v>
      </c>
      <c r="J5845" s="43">
        <v>70</v>
      </c>
      <c r="K5845" s="43">
        <v>0</v>
      </c>
      <c r="L5845" s="44">
        <v>0</v>
      </c>
      <c r="M5845" s="42"/>
      <c r="N5845" s="42"/>
      <c r="O5845" s="44"/>
      <c r="P5845" s="44"/>
      <c r="Q5845" s="43">
        <v>70</v>
      </c>
      <c r="R5845" s="43">
        <v>0</v>
      </c>
      <c r="S5845" s="5">
        <f t="shared" si="367"/>
        <v>74017.802167016096</v>
      </c>
      <c r="T5845" cm="1">
        <f t="array" ref="T5845">IF(OR(B5845="MAL ALIMI", B5845="ÜRETİM GİRİŞ"), MIN(I5845, MAX(0, I5845 + SUM(SUMIFS($I$1:I5844, $C$1:C5844, C5845, $B$1:B5844, {"MAL ALIMI","ÜRETİM GİRİŞ"})) - VLOOKUP(C5845, 'STOK RAPORU'!$C$2:$I$1000, 4, 0))), 0)</f>
        <v>0</v>
      </c>
      <c r="U5845" s="22">
        <f t="shared" si="364"/>
        <v>0</v>
      </c>
      <c r="V5845">
        <f t="shared" si="365"/>
        <v>0</v>
      </c>
      <c r="W5845" s="22">
        <f t="shared" si="366"/>
        <v>0</v>
      </c>
    </row>
    <row r="5846" spans="1:23" hidden="1" x14ac:dyDescent="0.25">
      <c r="A5846" s="3">
        <v>46109</v>
      </c>
      <c r="B5846" s="4" t="s">
        <v>334</v>
      </c>
      <c r="C5846" s="4" t="s">
        <v>191</v>
      </c>
      <c r="D5846" s="4"/>
      <c r="E5846" s="4" t="s">
        <v>921</v>
      </c>
      <c r="F5846" s="46" t="s">
        <v>2822</v>
      </c>
      <c r="G5846" s="4" t="s">
        <v>336</v>
      </c>
      <c r="H5846" s="4" t="s">
        <v>380</v>
      </c>
      <c r="I5846" s="4">
        <v>3.5999999999999997E-2</v>
      </c>
      <c r="J5846" s="21">
        <v>750</v>
      </c>
      <c r="K5846" s="21">
        <v>26.999999999999996</v>
      </c>
      <c r="L5846" s="5">
        <v>0</v>
      </c>
      <c r="M5846" s="4"/>
      <c r="N5846" s="4"/>
      <c r="O5846" s="5"/>
      <c r="P5846" s="5"/>
      <c r="Q5846" s="21">
        <v>0</v>
      </c>
      <c r="R5846" s="21">
        <v>0</v>
      </c>
      <c r="S5846" s="5">
        <f t="shared" si="367"/>
        <v>74017.802167016096</v>
      </c>
      <c r="T5846" cm="1">
        <f t="array" ref="T5846">IF(OR(B5846="MAL ALIMI", B5846="ÜRETİM GİRİŞ"), MIN(I5846, MAX(0, I5846 + SUM(SUMIFS($I$1:I5845, $C$1:C5845, C5846, $B$1:B5845, {"MAL ALIMI","ÜRETİM GİRİŞ"})) - VLOOKUP(C5846, 'STOK RAPORU'!$C$2:$I$1000, 4, 0))), 0)</f>
        <v>0</v>
      </c>
      <c r="U5846" s="22">
        <f t="shared" si="364"/>
        <v>0</v>
      </c>
      <c r="V5846">
        <f t="shared" si="365"/>
        <v>0</v>
      </c>
      <c r="W5846" s="22">
        <f t="shared" si="366"/>
        <v>0</v>
      </c>
    </row>
    <row r="5847" spans="1:23" hidden="1" x14ac:dyDescent="0.25">
      <c r="A5847" s="3">
        <v>46109</v>
      </c>
      <c r="B5847" s="4" t="s">
        <v>334</v>
      </c>
      <c r="C5847" s="4" t="s">
        <v>214</v>
      </c>
      <c r="D5847" s="4"/>
      <c r="E5847" s="4" t="s">
        <v>921</v>
      </c>
      <c r="F5847" s="46" t="s">
        <v>2822</v>
      </c>
      <c r="G5847" s="4" t="s">
        <v>336</v>
      </c>
      <c r="H5847" s="4" t="s">
        <v>380</v>
      </c>
      <c r="I5847" s="4">
        <v>0.12</v>
      </c>
      <c r="J5847" s="21">
        <v>920</v>
      </c>
      <c r="K5847" s="21">
        <v>110.39999999999999</v>
      </c>
      <c r="L5847" s="5">
        <v>0</v>
      </c>
      <c r="M5847" s="4"/>
      <c r="N5847" s="4"/>
      <c r="O5847" s="5"/>
      <c r="P5847" s="5"/>
      <c r="Q5847" s="21">
        <v>0</v>
      </c>
      <c r="R5847" s="21">
        <v>0</v>
      </c>
      <c r="S5847" s="5">
        <f t="shared" si="367"/>
        <v>74017.802167016096</v>
      </c>
      <c r="T5847" cm="1">
        <f t="array" ref="T5847">IF(OR(B5847="MAL ALIMI", B5847="ÜRETİM GİRİŞ"), MIN(I5847, MAX(0, I5847 + SUM(SUMIFS($I$1:I5846, $C$1:C5846, C5847, $B$1:B5846, {"MAL ALIMI","ÜRETİM GİRİŞ"})) - VLOOKUP(C5847, 'STOK RAPORU'!$C$2:$I$1000, 4, 0))), 0)</f>
        <v>0</v>
      </c>
      <c r="U5847" s="22">
        <f t="shared" si="364"/>
        <v>0</v>
      </c>
      <c r="V5847">
        <f t="shared" si="365"/>
        <v>0</v>
      </c>
      <c r="W5847" s="22">
        <f t="shared" si="366"/>
        <v>0</v>
      </c>
    </row>
    <row r="5848" spans="1:23" hidden="1" x14ac:dyDescent="0.25">
      <c r="A5848" s="3">
        <v>46109</v>
      </c>
      <c r="B5848" s="4" t="s">
        <v>334</v>
      </c>
      <c r="C5848" s="4" t="s">
        <v>249</v>
      </c>
      <c r="D5848" s="4"/>
      <c r="E5848" s="4" t="s">
        <v>921</v>
      </c>
      <c r="F5848" s="46" t="s">
        <v>2822</v>
      </c>
      <c r="G5848" s="4" t="s">
        <v>336</v>
      </c>
      <c r="H5848" s="4" t="s">
        <v>380</v>
      </c>
      <c r="I5848" s="4">
        <v>0.1</v>
      </c>
      <c r="J5848" s="21">
        <v>900</v>
      </c>
      <c r="K5848" s="21">
        <v>90</v>
      </c>
      <c r="L5848" s="5">
        <v>0</v>
      </c>
      <c r="M5848" s="4"/>
      <c r="N5848" s="4"/>
      <c r="O5848" s="5"/>
      <c r="P5848" s="5"/>
      <c r="Q5848" s="21">
        <v>0</v>
      </c>
      <c r="R5848" s="21">
        <v>0</v>
      </c>
      <c r="S5848" s="5">
        <f t="shared" si="367"/>
        <v>74017.802167016096</v>
      </c>
      <c r="T5848" cm="1">
        <f t="array" ref="T5848">IF(OR(B5848="MAL ALIMI", B5848="ÜRETİM GİRİŞ"), MIN(I5848, MAX(0, I5848 + SUM(SUMIFS($I$1:I5847, $C$1:C5847, C5848, $B$1:B5847, {"MAL ALIMI","ÜRETİM GİRİŞ"})) - VLOOKUP(C5848, 'STOK RAPORU'!$C$2:$I$1000, 4, 0))), 0)</f>
        <v>0</v>
      </c>
      <c r="U5848" s="22">
        <f t="shared" si="364"/>
        <v>0</v>
      </c>
      <c r="V5848">
        <f t="shared" si="365"/>
        <v>0</v>
      </c>
      <c r="W5848" s="22">
        <f t="shared" si="366"/>
        <v>0</v>
      </c>
    </row>
    <row r="5849" spans="1:23" hidden="1" x14ac:dyDescent="0.25">
      <c r="A5849" s="3">
        <v>46109</v>
      </c>
      <c r="B5849" s="4" t="s">
        <v>334</v>
      </c>
      <c r="C5849" s="4" t="s">
        <v>131</v>
      </c>
      <c r="D5849" s="4"/>
      <c r="E5849" s="4" t="s">
        <v>921</v>
      </c>
      <c r="F5849" s="46" t="s">
        <v>2822</v>
      </c>
      <c r="G5849" s="4" t="s">
        <v>336</v>
      </c>
      <c r="H5849" s="4" t="s">
        <v>380</v>
      </c>
      <c r="I5849" s="4">
        <v>0.42</v>
      </c>
      <c r="J5849" s="21">
        <v>200</v>
      </c>
      <c r="K5849" s="21">
        <v>84</v>
      </c>
      <c r="L5849" s="5">
        <v>0</v>
      </c>
      <c r="M5849" s="4"/>
      <c r="N5849" s="4"/>
      <c r="O5849" s="5"/>
      <c r="P5849" s="5"/>
      <c r="Q5849" s="21">
        <v>0</v>
      </c>
      <c r="R5849" s="21">
        <v>0</v>
      </c>
      <c r="S5849" s="5">
        <f t="shared" si="367"/>
        <v>74017.802167016096</v>
      </c>
      <c r="T5849" cm="1">
        <f t="array" ref="T5849">IF(OR(B5849="MAL ALIMI", B5849="ÜRETİM GİRİŞ"), MIN(I5849, MAX(0, I5849 + SUM(SUMIFS($I$1:I5848, $C$1:C5848, C5849, $B$1:B5848, {"MAL ALIMI","ÜRETİM GİRİŞ"})) - VLOOKUP(C5849, 'STOK RAPORU'!$C$2:$I$1000, 4, 0))), 0)</f>
        <v>0</v>
      </c>
      <c r="U5849" s="22">
        <f t="shared" si="364"/>
        <v>0</v>
      </c>
      <c r="V5849">
        <f t="shared" si="365"/>
        <v>0</v>
      </c>
      <c r="W5849" s="22">
        <f t="shared" si="366"/>
        <v>0</v>
      </c>
    </row>
    <row r="5850" spans="1:23" hidden="1" x14ac:dyDescent="0.25">
      <c r="A5850" s="3">
        <v>46109</v>
      </c>
      <c r="B5850" s="4" t="s">
        <v>334</v>
      </c>
      <c r="C5850" s="4" t="s">
        <v>1127</v>
      </c>
      <c r="D5850" s="4"/>
      <c r="E5850" s="4"/>
      <c r="F5850" s="46" t="s">
        <v>2822</v>
      </c>
      <c r="G5850" s="4" t="s">
        <v>336</v>
      </c>
      <c r="H5850" s="4" t="s">
        <v>289</v>
      </c>
      <c r="I5850" s="4">
        <v>1</v>
      </c>
      <c r="J5850" s="21">
        <v>350</v>
      </c>
      <c r="K5850" s="21">
        <v>0</v>
      </c>
      <c r="L5850" s="5">
        <v>0</v>
      </c>
      <c r="M5850" s="4"/>
      <c r="N5850" s="4"/>
      <c r="O5850" s="5"/>
      <c r="P5850" s="5"/>
      <c r="Q5850" s="21">
        <v>350</v>
      </c>
      <c r="R5850" s="21">
        <v>0</v>
      </c>
      <c r="S5850" s="5">
        <f t="shared" si="367"/>
        <v>74367.802167016096</v>
      </c>
      <c r="T5850" cm="1">
        <f t="array" ref="T5850">IF(OR(B5850="MAL ALIMI", B5850="ÜRETİM GİRİŞ"), MIN(I5850, MAX(0, I5850 + SUM(SUMIFS($I$1:I5849, $C$1:C5849, C5850, $B$1:B5849, {"MAL ALIMI","ÜRETİM GİRİŞ"})) - VLOOKUP(C5850, 'STOK RAPORU'!$C$2:$I$1000, 4, 0))), 0)</f>
        <v>0</v>
      </c>
      <c r="U5850" s="22">
        <f t="shared" si="364"/>
        <v>0</v>
      </c>
      <c r="V5850">
        <f t="shared" si="365"/>
        <v>0</v>
      </c>
      <c r="W5850" s="22">
        <f t="shared" si="366"/>
        <v>0</v>
      </c>
    </row>
    <row r="5851" spans="1:23" hidden="1" x14ac:dyDescent="0.25">
      <c r="A5851" s="3">
        <v>46109</v>
      </c>
      <c r="B5851" s="4" t="s">
        <v>334</v>
      </c>
      <c r="C5851" s="4" t="s">
        <v>256</v>
      </c>
      <c r="D5851" s="4"/>
      <c r="E5851" s="4" t="s">
        <v>921</v>
      </c>
      <c r="F5851" s="46" t="s">
        <v>2822</v>
      </c>
      <c r="G5851" s="4" t="s">
        <v>336</v>
      </c>
      <c r="H5851" s="4" t="s">
        <v>380</v>
      </c>
      <c r="I5851" s="4">
        <v>1</v>
      </c>
      <c r="J5851" s="21">
        <v>220</v>
      </c>
      <c r="K5851" s="21">
        <v>220</v>
      </c>
      <c r="L5851" s="5">
        <v>0</v>
      </c>
      <c r="M5851" s="4"/>
      <c r="N5851" s="4"/>
      <c r="O5851" s="5"/>
      <c r="P5851" s="5"/>
      <c r="Q5851" s="21">
        <v>0</v>
      </c>
      <c r="R5851" s="21">
        <v>0</v>
      </c>
      <c r="S5851" s="5">
        <f t="shared" si="367"/>
        <v>74367.802167016096</v>
      </c>
      <c r="T5851" cm="1">
        <f t="array" ref="T5851">IF(OR(B5851="MAL ALIMI", B5851="ÜRETİM GİRİŞ"), MIN(I5851, MAX(0, I5851 + SUM(SUMIFS($I$1:I5850, $C$1:C5850, C5851, $B$1:B5850, {"MAL ALIMI","ÜRETİM GİRİŞ"})) - VLOOKUP(C5851, 'STOK RAPORU'!$C$2:$I$1000, 4, 0))), 0)</f>
        <v>0</v>
      </c>
      <c r="U5851" s="22">
        <f t="shared" si="364"/>
        <v>0</v>
      </c>
      <c r="V5851">
        <f t="shared" si="365"/>
        <v>0</v>
      </c>
      <c r="W5851" s="22">
        <f t="shared" si="366"/>
        <v>0</v>
      </c>
    </row>
    <row r="5852" spans="1:23" hidden="1" x14ac:dyDescent="0.25">
      <c r="A5852" s="3">
        <v>46109</v>
      </c>
      <c r="B5852" s="4" t="s">
        <v>334</v>
      </c>
      <c r="C5852" s="4" t="s">
        <v>131</v>
      </c>
      <c r="D5852" s="4"/>
      <c r="E5852" s="4"/>
      <c r="F5852" s="46" t="s">
        <v>2822</v>
      </c>
      <c r="G5852" s="4" t="s">
        <v>336</v>
      </c>
      <c r="H5852" s="4" t="s">
        <v>289</v>
      </c>
      <c r="I5852" s="4">
        <v>0.25</v>
      </c>
      <c r="J5852" s="21">
        <v>400</v>
      </c>
      <c r="K5852" s="21">
        <v>0</v>
      </c>
      <c r="L5852" s="5">
        <v>0</v>
      </c>
      <c r="M5852" s="4"/>
      <c r="N5852" s="4"/>
      <c r="O5852" s="5"/>
      <c r="P5852" s="5"/>
      <c r="Q5852" s="21">
        <v>100</v>
      </c>
      <c r="R5852" s="21">
        <v>0</v>
      </c>
      <c r="S5852" s="5">
        <f t="shared" si="367"/>
        <v>74467.802167016096</v>
      </c>
      <c r="T5852" cm="1">
        <f t="array" ref="T5852">IF(OR(B5852="MAL ALIMI", B5852="ÜRETİM GİRİŞ"), MIN(I5852, MAX(0, I5852 + SUM(SUMIFS($I$1:I5851, $C$1:C5851, C5852, $B$1:B5851, {"MAL ALIMI","ÜRETİM GİRİŞ"})) - VLOOKUP(C5852, 'STOK RAPORU'!$C$2:$I$1000, 4, 0))), 0)</f>
        <v>0</v>
      </c>
      <c r="U5852" s="22">
        <f t="shared" si="364"/>
        <v>0</v>
      </c>
      <c r="V5852">
        <f t="shared" si="365"/>
        <v>0</v>
      </c>
      <c r="W5852" s="22">
        <f t="shared" si="366"/>
        <v>0</v>
      </c>
    </row>
    <row r="5853" spans="1:23" hidden="1" x14ac:dyDescent="0.25">
      <c r="A5853" s="3">
        <v>46109</v>
      </c>
      <c r="B5853" s="4" t="s">
        <v>334</v>
      </c>
      <c r="C5853" s="4" t="s">
        <v>148</v>
      </c>
      <c r="D5853" s="4"/>
      <c r="E5853" s="4" t="s">
        <v>921</v>
      </c>
      <c r="F5853" s="46" t="s">
        <v>2824</v>
      </c>
      <c r="G5853" s="4" t="s">
        <v>336</v>
      </c>
      <c r="H5853" s="4" t="s">
        <v>380</v>
      </c>
      <c r="I5853" s="4">
        <v>1</v>
      </c>
      <c r="J5853" s="21">
        <v>65</v>
      </c>
      <c r="K5853" s="21">
        <v>65</v>
      </c>
      <c r="L5853" s="5">
        <v>0</v>
      </c>
      <c r="M5853" s="4"/>
      <c r="N5853" s="4"/>
      <c r="O5853" s="5"/>
      <c r="P5853" s="5"/>
      <c r="Q5853" s="21">
        <v>0</v>
      </c>
      <c r="R5853" s="21">
        <v>0</v>
      </c>
      <c r="S5853" s="5">
        <f t="shared" si="367"/>
        <v>74467.802167016096</v>
      </c>
      <c r="T5853" cm="1">
        <f t="array" ref="T5853">IF(OR(B5853="MAL ALIMI", B5853="ÜRETİM GİRİŞ"), MIN(I5853, MAX(0, I5853 + SUM(SUMIFS($I$1:I5852, $C$1:C5852, C5853, $B$1:B5852, {"MAL ALIMI","ÜRETİM GİRİŞ"})) - VLOOKUP(C5853, 'STOK RAPORU'!$C$2:$I$1000, 4, 0))), 0)</f>
        <v>0</v>
      </c>
      <c r="U5853" s="22">
        <f t="shared" si="364"/>
        <v>0</v>
      </c>
      <c r="V5853">
        <f t="shared" si="365"/>
        <v>0</v>
      </c>
      <c r="W5853" s="22">
        <f t="shared" si="366"/>
        <v>0</v>
      </c>
    </row>
    <row r="5854" spans="1:23" hidden="1" x14ac:dyDescent="0.25">
      <c r="A5854" s="3">
        <v>46109</v>
      </c>
      <c r="B5854" s="4" t="s">
        <v>334</v>
      </c>
      <c r="C5854" s="4" t="s">
        <v>1367</v>
      </c>
      <c r="D5854" s="4"/>
      <c r="E5854" s="4" t="s">
        <v>921</v>
      </c>
      <c r="F5854" s="46" t="s">
        <v>2824</v>
      </c>
      <c r="G5854" s="4" t="s">
        <v>336</v>
      </c>
      <c r="H5854" s="4" t="s">
        <v>380</v>
      </c>
      <c r="I5854" s="4">
        <v>1</v>
      </c>
      <c r="J5854" s="21">
        <v>180</v>
      </c>
      <c r="K5854" s="21">
        <v>180</v>
      </c>
      <c r="L5854" s="5">
        <v>0</v>
      </c>
      <c r="M5854" s="4"/>
      <c r="N5854" s="4"/>
      <c r="O5854" s="5"/>
      <c r="P5854" s="5"/>
      <c r="Q5854" s="21">
        <v>0</v>
      </c>
      <c r="R5854" s="21">
        <v>0</v>
      </c>
      <c r="S5854" s="5">
        <f t="shared" si="367"/>
        <v>74467.802167016096</v>
      </c>
      <c r="T5854" cm="1">
        <f t="array" ref="T5854">IF(OR(B5854="MAL ALIMI", B5854="ÜRETİM GİRİŞ"), MIN(I5854, MAX(0, I5854 + SUM(SUMIFS($I$1:I5853, $C$1:C5853, C5854, $B$1:B5853, {"MAL ALIMI","ÜRETİM GİRİŞ"})) - VLOOKUP(C5854, 'STOK RAPORU'!$C$2:$I$1000, 4, 0))), 0)</f>
        <v>0</v>
      </c>
      <c r="U5854" s="22">
        <f t="shared" si="364"/>
        <v>0</v>
      </c>
      <c r="V5854">
        <f t="shared" si="365"/>
        <v>0</v>
      </c>
      <c r="W5854" s="22">
        <f t="shared" si="366"/>
        <v>0</v>
      </c>
    </row>
    <row r="5855" spans="1:23" hidden="1" x14ac:dyDescent="0.25">
      <c r="A5855" s="3">
        <v>46109</v>
      </c>
      <c r="B5855" s="4" t="s">
        <v>334</v>
      </c>
      <c r="C5855" s="4" t="s">
        <v>2120</v>
      </c>
      <c r="D5855" s="4"/>
      <c r="E5855" s="4" t="s">
        <v>921</v>
      </c>
      <c r="F5855" s="46" t="s">
        <v>2824</v>
      </c>
      <c r="G5855" s="4" t="s">
        <v>336</v>
      </c>
      <c r="H5855" s="4" t="s">
        <v>380</v>
      </c>
      <c r="I5855" s="4">
        <v>1.68</v>
      </c>
      <c r="J5855" s="21">
        <v>65</v>
      </c>
      <c r="K5855" s="21">
        <v>109.2</v>
      </c>
      <c r="L5855" s="5">
        <v>0</v>
      </c>
      <c r="M5855" s="4"/>
      <c r="N5855" s="4"/>
      <c r="O5855" s="5"/>
      <c r="P5855" s="5"/>
      <c r="Q5855" s="21">
        <v>0</v>
      </c>
      <c r="R5855" s="21">
        <v>0</v>
      </c>
      <c r="S5855" s="5">
        <f t="shared" si="367"/>
        <v>74467.802167016096</v>
      </c>
      <c r="T5855" cm="1">
        <f t="array" ref="T5855">IF(OR(B5855="MAL ALIMI", B5855="ÜRETİM GİRİŞ"), MIN(I5855, MAX(0, I5855 + SUM(SUMIFS($I$1:I5854, $C$1:C5854, C5855, $B$1:B5854, {"MAL ALIMI","ÜRETİM GİRİŞ"})) - VLOOKUP(C5855, 'STOK RAPORU'!$C$2:$I$1000, 4, 0))), 0)</f>
        <v>0</v>
      </c>
      <c r="U5855" s="22">
        <f t="shared" si="364"/>
        <v>0</v>
      </c>
      <c r="V5855">
        <f t="shared" si="365"/>
        <v>0</v>
      </c>
      <c r="W5855" s="22">
        <f t="shared" si="366"/>
        <v>0</v>
      </c>
    </row>
    <row r="5856" spans="1:23" hidden="1" x14ac:dyDescent="0.25">
      <c r="A5856" s="3">
        <v>46109</v>
      </c>
      <c r="B5856" s="4" t="s">
        <v>334</v>
      </c>
      <c r="C5856" s="4" t="s">
        <v>156</v>
      </c>
      <c r="D5856" s="4"/>
      <c r="E5856" s="4" t="s">
        <v>921</v>
      </c>
      <c r="F5856" s="46" t="s">
        <v>2824</v>
      </c>
      <c r="G5856" s="4" t="s">
        <v>336</v>
      </c>
      <c r="H5856" s="4" t="s">
        <v>380</v>
      </c>
      <c r="I5856" s="4">
        <v>1</v>
      </c>
      <c r="J5856" s="21">
        <v>200</v>
      </c>
      <c r="K5856" s="21">
        <v>200</v>
      </c>
      <c r="L5856" s="5">
        <v>0</v>
      </c>
      <c r="M5856" s="4"/>
      <c r="N5856" s="4"/>
      <c r="O5856" s="5"/>
      <c r="P5856" s="5"/>
      <c r="Q5856" s="21">
        <v>0</v>
      </c>
      <c r="R5856" s="21">
        <v>0</v>
      </c>
      <c r="S5856" s="5">
        <f t="shared" si="367"/>
        <v>74467.802167016096</v>
      </c>
      <c r="T5856" cm="1">
        <f t="array" ref="T5856">IF(OR(B5856="MAL ALIMI", B5856="ÜRETİM GİRİŞ"), MIN(I5856, MAX(0, I5856 + SUM(SUMIFS($I$1:I5855, $C$1:C5855, C5856, $B$1:B5855, {"MAL ALIMI","ÜRETİM GİRİŞ"})) - VLOOKUP(C5856, 'STOK RAPORU'!$C$2:$I$1000, 4, 0))), 0)</f>
        <v>0</v>
      </c>
      <c r="U5856" s="22">
        <f t="shared" si="364"/>
        <v>0</v>
      </c>
      <c r="V5856">
        <f t="shared" si="365"/>
        <v>0</v>
      </c>
      <c r="W5856" s="22">
        <f t="shared" si="366"/>
        <v>0</v>
      </c>
    </row>
    <row r="5857" spans="1:23" hidden="1" x14ac:dyDescent="0.25">
      <c r="A5857" s="3">
        <v>46109</v>
      </c>
      <c r="B5857" s="4" t="s">
        <v>334</v>
      </c>
      <c r="C5857" s="4" t="s">
        <v>131</v>
      </c>
      <c r="D5857" s="4"/>
      <c r="E5857" s="4" t="s">
        <v>921</v>
      </c>
      <c r="F5857" s="46" t="s">
        <v>2824</v>
      </c>
      <c r="G5857" s="4" t="s">
        <v>336</v>
      </c>
      <c r="H5857" s="4" t="s">
        <v>380</v>
      </c>
      <c r="I5857" s="4">
        <v>6.2E-2</v>
      </c>
      <c r="J5857" s="21">
        <v>400</v>
      </c>
      <c r="K5857" s="21">
        <v>24.8</v>
      </c>
      <c r="L5857" s="5">
        <v>0</v>
      </c>
      <c r="M5857" s="4"/>
      <c r="N5857" s="4"/>
      <c r="O5857" s="5"/>
      <c r="P5857" s="5"/>
      <c r="Q5857" s="21">
        <v>0</v>
      </c>
      <c r="R5857" s="21">
        <v>0</v>
      </c>
      <c r="S5857" s="5">
        <f t="shared" si="367"/>
        <v>74467.802167016096</v>
      </c>
      <c r="T5857" cm="1">
        <f t="array" ref="T5857">IF(OR(B5857="MAL ALIMI", B5857="ÜRETİM GİRİŞ"), MIN(I5857, MAX(0, I5857 + SUM(SUMIFS($I$1:I5856, $C$1:C5856, C5857, $B$1:B5856, {"MAL ALIMI","ÜRETİM GİRİŞ"})) - VLOOKUP(C5857, 'STOK RAPORU'!$C$2:$I$1000, 4, 0))), 0)</f>
        <v>0</v>
      </c>
      <c r="U5857" s="22">
        <f t="shared" si="364"/>
        <v>0</v>
      </c>
      <c r="V5857">
        <f t="shared" si="365"/>
        <v>0</v>
      </c>
      <c r="W5857" s="22">
        <f t="shared" si="366"/>
        <v>0</v>
      </c>
    </row>
    <row r="5858" spans="1:23" hidden="1" x14ac:dyDescent="0.25">
      <c r="A5858" s="3">
        <v>46109</v>
      </c>
      <c r="B5858" s="4" t="s">
        <v>334</v>
      </c>
      <c r="C5858" s="4" t="s">
        <v>92</v>
      </c>
      <c r="D5858" s="4"/>
      <c r="E5858" s="4" t="s">
        <v>921</v>
      </c>
      <c r="F5858" s="46" t="s">
        <v>2824</v>
      </c>
      <c r="G5858" s="4" t="s">
        <v>336</v>
      </c>
      <c r="H5858" s="4" t="s">
        <v>380</v>
      </c>
      <c r="I5858" s="4">
        <v>0.16800000000000001</v>
      </c>
      <c r="J5858" s="21">
        <v>500</v>
      </c>
      <c r="K5858" s="21">
        <v>84</v>
      </c>
      <c r="L5858" s="5">
        <v>0</v>
      </c>
      <c r="M5858" s="4"/>
      <c r="N5858" s="4"/>
      <c r="O5858" s="5"/>
      <c r="P5858" s="5"/>
      <c r="Q5858" s="21">
        <v>0</v>
      </c>
      <c r="R5858" s="21">
        <v>0</v>
      </c>
      <c r="S5858" s="5">
        <f t="shared" si="367"/>
        <v>74467.802167016096</v>
      </c>
      <c r="T5858" cm="1">
        <f t="array" ref="T5858">IF(OR(B5858="MAL ALIMI", B5858="ÜRETİM GİRİŞ"), MIN(I5858, MAX(0, I5858 + SUM(SUMIFS($I$1:I5857, $C$1:C5857, C5858, $B$1:B5857, {"MAL ALIMI","ÜRETİM GİRİŞ"})) - VLOOKUP(C5858, 'STOK RAPORU'!$C$2:$I$1000, 4, 0))), 0)</f>
        <v>0</v>
      </c>
      <c r="U5858" s="22">
        <f t="shared" si="364"/>
        <v>0</v>
      </c>
      <c r="V5858">
        <f t="shared" si="365"/>
        <v>0</v>
      </c>
      <c r="W5858" s="22">
        <f t="shared" si="366"/>
        <v>0</v>
      </c>
    </row>
    <row r="5859" spans="1:23" hidden="1" x14ac:dyDescent="0.25">
      <c r="A5859" s="3">
        <v>46109</v>
      </c>
      <c r="B5859" s="4" t="s">
        <v>334</v>
      </c>
      <c r="C5859" s="4" t="s">
        <v>129</v>
      </c>
      <c r="D5859" s="4"/>
      <c r="E5859" s="4" t="s">
        <v>921</v>
      </c>
      <c r="F5859" s="46" t="s">
        <v>2824</v>
      </c>
      <c r="G5859" s="4" t="s">
        <v>336</v>
      </c>
      <c r="H5859" s="4" t="s">
        <v>380</v>
      </c>
      <c r="I5859" s="4">
        <v>0.104</v>
      </c>
      <c r="J5859" s="21">
        <v>400</v>
      </c>
      <c r="K5859" s="21">
        <v>41.6</v>
      </c>
      <c r="L5859" s="5">
        <v>0</v>
      </c>
      <c r="M5859" s="4"/>
      <c r="N5859" s="4"/>
      <c r="O5859" s="5"/>
      <c r="P5859" s="5"/>
      <c r="Q5859" s="21">
        <v>0</v>
      </c>
      <c r="R5859" s="21">
        <v>0</v>
      </c>
      <c r="S5859" s="5">
        <f t="shared" si="367"/>
        <v>74467.802167016096</v>
      </c>
      <c r="T5859" cm="1">
        <f t="array" ref="T5859">IF(OR(B5859="MAL ALIMI", B5859="ÜRETİM GİRİŞ"), MIN(I5859, MAX(0, I5859 + SUM(SUMIFS($I$1:I5858, $C$1:C5858, C5859, $B$1:B5858, {"MAL ALIMI","ÜRETİM GİRİŞ"})) - VLOOKUP(C5859, 'STOK RAPORU'!$C$2:$I$1000, 4, 0))), 0)</f>
        <v>0</v>
      </c>
      <c r="U5859" s="22">
        <f t="shared" si="364"/>
        <v>0</v>
      </c>
      <c r="V5859">
        <f t="shared" si="365"/>
        <v>0</v>
      </c>
      <c r="W5859" s="22">
        <f t="shared" si="366"/>
        <v>0</v>
      </c>
    </row>
    <row r="5860" spans="1:23" hidden="1" x14ac:dyDescent="0.25">
      <c r="A5860" s="3">
        <v>46109</v>
      </c>
      <c r="B5860" s="4" t="s">
        <v>334</v>
      </c>
      <c r="C5860" s="4" t="s">
        <v>96</v>
      </c>
      <c r="D5860" s="4"/>
      <c r="E5860" s="4" t="s">
        <v>921</v>
      </c>
      <c r="F5860" s="46" t="s">
        <v>2824</v>
      </c>
      <c r="G5860" s="4" t="s">
        <v>336</v>
      </c>
      <c r="H5860" s="4" t="s">
        <v>380</v>
      </c>
      <c r="I5860" s="4">
        <v>0.20200000000000001</v>
      </c>
      <c r="J5860" s="21">
        <v>400</v>
      </c>
      <c r="K5860" s="21">
        <v>80.800000000000011</v>
      </c>
      <c r="L5860" s="5">
        <v>0</v>
      </c>
      <c r="M5860" s="4"/>
      <c r="N5860" s="4"/>
      <c r="O5860" s="5"/>
      <c r="P5860" s="5"/>
      <c r="Q5860" s="21">
        <v>0</v>
      </c>
      <c r="R5860" s="21">
        <v>0</v>
      </c>
      <c r="S5860" s="5">
        <f t="shared" si="367"/>
        <v>74467.802167016096</v>
      </c>
      <c r="T5860" cm="1">
        <f t="array" ref="T5860">IF(OR(B5860="MAL ALIMI", B5860="ÜRETİM GİRİŞ"), MIN(I5860, MAX(0, I5860 + SUM(SUMIFS($I$1:I5859, $C$1:C5859, C5860, $B$1:B5859, {"MAL ALIMI","ÜRETİM GİRİŞ"})) - VLOOKUP(C5860, 'STOK RAPORU'!$C$2:$I$1000, 4, 0))), 0)</f>
        <v>0</v>
      </c>
      <c r="U5860" s="22">
        <f t="shared" si="364"/>
        <v>0</v>
      </c>
      <c r="V5860">
        <f t="shared" si="365"/>
        <v>0</v>
      </c>
      <c r="W5860" s="22">
        <f t="shared" si="366"/>
        <v>0</v>
      </c>
    </row>
    <row r="5861" spans="1:23" hidden="1" x14ac:dyDescent="0.25">
      <c r="A5861" s="3">
        <v>46109</v>
      </c>
      <c r="B5861" s="4" t="s">
        <v>334</v>
      </c>
      <c r="C5861" s="4" t="s">
        <v>132</v>
      </c>
      <c r="D5861" s="4"/>
      <c r="E5861" s="4" t="s">
        <v>921</v>
      </c>
      <c r="F5861" s="46" t="s">
        <v>2824</v>
      </c>
      <c r="G5861" s="4" t="s">
        <v>336</v>
      </c>
      <c r="H5861" s="4" t="s">
        <v>380</v>
      </c>
      <c r="I5861" s="4">
        <v>0.106</v>
      </c>
      <c r="J5861" s="21">
        <v>450</v>
      </c>
      <c r="K5861" s="21">
        <v>47.699999999999996</v>
      </c>
      <c r="L5861" s="5">
        <v>0</v>
      </c>
      <c r="M5861" s="4"/>
      <c r="N5861" s="4"/>
      <c r="O5861" s="5"/>
      <c r="P5861" s="5"/>
      <c r="Q5861" s="21">
        <v>0</v>
      </c>
      <c r="R5861" s="21">
        <v>0</v>
      </c>
      <c r="S5861" s="5">
        <f t="shared" si="367"/>
        <v>74467.802167016096</v>
      </c>
      <c r="T5861" cm="1">
        <f t="array" ref="T5861">IF(OR(B5861="MAL ALIMI", B5861="ÜRETİM GİRİŞ"), MIN(I5861, MAX(0, I5861 + SUM(SUMIFS($I$1:I5860, $C$1:C5860, C5861, $B$1:B5860, {"MAL ALIMI","ÜRETİM GİRİŞ"})) - VLOOKUP(C5861, 'STOK RAPORU'!$C$2:$I$1000, 4, 0))), 0)</f>
        <v>0</v>
      </c>
      <c r="U5861" s="22">
        <f t="shared" si="364"/>
        <v>0</v>
      </c>
      <c r="V5861">
        <f t="shared" si="365"/>
        <v>0</v>
      </c>
      <c r="W5861" s="22">
        <f t="shared" si="366"/>
        <v>0</v>
      </c>
    </row>
    <row r="5862" spans="1:23" hidden="1" x14ac:dyDescent="0.25">
      <c r="A5862" s="3">
        <v>46109</v>
      </c>
      <c r="B5862" s="4" t="s">
        <v>334</v>
      </c>
      <c r="C5862" s="4" t="s">
        <v>126</v>
      </c>
      <c r="D5862" s="4"/>
      <c r="E5862" s="4" t="s">
        <v>921</v>
      </c>
      <c r="F5862" s="46" t="s">
        <v>2824</v>
      </c>
      <c r="G5862" s="4" t="s">
        <v>336</v>
      </c>
      <c r="H5862" s="4" t="s">
        <v>380</v>
      </c>
      <c r="I5862" s="4">
        <v>0.11799999999999999</v>
      </c>
      <c r="J5862" s="21">
        <v>600</v>
      </c>
      <c r="K5862" s="21">
        <v>70.8</v>
      </c>
      <c r="L5862" s="5">
        <v>0</v>
      </c>
      <c r="M5862" s="4"/>
      <c r="N5862" s="4"/>
      <c r="O5862" s="5"/>
      <c r="P5862" s="5"/>
      <c r="Q5862" s="21">
        <v>0</v>
      </c>
      <c r="R5862" s="21">
        <v>0</v>
      </c>
      <c r="S5862" s="5">
        <f t="shared" si="367"/>
        <v>74467.802167016096</v>
      </c>
      <c r="T5862" cm="1">
        <f t="array" ref="T5862">IF(OR(B5862="MAL ALIMI", B5862="ÜRETİM GİRİŞ"), MIN(I5862, MAX(0, I5862 + SUM(SUMIFS($I$1:I5861, $C$1:C5861, C5862, $B$1:B5861, {"MAL ALIMI","ÜRETİM GİRİŞ"})) - VLOOKUP(C5862, 'STOK RAPORU'!$C$2:$I$1000, 4, 0))), 0)</f>
        <v>0</v>
      </c>
      <c r="U5862" s="22">
        <f t="shared" si="364"/>
        <v>0</v>
      </c>
      <c r="V5862">
        <f t="shared" si="365"/>
        <v>0</v>
      </c>
      <c r="W5862" s="22">
        <f t="shared" si="366"/>
        <v>0</v>
      </c>
    </row>
    <row r="5863" spans="1:23" hidden="1" x14ac:dyDescent="0.25">
      <c r="A5863" s="3">
        <v>46109</v>
      </c>
      <c r="B5863" s="4" t="s">
        <v>334</v>
      </c>
      <c r="C5863" s="4" t="s">
        <v>601</v>
      </c>
      <c r="D5863" s="4"/>
      <c r="E5863" s="4" t="s">
        <v>921</v>
      </c>
      <c r="F5863" s="46" t="s">
        <v>2824</v>
      </c>
      <c r="G5863" s="4" t="s">
        <v>336</v>
      </c>
      <c r="H5863" s="4" t="s">
        <v>380</v>
      </c>
      <c r="I5863" s="4">
        <v>0.37</v>
      </c>
      <c r="J5863" s="21">
        <v>530</v>
      </c>
      <c r="K5863" s="21">
        <v>196.1</v>
      </c>
      <c r="L5863" s="5">
        <v>0</v>
      </c>
      <c r="M5863" s="4"/>
      <c r="N5863" s="4"/>
      <c r="O5863" s="5"/>
      <c r="P5863" s="5"/>
      <c r="Q5863" s="21">
        <v>0</v>
      </c>
      <c r="R5863" s="21">
        <v>0</v>
      </c>
      <c r="S5863" s="5">
        <f t="shared" si="367"/>
        <v>74467.802167016096</v>
      </c>
      <c r="T5863" cm="1">
        <f t="array" ref="T5863">IF(OR(B5863="MAL ALIMI", B5863="ÜRETİM GİRİŞ"), MIN(I5863, MAX(0, I5863 + SUM(SUMIFS($I$1:I5862, $C$1:C5862, C5863, $B$1:B5862, {"MAL ALIMI","ÜRETİM GİRİŞ"})) - VLOOKUP(C5863, 'STOK RAPORU'!$C$2:$I$1000, 4, 0))), 0)</f>
        <v>0</v>
      </c>
      <c r="U5863" s="22">
        <f t="shared" si="364"/>
        <v>0</v>
      </c>
      <c r="V5863">
        <f t="shared" si="365"/>
        <v>0</v>
      </c>
      <c r="W5863" s="22">
        <f t="shared" si="366"/>
        <v>0</v>
      </c>
    </row>
    <row r="5864" spans="1:23" hidden="1" x14ac:dyDescent="0.25">
      <c r="A5864" s="3">
        <v>46109</v>
      </c>
      <c r="B5864" s="4" t="s">
        <v>946</v>
      </c>
      <c r="C5864" s="4"/>
      <c r="D5864" s="4"/>
      <c r="E5864" s="4" t="s">
        <v>921</v>
      </c>
      <c r="F5864" s="4"/>
      <c r="G5864" s="4" t="s">
        <v>2841</v>
      </c>
      <c r="H5864" s="4" t="s">
        <v>380</v>
      </c>
      <c r="I5864" s="4">
        <v>1</v>
      </c>
      <c r="J5864" s="105">
        <v>1483.7</v>
      </c>
      <c r="K5864" s="21">
        <v>0</v>
      </c>
      <c r="L5864" s="115">
        <v>1483.7</v>
      </c>
      <c r="M5864" s="4"/>
      <c r="N5864" s="4"/>
      <c r="O5864" s="5"/>
      <c r="P5864" s="5"/>
      <c r="Q5864" s="21">
        <v>1483.7</v>
      </c>
      <c r="R5864" s="21">
        <v>0</v>
      </c>
      <c r="S5864" s="5">
        <f t="shared" si="367"/>
        <v>75951.502167016093</v>
      </c>
      <c r="T5864" cm="1">
        <f t="array" ref="T5864">IF(OR(B5864="MAL ALIMI", B5864="ÜRETİM GİRİŞ"), MIN(I5864, MAX(0, I5864 + SUM(SUMIFS($I$1:I5863, $C$1:C5863, C5864, $B$1:B5863, {"MAL ALIMI","ÜRETİM GİRİŞ"})) - VLOOKUP(C5864, 'STOK RAPORU'!$C$2:$I$1000, 4, 0))), 0)</f>
        <v>0</v>
      </c>
      <c r="U5864" s="22">
        <f t="shared" si="364"/>
        <v>0</v>
      </c>
      <c r="V5864">
        <f t="shared" si="365"/>
        <v>0</v>
      </c>
      <c r="W5864" s="22">
        <f t="shared" si="366"/>
        <v>0</v>
      </c>
    </row>
    <row r="5865" spans="1:23" hidden="1" x14ac:dyDescent="0.25">
      <c r="A5865" s="3">
        <v>46109</v>
      </c>
      <c r="B5865" s="4" t="s">
        <v>285</v>
      </c>
      <c r="C5865" s="4"/>
      <c r="D5865" s="4" t="s">
        <v>673</v>
      </c>
      <c r="E5865" s="4"/>
      <c r="F5865" s="4"/>
      <c r="G5865" s="4" t="s">
        <v>2841</v>
      </c>
      <c r="H5865" s="4" t="s">
        <v>289</v>
      </c>
      <c r="I5865" s="4">
        <v>1</v>
      </c>
      <c r="J5865" s="21">
        <v>1483.7</v>
      </c>
      <c r="K5865" s="21">
        <v>0</v>
      </c>
      <c r="L5865" s="5">
        <v>0</v>
      </c>
      <c r="M5865" s="4"/>
      <c r="N5865" s="4"/>
      <c r="O5865" s="5"/>
      <c r="P5865" s="5"/>
      <c r="Q5865" s="21">
        <v>0</v>
      </c>
      <c r="R5865" s="21">
        <v>1483.7</v>
      </c>
      <c r="S5865" s="5">
        <f t="shared" si="367"/>
        <v>74467.802167016096</v>
      </c>
      <c r="T5865" cm="1">
        <f t="array" ref="T5865">IF(OR(B5865="MAL ALIMI", B5865="ÜRETİM GİRİŞ"), MIN(I5865, MAX(0, I5865 + SUM(SUMIFS($I$1:I5864, $C$1:C5864, C5865, $B$1:B5864, {"MAL ALIMI","ÜRETİM GİRİŞ"})) - VLOOKUP(C5865, 'STOK RAPORU'!$C$2:$I$1000, 4, 0))), 0)</f>
        <v>0</v>
      </c>
      <c r="U5865" s="22">
        <f t="shared" si="364"/>
        <v>0</v>
      </c>
      <c r="V5865">
        <f t="shared" si="365"/>
        <v>0</v>
      </c>
      <c r="W5865" s="22">
        <f t="shared" si="366"/>
        <v>0</v>
      </c>
    </row>
    <row r="5866" spans="1:23" hidden="1" x14ac:dyDescent="0.25">
      <c r="A5866" s="3">
        <v>46110</v>
      </c>
      <c r="B5866" s="4" t="s">
        <v>334</v>
      </c>
      <c r="C5866" s="4" t="s">
        <v>459</v>
      </c>
      <c r="D5866" s="4"/>
      <c r="E5866" s="4"/>
      <c r="F5866" s="46" t="s">
        <v>2819</v>
      </c>
      <c r="G5866" s="4" t="s">
        <v>336</v>
      </c>
      <c r="H5866" s="4" t="s">
        <v>289</v>
      </c>
      <c r="I5866" s="4">
        <v>0.5</v>
      </c>
      <c r="J5866" s="21">
        <v>140</v>
      </c>
      <c r="K5866" s="21">
        <v>0</v>
      </c>
      <c r="L5866" s="5">
        <v>0</v>
      </c>
      <c r="M5866" s="4"/>
      <c r="N5866" s="4"/>
      <c r="O5866" s="5"/>
      <c r="P5866" s="5"/>
      <c r="Q5866" s="21">
        <v>70</v>
      </c>
      <c r="R5866" s="21">
        <v>0</v>
      </c>
      <c r="S5866" s="5">
        <f t="shared" si="367"/>
        <v>74537.802167016096</v>
      </c>
      <c r="T5866" cm="1">
        <f t="array" ref="T5866">IF(OR(B5866="MAL ALIMI", B5866="ÜRETİM GİRİŞ"), MIN(I5866, MAX(0, I5866 + SUM(SUMIFS($I$1:I5865, $C$1:C5865, C5866, $B$1:B5865, {"MAL ALIMI","ÜRETİM GİRİŞ"})) - VLOOKUP(C5866, 'STOK RAPORU'!$C$2:$I$1000, 4, 0))), 0)</f>
        <v>0</v>
      </c>
      <c r="U5866" s="22">
        <f t="shared" si="364"/>
        <v>0</v>
      </c>
      <c r="V5866">
        <f t="shared" si="365"/>
        <v>0</v>
      </c>
      <c r="W5866" s="22">
        <f t="shared" si="366"/>
        <v>0</v>
      </c>
    </row>
    <row r="5867" spans="1:23" hidden="1" x14ac:dyDescent="0.25">
      <c r="A5867" s="3">
        <v>46110</v>
      </c>
      <c r="B5867" s="4" t="s">
        <v>334</v>
      </c>
      <c r="C5867" s="4" t="s">
        <v>599</v>
      </c>
      <c r="D5867" s="4"/>
      <c r="E5867" s="4"/>
      <c r="F5867" s="46" t="s">
        <v>2820</v>
      </c>
      <c r="G5867" s="4" t="s">
        <v>336</v>
      </c>
      <c r="H5867" s="4" t="s">
        <v>289</v>
      </c>
      <c r="I5867" s="4">
        <v>1</v>
      </c>
      <c r="J5867" s="21">
        <v>50</v>
      </c>
      <c r="K5867" s="21">
        <v>0</v>
      </c>
      <c r="L5867" s="5">
        <v>0</v>
      </c>
      <c r="M5867" s="4"/>
      <c r="N5867" s="4"/>
      <c r="O5867" s="5"/>
      <c r="P5867" s="5"/>
      <c r="Q5867" s="21">
        <v>50</v>
      </c>
      <c r="R5867" s="21">
        <v>0</v>
      </c>
      <c r="S5867" s="5">
        <f t="shared" si="367"/>
        <v>74587.802167016096</v>
      </c>
      <c r="T5867" cm="1">
        <f t="array" ref="T5867">IF(OR(B5867="MAL ALIMI", B5867="ÜRETİM GİRİŞ"), MIN(I5867, MAX(0, I5867 + SUM(SUMIFS($I$1:I5866, $C$1:C5866, C5867, $B$1:B5866, {"MAL ALIMI","ÜRETİM GİRİŞ"})) - VLOOKUP(C5867, 'STOK RAPORU'!$C$2:$I$1000, 4, 0))), 0)</f>
        <v>0</v>
      </c>
      <c r="U5867" s="22">
        <f t="shared" si="364"/>
        <v>0</v>
      </c>
      <c r="V5867">
        <f t="shared" si="365"/>
        <v>0</v>
      </c>
      <c r="W5867" s="22">
        <f t="shared" si="366"/>
        <v>0</v>
      </c>
    </row>
    <row r="5868" spans="1:23" hidden="1" x14ac:dyDescent="0.25">
      <c r="A5868" s="3">
        <v>46110</v>
      </c>
      <c r="B5868" s="4" t="s">
        <v>334</v>
      </c>
      <c r="C5868" s="4" t="s">
        <v>156</v>
      </c>
      <c r="D5868" s="4"/>
      <c r="E5868" s="4"/>
      <c r="F5868" s="46" t="s">
        <v>2821</v>
      </c>
      <c r="G5868" s="4" t="s">
        <v>1945</v>
      </c>
      <c r="H5868" s="4" t="s">
        <v>289</v>
      </c>
      <c r="I5868" s="4">
        <v>1</v>
      </c>
      <c r="J5868" s="21">
        <v>100</v>
      </c>
      <c r="K5868" s="21">
        <v>0</v>
      </c>
      <c r="L5868" s="5">
        <v>0</v>
      </c>
      <c r="M5868" s="4"/>
      <c r="N5868" s="4"/>
      <c r="O5868" s="5"/>
      <c r="P5868" s="5"/>
      <c r="Q5868" s="21">
        <v>100</v>
      </c>
      <c r="R5868" s="21">
        <v>0</v>
      </c>
      <c r="S5868" s="5">
        <f t="shared" si="367"/>
        <v>74687.802167016096</v>
      </c>
      <c r="T5868" cm="1">
        <f t="array" ref="T5868">IF(OR(B5868="MAL ALIMI", B5868="ÜRETİM GİRİŞ"), MIN(I5868, MAX(0, I5868 + SUM(SUMIFS($I$1:I5867, $C$1:C5867, C5868, $B$1:B5867, {"MAL ALIMI","ÜRETİM GİRİŞ"})) - VLOOKUP(C5868, 'STOK RAPORU'!$C$2:$I$1000, 4, 0))), 0)</f>
        <v>0</v>
      </c>
      <c r="U5868" s="22">
        <f t="shared" si="364"/>
        <v>0</v>
      </c>
      <c r="V5868">
        <f t="shared" si="365"/>
        <v>0</v>
      </c>
      <c r="W5868" s="22">
        <f t="shared" si="366"/>
        <v>0</v>
      </c>
    </row>
    <row r="5869" spans="1:23" hidden="1" x14ac:dyDescent="0.25">
      <c r="A5869" s="3">
        <v>46110</v>
      </c>
      <c r="B5869" s="4" t="s">
        <v>334</v>
      </c>
      <c r="C5869" s="4" t="s">
        <v>2120</v>
      </c>
      <c r="D5869" s="4"/>
      <c r="E5869" s="4"/>
      <c r="F5869" s="46" t="s">
        <v>2821</v>
      </c>
      <c r="G5869" s="4" t="s">
        <v>1945</v>
      </c>
      <c r="H5869" s="4" t="s">
        <v>289</v>
      </c>
      <c r="I5869" s="4">
        <v>0.73399999999999999</v>
      </c>
      <c r="J5869" s="21">
        <v>35</v>
      </c>
      <c r="K5869" s="21">
        <v>0</v>
      </c>
      <c r="L5869" s="5">
        <v>0</v>
      </c>
      <c r="M5869" s="4"/>
      <c r="N5869" s="4"/>
      <c r="O5869" s="5"/>
      <c r="P5869" s="5"/>
      <c r="Q5869" s="21">
        <v>25.689999999999998</v>
      </c>
      <c r="R5869" s="21">
        <v>0</v>
      </c>
      <c r="S5869" s="5">
        <f t="shared" si="367"/>
        <v>74713.492167016098</v>
      </c>
      <c r="T5869" cm="1">
        <f t="array" ref="T5869">IF(OR(B5869="MAL ALIMI", B5869="ÜRETİM GİRİŞ"), MIN(I5869, MAX(0, I5869 + SUM(SUMIFS($I$1:I5868, $C$1:C5868, C5869, $B$1:B5868, {"MAL ALIMI","ÜRETİM GİRİŞ"})) - VLOOKUP(C5869, 'STOK RAPORU'!$C$2:$I$1000, 4, 0))), 0)</f>
        <v>0</v>
      </c>
      <c r="U5869" s="22">
        <f t="shared" si="364"/>
        <v>0</v>
      </c>
      <c r="V5869">
        <f t="shared" si="365"/>
        <v>0</v>
      </c>
      <c r="W5869" s="22">
        <f t="shared" si="366"/>
        <v>0</v>
      </c>
    </row>
    <row r="5870" spans="1:23" hidden="1" x14ac:dyDescent="0.25">
      <c r="A5870" s="3">
        <v>46110</v>
      </c>
      <c r="B5870" s="4" t="s">
        <v>334</v>
      </c>
      <c r="C5870" s="4" t="s">
        <v>892</v>
      </c>
      <c r="D5870" s="4"/>
      <c r="E5870" s="4"/>
      <c r="F5870" s="46" t="s">
        <v>2821</v>
      </c>
      <c r="G5870" s="4" t="s">
        <v>1945</v>
      </c>
      <c r="H5870" s="4" t="s">
        <v>289</v>
      </c>
      <c r="I5870" s="4">
        <v>0.5</v>
      </c>
      <c r="J5870" s="21">
        <v>30</v>
      </c>
      <c r="K5870" s="21">
        <v>0</v>
      </c>
      <c r="L5870" s="5">
        <v>0</v>
      </c>
      <c r="M5870" s="4"/>
      <c r="N5870" s="4"/>
      <c r="O5870" s="5"/>
      <c r="P5870" s="5"/>
      <c r="Q5870" s="21">
        <v>15</v>
      </c>
      <c r="R5870" s="21">
        <v>0</v>
      </c>
      <c r="S5870" s="5">
        <f t="shared" si="367"/>
        <v>74728.492167016098</v>
      </c>
      <c r="T5870" cm="1">
        <f t="array" ref="T5870">IF(OR(B5870="MAL ALIMI", B5870="ÜRETİM GİRİŞ"), MIN(I5870, MAX(0, I5870 + SUM(SUMIFS($I$1:I5869, $C$1:C5869, C5870, $B$1:B5869, {"MAL ALIMI","ÜRETİM GİRİŞ"})) - VLOOKUP(C5870, 'STOK RAPORU'!$C$2:$I$1000, 4, 0))), 0)</f>
        <v>0</v>
      </c>
      <c r="U5870" s="22">
        <f t="shared" si="364"/>
        <v>0</v>
      </c>
      <c r="V5870">
        <f t="shared" si="365"/>
        <v>0</v>
      </c>
      <c r="W5870" s="22">
        <f t="shared" si="366"/>
        <v>0</v>
      </c>
    </row>
    <row r="5871" spans="1:23" hidden="1" x14ac:dyDescent="0.25">
      <c r="A5871" s="3">
        <v>46110</v>
      </c>
      <c r="B5871" s="4" t="s">
        <v>334</v>
      </c>
      <c r="C5871" s="4" t="s">
        <v>2086</v>
      </c>
      <c r="D5871" s="4"/>
      <c r="E5871" s="4"/>
      <c r="F5871" s="46" t="s">
        <v>2821</v>
      </c>
      <c r="G5871" s="4" t="s">
        <v>1945</v>
      </c>
      <c r="H5871" s="4" t="s">
        <v>289</v>
      </c>
      <c r="I5871" s="4">
        <v>0.1</v>
      </c>
      <c r="J5871" s="21">
        <v>305</v>
      </c>
      <c r="K5871" s="21">
        <v>0</v>
      </c>
      <c r="L5871" s="5">
        <v>0</v>
      </c>
      <c r="M5871" s="4"/>
      <c r="N5871" s="4"/>
      <c r="O5871" s="5"/>
      <c r="P5871" s="5"/>
      <c r="Q5871" s="21">
        <v>30.5</v>
      </c>
      <c r="R5871" s="21">
        <v>0</v>
      </c>
      <c r="S5871" s="5">
        <f t="shared" si="367"/>
        <v>74758.992167016098</v>
      </c>
      <c r="T5871" cm="1">
        <f t="array" ref="T5871">IF(OR(B5871="MAL ALIMI", B5871="ÜRETİM GİRİŞ"), MIN(I5871, MAX(0, I5871 + SUM(SUMIFS($I$1:I5870, $C$1:C5870, C5871, $B$1:B5870, {"MAL ALIMI","ÜRETİM GİRİŞ"})) - VLOOKUP(C5871, 'STOK RAPORU'!$C$2:$I$1000, 4, 0))), 0)</f>
        <v>0</v>
      </c>
      <c r="U5871" s="22">
        <f t="shared" si="364"/>
        <v>0</v>
      </c>
      <c r="V5871">
        <f t="shared" si="365"/>
        <v>0</v>
      </c>
      <c r="W5871" s="22">
        <f t="shared" si="366"/>
        <v>0</v>
      </c>
    </row>
    <row r="5872" spans="1:23" hidden="1" x14ac:dyDescent="0.25">
      <c r="A5872" s="3">
        <v>46110</v>
      </c>
      <c r="B5872" s="4" t="s">
        <v>334</v>
      </c>
      <c r="C5872" s="4" t="s">
        <v>226</v>
      </c>
      <c r="D5872" s="4"/>
      <c r="E5872" s="4"/>
      <c r="F5872" s="46" t="s">
        <v>2821</v>
      </c>
      <c r="G5872" s="4" t="s">
        <v>1945</v>
      </c>
      <c r="H5872" s="4" t="s">
        <v>289</v>
      </c>
      <c r="I5872" s="4">
        <v>0.22727272727272727</v>
      </c>
      <c r="J5872" s="21">
        <v>130</v>
      </c>
      <c r="K5872" s="21">
        <v>0</v>
      </c>
      <c r="L5872" s="5">
        <v>0</v>
      </c>
      <c r="M5872" s="4"/>
      <c r="N5872" s="4"/>
      <c r="O5872" s="5"/>
      <c r="P5872" s="5"/>
      <c r="Q5872" s="21">
        <v>29.545454545454543</v>
      </c>
      <c r="R5872" s="21">
        <v>0</v>
      </c>
      <c r="S5872" s="5">
        <f t="shared" si="367"/>
        <v>74788.537621561554</v>
      </c>
      <c r="T5872" cm="1">
        <f t="array" ref="T5872">IF(OR(B5872="MAL ALIMI", B5872="ÜRETİM GİRİŞ"), MIN(I5872, MAX(0, I5872 + SUM(SUMIFS($I$1:I5871, $C$1:C5871, C5872, $B$1:B5871, {"MAL ALIMI","ÜRETİM GİRİŞ"})) - VLOOKUP(C5872, 'STOK RAPORU'!$C$2:$I$1000, 4, 0))), 0)</f>
        <v>0</v>
      </c>
      <c r="U5872" s="22">
        <f t="shared" si="364"/>
        <v>0</v>
      </c>
      <c r="V5872">
        <f t="shared" si="365"/>
        <v>0</v>
      </c>
      <c r="W5872" s="22">
        <f t="shared" si="366"/>
        <v>0</v>
      </c>
    </row>
    <row r="5873" spans="1:23" hidden="1" x14ac:dyDescent="0.25">
      <c r="A5873" s="3">
        <v>46110</v>
      </c>
      <c r="B5873" s="4" t="s">
        <v>334</v>
      </c>
      <c r="C5873" s="4" t="s">
        <v>2273</v>
      </c>
      <c r="D5873" s="4"/>
      <c r="E5873" s="4"/>
      <c r="F5873" s="46" t="s">
        <v>2821</v>
      </c>
      <c r="G5873" s="4" t="s">
        <v>1945</v>
      </c>
      <c r="H5873" s="4" t="s">
        <v>289</v>
      </c>
      <c r="I5873" s="4">
        <v>2</v>
      </c>
      <c r="J5873" s="21">
        <v>20</v>
      </c>
      <c r="K5873" s="21">
        <v>0</v>
      </c>
      <c r="L5873" s="5">
        <v>0</v>
      </c>
      <c r="M5873" s="4"/>
      <c r="N5873" s="4"/>
      <c r="O5873" s="5"/>
      <c r="P5873" s="5"/>
      <c r="Q5873" s="21">
        <v>40</v>
      </c>
      <c r="R5873" s="21">
        <v>0</v>
      </c>
      <c r="S5873" s="5">
        <f t="shared" si="367"/>
        <v>74828.537621561554</v>
      </c>
      <c r="T5873" cm="1">
        <f t="array" ref="T5873">IF(OR(B5873="MAL ALIMI", B5873="ÜRETİM GİRİŞ"), MIN(I5873, MAX(0, I5873 + SUM(SUMIFS($I$1:I5872, $C$1:C5872, C5873, $B$1:B5872, {"MAL ALIMI","ÜRETİM GİRİŞ"})) - VLOOKUP(C5873, 'STOK RAPORU'!$C$2:$I$1000, 4, 0))), 0)</f>
        <v>0</v>
      </c>
      <c r="U5873" s="22">
        <f t="shared" si="364"/>
        <v>0</v>
      </c>
      <c r="V5873">
        <f t="shared" si="365"/>
        <v>0</v>
      </c>
      <c r="W5873" s="22">
        <f t="shared" si="366"/>
        <v>0</v>
      </c>
    </row>
    <row r="5874" spans="1:23" hidden="1" x14ac:dyDescent="0.25">
      <c r="A5874" s="3">
        <v>46111</v>
      </c>
      <c r="B5874" s="4" t="s">
        <v>334</v>
      </c>
      <c r="C5874" s="4" t="s">
        <v>231</v>
      </c>
      <c r="D5874" s="4"/>
      <c r="E5874" s="4" t="s">
        <v>921</v>
      </c>
      <c r="F5874" s="46" t="s">
        <v>2822</v>
      </c>
      <c r="G5874" s="4" t="s">
        <v>336</v>
      </c>
      <c r="H5874" s="4" t="s">
        <v>380</v>
      </c>
      <c r="I5874" s="4">
        <v>1</v>
      </c>
      <c r="J5874" s="21">
        <v>200</v>
      </c>
      <c r="K5874" s="21">
        <v>200</v>
      </c>
      <c r="L5874" s="5">
        <v>0</v>
      </c>
      <c r="M5874" s="4"/>
      <c r="N5874" s="4"/>
      <c r="O5874" s="5"/>
      <c r="P5874" s="5"/>
      <c r="Q5874" s="21">
        <v>0</v>
      </c>
      <c r="R5874" s="21">
        <v>0</v>
      </c>
      <c r="S5874" s="5">
        <f t="shared" si="367"/>
        <v>74828.537621561554</v>
      </c>
      <c r="T5874" cm="1">
        <f t="array" ref="T5874">IF(OR(B5874="MAL ALIMI", B5874="ÜRETİM GİRİŞ"), MIN(I5874, MAX(0, I5874 + SUM(SUMIFS($I$1:I5873, $C$1:C5873, C5874, $B$1:B5873, {"MAL ALIMI","ÜRETİM GİRİŞ"})) - VLOOKUP(C5874, 'STOK RAPORU'!$C$2:$I$1000, 4, 0))), 0)</f>
        <v>0</v>
      </c>
      <c r="U5874" s="22">
        <f t="shared" ref="U5874:U5937" si="368">T5874*J5874</f>
        <v>0</v>
      </c>
      <c r="V5874">
        <f t="shared" ref="V5874:V5937" si="369">IF(OR(B5874="MAL ALIMI", B5874="ÜRETİM GİRİŞ"), I5874 * J5874, 0)</f>
        <v>0</v>
      </c>
      <c r="W5874" s="22">
        <f t="shared" ref="W5874:W5937" si="370">V5874-U5874</f>
        <v>0</v>
      </c>
    </row>
    <row r="5875" spans="1:23" hidden="1" x14ac:dyDescent="0.25">
      <c r="A5875" s="3">
        <v>46111</v>
      </c>
      <c r="B5875" s="4" t="s">
        <v>334</v>
      </c>
      <c r="C5875" s="4" t="s">
        <v>74</v>
      </c>
      <c r="D5875" s="4"/>
      <c r="E5875" s="4"/>
      <c r="F5875" s="46" t="s">
        <v>2824</v>
      </c>
      <c r="G5875" s="4" t="s">
        <v>336</v>
      </c>
      <c r="H5875" s="4" t="s">
        <v>289</v>
      </c>
      <c r="I5875" s="4">
        <v>0.05</v>
      </c>
      <c r="J5875" s="21">
        <v>1400</v>
      </c>
      <c r="K5875" s="21">
        <v>0</v>
      </c>
      <c r="L5875" s="5">
        <v>0</v>
      </c>
      <c r="M5875" s="4"/>
      <c r="N5875" s="4"/>
      <c r="O5875" s="5"/>
      <c r="P5875" s="5"/>
      <c r="Q5875" s="21">
        <v>70</v>
      </c>
      <c r="R5875" s="21">
        <v>0</v>
      </c>
      <c r="S5875" s="5">
        <f t="shared" si="367"/>
        <v>74898.537621561554</v>
      </c>
      <c r="T5875" cm="1">
        <f t="array" ref="T5875">IF(OR(B5875="MAL ALIMI", B5875="ÜRETİM GİRİŞ"), MIN(I5875, MAX(0, I5875 + SUM(SUMIFS($I$1:I5874, $C$1:C5874, C5875, $B$1:B5874, {"MAL ALIMI","ÜRETİM GİRİŞ"})) - VLOOKUP(C5875, 'STOK RAPORU'!$C$2:$I$1000, 4, 0))), 0)</f>
        <v>0</v>
      </c>
      <c r="U5875" s="22">
        <f t="shared" si="368"/>
        <v>0</v>
      </c>
      <c r="V5875">
        <f t="shared" si="369"/>
        <v>0</v>
      </c>
      <c r="W5875" s="22">
        <f t="shared" si="370"/>
        <v>0</v>
      </c>
    </row>
    <row r="5876" spans="1:23" hidden="1" x14ac:dyDescent="0.25">
      <c r="A5876" s="3">
        <v>46111</v>
      </c>
      <c r="B5876" s="4" t="s">
        <v>334</v>
      </c>
      <c r="C5876" s="4" t="s">
        <v>529</v>
      </c>
      <c r="D5876" s="4"/>
      <c r="E5876" s="4"/>
      <c r="F5876" s="46" t="s">
        <v>2824</v>
      </c>
      <c r="G5876" s="4" t="s">
        <v>336</v>
      </c>
      <c r="H5876" s="4" t="s">
        <v>289</v>
      </c>
      <c r="I5876" s="4">
        <v>0.1</v>
      </c>
      <c r="J5876" s="21">
        <v>600</v>
      </c>
      <c r="K5876" s="21">
        <v>0</v>
      </c>
      <c r="L5876" s="5">
        <v>0</v>
      </c>
      <c r="M5876" s="4"/>
      <c r="N5876" s="4"/>
      <c r="O5876" s="5"/>
      <c r="P5876" s="5"/>
      <c r="Q5876" s="21">
        <v>60</v>
      </c>
      <c r="R5876" s="21">
        <v>0</v>
      </c>
      <c r="S5876" s="5">
        <f t="shared" si="367"/>
        <v>74958.537621561554</v>
      </c>
      <c r="T5876" cm="1">
        <f t="array" ref="T5876">IF(OR(B5876="MAL ALIMI", B5876="ÜRETİM GİRİŞ"), MIN(I5876, MAX(0, I5876 + SUM(SUMIFS($I$1:I5875, $C$1:C5875, C5876, $B$1:B5875, {"MAL ALIMI","ÜRETİM GİRİŞ"})) - VLOOKUP(C5876, 'STOK RAPORU'!$C$2:$I$1000, 4, 0))), 0)</f>
        <v>0</v>
      </c>
      <c r="U5876" s="22">
        <f t="shared" si="368"/>
        <v>0</v>
      </c>
      <c r="V5876">
        <f t="shared" si="369"/>
        <v>0</v>
      </c>
      <c r="W5876" s="22">
        <f t="shared" si="370"/>
        <v>0</v>
      </c>
    </row>
    <row r="5877" spans="1:23" hidden="1" x14ac:dyDescent="0.25">
      <c r="A5877" s="3">
        <v>46111</v>
      </c>
      <c r="B5877" s="4" t="s">
        <v>334</v>
      </c>
      <c r="C5877" s="4" t="s">
        <v>599</v>
      </c>
      <c r="D5877" s="4"/>
      <c r="E5877" s="4"/>
      <c r="F5877" s="46" t="s">
        <v>2825</v>
      </c>
      <c r="G5877" s="4" t="s">
        <v>336</v>
      </c>
      <c r="H5877" s="4" t="s">
        <v>289</v>
      </c>
      <c r="I5877" s="4">
        <v>1</v>
      </c>
      <c r="J5877" s="21">
        <v>50</v>
      </c>
      <c r="K5877" s="21">
        <v>0</v>
      </c>
      <c r="L5877" s="5">
        <v>0</v>
      </c>
      <c r="M5877" s="4"/>
      <c r="N5877" s="4"/>
      <c r="O5877" s="5"/>
      <c r="P5877" s="5"/>
      <c r="Q5877" s="21">
        <v>50</v>
      </c>
      <c r="R5877" s="21">
        <v>0</v>
      </c>
      <c r="S5877" s="5">
        <f t="shared" si="367"/>
        <v>75008.537621561554</v>
      </c>
      <c r="T5877" cm="1">
        <f t="array" ref="T5877">IF(OR(B5877="MAL ALIMI", B5877="ÜRETİM GİRİŞ"), MIN(I5877, MAX(0, I5877 + SUM(SUMIFS($I$1:I5876, $C$1:C5876, C5877, $B$1:B5876, {"MAL ALIMI","ÜRETİM GİRİŞ"})) - VLOOKUP(C5877, 'STOK RAPORU'!$C$2:$I$1000, 4, 0))), 0)</f>
        <v>0</v>
      </c>
      <c r="U5877" s="22">
        <f t="shared" si="368"/>
        <v>0</v>
      </c>
      <c r="V5877">
        <f t="shared" si="369"/>
        <v>0</v>
      </c>
      <c r="W5877" s="22">
        <f t="shared" si="370"/>
        <v>0</v>
      </c>
    </row>
    <row r="5878" spans="1:23" hidden="1" x14ac:dyDescent="0.25">
      <c r="A5878" s="3">
        <v>46111</v>
      </c>
      <c r="B5878" s="4" t="s">
        <v>334</v>
      </c>
      <c r="C5878" s="4" t="s">
        <v>126</v>
      </c>
      <c r="D5878" s="4"/>
      <c r="E5878" s="4" t="s">
        <v>921</v>
      </c>
      <c r="F5878" s="46" t="s">
        <v>2826</v>
      </c>
      <c r="G5878" s="4" t="s">
        <v>336</v>
      </c>
      <c r="H5878" s="4" t="s">
        <v>380</v>
      </c>
      <c r="I5878" s="4">
        <v>6.5000000000000002E-2</v>
      </c>
      <c r="J5878" s="21">
        <v>650</v>
      </c>
      <c r="K5878" s="21">
        <v>42.25</v>
      </c>
      <c r="L5878" s="5">
        <v>0</v>
      </c>
      <c r="M5878" s="4"/>
      <c r="N5878" s="4"/>
      <c r="O5878" s="5"/>
      <c r="P5878" s="5"/>
      <c r="Q5878" s="21">
        <v>0</v>
      </c>
      <c r="R5878" s="21">
        <v>0</v>
      </c>
      <c r="S5878" s="5">
        <f t="shared" si="367"/>
        <v>75008.537621561554</v>
      </c>
      <c r="T5878" cm="1">
        <f t="array" ref="T5878">IF(OR(B5878="MAL ALIMI", B5878="ÜRETİM GİRİŞ"), MIN(I5878, MAX(0, I5878 + SUM(SUMIFS($I$1:I5877, $C$1:C5877, C5878, $B$1:B5877, {"MAL ALIMI","ÜRETİM GİRİŞ"})) - VLOOKUP(C5878, 'STOK RAPORU'!$C$2:$I$1000, 4, 0))), 0)</f>
        <v>0</v>
      </c>
      <c r="U5878" s="22">
        <f t="shared" si="368"/>
        <v>0</v>
      </c>
      <c r="V5878">
        <f t="shared" si="369"/>
        <v>0</v>
      </c>
      <c r="W5878" s="22">
        <f t="shared" si="370"/>
        <v>0</v>
      </c>
    </row>
    <row r="5879" spans="1:23" hidden="1" x14ac:dyDescent="0.25">
      <c r="A5879" s="3">
        <v>46111</v>
      </c>
      <c r="B5879" s="4" t="s">
        <v>334</v>
      </c>
      <c r="C5879" s="4" t="s">
        <v>196</v>
      </c>
      <c r="D5879" s="4"/>
      <c r="E5879" s="4"/>
      <c r="F5879" s="46" t="s">
        <v>2827</v>
      </c>
      <c r="G5879" s="4" t="s">
        <v>1945</v>
      </c>
      <c r="H5879" s="4" t="s">
        <v>289</v>
      </c>
      <c r="I5879" s="4">
        <v>0.2608695652173913</v>
      </c>
      <c r="J5879" s="21">
        <v>140</v>
      </c>
      <c r="K5879" s="21">
        <v>0</v>
      </c>
      <c r="L5879" s="5">
        <v>0</v>
      </c>
      <c r="M5879" s="4"/>
      <c r="N5879" s="4"/>
      <c r="O5879" s="5"/>
      <c r="P5879" s="5"/>
      <c r="Q5879" s="21">
        <v>36.521739130434781</v>
      </c>
      <c r="R5879" s="21">
        <v>0</v>
      </c>
      <c r="S5879" s="5">
        <f t="shared" si="367"/>
        <v>75045.059360691987</v>
      </c>
      <c r="T5879" cm="1">
        <f t="array" ref="T5879">IF(OR(B5879="MAL ALIMI", B5879="ÜRETİM GİRİŞ"), MIN(I5879, MAX(0, I5879 + SUM(SUMIFS($I$1:I5878, $C$1:C5878, C5879, $B$1:B5878, {"MAL ALIMI","ÜRETİM GİRİŞ"})) - VLOOKUP(C5879, 'STOK RAPORU'!$C$2:$I$1000, 4, 0))), 0)</f>
        <v>0</v>
      </c>
      <c r="U5879" s="22">
        <f t="shared" si="368"/>
        <v>0</v>
      </c>
      <c r="V5879">
        <f t="shared" si="369"/>
        <v>0</v>
      </c>
      <c r="W5879" s="22">
        <f t="shared" si="370"/>
        <v>0</v>
      </c>
    </row>
    <row r="5880" spans="1:23" hidden="1" x14ac:dyDescent="0.25">
      <c r="A5880" s="3">
        <v>46111</v>
      </c>
      <c r="B5880" s="4" t="s">
        <v>334</v>
      </c>
      <c r="C5880" s="4" t="s">
        <v>137</v>
      </c>
      <c r="D5880" s="4"/>
      <c r="E5880" s="4"/>
      <c r="F5880" s="46" t="s">
        <v>2828</v>
      </c>
      <c r="G5880" s="4" t="s">
        <v>336</v>
      </c>
      <c r="H5880" s="4" t="s">
        <v>289</v>
      </c>
      <c r="I5880" s="4">
        <v>0.27777777777777779</v>
      </c>
      <c r="J5880" s="21">
        <v>180</v>
      </c>
      <c r="K5880" s="21">
        <v>0</v>
      </c>
      <c r="L5880" s="5">
        <v>0</v>
      </c>
      <c r="M5880" s="4"/>
      <c r="N5880" s="4"/>
      <c r="O5880" s="5"/>
      <c r="P5880" s="5"/>
      <c r="Q5880" s="21">
        <v>50</v>
      </c>
      <c r="R5880" s="21">
        <v>0</v>
      </c>
      <c r="S5880" s="5">
        <f t="shared" si="367"/>
        <v>75095.059360691987</v>
      </c>
      <c r="T5880" cm="1">
        <f t="array" ref="T5880">IF(OR(B5880="MAL ALIMI", B5880="ÜRETİM GİRİŞ"), MIN(I5880, MAX(0, I5880 + SUM(SUMIFS($I$1:I5879, $C$1:C5879, C5880, $B$1:B5879, {"MAL ALIMI","ÜRETİM GİRİŞ"})) - VLOOKUP(C5880, 'STOK RAPORU'!$C$2:$I$1000, 4, 0))), 0)</f>
        <v>0</v>
      </c>
      <c r="U5880" s="22">
        <f t="shared" si="368"/>
        <v>0</v>
      </c>
      <c r="V5880">
        <f t="shared" si="369"/>
        <v>0</v>
      </c>
      <c r="W5880" s="22">
        <f t="shared" si="370"/>
        <v>0</v>
      </c>
    </row>
    <row r="5881" spans="1:23" hidden="1" x14ac:dyDescent="0.25">
      <c r="A5881" s="3">
        <v>46111</v>
      </c>
      <c r="B5881" s="4" t="s">
        <v>334</v>
      </c>
      <c r="C5881" s="4" t="s">
        <v>129</v>
      </c>
      <c r="D5881" s="4"/>
      <c r="E5881" s="4"/>
      <c r="F5881" s="46" t="s">
        <v>2828</v>
      </c>
      <c r="G5881" s="4" t="s">
        <v>336</v>
      </c>
      <c r="H5881" s="4" t="s">
        <v>289</v>
      </c>
      <c r="I5881" s="4">
        <v>0.125</v>
      </c>
      <c r="J5881" s="21">
        <v>400</v>
      </c>
      <c r="K5881" s="21">
        <v>0</v>
      </c>
      <c r="L5881" s="5">
        <v>0</v>
      </c>
      <c r="M5881" s="4"/>
      <c r="N5881" s="4"/>
      <c r="O5881" s="5"/>
      <c r="P5881" s="5"/>
      <c r="Q5881" s="21">
        <v>50</v>
      </c>
      <c r="R5881" s="21">
        <v>0</v>
      </c>
      <c r="S5881" s="5">
        <f t="shared" si="367"/>
        <v>75145.059360691987</v>
      </c>
      <c r="T5881" cm="1">
        <f t="array" ref="T5881">IF(OR(B5881="MAL ALIMI", B5881="ÜRETİM GİRİŞ"), MIN(I5881, MAX(0, I5881 + SUM(SUMIFS($I$1:I5880, $C$1:C5880, C5881, $B$1:B5880, {"MAL ALIMI","ÜRETİM GİRİŞ"})) - VLOOKUP(C5881, 'STOK RAPORU'!$C$2:$I$1000, 4, 0))), 0)</f>
        <v>0</v>
      </c>
      <c r="U5881" s="22">
        <f t="shared" si="368"/>
        <v>0</v>
      </c>
      <c r="V5881">
        <f t="shared" si="369"/>
        <v>0</v>
      </c>
      <c r="W5881" s="22">
        <f t="shared" si="370"/>
        <v>0</v>
      </c>
    </row>
    <row r="5882" spans="1:23" hidden="1" x14ac:dyDescent="0.25">
      <c r="A5882" s="3">
        <v>46111</v>
      </c>
      <c r="B5882" s="4" t="s">
        <v>334</v>
      </c>
      <c r="C5882" s="4" t="s">
        <v>3167</v>
      </c>
      <c r="D5882" s="4"/>
      <c r="E5882" s="4"/>
      <c r="F5882" s="46" t="s">
        <v>2828</v>
      </c>
      <c r="G5882" s="4" t="s">
        <v>336</v>
      </c>
      <c r="H5882" s="4" t="s">
        <v>289</v>
      </c>
      <c r="I5882" s="4">
        <v>6.25E-2</v>
      </c>
      <c r="J5882" s="21">
        <v>400</v>
      </c>
      <c r="K5882" s="21">
        <v>0</v>
      </c>
      <c r="L5882" s="5">
        <v>0</v>
      </c>
      <c r="M5882" s="4"/>
      <c r="N5882" s="4"/>
      <c r="O5882" s="5"/>
      <c r="P5882" s="5"/>
      <c r="Q5882" s="21">
        <v>25</v>
      </c>
      <c r="R5882" s="21">
        <v>0</v>
      </c>
      <c r="S5882" s="5">
        <f t="shared" si="367"/>
        <v>75170.059360691987</v>
      </c>
      <c r="T5882" cm="1">
        <f t="array" ref="T5882">IF(OR(B5882="MAL ALIMI", B5882="ÜRETİM GİRİŞ"), MIN(I5882, MAX(0, I5882 + SUM(SUMIFS($I$1:I5881, $C$1:C5881, C5882, $B$1:B5881, {"MAL ALIMI","ÜRETİM GİRİŞ"})) - VLOOKUP(C5882, 'STOK RAPORU'!$C$2:$I$1000, 4, 0))), 0)</f>
        <v>0</v>
      </c>
      <c r="U5882" s="22">
        <f t="shared" si="368"/>
        <v>0</v>
      </c>
      <c r="V5882">
        <f t="shared" si="369"/>
        <v>0</v>
      </c>
      <c r="W5882" s="22">
        <f t="shared" si="370"/>
        <v>0</v>
      </c>
    </row>
    <row r="5883" spans="1:23" hidden="1" x14ac:dyDescent="0.25">
      <c r="A5883" s="3">
        <v>46111</v>
      </c>
      <c r="B5883" s="4" t="s">
        <v>334</v>
      </c>
      <c r="C5883" s="4" t="s">
        <v>463</v>
      </c>
      <c r="D5883" s="4"/>
      <c r="E5883" s="4"/>
      <c r="F5883" s="46" t="s">
        <v>2828</v>
      </c>
      <c r="G5883" s="4" t="s">
        <v>336</v>
      </c>
      <c r="H5883" s="4" t="s">
        <v>289</v>
      </c>
      <c r="I5883" s="4">
        <v>6.25E-2</v>
      </c>
      <c r="J5883" s="21">
        <v>400</v>
      </c>
      <c r="K5883" s="21">
        <v>0</v>
      </c>
      <c r="L5883" s="5">
        <v>0</v>
      </c>
      <c r="M5883" s="4"/>
      <c r="N5883" s="4"/>
      <c r="O5883" s="5"/>
      <c r="P5883" s="5"/>
      <c r="Q5883" s="21">
        <v>25</v>
      </c>
      <c r="R5883" s="21">
        <v>0</v>
      </c>
      <c r="S5883" s="5">
        <f t="shared" si="367"/>
        <v>75195.059360691987</v>
      </c>
      <c r="T5883" cm="1">
        <f t="array" ref="T5883">IF(OR(B5883="MAL ALIMI", B5883="ÜRETİM GİRİŞ"), MIN(I5883, MAX(0, I5883 + SUM(SUMIFS($I$1:I5882, $C$1:C5882, C5883, $B$1:B5882, {"MAL ALIMI","ÜRETİM GİRİŞ"})) - VLOOKUP(C5883, 'STOK RAPORU'!$C$2:$I$1000, 4, 0))), 0)</f>
        <v>0</v>
      </c>
      <c r="U5883" s="22">
        <f t="shared" si="368"/>
        <v>0</v>
      </c>
      <c r="V5883">
        <f t="shared" si="369"/>
        <v>0</v>
      </c>
      <c r="W5883" s="22">
        <f t="shared" si="370"/>
        <v>0</v>
      </c>
    </row>
    <row r="5884" spans="1:23" hidden="1" x14ac:dyDescent="0.25">
      <c r="A5884" s="3">
        <v>46111</v>
      </c>
      <c r="B5884" s="4" t="s">
        <v>334</v>
      </c>
      <c r="C5884" s="4" t="s">
        <v>126</v>
      </c>
      <c r="D5884" s="4"/>
      <c r="E5884" s="4"/>
      <c r="F5884" s="46" t="s">
        <v>2828</v>
      </c>
      <c r="G5884" s="4" t="s">
        <v>336</v>
      </c>
      <c r="H5884" s="4" t="s">
        <v>289</v>
      </c>
      <c r="I5884" s="4">
        <v>7.6923076923076927E-2</v>
      </c>
      <c r="J5884" s="21">
        <v>650</v>
      </c>
      <c r="K5884" s="21">
        <v>0</v>
      </c>
      <c r="L5884" s="5">
        <v>0</v>
      </c>
      <c r="M5884" s="4"/>
      <c r="N5884" s="4"/>
      <c r="O5884" s="5"/>
      <c r="P5884" s="5"/>
      <c r="Q5884" s="21">
        <v>50</v>
      </c>
      <c r="R5884" s="21">
        <v>0</v>
      </c>
      <c r="S5884" s="5">
        <f t="shared" si="367"/>
        <v>75245.059360691987</v>
      </c>
      <c r="T5884" cm="1">
        <f t="array" ref="T5884">IF(OR(B5884="MAL ALIMI", B5884="ÜRETİM GİRİŞ"), MIN(I5884, MAX(0, I5884 + SUM(SUMIFS($I$1:I5883, $C$1:C5883, C5884, $B$1:B5883, {"MAL ALIMI","ÜRETİM GİRİŞ"})) - VLOOKUP(C5884, 'STOK RAPORU'!$C$2:$I$1000, 4, 0))), 0)</f>
        <v>0</v>
      </c>
      <c r="U5884" s="22">
        <f t="shared" si="368"/>
        <v>0</v>
      </c>
      <c r="V5884">
        <f t="shared" si="369"/>
        <v>0</v>
      </c>
      <c r="W5884" s="22">
        <f t="shared" si="370"/>
        <v>0</v>
      </c>
    </row>
    <row r="5885" spans="1:23" hidden="1" x14ac:dyDescent="0.25">
      <c r="A5885" s="3">
        <v>46111</v>
      </c>
      <c r="B5885" s="4" t="s">
        <v>334</v>
      </c>
      <c r="C5885" s="4" t="s">
        <v>2087</v>
      </c>
      <c r="D5885" s="4"/>
      <c r="E5885" s="4"/>
      <c r="F5885" s="46" t="s">
        <v>2829</v>
      </c>
      <c r="G5885" s="4" t="s">
        <v>336</v>
      </c>
      <c r="H5885" s="4" t="s">
        <v>289</v>
      </c>
      <c r="I5885" s="4">
        <v>0.27906976744186046</v>
      </c>
      <c r="J5885" s="21">
        <v>430</v>
      </c>
      <c r="K5885" s="21">
        <v>0</v>
      </c>
      <c r="L5885" s="5">
        <v>0</v>
      </c>
      <c r="M5885" s="4"/>
      <c r="N5885" s="4"/>
      <c r="O5885" s="5"/>
      <c r="P5885" s="5"/>
      <c r="Q5885" s="21">
        <v>120</v>
      </c>
      <c r="R5885" s="21">
        <v>0</v>
      </c>
      <c r="S5885" s="5">
        <f t="shared" si="367"/>
        <v>75365.059360691987</v>
      </c>
      <c r="T5885" cm="1">
        <f t="array" ref="T5885">IF(OR(B5885="MAL ALIMI", B5885="ÜRETİM GİRİŞ"), MIN(I5885, MAX(0, I5885 + SUM(SUMIFS($I$1:I5884, $C$1:C5884, C5885, $B$1:B5884, {"MAL ALIMI","ÜRETİM GİRİŞ"})) - VLOOKUP(C5885, 'STOK RAPORU'!$C$2:$I$1000, 4, 0))), 0)</f>
        <v>0</v>
      </c>
      <c r="U5885" s="22">
        <f t="shared" si="368"/>
        <v>0</v>
      </c>
      <c r="V5885">
        <f t="shared" si="369"/>
        <v>0</v>
      </c>
      <c r="W5885" s="22">
        <f t="shared" si="370"/>
        <v>0</v>
      </c>
    </row>
    <row r="5886" spans="1:23" hidden="1" x14ac:dyDescent="0.25">
      <c r="A5886" s="3">
        <v>46111</v>
      </c>
      <c r="B5886" s="4" t="s">
        <v>334</v>
      </c>
      <c r="C5886" s="4" t="s">
        <v>523</v>
      </c>
      <c r="D5886" s="4"/>
      <c r="E5886" s="4"/>
      <c r="F5886" s="46" t="s">
        <v>2830</v>
      </c>
      <c r="G5886" s="4" t="s">
        <v>336</v>
      </c>
      <c r="H5886" s="4" t="s">
        <v>289</v>
      </c>
      <c r="I5886" s="4">
        <v>0.08</v>
      </c>
      <c r="J5886" s="21">
        <v>750</v>
      </c>
      <c r="K5886" s="21">
        <v>0</v>
      </c>
      <c r="L5886" s="5">
        <v>0</v>
      </c>
      <c r="M5886" s="4"/>
      <c r="N5886" s="4"/>
      <c r="O5886" s="5"/>
      <c r="P5886" s="5"/>
      <c r="Q5886" s="21">
        <v>60</v>
      </c>
      <c r="R5886" s="21">
        <v>0</v>
      </c>
      <c r="S5886" s="5">
        <f t="shared" si="367"/>
        <v>75425.059360691987</v>
      </c>
      <c r="T5886" cm="1">
        <f t="array" ref="T5886">IF(OR(B5886="MAL ALIMI", B5886="ÜRETİM GİRİŞ"), MIN(I5886, MAX(0, I5886 + SUM(SUMIFS($I$1:I5885, $C$1:C5885, C5886, $B$1:B5885, {"MAL ALIMI","ÜRETİM GİRİŞ"})) - VLOOKUP(C5886, 'STOK RAPORU'!$C$2:$I$1000, 4, 0))), 0)</f>
        <v>0</v>
      </c>
      <c r="U5886" s="22">
        <f t="shared" si="368"/>
        <v>0</v>
      </c>
      <c r="V5886">
        <f t="shared" si="369"/>
        <v>0</v>
      </c>
      <c r="W5886" s="22">
        <f t="shared" si="370"/>
        <v>0</v>
      </c>
    </row>
    <row r="5887" spans="1:23" hidden="1" x14ac:dyDescent="0.25">
      <c r="A5887" s="3">
        <v>46112</v>
      </c>
      <c r="B5887" s="4" t="s">
        <v>334</v>
      </c>
      <c r="C5887" s="4" t="s">
        <v>157</v>
      </c>
      <c r="D5887" s="4"/>
      <c r="E5887" s="4"/>
      <c r="F5887" s="46" t="s">
        <v>2831</v>
      </c>
      <c r="G5887" s="4" t="s">
        <v>336</v>
      </c>
      <c r="H5887" s="4" t="s">
        <v>289</v>
      </c>
      <c r="I5887" s="4">
        <v>2</v>
      </c>
      <c r="J5887" s="21">
        <v>200</v>
      </c>
      <c r="K5887" s="21">
        <v>0</v>
      </c>
      <c r="L5887" s="5">
        <v>0</v>
      </c>
      <c r="M5887" s="4"/>
      <c r="N5887" s="4"/>
      <c r="O5887" s="5"/>
      <c r="P5887" s="5"/>
      <c r="Q5887" s="21">
        <v>400</v>
      </c>
      <c r="R5887" s="21">
        <v>0</v>
      </c>
      <c r="S5887" s="5">
        <f t="shared" si="367"/>
        <v>75825.059360691987</v>
      </c>
      <c r="T5887" cm="1">
        <f t="array" ref="T5887">IF(OR(B5887="MAL ALIMI", B5887="ÜRETİM GİRİŞ"), MIN(I5887, MAX(0, I5887 + SUM(SUMIFS($I$1:I5886, $C$1:C5886, C5887, $B$1:B5886, {"MAL ALIMI","ÜRETİM GİRİŞ"})) - VLOOKUP(C5887, 'STOK RAPORU'!$C$2:$I$1000, 4, 0))), 0)</f>
        <v>0</v>
      </c>
      <c r="U5887" s="22">
        <f t="shared" si="368"/>
        <v>0</v>
      </c>
      <c r="V5887">
        <f t="shared" si="369"/>
        <v>0</v>
      </c>
      <c r="W5887" s="22">
        <f t="shared" si="370"/>
        <v>0</v>
      </c>
    </row>
    <row r="5888" spans="1:23" hidden="1" x14ac:dyDescent="0.25">
      <c r="A5888" s="3">
        <v>46112</v>
      </c>
      <c r="B5888" s="4" t="s">
        <v>334</v>
      </c>
      <c r="C5888" s="4" t="s">
        <v>156</v>
      </c>
      <c r="D5888" s="4"/>
      <c r="E5888" s="4"/>
      <c r="F5888" s="46" t="s">
        <v>2831</v>
      </c>
      <c r="G5888" s="4" t="s">
        <v>336</v>
      </c>
      <c r="H5888" s="4" t="s">
        <v>289</v>
      </c>
      <c r="I5888" s="4">
        <v>1</v>
      </c>
      <c r="J5888" s="21">
        <v>200</v>
      </c>
      <c r="K5888" s="21">
        <v>0</v>
      </c>
      <c r="L5888" s="5">
        <v>0</v>
      </c>
      <c r="M5888" s="4"/>
      <c r="N5888" s="4"/>
      <c r="O5888" s="5"/>
      <c r="P5888" s="5"/>
      <c r="Q5888" s="21">
        <v>200</v>
      </c>
      <c r="R5888" s="21">
        <v>0</v>
      </c>
      <c r="S5888" s="5">
        <f t="shared" si="367"/>
        <v>76025.059360691987</v>
      </c>
      <c r="T5888" cm="1">
        <f t="array" ref="T5888">IF(OR(B5888="MAL ALIMI", B5888="ÜRETİM GİRİŞ"), MIN(I5888, MAX(0, I5888 + SUM(SUMIFS($I$1:I5887, $C$1:C5887, C5888, $B$1:B5887, {"MAL ALIMI","ÜRETİM GİRİŞ"})) - VLOOKUP(C5888, 'STOK RAPORU'!$C$2:$I$1000, 4, 0))), 0)</f>
        <v>0</v>
      </c>
      <c r="U5888" s="22">
        <f t="shared" si="368"/>
        <v>0</v>
      </c>
      <c r="V5888">
        <f t="shared" si="369"/>
        <v>0</v>
      </c>
      <c r="W5888" s="22">
        <f t="shared" si="370"/>
        <v>0</v>
      </c>
    </row>
    <row r="5889" spans="1:23" hidden="1" x14ac:dyDescent="0.25">
      <c r="A5889" s="3">
        <v>46112</v>
      </c>
      <c r="B5889" s="4" t="s">
        <v>334</v>
      </c>
      <c r="C5889" s="4" t="s">
        <v>126</v>
      </c>
      <c r="D5889" s="4"/>
      <c r="E5889" s="4" t="s">
        <v>921</v>
      </c>
      <c r="F5889" s="46" t="s">
        <v>2832</v>
      </c>
      <c r="G5889" s="4" t="s">
        <v>336</v>
      </c>
      <c r="H5889" s="4" t="s">
        <v>380</v>
      </c>
      <c r="I5889" s="4">
        <v>0.18461538461538463</v>
      </c>
      <c r="J5889" s="21">
        <v>650</v>
      </c>
      <c r="K5889" s="21">
        <v>120</v>
      </c>
      <c r="L5889" s="5">
        <v>0</v>
      </c>
      <c r="M5889" s="4"/>
      <c r="N5889" s="4"/>
      <c r="O5889" s="5"/>
      <c r="P5889" s="5"/>
      <c r="Q5889" s="21">
        <v>0</v>
      </c>
      <c r="R5889" s="21">
        <v>0</v>
      </c>
      <c r="S5889" s="5">
        <f t="shared" si="367"/>
        <v>76025.059360691987</v>
      </c>
      <c r="T5889" cm="1">
        <f t="array" ref="T5889">IF(OR(B5889="MAL ALIMI", B5889="ÜRETİM GİRİŞ"), MIN(I5889, MAX(0, I5889 + SUM(SUMIFS($I$1:I5888, $C$1:C5888, C5889, $B$1:B5888, {"MAL ALIMI","ÜRETİM GİRİŞ"})) - VLOOKUP(C5889, 'STOK RAPORU'!$C$2:$I$1000, 4, 0))), 0)</f>
        <v>0</v>
      </c>
      <c r="U5889" s="22">
        <f t="shared" si="368"/>
        <v>0</v>
      </c>
      <c r="V5889">
        <f t="shared" si="369"/>
        <v>0</v>
      </c>
      <c r="W5889" s="22">
        <f t="shared" si="370"/>
        <v>0</v>
      </c>
    </row>
    <row r="5890" spans="1:23" hidden="1" x14ac:dyDescent="0.25">
      <c r="A5890" s="3">
        <v>46112</v>
      </c>
      <c r="B5890" s="4" t="s">
        <v>334</v>
      </c>
      <c r="C5890" s="4" t="s">
        <v>158</v>
      </c>
      <c r="D5890" s="4"/>
      <c r="E5890" s="4"/>
      <c r="F5890" s="46" t="s">
        <v>2832</v>
      </c>
      <c r="G5890" s="4" t="s">
        <v>336</v>
      </c>
      <c r="H5890" s="4" t="s">
        <v>289</v>
      </c>
      <c r="I5890" s="4">
        <v>0.5</v>
      </c>
      <c r="J5890" s="21">
        <v>150</v>
      </c>
      <c r="K5890" s="21">
        <v>0</v>
      </c>
      <c r="L5890" s="5">
        <v>0</v>
      </c>
      <c r="M5890" s="4"/>
      <c r="N5890" s="4"/>
      <c r="O5890" s="5"/>
      <c r="P5890" s="5"/>
      <c r="Q5890" s="21">
        <v>75</v>
      </c>
      <c r="R5890" s="21">
        <v>0</v>
      </c>
      <c r="S5890" s="5">
        <f t="shared" si="367"/>
        <v>76100.059360691987</v>
      </c>
      <c r="T5890" cm="1">
        <f t="array" ref="T5890">IF(OR(B5890="MAL ALIMI", B5890="ÜRETİM GİRİŞ"), MIN(I5890, MAX(0, I5890 + SUM(SUMIFS($I$1:I5889, $C$1:C5889, C5890, $B$1:B5889, {"MAL ALIMI","ÜRETİM GİRİŞ"})) - VLOOKUP(C5890, 'STOK RAPORU'!$C$2:$I$1000, 4, 0))), 0)</f>
        <v>0</v>
      </c>
      <c r="U5890" s="22">
        <f t="shared" si="368"/>
        <v>0</v>
      </c>
      <c r="V5890">
        <f t="shared" si="369"/>
        <v>0</v>
      </c>
      <c r="W5890" s="22">
        <f t="shared" si="370"/>
        <v>0</v>
      </c>
    </row>
    <row r="5891" spans="1:23" hidden="1" x14ac:dyDescent="0.25">
      <c r="A5891" s="3">
        <v>46112</v>
      </c>
      <c r="B5891" s="4" t="s">
        <v>334</v>
      </c>
      <c r="C5891" s="4" t="s">
        <v>224</v>
      </c>
      <c r="D5891" s="4"/>
      <c r="E5891" s="4" t="s">
        <v>921</v>
      </c>
      <c r="F5891" s="46" t="s">
        <v>2833</v>
      </c>
      <c r="G5891" s="4" t="s">
        <v>336</v>
      </c>
      <c r="H5891" s="4" t="s">
        <v>380</v>
      </c>
      <c r="I5891" s="4">
        <v>0.05</v>
      </c>
      <c r="J5891" s="21">
        <v>900</v>
      </c>
      <c r="K5891" s="21">
        <v>45</v>
      </c>
      <c r="L5891" s="5">
        <v>0</v>
      </c>
      <c r="M5891" s="4"/>
      <c r="N5891" s="4"/>
      <c r="O5891" s="5"/>
      <c r="P5891" s="5"/>
      <c r="Q5891" s="21">
        <v>0</v>
      </c>
      <c r="R5891" s="21">
        <v>0</v>
      </c>
      <c r="S5891" s="5">
        <f t="shared" si="367"/>
        <v>76100.059360691987</v>
      </c>
      <c r="T5891" cm="1">
        <f t="array" ref="T5891">IF(OR(B5891="MAL ALIMI", B5891="ÜRETİM GİRİŞ"), MIN(I5891, MAX(0, I5891 + SUM(SUMIFS($I$1:I5890, $C$1:C5890, C5891, $B$1:B5890, {"MAL ALIMI","ÜRETİM GİRİŞ"})) - VLOOKUP(C5891, 'STOK RAPORU'!$C$2:$I$1000, 4, 0))), 0)</f>
        <v>0</v>
      </c>
      <c r="U5891" s="22">
        <f t="shared" si="368"/>
        <v>0</v>
      </c>
      <c r="V5891">
        <f t="shared" si="369"/>
        <v>0</v>
      </c>
      <c r="W5891" s="22">
        <f t="shared" si="370"/>
        <v>0</v>
      </c>
    </row>
    <row r="5892" spans="1:23" hidden="1" x14ac:dyDescent="0.25">
      <c r="A5892" s="3">
        <v>46112</v>
      </c>
      <c r="B5892" s="4" t="s">
        <v>334</v>
      </c>
      <c r="C5892" s="4" t="s">
        <v>1184</v>
      </c>
      <c r="D5892" s="4"/>
      <c r="E5892" s="4" t="s">
        <v>921</v>
      </c>
      <c r="F5892" s="46" t="s">
        <v>2833</v>
      </c>
      <c r="G5892" s="4" t="s">
        <v>336</v>
      </c>
      <c r="H5892" s="4" t="s">
        <v>380</v>
      </c>
      <c r="I5892" s="4">
        <v>0.1</v>
      </c>
      <c r="J5892" s="21">
        <v>900</v>
      </c>
      <c r="K5892" s="21">
        <v>90</v>
      </c>
      <c r="L5892" s="5">
        <v>0</v>
      </c>
      <c r="M5892" s="4"/>
      <c r="N5892" s="4"/>
      <c r="O5892" s="5"/>
      <c r="P5892" s="5"/>
      <c r="Q5892" s="21">
        <v>0</v>
      </c>
      <c r="R5892" s="21">
        <v>0</v>
      </c>
      <c r="S5892" s="5">
        <f t="shared" ref="S5892:S5955" si="371">S5891+Q5892-R5892</f>
        <v>76100.059360691987</v>
      </c>
      <c r="T5892" cm="1">
        <f t="array" ref="T5892">IF(OR(B5892="MAL ALIMI", B5892="ÜRETİM GİRİŞ"), MIN(I5892, MAX(0, I5892 + SUM(SUMIFS($I$1:I5891, $C$1:C5891, C5892, $B$1:B5891, {"MAL ALIMI","ÜRETİM GİRİŞ"})) - VLOOKUP(C5892, 'STOK RAPORU'!$C$2:$I$1000, 4, 0))), 0)</f>
        <v>0</v>
      </c>
      <c r="U5892" s="22">
        <f t="shared" si="368"/>
        <v>0</v>
      </c>
      <c r="V5892">
        <f t="shared" si="369"/>
        <v>0</v>
      </c>
      <c r="W5892" s="22">
        <f t="shared" si="370"/>
        <v>0</v>
      </c>
    </row>
    <row r="5893" spans="1:23" hidden="1" x14ac:dyDescent="0.25">
      <c r="A5893" s="3">
        <v>46112</v>
      </c>
      <c r="B5893" s="4" t="s">
        <v>334</v>
      </c>
      <c r="C5893" s="4" t="s">
        <v>161</v>
      </c>
      <c r="D5893" s="4"/>
      <c r="E5893" s="4"/>
      <c r="F5893" s="46" t="s">
        <v>2834</v>
      </c>
      <c r="G5893" s="4" t="s">
        <v>336</v>
      </c>
      <c r="H5893" s="4" t="s">
        <v>289</v>
      </c>
      <c r="I5893" s="4">
        <v>0.5</v>
      </c>
      <c r="J5893" s="21">
        <v>250</v>
      </c>
      <c r="K5893" s="21">
        <v>0</v>
      </c>
      <c r="L5893" s="5">
        <v>0</v>
      </c>
      <c r="M5893" s="4"/>
      <c r="N5893" s="4"/>
      <c r="O5893" s="5"/>
      <c r="P5893" s="5"/>
      <c r="Q5893" s="21">
        <v>125</v>
      </c>
      <c r="R5893" s="21">
        <v>0</v>
      </c>
      <c r="S5893" s="5">
        <f t="shared" si="371"/>
        <v>76225.059360691987</v>
      </c>
      <c r="T5893" cm="1">
        <f t="array" ref="T5893">IF(OR(B5893="MAL ALIMI", B5893="ÜRETİM GİRİŞ"), MIN(I5893, MAX(0, I5893 + SUM(SUMIFS($I$1:I5892, $C$1:C5892, C5893, $B$1:B5892, {"MAL ALIMI","ÜRETİM GİRİŞ"})) - VLOOKUP(C5893, 'STOK RAPORU'!$C$2:$I$1000, 4, 0))), 0)</f>
        <v>0</v>
      </c>
      <c r="U5893" s="22">
        <f t="shared" si="368"/>
        <v>0</v>
      </c>
      <c r="V5893">
        <f t="shared" si="369"/>
        <v>0</v>
      </c>
      <c r="W5893" s="22">
        <f t="shared" si="370"/>
        <v>0</v>
      </c>
    </row>
    <row r="5894" spans="1:23" hidden="1" x14ac:dyDescent="0.25">
      <c r="A5894" s="3">
        <v>46112</v>
      </c>
      <c r="B5894" s="4" t="s">
        <v>334</v>
      </c>
      <c r="C5894" s="4" t="s">
        <v>249</v>
      </c>
      <c r="D5894" s="4"/>
      <c r="E5894" s="4"/>
      <c r="F5894" s="46" t="s">
        <v>2835</v>
      </c>
      <c r="G5894" s="4" t="s">
        <v>336</v>
      </c>
      <c r="H5894" s="4" t="s">
        <v>289</v>
      </c>
      <c r="I5894" s="4">
        <v>0.1</v>
      </c>
      <c r="J5894" s="21">
        <v>900</v>
      </c>
      <c r="K5894" s="21">
        <v>0</v>
      </c>
      <c r="L5894" s="5">
        <v>0</v>
      </c>
      <c r="M5894" s="4"/>
      <c r="N5894" s="4"/>
      <c r="O5894" s="5"/>
      <c r="P5894" s="5"/>
      <c r="Q5894" s="21">
        <v>90</v>
      </c>
      <c r="R5894" s="21">
        <v>0</v>
      </c>
      <c r="S5894" s="5">
        <f t="shared" si="371"/>
        <v>76315.059360691987</v>
      </c>
      <c r="T5894" cm="1">
        <f t="array" ref="T5894">IF(OR(B5894="MAL ALIMI", B5894="ÜRETİM GİRİŞ"), MIN(I5894, MAX(0, I5894 + SUM(SUMIFS($I$1:I5893, $C$1:C5893, C5894, $B$1:B5893, {"MAL ALIMI","ÜRETİM GİRİŞ"})) - VLOOKUP(C5894, 'STOK RAPORU'!$C$2:$I$1000, 4, 0))), 0)</f>
        <v>0</v>
      </c>
      <c r="U5894" s="22">
        <f t="shared" si="368"/>
        <v>0</v>
      </c>
      <c r="V5894">
        <f t="shared" si="369"/>
        <v>0</v>
      </c>
      <c r="W5894" s="22">
        <f t="shared" si="370"/>
        <v>0</v>
      </c>
    </row>
    <row r="5895" spans="1:23" hidden="1" x14ac:dyDescent="0.25">
      <c r="A5895" s="3">
        <v>46112</v>
      </c>
      <c r="B5895" s="4" t="s">
        <v>334</v>
      </c>
      <c r="C5895" s="4" t="s">
        <v>166</v>
      </c>
      <c r="D5895" s="4"/>
      <c r="E5895" s="4"/>
      <c r="F5895" s="46" t="s">
        <v>2836</v>
      </c>
      <c r="G5895" s="4" t="s">
        <v>336</v>
      </c>
      <c r="H5895" s="4" t="s">
        <v>289</v>
      </c>
      <c r="I5895" s="4">
        <v>3.2000000000000001E-2</v>
      </c>
      <c r="J5895" s="21">
        <v>770</v>
      </c>
      <c r="K5895" s="21">
        <v>0</v>
      </c>
      <c r="L5895" s="5">
        <v>0</v>
      </c>
      <c r="M5895" s="4"/>
      <c r="N5895" s="4"/>
      <c r="O5895" s="5"/>
      <c r="P5895" s="5"/>
      <c r="Q5895" s="21">
        <v>24.64</v>
      </c>
      <c r="R5895" s="21">
        <v>0</v>
      </c>
      <c r="S5895" s="5">
        <f t="shared" si="371"/>
        <v>76339.699360691986</v>
      </c>
      <c r="T5895" cm="1">
        <f t="array" ref="T5895">IF(OR(B5895="MAL ALIMI", B5895="ÜRETİM GİRİŞ"), MIN(I5895, MAX(0, I5895 + SUM(SUMIFS($I$1:I5894, $C$1:C5894, C5895, $B$1:B5894, {"MAL ALIMI","ÜRETİM GİRİŞ"})) - VLOOKUP(C5895, 'STOK RAPORU'!$C$2:$I$1000, 4, 0))), 0)</f>
        <v>0</v>
      </c>
      <c r="U5895" s="22">
        <f t="shared" si="368"/>
        <v>0</v>
      </c>
      <c r="V5895">
        <f t="shared" si="369"/>
        <v>0</v>
      </c>
      <c r="W5895" s="22">
        <f t="shared" si="370"/>
        <v>0</v>
      </c>
    </row>
    <row r="5896" spans="1:23" hidden="1" x14ac:dyDescent="0.25">
      <c r="A5896" s="3">
        <v>46112</v>
      </c>
      <c r="B5896" s="4" t="s">
        <v>334</v>
      </c>
      <c r="C5896" s="4" t="s">
        <v>161</v>
      </c>
      <c r="D5896" s="4"/>
      <c r="E5896" s="4" t="s">
        <v>921</v>
      </c>
      <c r="F5896" s="46" t="s">
        <v>2843</v>
      </c>
      <c r="G5896" s="4" t="s">
        <v>336</v>
      </c>
      <c r="H5896" s="4" t="s">
        <v>380</v>
      </c>
      <c r="I5896" s="4">
        <v>1</v>
      </c>
      <c r="J5896" s="21">
        <v>230</v>
      </c>
      <c r="K5896" s="21">
        <v>230</v>
      </c>
      <c r="L5896" s="5">
        <v>0</v>
      </c>
      <c r="M5896" s="4"/>
      <c r="N5896" s="4"/>
      <c r="O5896" s="5"/>
      <c r="P5896" s="5"/>
      <c r="Q5896" s="21">
        <v>0</v>
      </c>
      <c r="R5896" s="21">
        <v>0</v>
      </c>
      <c r="S5896" s="5">
        <f t="shared" si="371"/>
        <v>76339.699360691986</v>
      </c>
      <c r="T5896" cm="1">
        <f t="array" ref="T5896">IF(OR(B5896="MAL ALIMI", B5896="ÜRETİM GİRİŞ"), MIN(I5896, MAX(0, I5896 + SUM(SUMIFS($I$1:I5895, $C$1:C5895, C5896, $B$1:B5895, {"MAL ALIMI","ÜRETİM GİRİŞ"})) - VLOOKUP(C5896, 'STOK RAPORU'!$C$2:$I$1000, 4, 0))), 0)</f>
        <v>0</v>
      </c>
      <c r="U5896" s="22">
        <f t="shared" si="368"/>
        <v>0</v>
      </c>
      <c r="V5896">
        <f t="shared" si="369"/>
        <v>0</v>
      </c>
      <c r="W5896" s="22">
        <f t="shared" si="370"/>
        <v>0</v>
      </c>
    </row>
    <row r="5897" spans="1:23" hidden="1" x14ac:dyDescent="0.25">
      <c r="A5897" s="3">
        <v>46112</v>
      </c>
      <c r="B5897" s="4" t="s">
        <v>334</v>
      </c>
      <c r="C5897" s="4" t="s">
        <v>1897</v>
      </c>
      <c r="D5897" s="4"/>
      <c r="E5897" s="4" t="s">
        <v>921</v>
      </c>
      <c r="F5897" s="46" t="s">
        <v>2844</v>
      </c>
      <c r="G5897" s="4" t="s">
        <v>336</v>
      </c>
      <c r="H5897" s="4" t="s">
        <v>380</v>
      </c>
      <c r="I5897" s="4">
        <v>1</v>
      </c>
      <c r="J5897" s="21">
        <v>295</v>
      </c>
      <c r="K5897" s="21">
        <v>295</v>
      </c>
      <c r="L5897" s="5">
        <v>0</v>
      </c>
      <c r="M5897" s="4"/>
      <c r="N5897" s="4"/>
      <c r="O5897" s="5"/>
      <c r="P5897" s="5"/>
      <c r="Q5897" s="21">
        <v>0</v>
      </c>
      <c r="R5897" s="21">
        <v>0</v>
      </c>
      <c r="S5897" s="5">
        <f t="shared" si="371"/>
        <v>76339.699360691986</v>
      </c>
      <c r="T5897" cm="1">
        <f t="array" ref="T5897">IF(OR(B5897="MAL ALIMI", B5897="ÜRETİM GİRİŞ"), MIN(I5897, MAX(0, I5897 + SUM(SUMIFS($I$1:I5896, $C$1:C5896, C5897, $B$1:B5896, {"MAL ALIMI","ÜRETİM GİRİŞ"})) - VLOOKUP(C5897, 'STOK RAPORU'!$C$2:$I$1000, 4, 0))), 0)</f>
        <v>0</v>
      </c>
      <c r="U5897" s="22">
        <f t="shared" si="368"/>
        <v>0</v>
      </c>
      <c r="V5897">
        <f t="shared" si="369"/>
        <v>0</v>
      </c>
      <c r="W5897" s="22">
        <f t="shared" si="370"/>
        <v>0</v>
      </c>
    </row>
    <row r="5898" spans="1:23" hidden="1" x14ac:dyDescent="0.25">
      <c r="A5898" s="3">
        <v>46112</v>
      </c>
      <c r="B5898" s="4" t="s">
        <v>334</v>
      </c>
      <c r="C5898" s="4" t="s">
        <v>2606</v>
      </c>
      <c r="D5898" s="4"/>
      <c r="E5898" s="4" t="s">
        <v>921</v>
      </c>
      <c r="F5898" s="46" t="s">
        <v>2844</v>
      </c>
      <c r="G5898" s="4" t="s">
        <v>336</v>
      </c>
      <c r="H5898" s="4" t="s">
        <v>380</v>
      </c>
      <c r="I5898" s="4">
        <v>0.26</v>
      </c>
      <c r="J5898" s="21">
        <v>250</v>
      </c>
      <c r="K5898" s="21">
        <v>65</v>
      </c>
      <c r="L5898" s="5">
        <v>0</v>
      </c>
      <c r="M5898" s="4"/>
      <c r="N5898" s="4"/>
      <c r="O5898" s="5"/>
      <c r="P5898" s="5"/>
      <c r="Q5898" s="21">
        <v>0</v>
      </c>
      <c r="R5898" s="21">
        <v>0</v>
      </c>
      <c r="S5898" s="5">
        <f t="shared" si="371"/>
        <v>76339.699360691986</v>
      </c>
      <c r="T5898" cm="1">
        <f t="array" ref="T5898">IF(OR(B5898="MAL ALIMI", B5898="ÜRETİM GİRİŞ"), MIN(I5898, MAX(0, I5898 + SUM(SUMIFS($I$1:I5897, $C$1:C5897, C5898, $B$1:B5897, {"MAL ALIMI","ÜRETİM GİRİŞ"})) - VLOOKUP(C5898, 'STOK RAPORU'!$C$2:$I$1000, 4, 0))), 0)</f>
        <v>0</v>
      </c>
      <c r="U5898" s="22">
        <f t="shared" si="368"/>
        <v>0</v>
      </c>
      <c r="V5898">
        <f t="shared" si="369"/>
        <v>0</v>
      </c>
      <c r="W5898" s="22">
        <f t="shared" si="370"/>
        <v>0</v>
      </c>
    </row>
    <row r="5899" spans="1:23" hidden="1" x14ac:dyDescent="0.25">
      <c r="A5899" s="3">
        <v>46112</v>
      </c>
      <c r="B5899" s="4" t="s">
        <v>334</v>
      </c>
      <c r="C5899" s="4" t="s">
        <v>1501</v>
      </c>
      <c r="D5899" s="4"/>
      <c r="E5899" s="4"/>
      <c r="F5899" s="46" t="s">
        <v>2845</v>
      </c>
      <c r="G5899" s="4" t="s">
        <v>336</v>
      </c>
      <c r="H5899" s="4" t="s">
        <v>289</v>
      </c>
      <c r="I5899" s="4">
        <v>0.16666666666666666</v>
      </c>
      <c r="J5899" s="21">
        <v>600</v>
      </c>
      <c r="K5899" s="21">
        <v>0</v>
      </c>
      <c r="L5899" s="5">
        <v>0</v>
      </c>
      <c r="M5899" s="4"/>
      <c r="N5899" s="4"/>
      <c r="O5899" s="5"/>
      <c r="P5899" s="5"/>
      <c r="Q5899" s="21">
        <v>100</v>
      </c>
      <c r="R5899" s="21">
        <v>0</v>
      </c>
      <c r="S5899" s="5">
        <f t="shared" si="371"/>
        <v>76439.699360691986</v>
      </c>
      <c r="T5899" cm="1">
        <f t="array" ref="T5899">IF(OR(B5899="MAL ALIMI", B5899="ÜRETİM GİRİŞ"), MIN(I5899, MAX(0, I5899 + SUM(SUMIFS($I$1:I5898, $C$1:C5898, C5899, $B$1:B5898, {"MAL ALIMI","ÜRETİM GİRİŞ"})) - VLOOKUP(C5899, 'STOK RAPORU'!$C$2:$I$1000, 4, 0))), 0)</f>
        <v>0</v>
      </c>
      <c r="U5899" s="22">
        <f t="shared" si="368"/>
        <v>0</v>
      </c>
      <c r="V5899">
        <f t="shared" si="369"/>
        <v>0</v>
      </c>
      <c r="W5899" s="22">
        <f t="shared" si="370"/>
        <v>0</v>
      </c>
    </row>
    <row r="5900" spans="1:23" hidden="1" x14ac:dyDescent="0.25">
      <c r="A5900" s="3">
        <v>46112</v>
      </c>
      <c r="B5900" s="4" t="s">
        <v>334</v>
      </c>
      <c r="C5900" s="4" t="s">
        <v>92</v>
      </c>
      <c r="D5900" s="4"/>
      <c r="E5900" s="4"/>
      <c r="F5900" s="46" t="s">
        <v>2846</v>
      </c>
      <c r="G5900" s="4" t="s">
        <v>336</v>
      </c>
      <c r="H5900" s="4" t="s">
        <v>289</v>
      </c>
      <c r="I5900" s="4">
        <v>7.0000000000000007E-2</v>
      </c>
      <c r="J5900" s="21">
        <v>500</v>
      </c>
      <c r="K5900" s="21">
        <v>0</v>
      </c>
      <c r="L5900" s="5">
        <v>0</v>
      </c>
      <c r="M5900" s="4"/>
      <c r="N5900" s="4"/>
      <c r="O5900" s="5"/>
      <c r="P5900" s="5"/>
      <c r="Q5900" s="21">
        <v>35</v>
      </c>
      <c r="R5900" s="21">
        <v>0</v>
      </c>
      <c r="S5900" s="5">
        <f t="shared" si="371"/>
        <v>76474.699360691986</v>
      </c>
      <c r="T5900" cm="1">
        <f t="array" ref="T5900">IF(OR(B5900="MAL ALIMI", B5900="ÜRETİM GİRİŞ"), MIN(I5900, MAX(0, I5900 + SUM(SUMIFS($I$1:I5899, $C$1:C5899, C5900, $B$1:B5899, {"MAL ALIMI","ÜRETİM GİRİŞ"})) - VLOOKUP(C5900, 'STOK RAPORU'!$C$2:$I$1000, 4, 0))), 0)</f>
        <v>0</v>
      </c>
      <c r="U5900" s="22">
        <f t="shared" si="368"/>
        <v>0</v>
      </c>
      <c r="V5900">
        <f t="shared" si="369"/>
        <v>0</v>
      </c>
      <c r="W5900" s="22">
        <f t="shared" si="370"/>
        <v>0</v>
      </c>
    </row>
    <row r="5901" spans="1:23" hidden="1" x14ac:dyDescent="0.25">
      <c r="A5901" s="3">
        <v>46112</v>
      </c>
      <c r="B5901" s="4" t="s">
        <v>334</v>
      </c>
      <c r="C5901" s="4" t="s">
        <v>140</v>
      </c>
      <c r="D5901" s="4"/>
      <c r="E5901" s="4"/>
      <c r="F5901" s="46" t="s">
        <v>2846</v>
      </c>
      <c r="G5901" s="4" t="s">
        <v>336</v>
      </c>
      <c r="H5901" s="4" t="s">
        <v>289</v>
      </c>
      <c r="I5901" s="4">
        <v>9.7500000000000003E-2</v>
      </c>
      <c r="J5901" s="21">
        <v>400</v>
      </c>
      <c r="K5901" s="21">
        <v>0</v>
      </c>
      <c r="L5901" s="5">
        <v>0</v>
      </c>
      <c r="M5901" s="4"/>
      <c r="N5901" s="4"/>
      <c r="O5901" s="5"/>
      <c r="P5901" s="5"/>
      <c r="Q5901" s="21">
        <v>39</v>
      </c>
      <c r="R5901" s="21">
        <v>0</v>
      </c>
      <c r="S5901" s="5">
        <f t="shared" si="371"/>
        <v>76513.699360691986</v>
      </c>
      <c r="T5901" cm="1">
        <f t="array" ref="T5901">IF(OR(B5901="MAL ALIMI", B5901="ÜRETİM GİRİŞ"), MIN(I5901, MAX(0, I5901 + SUM(SUMIFS($I$1:I5900, $C$1:C5900, C5901, $B$1:B5900, {"MAL ALIMI","ÜRETİM GİRİŞ"})) - VLOOKUP(C5901, 'STOK RAPORU'!$C$2:$I$1000, 4, 0))), 0)</f>
        <v>0</v>
      </c>
      <c r="U5901" s="22">
        <f t="shared" si="368"/>
        <v>0</v>
      </c>
      <c r="V5901">
        <f t="shared" si="369"/>
        <v>0</v>
      </c>
      <c r="W5901" s="22">
        <f t="shared" si="370"/>
        <v>0</v>
      </c>
    </row>
    <row r="5902" spans="1:23" hidden="1" x14ac:dyDescent="0.25">
      <c r="A5902" s="3">
        <v>46112</v>
      </c>
      <c r="B5902" s="4" t="s">
        <v>334</v>
      </c>
      <c r="C5902" s="4" t="s">
        <v>238</v>
      </c>
      <c r="D5902" s="4"/>
      <c r="E5902" s="4" t="s">
        <v>921</v>
      </c>
      <c r="F5902" s="46" t="s">
        <v>2847</v>
      </c>
      <c r="G5902" s="4" t="s">
        <v>336</v>
      </c>
      <c r="H5902" s="4" t="s">
        <v>380</v>
      </c>
      <c r="I5902" s="4">
        <v>0.1</v>
      </c>
      <c r="J5902" s="21">
        <v>1350</v>
      </c>
      <c r="K5902" s="21">
        <v>135</v>
      </c>
      <c r="L5902" s="5">
        <v>0</v>
      </c>
      <c r="M5902" s="4"/>
      <c r="N5902" s="4"/>
      <c r="O5902" s="5"/>
      <c r="P5902" s="5"/>
      <c r="Q5902" s="21">
        <v>0</v>
      </c>
      <c r="R5902" s="21">
        <v>0</v>
      </c>
      <c r="S5902" s="5">
        <f t="shared" si="371"/>
        <v>76513.699360691986</v>
      </c>
      <c r="T5902" cm="1">
        <f t="array" ref="T5902">IF(OR(B5902="MAL ALIMI", B5902="ÜRETİM GİRİŞ"), MIN(I5902, MAX(0, I5902 + SUM(SUMIFS($I$1:I5901, $C$1:C5901, C5902, $B$1:B5901, {"MAL ALIMI","ÜRETİM GİRİŞ"})) - VLOOKUP(C5902, 'STOK RAPORU'!$C$2:$I$1000, 4, 0))), 0)</f>
        <v>0</v>
      </c>
      <c r="U5902" s="22">
        <f t="shared" si="368"/>
        <v>0</v>
      </c>
      <c r="V5902">
        <f t="shared" si="369"/>
        <v>0</v>
      </c>
      <c r="W5902" s="22">
        <f t="shared" si="370"/>
        <v>0</v>
      </c>
    </row>
    <row r="5903" spans="1:23" hidden="1" x14ac:dyDescent="0.25">
      <c r="A5903" s="3">
        <v>46112</v>
      </c>
      <c r="B5903" s="4" t="s">
        <v>334</v>
      </c>
      <c r="C5903" s="4" t="s">
        <v>649</v>
      </c>
      <c r="D5903" s="4"/>
      <c r="E5903" s="4"/>
      <c r="F5903" s="46" t="s">
        <v>2848</v>
      </c>
      <c r="G5903" s="4" t="s">
        <v>336</v>
      </c>
      <c r="H5903" s="4" t="s">
        <v>289</v>
      </c>
      <c r="I5903" s="4">
        <v>1</v>
      </c>
      <c r="J5903" s="21">
        <v>300</v>
      </c>
      <c r="K5903" s="21">
        <v>0</v>
      </c>
      <c r="L5903" s="5">
        <v>0</v>
      </c>
      <c r="M5903" s="4"/>
      <c r="N5903" s="4"/>
      <c r="O5903" s="5"/>
      <c r="P5903" s="5"/>
      <c r="Q5903" s="21">
        <v>300</v>
      </c>
      <c r="R5903" s="21">
        <v>0</v>
      </c>
      <c r="S5903" s="5">
        <f t="shared" si="371"/>
        <v>76813.699360691986</v>
      </c>
      <c r="T5903" cm="1">
        <f t="array" ref="T5903">IF(OR(B5903="MAL ALIMI", B5903="ÜRETİM GİRİŞ"), MIN(I5903, MAX(0, I5903 + SUM(SUMIFS($I$1:I5902, $C$1:C5902, C5903, $B$1:B5902, {"MAL ALIMI","ÜRETİM GİRİŞ"})) - VLOOKUP(C5903, 'STOK RAPORU'!$C$2:$I$1000, 4, 0))), 0)</f>
        <v>0</v>
      </c>
      <c r="U5903" s="22">
        <f t="shared" si="368"/>
        <v>0</v>
      </c>
      <c r="V5903">
        <f t="shared" si="369"/>
        <v>0</v>
      </c>
      <c r="W5903" s="22">
        <f t="shared" si="370"/>
        <v>0</v>
      </c>
    </row>
    <row r="5904" spans="1:23" hidden="1" x14ac:dyDescent="0.25">
      <c r="A5904" s="3">
        <v>46112</v>
      </c>
      <c r="B5904" s="4" t="s">
        <v>334</v>
      </c>
      <c r="C5904" s="4" t="s">
        <v>711</v>
      </c>
      <c r="D5904" s="4"/>
      <c r="E5904" s="4"/>
      <c r="F5904" s="46" t="s">
        <v>2849</v>
      </c>
      <c r="G5904" s="4" t="s">
        <v>336</v>
      </c>
      <c r="H5904" s="4" t="s">
        <v>289</v>
      </c>
      <c r="I5904" s="4">
        <v>1</v>
      </c>
      <c r="J5904" s="21">
        <v>170</v>
      </c>
      <c r="K5904" s="21">
        <v>0</v>
      </c>
      <c r="L5904" s="5">
        <v>0</v>
      </c>
      <c r="M5904" s="4"/>
      <c r="N5904" s="4"/>
      <c r="O5904" s="5"/>
      <c r="P5904" s="5"/>
      <c r="Q5904" s="21">
        <v>170</v>
      </c>
      <c r="R5904" s="21">
        <v>0</v>
      </c>
      <c r="S5904" s="5">
        <f t="shared" si="371"/>
        <v>76983.699360691986</v>
      </c>
      <c r="T5904" cm="1">
        <f t="array" ref="T5904">IF(OR(B5904="MAL ALIMI", B5904="ÜRETİM GİRİŞ"), MIN(I5904, MAX(0, I5904 + SUM(SUMIFS($I$1:I5903, $C$1:C5903, C5904, $B$1:B5903, {"MAL ALIMI","ÜRETİM GİRİŞ"})) - VLOOKUP(C5904, 'STOK RAPORU'!$C$2:$I$1000, 4, 0))), 0)</f>
        <v>0</v>
      </c>
      <c r="U5904" s="22">
        <f t="shared" si="368"/>
        <v>0</v>
      </c>
      <c r="V5904">
        <f t="shared" si="369"/>
        <v>0</v>
      </c>
      <c r="W5904" s="22">
        <f t="shared" si="370"/>
        <v>0</v>
      </c>
    </row>
    <row r="5905" spans="1:23" hidden="1" x14ac:dyDescent="0.25">
      <c r="A5905" s="3">
        <v>46113</v>
      </c>
      <c r="B5905" s="4" t="s">
        <v>334</v>
      </c>
      <c r="C5905" s="4" t="s">
        <v>131</v>
      </c>
      <c r="D5905" s="4"/>
      <c r="E5905" s="4"/>
      <c r="F5905" s="46" t="s">
        <v>2850</v>
      </c>
      <c r="G5905" s="4" t="s">
        <v>336</v>
      </c>
      <c r="H5905" s="4" t="s">
        <v>289</v>
      </c>
      <c r="I5905" s="4">
        <v>7.3999999999999996E-2</v>
      </c>
      <c r="J5905" s="21">
        <v>400</v>
      </c>
      <c r="K5905" s="21">
        <v>0</v>
      </c>
      <c r="L5905" s="5">
        <v>0</v>
      </c>
      <c r="M5905" s="4"/>
      <c r="N5905" s="4"/>
      <c r="O5905" s="5"/>
      <c r="P5905" s="5"/>
      <c r="Q5905" s="21">
        <v>29.599999999999998</v>
      </c>
      <c r="R5905" s="21">
        <v>0</v>
      </c>
      <c r="S5905" s="5">
        <f t="shared" si="371"/>
        <v>77013.299360691992</v>
      </c>
      <c r="T5905" cm="1">
        <f t="array" ref="T5905">IF(OR(B5905="MAL ALIMI", B5905="ÜRETİM GİRİŞ"), MIN(I5905, MAX(0, I5905 + SUM(SUMIFS($I$1:I5904, $C$1:C5904, C5905, $B$1:B5904, {"MAL ALIMI","ÜRETİM GİRİŞ"})) - VLOOKUP(C5905, 'STOK RAPORU'!$C$2:$I$1000, 4, 0))), 0)</f>
        <v>0</v>
      </c>
      <c r="U5905" s="22">
        <f t="shared" si="368"/>
        <v>0</v>
      </c>
      <c r="V5905">
        <f t="shared" si="369"/>
        <v>0</v>
      </c>
      <c r="W5905" s="22">
        <f t="shared" si="370"/>
        <v>0</v>
      </c>
    </row>
    <row r="5906" spans="1:23" hidden="1" x14ac:dyDescent="0.25">
      <c r="A5906" s="3">
        <v>46113</v>
      </c>
      <c r="B5906" s="4" t="s">
        <v>334</v>
      </c>
      <c r="C5906" s="4" t="s">
        <v>1151</v>
      </c>
      <c r="D5906" s="4"/>
      <c r="E5906" s="4"/>
      <c r="F5906" s="46" t="s">
        <v>2850</v>
      </c>
      <c r="G5906" s="4" t="s">
        <v>336</v>
      </c>
      <c r="H5906" s="4" t="s">
        <v>289</v>
      </c>
      <c r="I5906" s="4">
        <v>0.17799999999999999</v>
      </c>
      <c r="J5906" s="21">
        <v>360</v>
      </c>
      <c r="K5906" s="21">
        <v>0</v>
      </c>
      <c r="L5906" s="5">
        <v>0</v>
      </c>
      <c r="M5906" s="4"/>
      <c r="N5906" s="4"/>
      <c r="O5906" s="5"/>
      <c r="P5906" s="5"/>
      <c r="Q5906" s="21">
        <v>64.08</v>
      </c>
      <c r="R5906" s="21">
        <v>0</v>
      </c>
      <c r="S5906" s="5">
        <f t="shared" si="371"/>
        <v>77077.379360691993</v>
      </c>
      <c r="T5906" cm="1">
        <f t="array" ref="T5906">IF(OR(B5906="MAL ALIMI", B5906="ÜRETİM GİRİŞ"), MIN(I5906, MAX(0, I5906 + SUM(SUMIFS($I$1:I5905, $C$1:C5905, C5906, $B$1:B5905, {"MAL ALIMI","ÜRETİM GİRİŞ"})) - VLOOKUP(C5906, 'STOK RAPORU'!$C$2:$I$1000, 4, 0))), 0)</f>
        <v>0</v>
      </c>
      <c r="U5906" s="22">
        <f t="shared" si="368"/>
        <v>0</v>
      </c>
      <c r="V5906">
        <f t="shared" si="369"/>
        <v>0</v>
      </c>
      <c r="W5906" s="22">
        <f t="shared" si="370"/>
        <v>0</v>
      </c>
    </row>
    <row r="5907" spans="1:23" hidden="1" x14ac:dyDescent="0.25">
      <c r="A5907" s="3">
        <v>46113</v>
      </c>
      <c r="B5907" s="4" t="s">
        <v>334</v>
      </c>
      <c r="C5907" s="4" t="s">
        <v>697</v>
      </c>
      <c r="D5907" s="4"/>
      <c r="E5907" s="4"/>
      <c r="F5907" s="46" t="s">
        <v>2850</v>
      </c>
      <c r="G5907" s="4" t="s">
        <v>336</v>
      </c>
      <c r="H5907" s="4" t="s">
        <v>289</v>
      </c>
      <c r="I5907" s="4">
        <v>0.1</v>
      </c>
      <c r="J5907" s="21">
        <v>750</v>
      </c>
      <c r="K5907" s="21">
        <v>0</v>
      </c>
      <c r="L5907" s="5">
        <v>0</v>
      </c>
      <c r="M5907" s="4"/>
      <c r="N5907" s="4"/>
      <c r="O5907" s="5"/>
      <c r="P5907" s="5"/>
      <c r="Q5907" s="21">
        <v>75</v>
      </c>
      <c r="R5907" s="21">
        <v>0</v>
      </c>
      <c r="S5907" s="5">
        <f t="shared" si="371"/>
        <v>77152.379360691993</v>
      </c>
      <c r="T5907" cm="1">
        <f t="array" ref="T5907">IF(OR(B5907="MAL ALIMI", B5907="ÜRETİM GİRİŞ"), MIN(I5907, MAX(0, I5907 + SUM(SUMIFS($I$1:I5906, $C$1:C5906, C5907, $B$1:B5906, {"MAL ALIMI","ÜRETİM GİRİŞ"})) - VLOOKUP(C5907, 'STOK RAPORU'!$C$2:$I$1000, 4, 0))), 0)</f>
        <v>0</v>
      </c>
      <c r="U5907" s="22">
        <f t="shared" si="368"/>
        <v>0</v>
      </c>
      <c r="V5907">
        <f t="shared" si="369"/>
        <v>0</v>
      </c>
      <c r="W5907" s="22">
        <f t="shared" si="370"/>
        <v>0</v>
      </c>
    </row>
    <row r="5908" spans="1:23" hidden="1" x14ac:dyDescent="0.25">
      <c r="A5908" s="3">
        <v>46113</v>
      </c>
      <c r="B5908" s="4" t="s">
        <v>334</v>
      </c>
      <c r="C5908" s="4" t="s">
        <v>523</v>
      </c>
      <c r="D5908" s="4"/>
      <c r="E5908" s="4"/>
      <c r="F5908" s="46" t="s">
        <v>2850</v>
      </c>
      <c r="G5908" s="4" t="s">
        <v>336</v>
      </c>
      <c r="H5908" s="4" t="s">
        <v>289</v>
      </c>
      <c r="I5908" s="4">
        <v>0.08</v>
      </c>
      <c r="J5908" s="21">
        <v>750</v>
      </c>
      <c r="K5908" s="21">
        <v>0</v>
      </c>
      <c r="L5908" s="5">
        <v>0</v>
      </c>
      <c r="M5908" s="4"/>
      <c r="N5908" s="4"/>
      <c r="O5908" s="5"/>
      <c r="P5908" s="5"/>
      <c r="Q5908" s="21">
        <v>60</v>
      </c>
      <c r="R5908" s="21">
        <v>0</v>
      </c>
      <c r="S5908" s="5">
        <f t="shared" si="371"/>
        <v>77212.379360691993</v>
      </c>
      <c r="T5908" cm="1">
        <f t="array" ref="T5908">IF(OR(B5908="MAL ALIMI", B5908="ÜRETİM GİRİŞ"), MIN(I5908, MAX(0, I5908 + SUM(SUMIFS($I$1:I5907, $C$1:C5907, C5908, $B$1:B5907, {"MAL ALIMI","ÜRETİM GİRİŞ"})) - VLOOKUP(C5908, 'STOK RAPORU'!$C$2:$I$1000, 4, 0))), 0)</f>
        <v>0</v>
      </c>
      <c r="U5908" s="22">
        <f t="shared" si="368"/>
        <v>0</v>
      </c>
      <c r="V5908">
        <f t="shared" si="369"/>
        <v>0</v>
      </c>
      <c r="W5908" s="22">
        <f t="shared" si="370"/>
        <v>0</v>
      </c>
    </row>
    <row r="5909" spans="1:23" hidden="1" x14ac:dyDescent="0.25">
      <c r="A5909" s="3">
        <v>46113</v>
      </c>
      <c r="B5909" s="4" t="s">
        <v>334</v>
      </c>
      <c r="C5909" s="4" t="s">
        <v>91</v>
      </c>
      <c r="D5909" s="4"/>
      <c r="E5909" s="4"/>
      <c r="F5909" s="46" t="s">
        <v>2850</v>
      </c>
      <c r="G5909" s="4" t="s">
        <v>336</v>
      </c>
      <c r="H5909" s="4" t="s">
        <v>289</v>
      </c>
      <c r="I5909" s="4">
        <v>3.5999999999999997E-2</v>
      </c>
      <c r="J5909" s="21">
        <v>750</v>
      </c>
      <c r="K5909" s="21">
        <v>0</v>
      </c>
      <c r="L5909" s="5">
        <v>0</v>
      </c>
      <c r="M5909" s="4"/>
      <c r="N5909" s="4"/>
      <c r="O5909" s="5"/>
      <c r="P5909" s="5"/>
      <c r="Q5909" s="21">
        <v>26.999999999999996</v>
      </c>
      <c r="R5909" s="21">
        <v>0</v>
      </c>
      <c r="S5909" s="5">
        <f t="shared" si="371"/>
        <v>77239.379360691993</v>
      </c>
      <c r="T5909" cm="1">
        <f t="array" ref="T5909">IF(OR(B5909="MAL ALIMI", B5909="ÜRETİM GİRİŞ"), MIN(I5909, MAX(0, I5909 + SUM(SUMIFS($I$1:I5908, $C$1:C5908, C5909, $B$1:B5908, {"MAL ALIMI","ÜRETİM GİRİŞ"})) - VLOOKUP(C5909, 'STOK RAPORU'!$C$2:$I$1000, 4, 0))), 0)</f>
        <v>0</v>
      </c>
      <c r="U5909" s="22">
        <f t="shared" si="368"/>
        <v>0</v>
      </c>
      <c r="V5909">
        <f t="shared" si="369"/>
        <v>0</v>
      </c>
      <c r="W5909" s="22">
        <f t="shared" si="370"/>
        <v>0</v>
      </c>
    </row>
    <row r="5910" spans="1:23" hidden="1" x14ac:dyDescent="0.25">
      <c r="A5910" s="3">
        <v>46113</v>
      </c>
      <c r="B5910" s="4" t="s">
        <v>334</v>
      </c>
      <c r="C5910" s="4" t="s">
        <v>166</v>
      </c>
      <c r="D5910" s="4"/>
      <c r="E5910" s="4"/>
      <c r="F5910" s="46" t="s">
        <v>2850</v>
      </c>
      <c r="G5910" s="4" t="s">
        <v>336</v>
      </c>
      <c r="H5910" s="4" t="s">
        <v>289</v>
      </c>
      <c r="I5910" s="4">
        <v>0.08</v>
      </c>
      <c r="J5910" s="21">
        <v>770</v>
      </c>
      <c r="K5910" s="21">
        <v>0</v>
      </c>
      <c r="L5910" s="5">
        <v>0</v>
      </c>
      <c r="M5910" s="4"/>
      <c r="N5910" s="4"/>
      <c r="O5910" s="5"/>
      <c r="P5910" s="5"/>
      <c r="Q5910" s="21">
        <v>61.6</v>
      </c>
      <c r="R5910" s="21">
        <v>0</v>
      </c>
      <c r="S5910" s="5">
        <f t="shared" si="371"/>
        <v>77300.979360691999</v>
      </c>
      <c r="T5910" cm="1">
        <f t="array" ref="T5910">IF(OR(B5910="MAL ALIMI", B5910="ÜRETİM GİRİŞ"), MIN(I5910, MAX(0, I5910 + SUM(SUMIFS($I$1:I5909, $C$1:C5909, C5910, $B$1:B5909, {"MAL ALIMI","ÜRETİM GİRİŞ"})) - VLOOKUP(C5910, 'STOK RAPORU'!$C$2:$I$1000, 4, 0))), 0)</f>
        <v>0</v>
      </c>
      <c r="U5910" s="22">
        <f t="shared" si="368"/>
        <v>0</v>
      </c>
      <c r="V5910">
        <f t="shared" si="369"/>
        <v>0</v>
      </c>
      <c r="W5910" s="22">
        <f t="shared" si="370"/>
        <v>0</v>
      </c>
    </row>
    <row r="5911" spans="1:23" hidden="1" x14ac:dyDescent="0.25">
      <c r="A5911" s="3">
        <v>46113</v>
      </c>
      <c r="B5911" s="4" t="s">
        <v>334</v>
      </c>
      <c r="C5911" s="4" t="s">
        <v>126</v>
      </c>
      <c r="D5911" s="4"/>
      <c r="E5911" s="4"/>
      <c r="F5911" s="46" t="s">
        <v>2850</v>
      </c>
      <c r="G5911" s="4" t="s">
        <v>336</v>
      </c>
      <c r="H5911" s="4" t="s">
        <v>289</v>
      </c>
      <c r="I5911" s="4">
        <v>0.112</v>
      </c>
      <c r="J5911" s="21">
        <v>650</v>
      </c>
      <c r="K5911" s="21">
        <v>0</v>
      </c>
      <c r="L5911" s="5">
        <v>0</v>
      </c>
      <c r="M5911" s="4"/>
      <c r="N5911" s="4"/>
      <c r="O5911" s="5"/>
      <c r="P5911" s="5"/>
      <c r="Q5911" s="21">
        <v>72.8</v>
      </c>
      <c r="R5911" s="21">
        <v>0</v>
      </c>
      <c r="S5911" s="5">
        <f t="shared" si="371"/>
        <v>77373.779360692002</v>
      </c>
      <c r="T5911" cm="1">
        <f t="array" ref="T5911">IF(OR(B5911="MAL ALIMI", B5911="ÜRETİM GİRİŞ"), MIN(I5911, MAX(0, I5911 + SUM(SUMIFS($I$1:I5910, $C$1:C5910, C5911, $B$1:B5910, {"MAL ALIMI","ÜRETİM GİRİŞ"})) - VLOOKUP(C5911, 'STOK RAPORU'!$C$2:$I$1000, 4, 0))), 0)</f>
        <v>0</v>
      </c>
      <c r="U5911" s="22">
        <f t="shared" si="368"/>
        <v>0</v>
      </c>
      <c r="V5911">
        <f t="shared" si="369"/>
        <v>0</v>
      </c>
      <c r="W5911" s="22">
        <f t="shared" si="370"/>
        <v>0</v>
      </c>
    </row>
    <row r="5912" spans="1:23" hidden="1" x14ac:dyDescent="0.25">
      <c r="A5912" s="3">
        <v>46113</v>
      </c>
      <c r="B5912" s="4" t="s">
        <v>334</v>
      </c>
      <c r="C5912" s="4" t="s">
        <v>96</v>
      </c>
      <c r="D5912" s="4"/>
      <c r="E5912" s="4"/>
      <c r="F5912" s="46" t="s">
        <v>2850</v>
      </c>
      <c r="G5912" s="4" t="s">
        <v>336</v>
      </c>
      <c r="H5912" s="4" t="s">
        <v>289</v>
      </c>
      <c r="I5912" s="4">
        <v>0.122</v>
      </c>
      <c r="J5912" s="21">
        <v>400</v>
      </c>
      <c r="K5912" s="21">
        <v>0</v>
      </c>
      <c r="L5912" s="5">
        <v>0</v>
      </c>
      <c r="M5912" s="4"/>
      <c r="N5912" s="4"/>
      <c r="O5912" s="5"/>
      <c r="P5912" s="5"/>
      <c r="Q5912" s="21">
        <v>48.8</v>
      </c>
      <c r="R5912" s="21">
        <v>0</v>
      </c>
      <c r="S5912" s="5">
        <f t="shared" si="371"/>
        <v>77422.579360692005</v>
      </c>
      <c r="T5912" cm="1">
        <f t="array" ref="T5912">IF(OR(B5912="MAL ALIMI", B5912="ÜRETİM GİRİŞ"), MIN(I5912, MAX(0, I5912 + SUM(SUMIFS($I$1:I5911, $C$1:C5911, C5912, $B$1:B5911, {"MAL ALIMI","ÜRETİM GİRİŞ"})) - VLOOKUP(C5912, 'STOK RAPORU'!$C$2:$I$1000, 4, 0))), 0)</f>
        <v>0</v>
      </c>
      <c r="U5912" s="22">
        <f t="shared" si="368"/>
        <v>0</v>
      </c>
      <c r="V5912">
        <f t="shared" si="369"/>
        <v>0</v>
      </c>
      <c r="W5912" s="22">
        <f t="shared" si="370"/>
        <v>0</v>
      </c>
    </row>
    <row r="5913" spans="1:23" hidden="1" x14ac:dyDescent="0.25">
      <c r="A5913" s="3">
        <v>46113</v>
      </c>
      <c r="B5913" s="4" t="s">
        <v>334</v>
      </c>
      <c r="C5913" s="4" t="s">
        <v>137</v>
      </c>
      <c r="D5913" s="4"/>
      <c r="E5913" s="4"/>
      <c r="F5913" s="46" t="s">
        <v>2850</v>
      </c>
      <c r="G5913" s="4" t="s">
        <v>336</v>
      </c>
      <c r="H5913" s="4" t="s">
        <v>289</v>
      </c>
      <c r="I5913" s="4">
        <v>0.27777777777777779</v>
      </c>
      <c r="J5913" s="21">
        <v>180</v>
      </c>
      <c r="K5913" s="21">
        <v>0</v>
      </c>
      <c r="L5913" s="5">
        <v>0</v>
      </c>
      <c r="M5913" s="4"/>
      <c r="N5913" s="4"/>
      <c r="O5913" s="5"/>
      <c r="P5913" s="5"/>
      <c r="Q5913" s="21">
        <v>50</v>
      </c>
      <c r="R5913" s="21">
        <v>0</v>
      </c>
      <c r="S5913" s="5">
        <f t="shared" si="371"/>
        <v>77472.579360692005</v>
      </c>
      <c r="T5913" cm="1">
        <f t="array" ref="T5913">IF(OR(B5913="MAL ALIMI", B5913="ÜRETİM GİRİŞ"), MIN(I5913, MAX(0, I5913 + SUM(SUMIFS($I$1:I5912, $C$1:C5912, C5913, $B$1:B5912, {"MAL ALIMI","ÜRETİM GİRİŞ"})) - VLOOKUP(C5913, 'STOK RAPORU'!$C$2:$I$1000, 4, 0))), 0)</f>
        <v>0</v>
      </c>
      <c r="U5913" s="22">
        <f t="shared" si="368"/>
        <v>0</v>
      </c>
      <c r="V5913">
        <f t="shared" si="369"/>
        <v>0</v>
      </c>
      <c r="W5913" s="22">
        <f t="shared" si="370"/>
        <v>0</v>
      </c>
    </row>
    <row r="5914" spans="1:23" hidden="1" x14ac:dyDescent="0.25">
      <c r="A5914" s="3">
        <v>46113</v>
      </c>
      <c r="B5914" s="4" t="s">
        <v>334</v>
      </c>
      <c r="C5914" s="4" t="s">
        <v>156</v>
      </c>
      <c r="D5914" s="4"/>
      <c r="E5914" s="4" t="s">
        <v>921</v>
      </c>
      <c r="F5914" s="46" t="s">
        <v>2851</v>
      </c>
      <c r="G5914" s="4" t="s">
        <v>336</v>
      </c>
      <c r="H5914" s="4" t="s">
        <v>380</v>
      </c>
      <c r="I5914" s="4">
        <v>0.55000000000000004</v>
      </c>
      <c r="J5914" s="21">
        <v>180</v>
      </c>
      <c r="K5914" s="21">
        <v>99.000000000000014</v>
      </c>
      <c r="L5914" s="5">
        <v>0</v>
      </c>
      <c r="M5914" s="4"/>
      <c r="N5914" s="4"/>
      <c r="O5914" s="5"/>
      <c r="P5914" s="5"/>
      <c r="Q5914" s="21">
        <v>0</v>
      </c>
      <c r="R5914" s="21">
        <v>0</v>
      </c>
      <c r="S5914" s="5">
        <f t="shared" si="371"/>
        <v>77472.579360692005</v>
      </c>
      <c r="T5914" cm="1">
        <f t="array" ref="T5914">IF(OR(B5914="MAL ALIMI", B5914="ÜRETİM GİRİŞ"), MIN(I5914, MAX(0, I5914 + SUM(SUMIFS($I$1:I5913, $C$1:C5913, C5914, $B$1:B5913, {"MAL ALIMI","ÜRETİM GİRİŞ"})) - VLOOKUP(C5914, 'STOK RAPORU'!$C$2:$I$1000, 4, 0))), 0)</f>
        <v>0</v>
      </c>
      <c r="U5914" s="22">
        <f t="shared" si="368"/>
        <v>0</v>
      </c>
      <c r="V5914">
        <f t="shared" si="369"/>
        <v>0</v>
      </c>
      <c r="W5914" s="22">
        <f t="shared" si="370"/>
        <v>0</v>
      </c>
    </row>
    <row r="5915" spans="1:23" hidden="1" x14ac:dyDescent="0.25">
      <c r="A5915" s="3">
        <v>46113</v>
      </c>
      <c r="B5915" s="4" t="s">
        <v>334</v>
      </c>
      <c r="C5915" s="4" t="s">
        <v>158</v>
      </c>
      <c r="D5915" s="4"/>
      <c r="E5915" s="4" t="s">
        <v>921</v>
      </c>
      <c r="F5915" s="46" t="s">
        <v>2851</v>
      </c>
      <c r="G5915" s="4" t="s">
        <v>336</v>
      </c>
      <c r="H5915" s="4" t="s">
        <v>380</v>
      </c>
      <c r="I5915" s="4">
        <v>1</v>
      </c>
      <c r="J5915" s="21">
        <v>130</v>
      </c>
      <c r="K5915" s="21">
        <v>130</v>
      </c>
      <c r="L5915" s="5">
        <v>0</v>
      </c>
      <c r="M5915" s="4"/>
      <c r="N5915" s="4"/>
      <c r="O5915" s="5"/>
      <c r="P5915" s="5"/>
      <c r="Q5915" s="21">
        <v>0</v>
      </c>
      <c r="R5915" s="21">
        <v>0</v>
      </c>
      <c r="S5915" s="5">
        <f t="shared" si="371"/>
        <v>77472.579360692005</v>
      </c>
      <c r="T5915" cm="1">
        <f t="array" ref="T5915">IF(OR(B5915="MAL ALIMI", B5915="ÜRETİM GİRİŞ"), MIN(I5915, MAX(0, I5915 + SUM(SUMIFS($I$1:I5914, $C$1:C5914, C5915, $B$1:B5914, {"MAL ALIMI","ÜRETİM GİRİŞ"})) - VLOOKUP(C5915, 'STOK RAPORU'!$C$2:$I$1000, 4, 0))), 0)</f>
        <v>0</v>
      </c>
      <c r="U5915" s="22">
        <f t="shared" si="368"/>
        <v>0</v>
      </c>
      <c r="V5915">
        <f t="shared" si="369"/>
        <v>0</v>
      </c>
      <c r="W5915" s="22">
        <f t="shared" si="370"/>
        <v>0</v>
      </c>
    </row>
    <row r="5916" spans="1:23" hidden="1" x14ac:dyDescent="0.25">
      <c r="A5916" s="3">
        <v>46113</v>
      </c>
      <c r="B5916" s="4" t="s">
        <v>334</v>
      </c>
      <c r="C5916" s="4" t="s">
        <v>266</v>
      </c>
      <c r="D5916" s="4"/>
      <c r="E5916" s="4" t="s">
        <v>921</v>
      </c>
      <c r="F5916" s="46" t="s">
        <v>2851</v>
      </c>
      <c r="G5916" s="4" t="s">
        <v>336</v>
      </c>
      <c r="H5916" s="4" t="s">
        <v>380</v>
      </c>
      <c r="I5916" s="4">
        <v>0.34200000000000003</v>
      </c>
      <c r="J5916" s="21">
        <v>246</v>
      </c>
      <c r="K5916" s="21">
        <v>84.132000000000005</v>
      </c>
      <c r="L5916" s="5">
        <v>0</v>
      </c>
      <c r="M5916" s="4"/>
      <c r="N5916" s="4"/>
      <c r="O5916" s="5"/>
      <c r="P5916" s="5"/>
      <c r="Q5916" s="21">
        <v>0</v>
      </c>
      <c r="R5916" s="21">
        <v>0</v>
      </c>
      <c r="S5916" s="5">
        <f t="shared" si="371"/>
        <v>77472.579360692005</v>
      </c>
      <c r="T5916" cm="1">
        <f t="array" ref="T5916">IF(OR(B5916="MAL ALIMI", B5916="ÜRETİM GİRİŞ"), MIN(I5916, MAX(0, I5916 + SUM(SUMIFS($I$1:I5915, $C$1:C5915, C5916, $B$1:B5915, {"MAL ALIMI","ÜRETİM GİRİŞ"})) - VLOOKUP(C5916, 'STOK RAPORU'!$C$2:$I$1000, 4, 0))), 0)</f>
        <v>0</v>
      </c>
      <c r="U5916" s="22">
        <f t="shared" si="368"/>
        <v>0</v>
      </c>
      <c r="V5916">
        <f t="shared" si="369"/>
        <v>0</v>
      </c>
      <c r="W5916" s="22">
        <f t="shared" si="370"/>
        <v>0</v>
      </c>
    </row>
    <row r="5917" spans="1:23" hidden="1" x14ac:dyDescent="0.25">
      <c r="A5917" s="3">
        <v>46113</v>
      </c>
      <c r="B5917" s="4" t="s">
        <v>334</v>
      </c>
      <c r="C5917" s="4" t="s">
        <v>194</v>
      </c>
      <c r="D5917" s="4"/>
      <c r="E5917" s="4" t="s">
        <v>921</v>
      </c>
      <c r="F5917" s="46" t="s">
        <v>2851</v>
      </c>
      <c r="G5917" s="4" t="s">
        <v>336</v>
      </c>
      <c r="H5917" s="4" t="s">
        <v>380</v>
      </c>
      <c r="I5917" s="4">
        <v>0.184</v>
      </c>
      <c r="J5917" s="21">
        <v>750</v>
      </c>
      <c r="K5917" s="21">
        <v>138</v>
      </c>
      <c r="L5917" s="5">
        <v>0</v>
      </c>
      <c r="M5917" s="4"/>
      <c r="N5917" s="4"/>
      <c r="O5917" s="5"/>
      <c r="P5917" s="5"/>
      <c r="Q5917" s="21">
        <v>0</v>
      </c>
      <c r="R5917" s="21">
        <v>0</v>
      </c>
      <c r="S5917" s="5">
        <f t="shared" si="371"/>
        <v>77472.579360692005</v>
      </c>
      <c r="T5917" cm="1">
        <f t="array" ref="T5917">IF(OR(B5917="MAL ALIMI", B5917="ÜRETİM GİRİŞ"), MIN(I5917, MAX(0, I5917 + SUM(SUMIFS($I$1:I5916, $C$1:C5916, C5917, $B$1:B5916, {"MAL ALIMI","ÜRETİM GİRİŞ"})) - VLOOKUP(C5917, 'STOK RAPORU'!$C$2:$I$1000, 4, 0))), 0)</f>
        <v>0</v>
      </c>
      <c r="U5917" s="22">
        <f t="shared" si="368"/>
        <v>0</v>
      </c>
      <c r="V5917">
        <f t="shared" si="369"/>
        <v>0</v>
      </c>
      <c r="W5917" s="22">
        <f t="shared" si="370"/>
        <v>0</v>
      </c>
    </row>
    <row r="5918" spans="1:23" hidden="1" x14ac:dyDescent="0.25">
      <c r="A5918" s="3">
        <v>46113</v>
      </c>
      <c r="B5918" s="4" t="s">
        <v>334</v>
      </c>
      <c r="C5918" s="4" t="s">
        <v>157</v>
      </c>
      <c r="D5918" s="4"/>
      <c r="E5918" s="4" t="s">
        <v>921</v>
      </c>
      <c r="F5918" s="46" t="s">
        <v>2851</v>
      </c>
      <c r="G5918" s="4" t="s">
        <v>336</v>
      </c>
      <c r="H5918" s="4" t="s">
        <v>380</v>
      </c>
      <c r="I5918" s="4">
        <v>0.55000000000000004</v>
      </c>
      <c r="J5918" s="21">
        <v>180</v>
      </c>
      <c r="K5918" s="21">
        <v>99.000000000000014</v>
      </c>
      <c r="L5918" s="5">
        <v>0</v>
      </c>
      <c r="M5918" s="4"/>
      <c r="N5918" s="4"/>
      <c r="O5918" s="5"/>
      <c r="P5918" s="5"/>
      <c r="Q5918" s="21">
        <v>0</v>
      </c>
      <c r="R5918" s="21">
        <v>0</v>
      </c>
      <c r="S5918" s="5">
        <f t="shared" si="371"/>
        <v>77472.579360692005</v>
      </c>
      <c r="T5918" cm="1">
        <f t="array" ref="T5918">IF(OR(B5918="MAL ALIMI", B5918="ÜRETİM GİRİŞ"), MIN(I5918, MAX(0, I5918 + SUM(SUMIFS($I$1:I5917, $C$1:C5917, C5918, $B$1:B5917, {"MAL ALIMI","ÜRETİM GİRİŞ"})) - VLOOKUP(C5918, 'STOK RAPORU'!$C$2:$I$1000, 4, 0))), 0)</f>
        <v>0</v>
      </c>
      <c r="U5918" s="22">
        <f t="shared" si="368"/>
        <v>0</v>
      </c>
      <c r="V5918">
        <f t="shared" si="369"/>
        <v>0</v>
      </c>
      <c r="W5918" s="22">
        <f t="shared" si="370"/>
        <v>0</v>
      </c>
    </row>
    <row r="5919" spans="1:23" hidden="1" x14ac:dyDescent="0.25">
      <c r="A5919" s="3">
        <v>46113</v>
      </c>
      <c r="B5919" s="4" t="s">
        <v>334</v>
      </c>
      <c r="C5919" s="4" t="s">
        <v>1143</v>
      </c>
      <c r="D5919" s="4"/>
      <c r="E5919" s="4" t="s">
        <v>921</v>
      </c>
      <c r="F5919" s="46" t="s">
        <v>2852</v>
      </c>
      <c r="G5919" s="4" t="s">
        <v>336</v>
      </c>
      <c r="H5919" s="4" t="s">
        <v>380</v>
      </c>
      <c r="I5919" s="4">
        <v>2</v>
      </c>
      <c r="J5919" s="21">
        <v>135</v>
      </c>
      <c r="K5919" s="21">
        <v>270</v>
      </c>
      <c r="L5919" s="5">
        <v>0</v>
      </c>
      <c r="M5919" s="4"/>
      <c r="N5919" s="4"/>
      <c r="O5919" s="5"/>
      <c r="P5919" s="5"/>
      <c r="Q5919" s="21">
        <v>0</v>
      </c>
      <c r="R5919" s="21">
        <v>0</v>
      </c>
      <c r="S5919" s="5">
        <f t="shared" si="371"/>
        <v>77472.579360692005</v>
      </c>
      <c r="T5919" cm="1">
        <f t="array" ref="T5919">IF(OR(B5919="MAL ALIMI", B5919="ÜRETİM GİRİŞ"), MIN(I5919, MAX(0, I5919 + SUM(SUMIFS($I$1:I5918, $C$1:C5918, C5919, $B$1:B5918, {"MAL ALIMI","ÜRETİM GİRİŞ"})) - VLOOKUP(C5919, 'STOK RAPORU'!$C$2:$I$1000, 4, 0))), 0)</f>
        <v>0</v>
      </c>
      <c r="U5919" s="22">
        <f t="shared" si="368"/>
        <v>0</v>
      </c>
      <c r="V5919">
        <f t="shared" si="369"/>
        <v>0</v>
      </c>
      <c r="W5919" s="22">
        <f t="shared" si="370"/>
        <v>0</v>
      </c>
    </row>
    <row r="5920" spans="1:23" hidden="1" x14ac:dyDescent="0.25">
      <c r="A5920" s="3">
        <v>46113</v>
      </c>
      <c r="B5920" s="4" t="s">
        <v>334</v>
      </c>
      <c r="C5920" s="4" t="s">
        <v>751</v>
      </c>
      <c r="D5920" s="4"/>
      <c r="E5920" s="4" t="s">
        <v>921</v>
      </c>
      <c r="F5920" s="46" t="s">
        <v>2852</v>
      </c>
      <c r="G5920" s="4" t="s">
        <v>336</v>
      </c>
      <c r="H5920" s="4" t="s">
        <v>380</v>
      </c>
      <c r="I5920" s="4">
        <v>1</v>
      </c>
      <c r="J5920" s="21">
        <v>250</v>
      </c>
      <c r="K5920" s="21">
        <v>250</v>
      </c>
      <c r="L5920" s="5">
        <v>0</v>
      </c>
      <c r="M5920" s="4"/>
      <c r="N5920" s="4"/>
      <c r="O5920" s="5"/>
      <c r="P5920" s="5"/>
      <c r="Q5920" s="21">
        <v>0</v>
      </c>
      <c r="R5920" s="21">
        <v>0</v>
      </c>
      <c r="S5920" s="5">
        <f t="shared" si="371"/>
        <v>77472.579360692005</v>
      </c>
      <c r="T5920" cm="1">
        <f t="array" ref="T5920">IF(OR(B5920="MAL ALIMI", B5920="ÜRETİM GİRİŞ"), MIN(I5920, MAX(0, I5920 + SUM(SUMIFS($I$1:I5919, $C$1:C5919, C5920, $B$1:B5919, {"MAL ALIMI","ÜRETİM GİRİŞ"})) - VLOOKUP(C5920, 'STOK RAPORU'!$C$2:$I$1000, 4, 0))), 0)</f>
        <v>0</v>
      </c>
      <c r="U5920" s="22">
        <f t="shared" si="368"/>
        <v>0</v>
      </c>
      <c r="V5920">
        <f t="shared" si="369"/>
        <v>0</v>
      </c>
      <c r="W5920" s="22">
        <f t="shared" si="370"/>
        <v>0</v>
      </c>
    </row>
    <row r="5921" spans="1:23" hidden="1" x14ac:dyDescent="0.25">
      <c r="A5921" s="3">
        <v>46113</v>
      </c>
      <c r="B5921" s="4" t="s">
        <v>334</v>
      </c>
      <c r="C5921" s="4" t="s">
        <v>1634</v>
      </c>
      <c r="D5921" s="4"/>
      <c r="E5921" s="4" t="s">
        <v>921</v>
      </c>
      <c r="F5921" s="46" t="s">
        <v>2852</v>
      </c>
      <c r="G5921" s="4" t="s">
        <v>336</v>
      </c>
      <c r="H5921" s="4" t="s">
        <v>380</v>
      </c>
      <c r="I5921" s="4">
        <v>2</v>
      </c>
      <c r="J5921" s="21">
        <v>375</v>
      </c>
      <c r="K5921" s="21">
        <v>750</v>
      </c>
      <c r="L5921" s="5">
        <v>0</v>
      </c>
      <c r="M5921" s="4"/>
      <c r="N5921" s="4"/>
      <c r="O5921" s="5"/>
      <c r="P5921" s="5"/>
      <c r="Q5921" s="21">
        <v>0</v>
      </c>
      <c r="R5921" s="21">
        <v>0</v>
      </c>
      <c r="S5921" s="5">
        <f t="shared" si="371"/>
        <v>77472.579360692005</v>
      </c>
      <c r="T5921" cm="1">
        <f t="array" ref="T5921">IF(OR(B5921="MAL ALIMI", B5921="ÜRETİM GİRİŞ"), MIN(I5921, MAX(0, I5921 + SUM(SUMIFS($I$1:I5920, $C$1:C5920, C5921, $B$1:B5920, {"MAL ALIMI","ÜRETİM GİRİŞ"})) - VLOOKUP(C5921, 'STOK RAPORU'!$C$2:$I$1000, 4, 0))), 0)</f>
        <v>0</v>
      </c>
      <c r="U5921" s="22">
        <f t="shared" si="368"/>
        <v>0</v>
      </c>
      <c r="V5921">
        <f t="shared" si="369"/>
        <v>0</v>
      </c>
      <c r="W5921" s="22">
        <f t="shared" si="370"/>
        <v>0</v>
      </c>
    </row>
    <row r="5922" spans="1:23" hidden="1" x14ac:dyDescent="0.25">
      <c r="A5922" s="3">
        <v>46113</v>
      </c>
      <c r="B5922" s="4" t="s">
        <v>334</v>
      </c>
      <c r="C5922" s="4" t="s">
        <v>1386</v>
      </c>
      <c r="D5922" s="4"/>
      <c r="E5922" s="4"/>
      <c r="F5922" s="46" t="s">
        <v>2853</v>
      </c>
      <c r="G5922" s="4" t="s">
        <v>336</v>
      </c>
      <c r="H5922" s="4" t="s">
        <v>289</v>
      </c>
      <c r="I5922" s="4">
        <v>1</v>
      </c>
      <c r="J5922" s="21">
        <v>310</v>
      </c>
      <c r="K5922" s="21">
        <v>0</v>
      </c>
      <c r="L5922" s="5">
        <v>0</v>
      </c>
      <c r="M5922" s="4"/>
      <c r="N5922" s="4"/>
      <c r="O5922" s="5"/>
      <c r="P5922" s="5"/>
      <c r="Q5922" s="21">
        <v>310</v>
      </c>
      <c r="R5922" s="21">
        <v>0</v>
      </c>
      <c r="S5922" s="5">
        <f t="shared" si="371"/>
        <v>77782.579360692005</v>
      </c>
      <c r="T5922" cm="1">
        <f t="array" ref="T5922">IF(OR(B5922="MAL ALIMI", B5922="ÜRETİM GİRİŞ"), MIN(I5922, MAX(0, I5922 + SUM(SUMIFS($I$1:I5921, $C$1:C5921, C5922, $B$1:B5921, {"MAL ALIMI","ÜRETİM GİRİŞ"})) - VLOOKUP(C5922, 'STOK RAPORU'!$C$2:$I$1000, 4, 0))), 0)</f>
        <v>0</v>
      </c>
      <c r="U5922" s="22">
        <f t="shared" si="368"/>
        <v>0</v>
      </c>
      <c r="V5922">
        <f t="shared" si="369"/>
        <v>0</v>
      </c>
      <c r="W5922" s="22">
        <f t="shared" si="370"/>
        <v>0</v>
      </c>
    </row>
    <row r="5923" spans="1:23" hidden="1" x14ac:dyDescent="0.25">
      <c r="A5923" s="3">
        <v>46113</v>
      </c>
      <c r="B5923" s="4" t="s">
        <v>334</v>
      </c>
      <c r="C5923" s="4" t="s">
        <v>160</v>
      </c>
      <c r="D5923" s="4"/>
      <c r="E5923" s="4"/>
      <c r="F5923" s="46" t="s">
        <v>2853</v>
      </c>
      <c r="G5923" s="4" t="s">
        <v>336</v>
      </c>
      <c r="H5923" s="4" t="s">
        <v>289</v>
      </c>
      <c r="I5923" s="4">
        <v>1</v>
      </c>
      <c r="J5923" s="21">
        <v>250</v>
      </c>
      <c r="K5923" s="21">
        <v>0</v>
      </c>
      <c r="L5923" s="5">
        <v>0</v>
      </c>
      <c r="M5923" s="4"/>
      <c r="N5923" s="4"/>
      <c r="O5923" s="5"/>
      <c r="P5923" s="5"/>
      <c r="Q5923" s="21">
        <v>250</v>
      </c>
      <c r="R5923" s="21">
        <v>0</v>
      </c>
      <c r="S5923" s="5">
        <f t="shared" si="371"/>
        <v>78032.579360692005</v>
      </c>
      <c r="T5923" cm="1">
        <f t="array" ref="T5923">IF(OR(B5923="MAL ALIMI", B5923="ÜRETİM GİRİŞ"), MIN(I5923, MAX(0, I5923 + SUM(SUMIFS($I$1:I5922, $C$1:C5922, C5923, $B$1:B5922, {"MAL ALIMI","ÜRETİM GİRİŞ"})) - VLOOKUP(C5923, 'STOK RAPORU'!$C$2:$I$1000, 4, 0))), 0)</f>
        <v>0</v>
      </c>
      <c r="U5923" s="22">
        <f t="shared" si="368"/>
        <v>0</v>
      </c>
      <c r="V5923">
        <f t="shared" si="369"/>
        <v>0</v>
      </c>
      <c r="W5923" s="22">
        <f t="shared" si="370"/>
        <v>0</v>
      </c>
    </row>
    <row r="5924" spans="1:23" hidden="1" x14ac:dyDescent="0.25">
      <c r="A5924" s="3">
        <v>46113</v>
      </c>
      <c r="B5924" s="4" t="s">
        <v>334</v>
      </c>
      <c r="C5924" s="4" t="s">
        <v>1501</v>
      </c>
      <c r="D5924" s="4"/>
      <c r="E5924" s="4"/>
      <c r="F5924" s="46" t="s">
        <v>2854</v>
      </c>
      <c r="G5924" s="4" t="s">
        <v>336</v>
      </c>
      <c r="H5924" s="4" t="s">
        <v>289</v>
      </c>
      <c r="I5924" s="4">
        <v>1</v>
      </c>
      <c r="J5924" s="21">
        <v>600</v>
      </c>
      <c r="K5924" s="21">
        <v>0</v>
      </c>
      <c r="L5924" s="5">
        <v>0</v>
      </c>
      <c r="M5924" s="4"/>
      <c r="N5924" s="4"/>
      <c r="O5924" s="5"/>
      <c r="P5924" s="5"/>
      <c r="Q5924" s="21">
        <v>600</v>
      </c>
      <c r="R5924" s="21">
        <v>0</v>
      </c>
      <c r="S5924" s="5">
        <f t="shared" si="371"/>
        <v>78632.579360692005</v>
      </c>
      <c r="T5924" cm="1">
        <f t="array" ref="T5924">IF(OR(B5924="MAL ALIMI", B5924="ÜRETİM GİRİŞ"), MIN(I5924, MAX(0, I5924 + SUM(SUMIFS($I$1:I5923, $C$1:C5923, C5924, $B$1:B5923, {"MAL ALIMI","ÜRETİM GİRİŞ"})) - VLOOKUP(C5924, 'STOK RAPORU'!$C$2:$I$1000, 4, 0))), 0)</f>
        <v>0</v>
      </c>
      <c r="U5924" s="22">
        <f t="shared" si="368"/>
        <v>0</v>
      </c>
      <c r="V5924">
        <f t="shared" si="369"/>
        <v>0</v>
      </c>
      <c r="W5924" s="22">
        <f t="shared" si="370"/>
        <v>0</v>
      </c>
    </row>
    <row r="5925" spans="1:23" hidden="1" x14ac:dyDescent="0.25">
      <c r="A5925" s="3">
        <v>46113</v>
      </c>
      <c r="B5925" s="4" t="s">
        <v>334</v>
      </c>
      <c r="C5925" s="4" t="s">
        <v>160</v>
      </c>
      <c r="D5925" s="4"/>
      <c r="E5925" s="4" t="s">
        <v>921</v>
      </c>
      <c r="F5925" s="46" t="s">
        <v>2856</v>
      </c>
      <c r="G5925" s="4" t="s">
        <v>336</v>
      </c>
      <c r="H5925" s="4" t="s">
        <v>380</v>
      </c>
      <c r="I5925" s="4">
        <v>0.5</v>
      </c>
      <c r="J5925" s="21">
        <v>250</v>
      </c>
      <c r="K5925" s="21">
        <v>125</v>
      </c>
      <c r="L5925" s="5">
        <v>0</v>
      </c>
      <c r="M5925" s="4"/>
      <c r="N5925" s="4"/>
      <c r="O5925" s="5"/>
      <c r="P5925" s="5"/>
      <c r="Q5925" s="21">
        <v>0</v>
      </c>
      <c r="R5925" s="21">
        <v>0</v>
      </c>
      <c r="S5925" s="5">
        <f t="shared" si="371"/>
        <v>78632.579360692005</v>
      </c>
      <c r="T5925" cm="1">
        <f t="array" ref="T5925">IF(OR(B5925="MAL ALIMI", B5925="ÜRETİM GİRİŞ"), MIN(I5925, MAX(0, I5925 + SUM(SUMIFS($I$1:I5924, $C$1:C5924, C5925, $B$1:B5924, {"MAL ALIMI","ÜRETİM GİRİŞ"})) - VLOOKUP(C5925, 'STOK RAPORU'!$C$2:$I$1000, 4, 0))), 0)</f>
        <v>0</v>
      </c>
      <c r="U5925" s="22">
        <f t="shared" si="368"/>
        <v>0</v>
      </c>
      <c r="V5925">
        <f t="shared" si="369"/>
        <v>0</v>
      </c>
      <c r="W5925" s="22">
        <f t="shared" si="370"/>
        <v>0</v>
      </c>
    </row>
    <row r="5926" spans="1:23" hidden="1" x14ac:dyDescent="0.25">
      <c r="A5926" s="3">
        <v>46113</v>
      </c>
      <c r="B5926" s="4" t="s">
        <v>334</v>
      </c>
      <c r="C5926" s="4" t="s">
        <v>161</v>
      </c>
      <c r="D5926" s="4"/>
      <c r="E5926" s="4" t="s">
        <v>921</v>
      </c>
      <c r="F5926" s="46" t="s">
        <v>2856</v>
      </c>
      <c r="G5926" s="4" t="s">
        <v>336</v>
      </c>
      <c r="H5926" s="4" t="s">
        <v>380</v>
      </c>
      <c r="I5926" s="4">
        <v>0.5</v>
      </c>
      <c r="J5926" s="21">
        <v>250</v>
      </c>
      <c r="K5926" s="21">
        <v>125</v>
      </c>
      <c r="L5926" s="5">
        <v>0</v>
      </c>
      <c r="M5926" s="4"/>
      <c r="N5926" s="4"/>
      <c r="O5926" s="5"/>
      <c r="P5926" s="5"/>
      <c r="Q5926" s="21">
        <v>0</v>
      </c>
      <c r="R5926" s="21">
        <v>0</v>
      </c>
      <c r="S5926" s="5">
        <f t="shared" si="371"/>
        <v>78632.579360692005</v>
      </c>
      <c r="T5926" cm="1">
        <f t="array" ref="T5926">IF(OR(B5926="MAL ALIMI", B5926="ÜRETİM GİRİŞ"), MIN(I5926, MAX(0, I5926 + SUM(SUMIFS($I$1:I5925, $C$1:C5925, C5926, $B$1:B5925, {"MAL ALIMI","ÜRETİM GİRİŞ"})) - VLOOKUP(C5926, 'STOK RAPORU'!$C$2:$I$1000, 4, 0))), 0)</f>
        <v>0</v>
      </c>
      <c r="U5926" s="22">
        <f t="shared" si="368"/>
        <v>0</v>
      </c>
      <c r="V5926">
        <f t="shared" si="369"/>
        <v>0</v>
      </c>
      <c r="W5926" s="22">
        <f t="shared" si="370"/>
        <v>0</v>
      </c>
    </row>
    <row r="5927" spans="1:23" hidden="1" x14ac:dyDescent="0.25">
      <c r="A5927" s="3">
        <v>46113</v>
      </c>
      <c r="B5927" s="4" t="s">
        <v>334</v>
      </c>
      <c r="C5927" s="4" t="s">
        <v>158</v>
      </c>
      <c r="D5927" s="4"/>
      <c r="E5927" s="4"/>
      <c r="F5927" s="46" t="s">
        <v>2857</v>
      </c>
      <c r="G5927" s="4" t="s">
        <v>336</v>
      </c>
      <c r="H5927" s="4" t="s">
        <v>289</v>
      </c>
      <c r="I5927" s="4">
        <v>1</v>
      </c>
      <c r="J5927" s="21">
        <v>150</v>
      </c>
      <c r="K5927" s="21">
        <v>0</v>
      </c>
      <c r="L5927" s="5">
        <v>0</v>
      </c>
      <c r="M5927" s="4"/>
      <c r="N5927" s="4"/>
      <c r="O5927" s="5"/>
      <c r="P5927" s="5"/>
      <c r="Q5927" s="21">
        <v>150</v>
      </c>
      <c r="R5927" s="21">
        <v>0</v>
      </c>
      <c r="S5927" s="5">
        <f t="shared" si="371"/>
        <v>78782.579360692005</v>
      </c>
      <c r="T5927" cm="1">
        <f t="array" ref="T5927">IF(OR(B5927="MAL ALIMI", B5927="ÜRETİM GİRİŞ"), MIN(I5927, MAX(0, I5927 + SUM(SUMIFS($I$1:I5926, $C$1:C5926, C5927, $B$1:B5926, {"MAL ALIMI","ÜRETİM GİRİŞ"})) - VLOOKUP(C5927, 'STOK RAPORU'!$C$2:$I$1000, 4, 0))), 0)</f>
        <v>0</v>
      </c>
      <c r="U5927" s="22">
        <f t="shared" si="368"/>
        <v>0</v>
      </c>
      <c r="V5927">
        <f t="shared" si="369"/>
        <v>0</v>
      </c>
      <c r="W5927" s="22">
        <f t="shared" si="370"/>
        <v>0</v>
      </c>
    </row>
    <row r="5928" spans="1:23" hidden="1" x14ac:dyDescent="0.25">
      <c r="A5928" s="3">
        <v>46113</v>
      </c>
      <c r="B5928" s="4" t="s">
        <v>334</v>
      </c>
      <c r="C5928" s="4" t="s">
        <v>131</v>
      </c>
      <c r="D5928" s="4"/>
      <c r="E5928" s="4"/>
      <c r="F5928" s="46" t="s">
        <v>2857</v>
      </c>
      <c r="G5928" s="4" t="s">
        <v>336</v>
      </c>
      <c r="H5928" s="4" t="s">
        <v>289</v>
      </c>
      <c r="I5928" s="4">
        <v>7.4999999999999997E-2</v>
      </c>
      <c r="J5928" s="21">
        <v>400</v>
      </c>
      <c r="K5928" s="21">
        <v>0</v>
      </c>
      <c r="L5928" s="5">
        <v>0</v>
      </c>
      <c r="M5928" s="4"/>
      <c r="N5928" s="4"/>
      <c r="O5928" s="5"/>
      <c r="P5928" s="5"/>
      <c r="Q5928" s="21">
        <v>30</v>
      </c>
      <c r="R5928" s="21">
        <v>0</v>
      </c>
      <c r="S5928" s="5">
        <f t="shared" si="371"/>
        <v>78812.579360692005</v>
      </c>
      <c r="T5928" cm="1">
        <f t="array" ref="T5928">IF(OR(B5928="MAL ALIMI", B5928="ÜRETİM GİRİŞ"), MIN(I5928, MAX(0, I5928 + SUM(SUMIFS($I$1:I5927, $C$1:C5927, C5928, $B$1:B5927, {"MAL ALIMI","ÜRETİM GİRİŞ"})) - VLOOKUP(C5928, 'STOK RAPORU'!$C$2:$I$1000, 4, 0))), 0)</f>
        <v>0</v>
      </c>
      <c r="U5928" s="22">
        <f t="shared" si="368"/>
        <v>0</v>
      </c>
      <c r="V5928">
        <f t="shared" si="369"/>
        <v>0</v>
      </c>
      <c r="W5928" s="22">
        <f t="shared" si="370"/>
        <v>0</v>
      </c>
    </row>
    <row r="5929" spans="1:23" hidden="1" x14ac:dyDescent="0.25">
      <c r="A5929" s="3">
        <v>46113</v>
      </c>
      <c r="B5929" s="4" t="s">
        <v>334</v>
      </c>
      <c r="C5929" s="4" t="s">
        <v>133</v>
      </c>
      <c r="D5929" s="4"/>
      <c r="E5929" s="4"/>
      <c r="F5929" s="46" t="s">
        <v>2857</v>
      </c>
      <c r="G5929" s="4" t="s">
        <v>336</v>
      </c>
      <c r="H5929" s="4" t="s">
        <v>289</v>
      </c>
      <c r="I5929" s="4">
        <v>0.1075</v>
      </c>
      <c r="J5929" s="21">
        <v>400</v>
      </c>
      <c r="K5929" s="21">
        <v>0</v>
      </c>
      <c r="L5929" s="5">
        <v>0</v>
      </c>
      <c r="M5929" s="4"/>
      <c r="N5929" s="4"/>
      <c r="O5929" s="5"/>
      <c r="P5929" s="5"/>
      <c r="Q5929" s="21">
        <v>43</v>
      </c>
      <c r="R5929" s="21">
        <v>0</v>
      </c>
      <c r="S5929" s="5">
        <f t="shared" si="371"/>
        <v>78855.579360692005</v>
      </c>
      <c r="T5929" cm="1">
        <f t="array" ref="T5929">IF(OR(B5929="MAL ALIMI", B5929="ÜRETİM GİRİŞ"), MIN(I5929, MAX(0, I5929 + SUM(SUMIFS($I$1:I5928, $C$1:C5928, C5929, $B$1:B5928, {"MAL ALIMI","ÜRETİM GİRİŞ"})) - VLOOKUP(C5929, 'STOK RAPORU'!$C$2:$I$1000, 4, 0))), 0)</f>
        <v>0</v>
      </c>
      <c r="U5929" s="22">
        <f t="shared" si="368"/>
        <v>0</v>
      </c>
      <c r="V5929">
        <f t="shared" si="369"/>
        <v>0</v>
      </c>
      <c r="W5929" s="22">
        <f t="shared" si="370"/>
        <v>0</v>
      </c>
    </row>
    <row r="5930" spans="1:23" hidden="1" x14ac:dyDescent="0.25">
      <c r="A5930" s="3">
        <v>46113</v>
      </c>
      <c r="B5930" s="4" t="s">
        <v>334</v>
      </c>
      <c r="C5930" s="4" t="s">
        <v>91</v>
      </c>
      <c r="D5930" s="4"/>
      <c r="E5930" s="4" t="s">
        <v>921</v>
      </c>
      <c r="F5930" s="46" t="s">
        <v>2858</v>
      </c>
      <c r="G5930" s="4" t="s">
        <v>336</v>
      </c>
      <c r="H5930" s="4" t="s">
        <v>380</v>
      </c>
      <c r="I5930" s="4">
        <v>7.3999999999999996E-2</v>
      </c>
      <c r="J5930" s="21">
        <v>750</v>
      </c>
      <c r="K5930" s="21">
        <v>55.5</v>
      </c>
      <c r="L5930" s="5">
        <v>0</v>
      </c>
      <c r="M5930" s="4"/>
      <c r="N5930" s="4"/>
      <c r="O5930" s="5"/>
      <c r="P5930" s="5"/>
      <c r="Q5930" s="21">
        <v>0</v>
      </c>
      <c r="R5930" s="21">
        <v>0</v>
      </c>
      <c r="S5930" s="5">
        <f t="shared" si="371"/>
        <v>78855.579360692005</v>
      </c>
      <c r="T5930" cm="1">
        <f t="array" ref="T5930">IF(OR(B5930="MAL ALIMI", B5930="ÜRETİM GİRİŞ"), MIN(I5930, MAX(0, I5930 + SUM(SUMIFS($I$1:I5929, $C$1:C5929, C5930, $B$1:B5929, {"MAL ALIMI","ÜRETİM GİRİŞ"})) - VLOOKUP(C5930, 'STOK RAPORU'!$C$2:$I$1000, 4, 0))), 0)</f>
        <v>0</v>
      </c>
      <c r="U5930" s="22">
        <f t="shared" si="368"/>
        <v>0</v>
      </c>
      <c r="V5930">
        <f t="shared" si="369"/>
        <v>0</v>
      </c>
      <c r="W5930" s="22">
        <f t="shared" si="370"/>
        <v>0</v>
      </c>
    </row>
    <row r="5931" spans="1:23" hidden="1" x14ac:dyDescent="0.25">
      <c r="A5931" s="3">
        <v>46113</v>
      </c>
      <c r="B5931" s="4" t="s">
        <v>334</v>
      </c>
      <c r="C5931" s="4" t="s">
        <v>463</v>
      </c>
      <c r="D5931" s="4"/>
      <c r="E5931" s="4" t="s">
        <v>921</v>
      </c>
      <c r="F5931" s="46" t="s">
        <v>2858</v>
      </c>
      <c r="G5931" s="4" t="s">
        <v>336</v>
      </c>
      <c r="H5931" s="4" t="s">
        <v>380</v>
      </c>
      <c r="I5931" s="4">
        <v>0.13</v>
      </c>
      <c r="J5931" s="21">
        <v>400</v>
      </c>
      <c r="K5931" s="21">
        <v>52</v>
      </c>
      <c r="L5931" s="5">
        <v>0</v>
      </c>
      <c r="M5931" s="4"/>
      <c r="N5931" s="4"/>
      <c r="O5931" s="5"/>
      <c r="P5931" s="5"/>
      <c r="Q5931" s="21">
        <v>0</v>
      </c>
      <c r="R5931" s="21">
        <v>0</v>
      </c>
      <c r="S5931" s="5">
        <f t="shared" si="371"/>
        <v>78855.579360692005</v>
      </c>
      <c r="T5931" cm="1">
        <f t="array" ref="T5931">IF(OR(B5931="MAL ALIMI", B5931="ÜRETİM GİRİŞ"), MIN(I5931, MAX(0, I5931 + SUM(SUMIFS($I$1:I5930, $C$1:C5930, C5931, $B$1:B5930, {"MAL ALIMI","ÜRETİM GİRİŞ"})) - VLOOKUP(C5931, 'STOK RAPORU'!$C$2:$I$1000, 4, 0))), 0)</f>
        <v>0</v>
      </c>
      <c r="U5931" s="22">
        <f t="shared" si="368"/>
        <v>0</v>
      </c>
      <c r="V5931">
        <f t="shared" si="369"/>
        <v>0</v>
      </c>
      <c r="W5931" s="22">
        <f t="shared" si="370"/>
        <v>0</v>
      </c>
    </row>
    <row r="5932" spans="1:23" hidden="1" x14ac:dyDescent="0.25">
      <c r="A5932" s="3">
        <v>46113</v>
      </c>
      <c r="B5932" s="4" t="s">
        <v>334</v>
      </c>
      <c r="C5932" s="4" t="s">
        <v>141</v>
      </c>
      <c r="D5932" s="4"/>
      <c r="E5932" s="4" t="s">
        <v>921</v>
      </c>
      <c r="F5932" s="46" t="s">
        <v>2858</v>
      </c>
      <c r="G5932" s="4" t="s">
        <v>336</v>
      </c>
      <c r="H5932" s="4" t="s">
        <v>380</v>
      </c>
      <c r="I5932" s="4">
        <v>0.126</v>
      </c>
      <c r="J5932" s="21">
        <v>140</v>
      </c>
      <c r="K5932" s="21">
        <v>17.64</v>
      </c>
      <c r="L5932" s="5">
        <v>0</v>
      </c>
      <c r="M5932" s="4"/>
      <c r="N5932" s="4"/>
      <c r="O5932" s="5"/>
      <c r="P5932" s="5"/>
      <c r="Q5932" s="21">
        <v>0</v>
      </c>
      <c r="R5932" s="21">
        <v>0</v>
      </c>
      <c r="S5932" s="5">
        <f t="shared" si="371"/>
        <v>78855.579360692005</v>
      </c>
      <c r="T5932" cm="1">
        <f t="array" ref="T5932">IF(OR(B5932="MAL ALIMI", B5932="ÜRETİM GİRİŞ"), MIN(I5932, MAX(0, I5932 + SUM(SUMIFS($I$1:I5931, $C$1:C5931, C5932, $B$1:B5931, {"MAL ALIMI","ÜRETİM GİRİŞ"})) - VLOOKUP(C5932, 'STOK RAPORU'!$C$2:$I$1000, 4, 0))), 0)</f>
        <v>0</v>
      </c>
      <c r="U5932" s="22">
        <f t="shared" si="368"/>
        <v>0</v>
      </c>
      <c r="V5932">
        <f t="shared" si="369"/>
        <v>0</v>
      </c>
      <c r="W5932" s="22">
        <f t="shared" si="370"/>
        <v>0</v>
      </c>
    </row>
    <row r="5933" spans="1:23" hidden="1" x14ac:dyDescent="0.25">
      <c r="A5933" s="3">
        <v>46113</v>
      </c>
      <c r="B5933" s="4" t="s">
        <v>334</v>
      </c>
      <c r="C5933" s="4" t="s">
        <v>140</v>
      </c>
      <c r="D5933" s="4"/>
      <c r="E5933" s="4" t="s">
        <v>921</v>
      </c>
      <c r="F5933" s="46" t="s">
        <v>2858</v>
      </c>
      <c r="G5933" s="4" t="s">
        <v>336</v>
      </c>
      <c r="H5933" s="4" t="s">
        <v>380</v>
      </c>
      <c r="I5933" s="4">
        <v>4.8000000000000001E-2</v>
      </c>
      <c r="J5933" s="21">
        <v>300</v>
      </c>
      <c r="K5933" s="21">
        <v>14.4</v>
      </c>
      <c r="L5933" s="5">
        <v>0</v>
      </c>
      <c r="M5933" s="4"/>
      <c r="N5933" s="4"/>
      <c r="O5933" s="5"/>
      <c r="P5933" s="5"/>
      <c r="Q5933" s="21">
        <v>0</v>
      </c>
      <c r="R5933" s="21">
        <v>0</v>
      </c>
      <c r="S5933" s="5">
        <f t="shared" si="371"/>
        <v>78855.579360692005</v>
      </c>
      <c r="T5933" cm="1">
        <f t="array" ref="T5933">IF(OR(B5933="MAL ALIMI", B5933="ÜRETİM GİRİŞ"), MIN(I5933, MAX(0, I5933 + SUM(SUMIFS($I$1:I5932, $C$1:C5932, C5933, $B$1:B5932, {"MAL ALIMI","ÜRETİM GİRİŞ"})) - VLOOKUP(C5933, 'STOK RAPORU'!$C$2:$I$1000, 4, 0))), 0)</f>
        <v>0</v>
      </c>
      <c r="U5933" s="22">
        <f t="shared" si="368"/>
        <v>0</v>
      </c>
      <c r="V5933">
        <f t="shared" si="369"/>
        <v>0</v>
      </c>
      <c r="W5933" s="22">
        <f t="shared" si="370"/>
        <v>0</v>
      </c>
    </row>
    <row r="5934" spans="1:23" hidden="1" x14ac:dyDescent="0.25">
      <c r="A5934" s="3">
        <v>46113</v>
      </c>
      <c r="B5934" s="4" t="s">
        <v>334</v>
      </c>
      <c r="C5934" s="4" t="s">
        <v>160</v>
      </c>
      <c r="D5934" s="4"/>
      <c r="E5934" s="4" t="s">
        <v>921</v>
      </c>
      <c r="F5934" s="46" t="s">
        <v>2858</v>
      </c>
      <c r="G5934" s="4" t="s">
        <v>336</v>
      </c>
      <c r="H5934" s="4" t="s">
        <v>380</v>
      </c>
      <c r="I5934" s="4">
        <v>1</v>
      </c>
      <c r="J5934" s="21">
        <v>250</v>
      </c>
      <c r="K5934" s="21">
        <v>250</v>
      </c>
      <c r="L5934" s="5">
        <v>0</v>
      </c>
      <c r="M5934" s="4"/>
      <c r="N5934" s="4"/>
      <c r="O5934" s="5"/>
      <c r="P5934" s="5"/>
      <c r="Q5934" s="21">
        <v>0</v>
      </c>
      <c r="R5934" s="21">
        <v>0</v>
      </c>
      <c r="S5934" s="5">
        <f t="shared" si="371"/>
        <v>78855.579360692005</v>
      </c>
      <c r="T5934" cm="1">
        <f t="array" ref="T5934">IF(OR(B5934="MAL ALIMI", B5934="ÜRETİM GİRİŞ"), MIN(I5934, MAX(0, I5934 + SUM(SUMIFS($I$1:I5933, $C$1:C5933, C5934, $B$1:B5933, {"MAL ALIMI","ÜRETİM GİRİŞ"})) - VLOOKUP(C5934, 'STOK RAPORU'!$C$2:$I$1000, 4, 0))), 0)</f>
        <v>0</v>
      </c>
      <c r="U5934" s="22">
        <f t="shared" si="368"/>
        <v>0</v>
      </c>
      <c r="V5934">
        <f t="shared" si="369"/>
        <v>0</v>
      </c>
      <c r="W5934" s="22">
        <f t="shared" si="370"/>
        <v>0</v>
      </c>
    </row>
    <row r="5935" spans="1:23" hidden="1" x14ac:dyDescent="0.25">
      <c r="A5935" s="3">
        <v>46113</v>
      </c>
      <c r="B5935" s="4" t="s">
        <v>334</v>
      </c>
      <c r="C5935" s="4" t="s">
        <v>157</v>
      </c>
      <c r="D5935" s="4"/>
      <c r="E5935" s="4" t="s">
        <v>921</v>
      </c>
      <c r="F5935" s="46" t="s">
        <v>2858</v>
      </c>
      <c r="G5935" s="4" t="s">
        <v>336</v>
      </c>
      <c r="H5935" s="4" t="s">
        <v>380</v>
      </c>
      <c r="I5935" s="4">
        <v>0.44800000000000001</v>
      </c>
      <c r="J5935" s="21">
        <v>200</v>
      </c>
      <c r="K5935" s="21">
        <v>89.600000000000009</v>
      </c>
      <c r="L5935" s="5">
        <v>0</v>
      </c>
      <c r="M5935" s="4"/>
      <c r="N5935" s="4"/>
      <c r="O5935" s="5"/>
      <c r="P5935" s="5"/>
      <c r="Q5935" s="21">
        <v>0</v>
      </c>
      <c r="R5935" s="21">
        <v>0</v>
      </c>
      <c r="S5935" s="5">
        <f t="shared" si="371"/>
        <v>78855.579360692005</v>
      </c>
      <c r="T5935" cm="1">
        <f t="array" ref="T5935">IF(OR(B5935="MAL ALIMI", B5935="ÜRETİM GİRİŞ"), MIN(I5935, MAX(0, I5935 + SUM(SUMIFS($I$1:I5934, $C$1:C5934, C5935, $B$1:B5934, {"MAL ALIMI","ÜRETİM GİRİŞ"})) - VLOOKUP(C5935, 'STOK RAPORU'!$C$2:$I$1000, 4, 0))), 0)</f>
        <v>0</v>
      </c>
      <c r="U5935" s="22">
        <f t="shared" si="368"/>
        <v>0</v>
      </c>
      <c r="V5935">
        <f t="shared" si="369"/>
        <v>0</v>
      </c>
      <c r="W5935" s="22">
        <f t="shared" si="370"/>
        <v>0</v>
      </c>
    </row>
    <row r="5936" spans="1:23" hidden="1" x14ac:dyDescent="0.25">
      <c r="A5936" s="3">
        <v>46113</v>
      </c>
      <c r="B5936" s="4" t="s">
        <v>334</v>
      </c>
      <c r="C5936" s="4" t="s">
        <v>1024</v>
      </c>
      <c r="D5936" s="4"/>
      <c r="E5936" s="4"/>
      <c r="F5936" s="46" t="s">
        <v>2859</v>
      </c>
      <c r="G5936" s="4" t="s">
        <v>336</v>
      </c>
      <c r="H5936" s="4" t="s">
        <v>289</v>
      </c>
      <c r="I5936" s="4">
        <v>2</v>
      </c>
      <c r="J5936" s="21">
        <v>50</v>
      </c>
      <c r="K5936" s="21">
        <v>0</v>
      </c>
      <c r="L5936" s="5">
        <v>0</v>
      </c>
      <c r="M5936" s="4"/>
      <c r="N5936" s="4"/>
      <c r="O5936" s="5"/>
      <c r="P5936" s="5"/>
      <c r="Q5936" s="21">
        <v>100</v>
      </c>
      <c r="R5936" s="21">
        <v>0</v>
      </c>
      <c r="S5936" s="5">
        <f t="shared" si="371"/>
        <v>78955.579360692005</v>
      </c>
      <c r="T5936" cm="1">
        <f t="array" ref="T5936">IF(OR(B5936="MAL ALIMI", B5936="ÜRETİM GİRİŞ"), MIN(I5936, MAX(0, I5936 + SUM(SUMIFS($I$1:I5935, $C$1:C5935, C5936, $B$1:B5935, {"MAL ALIMI","ÜRETİM GİRİŞ"})) - VLOOKUP(C5936, 'STOK RAPORU'!$C$2:$I$1000, 4, 0))), 0)</f>
        <v>0</v>
      </c>
      <c r="U5936" s="22">
        <f t="shared" si="368"/>
        <v>0</v>
      </c>
      <c r="V5936">
        <f t="shared" si="369"/>
        <v>0</v>
      </c>
      <c r="W5936" s="22">
        <f t="shared" si="370"/>
        <v>0</v>
      </c>
    </row>
    <row r="5937" spans="1:23" hidden="1" x14ac:dyDescent="0.25">
      <c r="A5937" s="3">
        <v>46113</v>
      </c>
      <c r="B5937" s="4" t="s">
        <v>334</v>
      </c>
      <c r="C5937" s="4" t="s">
        <v>2274</v>
      </c>
      <c r="D5937" s="4"/>
      <c r="E5937" s="4"/>
      <c r="F5937" s="46" t="s">
        <v>2859</v>
      </c>
      <c r="G5937" s="4" t="s">
        <v>336</v>
      </c>
      <c r="H5937" s="4" t="s">
        <v>289</v>
      </c>
      <c r="I5937" s="4">
        <v>3</v>
      </c>
      <c r="J5937" s="21">
        <v>33.340000000000003</v>
      </c>
      <c r="K5937" s="21">
        <v>0</v>
      </c>
      <c r="L5937" s="5">
        <v>0</v>
      </c>
      <c r="M5937" s="4"/>
      <c r="N5937" s="4"/>
      <c r="O5937" s="5"/>
      <c r="P5937" s="5"/>
      <c r="Q5937" s="21">
        <v>100.02000000000001</v>
      </c>
      <c r="R5937" s="21">
        <v>0</v>
      </c>
      <c r="S5937" s="5">
        <f t="shared" si="371"/>
        <v>79055.599360692009</v>
      </c>
      <c r="T5937" cm="1">
        <f t="array" ref="T5937">IF(OR(B5937="MAL ALIMI", B5937="ÜRETİM GİRİŞ"), MIN(I5937, MAX(0, I5937 + SUM(SUMIFS($I$1:I5936, $C$1:C5936, C5937, $B$1:B5936, {"MAL ALIMI","ÜRETİM GİRİŞ"})) - VLOOKUP(C5937, 'STOK RAPORU'!$C$2:$I$1000, 4, 0))), 0)</f>
        <v>0</v>
      </c>
      <c r="U5937" s="22">
        <f t="shared" si="368"/>
        <v>0</v>
      </c>
      <c r="V5937">
        <f t="shared" si="369"/>
        <v>0</v>
      </c>
      <c r="W5937" s="22">
        <f t="shared" si="370"/>
        <v>0</v>
      </c>
    </row>
    <row r="5938" spans="1:23" hidden="1" x14ac:dyDescent="0.25">
      <c r="A5938" s="3">
        <v>46113</v>
      </c>
      <c r="B5938" s="4" t="s">
        <v>334</v>
      </c>
      <c r="C5938" s="4" t="s">
        <v>160</v>
      </c>
      <c r="D5938" s="4"/>
      <c r="E5938" s="4"/>
      <c r="F5938" s="46" t="s">
        <v>2860</v>
      </c>
      <c r="G5938" s="4" t="s">
        <v>336</v>
      </c>
      <c r="H5938" s="4" t="s">
        <v>289</v>
      </c>
      <c r="I5938" s="4">
        <v>0.5</v>
      </c>
      <c r="J5938" s="21">
        <v>250</v>
      </c>
      <c r="K5938" s="21">
        <v>0</v>
      </c>
      <c r="L5938" s="5">
        <v>0</v>
      </c>
      <c r="M5938" s="4"/>
      <c r="N5938" s="4"/>
      <c r="O5938" s="5"/>
      <c r="P5938" s="5"/>
      <c r="Q5938" s="21">
        <v>125</v>
      </c>
      <c r="R5938" s="21">
        <v>0</v>
      </c>
      <c r="S5938" s="5">
        <f t="shared" si="371"/>
        <v>79180.599360692009</v>
      </c>
      <c r="T5938" cm="1">
        <f t="array" ref="T5938">IF(OR(B5938="MAL ALIMI", B5938="ÜRETİM GİRİŞ"), MIN(I5938, MAX(0, I5938 + SUM(SUMIFS($I$1:I5937, $C$1:C5937, C5938, $B$1:B5937, {"MAL ALIMI","ÜRETİM GİRİŞ"})) - VLOOKUP(C5938, 'STOK RAPORU'!$C$2:$I$1000, 4, 0))), 0)</f>
        <v>0</v>
      </c>
      <c r="U5938" s="22">
        <f t="shared" ref="U5938:U6001" si="372">T5938*J5938</f>
        <v>0</v>
      </c>
      <c r="V5938">
        <f t="shared" ref="V5938:V6001" si="373">IF(OR(B5938="MAL ALIMI", B5938="ÜRETİM GİRİŞ"), I5938 * J5938, 0)</f>
        <v>0</v>
      </c>
      <c r="W5938" s="22">
        <f t="shared" ref="W5938:W6001" si="374">V5938-U5938</f>
        <v>0</v>
      </c>
    </row>
    <row r="5939" spans="1:23" hidden="1" x14ac:dyDescent="0.25">
      <c r="A5939" s="3">
        <v>46113</v>
      </c>
      <c r="B5939" s="4" t="s">
        <v>334</v>
      </c>
      <c r="C5939" s="4" t="s">
        <v>161</v>
      </c>
      <c r="D5939" s="4"/>
      <c r="E5939" s="4"/>
      <c r="F5939" s="46" t="s">
        <v>2860</v>
      </c>
      <c r="G5939" s="4" t="s">
        <v>336</v>
      </c>
      <c r="H5939" s="4" t="s">
        <v>289</v>
      </c>
      <c r="I5939" s="4">
        <v>0.5</v>
      </c>
      <c r="J5939" s="21">
        <v>250</v>
      </c>
      <c r="K5939" s="21">
        <v>0</v>
      </c>
      <c r="L5939" s="5">
        <v>0</v>
      </c>
      <c r="M5939" s="4"/>
      <c r="N5939" s="4"/>
      <c r="O5939" s="5"/>
      <c r="P5939" s="5"/>
      <c r="Q5939" s="21">
        <v>125</v>
      </c>
      <c r="R5939" s="21">
        <v>0</v>
      </c>
      <c r="S5939" s="5">
        <f t="shared" si="371"/>
        <v>79305.599360692009</v>
      </c>
      <c r="T5939" cm="1">
        <f t="array" ref="T5939">IF(OR(B5939="MAL ALIMI", B5939="ÜRETİM GİRİŞ"), MIN(I5939, MAX(0, I5939 + SUM(SUMIFS($I$1:I5938, $C$1:C5938, C5939, $B$1:B5938, {"MAL ALIMI","ÜRETİM GİRİŞ"})) - VLOOKUP(C5939, 'STOK RAPORU'!$C$2:$I$1000, 4, 0))), 0)</f>
        <v>0</v>
      </c>
      <c r="U5939" s="22">
        <f t="shared" si="372"/>
        <v>0</v>
      </c>
      <c r="V5939">
        <f t="shared" si="373"/>
        <v>0</v>
      </c>
      <c r="W5939" s="22">
        <f t="shared" si="374"/>
        <v>0</v>
      </c>
    </row>
    <row r="5940" spans="1:23" hidden="1" x14ac:dyDescent="0.25">
      <c r="A5940" s="3">
        <v>46113</v>
      </c>
      <c r="B5940" s="4" t="s">
        <v>334</v>
      </c>
      <c r="C5940" s="4" t="s">
        <v>224</v>
      </c>
      <c r="D5940" s="4"/>
      <c r="E5940" s="4"/>
      <c r="F5940" s="46" t="s">
        <v>2860</v>
      </c>
      <c r="G5940" s="4" t="s">
        <v>336</v>
      </c>
      <c r="H5940" s="4" t="s">
        <v>289</v>
      </c>
      <c r="I5940" s="4">
        <v>0.05</v>
      </c>
      <c r="J5940" s="21">
        <v>900</v>
      </c>
      <c r="K5940" s="21">
        <v>0</v>
      </c>
      <c r="L5940" s="5">
        <v>0</v>
      </c>
      <c r="M5940" s="4"/>
      <c r="N5940" s="4"/>
      <c r="O5940" s="5"/>
      <c r="P5940" s="5"/>
      <c r="Q5940" s="21">
        <v>45</v>
      </c>
      <c r="R5940" s="21">
        <v>0</v>
      </c>
      <c r="S5940" s="5">
        <f t="shared" si="371"/>
        <v>79350.599360692009</v>
      </c>
      <c r="T5940" cm="1">
        <f t="array" ref="T5940">IF(OR(B5940="MAL ALIMI", B5940="ÜRETİM GİRİŞ"), MIN(I5940, MAX(0, I5940 + SUM(SUMIFS($I$1:I5939, $C$1:C5939, C5940, $B$1:B5939, {"MAL ALIMI","ÜRETİM GİRİŞ"})) - VLOOKUP(C5940, 'STOK RAPORU'!$C$2:$I$1000, 4, 0))), 0)</f>
        <v>0</v>
      </c>
      <c r="U5940" s="22">
        <f t="shared" si="372"/>
        <v>0</v>
      </c>
      <c r="V5940">
        <f t="shared" si="373"/>
        <v>0</v>
      </c>
      <c r="W5940" s="22">
        <f t="shared" si="374"/>
        <v>0</v>
      </c>
    </row>
    <row r="5941" spans="1:23" hidden="1" x14ac:dyDescent="0.25">
      <c r="A5941" s="3">
        <v>46113</v>
      </c>
      <c r="B5941" s="4" t="s">
        <v>334</v>
      </c>
      <c r="C5941" s="4" t="s">
        <v>166</v>
      </c>
      <c r="D5941" s="4"/>
      <c r="E5941" s="4"/>
      <c r="F5941" s="46" t="s">
        <v>2861</v>
      </c>
      <c r="G5941" s="4" t="s">
        <v>336</v>
      </c>
      <c r="H5941" s="4" t="s">
        <v>289</v>
      </c>
      <c r="I5941" s="4">
        <v>5.9740259740259739E-2</v>
      </c>
      <c r="J5941" s="21">
        <v>770</v>
      </c>
      <c r="K5941" s="21">
        <v>0</v>
      </c>
      <c r="L5941" s="5">
        <v>0</v>
      </c>
      <c r="M5941" s="4"/>
      <c r="N5941" s="4"/>
      <c r="O5941" s="5"/>
      <c r="P5941" s="5"/>
      <c r="Q5941" s="21">
        <v>46</v>
      </c>
      <c r="R5941" s="21">
        <v>0</v>
      </c>
      <c r="S5941" s="5">
        <f t="shared" si="371"/>
        <v>79396.599360692009</v>
      </c>
      <c r="T5941" cm="1">
        <f t="array" ref="T5941">IF(OR(B5941="MAL ALIMI", B5941="ÜRETİM GİRİŞ"), MIN(I5941, MAX(0, I5941 + SUM(SUMIFS($I$1:I5940, $C$1:C5940, C5941, $B$1:B5940, {"MAL ALIMI","ÜRETİM GİRİŞ"})) - VLOOKUP(C5941, 'STOK RAPORU'!$C$2:$I$1000, 4, 0))), 0)</f>
        <v>0</v>
      </c>
      <c r="U5941" s="22">
        <f t="shared" si="372"/>
        <v>0</v>
      </c>
      <c r="V5941">
        <f t="shared" si="373"/>
        <v>0</v>
      </c>
      <c r="W5941" s="22">
        <f t="shared" si="374"/>
        <v>0</v>
      </c>
    </row>
    <row r="5942" spans="1:23" hidden="1" x14ac:dyDescent="0.25">
      <c r="A5942" s="3">
        <v>46113</v>
      </c>
      <c r="B5942" s="4" t="s">
        <v>334</v>
      </c>
      <c r="C5942" s="4" t="s">
        <v>1501</v>
      </c>
      <c r="D5942" s="4"/>
      <c r="E5942" s="4"/>
      <c r="F5942" s="46" t="s">
        <v>2862</v>
      </c>
      <c r="G5942" s="4" t="s">
        <v>336</v>
      </c>
      <c r="H5942" s="4" t="s">
        <v>289</v>
      </c>
      <c r="I5942" s="4">
        <v>1</v>
      </c>
      <c r="J5942" s="21">
        <v>600</v>
      </c>
      <c r="K5942" s="21">
        <v>0</v>
      </c>
      <c r="L5942" s="5">
        <v>0</v>
      </c>
      <c r="M5942" s="4"/>
      <c r="N5942" s="4"/>
      <c r="O5942" s="5"/>
      <c r="P5942" s="5"/>
      <c r="Q5942" s="21">
        <v>600</v>
      </c>
      <c r="R5942" s="21">
        <v>0</v>
      </c>
      <c r="S5942" s="5">
        <f t="shared" si="371"/>
        <v>79996.599360692009</v>
      </c>
      <c r="T5942" cm="1">
        <f t="array" ref="T5942">IF(OR(B5942="MAL ALIMI", B5942="ÜRETİM GİRİŞ"), MIN(I5942, MAX(0, I5942 + SUM(SUMIFS($I$1:I5941, $C$1:C5941, C5942, $B$1:B5941, {"MAL ALIMI","ÜRETİM GİRİŞ"})) - VLOOKUP(C5942, 'STOK RAPORU'!$C$2:$I$1000, 4, 0))), 0)</f>
        <v>0</v>
      </c>
      <c r="U5942" s="22">
        <f t="shared" si="372"/>
        <v>0</v>
      </c>
      <c r="V5942">
        <f t="shared" si="373"/>
        <v>0</v>
      </c>
      <c r="W5942" s="22">
        <f t="shared" si="374"/>
        <v>0</v>
      </c>
    </row>
    <row r="5943" spans="1:23" hidden="1" x14ac:dyDescent="0.25">
      <c r="A5943" s="3">
        <v>46113</v>
      </c>
      <c r="B5943" s="4" t="s">
        <v>334</v>
      </c>
      <c r="C5943" s="4" t="s">
        <v>163</v>
      </c>
      <c r="D5943" s="4"/>
      <c r="E5943" s="4"/>
      <c r="F5943" s="46" t="s">
        <v>2862</v>
      </c>
      <c r="G5943" s="4" t="s">
        <v>336</v>
      </c>
      <c r="H5943" s="4" t="s">
        <v>289</v>
      </c>
      <c r="I5943" s="4">
        <v>1</v>
      </c>
      <c r="J5943" s="21">
        <v>450</v>
      </c>
      <c r="K5943" s="21">
        <v>0</v>
      </c>
      <c r="L5943" s="5">
        <v>0</v>
      </c>
      <c r="M5943" s="4"/>
      <c r="N5943" s="4"/>
      <c r="O5943" s="5"/>
      <c r="P5943" s="5"/>
      <c r="Q5943" s="21">
        <v>450</v>
      </c>
      <c r="R5943" s="21">
        <v>0</v>
      </c>
      <c r="S5943" s="5">
        <f t="shared" si="371"/>
        <v>80446.599360692009</v>
      </c>
      <c r="T5943" cm="1">
        <f t="array" ref="T5943">IF(OR(B5943="MAL ALIMI", B5943="ÜRETİM GİRİŞ"), MIN(I5943, MAX(0, I5943 + SUM(SUMIFS($I$1:I5942, $C$1:C5942, C5943, $B$1:B5942, {"MAL ALIMI","ÜRETİM GİRİŞ"})) - VLOOKUP(C5943, 'STOK RAPORU'!$C$2:$I$1000, 4, 0))), 0)</f>
        <v>0</v>
      </c>
      <c r="U5943" s="22">
        <f t="shared" si="372"/>
        <v>0</v>
      </c>
      <c r="V5943">
        <f t="shared" si="373"/>
        <v>0</v>
      </c>
      <c r="W5943" s="22">
        <f t="shared" si="374"/>
        <v>0</v>
      </c>
    </row>
    <row r="5944" spans="1:23" hidden="1" x14ac:dyDescent="0.25">
      <c r="A5944" s="3">
        <v>46113</v>
      </c>
      <c r="B5944" s="4" t="s">
        <v>334</v>
      </c>
      <c r="C5944" s="4" t="s">
        <v>60</v>
      </c>
      <c r="D5944" s="4"/>
      <c r="E5944" s="4"/>
      <c r="F5944" s="46" t="s">
        <v>2862</v>
      </c>
      <c r="G5944" s="4" t="s">
        <v>336</v>
      </c>
      <c r="H5944" s="4" t="s">
        <v>289</v>
      </c>
      <c r="I5944" s="4">
        <v>0.05</v>
      </c>
      <c r="J5944" s="21">
        <v>1000</v>
      </c>
      <c r="K5944" s="21">
        <v>0</v>
      </c>
      <c r="L5944" s="5">
        <v>0</v>
      </c>
      <c r="M5944" s="4"/>
      <c r="N5944" s="4"/>
      <c r="O5944" s="5"/>
      <c r="P5944" s="5"/>
      <c r="Q5944" s="21">
        <v>50</v>
      </c>
      <c r="R5944" s="21">
        <v>0</v>
      </c>
      <c r="S5944" s="5">
        <f t="shared" si="371"/>
        <v>80496.599360692009</v>
      </c>
      <c r="T5944" cm="1">
        <f t="array" ref="T5944">IF(OR(B5944="MAL ALIMI", B5944="ÜRETİM GİRİŞ"), MIN(I5944, MAX(0, I5944 + SUM(SUMIFS($I$1:I5943, $C$1:C5943, C5944, $B$1:B5943, {"MAL ALIMI","ÜRETİM GİRİŞ"})) - VLOOKUP(C5944, 'STOK RAPORU'!$C$2:$I$1000, 4, 0))), 0)</f>
        <v>0</v>
      </c>
      <c r="U5944" s="22">
        <f t="shared" si="372"/>
        <v>0</v>
      </c>
      <c r="V5944">
        <f t="shared" si="373"/>
        <v>0</v>
      </c>
      <c r="W5944" s="22">
        <f t="shared" si="374"/>
        <v>0</v>
      </c>
    </row>
    <row r="5945" spans="1:23" hidden="1" x14ac:dyDescent="0.25">
      <c r="A5945" s="3">
        <v>46113</v>
      </c>
      <c r="B5945" s="4" t="s">
        <v>334</v>
      </c>
      <c r="C5945" s="4" t="s">
        <v>1634</v>
      </c>
      <c r="D5945" s="4"/>
      <c r="E5945" s="4"/>
      <c r="F5945" s="46" t="s">
        <v>2862</v>
      </c>
      <c r="G5945" s="4" t="s">
        <v>2708</v>
      </c>
      <c r="H5945" s="4" t="s">
        <v>289</v>
      </c>
      <c r="I5945" s="4">
        <v>1</v>
      </c>
      <c r="J5945" s="21">
        <v>350</v>
      </c>
      <c r="K5945" s="21">
        <v>0</v>
      </c>
      <c r="L5945" s="5">
        <v>0</v>
      </c>
      <c r="M5945" s="4"/>
      <c r="N5945" s="4"/>
      <c r="O5945" s="5"/>
      <c r="P5945" s="5"/>
      <c r="Q5945" s="21">
        <v>350</v>
      </c>
      <c r="R5945" s="21">
        <v>0</v>
      </c>
      <c r="S5945" s="5">
        <f t="shared" si="371"/>
        <v>80846.599360692009</v>
      </c>
      <c r="T5945" cm="1">
        <f t="array" ref="T5945">IF(OR(B5945="MAL ALIMI", B5945="ÜRETİM GİRİŞ"), MIN(I5945, MAX(0, I5945 + SUM(SUMIFS($I$1:I5944, $C$1:C5944, C5945, $B$1:B5944, {"MAL ALIMI","ÜRETİM GİRİŞ"})) - VLOOKUP(C5945, 'STOK RAPORU'!$C$2:$I$1000, 4, 0))), 0)</f>
        <v>0</v>
      </c>
      <c r="U5945" s="22">
        <f t="shared" si="372"/>
        <v>0</v>
      </c>
      <c r="V5945">
        <f t="shared" si="373"/>
        <v>0</v>
      </c>
      <c r="W5945" s="22">
        <f t="shared" si="374"/>
        <v>0</v>
      </c>
    </row>
    <row r="5946" spans="1:23" hidden="1" x14ac:dyDescent="0.25">
      <c r="A5946" s="3">
        <v>46113</v>
      </c>
      <c r="B5946" s="4" t="s">
        <v>334</v>
      </c>
      <c r="C5946" s="4" t="s">
        <v>214</v>
      </c>
      <c r="D5946" s="4"/>
      <c r="E5946" s="4" t="s">
        <v>921</v>
      </c>
      <c r="F5946" s="46" t="s">
        <v>2863</v>
      </c>
      <c r="G5946" s="4" t="s">
        <v>336</v>
      </c>
      <c r="H5946" s="4" t="s">
        <v>380</v>
      </c>
      <c r="I5946" s="4">
        <v>0.191</v>
      </c>
      <c r="J5946" s="21">
        <v>1100</v>
      </c>
      <c r="K5946" s="21">
        <v>210.1</v>
      </c>
      <c r="L5946" s="5">
        <v>0</v>
      </c>
      <c r="M5946" s="4"/>
      <c r="N5946" s="4"/>
      <c r="O5946" s="5"/>
      <c r="P5946" s="5"/>
      <c r="Q5946" s="21">
        <v>0</v>
      </c>
      <c r="R5946" s="21">
        <v>0</v>
      </c>
      <c r="S5946" s="5">
        <f t="shared" si="371"/>
        <v>80846.599360692009</v>
      </c>
      <c r="T5946" cm="1">
        <f t="array" ref="T5946">IF(OR(B5946="MAL ALIMI", B5946="ÜRETİM GİRİŞ"), MIN(I5946, MAX(0, I5946 + SUM(SUMIFS($I$1:I5945, $C$1:C5945, C5946, $B$1:B5945, {"MAL ALIMI","ÜRETİM GİRİŞ"})) - VLOOKUP(C5946, 'STOK RAPORU'!$C$2:$I$1000, 4, 0))), 0)</f>
        <v>0</v>
      </c>
      <c r="U5946" s="22">
        <f t="shared" si="372"/>
        <v>0</v>
      </c>
      <c r="V5946">
        <f t="shared" si="373"/>
        <v>0</v>
      </c>
      <c r="W5946" s="22">
        <f t="shared" si="374"/>
        <v>0</v>
      </c>
    </row>
    <row r="5947" spans="1:23" hidden="1" x14ac:dyDescent="0.25">
      <c r="A5947" s="3">
        <v>46113</v>
      </c>
      <c r="B5947" s="4" t="s">
        <v>334</v>
      </c>
      <c r="C5947" s="4" t="s">
        <v>2604</v>
      </c>
      <c r="D5947" s="4"/>
      <c r="E5947" s="4" t="s">
        <v>921</v>
      </c>
      <c r="F5947" s="46" t="s">
        <v>2863</v>
      </c>
      <c r="G5947" s="4" t="s">
        <v>336</v>
      </c>
      <c r="H5947" s="4" t="s">
        <v>380</v>
      </c>
      <c r="I5947" s="4">
        <v>0.1</v>
      </c>
      <c r="J5947" s="21">
        <v>500</v>
      </c>
      <c r="K5947" s="21">
        <v>50</v>
      </c>
      <c r="L5947" s="5">
        <v>0</v>
      </c>
      <c r="M5947" s="4"/>
      <c r="N5947" s="4"/>
      <c r="O5947" s="5"/>
      <c r="P5947" s="5"/>
      <c r="Q5947" s="21">
        <v>0</v>
      </c>
      <c r="R5947" s="21">
        <v>0</v>
      </c>
      <c r="S5947" s="5">
        <f t="shared" si="371"/>
        <v>80846.599360692009</v>
      </c>
      <c r="T5947" cm="1">
        <f t="array" ref="T5947">IF(OR(B5947="MAL ALIMI", B5947="ÜRETİM GİRİŞ"), MIN(I5947, MAX(0, I5947 + SUM(SUMIFS($I$1:I5946, $C$1:C5946, C5947, $B$1:B5946, {"MAL ALIMI","ÜRETİM GİRİŞ"})) - VLOOKUP(C5947, 'STOK RAPORU'!$C$2:$I$1000, 4, 0))), 0)</f>
        <v>0</v>
      </c>
      <c r="U5947" s="22">
        <f t="shared" si="372"/>
        <v>0</v>
      </c>
      <c r="V5947">
        <f t="shared" si="373"/>
        <v>0</v>
      </c>
      <c r="W5947" s="22">
        <f t="shared" si="374"/>
        <v>0</v>
      </c>
    </row>
    <row r="5948" spans="1:23" hidden="1" x14ac:dyDescent="0.25">
      <c r="A5948" s="3">
        <v>46113</v>
      </c>
      <c r="B5948" s="4" t="s">
        <v>334</v>
      </c>
      <c r="C5948" s="4" t="s">
        <v>214</v>
      </c>
      <c r="D5948" s="4"/>
      <c r="E5948" s="4"/>
      <c r="F5948" s="46" t="s">
        <v>2864</v>
      </c>
      <c r="G5948" s="4" t="s">
        <v>336</v>
      </c>
      <c r="H5948" s="4" t="s">
        <v>289</v>
      </c>
      <c r="I5948" s="4">
        <v>0.188</v>
      </c>
      <c r="J5948" s="21">
        <v>1100</v>
      </c>
      <c r="K5948" s="21">
        <v>0</v>
      </c>
      <c r="L5948" s="5">
        <v>0</v>
      </c>
      <c r="M5948" s="4"/>
      <c r="N5948" s="4"/>
      <c r="O5948" s="5"/>
      <c r="P5948" s="5"/>
      <c r="Q5948" s="21">
        <v>206.8</v>
      </c>
      <c r="R5948" s="21">
        <v>0</v>
      </c>
      <c r="S5948" s="5">
        <f t="shared" si="371"/>
        <v>81053.399360692012</v>
      </c>
      <c r="T5948" cm="1">
        <f t="array" ref="T5948">IF(OR(B5948="MAL ALIMI", B5948="ÜRETİM GİRİŞ"), MIN(I5948, MAX(0, I5948 + SUM(SUMIFS($I$1:I5947, $C$1:C5947, C5948, $B$1:B5947, {"MAL ALIMI","ÜRETİM GİRİŞ"})) - VLOOKUP(C5948, 'STOK RAPORU'!$C$2:$I$1000, 4, 0))), 0)</f>
        <v>0</v>
      </c>
      <c r="U5948" s="22">
        <f t="shared" si="372"/>
        <v>0</v>
      </c>
      <c r="V5948">
        <f t="shared" si="373"/>
        <v>0</v>
      </c>
      <c r="W5948" s="22">
        <f t="shared" si="374"/>
        <v>0</v>
      </c>
    </row>
    <row r="5949" spans="1:23" hidden="1" x14ac:dyDescent="0.25">
      <c r="A5949" s="3">
        <v>46113</v>
      </c>
      <c r="B5949" s="4" t="s">
        <v>334</v>
      </c>
      <c r="C5949" s="4" t="s">
        <v>160</v>
      </c>
      <c r="D5949" s="4"/>
      <c r="E5949" s="4" t="s">
        <v>921</v>
      </c>
      <c r="F5949" s="46" t="s">
        <v>2865</v>
      </c>
      <c r="G5949" s="4" t="s">
        <v>336</v>
      </c>
      <c r="H5949" s="4" t="s">
        <v>380</v>
      </c>
      <c r="I5949" s="4">
        <v>1</v>
      </c>
      <c r="J5949" s="21">
        <v>250</v>
      </c>
      <c r="K5949" s="21">
        <v>250</v>
      </c>
      <c r="L5949" s="5">
        <v>0</v>
      </c>
      <c r="M5949" s="4"/>
      <c r="N5949" s="4"/>
      <c r="O5949" s="5"/>
      <c r="P5949" s="5"/>
      <c r="Q5949" s="21">
        <v>0</v>
      </c>
      <c r="R5949" s="21">
        <v>0</v>
      </c>
      <c r="S5949" s="5">
        <f t="shared" si="371"/>
        <v>81053.399360692012</v>
      </c>
      <c r="T5949" cm="1">
        <f t="array" ref="T5949">IF(OR(B5949="MAL ALIMI", B5949="ÜRETİM GİRİŞ"), MIN(I5949, MAX(0, I5949 + SUM(SUMIFS($I$1:I5948, $C$1:C5948, C5949, $B$1:B5948, {"MAL ALIMI","ÜRETİM GİRİŞ"})) - VLOOKUP(C5949, 'STOK RAPORU'!$C$2:$I$1000, 4, 0))), 0)</f>
        <v>0</v>
      </c>
      <c r="U5949" s="22">
        <f t="shared" si="372"/>
        <v>0</v>
      </c>
      <c r="V5949">
        <f t="shared" si="373"/>
        <v>0</v>
      </c>
      <c r="W5949" s="22">
        <f t="shared" si="374"/>
        <v>0</v>
      </c>
    </row>
    <row r="5950" spans="1:23" hidden="1" x14ac:dyDescent="0.25">
      <c r="A5950" s="3">
        <v>46113</v>
      </c>
      <c r="B5950" s="4" t="s">
        <v>334</v>
      </c>
      <c r="C5950" s="4" t="s">
        <v>161</v>
      </c>
      <c r="D5950" s="4"/>
      <c r="E5950" s="4" t="s">
        <v>921</v>
      </c>
      <c r="F5950" s="46" t="s">
        <v>2865</v>
      </c>
      <c r="G5950" s="4" t="s">
        <v>336</v>
      </c>
      <c r="H5950" s="4" t="s">
        <v>380</v>
      </c>
      <c r="I5950" s="4">
        <v>1</v>
      </c>
      <c r="J5950" s="21">
        <v>250</v>
      </c>
      <c r="K5950" s="21">
        <v>250</v>
      </c>
      <c r="L5950" s="5">
        <v>0</v>
      </c>
      <c r="M5950" s="4"/>
      <c r="N5950" s="4"/>
      <c r="O5950" s="5"/>
      <c r="P5950" s="5"/>
      <c r="Q5950" s="21">
        <v>0</v>
      </c>
      <c r="R5950" s="21">
        <v>0</v>
      </c>
      <c r="S5950" s="5">
        <f t="shared" si="371"/>
        <v>81053.399360692012</v>
      </c>
      <c r="T5950" cm="1">
        <f t="array" ref="T5950">IF(OR(B5950="MAL ALIMI", B5950="ÜRETİM GİRİŞ"), MIN(I5950, MAX(0, I5950 + SUM(SUMIFS($I$1:I5949, $C$1:C5949, C5950, $B$1:B5949, {"MAL ALIMI","ÜRETİM GİRİŞ"})) - VLOOKUP(C5950, 'STOK RAPORU'!$C$2:$I$1000, 4, 0))), 0)</f>
        <v>0</v>
      </c>
      <c r="U5950" s="22">
        <f t="shared" si="372"/>
        <v>0</v>
      </c>
      <c r="V5950">
        <f t="shared" si="373"/>
        <v>0</v>
      </c>
      <c r="W5950" s="22">
        <f t="shared" si="374"/>
        <v>0</v>
      </c>
    </row>
    <row r="5951" spans="1:23" hidden="1" x14ac:dyDescent="0.25">
      <c r="A5951" s="3">
        <v>46113</v>
      </c>
      <c r="B5951" s="4" t="s">
        <v>334</v>
      </c>
      <c r="C5951" s="4" t="s">
        <v>156</v>
      </c>
      <c r="D5951" s="4"/>
      <c r="E5951" s="4" t="s">
        <v>921</v>
      </c>
      <c r="F5951" s="46" t="s">
        <v>2866</v>
      </c>
      <c r="G5951" s="4" t="s">
        <v>336</v>
      </c>
      <c r="H5951" s="4" t="s">
        <v>380</v>
      </c>
      <c r="I5951" s="4">
        <v>0.4</v>
      </c>
      <c r="J5951" s="21">
        <v>200</v>
      </c>
      <c r="K5951" s="21">
        <v>80</v>
      </c>
      <c r="L5951" s="5">
        <v>0</v>
      </c>
      <c r="M5951" s="4"/>
      <c r="N5951" s="4"/>
      <c r="O5951" s="5"/>
      <c r="P5951" s="5"/>
      <c r="Q5951" s="21">
        <v>0</v>
      </c>
      <c r="R5951" s="21">
        <v>0</v>
      </c>
      <c r="S5951" s="5">
        <f t="shared" si="371"/>
        <v>81053.399360692012</v>
      </c>
      <c r="T5951" cm="1">
        <f t="array" ref="T5951">IF(OR(B5951="MAL ALIMI", B5951="ÜRETİM GİRİŞ"), MIN(I5951, MAX(0, I5951 + SUM(SUMIFS($I$1:I5950, $C$1:C5950, C5951, $B$1:B5950, {"MAL ALIMI","ÜRETİM GİRİŞ"})) - VLOOKUP(C5951, 'STOK RAPORU'!$C$2:$I$1000, 4, 0))), 0)</f>
        <v>0</v>
      </c>
      <c r="U5951" s="22">
        <f t="shared" si="372"/>
        <v>0</v>
      </c>
      <c r="V5951">
        <f t="shared" si="373"/>
        <v>0</v>
      </c>
      <c r="W5951" s="22">
        <f t="shared" si="374"/>
        <v>0</v>
      </c>
    </row>
    <row r="5952" spans="1:23" hidden="1" x14ac:dyDescent="0.25">
      <c r="A5952" s="3">
        <v>46113</v>
      </c>
      <c r="B5952" s="4" t="s">
        <v>334</v>
      </c>
      <c r="C5952" s="4" t="s">
        <v>156</v>
      </c>
      <c r="D5952" s="4"/>
      <c r="E5952" s="4"/>
      <c r="F5952" s="46" t="s">
        <v>2866</v>
      </c>
      <c r="G5952" s="4" t="s">
        <v>336</v>
      </c>
      <c r="H5952" s="4" t="s">
        <v>289</v>
      </c>
      <c r="I5952" s="4">
        <v>0.5</v>
      </c>
      <c r="J5952" s="21">
        <v>200</v>
      </c>
      <c r="K5952" s="21">
        <v>0</v>
      </c>
      <c r="L5952" s="5">
        <v>0</v>
      </c>
      <c r="M5952" s="4"/>
      <c r="N5952" s="4"/>
      <c r="O5952" s="5"/>
      <c r="P5952" s="5"/>
      <c r="Q5952" s="21">
        <v>100</v>
      </c>
      <c r="R5952" s="21">
        <v>0</v>
      </c>
      <c r="S5952" s="5">
        <f t="shared" si="371"/>
        <v>81153.399360692012</v>
      </c>
      <c r="T5952" cm="1">
        <f t="array" ref="T5952">IF(OR(B5952="MAL ALIMI", B5952="ÜRETİM GİRİŞ"), MIN(I5952, MAX(0, I5952 + SUM(SUMIFS($I$1:I5951, $C$1:C5951, C5952, $B$1:B5951, {"MAL ALIMI","ÜRETİM GİRİŞ"})) - VLOOKUP(C5952, 'STOK RAPORU'!$C$2:$I$1000, 4, 0))), 0)</f>
        <v>0</v>
      </c>
      <c r="U5952" s="22">
        <f t="shared" si="372"/>
        <v>0</v>
      </c>
      <c r="V5952">
        <f t="shared" si="373"/>
        <v>0</v>
      </c>
      <c r="W5952" s="22">
        <f t="shared" si="374"/>
        <v>0</v>
      </c>
    </row>
    <row r="5953" spans="1:23" hidden="1" x14ac:dyDescent="0.25">
      <c r="A5953" s="3">
        <v>46113</v>
      </c>
      <c r="B5953" s="4" t="s">
        <v>285</v>
      </c>
      <c r="C5953" s="4"/>
      <c r="D5953" s="4" t="s">
        <v>108</v>
      </c>
      <c r="E5953" s="4"/>
      <c r="F5953" s="4"/>
      <c r="G5953" s="4" t="s">
        <v>3270</v>
      </c>
      <c r="H5953" s="4" t="s">
        <v>289</v>
      </c>
      <c r="I5953" s="4">
        <v>1</v>
      </c>
      <c r="J5953" s="21">
        <v>22000</v>
      </c>
      <c r="K5953" s="21">
        <v>0</v>
      </c>
      <c r="L5953" s="5">
        <v>0</v>
      </c>
      <c r="M5953" s="4"/>
      <c r="N5953" s="4"/>
      <c r="O5953" s="5"/>
      <c r="P5953" s="5"/>
      <c r="Q5953" s="21">
        <v>0</v>
      </c>
      <c r="R5953" s="21">
        <v>22000</v>
      </c>
      <c r="S5953" s="5">
        <f t="shared" si="371"/>
        <v>59153.399360692012</v>
      </c>
      <c r="T5953" cm="1">
        <f t="array" ref="T5953">IF(OR(B5953="MAL ALIMI", B5953="ÜRETİM GİRİŞ"), MIN(I5953, MAX(0, I5953 + SUM(SUMIFS($I$1:I5952, $C$1:C5952, C5953, $B$1:B5952, {"MAL ALIMI","ÜRETİM GİRİŞ"})) - VLOOKUP(C5953, 'STOK RAPORU'!$C$2:$I$1000, 4, 0))), 0)</f>
        <v>0</v>
      </c>
      <c r="U5953" s="22">
        <f t="shared" si="372"/>
        <v>0</v>
      </c>
      <c r="V5953">
        <f t="shared" si="373"/>
        <v>0</v>
      </c>
      <c r="W5953" s="22">
        <f t="shared" si="374"/>
        <v>0</v>
      </c>
    </row>
    <row r="5954" spans="1:23" hidden="1" x14ac:dyDescent="0.25">
      <c r="A5954" s="3">
        <v>46114</v>
      </c>
      <c r="B5954" s="4" t="s">
        <v>334</v>
      </c>
      <c r="C5954" s="4" t="s">
        <v>486</v>
      </c>
      <c r="D5954" s="4"/>
      <c r="E5954" s="4"/>
      <c r="F5954" s="46" t="s">
        <v>2867</v>
      </c>
      <c r="G5954" s="4" t="s">
        <v>336</v>
      </c>
      <c r="H5954" s="4" t="s">
        <v>289</v>
      </c>
      <c r="I5954" s="4">
        <v>1</v>
      </c>
      <c r="J5954" s="21">
        <v>180</v>
      </c>
      <c r="K5954" s="21">
        <v>0</v>
      </c>
      <c r="L5954" s="5">
        <v>0</v>
      </c>
      <c r="M5954" s="4"/>
      <c r="N5954" s="4"/>
      <c r="O5954" s="5"/>
      <c r="P5954" s="5"/>
      <c r="Q5954" s="21">
        <v>180</v>
      </c>
      <c r="R5954" s="21">
        <v>0</v>
      </c>
      <c r="S5954" s="5">
        <f t="shared" si="371"/>
        <v>59333.399360692012</v>
      </c>
      <c r="T5954" cm="1">
        <f t="array" ref="T5954">IF(OR(B5954="MAL ALIMI", B5954="ÜRETİM GİRİŞ"), MIN(I5954, MAX(0, I5954 + SUM(SUMIFS($I$1:I5953, $C$1:C5953, C5954, $B$1:B5953, {"MAL ALIMI","ÜRETİM GİRİŞ"})) - VLOOKUP(C5954, 'STOK RAPORU'!$C$2:$I$1000, 4, 0))), 0)</f>
        <v>0</v>
      </c>
      <c r="U5954" s="22">
        <f t="shared" si="372"/>
        <v>0</v>
      </c>
      <c r="V5954">
        <f t="shared" si="373"/>
        <v>0</v>
      </c>
      <c r="W5954" s="22">
        <f t="shared" si="374"/>
        <v>0</v>
      </c>
    </row>
    <row r="5955" spans="1:23" hidden="1" x14ac:dyDescent="0.25">
      <c r="A5955" s="3">
        <v>46114</v>
      </c>
      <c r="B5955" s="4" t="s">
        <v>334</v>
      </c>
      <c r="C5955" s="4" t="s">
        <v>1364</v>
      </c>
      <c r="D5955" s="4"/>
      <c r="E5955" s="4" t="s">
        <v>921</v>
      </c>
      <c r="F5955" s="46" t="s">
        <v>2868</v>
      </c>
      <c r="G5955" s="4" t="s">
        <v>336</v>
      </c>
      <c r="H5955" s="4" t="s">
        <v>380</v>
      </c>
      <c r="I5955" s="4">
        <v>1</v>
      </c>
      <c r="J5955" s="21">
        <v>140</v>
      </c>
      <c r="K5955" s="21">
        <v>140</v>
      </c>
      <c r="L5955" s="5">
        <v>0</v>
      </c>
      <c r="M5955" s="4"/>
      <c r="N5955" s="4"/>
      <c r="O5955" s="5"/>
      <c r="P5955" s="5"/>
      <c r="Q5955" s="21">
        <v>0</v>
      </c>
      <c r="R5955" s="21">
        <v>0</v>
      </c>
      <c r="S5955" s="5">
        <f t="shared" si="371"/>
        <v>59333.399360692012</v>
      </c>
      <c r="T5955" cm="1">
        <f t="array" ref="T5955">IF(OR(B5955="MAL ALIMI", B5955="ÜRETİM GİRİŞ"), MIN(I5955, MAX(0, I5955 + SUM(SUMIFS($I$1:I5954, $C$1:C5954, C5955, $B$1:B5954, {"MAL ALIMI","ÜRETİM GİRİŞ"})) - VLOOKUP(C5955, 'STOK RAPORU'!$C$2:$I$1000, 4, 0))), 0)</f>
        <v>0</v>
      </c>
      <c r="U5955" s="22">
        <f t="shared" si="372"/>
        <v>0</v>
      </c>
      <c r="V5955">
        <f t="shared" si="373"/>
        <v>0</v>
      </c>
      <c r="W5955" s="22">
        <f t="shared" si="374"/>
        <v>0</v>
      </c>
    </row>
    <row r="5956" spans="1:23" hidden="1" x14ac:dyDescent="0.25">
      <c r="A5956" s="3">
        <v>46114</v>
      </c>
      <c r="B5956" s="4" t="s">
        <v>334</v>
      </c>
      <c r="C5956" s="4" t="s">
        <v>1024</v>
      </c>
      <c r="D5956" s="4"/>
      <c r="E5956" s="4"/>
      <c r="F5956" s="46" t="s">
        <v>2869</v>
      </c>
      <c r="G5956" s="4" t="s">
        <v>336</v>
      </c>
      <c r="H5956" s="4" t="s">
        <v>289</v>
      </c>
      <c r="I5956" s="4">
        <v>1</v>
      </c>
      <c r="J5956" s="21">
        <v>65</v>
      </c>
      <c r="K5956" s="21">
        <v>0</v>
      </c>
      <c r="L5956" s="5">
        <v>0</v>
      </c>
      <c r="M5956" s="4"/>
      <c r="N5956" s="4"/>
      <c r="O5956" s="5"/>
      <c r="P5956" s="5"/>
      <c r="Q5956" s="21">
        <v>65</v>
      </c>
      <c r="R5956" s="21">
        <v>0</v>
      </c>
      <c r="S5956" s="5">
        <f t="shared" ref="S5956:S6019" si="375">S5955+Q5956-R5956</f>
        <v>59398.399360692012</v>
      </c>
      <c r="T5956" cm="1">
        <f t="array" ref="T5956">IF(OR(B5956="MAL ALIMI", B5956="ÜRETİM GİRİŞ"), MIN(I5956, MAX(0, I5956 + SUM(SUMIFS($I$1:I5955, $C$1:C5955, C5956, $B$1:B5955, {"MAL ALIMI","ÜRETİM GİRİŞ"})) - VLOOKUP(C5956, 'STOK RAPORU'!$C$2:$I$1000, 4, 0))), 0)</f>
        <v>0</v>
      </c>
      <c r="U5956" s="22">
        <f t="shared" si="372"/>
        <v>0</v>
      </c>
      <c r="V5956">
        <f t="shared" si="373"/>
        <v>0</v>
      </c>
      <c r="W5956" s="22">
        <f t="shared" si="374"/>
        <v>0</v>
      </c>
    </row>
    <row r="5957" spans="1:23" hidden="1" x14ac:dyDescent="0.25">
      <c r="A5957" s="3">
        <v>46114</v>
      </c>
      <c r="B5957" s="4" t="s">
        <v>334</v>
      </c>
      <c r="C5957" s="4" t="s">
        <v>163</v>
      </c>
      <c r="D5957" s="4"/>
      <c r="E5957" s="4"/>
      <c r="F5957" s="46" t="s">
        <v>2869</v>
      </c>
      <c r="G5957" s="4" t="s">
        <v>336</v>
      </c>
      <c r="H5957" s="4" t="s">
        <v>289</v>
      </c>
      <c r="I5957" s="4">
        <v>0.1</v>
      </c>
      <c r="J5957" s="21">
        <v>450</v>
      </c>
      <c r="K5957" s="21">
        <v>0</v>
      </c>
      <c r="L5957" s="5">
        <v>0</v>
      </c>
      <c r="M5957" s="4"/>
      <c r="N5957" s="4"/>
      <c r="O5957" s="5"/>
      <c r="P5957" s="5"/>
      <c r="Q5957" s="21">
        <v>45</v>
      </c>
      <c r="R5957" s="21">
        <v>0</v>
      </c>
      <c r="S5957" s="5">
        <f t="shared" si="375"/>
        <v>59443.399360692012</v>
      </c>
      <c r="T5957" cm="1">
        <f t="array" ref="T5957">IF(OR(B5957="MAL ALIMI", B5957="ÜRETİM GİRİŞ"), MIN(I5957, MAX(0, I5957 + SUM(SUMIFS($I$1:I5956, $C$1:C5956, C5957, $B$1:B5956, {"MAL ALIMI","ÜRETİM GİRİŞ"})) - VLOOKUP(C5957, 'STOK RAPORU'!$C$2:$I$1000, 4, 0))), 0)</f>
        <v>0</v>
      </c>
      <c r="U5957" s="22">
        <f t="shared" si="372"/>
        <v>0</v>
      </c>
      <c r="V5957">
        <f t="shared" si="373"/>
        <v>0</v>
      </c>
      <c r="W5957" s="22">
        <f t="shared" si="374"/>
        <v>0</v>
      </c>
    </row>
    <row r="5958" spans="1:23" hidden="1" x14ac:dyDescent="0.25">
      <c r="A5958" s="3">
        <v>46114</v>
      </c>
      <c r="B5958" s="4" t="s">
        <v>334</v>
      </c>
      <c r="C5958" s="4" t="s">
        <v>679</v>
      </c>
      <c r="D5958" s="4"/>
      <c r="E5958" s="4"/>
      <c r="F5958" s="46" t="s">
        <v>2870</v>
      </c>
      <c r="G5958" s="4" t="s">
        <v>336</v>
      </c>
      <c r="H5958" s="4" t="s">
        <v>289</v>
      </c>
      <c r="I5958" s="4">
        <v>0.25</v>
      </c>
      <c r="J5958" s="21">
        <v>400</v>
      </c>
      <c r="K5958" s="21">
        <v>0</v>
      </c>
      <c r="L5958" s="5">
        <v>0</v>
      </c>
      <c r="M5958" s="4"/>
      <c r="N5958" s="4"/>
      <c r="O5958" s="5"/>
      <c r="P5958" s="5"/>
      <c r="Q5958" s="21">
        <v>100</v>
      </c>
      <c r="R5958" s="21">
        <v>0</v>
      </c>
      <c r="S5958" s="5">
        <f t="shared" si="375"/>
        <v>59543.399360692012</v>
      </c>
      <c r="T5958" cm="1">
        <f t="array" ref="T5958">IF(OR(B5958="MAL ALIMI", B5958="ÜRETİM GİRİŞ"), MIN(I5958, MAX(0, I5958 + SUM(SUMIFS($I$1:I5957, $C$1:C5957, C5958, $B$1:B5957, {"MAL ALIMI","ÜRETİM GİRİŞ"})) - VLOOKUP(C5958, 'STOK RAPORU'!$C$2:$I$1000, 4, 0))), 0)</f>
        <v>0</v>
      </c>
      <c r="U5958" s="22">
        <f t="shared" si="372"/>
        <v>0</v>
      </c>
      <c r="V5958">
        <f t="shared" si="373"/>
        <v>0</v>
      </c>
      <c r="W5958" s="22">
        <f t="shared" si="374"/>
        <v>0</v>
      </c>
    </row>
    <row r="5959" spans="1:23" hidden="1" x14ac:dyDescent="0.25">
      <c r="A5959" s="3">
        <v>46114</v>
      </c>
      <c r="B5959" s="4" t="s">
        <v>334</v>
      </c>
      <c r="C5959" s="4" t="s">
        <v>1634</v>
      </c>
      <c r="D5959" s="4"/>
      <c r="E5959" s="4" t="s">
        <v>921</v>
      </c>
      <c r="F5959" s="46" t="s">
        <v>2871</v>
      </c>
      <c r="G5959" s="4" t="s">
        <v>336</v>
      </c>
      <c r="H5959" s="4" t="s">
        <v>380</v>
      </c>
      <c r="I5959" s="4">
        <v>0.316</v>
      </c>
      <c r="J5959" s="21">
        <v>350</v>
      </c>
      <c r="K5959" s="21">
        <v>110.6</v>
      </c>
      <c r="L5959" s="5">
        <v>0</v>
      </c>
      <c r="M5959" s="4"/>
      <c r="N5959" s="4"/>
      <c r="O5959" s="5"/>
      <c r="P5959" s="5"/>
      <c r="Q5959" s="21">
        <v>0</v>
      </c>
      <c r="R5959" s="21">
        <v>0</v>
      </c>
      <c r="S5959" s="5">
        <f t="shared" si="375"/>
        <v>59543.399360692012</v>
      </c>
      <c r="T5959" cm="1">
        <f t="array" ref="T5959">IF(OR(B5959="MAL ALIMI", B5959="ÜRETİM GİRİŞ"), MIN(I5959, MAX(0, I5959 + SUM(SUMIFS($I$1:I5958, $C$1:C5958, C5959, $B$1:B5958, {"MAL ALIMI","ÜRETİM GİRİŞ"})) - VLOOKUP(C5959, 'STOK RAPORU'!$C$2:$I$1000, 4, 0))), 0)</f>
        <v>0</v>
      </c>
      <c r="U5959" s="22">
        <f t="shared" si="372"/>
        <v>0</v>
      </c>
      <c r="V5959">
        <f t="shared" si="373"/>
        <v>0</v>
      </c>
      <c r="W5959" s="22">
        <f t="shared" si="374"/>
        <v>0</v>
      </c>
    </row>
    <row r="5960" spans="1:23" hidden="1" x14ac:dyDescent="0.25">
      <c r="A5960" s="3">
        <v>46114</v>
      </c>
      <c r="B5960" s="4" t="s">
        <v>334</v>
      </c>
      <c r="C5960" s="4" t="s">
        <v>1374</v>
      </c>
      <c r="D5960" s="4"/>
      <c r="E5960" s="4"/>
      <c r="F5960" s="46" t="s">
        <v>2872</v>
      </c>
      <c r="G5960" s="4" t="s">
        <v>336</v>
      </c>
      <c r="H5960" s="4" t="s">
        <v>289</v>
      </c>
      <c r="I5960" s="4">
        <v>1</v>
      </c>
      <c r="J5960" s="21">
        <v>220</v>
      </c>
      <c r="K5960" s="21">
        <v>0</v>
      </c>
      <c r="L5960" s="5">
        <v>0</v>
      </c>
      <c r="M5960" s="4"/>
      <c r="N5960" s="4"/>
      <c r="O5960" s="5"/>
      <c r="P5960" s="5"/>
      <c r="Q5960" s="21">
        <v>220</v>
      </c>
      <c r="R5960" s="21">
        <v>0</v>
      </c>
      <c r="S5960" s="5">
        <f t="shared" si="375"/>
        <v>59763.399360692012</v>
      </c>
      <c r="T5960" cm="1">
        <f t="array" ref="T5960">IF(OR(B5960="MAL ALIMI", B5960="ÜRETİM GİRİŞ"), MIN(I5960, MAX(0, I5960 + SUM(SUMIFS($I$1:I5959, $C$1:C5959, C5960, $B$1:B5959, {"MAL ALIMI","ÜRETİM GİRİŞ"})) - VLOOKUP(C5960, 'STOK RAPORU'!$C$2:$I$1000, 4, 0))), 0)</f>
        <v>0</v>
      </c>
      <c r="U5960" s="22">
        <f t="shared" si="372"/>
        <v>0</v>
      </c>
      <c r="V5960">
        <f t="shared" si="373"/>
        <v>0</v>
      </c>
      <c r="W5960" s="22">
        <f t="shared" si="374"/>
        <v>0</v>
      </c>
    </row>
    <row r="5961" spans="1:23" hidden="1" x14ac:dyDescent="0.25">
      <c r="A5961" s="3">
        <v>46114</v>
      </c>
      <c r="B5961" s="4" t="s">
        <v>334</v>
      </c>
      <c r="C5961" s="4" t="s">
        <v>60</v>
      </c>
      <c r="D5961" s="4"/>
      <c r="E5961" s="4"/>
      <c r="F5961" s="46" t="s">
        <v>2872</v>
      </c>
      <c r="G5961" s="4" t="s">
        <v>336</v>
      </c>
      <c r="H5961" s="4" t="s">
        <v>289</v>
      </c>
      <c r="I5961" s="4">
        <v>0.05</v>
      </c>
      <c r="J5961" s="21">
        <v>1200</v>
      </c>
      <c r="K5961" s="21">
        <v>0</v>
      </c>
      <c r="L5961" s="5">
        <v>0</v>
      </c>
      <c r="M5961" s="4"/>
      <c r="N5961" s="4"/>
      <c r="O5961" s="5"/>
      <c r="P5961" s="5"/>
      <c r="Q5961" s="21">
        <v>60</v>
      </c>
      <c r="R5961" s="21">
        <v>0</v>
      </c>
      <c r="S5961" s="5">
        <f t="shared" si="375"/>
        <v>59823.399360692012</v>
      </c>
      <c r="T5961" cm="1">
        <f t="array" ref="T5961">IF(OR(B5961="MAL ALIMI", B5961="ÜRETİM GİRİŞ"), MIN(I5961, MAX(0, I5961 + SUM(SUMIFS($I$1:I5960, $C$1:C5960, C5961, $B$1:B5960, {"MAL ALIMI","ÜRETİM GİRİŞ"})) - VLOOKUP(C5961, 'STOK RAPORU'!$C$2:$I$1000, 4, 0))), 0)</f>
        <v>0</v>
      </c>
      <c r="U5961" s="22">
        <f t="shared" si="372"/>
        <v>0</v>
      </c>
      <c r="V5961">
        <f t="shared" si="373"/>
        <v>0</v>
      </c>
      <c r="W5961" s="22">
        <f t="shared" si="374"/>
        <v>0</v>
      </c>
    </row>
    <row r="5962" spans="1:23" hidden="1" x14ac:dyDescent="0.25">
      <c r="A5962" s="3">
        <v>46114</v>
      </c>
      <c r="B5962" s="4" t="s">
        <v>334</v>
      </c>
      <c r="C5962" s="4" t="s">
        <v>523</v>
      </c>
      <c r="D5962" s="4"/>
      <c r="E5962" s="4"/>
      <c r="F5962" s="46" t="s">
        <v>2872</v>
      </c>
      <c r="G5962" s="4" t="s">
        <v>336</v>
      </c>
      <c r="H5962" s="4" t="s">
        <v>289</v>
      </c>
      <c r="I5962" s="4">
        <v>0.08</v>
      </c>
      <c r="J5962" s="21">
        <v>750</v>
      </c>
      <c r="K5962" s="21">
        <v>0</v>
      </c>
      <c r="L5962" s="5">
        <v>0</v>
      </c>
      <c r="M5962" s="4"/>
      <c r="N5962" s="4"/>
      <c r="O5962" s="5"/>
      <c r="P5962" s="5"/>
      <c r="Q5962" s="21">
        <v>60</v>
      </c>
      <c r="R5962" s="21">
        <v>0</v>
      </c>
      <c r="S5962" s="5">
        <f t="shared" si="375"/>
        <v>59883.399360692012</v>
      </c>
      <c r="T5962" cm="1">
        <f t="array" ref="T5962">IF(OR(B5962="MAL ALIMI", B5962="ÜRETİM GİRİŞ"), MIN(I5962, MAX(0, I5962 + SUM(SUMIFS($I$1:I5961, $C$1:C5961, C5962, $B$1:B5961, {"MAL ALIMI","ÜRETİM GİRİŞ"})) - VLOOKUP(C5962, 'STOK RAPORU'!$C$2:$I$1000, 4, 0))), 0)</f>
        <v>0</v>
      </c>
      <c r="U5962" s="22">
        <f t="shared" si="372"/>
        <v>0</v>
      </c>
      <c r="V5962">
        <f t="shared" si="373"/>
        <v>0</v>
      </c>
      <c r="W5962" s="22">
        <f t="shared" si="374"/>
        <v>0</v>
      </c>
    </row>
    <row r="5963" spans="1:23" hidden="1" x14ac:dyDescent="0.25">
      <c r="A5963" s="3">
        <v>46114</v>
      </c>
      <c r="B5963" s="4" t="s">
        <v>334</v>
      </c>
      <c r="C5963" s="4" t="s">
        <v>126</v>
      </c>
      <c r="D5963" s="4"/>
      <c r="E5963" s="4"/>
      <c r="F5963" s="46" t="s">
        <v>2873</v>
      </c>
      <c r="G5963" s="4" t="s">
        <v>336</v>
      </c>
      <c r="H5963" s="4" t="s">
        <v>289</v>
      </c>
      <c r="I5963" s="4">
        <v>5.3846153846153849E-2</v>
      </c>
      <c r="J5963" s="21">
        <v>650</v>
      </c>
      <c r="K5963" s="21">
        <v>0</v>
      </c>
      <c r="L5963" s="5">
        <v>0</v>
      </c>
      <c r="M5963" s="4"/>
      <c r="N5963" s="4"/>
      <c r="O5963" s="5"/>
      <c r="P5963" s="5"/>
      <c r="Q5963" s="21">
        <v>35</v>
      </c>
      <c r="R5963" s="21">
        <v>0</v>
      </c>
      <c r="S5963" s="5">
        <f t="shared" si="375"/>
        <v>59918.399360692012</v>
      </c>
      <c r="T5963" cm="1">
        <f t="array" ref="T5963">IF(OR(B5963="MAL ALIMI", B5963="ÜRETİM GİRİŞ"), MIN(I5963, MAX(0, I5963 + SUM(SUMIFS($I$1:I5962, $C$1:C5962, C5963, $B$1:B5962, {"MAL ALIMI","ÜRETİM GİRİŞ"})) - VLOOKUP(C5963, 'STOK RAPORU'!$C$2:$I$1000, 4, 0))), 0)</f>
        <v>0</v>
      </c>
      <c r="U5963" s="22">
        <f t="shared" si="372"/>
        <v>0</v>
      </c>
      <c r="V5963">
        <f t="shared" si="373"/>
        <v>0</v>
      </c>
      <c r="W5963" s="22">
        <f t="shared" si="374"/>
        <v>0</v>
      </c>
    </row>
    <row r="5964" spans="1:23" hidden="1" x14ac:dyDescent="0.25">
      <c r="A5964" s="3">
        <v>46114</v>
      </c>
      <c r="B5964" s="4" t="s">
        <v>334</v>
      </c>
      <c r="C5964" s="4" t="s">
        <v>133</v>
      </c>
      <c r="D5964" s="4"/>
      <c r="E5964" s="4"/>
      <c r="F5964" s="46" t="s">
        <v>2873</v>
      </c>
      <c r="G5964" s="4" t="s">
        <v>336</v>
      </c>
      <c r="H5964" s="4" t="s">
        <v>289</v>
      </c>
      <c r="I5964" s="4">
        <v>0.125</v>
      </c>
      <c r="J5964" s="21">
        <v>400</v>
      </c>
      <c r="K5964" s="21">
        <v>0</v>
      </c>
      <c r="L5964" s="5">
        <v>0</v>
      </c>
      <c r="M5964" s="4"/>
      <c r="N5964" s="4"/>
      <c r="O5964" s="5"/>
      <c r="P5964" s="5"/>
      <c r="Q5964" s="21">
        <v>50</v>
      </c>
      <c r="R5964" s="21">
        <v>0</v>
      </c>
      <c r="S5964" s="5">
        <f t="shared" si="375"/>
        <v>59968.399360692012</v>
      </c>
      <c r="T5964" cm="1">
        <f t="array" ref="T5964">IF(OR(B5964="MAL ALIMI", B5964="ÜRETİM GİRİŞ"), MIN(I5964, MAX(0, I5964 + SUM(SUMIFS($I$1:I5963, $C$1:C5963, C5964, $B$1:B5963, {"MAL ALIMI","ÜRETİM GİRİŞ"})) - VLOOKUP(C5964, 'STOK RAPORU'!$C$2:$I$1000, 4, 0))), 0)</f>
        <v>0</v>
      </c>
      <c r="U5964" s="22">
        <f t="shared" si="372"/>
        <v>0</v>
      </c>
      <c r="V5964">
        <f t="shared" si="373"/>
        <v>0</v>
      </c>
      <c r="W5964" s="22">
        <f t="shared" si="374"/>
        <v>0</v>
      </c>
    </row>
    <row r="5965" spans="1:23" hidden="1" x14ac:dyDescent="0.25">
      <c r="A5965" s="3">
        <v>46114</v>
      </c>
      <c r="B5965" s="4" t="s">
        <v>334</v>
      </c>
      <c r="C5965" s="4" t="s">
        <v>92</v>
      </c>
      <c r="D5965" s="4"/>
      <c r="E5965" s="4"/>
      <c r="F5965" s="46" t="s">
        <v>2873</v>
      </c>
      <c r="G5965" s="4" t="s">
        <v>336</v>
      </c>
      <c r="H5965" s="4" t="s">
        <v>289</v>
      </c>
      <c r="I5965" s="4">
        <v>0.1</v>
      </c>
      <c r="J5965" s="21">
        <v>500</v>
      </c>
      <c r="K5965" s="21">
        <v>0</v>
      </c>
      <c r="L5965" s="5">
        <v>0</v>
      </c>
      <c r="M5965" s="4"/>
      <c r="N5965" s="4"/>
      <c r="O5965" s="5"/>
      <c r="P5965" s="5"/>
      <c r="Q5965" s="21">
        <v>50</v>
      </c>
      <c r="R5965" s="21">
        <v>0</v>
      </c>
      <c r="S5965" s="5">
        <f t="shared" si="375"/>
        <v>60018.399360692012</v>
      </c>
      <c r="T5965" cm="1">
        <f t="array" ref="T5965">IF(OR(B5965="MAL ALIMI", B5965="ÜRETİM GİRİŞ"), MIN(I5965, MAX(0, I5965 + SUM(SUMIFS($I$1:I5964, $C$1:C5964, C5965, $B$1:B5964, {"MAL ALIMI","ÜRETİM GİRİŞ"})) - VLOOKUP(C5965, 'STOK RAPORU'!$C$2:$I$1000, 4, 0))), 0)</f>
        <v>0</v>
      </c>
      <c r="U5965" s="22">
        <f t="shared" si="372"/>
        <v>0</v>
      </c>
      <c r="V5965">
        <f t="shared" si="373"/>
        <v>0</v>
      </c>
      <c r="W5965" s="22">
        <f t="shared" si="374"/>
        <v>0</v>
      </c>
    </row>
    <row r="5966" spans="1:23" hidden="1" x14ac:dyDescent="0.25">
      <c r="A5966" s="3">
        <v>46114</v>
      </c>
      <c r="B5966" s="4" t="s">
        <v>334</v>
      </c>
      <c r="C5966" s="4" t="s">
        <v>158</v>
      </c>
      <c r="D5966" s="4"/>
      <c r="E5966" s="4"/>
      <c r="F5966" s="46" t="s">
        <v>2873</v>
      </c>
      <c r="G5966" s="4" t="s">
        <v>336</v>
      </c>
      <c r="H5966" s="4" t="s">
        <v>289</v>
      </c>
      <c r="I5966" s="4">
        <v>1</v>
      </c>
      <c r="J5966" s="21">
        <v>150</v>
      </c>
      <c r="K5966" s="21">
        <v>0</v>
      </c>
      <c r="L5966" s="5">
        <v>0</v>
      </c>
      <c r="M5966" s="4"/>
      <c r="N5966" s="4"/>
      <c r="O5966" s="5"/>
      <c r="P5966" s="5"/>
      <c r="Q5966" s="21">
        <v>150</v>
      </c>
      <c r="R5966" s="21">
        <v>0</v>
      </c>
      <c r="S5966" s="5">
        <f t="shared" si="375"/>
        <v>60168.399360692012</v>
      </c>
      <c r="T5966" cm="1">
        <f t="array" ref="T5966">IF(OR(B5966="MAL ALIMI", B5966="ÜRETİM GİRİŞ"), MIN(I5966, MAX(0, I5966 + SUM(SUMIFS($I$1:I5965, $C$1:C5965, C5966, $B$1:B5965, {"MAL ALIMI","ÜRETİM GİRİŞ"})) - VLOOKUP(C5966, 'STOK RAPORU'!$C$2:$I$1000, 4, 0))), 0)</f>
        <v>0</v>
      </c>
      <c r="U5966" s="22">
        <f t="shared" si="372"/>
        <v>0</v>
      </c>
      <c r="V5966">
        <f t="shared" si="373"/>
        <v>0</v>
      </c>
      <c r="W5966" s="22">
        <f t="shared" si="374"/>
        <v>0</v>
      </c>
    </row>
    <row r="5967" spans="1:23" hidden="1" x14ac:dyDescent="0.25">
      <c r="A5967" s="3">
        <v>46114</v>
      </c>
      <c r="B5967" s="4" t="s">
        <v>334</v>
      </c>
      <c r="C5967" s="4" t="s">
        <v>822</v>
      </c>
      <c r="D5967" s="4"/>
      <c r="E5967" s="4"/>
      <c r="F5967" s="46" t="s">
        <v>2874</v>
      </c>
      <c r="G5967" s="4" t="s">
        <v>336</v>
      </c>
      <c r="H5967" s="4" t="s">
        <v>289</v>
      </c>
      <c r="I5967" s="4">
        <v>1</v>
      </c>
      <c r="J5967" s="21">
        <v>170</v>
      </c>
      <c r="K5967" s="21">
        <v>0</v>
      </c>
      <c r="L5967" s="5">
        <v>0</v>
      </c>
      <c r="M5967" s="4"/>
      <c r="N5967" s="4"/>
      <c r="O5967" s="5"/>
      <c r="P5967" s="5"/>
      <c r="Q5967" s="21">
        <v>170</v>
      </c>
      <c r="R5967" s="21">
        <v>0</v>
      </c>
      <c r="S5967" s="5">
        <f t="shared" si="375"/>
        <v>60338.399360692012</v>
      </c>
      <c r="T5967" cm="1">
        <f t="array" ref="T5967">IF(OR(B5967="MAL ALIMI", B5967="ÜRETİM GİRİŞ"), MIN(I5967, MAX(0, I5967 + SUM(SUMIFS($I$1:I5966, $C$1:C5966, C5967, $B$1:B5966, {"MAL ALIMI","ÜRETİM GİRİŞ"})) - VLOOKUP(C5967, 'STOK RAPORU'!$C$2:$I$1000, 4, 0))), 0)</f>
        <v>0</v>
      </c>
      <c r="U5967" s="22">
        <f t="shared" si="372"/>
        <v>0</v>
      </c>
      <c r="V5967">
        <f t="shared" si="373"/>
        <v>0</v>
      </c>
      <c r="W5967" s="22">
        <f t="shared" si="374"/>
        <v>0</v>
      </c>
    </row>
    <row r="5968" spans="1:23" hidden="1" x14ac:dyDescent="0.25">
      <c r="A5968" s="3">
        <v>46115</v>
      </c>
      <c r="B5968" s="4" t="s">
        <v>334</v>
      </c>
      <c r="C5968" s="4" t="s">
        <v>160</v>
      </c>
      <c r="D5968" s="4"/>
      <c r="E5968" s="4" t="s">
        <v>921</v>
      </c>
      <c r="F5968" s="46" t="s">
        <v>2875</v>
      </c>
      <c r="G5968" s="4" t="s">
        <v>336</v>
      </c>
      <c r="H5968" s="4" t="s">
        <v>380</v>
      </c>
      <c r="I5968" s="4">
        <v>1</v>
      </c>
      <c r="J5968" s="21">
        <v>250</v>
      </c>
      <c r="K5968" s="21">
        <v>250</v>
      </c>
      <c r="L5968" s="5">
        <v>0</v>
      </c>
      <c r="M5968" s="4"/>
      <c r="N5968" s="4"/>
      <c r="O5968" s="5"/>
      <c r="P5968" s="5"/>
      <c r="Q5968" s="21">
        <v>0</v>
      </c>
      <c r="R5968" s="21">
        <v>0</v>
      </c>
      <c r="S5968" s="5">
        <f t="shared" si="375"/>
        <v>60338.399360692012</v>
      </c>
      <c r="T5968" cm="1">
        <f t="array" ref="T5968">IF(OR(B5968="MAL ALIMI", B5968="ÜRETİM GİRİŞ"), MIN(I5968, MAX(0, I5968 + SUM(SUMIFS($I$1:I5967, $C$1:C5967, C5968, $B$1:B5967, {"MAL ALIMI","ÜRETİM GİRİŞ"})) - VLOOKUP(C5968, 'STOK RAPORU'!$C$2:$I$1000, 4, 0))), 0)</f>
        <v>0</v>
      </c>
      <c r="U5968" s="22">
        <f t="shared" si="372"/>
        <v>0</v>
      </c>
      <c r="V5968">
        <f t="shared" si="373"/>
        <v>0</v>
      </c>
      <c r="W5968" s="22">
        <f t="shared" si="374"/>
        <v>0</v>
      </c>
    </row>
    <row r="5969" spans="1:23" hidden="1" x14ac:dyDescent="0.25">
      <c r="A5969" s="3">
        <v>46115</v>
      </c>
      <c r="B5969" s="4" t="s">
        <v>334</v>
      </c>
      <c r="C5969" s="4" t="s">
        <v>161</v>
      </c>
      <c r="D5969" s="4"/>
      <c r="E5969" s="4" t="s">
        <v>921</v>
      </c>
      <c r="F5969" s="46" t="s">
        <v>2875</v>
      </c>
      <c r="G5969" s="4" t="s">
        <v>336</v>
      </c>
      <c r="H5969" s="4" t="s">
        <v>380</v>
      </c>
      <c r="I5969" s="4">
        <v>1</v>
      </c>
      <c r="J5969" s="21">
        <v>250</v>
      </c>
      <c r="K5969" s="21">
        <v>250</v>
      </c>
      <c r="L5969" s="5">
        <v>0</v>
      </c>
      <c r="M5969" s="4"/>
      <c r="N5969" s="4"/>
      <c r="O5969" s="5"/>
      <c r="P5969" s="5"/>
      <c r="Q5969" s="21">
        <v>0</v>
      </c>
      <c r="R5969" s="21">
        <v>0</v>
      </c>
      <c r="S5969" s="5">
        <f t="shared" si="375"/>
        <v>60338.399360692012</v>
      </c>
      <c r="T5969" cm="1">
        <f t="array" ref="T5969">IF(OR(B5969="MAL ALIMI", B5969="ÜRETİM GİRİŞ"), MIN(I5969, MAX(0, I5969 + SUM(SUMIFS($I$1:I5968, $C$1:C5968, C5969, $B$1:B5968, {"MAL ALIMI","ÜRETİM GİRİŞ"})) - VLOOKUP(C5969, 'STOK RAPORU'!$C$2:$I$1000, 4, 0))), 0)</f>
        <v>0</v>
      </c>
      <c r="U5969" s="22">
        <f t="shared" si="372"/>
        <v>0</v>
      </c>
      <c r="V5969">
        <f t="shared" si="373"/>
        <v>0</v>
      </c>
      <c r="W5969" s="22">
        <f t="shared" si="374"/>
        <v>0</v>
      </c>
    </row>
    <row r="5970" spans="1:23" hidden="1" x14ac:dyDescent="0.25">
      <c r="A5970" s="3">
        <v>46115</v>
      </c>
      <c r="B5970" s="4" t="s">
        <v>334</v>
      </c>
      <c r="C5970" s="4" t="s">
        <v>1501</v>
      </c>
      <c r="D5970" s="4"/>
      <c r="E5970" s="4" t="s">
        <v>921</v>
      </c>
      <c r="F5970" s="46" t="s">
        <v>2875</v>
      </c>
      <c r="G5970" s="4" t="s">
        <v>336</v>
      </c>
      <c r="H5970" s="4" t="s">
        <v>380</v>
      </c>
      <c r="I5970" s="4">
        <v>0.25</v>
      </c>
      <c r="J5970" s="21">
        <v>700</v>
      </c>
      <c r="K5970" s="21">
        <v>175</v>
      </c>
      <c r="L5970" s="5">
        <v>0</v>
      </c>
      <c r="M5970" s="4"/>
      <c r="N5970" s="4"/>
      <c r="O5970" s="5"/>
      <c r="P5970" s="5"/>
      <c r="Q5970" s="21">
        <v>0</v>
      </c>
      <c r="R5970" s="21">
        <v>0</v>
      </c>
      <c r="S5970" s="5">
        <f t="shared" si="375"/>
        <v>60338.399360692012</v>
      </c>
      <c r="T5970" cm="1">
        <f t="array" ref="T5970">IF(OR(B5970="MAL ALIMI", B5970="ÜRETİM GİRİŞ"), MIN(I5970, MAX(0, I5970 + SUM(SUMIFS($I$1:I5969, $C$1:C5969, C5970, $B$1:B5969, {"MAL ALIMI","ÜRETİM GİRİŞ"})) - VLOOKUP(C5970, 'STOK RAPORU'!$C$2:$I$1000, 4, 0))), 0)</f>
        <v>0</v>
      </c>
      <c r="U5970" s="22">
        <f t="shared" si="372"/>
        <v>0</v>
      </c>
      <c r="V5970">
        <f t="shared" si="373"/>
        <v>0</v>
      </c>
      <c r="W5970" s="22">
        <f t="shared" si="374"/>
        <v>0</v>
      </c>
    </row>
    <row r="5971" spans="1:23" hidden="1" x14ac:dyDescent="0.25">
      <c r="A5971" s="3">
        <v>46115</v>
      </c>
      <c r="B5971" s="4" t="s">
        <v>334</v>
      </c>
      <c r="C5971" s="4" t="s">
        <v>691</v>
      </c>
      <c r="D5971" s="4"/>
      <c r="E5971" s="4" t="s">
        <v>921</v>
      </c>
      <c r="F5971" s="46" t="s">
        <v>2875</v>
      </c>
      <c r="G5971" s="4" t="s">
        <v>336</v>
      </c>
      <c r="H5971" s="4" t="s">
        <v>380</v>
      </c>
      <c r="I5971" s="4">
        <v>0.58399999999999996</v>
      </c>
      <c r="J5971" s="21">
        <v>230</v>
      </c>
      <c r="K5971" s="21">
        <v>134.32</v>
      </c>
      <c r="L5971" s="5">
        <v>0</v>
      </c>
      <c r="M5971" s="4"/>
      <c r="N5971" s="4"/>
      <c r="O5971" s="5"/>
      <c r="P5971" s="5"/>
      <c r="Q5971" s="21">
        <v>0</v>
      </c>
      <c r="R5971" s="21">
        <v>0</v>
      </c>
      <c r="S5971" s="5">
        <f t="shared" si="375"/>
        <v>60338.399360692012</v>
      </c>
      <c r="T5971" cm="1">
        <f t="array" ref="T5971">IF(OR(B5971="MAL ALIMI", B5971="ÜRETİM GİRİŞ"), MIN(I5971, MAX(0, I5971 + SUM(SUMIFS($I$1:I5970, $C$1:C5970, C5971, $B$1:B5970, {"MAL ALIMI","ÜRETİM GİRİŞ"})) - VLOOKUP(C5971, 'STOK RAPORU'!$C$2:$I$1000, 4, 0))), 0)</f>
        <v>0</v>
      </c>
      <c r="U5971" s="22">
        <f t="shared" si="372"/>
        <v>0</v>
      </c>
      <c r="V5971">
        <f t="shared" si="373"/>
        <v>0</v>
      </c>
      <c r="W5971" s="22">
        <f t="shared" si="374"/>
        <v>0</v>
      </c>
    </row>
    <row r="5972" spans="1:23" hidden="1" x14ac:dyDescent="0.25">
      <c r="A5972" s="3">
        <v>46115</v>
      </c>
      <c r="B5972" s="4" t="s">
        <v>334</v>
      </c>
      <c r="C5972" s="4" t="s">
        <v>486</v>
      </c>
      <c r="D5972" s="4"/>
      <c r="E5972" s="4"/>
      <c r="F5972" s="46" t="s">
        <v>2876</v>
      </c>
      <c r="G5972" s="4" t="s">
        <v>336</v>
      </c>
      <c r="H5972" s="4" t="s">
        <v>289</v>
      </c>
      <c r="I5972" s="4">
        <v>1</v>
      </c>
      <c r="J5972" s="21">
        <v>180</v>
      </c>
      <c r="K5972" s="21">
        <v>0</v>
      </c>
      <c r="L5972" s="5">
        <v>0</v>
      </c>
      <c r="M5972" s="4"/>
      <c r="N5972" s="4"/>
      <c r="O5972" s="5"/>
      <c r="P5972" s="5"/>
      <c r="Q5972" s="21">
        <v>180</v>
      </c>
      <c r="R5972" s="21">
        <v>0</v>
      </c>
      <c r="S5972" s="5">
        <f t="shared" si="375"/>
        <v>60518.399360692012</v>
      </c>
      <c r="T5972" cm="1">
        <f t="array" ref="T5972">IF(OR(B5972="MAL ALIMI", B5972="ÜRETİM GİRİŞ"), MIN(I5972, MAX(0, I5972 + SUM(SUMIFS($I$1:I5971, $C$1:C5971, C5972, $B$1:B5971, {"MAL ALIMI","ÜRETİM GİRİŞ"})) - VLOOKUP(C5972, 'STOK RAPORU'!$C$2:$I$1000, 4, 0))), 0)</f>
        <v>0</v>
      </c>
      <c r="U5972" s="22">
        <f t="shared" si="372"/>
        <v>0</v>
      </c>
      <c r="V5972">
        <f t="shared" si="373"/>
        <v>0</v>
      </c>
      <c r="W5972" s="22">
        <f t="shared" si="374"/>
        <v>0</v>
      </c>
    </row>
    <row r="5973" spans="1:23" hidden="1" x14ac:dyDescent="0.25">
      <c r="A5973" s="3">
        <v>46115</v>
      </c>
      <c r="B5973" s="4" t="s">
        <v>334</v>
      </c>
      <c r="C5973" s="4" t="s">
        <v>911</v>
      </c>
      <c r="D5973" s="4"/>
      <c r="E5973" s="4"/>
      <c r="F5973" s="46" t="s">
        <v>2876</v>
      </c>
      <c r="G5973" s="4" t="s">
        <v>336</v>
      </c>
      <c r="H5973" s="4" t="s">
        <v>289</v>
      </c>
      <c r="I5973" s="4">
        <v>1</v>
      </c>
      <c r="J5973" s="21">
        <v>130</v>
      </c>
      <c r="K5973" s="21">
        <v>0</v>
      </c>
      <c r="L5973" s="5">
        <v>0</v>
      </c>
      <c r="M5973" s="4"/>
      <c r="N5973" s="4"/>
      <c r="O5973" s="5"/>
      <c r="P5973" s="5"/>
      <c r="Q5973" s="21">
        <v>130</v>
      </c>
      <c r="R5973" s="21">
        <v>0</v>
      </c>
      <c r="S5973" s="5">
        <f t="shared" si="375"/>
        <v>60648.399360692012</v>
      </c>
      <c r="T5973" cm="1">
        <f t="array" ref="T5973">IF(OR(B5973="MAL ALIMI", B5973="ÜRETİM GİRİŞ"), MIN(I5973, MAX(0, I5973 + SUM(SUMIFS($I$1:I5972, $C$1:C5972, C5973, $B$1:B5972, {"MAL ALIMI","ÜRETİM GİRİŞ"})) - VLOOKUP(C5973, 'STOK RAPORU'!$C$2:$I$1000, 4, 0))), 0)</f>
        <v>0</v>
      </c>
      <c r="U5973" s="22">
        <f t="shared" si="372"/>
        <v>0</v>
      </c>
      <c r="V5973">
        <f t="shared" si="373"/>
        <v>0</v>
      </c>
      <c r="W5973" s="22">
        <f t="shared" si="374"/>
        <v>0</v>
      </c>
    </row>
    <row r="5974" spans="1:23" hidden="1" x14ac:dyDescent="0.25">
      <c r="A5974" s="3">
        <v>46115</v>
      </c>
      <c r="B5974" s="4" t="s">
        <v>334</v>
      </c>
      <c r="C5974" s="4" t="s">
        <v>1396</v>
      </c>
      <c r="D5974" s="4"/>
      <c r="E5974" s="4"/>
      <c r="F5974" s="46" t="s">
        <v>2876</v>
      </c>
      <c r="G5974" s="4" t="s">
        <v>336</v>
      </c>
      <c r="H5974" s="4" t="s">
        <v>289</v>
      </c>
      <c r="I5974" s="4">
        <v>1</v>
      </c>
      <c r="J5974" s="21">
        <v>100</v>
      </c>
      <c r="K5974" s="21">
        <v>0</v>
      </c>
      <c r="L5974" s="5">
        <v>0</v>
      </c>
      <c r="M5974" s="4"/>
      <c r="N5974" s="4"/>
      <c r="O5974" s="5"/>
      <c r="P5974" s="5"/>
      <c r="Q5974" s="21">
        <v>100</v>
      </c>
      <c r="R5974" s="21">
        <v>0</v>
      </c>
      <c r="S5974" s="5">
        <f t="shared" si="375"/>
        <v>60748.399360692012</v>
      </c>
      <c r="T5974" cm="1">
        <f t="array" ref="T5974">IF(OR(B5974="MAL ALIMI", B5974="ÜRETİM GİRİŞ"), MIN(I5974, MAX(0, I5974 + SUM(SUMIFS($I$1:I5973, $C$1:C5973, C5974, $B$1:B5973, {"MAL ALIMI","ÜRETİM GİRİŞ"})) - VLOOKUP(C5974, 'STOK RAPORU'!$C$2:$I$1000, 4, 0))), 0)</f>
        <v>0</v>
      </c>
      <c r="U5974" s="22">
        <f t="shared" si="372"/>
        <v>0</v>
      </c>
      <c r="V5974">
        <f t="shared" si="373"/>
        <v>0</v>
      </c>
      <c r="W5974" s="22">
        <f t="shared" si="374"/>
        <v>0</v>
      </c>
    </row>
    <row r="5975" spans="1:23" hidden="1" x14ac:dyDescent="0.25">
      <c r="A5975" s="3">
        <v>46115</v>
      </c>
      <c r="B5975" s="4" t="s">
        <v>334</v>
      </c>
      <c r="C5975" s="4" t="s">
        <v>2579</v>
      </c>
      <c r="D5975" s="4"/>
      <c r="E5975" s="4"/>
      <c r="F5975" s="46" t="s">
        <v>2876</v>
      </c>
      <c r="G5975" s="4" t="s">
        <v>336</v>
      </c>
      <c r="H5975" s="4" t="s">
        <v>289</v>
      </c>
      <c r="I5975" s="4">
        <v>2</v>
      </c>
      <c r="J5975" s="21">
        <v>10</v>
      </c>
      <c r="K5975" s="21">
        <v>0</v>
      </c>
      <c r="L5975" s="5">
        <v>0</v>
      </c>
      <c r="M5975" s="4"/>
      <c r="N5975" s="4"/>
      <c r="O5975" s="5"/>
      <c r="P5975" s="5"/>
      <c r="Q5975" s="21">
        <v>20</v>
      </c>
      <c r="R5975" s="21">
        <v>0</v>
      </c>
      <c r="S5975" s="5">
        <f t="shared" si="375"/>
        <v>60768.399360692012</v>
      </c>
      <c r="T5975" cm="1">
        <f t="array" ref="T5975">IF(OR(B5975="MAL ALIMI", B5975="ÜRETİM GİRİŞ"), MIN(I5975, MAX(0, I5975 + SUM(SUMIFS($I$1:I5974, $C$1:C5974, C5975, $B$1:B5974, {"MAL ALIMI","ÜRETİM GİRİŞ"})) - VLOOKUP(C5975, 'STOK RAPORU'!$C$2:$I$1000, 4, 0))), 0)</f>
        <v>0</v>
      </c>
      <c r="U5975" s="22">
        <f t="shared" si="372"/>
        <v>0</v>
      </c>
      <c r="V5975">
        <f t="shared" si="373"/>
        <v>0</v>
      </c>
      <c r="W5975" s="22">
        <f t="shared" si="374"/>
        <v>0</v>
      </c>
    </row>
    <row r="5976" spans="1:23" hidden="1" x14ac:dyDescent="0.25">
      <c r="A5976" s="3">
        <v>46115</v>
      </c>
      <c r="B5976" s="4" t="s">
        <v>334</v>
      </c>
      <c r="C5976" s="4" t="s">
        <v>192</v>
      </c>
      <c r="D5976" s="4"/>
      <c r="E5976" s="4"/>
      <c r="F5976" s="46" t="s">
        <v>2877</v>
      </c>
      <c r="G5976" s="4" t="s">
        <v>336</v>
      </c>
      <c r="H5976" s="4" t="s">
        <v>289</v>
      </c>
      <c r="I5976" s="4">
        <v>0.12</v>
      </c>
      <c r="J5976" s="21">
        <v>417</v>
      </c>
      <c r="K5976" s="21">
        <v>0</v>
      </c>
      <c r="L5976" s="5">
        <v>0</v>
      </c>
      <c r="M5976" s="4"/>
      <c r="N5976" s="4"/>
      <c r="O5976" s="5"/>
      <c r="P5976" s="5"/>
      <c r="Q5976" s="21">
        <v>50.04</v>
      </c>
      <c r="R5976" s="21">
        <v>0</v>
      </c>
      <c r="S5976" s="5">
        <f t="shared" si="375"/>
        <v>60818.439360692013</v>
      </c>
      <c r="T5976" cm="1">
        <f t="array" ref="T5976">IF(OR(B5976="MAL ALIMI", B5976="ÜRETİM GİRİŞ"), MIN(I5976, MAX(0, I5976 + SUM(SUMIFS($I$1:I5975, $C$1:C5975, C5976, $B$1:B5975, {"MAL ALIMI","ÜRETİM GİRİŞ"})) - VLOOKUP(C5976, 'STOK RAPORU'!$C$2:$I$1000, 4, 0))), 0)</f>
        <v>0</v>
      </c>
      <c r="U5976" s="22">
        <f t="shared" si="372"/>
        <v>0</v>
      </c>
      <c r="V5976">
        <f t="shared" si="373"/>
        <v>0</v>
      </c>
      <c r="W5976" s="22">
        <f t="shared" si="374"/>
        <v>0</v>
      </c>
    </row>
    <row r="5977" spans="1:23" hidden="1" x14ac:dyDescent="0.25">
      <c r="A5977" s="3">
        <v>46115</v>
      </c>
      <c r="B5977" s="4" t="s">
        <v>334</v>
      </c>
      <c r="C5977" s="4" t="s">
        <v>166</v>
      </c>
      <c r="D5977" s="4"/>
      <c r="E5977" s="4"/>
      <c r="F5977" s="46" t="s">
        <v>2878</v>
      </c>
      <c r="G5977" s="4" t="s">
        <v>336</v>
      </c>
      <c r="H5977" s="4" t="s">
        <v>289</v>
      </c>
      <c r="I5977" s="4">
        <v>6.7532467532467527E-2</v>
      </c>
      <c r="J5977" s="21">
        <v>770</v>
      </c>
      <c r="K5977" s="21">
        <v>0</v>
      </c>
      <c r="L5977" s="5">
        <v>0</v>
      </c>
      <c r="M5977" s="4"/>
      <c r="N5977" s="4"/>
      <c r="O5977" s="5"/>
      <c r="P5977" s="5"/>
      <c r="Q5977" s="21">
        <v>51.999999999999993</v>
      </c>
      <c r="R5977" s="21">
        <v>0</v>
      </c>
      <c r="S5977" s="5">
        <f t="shared" si="375"/>
        <v>60870.439360692013</v>
      </c>
      <c r="T5977" cm="1">
        <f t="array" ref="T5977">IF(OR(B5977="MAL ALIMI", B5977="ÜRETİM GİRİŞ"), MIN(I5977, MAX(0, I5977 + SUM(SUMIFS($I$1:I5976, $C$1:C5976, C5977, $B$1:B5976, {"MAL ALIMI","ÜRETİM GİRİŞ"})) - VLOOKUP(C5977, 'STOK RAPORU'!$C$2:$I$1000, 4, 0))), 0)</f>
        <v>0</v>
      </c>
      <c r="U5977" s="22">
        <f t="shared" si="372"/>
        <v>0</v>
      </c>
      <c r="V5977">
        <f t="shared" si="373"/>
        <v>0</v>
      </c>
      <c r="W5977" s="22">
        <f t="shared" si="374"/>
        <v>0</v>
      </c>
    </row>
    <row r="5978" spans="1:23" hidden="1" x14ac:dyDescent="0.25">
      <c r="A5978" s="3">
        <v>46115</v>
      </c>
      <c r="B5978" s="4" t="s">
        <v>334</v>
      </c>
      <c r="C5978" s="4" t="s">
        <v>2124</v>
      </c>
      <c r="D5978" s="4"/>
      <c r="E5978" s="4" t="s">
        <v>921</v>
      </c>
      <c r="F5978" s="46" t="s">
        <v>2879</v>
      </c>
      <c r="G5978" s="4" t="s">
        <v>336</v>
      </c>
      <c r="H5978" s="4" t="s">
        <v>380</v>
      </c>
      <c r="I5978" s="4">
        <v>0.5</v>
      </c>
      <c r="J5978" s="21">
        <v>450</v>
      </c>
      <c r="K5978" s="21">
        <v>225</v>
      </c>
      <c r="L5978" s="5">
        <v>0</v>
      </c>
      <c r="M5978" s="4"/>
      <c r="N5978" s="4"/>
      <c r="O5978" s="5"/>
      <c r="P5978" s="5"/>
      <c r="Q5978" s="21">
        <v>0</v>
      </c>
      <c r="R5978" s="21">
        <v>0</v>
      </c>
      <c r="S5978" s="5">
        <f t="shared" si="375"/>
        <v>60870.439360692013</v>
      </c>
      <c r="T5978" cm="1">
        <f t="array" ref="T5978">IF(OR(B5978="MAL ALIMI", B5978="ÜRETİM GİRİŞ"), MIN(I5978, MAX(0, I5978 + SUM(SUMIFS($I$1:I5977, $C$1:C5977, C5978, $B$1:B5977, {"MAL ALIMI","ÜRETİM GİRİŞ"})) - VLOOKUP(C5978, 'STOK RAPORU'!$C$2:$I$1000, 4, 0))), 0)</f>
        <v>0</v>
      </c>
      <c r="U5978" s="22">
        <f t="shared" si="372"/>
        <v>0</v>
      </c>
      <c r="V5978">
        <f t="shared" si="373"/>
        <v>0</v>
      </c>
      <c r="W5978" s="22">
        <f t="shared" si="374"/>
        <v>0</v>
      </c>
    </row>
    <row r="5979" spans="1:23" hidden="1" x14ac:dyDescent="0.25">
      <c r="A5979" s="3">
        <v>46115</v>
      </c>
      <c r="B5979" s="4" t="s">
        <v>334</v>
      </c>
      <c r="C5979" s="4" t="s">
        <v>679</v>
      </c>
      <c r="D5979" s="4"/>
      <c r="E5979" s="4"/>
      <c r="F5979" s="46" t="s">
        <v>2880</v>
      </c>
      <c r="G5979" s="4" t="s">
        <v>336</v>
      </c>
      <c r="H5979" s="4" t="s">
        <v>289</v>
      </c>
      <c r="I5979" s="4">
        <v>1</v>
      </c>
      <c r="J5979" s="21">
        <v>400</v>
      </c>
      <c r="K5979" s="21">
        <v>0</v>
      </c>
      <c r="L5979" s="5">
        <v>0</v>
      </c>
      <c r="M5979" s="4"/>
      <c r="N5979" s="4"/>
      <c r="O5979" s="5"/>
      <c r="P5979" s="5"/>
      <c r="Q5979" s="21">
        <v>400</v>
      </c>
      <c r="R5979" s="21">
        <v>0</v>
      </c>
      <c r="S5979" s="5">
        <f t="shared" si="375"/>
        <v>61270.439360692013</v>
      </c>
      <c r="T5979" cm="1">
        <f t="array" ref="T5979">IF(OR(B5979="MAL ALIMI", B5979="ÜRETİM GİRİŞ"), MIN(I5979, MAX(0, I5979 + SUM(SUMIFS($I$1:I5978, $C$1:C5978, C5979, $B$1:B5978, {"MAL ALIMI","ÜRETİM GİRİŞ"})) - VLOOKUP(C5979, 'STOK RAPORU'!$C$2:$I$1000, 4, 0))), 0)</f>
        <v>0</v>
      </c>
      <c r="U5979" s="22">
        <f t="shared" si="372"/>
        <v>0</v>
      </c>
      <c r="V5979">
        <f t="shared" si="373"/>
        <v>0</v>
      </c>
      <c r="W5979" s="22">
        <f t="shared" si="374"/>
        <v>0</v>
      </c>
    </row>
    <row r="5980" spans="1:23" hidden="1" x14ac:dyDescent="0.25">
      <c r="A5980" s="3">
        <v>46115</v>
      </c>
      <c r="B5980" s="4" t="s">
        <v>334</v>
      </c>
      <c r="C5980" s="4" t="s">
        <v>2579</v>
      </c>
      <c r="D5980" s="4"/>
      <c r="E5980" s="4"/>
      <c r="F5980" s="46" t="s">
        <v>2880</v>
      </c>
      <c r="G5980" s="4" t="s">
        <v>336</v>
      </c>
      <c r="H5980" s="4" t="s">
        <v>289</v>
      </c>
      <c r="I5980" s="4">
        <v>10</v>
      </c>
      <c r="J5980" s="21">
        <v>10</v>
      </c>
      <c r="K5980" s="21">
        <v>0</v>
      </c>
      <c r="L5980" s="5">
        <v>0</v>
      </c>
      <c r="M5980" s="4"/>
      <c r="N5980" s="4"/>
      <c r="O5980" s="5"/>
      <c r="P5980" s="5"/>
      <c r="Q5980" s="21">
        <v>100</v>
      </c>
      <c r="R5980" s="21">
        <v>0</v>
      </c>
      <c r="S5980" s="5">
        <f t="shared" si="375"/>
        <v>61370.439360692013</v>
      </c>
      <c r="T5980" cm="1">
        <f t="array" ref="T5980">IF(OR(B5980="MAL ALIMI", B5980="ÜRETİM GİRİŞ"), MIN(I5980, MAX(0, I5980 + SUM(SUMIFS($I$1:I5979, $C$1:C5979, C5980, $B$1:B5979, {"MAL ALIMI","ÜRETİM GİRİŞ"})) - VLOOKUP(C5980, 'STOK RAPORU'!$C$2:$I$1000, 4, 0))), 0)</f>
        <v>0</v>
      </c>
      <c r="U5980" s="22">
        <f t="shared" si="372"/>
        <v>0</v>
      </c>
      <c r="V5980">
        <f t="shared" si="373"/>
        <v>0</v>
      </c>
      <c r="W5980" s="22">
        <f t="shared" si="374"/>
        <v>0</v>
      </c>
    </row>
    <row r="5981" spans="1:23" hidden="1" x14ac:dyDescent="0.25">
      <c r="A5981" s="3">
        <v>46115</v>
      </c>
      <c r="B5981" s="4" t="s">
        <v>334</v>
      </c>
      <c r="C5981" s="4" t="s">
        <v>140</v>
      </c>
      <c r="D5981" s="4"/>
      <c r="E5981" s="4"/>
      <c r="F5981" s="46" t="s">
        <v>2881</v>
      </c>
      <c r="G5981" s="4" t="s">
        <v>336</v>
      </c>
      <c r="H5981" s="4" t="s">
        <v>289</v>
      </c>
      <c r="I5981" s="4">
        <v>7.5999999999999998E-2</v>
      </c>
      <c r="J5981" s="21">
        <v>300</v>
      </c>
      <c r="K5981" s="21">
        <v>0</v>
      </c>
      <c r="L5981" s="5">
        <v>0</v>
      </c>
      <c r="M5981" s="4"/>
      <c r="N5981" s="4"/>
      <c r="O5981" s="5"/>
      <c r="P5981" s="5"/>
      <c r="Q5981" s="21">
        <v>22.8</v>
      </c>
      <c r="R5981" s="21">
        <v>0</v>
      </c>
      <c r="S5981" s="5">
        <f t="shared" si="375"/>
        <v>61393.239360692016</v>
      </c>
      <c r="T5981" cm="1">
        <f t="array" ref="T5981">IF(OR(B5981="MAL ALIMI", B5981="ÜRETİM GİRİŞ"), MIN(I5981, MAX(0, I5981 + SUM(SUMIFS($I$1:I5980, $C$1:C5980, C5981, $B$1:B5980, {"MAL ALIMI","ÜRETİM GİRİŞ"})) - VLOOKUP(C5981, 'STOK RAPORU'!$C$2:$I$1000, 4, 0))), 0)</f>
        <v>0</v>
      </c>
      <c r="U5981" s="22">
        <f t="shared" si="372"/>
        <v>0</v>
      </c>
      <c r="V5981">
        <f t="shared" si="373"/>
        <v>0</v>
      </c>
      <c r="W5981" s="22">
        <f t="shared" si="374"/>
        <v>0</v>
      </c>
    </row>
    <row r="5982" spans="1:23" hidden="1" x14ac:dyDescent="0.25">
      <c r="A5982" s="3">
        <v>46115</v>
      </c>
      <c r="B5982" s="4" t="s">
        <v>334</v>
      </c>
      <c r="C5982" s="4" t="s">
        <v>98</v>
      </c>
      <c r="D5982" s="4"/>
      <c r="E5982" s="4"/>
      <c r="F5982" s="46" t="s">
        <v>2881</v>
      </c>
      <c r="G5982" s="4" t="s">
        <v>336</v>
      </c>
      <c r="H5982" s="4" t="s">
        <v>289</v>
      </c>
      <c r="I5982" s="4">
        <v>0.09</v>
      </c>
      <c r="J5982" s="21">
        <v>400</v>
      </c>
      <c r="K5982" s="21">
        <v>0</v>
      </c>
      <c r="L5982" s="5">
        <v>0</v>
      </c>
      <c r="M5982" s="4"/>
      <c r="N5982" s="4"/>
      <c r="O5982" s="5"/>
      <c r="P5982" s="5"/>
      <c r="Q5982" s="21">
        <v>36</v>
      </c>
      <c r="R5982" s="21">
        <v>0</v>
      </c>
      <c r="S5982" s="5">
        <f t="shared" si="375"/>
        <v>61429.239360692016</v>
      </c>
      <c r="T5982" cm="1">
        <f t="array" ref="T5982">IF(OR(B5982="MAL ALIMI", B5982="ÜRETİM GİRİŞ"), MIN(I5982, MAX(0, I5982 + SUM(SUMIFS($I$1:I5981, $C$1:C5981, C5982, $B$1:B5981, {"MAL ALIMI","ÜRETİM GİRİŞ"})) - VLOOKUP(C5982, 'STOK RAPORU'!$C$2:$I$1000, 4, 0))), 0)</f>
        <v>0</v>
      </c>
      <c r="U5982" s="22">
        <f t="shared" si="372"/>
        <v>0</v>
      </c>
      <c r="V5982">
        <f t="shared" si="373"/>
        <v>0</v>
      </c>
      <c r="W5982" s="22">
        <f t="shared" si="374"/>
        <v>0</v>
      </c>
    </row>
    <row r="5983" spans="1:23" hidden="1" x14ac:dyDescent="0.25">
      <c r="A5983" s="3">
        <v>46115</v>
      </c>
      <c r="B5983" s="4" t="s">
        <v>334</v>
      </c>
      <c r="C5983" s="4" t="s">
        <v>160</v>
      </c>
      <c r="D5983" s="4"/>
      <c r="E5983" s="4" t="s">
        <v>921</v>
      </c>
      <c r="F5983" s="46" t="s">
        <v>2882</v>
      </c>
      <c r="G5983" s="4" t="s">
        <v>336</v>
      </c>
      <c r="H5983" s="4" t="s">
        <v>380</v>
      </c>
      <c r="I5983" s="4">
        <v>1</v>
      </c>
      <c r="J5983" s="21">
        <v>250</v>
      </c>
      <c r="K5983" s="21">
        <v>250</v>
      </c>
      <c r="L5983" s="5">
        <v>0</v>
      </c>
      <c r="M5983" s="4"/>
      <c r="N5983" s="4"/>
      <c r="O5983" s="5"/>
      <c r="P5983" s="5"/>
      <c r="Q5983" s="21">
        <v>0</v>
      </c>
      <c r="R5983" s="21">
        <v>0</v>
      </c>
      <c r="S5983" s="5">
        <f t="shared" si="375"/>
        <v>61429.239360692016</v>
      </c>
      <c r="T5983" cm="1">
        <f t="array" ref="T5983">IF(OR(B5983="MAL ALIMI", B5983="ÜRETİM GİRİŞ"), MIN(I5983, MAX(0, I5983 + SUM(SUMIFS($I$1:I5982, $C$1:C5982, C5983, $B$1:B5982, {"MAL ALIMI","ÜRETİM GİRİŞ"})) - VLOOKUP(C5983, 'STOK RAPORU'!$C$2:$I$1000, 4, 0))), 0)</f>
        <v>0</v>
      </c>
      <c r="U5983" s="22">
        <f t="shared" si="372"/>
        <v>0</v>
      </c>
      <c r="V5983">
        <f t="shared" si="373"/>
        <v>0</v>
      </c>
      <c r="W5983" s="22">
        <f t="shared" si="374"/>
        <v>0</v>
      </c>
    </row>
    <row r="5984" spans="1:23" hidden="1" x14ac:dyDescent="0.25">
      <c r="A5984" s="3">
        <v>46115</v>
      </c>
      <c r="B5984" s="4" t="s">
        <v>334</v>
      </c>
      <c r="C5984" s="4" t="s">
        <v>161</v>
      </c>
      <c r="D5984" s="4"/>
      <c r="E5984" s="4" t="s">
        <v>921</v>
      </c>
      <c r="F5984" s="46" t="s">
        <v>2882</v>
      </c>
      <c r="G5984" s="4" t="s">
        <v>336</v>
      </c>
      <c r="H5984" s="4" t="s">
        <v>380</v>
      </c>
      <c r="I5984" s="4">
        <v>1</v>
      </c>
      <c r="J5984" s="21">
        <v>250</v>
      </c>
      <c r="K5984" s="21">
        <v>250</v>
      </c>
      <c r="L5984" s="5">
        <v>0</v>
      </c>
      <c r="M5984" s="4"/>
      <c r="N5984" s="4"/>
      <c r="O5984" s="5"/>
      <c r="P5984" s="5"/>
      <c r="Q5984" s="21">
        <v>0</v>
      </c>
      <c r="R5984" s="21">
        <v>0</v>
      </c>
      <c r="S5984" s="5">
        <f t="shared" si="375"/>
        <v>61429.239360692016</v>
      </c>
      <c r="T5984" cm="1">
        <f t="array" ref="T5984">IF(OR(B5984="MAL ALIMI", B5984="ÜRETİM GİRİŞ"), MIN(I5984, MAX(0, I5984 + SUM(SUMIFS($I$1:I5983, $C$1:C5983, C5984, $B$1:B5983, {"MAL ALIMI","ÜRETİM GİRİŞ"})) - VLOOKUP(C5984, 'STOK RAPORU'!$C$2:$I$1000, 4, 0))), 0)</f>
        <v>0</v>
      </c>
      <c r="U5984" s="22">
        <f t="shared" si="372"/>
        <v>0</v>
      </c>
      <c r="V5984">
        <f t="shared" si="373"/>
        <v>0</v>
      </c>
      <c r="W5984" s="22">
        <f t="shared" si="374"/>
        <v>0</v>
      </c>
    </row>
    <row r="5985" spans="1:23" hidden="1" x14ac:dyDescent="0.25">
      <c r="A5985" s="3">
        <v>46115</v>
      </c>
      <c r="B5985" s="4" t="s">
        <v>334</v>
      </c>
      <c r="C5985" s="4" t="s">
        <v>223</v>
      </c>
      <c r="D5985" s="4"/>
      <c r="E5985" s="4" t="s">
        <v>921</v>
      </c>
      <c r="F5985" s="46" t="s">
        <v>2883</v>
      </c>
      <c r="G5985" s="4" t="s">
        <v>336</v>
      </c>
      <c r="H5985" s="4" t="s">
        <v>380</v>
      </c>
      <c r="I5985" s="4">
        <v>1.2150000000000001</v>
      </c>
      <c r="J5985" s="21">
        <v>800</v>
      </c>
      <c r="K5985" s="21">
        <v>972.00000000000011</v>
      </c>
      <c r="L5985" s="5">
        <v>0</v>
      </c>
      <c r="M5985" s="4"/>
      <c r="N5985" s="4"/>
      <c r="O5985" s="5"/>
      <c r="P5985" s="5"/>
      <c r="Q5985" s="21">
        <v>0</v>
      </c>
      <c r="R5985" s="21">
        <v>0</v>
      </c>
      <c r="S5985" s="5">
        <f t="shared" si="375"/>
        <v>61429.239360692016</v>
      </c>
      <c r="T5985" cm="1">
        <f t="array" ref="T5985">IF(OR(B5985="MAL ALIMI", B5985="ÜRETİM GİRİŞ"), MIN(I5985, MAX(0, I5985 + SUM(SUMIFS($I$1:I5984, $C$1:C5984, C5985, $B$1:B5984, {"MAL ALIMI","ÜRETİM GİRİŞ"})) - VLOOKUP(C5985, 'STOK RAPORU'!$C$2:$I$1000, 4, 0))), 0)</f>
        <v>0</v>
      </c>
      <c r="U5985" s="22">
        <f t="shared" si="372"/>
        <v>0</v>
      </c>
      <c r="V5985">
        <f t="shared" si="373"/>
        <v>0</v>
      </c>
      <c r="W5985" s="22">
        <f t="shared" si="374"/>
        <v>0</v>
      </c>
    </row>
    <row r="5986" spans="1:23" hidden="1" x14ac:dyDescent="0.25">
      <c r="A5986" s="3">
        <v>46115</v>
      </c>
      <c r="B5986" s="4" t="s">
        <v>334</v>
      </c>
      <c r="C5986" s="4" t="s">
        <v>601</v>
      </c>
      <c r="D5986" s="4"/>
      <c r="E5986" s="4" t="s">
        <v>921</v>
      </c>
      <c r="F5986" s="46" t="s">
        <v>2883</v>
      </c>
      <c r="G5986" s="4" t="s">
        <v>336</v>
      </c>
      <c r="H5986" s="4" t="s">
        <v>380</v>
      </c>
      <c r="I5986" s="4">
        <v>0.68600000000000005</v>
      </c>
      <c r="J5986" s="21">
        <v>550</v>
      </c>
      <c r="K5986" s="21">
        <v>377.3</v>
      </c>
      <c r="L5986" s="5">
        <v>0</v>
      </c>
      <c r="M5986" s="4"/>
      <c r="N5986" s="4"/>
      <c r="O5986" s="5"/>
      <c r="P5986" s="5"/>
      <c r="Q5986" s="21">
        <v>0</v>
      </c>
      <c r="R5986" s="21">
        <v>0</v>
      </c>
      <c r="S5986" s="5">
        <f t="shared" si="375"/>
        <v>61429.239360692016</v>
      </c>
      <c r="T5986" cm="1">
        <f t="array" ref="T5986">IF(OR(B5986="MAL ALIMI", B5986="ÜRETİM GİRİŞ"), MIN(I5986, MAX(0, I5986 + SUM(SUMIFS($I$1:I5985, $C$1:C5985, C5986, $B$1:B5985, {"MAL ALIMI","ÜRETİM GİRİŞ"})) - VLOOKUP(C5986, 'STOK RAPORU'!$C$2:$I$1000, 4, 0))), 0)</f>
        <v>0</v>
      </c>
      <c r="U5986" s="22">
        <f t="shared" si="372"/>
        <v>0</v>
      </c>
      <c r="V5986">
        <f t="shared" si="373"/>
        <v>0</v>
      </c>
      <c r="W5986" s="22">
        <f t="shared" si="374"/>
        <v>0</v>
      </c>
    </row>
    <row r="5987" spans="1:23" hidden="1" x14ac:dyDescent="0.25">
      <c r="A5987" s="3">
        <v>46115</v>
      </c>
      <c r="B5987" s="4" t="s">
        <v>334</v>
      </c>
      <c r="C5987" s="4" t="s">
        <v>194</v>
      </c>
      <c r="D5987" s="4"/>
      <c r="E5987" s="4" t="s">
        <v>921</v>
      </c>
      <c r="F5987" s="46" t="s">
        <v>2883</v>
      </c>
      <c r="G5987" s="4" t="s">
        <v>336</v>
      </c>
      <c r="H5987" s="4" t="s">
        <v>380</v>
      </c>
      <c r="I5987" s="4">
        <v>1</v>
      </c>
      <c r="J5987" s="21">
        <v>750</v>
      </c>
      <c r="K5987" s="21">
        <v>750</v>
      </c>
      <c r="L5987" s="5">
        <v>0</v>
      </c>
      <c r="M5987" s="4"/>
      <c r="N5987" s="4"/>
      <c r="O5987" s="5"/>
      <c r="P5987" s="5"/>
      <c r="Q5987" s="21">
        <v>0</v>
      </c>
      <c r="R5987" s="21">
        <v>0</v>
      </c>
      <c r="S5987" s="5">
        <f t="shared" si="375"/>
        <v>61429.239360692016</v>
      </c>
      <c r="T5987" cm="1">
        <f t="array" ref="T5987">IF(OR(B5987="MAL ALIMI", B5987="ÜRETİM GİRİŞ"), MIN(I5987, MAX(0, I5987 + SUM(SUMIFS($I$1:I5986, $C$1:C5986, C5987, $B$1:B5986, {"MAL ALIMI","ÜRETİM GİRİŞ"})) - VLOOKUP(C5987, 'STOK RAPORU'!$C$2:$I$1000, 4, 0))), 0)</f>
        <v>0</v>
      </c>
      <c r="U5987" s="22">
        <f t="shared" si="372"/>
        <v>0</v>
      </c>
      <c r="V5987">
        <f t="shared" si="373"/>
        <v>0</v>
      </c>
      <c r="W5987" s="22">
        <f t="shared" si="374"/>
        <v>0</v>
      </c>
    </row>
    <row r="5988" spans="1:23" hidden="1" x14ac:dyDescent="0.25">
      <c r="A5988" s="3">
        <v>46115</v>
      </c>
      <c r="B5988" s="4" t="s">
        <v>334</v>
      </c>
      <c r="C5988" s="4" t="s">
        <v>523</v>
      </c>
      <c r="D5988" s="4"/>
      <c r="E5988" s="4" t="s">
        <v>921</v>
      </c>
      <c r="F5988" s="46" t="s">
        <v>2883</v>
      </c>
      <c r="G5988" s="4" t="s">
        <v>336</v>
      </c>
      <c r="H5988" s="4" t="s">
        <v>380</v>
      </c>
      <c r="I5988" s="4">
        <v>0.08</v>
      </c>
      <c r="J5988" s="21">
        <v>510</v>
      </c>
      <c r="K5988" s="21">
        <v>40.800000000000004</v>
      </c>
      <c r="L5988" s="5">
        <v>0</v>
      </c>
      <c r="M5988" s="4"/>
      <c r="N5988" s="4"/>
      <c r="O5988" s="5"/>
      <c r="P5988" s="5"/>
      <c r="Q5988" s="21">
        <v>0</v>
      </c>
      <c r="R5988" s="21">
        <v>0</v>
      </c>
      <c r="S5988" s="5">
        <f t="shared" si="375"/>
        <v>61429.239360692016</v>
      </c>
      <c r="T5988" cm="1">
        <f t="array" ref="T5988">IF(OR(B5988="MAL ALIMI", B5988="ÜRETİM GİRİŞ"), MIN(I5988, MAX(0, I5988 + SUM(SUMIFS($I$1:I5987, $C$1:C5987, C5988, $B$1:B5987, {"MAL ALIMI","ÜRETİM GİRİŞ"})) - VLOOKUP(C5988, 'STOK RAPORU'!$C$2:$I$1000, 4, 0))), 0)</f>
        <v>0</v>
      </c>
      <c r="U5988" s="22">
        <f t="shared" si="372"/>
        <v>0</v>
      </c>
      <c r="V5988">
        <f t="shared" si="373"/>
        <v>0</v>
      </c>
      <c r="W5988" s="22">
        <f t="shared" si="374"/>
        <v>0</v>
      </c>
    </row>
    <row r="5989" spans="1:23" hidden="1" x14ac:dyDescent="0.25">
      <c r="A5989" s="3">
        <v>46116</v>
      </c>
      <c r="B5989" s="4" t="s">
        <v>334</v>
      </c>
      <c r="C5989" s="4" t="s">
        <v>2124</v>
      </c>
      <c r="D5989" s="4"/>
      <c r="E5989" s="4"/>
      <c r="F5989" s="46" t="s">
        <v>2885</v>
      </c>
      <c r="G5989" s="4" t="s">
        <v>1945</v>
      </c>
      <c r="H5989" s="4" t="s">
        <v>289</v>
      </c>
      <c r="I5989" s="4">
        <v>0.4</v>
      </c>
      <c r="J5989" s="21">
        <v>350</v>
      </c>
      <c r="K5989" s="21">
        <v>0</v>
      </c>
      <c r="L5989" s="5">
        <v>0</v>
      </c>
      <c r="M5989" s="4"/>
      <c r="N5989" s="4"/>
      <c r="O5989" s="5"/>
      <c r="P5989" s="5"/>
      <c r="Q5989" s="21">
        <v>140</v>
      </c>
      <c r="R5989" s="21">
        <v>0</v>
      </c>
      <c r="S5989" s="5">
        <f t="shared" si="375"/>
        <v>61569.239360692016</v>
      </c>
      <c r="T5989" cm="1">
        <f t="array" ref="T5989">IF(OR(B5989="MAL ALIMI", B5989="ÜRETİM GİRİŞ"), MIN(I5989, MAX(0, I5989 + SUM(SUMIFS($I$1:I5988, $C$1:C5988, C5989, $B$1:B5988, {"MAL ALIMI","ÜRETİM GİRİŞ"})) - VLOOKUP(C5989, 'STOK RAPORU'!$C$2:$I$1000, 4, 0))), 0)</f>
        <v>0</v>
      </c>
      <c r="U5989" s="22">
        <f t="shared" si="372"/>
        <v>0</v>
      </c>
      <c r="V5989">
        <f t="shared" si="373"/>
        <v>0</v>
      </c>
      <c r="W5989" s="22">
        <f t="shared" si="374"/>
        <v>0</v>
      </c>
    </row>
    <row r="5990" spans="1:23" hidden="1" x14ac:dyDescent="0.25">
      <c r="A5990" s="3">
        <v>46116</v>
      </c>
      <c r="B5990" s="4" t="s">
        <v>334</v>
      </c>
      <c r="C5990" s="4" t="s">
        <v>600</v>
      </c>
      <c r="D5990" s="4"/>
      <c r="E5990" s="4"/>
      <c r="F5990" s="46" t="s">
        <v>2886</v>
      </c>
      <c r="G5990" s="4" t="s">
        <v>336</v>
      </c>
      <c r="H5990" s="4" t="s">
        <v>289</v>
      </c>
      <c r="I5990" s="4">
        <v>1</v>
      </c>
      <c r="J5990" s="21">
        <v>50</v>
      </c>
      <c r="K5990" s="21">
        <v>0</v>
      </c>
      <c r="L5990" s="5">
        <v>0</v>
      </c>
      <c r="M5990" s="4"/>
      <c r="N5990" s="4"/>
      <c r="O5990" s="5"/>
      <c r="P5990" s="5"/>
      <c r="Q5990" s="21">
        <v>50</v>
      </c>
      <c r="R5990" s="21">
        <v>0</v>
      </c>
      <c r="S5990" s="5">
        <f t="shared" si="375"/>
        <v>61619.239360692016</v>
      </c>
      <c r="T5990" cm="1">
        <f t="array" ref="T5990">IF(OR(B5990="MAL ALIMI", B5990="ÜRETİM GİRİŞ"), MIN(I5990, MAX(0, I5990 + SUM(SUMIFS($I$1:I5989, $C$1:C5989, C5990, $B$1:B5989, {"MAL ALIMI","ÜRETİM GİRİŞ"})) - VLOOKUP(C5990, 'STOK RAPORU'!$C$2:$I$1000, 4, 0))), 0)</f>
        <v>0</v>
      </c>
      <c r="U5990" s="22">
        <f t="shared" si="372"/>
        <v>0</v>
      </c>
      <c r="V5990">
        <f t="shared" si="373"/>
        <v>0</v>
      </c>
      <c r="W5990" s="22">
        <f t="shared" si="374"/>
        <v>0</v>
      </c>
    </row>
    <row r="5991" spans="1:23" hidden="1" x14ac:dyDescent="0.25">
      <c r="A5991" s="3">
        <v>46116</v>
      </c>
      <c r="B5991" s="4" t="s">
        <v>334</v>
      </c>
      <c r="C5991" s="4" t="s">
        <v>2580</v>
      </c>
      <c r="D5991" s="4"/>
      <c r="E5991" s="4"/>
      <c r="F5991" s="46" t="s">
        <v>2887</v>
      </c>
      <c r="G5991" s="4" t="s">
        <v>336</v>
      </c>
      <c r="H5991" s="4" t="s">
        <v>289</v>
      </c>
      <c r="I5991" s="4">
        <v>0.05</v>
      </c>
      <c r="J5991" s="21">
        <v>2600</v>
      </c>
      <c r="K5991" s="21">
        <v>0</v>
      </c>
      <c r="L5991" s="5">
        <v>0</v>
      </c>
      <c r="M5991" s="4"/>
      <c r="N5991" s="4"/>
      <c r="O5991" s="5"/>
      <c r="P5991" s="5"/>
      <c r="Q5991" s="21">
        <v>130</v>
      </c>
      <c r="R5991" s="21">
        <v>0</v>
      </c>
      <c r="S5991" s="5">
        <f t="shared" si="375"/>
        <v>61749.239360692016</v>
      </c>
      <c r="T5991" cm="1">
        <f t="array" ref="T5991">IF(OR(B5991="MAL ALIMI", B5991="ÜRETİM GİRİŞ"), MIN(I5991, MAX(0, I5991 + SUM(SUMIFS($I$1:I5990, $C$1:C5990, C5991, $B$1:B5990, {"MAL ALIMI","ÜRETİM GİRİŞ"})) - VLOOKUP(C5991, 'STOK RAPORU'!$C$2:$I$1000, 4, 0))), 0)</f>
        <v>0</v>
      </c>
      <c r="U5991" s="22">
        <f t="shared" si="372"/>
        <v>0</v>
      </c>
      <c r="V5991">
        <f t="shared" si="373"/>
        <v>0</v>
      </c>
      <c r="W5991" s="22">
        <f t="shared" si="374"/>
        <v>0</v>
      </c>
    </row>
    <row r="5992" spans="1:23" hidden="1" x14ac:dyDescent="0.25">
      <c r="A5992" s="3">
        <v>46116</v>
      </c>
      <c r="B5992" s="4" t="s">
        <v>334</v>
      </c>
      <c r="C5992" s="4" t="s">
        <v>460</v>
      </c>
      <c r="D5992" s="4"/>
      <c r="E5992" s="4"/>
      <c r="F5992" s="46" t="s">
        <v>2889</v>
      </c>
      <c r="G5992" s="4" t="s">
        <v>336</v>
      </c>
      <c r="H5992" s="4" t="s">
        <v>289</v>
      </c>
      <c r="I5992" s="4">
        <v>1</v>
      </c>
      <c r="J5992" s="21">
        <v>15</v>
      </c>
      <c r="K5992" s="21">
        <v>0</v>
      </c>
      <c r="L5992" s="5">
        <v>0</v>
      </c>
      <c r="M5992" s="4"/>
      <c r="N5992" s="4"/>
      <c r="O5992" s="5"/>
      <c r="P5992" s="5"/>
      <c r="Q5992" s="21">
        <v>15</v>
      </c>
      <c r="R5992" s="21">
        <v>0</v>
      </c>
      <c r="S5992" s="5">
        <f t="shared" si="375"/>
        <v>61764.239360692016</v>
      </c>
      <c r="T5992" cm="1">
        <f t="array" ref="T5992">IF(OR(B5992="MAL ALIMI", B5992="ÜRETİM GİRİŞ"), MIN(I5992, MAX(0, I5992 + SUM(SUMIFS($I$1:I5991, $C$1:C5991, C5992, $B$1:B5991, {"MAL ALIMI","ÜRETİM GİRİŞ"})) - VLOOKUP(C5992, 'STOK RAPORU'!$C$2:$I$1000, 4, 0))), 0)</f>
        <v>0</v>
      </c>
      <c r="U5992" s="22">
        <f t="shared" si="372"/>
        <v>0</v>
      </c>
      <c r="V5992">
        <f t="shared" si="373"/>
        <v>0</v>
      </c>
      <c r="W5992" s="22">
        <f t="shared" si="374"/>
        <v>0</v>
      </c>
    </row>
    <row r="5993" spans="1:23" hidden="1" x14ac:dyDescent="0.25">
      <c r="A5993" s="3">
        <v>46116</v>
      </c>
      <c r="B5993" s="4" t="s">
        <v>334</v>
      </c>
      <c r="C5993" s="4" t="s">
        <v>1634</v>
      </c>
      <c r="D5993" s="4"/>
      <c r="E5993" s="4" t="s">
        <v>921</v>
      </c>
      <c r="F5993" s="46" t="s">
        <v>2890</v>
      </c>
      <c r="G5993" s="4" t="s">
        <v>336</v>
      </c>
      <c r="H5993" s="4" t="s">
        <v>380</v>
      </c>
      <c r="I5993" s="4">
        <v>1.7150000000000001</v>
      </c>
      <c r="J5993" s="21">
        <v>350</v>
      </c>
      <c r="K5993" s="21">
        <v>600.25</v>
      </c>
      <c r="L5993" s="5">
        <v>0</v>
      </c>
      <c r="M5993" s="4"/>
      <c r="N5993" s="4"/>
      <c r="O5993" s="5"/>
      <c r="P5993" s="5"/>
      <c r="Q5993" s="21">
        <v>0</v>
      </c>
      <c r="R5993" s="21">
        <v>0</v>
      </c>
      <c r="S5993" s="5">
        <f t="shared" si="375"/>
        <v>61764.239360692016</v>
      </c>
      <c r="T5993" cm="1">
        <f t="array" ref="T5993">IF(OR(B5993="MAL ALIMI", B5993="ÜRETİM GİRİŞ"), MIN(I5993, MAX(0, I5993 + SUM(SUMIFS($I$1:I5992, $C$1:C5992, C5993, $B$1:B5992, {"MAL ALIMI","ÜRETİM GİRİŞ"})) - VLOOKUP(C5993, 'STOK RAPORU'!$C$2:$I$1000, 4, 0))), 0)</f>
        <v>0</v>
      </c>
      <c r="U5993" s="22">
        <f t="shared" si="372"/>
        <v>0</v>
      </c>
      <c r="V5993">
        <f t="shared" si="373"/>
        <v>0</v>
      </c>
      <c r="W5993" s="22">
        <f t="shared" si="374"/>
        <v>0</v>
      </c>
    </row>
    <row r="5994" spans="1:23" hidden="1" x14ac:dyDescent="0.25">
      <c r="A5994" s="3">
        <v>46116</v>
      </c>
      <c r="B5994" s="4" t="s">
        <v>334</v>
      </c>
      <c r="C5994" s="4" t="s">
        <v>1024</v>
      </c>
      <c r="D5994" s="4"/>
      <c r="E5994" s="4" t="s">
        <v>921</v>
      </c>
      <c r="F5994" s="46" t="s">
        <v>2890</v>
      </c>
      <c r="G5994" s="4" t="s">
        <v>336</v>
      </c>
      <c r="H5994" s="4" t="s">
        <v>380</v>
      </c>
      <c r="I5994" s="4">
        <v>1.17</v>
      </c>
      <c r="J5994" s="21">
        <v>65</v>
      </c>
      <c r="K5994" s="21">
        <v>76.05</v>
      </c>
      <c r="L5994" s="5">
        <v>0</v>
      </c>
      <c r="M5994" s="4"/>
      <c r="N5994" s="4"/>
      <c r="O5994" s="5"/>
      <c r="P5994" s="5"/>
      <c r="Q5994" s="21">
        <v>0</v>
      </c>
      <c r="R5994" s="21">
        <v>0</v>
      </c>
      <c r="S5994" s="5">
        <f t="shared" si="375"/>
        <v>61764.239360692016</v>
      </c>
      <c r="T5994" cm="1">
        <f t="array" ref="T5994">IF(OR(B5994="MAL ALIMI", B5994="ÜRETİM GİRİŞ"), MIN(I5994, MAX(0, I5994 + SUM(SUMIFS($I$1:I5993, $C$1:C5993, C5994, $B$1:B5993, {"MAL ALIMI","ÜRETİM GİRİŞ"})) - VLOOKUP(C5994, 'STOK RAPORU'!$C$2:$I$1000, 4, 0))), 0)</f>
        <v>0</v>
      </c>
      <c r="U5994" s="22">
        <f t="shared" si="372"/>
        <v>0</v>
      </c>
      <c r="V5994">
        <f t="shared" si="373"/>
        <v>0</v>
      </c>
      <c r="W5994" s="22">
        <f t="shared" si="374"/>
        <v>0</v>
      </c>
    </row>
    <row r="5995" spans="1:23" hidden="1" x14ac:dyDescent="0.25">
      <c r="A5995" s="3">
        <v>46116</v>
      </c>
      <c r="B5995" s="4" t="s">
        <v>334</v>
      </c>
      <c r="C5995" s="4" t="s">
        <v>131</v>
      </c>
      <c r="D5995" s="4"/>
      <c r="E5995" s="4" t="s">
        <v>921</v>
      </c>
      <c r="F5995" s="46" t="s">
        <v>2890</v>
      </c>
      <c r="G5995" s="4" t="s">
        <v>336</v>
      </c>
      <c r="H5995" s="4" t="s">
        <v>380</v>
      </c>
      <c r="I5995" s="4">
        <v>0.06</v>
      </c>
      <c r="J5995" s="21">
        <v>400</v>
      </c>
      <c r="K5995" s="21">
        <v>24</v>
      </c>
      <c r="L5995" s="5">
        <v>0</v>
      </c>
      <c r="M5995" s="4"/>
      <c r="N5995" s="4"/>
      <c r="O5995" s="5"/>
      <c r="P5995" s="5"/>
      <c r="Q5995" s="21">
        <v>0</v>
      </c>
      <c r="R5995" s="21">
        <v>0</v>
      </c>
      <c r="S5995" s="5">
        <f t="shared" si="375"/>
        <v>61764.239360692016</v>
      </c>
      <c r="T5995" cm="1">
        <f t="array" ref="T5995">IF(OR(B5995="MAL ALIMI", B5995="ÜRETİM GİRİŞ"), MIN(I5995, MAX(0, I5995 + SUM(SUMIFS($I$1:I5994, $C$1:C5994, C5995, $B$1:B5994, {"MAL ALIMI","ÜRETİM GİRİŞ"})) - VLOOKUP(C5995, 'STOK RAPORU'!$C$2:$I$1000, 4, 0))), 0)</f>
        <v>0</v>
      </c>
      <c r="U5995" s="22">
        <f t="shared" si="372"/>
        <v>0</v>
      </c>
      <c r="V5995">
        <f t="shared" si="373"/>
        <v>0</v>
      </c>
      <c r="W5995" s="22">
        <f t="shared" si="374"/>
        <v>0</v>
      </c>
    </row>
    <row r="5996" spans="1:23" hidden="1" x14ac:dyDescent="0.25">
      <c r="A5996" s="3">
        <v>46116</v>
      </c>
      <c r="B5996" s="4" t="s">
        <v>334</v>
      </c>
      <c r="C5996" s="4" t="s">
        <v>160</v>
      </c>
      <c r="D5996" s="4"/>
      <c r="E5996" s="4" t="s">
        <v>921</v>
      </c>
      <c r="F5996" s="46" t="s">
        <v>2890</v>
      </c>
      <c r="G5996" s="4" t="s">
        <v>336</v>
      </c>
      <c r="H5996" s="4" t="s">
        <v>380</v>
      </c>
      <c r="I5996" s="4">
        <v>1</v>
      </c>
      <c r="J5996" s="21">
        <v>250</v>
      </c>
      <c r="K5996" s="21">
        <v>250</v>
      </c>
      <c r="L5996" s="5">
        <v>0</v>
      </c>
      <c r="M5996" s="4"/>
      <c r="N5996" s="4"/>
      <c r="O5996" s="5"/>
      <c r="P5996" s="5"/>
      <c r="Q5996" s="21">
        <v>0</v>
      </c>
      <c r="R5996" s="21">
        <v>0</v>
      </c>
      <c r="S5996" s="5">
        <f t="shared" si="375"/>
        <v>61764.239360692016</v>
      </c>
      <c r="T5996" cm="1">
        <f t="array" ref="T5996">IF(OR(B5996="MAL ALIMI", B5996="ÜRETİM GİRİŞ"), MIN(I5996, MAX(0, I5996 + SUM(SUMIFS($I$1:I5995, $C$1:C5995, C5996, $B$1:B5995, {"MAL ALIMI","ÜRETİM GİRİŞ"})) - VLOOKUP(C5996, 'STOK RAPORU'!$C$2:$I$1000, 4, 0))), 0)</f>
        <v>0</v>
      </c>
      <c r="U5996" s="22">
        <f t="shared" si="372"/>
        <v>0</v>
      </c>
      <c r="V5996">
        <f t="shared" si="373"/>
        <v>0</v>
      </c>
      <c r="W5996" s="22">
        <f t="shared" si="374"/>
        <v>0</v>
      </c>
    </row>
    <row r="5997" spans="1:23" hidden="1" x14ac:dyDescent="0.25">
      <c r="A5997" s="3">
        <v>46116</v>
      </c>
      <c r="B5997" s="4" t="s">
        <v>334</v>
      </c>
      <c r="C5997" s="4" t="s">
        <v>2128</v>
      </c>
      <c r="D5997" s="4"/>
      <c r="E5997" s="4" t="s">
        <v>921</v>
      </c>
      <c r="F5997" s="46" t="s">
        <v>2891</v>
      </c>
      <c r="G5997" s="4" t="s">
        <v>336</v>
      </c>
      <c r="H5997" s="4" t="s">
        <v>380</v>
      </c>
      <c r="I5997" s="4">
        <v>0.58333333333333337</v>
      </c>
      <c r="J5997" s="21">
        <v>420</v>
      </c>
      <c r="K5997" s="21">
        <v>245.00000000000003</v>
      </c>
      <c r="L5997" s="5">
        <v>0</v>
      </c>
      <c r="M5997" s="4"/>
      <c r="N5997" s="4"/>
      <c r="O5997" s="5"/>
      <c r="P5997" s="5"/>
      <c r="Q5997" s="21">
        <v>0</v>
      </c>
      <c r="R5997" s="21">
        <v>0</v>
      </c>
      <c r="S5997" s="5">
        <f t="shared" si="375"/>
        <v>61764.239360692016</v>
      </c>
      <c r="T5997" cm="1">
        <f t="array" ref="T5997">IF(OR(B5997="MAL ALIMI", B5997="ÜRETİM GİRİŞ"), MIN(I5997, MAX(0, I5997 + SUM(SUMIFS($I$1:I5996, $C$1:C5996, C5997, $B$1:B5996, {"MAL ALIMI","ÜRETİM GİRİŞ"})) - VLOOKUP(C5997, 'STOK RAPORU'!$C$2:$I$1000, 4, 0))), 0)</f>
        <v>0</v>
      </c>
      <c r="U5997" s="22">
        <f t="shared" si="372"/>
        <v>0</v>
      </c>
      <c r="V5997">
        <f t="shared" si="373"/>
        <v>0</v>
      </c>
      <c r="W5997" s="22">
        <f t="shared" si="374"/>
        <v>0</v>
      </c>
    </row>
    <row r="5998" spans="1:23" hidden="1" x14ac:dyDescent="0.25">
      <c r="A5998" s="3">
        <v>46116</v>
      </c>
      <c r="B5998" s="4" t="s">
        <v>334</v>
      </c>
      <c r="C5998" s="4" t="s">
        <v>223</v>
      </c>
      <c r="D5998" s="4"/>
      <c r="E5998" s="4" t="s">
        <v>921</v>
      </c>
      <c r="F5998" s="46" t="s">
        <v>2891</v>
      </c>
      <c r="G5998" s="4" t="s">
        <v>336</v>
      </c>
      <c r="H5998" s="4" t="s">
        <v>380</v>
      </c>
      <c r="I5998" s="4">
        <v>0.50624999999999998</v>
      </c>
      <c r="J5998" s="21">
        <v>800</v>
      </c>
      <c r="K5998" s="21">
        <v>405</v>
      </c>
      <c r="L5998" s="5">
        <v>0</v>
      </c>
      <c r="M5998" s="4"/>
      <c r="N5998" s="4"/>
      <c r="O5998" s="5"/>
      <c r="P5998" s="5"/>
      <c r="Q5998" s="21">
        <v>0</v>
      </c>
      <c r="R5998" s="21">
        <v>0</v>
      </c>
      <c r="S5998" s="5">
        <f t="shared" si="375"/>
        <v>61764.239360692016</v>
      </c>
      <c r="T5998" cm="1">
        <f t="array" ref="T5998">IF(OR(B5998="MAL ALIMI", B5998="ÜRETİM GİRİŞ"), MIN(I5998, MAX(0, I5998 + SUM(SUMIFS($I$1:I5997, $C$1:C5997, C5998, $B$1:B5997, {"MAL ALIMI","ÜRETİM GİRİŞ"})) - VLOOKUP(C5998, 'STOK RAPORU'!$C$2:$I$1000, 4, 0))), 0)</f>
        <v>0</v>
      </c>
      <c r="U5998" s="22">
        <f t="shared" si="372"/>
        <v>0</v>
      </c>
      <c r="V5998">
        <f t="shared" si="373"/>
        <v>0</v>
      </c>
      <c r="W5998" s="22">
        <f t="shared" si="374"/>
        <v>0</v>
      </c>
    </row>
    <row r="5999" spans="1:23" hidden="1" x14ac:dyDescent="0.25">
      <c r="A5999" s="3">
        <v>46116</v>
      </c>
      <c r="B5999" s="4" t="s">
        <v>334</v>
      </c>
      <c r="C5999" s="4" t="s">
        <v>236</v>
      </c>
      <c r="D5999" s="4"/>
      <c r="E5999" s="4" t="s">
        <v>921</v>
      </c>
      <c r="F5999" s="46" t="s">
        <v>2891</v>
      </c>
      <c r="G5999" s="4" t="s">
        <v>336</v>
      </c>
      <c r="H5999" s="4" t="s">
        <v>380</v>
      </c>
      <c r="I5999" s="4">
        <v>0.14285714285714285</v>
      </c>
      <c r="J5999" s="21">
        <v>350</v>
      </c>
      <c r="K5999" s="21">
        <v>50</v>
      </c>
      <c r="L5999" s="5">
        <v>0</v>
      </c>
      <c r="M5999" s="4"/>
      <c r="N5999" s="4"/>
      <c r="O5999" s="5"/>
      <c r="P5999" s="5"/>
      <c r="Q5999" s="21">
        <v>0</v>
      </c>
      <c r="R5999" s="21">
        <v>0</v>
      </c>
      <c r="S5999" s="5">
        <f t="shared" si="375"/>
        <v>61764.239360692016</v>
      </c>
      <c r="T5999" cm="1">
        <f t="array" ref="T5999">IF(OR(B5999="MAL ALIMI", B5999="ÜRETİM GİRİŞ"), MIN(I5999, MAX(0, I5999 + SUM(SUMIFS($I$1:I5998, $C$1:C5998, C5999, $B$1:B5998, {"MAL ALIMI","ÜRETİM GİRİŞ"})) - VLOOKUP(C5999, 'STOK RAPORU'!$C$2:$I$1000, 4, 0))), 0)</f>
        <v>0</v>
      </c>
      <c r="U5999" s="22">
        <f t="shared" si="372"/>
        <v>0</v>
      </c>
      <c r="V5999">
        <f t="shared" si="373"/>
        <v>0</v>
      </c>
      <c r="W5999" s="22">
        <f t="shared" si="374"/>
        <v>0</v>
      </c>
    </row>
    <row r="6000" spans="1:23" hidden="1" x14ac:dyDescent="0.25">
      <c r="A6000" s="3">
        <v>46116</v>
      </c>
      <c r="B6000" s="4" t="s">
        <v>334</v>
      </c>
      <c r="C6000" s="4" t="s">
        <v>717</v>
      </c>
      <c r="D6000" s="4"/>
      <c r="E6000" s="4"/>
      <c r="F6000" s="46" t="s">
        <v>2892</v>
      </c>
      <c r="G6000" s="4" t="s">
        <v>336</v>
      </c>
      <c r="H6000" s="4" t="s">
        <v>289</v>
      </c>
      <c r="I6000" s="4">
        <v>1</v>
      </c>
      <c r="J6000" s="21">
        <v>400</v>
      </c>
      <c r="K6000" s="21">
        <v>0</v>
      </c>
      <c r="L6000" s="5">
        <v>0</v>
      </c>
      <c r="M6000" s="4"/>
      <c r="N6000" s="4"/>
      <c r="O6000" s="5"/>
      <c r="P6000" s="5"/>
      <c r="Q6000" s="21">
        <v>400</v>
      </c>
      <c r="R6000" s="21">
        <v>0</v>
      </c>
      <c r="S6000" s="5">
        <f t="shared" si="375"/>
        <v>62164.239360692016</v>
      </c>
      <c r="T6000" cm="1">
        <f t="array" ref="T6000">IF(OR(B6000="MAL ALIMI", B6000="ÜRETİM GİRİŞ"), MIN(I6000, MAX(0, I6000 + SUM(SUMIFS($I$1:I5999, $C$1:C5999, C6000, $B$1:B5999, {"MAL ALIMI","ÜRETİM GİRİŞ"})) - VLOOKUP(C6000, 'STOK RAPORU'!$C$2:$I$1000, 4, 0))), 0)</f>
        <v>0</v>
      </c>
      <c r="U6000" s="22">
        <f t="shared" si="372"/>
        <v>0</v>
      </c>
      <c r="V6000">
        <f t="shared" si="373"/>
        <v>0</v>
      </c>
      <c r="W6000" s="22">
        <f t="shared" si="374"/>
        <v>0</v>
      </c>
    </row>
    <row r="6001" spans="1:23" hidden="1" x14ac:dyDescent="0.25">
      <c r="A6001" s="3">
        <v>46116</v>
      </c>
      <c r="B6001" s="4" t="s">
        <v>334</v>
      </c>
      <c r="C6001" s="4" t="s">
        <v>60</v>
      </c>
      <c r="D6001" s="4"/>
      <c r="E6001" s="4"/>
      <c r="F6001" s="46" t="s">
        <v>2892</v>
      </c>
      <c r="G6001" s="4" t="s">
        <v>336</v>
      </c>
      <c r="H6001" s="4" t="s">
        <v>289</v>
      </c>
      <c r="I6001" s="4">
        <v>0.05</v>
      </c>
      <c r="J6001" s="21">
        <v>1200</v>
      </c>
      <c r="K6001" s="21">
        <v>0</v>
      </c>
      <c r="L6001" s="5">
        <v>0</v>
      </c>
      <c r="M6001" s="4"/>
      <c r="N6001" s="4"/>
      <c r="O6001" s="5"/>
      <c r="P6001" s="5"/>
      <c r="Q6001" s="21">
        <v>60</v>
      </c>
      <c r="R6001" s="21">
        <v>0</v>
      </c>
      <c r="S6001" s="5">
        <f t="shared" si="375"/>
        <v>62224.239360692016</v>
      </c>
      <c r="T6001" cm="1">
        <f t="array" ref="T6001">IF(OR(B6001="MAL ALIMI", B6001="ÜRETİM GİRİŞ"), MIN(I6001, MAX(0, I6001 + SUM(SUMIFS($I$1:I6000, $C$1:C6000, C6001, $B$1:B6000, {"MAL ALIMI","ÜRETİM GİRİŞ"})) - VLOOKUP(C6001, 'STOK RAPORU'!$C$2:$I$1000, 4, 0))), 0)</f>
        <v>0</v>
      </c>
      <c r="U6001" s="22">
        <f t="shared" si="372"/>
        <v>0</v>
      </c>
      <c r="V6001">
        <f t="shared" si="373"/>
        <v>0</v>
      </c>
      <c r="W6001" s="22">
        <f t="shared" si="374"/>
        <v>0</v>
      </c>
    </row>
    <row r="6002" spans="1:23" hidden="1" x14ac:dyDescent="0.25">
      <c r="A6002" s="3">
        <v>46116</v>
      </c>
      <c r="B6002" s="4" t="s">
        <v>334</v>
      </c>
      <c r="C6002" s="4" t="s">
        <v>2606</v>
      </c>
      <c r="D6002" s="4"/>
      <c r="E6002" s="4"/>
      <c r="F6002" s="46" t="s">
        <v>2892</v>
      </c>
      <c r="G6002" s="4" t="s">
        <v>336</v>
      </c>
      <c r="H6002" s="4" t="s">
        <v>289</v>
      </c>
      <c r="I6002" s="4">
        <v>0.24</v>
      </c>
      <c r="J6002" s="21">
        <v>250</v>
      </c>
      <c r="K6002" s="21">
        <v>0</v>
      </c>
      <c r="L6002" s="5">
        <v>0</v>
      </c>
      <c r="M6002" s="4"/>
      <c r="N6002" s="4"/>
      <c r="O6002" s="5"/>
      <c r="P6002" s="5"/>
      <c r="Q6002" s="21">
        <v>60</v>
      </c>
      <c r="R6002" s="21">
        <v>0</v>
      </c>
      <c r="S6002" s="5">
        <f t="shared" si="375"/>
        <v>62284.239360692016</v>
      </c>
      <c r="T6002" cm="1">
        <f t="array" ref="T6002">IF(OR(B6002="MAL ALIMI", B6002="ÜRETİM GİRİŞ"), MIN(I6002, MAX(0, I6002 + SUM(SUMIFS($I$1:I6001, $C$1:C6001, C6002, $B$1:B6001, {"MAL ALIMI","ÜRETİM GİRİŞ"})) - VLOOKUP(C6002, 'STOK RAPORU'!$C$2:$I$1000, 4, 0))), 0)</f>
        <v>0</v>
      </c>
      <c r="U6002" s="22">
        <f t="shared" ref="U6002:U6065" si="376">T6002*J6002</f>
        <v>0</v>
      </c>
      <c r="V6002">
        <f t="shared" ref="V6002:V6065" si="377">IF(OR(B6002="MAL ALIMI", B6002="ÜRETİM GİRİŞ"), I6002 * J6002, 0)</f>
        <v>0</v>
      </c>
      <c r="W6002" s="22">
        <f t="shared" ref="W6002:W6065" si="378">V6002-U6002</f>
        <v>0</v>
      </c>
    </row>
    <row r="6003" spans="1:23" hidden="1" x14ac:dyDescent="0.25">
      <c r="A6003" s="3">
        <v>46116</v>
      </c>
      <c r="B6003" s="4" t="s">
        <v>334</v>
      </c>
      <c r="C6003" s="4" t="s">
        <v>1634</v>
      </c>
      <c r="D6003" s="4"/>
      <c r="E6003" s="4"/>
      <c r="F6003" s="46" t="s">
        <v>2893</v>
      </c>
      <c r="G6003" s="4" t="s">
        <v>336</v>
      </c>
      <c r="H6003" s="4" t="s">
        <v>289</v>
      </c>
      <c r="I6003" s="4">
        <v>0.74285714285714288</v>
      </c>
      <c r="J6003" s="21">
        <v>350</v>
      </c>
      <c r="K6003" s="21">
        <v>0</v>
      </c>
      <c r="L6003" s="5">
        <v>0</v>
      </c>
      <c r="M6003" s="4"/>
      <c r="N6003" s="4"/>
      <c r="O6003" s="5"/>
      <c r="P6003" s="5"/>
      <c r="Q6003" s="21">
        <v>260</v>
      </c>
      <c r="R6003" s="21">
        <v>0</v>
      </c>
      <c r="S6003" s="5">
        <f t="shared" si="375"/>
        <v>62544.239360692016</v>
      </c>
      <c r="T6003" cm="1">
        <f t="array" ref="T6003">IF(OR(B6003="MAL ALIMI", B6003="ÜRETİM GİRİŞ"), MIN(I6003, MAX(0, I6003 + SUM(SUMIFS($I$1:I6002, $C$1:C6002, C6003, $B$1:B6002, {"MAL ALIMI","ÜRETİM GİRİŞ"})) - VLOOKUP(C6003, 'STOK RAPORU'!$C$2:$I$1000, 4, 0))), 0)</f>
        <v>0</v>
      </c>
      <c r="U6003" s="22">
        <f t="shared" si="376"/>
        <v>0</v>
      </c>
      <c r="V6003">
        <f t="shared" si="377"/>
        <v>0</v>
      </c>
      <c r="W6003" s="22">
        <f t="shared" si="378"/>
        <v>0</v>
      </c>
    </row>
    <row r="6004" spans="1:23" hidden="1" x14ac:dyDescent="0.25">
      <c r="A6004" s="41">
        <v>46116</v>
      </c>
      <c r="B6004" s="42" t="s">
        <v>334</v>
      </c>
      <c r="C6004" s="42" t="s">
        <v>529</v>
      </c>
      <c r="D6004" s="42"/>
      <c r="E6004" s="42"/>
      <c r="F6004" s="42" t="s">
        <v>2894</v>
      </c>
      <c r="G6004" s="42" t="s">
        <v>1911</v>
      </c>
      <c r="H6004" s="42" t="s">
        <v>289</v>
      </c>
      <c r="I6004" s="42">
        <v>0.23</v>
      </c>
      <c r="J6004" s="43">
        <v>600</v>
      </c>
      <c r="K6004" s="43">
        <v>0</v>
      </c>
      <c r="L6004" s="44">
        <v>0</v>
      </c>
      <c r="M6004" s="42"/>
      <c r="N6004" s="42"/>
      <c r="O6004" s="44"/>
      <c r="P6004" s="44"/>
      <c r="Q6004" s="43">
        <v>138</v>
      </c>
      <c r="R6004" s="43">
        <v>0</v>
      </c>
      <c r="S6004" s="5">
        <f t="shared" si="375"/>
        <v>62682.239360692016</v>
      </c>
      <c r="T6004" cm="1">
        <f t="array" ref="T6004">IF(OR(B6004="MAL ALIMI", B6004="ÜRETİM GİRİŞ"), MIN(I6004, MAX(0, I6004 + SUM(SUMIFS($I$1:I6003, $C$1:C6003, C6004, $B$1:B6003, {"MAL ALIMI","ÜRETİM GİRİŞ"})) - VLOOKUP(C6004, 'STOK RAPORU'!$C$2:$I$1000, 4, 0))), 0)</f>
        <v>0</v>
      </c>
      <c r="U6004" s="22">
        <f t="shared" si="376"/>
        <v>0</v>
      </c>
      <c r="V6004">
        <f t="shared" si="377"/>
        <v>0</v>
      </c>
      <c r="W6004" s="22">
        <f t="shared" si="378"/>
        <v>0</v>
      </c>
    </row>
    <row r="6005" spans="1:23" hidden="1" x14ac:dyDescent="0.25">
      <c r="A6005" s="41">
        <v>46116</v>
      </c>
      <c r="B6005" s="42" t="s">
        <v>334</v>
      </c>
      <c r="C6005" s="42" t="s">
        <v>179</v>
      </c>
      <c r="D6005" s="42"/>
      <c r="E6005" s="42"/>
      <c r="F6005" s="42" t="s">
        <v>2894</v>
      </c>
      <c r="G6005" s="42" t="s">
        <v>1911</v>
      </c>
      <c r="H6005" s="42" t="s">
        <v>289</v>
      </c>
      <c r="I6005" s="42">
        <v>1</v>
      </c>
      <c r="J6005" s="43">
        <v>160</v>
      </c>
      <c r="K6005" s="43">
        <v>0</v>
      </c>
      <c r="L6005" s="44">
        <v>0</v>
      </c>
      <c r="M6005" s="42"/>
      <c r="N6005" s="42"/>
      <c r="O6005" s="44"/>
      <c r="P6005" s="44"/>
      <c r="Q6005" s="43">
        <v>160</v>
      </c>
      <c r="R6005" s="43">
        <v>0</v>
      </c>
      <c r="S6005" s="5">
        <f t="shared" si="375"/>
        <v>62842.239360692016</v>
      </c>
      <c r="T6005" cm="1">
        <f t="array" ref="T6005">IF(OR(B6005="MAL ALIMI", B6005="ÜRETİM GİRİŞ"), MIN(I6005, MAX(0, I6005 + SUM(SUMIFS($I$1:I6004, $C$1:C6004, C6005, $B$1:B6004, {"MAL ALIMI","ÜRETİM GİRİŞ"})) - VLOOKUP(C6005, 'STOK RAPORU'!$C$2:$I$1000, 4, 0))), 0)</f>
        <v>0</v>
      </c>
      <c r="U6005" s="22">
        <f t="shared" si="376"/>
        <v>0</v>
      </c>
      <c r="V6005">
        <f t="shared" si="377"/>
        <v>0</v>
      </c>
      <c r="W6005" s="22">
        <f t="shared" si="378"/>
        <v>0</v>
      </c>
    </row>
    <row r="6006" spans="1:23" hidden="1" x14ac:dyDescent="0.25">
      <c r="A6006" s="41">
        <v>46116</v>
      </c>
      <c r="B6006" s="42" t="s">
        <v>334</v>
      </c>
      <c r="C6006" s="42" t="s">
        <v>1326</v>
      </c>
      <c r="D6006" s="42"/>
      <c r="E6006" s="42"/>
      <c r="F6006" s="42" t="s">
        <v>2894</v>
      </c>
      <c r="G6006" s="42" t="s">
        <v>1911</v>
      </c>
      <c r="H6006" s="42" t="s">
        <v>289</v>
      </c>
      <c r="I6006" s="42">
        <v>1</v>
      </c>
      <c r="J6006" s="43">
        <v>135</v>
      </c>
      <c r="K6006" s="43">
        <v>0</v>
      </c>
      <c r="L6006" s="44">
        <v>0</v>
      </c>
      <c r="M6006" s="42"/>
      <c r="N6006" s="42"/>
      <c r="O6006" s="44"/>
      <c r="P6006" s="44"/>
      <c r="Q6006" s="43">
        <v>135</v>
      </c>
      <c r="R6006" s="43">
        <v>0</v>
      </c>
      <c r="S6006" s="5">
        <f t="shared" si="375"/>
        <v>62977.239360692016</v>
      </c>
      <c r="T6006" cm="1">
        <f t="array" ref="T6006">IF(OR(B6006="MAL ALIMI", B6006="ÜRETİM GİRİŞ"), MIN(I6006, MAX(0, I6006 + SUM(SUMIFS($I$1:I6005, $C$1:C6005, C6006, $B$1:B6005, {"MAL ALIMI","ÜRETİM GİRİŞ"})) - VLOOKUP(C6006, 'STOK RAPORU'!$C$2:$I$1000, 4, 0))), 0)</f>
        <v>0</v>
      </c>
      <c r="U6006" s="22">
        <f t="shared" si="376"/>
        <v>0</v>
      </c>
      <c r="V6006">
        <f t="shared" si="377"/>
        <v>0</v>
      </c>
      <c r="W6006" s="22">
        <f t="shared" si="378"/>
        <v>0</v>
      </c>
    </row>
    <row r="6007" spans="1:23" hidden="1" x14ac:dyDescent="0.25">
      <c r="A6007" s="41">
        <v>46116</v>
      </c>
      <c r="B6007" s="42" t="s">
        <v>334</v>
      </c>
      <c r="C6007" s="42" t="s">
        <v>91</v>
      </c>
      <c r="D6007" s="42"/>
      <c r="E6007" s="42"/>
      <c r="F6007" s="42" t="s">
        <v>2894</v>
      </c>
      <c r="G6007" s="42" t="s">
        <v>1911</v>
      </c>
      <c r="H6007" s="42" t="s">
        <v>289</v>
      </c>
      <c r="I6007" s="42">
        <v>0.04</v>
      </c>
      <c r="J6007" s="43">
        <v>850</v>
      </c>
      <c r="K6007" s="43">
        <v>0</v>
      </c>
      <c r="L6007" s="44">
        <v>0</v>
      </c>
      <c r="M6007" s="42"/>
      <c r="N6007" s="42"/>
      <c r="O6007" s="44"/>
      <c r="P6007" s="44"/>
      <c r="Q6007" s="43">
        <v>34</v>
      </c>
      <c r="R6007" s="43">
        <v>0</v>
      </c>
      <c r="S6007" s="5">
        <f t="shared" si="375"/>
        <v>63011.239360692016</v>
      </c>
      <c r="T6007" cm="1">
        <f t="array" ref="T6007">IF(OR(B6007="MAL ALIMI", B6007="ÜRETİM GİRİŞ"), MIN(I6007, MAX(0, I6007 + SUM(SUMIFS($I$1:I6006, $C$1:C6006, C6007, $B$1:B6006, {"MAL ALIMI","ÜRETİM GİRİŞ"})) - VLOOKUP(C6007, 'STOK RAPORU'!$C$2:$I$1000, 4, 0))), 0)</f>
        <v>0</v>
      </c>
      <c r="U6007" s="22">
        <f t="shared" si="376"/>
        <v>0</v>
      </c>
      <c r="V6007">
        <f t="shared" si="377"/>
        <v>0</v>
      </c>
      <c r="W6007" s="22">
        <f t="shared" si="378"/>
        <v>0</v>
      </c>
    </row>
    <row r="6008" spans="1:23" hidden="1" x14ac:dyDescent="0.25">
      <c r="A6008" s="41">
        <v>46116</v>
      </c>
      <c r="B6008" s="42" t="s">
        <v>334</v>
      </c>
      <c r="C6008" s="42" t="s">
        <v>247</v>
      </c>
      <c r="D6008" s="42"/>
      <c r="E6008" s="42"/>
      <c r="F6008" s="42" t="s">
        <v>2894</v>
      </c>
      <c r="G6008" s="42" t="s">
        <v>1911</v>
      </c>
      <c r="H6008" s="42" t="s">
        <v>289</v>
      </c>
      <c r="I6008" s="42">
        <v>0.25</v>
      </c>
      <c r="J6008" s="43">
        <v>1200</v>
      </c>
      <c r="K6008" s="43">
        <v>0</v>
      </c>
      <c r="L6008" s="44">
        <v>0</v>
      </c>
      <c r="M6008" s="42"/>
      <c r="N6008" s="42"/>
      <c r="O6008" s="44"/>
      <c r="P6008" s="44"/>
      <c r="Q6008" s="43">
        <v>300</v>
      </c>
      <c r="R6008" s="43">
        <v>0</v>
      </c>
      <c r="S6008" s="5">
        <f t="shared" si="375"/>
        <v>63311.239360692016</v>
      </c>
      <c r="T6008" cm="1">
        <f t="array" ref="T6008">IF(OR(B6008="MAL ALIMI", B6008="ÜRETİM GİRİŞ"), MIN(I6008, MAX(0, I6008 + SUM(SUMIFS($I$1:I6007, $C$1:C6007, C6008, $B$1:B6007, {"MAL ALIMI","ÜRETİM GİRİŞ"})) - VLOOKUP(C6008, 'STOK RAPORU'!$C$2:$I$1000, 4, 0))), 0)</f>
        <v>0</v>
      </c>
      <c r="U6008" s="22">
        <f t="shared" si="376"/>
        <v>0</v>
      </c>
      <c r="V6008">
        <f t="shared" si="377"/>
        <v>0</v>
      </c>
      <c r="W6008" s="22">
        <f t="shared" si="378"/>
        <v>0</v>
      </c>
    </row>
    <row r="6009" spans="1:23" hidden="1" x14ac:dyDescent="0.25">
      <c r="A6009" s="41">
        <v>46116</v>
      </c>
      <c r="B6009" s="42" t="s">
        <v>334</v>
      </c>
      <c r="C6009" s="42" t="s">
        <v>194</v>
      </c>
      <c r="D6009" s="42"/>
      <c r="E6009" s="42"/>
      <c r="F6009" s="42" t="s">
        <v>2894</v>
      </c>
      <c r="G6009" s="42" t="s">
        <v>1911</v>
      </c>
      <c r="H6009" s="42" t="s">
        <v>289</v>
      </c>
      <c r="I6009" s="42">
        <v>0.246</v>
      </c>
      <c r="J6009" s="43">
        <v>750</v>
      </c>
      <c r="K6009" s="43">
        <v>0</v>
      </c>
      <c r="L6009" s="44">
        <v>0</v>
      </c>
      <c r="M6009" s="42"/>
      <c r="N6009" s="42"/>
      <c r="O6009" s="44"/>
      <c r="P6009" s="44"/>
      <c r="Q6009" s="43">
        <v>184.5</v>
      </c>
      <c r="R6009" s="43">
        <v>0</v>
      </c>
      <c r="S6009" s="5">
        <f t="shared" si="375"/>
        <v>63495.739360692016</v>
      </c>
      <c r="T6009" cm="1">
        <f t="array" ref="T6009">IF(OR(B6009="MAL ALIMI", B6009="ÜRETİM GİRİŞ"), MIN(I6009, MAX(0, I6009 + SUM(SUMIFS($I$1:I6008, $C$1:C6008, C6009, $B$1:B6008, {"MAL ALIMI","ÜRETİM GİRİŞ"})) - VLOOKUP(C6009, 'STOK RAPORU'!$C$2:$I$1000, 4, 0))), 0)</f>
        <v>0</v>
      </c>
      <c r="U6009" s="22">
        <f t="shared" si="376"/>
        <v>0</v>
      </c>
      <c r="V6009">
        <f t="shared" si="377"/>
        <v>0</v>
      </c>
      <c r="W6009" s="22">
        <f t="shared" si="378"/>
        <v>0</v>
      </c>
    </row>
    <row r="6010" spans="1:23" hidden="1" x14ac:dyDescent="0.25">
      <c r="A6010" s="45">
        <v>46117</v>
      </c>
      <c r="B6010" s="46" t="s">
        <v>334</v>
      </c>
      <c r="C6010" s="4" t="s">
        <v>2117</v>
      </c>
      <c r="D6010" s="4"/>
      <c r="E6010" s="4"/>
      <c r="F6010" s="46" t="s">
        <v>2895</v>
      </c>
      <c r="G6010" s="4" t="s">
        <v>336</v>
      </c>
      <c r="H6010" s="4" t="s">
        <v>289</v>
      </c>
      <c r="I6010" s="4">
        <v>1</v>
      </c>
      <c r="J6010" s="21">
        <v>20</v>
      </c>
      <c r="K6010" s="21">
        <v>0</v>
      </c>
      <c r="L6010" s="5">
        <v>0</v>
      </c>
      <c r="M6010" s="4"/>
      <c r="N6010" s="4"/>
      <c r="O6010" s="5"/>
      <c r="P6010" s="5"/>
      <c r="Q6010" s="21">
        <v>20</v>
      </c>
      <c r="R6010" s="21">
        <v>0</v>
      </c>
      <c r="S6010" s="5">
        <f t="shared" si="375"/>
        <v>63515.739360692016</v>
      </c>
      <c r="T6010" cm="1">
        <f t="array" ref="T6010">IF(OR(B6010="MAL ALIMI", B6010="ÜRETİM GİRİŞ"), MIN(I6010, MAX(0, I6010 + SUM(SUMIFS($I$1:I6009, $C$1:C6009, C6010, $B$1:B6009, {"MAL ALIMI","ÜRETİM GİRİŞ"})) - VLOOKUP(C6010, 'STOK RAPORU'!$C$2:$I$1000, 4, 0))), 0)</f>
        <v>0</v>
      </c>
      <c r="U6010" s="22">
        <f t="shared" si="376"/>
        <v>0</v>
      </c>
      <c r="V6010">
        <f t="shared" si="377"/>
        <v>0</v>
      </c>
      <c r="W6010" s="22">
        <f t="shared" si="378"/>
        <v>0</v>
      </c>
    </row>
    <row r="6011" spans="1:23" hidden="1" x14ac:dyDescent="0.25">
      <c r="A6011" s="45">
        <v>46117</v>
      </c>
      <c r="B6011" s="46" t="s">
        <v>334</v>
      </c>
      <c r="C6011" s="4" t="s">
        <v>1634</v>
      </c>
      <c r="D6011" s="4"/>
      <c r="E6011" s="4" t="s">
        <v>921</v>
      </c>
      <c r="F6011" s="46" t="s">
        <v>2896</v>
      </c>
      <c r="G6011" s="4" t="s">
        <v>336</v>
      </c>
      <c r="H6011" s="4" t="s">
        <v>380</v>
      </c>
      <c r="I6011" s="4">
        <v>0.5</v>
      </c>
      <c r="J6011" s="21">
        <v>350</v>
      </c>
      <c r="K6011" s="21">
        <v>175</v>
      </c>
      <c r="L6011" s="5">
        <v>0</v>
      </c>
      <c r="M6011" s="4"/>
      <c r="N6011" s="4"/>
      <c r="O6011" s="5"/>
      <c r="P6011" s="5"/>
      <c r="Q6011" s="21">
        <v>0</v>
      </c>
      <c r="R6011" s="21">
        <v>0</v>
      </c>
      <c r="S6011" s="5">
        <f t="shared" si="375"/>
        <v>63515.739360692016</v>
      </c>
      <c r="T6011" cm="1">
        <f t="array" ref="T6011">IF(OR(B6011="MAL ALIMI", B6011="ÜRETİM GİRİŞ"), MIN(I6011, MAX(0, I6011 + SUM(SUMIFS($I$1:I6010, $C$1:C6010, C6011, $B$1:B6010, {"MAL ALIMI","ÜRETİM GİRİŞ"})) - VLOOKUP(C6011, 'STOK RAPORU'!$C$2:$I$1000, 4, 0))), 0)</f>
        <v>0</v>
      </c>
      <c r="U6011" s="22">
        <f t="shared" si="376"/>
        <v>0</v>
      </c>
      <c r="V6011">
        <f t="shared" si="377"/>
        <v>0</v>
      </c>
      <c r="W6011" s="22">
        <f t="shared" si="378"/>
        <v>0</v>
      </c>
    </row>
    <row r="6012" spans="1:23" hidden="1" x14ac:dyDescent="0.25">
      <c r="A6012" s="45">
        <v>46117</v>
      </c>
      <c r="B6012" s="46" t="s">
        <v>334</v>
      </c>
      <c r="C6012" s="4" t="s">
        <v>189</v>
      </c>
      <c r="D6012" s="4"/>
      <c r="E6012" s="4" t="s">
        <v>921</v>
      </c>
      <c r="F6012" s="46" t="s">
        <v>2897</v>
      </c>
      <c r="G6012" s="4" t="s">
        <v>336</v>
      </c>
      <c r="H6012" s="4" t="s">
        <v>380</v>
      </c>
      <c r="I6012" s="4">
        <v>4.0540540540540543E-2</v>
      </c>
      <c r="J6012" s="21">
        <v>740</v>
      </c>
      <c r="K6012" s="21">
        <v>30</v>
      </c>
      <c r="L6012" s="5">
        <v>0</v>
      </c>
      <c r="M6012" s="4"/>
      <c r="N6012" s="4"/>
      <c r="O6012" s="5"/>
      <c r="P6012" s="5"/>
      <c r="Q6012" s="21">
        <v>0</v>
      </c>
      <c r="R6012" s="21">
        <v>0</v>
      </c>
      <c r="S6012" s="5">
        <f t="shared" si="375"/>
        <v>63515.739360692016</v>
      </c>
      <c r="T6012" cm="1">
        <f t="array" ref="T6012">IF(OR(B6012="MAL ALIMI", B6012="ÜRETİM GİRİŞ"), MIN(I6012, MAX(0, I6012 + SUM(SUMIFS($I$1:I6011, $C$1:C6011, C6012, $B$1:B6011, {"MAL ALIMI","ÜRETİM GİRİŞ"})) - VLOOKUP(C6012, 'STOK RAPORU'!$C$2:$I$1000, 4, 0))), 0)</f>
        <v>0</v>
      </c>
      <c r="U6012" s="22">
        <f t="shared" si="376"/>
        <v>0</v>
      </c>
      <c r="V6012">
        <f t="shared" si="377"/>
        <v>0</v>
      </c>
      <c r="W6012" s="22">
        <f t="shared" si="378"/>
        <v>0</v>
      </c>
    </row>
    <row r="6013" spans="1:23" hidden="1" x14ac:dyDescent="0.25">
      <c r="A6013" s="45">
        <v>46117</v>
      </c>
      <c r="B6013" s="46" t="s">
        <v>334</v>
      </c>
      <c r="C6013" s="4" t="s">
        <v>157</v>
      </c>
      <c r="D6013" s="4"/>
      <c r="E6013" s="4" t="s">
        <v>921</v>
      </c>
      <c r="F6013" s="46" t="s">
        <v>2898</v>
      </c>
      <c r="G6013" s="4" t="s">
        <v>336</v>
      </c>
      <c r="H6013" s="4" t="s">
        <v>380</v>
      </c>
      <c r="I6013" s="4">
        <v>0.5</v>
      </c>
      <c r="J6013" s="21">
        <v>200</v>
      </c>
      <c r="K6013" s="21">
        <v>100</v>
      </c>
      <c r="L6013" s="5">
        <v>0</v>
      </c>
      <c r="M6013" s="4"/>
      <c r="N6013" s="4"/>
      <c r="O6013" s="5"/>
      <c r="P6013" s="5"/>
      <c r="Q6013" s="21">
        <v>0</v>
      </c>
      <c r="R6013" s="21">
        <v>0</v>
      </c>
      <c r="S6013" s="5">
        <f t="shared" si="375"/>
        <v>63515.739360692016</v>
      </c>
      <c r="T6013" cm="1">
        <f t="array" ref="T6013">IF(OR(B6013="MAL ALIMI", B6013="ÜRETİM GİRİŞ"), MIN(I6013, MAX(0, I6013 + SUM(SUMIFS($I$1:I6012, $C$1:C6012, C6013, $B$1:B6012, {"MAL ALIMI","ÜRETİM GİRİŞ"})) - VLOOKUP(C6013, 'STOK RAPORU'!$C$2:$I$1000, 4, 0))), 0)</f>
        <v>0</v>
      </c>
      <c r="U6013" s="22">
        <f t="shared" si="376"/>
        <v>0</v>
      </c>
      <c r="V6013">
        <f t="shared" si="377"/>
        <v>0</v>
      </c>
      <c r="W6013" s="22">
        <f t="shared" si="378"/>
        <v>0</v>
      </c>
    </row>
    <row r="6014" spans="1:23" hidden="1" x14ac:dyDescent="0.25">
      <c r="A6014" s="45">
        <v>46117</v>
      </c>
      <c r="B6014" s="46" t="s">
        <v>334</v>
      </c>
      <c r="C6014" s="4" t="s">
        <v>158</v>
      </c>
      <c r="D6014" s="4"/>
      <c r="E6014" s="4" t="s">
        <v>921</v>
      </c>
      <c r="F6014" s="46" t="s">
        <v>2898</v>
      </c>
      <c r="G6014" s="4" t="s">
        <v>336</v>
      </c>
      <c r="H6014" s="4" t="s">
        <v>380</v>
      </c>
      <c r="I6014" s="4">
        <v>1</v>
      </c>
      <c r="J6014" s="21">
        <v>150</v>
      </c>
      <c r="K6014" s="21">
        <v>150</v>
      </c>
      <c r="L6014" s="5">
        <v>0</v>
      </c>
      <c r="M6014" s="4"/>
      <c r="N6014" s="4"/>
      <c r="O6014" s="5"/>
      <c r="P6014" s="5"/>
      <c r="Q6014" s="21">
        <v>0</v>
      </c>
      <c r="R6014" s="21">
        <v>0</v>
      </c>
      <c r="S6014" s="5">
        <f t="shared" si="375"/>
        <v>63515.739360692016</v>
      </c>
      <c r="T6014" cm="1">
        <f t="array" ref="T6014">IF(OR(B6014="MAL ALIMI", B6014="ÜRETİM GİRİŞ"), MIN(I6014, MAX(0, I6014 + SUM(SUMIFS($I$1:I6013, $C$1:C6013, C6014, $B$1:B6013, {"MAL ALIMI","ÜRETİM GİRİŞ"})) - VLOOKUP(C6014, 'STOK RAPORU'!$C$2:$I$1000, 4, 0))), 0)</f>
        <v>0</v>
      </c>
      <c r="U6014" s="22">
        <f t="shared" si="376"/>
        <v>0</v>
      </c>
      <c r="V6014">
        <f t="shared" si="377"/>
        <v>0</v>
      </c>
      <c r="W6014" s="22">
        <f t="shared" si="378"/>
        <v>0</v>
      </c>
    </row>
    <row r="6015" spans="1:23" hidden="1" x14ac:dyDescent="0.25">
      <c r="A6015" s="45">
        <v>46117</v>
      </c>
      <c r="B6015" s="46" t="s">
        <v>334</v>
      </c>
      <c r="C6015" s="4" t="s">
        <v>1364</v>
      </c>
      <c r="D6015" s="4"/>
      <c r="E6015" s="4" t="s">
        <v>921</v>
      </c>
      <c r="F6015" s="46" t="s">
        <v>2899</v>
      </c>
      <c r="G6015" s="4" t="s">
        <v>336</v>
      </c>
      <c r="H6015" s="4" t="s">
        <v>380</v>
      </c>
      <c r="I6015" s="4">
        <v>1</v>
      </c>
      <c r="J6015" s="21">
        <v>140</v>
      </c>
      <c r="K6015" s="21">
        <v>140</v>
      </c>
      <c r="L6015" s="5">
        <v>0</v>
      </c>
      <c r="M6015" s="4"/>
      <c r="N6015" s="4"/>
      <c r="O6015" s="5"/>
      <c r="P6015" s="5"/>
      <c r="Q6015" s="21">
        <v>0</v>
      </c>
      <c r="R6015" s="21">
        <v>0</v>
      </c>
      <c r="S6015" s="5">
        <f t="shared" si="375"/>
        <v>63515.739360692016</v>
      </c>
      <c r="T6015" cm="1">
        <f t="array" ref="T6015">IF(OR(B6015="MAL ALIMI", B6015="ÜRETİM GİRİŞ"), MIN(I6015, MAX(0, I6015 + SUM(SUMIFS($I$1:I6014, $C$1:C6014, C6015, $B$1:B6014, {"MAL ALIMI","ÜRETİM GİRİŞ"})) - VLOOKUP(C6015, 'STOK RAPORU'!$C$2:$I$1000, 4, 0))), 0)</f>
        <v>0</v>
      </c>
      <c r="U6015" s="22">
        <f t="shared" si="376"/>
        <v>0</v>
      </c>
      <c r="V6015">
        <f t="shared" si="377"/>
        <v>0</v>
      </c>
      <c r="W6015" s="22">
        <f t="shared" si="378"/>
        <v>0</v>
      </c>
    </row>
    <row r="6016" spans="1:23" hidden="1" x14ac:dyDescent="0.25">
      <c r="A6016" s="45">
        <v>46117</v>
      </c>
      <c r="B6016" s="46" t="s">
        <v>334</v>
      </c>
      <c r="C6016" s="4" t="s">
        <v>156</v>
      </c>
      <c r="D6016" s="4"/>
      <c r="E6016" s="4" t="s">
        <v>921</v>
      </c>
      <c r="F6016" s="46" t="s">
        <v>2899</v>
      </c>
      <c r="G6016" s="4" t="s">
        <v>336</v>
      </c>
      <c r="H6016" s="4" t="s">
        <v>380</v>
      </c>
      <c r="I6016" s="4">
        <v>1</v>
      </c>
      <c r="J6016" s="21">
        <v>200</v>
      </c>
      <c r="K6016" s="21">
        <v>200</v>
      </c>
      <c r="L6016" s="5">
        <v>0</v>
      </c>
      <c r="M6016" s="4"/>
      <c r="N6016" s="4"/>
      <c r="O6016" s="5"/>
      <c r="P6016" s="5"/>
      <c r="Q6016" s="21">
        <v>0</v>
      </c>
      <c r="R6016" s="21">
        <v>0</v>
      </c>
      <c r="S6016" s="5">
        <f t="shared" si="375"/>
        <v>63515.739360692016</v>
      </c>
      <c r="T6016" cm="1">
        <f t="array" ref="T6016">IF(OR(B6016="MAL ALIMI", B6016="ÜRETİM GİRİŞ"), MIN(I6016, MAX(0, I6016 + SUM(SUMIFS($I$1:I6015, $C$1:C6015, C6016, $B$1:B6015, {"MAL ALIMI","ÜRETİM GİRİŞ"})) - VLOOKUP(C6016, 'STOK RAPORU'!$C$2:$I$1000, 4, 0))), 0)</f>
        <v>0</v>
      </c>
      <c r="U6016" s="22">
        <f t="shared" si="376"/>
        <v>0</v>
      </c>
      <c r="V6016">
        <f t="shared" si="377"/>
        <v>0</v>
      </c>
      <c r="W6016" s="22">
        <f t="shared" si="378"/>
        <v>0</v>
      </c>
    </row>
    <row r="6017" spans="1:23" hidden="1" x14ac:dyDescent="0.25">
      <c r="A6017" s="45">
        <v>46117</v>
      </c>
      <c r="B6017" s="46" t="s">
        <v>334</v>
      </c>
      <c r="C6017" s="4" t="s">
        <v>826</v>
      </c>
      <c r="D6017" s="4"/>
      <c r="E6017" s="4" t="s">
        <v>921</v>
      </c>
      <c r="F6017" s="46" t="s">
        <v>2899</v>
      </c>
      <c r="G6017" s="4" t="s">
        <v>336</v>
      </c>
      <c r="H6017" s="4" t="s">
        <v>380</v>
      </c>
      <c r="I6017" s="4">
        <v>1</v>
      </c>
      <c r="J6017" s="21">
        <v>130</v>
      </c>
      <c r="K6017" s="21">
        <v>130</v>
      </c>
      <c r="L6017" s="5">
        <v>0</v>
      </c>
      <c r="M6017" s="4"/>
      <c r="N6017" s="4"/>
      <c r="O6017" s="5"/>
      <c r="P6017" s="5"/>
      <c r="Q6017" s="21">
        <v>0</v>
      </c>
      <c r="R6017" s="21">
        <v>0</v>
      </c>
      <c r="S6017" s="5">
        <f t="shared" si="375"/>
        <v>63515.739360692016</v>
      </c>
      <c r="T6017" cm="1">
        <f t="array" ref="T6017">IF(OR(B6017="MAL ALIMI", B6017="ÜRETİM GİRİŞ"), MIN(I6017, MAX(0, I6017 + SUM(SUMIFS($I$1:I6016, $C$1:C6016, C6017, $B$1:B6016, {"MAL ALIMI","ÜRETİM GİRİŞ"})) - VLOOKUP(C6017, 'STOK RAPORU'!$C$2:$I$1000, 4, 0))), 0)</f>
        <v>0</v>
      </c>
      <c r="U6017" s="22">
        <f t="shared" si="376"/>
        <v>0</v>
      </c>
      <c r="V6017">
        <f t="shared" si="377"/>
        <v>0</v>
      </c>
      <c r="W6017" s="22">
        <f t="shared" si="378"/>
        <v>0</v>
      </c>
    </row>
    <row r="6018" spans="1:23" hidden="1" x14ac:dyDescent="0.25">
      <c r="A6018" s="45">
        <v>46117</v>
      </c>
      <c r="B6018" s="46" t="s">
        <v>334</v>
      </c>
      <c r="C6018" s="4" t="s">
        <v>234</v>
      </c>
      <c r="D6018" s="4"/>
      <c r="E6018" s="4" t="s">
        <v>921</v>
      </c>
      <c r="F6018" s="46" t="s">
        <v>2899</v>
      </c>
      <c r="G6018" s="4" t="s">
        <v>336</v>
      </c>
      <c r="H6018" s="4" t="s">
        <v>380</v>
      </c>
      <c r="I6018" s="4">
        <v>1</v>
      </c>
      <c r="J6018" s="21">
        <v>180</v>
      </c>
      <c r="K6018" s="21">
        <v>180</v>
      </c>
      <c r="L6018" s="5">
        <v>0</v>
      </c>
      <c r="M6018" s="4"/>
      <c r="N6018" s="4"/>
      <c r="O6018" s="5"/>
      <c r="P6018" s="5"/>
      <c r="Q6018" s="21">
        <v>0</v>
      </c>
      <c r="R6018" s="21">
        <v>0</v>
      </c>
      <c r="S6018" s="5">
        <f t="shared" si="375"/>
        <v>63515.739360692016</v>
      </c>
      <c r="T6018" cm="1">
        <f t="array" ref="T6018">IF(OR(B6018="MAL ALIMI", B6018="ÜRETİM GİRİŞ"), MIN(I6018, MAX(0, I6018 + SUM(SUMIFS($I$1:I6017, $C$1:C6017, C6018, $B$1:B6017, {"MAL ALIMI","ÜRETİM GİRİŞ"})) - VLOOKUP(C6018, 'STOK RAPORU'!$C$2:$I$1000, 4, 0))), 0)</f>
        <v>0</v>
      </c>
      <c r="U6018" s="22">
        <f t="shared" si="376"/>
        <v>0</v>
      </c>
      <c r="V6018">
        <f t="shared" si="377"/>
        <v>0</v>
      </c>
      <c r="W6018" s="22">
        <f t="shared" si="378"/>
        <v>0</v>
      </c>
    </row>
    <row r="6019" spans="1:23" hidden="1" x14ac:dyDescent="0.25">
      <c r="A6019" s="45">
        <v>46117</v>
      </c>
      <c r="B6019" s="46" t="s">
        <v>334</v>
      </c>
      <c r="C6019" s="4" t="s">
        <v>1619</v>
      </c>
      <c r="D6019" s="4"/>
      <c r="E6019" s="4" t="s">
        <v>921</v>
      </c>
      <c r="F6019" s="46" t="s">
        <v>2899</v>
      </c>
      <c r="G6019" s="4" t="s">
        <v>336</v>
      </c>
      <c r="H6019" s="4" t="s">
        <v>380</v>
      </c>
      <c r="I6019" s="4">
        <v>1</v>
      </c>
      <c r="J6019" s="21">
        <v>100</v>
      </c>
      <c r="K6019" s="21">
        <v>100</v>
      </c>
      <c r="L6019" s="5">
        <v>0</v>
      </c>
      <c r="M6019" s="4"/>
      <c r="N6019" s="4"/>
      <c r="O6019" s="5"/>
      <c r="P6019" s="5"/>
      <c r="Q6019" s="21">
        <v>0</v>
      </c>
      <c r="R6019" s="21">
        <v>0</v>
      </c>
      <c r="S6019" s="5">
        <f t="shared" si="375"/>
        <v>63515.739360692016</v>
      </c>
      <c r="T6019" cm="1">
        <f t="array" ref="T6019">IF(OR(B6019="MAL ALIMI", B6019="ÜRETİM GİRİŞ"), MIN(I6019, MAX(0, I6019 + SUM(SUMIFS($I$1:I6018, $C$1:C6018, C6019, $B$1:B6018, {"MAL ALIMI","ÜRETİM GİRİŞ"})) - VLOOKUP(C6019, 'STOK RAPORU'!$C$2:$I$1000, 4, 0))), 0)</f>
        <v>0</v>
      </c>
      <c r="U6019" s="22">
        <f t="shared" si="376"/>
        <v>0</v>
      </c>
      <c r="V6019">
        <f t="shared" si="377"/>
        <v>0</v>
      </c>
      <c r="W6019" s="22">
        <f t="shared" si="378"/>
        <v>0</v>
      </c>
    </row>
    <row r="6020" spans="1:23" hidden="1" x14ac:dyDescent="0.25">
      <c r="A6020" s="45">
        <v>46117</v>
      </c>
      <c r="B6020" s="46" t="s">
        <v>334</v>
      </c>
      <c r="C6020" s="4" t="s">
        <v>133</v>
      </c>
      <c r="D6020" s="4"/>
      <c r="E6020" s="4"/>
      <c r="F6020" s="46" t="s">
        <v>2900</v>
      </c>
      <c r="G6020" s="4" t="s">
        <v>336</v>
      </c>
      <c r="H6020" s="4" t="s">
        <v>289</v>
      </c>
      <c r="I6020" s="4">
        <v>0.5625</v>
      </c>
      <c r="J6020" s="21">
        <v>400</v>
      </c>
      <c r="K6020" s="21">
        <v>0</v>
      </c>
      <c r="L6020" s="5">
        <v>0</v>
      </c>
      <c r="M6020" s="4"/>
      <c r="N6020" s="4"/>
      <c r="O6020" s="5"/>
      <c r="P6020" s="5"/>
      <c r="Q6020" s="21">
        <v>225</v>
      </c>
      <c r="R6020" s="21">
        <v>0</v>
      </c>
      <c r="S6020" s="5">
        <f t="shared" ref="S6020:S6083" si="379">S6019+Q6020-R6020</f>
        <v>63740.739360692016</v>
      </c>
      <c r="T6020" cm="1">
        <f t="array" ref="T6020">IF(OR(B6020="MAL ALIMI", B6020="ÜRETİM GİRİŞ"), MIN(I6020, MAX(0, I6020 + SUM(SUMIFS($I$1:I6019, $C$1:C6019, C6020, $B$1:B6019, {"MAL ALIMI","ÜRETİM GİRİŞ"})) - VLOOKUP(C6020, 'STOK RAPORU'!$C$2:$I$1000, 4, 0))), 0)</f>
        <v>0</v>
      </c>
      <c r="U6020" s="22">
        <f t="shared" si="376"/>
        <v>0</v>
      </c>
      <c r="V6020">
        <f t="shared" si="377"/>
        <v>0</v>
      </c>
      <c r="W6020" s="22">
        <f t="shared" si="378"/>
        <v>0</v>
      </c>
    </row>
    <row r="6021" spans="1:23" hidden="1" x14ac:dyDescent="0.25">
      <c r="A6021" s="45">
        <v>46117</v>
      </c>
      <c r="B6021" s="46" t="s">
        <v>334</v>
      </c>
      <c r="C6021" s="4" t="s">
        <v>140</v>
      </c>
      <c r="D6021" s="4"/>
      <c r="E6021" s="4"/>
      <c r="F6021" s="46" t="s">
        <v>2901</v>
      </c>
      <c r="G6021" s="4" t="s">
        <v>336</v>
      </c>
      <c r="H6021" s="4" t="s">
        <v>289</v>
      </c>
      <c r="I6021" s="4">
        <v>1</v>
      </c>
      <c r="J6021" s="21">
        <v>300</v>
      </c>
      <c r="K6021" s="21">
        <v>0</v>
      </c>
      <c r="L6021" s="5">
        <v>0</v>
      </c>
      <c r="M6021" s="4"/>
      <c r="N6021" s="4"/>
      <c r="O6021" s="5"/>
      <c r="P6021" s="5"/>
      <c r="Q6021" s="21">
        <v>300</v>
      </c>
      <c r="R6021" s="21">
        <v>0</v>
      </c>
      <c r="S6021" s="5">
        <f t="shared" si="379"/>
        <v>64040.739360692016</v>
      </c>
      <c r="T6021" cm="1">
        <f t="array" ref="T6021">IF(OR(B6021="MAL ALIMI", B6021="ÜRETİM GİRİŞ"), MIN(I6021, MAX(0, I6021 + SUM(SUMIFS($I$1:I6020, $C$1:C6020, C6021, $B$1:B6020, {"MAL ALIMI","ÜRETİM GİRİŞ"})) - VLOOKUP(C6021, 'STOK RAPORU'!$C$2:$I$1000, 4, 0))), 0)</f>
        <v>0</v>
      </c>
      <c r="U6021" s="22">
        <f t="shared" si="376"/>
        <v>0</v>
      </c>
      <c r="V6021">
        <f t="shared" si="377"/>
        <v>0</v>
      </c>
      <c r="W6021" s="22">
        <f t="shared" si="378"/>
        <v>0</v>
      </c>
    </row>
    <row r="6022" spans="1:23" hidden="1" x14ac:dyDescent="0.25">
      <c r="A6022" s="45">
        <v>46117</v>
      </c>
      <c r="B6022" s="46" t="s">
        <v>334</v>
      </c>
      <c r="C6022" s="4" t="s">
        <v>160</v>
      </c>
      <c r="D6022" s="4"/>
      <c r="E6022" s="4" t="s">
        <v>921</v>
      </c>
      <c r="F6022" s="46" t="s">
        <v>2902</v>
      </c>
      <c r="G6022" s="4" t="s">
        <v>336</v>
      </c>
      <c r="H6022" s="4" t="s">
        <v>380</v>
      </c>
      <c r="I6022" s="4">
        <v>3</v>
      </c>
      <c r="J6022" s="21">
        <v>250</v>
      </c>
      <c r="K6022" s="21">
        <v>750</v>
      </c>
      <c r="L6022" s="5">
        <v>0</v>
      </c>
      <c r="M6022" s="4"/>
      <c r="N6022" s="4"/>
      <c r="O6022" s="5"/>
      <c r="P6022" s="5"/>
      <c r="Q6022" s="21">
        <v>0</v>
      </c>
      <c r="R6022" s="21">
        <v>0</v>
      </c>
      <c r="S6022" s="5">
        <f t="shared" si="379"/>
        <v>64040.739360692016</v>
      </c>
      <c r="T6022" cm="1">
        <f t="array" ref="T6022">IF(OR(B6022="MAL ALIMI", B6022="ÜRETİM GİRİŞ"), MIN(I6022, MAX(0, I6022 + SUM(SUMIFS($I$1:I6021, $C$1:C6021, C6022, $B$1:B6021, {"MAL ALIMI","ÜRETİM GİRİŞ"})) - VLOOKUP(C6022, 'STOK RAPORU'!$C$2:$I$1000, 4, 0))), 0)</f>
        <v>0</v>
      </c>
      <c r="U6022" s="22">
        <f t="shared" si="376"/>
        <v>0</v>
      </c>
      <c r="V6022">
        <f t="shared" si="377"/>
        <v>0</v>
      </c>
      <c r="W6022" s="22">
        <f t="shared" si="378"/>
        <v>0</v>
      </c>
    </row>
    <row r="6023" spans="1:23" hidden="1" x14ac:dyDescent="0.25">
      <c r="A6023" s="45">
        <v>46117</v>
      </c>
      <c r="B6023" s="46" t="s">
        <v>334</v>
      </c>
      <c r="C6023" s="4" t="s">
        <v>167</v>
      </c>
      <c r="D6023" s="4"/>
      <c r="E6023" s="4" t="s">
        <v>921</v>
      </c>
      <c r="F6023" s="46" t="s">
        <v>2902</v>
      </c>
      <c r="G6023" s="4" t="s">
        <v>336</v>
      </c>
      <c r="H6023" s="4" t="s">
        <v>380</v>
      </c>
      <c r="I6023" s="4">
        <v>1</v>
      </c>
      <c r="J6023" s="21">
        <v>250</v>
      </c>
      <c r="K6023" s="21">
        <v>250</v>
      </c>
      <c r="L6023" s="5">
        <v>0</v>
      </c>
      <c r="M6023" s="4"/>
      <c r="N6023" s="4"/>
      <c r="O6023" s="5"/>
      <c r="P6023" s="5"/>
      <c r="Q6023" s="21">
        <v>0</v>
      </c>
      <c r="R6023" s="21">
        <v>0</v>
      </c>
      <c r="S6023" s="5">
        <f t="shared" si="379"/>
        <v>64040.739360692016</v>
      </c>
      <c r="T6023" cm="1">
        <f t="array" ref="T6023">IF(OR(B6023="MAL ALIMI", B6023="ÜRETİM GİRİŞ"), MIN(I6023, MAX(0, I6023 + SUM(SUMIFS($I$1:I6022, $C$1:C6022, C6023, $B$1:B6022, {"MAL ALIMI","ÜRETİM GİRİŞ"})) - VLOOKUP(C6023, 'STOK RAPORU'!$C$2:$I$1000, 4, 0))), 0)</f>
        <v>0</v>
      </c>
      <c r="U6023" s="22">
        <f t="shared" si="376"/>
        <v>0</v>
      </c>
      <c r="V6023">
        <f t="shared" si="377"/>
        <v>0</v>
      </c>
      <c r="W6023" s="22">
        <f t="shared" si="378"/>
        <v>0</v>
      </c>
    </row>
    <row r="6024" spans="1:23" hidden="1" x14ac:dyDescent="0.25">
      <c r="A6024" s="45">
        <v>46117</v>
      </c>
      <c r="B6024" s="46" t="s">
        <v>334</v>
      </c>
      <c r="C6024" s="4" t="s">
        <v>461</v>
      </c>
      <c r="D6024" s="4"/>
      <c r="E6024" s="4" t="s">
        <v>921</v>
      </c>
      <c r="F6024" s="46" t="s">
        <v>2902</v>
      </c>
      <c r="G6024" s="4" t="s">
        <v>336</v>
      </c>
      <c r="H6024" s="4" t="s">
        <v>380</v>
      </c>
      <c r="I6024" s="4">
        <v>1</v>
      </c>
      <c r="J6024" s="21">
        <v>100</v>
      </c>
      <c r="K6024" s="21">
        <v>100</v>
      </c>
      <c r="L6024" s="5">
        <v>0</v>
      </c>
      <c r="M6024" s="4"/>
      <c r="N6024" s="4"/>
      <c r="O6024" s="5"/>
      <c r="P6024" s="5"/>
      <c r="Q6024" s="21">
        <v>0</v>
      </c>
      <c r="R6024" s="21">
        <v>0</v>
      </c>
      <c r="S6024" s="5">
        <f t="shared" si="379"/>
        <v>64040.739360692016</v>
      </c>
      <c r="T6024" cm="1">
        <f t="array" ref="T6024">IF(OR(B6024="MAL ALIMI", B6024="ÜRETİM GİRİŞ"), MIN(I6024, MAX(0, I6024 + SUM(SUMIFS($I$1:I6023, $C$1:C6023, C6024, $B$1:B6023, {"MAL ALIMI","ÜRETİM GİRİŞ"})) - VLOOKUP(C6024, 'STOK RAPORU'!$C$2:$I$1000, 4, 0))), 0)</f>
        <v>0</v>
      </c>
      <c r="U6024" s="22">
        <f t="shared" si="376"/>
        <v>0</v>
      </c>
      <c r="V6024">
        <f t="shared" si="377"/>
        <v>0</v>
      </c>
      <c r="W6024" s="22">
        <f t="shared" si="378"/>
        <v>0</v>
      </c>
    </row>
    <row r="6025" spans="1:23" hidden="1" x14ac:dyDescent="0.25">
      <c r="A6025" s="45">
        <v>46117</v>
      </c>
      <c r="B6025" s="46" t="s">
        <v>334</v>
      </c>
      <c r="C6025" s="4" t="s">
        <v>455</v>
      </c>
      <c r="D6025" s="4"/>
      <c r="E6025" s="4" t="s">
        <v>921</v>
      </c>
      <c r="F6025" s="46" t="s">
        <v>2902</v>
      </c>
      <c r="G6025" s="4" t="s">
        <v>336</v>
      </c>
      <c r="H6025" s="4" t="s">
        <v>380</v>
      </c>
      <c r="I6025" s="4">
        <v>1</v>
      </c>
      <c r="J6025" s="21">
        <v>80</v>
      </c>
      <c r="K6025" s="21">
        <v>80</v>
      </c>
      <c r="L6025" s="5">
        <v>0</v>
      </c>
      <c r="M6025" s="4"/>
      <c r="N6025" s="4"/>
      <c r="O6025" s="5"/>
      <c r="P6025" s="5"/>
      <c r="Q6025" s="21">
        <v>0</v>
      </c>
      <c r="R6025" s="21">
        <v>0</v>
      </c>
      <c r="S6025" s="5">
        <f t="shared" si="379"/>
        <v>64040.739360692016</v>
      </c>
      <c r="T6025" cm="1">
        <f t="array" ref="T6025">IF(OR(B6025="MAL ALIMI", B6025="ÜRETİM GİRİŞ"), MIN(I6025, MAX(0, I6025 + SUM(SUMIFS($I$1:I6024, $C$1:C6024, C6025, $B$1:B6024, {"MAL ALIMI","ÜRETİM GİRİŞ"})) - VLOOKUP(C6025, 'STOK RAPORU'!$C$2:$I$1000, 4, 0))), 0)</f>
        <v>0</v>
      </c>
      <c r="U6025" s="22">
        <f t="shared" si="376"/>
        <v>0</v>
      </c>
      <c r="V6025">
        <f t="shared" si="377"/>
        <v>0</v>
      </c>
      <c r="W6025" s="22">
        <f t="shared" si="378"/>
        <v>0</v>
      </c>
    </row>
    <row r="6026" spans="1:23" hidden="1" x14ac:dyDescent="0.25">
      <c r="A6026" s="45">
        <v>46117</v>
      </c>
      <c r="B6026" s="46" t="s">
        <v>334</v>
      </c>
      <c r="C6026" s="4" t="s">
        <v>149</v>
      </c>
      <c r="D6026" s="4"/>
      <c r="E6026" s="4" t="s">
        <v>921</v>
      </c>
      <c r="F6026" s="46" t="s">
        <v>2902</v>
      </c>
      <c r="G6026" s="4" t="s">
        <v>336</v>
      </c>
      <c r="H6026" s="4" t="s">
        <v>380</v>
      </c>
      <c r="I6026" s="4">
        <v>1</v>
      </c>
      <c r="J6026" s="21">
        <v>65</v>
      </c>
      <c r="K6026" s="21">
        <v>65</v>
      </c>
      <c r="L6026" s="5">
        <v>0</v>
      </c>
      <c r="M6026" s="4"/>
      <c r="N6026" s="4"/>
      <c r="O6026" s="5"/>
      <c r="P6026" s="5"/>
      <c r="Q6026" s="21">
        <v>0</v>
      </c>
      <c r="R6026" s="21">
        <v>0</v>
      </c>
      <c r="S6026" s="5">
        <f t="shared" si="379"/>
        <v>64040.739360692016</v>
      </c>
      <c r="T6026" cm="1">
        <f t="array" ref="T6026">IF(OR(B6026="MAL ALIMI", B6026="ÜRETİM GİRİŞ"), MIN(I6026, MAX(0, I6026 + SUM(SUMIFS($I$1:I6025, $C$1:C6025, C6026, $B$1:B6025, {"MAL ALIMI","ÜRETİM GİRİŞ"})) - VLOOKUP(C6026, 'STOK RAPORU'!$C$2:$I$1000, 4, 0))), 0)</f>
        <v>0</v>
      </c>
      <c r="U6026" s="22">
        <f t="shared" si="376"/>
        <v>0</v>
      </c>
      <c r="V6026">
        <f t="shared" si="377"/>
        <v>0</v>
      </c>
      <c r="W6026" s="22">
        <f t="shared" si="378"/>
        <v>0</v>
      </c>
    </row>
    <row r="6027" spans="1:23" hidden="1" x14ac:dyDescent="0.25">
      <c r="A6027" s="45">
        <v>46117</v>
      </c>
      <c r="B6027" s="46" t="s">
        <v>334</v>
      </c>
      <c r="C6027" s="4" t="s">
        <v>458</v>
      </c>
      <c r="D6027" s="4"/>
      <c r="E6027" s="4" t="s">
        <v>921</v>
      </c>
      <c r="F6027" s="46" t="s">
        <v>2902</v>
      </c>
      <c r="G6027" s="4" t="s">
        <v>336</v>
      </c>
      <c r="H6027" s="4" t="s">
        <v>380</v>
      </c>
      <c r="I6027" s="4">
        <v>0.5</v>
      </c>
      <c r="J6027" s="21">
        <v>80</v>
      </c>
      <c r="K6027" s="21">
        <v>40</v>
      </c>
      <c r="L6027" s="5">
        <v>0</v>
      </c>
      <c r="M6027" s="4"/>
      <c r="N6027" s="4"/>
      <c r="O6027" s="5"/>
      <c r="P6027" s="5"/>
      <c r="Q6027" s="21">
        <v>0</v>
      </c>
      <c r="R6027" s="21">
        <v>0</v>
      </c>
      <c r="S6027" s="5">
        <f t="shared" si="379"/>
        <v>64040.739360692016</v>
      </c>
      <c r="T6027" cm="1">
        <f t="array" ref="T6027">IF(OR(B6027="MAL ALIMI", B6027="ÜRETİM GİRİŞ"), MIN(I6027, MAX(0, I6027 + SUM(SUMIFS($I$1:I6026, $C$1:C6026, C6027, $B$1:B6026, {"MAL ALIMI","ÜRETİM GİRİŞ"})) - VLOOKUP(C6027, 'STOK RAPORU'!$C$2:$I$1000, 4, 0))), 0)</f>
        <v>0</v>
      </c>
      <c r="U6027" s="22">
        <f t="shared" si="376"/>
        <v>0</v>
      </c>
      <c r="V6027">
        <f t="shared" si="377"/>
        <v>0</v>
      </c>
      <c r="W6027" s="22">
        <f t="shared" si="378"/>
        <v>0</v>
      </c>
    </row>
    <row r="6028" spans="1:23" hidden="1" x14ac:dyDescent="0.25">
      <c r="A6028" s="45">
        <v>46117</v>
      </c>
      <c r="B6028" s="46" t="s">
        <v>334</v>
      </c>
      <c r="C6028" s="4" t="s">
        <v>460</v>
      </c>
      <c r="D6028" s="4"/>
      <c r="E6028" s="4" t="s">
        <v>921</v>
      </c>
      <c r="F6028" s="46" t="s">
        <v>2902</v>
      </c>
      <c r="G6028" s="4" t="s">
        <v>336</v>
      </c>
      <c r="H6028" s="4" t="s">
        <v>380</v>
      </c>
      <c r="I6028" s="4">
        <v>4</v>
      </c>
      <c r="J6028" s="21">
        <v>15</v>
      </c>
      <c r="K6028" s="21">
        <v>60</v>
      </c>
      <c r="L6028" s="5">
        <v>0</v>
      </c>
      <c r="M6028" s="4"/>
      <c r="N6028" s="4"/>
      <c r="O6028" s="5"/>
      <c r="P6028" s="5"/>
      <c r="Q6028" s="21">
        <v>0</v>
      </c>
      <c r="R6028" s="21">
        <v>0</v>
      </c>
      <c r="S6028" s="5">
        <f t="shared" si="379"/>
        <v>64040.739360692016</v>
      </c>
      <c r="T6028" cm="1">
        <f t="array" ref="T6028">IF(OR(B6028="MAL ALIMI", B6028="ÜRETİM GİRİŞ"), MIN(I6028, MAX(0, I6028 + SUM(SUMIFS($I$1:I6027, $C$1:C6027, C6028, $B$1:B6027, {"MAL ALIMI","ÜRETİM GİRİŞ"})) - VLOOKUP(C6028, 'STOK RAPORU'!$C$2:$I$1000, 4, 0))), 0)</f>
        <v>0</v>
      </c>
      <c r="U6028" s="22">
        <f t="shared" si="376"/>
        <v>0</v>
      </c>
      <c r="V6028">
        <f t="shared" si="377"/>
        <v>0</v>
      </c>
      <c r="W6028" s="22">
        <f t="shared" si="378"/>
        <v>0</v>
      </c>
    </row>
    <row r="6029" spans="1:23" hidden="1" x14ac:dyDescent="0.25">
      <c r="A6029" s="45">
        <v>46117</v>
      </c>
      <c r="B6029" s="46" t="s">
        <v>334</v>
      </c>
      <c r="C6029" s="4" t="s">
        <v>725</v>
      </c>
      <c r="D6029" s="4"/>
      <c r="E6029" s="4" t="s">
        <v>921</v>
      </c>
      <c r="F6029" s="46" t="s">
        <v>2903</v>
      </c>
      <c r="G6029" s="4" t="s">
        <v>336</v>
      </c>
      <c r="H6029" s="4" t="s">
        <v>380</v>
      </c>
      <c r="I6029" s="4">
        <v>1</v>
      </c>
      <c r="J6029" s="21">
        <v>330</v>
      </c>
      <c r="K6029" s="21">
        <v>330</v>
      </c>
      <c r="L6029" s="5">
        <v>0</v>
      </c>
      <c r="M6029" s="4"/>
      <c r="N6029" s="4"/>
      <c r="O6029" s="5"/>
      <c r="P6029" s="5"/>
      <c r="Q6029" s="21">
        <v>0</v>
      </c>
      <c r="R6029" s="21">
        <v>0</v>
      </c>
      <c r="S6029" s="5">
        <f t="shared" si="379"/>
        <v>64040.739360692016</v>
      </c>
      <c r="T6029" cm="1">
        <f t="array" ref="T6029">IF(OR(B6029="MAL ALIMI", B6029="ÜRETİM GİRİŞ"), MIN(I6029, MAX(0, I6029 + SUM(SUMIFS($I$1:I6028, $C$1:C6028, C6029, $B$1:B6028, {"MAL ALIMI","ÜRETİM GİRİŞ"})) - VLOOKUP(C6029, 'STOK RAPORU'!$C$2:$I$1000, 4, 0))), 0)</f>
        <v>0</v>
      </c>
      <c r="U6029" s="22">
        <f t="shared" si="376"/>
        <v>0</v>
      </c>
      <c r="V6029">
        <f t="shared" si="377"/>
        <v>0</v>
      </c>
      <c r="W6029" s="22">
        <f t="shared" si="378"/>
        <v>0</v>
      </c>
    </row>
    <row r="6030" spans="1:23" hidden="1" x14ac:dyDescent="0.25">
      <c r="A6030" s="45">
        <v>46117</v>
      </c>
      <c r="B6030" s="46" t="s">
        <v>334</v>
      </c>
      <c r="C6030" s="4" t="s">
        <v>458</v>
      </c>
      <c r="D6030" s="4"/>
      <c r="E6030" s="4" t="s">
        <v>921</v>
      </c>
      <c r="F6030" s="46" t="s">
        <v>2903</v>
      </c>
      <c r="G6030" s="4" t="s">
        <v>336</v>
      </c>
      <c r="H6030" s="4" t="s">
        <v>380</v>
      </c>
      <c r="I6030" s="4">
        <v>0.5</v>
      </c>
      <c r="J6030" s="21">
        <v>80</v>
      </c>
      <c r="K6030" s="21">
        <v>40</v>
      </c>
      <c r="L6030" s="5">
        <v>0</v>
      </c>
      <c r="M6030" s="4"/>
      <c r="N6030" s="4"/>
      <c r="O6030" s="5"/>
      <c r="P6030" s="5"/>
      <c r="Q6030" s="21">
        <v>0</v>
      </c>
      <c r="R6030" s="21">
        <v>0</v>
      </c>
      <c r="S6030" s="5">
        <f t="shared" si="379"/>
        <v>64040.739360692016</v>
      </c>
      <c r="T6030" cm="1">
        <f t="array" ref="T6030">IF(OR(B6030="MAL ALIMI", B6030="ÜRETİM GİRİŞ"), MIN(I6030, MAX(0, I6030 + SUM(SUMIFS($I$1:I6029, $C$1:C6029, C6030, $B$1:B6029, {"MAL ALIMI","ÜRETİM GİRİŞ"})) - VLOOKUP(C6030, 'STOK RAPORU'!$C$2:$I$1000, 4, 0))), 0)</f>
        <v>0</v>
      </c>
      <c r="U6030" s="22">
        <f t="shared" si="376"/>
        <v>0</v>
      </c>
      <c r="V6030">
        <f t="shared" si="377"/>
        <v>0</v>
      </c>
      <c r="W6030" s="22">
        <f t="shared" si="378"/>
        <v>0</v>
      </c>
    </row>
    <row r="6031" spans="1:23" hidden="1" x14ac:dyDescent="0.25">
      <c r="A6031" s="45">
        <v>46117</v>
      </c>
      <c r="B6031" s="46" t="s">
        <v>334</v>
      </c>
      <c r="C6031" s="4" t="s">
        <v>152</v>
      </c>
      <c r="D6031" s="4"/>
      <c r="E6031" s="4" t="s">
        <v>921</v>
      </c>
      <c r="F6031" s="46" t="s">
        <v>2903</v>
      </c>
      <c r="G6031" s="4" t="s">
        <v>336</v>
      </c>
      <c r="H6031" s="4" t="s">
        <v>380</v>
      </c>
      <c r="I6031" s="4">
        <v>0.1</v>
      </c>
      <c r="J6031" s="21">
        <v>400</v>
      </c>
      <c r="K6031" s="21">
        <v>40</v>
      </c>
      <c r="L6031" s="5">
        <v>0</v>
      </c>
      <c r="M6031" s="4"/>
      <c r="N6031" s="4"/>
      <c r="O6031" s="5"/>
      <c r="P6031" s="5"/>
      <c r="Q6031" s="21">
        <v>0</v>
      </c>
      <c r="R6031" s="21">
        <v>0</v>
      </c>
      <c r="S6031" s="5">
        <f t="shared" si="379"/>
        <v>64040.739360692016</v>
      </c>
      <c r="T6031" cm="1">
        <f t="array" ref="T6031">IF(OR(B6031="MAL ALIMI", B6031="ÜRETİM GİRİŞ"), MIN(I6031, MAX(0, I6031 + SUM(SUMIFS($I$1:I6030, $C$1:C6030, C6031, $B$1:B6030, {"MAL ALIMI","ÜRETİM GİRİŞ"})) - VLOOKUP(C6031, 'STOK RAPORU'!$C$2:$I$1000, 4, 0))), 0)</f>
        <v>0</v>
      </c>
      <c r="U6031" s="22">
        <f t="shared" si="376"/>
        <v>0</v>
      </c>
      <c r="V6031">
        <f t="shared" si="377"/>
        <v>0</v>
      </c>
      <c r="W6031" s="22">
        <f t="shared" si="378"/>
        <v>0</v>
      </c>
    </row>
    <row r="6032" spans="1:23" hidden="1" x14ac:dyDescent="0.25">
      <c r="A6032" s="45">
        <v>46117</v>
      </c>
      <c r="B6032" s="46" t="s">
        <v>334</v>
      </c>
      <c r="C6032" s="4" t="s">
        <v>2608</v>
      </c>
      <c r="D6032" s="4"/>
      <c r="E6032" s="4" t="s">
        <v>921</v>
      </c>
      <c r="F6032" s="46" t="s">
        <v>2903</v>
      </c>
      <c r="G6032" s="4" t="s">
        <v>336</v>
      </c>
      <c r="H6032" s="4" t="s">
        <v>380</v>
      </c>
      <c r="I6032" s="4">
        <v>0.1</v>
      </c>
      <c r="J6032" s="21">
        <v>500</v>
      </c>
      <c r="K6032" s="21">
        <v>50</v>
      </c>
      <c r="L6032" s="5">
        <v>0</v>
      </c>
      <c r="M6032" s="4"/>
      <c r="N6032" s="4"/>
      <c r="O6032" s="5"/>
      <c r="P6032" s="5"/>
      <c r="Q6032" s="21">
        <v>0</v>
      </c>
      <c r="R6032" s="21">
        <v>0</v>
      </c>
      <c r="S6032" s="5">
        <f t="shared" si="379"/>
        <v>64040.739360692016</v>
      </c>
      <c r="T6032" cm="1">
        <f t="array" ref="T6032">IF(OR(B6032="MAL ALIMI", B6032="ÜRETİM GİRİŞ"), MIN(I6032, MAX(0, I6032 + SUM(SUMIFS($I$1:I6031, $C$1:C6031, C6032, $B$1:B6031, {"MAL ALIMI","ÜRETİM GİRİŞ"})) - VLOOKUP(C6032, 'STOK RAPORU'!$C$2:$I$1000, 4, 0))), 0)</f>
        <v>0</v>
      </c>
      <c r="U6032" s="22">
        <f t="shared" si="376"/>
        <v>0</v>
      </c>
      <c r="V6032">
        <f t="shared" si="377"/>
        <v>0</v>
      </c>
      <c r="W6032" s="22">
        <f t="shared" si="378"/>
        <v>0</v>
      </c>
    </row>
    <row r="6033" spans="1:23" hidden="1" x14ac:dyDescent="0.25">
      <c r="A6033" s="45">
        <v>46117</v>
      </c>
      <c r="B6033" s="46" t="s">
        <v>334</v>
      </c>
      <c r="C6033" s="4" t="s">
        <v>221</v>
      </c>
      <c r="D6033" s="4"/>
      <c r="E6033" s="4"/>
      <c r="F6033" s="46" t="s">
        <v>2904</v>
      </c>
      <c r="G6033" s="4" t="s">
        <v>336</v>
      </c>
      <c r="H6033" s="4" t="s">
        <v>289</v>
      </c>
      <c r="I6033" s="4">
        <v>0.1</v>
      </c>
      <c r="J6033" s="21">
        <v>1300</v>
      </c>
      <c r="K6033" s="21">
        <v>0</v>
      </c>
      <c r="L6033" s="5">
        <v>0</v>
      </c>
      <c r="M6033" s="4"/>
      <c r="N6033" s="4"/>
      <c r="O6033" s="5"/>
      <c r="P6033" s="5"/>
      <c r="Q6033" s="21">
        <v>130</v>
      </c>
      <c r="R6033" s="21">
        <v>0</v>
      </c>
      <c r="S6033" s="5">
        <f t="shared" si="379"/>
        <v>64170.739360692016</v>
      </c>
      <c r="T6033" cm="1">
        <f t="array" ref="T6033">IF(OR(B6033="MAL ALIMI", B6033="ÜRETİM GİRİŞ"), MIN(I6033, MAX(0, I6033 + SUM(SUMIFS($I$1:I6032, $C$1:C6032, C6033, $B$1:B6032, {"MAL ALIMI","ÜRETİM GİRİŞ"})) - VLOOKUP(C6033, 'STOK RAPORU'!$C$2:$I$1000, 4, 0))), 0)</f>
        <v>0</v>
      </c>
      <c r="U6033" s="22">
        <f t="shared" si="376"/>
        <v>0</v>
      </c>
      <c r="V6033">
        <f t="shared" si="377"/>
        <v>0</v>
      </c>
      <c r="W6033" s="22">
        <f t="shared" si="378"/>
        <v>0</v>
      </c>
    </row>
    <row r="6034" spans="1:23" hidden="1" x14ac:dyDescent="0.25">
      <c r="A6034" s="45">
        <v>46117</v>
      </c>
      <c r="B6034" s="46" t="s">
        <v>334</v>
      </c>
      <c r="C6034" s="4" t="s">
        <v>679</v>
      </c>
      <c r="D6034" s="4"/>
      <c r="E6034" s="4"/>
      <c r="F6034" s="46" t="s">
        <v>2904</v>
      </c>
      <c r="G6034" s="4" t="s">
        <v>336</v>
      </c>
      <c r="H6034" s="4" t="s">
        <v>289</v>
      </c>
      <c r="I6034" s="4">
        <v>0.25</v>
      </c>
      <c r="J6034" s="21">
        <v>400</v>
      </c>
      <c r="K6034" s="21">
        <v>0</v>
      </c>
      <c r="L6034" s="5">
        <v>0</v>
      </c>
      <c r="M6034" s="4"/>
      <c r="N6034" s="4"/>
      <c r="O6034" s="5"/>
      <c r="P6034" s="5"/>
      <c r="Q6034" s="21">
        <v>100</v>
      </c>
      <c r="R6034" s="21">
        <v>0</v>
      </c>
      <c r="S6034" s="5">
        <f t="shared" si="379"/>
        <v>64270.739360692016</v>
      </c>
      <c r="T6034" cm="1">
        <f t="array" ref="T6034">IF(OR(B6034="MAL ALIMI", B6034="ÜRETİM GİRİŞ"), MIN(I6034, MAX(0, I6034 + SUM(SUMIFS($I$1:I6033, $C$1:C6033, C6034, $B$1:B6033, {"MAL ALIMI","ÜRETİM GİRİŞ"})) - VLOOKUP(C6034, 'STOK RAPORU'!$C$2:$I$1000, 4, 0))), 0)</f>
        <v>0</v>
      </c>
      <c r="U6034" s="22">
        <f t="shared" si="376"/>
        <v>0</v>
      </c>
      <c r="V6034">
        <f t="shared" si="377"/>
        <v>0</v>
      </c>
      <c r="W6034" s="22">
        <f t="shared" si="378"/>
        <v>0</v>
      </c>
    </row>
    <row r="6035" spans="1:23" hidden="1" x14ac:dyDescent="0.25">
      <c r="A6035" s="45">
        <v>46117</v>
      </c>
      <c r="B6035" s="46" t="s">
        <v>334</v>
      </c>
      <c r="C6035" s="4" t="s">
        <v>157</v>
      </c>
      <c r="D6035" s="4"/>
      <c r="E6035" s="4" t="s">
        <v>921</v>
      </c>
      <c r="F6035" s="46" t="s">
        <v>2905</v>
      </c>
      <c r="G6035" s="4" t="s">
        <v>336</v>
      </c>
      <c r="H6035" s="4" t="s">
        <v>380</v>
      </c>
      <c r="I6035" s="4">
        <v>1</v>
      </c>
      <c r="J6035" s="21">
        <v>200</v>
      </c>
      <c r="K6035" s="21">
        <v>200</v>
      </c>
      <c r="L6035" s="5">
        <v>0</v>
      </c>
      <c r="M6035" s="4"/>
      <c r="N6035" s="4"/>
      <c r="O6035" s="5"/>
      <c r="P6035" s="5"/>
      <c r="Q6035" s="21">
        <v>0</v>
      </c>
      <c r="R6035" s="21">
        <v>0</v>
      </c>
      <c r="S6035" s="5">
        <f t="shared" si="379"/>
        <v>64270.739360692016</v>
      </c>
      <c r="T6035" cm="1">
        <f t="array" ref="T6035">IF(OR(B6035="MAL ALIMI", B6035="ÜRETİM GİRİŞ"), MIN(I6035, MAX(0, I6035 + SUM(SUMIFS($I$1:I6034, $C$1:C6034, C6035, $B$1:B6034, {"MAL ALIMI","ÜRETİM GİRİŞ"})) - VLOOKUP(C6035, 'STOK RAPORU'!$C$2:$I$1000, 4, 0))), 0)</f>
        <v>0</v>
      </c>
      <c r="U6035" s="22">
        <f t="shared" si="376"/>
        <v>0</v>
      </c>
      <c r="V6035">
        <f t="shared" si="377"/>
        <v>0</v>
      </c>
      <c r="W6035" s="22">
        <f t="shared" si="378"/>
        <v>0</v>
      </c>
    </row>
    <row r="6036" spans="1:23" hidden="1" x14ac:dyDescent="0.25">
      <c r="A6036" s="45">
        <v>46117</v>
      </c>
      <c r="B6036" s="46" t="s">
        <v>334</v>
      </c>
      <c r="C6036" s="4" t="s">
        <v>140</v>
      </c>
      <c r="D6036" s="4"/>
      <c r="E6036" s="4" t="s">
        <v>921</v>
      </c>
      <c r="F6036" s="46" t="s">
        <v>2906</v>
      </c>
      <c r="G6036" s="4" t="s">
        <v>336</v>
      </c>
      <c r="H6036" s="4" t="s">
        <v>380</v>
      </c>
      <c r="I6036" s="4">
        <v>0.10333333333333333</v>
      </c>
      <c r="J6036" s="21">
        <v>300</v>
      </c>
      <c r="K6036" s="21">
        <v>31</v>
      </c>
      <c r="L6036" s="5">
        <v>0</v>
      </c>
      <c r="M6036" s="4"/>
      <c r="N6036" s="4"/>
      <c r="O6036" s="5"/>
      <c r="P6036" s="5"/>
      <c r="Q6036" s="21">
        <v>0</v>
      </c>
      <c r="R6036" s="21">
        <v>0</v>
      </c>
      <c r="S6036" s="5">
        <f t="shared" si="379"/>
        <v>64270.739360692016</v>
      </c>
      <c r="T6036" cm="1">
        <f t="array" ref="T6036">IF(OR(B6036="MAL ALIMI", B6036="ÜRETİM GİRİŞ"), MIN(I6036, MAX(0, I6036 + SUM(SUMIFS($I$1:I6035, $C$1:C6035, C6036, $B$1:B6035, {"MAL ALIMI","ÜRETİM GİRİŞ"})) - VLOOKUP(C6036, 'STOK RAPORU'!$C$2:$I$1000, 4, 0))), 0)</f>
        <v>0</v>
      </c>
      <c r="U6036" s="22">
        <f t="shared" si="376"/>
        <v>0</v>
      </c>
      <c r="V6036">
        <f t="shared" si="377"/>
        <v>0</v>
      </c>
      <c r="W6036" s="22">
        <f t="shared" si="378"/>
        <v>0</v>
      </c>
    </row>
    <row r="6037" spans="1:23" hidden="1" x14ac:dyDescent="0.25">
      <c r="A6037" s="45">
        <v>46117</v>
      </c>
      <c r="B6037" s="46" t="s">
        <v>334</v>
      </c>
      <c r="C6037" s="4" t="s">
        <v>241</v>
      </c>
      <c r="D6037" s="4"/>
      <c r="E6037" s="4" t="s">
        <v>921</v>
      </c>
      <c r="F6037" s="46" t="s">
        <v>2906</v>
      </c>
      <c r="G6037" s="4" t="s">
        <v>336</v>
      </c>
      <c r="H6037" s="4" t="s">
        <v>380</v>
      </c>
      <c r="I6037" s="4">
        <v>0.46511627906976744</v>
      </c>
      <c r="J6037" s="21">
        <v>430</v>
      </c>
      <c r="K6037" s="21">
        <v>200</v>
      </c>
      <c r="L6037" s="5">
        <v>0</v>
      </c>
      <c r="M6037" s="4"/>
      <c r="N6037" s="4"/>
      <c r="O6037" s="5"/>
      <c r="P6037" s="5"/>
      <c r="Q6037" s="21">
        <v>0</v>
      </c>
      <c r="R6037" s="21">
        <v>0</v>
      </c>
      <c r="S6037" s="5">
        <f t="shared" si="379"/>
        <v>64270.739360692016</v>
      </c>
      <c r="T6037" cm="1">
        <f t="array" ref="T6037">IF(OR(B6037="MAL ALIMI", B6037="ÜRETİM GİRİŞ"), MIN(I6037, MAX(0, I6037 + SUM(SUMIFS($I$1:I6036, $C$1:C6036, C6037, $B$1:B6036, {"MAL ALIMI","ÜRETİM GİRİŞ"})) - VLOOKUP(C6037, 'STOK RAPORU'!$C$2:$I$1000, 4, 0))), 0)</f>
        <v>0</v>
      </c>
      <c r="U6037" s="22">
        <f t="shared" si="376"/>
        <v>0</v>
      </c>
      <c r="V6037">
        <f t="shared" si="377"/>
        <v>0</v>
      </c>
      <c r="W6037" s="22">
        <f t="shared" si="378"/>
        <v>0</v>
      </c>
    </row>
    <row r="6038" spans="1:23" hidden="1" x14ac:dyDescent="0.25">
      <c r="A6038" s="45">
        <v>46117</v>
      </c>
      <c r="B6038" s="46" t="s">
        <v>334</v>
      </c>
      <c r="C6038" s="4" t="s">
        <v>158</v>
      </c>
      <c r="D6038" s="4"/>
      <c r="E6038" s="4" t="s">
        <v>921</v>
      </c>
      <c r="F6038" s="46" t="s">
        <v>2906</v>
      </c>
      <c r="G6038" s="4" t="s">
        <v>336</v>
      </c>
      <c r="H6038" s="4" t="s">
        <v>380</v>
      </c>
      <c r="I6038" s="4">
        <v>1</v>
      </c>
      <c r="J6038" s="21">
        <v>150</v>
      </c>
      <c r="K6038" s="21">
        <v>150</v>
      </c>
      <c r="L6038" s="5">
        <v>0</v>
      </c>
      <c r="M6038" s="4"/>
      <c r="N6038" s="4"/>
      <c r="O6038" s="5"/>
      <c r="P6038" s="5"/>
      <c r="Q6038" s="21">
        <v>0</v>
      </c>
      <c r="R6038" s="21">
        <v>0</v>
      </c>
      <c r="S6038" s="5">
        <f t="shared" si="379"/>
        <v>64270.739360692016</v>
      </c>
      <c r="T6038" cm="1">
        <f t="array" ref="T6038">IF(OR(B6038="MAL ALIMI", B6038="ÜRETİM GİRİŞ"), MIN(I6038, MAX(0, I6038 + SUM(SUMIFS($I$1:I6037, $C$1:C6037, C6038, $B$1:B6037, {"MAL ALIMI","ÜRETİM GİRİŞ"})) - VLOOKUP(C6038, 'STOK RAPORU'!$C$2:$I$1000, 4, 0))), 0)</f>
        <v>0</v>
      </c>
      <c r="U6038" s="22">
        <f t="shared" si="376"/>
        <v>0</v>
      </c>
      <c r="V6038">
        <f t="shared" si="377"/>
        <v>0</v>
      </c>
      <c r="W6038" s="22">
        <f t="shared" si="378"/>
        <v>0</v>
      </c>
    </row>
    <row r="6039" spans="1:23" hidden="1" x14ac:dyDescent="0.25">
      <c r="A6039" s="45">
        <v>46117</v>
      </c>
      <c r="B6039" s="46" t="s">
        <v>334</v>
      </c>
      <c r="C6039" s="4" t="s">
        <v>157</v>
      </c>
      <c r="D6039" s="4"/>
      <c r="E6039" s="4" t="s">
        <v>921</v>
      </c>
      <c r="F6039" s="46" t="s">
        <v>2906</v>
      </c>
      <c r="G6039" s="4" t="s">
        <v>336</v>
      </c>
      <c r="H6039" s="4" t="s">
        <v>380</v>
      </c>
      <c r="I6039" s="4">
        <v>1</v>
      </c>
      <c r="J6039" s="21">
        <v>200</v>
      </c>
      <c r="K6039" s="21">
        <v>200</v>
      </c>
      <c r="L6039" s="5">
        <v>0</v>
      </c>
      <c r="M6039" s="4"/>
      <c r="N6039" s="4"/>
      <c r="O6039" s="5"/>
      <c r="P6039" s="5"/>
      <c r="Q6039" s="21">
        <v>0</v>
      </c>
      <c r="R6039" s="21">
        <v>0</v>
      </c>
      <c r="S6039" s="5">
        <f t="shared" si="379"/>
        <v>64270.739360692016</v>
      </c>
      <c r="T6039" cm="1">
        <f t="array" ref="T6039">IF(OR(B6039="MAL ALIMI", B6039="ÜRETİM GİRİŞ"), MIN(I6039, MAX(0, I6039 + SUM(SUMIFS($I$1:I6038, $C$1:C6038, C6039, $B$1:B6038, {"MAL ALIMI","ÜRETİM GİRİŞ"})) - VLOOKUP(C6039, 'STOK RAPORU'!$C$2:$I$1000, 4, 0))), 0)</f>
        <v>0</v>
      </c>
      <c r="U6039" s="22">
        <f t="shared" si="376"/>
        <v>0</v>
      </c>
      <c r="V6039">
        <f t="shared" si="377"/>
        <v>0</v>
      </c>
      <c r="W6039" s="22">
        <f t="shared" si="378"/>
        <v>0</v>
      </c>
    </row>
    <row r="6040" spans="1:23" hidden="1" x14ac:dyDescent="0.25">
      <c r="A6040" s="45">
        <v>46117</v>
      </c>
      <c r="B6040" s="46" t="s">
        <v>334</v>
      </c>
      <c r="C6040" s="4" t="s">
        <v>693</v>
      </c>
      <c r="D6040" s="4"/>
      <c r="E6040" s="4" t="s">
        <v>921</v>
      </c>
      <c r="F6040" s="46" t="s">
        <v>2906</v>
      </c>
      <c r="G6040" s="4" t="s">
        <v>336</v>
      </c>
      <c r="H6040" s="4" t="s">
        <v>380</v>
      </c>
      <c r="I6040" s="4">
        <v>0.51282051282051277</v>
      </c>
      <c r="J6040" s="21">
        <v>195</v>
      </c>
      <c r="K6040" s="21">
        <v>99.999999999999986</v>
      </c>
      <c r="L6040" s="5">
        <v>0</v>
      </c>
      <c r="M6040" s="4"/>
      <c r="N6040" s="4"/>
      <c r="O6040" s="5"/>
      <c r="P6040" s="5"/>
      <c r="Q6040" s="21">
        <v>0</v>
      </c>
      <c r="R6040" s="21">
        <v>0</v>
      </c>
      <c r="S6040" s="5">
        <f t="shared" si="379"/>
        <v>64270.739360692016</v>
      </c>
      <c r="T6040" cm="1">
        <f t="array" ref="T6040">IF(OR(B6040="MAL ALIMI", B6040="ÜRETİM GİRİŞ"), MIN(I6040, MAX(0, I6040 + SUM(SUMIFS($I$1:I6039, $C$1:C6039, C6040, $B$1:B6039, {"MAL ALIMI","ÜRETİM GİRİŞ"})) - VLOOKUP(C6040, 'STOK RAPORU'!$C$2:$I$1000, 4, 0))), 0)</f>
        <v>0</v>
      </c>
      <c r="U6040" s="22">
        <f t="shared" si="376"/>
        <v>0</v>
      </c>
      <c r="V6040">
        <f t="shared" si="377"/>
        <v>0</v>
      </c>
      <c r="W6040" s="22">
        <f t="shared" si="378"/>
        <v>0</v>
      </c>
    </row>
    <row r="6041" spans="1:23" hidden="1" x14ac:dyDescent="0.25">
      <c r="A6041" s="45">
        <v>46117</v>
      </c>
      <c r="B6041" s="46" t="s">
        <v>334</v>
      </c>
      <c r="C6041" s="4" t="s">
        <v>692</v>
      </c>
      <c r="D6041" s="4"/>
      <c r="E6041" s="4" t="s">
        <v>921</v>
      </c>
      <c r="F6041" s="46" t="s">
        <v>2906</v>
      </c>
      <c r="G6041" s="4" t="s">
        <v>336</v>
      </c>
      <c r="H6041" s="4" t="s">
        <v>380</v>
      </c>
      <c r="I6041" s="4">
        <v>0.5</v>
      </c>
      <c r="J6041" s="21">
        <v>60</v>
      </c>
      <c r="K6041" s="21">
        <v>30</v>
      </c>
      <c r="L6041" s="5">
        <v>0</v>
      </c>
      <c r="M6041" s="4"/>
      <c r="N6041" s="4"/>
      <c r="O6041" s="5"/>
      <c r="P6041" s="5"/>
      <c r="Q6041" s="21">
        <v>0</v>
      </c>
      <c r="R6041" s="21">
        <v>0</v>
      </c>
      <c r="S6041" s="5">
        <f t="shared" si="379"/>
        <v>64270.739360692016</v>
      </c>
      <c r="T6041" cm="1">
        <f t="array" ref="T6041">IF(OR(B6041="MAL ALIMI", B6041="ÜRETİM GİRİŞ"), MIN(I6041, MAX(0, I6041 + SUM(SUMIFS($I$1:I6040, $C$1:C6040, C6041, $B$1:B6040, {"MAL ALIMI","ÜRETİM GİRİŞ"})) - VLOOKUP(C6041, 'STOK RAPORU'!$C$2:$I$1000, 4, 0))), 0)</f>
        <v>0</v>
      </c>
      <c r="U6041" s="22">
        <f t="shared" si="376"/>
        <v>0</v>
      </c>
      <c r="V6041">
        <f t="shared" si="377"/>
        <v>0</v>
      </c>
      <c r="W6041" s="22">
        <f t="shared" si="378"/>
        <v>0</v>
      </c>
    </row>
    <row r="6042" spans="1:23" hidden="1" x14ac:dyDescent="0.25">
      <c r="A6042" s="45">
        <v>46117</v>
      </c>
      <c r="B6042" s="46" t="s">
        <v>334</v>
      </c>
      <c r="C6042" s="4" t="s">
        <v>247</v>
      </c>
      <c r="D6042" s="4"/>
      <c r="E6042" s="4" t="s">
        <v>921</v>
      </c>
      <c r="F6042" s="46" t="s">
        <v>2906</v>
      </c>
      <c r="G6042" s="4" t="s">
        <v>336</v>
      </c>
      <c r="H6042" s="4" t="s">
        <v>380</v>
      </c>
      <c r="I6042" s="4">
        <v>0.5</v>
      </c>
      <c r="J6042" s="21">
        <v>1200</v>
      </c>
      <c r="K6042" s="21">
        <v>600</v>
      </c>
      <c r="L6042" s="5">
        <v>0</v>
      </c>
      <c r="M6042" s="4"/>
      <c r="N6042" s="4"/>
      <c r="O6042" s="5"/>
      <c r="P6042" s="5"/>
      <c r="Q6042" s="21">
        <v>0</v>
      </c>
      <c r="R6042" s="21">
        <v>0</v>
      </c>
      <c r="S6042" s="5">
        <f t="shared" si="379"/>
        <v>64270.739360692016</v>
      </c>
      <c r="T6042" cm="1">
        <f t="array" ref="T6042">IF(OR(B6042="MAL ALIMI", B6042="ÜRETİM GİRİŞ"), MIN(I6042, MAX(0, I6042 + SUM(SUMIFS($I$1:I6041, $C$1:C6041, C6042, $B$1:B6041, {"MAL ALIMI","ÜRETİM GİRİŞ"})) - VLOOKUP(C6042, 'STOK RAPORU'!$C$2:$I$1000, 4, 0))), 0)</f>
        <v>0</v>
      </c>
      <c r="U6042" s="22">
        <f t="shared" si="376"/>
        <v>0</v>
      </c>
      <c r="V6042">
        <f t="shared" si="377"/>
        <v>0</v>
      </c>
      <c r="W6042" s="22">
        <f t="shared" si="378"/>
        <v>0</v>
      </c>
    </row>
    <row r="6043" spans="1:23" hidden="1" x14ac:dyDescent="0.25">
      <c r="A6043" s="45">
        <v>46117</v>
      </c>
      <c r="B6043" s="46" t="s">
        <v>334</v>
      </c>
      <c r="C6043" s="4" t="s">
        <v>223</v>
      </c>
      <c r="D6043" s="4"/>
      <c r="E6043" s="4" t="s">
        <v>921</v>
      </c>
      <c r="F6043" s="46" t="s">
        <v>2906</v>
      </c>
      <c r="G6043" s="4" t="s">
        <v>336</v>
      </c>
      <c r="H6043" s="4" t="s">
        <v>380</v>
      </c>
      <c r="I6043" s="4">
        <v>0.69499999999999995</v>
      </c>
      <c r="J6043" s="21">
        <v>800</v>
      </c>
      <c r="K6043" s="21">
        <v>556</v>
      </c>
      <c r="L6043" s="5">
        <v>0</v>
      </c>
      <c r="M6043" s="4"/>
      <c r="N6043" s="4"/>
      <c r="O6043" s="5"/>
      <c r="P6043" s="5"/>
      <c r="Q6043" s="21">
        <v>0</v>
      </c>
      <c r="R6043" s="21">
        <v>0</v>
      </c>
      <c r="S6043" s="5">
        <f t="shared" si="379"/>
        <v>64270.739360692016</v>
      </c>
      <c r="T6043" cm="1">
        <f t="array" ref="T6043">IF(OR(B6043="MAL ALIMI", B6043="ÜRETİM GİRİŞ"), MIN(I6043, MAX(0, I6043 + SUM(SUMIFS($I$1:I6042, $C$1:C6042, C6043, $B$1:B6042, {"MAL ALIMI","ÜRETİM GİRİŞ"})) - VLOOKUP(C6043, 'STOK RAPORU'!$C$2:$I$1000, 4, 0))), 0)</f>
        <v>0</v>
      </c>
      <c r="U6043" s="22">
        <f t="shared" si="376"/>
        <v>0</v>
      </c>
      <c r="V6043">
        <f t="shared" si="377"/>
        <v>0</v>
      </c>
      <c r="W6043" s="22">
        <f t="shared" si="378"/>
        <v>0</v>
      </c>
    </row>
    <row r="6044" spans="1:23" hidden="1" x14ac:dyDescent="0.25">
      <c r="A6044" s="45">
        <v>46117</v>
      </c>
      <c r="B6044" s="46" t="s">
        <v>334</v>
      </c>
      <c r="C6044" s="4" t="s">
        <v>690</v>
      </c>
      <c r="D6044" s="4"/>
      <c r="E6044" s="4" t="s">
        <v>921</v>
      </c>
      <c r="F6044" s="46" t="s">
        <v>2906</v>
      </c>
      <c r="G6044" s="4" t="s">
        <v>336</v>
      </c>
      <c r="H6044" s="4" t="s">
        <v>380</v>
      </c>
      <c r="I6044" s="4">
        <v>0.43823529411764706</v>
      </c>
      <c r="J6044" s="21">
        <v>340</v>
      </c>
      <c r="K6044" s="21">
        <v>149</v>
      </c>
      <c r="L6044" s="5">
        <v>0</v>
      </c>
      <c r="M6044" s="4"/>
      <c r="N6044" s="4"/>
      <c r="O6044" s="5"/>
      <c r="P6044" s="5"/>
      <c r="Q6044" s="21">
        <v>0</v>
      </c>
      <c r="R6044" s="21">
        <v>0</v>
      </c>
      <c r="S6044" s="5">
        <f t="shared" si="379"/>
        <v>64270.739360692016</v>
      </c>
      <c r="T6044" cm="1">
        <f t="array" ref="T6044">IF(OR(B6044="MAL ALIMI", B6044="ÜRETİM GİRİŞ"), MIN(I6044, MAX(0, I6044 + SUM(SUMIFS($I$1:I6043, $C$1:C6043, C6044, $B$1:B6043, {"MAL ALIMI","ÜRETİM GİRİŞ"})) - VLOOKUP(C6044, 'STOK RAPORU'!$C$2:$I$1000, 4, 0))), 0)</f>
        <v>0</v>
      </c>
      <c r="U6044" s="22">
        <f t="shared" si="376"/>
        <v>0</v>
      </c>
      <c r="V6044">
        <f t="shared" si="377"/>
        <v>0</v>
      </c>
      <c r="W6044" s="22">
        <f t="shared" si="378"/>
        <v>0</v>
      </c>
    </row>
    <row r="6045" spans="1:23" hidden="1" x14ac:dyDescent="0.25">
      <c r="A6045" s="45">
        <v>46117</v>
      </c>
      <c r="B6045" s="46" t="s">
        <v>334</v>
      </c>
      <c r="C6045" s="4" t="s">
        <v>253</v>
      </c>
      <c r="D6045" s="4"/>
      <c r="E6045" s="4"/>
      <c r="F6045" s="46" t="s">
        <v>2907</v>
      </c>
      <c r="G6045" s="4" t="s">
        <v>336</v>
      </c>
      <c r="H6045" s="4" t="s">
        <v>289</v>
      </c>
      <c r="I6045" s="4">
        <v>0.20833333333333334</v>
      </c>
      <c r="J6045" s="21">
        <v>240</v>
      </c>
      <c r="K6045" s="21">
        <v>0</v>
      </c>
      <c r="L6045" s="5">
        <v>0</v>
      </c>
      <c r="M6045" s="4"/>
      <c r="N6045" s="4"/>
      <c r="O6045" s="5"/>
      <c r="P6045" s="5"/>
      <c r="Q6045" s="21">
        <v>50</v>
      </c>
      <c r="R6045" s="21">
        <v>0</v>
      </c>
      <c r="S6045" s="5">
        <f t="shared" si="379"/>
        <v>64320.739360692016</v>
      </c>
      <c r="T6045" cm="1">
        <f t="array" ref="T6045">IF(OR(B6045="MAL ALIMI", B6045="ÜRETİM GİRİŞ"), MIN(I6045, MAX(0, I6045 + SUM(SUMIFS($I$1:I6044, $C$1:C6044, C6045, $B$1:B6044, {"MAL ALIMI","ÜRETİM GİRİŞ"})) - VLOOKUP(C6045, 'STOK RAPORU'!$C$2:$I$1000, 4, 0))), 0)</f>
        <v>0</v>
      </c>
      <c r="U6045" s="22">
        <f t="shared" si="376"/>
        <v>0</v>
      </c>
      <c r="V6045">
        <f t="shared" si="377"/>
        <v>0</v>
      </c>
      <c r="W6045" s="22">
        <f t="shared" si="378"/>
        <v>0</v>
      </c>
    </row>
    <row r="6046" spans="1:23" hidden="1" x14ac:dyDescent="0.25">
      <c r="A6046" s="45">
        <v>46118</v>
      </c>
      <c r="B6046" s="46" t="s">
        <v>334</v>
      </c>
      <c r="C6046" s="4" t="s">
        <v>256</v>
      </c>
      <c r="D6046" s="4"/>
      <c r="E6046" s="4"/>
      <c r="F6046" s="46" t="s">
        <v>2908</v>
      </c>
      <c r="G6046" s="4" t="s">
        <v>336</v>
      </c>
      <c r="H6046" s="4" t="s">
        <v>289</v>
      </c>
      <c r="I6046" s="4">
        <v>1</v>
      </c>
      <c r="J6046" s="21">
        <v>220</v>
      </c>
      <c r="K6046" s="21">
        <v>0</v>
      </c>
      <c r="L6046" s="5">
        <v>0</v>
      </c>
      <c r="M6046" s="4"/>
      <c r="N6046" s="4"/>
      <c r="O6046" s="5"/>
      <c r="P6046" s="5"/>
      <c r="Q6046" s="21">
        <v>220</v>
      </c>
      <c r="R6046" s="21">
        <v>0</v>
      </c>
      <c r="S6046" s="5">
        <f t="shared" si="379"/>
        <v>64540.739360692016</v>
      </c>
      <c r="T6046" cm="1">
        <f t="array" ref="T6046">IF(OR(B6046="MAL ALIMI", B6046="ÜRETİM GİRİŞ"), MIN(I6046, MAX(0, I6046 + SUM(SUMIFS($I$1:I6045, $C$1:C6045, C6046, $B$1:B6045, {"MAL ALIMI","ÜRETİM GİRİŞ"})) - VLOOKUP(C6046, 'STOK RAPORU'!$C$2:$I$1000, 4, 0))), 0)</f>
        <v>0</v>
      </c>
      <c r="U6046" s="22">
        <f t="shared" si="376"/>
        <v>0</v>
      </c>
      <c r="V6046">
        <f t="shared" si="377"/>
        <v>0</v>
      </c>
      <c r="W6046" s="22">
        <f t="shared" si="378"/>
        <v>0</v>
      </c>
    </row>
    <row r="6047" spans="1:23" hidden="1" x14ac:dyDescent="0.25">
      <c r="A6047" s="45">
        <v>46118</v>
      </c>
      <c r="B6047" s="46" t="s">
        <v>334</v>
      </c>
      <c r="C6047" s="4" t="s">
        <v>695</v>
      </c>
      <c r="D6047" s="4"/>
      <c r="E6047" s="4"/>
      <c r="F6047" s="46" t="s">
        <v>2909</v>
      </c>
      <c r="G6047" s="4" t="s">
        <v>336</v>
      </c>
      <c r="H6047" s="4" t="s">
        <v>289</v>
      </c>
      <c r="I6047" s="4">
        <v>0.5</v>
      </c>
      <c r="J6047" s="21">
        <v>120</v>
      </c>
      <c r="K6047" s="21">
        <v>0</v>
      </c>
      <c r="L6047" s="5">
        <v>0</v>
      </c>
      <c r="M6047" s="4"/>
      <c r="N6047" s="4"/>
      <c r="O6047" s="5"/>
      <c r="P6047" s="5"/>
      <c r="Q6047" s="21">
        <v>60</v>
      </c>
      <c r="R6047" s="21">
        <v>0</v>
      </c>
      <c r="S6047" s="5">
        <f t="shared" si="379"/>
        <v>64600.739360692016</v>
      </c>
      <c r="T6047" cm="1">
        <f t="array" ref="T6047">IF(OR(B6047="MAL ALIMI", B6047="ÜRETİM GİRİŞ"), MIN(I6047, MAX(0, I6047 + SUM(SUMIFS($I$1:I6046, $C$1:C6046, C6047, $B$1:B6046, {"MAL ALIMI","ÜRETİM GİRİŞ"})) - VLOOKUP(C6047, 'STOK RAPORU'!$C$2:$I$1000, 4, 0))), 0)</f>
        <v>0</v>
      </c>
      <c r="U6047" s="22">
        <f t="shared" si="376"/>
        <v>0</v>
      </c>
      <c r="V6047">
        <f t="shared" si="377"/>
        <v>0</v>
      </c>
      <c r="W6047" s="22">
        <f t="shared" si="378"/>
        <v>0</v>
      </c>
    </row>
    <row r="6048" spans="1:23" hidden="1" x14ac:dyDescent="0.25">
      <c r="A6048" s="45">
        <v>46118</v>
      </c>
      <c r="B6048" s="46" t="s">
        <v>334</v>
      </c>
      <c r="C6048" s="4" t="s">
        <v>240</v>
      </c>
      <c r="D6048" s="4"/>
      <c r="E6048" s="4"/>
      <c r="F6048" s="46" t="s">
        <v>2910</v>
      </c>
      <c r="G6048" s="4" t="s">
        <v>336</v>
      </c>
      <c r="H6048" s="4" t="s">
        <v>289</v>
      </c>
      <c r="I6048" s="4">
        <v>0.125</v>
      </c>
      <c r="J6048" s="21">
        <v>240</v>
      </c>
      <c r="K6048" s="21">
        <v>0</v>
      </c>
      <c r="L6048" s="5">
        <v>0</v>
      </c>
      <c r="M6048" s="4"/>
      <c r="N6048" s="4"/>
      <c r="O6048" s="5"/>
      <c r="P6048" s="5"/>
      <c r="Q6048" s="21">
        <v>30</v>
      </c>
      <c r="R6048" s="21">
        <v>0</v>
      </c>
      <c r="S6048" s="5">
        <f t="shared" si="379"/>
        <v>64630.739360692016</v>
      </c>
      <c r="T6048" cm="1">
        <f t="array" ref="T6048">IF(OR(B6048="MAL ALIMI", B6048="ÜRETİM GİRİŞ"), MIN(I6048, MAX(0, I6048 + SUM(SUMIFS($I$1:I6047, $C$1:C6047, C6048, $B$1:B6047, {"MAL ALIMI","ÜRETİM GİRİŞ"})) - VLOOKUP(C6048, 'STOK RAPORU'!$C$2:$I$1000, 4, 0))), 0)</f>
        <v>0</v>
      </c>
      <c r="U6048" s="22">
        <f t="shared" si="376"/>
        <v>0</v>
      </c>
      <c r="V6048">
        <f t="shared" si="377"/>
        <v>0</v>
      </c>
      <c r="W6048" s="22">
        <f t="shared" si="378"/>
        <v>0</v>
      </c>
    </row>
    <row r="6049" spans="1:23" hidden="1" x14ac:dyDescent="0.25">
      <c r="A6049" s="45">
        <v>46118</v>
      </c>
      <c r="B6049" s="46" t="s">
        <v>334</v>
      </c>
      <c r="C6049" s="4" t="s">
        <v>89</v>
      </c>
      <c r="D6049" s="4"/>
      <c r="E6049" s="4"/>
      <c r="F6049" s="46" t="s">
        <v>2911</v>
      </c>
      <c r="G6049" s="4" t="s">
        <v>336</v>
      </c>
      <c r="H6049" s="4" t="s">
        <v>289</v>
      </c>
      <c r="I6049" s="4">
        <v>0.5</v>
      </c>
      <c r="J6049" s="21">
        <v>600</v>
      </c>
      <c r="K6049" s="21">
        <v>0</v>
      </c>
      <c r="L6049" s="5">
        <v>0</v>
      </c>
      <c r="M6049" s="4"/>
      <c r="N6049" s="4"/>
      <c r="O6049" s="5"/>
      <c r="P6049" s="5"/>
      <c r="Q6049" s="21">
        <v>300</v>
      </c>
      <c r="R6049" s="21">
        <v>0</v>
      </c>
      <c r="S6049" s="5">
        <f t="shared" si="379"/>
        <v>64930.739360692016</v>
      </c>
      <c r="T6049" cm="1">
        <f t="array" ref="T6049">IF(OR(B6049="MAL ALIMI", B6049="ÜRETİM GİRİŞ"), MIN(I6049, MAX(0, I6049 + SUM(SUMIFS($I$1:I6048, $C$1:C6048, C6049, $B$1:B6048, {"MAL ALIMI","ÜRETİM GİRİŞ"})) - VLOOKUP(C6049, 'STOK RAPORU'!$C$2:$I$1000, 4, 0))), 0)</f>
        <v>0</v>
      </c>
      <c r="U6049" s="22">
        <f t="shared" si="376"/>
        <v>0</v>
      </c>
      <c r="V6049">
        <f t="shared" si="377"/>
        <v>0</v>
      </c>
      <c r="W6049" s="22">
        <f t="shared" si="378"/>
        <v>0</v>
      </c>
    </row>
    <row r="6050" spans="1:23" hidden="1" x14ac:dyDescent="0.25">
      <c r="A6050" s="45">
        <v>46118</v>
      </c>
      <c r="B6050" s="46" t="s">
        <v>334</v>
      </c>
      <c r="C6050" s="4" t="s">
        <v>236</v>
      </c>
      <c r="D6050" s="4"/>
      <c r="E6050" s="4" t="s">
        <v>921</v>
      </c>
      <c r="F6050" s="46" t="s">
        <v>2912</v>
      </c>
      <c r="G6050" s="4" t="s">
        <v>336</v>
      </c>
      <c r="H6050" s="4" t="s">
        <v>380</v>
      </c>
      <c r="I6050" s="4">
        <v>0.5</v>
      </c>
      <c r="J6050" s="21">
        <v>350</v>
      </c>
      <c r="K6050" s="21">
        <v>175</v>
      </c>
      <c r="L6050" s="5">
        <v>0</v>
      </c>
      <c r="M6050" s="4"/>
      <c r="N6050" s="4"/>
      <c r="O6050" s="5"/>
      <c r="P6050" s="5"/>
      <c r="Q6050" s="21">
        <v>0</v>
      </c>
      <c r="R6050" s="21">
        <v>0</v>
      </c>
      <c r="S6050" s="5">
        <f t="shared" si="379"/>
        <v>64930.739360692016</v>
      </c>
      <c r="T6050" cm="1">
        <f t="array" ref="T6050">IF(OR(B6050="MAL ALIMI", B6050="ÜRETİM GİRİŞ"), MIN(I6050, MAX(0, I6050 + SUM(SUMIFS($I$1:I6049, $C$1:C6049, C6050, $B$1:B6049, {"MAL ALIMI","ÜRETİM GİRİŞ"})) - VLOOKUP(C6050, 'STOK RAPORU'!$C$2:$I$1000, 4, 0))), 0)</f>
        <v>0</v>
      </c>
      <c r="U6050" s="22">
        <f t="shared" si="376"/>
        <v>0</v>
      </c>
      <c r="V6050">
        <f t="shared" si="377"/>
        <v>0</v>
      </c>
      <c r="W6050" s="22">
        <f t="shared" si="378"/>
        <v>0</v>
      </c>
    </row>
    <row r="6051" spans="1:23" hidden="1" x14ac:dyDescent="0.25">
      <c r="A6051" s="45">
        <v>46118</v>
      </c>
      <c r="B6051" s="46" t="s">
        <v>334</v>
      </c>
      <c r="C6051" s="4" t="s">
        <v>96</v>
      </c>
      <c r="D6051" s="4"/>
      <c r="E6051" s="4" t="s">
        <v>921</v>
      </c>
      <c r="F6051" s="46" t="s">
        <v>2913</v>
      </c>
      <c r="G6051" s="4" t="s">
        <v>2561</v>
      </c>
      <c r="H6051" s="4" t="s">
        <v>380</v>
      </c>
      <c r="I6051" s="4">
        <v>2</v>
      </c>
      <c r="J6051" s="21">
        <v>260</v>
      </c>
      <c r="K6051" s="21">
        <v>520</v>
      </c>
      <c r="L6051" s="5">
        <v>0</v>
      </c>
      <c r="M6051" s="4"/>
      <c r="N6051" s="4"/>
      <c r="O6051" s="5"/>
      <c r="P6051" s="5"/>
      <c r="Q6051" s="21">
        <v>0</v>
      </c>
      <c r="R6051" s="21">
        <v>0</v>
      </c>
      <c r="S6051" s="5">
        <f t="shared" si="379"/>
        <v>64930.739360692016</v>
      </c>
      <c r="T6051" cm="1">
        <f t="array" ref="T6051">IF(OR(B6051="MAL ALIMI", B6051="ÜRETİM GİRİŞ"), MIN(I6051, MAX(0, I6051 + SUM(SUMIFS($I$1:I6050, $C$1:C6050, C6051, $B$1:B6050, {"MAL ALIMI","ÜRETİM GİRİŞ"})) - VLOOKUP(C6051, 'STOK RAPORU'!$C$2:$I$1000, 4, 0))), 0)</f>
        <v>0</v>
      </c>
      <c r="U6051" s="22">
        <f t="shared" si="376"/>
        <v>0</v>
      </c>
      <c r="V6051">
        <f t="shared" si="377"/>
        <v>0</v>
      </c>
      <c r="W6051" s="22">
        <f t="shared" si="378"/>
        <v>0</v>
      </c>
    </row>
    <row r="6052" spans="1:23" hidden="1" x14ac:dyDescent="0.25">
      <c r="A6052" s="45">
        <v>46118</v>
      </c>
      <c r="B6052" s="46" t="s">
        <v>334</v>
      </c>
      <c r="C6052" s="4" t="s">
        <v>133</v>
      </c>
      <c r="D6052" s="4"/>
      <c r="E6052" s="4" t="s">
        <v>921</v>
      </c>
      <c r="F6052" s="46" t="s">
        <v>2913</v>
      </c>
      <c r="G6052" s="4" t="s">
        <v>2561</v>
      </c>
      <c r="H6052" s="4" t="s">
        <v>380</v>
      </c>
      <c r="I6052" s="4">
        <v>2</v>
      </c>
      <c r="J6052" s="21">
        <v>250</v>
      </c>
      <c r="K6052" s="21">
        <v>500</v>
      </c>
      <c r="L6052" s="5">
        <v>0</v>
      </c>
      <c r="M6052" s="4"/>
      <c r="N6052" s="4"/>
      <c r="O6052" s="5"/>
      <c r="P6052" s="5"/>
      <c r="Q6052" s="21">
        <v>0</v>
      </c>
      <c r="R6052" s="21">
        <v>0</v>
      </c>
      <c r="S6052" s="5">
        <f t="shared" si="379"/>
        <v>64930.739360692016</v>
      </c>
      <c r="T6052" cm="1">
        <f t="array" ref="T6052">IF(OR(B6052="MAL ALIMI", B6052="ÜRETİM GİRİŞ"), MIN(I6052, MAX(0, I6052 + SUM(SUMIFS($I$1:I6051, $C$1:C6051, C6052, $B$1:B6051, {"MAL ALIMI","ÜRETİM GİRİŞ"})) - VLOOKUP(C6052, 'STOK RAPORU'!$C$2:$I$1000, 4, 0))), 0)</f>
        <v>0</v>
      </c>
      <c r="U6052" s="22">
        <f t="shared" si="376"/>
        <v>0</v>
      </c>
      <c r="V6052">
        <f t="shared" si="377"/>
        <v>0</v>
      </c>
      <c r="W6052" s="22">
        <f t="shared" si="378"/>
        <v>0</v>
      </c>
    </row>
    <row r="6053" spans="1:23" hidden="1" x14ac:dyDescent="0.25">
      <c r="A6053" s="45">
        <v>46118</v>
      </c>
      <c r="B6053" s="46" t="s">
        <v>334</v>
      </c>
      <c r="C6053" s="4" t="s">
        <v>463</v>
      </c>
      <c r="D6053" s="4"/>
      <c r="E6053" s="4" t="s">
        <v>921</v>
      </c>
      <c r="F6053" s="46" t="s">
        <v>2913</v>
      </c>
      <c r="G6053" s="4" t="s">
        <v>2561</v>
      </c>
      <c r="H6053" s="4" t="s">
        <v>380</v>
      </c>
      <c r="I6053" s="4">
        <v>2</v>
      </c>
      <c r="J6053" s="21">
        <v>265</v>
      </c>
      <c r="K6053" s="21">
        <v>530</v>
      </c>
      <c r="L6053" s="5">
        <v>0</v>
      </c>
      <c r="M6053" s="4"/>
      <c r="N6053" s="4"/>
      <c r="O6053" s="5"/>
      <c r="P6053" s="5"/>
      <c r="Q6053" s="21">
        <v>0</v>
      </c>
      <c r="R6053" s="21">
        <v>0</v>
      </c>
      <c r="S6053" s="5">
        <f t="shared" si="379"/>
        <v>64930.739360692016</v>
      </c>
      <c r="T6053" cm="1">
        <f t="array" ref="T6053">IF(OR(B6053="MAL ALIMI", B6053="ÜRETİM GİRİŞ"), MIN(I6053, MAX(0, I6053 + SUM(SUMIFS($I$1:I6052, $C$1:C6052, C6053, $B$1:B6052, {"MAL ALIMI","ÜRETİM GİRİŞ"})) - VLOOKUP(C6053, 'STOK RAPORU'!$C$2:$I$1000, 4, 0))), 0)</f>
        <v>0</v>
      </c>
      <c r="U6053" s="22">
        <f t="shared" si="376"/>
        <v>0</v>
      </c>
      <c r="V6053">
        <f t="shared" si="377"/>
        <v>0</v>
      </c>
      <c r="W6053" s="22">
        <f t="shared" si="378"/>
        <v>0</v>
      </c>
    </row>
    <row r="6054" spans="1:23" hidden="1" x14ac:dyDescent="0.25">
      <c r="A6054" s="45">
        <v>46118</v>
      </c>
      <c r="B6054" s="46" t="s">
        <v>334</v>
      </c>
      <c r="C6054" s="4" t="s">
        <v>1041</v>
      </c>
      <c r="D6054" s="4"/>
      <c r="E6054" s="4"/>
      <c r="F6054" s="46" t="s">
        <v>2914</v>
      </c>
      <c r="G6054" s="4" t="s">
        <v>336</v>
      </c>
      <c r="H6054" s="4" t="s">
        <v>289</v>
      </c>
      <c r="I6054" s="4">
        <v>0.4</v>
      </c>
      <c r="J6054" s="21">
        <v>250</v>
      </c>
      <c r="K6054" s="21">
        <v>0</v>
      </c>
      <c r="L6054" s="5">
        <v>0</v>
      </c>
      <c r="M6054" s="4"/>
      <c r="N6054" s="4"/>
      <c r="O6054" s="5"/>
      <c r="P6054" s="5"/>
      <c r="Q6054" s="21">
        <v>100</v>
      </c>
      <c r="R6054" s="21">
        <v>0</v>
      </c>
      <c r="S6054" s="5">
        <f t="shared" si="379"/>
        <v>65030.739360692016</v>
      </c>
      <c r="T6054" cm="1">
        <f t="array" ref="T6054">IF(OR(B6054="MAL ALIMI", B6054="ÜRETİM GİRİŞ"), MIN(I6054, MAX(0, I6054 + SUM(SUMIFS($I$1:I6053, $C$1:C6053, C6054, $B$1:B6053, {"MAL ALIMI","ÜRETİM GİRİŞ"})) - VLOOKUP(C6054, 'STOK RAPORU'!$C$2:$I$1000, 4, 0))), 0)</f>
        <v>0</v>
      </c>
      <c r="U6054" s="22">
        <f t="shared" si="376"/>
        <v>0</v>
      </c>
      <c r="V6054">
        <f t="shared" si="377"/>
        <v>0</v>
      </c>
      <c r="W6054" s="22">
        <f t="shared" si="378"/>
        <v>0</v>
      </c>
    </row>
    <row r="6055" spans="1:23" hidden="1" x14ac:dyDescent="0.25">
      <c r="A6055" s="45">
        <v>46118</v>
      </c>
      <c r="B6055" s="46" t="s">
        <v>334</v>
      </c>
      <c r="C6055" s="4" t="s">
        <v>728</v>
      </c>
      <c r="D6055" s="4"/>
      <c r="E6055" s="4" t="s">
        <v>921</v>
      </c>
      <c r="F6055" s="46" t="s">
        <v>2915</v>
      </c>
      <c r="G6055" s="4" t="s">
        <v>336</v>
      </c>
      <c r="H6055" s="4" t="s">
        <v>380</v>
      </c>
      <c r="I6055" s="4">
        <v>0.34200000000000003</v>
      </c>
      <c r="J6055" s="21">
        <v>650</v>
      </c>
      <c r="K6055" s="21">
        <v>222.3</v>
      </c>
      <c r="L6055" s="5">
        <v>0</v>
      </c>
      <c r="M6055" s="4"/>
      <c r="N6055" s="4"/>
      <c r="O6055" s="5"/>
      <c r="P6055" s="5"/>
      <c r="Q6055" s="21">
        <v>0</v>
      </c>
      <c r="R6055" s="21">
        <v>0</v>
      </c>
      <c r="S6055" s="5">
        <f t="shared" si="379"/>
        <v>65030.739360692016</v>
      </c>
      <c r="T6055" cm="1">
        <f t="array" ref="T6055">IF(OR(B6055="MAL ALIMI", B6055="ÜRETİM GİRİŞ"), MIN(I6055, MAX(0, I6055 + SUM(SUMIFS($I$1:I6054, $C$1:C6054, C6055, $B$1:B6054, {"MAL ALIMI","ÜRETİM GİRİŞ"})) - VLOOKUP(C6055, 'STOK RAPORU'!$C$2:$I$1000, 4, 0))), 0)</f>
        <v>0</v>
      </c>
      <c r="U6055" s="22">
        <f t="shared" si="376"/>
        <v>0</v>
      </c>
      <c r="V6055">
        <f t="shared" si="377"/>
        <v>0</v>
      </c>
      <c r="W6055" s="22">
        <f t="shared" si="378"/>
        <v>0</v>
      </c>
    </row>
    <row r="6056" spans="1:23" hidden="1" x14ac:dyDescent="0.25">
      <c r="A6056" s="45">
        <v>46118</v>
      </c>
      <c r="B6056" s="46" t="s">
        <v>334</v>
      </c>
      <c r="C6056" s="4" t="s">
        <v>237</v>
      </c>
      <c r="D6056" s="4"/>
      <c r="E6056" s="4" t="s">
        <v>921</v>
      </c>
      <c r="F6056" s="46" t="s">
        <v>2915</v>
      </c>
      <c r="G6056" s="4" t="s">
        <v>336</v>
      </c>
      <c r="H6056" s="4" t="s">
        <v>380</v>
      </c>
      <c r="I6056" s="4">
        <v>0.05</v>
      </c>
      <c r="J6056" s="21">
        <v>1800</v>
      </c>
      <c r="K6056" s="21">
        <v>90</v>
      </c>
      <c r="L6056" s="5">
        <v>0</v>
      </c>
      <c r="M6056" s="4"/>
      <c r="N6056" s="4"/>
      <c r="O6056" s="5"/>
      <c r="P6056" s="5"/>
      <c r="Q6056" s="21">
        <v>0</v>
      </c>
      <c r="R6056" s="21">
        <v>0</v>
      </c>
      <c r="S6056" s="5">
        <f t="shared" si="379"/>
        <v>65030.739360692016</v>
      </c>
      <c r="T6056" cm="1">
        <f t="array" ref="T6056">IF(OR(B6056="MAL ALIMI", B6056="ÜRETİM GİRİŞ"), MIN(I6056, MAX(0, I6056 + SUM(SUMIFS($I$1:I6055, $C$1:C6055, C6056, $B$1:B6055, {"MAL ALIMI","ÜRETİM GİRİŞ"})) - VLOOKUP(C6056, 'STOK RAPORU'!$C$2:$I$1000, 4, 0))), 0)</f>
        <v>0</v>
      </c>
      <c r="U6056" s="22">
        <f t="shared" si="376"/>
        <v>0</v>
      </c>
      <c r="V6056">
        <f t="shared" si="377"/>
        <v>0</v>
      </c>
      <c r="W6056" s="22">
        <f t="shared" si="378"/>
        <v>0</v>
      </c>
    </row>
    <row r="6057" spans="1:23" hidden="1" x14ac:dyDescent="0.25">
      <c r="A6057" s="45">
        <v>46118</v>
      </c>
      <c r="B6057" s="46" t="s">
        <v>334</v>
      </c>
      <c r="C6057" s="4" t="s">
        <v>2520</v>
      </c>
      <c r="D6057" s="4"/>
      <c r="E6057" s="4" t="s">
        <v>921</v>
      </c>
      <c r="F6057" s="46" t="s">
        <v>2915</v>
      </c>
      <c r="G6057" s="4" t="s">
        <v>336</v>
      </c>
      <c r="H6057" s="4" t="s">
        <v>380</v>
      </c>
      <c r="I6057" s="4">
        <v>0.4</v>
      </c>
      <c r="J6057" s="21">
        <v>550</v>
      </c>
      <c r="K6057" s="21">
        <v>220</v>
      </c>
      <c r="L6057" s="5">
        <v>0</v>
      </c>
      <c r="M6057" s="4"/>
      <c r="N6057" s="4"/>
      <c r="O6057" s="5"/>
      <c r="P6057" s="5"/>
      <c r="Q6057" s="21">
        <v>0</v>
      </c>
      <c r="R6057" s="21">
        <v>0</v>
      </c>
      <c r="S6057" s="5">
        <f t="shared" si="379"/>
        <v>65030.739360692016</v>
      </c>
      <c r="T6057" cm="1">
        <f t="array" ref="T6057">IF(OR(B6057="MAL ALIMI", B6057="ÜRETİM GİRİŞ"), MIN(I6057, MAX(0, I6057 + SUM(SUMIFS($I$1:I6056, $C$1:C6056, C6057, $B$1:B6056, {"MAL ALIMI","ÜRETİM GİRİŞ"})) - VLOOKUP(C6057, 'STOK RAPORU'!$C$2:$I$1000, 4, 0))), 0)</f>
        <v>0</v>
      </c>
      <c r="U6057" s="22">
        <f t="shared" si="376"/>
        <v>0</v>
      </c>
      <c r="V6057">
        <f t="shared" si="377"/>
        <v>0</v>
      </c>
      <c r="W6057" s="22">
        <f t="shared" si="378"/>
        <v>0</v>
      </c>
    </row>
    <row r="6058" spans="1:23" hidden="1" x14ac:dyDescent="0.25">
      <c r="A6058" s="45">
        <v>46118</v>
      </c>
      <c r="B6058" s="46" t="s">
        <v>334</v>
      </c>
      <c r="C6058" s="4" t="s">
        <v>458</v>
      </c>
      <c r="D6058" s="4"/>
      <c r="E6058" s="4" t="s">
        <v>921</v>
      </c>
      <c r="F6058" s="46" t="s">
        <v>2915</v>
      </c>
      <c r="G6058" s="4" t="s">
        <v>336</v>
      </c>
      <c r="H6058" s="4" t="s">
        <v>380</v>
      </c>
      <c r="I6058" s="4">
        <v>0.5</v>
      </c>
      <c r="J6058" s="21">
        <v>80</v>
      </c>
      <c r="K6058" s="21">
        <v>40</v>
      </c>
      <c r="L6058" s="5">
        <v>0</v>
      </c>
      <c r="M6058" s="4"/>
      <c r="N6058" s="4"/>
      <c r="O6058" s="5"/>
      <c r="P6058" s="5"/>
      <c r="Q6058" s="21">
        <v>0</v>
      </c>
      <c r="R6058" s="21">
        <v>0</v>
      </c>
      <c r="S6058" s="5">
        <f t="shared" si="379"/>
        <v>65030.739360692016</v>
      </c>
      <c r="T6058" cm="1">
        <f t="array" ref="T6058">IF(OR(B6058="MAL ALIMI", B6058="ÜRETİM GİRİŞ"), MIN(I6058, MAX(0, I6058 + SUM(SUMIFS($I$1:I6057, $C$1:C6057, C6058, $B$1:B6057, {"MAL ALIMI","ÜRETİM GİRİŞ"})) - VLOOKUP(C6058, 'STOK RAPORU'!$C$2:$I$1000, 4, 0))), 0)</f>
        <v>0</v>
      </c>
      <c r="U6058" s="22">
        <f t="shared" si="376"/>
        <v>0</v>
      </c>
      <c r="V6058">
        <f t="shared" si="377"/>
        <v>0</v>
      </c>
      <c r="W6058" s="22">
        <f t="shared" si="378"/>
        <v>0</v>
      </c>
    </row>
    <row r="6059" spans="1:23" hidden="1" x14ac:dyDescent="0.25">
      <c r="A6059" s="45">
        <v>46118</v>
      </c>
      <c r="B6059" s="46" t="s">
        <v>334</v>
      </c>
      <c r="C6059" s="4" t="s">
        <v>2608</v>
      </c>
      <c r="D6059" s="4"/>
      <c r="E6059" s="4" t="s">
        <v>921</v>
      </c>
      <c r="F6059" s="46" t="s">
        <v>2915</v>
      </c>
      <c r="G6059" s="4" t="s">
        <v>336</v>
      </c>
      <c r="H6059" s="4" t="s">
        <v>380</v>
      </c>
      <c r="I6059" s="4">
        <v>0.2</v>
      </c>
      <c r="J6059" s="21">
        <v>500</v>
      </c>
      <c r="K6059" s="21">
        <v>100</v>
      </c>
      <c r="L6059" s="5">
        <v>0</v>
      </c>
      <c r="M6059" s="4"/>
      <c r="N6059" s="4"/>
      <c r="O6059" s="5"/>
      <c r="P6059" s="5"/>
      <c r="Q6059" s="21">
        <v>0</v>
      </c>
      <c r="R6059" s="21">
        <v>0</v>
      </c>
      <c r="S6059" s="5">
        <f t="shared" si="379"/>
        <v>65030.739360692016</v>
      </c>
      <c r="T6059" cm="1">
        <f t="array" ref="T6059">IF(OR(B6059="MAL ALIMI", B6059="ÜRETİM GİRİŞ"), MIN(I6059, MAX(0, I6059 + SUM(SUMIFS($I$1:I6058, $C$1:C6058, C6059, $B$1:B6058, {"MAL ALIMI","ÜRETİM GİRİŞ"})) - VLOOKUP(C6059, 'STOK RAPORU'!$C$2:$I$1000, 4, 0))), 0)</f>
        <v>0</v>
      </c>
      <c r="U6059" s="22">
        <f t="shared" si="376"/>
        <v>0</v>
      </c>
      <c r="V6059">
        <f t="shared" si="377"/>
        <v>0</v>
      </c>
      <c r="W6059" s="22">
        <f t="shared" si="378"/>
        <v>0</v>
      </c>
    </row>
    <row r="6060" spans="1:23" hidden="1" x14ac:dyDescent="0.25">
      <c r="A6060" s="45">
        <v>46118</v>
      </c>
      <c r="B6060" s="46" t="s">
        <v>334</v>
      </c>
      <c r="C6060" s="4" t="s">
        <v>463</v>
      </c>
      <c r="D6060" s="4"/>
      <c r="E6060" s="4" t="s">
        <v>921</v>
      </c>
      <c r="F6060" s="46" t="s">
        <v>2915</v>
      </c>
      <c r="G6060" s="4" t="s">
        <v>336</v>
      </c>
      <c r="H6060" s="4" t="s">
        <v>380</v>
      </c>
      <c r="I6060" s="4">
        <v>0.12</v>
      </c>
      <c r="J6060" s="21">
        <v>400</v>
      </c>
      <c r="K6060" s="21">
        <v>48</v>
      </c>
      <c r="L6060" s="5">
        <v>0</v>
      </c>
      <c r="M6060" s="4"/>
      <c r="N6060" s="4"/>
      <c r="O6060" s="5"/>
      <c r="P6060" s="5"/>
      <c r="Q6060" s="21">
        <v>0</v>
      </c>
      <c r="R6060" s="21">
        <v>0</v>
      </c>
      <c r="S6060" s="5">
        <f t="shared" si="379"/>
        <v>65030.739360692016</v>
      </c>
      <c r="T6060" cm="1">
        <f t="array" ref="T6060">IF(OR(B6060="MAL ALIMI", B6060="ÜRETİM GİRİŞ"), MIN(I6060, MAX(0, I6060 + SUM(SUMIFS($I$1:I6059, $C$1:C6059, C6060, $B$1:B6059, {"MAL ALIMI","ÜRETİM GİRİŞ"})) - VLOOKUP(C6060, 'STOK RAPORU'!$C$2:$I$1000, 4, 0))), 0)</f>
        <v>0</v>
      </c>
      <c r="U6060" s="22">
        <f t="shared" si="376"/>
        <v>0</v>
      </c>
      <c r="V6060">
        <f t="shared" si="377"/>
        <v>0</v>
      </c>
      <c r="W6060" s="22">
        <f t="shared" si="378"/>
        <v>0</v>
      </c>
    </row>
    <row r="6061" spans="1:23" hidden="1" x14ac:dyDescent="0.25">
      <c r="A6061" s="45">
        <v>46118</v>
      </c>
      <c r="B6061" s="46" t="s">
        <v>334</v>
      </c>
      <c r="C6061" s="4" t="s">
        <v>136</v>
      </c>
      <c r="D6061" s="4"/>
      <c r="E6061" s="4" t="s">
        <v>921</v>
      </c>
      <c r="F6061" s="46" t="s">
        <v>2915</v>
      </c>
      <c r="G6061" s="4" t="s">
        <v>336</v>
      </c>
      <c r="H6061" s="4" t="s">
        <v>380</v>
      </c>
      <c r="I6061" s="4">
        <v>0.25</v>
      </c>
      <c r="J6061" s="21">
        <v>180</v>
      </c>
      <c r="K6061" s="21">
        <v>45</v>
      </c>
      <c r="L6061" s="5">
        <v>0</v>
      </c>
      <c r="M6061" s="4"/>
      <c r="N6061" s="4"/>
      <c r="O6061" s="5"/>
      <c r="P6061" s="5"/>
      <c r="Q6061" s="21">
        <v>0</v>
      </c>
      <c r="R6061" s="21">
        <v>0</v>
      </c>
      <c r="S6061" s="5">
        <f t="shared" si="379"/>
        <v>65030.739360692016</v>
      </c>
      <c r="T6061" cm="1">
        <f t="array" ref="T6061">IF(OR(B6061="MAL ALIMI", B6061="ÜRETİM GİRİŞ"), MIN(I6061, MAX(0, I6061 + SUM(SUMIFS($I$1:I6060, $C$1:C6060, C6061, $B$1:B6060, {"MAL ALIMI","ÜRETİM GİRİŞ"})) - VLOOKUP(C6061, 'STOK RAPORU'!$C$2:$I$1000, 4, 0))), 0)</f>
        <v>0</v>
      </c>
      <c r="U6061" s="22">
        <f t="shared" si="376"/>
        <v>0</v>
      </c>
      <c r="V6061">
        <f t="shared" si="377"/>
        <v>0</v>
      </c>
      <c r="W6061" s="22">
        <f t="shared" si="378"/>
        <v>0</v>
      </c>
    </row>
    <row r="6062" spans="1:23" hidden="1" x14ac:dyDescent="0.25">
      <c r="A6062" s="45">
        <v>46118</v>
      </c>
      <c r="B6062" s="46" t="s">
        <v>334</v>
      </c>
      <c r="C6062" s="4" t="s">
        <v>199</v>
      </c>
      <c r="D6062" s="4"/>
      <c r="E6062" s="4" t="s">
        <v>921</v>
      </c>
      <c r="F6062" s="46" t="s">
        <v>2916</v>
      </c>
      <c r="G6062" s="4" t="s">
        <v>336</v>
      </c>
      <c r="H6062" s="4" t="s">
        <v>380</v>
      </c>
      <c r="I6062" s="4">
        <v>0.36533333333333334</v>
      </c>
      <c r="J6062" s="21">
        <v>750</v>
      </c>
      <c r="K6062" s="21">
        <v>274</v>
      </c>
      <c r="L6062" s="5">
        <v>0</v>
      </c>
      <c r="M6062" s="4"/>
      <c r="N6062" s="4"/>
      <c r="O6062" s="5"/>
      <c r="P6062" s="5"/>
      <c r="Q6062" s="21">
        <v>0</v>
      </c>
      <c r="R6062" s="21">
        <v>0</v>
      </c>
      <c r="S6062" s="5">
        <f t="shared" si="379"/>
        <v>65030.739360692016</v>
      </c>
      <c r="T6062" cm="1">
        <f t="array" ref="T6062">IF(OR(B6062="MAL ALIMI", B6062="ÜRETİM GİRİŞ"), MIN(I6062, MAX(0, I6062 + SUM(SUMIFS($I$1:I6061, $C$1:C6061, C6062, $B$1:B6061, {"MAL ALIMI","ÜRETİM GİRİŞ"})) - VLOOKUP(C6062, 'STOK RAPORU'!$C$2:$I$1000, 4, 0))), 0)</f>
        <v>0</v>
      </c>
      <c r="U6062" s="22">
        <f t="shared" si="376"/>
        <v>0</v>
      </c>
      <c r="V6062">
        <f t="shared" si="377"/>
        <v>0</v>
      </c>
      <c r="W6062" s="22">
        <f t="shared" si="378"/>
        <v>0</v>
      </c>
    </row>
    <row r="6063" spans="1:23" hidden="1" x14ac:dyDescent="0.25">
      <c r="A6063" s="45">
        <v>46118</v>
      </c>
      <c r="B6063" s="46" t="s">
        <v>334</v>
      </c>
      <c r="C6063" s="4" t="s">
        <v>728</v>
      </c>
      <c r="D6063" s="4"/>
      <c r="E6063" s="4" t="s">
        <v>921</v>
      </c>
      <c r="F6063" s="46" t="s">
        <v>2916</v>
      </c>
      <c r="G6063" s="4" t="s">
        <v>336</v>
      </c>
      <c r="H6063" s="4" t="s">
        <v>380</v>
      </c>
      <c r="I6063" s="4">
        <v>0.30153846153846153</v>
      </c>
      <c r="J6063" s="21">
        <v>650</v>
      </c>
      <c r="K6063" s="21">
        <v>196</v>
      </c>
      <c r="L6063" s="5">
        <v>0</v>
      </c>
      <c r="M6063" s="4"/>
      <c r="N6063" s="4"/>
      <c r="O6063" s="5"/>
      <c r="P6063" s="5"/>
      <c r="Q6063" s="21">
        <v>0</v>
      </c>
      <c r="R6063" s="21">
        <v>0</v>
      </c>
      <c r="S6063" s="5">
        <f t="shared" si="379"/>
        <v>65030.739360692016</v>
      </c>
      <c r="T6063" cm="1">
        <f t="array" ref="T6063">IF(OR(B6063="MAL ALIMI", B6063="ÜRETİM GİRİŞ"), MIN(I6063, MAX(0, I6063 + SUM(SUMIFS($I$1:I6062, $C$1:C6062, C6063, $B$1:B6062, {"MAL ALIMI","ÜRETİM GİRİŞ"})) - VLOOKUP(C6063, 'STOK RAPORU'!$C$2:$I$1000, 4, 0))), 0)</f>
        <v>0</v>
      </c>
      <c r="U6063" s="22">
        <f t="shared" si="376"/>
        <v>0</v>
      </c>
      <c r="V6063">
        <f t="shared" si="377"/>
        <v>0</v>
      </c>
      <c r="W6063" s="22">
        <f t="shared" si="378"/>
        <v>0</v>
      </c>
    </row>
    <row r="6064" spans="1:23" hidden="1" x14ac:dyDescent="0.25">
      <c r="A6064" s="45">
        <v>46118</v>
      </c>
      <c r="B6064" s="46" t="s">
        <v>334</v>
      </c>
      <c r="C6064" s="4" t="s">
        <v>728</v>
      </c>
      <c r="D6064" s="4"/>
      <c r="E6064" s="4" t="s">
        <v>921</v>
      </c>
      <c r="F6064" s="46" t="s">
        <v>2916</v>
      </c>
      <c r="G6064" s="4" t="s">
        <v>336</v>
      </c>
      <c r="H6064" s="4" t="s">
        <v>380</v>
      </c>
      <c r="I6064" s="4">
        <v>0.34153846153846151</v>
      </c>
      <c r="J6064" s="21">
        <v>650</v>
      </c>
      <c r="K6064" s="21">
        <v>221.99999999999997</v>
      </c>
      <c r="L6064" s="5">
        <v>0</v>
      </c>
      <c r="M6064" s="4"/>
      <c r="N6064" s="4"/>
      <c r="O6064" s="5"/>
      <c r="P6064" s="5"/>
      <c r="Q6064" s="21">
        <v>0</v>
      </c>
      <c r="R6064" s="21">
        <v>0</v>
      </c>
      <c r="S6064" s="5">
        <f t="shared" si="379"/>
        <v>65030.739360692016</v>
      </c>
      <c r="T6064" cm="1">
        <f t="array" ref="T6064">IF(OR(B6064="MAL ALIMI", B6064="ÜRETİM GİRİŞ"), MIN(I6064, MAX(0, I6064 + SUM(SUMIFS($I$1:I6063, $C$1:C6063, C6064, $B$1:B6063, {"MAL ALIMI","ÜRETİM GİRİŞ"})) - VLOOKUP(C6064, 'STOK RAPORU'!$C$2:$I$1000, 4, 0))), 0)</f>
        <v>0</v>
      </c>
      <c r="U6064" s="22">
        <f t="shared" si="376"/>
        <v>0</v>
      </c>
      <c r="V6064">
        <f t="shared" si="377"/>
        <v>0</v>
      </c>
      <c r="W6064" s="22">
        <f t="shared" si="378"/>
        <v>0</v>
      </c>
    </row>
    <row r="6065" spans="1:23" hidden="1" x14ac:dyDescent="0.25">
      <c r="A6065" s="45">
        <v>46118</v>
      </c>
      <c r="B6065" s="46" t="s">
        <v>334</v>
      </c>
      <c r="C6065" s="4" t="s">
        <v>245</v>
      </c>
      <c r="D6065" s="4"/>
      <c r="E6065" s="4" t="s">
        <v>921</v>
      </c>
      <c r="F6065" s="46" t="s">
        <v>2916</v>
      </c>
      <c r="G6065" s="4" t="s">
        <v>336</v>
      </c>
      <c r="H6065" s="4" t="s">
        <v>380</v>
      </c>
      <c r="I6065" s="4">
        <v>0.23076923076923078</v>
      </c>
      <c r="J6065" s="21">
        <v>650</v>
      </c>
      <c r="K6065" s="21">
        <v>150</v>
      </c>
      <c r="L6065" s="5">
        <v>0</v>
      </c>
      <c r="M6065" s="4"/>
      <c r="N6065" s="4"/>
      <c r="O6065" s="5"/>
      <c r="P6065" s="5"/>
      <c r="Q6065" s="21">
        <v>0</v>
      </c>
      <c r="R6065" s="21">
        <v>0</v>
      </c>
      <c r="S6065" s="5">
        <f t="shared" si="379"/>
        <v>65030.739360692016</v>
      </c>
      <c r="T6065" cm="1">
        <f t="array" ref="T6065">IF(OR(B6065="MAL ALIMI", B6065="ÜRETİM GİRİŞ"), MIN(I6065, MAX(0, I6065 + SUM(SUMIFS($I$1:I6064, $C$1:C6064, C6065, $B$1:B6064, {"MAL ALIMI","ÜRETİM GİRİŞ"})) - VLOOKUP(C6065, 'STOK RAPORU'!$C$2:$I$1000, 4, 0))), 0)</f>
        <v>0</v>
      </c>
      <c r="U6065" s="22">
        <f t="shared" si="376"/>
        <v>0</v>
      </c>
      <c r="V6065">
        <f t="shared" si="377"/>
        <v>0</v>
      </c>
      <c r="W6065" s="22">
        <f t="shared" si="378"/>
        <v>0</v>
      </c>
    </row>
    <row r="6066" spans="1:23" hidden="1" x14ac:dyDescent="0.25">
      <c r="A6066" s="45">
        <v>46118</v>
      </c>
      <c r="B6066" s="46" t="s">
        <v>334</v>
      </c>
      <c r="C6066" s="4" t="s">
        <v>241</v>
      </c>
      <c r="D6066" s="4"/>
      <c r="E6066" s="4" t="s">
        <v>921</v>
      </c>
      <c r="F6066" s="46" t="s">
        <v>2916</v>
      </c>
      <c r="G6066" s="4" t="s">
        <v>336</v>
      </c>
      <c r="H6066" s="4" t="s">
        <v>380</v>
      </c>
      <c r="I6066" s="4">
        <v>0.23255813953488372</v>
      </c>
      <c r="J6066" s="21">
        <v>430</v>
      </c>
      <c r="K6066" s="21">
        <v>100</v>
      </c>
      <c r="L6066" s="5">
        <v>0</v>
      </c>
      <c r="M6066" s="4"/>
      <c r="N6066" s="4"/>
      <c r="O6066" s="5"/>
      <c r="P6066" s="5"/>
      <c r="Q6066" s="21">
        <v>0</v>
      </c>
      <c r="R6066" s="21">
        <v>0</v>
      </c>
      <c r="S6066" s="5">
        <f t="shared" si="379"/>
        <v>65030.739360692016</v>
      </c>
      <c r="T6066" cm="1">
        <f t="array" ref="T6066">IF(OR(B6066="MAL ALIMI", B6066="ÜRETİM GİRİŞ"), MIN(I6066, MAX(0, I6066 + SUM(SUMIFS($I$1:I6065, $C$1:C6065, C6066, $B$1:B6065, {"MAL ALIMI","ÜRETİM GİRİŞ"})) - VLOOKUP(C6066, 'STOK RAPORU'!$C$2:$I$1000, 4, 0))), 0)</f>
        <v>0</v>
      </c>
      <c r="U6066" s="22">
        <f t="shared" ref="U6066:U6129" si="380">T6066*J6066</f>
        <v>0</v>
      </c>
      <c r="V6066">
        <f t="shared" ref="V6066:V6129" si="381">IF(OR(B6066="MAL ALIMI", B6066="ÜRETİM GİRİŞ"), I6066 * J6066, 0)</f>
        <v>0</v>
      </c>
      <c r="W6066" s="22">
        <f t="shared" ref="W6066:W6129" si="382">V6066-U6066</f>
        <v>0</v>
      </c>
    </row>
    <row r="6067" spans="1:23" hidden="1" x14ac:dyDescent="0.25">
      <c r="A6067" s="45">
        <v>46118</v>
      </c>
      <c r="B6067" s="46" t="s">
        <v>334</v>
      </c>
      <c r="C6067" s="4" t="s">
        <v>1143</v>
      </c>
      <c r="D6067" s="4"/>
      <c r="E6067" s="4" t="s">
        <v>921</v>
      </c>
      <c r="F6067" s="46" t="s">
        <v>2916</v>
      </c>
      <c r="G6067" s="4" t="s">
        <v>336</v>
      </c>
      <c r="H6067" s="4" t="s">
        <v>380</v>
      </c>
      <c r="I6067" s="4">
        <v>1</v>
      </c>
      <c r="J6067" s="21">
        <v>135</v>
      </c>
      <c r="K6067" s="21">
        <v>135</v>
      </c>
      <c r="L6067" s="5">
        <v>0</v>
      </c>
      <c r="M6067" s="4"/>
      <c r="N6067" s="4"/>
      <c r="O6067" s="5"/>
      <c r="P6067" s="5"/>
      <c r="Q6067" s="21">
        <v>0</v>
      </c>
      <c r="R6067" s="21">
        <v>0</v>
      </c>
      <c r="S6067" s="5">
        <f t="shared" si="379"/>
        <v>65030.739360692016</v>
      </c>
      <c r="T6067" cm="1">
        <f t="array" ref="T6067">IF(OR(B6067="MAL ALIMI", B6067="ÜRETİM GİRİŞ"), MIN(I6067, MAX(0, I6067 + SUM(SUMIFS($I$1:I6066, $C$1:C6066, C6067, $B$1:B6066, {"MAL ALIMI","ÜRETİM GİRİŞ"})) - VLOOKUP(C6067, 'STOK RAPORU'!$C$2:$I$1000, 4, 0))), 0)</f>
        <v>0</v>
      </c>
      <c r="U6067" s="22">
        <f t="shared" si="380"/>
        <v>0</v>
      </c>
      <c r="V6067">
        <f t="shared" si="381"/>
        <v>0</v>
      </c>
      <c r="W6067" s="22">
        <f t="shared" si="382"/>
        <v>0</v>
      </c>
    </row>
    <row r="6068" spans="1:23" hidden="1" x14ac:dyDescent="0.25">
      <c r="A6068" s="45">
        <v>46118</v>
      </c>
      <c r="B6068" s="46" t="s">
        <v>334</v>
      </c>
      <c r="C6068" s="4" t="s">
        <v>455</v>
      </c>
      <c r="D6068" s="4"/>
      <c r="E6068" s="4"/>
      <c r="F6068" s="46" t="s">
        <v>2917</v>
      </c>
      <c r="G6068" s="4" t="s">
        <v>336</v>
      </c>
      <c r="H6068" s="4" t="s">
        <v>289</v>
      </c>
      <c r="I6068" s="4">
        <v>1</v>
      </c>
      <c r="J6068" s="21">
        <v>80</v>
      </c>
      <c r="K6068" s="21">
        <v>0</v>
      </c>
      <c r="L6068" s="5">
        <v>0</v>
      </c>
      <c r="M6068" s="4"/>
      <c r="N6068" s="4"/>
      <c r="O6068" s="5"/>
      <c r="P6068" s="5"/>
      <c r="Q6068" s="21">
        <v>80</v>
      </c>
      <c r="R6068" s="21">
        <v>0</v>
      </c>
      <c r="S6068" s="5">
        <f t="shared" si="379"/>
        <v>65110.739360692016</v>
      </c>
      <c r="T6068" cm="1">
        <f t="array" ref="T6068">IF(OR(B6068="MAL ALIMI", B6068="ÜRETİM GİRİŞ"), MIN(I6068, MAX(0, I6068 + SUM(SUMIFS($I$1:I6067, $C$1:C6067, C6068, $B$1:B6067, {"MAL ALIMI","ÜRETİM GİRİŞ"})) - VLOOKUP(C6068, 'STOK RAPORU'!$C$2:$I$1000, 4, 0))), 0)</f>
        <v>0</v>
      </c>
      <c r="U6068" s="22">
        <f t="shared" si="380"/>
        <v>0</v>
      </c>
      <c r="V6068">
        <f t="shared" si="381"/>
        <v>0</v>
      </c>
      <c r="W6068" s="22">
        <f t="shared" si="382"/>
        <v>0</v>
      </c>
    </row>
    <row r="6069" spans="1:23" hidden="1" x14ac:dyDescent="0.25">
      <c r="A6069" s="45">
        <v>46118</v>
      </c>
      <c r="B6069" s="46" t="s">
        <v>334</v>
      </c>
      <c r="C6069" s="4" t="s">
        <v>145</v>
      </c>
      <c r="D6069" s="4"/>
      <c r="E6069" s="4"/>
      <c r="F6069" s="46" t="s">
        <v>2917</v>
      </c>
      <c r="G6069" s="4" t="s">
        <v>336</v>
      </c>
      <c r="H6069" s="4" t="s">
        <v>289</v>
      </c>
      <c r="I6069" s="4">
        <v>1</v>
      </c>
      <c r="J6069" s="21">
        <v>60</v>
      </c>
      <c r="K6069" s="21">
        <v>0</v>
      </c>
      <c r="L6069" s="5">
        <v>0</v>
      </c>
      <c r="M6069" s="4"/>
      <c r="N6069" s="4"/>
      <c r="O6069" s="5"/>
      <c r="P6069" s="5"/>
      <c r="Q6069" s="21">
        <v>60</v>
      </c>
      <c r="R6069" s="21">
        <v>0</v>
      </c>
      <c r="S6069" s="5">
        <f t="shared" si="379"/>
        <v>65170.739360692016</v>
      </c>
      <c r="T6069" cm="1">
        <f t="array" ref="T6069">IF(OR(B6069="MAL ALIMI", B6069="ÜRETİM GİRİŞ"), MIN(I6069, MAX(0, I6069 + SUM(SUMIFS($I$1:I6068, $C$1:C6068, C6069, $B$1:B6068, {"MAL ALIMI","ÜRETİM GİRİŞ"})) - VLOOKUP(C6069, 'STOK RAPORU'!$C$2:$I$1000, 4, 0))), 0)</f>
        <v>0</v>
      </c>
      <c r="U6069" s="22">
        <f t="shared" si="380"/>
        <v>0</v>
      </c>
      <c r="V6069">
        <f t="shared" si="381"/>
        <v>0</v>
      </c>
      <c r="W6069" s="22">
        <f t="shared" si="382"/>
        <v>0</v>
      </c>
    </row>
    <row r="6070" spans="1:23" hidden="1" x14ac:dyDescent="0.25">
      <c r="A6070" s="45">
        <v>46118</v>
      </c>
      <c r="B6070" s="46" t="s">
        <v>334</v>
      </c>
      <c r="C6070" s="4" t="s">
        <v>140</v>
      </c>
      <c r="D6070" s="4"/>
      <c r="E6070" s="4"/>
      <c r="F6070" s="46" t="s">
        <v>2917</v>
      </c>
      <c r="G6070" s="4" t="s">
        <v>336</v>
      </c>
      <c r="H6070" s="4" t="s">
        <v>289</v>
      </c>
      <c r="I6070" s="4">
        <v>0.2</v>
      </c>
      <c r="J6070" s="21">
        <v>300</v>
      </c>
      <c r="K6070" s="21">
        <v>0</v>
      </c>
      <c r="L6070" s="5">
        <v>0</v>
      </c>
      <c r="M6070" s="4"/>
      <c r="N6070" s="4"/>
      <c r="O6070" s="5"/>
      <c r="P6070" s="5"/>
      <c r="Q6070" s="21">
        <v>60</v>
      </c>
      <c r="R6070" s="21">
        <v>0</v>
      </c>
      <c r="S6070" s="5">
        <f t="shared" si="379"/>
        <v>65230.739360692016</v>
      </c>
      <c r="T6070" cm="1">
        <f t="array" ref="T6070">IF(OR(B6070="MAL ALIMI", B6070="ÜRETİM GİRİŞ"), MIN(I6070, MAX(0, I6070 + SUM(SUMIFS($I$1:I6069, $C$1:C6069, C6070, $B$1:B6069, {"MAL ALIMI","ÜRETİM GİRİŞ"})) - VLOOKUP(C6070, 'STOK RAPORU'!$C$2:$I$1000, 4, 0))), 0)</f>
        <v>0</v>
      </c>
      <c r="U6070" s="22">
        <f t="shared" si="380"/>
        <v>0</v>
      </c>
      <c r="V6070">
        <f t="shared" si="381"/>
        <v>0</v>
      </c>
      <c r="W6070" s="22">
        <f t="shared" si="382"/>
        <v>0</v>
      </c>
    </row>
    <row r="6071" spans="1:23" hidden="1" x14ac:dyDescent="0.25">
      <c r="A6071" s="45">
        <v>46118</v>
      </c>
      <c r="B6071" s="46" t="s">
        <v>334</v>
      </c>
      <c r="C6071" s="4" t="s">
        <v>192</v>
      </c>
      <c r="D6071" s="4"/>
      <c r="E6071" s="4"/>
      <c r="F6071" s="46" t="s">
        <v>2918</v>
      </c>
      <c r="G6071" s="4" t="s">
        <v>336</v>
      </c>
      <c r="H6071" s="4" t="s">
        <v>289</v>
      </c>
      <c r="I6071" s="4">
        <v>0.24</v>
      </c>
      <c r="J6071" s="21">
        <v>417</v>
      </c>
      <c r="K6071" s="21">
        <v>0</v>
      </c>
      <c r="L6071" s="5">
        <v>0</v>
      </c>
      <c r="M6071" s="4"/>
      <c r="N6071" s="4"/>
      <c r="O6071" s="5"/>
      <c r="P6071" s="5"/>
      <c r="Q6071" s="21">
        <v>100.08</v>
      </c>
      <c r="R6071" s="21">
        <v>0</v>
      </c>
      <c r="S6071" s="5">
        <f t="shared" si="379"/>
        <v>65330.819360692018</v>
      </c>
      <c r="T6071" cm="1">
        <f t="array" ref="T6071">IF(OR(B6071="MAL ALIMI", B6071="ÜRETİM GİRİŞ"), MIN(I6071, MAX(0, I6071 + SUM(SUMIFS($I$1:I6070, $C$1:C6070, C6071, $B$1:B6070, {"MAL ALIMI","ÜRETİM GİRİŞ"})) - VLOOKUP(C6071, 'STOK RAPORU'!$C$2:$I$1000, 4, 0))), 0)</f>
        <v>0</v>
      </c>
      <c r="U6071" s="22">
        <f t="shared" si="380"/>
        <v>0</v>
      </c>
      <c r="V6071">
        <f t="shared" si="381"/>
        <v>0</v>
      </c>
      <c r="W6071" s="22">
        <f t="shared" si="382"/>
        <v>0</v>
      </c>
    </row>
    <row r="6072" spans="1:23" hidden="1" x14ac:dyDescent="0.25">
      <c r="A6072" s="45">
        <v>46118</v>
      </c>
      <c r="B6072" s="46" t="s">
        <v>334</v>
      </c>
      <c r="C6072" s="4" t="s">
        <v>459</v>
      </c>
      <c r="D6072" s="4"/>
      <c r="E6072" s="4" t="s">
        <v>921</v>
      </c>
      <c r="F6072" s="46" t="s">
        <v>2919</v>
      </c>
      <c r="G6072" s="4" t="s">
        <v>336</v>
      </c>
      <c r="H6072" s="4" t="s">
        <v>380</v>
      </c>
      <c r="I6072" s="4">
        <v>0.5</v>
      </c>
      <c r="J6072" s="21">
        <v>140</v>
      </c>
      <c r="K6072" s="21">
        <v>70</v>
      </c>
      <c r="L6072" s="5">
        <v>0</v>
      </c>
      <c r="M6072" s="4"/>
      <c r="N6072" s="4"/>
      <c r="O6072" s="5"/>
      <c r="P6072" s="5"/>
      <c r="Q6072" s="21">
        <v>0</v>
      </c>
      <c r="R6072" s="21">
        <v>0</v>
      </c>
      <c r="S6072" s="5">
        <f t="shared" si="379"/>
        <v>65330.819360692018</v>
      </c>
      <c r="T6072" cm="1">
        <f t="array" ref="T6072">IF(OR(B6072="MAL ALIMI", B6072="ÜRETİM GİRİŞ"), MIN(I6072, MAX(0, I6072 + SUM(SUMIFS($I$1:I6071, $C$1:C6071, C6072, $B$1:B6071, {"MAL ALIMI","ÜRETİM GİRİŞ"})) - VLOOKUP(C6072, 'STOK RAPORU'!$C$2:$I$1000, 4, 0))), 0)</f>
        <v>0</v>
      </c>
      <c r="U6072" s="22">
        <f t="shared" si="380"/>
        <v>0</v>
      </c>
      <c r="V6072">
        <f t="shared" si="381"/>
        <v>0</v>
      </c>
      <c r="W6072" s="22">
        <f t="shared" si="382"/>
        <v>0</v>
      </c>
    </row>
    <row r="6073" spans="1:23" hidden="1" x14ac:dyDescent="0.25">
      <c r="A6073" s="45">
        <v>46118</v>
      </c>
      <c r="B6073" s="46" t="s">
        <v>334</v>
      </c>
      <c r="C6073" s="4" t="s">
        <v>530</v>
      </c>
      <c r="D6073" s="4"/>
      <c r="E6073" s="4" t="s">
        <v>921</v>
      </c>
      <c r="F6073" s="46" t="s">
        <v>2919</v>
      </c>
      <c r="G6073" s="4" t="s">
        <v>336</v>
      </c>
      <c r="H6073" s="4" t="s">
        <v>380</v>
      </c>
      <c r="I6073" s="4">
        <v>0.5</v>
      </c>
      <c r="J6073" s="21">
        <v>300</v>
      </c>
      <c r="K6073" s="21">
        <v>150</v>
      </c>
      <c r="L6073" s="5">
        <v>0</v>
      </c>
      <c r="M6073" s="4"/>
      <c r="N6073" s="4"/>
      <c r="O6073" s="5"/>
      <c r="P6073" s="5"/>
      <c r="Q6073" s="21">
        <v>0</v>
      </c>
      <c r="R6073" s="21">
        <v>0</v>
      </c>
      <c r="S6073" s="5">
        <f t="shared" si="379"/>
        <v>65330.819360692018</v>
      </c>
      <c r="T6073" cm="1">
        <f t="array" ref="T6073">IF(OR(B6073="MAL ALIMI", B6073="ÜRETİM GİRİŞ"), MIN(I6073, MAX(0, I6073 + SUM(SUMIFS($I$1:I6072, $C$1:C6072, C6073, $B$1:B6072, {"MAL ALIMI","ÜRETİM GİRİŞ"})) - VLOOKUP(C6073, 'STOK RAPORU'!$C$2:$I$1000, 4, 0))), 0)</f>
        <v>0</v>
      </c>
      <c r="U6073" s="22">
        <f t="shared" si="380"/>
        <v>0</v>
      </c>
      <c r="V6073">
        <f t="shared" si="381"/>
        <v>0</v>
      </c>
      <c r="W6073" s="22">
        <f t="shared" si="382"/>
        <v>0</v>
      </c>
    </row>
    <row r="6074" spans="1:23" hidden="1" x14ac:dyDescent="0.25">
      <c r="A6074" s="45">
        <v>46118</v>
      </c>
      <c r="B6074" s="46" t="s">
        <v>334</v>
      </c>
      <c r="C6074" s="4" t="s">
        <v>140</v>
      </c>
      <c r="D6074" s="4"/>
      <c r="E6074" s="4" t="s">
        <v>921</v>
      </c>
      <c r="F6074" s="46" t="s">
        <v>2919</v>
      </c>
      <c r="G6074" s="4" t="s">
        <v>336</v>
      </c>
      <c r="H6074" s="4" t="s">
        <v>380</v>
      </c>
      <c r="I6074" s="4">
        <v>0.11600000000000001</v>
      </c>
      <c r="J6074" s="21">
        <v>300</v>
      </c>
      <c r="K6074" s="21">
        <v>34.800000000000004</v>
      </c>
      <c r="L6074" s="5">
        <v>0</v>
      </c>
      <c r="M6074" s="4"/>
      <c r="N6074" s="4"/>
      <c r="O6074" s="5"/>
      <c r="P6074" s="5"/>
      <c r="Q6074" s="21">
        <v>0</v>
      </c>
      <c r="R6074" s="21">
        <v>0</v>
      </c>
      <c r="S6074" s="5">
        <f t="shared" si="379"/>
        <v>65330.819360692018</v>
      </c>
      <c r="T6074" cm="1">
        <f t="array" ref="T6074">IF(OR(B6074="MAL ALIMI", B6074="ÜRETİM GİRİŞ"), MIN(I6074, MAX(0, I6074 + SUM(SUMIFS($I$1:I6073, $C$1:C6073, C6074, $B$1:B6073, {"MAL ALIMI","ÜRETİM GİRİŞ"})) - VLOOKUP(C6074, 'STOK RAPORU'!$C$2:$I$1000, 4, 0))), 0)</f>
        <v>0</v>
      </c>
      <c r="U6074" s="22">
        <f t="shared" si="380"/>
        <v>0</v>
      </c>
      <c r="V6074">
        <f t="shared" si="381"/>
        <v>0</v>
      </c>
      <c r="W6074" s="22">
        <f t="shared" si="382"/>
        <v>0</v>
      </c>
    </row>
    <row r="6075" spans="1:23" hidden="1" x14ac:dyDescent="0.25">
      <c r="A6075" s="45">
        <v>46118</v>
      </c>
      <c r="B6075" s="46" t="s">
        <v>334</v>
      </c>
      <c r="C6075" s="4" t="s">
        <v>1365</v>
      </c>
      <c r="D6075" s="4"/>
      <c r="E6075" s="4" t="s">
        <v>921</v>
      </c>
      <c r="F6075" s="46" t="s">
        <v>2919</v>
      </c>
      <c r="G6075" s="4" t="s">
        <v>336</v>
      </c>
      <c r="H6075" s="4" t="s">
        <v>380</v>
      </c>
      <c r="I6075" s="4">
        <v>1</v>
      </c>
      <c r="J6075" s="21">
        <v>140</v>
      </c>
      <c r="K6075" s="21">
        <v>140</v>
      </c>
      <c r="L6075" s="5">
        <v>0</v>
      </c>
      <c r="M6075" s="4"/>
      <c r="N6075" s="4"/>
      <c r="O6075" s="5"/>
      <c r="P6075" s="5"/>
      <c r="Q6075" s="21">
        <v>0</v>
      </c>
      <c r="R6075" s="21">
        <v>0</v>
      </c>
      <c r="S6075" s="5">
        <f t="shared" si="379"/>
        <v>65330.819360692018</v>
      </c>
      <c r="T6075" cm="1">
        <f t="array" ref="T6075">IF(OR(B6075="MAL ALIMI", B6075="ÜRETİM GİRİŞ"), MIN(I6075, MAX(0, I6075 + SUM(SUMIFS($I$1:I6074, $C$1:C6074, C6075, $B$1:B6074, {"MAL ALIMI","ÜRETİM GİRİŞ"})) - VLOOKUP(C6075, 'STOK RAPORU'!$C$2:$I$1000, 4, 0))), 0)</f>
        <v>0</v>
      </c>
      <c r="U6075" s="22">
        <f t="shared" si="380"/>
        <v>0</v>
      </c>
      <c r="V6075">
        <f t="shared" si="381"/>
        <v>0</v>
      </c>
      <c r="W6075" s="22">
        <f t="shared" si="382"/>
        <v>0</v>
      </c>
    </row>
    <row r="6076" spans="1:23" hidden="1" x14ac:dyDescent="0.25">
      <c r="A6076" s="45">
        <v>46118</v>
      </c>
      <c r="B6076" s="46" t="s">
        <v>334</v>
      </c>
      <c r="C6076" s="4" t="s">
        <v>1359</v>
      </c>
      <c r="D6076" s="4"/>
      <c r="E6076" s="4" t="s">
        <v>921</v>
      </c>
      <c r="F6076" s="46" t="s">
        <v>2919</v>
      </c>
      <c r="G6076" s="4" t="s">
        <v>336</v>
      </c>
      <c r="H6076" s="4" t="s">
        <v>380</v>
      </c>
      <c r="I6076" s="4">
        <v>0.224</v>
      </c>
      <c r="J6076" s="21">
        <v>450</v>
      </c>
      <c r="K6076" s="21">
        <v>100.8</v>
      </c>
      <c r="L6076" s="5">
        <v>0</v>
      </c>
      <c r="M6076" s="4"/>
      <c r="N6076" s="4"/>
      <c r="O6076" s="5"/>
      <c r="P6076" s="5"/>
      <c r="Q6076" s="21">
        <v>0</v>
      </c>
      <c r="R6076" s="21">
        <v>0</v>
      </c>
      <c r="S6076" s="5">
        <f t="shared" si="379"/>
        <v>65330.819360692018</v>
      </c>
      <c r="T6076" cm="1">
        <f t="array" ref="T6076">IF(OR(B6076="MAL ALIMI", B6076="ÜRETİM GİRİŞ"), MIN(I6076, MAX(0, I6076 + SUM(SUMIFS($I$1:I6075, $C$1:C6075, C6076, $B$1:B6075, {"MAL ALIMI","ÜRETİM GİRİŞ"})) - VLOOKUP(C6076, 'STOK RAPORU'!$C$2:$I$1000, 4, 0))), 0)</f>
        <v>0</v>
      </c>
      <c r="U6076" s="22">
        <f t="shared" si="380"/>
        <v>0</v>
      </c>
      <c r="V6076">
        <f t="shared" si="381"/>
        <v>0</v>
      </c>
      <c r="W6076" s="22">
        <f t="shared" si="382"/>
        <v>0</v>
      </c>
    </row>
    <row r="6077" spans="1:23" hidden="1" x14ac:dyDescent="0.25">
      <c r="A6077" s="45">
        <v>46118</v>
      </c>
      <c r="B6077" s="46" t="s">
        <v>334</v>
      </c>
      <c r="C6077" s="4" t="s">
        <v>163</v>
      </c>
      <c r="D6077" s="4"/>
      <c r="E6077" s="4" t="s">
        <v>921</v>
      </c>
      <c r="F6077" s="46" t="s">
        <v>2919</v>
      </c>
      <c r="G6077" s="4" t="s">
        <v>336</v>
      </c>
      <c r="H6077" s="4" t="s">
        <v>380</v>
      </c>
      <c r="I6077" s="4">
        <v>0.5</v>
      </c>
      <c r="J6077" s="21">
        <v>400</v>
      </c>
      <c r="K6077" s="21">
        <v>200</v>
      </c>
      <c r="L6077" s="5">
        <v>0</v>
      </c>
      <c r="M6077" s="4"/>
      <c r="N6077" s="4"/>
      <c r="O6077" s="5"/>
      <c r="P6077" s="5"/>
      <c r="Q6077" s="21">
        <v>0</v>
      </c>
      <c r="R6077" s="21">
        <v>0</v>
      </c>
      <c r="S6077" s="5">
        <f t="shared" si="379"/>
        <v>65330.819360692018</v>
      </c>
      <c r="T6077" cm="1">
        <f t="array" ref="T6077">IF(OR(B6077="MAL ALIMI", B6077="ÜRETİM GİRİŞ"), MIN(I6077, MAX(0, I6077 + SUM(SUMIFS($I$1:I6076, $C$1:C6076, C6077, $B$1:B6076, {"MAL ALIMI","ÜRETİM GİRİŞ"})) - VLOOKUP(C6077, 'STOK RAPORU'!$C$2:$I$1000, 4, 0))), 0)</f>
        <v>0</v>
      </c>
      <c r="U6077" s="22">
        <f t="shared" si="380"/>
        <v>0</v>
      </c>
      <c r="V6077">
        <f t="shared" si="381"/>
        <v>0</v>
      </c>
      <c r="W6077" s="22">
        <f t="shared" si="382"/>
        <v>0</v>
      </c>
    </row>
    <row r="6078" spans="1:23" hidden="1" x14ac:dyDescent="0.25">
      <c r="A6078" s="45">
        <v>46118</v>
      </c>
      <c r="B6078" s="46" t="s">
        <v>334</v>
      </c>
      <c r="C6078" s="4" t="s">
        <v>1359</v>
      </c>
      <c r="D6078" s="4"/>
      <c r="E6078" s="4"/>
      <c r="F6078" s="46" t="s">
        <v>2919</v>
      </c>
      <c r="G6078" s="4" t="s">
        <v>336</v>
      </c>
      <c r="H6078" s="4" t="s">
        <v>289</v>
      </c>
      <c r="I6078" s="4">
        <v>0.28999999999999998</v>
      </c>
      <c r="J6078" s="21">
        <v>450</v>
      </c>
      <c r="K6078" s="21">
        <v>0</v>
      </c>
      <c r="L6078" s="5">
        <v>0</v>
      </c>
      <c r="M6078" s="4"/>
      <c r="N6078" s="4"/>
      <c r="O6078" s="5"/>
      <c r="P6078" s="5"/>
      <c r="Q6078" s="21">
        <v>130.5</v>
      </c>
      <c r="R6078" s="21">
        <v>0</v>
      </c>
      <c r="S6078" s="5">
        <f t="shared" si="379"/>
        <v>65461.319360692018</v>
      </c>
      <c r="T6078" cm="1">
        <f t="array" ref="T6078">IF(OR(B6078="MAL ALIMI", B6078="ÜRETİM GİRİŞ"), MIN(I6078, MAX(0, I6078 + SUM(SUMIFS($I$1:I6077, $C$1:C6077, C6078, $B$1:B6077, {"MAL ALIMI","ÜRETİM GİRİŞ"})) - VLOOKUP(C6078, 'STOK RAPORU'!$C$2:$I$1000, 4, 0))), 0)</f>
        <v>0</v>
      </c>
      <c r="U6078" s="22">
        <f t="shared" si="380"/>
        <v>0</v>
      </c>
      <c r="V6078">
        <f t="shared" si="381"/>
        <v>0</v>
      </c>
      <c r="W6078" s="22">
        <f t="shared" si="382"/>
        <v>0</v>
      </c>
    </row>
    <row r="6079" spans="1:23" hidden="1" x14ac:dyDescent="0.25">
      <c r="A6079" s="45">
        <v>46118</v>
      </c>
      <c r="B6079" s="46" t="s">
        <v>334</v>
      </c>
      <c r="C6079" s="4" t="s">
        <v>1359</v>
      </c>
      <c r="D6079" s="4"/>
      <c r="E6079" s="4"/>
      <c r="F6079" s="46" t="s">
        <v>2919</v>
      </c>
      <c r="G6079" s="4" t="s">
        <v>336</v>
      </c>
      <c r="H6079" s="4" t="s">
        <v>289</v>
      </c>
      <c r="I6079" s="4">
        <v>0.188</v>
      </c>
      <c r="J6079" s="21">
        <v>450</v>
      </c>
      <c r="K6079" s="21">
        <v>0</v>
      </c>
      <c r="L6079" s="5">
        <v>0</v>
      </c>
      <c r="M6079" s="4"/>
      <c r="N6079" s="4"/>
      <c r="O6079" s="5"/>
      <c r="P6079" s="5"/>
      <c r="Q6079" s="21">
        <v>84.6</v>
      </c>
      <c r="R6079" s="21">
        <v>0</v>
      </c>
      <c r="S6079" s="5">
        <f t="shared" si="379"/>
        <v>65545.919360692016</v>
      </c>
      <c r="T6079" cm="1">
        <f t="array" ref="T6079">IF(OR(B6079="MAL ALIMI", B6079="ÜRETİM GİRİŞ"), MIN(I6079, MAX(0, I6079 + SUM(SUMIFS($I$1:I6078, $C$1:C6078, C6079, $B$1:B6078, {"MAL ALIMI","ÜRETİM GİRİŞ"})) - VLOOKUP(C6079, 'STOK RAPORU'!$C$2:$I$1000, 4, 0))), 0)</f>
        <v>0</v>
      </c>
      <c r="U6079" s="22">
        <f t="shared" si="380"/>
        <v>0</v>
      </c>
      <c r="V6079">
        <f t="shared" si="381"/>
        <v>0</v>
      </c>
      <c r="W6079" s="22">
        <f t="shared" si="382"/>
        <v>0</v>
      </c>
    </row>
    <row r="6080" spans="1:23" hidden="1" x14ac:dyDescent="0.25">
      <c r="A6080" s="45">
        <v>46119</v>
      </c>
      <c r="B6080" s="4" t="s">
        <v>298</v>
      </c>
      <c r="C6080" s="4" t="s">
        <v>597</v>
      </c>
      <c r="D6080" s="4"/>
      <c r="E6080" s="4" t="s">
        <v>350</v>
      </c>
      <c r="F6080" s="4">
        <v>1001726</v>
      </c>
      <c r="G6080" s="4" t="s">
        <v>350</v>
      </c>
      <c r="H6080" s="4" t="s">
        <v>304</v>
      </c>
      <c r="I6080" s="4">
        <v>9</v>
      </c>
      <c r="J6080" s="21">
        <v>250</v>
      </c>
      <c r="K6080" s="21">
        <v>0</v>
      </c>
      <c r="L6080" s="5">
        <v>2250</v>
      </c>
      <c r="M6080" s="4"/>
      <c r="N6080" s="4"/>
      <c r="O6080" s="5"/>
      <c r="P6080" s="5"/>
      <c r="Q6080" s="21">
        <v>0</v>
      </c>
      <c r="R6080" s="21">
        <v>0</v>
      </c>
      <c r="S6080" s="5">
        <f t="shared" si="379"/>
        <v>65545.919360692016</v>
      </c>
      <c r="T6080" cm="1">
        <f t="array" ref="T6080">IF(OR(B6080="MAL ALIMI", B6080="ÜRETİM GİRİŞ"), MIN(I6080, MAX(0, I6080 + SUM(SUMIFS($I$1:I6079, $C$1:C6079, C6080, $B$1:B6079, {"MAL ALIMI","ÜRETİM GİRİŞ"})) - VLOOKUP(C6080, 'STOK RAPORU'!$C$2:$I$1000, 4, 0))), 0)</f>
        <v>2</v>
      </c>
      <c r="U6080" s="22">
        <f t="shared" si="380"/>
        <v>500</v>
      </c>
      <c r="V6080">
        <f t="shared" si="381"/>
        <v>2250</v>
      </c>
      <c r="W6080" s="22">
        <f t="shared" si="382"/>
        <v>1750</v>
      </c>
    </row>
    <row r="6081" spans="1:23" hidden="1" x14ac:dyDescent="0.25">
      <c r="A6081" s="45">
        <v>46119</v>
      </c>
      <c r="B6081" s="4" t="s">
        <v>298</v>
      </c>
      <c r="C6081" s="4" t="s">
        <v>1140</v>
      </c>
      <c r="D6081" s="4"/>
      <c r="E6081" s="4" t="s">
        <v>350</v>
      </c>
      <c r="F6081" s="4">
        <v>1001726</v>
      </c>
      <c r="G6081" s="4" t="s">
        <v>350</v>
      </c>
      <c r="H6081" s="4" t="s">
        <v>304</v>
      </c>
      <c r="I6081" s="4">
        <v>5</v>
      </c>
      <c r="J6081" s="21">
        <v>270</v>
      </c>
      <c r="K6081" s="21">
        <v>0</v>
      </c>
      <c r="L6081" s="5">
        <v>1350</v>
      </c>
      <c r="M6081" s="4"/>
      <c r="N6081" s="4"/>
      <c r="O6081" s="5"/>
      <c r="P6081" s="5"/>
      <c r="Q6081" s="21">
        <v>0</v>
      </c>
      <c r="R6081" s="21">
        <v>0</v>
      </c>
      <c r="S6081" s="5">
        <f t="shared" si="379"/>
        <v>65545.919360692016</v>
      </c>
      <c r="T6081" cm="1">
        <f t="array" ref="T6081">IF(OR(B6081="MAL ALIMI", B6081="ÜRETİM GİRİŞ"), MIN(I6081, MAX(0, I6081 + SUM(SUMIFS($I$1:I6080, $C$1:C6080, C6081, $B$1:B6080, {"MAL ALIMI","ÜRETİM GİRİŞ"})) - VLOOKUP(C6081, 'STOK RAPORU'!$C$2:$I$1000, 4, 0))), 0)</f>
        <v>4</v>
      </c>
      <c r="U6081" s="22">
        <f t="shared" si="380"/>
        <v>1080</v>
      </c>
      <c r="V6081">
        <f t="shared" si="381"/>
        <v>1350</v>
      </c>
      <c r="W6081" s="22">
        <f t="shared" si="382"/>
        <v>270</v>
      </c>
    </row>
    <row r="6082" spans="1:23" hidden="1" x14ac:dyDescent="0.25">
      <c r="A6082" s="45">
        <v>46119</v>
      </c>
      <c r="B6082" s="4" t="s">
        <v>298</v>
      </c>
      <c r="C6082" s="4" t="s">
        <v>1176</v>
      </c>
      <c r="D6082" s="4"/>
      <c r="E6082" s="4" t="s">
        <v>350</v>
      </c>
      <c r="F6082" s="4">
        <v>1001726</v>
      </c>
      <c r="G6082" s="4" t="s">
        <v>350</v>
      </c>
      <c r="H6082" s="4" t="s">
        <v>304</v>
      </c>
      <c r="I6082" s="4">
        <v>1</v>
      </c>
      <c r="J6082" s="21">
        <v>745</v>
      </c>
      <c r="K6082" s="21">
        <v>0</v>
      </c>
      <c r="L6082" s="5">
        <v>745</v>
      </c>
      <c r="M6082" s="4"/>
      <c r="N6082" s="4"/>
      <c r="O6082" s="5"/>
      <c r="P6082" s="5"/>
      <c r="Q6082" s="21">
        <v>0</v>
      </c>
      <c r="R6082" s="21">
        <v>0</v>
      </c>
      <c r="S6082" s="5">
        <f t="shared" si="379"/>
        <v>65545.919360692016</v>
      </c>
      <c r="T6082" cm="1">
        <f t="array" ref="T6082">IF(OR(B6082="MAL ALIMI", B6082="ÜRETİM GİRİŞ"), MIN(I6082, MAX(0, I6082 + SUM(SUMIFS($I$1:I6081, $C$1:C6081, C6082, $B$1:B6081, {"MAL ALIMI","ÜRETİM GİRİŞ"})) - VLOOKUP(C6082, 'STOK RAPORU'!$C$2:$I$1000, 4, 0))), 0)</f>
        <v>0</v>
      </c>
      <c r="U6082" s="22">
        <f t="shared" si="380"/>
        <v>0</v>
      </c>
      <c r="V6082">
        <f t="shared" si="381"/>
        <v>745</v>
      </c>
      <c r="W6082" s="22">
        <f t="shared" si="382"/>
        <v>745</v>
      </c>
    </row>
    <row r="6083" spans="1:23" hidden="1" x14ac:dyDescent="0.25">
      <c r="A6083" s="45">
        <v>46119</v>
      </c>
      <c r="B6083" s="4" t="s">
        <v>298</v>
      </c>
      <c r="C6083" s="4" t="s">
        <v>486</v>
      </c>
      <c r="D6083" s="4"/>
      <c r="E6083" s="4" t="s">
        <v>350</v>
      </c>
      <c r="F6083" s="4">
        <v>1001726</v>
      </c>
      <c r="G6083" s="4" t="s">
        <v>350</v>
      </c>
      <c r="H6083" s="4" t="s">
        <v>304</v>
      </c>
      <c r="I6083" s="4">
        <v>10</v>
      </c>
      <c r="J6083" s="21">
        <v>105</v>
      </c>
      <c r="K6083" s="21">
        <v>0</v>
      </c>
      <c r="L6083" s="5">
        <v>1050</v>
      </c>
      <c r="M6083" s="4"/>
      <c r="N6083" s="4"/>
      <c r="O6083" s="5"/>
      <c r="P6083" s="5"/>
      <c r="Q6083" s="21">
        <v>0</v>
      </c>
      <c r="R6083" s="21">
        <v>0</v>
      </c>
      <c r="S6083" s="5">
        <f t="shared" si="379"/>
        <v>65545.919360692016</v>
      </c>
      <c r="T6083" cm="1">
        <f t="array" ref="T6083">IF(OR(B6083="MAL ALIMI", B6083="ÜRETİM GİRİŞ"), MIN(I6083, MAX(0, I6083 + SUM(SUMIFS($I$1:I6082, $C$1:C6082, C6083, $B$1:B6082, {"MAL ALIMI","ÜRETİM GİRİŞ"})) - VLOOKUP(C6083, 'STOK RAPORU'!$C$2:$I$1000, 4, 0))), 0)</f>
        <v>10</v>
      </c>
      <c r="U6083" s="22">
        <f t="shared" si="380"/>
        <v>1050</v>
      </c>
      <c r="V6083">
        <f t="shared" si="381"/>
        <v>1050</v>
      </c>
      <c r="W6083" s="22">
        <f t="shared" si="382"/>
        <v>0</v>
      </c>
    </row>
    <row r="6084" spans="1:23" hidden="1" x14ac:dyDescent="0.25">
      <c r="A6084" s="45">
        <v>46119</v>
      </c>
      <c r="B6084" s="4" t="s">
        <v>298</v>
      </c>
      <c r="C6084" s="4" t="s">
        <v>460</v>
      </c>
      <c r="D6084" s="4"/>
      <c r="E6084" s="4" t="s">
        <v>350</v>
      </c>
      <c r="F6084" s="4">
        <v>1001726</v>
      </c>
      <c r="G6084" s="4" t="s">
        <v>350</v>
      </c>
      <c r="H6084" s="4" t="s">
        <v>304</v>
      </c>
      <c r="I6084" s="4">
        <v>30</v>
      </c>
      <c r="J6084" s="21">
        <v>6.5</v>
      </c>
      <c r="K6084" s="21">
        <v>0</v>
      </c>
      <c r="L6084" s="5">
        <v>195</v>
      </c>
      <c r="M6084" s="4"/>
      <c r="N6084" s="4"/>
      <c r="O6084" s="5"/>
      <c r="P6084" s="5"/>
      <c r="Q6084" s="21">
        <v>0</v>
      </c>
      <c r="R6084" s="21">
        <v>0</v>
      </c>
      <c r="S6084" s="5">
        <f t="shared" ref="S6084:S6147" si="383">S6083+Q6084-R6084</f>
        <v>65545.919360692016</v>
      </c>
      <c r="T6084" cm="1">
        <f t="array" ref="T6084">IF(OR(B6084="MAL ALIMI", B6084="ÜRETİM GİRİŞ"), MIN(I6084, MAX(0, I6084 + SUM(SUMIFS($I$1:I6083, $C$1:C6083, C6084, $B$1:B6083, {"MAL ALIMI","ÜRETİM GİRİŞ"})) - VLOOKUP(C6084, 'STOK RAPORU'!$C$2:$I$1000, 4, 0))), 0)</f>
        <v>17</v>
      </c>
      <c r="U6084" s="22">
        <f t="shared" si="380"/>
        <v>110.5</v>
      </c>
      <c r="V6084">
        <f t="shared" si="381"/>
        <v>195</v>
      </c>
      <c r="W6084" s="22">
        <f t="shared" si="382"/>
        <v>84.5</v>
      </c>
    </row>
    <row r="6085" spans="1:23" hidden="1" x14ac:dyDescent="0.25">
      <c r="A6085" s="45">
        <v>46119</v>
      </c>
      <c r="B6085" s="4" t="s">
        <v>298</v>
      </c>
      <c r="C6085" s="4" t="s">
        <v>223</v>
      </c>
      <c r="D6085" s="4"/>
      <c r="E6085" s="4" t="s">
        <v>350</v>
      </c>
      <c r="F6085" s="4">
        <v>1001726</v>
      </c>
      <c r="G6085" s="4" t="s">
        <v>350</v>
      </c>
      <c r="H6085" s="4" t="s">
        <v>304</v>
      </c>
      <c r="I6085" s="4">
        <v>5</v>
      </c>
      <c r="J6085" s="21">
        <v>550</v>
      </c>
      <c r="K6085" s="21">
        <v>0</v>
      </c>
      <c r="L6085" s="5">
        <v>2750</v>
      </c>
      <c r="M6085" s="4"/>
      <c r="N6085" s="4"/>
      <c r="O6085" s="5"/>
      <c r="P6085" s="5"/>
      <c r="Q6085" s="21">
        <v>0</v>
      </c>
      <c r="R6085" s="21">
        <v>0</v>
      </c>
      <c r="S6085" s="5">
        <f t="shared" si="383"/>
        <v>65545.919360692016</v>
      </c>
      <c r="T6085" cm="1">
        <f t="array" ref="T6085">IF(OR(B6085="MAL ALIMI", B6085="ÜRETİM GİRİŞ"), MIN(I6085, MAX(0, I6085 + SUM(SUMIFS($I$1:I6084, $C$1:C6084, C6085, $B$1:B6084, {"MAL ALIMI","ÜRETİM GİRİŞ"})) - VLOOKUP(C6085, 'STOK RAPORU'!$C$2:$I$1000, 4, 0))), 0)</f>
        <v>4.7918571428571362</v>
      </c>
      <c r="U6085" s="22">
        <f t="shared" si="380"/>
        <v>2635.5214285714251</v>
      </c>
      <c r="V6085">
        <f t="shared" si="381"/>
        <v>2750</v>
      </c>
      <c r="W6085" s="22">
        <f t="shared" si="382"/>
        <v>114.47857142857492</v>
      </c>
    </row>
    <row r="6086" spans="1:23" hidden="1" x14ac:dyDescent="0.25">
      <c r="A6086" s="45">
        <v>46119</v>
      </c>
      <c r="B6086" s="4" t="s">
        <v>298</v>
      </c>
      <c r="C6086" s="4" t="s">
        <v>1024</v>
      </c>
      <c r="D6086" s="4"/>
      <c r="E6086" s="4" t="s">
        <v>350</v>
      </c>
      <c r="F6086" s="4">
        <v>1001726</v>
      </c>
      <c r="G6086" s="4" t="s">
        <v>350</v>
      </c>
      <c r="H6086" s="4" t="s">
        <v>304</v>
      </c>
      <c r="I6086" s="4">
        <v>25</v>
      </c>
      <c r="J6086" s="21">
        <v>39</v>
      </c>
      <c r="K6086" s="21">
        <v>0</v>
      </c>
      <c r="L6086" s="5">
        <v>975</v>
      </c>
      <c r="M6086" s="4"/>
      <c r="N6086" s="4"/>
      <c r="O6086" s="5"/>
      <c r="P6086" s="5"/>
      <c r="Q6086" s="21">
        <v>0</v>
      </c>
      <c r="R6086" s="21">
        <v>0</v>
      </c>
      <c r="S6086" s="5">
        <f t="shared" si="383"/>
        <v>65545.919360692016</v>
      </c>
      <c r="T6086" cm="1">
        <f t="array" ref="T6086">IF(OR(B6086="MAL ALIMI", B6086="ÜRETİM GİRİŞ"), MIN(I6086, MAX(0, I6086 + SUM(SUMIFS($I$1:I6085, $C$1:C6085, C6086, $B$1:B6085, {"MAL ALIMI","ÜRETİM GİRİŞ"})) - VLOOKUP(C6086, 'STOK RAPORU'!$C$2:$I$1000, 4, 0))), 0)</f>
        <v>2.1701692307692184</v>
      </c>
      <c r="U6086" s="22">
        <f t="shared" si="380"/>
        <v>84.636599999999518</v>
      </c>
      <c r="V6086">
        <f t="shared" si="381"/>
        <v>975</v>
      </c>
      <c r="W6086" s="22">
        <f t="shared" si="382"/>
        <v>890.36340000000052</v>
      </c>
    </row>
    <row r="6087" spans="1:23" hidden="1" x14ac:dyDescent="0.25">
      <c r="A6087" s="45">
        <v>46119</v>
      </c>
      <c r="B6087" s="4" t="s">
        <v>298</v>
      </c>
      <c r="C6087" s="4" t="s">
        <v>229</v>
      </c>
      <c r="D6087" s="4"/>
      <c r="E6087" s="4" t="s">
        <v>350</v>
      </c>
      <c r="F6087" s="4">
        <v>1001726</v>
      </c>
      <c r="G6087" s="4" t="s">
        <v>350</v>
      </c>
      <c r="H6087" s="4" t="s">
        <v>304</v>
      </c>
      <c r="I6087" s="4">
        <v>3</v>
      </c>
      <c r="J6087" s="21">
        <v>135</v>
      </c>
      <c r="K6087" s="21">
        <v>0</v>
      </c>
      <c r="L6087" s="5">
        <v>405</v>
      </c>
      <c r="M6087" s="4"/>
      <c r="N6087" s="4"/>
      <c r="O6087" s="5"/>
      <c r="P6087" s="5"/>
      <c r="Q6087" s="21">
        <v>0</v>
      </c>
      <c r="R6087" s="21">
        <v>0</v>
      </c>
      <c r="S6087" s="5">
        <f t="shared" si="383"/>
        <v>65545.919360692016</v>
      </c>
      <c r="T6087" cm="1">
        <f t="array" ref="T6087">IF(OR(B6087="MAL ALIMI", B6087="ÜRETİM GİRİŞ"), MIN(I6087, MAX(0, I6087 + SUM(SUMIFS($I$1:I6086, $C$1:C6086, C6087, $B$1:B6086, {"MAL ALIMI","ÜRETİM GİRİŞ"})) - VLOOKUP(C6087, 'STOK RAPORU'!$C$2:$I$1000, 4, 0))), 0)</f>
        <v>0</v>
      </c>
      <c r="U6087" s="22">
        <f t="shared" si="380"/>
        <v>0</v>
      </c>
      <c r="V6087">
        <f t="shared" si="381"/>
        <v>405</v>
      </c>
      <c r="W6087" s="22">
        <f t="shared" si="382"/>
        <v>405</v>
      </c>
    </row>
    <row r="6088" spans="1:23" hidden="1" x14ac:dyDescent="0.25">
      <c r="A6088" s="45">
        <v>46119</v>
      </c>
      <c r="B6088" s="4" t="s">
        <v>298</v>
      </c>
      <c r="C6088" s="4" t="s">
        <v>230</v>
      </c>
      <c r="D6088" s="4"/>
      <c r="E6088" s="4" t="s">
        <v>350</v>
      </c>
      <c r="F6088" s="4">
        <v>1001726</v>
      </c>
      <c r="G6088" s="4" t="s">
        <v>350</v>
      </c>
      <c r="H6088" s="4" t="s">
        <v>304</v>
      </c>
      <c r="I6088" s="4">
        <v>3</v>
      </c>
      <c r="J6088" s="21">
        <v>135</v>
      </c>
      <c r="K6088" s="21">
        <v>0</v>
      </c>
      <c r="L6088" s="5">
        <v>405</v>
      </c>
      <c r="M6088" s="4"/>
      <c r="N6088" s="4"/>
      <c r="O6088" s="5"/>
      <c r="P6088" s="5"/>
      <c r="Q6088" s="21">
        <v>0</v>
      </c>
      <c r="R6088" s="21">
        <v>0</v>
      </c>
      <c r="S6088" s="5">
        <f t="shared" si="383"/>
        <v>65545.919360692016</v>
      </c>
      <c r="T6088" cm="1">
        <f t="array" ref="T6088">IF(OR(B6088="MAL ALIMI", B6088="ÜRETİM GİRİŞ"), MIN(I6088, MAX(0, I6088 + SUM(SUMIFS($I$1:I6087, $C$1:C6087, C6088, $B$1:B6087, {"MAL ALIMI","ÜRETİM GİRİŞ"})) - VLOOKUP(C6088, 'STOK RAPORU'!$C$2:$I$1000, 4, 0))), 0)</f>
        <v>0</v>
      </c>
      <c r="U6088" s="22">
        <f t="shared" si="380"/>
        <v>0</v>
      </c>
      <c r="V6088">
        <f t="shared" si="381"/>
        <v>405</v>
      </c>
      <c r="W6088" s="22">
        <f t="shared" si="382"/>
        <v>405</v>
      </c>
    </row>
    <row r="6089" spans="1:23" hidden="1" x14ac:dyDescent="0.25">
      <c r="A6089" s="45">
        <v>46119</v>
      </c>
      <c r="B6089" s="4" t="s">
        <v>298</v>
      </c>
      <c r="C6089" s="4" t="s">
        <v>231</v>
      </c>
      <c r="D6089" s="4"/>
      <c r="E6089" s="4" t="s">
        <v>350</v>
      </c>
      <c r="F6089" s="4">
        <v>1001726</v>
      </c>
      <c r="G6089" s="4" t="s">
        <v>350</v>
      </c>
      <c r="H6089" s="4" t="s">
        <v>304</v>
      </c>
      <c r="I6089" s="4">
        <v>3</v>
      </c>
      <c r="J6089" s="21">
        <v>135</v>
      </c>
      <c r="K6089" s="21">
        <v>0</v>
      </c>
      <c r="L6089" s="5">
        <v>405</v>
      </c>
      <c r="M6089" s="4"/>
      <c r="N6089" s="4"/>
      <c r="O6089" s="5"/>
      <c r="P6089" s="5"/>
      <c r="Q6089" s="21">
        <v>0</v>
      </c>
      <c r="R6089" s="21">
        <v>0</v>
      </c>
      <c r="S6089" s="5">
        <f t="shared" si="383"/>
        <v>65545.919360692016</v>
      </c>
      <c r="T6089" cm="1">
        <f t="array" ref="T6089">IF(OR(B6089="MAL ALIMI", B6089="ÜRETİM GİRİŞ"), MIN(I6089, MAX(0, I6089 + SUM(SUMIFS($I$1:I6088, $C$1:C6088, C6089, $B$1:B6088, {"MAL ALIMI","ÜRETİM GİRİŞ"})) - VLOOKUP(C6089, 'STOK RAPORU'!$C$2:$I$1000, 4, 0))), 0)</f>
        <v>1</v>
      </c>
      <c r="U6089" s="22">
        <f t="shared" si="380"/>
        <v>135</v>
      </c>
      <c r="V6089">
        <f t="shared" si="381"/>
        <v>405</v>
      </c>
      <c r="W6089" s="22">
        <f t="shared" si="382"/>
        <v>270</v>
      </c>
    </row>
    <row r="6090" spans="1:23" hidden="1" x14ac:dyDescent="0.25">
      <c r="A6090" s="45">
        <v>46119</v>
      </c>
      <c r="B6090" s="4" t="s">
        <v>298</v>
      </c>
      <c r="C6090" s="4" t="s">
        <v>236</v>
      </c>
      <c r="D6090" s="4"/>
      <c r="E6090" s="4" t="s">
        <v>350</v>
      </c>
      <c r="F6090" s="4">
        <v>1001726</v>
      </c>
      <c r="G6090" s="4" t="s">
        <v>350</v>
      </c>
      <c r="H6090" s="4" t="s">
        <v>304</v>
      </c>
      <c r="I6090" s="4">
        <v>6</v>
      </c>
      <c r="J6090" s="21">
        <v>150</v>
      </c>
      <c r="K6090" s="21">
        <v>0</v>
      </c>
      <c r="L6090" s="5">
        <v>900</v>
      </c>
      <c r="M6090" s="4"/>
      <c r="N6090" s="4"/>
      <c r="O6090" s="5"/>
      <c r="P6090" s="5"/>
      <c r="Q6090" s="21">
        <v>0</v>
      </c>
      <c r="R6090" s="21">
        <v>0</v>
      </c>
      <c r="S6090" s="5">
        <f t="shared" si="383"/>
        <v>65545.919360692016</v>
      </c>
      <c r="T6090" cm="1">
        <f t="array" ref="T6090">IF(OR(B6090="MAL ALIMI", B6090="ÜRETİM GİRİŞ"), MIN(I6090, MAX(0, I6090 + SUM(SUMIFS($I$1:I6089, $C$1:C6089, C6090, $B$1:B6089, {"MAL ALIMI","ÜRETİM GİRİŞ"})) - VLOOKUP(C6090, 'STOK RAPORU'!$C$2:$I$1000, 4, 0))), 0)</f>
        <v>2.9525714285714297</v>
      </c>
      <c r="U6090" s="22">
        <f t="shared" si="380"/>
        <v>442.88571428571447</v>
      </c>
      <c r="V6090">
        <f t="shared" si="381"/>
        <v>900</v>
      </c>
      <c r="W6090" s="22">
        <f t="shared" si="382"/>
        <v>457.11428571428553</v>
      </c>
    </row>
    <row r="6091" spans="1:23" hidden="1" x14ac:dyDescent="0.25">
      <c r="A6091" s="45">
        <v>46119</v>
      </c>
      <c r="B6091" s="4" t="s">
        <v>298</v>
      </c>
      <c r="C6091" s="4" t="s">
        <v>601</v>
      </c>
      <c r="D6091" s="4"/>
      <c r="E6091" s="4" t="s">
        <v>350</v>
      </c>
      <c r="F6091" s="4">
        <v>1001726</v>
      </c>
      <c r="G6091" s="4" t="s">
        <v>350</v>
      </c>
      <c r="H6091" s="4" t="s">
        <v>304</v>
      </c>
      <c r="I6091" s="4">
        <v>5</v>
      </c>
      <c r="J6091" s="21">
        <v>540</v>
      </c>
      <c r="K6091" s="21">
        <v>0</v>
      </c>
      <c r="L6091" s="5">
        <v>2700</v>
      </c>
      <c r="M6091" s="4"/>
      <c r="N6091" s="4"/>
      <c r="O6091" s="5"/>
      <c r="P6091" s="5"/>
      <c r="Q6091" s="21">
        <v>0</v>
      </c>
      <c r="R6091" s="21">
        <v>0</v>
      </c>
      <c r="S6091" s="5">
        <f t="shared" si="383"/>
        <v>65545.919360692016</v>
      </c>
      <c r="T6091" cm="1">
        <f t="array" ref="T6091">IF(OR(B6091="MAL ALIMI", B6091="ÜRETİM GİRİŞ"), MIN(I6091, MAX(0, I6091 + SUM(SUMIFS($I$1:I6090, $C$1:C6090, C6091, $B$1:B6090, {"MAL ALIMI","ÜRETİM GİRİŞ"})) - VLOOKUP(C6091, 'STOK RAPORU'!$C$2:$I$1000, 4, 0))), 0)</f>
        <v>5</v>
      </c>
      <c r="U6091" s="22">
        <f t="shared" si="380"/>
        <v>2700</v>
      </c>
      <c r="V6091">
        <f t="shared" si="381"/>
        <v>2700</v>
      </c>
      <c r="W6091" s="22">
        <f t="shared" si="382"/>
        <v>0</v>
      </c>
    </row>
    <row r="6092" spans="1:23" hidden="1" x14ac:dyDescent="0.25">
      <c r="A6092" s="45">
        <v>46119</v>
      </c>
      <c r="B6092" s="46" t="s">
        <v>334</v>
      </c>
      <c r="C6092" s="4" t="s">
        <v>157</v>
      </c>
      <c r="D6092" s="4"/>
      <c r="E6092" s="4"/>
      <c r="F6092" s="46" t="s">
        <v>2920</v>
      </c>
      <c r="G6092" s="4" t="s">
        <v>336</v>
      </c>
      <c r="H6092" s="4" t="s">
        <v>289</v>
      </c>
      <c r="I6092" s="4">
        <v>2</v>
      </c>
      <c r="J6092" s="21">
        <v>200</v>
      </c>
      <c r="K6092" s="21">
        <v>0</v>
      </c>
      <c r="L6092" s="5">
        <v>0</v>
      </c>
      <c r="M6092" s="4"/>
      <c r="N6092" s="4"/>
      <c r="O6092" s="5"/>
      <c r="P6092" s="5"/>
      <c r="Q6092" s="21">
        <v>400</v>
      </c>
      <c r="R6092" s="21">
        <v>0</v>
      </c>
      <c r="S6092" s="5">
        <f t="shared" si="383"/>
        <v>65945.919360692016</v>
      </c>
      <c r="T6092" cm="1">
        <f t="array" ref="T6092">IF(OR(B6092="MAL ALIMI", B6092="ÜRETİM GİRİŞ"), MIN(I6092, MAX(0, I6092 + SUM(SUMIFS($I$1:I6091, $C$1:C6091, C6092, $B$1:B6091, {"MAL ALIMI","ÜRETİM GİRİŞ"})) - VLOOKUP(C6092, 'STOK RAPORU'!$C$2:$I$1000, 4, 0))), 0)</f>
        <v>0</v>
      </c>
      <c r="U6092" s="22">
        <f t="shared" si="380"/>
        <v>0</v>
      </c>
      <c r="V6092">
        <f t="shared" si="381"/>
        <v>0</v>
      </c>
      <c r="W6092" s="22">
        <f t="shared" si="382"/>
        <v>0</v>
      </c>
    </row>
    <row r="6093" spans="1:23" hidden="1" x14ac:dyDescent="0.25">
      <c r="A6093" s="45">
        <v>46119</v>
      </c>
      <c r="B6093" s="46" t="s">
        <v>334</v>
      </c>
      <c r="C6093" s="4" t="s">
        <v>150</v>
      </c>
      <c r="D6093" s="4"/>
      <c r="E6093" s="4"/>
      <c r="F6093" s="46" t="s">
        <v>2921</v>
      </c>
      <c r="G6093" s="4" t="s">
        <v>336</v>
      </c>
      <c r="H6093" s="4" t="s">
        <v>289</v>
      </c>
      <c r="I6093" s="4">
        <v>2.5000000000000001E-2</v>
      </c>
      <c r="J6093" s="21">
        <v>2000</v>
      </c>
      <c r="K6093" s="21">
        <v>0</v>
      </c>
      <c r="L6093" s="5">
        <v>0</v>
      </c>
      <c r="M6093" s="4"/>
      <c r="N6093" s="4"/>
      <c r="O6093" s="5"/>
      <c r="P6093" s="5"/>
      <c r="Q6093" s="21">
        <v>50</v>
      </c>
      <c r="R6093" s="21">
        <v>0</v>
      </c>
      <c r="S6093" s="5">
        <f t="shared" si="383"/>
        <v>65995.919360692016</v>
      </c>
      <c r="T6093" cm="1">
        <f t="array" ref="T6093">IF(OR(B6093="MAL ALIMI", B6093="ÜRETİM GİRİŞ"), MIN(I6093, MAX(0, I6093 + SUM(SUMIFS($I$1:I6092, $C$1:C6092, C6093, $B$1:B6092, {"MAL ALIMI","ÜRETİM GİRİŞ"})) - VLOOKUP(C6093, 'STOK RAPORU'!$C$2:$I$1000, 4, 0))), 0)</f>
        <v>0</v>
      </c>
      <c r="U6093" s="22">
        <f t="shared" si="380"/>
        <v>0</v>
      </c>
      <c r="V6093">
        <f t="shared" si="381"/>
        <v>0</v>
      </c>
      <c r="W6093" s="22">
        <f t="shared" si="382"/>
        <v>0</v>
      </c>
    </row>
    <row r="6094" spans="1:23" hidden="1" x14ac:dyDescent="0.25">
      <c r="A6094" s="45">
        <v>46119</v>
      </c>
      <c r="B6094" s="46" t="s">
        <v>334</v>
      </c>
      <c r="C6094" s="4" t="s">
        <v>160</v>
      </c>
      <c r="D6094" s="4"/>
      <c r="E6094" s="4" t="s">
        <v>921</v>
      </c>
      <c r="F6094" s="46" t="s">
        <v>2922</v>
      </c>
      <c r="G6094" s="4" t="s">
        <v>336</v>
      </c>
      <c r="H6094" s="4" t="s">
        <v>380</v>
      </c>
      <c r="I6094" s="4">
        <v>1</v>
      </c>
      <c r="J6094" s="21">
        <v>240</v>
      </c>
      <c r="K6094" s="21">
        <v>240</v>
      </c>
      <c r="L6094" s="5">
        <v>0</v>
      </c>
      <c r="M6094" s="4"/>
      <c r="N6094" s="4"/>
      <c r="O6094" s="5"/>
      <c r="P6094" s="5"/>
      <c r="Q6094" s="21">
        <v>0</v>
      </c>
      <c r="R6094" s="21">
        <v>0</v>
      </c>
      <c r="S6094" s="5">
        <f t="shared" si="383"/>
        <v>65995.919360692016</v>
      </c>
      <c r="T6094" cm="1">
        <f t="array" ref="T6094">IF(OR(B6094="MAL ALIMI", B6094="ÜRETİM GİRİŞ"), MIN(I6094, MAX(0, I6094 + SUM(SUMIFS($I$1:I6093, $C$1:C6093, C6094, $B$1:B6093, {"MAL ALIMI","ÜRETİM GİRİŞ"})) - VLOOKUP(C6094, 'STOK RAPORU'!$C$2:$I$1000, 4, 0))), 0)</f>
        <v>0</v>
      </c>
      <c r="U6094" s="22">
        <f t="shared" si="380"/>
        <v>0</v>
      </c>
      <c r="V6094">
        <f t="shared" si="381"/>
        <v>0</v>
      </c>
      <c r="W6094" s="22">
        <f t="shared" si="382"/>
        <v>0</v>
      </c>
    </row>
    <row r="6095" spans="1:23" hidden="1" x14ac:dyDescent="0.25">
      <c r="A6095" s="45">
        <v>46119</v>
      </c>
      <c r="B6095" s="46" t="s">
        <v>334</v>
      </c>
      <c r="C6095" s="4" t="s">
        <v>1393</v>
      </c>
      <c r="D6095" s="4"/>
      <c r="E6095" s="4" t="s">
        <v>921</v>
      </c>
      <c r="F6095" s="46" t="s">
        <v>2923</v>
      </c>
      <c r="G6095" s="4" t="s">
        <v>336</v>
      </c>
      <c r="H6095" s="4" t="s">
        <v>380</v>
      </c>
      <c r="I6095" s="4">
        <v>1</v>
      </c>
      <c r="J6095" s="21">
        <v>135</v>
      </c>
      <c r="K6095" s="21">
        <v>135</v>
      </c>
      <c r="L6095" s="5">
        <v>0</v>
      </c>
      <c r="M6095" s="4"/>
      <c r="N6095" s="4"/>
      <c r="O6095" s="5"/>
      <c r="P6095" s="5"/>
      <c r="Q6095" s="21">
        <v>0</v>
      </c>
      <c r="R6095" s="21">
        <v>0</v>
      </c>
      <c r="S6095" s="5">
        <f t="shared" si="383"/>
        <v>65995.919360692016</v>
      </c>
      <c r="T6095" cm="1">
        <f t="array" ref="T6095">IF(OR(B6095="MAL ALIMI", B6095="ÜRETİM GİRİŞ"), MIN(I6095, MAX(0, I6095 + SUM(SUMIFS($I$1:I6094, $C$1:C6094, C6095, $B$1:B6094, {"MAL ALIMI","ÜRETİM GİRİŞ"})) - VLOOKUP(C6095, 'STOK RAPORU'!$C$2:$I$1000, 4, 0))), 0)</f>
        <v>0</v>
      </c>
      <c r="U6095" s="22">
        <f t="shared" si="380"/>
        <v>0</v>
      </c>
      <c r="V6095">
        <f t="shared" si="381"/>
        <v>0</v>
      </c>
      <c r="W6095" s="22">
        <f t="shared" si="382"/>
        <v>0</v>
      </c>
    </row>
    <row r="6096" spans="1:23" hidden="1" x14ac:dyDescent="0.25">
      <c r="A6096" s="45">
        <v>46119</v>
      </c>
      <c r="B6096" s="46" t="s">
        <v>334</v>
      </c>
      <c r="C6096" s="4" t="s">
        <v>126</v>
      </c>
      <c r="D6096" s="4"/>
      <c r="E6096" s="4"/>
      <c r="F6096" s="46" t="s">
        <v>2924</v>
      </c>
      <c r="G6096" s="4" t="s">
        <v>336</v>
      </c>
      <c r="H6096" s="4" t="s">
        <v>289</v>
      </c>
      <c r="I6096" s="4">
        <v>9.6923076923076917E-2</v>
      </c>
      <c r="J6096" s="21">
        <v>650</v>
      </c>
      <c r="K6096" s="21">
        <v>0</v>
      </c>
      <c r="L6096" s="5">
        <v>0</v>
      </c>
      <c r="M6096" s="4"/>
      <c r="N6096" s="4"/>
      <c r="O6096" s="5"/>
      <c r="P6096" s="5"/>
      <c r="Q6096" s="21">
        <v>62.999999999999993</v>
      </c>
      <c r="R6096" s="21">
        <v>0</v>
      </c>
      <c r="S6096" s="5">
        <f t="shared" si="383"/>
        <v>66058.919360692016</v>
      </c>
      <c r="T6096" cm="1">
        <f t="array" ref="T6096">IF(OR(B6096="MAL ALIMI", B6096="ÜRETİM GİRİŞ"), MIN(I6096, MAX(0, I6096 + SUM(SUMIFS($I$1:I6095, $C$1:C6095, C6096, $B$1:B6095, {"MAL ALIMI","ÜRETİM GİRİŞ"})) - VLOOKUP(C6096, 'STOK RAPORU'!$C$2:$I$1000, 4, 0))), 0)</f>
        <v>0</v>
      </c>
      <c r="U6096" s="22">
        <f t="shared" si="380"/>
        <v>0</v>
      </c>
      <c r="V6096">
        <f t="shared" si="381"/>
        <v>0</v>
      </c>
      <c r="W6096" s="22">
        <f t="shared" si="382"/>
        <v>0</v>
      </c>
    </row>
    <row r="6097" spans="1:23" hidden="1" x14ac:dyDescent="0.25">
      <c r="A6097" s="45">
        <v>46119</v>
      </c>
      <c r="B6097" s="46" t="s">
        <v>334</v>
      </c>
      <c r="C6097" s="4" t="s">
        <v>91</v>
      </c>
      <c r="D6097" s="4"/>
      <c r="E6097" s="4"/>
      <c r="F6097" s="46" t="s">
        <v>2924</v>
      </c>
      <c r="G6097" s="4" t="s">
        <v>336</v>
      </c>
      <c r="H6097" s="4" t="s">
        <v>289</v>
      </c>
      <c r="I6097" s="4">
        <v>3.7647058823529408E-2</v>
      </c>
      <c r="J6097" s="21">
        <v>850</v>
      </c>
      <c r="K6097" s="21">
        <v>0</v>
      </c>
      <c r="L6097" s="5">
        <v>0</v>
      </c>
      <c r="M6097" s="4"/>
      <c r="N6097" s="4"/>
      <c r="O6097" s="5"/>
      <c r="P6097" s="5"/>
      <c r="Q6097" s="21">
        <v>31.999999999999996</v>
      </c>
      <c r="R6097" s="21">
        <v>0</v>
      </c>
      <c r="S6097" s="5">
        <f t="shared" si="383"/>
        <v>66090.919360692016</v>
      </c>
      <c r="T6097" cm="1">
        <f t="array" ref="T6097">IF(OR(B6097="MAL ALIMI", B6097="ÜRETİM GİRİŞ"), MIN(I6097, MAX(0, I6097 + SUM(SUMIFS($I$1:I6096, $C$1:C6096, C6097, $B$1:B6096, {"MAL ALIMI","ÜRETİM GİRİŞ"})) - VLOOKUP(C6097, 'STOK RAPORU'!$C$2:$I$1000, 4, 0))), 0)</f>
        <v>0</v>
      </c>
      <c r="U6097" s="22">
        <f t="shared" si="380"/>
        <v>0</v>
      </c>
      <c r="V6097">
        <f t="shared" si="381"/>
        <v>0</v>
      </c>
      <c r="W6097" s="22">
        <f t="shared" si="382"/>
        <v>0</v>
      </c>
    </row>
    <row r="6098" spans="1:23" hidden="1" x14ac:dyDescent="0.25">
      <c r="A6098" s="45">
        <v>46119</v>
      </c>
      <c r="B6098" s="46" t="s">
        <v>334</v>
      </c>
      <c r="C6098" s="4" t="s">
        <v>160</v>
      </c>
      <c r="D6098" s="4"/>
      <c r="E6098" s="4" t="s">
        <v>921</v>
      </c>
      <c r="F6098" s="46" t="s">
        <v>2925</v>
      </c>
      <c r="G6098" s="4" t="s">
        <v>336</v>
      </c>
      <c r="H6098" s="4" t="s">
        <v>380</v>
      </c>
      <c r="I6098" s="4">
        <v>1</v>
      </c>
      <c r="J6098" s="21">
        <v>250</v>
      </c>
      <c r="K6098" s="21">
        <v>250</v>
      </c>
      <c r="L6098" s="5">
        <v>0</v>
      </c>
      <c r="M6098" s="4"/>
      <c r="N6098" s="4"/>
      <c r="O6098" s="5"/>
      <c r="P6098" s="5"/>
      <c r="Q6098" s="21">
        <v>0</v>
      </c>
      <c r="R6098" s="21">
        <v>0</v>
      </c>
      <c r="S6098" s="5">
        <f t="shared" si="383"/>
        <v>66090.919360692016</v>
      </c>
      <c r="T6098" cm="1">
        <f t="array" ref="T6098">IF(OR(B6098="MAL ALIMI", B6098="ÜRETİM GİRİŞ"), MIN(I6098, MAX(0, I6098 + SUM(SUMIFS($I$1:I6097, $C$1:C6097, C6098, $B$1:B6097, {"MAL ALIMI","ÜRETİM GİRİŞ"})) - VLOOKUP(C6098, 'STOK RAPORU'!$C$2:$I$1000, 4, 0))), 0)</f>
        <v>0</v>
      </c>
      <c r="U6098" s="22">
        <f t="shared" si="380"/>
        <v>0</v>
      </c>
      <c r="V6098">
        <f t="shared" si="381"/>
        <v>0</v>
      </c>
      <c r="W6098" s="22">
        <f t="shared" si="382"/>
        <v>0</v>
      </c>
    </row>
    <row r="6099" spans="1:23" hidden="1" x14ac:dyDescent="0.25">
      <c r="A6099" s="45">
        <v>46119</v>
      </c>
      <c r="B6099" s="46" t="s">
        <v>334</v>
      </c>
      <c r="C6099" s="4" t="s">
        <v>161</v>
      </c>
      <c r="D6099" s="4"/>
      <c r="E6099" s="4"/>
      <c r="F6099" s="46" t="s">
        <v>2925</v>
      </c>
      <c r="G6099" s="4" t="s">
        <v>336</v>
      </c>
      <c r="H6099" s="4" t="s">
        <v>289</v>
      </c>
      <c r="I6099" s="4">
        <v>1</v>
      </c>
      <c r="J6099" s="21">
        <v>250</v>
      </c>
      <c r="K6099" s="21">
        <v>0</v>
      </c>
      <c r="L6099" s="5">
        <v>0</v>
      </c>
      <c r="M6099" s="4"/>
      <c r="N6099" s="4"/>
      <c r="O6099" s="5"/>
      <c r="P6099" s="5"/>
      <c r="Q6099" s="21">
        <v>250</v>
      </c>
      <c r="R6099" s="21">
        <v>0</v>
      </c>
      <c r="S6099" s="5">
        <f t="shared" si="383"/>
        <v>66340.919360692016</v>
      </c>
      <c r="T6099" cm="1">
        <f t="array" ref="T6099">IF(OR(B6099="MAL ALIMI", B6099="ÜRETİM GİRİŞ"), MIN(I6099, MAX(0, I6099 + SUM(SUMIFS($I$1:I6098, $C$1:C6098, C6099, $B$1:B6098, {"MAL ALIMI","ÜRETİM GİRİŞ"})) - VLOOKUP(C6099, 'STOK RAPORU'!$C$2:$I$1000, 4, 0))), 0)</f>
        <v>0</v>
      </c>
      <c r="U6099" s="22">
        <f t="shared" si="380"/>
        <v>0</v>
      </c>
      <c r="V6099">
        <f t="shared" si="381"/>
        <v>0</v>
      </c>
      <c r="W6099" s="22">
        <f t="shared" si="382"/>
        <v>0</v>
      </c>
    </row>
    <row r="6100" spans="1:23" hidden="1" x14ac:dyDescent="0.25">
      <c r="A6100" s="45">
        <v>46119</v>
      </c>
      <c r="B6100" s="46" t="s">
        <v>334</v>
      </c>
      <c r="C6100" s="4" t="s">
        <v>181</v>
      </c>
      <c r="D6100" s="4"/>
      <c r="E6100" s="4"/>
      <c r="F6100" s="46" t="s">
        <v>2925</v>
      </c>
      <c r="G6100" s="4" t="s">
        <v>336</v>
      </c>
      <c r="H6100" s="4" t="s">
        <v>289</v>
      </c>
      <c r="I6100" s="4">
        <v>1</v>
      </c>
      <c r="J6100" s="21">
        <v>95</v>
      </c>
      <c r="K6100" s="21">
        <v>0</v>
      </c>
      <c r="L6100" s="5">
        <v>0</v>
      </c>
      <c r="M6100" s="4"/>
      <c r="N6100" s="4"/>
      <c r="O6100" s="5"/>
      <c r="P6100" s="5"/>
      <c r="Q6100" s="21">
        <v>95</v>
      </c>
      <c r="R6100" s="21">
        <v>0</v>
      </c>
      <c r="S6100" s="5">
        <f t="shared" si="383"/>
        <v>66435.919360692016</v>
      </c>
      <c r="T6100" cm="1">
        <f t="array" ref="T6100">IF(OR(B6100="MAL ALIMI", B6100="ÜRETİM GİRİŞ"), MIN(I6100, MAX(0, I6100 + SUM(SUMIFS($I$1:I6099, $C$1:C6099, C6100, $B$1:B6099, {"MAL ALIMI","ÜRETİM GİRİŞ"})) - VLOOKUP(C6100, 'STOK RAPORU'!$C$2:$I$1000, 4, 0))), 0)</f>
        <v>0</v>
      </c>
      <c r="U6100" s="22">
        <f t="shared" si="380"/>
        <v>0</v>
      </c>
      <c r="V6100">
        <f t="shared" si="381"/>
        <v>0</v>
      </c>
      <c r="W6100" s="22">
        <f t="shared" si="382"/>
        <v>0</v>
      </c>
    </row>
    <row r="6101" spans="1:23" hidden="1" x14ac:dyDescent="0.25">
      <c r="A6101" s="45">
        <v>46119</v>
      </c>
      <c r="B6101" s="46" t="s">
        <v>334</v>
      </c>
      <c r="C6101" s="4" t="s">
        <v>160</v>
      </c>
      <c r="D6101" s="4"/>
      <c r="E6101" s="4"/>
      <c r="F6101" s="46" t="s">
        <v>2926</v>
      </c>
      <c r="G6101" s="4" t="s">
        <v>336</v>
      </c>
      <c r="H6101" s="4" t="s">
        <v>289</v>
      </c>
      <c r="I6101" s="4">
        <v>1</v>
      </c>
      <c r="J6101" s="21">
        <v>250</v>
      </c>
      <c r="K6101" s="21">
        <v>0</v>
      </c>
      <c r="L6101" s="5">
        <v>0</v>
      </c>
      <c r="M6101" s="4"/>
      <c r="N6101" s="4"/>
      <c r="O6101" s="5"/>
      <c r="P6101" s="5"/>
      <c r="Q6101" s="21">
        <v>250</v>
      </c>
      <c r="R6101" s="21">
        <v>0</v>
      </c>
      <c r="S6101" s="5">
        <f t="shared" si="383"/>
        <v>66685.919360692016</v>
      </c>
      <c r="T6101" cm="1">
        <f t="array" ref="T6101">IF(OR(B6101="MAL ALIMI", B6101="ÜRETİM GİRİŞ"), MIN(I6101, MAX(0, I6101 + SUM(SUMIFS($I$1:I6100, $C$1:C6100, C6101, $B$1:B6100, {"MAL ALIMI","ÜRETİM GİRİŞ"})) - VLOOKUP(C6101, 'STOK RAPORU'!$C$2:$I$1000, 4, 0))), 0)</f>
        <v>0</v>
      </c>
      <c r="U6101" s="22">
        <f t="shared" si="380"/>
        <v>0</v>
      </c>
      <c r="V6101">
        <f t="shared" si="381"/>
        <v>0</v>
      </c>
      <c r="W6101" s="22">
        <f t="shared" si="382"/>
        <v>0</v>
      </c>
    </row>
    <row r="6102" spans="1:23" hidden="1" x14ac:dyDescent="0.25">
      <c r="A6102" s="45">
        <v>46119</v>
      </c>
      <c r="B6102" s="46" t="s">
        <v>334</v>
      </c>
      <c r="C6102" s="4" t="s">
        <v>158</v>
      </c>
      <c r="D6102" s="4"/>
      <c r="E6102" s="4" t="s">
        <v>921</v>
      </c>
      <c r="F6102" s="46" t="s">
        <v>2927</v>
      </c>
      <c r="G6102" s="4" t="s">
        <v>336</v>
      </c>
      <c r="H6102" s="4" t="s">
        <v>380</v>
      </c>
      <c r="I6102" s="4">
        <v>1</v>
      </c>
      <c r="J6102" s="21">
        <v>150</v>
      </c>
      <c r="K6102" s="21">
        <v>150</v>
      </c>
      <c r="L6102" s="5">
        <v>0</v>
      </c>
      <c r="M6102" s="4"/>
      <c r="N6102" s="4"/>
      <c r="O6102" s="5"/>
      <c r="P6102" s="5"/>
      <c r="Q6102" s="21">
        <v>0</v>
      </c>
      <c r="R6102" s="21">
        <v>0</v>
      </c>
      <c r="S6102" s="5">
        <f t="shared" si="383"/>
        <v>66685.919360692016</v>
      </c>
      <c r="T6102" cm="1">
        <f t="array" ref="T6102">IF(OR(B6102="MAL ALIMI", B6102="ÜRETİM GİRİŞ"), MIN(I6102, MAX(0, I6102 + SUM(SUMIFS($I$1:I6101, $C$1:C6101, C6102, $B$1:B6101, {"MAL ALIMI","ÜRETİM GİRİŞ"})) - VLOOKUP(C6102, 'STOK RAPORU'!$C$2:$I$1000, 4, 0))), 0)</f>
        <v>0</v>
      </c>
      <c r="U6102" s="22">
        <f t="shared" si="380"/>
        <v>0</v>
      </c>
      <c r="V6102">
        <f t="shared" si="381"/>
        <v>0</v>
      </c>
      <c r="W6102" s="22">
        <f t="shared" si="382"/>
        <v>0</v>
      </c>
    </row>
    <row r="6103" spans="1:23" hidden="1" x14ac:dyDescent="0.25">
      <c r="A6103" s="45">
        <v>46119</v>
      </c>
      <c r="B6103" s="46" t="s">
        <v>334</v>
      </c>
      <c r="C6103" s="4" t="s">
        <v>529</v>
      </c>
      <c r="D6103" s="4"/>
      <c r="E6103" s="4" t="s">
        <v>921</v>
      </c>
      <c r="F6103" s="46" t="s">
        <v>2927</v>
      </c>
      <c r="G6103" s="4" t="s">
        <v>336</v>
      </c>
      <c r="H6103" s="4" t="s">
        <v>380</v>
      </c>
      <c r="I6103" s="4">
        <v>0.1</v>
      </c>
      <c r="J6103" s="21">
        <v>600</v>
      </c>
      <c r="K6103" s="21">
        <v>60</v>
      </c>
      <c r="L6103" s="5">
        <v>0</v>
      </c>
      <c r="M6103" s="4"/>
      <c r="N6103" s="4"/>
      <c r="O6103" s="5"/>
      <c r="P6103" s="5"/>
      <c r="Q6103" s="21">
        <v>0</v>
      </c>
      <c r="R6103" s="21">
        <v>0</v>
      </c>
      <c r="S6103" s="5">
        <f t="shared" si="383"/>
        <v>66685.919360692016</v>
      </c>
      <c r="T6103" cm="1">
        <f t="array" ref="T6103">IF(OR(B6103="MAL ALIMI", B6103="ÜRETİM GİRİŞ"), MIN(I6103, MAX(0, I6103 + SUM(SUMIFS($I$1:I6102, $C$1:C6102, C6103, $B$1:B6102, {"MAL ALIMI","ÜRETİM GİRİŞ"})) - VLOOKUP(C6103, 'STOK RAPORU'!$C$2:$I$1000, 4, 0))), 0)</f>
        <v>0</v>
      </c>
      <c r="U6103" s="22">
        <f t="shared" si="380"/>
        <v>0</v>
      </c>
      <c r="V6103">
        <f t="shared" si="381"/>
        <v>0</v>
      </c>
      <c r="W6103" s="22">
        <f t="shared" si="382"/>
        <v>0</v>
      </c>
    </row>
    <row r="6104" spans="1:23" hidden="1" x14ac:dyDescent="0.25">
      <c r="A6104" s="45">
        <v>46119</v>
      </c>
      <c r="B6104" s="46" t="s">
        <v>334</v>
      </c>
      <c r="C6104" s="4" t="s">
        <v>690</v>
      </c>
      <c r="D6104" s="4"/>
      <c r="E6104" s="4" t="s">
        <v>921</v>
      </c>
      <c r="F6104" s="46" t="s">
        <v>2927</v>
      </c>
      <c r="G6104" s="4" t="s">
        <v>336</v>
      </c>
      <c r="H6104" s="4" t="s">
        <v>380</v>
      </c>
      <c r="I6104" s="4">
        <v>0.29411764705882354</v>
      </c>
      <c r="J6104" s="21">
        <v>340</v>
      </c>
      <c r="K6104" s="21">
        <v>100</v>
      </c>
      <c r="L6104" s="5">
        <v>0</v>
      </c>
      <c r="M6104" s="4"/>
      <c r="N6104" s="4"/>
      <c r="O6104" s="5"/>
      <c r="P6104" s="5"/>
      <c r="Q6104" s="21">
        <v>0</v>
      </c>
      <c r="R6104" s="21">
        <v>0</v>
      </c>
      <c r="S6104" s="5">
        <f t="shared" si="383"/>
        <v>66685.919360692016</v>
      </c>
      <c r="T6104" cm="1">
        <f t="array" ref="T6104">IF(OR(B6104="MAL ALIMI", B6104="ÜRETİM GİRİŞ"), MIN(I6104, MAX(0, I6104 + SUM(SUMIFS($I$1:I6103, $C$1:C6103, C6104, $B$1:B6103, {"MAL ALIMI","ÜRETİM GİRİŞ"})) - VLOOKUP(C6104, 'STOK RAPORU'!$C$2:$I$1000, 4, 0))), 0)</f>
        <v>0</v>
      </c>
      <c r="U6104" s="22">
        <f t="shared" si="380"/>
        <v>0</v>
      </c>
      <c r="V6104">
        <f t="shared" si="381"/>
        <v>0</v>
      </c>
      <c r="W6104" s="22">
        <f t="shared" si="382"/>
        <v>0</v>
      </c>
    </row>
    <row r="6105" spans="1:23" hidden="1" x14ac:dyDescent="0.25">
      <c r="A6105" s="45">
        <v>46119</v>
      </c>
      <c r="B6105" s="46" t="s">
        <v>334</v>
      </c>
      <c r="C6105" s="4" t="s">
        <v>236</v>
      </c>
      <c r="D6105" s="4"/>
      <c r="E6105" s="4" t="s">
        <v>921</v>
      </c>
      <c r="F6105" s="46" t="s">
        <v>2928</v>
      </c>
      <c r="G6105" s="4" t="s">
        <v>336</v>
      </c>
      <c r="H6105" s="4" t="s">
        <v>380</v>
      </c>
      <c r="I6105" s="4">
        <v>0.5</v>
      </c>
      <c r="J6105" s="21">
        <v>350</v>
      </c>
      <c r="K6105" s="21">
        <v>175</v>
      </c>
      <c r="L6105" s="5">
        <v>0</v>
      </c>
      <c r="M6105" s="4"/>
      <c r="N6105" s="4"/>
      <c r="O6105" s="5"/>
      <c r="P6105" s="5"/>
      <c r="Q6105" s="21">
        <v>0</v>
      </c>
      <c r="R6105" s="21">
        <v>0</v>
      </c>
      <c r="S6105" s="5">
        <f t="shared" si="383"/>
        <v>66685.919360692016</v>
      </c>
      <c r="T6105" cm="1">
        <f t="array" ref="T6105">IF(OR(B6105="MAL ALIMI", B6105="ÜRETİM GİRİŞ"), MIN(I6105, MAX(0, I6105 + SUM(SUMIFS($I$1:I6104, $C$1:C6104, C6105, $B$1:B6104, {"MAL ALIMI","ÜRETİM GİRİŞ"})) - VLOOKUP(C6105, 'STOK RAPORU'!$C$2:$I$1000, 4, 0))), 0)</f>
        <v>0</v>
      </c>
      <c r="U6105" s="22">
        <f t="shared" si="380"/>
        <v>0</v>
      </c>
      <c r="V6105">
        <f t="shared" si="381"/>
        <v>0</v>
      </c>
      <c r="W6105" s="22">
        <f t="shared" si="382"/>
        <v>0</v>
      </c>
    </row>
    <row r="6106" spans="1:23" hidden="1" x14ac:dyDescent="0.25">
      <c r="A6106" s="45">
        <v>46119</v>
      </c>
      <c r="B6106" s="46" t="s">
        <v>334</v>
      </c>
      <c r="C6106" s="4" t="s">
        <v>2488</v>
      </c>
      <c r="D6106" s="4"/>
      <c r="E6106" s="4"/>
      <c r="F6106" s="46" t="s">
        <v>2929</v>
      </c>
      <c r="G6106" s="4" t="s">
        <v>336</v>
      </c>
      <c r="H6106" s="4" t="s">
        <v>289</v>
      </c>
      <c r="I6106" s="4">
        <v>7.2727272727272724E-2</v>
      </c>
      <c r="J6106" s="21">
        <v>550</v>
      </c>
      <c r="K6106" s="21">
        <v>0</v>
      </c>
      <c r="L6106" s="5">
        <v>0</v>
      </c>
      <c r="M6106" s="4"/>
      <c r="N6106" s="4"/>
      <c r="O6106" s="5"/>
      <c r="P6106" s="5"/>
      <c r="Q6106" s="21">
        <v>40</v>
      </c>
      <c r="R6106" s="21">
        <v>0</v>
      </c>
      <c r="S6106" s="5">
        <f t="shared" si="383"/>
        <v>66725.919360692016</v>
      </c>
      <c r="T6106" cm="1">
        <f t="array" ref="T6106">IF(OR(B6106="MAL ALIMI", B6106="ÜRETİM GİRİŞ"), MIN(I6106, MAX(0, I6106 + SUM(SUMIFS($I$1:I6105, $C$1:C6105, C6106, $B$1:B6105, {"MAL ALIMI","ÜRETİM GİRİŞ"})) - VLOOKUP(C6106, 'STOK RAPORU'!$C$2:$I$1000, 4, 0))), 0)</f>
        <v>0</v>
      </c>
      <c r="U6106" s="22">
        <f t="shared" si="380"/>
        <v>0</v>
      </c>
      <c r="V6106">
        <f t="shared" si="381"/>
        <v>0</v>
      </c>
      <c r="W6106" s="22">
        <f t="shared" si="382"/>
        <v>0</v>
      </c>
    </row>
    <row r="6107" spans="1:23" hidden="1" x14ac:dyDescent="0.25">
      <c r="A6107" s="45">
        <v>46119</v>
      </c>
      <c r="B6107" s="46" t="s">
        <v>334</v>
      </c>
      <c r="C6107" s="4" t="s">
        <v>163</v>
      </c>
      <c r="D6107" s="4"/>
      <c r="E6107" s="4"/>
      <c r="F6107" s="46" t="s">
        <v>2929</v>
      </c>
      <c r="G6107" s="4" t="s">
        <v>336</v>
      </c>
      <c r="H6107" s="4" t="s">
        <v>289</v>
      </c>
      <c r="I6107" s="4">
        <v>0.32222222222222224</v>
      </c>
      <c r="J6107" s="21">
        <v>450</v>
      </c>
      <c r="K6107" s="21">
        <v>0</v>
      </c>
      <c r="L6107" s="5">
        <v>0</v>
      </c>
      <c r="M6107" s="4"/>
      <c r="N6107" s="4"/>
      <c r="O6107" s="5"/>
      <c r="P6107" s="5"/>
      <c r="Q6107" s="21">
        <v>145</v>
      </c>
      <c r="R6107" s="21">
        <v>0</v>
      </c>
      <c r="S6107" s="5">
        <f t="shared" si="383"/>
        <v>66870.919360692016</v>
      </c>
      <c r="T6107" cm="1">
        <f t="array" ref="T6107">IF(OR(B6107="MAL ALIMI", B6107="ÜRETİM GİRİŞ"), MIN(I6107, MAX(0, I6107 + SUM(SUMIFS($I$1:I6106, $C$1:C6106, C6107, $B$1:B6106, {"MAL ALIMI","ÜRETİM GİRİŞ"})) - VLOOKUP(C6107, 'STOK RAPORU'!$C$2:$I$1000, 4, 0))), 0)</f>
        <v>0</v>
      </c>
      <c r="U6107" s="22">
        <f t="shared" si="380"/>
        <v>0</v>
      </c>
      <c r="V6107">
        <f t="shared" si="381"/>
        <v>0</v>
      </c>
      <c r="W6107" s="22">
        <f t="shared" si="382"/>
        <v>0</v>
      </c>
    </row>
    <row r="6108" spans="1:23" hidden="1" x14ac:dyDescent="0.25">
      <c r="A6108" s="45">
        <v>46119</v>
      </c>
      <c r="B6108" s="46" t="s">
        <v>334</v>
      </c>
      <c r="C6108" s="4" t="s">
        <v>1176</v>
      </c>
      <c r="D6108" s="4"/>
      <c r="E6108" s="4"/>
      <c r="F6108" s="46" t="s">
        <v>2929</v>
      </c>
      <c r="G6108" s="4" t="s">
        <v>336</v>
      </c>
      <c r="H6108" s="4" t="s">
        <v>289</v>
      </c>
      <c r="I6108" s="4">
        <v>0.1</v>
      </c>
      <c r="J6108" s="21">
        <v>2000</v>
      </c>
      <c r="K6108" s="21">
        <v>0</v>
      </c>
      <c r="L6108" s="5">
        <v>0</v>
      </c>
      <c r="M6108" s="4"/>
      <c r="N6108" s="4"/>
      <c r="O6108" s="5"/>
      <c r="P6108" s="5"/>
      <c r="Q6108" s="21">
        <v>200</v>
      </c>
      <c r="R6108" s="21">
        <v>0</v>
      </c>
      <c r="S6108" s="5">
        <f t="shared" si="383"/>
        <v>67070.919360692016</v>
      </c>
      <c r="T6108" cm="1">
        <f t="array" ref="T6108">IF(OR(B6108="MAL ALIMI", B6108="ÜRETİM GİRİŞ"), MIN(I6108, MAX(0, I6108 + SUM(SUMIFS($I$1:I6107, $C$1:C6107, C6108, $B$1:B6107, {"MAL ALIMI","ÜRETİM GİRİŞ"})) - VLOOKUP(C6108, 'STOK RAPORU'!$C$2:$I$1000, 4, 0))), 0)</f>
        <v>0</v>
      </c>
      <c r="U6108" s="22">
        <f t="shared" si="380"/>
        <v>0</v>
      </c>
      <c r="V6108">
        <f t="shared" si="381"/>
        <v>0</v>
      </c>
      <c r="W6108" s="22">
        <f t="shared" si="382"/>
        <v>0</v>
      </c>
    </row>
    <row r="6109" spans="1:23" hidden="1" x14ac:dyDescent="0.25">
      <c r="A6109" s="45">
        <v>46119</v>
      </c>
      <c r="B6109" s="46" t="s">
        <v>334</v>
      </c>
      <c r="C6109" s="4" t="s">
        <v>1365</v>
      </c>
      <c r="D6109" s="4"/>
      <c r="E6109" s="4"/>
      <c r="F6109" s="46" t="s">
        <v>2930</v>
      </c>
      <c r="G6109" s="4" t="s">
        <v>336</v>
      </c>
      <c r="H6109" s="4" t="s">
        <v>289</v>
      </c>
      <c r="I6109" s="4">
        <v>1</v>
      </c>
      <c r="J6109" s="21">
        <v>140</v>
      </c>
      <c r="K6109" s="21">
        <v>0</v>
      </c>
      <c r="L6109" s="5">
        <v>0</v>
      </c>
      <c r="M6109" s="4"/>
      <c r="N6109" s="4"/>
      <c r="O6109" s="5"/>
      <c r="P6109" s="5"/>
      <c r="Q6109" s="21">
        <v>140</v>
      </c>
      <c r="R6109" s="21">
        <v>0</v>
      </c>
      <c r="S6109" s="5">
        <f t="shared" si="383"/>
        <v>67210.919360692016</v>
      </c>
      <c r="T6109" cm="1">
        <f t="array" ref="T6109">IF(OR(B6109="MAL ALIMI", B6109="ÜRETİM GİRİŞ"), MIN(I6109, MAX(0, I6109 + SUM(SUMIFS($I$1:I6108, $C$1:C6108, C6109, $B$1:B6108, {"MAL ALIMI","ÜRETİM GİRİŞ"})) - VLOOKUP(C6109, 'STOK RAPORU'!$C$2:$I$1000, 4, 0))), 0)</f>
        <v>0</v>
      </c>
      <c r="U6109" s="22">
        <f t="shared" si="380"/>
        <v>0</v>
      </c>
      <c r="V6109">
        <f t="shared" si="381"/>
        <v>0</v>
      </c>
      <c r="W6109" s="22">
        <f t="shared" si="382"/>
        <v>0</v>
      </c>
    </row>
    <row r="6110" spans="1:23" hidden="1" x14ac:dyDescent="0.25">
      <c r="A6110" s="45">
        <v>46119</v>
      </c>
      <c r="B6110" s="46" t="s">
        <v>334</v>
      </c>
      <c r="C6110" s="4" t="s">
        <v>679</v>
      </c>
      <c r="D6110" s="4"/>
      <c r="E6110" s="4"/>
      <c r="F6110" s="46" t="s">
        <v>2930</v>
      </c>
      <c r="G6110" s="4" t="s">
        <v>336</v>
      </c>
      <c r="H6110" s="4" t="s">
        <v>289</v>
      </c>
      <c r="I6110" s="4">
        <v>0.25</v>
      </c>
      <c r="J6110" s="21">
        <v>400</v>
      </c>
      <c r="K6110" s="21">
        <v>0</v>
      </c>
      <c r="L6110" s="5">
        <v>0</v>
      </c>
      <c r="M6110" s="4"/>
      <c r="N6110" s="4"/>
      <c r="O6110" s="5"/>
      <c r="P6110" s="5"/>
      <c r="Q6110" s="21">
        <v>100</v>
      </c>
      <c r="R6110" s="21">
        <v>0</v>
      </c>
      <c r="S6110" s="5">
        <f t="shared" si="383"/>
        <v>67310.919360692016</v>
      </c>
      <c r="T6110" cm="1">
        <f t="array" ref="T6110">IF(OR(B6110="MAL ALIMI", B6110="ÜRETİM GİRİŞ"), MIN(I6110, MAX(0, I6110 + SUM(SUMIFS($I$1:I6109, $C$1:C6109, C6110, $B$1:B6109, {"MAL ALIMI","ÜRETİM GİRİŞ"})) - VLOOKUP(C6110, 'STOK RAPORU'!$C$2:$I$1000, 4, 0))), 0)</f>
        <v>0</v>
      </c>
      <c r="U6110" s="22">
        <f t="shared" si="380"/>
        <v>0</v>
      </c>
      <c r="V6110">
        <f t="shared" si="381"/>
        <v>0</v>
      </c>
      <c r="W6110" s="22">
        <f t="shared" si="382"/>
        <v>0</v>
      </c>
    </row>
    <row r="6111" spans="1:23" hidden="1" x14ac:dyDescent="0.25">
      <c r="A6111" s="45">
        <v>46119</v>
      </c>
      <c r="B6111" s="46" t="s">
        <v>334</v>
      </c>
      <c r="C6111" s="4" t="s">
        <v>1271</v>
      </c>
      <c r="D6111" s="4"/>
      <c r="E6111" s="4"/>
      <c r="F6111" s="46" t="s">
        <v>2930</v>
      </c>
      <c r="G6111" s="4" t="s">
        <v>336</v>
      </c>
      <c r="H6111" s="4" t="s">
        <v>289</v>
      </c>
      <c r="I6111" s="4">
        <v>1</v>
      </c>
      <c r="J6111" s="21">
        <v>180</v>
      </c>
      <c r="K6111" s="21">
        <v>0</v>
      </c>
      <c r="L6111" s="5">
        <v>0</v>
      </c>
      <c r="M6111" s="4"/>
      <c r="N6111" s="4"/>
      <c r="O6111" s="5"/>
      <c r="P6111" s="5"/>
      <c r="Q6111" s="21">
        <v>180</v>
      </c>
      <c r="R6111" s="21">
        <v>0</v>
      </c>
      <c r="S6111" s="5">
        <f t="shared" si="383"/>
        <v>67490.919360692016</v>
      </c>
      <c r="T6111" cm="1">
        <f t="array" ref="T6111">IF(OR(B6111="MAL ALIMI", B6111="ÜRETİM GİRİŞ"), MIN(I6111, MAX(0, I6111 + SUM(SUMIFS($I$1:I6110, $C$1:C6110, C6111, $B$1:B6110, {"MAL ALIMI","ÜRETİM GİRİŞ"})) - VLOOKUP(C6111, 'STOK RAPORU'!$C$2:$I$1000, 4, 0))), 0)</f>
        <v>0</v>
      </c>
      <c r="U6111" s="22">
        <f t="shared" si="380"/>
        <v>0</v>
      </c>
      <c r="V6111">
        <f t="shared" si="381"/>
        <v>0</v>
      </c>
      <c r="W6111" s="22">
        <f t="shared" si="382"/>
        <v>0</v>
      </c>
    </row>
    <row r="6112" spans="1:23" hidden="1" x14ac:dyDescent="0.25">
      <c r="A6112" s="45">
        <v>46119</v>
      </c>
      <c r="B6112" s="46" t="s">
        <v>334</v>
      </c>
      <c r="C6112" s="4" t="s">
        <v>828</v>
      </c>
      <c r="D6112" s="4"/>
      <c r="E6112" s="4"/>
      <c r="F6112" s="46" t="s">
        <v>2930</v>
      </c>
      <c r="G6112" s="4" t="s">
        <v>336</v>
      </c>
      <c r="H6112" s="4" t="s">
        <v>289</v>
      </c>
      <c r="I6112" s="4">
        <v>1</v>
      </c>
      <c r="J6112" s="21">
        <v>120</v>
      </c>
      <c r="K6112" s="21">
        <v>0</v>
      </c>
      <c r="L6112" s="5">
        <v>0</v>
      </c>
      <c r="M6112" s="4"/>
      <c r="N6112" s="4"/>
      <c r="O6112" s="5"/>
      <c r="P6112" s="5"/>
      <c r="Q6112" s="21">
        <v>120</v>
      </c>
      <c r="R6112" s="21">
        <v>0</v>
      </c>
      <c r="S6112" s="5">
        <f t="shared" si="383"/>
        <v>67610.919360692016</v>
      </c>
      <c r="T6112" cm="1">
        <f t="array" ref="T6112">IF(OR(B6112="MAL ALIMI", B6112="ÜRETİM GİRİŞ"), MIN(I6112, MAX(0, I6112 + SUM(SUMIFS($I$1:I6111, $C$1:C6111, C6112, $B$1:B6111, {"MAL ALIMI","ÜRETİM GİRİŞ"})) - VLOOKUP(C6112, 'STOK RAPORU'!$C$2:$I$1000, 4, 0))), 0)</f>
        <v>0</v>
      </c>
      <c r="U6112" s="22">
        <f t="shared" si="380"/>
        <v>0</v>
      </c>
      <c r="V6112">
        <f t="shared" si="381"/>
        <v>0</v>
      </c>
      <c r="W6112" s="22">
        <f t="shared" si="382"/>
        <v>0</v>
      </c>
    </row>
    <row r="6113" spans="1:23" hidden="1" x14ac:dyDescent="0.25">
      <c r="A6113" s="45">
        <v>46120</v>
      </c>
      <c r="B6113" s="46" t="s">
        <v>334</v>
      </c>
      <c r="C6113" s="4" t="s">
        <v>158</v>
      </c>
      <c r="D6113" s="4"/>
      <c r="E6113" s="4"/>
      <c r="F6113" s="46" t="s">
        <v>2954</v>
      </c>
      <c r="G6113" s="4" t="s">
        <v>336</v>
      </c>
      <c r="H6113" s="4" t="s">
        <v>289</v>
      </c>
      <c r="I6113" s="4">
        <v>0.5</v>
      </c>
      <c r="J6113" s="21">
        <v>150</v>
      </c>
      <c r="K6113" s="21">
        <v>0</v>
      </c>
      <c r="L6113" s="5">
        <v>0</v>
      </c>
      <c r="M6113" s="4"/>
      <c r="N6113" s="4"/>
      <c r="O6113" s="5"/>
      <c r="P6113" s="5"/>
      <c r="Q6113" s="21">
        <v>75</v>
      </c>
      <c r="R6113" s="21">
        <v>0</v>
      </c>
      <c r="S6113" s="5">
        <f t="shared" si="383"/>
        <v>67685.919360692016</v>
      </c>
      <c r="T6113" cm="1">
        <f t="array" ref="T6113">IF(OR(B6113="MAL ALIMI", B6113="ÜRETİM GİRİŞ"), MIN(I6113, MAX(0, I6113 + SUM(SUMIFS($I$1:I6112, $C$1:C6112, C6113, $B$1:B6112, {"MAL ALIMI","ÜRETİM GİRİŞ"})) - VLOOKUP(C6113, 'STOK RAPORU'!$C$2:$I$1000, 4, 0))), 0)</f>
        <v>0</v>
      </c>
      <c r="U6113" s="22">
        <f t="shared" si="380"/>
        <v>0</v>
      </c>
      <c r="V6113">
        <f t="shared" si="381"/>
        <v>0</v>
      </c>
      <c r="W6113" s="22">
        <f t="shared" si="382"/>
        <v>0</v>
      </c>
    </row>
    <row r="6114" spans="1:23" hidden="1" x14ac:dyDescent="0.25">
      <c r="A6114" s="45">
        <v>46120</v>
      </c>
      <c r="B6114" s="46" t="s">
        <v>334</v>
      </c>
      <c r="C6114" s="4" t="s">
        <v>160</v>
      </c>
      <c r="D6114" s="4"/>
      <c r="E6114" s="4"/>
      <c r="F6114" s="46" t="s">
        <v>2954</v>
      </c>
      <c r="G6114" s="4" t="s">
        <v>336</v>
      </c>
      <c r="H6114" s="4" t="s">
        <v>289</v>
      </c>
      <c r="I6114" s="4">
        <v>1</v>
      </c>
      <c r="J6114" s="21">
        <v>250</v>
      </c>
      <c r="K6114" s="21">
        <v>0</v>
      </c>
      <c r="L6114" s="5">
        <v>0</v>
      </c>
      <c r="M6114" s="4"/>
      <c r="N6114" s="4"/>
      <c r="O6114" s="5"/>
      <c r="P6114" s="5"/>
      <c r="Q6114" s="21">
        <v>250</v>
      </c>
      <c r="R6114" s="21">
        <v>0</v>
      </c>
      <c r="S6114" s="5">
        <f t="shared" si="383"/>
        <v>67935.919360692016</v>
      </c>
      <c r="T6114" cm="1">
        <f t="array" ref="T6114">IF(OR(B6114="MAL ALIMI", B6114="ÜRETİM GİRİŞ"), MIN(I6114, MAX(0, I6114 + SUM(SUMIFS($I$1:I6113, $C$1:C6113, C6114, $B$1:B6113, {"MAL ALIMI","ÜRETİM GİRİŞ"})) - VLOOKUP(C6114, 'STOK RAPORU'!$C$2:$I$1000, 4, 0))), 0)</f>
        <v>0</v>
      </c>
      <c r="U6114" s="22">
        <f t="shared" si="380"/>
        <v>0</v>
      </c>
      <c r="V6114">
        <f t="shared" si="381"/>
        <v>0</v>
      </c>
      <c r="W6114" s="22">
        <f t="shared" si="382"/>
        <v>0</v>
      </c>
    </row>
    <row r="6115" spans="1:23" hidden="1" x14ac:dyDescent="0.25">
      <c r="A6115" s="45">
        <v>46120</v>
      </c>
      <c r="B6115" s="46" t="s">
        <v>334</v>
      </c>
      <c r="C6115" s="4" t="s">
        <v>163</v>
      </c>
      <c r="D6115" s="4"/>
      <c r="E6115" s="4"/>
      <c r="F6115" s="46" t="s">
        <v>2954</v>
      </c>
      <c r="G6115" s="4" t="s">
        <v>336</v>
      </c>
      <c r="H6115" s="4" t="s">
        <v>289</v>
      </c>
      <c r="I6115" s="4">
        <v>6.222222222222222E-2</v>
      </c>
      <c r="J6115" s="21">
        <v>450</v>
      </c>
      <c r="K6115" s="21">
        <v>0</v>
      </c>
      <c r="L6115" s="5">
        <v>0</v>
      </c>
      <c r="M6115" s="4"/>
      <c r="N6115" s="4"/>
      <c r="O6115" s="5"/>
      <c r="P6115" s="5"/>
      <c r="Q6115" s="21">
        <v>28</v>
      </c>
      <c r="R6115" s="21">
        <v>0</v>
      </c>
      <c r="S6115" s="5">
        <f t="shared" si="383"/>
        <v>67963.919360692016</v>
      </c>
      <c r="T6115" cm="1">
        <f t="array" ref="T6115">IF(OR(B6115="MAL ALIMI", B6115="ÜRETİM GİRİŞ"), MIN(I6115, MAX(0, I6115 + SUM(SUMIFS($I$1:I6114, $C$1:C6114, C6115, $B$1:B6114, {"MAL ALIMI","ÜRETİM GİRİŞ"})) - VLOOKUP(C6115, 'STOK RAPORU'!$C$2:$I$1000, 4, 0))), 0)</f>
        <v>0</v>
      </c>
      <c r="U6115" s="22">
        <f t="shared" si="380"/>
        <v>0</v>
      </c>
      <c r="V6115">
        <f t="shared" si="381"/>
        <v>0</v>
      </c>
      <c r="W6115" s="22">
        <f t="shared" si="382"/>
        <v>0</v>
      </c>
    </row>
    <row r="6116" spans="1:23" hidden="1" x14ac:dyDescent="0.25">
      <c r="A6116" s="45">
        <v>46120</v>
      </c>
      <c r="B6116" s="46" t="s">
        <v>334</v>
      </c>
      <c r="C6116" s="4" t="s">
        <v>1871</v>
      </c>
      <c r="D6116" s="4"/>
      <c r="E6116" s="4"/>
      <c r="F6116" s="46" t="s">
        <v>2954</v>
      </c>
      <c r="G6116" s="4" t="s">
        <v>336</v>
      </c>
      <c r="H6116" s="4" t="s">
        <v>289</v>
      </c>
      <c r="I6116" s="4">
        <v>1</v>
      </c>
      <c r="J6116" s="21">
        <v>150</v>
      </c>
      <c r="K6116" s="21">
        <v>0</v>
      </c>
      <c r="L6116" s="5">
        <v>0</v>
      </c>
      <c r="M6116" s="4"/>
      <c r="N6116" s="4"/>
      <c r="O6116" s="5"/>
      <c r="P6116" s="5"/>
      <c r="Q6116" s="21">
        <v>150</v>
      </c>
      <c r="R6116" s="21">
        <v>0</v>
      </c>
      <c r="S6116" s="5">
        <f t="shared" si="383"/>
        <v>68113.919360692016</v>
      </c>
      <c r="T6116" cm="1">
        <f t="array" ref="T6116">IF(OR(B6116="MAL ALIMI", B6116="ÜRETİM GİRİŞ"), MIN(I6116, MAX(0, I6116 + SUM(SUMIFS($I$1:I6115, $C$1:C6115, C6116, $B$1:B6115, {"MAL ALIMI","ÜRETİM GİRİŞ"})) - VLOOKUP(C6116, 'STOK RAPORU'!$C$2:$I$1000, 4, 0))), 0)</f>
        <v>0</v>
      </c>
      <c r="U6116" s="22">
        <f t="shared" si="380"/>
        <v>0</v>
      </c>
      <c r="V6116">
        <f t="shared" si="381"/>
        <v>0</v>
      </c>
      <c r="W6116" s="22">
        <f t="shared" si="382"/>
        <v>0</v>
      </c>
    </row>
    <row r="6117" spans="1:23" hidden="1" x14ac:dyDescent="0.25">
      <c r="A6117" s="45">
        <v>46120</v>
      </c>
      <c r="B6117" s="46" t="s">
        <v>334</v>
      </c>
      <c r="C6117" s="4" t="s">
        <v>146</v>
      </c>
      <c r="D6117" s="4"/>
      <c r="E6117" s="4"/>
      <c r="F6117" s="46" t="s">
        <v>2955</v>
      </c>
      <c r="G6117" s="4" t="s">
        <v>336</v>
      </c>
      <c r="H6117" s="4" t="s">
        <v>289</v>
      </c>
      <c r="I6117" s="4">
        <v>1</v>
      </c>
      <c r="J6117" s="21">
        <v>80</v>
      </c>
      <c r="K6117" s="21">
        <v>0</v>
      </c>
      <c r="L6117" s="5">
        <v>0</v>
      </c>
      <c r="M6117" s="4"/>
      <c r="N6117" s="4"/>
      <c r="O6117" s="5"/>
      <c r="P6117" s="5"/>
      <c r="Q6117" s="21">
        <v>80</v>
      </c>
      <c r="R6117" s="21">
        <v>0</v>
      </c>
      <c r="S6117" s="5">
        <f t="shared" si="383"/>
        <v>68193.919360692016</v>
      </c>
      <c r="T6117" cm="1">
        <f t="array" ref="T6117">IF(OR(B6117="MAL ALIMI", B6117="ÜRETİM GİRİŞ"), MIN(I6117, MAX(0, I6117 + SUM(SUMIFS($I$1:I6116, $C$1:C6116, C6117, $B$1:B6116, {"MAL ALIMI","ÜRETİM GİRİŞ"})) - VLOOKUP(C6117, 'STOK RAPORU'!$C$2:$I$1000, 4, 0))), 0)</f>
        <v>0</v>
      </c>
      <c r="U6117" s="22">
        <f t="shared" si="380"/>
        <v>0</v>
      </c>
      <c r="V6117">
        <f t="shared" si="381"/>
        <v>0</v>
      </c>
      <c r="W6117" s="22">
        <f t="shared" si="382"/>
        <v>0</v>
      </c>
    </row>
    <row r="6118" spans="1:23" hidden="1" x14ac:dyDescent="0.25">
      <c r="A6118" s="45">
        <v>46120</v>
      </c>
      <c r="B6118" s="46" t="s">
        <v>334</v>
      </c>
      <c r="C6118" s="4" t="s">
        <v>530</v>
      </c>
      <c r="D6118" s="4"/>
      <c r="E6118" s="4"/>
      <c r="F6118" s="46" t="s">
        <v>2955</v>
      </c>
      <c r="G6118" s="4" t="s">
        <v>336</v>
      </c>
      <c r="H6118" s="4" t="s">
        <v>289</v>
      </c>
      <c r="I6118" s="4">
        <v>0.5</v>
      </c>
      <c r="J6118" s="21">
        <v>280</v>
      </c>
      <c r="K6118" s="21">
        <v>0</v>
      </c>
      <c r="L6118" s="5">
        <v>0</v>
      </c>
      <c r="M6118" s="4"/>
      <c r="N6118" s="4"/>
      <c r="O6118" s="5"/>
      <c r="P6118" s="5"/>
      <c r="Q6118" s="21">
        <v>140</v>
      </c>
      <c r="R6118" s="21">
        <v>0</v>
      </c>
      <c r="S6118" s="5">
        <f t="shared" si="383"/>
        <v>68333.919360692016</v>
      </c>
      <c r="T6118" cm="1">
        <f t="array" ref="T6118">IF(OR(B6118="MAL ALIMI", B6118="ÜRETİM GİRİŞ"), MIN(I6118, MAX(0, I6118 + SUM(SUMIFS($I$1:I6117, $C$1:C6117, C6118, $B$1:B6117, {"MAL ALIMI","ÜRETİM GİRİŞ"})) - VLOOKUP(C6118, 'STOK RAPORU'!$C$2:$I$1000, 4, 0))), 0)</f>
        <v>0</v>
      </c>
      <c r="U6118" s="22">
        <f t="shared" si="380"/>
        <v>0</v>
      </c>
      <c r="V6118">
        <f t="shared" si="381"/>
        <v>0</v>
      </c>
      <c r="W6118" s="22">
        <f t="shared" si="382"/>
        <v>0</v>
      </c>
    </row>
    <row r="6119" spans="1:23" hidden="1" x14ac:dyDescent="0.25">
      <c r="A6119" s="45">
        <v>46120</v>
      </c>
      <c r="B6119" s="46" t="s">
        <v>334</v>
      </c>
      <c r="C6119" s="4" t="s">
        <v>1634</v>
      </c>
      <c r="D6119" s="4"/>
      <c r="E6119" s="4"/>
      <c r="F6119" s="46" t="s">
        <v>2956</v>
      </c>
      <c r="G6119" s="4" t="s">
        <v>336</v>
      </c>
      <c r="H6119" s="4" t="s">
        <v>289</v>
      </c>
      <c r="I6119" s="4">
        <v>0.5</v>
      </c>
      <c r="J6119" s="21">
        <v>350</v>
      </c>
      <c r="K6119" s="21">
        <v>0</v>
      </c>
      <c r="L6119" s="5">
        <v>0</v>
      </c>
      <c r="M6119" s="4"/>
      <c r="N6119" s="4"/>
      <c r="O6119" s="5"/>
      <c r="P6119" s="5"/>
      <c r="Q6119" s="21">
        <v>175</v>
      </c>
      <c r="R6119" s="21">
        <v>0</v>
      </c>
      <c r="S6119" s="5">
        <f t="shared" si="383"/>
        <v>68508.919360692016</v>
      </c>
      <c r="T6119" cm="1">
        <f t="array" ref="T6119">IF(OR(B6119="MAL ALIMI", B6119="ÜRETİM GİRİŞ"), MIN(I6119, MAX(0, I6119 + SUM(SUMIFS($I$1:I6118, $C$1:C6118, C6119, $B$1:B6118, {"MAL ALIMI","ÜRETİM GİRİŞ"})) - VLOOKUP(C6119, 'STOK RAPORU'!$C$2:$I$1000, 4, 0))), 0)</f>
        <v>0</v>
      </c>
      <c r="U6119" s="22">
        <f t="shared" si="380"/>
        <v>0</v>
      </c>
      <c r="V6119">
        <f t="shared" si="381"/>
        <v>0</v>
      </c>
      <c r="W6119" s="22">
        <f t="shared" si="382"/>
        <v>0</v>
      </c>
    </row>
    <row r="6120" spans="1:23" hidden="1" x14ac:dyDescent="0.25">
      <c r="A6120" s="45">
        <v>46120</v>
      </c>
      <c r="B6120" s="46" t="s">
        <v>334</v>
      </c>
      <c r="C6120" s="4" t="s">
        <v>181</v>
      </c>
      <c r="D6120" s="4"/>
      <c r="E6120" s="4"/>
      <c r="F6120" s="46" t="s">
        <v>2957</v>
      </c>
      <c r="G6120" s="4" t="s">
        <v>1945</v>
      </c>
      <c r="H6120" s="4" t="s">
        <v>289</v>
      </c>
      <c r="I6120" s="4">
        <v>3</v>
      </c>
      <c r="J6120" s="21">
        <v>95</v>
      </c>
      <c r="K6120" s="21">
        <v>0</v>
      </c>
      <c r="L6120" s="5">
        <v>0</v>
      </c>
      <c r="M6120" s="4"/>
      <c r="N6120" s="4"/>
      <c r="O6120" s="5"/>
      <c r="P6120" s="5"/>
      <c r="Q6120" s="21">
        <v>285</v>
      </c>
      <c r="R6120" s="21">
        <v>0</v>
      </c>
      <c r="S6120" s="5">
        <f t="shared" si="383"/>
        <v>68793.919360692016</v>
      </c>
      <c r="T6120" cm="1">
        <f t="array" ref="T6120">IF(OR(B6120="MAL ALIMI", B6120="ÜRETİM GİRİŞ"), MIN(I6120, MAX(0, I6120 + SUM(SUMIFS($I$1:I6119, $C$1:C6119, C6120, $B$1:B6119, {"MAL ALIMI","ÜRETİM GİRİŞ"})) - VLOOKUP(C6120, 'STOK RAPORU'!$C$2:$I$1000, 4, 0))), 0)</f>
        <v>0</v>
      </c>
      <c r="U6120" s="22">
        <f t="shared" si="380"/>
        <v>0</v>
      </c>
      <c r="V6120">
        <f t="shared" si="381"/>
        <v>0</v>
      </c>
      <c r="W6120" s="22">
        <f t="shared" si="382"/>
        <v>0</v>
      </c>
    </row>
    <row r="6121" spans="1:23" hidden="1" x14ac:dyDescent="0.25">
      <c r="A6121" s="45">
        <v>46120</v>
      </c>
      <c r="B6121" s="46" t="s">
        <v>334</v>
      </c>
      <c r="C6121" s="4" t="s">
        <v>96</v>
      </c>
      <c r="D6121" s="4"/>
      <c r="E6121" s="4"/>
      <c r="F6121" s="46" t="s">
        <v>2957</v>
      </c>
      <c r="G6121" s="4" t="s">
        <v>1945</v>
      </c>
      <c r="H6121" s="4" t="s">
        <v>289</v>
      </c>
      <c r="I6121" s="4">
        <v>0.3</v>
      </c>
      <c r="J6121" s="21">
        <v>400</v>
      </c>
      <c r="K6121" s="21">
        <v>0</v>
      </c>
      <c r="L6121" s="5">
        <v>0</v>
      </c>
      <c r="M6121" s="4"/>
      <c r="N6121" s="4"/>
      <c r="O6121" s="5"/>
      <c r="P6121" s="5"/>
      <c r="Q6121" s="21">
        <v>120</v>
      </c>
      <c r="R6121" s="21">
        <v>0</v>
      </c>
      <c r="S6121" s="5">
        <f t="shared" si="383"/>
        <v>68913.919360692016</v>
      </c>
      <c r="T6121" cm="1">
        <f t="array" ref="T6121">IF(OR(B6121="MAL ALIMI", B6121="ÜRETİM GİRİŞ"), MIN(I6121, MAX(0, I6121 + SUM(SUMIFS($I$1:I6120, $C$1:C6120, C6121, $B$1:B6120, {"MAL ALIMI","ÜRETİM GİRİŞ"})) - VLOOKUP(C6121, 'STOK RAPORU'!$C$2:$I$1000, 4, 0))), 0)</f>
        <v>0</v>
      </c>
      <c r="U6121" s="22">
        <f t="shared" si="380"/>
        <v>0</v>
      </c>
      <c r="V6121">
        <f t="shared" si="381"/>
        <v>0</v>
      </c>
      <c r="W6121" s="22">
        <f t="shared" si="382"/>
        <v>0</v>
      </c>
    </row>
    <row r="6122" spans="1:23" hidden="1" x14ac:dyDescent="0.25">
      <c r="A6122" s="45">
        <v>46120</v>
      </c>
      <c r="B6122" s="46" t="s">
        <v>334</v>
      </c>
      <c r="C6122" s="4" t="s">
        <v>1897</v>
      </c>
      <c r="D6122" s="4"/>
      <c r="E6122" s="4"/>
      <c r="F6122" s="46" t="s">
        <v>2958</v>
      </c>
      <c r="G6122" s="4" t="s">
        <v>336</v>
      </c>
      <c r="H6122" s="4" t="s">
        <v>289</v>
      </c>
      <c r="I6122" s="4">
        <v>1</v>
      </c>
      <c r="J6122" s="21">
        <v>300</v>
      </c>
      <c r="K6122" s="21">
        <v>0</v>
      </c>
      <c r="L6122" s="5">
        <v>0</v>
      </c>
      <c r="M6122" s="4"/>
      <c r="N6122" s="4"/>
      <c r="O6122" s="5"/>
      <c r="P6122" s="5"/>
      <c r="Q6122" s="21">
        <v>300</v>
      </c>
      <c r="R6122" s="21">
        <v>0</v>
      </c>
      <c r="S6122" s="5">
        <f t="shared" si="383"/>
        <v>69213.919360692016</v>
      </c>
      <c r="T6122" cm="1">
        <f t="array" ref="T6122">IF(OR(B6122="MAL ALIMI", B6122="ÜRETİM GİRİŞ"), MIN(I6122, MAX(0, I6122 + SUM(SUMIFS($I$1:I6121, $C$1:C6121, C6122, $B$1:B6121, {"MAL ALIMI","ÜRETİM GİRİŞ"})) - VLOOKUP(C6122, 'STOK RAPORU'!$C$2:$I$1000, 4, 0))), 0)</f>
        <v>0</v>
      </c>
      <c r="U6122" s="22">
        <f t="shared" si="380"/>
        <v>0</v>
      </c>
      <c r="V6122">
        <f t="shared" si="381"/>
        <v>0</v>
      </c>
      <c r="W6122" s="22">
        <f t="shared" si="382"/>
        <v>0</v>
      </c>
    </row>
    <row r="6123" spans="1:23" hidden="1" x14ac:dyDescent="0.25">
      <c r="A6123" s="45">
        <v>46120</v>
      </c>
      <c r="B6123" s="46" t="s">
        <v>334</v>
      </c>
      <c r="C6123" s="4" t="s">
        <v>1634</v>
      </c>
      <c r="D6123" s="4"/>
      <c r="E6123" s="4"/>
      <c r="F6123" s="46" t="s">
        <v>2959</v>
      </c>
      <c r="G6123" s="4" t="s">
        <v>336</v>
      </c>
      <c r="H6123" s="4" t="s">
        <v>289</v>
      </c>
      <c r="I6123" s="4">
        <v>0.5714285714285714</v>
      </c>
      <c r="J6123" s="21">
        <v>350</v>
      </c>
      <c r="K6123" s="21">
        <v>0</v>
      </c>
      <c r="L6123" s="5">
        <v>0</v>
      </c>
      <c r="M6123" s="4"/>
      <c r="N6123" s="4"/>
      <c r="O6123" s="5"/>
      <c r="P6123" s="5"/>
      <c r="Q6123" s="21">
        <v>200</v>
      </c>
      <c r="R6123" s="21">
        <v>0</v>
      </c>
      <c r="S6123" s="5">
        <f t="shared" si="383"/>
        <v>69413.919360692016</v>
      </c>
      <c r="T6123" cm="1">
        <f t="array" ref="T6123">IF(OR(B6123="MAL ALIMI", B6123="ÜRETİM GİRİŞ"), MIN(I6123, MAX(0, I6123 + SUM(SUMIFS($I$1:I6122, $C$1:C6122, C6123, $B$1:B6122, {"MAL ALIMI","ÜRETİM GİRİŞ"})) - VLOOKUP(C6123, 'STOK RAPORU'!$C$2:$I$1000, 4, 0))), 0)</f>
        <v>0</v>
      </c>
      <c r="U6123" s="22">
        <f t="shared" si="380"/>
        <v>0</v>
      </c>
      <c r="V6123">
        <f t="shared" si="381"/>
        <v>0</v>
      </c>
      <c r="W6123" s="22">
        <f t="shared" si="382"/>
        <v>0</v>
      </c>
    </row>
    <row r="6124" spans="1:23" hidden="1" x14ac:dyDescent="0.25">
      <c r="A6124" s="45">
        <v>46120</v>
      </c>
      <c r="B6124" s="46" t="s">
        <v>334</v>
      </c>
      <c r="C6124" s="4" t="s">
        <v>711</v>
      </c>
      <c r="D6124" s="4"/>
      <c r="E6124" s="4"/>
      <c r="F6124" s="46" t="s">
        <v>2960</v>
      </c>
      <c r="G6124" s="4" t="s">
        <v>336</v>
      </c>
      <c r="H6124" s="4" t="s">
        <v>289</v>
      </c>
      <c r="I6124" s="4">
        <v>1</v>
      </c>
      <c r="J6124" s="21">
        <v>170</v>
      </c>
      <c r="K6124" s="21">
        <v>0</v>
      </c>
      <c r="L6124" s="5">
        <v>0</v>
      </c>
      <c r="M6124" s="4"/>
      <c r="N6124" s="4"/>
      <c r="O6124" s="5"/>
      <c r="P6124" s="5"/>
      <c r="Q6124" s="21">
        <v>170</v>
      </c>
      <c r="R6124" s="21">
        <v>0</v>
      </c>
      <c r="S6124" s="5">
        <f t="shared" si="383"/>
        <v>69583.919360692016</v>
      </c>
      <c r="T6124" cm="1">
        <f t="array" ref="T6124">IF(OR(B6124="MAL ALIMI", B6124="ÜRETİM GİRİŞ"), MIN(I6124, MAX(0, I6124 + SUM(SUMIFS($I$1:I6123, $C$1:C6123, C6124, $B$1:B6123, {"MAL ALIMI","ÜRETİM GİRİŞ"})) - VLOOKUP(C6124, 'STOK RAPORU'!$C$2:$I$1000, 4, 0))), 0)</f>
        <v>0</v>
      </c>
      <c r="U6124" s="22">
        <f t="shared" si="380"/>
        <v>0</v>
      </c>
      <c r="V6124">
        <f t="shared" si="381"/>
        <v>0</v>
      </c>
      <c r="W6124" s="22">
        <f t="shared" si="382"/>
        <v>0</v>
      </c>
    </row>
    <row r="6125" spans="1:23" hidden="1" x14ac:dyDescent="0.25">
      <c r="A6125" s="45">
        <v>46120</v>
      </c>
      <c r="B6125" s="46" t="s">
        <v>334</v>
      </c>
      <c r="C6125" s="4" t="s">
        <v>131</v>
      </c>
      <c r="D6125" s="4"/>
      <c r="E6125" s="4"/>
      <c r="F6125" s="46" t="s">
        <v>2961</v>
      </c>
      <c r="G6125" s="4" t="s">
        <v>336</v>
      </c>
      <c r="H6125" s="4" t="s">
        <v>289</v>
      </c>
      <c r="I6125" s="4">
        <v>0.125</v>
      </c>
      <c r="J6125" s="21">
        <v>400</v>
      </c>
      <c r="K6125" s="21">
        <v>0</v>
      </c>
      <c r="L6125" s="5">
        <v>0</v>
      </c>
      <c r="M6125" s="4"/>
      <c r="N6125" s="4"/>
      <c r="O6125" s="5"/>
      <c r="P6125" s="5"/>
      <c r="Q6125" s="21">
        <v>50</v>
      </c>
      <c r="R6125" s="21">
        <v>0</v>
      </c>
      <c r="S6125" s="5">
        <f t="shared" si="383"/>
        <v>69633.919360692016</v>
      </c>
      <c r="T6125" cm="1">
        <f t="array" ref="T6125">IF(OR(B6125="MAL ALIMI", B6125="ÜRETİM GİRİŞ"), MIN(I6125, MAX(0, I6125 + SUM(SUMIFS($I$1:I6124, $C$1:C6124, C6125, $B$1:B6124, {"MAL ALIMI","ÜRETİM GİRİŞ"})) - VLOOKUP(C6125, 'STOK RAPORU'!$C$2:$I$1000, 4, 0))), 0)</f>
        <v>0</v>
      </c>
      <c r="U6125" s="22">
        <f t="shared" si="380"/>
        <v>0</v>
      </c>
      <c r="V6125">
        <f t="shared" si="381"/>
        <v>0</v>
      </c>
      <c r="W6125" s="22">
        <f t="shared" si="382"/>
        <v>0</v>
      </c>
    </row>
    <row r="6126" spans="1:23" hidden="1" x14ac:dyDescent="0.25">
      <c r="A6126" s="45">
        <v>46120</v>
      </c>
      <c r="B6126" s="46" t="s">
        <v>334</v>
      </c>
      <c r="C6126" s="4" t="s">
        <v>588</v>
      </c>
      <c r="D6126" s="4"/>
      <c r="E6126" s="4" t="s">
        <v>921</v>
      </c>
      <c r="F6126" s="46" t="s">
        <v>2962</v>
      </c>
      <c r="G6126" s="4" t="s">
        <v>336</v>
      </c>
      <c r="H6126" s="4" t="s">
        <v>380</v>
      </c>
      <c r="I6126" s="4">
        <v>1</v>
      </c>
      <c r="J6126" s="21">
        <v>340</v>
      </c>
      <c r="K6126" s="21">
        <v>340</v>
      </c>
      <c r="L6126" s="5">
        <v>0</v>
      </c>
      <c r="M6126" s="4"/>
      <c r="N6126" s="4"/>
      <c r="O6126" s="5"/>
      <c r="P6126" s="5"/>
      <c r="Q6126" s="21">
        <v>0</v>
      </c>
      <c r="R6126" s="21">
        <v>0</v>
      </c>
      <c r="S6126" s="5">
        <f t="shared" si="383"/>
        <v>69633.919360692016</v>
      </c>
      <c r="T6126" cm="1">
        <f t="array" ref="T6126">IF(OR(B6126="MAL ALIMI", B6126="ÜRETİM GİRİŞ"), MIN(I6126, MAX(0, I6126 + SUM(SUMIFS($I$1:I6125, $C$1:C6125, C6126, $B$1:B6125, {"MAL ALIMI","ÜRETİM GİRİŞ"})) - VLOOKUP(C6126, 'STOK RAPORU'!$C$2:$I$1000, 4, 0))), 0)</f>
        <v>0</v>
      </c>
      <c r="U6126" s="22">
        <f t="shared" si="380"/>
        <v>0</v>
      </c>
      <c r="V6126">
        <f t="shared" si="381"/>
        <v>0</v>
      </c>
      <c r="W6126" s="22">
        <f t="shared" si="382"/>
        <v>0</v>
      </c>
    </row>
    <row r="6127" spans="1:23" hidden="1" x14ac:dyDescent="0.25">
      <c r="A6127" s="45">
        <v>46120</v>
      </c>
      <c r="B6127" s="46" t="s">
        <v>334</v>
      </c>
      <c r="C6127" s="4" t="s">
        <v>461</v>
      </c>
      <c r="D6127" s="4"/>
      <c r="E6127" s="4" t="s">
        <v>921</v>
      </c>
      <c r="F6127" s="46" t="s">
        <v>2963</v>
      </c>
      <c r="G6127" s="4" t="s">
        <v>336</v>
      </c>
      <c r="H6127" s="4" t="s">
        <v>380</v>
      </c>
      <c r="I6127" s="4">
        <v>1</v>
      </c>
      <c r="J6127" s="21">
        <v>100</v>
      </c>
      <c r="K6127" s="21">
        <v>100</v>
      </c>
      <c r="L6127" s="5">
        <v>0</v>
      </c>
      <c r="M6127" s="4"/>
      <c r="N6127" s="4"/>
      <c r="O6127" s="5"/>
      <c r="P6127" s="5"/>
      <c r="Q6127" s="21">
        <v>0</v>
      </c>
      <c r="R6127" s="21">
        <v>0</v>
      </c>
      <c r="S6127" s="5">
        <f t="shared" si="383"/>
        <v>69633.919360692016</v>
      </c>
      <c r="T6127" cm="1">
        <f t="array" ref="T6127">IF(OR(B6127="MAL ALIMI", B6127="ÜRETİM GİRİŞ"), MIN(I6127, MAX(0, I6127 + SUM(SUMIFS($I$1:I6126, $C$1:C6126, C6127, $B$1:B6126, {"MAL ALIMI","ÜRETİM GİRİŞ"})) - VLOOKUP(C6127, 'STOK RAPORU'!$C$2:$I$1000, 4, 0))), 0)</f>
        <v>0</v>
      </c>
      <c r="U6127" s="22">
        <f t="shared" si="380"/>
        <v>0</v>
      </c>
      <c r="V6127">
        <f t="shared" si="381"/>
        <v>0</v>
      </c>
      <c r="W6127" s="22">
        <f t="shared" si="382"/>
        <v>0</v>
      </c>
    </row>
    <row r="6128" spans="1:23" hidden="1" x14ac:dyDescent="0.25">
      <c r="A6128" s="45">
        <v>46120</v>
      </c>
      <c r="B6128" s="46" t="s">
        <v>334</v>
      </c>
      <c r="C6128" s="4" t="s">
        <v>140</v>
      </c>
      <c r="D6128" s="4"/>
      <c r="E6128" s="4" t="s">
        <v>921</v>
      </c>
      <c r="F6128" s="46" t="s">
        <v>2963</v>
      </c>
      <c r="G6128" s="4" t="s">
        <v>336</v>
      </c>
      <c r="H6128" s="4" t="s">
        <v>380</v>
      </c>
      <c r="I6128" s="4">
        <v>9.6666666666666665E-2</v>
      </c>
      <c r="J6128" s="21">
        <v>300</v>
      </c>
      <c r="K6128" s="21">
        <v>29</v>
      </c>
      <c r="L6128" s="5">
        <v>0</v>
      </c>
      <c r="M6128" s="4"/>
      <c r="N6128" s="4"/>
      <c r="O6128" s="5"/>
      <c r="P6128" s="5"/>
      <c r="Q6128" s="21">
        <v>0</v>
      </c>
      <c r="R6128" s="21">
        <v>0</v>
      </c>
      <c r="S6128" s="5">
        <f t="shared" si="383"/>
        <v>69633.919360692016</v>
      </c>
      <c r="T6128" cm="1">
        <f t="array" ref="T6128">IF(OR(B6128="MAL ALIMI", B6128="ÜRETİM GİRİŞ"), MIN(I6128, MAX(0, I6128 + SUM(SUMIFS($I$1:I6127, $C$1:C6127, C6128, $B$1:B6127, {"MAL ALIMI","ÜRETİM GİRİŞ"})) - VLOOKUP(C6128, 'STOK RAPORU'!$C$2:$I$1000, 4, 0))), 0)</f>
        <v>0</v>
      </c>
      <c r="U6128" s="22">
        <f t="shared" si="380"/>
        <v>0</v>
      </c>
      <c r="V6128">
        <f t="shared" si="381"/>
        <v>0</v>
      </c>
      <c r="W6128" s="22">
        <f t="shared" si="382"/>
        <v>0</v>
      </c>
    </row>
    <row r="6129" spans="1:23" hidden="1" x14ac:dyDescent="0.25">
      <c r="A6129" s="45">
        <v>46120</v>
      </c>
      <c r="B6129" s="46" t="s">
        <v>334</v>
      </c>
      <c r="C6129" s="4" t="s">
        <v>457</v>
      </c>
      <c r="D6129" s="4"/>
      <c r="E6129" s="4"/>
      <c r="F6129" s="46" t="s">
        <v>2964</v>
      </c>
      <c r="G6129" s="4" t="s">
        <v>336</v>
      </c>
      <c r="H6129" s="4" t="s">
        <v>289</v>
      </c>
      <c r="I6129" s="4">
        <v>0.1</v>
      </c>
      <c r="J6129" s="21">
        <v>700</v>
      </c>
      <c r="K6129" s="21">
        <v>0</v>
      </c>
      <c r="L6129" s="5">
        <v>0</v>
      </c>
      <c r="M6129" s="4"/>
      <c r="N6129" s="4"/>
      <c r="O6129" s="5"/>
      <c r="P6129" s="5"/>
      <c r="Q6129" s="21">
        <v>70</v>
      </c>
      <c r="R6129" s="21">
        <v>0</v>
      </c>
      <c r="S6129" s="5">
        <f t="shared" si="383"/>
        <v>69703.919360692016</v>
      </c>
      <c r="T6129" cm="1">
        <f t="array" ref="T6129">IF(OR(B6129="MAL ALIMI", B6129="ÜRETİM GİRİŞ"), MIN(I6129, MAX(0, I6129 + SUM(SUMIFS($I$1:I6128, $C$1:C6128, C6129, $B$1:B6128, {"MAL ALIMI","ÜRETİM GİRİŞ"})) - VLOOKUP(C6129, 'STOK RAPORU'!$C$2:$I$1000, 4, 0))), 0)</f>
        <v>0</v>
      </c>
      <c r="U6129" s="22">
        <f t="shared" si="380"/>
        <v>0</v>
      </c>
      <c r="V6129">
        <f t="shared" si="381"/>
        <v>0</v>
      </c>
      <c r="W6129" s="22">
        <f t="shared" si="382"/>
        <v>0</v>
      </c>
    </row>
    <row r="6130" spans="1:23" hidden="1" x14ac:dyDescent="0.25">
      <c r="A6130" s="45">
        <v>46120</v>
      </c>
      <c r="B6130" s="46" t="s">
        <v>334</v>
      </c>
      <c r="C6130" s="4" t="s">
        <v>256</v>
      </c>
      <c r="D6130" s="4"/>
      <c r="E6130" s="4"/>
      <c r="F6130" s="46" t="s">
        <v>2965</v>
      </c>
      <c r="G6130" s="4" t="s">
        <v>336</v>
      </c>
      <c r="H6130" s="4" t="s">
        <v>289</v>
      </c>
      <c r="I6130" s="4">
        <v>1</v>
      </c>
      <c r="J6130" s="21">
        <v>220</v>
      </c>
      <c r="K6130" s="21">
        <v>0</v>
      </c>
      <c r="L6130" s="5">
        <v>0</v>
      </c>
      <c r="M6130" s="4"/>
      <c r="N6130" s="4"/>
      <c r="O6130" s="5"/>
      <c r="P6130" s="5"/>
      <c r="Q6130" s="21">
        <v>220</v>
      </c>
      <c r="R6130" s="21">
        <v>0</v>
      </c>
      <c r="S6130" s="5">
        <f t="shared" si="383"/>
        <v>69923.919360692016</v>
      </c>
      <c r="T6130" cm="1">
        <f t="array" ref="T6130">IF(OR(B6130="MAL ALIMI", B6130="ÜRETİM GİRİŞ"), MIN(I6130, MAX(0, I6130 + SUM(SUMIFS($I$1:I6129, $C$1:C6129, C6130, $B$1:B6129, {"MAL ALIMI","ÜRETİM GİRİŞ"})) - VLOOKUP(C6130, 'STOK RAPORU'!$C$2:$I$1000, 4, 0))), 0)</f>
        <v>0</v>
      </c>
      <c r="U6130" s="22">
        <f t="shared" ref="U6130:U6193" si="384">T6130*J6130</f>
        <v>0</v>
      </c>
      <c r="V6130">
        <f t="shared" ref="V6130:V6193" si="385">IF(OR(B6130="MAL ALIMI", B6130="ÜRETİM GİRİŞ"), I6130 * J6130, 0)</f>
        <v>0</v>
      </c>
      <c r="W6130" s="22">
        <f t="shared" ref="W6130:W6193" si="386">V6130-U6130</f>
        <v>0</v>
      </c>
    </row>
    <row r="6131" spans="1:23" hidden="1" x14ac:dyDescent="0.25">
      <c r="A6131" s="45">
        <v>46120</v>
      </c>
      <c r="B6131" s="46" t="s">
        <v>334</v>
      </c>
      <c r="C6131" s="4" t="s">
        <v>1365</v>
      </c>
      <c r="D6131" s="4"/>
      <c r="E6131" s="4" t="s">
        <v>921</v>
      </c>
      <c r="F6131" s="46" t="s">
        <v>2966</v>
      </c>
      <c r="G6131" s="4" t="s">
        <v>336</v>
      </c>
      <c r="H6131" s="4" t="s">
        <v>380</v>
      </c>
      <c r="I6131" s="4">
        <v>1</v>
      </c>
      <c r="J6131" s="21">
        <v>140</v>
      </c>
      <c r="K6131" s="21">
        <v>140</v>
      </c>
      <c r="L6131" s="5">
        <v>0</v>
      </c>
      <c r="M6131" s="4"/>
      <c r="N6131" s="4"/>
      <c r="O6131" s="5"/>
      <c r="P6131" s="5"/>
      <c r="Q6131" s="21">
        <v>0</v>
      </c>
      <c r="R6131" s="21">
        <v>0</v>
      </c>
      <c r="S6131" s="5">
        <f t="shared" si="383"/>
        <v>69923.919360692016</v>
      </c>
      <c r="T6131" cm="1">
        <f t="array" ref="T6131">IF(OR(B6131="MAL ALIMI", B6131="ÜRETİM GİRİŞ"), MIN(I6131, MAX(0, I6131 + SUM(SUMIFS($I$1:I6130, $C$1:C6130, C6131, $B$1:B6130, {"MAL ALIMI","ÜRETİM GİRİŞ"})) - VLOOKUP(C6131, 'STOK RAPORU'!$C$2:$I$1000, 4, 0))), 0)</f>
        <v>0</v>
      </c>
      <c r="U6131" s="22">
        <f t="shared" si="384"/>
        <v>0</v>
      </c>
      <c r="V6131">
        <f t="shared" si="385"/>
        <v>0</v>
      </c>
      <c r="W6131" s="22">
        <f t="shared" si="386"/>
        <v>0</v>
      </c>
    </row>
    <row r="6132" spans="1:23" hidden="1" x14ac:dyDescent="0.25">
      <c r="A6132" s="45">
        <v>46120</v>
      </c>
      <c r="B6132" s="46" t="s">
        <v>334</v>
      </c>
      <c r="C6132" s="4" t="s">
        <v>192</v>
      </c>
      <c r="D6132" s="4"/>
      <c r="E6132" s="4" t="s">
        <v>921</v>
      </c>
      <c r="F6132" s="46" t="s">
        <v>2966</v>
      </c>
      <c r="G6132" s="4" t="s">
        <v>336</v>
      </c>
      <c r="H6132" s="4" t="s">
        <v>380</v>
      </c>
      <c r="I6132" s="4">
        <v>0.12</v>
      </c>
      <c r="J6132" s="21">
        <v>417</v>
      </c>
      <c r="K6132" s="21">
        <v>50.04</v>
      </c>
      <c r="L6132" s="5">
        <v>0</v>
      </c>
      <c r="M6132" s="4"/>
      <c r="N6132" s="4"/>
      <c r="O6132" s="5"/>
      <c r="P6132" s="5"/>
      <c r="Q6132" s="21">
        <v>0</v>
      </c>
      <c r="R6132" s="21">
        <v>0</v>
      </c>
      <c r="S6132" s="5">
        <f t="shared" si="383"/>
        <v>69923.919360692016</v>
      </c>
      <c r="T6132" cm="1">
        <f t="array" ref="T6132">IF(OR(B6132="MAL ALIMI", B6132="ÜRETİM GİRİŞ"), MIN(I6132, MAX(0, I6132 + SUM(SUMIFS($I$1:I6131, $C$1:C6131, C6132, $B$1:B6131, {"MAL ALIMI","ÜRETİM GİRİŞ"})) - VLOOKUP(C6132, 'STOK RAPORU'!$C$2:$I$1000, 4, 0))), 0)</f>
        <v>0</v>
      </c>
      <c r="U6132" s="22">
        <f t="shared" si="384"/>
        <v>0</v>
      </c>
      <c r="V6132">
        <f t="shared" si="385"/>
        <v>0</v>
      </c>
      <c r="W6132" s="22">
        <f t="shared" si="386"/>
        <v>0</v>
      </c>
    </row>
    <row r="6133" spans="1:23" hidden="1" x14ac:dyDescent="0.25">
      <c r="A6133" s="45">
        <v>46120</v>
      </c>
      <c r="B6133" s="46" t="s">
        <v>334</v>
      </c>
      <c r="C6133" s="4" t="s">
        <v>98</v>
      </c>
      <c r="D6133" s="4"/>
      <c r="E6133" s="4" t="s">
        <v>921</v>
      </c>
      <c r="F6133" s="46" t="s">
        <v>2967</v>
      </c>
      <c r="G6133" s="4" t="s">
        <v>336</v>
      </c>
      <c r="H6133" s="4" t="s">
        <v>380</v>
      </c>
      <c r="I6133" s="4">
        <v>0.09</v>
      </c>
      <c r="J6133" s="21">
        <v>400</v>
      </c>
      <c r="K6133" s="21">
        <v>36</v>
      </c>
      <c r="L6133" s="5">
        <v>0</v>
      </c>
      <c r="M6133" s="4"/>
      <c r="N6133" s="4"/>
      <c r="O6133" s="5"/>
      <c r="P6133" s="5"/>
      <c r="Q6133" s="21">
        <v>0</v>
      </c>
      <c r="R6133" s="21">
        <v>0</v>
      </c>
      <c r="S6133" s="5">
        <f t="shared" si="383"/>
        <v>69923.919360692016</v>
      </c>
      <c r="T6133" cm="1">
        <f t="array" ref="T6133">IF(OR(B6133="MAL ALIMI", B6133="ÜRETİM GİRİŞ"), MIN(I6133, MAX(0, I6133 + SUM(SUMIFS($I$1:I6132, $C$1:C6132, C6133, $B$1:B6132, {"MAL ALIMI","ÜRETİM GİRİŞ"})) - VLOOKUP(C6133, 'STOK RAPORU'!$C$2:$I$1000, 4, 0))), 0)</f>
        <v>0</v>
      </c>
      <c r="U6133" s="22">
        <f t="shared" si="384"/>
        <v>0</v>
      </c>
      <c r="V6133">
        <f t="shared" si="385"/>
        <v>0</v>
      </c>
      <c r="W6133" s="22">
        <f t="shared" si="386"/>
        <v>0</v>
      </c>
    </row>
    <row r="6134" spans="1:23" hidden="1" x14ac:dyDescent="0.25">
      <c r="A6134" s="45">
        <v>46120</v>
      </c>
      <c r="B6134" s="46" t="s">
        <v>334</v>
      </c>
      <c r="C6134" s="4" t="s">
        <v>126</v>
      </c>
      <c r="D6134" s="4"/>
      <c r="E6134" s="4" t="s">
        <v>921</v>
      </c>
      <c r="F6134" s="46" t="s">
        <v>2967</v>
      </c>
      <c r="G6134" s="4" t="s">
        <v>336</v>
      </c>
      <c r="H6134" s="4" t="s">
        <v>380</v>
      </c>
      <c r="I6134" s="4">
        <v>8.3076923076923076E-2</v>
      </c>
      <c r="J6134" s="21">
        <v>650</v>
      </c>
      <c r="K6134" s="21">
        <v>54</v>
      </c>
      <c r="L6134" s="5">
        <v>0</v>
      </c>
      <c r="M6134" s="4"/>
      <c r="N6134" s="4"/>
      <c r="O6134" s="5"/>
      <c r="P6134" s="5"/>
      <c r="Q6134" s="21">
        <v>0</v>
      </c>
      <c r="R6134" s="21">
        <v>0</v>
      </c>
      <c r="S6134" s="5">
        <f t="shared" si="383"/>
        <v>69923.919360692016</v>
      </c>
      <c r="T6134" cm="1">
        <f t="array" ref="T6134">IF(OR(B6134="MAL ALIMI", B6134="ÜRETİM GİRİŞ"), MIN(I6134, MAX(0, I6134 + SUM(SUMIFS($I$1:I6133, $C$1:C6133, C6134, $B$1:B6133, {"MAL ALIMI","ÜRETİM GİRİŞ"})) - VLOOKUP(C6134, 'STOK RAPORU'!$C$2:$I$1000, 4, 0))), 0)</f>
        <v>0</v>
      </c>
      <c r="U6134" s="22">
        <f t="shared" si="384"/>
        <v>0</v>
      </c>
      <c r="V6134">
        <f t="shared" si="385"/>
        <v>0</v>
      </c>
      <c r="W6134" s="22">
        <f t="shared" si="386"/>
        <v>0</v>
      </c>
    </row>
    <row r="6135" spans="1:23" hidden="1" x14ac:dyDescent="0.25">
      <c r="A6135" s="45">
        <v>46121</v>
      </c>
      <c r="B6135" s="46" t="s">
        <v>334</v>
      </c>
      <c r="C6135" s="4" t="s">
        <v>755</v>
      </c>
      <c r="D6135" s="4"/>
      <c r="E6135" s="4"/>
      <c r="F6135" s="46" t="s">
        <v>2968</v>
      </c>
      <c r="G6135" s="4" t="s">
        <v>336</v>
      </c>
      <c r="H6135" s="4" t="s">
        <v>289</v>
      </c>
      <c r="I6135" s="4">
        <v>1</v>
      </c>
      <c r="J6135" s="21">
        <v>260</v>
      </c>
      <c r="K6135" s="21">
        <v>0</v>
      </c>
      <c r="L6135" s="5">
        <v>0</v>
      </c>
      <c r="M6135" s="4"/>
      <c r="N6135" s="4"/>
      <c r="O6135" s="5"/>
      <c r="P6135" s="5"/>
      <c r="Q6135" s="21">
        <v>260</v>
      </c>
      <c r="R6135" s="21">
        <v>0</v>
      </c>
      <c r="S6135" s="5">
        <f t="shared" si="383"/>
        <v>70183.919360692016</v>
      </c>
      <c r="T6135" cm="1">
        <f t="array" ref="T6135">IF(OR(B6135="MAL ALIMI", B6135="ÜRETİM GİRİŞ"), MIN(I6135, MAX(0, I6135 + SUM(SUMIFS($I$1:I6134, $C$1:C6134, C6135, $B$1:B6134, {"MAL ALIMI","ÜRETİM GİRİŞ"})) - VLOOKUP(C6135, 'STOK RAPORU'!$C$2:$I$1000, 4, 0))), 0)</f>
        <v>0</v>
      </c>
      <c r="U6135" s="22">
        <f t="shared" si="384"/>
        <v>0</v>
      </c>
      <c r="V6135">
        <f t="shared" si="385"/>
        <v>0</v>
      </c>
      <c r="W6135" s="22">
        <f t="shared" si="386"/>
        <v>0</v>
      </c>
    </row>
    <row r="6136" spans="1:23" hidden="1" x14ac:dyDescent="0.25">
      <c r="A6136" s="45">
        <v>46121</v>
      </c>
      <c r="B6136" s="46" t="s">
        <v>334</v>
      </c>
      <c r="C6136" s="4" t="s">
        <v>161</v>
      </c>
      <c r="D6136" s="4"/>
      <c r="E6136" s="4" t="s">
        <v>921</v>
      </c>
      <c r="F6136" s="46" t="s">
        <v>2969</v>
      </c>
      <c r="G6136" s="4" t="s">
        <v>336</v>
      </c>
      <c r="H6136" s="4" t="s">
        <v>380</v>
      </c>
      <c r="I6136" s="4">
        <v>1</v>
      </c>
      <c r="J6136" s="21">
        <v>250</v>
      </c>
      <c r="K6136" s="21">
        <v>250</v>
      </c>
      <c r="L6136" s="5">
        <v>0</v>
      </c>
      <c r="M6136" s="4"/>
      <c r="N6136" s="4"/>
      <c r="O6136" s="5"/>
      <c r="P6136" s="5"/>
      <c r="Q6136" s="21">
        <v>0</v>
      </c>
      <c r="R6136" s="21">
        <v>0</v>
      </c>
      <c r="S6136" s="5">
        <f t="shared" si="383"/>
        <v>70183.919360692016</v>
      </c>
      <c r="T6136" cm="1">
        <f t="array" ref="T6136">IF(OR(B6136="MAL ALIMI", B6136="ÜRETİM GİRİŞ"), MIN(I6136, MAX(0, I6136 + SUM(SUMIFS($I$1:I6135, $C$1:C6135, C6136, $B$1:B6135, {"MAL ALIMI","ÜRETİM GİRİŞ"})) - VLOOKUP(C6136, 'STOK RAPORU'!$C$2:$I$1000, 4, 0))), 0)</f>
        <v>0</v>
      </c>
      <c r="U6136" s="22">
        <f t="shared" si="384"/>
        <v>0</v>
      </c>
      <c r="V6136">
        <f t="shared" si="385"/>
        <v>0</v>
      </c>
      <c r="W6136" s="22">
        <f t="shared" si="386"/>
        <v>0</v>
      </c>
    </row>
    <row r="6137" spans="1:23" hidden="1" x14ac:dyDescent="0.25">
      <c r="A6137" s="45">
        <v>46121</v>
      </c>
      <c r="B6137" s="46" t="s">
        <v>334</v>
      </c>
      <c r="C6137" s="4" t="s">
        <v>158</v>
      </c>
      <c r="D6137" s="4"/>
      <c r="E6137" s="4"/>
      <c r="F6137" s="46" t="s">
        <v>2970</v>
      </c>
      <c r="G6137" s="4" t="s">
        <v>336</v>
      </c>
      <c r="H6137" s="4" t="s">
        <v>289</v>
      </c>
      <c r="I6137" s="4">
        <v>0.5</v>
      </c>
      <c r="J6137" s="21">
        <v>150</v>
      </c>
      <c r="K6137" s="21">
        <v>0</v>
      </c>
      <c r="L6137" s="5">
        <v>0</v>
      </c>
      <c r="M6137" s="4"/>
      <c r="N6137" s="4"/>
      <c r="O6137" s="5"/>
      <c r="P6137" s="5"/>
      <c r="Q6137" s="21">
        <v>75</v>
      </c>
      <c r="R6137" s="21">
        <v>0</v>
      </c>
      <c r="S6137" s="5">
        <f t="shared" si="383"/>
        <v>70258.919360692016</v>
      </c>
      <c r="T6137" cm="1">
        <f t="array" ref="T6137">IF(OR(B6137="MAL ALIMI", B6137="ÜRETİM GİRİŞ"), MIN(I6137, MAX(0, I6137 + SUM(SUMIFS($I$1:I6136, $C$1:C6136, C6137, $B$1:B6136, {"MAL ALIMI","ÜRETİM GİRİŞ"})) - VLOOKUP(C6137, 'STOK RAPORU'!$C$2:$I$1000, 4, 0))), 0)</f>
        <v>0</v>
      </c>
      <c r="U6137" s="22">
        <f t="shared" si="384"/>
        <v>0</v>
      </c>
      <c r="V6137">
        <f t="shared" si="385"/>
        <v>0</v>
      </c>
      <c r="W6137" s="22">
        <f t="shared" si="386"/>
        <v>0</v>
      </c>
    </row>
    <row r="6138" spans="1:23" hidden="1" x14ac:dyDescent="0.25">
      <c r="A6138" s="45">
        <v>46121</v>
      </c>
      <c r="B6138" s="46" t="s">
        <v>334</v>
      </c>
      <c r="C6138" s="4" t="s">
        <v>133</v>
      </c>
      <c r="D6138" s="4"/>
      <c r="E6138" s="4"/>
      <c r="F6138" s="46" t="s">
        <v>2970</v>
      </c>
      <c r="G6138" s="4" t="s">
        <v>336</v>
      </c>
      <c r="H6138" s="4" t="s">
        <v>289</v>
      </c>
      <c r="I6138" s="4">
        <v>0.25</v>
      </c>
      <c r="J6138" s="21">
        <v>400</v>
      </c>
      <c r="K6138" s="21">
        <v>0</v>
      </c>
      <c r="L6138" s="5">
        <v>0</v>
      </c>
      <c r="M6138" s="4"/>
      <c r="N6138" s="4"/>
      <c r="O6138" s="5"/>
      <c r="P6138" s="5"/>
      <c r="Q6138" s="21">
        <v>100</v>
      </c>
      <c r="R6138" s="21">
        <v>0</v>
      </c>
      <c r="S6138" s="5">
        <f t="shared" si="383"/>
        <v>70358.919360692016</v>
      </c>
      <c r="T6138" cm="1">
        <f t="array" ref="T6138">IF(OR(B6138="MAL ALIMI", B6138="ÜRETİM GİRİŞ"), MIN(I6138, MAX(0, I6138 + SUM(SUMIFS($I$1:I6137, $C$1:C6137, C6138, $B$1:B6137, {"MAL ALIMI","ÜRETİM GİRİŞ"})) - VLOOKUP(C6138, 'STOK RAPORU'!$C$2:$I$1000, 4, 0))), 0)</f>
        <v>0</v>
      </c>
      <c r="U6138" s="22">
        <f t="shared" si="384"/>
        <v>0</v>
      </c>
      <c r="V6138">
        <f t="shared" si="385"/>
        <v>0</v>
      </c>
      <c r="W6138" s="22">
        <f t="shared" si="386"/>
        <v>0</v>
      </c>
    </row>
    <row r="6139" spans="1:23" hidden="1" x14ac:dyDescent="0.25">
      <c r="A6139" s="45">
        <v>46121</v>
      </c>
      <c r="B6139" s="46" t="s">
        <v>334</v>
      </c>
      <c r="C6139" s="4" t="s">
        <v>126</v>
      </c>
      <c r="D6139" s="4"/>
      <c r="E6139" s="4"/>
      <c r="F6139" s="46" t="s">
        <v>2970</v>
      </c>
      <c r="G6139" s="4" t="s">
        <v>336</v>
      </c>
      <c r="H6139" s="4" t="s">
        <v>289</v>
      </c>
      <c r="I6139" s="4">
        <v>7.6923076923076927E-2</v>
      </c>
      <c r="J6139" s="21">
        <v>650</v>
      </c>
      <c r="K6139" s="21">
        <v>0</v>
      </c>
      <c r="L6139" s="5">
        <v>0</v>
      </c>
      <c r="M6139" s="4"/>
      <c r="N6139" s="4"/>
      <c r="O6139" s="5"/>
      <c r="P6139" s="5"/>
      <c r="Q6139" s="21">
        <v>50</v>
      </c>
      <c r="R6139" s="21">
        <v>0</v>
      </c>
      <c r="S6139" s="5">
        <f t="shared" si="383"/>
        <v>70408.919360692016</v>
      </c>
      <c r="T6139" cm="1">
        <f t="array" ref="T6139">IF(OR(B6139="MAL ALIMI", B6139="ÜRETİM GİRİŞ"), MIN(I6139, MAX(0, I6139 + SUM(SUMIFS($I$1:I6138, $C$1:C6138, C6139, $B$1:B6138, {"MAL ALIMI","ÜRETİM GİRİŞ"})) - VLOOKUP(C6139, 'STOK RAPORU'!$C$2:$I$1000, 4, 0))), 0)</f>
        <v>0</v>
      </c>
      <c r="U6139" s="22">
        <f t="shared" si="384"/>
        <v>0</v>
      </c>
      <c r="V6139">
        <f t="shared" si="385"/>
        <v>0</v>
      </c>
      <c r="W6139" s="22">
        <f t="shared" si="386"/>
        <v>0</v>
      </c>
    </row>
    <row r="6140" spans="1:23" hidden="1" x14ac:dyDescent="0.25">
      <c r="A6140" s="45">
        <v>46121</v>
      </c>
      <c r="B6140" s="46" t="s">
        <v>334</v>
      </c>
      <c r="C6140" s="4" t="s">
        <v>158</v>
      </c>
      <c r="D6140" s="4"/>
      <c r="E6140" s="4" t="s">
        <v>921</v>
      </c>
      <c r="F6140" s="46" t="s">
        <v>2971</v>
      </c>
      <c r="G6140" s="4" t="s">
        <v>336</v>
      </c>
      <c r="H6140" s="4" t="s">
        <v>380</v>
      </c>
      <c r="I6140" s="4">
        <v>1</v>
      </c>
      <c r="J6140" s="21">
        <v>150</v>
      </c>
      <c r="K6140" s="21">
        <v>150</v>
      </c>
      <c r="L6140" s="5">
        <v>0</v>
      </c>
      <c r="M6140" s="4"/>
      <c r="N6140" s="4"/>
      <c r="O6140" s="5"/>
      <c r="P6140" s="5"/>
      <c r="Q6140" s="21">
        <v>0</v>
      </c>
      <c r="R6140" s="21">
        <v>0</v>
      </c>
      <c r="S6140" s="5">
        <f t="shared" si="383"/>
        <v>70408.919360692016</v>
      </c>
      <c r="T6140" cm="1">
        <f t="array" ref="T6140">IF(OR(B6140="MAL ALIMI", B6140="ÜRETİM GİRİŞ"), MIN(I6140, MAX(0, I6140 + SUM(SUMIFS($I$1:I6139, $C$1:C6139, C6140, $B$1:B6139, {"MAL ALIMI","ÜRETİM GİRİŞ"})) - VLOOKUP(C6140, 'STOK RAPORU'!$C$2:$I$1000, 4, 0))), 0)</f>
        <v>0</v>
      </c>
      <c r="U6140" s="22">
        <f t="shared" si="384"/>
        <v>0</v>
      </c>
      <c r="V6140">
        <f t="shared" si="385"/>
        <v>0</v>
      </c>
      <c r="W6140" s="22">
        <f t="shared" si="386"/>
        <v>0</v>
      </c>
    </row>
    <row r="6141" spans="1:23" hidden="1" x14ac:dyDescent="0.25">
      <c r="A6141" s="45">
        <v>46121</v>
      </c>
      <c r="B6141" s="46" t="s">
        <v>334</v>
      </c>
      <c r="C6141" s="4" t="s">
        <v>156</v>
      </c>
      <c r="D6141" s="4"/>
      <c r="E6141" s="4" t="s">
        <v>921</v>
      </c>
      <c r="F6141" s="46" t="s">
        <v>2971</v>
      </c>
      <c r="G6141" s="4" t="s">
        <v>336</v>
      </c>
      <c r="H6141" s="4" t="s">
        <v>380</v>
      </c>
      <c r="I6141" s="4">
        <v>1</v>
      </c>
      <c r="J6141" s="21">
        <v>200</v>
      </c>
      <c r="K6141" s="21">
        <v>200</v>
      </c>
      <c r="L6141" s="5">
        <v>0</v>
      </c>
      <c r="M6141" s="4"/>
      <c r="N6141" s="4"/>
      <c r="O6141" s="5"/>
      <c r="P6141" s="5"/>
      <c r="Q6141" s="21">
        <v>0</v>
      </c>
      <c r="R6141" s="21">
        <v>0</v>
      </c>
      <c r="S6141" s="5">
        <f t="shared" si="383"/>
        <v>70408.919360692016</v>
      </c>
      <c r="T6141" cm="1">
        <f t="array" ref="T6141">IF(OR(B6141="MAL ALIMI", B6141="ÜRETİM GİRİŞ"), MIN(I6141, MAX(0, I6141 + SUM(SUMIFS($I$1:I6140, $C$1:C6140, C6141, $B$1:B6140, {"MAL ALIMI","ÜRETİM GİRİŞ"})) - VLOOKUP(C6141, 'STOK RAPORU'!$C$2:$I$1000, 4, 0))), 0)</f>
        <v>0</v>
      </c>
      <c r="U6141" s="22">
        <f t="shared" si="384"/>
        <v>0</v>
      </c>
      <c r="V6141">
        <f t="shared" si="385"/>
        <v>0</v>
      </c>
      <c r="W6141" s="22">
        <f t="shared" si="386"/>
        <v>0</v>
      </c>
    </row>
    <row r="6142" spans="1:23" hidden="1" x14ac:dyDescent="0.25">
      <c r="A6142" s="45">
        <v>46121</v>
      </c>
      <c r="B6142" s="46" t="s">
        <v>334</v>
      </c>
      <c r="C6142" s="4" t="s">
        <v>728</v>
      </c>
      <c r="D6142" s="4"/>
      <c r="E6142" s="4" t="s">
        <v>921</v>
      </c>
      <c r="F6142" s="46" t="s">
        <v>2972</v>
      </c>
      <c r="G6142" s="4" t="s">
        <v>336</v>
      </c>
      <c r="H6142" s="4" t="s">
        <v>380</v>
      </c>
      <c r="I6142" s="4">
        <v>0.22307692307692309</v>
      </c>
      <c r="J6142" s="21">
        <v>650</v>
      </c>
      <c r="K6142" s="21">
        <v>145</v>
      </c>
      <c r="L6142" s="5">
        <v>0</v>
      </c>
      <c r="M6142" s="4"/>
      <c r="N6142" s="4"/>
      <c r="O6142" s="5"/>
      <c r="P6142" s="5"/>
      <c r="Q6142" s="21">
        <v>0</v>
      </c>
      <c r="R6142" s="21">
        <v>0</v>
      </c>
      <c r="S6142" s="5">
        <f t="shared" si="383"/>
        <v>70408.919360692016</v>
      </c>
      <c r="T6142" cm="1">
        <f t="array" ref="T6142">IF(OR(B6142="MAL ALIMI", B6142="ÜRETİM GİRİŞ"), MIN(I6142, MAX(0, I6142 + SUM(SUMIFS($I$1:I6141, $C$1:C6141, C6142, $B$1:B6141, {"MAL ALIMI","ÜRETİM GİRİŞ"})) - VLOOKUP(C6142, 'STOK RAPORU'!$C$2:$I$1000, 4, 0))), 0)</f>
        <v>0</v>
      </c>
      <c r="U6142" s="22">
        <f t="shared" si="384"/>
        <v>0</v>
      </c>
      <c r="V6142">
        <f t="shared" si="385"/>
        <v>0</v>
      </c>
      <c r="W6142" s="22">
        <f t="shared" si="386"/>
        <v>0</v>
      </c>
    </row>
    <row r="6143" spans="1:23" hidden="1" x14ac:dyDescent="0.25">
      <c r="A6143" s="3">
        <v>46121</v>
      </c>
      <c r="B6143" s="3" t="s">
        <v>917</v>
      </c>
      <c r="C6143" s="4"/>
      <c r="D6143" s="4"/>
      <c r="E6143" s="4" t="s">
        <v>115</v>
      </c>
      <c r="F6143" s="4"/>
      <c r="G6143" s="4" t="s">
        <v>3005</v>
      </c>
      <c r="H6143" s="4" t="s">
        <v>289</v>
      </c>
      <c r="I6143" s="4">
        <v>1</v>
      </c>
      <c r="J6143" s="21">
        <v>35000</v>
      </c>
      <c r="K6143" s="21">
        <v>35000</v>
      </c>
      <c r="L6143" s="5">
        <v>0</v>
      </c>
      <c r="M6143" s="21">
        <v>0</v>
      </c>
      <c r="N6143" s="21">
        <v>15000</v>
      </c>
      <c r="O6143" s="5"/>
      <c r="P6143" s="5"/>
      <c r="Q6143" s="21">
        <v>0</v>
      </c>
      <c r="R6143" s="21">
        <v>35000</v>
      </c>
      <c r="S6143" s="5">
        <f t="shared" si="383"/>
        <v>35408.919360692016</v>
      </c>
      <c r="T6143" cm="1">
        <f t="array" ref="T6143">IF(OR(B6143="MAL ALIMI", B6143="ÜRETİM GİRİŞ"), MIN(I6143, MAX(0, I6143 + SUM(SUMIFS($I$1:I6142, $C$1:C6142, C6143, $B$1:B6142, {"MAL ALIMI","ÜRETİM GİRİŞ"})) - VLOOKUP(C6143, 'STOK RAPORU'!$C$2:$I$1000, 4, 0))), 0)</f>
        <v>0</v>
      </c>
      <c r="U6143" s="22">
        <f t="shared" si="384"/>
        <v>0</v>
      </c>
      <c r="V6143">
        <f t="shared" si="385"/>
        <v>0</v>
      </c>
      <c r="W6143" s="22">
        <f t="shared" si="386"/>
        <v>0</v>
      </c>
    </row>
    <row r="6144" spans="1:23" hidden="1" x14ac:dyDescent="0.25">
      <c r="A6144" s="3">
        <v>46121</v>
      </c>
      <c r="B6144" s="4" t="s">
        <v>917</v>
      </c>
      <c r="C6144" s="4"/>
      <c r="D6144" s="4"/>
      <c r="E6144" s="4" t="s">
        <v>856</v>
      </c>
      <c r="F6144" s="4"/>
      <c r="G6144" s="4" t="s">
        <v>3004</v>
      </c>
      <c r="H6144" s="4" t="s">
        <v>289</v>
      </c>
      <c r="I6144" s="4">
        <v>1</v>
      </c>
      <c r="J6144" s="21">
        <v>23925.0177</v>
      </c>
      <c r="K6144" s="21">
        <v>23925.02</v>
      </c>
      <c r="L6144" s="5">
        <v>0</v>
      </c>
      <c r="M6144" s="4"/>
      <c r="N6144" s="4"/>
      <c r="O6144" s="5"/>
      <c r="P6144" s="5"/>
      <c r="Q6144" s="21">
        <v>0</v>
      </c>
      <c r="R6144" s="21">
        <v>23925.02</v>
      </c>
      <c r="S6144" s="5">
        <f t="shared" si="383"/>
        <v>11483.899360692016</v>
      </c>
      <c r="T6144" cm="1">
        <f t="array" ref="T6144">IF(OR(B6144="MAL ALIMI", B6144="ÜRETİM GİRİŞ"), MIN(I6144, MAX(0, I6144 + SUM(SUMIFS($I$1:I6143, $C$1:C6143, C6144, $B$1:B6143, {"MAL ALIMI","ÜRETİM GİRİŞ"})) - VLOOKUP(C6144, 'STOK RAPORU'!$C$2:$I$1000, 4, 0))), 0)</f>
        <v>0</v>
      </c>
      <c r="U6144" s="22">
        <f t="shared" si="384"/>
        <v>0</v>
      </c>
      <c r="V6144">
        <f t="shared" si="385"/>
        <v>0</v>
      </c>
      <c r="W6144" s="22">
        <f t="shared" si="386"/>
        <v>0</v>
      </c>
    </row>
    <row r="6145" spans="1:23" hidden="1" x14ac:dyDescent="0.25">
      <c r="A6145" s="45">
        <v>46122</v>
      </c>
      <c r="B6145" s="46" t="s">
        <v>334</v>
      </c>
      <c r="C6145" s="4" t="s">
        <v>166</v>
      </c>
      <c r="D6145" s="4"/>
      <c r="E6145" s="4" t="s">
        <v>921</v>
      </c>
      <c r="F6145" s="46" t="s">
        <v>2973</v>
      </c>
      <c r="G6145" s="4" t="s">
        <v>336</v>
      </c>
      <c r="H6145" s="4" t="s">
        <v>380</v>
      </c>
      <c r="I6145" s="4">
        <v>8.1818181818181818E-2</v>
      </c>
      <c r="J6145" s="21">
        <v>770</v>
      </c>
      <c r="K6145" s="21">
        <v>63</v>
      </c>
      <c r="L6145" s="5">
        <v>0</v>
      </c>
      <c r="M6145" s="4"/>
      <c r="N6145" s="4"/>
      <c r="O6145" s="5"/>
      <c r="P6145" s="5"/>
      <c r="Q6145" s="21">
        <v>0</v>
      </c>
      <c r="R6145" s="21">
        <v>0</v>
      </c>
      <c r="S6145" s="5">
        <f t="shared" si="383"/>
        <v>11483.899360692016</v>
      </c>
      <c r="T6145" cm="1">
        <f t="array" ref="T6145">IF(OR(B6145="MAL ALIMI", B6145="ÜRETİM GİRİŞ"), MIN(I6145, MAX(0, I6145 + SUM(SUMIFS($I$1:I6144, $C$1:C6144, C6145, $B$1:B6144, {"MAL ALIMI","ÜRETİM GİRİŞ"})) - VLOOKUP(C6145, 'STOK RAPORU'!$C$2:$I$1000, 4, 0))), 0)</f>
        <v>0</v>
      </c>
      <c r="U6145" s="22">
        <f t="shared" si="384"/>
        <v>0</v>
      </c>
      <c r="V6145">
        <f t="shared" si="385"/>
        <v>0</v>
      </c>
      <c r="W6145" s="22">
        <f t="shared" si="386"/>
        <v>0</v>
      </c>
    </row>
    <row r="6146" spans="1:23" hidden="1" x14ac:dyDescent="0.25">
      <c r="A6146" s="45">
        <v>46122</v>
      </c>
      <c r="B6146" s="46" t="s">
        <v>334</v>
      </c>
      <c r="C6146" s="4" t="s">
        <v>2488</v>
      </c>
      <c r="D6146" s="4"/>
      <c r="E6146" s="4"/>
      <c r="F6146" s="46" t="s">
        <v>2974</v>
      </c>
      <c r="G6146" s="4" t="s">
        <v>336</v>
      </c>
      <c r="H6146" s="4" t="s">
        <v>289</v>
      </c>
      <c r="I6146" s="4">
        <v>0.19090909090909092</v>
      </c>
      <c r="J6146" s="21">
        <v>525</v>
      </c>
      <c r="K6146" s="21">
        <v>0</v>
      </c>
      <c r="L6146" s="5">
        <v>0</v>
      </c>
      <c r="M6146" s="4"/>
      <c r="N6146" s="4"/>
      <c r="O6146" s="5"/>
      <c r="P6146" s="5"/>
      <c r="Q6146" s="21">
        <v>100.22727272727273</v>
      </c>
      <c r="R6146" s="21">
        <v>0</v>
      </c>
      <c r="S6146" s="5">
        <f t="shared" si="383"/>
        <v>11584.126633419288</v>
      </c>
      <c r="T6146" cm="1">
        <f t="array" ref="T6146">IF(OR(B6146="MAL ALIMI", B6146="ÜRETİM GİRİŞ"), MIN(I6146, MAX(0, I6146 + SUM(SUMIFS($I$1:I6145, $C$1:C6145, C6146, $B$1:B6145, {"MAL ALIMI","ÜRETİM GİRİŞ"})) - VLOOKUP(C6146, 'STOK RAPORU'!$C$2:$I$1000, 4, 0))), 0)</f>
        <v>0</v>
      </c>
      <c r="U6146" s="22">
        <f t="shared" si="384"/>
        <v>0</v>
      </c>
      <c r="V6146">
        <f t="shared" si="385"/>
        <v>0</v>
      </c>
      <c r="W6146" s="22">
        <f t="shared" si="386"/>
        <v>0</v>
      </c>
    </row>
    <row r="6147" spans="1:23" hidden="1" x14ac:dyDescent="0.25">
      <c r="A6147" s="45">
        <v>46122</v>
      </c>
      <c r="B6147" s="46" t="s">
        <v>334</v>
      </c>
      <c r="C6147" s="4" t="s">
        <v>1501</v>
      </c>
      <c r="D6147" s="4"/>
      <c r="E6147" s="4"/>
      <c r="F6147" s="46" t="s">
        <v>2974</v>
      </c>
      <c r="G6147" s="4" t="s">
        <v>336</v>
      </c>
      <c r="H6147" s="4" t="s">
        <v>289</v>
      </c>
      <c r="I6147" s="4">
        <v>0.25</v>
      </c>
      <c r="J6147" s="21">
        <v>600</v>
      </c>
      <c r="K6147" s="21">
        <v>0</v>
      </c>
      <c r="L6147" s="5">
        <v>0</v>
      </c>
      <c r="M6147" s="4"/>
      <c r="N6147" s="4"/>
      <c r="O6147" s="5"/>
      <c r="P6147" s="5"/>
      <c r="Q6147" s="21">
        <v>150</v>
      </c>
      <c r="R6147" s="21">
        <v>0</v>
      </c>
      <c r="S6147" s="5">
        <f t="shared" si="383"/>
        <v>11734.126633419288</v>
      </c>
      <c r="T6147" cm="1">
        <f t="array" ref="T6147">IF(OR(B6147="MAL ALIMI", B6147="ÜRETİM GİRİŞ"), MIN(I6147, MAX(0, I6147 + SUM(SUMIFS($I$1:I6146, $C$1:C6146, C6147, $B$1:B6146, {"MAL ALIMI","ÜRETİM GİRİŞ"})) - VLOOKUP(C6147, 'STOK RAPORU'!$C$2:$I$1000, 4, 0))), 0)</f>
        <v>0</v>
      </c>
      <c r="U6147" s="22">
        <f t="shared" si="384"/>
        <v>0</v>
      </c>
      <c r="V6147">
        <f t="shared" si="385"/>
        <v>0</v>
      </c>
      <c r="W6147" s="22">
        <f t="shared" si="386"/>
        <v>0</v>
      </c>
    </row>
    <row r="6148" spans="1:23" hidden="1" x14ac:dyDescent="0.25">
      <c r="A6148" s="45">
        <v>46122</v>
      </c>
      <c r="B6148" s="46" t="s">
        <v>334</v>
      </c>
      <c r="C6148" s="4" t="s">
        <v>1176</v>
      </c>
      <c r="D6148" s="4"/>
      <c r="E6148" s="4"/>
      <c r="F6148" s="46" t="s">
        <v>2975</v>
      </c>
      <c r="G6148" s="4" t="s">
        <v>336</v>
      </c>
      <c r="H6148" s="4" t="s">
        <v>289</v>
      </c>
      <c r="I6148" s="4">
        <v>0.1</v>
      </c>
      <c r="J6148" s="21">
        <v>2000</v>
      </c>
      <c r="K6148" s="21">
        <v>0</v>
      </c>
      <c r="L6148" s="5">
        <v>0</v>
      </c>
      <c r="M6148" s="4"/>
      <c r="N6148" s="4"/>
      <c r="O6148" s="5"/>
      <c r="P6148" s="5"/>
      <c r="Q6148" s="21">
        <v>200</v>
      </c>
      <c r="R6148" s="21">
        <v>0</v>
      </c>
      <c r="S6148" s="5">
        <f t="shared" ref="S6148:S6211" si="387">S6147+Q6148-R6148</f>
        <v>11934.126633419288</v>
      </c>
      <c r="T6148" cm="1">
        <f t="array" ref="T6148">IF(OR(B6148="MAL ALIMI", B6148="ÜRETİM GİRİŞ"), MIN(I6148, MAX(0, I6148 + SUM(SUMIFS($I$1:I6147, $C$1:C6147, C6148, $B$1:B6147, {"MAL ALIMI","ÜRETİM GİRİŞ"})) - VLOOKUP(C6148, 'STOK RAPORU'!$C$2:$I$1000, 4, 0))), 0)</f>
        <v>0</v>
      </c>
      <c r="U6148" s="22">
        <f t="shared" si="384"/>
        <v>0</v>
      </c>
      <c r="V6148">
        <f t="shared" si="385"/>
        <v>0</v>
      </c>
      <c r="W6148" s="22">
        <f t="shared" si="386"/>
        <v>0</v>
      </c>
    </row>
    <row r="6149" spans="1:23" hidden="1" x14ac:dyDescent="0.25">
      <c r="A6149" s="45">
        <v>46122</v>
      </c>
      <c r="B6149" s="46" t="s">
        <v>334</v>
      </c>
      <c r="C6149" s="4" t="s">
        <v>1359</v>
      </c>
      <c r="D6149" s="4"/>
      <c r="E6149" s="4" t="s">
        <v>921</v>
      </c>
      <c r="F6149" s="46" t="s">
        <v>2976</v>
      </c>
      <c r="G6149" s="4" t="s">
        <v>336</v>
      </c>
      <c r="H6149" s="4" t="s">
        <v>380</v>
      </c>
      <c r="I6149" s="4">
        <v>0.5</v>
      </c>
      <c r="J6149" s="21">
        <v>450</v>
      </c>
      <c r="K6149" s="21">
        <v>225</v>
      </c>
      <c r="L6149" s="5">
        <v>0</v>
      </c>
      <c r="M6149" s="4"/>
      <c r="N6149" s="4"/>
      <c r="O6149" s="5"/>
      <c r="P6149" s="5"/>
      <c r="Q6149" s="21">
        <v>0</v>
      </c>
      <c r="R6149" s="21">
        <v>0</v>
      </c>
      <c r="S6149" s="5">
        <f t="shared" si="387"/>
        <v>11934.126633419288</v>
      </c>
      <c r="T6149" cm="1">
        <f t="array" ref="T6149">IF(OR(B6149="MAL ALIMI", B6149="ÜRETİM GİRİŞ"), MIN(I6149, MAX(0, I6149 + SUM(SUMIFS($I$1:I6148, $C$1:C6148, C6149, $B$1:B6148, {"MAL ALIMI","ÜRETİM GİRİŞ"})) - VLOOKUP(C6149, 'STOK RAPORU'!$C$2:$I$1000, 4, 0))), 0)</f>
        <v>0</v>
      </c>
      <c r="U6149" s="22">
        <f t="shared" si="384"/>
        <v>0</v>
      </c>
      <c r="V6149">
        <f t="shared" si="385"/>
        <v>0</v>
      </c>
      <c r="W6149" s="22">
        <f t="shared" si="386"/>
        <v>0</v>
      </c>
    </row>
    <row r="6150" spans="1:23" hidden="1" x14ac:dyDescent="0.25">
      <c r="A6150" s="45">
        <v>46122</v>
      </c>
      <c r="B6150" s="46" t="s">
        <v>334</v>
      </c>
      <c r="C6150" s="4" t="s">
        <v>192</v>
      </c>
      <c r="D6150" s="4"/>
      <c r="E6150" s="4"/>
      <c r="F6150" s="46" t="s">
        <v>2977</v>
      </c>
      <c r="G6150" s="4" t="s">
        <v>336</v>
      </c>
      <c r="H6150" s="4" t="s">
        <v>289</v>
      </c>
      <c r="I6150" s="4">
        <v>0.12</v>
      </c>
      <c r="J6150" s="21">
        <v>417</v>
      </c>
      <c r="K6150" s="21">
        <v>0</v>
      </c>
      <c r="L6150" s="5">
        <v>0</v>
      </c>
      <c r="M6150" s="4"/>
      <c r="N6150" s="4"/>
      <c r="O6150" s="5"/>
      <c r="P6150" s="5"/>
      <c r="Q6150" s="21">
        <v>50.04</v>
      </c>
      <c r="R6150" s="21">
        <v>0</v>
      </c>
      <c r="S6150" s="5">
        <f t="shared" si="387"/>
        <v>11984.166633419289</v>
      </c>
      <c r="T6150" cm="1">
        <f t="array" ref="T6150">IF(OR(B6150="MAL ALIMI", B6150="ÜRETİM GİRİŞ"), MIN(I6150, MAX(0, I6150 + SUM(SUMIFS($I$1:I6149, $C$1:C6149, C6150, $B$1:B6149, {"MAL ALIMI","ÜRETİM GİRİŞ"})) - VLOOKUP(C6150, 'STOK RAPORU'!$C$2:$I$1000, 4, 0))), 0)</f>
        <v>0</v>
      </c>
      <c r="U6150" s="22">
        <f t="shared" si="384"/>
        <v>0</v>
      </c>
      <c r="V6150">
        <f t="shared" si="385"/>
        <v>0</v>
      </c>
      <c r="W6150" s="22">
        <f t="shared" si="386"/>
        <v>0</v>
      </c>
    </row>
    <row r="6151" spans="1:23" hidden="1" x14ac:dyDescent="0.25">
      <c r="A6151" s="45">
        <v>46122</v>
      </c>
      <c r="B6151" s="46" t="s">
        <v>334</v>
      </c>
      <c r="C6151" s="4" t="s">
        <v>223</v>
      </c>
      <c r="D6151" s="4"/>
      <c r="E6151" s="4" t="s">
        <v>921</v>
      </c>
      <c r="F6151" s="46" t="s">
        <v>2978</v>
      </c>
      <c r="G6151" s="4" t="s">
        <v>336</v>
      </c>
      <c r="H6151" s="4" t="s">
        <v>380</v>
      </c>
      <c r="I6151" s="4">
        <v>0.24199999999999999</v>
      </c>
      <c r="J6151" s="21">
        <v>800</v>
      </c>
      <c r="K6151" s="21">
        <v>193.6</v>
      </c>
      <c r="L6151" s="5">
        <v>0</v>
      </c>
      <c r="M6151" s="4"/>
      <c r="N6151" s="4"/>
      <c r="O6151" s="5"/>
      <c r="P6151" s="5"/>
      <c r="Q6151" s="21">
        <v>0</v>
      </c>
      <c r="R6151" s="21">
        <v>0</v>
      </c>
      <c r="S6151" s="5">
        <f t="shared" si="387"/>
        <v>11984.166633419289</v>
      </c>
      <c r="T6151" cm="1">
        <f t="array" ref="T6151">IF(OR(B6151="MAL ALIMI", B6151="ÜRETİM GİRİŞ"), MIN(I6151, MAX(0, I6151 + SUM(SUMIFS($I$1:I6150, $C$1:C6150, C6151, $B$1:B6150, {"MAL ALIMI","ÜRETİM GİRİŞ"})) - VLOOKUP(C6151, 'STOK RAPORU'!$C$2:$I$1000, 4, 0))), 0)</f>
        <v>0</v>
      </c>
      <c r="U6151" s="22">
        <f t="shared" si="384"/>
        <v>0</v>
      </c>
      <c r="V6151">
        <f t="shared" si="385"/>
        <v>0</v>
      </c>
      <c r="W6151" s="22">
        <f t="shared" si="386"/>
        <v>0</v>
      </c>
    </row>
    <row r="6152" spans="1:23" hidden="1" x14ac:dyDescent="0.25">
      <c r="A6152" s="45">
        <v>46122</v>
      </c>
      <c r="B6152" s="46" t="s">
        <v>334</v>
      </c>
      <c r="C6152" s="4" t="s">
        <v>2282</v>
      </c>
      <c r="D6152" s="4"/>
      <c r="E6152" s="4" t="s">
        <v>921</v>
      </c>
      <c r="F6152" s="46" t="s">
        <v>2978</v>
      </c>
      <c r="G6152" s="4" t="s">
        <v>336</v>
      </c>
      <c r="H6152" s="4" t="s">
        <v>380</v>
      </c>
      <c r="I6152" s="4">
        <v>8.5999999999999993E-2</v>
      </c>
      <c r="J6152" s="21">
        <v>2900</v>
      </c>
      <c r="K6152" s="21">
        <v>249.39999999999998</v>
      </c>
      <c r="L6152" s="5">
        <v>0</v>
      </c>
      <c r="M6152" s="4"/>
      <c r="N6152" s="4"/>
      <c r="O6152" s="5"/>
      <c r="P6152" s="5"/>
      <c r="Q6152" s="21">
        <v>0</v>
      </c>
      <c r="R6152" s="21">
        <v>0</v>
      </c>
      <c r="S6152" s="5">
        <f t="shared" si="387"/>
        <v>11984.166633419289</v>
      </c>
      <c r="T6152" cm="1">
        <f t="array" ref="T6152">IF(OR(B6152="MAL ALIMI", B6152="ÜRETİM GİRİŞ"), MIN(I6152, MAX(0, I6152 + SUM(SUMIFS($I$1:I6151, $C$1:C6151, C6152, $B$1:B6151, {"MAL ALIMI","ÜRETİM GİRİŞ"})) - VLOOKUP(C6152, 'STOK RAPORU'!$C$2:$I$1000, 4, 0))), 0)</f>
        <v>0</v>
      </c>
      <c r="U6152" s="22">
        <f t="shared" si="384"/>
        <v>0</v>
      </c>
      <c r="V6152">
        <f t="shared" si="385"/>
        <v>0</v>
      </c>
      <c r="W6152" s="22">
        <f t="shared" si="386"/>
        <v>0</v>
      </c>
    </row>
    <row r="6153" spans="1:23" hidden="1" x14ac:dyDescent="0.25">
      <c r="A6153" s="45">
        <v>46122</v>
      </c>
      <c r="B6153" s="46" t="s">
        <v>334</v>
      </c>
      <c r="C6153" s="4" t="s">
        <v>1176</v>
      </c>
      <c r="D6153" s="4"/>
      <c r="E6153" s="4"/>
      <c r="F6153" s="46" t="s">
        <v>2979</v>
      </c>
      <c r="G6153" s="4" t="s">
        <v>336</v>
      </c>
      <c r="H6153" s="4" t="s">
        <v>289</v>
      </c>
      <c r="I6153" s="4">
        <v>0.1</v>
      </c>
      <c r="J6153" s="21">
        <v>2000</v>
      </c>
      <c r="K6153" s="21">
        <v>0</v>
      </c>
      <c r="L6153" s="5">
        <v>0</v>
      </c>
      <c r="M6153" s="4"/>
      <c r="N6153" s="4"/>
      <c r="O6153" s="5"/>
      <c r="P6153" s="5"/>
      <c r="Q6153" s="21">
        <v>200</v>
      </c>
      <c r="R6153" s="21">
        <v>0</v>
      </c>
      <c r="S6153" s="5">
        <f t="shared" si="387"/>
        <v>12184.166633419289</v>
      </c>
      <c r="T6153" cm="1">
        <f t="array" ref="T6153">IF(OR(B6153="MAL ALIMI", B6153="ÜRETİM GİRİŞ"), MIN(I6153, MAX(0, I6153 + SUM(SUMIFS($I$1:I6152, $C$1:C6152, C6153, $B$1:B6152, {"MAL ALIMI","ÜRETİM GİRİŞ"})) - VLOOKUP(C6153, 'STOK RAPORU'!$C$2:$I$1000, 4, 0))), 0)</f>
        <v>0</v>
      </c>
      <c r="U6153" s="22">
        <f t="shared" si="384"/>
        <v>0</v>
      </c>
      <c r="V6153">
        <f t="shared" si="385"/>
        <v>0</v>
      </c>
      <c r="W6153" s="22">
        <f t="shared" si="386"/>
        <v>0</v>
      </c>
    </row>
    <row r="6154" spans="1:23" hidden="1" x14ac:dyDescent="0.25">
      <c r="A6154" s="45">
        <v>46122</v>
      </c>
      <c r="B6154" s="46" t="s">
        <v>334</v>
      </c>
      <c r="C6154" s="4" t="s">
        <v>1896</v>
      </c>
      <c r="D6154" s="4"/>
      <c r="E6154" s="4"/>
      <c r="F6154" s="46" t="s">
        <v>2979</v>
      </c>
      <c r="G6154" s="4" t="s">
        <v>336</v>
      </c>
      <c r="H6154" s="4" t="s">
        <v>289</v>
      </c>
      <c r="I6154" s="4">
        <v>0.1</v>
      </c>
      <c r="J6154" s="21">
        <v>400</v>
      </c>
      <c r="K6154" s="21">
        <v>0</v>
      </c>
      <c r="L6154" s="5">
        <v>0</v>
      </c>
      <c r="M6154" s="4"/>
      <c r="N6154" s="4"/>
      <c r="O6154" s="5"/>
      <c r="P6154" s="5"/>
      <c r="Q6154" s="21">
        <v>40</v>
      </c>
      <c r="R6154" s="21">
        <v>0</v>
      </c>
      <c r="S6154" s="5">
        <f t="shared" si="387"/>
        <v>12224.166633419289</v>
      </c>
      <c r="T6154" cm="1">
        <f t="array" ref="T6154">IF(OR(B6154="MAL ALIMI", B6154="ÜRETİM GİRİŞ"), MIN(I6154, MAX(0, I6154 + SUM(SUMIFS($I$1:I6153, $C$1:C6153, C6154, $B$1:B6153, {"MAL ALIMI","ÜRETİM GİRİŞ"})) - VLOOKUP(C6154, 'STOK RAPORU'!$C$2:$I$1000, 4, 0))), 0)</f>
        <v>0</v>
      </c>
      <c r="U6154" s="22">
        <f t="shared" si="384"/>
        <v>0</v>
      </c>
      <c r="V6154">
        <f t="shared" si="385"/>
        <v>0</v>
      </c>
      <c r="W6154" s="22">
        <f t="shared" si="386"/>
        <v>0</v>
      </c>
    </row>
    <row r="6155" spans="1:23" hidden="1" x14ac:dyDescent="0.25">
      <c r="A6155" s="45">
        <v>46122</v>
      </c>
      <c r="B6155" s="46" t="s">
        <v>334</v>
      </c>
      <c r="C6155" s="4" t="s">
        <v>156</v>
      </c>
      <c r="D6155" s="4"/>
      <c r="E6155" s="4" t="s">
        <v>921</v>
      </c>
      <c r="F6155" s="46" t="s">
        <v>2980</v>
      </c>
      <c r="G6155" s="4" t="s">
        <v>336</v>
      </c>
      <c r="H6155" s="4" t="s">
        <v>380</v>
      </c>
      <c r="I6155" s="4">
        <v>1</v>
      </c>
      <c r="J6155" s="21">
        <v>200</v>
      </c>
      <c r="K6155" s="21">
        <v>200</v>
      </c>
      <c r="L6155" s="5">
        <v>0</v>
      </c>
      <c r="M6155" s="4"/>
      <c r="N6155" s="4"/>
      <c r="O6155" s="5"/>
      <c r="P6155" s="5"/>
      <c r="Q6155" s="21">
        <v>0</v>
      </c>
      <c r="R6155" s="21">
        <v>0</v>
      </c>
      <c r="S6155" s="5">
        <f t="shared" si="387"/>
        <v>12224.166633419289</v>
      </c>
      <c r="T6155" cm="1">
        <f t="array" ref="T6155">IF(OR(B6155="MAL ALIMI", B6155="ÜRETİM GİRİŞ"), MIN(I6155, MAX(0, I6155 + SUM(SUMIFS($I$1:I6154, $C$1:C6154, C6155, $B$1:B6154, {"MAL ALIMI","ÜRETİM GİRİŞ"})) - VLOOKUP(C6155, 'STOK RAPORU'!$C$2:$I$1000, 4, 0))), 0)</f>
        <v>0</v>
      </c>
      <c r="U6155" s="22">
        <f t="shared" si="384"/>
        <v>0</v>
      </c>
      <c r="V6155">
        <f t="shared" si="385"/>
        <v>0</v>
      </c>
      <c r="W6155" s="22">
        <f t="shared" si="386"/>
        <v>0</v>
      </c>
    </row>
    <row r="6156" spans="1:23" hidden="1" x14ac:dyDescent="0.25">
      <c r="A6156" s="45">
        <v>46122</v>
      </c>
      <c r="B6156" s="46" t="s">
        <v>334</v>
      </c>
      <c r="C6156" s="4" t="s">
        <v>158</v>
      </c>
      <c r="D6156" s="4"/>
      <c r="E6156" s="4" t="s">
        <v>921</v>
      </c>
      <c r="F6156" s="46" t="s">
        <v>2980</v>
      </c>
      <c r="G6156" s="4" t="s">
        <v>336</v>
      </c>
      <c r="H6156" s="4" t="s">
        <v>380</v>
      </c>
      <c r="I6156" s="4">
        <v>1</v>
      </c>
      <c r="J6156" s="21">
        <v>150</v>
      </c>
      <c r="K6156" s="21">
        <v>150</v>
      </c>
      <c r="L6156" s="5">
        <v>0</v>
      </c>
      <c r="M6156" s="4"/>
      <c r="N6156" s="4"/>
      <c r="O6156" s="5"/>
      <c r="P6156" s="5"/>
      <c r="Q6156" s="21">
        <v>0</v>
      </c>
      <c r="R6156" s="21">
        <v>0</v>
      </c>
      <c r="S6156" s="5">
        <f t="shared" si="387"/>
        <v>12224.166633419289</v>
      </c>
      <c r="T6156" cm="1">
        <f t="array" ref="T6156">IF(OR(B6156="MAL ALIMI", B6156="ÜRETİM GİRİŞ"), MIN(I6156, MAX(0, I6156 + SUM(SUMIFS($I$1:I6155, $C$1:C6155, C6156, $B$1:B6155, {"MAL ALIMI","ÜRETİM GİRİŞ"})) - VLOOKUP(C6156, 'STOK RAPORU'!$C$2:$I$1000, 4, 0))), 0)</f>
        <v>0</v>
      </c>
      <c r="U6156" s="22">
        <f t="shared" si="384"/>
        <v>0</v>
      </c>
      <c r="V6156">
        <f t="shared" si="385"/>
        <v>0</v>
      </c>
      <c r="W6156" s="22">
        <f t="shared" si="386"/>
        <v>0</v>
      </c>
    </row>
    <row r="6157" spans="1:23" hidden="1" x14ac:dyDescent="0.25">
      <c r="A6157" s="45">
        <v>46122</v>
      </c>
      <c r="B6157" s="46" t="s">
        <v>334</v>
      </c>
      <c r="C6157" s="4" t="s">
        <v>523</v>
      </c>
      <c r="D6157" s="4"/>
      <c r="E6157" s="4" t="s">
        <v>921</v>
      </c>
      <c r="F6157" s="46" t="s">
        <v>2980</v>
      </c>
      <c r="G6157" s="4" t="s">
        <v>336</v>
      </c>
      <c r="H6157" s="4" t="s">
        <v>380</v>
      </c>
      <c r="I6157" s="4">
        <v>0.08</v>
      </c>
      <c r="J6157" s="21">
        <v>750</v>
      </c>
      <c r="K6157" s="21">
        <v>60</v>
      </c>
      <c r="L6157" s="5">
        <v>0</v>
      </c>
      <c r="M6157" s="4"/>
      <c r="N6157" s="4"/>
      <c r="O6157" s="5"/>
      <c r="P6157" s="5"/>
      <c r="Q6157" s="21">
        <v>0</v>
      </c>
      <c r="R6157" s="21">
        <v>0</v>
      </c>
      <c r="S6157" s="5">
        <f t="shared" si="387"/>
        <v>12224.166633419289</v>
      </c>
      <c r="T6157" cm="1">
        <f t="array" ref="T6157">IF(OR(B6157="MAL ALIMI", B6157="ÜRETİM GİRİŞ"), MIN(I6157, MAX(0, I6157 + SUM(SUMIFS($I$1:I6156, $C$1:C6156, C6157, $B$1:B6156, {"MAL ALIMI","ÜRETİM GİRİŞ"})) - VLOOKUP(C6157, 'STOK RAPORU'!$C$2:$I$1000, 4, 0))), 0)</f>
        <v>0</v>
      </c>
      <c r="U6157" s="22">
        <f t="shared" si="384"/>
        <v>0</v>
      </c>
      <c r="V6157">
        <f t="shared" si="385"/>
        <v>0</v>
      </c>
      <c r="W6157" s="22">
        <f t="shared" si="386"/>
        <v>0</v>
      </c>
    </row>
    <row r="6158" spans="1:23" hidden="1" x14ac:dyDescent="0.25">
      <c r="A6158" s="45">
        <v>46122</v>
      </c>
      <c r="B6158" s="46" t="s">
        <v>334</v>
      </c>
      <c r="C6158" s="4" t="s">
        <v>529</v>
      </c>
      <c r="D6158" s="4"/>
      <c r="E6158" s="4" t="s">
        <v>921</v>
      </c>
      <c r="F6158" s="46" t="s">
        <v>2981</v>
      </c>
      <c r="G6158" s="4" t="s">
        <v>336</v>
      </c>
      <c r="H6158" s="4" t="s">
        <v>380</v>
      </c>
      <c r="I6158" s="4">
        <v>0.1</v>
      </c>
      <c r="J6158" s="21">
        <v>600</v>
      </c>
      <c r="K6158" s="21">
        <v>60</v>
      </c>
      <c r="L6158" s="5">
        <v>0</v>
      </c>
      <c r="M6158" s="4"/>
      <c r="N6158" s="4"/>
      <c r="O6158" s="5"/>
      <c r="P6158" s="5"/>
      <c r="Q6158" s="21">
        <v>0</v>
      </c>
      <c r="R6158" s="21">
        <v>0</v>
      </c>
      <c r="S6158" s="5">
        <f t="shared" si="387"/>
        <v>12224.166633419289</v>
      </c>
      <c r="T6158" cm="1">
        <f t="array" ref="T6158">IF(OR(B6158="MAL ALIMI", B6158="ÜRETİM GİRİŞ"), MIN(I6158, MAX(0, I6158 + SUM(SUMIFS($I$1:I6157, $C$1:C6157, C6158, $B$1:B6157, {"MAL ALIMI","ÜRETİM GİRİŞ"})) - VLOOKUP(C6158, 'STOK RAPORU'!$C$2:$I$1000, 4, 0))), 0)</f>
        <v>0</v>
      </c>
      <c r="U6158" s="22">
        <f t="shared" si="384"/>
        <v>0</v>
      </c>
      <c r="V6158">
        <f t="shared" si="385"/>
        <v>0</v>
      </c>
      <c r="W6158" s="22">
        <f t="shared" si="386"/>
        <v>0</v>
      </c>
    </row>
    <row r="6159" spans="1:23" hidden="1" x14ac:dyDescent="0.25">
      <c r="A6159" s="45">
        <v>46122</v>
      </c>
      <c r="B6159" s="46" t="s">
        <v>334</v>
      </c>
      <c r="C6159" s="4" t="s">
        <v>266</v>
      </c>
      <c r="D6159" s="4"/>
      <c r="E6159" s="4"/>
      <c r="F6159" s="46" t="s">
        <v>2982</v>
      </c>
      <c r="G6159" s="4" t="s">
        <v>336</v>
      </c>
      <c r="H6159" s="4" t="s">
        <v>289</v>
      </c>
      <c r="I6159" s="4">
        <v>1</v>
      </c>
      <c r="J6159" s="21">
        <v>250</v>
      </c>
      <c r="K6159" s="21">
        <v>0</v>
      </c>
      <c r="L6159" s="5">
        <v>0</v>
      </c>
      <c r="M6159" s="4"/>
      <c r="N6159" s="4"/>
      <c r="O6159" s="5"/>
      <c r="P6159" s="5"/>
      <c r="Q6159" s="21">
        <v>250</v>
      </c>
      <c r="R6159" s="21">
        <v>0</v>
      </c>
      <c r="S6159" s="5">
        <f t="shared" si="387"/>
        <v>12474.166633419289</v>
      </c>
      <c r="T6159" cm="1">
        <f t="array" ref="T6159">IF(OR(B6159="MAL ALIMI", B6159="ÜRETİM GİRİŞ"), MIN(I6159, MAX(0, I6159 + SUM(SUMIFS($I$1:I6158, $C$1:C6158, C6159, $B$1:B6158, {"MAL ALIMI","ÜRETİM GİRİŞ"})) - VLOOKUP(C6159, 'STOK RAPORU'!$C$2:$I$1000, 4, 0))), 0)</f>
        <v>0</v>
      </c>
      <c r="U6159" s="22">
        <f t="shared" si="384"/>
        <v>0</v>
      </c>
      <c r="V6159">
        <f t="shared" si="385"/>
        <v>0</v>
      </c>
      <c r="W6159" s="22">
        <f t="shared" si="386"/>
        <v>0</v>
      </c>
    </row>
    <row r="6160" spans="1:23" hidden="1" x14ac:dyDescent="0.25">
      <c r="A6160" s="45">
        <v>46122</v>
      </c>
      <c r="B6160" s="46" t="s">
        <v>334</v>
      </c>
      <c r="C6160" s="4" t="s">
        <v>1023</v>
      </c>
      <c r="D6160" s="4"/>
      <c r="E6160" s="4"/>
      <c r="F6160" s="46" t="s">
        <v>2983</v>
      </c>
      <c r="G6160" s="4" t="s">
        <v>336</v>
      </c>
      <c r="H6160" s="4" t="s">
        <v>289</v>
      </c>
      <c r="I6160" s="4">
        <v>1.2</v>
      </c>
      <c r="J6160" s="21">
        <v>64.2</v>
      </c>
      <c r="K6160" s="21">
        <v>0</v>
      </c>
      <c r="L6160" s="5">
        <v>0</v>
      </c>
      <c r="M6160" s="4"/>
      <c r="N6160" s="4"/>
      <c r="O6160" s="5"/>
      <c r="P6160" s="5"/>
      <c r="Q6160" s="21">
        <v>77.040000000000006</v>
      </c>
      <c r="R6160" s="21">
        <v>0</v>
      </c>
      <c r="S6160" s="5">
        <f t="shared" si="387"/>
        <v>12551.20663341929</v>
      </c>
      <c r="T6160" cm="1">
        <f t="array" ref="T6160">IF(OR(B6160="MAL ALIMI", B6160="ÜRETİM GİRİŞ"), MIN(I6160, MAX(0, I6160 + SUM(SUMIFS($I$1:I6159, $C$1:C6159, C6160, $B$1:B6159, {"MAL ALIMI","ÜRETİM GİRİŞ"})) - VLOOKUP(C6160, 'STOK RAPORU'!$C$2:$I$1000, 4, 0))), 0)</f>
        <v>0</v>
      </c>
      <c r="U6160" s="22">
        <f t="shared" si="384"/>
        <v>0</v>
      </c>
      <c r="V6160">
        <f t="shared" si="385"/>
        <v>0</v>
      </c>
      <c r="W6160" s="22">
        <f t="shared" si="386"/>
        <v>0</v>
      </c>
    </row>
    <row r="6161" spans="1:23" hidden="1" x14ac:dyDescent="0.25">
      <c r="A6161" s="45">
        <v>46122</v>
      </c>
      <c r="B6161" s="46" t="s">
        <v>334</v>
      </c>
      <c r="C6161" s="4" t="s">
        <v>266</v>
      </c>
      <c r="D6161" s="4"/>
      <c r="E6161" s="4"/>
      <c r="F6161" s="46" t="s">
        <v>2983</v>
      </c>
      <c r="G6161" s="4" t="s">
        <v>336</v>
      </c>
      <c r="H6161" s="4" t="s">
        <v>289</v>
      </c>
      <c r="I6161" s="4">
        <v>0.47199999999999998</v>
      </c>
      <c r="J6161" s="21">
        <v>250</v>
      </c>
      <c r="K6161" s="21">
        <v>0</v>
      </c>
      <c r="L6161" s="5">
        <v>0</v>
      </c>
      <c r="M6161" s="4"/>
      <c r="N6161" s="4"/>
      <c r="O6161" s="5"/>
      <c r="P6161" s="5"/>
      <c r="Q6161" s="21">
        <v>118</v>
      </c>
      <c r="R6161" s="21">
        <v>0</v>
      </c>
      <c r="S6161" s="5">
        <f t="shared" si="387"/>
        <v>12669.20663341929</v>
      </c>
      <c r="T6161" cm="1">
        <f t="array" ref="T6161">IF(OR(B6161="MAL ALIMI", B6161="ÜRETİM GİRİŞ"), MIN(I6161, MAX(0, I6161 + SUM(SUMIFS($I$1:I6160, $C$1:C6160, C6161, $B$1:B6160, {"MAL ALIMI","ÜRETİM GİRİŞ"})) - VLOOKUP(C6161, 'STOK RAPORU'!$C$2:$I$1000, 4, 0))), 0)</f>
        <v>0</v>
      </c>
      <c r="U6161" s="22">
        <f t="shared" si="384"/>
        <v>0</v>
      </c>
      <c r="V6161">
        <f t="shared" si="385"/>
        <v>0</v>
      </c>
      <c r="W6161" s="22">
        <f t="shared" si="386"/>
        <v>0</v>
      </c>
    </row>
    <row r="6162" spans="1:23" hidden="1" x14ac:dyDescent="0.25">
      <c r="A6162" s="45">
        <v>46122</v>
      </c>
      <c r="B6162" s="46" t="s">
        <v>334</v>
      </c>
      <c r="C6162" s="4" t="s">
        <v>1897</v>
      </c>
      <c r="D6162" s="4"/>
      <c r="E6162" s="4" t="s">
        <v>921</v>
      </c>
      <c r="F6162" s="46" t="s">
        <v>2984</v>
      </c>
      <c r="G6162" s="4" t="s">
        <v>336</v>
      </c>
      <c r="H6162" s="4" t="s">
        <v>380</v>
      </c>
      <c r="I6162" s="4">
        <v>1</v>
      </c>
      <c r="J6162" s="21">
        <v>300</v>
      </c>
      <c r="K6162" s="21">
        <v>300</v>
      </c>
      <c r="L6162" s="5">
        <v>0</v>
      </c>
      <c r="M6162" s="4"/>
      <c r="N6162" s="4"/>
      <c r="O6162" s="5"/>
      <c r="P6162" s="5"/>
      <c r="Q6162" s="21">
        <v>0</v>
      </c>
      <c r="R6162" s="21">
        <v>0</v>
      </c>
      <c r="S6162" s="5">
        <f t="shared" si="387"/>
        <v>12669.20663341929</v>
      </c>
      <c r="T6162" cm="1">
        <f t="array" ref="T6162">IF(OR(B6162="MAL ALIMI", B6162="ÜRETİM GİRİŞ"), MIN(I6162, MAX(0, I6162 + SUM(SUMIFS($I$1:I6161, $C$1:C6161, C6162, $B$1:B6161, {"MAL ALIMI","ÜRETİM GİRİŞ"})) - VLOOKUP(C6162, 'STOK RAPORU'!$C$2:$I$1000, 4, 0))), 0)</f>
        <v>0</v>
      </c>
      <c r="U6162" s="22">
        <f t="shared" si="384"/>
        <v>0</v>
      </c>
      <c r="V6162">
        <f t="shared" si="385"/>
        <v>0</v>
      </c>
      <c r="W6162" s="22">
        <f t="shared" si="386"/>
        <v>0</v>
      </c>
    </row>
    <row r="6163" spans="1:23" hidden="1" x14ac:dyDescent="0.25">
      <c r="A6163" s="45">
        <v>46122</v>
      </c>
      <c r="B6163" s="46" t="s">
        <v>334</v>
      </c>
      <c r="C6163" s="4" t="s">
        <v>1897</v>
      </c>
      <c r="D6163" s="4"/>
      <c r="E6163" s="4"/>
      <c r="F6163" s="46" t="s">
        <v>2985</v>
      </c>
      <c r="G6163" s="4" t="s">
        <v>336</v>
      </c>
      <c r="H6163" s="4" t="s">
        <v>289</v>
      </c>
      <c r="I6163" s="4">
        <v>1</v>
      </c>
      <c r="J6163" s="21">
        <v>300</v>
      </c>
      <c r="K6163" s="21">
        <v>0</v>
      </c>
      <c r="L6163" s="5">
        <v>0</v>
      </c>
      <c r="M6163" s="4"/>
      <c r="N6163" s="4"/>
      <c r="O6163" s="5"/>
      <c r="P6163" s="5"/>
      <c r="Q6163" s="21">
        <v>300</v>
      </c>
      <c r="R6163" s="21">
        <v>0</v>
      </c>
      <c r="S6163" s="5">
        <f t="shared" si="387"/>
        <v>12969.20663341929</v>
      </c>
      <c r="T6163" cm="1">
        <f t="array" ref="T6163">IF(OR(B6163="MAL ALIMI", B6163="ÜRETİM GİRİŞ"), MIN(I6163, MAX(0, I6163 + SUM(SUMIFS($I$1:I6162, $C$1:C6162, C6163, $B$1:B6162, {"MAL ALIMI","ÜRETİM GİRİŞ"})) - VLOOKUP(C6163, 'STOK RAPORU'!$C$2:$I$1000, 4, 0))), 0)</f>
        <v>0</v>
      </c>
      <c r="U6163" s="22">
        <f t="shared" si="384"/>
        <v>0</v>
      </c>
      <c r="V6163">
        <f t="shared" si="385"/>
        <v>0</v>
      </c>
      <c r="W6163" s="22">
        <f t="shared" si="386"/>
        <v>0</v>
      </c>
    </row>
    <row r="6164" spans="1:23" hidden="1" x14ac:dyDescent="0.25">
      <c r="A6164" s="45">
        <v>46122</v>
      </c>
      <c r="B6164" s="46" t="s">
        <v>334</v>
      </c>
      <c r="C6164" s="4" t="s">
        <v>649</v>
      </c>
      <c r="D6164" s="4"/>
      <c r="E6164" s="4"/>
      <c r="F6164" s="46" t="s">
        <v>2986</v>
      </c>
      <c r="G6164" s="4" t="s">
        <v>336</v>
      </c>
      <c r="H6164" s="4" t="s">
        <v>289</v>
      </c>
      <c r="I6164" s="4">
        <v>1</v>
      </c>
      <c r="J6164" s="21">
        <v>250</v>
      </c>
      <c r="K6164" s="21">
        <v>0</v>
      </c>
      <c r="L6164" s="5">
        <v>0</v>
      </c>
      <c r="M6164" s="4"/>
      <c r="N6164" s="4"/>
      <c r="O6164" s="5"/>
      <c r="P6164" s="5"/>
      <c r="Q6164" s="21">
        <v>250</v>
      </c>
      <c r="R6164" s="21">
        <v>0</v>
      </c>
      <c r="S6164" s="5">
        <f t="shared" si="387"/>
        <v>13219.20663341929</v>
      </c>
      <c r="T6164" cm="1">
        <f t="array" ref="T6164">IF(OR(B6164="MAL ALIMI", B6164="ÜRETİM GİRİŞ"), MIN(I6164, MAX(0, I6164 + SUM(SUMIFS($I$1:I6163, $C$1:C6163, C6164, $B$1:B6163, {"MAL ALIMI","ÜRETİM GİRİŞ"})) - VLOOKUP(C6164, 'STOK RAPORU'!$C$2:$I$1000, 4, 0))), 0)</f>
        <v>0</v>
      </c>
      <c r="U6164" s="22">
        <f t="shared" si="384"/>
        <v>0</v>
      </c>
      <c r="V6164">
        <f t="shared" si="385"/>
        <v>0</v>
      </c>
      <c r="W6164" s="22">
        <f t="shared" si="386"/>
        <v>0</v>
      </c>
    </row>
    <row r="6165" spans="1:23" hidden="1" x14ac:dyDescent="0.25">
      <c r="A6165" s="45">
        <v>46122</v>
      </c>
      <c r="B6165" s="46" t="s">
        <v>334</v>
      </c>
      <c r="C6165" s="4" t="s">
        <v>1501</v>
      </c>
      <c r="D6165" s="4"/>
      <c r="E6165" s="4"/>
      <c r="F6165" s="46" t="s">
        <v>2987</v>
      </c>
      <c r="G6165" s="4" t="s">
        <v>1771</v>
      </c>
      <c r="H6165" s="4" t="s">
        <v>289</v>
      </c>
      <c r="I6165" s="4">
        <v>2</v>
      </c>
      <c r="J6165" s="21">
        <v>600</v>
      </c>
      <c r="K6165" s="21">
        <v>0</v>
      </c>
      <c r="L6165" s="5">
        <v>0</v>
      </c>
      <c r="M6165" s="4"/>
      <c r="N6165" s="4"/>
      <c r="O6165" s="5"/>
      <c r="P6165" s="5"/>
      <c r="Q6165" s="21">
        <v>1200</v>
      </c>
      <c r="R6165" s="21">
        <v>0</v>
      </c>
      <c r="S6165" s="5">
        <f t="shared" si="387"/>
        <v>14419.20663341929</v>
      </c>
      <c r="T6165" cm="1">
        <f t="array" ref="T6165">IF(OR(B6165="MAL ALIMI", B6165="ÜRETİM GİRİŞ"), MIN(I6165, MAX(0, I6165 + SUM(SUMIFS($I$1:I6164, $C$1:C6164, C6165, $B$1:B6164, {"MAL ALIMI","ÜRETİM GİRİŞ"})) - VLOOKUP(C6165, 'STOK RAPORU'!$C$2:$I$1000, 4, 0))), 0)</f>
        <v>0</v>
      </c>
      <c r="U6165" s="22">
        <f t="shared" si="384"/>
        <v>0</v>
      </c>
      <c r="V6165">
        <f t="shared" si="385"/>
        <v>0</v>
      </c>
      <c r="W6165" s="22">
        <f t="shared" si="386"/>
        <v>0</v>
      </c>
    </row>
    <row r="6166" spans="1:23" hidden="1" x14ac:dyDescent="0.25">
      <c r="A6166" s="41">
        <v>46122</v>
      </c>
      <c r="B6166" s="42" t="s">
        <v>334</v>
      </c>
      <c r="C6166" s="42" t="s">
        <v>158</v>
      </c>
      <c r="D6166" s="42"/>
      <c r="E6166" s="42" t="s">
        <v>2348</v>
      </c>
      <c r="F6166" s="42" t="s">
        <v>2988</v>
      </c>
      <c r="G6166" s="42" t="s">
        <v>2437</v>
      </c>
      <c r="H6166" s="42" t="s">
        <v>304</v>
      </c>
      <c r="I6166" s="42">
        <v>19.350000000000001</v>
      </c>
      <c r="J6166" s="43">
        <v>103.36</v>
      </c>
      <c r="K6166" s="43">
        <v>2000</v>
      </c>
      <c r="L6166" s="44">
        <v>0</v>
      </c>
      <c r="M6166" s="42"/>
      <c r="N6166" s="42"/>
      <c r="O6166" s="44"/>
      <c r="P6166" s="44"/>
      <c r="Q6166" s="43">
        <v>0</v>
      </c>
      <c r="R6166" s="43">
        <v>0</v>
      </c>
      <c r="S6166" s="5">
        <f t="shared" si="387"/>
        <v>14419.20663341929</v>
      </c>
      <c r="T6166" cm="1">
        <f t="array" ref="T6166">IF(OR(B6166="MAL ALIMI", B6166="ÜRETİM GİRİŞ"), MIN(I6166, MAX(0, I6166 + SUM(SUMIFS($I$1:I6165, $C$1:C6165, C6166, $B$1:B6165, {"MAL ALIMI","ÜRETİM GİRİŞ"})) - VLOOKUP(C6166, 'STOK RAPORU'!$C$2:$I$1000, 4, 0))), 0)</f>
        <v>0</v>
      </c>
      <c r="U6166" s="22">
        <f t="shared" si="384"/>
        <v>0</v>
      </c>
      <c r="V6166">
        <f t="shared" si="385"/>
        <v>0</v>
      </c>
      <c r="W6166" s="22">
        <f t="shared" si="386"/>
        <v>0</v>
      </c>
    </row>
    <row r="6167" spans="1:23" hidden="1" x14ac:dyDescent="0.25">
      <c r="A6167" s="41">
        <v>46122</v>
      </c>
      <c r="B6167" s="42" t="s">
        <v>334</v>
      </c>
      <c r="C6167" s="42" t="s">
        <v>157</v>
      </c>
      <c r="D6167" s="42"/>
      <c r="E6167" s="42" t="s">
        <v>2348</v>
      </c>
      <c r="F6167" s="42" t="s">
        <v>2988</v>
      </c>
      <c r="G6167" s="42" t="s">
        <v>2437</v>
      </c>
      <c r="H6167" s="42" t="s">
        <v>304</v>
      </c>
      <c r="I6167" s="42">
        <v>19.350000000000001</v>
      </c>
      <c r="J6167" s="43">
        <v>144.71</v>
      </c>
      <c r="K6167" s="43">
        <v>2800</v>
      </c>
      <c r="L6167" s="44">
        <v>0</v>
      </c>
      <c r="M6167" s="42"/>
      <c r="N6167" s="42"/>
      <c r="O6167" s="44"/>
      <c r="P6167" s="44"/>
      <c r="Q6167" s="43">
        <v>0</v>
      </c>
      <c r="R6167" s="43">
        <v>0</v>
      </c>
      <c r="S6167" s="5">
        <f t="shared" si="387"/>
        <v>14419.20663341929</v>
      </c>
      <c r="T6167" cm="1">
        <f t="array" ref="T6167">IF(OR(B6167="MAL ALIMI", B6167="ÜRETİM GİRİŞ"), MIN(I6167, MAX(0, I6167 + SUM(SUMIFS($I$1:I6166, $C$1:C6166, C6167, $B$1:B6166, {"MAL ALIMI","ÜRETİM GİRİŞ"})) - VLOOKUP(C6167, 'STOK RAPORU'!$C$2:$I$1000, 4, 0))), 0)</f>
        <v>0</v>
      </c>
      <c r="U6167" s="22">
        <f t="shared" si="384"/>
        <v>0</v>
      </c>
      <c r="V6167">
        <f t="shared" si="385"/>
        <v>0</v>
      </c>
      <c r="W6167" s="22">
        <f t="shared" si="386"/>
        <v>0</v>
      </c>
    </row>
    <row r="6168" spans="1:23" hidden="1" x14ac:dyDescent="0.25">
      <c r="A6168" s="45">
        <v>46122</v>
      </c>
      <c r="B6168" s="46" t="s">
        <v>334</v>
      </c>
      <c r="C6168" s="4" t="s">
        <v>2583</v>
      </c>
      <c r="D6168" s="4"/>
      <c r="E6168" s="4"/>
      <c r="F6168" s="46" t="s">
        <v>2989</v>
      </c>
      <c r="G6168" s="4" t="s">
        <v>336</v>
      </c>
      <c r="H6168" s="4" t="s">
        <v>289</v>
      </c>
      <c r="I6168" s="4">
        <v>1</v>
      </c>
      <c r="J6168" s="21">
        <v>300</v>
      </c>
      <c r="K6168" s="21">
        <v>0</v>
      </c>
      <c r="L6168" s="5">
        <v>0</v>
      </c>
      <c r="M6168" s="4"/>
      <c r="N6168" s="4"/>
      <c r="O6168" s="5"/>
      <c r="P6168" s="5"/>
      <c r="Q6168" s="21">
        <v>300</v>
      </c>
      <c r="R6168" s="21">
        <v>0</v>
      </c>
      <c r="S6168" s="5">
        <f t="shared" si="387"/>
        <v>14719.20663341929</v>
      </c>
      <c r="T6168" cm="1">
        <f t="array" ref="T6168">IF(OR(B6168="MAL ALIMI", B6168="ÜRETİM GİRİŞ"), MIN(I6168, MAX(0, I6168 + SUM(SUMIFS($I$1:I6167, $C$1:C6167, C6168, $B$1:B6167, {"MAL ALIMI","ÜRETİM GİRİŞ"})) - VLOOKUP(C6168, 'STOK RAPORU'!$C$2:$I$1000, 4, 0))), 0)</f>
        <v>0</v>
      </c>
      <c r="U6168" s="22">
        <f t="shared" si="384"/>
        <v>0</v>
      </c>
      <c r="V6168">
        <f t="shared" si="385"/>
        <v>0</v>
      </c>
      <c r="W6168" s="22">
        <f t="shared" si="386"/>
        <v>0</v>
      </c>
    </row>
    <row r="6169" spans="1:23" hidden="1" x14ac:dyDescent="0.25">
      <c r="A6169" s="45">
        <v>46122</v>
      </c>
      <c r="B6169" s="46" t="s">
        <v>334</v>
      </c>
      <c r="C6169" s="4" t="s">
        <v>722</v>
      </c>
      <c r="D6169" s="4"/>
      <c r="E6169" s="4"/>
      <c r="F6169" s="46" t="s">
        <v>2989</v>
      </c>
      <c r="G6169" s="4" t="s">
        <v>336</v>
      </c>
      <c r="H6169" s="4" t="s">
        <v>289</v>
      </c>
      <c r="I6169" s="4">
        <v>1</v>
      </c>
      <c r="J6169" s="21">
        <v>430</v>
      </c>
      <c r="K6169" s="21">
        <v>0</v>
      </c>
      <c r="L6169" s="5">
        <v>0</v>
      </c>
      <c r="M6169" s="4"/>
      <c r="N6169" s="4"/>
      <c r="O6169" s="5"/>
      <c r="P6169" s="5"/>
      <c r="Q6169" s="21">
        <v>420</v>
      </c>
      <c r="R6169" s="21">
        <v>0</v>
      </c>
      <c r="S6169" s="5">
        <f t="shared" si="387"/>
        <v>15139.20663341929</v>
      </c>
      <c r="T6169" cm="1">
        <f t="array" ref="T6169">IF(OR(B6169="MAL ALIMI", B6169="ÜRETİM GİRİŞ"), MIN(I6169, MAX(0, I6169 + SUM(SUMIFS($I$1:I6168, $C$1:C6168, C6169, $B$1:B6168, {"MAL ALIMI","ÜRETİM GİRİŞ"})) - VLOOKUP(C6169, 'STOK RAPORU'!$C$2:$I$1000, 4, 0))), 0)</f>
        <v>0</v>
      </c>
      <c r="U6169" s="22">
        <f t="shared" si="384"/>
        <v>0</v>
      </c>
      <c r="V6169">
        <f t="shared" si="385"/>
        <v>0</v>
      </c>
      <c r="W6169" s="22">
        <f t="shared" si="386"/>
        <v>0</v>
      </c>
    </row>
    <row r="6170" spans="1:23" hidden="1" x14ac:dyDescent="0.25">
      <c r="A6170" s="45">
        <v>46122</v>
      </c>
      <c r="B6170" s="46" t="s">
        <v>334</v>
      </c>
      <c r="C6170" s="4" t="s">
        <v>727</v>
      </c>
      <c r="D6170" s="4"/>
      <c r="E6170" s="4"/>
      <c r="F6170" s="46" t="s">
        <v>2989</v>
      </c>
      <c r="G6170" s="4" t="s">
        <v>336</v>
      </c>
      <c r="H6170" s="4" t="s">
        <v>289</v>
      </c>
      <c r="I6170" s="4">
        <v>1</v>
      </c>
      <c r="J6170" s="21">
        <v>370</v>
      </c>
      <c r="K6170" s="21">
        <v>0</v>
      </c>
      <c r="L6170" s="5">
        <v>0</v>
      </c>
      <c r="M6170" s="4"/>
      <c r="N6170" s="4"/>
      <c r="O6170" s="5"/>
      <c r="P6170" s="5"/>
      <c r="Q6170" s="21">
        <v>370</v>
      </c>
      <c r="R6170" s="21">
        <v>0</v>
      </c>
      <c r="S6170" s="5">
        <f t="shared" si="387"/>
        <v>15509.20663341929</v>
      </c>
      <c r="T6170" cm="1">
        <f t="array" ref="T6170">IF(OR(B6170="MAL ALIMI", B6170="ÜRETİM GİRİŞ"), MIN(I6170, MAX(0, I6170 + SUM(SUMIFS($I$1:I6169, $C$1:C6169, C6170, $B$1:B6169, {"MAL ALIMI","ÜRETİM GİRİŞ"})) - VLOOKUP(C6170, 'STOK RAPORU'!$C$2:$I$1000, 4, 0))), 0)</f>
        <v>0</v>
      </c>
      <c r="U6170" s="22">
        <f t="shared" si="384"/>
        <v>0</v>
      </c>
      <c r="V6170">
        <f t="shared" si="385"/>
        <v>0</v>
      </c>
      <c r="W6170" s="22">
        <f t="shared" si="386"/>
        <v>0</v>
      </c>
    </row>
    <row r="6171" spans="1:23" hidden="1" x14ac:dyDescent="0.25">
      <c r="A6171" s="45">
        <v>46122</v>
      </c>
      <c r="B6171" s="46" t="s">
        <v>334</v>
      </c>
      <c r="C6171" s="4" t="s">
        <v>826</v>
      </c>
      <c r="D6171" s="4"/>
      <c r="E6171" s="4"/>
      <c r="F6171" s="46" t="s">
        <v>2989</v>
      </c>
      <c r="G6171" s="4" t="s">
        <v>336</v>
      </c>
      <c r="H6171" s="4" t="s">
        <v>289</v>
      </c>
      <c r="I6171" s="4">
        <v>1</v>
      </c>
      <c r="J6171" s="21">
        <v>130</v>
      </c>
      <c r="K6171" s="21">
        <v>0</v>
      </c>
      <c r="L6171" s="5">
        <v>0</v>
      </c>
      <c r="M6171" s="4"/>
      <c r="N6171" s="4"/>
      <c r="O6171" s="5"/>
      <c r="P6171" s="5"/>
      <c r="Q6171" s="21">
        <v>130</v>
      </c>
      <c r="R6171" s="21">
        <v>0</v>
      </c>
      <c r="S6171" s="5">
        <f t="shared" si="387"/>
        <v>15639.20663341929</v>
      </c>
      <c r="T6171" cm="1">
        <f t="array" ref="T6171">IF(OR(B6171="MAL ALIMI", B6171="ÜRETİM GİRİŞ"), MIN(I6171, MAX(0, I6171 + SUM(SUMIFS($I$1:I6170, $C$1:C6170, C6171, $B$1:B6170, {"MAL ALIMI","ÜRETİM GİRİŞ"})) - VLOOKUP(C6171, 'STOK RAPORU'!$C$2:$I$1000, 4, 0))), 0)</f>
        <v>0</v>
      </c>
      <c r="U6171" s="22">
        <f t="shared" si="384"/>
        <v>0</v>
      </c>
      <c r="V6171">
        <f t="shared" si="385"/>
        <v>0</v>
      </c>
      <c r="W6171" s="22">
        <f t="shared" si="386"/>
        <v>0</v>
      </c>
    </row>
    <row r="6172" spans="1:23" hidden="1" x14ac:dyDescent="0.25">
      <c r="A6172" s="45">
        <v>46122</v>
      </c>
      <c r="B6172" s="46" t="s">
        <v>334</v>
      </c>
      <c r="C6172" s="4" t="s">
        <v>829</v>
      </c>
      <c r="D6172" s="4"/>
      <c r="E6172" s="4"/>
      <c r="F6172" s="46" t="s">
        <v>2989</v>
      </c>
      <c r="G6172" s="4" t="s">
        <v>336</v>
      </c>
      <c r="H6172" s="4" t="s">
        <v>289</v>
      </c>
      <c r="I6172" s="4">
        <v>1</v>
      </c>
      <c r="J6172" s="21">
        <v>145</v>
      </c>
      <c r="K6172" s="21">
        <v>0</v>
      </c>
      <c r="L6172" s="5">
        <v>0</v>
      </c>
      <c r="M6172" s="4"/>
      <c r="N6172" s="4"/>
      <c r="O6172" s="5"/>
      <c r="P6172" s="5"/>
      <c r="Q6172" s="21">
        <v>145</v>
      </c>
      <c r="R6172" s="21">
        <v>0</v>
      </c>
      <c r="S6172" s="5">
        <f t="shared" si="387"/>
        <v>15784.20663341929</v>
      </c>
      <c r="T6172" cm="1">
        <f t="array" ref="T6172">IF(OR(B6172="MAL ALIMI", B6172="ÜRETİM GİRİŞ"), MIN(I6172, MAX(0, I6172 + SUM(SUMIFS($I$1:I6171, $C$1:C6171, C6172, $B$1:B6171, {"MAL ALIMI","ÜRETİM GİRİŞ"})) - VLOOKUP(C6172, 'STOK RAPORU'!$C$2:$I$1000, 4, 0))), 0)</f>
        <v>0</v>
      </c>
      <c r="U6172" s="22">
        <f t="shared" si="384"/>
        <v>0</v>
      </c>
      <c r="V6172">
        <f t="shared" si="385"/>
        <v>0</v>
      </c>
      <c r="W6172" s="22">
        <f t="shared" si="386"/>
        <v>0</v>
      </c>
    </row>
    <row r="6173" spans="1:23" hidden="1" x14ac:dyDescent="0.25">
      <c r="A6173" s="45">
        <v>46122</v>
      </c>
      <c r="B6173" s="46" t="s">
        <v>334</v>
      </c>
      <c r="C6173" s="4" t="s">
        <v>828</v>
      </c>
      <c r="D6173" s="4"/>
      <c r="E6173" s="4"/>
      <c r="F6173" s="46" t="s">
        <v>2989</v>
      </c>
      <c r="G6173" s="4" t="s">
        <v>336</v>
      </c>
      <c r="H6173" s="4" t="s">
        <v>289</v>
      </c>
      <c r="I6173" s="4">
        <v>1</v>
      </c>
      <c r="J6173" s="21">
        <v>145</v>
      </c>
      <c r="K6173" s="21">
        <v>0</v>
      </c>
      <c r="L6173" s="5">
        <v>0</v>
      </c>
      <c r="M6173" s="4"/>
      <c r="N6173" s="4"/>
      <c r="O6173" s="5"/>
      <c r="P6173" s="5"/>
      <c r="Q6173" s="21">
        <v>145</v>
      </c>
      <c r="R6173" s="21">
        <v>0</v>
      </c>
      <c r="S6173" s="5">
        <f t="shared" si="387"/>
        <v>15929.20663341929</v>
      </c>
      <c r="T6173" cm="1">
        <f t="array" ref="T6173">IF(OR(B6173="MAL ALIMI", B6173="ÜRETİM GİRİŞ"), MIN(I6173, MAX(0, I6173 + SUM(SUMIFS($I$1:I6172, $C$1:C6172, C6173, $B$1:B6172, {"MAL ALIMI","ÜRETİM GİRİŞ"})) - VLOOKUP(C6173, 'STOK RAPORU'!$C$2:$I$1000, 4, 0))), 0)</f>
        <v>0</v>
      </c>
      <c r="U6173" s="22">
        <f t="shared" si="384"/>
        <v>0</v>
      </c>
      <c r="V6173">
        <f t="shared" si="385"/>
        <v>0</v>
      </c>
      <c r="W6173" s="22">
        <f t="shared" si="386"/>
        <v>0</v>
      </c>
    </row>
    <row r="6174" spans="1:23" hidden="1" x14ac:dyDescent="0.25">
      <c r="A6174" s="45">
        <v>46122</v>
      </c>
      <c r="B6174" s="46" t="s">
        <v>334</v>
      </c>
      <c r="C6174" s="4" t="s">
        <v>1270</v>
      </c>
      <c r="D6174" s="4"/>
      <c r="E6174" s="4"/>
      <c r="F6174" s="46" t="s">
        <v>2989</v>
      </c>
      <c r="G6174" s="4" t="s">
        <v>336</v>
      </c>
      <c r="H6174" s="4" t="s">
        <v>289</v>
      </c>
      <c r="I6174" s="4">
        <v>1</v>
      </c>
      <c r="J6174" s="21">
        <v>130</v>
      </c>
      <c r="K6174" s="21">
        <v>0</v>
      </c>
      <c r="L6174" s="5">
        <v>0</v>
      </c>
      <c r="M6174" s="4"/>
      <c r="N6174" s="4"/>
      <c r="O6174" s="5"/>
      <c r="P6174" s="5"/>
      <c r="Q6174" s="21">
        <v>130</v>
      </c>
      <c r="R6174" s="21">
        <v>0</v>
      </c>
      <c r="S6174" s="5">
        <f t="shared" si="387"/>
        <v>16059.20663341929</v>
      </c>
      <c r="T6174" cm="1">
        <f t="array" ref="T6174">IF(OR(B6174="MAL ALIMI", B6174="ÜRETİM GİRİŞ"), MIN(I6174, MAX(0, I6174 + SUM(SUMIFS($I$1:I6173, $C$1:C6173, C6174, $B$1:B6173, {"MAL ALIMI","ÜRETİM GİRİŞ"})) - VLOOKUP(C6174, 'STOK RAPORU'!$C$2:$I$1000, 4, 0))), 0)</f>
        <v>0</v>
      </c>
      <c r="U6174" s="22">
        <f t="shared" si="384"/>
        <v>0</v>
      </c>
      <c r="V6174">
        <f t="shared" si="385"/>
        <v>0</v>
      </c>
      <c r="W6174" s="22">
        <f t="shared" si="386"/>
        <v>0</v>
      </c>
    </row>
    <row r="6175" spans="1:23" hidden="1" x14ac:dyDescent="0.25">
      <c r="A6175" s="45">
        <v>46122</v>
      </c>
      <c r="B6175" s="46" t="s">
        <v>334</v>
      </c>
      <c r="C6175" s="4" t="s">
        <v>2117</v>
      </c>
      <c r="D6175" s="4"/>
      <c r="E6175" s="4"/>
      <c r="F6175" s="46" t="s">
        <v>2989</v>
      </c>
      <c r="G6175" s="4" t="s">
        <v>336</v>
      </c>
      <c r="H6175" s="4" t="s">
        <v>289</v>
      </c>
      <c r="I6175" s="4">
        <v>1</v>
      </c>
      <c r="J6175" s="21">
        <v>30</v>
      </c>
      <c r="K6175" s="21">
        <v>0</v>
      </c>
      <c r="L6175" s="5">
        <v>0</v>
      </c>
      <c r="M6175" s="4"/>
      <c r="N6175" s="4"/>
      <c r="O6175" s="5"/>
      <c r="P6175" s="5"/>
      <c r="Q6175" s="21">
        <v>30</v>
      </c>
      <c r="R6175" s="21">
        <v>0</v>
      </c>
      <c r="S6175" s="5">
        <f t="shared" si="387"/>
        <v>16089.20663341929</v>
      </c>
      <c r="T6175" cm="1">
        <f t="array" ref="T6175">IF(OR(B6175="MAL ALIMI", B6175="ÜRETİM GİRİŞ"), MIN(I6175, MAX(0, I6175 + SUM(SUMIFS($I$1:I6174, $C$1:C6174, C6175, $B$1:B6174, {"MAL ALIMI","ÜRETİM GİRİŞ"})) - VLOOKUP(C6175, 'STOK RAPORU'!$C$2:$I$1000, 4, 0))), 0)</f>
        <v>0</v>
      </c>
      <c r="U6175" s="22">
        <f t="shared" si="384"/>
        <v>0</v>
      </c>
      <c r="V6175">
        <f t="shared" si="385"/>
        <v>0</v>
      </c>
      <c r="W6175" s="22">
        <f t="shared" si="386"/>
        <v>0</v>
      </c>
    </row>
    <row r="6176" spans="1:23" hidden="1" x14ac:dyDescent="0.25">
      <c r="A6176" s="45">
        <v>46122</v>
      </c>
      <c r="B6176" s="46" t="s">
        <v>334</v>
      </c>
      <c r="C6176" s="4" t="s">
        <v>505</v>
      </c>
      <c r="D6176" s="4"/>
      <c r="E6176" s="4"/>
      <c r="F6176" s="46" t="s">
        <v>2989</v>
      </c>
      <c r="G6176" s="4" t="s">
        <v>336</v>
      </c>
      <c r="H6176" s="4" t="s">
        <v>289</v>
      </c>
      <c r="I6176" s="4">
        <v>1</v>
      </c>
      <c r="J6176" s="21">
        <v>230</v>
      </c>
      <c r="K6176" s="21">
        <v>0</v>
      </c>
      <c r="L6176" s="5">
        <v>0</v>
      </c>
      <c r="M6176" s="4"/>
      <c r="N6176" s="4"/>
      <c r="O6176" s="5"/>
      <c r="P6176" s="5"/>
      <c r="Q6176" s="21">
        <v>230</v>
      </c>
      <c r="R6176" s="21">
        <v>0</v>
      </c>
      <c r="S6176" s="5">
        <f t="shared" si="387"/>
        <v>16319.20663341929</v>
      </c>
      <c r="T6176" cm="1">
        <f t="array" ref="T6176">IF(OR(B6176="MAL ALIMI", B6176="ÜRETİM GİRİŞ"), MIN(I6176, MAX(0, I6176 + SUM(SUMIFS($I$1:I6175, $C$1:C6175, C6176, $B$1:B6175, {"MAL ALIMI","ÜRETİM GİRİŞ"})) - VLOOKUP(C6176, 'STOK RAPORU'!$C$2:$I$1000, 4, 0))), 0)</f>
        <v>0</v>
      </c>
      <c r="U6176" s="22">
        <f t="shared" si="384"/>
        <v>0</v>
      </c>
      <c r="V6176">
        <f t="shared" si="385"/>
        <v>0</v>
      </c>
      <c r="W6176" s="22">
        <f t="shared" si="386"/>
        <v>0</v>
      </c>
    </row>
    <row r="6177" spans="1:23" hidden="1" x14ac:dyDescent="0.25">
      <c r="A6177" s="45">
        <v>46122</v>
      </c>
      <c r="B6177" s="46" t="s">
        <v>334</v>
      </c>
      <c r="C6177" s="4" t="s">
        <v>2128</v>
      </c>
      <c r="D6177" s="4"/>
      <c r="E6177" s="4"/>
      <c r="F6177" s="46" t="s">
        <v>2989</v>
      </c>
      <c r="G6177" s="4" t="s">
        <v>336</v>
      </c>
      <c r="H6177" s="4" t="s">
        <v>289</v>
      </c>
      <c r="I6177" s="4">
        <v>0.25</v>
      </c>
      <c r="J6177" s="21">
        <v>400</v>
      </c>
      <c r="K6177" s="21">
        <v>0</v>
      </c>
      <c r="L6177" s="5">
        <v>0</v>
      </c>
      <c r="M6177" s="4"/>
      <c r="N6177" s="4"/>
      <c r="O6177" s="5"/>
      <c r="P6177" s="5"/>
      <c r="Q6177" s="21">
        <v>100</v>
      </c>
      <c r="R6177" s="21">
        <v>0</v>
      </c>
      <c r="S6177" s="5">
        <f t="shared" si="387"/>
        <v>16419.20663341929</v>
      </c>
      <c r="T6177" cm="1">
        <f t="array" ref="T6177">IF(OR(B6177="MAL ALIMI", B6177="ÜRETİM GİRİŞ"), MIN(I6177, MAX(0, I6177 + SUM(SUMIFS($I$1:I6176, $C$1:C6176, C6177, $B$1:B6176, {"MAL ALIMI","ÜRETİM GİRİŞ"})) - VLOOKUP(C6177, 'STOK RAPORU'!$C$2:$I$1000, 4, 0))), 0)</f>
        <v>0</v>
      </c>
      <c r="U6177" s="22">
        <f t="shared" si="384"/>
        <v>0</v>
      </c>
      <c r="V6177">
        <f t="shared" si="385"/>
        <v>0</v>
      </c>
      <c r="W6177" s="22">
        <f t="shared" si="386"/>
        <v>0</v>
      </c>
    </row>
    <row r="6178" spans="1:23" hidden="1" x14ac:dyDescent="0.25">
      <c r="A6178" s="45">
        <v>46123</v>
      </c>
      <c r="B6178" s="46" t="s">
        <v>334</v>
      </c>
      <c r="C6178" s="4" t="s">
        <v>160</v>
      </c>
      <c r="D6178" s="4"/>
      <c r="E6178" s="4" t="s">
        <v>921</v>
      </c>
      <c r="F6178" s="46" t="s">
        <v>2990</v>
      </c>
      <c r="G6178" s="4" t="s">
        <v>336</v>
      </c>
      <c r="H6178" s="4" t="s">
        <v>380</v>
      </c>
      <c r="I6178" s="4">
        <v>1</v>
      </c>
      <c r="J6178" s="21">
        <v>250</v>
      </c>
      <c r="K6178" s="21">
        <v>250</v>
      </c>
      <c r="L6178" s="5">
        <v>0</v>
      </c>
      <c r="M6178" s="4"/>
      <c r="N6178" s="4"/>
      <c r="O6178" s="5"/>
      <c r="P6178" s="5"/>
      <c r="Q6178" s="21">
        <v>0</v>
      </c>
      <c r="R6178" s="21">
        <v>0</v>
      </c>
      <c r="S6178" s="5">
        <f t="shared" si="387"/>
        <v>16419.20663341929</v>
      </c>
      <c r="T6178" cm="1">
        <f t="array" ref="T6178">IF(OR(B6178="MAL ALIMI", B6178="ÜRETİM GİRİŞ"), MIN(I6178, MAX(0, I6178 + SUM(SUMIFS($I$1:I6177, $C$1:C6177, C6178, $B$1:B6177, {"MAL ALIMI","ÜRETİM GİRİŞ"})) - VLOOKUP(C6178, 'STOK RAPORU'!$C$2:$I$1000, 4, 0))), 0)</f>
        <v>0</v>
      </c>
      <c r="U6178" s="22">
        <f t="shared" si="384"/>
        <v>0</v>
      </c>
      <c r="V6178">
        <f t="shared" si="385"/>
        <v>0</v>
      </c>
      <c r="W6178" s="22">
        <f t="shared" si="386"/>
        <v>0</v>
      </c>
    </row>
    <row r="6179" spans="1:23" hidden="1" x14ac:dyDescent="0.25">
      <c r="A6179" s="45">
        <v>46123</v>
      </c>
      <c r="B6179" s="46" t="s">
        <v>334</v>
      </c>
      <c r="C6179" s="4" t="s">
        <v>161</v>
      </c>
      <c r="D6179" s="4"/>
      <c r="E6179" s="4" t="s">
        <v>921</v>
      </c>
      <c r="F6179" s="46" t="s">
        <v>2990</v>
      </c>
      <c r="G6179" s="4" t="s">
        <v>336</v>
      </c>
      <c r="H6179" s="4" t="s">
        <v>380</v>
      </c>
      <c r="I6179" s="4">
        <v>1</v>
      </c>
      <c r="J6179" s="21">
        <v>250</v>
      </c>
      <c r="K6179" s="21">
        <v>250</v>
      </c>
      <c r="L6179" s="5">
        <v>0</v>
      </c>
      <c r="M6179" s="4"/>
      <c r="N6179" s="4"/>
      <c r="O6179" s="5"/>
      <c r="P6179" s="5"/>
      <c r="Q6179" s="21">
        <v>0</v>
      </c>
      <c r="R6179" s="21">
        <v>0</v>
      </c>
      <c r="S6179" s="5">
        <f t="shared" si="387"/>
        <v>16419.20663341929</v>
      </c>
      <c r="T6179" cm="1">
        <f t="array" ref="T6179">IF(OR(B6179="MAL ALIMI", B6179="ÜRETİM GİRİŞ"), MIN(I6179, MAX(0, I6179 + SUM(SUMIFS($I$1:I6178, $C$1:C6178, C6179, $B$1:B6178, {"MAL ALIMI","ÜRETİM GİRİŞ"})) - VLOOKUP(C6179, 'STOK RAPORU'!$C$2:$I$1000, 4, 0))), 0)</f>
        <v>0</v>
      </c>
      <c r="U6179" s="22">
        <f t="shared" si="384"/>
        <v>0</v>
      </c>
      <c r="V6179">
        <f t="shared" si="385"/>
        <v>0</v>
      </c>
      <c r="W6179" s="22">
        <f t="shared" si="386"/>
        <v>0</v>
      </c>
    </row>
    <row r="6180" spans="1:23" hidden="1" x14ac:dyDescent="0.25">
      <c r="A6180" s="45">
        <v>46123</v>
      </c>
      <c r="B6180" s="46" t="s">
        <v>334</v>
      </c>
      <c r="C6180" s="4" t="s">
        <v>590</v>
      </c>
      <c r="D6180" s="4"/>
      <c r="E6180" s="4" t="s">
        <v>921</v>
      </c>
      <c r="F6180" s="46" t="s">
        <v>2991</v>
      </c>
      <c r="G6180" s="4" t="s">
        <v>336</v>
      </c>
      <c r="H6180" s="4" t="s">
        <v>380</v>
      </c>
      <c r="I6180" s="4">
        <v>1</v>
      </c>
      <c r="J6180" s="21">
        <v>100</v>
      </c>
      <c r="K6180" s="21">
        <v>100</v>
      </c>
      <c r="L6180" s="5">
        <v>0</v>
      </c>
      <c r="M6180" s="4"/>
      <c r="N6180" s="4"/>
      <c r="O6180" s="5"/>
      <c r="P6180" s="5"/>
      <c r="Q6180" s="21">
        <v>0</v>
      </c>
      <c r="R6180" s="21">
        <v>0</v>
      </c>
      <c r="S6180" s="5">
        <f t="shared" si="387"/>
        <v>16419.20663341929</v>
      </c>
      <c r="T6180" cm="1">
        <f t="array" ref="T6180">IF(OR(B6180="MAL ALIMI", B6180="ÜRETİM GİRİŞ"), MIN(I6180, MAX(0, I6180 + SUM(SUMIFS($I$1:I6179, $C$1:C6179, C6180, $B$1:B6179, {"MAL ALIMI","ÜRETİM GİRİŞ"})) - VLOOKUP(C6180, 'STOK RAPORU'!$C$2:$I$1000, 4, 0))), 0)</f>
        <v>0</v>
      </c>
      <c r="U6180" s="22">
        <f t="shared" si="384"/>
        <v>0</v>
      </c>
      <c r="V6180">
        <f t="shared" si="385"/>
        <v>0</v>
      </c>
      <c r="W6180" s="22">
        <f t="shared" si="386"/>
        <v>0</v>
      </c>
    </row>
    <row r="6181" spans="1:23" hidden="1" x14ac:dyDescent="0.25">
      <c r="A6181" s="45">
        <v>46123</v>
      </c>
      <c r="B6181" s="46" t="s">
        <v>334</v>
      </c>
      <c r="C6181" s="4" t="s">
        <v>1896</v>
      </c>
      <c r="D6181" s="4"/>
      <c r="E6181" s="4" t="s">
        <v>921</v>
      </c>
      <c r="F6181" s="46" t="s">
        <v>2991</v>
      </c>
      <c r="G6181" s="4" t="s">
        <v>336</v>
      </c>
      <c r="H6181" s="4" t="s">
        <v>380</v>
      </c>
      <c r="I6181" s="4">
        <v>1</v>
      </c>
      <c r="J6181" s="21">
        <v>320</v>
      </c>
      <c r="K6181" s="21">
        <v>320</v>
      </c>
      <c r="L6181" s="5">
        <v>0</v>
      </c>
      <c r="M6181" s="4"/>
      <c r="N6181" s="4"/>
      <c r="O6181" s="5"/>
      <c r="P6181" s="5"/>
      <c r="Q6181" s="21">
        <v>0</v>
      </c>
      <c r="R6181" s="21">
        <v>0</v>
      </c>
      <c r="S6181" s="5">
        <f t="shared" si="387"/>
        <v>16419.20663341929</v>
      </c>
      <c r="T6181" cm="1">
        <f t="array" ref="T6181">IF(OR(B6181="MAL ALIMI", B6181="ÜRETİM GİRİŞ"), MIN(I6181, MAX(0, I6181 + SUM(SUMIFS($I$1:I6180, $C$1:C6180, C6181, $B$1:B6180, {"MAL ALIMI","ÜRETİM GİRİŞ"})) - VLOOKUP(C6181, 'STOK RAPORU'!$C$2:$I$1000, 4, 0))), 0)</f>
        <v>0</v>
      </c>
      <c r="U6181" s="22">
        <f t="shared" si="384"/>
        <v>0</v>
      </c>
      <c r="V6181">
        <f t="shared" si="385"/>
        <v>0</v>
      </c>
      <c r="W6181" s="22">
        <f t="shared" si="386"/>
        <v>0</v>
      </c>
    </row>
    <row r="6182" spans="1:23" hidden="1" x14ac:dyDescent="0.25">
      <c r="A6182" s="45">
        <v>46123</v>
      </c>
      <c r="B6182" s="46" t="s">
        <v>334</v>
      </c>
      <c r="C6182" s="4" t="s">
        <v>192</v>
      </c>
      <c r="D6182" s="4"/>
      <c r="E6182" s="4"/>
      <c r="F6182" s="46" t="s">
        <v>2992</v>
      </c>
      <c r="G6182" s="4" t="s">
        <v>336</v>
      </c>
      <c r="H6182" s="4" t="s">
        <v>289</v>
      </c>
      <c r="I6182" s="4">
        <v>0.12</v>
      </c>
      <c r="J6182" s="21">
        <v>417</v>
      </c>
      <c r="K6182" s="21">
        <v>0</v>
      </c>
      <c r="L6182" s="5">
        <v>0</v>
      </c>
      <c r="M6182" s="4"/>
      <c r="N6182" s="4"/>
      <c r="O6182" s="5"/>
      <c r="P6182" s="5"/>
      <c r="Q6182" s="21">
        <v>50.04</v>
      </c>
      <c r="R6182" s="21">
        <v>0</v>
      </c>
      <c r="S6182" s="5">
        <f t="shared" si="387"/>
        <v>16469.24663341929</v>
      </c>
      <c r="T6182" cm="1">
        <f t="array" ref="T6182">IF(OR(B6182="MAL ALIMI", B6182="ÜRETİM GİRİŞ"), MIN(I6182, MAX(0, I6182 + SUM(SUMIFS($I$1:I6181, $C$1:C6181, C6182, $B$1:B6181, {"MAL ALIMI","ÜRETİM GİRİŞ"})) - VLOOKUP(C6182, 'STOK RAPORU'!$C$2:$I$1000, 4, 0))), 0)</f>
        <v>0</v>
      </c>
      <c r="U6182" s="22">
        <f t="shared" si="384"/>
        <v>0</v>
      </c>
      <c r="V6182">
        <f t="shared" si="385"/>
        <v>0</v>
      </c>
      <c r="W6182" s="22">
        <f t="shared" si="386"/>
        <v>0</v>
      </c>
    </row>
    <row r="6183" spans="1:23" hidden="1" x14ac:dyDescent="0.25">
      <c r="A6183" s="45">
        <v>46123</v>
      </c>
      <c r="B6183" s="46" t="s">
        <v>334</v>
      </c>
      <c r="C6183" s="4" t="s">
        <v>1384</v>
      </c>
      <c r="D6183" s="4"/>
      <c r="E6183" s="4"/>
      <c r="F6183" s="46" t="s">
        <v>2992</v>
      </c>
      <c r="G6183" s="4" t="s">
        <v>336</v>
      </c>
      <c r="H6183" s="4" t="s">
        <v>289</v>
      </c>
      <c r="I6183" s="4">
        <v>1</v>
      </c>
      <c r="J6183" s="21">
        <v>190</v>
      </c>
      <c r="K6183" s="21">
        <v>0</v>
      </c>
      <c r="L6183" s="5">
        <v>0</v>
      </c>
      <c r="M6183" s="4"/>
      <c r="N6183" s="4"/>
      <c r="O6183" s="5"/>
      <c r="P6183" s="5"/>
      <c r="Q6183" s="21">
        <v>190</v>
      </c>
      <c r="R6183" s="21">
        <v>0</v>
      </c>
      <c r="S6183" s="5">
        <f t="shared" si="387"/>
        <v>16659.24663341929</v>
      </c>
      <c r="T6183" cm="1">
        <f t="array" ref="T6183">IF(OR(B6183="MAL ALIMI", B6183="ÜRETİM GİRİŞ"), MIN(I6183, MAX(0, I6183 + SUM(SUMIFS($I$1:I6182, $C$1:C6182, C6183, $B$1:B6182, {"MAL ALIMI","ÜRETİM GİRİŞ"})) - VLOOKUP(C6183, 'STOK RAPORU'!$C$2:$I$1000, 4, 0))), 0)</f>
        <v>0</v>
      </c>
      <c r="U6183" s="22">
        <f t="shared" si="384"/>
        <v>0</v>
      </c>
      <c r="V6183">
        <f t="shared" si="385"/>
        <v>0</v>
      </c>
      <c r="W6183" s="22">
        <f t="shared" si="386"/>
        <v>0</v>
      </c>
    </row>
    <row r="6184" spans="1:23" hidden="1" x14ac:dyDescent="0.25">
      <c r="A6184" s="45">
        <v>46123</v>
      </c>
      <c r="B6184" s="46" t="s">
        <v>334</v>
      </c>
      <c r="C6184" s="4" t="s">
        <v>238</v>
      </c>
      <c r="D6184" s="4"/>
      <c r="E6184" s="4"/>
      <c r="F6184" s="46" t="s">
        <v>2992</v>
      </c>
      <c r="G6184" s="4" t="s">
        <v>336</v>
      </c>
      <c r="H6184" s="4" t="s">
        <v>289</v>
      </c>
      <c r="I6184" s="4">
        <v>0.1</v>
      </c>
      <c r="J6184" s="21">
        <v>900</v>
      </c>
      <c r="K6184" s="21">
        <v>0</v>
      </c>
      <c r="L6184" s="5">
        <v>0</v>
      </c>
      <c r="M6184" s="4"/>
      <c r="N6184" s="4"/>
      <c r="O6184" s="5"/>
      <c r="P6184" s="5"/>
      <c r="Q6184" s="21">
        <v>90</v>
      </c>
      <c r="R6184" s="21">
        <v>0</v>
      </c>
      <c r="S6184" s="5">
        <f t="shared" si="387"/>
        <v>16749.24663341929</v>
      </c>
      <c r="T6184" cm="1">
        <f t="array" ref="T6184">IF(OR(B6184="MAL ALIMI", B6184="ÜRETİM GİRİŞ"), MIN(I6184, MAX(0, I6184 + SUM(SUMIFS($I$1:I6183, $C$1:C6183, C6184, $B$1:B6183, {"MAL ALIMI","ÜRETİM GİRİŞ"})) - VLOOKUP(C6184, 'STOK RAPORU'!$C$2:$I$1000, 4, 0))), 0)</f>
        <v>0</v>
      </c>
      <c r="U6184" s="22">
        <f t="shared" si="384"/>
        <v>0</v>
      </c>
      <c r="V6184">
        <f t="shared" si="385"/>
        <v>0</v>
      </c>
      <c r="W6184" s="22">
        <f t="shared" si="386"/>
        <v>0</v>
      </c>
    </row>
    <row r="6185" spans="1:23" hidden="1" x14ac:dyDescent="0.25">
      <c r="A6185" s="45">
        <v>46123</v>
      </c>
      <c r="B6185" s="46" t="s">
        <v>334</v>
      </c>
      <c r="C6185" s="4" t="s">
        <v>193</v>
      </c>
      <c r="D6185" s="4"/>
      <c r="E6185" s="4"/>
      <c r="F6185" s="46" t="s">
        <v>2992</v>
      </c>
      <c r="G6185" s="4" t="s">
        <v>336</v>
      </c>
      <c r="H6185" s="4" t="s">
        <v>289</v>
      </c>
      <c r="I6185" s="4">
        <v>0.05</v>
      </c>
      <c r="J6185" s="21">
        <v>900</v>
      </c>
      <c r="K6185" s="21">
        <v>0</v>
      </c>
      <c r="L6185" s="5">
        <v>0</v>
      </c>
      <c r="M6185" s="4"/>
      <c r="N6185" s="4"/>
      <c r="O6185" s="5"/>
      <c r="P6185" s="5"/>
      <c r="Q6185" s="21">
        <v>45</v>
      </c>
      <c r="R6185" s="21">
        <v>0</v>
      </c>
      <c r="S6185" s="5">
        <f t="shared" si="387"/>
        <v>16794.24663341929</v>
      </c>
      <c r="T6185" cm="1">
        <f t="array" ref="T6185">IF(OR(B6185="MAL ALIMI", B6185="ÜRETİM GİRİŞ"), MIN(I6185, MAX(0, I6185 + SUM(SUMIFS($I$1:I6184, $C$1:C6184, C6185, $B$1:B6184, {"MAL ALIMI","ÜRETİM GİRİŞ"})) - VLOOKUP(C6185, 'STOK RAPORU'!$C$2:$I$1000, 4, 0))), 0)</f>
        <v>0</v>
      </c>
      <c r="U6185" s="22">
        <f t="shared" si="384"/>
        <v>0</v>
      </c>
      <c r="V6185">
        <f t="shared" si="385"/>
        <v>0</v>
      </c>
      <c r="W6185" s="22">
        <f t="shared" si="386"/>
        <v>0</v>
      </c>
    </row>
    <row r="6186" spans="1:23" hidden="1" x14ac:dyDescent="0.25">
      <c r="A6186" s="45">
        <v>46123</v>
      </c>
      <c r="B6186" s="46" t="s">
        <v>334</v>
      </c>
      <c r="C6186" s="4" t="s">
        <v>221</v>
      </c>
      <c r="D6186" s="4"/>
      <c r="E6186" s="4"/>
      <c r="F6186" s="46" t="s">
        <v>2992</v>
      </c>
      <c r="G6186" s="4" t="s">
        <v>336</v>
      </c>
      <c r="H6186" s="4" t="s">
        <v>289</v>
      </c>
      <c r="I6186" s="4">
        <v>3.4799999999999998E-2</v>
      </c>
      <c r="J6186" s="21">
        <v>1300</v>
      </c>
      <c r="K6186" s="21">
        <v>0</v>
      </c>
      <c r="L6186" s="5">
        <v>0</v>
      </c>
      <c r="M6186" s="4"/>
      <c r="N6186" s="4"/>
      <c r="O6186" s="5"/>
      <c r="P6186" s="5"/>
      <c r="Q6186" s="21">
        <v>45.239999999999995</v>
      </c>
      <c r="R6186" s="21">
        <v>0</v>
      </c>
      <c r="S6186" s="5">
        <f t="shared" si="387"/>
        <v>16839.486633419292</v>
      </c>
      <c r="T6186" cm="1">
        <f t="array" ref="T6186">IF(OR(B6186="MAL ALIMI", B6186="ÜRETİM GİRİŞ"), MIN(I6186, MAX(0, I6186 + SUM(SUMIFS($I$1:I6185, $C$1:C6185, C6186, $B$1:B6185, {"MAL ALIMI","ÜRETİM GİRİŞ"})) - VLOOKUP(C6186, 'STOK RAPORU'!$C$2:$I$1000, 4, 0))), 0)</f>
        <v>0</v>
      </c>
      <c r="U6186" s="22">
        <f t="shared" si="384"/>
        <v>0</v>
      </c>
      <c r="V6186">
        <f t="shared" si="385"/>
        <v>0</v>
      </c>
      <c r="W6186" s="22">
        <f t="shared" si="386"/>
        <v>0</v>
      </c>
    </row>
    <row r="6187" spans="1:23" hidden="1" x14ac:dyDescent="0.25">
      <c r="A6187" s="45">
        <v>46123</v>
      </c>
      <c r="B6187" s="46" t="s">
        <v>334</v>
      </c>
      <c r="C6187" s="4" t="s">
        <v>589</v>
      </c>
      <c r="D6187" s="4"/>
      <c r="E6187" s="4"/>
      <c r="F6187" s="46" t="s">
        <v>2992</v>
      </c>
      <c r="G6187" s="4" t="s">
        <v>336</v>
      </c>
      <c r="H6187" s="4" t="s">
        <v>289</v>
      </c>
      <c r="I6187" s="4">
        <v>3.7499999999999999E-2</v>
      </c>
      <c r="J6187" s="21">
        <v>800</v>
      </c>
      <c r="K6187" s="21">
        <v>0</v>
      </c>
      <c r="L6187" s="5">
        <v>0</v>
      </c>
      <c r="M6187" s="4"/>
      <c r="N6187" s="4"/>
      <c r="O6187" s="5"/>
      <c r="P6187" s="5"/>
      <c r="Q6187" s="21">
        <v>30</v>
      </c>
      <c r="R6187" s="21">
        <v>0</v>
      </c>
      <c r="S6187" s="5">
        <f t="shared" si="387"/>
        <v>16869.486633419292</v>
      </c>
      <c r="T6187" cm="1">
        <f t="array" ref="T6187">IF(OR(B6187="MAL ALIMI", B6187="ÜRETİM GİRİŞ"), MIN(I6187, MAX(0, I6187 + SUM(SUMIFS($I$1:I6186, $C$1:C6186, C6187, $B$1:B6186, {"MAL ALIMI","ÜRETİM GİRİŞ"})) - VLOOKUP(C6187, 'STOK RAPORU'!$C$2:$I$1000, 4, 0))), 0)</f>
        <v>0</v>
      </c>
      <c r="U6187" s="22">
        <f t="shared" si="384"/>
        <v>0</v>
      </c>
      <c r="V6187">
        <f t="shared" si="385"/>
        <v>0</v>
      </c>
      <c r="W6187" s="22">
        <f t="shared" si="386"/>
        <v>0</v>
      </c>
    </row>
    <row r="6188" spans="1:23" hidden="1" x14ac:dyDescent="0.25">
      <c r="A6188" s="45">
        <v>46123</v>
      </c>
      <c r="B6188" s="46" t="s">
        <v>334</v>
      </c>
      <c r="C6188" s="4" t="s">
        <v>1023</v>
      </c>
      <c r="D6188" s="4"/>
      <c r="E6188" s="4"/>
      <c r="F6188" s="46" t="s">
        <v>2993</v>
      </c>
      <c r="G6188" s="4" t="s">
        <v>336</v>
      </c>
      <c r="H6188" s="4" t="s">
        <v>289</v>
      </c>
      <c r="I6188" s="4">
        <v>1.2</v>
      </c>
      <c r="J6188" s="21">
        <v>62.5</v>
      </c>
      <c r="K6188" s="21">
        <v>0</v>
      </c>
      <c r="L6188" s="5">
        <v>0</v>
      </c>
      <c r="M6188" s="4"/>
      <c r="N6188" s="4"/>
      <c r="O6188" s="5"/>
      <c r="P6188" s="5"/>
      <c r="Q6188" s="21">
        <v>75</v>
      </c>
      <c r="R6188" s="21">
        <v>0</v>
      </c>
      <c r="S6188" s="5">
        <f t="shared" si="387"/>
        <v>16944.486633419292</v>
      </c>
      <c r="T6188" cm="1">
        <f t="array" ref="T6188">IF(OR(B6188="MAL ALIMI", B6188="ÜRETİM GİRİŞ"), MIN(I6188, MAX(0, I6188 + SUM(SUMIFS($I$1:I6187, $C$1:C6187, C6188, $B$1:B6187, {"MAL ALIMI","ÜRETİM GİRİŞ"})) - VLOOKUP(C6188, 'STOK RAPORU'!$C$2:$I$1000, 4, 0))), 0)</f>
        <v>0</v>
      </c>
      <c r="U6188" s="22">
        <f t="shared" si="384"/>
        <v>0</v>
      </c>
      <c r="V6188">
        <f t="shared" si="385"/>
        <v>0</v>
      </c>
      <c r="W6188" s="22">
        <f t="shared" si="386"/>
        <v>0</v>
      </c>
    </row>
    <row r="6189" spans="1:23" hidden="1" x14ac:dyDescent="0.25">
      <c r="A6189" s="45">
        <v>46123</v>
      </c>
      <c r="B6189" s="46" t="s">
        <v>334</v>
      </c>
      <c r="C6189" s="4" t="s">
        <v>226</v>
      </c>
      <c r="D6189" s="4"/>
      <c r="E6189" s="4"/>
      <c r="F6189" s="46" t="s">
        <v>2993</v>
      </c>
      <c r="G6189" s="4" t="s">
        <v>336</v>
      </c>
      <c r="H6189" s="4" t="s">
        <v>289</v>
      </c>
      <c r="I6189" s="4">
        <v>0.22800000000000001</v>
      </c>
      <c r="J6189" s="21">
        <v>220</v>
      </c>
      <c r="K6189" s="21">
        <v>0</v>
      </c>
      <c r="L6189" s="5">
        <v>0</v>
      </c>
      <c r="M6189" s="4"/>
      <c r="N6189" s="4"/>
      <c r="O6189" s="5"/>
      <c r="P6189" s="5"/>
      <c r="Q6189" s="21">
        <v>50.160000000000004</v>
      </c>
      <c r="R6189" s="21">
        <v>0</v>
      </c>
      <c r="S6189" s="5">
        <f t="shared" si="387"/>
        <v>16994.646633419292</v>
      </c>
      <c r="T6189" cm="1">
        <f t="array" ref="T6189">IF(OR(B6189="MAL ALIMI", B6189="ÜRETİM GİRİŞ"), MIN(I6189, MAX(0, I6189 + SUM(SUMIFS($I$1:I6188, $C$1:C6188, C6189, $B$1:B6188, {"MAL ALIMI","ÜRETİM GİRİŞ"})) - VLOOKUP(C6189, 'STOK RAPORU'!$C$2:$I$1000, 4, 0))), 0)</f>
        <v>0</v>
      </c>
      <c r="U6189" s="22">
        <f t="shared" si="384"/>
        <v>0</v>
      </c>
      <c r="V6189">
        <f t="shared" si="385"/>
        <v>0</v>
      </c>
      <c r="W6189" s="22">
        <f t="shared" si="386"/>
        <v>0</v>
      </c>
    </row>
    <row r="6190" spans="1:23" hidden="1" x14ac:dyDescent="0.25">
      <c r="A6190" s="45">
        <v>46123</v>
      </c>
      <c r="B6190" s="46" t="s">
        <v>334</v>
      </c>
      <c r="C6190" s="4" t="s">
        <v>131</v>
      </c>
      <c r="D6190" s="4"/>
      <c r="E6190" s="4" t="s">
        <v>921</v>
      </c>
      <c r="F6190" s="46" t="s">
        <v>2994</v>
      </c>
      <c r="G6190" s="4" t="s">
        <v>336</v>
      </c>
      <c r="H6190" s="4" t="s">
        <v>380</v>
      </c>
      <c r="I6190" s="4">
        <v>7.1999999999999995E-2</v>
      </c>
      <c r="J6190" s="21">
        <v>400</v>
      </c>
      <c r="K6190" s="21">
        <v>28.799999999999997</v>
      </c>
      <c r="L6190" s="5">
        <v>0</v>
      </c>
      <c r="M6190" s="4"/>
      <c r="N6190" s="4"/>
      <c r="O6190" s="5"/>
      <c r="P6190" s="5"/>
      <c r="Q6190" s="21">
        <v>0</v>
      </c>
      <c r="R6190" s="21">
        <v>0</v>
      </c>
      <c r="S6190" s="5">
        <f t="shared" si="387"/>
        <v>16994.646633419292</v>
      </c>
      <c r="T6190" cm="1">
        <f t="array" ref="T6190">IF(OR(B6190="MAL ALIMI", B6190="ÜRETİM GİRİŞ"), MIN(I6190, MAX(0, I6190 + SUM(SUMIFS($I$1:I6189, $C$1:C6189, C6190, $B$1:B6189, {"MAL ALIMI","ÜRETİM GİRİŞ"})) - VLOOKUP(C6190, 'STOK RAPORU'!$C$2:$I$1000, 4, 0))), 0)</f>
        <v>0</v>
      </c>
      <c r="U6190" s="22">
        <f t="shared" si="384"/>
        <v>0</v>
      </c>
      <c r="V6190">
        <f t="shared" si="385"/>
        <v>0</v>
      </c>
      <c r="W6190" s="22">
        <f t="shared" si="386"/>
        <v>0</v>
      </c>
    </row>
    <row r="6191" spans="1:23" hidden="1" x14ac:dyDescent="0.25">
      <c r="A6191" s="45">
        <v>46123</v>
      </c>
      <c r="B6191" s="46" t="s">
        <v>334</v>
      </c>
      <c r="C6191" s="4" t="s">
        <v>92</v>
      </c>
      <c r="D6191" s="4"/>
      <c r="E6191" s="4" t="s">
        <v>921</v>
      </c>
      <c r="F6191" s="46" t="s">
        <v>2994</v>
      </c>
      <c r="G6191" s="4" t="s">
        <v>336</v>
      </c>
      <c r="H6191" s="4" t="s">
        <v>380</v>
      </c>
      <c r="I6191" s="4">
        <v>0.25</v>
      </c>
      <c r="J6191" s="21">
        <v>500</v>
      </c>
      <c r="K6191" s="21">
        <v>125</v>
      </c>
      <c r="L6191" s="5">
        <v>0</v>
      </c>
      <c r="M6191" s="4"/>
      <c r="N6191" s="4"/>
      <c r="O6191" s="5"/>
      <c r="P6191" s="5"/>
      <c r="Q6191" s="21">
        <v>0</v>
      </c>
      <c r="R6191" s="21">
        <v>0</v>
      </c>
      <c r="S6191" s="5">
        <f t="shared" si="387"/>
        <v>16994.646633419292</v>
      </c>
      <c r="T6191" cm="1">
        <f t="array" ref="T6191">IF(OR(B6191="MAL ALIMI", B6191="ÜRETİM GİRİŞ"), MIN(I6191, MAX(0, I6191 + SUM(SUMIFS($I$1:I6190, $C$1:C6190, C6191, $B$1:B6190, {"MAL ALIMI","ÜRETİM GİRİŞ"})) - VLOOKUP(C6191, 'STOK RAPORU'!$C$2:$I$1000, 4, 0))), 0)</f>
        <v>0</v>
      </c>
      <c r="U6191" s="22">
        <f t="shared" si="384"/>
        <v>0</v>
      </c>
      <c r="V6191">
        <f t="shared" si="385"/>
        <v>0</v>
      </c>
      <c r="W6191" s="22">
        <f t="shared" si="386"/>
        <v>0</v>
      </c>
    </row>
    <row r="6192" spans="1:23" hidden="1" x14ac:dyDescent="0.25">
      <c r="A6192" s="45">
        <v>46123</v>
      </c>
      <c r="B6192" s="46" t="s">
        <v>334</v>
      </c>
      <c r="C6192" s="4" t="s">
        <v>91</v>
      </c>
      <c r="D6192" s="4"/>
      <c r="E6192" s="4" t="s">
        <v>921</v>
      </c>
      <c r="F6192" s="46" t="s">
        <v>2994</v>
      </c>
      <c r="G6192" s="4" t="s">
        <v>336</v>
      </c>
      <c r="H6192" s="4" t="s">
        <v>380</v>
      </c>
      <c r="I6192" s="4">
        <v>7.3999999999999996E-2</v>
      </c>
      <c r="J6192" s="21">
        <v>850</v>
      </c>
      <c r="K6192" s="21">
        <v>62.9</v>
      </c>
      <c r="L6192" s="5">
        <v>0</v>
      </c>
      <c r="M6192" s="4"/>
      <c r="N6192" s="4"/>
      <c r="O6192" s="5"/>
      <c r="P6192" s="5"/>
      <c r="Q6192" s="21">
        <v>0</v>
      </c>
      <c r="R6192" s="21">
        <v>0</v>
      </c>
      <c r="S6192" s="5">
        <f t="shared" si="387"/>
        <v>16994.646633419292</v>
      </c>
      <c r="T6192" cm="1">
        <f t="array" ref="T6192">IF(OR(B6192="MAL ALIMI", B6192="ÜRETİM GİRİŞ"), MIN(I6192, MAX(0, I6192 + SUM(SUMIFS($I$1:I6191, $C$1:C6191, C6192, $B$1:B6191, {"MAL ALIMI","ÜRETİM GİRİŞ"})) - VLOOKUP(C6192, 'STOK RAPORU'!$C$2:$I$1000, 4, 0))), 0)</f>
        <v>0</v>
      </c>
      <c r="U6192" s="22">
        <f t="shared" si="384"/>
        <v>0</v>
      </c>
      <c r="V6192">
        <f t="shared" si="385"/>
        <v>0</v>
      </c>
      <c r="W6192" s="22">
        <f t="shared" si="386"/>
        <v>0</v>
      </c>
    </row>
    <row r="6193" spans="1:23" hidden="1" x14ac:dyDescent="0.25">
      <c r="A6193" s="45">
        <v>46123</v>
      </c>
      <c r="B6193" s="46" t="s">
        <v>334</v>
      </c>
      <c r="C6193" s="4" t="s">
        <v>468</v>
      </c>
      <c r="D6193" s="4"/>
      <c r="E6193" s="4" t="s">
        <v>921</v>
      </c>
      <c r="F6193" s="46" t="s">
        <v>2994</v>
      </c>
      <c r="G6193" s="4" t="s">
        <v>336</v>
      </c>
      <c r="H6193" s="4" t="s">
        <v>380</v>
      </c>
      <c r="I6193" s="4">
        <v>1</v>
      </c>
      <c r="J6193" s="21">
        <v>42</v>
      </c>
      <c r="K6193" s="21">
        <v>42</v>
      </c>
      <c r="L6193" s="5">
        <v>0</v>
      </c>
      <c r="M6193" s="4"/>
      <c r="N6193" s="4"/>
      <c r="O6193" s="5"/>
      <c r="P6193" s="5"/>
      <c r="Q6193" s="21">
        <v>0</v>
      </c>
      <c r="R6193" s="21">
        <v>0</v>
      </c>
      <c r="S6193" s="5">
        <f t="shared" si="387"/>
        <v>16994.646633419292</v>
      </c>
      <c r="T6193" cm="1">
        <f t="array" ref="T6193">IF(OR(B6193="MAL ALIMI", B6193="ÜRETİM GİRİŞ"), MIN(I6193, MAX(0, I6193 + SUM(SUMIFS($I$1:I6192, $C$1:C6192, C6193, $B$1:B6192, {"MAL ALIMI","ÜRETİM GİRİŞ"})) - VLOOKUP(C6193, 'STOK RAPORU'!$C$2:$I$1000, 4, 0))), 0)</f>
        <v>0</v>
      </c>
      <c r="U6193" s="22">
        <f t="shared" si="384"/>
        <v>0</v>
      </c>
      <c r="V6193">
        <f t="shared" si="385"/>
        <v>0</v>
      </c>
      <c r="W6193" s="22">
        <f t="shared" si="386"/>
        <v>0</v>
      </c>
    </row>
    <row r="6194" spans="1:23" hidden="1" x14ac:dyDescent="0.25">
      <c r="A6194" s="45">
        <v>46123</v>
      </c>
      <c r="B6194" s="46" t="s">
        <v>334</v>
      </c>
      <c r="C6194" s="4" t="s">
        <v>465</v>
      </c>
      <c r="D6194" s="4"/>
      <c r="E6194" s="4" t="s">
        <v>921</v>
      </c>
      <c r="F6194" s="46" t="s">
        <v>2994</v>
      </c>
      <c r="G6194" s="4" t="s">
        <v>336</v>
      </c>
      <c r="H6194" s="4" t="s">
        <v>380</v>
      </c>
      <c r="I6194" s="4">
        <v>1</v>
      </c>
      <c r="J6194" s="21">
        <v>42</v>
      </c>
      <c r="K6194" s="21">
        <v>42</v>
      </c>
      <c r="L6194" s="5">
        <v>0</v>
      </c>
      <c r="M6194" s="4"/>
      <c r="N6194" s="4"/>
      <c r="O6194" s="5"/>
      <c r="P6194" s="5"/>
      <c r="Q6194" s="21">
        <v>0</v>
      </c>
      <c r="R6194" s="21">
        <v>0</v>
      </c>
      <c r="S6194" s="5">
        <f t="shared" si="387"/>
        <v>16994.646633419292</v>
      </c>
      <c r="T6194" cm="1">
        <f t="array" ref="T6194">IF(OR(B6194="MAL ALIMI", B6194="ÜRETİM GİRİŞ"), MIN(I6194, MAX(0, I6194 + SUM(SUMIFS($I$1:I6193, $C$1:C6193, C6194, $B$1:B6193, {"MAL ALIMI","ÜRETİM GİRİŞ"})) - VLOOKUP(C6194, 'STOK RAPORU'!$C$2:$I$1000, 4, 0))), 0)</f>
        <v>0</v>
      </c>
      <c r="U6194" s="22">
        <f t="shared" ref="U6194:U6257" si="388">T6194*J6194</f>
        <v>0</v>
      </c>
      <c r="V6194">
        <f t="shared" ref="V6194:V6257" si="389">IF(OR(B6194="MAL ALIMI", B6194="ÜRETİM GİRİŞ"), I6194 * J6194, 0)</f>
        <v>0</v>
      </c>
      <c r="W6194" s="22">
        <f t="shared" ref="W6194:W6257" si="390">V6194-U6194</f>
        <v>0</v>
      </c>
    </row>
    <row r="6195" spans="1:23" hidden="1" x14ac:dyDescent="0.25">
      <c r="A6195" s="45">
        <v>46123</v>
      </c>
      <c r="B6195" s="46" t="s">
        <v>334</v>
      </c>
      <c r="C6195" s="4" t="s">
        <v>129</v>
      </c>
      <c r="D6195" s="4"/>
      <c r="E6195" s="4"/>
      <c r="F6195" s="46" t="s">
        <v>2995</v>
      </c>
      <c r="G6195" s="4" t="s">
        <v>2708</v>
      </c>
      <c r="H6195" s="4" t="s">
        <v>289</v>
      </c>
      <c r="I6195" s="4">
        <v>0.14499999999999999</v>
      </c>
      <c r="J6195" s="21">
        <v>400</v>
      </c>
      <c r="K6195" s="21">
        <v>0</v>
      </c>
      <c r="L6195" s="5">
        <v>0</v>
      </c>
      <c r="M6195" s="4"/>
      <c r="N6195" s="4"/>
      <c r="O6195" s="5"/>
      <c r="P6195" s="5"/>
      <c r="Q6195" s="21">
        <v>57.999999999999993</v>
      </c>
      <c r="R6195" s="21">
        <v>0</v>
      </c>
      <c r="S6195" s="5">
        <f t="shared" si="387"/>
        <v>17052.646633419292</v>
      </c>
      <c r="T6195" cm="1">
        <f t="array" ref="T6195">IF(OR(B6195="MAL ALIMI", B6195="ÜRETİM GİRİŞ"), MIN(I6195, MAX(0, I6195 + SUM(SUMIFS($I$1:I6194, $C$1:C6194, C6195, $B$1:B6194, {"MAL ALIMI","ÜRETİM GİRİŞ"})) - VLOOKUP(C6195, 'STOK RAPORU'!$C$2:$I$1000, 4, 0))), 0)</f>
        <v>0</v>
      </c>
      <c r="U6195" s="22">
        <f t="shared" si="388"/>
        <v>0</v>
      </c>
      <c r="V6195">
        <f t="shared" si="389"/>
        <v>0</v>
      </c>
      <c r="W6195" s="22">
        <f t="shared" si="390"/>
        <v>0</v>
      </c>
    </row>
    <row r="6196" spans="1:23" hidden="1" x14ac:dyDescent="0.25">
      <c r="A6196" s="45">
        <v>46123</v>
      </c>
      <c r="B6196" s="46" t="s">
        <v>334</v>
      </c>
      <c r="C6196" s="4" t="s">
        <v>1041</v>
      </c>
      <c r="D6196" s="4"/>
      <c r="E6196" s="4"/>
      <c r="F6196" s="46" t="s">
        <v>2995</v>
      </c>
      <c r="G6196" s="4" t="s">
        <v>2708</v>
      </c>
      <c r="H6196" s="4" t="s">
        <v>289</v>
      </c>
      <c r="I6196" s="4">
        <v>0.14000000000000001</v>
      </c>
      <c r="J6196" s="21">
        <v>250</v>
      </c>
      <c r="K6196" s="21">
        <v>0</v>
      </c>
      <c r="L6196" s="5">
        <v>0</v>
      </c>
      <c r="M6196" s="4"/>
      <c r="N6196" s="4"/>
      <c r="O6196" s="5"/>
      <c r="P6196" s="5"/>
      <c r="Q6196" s="21">
        <v>35</v>
      </c>
      <c r="R6196" s="21">
        <v>0</v>
      </c>
      <c r="S6196" s="5">
        <f t="shared" si="387"/>
        <v>17087.646633419292</v>
      </c>
      <c r="T6196" cm="1">
        <f t="array" ref="T6196">IF(OR(B6196="MAL ALIMI", B6196="ÜRETİM GİRİŞ"), MIN(I6196, MAX(0, I6196 + SUM(SUMIFS($I$1:I6195, $C$1:C6195, C6196, $B$1:B6195, {"MAL ALIMI","ÜRETİM GİRİŞ"})) - VLOOKUP(C6196, 'STOK RAPORU'!$C$2:$I$1000, 4, 0))), 0)</f>
        <v>0</v>
      </c>
      <c r="U6196" s="22">
        <f t="shared" si="388"/>
        <v>0</v>
      </c>
      <c r="V6196">
        <f t="shared" si="389"/>
        <v>0</v>
      </c>
      <c r="W6196" s="22">
        <f t="shared" si="390"/>
        <v>0</v>
      </c>
    </row>
    <row r="6197" spans="1:23" hidden="1" x14ac:dyDescent="0.25">
      <c r="A6197" s="45">
        <v>46123</v>
      </c>
      <c r="B6197" s="46" t="s">
        <v>334</v>
      </c>
      <c r="C6197" s="4" t="s">
        <v>1150</v>
      </c>
      <c r="D6197" s="4"/>
      <c r="E6197" s="4"/>
      <c r="F6197" s="46" t="s">
        <v>2996</v>
      </c>
      <c r="G6197" s="4" t="s">
        <v>336</v>
      </c>
      <c r="H6197" s="4" t="s">
        <v>289</v>
      </c>
      <c r="I6197" s="4">
        <v>0.2</v>
      </c>
      <c r="J6197" s="21">
        <v>500</v>
      </c>
      <c r="K6197" s="21">
        <v>0</v>
      </c>
      <c r="L6197" s="5">
        <v>0</v>
      </c>
      <c r="M6197" s="4"/>
      <c r="N6197" s="4"/>
      <c r="O6197" s="5"/>
      <c r="P6197" s="5"/>
      <c r="Q6197" s="21">
        <v>100</v>
      </c>
      <c r="R6197" s="21">
        <v>0</v>
      </c>
      <c r="S6197" s="5">
        <f t="shared" si="387"/>
        <v>17187.646633419292</v>
      </c>
      <c r="T6197" cm="1">
        <f t="array" ref="T6197">IF(OR(B6197="MAL ALIMI", B6197="ÜRETİM GİRİŞ"), MIN(I6197, MAX(0, I6197 + SUM(SUMIFS($I$1:I6196, $C$1:C6196, C6197, $B$1:B6196, {"MAL ALIMI","ÜRETİM GİRİŞ"})) - VLOOKUP(C6197, 'STOK RAPORU'!$C$2:$I$1000, 4, 0))), 0)</f>
        <v>0</v>
      </c>
      <c r="U6197" s="22">
        <f t="shared" si="388"/>
        <v>0</v>
      </c>
      <c r="V6197">
        <f t="shared" si="389"/>
        <v>0</v>
      </c>
      <c r="W6197" s="22">
        <f t="shared" si="390"/>
        <v>0</v>
      </c>
    </row>
    <row r="6198" spans="1:23" hidden="1" x14ac:dyDescent="0.25">
      <c r="A6198" s="45">
        <v>46123</v>
      </c>
      <c r="B6198" s="46" t="s">
        <v>334</v>
      </c>
      <c r="C6198" s="4" t="s">
        <v>835</v>
      </c>
      <c r="D6198" s="4"/>
      <c r="E6198" s="4"/>
      <c r="F6198" s="46" t="s">
        <v>2997</v>
      </c>
      <c r="G6198" s="4" t="s">
        <v>336</v>
      </c>
      <c r="H6198" s="4" t="s">
        <v>289</v>
      </c>
      <c r="I6198" s="4">
        <v>1</v>
      </c>
      <c r="J6198" s="21">
        <v>130</v>
      </c>
      <c r="K6198" s="21">
        <v>0</v>
      </c>
      <c r="L6198" s="5">
        <v>0</v>
      </c>
      <c r="M6198" s="4"/>
      <c r="N6198" s="4"/>
      <c r="O6198" s="5"/>
      <c r="P6198" s="5"/>
      <c r="Q6198" s="21">
        <v>130</v>
      </c>
      <c r="R6198" s="21">
        <v>0</v>
      </c>
      <c r="S6198" s="5">
        <f t="shared" si="387"/>
        <v>17317.646633419292</v>
      </c>
      <c r="T6198" cm="1">
        <f t="array" ref="T6198">IF(OR(B6198="MAL ALIMI", B6198="ÜRETİM GİRİŞ"), MIN(I6198, MAX(0, I6198 + SUM(SUMIFS($I$1:I6197, $C$1:C6197, C6198, $B$1:B6197, {"MAL ALIMI","ÜRETİM GİRİŞ"})) - VLOOKUP(C6198, 'STOK RAPORU'!$C$2:$I$1000, 4, 0))), 0)</f>
        <v>0</v>
      </c>
      <c r="U6198" s="22">
        <f t="shared" si="388"/>
        <v>0</v>
      </c>
      <c r="V6198">
        <f t="shared" si="389"/>
        <v>0</v>
      </c>
      <c r="W6198" s="22">
        <f t="shared" si="390"/>
        <v>0</v>
      </c>
    </row>
    <row r="6199" spans="1:23" hidden="1" x14ac:dyDescent="0.25">
      <c r="A6199" s="45">
        <v>46123</v>
      </c>
      <c r="B6199" s="46" t="s">
        <v>334</v>
      </c>
      <c r="C6199" s="4" t="s">
        <v>1501</v>
      </c>
      <c r="D6199" s="4"/>
      <c r="E6199" s="4"/>
      <c r="F6199" s="46" t="s">
        <v>2998</v>
      </c>
      <c r="G6199" s="4" t="s">
        <v>336</v>
      </c>
      <c r="H6199" s="4" t="s">
        <v>289</v>
      </c>
      <c r="I6199" s="4">
        <v>0.25</v>
      </c>
      <c r="J6199" s="21">
        <v>700</v>
      </c>
      <c r="K6199" s="21">
        <v>0</v>
      </c>
      <c r="L6199" s="5">
        <v>0</v>
      </c>
      <c r="M6199" s="4"/>
      <c r="N6199" s="4"/>
      <c r="O6199" s="5"/>
      <c r="P6199" s="5"/>
      <c r="Q6199" s="21">
        <v>175</v>
      </c>
      <c r="R6199" s="21">
        <v>0</v>
      </c>
      <c r="S6199" s="5">
        <f t="shared" si="387"/>
        <v>17492.646633419292</v>
      </c>
      <c r="T6199" cm="1">
        <f t="array" ref="T6199">IF(OR(B6199="MAL ALIMI", B6199="ÜRETİM GİRİŞ"), MIN(I6199, MAX(0, I6199 + SUM(SUMIFS($I$1:I6198, $C$1:C6198, C6199, $B$1:B6198, {"MAL ALIMI","ÜRETİM GİRİŞ"})) - VLOOKUP(C6199, 'STOK RAPORU'!$C$2:$I$1000, 4, 0))), 0)</f>
        <v>0</v>
      </c>
      <c r="U6199" s="22">
        <f t="shared" si="388"/>
        <v>0</v>
      </c>
      <c r="V6199">
        <f t="shared" si="389"/>
        <v>0</v>
      </c>
      <c r="W6199" s="22">
        <f t="shared" si="390"/>
        <v>0</v>
      </c>
    </row>
    <row r="6200" spans="1:23" hidden="1" x14ac:dyDescent="0.25">
      <c r="A6200" s="45">
        <v>46123</v>
      </c>
      <c r="B6200" s="46" t="s">
        <v>334</v>
      </c>
      <c r="C6200" s="4" t="s">
        <v>126</v>
      </c>
      <c r="D6200" s="4"/>
      <c r="E6200" s="4"/>
      <c r="F6200" s="46" t="s">
        <v>2999</v>
      </c>
      <c r="G6200" s="4" t="s">
        <v>336</v>
      </c>
      <c r="H6200" s="4" t="s">
        <v>289</v>
      </c>
      <c r="I6200" s="4">
        <v>0.12461538461538461</v>
      </c>
      <c r="J6200" s="21">
        <v>650</v>
      </c>
      <c r="K6200" s="21">
        <v>0</v>
      </c>
      <c r="L6200" s="5">
        <v>0</v>
      </c>
      <c r="M6200" s="4"/>
      <c r="N6200" s="4"/>
      <c r="O6200" s="5"/>
      <c r="P6200" s="5"/>
      <c r="Q6200" s="21">
        <v>81</v>
      </c>
      <c r="R6200" s="21">
        <v>0</v>
      </c>
      <c r="S6200" s="5">
        <f t="shared" si="387"/>
        <v>17573.646633419292</v>
      </c>
      <c r="T6200" cm="1">
        <f t="array" ref="T6200">IF(OR(B6200="MAL ALIMI", B6200="ÜRETİM GİRİŞ"), MIN(I6200, MAX(0, I6200 + SUM(SUMIFS($I$1:I6199, $C$1:C6199, C6200, $B$1:B6199, {"MAL ALIMI","ÜRETİM GİRİŞ"})) - VLOOKUP(C6200, 'STOK RAPORU'!$C$2:$I$1000, 4, 0))), 0)</f>
        <v>0</v>
      </c>
      <c r="U6200" s="22">
        <f t="shared" si="388"/>
        <v>0</v>
      </c>
      <c r="V6200">
        <f t="shared" si="389"/>
        <v>0</v>
      </c>
      <c r="W6200" s="22">
        <f t="shared" si="390"/>
        <v>0</v>
      </c>
    </row>
    <row r="6201" spans="1:23" hidden="1" x14ac:dyDescent="0.25">
      <c r="A6201" s="45">
        <v>46123</v>
      </c>
      <c r="B6201" s="46" t="s">
        <v>334</v>
      </c>
      <c r="C6201" s="4" t="s">
        <v>140</v>
      </c>
      <c r="D6201" s="4"/>
      <c r="E6201" s="4"/>
      <c r="F6201" s="46" t="s">
        <v>2999</v>
      </c>
      <c r="G6201" s="4" t="s">
        <v>336</v>
      </c>
      <c r="H6201" s="4" t="s">
        <v>289</v>
      </c>
      <c r="I6201" s="4">
        <v>0.19666666666666666</v>
      </c>
      <c r="J6201" s="21">
        <v>300</v>
      </c>
      <c r="K6201" s="21">
        <v>0</v>
      </c>
      <c r="L6201" s="5">
        <v>0</v>
      </c>
      <c r="M6201" s="4"/>
      <c r="N6201" s="4"/>
      <c r="O6201" s="5"/>
      <c r="P6201" s="5"/>
      <c r="Q6201" s="21">
        <v>59</v>
      </c>
      <c r="R6201" s="21">
        <v>0</v>
      </c>
      <c r="S6201" s="5">
        <f t="shared" si="387"/>
        <v>17632.646633419292</v>
      </c>
      <c r="T6201" cm="1">
        <f t="array" ref="T6201">IF(OR(B6201="MAL ALIMI", B6201="ÜRETİM GİRİŞ"), MIN(I6201, MAX(0, I6201 + SUM(SUMIFS($I$1:I6200, $C$1:C6200, C6201, $B$1:B6200, {"MAL ALIMI","ÜRETİM GİRİŞ"})) - VLOOKUP(C6201, 'STOK RAPORU'!$C$2:$I$1000, 4, 0))), 0)</f>
        <v>0</v>
      </c>
      <c r="U6201" s="22">
        <f t="shared" si="388"/>
        <v>0</v>
      </c>
      <c r="V6201">
        <f t="shared" si="389"/>
        <v>0</v>
      </c>
      <c r="W6201" s="22">
        <f t="shared" si="390"/>
        <v>0</v>
      </c>
    </row>
    <row r="6202" spans="1:23" hidden="1" x14ac:dyDescent="0.25">
      <c r="A6202" s="45">
        <v>46123</v>
      </c>
      <c r="B6202" s="46" t="s">
        <v>334</v>
      </c>
      <c r="C6202" s="4" t="s">
        <v>1176</v>
      </c>
      <c r="D6202" s="4"/>
      <c r="E6202" s="4"/>
      <c r="F6202" s="46" t="s">
        <v>2999</v>
      </c>
      <c r="G6202" s="4" t="s">
        <v>336</v>
      </c>
      <c r="H6202" s="4" t="s">
        <v>289</v>
      </c>
      <c r="I6202" s="4">
        <v>0.1</v>
      </c>
      <c r="J6202" s="21">
        <v>1700</v>
      </c>
      <c r="K6202" s="21">
        <v>0</v>
      </c>
      <c r="L6202" s="5">
        <v>0</v>
      </c>
      <c r="M6202" s="4"/>
      <c r="N6202" s="4"/>
      <c r="O6202" s="5"/>
      <c r="P6202" s="5"/>
      <c r="Q6202" s="21">
        <v>170</v>
      </c>
      <c r="R6202" s="21">
        <v>0</v>
      </c>
      <c r="S6202" s="5">
        <f t="shared" si="387"/>
        <v>17802.646633419292</v>
      </c>
      <c r="T6202" cm="1">
        <f t="array" ref="T6202">IF(OR(B6202="MAL ALIMI", B6202="ÜRETİM GİRİŞ"), MIN(I6202, MAX(0, I6202 + SUM(SUMIFS($I$1:I6201, $C$1:C6201, C6202, $B$1:B6201, {"MAL ALIMI","ÜRETİM GİRİŞ"})) - VLOOKUP(C6202, 'STOK RAPORU'!$C$2:$I$1000, 4, 0))), 0)</f>
        <v>0</v>
      </c>
      <c r="U6202" s="22">
        <f t="shared" si="388"/>
        <v>0</v>
      </c>
      <c r="V6202">
        <f t="shared" si="389"/>
        <v>0</v>
      </c>
      <c r="W6202" s="22">
        <f t="shared" si="390"/>
        <v>0</v>
      </c>
    </row>
    <row r="6203" spans="1:23" hidden="1" x14ac:dyDescent="0.25">
      <c r="A6203" s="45">
        <v>46123</v>
      </c>
      <c r="B6203" s="46" t="s">
        <v>334</v>
      </c>
      <c r="C6203" s="4" t="s">
        <v>238</v>
      </c>
      <c r="D6203" s="4"/>
      <c r="E6203" s="4"/>
      <c r="F6203" s="46" t="s">
        <v>2999</v>
      </c>
      <c r="G6203" s="4" t="s">
        <v>336</v>
      </c>
      <c r="H6203" s="4" t="s">
        <v>289</v>
      </c>
      <c r="I6203" s="4">
        <v>0.1</v>
      </c>
      <c r="J6203" s="21">
        <v>900</v>
      </c>
      <c r="K6203" s="21">
        <v>0</v>
      </c>
      <c r="L6203" s="5">
        <v>0</v>
      </c>
      <c r="M6203" s="4"/>
      <c r="N6203" s="4"/>
      <c r="O6203" s="5"/>
      <c r="P6203" s="5"/>
      <c r="Q6203" s="21">
        <v>90</v>
      </c>
      <c r="R6203" s="21">
        <v>0</v>
      </c>
      <c r="S6203" s="5">
        <f t="shared" si="387"/>
        <v>17892.646633419292</v>
      </c>
      <c r="T6203" cm="1">
        <f t="array" ref="T6203">IF(OR(B6203="MAL ALIMI", B6203="ÜRETİM GİRİŞ"), MIN(I6203, MAX(0, I6203 + SUM(SUMIFS($I$1:I6202, $C$1:C6202, C6203, $B$1:B6202, {"MAL ALIMI","ÜRETİM GİRİŞ"})) - VLOOKUP(C6203, 'STOK RAPORU'!$C$2:$I$1000, 4, 0))), 0)</f>
        <v>0</v>
      </c>
      <c r="U6203" s="22">
        <f t="shared" si="388"/>
        <v>0</v>
      </c>
      <c r="V6203">
        <f t="shared" si="389"/>
        <v>0</v>
      </c>
      <c r="W6203" s="22">
        <f t="shared" si="390"/>
        <v>0</v>
      </c>
    </row>
    <row r="6204" spans="1:23" hidden="1" x14ac:dyDescent="0.25">
      <c r="A6204" s="41">
        <v>46123</v>
      </c>
      <c r="B6204" s="42" t="s">
        <v>334</v>
      </c>
      <c r="C6204" s="42" t="s">
        <v>825</v>
      </c>
      <c r="D6204" s="42"/>
      <c r="E6204" s="42"/>
      <c r="F6204" s="42" t="s">
        <v>3000</v>
      </c>
      <c r="G6204" s="42" t="s">
        <v>1771</v>
      </c>
      <c r="H6204" s="42" t="s">
        <v>289</v>
      </c>
      <c r="I6204" s="42">
        <v>1</v>
      </c>
      <c r="J6204" s="43">
        <v>180</v>
      </c>
      <c r="K6204" s="21">
        <v>0</v>
      </c>
      <c r="L6204" s="44">
        <v>0</v>
      </c>
      <c r="M6204" s="42"/>
      <c r="N6204" s="42"/>
      <c r="O6204" s="44"/>
      <c r="P6204" s="44"/>
      <c r="Q6204" s="43">
        <v>180</v>
      </c>
      <c r="R6204" s="43">
        <v>0</v>
      </c>
      <c r="S6204" s="5">
        <f t="shared" si="387"/>
        <v>18072.646633419292</v>
      </c>
      <c r="T6204" cm="1">
        <f t="array" ref="T6204">IF(OR(B6204="MAL ALIMI", B6204="ÜRETİM GİRİŞ"), MIN(I6204, MAX(0, I6204 + SUM(SUMIFS($I$1:I6203, $C$1:C6203, C6204, $B$1:B6203, {"MAL ALIMI","ÜRETİM GİRİŞ"})) - VLOOKUP(C6204, 'STOK RAPORU'!$C$2:$I$1000, 4, 0))), 0)</f>
        <v>0</v>
      </c>
      <c r="U6204" s="22">
        <f t="shared" si="388"/>
        <v>0</v>
      </c>
      <c r="V6204">
        <f t="shared" si="389"/>
        <v>0</v>
      </c>
      <c r="W6204" s="22">
        <f t="shared" si="390"/>
        <v>0</v>
      </c>
    </row>
    <row r="6205" spans="1:23" hidden="1" x14ac:dyDescent="0.25">
      <c r="A6205" s="45">
        <v>46123</v>
      </c>
      <c r="B6205" s="46" t="s">
        <v>334</v>
      </c>
      <c r="C6205" s="4" t="s">
        <v>157</v>
      </c>
      <c r="D6205" s="4"/>
      <c r="E6205" s="4"/>
      <c r="F6205" s="46" t="s">
        <v>3001</v>
      </c>
      <c r="G6205" s="4" t="s">
        <v>1945</v>
      </c>
      <c r="H6205" s="4" t="s">
        <v>289</v>
      </c>
      <c r="I6205" s="4">
        <v>1</v>
      </c>
      <c r="J6205" s="21">
        <v>200</v>
      </c>
      <c r="K6205" s="21">
        <v>0</v>
      </c>
      <c r="L6205" s="5">
        <v>0</v>
      </c>
      <c r="M6205" s="4"/>
      <c r="N6205" s="4"/>
      <c r="O6205" s="5"/>
      <c r="P6205" s="5"/>
      <c r="Q6205" s="21">
        <v>200</v>
      </c>
      <c r="R6205" s="21">
        <v>0</v>
      </c>
      <c r="S6205" s="5">
        <f t="shared" si="387"/>
        <v>18272.646633419292</v>
      </c>
      <c r="T6205" cm="1">
        <f t="array" ref="T6205">IF(OR(B6205="MAL ALIMI", B6205="ÜRETİM GİRİŞ"), MIN(I6205, MAX(0, I6205 + SUM(SUMIFS($I$1:I6204, $C$1:C6204, C6205, $B$1:B6204, {"MAL ALIMI","ÜRETİM GİRİŞ"})) - VLOOKUP(C6205, 'STOK RAPORU'!$C$2:$I$1000, 4, 0))), 0)</f>
        <v>0</v>
      </c>
      <c r="U6205" s="22">
        <f t="shared" si="388"/>
        <v>0</v>
      </c>
      <c r="V6205">
        <f t="shared" si="389"/>
        <v>0</v>
      </c>
      <c r="W6205" s="22">
        <f t="shared" si="390"/>
        <v>0</v>
      </c>
    </row>
    <row r="6206" spans="1:23" hidden="1" x14ac:dyDescent="0.25">
      <c r="A6206" s="45">
        <v>46123</v>
      </c>
      <c r="B6206" s="46" t="s">
        <v>334</v>
      </c>
      <c r="C6206" s="4" t="s">
        <v>161</v>
      </c>
      <c r="D6206" s="4"/>
      <c r="E6206" s="4" t="s">
        <v>921</v>
      </c>
      <c r="F6206" s="46" t="s">
        <v>3002</v>
      </c>
      <c r="G6206" s="4" t="s">
        <v>336</v>
      </c>
      <c r="H6206" s="4" t="s">
        <v>380</v>
      </c>
      <c r="I6206" s="4">
        <v>1</v>
      </c>
      <c r="J6206" s="21">
        <v>250</v>
      </c>
      <c r="K6206" s="21">
        <v>250</v>
      </c>
      <c r="L6206" s="5">
        <v>0</v>
      </c>
      <c r="M6206" s="4"/>
      <c r="N6206" s="4"/>
      <c r="O6206" s="5"/>
      <c r="P6206" s="5"/>
      <c r="Q6206" s="21">
        <v>0</v>
      </c>
      <c r="R6206" s="21">
        <v>0</v>
      </c>
      <c r="S6206" s="5">
        <f t="shared" si="387"/>
        <v>18272.646633419292</v>
      </c>
      <c r="T6206" cm="1">
        <f t="array" ref="T6206">IF(OR(B6206="MAL ALIMI", B6206="ÜRETİM GİRİŞ"), MIN(I6206, MAX(0, I6206 + SUM(SUMIFS($I$1:I6205, $C$1:C6205, C6206, $B$1:B6205, {"MAL ALIMI","ÜRETİM GİRİŞ"})) - VLOOKUP(C6206, 'STOK RAPORU'!$C$2:$I$1000, 4, 0))), 0)</f>
        <v>0</v>
      </c>
      <c r="U6206" s="22">
        <f t="shared" si="388"/>
        <v>0</v>
      </c>
      <c r="V6206">
        <f t="shared" si="389"/>
        <v>0</v>
      </c>
      <c r="W6206" s="22">
        <f t="shared" si="390"/>
        <v>0</v>
      </c>
    </row>
    <row r="6207" spans="1:23" hidden="1" x14ac:dyDescent="0.25">
      <c r="A6207" s="45">
        <v>46123</v>
      </c>
      <c r="B6207" s="46" t="s">
        <v>334</v>
      </c>
      <c r="C6207" s="4" t="s">
        <v>160</v>
      </c>
      <c r="D6207" s="4"/>
      <c r="E6207" s="4" t="s">
        <v>921</v>
      </c>
      <c r="F6207" s="46" t="s">
        <v>3002</v>
      </c>
      <c r="G6207" s="4" t="s">
        <v>336</v>
      </c>
      <c r="H6207" s="4" t="s">
        <v>380</v>
      </c>
      <c r="I6207" s="4">
        <v>1</v>
      </c>
      <c r="J6207" s="21">
        <v>250</v>
      </c>
      <c r="K6207" s="21">
        <v>250</v>
      </c>
      <c r="L6207" s="5">
        <v>0</v>
      </c>
      <c r="M6207" s="4"/>
      <c r="N6207" s="4"/>
      <c r="O6207" s="5"/>
      <c r="P6207" s="5"/>
      <c r="Q6207" s="21">
        <v>0</v>
      </c>
      <c r="R6207" s="21">
        <v>0</v>
      </c>
      <c r="S6207" s="5">
        <f t="shared" si="387"/>
        <v>18272.646633419292</v>
      </c>
      <c r="T6207" cm="1">
        <f t="array" ref="T6207">IF(OR(B6207="MAL ALIMI", B6207="ÜRETİM GİRİŞ"), MIN(I6207, MAX(0, I6207 + SUM(SUMIFS($I$1:I6206, $C$1:C6206, C6207, $B$1:B6206, {"MAL ALIMI","ÜRETİM GİRİŞ"})) - VLOOKUP(C6207, 'STOK RAPORU'!$C$2:$I$1000, 4, 0))), 0)</f>
        <v>0</v>
      </c>
      <c r="U6207" s="22">
        <f t="shared" si="388"/>
        <v>0</v>
      </c>
      <c r="V6207">
        <f t="shared" si="389"/>
        <v>0</v>
      </c>
      <c r="W6207" s="22">
        <f t="shared" si="390"/>
        <v>0</v>
      </c>
    </row>
    <row r="6208" spans="1:23" hidden="1" x14ac:dyDescent="0.25">
      <c r="A6208" s="45">
        <v>46123</v>
      </c>
      <c r="B6208" s="46" t="s">
        <v>334</v>
      </c>
      <c r="C6208" s="4" t="s">
        <v>161</v>
      </c>
      <c r="D6208" s="4"/>
      <c r="E6208" s="4"/>
      <c r="F6208" s="46" t="s">
        <v>3003</v>
      </c>
      <c r="G6208" s="4" t="s">
        <v>336</v>
      </c>
      <c r="H6208" s="4" t="s">
        <v>289</v>
      </c>
      <c r="I6208" s="4">
        <v>0.5</v>
      </c>
      <c r="J6208" s="21">
        <v>250</v>
      </c>
      <c r="K6208" s="21">
        <v>0</v>
      </c>
      <c r="L6208" s="5">
        <v>0</v>
      </c>
      <c r="M6208" s="4"/>
      <c r="N6208" s="4"/>
      <c r="O6208" s="5"/>
      <c r="P6208" s="5"/>
      <c r="Q6208" s="21">
        <v>125</v>
      </c>
      <c r="R6208" s="21">
        <v>0</v>
      </c>
      <c r="S6208" s="5">
        <f t="shared" si="387"/>
        <v>18397.646633419292</v>
      </c>
      <c r="T6208" cm="1">
        <f t="array" ref="T6208">IF(OR(B6208="MAL ALIMI", B6208="ÜRETİM GİRİŞ"), MIN(I6208, MAX(0, I6208 + SUM(SUMIFS($I$1:I6207, $C$1:C6207, C6208, $B$1:B6207, {"MAL ALIMI","ÜRETİM GİRİŞ"})) - VLOOKUP(C6208, 'STOK RAPORU'!$C$2:$I$1000, 4, 0))), 0)</f>
        <v>0</v>
      </c>
      <c r="U6208" s="22">
        <f t="shared" si="388"/>
        <v>0</v>
      </c>
      <c r="V6208">
        <f t="shared" si="389"/>
        <v>0</v>
      </c>
      <c r="W6208" s="22">
        <f t="shared" si="390"/>
        <v>0</v>
      </c>
    </row>
    <row r="6209" spans="1:23" hidden="1" x14ac:dyDescent="0.25">
      <c r="A6209" s="45">
        <v>46123</v>
      </c>
      <c r="B6209" s="46" t="s">
        <v>334</v>
      </c>
      <c r="C6209" s="4" t="s">
        <v>160</v>
      </c>
      <c r="D6209" s="4"/>
      <c r="E6209" s="4"/>
      <c r="F6209" s="46" t="s">
        <v>3003</v>
      </c>
      <c r="G6209" s="4" t="s">
        <v>336</v>
      </c>
      <c r="H6209" s="4" t="s">
        <v>289</v>
      </c>
      <c r="I6209" s="4">
        <v>0.5</v>
      </c>
      <c r="J6209" s="21">
        <v>250</v>
      </c>
      <c r="K6209" s="21">
        <v>0</v>
      </c>
      <c r="L6209" s="5">
        <v>0</v>
      </c>
      <c r="M6209" s="4"/>
      <c r="N6209" s="4"/>
      <c r="O6209" s="5"/>
      <c r="P6209" s="5"/>
      <c r="Q6209" s="21">
        <v>125</v>
      </c>
      <c r="R6209" s="21">
        <v>0</v>
      </c>
      <c r="S6209" s="5">
        <f t="shared" si="387"/>
        <v>18522.646633419292</v>
      </c>
      <c r="T6209" cm="1">
        <f t="array" ref="T6209">IF(OR(B6209="MAL ALIMI", B6209="ÜRETİM GİRİŞ"), MIN(I6209, MAX(0, I6209 + SUM(SUMIFS($I$1:I6208, $C$1:C6208, C6209, $B$1:B6208, {"MAL ALIMI","ÜRETİM GİRİŞ"})) - VLOOKUP(C6209, 'STOK RAPORU'!$C$2:$I$1000, 4, 0))), 0)</f>
        <v>0</v>
      </c>
      <c r="U6209" s="22">
        <f t="shared" si="388"/>
        <v>0</v>
      </c>
      <c r="V6209">
        <f t="shared" si="389"/>
        <v>0</v>
      </c>
      <c r="W6209" s="22">
        <f t="shared" si="390"/>
        <v>0</v>
      </c>
    </row>
    <row r="6210" spans="1:23" hidden="1" x14ac:dyDescent="0.25">
      <c r="A6210" s="45">
        <v>46123</v>
      </c>
      <c r="B6210" s="46" t="s">
        <v>334</v>
      </c>
      <c r="C6210" s="4" t="s">
        <v>1897</v>
      </c>
      <c r="D6210" s="4"/>
      <c r="E6210" s="4" t="s">
        <v>921</v>
      </c>
      <c r="F6210" s="46" t="s">
        <v>3006</v>
      </c>
      <c r="G6210" s="4" t="s">
        <v>336</v>
      </c>
      <c r="H6210" s="4" t="s">
        <v>380</v>
      </c>
      <c r="I6210" s="4">
        <v>1</v>
      </c>
      <c r="J6210" s="21">
        <v>300</v>
      </c>
      <c r="K6210" s="21">
        <v>300</v>
      </c>
      <c r="L6210" s="5">
        <v>0</v>
      </c>
      <c r="M6210" s="4"/>
      <c r="N6210" s="4"/>
      <c r="O6210" s="5"/>
      <c r="P6210" s="5"/>
      <c r="Q6210" s="21">
        <v>0</v>
      </c>
      <c r="R6210" s="21">
        <v>0</v>
      </c>
      <c r="S6210" s="5">
        <f t="shared" si="387"/>
        <v>18522.646633419292</v>
      </c>
      <c r="T6210" cm="1">
        <f t="array" ref="T6210">IF(OR(B6210="MAL ALIMI", B6210="ÜRETİM GİRİŞ"), MIN(I6210, MAX(0, I6210 + SUM(SUMIFS($I$1:I6209, $C$1:C6209, C6210, $B$1:B6209, {"MAL ALIMI","ÜRETİM GİRİŞ"})) - VLOOKUP(C6210, 'STOK RAPORU'!$C$2:$I$1000, 4, 0))), 0)</f>
        <v>0</v>
      </c>
      <c r="U6210" s="22">
        <f t="shared" si="388"/>
        <v>0</v>
      </c>
      <c r="V6210">
        <f t="shared" si="389"/>
        <v>0</v>
      </c>
      <c r="W6210" s="22">
        <f t="shared" si="390"/>
        <v>0</v>
      </c>
    </row>
    <row r="6211" spans="1:23" hidden="1" x14ac:dyDescent="0.25">
      <c r="A6211" s="45">
        <v>46124</v>
      </c>
      <c r="B6211" s="46" t="s">
        <v>334</v>
      </c>
      <c r="C6211" s="4" t="s">
        <v>1499</v>
      </c>
      <c r="D6211" s="4"/>
      <c r="E6211" s="4"/>
      <c r="F6211" s="46" t="s">
        <v>3007</v>
      </c>
      <c r="G6211" s="4" t="s">
        <v>336</v>
      </c>
      <c r="H6211" s="4" t="s">
        <v>289</v>
      </c>
      <c r="I6211" s="4">
        <v>1</v>
      </c>
      <c r="J6211" s="21">
        <v>550</v>
      </c>
      <c r="K6211" s="21">
        <v>0</v>
      </c>
      <c r="L6211" s="5">
        <v>0</v>
      </c>
      <c r="M6211" s="4"/>
      <c r="N6211" s="4"/>
      <c r="O6211" s="5"/>
      <c r="P6211" s="5"/>
      <c r="Q6211" s="21">
        <v>550</v>
      </c>
      <c r="R6211" s="21">
        <v>0</v>
      </c>
      <c r="S6211" s="5">
        <f t="shared" si="387"/>
        <v>19072.646633419292</v>
      </c>
      <c r="T6211" cm="1">
        <f t="array" ref="T6211">IF(OR(B6211="MAL ALIMI", B6211="ÜRETİM GİRİŞ"), MIN(I6211, MAX(0, I6211 + SUM(SUMIFS($I$1:I6210, $C$1:C6210, C6211, $B$1:B6210, {"MAL ALIMI","ÜRETİM GİRİŞ"})) - VLOOKUP(C6211, 'STOK RAPORU'!$C$2:$I$1000, 4, 0))), 0)</f>
        <v>0</v>
      </c>
      <c r="U6211" s="22">
        <f t="shared" si="388"/>
        <v>0</v>
      </c>
      <c r="V6211">
        <f t="shared" si="389"/>
        <v>0</v>
      </c>
      <c r="W6211" s="22">
        <f t="shared" si="390"/>
        <v>0</v>
      </c>
    </row>
    <row r="6212" spans="1:23" hidden="1" x14ac:dyDescent="0.25">
      <c r="A6212" s="45">
        <v>46124</v>
      </c>
      <c r="B6212" s="46" t="s">
        <v>334</v>
      </c>
      <c r="C6212" s="4" t="s">
        <v>194</v>
      </c>
      <c r="D6212" s="4"/>
      <c r="E6212" s="4" t="s">
        <v>921</v>
      </c>
      <c r="F6212" s="46" t="s">
        <v>3008</v>
      </c>
      <c r="G6212" s="4" t="s">
        <v>336</v>
      </c>
      <c r="H6212" s="4" t="s">
        <v>380</v>
      </c>
      <c r="I6212" s="4">
        <v>0.5</v>
      </c>
      <c r="J6212" s="21">
        <v>750</v>
      </c>
      <c r="K6212" s="21">
        <v>375</v>
      </c>
      <c r="L6212" s="5">
        <v>0</v>
      </c>
      <c r="M6212" s="4"/>
      <c r="N6212" s="4"/>
      <c r="O6212" s="5"/>
      <c r="P6212" s="5"/>
      <c r="Q6212" s="21">
        <v>0</v>
      </c>
      <c r="R6212" s="21">
        <v>0</v>
      </c>
      <c r="S6212" s="5">
        <f t="shared" ref="S6212:S6275" si="391">S6211+Q6212-R6212</f>
        <v>19072.646633419292</v>
      </c>
      <c r="T6212" cm="1">
        <f t="array" ref="T6212">IF(OR(B6212="MAL ALIMI", B6212="ÜRETİM GİRİŞ"), MIN(I6212, MAX(0, I6212 + SUM(SUMIFS($I$1:I6211, $C$1:C6211, C6212, $B$1:B6211, {"MAL ALIMI","ÜRETİM GİRİŞ"})) - VLOOKUP(C6212, 'STOK RAPORU'!$C$2:$I$1000, 4, 0))), 0)</f>
        <v>0</v>
      </c>
      <c r="U6212" s="22">
        <f t="shared" si="388"/>
        <v>0</v>
      </c>
      <c r="V6212">
        <f t="shared" si="389"/>
        <v>0</v>
      </c>
      <c r="W6212" s="22">
        <f t="shared" si="390"/>
        <v>0</v>
      </c>
    </row>
    <row r="6213" spans="1:23" hidden="1" x14ac:dyDescent="0.25">
      <c r="A6213" s="45">
        <v>46124</v>
      </c>
      <c r="B6213" s="46" t="s">
        <v>334</v>
      </c>
      <c r="C6213" s="4" t="s">
        <v>816</v>
      </c>
      <c r="D6213" s="4"/>
      <c r="E6213" s="4" t="s">
        <v>921</v>
      </c>
      <c r="F6213" s="46" t="s">
        <v>3008</v>
      </c>
      <c r="G6213" s="4" t="s">
        <v>336</v>
      </c>
      <c r="H6213" s="4" t="s">
        <v>380</v>
      </c>
      <c r="I6213" s="4">
        <v>1</v>
      </c>
      <c r="J6213" s="21">
        <v>550</v>
      </c>
      <c r="K6213" s="21">
        <v>550</v>
      </c>
      <c r="L6213" s="5">
        <v>0</v>
      </c>
      <c r="M6213" s="4"/>
      <c r="N6213" s="4"/>
      <c r="O6213" s="5"/>
      <c r="P6213" s="5"/>
      <c r="Q6213" s="21">
        <v>0</v>
      </c>
      <c r="R6213" s="21">
        <v>0</v>
      </c>
      <c r="S6213" s="5">
        <f t="shared" si="391"/>
        <v>19072.646633419292</v>
      </c>
      <c r="T6213" cm="1">
        <f t="array" ref="T6213">IF(OR(B6213="MAL ALIMI", B6213="ÜRETİM GİRİŞ"), MIN(I6213, MAX(0, I6213 + SUM(SUMIFS($I$1:I6212, $C$1:C6212, C6213, $B$1:B6212, {"MAL ALIMI","ÜRETİM GİRİŞ"})) - VLOOKUP(C6213, 'STOK RAPORU'!$C$2:$I$1000, 4, 0))), 0)</f>
        <v>0</v>
      </c>
      <c r="U6213" s="22">
        <f t="shared" si="388"/>
        <v>0</v>
      </c>
      <c r="V6213">
        <f t="shared" si="389"/>
        <v>0</v>
      </c>
      <c r="W6213" s="22">
        <f t="shared" si="390"/>
        <v>0</v>
      </c>
    </row>
    <row r="6214" spans="1:23" hidden="1" x14ac:dyDescent="0.25">
      <c r="A6214" s="45">
        <v>46124</v>
      </c>
      <c r="B6214" s="46" t="s">
        <v>334</v>
      </c>
      <c r="C6214" s="4" t="s">
        <v>230</v>
      </c>
      <c r="D6214" s="4"/>
      <c r="E6214" s="4" t="s">
        <v>921</v>
      </c>
      <c r="F6214" s="46" t="s">
        <v>3008</v>
      </c>
      <c r="G6214" s="4" t="s">
        <v>336</v>
      </c>
      <c r="H6214" s="4" t="s">
        <v>380</v>
      </c>
      <c r="I6214" s="4">
        <v>1</v>
      </c>
      <c r="J6214" s="21">
        <v>200</v>
      </c>
      <c r="K6214" s="21">
        <v>200</v>
      </c>
      <c r="L6214" s="5">
        <v>0</v>
      </c>
      <c r="M6214" s="4"/>
      <c r="N6214" s="4"/>
      <c r="O6214" s="5"/>
      <c r="P6214" s="5"/>
      <c r="Q6214" s="21">
        <v>0</v>
      </c>
      <c r="R6214" s="21">
        <v>0</v>
      </c>
      <c r="S6214" s="5">
        <f t="shared" si="391"/>
        <v>19072.646633419292</v>
      </c>
      <c r="T6214" cm="1">
        <f t="array" ref="T6214">IF(OR(B6214="MAL ALIMI", B6214="ÜRETİM GİRİŞ"), MIN(I6214, MAX(0, I6214 + SUM(SUMIFS($I$1:I6213, $C$1:C6213, C6214, $B$1:B6213, {"MAL ALIMI","ÜRETİM GİRİŞ"})) - VLOOKUP(C6214, 'STOK RAPORU'!$C$2:$I$1000, 4, 0))), 0)</f>
        <v>0</v>
      </c>
      <c r="U6214" s="22">
        <f t="shared" si="388"/>
        <v>0</v>
      </c>
      <c r="V6214">
        <f t="shared" si="389"/>
        <v>0</v>
      </c>
      <c r="W6214" s="22">
        <f t="shared" si="390"/>
        <v>0</v>
      </c>
    </row>
    <row r="6215" spans="1:23" hidden="1" x14ac:dyDescent="0.25">
      <c r="A6215" s="45">
        <v>46124</v>
      </c>
      <c r="B6215" s="46" t="s">
        <v>334</v>
      </c>
      <c r="C6215" s="4" t="s">
        <v>840</v>
      </c>
      <c r="D6215" s="4"/>
      <c r="E6215" s="4" t="s">
        <v>921</v>
      </c>
      <c r="F6215" s="46" t="s">
        <v>3008</v>
      </c>
      <c r="G6215" s="4" t="s">
        <v>336</v>
      </c>
      <c r="H6215" s="4" t="s">
        <v>380</v>
      </c>
      <c r="I6215" s="4">
        <v>0.25</v>
      </c>
      <c r="J6215" s="21">
        <v>360</v>
      </c>
      <c r="K6215" s="21">
        <v>90</v>
      </c>
      <c r="L6215" s="5">
        <v>0</v>
      </c>
      <c r="M6215" s="4"/>
      <c r="N6215" s="4"/>
      <c r="O6215" s="5"/>
      <c r="P6215" s="5"/>
      <c r="Q6215" s="21">
        <v>0</v>
      </c>
      <c r="R6215" s="21">
        <v>0</v>
      </c>
      <c r="S6215" s="5">
        <f t="shared" si="391"/>
        <v>19072.646633419292</v>
      </c>
      <c r="T6215" cm="1">
        <f t="array" ref="T6215">IF(OR(B6215="MAL ALIMI", B6215="ÜRETİM GİRİŞ"), MIN(I6215, MAX(0, I6215 + SUM(SUMIFS($I$1:I6214, $C$1:C6214, C6215, $B$1:B6214, {"MAL ALIMI","ÜRETİM GİRİŞ"})) - VLOOKUP(C6215, 'STOK RAPORU'!$C$2:$I$1000, 4, 0))), 0)</f>
        <v>0</v>
      </c>
      <c r="U6215" s="22">
        <f t="shared" si="388"/>
        <v>0</v>
      </c>
      <c r="V6215">
        <f t="shared" si="389"/>
        <v>0</v>
      </c>
      <c r="W6215" s="22">
        <f t="shared" si="390"/>
        <v>0</v>
      </c>
    </row>
    <row r="6216" spans="1:23" hidden="1" x14ac:dyDescent="0.25">
      <c r="A6216" s="45">
        <v>46124</v>
      </c>
      <c r="B6216" s="46" t="s">
        <v>334</v>
      </c>
      <c r="C6216" s="4" t="s">
        <v>529</v>
      </c>
      <c r="D6216" s="4"/>
      <c r="E6216" s="4" t="s">
        <v>921</v>
      </c>
      <c r="F6216" s="46" t="s">
        <v>3008</v>
      </c>
      <c r="G6216" s="4" t="s">
        <v>336</v>
      </c>
      <c r="H6216" s="4" t="s">
        <v>380</v>
      </c>
      <c r="I6216" s="4">
        <v>0.1</v>
      </c>
      <c r="J6216" s="21">
        <v>600</v>
      </c>
      <c r="K6216" s="21">
        <v>60</v>
      </c>
      <c r="L6216" s="5">
        <v>0</v>
      </c>
      <c r="M6216" s="4"/>
      <c r="N6216" s="4"/>
      <c r="O6216" s="5"/>
      <c r="P6216" s="5"/>
      <c r="Q6216" s="21">
        <v>0</v>
      </c>
      <c r="R6216" s="21">
        <v>0</v>
      </c>
      <c r="S6216" s="5">
        <f t="shared" si="391"/>
        <v>19072.646633419292</v>
      </c>
      <c r="T6216" cm="1">
        <f t="array" ref="T6216">IF(OR(B6216="MAL ALIMI", B6216="ÜRETİM GİRİŞ"), MIN(I6216, MAX(0, I6216 + SUM(SUMIFS($I$1:I6215, $C$1:C6215, C6216, $B$1:B6215, {"MAL ALIMI","ÜRETİM GİRİŞ"})) - VLOOKUP(C6216, 'STOK RAPORU'!$C$2:$I$1000, 4, 0))), 0)</f>
        <v>0</v>
      </c>
      <c r="U6216" s="22">
        <f t="shared" si="388"/>
        <v>0</v>
      </c>
      <c r="V6216">
        <f t="shared" si="389"/>
        <v>0</v>
      </c>
      <c r="W6216" s="22">
        <f t="shared" si="390"/>
        <v>0</v>
      </c>
    </row>
    <row r="6217" spans="1:23" hidden="1" x14ac:dyDescent="0.25">
      <c r="A6217" s="45">
        <v>46124</v>
      </c>
      <c r="B6217" s="46" t="s">
        <v>334</v>
      </c>
      <c r="C6217" s="4" t="s">
        <v>179</v>
      </c>
      <c r="D6217" s="4"/>
      <c r="E6217" s="4" t="s">
        <v>921</v>
      </c>
      <c r="F6217" s="46" t="s">
        <v>3008</v>
      </c>
      <c r="G6217" s="4" t="s">
        <v>336</v>
      </c>
      <c r="H6217" s="4" t="s">
        <v>380</v>
      </c>
      <c r="I6217" s="4">
        <v>1</v>
      </c>
      <c r="J6217" s="21">
        <v>160</v>
      </c>
      <c r="K6217" s="21">
        <v>160</v>
      </c>
      <c r="L6217" s="5">
        <v>0</v>
      </c>
      <c r="M6217" s="4"/>
      <c r="N6217" s="4"/>
      <c r="O6217" s="5"/>
      <c r="P6217" s="5"/>
      <c r="Q6217" s="21">
        <v>0</v>
      </c>
      <c r="R6217" s="21">
        <v>0</v>
      </c>
      <c r="S6217" s="5">
        <f t="shared" si="391"/>
        <v>19072.646633419292</v>
      </c>
      <c r="T6217" cm="1">
        <f t="array" ref="T6217">IF(OR(B6217="MAL ALIMI", B6217="ÜRETİM GİRİŞ"), MIN(I6217, MAX(0, I6217 + SUM(SUMIFS($I$1:I6216, $C$1:C6216, C6217, $B$1:B6216, {"MAL ALIMI","ÜRETİM GİRİŞ"})) - VLOOKUP(C6217, 'STOK RAPORU'!$C$2:$I$1000, 4, 0))), 0)</f>
        <v>0</v>
      </c>
      <c r="U6217" s="22">
        <f t="shared" si="388"/>
        <v>0</v>
      </c>
      <c r="V6217">
        <f t="shared" si="389"/>
        <v>0</v>
      </c>
      <c r="W6217" s="22">
        <f t="shared" si="390"/>
        <v>0</v>
      </c>
    </row>
    <row r="6218" spans="1:23" hidden="1" x14ac:dyDescent="0.25">
      <c r="A6218" s="45">
        <v>46124</v>
      </c>
      <c r="B6218" s="46" t="s">
        <v>334</v>
      </c>
      <c r="C6218" s="4" t="s">
        <v>226</v>
      </c>
      <c r="D6218" s="4"/>
      <c r="E6218" s="4" t="s">
        <v>921</v>
      </c>
      <c r="F6218" s="46" t="s">
        <v>3008</v>
      </c>
      <c r="G6218" s="4" t="s">
        <v>336</v>
      </c>
      <c r="H6218" s="4" t="s">
        <v>380</v>
      </c>
      <c r="I6218" s="4">
        <v>0.22800000000000001</v>
      </c>
      <c r="J6218" s="21">
        <v>220</v>
      </c>
      <c r="K6218" s="21">
        <v>50.160000000000004</v>
      </c>
      <c r="L6218" s="5">
        <v>0</v>
      </c>
      <c r="M6218" s="4"/>
      <c r="N6218" s="4"/>
      <c r="O6218" s="5"/>
      <c r="P6218" s="5"/>
      <c r="Q6218" s="21">
        <v>0</v>
      </c>
      <c r="R6218" s="21">
        <v>0</v>
      </c>
      <c r="S6218" s="5">
        <f t="shared" si="391"/>
        <v>19072.646633419292</v>
      </c>
      <c r="T6218" cm="1">
        <f t="array" ref="T6218">IF(OR(B6218="MAL ALIMI", B6218="ÜRETİM GİRİŞ"), MIN(I6218, MAX(0, I6218 + SUM(SUMIFS($I$1:I6217, $C$1:C6217, C6218, $B$1:B6217, {"MAL ALIMI","ÜRETİM GİRİŞ"})) - VLOOKUP(C6218, 'STOK RAPORU'!$C$2:$I$1000, 4, 0))), 0)</f>
        <v>0</v>
      </c>
      <c r="U6218" s="22">
        <f t="shared" si="388"/>
        <v>0</v>
      </c>
      <c r="V6218">
        <f t="shared" si="389"/>
        <v>0</v>
      </c>
      <c r="W6218" s="22">
        <f t="shared" si="390"/>
        <v>0</v>
      </c>
    </row>
    <row r="6219" spans="1:23" hidden="1" x14ac:dyDescent="0.25">
      <c r="A6219" s="45">
        <v>46124</v>
      </c>
      <c r="B6219" s="46" t="s">
        <v>334</v>
      </c>
      <c r="C6219" s="4" t="s">
        <v>92</v>
      </c>
      <c r="D6219" s="4"/>
      <c r="E6219" s="4"/>
      <c r="F6219" s="46" t="s">
        <v>3009</v>
      </c>
      <c r="G6219" s="4" t="s">
        <v>336</v>
      </c>
      <c r="H6219" s="4" t="s">
        <v>289</v>
      </c>
      <c r="I6219" s="4">
        <v>4.7E-2</v>
      </c>
      <c r="J6219" s="21">
        <v>500</v>
      </c>
      <c r="K6219" s="21">
        <v>0</v>
      </c>
      <c r="L6219" s="5">
        <v>0</v>
      </c>
      <c r="M6219" s="4"/>
      <c r="N6219" s="4"/>
      <c r="O6219" s="5"/>
      <c r="P6219" s="5"/>
      <c r="Q6219" s="21">
        <v>23.5</v>
      </c>
      <c r="R6219" s="21">
        <v>0</v>
      </c>
      <c r="S6219" s="5">
        <f t="shared" si="391"/>
        <v>19096.146633419292</v>
      </c>
      <c r="T6219" cm="1">
        <f t="array" ref="T6219">IF(OR(B6219="MAL ALIMI", B6219="ÜRETİM GİRİŞ"), MIN(I6219, MAX(0, I6219 + SUM(SUMIFS($I$1:I6218, $C$1:C6218, C6219, $B$1:B6218, {"MAL ALIMI","ÜRETİM GİRİŞ"})) - VLOOKUP(C6219, 'STOK RAPORU'!$C$2:$I$1000, 4, 0))), 0)</f>
        <v>0</v>
      </c>
      <c r="U6219" s="22">
        <f t="shared" si="388"/>
        <v>0</v>
      </c>
      <c r="V6219">
        <f t="shared" si="389"/>
        <v>0</v>
      </c>
      <c r="W6219" s="22">
        <f t="shared" si="390"/>
        <v>0</v>
      </c>
    </row>
    <row r="6220" spans="1:23" hidden="1" x14ac:dyDescent="0.25">
      <c r="A6220" s="45">
        <v>46124</v>
      </c>
      <c r="B6220" s="46" t="s">
        <v>334</v>
      </c>
      <c r="C6220" s="4" t="s">
        <v>2087</v>
      </c>
      <c r="D6220" s="4"/>
      <c r="E6220" s="4"/>
      <c r="F6220" s="46" t="s">
        <v>3010</v>
      </c>
      <c r="G6220" s="4" t="s">
        <v>336</v>
      </c>
      <c r="H6220" s="4" t="s">
        <v>289</v>
      </c>
      <c r="I6220" s="4">
        <v>0.27906976744186046</v>
      </c>
      <c r="J6220" s="21">
        <v>360</v>
      </c>
      <c r="K6220" s="21">
        <v>0</v>
      </c>
      <c r="L6220" s="5">
        <v>0</v>
      </c>
      <c r="M6220" s="4"/>
      <c r="N6220" s="4"/>
      <c r="O6220" s="5"/>
      <c r="P6220" s="5"/>
      <c r="Q6220" s="21">
        <v>100.46511627906976</v>
      </c>
      <c r="R6220" s="21">
        <v>0</v>
      </c>
      <c r="S6220" s="5">
        <f t="shared" si="391"/>
        <v>19196.611749698361</v>
      </c>
      <c r="T6220" cm="1">
        <f t="array" ref="T6220">IF(OR(B6220="MAL ALIMI", B6220="ÜRETİM GİRİŞ"), MIN(I6220, MAX(0, I6220 + SUM(SUMIFS($I$1:I6219, $C$1:C6219, C6220, $B$1:B6219, {"MAL ALIMI","ÜRETİM GİRİŞ"})) - VLOOKUP(C6220, 'STOK RAPORU'!$C$2:$I$1000, 4, 0))), 0)</f>
        <v>0</v>
      </c>
      <c r="U6220" s="22">
        <f t="shared" si="388"/>
        <v>0</v>
      </c>
      <c r="V6220">
        <f t="shared" si="389"/>
        <v>0</v>
      </c>
      <c r="W6220" s="22">
        <f t="shared" si="390"/>
        <v>0</v>
      </c>
    </row>
    <row r="6221" spans="1:23" hidden="1" x14ac:dyDescent="0.25">
      <c r="A6221" s="45">
        <v>46124</v>
      </c>
      <c r="B6221" s="46" t="s">
        <v>334</v>
      </c>
      <c r="C6221" s="4" t="s">
        <v>460</v>
      </c>
      <c r="D6221" s="4"/>
      <c r="E6221" s="4"/>
      <c r="F6221" s="46" t="s">
        <v>3011</v>
      </c>
      <c r="G6221" s="4" t="s">
        <v>336</v>
      </c>
      <c r="H6221" s="4" t="s">
        <v>289</v>
      </c>
      <c r="I6221" s="4">
        <v>2</v>
      </c>
      <c r="J6221" s="21">
        <v>15</v>
      </c>
      <c r="K6221" s="21">
        <v>0</v>
      </c>
      <c r="L6221" s="5">
        <v>0</v>
      </c>
      <c r="M6221" s="4"/>
      <c r="N6221" s="4"/>
      <c r="O6221" s="5"/>
      <c r="P6221" s="5"/>
      <c r="Q6221" s="21">
        <v>30</v>
      </c>
      <c r="R6221" s="21">
        <v>0</v>
      </c>
      <c r="S6221" s="5">
        <f t="shared" si="391"/>
        <v>19226.611749698361</v>
      </c>
      <c r="T6221" cm="1">
        <f t="array" ref="T6221">IF(OR(B6221="MAL ALIMI", B6221="ÜRETİM GİRİŞ"), MIN(I6221, MAX(0, I6221 + SUM(SUMIFS($I$1:I6220, $C$1:C6220, C6221, $B$1:B6220, {"MAL ALIMI","ÜRETİM GİRİŞ"})) - VLOOKUP(C6221, 'STOK RAPORU'!$C$2:$I$1000, 4, 0))), 0)</f>
        <v>0</v>
      </c>
      <c r="U6221" s="22">
        <f t="shared" si="388"/>
        <v>0</v>
      </c>
      <c r="V6221">
        <f t="shared" si="389"/>
        <v>0</v>
      </c>
      <c r="W6221" s="22">
        <f t="shared" si="390"/>
        <v>0</v>
      </c>
    </row>
    <row r="6222" spans="1:23" hidden="1" x14ac:dyDescent="0.25">
      <c r="A6222" s="45">
        <v>46124</v>
      </c>
      <c r="B6222" s="46" t="s">
        <v>334</v>
      </c>
      <c r="C6222" s="4" t="s">
        <v>157</v>
      </c>
      <c r="D6222" s="4"/>
      <c r="E6222" s="4" t="s">
        <v>921</v>
      </c>
      <c r="F6222" s="46" t="s">
        <v>3012</v>
      </c>
      <c r="G6222" s="4" t="s">
        <v>336</v>
      </c>
      <c r="H6222" s="4" t="s">
        <v>380</v>
      </c>
      <c r="I6222" s="4">
        <v>1</v>
      </c>
      <c r="J6222" s="21">
        <v>200</v>
      </c>
      <c r="K6222" s="21">
        <v>200</v>
      </c>
      <c r="L6222" s="5">
        <v>0</v>
      </c>
      <c r="M6222" s="4"/>
      <c r="N6222" s="4"/>
      <c r="O6222" s="5"/>
      <c r="P6222" s="5"/>
      <c r="Q6222" s="21">
        <v>0</v>
      </c>
      <c r="R6222" s="21">
        <v>0</v>
      </c>
      <c r="S6222" s="5">
        <f t="shared" si="391"/>
        <v>19226.611749698361</v>
      </c>
      <c r="T6222" cm="1">
        <f t="array" ref="T6222">IF(OR(B6222="MAL ALIMI", B6222="ÜRETİM GİRİŞ"), MIN(I6222, MAX(0, I6222 + SUM(SUMIFS($I$1:I6221, $C$1:C6221, C6222, $B$1:B6221, {"MAL ALIMI","ÜRETİM GİRİŞ"})) - VLOOKUP(C6222, 'STOK RAPORU'!$C$2:$I$1000, 4, 0))), 0)</f>
        <v>0</v>
      </c>
      <c r="U6222" s="22">
        <f t="shared" si="388"/>
        <v>0</v>
      </c>
      <c r="V6222">
        <f t="shared" si="389"/>
        <v>0</v>
      </c>
      <c r="W6222" s="22">
        <f t="shared" si="390"/>
        <v>0</v>
      </c>
    </row>
    <row r="6223" spans="1:23" hidden="1" x14ac:dyDescent="0.25">
      <c r="A6223" s="45">
        <v>46124</v>
      </c>
      <c r="B6223" s="46" t="s">
        <v>334</v>
      </c>
      <c r="C6223" s="4" t="s">
        <v>529</v>
      </c>
      <c r="D6223" s="4"/>
      <c r="E6223" s="4"/>
      <c r="F6223" s="46" t="s">
        <v>3013</v>
      </c>
      <c r="G6223" s="4" t="s">
        <v>336</v>
      </c>
      <c r="H6223" s="4" t="s">
        <v>289</v>
      </c>
      <c r="I6223" s="4">
        <v>0.24</v>
      </c>
      <c r="J6223" s="21">
        <v>600</v>
      </c>
      <c r="K6223" s="21">
        <v>0</v>
      </c>
      <c r="L6223" s="5">
        <v>0</v>
      </c>
      <c r="M6223" s="4"/>
      <c r="N6223" s="4"/>
      <c r="O6223" s="5"/>
      <c r="P6223" s="5"/>
      <c r="Q6223" s="21">
        <v>144</v>
      </c>
      <c r="R6223" s="21">
        <v>0</v>
      </c>
      <c r="S6223" s="5">
        <f t="shared" si="391"/>
        <v>19370.611749698361</v>
      </c>
      <c r="T6223" cm="1">
        <f t="array" ref="T6223">IF(OR(B6223="MAL ALIMI", B6223="ÜRETİM GİRİŞ"), MIN(I6223, MAX(0, I6223 + SUM(SUMIFS($I$1:I6222, $C$1:C6222, C6223, $B$1:B6222, {"MAL ALIMI","ÜRETİM GİRİŞ"})) - VLOOKUP(C6223, 'STOK RAPORU'!$C$2:$I$1000, 4, 0))), 0)</f>
        <v>0</v>
      </c>
      <c r="U6223" s="22">
        <f t="shared" si="388"/>
        <v>0</v>
      </c>
      <c r="V6223">
        <f t="shared" si="389"/>
        <v>0</v>
      </c>
      <c r="W6223" s="22">
        <f t="shared" si="390"/>
        <v>0</v>
      </c>
    </row>
    <row r="6224" spans="1:23" hidden="1" x14ac:dyDescent="0.25">
      <c r="A6224" s="45">
        <v>46124</v>
      </c>
      <c r="B6224" s="46" t="s">
        <v>334</v>
      </c>
      <c r="C6224" s="4" t="s">
        <v>198</v>
      </c>
      <c r="D6224" s="4"/>
      <c r="E6224" s="4"/>
      <c r="F6224" s="46" t="s">
        <v>3013</v>
      </c>
      <c r="G6224" s="4" t="s">
        <v>336</v>
      </c>
      <c r="H6224" s="4" t="s">
        <v>289</v>
      </c>
      <c r="I6224" s="4">
        <v>0.05</v>
      </c>
      <c r="J6224" s="21">
        <v>1400</v>
      </c>
      <c r="K6224" s="21">
        <v>0</v>
      </c>
      <c r="L6224" s="5">
        <v>0</v>
      </c>
      <c r="M6224" s="4"/>
      <c r="N6224" s="4"/>
      <c r="O6224" s="5"/>
      <c r="P6224" s="5"/>
      <c r="Q6224" s="21">
        <v>70</v>
      </c>
      <c r="R6224" s="21">
        <v>0</v>
      </c>
      <c r="S6224" s="5">
        <f t="shared" si="391"/>
        <v>19440.611749698361</v>
      </c>
      <c r="T6224" cm="1">
        <f t="array" ref="T6224">IF(OR(B6224="MAL ALIMI", B6224="ÜRETİM GİRİŞ"), MIN(I6224, MAX(0, I6224 + SUM(SUMIFS($I$1:I6223, $C$1:C6223, C6224, $B$1:B6223, {"MAL ALIMI","ÜRETİM GİRİŞ"})) - VLOOKUP(C6224, 'STOK RAPORU'!$C$2:$I$1000, 4, 0))), 0)</f>
        <v>0</v>
      </c>
      <c r="U6224" s="22">
        <f t="shared" si="388"/>
        <v>0</v>
      </c>
      <c r="V6224">
        <f t="shared" si="389"/>
        <v>0</v>
      </c>
      <c r="W6224" s="22">
        <f t="shared" si="390"/>
        <v>0</v>
      </c>
    </row>
    <row r="6225" spans="1:23" hidden="1" x14ac:dyDescent="0.25">
      <c r="A6225" s="45">
        <v>46124</v>
      </c>
      <c r="B6225" s="46" t="s">
        <v>334</v>
      </c>
      <c r="C6225" s="4" t="s">
        <v>697</v>
      </c>
      <c r="D6225" s="4"/>
      <c r="E6225" s="4"/>
      <c r="F6225" s="46" t="s">
        <v>3013</v>
      </c>
      <c r="G6225" s="4" t="s">
        <v>336</v>
      </c>
      <c r="H6225" s="4" t="s">
        <v>289</v>
      </c>
      <c r="I6225" s="4">
        <v>0.1</v>
      </c>
      <c r="J6225" s="21">
        <v>700</v>
      </c>
      <c r="K6225" s="21">
        <v>0</v>
      </c>
      <c r="L6225" s="5">
        <v>0</v>
      </c>
      <c r="M6225" s="4"/>
      <c r="N6225" s="4"/>
      <c r="O6225" s="5"/>
      <c r="P6225" s="5"/>
      <c r="Q6225" s="21">
        <v>70</v>
      </c>
      <c r="R6225" s="21">
        <v>0</v>
      </c>
      <c r="S6225" s="5">
        <f t="shared" si="391"/>
        <v>19510.611749698361</v>
      </c>
      <c r="T6225" cm="1">
        <f t="array" ref="T6225">IF(OR(B6225="MAL ALIMI", B6225="ÜRETİM GİRİŞ"), MIN(I6225, MAX(0, I6225 + SUM(SUMIFS($I$1:I6224, $C$1:C6224, C6225, $B$1:B6224, {"MAL ALIMI","ÜRETİM GİRİŞ"})) - VLOOKUP(C6225, 'STOK RAPORU'!$C$2:$I$1000, 4, 0))), 0)</f>
        <v>0</v>
      </c>
      <c r="U6225" s="22">
        <f t="shared" si="388"/>
        <v>0</v>
      </c>
      <c r="V6225">
        <f t="shared" si="389"/>
        <v>0</v>
      </c>
      <c r="W6225" s="22">
        <f t="shared" si="390"/>
        <v>0</v>
      </c>
    </row>
    <row r="6226" spans="1:23" hidden="1" x14ac:dyDescent="0.25">
      <c r="A6226" s="45">
        <v>46124</v>
      </c>
      <c r="B6226" s="46" t="s">
        <v>334</v>
      </c>
      <c r="C6226" s="4" t="s">
        <v>523</v>
      </c>
      <c r="D6226" s="4"/>
      <c r="E6226" s="4"/>
      <c r="F6226" s="46" t="s">
        <v>3013</v>
      </c>
      <c r="G6226" s="4" t="s">
        <v>336</v>
      </c>
      <c r="H6226" s="4" t="s">
        <v>289</v>
      </c>
      <c r="I6226" s="4">
        <v>0.08</v>
      </c>
      <c r="J6226" s="21">
        <v>750</v>
      </c>
      <c r="K6226" s="21">
        <v>0</v>
      </c>
      <c r="L6226" s="5">
        <v>0</v>
      </c>
      <c r="M6226" s="4"/>
      <c r="N6226" s="4"/>
      <c r="O6226" s="5"/>
      <c r="P6226" s="5"/>
      <c r="Q6226" s="21">
        <v>60</v>
      </c>
      <c r="R6226" s="21">
        <v>0</v>
      </c>
      <c r="S6226" s="5">
        <f t="shared" si="391"/>
        <v>19570.611749698361</v>
      </c>
      <c r="T6226" cm="1">
        <f t="array" ref="T6226">IF(OR(B6226="MAL ALIMI", B6226="ÜRETİM GİRİŞ"), MIN(I6226, MAX(0, I6226 + SUM(SUMIFS($I$1:I6225, $C$1:C6225, C6226, $B$1:B6225, {"MAL ALIMI","ÜRETİM GİRİŞ"})) - VLOOKUP(C6226, 'STOK RAPORU'!$C$2:$I$1000, 4, 0))), 0)</f>
        <v>0</v>
      </c>
      <c r="U6226" s="22">
        <f t="shared" si="388"/>
        <v>0</v>
      </c>
      <c r="V6226">
        <f t="shared" si="389"/>
        <v>0</v>
      </c>
      <c r="W6226" s="22">
        <f t="shared" si="390"/>
        <v>0</v>
      </c>
    </row>
    <row r="6227" spans="1:23" hidden="1" x14ac:dyDescent="0.25">
      <c r="A6227" s="45">
        <v>46124</v>
      </c>
      <c r="B6227" s="46" t="s">
        <v>334</v>
      </c>
      <c r="C6227" s="4" t="s">
        <v>137</v>
      </c>
      <c r="D6227" s="4"/>
      <c r="E6227" s="4"/>
      <c r="F6227" s="46" t="s">
        <v>3013</v>
      </c>
      <c r="G6227" s="4" t="s">
        <v>336</v>
      </c>
      <c r="H6227" s="4" t="s">
        <v>289</v>
      </c>
      <c r="I6227" s="4">
        <v>0.25</v>
      </c>
      <c r="J6227" s="21">
        <v>180</v>
      </c>
      <c r="K6227" s="21">
        <v>0</v>
      </c>
      <c r="L6227" s="5">
        <v>0</v>
      </c>
      <c r="M6227" s="4"/>
      <c r="N6227" s="4"/>
      <c r="O6227" s="5"/>
      <c r="P6227" s="5"/>
      <c r="Q6227" s="21">
        <v>45</v>
      </c>
      <c r="R6227" s="21">
        <v>0</v>
      </c>
      <c r="S6227" s="5">
        <f t="shared" si="391"/>
        <v>19615.611749698361</v>
      </c>
      <c r="T6227" cm="1">
        <f t="array" ref="T6227">IF(OR(B6227="MAL ALIMI", B6227="ÜRETİM GİRİŞ"), MIN(I6227, MAX(0, I6227 + SUM(SUMIFS($I$1:I6226, $C$1:C6226, C6227, $B$1:B6226, {"MAL ALIMI","ÜRETİM GİRİŞ"})) - VLOOKUP(C6227, 'STOK RAPORU'!$C$2:$I$1000, 4, 0))), 0)</f>
        <v>0</v>
      </c>
      <c r="U6227" s="22">
        <f t="shared" si="388"/>
        <v>0</v>
      </c>
      <c r="V6227">
        <f t="shared" si="389"/>
        <v>0</v>
      </c>
      <c r="W6227" s="22">
        <f t="shared" si="390"/>
        <v>0</v>
      </c>
    </row>
    <row r="6228" spans="1:23" hidden="1" x14ac:dyDescent="0.25">
      <c r="A6228" s="45">
        <v>46124</v>
      </c>
      <c r="B6228" s="46" t="s">
        <v>334</v>
      </c>
      <c r="C6228" s="4" t="s">
        <v>160</v>
      </c>
      <c r="D6228" s="4"/>
      <c r="E6228" s="4"/>
      <c r="F6228" s="46" t="s">
        <v>3013</v>
      </c>
      <c r="G6228" s="4" t="s">
        <v>336</v>
      </c>
      <c r="H6228" s="4" t="s">
        <v>289</v>
      </c>
      <c r="I6228" s="4">
        <v>1</v>
      </c>
      <c r="J6228" s="21">
        <v>250</v>
      </c>
      <c r="K6228" s="21">
        <v>0</v>
      </c>
      <c r="L6228" s="5">
        <v>0</v>
      </c>
      <c r="M6228" s="4"/>
      <c r="N6228" s="4"/>
      <c r="O6228" s="5"/>
      <c r="P6228" s="5"/>
      <c r="Q6228" s="21">
        <v>250</v>
      </c>
      <c r="R6228" s="21">
        <v>0</v>
      </c>
      <c r="S6228" s="5">
        <f t="shared" si="391"/>
        <v>19865.611749698361</v>
      </c>
      <c r="T6228" cm="1">
        <f t="array" ref="T6228">IF(OR(B6228="MAL ALIMI", B6228="ÜRETİM GİRİŞ"), MIN(I6228, MAX(0, I6228 + SUM(SUMIFS($I$1:I6227, $C$1:C6227, C6228, $B$1:B6227, {"MAL ALIMI","ÜRETİM GİRİŞ"})) - VLOOKUP(C6228, 'STOK RAPORU'!$C$2:$I$1000, 4, 0))), 0)</f>
        <v>0</v>
      </c>
      <c r="U6228" s="22">
        <f t="shared" si="388"/>
        <v>0</v>
      </c>
      <c r="V6228">
        <f t="shared" si="389"/>
        <v>0</v>
      </c>
      <c r="W6228" s="22">
        <f t="shared" si="390"/>
        <v>0</v>
      </c>
    </row>
    <row r="6229" spans="1:23" hidden="1" x14ac:dyDescent="0.25">
      <c r="A6229" s="45">
        <v>46124</v>
      </c>
      <c r="B6229" s="46" t="s">
        <v>334</v>
      </c>
      <c r="C6229" s="4" t="s">
        <v>161</v>
      </c>
      <c r="D6229" s="4"/>
      <c r="E6229" s="4"/>
      <c r="F6229" s="46" t="s">
        <v>3013</v>
      </c>
      <c r="G6229" s="4" t="s">
        <v>336</v>
      </c>
      <c r="H6229" s="4" t="s">
        <v>289</v>
      </c>
      <c r="I6229" s="4">
        <v>1</v>
      </c>
      <c r="J6229" s="21">
        <v>250</v>
      </c>
      <c r="K6229" s="21">
        <v>0</v>
      </c>
      <c r="L6229" s="5">
        <v>0</v>
      </c>
      <c r="M6229" s="4"/>
      <c r="N6229" s="4"/>
      <c r="O6229" s="5"/>
      <c r="P6229" s="5"/>
      <c r="Q6229" s="21">
        <v>250</v>
      </c>
      <c r="R6229" s="21">
        <v>0</v>
      </c>
      <c r="S6229" s="5">
        <f t="shared" si="391"/>
        <v>20115.611749698361</v>
      </c>
      <c r="T6229" cm="1">
        <f t="array" ref="T6229">IF(OR(B6229="MAL ALIMI", B6229="ÜRETİM GİRİŞ"), MIN(I6229, MAX(0, I6229 + SUM(SUMIFS($I$1:I6228, $C$1:C6228, C6229, $B$1:B6228, {"MAL ALIMI","ÜRETİM GİRİŞ"})) - VLOOKUP(C6229, 'STOK RAPORU'!$C$2:$I$1000, 4, 0))), 0)</f>
        <v>0</v>
      </c>
      <c r="U6229" s="22">
        <f t="shared" si="388"/>
        <v>0</v>
      </c>
      <c r="V6229">
        <f t="shared" si="389"/>
        <v>0</v>
      </c>
      <c r="W6229" s="22">
        <f t="shared" si="390"/>
        <v>0</v>
      </c>
    </row>
    <row r="6230" spans="1:23" hidden="1" x14ac:dyDescent="0.25">
      <c r="A6230" s="45">
        <v>46124</v>
      </c>
      <c r="B6230" s="46" t="s">
        <v>334</v>
      </c>
      <c r="C6230" s="4" t="s">
        <v>157</v>
      </c>
      <c r="D6230" s="4"/>
      <c r="E6230" s="4" t="s">
        <v>921</v>
      </c>
      <c r="F6230" s="46" t="s">
        <v>3014</v>
      </c>
      <c r="G6230" s="4" t="s">
        <v>336</v>
      </c>
      <c r="H6230" s="4" t="s">
        <v>380</v>
      </c>
      <c r="I6230" s="4">
        <v>1</v>
      </c>
      <c r="J6230" s="21">
        <v>200</v>
      </c>
      <c r="K6230" s="21">
        <v>200</v>
      </c>
      <c r="L6230" s="5">
        <v>0</v>
      </c>
      <c r="M6230" s="4"/>
      <c r="N6230" s="4"/>
      <c r="O6230" s="5"/>
      <c r="P6230" s="5"/>
      <c r="Q6230" s="21">
        <v>0</v>
      </c>
      <c r="R6230" s="21">
        <v>0</v>
      </c>
      <c r="S6230" s="5">
        <f t="shared" si="391"/>
        <v>20115.611749698361</v>
      </c>
      <c r="T6230" cm="1">
        <f t="array" ref="T6230">IF(OR(B6230="MAL ALIMI", B6230="ÜRETİM GİRİŞ"), MIN(I6230, MAX(0, I6230 + SUM(SUMIFS($I$1:I6229, $C$1:C6229, C6230, $B$1:B6229, {"MAL ALIMI","ÜRETİM GİRİŞ"})) - VLOOKUP(C6230, 'STOK RAPORU'!$C$2:$I$1000, 4, 0))), 0)</f>
        <v>0</v>
      </c>
      <c r="U6230" s="22">
        <f t="shared" si="388"/>
        <v>0</v>
      </c>
      <c r="V6230">
        <f t="shared" si="389"/>
        <v>0</v>
      </c>
      <c r="W6230" s="22">
        <f t="shared" si="390"/>
        <v>0</v>
      </c>
    </row>
    <row r="6231" spans="1:23" hidden="1" x14ac:dyDescent="0.25">
      <c r="A6231" s="45">
        <v>46124</v>
      </c>
      <c r="B6231" s="46" t="s">
        <v>334</v>
      </c>
      <c r="C6231" s="4" t="s">
        <v>634</v>
      </c>
      <c r="D6231" s="4"/>
      <c r="E6231" s="4" t="s">
        <v>921</v>
      </c>
      <c r="F6231" s="46" t="s">
        <v>3014</v>
      </c>
      <c r="G6231" s="4" t="s">
        <v>336</v>
      </c>
      <c r="H6231" s="4" t="s">
        <v>380</v>
      </c>
      <c r="I6231" s="4">
        <v>0.23599999999999999</v>
      </c>
      <c r="J6231" s="21">
        <v>850</v>
      </c>
      <c r="K6231" s="21">
        <v>200.6</v>
      </c>
      <c r="L6231" s="5">
        <v>0</v>
      </c>
      <c r="M6231" s="4"/>
      <c r="N6231" s="4"/>
      <c r="O6231" s="5"/>
      <c r="P6231" s="5"/>
      <c r="Q6231" s="21">
        <v>0</v>
      </c>
      <c r="R6231" s="21">
        <v>0</v>
      </c>
      <c r="S6231" s="5">
        <f t="shared" si="391"/>
        <v>20115.611749698361</v>
      </c>
      <c r="T6231" cm="1">
        <f t="array" ref="T6231">IF(OR(B6231="MAL ALIMI", B6231="ÜRETİM GİRİŞ"), MIN(I6231, MAX(0, I6231 + SUM(SUMIFS($I$1:I6230, $C$1:C6230, C6231, $B$1:B6230, {"MAL ALIMI","ÜRETİM GİRİŞ"})) - VLOOKUP(C6231, 'STOK RAPORU'!$C$2:$I$1000, 4, 0))), 0)</f>
        <v>0</v>
      </c>
      <c r="U6231" s="22">
        <f t="shared" si="388"/>
        <v>0</v>
      </c>
      <c r="V6231">
        <f t="shared" si="389"/>
        <v>0</v>
      </c>
      <c r="W6231" s="22">
        <f t="shared" si="390"/>
        <v>0</v>
      </c>
    </row>
    <row r="6232" spans="1:23" hidden="1" x14ac:dyDescent="0.25">
      <c r="A6232" s="45">
        <v>46124</v>
      </c>
      <c r="B6232" s="46" t="s">
        <v>334</v>
      </c>
      <c r="C6232" s="4" t="s">
        <v>245</v>
      </c>
      <c r="D6232" s="4"/>
      <c r="E6232" s="4" t="s">
        <v>921</v>
      </c>
      <c r="F6232" s="46" t="s">
        <v>3014</v>
      </c>
      <c r="G6232" s="4" t="s">
        <v>336</v>
      </c>
      <c r="H6232" s="4" t="s">
        <v>380</v>
      </c>
      <c r="I6232" s="4">
        <v>0.23200000000000001</v>
      </c>
      <c r="J6232" s="21">
        <v>650</v>
      </c>
      <c r="K6232" s="21">
        <v>150.80000000000001</v>
      </c>
      <c r="L6232" s="5">
        <v>0</v>
      </c>
      <c r="M6232" s="4"/>
      <c r="N6232" s="4"/>
      <c r="O6232" s="5"/>
      <c r="P6232" s="5"/>
      <c r="Q6232" s="21">
        <v>0</v>
      </c>
      <c r="R6232" s="21">
        <v>0</v>
      </c>
      <c r="S6232" s="5">
        <f t="shared" si="391"/>
        <v>20115.611749698361</v>
      </c>
      <c r="T6232" cm="1">
        <f t="array" ref="T6232">IF(OR(B6232="MAL ALIMI", B6232="ÜRETİM GİRİŞ"), MIN(I6232, MAX(0, I6232 + SUM(SUMIFS($I$1:I6231, $C$1:C6231, C6232, $B$1:B6231, {"MAL ALIMI","ÜRETİM GİRİŞ"})) - VLOOKUP(C6232, 'STOK RAPORU'!$C$2:$I$1000, 4, 0))), 0)</f>
        <v>0</v>
      </c>
      <c r="U6232" s="22">
        <f t="shared" si="388"/>
        <v>0</v>
      </c>
      <c r="V6232">
        <f t="shared" si="389"/>
        <v>0</v>
      </c>
      <c r="W6232" s="22">
        <f t="shared" si="390"/>
        <v>0</v>
      </c>
    </row>
    <row r="6233" spans="1:23" hidden="1" x14ac:dyDescent="0.25">
      <c r="A6233" s="3">
        <v>46124</v>
      </c>
      <c r="B6233" s="4" t="s">
        <v>285</v>
      </c>
      <c r="C6233" s="4"/>
      <c r="D6233" s="4" t="s">
        <v>112</v>
      </c>
      <c r="E6233" s="4"/>
      <c r="F6233" s="4"/>
      <c r="G6233" s="4" t="s">
        <v>3027</v>
      </c>
      <c r="H6233" s="4" t="s">
        <v>289</v>
      </c>
      <c r="I6233" s="4">
        <v>1</v>
      </c>
      <c r="J6233" s="21">
        <v>375</v>
      </c>
      <c r="K6233" s="21">
        <v>0</v>
      </c>
      <c r="L6233" s="5">
        <v>0</v>
      </c>
      <c r="M6233" s="4"/>
      <c r="N6233" s="4"/>
      <c r="O6233" s="5"/>
      <c r="P6233" s="5"/>
      <c r="Q6233" s="21">
        <v>0</v>
      </c>
      <c r="R6233" s="21">
        <v>375</v>
      </c>
      <c r="S6233" s="5">
        <f t="shared" si="391"/>
        <v>19740.611749698361</v>
      </c>
      <c r="T6233" cm="1">
        <f t="array" ref="T6233">IF(OR(B6233="MAL ALIMI", B6233="ÜRETİM GİRİŞ"), MIN(I6233, MAX(0, I6233 + SUM(SUMIFS($I$1:I6232, $C$1:C6232, C6233, $B$1:B6232, {"MAL ALIMI","ÜRETİM GİRİŞ"})) - VLOOKUP(C6233, 'STOK RAPORU'!$C$2:$I$1000, 4, 0))), 0)</f>
        <v>0</v>
      </c>
      <c r="U6233" s="22">
        <f t="shared" si="388"/>
        <v>0</v>
      </c>
      <c r="V6233">
        <f t="shared" si="389"/>
        <v>0</v>
      </c>
      <c r="W6233" s="22">
        <f t="shared" si="390"/>
        <v>0</v>
      </c>
    </row>
    <row r="6234" spans="1:23" hidden="1" x14ac:dyDescent="0.25">
      <c r="A6234" s="3">
        <v>46124</v>
      </c>
      <c r="B6234" s="4" t="s">
        <v>946</v>
      </c>
      <c r="C6234" s="4"/>
      <c r="D6234" s="4"/>
      <c r="E6234" s="4" t="s">
        <v>921</v>
      </c>
      <c r="F6234" s="4"/>
      <c r="G6234" s="4" t="s">
        <v>946</v>
      </c>
      <c r="H6234" s="4" t="s">
        <v>380</v>
      </c>
      <c r="I6234" s="4">
        <v>1</v>
      </c>
      <c r="J6234" s="105">
        <v>392.3</v>
      </c>
      <c r="K6234" s="21">
        <v>0</v>
      </c>
      <c r="L6234" s="32">
        <v>392.3</v>
      </c>
      <c r="M6234" s="4"/>
      <c r="N6234" s="4"/>
      <c r="O6234" s="5"/>
      <c r="P6234" s="5"/>
      <c r="Q6234" s="21">
        <v>392.3</v>
      </c>
      <c r="R6234" s="21">
        <v>0</v>
      </c>
      <c r="S6234" s="5">
        <f t="shared" si="391"/>
        <v>20132.91174969836</v>
      </c>
      <c r="T6234" cm="1">
        <f t="array" ref="T6234">IF(OR(B6234="MAL ALIMI", B6234="ÜRETİM GİRİŞ"), MIN(I6234, MAX(0, I6234 + SUM(SUMIFS($I$1:I6233, $C$1:C6233, C6234, $B$1:B6233, {"MAL ALIMI","ÜRETİM GİRİŞ"})) - VLOOKUP(C6234, 'STOK RAPORU'!$C$2:$I$1000, 4, 0))), 0)</f>
        <v>0</v>
      </c>
      <c r="U6234" s="22">
        <f t="shared" si="388"/>
        <v>0</v>
      </c>
      <c r="V6234">
        <f t="shared" si="389"/>
        <v>0</v>
      </c>
      <c r="W6234" s="22">
        <f t="shared" si="390"/>
        <v>0</v>
      </c>
    </row>
    <row r="6235" spans="1:23" hidden="1" x14ac:dyDescent="0.25">
      <c r="A6235" s="45">
        <v>46125</v>
      </c>
      <c r="B6235" s="46" t="s">
        <v>334</v>
      </c>
      <c r="C6235" s="4" t="s">
        <v>134</v>
      </c>
      <c r="D6235" s="4"/>
      <c r="E6235" s="4" t="s">
        <v>921</v>
      </c>
      <c r="F6235" s="46" t="s">
        <v>3015</v>
      </c>
      <c r="G6235" s="4" t="s">
        <v>336</v>
      </c>
      <c r="H6235" s="4" t="s">
        <v>380</v>
      </c>
      <c r="I6235" s="4">
        <v>0.1</v>
      </c>
      <c r="J6235" s="21">
        <v>600</v>
      </c>
      <c r="K6235" s="21">
        <v>60</v>
      </c>
      <c r="L6235" s="5">
        <v>0</v>
      </c>
      <c r="M6235" s="4"/>
      <c r="N6235" s="4"/>
      <c r="O6235" s="5"/>
      <c r="P6235" s="5"/>
      <c r="Q6235" s="21">
        <v>0</v>
      </c>
      <c r="R6235" s="21">
        <v>0</v>
      </c>
      <c r="S6235" s="5">
        <f t="shared" si="391"/>
        <v>20132.91174969836</v>
      </c>
      <c r="T6235" cm="1">
        <f t="array" ref="T6235">IF(OR(B6235="MAL ALIMI", B6235="ÜRETİM GİRİŞ"), MIN(I6235, MAX(0, I6235 + SUM(SUMIFS($I$1:I6234, $C$1:C6234, C6235, $B$1:B6234, {"MAL ALIMI","ÜRETİM GİRİŞ"})) - VLOOKUP(C6235, 'STOK RAPORU'!$C$2:$I$1000, 4, 0))), 0)</f>
        <v>0</v>
      </c>
      <c r="U6235" s="22">
        <f t="shared" si="388"/>
        <v>0</v>
      </c>
      <c r="V6235">
        <f t="shared" si="389"/>
        <v>0</v>
      </c>
      <c r="W6235" s="22">
        <f t="shared" si="390"/>
        <v>0</v>
      </c>
    </row>
    <row r="6236" spans="1:23" hidden="1" x14ac:dyDescent="0.25">
      <c r="A6236" s="45">
        <v>46125</v>
      </c>
      <c r="B6236" s="46" t="s">
        <v>334</v>
      </c>
      <c r="C6236" s="4" t="s">
        <v>152</v>
      </c>
      <c r="D6236" s="4"/>
      <c r="E6236" s="4" t="s">
        <v>921</v>
      </c>
      <c r="F6236" s="46" t="s">
        <v>3015</v>
      </c>
      <c r="G6236" s="4" t="s">
        <v>336</v>
      </c>
      <c r="H6236" s="4" t="s">
        <v>380</v>
      </c>
      <c r="I6236" s="4">
        <v>0.1</v>
      </c>
      <c r="J6236" s="21">
        <v>400</v>
      </c>
      <c r="K6236" s="21">
        <v>40</v>
      </c>
      <c r="L6236" s="5">
        <v>0</v>
      </c>
      <c r="M6236" s="4"/>
      <c r="N6236" s="4"/>
      <c r="O6236" s="5"/>
      <c r="P6236" s="5"/>
      <c r="Q6236" s="21">
        <v>0</v>
      </c>
      <c r="R6236" s="21">
        <v>0</v>
      </c>
      <c r="S6236" s="5">
        <f t="shared" si="391"/>
        <v>20132.91174969836</v>
      </c>
      <c r="T6236" cm="1">
        <f t="array" ref="T6236">IF(OR(B6236="MAL ALIMI", B6236="ÜRETİM GİRİŞ"), MIN(I6236, MAX(0, I6236 + SUM(SUMIFS($I$1:I6235, $C$1:C6235, C6236, $B$1:B6235, {"MAL ALIMI","ÜRETİM GİRİŞ"})) - VLOOKUP(C6236, 'STOK RAPORU'!$C$2:$I$1000, 4, 0))), 0)</f>
        <v>0</v>
      </c>
      <c r="U6236" s="22">
        <f t="shared" si="388"/>
        <v>0</v>
      </c>
      <c r="V6236">
        <f t="shared" si="389"/>
        <v>0</v>
      </c>
      <c r="W6236" s="22">
        <f t="shared" si="390"/>
        <v>0</v>
      </c>
    </row>
    <row r="6237" spans="1:23" hidden="1" x14ac:dyDescent="0.25">
      <c r="A6237" s="45">
        <v>46125</v>
      </c>
      <c r="B6237" s="46" t="s">
        <v>334</v>
      </c>
      <c r="C6237" s="4" t="s">
        <v>196</v>
      </c>
      <c r="D6237" s="4"/>
      <c r="E6237" s="4" t="s">
        <v>921</v>
      </c>
      <c r="F6237" s="46" t="s">
        <v>3015</v>
      </c>
      <c r="G6237" s="4" t="s">
        <v>336</v>
      </c>
      <c r="H6237" s="4" t="s">
        <v>380</v>
      </c>
      <c r="I6237" s="4">
        <v>0.2608695652173913</v>
      </c>
      <c r="J6237" s="21">
        <v>230</v>
      </c>
      <c r="K6237" s="21">
        <v>60</v>
      </c>
      <c r="L6237" s="5">
        <v>0</v>
      </c>
      <c r="M6237" s="4"/>
      <c r="N6237" s="4"/>
      <c r="O6237" s="5"/>
      <c r="P6237" s="5"/>
      <c r="Q6237" s="21">
        <v>0</v>
      </c>
      <c r="R6237" s="21">
        <v>0</v>
      </c>
      <c r="S6237" s="5">
        <f t="shared" si="391"/>
        <v>20132.91174969836</v>
      </c>
      <c r="T6237" cm="1">
        <f t="array" ref="T6237">IF(OR(B6237="MAL ALIMI", B6237="ÜRETİM GİRİŞ"), MIN(I6237, MAX(0, I6237 + SUM(SUMIFS($I$1:I6236, $C$1:C6236, C6237, $B$1:B6236, {"MAL ALIMI","ÜRETİM GİRİŞ"})) - VLOOKUP(C6237, 'STOK RAPORU'!$C$2:$I$1000, 4, 0))), 0)</f>
        <v>0</v>
      </c>
      <c r="U6237" s="22">
        <f t="shared" si="388"/>
        <v>0</v>
      </c>
      <c r="V6237">
        <f t="shared" si="389"/>
        <v>0</v>
      </c>
      <c r="W6237" s="22">
        <f t="shared" si="390"/>
        <v>0</v>
      </c>
    </row>
    <row r="6238" spans="1:23" hidden="1" x14ac:dyDescent="0.25">
      <c r="A6238" s="45">
        <v>46125</v>
      </c>
      <c r="B6238" s="46" t="s">
        <v>334</v>
      </c>
      <c r="C6238" s="4" t="s">
        <v>161</v>
      </c>
      <c r="D6238" s="4"/>
      <c r="E6238" s="4"/>
      <c r="F6238" s="46" t="s">
        <v>3016</v>
      </c>
      <c r="G6238" s="4" t="s">
        <v>336</v>
      </c>
      <c r="H6238" s="4" t="s">
        <v>289</v>
      </c>
      <c r="I6238" s="4">
        <v>1</v>
      </c>
      <c r="J6238" s="21">
        <v>230</v>
      </c>
      <c r="K6238" s="21">
        <v>0</v>
      </c>
      <c r="L6238" s="5">
        <v>0</v>
      </c>
      <c r="M6238" s="4"/>
      <c r="N6238" s="4"/>
      <c r="O6238" s="5"/>
      <c r="P6238" s="5"/>
      <c r="Q6238" s="21">
        <v>230</v>
      </c>
      <c r="R6238" s="21">
        <v>0</v>
      </c>
      <c r="S6238" s="5">
        <f t="shared" si="391"/>
        <v>20362.91174969836</v>
      </c>
      <c r="T6238" cm="1">
        <f t="array" ref="T6238">IF(OR(B6238="MAL ALIMI", B6238="ÜRETİM GİRİŞ"), MIN(I6238, MAX(0, I6238 + SUM(SUMIFS($I$1:I6237, $C$1:C6237, C6238, $B$1:B6237, {"MAL ALIMI","ÜRETİM GİRİŞ"})) - VLOOKUP(C6238, 'STOK RAPORU'!$C$2:$I$1000, 4, 0))), 0)</f>
        <v>0</v>
      </c>
      <c r="U6238" s="22">
        <f t="shared" si="388"/>
        <v>0</v>
      </c>
      <c r="V6238">
        <f t="shared" si="389"/>
        <v>0</v>
      </c>
      <c r="W6238" s="22">
        <f t="shared" si="390"/>
        <v>0</v>
      </c>
    </row>
    <row r="6239" spans="1:23" hidden="1" x14ac:dyDescent="0.25">
      <c r="A6239" s="45">
        <v>46125</v>
      </c>
      <c r="B6239" s="46" t="s">
        <v>334</v>
      </c>
      <c r="C6239" s="4" t="s">
        <v>2241</v>
      </c>
      <c r="D6239" s="4"/>
      <c r="E6239" s="4"/>
      <c r="F6239" s="46" t="s">
        <v>3017</v>
      </c>
      <c r="G6239" s="4" t="s">
        <v>1945</v>
      </c>
      <c r="H6239" s="4" t="s">
        <v>289</v>
      </c>
      <c r="I6239" s="4">
        <v>1</v>
      </c>
      <c r="J6239" s="21">
        <v>45</v>
      </c>
      <c r="K6239" s="21">
        <v>0</v>
      </c>
      <c r="L6239" s="5">
        <v>0</v>
      </c>
      <c r="M6239" s="4"/>
      <c r="N6239" s="4"/>
      <c r="O6239" s="5"/>
      <c r="P6239" s="5"/>
      <c r="Q6239" s="21">
        <v>45</v>
      </c>
      <c r="R6239" s="21">
        <v>0</v>
      </c>
      <c r="S6239" s="5">
        <f t="shared" si="391"/>
        <v>20407.91174969836</v>
      </c>
      <c r="T6239" cm="1">
        <f t="array" ref="T6239">IF(OR(B6239="MAL ALIMI", B6239="ÜRETİM GİRİŞ"), MIN(I6239, MAX(0, I6239 + SUM(SUMIFS($I$1:I6238, $C$1:C6238, C6239, $B$1:B6238, {"MAL ALIMI","ÜRETİM GİRİŞ"})) - VLOOKUP(C6239, 'STOK RAPORU'!$C$2:$I$1000, 4, 0))), 0)</f>
        <v>0</v>
      </c>
      <c r="U6239" s="22">
        <f t="shared" si="388"/>
        <v>0</v>
      </c>
      <c r="V6239">
        <f t="shared" si="389"/>
        <v>0</v>
      </c>
      <c r="W6239" s="22">
        <f t="shared" si="390"/>
        <v>0</v>
      </c>
    </row>
    <row r="6240" spans="1:23" hidden="1" x14ac:dyDescent="0.25">
      <c r="A6240" s="45">
        <v>46125</v>
      </c>
      <c r="B6240" s="46" t="s">
        <v>334</v>
      </c>
      <c r="C6240" s="4" t="s">
        <v>824</v>
      </c>
      <c r="D6240" s="4"/>
      <c r="E6240" s="4"/>
      <c r="F6240" s="46" t="s">
        <v>3017</v>
      </c>
      <c r="G6240" s="4" t="s">
        <v>1945</v>
      </c>
      <c r="H6240" s="4" t="s">
        <v>289</v>
      </c>
      <c r="I6240" s="4">
        <v>1</v>
      </c>
      <c r="J6240" s="21">
        <v>65</v>
      </c>
      <c r="K6240" s="21">
        <v>0</v>
      </c>
      <c r="L6240" s="5">
        <v>0</v>
      </c>
      <c r="M6240" s="4"/>
      <c r="N6240" s="4"/>
      <c r="O6240" s="5"/>
      <c r="P6240" s="5"/>
      <c r="Q6240" s="21">
        <v>65</v>
      </c>
      <c r="R6240" s="21">
        <v>0</v>
      </c>
      <c r="S6240" s="5">
        <f t="shared" si="391"/>
        <v>20472.91174969836</v>
      </c>
      <c r="T6240" cm="1">
        <f t="array" ref="T6240">IF(OR(B6240="MAL ALIMI", B6240="ÜRETİM GİRİŞ"), MIN(I6240, MAX(0, I6240 + SUM(SUMIFS($I$1:I6239, $C$1:C6239, C6240, $B$1:B6239, {"MAL ALIMI","ÜRETİM GİRİŞ"})) - VLOOKUP(C6240, 'STOK RAPORU'!$C$2:$I$1000, 4, 0))), 0)</f>
        <v>0</v>
      </c>
      <c r="U6240" s="22">
        <f t="shared" si="388"/>
        <v>0</v>
      </c>
      <c r="V6240">
        <f t="shared" si="389"/>
        <v>0</v>
      </c>
      <c r="W6240" s="22">
        <f t="shared" si="390"/>
        <v>0</v>
      </c>
    </row>
    <row r="6241" spans="1:23" hidden="1" x14ac:dyDescent="0.25">
      <c r="A6241" s="45">
        <v>46125</v>
      </c>
      <c r="B6241" s="46" t="s">
        <v>334</v>
      </c>
      <c r="C6241" s="4" t="s">
        <v>728</v>
      </c>
      <c r="D6241" s="4"/>
      <c r="E6241" s="4" t="s">
        <v>921</v>
      </c>
      <c r="F6241" s="46" t="s">
        <v>3018</v>
      </c>
      <c r="G6241" s="4" t="s">
        <v>336</v>
      </c>
      <c r="H6241" s="4" t="s">
        <v>380</v>
      </c>
      <c r="I6241" s="4">
        <v>0.5</v>
      </c>
      <c r="J6241" s="21">
        <v>650</v>
      </c>
      <c r="K6241" s="21">
        <v>325</v>
      </c>
      <c r="L6241" s="5">
        <v>0</v>
      </c>
      <c r="M6241" s="4"/>
      <c r="N6241" s="4"/>
      <c r="O6241" s="5"/>
      <c r="P6241" s="5"/>
      <c r="Q6241" s="21">
        <v>0</v>
      </c>
      <c r="R6241" s="21">
        <v>0</v>
      </c>
      <c r="S6241" s="5">
        <f t="shared" si="391"/>
        <v>20472.91174969836</v>
      </c>
      <c r="T6241" cm="1">
        <f t="array" ref="T6241">IF(OR(B6241="MAL ALIMI", B6241="ÜRETİM GİRİŞ"), MIN(I6241, MAX(0, I6241 + SUM(SUMIFS($I$1:I6240, $C$1:C6240, C6241, $B$1:B6240, {"MAL ALIMI","ÜRETİM GİRİŞ"})) - VLOOKUP(C6241, 'STOK RAPORU'!$C$2:$I$1000, 4, 0))), 0)</f>
        <v>0</v>
      </c>
      <c r="U6241" s="22">
        <f t="shared" si="388"/>
        <v>0</v>
      </c>
      <c r="V6241">
        <f t="shared" si="389"/>
        <v>0</v>
      </c>
      <c r="W6241" s="22">
        <f t="shared" si="390"/>
        <v>0</v>
      </c>
    </row>
    <row r="6242" spans="1:23" hidden="1" x14ac:dyDescent="0.25">
      <c r="A6242" s="45">
        <v>46125</v>
      </c>
      <c r="B6242" s="46" t="s">
        <v>334</v>
      </c>
      <c r="C6242" s="4" t="s">
        <v>199</v>
      </c>
      <c r="D6242" s="4"/>
      <c r="E6242" s="4" t="s">
        <v>921</v>
      </c>
      <c r="F6242" s="46" t="s">
        <v>3018</v>
      </c>
      <c r="G6242" s="4" t="s">
        <v>336</v>
      </c>
      <c r="H6242" s="4" t="s">
        <v>380</v>
      </c>
      <c r="I6242" s="4">
        <v>0.5</v>
      </c>
      <c r="J6242" s="21">
        <v>750</v>
      </c>
      <c r="K6242" s="21">
        <v>375</v>
      </c>
      <c r="L6242" s="5">
        <v>0</v>
      </c>
      <c r="M6242" s="4"/>
      <c r="N6242" s="4"/>
      <c r="O6242" s="5"/>
      <c r="P6242" s="5"/>
      <c r="Q6242" s="21">
        <v>0</v>
      </c>
      <c r="R6242" s="21">
        <v>0</v>
      </c>
      <c r="S6242" s="5">
        <f t="shared" si="391"/>
        <v>20472.91174969836</v>
      </c>
      <c r="T6242" cm="1">
        <f t="array" ref="T6242">IF(OR(B6242="MAL ALIMI", B6242="ÜRETİM GİRİŞ"), MIN(I6242, MAX(0, I6242 + SUM(SUMIFS($I$1:I6241, $C$1:C6241, C6242, $B$1:B6241, {"MAL ALIMI","ÜRETİM GİRİŞ"})) - VLOOKUP(C6242, 'STOK RAPORU'!$C$2:$I$1000, 4, 0))), 0)</f>
        <v>0</v>
      </c>
      <c r="U6242" s="22">
        <f t="shared" si="388"/>
        <v>0</v>
      </c>
      <c r="V6242">
        <f t="shared" si="389"/>
        <v>0</v>
      </c>
      <c r="W6242" s="22">
        <f t="shared" si="390"/>
        <v>0</v>
      </c>
    </row>
    <row r="6243" spans="1:23" hidden="1" x14ac:dyDescent="0.25">
      <c r="A6243" s="41">
        <v>46125</v>
      </c>
      <c r="B6243" s="42" t="s">
        <v>334</v>
      </c>
      <c r="C6243" s="42" t="s">
        <v>156</v>
      </c>
      <c r="D6243" s="42"/>
      <c r="E6243" s="42"/>
      <c r="F6243" s="42" t="s">
        <v>3019</v>
      </c>
      <c r="G6243" s="42" t="s">
        <v>3026</v>
      </c>
      <c r="H6243" s="42" t="s">
        <v>289</v>
      </c>
      <c r="I6243" s="42">
        <v>3</v>
      </c>
      <c r="J6243" s="43">
        <v>200</v>
      </c>
      <c r="K6243" s="43">
        <v>0</v>
      </c>
      <c r="L6243" s="44">
        <v>0</v>
      </c>
      <c r="M6243" s="42"/>
      <c r="N6243" s="42"/>
      <c r="O6243" s="44"/>
      <c r="P6243" s="44"/>
      <c r="Q6243" s="43">
        <v>600</v>
      </c>
      <c r="R6243" s="43">
        <v>0</v>
      </c>
      <c r="S6243" s="5">
        <f t="shared" si="391"/>
        <v>21072.91174969836</v>
      </c>
      <c r="T6243" cm="1">
        <f t="array" ref="T6243">IF(OR(B6243="MAL ALIMI", B6243="ÜRETİM GİRİŞ"), MIN(I6243, MAX(0, I6243 + SUM(SUMIFS($I$1:I6242, $C$1:C6242, C6243, $B$1:B6242, {"MAL ALIMI","ÜRETİM GİRİŞ"})) - VLOOKUP(C6243, 'STOK RAPORU'!$C$2:$I$1000, 4, 0))), 0)</f>
        <v>0</v>
      </c>
      <c r="U6243" s="22">
        <f t="shared" si="388"/>
        <v>0</v>
      </c>
      <c r="V6243">
        <f t="shared" si="389"/>
        <v>0</v>
      </c>
      <c r="W6243" s="22">
        <f t="shared" si="390"/>
        <v>0</v>
      </c>
    </row>
    <row r="6244" spans="1:23" hidden="1" x14ac:dyDescent="0.25">
      <c r="A6244" s="41">
        <v>46125</v>
      </c>
      <c r="B6244" s="42" t="s">
        <v>334</v>
      </c>
      <c r="C6244" s="42" t="s">
        <v>158</v>
      </c>
      <c r="D6244" s="42"/>
      <c r="E6244" s="42"/>
      <c r="F6244" s="42" t="s">
        <v>3019</v>
      </c>
      <c r="G6244" s="42" t="s">
        <v>3026</v>
      </c>
      <c r="H6244" s="42" t="s">
        <v>289</v>
      </c>
      <c r="I6244" s="42">
        <v>2</v>
      </c>
      <c r="J6244" s="43">
        <v>150</v>
      </c>
      <c r="K6244" s="43">
        <v>0</v>
      </c>
      <c r="L6244" s="44">
        <v>0</v>
      </c>
      <c r="M6244" s="42"/>
      <c r="N6244" s="42"/>
      <c r="O6244" s="44"/>
      <c r="P6244" s="44"/>
      <c r="Q6244" s="43">
        <v>300</v>
      </c>
      <c r="R6244" s="43">
        <v>0</v>
      </c>
      <c r="S6244" s="5">
        <f t="shared" si="391"/>
        <v>21372.91174969836</v>
      </c>
      <c r="T6244" cm="1">
        <f t="array" ref="T6244">IF(OR(B6244="MAL ALIMI", B6244="ÜRETİM GİRİŞ"), MIN(I6244, MAX(0, I6244 + SUM(SUMIFS($I$1:I6243, $C$1:C6243, C6244, $B$1:B6243, {"MAL ALIMI","ÜRETİM GİRİŞ"})) - VLOOKUP(C6244, 'STOK RAPORU'!$C$2:$I$1000, 4, 0))), 0)</f>
        <v>0</v>
      </c>
      <c r="U6244" s="22">
        <f t="shared" si="388"/>
        <v>0</v>
      </c>
      <c r="V6244">
        <f t="shared" si="389"/>
        <v>0</v>
      </c>
      <c r="W6244" s="22">
        <f t="shared" si="390"/>
        <v>0</v>
      </c>
    </row>
    <row r="6245" spans="1:23" hidden="1" x14ac:dyDescent="0.25">
      <c r="A6245" s="41">
        <v>46125</v>
      </c>
      <c r="B6245" s="42" t="s">
        <v>334</v>
      </c>
      <c r="C6245" s="42" t="s">
        <v>154</v>
      </c>
      <c r="D6245" s="42"/>
      <c r="E6245" s="42"/>
      <c r="F6245" s="42" t="s">
        <v>3019</v>
      </c>
      <c r="G6245" s="42" t="s">
        <v>3026</v>
      </c>
      <c r="H6245" s="42" t="s">
        <v>289</v>
      </c>
      <c r="I6245" s="42">
        <v>0.27500000000000002</v>
      </c>
      <c r="J6245" s="43">
        <v>400</v>
      </c>
      <c r="K6245" s="43">
        <v>0</v>
      </c>
      <c r="L6245" s="44">
        <v>0</v>
      </c>
      <c r="M6245" s="42"/>
      <c r="N6245" s="42"/>
      <c r="O6245" s="44"/>
      <c r="P6245" s="44"/>
      <c r="Q6245" s="43">
        <v>110.00000000000001</v>
      </c>
      <c r="R6245" s="43">
        <v>0</v>
      </c>
      <c r="S6245" s="5">
        <f t="shared" si="391"/>
        <v>21482.91174969836</v>
      </c>
      <c r="T6245" cm="1">
        <f t="array" ref="T6245">IF(OR(B6245="MAL ALIMI", B6245="ÜRETİM GİRİŞ"), MIN(I6245, MAX(0, I6245 + SUM(SUMIFS($I$1:I6244, $C$1:C6244, C6245, $B$1:B6244, {"MAL ALIMI","ÜRETİM GİRİŞ"})) - VLOOKUP(C6245, 'STOK RAPORU'!$C$2:$I$1000, 4, 0))), 0)</f>
        <v>0</v>
      </c>
      <c r="U6245" s="22">
        <f t="shared" si="388"/>
        <v>0</v>
      </c>
      <c r="V6245">
        <f t="shared" si="389"/>
        <v>0</v>
      </c>
      <c r="W6245" s="22">
        <f t="shared" si="390"/>
        <v>0</v>
      </c>
    </row>
    <row r="6246" spans="1:23" hidden="1" x14ac:dyDescent="0.25">
      <c r="A6246" s="41">
        <v>46125</v>
      </c>
      <c r="B6246" s="42" t="s">
        <v>334</v>
      </c>
      <c r="C6246" s="42" t="s">
        <v>1183</v>
      </c>
      <c r="D6246" s="42"/>
      <c r="E6246" s="42"/>
      <c r="F6246" s="42" t="s">
        <v>3019</v>
      </c>
      <c r="G6246" s="42" t="s">
        <v>3026</v>
      </c>
      <c r="H6246" s="42" t="s">
        <v>289</v>
      </c>
      <c r="I6246" s="42">
        <v>0.1</v>
      </c>
      <c r="J6246" s="43">
        <v>900</v>
      </c>
      <c r="K6246" s="43">
        <v>0</v>
      </c>
      <c r="L6246" s="44">
        <v>0</v>
      </c>
      <c r="M6246" s="42"/>
      <c r="N6246" s="42"/>
      <c r="O6246" s="44"/>
      <c r="P6246" s="44"/>
      <c r="Q6246" s="43">
        <v>90</v>
      </c>
      <c r="R6246" s="43">
        <v>0</v>
      </c>
      <c r="S6246" s="5">
        <f t="shared" si="391"/>
        <v>21572.91174969836</v>
      </c>
      <c r="T6246" cm="1">
        <f t="array" ref="T6246">IF(OR(B6246="MAL ALIMI", B6246="ÜRETİM GİRİŞ"), MIN(I6246, MAX(0, I6246 + SUM(SUMIFS($I$1:I6245, $C$1:C6245, C6246, $B$1:B6245, {"MAL ALIMI","ÜRETİM GİRİŞ"})) - VLOOKUP(C6246, 'STOK RAPORU'!$C$2:$I$1000, 4, 0))), 0)</f>
        <v>0</v>
      </c>
      <c r="U6246" s="22">
        <f t="shared" si="388"/>
        <v>0</v>
      </c>
      <c r="V6246">
        <f t="shared" si="389"/>
        <v>0</v>
      </c>
      <c r="W6246" s="22">
        <f t="shared" si="390"/>
        <v>0</v>
      </c>
    </row>
    <row r="6247" spans="1:23" hidden="1" x14ac:dyDescent="0.25">
      <c r="A6247" s="45">
        <v>46125</v>
      </c>
      <c r="B6247" s="46" t="s">
        <v>334</v>
      </c>
      <c r="C6247" s="4" t="s">
        <v>154</v>
      </c>
      <c r="D6247" s="4"/>
      <c r="E6247" s="4" t="s">
        <v>921</v>
      </c>
      <c r="F6247" s="46" t="s">
        <v>3020</v>
      </c>
      <c r="G6247" s="4" t="s">
        <v>336</v>
      </c>
      <c r="H6247" s="4" t="s">
        <v>380</v>
      </c>
      <c r="I6247" s="4">
        <v>0.1</v>
      </c>
      <c r="J6247" s="21">
        <v>400</v>
      </c>
      <c r="K6247" s="21">
        <v>40</v>
      </c>
      <c r="L6247" s="5">
        <v>0</v>
      </c>
      <c r="M6247" s="4"/>
      <c r="N6247" s="4"/>
      <c r="O6247" s="5"/>
      <c r="P6247" s="5"/>
      <c r="Q6247" s="21">
        <v>0</v>
      </c>
      <c r="R6247" s="21">
        <v>0</v>
      </c>
      <c r="S6247" s="5">
        <f t="shared" si="391"/>
        <v>21572.91174969836</v>
      </c>
      <c r="T6247" cm="1">
        <f t="array" ref="T6247">IF(OR(B6247="MAL ALIMI", B6247="ÜRETİM GİRİŞ"), MIN(I6247, MAX(0, I6247 + SUM(SUMIFS($I$1:I6246, $C$1:C6246, C6247, $B$1:B6246, {"MAL ALIMI","ÜRETİM GİRİŞ"})) - VLOOKUP(C6247, 'STOK RAPORU'!$C$2:$I$1000, 4, 0))), 0)</f>
        <v>0</v>
      </c>
      <c r="U6247" s="22">
        <f t="shared" si="388"/>
        <v>0</v>
      </c>
      <c r="V6247">
        <f t="shared" si="389"/>
        <v>0</v>
      </c>
      <c r="W6247" s="22">
        <f t="shared" si="390"/>
        <v>0</v>
      </c>
    </row>
    <row r="6248" spans="1:23" hidden="1" x14ac:dyDescent="0.25">
      <c r="A6248" s="45">
        <v>46125</v>
      </c>
      <c r="B6248" s="46" t="s">
        <v>334</v>
      </c>
      <c r="C6248" s="4" t="s">
        <v>1183</v>
      </c>
      <c r="D6248" s="4"/>
      <c r="E6248" s="4" t="s">
        <v>921</v>
      </c>
      <c r="F6248" s="46" t="s">
        <v>3020</v>
      </c>
      <c r="G6248" s="4" t="s">
        <v>336</v>
      </c>
      <c r="H6248" s="4" t="s">
        <v>380</v>
      </c>
      <c r="I6248" s="4">
        <v>0.1</v>
      </c>
      <c r="J6248" s="21">
        <v>900</v>
      </c>
      <c r="K6248" s="21">
        <v>90</v>
      </c>
      <c r="L6248" s="5">
        <v>0</v>
      </c>
      <c r="M6248" s="4"/>
      <c r="N6248" s="4"/>
      <c r="O6248" s="5"/>
      <c r="P6248" s="5"/>
      <c r="Q6248" s="21">
        <v>0</v>
      </c>
      <c r="R6248" s="21">
        <v>0</v>
      </c>
      <c r="S6248" s="5">
        <f t="shared" si="391"/>
        <v>21572.91174969836</v>
      </c>
      <c r="T6248" cm="1">
        <f t="array" ref="T6248">IF(OR(B6248="MAL ALIMI", B6248="ÜRETİM GİRİŞ"), MIN(I6248, MAX(0, I6248 + SUM(SUMIFS($I$1:I6247, $C$1:C6247, C6248, $B$1:B6247, {"MAL ALIMI","ÜRETİM GİRİŞ"})) - VLOOKUP(C6248, 'STOK RAPORU'!$C$2:$I$1000, 4, 0))), 0)</f>
        <v>0</v>
      </c>
      <c r="U6248" s="22">
        <f t="shared" si="388"/>
        <v>0</v>
      </c>
      <c r="V6248">
        <f t="shared" si="389"/>
        <v>0</v>
      </c>
      <c r="W6248" s="22">
        <f t="shared" si="390"/>
        <v>0</v>
      </c>
    </row>
    <row r="6249" spans="1:23" hidden="1" x14ac:dyDescent="0.25">
      <c r="A6249" s="45">
        <v>46125</v>
      </c>
      <c r="B6249" s="46" t="s">
        <v>334</v>
      </c>
      <c r="C6249" s="4" t="s">
        <v>821</v>
      </c>
      <c r="D6249" s="4"/>
      <c r="E6249" s="4" t="s">
        <v>921</v>
      </c>
      <c r="F6249" s="46" t="s">
        <v>3020</v>
      </c>
      <c r="G6249" s="4" t="s">
        <v>336</v>
      </c>
      <c r="H6249" s="4" t="s">
        <v>380</v>
      </c>
      <c r="I6249" s="4">
        <v>1</v>
      </c>
      <c r="J6249" s="21">
        <v>110</v>
      </c>
      <c r="K6249" s="21">
        <v>110</v>
      </c>
      <c r="L6249" s="5">
        <v>0</v>
      </c>
      <c r="M6249" s="4"/>
      <c r="N6249" s="4"/>
      <c r="O6249" s="5"/>
      <c r="P6249" s="5"/>
      <c r="Q6249" s="21">
        <v>0</v>
      </c>
      <c r="R6249" s="21">
        <v>0</v>
      </c>
      <c r="S6249" s="5">
        <f t="shared" si="391"/>
        <v>21572.91174969836</v>
      </c>
      <c r="T6249" cm="1">
        <f t="array" ref="T6249">IF(OR(B6249="MAL ALIMI", B6249="ÜRETİM GİRİŞ"), MIN(I6249, MAX(0, I6249 + SUM(SUMIFS($I$1:I6248, $C$1:C6248, C6249, $B$1:B6248, {"MAL ALIMI","ÜRETİM GİRİŞ"})) - VLOOKUP(C6249, 'STOK RAPORU'!$C$2:$I$1000, 4, 0))), 0)</f>
        <v>0</v>
      </c>
      <c r="U6249" s="22">
        <f t="shared" si="388"/>
        <v>0</v>
      </c>
      <c r="V6249">
        <f t="shared" si="389"/>
        <v>0</v>
      </c>
      <c r="W6249" s="22">
        <f t="shared" si="390"/>
        <v>0</v>
      </c>
    </row>
    <row r="6250" spans="1:23" hidden="1" x14ac:dyDescent="0.25">
      <c r="A6250" s="45">
        <v>46125</v>
      </c>
      <c r="B6250" s="46" t="s">
        <v>334</v>
      </c>
      <c r="C6250" s="4" t="s">
        <v>1269</v>
      </c>
      <c r="D6250" s="4"/>
      <c r="E6250" s="4" t="s">
        <v>921</v>
      </c>
      <c r="F6250" s="46" t="s">
        <v>3021</v>
      </c>
      <c r="G6250" s="4" t="s">
        <v>336</v>
      </c>
      <c r="H6250" s="4" t="s">
        <v>380</v>
      </c>
      <c r="I6250" s="4">
        <v>1</v>
      </c>
      <c r="J6250" s="21">
        <v>125</v>
      </c>
      <c r="K6250" s="21">
        <v>125</v>
      </c>
      <c r="L6250" s="5">
        <v>0</v>
      </c>
      <c r="M6250" s="4"/>
      <c r="N6250" s="4"/>
      <c r="O6250" s="5"/>
      <c r="P6250" s="5"/>
      <c r="Q6250" s="21">
        <v>0</v>
      </c>
      <c r="R6250" s="21">
        <v>0</v>
      </c>
      <c r="S6250" s="5">
        <f t="shared" si="391"/>
        <v>21572.91174969836</v>
      </c>
      <c r="T6250" cm="1">
        <f t="array" ref="T6250">IF(OR(B6250="MAL ALIMI", B6250="ÜRETİM GİRİŞ"), MIN(I6250, MAX(0, I6250 + SUM(SUMIFS($I$1:I6249, $C$1:C6249, C6250, $B$1:B6249, {"MAL ALIMI","ÜRETİM GİRİŞ"})) - VLOOKUP(C6250, 'STOK RAPORU'!$C$2:$I$1000, 4, 0))), 0)</f>
        <v>0</v>
      </c>
      <c r="U6250" s="22">
        <f t="shared" si="388"/>
        <v>0</v>
      </c>
      <c r="V6250">
        <f t="shared" si="389"/>
        <v>0</v>
      </c>
      <c r="W6250" s="22">
        <f t="shared" si="390"/>
        <v>0</v>
      </c>
    </row>
    <row r="6251" spans="1:23" hidden="1" x14ac:dyDescent="0.25">
      <c r="A6251" s="45">
        <v>46125</v>
      </c>
      <c r="B6251" s="46" t="s">
        <v>334</v>
      </c>
      <c r="C6251" s="4" t="s">
        <v>209</v>
      </c>
      <c r="D6251" s="4"/>
      <c r="E6251" s="4" t="s">
        <v>921</v>
      </c>
      <c r="F6251" s="46" t="s">
        <v>3022</v>
      </c>
      <c r="G6251" s="4" t="s">
        <v>336</v>
      </c>
      <c r="H6251" s="4" t="s">
        <v>380</v>
      </c>
      <c r="I6251" s="4">
        <v>0.05</v>
      </c>
      <c r="J6251" s="21">
        <v>2600</v>
      </c>
      <c r="K6251" s="21">
        <v>130</v>
      </c>
      <c r="L6251" s="5">
        <v>0</v>
      </c>
      <c r="M6251" s="4"/>
      <c r="N6251" s="4"/>
      <c r="O6251" s="5"/>
      <c r="P6251" s="5"/>
      <c r="Q6251" s="21">
        <v>0</v>
      </c>
      <c r="R6251" s="21">
        <v>0</v>
      </c>
      <c r="S6251" s="5">
        <f t="shared" si="391"/>
        <v>21572.91174969836</v>
      </c>
      <c r="T6251" cm="1">
        <f t="array" ref="T6251">IF(OR(B6251="MAL ALIMI", B6251="ÜRETİM GİRİŞ"), MIN(I6251, MAX(0, I6251 + SUM(SUMIFS($I$1:I6250, $C$1:C6250, C6251, $B$1:B6250, {"MAL ALIMI","ÜRETİM GİRİŞ"})) - VLOOKUP(C6251, 'STOK RAPORU'!$C$2:$I$1000, 4, 0))), 0)</f>
        <v>0</v>
      </c>
      <c r="U6251" s="22">
        <f t="shared" si="388"/>
        <v>0</v>
      </c>
      <c r="V6251">
        <f t="shared" si="389"/>
        <v>0</v>
      </c>
      <c r="W6251" s="22">
        <f t="shared" si="390"/>
        <v>0</v>
      </c>
    </row>
    <row r="6252" spans="1:23" hidden="1" x14ac:dyDescent="0.25">
      <c r="A6252" s="45">
        <v>46125</v>
      </c>
      <c r="B6252" s="46" t="s">
        <v>334</v>
      </c>
      <c r="C6252" s="4" t="s">
        <v>160</v>
      </c>
      <c r="D6252" s="4"/>
      <c r="E6252" s="4" t="s">
        <v>921</v>
      </c>
      <c r="F6252" s="46" t="s">
        <v>3023</v>
      </c>
      <c r="G6252" s="4" t="s">
        <v>336</v>
      </c>
      <c r="H6252" s="4" t="s">
        <v>380</v>
      </c>
      <c r="I6252" s="4">
        <v>1</v>
      </c>
      <c r="J6252" s="21">
        <v>250</v>
      </c>
      <c r="K6252" s="21">
        <v>250</v>
      </c>
      <c r="L6252" s="5">
        <v>0</v>
      </c>
      <c r="M6252" s="4"/>
      <c r="N6252" s="4"/>
      <c r="O6252" s="5"/>
      <c r="P6252" s="5"/>
      <c r="Q6252" s="21">
        <v>0</v>
      </c>
      <c r="R6252" s="21">
        <v>0</v>
      </c>
      <c r="S6252" s="5">
        <f t="shared" si="391"/>
        <v>21572.91174969836</v>
      </c>
      <c r="T6252" cm="1">
        <f t="array" ref="T6252">IF(OR(B6252="MAL ALIMI", B6252="ÜRETİM GİRİŞ"), MIN(I6252, MAX(0, I6252 + SUM(SUMIFS($I$1:I6251, $C$1:C6251, C6252, $B$1:B6251, {"MAL ALIMI","ÜRETİM GİRİŞ"})) - VLOOKUP(C6252, 'STOK RAPORU'!$C$2:$I$1000, 4, 0))), 0)</f>
        <v>0</v>
      </c>
      <c r="U6252" s="22">
        <f t="shared" si="388"/>
        <v>0</v>
      </c>
      <c r="V6252">
        <f t="shared" si="389"/>
        <v>0</v>
      </c>
      <c r="W6252" s="22">
        <f t="shared" si="390"/>
        <v>0</v>
      </c>
    </row>
    <row r="6253" spans="1:23" hidden="1" x14ac:dyDescent="0.25">
      <c r="A6253" s="45">
        <v>46125</v>
      </c>
      <c r="B6253" s="46" t="s">
        <v>334</v>
      </c>
      <c r="C6253" s="4" t="s">
        <v>161</v>
      </c>
      <c r="D6253" s="4"/>
      <c r="E6253" s="4" t="s">
        <v>921</v>
      </c>
      <c r="F6253" s="46" t="s">
        <v>3023</v>
      </c>
      <c r="G6253" s="4" t="s">
        <v>336</v>
      </c>
      <c r="H6253" s="4" t="s">
        <v>380</v>
      </c>
      <c r="I6253" s="4">
        <v>1</v>
      </c>
      <c r="J6253" s="21">
        <v>250</v>
      </c>
      <c r="K6253" s="21">
        <v>250</v>
      </c>
      <c r="L6253" s="5">
        <v>0</v>
      </c>
      <c r="M6253" s="4"/>
      <c r="N6253" s="4"/>
      <c r="O6253" s="5"/>
      <c r="P6253" s="5"/>
      <c r="Q6253" s="21">
        <v>0</v>
      </c>
      <c r="R6253" s="21">
        <v>0</v>
      </c>
      <c r="S6253" s="5">
        <f t="shared" si="391"/>
        <v>21572.91174969836</v>
      </c>
      <c r="T6253" cm="1">
        <f t="array" ref="T6253">IF(OR(B6253="MAL ALIMI", B6253="ÜRETİM GİRİŞ"), MIN(I6253, MAX(0, I6253 + SUM(SUMIFS($I$1:I6252, $C$1:C6252, C6253, $B$1:B6252, {"MAL ALIMI","ÜRETİM GİRİŞ"})) - VLOOKUP(C6253, 'STOK RAPORU'!$C$2:$I$1000, 4, 0))), 0)</f>
        <v>0</v>
      </c>
      <c r="U6253" s="22">
        <f t="shared" si="388"/>
        <v>0</v>
      </c>
      <c r="V6253">
        <f t="shared" si="389"/>
        <v>0</v>
      </c>
      <c r="W6253" s="22">
        <f t="shared" si="390"/>
        <v>0</v>
      </c>
    </row>
    <row r="6254" spans="1:23" hidden="1" x14ac:dyDescent="0.25">
      <c r="A6254" s="45">
        <v>46125</v>
      </c>
      <c r="B6254" s="46" t="s">
        <v>334</v>
      </c>
      <c r="C6254" s="4" t="s">
        <v>1368</v>
      </c>
      <c r="D6254" s="4"/>
      <c r="E6254" s="4" t="s">
        <v>921</v>
      </c>
      <c r="F6254" s="46" t="s">
        <v>3023</v>
      </c>
      <c r="G6254" s="4" t="s">
        <v>336</v>
      </c>
      <c r="H6254" s="4" t="s">
        <v>380</v>
      </c>
      <c r="I6254" s="4">
        <v>1</v>
      </c>
      <c r="J6254" s="21">
        <v>180</v>
      </c>
      <c r="K6254" s="21">
        <v>180</v>
      </c>
      <c r="L6254" s="5">
        <v>0</v>
      </c>
      <c r="M6254" s="4"/>
      <c r="N6254" s="4"/>
      <c r="O6254" s="5"/>
      <c r="P6254" s="5"/>
      <c r="Q6254" s="21">
        <v>0</v>
      </c>
      <c r="R6254" s="21">
        <v>0</v>
      </c>
      <c r="S6254" s="5">
        <f t="shared" si="391"/>
        <v>21572.91174969836</v>
      </c>
      <c r="T6254" cm="1">
        <f t="array" ref="T6254">IF(OR(B6254="MAL ALIMI", B6254="ÜRETİM GİRİŞ"), MIN(I6254, MAX(0, I6254 + SUM(SUMIFS($I$1:I6253, $C$1:C6253, C6254, $B$1:B6253, {"MAL ALIMI","ÜRETİM GİRİŞ"})) - VLOOKUP(C6254, 'STOK RAPORU'!$C$2:$I$1000, 4, 0))), 0)</f>
        <v>0</v>
      </c>
      <c r="U6254" s="22">
        <f t="shared" si="388"/>
        <v>0</v>
      </c>
      <c r="V6254">
        <f t="shared" si="389"/>
        <v>0</v>
      </c>
      <c r="W6254" s="22">
        <f t="shared" si="390"/>
        <v>0</v>
      </c>
    </row>
    <row r="6255" spans="1:23" hidden="1" x14ac:dyDescent="0.25">
      <c r="A6255" s="45">
        <v>46125</v>
      </c>
      <c r="B6255" s="46" t="s">
        <v>334</v>
      </c>
      <c r="C6255" s="4" t="s">
        <v>129</v>
      </c>
      <c r="D6255" s="4"/>
      <c r="E6255" s="4" t="s">
        <v>921</v>
      </c>
      <c r="F6255" s="46" t="s">
        <v>3023</v>
      </c>
      <c r="G6255" s="4" t="s">
        <v>336</v>
      </c>
      <c r="H6255" s="4" t="s">
        <v>380</v>
      </c>
      <c r="I6255" s="4">
        <v>0.05</v>
      </c>
      <c r="J6255" s="21">
        <v>400</v>
      </c>
      <c r="K6255" s="21">
        <v>20</v>
      </c>
      <c r="L6255" s="5">
        <v>0</v>
      </c>
      <c r="M6255" s="4"/>
      <c r="N6255" s="4"/>
      <c r="O6255" s="5"/>
      <c r="P6255" s="5"/>
      <c r="Q6255" s="21">
        <v>0</v>
      </c>
      <c r="R6255" s="21">
        <v>0</v>
      </c>
      <c r="S6255" s="5">
        <f t="shared" si="391"/>
        <v>21572.91174969836</v>
      </c>
      <c r="T6255" cm="1">
        <f t="array" ref="T6255">IF(OR(B6255="MAL ALIMI", B6255="ÜRETİM GİRİŞ"), MIN(I6255, MAX(0, I6255 + SUM(SUMIFS($I$1:I6254, $C$1:C6254, C6255, $B$1:B6254, {"MAL ALIMI","ÜRETİM GİRİŞ"})) - VLOOKUP(C6255, 'STOK RAPORU'!$C$2:$I$1000, 4, 0))), 0)</f>
        <v>0</v>
      </c>
      <c r="U6255" s="22">
        <f t="shared" si="388"/>
        <v>0</v>
      </c>
      <c r="V6255">
        <f t="shared" si="389"/>
        <v>0</v>
      </c>
      <c r="W6255" s="22">
        <f t="shared" si="390"/>
        <v>0</v>
      </c>
    </row>
    <row r="6256" spans="1:23" hidden="1" x14ac:dyDescent="0.25">
      <c r="A6256" s="45">
        <v>46125</v>
      </c>
      <c r="B6256" s="46" t="s">
        <v>334</v>
      </c>
      <c r="C6256" s="4" t="s">
        <v>130</v>
      </c>
      <c r="D6256" s="4"/>
      <c r="E6256" s="4" t="s">
        <v>921</v>
      </c>
      <c r="F6256" s="46" t="s">
        <v>3023</v>
      </c>
      <c r="G6256" s="4" t="s">
        <v>336</v>
      </c>
      <c r="H6256" s="4" t="s">
        <v>380</v>
      </c>
      <c r="I6256" s="4">
        <v>0.1</v>
      </c>
      <c r="J6256" s="21">
        <v>500</v>
      </c>
      <c r="K6256" s="21">
        <v>50</v>
      </c>
      <c r="L6256" s="5">
        <v>0</v>
      </c>
      <c r="M6256" s="4"/>
      <c r="N6256" s="4"/>
      <c r="O6256" s="5"/>
      <c r="P6256" s="5"/>
      <c r="Q6256" s="21">
        <v>0</v>
      </c>
      <c r="R6256" s="21">
        <v>0</v>
      </c>
      <c r="S6256" s="5">
        <f t="shared" si="391"/>
        <v>21572.91174969836</v>
      </c>
      <c r="T6256" cm="1">
        <f t="array" ref="T6256">IF(OR(B6256="MAL ALIMI", B6256="ÜRETİM GİRİŞ"), MIN(I6256, MAX(0, I6256 + SUM(SUMIFS($I$1:I6255, $C$1:C6255, C6256, $B$1:B6255, {"MAL ALIMI","ÜRETİM GİRİŞ"})) - VLOOKUP(C6256, 'STOK RAPORU'!$C$2:$I$1000, 4, 0))), 0)</f>
        <v>0</v>
      </c>
      <c r="U6256" s="22">
        <f t="shared" si="388"/>
        <v>0</v>
      </c>
      <c r="V6256">
        <f t="shared" si="389"/>
        <v>0</v>
      </c>
      <c r="W6256" s="22">
        <f t="shared" si="390"/>
        <v>0</v>
      </c>
    </row>
    <row r="6257" spans="1:23" hidden="1" x14ac:dyDescent="0.25">
      <c r="A6257" s="45">
        <v>46125</v>
      </c>
      <c r="B6257" s="46" t="s">
        <v>334</v>
      </c>
      <c r="C6257" s="4" t="s">
        <v>60</v>
      </c>
      <c r="D6257" s="4"/>
      <c r="E6257" s="4" t="s">
        <v>921</v>
      </c>
      <c r="F6257" s="46" t="s">
        <v>3023</v>
      </c>
      <c r="G6257" s="4" t="s">
        <v>336</v>
      </c>
      <c r="H6257" s="4" t="s">
        <v>380</v>
      </c>
      <c r="I6257" s="4">
        <v>0.05</v>
      </c>
      <c r="J6257" s="21">
        <v>1200</v>
      </c>
      <c r="K6257" s="21">
        <v>60</v>
      </c>
      <c r="L6257" s="5">
        <v>0</v>
      </c>
      <c r="M6257" s="4"/>
      <c r="N6257" s="4"/>
      <c r="O6257" s="5"/>
      <c r="P6257" s="5"/>
      <c r="Q6257" s="21">
        <v>0</v>
      </c>
      <c r="R6257" s="21">
        <v>0</v>
      </c>
      <c r="S6257" s="5">
        <f t="shared" si="391"/>
        <v>21572.91174969836</v>
      </c>
      <c r="T6257" cm="1">
        <f t="array" ref="T6257">IF(OR(B6257="MAL ALIMI", B6257="ÜRETİM GİRİŞ"), MIN(I6257, MAX(0, I6257 + SUM(SUMIFS($I$1:I6256, $C$1:C6256, C6257, $B$1:B6256, {"MAL ALIMI","ÜRETİM GİRİŞ"})) - VLOOKUP(C6257, 'STOK RAPORU'!$C$2:$I$1000, 4, 0))), 0)</f>
        <v>0</v>
      </c>
      <c r="U6257" s="22">
        <f t="shared" si="388"/>
        <v>0</v>
      </c>
      <c r="V6257">
        <f t="shared" si="389"/>
        <v>0</v>
      </c>
      <c r="W6257" s="22">
        <f t="shared" si="390"/>
        <v>0</v>
      </c>
    </row>
    <row r="6258" spans="1:23" hidden="1" x14ac:dyDescent="0.25">
      <c r="A6258" s="45">
        <v>46125</v>
      </c>
      <c r="B6258" s="46" t="s">
        <v>334</v>
      </c>
      <c r="C6258" s="4" t="s">
        <v>1365</v>
      </c>
      <c r="D6258" s="4"/>
      <c r="E6258" s="4"/>
      <c r="F6258" s="46" t="s">
        <v>3024</v>
      </c>
      <c r="G6258" s="4" t="s">
        <v>336</v>
      </c>
      <c r="H6258" s="4" t="s">
        <v>289</v>
      </c>
      <c r="I6258" s="4">
        <v>1</v>
      </c>
      <c r="J6258" s="21">
        <v>140</v>
      </c>
      <c r="K6258" s="21">
        <v>0</v>
      </c>
      <c r="L6258" s="5">
        <v>0</v>
      </c>
      <c r="M6258" s="4"/>
      <c r="N6258" s="4"/>
      <c r="O6258" s="5"/>
      <c r="P6258" s="5"/>
      <c r="Q6258" s="21">
        <v>140</v>
      </c>
      <c r="R6258" s="21">
        <v>0</v>
      </c>
      <c r="S6258" s="5">
        <f t="shared" si="391"/>
        <v>21712.91174969836</v>
      </c>
      <c r="T6258" cm="1">
        <f t="array" ref="T6258">IF(OR(B6258="MAL ALIMI", B6258="ÜRETİM GİRİŞ"), MIN(I6258, MAX(0, I6258 + SUM(SUMIFS($I$1:I6257, $C$1:C6257, C6258, $B$1:B6257, {"MAL ALIMI","ÜRETİM GİRİŞ"})) - VLOOKUP(C6258, 'STOK RAPORU'!$C$2:$I$1000, 4, 0))), 0)</f>
        <v>0</v>
      </c>
      <c r="U6258" s="22">
        <f t="shared" ref="U6258:U6321" si="392">T6258*J6258</f>
        <v>0</v>
      </c>
      <c r="V6258">
        <f t="shared" ref="V6258:V6321" si="393">IF(OR(B6258="MAL ALIMI", B6258="ÜRETİM GİRİŞ"), I6258 * J6258, 0)</f>
        <v>0</v>
      </c>
      <c r="W6258" s="22">
        <f t="shared" ref="W6258:W6321" si="394">V6258-U6258</f>
        <v>0</v>
      </c>
    </row>
    <row r="6259" spans="1:23" hidden="1" x14ac:dyDescent="0.25">
      <c r="A6259" s="45">
        <v>46125</v>
      </c>
      <c r="B6259" s="46" t="s">
        <v>334</v>
      </c>
      <c r="C6259" s="4" t="s">
        <v>131</v>
      </c>
      <c r="D6259" s="4"/>
      <c r="E6259" s="4"/>
      <c r="F6259" s="46" t="s">
        <v>3024</v>
      </c>
      <c r="G6259" s="4" t="s">
        <v>336</v>
      </c>
      <c r="H6259" s="4" t="s">
        <v>289</v>
      </c>
      <c r="I6259" s="4">
        <v>7.4999999999999997E-2</v>
      </c>
      <c r="J6259" s="21">
        <v>400</v>
      </c>
      <c r="K6259" s="21">
        <v>0</v>
      </c>
      <c r="L6259" s="5">
        <v>0</v>
      </c>
      <c r="M6259" s="4"/>
      <c r="N6259" s="4"/>
      <c r="O6259" s="5"/>
      <c r="P6259" s="5"/>
      <c r="Q6259" s="21">
        <v>30</v>
      </c>
      <c r="R6259" s="21">
        <v>0</v>
      </c>
      <c r="S6259" s="5">
        <f t="shared" si="391"/>
        <v>21742.91174969836</v>
      </c>
      <c r="T6259" cm="1">
        <f t="array" ref="T6259">IF(OR(B6259="MAL ALIMI", B6259="ÜRETİM GİRİŞ"), MIN(I6259, MAX(0, I6259 + SUM(SUMIFS($I$1:I6258, $C$1:C6258, C6259, $B$1:B6258, {"MAL ALIMI","ÜRETİM GİRİŞ"})) - VLOOKUP(C6259, 'STOK RAPORU'!$C$2:$I$1000, 4, 0))), 0)</f>
        <v>0</v>
      </c>
      <c r="U6259" s="22">
        <f t="shared" si="392"/>
        <v>0</v>
      </c>
      <c r="V6259">
        <f t="shared" si="393"/>
        <v>0</v>
      </c>
      <c r="W6259" s="22">
        <f t="shared" si="394"/>
        <v>0</v>
      </c>
    </row>
    <row r="6260" spans="1:23" hidden="1" x14ac:dyDescent="0.25">
      <c r="A6260" s="45">
        <v>46125</v>
      </c>
      <c r="B6260" s="46" t="s">
        <v>334</v>
      </c>
      <c r="C6260" s="4" t="s">
        <v>691</v>
      </c>
      <c r="D6260" s="4"/>
      <c r="E6260" s="4"/>
      <c r="F6260" s="46" t="s">
        <v>3025</v>
      </c>
      <c r="G6260" s="4" t="s">
        <v>1945</v>
      </c>
      <c r="H6260" s="4" t="s">
        <v>289</v>
      </c>
      <c r="I6260" s="4">
        <v>0.3</v>
      </c>
      <c r="J6260" s="21">
        <v>230</v>
      </c>
      <c r="K6260" s="21">
        <v>0</v>
      </c>
      <c r="L6260" s="5">
        <v>0</v>
      </c>
      <c r="M6260" s="4"/>
      <c r="N6260" s="4"/>
      <c r="O6260" s="5"/>
      <c r="P6260" s="5"/>
      <c r="Q6260" s="21">
        <v>69</v>
      </c>
      <c r="R6260" s="21">
        <v>0</v>
      </c>
      <c r="S6260" s="5">
        <f t="shared" si="391"/>
        <v>21811.91174969836</v>
      </c>
      <c r="T6260" cm="1">
        <f t="array" ref="T6260">IF(OR(B6260="MAL ALIMI", B6260="ÜRETİM GİRİŞ"), MIN(I6260, MAX(0, I6260 + SUM(SUMIFS($I$1:I6259, $C$1:C6259, C6260, $B$1:B6259, {"MAL ALIMI","ÜRETİM GİRİŞ"})) - VLOOKUP(C6260, 'STOK RAPORU'!$C$2:$I$1000, 4, 0))), 0)</f>
        <v>0</v>
      </c>
      <c r="U6260" s="22">
        <f t="shared" si="392"/>
        <v>0</v>
      </c>
      <c r="V6260">
        <f t="shared" si="393"/>
        <v>0</v>
      </c>
      <c r="W6260" s="22">
        <f t="shared" si="394"/>
        <v>0</v>
      </c>
    </row>
    <row r="6261" spans="1:23" hidden="1" x14ac:dyDescent="0.25">
      <c r="A6261" s="45">
        <v>46125</v>
      </c>
      <c r="B6261" s="46" t="s">
        <v>334</v>
      </c>
      <c r="C6261" s="4" t="s">
        <v>226</v>
      </c>
      <c r="D6261" s="4"/>
      <c r="E6261" s="4"/>
      <c r="F6261" s="46" t="s">
        <v>3025</v>
      </c>
      <c r="G6261" s="4" t="s">
        <v>1945</v>
      </c>
      <c r="H6261" s="4" t="s">
        <v>289</v>
      </c>
      <c r="I6261" s="4">
        <v>0.22727272727272727</v>
      </c>
      <c r="J6261" s="21">
        <v>220</v>
      </c>
      <c r="K6261" s="21">
        <v>0</v>
      </c>
      <c r="L6261" s="5">
        <v>0</v>
      </c>
      <c r="M6261" s="4"/>
      <c r="N6261" s="4"/>
      <c r="O6261" s="5"/>
      <c r="P6261" s="5"/>
      <c r="Q6261" s="21">
        <v>50</v>
      </c>
      <c r="R6261" s="21">
        <v>0</v>
      </c>
      <c r="S6261" s="5">
        <f t="shared" si="391"/>
        <v>21861.91174969836</v>
      </c>
      <c r="T6261" cm="1">
        <f t="array" ref="T6261">IF(OR(B6261="MAL ALIMI", B6261="ÜRETİM GİRİŞ"), MIN(I6261, MAX(0, I6261 + SUM(SUMIFS($I$1:I6260, $C$1:C6260, C6261, $B$1:B6260, {"MAL ALIMI","ÜRETİM GİRİŞ"})) - VLOOKUP(C6261, 'STOK RAPORU'!$C$2:$I$1000, 4, 0))), 0)</f>
        <v>0</v>
      </c>
      <c r="U6261" s="22">
        <f t="shared" si="392"/>
        <v>0</v>
      </c>
      <c r="V6261">
        <f t="shared" si="393"/>
        <v>0</v>
      </c>
      <c r="W6261" s="22">
        <f t="shared" si="394"/>
        <v>0</v>
      </c>
    </row>
    <row r="6262" spans="1:23" hidden="1" x14ac:dyDescent="0.25">
      <c r="A6262" s="3">
        <v>46125</v>
      </c>
      <c r="B6262" s="4" t="s">
        <v>946</v>
      </c>
      <c r="C6262" s="4"/>
      <c r="D6262" s="4"/>
      <c r="E6262" s="4" t="s">
        <v>921</v>
      </c>
      <c r="F6262" s="4"/>
      <c r="G6262" s="4" t="s">
        <v>946</v>
      </c>
      <c r="H6262" s="4" t="s">
        <v>380</v>
      </c>
      <c r="I6262" s="4">
        <v>1</v>
      </c>
      <c r="J6262" s="105">
        <v>304</v>
      </c>
      <c r="K6262" s="21">
        <v>0</v>
      </c>
      <c r="L6262" s="32">
        <v>304</v>
      </c>
      <c r="M6262" s="4"/>
      <c r="N6262" s="4"/>
      <c r="O6262" s="5"/>
      <c r="P6262" s="5"/>
      <c r="Q6262" s="21">
        <v>304</v>
      </c>
      <c r="R6262" s="21">
        <v>0</v>
      </c>
      <c r="S6262" s="5">
        <f t="shared" si="391"/>
        <v>22165.91174969836</v>
      </c>
      <c r="T6262" cm="1">
        <f t="array" ref="T6262">IF(OR(B6262="MAL ALIMI", B6262="ÜRETİM GİRİŞ"), MIN(I6262, MAX(0, I6262 + SUM(SUMIFS($I$1:I6261, $C$1:C6261, C6262, $B$1:B6261, {"MAL ALIMI","ÜRETİM GİRİŞ"})) - VLOOKUP(C6262, 'STOK RAPORU'!$C$2:$I$1000, 4, 0))), 0)</f>
        <v>0</v>
      </c>
      <c r="U6262" s="22">
        <f t="shared" si="392"/>
        <v>0</v>
      </c>
      <c r="V6262">
        <f t="shared" si="393"/>
        <v>0</v>
      </c>
      <c r="W6262" s="22">
        <f t="shared" si="394"/>
        <v>0</v>
      </c>
    </row>
    <row r="6263" spans="1:23" hidden="1" x14ac:dyDescent="0.25">
      <c r="A6263" s="45">
        <v>46126</v>
      </c>
      <c r="B6263" s="46" t="s">
        <v>334</v>
      </c>
      <c r="C6263" s="4" t="s">
        <v>2604</v>
      </c>
      <c r="D6263" s="4"/>
      <c r="E6263" s="4"/>
      <c r="F6263" s="46" t="s">
        <v>3028</v>
      </c>
      <c r="G6263" s="4" t="s">
        <v>336</v>
      </c>
      <c r="H6263" s="4" t="s">
        <v>289</v>
      </c>
      <c r="I6263" s="4">
        <v>0.1</v>
      </c>
      <c r="J6263" s="21">
        <v>500</v>
      </c>
      <c r="K6263" s="21">
        <v>0</v>
      </c>
      <c r="L6263" s="5">
        <v>0</v>
      </c>
      <c r="M6263" s="4"/>
      <c r="N6263" s="4"/>
      <c r="O6263" s="5"/>
      <c r="P6263" s="5"/>
      <c r="Q6263" s="21">
        <v>50</v>
      </c>
      <c r="R6263" s="21">
        <v>0</v>
      </c>
      <c r="S6263" s="5">
        <f t="shared" si="391"/>
        <v>22215.91174969836</v>
      </c>
      <c r="T6263" cm="1">
        <f t="array" ref="T6263">IF(OR(B6263="MAL ALIMI", B6263="ÜRETİM GİRİŞ"), MIN(I6263, MAX(0, I6263 + SUM(SUMIFS($I$1:I6262, $C$1:C6262, C6263, $B$1:B6262, {"MAL ALIMI","ÜRETİM GİRİŞ"})) - VLOOKUP(C6263, 'STOK RAPORU'!$C$2:$I$1000, 4, 0))), 0)</f>
        <v>0</v>
      </c>
      <c r="U6263" s="22">
        <f t="shared" si="392"/>
        <v>0</v>
      </c>
      <c r="V6263">
        <f t="shared" si="393"/>
        <v>0</v>
      </c>
      <c r="W6263" s="22">
        <f t="shared" si="394"/>
        <v>0</v>
      </c>
    </row>
    <row r="6264" spans="1:23" hidden="1" x14ac:dyDescent="0.25">
      <c r="A6264" s="45">
        <v>46126</v>
      </c>
      <c r="B6264" s="46" t="s">
        <v>334</v>
      </c>
      <c r="C6264" s="4" t="s">
        <v>1041</v>
      </c>
      <c r="D6264" s="4"/>
      <c r="E6264" s="4" t="s">
        <v>921</v>
      </c>
      <c r="F6264" s="46" t="s">
        <v>3029</v>
      </c>
      <c r="G6264" s="4" t="s">
        <v>336</v>
      </c>
      <c r="H6264" s="4" t="s">
        <v>380</v>
      </c>
      <c r="I6264" s="4">
        <v>0.8</v>
      </c>
      <c r="J6264" s="21">
        <v>250</v>
      </c>
      <c r="K6264" s="21">
        <v>200</v>
      </c>
      <c r="L6264" s="5">
        <v>0</v>
      </c>
      <c r="M6264" s="4"/>
      <c r="N6264" s="4"/>
      <c r="O6264" s="5"/>
      <c r="P6264" s="5"/>
      <c r="Q6264" s="21">
        <v>0</v>
      </c>
      <c r="R6264" s="21">
        <v>0</v>
      </c>
      <c r="S6264" s="5">
        <f t="shared" si="391"/>
        <v>22215.91174969836</v>
      </c>
      <c r="T6264" cm="1">
        <f t="array" ref="T6264">IF(OR(B6264="MAL ALIMI", B6264="ÜRETİM GİRİŞ"), MIN(I6264, MAX(0, I6264 + SUM(SUMIFS($I$1:I6263, $C$1:C6263, C6264, $B$1:B6263, {"MAL ALIMI","ÜRETİM GİRİŞ"})) - VLOOKUP(C6264, 'STOK RAPORU'!$C$2:$I$1000, 4, 0))), 0)</f>
        <v>0</v>
      </c>
      <c r="U6264" s="22">
        <f t="shared" si="392"/>
        <v>0</v>
      </c>
      <c r="V6264">
        <f t="shared" si="393"/>
        <v>0</v>
      </c>
      <c r="W6264" s="22">
        <f t="shared" si="394"/>
        <v>0</v>
      </c>
    </row>
    <row r="6265" spans="1:23" hidden="1" x14ac:dyDescent="0.25">
      <c r="A6265" s="45">
        <v>46126</v>
      </c>
      <c r="B6265" s="46" t="s">
        <v>334</v>
      </c>
      <c r="C6265" s="4" t="s">
        <v>151</v>
      </c>
      <c r="D6265" s="4"/>
      <c r="E6265" s="4"/>
      <c r="F6265" s="46" t="s">
        <v>3031</v>
      </c>
      <c r="G6265" s="4" t="s">
        <v>336</v>
      </c>
      <c r="H6265" s="4" t="s">
        <v>289</v>
      </c>
      <c r="I6265" s="4">
        <v>0.125</v>
      </c>
      <c r="J6265" s="21">
        <v>400</v>
      </c>
      <c r="K6265" s="21">
        <v>0</v>
      </c>
      <c r="L6265" s="5">
        <v>0</v>
      </c>
      <c r="M6265" s="4"/>
      <c r="N6265" s="4"/>
      <c r="O6265" s="5"/>
      <c r="P6265" s="5"/>
      <c r="Q6265" s="21">
        <v>50</v>
      </c>
      <c r="R6265" s="21">
        <v>0</v>
      </c>
      <c r="S6265" s="5">
        <f t="shared" si="391"/>
        <v>22265.91174969836</v>
      </c>
      <c r="T6265" cm="1">
        <f t="array" ref="T6265">IF(OR(B6265="MAL ALIMI", B6265="ÜRETİM GİRİŞ"), MIN(I6265, MAX(0, I6265 + SUM(SUMIFS($I$1:I6264, $C$1:C6264, C6265, $B$1:B6264, {"MAL ALIMI","ÜRETİM GİRİŞ"})) - VLOOKUP(C6265, 'STOK RAPORU'!$C$2:$I$1000, 4, 0))), 0)</f>
        <v>0</v>
      </c>
      <c r="U6265" s="22">
        <f t="shared" si="392"/>
        <v>0</v>
      </c>
      <c r="V6265">
        <f t="shared" si="393"/>
        <v>0</v>
      </c>
      <c r="W6265" s="22">
        <f t="shared" si="394"/>
        <v>0</v>
      </c>
    </row>
    <row r="6266" spans="1:23" hidden="1" x14ac:dyDescent="0.25">
      <c r="A6266" s="45">
        <v>46126</v>
      </c>
      <c r="B6266" s="46" t="s">
        <v>334</v>
      </c>
      <c r="C6266" s="4" t="s">
        <v>266</v>
      </c>
      <c r="D6266" s="4"/>
      <c r="E6266" s="4" t="s">
        <v>921</v>
      </c>
      <c r="F6266" s="46" t="s">
        <v>3030</v>
      </c>
      <c r="G6266" s="4" t="s">
        <v>336</v>
      </c>
      <c r="H6266" s="4" t="s">
        <v>380</v>
      </c>
      <c r="I6266" s="4">
        <v>0.44</v>
      </c>
      <c r="J6266" s="21">
        <v>250</v>
      </c>
      <c r="K6266" s="21">
        <v>110</v>
      </c>
      <c r="L6266" s="5">
        <v>0</v>
      </c>
      <c r="M6266" s="4"/>
      <c r="N6266" s="4"/>
      <c r="O6266" s="5"/>
      <c r="P6266" s="5"/>
      <c r="Q6266" s="21">
        <v>0</v>
      </c>
      <c r="R6266" s="21">
        <v>0</v>
      </c>
      <c r="S6266" s="5">
        <f t="shared" si="391"/>
        <v>22265.91174969836</v>
      </c>
      <c r="T6266" cm="1">
        <f t="array" ref="T6266">IF(OR(B6266="MAL ALIMI", B6266="ÜRETİM GİRİŞ"), MIN(I6266, MAX(0, I6266 + SUM(SUMIFS($I$1:I6265, $C$1:C6265, C6266, $B$1:B6265, {"MAL ALIMI","ÜRETİM GİRİŞ"})) - VLOOKUP(C6266, 'STOK RAPORU'!$C$2:$I$1000, 4, 0))), 0)</f>
        <v>0</v>
      </c>
      <c r="U6266" s="22">
        <f t="shared" si="392"/>
        <v>0</v>
      </c>
      <c r="V6266">
        <f t="shared" si="393"/>
        <v>0</v>
      </c>
      <c r="W6266" s="22">
        <f t="shared" si="394"/>
        <v>0</v>
      </c>
    </row>
    <row r="6267" spans="1:23" hidden="1" x14ac:dyDescent="0.25">
      <c r="A6267" s="45">
        <v>46126</v>
      </c>
      <c r="B6267" s="46" t="s">
        <v>334</v>
      </c>
      <c r="C6267" s="4" t="s">
        <v>517</v>
      </c>
      <c r="D6267" s="4"/>
      <c r="E6267" s="4"/>
      <c r="F6267" s="46" t="s">
        <v>3032</v>
      </c>
      <c r="G6267" s="4" t="s">
        <v>336</v>
      </c>
      <c r="H6267" s="4" t="s">
        <v>289</v>
      </c>
      <c r="I6267" s="4">
        <v>1</v>
      </c>
      <c r="J6267" s="21">
        <v>190</v>
      </c>
      <c r="K6267" s="21">
        <v>0</v>
      </c>
      <c r="L6267" s="5">
        <v>0</v>
      </c>
      <c r="M6267" s="4"/>
      <c r="N6267" s="4"/>
      <c r="O6267" s="5"/>
      <c r="P6267" s="5"/>
      <c r="Q6267" s="21">
        <v>190</v>
      </c>
      <c r="R6267" s="21">
        <v>0</v>
      </c>
      <c r="S6267" s="5">
        <f t="shared" si="391"/>
        <v>22455.91174969836</v>
      </c>
      <c r="T6267" cm="1">
        <f t="array" ref="T6267">IF(OR(B6267="MAL ALIMI", B6267="ÜRETİM GİRİŞ"), MIN(I6267, MAX(0, I6267 + SUM(SUMIFS($I$1:I6266, $C$1:C6266, C6267, $B$1:B6266, {"MAL ALIMI","ÜRETİM GİRİŞ"})) - VLOOKUP(C6267, 'STOK RAPORU'!$C$2:$I$1000, 4, 0))), 0)</f>
        <v>0</v>
      </c>
      <c r="U6267" s="22">
        <f t="shared" si="392"/>
        <v>0</v>
      </c>
      <c r="V6267">
        <f t="shared" si="393"/>
        <v>0</v>
      </c>
      <c r="W6267" s="22">
        <f t="shared" si="394"/>
        <v>0</v>
      </c>
    </row>
    <row r="6268" spans="1:23" hidden="1" x14ac:dyDescent="0.25">
      <c r="A6268" s="45">
        <v>46126</v>
      </c>
      <c r="B6268" s="46" t="s">
        <v>334</v>
      </c>
      <c r="C6268" s="4" t="s">
        <v>824</v>
      </c>
      <c r="D6268" s="4"/>
      <c r="E6268" s="4"/>
      <c r="F6268" s="46" t="s">
        <v>3032</v>
      </c>
      <c r="G6268" s="4" t="s">
        <v>336</v>
      </c>
      <c r="H6268" s="4" t="s">
        <v>289</v>
      </c>
      <c r="I6268" s="4">
        <v>1</v>
      </c>
      <c r="J6268" s="21">
        <v>125</v>
      </c>
      <c r="K6268" s="21">
        <v>0</v>
      </c>
      <c r="L6268" s="5">
        <v>0</v>
      </c>
      <c r="M6268" s="4"/>
      <c r="N6268" s="4"/>
      <c r="O6268" s="5"/>
      <c r="P6268" s="5"/>
      <c r="Q6268" s="21">
        <v>125</v>
      </c>
      <c r="R6268" s="21">
        <v>0</v>
      </c>
      <c r="S6268" s="5">
        <f t="shared" si="391"/>
        <v>22580.91174969836</v>
      </c>
      <c r="T6268" cm="1">
        <f t="array" ref="T6268">IF(OR(B6268="MAL ALIMI", B6268="ÜRETİM GİRİŞ"), MIN(I6268, MAX(0, I6268 + SUM(SUMIFS($I$1:I6267, $C$1:C6267, C6268, $B$1:B6267, {"MAL ALIMI","ÜRETİM GİRİŞ"})) - VLOOKUP(C6268, 'STOK RAPORU'!$C$2:$I$1000, 4, 0))), 0)</f>
        <v>0</v>
      </c>
      <c r="U6268" s="22">
        <f t="shared" si="392"/>
        <v>0</v>
      </c>
      <c r="V6268">
        <f t="shared" si="393"/>
        <v>0</v>
      </c>
      <c r="W6268" s="22">
        <f t="shared" si="394"/>
        <v>0</v>
      </c>
    </row>
    <row r="6269" spans="1:23" hidden="1" x14ac:dyDescent="0.25">
      <c r="A6269" s="45">
        <v>46126</v>
      </c>
      <c r="B6269" s="46" t="s">
        <v>334</v>
      </c>
      <c r="C6269" s="4" t="s">
        <v>465</v>
      </c>
      <c r="D6269" s="4"/>
      <c r="E6269" s="4"/>
      <c r="F6269" s="46" t="s">
        <v>3032</v>
      </c>
      <c r="G6269" s="4" t="s">
        <v>336</v>
      </c>
      <c r="H6269" s="4" t="s">
        <v>289</v>
      </c>
      <c r="I6269" s="4">
        <v>1</v>
      </c>
      <c r="J6269" s="21">
        <v>50</v>
      </c>
      <c r="K6269" s="21">
        <v>0</v>
      </c>
      <c r="L6269" s="5">
        <v>0</v>
      </c>
      <c r="M6269" s="4"/>
      <c r="N6269" s="4"/>
      <c r="O6269" s="5"/>
      <c r="P6269" s="5"/>
      <c r="Q6269" s="21">
        <v>50</v>
      </c>
      <c r="R6269" s="21">
        <v>0</v>
      </c>
      <c r="S6269" s="5">
        <f t="shared" si="391"/>
        <v>22630.91174969836</v>
      </c>
      <c r="T6269" cm="1">
        <f t="array" ref="T6269">IF(OR(B6269="MAL ALIMI", B6269="ÜRETİM GİRİŞ"), MIN(I6269, MAX(0, I6269 + SUM(SUMIFS($I$1:I6268, $C$1:C6268, C6269, $B$1:B6268, {"MAL ALIMI","ÜRETİM GİRİŞ"})) - VLOOKUP(C6269, 'STOK RAPORU'!$C$2:$I$1000, 4, 0))), 0)</f>
        <v>0</v>
      </c>
      <c r="U6269" s="22">
        <f t="shared" si="392"/>
        <v>0</v>
      </c>
      <c r="V6269">
        <f t="shared" si="393"/>
        <v>0</v>
      </c>
      <c r="W6269" s="22">
        <f t="shared" si="394"/>
        <v>0</v>
      </c>
    </row>
    <row r="6270" spans="1:23" hidden="1" x14ac:dyDescent="0.25">
      <c r="A6270" s="45">
        <v>46126</v>
      </c>
      <c r="B6270" s="46" t="s">
        <v>334</v>
      </c>
      <c r="C6270" s="4" t="s">
        <v>634</v>
      </c>
      <c r="D6270" s="4"/>
      <c r="E6270" s="4"/>
      <c r="F6270" s="46" t="s">
        <v>3033</v>
      </c>
      <c r="G6270" s="4" t="s">
        <v>336</v>
      </c>
      <c r="H6270" s="4" t="s">
        <v>289</v>
      </c>
      <c r="I6270" s="4">
        <v>0.23529411764705882</v>
      </c>
      <c r="J6270" s="21">
        <v>850</v>
      </c>
      <c r="K6270" s="21">
        <v>0</v>
      </c>
      <c r="L6270" s="5">
        <v>0</v>
      </c>
      <c r="M6270" s="4"/>
      <c r="N6270" s="4"/>
      <c r="O6270" s="5"/>
      <c r="P6270" s="5"/>
      <c r="Q6270" s="21">
        <v>200</v>
      </c>
      <c r="R6270" s="21">
        <v>0</v>
      </c>
      <c r="S6270" s="5">
        <f t="shared" si="391"/>
        <v>22830.91174969836</v>
      </c>
      <c r="T6270" cm="1">
        <f t="array" ref="T6270">IF(OR(B6270="MAL ALIMI", B6270="ÜRETİM GİRİŞ"), MIN(I6270, MAX(0, I6270 + SUM(SUMIFS($I$1:I6269, $C$1:C6269, C6270, $B$1:B6269, {"MAL ALIMI","ÜRETİM GİRİŞ"})) - VLOOKUP(C6270, 'STOK RAPORU'!$C$2:$I$1000, 4, 0))), 0)</f>
        <v>0</v>
      </c>
      <c r="U6270" s="22">
        <f t="shared" si="392"/>
        <v>0</v>
      </c>
      <c r="V6270">
        <f t="shared" si="393"/>
        <v>0</v>
      </c>
      <c r="W6270" s="22">
        <f t="shared" si="394"/>
        <v>0</v>
      </c>
    </row>
    <row r="6271" spans="1:23" hidden="1" x14ac:dyDescent="0.25">
      <c r="A6271" s="45">
        <v>46126</v>
      </c>
      <c r="B6271" s="46" t="s">
        <v>334</v>
      </c>
      <c r="C6271" s="4" t="s">
        <v>679</v>
      </c>
      <c r="D6271" s="4"/>
      <c r="E6271" s="4"/>
      <c r="F6271" s="46" t="s">
        <v>3033</v>
      </c>
      <c r="G6271" s="4" t="s">
        <v>336</v>
      </c>
      <c r="H6271" s="4" t="s">
        <v>289</v>
      </c>
      <c r="I6271" s="4">
        <v>0.25</v>
      </c>
      <c r="J6271" s="21">
        <v>400</v>
      </c>
      <c r="K6271" s="21">
        <v>0</v>
      </c>
      <c r="L6271" s="5">
        <v>0</v>
      </c>
      <c r="M6271" s="4"/>
      <c r="N6271" s="4"/>
      <c r="O6271" s="5"/>
      <c r="P6271" s="5"/>
      <c r="Q6271" s="21">
        <v>100</v>
      </c>
      <c r="R6271" s="21">
        <v>0</v>
      </c>
      <c r="S6271" s="5">
        <f t="shared" si="391"/>
        <v>22930.91174969836</v>
      </c>
      <c r="T6271" cm="1">
        <f t="array" ref="T6271">IF(OR(B6271="MAL ALIMI", B6271="ÜRETİM GİRİŞ"), MIN(I6271, MAX(0, I6271 + SUM(SUMIFS($I$1:I6270, $C$1:C6270, C6271, $B$1:B6270, {"MAL ALIMI","ÜRETİM GİRİŞ"})) - VLOOKUP(C6271, 'STOK RAPORU'!$C$2:$I$1000, 4, 0))), 0)</f>
        <v>0</v>
      </c>
      <c r="U6271" s="22">
        <f t="shared" si="392"/>
        <v>0</v>
      </c>
      <c r="V6271">
        <f t="shared" si="393"/>
        <v>0</v>
      </c>
      <c r="W6271" s="22">
        <f t="shared" si="394"/>
        <v>0</v>
      </c>
    </row>
    <row r="6272" spans="1:23" hidden="1" x14ac:dyDescent="0.25">
      <c r="A6272" s="45">
        <v>46126</v>
      </c>
      <c r="B6272" s="46" t="s">
        <v>334</v>
      </c>
      <c r="C6272" s="4" t="s">
        <v>1127</v>
      </c>
      <c r="D6272" s="4"/>
      <c r="E6272" s="4"/>
      <c r="F6272" s="46" t="s">
        <v>3033</v>
      </c>
      <c r="G6272" s="4" t="s">
        <v>336</v>
      </c>
      <c r="H6272" s="4" t="s">
        <v>289</v>
      </c>
      <c r="I6272" s="4">
        <v>1</v>
      </c>
      <c r="J6272" s="21">
        <v>350</v>
      </c>
      <c r="K6272" s="21">
        <v>0</v>
      </c>
      <c r="L6272" s="5">
        <v>0</v>
      </c>
      <c r="M6272" s="4"/>
      <c r="N6272" s="4"/>
      <c r="O6272" s="5"/>
      <c r="P6272" s="5"/>
      <c r="Q6272" s="21">
        <v>350</v>
      </c>
      <c r="R6272" s="21">
        <v>0</v>
      </c>
      <c r="S6272" s="5">
        <f t="shared" si="391"/>
        <v>23280.91174969836</v>
      </c>
      <c r="T6272" cm="1">
        <f t="array" ref="T6272">IF(OR(B6272="MAL ALIMI", B6272="ÜRETİM GİRİŞ"), MIN(I6272, MAX(0, I6272 + SUM(SUMIFS($I$1:I6271, $C$1:C6271, C6272, $B$1:B6271, {"MAL ALIMI","ÜRETİM GİRİŞ"})) - VLOOKUP(C6272, 'STOK RAPORU'!$C$2:$I$1000, 4, 0))), 0)</f>
        <v>0</v>
      </c>
      <c r="U6272" s="22">
        <f t="shared" si="392"/>
        <v>0</v>
      </c>
      <c r="V6272">
        <f t="shared" si="393"/>
        <v>0</v>
      </c>
      <c r="W6272" s="22">
        <f t="shared" si="394"/>
        <v>0</v>
      </c>
    </row>
    <row r="6273" spans="1:23" hidden="1" x14ac:dyDescent="0.25">
      <c r="A6273" s="45">
        <v>46126</v>
      </c>
      <c r="B6273" s="46" t="s">
        <v>334</v>
      </c>
      <c r="C6273" s="4" t="s">
        <v>530</v>
      </c>
      <c r="D6273" s="4"/>
      <c r="E6273" s="4"/>
      <c r="F6273" s="46" t="s">
        <v>3033</v>
      </c>
      <c r="G6273" s="4" t="s">
        <v>336</v>
      </c>
      <c r="H6273" s="4" t="s">
        <v>289</v>
      </c>
      <c r="I6273" s="4">
        <v>0.4107142857142857</v>
      </c>
      <c r="J6273" s="21">
        <v>280</v>
      </c>
      <c r="K6273" s="21">
        <v>0</v>
      </c>
      <c r="L6273" s="5">
        <v>0</v>
      </c>
      <c r="M6273" s="4"/>
      <c r="N6273" s="4"/>
      <c r="O6273" s="5"/>
      <c r="P6273" s="5"/>
      <c r="Q6273" s="21">
        <v>115</v>
      </c>
      <c r="R6273" s="21">
        <v>0</v>
      </c>
      <c r="S6273" s="5">
        <f t="shared" si="391"/>
        <v>23395.91174969836</v>
      </c>
      <c r="T6273" cm="1">
        <f t="array" ref="T6273">IF(OR(B6273="MAL ALIMI", B6273="ÜRETİM GİRİŞ"), MIN(I6273, MAX(0, I6273 + SUM(SUMIFS($I$1:I6272, $C$1:C6272, C6273, $B$1:B6272, {"MAL ALIMI","ÜRETİM GİRİŞ"})) - VLOOKUP(C6273, 'STOK RAPORU'!$C$2:$I$1000, 4, 0))), 0)</f>
        <v>0</v>
      </c>
      <c r="U6273" s="22">
        <f t="shared" si="392"/>
        <v>0</v>
      </c>
      <c r="V6273">
        <f t="shared" si="393"/>
        <v>0</v>
      </c>
      <c r="W6273" s="22">
        <f t="shared" si="394"/>
        <v>0</v>
      </c>
    </row>
    <row r="6274" spans="1:23" hidden="1" x14ac:dyDescent="0.25">
      <c r="A6274" s="45">
        <v>46126</v>
      </c>
      <c r="B6274" s="46" t="s">
        <v>334</v>
      </c>
      <c r="C6274" s="4" t="s">
        <v>2125</v>
      </c>
      <c r="D6274" s="4"/>
      <c r="E6274" s="4"/>
      <c r="F6274" s="46" t="s">
        <v>3033</v>
      </c>
      <c r="G6274" s="4" t="s">
        <v>336</v>
      </c>
      <c r="H6274" s="4" t="s">
        <v>289</v>
      </c>
      <c r="I6274" s="4">
        <v>1</v>
      </c>
      <c r="J6274" s="21">
        <v>370</v>
      </c>
      <c r="K6274" s="21">
        <v>0</v>
      </c>
      <c r="L6274" s="5">
        <v>0</v>
      </c>
      <c r="M6274" s="4"/>
      <c r="N6274" s="4"/>
      <c r="O6274" s="5"/>
      <c r="P6274" s="5"/>
      <c r="Q6274" s="21">
        <v>370</v>
      </c>
      <c r="R6274" s="21">
        <v>0</v>
      </c>
      <c r="S6274" s="5">
        <f t="shared" si="391"/>
        <v>23765.91174969836</v>
      </c>
      <c r="T6274" cm="1">
        <f t="array" ref="T6274">IF(OR(B6274="MAL ALIMI", B6274="ÜRETİM GİRİŞ"), MIN(I6274, MAX(0, I6274 + SUM(SUMIFS($I$1:I6273, $C$1:C6273, C6274, $B$1:B6273, {"MAL ALIMI","ÜRETİM GİRİŞ"})) - VLOOKUP(C6274, 'STOK RAPORU'!$C$2:$I$1000, 4, 0))), 0)</f>
        <v>0</v>
      </c>
      <c r="U6274" s="22">
        <f t="shared" si="392"/>
        <v>0</v>
      </c>
      <c r="V6274">
        <f t="shared" si="393"/>
        <v>0</v>
      </c>
      <c r="W6274" s="22">
        <f t="shared" si="394"/>
        <v>0</v>
      </c>
    </row>
    <row r="6275" spans="1:23" hidden="1" x14ac:dyDescent="0.25">
      <c r="A6275" s="45">
        <v>46126</v>
      </c>
      <c r="B6275" s="46" t="s">
        <v>334</v>
      </c>
      <c r="C6275" s="4" t="s">
        <v>89</v>
      </c>
      <c r="D6275" s="4"/>
      <c r="E6275" s="4"/>
      <c r="F6275" s="46" t="s">
        <v>3033</v>
      </c>
      <c r="G6275" s="4" t="s">
        <v>336</v>
      </c>
      <c r="H6275" s="4" t="s">
        <v>289</v>
      </c>
      <c r="I6275" s="4">
        <v>0.1</v>
      </c>
      <c r="J6275" s="21">
        <v>650</v>
      </c>
      <c r="K6275" s="21">
        <v>0</v>
      </c>
      <c r="L6275" s="5">
        <v>0</v>
      </c>
      <c r="M6275" s="4"/>
      <c r="N6275" s="4"/>
      <c r="O6275" s="5"/>
      <c r="P6275" s="5"/>
      <c r="Q6275" s="21">
        <v>65</v>
      </c>
      <c r="R6275" s="21">
        <v>0</v>
      </c>
      <c r="S6275" s="5">
        <f t="shared" si="391"/>
        <v>23830.91174969836</v>
      </c>
      <c r="T6275" cm="1">
        <f t="array" ref="T6275">IF(OR(B6275="MAL ALIMI", B6275="ÜRETİM GİRİŞ"), MIN(I6275, MAX(0, I6275 + SUM(SUMIFS($I$1:I6274, $C$1:C6274, C6275, $B$1:B6274, {"MAL ALIMI","ÜRETİM GİRİŞ"})) - VLOOKUP(C6275, 'STOK RAPORU'!$C$2:$I$1000, 4, 0))), 0)</f>
        <v>0</v>
      </c>
      <c r="U6275" s="22">
        <f t="shared" si="392"/>
        <v>0</v>
      </c>
      <c r="V6275">
        <f t="shared" si="393"/>
        <v>0</v>
      </c>
      <c r="W6275" s="22">
        <f t="shared" si="394"/>
        <v>0</v>
      </c>
    </row>
    <row r="6276" spans="1:23" hidden="1" x14ac:dyDescent="0.25">
      <c r="A6276" s="45">
        <v>46126</v>
      </c>
      <c r="B6276" s="46" t="s">
        <v>334</v>
      </c>
      <c r="C6276" s="4" t="s">
        <v>157</v>
      </c>
      <c r="D6276" s="4"/>
      <c r="E6276" s="4" t="s">
        <v>921</v>
      </c>
      <c r="F6276" s="46" t="s">
        <v>3034</v>
      </c>
      <c r="G6276" s="4" t="s">
        <v>336</v>
      </c>
      <c r="H6276" s="4" t="s">
        <v>380</v>
      </c>
      <c r="I6276" s="4">
        <v>0.5</v>
      </c>
      <c r="J6276" s="21">
        <v>200</v>
      </c>
      <c r="K6276" s="21">
        <v>100</v>
      </c>
      <c r="L6276" s="5">
        <v>0</v>
      </c>
      <c r="M6276" s="4"/>
      <c r="N6276" s="4"/>
      <c r="O6276" s="5"/>
      <c r="P6276" s="5"/>
      <c r="Q6276" s="21">
        <v>0</v>
      </c>
      <c r="R6276" s="21">
        <v>0</v>
      </c>
      <c r="S6276" s="5">
        <f t="shared" ref="S6276:S6339" si="395">S6275+Q6276-R6276</f>
        <v>23830.91174969836</v>
      </c>
      <c r="T6276" cm="1">
        <f t="array" ref="T6276">IF(OR(B6276="MAL ALIMI", B6276="ÜRETİM GİRİŞ"), MIN(I6276, MAX(0, I6276 + SUM(SUMIFS($I$1:I6275, $C$1:C6275, C6276, $B$1:B6275, {"MAL ALIMI","ÜRETİM GİRİŞ"})) - VLOOKUP(C6276, 'STOK RAPORU'!$C$2:$I$1000, 4, 0))), 0)</f>
        <v>0</v>
      </c>
      <c r="U6276" s="22">
        <f t="shared" si="392"/>
        <v>0</v>
      </c>
      <c r="V6276">
        <f t="shared" si="393"/>
        <v>0</v>
      </c>
      <c r="W6276" s="22">
        <f t="shared" si="394"/>
        <v>0</v>
      </c>
    </row>
    <row r="6277" spans="1:23" hidden="1" x14ac:dyDescent="0.25">
      <c r="A6277" s="45">
        <v>46126</v>
      </c>
      <c r="B6277" s="46" t="s">
        <v>334</v>
      </c>
      <c r="C6277" s="4" t="s">
        <v>161</v>
      </c>
      <c r="D6277" s="4"/>
      <c r="E6277" s="4" t="s">
        <v>921</v>
      </c>
      <c r="F6277" s="46" t="s">
        <v>3034</v>
      </c>
      <c r="G6277" s="4" t="s">
        <v>336</v>
      </c>
      <c r="H6277" s="4" t="s">
        <v>380</v>
      </c>
      <c r="I6277" s="4">
        <v>1</v>
      </c>
      <c r="J6277" s="21">
        <v>250</v>
      </c>
      <c r="K6277" s="21">
        <v>250</v>
      </c>
      <c r="L6277" s="5">
        <v>0</v>
      </c>
      <c r="M6277" s="4"/>
      <c r="N6277" s="4"/>
      <c r="O6277" s="5"/>
      <c r="P6277" s="5"/>
      <c r="Q6277" s="21">
        <v>0</v>
      </c>
      <c r="R6277" s="21">
        <v>0</v>
      </c>
      <c r="S6277" s="5">
        <f t="shared" si="395"/>
        <v>23830.91174969836</v>
      </c>
      <c r="T6277" cm="1">
        <f t="array" ref="T6277">IF(OR(B6277="MAL ALIMI", B6277="ÜRETİM GİRİŞ"), MIN(I6277, MAX(0, I6277 + SUM(SUMIFS($I$1:I6276, $C$1:C6276, C6277, $B$1:B6276, {"MAL ALIMI","ÜRETİM GİRİŞ"})) - VLOOKUP(C6277, 'STOK RAPORU'!$C$2:$I$1000, 4, 0))), 0)</f>
        <v>0</v>
      </c>
      <c r="U6277" s="22">
        <f t="shared" si="392"/>
        <v>0</v>
      </c>
      <c r="V6277">
        <f t="shared" si="393"/>
        <v>0</v>
      </c>
      <c r="W6277" s="22">
        <f t="shared" si="394"/>
        <v>0</v>
      </c>
    </row>
    <row r="6278" spans="1:23" hidden="1" x14ac:dyDescent="0.25">
      <c r="A6278" s="45">
        <v>46126</v>
      </c>
      <c r="B6278" s="46" t="s">
        <v>334</v>
      </c>
      <c r="C6278" s="4" t="s">
        <v>1023</v>
      </c>
      <c r="D6278" s="4"/>
      <c r="E6278" s="4" t="s">
        <v>921</v>
      </c>
      <c r="F6278" s="46" t="s">
        <v>3034</v>
      </c>
      <c r="G6278" s="4" t="s">
        <v>336</v>
      </c>
      <c r="H6278" s="4" t="s">
        <v>380</v>
      </c>
      <c r="I6278" s="4">
        <v>0.58461538461538465</v>
      </c>
      <c r="J6278" s="21">
        <v>65</v>
      </c>
      <c r="K6278" s="21">
        <v>38</v>
      </c>
      <c r="L6278" s="5">
        <v>0</v>
      </c>
      <c r="M6278" s="4"/>
      <c r="N6278" s="4"/>
      <c r="O6278" s="5"/>
      <c r="P6278" s="5"/>
      <c r="Q6278" s="21">
        <v>0</v>
      </c>
      <c r="R6278" s="21">
        <v>0</v>
      </c>
      <c r="S6278" s="5">
        <f t="shared" si="395"/>
        <v>23830.91174969836</v>
      </c>
      <c r="T6278" cm="1">
        <f t="array" ref="T6278">IF(OR(B6278="MAL ALIMI", B6278="ÜRETİM GİRİŞ"), MIN(I6278, MAX(0, I6278 + SUM(SUMIFS($I$1:I6277, $C$1:C6277, C6278, $B$1:B6277, {"MAL ALIMI","ÜRETİM GİRİŞ"})) - VLOOKUP(C6278, 'STOK RAPORU'!$C$2:$I$1000, 4, 0))), 0)</f>
        <v>0</v>
      </c>
      <c r="U6278" s="22">
        <f t="shared" si="392"/>
        <v>0</v>
      </c>
      <c r="V6278">
        <f t="shared" si="393"/>
        <v>0</v>
      </c>
      <c r="W6278" s="22">
        <f t="shared" si="394"/>
        <v>0</v>
      </c>
    </row>
    <row r="6279" spans="1:23" hidden="1" x14ac:dyDescent="0.25">
      <c r="A6279" s="45">
        <v>46126</v>
      </c>
      <c r="B6279" s="46" t="s">
        <v>334</v>
      </c>
      <c r="C6279" s="4" t="s">
        <v>730</v>
      </c>
      <c r="D6279" s="4"/>
      <c r="E6279" s="4"/>
      <c r="F6279" s="46" t="s">
        <v>3036</v>
      </c>
      <c r="G6279" s="4" t="s">
        <v>3035</v>
      </c>
      <c r="H6279" s="4" t="s">
        <v>289</v>
      </c>
      <c r="I6279" s="4">
        <v>1</v>
      </c>
      <c r="J6279" s="21">
        <v>60</v>
      </c>
      <c r="K6279" s="21">
        <v>0</v>
      </c>
      <c r="L6279" s="5">
        <v>0</v>
      </c>
      <c r="M6279" s="4"/>
      <c r="N6279" s="4"/>
      <c r="O6279" s="5"/>
      <c r="P6279" s="5"/>
      <c r="Q6279" s="21">
        <v>60</v>
      </c>
      <c r="R6279" s="21">
        <v>0</v>
      </c>
      <c r="S6279" s="5">
        <f t="shared" si="395"/>
        <v>23890.91174969836</v>
      </c>
      <c r="T6279" cm="1">
        <f t="array" ref="T6279">IF(OR(B6279="MAL ALIMI", B6279="ÜRETİM GİRİŞ"), MIN(I6279, MAX(0, I6279 + SUM(SUMIFS($I$1:I6278, $C$1:C6278, C6279, $B$1:B6278, {"MAL ALIMI","ÜRETİM GİRİŞ"})) - VLOOKUP(C6279, 'STOK RAPORU'!$C$2:$I$1000, 4, 0))), 0)</f>
        <v>0</v>
      </c>
      <c r="U6279" s="22">
        <f t="shared" si="392"/>
        <v>0</v>
      </c>
      <c r="V6279">
        <f t="shared" si="393"/>
        <v>0</v>
      </c>
      <c r="W6279" s="22">
        <f t="shared" si="394"/>
        <v>0</v>
      </c>
    </row>
    <row r="6280" spans="1:23" hidden="1" x14ac:dyDescent="0.25">
      <c r="A6280" s="45">
        <v>46126</v>
      </c>
      <c r="B6280" s="46" t="s">
        <v>334</v>
      </c>
      <c r="C6280" s="4" t="s">
        <v>529</v>
      </c>
      <c r="D6280" s="4"/>
      <c r="E6280" s="4"/>
      <c r="F6280" s="46" t="s">
        <v>3037</v>
      </c>
      <c r="G6280" s="4" t="s">
        <v>336</v>
      </c>
      <c r="H6280" s="4" t="s">
        <v>289</v>
      </c>
      <c r="I6280" s="4">
        <v>0.1</v>
      </c>
      <c r="J6280" s="21">
        <v>600</v>
      </c>
      <c r="K6280" s="21">
        <v>0</v>
      </c>
      <c r="L6280" s="5">
        <v>0</v>
      </c>
      <c r="M6280" s="4"/>
      <c r="N6280" s="4"/>
      <c r="O6280" s="5"/>
      <c r="P6280" s="5"/>
      <c r="Q6280" s="21">
        <v>60</v>
      </c>
      <c r="R6280" s="21">
        <v>0</v>
      </c>
      <c r="S6280" s="5">
        <f t="shared" si="395"/>
        <v>23950.91174969836</v>
      </c>
      <c r="T6280" cm="1">
        <f t="array" ref="T6280">IF(OR(B6280="MAL ALIMI", B6280="ÜRETİM GİRİŞ"), MIN(I6280, MAX(0, I6280 + SUM(SUMIFS($I$1:I6279, $C$1:C6279, C6280, $B$1:B6279, {"MAL ALIMI","ÜRETİM GİRİŞ"})) - VLOOKUP(C6280, 'STOK RAPORU'!$C$2:$I$1000, 4, 0))), 0)</f>
        <v>0</v>
      </c>
      <c r="U6280" s="22">
        <f t="shared" si="392"/>
        <v>0</v>
      </c>
      <c r="V6280">
        <f t="shared" si="393"/>
        <v>0</v>
      </c>
      <c r="W6280" s="22">
        <f t="shared" si="394"/>
        <v>0</v>
      </c>
    </row>
    <row r="6281" spans="1:23" hidden="1" x14ac:dyDescent="0.25">
      <c r="A6281" s="45">
        <v>46126</v>
      </c>
      <c r="B6281" s="46" t="s">
        <v>334</v>
      </c>
      <c r="C6281" s="4" t="s">
        <v>840</v>
      </c>
      <c r="D6281" s="4"/>
      <c r="E6281" s="4"/>
      <c r="F6281" s="46" t="s">
        <v>3037</v>
      </c>
      <c r="G6281" s="4" t="s">
        <v>336</v>
      </c>
      <c r="H6281" s="4" t="s">
        <v>289</v>
      </c>
      <c r="I6281" s="4">
        <v>0.25</v>
      </c>
      <c r="J6281" s="21">
        <v>360</v>
      </c>
      <c r="K6281" s="21">
        <v>0</v>
      </c>
      <c r="L6281" s="5">
        <v>0</v>
      </c>
      <c r="M6281" s="4"/>
      <c r="N6281" s="4"/>
      <c r="O6281" s="5"/>
      <c r="P6281" s="5"/>
      <c r="Q6281" s="21">
        <v>90</v>
      </c>
      <c r="R6281" s="21">
        <v>0</v>
      </c>
      <c r="S6281" s="5">
        <f t="shared" si="395"/>
        <v>24040.91174969836</v>
      </c>
      <c r="T6281" cm="1">
        <f t="array" ref="T6281">IF(OR(B6281="MAL ALIMI", B6281="ÜRETİM GİRİŞ"), MIN(I6281, MAX(0, I6281 + SUM(SUMIFS($I$1:I6280, $C$1:C6280, C6281, $B$1:B6280, {"MAL ALIMI","ÜRETİM GİRİŞ"})) - VLOOKUP(C6281, 'STOK RAPORU'!$C$2:$I$1000, 4, 0))), 0)</f>
        <v>0</v>
      </c>
      <c r="U6281" s="22">
        <f t="shared" si="392"/>
        <v>0</v>
      </c>
      <c r="V6281">
        <f t="shared" si="393"/>
        <v>0</v>
      </c>
      <c r="W6281" s="22">
        <f t="shared" si="394"/>
        <v>0</v>
      </c>
    </row>
    <row r="6282" spans="1:23" hidden="1" x14ac:dyDescent="0.25">
      <c r="A6282" s="45">
        <v>46126</v>
      </c>
      <c r="B6282" s="46" t="s">
        <v>334</v>
      </c>
      <c r="C6282" s="4" t="s">
        <v>751</v>
      </c>
      <c r="D6282" s="4"/>
      <c r="E6282" s="4"/>
      <c r="F6282" s="46" t="s">
        <v>3037</v>
      </c>
      <c r="G6282" s="4" t="s">
        <v>336</v>
      </c>
      <c r="H6282" s="4" t="s">
        <v>289</v>
      </c>
      <c r="I6282" s="4">
        <v>1</v>
      </c>
      <c r="J6282" s="21">
        <v>250</v>
      </c>
      <c r="K6282" s="21">
        <v>0</v>
      </c>
      <c r="L6282" s="5">
        <v>0</v>
      </c>
      <c r="M6282" s="4"/>
      <c r="N6282" s="4"/>
      <c r="O6282" s="5"/>
      <c r="P6282" s="5"/>
      <c r="Q6282" s="21">
        <v>250</v>
      </c>
      <c r="R6282" s="21">
        <v>0</v>
      </c>
      <c r="S6282" s="5">
        <f t="shared" si="395"/>
        <v>24290.91174969836</v>
      </c>
      <c r="T6282" cm="1">
        <f t="array" ref="T6282">IF(OR(B6282="MAL ALIMI", B6282="ÜRETİM GİRİŞ"), MIN(I6282, MAX(0, I6282 + SUM(SUMIFS($I$1:I6281, $C$1:C6281, C6282, $B$1:B6281, {"MAL ALIMI","ÜRETİM GİRİŞ"})) - VLOOKUP(C6282, 'STOK RAPORU'!$C$2:$I$1000, 4, 0))), 0)</f>
        <v>0</v>
      </c>
      <c r="U6282" s="22">
        <f t="shared" si="392"/>
        <v>0</v>
      </c>
      <c r="V6282">
        <f t="shared" si="393"/>
        <v>0</v>
      </c>
      <c r="W6282" s="22">
        <f t="shared" si="394"/>
        <v>0</v>
      </c>
    </row>
    <row r="6283" spans="1:23" hidden="1" x14ac:dyDescent="0.25">
      <c r="A6283" s="45">
        <v>46126</v>
      </c>
      <c r="B6283" s="46" t="s">
        <v>334</v>
      </c>
      <c r="C6283" s="4" t="s">
        <v>523</v>
      </c>
      <c r="D6283" s="4"/>
      <c r="E6283" s="4"/>
      <c r="F6283" s="46" t="s">
        <v>3037</v>
      </c>
      <c r="G6283" s="4" t="s">
        <v>336</v>
      </c>
      <c r="H6283" s="4" t="s">
        <v>289</v>
      </c>
      <c r="I6283" s="4">
        <v>0.08</v>
      </c>
      <c r="J6283" s="21">
        <v>750</v>
      </c>
      <c r="K6283" s="21">
        <v>0</v>
      </c>
      <c r="L6283" s="5">
        <v>0</v>
      </c>
      <c r="M6283" s="4"/>
      <c r="N6283" s="4"/>
      <c r="O6283" s="5"/>
      <c r="P6283" s="5"/>
      <c r="Q6283" s="21">
        <v>60</v>
      </c>
      <c r="R6283" s="21">
        <v>0</v>
      </c>
      <c r="S6283" s="5">
        <f t="shared" si="395"/>
        <v>24350.91174969836</v>
      </c>
      <c r="T6283" cm="1">
        <f t="array" ref="T6283">IF(OR(B6283="MAL ALIMI", B6283="ÜRETİM GİRİŞ"), MIN(I6283, MAX(0, I6283 + SUM(SUMIFS($I$1:I6282, $C$1:C6282, C6283, $B$1:B6282, {"MAL ALIMI","ÜRETİM GİRİŞ"})) - VLOOKUP(C6283, 'STOK RAPORU'!$C$2:$I$1000, 4, 0))), 0)</f>
        <v>0</v>
      </c>
      <c r="U6283" s="22">
        <f t="shared" si="392"/>
        <v>0</v>
      </c>
      <c r="V6283">
        <f t="shared" si="393"/>
        <v>0</v>
      </c>
      <c r="W6283" s="22">
        <f t="shared" si="394"/>
        <v>0</v>
      </c>
    </row>
    <row r="6284" spans="1:23" hidden="1" x14ac:dyDescent="0.25">
      <c r="A6284" s="45">
        <v>46126</v>
      </c>
      <c r="B6284" s="46" t="s">
        <v>334</v>
      </c>
      <c r="C6284" s="4" t="s">
        <v>60</v>
      </c>
      <c r="D6284" s="4"/>
      <c r="E6284" s="4"/>
      <c r="F6284" s="46" t="s">
        <v>3037</v>
      </c>
      <c r="G6284" s="4" t="s">
        <v>336</v>
      </c>
      <c r="H6284" s="4" t="s">
        <v>289</v>
      </c>
      <c r="I6284" s="4">
        <v>0.05</v>
      </c>
      <c r="J6284" s="21">
        <v>1200</v>
      </c>
      <c r="K6284" s="21">
        <v>0</v>
      </c>
      <c r="L6284" s="5">
        <v>0</v>
      </c>
      <c r="M6284" s="4"/>
      <c r="N6284" s="4"/>
      <c r="O6284" s="5"/>
      <c r="P6284" s="5"/>
      <c r="Q6284" s="21">
        <v>60</v>
      </c>
      <c r="R6284" s="21">
        <v>0</v>
      </c>
      <c r="S6284" s="5">
        <f t="shared" si="395"/>
        <v>24410.91174969836</v>
      </c>
      <c r="T6284" cm="1">
        <f t="array" ref="T6284">IF(OR(B6284="MAL ALIMI", B6284="ÜRETİM GİRİŞ"), MIN(I6284, MAX(0, I6284 + SUM(SUMIFS($I$1:I6283, $C$1:C6283, C6284, $B$1:B6283, {"MAL ALIMI","ÜRETİM GİRİŞ"})) - VLOOKUP(C6284, 'STOK RAPORU'!$C$2:$I$1000, 4, 0))), 0)</f>
        <v>0</v>
      </c>
      <c r="U6284" s="22">
        <f t="shared" si="392"/>
        <v>0</v>
      </c>
      <c r="V6284">
        <f t="shared" si="393"/>
        <v>0</v>
      </c>
      <c r="W6284" s="22">
        <f t="shared" si="394"/>
        <v>0</v>
      </c>
    </row>
    <row r="6285" spans="1:23" hidden="1" x14ac:dyDescent="0.25">
      <c r="A6285" s="45">
        <v>46126</v>
      </c>
      <c r="B6285" s="46" t="s">
        <v>334</v>
      </c>
      <c r="C6285" s="4" t="s">
        <v>224</v>
      </c>
      <c r="D6285" s="4"/>
      <c r="E6285" s="4"/>
      <c r="F6285" s="46" t="s">
        <v>3037</v>
      </c>
      <c r="G6285" s="4" t="s">
        <v>336</v>
      </c>
      <c r="H6285" s="4" t="s">
        <v>289</v>
      </c>
      <c r="I6285" s="4">
        <v>0.05</v>
      </c>
      <c r="J6285" s="21">
        <v>900</v>
      </c>
      <c r="K6285" s="21">
        <v>0</v>
      </c>
      <c r="L6285" s="5">
        <v>0</v>
      </c>
      <c r="M6285" s="4"/>
      <c r="N6285" s="4"/>
      <c r="O6285" s="5"/>
      <c r="P6285" s="5"/>
      <c r="Q6285" s="21">
        <v>45</v>
      </c>
      <c r="R6285" s="21">
        <v>0</v>
      </c>
      <c r="S6285" s="5">
        <f t="shared" si="395"/>
        <v>24455.91174969836</v>
      </c>
      <c r="T6285" cm="1">
        <f t="array" ref="T6285">IF(OR(B6285="MAL ALIMI", B6285="ÜRETİM GİRİŞ"), MIN(I6285, MAX(0, I6285 + SUM(SUMIFS($I$1:I6284, $C$1:C6284, C6285, $B$1:B6284, {"MAL ALIMI","ÜRETİM GİRİŞ"})) - VLOOKUP(C6285, 'STOK RAPORU'!$C$2:$I$1000, 4, 0))), 0)</f>
        <v>0</v>
      </c>
      <c r="U6285" s="22">
        <f t="shared" si="392"/>
        <v>0</v>
      </c>
      <c r="V6285">
        <f t="shared" si="393"/>
        <v>0</v>
      </c>
      <c r="W6285" s="22">
        <f t="shared" si="394"/>
        <v>0</v>
      </c>
    </row>
    <row r="6286" spans="1:23" hidden="1" x14ac:dyDescent="0.25">
      <c r="A6286" s="45">
        <v>46126</v>
      </c>
      <c r="B6286" s="46" t="s">
        <v>334</v>
      </c>
      <c r="C6286" s="4" t="s">
        <v>1501</v>
      </c>
      <c r="D6286" s="4"/>
      <c r="E6286" s="4"/>
      <c r="F6286" s="46" t="s">
        <v>3037</v>
      </c>
      <c r="G6286" s="4" t="s">
        <v>336</v>
      </c>
      <c r="H6286" s="4" t="s">
        <v>289</v>
      </c>
      <c r="I6286" s="4">
        <v>0.5</v>
      </c>
      <c r="J6286" s="21">
        <v>700</v>
      </c>
      <c r="K6286" s="21">
        <v>0</v>
      </c>
      <c r="L6286" s="5">
        <v>0</v>
      </c>
      <c r="M6286" s="4"/>
      <c r="N6286" s="4"/>
      <c r="O6286" s="5"/>
      <c r="P6286" s="5"/>
      <c r="Q6286" s="21">
        <v>350</v>
      </c>
      <c r="R6286" s="21">
        <v>0</v>
      </c>
      <c r="S6286" s="5">
        <f t="shared" si="395"/>
        <v>24805.91174969836</v>
      </c>
      <c r="T6286" cm="1">
        <f t="array" ref="T6286">IF(OR(B6286="MAL ALIMI", B6286="ÜRETİM GİRİŞ"), MIN(I6286, MAX(0, I6286 + SUM(SUMIFS($I$1:I6285, $C$1:C6285, C6286, $B$1:B6285, {"MAL ALIMI","ÜRETİM GİRİŞ"})) - VLOOKUP(C6286, 'STOK RAPORU'!$C$2:$I$1000, 4, 0))), 0)</f>
        <v>0</v>
      </c>
      <c r="U6286" s="22">
        <f t="shared" si="392"/>
        <v>0</v>
      </c>
      <c r="V6286">
        <f t="shared" si="393"/>
        <v>0</v>
      </c>
      <c r="W6286" s="22">
        <f t="shared" si="394"/>
        <v>0</v>
      </c>
    </row>
    <row r="6287" spans="1:23" hidden="1" x14ac:dyDescent="0.25">
      <c r="A6287" s="45">
        <v>46126</v>
      </c>
      <c r="B6287" s="46" t="s">
        <v>334</v>
      </c>
      <c r="C6287" s="4" t="s">
        <v>2127</v>
      </c>
      <c r="D6287" s="4"/>
      <c r="E6287" s="4"/>
      <c r="F6287" s="46" t="s">
        <v>3037</v>
      </c>
      <c r="G6287" s="4" t="s">
        <v>336</v>
      </c>
      <c r="H6287" s="4" t="s">
        <v>289</v>
      </c>
      <c r="I6287" s="4">
        <v>0.25</v>
      </c>
      <c r="J6287" s="21">
        <v>340</v>
      </c>
      <c r="K6287" s="21">
        <v>0</v>
      </c>
      <c r="L6287" s="5">
        <v>0</v>
      </c>
      <c r="M6287" s="4"/>
      <c r="N6287" s="4"/>
      <c r="O6287" s="5"/>
      <c r="P6287" s="5"/>
      <c r="Q6287" s="21">
        <v>85</v>
      </c>
      <c r="R6287" s="21">
        <v>0</v>
      </c>
      <c r="S6287" s="5">
        <f t="shared" si="395"/>
        <v>24890.91174969836</v>
      </c>
      <c r="T6287" cm="1">
        <f t="array" ref="T6287">IF(OR(B6287="MAL ALIMI", B6287="ÜRETİM GİRİŞ"), MIN(I6287, MAX(0, I6287 + SUM(SUMIFS($I$1:I6286, $C$1:C6286, C6287, $B$1:B6286, {"MAL ALIMI","ÜRETİM GİRİŞ"})) - VLOOKUP(C6287, 'STOK RAPORU'!$C$2:$I$1000, 4, 0))), 0)</f>
        <v>0</v>
      </c>
      <c r="U6287" s="22">
        <f t="shared" si="392"/>
        <v>0</v>
      </c>
      <c r="V6287">
        <f t="shared" si="393"/>
        <v>0</v>
      </c>
      <c r="W6287" s="22">
        <f t="shared" si="394"/>
        <v>0</v>
      </c>
    </row>
    <row r="6288" spans="1:23" hidden="1" x14ac:dyDescent="0.25">
      <c r="A6288" s="45">
        <v>46126</v>
      </c>
      <c r="B6288" s="46" t="s">
        <v>334</v>
      </c>
      <c r="C6288" s="4" t="s">
        <v>132</v>
      </c>
      <c r="D6288" s="4"/>
      <c r="E6288" s="4"/>
      <c r="F6288" s="46" t="s">
        <v>3038</v>
      </c>
      <c r="G6288" s="4" t="s">
        <v>336</v>
      </c>
      <c r="H6288" s="4" t="s">
        <v>289</v>
      </c>
      <c r="I6288" s="4">
        <v>0.2</v>
      </c>
      <c r="J6288" s="21">
        <v>500</v>
      </c>
      <c r="K6288" s="21">
        <v>0</v>
      </c>
      <c r="L6288" s="5">
        <v>0</v>
      </c>
      <c r="M6288" s="4"/>
      <c r="N6288" s="4"/>
      <c r="O6288" s="5"/>
      <c r="P6288" s="5"/>
      <c r="Q6288" s="21">
        <v>100</v>
      </c>
      <c r="R6288" s="21">
        <v>0</v>
      </c>
      <c r="S6288" s="5">
        <f t="shared" si="395"/>
        <v>24990.91174969836</v>
      </c>
      <c r="T6288" cm="1">
        <f t="array" ref="T6288">IF(OR(B6288="MAL ALIMI", B6288="ÜRETİM GİRİŞ"), MIN(I6288, MAX(0, I6288 + SUM(SUMIFS($I$1:I6287, $C$1:C6287, C6288, $B$1:B6287, {"MAL ALIMI","ÜRETİM GİRİŞ"})) - VLOOKUP(C6288, 'STOK RAPORU'!$C$2:$I$1000, 4, 0))), 0)</f>
        <v>0</v>
      </c>
      <c r="U6288" s="22">
        <f t="shared" si="392"/>
        <v>0</v>
      </c>
      <c r="V6288">
        <f t="shared" si="393"/>
        <v>0</v>
      </c>
      <c r="W6288" s="22">
        <f t="shared" si="394"/>
        <v>0</v>
      </c>
    </row>
    <row r="6289" spans="1:23" hidden="1" x14ac:dyDescent="0.25">
      <c r="A6289" s="45">
        <v>46126</v>
      </c>
      <c r="B6289" s="46" t="s">
        <v>334</v>
      </c>
      <c r="C6289" s="4" t="s">
        <v>1501</v>
      </c>
      <c r="D6289" s="4"/>
      <c r="E6289" s="4" t="s">
        <v>921</v>
      </c>
      <c r="F6289" s="46" t="s">
        <v>3039</v>
      </c>
      <c r="G6289" s="4" t="s">
        <v>336</v>
      </c>
      <c r="H6289" s="4" t="s">
        <v>380</v>
      </c>
      <c r="I6289" s="4">
        <v>1</v>
      </c>
      <c r="J6289" s="21">
        <v>650</v>
      </c>
      <c r="K6289" s="21">
        <v>650</v>
      </c>
      <c r="L6289" s="5">
        <v>0</v>
      </c>
      <c r="M6289" s="4"/>
      <c r="N6289" s="4"/>
      <c r="O6289" s="5"/>
      <c r="P6289" s="5"/>
      <c r="Q6289" s="21">
        <v>0</v>
      </c>
      <c r="R6289" s="21">
        <v>0</v>
      </c>
      <c r="S6289" s="5">
        <f t="shared" si="395"/>
        <v>24990.91174969836</v>
      </c>
      <c r="T6289" cm="1">
        <f t="array" ref="T6289">IF(OR(B6289="MAL ALIMI", B6289="ÜRETİM GİRİŞ"), MIN(I6289, MAX(0, I6289 + SUM(SUMIFS($I$1:I6288, $C$1:C6288, C6289, $B$1:B6288, {"MAL ALIMI","ÜRETİM GİRİŞ"})) - VLOOKUP(C6289, 'STOK RAPORU'!$C$2:$I$1000, 4, 0))), 0)</f>
        <v>0</v>
      </c>
      <c r="U6289" s="22">
        <f t="shared" si="392"/>
        <v>0</v>
      </c>
      <c r="V6289">
        <f t="shared" si="393"/>
        <v>0</v>
      </c>
      <c r="W6289" s="22">
        <f t="shared" si="394"/>
        <v>0</v>
      </c>
    </row>
    <row r="6290" spans="1:23" hidden="1" x14ac:dyDescent="0.25">
      <c r="A6290" s="45">
        <v>46126</v>
      </c>
      <c r="B6290" s="46" t="s">
        <v>334</v>
      </c>
      <c r="C6290" s="4" t="s">
        <v>157</v>
      </c>
      <c r="D6290" s="4"/>
      <c r="E6290" s="4"/>
      <c r="F6290" s="46" t="s">
        <v>3040</v>
      </c>
      <c r="G6290" s="4" t="s">
        <v>336</v>
      </c>
      <c r="H6290" s="4" t="s">
        <v>289</v>
      </c>
      <c r="I6290" s="4">
        <v>0.3</v>
      </c>
      <c r="J6290" s="21">
        <v>200</v>
      </c>
      <c r="K6290" s="21">
        <v>0</v>
      </c>
      <c r="L6290" s="5">
        <v>0</v>
      </c>
      <c r="M6290" s="4"/>
      <c r="N6290" s="4"/>
      <c r="O6290" s="5"/>
      <c r="P6290" s="5"/>
      <c r="Q6290" s="21">
        <v>60</v>
      </c>
      <c r="R6290" s="21">
        <v>0</v>
      </c>
      <c r="S6290" s="5">
        <f t="shared" si="395"/>
        <v>25050.91174969836</v>
      </c>
      <c r="T6290" cm="1">
        <f t="array" ref="T6290">IF(OR(B6290="MAL ALIMI", B6290="ÜRETİM GİRİŞ"), MIN(I6290, MAX(0, I6290 + SUM(SUMIFS($I$1:I6289, $C$1:C6289, C6290, $B$1:B6289, {"MAL ALIMI","ÜRETİM GİRİŞ"})) - VLOOKUP(C6290, 'STOK RAPORU'!$C$2:$I$1000, 4, 0))), 0)</f>
        <v>0</v>
      </c>
      <c r="U6290" s="22">
        <f t="shared" si="392"/>
        <v>0</v>
      </c>
      <c r="V6290">
        <f t="shared" si="393"/>
        <v>0</v>
      </c>
      <c r="W6290" s="22">
        <f t="shared" si="394"/>
        <v>0</v>
      </c>
    </row>
    <row r="6291" spans="1:23" hidden="1" x14ac:dyDescent="0.25">
      <c r="A6291" s="45">
        <v>46126</v>
      </c>
      <c r="B6291" s="46" t="s">
        <v>334</v>
      </c>
      <c r="C6291" s="4" t="s">
        <v>96</v>
      </c>
      <c r="D6291" s="4"/>
      <c r="E6291" s="4" t="s">
        <v>921</v>
      </c>
      <c r="F6291" s="46" t="s">
        <v>3041</v>
      </c>
      <c r="G6291" s="4" t="s">
        <v>336</v>
      </c>
      <c r="H6291" s="4" t="s">
        <v>380</v>
      </c>
      <c r="I6291" s="4">
        <v>0.16750000000000001</v>
      </c>
      <c r="J6291" s="21">
        <v>400</v>
      </c>
      <c r="K6291" s="21">
        <v>67</v>
      </c>
      <c r="L6291" s="5">
        <v>0</v>
      </c>
      <c r="M6291" s="4"/>
      <c r="N6291" s="4"/>
      <c r="O6291" s="5"/>
      <c r="P6291" s="5"/>
      <c r="Q6291" s="21">
        <v>0</v>
      </c>
      <c r="R6291" s="21">
        <v>0</v>
      </c>
      <c r="S6291" s="5">
        <f t="shared" si="395"/>
        <v>25050.91174969836</v>
      </c>
      <c r="T6291" cm="1">
        <f t="array" ref="T6291">IF(OR(B6291="MAL ALIMI", B6291="ÜRETİM GİRİŞ"), MIN(I6291, MAX(0, I6291 + SUM(SUMIFS($I$1:I6290, $C$1:C6290, C6291, $B$1:B6290, {"MAL ALIMI","ÜRETİM GİRİŞ"})) - VLOOKUP(C6291, 'STOK RAPORU'!$C$2:$I$1000, 4, 0))), 0)</f>
        <v>0</v>
      </c>
      <c r="U6291" s="22">
        <f t="shared" si="392"/>
        <v>0</v>
      </c>
      <c r="V6291">
        <f t="shared" si="393"/>
        <v>0</v>
      </c>
      <c r="W6291" s="22">
        <f t="shared" si="394"/>
        <v>0</v>
      </c>
    </row>
    <row r="6292" spans="1:23" hidden="1" x14ac:dyDescent="0.25">
      <c r="A6292" s="45">
        <v>46127</v>
      </c>
      <c r="B6292" s="46" t="s">
        <v>334</v>
      </c>
      <c r="C6292" s="4" t="s">
        <v>1640</v>
      </c>
      <c r="D6292" s="4"/>
      <c r="E6292" s="4"/>
      <c r="F6292" s="46" t="s">
        <v>3042</v>
      </c>
      <c r="G6292" s="4" t="s">
        <v>336</v>
      </c>
      <c r="H6292" s="4" t="s">
        <v>289</v>
      </c>
      <c r="I6292" s="4">
        <v>0.05</v>
      </c>
      <c r="J6292" s="21">
        <v>1400</v>
      </c>
      <c r="K6292" s="21">
        <v>0</v>
      </c>
      <c r="L6292" s="5">
        <v>0</v>
      </c>
      <c r="M6292" s="4"/>
      <c r="N6292" s="4"/>
      <c r="O6292" s="5"/>
      <c r="P6292" s="5"/>
      <c r="Q6292" s="21">
        <v>70</v>
      </c>
      <c r="R6292" s="21">
        <v>0</v>
      </c>
      <c r="S6292" s="5">
        <f t="shared" si="395"/>
        <v>25120.91174969836</v>
      </c>
      <c r="T6292" cm="1">
        <f t="array" ref="T6292">IF(OR(B6292="MAL ALIMI", B6292="ÜRETİM GİRİŞ"), MIN(I6292, MAX(0, I6292 + SUM(SUMIFS($I$1:I6291, $C$1:C6291, C6292, $B$1:B6291, {"MAL ALIMI","ÜRETİM GİRİŞ"})) - VLOOKUP(C6292, 'STOK RAPORU'!$C$2:$I$1000, 4, 0))), 0)</f>
        <v>0</v>
      </c>
      <c r="U6292" s="22">
        <f t="shared" si="392"/>
        <v>0</v>
      </c>
      <c r="V6292">
        <f t="shared" si="393"/>
        <v>0</v>
      </c>
      <c r="W6292" s="22">
        <f t="shared" si="394"/>
        <v>0</v>
      </c>
    </row>
    <row r="6293" spans="1:23" hidden="1" x14ac:dyDescent="0.25">
      <c r="A6293" s="45">
        <v>46127</v>
      </c>
      <c r="B6293" s="46" t="s">
        <v>334</v>
      </c>
      <c r="C6293" s="4" t="s">
        <v>209</v>
      </c>
      <c r="D6293" s="4"/>
      <c r="E6293" s="4"/>
      <c r="F6293" s="46" t="s">
        <v>3042</v>
      </c>
      <c r="G6293" s="4" t="s">
        <v>336</v>
      </c>
      <c r="H6293" s="4" t="s">
        <v>289</v>
      </c>
      <c r="I6293" s="4">
        <v>0.05</v>
      </c>
      <c r="J6293" s="21">
        <v>2600</v>
      </c>
      <c r="K6293" s="21">
        <v>0</v>
      </c>
      <c r="L6293" s="5">
        <v>0</v>
      </c>
      <c r="M6293" s="4"/>
      <c r="N6293" s="4"/>
      <c r="O6293" s="5"/>
      <c r="P6293" s="5"/>
      <c r="Q6293" s="21">
        <v>130</v>
      </c>
      <c r="R6293" s="21">
        <v>0</v>
      </c>
      <c r="S6293" s="5">
        <f t="shared" si="395"/>
        <v>25250.91174969836</v>
      </c>
      <c r="T6293" cm="1">
        <f t="array" ref="T6293">IF(OR(B6293="MAL ALIMI", B6293="ÜRETİM GİRİŞ"), MIN(I6293, MAX(0, I6293 + SUM(SUMIFS($I$1:I6292, $C$1:C6292, C6293, $B$1:B6292, {"MAL ALIMI","ÜRETİM GİRİŞ"})) - VLOOKUP(C6293, 'STOK RAPORU'!$C$2:$I$1000, 4, 0))), 0)</f>
        <v>0</v>
      </c>
      <c r="U6293" s="22">
        <f t="shared" si="392"/>
        <v>0</v>
      </c>
      <c r="V6293">
        <f t="shared" si="393"/>
        <v>0</v>
      </c>
      <c r="W6293" s="22">
        <f t="shared" si="394"/>
        <v>0</v>
      </c>
    </row>
    <row r="6294" spans="1:23" hidden="1" x14ac:dyDescent="0.25">
      <c r="A6294" s="45">
        <v>46127</v>
      </c>
      <c r="B6294" s="46" t="s">
        <v>334</v>
      </c>
      <c r="C6294" s="4" t="s">
        <v>459</v>
      </c>
      <c r="D6294" s="4"/>
      <c r="E6294" s="4"/>
      <c r="F6294" s="46" t="s">
        <v>3043</v>
      </c>
      <c r="G6294" s="4" t="s">
        <v>336</v>
      </c>
      <c r="H6294" s="4" t="s">
        <v>289</v>
      </c>
      <c r="I6294" s="4">
        <v>0.5</v>
      </c>
      <c r="J6294" s="21">
        <v>100</v>
      </c>
      <c r="K6294" s="21">
        <v>0</v>
      </c>
      <c r="L6294" s="5">
        <v>0</v>
      </c>
      <c r="M6294" s="4"/>
      <c r="N6294" s="4"/>
      <c r="O6294" s="5"/>
      <c r="P6294" s="5"/>
      <c r="Q6294" s="21">
        <v>50</v>
      </c>
      <c r="R6294" s="21">
        <v>0</v>
      </c>
      <c r="S6294" s="5">
        <f t="shared" si="395"/>
        <v>25300.91174969836</v>
      </c>
      <c r="T6294" cm="1">
        <f t="array" ref="T6294">IF(OR(B6294="MAL ALIMI", B6294="ÜRETİM GİRİŞ"), MIN(I6294, MAX(0, I6294 + SUM(SUMIFS($I$1:I6293, $C$1:C6293, C6294, $B$1:B6293, {"MAL ALIMI","ÜRETİM GİRİŞ"})) - VLOOKUP(C6294, 'STOK RAPORU'!$C$2:$I$1000, 4, 0))), 0)</f>
        <v>0</v>
      </c>
      <c r="U6294" s="22">
        <f t="shared" si="392"/>
        <v>0</v>
      </c>
      <c r="V6294">
        <f t="shared" si="393"/>
        <v>0</v>
      </c>
      <c r="W6294" s="22">
        <f t="shared" si="394"/>
        <v>0</v>
      </c>
    </row>
    <row r="6295" spans="1:23" hidden="1" x14ac:dyDescent="0.25">
      <c r="A6295" s="45">
        <v>46127</v>
      </c>
      <c r="B6295" s="46" t="s">
        <v>334</v>
      </c>
      <c r="C6295" s="4" t="s">
        <v>2562</v>
      </c>
      <c r="D6295" s="4"/>
      <c r="E6295" s="4"/>
      <c r="F6295" s="46" t="s">
        <v>3044</v>
      </c>
      <c r="G6295" s="4" t="s">
        <v>336</v>
      </c>
      <c r="H6295" s="4" t="s">
        <v>289</v>
      </c>
      <c r="I6295" s="4">
        <v>1</v>
      </c>
      <c r="J6295" s="21">
        <v>90</v>
      </c>
      <c r="K6295" s="21">
        <v>0</v>
      </c>
      <c r="L6295" s="5">
        <v>0</v>
      </c>
      <c r="M6295" s="4"/>
      <c r="N6295" s="4"/>
      <c r="O6295" s="5"/>
      <c r="P6295" s="5"/>
      <c r="Q6295" s="21">
        <v>90</v>
      </c>
      <c r="R6295" s="21">
        <v>0</v>
      </c>
      <c r="S6295" s="5">
        <f t="shared" si="395"/>
        <v>25390.91174969836</v>
      </c>
      <c r="T6295" cm="1">
        <f t="array" ref="T6295">IF(OR(B6295="MAL ALIMI", B6295="ÜRETİM GİRİŞ"), MIN(I6295, MAX(0, I6295 + SUM(SUMIFS($I$1:I6294, $C$1:C6294, C6295, $B$1:B6294, {"MAL ALIMI","ÜRETİM GİRİŞ"})) - VLOOKUP(C6295, 'STOK RAPORU'!$C$2:$I$1000, 4, 0))), 0)</f>
        <v>0</v>
      </c>
      <c r="U6295" s="22">
        <f t="shared" si="392"/>
        <v>0</v>
      </c>
      <c r="V6295">
        <f t="shared" si="393"/>
        <v>0</v>
      </c>
      <c r="W6295" s="22">
        <f t="shared" si="394"/>
        <v>0</v>
      </c>
    </row>
    <row r="6296" spans="1:23" hidden="1" x14ac:dyDescent="0.25">
      <c r="A6296" s="45">
        <v>46127</v>
      </c>
      <c r="B6296" s="46" t="s">
        <v>334</v>
      </c>
      <c r="C6296" s="4" t="s">
        <v>158</v>
      </c>
      <c r="D6296" s="4"/>
      <c r="E6296" s="4"/>
      <c r="F6296" s="46" t="s">
        <v>3044</v>
      </c>
      <c r="G6296" s="4" t="s">
        <v>336</v>
      </c>
      <c r="H6296" s="4" t="s">
        <v>289</v>
      </c>
      <c r="I6296" s="4">
        <v>1</v>
      </c>
      <c r="J6296" s="21">
        <v>150</v>
      </c>
      <c r="K6296" s="21">
        <v>0</v>
      </c>
      <c r="L6296" s="5">
        <v>0</v>
      </c>
      <c r="M6296" s="4"/>
      <c r="N6296" s="4"/>
      <c r="O6296" s="5"/>
      <c r="P6296" s="5"/>
      <c r="Q6296" s="21">
        <v>150</v>
      </c>
      <c r="R6296" s="21">
        <v>0</v>
      </c>
      <c r="S6296" s="5">
        <f t="shared" si="395"/>
        <v>25540.91174969836</v>
      </c>
      <c r="T6296" cm="1">
        <f t="array" ref="T6296">IF(OR(B6296="MAL ALIMI", B6296="ÜRETİM GİRİŞ"), MIN(I6296, MAX(0, I6296 + SUM(SUMIFS($I$1:I6295, $C$1:C6295, C6296, $B$1:B6295, {"MAL ALIMI","ÜRETİM GİRİŞ"})) - VLOOKUP(C6296, 'STOK RAPORU'!$C$2:$I$1000, 4, 0))), 0)</f>
        <v>0</v>
      </c>
      <c r="U6296" s="22">
        <f t="shared" si="392"/>
        <v>0</v>
      </c>
      <c r="V6296">
        <f t="shared" si="393"/>
        <v>0</v>
      </c>
      <c r="W6296" s="22">
        <f t="shared" si="394"/>
        <v>0</v>
      </c>
    </row>
    <row r="6297" spans="1:23" hidden="1" x14ac:dyDescent="0.25">
      <c r="A6297" s="45">
        <v>46127</v>
      </c>
      <c r="B6297" s="46" t="s">
        <v>334</v>
      </c>
      <c r="C6297" s="4" t="s">
        <v>529</v>
      </c>
      <c r="D6297" s="4"/>
      <c r="E6297" s="4"/>
      <c r="F6297" s="46" t="s">
        <v>3045</v>
      </c>
      <c r="G6297" s="4" t="s">
        <v>336</v>
      </c>
      <c r="H6297" s="4" t="s">
        <v>289</v>
      </c>
      <c r="I6297" s="4">
        <v>0.1</v>
      </c>
      <c r="J6297" s="21">
        <v>600</v>
      </c>
      <c r="K6297" s="21">
        <v>0</v>
      </c>
      <c r="L6297" s="5">
        <v>0</v>
      </c>
      <c r="M6297" s="4"/>
      <c r="N6297" s="4"/>
      <c r="O6297" s="5"/>
      <c r="P6297" s="5"/>
      <c r="Q6297" s="21">
        <v>60</v>
      </c>
      <c r="R6297" s="21">
        <v>0</v>
      </c>
      <c r="S6297" s="5">
        <f t="shared" si="395"/>
        <v>25600.91174969836</v>
      </c>
      <c r="T6297" cm="1">
        <f t="array" ref="T6297">IF(OR(B6297="MAL ALIMI", B6297="ÜRETİM GİRİŞ"), MIN(I6297, MAX(0, I6297 + SUM(SUMIFS($I$1:I6296, $C$1:C6296, C6297, $B$1:B6296, {"MAL ALIMI","ÜRETİM GİRİŞ"})) - VLOOKUP(C6297, 'STOK RAPORU'!$C$2:$I$1000, 4, 0))), 0)</f>
        <v>0</v>
      </c>
      <c r="U6297" s="22">
        <f t="shared" si="392"/>
        <v>0</v>
      </c>
      <c r="V6297">
        <f t="shared" si="393"/>
        <v>0</v>
      </c>
      <c r="W6297" s="22">
        <f t="shared" si="394"/>
        <v>0</v>
      </c>
    </row>
    <row r="6298" spans="1:23" hidden="1" x14ac:dyDescent="0.25">
      <c r="A6298" s="45">
        <v>46127</v>
      </c>
      <c r="B6298" s="46" t="s">
        <v>334</v>
      </c>
      <c r="C6298" s="4" t="s">
        <v>840</v>
      </c>
      <c r="D6298" s="4"/>
      <c r="E6298" s="4"/>
      <c r="F6298" s="46" t="s">
        <v>3045</v>
      </c>
      <c r="G6298" s="4" t="s">
        <v>336</v>
      </c>
      <c r="H6298" s="4" t="s">
        <v>289</v>
      </c>
      <c r="I6298" s="4">
        <v>0.25</v>
      </c>
      <c r="J6298" s="21">
        <v>360</v>
      </c>
      <c r="K6298" s="21">
        <v>0</v>
      </c>
      <c r="L6298" s="5">
        <v>0</v>
      </c>
      <c r="M6298" s="4"/>
      <c r="N6298" s="4"/>
      <c r="O6298" s="5"/>
      <c r="P6298" s="5"/>
      <c r="Q6298" s="21">
        <v>90</v>
      </c>
      <c r="R6298" s="21">
        <v>0</v>
      </c>
      <c r="S6298" s="5">
        <f t="shared" si="395"/>
        <v>25690.91174969836</v>
      </c>
      <c r="T6298" cm="1">
        <f t="array" ref="T6298">IF(OR(B6298="MAL ALIMI", B6298="ÜRETİM GİRİŞ"), MIN(I6298, MAX(0, I6298 + SUM(SUMIFS($I$1:I6297, $C$1:C6297, C6298, $B$1:B6297, {"MAL ALIMI","ÜRETİM GİRİŞ"})) - VLOOKUP(C6298, 'STOK RAPORU'!$C$2:$I$1000, 4, 0))), 0)</f>
        <v>0</v>
      </c>
      <c r="U6298" s="22">
        <f t="shared" si="392"/>
        <v>0</v>
      </c>
      <c r="V6298">
        <f t="shared" si="393"/>
        <v>0</v>
      </c>
      <c r="W6298" s="22">
        <f t="shared" si="394"/>
        <v>0</v>
      </c>
    </row>
    <row r="6299" spans="1:23" hidden="1" x14ac:dyDescent="0.25">
      <c r="A6299" s="45">
        <v>46127</v>
      </c>
      <c r="B6299" s="46" t="s">
        <v>334</v>
      </c>
      <c r="C6299" s="4" t="s">
        <v>230</v>
      </c>
      <c r="D6299" s="4"/>
      <c r="E6299" s="4"/>
      <c r="F6299" s="46" t="s">
        <v>3046</v>
      </c>
      <c r="G6299" s="4" t="s">
        <v>336</v>
      </c>
      <c r="H6299" s="4" t="s">
        <v>289</v>
      </c>
      <c r="I6299" s="4">
        <v>1</v>
      </c>
      <c r="J6299" s="21">
        <v>180</v>
      </c>
      <c r="K6299" s="21">
        <v>0</v>
      </c>
      <c r="L6299" s="5">
        <v>0</v>
      </c>
      <c r="M6299" s="4"/>
      <c r="N6299" s="4"/>
      <c r="O6299" s="5"/>
      <c r="P6299" s="5"/>
      <c r="Q6299" s="21">
        <v>180</v>
      </c>
      <c r="R6299" s="21">
        <v>0</v>
      </c>
      <c r="S6299" s="5">
        <f t="shared" si="395"/>
        <v>25870.91174969836</v>
      </c>
      <c r="T6299" cm="1">
        <f t="array" ref="T6299">IF(OR(B6299="MAL ALIMI", B6299="ÜRETİM GİRİŞ"), MIN(I6299, MAX(0, I6299 + SUM(SUMIFS($I$1:I6298, $C$1:C6298, C6299, $B$1:B6298, {"MAL ALIMI","ÜRETİM GİRİŞ"})) - VLOOKUP(C6299, 'STOK RAPORU'!$C$2:$I$1000, 4, 0))), 0)</f>
        <v>0</v>
      </c>
      <c r="U6299" s="22">
        <f t="shared" si="392"/>
        <v>0</v>
      </c>
      <c r="V6299">
        <f t="shared" si="393"/>
        <v>0</v>
      </c>
      <c r="W6299" s="22">
        <f t="shared" si="394"/>
        <v>0</v>
      </c>
    </row>
    <row r="6300" spans="1:23" hidden="1" x14ac:dyDescent="0.25">
      <c r="A6300" s="45">
        <v>46127</v>
      </c>
      <c r="B6300" s="46" t="s">
        <v>334</v>
      </c>
      <c r="C6300" s="4" t="s">
        <v>237</v>
      </c>
      <c r="D6300" s="4"/>
      <c r="E6300" s="4"/>
      <c r="F6300" s="46" t="s">
        <v>3046</v>
      </c>
      <c r="G6300" s="4" t="s">
        <v>336</v>
      </c>
      <c r="H6300" s="4" t="s">
        <v>289</v>
      </c>
      <c r="I6300" s="4">
        <v>0.05</v>
      </c>
      <c r="J6300" s="21">
        <v>1000</v>
      </c>
      <c r="K6300" s="21">
        <v>0</v>
      </c>
      <c r="L6300" s="5">
        <v>0</v>
      </c>
      <c r="M6300" s="4"/>
      <c r="N6300" s="4"/>
      <c r="O6300" s="5"/>
      <c r="P6300" s="5"/>
      <c r="Q6300" s="21">
        <v>50</v>
      </c>
      <c r="R6300" s="21">
        <v>0</v>
      </c>
      <c r="S6300" s="5">
        <f t="shared" si="395"/>
        <v>25920.91174969836</v>
      </c>
      <c r="T6300" cm="1">
        <f t="array" ref="T6300">IF(OR(B6300="MAL ALIMI", B6300="ÜRETİM GİRİŞ"), MIN(I6300, MAX(0, I6300 + SUM(SUMIFS($I$1:I6299, $C$1:C6299, C6300, $B$1:B6299, {"MAL ALIMI","ÜRETİM GİRİŞ"})) - VLOOKUP(C6300, 'STOK RAPORU'!$C$2:$I$1000, 4, 0))), 0)</f>
        <v>0</v>
      </c>
      <c r="U6300" s="22">
        <f t="shared" si="392"/>
        <v>0</v>
      </c>
      <c r="V6300">
        <f t="shared" si="393"/>
        <v>0</v>
      </c>
      <c r="W6300" s="22">
        <f t="shared" si="394"/>
        <v>0</v>
      </c>
    </row>
    <row r="6301" spans="1:23" hidden="1" x14ac:dyDescent="0.25">
      <c r="A6301" s="45">
        <v>46127</v>
      </c>
      <c r="B6301" s="46" t="s">
        <v>334</v>
      </c>
      <c r="C6301" s="4" t="s">
        <v>649</v>
      </c>
      <c r="D6301" s="4"/>
      <c r="E6301" s="4"/>
      <c r="F6301" s="46" t="s">
        <v>3047</v>
      </c>
      <c r="G6301" s="4" t="s">
        <v>336</v>
      </c>
      <c r="H6301" s="4" t="s">
        <v>289</v>
      </c>
      <c r="I6301" s="4">
        <v>1</v>
      </c>
      <c r="J6301" s="21">
        <v>300</v>
      </c>
      <c r="K6301" s="21">
        <v>0</v>
      </c>
      <c r="L6301" s="5">
        <v>0</v>
      </c>
      <c r="M6301" s="4"/>
      <c r="N6301" s="4"/>
      <c r="O6301" s="5"/>
      <c r="P6301" s="5"/>
      <c r="Q6301" s="21">
        <v>300</v>
      </c>
      <c r="R6301" s="21">
        <v>0</v>
      </c>
      <c r="S6301" s="5">
        <f t="shared" si="395"/>
        <v>26220.91174969836</v>
      </c>
      <c r="T6301" cm="1">
        <f t="array" ref="T6301">IF(OR(B6301="MAL ALIMI", B6301="ÜRETİM GİRİŞ"), MIN(I6301, MAX(0, I6301 + SUM(SUMIFS($I$1:I6300, $C$1:C6300, C6301, $B$1:B6300, {"MAL ALIMI","ÜRETİM GİRİŞ"})) - VLOOKUP(C6301, 'STOK RAPORU'!$C$2:$I$1000, 4, 0))), 0)</f>
        <v>0</v>
      </c>
      <c r="U6301" s="22">
        <f t="shared" si="392"/>
        <v>0</v>
      </c>
      <c r="V6301">
        <f t="shared" si="393"/>
        <v>0</v>
      </c>
      <c r="W6301" s="22">
        <f t="shared" si="394"/>
        <v>0</v>
      </c>
    </row>
    <row r="6302" spans="1:23" hidden="1" x14ac:dyDescent="0.25">
      <c r="A6302" s="45">
        <v>46127</v>
      </c>
      <c r="B6302" s="46" t="s">
        <v>334</v>
      </c>
      <c r="C6302" s="4" t="s">
        <v>160</v>
      </c>
      <c r="D6302" s="4"/>
      <c r="E6302" s="4"/>
      <c r="F6302" s="46" t="s">
        <v>3048</v>
      </c>
      <c r="G6302" s="4" t="s">
        <v>336</v>
      </c>
      <c r="H6302" s="4" t="s">
        <v>289</v>
      </c>
      <c r="I6302" s="4">
        <v>1</v>
      </c>
      <c r="J6302" s="21">
        <v>250</v>
      </c>
      <c r="K6302" s="21">
        <v>0</v>
      </c>
      <c r="L6302" s="5">
        <v>0</v>
      </c>
      <c r="M6302" s="4"/>
      <c r="N6302" s="4"/>
      <c r="O6302" s="5"/>
      <c r="P6302" s="5"/>
      <c r="Q6302" s="21">
        <v>250</v>
      </c>
      <c r="R6302" s="21">
        <v>0</v>
      </c>
      <c r="S6302" s="5">
        <f t="shared" si="395"/>
        <v>26470.91174969836</v>
      </c>
      <c r="T6302" cm="1">
        <f t="array" ref="T6302">IF(OR(B6302="MAL ALIMI", B6302="ÜRETİM GİRİŞ"), MIN(I6302, MAX(0, I6302 + SUM(SUMIFS($I$1:I6301, $C$1:C6301, C6302, $B$1:B6301, {"MAL ALIMI","ÜRETİM GİRİŞ"})) - VLOOKUP(C6302, 'STOK RAPORU'!$C$2:$I$1000, 4, 0))), 0)</f>
        <v>0</v>
      </c>
      <c r="U6302" s="22">
        <f t="shared" si="392"/>
        <v>0</v>
      </c>
      <c r="V6302">
        <f t="shared" si="393"/>
        <v>0</v>
      </c>
      <c r="W6302" s="22">
        <f t="shared" si="394"/>
        <v>0</v>
      </c>
    </row>
    <row r="6303" spans="1:23" hidden="1" x14ac:dyDescent="0.25">
      <c r="A6303" s="45">
        <v>46127</v>
      </c>
      <c r="B6303" s="46" t="s">
        <v>334</v>
      </c>
      <c r="C6303" s="4" t="s">
        <v>167</v>
      </c>
      <c r="D6303" s="4"/>
      <c r="E6303" s="4"/>
      <c r="F6303" s="46" t="s">
        <v>3048</v>
      </c>
      <c r="G6303" s="4" t="s">
        <v>336</v>
      </c>
      <c r="H6303" s="4" t="s">
        <v>289</v>
      </c>
      <c r="I6303" s="4">
        <v>1</v>
      </c>
      <c r="J6303" s="21">
        <v>250</v>
      </c>
      <c r="K6303" s="21">
        <v>0</v>
      </c>
      <c r="L6303" s="5">
        <v>0</v>
      </c>
      <c r="M6303" s="4"/>
      <c r="N6303" s="4"/>
      <c r="O6303" s="5"/>
      <c r="P6303" s="5"/>
      <c r="Q6303" s="21">
        <v>250</v>
      </c>
      <c r="R6303" s="21">
        <v>0</v>
      </c>
      <c r="S6303" s="5">
        <f t="shared" si="395"/>
        <v>26720.91174969836</v>
      </c>
      <c r="T6303" cm="1">
        <f t="array" ref="T6303">IF(OR(B6303="MAL ALIMI", B6303="ÜRETİM GİRİŞ"), MIN(I6303, MAX(0, I6303 + SUM(SUMIFS($I$1:I6302, $C$1:C6302, C6303, $B$1:B6302, {"MAL ALIMI","ÜRETİM GİRİŞ"})) - VLOOKUP(C6303, 'STOK RAPORU'!$C$2:$I$1000, 4, 0))), 0)</f>
        <v>0</v>
      </c>
      <c r="U6303" s="22">
        <f t="shared" si="392"/>
        <v>0</v>
      </c>
      <c r="V6303">
        <f t="shared" si="393"/>
        <v>0</v>
      </c>
      <c r="W6303" s="22">
        <f t="shared" si="394"/>
        <v>0</v>
      </c>
    </row>
    <row r="6304" spans="1:23" hidden="1" x14ac:dyDescent="0.25">
      <c r="A6304" s="45">
        <v>46127</v>
      </c>
      <c r="B6304" s="46" t="s">
        <v>334</v>
      </c>
      <c r="C6304" s="4" t="s">
        <v>591</v>
      </c>
      <c r="D6304" s="4"/>
      <c r="E6304" s="4"/>
      <c r="F6304" s="46" t="s">
        <v>3048</v>
      </c>
      <c r="G6304" s="4" t="s">
        <v>336</v>
      </c>
      <c r="H6304" s="4" t="s">
        <v>289</v>
      </c>
      <c r="I6304" s="4">
        <v>1</v>
      </c>
      <c r="J6304" s="21">
        <v>350</v>
      </c>
      <c r="K6304" s="21">
        <v>0</v>
      </c>
      <c r="L6304" s="5">
        <v>0</v>
      </c>
      <c r="M6304" s="4"/>
      <c r="N6304" s="4"/>
      <c r="O6304" s="5"/>
      <c r="P6304" s="5"/>
      <c r="Q6304" s="21">
        <v>350</v>
      </c>
      <c r="R6304" s="21">
        <v>0</v>
      </c>
      <c r="S6304" s="5">
        <f t="shared" si="395"/>
        <v>27070.91174969836</v>
      </c>
      <c r="T6304" cm="1">
        <f t="array" ref="T6304">IF(OR(B6304="MAL ALIMI", B6304="ÜRETİM GİRİŞ"), MIN(I6304, MAX(0, I6304 + SUM(SUMIFS($I$1:I6303, $C$1:C6303, C6304, $B$1:B6303, {"MAL ALIMI","ÜRETİM GİRİŞ"})) - VLOOKUP(C6304, 'STOK RAPORU'!$C$2:$I$1000, 4, 0))), 0)</f>
        <v>0</v>
      </c>
      <c r="U6304" s="22">
        <f t="shared" si="392"/>
        <v>0</v>
      </c>
      <c r="V6304">
        <f t="shared" si="393"/>
        <v>0</v>
      </c>
      <c r="W6304" s="22">
        <f t="shared" si="394"/>
        <v>0</v>
      </c>
    </row>
    <row r="6305" spans="1:23" hidden="1" x14ac:dyDescent="0.25">
      <c r="A6305" s="45">
        <v>46127</v>
      </c>
      <c r="B6305" s="46" t="s">
        <v>334</v>
      </c>
      <c r="C6305" s="4" t="s">
        <v>1203</v>
      </c>
      <c r="D6305" s="4"/>
      <c r="E6305" s="4"/>
      <c r="F6305" s="46" t="s">
        <v>3049</v>
      </c>
      <c r="G6305" s="4" t="s">
        <v>336</v>
      </c>
      <c r="H6305" s="4" t="s">
        <v>289</v>
      </c>
      <c r="I6305" s="4">
        <v>1</v>
      </c>
      <c r="J6305" s="21">
        <v>140</v>
      </c>
      <c r="K6305" s="21">
        <v>0</v>
      </c>
      <c r="L6305" s="5">
        <v>0</v>
      </c>
      <c r="M6305" s="4"/>
      <c r="N6305" s="4"/>
      <c r="O6305" s="5"/>
      <c r="P6305" s="5"/>
      <c r="Q6305" s="21">
        <v>140</v>
      </c>
      <c r="R6305" s="21">
        <v>0</v>
      </c>
      <c r="S6305" s="5">
        <f t="shared" si="395"/>
        <v>27210.91174969836</v>
      </c>
      <c r="T6305" cm="1">
        <f t="array" ref="T6305">IF(OR(B6305="MAL ALIMI", B6305="ÜRETİM GİRİŞ"), MIN(I6305, MAX(0, I6305 + SUM(SUMIFS($I$1:I6304, $C$1:C6304, C6305, $B$1:B6304, {"MAL ALIMI","ÜRETİM GİRİŞ"})) - VLOOKUP(C6305, 'STOK RAPORU'!$C$2:$I$1000, 4, 0))), 0)</f>
        <v>0</v>
      </c>
      <c r="U6305" s="22">
        <f t="shared" si="392"/>
        <v>0</v>
      </c>
      <c r="V6305">
        <f t="shared" si="393"/>
        <v>0</v>
      </c>
      <c r="W6305" s="22">
        <f t="shared" si="394"/>
        <v>0</v>
      </c>
    </row>
    <row r="6306" spans="1:23" hidden="1" x14ac:dyDescent="0.25">
      <c r="A6306" s="45">
        <v>46127</v>
      </c>
      <c r="B6306" s="46" t="s">
        <v>334</v>
      </c>
      <c r="C6306" s="4" t="s">
        <v>1384</v>
      </c>
      <c r="D6306" s="4"/>
      <c r="E6306" s="4"/>
      <c r="F6306" s="46" t="s">
        <v>3050</v>
      </c>
      <c r="G6306" s="4" t="s">
        <v>336</v>
      </c>
      <c r="H6306" s="4" t="s">
        <v>289</v>
      </c>
      <c r="I6306" s="4">
        <v>1</v>
      </c>
      <c r="J6306" s="21">
        <v>190</v>
      </c>
      <c r="K6306" s="21">
        <v>0</v>
      </c>
      <c r="L6306" s="5">
        <v>0</v>
      </c>
      <c r="M6306" s="4"/>
      <c r="N6306" s="4"/>
      <c r="O6306" s="5"/>
      <c r="P6306" s="5"/>
      <c r="Q6306" s="21">
        <v>190</v>
      </c>
      <c r="R6306" s="21">
        <v>0</v>
      </c>
      <c r="S6306" s="5">
        <f t="shared" si="395"/>
        <v>27400.91174969836</v>
      </c>
      <c r="T6306" cm="1">
        <f t="array" ref="T6306">IF(OR(B6306="MAL ALIMI", B6306="ÜRETİM GİRİŞ"), MIN(I6306, MAX(0, I6306 + SUM(SUMIFS($I$1:I6305, $C$1:C6305, C6306, $B$1:B6305, {"MAL ALIMI","ÜRETİM GİRİŞ"})) - VLOOKUP(C6306, 'STOK RAPORU'!$C$2:$I$1000, 4, 0))), 0)</f>
        <v>0</v>
      </c>
      <c r="U6306" s="22">
        <f t="shared" si="392"/>
        <v>0</v>
      </c>
      <c r="V6306">
        <f t="shared" si="393"/>
        <v>0</v>
      </c>
      <c r="W6306" s="22">
        <f t="shared" si="394"/>
        <v>0</v>
      </c>
    </row>
    <row r="6307" spans="1:23" hidden="1" x14ac:dyDescent="0.25">
      <c r="A6307" s="45">
        <v>46127</v>
      </c>
      <c r="B6307" s="46" t="s">
        <v>334</v>
      </c>
      <c r="C6307" s="4" t="s">
        <v>588</v>
      </c>
      <c r="D6307" s="4"/>
      <c r="E6307" s="4" t="s">
        <v>921</v>
      </c>
      <c r="F6307" s="46" t="s">
        <v>3051</v>
      </c>
      <c r="G6307" s="4" t="s">
        <v>336</v>
      </c>
      <c r="H6307" s="4" t="s">
        <v>380</v>
      </c>
      <c r="I6307" s="4">
        <v>1</v>
      </c>
      <c r="J6307" s="21">
        <v>300</v>
      </c>
      <c r="K6307" s="21">
        <v>300</v>
      </c>
      <c r="L6307" s="5">
        <v>0</v>
      </c>
      <c r="M6307" s="4"/>
      <c r="N6307" s="4"/>
      <c r="O6307" s="5"/>
      <c r="P6307" s="5"/>
      <c r="Q6307" s="21">
        <v>0</v>
      </c>
      <c r="R6307" s="21">
        <v>0</v>
      </c>
      <c r="S6307" s="5">
        <f t="shared" si="395"/>
        <v>27400.91174969836</v>
      </c>
      <c r="T6307" cm="1">
        <f t="array" ref="T6307">IF(OR(B6307="MAL ALIMI", B6307="ÜRETİM GİRİŞ"), MIN(I6307, MAX(0, I6307 + SUM(SUMIFS($I$1:I6306, $C$1:C6306, C6307, $B$1:B6306, {"MAL ALIMI","ÜRETİM GİRİŞ"})) - VLOOKUP(C6307, 'STOK RAPORU'!$C$2:$I$1000, 4, 0))), 0)</f>
        <v>0</v>
      </c>
      <c r="U6307" s="22">
        <f t="shared" si="392"/>
        <v>0</v>
      </c>
      <c r="V6307">
        <f t="shared" si="393"/>
        <v>0</v>
      </c>
      <c r="W6307" s="22">
        <f t="shared" si="394"/>
        <v>0</v>
      </c>
    </row>
    <row r="6308" spans="1:23" hidden="1" x14ac:dyDescent="0.25">
      <c r="A6308" s="45">
        <v>46127</v>
      </c>
      <c r="B6308" s="46" t="s">
        <v>334</v>
      </c>
      <c r="C6308" s="4" t="s">
        <v>1041</v>
      </c>
      <c r="D6308" s="4"/>
      <c r="E6308" s="4" t="s">
        <v>921</v>
      </c>
      <c r="F6308" s="46" t="s">
        <v>3051</v>
      </c>
      <c r="G6308" s="4" t="s">
        <v>336</v>
      </c>
      <c r="H6308" s="4" t="s">
        <v>380</v>
      </c>
      <c r="I6308" s="4">
        <v>1</v>
      </c>
      <c r="J6308" s="21">
        <v>250</v>
      </c>
      <c r="K6308" s="21">
        <v>250</v>
      </c>
      <c r="L6308" s="5">
        <v>0</v>
      </c>
      <c r="M6308" s="4"/>
      <c r="N6308" s="4"/>
      <c r="O6308" s="5"/>
      <c r="P6308" s="5"/>
      <c r="Q6308" s="21">
        <v>0</v>
      </c>
      <c r="R6308" s="21">
        <v>0</v>
      </c>
      <c r="S6308" s="5">
        <f t="shared" si="395"/>
        <v>27400.91174969836</v>
      </c>
      <c r="T6308" cm="1">
        <f t="array" ref="T6308">IF(OR(B6308="MAL ALIMI", B6308="ÜRETİM GİRİŞ"), MIN(I6308, MAX(0, I6308 + SUM(SUMIFS($I$1:I6307, $C$1:C6307, C6308, $B$1:B6307, {"MAL ALIMI","ÜRETİM GİRİŞ"})) - VLOOKUP(C6308, 'STOK RAPORU'!$C$2:$I$1000, 4, 0))), 0)</f>
        <v>0</v>
      </c>
      <c r="U6308" s="22">
        <f t="shared" si="392"/>
        <v>0</v>
      </c>
      <c r="V6308">
        <f t="shared" si="393"/>
        <v>0</v>
      </c>
      <c r="W6308" s="22">
        <f t="shared" si="394"/>
        <v>0</v>
      </c>
    </row>
    <row r="6309" spans="1:23" hidden="1" x14ac:dyDescent="0.25">
      <c r="A6309" s="45">
        <v>46127</v>
      </c>
      <c r="B6309" s="46" t="s">
        <v>334</v>
      </c>
      <c r="C6309" s="4" t="s">
        <v>690</v>
      </c>
      <c r="D6309" s="4"/>
      <c r="E6309" s="4" t="s">
        <v>921</v>
      </c>
      <c r="F6309" s="46" t="s">
        <v>3051</v>
      </c>
      <c r="G6309" s="4" t="s">
        <v>336</v>
      </c>
      <c r="H6309" s="4" t="s">
        <v>380</v>
      </c>
      <c r="I6309" s="4">
        <v>0.35882352941176471</v>
      </c>
      <c r="J6309" s="21">
        <v>335</v>
      </c>
      <c r="K6309" s="21">
        <v>120.20588235294117</v>
      </c>
      <c r="L6309" s="5">
        <v>0</v>
      </c>
      <c r="M6309" s="4"/>
      <c r="N6309" s="4"/>
      <c r="O6309" s="5"/>
      <c r="P6309" s="5"/>
      <c r="Q6309" s="21">
        <v>0</v>
      </c>
      <c r="R6309" s="21">
        <v>0</v>
      </c>
      <c r="S6309" s="5">
        <f t="shared" si="395"/>
        <v>27400.91174969836</v>
      </c>
      <c r="T6309" cm="1">
        <f t="array" ref="T6309">IF(OR(B6309="MAL ALIMI", B6309="ÜRETİM GİRİŞ"), MIN(I6309, MAX(0, I6309 + SUM(SUMIFS($I$1:I6308, $C$1:C6308, C6309, $B$1:B6308, {"MAL ALIMI","ÜRETİM GİRİŞ"})) - VLOOKUP(C6309, 'STOK RAPORU'!$C$2:$I$1000, 4, 0))), 0)</f>
        <v>0</v>
      </c>
      <c r="U6309" s="22">
        <f t="shared" si="392"/>
        <v>0</v>
      </c>
      <c r="V6309">
        <f t="shared" si="393"/>
        <v>0</v>
      </c>
      <c r="W6309" s="22">
        <f t="shared" si="394"/>
        <v>0</v>
      </c>
    </row>
    <row r="6310" spans="1:23" hidden="1" x14ac:dyDescent="0.25">
      <c r="A6310" s="45">
        <v>46127</v>
      </c>
      <c r="B6310" s="46" t="s">
        <v>334</v>
      </c>
      <c r="C6310" s="4" t="s">
        <v>679</v>
      </c>
      <c r="D6310" s="4"/>
      <c r="E6310" s="4"/>
      <c r="F6310" s="46" t="s">
        <v>3052</v>
      </c>
      <c r="G6310" s="4" t="s">
        <v>336</v>
      </c>
      <c r="H6310" s="4" t="s">
        <v>289</v>
      </c>
      <c r="I6310" s="4">
        <v>0.25</v>
      </c>
      <c r="J6310" s="21">
        <v>400</v>
      </c>
      <c r="K6310" s="21">
        <v>0</v>
      </c>
      <c r="L6310" s="5">
        <v>0</v>
      </c>
      <c r="M6310" s="4"/>
      <c r="N6310" s="4"/>
      <c r="O6310" s="5"/>
      <c r="P6310" s="5"/>
      <c r="Q6310" s="21">
        <v>100</v>
      </c>
      <c r="R6310" s="21">
        <v>0</v>
      </c>
      <c r="S6310" s="5">
        <f t="shared" si="395"/>
        <v>27500.91174969836</v>
      </c>
      <c r="T6310" cm="1">
        <f t="array" ref="T6310">IF(OR(B6310="MAL ALIMI", B6310="ÜRETİM GİRİŞ"), MIN(I6310, MAX(0, I6310 + SUM(SUMIFS($I$1:I6309, $C$1:C6309, C6310, $B$1:B6309, {"MAL ALIMI","ÜRETİM GİRİŞ"})) - VLOOKUP(C6310, 'STOK RAPORU'!$C$2:$I$1000, 4, 0))), 0)</f>
        <v>0</v>
      </c>
      <c r="U6310" s="22">
        <f t="shared" si="392"/>
        <v>0</v>
      </c>
      <c r="V6310">
        <f t="shared" si="393"/>
        <v>0</v>
      </c>
      <c r="W6310" s="22">
        <f t="shared" si="394"/>
        <v>0</v>
      </c>
    </row>
    <row r="6311" spans="1:23" hidden="1" x14ac:dyDescent="0.25">
      <c r="A6311" s="45">
        <v>46127</v>
      </c>
      <c r="B6311" s="46" t="s">
        <v>334</v>
      </c>
      <c r="C6311" s="4" t="s">
        <v>156</v>
      </c>
      <c r="D6311" s="4"/>
      <c r="E6311" s="4"/>
      <c r="F6311" s="46" t="s">
        <v>3052</v>
      </c>
      <c r="G6311" s="4" t="s">
        <v>336</v>
      </c>
      <c r="H6311" s="4" t="s">
        <v>289</v>
      </c>
      <c r="I6311" s="4">
        <v>0.25</v>
      </c>
      <c r="J6311" s="21">
        <v>200</v>
      </c>
      <c r="K6311" s="21">
        <v>0</v>
      </c>
      <c r="L6311" s="5">
        <v>0</v>
      </c>
      <c r="M6311" s="4"/>
      <c r="N6311" s="4"/>
      <c r="O6311" s="5"/>
      <c r="P6311" s="5"/>
      <c r="Q6311" s="21">
        <v>50</v>
      </c>
      <c r="R6311" s="21">
        <v>0</v>
      </c>
      <c r="S6311" s="5">
        <f t="shared" si="395"/>
        <v>27550.91174969836</v>
      </c>
      <c r="T6311" cm="1">
        <f t="array" ref="T6311">IF(OR(B6311="MAL ALIMI", B6311="ÜRETİM GİRİŞ"), MIN(I6311, MAX(0, I6311 + SUM(SUMIFS($I$1:I6310, $C$1:C6310, C6311, $B$1:B6310, {"MAL ALIMI","ÜRETİM GİRİŞ"})) - VLOOKUP(C6311, 'STOK RAPORU'!$C$2:$I$1000, 4, 0))), 0)</f>
        <v>0</v>
      </c>
      <c r="U6311" s="22">
        <f t="shared" si="392"/>
        <v>0</v>
      </c>
      <c r="V6311">
        <f t="shared" si="393"/>
        <v>0</v>
      </c>
      <c r="W6311" s="22">
        <f t="shared" si="394"/>
        <v>0</v>
      </c>
    </row>
    <row r="6312" spans="1:23" hidden="1" x14ac:dyDescent="0.25">
      <c r="A6312" s="45">
        <v>46127</v>
      </c>
      <c r="B6312" s="46" t="s">
        <v>334</v>
      </c>
      <c r="C6312" s="4" t="s">
        <v>157</v>
      </c>
      <c r="D6312" s="4"/>
      <c r="E6312" s="4"/>
      <c r="F6312" s="46" t="s">
        <v>3052</v>
      </c>
      <c r="G6312" s="4" t="s">
        <v>336</v>
      </c>
      <c r="H6312" s="4" t="s">
        <v>289</v>
      </c>
      <c r="I6312" s="4">
        <v>0.25</v>
      </c>
      <c r="J6312" s="21">
        <v>200</v>
      </c>
      <c r="K6312" s="21">
        <v>0</v>
      </c>
      <c r="L6312" s="5">
        <v>0</v>
      </c>
      <c r="M6312" s="4"/>
      <c r="N6312" s="4"/>
      <c r="O6312" s="5"/>
      <c r="P6312" s="5"/>
      <c r="Q6312" s="21">
        <v>50</v>
      </c>
      <c r="R6312" s="21">
        <v>0</v>
      </c>
      <c r="S6312" s="5">
        <f t="shared" si="395"/>
        <v>27600.91174969836</v>
      </c>
      <c r="T6312" cm="1">
        <f t="array" ref="T6312">IF(OR(B6312="MAL ALIMI", B6312="ÜRETİM GİRİŞ"), MIN(I6312, MAX(0, I6312 + SUM(SUMIFS($I$1:I6311, $C$1:C6311, C6312, $B$1:B6311, {"MAL ALIMI","ÜRETİM GİRİŞ"})) - VLOOKUP(C6312, 'STOK RAPORU'!$C$2:$I$1000, 4, 0))), 0)</f>
        <v>0</v>
      </c>
      <c r="U6312" s="22">
        <f t="shared" si="392"/>
        <v>0</v>
      </c>
      <c r="V6312">
        <f t="shared" si="393"/>
        <v>0</v>
      </c>
      <c r="W6312" s="22">
        <f t="shared" si="394"/>
        <v>0</v>
      </c>
    </row>
    <row r="6313" spans="1:23" hidden="1" x14ac:dyDescent="0.25">
      <c r="A6313" s="45">
        <v>46127</v>
      </c>
      <c r="B6313" s="46" t="s">
        <v>334</v>
      </c>
      <c r="C6313" s="4" t="s">
        <v>1649</v>
      </c>
      <c r="D6313" s="4"/>
      <c r="E6313" s="4" t="s">
        <v>921</v>
      </c>
      <c r="F6313" s="46" t="s">
        <v>3053</v>
      </c>
      <c r="G6313" s="4" t="s">
        <v>336</v>
      </c>
      <c r="H6313" s="4" t="s">
        <v>380</v>
      </c>
      <c r="I6313" s="4">
        <v>4.4999999999999998E-2</v>
      </c>
      <c r="J6313" s="21">
        <v>1111</v>
      </c>
      <c r="K6313" s="21">
        <v>49.994999999999997</v>
      </c>
      <c r="L6313" s="5">
        <v>0</v>
      </c>
      <c r="M6313" s="4"/>
      <c r="N6313" s="4"/>
      <c r="O6313" s="5"/>
      <c r="P6313" s="5"/>
      <c r="Q6313" s="21">
        <v>0</v>
      </c>
      <c r="R6313" s="21">
        <v>0</v>
      </c>
      <c r="S6313" s="5">
        <f t="shared" si="395"/>
        <v>27600.91174969836</v>
      </c>
      <c r="T6313" cm="1">
        <f t="array" ref="T6313">IF(OR(B6313="MAL ALIMI", B6313="ÜRETİM GİRİŞ"), MIN(I6313, MAX(0, I6313 + SUM(SUMIFS($I$1:I6312, $C$1:C6312, C6313, $B$1:B6312, {"MAL ALIMI","ÜRETİM GİRİŞ"})) - VLOOKUP(C6313, 'STOK RAPORU'!$C$2:$I$1000, 4, 0))), 0)</f>
        <v>0</v>
      </c>
      <c r="U6313" s="22">
        <f t="shared" si="392"/>
        <v>0</v>
      </c>
      <c r="V6313">
        <f t="shared" si="393"/>
        <v>0</v>
      </c>
      <c r="W6313" s="22">
        <f t="shared" si="394"/>
        <v>0</v>
      </c>
    </row>
    <row r="6314" spans="1:23" hidden="1" x14ac:dyDescent="0.25">
      <c r="A6314" s="45">
        <v>46128</v>
      </c>
      <c r="B6314" s="46" t="s">
        <v>334</v>
      </c>
      <c r="C6314" s="4" t="s">
        <v>463</v>
      </c>
      <c r="D6314" s="4"/>
      <c r="E6314" s="4"/>
      <c r="F6314" s="46" t="s">
        <v>3054</v>
      </c>
      <c r="G6314" s="4" t="s">
        <v>336</v>
      </c>
      <c r="H6314" s="4" t="s">
        <v>289</v>
      </c>
      <c r="I6314" s="4">
        <v>0.16</v>
      </c>
      <c r="J6314" s="21">
        <v>313</v>
      </c>
      <c r="K6314" s="21">
        <v>0</v>
      </c>
      <c r="L6314" s="5">
        <v>0</v>
      </c>
      <c r="M6314" s="4"/>
      <c r="N6314" s="4"/>
      <c r="O6314" s="5"/>
      <c r="P6314" s="5"/>
      <c r="Q6314" s="21">
        <v>50.08</v>
      </c>
      <c r="R6314" s="21">
        <v>0</v>
      </c>
      <c r="S6314" s="5">
        <f t="shared" si="395"/>
        <v>27650.991749698362</v>
      </c>
      <c r="T6314" cm="1">
        <f t="array" ref="T6314">IF(OR(B6314="MAL ALIMI", B6314="ÜRETİM GİRİŞ"), MIN(I6314, MAX(0, I6314 + SUM(SUMIFS($I$1:I6313, $C$1:C6313, C6314, $B$1:B6313, {"MAL ALIMI","ÜRETİM GİRİŞ"})) - VLOOKUP(C6314, 'STOK RAPORU'!$C$2:$I$1000, 4, 0))), 0)</f>
        <v>0</v>
      </c>
      <c r="U6314" s="22">
        <f t="shared" si="392"/>
        <v>0</v>
      </c>
      <c r="V6314">
        <f t="shared" si="393"/>
        <v>0</v>
      </c>
      <c r="W6314" s="22">
        <f t="shared" si="394"/>
        <v>0</v>
      </c>
    </row>
    <row r="6315" spans="1:23" hidden="1" x14ac:dyDescent="0.25">
      <c r="A6315" s="45">
        <v>46128</v>
      </c>
      <c r="B6315" s="46" t="s">
        <v>334</v>
      </c>
      <c r="C6315" s="4" t="s">
        <v>1023</v>
      </c>
      <c r="D6315" s="4"/>
      <c r="E6315" s="4"/>
      <c r="F6315" s="46" t="s">
        <v>3054</v>
      </c>
      <c r="G6315" s="4" t="s">
        <v>336</v>
      </c>
      <c r="H6315" s="4" t="s">
        <v>289</v>
      </c>
      <c r="I6315" s="4">
        <v>2.02</v>
      </c>
      <c r="J6315" s="21">
        <v>49</v>
      </c>
      <c r="K6315" s="21">
        <v>0</v>
      </c>
      <c r="L6315" s="5">
        <v>0</v>
      </c>
      <c r="M6315" s="4"/>
      <c r="N6315" s="4"/>
      <c r="O6315" s="5"/>
      <c r="P6315" s="5"/>
      <c r="Q6315" s="21">
        <v>98.98</v>
      </c>
      <c r="R6315" s="21">
        <v>0</v>
      </c>
      <c r="S6315" s="5">
        <f t="shared" si="395"/>
        <v>27749.971749698361</v>
      </c>
      <c r="T6315" cm="1">
        <f t="array" ref="T6315">IF(OR(B6315="MAL ALIMI", B6315="ÜRETİM GİRİŞ"), MIN(I6315, MAX(0, I6315 + SUM(SUMIFS($I$1:I6314, $C$1:C6314, C6315, $B$1:B6314, {"MAL ALIMI","ÜRETİM GİRİŞ"})) - VLOOKUP(C6315, 'STOK RAPORU'!$C$2:$I$1000, 4, 0))), 0)</f>
        <v>0</v>
      </c>
      <c r="U6315" s="22">
        <f t="shared" si="392"/>
        <v>0</v>
      </c>
      <c r="V6315">
        <f t="shared" si="393"/>
        <v>0</v>
      </c>
      <c r="W6315" s="22">
        <f t="shared" si="394"/>
        <v>0</v>
      </c>
    </row>
    <row r="6316" spans="1:23" hidden="1" x14ac:dyDescent="0.25">
      <c r="A6316" s="45">
        <v>46128</v>
      </c>
      <c r="B6316" s="46" t="s">
        <v>334</v>
      </c>
      <c r="C6316" s="4" t="s">
        <v>1041</v>
      </c>
      <c r="D6316" s="4"/>
      <c r="E6316" s="4"/>
      <c r="F6316" s="46" t="s">
        <v>3055</v>
      </c>
      <c r="G6316" s="4" t="s">
        <v>336</v>
      </c>
      <c r="H6316" s="4" t="s">
        <v>289</v>
      </c>
      <c r="I6316" s="4">
        <v>1</v>
      </c>
      <c r="J6316" s="21">
        <v>250</v>
      </c>
      <c r="K6316" s="21">
        <v>0</v>
      </c>
      <c r="L6316" s="5">
        <v>0</v>
      </c>
      <c r="M6316" s="4"/>
      <c r="N6316" s="4"/>
      <c r="O6316" s="5"/>
      <c r="P6316" s="5"/>
      <c r="Q6316" s="21">
        <v>250</v>
      </c>
      <c r="R6316" s="21">
        <v>0</v>
      </c>
      <c r="S6316" s="5">
        <f t="shared" si="395"/>
        <v>27999.971749698361</v>
      </c>
      <c r="T6316" cm="1">
        <f t="array" ref="T6316">IF(OR(B6316="MAL ALIMI", B6316="ÜRETİM GİRİŞ"), MIN(I6316, MAX(0, I6316 + SUM(SUMIFS($I$1:I6315, $C$1:C6315, C6316, $B$1:B6315, {"MAL ALIMI","ÜRETİM GİRİŞ"})) - VLOOKUP(C6316, 'STOK RAPORU'!$C$2:$I$1000, 4, 0))), 0)</f>
        <v>0</v>
      </c>
      <c r="U6316" s="22">
        <f t="shared" si="392"/>
        <v>0</v>
      </c>
      <c r="V6316">
        <f t="shared" si="393"/>
        <v>0</v>
      </c>
      <c r="W6316" s="22">
        <f t="shared" si="394"/>
        <v>0</v>
      </c>
    </row>
    <row r="6317" spans="1:23" hidden="1" x14ac:dyDescent="0.25">
      <c r="A6317" s="45">
        <v>46128</v>
      </c>
      <c r="B6317" s="46" t="s">
        <v>334</v>
      </c>
      <c r="C6317" s="4" t="s">
        <v>60</v>
      </c>
      <c r="D6317" s="4"/>
      <c r="E6317" s="4"/>
      <c r="F6317" s="46" t="s">
        <v>3055</v>
      </c>
      <c r="G6317" s="4" t="s">
        <v>336</v>
      </c>
      <c r="H6317" s="4" t="s">
        <v>289</v>
      </c>
      <c r="I6317" s="4">
        <v>0.05</v>
      </c>
      <c r="J6317" s="21">
        <v>1000</v>
      </c>
      <c r="K6317" s="21">
        <v>0</v>
      </c>
      <c r="L6317" s="5">
        <v>0</v>
      </c>
      <c r="M6317" s="4"/>
      <c r="N6317" s="4"/>
      <c r="O6317" s="5"/>
      <c r="P6317" s="5"/>
      <c r="Q6317" s="21">
        <v>50</v>
      </c>
      <c r="R6317" s="21">
        <v>0</v>
      </c>
      <c r="S6317" s="5">
        <f t="shared" si="395"/>
        <v>28049.971749698361</v>
      </c>
      <c r="T6317" cm="1">
        <f t="array" ref="T6317">IF(OR(B6317="MAL ALIMI", B6317="ÜRETİM GİRİŞ"), MIN(I6317, MAX(0, I6317 + SUM(SUMIFS($I$1:I6316, $C$1:C6316, C6317, $B$1:B6316, {"MAL ALIMI","ÜRETİM GİRİŞ"})) - VLOOKUP(C6317, 'STOK RAPORU'!$C$2:$I$1000, 4, 0))), 0)</f>
        <v>0</v>
      </c>
      <c r="U6317" s="22">
        <f t="shared" si="392"/>
        <v>0</v>
      </c>
      <c r="V6317">
        <f t="shared" si="393"/>
        <v>0</v>
      </c>
      <c r="W6317" s="22">
        <f t="shared" si="394"/>
        <v>0</v>
      </c>
    </row>
    <row r="6318" spans="1:23" hidden="1" x14ac:dyDescent="0.25">
      <c r="A6318" s="45">
        <v>46128</v>
      </c>
      <c r="B6318" s="46" t="s">
        <v>334</v>
      </c>
      <c r="C6318" s="4" t="s">
        <v>1897</v>
      </c>
      <c r="D6318" s="4"/>
      <c r="E6318" s="4"/>
      <c r="F6318" s="46" t="s">
        <v>3056</v>
      </c>
      <c r="G6318" s="4" t="s">
        <v>336</v>
      </c>
      <c r="H6318" s="4" t="s">
        <v>289</v>
      </c>
      <c r="I6318" s="4">
        <v>1</v>
      </c>
      <c r="J6318" s="21">
        <v>300</v>
      </c>
      <c r="K6318" s="21">
        <v>0</v>
      </c>
      <c r="L6318" s="5">
        <v>0</v>
      </c>
      <c r="M6318" s="4"/>
      <c r="N6318" s="4"/>
      <c r="O6318" s="5"/>
      <c r="P6318" s="5"/>
      <c r="Q6318" s="21">
        <v>300</v>
      </c>
      <c r="R6318" s="21">
        <v>0</v>
      </c>
      <c r="S6318" s="5">
        <f t="shared" si="395"/>
        <v>28349.971749698361</v>
      </c>
      <c r="T6318" cm="1">
        <f t="array" ref="T6318">IF(OR(B6318="MAL ALIMI", B6318="ÜRETİM GİRİŞ"), MIN(I6318, MAX(0, I6318 + SUM(SUMIFS($I$1:I6317, $C$1:C6317, C6318, $B$1:B6317, {"MAL ALIMI","ÜRETİM GİRİŞ"})) - VLOOKUP(C6318, 'STOK RAPORU'!$C$2:$I$1000, 4, 0))), 0)</f>
        <v>0</v>
      </c>
      <c r="U6318" s="22">
        <f t="shared" si="392"/>
        <v>0</v>
      </c>
      <c r="V6318">
        <f t="shared" si="393"/>
        <v>0</v>
      </c>
      <c r="W6318" s="22">
        <f t="shared" si="394"/>
        <v>0</v>
      </c>
    </row>
    <row r="6319" spans="1:23" hidden="1" x14ac:dyDescent="0.25">
      <c r="A6319" s="45">
        <v>46128</v>
      </c>
      <c r="B6319" s="46" t="s">
        <v>334</v>
      </c>
      <c r="C6319" s="4" t="s">
        <v>226</v>
      </c>
      <c r="D6319" s="4"/>
      <c r="E6319" s="4"/>
      <c r="F6319" s="46" t="s">
        <v>3056</v>
      </c>
      <c r="G6319" s="4" t="s">
        <v>336</v>
      </c>
      <c r="H6319" s="4" t="s">
        <v>289</v>
      </c>
      <c r="I6319" s="4">
        <v>0.22800000000000001</v>
      </c>
      <c r="J6319" s="21">
        <v>220</v>
      </c>
      <c r="K6319" s="21">
        <v>0</v>
      </c>
      <c r="L6319" s="5">
        <v>0</v>
      </c>
      <c r="M6319" s="4"/>
      <c r="N6319" s="4"/>
      <c r="O6319" s="5"/>
      <c r="P6319" s="5"/>
      <c r="Q6319" s="21">
        <v>50.160000000000004</v>
      </c>
      <c r="R6319" s="21">
        <v>0</v>
      </c>
      <c r="S6319" s="5">
        <f t="shared" si="395"/>
        <v>28400.131749698361</v>
      </c>
      <c r="T6319" cm="1">
        <f t="array" ref="T6319">IF(OR(B6319="MAL ALIMI", B6319="ÜRETİM GİRİŞ"), MIN(I6319, MAX(0, I6319 + SUM(SUMIFS($I$1:I6318, $C$1:C6318, C6319, $B$1:B6318, {"MAL ALIMI","ÜRETİM GİRİŞ"})) - VLOOKUP(C6319, 'STOK RAPORU'!$C$2:$I$1000, 4, 0))), 0)</f>
        <v>0</v>
      </c>
      <c r="U6319" s="22">
        <f t="shared" si="392"/>
        <v>0</v>
      </c>
      <c r="V6319">
        <f t="shared" si="393"/>
        <v>0</v>
      </c>
      <c r="W6319" s="22">
        <f t="shared" si="394"/>
        <v>0</v>
      </c>
    </row>
    <row r="6320" spans="1:23" hidden="1" x14ac:dyDescent="0.25">
      <c r="A6320" s="45">
        <v>46128</v>
      </c>
      <c r="B6320" s="46" t="s">
        <v>334</v>
      </c>
      <c r="C6320" s="4" t="s">
        <v>160</v>
      </c>
      <c r="D6320" s="4"/>
      <c r="E6320" s="4"/>
      <c r="F6320" s="46" t="s">
        <v>3057</v>
      </c>
      <c r="G6320" s="4" t="s">
        <v>336</v>
      </c>
      <c r="H6320" s="4" t="s">
        <v>289</v>
      </c>
      <c r="I6320" s="4">
        <v>1</v>
      </c>
      <c r="J6320" s="21">
        <v>250</v>
      </c>
      <c r="K6320" s="21">
        <v>0</v>
      </c>
      <c r="L6320" s="5">
        <v>0</v>
      </c>
      <c r="M6320" s="4"/>
      <c r="N6320" s="4"/>
      <c r="O6320" s="5"/>
      <c r="P6320" s="5"/>
      <c r="Q6320" s="21">
        <v>250</v>
      </c>
      <c r="R6320" s="21">
        <v>0</v>
      </c>
      <c r="S6320" s="5">
        <f t="shared" si="395"/>
        <v>28650.131749698361</v>
      </c>
      <c r="T6320" cm="1">
        <f t="array" ref="T6320">IF(OR(B6320="MAL ALIMI", B6320="ÜRETİM GİRİŞ"), MIN(I6320, MAX(0, I6320 + SUM(SUMIFS($I$1:I6319, $C$1:C6319, C6320, $B$1:B6319, {"MAL ALIMI","ÜRETİM GİRİŞ"})) - VLOOKUP(C6320, 'STOK RAPORU'!$C$2:$I$1000, 4, 0))), 0)</f>
        <v>0</v>
      </c>
      <c r="U6320" s="22">
        <f t="shared" si="392"/>
        <v>0</v>
      </c>
      <c r="V6320">
        <f t="shared" si="393"/>
        <v>0</v>
      </c>
      <c r="W6320" s="22">
        <f t="shared" si="394"/>
        <v>0</v>
      </c>
    </row>
    <row r="6321" spans="1:23" hidden="1" x14ac:dyDescent="0.25">
      <c r="A6321" s="45">
        <v>46128</v>
      </c>
      <c r="B6321" s="46" t="s">
        <v>334</v>
      </c>
      <c r="C6321" s="4" t="s">
        <v>133</v>
      </c>
      <c r="D6321" s="4"/>
      <c r="E6321" s="4"/>
      <c r="F6321" s="46" t="s">
        <v>3058</v>
      </c>
      <c r="G6321" s="4" t="s">
        <v>336</v>
      </c>
      <c r="H6321" s="4" t="s">
        <v>289</v>
      </c>
      <c r="I6321" s="4">
        <v>0.125</v>
      </c>
      <c r="J6321" s="21">
        <v>400</v>
      </c>
      <c r="K6321" s="21">
        <v>0</v>
      </c>
      <c r="L6321" s="5">
        <v>0</v>
      </c>
      <c r="M6321" s="4"/>
      <c r="N6321" s="4"/>
      <c r="O6321" s="5"/>
      <c r="P6321" s="5"/>
      <c r="Q6321" s="21">
        <v>50</v>
      </c>
      <c r="R6321" s="21">
        <v>0</v>
      </c>
      <c r="S6321" s="5">
        <f t="shared" si="395"/>
        <v>28700.131749698361</v>
      </c>
      <c r="T6321" cm="1">
        <f t="array" ref="T6321">IF(OR(B6321="MAL ALIMI", B6321="ÜRETİM GİRİŞ"), MIN(I6321, MAX(0, I6321 + SUM(SUMIFS($I$1:I6320, $C$1:C6320, C6321, $B$1:B6320, {"MAL ALIMI","ÜRETİM GİRİŞ"})) - VLOOKUP(C6321, 'STOK RAPORU'!$C$2:$I$1000, 4, 0))), 0)</f>
        <v>0</v>
      </c>
      <c r="U6321" s="22">
        <f t="shared" si="392"/>
        <v>0</v>
      </c>
      <c r="V6321">
        <f t="shared" si="393"/>
        <v>0</v>
      </c>
      <c r="W6321" s="22">
        <f t="shared" si="394"/>
        <v>0</v>
      </c>
    </row>
    <row r="6322" spans="1:23" hidden="1" x14ac:dyDescent="0.25">
      <c r="A6322" s="45">
        <v>46128</v>
      </c>
      <c r="B6322" s="46" t="s">
        <v>334</v>
      </c>
      <c r="C6322" s="4" t="s">
        <v>523</v>
      </c>
      <c r="D6322" s="4"/>
      <c r="E6322" s="4"/>
      <c r="F6322" s="46" t="s">
        <v>3059</v>
      </c>
      <c r="G6322" s="4" t="s">
        <v>336</v>
      </c>
      <c r="H6322" s="4" t="s">
        <v>289</v>
      </c>
      <c r="I6322" s="4">
        <v>0.08</v>
      </c>
      <c r="J6322" s="21">
        <v>750</v>
      </c>
      <c r="K6322" s="21">
        <v>0</v>
      </c>
      <c r="L6322" s="5">
        <v>0</v>
      </c>
      <c r="M6322" s="4"/>
      <c r="N6322" s="4"/>
      <c r="O6322" s="5"/>
      <c r="P6322" s="5"/>
      <c r="Q6322" s="21">
        <v>60</v>
      </c>
      <c r="R6322" s="21">
        <v>0</v>
      </c>
      <c r="S6322" s="5">
        <f t="shared" si="395"/>
        <v>28760.131749698361</v>
      </c>
      <c r="T6322" cm="1">
        <f t="array" ref="T6322">IF(OR(B6322="MAL ALIMI", B6322="ÜRETİM GİRİŞ"), MIN(I6322, MAX(0, I6322 + SUM(SUMIFS($I$1:I6321, $C$1:C6321, C6322, $B$1:B6321, {"MAL ALIMI","ÜRETİM GİRİŞ"})) - VLOOKUP(C6322, 'STOK RAPORU'!$C$2:$I$1000, 4, 0))), 0)</f>
        <v>0</v>
      </c>
      <c r="U6322" s="22">
        <f t="shared" ref="U6322:U6385" si="396">T6322*J6322</f>
        <v>0</v>
      </c>
      <c r="V6322">
        <f t="shared" ref="V6322:V6385" si="397">IF(OR(B6322="MAL ALIMI", B6322="ÜRETİM GİRİŞ"), I6322 * J6322, 0)</f>
        <v>0</v>
      </c>
      <c r="W6322" s="22">
        <f t="shared" ref="W6322:W6385" si="398">V6322-U6322</f>
        <v>0</v>
      </c>
    </row>
    <row r="6323" spans="1:23" hidden="1" x14ac:dyDescent="0.25">
      <c r="A6323" s="45">
        <v>46128</v>
      </c>
      <c r="B6323" s="46" t="s">
        <v>334</v>
      </c>
      <c r="C6323" s="4" t="s">
        <v>822</v>
      </c>
      <c r="D6323" s="4"/>
      <c r="E6323" s="4"/>
      <c r="F6323" s="46" t="s">
        <v>3060</v>
      </c>
      <c r="G6323" s="4" t="s">
        <v>336</v>
      </c>
      <c r="H6323" s="4" t="s">
        <v>289</v>
      </c>
      <c r="I6323" s="4">
        <v>1</v>
      </c>
      <c r="J6323" s="21">
        <v>170</v>
      </c>
      <c r="K6323" s="21">
        <v>0</v>
      </c>
      <c r="L6323" s="5">
        <v>0</v>
      </c>
      <c r="M6323" s="4"/>
      <c r="N6323" s="4"/>
      <c r="O6323" s="5"/>
      <c r="P6323" s="5"/>
      <c r="Q6323" s="21">
        <v>170</v>
      </c>
      <c r="R6323" s="21">
        <v>0</v>
      </c>
      <c r="S6323" s="5">
        <f t="shared" si="395"/>
        <v>28930.131749698361</v>
      </c>
      <c r="T6323" cm="1">
        <f t="array" ref="T6323">IF(OR(B6323="MAL ALIMI", B6323="ÜRETİM GİRİŞ"), MIN(I6323, MAX(0, I6323 + SUM(SUMIFS($I$1:I6322, $C$1:C6322, C6323, $B$1:B6322, {"MAL ALIMI","ÜRETİM GİRİŞ"})) - VLOOKUP(C6323, 'STOK RAPORU'!$C$2:$I$1000, 4, 0))), 0)</f>
        <v>0</v>
      </c>
      <c r="U6323" s="22">
        <f t="shared" si="396"/>
        <v>0</v>
      </c>
      <c r="V6323">
        <f t="shared" si="397"/>
        <v>0</v>
      </c>
      <c r="W6323" s="22">
        <f t="shared" si="398"/>
        <v>0</v>
      </c>
    </row>
    <row r="6324" spans="1:23" hidden="1" x14ac:dyDescent="0.25">
      <c r="A6324" s="45">
        <v>46128</v>
      </c>
      <c r="B6324" s="46" t="s">
        <v>334</v>
      </c>
      <c r="C6324" s="4" t="s">
        <v>456</v>
      </c>
      <c r="D6324" s="4"/>
      <c r="E6324" s="4"/>
      <c r="F6324" s="46" t="s">
        <v>3060</v>
      </c>
      <c r="G6324" s="4" t="s">
        <v>336</v>
      </c>
      <c r="H6324" s="4" t="s">
        <v>289</v>
      </c>
      <c r="I6324" s="4">
        <v>1</v>
      </c>
      <c r="J6324" s="21">
        <v>80</v>
      </c>
      <c r="K6324" s="21">
        <v>0</v>
      </c>
      <c r="L6324" s="5">
        <v>0</v>
      </c>
      <c r="M6324" s="4"/>
      <c r="N6324" s="4"/>
      <c r="O6324" s="5"/>
      <c r="P6324" s="5"/>
      <c r="Q6324" s="21">
        <v>80</v>
      </c>
      <c r="R6324" s="21">
        <v>0</v>
      </c>
      <c r="S6324" s="5">
        <f t="shared" si="395"/>
        <v>29010.131749698361</v>
      </c>
      <c r="T6324" cm="1">
        <f t="array" ref="T6324">IF(OR(B6324="MAL ALIMI", B6324="ÜRETİM GİRİŞ"), MIN(I6324, MAX(0, I6324 + SUM(SUMIFS($I$1:I6323, $C$1:C6323, C6324, $B$1:B6323, {"MAL ALIMI","ÜRETİM GİRİŞ"})) - VLOOKUP(C6324, 'STOK RAPORU'!$C$2:$I$1000, 4, 0))), 0)</f>
        <v>0</v>
      </c>
      <c r="U6324" s="22">
        <f t="shared" si="396"/>
        <v>0</v>
      </c>
      <c r="V6324">
        <f t="shared" si="397"/>
        <v>0</v>
      </c>
      <c r="W6324" s="22">
        <f t="shared" si="398"/>
        <v>0</v>
      </c>
    </row>
    <row r="6325" spans="1:23" hidden="1" x14ac:dyDescent="0.25">
      <c r="A6325" s="45">
        <v>46128</v>
      </c>
      <c r="B6325" s="46" t="s">
        <v>334</v>
      </c>
      <c r="C6325" s="4" t="s">
        <v>1647</v>
      </c>
      <c r="D6325" s="4"/>
      <c r="E6325" s="4"/>
      <c r="F6325" s="46" t="s">
        <v>3060</v>
      </c>
      <c r="G6325" s="4" t="s">
        <v>336</v>
      </c>
      <c r="H6325" s="4" t="s">
        <v>289</v>
      </c>
      <c r="I6325" s="4">
        <v>0.1</v>
      </c>
      <c r="J6325" s="21">
        <v>600</v>
      </c>
      <c r="K6325" s="21">
        <v>0</v>
      </c>
      <c r="L6325" s="5">
        <v>0</v>
      </c>
      <c r="M6325" s="4"/>
      <c r="N6325" s="4"/>
      <c r="O6325" s="5"/>
      <c r="P6325" s="5"/>
      <c r="Q6325" s="21">
        <v>60</v>
      </c>
      <c r="R6325" s="21">
        <v>0</v>
      </c>
      <c r="S6325" s="5">
        <f t="shared" si="395"/>
        <v>29070.131749698361</v>
      </c>
      <c r="T6325" cm="1">
        <f t="array" ref="T6325">IF(OR(B6325="MAL ALIMI", B6325="ÜRETİM GİRİŞ"), MIN(I6325, MAX(0, I6325 + SUM(SUMIFS($I$1:I6324, $C$1:C6324, C6325, $B$1:B6324, {"MAL ALIMI","ÜRETİM GİRİŞ"})) - VLOOKUP(C6325, 'STOK RAPORU'!$C$2:$I$1000, 4, 0))), 0)</f>
        <v>0</v>
      </c>
      <c r="U6325" s="22">
        <f t="shared" si="396"/>
        <v>0</v>
      </c>
      <c r="V6325">
        <f t="shared" si="397"/>
        <v>0</v>
      </c>
      <c r="W6325" s="22">
        <f t="shared" si="398"/>
        <v>0</v>
      </c>
    </row>
    <row r="6326" spans="1:23" hidden="1" x14ac:dyDescent="0.25">
      <c r="A6326" s="45">
        <v>46128</v>
      </c>
      <c r="B6326" s="46" t="s">
        <v>334</v>
      </c>
      <c r="C6326" s="4" t="s">
        <v>977</v>
      </c>
      <c r="D6326" s="4"/>
      <c r="E6326" s="4"/>
      <c r="F6326" s="46" t="s">
        <v>3060</v>
      </c>
      <c r="G6326" s="4" t="s">
        <v>336</v>
      </c>
      <c r="H6326" s="4" t="s">
        <v>289</v>
      </c>
      <c r="I6326" s="4">
        <v>0.125</v>
      </c>
      <c r="J6326" s="21">
        <v>320</v>
      </c>
      <c r="K6326" s="21">
        <v>0</v>
      </c>
      <c r="L6326" s="5">
        <v>0</v>
      </c>
      <c r="M6326" s="4"/>
      <c r="N6326" s="4"/>
      <c r="O6326" s="5"/>
      <c r="P6326" s="5"/>
      <c r="Q6326" s="21">
        <v>40</v>
      </c>
      <c r="R6326" s="21">
        <v>0</v>
      </c>
      <c r="S6326" s="5">
        <f t="shared" si="395"/>
        <v>29110.131749698361</v>
      </c>
      <c r="T6326" cm="1">
        <f t="array" ref="T6326">IF(OR(B6326="MAL ALIMI", B6326="ÜRETİM GİRİŞ"), MIN(I6326, MAX(0, I6326 + SUM(SUMIFS($I$1:I6325, $C$1:C6325, C6326, $B$1:B6325, {"MAL ALIMI","ÜRETİM GİRİŞ"})) - VLOOKUP(C6326, 'STOK RAPORU'!$C$2:$I$1000, 4, 0))), 0)</f>
        <v>0</v>
      </c>
      <c r="U6326" s="22">
        <f t="shared" si="396"/>
        <v>0</v>
      </c>
      <c r="V6326">
        <f t="shared" si="397"/>
        <v>0</v>
      </c>
      <c r="W6326" s="22">
        <f t="shared" si="398"/>
        <v>0</v>
      </c>
    </row>
    <row r="6327" spans="1:23" hidden="1" x14ac:dyDescent="0.25">
      <c r="A6327" s="45">
        <v>46128</v>
      </c>
      <c r="B6327" s="46" t="s">
        <v>334</v>
      </c>
      <c r="C6327" s="4" t="s">
        <v>2565</v>
      </c>
      <c r="D6327" s="4"/>
      <c r="E6327" s="4" t="s">
        <v>921</v>
      </c>
      <c r="F6327" s="46" t="s">
        <v>3061</v>
      </c>
      <c r="G6327" s="4" t="s">
        <v>336</v>
      </c>
      <c r="H6327" s="4" t="s">
        <v>380</v>
      </c>
      <c r="I6327" s="4">
        <v>0.5</v>
      </c>
      <c r="J6327" s="21">
        <v>650</v>
      </c>
      <c r="K6327" s="21">
        <v>325</v>
      </c>
      <c r="L6327" s="5">
        <v>0</v>
      </c>
      <c r="M6327" s="4"/>
      <c r="N6327" s="4"/>
      <c r="O6327" s="5"/>
      <c r="P6327" s="5"/>
      <c r="Q6327" s="21">
        <v>0</v>
      </c>
      <c r="R6327" s="21">
        <v>0</v>
      </c>
      <c r="S6327" s="5">
        <f t="shared" si="395"/>
        <v>29110.131749698361</v>
      </c>
      <c r="T6327" cm="1">
        <f t="array" ref="T6327">IF(OR(B6327="MAL ALIMI", B6327="ÜRETİM GİRİŞ"), MIN(I6327, MAX(0, I6327 + SUM(SUMIFS($I$1:I6326, $C$1:C6326, C6327, $B$1:B6326, {"MAL ALIMI","ÜRETİM GİRİŞ"})) - VLOOKUP(C6327, 'STOK RAPORU'!$C$2:$I$1000, 4, 0))), 0)</f>
        <v>0</v>
      </c>
      <c r="U6327" s="22">
        <f t="shared" si="396"/>
        <v>0</v>
      </c>
      <c r="V6327">
        <f t="shared" si="397"/>
        <v>0</v>
      </c>
      <c r="W6327" s="22">
        <f t="shared" si="398"/>
        <v>0</v>
      </c>
    </row>
    <row r="6328" spans="1:23" hidden="1" x14ac:dyDescent="0.25">
      <c r="A6328" s="45">
        <v>46128</v>
      </c>
      <c r="B6328" s="46" t="s">
        <v>334</v>
      </c>
      <c r="C6328" s="4" t="s">
        <v>60</v>
      </c>
      <c r="D6328" s="4"/>
      <c r="E6328" s="4"/>
      <c r="F6328" s="46" t="s">
        <v>3062</v>
      </c>
      <c r="G6328" s="4" t="s">
        <v>336</v>
      </c>
      <c r="H6328" s="4" t="s">
        <v>289</v>
      </c>
      <c r="I6328" s="4">
        <v>0.05</v>
      </c>
      <c r="J6328" s="21">
        <v>1000</v>
      </c>
      <c r="K6328" s="21">
        <v>0</v>
      </c>
      <c r="L6328" s="5">
        <v>0</v>
      </c>
      <c r="M6328" s="4"/>
      <c r="N6328" s="4"/>
      <c r="O6328" s="5"/>
      <c r="P6328" s="5"/>
      <c r="Q6328" s="21">
        <v>50</v>
      </c>
      <c r="R6328" s="21">
        <v>0</v>
      </c>
      <c r="S6328" s="5">
        <f t="shared" si="395"/>
        <v>29160.131749698361</v>
      </c>
      <c r="T6328" cm="1">
        <f t="array" ref="T6328">IF(OR(B6328="MAL ALIMI", B6328="ÜRETİM GİRİŞ"), MIN(I6328, MAX(0, I6328 + SUM(SUMIFS($I$1:I6327, $C$1:C6327, C6328, $B$1:B6327, {"MAL ALIMI","ÜRETİM GİRİŞ"})) - VLOOKUP(C6328, 'STOK RAPORU'!$C$2:$I$1000, 4, 0))), 0)</f>
        <v>0</v>
      </c>
      <c r="U6328" s="22">
        <f t="shared" si="396"/>
        <v>0</v>
      </c>
      <c r="V6328">
        <f t="shared" si="397"/>
        <v>0</v>
      </c>
      <c r="W6328" s="22">
        <f t="shared" si="398"/>
        <v>0</v>
      </c>
    </row>
    <row r="6329" spans="1:23" hidden="1" x14ac:dyDescent="0.25">
      <c r="A6329" s="45">
        <v>46128</v>
      </c>
      <c r="B6329" s="46" t="s">
        <v>334</v>
      </c>
      <c r="C6329" s="4" t="s">
        <v>158</v>
      </c>
      <c r="D6329" s="4"/>
      <c r="E6329" s="4" t="s">
        <v>921</v>
      </c>
      <c r="F6329" s="46" t="s">
        <v>3063</v>
      </c>
      <c r="G6329" s="4" t="s">
        <v>336</v>
      </c>
      <c r="H6329" s="4" t="s">
        <v>380</v>
      </c>
      <c r="I6329" s="4">
        <v>1</v>
      </c>
      <c r="J6329" s="21">
        <v>150</v>
      </c>
      <c r="K6329" s="21">
        <v>150</v>
      </c>
      <c r="L6329" s="5">
        <v>0</v>
      </c>
      <c r="M6329" s="4"/>
      <c r="N6329" s="4"/>
      <c r="O6329" s="5"/>
      <c r="P6329" s="5"/>
      <c r="Q6329" s="21">
        <v>0</v>
      </c>
      <c r="R6329" s="21">
        <v>0</v>
      </c>
      <c r="S6329" s="5">
        <f t="shared" si="395"/>
        <v>29160.131749698361</v>
      </c>
      <c r="T6329" cm="1">
        <f t="array" ref="T6329">IF(OR(B6329="MAL ALIMI", B6329="ÜRETİM GİRİŞ"), MIN(I6329, MAX(0, I6329 + SUM(SUMIFS($I$1:I6328, $C$1:C6328, C6329, $B$1:B6328, {"MAL ALIMI","ÜRETİM GİRİŞ"})) - VLOOKUP(C6329, 'STOK RAPORU'!$C$2:$I$1000, 4, 0))), 0)</f>
        <v>0</v>
      </c>
      <c r="U6329" s="22">
        <f t="shared" si="396"/>
        <v>0</v>
      </c>
      <c r="V6329">
        <f t="shared" si="397"/>
        <v>0</v>
      </c>
      <c r="W6329" s="22">
        <f t="shared" si="398"/>
        <v>0</v>
      </c>
    </row>
    <row r="6330" spans="1:23" hidden="1" x14ac:dyDescent="0.25">
      <c r="A6330" s="45">
        <v>46128</v>
      </c>
      <c r="B6330" s="46" t="s">
        <v>334</v>
      </c>
      <c r="C6330" s="4" t="s">
        <v>157</v>
      </c>
      <c r="D6330" s="4"/>
      <c r="E6330" s="4" t="s">
        <v>921</v>
      </c>
      <c r="F6330" s="46" t="s">
        <v>3063</v>
      </c>
      <c r="G6330" s="4" t="s">
        <v>336</v>
      </c>
      <c r="H6330" s="4" t="s">
        <v>380</v>
      </c>
      <c r="I6330" s="4">
        <v>1</v>
      </c>
      <c r="J6330" s="21">
        <v>200</v>
      </c>
      <c r="K6330" s="21">
        <v>200</v>
      </c>
      <c r="L6330" s="5">
        <v>0</v>
      </c>
      <c r="M6330" s="4"/>
      <c r="N6330" s="4"/>
      <c r="O6330" s="5"/>
      <c r="P6330" s="5"/>
      <c r="Q6330" s="21">
        <v>0</v>
      </c>
      <c r="R6330" s="21">
        <v>0</v>
      </c>
      <c r="S6330" s="5">
        <f t="shared" si="395"/>
        <v>29160.131749698361</v>
      </c>
      <c r="T6330" cm="1">
        <f t="array" ref="T6330">IF(OR(B6330="MAL ALIMI", B6330="ÜRETİM GİRİŞ"), MIN(I6330, MAX(0, I6330 + SUM(SUMIFS($I$1:I6329, $C$1:C6329, C6330, $B$1:B6329, {"MAL ALIMI","ÜRETİM GİRİŞ"})) - VLOOKUP(C6330, 'STOK RAPORU'!$C$2:$I$1000, 4, 0))), 0)</f>
        <v>0</v>
      </c>
      <c r="U6330" s="22">
        <f t="shared" si="396"/>
        <v>0</v>
      </c>
      <c r="V6330">
        <f t="shared" si="397"/>
        <v>0</v>
      </c>
      <c r="W6330" s="22">
        <f t="shared" si="398"/>
        <v>0</v>
      </c>
    </row>
    <row r="6331" spans="1:23" hidden="1" x14ac:dyDescent="0.25">
      <c r="A6331" s="45">
        <v>46128</v>
      </c>
      <c r="B6331" s="46" t="s">
        <v>334</v>
      </c>
      <c r="C6331" s="4" t="s">
        <v>597</v>
      </c>
      <c r="D6331" s="4"/>
      <c r="E6331" s="4" t="s">
        <v>921</v>
      </c>
      <c r="F6331" s="46" t="s">
        <v>3064</v>
      </c>
      <c r="G6331" s="4" t="s">
        <v>336</v>
      </c>
      <c r="H6331" s="4" t="s">
        <v>380</v>
      </c>
      <c r="I6331" s="4">
        <v>1</v>
      </c>
      <c r="J6331" s="21">
        <v>350</v>
      </c>
      <c r="K6331" s="21">
        <v>350</v>
      </c>
      <c r="L6331" s="5">
        <v>0</v>
      </c>
      <c r="M6331" s="4"/>
      <c r="N6331" s="4"/>
      <c r="O6331" s="5"/>
      <c r="P6331" s="5"/>
      <c r="Q6331" s="21">
        <v>0</v>
      </c>
      <c r="R6331" s="21">
        <v>0</v>
      </c>
      <c r="S6331" s="5">
        <f t="shared" si="395"/>
        <v>29160.131749698361</v>
      </c>
      <c r="T6331" cm="1">
        <f t="array" ref="T6331">IF(OR(B6331="MAL ALIMI", B6331="ÜRETİM GİRİŞ"), MIN(I6331, MAX(0, I6331 + SUM(SUMIFS($I$1:I6330, $C$1:C6330, C6331, $B$1:B6330, {"MAL ALIMI","ÜRETİM GİRİŞ"})) - VLOOKUP(C6331, 'STOK RAPORU'!$C$2:$I$1000, 4, 0))), 0)</f>
        <v>0</v>
      </c>
      <c r="U6331" s="22">
        <f t="shared" si="396"/>
        <v>0</v>
      </c>
      <c r="V6331">
        <f t="shared" si="397"/>
        <v>0</v>
      </c>
      <c r="W6331" s="22">
        <f t="shared" si="398"/>
        <v>0</v>
      </c>
    </row>
    <row r="6332" spans="1:23" hidden="1" x14ac:dyDescent="0.25">
      <c r="A6332" s="45">
        <v>46128</v>
      </c>
      <c r="B6332" s="46" t="s">
        <v>334</v>
      </c>
      <c r="C6332" s="4" t="s">
        <v>132</v>
      </c>
      <c r="D6332" s="4"/>
      <c r="E6332" s="4" t="s">
        <v>921</v>
      </c>
      <c r="F6332" s="46" t="s">
        <v>3064</v>
      </c>
      <c r="G6332" s="4" t="s">
        <v>336</v>
      </c>
      <c r="H6332" s="4" t="s">
        <v>380</v>
      </c>
      <c r="I6332" s="4">
        <v>0.17199999999999999</v>
      </c>
      <c r="J6332" s="21">
        <v>500</v>
      </c>
      <c r="K6332" s="21">
        <v>86</v>
      </c>
      <c r="L6332" s="5">
        <v>0</v>
      </c>
      <c r="M6332" s="4"/>
      <c r="N6332" s="4"/>
      <c r="O6332" s="5"/>
      <c r="P6332" s="5"/>
      <c r="Q6332" s="21">
        <v>0</v>
      </c>
      <c r="R6332" s="21">
        <v>0</v>
      </c>
      <c r="S6332" s="5">
        <f t="shared" si="395"/>
        <v>29160.131749698361</v>
      </c>
      <c r="T6332" cm="1">
        <f t="array" ref="T6332">IF(OR(B6332="MAL ALIMI", B6332="ÜRETİM GİRİŞ"), MIN(I6332, MAX(0, I6332 + SUM(SUMIFS($I$1:I6331, $C$1:C6331, C6332, $B$1:B6331, {"MAL ALIMI","ÜRETİM GİRİŞ"})) - VLOOKUP(C6332, 'STOK RAPORU'!$C$2:$I$1000, 4, 0))), 0)</f>
        <v>0</v>
      </c>
      <c r="U6332" s="22">
        <f t="shared" si="396"/>
        <v>0</v>
      </c>
      <c r="V6332">
        <f t="shared" si="397"/>
        <v>0</v>
      </c>
      <c r="W6332" s="22">
        <f t="shared" si="398"/>
        <v>0</v>
      </c>
    </row>
    <row r="6333" spans="1:23" hidden="1" x14ac:dyDescent="0.25">
      <c r="A6333" s="45">
        <v>46128</v>
      </c>
      <c r="B6333" s="46" t="s">
        <v>334</v>
      </c>
      <c r="C6333" s="4" t="s">
        <v>160</v>
      </c>
      <c r="D6333" s="4"/>
      <c r="E6333" s="4" t="s">
        <v>921</v>
      </c>
      <c r="F6333" s="46" t="s">
        <v>3064</v>
      </c>
      <c r="G6333" s="4" t="s">
        <v>336</v>
      </c>
      <c r="H6333" s="4" t="s">
        <v>380</v>
      </c>
      <c r="I6333" s="4">
        <v>1</v>
      </c>
      <c r="J6333" s="21">
        <v>250</v>
      </c>
      <c r="K6333" s="21">
        <v>250</v>
      </c>
      <c r="L6333" s="5">
        <v>0</v>
      </c>
      <c r="M6333" s="4"/>
      <c r="N6333" s="4"/>
      <c r="O6333" s="5"/>
      <c r="P6333" s="5"/>
      <c r="Q6333" s="21">
        <v>0</v>
      </c>
      <c r="R6333" s="21">
        <v>0</v>
      </c>
      <c r="S6333" s="5">
        <f t="shared" si="395"/>
        <v>29160.131749698361</v>
      </c>
      <c r="T6333" cm="1">
        <f t="array" ref="T6333">IF(OR(B6333="MAL ALIMI", B6333="ÜRETİM GİRİŞ"), MIN(I6333, MAX(0, I6333 + SUM(SUMIFS($I$1:I6332, $C$1:C6332, C6333, $B$1:B6332, {"MAL ALIMI","ÜRETİM GİRİŞ"})) - VLOOKUP(C6333, 'STOK RAPORU'!$C$2:$I$1000, 4, 0))), 0)</f>
        <v>0</v>
      </c>
      <c r="U6333" s="22">
        <f t="shared" si="396"/>
        <v>0</v>
      </c>
      <c r="V6333">
        <f t="shared" si="397"/>
        <v>0</v>
      </c>
      <c r="W6333" s="22">
        <f t="shared" si="398"/>
        <v>0</v>
      </c>
    </row>
    <row r="6334" spans="1:23" hidden="1" x14ac:dyDescent="0.25">
      <c r="A6334" s="45">
        <v>46128</v>
      </c>
      <c r="B6334" s="46" t="s">
        <v>334</v>
      </c>
      <c r="C6334" s="4" t="s">
        <v>167</v>
      </c>
      <c r="D6334" s="4"/>
      <c r="E6334" s="4" t="s">
        <v>921</v>
      </c>
      <c r="F6334" s="46" t="s">
        <v>3064</v>
      </c>
      <c r="G6334" s="4" t="s">
        <v>336</v>
      </c>
      <c r="H6334" s="4" t="s">
        <v>380</v>
      </c>
      <c r="I6334" s="4">
        <v>1</v>
      </c>
      <c r="J6334" s="21">
        <v>250</v>
      </c>
      <c r="K6334" s="21">
        <v>250</v>
      </c>
      <c r="L6334" s="5">
        <v>0</v>
      </c>
      <c r="M6334" s="4"/>
      <c r="N6334" s="4"/>
      <c r="O6334" s="5"/>
      <c r="P6334" s="5"/>
      <c r="Q6334" s="21">
        <v>0</v>
      </c>
      <c r="R6334" s="21">
        <v>0</v>
      </c>
      <c r="S6334" s="5">
        <f t="shared" si="395"/>
        <v>29160.131749698361</v>
      </c>
      <c r="T6334" cm="1">
        <f t="array" ref="T6334">IF(OR(B6334="MAL ALIMI", B6334="ÜRETİM GİRİŞ"), MIN(I6334, MAX(0, I6334 + SUM(SUMIFS($I$1:I6333, $C$1:C6333, C6334, $B$1:B6333, {"MAL ALIMI","ÜRETİM GİRİŞ"})) - VLOOKUP(C6334, 'STOK RAPORU'!$C$2:$I$1000, 4, 0))), 0)</f>
        <v>0</v>
      </c>
      <c r="U6334" s="22">
        <f t="shared" si="396"/>
        <v>0</v>
      </c>
      <c r="V6334">
        <f t="shared" si="397"/>
        <v>0</v>
      </c>
      <c r="W6334" s="22">
        <f t="shared" si="398"/>
        <v>0</v>
      </c>
    </row>
    <row r="6335" spans="1:23" hidden="1" x14ac:dyDescent="0.25">
      <c r="A6335" s="45">
        <v>46128</v>
      </c>
      <c r="B6335" s="46" t="s">
        <v>334</v>
      </c>
      <c r="C6335" s="4" t="s">
        <v>690</v>
      </c>
      <c r="D6335" s="4"/>
      <c r="E6335" s="4" t="s">
        <v>921</v>
      </c>
      <c r="F6335" s="46" t="s">
        <v>3064</v>
      </c>
      <c r="G6335" s="4" t="s">
        <v>336</v>
      </c>
      <c r="H6335" s="4" t="s">
        <v>380</v>
      </c>
      <c r="I6335" s="4">
        <v>0.378</v>
      </c>
      <c r="J6335" s="21">
        <v>340</v>
      </c>
      <c r="K6335" s="21">
        <v>128.52000000000001</v>
      </c>
      <c r="L6335" s="5">
        <v>0</v>
      </c>
      <c r="M6335" s="4"/>
      <c r="N6335" s="4"/>
      <c r="O6335" s="5"/>
      <c r="P6335" s="5"/>
      <c r="Q6335" s="21">
        <v>0</v>
      </c>
      <c r="R6335" s="21">
        <v>0</v>
      </c>
      <c r="S6335" s="5">
        <f t="shared" si="395"/>
        <v>29160.131749698361</v>
      </c>
      <c r="T6335" cm="1">
        <f t="array" ref="T6335">IF(OR(B6335="MAL ALIMI", B6335="ÜRETİM GİRİŞ"), MIN(I6335, MAX(0, I6335 + SUM(SUMIFS($I$1:I6334, $C$1:C6334, C6335, $B$1:B6334, {"MAL ALIMI","ÜRETİM GİRİŞ"})) - VLOOKUP(C6335, 'STOK RAPORU'!$C$2:$I$1000, 4, 0))), 0)</f>
        <v>0</v>
      </c>
      <c r="U6335" s="22">
        <f t="shared" si="396"/>
        <v>0</v>
      </c>
      <c r="V6335">
        <f t="shared" si="397"/>
        <v>0</v>
      </c>
      <c r="W6335" s="22">
        <f t="shared" si="398"/>
        <v>0</v>
      </c>
    </row>
    <row r="6336" spans="1:23" hidden="1" x14ac:dyDescent="0.25">
      <c r="A6336" s="45">
        <v>46128</v>
      </c>
      <c r="B6336" s="46" t="s">
        <v>334</v>
      </c>
      <c r="C6336" s="4" t="s">
        <v>252</v>
      </c>
      <c r="D6336" s="4"/>
      <c r="E6336" s="4" t="s">
        <v>921</v>
      </c>
      <c r="F6336" s="46" t="s">
        <v>3064</v>
      </c>
      <c r="G6336" s="4" t="s">
        <v>336</v>
      </c>
      <c r="H6336" s="4" t="s">
        <v>380</v>
      </c>
      <c r="I6336" s="4">
        <v>0.5</v>
      </c>
      <c r="J6336" s="21">
        <v>200</v>
      </c>
      <c r="K6336" s="21">
        <v>100</v>
      </c>
      <c r="L6336" s="5">
        <v>0</v>
      </c>
      <c r="M6336" s="4"/>
      <c r="N6336" s="4"/>
      <c r="O6336" s="5"/>
      <c r="P6336" s="5"/>
      <c r="Q6336" s="21">
        <v>0</v>
      </c>
      <c r="R6336" s="21">
        <v>0</v>
      </c>
      <c r="S6336" s="5">
        <f t="shared" si="395"/>
        <v>29160.131749698361</v>
      </c>
      <c r="T6336" cm="1">
        <f t="array" ref="T6336">IF(OR(B6336="MAL ALIMI", B6336="ÜRETİM GİRİŞ"), MIN(I6336, MAX(0, I6336 + SUM(SUMIFS($I$1:I6335, $C$1:C6335, C6336, $B$1:B6335, {"MAL ALIMI","ÜRETİM GİRİŞ"})) - VLOOKUP(C6336, 'STOK RAPORU'!$C$2:$I$1000, 4, 0))), 0)</f>
        <v>0</v>
      </c>
      <c r="U6336" s="22">
        <f t="shared" si="396"/>
        <v>0</v>
      </c>
      <c r="V6336">
        <f t="shared" si="397"/>
        <v>0</v>
      </c>
      <c r="W6336" s="22">
        <f t="shared" si="398"/>
        <v>0</v>
      </c>
    </row>
    <row r="6337" spans="1:23" hidden="1" x14ac:dyDescent="0.25">
      <c r="A6337" s="45">
        <v>46128</v>
      </c>
      <c r="B6337" s="46" t="s">
        <v>334</v>
      </c>
      <c r="C6337" s="4" t="s">
        <v>2129</v>
      </c>
      <c r="D6337" s="4"/>
      <c r="E6337" s="4" t="s">
        <v>921</v>
      </c>
      <c r="F6337" s="46" t="s">
        <v>3064</v>
      </c>
      <c r="G6337" s="4" t="s">
        <v>336</v>
      </c>
      <c r="H6337" s="4" t="s">
        <v>380</v>
      </c>
      <c r="I6337" s="4">
        <v>0.38600000000000001</v>
      </c>
      <c r="J6337" s="21">
        <v>420</v>
      </c>
      <c r="K6337" s="21">
        <v>162.12</v>
      </c>
      <c r="L6337" s="5">
        <v>0</v>
      </c>
      <c r="M6337" s="4"/>
      <c r="N6337" s="4"/>
      <c r="O6337" s="5"/>
      <c r="P6337" s="5"/>
      <c r="Q6337" s="21">
        <v>0</v>
      </c>
      <c r="R6337" s="21">
        <v>0</v>
      </c>
      <c r="S6337" s="5">
        <f t="shared" si="395"/>
        <v>29160.131749698361</v>
      </c>
      <c r="T6337" cm="1">
        <f t="array" ref="T6337">IF(OR(B6337="MAL ALIMI", B6337="ÜRETİM GİRİŞ"), MIN(I6337, MAX(0, I6337 + SUM(SUMIFS($I$1:I6336, $C$1:C6336, C6337, $B$1:B6336, {"MAL ALIMI","ÜRETİM GİRİŞ"})) - VLOOKUP(C6337, 'STOK RAPORU'!$C$2:$I$1000, 4, 0))), 0)</f>
        <v>0</v>
      </c>
      <c r="U6337" s="22">
        <f t="shared" si="396"/>
        <v>0</v>
      </c>
      <c r="V6337">
        <f t="shared" si="397"/>
        <v>0</v>
      </c>
      <c r="W6337" s="22">
        <f t="shared" si="398"/>
        <v>0</v>
      </c>
    </row>
    <row r="6338" spans="1:23" hidden="1" x14ac:dyDescent="0.25">
      <c r="A6338" s="45">
        <v>46128</v>
      </c>
      <c r="B6338" s="46" t="s">
        <v>334</v>
      </c>
      <c r="C6338" s="4" t="s">
        <v>462</v>
      </c>
      <c r="D6338" s="4"/>
      <c r="E6338" s="4" t="s">
        <v>921</v>
      </c>
      <c r="F6338" s="46" t="s">
        <v>3064</v>
      </c>
      <c r="G6338" s="4" t="s">
        <v>336</v>
      </c>
      <c r="H6338" s="4" t="s">
        <v>380</v>
      </c>
      <c r="I6338" s="4">
        <v>1</v>
      </c>
      <c r="J6338" s="21">
        <v>120</v>
      </c>
      <c r="K6338" s="21">
        <v>120</v>
      </c>
      <c r="L6338" s="5">
        <v>0</v>
      </c>
      <c r="M6338" s="4"/>
      <c r="N6338" s="4"/>
      <c r="O6338" s="5"/>
      <c r="P6338" s="5"/>
      <c r="Q6338" s="21">
        <v>0</v>
      </c>
      <c r="R6338" s="21">
        <v>0</v>
      </c>
      <c r="S6338" s="5">
        <f t="shared" si="395"/>
        <v>29160.131749698361</v>
      </c>
      <c r="T6338" cm="1">
        <f t="array" ref="T6338">IF(OR(B6338="MAL ALIMI", B6338="ÜRETİM GİRİŞ"), MIN(I6338, MAX(0, I6338 + SUM(SUMIFS($I$1:I6337, $C$1:C6337, C6338, $B$1:B6337, {"MAL ALIMI","ÜRETİM GİRİŞ"})) - VLOOKUP(C6338, 'STOK RAPORU'!$C$2:$I$1000, 4, 0))), 0)</f>
        <v>0</v>
      </c>
      <c r="U6338" s="22">
        <f t="shared" si="396"/>
        <v>0</v>
      </c>
      <c r="V6338">
        <f t="shared" si="397"/>
        <v>0</v>
      </c>
      <c r="W6338" s="22">
        <f t="shared" si="398"/>
        <v>0</v>
      </c>
    </row>
    <row r="6339" spans="1:23" hidden="1" x14ac:dyDescent="0.25">
      <c r="A6339" s="45">
        <v>46128</v>
      </c>
      <c r="B6339" s="46" t="s">
        <v>334</v>
      </c>
      <c r="C6339" s="4" t="s">
        <v>486</v>
      </c>
      <c r="D6339" s="4"/>
      <c r="E6339" s="4" t="s">
        <v>921</v>
      </c>
      <c r="F6339" s="46" t="s">
        <v>3065</v>
      </c>
      <c r="G6339" s="4" t="s">
        <v>336</v>
      </c>
      <c r="H6339" s="4" t="s">
        <v>380</v>
      </c>
      <c r="I6339" s="4">
        <v>1</v>
      </c>
      <c r="J6339" s="21">
        <v>180</v>
      </c>
      <c r="K6339" s="21">
        <v>180</v>
      </c>
      <c r="L6339" s="5">
        <v>0</v>
      </c>
      <c r="M6339" s="4"/>
      <c r="N6339" s="4"/>
      <c r="O6339" s="5"/>
      <c r="P6339" s="5"/>
      <c r="Q6339" s="21">
        <v>0</v>
      </c>
      <c r="R6339" s="21">
        <v>0</v>
      </c>
      <c r="S6339" s="5">
        <f t="shared" si="395"/>
        <v>29160.131749698361</v>
      </c>
      <c r="T6339" cm="1">
        <f t="array" ref="T6339">IF(OR(B6339="MAL ALIMI", B6339="ÜRETİM GİRİŞ"), MIN(I6339, MAX(0, I6339 + SUM(SUMIFS($I$1:I6338, $C$1:C6338, C6339, $B$1:B6338, {"MAL ALIMI","ÜRETİM GİRİŞ"})) - VLOOKUP(C6339, 'STOK RAPORU'!$C$2:$I$1000, 4, 0))), 0)</f>
        <v>0</v>
      </c>
      <c r="U6339" s="22">
        <f t="shared" si="396"/>
        <v>0</v>
      </c>
      <c r="V6339">
        <f t="shared" si="397"/>
        <v>0</v>
      </c>
      <c r="W6339" s="22">
        <f t="shared" si="398"/>
        <v>0</v>
      </c>
    </row>
    <row r="6340" spans="1:23" hidden="1" x14ac:dyDescent="0.25">
      <c r="A6340" s="45">
        <v>46128</v>
      </c>
      <c r="B6340" s="46" t="s">
        <v>334</v>
      </c>
      <c r="C6340" s="4" t="s">
        <v>91</v>
      </c>
      <c r="D6340" s="4"/>
      <c r="E6340" s="4" t="s">
        <v>921</v>
      </c>
      <c r="F6340" s="46" t="s">
        <v>3065</v>
      </c>
      <c r="G6340" s="4" t="s">
        <v>336</v>
      </c>
      <c r="H6340" s="4" t="s">
        <v>380</v>
      </c>
      <c r="I6340" s="4">
        <v>0.11764705882352941</v>
      </c>
      <c r="J6340" s="21">
        <v>850</v>
      </c>
      <c r="K6340" s="21">
        <v>100</v>
      </c>
      <c r="L6340" s="5">
        <v>0</v>
      </c>
      <c r="M6340" s="4"/>
      <c r="N6340" s="4"/>
      <c r="O6340" s="5"/>
      <c r="P6340" s="5"/>
      <c r="Q6340" s="21">
        <v>0</v>
      </c>
      <c r="R6340" s="21">
        <v>0</v>
      </c>
      <c r="S6340" s="5">
        <f t="shared" ref="S6340:S6403" si="399">S6339+Q6340-R6340</f>
        <v>29160.131749698361</v>
      </c>
      <c r="T6340" cm="1">
        <f t="array" ref="T6340">IF(OR(B6340="MAL ALIMI", B6340="ÜRETİM GİRİŞ"), MIN(I6340, MAX(0, I6340 + SUM(SUMIFS($I$1:I6339, $C$1:C6339, C6340, $B$1:B6339, {"MAL ALIMI","ÜRETİM GİRİŞ"})) - VLOOKUP(C6340, 'STOK RAPORU'!$C$2:$I$1000, 4, 0))), 0)</f>
        <v>0</v>
      </c>
      <c r="U6340" s="22">
        <f t="shared" si="396"/>
        <v>0</v>
      </c>
      <c r="V6340">
        <f t="shared" si="397"/>
        <v>0</v>
      </c>
      <c r="W6340" s="22">
        <f t="shared" si="398"/>
        <v>0</v>
      </c>
    </row>
    <row r="6341" spans="1:23" hidden="1" x14ac:dyDescent="0.25">
      <c r="A6341" s="45">
        <v>46128</v>
      </c>
      <c r="B6341" s="46" t="s">
        <v>334</v>
      </c>
      <c r="C6341" s="4" t="s">
        <v>224</v>
      </c>
      <c r="D6341" s="4"/>
      <c r="E6341" s="4"/>
      <c r="F6341" s="46" t="s">
        <v>3066</v>
      </c>
      <c r="G6341" s="4" t="s">
        <v>336</v>
      </c>
      <c r="H6341" s="4" t="s">
        <v>289</v>
      </c>
      <c r="I6341" s="4">
        <v>0.05</v>
      </c>
      <c r="J6341" s="21">
        <v>900</v>
      </c>
      <c r="K6341" s="21">
        <v>0</v>
      </c>
      <c r="L6341" s="5">
        <v>0</v>
      </c>
      <c r="M6341" s="4"/>
      <c r="N6341" s="4"/>
      <c r="O6341" s="5"/>
      <c r="P6341" s="5"/>
      <c r="Q6341" s="21">
        <v>45</v>
      </c>
      <c r="R6341" s="21">
        <v>0</v>
      </c>
      <c r="S6341" s="5">
        <f t="shared" si="399"/>
        <v>29205.131749698361</v>
      </c>
      <c r="T6341" cm="1">
        <f t="array" ref="T6341">IF(OR(B6341="MAL ALIMI", B6341="ÜRETİM GİRİŞ"), MIN(I6341, MAX(0, I6341 + SUM(SUMIFS($I$1:I6340, $C$1:C6340, C6341, $B$1:B6340, {"MAL ALIMI","ÜRETİM GİRİŞ"})) - VLOOKUP(C6341, 'STOK RAPORU'!$C$2:$I$1000, 4, 0))), 0)</f>
        <v>0</v>
      </c>
      <c r="U6341" s="22">
        <f t="shared" si="396"/>
        <v>0</v>
      </c>
      <c r="V6341">
        <f t="shared" si="397"/>
        <v>0</v>
      </c>
      <c r="W6341" s="22">
        <f t="shared" si="398"/>
        <v>0</v>
      </c>
    </row>
    <row r="6342" spans="1:23" hidden="1" x14ac:dyDescent="0.25">
      <c r="A6342" s="45">
        <v>46128</v>
      </c>
      <c r="B6342" s="46" t="s">
        <v>334</v>
      </c>
      <c r="C6342" s="4" t="s">
        <v>679</v>
      </c>
      <c r="D6342" s="4"/>
      <c r="E6342" s="4"/>
      <c r="F6342" s="46" t="s">
        <v>3067</v>
      </c>
      <c r="G6342" s="4" t="s">
        <v>336</v>
      </c>
      <c r="H6342" s="4" t="s">
        <v>289</v>
      </c>
      <c r="I6342" s="4">
        <v>1</v>
      </c>
      <c r="J6342" s="21">
        <v>400</v>
      </c>
      <c r="K6342" s="21">
        <v>0</v>
      </c>
      <c r="L6342" s="5">
        <v>0</v>
      </c>
      <c r="M6342" s="4"/>
      <c r="N6342" s="4"/>
      <c r="O6342" s="5"/>
      <c r="P6342" s="5"/>
      <c r="Q6342" s="21">
        <v>400</v>
      </c>
      <c r="R6342" s="21">
        <v>0</v>
      </c>
      <c r="S6342" s="5">
        <f t="shared" si="399"/>
        <v>29605.131749698361</v>
      </c>
      <c r="T6342" cm="1">
        <f t="array" ref="T6342">IF(OR(B6342="MAL ALIMI", B6342="ÜRETİM GİRİŞ"), MIN(I6342, MAX(0, I6342 + SUM(SUMIFS($I$1:I6341, $C$1:C6341, C6342, $B$1:B6341, {"MAL ALIMI","ÜRETİM GİRİŞ"})) - VLOOKUP(C6342, 'STOK RAPORU'!$C$2:$I$1000, 4, 0))), 0)</f>
        <v>0</v>
      </c>
      <c r="U6342" s="22">
        <f t="shared" si="396"/>
        <v>0</v>
      </c>
      <c r="V6342">
        <f t="shared" si="397"/>
        <v>0</v>
      </c>
      <c r="W6342" s="22">
        <f t="shared" si="398"/>
        <v>0</v>
      </c>
    </row>
    <row r="6343" spans="1:23" hidden="1" x14ac:dyDescent="0.25">
      <c r="A6343" s="45">
        <v>46128</v>
      </c>
      <c r="B6343" s="46" t="s">
        <v>334</v>
      </c>
      <c r="C6343" s="4" t="s">
        <v>199</v>
      </c>
      <c r="D6343" s="4"/>
      <c r="E6343" s="4"/>
      <c r="F6343" s="46" t="s">
        <v>3068</v>
      </c>
      <c r="G6343" s="4" t="s">
        <v>336</v>
      </c>
      <c r="H6343" s="4" t="s">
        <v>289</v>
      </c>
      <c r="I6343" s="4">
        <v>1</v>
      </c>
      <c r="J6343" s="21">
        <v>750</v>
      </c>
      <c r="K6343" s="21">
        <v>0</v>
      </c>
      <c r="L6343" s="5">
        <v>0</v>
      </c>
      <c r="M6343" s="4"/>
      <c r="N6343" s="4"/>
      <c r="O6343" s="5"/>
      <c r="P6343" s="5"/>
      <c r="Q6343" s="21">
        <v>750</v>
      </c>
      <c r="R6343" s="21">
        <v>0</v>
      </c>
      <c r="S6343" s="5">
        <f t="shared" si="399"/>
        <v>30355.131749698361</v>
      </c>
      <c r="T6343" cm="1">
        <f t="array" ref="T6343">IF(OR(B6343="MAL ALIMI", B6343="ÜRETİM GİRİŞ"), MIN(I6343, MAX(0, I6343 + SUM(SUMIFS($I$1:I6342, $C$1:C6342, C6343, $B$1:B6342, {"MAL ALIMI","ÜRETİM GİRİŞ"})) - VLOOKUP(C6343, 'STOK RAPORU'!$C$2:$I$1000, 4, 0))), 0)</f>
        <v>0</v>
      </c>
      <c r="U6343" s="22">
        <f t="shared" si="396"/>
        <v>0</v>
      </c>
      <c r="V6343">
        <f t="shared" si="397"/>
        <v>0</v>
      </c>
      <c r="W6343" s="22">
        <f t="shared" si="398"/>
        <v>0</v>
      </c>
    </row>
    <row r="6344" spans="1:23" hidden="1" x14ac:dyDescent="0.25">
      <c r="A6344" s="45">
        <v>46128</v>
      </c>
      <c r="B6344" s="46" t="s">
        <v>334</v>
      </c>
      <c r="C6344" s="4" t="s">
        <v>1024</v>
      </c>
      <c r="D6344" s="4"/>
      <c r="E6344" s="4"/>
      <c r="F6344" s="46" t="s">
        <v>3068</v>
      </c>
      <c r="G6344" s="4" t="s">
        <v>336</v>
      </c>
      <c r="H6344" s="4" t="s">
        <v>289</v>
      </c>
      <c r="I6344" s="4">
        <v>3.1539999999999999</v>
      </c>
      <c r="J6344" s="21">
        <v>65</v>
      </c>
      <c r="K6344" s="21">
        <v>0</v>
      </c>
      <c r="L6344" s="5">
        <v>0</v>
      </c>
      <c r="M6344" s="4"/>
      <c r="N6344" s="4"/>
      <c r="O6344" s="5"/>
      <c r="P6344" s="5"/>
      <c r="Q6344" s="21">
        <v>205.01</v>
      </c>
      <c r="R6344" s="21">
        <v>0</v>
      </c>
      <c r="S6344" s="5">
        <f t="shared" si="399"/>
        <v>30560.141749698359</v>
      </c>
      <c r="T6344" cm="1">
        <f t="array" ref="T6344">IF(OR(B6344="MAL ALIMI", B6344="ÜRETİM GİRİŞ"), MIN(I6344, MAX(0, I6344 + SUM(SUMIFS($I$1:I6343, $C$1:C6343, C6344, $B$1:B6343, {"MAL ALIMI","ÜRETİM GİRİŞ"})) - VLOOKUP(C6344, 'STOK RAPORU'!$C$2:$I$1000, 4, 0))), 0)</f>
        <v>0</v>
      </c>
      <c r="U6344" s="22">
        <f t="shared" si="396"/>
        <v>0</v>
      </c>
      <c r="V6344">
        <f t="shared" si="397"/>
        <v>0</v>
      </c>
      <c r="W6344" s="22">
        <f t="shared" si="398"/>
        <v>0</v>
      </c>
    </row>
    <row r="6345" spans="1:23" hidden="1" x14ac:dyDescent="0.25">
      <c r="A6345" s="45">
        <v>46128</v>
      </c>
      <c r="B6345" s="46" t="s">
        <v>334</v>
      </c>
      <c r="C6345" s="4" t="s">
        <v>246</v>
      </c>
      <c r="D6345" s="4"/>
      <c r="E6345" s="4"/>
      <c r="F6345" s="46" t="s">
        <v>3068</v>
      </c>
      <c r="G6345" s="4" t="s">
        <v>336</v>
      </c>
      <c r="H6345" s="4" t="s">
        <v>289</v>
      </c>
      <c r="I6345" s="4">
        <v>0.1</v>
      </c>
      <c r="J6345" s="21">
        <v>1250</v>
      </c>
      <c r="K6345" s="21">
        <v>0</v>
      </c>
      <c r="L6345" s="5">
        <v>0</v>
      </c>
      <c r="M6345" s="4"/>
      <c r="N6345" s="4"/>
      <c r="O6345" s="5"/>
      <c r="P6345" s="5"/>
      <c r="Q6345" s="21">
        <v>125</v>
      </c>
      <c r="R6345" s="21">
        <v>0</v>
      </c>
      <c r="S6345" s="5">
        <f t="shared" si="399"/>
        <v>30685.141749698359</v>
      </c>
      <c r="T6345" cm="1">
        <f t="array" ref="T6345">IF(OR(B6345="MAL ALIMI", B6345="ÜRETİM GİRİŞ"), MIN(I6345, MAX(0, I6345 + SUM(SUMIFS($I$1:I6344, $C$1:C6344, C6345, $B$1:B6344, {"MAL ALIMI","ÜRETİM GİRİŞ"})) - VLOOKUP(C6345, 'STOK RAPORU'!$C$2:$I$1000, 4, 0))), 0)</f>
        <v>0</v>
      </c>
      <c r="U6345" s="22">
        <f t="shared" si="396"/>
        <v>0</v>
      </c>
      <c r="V6345">
        <f t="shared" si="397"/>
        <v>0</v>
      </c>
      <c r="W6345" s="22">
        <f t="shared" si="398"/>
        <v>0</v>
      </c>
    </row>
    <row r="6346" spans="1:23" hidden="1" x14ac:dyDescent="0.25">
      <c r="A6346" s="45">
        <v>46128</v>
      </c>
      <c r="B6346" s="46" t="s">
        <v>334</v>
      </c>
      <c r="C6346" s="4" t="s">
        <v>253</v>
      </c>
      <c r="D6346" s="4"/>
      <c r="E6346" s="4"/>
      <c r="F6346" s="46" t="s">
        <v>3068</v>
      </c>
      <c r="G6346" s="4" t="s">
        <v>336</v>
      </c>
      <c r="H6346" s="4" t="s">
        <v>289</v>
      </c>
      <c r="I6346" s="4">
        <v>0.20833333333333334</v>
      </c>
      <c r="J6346" s="21">
        <v>240</v>
      </c>
      <c r="K6346" s="21">
        <v>0</v>
      </c>
      <c r="L6346" s="5">
        <v>0</v>
      </c>
      <c r="M6346" s="4"/>
      <c r="N6346" s="4"/>
      <c r="O6346" s="5"/>
      <c r="P6346" s="5"/>
      <c r="Q6346" s="21">
        <v>50</v>
      </c>
      <c r="R6346" s="21">
        <v>0</v>
      </c>
      <c r="S6346" s="5">
        <f t="shared" si="399"/>
        <v>30735.141749698359</v>
      </c>
      <c r="T6346" cm="1">
        <f t="array" ref="T6346">IF(OR(B6346="MAL ALIMI", B6346="ÜRETİM GİRİŞ"), MIN(I6346, MAX(0, I6346 + SUM(SUMIFS($I$1:I6345, $C$1:C6345, C6346, $B$1:B6345, {"MAL ALIMI","ÜRETİM GİRİŞ"})) - VLOOKUP(C6346, 'STOK RAPORU'!$C$2:$I$1000, 4, 0))), 0)</f>
        <v>0</v>
      </c>
      <c r="U6346" s="22">
        <f t="shared" si="396"/>
        <v>0</v>
      </c>
      <c r="V6346">
        <f t="shared" si="397"/>
        <v>0</v>
      </c>
      <c r="W6346" s="22">
        <f t="shared" si="398"/>
        <v>0</v>
      </c>
    </row>
    <row r="6347" spans="1:23" hidden="1" x14ac:dyDescent="0.25">
      <c r="A6347" s="45">
        <v>46128</v>
      </c>
      <c r="B6347" s="46" t="s">
        <v>334</v>
      </c>
      <c r="C6347" s="4" t="s">
        <v>252</v>
      </c>
      <c r="D6347" s="4"/>
      <c r="E6347" s="4"/>
      <c r="F6347" s="46" t="s">
        <v>3068</v>
      </c>
      <c r="G6347" s="4" t="s">
        <v>336</v>
      </c>
      <c r="H6347" s="4" t="s">
        <v>289</v>
      </c>
      <c r="I6347" s="4">
        <v>0.5</v>
      </c>
      <c r="J6347" s="21">
        <v>200</v>
      </c>
      <c r="K6347" s="21">
        <v>0</v>
      </c>
      <c r="L6347" s="5">
        <v>0</v>
      </c>
      <c r="M6347" s="4"/>
      <c r="N6347" s="4"/>
      <c r="O6347" s="5"/>
      <c r="P6347" s="5"/>
      <c r="Q6347" s="21">
        <v>100</v>
      </c>
      <c r="R6347" s="21">
        <v>0</v>
      </c>
      <c r="S6347" s="5">
        <f t="shared" si="399"/>
        <v>30835.141749698359</v>
      </c>
      <c r="T6347" cm="1">
        <f t="array" ref="T6347">IF(OR(B6347="MAL ALIMI", B6347="ÜRETİM GİRİŞ"), MIN(I6347, MAX(0, I6347 + SUM(SUMIFS($I$1:I6346, $C$1:C6346, C6347, $B$1:B6346, {"MAL ALIMI","ÜRETİM GİRİŞ"})) - VLOOKUP(C6347, 'STOK RAPORU'!$C$2:$I$1000, 4, 0))), 0)</f>
        <v>0</v>
      </c>
      <c r="U6347" s="22">
        <f t="shared" si="396"/>
        <v>0</v>
      </c>
      <c r="V6347">
        <f t="shared" si="397"/>
        <v>0</v>
      </c>
      <c r="W6347" s="22">
        <f t="shared" si="398"/>
        <v>0</v>
      </c>
    </row>
    <row r="6348" spans="1:23" hidden="1" x14ac:dyDescent="0.25">
      <c r="A6348" s="45">
        <v>46128</v>
      </c>
      <c r="B6348" s="46" t="s">
        <v>334</v>
      </c>
      <c r="C6348" s="4" t="s">
        <v>648</v>
      </c>
      <c r="D6348" s="4"/>
      <c r="E6348" s="4"/>
      <c r="F6348" s="46" t="s">
        <v>3068</v>
      </c>
      <c r="G6348" s="4" t="s">
        <v>336</v>
      </c>
      <c r="H6348" s="4" t="s">
        <v>289</v>
      </c>
      <c r="I6348" s="4">
        <v>0.15384615384615385</v>
      </c>
      <c r="J6348" s="21">
        <v>650</v>
      </c>
      <c r="K6348" s="21">
        <v>0</v>
      </c>
      <c r="L6348" s="5">
        <v>0</v>
      </c>
      <c r="M6348" s="4"/>
      <c r="N6348" s="4"/>
      <c r="O6348" s="5"/>
      <c r="P6348" s="5"/>
      <c r="Q6348" s="21">
        <v>100</v>
      </c>
      <c r="R6348" s="21">
        <v>0</v>
      </c>
      <c r="S6348" s="5">
        <f t="shared" si="399"/>
        <v>30935.141749698359</v>
      </c>
      <c r="T6348" cm="1">
        <f t="array" ref="T6348">IF(OR(B6348="MAL ALIMI", B6348="ÜRETİM GİRİŞ"), MIN(I6348, MAX(0, I6348 + SUM(SUMIFS($I$1:I6347, $C$1:C6347, C6348, $B$1:B6347, {"MAL ALIMI","ÜRETİM GİRİŞ"})) - VLOOKUP(C6348, 'STOK RAPORU'!$C$2:$I$1000, 4, 0))), 0)</f>
        <v>0</v>
      </c>
      <c r="U6348" s="22">
        <f t="shared" si="396"/>
        <v>0</v>
      </c>
      <c r="V6348">
        <f t="shared" si="397"/>
        <v>0</v>
      </c>
      <c r="W6348" s="22">
        <f t="shared" si="398"/>
        <v>0</v>
      </c>
    </row>
    <row r="6349" spans="1:23" hidden="1" x14ac:dyDescent="0.25">
      <c r="A6349" s="45">
        <v>46128</v>
      </c>
      <c r="B6349" s="46" t="s">
        <v>334</v>
      </c>
      <c r="C6349" s="4" t="s">
        <v>241</v>
      </c>
      <c r="D6349" s="4"/>
      <c r="E6349" s="4"/>
      <c r="F6349" s="46" t="s">
        <v>3068</v>
      </c>
      <c r="G6349" s="4" t="s">
        <v>336</v>
      </c>
      <c r="H6349" s="4" t="s">
        <v>289</v>
      </c>
      <c r="I6349" s="4">
        <v>0.51162790697674421</v>
      </c>
      <c r="J6349" s="21">
        <v>430</v>
      </c>
      <c r="K6349" s="21">
        <v>0</v>
      </c>
      <c r="L6349" s="5">
        <v>0</v>
      </c>
      <c r="M6349" s="4"/>
      <c r="N6349" s="4"/>
      <c r="O6349" s="5"/>
      <c r="P6349" s="5"/>
      <c r="Q6349" s="21">
        <v>220</v>
      </c>
      <c r="R6349" s="21">
        <v>0</v>
      </c>
      <c r="S6349" s="5">
        <f t="shared" si="399"/>
        <v>31155.141749698359</v>
      </c>
      <c r="T6349" cm="1">
        <f t="array" ref="T6349">IF(OR(B6349="MAL ALIMI", B6349="ÜRETİM GİRİŞ"), MIN(I6349, MAX(0, I6349 + SUM(SUMIFS($I$1:I6348, $C$1:C6348, C6349, $B$1:B6348, {"MAL ALIMI","ÜRETİM GİRİŞ"})) - VLOOKUP(C6349, 'STOK RAPORU'!$C$2:$I$1000, 4, 0))), 0)</f>
        <v>0</v>
      </c>
      <c r="U6349" s="22">
        <f t="shared" si="396"/>
        <v>0</v>
      </c>
      <c r="V6349">
        <f t="shared" si="397"/>
        <v>0</v>
      </c>
      <c r="W6349" s="22">
        <f t="shared" si="398"/>
        <v>0</v>
      </c>
    </row>
    <row r="6350" spans="1:23" hidden="1" x14ac:dyDescent="0.25">
      <c r="A6350" s="45">
        <v>46128</v>
      </c>
      <c r="B6350" s="46" t="s">
        <v>334</v>
      </c>
      <c r="C6350" s="4" t="s">
        <v>203</v>
      </c>
      <c r="D6350" s="4"/>
      <c r="E6350" s="4"/>
      <c r="F6350" s="46" t="s">
        <v>3068</v>
      </c>
      <c r="G6350" s="4" t="s">
        <v>336</v>
      </c>
      <c r="H6350" s="4" t="s">
        <v>289</v>
      </c>
      <c r="I6350" s="4">
        <v>1</v>
      </c>
      <c r="J6350" s="21">
        <v>80</v>
      </c>
      <c r="K6350" s="21">
        <v>0</v>
      </c>
      <c r="L6350" s="5">
        <v>0</v>
      </c>
      <c r="M6350" s="4"/>
      <c r="N6350" s="4"/>
      <c r="O6350" s="5"/>
      <c r="P6350" s="5"/>
      <c r="Q6350" s="21">
        <v>80</v>
      </c>
      <c r="R6350" s="21">
        <v>0</v>
      </c>
      <c r="S6350" s="5">
        <f t="shared" si="399"/>
        <v>31235.141749698359</v>
      </c>
      <c r="T6350" cm="1">
        <f t="array" ref="T6350">IF(OR(B6350="MAL ALIMI", B6350="ÜRETİM GİRİŞ"), MIN(I6350, MAX(0, I6350 + SUM(SUMIFS($I$1:I6349, $C$1:C6349, C6350, $B$1:B6349, {"MAL ALIMI","ÜRETİM GİRİŞ"})) - VLOOKUP(C6350, 'STOK RAPORU'!$C$2:$I$1000, 4, 0))), 0)</f>
        <v>0</v>
      </c>
      <c r="U6350" s="22">
        <f t="shared" si="396"/>
        <v>0</v>
      </c>
      <c r="V6350">
        <f t="shared" si="397"/>
        <v>0</v>
      </c>
      <c r="W6350" s="22">
        <f t="shared" si="398"/>
        <v>0</v>
      </c>
    </row>
    <row r="6351" spans="1:23" hidden="1" x14ac:dyDescent="0.25">
      <c r="A6351" s="45">
        <v>46128</v>
      </c>
      <c r="B6351" s="46" t="s">
        <v>334</v>
      </c>
      <c r="C6351" s="4" t="s">
        <v>236</v>
      </c>
      <c r="D6351" s="4"/>
      <c r="E6351" s="4"/>
      <c r="F6351" s="46" t="s">
        <v>3069</v>
      </c>
      <c r="G6351" s="4" t="s">
        <v>336</v>
      </c>
      <c r="H6351" s="4" t="s">
        <v>289</v>
      </c>
      <c r="I6351" s="4">
        <v>0.312</v>
      </c>
      <c r="J6351" s="21">
        <v>350</v>
      </c>
      <c r="K6351" s="21">
        <v>0</v>
      </c>
      <c r="L6351" s="5">
        <v>0</v>
      </c>
      <c r="M6351" s="4"/>
      <c r="N6351" s="4"/>
      <c r="O6351" s="5"/>
      <c r="P6351" s="5"/>
      <c r="Q6351" s="21">
        <v>109.2</v>
      </c>
      <c r="R6351" s="21">
        <v>0</v>
      </c>
      <c r="S6351" s="5">
        <f t="shared" si="399"/>
        <v>31344.34174969836</v>
      </c>
      <c r="T6351" cm="1">
        <f t="array" ref="T6351">IF(OR(B6351="MAL ALIMI", B6351="ÜRETİM GİRİŞ"), MIN(I6351, MAX(0, I6351 + SUM(SUMIFS($I$1:I6350, $C$1:C6350, C6351, $B$1:B6350, {"MAL ALIMI","ÜRETİM GİRİŞ"})) - VLOOKUP(C6351, 'STOK RAPORU'!$C$2:$I$1000, 4, 0))), 0)</f>
        <v>0</v>
      </c>
      <c r="U6351" s="22">
        <f t="shared" si="396"/>
        <v>0</v>
      </c>
      <c r="V6351">
        <f t="shared" si="397"/>
        <v>0</v>
      </c>
      <c r="W6351" s="22">
        <f t="shared" si="398"/>
        <v>0</v>
      </c>
    </row>
    <row r="6352" spans="1:23" hidden="1" x14ac:dyDescent="0.25">
      <c r="A6352" s="45">
        <v>46128</v>
      </c>
      <c r="B6352" s="46" t="s">
        <v>334</v>
      </c>
      <c r="C6352" s="4" t="s">
        <v>1041</v>
      </c>
      <c r="D6352" s="4"/>
      <c r="E6352" s="4"/>
      <c r="F6352" s="46" t="s">
        <v>3069</v>
      </c>
      <c r="G6352" s="4" t="s">
        <v>336</v>
      </c>
      <c r="H6352" s="4" t="s">
        <v>289</v>
      </c>
      <c r="I6352" s="4">
        <v>0.52800000000000002</v>
      </c>
      <c r="J6352" s="21">
        <v>250</v>
      </c>
      <c r="K6352" s="21">
        <v>0</v>
      </c>
      <c r="L6352" s="5">
        <v>0</v>
      </c>
      <c r="M6352" s="4"/>
      <c r="N6352" s="4"/>
      <c r="O6352" s="5"/>
      <c r="P6352" s="5"/>
      <c r="Q6352" s="21">
        <v>132</v>
      </c>
      <c r="R6352" s="21">
        <v>0</v>
      </c>
      <c r="S6352" s="5">
        <f t="shared" si="399"/>
        <v>31476.34174969836</v>
      </c>
      <c r="T6352" cm="1">
        <f t="array" ref="T6352">IF(OR(B6352="MAL ALIMI", B6352="ÜRETİM GİRİŞ"), MIN(I6352, MAX(0, I6352 + SUM(SUMIFS($I$1:I6351, $C$1:C6351, C6352, $B$1:B6351, {"MAL ALIMI","ÜRETİM GİRİŞ"})) - VLOOKUP(C6352, 'STOK RAPORU'!$C$2:$I$1000, 4, 0))), 0)</f>
        <v>0</v>
      </c>
      <c r="U6352" s="22">
        <f t="shared" si="396"/>
        <v>0</v>
      </c>
      <c r="V6352">
        <f t="shared" si="397"/>
        <v>0</v>
      </c>
      <c r="W6352" s="22">
        <f t="shared" si="398"/>
        <v>0</v>
      </c>
    </row>
    <row r="6353" spans="1:23" hidden="1" x14ac:dyDescent="0.25">
      <c r="A6353" s="3">
        <v>46128</v>
      </c>
      <c r="B6353" s="4" t="s">
        <v>298</v>
      </c>
      <c r="C6353" s="4" t="s">
        <v>1127</v>
      </c>
      <c r="D6353" s="4"/>
      <c r="E6353" s="4" t="s">
        <v>856</v>
      </c>
      <c r="F6353" s="4"/>
      <c r="G6353" s="4" t="s">
        <v>753</v>
      </c>
      <c r="H6353" s="4" t="s">
        <v>1329</v>
      </c>
      <c r="I6353" s="4">
        <v>2</v>
      </c>
      <c r="J6353" s="21">
        <v>249.5</v>
      </c>
      <c r="K6353" s="21">
        <v>0</v>
      </c>
      <c r="L6353" s="5">
        <v>499</v>
      </c>
      <c r="M6353" s="4"/>
      <c r="N6353" s="4"/>
      <c r="O6353" s="5"/>
      <c r="P6353" s="5"/>
      <c r="Q6353" s="21">
        <v>0</v>
      </c>
      <c r="R6353" s="21">
        <v>0</v>
      </c>
      <c r="S6353" s="5">
        <f t="shared" si="399"/>
        <v>31476.34174969836</v>
      </c>
      <c r="T6353" cm="1">
        <f t="array" ref="T6353">IF(OR(B6353="MAL ALIMI", B6353="ÜRETİM GİRİŞ"), MIN(I6353, MAX(0, I6353 + SUM(SUMIFS($I$1:I6352, $C$1:C6352, C6353, $B$1:B6352, {"MAL ALIMI","ÜRETİM GİRİŞ"})) - VLOOKUP(C6353, 'STOK RAPORU'!$C$2:$I$1000, 4, 0))), 0)</f>
        <v>1</v>
      </c>
      <c r="U6353" s="22">
        <f t="shared" si="396"/>
        <v>249.5</v>
      </c>
      <c r="V6353">
        <f t="shared" si="397"/>
        <v>499</v>
      </c>
      <c r="W6353" s="22">
        <f t="shared" si="398"/>
        <v>249.5</v>
      </c>
    </row>
    <row r="6354" spans="1:23" hidden="1" x14ac:dyDescent="0.25">
      <c r="A6354" s="3">
        <v>46128</v>
      </c>
      <c r="B6354" s="4" t="s">
        <v>298</v>
      </c>
      <c r="C6354" s="4" t="s">
        <v>3166</v>
      </c>
      <c r="D6354" s="4"/>
      <c r="E6354" s="4" t="s">
        <v>856</v>
      </c>
      <c r="F6354" s="4"/>
      <c r="G6354" s="4" t="s">
        <v>753</v>
      </c>
      <c r="H6354" s="4" t="s">
        <v>1329</v>
      </c>
      <c r="I6354" s="4">
        <v>1</v>
      </c>
      <c r="J6354" s="21">
        <v>1</v>
      </c>
      <c r="K6354" s="21">
        <v>0</v>
      </c>
      <c r="L6354" s="5">
        <v>1</v>
      </c>
      <c r="M6354" s="4"/>
      <c r="N6354" s="4"/>
      <c r="O6354" s="5"/>
      <c r="P6354" s="5"/>
      <c r="Q6354" s="21">
        <v>0</v>
      </c>
      <c r="R6354" s="21">
        <v>0</v>
      </c>
      <c r="S6354" s="5">
        <f t="shared" si="399"/>
        <v>31476.34174969836</v>
      </c>
      <c r="T6354" t="e" cm="1">
        <f t="array" ref="T6354">IF(OR(B6354="MAL ALIMI", B6354="ÜRETİM GİRİŞ"), MIN(I6354, MAX(0, I6354 + SUM(SUMIFS($I$1:I6353, $C$1:C6353, C6354, $B$1:B6353, {"MAL ALIMI","ÜRETİM GİRİŞ"})) - VLOOKUP(C6354, 'STOK RAPORU'!$C$2:$I$1000, 4, 0))), 0)</f>
        <v>#N/A</v>
      </c>
      <c r="U6354" s="22" t="e">
        <f t="shared" si="396"/>
        <v>#N/A</v>
      </c>
      <c r="V6354">
        <f t="shared" si="397"/>
        <v>1</v>
      </c>
      <c r="W6354" s="22" t="e">
        <f t="shared" si="398"/>
        <v>#N/A</v>
      </c>
    </row>
    <row r="6355" spans="1:23" hidden="1" x14ac:dyDescent="0.25">
      <c r="A6355" s="3">
        <v>46128</v>
      </c>
      <c r="B6355" s="4" t="s">
        <v>298</v>
      </c>
      <c r="C6355" s="4" t="s">
        <v>1127</v>
      </c>
      <c r="D6355" s="4"/>
      <c r="E6355" s="4" t="s">
        <v>856</v>
      </c>
      <c r="F6355" s="4"/>
      <c r="G6355" s="4" t="s">
        <v>753</v>
      </c>
      <c r="H6355" s="4" t="s">
        <v>1329</v>
      </c>
      <c r="I6355" s="4">
        <v>2</v>
      </c>
      <c r="J6355" s="21">
        <v>249.5</v>
      </c>
      <c r="K6355" s="21">
        <v>0</v>
      </c>
      <c r="L6355" s="5">
        <v>499</v>
      </c>
      <c r="M6355" s="4"/>
      <c r="N6355" s="4"/>
      <c r="O6355" s="5"/>
      <c r="P6355" s="5"/>
      <c r="Q6355" s="21">
        <v>0</v>
      </c>
      <c r="R6355" s="21">
        <v>0</v>
      </c>
      <c r="S6355" s="5">
        <f t="shared" si="399"/>
        <v>31476.34174969836</v>
      </c>
      <c r="T6355" cm="1">
        <f t="array" ref="T6355">IF(OR(B6355="MAL ALIMI", B6355="ÜRETİM GİRİŞ"), MIN(I6355, MAX(0, I6355 + SUM(SUMIFS($I$1:I6354, $C$1:C6354, C6355, $B$1:B6354, {"MAL ALIMI","ÜRETİM GİRİŞ"})) - VLOOKUP(C6355, 'STOK RAPORU'!$C$2:$I$1000, 4, 0))), 0)</f>
        <v>2</v>
      </c>
      <c r="U6355" s="22">
        <f t="shared" si="396"/>
        <v>499</v>
      </c>
      <c r="V6355">
        <f t="shared" si="397"/>
        <v>499</v>
      </c>
      <c r="W6355" s="22">
        <f t="shared" si="398"/>
        <v>0</v>
      </c>
    </row>
    <row r="6356" spans="1:23" hidden="1" x14ac:dyDescent="0.25">
      <c r="A6356" s="3">
        <v>46128</v>
      </c>
      <c r="B6356" s="4" t="s">
        <v>298</v>
      </c>
      <c r="C6356" s="4" t="s">
        <v>3166</v>
      </c>
      <c r="D6356" s="4"/>
      <c r="E6356" s="4" t="s">
        <v>856</v>
      </c>
      <c r="F6356" s="4"/>
      <c r="G6356" s="4" t="s">
        <v>753</v>
      </c>
      <c r="H6356" s="4" t="s">
        <v>1329</v>
      </c>
      <c r="I6356" s="4">
        <v>1</v>
      </c>
      <c r="J6356" s="21">
        <v>1</v>
      </c>
      <c r="K6356" s="21">
        <v>0</v>
      </c>
      <c r="L6356" s="5">
        <v>1</v>
      </c>
      <c r="M6356" s="4"/>
      <c r="N6356" s="4"/>
      <c r="O6356" s="5"/>
      <c r="P6356" s="5"/>
      <c r="Q6356" s="21">
        <v>0</v>
      </c>
      <c r="R6356" s="21">
        <v>0</v>
      </c>
      <c r="S6356" s="5">
        <f t="shared" si="399"/>
        <v>31476.34174969836</v>
      </c>
      <c r="T6356" t="e" cm="1">
        <f t="array" ref="T6356">IF(OR(B6356="MAL ALIMI", B6356="ÜRETİM GİRİŞ"), MIN(I6356, MAX(0, I6356 + SUM(SUMIFS($I$1:I6355, $C$1:C6355, C6356, $B$1:B6355, {"MAL ALIMI","ÜRETİM GİRİŞ"})) - VLOOKUP(C6356, 'STOK RAPORU'!$C$2:$I$1000, 4, 0))), 0)</f>
        <v>#N/A</v>
      </c>
      <c r="U6356" s="22" t="e">
        <f t="shared" si="396"/>
        <v>#N/A</v>
      </c>
      <c r="V6356">
        <f t="shared" si="397"/>
        <v>1</v>
      </c>
      <c r="W6356" s="22" t="e">
        <f t="shared" si="398"/>
        <v>#N/A</v>
      </c>
    </row>
    <row r="6357" spans="1:23" hidden="1" x14ac:dyDescent="0.25">
      <c r="A6357" s="3">
        <v>46128</v>
      </c>
      <c r="B6357" s="4" t="s">
        <v>946</v>
      </c>
      <c r="C6357" s="4"/>
      <c r="D6357" s="4"/>
      <c r="E6357" s="4" t="s">
        <v>921</v>
      </c>
      <c r="F6357" s="4"/>
      <c r="G6357" s="4" t="s">
        <v>946</v>
      </c>
      <c r="H6357" s="4" t="s">
        <v>380</v>
      </c>
      <c r="I6357" s="4">
        <v>1</v>
      </c>
      <c r="J6357" s="105">
        <v>980</v>
      </c>
      <c r="K6357" s="21">
        <v>0</v>
      </c>
      <c r="L6357" s="32">
        <v>980</v>
      </c>
      <c r="M6357" s="4"/>
      <c r="N6357" s="4"/>
      <c r="O6357" s="5"/>
      <c r="P6357" s="5"/>
      <c r="Q6357" s="21">
        <v>980</v>
      </c>
      <c r="R6357" s="21">
        <v>0</v>
      </c>
      <c r="S6357" s="5">
        <f t="shared" si="399"/>
        <v>32456.34174969836</v>
      </c>
      <c r="T6357" cm="1">
        <f t="array" ref="T6357">IF(OR(B6357="MAL ALIMI", B6357="ÜRETİM GİRİŞ"), MIN(I6357, MAX(0, I6357 + SUM(SUMIFS($I$1:I6356, $C$1:C6356, C6357, $B$1:B6356, {"MAL ALIMI","ÜRETİM GİRİŞ"})) - VLOOKUP(C6357, 'STOK RAPORU'!$C$2:$I$1000, 4, 0))), 0)</f>
        <v>0</v>
      </c>
      <c r="U6357" s="22">
        <f t="shared" si="396"/>
        <v>0</v>
      </c>
      <c r="V6357">
        <f t="shared" si="397"/>
        <v>0</v>
      </c>
      <c r="W6357" s="22">
        <f t="shared" si="398"/>
        <v>0</v>
      </c>
    </row>
    <row r="6358" spans="1:23" hidden="1" x14ac:dyDescent="0.25">
      <c r="A6358" s="3">
        <v>46129</v>
      </c>
      <c r="B6358" s="46" t="s">
        <v>334</v>
      </c>
      <c r="C6358" s="4" t="s">
        <v>133</v>
      </c>
      <c r="D6358" s="4"/>
      <c r="E6358" s="4" t="s">
        <v>921</v>
      </c>
      <c r="F6358" s="46" t="s">
        <v>3070</v>
      </c>
      <c r="G6358" s="4" t="s">
        <v>3106</v>
      </c>
      <c r="H6358" s="4" t="s">
        <v>380</v>
      </c>
      <c r="I6358" s="4">
        <v>1.548</v>
      </c>
      <c r="J6358" s="21">
        <v>250</v>
      </c>
      <c r="K6358" s="21">
        <v>387</v>
      </c>
      <c r="L6358" s="5">
        <v>0</v>
      </c>
      <c r="M6358" s="4"/>
      <c r="N6358" s="4"/>
      <c r="O6358" s="5"/>
      <c r="P6358" s="5"/>
      <c r="Q6358" s="21">
        <v>0</v>
      </c>
      <c r="R6358" s="21">
        <v>0</v>
      </c>
      <c r="S6358" s="5">
        <f t="shared" si="399"/>
        <v>32456.34174969836</v>
      </c>
      <c r="T6358" cm="1">
        <f t="array" ref="T6358">IF(OR(B6358="MAL ALIMI", B6358="ÜRETİM GİRİŞ"), MIN(I6358, MAX(0, I6358 + SUM(SUMIFS($I$1:I6357, $C$1:C6357, C6358, $B$1:B6357, {"MAL ALIMI","ÜRETİM GİRİŞ"})) - VLOOKUP(C6358, 'STOK RAPORU'!$C$2:$I$1000, 4, 0))), 0)</f>
        <v>0</v>
      </c>
      <c r="U6358" s="22">
        <f t="shared" si="396"/>
        <v>0</v>
      </c>
      <c r="V6358">
        <f t="shared" si="397"/>
        <v>0</v>
      </c>
      <c r="W6358" s="22">
        <f t="shared" si="398"/>
        <v>0</v>
      </c>
    </row>
    <row r="6359" spans="1:23" hidden="1" x14ac:dyDescent="0.25">
      <c r="A6359" s="3">
        <v>46129</v>
      </c>
      <c r="B6359" s="46" t="s">
        <v>334</v>
      </c>
      <c r="C6359" s="4" t="s">
        <v>463</v>
      </c>
      <c r="D6359" s="4"/>
      <c r="E6359" s="4" t="s">
        <v>921</v>
      </c>
      <c r="F6359" s="46" t="s">
        <v>3070</v>
      </c>
      <c r="G6359" s="4" t="s">
        <v>3106</v>
      </c>
      <c r="H6359" s="4" t="s">
        <v>380</v>
      </c>
      <c r="I6359" s="4">
        <v>0.50600000000000001</v>
      </c>
      <c r="J6359" s="21">
        <v>250</v>
      </c>
      <c r="K6359" s="21">
        <v>126.5</v>
      </c>
      <c r="L6359" s="5">
        <v>0</v>
      </c>
      <c r="M6359" s="4"/>
      <c r="N6359" s="4"/>
      <c r="O6359" s="5"/>
      <c r="P6359" s="5"/>
      <c r="Q6359" s="21">
        <v>0</v>
      </c>
      <c r="R6359" s="21">
        <v>0</v>
      </c>
      <c r="S6359" s="5">
        <f t="shared" si="399"/>
        <v>32456.34174969836</v>
      </c>
      <c r="T6359" cm="1">
        <f t="array" ref="T6359">IF(OR(B6359="MAL ALIMI", B6359="ÜRETİM GİRİŞ"), MIN(I6359, MAX(0, I6359 + SUM(SUMIFS($I$1:I6358, $C$1:C6358, C6359, $B$1:B6358, {"MAL ALIMI","ÜRETİM GİRİŞ"})) - VLOOKUP(C6359, 'STOK RAPORU'!$C$2:$I$1000, 4, 0))), 0)</f>
        <v>0</v>
      </c>
      <c r="U6359" s="22">
        <f t="shared" si="396"/>
        <v>0</v>
      </c>
      <c r="V6359">
        <f t="shared" si="397"/>
        <v>0</v>
      </c>
      <c r="W6359" s="22">
        <f t="shared" si="398"/>
        <v>0</v>
      </c>
    </row>
    <row r="6360" spans="1:23" hidden="1" x14ac:dyDescent="0.25">
      <c r="A6360" s="3">
        <v>46129</v>
      </c>
      <c r="B6360" s="46" t="s">
        <v>334</v>
      </c>
      <c r="C6360" s="4" t="s">
        <v>2608</v>
      </c>
      <c r="D6360" s="4"/>
      <c r="E6360" s="4" t="s">
        <v>921</v>
      </c>
      <c r="F6360" s="46" t="s">
        <v>3070</v>
      </c>
      <c r="G6360" s="4" t="s">
        <v>3106</v>
      </c>
      <c r="H6360" s="4" t="s">
        <v>380</v>
      </c>
      <c r="I6360" s="4">
        <v>0.1</v>
      </c>
      <c r="J6360" s="21">
        <v>500</v>
      </c>
      <c r="K6360" s="21">
        <v>50</v>
      </c>
      <c r="L6360" s="5">
        <v>0</v>
      </c>
      <c r="M6360" s="4"/>
      <c r="N6360" s="4"/>
      <c r="O6360" s="5"/>
      <c r="P6360" s="5"/>
      <c r="Q6360" s="21">
        <v>0</v>
      </c>
      <c r="R6360" s="21">
        <v>0</v>
      </c>
      <c r="S6360" s="5">
        <f t="shared" si="399"/>
        <v>32456.34174969836</v>
      </c>
      <c r="T6360" cm="1">
        <f t="array" ref="T6360">IF(OR(B6360="MAL ALIMI", B6360="ÜRETİM GİRİŞ"), MIN(I6360, MAX(0, I6360 + SUM(SUMIFS($I$1:I6359, $C$1:C6359, C6360, $B$1:B6359, {"MAL ALIMI","ÜRETİM GİRİŞ"})) - VLOOKUP(C6360, 'STOK RAPORU'!$C$2:$I$1000, 4, 0))), 0)</f>
        <v>0</v>
      </c>
      <c r="U6360" s="22">
        <f t="shared" si="396"/>
        <v>0</v>
      </c>
      <c r="V6360">
        <f t="shared" si="397"/>
        <v>0</v>
      </c>
      <c r="W6360" s="22">
        <f t="shared" si="398"/>
        <v>0</v>
      </c>
    </row>
    <row r="6361" spans="1:23" hidden="1" x14ac:dyDescent="0.25">
      <c r="A6361" s="3">
        <v>46129</v>
      </c>
      <c r="B6361" s="46" t="s">
        <v>334</v>
      </c>
      <c r="C6361" s="4" t="s">
        <v>766</v>
      </c>
      <c r="D6361" s="4"/>
      <c r="E6361" s="4"/>
      <c r="F6361" s="46" t="s">
        <v>3071</v>
      </c>
      <c r="G6361" s="4" t="s">
        <v>336</v>
      </c>
      <c r="H6361" s="4" t="s">
        <v>289</v>
      </c>
      <c r="I6361" s="4">
        <v>1</v>
      </c>
      <c r="J6361" s="21">
        <v>220</v>
      </c>
      <c r="K6361" s="21">
        <v>0</v>
      </c>
      <c r="L6361" s="5">
        <v>0</v>
      </c>
      <c r="M6361" s="4"/>
      <c r="N6361" s="4"/>
      <c r="O6361" s="5"/>
      <c r="P6361" s="5"/>
      <c r="Q6361" s="21">
        <v>220</v>
      </c>
      <c r="R6361" s="21">
        <v>0</v>
      </c>
      <c r="S6361" s="5">
        <f t="shared" si="399"/>
        <v>32676.34174969836</v>
      </c>
      <c r="T6361" cm="1">
        <f t="array" ref="T6361">IF(OR(B6361="MAL ALIMI", B6361="ÜRETİM GİRİŞ"), MIN(I6361, MAX(0, I6361 + SUM(SUMIFS($I$1:I6360, $C$1:C6360, C6361, $B$1:B6360, {"MAL ALIMI","ÜRETİM GİRİŞ"})) - VLOOKUP(C6361, 'STOK RAPORU'!$C$2:$I$1000, 4, 0))), 0)</f>
        <v>0</v>
      </c>
      <c r="U6361" s="22">
        <f t="shared" si="396"/>
        <v>0</v>
      </c>
      <c r="V6361">
        <f t="shared" si="397"/>
        <v>0</v>
      </c>
      <c r="W6361" s="22">
        <f t="shared" si="398"/>
        <v>0</v>
      </c>
    </row>
    <row r="6362" spans="1:23" hidden="1" x14ac:dyDescent="0.25">
      <c r="A6362" s="3">
        <v>46129</v>
      </c>
      <c r="B6362" s="46" t="s">
        <v>334</v>
      </c>
      <c r="C6362" s="4" t="s">
        <v>157</v>
      </c>
      <c r="D6362" s="4"/>
      <c r="E6362" s="4"/>
      <c r="F6362" s="46" t="s">
        <v>3072</v>
      </c>
      <c r="G6362" s="4" t="s">
        <v>336</v>
      </c>
      <c r="H6362" s="4" t="s">
        <v>289</v>
      </c>
      <c r="I6362" s="4">
        <v>1</v>
      </c>
      <c r="J6362" s="21">
        <v>200</v>
      </c>
      <c r="K6362" s="21">
        <v>0</v>
      </c>
      <c r="L6362" s="5">
        <v>0</v>
      </c>
      <c r="M6362" s="4"/>
      <c r="N6362" s="4"/>
      <c r="O6362" s="5"/>
      <c r="P6362" s="5"/>
      <c r="Q6362" s="21">
        <v>200</v>
      </c>
      <c r="R6362" s="21">
        <v>0</v>
      </c>
      <c r="S6362" s="5">
        <f t="shared" si="399"/>
        <v>32876.34174969836</v>
      </c>
      <c r="T6362" cm="1">
        <f t="array" ref="T6362">IF(OR(B6362="MAL ALIMI", B6362="ÜRETİM GİRİŞ"), MIN(I6362, MAX(0, I6362 + SUM(SUMIFS($I$1:I6361, $C$1:C6361, C6362, $B$1:B6361, {"MAL ALIMI","ÜRETİM GİRİŞ"})) - VLOOKUP(C6362, 'STOK RAPORU'!$C$2:$I$1000, 4, 0))), 0)</f>
        <v>0</v>
      </c>
      <c r="U6362" s="22">
        <f t="shared" si="396"/>
        <v>0</v>
      </c>
      <c r="V6362">
        <f t="shared" si="397"/>
        <v>0</v>
      </c>
      <c r="W6362" s="22">
        <f t="shared" si="398"/>
        <v>0</v>
      </c>
    </row>
    <row r="6363" spans="1:23" hidden="1" x14ac:dyDescent="0.25">
      <c r="A6363" s="3">
        <v>46129</v>
      </c>
      <c r="B6363" s="46" t="s">
        <v>334</v>
      </c>
      <c r="C6363" s="4" t="s">
        <v>1359</v>
      </c>
      <c r="D6363" s="4"/>
      <c r="E6363" s="4" t="s">
        <v>921</v>
      </c>
      <c r="F6363" s="46" t="s">
        <v>3073</v>
      </c>
      <c r="G6363" s="4" t="s">
        <v>336</v>
      </c>
      <c r="H6363" s="4" t="s">
        <v>380</v>
      </c>
      <c r="I6363" s="4">
        <v>0.35</v>
      </c>
      <c r="J6363" s="21">
        <v>500</v>
      </c>
      <c r="K6363" s="21">
        <v>175</v>
      </c>
      <c r="L6363" s="5">
        <v>0</v>
      </c>
      <c r="M6363" s="4"/>
      <c r="N6363" s="4"/>
      <c r="O6363" s="5"/>
      <c r="P6363" s="5"/>
      <c r="Q6363" s="21">
        <v>0</v>
      </c>
      <c r="R6363" s="21">
        <v>0</v>
      </c>
      <c r="S6363" s="5">
        <f t="shared" si="399"/>
        <v>32876.34174969836</v>
      </c>
      <c r="T6363" cm="1">
        <f t="array" ref="T6363">IF(OR(B6363="MAL ALIMI", B6363="ÜRETİM GİRİŞ"), MIN(I6363, MAX(0, I6363 + SUM(SUMIFS($I$1:I6362, $C$1:C6362, C6363, $B$1:B6362, {"MAL ALIMI","ÜRETİM GİRİŞ"})) - VLOOKUP(C6363, 'STOK RAPORU'!$C$2:$I$1000, 4, 0))), 0)</f>
        <v>0</v>
      </c>
      <c r="U6363" s="22">
        <f t="shared" si="396"/>
        <v>0</v>
      </c>
      <c r="V6363">
        <f t="shared" si="397"/>
        <v>0</v>
      </c>
      <c r="W6363" s="22">
        <f t="shared" si="398"/>
        <v>0</v>
      </c>
    </row>
    <row r="6364" spans="1:23" hidden="1" x14ac:dyDescent="0.25">
      <c r="A6364" s="3">
        <v>46129</v>
      </c>
      <c r="B6364" s="46" t="s">
        <v>334</v>
      </c>
      <c r="C6364" s="4" t="s">
        <v>597</v>
      </c>
      <c r="D6364" s="4"/>
      <c r="E6364" s="4" t="s">
        <v>921</v>
      </c>
      <c r="F6364" s="46" t="s">
        <v>3074</v>
      </c>
      <c r="G6364" s="4" t="s">
        <v>336</v>
      </c>
      <c r="H6364" s="4" t="s">
        <v>380</v>
      </c>
      <c r="I6364" s="4">
        <v>0.46666666666666667</v>
      </c>
      <c r="J6364" s="21">
        <v>375</v>
      </c>
      <c r="K6364" s="21">
        <v>175</v>
      </c>
      <c r="L6364" s="5">
        <v>0</v>
      </c>
      <c r="M6364" s="4"/>
      <c r="N6364" s="4"/>
      <c r="O6364" s="5"/>
      <c r="P6364" s="5"/>
      <c r="Q6364" s="21">
        <v>0</v>
      </c>
      <c r="R6364" s="21">
        <v>0</v>
      </c>
      <c r="S6364" s="5">
        <f t="shared" si="399"/>
        <v>32876.34174969836</v>
      </c>
      <c r="T6364" cm="1">
        <f t="array" ref="T6364">IF(OR(B6364="MAL ALIMI", B6364="ÜRETİM GİRİŞ"), MIN(I6364, MAX(0, I6364 + SUM(SUMIFS($I$1:I6363, $C$1:C6363, C6364, $B$1:B6363, {"MAL ALIMI","ÜRETİM GİRİŞ"})) - VLOOKUP(C6364, 'STOK RAPORU'!$C$2:$I$1000, 4, 0))), 0)</f>
        <v>0</v>
      </c>
      <c r="U6364" s="22">
        <f t="shared" si="396"/>
        <v>0</v>
      </c>
      <c r="V6364">
        <f t="shared" si="397"/>
        <v>0</v>
      </c>
      <c r="W6364" s="22">
        <f t="shared" si="398"/>
        <v>0</v>
      </c>
    </row>
    <row r="6365" spans="1:23" hidden="1" x14ac:dyDescent="0.25">
      <c r="A6365" s="3">
        <v>46129</v>
      </c>
      <c r="B6365" s="46" t="s">
        <v>334</v>
      </c>
      <c r="C6365" s="4" t="s">
        <v>160</v>
      </c>
      <c r="D6365" s="4"/>
      <c r="E6365" s="4" t="s">
        <v>921</v>
      </c>
      <c r="F6365" s="46" t="s">
        <v>3074</v>
      </c>
      <c r="G6365" s="4" t="s">
        <v>336</v>
      </c>
      <c r="H6365" s="4" t="s">
        <v>380</v>
      </c>
      <c r="I6365" s="4">
        <v>1</v>
      </c>
      <c r="J6365" s="21">
        <v>250</v>
      </c>
      <c r="K6365" s="21">
        <v>250</v>
      </c>
      <c r="L6365" s="5">
        <v>0</v>
      </c>
      <c r="M6365" s="4"/>
      <c r="N6365" s="4"/>
      <c r="O6365" s="5"/>
      <c r="P6365" s="5"/>
      <c r="Q6365" s="21">
        <v>0</v>
      </c>
      <c r="R6365" s="21">
        <v>0</v>
      </c>
      <c r="S6365" s="5">
        <f t="shared" si="399"/>
        <v>32876.34174969836</v>
      </c>
      <c r="T6365" cm="1">
        <f t="array" ref="T6365">IF(OR(B6365="MAL ALIMI", B6365="ÜRETİM GİRİŞ"), MIN(I6365, MAX(0, I6365 + SUM(SUMIFS($I$1:I6364, $C$1:C6364, C6365, $B$1:B6364, {"MAL ALIMI","ÜRETİM GİRİŞ"})) - VLOOKUP(C6365, 'STOK RAPORU'!$C$2:$I$1000, 4, 0))), 0)</f>
        <v>0</v>
      </c>
      <c r="U6365" s="22">
        <f t="shared" si="396"/>
        <v>0</v>
      </c>
      <c r="V6365">
        <f t="shared" si="397"/>
        <v>0</v>
      </c>
      <c r="W6365" s="22">
        <f t="shared" si="398"/>
        <v>0</v>
      </c>
    </row>
    <row r="6366" spans="1:23" hidden="1" x14ac:dyDescent="0.25">
      <c r="A6366" s="3">
        <v>46129</v>
      </c>
      <c r="B6366" s="46" t="s">
        <v>334</v>
      </c>
      <c r="C6366" s="4" t="s">
        <v>2281</v>
      </c>
      <c r="D6366" s="4"/>
      <c r="E6366" s="4" t="s">
        <v>921</v>
      </c>
      <c r="F6366" s="46" t="s">
        <v>3074</v>
      </c>
      <c r="G6366" s="4" t="s">
        <v>336</v>
      </c>
      <c r="H6366" s="4" t="s">
        <v>380</v>
      </c>
      <c r="I6366" s="4">
        <v>0.1</v>
      </c>
      <c r="J6366" s="21">
        <v>2800</v>
      </c>
      <c r="K6366" s="21">
        <v>280</v>
      </c>
      <c r="L6366" s="5">
        <v>0</v>
      </c>
      <c r="M6366" s="4"/>
      <c r="N6366" s="4"/>
      <c r="O6366" s="5"/>
      <c r="P6366" s="5"/>
      <c r="Q6366" s="21">
        <v>0</v>
      </c>
      <c r="R6366" s="21">
        <v>0</v>
      </c>
      <c r="S6366" s="5">
        <f t="shared" si="399"/>
        <v>32876.34174969836</v>
      </c>
      <c r="T6366" cm="1">
        <f t="array" ref="T6366">IF(OR(B6366="MAL ALIMI", B6366="ÜRETİM GİRİŞ"), MIN(I6366, MAX(0, I6366 + SUM(SUMIFS($I$1:I6365, $C$1:C6365, C6366, $B$1:B6365, {"MAL ALIMI","ÜRETİM GİRİŞ"})) - VLOOKUP(C6366, 'STOK RAPORU'!$C$2:$I$1000, 4, 0))), 0)</f>
        <v>0</v>
      </c>
      <c r="U6366" s="22">
        <f t="shared" si="396"/>
        <v>0</v>
      </c>
      <c r="V6366">
        <f t="shared" si="397"/>
        <v>0</v>
      </c>
      <c r="W6366" s="22">
        <f t="shared" si="398"/>
        <v>0</v>
      </c>
    </row>
    <row r="6367" spans="1:23" hidden="1" x14ac:dyDescent="0.25">
      <c r="A6367" s="3">
        <v>46129</v>
      </c>
      <c r="B6367" s="46" t="s">
        <v>334</v>
      </c>
      <c r="C6367" s="4" t="s">
        <v>226</v>
      </c>
      <c r="D6367" s="4"/>
      <c r="E6367" s="4" t="s">
        <v>921</v>
      </c>
      <c r="F6367" s="46" t="s">
        <v>3075</v>
      </c>
      <c r="G6367" s="4" t="s">
        <v>336</v>
      </c>
      <c r="H6367" s="4" t="s">
        <v>380</v>
      </c>
      <c r="I6367" s="4">
        <v>0.22727272727272727</v>
      </c>
      <c r="J6367" s="21">
        <v>220</v>
      </c>
      <c r="K6367" s="21">
        <v>50</v>
      </c>
      <c r="L6367" s="5">
        <v>0</v>
      </c>
      <c r="M6367" s="4"/>
      <c r="N6367" s="4"/>
      <c r="O6367" s="5"/>
      <c r="P6367" s="5"/>
      <c r="Q6367" s="21">
        <v>0</v>
      </c>
      <c r="R6367" s="21">
        <v>0</v>
      </c>
      <c r="S6367" s="5">
        <f t="shared" si="399"/>
        <v>32876.34174969836</v>
      </c>
      <c r="T6367" cm="1">
        <f t="array" ref="T6367">IF(OR(B6367="MAL ALIMI", B6367="ÜRETİM GİRİŞ"), MIN(I6367, MAX(0, I6367 + SUM(SUMIFS($I$1:I6366, $C$1:C6366, C6367, $B$1:B6366, {"MAL ALIMI","ÜRETİM GİRİŞ"})) - VLOOKUP(C6367, 'STOK RAPORU'!$C$2:$I$1000, 4, 0))), 0)</f>
        <v>0</v>
      </c>
      <c r="U6367" s="22">
        <f t="shared" si="396"/>
        <v>0</v>
      </c>
      <c r="V6367">
        <f t="shared" si="397"/>
        <v>0</v>
      </c>
      <c r="W6367" s="22">
        <f t="shared" si="398"/>
        <v>0</v>
      </c>
    </row>
    <row r="6368" spans="1:23" hidden="1" x14ac:dyDescent="0.25">
      <c r="A6368" s="3">
        <v>46129</v>
      </c>
      <c r="B6368" s="46" t="s">
        <v>334</v>
      </c>
      <c r="C6368" s="4" t="s">
        <v>2608</v>
      </c>
      <c r="D6368" s="4"/>
      <c r="E6368" s="4" t="s">
        <v>921</v>
      </c>
      <c r="F6368" s="46" t="s">
        <v>3075</v>
      </c>
      <c r="G6368" s="4" t="s">
        <v>336</v>
      </c>
      <c r="H6368" s="4" t="s">
        <v>380</v>
      </c>
      <c r="I6368" s="4">
        <v>0.1</v>
      </c>
      <c r="J6368" s="21">
        <v>500</v>
      </c>
      <c r="K6368" s="21">
        <v>50</v>
      </c>
      <c r="L6368" s="5">
        <v>0</v>
      </c>
      <c r="M6368" s="4"/>
      <c r="N6368" s="4"/>
      <c r="O6368" s="5"/>
      <c r="P6368" s="5"/>
      <c r="Q6368" s="21">
        <v>0</v>
      </c>
      <c r="R6368" s="21">
        <v>0</v>
      </c>
      <c r="S6368" s="5">
        <f t="shared" si="399"/>
        <v>32876.34174969836</v>
      </c>
      <c r="T6368" cm="1">
        <f t="array" ref="T6368">IF(OR(B6368="MAL ALIMI", B6368="ÜRETİM GİRİŞ"), MIN(I6368, MAX(0, I6368 + SUM(SUMIFS($I$1:I6367, $C$1:C6367, C6368, $B$1:B6367, {"MAL ALIMI","ÜRETİM GİRİŞ"})) - VLOOKUP(C6368, 'STOK RAPORU'!$C$2:$I$1000, 4, 0))), 0)</f>
        <v>0</v>
      </c>
      <c r="U6368" s="22">
        <f t="shared" si="396"/>
        <v>0</v>
      </c>
      <c r="V6368">
        <f t="shared" si="397"/>
        <v>0</v>
      </c>
      <c r="W6368" s="22">
        <f t="shared" si="398"/>
        <v>0</v>
      </c>
    </row>
    <row r="6369" spans="1:23" hidden="1" x14ac:dyDescent="0.25">
      <c r="A6369" s="3">
        <v>46129</v>
      </c>
      <c r="B6369" s="46" t="s">
        <v>334</v>
      </c>
      <c r="C6369" s="4" t="s">
        <v>597</v>
      </c>
      <c r="D6369" s="4"/>
      <c r="E6369" s="4" t="s">
        <v>921</v>
      </c>
      <c r="F6369" s="46" t="s">
        <v>3075</v>
      </c>
      <c r="G6369" s="4" t="s">
        <v>336</v>
      </c>
      <c r="H6369" s="4" t="s">
        <v>380</v>
      </c>
      <c r="I6369" s="4">
        <v>0.53333333333333333</v>
      </c>
      <c r="J6369" s="21">
        <v>375</v>
      </c>
      <c r="K6369" s="21">
        <v>200</v>
      </c>
      <c r="L6369" s="5">
        <v>0</v>
      </c>
      <c r="M6369" s="4"/>
      <c r="N6369" s="4"/>
      <c r="O6369" s="5"/>
      <c r="P6369" s="5"/>
      <c r="Q6369" s="21">
        <v>0</v>
      </c>
      <c r="R6369" s="21">
        <v>0</v>
      </c>
      <c r="S6369" s="5">
        <f t="shared" si="399"/>
        <v>32876.34174969836</v>
      </c>
      <c r="T6369" cm="1">
        <f t="array" ref="T6369">IF(OR(B6369="MAL ALIMI", B6369="ÜRETİM GİRİŞ"), MIN(I6369, MAX(0, I6369 + SUM(SUMIFS($I$1:I6368, $C$1:C6368, C6369, $B$1:B6368, {"MAL ALIMI","ÜRETİM GİRİŞ"})) - VLOOKUP(C6369, 'STOK RAPORU'!$C$2:$I$1000, 4, 0))), 0)</f>
        <v>0</v>
      </c>
      <c r="U6369" s="22">
        <f t="shared" si="396"/>
        <v>0</v>
      </c>
      <c r="V6369">
        <f t="shared" si="397"/>
        <v>0</v>
      </c>
      <c r="W6369" s="22">
        <f t="shared" si="398"/>
        <v>0</v>
      </c>
    </row>
    <row r="6370" spans="1:23" hidden="1" x14ac:dyDescent="0.25">
      <c r="A6370" s="3">
        <v>46129</v>
      </c>
      <c r="B6370" s="46" t="s">
        <v>334</v>
      </c>
      <c r="C6370" s="4" t="s">
        <v>711</v>
      </c>
      <c r="D6370" s="4"/>
      <c r="E6370" s="4"/>
      <c r="F6370" s="46" t="s">
        <v>3076</v>
      </c>
      <c r="G6370" s="4" t="s">
        <v>336</v>
      </c>
      <c r="H6370" s="4" t="s">
        <v>289</v>
      </c>
      <c r="I6370" s="4">
        <v>1</v>
      </c>
      <c r="J6370" s="21">
        <v>200</v>
      </c>
      <c r="K6370" s="21">
        <v>0</v>
      </c>
      <c r="L6370" s="5">
        <v>0</v>
      </c>
      <c r="M6370" s="4"/>
      <c r="N6370" s="4"/>
      <c r="O6370" s="5"/>
      <c r="P6370" s="5"/>
      <c r="Q6370" s="21">
        <v>200</v>
      </c>
      <c r="R6370" s="21">
        <v>0</v>
      </c>
      <c r="S6370" s="5">
        <f t="shared" si="399"/>
        <v>33076.34174969836</v>
      </c>
      <c r="T6370" cm="1">
        <f t="array" ref="T6370">IF(OR(B6370="MAL ALIMI", B6370="ÜRETİM GİRİŞ"), MIN(I6370, MAX(0, I6370 + SUM(SUMIFS($I$1:I6369, $C$1:C6369, C6370, $B$1:B6369, {"MAL ALIMI","ÜRETİM GİRİŞ"})) - VLOOKUP(C6370, 'STOK RAPORU'!$C$2:$I$1000, 4, 0))), 0)</f>
        <v>0</v>
      </c>
      <c r="U6370" s="22">
        <f t="shared" si="396"/>
        <v>0</v>
      </c>
      <c r="V6370">
        <f t="shared" si="397"/>
        <v>0</v>
      </c>
      <c r="W6370" s="22">
        <f t="shared" si="398"/>
        <v>0</v>
      </c>
    </row>
    <row r="6371" spans="1:23" hidden="1" x14ac:dyDescent="0.25">
      <c r="A6371" s="3">
        <v>46129</v>
      </c>
      <c r="B6371" s="46" t="s">
        <v>334</v>
      </c>
      <c r="C6371" s="4" t="s">
        <v>160</v>
      </c>
      <c r="D6371" s="4"/>
      <c r="E6371" s="4"/>
      <c r="F6371" s="46" t="s">
        <v>3077</v>
      </c>
      <c r="G6371" s="4" t="s">
        <v>336</v>
      </c>
      <c r="H6371" s="4" t="s">
        <v>289</v>
      </c>
      <c r="I6371" s="4">
        <v>1</v>
      </c>
      <c r="J6371" s="21">
        <v>250</v>
      </c>
      <c r="K6371" s="21">
        <v>0</v>
      </c>
      <c r="L6371" s="5">
        <v>0</v>
      </c>
      <c r="M6371" s="4"/>
      <c r="N6371" s="4"/>
      <c r="O6371" s="5"/>
      <c r="P6371" s="5"/>
      <c r="Q6371" s="21">
        <v>250</v>
      </c>
      <c r="R6371" s="21">
        <v>0</v>
      </c>
      <c r="S6371" s="5">
        <f t="shared" si="399"/>
        <v>33326.34174969836</v>
      </c>
      <c r="T6371" cm="1">
        <f t="array" ref="T6371">IF(OR(B6371="MAL ALIMI", B6371="ÜRETİM GİRİŞ"), MIN(I6371, MAX(0, I6371 + SUM(SUMIFS($I$1:I6370, $C$1:C6370, C6371, $B$1:B6370, {"MAL ALIMI","ÜRETİM GİRİŞ"})) - VLOOKUP(C6371, 'STOK RAPORU'!$C$2:$I$1000, 4, 0))), 0)</f>
        <v>0</v>
      </c>
      <c r="U6371" s="22">
        <f t="shared" si="396"/>
        <v>0</v>
      </c>
      <c r="V6371">
        <f t="shared" si="397"/>
        <v>0</v>
      </c>
      <c r="W6371" s="22">
        <f t="shared" si="398"/>
        <v>0</v>
      </c>
    </row>
    <row r="6372" spans="1:23" hidden="1" x14ac:dyDescent="0.25">
      <c r="A6372" s="3">
        <v>46129</v>
      </c>
      <c r="B6372" s="46" t="s">
        <v>334</v>
      </c>
      <c r="C6372" s="4" t="s">
        <v>96</v>
      </c>
      <c r="D6372" s="4"/>
      <c r="E6372" s="4"/>
      <c r="F6372" s="46" t="s">
        <v>3078</v>
      </c>
      <c r="G6372" s="4" t="s">
        <v>336</v>
      </c>
      <c r="H6372" s="4" t="s">
        <v>289</v>
      </c>
      <c r="I6372" s="4">
        <v>0.125</v>
      </c>
      <c r="J6372" s="21">
        <v>400</v>
      </c>
      <c r="K6372" s="21">
        <v>0</v>
      </c>
      <c r="L6372" s="5">
        <v>0</v>
      </c>
      <c r="M6372" s="4"/>
      <c r="N6372" s="4"/>
      <c r="O6372" s="5"/>
      <c r="P6372" s="5"/>
      <c r="Q6372" s="21">
        <v>50</v>
      </c>
      <c r="R6372" s="21">
        <v>0</v>
      </c>
      <c r="S6372" s="5">
        <f t="shared" si="399"/>
        <v>33376.34174969836</v>
      </c>
      <c r="T6372" cm="1">
        <f t="array" ref="T6372">IF(OR(B6372="MAL ALIMI", B6372="ÜRETİM GİRİŞ"), MIN(I6372, MAX(0, I6372 + SUM(SUMIFS($I$1:I6371, $C$1:C6371, C6372, $B$1:B6371, {"MAL ALIMI","ÜRETİM GİRİŞ"})) - VLOOKUP(C6372, 'STOK RAPORU'!$C$2:$I$1000, 4, 0))), 0)</f>
        <v>0</v>
      </c>
      <c r="U6372" s="22">
        <f t="shared" si="396"/>
        <v>0</v>
      </c>
      <c r="V6372">
        <f t="shared" si="397"/>
        <v>0</v>
      </c>
      <c r="W6372" s="22">
        <f t="shared" si="398"/>
        <v>0</v>
      </c>
    </row>
    <row r="6373" spans="1:23" hidden="1" x14ac:dyDescent="0.25">
      <c r="A6373" s="3">
        <v>46129</v>
      </c>
      <c r="B6373" s="46" t="s">
        <v>334</v>
      </c>
      <c r="C6373" s="4" t="s">
        <v>91</v>
      </c>
      <c r="D6373" s="4"/>
      <c r="E6373" s="4"/>
      <c r="F6373" s="46" t="s">
        <v>3079</v>
      </c>
      <c r="G6373" s="4" t="s">
        <v>336</v>
      </c>
      <c r="H6373" s="4" t="s">
        <v>289</v>
      </c>
      <c r="I6373" s="4">
        <v>4.1176470588235294E-2</v>
      </c>
      <c r="J6373" s="21">
        <v>850</v>
      </c>
      <c r="K6373" s="21">
        <v>0</v>
      </c>
      <c r="L6373" s="5">
        <v>0</v>
      </c>
      <c r="M6373" s="4"/>
      <c r="N6373" s="4"/>
      <c r="O6373" s="5"/>
      <c r="P6373" s="5"/>
      <c r="Q6373" s="21">
        <v>35</v>
      </c>
      <c r="R6373" s="21">
        <v>0</v>
      </c>
      <c r="S6373" s="5">
        <f t="shared" si="399"/>
        <v>33411.34174969836</v>
      </c>
      <c r="T6373" cm="1">
        <f t="array" ref="T6373">IF(OR(B6373="MAL ALIMI", B6373="ÜRETİM GİRİŞ"), MIN(I6373, MAX(0, I6373 + SUM(SUMIFS($I$1:I6372, $C$1:C6372, C6373, $B$1:B6372, {"MAL ALIMI","ÜRETİM GİRİŞ"})) - VLOOKUP(C6373, 'STOK RAPORU'!$C$2:$I$1000, 4, 0))), 0)</f>
        <v>0</v>
      </c>
      <c r="U6373" s="22">
        <f t="shared" si="396"/>
        <v>0</v>
      </c>
      <c r="V6373">
        <f t="shared" si="397"/>
        <v>0</v>
      </c>
      <c r="W6373" s="22">
        <f t="shared" si="398"/>
        <v>0</v>
      </c>
    </row>
    <row r="6374" spans="1:23" hidden="1" x14ac:dyDescent="0.25">
      <c r="A6374" s="3">
        <v>46129</v>
      </c>
      <c r="B6374" s="46" t="s">
        <v>334</v>
      </c>
      <c r="C6374" s="4" t="s">
        <v>163</v>
      </c>
      <c r="D6374" s="4"/>
      <c r="E6374" s="4"/>
      <c r="F6374" s="46" t="s">
        <v>3080</v>
      </c>
      <c r="G6374" s="4" t="s">
        <v>336</v>
      </c>
      <c r="H6374" s="4" t="s">
        <v>289</v>
      </c>
      <c r="I6374" s="4">
        <v>0.1111111111111111</v>
      </c>
      <c r="J6374" s="21">
        <v>450</v>
      </c>
      <c r="K6374" s="21">
        <v>0</v>
      </c>
      <c r="L6374" s="5">
        <v>0</v>
      </c>
      <c r="M6374" s="4"/>
      <c r="N6374" s="4"/>
      <c r="O6374" s="5"/>
      <c r="P6374" s="5"/>
      <c r="Q6374" s="21">
        <v>50</v>
      </c>
      <c r="R6374" s="21">
        <v>0</v>
      </c>
      <c r="S6374" s="5">
        <f t="shared" si="399"/>
        <v>33461.34174969836</v>
      </c>
      <c r="T6374" cm="1">
        <f t="array" ref="T6374">IF(OR(B6374="MAL ALIMI", B6374="ÜRETİM GİRİŞ"), MIN(I6374, MAX(0, I6374 + SUM(SUMIFS($I$1:I6373, $C$1:C6373, C6374, $B$1:B6373, {"MAL ALIMI","ÜRETİM GİRİŞ"})) - VLOOKUP(C6374, 'STOK RAPORU'!$C$2:$I$1000, 4, 0))), 0)</f>
        <v>0</v>
      </c>
      <c r="U6374" s="22">
        <f t="shared" si="396"/>
        <v>0</v>
      </c>
      <c r="V6374">
        <f t="shared" si="397"/>
        <v>0</v>
      </c>
      <c r="W6374" s="22">
        <f t="shared" si="398"/>
        <v>0</v>
      </c>
    </row>
    <row r="6375" spans="1:23" hidden="1" x14ac:dyDescent="0.25">
      <c r="A6375" s="3">
        <v>46129</v>
      </c>
      <c r="B6375" s="46" t="s">
        <v>334</v>
      </c>
      <c r="C6375" s="4" t="s">
        <v>160</v>
      </c>
      <c r="D6375" s="4"/>
      <c r="E6375" s="4" t="s">
        <v>921</v>
      </c>
      <c r="F6375" s="46" t="s">
        <v>3081</v>
      </c>
      <c r="G6375" s="4" t="s">
        <v>336</v>
      </c>
      <c r="H6375" s="4" t="s">
        <v>380</v>
      </c>
      <c r="I6375" s="4">
        <v>1</v>
      </c>
      <c r="J6375" s="21">
        <v>250</v>
      </c>
      <c r="K6375" s="21">
        <v>250</v>
      </c>
      <c r="L6375" s="5">
        <v>0</v>
      </c>
      <c r="M6375" s="4"/>
      <c r="N6375" s="4"/>
      <c r="O6375" s="5"/>
      <c r="P6375" s="5"/>
      <c r="Q6375" s="21">
        <v>0</v>
      </c>
      <c r="R6375" s="21">
        <v>0</v>
      </c>
      <c r="S6375" s="5">
        <f t="shared" si="399"/>
        <v>33461.34174969836</v>
      </c>
      <c r="T6375" cm="1">
        <f t="array" ref="T6375">IF(OR(B6375="MAL ALIMI", B6375="ÜRETİM GİRİŞ"), MIN(I6375, MAX(0, I6375 + SUM(SUMIFS($I$1:I6374, $C$1:C6374, C6375, $B$1:B6374, {"MAL ALIMI","ÜRETİM GİRİŞ"})) - VLOOKUP(C6375, 'STOK RAPORU'!$C$2:$I$1000, 4, 0))), 0)</f>
        <v>0</v>
      </c>
      <c r="U6375" s="22">
        <f t="shared" si="396"/>
        <v>0</v>
      </c>
      <c r="V6375">
        <f t="shared" si="397"/>
        <v>0</v>
      </c>
      <c r="W6375" s="22">
        <f t="shared" si="398"/>
        <v>0</v>
      </c>
    </row>
    <row r="6376" spans="1:23" hidden="1" x14ac:dyDescent="0.25">
      <c r="A6376" s="3">
        <v>46129</v>
      </c>
      <c r="B6376" s="46" t="s">
        <v>334</v>
      </c>
      <c r="C6376" s="4" t="s">
        <v>215</v>
      </c>
      <c r="D6376" s="4"/>
      <c r="E6376" s="4" t="s">
        <v>921</v>
      </c>
      <c r="F6376" s="46" t="s">
        <v>3082</v>
      </c>
      <c r="G6376" s="4" t="s">
        <v>336</v>
      </c>
      <c r="H6376" s="4" t="s">
        <v>380</v>
      </c>
      <c r="I6376" s="4">
        <v>1</v>
      </c>
      <c r="J6376" s="21">
        <v>250</v>
      </c>
      <c r="K6376" s="21">
        <v>250</v>
      </c>
      <c r="L6376" s="5">
        <v>0</v>
      </c>
      <c r="M6376" s="4"/>
      <c r="N6376" s="4"/>
      <c r="O6376" s="5"/>
      <c r="P6376" s="5"/>
      <c r="Q6376" s="21">
        <v>0</v>
      </c>
      <c r="R6376" s="21">
        <v>0</v>
      </c>
      <c r="S6376" s="5">
        <f t="shared" si="399"/>
        <v>33461.34174969836</v>
      </c>
      <c r="T6376" cm="1">
        <f t="array" ref="T6376">IF(OR(B6376="MAL ALIMI", B6376="ÜRETİM GİRİŞ"), MIN(I6376, MAX(0, I6376 + SUM(SUMIFS($I$1:I6375, $C$1:C6375, C6376, $B$1:B6375, {"MAL ALIMI","ÜRETİM GİRİŞ"})) - VLOOKUP(C6376, 'STOK RAPORU'!$C$2:$I$1000, 4, 0))), 0)</f>
        <v>0</v>
      </c>
      <c r="U6376" s="22">
        <f t="shared" si="396"/>
        <v>0</v>
      </c>
      <c r="V6376">
        <f t="shared" si="397"/>
        <v>0</v>
      </c>
      <c r="W6376" s="22">
        <f t="shared" si="398"/>
        <v>0</v>
      </c>
    </row>
    <row r="6377" spans="1:23" hidden="1" x14ac:dyDescent="0.25">
      <c r="A6377" s="41">
        <v>46129</v>
      </c>
      <c r="B6377" s="42" t="s">
        <v>334</v>
      </c>
      <c r="C6377" s="42" t="s">
        <v>2580</v>
      </c>
      <c r="D6377" s="42"/>
      <c r="E6377" s="42" t="s">
        <v>2343</v>
      </c>
      <c r="F6377" s="42" t="s">
        <v>3083</v>
      </c>
      <c r="G6377" s="42" t="s">
        <v>2613</v>
      </c>
      <c r="H6377" s="42" t="s">
        <v>304</v>
      </c>
      <c r="I6377" s="42">
        <v>0.25</v>
      </c>
      <c r="J6377" s="43">
        <v>1800</v>
      </c>
      <c r="K6377" s="43">
        <v>450</v>
      </c>
      <c r="L6377" s="44">
        <v>0</v>
      </c>
      <c r="M6377" s="42"/>
      <c r="N6377" s="42"/>
      <c r="O6377" s="44"/>
      <c r="P6377" s="44"/>
      <c r="Q6377" s="43">
        <v>0</v>
      </c>
      <c r="R6377" s="43">
        <v>0</v>
      </c>
      <c r="S6377" s="5">
        <f t="shared" si="399"/>
        <v>33461.34174969836</v>
      </c>
      <c r="T6377" cm="1">
        <f t="array" ref="T6377">IF(OR(B6377="MAL ALIMI", B6377="ÜRETİM GİRİŞ"), MIN(I6377, MAX(0, I6377 + SUM(SUMIFS($I$1:I6376, $C$1:C6376, C6377, $B$1:B6376, {"MAL ALIMI","ÜRETİM GİRİŞ"})) - VLOOKUP(C6377, 'STOK RAPORU'!$C$2:$I$1000, 4, 0))), 0)</f>
        <v>0</v>
      </c>
      <c r="U6377" s="22">
        <f t="shared" si="396"/>
        <v>0</v>
      </c>
      <c r="V6377">
        <f t="shared" si="397"/>
        <v>0</v>
      </c>
      <c r="W6377" s="22">
        <f t="shared" si="398"/>
        <v>0</v>
      </c>
    </row>
    <row r="6378" spans="1:23" hidden="1" x14ac:dyDescent="0.25">
      <c r="A6378" s="3">
        <v>46129</v>
      </c>
      <c r="B6378" s="46" t="s">
        <v>2344</v>
      </c>
      <c r="C6378" s="4"/>
      <c r="D6378" s="4"/>
      <c r="E6378" s="4" t="s">
        <v>2348</v>
      </c>
      <c r="F6378" s="4"/>
      <c r="G6378" s="4" t="s">
        <v>3110</v>
      </c>
      <c r="H6378" s="4" t="s">
        <v>289</v>
      </c>
      <c r="I6378" s="4">
        <v>1</v>
      </c>
      <c r="J6378" s="21">
        <v>4800</v>
      </c>
      <c r="K6378" s="21">
        <v>0</v>
      </c>
      <c r="L6378" s="5">
        <v>4800</v>
      </c>
      <c r="M6378" s="4"/>
      <c r="N6378" s="4"/>
      <c r="O6378" s="5"/>
      <c r="P6378" s="5"/>
      <c r="Q6378" s="21">
        <v>4800</v>
      </c>
      <c r="R6378" s="21">
        <v>0</v>
      </c>
      <c r="S6378" s="5">
        <f t="shared" si="399"/>
        <v>38261.34174969836</v>
      </c>
      <c r="T6378" cm="1">
        <f t="array" ref="T6378">IF(OR(B6378="MAL ALIMI", B6378="ÜRETİM GİRİŞ"), MIN(I6378, MAX(0, I6378 + SUM(SUMIFS($I$1:I6377, $C$1:C6377, C6378, $B$1:B6377, {"MAL ALIMI","ÜRETİM GİRİŞ"})) - VLOOKUP(C6378, 'STOK RAPORU'!$C$2:$I$1000, 4, 0))), 0)</f>
        <v>0</v>
      </c>
      <c r="U6378" s="22">
        <f t="shared" si="396"/>
        <v>0</v>
      </c>
      <c r="V6378">
        <f t="shared" si="397"/>
        <v>0</v>
      </c>
      <c r="W6378" s="22">
        <f t="shared" si="398"/>
        <v>0</v>
      </c>
    </row>
    <row r="6379" spans="1:23" hidden="1" x14ac:dyDescent="0.25">
      <c r="A6379" s="3">
        <v>46129</v>
      </c>
      <c r="B6379" s="4" t="s">
        <v>946</v>
      </c>
      <c r="C6379" s="4"/>
      <c r="D6379" s="4"/>
      <c r="E6379" s="4" t="s">
        <v>921</v>
      </c>
      <c r="F6379" s="4"/>
      <c r="G6379" s="4" t="s">
        <v>946</v>
      </c>
      <c r="H6379" s="4" t="s">
        <v>380</v>
      </c>
      <c r="I6379" s="4">
        <v>1</v>
      </c>
      <c r="J6379" s="105">
        <v>810</v>
      </c>
      <c r="K6379" s="21">
        <v>0</v>
      </c>
      <c r="L6379" s="32">
        <v>810</v>
      </c>
      <c r="M6379" s="4"/>
      <c r="N6379" s="4"/>
      <c r="O6379" s="5"/>
      <c r="P6379" s="5"/>
      <c r="Q6379" s="21">
        <v>810</v>
      </c>
      <c r="R6379" s="21">
        <v>0</v>
      </c>
      <c r="S6379" s="5">
        <f t="shared" si="399"/>
        <v>39071.34174969836</v>
      </c>
      <c r="T6379" cm="1">
        <f t="array" ref="T6379">IF(OR(B6379="MAL ALIMI", B6379="ÜRETİM GİRİŞ"), MIN(I6379, MAX(0, I6379 + SUM(SUMIFS($I$1:I6378, $C$1:C6378, C6379, $B$1:B6378, {"MAL ALIMI","ÜRETİM GİRİŞ"})) - VLOOKUP(C6379, 'STOK RAPORU'!$C$2:$I$1000, 4, 0))), 0)</f>
        <v>0</v>
      </c>
      <c r="U6379" s="22">
        <f t="shared" si="396"/>
        <v>0</v>
      </c>
      <c r="V6379">
        <f t="shared" si="397"/>
        <v>0</v>
      </c>
      <c r="W6379" s="22">
        <f t="shared" si="398"/>
        <v>0</v>
      </c>
    </row>
    <row r="6380" spans="1:23" hidden="1" x14ac:dyDescent="0.25">
      <c r="A6380" s="3">
        <v>46130</v>
      </c>
      <c r="B6380" s="46" t="s">
        <v>334</v>
      </c>
      <c r="C6380" s="4" t="s">
        <v>840</v>
      </c>
      <c r="D6380" s="4"/>
      <c r="E6380" s="4"/>
      <c r="F6380" s="46" t="s">
        <v>3088</v>
      </c>
      <c r="G6380" s="4" t="s">
        <v>336</v>
      </c>
      <c r="H6380" s="4" t="s">
        <v>289</v>
      </c>
      <c r="I6380" s="4">
        <v>0.25</v>
      </c>
      <c r="J6380" s="21">
        <v>360</v>
      </c>
      <c r="K6380" s="21">
        <v>0</v>
      </c>
      <c r="L6380" s="5">
        <v>0</v>
      </c>
      <c r="M6380" s="4"/>
      <c r="N6380" s="4"/>
      <c r="O6380" s="5"/>
      <c r="P6380" s="5"/>
      <c r="Q6380" s="21">
        <v>90</v>
      </c>
      <c r="R6380" s="21">
        <v>0</v>
      </c>
      <c r="S6380" s="5">
        <f t="shared" si="399"/>
        <v>39161.34174969836</v>
      </c>
      <c r="T6380" cm="1">
        <f t="array" ref="T6380">IF(OR(B6380="MAL ALIMI", B6380="ÜRETİM GİRİŞ"), MIN(I6380, MAX(0, I6380 + SUM(SUMIFS($I$1:I6379, $C$1:C6379, C6380, $B$1:B6379, {"MAL ALIMI","ÜRETİM GİRİŞ"})) - VLOOKUP(C6380, 'STOK RAPORU'!$C$2:$I$1000, 4, 0))), 0)</f>
        <v>0</v>
      </c>
      <c r="U6380" s="22">
        <f t="shared" si="396"/>
        <v>0</v>
      </c>
      <c r="V6380">
        <f t="shared" si="397"/>
        <v>0</v>
      </c>
      <c r="W6380" s="22">
        <f t="shared" si="398"/>
        <v>0</v>
      </c>
    </row>
    <row r="6381" spans="1:23" hidden="1" x14ac:dyDescent="0.25">
      <c r="A6381" s="3">
        <v>46130</v>
      </c>
      <c r="B6381" s="46" t="s">
        <v>334</v>
      </c>
      <c r="C6381" s="4" t="s">
        <v>160</v>
      </c>
      <c r="D6381" s="4"/>
      <c r="E6381" s="4" t="s">
        <v>921</v>
      </c>
      <c r="F6381" s="46" t="s">
        <v>3089</v>
      </c>
      <c r="G6381" s="4" t="s">
        <v>336</v>
      </c>
      <c r="H6381" s="4" t="s">
        <v>380</v>
      </c>
      <c r="I6381" s="4">
        <v>1</v>
      </c>
      <c r="J6381" s="21">
        <v>250</v>
      </c>
      <c r="K6381" s="21">
        <v>250</v>
      </c>
      <c r="L6381" s="5">
        <v>0</v>
      </c>
      <c r="M6381" s="4"/>
      <c r="N6381" s="4"/>
      <c r="O6381" s="5"/>
      <c r="P6381" s="5"/>
      <c r="Q6381" s="21">
        <v>0</v>
      </c>
      <c r="R6381" s="21">
        <v>0</v>
      </c>
      <c r="S6381" s="5">
        <f t="shared" si="399"/>
        <v>39161.34174969836</v>
      </c>
      <c r="T6381" cm="1">
        <f t="array" ref="T6381">IF(OR(B6381="MAL ALIMI", B6381="ÜRETİM GİRİŞ"), MIN(I6381, MAX(0, I6381 + SUM(SUMIFS($I$1:I6380, $C$1:C6380, C6381, $B$1:B6380, {"MAL ALIMI","ÜRETİM GİRİŞ"})) - VLOOKUP(C6381, 'STOK RAPORU'!$C$2:$I$1000, 4, 0))), 0)</f>
        <v>0</v>
      </c>
      <c r="U6381" s="22">
        <f t="shared" si="396"/>
        <v>0</v>
      </c>
      <c r="V6381">
        <f t="shared" si="397"/>
        <v>0</v>
      </c>
      <c r="W6381" s="22">
        <f t="shared" si="398"/>
        <v>0</v>
      </c>
    </row>
    <row r="6382" spans="1:23" hidden="1" x14ac:dyDescent="0.25">
      <c r="A6382" s="3">
        <v>46130</v>
      </c>
      <c r="B6382" s="46" t="s">
        <v>334</v>
      </c>
      <c r="C6382" s="4" t="s">
        <v>523</v>
      </c>
      <c r="D6382" s="4"/>
      <c r="E6382" s="4"/>
      <c r="F6382" s="46" t="s">
        <v>3090</v>
      </c>
      <c r="G6382" s="4" t="s">
        <v>336</v>
      </c>
      <c r="H6382" s="4" t="s">
        <v>289</v>
      </c>
      <c r="I6382" s="4">
        <v>0.08</v>
      </c>
      <c r="J6382" s="21">
        <v>625</v>
      </c>
      <c r="K6382" s="21">
        <v>0</v>
      </c>
      <c r="L6382" s="5">
        <v>0</v>
      </c>
      <c r="M6382" s="4"/>
      <c r="N6382" s="4"/>
      <c r="O6382" s="5"/>
      <c r="P6382" s="5"/>
      <c r="Q6382" s="21">
        <v>50</v>
      </c>
      <c r="R6382" s="21">
        <v>0</v>
      </c>
      <c r="S6382" s="5">
        <f t="shared" si="399"/>
        <v>39211.34174969836</v>
      </c>
      <c r="T6382" cm="1">
        <f t="array" ref="T6382">IF(OR(B6382="MAL ALIMI", B6382="ÜRETİM GİRİŞ"), MIN(I6382, MAX(0, I6382 + SUM(SUMIFS($I$1:I6381, $C$1:C6381, C6382, $B$1:B6381, {"MAL ALIMI","ÜRETİM GİRİŞ"})) - VLOOKUP(C6382, 'STOK RAPORU'!$C$2:$I$1000, 4, 0))), 0)</f>
        <v>0</v>
      </c>
      <c r="U6382" s="22">
        <f t="shared" si="396"/>
        <v>0</v>
      </c>
      <c r="V6382">
        <f t="shared" si="397"/>
        <v>0</v>
      </c>
      <c r="W6382" s="22">
        <f t="shared" si="398"/>
        <v>0</v>
      </c>
    </row>
    <row r="6383" spans="1:23" hidden="1" x14ac:dyDescent="0.25">
      <c r="A6383" s="3">
        <v>46130</v>
      </c>
      <c r="B6383" s="46" t="s">
        <v>334</v>
      </c>
      <c r="C6383" s="4" t="s">
        <v>1501</v>
      </c>
      <c r="D6383" s="4"/>
      <c r="E6383" s="4"/>
      <c r="F6383" s="46" t="s">
        <v>3090</v>
      </c>
      <c r="G6383" s="4" t="s">
        <v>336</v>
      </c>
      <c r="H6383" s="4" t="s">
        <v>289</v>
      </c>
      <c r="I6383" s="4">
        <v>0.25</v>
      </c>
      <c r="J6383" s="21">
        <v>700</v>
      </c>
      <c r="K6383" s="21">
        <v>0</v>
      </c>
      <c r="L6383" s="5">
        <v>0</v>
      </c>
      <c r="M6383" s="4"/>
      <c r="N6383" s="4"/>
      <c r="O6383" s="5"/>
      <c r="P6383" s="5"/>
      <c r="Q6383" s="21">
        <v>175</v>
      </c>
      <c r="R6383" s="21">
        <v>0</v>
      </c>
      <c r="S6383" s="5">
        <f t="shared" si="399"/>
        <v>39386.34174969836</v>
      </c>
      <c r="T6383" cm="1">
        <f t="array" ref="T6383">IF(OR(B6383="MAL ALIMI", B6383="ÜRETİM GİRİŞ"), MIN(I6383, MAX(0, I6383 + SUM(SUMIFS($I$1:I6382, $C$1:C6382, C6383, $B$1:B6382, {"MAL ALIMI","ÜRETİM GİRİŞ"})) - VLOOKUP(C6383, 'STOK RAPORU'!$C$2:$I$1000, 4, 0))), 0)</f>
        <v>0</v>
      </c>
      <c r="U6383" s="22">
        <f t="shared" si="396"/>
        <v>0</v>
      </c>
      <c r="V6383">
        <f t="shared" si="397"/>
        <v>0</v>
      </c>
      <c r="W6383" s="22">
        <f t="shared" si="398"/>
        <v>0</v>
      </c>
    </row>
    <row r="6384" spans="1:23" hidden="1" x14ac:dyDescent="0.25">
      <c r="A6384" s="3">
        <v>46130</v>
      </c>
      <c r="B6384" s="46" t="s">
        <v>334</v>
      </c>
      <c r="C6384" s="4" t="s">
        <v>695</v>
      </c>
      <c r="D6384" s="4"/>
      <c r="E6384" s="4" t="s">
        <v>921</v>
      </c>
      <c r="F6384" s="46" t="s">
        <v>3091</v>
      </c>
      <c r="G6384" s="4" t="s">
        <v>336</v>
      </c>
      <c r="H6384" s="4" t="s">
        <v>380</v>
      </c>
      <c r="I6384" s="4">
        <v>1</v>
      </c>
      <c r="J6384" s="21">
        <v>120</v>
      </c>
      <c r="K6384" s="21">
        <v>120</v>
      </c>
      <c r="L6384" s="5">
        <v>0</v>
      </c>
      <c r="M6384" s="4"/>
      <c r="N6384" s="4"/>
      <c r="O6384" s="5"/>
      <c r="P6384" s="5"/>
      <c r="Q6384" s="21">
        <v>0</v>
      </c>
      <c r="R6384" s="21">
        <v>0</v>
      </c>
      <c r="S6384" s="5">
        <f t="shared" si="399"/>
        <v>39386.34174969836</v>
      </c>
      <c r="T6384" cm="1">
        <f t="array" ref="T6384">IF(OR(B6384="MAL ALIMI", B6384="ÜRETİM GİRİŞ"), MIN(I6384, MAX(0, I6384 + SUM(SUMIFS($I$1:I6383, $C$1:C6383, C6384, $B$1:B6383, {"MAL ALIMI","ÜRETİM GİRİŞ"})) - VLOOKUP(C6384, 'STOK RAPORU'!$C$2:$I$1000, 4, 0))), 0)</f>
        <v>0</v>
      </c>
      <c r="U6384" s="22">
        <f t="shared" si="396"/>
        <v>0</v>
      </c>
      <c r="V6384">
        <f t="shared" si="397"/>
        <v>0</v>
      </c>
      <c r="W6384" s="22">
        <f t="shared" si="398"/>
        <v>0</v>
      </c>
    </row>
    <row r="6385" spans="1:23" hidden="1" x14ac:dyDescent="0.25">
      <c r="A6385" s="3">
        <v>46130</v>
      </c>
      <c r="B6385" s="46" t="s">
        <v>334</v>
      </c>
      <c r="C6385" s="4" t="s">
        <v>3084</v>
      </c>
      <c r="D6385" s="4"/>
      <c r="E6385" s="4"/>
      <c r="F6385" s="46" t="s">
        <v>3092</v>
      </c>
      <c r="G6385" s="4" t="s">
        <v>336</v>
      </c>
      <c r="H6385" s="4" t="s">
        <v>289</v>
      </c>
      <c r="I6385" s="4">
        <v>0.5</v>
      </c>
      <c r="J6385" s="21">
        <v>260</v>
      </c>
      <c r="K6385" s="21">
        <v>0</v>
      </c>
      <c r="L6385" s="5">
        <v>0</v>
      </c>
      <c r="M6385" s="4"/>
      <c r="N6385" s="4"/>
      <c r="O6385" s="5"/>
      <c r="P6385" s="5"/>
      <c r="Q6385" s="21">
        <v>130</v>
      </c>
      <c r="R6385" s="21">
        <v>0</v>
      </c>
      <c r="S6385" s="5">
        <f t="shared" si="399"/>
        <v>39516.34174969836</v>
      </c>
      <c r="T6385" cm="1">
        <f t="array" ref="T6385">IF(OR(B6385="MAL ALIMI", B6385="ÜRETİM GİRİŞ"), MIN(I6385, MAX(0, I6385 + SUM(SUMIFS($I$1:I6384, $C$1:C6384, C6385, $B$1:B6384, {"MAL ALIMI","ÜRETİM GİRİŞ"})) - VLOOKUP(C6385, 'STOK RAPORU'!$C$2:$I$1000, 4, 0))), 0)</f>
        <v>0</v>
      </c>
      <c r="U6385" s="22">
        <f t="shared" si="396"/>
        <v>0</v>
      </c>
      <c r="V6385">
        <f t="shared" si="397"/>
        <v>0</v>
      </c>
      <c r="W6385" s="22">
        <f t="shared" si="398"/>
        <v>0</v>
      </c>
    </row>
    <row r="6386" spans="1:23" hidden="1" x14ac:dyDescent="0.25">
      <c r="A6386" s="3">
        <v>46130</v>
      </c>
      <c r="B6386" s="46" t="s">
        <v>334</v>
      </c>
      <c r="C6386" s="4" t="s">
        <v>459</v>
      </c>
      <c r="D6386" s="4"/>
      <c r="E6386" s="4"/>
      <c r="F6386" s="46" t="s">
        <v>3092</v>
      </c>
      <c r="G6386" s="4" t="s">
        <v>336</v>
      </c>
      <c r="H6386" s="4" t="s">
        <v>289</v>
      </c>
      <c r="I6386" s="4">
        <v>0.5</v>
      </c>
      <c r="J6386" s="21">
        <v>140</v>
      </c>
      <c r="K6386" s="21">
        <v>0</v>
      </c>
      <c r="L6386" s="5">
        <v>0</v>
      </c>
      <c r="M6386" s="4"/>
      <c r="N6386" s="4"/>
      <c r="O6386" s="5"/>
      <c r="P6386" s="5"/>
      <c r="Q6386" s="21">
        <v>70</v>
      </c>
      <c r="R6386" s="21">
        <v>0</v>
      </c>
      <c r="S6386" s="5">
        <f t="shared" si="399"/>
        <v>39586.34174969836</v>
      </c>
      <c r="T6386" cm="1">
        <f t="array" ref="T6386">IF(OR(B6386="MAL ALIMI", B6386="ÜRETİM GİRİŞ"), MIN(I6386, MAX(0, I6386 + SUM(SUMIFS($I$1:I6385, $C$1:C6385, C6386, $B$1:B6385, {"MAL ALIMI","ÜRETİM GİRİŞ"})) - VLOOKUP(C6386, 'STOK RAPORU'!$C$2:$I$1000, 4, 0))), 0)</f>
        <v>0</v>
      </c>
      <c r="U6386" s="22">
        <f t="shared" ref="U6386:U6449" si="400">T6386*J6386</f>
        <v>0</v>
      </c>
      <c r="V6386">
        <f t="shared" ref="V6386:V6449" si="401">IF(OR(B6386="MAL ALIMI", B6386="ÜRETİM GİRİŞ"), I6386 * J6386, 0)</f>
        <v>0</v>
      </c>
      <c r="W6386" s="22">
        <f t="shared" ref="W6386:W6449" si="402">V6386-U6386</f>
        <v>0</v>
      </c>
    </row>
    <row r="6387" spans="1:23" hidden="1" x14ac:dyDescent="0.25">
      <c r="A6387" s="3">
        <v>46130</v>
      </c>
      <c r="B6387" s="46" t="s">
        <v>334</v>
      </c>
      <c r="C6387" s="4" t="s">
        <v>1393</v>
      </c>
      <c r="D6387" s="4"/>
      <c r="E6387" s="4"/>
      <c r="F6387" s="46" t="s">
        <v>3092</v>
      </c>
      <c r="G6387" s="4" t="s">
        <v>336</v>
      </c>
      <c r="H6387" s="4" t="s">
        <v>289</v>
      </c>
      <c r="I6387" s="4">
        <v>1</v>
      </c>
      <c r="J6387" s="21">
        <v>125</v>
      </c>
      <c r="K6387" s="21">
        <v>0</v>
      </c>
      <c r="L6387" s="5">
        <v>0</v>
      </c>
      <c r="M6387" s="4"/>
      <c r="N6387" s="4"/>
      <c r="O6387" s="5"/>
      <c r="P6387" s="5"/>
      <c r="Q6387" s="21">
        <v>125</v>
      </c>
      <c r="R6387" s="21">
        <v>0</v>
      </c>
      <c r="S6387" s="5">
        <f t="shared" si="399"/>
        <v>39711.34174969836</v>
      </c>
      <c r="T6387" cm="1">
        <f t="array" ref="T6387">IF(OR(B6387="MAL ALIMI", B6387="ÜRETİM GİRİŞ"), MIN(I6387, MAX(0, I6387 + SUM(SUMIFS($I$1:I6386, $C$1:C6386, C6387, $B$1:B6386, {"MAL ALIMI","ÜRETİM GİRİŞ"})) - VLOOKUP(C6387, 'STOK RAPORU'!$C$2:$I$1000, 4, 0))), 0)</f>
        <v>0</v>
      </c>
      <c r="U6387" s="22">
        <f t="shared" si="400"/>
        <v>0</v>
      </c>
      <c r="V6387">
        <f t="shared" si="401"/>
        <v>0</v>
      </c>
      <c r="W6387" s="22">
        <f t="shared" si="402"/>
        <v>0</v>
      </c>
    </row>
    <row r="6388" spans="1:23" hidden="1" x14ac:dyDescent="0.25">
      <c r="A6388" s="3">
        <v>46130</v>
      </c>
      <c r="B6388" s="46" t="s">
        <v>334</v>
      </c>
      <c r="C6388" s="4" t="s">
        <v>1394</v>
      </c>
      <c r="D6388" s="4"/>
      <c r="E6388" s="4"/>
      <c r="F6388" s="46" t="s">
        <v>3092</v>
      </c>
      <c r="G6388" s="4" t="s">
        <v>336</v>
      </c>
      <c r="H6388" s="4" t="s">
        <v>289</v>
      </c>
      <c r="I6388" s="4">
        <v>1</v>
      </c>
      <c r="J6388" s="21">
        <v>125</v>
      </c>
      <c r="K6388" s="21">
        <v>0</v>
      </c>
      <c r="L6388" s="5">
        <v>0</v>
      </c>
      <c r="M6388" s="4"/>
      <c r="N6388" s="4"/>
      <c r="O6388" s="5"/>
      <c r="P6388" s="5"/>
      <c r="Q6388" s="21">
        <v>125</v>
      </c>
      <c r="R6388" s="21">
        <v>0</v>
      </c>
      <c r="S6388" s="5">
        <f t="shared" si="399"/>
        <v>39836.34174969836</v>
      </c>
      <c r="T6388" cm="1">
        <f t="array" ref="T6388">IF(OR(B6388="MAL ALIMI", B6388="ÜRETİM GİRİŞ"), MIN(I6388, MAX(0, I6388 + SUM(SUMIFS($I$1:I6387, $C$1:C6387, C6388, $B$1:B6387, {"MAL ALIMI","ÜRETİM GİRİŞ"})) - VLOOKUP(C6388, 'STOK RAPORU'!$C$2:$I$1000, 4, 0))), 0)</f>
        <v>0</v>
      </c>
      <c r="U6388" s="22">
        <f t="shared" si="400"/>
        <v>0</v>
      </c>
      <c r="V6388">
        <f t="shared" si="401"/>
        <v>0</v>
      </c>
      <c r="W6388" s="22">
        <f t="shared" si="402"/>
        <v>0</v>
      </c>
    </row>
    <row r="6389" spans="1:23" hidden="1" x14ac:dyDescent="0.25">
      <c r="A6389" s="41">
        <v>46130</v>
      </c>
      <c r="B6389" s="42" t="s">
        <v>334</v>
      </c>
      <c r="C6389" s="42" t="s">
        <v>157</v>
      </c>
      <c r="D6389" s="42"/>
      <c r="E6389" s="42"/>
      <c r="F6389" s="42" t="s">
        <v>3093</v>
      </c>
      <c r="G6389" s="42" t="s">
        <v>3101</v>
      </c>
      <c r="H6389" s="42" t="s">
        <v>289</v>
      </c>
      <c r="I6389" s="42">
        <v>1</v>
      </c>
      <c r="J6389" s="43">
        <v>200</v>
      </c>
      <c r="K6389" s="43">
        <v>0</v>
      </c>
      <c r="L6389" s="44">
        <v>0</v>
      </c>
      <c r="M6389" s="42"/>
      <c r="N6389" s="42"/>
      <c r="O6389" s="44"/>
      <c r="P6389" s="44"/>
      <c r="Q6389" s="43">
        <v>200</v>
      </c>
      <c r="R6389" s="43">
        <v>0</v>
      </c>
      <c r="S6389" s="5">
        <f t="shared" si="399"/>
        <v>40036.34174969836</v>
      </c>
      <c r="T6389" cm="1">
        <f t="array" ref="T6389">IF(OR(B6389="MAL ALIMI", B6389="ÜRETİM GİRİŞ"), MIN(I6389, MAX(0, I6389 + SUM(SUMIFS($I$1:I6388, $C$1:C6388, C6389, $B$1:B6388, {"MAL ALIMI","ÜRETİM GİRİŞ"})) - VLOOKUP(C6389, 'STOK RAPORU'!$C$2:$I$1000, 4, 0))), 0)</f>
        <v>0</v>
      </c>
      <c r="U6389" s="22">
        <f t="shared" si="400"/>
        <v>0</v>
      </c>
      <c r="V6389">
        <f t="shared" si="401"/>
        <v>0</v>
      </c>
      <c r="W6389" s="22">
        <f t="shared" si="402"/>
        <v>0</v>
      </c>
    </row>
    <row r="6390" spans="1:23" hidden="1" x14ac:dyDescent="0.25">
      <c r="A6390" s="41">
        <v>46130</v>
      </c>
      <c r="B6390" s="42" t="s">
        <v>334</v>
      </c>
      <c r="C6390" s="42" t="s">
        <v>158</v>
      </c>
      <c r="D6390" s="42"/>
      <c r="E6390" s="42"/>
      <c r="F6390" s="42" t="s">
        <v>3093</v>
      </c>
      <c r="G6390" s="42" t="s">
        <v>3101</v>
      </c>
      <c r="H6390" s="42" t="s">
        <v>289</v>
      </c>
      <c r="I6390" s="42">
        <v>1</v>
      </c>
      <c r="J6390" s="43">
        <v>150</v>
      </c>
      <c r="K6390" s="43">
        <v>0</v>
      </c>
      <c r="L6390" s="44">
        <v>0</v>
      </c>
      <c r="M6390" s="42"/>
      <c r="N6390" s="42"/>
      <c r="O6390" s="44"/>
      <c r="P6390" s="44"/>
      <c r="Q6390" s="43">
        <v>150</v>
      </c>
      <c r="R6390" s="43">
        <v>0</v>
      </c>
      <c r="S6390" s="5">
        <f t="shared" si="399"/>
        <v>40186.34174969836</v>
      </c>
      <c r="T6390" cm="1">
        <f t="array" ref="T6390">IF(OR(B6390="MAL ALIMI", B6390="ÜRETİM GİRİŞ"), MIN(I6390, MAX(0, I6390 + SUM(SUMIFS($I$1:I6389, $C$1:C6389, C6390, $B$1:B6389, {"MAL ALIMI","ÜRETİM GİRİŞ"})) - VLOOKUP(C6390, 'STOK RAPORU'!$C$2:$I$1000, 4, 0))), 0)</f>
        <v>0</v>
      </c>
      <c r="U6390" s="22">
        <f t="shared" si="400"/>
        <v>0</v>
      </c>
      <c r="V6390">
        <f t="shared" si="401"/>
        <v>0</v>
      </c>
      <c r="W6390" s="22">
        <f t="shared" si="402"/>
        <v>0</v>
      </c>
    </row>
    <row r="6391" spans="1:23" hidden="1" x14ac:dyDescent="0.25">
      <c r="A6391" s="3">
        <v>46130</v>
      </c>
      <c r="B6391" s="46" t="s">
        <v>334</v>
      </c>
      <c r="C6391" s="4" t="s">
        <v>160</v>
      </c>
      <c r="D6391" s="4"/>
      <c r="E6391" s="4"/>
      <c r="F6391" s="46" t="s">
        <v>3094</v>
      </c>
      <c r="G6391" s="4" t="s">
        <v>336</v>
      </c>
      <c r="H6391" s="4" t="s">
        <v>289</v>
      </c>
      <c r="I6391" s="4">
        <v>1</v>
      </c>
      <c r="J6391" s="21">
        <v>250</v>
      </c>
      <c r="K6391" s="21">
        <v>0</v>
      </c>
      <c r="L6391" s="5">
        <v>0</v>
      </c>
      <c r="M6391" s="4"/>
      <c r="N6391" s="4"/>
      <c r="O6391" s="5"/>
      <c r="P6391" s="5"/>
      <c r="Q6391" s="21">
        <v>250</v>
      </c>
      <c r="R6391" s="21">
        <v>0</v>
      </c>
      <c r="S6391" s="5">
        <f t="shared" si="399"/>
        <v>40436.34174969836</v>
      </c>
      <c r="T6391" cm="1">
        <f t="array" ref="T6391">IF(OR(B6391="MAL ALIMI", B6391="ÜRETİM GİRİŞ"), MIN(I6391, MAX(0, I6391 + SUM(SUMIFS($I$1:I6390, $C$1:C6390, C6391, $B$1:B6390, {"MAL ALIMI","ÜRETİM GİRİŞ"})) - VLOOKUP(C6391, 'STOK RAPORU'!$C$2:$I$1000, 4, 0))), 0)</f>
        <v>0</v>
      </c>
      <c r="U6391" s="22">
        <f t="shared" si="400"/>
        <v>0</v>
      </c>
      <c r="V6391">
        <f t="shared" si="401"/>
        <v>0</v>
      </c>
      <c r="W6391" s="22">
        <f t="shared" si="402"/>
        <v>0</v>
      </c>
    </row>
    <row r="6392" spans="1:23" hidden="1" x14ac:dyDescent="0.25">
      <c r="A6392" s="3">
        <v>46130</v>
      </c>
      <c r="B6392" s="46" t="s">
        <v>334</v>
      </c>
      <c r="C6392" s="4" t="s">
        <v>161</v>
      </c>
      <c r="D6392" s="4"/>
      <c r="E6392" s="4"/>
      <c r="F6392" s="46" t="s">
        <v>3094</v>
      </c>
      <c r="G6392" s="4" t="s">
        <v>336</v>
      </c>
      <c r="H6392" s="4" t="s">
        <v>289</v>
      </c>
      <c r="I6392" s="4">
        <v>0.5</v>
      </c>
      <c r="J6392" s="21">
        <v>250</v>
      </c>
      <c r="K6392" s="21">
        <v>0</v>
      </c>
      <c r="L6392" s="5">
        <v>0</v>
      </c>
      <c r="M6392" s="4"/>
      <c r="N6392" s="4"/>
      <c r="O6392" s="5"/>
      <c r="P6392" s="5"/>
      <c r="Q6392" s="21">
        <v>125</v>
      </c>
      <c r="R6392" s="21">
        <v>0</v>
      </c>
      <c r="S6392" s="5">
        <f t="shared" si="399"/>
        <v>40561.34174969836</v>
      </c>
      <c r="T6392" cm="1">
        <f t="array" ref="T6392">IF(OR(B6392="MAL ALIMI", B6392="ÜRETİM GİRİŞ"), MIN(I6392, MAX(0, I6392 + SUM(SUMIFS($I$1:I6391, $C$1:C6391, C6392, $B$1:B6391, {"MAL ALIMI","ÜRETİM GİRİŞ"})) - VLOOKUP(C6392, 'STOK RAPORU'!$C$2:$I$1000, 4, 0))), 0)</f>
        <v>0</v>
      </c>
      <c r="U6392" s="22">
        <f t="shared" si="400"/>
        <v>0</v>
      </c>
      <c r="V6392">
        <f t="shared" si="401"/>
        <v>0</v>
      </c>
      <c r="W6392" s="22">
        <f t="shared" si="402"/>
        <v>0</v>
      </c>
    </row>
    <row r="6393" spans="1:23" hidden="1" x14ac:dyDescent="0.25">
      <c r="A6393" s="3">
        <v>46130</v>
      </c>
      <c r="B6393" s="46" t="s">
        <v>334</v>
      </c>
      <c r="C6393" s="4" t="s">
        <v>131</v>
      </c>
      <c r="D6393" s="4"/>
      <c r="E6393" s="4" t="s">
        <v>921</v>
      </c>
      <c r="F6393" s="46" t="s">
        <v>3095</v>
      </c>
      <c r="G6393" s="4" t="s">
        <v>336</v>
      </c>
      <c r="H6393" s="4" t="s">
        <v>380</v>
      </c>
      <c r="I6393" s="4">
        <v>5.5999999999999994E-2</v>
      </c>
      <c r="J6393" s="21">
        <v>360</v>
      </c>
      <c r="K6393" s="21">
        <v>20.159999999999997</v>
      </c>
      <c r="L6393" s="5">
        <v>0</v>
      </c>
      <c r="M6393" s="4"/>
      <c r="N6393" s="4"/>
      <c r="O6393" s="5"/>
      <c r="P6393" s="5"/>
      <c r="Q6393" s="21">
        <v>0</v>
      </c>
      <c r="R6393" s="21">
        <v>0</v>
      </c>
      <c r="S6393" s="5">
        <f t="shared" si="399"/>
        <v>40561.34174969836</v>
      </c>
      <c r="T6393" cm="1">
        <f t="array" ref="T6393">IF(OR(B6393="MAL ALIMI", B6393="ÜRETİM GİRİŞ"), MIN(I6393, MAX(0, I6393 + SUM(SUMIFS($I$1:I6392, $C$1:C6392, C6393, $B$1:B6392, {"MAL ALIMI","ÜRETİM GİRİŞ"})) - VLOOKUP(C6393, 'STOK RAPORU'!$C$2:$I$1000, 4, 0))), 0)</f>
        <v>0</v>
      </c>
      <c r="U6393" s="22">
        <f t="shared" si="400"/>
        <v>0</v>
      </c>
      <c r="V6393">
        <f t="shared" si="401"/>
        <v>0</v>
      </c>
      <c r="W6393" s="22">
        <f t="shared" si="402"/>
        <v>0</v>
      </c>
    </row>
    <row r="6394" spans="1:23" hidden="1" x14ac:dyDescent="0.25">
      <c r="A6394" s="3">
        <v>46130</v>
      </c>
      <c r="B6394" s="46" t="s">
        <v>334</v>
      </c>
      <c r="C6394" s="4" t="s">
        <v>212</v>
      </c>
      <c r="D6394" s="4"/>
      <c r="E6394" s="4" t="s">
        <v>921</v>
      </c>
      <c r="F6394" s="46" t="s">
        <v>3095</v>
      </c>
      <c r="G6394" s="4" t="s">
        <v>336</v>
      </c>
      <c r="H6394" s="4" t="s">
        <v>380</v>
      </c>
      <c r="I6394" s="4">
        <v>0.1</v>
      </c>
      <c r="J6394" s="21">
        <v>600</v>
      </c>
      <c r="K6394" s="21">
        <v>60</v>
      </c>
      <c r="L6394" s="5">
        <v>0</v>
      </c>
      <c r="M6394" s="4"/>
      <c r="N6394" s="4"/>
      <c r="O6394" s="5"/>
      <c r="P6394" s="5"/>
      <c r="Q6394" s="21">
        <v>0</v>
      </c>
      <c r="R6394" s="21">
        <v>0</v>
      </c>
      <c r="S6394" s="5">
        <f t="shared" si="399"/>
        <v>40561.34174969836</v>
      </c>
      <c r="T6394" cm="1">
        <f t="array" ref="T6394">IF(OR(B6394="MAL ALIMI", B6394="ÜRETİM GİRİŞ"), MIN(I6394, MAX(0, I6394 + SUM(SUMIFS($I$1:I6393, $C$1:C6393, C6394, $B$1:B6393, {"MAL ALIMI","ÜRETİM GİRİŞ"})) - VLOOKUP(C6394, 'STOK RAPORU'!$C$2:$I$1000, 4, 0))), 0)</f>
        <v>0</v>
      </c>
      <c r="U6394" s="22">
        <f t="shared" si="400"/>
        <v>0</v>
      </c>
      <c r="V6394">
        <f t="shared" si="401"/>
        <v>0</v>
      </c>
      <c r="W6394" s="22">
        <f t="shared" si="402"/>
        <v>0</v>
      </c>
    </row>
    <row r="6395" spans="1:23" hidden="1" x14ac:dyDescent="0.25">
      <c r="A6395" s="3">
        <v>46130</v>
      </c>
      <c r="B6395" s="46" t="s">
        <v>334</v>
      </c>
      <c r="C6395" s="4" t="s">
        <v>892</v>
      </c>
      <c r="D6395" s="4"/>
      <c r="E6395" s="4" t="s">
        <v>921</v>
      </c>
      <c r="F6395" s="46" t="s">
        <v>3095</v>
      </c>
      <c r="G6395" s="4" t="s">
        <v>336</v>
      </c>
      <c r="H6395" s="4" t="s">
        <v>380</v>
      </c>
      <c r="I6395" s="4">
        <v>0.5</v>
      </c>
      <c r="J6395" s="21">
        <v>60</v>
      </c>
      <c r="K6395" s="21">
        <v>30</v>
      </c>
      <c r="L6395" s="5">
        <v>0</v>
      </c>
      <c r="M6395" s="4"/>
      <c r="N6395" s="4"/>
      <c r="O6395" s="5"/>
      <c r="P6395" s="5"/>
      <c r="Q6395" s="21">
        <v>0</v>
      </c>
      <c r="R6395" s="21">
        <v>0</v>
      </c>
      <c r="S6395" s="5">
        <f t="shared" si="399"/>
        <v>40561.34174969836</v>
      </c>
      <c r="T6395" cm="1">
        <f t="array" ref="T6395">IF(OR(B6395="MAL ALIMI", B6395="ÜRETİM GİRİŞ"), MIN(I6395, MAX(0, I6395 + SUM(SUMIFS($I$1:I6394, $C$1:C6394, C6395, $B$1:B6394, {"MAL ALIMI","ÜRETİM GİRİŞ"})) - VLOOKUP(C6395, 'STOK RAPORU'!$C$2:$I$1000, 4, 0))), 0)</f>
        <v>0</v>
      </c>
      <c r="U6395" s="22">
        <f t="shared" si="400"/>
        <v>0</v>
      </c>
      <c r="V6395">
        <f t="shared" si="401"/>
        <v>0</v>
      </c>
      <c r="W6395" s="22">
        <f t="shared" si="402"/>
        <v>0</v>
      </c>
    </row>
    <row r="6396" spans="1:23" hidden="1" x14ac:dyDescent="0.25">
      <c r="A6396" s="3">
        <v>46130</v>
      </c>
      <c r="B6396" s="46" t="s">
        <v>334</v>
      </c>
      <c r="C6396" s="4" t="s">
        <v>130</v>
      </c>
      <c r="D6396" s="4"/>
      <c r="E6396" s="4" t="s">
        <v>921</v>
      </c>
      <c r="F6396" s="46" t="s">
        <v>3095</v>
      </c>
      <c r="G6396" s="4" t="s">
        <v>336</v>
      </c>
      <c r="H6396" s="4" t="s">
        <v>380</v>
      </c>
      <c r="I6396" s="4">
        <v>0.06</v>
      </c>
      <c r="J6396" s="21">
        <v>500</v>
      </c>
      <c r="K6396" s="21">
        <v>30</v>
      </c>
      <c r="L6396" s="5">
        <v>0</v>
      </c>
      <c r="M6396" s="4"/>
      <c r="N6396" s="4"/>
      <c r="O6396" s="5"/>
      <c r="P6396" s="5"/>
      <c r="Q6396" s="21">
        <v>0</v>
      </c>
      <c r="R6396" s="21">
        <v>0</v>
      </c>
      <c r="S6396" s="5">
        <f t="shared" si="399"/>
        <v>40561.34174969836</v>
      </c>
      <c r="T6396" cm="1">
        <f t="array" ref="T6396">IF(OR(B6396="MAL ALIMI", B6396="ÜRETİM GİRİŞ"), MIN(I6396, MAX(0, I6396 + SUM(SUMIFS($I$1:I6395, $C$1:C6395, C6396, $B$1:B6395, {"MAL ALIMI","ÜRETİM GİRİŞ"})) - VLOOKUP(C6396, 'STOK RAPORU'!$C$2:$I$1000, 4, 0))), 0)</f>
        <v>0</v>
      </c>
      <c r="U6396" s="22">
        <f t="shared" si="400"/>
        <v>0</v>
      </c>
      <c r="V6396">
        <f t="shared" si="401"/>
        <v>0</v>
      </c>
      <c r="W6396" s="22">
        <f t="shared" si="402"/>
        <v>0</v>
      </c>
    </row>
    <row r="6397" spans="1:23" hidden="1" x14ac:dyDescent="0.25">
      <c r="A6397" s="3">
        <v>46130</v>
      </c>
      <c r="B6397" s="46" t="s">
        <v>334</v>
      </c>
      <c r="C6397" s="4" t="s">
        <v>2117</v>
      </c>
      <c r="D6397" s="4"/>
      <c r="E6397" s="4" t="s">
        <v>921</v>
      </c>
      <c r="F6397" s="46" t="s">
        <v>3095</v>
      </c>
      <c r="G6397" s="4" t="s">
        <v>336</v>
      </c>
      <c r="H6397" s="4" t="s">
        <v>380</v>
      </c>
      <c r="I6397" s="4">
        <v>1</v>
      </c>
      <c r="J6397" s="21">
        <v>30</v>
      </c>
      <c r="K6397" s="21">
        <v>30</v>
      </c>
      <c r="L6397" s="5">
        <v>0</v>
      </c>
      <c r="M6397" s="4"/>
      <c r="N6397" s="4"/>
      <c r="O6397" s="5"/>
      <c r="P6397" s="5"/>
      <c r="Q6397" s="21">
        <v>0</v>
      </c>
      <c r="R6397" s="21">
        <v>0</v>
      </c>
      <c r="S6397" s="5">
        <f t="shared" si="399"/>
        <v>40561.34174969836</v>
      </c>
      <c r="T6397" cm="1">
        <f t="array" ref="T6397">IF(OR(B6397="MAL ALIMI", B6397="ÜRETİM GİRİŞ"), MIN(I6397, MAX(0, I6397 + SUM(SUMIFS($I$1:I6396, $C$1:C6396, C6397, $B$1:B6396, {"MAL ALIMI","ÜRETİM GİRİŞ"})) - VLOOKUP(C6397, 'STOK RAPORU'!$C$2:$I$1000, 4, 0))), 0)</f>
        <v>0</v>
      </c>
      <c r="U6397" s="22">
        <f t="shared" si="400"/>
        <v>0</v>
      </c>
      <c r="V6397">
        <f t="shared" si="401"/>
        <v>0</v>
      </c>
      <c r="W6397" s="22">
        <f t="shared" si="402"/>
        <v>0</v>
      </c>
    </row>
    <row r="6398" spans="1:23" hidden="1" x14ac:dyDescent="0.25">
      <c r="A6398" s="3">
        <v>46130</v>
      </c>
      <c r="B6398" s="46" t="s">
        <v>334</v>
      </c>
      <c r="C6398" s="4" t="s">
        <v>719</v>
      </c>
      <c r="D6398" s="4"/>
      <c r="E6398" s="4" t="s">
        <v>921</v>
      </c>
      <c r="F6398" s="46" t="s">
        <v>3096</v>
      </c>
      <c r="G6398" s="4" t="s">
        <v>336</v>
      </c>
      <c r="H6398" s="4" t="s">
        <v>380</v>
      </c>
      <c r="I6398" s="4">
        <v>1</v>
      </c>
      <c r="J6398" s="21">
        <v>255</v>
      </c>
      <c r="K6398" s="21">
        <v>255</v>
      </c>
      <c r="L6398" s="5">
        <v>0</v>
      </c>
      <c r="M6398" s="4"/>
      <c r="N6398" s="4"/>
      <c r="O6398" s="5"/>
      <c r="P6398" s="5"/>
      <c r="Q6398" s="21">
        <v>0</v>
      </c>
      <c r="R6398" s="21">
        <v>0</v>
      </c>
      <c r="S6398" s="5">
        <f t="shared" si="399"/>
        <v>40561.34174969836</v>
      </c>
      <c r="T6398" cm="1">
        <f t="array" ref="T6398">IF(OR(B6398="MAL ALIMI", B6398="ÜRETİM GİRİŞ"), MIN(I6398, MAX(0, I6398 + SUM(SUMIFS($I$1:I6397, $C$1:C6397, C6398, $B$1:B6397, {"MAL ALIMI","ÜRETİM GİRİŞ"})) - VLOOKUP(C6398, 'STOK RAPORU'!$C$2:$I$1000, 4, 0))), 0)</f>
        <v>0</v>
      </c>
      <c r="U6398" s="22">
        <f t="shared" si="400"/>
        <v>0</v>
      </c>
      <c r="V6398">
        <f t="shared" si="401"/>
        <v>0</v>
      </c>
      <c r="W6398" s="22">
        <f t="shared" si="402"/>
        <v>0</v>
      </c>
    </row>
    <row r="6399" spans="1:23" hidden="1" x14ac:dyDescent="0.25">
      <c r="A6399" s="3">
        <v>46130</v>
      </c>
      <c r="B6399" s="46" t="s">
        <v>334</v>
      </c>
      <c r="C6399" s="4" t="s">
        <v>464</v>
      </c>
      <c r="D6399" s="4"/>
      <c r="E6399" s="4"/>
      <c r="F6399" s="46" t="s">
        <v>3097</v>
      </c>
      <c r="G6399" s="4" t="s">
        <v>336</v>
      </c>
      <c r="H6399" s="4" t="s">
        <v>289</v>
      </c>
      <c r="I6399" s="4">
        <v>1</v>
      </c>
      <c r="J6399" s="21">
        <v>50</v>
      </c>
      <c r="K6399" s="21">
        <v>0</v>
      </c>
      <c r="L6399" s="5">
        <v>0</v>
      </c>
      <c r="M6399" s="4"/>
      <c r="N6399" s="4"/>
      <c r="O6399" s="5"/>
      <c r="P6399" s="5"/>
      <c r="Q6399" s="21">
        <v>50</v>
      </c>
      <c r="R6399" s="21">
        <v>0</v>
      </c>
      <c r="S6399" s="5">
        <f t="shared" si="399"/>
        <v>40611.34174969836</v>
      </c>
      <c r="T6399" cm="1">
        <f t="array" ref="T6399">IF(OR(B6399="MAL ALIMI", B6399="ÜRETİM GİRİŞ"), MIN(I6399, MAX(0, I6399 + SUM(SUMIFS($I$1:I6398, $C$1:C6398, C6399, $B$1:B6398, {"MAL ALIMI","ÜRETİM GİRİŞ"})) - VLOOKUP(C6399, 'STOK RAPORU'!$C$2:$I$1000, 4, 0))), 0)</f>
        <v>0</v>
      </c>
      <c r="U6399" s="22">
        <f t="shared" si="400"/>
        <v>0</v>
      </c>
      <c r="V6399">
        <f t="shared" si="401"/>
        <v>0</v>
      </c>
      <c r="W6399" s="22">
        <f t="shared" si="402"/>
        <v>0</v>
      </c>
    </row>
    <row r="6400" spans="1:23" hidden="1" x14ac:dyDescent="0.25">
      <c r="A6400" s="41">
        <v>46130</v>
      </c>
      <c r="B6400" s="42" t="s">
        <v>334</v>
      </c>
      <c r="C6400" s="42" t="s">
        <v>241</v>
      </c>
      <c r="D6400" s="42"/>
      <c r="E6400" s="42"/>
      <c r="F6400" s="42" t="s">
        <v>3098</v>
      </c>
      <c r="G6400" s="42" t="s">
        <v>3099</v>
      </c>
      <c r="H6400" s="42" t="s">
        <v>289</v>
      </c>
      <c r="I6400" s="42">
        <v>0.27906976744186046</v>
      </c>
      <c r="J6400" s="43">
        <v>430</v>
      </c>
      <c r="K6400" s="43">
        <v>0</v>
      </c>
      <c r="L6400" s="44">
        <v>0</v>
      </c>
      <c r="M6400" s="42"/>
      <c r="N6400" s="42"/>
      <c r="O6400" s="44"/>
      <c r="P6400" s="44"/>
      <c r="Q6400" s="43">
        <v>120</v>
      </c>
      <c r="R6400" s="21">
        <v>0</v>
      </c>
      <c r="S6400" s="5">
        <f t="shared" si="399"/>
        <v>40731.34174969836</v>
      </c>
      <c r="T6400" cm="1">
        <f t="array" ref="T6400">IF(OR(B6400="MAL ALIMI", B6400="ÜRETİM GİRİŞ"), MIN(I6400, MAX(0, I6400 + SUM(SUMIFS($I$1:I6399, $C$1:C6399, C6400, $B$1:B6399, {"MAL ALIMI","ÜRETİM GİRİŞ"})) - VLOOKUP(C6400, 'STOK RAPORU'!$C$2:$I$1000, 4, 0))), 0)</f>
        <v>0</v>
      </c>
      <c r="U6400" s="22">
        <f t="shared" si="400"/>
        <v>0</v>
      </c>
      <c r="V6400">
        <f t="shared" si="401"/>
        <v>0</v>
      </c>
      <c r="W6400" s="22">
        <f t="shared" si="402"/>
        <v>0</v>
      </c>
    </row>
    <row r="6401" spans="1:23" hidden="1" x14ac:dyDescent="0.25">
      <c r="A6401" s="3">
        <v>46130</v>
      </c>
      <c r="B6401" s="46" t="s">
        <v>334</v>
      </c>
      <c r="C6401" s="4" t="s">
        <v>828</v>
      </c>
      <c r="D6401" s="4"/>
      <c r="E6401" s="4"/>
      <c r="F6401" s="46" t="s">
        <v>3108</v>
      </c>
      <c r="G6401" s="4" t="s">
        <v>336</v>
      </c>
      <c r="H6401" s="4" t="s">
        <v>289</v>
      </c>
      <c r="I6401" s="4">
        <v>1</v>
      </c>
      <c r="J6401" s="21">
        <v>145</v>
      </c>
      <c r="K6401" s="21">
        <v>0</v>
      </c>
      <c r="L6401" s="5">
        <v>0</v>
      </c>
      <c r="M6401" s="4"/>
      <c r="N6401" s="4"/>
      <c r="O6401" s="5"/>
      <c r="P6401" s="5"/>
      <c r="Q6401" s="21">
        <v>145</v>
      </c>
      <c r="R6401" s="21">
        <v>0</v>
      </c>
      <c r="S6401" s="5">
        <f t="shared" si="399"/>
        <v>40876.34174969836</v>
      </c>
      <c r="T6401" cm="1">
        <f t="array" ref="T6401">IF(OR(B6401="MAL ALIMI", B6401="ÜRETİM GİRİŞ"), MIN(I6401, MAX(0, I6401 + SUM(SUMIFS($I$1:I6400, $C$1:C6400, C6401, $B$1:B6400, {"MAL ALIMI","ÜRETİM GİRİŞ"})) - VLOOKUP(C6401, 'STOK RAPORU'!$C$2:$I$1000, 4, 0))), 0)</f>
        <v>0</v>
      </c>
      <c r="U6401" s="22">
        <f t="shared" si="400"/>
        <v>0</v>
      </c>
      <c r="V6401">
        <f t="shared" si="401"/>
        <v>0</v>
      </c>
      <c r="W6401" s="22">
        <f t="shared" si="402"/>
        <v>0</v>
      </c>
    </row>
    <row r="6402" spans="1:23" hidden="1" x14ac:dyDescent="0.25">
      <c r="A6402" s="3">
        <v>46130</v>
      </c>
      <c r="B6402" s="46" t="s">
        <v>334</v>
      </c>
      <c r="C6402" s="4" t="s">
        <v>829</v>
      </c>
      <c r="D6402" s="4"/>
      <c r="E6402" s="4"/>
      <c r="F6402" s="46" t="s">
        <v>3109</v>
      </c>
      <c r="G6402" s="4" t="s">
        <v>336</v>
      </c>
      <c r="H6402" s="4" t="s">
        <v>289</v>
      </c>
      <c r="I6402" s="4">
        <v>1</v>
      </c>
      <c r="J6402" s="21">
        <v>145</v>
      </c>
      <c r="K6402" s="21">
        <v>0</v>
      </c>
      <c r="L6402" s="5">
        <v>0</v>
      </c>
      <c r="M6402" s="4"/>
      <c r="N6402" s="4"/>
      <c r="O6402" s="5"/>
      <c r="P6402" s="5"/>
      <c r="Q6402" s="21">
        <v>145</v>
      </c>
      <c r="R6402" s="21">
        <v>0</v>
      </c>
      <c r="S6402" s="5">
        <f t="shared" si="399"/>
        <v>41021.34174969836</v>
      </c>
      <c r="T6402" cm="1">
        <f t="array" ref="T6402">IF(OR(B6402="MAL ALIMI", B6402="ÜRETİM GİRİŞ"), MIN(I6402, MAX(0, I6402 + SUM(SUMIFS($I$1:I6401, $C$1:C6401, C6402, $B$1:B6401, {"MAL ALIMI","ÜRETİM GİRİŞ"})) - VLOOKUP(C6402, 'STOK RAPORU'!$C$2:$I$1000, 4, 0))), 0)</f>
        <v>0</v>
      </c>
      <c r="U6402" s="22">
        <f t="shared" si="400"/>
        <v>0</v>
      </c>
      <c r="V6402">
        <f t="shared" si="401"/>
        <v>0</v>
      </c>
      <c r="W6402" s="22">
        <f t="shared" si="402"/>
        <v>0</v>
      </c>
    </row>
    <row r="6403" spans="1:23" hidden="1" x14ac:dyDescent="0.25">
      <c r="A6403" s="3">
        <v>46130</v>
      </c>
      <c r="B6403" s="46" t="s">
        <v>917</v>
      </c>
      <c r="C6403" s="4"/>
      <c r="D6403" s="4"/>
      <c r="E6403" s="4" t="s">
        <v>3100</v>
      </c>
      <c r="F6403" s="4"/>
      <c r="G6403" s="4" t="s">
        <v>3105</v>
      </c>
      <c r="H6403" s="4" t="s">
        <v>304</v>
      </c>
      <c r="I6403" s="4">
        <v>1</v>
      </c>
      <c r="J6403" s="21">
        <v>6908.4</v>
      </c>
      <c r="K6403" s="21">
        <v>6908.4</v>
      </c>
      <c r="L6403" s="5">
        <v>0</v>
      </c>
      <c r="M6403" s="4"/>
      <c r="N6403" s="4"/>
      <c r="O6403" s="5"/>
      <c r="P6403" s="5"/>
      <c r="Q6403" s="21">
        <v>0</v>
      </c>
      <c r="R6403" s="21">
        <v>6908.4</v>
      </c>
      <c r="S6403" s="5">
        <f t="shared" si="399"/>
        <v>34112.941749698359</v>
      </c>
      <c r="T6403" cm="1">
        <f t="array" ref="T6403">IF(OR(B6403="MAL ALIMI", B6403="ÜRETİM GİRİŞ"), MIN(I6403, MAX(0, I6403 + SUM(SUMIFS($I$1:I6402, $C$1:C6402, C6403, $B$1:B6402, {"MAL ALIMI","ÜRETİM GİRİŞ"})) - VLOOKUP(C6403, 'STOK RAPORU'!$C$2:$I$1000, 4, 0))), 0)</f>
        <v>0</v>
      </c>
      <c r="U6403" s="22">
        <f t="shared" si="400"/>
        <v>0</v>
      </c>
      <c r="V6403">
        <f t="shared" si="401"/>
        <v>0</v>
      </c>
      <c r="W6403" s="22">
        <f t="shared" si="402"/>
        <v>0</v>
      </c>
    </row>
    <row r="6404" spans="1:23" hidden="1" x14ac:dyDescent="0.25">
      <c r="A6404" s="3">
        <v>46130</v>
      </c>
      <c r="B6404" s="46" t="s">
        <v>298</v>
      </c>
      <c r="C6404" s="4" t="s">
        <v>3084</v>
      </c>
      <c r="D6404" s="4"/>
      <c r="E6404" s="4"/>
      <c r="F6404" s="4"/>
      <c r="G6404" s="4" t="s">
        <v>3103</v>
      </c>
      <c r="H6404" s="4" t="s">
        <v>289</v>
      </c>
      <c r="I6404" s="4">
        <v>1</v>
      </c>
      <c r="J6404" s="21">
        <v>130</v>
      </c>
      <c r="K6404" s="21">
        <v>0</v>
      </c>
      <c r="L6404" s="5">
        <v>0</v>
      </c>
      <c r="M6404" s="4"/>
      <c r="N6404" s="4"/>
      <c r="O6404" s="5"/>
      <c r="P6404" s="5"/>
      <c r="Q6404" s="21">
        <v>0</v>
      </c>
      <c r="R6404" s="21">
        <v>130</v>
      </c>
      <c r="S6404" s="5">
        <f t="shared" ref="S6404:S6467" si="403">S6403+Q6404-R6404</f>
        <v>33982.941749698359</v>
      </c>
      <c r="T6404" t="e" cm="1">
        <f t="array" ref="T6404">IF(OR(B6404="MAL ALIMI", B6404="ÜRETİM GİRİŞ"), MIN(I6404, MAX(0, I6404 + SUM(SUMIFS($I$1:I6403, $C$1:C6403, C6404, $B$1:B6403, {"MAL ALIMI","ÜRETİM GİRİŞ"})) - VLOOKUP(C6404, 'STOK RAPORU'!$C$2:$I$1000, 4, 0))), 0)</f>
        <v>#N/A</v>
      </c>
      <c r="U6404" s="22" t="e">
        <f t="shared" si="400"/>
        <v>#N/A</v>
      </c>
      <c r="V6404">
        <f t="shared" si="401"/>
        <v>130</v>
      </c>
      <c r="W6404" s="22" t="e">
        <f t="shared" si="402"/>
        <v>#N/A</v>
      </c>
    </row>
    <row r="6405" spans="1:23" hidden="1" x14ac:dyDescent="0.25">
      <c r="A6405" s="3">
        <v>46130</v>
      </c>
      <c r="B6405" s="46" t="s">
        <v>285</v>
      </c>
      <c r="C6405" s="4"/>
      <c r="D6405" s="4" t="s">
        <v>112</v>
      </c>
      <c r="E6405" s="4"/>
      <c r="F6405" s="4"/>
      <c r="G6405" s="4" t="s">
        <v>3104</v>
      </c>
      <c r="H6405" s="4" t="s">
        <v>289</v>
      </c>
      <c r="I6405" s="4">
        <v>0.81499999999999995</v>
      </c>
      <c r="J6405" s="21">
        <v>160</v>
      </c>
      <c r="K6405" s="21">
        <v>0</v>
      </c>
      <c r="L6405" s="5">
        <v>0</v>
      </c>
      <c r="M6405" s="4"/>
      <c r="N6405" s="4"/>
      <c r="O6405" s="5"/>
      <c r="P6405" s="5"/>
      <c r="Q6405" s="21">
        <v>0</v>
      </c>
      <c r="R6405" s="21">
        <v>130.39999999999998</v>
      </c>
      <c r="S6405" s="5">
        <f t="shared" si="403"/>
        <v>33852.541749698357</v>
      </c>
      <c r="T6405" cm="1">
        <f t="array" ref="T6405">IF(OR(B6405="MAL ALIMI", B6405="ÜRETİM GİRİŞ"), MIN(I6405, MAX(0, I6405 + SUM(SUMIFS($I$1:I6404, $C$1:C6404, C6405, $B$1:B6404, {"MAL ALIMI","ÜRETİM GİRİŞ"})) - VLOOKUP(C6405, 'STOK RAPORU'!$C$2:$I$1000, 4, 0))), 0)</f>
        <v>0</v>
      </c>
      <c r="U6405" s="22">
        <f t="shared" si="400"/>
        <v>0</v>
      </c>
      <c r="V6405">
        <f t="shared" si="401"/>
        <v>0</v>
      </c>
      <c r="W6405" s="22">
        <f t="shared" si="402"/>
        <v>0</v>
      </c>
    </row>
    <row r="6406" spans="1:23" hidden="1" x14ac:dyDescent="0.25">
      <c r="A6406" s="3">
        <v>46131</v>
      </c>
      <c r="B6406" s="46" t="s">
        <v>334</v>
      </c>
      <c r="C6406" s="4" t="s">
        <v>523</v>
      </c>
      <c r="D6406" s="4"/>
      <c r="E6406" s="4"/>
      <c r="F6406" s="46" t="s">
        <v>3111</v>
      </c>
      <c r="G6406" s="4" t="s">
        <v>336</v>
      </c>
      <c r="H6406" s="4" t="s">
        <v>289</v>
      </c>
      <c r="I6406" s="4">
        <v>0.08</v>
      </c>
      <c r="J6406" s="21">
        <v>625</v>
      </c>
      <c r="K6406" s="21">
        <v>0</v>
      </c>
      <c r="L6406" s="5">
        <v>0</v>
      </c>
      <c r="M6406" s="4"/>
      <c r="N6406" s="4"/>
      <c r="O6406" s="5"/>
      <c r="P6406" s="5"/>
      <c r="Q6406" s="21">
        <v>50</v>
      </c>
      <c r="R6406" s="21">
        <v>0</v>
      </c>
      <c r="S6406" s="5">
        <f t="shared" si="403"/>
        <v>33902.541749698357</v>
      </c>
      <c r="T6406" cm="1">
        <f t="array" ref="T6406">IF(OR(B6406="MAL ALIMI", B6406="ÜRETİM GİRİŞ"), MIN(I6406, MAX(0, I6406 + SUM(SUMIFS($I$1:I6405, $C$1:C6405, C6406, $B$1:B6405, {"MAL ALIMI","ÜRETİM GİRİŞ"})) - VLOOKUP(C6406, 'STOK RAPORU'!$C$2:$I$1000, 4, 0))), 0)</f>
        <v>0</v>
      </c>
      <c r="U6406" s="22">
        <f t="shared" si="400"/>
        <v>0</v>
      </c>
      <c r="V6406">
        <f t="shared" si="401"/>
        <v>0</v>
      </c>
      <c r="W6406" s="22">
        <f t="shared" si="402"/>
        <v>0</v>
      </c>
    </row>
    <row r="6407" spans="1:23" hidden="1" x14ac:dyDescent="0.25">
      <c r="A6407" s="3">
        <v>46131</v>
      </c>
      <c r="B6407" s="46" t="s">
        <v>334</v>
      </c>
      <c r="C6407" s="4" t="s">
        <v>257</v>
      </c>
      <c r="D6407" s="4"/>
      <c r="E6407" s="4"/>
      <c r="F6407" s="46" t="s">
        <v>3112</v>
      </c>
      <c r="G6407" s="4" t="s">
        <v>336</v>
      </c>
      <c r="H6407" s="4" t="s">
        <v>289</v>
      </c>
      <c r="I6407" s="4">
        <v>1</v>
      </c>
      <c r="J6407" s="21">
        <v>220</v>
      </c>
      <c r="K6407" s="21">
        <v>0</v>
      </c>
      <c r="L6407" s="5">
        <v>0</v>
      </c>
      <c r="M6407" s="4"/>
      <c r="N6407" s="4"/>
      <c r="O6407" s="5"/>
      <c r="P6407" s="5"/>
      <c r="Q6407" s="21">
        <v>220</v>
      </c>
      <c r="R6407" s="21">
        <v>0</v>
      </c>
      <c r="S6407" s="5">
        <f t="shared" si="403"/>
        <v>34122.541749698357</v>
      </c>
      <c r="T6407" cm="1">
        <f t="array" ref="T6407">IF(OR(B6407="MAL ALIMI", B6407="ÜRETİM GİRİŞ"), MIN(I6407, MAX(0, I6407 + SUM(SUMIFS($I$1:I6406, $C$1:C6406, C6407, $B$1:B6406, {"MAL ALIMI","ÜRETİM GİRİŞ"})) - VLOOKUP(C6407, 'STOK RAPORU'!$C$2:$I$1000, 4, 0))), 0)</f>
        <v>0</v>
      </c>
      <c r="U6407" s="22">
        <f t="shared" si="400"/>
        <v>0</v>
      </c>
      <c r="V6407">
        <f t="shared" si="401"/>
        <v>0</v>
      </c>
      <c r="W6407" s="22">
        <f t="shared" si="402"/>
        <v>0</v>
      </c>
    </row>
    <row r="6408" spans="1:23" hidden="1" x14ac:dyDescent="0.25">
      <c r="A6408" s="3">
        <v>46131</v>
      </c>
      <c r="B6408" s="46" t="s">
        <v>334</v>
      </c>
      <c r="C6408" s="4" t="s">
        <v>827</v>
      </c>
      <c r="D6408" s="4"/>
      <c r="E6408" s="4"/>
      <c r="F6408" s="46" t="s">
        <v>3112</v>
      </c>
      <c r="G6408" s="4" t="s">
        <v>336</v>
      </c>
      <c r="H6408" s="4" t="s">
        <v>289</v>
      </c>
      <c r="I6408" s="4">
        <v>1</v>
      </c>
      <c r="J6408" s="21">
        <v>130</v>
      </c>
      <c r="K6408" s="21">
        <v>0</v>
      </c>
      <c r="L6408" s="5">
        <v>0</v>
      </c>
      <c r="M6408" s="4"/>
      <c r="N6408" s="4"/>
      <c r="O6408" s="5"/>
      <c r="P6408" s="5"/>
      <c r="Q6408" s="21">
        <v>130</v>
      </c>
      <c r="R6408" s="21">
        <v>0</v>
      </c>
      <c r="S6408" s="5">
        <f t="shared" si="403"/>
        <v>34252.541749698357</v>
      </c>
      <c r="T6408" cm="1">
        <f t="array" ref="T6408">IF(OR(B6408="MAL ALIMI", B6408="ÜRETİM GİRİŞ"), MIN(I6408, MAX(0, I6408 + SUM(SUMIFS($I$1:I6407, $C$1:C6407, C6408, $B$1:B6407, {"MAL ALIMI","ÜRETİM GİRİŞ"})) - VLOOKUP(C6408, 'STOK RAPORU'!$C$2:$I$1000, 4, 0))), 0)</f>
        <v>0</v>
      </c>
      <c r="U6408" s="22">
        <f t="shared" si="400"/>
        <v>0</v>
      </c>
      <c r="V6408">
        <f t="shared" si="401"/>
        <v>0</v>
      </c>
      <c r="W6408" s="22">
        <f t="shared" si="402"/>
        <v>0</v>
      </c>
    </row>
    <row r="6409" spans="1:23" hidden="1" x14ac:dyDescent="0.25">
      <c r="A6409" s="3">
        <v>46131</v>
      </c>
      <c r="B6409" s="46" t="s">
        <v>334</v>
      </c>
      <c r="C6409" s="4" t="s">
        <v>160</v>
      </c>
      <c r="D6409" s="4"/>
      <c r="E6409" s="4"/>
      <c r="F6409" s="46" t="s">
        <v>3113</v>
      </c>
      <c r="G6409" s="4" t="s">
        <v>336</v>
      </c>
      <c r="H6409" s="4" t="s">
        <v>289</v>
      </c>
      <c r="I6409" s="4">
        <v>0.5</v>
      </c>
      <c r="J6409" s="21">
        <v>250</v>
      </c>
      <c r="K6409" s="21">
        <v>0</v>
      </c>
      <c r="L6409" s="5">
        <v>0</v>
      </c>
      <c r="M6409" s="4"/>
      <c r="N6409" s="4"/>
      <c r="O6409" s="5"/>
      <c r="P6409" s="5"/>
      <c r="Q6409" s="21">
        <v>125</v>
      </c>
      <c r="R6409" s="21">
        <v>0</v>
      </c>
      <c r="S6409" s="5">
        <f t="shared" si="403"/>
        <v>34377.541749698357</v>
      </c>
      <c r="T6409" cm="1">
        <f t="array" ref="T6409">IF(OR(B6409="MAL ALIMI", B6409="ÜRETİM GİRİŞ"), MIN(I6409, MAX(0, I6409 + SUM(SUMIFS($I$1:I6408, $C$1:C6408, C6409, $B$1:B6408, {"MAL ALIMI","ÜRETİM GİRİŞ"})) - VLOOKUP(C6409, 'STOK RAPORU'!$C$2:$I$1000, 4, 0))), 0)</f>
        <v>0</v>
      </c>
      <c r="U6409" s="22">
        <f t="shared" si="400"/>
        <v>0</v>
      </c>
      <c r="V6409">
        <f t="shared" si="401"/>
        <v>0</v>
      </c>
      <c r="W6409" s="22">
        <f t="shared" si="402"/>
        <v>0</v>
      </c>
    </row>
    <row r="6410" spans="1:23" hidden="1" x14ac:dyDescent="0.25">
      <c r="A6410" s="3">
        <v>46131</v>
      </c>
      <c r="B6410" s="46" t="s">
        <v>334</v>
      </c>
      <c r="C6410" s="4" t="s">
        <v>161</v>
      </c>
      <c r="D6410" s="4"/>
      <c r="E6410" s="4"/>
      <c r="F6410" s="46" t="s">
        <v>3113</v>
      </c>
      <c r="G6410" s="4" t="s">
        <v>336</v>
      </c>
      <c r="H6410" s="4" t="s">
        <v>289</v>
      </c>
      <c r="I6410" s="4">
        <v>0.5</v>
      </c>
      <c r="J6410" s="21">
        <v>250</v>
      </c>
      <c r="K6410" s="21">
        <v>0</v>
      </c>
      <c r="L6410" s="5">
        <v>0</v>
      </c>
      <c r="M6410" s="4"/>
      <c r="N6410" s="4"/>
      <c r="O6410" s="5"/>
      <c r="P6410" s="5"/>
      <c r="Q6410" s="21">
        <v>125</v>
      </c>
      <c r="R6410" s="21">
        <v>0</v>
      </c>
      <c r="S6410" s="5">
        <f t="shared" si="403"/>
        <v>34502.541749698357</v>
      </c>
      <c r="T6410" cm="1">
        <f t="array" ref="T6410">IF(OR(B6410="MAL ALIMI", B6410="ÜRETİM GİRİŞ"), MIN(I6410, MAX(0, I6410 + SUM(SUMIFS($I$1:I6409, $C$1:C6409, C6410, $B$1:B6409, {"MAL ALIMI","ÜRETİM GİRİŞ"})) - VLOOKUP(C6410, 'STOK RAPORU'!$C$2:$I$1000, 4, 0))), 0)</f>
        <v>0</v>
      </c>
      <c r="U6410" s="22">
        <f t="shared" si="400"/>
        <v>0</v>
      </c>
      <c r="V6410">
        <f t="shared" si="401"/>
        <v>0</v>
      </c>
      <c r="W6410" s="22">
        <f t="shared" si="402"/>
        <v>0</v>
      </c>
    </row>
    <row r="6411" spans="1:23" hidden="1" x14ac:dyDescent="0.25">
      <c r="A6411" s="3">
        <v>46131</v>
      </c>
      <c r="B6411" s="46" t="s">
        <v>334</v>
      </c>
      <c r="C6411" s="4" t="s">
        <v>133</v>
      </c>
      <c r="D6411" s="4"/>
      <c r="E6411" s="4"/>
      <c r="F6411" s="46" t="s">
        <v>3113</v>
      </c>
      <c r="G6411" s="4" t="s">
        <v>336</v>
      </c>
      <c r="H6411" s="4" t="s">
        <v>289</v>
      </c>
      <c r="I6411" s="4">
        <v>0.125</v>
      </c>
      <c r="J6411" s="21">
        <v>400</v>
      </c>
      <c r="K6411" s="21">
        <v>0</v>
      </c>
      <c r="L6411" s="5">
        <v>0</v>
      </c>
      <c r="M6411" s="4"/>
      <c r="N6411" s="4"/>
      <c r="O6411" s="5"/>
      <c r="P6411" s="5"/>
      <c r="Q6411" s="21">
        <v>50</v>
      </c>
      <c r="R6411" s="21">
        <v>0</v>
      </c>
      <c r="S6411" s="5">
        <f t="shared" si="403"/>
        <v>34552.541749698357</v>
      </c>
      <c r="T6411" cm="1">
        <f t="array" ref="T6411">IF(OR(B6411="MAL ALIMI", B6411="ÜRETİM GİRİŞ"), MIN(I6411, MAX(0, I6411 + SUM(SUMIFS($I$1:I6410, $C$1:C6410, C6411, $B$1:B6410, {"MAL ALIMI","ÜRETİM GİRİŞ"})) - VLOOKUP(C6411, 'STOK RAPORU'!$C$2:$I$1000, 4, 0))), 0)</f>
        <v>0</v>
      </c>
      <c r="U6411" s="22">
        <f t="shared" si="400"/>
        <v>0</v>
      </c>
      <c r="V6411">
        <f t="shared" si="401"/>
        <v>0</v>
      </c>
      <c r="W6411" s="22">
        <f t="shared" si="402"/>
        <v>0</v>
      </c>
    </row>
    <row r="6412" spans="1:23" hidden="1" x14ac:dyDescent="0.25">
      <c r="A6412" s="3">
        <v>46131</v>
      </c>
      <c r="B6412" s="46" t="s">
        <v>334</v>
      </c>
      <c r="C6412" s="4" t="s">
        <v>60</v>
      </c>
      <c r="D6412" s="4"/>
      <c r="E6412" s="4"/>
      <c r="F6412" s="46" t="s">
        <v>3113</v>
      </c>
      <c r="G6412" s="4" t="s">
        <v>336</v>
      </c>
      <c r="H6412" s="4" t="s">
        <v>289</v>
      </c>
      <c r="I6412" s="4">
        <v>0.05</v>
      </c>
      <c r="J6412" s="21">
        <v>1200</v>
      </c>
      <c r="K6412" s="21">
        <v>0</v>
      </c>
      <c r="L6412" s="5">
        <v>0</v>
      </c>
      <c r="M6412" s="4"/>
      <c r="N6412" s="4"/>
      <c r="O6412" s="5"/>
      <c r="P6412" s="5"/>
      <c r="Q6412" s="21">
        <v>60</v>
      </c>
      <c r="R6412" s="21">
        <v>0</v>
      </c>
      <c r="S6412" s="5">
        <f t="shared" si="403"/>
        <v>34612.541749698357</v>
      </c>
      <c r="T6412" cm="1">
        <f t="array" ref="T6412">IF(OR(B6412="MAL ALIMI", B6412="ÜRETİM GİRİŞ"), MIN(I6412, MAX(0, I6412 + SUM(SUMIFS($I$1:I6411, $C$1:C6411, C6412, $B$1:B6411, {"MAL ALIMI","ÜRETİM GİRİŞ"})) - VLOOKUP(C6412, 'STOK RAPORU'!$C$2:$I$1000, 4, 0))), 0)</f>
        <v>0</v>
      </c>
      <c r="U6412" s="22">
        <f t="shared" si="400"/>
        <v>0</v>
      </c>
      <c r="V6412">
        <f t="shared" si="401"/>
        <v>0</v>
      </c>
      <c r="W6412" s="22">
        <f t="shared" si="402"/>
        <v>0</v>
      </c>
    </row>
    <row r="6413" spans="1:23" hidden="1" x14ac:dyDescent="0.25">
      <c r="A6413" s="3">
        <v>46131</v>
      </c>
      <c r="B6413" s="46" t="s">
        <v>334</v>
      </c>
      <c r="C6413" s="4" t="s">
        <v>524</v>
      </c>
      <c r="D6413" s="4"/>
      <c r="E6413" s="4"/>
      <c r="F6413" s="46" t="s">
        <v>3113</v>
      </c>
      <c r="G6413" s="4" t="s">
        <v>336</v>
      </c>
      <c r="H6413" s="4" t="s">
        <v>289</v>
      </c>
      <c r="I6413" s="4">
        <v>0.1</v>
      </c>
      <c r="J6413" s="21">
        <v>400</v>
      </c>
      <c r="K6413" s="21">
        <v>0</v>
      </c>
      <c r="L6413" s="5">
        <v>0</v>
      </c>
      <c r="M6413" s="4"/>
      <c r="N6413" s="4"/>
      <c r="O6413" s="5"/>
      <c r="P6413" s="5"/>
      <c r="Q6413" s="21">
        <v>40</v>
      </c>
      <c r="R6413" s="21">
        <v>0</v>
      </c>
      <c r="S6413" s="5">
        <f t="shared" si="403"/>
        <v>34652.541749698357</v>
      </c>
      <c r="T6413" cm="1">
        <f t="array" ref="T6413">IF(OR(B6413="MAL ALIMI", B6413="ÜRETİM GİRİŞ"), MIN(I6413, MAX(0, I6413 + SUM(SUMIFS($I$1:I6412, $C$1:C6412, C6413, $B$1:B6412, {"MAL ALIMI","ÜRETİM GİRİŞ"})) - VLOOKUP(C6413, 'STOK RAPORU'!$C$2:$I$1000, 4, 0))), 0)</f>
        <v>0</v>
      </c>
      <c r="U6413" s="22">
        <f t="shared" si="400"/>
        <v>0</v>
      </c>
      <c r="V6413">
        <f t="shared" si="401"/>
        <v>0</v>
      </c>
      <c r="W6413" s="22">
        <f t="shared" si="402"/>
        <v>0</v>
      </c>
    </row>
    <row r="6414" spans="1:23" hidden="1" x14ac:dyDescent="0.25">
      <c r="A6414" s="3">
        <v>46131</v>
      </c>
      <c r="B6414" s="46" t="s">
        <v>334</v>
      </c>
      <c r="C6414" s="4" t="s">
        <v>1383</v>
      </c>
      <c r="D6414" s="4"/>
      <c r="E6414" s="4"/>
      <c r="F6414" s="46" t="s">
        <v>3114</v>
      </c>
      <c r="G6414" s="4" t="s">
        <v>1771</v>
      </c>
      <c r="H6414" s="4" t="s">
        <v>289</v>
      </c>
      <c r="I6414" s="4">
        <v>1</v>
      </c>
      <c r="J6414" s="21">
        <v>155</v>
      </c>
      <c r="K6414" s="21">
        <v>0</v>
      </c>
      <c r="L6414" s="5">
        <v>0</v>
      </c>
      <c r="M6414" s="4"/>
      <c r="N6414" s="4"/>
      <c r="O6414" s="5"/>
      <c r="P6414" s="5"/>
      <c r="Q6414" s="21">
        <v>155</v>
      </c>
      <c r="R6414" s="21">
        <v>0</v>
      </c>
      <c r="S6414" s="5">
        <f t="shared" si="403"/>
        <v>34807.541749698357</v>
      </c>
      <c r="T6414" cm="1">
        <f t="array" ref="T6414">IF(OR(B6414="MAL ALIMI", B6414="ÜRETİM GİRİŞ"), MIN(I6414, MAX(0, I6414 + SUM(SUMIFS($I$1:I6413, $C$1:C6413, C6414, $B$1:B6413, {"MAL ALIMI","ÜRETİM GİRİŞ"})) - VLOOKUP(C6414, 'STOK RAPORU'!$C$2:$I$1000, 4, 0))), 0)</f>
        <v>0</v>
      </c>
      <c r="U6414" s="22">
        <f t="shared" si="400"/>
        <v>0</v>
      </c>
      <c r="V6414">
        <f t="shared" si="401"/>
        <v>0</v>
      </c>
      <c r="W6414" s="22">
        <f t="shared" si="402"/>
        <v>0</v>
      </c>
    </row>
    <row r="6415" spans="1:23" hidden="1" x14ac:dyDescent="0.25">
      <c r="A6415" s="3">
        <v>46131</v>
      </c>
      <c r="B6415" s="46" t="s">
        <v>334</v>
      </c>
      <c r="C6415" s="4" t="s">
        <v>1384</v>
      </c>
      <c r="D6415" s="4"/>
      <c r="E6415" s="4"/>
      <c r="F6415" s="46" t="s">
        <v>3114</v>
      </c>
      <c r="G6415" s="4" t="s">
        <v>1771</v>
      </c>
      <c r="H6415" s="4" t="s">
        <v>289</v>
      </c>
      <c r="I6415" s="4">
        <v>1</v>
      </c>
      <c r="J6415" s="21">
        <v>190</v>
      </c>
      <c r="K6415" s="21">
        <v>0</v>
      </c>
      <c r="L6415" s="5">
        <v>0</v>
      </c>
      <c r="M6415" s="4"/>
      <c r="N6415" s="4"/>
      <c r="O6415" s="5"/>
      <c r="P6415" s="5"/>
      <c r="Q6415" s="21">
        <v>190</v>
      </c>
      <c r="R6415" s="21">
        <v>0</v>
      </c>
      <c r="S6415" s="5">
        <f t="shared" si="403"/>
        <v>34997.541749698357</v>
      </c>
      <c r="T6415" cm="1">
        <f t="array" ref="T6415">IF(OR(B6415="MAL ALIMI", B6415="ÜRETİM GİRİŞ"), MIN(I6415, MAX(0, I6415 + SUM(SUMIFS($I$1:I6414, $C$1:C6414, C6415, $B$1:B6414, {"MAL ALIMI","ÜRETİM GİRİŞ"})) - VLOOKUP(C6415, 'STOK RAPORU'!$C$2:$I$1000, 4, 0))), 0)</f>
        <v>0</v>
      </c>
      <c r="U6415" s="22">
        <f t="shared" si="400"/>
        <v>0</v>
      </c>
      <c r="V6415">
        <f t="shared" si="401"/>
        <v>0</v>
      </c>
      <c r="W6415" s="22">
        <f t="shared" si="402"/>
        <v>0</v>
      </c>
    </row>
    <row r="6416" spans="1:23" hidden="1" x14ac:dyDescent="0.25">
      <c r="A6416" s="3">
        <v>46131</v>
      </c>
      <c r="B6416" s="46" t="s">
        <v>334</v>
      </c>
      <c r="C6416" s="4" t="s">
        <v>60</v>
      </c>
      <c r="D6416" s="4"/>
      <c r="E6416" s="4"/>
      <c r="F6416" s="46" t="s">
        <v>3114</v>
      </c>
      <c r="G6416" s="4" t="s">
        <v>1771</v>
      </c>
      <c r="H6416" s="4" t="s">
        <v>289</v>
      </c>
      <c r="I6416" s="4">
        <v>0.1</v>
      </c>
      <c r="J6416" s="21">
        <v>1200</v>
      </c>
      <c r="K6416" s="21">
        <v>0</v>
      </c>
      <c r="L6416" s="5">
        <v>0</v>
      </c>
      <c r="M6416" s="4"/>
      <c r="N6416" s="4"/>
      <c r="O6416" s="5"/>
      <c r="P6416" s="5"/>
      <c r="Q6416" s="21">
        <v>120</v>
      </c>
      <c r="R6416" s="21">
        <v>0</v>
      </c>
      <c r="S6416" s="5">
        <f t="shared" si="403"/>
        <v>35117.541749698357</v>
      </c>
      <c r="T6416" cm="1">
        <f t="array" ref="T6416">IF(OR(B6416="MAL ALIMI", B6416="ÜRETİM GİRİŞ"), MIN(I6416, MAX(0, I6416 + SUM(SUMIFS($I$1:I6415, $C$1:C6415, C6416, $B$1:B6415, {"MAL ALIMI","ÜRETİM GİRİŞ"})) - VLOOKUP(C6416, 'STOK RAPORU'!$C$2:$I$1000, 4, 0))), 0)</f>
        <v>0</v>
      </c>
      <c r="U6416" s="22">
        <f t="shared" si="400"/>
        <v>0</v>
      </c>
      <c r="V6416">
        <f t="shared" si="401"/>
        <v>0</v>
      </c>
      <c r="W6416" s="22">
        <f t="shared" si="402"/>
        <v>0</v>
      </c>
    </row>
    <row r="6417" spans="1:23" hidden="1" x14ac:dyDescent="0.25">
      <c r="A6417" s="3">
        <v>46131</v>
      </c>
      <c r="B6417" s="42" t="s">
        <v>334</v>
      </c>
      <c r="C6417" s="42" t="s">
        <v>1634</v>
      </c>
      <c r="D6417" s="42"/>
      <c r="E6417" s="4" t="s">
        <v>921</v>
      </c>
      <c r="F6417" s="46" t="s">
        <v>3115</v>
      </c>
      <c r="G6417" s="42" t="s">
        <v>2729</v>
      </c>
      <c r="H6417" s="42" t="s">
        <v>380</v>
      </c>
      <c r="I6417" s="42">
        <v>2</v>
      </c>
      <c r="J6417" s="43">
        <v>350</v>
      </c>
      <c r="K6417" s="43">
        <v>700</v>
      </c>
      <c r="L6417" s="44">
        <v>0</v>
      </c>
      <c r="M6417" s="42"/>
      <c r="N6417" s="42"/>
      <c r="O6417" s="44"/>
      <c r="P6417" s="44"/>
      <c r="Q6417" s="43">
        <v>0</v>
      </c>
      <c r="R6417" s="43">
        <v>0</v>
      </c>
      <c r="S6417" s="5">
        <f t="shared" si="403"/>
        <v>35117.541749698357</v>
      </c>
      <c r="T6417" cm="1">
        <f t="array" ref="T6417">IF(OR(B6417="MAL ALIMI", B6417="ÜRETİM GİRİŞ"), MIN(I6417, MAX(0, I6417 + SUM(SUMIFS($I$1:I6416, $C$1:C6416, C6417, $B$1:B6416, {"MAL ALIMI","ÜRETİM GİRİŞ"})) - VLOOKUP(C6417, 'STOK RAPORU'!$C$2:$I$1000, 4, 0))), 0)</f>
        <v>0</v>
      </c>
      <c r="U6417" s="22">
        <f t="shared" si="400"/>
        <v>0</v>
      </c>
      <c r="V6417">
        <f t="shared" si="401"/>
        <v>0</v>
      </c>
      <c r="W6417" s="22">
        <f t="shared" si="402"/>
        <v>0</v>
      </c>
    </row>
    <row r="6418" spans="1:23" hidden="1" x14ac:dyDescent="0.25">
      <c r="A6418" s="3">
        <v>46131</v>
      </c>
      <c r="B6418" s="42" t="s">
        <v>334</v>
      </c>
      <c r="C6418" s="42" t="s">
        <v>160</v>
      </c>
      <c r="D6418" s="42"/>
      <c r="E6418" s="4" t="s">
        <v>921</v>
      </c>
      <c r="F6418" s="46" t="s">
        <v>3115</v>
      </c>
      <c r="G6418" s="42" t="s">
        <v>2729</v>
      </c>
      <c r="H6418" s="42" t="s">
        <v>380</v>
      </c>
      <c r="I6418" s="42">
        <v>1</v>
      </c>
      <c r="J6418" s="43">
        <v>250</v>
      </c>
      <c r="K6418" s="43">
        <v>250</v>
      </c>
      <c r="L6418" s="44">
        <v>0</v>
      </c>
      <c r="M6418" s="42"/>
      <c r="N6418" s="42"/>
      <c r="O6418" s="44"/>
      <c r="P6418" s="44"/>
      <c r="Q6418" s="43">
        <v>0</v>
      </c>
      <c r="R6418" s="43">
        <v>0</v>
      </c>
      <c r="S6418" s="5">
        <f t="shared" si="403"/>
        <v>35117.541749698357</v>
      </c>
      <c r="T6418" cm="1">
        <f t="array" ref="T6418">IF(OR(B6418="MAL ALIMI", B6418="ÜRETİM GİRİŞ"), MIN(I6418, MAX(0, I6418 + SUM(SUMIFS($I$1:I6417, $C$1:C6417, C6418, $B$1:B6417, {"MAL ALIMI","ÜRETİM GİRİŞ"})) - VLOOKUP(C6418, 'STOK RAPORU'!$C$2:$I$1000, 4, 0))), 0)</f>
        <v>0</v>
      </c>
      <c r="U6418" s="22">
        <f t="shared" si="400"/>
        <v>0</v>
      </c>
      <c r="V6418">
        <f t="shared" si="401"/>
        <v>0</v>
      </c>
      <c r="W6418" s="22">
        <f t="shared" si="402"/>
        <v>0</v>
      </c>
    </row>
    <row r="6419" spans="1:23" hidden="1" x14ac:dyDescent="0.25">
      <c r="A6419" s="3">
        <v>46131</v>
      </c>
      <c r="B6419" s="42" t="s">
        <v>334</v>
      </c>
      <c r="C6419" s="42" t="s">
        <v>1399</v>
      </c>
      <c r="D6419" s="42"/>
      <c r="E6419" s="4" t="s">
        <v>921</v>
      </c>
      <c r="F6419" s="46" t="s">
        <v>3115</v>
      </c>
      <c r="G6419" s="42" t="s">
        <v>2729</v>
      </c>
      <c r="H6419" s="42" t="s">
        <v>380</v>
      </c>
      <c r="I6419" s="42">
        <v>1</v>
      </c>
      <c r="J6419" s="43">
        <v>170</v>
      </c>
      <c r="K6419" s="43">
        <v>170</v>
      </c>
      <c r="L6419" s="44">
        <v>0</v>
      </c>
      <c r="M6419" s="42"/>
      <c r="N6419" s="42"/>
      <c r="O6419" s="44"/>
      <c r="P6419" s="44"/>
      <c r="Q6419" s="43">
        <v>0</v>
      </c>
      <c r="R6419" s="43">
        <v>0</v>
      </c>
      <c r="S6419" s="5">
        <f t="shared" si="403"/>
        <v>35117.541749698357</v>
      </c>
      <c r="T6419" cm="1">
        <f t="array" ref="T6419">IF(OR(B6419="MAL ALIMI", B6419="ÜRETİM GİRİŞ"), MIN(I6419, MAX(0, I6419 + SUM(SUMIFS($I$1:I6418, $C$1:C6418, C6419, $B$1:B6418, {"MAL ALIMI","ÜRETİM GİRİŞ"})) - VLOOKUP(C6419, 'STOK RAPORU'!$C$2:$I$1000, 4, 0))), 0)</f>
        <v>0</v>
      </c>
      <c r="U6419" s="22">
        <f t="shared" si="400"/>
        <v>0</v>
      </c>
      <c r="V6419">
        <f t="shared" si="401"/>
        <v>0</v>
      </c>
      <c r="W6419" s="22">
        <f t="shared" si="402"/>
        <v>0</v>
      </c>
    </row>
    <row r="6420" spans="1:23" hidden="1" x14ac:dyDescent="0.25">
      <c r="A6420" s="3">
        <v>46131</v>
      </c>
      <c r="B6420" s="46" t="s">
        <v>334</v>
      </c>
      <c r="C6420" s="4" t="s">
        <v>835</v>
      </c>
      <c r="D6420" s="4"/>
      <c r="E6420" s="4" t="s">
        <v>921</v>
      </c>
      <c r="F6420" s="46" t="s">
        <v>3115</v>
      </c>
      <c r="G6420" s="4" t="s">
        <v>2729</v>
      </c>
      <c r="H6420" s="4" t="s">
        <v>380</v>
      </c>
      <c r="I6420" s="4">
        <v>1</v>
      </c>
      <c r="J6420" s="21">
        <v>130</v>
      </c>
      <c r="K6420" s="21">
        <v>130</v>
      </c>
      <c r="L6420" s="5">
        <v>0</v>
      </c>
      <c r="M6420" s="4"/>
      <c r="N6420" s="4"/>
      <c r="O6420" s="5"/>
      <c r="P6420" s="5"/>
      <c r="Q6420" s="21">
        <v>0</v>
      </c>
      <c r="R6420" s="21">
        <v>0</v>
      </c>
      <c r="S6420" s="5">
        <f t="shared" si="403"/>
        <v>35117.541749698357</v>
      </c>
      <c r="T6420" cm="1">
        <f t="array" ref="T6420">IF(OR(B6420="MAL ALIMI", B6420="ÜRETİM GİRİŞ"), MIN(I6420, MAX(0, I6420 + SUM(SUMIFS($I$1:I6419, $C$1:C6419, C6420, $B$1:B6419, {"MAL ALIMI","ÜRETİM GİRİŞ"})) - VLOOKUP(C6420, 'STOK RAPORU'!$C$2:$I$1000, 4, 0))), 0)</f>
        <v>0</v>
      </c>
      <c r="U6420" s="22">
        <f t="shared" si="400"/>
        <v>0</v>
      </c>
      <c r="V6420">
        <f t="shared" si="401"/>
        <v>0</v>
      </c>
      <c r="W6420" s="22">
        <f t="shared" si="402"/>
        <v>0</v>
      </c>
    </row>
    <row r="6421" spans="1:23" hidden="1" x14ac:dyDescent="0.25">
      <c r="A6421" s="3">
        <v>46131</v>
      </c>
      <c r="B6421" s="46" t="s">
        <v>334</v>
      </c>
      <c r="C6421" s="4" t="s">
        <v>523</v>
      </c>
      <c r="D6421" s="4"/>
      <c r="E6421" s="4"/>
      <c r="F6421" s="46" t="s">
        <v>3116</v>
      </c>
      <c r="G6421" s="4" t="s">
        <v>336</v>
      </c>
      <c r="H6421" s="4" t="s">
        <v>289</v>
      </c>
      <c r="I6421" s="4">
        <v>0.08</v>
      </c>
      <c r="J6421" s="21">
        <v>750</v>
      </c>
      <c r="K6421" s="21">
        <v>0</v>
      </c>
      <c r="L6421" s="5">
        <v>0</v>
      </c>
      <c r="M6421" s="4"/>
      <c r="N6421" s="4"/>
      <c r="O6421" s="5"/>
      <c r="P6421" s="5"/>
      <c r="Q6421" s="21">
        <v>60</v>
      </c>
      <c r="R6421" s="21">
        <v>0</v>
      </c>
      <c r="S6421" s="5">
        <f t="shared" si="403"/>
        <v>35177.541749698357</v>
      </c>
      <c r="T6421" cm="1">
        <f t="array" ref="T6421">IF(OR(B6421="MAL ALIMI", B6421="ÜRETİM GİRİŞ"), MIN(I6421, MAX(0, I6421 + SUM(SUMIFS($I$1:I6420, $C$1:C6420, C6421, $B$1:B6420, {"MAL ALIMI","ÜRETİM GİRİŞ"})) - VLOOKUP(C6421, 'STOK RAPORU'!$C$2:$I$1000, 4, 0))), 0)</f>
        <v>0</v>
      </c>
      <c r="U6421" s="22">
        <f t="shared" si="400"/>
        <v>0</v>
      </c>
      <c r="V6421">
        <f t="shared" si="401"/>
        <v>0</v>
      </c>
      <c r="W6421" s="22">
        <f t="shared" si="402"/>
        <v>0</v>
      </c>
    </row>
    <row r="6422" spans="1:23" hidden="1" x14ac:dyDescent="0.25">
      <c r="A6422" s="3">
        <v>46131</v>
      </c>
      <c r="B6422" s="46" t="s">
        <v>334</v>
      </c>
      <c r="C6422" s="4" t="s">
        <v>132</v>
      </c>
      <c r="D6422" s="4"/>
      <c r="E6422" s="4"/>
      <c r="F6422" s="46" t="s">
        <v>3117</v>
      </c>
      <c r="G6422" s="4" t="s">
        <v>336</v>
      </c>
      <c r="H6422" s="4" t="s">
        <v>289</v>
      </c>
      <c r="I6422" s="4">
        <v>8.5999999999999993E-2</v>
      </c>
      <c r="J6422" s="21">
        <v>500</v>
      </c>
      <c r="K6422" s="21">
        <v>0</v>
      </c>
      <c r="L6422" s="5">
        <v>0</v>
      </c>
      <c r="M6422" s="4"/>
      <c r="N6422" s="4"/>
      <c r="O6422" s="5"/>
      <c r="P6422" s="5"/>
      <c r="Q6422" s="21">
        <v>43</v>
      </c>
      <c r="R6422" s="21">
        <v>0</v>
      </c>
      <c r="S6422" s="5">
        <f t="shared" si="403"/>
        <v>35220.541749698357</v>
      </c>
      <c r="T6422" cm="1">
        <f t="array" ref="T6422">IF(OR(B6422="MAL ALIMI", B6422="ÜRETİM GİRİŞ"), MIN(I6422, MAX(0, I6422 + SUM(SUMIFS($I$1:I6421, $C$1:C6421, C6422, $B$1:B6421, {"MAL ALIMI","ÜRETİM GİRİŞ"})) - VLOOKUP(C6422, 'STOK RAPORU'!$C$2:$I$1000, 4, 0))), 0)</f>
        <v>0</v>
      </c>
      <c r="U6422" s="22">
        <f t="shared" si="400"/>
        <v>0</v>
      </c>
      <c r="V6422">
        <f t="shared" si="401"/>
        <v>0</v>
      </c>
      <c r="W6422" s="22">
        <f t="shared" si="402"/>
        <v>0</v>
      </c>
    </row>
    <row r="6423" spans="1:23" hidden="1" x14ac:dyDescent="0.25">
      <c r="A6423" s="3">
        <v>46131</v>
      </c>
      <c r="B6423" s="46" t="s">
        <v>334</v>
      </c>
      <c r="C6423" s="4" t="s">
        <v>140</v>
      </c>
      <c r="D6423" s="4"/>
      <c r="E6423" s="4"/>
      <c r="F6423" s="46" t="s">
        <v>3117</v>
      </c>
      <c r="G6423" s="4" t="s">
        <v>336</v>
      </c>
      <c r="H6423" s="4" t="s">
        <v>289</v>
      </c>
      <c r="I6423" s="4">
        <v>5.8000000000000003E-2</v>
      </c>
      <c r="J6423" s="21">
        <v>300</v>
      </c>
      <c r="K6423" s="21">
        <v>0</v>
      </c>
      <c r="L6423" s="5">
        <v>0</v>
      </c>
      <c r="M6423" s="4"/>
      <c r="N6423" s="4"/>
      <c r="O6423" s="5"/>
      <c r="P6423" s="5"/>
      <c r="Q6423" s="21">
        <v>17.400000000000002</v>
      </c>
      <c r="R6423" s="21">
        <v>0</v>
      </c>
      <c r="S6423" s="5">
        <f t="shared" si="403"/>
        <v>35237.941749698359</v>
      </c>
      <c r="T6423" cm="1">
        <f t="array" ref="T6423">IF(OR(B6423="MAL ALIMI", B6423="ÜRETİM GİRİŞ"), MIN(I6423, MAX(0, I6423 + SUM(SUMIFS($I$1:I6422, $C$1:C6422, C6423, $B$1:B6422, {"MAL ALIMI","ÜRETİM GİRİŞ"})) - VLOOKUP(C6423, 'STOK RAPORU'!$C$2:$I$1000, 4, 0))), 0)</f>
        <v>0</v>
      </c>
      <c r="U6423" s="22">
        <f t="shared" si="400"/>
        <v>0</v>
      </c>
      <c r="V6423">
        <f t="shared" si="401"/>
        <v>0</v>
      </c>
      <c r="W6423" s="22">
        <f t="shared" si="402"/>
        <v>0</v>
      </c>
    </row>
    <row r="6424" spans="1:23" hidden="1" x14ac:dyDescent="0.25">
      <c r="A6424" s="3">
        <v>46131</v>
      </c>
      <c r="B6424" s="46" t="s">
        <v>334</v>
      </c>
      <c r="C6424" s="4" t="s">
        <v>156</v>
      </c>
      <c r="D6424" s="4"/>
      <c r="E6424" s="4"/>
      <c r="F6424" s="46" t="s">
        <v>3117</v>
      </c>
      <c r="G6424" s="4" t="s">
        <v>336</v>
      </c>
      <c r="H6424" s="4" t="s">
        <v>289</v>
      </c>
      <c r="I6424" s="4">
        <v>0.5</v>
      </c>
      <c r="J6424" s="21">
        <v>200</v>
      </c>
      <c r="K6424" s="21">
        <v>0</v>
      </c>
      <c r="L6424" s="5">
        <v>0</v>
      </c>
      <c r="M6424" s="4"/>
      <c r="N6424" s="4"/>
      <c r="O6424" s="5"/>
      <c r="P6424" s="5"/>
      <c r="Q6424" s="21">
        <v>100</v>
      </c>
      <c r="R6424" s="21">
        <v>0</v>
      </c>
      <c r="S6424" s="5">
        <f t="shared" si="403"/>
        <v>35337.941749698359</v>
      </c>
      <c r="T6424" cm="1">
        <f t="array" ref="T6424">IF(OR(B6424="MAL ALIMI", B6424="ÜRETİM GİRİŞ"), MIN(I6424, MAX(0, I6424 + SUM(SUMIFS($I$1:I6423, $C$1:C6423, C6424, $B$1:B6423, {"MAL ALIMI","ÜRETİM GİRİŞ"})) - VLOOKUP(C6424, 'STOK RAPORU'!$C$2:$I$1000, 4, 0))), 0)</f>
        <v>0</v>
      </c>
      <c r="U6424" s="22">
        <f t="shared" si="400"/>
        <v>0</v>
      </c>
      <c r="V6424">
        <f t="shared" si="401"/>
        <v>0</v>
      </c>
      <c r="W6424" s="22">
        <f t="shared" si="402"/>
        <v>0</v>
      </c>
    </row>
    <row r="6425" spans="1:23" hidden="1" x14ac:dyDescent="0.25">
      <c r="A6425" s="3">
        <v>46131</v>
      </c>
      <c r="B6425" s="46" t="s">
        <v>334</v>
      </c>
      <c r="C6425" s="4" t="s">
        <v>157</v>
      </c>
      <c r="D6425" s="4"/>
      <c r="E6425" s="4"/>
      <c r="F6425" s="46" t="s">
        <v>3117</v>
      </c>
      <c r="G6425" s="4" t="s">
        <v>336</v>
      </c>
      <c r="H6425" s="4" t="s">
        <v>289</v>
      </c>
      <c r="I6425" s="4">
        <v>0.5</v>
      </c>
      <c r="J6425" s="21">
        <v>200</v>
      </c>
      <c r="K6425" s="21">
        <v>0</v>
      </c>
      <c r="L6425" s="5">
        <v>0</v>
      </c>
      <c r="M6425" s="4"/>
      <c r="N6425" s="4"/>
      <c r="O6425" s="5"/>
      <c r="P6425" s="5"/>
      <c r="Q6425" s="21">
        <v>100</v>
      </c>
      <c r="R6425" s="21">
        <v>0</v>
      </c>
      <c r="S6425" s="5">
        <f t="shared" si="403"/>
        <v>35437.941749698359</v>
      </c>
      <c r="T6425" cm="1">
        <f t="array" ref="T6425">IF(OR(B6425="MAL ALIMI", B6425="ÜRETİM GİRİŞ"), MIN(I6425, MAX(0, I6425 + SUM(SUMIFS($I$1:I6424, $C$1:C6424, C6425, $B$1:B6424, {"MAL ALIMI","ÜRETİM GİRİŞ"})) - VLOOKUP(C6425, 'STOK RAPORU'!$C$2:$I$1000, 4, 0))), 0)</f>
        <v>0</v>
      </c>
      <c r="U6425" s="22">
        <f t="shared" si="400"/>
        <v>0</v>
      </c>
      <c r="V6425">
        <f t="shared" si="401"/>
        <v>0</v>
      </c>
      <c r="W6425" s="22">
        <f t="shared" si="402"/>
        <v>0</v>
      </c>
    </row>
    <row r="6426" spans="1:23" hidden="1" x14ac:dyDescent="0.25">
      <c r="A6426" s="3">
        <v>46131</v>
      </c>
      <c r="B6426" s="46" t="s">
        <v>334</v>
      </c>
      <c r="C6426" s="4" t="s">
        <v>166</v>
      </c>
      <c r="D6426" s="4"/>
      <c r="E6426" s="4" t="s">
        <v>921</v>
      </c>
      <c r="F6426" s="46" t="s">
        <v>3118</v>
      </c>
      <c r="G6426" s="4" t="s">
        <v>336</v>
      </c>
      <c r="H6426" s="4" t="s">
        <v>380</v>
      </c>
      <c r="I6426" s="4">
        <v>5.8000000000000003E-2</v>
      </c>
      <c r="J6426" s="21">
        <v>770</v>
      </c>
      <c r="K6426" s="21">
        <v>44.660000000000004</v>
      </c>
      <c r="L6426" s="5">
        <v>0</v>
      </c>
      <c r="M6426" s="4"/>
      <c r="N6426" s="4"/>
      <c r="O6426" s="5"/>
      <c r="P6426" s="5"/>
      <c r="Q6426" s="21">
        <v>0</v>
      </c>
      <c r="R6426" s="21">
        <v>0</v>
      </c>
      <c r="S6426" s="5">
        <f t="shared" si="403"/>
        <v>35437.941749698359</v>
      </c>
      <c r="T6426" cm="1">
        <f t="array" ref="T6426">IF(OR(B6426="MAL ALIMI", B6426="ÜRETİM GİRİŞ"), MIN(I6426, MAX(0, I6426 + SUM(SUMIFS($I$1:I6425, $C$1:C6425, C6426, $B$1:B6425, {"MAL ALIMI","ÜRETİM GİRİŞ"})) - VLOOKUP(C6426, 'STOK RAPORU'!$C$2:$I$1000, 4, 0))), 0)</f>
        <v>0</v>
      </c>
      <c r="U6426" s="22">
        <f t="shared" si="400"/>
        <v>0</v>
      </c>
      <c r="V6426">
        <f t="shared" si="401"/>
        <v>0</v>
      </c>
      <c r="W6426" s="22">
        <f t="shared" si="402"/>
        <v>0</v>
      </c>
    </row>
    <row r="6427" spans="1:23" hidden="1" x14ac:dyDescent="0.25">
      <c r="A6427" s="3">
        <v>46131</v>
      </c>
      <c r="B6427" s="46" t="s">
        <v>334</v>
      </c>
      <c r="C6427" s="4" t="s">
        <v>524</v>
      </c>
      <c r="D6427" s="4"/>
      <c r="E6427" s="4" t="s">
        <v>921</v>
      </c>
      <c r="F6427" s="46" t="s">
        <v>3118</v>
      </c>
      <c r="G6427" s="4" t="s">
        <v>336</v>
      </c>
      <c r="H6427" s="4" t="s">
        <v>380</v>
      </c>
      <c r="I6427" s="4">
        <v>0.1</v>
      </c>
      <c r="J6427" s="21">
        <v>400</v>
      </c>
      <c r="K6427" s="21">
        <v>40</v>
      </c>
      <c r="L6427" s="5">
        <v>0</v>
      </c>
      <c r="M6427" s="4"/>
      <c r="N6427" s="4"/>
      <c r="O6427" s="5"/>
      <c r="P6427" s="5"/>
      <c r="Q6427" s="21">
        <v>0</v>
      </c>
      <c r="R6427" s="21">
        <v>0</v>
      </c>
      <c r="S6427" s="5">
        <f t="shared" si="403"/>
        <v>35437.941749698359</v>
      </c>
      <c r="T6427" cm="1">
        <f t="array" ref="T6427">IF(OR(B6427="MAL ALIMI", B6427="ÜRETİM GİRİŞ"), MIN(I6427, MAX(0, I6427 + SUM(SUMIFS($I$1:I6426, $C$1:C6426, C6427, $B$1:B6426, {"MAL ALIMI","ÜRETİM GİRİŞ"})) - VLOOKUP(C6427, 'STOK RAPORU'!$C$2:$I$1000, 4, 0))), 0)</f>
        <v>0</v>
      </c>
      <c r="U6427" s="22">
        <f t="shared" si="400"/>
        <v>0</v>
      </c>
      <c r="V6427">
        <f t="shared" si="401"/>
        <v>0</v>
      </c>
      <c r="W6427" s="22">
        <f t="shared" si="402"/>
        <v>0</v>
      </c>
    </row>
    <row r="6428" spans="1:23" hidden="1" x14ac:dyDescent="0.25">
      <c r="A6428" s="3">
        <v>46131</v>
      </c>
      <c r="B6428" s="46" t="s">
        <v>334</v>
      </c>
      <c r="C6428" s="4" t="s">
        <v>126</v>
      </c>
      <c r="D6428" s="4"/>
      <c r="E6428" s="4" t="s">
        <v>921</v>
      </c>
      <c r="F6428" s="46" t="s">
        <v>3118</v>
      </c>
      <c r="G6428" s="4" t="s">
        <v>336</v>
      </c>
      <c r="H6428" s="4" t="s">
        <v>380</v>
      </c>
      <c r="I6428" s="4">
        <v>6.6000000000000003E-2</v>
      </c>
      <c r="J6428" s="21">
        <v>650</v>
      </c>
      <c r="K6428" s="21">
        <v>42.9</v>
      </c>
      <c r="L6428" s="5">
        <v>0</v>
      </c>
      <c r="M6428" s="4"/>
      <c r="N6428" s="4"/>
      <c r="O6428" s="5"/>
      <c r="P6428" s="5"/>
      <c r="Q6428" s="21">
        <v>0</v>
      </c>
      <c r="R6428" s="21">
        <v>0</v>
      </c>
      <c r="S6428" s="5">
        <f t="shared" si="403"/>
        <v>35437.941749698359</v>
      </c>
      <c r="T6428" cm="1">
        <f t="array" ref="T6428">IF(OR(B6428="MAL ALIMI", B6428="ÜRETİM GİRİŞ"), MIN(I6428, MAX(0, I6428 + SUM(SUMIFS($I$1:I6427, $C$1:C6427, C6428, $B$1:B6427, {"MAL ALIMI","ÜRETİM GİRİŞ"})) - VLOOKUP(C6428, 'STOK RAPORU'!$C$2:$I$1000, 4, 0))), 0)</f>
        <v>0</v>
      </c>
      <c r="U6428" s="22">
        <f t="shared" si="400"/>
        <v>0</v>
      </c>
      <c r="V6428">
        <f t="shared" si="401"/>
        <v>0</v>
      </c>
      <c r="W6428" s="22">
        <f t="shared" si="402"/>
        <v>0</v>
      </c>
    </row>
    <row r="6429" spans="1:23" hidden="1" x14ac:dyDescent="0.25">
      <c r="A6429" s="3">
        <v>46131</v>
      </c>
      <c r="B6429" s="46" t="s">
        <v>334</v>
      </c>
      <c r="C6429" s="4" t="s">
        <v>679</v>
      </c>
      <c r="D6429" s="4"/>
      <c r="E6429" s="4" t="s">
        <v>921</v>
      </c>
      <c r="F6429" s="46" t="s">
        <v>3118</v>
      </c>
      <c r="G6429" s="4" t="s">
        <v>336</v>
      </c>
      <c r="H6429" s="4" t="s">
        <v>380</v>
      </c>
      <c r="I6429" s="4">
        <v>0.25</v>
      </c>
      <c r="J6429" s="21">
        <v>400</v>
      </c>
      <c r="K6429" s="21">
        <v>100</v>
      </c>
      <c r="L6429" s="5">
        <v>0</v>
      </c>
      <c r="M6429" s="4"/>
      <c r="N6429" s="4"/>
      <c r="O6429" s="5"/>
      <c r="P6429" s="5"/>
      <c r="Q6429" s="21">
        <v>0</v>
      </c>
      <c r="R6429" s="21">
        <v>0</v>
      </c>
      <c r="S6429" s="5">
        <f t="shared" si="403"/>
        <v>35437.941749698359</v>
      </c>
      <c r="T6429" cm="1">
        <f t="array" ref="T6429">IF(OR(B6429="MAL ALIMI", B6429="ÜRETİM GİRİŞ"), MIN(I6429, MAX(0, I6429 + SUM(SUMIFS($I$1:I6428, $C$1:C6428, C6429, $B$1:B6428, {"MAL ALIMI","ÜRETİM GİRİŞ"})) - VLOOKUP(C6429, 'STOK RAPORU'!$C$2:$I$1000, 4, 0))), 0)</f>
        <v>0</v>
      </c>
      <c r="U6429" s="22">
        <f t="shared" si="400"/>
        <v>0</v>
      </c>
      <c r="V6429">
        <f t="shared" si="401"/>
        <v>0</v>
      </c>
      <c r="W6429" s="22">
        <f t="shared" si="402"/>
        <v>0</v>
      </c>
    </row>
    <row r="6430" spans="1:23" hidden="1" x14ac:dyDescent="0.25">
      <c r="A6430" s="3">
        <v>46131</v>
      </c>
      <c r="B6430" s="46" t="s">
        <v>334</v>
      </c>
      <c r="C6430" s="4" t="s">
        <v>467</v>
      </c>
      <c r="D6430" s="4"/>
      <c r="E6430" s="4"/>
      <c r="F6430" s="46" t="s">
        <v>3119</v>
      </c>
      <c r="G6430" s="4" t="s">
        <v>336</v>
      </c>
      <c r="H6430" s="4" t="s">
        <v>289</v>
      </c>
      <c r="I6430" s="4">
        <v>1</v>
      </c>
      <c r="J6430" s="21">
        <v>50</v>
      </c>
      <c r="K6430" s="21">
        <v>0</v>
      </c>
      <c r="L6430" s="5">
        <v>0</v>
      </c>
      <c r="M6430" s="4"/>
      <c r="N6430" s="4"/>
      <c r="O6430" s="5"/>
      <c r="P6430" s="5"/>
      <c r="Q6430" s="21">
        <v>50</v>
      </c>
      <c r="R6430" s="21">
        <v>0</v>
      </c>
      <c r="S6430" s="5">
        <f t="shared" si="403"/>
        <v>35487.941749698359</v>
      </c>
      <c r="T6430" cm="1">
        <f t="array" ref="T6430">IF(OR(B6430="MAL ALIMI", B6430="ÜRETİM GİRİŞ"), MIN(I6430, MAX(0, I6430 + SUM(SUMIFS($I$1:I6429, $C$1:C6429, C6430, $B$1:B6429, {"MAL ALIMI","ÜRETİM GİRİŞ"})) - VLOOKUP(C6430, 'STOK RAPORU'!$C$2:$I$1000, 4, 0))), 0)</f>
        <v>0</v>
      </c>
      <c r="U6430" s="22">
        <f t="shared" si="400"/>
        <v>0</v>
      </c>
      <c r="V6430">
        <f t="shared" si="401"/>
        <v>0</v>
      </c>
      <c r="W6430" s="22">
        <f t="shared" si="402"/>
        <v>0</v>
      </c>
    </row>
    <row r="6431" spans="1:23" hidden="1" x14ac:dyDescent="0.25">
      <c r="A6431" s="3">
        <v>46131</v>
      </c>
      <c r="B6431" s="46" t="s">
        <v>334</v>
      </c>
      <c r="C6431" s="4" t="s">
        <v>468</v>
      </c>
      <c r="D6431" s="4"/>
      <c r="E6431" s="4"/>
      <c r="F6431" s="46" t="s">
        <v>3119</v>
      </c>
      <c r="G6431" s="4" t="s">
        <v>336</v>
      </c>
      <c r="H6431" s="4" t="s">
        <v>289</v>
      </c>
      <c r="I6431" s="4">
        <v>1</v>
      </c>
      <c r="J6431" s="21">
        <v>50</v>
      </c>
      <c r="K6431" s="21">
        <v>0</v>
      </c>
      <c r="L6431" s="5">
        <v>0</v>
      </c>
      <c r="M6431" s="4"/>
      <c r="N6431" s="4"/>
      <c r="O6431" s="5"/>
      <c r="P6431" s="5"/>
      <c r="Q6431" s="21">
        <v>50</v>
      </c>
      <c r="R6431" s="21">
        <v>0</v>
      </c>
      <c r="S6431" s="5">
        <f t="shared" si="403"/>
        <v>35537.941749698359</v>
      </c>
      <c r="T6431" cm="1">
        <f t="array" ref="T6431">IF(OR(B6431="MAL ALIMI", B6431="ÜRETİM GİRİŞ"), MIN(I6431, MAX(0, I6431 + SUM(SUMIFS($I$1:I6430, $C$1:C6430, C6431, $B$1:B6430, {"MAL ALIMI","ÜRETİM GİRİŞ"})) - VLOOKUP(C6431, 'STOK RAPORU'!$C$2:$I$1000, 4, 0))), 0)</f>
        <v>0</v>
      </c>
      <c r="U6431" s="22">
        <f t="shared" si="400"/>
        <v>0</v>
      </c>
      <c r="V6431">
        <f t="shared" si="401"/>
        <v>0</v>
      </c>
      <c r="W6431" s="22">
        <f t="shared" si="402"/>
        <v>0</v>
      </c>
    </row>
    <row r="6432" spans="1:23" hidden="1" x14ac:dyDescent="0.25">
      <c r="A6432" s="3">
        <v>46131</v>
      </c>
      <c r="B6432" s="46" t="s">
        <v>334</v>
      </c>
      <c r="C6432" s="4" t="s">
        <v>469</v>
      </c>
      <c r="D6432" s="4"/>
      <c r="E6432" s="4"/>
      <c r="F6432" s="46" t="s">
        <v>3119</v>
      </c>
      <c r="G6432" s="4" t="s">
        <v>336</v>
      </c>
      <c r="H6432" s="4" t="s">
        <v>289</v>
      </c>
      <c r="I6432" s="4">
        <v>1</v>
      </c>
      <c r="J6432" s="21">
        <v>50</v>
      </c>
      <c r="K6432" s="21">
        <v>0</v>
      </c>
      <c r="L6432" s="5">
        <v>0</v>
      </c>
      <c r="M6432" s="4"/>
      <c r="N6432" s="4"/>
      <c r="O6432" s="5"/>
      <c r="P6432" s="5"/>
      <c r="Q6432" s="21">
        <v>50</v>
      </c>
      <c r="R6432" s="21">
        <v>0</v>
      </c>
      <c r="S6432" s="5">
        <f t="shared" si="403"/>
        <v>35587.941749698359</v>
      </c>
      <c r="T6432" cm="1">
        <f t="array" ref="T6432">IF(OR(B6432="MAL ALIMI", B6432="ÜRETİM GİRİŞ"), MIN(I6432, MAX(0, I6432 + SUM(SUMIFS($I$1:I6431, $C$1:C6431, C6432, $B$1:B6431, {"MAL ALIMI","ÜRETİM GİRİŞ"})) - VLOOKUP(C6432, 'STOK RAPORU'!$C$2:$I$1000, 4, 0))), 0)</f>
        <v>0</v>
      </c>
      <c r="U6432" s="22">
        <f t="shared" si="400"/>
        <v>0</v>
      </c>
      <c r="V6432">
        <f t="shared" si="401"/>
        <v>0</v>
      </c>
      <c r="W6432" s="22">
        <f t="shared" si="402"/>
        <v>0</v>
      </c>
    </row>
    <row r="6433" spans="1:23" hidden="1" x14ac:dyDescent="0.25">
      <c r="A6433" s="3">
        <v>46131</v>
      </c>
      <c r="B6433" s="46" t="s">
        <v>334</v>
      </c>
      <c r="C6433" s="4" t="s">
        <v>2127</v>
      </c>
      <c r="D6433" s="4"/>
      <c r="E6433" s="4"/>
      <c r="F6433" s="46" t="s">
        <v>3120</v>
      </c>
      <c r="G6433" s="4" t="s">
        <v>336</v>
      </c>
      <c r="H6433" s="4" t="s">
        <v>289</v>
      </c>
      <c r="I6433" s="4">
        <v>0.5</v>
      </c>
      <c r="J6433" s="21">
        <v>400</v>
      </c>
      <c r="K6433" s="21">
        <v>0</v>
      </c>
      <c r="L6433" s="5">
        <v>0</v>
      </c>
      <c r="M6433" s="4"/>
      <c r="N6433" s="4"/>
      <c r="O6433" s="5"/>
      <c r="P6433" s="5"/>
      <c r="Q6433" s="21">
        <v>200</v>
      </c>
      <c r="R6433" s="21">
        <v>0</v>
      </c>
      <c r="S6433" s="5">
        <f t="shared" si="403"/>
        <v>35787.941749698359</v>
      </c>
      <c r="T6433" cm="1">
        <f t="array" ref="T6433">IF(OR(B6433="MAL ALIMI", B6433="ÜRETİM GİRİŞ"), MIN(I6433, MAX(0, I6433 + SUM(SUMIFS($I$1:I6432, $C$1:C6432, C6433, $B$1:B6432, {"MAL ALIMI","ÜRETİM GİRİŞ"})) - VLOOKUP(C6433, 'STOK RAPORU'!$C$2:$I$1000, 4, 0))), 0)</f>
        <v>0</v>
      </c>
      <c r="U6433" s="22">
        <f t="shared" si="400"/>
        <v>0</v>
      </c>
      <c r="V6433">
        <f t="shared" si="401"/>
        <v>0</v>
      </c>
      <c r="W6433" s="22">
        <f t="shared" si="402"/>
        <v>0</v>
      </c>
    </row>
    <row r="6434" spans="1:23" hidden="1" x14ac:dyDescent="0.25">
      <c r="A6434" s="3">
        <v>46131</v>
      </c>
      <c r="B6434" s="46" t="s">
        <v>334</v>
      </c>
      <c r="C6434" s="4" t="s">
        <v>226</v>
      </c>
      <c r="D6434" s="4"/>
      <c r="E6434" s="4" t="s">
        <v>921</v>
      </c>
      <c r="F6434" s="46" t="s">
        <v>3120</v>
      </c>
      <c r="G6434" s="4" t="s">
        <v>336</v>
      </c>
      <c r="H6434" s="4" t="s">
        <v>380</v>
      </c>
      <c r="I6434" s="4">
        <v>0.22727272727272727</v>
      </c>
      <c r="J6434" s="21">
        <v>220</v>
      </c>
      <c r="K6434" s="21">
        <v>50</v>
      </c>
      <c r="L6434" s="5">
        <v>0</v>
      </c>
      <c r="M6434" s="4"/>
      <c r="N6434" s="4"/>
      <c r="O6434" s="5"/>
      <c r="P6434" s="5"/>
      <c r="Q6434" s="21">
        <v>0</v>
      </c>
      <c r="R6434" s="21">
        <v>0</v>
      </c>
      <c r="S6434" s="5">
        <f t="shared" si="403"/>
        <v>35787.941749698359</v>
      </c>
      <c r="T6434" cm="1">
        <f t="array" ref="T6434">IF(OR(B6434="MAL ALIMI", B6434="ÜRETİM GİRİŞ"), MIN(I6434, MAX(0, I6434 + SUM(SUMIFS($I$1:I6433, $C$1:C6433, C6434, $B$1:B6433, {"MAL ALIMI","ÜRETİM GİRİŞ"})) - VLOOKUP(C6434, 'STOK RAPORU'!$C$2:$I$1000, 4, 0))), 0)</f>
        <v>0</v>
      </c>
      <c r="U6434" s="22">
        <f t="shared" si="400"/>
        <v>0</v>
      </c>
      <c r="V6434">
        <f t="shared" si="401"/>
        <v>0</v>
      </c>
      <c r="W6434" s="22">
        <f t="shared" si="402"/>
        <v>0</v>
      </c>
    </row>
    <row r="6435" spans="1:23" hidden="1" x14ac:dyDescent="0.25">
      <c r="A6435" s="3">
        <v>46131</v>
      </c>
      <c r="B6435" s="46" t="s">
        <v>334</v>
      </c>
      <c r="C6435" s="4" t="s">
        <v>822</v>
      </c>
      <c r="D6435" s="4"/>
      <c r="E6435" s="4" t="s">
        <v>921</v>
      </c>
      <c r="F6435" s="46" t="s">
        <v>3121</v>
      </c>
      <c r="G6435" s="4" t="s">
        <v>336</v>
      </c>
      <c r="H6435" s="4" t="s">
        <v>380</v>
      </c>
      <c r="I6435" s="4">
        <v>1</v>
      </c>
      <c r="J6435" s="21">
        <v>170</v>
      </c>
      <c r="K6435" s="21">
        <v>170</v>
      </c>
      <c r="L6435" s="5">
        <v>0</v>
      </c>
      <c r="M6435" s="4"/>
      <c r="N6435" s="4"/>
      <c r="O6435" s="5"/>
      <c r="P6435" s="5"/>
      <c r="Q6435" s="21">
        <v>0</v>
      </c>
      <c r="R6435" s="21">
        <v>0</v>
      </c>
      <c r="S6435" s="5">
        <f t="shared" si="403"/>
        <v>35787.941749698359</v>
      </c>
      <c r="T6435" cm="1">
        <f t="array" ref="T6435">IF(OR(B6435="MAL ALIMI", B6435="ÜRETİM GİRİŞ"), MIN(I6435, MAX(0, I6435 + SUM(SUMIFS($I$1:I6434, $C$1:C6434, C6435, $B$1:B6434, {"MAL ALIMI","ÜRETİM GİRİŞ"})) - VLOOKUP(C6435, 'STOK RAPORU'!$C$2:$I$1000, 4, 0))), 0)</f>
        <v>0</v>
      </c>
      <c r="U6435" s="22">
        <f t="shared" si="400"/>
        <v>0</v>
      </c>
      <c r="V6435">
        <f t="shared" si="401"/>
        <v>0</v>
      </c>
      <c r="W6435" s="22">
        <f t="shared" si="402"/>
        <v>0</v>
      </c>
    </row>
    <row r="6436" spans="1:23" hidden="1" x14ac:dyDescent="0.25">
      <c r="A6436" s="3">
        <v>46131</v>
      </c>
      <c r="B6436" s="46" t="s">
        <v>334</v>
      </c>
      <c r="C6436" s="4" t="s">
        <v>130</v>
      </c>
      <c r="D6436" s="4"/>
      <c r="E6436" s="4" t="s">
        <v>921</v>
      </c>
      <c r="F6436" s="46" t="s">
        <v>3121</v>
      </c>
      <c r="G6436" s="4" t="s">
        <v>336</v>
      </c>
      <c r="H6436" s="4" t="s">
        <v>380</v>
      </c>
      <c r="I6436" s="4">
        <v>0.13600000000000001</v>
      </c>
      <c r="J6436" s="21">
        <v>500</v>
      </c>
      <c r="K6436" s="21">
        <v>68</v>
      </c>
      <c r="L6436" s="5">
        <v>0</v>
      </c>
      <c r="M6436" s="4"/>
      <c r="N6436" s="4"/>
      <c r="O6436" s="5"/>
      <c r="P6436" s="5"/>
      <c r="Q6436" s="21">
        <v>0</v>
      </c>
      <c r="R6436" s="21">
        <v>0</v>
      </c>
      <c r="S6436" s="5">
        <f t="shared" si="403"/>
        <v>35787.941749698359</v>
      </c>
      <c r="T6436" cm="1">
        <f t="array" ref="T6436">IF(OR(B6436="MAL ALIMI", B6436="ÜRETİM GİRİŞ"), MIN(I6436, MAX(0, I6436 + SUM(SUMIFS($I$1:I6435, $C$1:C6435, C6436, $B$1:B6435, {"MAL ALIMI","ÜRETİM GİRİŞ"})) - VLOOKUP(C6436, 'STOK RAPORU'!$C$2:$I$1000, 4, 0))), 0)</f>
        <v>0</v>
      </c>
      <c r="U6436" s="22">
        <f t="shared" si="400"/>
        <v>0</v>
      </c>
      <c r="V6436">
        <f t="shared" si="401"/>
        <v>0</v>
      </c>
      <c r="W6436" s="22">
        <f t="shared" si="402"/>
        <v>0</v>
      </c>
    </row>
    <row r="6437" spans="1:23" hidden="1" x14ac:dyDescent="0.25">
      <c r="A6437" s="3">
        <v>46131</v>
      </c>
      <c r="B6437" s="46" t="s">
        <v>334</v>
      </c>
      <c r="C6437" s="4" t="s">
        <v>60</v>
      </c>
      <c r="D6437" s="4"/>
      <c r="E6437" s="4" t="s">
        <v>921</v>
      </c>
      <c r="F6437" s="46" t="s">
        <v>3121</v>
      </c>
      <c r="G6437" s="4" t="s">
        <v>336</v>
      </c>
      <c r="H6437" s="4" t="s">
        <v>380</v>
      </c>
      <c r="I6437" s="4">
        <v>0.05</v>
      </c>
      <c r="J6437" s="21">
        <v>1200</v>
      </c>
      <c r="K6437" s="21">
        <v>60</v>
      </c>
      <c r="L6437" s="5">
        <v>0</v>
      </c>
      <c r="M6437" s="4"/>
      <c r="N6437" s="4"/>
      <c r="O6437" s="5"/>
      <c r="P6437" s="5"/>
      <c r="Q6437" s="21">
        <v>0</v>
      </c>
      <c r="R6437" s="21">
        <v>0</v>
      </c>
      <c r="S6437" s="5">
        <f t="shared" si="403"/>
        <v>35787.941749698359</v>
      </c>
      <c r="T6437" cm="1">
        <f t="array" ref="T6437">IF(OR(B6437="MAL ALIMI", B6437="ÜRETİM GİRİŞ"), MIN(I6437, MAX(0, I6437 + SUM(SUMIFS($I$1:I6436, $C$1:C6436, C6437, $B$1:B6436, {"MAL ALIMI","ÜRETİM GİRİŞ"})) - VLOOKUP(C6437, 'STOK RAPORU'!$C$2:$I$1000, 4, 0))), 0)</f>
        <v>0</v>
      </c>
      <c r="U6437" s="22">
        <f t="shared" si="400"/>
        <v>0</v>
      </c>
      <c r="V6437">
        <f t="shared" si="401"/>
        <v>0</v>
      </c>
      <c r="W6437" s="22">
        <f t="shared" si="402"/>
        <v>0</v>
      </c>
    </row>
    <row r="6438" spans="1:23" hidden="1" x14ac:dyDescent="0.25">
      <c r="A6438" s="3">
        <v>46131</v>
      </c>
      <c r="B6438" s="4" t="s">
        <v>946</v>
      </c>
      <c r="C6438" s="4"/>
      <c r="D6438" s="4"/>
      <c r="E6438" s="4" t="s">
        <v>921</v>
      </c>
      <c r="F6438" s="4"/>
      <c r="G6438" s="4" t="s">
        <v>946</v>
      </c>
      <c r="H6438" s="4" t="s">
        <v>380</v>
      </c>
      <c r="I6438" s="4">
        <v>1</v>
      </c>
      <c r="J6438" s="105">
        <v>809</v>
      </c>
      <c r="K6438" s="21">
        <v>0</v>
      </c>
      <c r="L6438" s="32">
        <v>809</v>
      </c>
      <c r="M6438" s="4"/>
      <c r="N6438" s="4"/>
      <c r="O6438" s="5"/>
      <c r="P6438" s="5"/>
      <c r="Q6438" s="21">
        <v>809</v>
      </c>
      <c r="R6438" s="21">
        <v>0</v>
      </c>
      <c r="S6438" s="5">
        <f t="shared" si="403"/>
        <v>36596.941749698359</v>
      </c>
      <c r="T6438" cm="1">
        <f t="array" ref="T6438">IF(OR(B6438="MAL ALIMI", B6438="ÜRETİM GİRİŞ"), MIN(I6438, MAX(0, I6438 + SUM(SUMIFS($I$1:I6437, $C$1:C6437, C6438, $B$1:B6437, {"MAL ALIMI","ÜRETİM GİRİŞ"})) - VLOOKUP(C6438, 'STOK RAPORU'!$C$2:$I$1000, 4, 0))), 0)</f>
        <v>0</v>
      </c>
      <c r="U6438" s="22">
        <f t="shared" si="400"/>
        <v>0</v>
      </c>
      <c r="V6438">
        <f t="shared" si="401"/>
        <v>0</v>
      </c>
      <c r="W6438" s="22">
        <f t="shared" si="402"/>
        <v>0</v>
      </c>
    </row>
    <row r="6439" spans="1:23" hidden="1" x14ac:dyDescent="0.25">
      <c r="A6439" s="3">
        <v>46132</v>
      </c>
      <c r="B6439" s="46" t="s">
        <v>334</v>
      </c>
      <c r="C6439" s="4" t="s">
        <v>96</v>
      </c>
      <c r="D6439" s="4"/>
      <c r="E6439" s="4" t="s">
        <v>921</v>
      </c>
      <c r="F6439" s="46" t="s">
        <v>3122</v>
      </c>
      <c r="G6439" s="4" t="s">
        <v>336</v>
      </c>
      <c r="H6439" s="4" t="s">
        <v>380</v>
      </c>
      <c r="I6439" s="4">
        <v>0.125</v>
      </c>
      <c r="J6439" s="21">
        <v>400</v>
      </c>
      <c r="K6439" s="21">
        <v>50</v>
      </c>
      <c r="L6439" s="5">
        <v>0</v>
      </c>
      <c r="M6439" s="4"/>
      <c r="N6439" s="4"/>
      <c r="O6439" s="5"/>
      <c r="P6439" s="5"/>
      <c r="Q6439" s="21">
        <v>0</v>
      </c>
      <c r="R6439" s="21">
        <v>0</v>
      </c>
      <c r="S6439" s="5">
        <f t="shared" si="403"/>
        <v>36596.941749698359</v>
      </c>
      <c r="T6439" cm="1">
        <f t="array" ref="T6439">IF(OR(B6439="MAL ALIMI", B6439="ÜRETİM GİRİŞ"), MIN(I6439, MAX(0, I6439 + SUM(SUMIFS($I$1:I6438, $C$1:C6438, C6439, $B$1:B6438, {"MAL ALIMI","ÜRETİM GİRİŞ"})) - VLOOKUP(C6439, 'STOK RAPORU'!$C$2:$I$1000, 4, 0))), 0)</f>
        <v>0</v>
      </c>
      <c r="U6439" s="22">
        <f t="shared" si="400"/>
        <v>0</v>
      </c>
      <c r="V6439">
        <f t="shared" si="401"/>
        <v>0</v>
      </c>
      <c r="W6439" s="22">
        <f t="shared" si="402"/>
        <v>0</v>
      </c>
    </row>
    <row r="6440" spans="1:23" hidden="1" x14ac:dyDescent="0.25">
      <c r="A6440" s="3">
        <v>46132</v>
      </c>
      <c r="B6440" s="46" t="s">
        <v>334</v>
      </c>
      <c r="C6440" s="4" t="s">
        <v>133</v>
      </c>
      <c r="D6440" s="4"/>
      <c r="E6440" s="4" t="s">
        <v>921</v>
      </c>
      <c r="F6440" s="46" t="s">
        <v>3122</v>
      </c>
      <c r="G6440" s="4" t="s">
        <v>336</v>
      </c>
      <c r="H6440" s="4" t="s">
        <v>380</v>
      </c>
      <c r="I6440" s="4">
        <v>0.125</v>
      </c>
      <c r="J6440" s="21">
        <v>400</v>
      </c>
      <c r="K6440" s="21">
        <v>50</v>
      </c>
      <c r="L6440" s="5">
        <v>0</v>
      </c>
      <c r="M6440" s="4"/>
      <c r="N6440" s="4"/>
      <c r="O6440" s="5"/>
      <c r="P6440" s="5"/>
      <c r="Q6440" s="21">
        <v>0</v>
      </c>
      <c r="R6440" s="21">
        <v>0</v>
      </c>
      <c r="S6440" s="5">
        <f t="shared" si="403"/>
        <v>36596.941749698359</v>
      </c>
      <c r="T6440" cm="1">
        <f t="array" ref="T6440">IF(OR(B6440="MAL ALIMI", B6440="ÜRETİM GİRİŞ"), MIN(I6440, MAX(0, I6440 + SUM(SUMIFS($I$1:I6439, $C$1:C6439, C6440, $B$1:B6439, {"MAL ALIMI","ÜRETİM GİRİŞ"})) - VLOOKUP(C6440, 'STOK RAPORU'!$C$2:$I$1000, 4, 0))), 0)</f>
        <v>0</v>
      </c>
      <c r="U6440" s="22">
        <f t="shared" si="400"/>
        <v>0</v>
      </c>
      <c r="V6440">
        <f t="shared" si="401"/>
        <v>0</v>
      </c>
      <c r="W6440" s="22">
        <f t="shared" si="402"/>
        <v>0</v>
      </c>
    </row>
    <row r="6441" spans="1:23" hidden="1" x14ac:dyDescent="0.25">
      <c r="A6441" s="3">
        <v>46132</v>
      </c>
      <c r="B6441" s="46" t="s">
        <v>334</v>
      </c>
      <c r="C6441" s="4" t="s">
        <v>92</v>
      </c>
      <c r="D6441" s="4"/>
      <c r="E6441" s="4" t="s">
        <v>921</v>
      </c>
      <c r="F6441" s="46" t="s">
        <v>3122</v>
      </c>
      <c r="G6441" s="4" t="s">
        <v>336</v>
      </c>
      <c r="H6441" s="4" t="s">
        <v>380</v>
      </c>
      <c r="I6441" s="4">
        <v>0.1</v>
      </c>
      <c r="J6441" s="21">
        <v>500</v>
      </c>
      <c r="K6441" s="21">
        <v>50</v>
      </c>
      <c r="L6441" s="5">
        <v>0</v>
      </c>
      <c r="M6441" s="4"/>
      <c r="N6441" s="4"/>
      <c r="O6441" s="5"/>
      <c r="P6441" s="5"/>
      <c r="Q6441" s="21">
        <v>0</v>
      </c>
      <c r="R6441" s="21">
        <v>0</v>
      </c>
      <c r="S6441" s="5">
        <f t="shared" si="403"/>
        <v>36596.941749698359</v>
      </c>
      <c r="T6441" cm="1">
        <f t="array" ref="T6441">IF(OR(B6441="MAL ALIMI", B6441="ÜRETİM GİRİŞ"), MIN(I6441, MAX(0, I6441 + SUM(SUMIFS($I$1:I6440, $C$1:C6440, C6441, $B$1:B6440, {"MAL ALIMI","ÜRETİM GİRİŞ"})) - VLOOKUP(C6441, 'STOK RAPORU'!$C$2:$I$1000, 4, 0))), 0)</f>
        <v>0</v>
      </c>
      <c r="U6441" s="22">
        <f t="shared" si="400"/>
        <v>0</v>
      </c>
      <c r="V6441">
        <f t="shared" si="401"/>
        <v>0</v>
      </c>
      <c r="W6441" s="22">
        <f t="shared" si="402"/>
        <v>0</v>
      </c>
    </row>
    <row r="6442" spans="1:23" hidden="1" x14ac:dyDescent="0.25">
      <c r="A6442" s="3">
        <v>46132</v>
      </c>
      <c r="B6442" s="46" t="s">
        <v>334</v>
      </c>
      <c r="C6442" s="4" t="s">
        <v>466</v>
      </c>
      <c r="D6442" s="4"/>
      <c r="E6442" s="4" t="s">
        <v>921</v>
      </c>
      <c r="F6442" s="46" t="s">
        <v>3125</v>
      </c>
      <c r="G6442" s="4" t="s">
        <v>336</v>
      </c>
      <c r="H6442" s="4" t="s">
        <v>380</v>
      </c>
      <c r="I6442" s="4">
        <v>2</v>
      </c>
      <c r="J6442" s="21">
        <v>60</v>
      </c>
      <c r="K6442" s="21">
        <v>120</v>
      </c>
      <c r="L6442" s="5">
        <v>0</v>
      </c>
      <c r="M6442" s="4"/>
      <c r="N6442" s="4"/>
      <c r="O6442" s="5"/>
      <c r="P6442" s="5"/>
      <c r="Q6442" s="21">
        <v>0</v>
      </c>
      <c r="R6442" s="21">
        <v>0</v>
      </c>
      <c r="S6442" s="5">
        <f t="shared" si="403"/>
        <v>36596.941749698359</v>
      </c>
      <c r="T6442" cm="1">
        <f t="array" ref="T6442">IF(OR(B6442="MAL ALIMI", B6442="ÜRETİM GİRİŞ"), MIN(I6442, MAX(0, I6442 + SUM(SUMIFS($I$1:I6441, $C$1:C6441, C6442, $B$1:B6441, {"MAL ALIMI","ÜRETİM GİRİŞ"})) - VLOOKUP(C6442, 'STOK RAPORU'!$C$2:$I$1000, 4, 0))), 0)</f>
        <v>0</v>
      </c>
      <c r="U6442" s="22">
        <f t="shared" si="400"/>
        <v>0</v>
      </c>
      <c r="V6442">
        <f t="shared" si="401"/>
        <v>0</v>
      </c>
      <c r="W6442" s="22">
        <f t="shared" si="402"/>
        <v>0</v>
      </c>
    </row>
    <row r="6443" spans="1:23" hidden="1" x14ac:dyDescent="0.25">
      <c r="A6443" s="3">
        <v>46132</v>
      </c>
      <c r="B6443" s="46" t="s">
        <v>334</v>
      </c>
      <c r="C6443" s="4" t="s">
        <v>766</v>
      </c>
      <c r="D6443" s="4"/>
      <c r="E6443" s="4"/>
      <c r="F6443" s="46" t="s">
        <v>3126</v>
      </c>
      <c r="G6443" s="4" t="s">
        <v>336</v>
      </c>
      <c r="H6443" s="4" t="s">
        <v>289</v>
      </c>
      <c r="I6443" s="4">
        <v>1</v>
      </c>
      <c r="J6443" s="21">
        <v>220</v>
      </c>
      <c r="K6443" s="21">
        <v>0</v>
      </c>
      <c r="L6443" s="5">
        <v>0</v>
      </c>
      <c r="M6443" s="4"/>
      <c r="N6443" s="4"/>
      <c r="O6443" s="5"/>
      <c r="P6443" s="5"/>
      <c r="Q6443" s="21">
        <v>220</v>
      </c>
      <c r="R6443" s="21">
        <v>0</v>
      </c>
      <c r="S6443" s="5">
        <f t="shared" si="403"/>
        <v>36816.941749698359</v>
      </c>
      <c r="T6443" cm="1">
        <f t="array" ref="T6443">IF(OR(B6443="MAL ALIMI", B6443="ÜRETİM GİRİŞ"), MIN(I6443, MAX(0, I6443 + SUM(SUMIFS($I$1:I6442, $C$1:C6442, C6443, $B$1:B6442, {"MAL ALIMI","ÜRETİM GİRİŞ"})) - VLOOKUP(C6443, 'STOK RAPORU'!$C$2:$I$1000, 4, 0))), 0)</f>
        <v>0</v>
      </c>
      <c r="U6443" s="22">
        <f t="shared" si="400"/>
        <v>0</v>
      </c>
      <c r="V6443">
        <f t="shared" si="401"/>
        <v>0</v>
      </c>
      <c r="W6443" s="22">
        <f t="shared" si="402"/>
        <v>0</v>
      </c>
    </row>
    <row r="6444" spans="1:23" hidden="1" x14ac:dyDescent="0.25">
      <c r="A6444" s="3">
        <v>46132</v>
      </c>
      <c r="B6444" s="46" t="s">
        <v>334</v>
      </c>
      <c r="C6444" s="4" t="s">
        <v>214</v>
      </c>
      <c r="D6444" s="4"/>
      <c r="E6444" s="4" t="s">
        <v>921</v>
      </c>
      <c r="F6444" s="46" t="s">
        <v>3127</v>
      </c>
      <c r="G6444" s="4" t="s">
        <v>336</v>
      </c>
      <c r="H6444" s="4" t="s">
        <v>380</v>
      </c>
      <c r="I6444" s="4">
        <v>0.10869565217391304</v>
      </c>
      <c r="J6444" s="21">
        <v>920</v>
      </c>
      <c r="K6444" s="21">
        <v>100</v>
      </c>
      <c r="L6444" s="5">
        <v>0</v>
      </c>
      <c r="M6444" s="4"/>
      <c r="N6444" s="4"/>
      <c r="O6444" s="5"/>
      <c r="P6444" s="5"/>
      <c r="Q6444" s="21">
        <v>0</v>
      </c>
      <c r="R6444" s="21">
        <v>0</v>
      </c>
      <c r="S6444" s="5">
        <f t="shared" si="403"/>
        <v>36816.941749698359</v>
      </c>
      <c r="T6444" cm="1">
        <f t="array" ref="T6444">IF(OR(B6444="MAL ALIMI", B6444="ÜRETİM GİRİŞ"), MIN(I6444, MAX(0, I6444 + SUM(SUMIFS($I$1:I6443, $C$1:C6443, C6444, $B$1:B6443, {"MAL ALIMI","ÜRETİM GİRİŞ"})) - VLOOKUP(C6444, 'STOK RAPORU'!$C$2:$I$1000, 4, 0))), 0)</f>
        <v>0</v>
      </c>
      <c r="U6444" s="22">
        <f t="shared" si="400"/>
        <v>0</v>
      </c>
      <c r="V6444">
        <f t="shared" si="401"/>
        <v>0</v>
      </c>
      <c r="W6444" s="22">
        <f t="shared" si="402"/>
        <v>0</v>
      </c>
    </row>
    <row r="6445" spans="1:23" hidden="1" x14ac:dyDescent="0.25">
      <c r="A6445" s="3">
        <v>46132</v>
      </c>
      <c r="B6445" s="46" t="s">
        <v>334</v>
      </c>
      <c r="C6445" s="4" t="s">
        <v>140</v>
      </c>
      <c r="D6445" s="4"/>
      <c r="E6445" s="4"/>
      <c r="F6445" s="46" t="s">
        <v>3128</v>
      </c>
      <c r="G6445" s="4" t="s">
        <v>336</v>
      </c>
      <c r="H6445" s="4" t="s">
        <v>289</v>
      </c>
      <c r="I6445" s="4">
        <v>6.3E-2</v>
      </c>
      <c r="J6445" s="21">
        <v>300</v>
      </c>
      <c r="K6445" s="21">
        <v>0</v>
      </c>
      <c r="L6445" s="5">
        <v>0</v>
      </c>
      <c r="M6445" s="4"/>
      <c r="N6445" s="4"/>
      <c r="O6445" s="5"/>
      <c r="P6445" s="5"/>
      <c r="Q6445" s="21">
        <v>18.899999999999999</v>
      </c>
      <c r="R6445" s="21">
        <v>0</v>
      </c>
      <c r="S6445" s="5">
        <f t="shared" si="403"/>
        <v>36835.84174969836</v>
      </c>
      <c r="T6445" cm="1">
        <f t="array" ref="T6445">IF(OR(B6445="MAL ALIMI", B6445="ÜRETİM GİRİŞ"), MIN(I6445, MAX(0, I6445 + SUM(SUMIFS($I$1:I6444, $C$1:C6444, C6445, $B$1:B6444, {"MAL ALIMI","ÜRETİM GİRİŞ"})) - VLOOKUP(C6445, 'STOK RAPORU'!$C$2:$I$1000, 4, 0))), 0)</f>
        <v>0</v>
      </c>
      <c r="U6445" s="22">
        <f t="shared" si="400"/>
        <v>0</v>
      </c>
      <c r="V6445">
        <f t="shared" si="401"/>
        <v>0</v>
      </c>
      <c r="W6445" s="22">
        <f t="shared" si="402"/>
        <v>0</v>
      </c>
    </row>
    <row r="6446" spans="1:23" hidden="1" x14ac:dyDescent="0.25">
      <c r="A6446" s="3">
        <v>46132</v>
      </c>
      <c r="B6446" s="46" t="s">
        <v>334</v>
      </c>
      <c r="C6446" s="4" t="s">
        <v>98</v>
      </c>
      <c r="D6446" s="4"/>
      <c r="E6446" s="4"/>
      <c r="F6446" s="46" t="s">
        <v>3128</v>
      </c>
      <c r="G6446" s="4" t="s">
        <v>336</v>
      </c>
      <c r="H6446" s="4" t="s">
        <v>289</v>
      </c>
      <c r="I6446" s="4">
        <v>5.6000000000000001E-2</v>
      </c>
      <c r="J6446" s="21">
        <v>400</v>
      </c>
      <c r="K6446" s="21">
        <v>0</v>
      </c>
      <c r="L6446" s="5">
        <v>0</v>
      </c>
      <c r="M6446" s="4"/>
      <c r="N6446" s="4"/>
      <c r="O6446" s="5"/>
      <c r="P6446" s="5"/>
      <c r="Q6446" s="21">
        <v>22.400000000000002</v>
      </c>
      <c r="R6446" s="21">
        <v>0</v>
      </c>
      <c r="S6446" s="5">
        <f t="shared" si="403"/>
        <v>36858.241749698362</v>
      </c>
      <c r="T6446" cm="1">
        <f t="array" ref="T6446">IF(OR(B6446="MAL ALIMI", B6446="ÜRETİM GİRİŞ"), MIN(I6446, MAX(0, I6446 + SUM(SUMIFS($I$1:I6445, $C$1:C6445, C6446, $B$1:B6445, {"MAL ALIMI","ÜRETİM GİRİŞ"})) - VLOOKUP(C6446, 'STOK RAPORU'!$C$2:$I$1000, 4, 0))), 0)</f>
        <v>0</v>
      </c>
      <c r="U6446" s="22">
        <f t="shared" si="400"/>
        <v>0</v>
      </c>
      <c r="V6446">
        <f t="shared" si="401"/>
        <v>0</v>
      </c>
      <c r="W6446" s="22">
        <f t="shared" si="402"/>
        <v>0</v>
      </c>
    </row>
    <row r="6447" spans="1:23" hidden="1" x14ac:dyDescent="0.25">
      <c r="A6447" s="3">
        <v>46132</v>
      </c>
      <c r="B6447" s="46" t="s">
        <v>334</v>
      </c>
      <c r="C6447" s="4" t="s">
        <v>166</v>
      </c>
      <c r="D6447" s="4"/>
      <c r="E6447" s="4"/>
      <c r="F6447" s="46" t="s">
        <v>3128</v>
      </c>
      <c r="G6447" s="4" t="s">
        <v>336</v>
      </c>
      <c r="H6447" s="4" t="s">
        <v>289</v>
      </c>
      <c r="I6447" s="4">
        <v>0.04</v>
      </c>
      <c r="J6447" s="21">
        <v>770</v>
      </c>
      <c r="K6447" s="21">
        <v>0</v>
      </c>
      <c r="L6447" s="5">
        <v>0</v>
      </c>
      <c r="M6447" s="4"/>
      <c r="N6447" s="4"/>
      <c r="O6447" s="5"/>
      <c r="P6447" s="5"/>
      <c r="Q6447" s="21">
        <v>30.8</v>
      </c>
      <c r="R6447" s="21">
        <v>0</v>
      </c>
      <c r="S6447" s="5">
        <f t="shared" si="403"/>
        <v>36889.041749698365</v>
      </c>
      <c r="T6447" cm="1">
        <f t="array" ref="T6447">IF(OR(B6447="MAL ALIMI", B6447="ÜRETİM GİRİŞ"), MIN(I6447, MAX(0, I6447 + SUM(SUMIFS($I$1:I6446, $C$1:C6446, C6447, $B$1:B6446, {"MAL ALIMI","ÜRETİM GİRİŞ"})) - VLOOKUP(C6447, 'STOK RAPORU'!$C$2:$I$1000, 4, 0))), 0)</f>
        <v>0</v>
      </c>
      <c r="U6447" s="22">
        <f t="shared" si="400"/>
        <v>0</v>
      </c>
      <c r="V6447">
        <f t="shared" si="401"/>
        <v>0</v>
      </c>
      <c r="W6447" s="22">
        <f t="shared" si="402"/>
        <v>0</v>
      </c>
    </row>
    <row r="6448" spans="1:23" hidden="1" x14ac:dyDescent="0.25">
      <c r="A6448" s="3">
        <v>46132</v>
      </c>
      <c r="B6448" s="46" t="s">
        <v>334</v>
      </c>
      <c r="C6448" s="4" t="s">
        <v>2127</v>
      </c>
      <c r="D6448" s="4"/>
      <c r="E6448" s="4"/>
      <c r="F6448" s="46" t="s">
        <v>3128</v>
      </c>
      <c r="G6448" s="4" t="s">
        <v>336</v>
      </c>
      <c r="H6448" s="4" t="s">
        <v>289</v>
      </c>
      <c r="I6448" s="4">
        <v>0.22600000000000001</v>
      </c>
      <c r="J6448" s="21">
        <v>400</v>
      </c>
      <c r="K6448" s="21">
        <v>0</v>
      </c>
      <c r="L6448" s="5">
        <v>0</v>
      </c>
      <c r="M6448" s="4"/>
      <c r="N6448" s="4"/>
      <c r="O6448" s="5"/>
      <c r="P6448" s="5"/>
      <c r="Q6448" s="21">
        <v>90.4</v>
      </c>
      <c r="R6448" s="21">
        <v>0</v>
      </c>
      <c r="S6448" s="5">
        <f t="shared" si="403"/>
        <v>36979.441749698366</v>
      </c>
      <c r="T6448" cm="1">
        <f t="array" ref="T6448">IF(OR(B6448="MAL ALIMI", B6448="ÜRETİM GİRİŞ"), MIN(I6448, MAX(0, I6448 + SUM(SUMIFS($I$1:I6447, $C$1:C6447, C6448, $B$1:B6447, {"MAL ALIMI","ÜRETİM GİRİŞ"})) - VLOOKUP(C6448, 'STOK RAPORU'!$C$2:$I$1000, 4, 0))), 0)</f>
        <v>0</v>
      </c>
      <c r="U6448" s="22">
        <f t="shared" si="400"/>
        <v>0</v>
      </c>
      <c r="V6448">
        <f t="shared" si="401"/>
        <v>0</v>
      </c>
      <c r="W6448" s="22">
        <f t="shared" si="402"/>
        <v>0</v>
      </c>
    </row>
    <row r="6449" spans="1:23" hidden="1" x14ac:dyDescent="0.25">
      <c r="A6449" s="3">
        <v>46132</v>
      </c>
      <c r="B6449" s="46" t="s">
        <v>334</v>
      </c>
      <c r="C6449" s="4" t="s">
        <v>89</v>
      </c>
      <c r="D6449" s="4"/>
      <c r="E6449" s="4" t="s">
        <v>921</v>
      </c>
      <c r="F6449" s="46" t="s">
        <v>3129</v>
      </c>
      <c r="G6449" s="4" t="s">
        <v>336</v>
      </c>
      <c r="H6449" s="4" t="s">
        <v>380</v>
      </c>
      <c r="I6449" s="4">
        <v>0.30769230769230771</v>
      </c>
      <c r="J6449" s="21">
        <v>650</v>
      </c>
      <c r="K6449" s="21">
        <v>200</v>
      </c>
      <c r="L6449" s="5">
        <v>0</v>
      </c>
      <c r="M6449" s="4"/>
      <c r="N6449" s="4"/>
      <c r="O6449" s="5"/>
      <c r="P6449" s="5"/>
      <c r="Q6449" s="21">
        <v>0</v>
      </c>
      <c r="R6449" s="21">
        <v>0</v>
      </c>
      <c r="S6449" s="5">
        <f t="shared" si="403"/>
        <v>36979.441749698366</v>
      </c>
      <c r="T6449" cm="1">
        <f t="array" ref="T6449">IF(OR(B6449="MAL ALIMI", B6449="ÜRETİM GİRİŞ"), MIN(I6449, MAX(0, I6449 + SUM(SUMIFS($I$1:I6448, $C$1:C6448, C6449, $B$1:B6448, {"MAL ALIMI","ÜRETİM GİRİŞ"})) - VLOOKUP(C6449, 'STOK RAPORU'!$C$2:$I$1000, 4, 0))), 0)</f>
        <v>0</v>
      </c>
      <c r="U6449" s="22">
        <f t="shared" si="400"/>
        <v>0</v>
      </c>
      <c r="V6449">
        <f t="shared" si="401"/>
        <v>0</v>
      </c>
      <c r="W6449" s="22">
        <f t="shared" si="402"/>
        <v>0</v>
      </c>
    </row>
    <row r="6450" spans="1:23" hidden="1" x14ac:dyDescent="0.25">
      <c r="A6450" s="3">
        <v>46132</v>
      </c>
      <c r="B6450" s="46" t="s">
        <v>334</v>
      </c>
      <c r="C6450" s="4" t="s">
        <v>156</v>
      </c>
      <c r="D6450" s="4"/>
      <c r="E6450" s="4" t="s">
        <v>921</v>
      </c>
      <c r="F6450" s="46" t="s">
        <v>3130</v>
      </c>
      <c r="G6450" s="4" t="s">
        <v>336</v>
      </c>
      <c r="H6450" s="4" t="s">
        <v>380</v>
      </c>
      <c r="I6450" s="4">
        <v>1</v>
      </c>
      <c r="J6450" s="21">
        <v>200</v>
      </c>
      <c r="K6450" s="21">
        <v>200</v>
      </c>
      <c r="L6450" s="5">
        <v>0</v>
      </c>
      <c r="M6450" s="4"/>
      <c r="N6450" s="4"/>
      <c r="O6450" s="5"/>
      <c r="P6450" s="5"/>
      <c r="Q6450" s="21">
        <v>0</v>
      </c>
      <c r="R6450" s="21">
        <v>0</v>
      </c>
      <c r="S6450" s="5">
        <f t="shared" si="403"/>
        <v>36979.441749698366</v>
      </c>
      <c r="T6450" cm="1">
        <f t="array" ref="T6450">IF(OR(B6450="MAL ALIMI", B6450="ÜRETİM GİRİŞ"), MIN(I6450, MAX(0, I6450 + SUM(SUMIFS($I$1:I6449, $C$1:C6449, C6450, $B$1:B6449, {"MAL ALIMI","ÜRETİM GİRİŞ"})) - VLOOKUP(C6450, 'STOK RAPORU'!$C$2:$I$1000, 4, 0))), 0)</f>
        <v>0</v>
      </c>
      <c r="U6450" s="22">
        <f t="shared" ref="U6450:U6513" si="404">T6450*J6450</f>
        <v>0</v>
      </c>
      <c r="V6450">
        <f t="shared" ref="V6450:V6513" si="405">IF(OR(B6450="MAL ALIMI", B6450="ÜRETİM GİRİŞ"), I6450 * J6450, 0)</f>
        <v>0</v>
      </c>
      <c r="W6450" s="22">
        <f t="shared" ref="W6450:W6513" si="406">V6450-U6450</f>
        <v>0</v>
      </c>
    </row>
    <row r="6451" spans="1:23" hidden="1" x14ac:dyDescent="0.25">
      <c r="A6451" s="3">
        <v>46132</v>
      </c>
      <c r="B6451" s="46" t="s">
        <v>334</v>
      </c>
      <c r="C6451" s="4" t="s">
        <v>158</v>
      </c>
      <c r="D6451" s="4"/>
      <c r="E6451" s="4" t="s">
        <v>921</v>
      </c>
      <c r="F6451" s="46" t="s">
        <v>3130</v>
      </c>
      <c r="G6451" s="4" t="s">
        <v>336</v>
      </c>
      <c r="H6451" s="4" t="s">
        <v>380</v>
      </c>
      <c r="I6451" s="4">
        <v>1</v>
      </c>
      <c r="J6451" s="21">
        <v>150</v>
      </c>
      <c r="K6451" s="21">
        <v>150</v>
      </c>
      <c r="L6451" s="5">
        <v>0</v>
      </c>
      <c r="M6451" s="4"/>
      <c r="N6451" s="4"/>
      <c r="O6451" s="5"/>
      <c r="P6451" s="5"/>
      <c r="Q6451" s="21">
        <v>0</v>
      </c>
      <c r="R6451" s="21">
        <v>0</v>
      </c>
      <c r="S6451" s="5">
        <f t="shared" si="403"/>
        <v>36979.441749698366</v>
      </c>
      <c r="T6451" cm="1">
        <f t="array" ref="T6451">IF(OR(B6451="MAL ALIMI", B6451="ÜRETİM GİRİŞ"), MIN(I6451, MAX(0, I6451 + SUM(SUMIFS($I$1:I6450, $C$1:C6450, C6451, $B$1:B6450, {"MAL ALIMI","ÜRETİM GİRİŞ"})) - VLOOKUP(C6451, 'STOK RAPORU'!$C$2:$I$1000, 4, 0))), 0)</f>
        <v>0</v>
      </c>
      <c r="U6451" s="22">
        <f t="shared" si="404"/>
        <v>0</v>
      </c>
      <c r="V6451">
        <f t="shared" si="405"/>
        <v>0</v>
      </c>
      <c r="W6451" s="22">
        <f t="shared" si="406"/>
        <v>0</v>
      </c>
    </row>
    <row r="6452" spans="1:23" hidden="1" x14ac:dyDescent="0.25">
      <c r="A6452" s="3">
        <v>46132</v>
      </c>
      <c r="B6452" s="46" t="s">
        <v>334</v>
      </c>
      <c r="C6452" s="4" t="s">
        <v>264</v>
      </c>
      <c r="D6452" s="4"/>
      <c r="E6452" s="4" t="s">
        <v>921</v>
      </c>
      <c r="F6452" s="46" t="s">
        <v>3130</v>
      </c>
      <c r="G6452" s="4" t="s">
        <v>336</v>
      </c>
      <c r="H6452" s="4" t="s">
        <v>380</v>
      </c>
      <c r="I6452" s="4">
        <v>1</v>
      </c>
      <c r="J6452" s="21">
        <v>140</v>
      </c>
      <c r="K6452" s="21">
        <v>140</v>
      </c>
      <c r="L6452" s="5">
        <v>0</v>
      </c>
      <c r="M6452" s="4"/>
      <c r="N6452" s="4"/>
      <c r="O6452" s="5"/>
      <c r="P6452" s="5"/>
      <c r="Q6452" s="21">
        <v>0</v>
      </c>
      <c r="R6452" s="21">
        <v>0</v>
      </c>
      <c r="S6452" s="5">
        <f t="shared" si="403"/>
        <v>36979.441749698366</v>
      </c>
      <c r="T6452" cm="1">
        <f t="array" ref="T6452">IF(OR(B6452="MAL ALIMI", B6452="ÜRETİM GİRİŞ"), MIN(I6452, MAX(0, I6452 + SUM(SUMIFS($I$1:I6451, $C$1:C6451, C6452, $B$1:B6451, {"MAL ALIMI","ÜRETİM GİRİŞ"})) - VLOOKUP(C6452, 'STOK RAPORU'!$C$2:$I$1000, 4, 0))), 0)</f>
        <v>0</v>
      </c>
      <c r="U6452" s="22">
        <f t="shared" si="404"/>
        <v>0</v>
      </c>
      <c r="V6452">
        <f t="shared" si="405"/>
        <v>0</v>
      </c>
      <c r="W6452" s="22">
        <f t="shared" si="406"/>
        <v>0</v>
      </c>
    </row>
    <row r="6453" spans="1:23" hidden="1" x14ac:dyDescent="0.25">
      <c r="A6453" s="3">
        <v>46132</v>
      </c>
      <c r="B6453" s="46" t="s">
        <v>334</v>
      </c>
      <c r="C6453" s="4" t="s">
        <v>1365</v>
      </c>
      <c r="D6453" s="4"/>
      <c r="E6453" s="4" t="s">
        <v>921</v>
      </c>
      <c r="F6453" s="46" t="s">
        <v>3130</v>
      </c>
      <c r="G6453" s="4" t="s">
        <v>336</v>
      </c>
      <c r="H6453" s="4" t="s">
        <v>380</v>
      </c>
      <c r="I6453" s="4">
        <v>1</v>
      </c>
      <c r="J6453" s="21">
        <v>140</v>
      </c>
      <c r="K6453" s="21">
        <v>140</v>
      </c>
      <c r="L6453" s="5">
        <v>0</v>
      </c>
      <c r="M6453" s="4"/>
      <c r="N6453" s="4"/>
      <c r="O6453" s="5"/>
      <c r="P6453" s="5"/>
      <c r="Q6453" s="21">
        <v>0</v>
      </c>
      <c r="R6453" s="21">
        <v>0</v>
      </c>
      <c r="S6453" s="5">
        <f t="shared" si="403"/>
        <v>36979.441749698366</v>
      </c>
      <c r="T6453" cm="1">
        <f t="array" ref="T6453">IF(OR(B6453="MAL ALIMI", B6453="ÜRETİM GİRİŞ"), MIN(I6453, MAX(0, I6453 + SUM(SUMIFS($I$1:I6452, $C$1:C6452, C6453, $B$1:B6452, {"MAL ALIMI","ÜRETİM GİRİŞ"})) - VLOOKUP(C6453, 'STOK RAPORU'!$C$2:$I$1000, 4, 0))), 0)</f>
        <v>0</v>
      </c>
      <c r="U6453" s="22">
        <f t="shared" si="404"/>
        <v>0</v>
      </c>
      <c r="V6453">
        <f t="shared" si="405"/>
        <v>0</v>
      </c>
      <c r="W6453" s="22">
        <f t="shared" si="406"/>
        <v>0</v>
      </c>
    </row>
    <row r="6454" spans="1:23" hidden="1" x14ac:dyDescent="0.25">
      <c r="A6454" s="3">
        <v>46132</v>
      </c>
      <c r="B6454" s="46" t="s">
        <v>334</v>
      </c>
      <c r="C6454" s="4" t="s">
        <v>92</v>
      </c>
      <c r="D6454" s="4"/>
      <c r="E6454" s="4" t="s">
        <v>921</v>
      </c>
      <c r="F6454" s="46" t="s">
        <v>3130</v>
      </c>
      <c r="G6454" s="4" t="s">
        <v>336</v>
      </c>
      <c r="H6454" s="4" t="s">
        <v>380</v>
      </c>
      <c r="I6454" s="4">
        <v>7.8E-2</v>
      </c>
      <c r="J6454" s="21">
        <v>500</v>
      </c>
      <c r="K6454" s="21">
        <v>39</v>
      </c>
      <c r="L6454" s="5">
        <v>0</v>
      </c>
      <c r="M6454" s="4"/>
      <c r="N6454" s="4"/>
      <c r="O6454" s="5"/>
      <c r="P6454" s="5"/>
      <c r="Q6454" s="21">
        <v>0</v>
      </c>
      <c r="R6454" s="21">
        <v>0</v>
      </c>
      <c r="S6454" s="5">
        <f t="shared" si="403"/>
        <v>36979.441749698366</v>
      </c>
      <c r="T6454" cm="1">
        <f t="array" ref="T6454">IF(OR(B6454="MAL ALIMI", B6454="ÜRETİM GİRİŞ"), MIN(I6454, MAX(0, I6454 + SUM(SUMIFS($I$1:I6453, $C$1:C6453, C6454, $B$1:B6453, {"MAL ALIMI","ÜRETİM GİRİŞ"})) - VLOOKUP(C6454, 'STOK RAPORU'!$C$2:$I$1000, 4, 0))), 0)</f>
        <v>0</v>
      </c>
      <c r="U6454" s="22">
        <f t="shared" si="404"/>
        <v>0</v>
      </c>
      <c r="V6454">
        <f t="shared" si="405"/>
        <v>0</v>
      </c>
      <c r="W6454" s="22">
        <f t="shared" si="406"/>
        <v>0</v>
      </c>
    </row>
    <row r="6455" spans="1:23" hidden="1" x14ac:dyDescent="0.25">
      <c r="A6455" s="3">
        <v>46132</v>
      </c>
      <c r="B6455" s="46" t="s">
        <v>334</v>
      </c>
      <c r="C6455" s="4" t="s">
        <v>60</v>
      </c>
      <c r="D6455" s="4"/>
      <c r="E6455" s="4" t="s">
        <v>921</v>
      </c>
      <c r="F6455" s="46" t="s">
        <v>3130</v>
      </c>
      <c r="G6455" s="4" t="s">
        <v>336</v>
      </c>
      <c r="H6455" s="4" t="s">
        <v>380</v>
      </c>
      <c r="I6455" s="4">
        <v>0.05</v>
      </c>
      <c r="J6455" s="21">
        <v>1200</v>
      </c>
      <c r="K6455" s="21">
        <v>60</v>
      </c>
      <c r="L6455" s="5">
        <v>0</v>
      </c>
      <c r="M6455" s="4"/>
      <c r="N6455" s="4"/>
      <c r="O6455" s="5"/>
      <c r="P6455" s="5"/>
      <c r="Q6455" s="21">
        <v>0</v>
      </c>
      <c r="R6455" s="21">
        <v>0</v>
      </c>
      <c r="S6455" s="5">
        <f t="shared" si="403"/>
        <v>36979.441749698366</v>
      </c>
      <c r="T6455" cm="1">
        <f t="array" ref="T6455">IF(OR(B6455="MAL ALIMI", B6455="ÜRETİM GİRİŞ"), MIN(I6455, MAX(0, I6455 + SUM(SUMIFS($I$1:I6454, $C$1:C6454, C6455, $B$1:B6454, {"MAL ALIMI","ÜRETİM GİRİŞ"})) - VLOOKUP(C6455, 'STOK RAPORU'!$C$2:$I$1000, 4, 0))), 0)</f>
        <v>0</v>
      </c>
      <c r="U6455" s="22">
        <f t="shared" si="404"/>
        <v>0</v>
      </c>
      <c r="V6455">
        <f t="shared" si="405"/>
        <v>0</v>
      </c>
      <c r="W6455" s="22">
        <f t="shared" si="406"/>
        <v>0</v>
      </c>
    </row>
    <row r="6456" spans="1:23" hidden="1" x14ac:dyDescent="0.25">
      <c r="A6456" s="3">
        <v>46132</v>
      </c>
      <c r="B6456" s="46" t="s">
        <v>334</v>
      </c>
      <c r="C6456" s="4" t="s">
        <v>154</v>
      </c>
      <c r="D6456" s="4"/>
      <c r="E6456" s="4" t="s">
        <v>921</v>
      </c>
      <c r="F6456" s="46" t="s">
        <v>3130</v>
      </c>
      <c r="G6456" s="4" t="s">
        <v>336</v>
      </c>
      <c r="H6456" s="4" t="s">
        <v>380</v>
      </c>
      <c r="I6456" s="4">
        <v>0.1</v>
      </c>
      <c r="J6456" s="21">
        <v>400</v>
      </c>
      <c r="K6456" s="21">
        <v>40</v>
      </c>
      <c r="L6456" s="5">
        <v>0</v>
      </c>
      <c r="M6456" s="4"/>
      <c r="N6456" s="4"/>
      <c r="O6456" s="5"/>
      <c r="P6456" s="5"/>
      <c r="Q6456" s="21">
        <v>0</v>
      </c>
      <c r="R6456" s="21">
        <v>0</v>
      </c>
      <c r="S6456" s="5">
        <f t="shared" si="403"/>
        <v>36979.441749698366</v>
      </c>
      <c r="T6456" cm="1">
        <f t="array" ref="T6456">IF(OR(B6456="MAL ALIMI", B6456="ÜRETİM GİRİŞ"), MIN(I6456, MAX(0, I6456 + SUM(SUMIFS($I$1:I6455, $C$1:C6455, C6456, $B$1:B6455, {"MAL ALIMI","ÜRETİM GİRİŞ"})) - VLOOKUP(C6456, 'STOK RAPORU'!$C$2:$I$1000, 4, 0))), 0)</f>
        <v>0</v>
      </c>
      <c r="U6456" s="22">
        <f t="shared" si="404"/>
        <v>0</v>
      </c>
      <c r="V6456">
        <f t="shared" si="405"/>
        <v>0</v>
      </c>
      <c r="W6456" s="22">
        <f t="shared" si="406"/>
        <v>0</v>
      </c>
    </row>
    <row r="6457" spans="1:23" hidden="1" x14ac:dyDescent="0.25">
      <c r="A6457" s="3">
        <v>46132</v>
      </c>
      <c r="B6457" s="46" t="s">
        <v>334</v>
      </c>
      <c r="C6457" s="4" t="s">
        <v>148</v>
      </c>
      <c r="D6457" s="4"/>
      <c r="E6457" s="4" t="s">
        <v>921</v>
      </c>
      <c r="F6457" s="46" t="s">
        <v>3130</v>
      </c>
      <c r="G6457" s="4" t="s">
        <v>336</v>
      </c>
      <c r="H6457" s="4" t="s">
        <v>380</v>
      </c>
      <c r="I6457" s="4">
        <v>1</v>
      </c>
      <c r="J6457" s="21">
        <v>75</v>
      </c>
      <c r="K6457" s="21">
        <v>75</v>
      </c>
      <c r="L6457" s="5">
        <v>0</v>
      </c>
      <c r="M6457" s="4"/>
      <c r="N6457" s="4"/>
      <c r="O6457" s="5"/>
      <c r="P6457" s="5"/>
      <c r="Q6457" s="21">
        <v>0</v>
      </c>
      <c r="R6457" s="21">
        <v>0</v>
      </c>
      <c r="S6457" s="5">
        <f t="shared" si="403"/>
        <v>36979.441749698366</v>
      </c>
      <c r="T6457" cm="1">
        <f t="array" ref="T6457">IF(OR(B6457="MAL ALIMI", B6457="ÜRETİM GİRİŞ"), MIN(I6457, MAX(0, I6457 + SUM(SUMIFS($I$1:I6456, $C$1:C6456, C6457, $B$1:B6456, {"MAL ALIMI","ÜRETİM GİRİŞ"})) - VLOOKUP(C6457, 'STOK RAPORU'!$C$2:$I$1000, 4, 0))), 0)</f>
        <v>0</v>
      </c>
      <c r="U6457" s="22">
        <f t="shared" si="404"/>
        <v>0</v>
      </c>
      <c r="V6457">
        <f t="shared" si="405"/>
        <v>0</v>
      </c>
      <c r="W6457" s="22">
        <f t="shared" si="406"/>
        <v>0</v>
      </c>
    </row>
    <row r="6458" spans="1:23" hidden="1" x14ac:dyDescent="0.25">
      <c r="A6458" s="3">
        <v>46132</v>
      </c>
      <c r="B6458" s="46" t="s">
        <v>334</v>
      </c>
      <c r="C6458" s="4" t="s">
        <v>149</v>
      </c>
      <c r="D6458" s="4"/>
      <c r="E6458" s="4" t="s">
        <v>921</v>
      </c>
      <c r="F6458" s="46" t="s">
        <v>3130</v>
      </c>
      <c r="G6458" s="4" t="s">
        <v>336</v>
      </c>
      <c r="H6458" s="4" t="s">
        <v>380</v>
      </c>
      <c r="I6458" s="4">
        <v>1</v>
      </c>
      <c r="J6458" s="21">
        <v>75</v>
      </c>
      <c r="K6458" s="21">
        <v>75</v>
      </c>
      <c r="L6458" s="5">
        <v>0</v>
      </c>
      <c r="M6458" s="4"/>
      <c r="N6458" s="4"/>
      <c r="O6458" s="5"/>
      <c r="P6458" s="5"/>
      <c r="Q6458" s="21">
        <v>0</v>
      </c>
      <c r="R6458" s="21">
        <v>0</v>
      </c>
      <c r="S6458" s="5">
        <f t="shared" si="403"/>
        <v>36979.441749698366</v>
      </c>
      <c r="T6458" cm="1">
        <f t="array" ref="T6458">IF(OR(B6458="MAL ALIMI", B6458="ÜRETİM GİRİŞ"), MIN(I6458, MAX(0, I6458 + SUM(SUMIFS($I$1:I6457, $C$1:C6457, C6458, $B$1:B6457, {"MAL ALIMI","ÜRETİM GİRİŞ"})) - VLOOKUP(C6458, 'STOK RAPORU'!$C$2:$I$1000, 4, 0))), 0)</f>
        <v>0</v>
      </c>
      <c r="U6458" s="22">
        <f t="shared" si="404"/>
        <v>0</v>
      </c>
      <c r="V6458">
        <f t="shared" si="405"/>
        <v>0</v>
      </c>
      <c r="W6458" s="22">
        <f t="shared" si="406"/>
        <v>0</v>
      </c>
    </row>
    <row r="6459" spans="1:23" hidden="1" x14ac:dyDescent="0.25">
      <c r="A6459" s="3">
        <v>46132</v>
      </c>
      <c r="B6459" s="46" t="s">
        <v>334</v>
      </c>
      <c r="C6459" s="4" t="s">
        <v>1897</v>
      </c>
      <c r="D6459" s="4"/>
      <c r="E6459" s="4" t="s">
        <v>921</v>
      </c>
      <c r="F6459" s="46" t="s">
        <v>3130</v>
      </c>
      <c r="G6459" s="4" t="s">
        <v>336</v>
      </c>
      <c r="H6459" s="4" t="s">
        <v>380</v>
      </c>
      <c r="I6459" s="4">
        <v>1</v>
      </c>
      <c r="J6459" s="21">
        <v>300</v>
      </c>
      <c r="K6459" s="21">
        <v>300</v>
      </c>
      <c r="L6459" s="5">
        <v>0</v>
      </c>
      <c r="M6459" s="4"/>
      <c r="N6459" s="4"/>
      <c r="O6459" s="5"/>
      <c r="P6459" s="5"/>
      <c r="Q6459" s="21">
        <v>0</v>
      </c>
      <c r="R6459" s="21">
        <v>0</v>
      </c>
      <c r="S6459" s="5">
        <f t="shared" si="403"/>
        <v>36979.441749698366</v>
      </c>
      <c r="T6459" cm="1">
        <f t="array" ref="T6459">IF(OR(B6459="MAL ALIMI", B6459="ÜRETİM GİRİŞ"), MIN(I6459, MAX(0, I6459 + SUM(SUMIFS($I$1:I6458, $C$1:C6458, C6459, $B$1:B6458, {"MAL ALIMI","ÜRETİM GİRİŞ"})) - VLOOKUP(C6459, 'STOK RAPORU'!$C$2:$I$1000, 4, 0))), 0)</f>
        <v>0</v>
      </c>
      <c r="U6459" s="22">
        <f t="shared" si="404"/>
        <v>0</v>
      </c>
      <c r="V6459">
        <f t="shared" si="405"/>
        <v>0</v>
      </c>
      <c r="W6459" s="22">
        <f t="shared" si="406"/>
        <v>0</v>
      </c>
    </row>
    <row r="6460" spans="1:23" hidden="1" x14ac:dyDescent="0.25">
      <c r="A6460" s="3">
        <v>46132</v>
      </c>
      <c r="B6460" s="46" t="s">
        <v>334</v>
      </c>
      <c r="C6460" s="4" t="s">
        <v>131</v>
      </c>
      <c r="D6460" s="4"/>
      <c r="E6460" s="4"/>
      <c r="F6460" s="46" t="s">
        <v>3131</v>
      </c>
      <c r="G6460" s="4" t="s">
        <v>336</v>
      </c>
      <c r="H6460" s="4" t="s">
        <v>289</v>
      </c>
      <c r="I6460" s="4">
        <v>4.8000000000000001E-2</v>
      </c>
      <c r="J6460" s="21">
        <v>400</v>
      </c>
      <c r="K6460" s="21">
        <v>0</v>
      </c>
      <c r="L6460" s="5">
        <v>0</v>
      </c>
      <c r="M6460" s="4"/>
      <c r="N6460" s="4"/>
      <c r="O6460" s="5"/>
      <c r="P6460" s="5"/>
      <c r="Q6460" s="21">
        <v>19.2</v>
      </c>
      <c r="R6460" s="21">
        <v>0</v>
      </c>
      <c r="S6460" s="5">
        <f t="shared" si="403"/>
        <v>36998.641749698363</v>
      </c>
      <c r="T6460" cm="1">
        <f t="array" ref="T6460">IF(OR(B6460="MAL ALIMI", B6460="ÜRETİM GİRİŞ"), MIN(I6460, MAX(0, I6460 + SUM(SUMIFS($I$1:I6459, $C$1:C6459, C6460, $B$1:B6459, {"MAL ALIMI","ÜRETİM GİRİŞ"})) - VLOOKUP(C6460, 'STOK RAPORU'!$C$2:$I$1000, 4, 0))), 0)</f>
        <v>0</v>
      </c>
      <c r="U6460" s="22">
        <f t="shared" si="404"/>
        <v>0</v>
      </c>
      <c r="V6460">
        <f t="shared" si="405"/>
        <v>0</v>
      </c>
      <c r="W6460" s="22">
        <f t="shared" si="406"/>
        <v>0</v>
      </c>
    </row>
    <row r="6461" spans="1:23" hidden="1" x14ac:dyDescent="0.25">
      <c r="A6461" s="3">
        <v>46132</v>
      </c>
      <c r="B6461" s="46" t="s">
        <v>334</v>
      </c>
      <c r="C6461" s="4" t="s">
        <v>92</v>
      </c>
      <c r="D6461" s="4"/>
      <c r="E6461" s="4"/>
      <c r="F6461" s="46" t="s">
        <v>3131</v>
      </c>
      <c r="G6461" s="4" t="s">
        <v>336</v>
      </c>
      <c r="H6461" s="4" t="s">
        <v>289</v>
      </c>
      <c r="I6461" s="4">
        <v>0.17599999999999999</v>
      </c>
      <c r="J6461" s="21">
        <v>500</v>
      </c>
      <c r="K6461" s="21">
        <v>0</v>
      </c>
      <c r="L6461" s="5">
        <v>0</v>
      </c>
      <c r="M6461" s="4"/>
      <c r="N6461" s="4"/>
      <c r="O6461" s="5"/>
      <c r="P6461" s="5"/>
      <c r="Q6461" s="21">
        <v>88</v>
      </c>
      <c r="R6461" s="21">
        <v>0</v>
      </c>
      <c r="S6461" s="5">
        <f t="shared" si="403"/>
        <v>37086.641749698363</v>
      </c>
      <c r="T6461" cm="1">
        <f t="array" ref="T6461">IF(OR(B6461="MAL ALIMI", B6461="ÜRETİM GİRİŞ"), MIN(I6461, MAX(0, I6461 + SUM(SUMIFS($I$1:I6460, $C$1:C6460, C6461, $B$1:B6460, {"MAL ALIMI","ÜRETİM GİRİŞ"})) - VLOOKUP(C6461, 'STOK RAPORU'!$C$2:$I$1000, 4, 0))), 0)</f>
        <v>0</v>
      </c>
      <c r="U6461" s="22">
        <f t="shared" si="404"/>
        <v>0</v>
      </c>
      <c r="V6461">
        <f t="shared" si="405"/>
        <v>0</v>
      </c>
      <c r="W6461" s="22">
        <f t="shared" si="406"/>
        <v>0</v>
      </c>
    </row>
    <row r="6462" spans="1:23" hidden="1" x14ac:dyDescent="0.25">
      <c r="A6462" s="3">
        <v>46132</v>
      </c>
      <c r="B6462" s="46" t="s">
        <v>334</v>
      </c>
      <c r="C6462" s="4" t="s">
        <v>463</v>
      </c>
      <c r="D6462" s="4"/>
      <c r="E6462" s="4"/>
      <c r="F6462" s="46" t="s">
        <v>3131</v>
      </c>
      <c r="G6462" s="4" t="s">
        <v>336</v>
      </c>
      <c r="H6462" s="4" t="s">
        <v>289</v>
      </c>
      <c r="I6462" s="4">
        <v>0.114</v>
      </c>
      <c r="J6462" s="21">
        <v>400</v>
      </c>
      <c r="K6462" s="21">
        <v>0</v>
      </c>
      <c r="L6462" s="5">
        <v>0</v>
      </c>
      <c r="M6462" s="4"/>
      <c r="N6462" s="4"/>
      <c r="O6462" s="5"/>
      <c r="P6462" s="5"/>
      <c r="Q6462" s="21">
        <v>45.6</v>
      </c>
      <c r="R6462" s="21">
        <v>0</v>
      </c>
      <c r="S6462" s="5">
        <f t="shared" si="403"/>
        <v>37132.241749698362</v>
      </c>
      <c r="T6462" cm="1">
        <f t="array" ref="T6462">IF(OR(B6462="MAL ALIMI", B6462="ÜRETİM GİRİŞ"), MIN(I6462, MAX(0, I6462 + SUM(SUMIFS($I$1:I6461, $C$1:C6461, C6462, $B$1:B6461, {"MAL ALIMI","ÜRETİM GİRİŞ"})) - VLOOKUP(C6462, 'STOK RAPORU'!$C$2:$I$1000, 4, 0))), 0)</f>
        <v>0</v>
      </c>
      <c r="U6462" s="22">
        <f t="shared" si="404"/>
        <v>0</v>
      </c>
      <c r="V6462">
        <f t="shared" si="405"/>
        <v>0</v>
      </c>
      <c r="W6462" s="22">
        <f t="shared" si="406"/>
        <v>0</v>
      </c>
    </row>
    <row r="6463" spans="1:23" hidden="1" x14ac:dyDescent="0.25">
      <c r="A6463" s="3">
        <v>46132</v>
      </c>
      <c r="B6463" s="46" t="s">
        <v>334</v>
      </c>
      <c r="C6463" s="4" t="s">
        <v>133</v>
      </c>
      <c r="D6463" s="4"/>
      <c r="E6463" s="4" t="s">
        <v>921</v>
      </c>
      <c r="F6463" s="46" t="s">
        <v>3131</v>
      </c>
      <c r="G6463" s="4" t="s">
        <v>336</v>
      </c>
      <c r="H6463" s="4" t="s">
        <v>380</v>
      </c>
      <c r="I6463" s="4">
        <v>0.25</v>
      </c>
      <c r="J6463" s="21">
        <v>400</v>
      </c>
      <c r="K6463" s="21">
        <v>100</v>
      </c>
      <c r="L6463" s="5">
        <v>0</v>
      </c>
      <c r="M6463" s="4"/>
      <c r="N6463" s="4"/>
      <c r="O6463" s="5"/>
      <c r="P6463" s="5"/>
      <c r="Q6463" s="21">
        <v>0</v>
      </c>
      <c r="R6463" s="21">
        <v>0</v>
      </c>
      <c r="S6463" s="5">
        <f t="shared" si="403"/>
        <v>37132.241749698362</v>
      </c>
      <c r="T6463" cm="1">
        <f t="array" ref="T6463">IF(OR(B6463="MAL ALIMI", B6463="ÜRETİM GİRİŞ"), MIN(I6463, MAX(0, I6463 + SUM(SUMIFS($I$1:I6462, $C$1:C6462, C6463, $B$1:B6462, {"MAL ALIMI","ÜRETİM GİRİŞ"})) - VLOOKUP(C6463, 'STOK RAPORU'!$C$2:$I$1000, 4, 0))), 0)</f>
        <v>0</v>
      </c>
      <c r="U6463" s="22">
        <f t="shared" si="404"/>
        <v>0</v>
      </c>
      <c r="V6463">
        <f t="shared" si="405"/>
        <v>0</v>
      </c>
      <c r="W6463" s="22">
        <f t="shared" si="406"/>
        <v>0</v>
      </c>
    </row>
    <row r="6464" spans="1:23" hidden="1" x14ac:dyDescent="0.25">
      <c r="A6464" s="3">
        <v>46132</v>
      </c>
      <c r="B6464" s="46" t="s">
        <v>334</v>
      </c>
      <c r="C6464" s="4" t="s">
        <v>679</v>
      </c>
      <c r="D6464" s="4"/>
      <c r="E6464" s="4" t="s">
        <v>921</v>
      </c>
      <c r="F6464" s="46" t="s">
        <v>3132</v>
      </c>
      <c r="G6464" s="4" t="s">
        <v>336</v>
      </c>
      <c r="H6464" s="4" t="s">
        <v>380</v>
      </c>
      <c r="I6464" s="4">
        <v>0.25</v>
      </c>
      <c r="J6464" s="21">
        <v>400</v>
      </c>
      <c r="K6464" s="21">
        <v>100</v>
      </c>
      <c r="L6464" s="5">
        <v>0</v>
      </c>
      <c r="M6464" s="4"/>
      <c r="N6464" s="4"/>
      <c r="O6464" s="5"/>
      <c r="P6464" s="5"/>
      <c r="Q6464" s="21">
        <v>0</v>
      </c>
      <c r="R6464" s="21">
        <v>0</v>
      </c>
      <c r="S6464" s="5">
        <f t="shared" si="403"/>
        <v>37132.241749698362</v>
      </c>
      <c r="T6464" cm="1">
        <f t="array" ref="T6464">IF(OR(B6464="MAL ALIMI", B6464="ÜRETİM GİRİŞ"), MIN(I6464, MAX(0, I6464 + SUM(SUMIFS($I$1:I6463, $C$1:C6463, C6464, $B$1:B6463, {"MAL ALIMI","ÜRETİM GİRİŞ"})) - VLOOKUP(C6464, 'STOK RAPORU'!$C$2:$I$1000, 4, 0))), 0)</f>
        <v>0</v>
      </c>
      <c r="U6464" s="22">
        <f t="shared" si="404"/>
        <v>0</v>
      </c>
      <c r="V6464">
        <f t="shared" si="405"/>
        <v>0</v>
      </c>
      <c r="W6464" s="22">
        <f t="shared" si="406"/>
        <v>0</v>
      </c>
    </row>
    <row r="6465" spans="1:23" hidden="1" x14ac:dyDescent="0.25">
      <c r="A6465" s="3">
        <v>46132</v>
      </c>
      <c r="B6465" s="46" t="s">
        <v>334</v>
      </c>
      <c r="C6465" s="4" t="s">
        <v>60</v>
      </c>
      <c r="D6465" s="4"/>
      <c r="E6465" s="4" t="s">
        <v>921</v>
      </c>
      <c r="F6465" s="46" t="s">
        <v>3132</v>
      </c>
      <c r="G6465" s="4" t="s">
        <v>336</v>
      </c>
      <c r="H6465" s="4" t="s">
        <v>380</v>
      </c>
      <c r="I6465" s="4">
        <v>0.05</v>
      </c>
      <c r="J6465" s="21">
        <v>1200</v>
      </c>
      <c r="K6465" s="21">
        <v>60</v>
      </c>
      <c r="L6465" s="5">
        <v>0</v>
      </c>
      <c r="M6465" s="4"/>
      <c r="N6465" s="4"/>
      <c r="O6465" s="5"/>
      <c r="P6465" s="5"/>
      <c r="Q6465" s="21">
        <v>0</v>
      </c>
      <c r="R6465" s="21">
        <v>0</v>
      </c>
      <c r="S6465" s="5">
        <f t="shared" si="403"/>
        <v>37132.241749698362</v>
      </c>
      <c r="T6465" cm="1">
        <f t="array" ref="T6465">IF(OR(B6465="MAL ALIMI", B6465="ÜRETİM GİRİŞ"), MIN(I6465, MAX(0, I6465 + SUM(SUMIFS($I$1:I6464, $C$1:C6464, C6465, $B$1:B6464, {"MAL ALIMI","ÜRETİM GİRİŞ"})) - VLOOKUP(C6465, 'STOK RAPORU'!$C$2:$I$1000, 4, 0))), 0)</f>
        <v>0</v>
      </c>
      <c r="U6465" s="22">
        <f t="shared" si="404"/>
        <v>0</v>
      </c>
      <c r="V6465">
        <f t="shared" si="405"/>
        <v>0</v>
      </c>
      <c r="W6465" s="22">
        <f t="shared" si="406"/>
        <v>0</v>
      </c>
    </row>
    <row r="6466" spans="1:23" hidden="1" x14ac:dyDescent="0.25">
      <c r="A6466" s="3">
        <v>46132</v>
      </c>
      <c r="B6466" s="46" t="s">
        <v>285</v>
      </c>
      <c r="C6466" s="4"/>
      <c r="D6466" s="4" t="s">
        <v>107</v>
      </c>
      <c r="E6466" s="4"/>
      <c r="F6466" s="4"/>
      <c r="G6466" s="4" t="s">
        <v>3123</v>
      </c>
      <c r="H6466" s="4" t="s">
        <v>289</v>
      </c>
      <c r="I6466" s="4">
        <v>1</v>
      </c>
      <c r="J6466" s="21">
        <v>528</v>
      </c>
      <c r="K6466" s="21">
        <v>0</v>
      </c>
      <c r="L6466" s="5">
        <v>0</v>
      </c>
      <c r="M6466" s="4"/>
      <c r="N6466" s="4"/>
      <c r="O6466" s="5"/>
      <c r="P6466" s="5"/>
      <c r="Q6466" s="21">
        <v>0</v>
      </c>
      <c r="R6466" s="21">
        <v>528</v>
      </c>
      <c r="S6466" s="5">
        <f t="shared" si="403"/>
        <v>36604.241749698362</v>
      </c>
      <c r="T6466" cm="1">
        <f t="array" ref="T6466">IF(OR(B6466="MAL ALIMI", B6466="ÜRETİM GİRİŞ"), MIN(I6466, MAX(0, I6466 + SUM(SUMIFS($I$1:I6465, $C$1:C6465, C6466, $B$1:B6465, {"MAL ALIMI","ÜRETİM GİRİŞ"})) - VLOOKUP(C6466, 'STOK RAPORU'!$C$2:$I$1000, 4, 0))), 0)</f>
        <v>0</v>
      </c>
      <c r="U6466" s="22">
        <f t="shared" si="404"/>
        <v>0</v>
      </c>
      <c r="V6466">
        <f t="shared" si="405"/>
        <v>0</v>
      </c>
      <c r="W6466" s="22">
        <f t="shared" si="406"/>
        <v>0</v>
      </c>
    </row>
    <row r="6467" spans="1:23" hidden="1" x14ac:dyDescent="0.25">
      <c r="A6467" s="3">
        <v>46132</v>
      </c>
      <c r="B6467" s="46" t="s">
        <v>298</v>
      </c>
      <c r="C6467" s="4" t="s">
        <v>1897</v>
      </c>
      <c r="D6467" s="4"/>
      <c r="E6467" s="4" t="s">
        <v>3100</v>
      </c>
      <c r="F6467" s="4"/>
      <c r="G6467" s="4" t="s">
        <v>3124</v>
      </c>
      <c r="H6467" s="4" t="s">
        <v>304</v>
      </c>
      <c r="I6467" s="4">
        <v>36</v>
      </c>
      <c r="J6467" s="21">
        <v>191.9</v>
      </c>
      <c r="K6467" s="21">
        <v>0</v>
      </c>
      <c r="L6467" s="5">
        <v>6908.4</v>
      </c>
      <c r="M6467" s="4"/>
      <c r="N6467" s="4"/>
      <c r="O6467" s="5"/>
      <c r="P6467" s="5"/>
      <c r="Q6467" s="21">
        <v>0</v>
      </c>
      <c r="R6467" s="21">
        <v>0</v>
      </c>
      <c r="S6467" s="5">
        <f t="shared" si="403"/>
        <v>36604.241749698362</v>
      </c>
      <c r="T6467" cm="1">
        <f t="array" ref="T6467">IF(OR(B6467="MAL ALIMI", B6467="ÜRETİM GİRİŞ"), MIN(I6467, MAX(0, I6467 + SUM(SUMIFS($I$1:I6466, $C$1:C6466, C6467, $B$1:B6466, {"MAL ALIMI","ÜRETİM GİRİŞ"})) - VLOOKUP(C6467, 'STOK RAPORU'!$C$2:$I$1000, 4, 0))), 0)</f>
        <v>30</v>
      </c>
      <c r="U6467" s="22">
        <f t="shared" si="404"/>
        <v>5757</v>
      </c>
      <c r="V6467">
        <f t="shared" si="405"/>
        <v>6908.4000000000005</v>
      </c>
      <c r="W6467" s="22">
        <f t="shared" si="406"/>
        <v>1151.4000000000005</v>
      </c>
    </row>
    <row r="6468" spans="1:23" hidden="1" x14ac:dyDescent="0.25">
      <c r="A6468" s="3">
        <v>46132</v>
      </c>
      <c r="B6468" s="4" t="s">
        <v>298</v>
      </c>
      <c r="C6468" s="4" t="s">
        <v>256</v>
      </c>
      <c r="D6468" s="4"/>
      <c r="E6468" s="4" t="s">
        <v>856</v>
      </c>
      <c r="F6468" s="4"/>
      <c r="G6468" s="4" t="s">
        <v>753</v>
      </c>
      <c r="H6468" s="4" t="s">
        <v>1329</v>
      </c>
      <c r="I6468" s="4">
        <v>6</v>
      </c>
      <c r="J6468" s="21">
        <v>150</v>
      </c>
      <c r="K6468" s="21">
        <v>0</v>
      </c>
      <c r="L6468" s="5">
        <v>900</v>
      </c>
      <c r="M6468" s="4"/>
      <c r="N6468" s="4"/>
      <c r="O6468" s="5"/>
      <c r="P6468" s="5"/>
      <c r="Q6468" s="21">
        <v>0</v>
      </c>
      <c r="R6468" s="21">
        <v>0</v>
      </c>
      <c r="S6468" s="5">
        <f t="shared" ref="S6468:S6531" si="407">S6467+Q6468-R6468</f>
        <v>36604.241749698362</v>
      </c>
      <c r="T6468" cm="1">
        <f t="array" ref="T6468">IF(OR(B6468="MAL ALIMI", B6468="ÜRETİM GİRİŞ"), MIN(I6468, MAX(0, I6468 + SUM(SUMIFS($I$1:I6467, $C$1:C6467, C6468, $B$1:B6467, {"MAL ALIMI","ÜRETİM GİRİŞ"})) - VLOOKUP(C6468, 'STOK RAPORU'!$C$2:$I$1000, 4, 0))), 0)</f>
        <v>1</v>
      </c>
      <c r="U6468" s="22">
        <f t="shared" si="404"/>
        <v>150</v>
      </c>
      <c r="V6468">
        <f t="shared" si="405"/>
        <v>900</v>
      </c>
      <c r="W6468" s="22">
        <f t="shared" si="406"/>
        <v>750</v>
      </c>
    </row>
    <row r="6469" spans="1:23" hidden="1" x14ac:dyDescent="0.25">
      <c r="A6469" s="3">
        <v>46132</v>
      </c>
      <c r="B6469" s="4" t="s">
        <v>946</v>
      </c>
      <c r="C6469" s="4"/>
      <c r="D6469" s="4"/>
      <c r="E6469" s="4" t="s">
        <v>921</v>
      </c>
      <c r="F6469" s="4"/>
      <c r="G6469" s="4" t="s">
        <v>946</v>
      </c>
      <c r="H6469" s="4" t="s">
        <v>380</v>
      </c>
      <c r="I6469" s="4">
        <v>1</v>
      </c>
      <c r="J6469" s="105">
        <v>950</v>
      </c>
      <c r="K6469" s="21">
        <v>0</v>
      </c>
      <c r="L6469" s="32">
        <v>950</v>
      </c>
      <c r="M6469" s="4"/>
      <c r="N6469" s="4"/>
      <c r="O6469" s="5"/>
      <c r="P6469" s="5"/>
      <c r="Q6469" s="21">
        <v>950</v>
      </c>
      <c r="R6469" s="21">
        <v>0</v>
      </c>
      <c r="S6469" s="5">
        <f t="shared" si="407"/>
        <v>37554.241749698362</v>
      </c>
      <c r="T6469" cm="1">
        <f t="array" ref="T6469">IF(OR(B6469="MAL ALIMI", B6469="ÜRETİM GİRİŞ"), MIN(I6469, MAX(0, I6469 + SUM(SUMIFS($I$1:I6468, $C$1:C6468, C6469, $B$1:B6468, {"MAL ALIMI","ÜRETİM GİRİŞ"})) - VLOOKUP(C6469, 'STOK RAPORU'!$C$2:$I$1000, 4, 0))), 0)</f>
        <v>0</v>
      </c>
      <c r="U6469" s="22">
        <f t="shared" si="404"/>
        <v>0</v>
      </c>
      <c r="V6469">
        <f t="shared" si="405"/>
        <v>0</v>
      </c>
      <c r="W6469" s="22">
        <f t="shared" si="406"/>
        <v>0</v>
      </c>
    </row>
    <row r="6470" spans="1:23" hidden="1" x14ac:dyDescent="0.25">
      <c r="A6470" s="3">
        <v>46132</v>
      </c>
      <c r="B6470" s="4" t="s">
        <v>917</v>
      </c>
      <c r="C6470" s="4"/>
      <c r="D6470" s="4"/>
      <c r="E6470" s="4" t="s">
        <v>855</v>
      </c>
      <c r="F6470" s="4"/>
      <c r="G6470" s="4" t="s">
        <v>2649</v>
      </c>
      <c r="H6470" s="4" t="s">
        <v>289</v>
      </c>
      <c r="I6470" s="4">
        <v>1</v>
      </c>
      <c r="J6470" s="21">
        <v>20000</v>
      </c>
      <c r="K6470" s="21">
        <v>20000</v>
      </c>
      <c r="L6470" s="5">
        <v>0</v>
      </c>
      <c r="M6470" s="21">
        <v>0</v>
      </c>
      <c r="N6470" s="21">
        <v>20000</v>
      </c>
      <c r="O6470" s="5"/>
      <c r="P6470" s="5"/>
      <c r="Q6470" s="21">
        <v>0</v>
      </c>
      <c r="R6470" s="21">
        <v>20000</v>
      </c>
      <c r="S6470" s="5">
        <f t="shared" si="407"/>
        <v>17554.241749698362</v>
      </c>
      <c r="T6470" cm="1">
        <f t="array" ref="T6470">IF(OR(B6470="MAL ALIMI", B6470="ÜRETİM GİRİŞ"), MIN(I6470, MAX(0, I6470 + SUM(SUMIFS($I$1:I6469, $C$1:C6469, C6470, $B$1:B6469, {"MAL ALIMI","ÜRETİM GİRİŞ"})) - VLOOKUP(C6470, 'STOK RAPORU'!$C$2:$I$1000, 4, 0))), 0)</f>
        <v>0</v>
      </c>
      <c r="U6470" s="22">
        <f t="shared" si="404"/>
        <v>0</v>
      </c>
      <c r="V6470">
        <f t="shared" si="405"/>
        <v>0</v>
      </c>
      <c r="W6470" s="22">
        <f t="shared" si="406"/>
        <v>0</v>
      </c>
    </row>
    <row r="6471" spans="1:23" hidden="1" x14ac:dyDescent="0.25">
      <c r="A6471" s="3">
        <v>46132</v>
      </c>
      <c r="B6471" s="4" t="s">
        <v>946</v>
      </c>
      <c r="C6471" s="4"/>
      <c r="D6471" s="4"/>
      <c r="E6471" s="4" t="s">
        <v>921</v>
      </c>
      <c r="F6471" s="4"/>
      <c r="G6471" s="4" t="s">
        <v>3186</v>
      </c>
      <c r="H6471" s="4" t="s">
        <v>380</v>
      </c>
      <c r="I6471" s="4">
        <v>1</v>
      </c>
      <c r="J6471" s="105">
        <v>600</v>
      </c>
      <c r="K6471" s="21">
        <v>0</v>
      </c>
      <c r="L6471" s="32">
        <v>600</v>
      </c>
      <c r="M6471" s="4"/>
      <c r="N6471" s="4"/>
      <c r="O6471" s="5"/>
      <c r="P6471" s="5"/>
      <c r="Q6471" s="21">
        <v>600</v>
      </c>
      <c r="R6471" s="21">
        <v>0</v>
      </c>
      <c r="S6471" s="5">
        <f t="shared" si="407"/>
        <v>18154.241749698362</v>
      </c>
      <c r="T6471" cm="1">
        <f t="array" ref="T6471">IF(OR(B6471="MAL ALIMI", B6471="ÜRETİM GİRİŞ"), MIN(I6471, MAX(0, I6471 + SUM(SUMIFS($I$1:I6470, $C$1:C6470, C6471, $B$1:B6470, {"MAL ALIMI","ÜRETİM GİRİŞ"})) - VLOOKUP(C6471, 'STOK RAPORU'!$C$2:$I$1000, 4, 0))), 0)</f>
        <v>0</v>
      </c>
      <c r="U6471" s="22">
        <f t="shared" si="404"/>
        <v>0</v>
      </c>
      <c r="V6471">
        <f t="shared" si="405"/>
        <v>0</v>
      </c>
      <c r="W6471" s="22">
        <f t="shared" si="406"/>
        <v>0</v>
      </c>
    </row>
    <row r="6472" spans="1:23" hidden="1" x14ac:dyDescent="0.25">
      <c r="A6472" s="3">
        <v>46132</v>
      </c>
      <c r="B6472" s="4" t="s">
        <v>285</v>
      </c>
      <c r="C6472" s="4"/>
      <c r="D6472" s="4" t="s">
        <v>943</v>
      </c>
      <c r="E6472" s="4"/>
      <c r="F6472" s="4"/>
      <c r="G6472" s="4" t="s">
        <v>3186</v>
      </c>
      <c r="H6472" s="4" t="s">
        <v>289</v>
      </c>
      <c r="I6472" s="4">
        <v>1</v>
      </c>
      <c r="J6472" s="21">
        <v>600</v>
      </c>
      <c r="K6472" s="21">
        <v>0</v>
      </c>
      <c r="L6472" s="5">
        <v>0</v>
      </c>
      <c r="M6472" s="4"/>
      <c r="N6472" s="4"/>
      <c r="O6472" s="5"/>
      <c r="P6472" s="5"/>
      <c r="Q6472" s="21">
        <v>0</v>
      </c>
      <c r="R6472" s="21">
        <v>600</v>
      </c>
      <c r="S6472" s="5">
        <f t="shared" si="407"/>
        <v>17554.241749698362</v>
      </c>
      <c r="T6472" cm="1">
        <f t="array" ref="T6472">IF(OR(B6472="MAL ALIMI", B6472="ÜRETİM GİRİŞ"), MIN(I6472, MAX(0, I6472 + SUM(SUMIFS($I$1:I6471, $C$1:C6471, C6472, $B$1:B6471, {"MAL ALIMI","ÜRETİM GİRİŞ"})) - VLOOKUP(C6472, 'STOK RAPORU'!$C$2:$I$1000, 4, 0))), 0)</f>
        <v>0</v>
      </c>
      <c r="U6472" s="22">
        <f t="shared" si="404"/>
        <v>0</v>
      </c>
      <c r="V6472">
        <f t="shared" si="405"/>
        <v>0</v>
      </c>
      <c r="W6472" s="22">
        <f t="shared" si="406"/>
        <v>0</v>
      </c>
    </row>
    <row r="6473" spans="1:23" hidden="1" x14ac:dyDescent="0.25">
      <c r="A6473" s="3">
        <v>46132</v>
      </c>
      <c r="B6473" s="4" t="s">
        <v>285</v>
      </c>
      <c r="C6473" s="4"/>
      <c r="D6473" s="4" t="s">
        <v>673</v>
      </c>
      <c r="E6473" s="4" t="s">
        <v>856</v>
      </c>
      <c r="F6473" s="4"/>
      <c r="G6473" s="4" t="s">
        <v>3251</v>
      </c>
      <c r="H6473" s="4" t="s">
        <v>1329</v>
      </c>
      <c r="I6473" s="4">
        <v>1</v>
      </c>
      <c r="J6473" s="21">
        <v>18539.7</v>
      </c>
      <c r="K6473" s="21">
        <v>0</v>
      </c>
      <c r="L6473" s="5">
        <v>18539.7</v>
      </c>
      <c r="M6473" s="4"/>
      <c r="N6473" s="4"/>
      <c r="O6473" s="5"/>
      <c r="P6473" s="5"/>
      <c r="Q6473" s="21">
        <v>0</v>
      </c>
      <c r="R6473" s="21">
        <v>0</v>
      </c>
      <c r="S6473" s="5">
        <f t="shared" si="407"/>
        <v>17554.241749698362</v>
      </c>
      <c r="T6473" cm="1">
        <f t="array" ref="T6473">IF(OR(B6473="MAL ALIMI", B6473="ÜRETİM GİRİŞ"), MIN(I6473, MAX(0, I6473 + SUM(SUMIFS($I$1:I6472, $C$1:C6472, C6473, $B$1:B6472, {"MAL ALIMI","ÜRETİM GİRİŞ"})) - VLOOKUP(C6473, 'STOK RAPORU'!$C$2:$I$1000, 4, 0))), 0)</f>
        <v>0</v>
      </c>
      <c r="U6473" s="22">
        <f t="shared" si="404"/>
        <v>0</v>
      </c>
      <c r="V6473">
        <f t="shared" si="405"/>
        <v>0</v>
      </c>
      <c r="W6473" s="22">
        <f t="shared" si="406"/>
        <v>0</v>
      </c>
    </row>
    <row r="6474" spans="1:23" hidden="1" x14ac:dyDescent="0.25">
      <c r="A6474" s="3">
        <v>46133</v>
      </c>
      <c r="B6474" s="46" t="s">
        <v>298</v>
      </c>
      <c r="C6474" s="4" t="s">
        <v>728</v>
      </c>
      <c r="D6474" s="4"/>
      <c r="E6474" s="4" t="s">
        <v>856</v>
      </c>
      <c r="F6474" s="4" t="s">
        <v>3249</v>
      </c>
      <c r="G6474" s="4" t="s">
        <v>3250</v>
      </c>
      <c r="H6474" s="4" t="s">
        <v>1329</v>
      </c>
      <c r="I6474" s="4">
        <v>1</v>
      </c>
      <c r="J6474" s="21">
        <v>359.999956</v>
      </c>
      <c r="K6474" s="21">
        <v>0</v>
      </c>
      <c r="L6474" s="5">
        <v>359.999956</v>
      </c>
      <c r="M6474" s="4"/>
      <c r="N6474" s="4"/>
      <c r="O6474" s="5"/>
      <c r="P6474" s="5"/>
      <c r="Q6474" s="21">
        <v>0</v>
      </c>
      <c r="R6474" s="21">
        <v>0</v>
      </c>
      <c r="S6474" s="5">
        <f t="shared" si="407"/>
        <v>17554.241749698362</v>
      </c>
      <c r="T6474" cm="1">
        <f t="array" ref="T6474">IF(OR(B6474="MAL ALIMI", B6474="ÜRETİM GİRİŞ"), MIN(I6474, MAX(0, I6474 + SUM(SUMIFS($I$1:I6473, $C$1:C6473, C6474, $B$1:B6473, {"MAL ALIMI","ÜRETİM GİRİŞ"})) - VLOOKUP(C6474, 'STOK RAPORU'!$C$2:$I$1000, 4, 0))), 0)</f>
        <v>0</v>
      </c>
      <c r="U6474" s="22">
        <f t="shared" si="404"/>
        <v>0</v>
      </c>
      <c r="V6474">
        <f t="shared" si="405"/>
        <v>359.999956</v>
      </c>
      <c r="W6474" s="22">
        <f t="shared" si="406"/>
        <v>359.999956</v>
      </c>
    </row>
    <row r="6475" spans="1:23" hidden="1" x14ac:dyDescent="0.25">
      <c r="A6475" s="3">
        <v>46133</v>
      </c>
      <c r="B6475" s="46" t="s">
        <v>298</v>
      </c>
      <c r="C6475" s="4" t="s">
        <v>530</v>
      </c>
      <c r="D6475" s="4"/>
      <c r="E6475" s="4" t="s">
        <v>856</v>
      </c>
      <c r="F6475" s="4" t="s">
        <v>3249</v>
      </c>
      <c r="G6475" s="4" t="s">
        <v>3250</v>
      </c>
      <c r="H6475" s="4" t="s">
        <v>1329</v>
      </c>
      <c r="I6475" s="4">
        <v>5</v>
      </c>
      <c r="J6475" s="21">
        <v>157</v>
      </c>
      <c r="K6475" s="21">
        <v>0</v>
      </c>
      <c r="L6475" s="5">
        <v>785</v>
      </c>
      <c r="M6475" s="4"/>
      <c r="N6475" s="4"/>
      <c r="O6475" s="5"/>
      <c r="P6475" s="5"/>
      <c r="Q6475" s="21">
        <v>0</v>
      </c>
      <c r="R6475" s="21">
        <v>0</v>
      </c>
      <c r="S6475" s="5">
        <f t="shared" si="407"/>
        <v>17554.241749698362</v>
      </c>
      <c r="T6475" cm="1">
        <f t="array" ref="T6475">IF(OR(B6475="MAL ALIMI", B6475="ÜRETİM GİRİŞ"), MIN(I6475, MAX(0, I6475 + SUM(SUMIFS($I$1:I6474, $C$1:C6474, C6475, $B$1:B6474, {"MAL ALIMI","ÜRETİM GİRİŞ"})) - VLOOKUP(C6475, 'STOK RAPORU'!$C$2:$I$1000, 4, 0))), 0)</f>
        <v>0.9626190476190466</v>
      </c>
      <c r="U6475" s="22">
        <f t="shared" si="404"/>
        <v>151.13119047619031</v>
      </c>
      <c r="V6475">
        <f t="shared" si="405"/>
        <v>785</v>
      </c>
      <c r="W6475" s="22">
        <f t="shared" si="406"/>
        <v>633.86880952380966</v>
      </c>
    </row>
    <row r="6476" spans="1:23" hidden="1" x14ac:dyDescent="0.25">
      <c r="A6476" s="3">
        <v>46133</v>
      </c>
      <c r="B6476" s="46" t="s">
        <v>298</v>
      </c>
      <c r="C6476" s="4" t="s">
        <v>459</v>
      </c>
      <c r="D6476" s="4"/>
      <c r="E6476" s="4" t="s">
        <v>856</v>
      </c>
      <c r="F6476" s="4" t="s">
        <v>3249</v>
      </c>
      <c r="G6476" s="4" t="s">
        <v>3250</v>
      </c>
      <c r="H6476" s="4" t="s">
        <v>1329</v>
      </c>
      <c r="I6476" s="4">
        <v>5</v>
      </c>
      <c r="J6476" s="21">
        <v>60</v>
      </c>
      <c r="K6476" s="21">
        <v>0</v>
      </c>
      <c r="L6476" s="5">
        <v>300</v>
      </c>
      <c r="M6476" s="4"/>
      <c r="N6476" s="4"/>
      <c r="O6476" s="5"/>
      <c r="P6476" s="5"/>
      <c r="Q6476" s="21">
        <v>0</v>
      </c>
      <c r="R6476" s="21">
        <v>0</v>
      </c>
      <c r="S6476" s="5">
        <f t="shared" si="407"/>
        <v>17554.241749698362</v>
      </c>
      <c r="T6476" cm="1">
        <f t="array" ref="T6476">IF(OR(B6476="MAL ALIMI", B6476="ÜRETİM GİRİŞ"), MIN(I6476, MAX(0, I6476 + SUM(SUMIFS($I$1:I6475, $C$1:C6475, C6476, $B$1:B6475, {"MAL ALIMI","ÜRETİM GİRİŞ"})) - VLOOKUP(C6476, 'STOK RAPORU'!$C$2:$I$1000, 4, 0))), 0)</f>
        <v>4.1231428571428568</v>
      </c>
      <c r="U6476" s="22">
        <f t="shared" si="404"/>
        <v>247.3885714285714</v>
      </c>
      <c r="V6476">
        <f t="shared" si="405"/>
        <v>300</v>
      </c>
      <c r="W6476" s="22">
        <f t="shared" si="406"/>
        <v>52.611428571428604</v>
      </c>
    </row>
    <row r="6477" spans="1:23" hidden="1" x14ac:dyDescent="0.25">
      <c r="A6477" s="3">
        <v>46133</v>
      </c>
      <c r="B6477" s="46" t="s">
        <v>298</v>
      </c>
      <c r="C6477" s="4" t="s">
        <v>679</v>
      </c>
      <c r="D6477" s="4"/>
      <c r="E6477" s="4" t="s">
        <v>856</v>
      </c>
      <c r="F6477" s="4" t="s">
        <v>3249</v>
      </c>
      <c r="G6477" s="4" t="s">
        <v>3250</v>
      </c>
      <c r="H6477" s="4" t="s">
        <v>1329</v>
      </c>
      <c r="I6477" s="4">
        <v>5</v>
      </c>
      <c r="J6477" s="21">
        <v>170</v>
      </c>
      <c r="K6477" s="21">
        <v>0</v>
      </c>
      <c r="L6477" s="5">
        <v>850</v>
      </c>
      <c r="M6477" s="4"/>
      <c r="N6477" s="4"/>
      <c r="O6477" s="5"/>
      <c r="P6477" s="5"/>
      <c r="Q6477" s="21">
        <v>0</v>
      </c>
      <c r="R6477" s="21">
        <v>0</v>
      </c>
      <c r="S6477" s="5">
        <f t="shared" si="407"/>
        <v>17554.241749698362</v>
      </c>
      <c r="T6477" cm="1">
        <f t="array" ref="T6477">IF(OR(B6477="MAL ALIMI", B6477="ÜRETİM GİRİŞ"), MIN(I6477, MAX(0, I6477 + SUM(SUMIFS($I$1:I6476, $C$1:C6476, C6477, $B$1:B6476, {"MAL ALIMI","ÜRETİM GİRİŞ"})) - VLOOKUP(C6477, 'STOK RAPORU'!$C$2:$I$1000, 4, 0))), 0)</f>
        <v>2.4250000000000007</v>
      </c>
      <c r="U6477" s="22">
        <f t="shared" si="404"/>
        <v>412.25000000000011</v>
      </c>
      <c r="V6477">
        <f t="shared" si="405"/>
        <v>850</v>
      </c>
      <c r="W6477" s="22">
        <f t="shared" si="406"/>
        <v>437.74999999999989</v>
      </c>
    </row>
    <row r="6478" spans="1:23" hidden="1" x14ac:dyDescent="0.25">
      <c r="A6478" s="3">
        <v>46133</v>
      </c>
      <c r="B6478" s="46" t="s">
        <v>298</v>
      </c>
      <c r="C6478" s="4" t="s">
        <v>3248</v>
      </c>
      <c r="D6478" s="4"/>
      <c r="E6478" s="4" t="s">
        <v>856</v>
      </c>
      <c r="F6478" s="4" t="s">
        <v>3249</v>
      </c>
      <c r="G6478" s="4" t="s">
        <v>3250</v>
      </c>
      <c r="H6478" s="4" t="s">
        <v>1329</v>
      </c>
      <c r="I6478" s="4">
        <v>3</v>
      </c>
      <c r="J6478" s="21">
        <v>110</v>
      </c>
      <c r="K6478" s="21">
        <v>0</v>
      </c>
      <c r="L6478" s="5">
        <v>330</v>
      </c>
      <c r="M6478" s="4"/>
      <c r="N6478" s="4"/>
      <c r="O6478" s="5"/>
      <c r="P6478" s="5"/>
      <c r="Q6478" s="21">
        <v>0</v>
      </c>
      <c r="R6478" s="21">
        <v>0</v>
      </c>
      <c r="S6478" s="5">
        <f t="shared" si="407"/>
        <v>17554.241749698362</v>
      </c>
      <c r="T6478" t="e" cm="1">
        <f t="array" ref="T6478">IF(OR(B6478="MAL ALIMI", B6478="ÜRETİM GİRİŞ"), MIN(I6478, MAX(0, I6478 + SUM(SUMIFS($I$1:I6477, $C$1:C6477, C6478, $B$1:B6477, {"MAL ALIMI","ÜRETİM GİRİŞ"})) - VLOOKUP(C6478, 'STOK RAPORU'!$C$2:$I$1000, 4, 0))), 0)</f>
        <v>#N/A</v>
      </c>
      <c r="U6478" s="22" t="e">
        <f t="shared" si="404"/>
        <v>#N/A</v>
      </c>
      <c r="V6478">
        <f t="shared" si="405"/>
        <v>330</v>
      </c>
      <c r="W6478" s="22" t="e">
        <f t="shared" si="406"/>
        <v>#N/A</v>
      </c>
    </row>
    <row r="6479" spans="1:23" hidden="1" x14ac:dyDescent="0.25">
      <c r="A6479" s="3">
        <v>46133</v>
      </c>
      <c r="B6479" s="46" t="s">
        <v>298</v>
      </c>
      <c r="C6479" s="4" t="s">
        <v>237</v>
      </c>
      <c r="D6479" s="4"/>
      <c r="E6479" s="4" t="s">
        <v>856</v>
      </c>
      <c r="F6479" s="4" t="s">
        <v>3249</v>
      </c>
      <c r="G6479" s="4" t="s">
        <v>3250</v>
      </c>
      <c r="H6479" s="4" t="s">
        <v>1329</v>
      </c>
      <c r="I6479" s="4">
        <v>1</v>
      </c>
      <c r="J6479" s="21">
        <v>699.99999300000002</v>
      </c>
      <c r="K6479" s="21">
        <v>0</v>
      </c>
      <c r="L6479" s="5">
        <v>699.99999300000002</v>
      </c>
      <c r="M6479" s="4"/>
      <c r="N6479" s="4"/>
      <c r="O6479" s="5"/>
      <c r="P6479" s="5"/>
      <c r="Q6479" s="21">
        <v>0</v>
      </c>
      <c r="R6479" s="21">
        <v>0</v>
      </c>
      <c r="S6479" s="5">
        <f t="shared" si="407"/>
        <v>17554.241749698362</v>
      </c>
      <c r="T6479" cm="1">
        <f t="array" ref="T6479">IF(OR(B6479="MAL ALIMI", B6479="ÜRETİM GİRİŞ"), MIN(I6479, MAX(0, I6479 + SUM(SUMIFS($I$1:I6478, $C$1:C6478, C6479, $B$1:B6478, {"MAL ALIMI","ÜRETİM GİRİŞ"})) - VLOOKUP(C6479, 'STOK RAPORU'!$C$2:$I$1000, 4, 0))), 0)</f>
        <v>0.9579999999999993</v>
      </c>
      <c r="U6479" s="22">
        <f t="shared" si="404"/>
        <v>670.59999329399955</v>
      </c>
      <c r="V6479">
        <f t="shared" si="405"/>
        <v>699.99999300000002</v>
      </c>
      <c r="W6479" s="22">
        <f t="shared" si="406"/>
        <v>29.399999706000472</v>
      </c>
    </row>
    <row r="6480" spans="1:23" hidden="1" x14ac:dyDescent="0.25">
      <c r="A6480" s="3">
        <v>46133</v>
      </c>
      <c r="B6480" s="46" t="s">
        <v>298</v>
      </c>
      <c r="C6480" s="4" t="s">
        <v>193</v>
      </c>
      <c r="D6480" s="4"/>
      <c r="E6480" s="4" t="s">
        <v>856</v>
      </c>
      <c r="F6480" s="4" t="s">
        <v>3249</v>
      </c>
      <c r="G6480" s="4" t="s">
        <v>3250</v>
      </c>
      <c r="H6480" s="4" t="s">
        <v>1329</v>
      </c>
      <c r="I6480" s="4">
        <v>1</v>
      </c>
      <c r="J6480" s="21">
        <v>154.999953</v>
      </c>
      <c r="K6480" s="21">
        <v>0</v>
      </c>
      <c r="L6480" s="5">
        <v>154.999953</v>
      </c>
      <c r="M6480" s="4"/>
      <c r="N6480" s="4"/>
      <c r="O6480" s="5"/>
      <c r="P6480" s="5"/>
      <c r="Q6480" s="21">
        <v>0</v>
      </c>
      <c r="R6480" s="21">
        <v>0</v>
      </c>
      <c r="S6480" s="5">
        <f t="shared" si="407"/>
        <v>17554.241749698362</v>
      </c>
      <c r="T6480" cm="1">
        <f t="array" ref="T6480">IF(OR(B6480="MAL ALIMI", B6480="ÜRETİM GİRİŞ"), MIN(I6480, MAX(0, I6480 + SUM(SUMIFS($I$1:I6479, $C$1:C6479, C6480, $B$1:B6479, {"MAL ALIMI","ÜRETİM GİRİŞ"})) - VLOOKUP(C6480, 'STOK RAPORU'!$C$2:$I$1000, 4, 0))), 0)</f>
        <v>1</v>
      </c>
      <c r="U6480" s="22">
        <f t="shared" si="404"/>
        <v>154.999953</v>
      </c>
      <c r="V6480">
        <f t="shared" si="405"/>
        <v>154.999953</v>
      </c>
      <c r="W6480" s="22">
        <f t="shared" si="406"/>
        <v>0</v>
      </c>
    </row>
    <row r="6481" spans="1:23" hidden="1" x14ac:dyDescent="0.25">
      <c r="A6481" s="3">
        <v>46133</v>
      </c>
      <c r="B6481" s="46" t="s">
        <v>298</v>
      </c>
      <c r="C6481" s="4" t="s">
        <v>249</v>
      </c>
      <c r="D6481" s="4"/>
      <c r="E6481" s="4" t="s">
        <v>856</v>
      </c>
      <c r="F6481" s="4" t="s">
        <v>3249</v>
      </c>
      <c r="G6481" s="4" t="s">
        <v>3250</v>
      </c>
      <c r="H6481" s="4" t="s">
        <v>1329</v>
      </c>
      <c r="I6481" s="4">
        <v>1</v>
      </c>
      <c r="J6481" s="21">
        <v>150.00004900000002</v>
      </c>
      <c r="K6481" s="21">
        <v>0</v>
      </c>
      <c r="L6481" s="5">
        <v>150.00004900000002</v>
      </c>
      <c r="M6481" s="4"/>
      <c r="N6481" s="4"/>
      <c r="O6481" s="5"/>
      <c r="P6481" s="5"/>
      <c r="Q6481" s="21">
        <v>0</v>
      </c>
      <c r="R6481" s="21">
        <v>0</v>
      </c>
      <c r="S6481" s="5">
        <f t="shared" si="407"/>
        <v>17554.241749698362</v>
      </c>
      <c r="T6481" cm="1">
        <f t="array" ref="T6481">IF(OR(B6481="MAL ALIMI", B6481="ÜRETİM GİRİŞ"), MIN(I6481, MAX(0, I6481 + SUM(SUMIFS($I$1:I6480, $C$1:C6480, C6481, $B$1:B6480, {"MAL ALIMI","ÜRETİM GİRİŞ"})) - VLOOKUP(C6481, 'STOK RAPORU'!$C$2:$I$1000, 4, 0))), 0)</f>
        <v>1</v>
      </c>
      <c r="U6481" s="22">
        <f t="shared" si="404"/>
        <v>150.00004900000002</v>
      </c>
      <c r="V6481">
        <f t="shared" si="405"/>
        <v>150.00004900000002</v>
      </c>
      <c r="W6481" s="22">
        <f t="shared" si="406"/>
        <v>0</v>
      </c>
    </row>
    <row r="6482" spans="1:23" hidden="1" x14ac:dyDescent="0.25">
      <c r="A6482" s="3">
        <v>46133</v>
      </c>
      <c r="B6482" s="46" t="s">
        <v>298</v>
      </c>
      <c r="C6482" s="4" t="s">
        <v>214</v>
      </c>
      <c r="D6482" s="4"/>
      <c r="E6482" s="4" t="s">
        <v>856</v>
      </c>
      <c r="F6482" s="4" t="s">
        <v>3249</v>
      </c>
      <c r="G6482" s="4" t="s">
        <v>3250</v>
      </c>
      <c r="H6482" s="4" t="s">
        <v>1329</v>
      </c>
      <c r="I6482" s="4">
        <v>1</v>
      </c>
      <c r="J6482" s="21">
        <v>174.99997300000001</v>
      </c>
      <c r="K6482" s="21">
        <v>0</v>
      </c>
      <c r="L6482" s="5">
        <v>174.99997300000001</v>
      </c>
      <c r="M6482" s="4"/>
      <c r="N6482" s="4"/>
      <c r="O6482" s="5"/>
      <c r="P6482" s="5"/>
      <c r="Q6482" s="21">
        <v>0</v>
      </c>
      <c r="R6482" s="21">
        <v>0</v>
      </c>
      <c r="S6482" s="5">
        <f t="shared" si="407"/>
        <v>17554.241749698362</v>
      </c>
      <c r="T6482" cm="1">
        <f t="array" ref="T6482">IF(OR(B6482="MAL ALIMI", B6482="ÜRETİM GİRİŞ"), MIN(I6482, MAX(0, I6482 + SUM(SUMIFS($I$1:I6481, $C$1:C6481, C6482, $B$1:B6481, {"MAL ALIMI","ÜRETİM GİRİŞ"})) - VLOOKUP(C6482, 'STOK RAPORU'!$C$2:$I$1000, 4, 0))), 0)</f>
        <v>0.56091304347826032</v>
      </c>
      <c r="U6482" s="22">
        <f t="shared" si="404"/>
        <v>98.159767464043384</v>
      </c>
      <c r="V6482">
        <f t="shared" si="405"/>
        <v>174.99997300000001</v>
      </c>
      <c r="W6482" s="22">
        <f t="shared" si="406"/>
        <v>76.840205535956628</v>
      </c>
    </row>
    <row r="6483" spans="1:23" hidden="1" x14ac:dyDescent="0.25">
      <c r="A6483" s="3">
        <v>46133</v>
      </c>
      <c r="B6483" s="46" t="s">
        <v>298</v>
      </c>
      <c r="C6483" s="4" t="s">
        <v>1183</v>
      </c>
      <c r="D6483" s="4"/>
      <c r="E6483" s="4" t="s">
        <v>856</v>
      </c>
      <c r="F6483" s="4" t="s">
        <v>3249</v>
      </c>
      <c r="G6483" s="4" t="s">
        <v>3250</v>
      </c>
      <c r="H6483" s="4" t="s">
        <v>1329</v>
      </c>
      <c r="I6483" s="4">
        <v>1</v>
      </c>
      <c r="J6483" s="21">
        <v>110.00000900000001</v>
      </c>
      <c r="K6483" s="21">
        <v>0</v>
      </c>
      <c r="L6483" s="5">
        <v>110.00000900000001</v>
      </c>
      <c r="M6483" s="4"/>
      <c r="N6483" s="4"/>
      <c r="O6483" s="5"/>
      <c r="P6483" s="5"/>
      <c r="Q6483" s="21">
        <v>0</v>
      </c>
      <c r="R6483" s="21">
        <v>0</v>
      </c>
      <c r="S6483" s="5">
        <f t="shared" si="407"/>
        <v>17554.241749698362</v>
      </c>
      <c r="T6483" cm="1">
        <f t="array" ref="T6483">IF(OR(B6483="MAL ALIMI", B6483="ÜRETİM GİRİŞ"), MIN(I6483, MAX(0, I6483 + SUM(SUMIFS($I$1:I6482, $C$1:C6482, C6483, $B$1:B6482, {"MAL ALIMI","ÜRETİM GİRİŞ"})) - VLOOKUP(C6483, 'STOK RAPORU'!$C$2:$I$1000, 4, 0))), 0)</f>
        <v>1</v>
      </c>
      <c r="U6483" s="22">
        <f t="shared" si="404"/>
        <v>110.00000900000001</v>
      </c>
      <c r="V6483">
        <f t="shared" si="405"/>
        <v>110.00000900000001</v>
      </c>
      <c r="W6483" s="22">
        <f t="shared" si="406"/>
        <v>0</v>
      </c>
    </row>
    <row r="6484" spans="1:23" hidden="1" x14ac:dyDescent="0.25">
      <c r="A6484" s="3">
        <v>46133</v>
      </c>
      <c r="B6484" s="46" t="s">
        <v>298</v>
      </c>
      <c r="C6484" s="4" t="s">
        <v>1359</v>
      </c>
      <c r="D6484" s="4"/>
      <c r="E6484" s="4" t="s">
        <v>856</v>
      </c>
      <c r="F6484" s="4" t="s">
        <v>3249</v>
      </c>
      <c r="G6484" s="4" t="s">
        <v>3250</v>
      </c>
      <c r="H6484" s="4" t="s">
        <v>1329</v>
      </c>
      <c r="I6484" s="4">
        <v>1</v>
      </c>
      <c r="J6484" s="21">
        <v>310.00000699999998</v>
      </c>
      <c r="K6484" s="21">
        <v>0</v>
      </c>
      <c r="L6484" s="5">
        <v>310.00000699999998</v>
      </c>
      <c r="M6484" s="4"/>
      <c r="N6484" s="4"/>
      <c r="O6484" s="5"/>
      <c r="P6484" s="5"/>
      <c r="Q6484" s="21">
        <v>0</v>
      </c>
      <c r="R6484" s="21">
        <v>0</v>
      </c>
      <c r="S6484" s="5">
        <f t="shared" si="407"/>
        <v>17554.241749698362</v>
      </c>
      <c r="T6484" cm="1">
        <f t="array" ref="T6484">IF(OR(B6484="MAL ALIMI", B6484="ÜRETİM GİRİŞ"), MIN(I6484, MAX(0, I6484 + SUM(SUMIFS($I$1:I6483, $C$1:C6483, C6484, $B$1:B6483, {"MAL ALIMI","ÜRETİM GİRİŞ"})) - VLOOKUP(C6484, 'STOK RAPORU'!$C$2:$I$1000, 4, 0))), 0)</f>
        <v>0</v>
      </c>
      <c r="U6484" s="22">
        <f t="shared" si="404"/>
        <v>0</v>
      </c>
      <c r="V6484">
        <f t="shared" si="405"/>
        <v>310.00000699999998</v>
      </c>
      <c r="W6484" s="22">
        <f t="shared" si="406"/>
        <v>310.00000699999998</v>
      </c>
    </row>
    <row r="6485" spans="1:23" hidden="1" x14ac:dyDescent="0.25">
      <c r="A6485" s="3">
        <v>46133</v>
      </c>
      <c r="B6485" s="46" t="s">
        <v>334</v>
      </c>
      <c r="C6485" s="4" t="s">
        <v>1041</v>
      </c>
      <c r="D6485" s="4"/>
      <c r="E6485" s="4"/>
      <c r="F6485" s="46" t="s">
        <v>3133</v>
      </c>
      <c r="G6485" s="4" t="s">
        <v>336</v>
      </c>
      <c r="H6485" s="4" t="s">
        <v>289</v>
      </c>
      <c r="I6485" s="4">
        <v>0.08</v>
      </c>
      <c r="J6485" s="21">
        <v>250</v>
      </c>
      <c r="K6485" s="21">
        <v>0</v>
      </c>
      <c r="L6485" s="5">
        <v>0</v>
      </c>
      <c r="M6485" s="4"/>
      <c r="N6485" s="4"/>
      <c r="O6485" s="5"/>
      <c r="P6485" s="5"/>
      <c r="Q6485" s="21">
        <v>20</v>
      </c>
      <c r="R6485" s="21">
        <v>0</v>
      </c>
      <c r="S6485" s="5">
        <f t="shared" si="407"/>
        <v>17574.241749698362</v>
      </c>
      <c r="T6485" cm="1">
        <f t="array" ref="T6485">IF(OR(B6485="MAL ALIMI", B6485="ÜRETİM GİRİŞ"), MIN(I6485, MAX(0, I6485 + SUM(SUMIFS($I$1:I6484, $C$1:C6484, C6485, $B$1:B6484, {"MAL ALIMI","ÜRETİM GİRİŞ"})) - VLOOKUP(C6485, 'STOK RAPORU'!$C$2:$I$1000, 4, 0))), 0)</f>
        <v>0</v>
      </c>
      <c r="U6485" s="22">
        <f t="shared" si="404"/>
        <v>0</v>
      </c>
      <c r="V6485">
        <f t="shared" si="405"/>
        <v>0</v>
      </c>
      <c r="W6485" s="22">
        <f t="shared" si="406"/>
        <v>0</v>
      </c>
    </row>
    <row r="6486" spans="1:23" hidden="1" x14ac:dyDescent="0.25">
      <c r="A6486" s="3">
        <v>46133</v>
      </c>
      <c r="B6486" s="46" t="s">
        <v>334</v>
      </c>
      <c r="C6486" s="4" t="s">
        <v>1024</v>
      </c>
      <c r="D6486" s="4"/>
      <c r="E6486" s="4"/>
      <c r="F6486" s="46" t="s">
        <v>3134</v>
      </c>
      <c r="G6486" s="4" t="s">
        <v>336</v>
      </c>
      <c r="H6486" s="4" t="s">
        <v>289</v>
      </c>
      <c r="I6486" s="4">
        <v>2.3119999999999998</v>
      </c>
      <c r="J6486" s="21">
        <v>65</v>
      </c>
      <c r="K6486" s="21">
        <v>0</v>
      </c>
      <c r="L6486" s="5">
        <v>0</v>
      </c>
      <c r="M6486" s="4"/>
      <c r="N6486" s="4"/>
      <c r="O6486" s="5"/>
      <c r="P6486" s="5"/>
      <c r="Q6486" s="21">
        <v>150.28</v>
      </c>
      <c r="R6486" s="21">
        <v>0</v>
      </c>
      <c r="S6486" s="5">
        <f t="shared" si="407"/>
        <v>17724.521749698361</v>
      </c>
      <c r="T6486" cm="1">
        <f t="array" ref="T6486">IF(OR(B6486="MAL ALIMI", B6486="ÜRETİM GİRİŞ"), MIN(I6486, MAX(0, I6486 + SUM(SUMIFS($I$1:I6485, $C$1:C6485, C6486, $B$1:B6485, {"MAL ALIMI","ÜRETİM GİRİŞ"})) - VLOOKUP(C6486, 'STOK RAPORU'!$C$2:$I$1000, 4, 0))), 0)</f>
        <v>0</v>
      </c>
      <c r="U6486" s="22">
        <f t="shared" si="404"/>
        <v>0</v>
      </c>
      <c r="V6486">
        <f t="shared" si="405"/>
        <v>0</v>
      </c>
      <c r="W6486" s="22">
        <f t="shared" si="406"/>
        <v>0</v>
      </c>
    </row>
    <row r="6487" spans="1:23" hidden="1" x14ac:dyDescent="0.25">
      <c r="A6487" s="3">
        <v>46133</v>
      </c>
      <c r="B6487" s="46" t="s">
        <v>334</v>
      </c>
      <c r="C6487" s="4" t="s">
        <v>163</v>
      </c>
      <c r="D6487" s="4"/>
      <c r="E6487" s="4"/>
      <c r="F6487" s="46" t="s">
        <v>3135</v>
      </c>
      <c r="G6487" s="4" t="s">
        <v>336</v>
      </c>
      <c r="H6487" s="4" t="s">
        <v>289</v>
      </c>
      <c r="I6487" s="4">
        <v>0.1</v>
      </c>
      <c r="J6487" s="21">
        <v>450</v>
      </c>
      <c r="K6487" s="21">
        <v>0</v>
      </c>
      <c r="L6487" s="5">
        <v>0</v>
      </c>
      <c r="M6487" s="4"/>
      <c r="N6487" s="4"/>
      <c r="O6487" s="5"/>
      <c r="P6487" s="5"/>
      <c r="Q6487" s="21">
        <v>45</v>
      </c>
      <c r="R6487" s="21">
        <v>0</v>
      </c>
      <c r="S6487" s="5">
        <f t="shared" si="407"/>
        <v>17769.521749698361</v>
      </c>
      <c r="T6487" cm="1">
        <f t="array" ref="T6487">IF(OR(B6487="MAL ALIMI", B6487="ÜRETİM GİRİŞ"), MIN(I6487, MAX(0, I6487 + SUM(SUMIFS($I$1:I6486, $C$1:C6486, C6487, $B$1:B6486, {"MAL ALIMI","ÜRETİM GİRİŞ"})) - VLOOKUP(C6487, 'STOK RAPORU'!$C$2:$I$1000, 4, 0))), 0)</f>
        <v>0</v>
      </c>
      <c r="U6487" s="22">
        <f t="shared" si="404"/>
        <v>0</v>
      </c>
      <c r="V6487">
        <f t="shared" si="405"/>
        <v>0</v>
      </c>
      <c r="W6487" s="22">
        <f t="shared" si="406"/>
        <v>0</v>
      </c>
    </row>
    <row r="6488" spans="1:23" hidden="1" x14ac:dyDescent="0.25">
      <c r="A6488" s="3">
        <v>46133</v>
      </c>
      <c r="B6488" s="46" t="s">
        <v>334</v>
      </c>
      <c r="C6488" s="4" t="s">
        <v>131</v>
      </c>
      <c r="D6488" s="4"/>
      <c r="E6488" s="4" t="s">
        <v>921</v>
      </c>
      <c r="F6488" s="46" t="s">
        <v>3136</v>
      </c>
      <c r="G6488" s="4" t="s">
        <v>336</v>
      </c>
      <c r="H6488" s="4" t="s">
        <v>380</v>
      </c>
      <c r="I6488" s="4">
        <v>0.125</v>
      </c>
      <c r="J6488" s="21">
        <v>400</v>
      </c>
      <c r="K6488" s="21">
        <v>50</v>
      </c>
      <c r="L6488" s="5">
        <v>0</v>
      </c>
      <c r="M6488" s="4"/>
      <c r="N6488" s="4"/>
      <c r="O6488" s="5"/>
      <c r="P6488" s="5"/>
      <c r="Q6488" s="21">
        <v>0</v>
      </c>
      <c r="R6488" s="21">
        <v>0</v>
      </c>
      <c r="S6488" s="5">
        <f t="shared" si="407"/>
        <v>17769.521749698361</v>
      </c>
      <c r="T6488" cm="1">
        <f t="array" ref="T6488">IF(OR(B6488="MAL ALIMI", B6488="ÜRETİM GİRİŞ"), MIN(I6488, MAX(0, I6488 + SUM(SUMIFS($I$1:I6487, $C$1:C6487, C6488, $B$1:B6487, {"MAL ALIMI","ÜRETİM GİRİŞ"})) - VLOOKUP(C6488, 'STOK RAPORU'!$C$2:$I$1000, 4, 0))), 0)</f>
        <v>0</v>
      </c>
      <c r="U6488" s="22">
        <f t="shared" si="404"/>
        <v>0</v>
      </c>
      <c r="V6488">
        <f t="shared" si="405"/>
        <v>0</v>
      </c>
      <c r="W6488" s="22">
        <f t="shared" si="406"/>
        <v>0</v>
      </c>
    </row>
    <row r="6489" spans="1:23" hidden="1" x14ac:dyDescent="0.25">
      <c r="A6489" s="3">
        <v>46133</v>
      </c>
      <c r="B6489" s="46" t="s">
        <v>334</v>
      </c>
      <c r="C6489" s="4" t="s">
        <v>161</v>
      </c>
      <c r="D6489" s="4"/>
      <c r="E6489" s="4" t="s">
        <v>921</v>
      </c>
      <c r="F6489" s="46" t="s">
        <v>3136</v>
      </c>
      <c r="G6489" s="4" t="s">
        <v>336</v>
      </c>
      <c r="H6489" s="4" t="s">
        <v>380</v>
      </c>
      <c r="I6489" s="4">
        <v>1</v>
      </c>
      <c r="J6489" s="21">
        <v>250</v>
      </c>
      <c r="K6489" s="21">
        <v>250</v>
      </c>
      <c r="L6489" s="5">
        <v>0</v>
      </c>
      <c r="M6489" s="4"/>
      <c r="N6489" s="4"/>
      <c r="O6489" s="5"/>
      <c r="P6489" s="5"/>
      <c r="Q6489" s="21">
        <v>0</v>
      </c>
      <c r="R6489" s="21">
        <v>0</v>
      </c>
      <c r="S6489" s="5">
        <f t="shared" si="407"/>
        <v>17769.521749698361</v>
      </c>
      <c r="T6489" cm="1">
        <f t="array" ref="T6489">IF(OR(B6489="MAL ALIMI", B6489="ÜRETİM GİRİŞ"), MIN(I6489, MAX(0, I6489 + SUM(SUMIFS($I$1:I6488, $C$1:C6488, C6489, $B$1:B6488, {"MAL ALIMI","ÜRETİM GİRİŞ"})) - VLOOKUP(C6489, 'STOK RAPORU'!$C$2:$I$1000, 4, 0))), 0)</f>
        <v>0</v>
      </c>
      <c r="U6489" s="22">
        <f t="shared" si="404"/>
        <v>0</v>
      </c>
      <c r="V6489">
        <f t="shared" si="405"/>
        <v>0</v>
      </c>
      <c r="W6489" s="22">
        <f t="shared" si="406"/>
        <v>0</v>
      </c>
    </row>
    <row r="6490" spans="1:23" hidden="1" x14ac:dyDescent="0.25">
      <c r="A6490" s="3">
        <v>46133</v>
      </c>
      <c r="B6490" s="46" t="s">
        <v>334</v>
      </c>
      <c r="C6490" s="4" t="s">
        <v>728</v>
      </c>
      <c r="D6490" s="4"/>
      <c r="E6490" s="4" t="s">
        <v>921</v>
      </c>
      <c r="F6490" s="46" t="s">
        <v>3137</v>
      </c>
      <c r="G6490" s="4" t="s">
        <v>336</v>
      </c>
      <c r="H6490" s="4" t="s">
        <v>380</v>
      </c>
      <c r="I6490" s="4">
        <v>0.52615384615384619</v>
      </c>
      <c r="J6490" s="21">
        <v>650</v>
      </c>
      <c r="K6490" s="21">
        <v>342</v>
      </c>
      <c r="L6490" s="5">
        <v>0</v>
      </c>
      <c r="M6490" s="4"/>
      <c r="N6490" s="4"/>
      <c r="O6490" s="5"/>
      <c r="P6490" s="5"/>
      <c r="Q6490" s="21">
        <v>0</v>
      </c>
      <c r="R6490" s="21">
        <v>0</v>
      </c>
      <c r="S6490" s="5">
        <f t="shared" si="407"/>
        <v>17769.521749698361</v>
      </c>
      <c r="T6490" cm="1">
        <f t="array" ref="T6490">IF(OR(B6490="MAL ALIMI", B6490="ÜRETİM GİRİŞ"), MIN(I6490, MAX(0, I6490 + SUM(SUMIFS($I$1:I6489, $C$1:C6489, C6490, $B$1:B6489, {"MAL ALIMI","ÜRETİM GİRİŞ"})) - VLOOKUP(C6490, 'STOK RAPORU'!$C$2:$I$1000, 4, 0))), 0)</f>
        <v>0</v>
      </c>
      <c r="U6490" s="22">
        <f t="shared" si="404"/>
        <v>0</v>
      </c>
      <c r="V6490">
        <f t="shared" si="405"/>
        <v>0</v>
      </c>
      <c r="W6490" s="22">
        <f t="shared" si="406"/>
        <v>0</v>
      </c>
    </row>
    <row r="6491" spans="1:23" hidden="1" x14ac:dyDescent="0.25">
      <c r="A6491" s="3">
        <v>46133</v>
      </c>
      <c r="B6491" s="46" t="s">
        <v>334</v>
      </c>
      <c r="C6491" s="4" t="s">
        <v>243</v>
      </c>
      <c r="D6491" s="4"/>
      <c r="E6491" s="4" t="s">
        <v>921</v>
      </c>
      <c r="F6491" s="46" t="s">
        <v>3138</v>
      </c>
      <c r="G6491" s="4" t="s">
        <v>336</v>
      </c>
      <c r="H6491" s="4" t="s">
        <v>380</v>
      </c>
      <c r="I6491" s="4">
        <v>1</v>
      </c>
      <c r="J6491" s="21">
        <v>180</v>
      </c>
      <c r="K6491" s="21">
        <v>180</v>
      </c>
      <c r="L6491" s="5">
        <v>0</v>
      </c>
      <c r="M6491" s="4"/>
      <c r="N6491" s="4"/>
      <c r="O6491" s="5"/>
      <c r="P6491" s="5"/>
      <c r="Q6491" s="21">
        <v>0</v>
      </c>
      <c r="R6491" s="21">
        <v>0</v>
      </c>
      <c r="S6491" s="5">
        <f t="shared" si="407"/>
        <v>17769.521749698361</v>
      </c>
      <c r="T6491" cm="1">
        <f t="array" ref="T6491">IF(OR(B6491="MAL ALIMI", B6491="ÜRETİM GİRİŞ"), MIN(I6491, MAX(0, I6491 + SUM(SUMIFS($I$1:I6490, $C$1:C6490, C6491, $B$1:B6490, {"MAL ALIMI","ÜRETİM GİRİŞ"})) - VLOOKUP(C6491, 'STOK RAPORU'!$C$2:$I$1000, 4, 0))), 0)</f>
        <v>0</v>
      </c>
      <c r="U6491" s="22">
        <f t="shared" si="404"/>
        <v>0</v>
      </c>
      <c r="V6491">
        <f t="shared" si="405"/>
        <v>0</v>
      </c>
      <c r="W6491" s="22">
        <f t="shared" si="406"/>
        <v>0</v>
      </c>
    </row>
    <row r="6492" spans="1:23" hidden="1" x14ac:dyDescent="0.25">
      <c r="A6492" s="3">
        <v>46133</v>
      </c>
      <c r="B6492" s="46" t="s">
        <v>334</v>
      </c>
      <c r="C6492" s="4" t="s">
        <v>1399</v>
      </c>
      <c r="D6492" s="4"/>
      <c r="E6492" s="4" t="s">
        <v>921</v>
      </c>
      <c r="F6492" s="46" t="s">
        <v>3139</v>
      </c>
      <c r="G6492" s="4" t="s">
        <v>336</v>
      </c>
      <c r="H6492" s="4" t="s">
        <v>380</v>
      </c>
      <c r="I6492" s="4">
        <v>1</v>
      </c>
      <c r="J6492" s="21">
        <v>170</v>
      </c>
      <c r="K6492" s="21">
        <v>170</v>
      </c>
      <c r="L6492" s="5">
        <v>0</v>
      </c>
      <c r="M6492" s="4"/>
      <c r="N6492" s="4"/>
      <c r="O6492" s="5"/>
      <c r="P6492" s="5"/>
      <c r="Q6492" s="21">
        <v>0</v>
      </c>
      <c r="R6492" s="21">
        <v>0</v>
      </c>
      <c r="S6492" s="5">
        <f t="shared" si="407"/>
        <v>17769.521749698361</v>
      </c>
      <c r="T6492" cm="1">
        <f t="array" ref="T6492">IF(OR(B6492="MAL ALIMI", B6492="ÜRETİM GİRİŞ"), MIN(I6492, MAX(0, I6492 + SUM(SUMIFS($I$1:I6491, $C$1:C6491, C6492, $B$1:B6491, {"MAL ALIMI","ÜRETİM GİRİŞ"})) - VLOOKUP(C6492, 'STOK RAPORU'!$C$2:$I$1000, 4, 0))), 0)</f>
        <v>0</v>
      </c>
      <c r="U6492" s="22">
        <f t="shared" si="404"/>
        <v>0</v>
      </c>
      <c r="V6492">
        <f t="shared" si="405"/>
        <v>0</v>
      </c>
      <c r="W6492" s="22">
        <f t="shared" si="406"/>
        <v>0</v>
      </c>
    </row>
    <row r="6493" spans="1:23" hidden="1" x14ac:dyDescent="0.25">
      <c r="A6493" s="3">
        <v>46133</v>
      </c>
      <c r="B6493" s="46" t="s">
        <v>334</v>
      </c>
      <c r="C6493" s="4" t="s">
        <v>455</v>
      </c>
      <c r="D6493" s="4"/>
      <c r="E6493" s="4"/>
      <c r="F6493" s="46" t="s">
        <v>3140</v>
      </c>
      <c r="G6493" s="4" t="s">
        <v>336</v>
      </c>
      <c r="H6493" s="4" t="s">
        <v>289</v>
      </c>
      <c r="I6493" s="4">
        <v>1</v>
      </c>
      <c r="J6493" s="21">
        <v>80</v>
      </c>
      <c r="K6493" s="21">
        <v>0</v>
      </c>
      <c r="L6493" s="5">
        <v>0</v>
      </c>
      <c r="M6493" s="4"/>
      <c r="N6493" s="4"/>
      <c r="O6493" s="5"/>
      <c r="P6493" s="5"/>
      <c r="Q6493" s="21">
        <v>80</v>
      </c>
      <c r="R6493" s="21">
        <v>0</v>
      </c>
      <c r="S6493" s="5">
        <f t="shared" si="407"/>
        <v>17849.521749698361</v>
      </c>
      <c r="T6493" cm="1">
        <f t="array" ref="T6493">IF(OR(B6493="MAL ALIMI", B6493="ÜRETİM GİRİŞ"), MIN(I6493, MAX(0, I6493 + SUM(SUMIFS($I$1:I6492, $C$1:C6492, C6493, $B$1:B6492, {"MAL ALIMI","ÜRETİM GİRİŞ"})) - VLOOKUP(C6493, 'STOK RAPORU'!$C$2:$I$1000, 4, 0))), 0)</f>
        <v>0</v>
      </c>
      <c r="U6493" s="22">
        <f t="shared" si="404"/>
        <v>0</v>
      </c>
      <c r="V6493">
        <f t="shared" si="405"/>
        <v>0</v>
      </c>
      <c r="W6493" s="22">
        <f t="shared" si="406"/>
        <v>0</v>
      </c>
    </row>
    <row r="6494" spans="1:23" hidden="1" x14ac:dyDescent="0.25">
      <c r="A6494" s="3">
        <v>46133</v>
      </c>
      <c r="B6494" s="46" t="s">
        <v>334</v>
      </c>
      <c r="C6494" s="4" t="s">
        <v>168</v>
      </c>
      <c r="D6494" s="4"/>
      <c r="E6494" s="4"/>
      <c r="F6494" s="46" t="s">
        <v>3141</v>
      </c>
      <c r="G6494" s="4" t="s">
        <v>336</v>
      </c>
      <c r="H6494" s="4" t="s">
        <v>289</v>
      </c>
      <c r="I6494" s="4">
        <v>1</v>
      </c>
      <c r="J6494" s="21">
        <v>150</v>
      </c>
      <c r="K6494" s="21">
        <v>0</v>
      </c>
      <c r="L6494" s="5">
        <v>0</v>
      </c>
      <c r="M6494" s="4"/>
      <c r="N6494" s="4"/>
      <c r="O6494" s="5"/>
      <c r="P6494" s="5"/>
      <c r="Q6494" s="21">
        <v>150</v>
      </c>
      <c r="R6494" s="21">
        <v>0</v>
      </c>
      <c r="S6494" s="5">
        <f t="shared" si="407"/>
        <v>17999.521749698361</v>
      </c>
      <c r="T6494" cm="1">
        <f t="array" ref="T6494">IF(OR(B6494="MAL ALIMI", B6494="ÜRETİM GİRİŞ"), MIN(I6494, MAX(0, I6494 + SUM(SUMIFS($I$1:I6493, $C$1:C6493, C6494, $B$1:B6493, {"MAL ALIMI","ÜRETİM GİRİŞ"})) - VLOOKUP(C6494, 'STOK RAPORU'!$C$2:$I$1000, 4, 0))), 0)</f>
        <v>0</v>
      </c>
      <c r="U6494" s="22">
        <f t="shared" si="404"/>
        <v>0</v>
      </c>
      <c r="V6494">
        <f t="shared" si="405"/>
        <v>0</v>
      </c>
      <c r="W6494" s="22">
        <f t="shared" si="406"/>
        <v>0</v>
      </c>
    </row>
    <row r="6495" spans="1:23" hidden="1" x14ac:dyDescent="0.25">
      <c r="A6495" s="3">
        <v>46133</v>
      </c>
      <c r="B6495" s="46" t="s">
        <v>334</v>
      </c>
      <c r="C6495" s="4" t="s">
        <v>830</v>
      </c>
      <c r="D6495" s="4"/>
      <c r="E6495" s="4" t="s">
        <v>921</v>
      </c>
      <c r="F6495" s="46" t="s">
        <v>3142</v>
      </c>
      <c r="G6495" s="4" t="s">
        <v>336</v>
      </c>
      <c r="H6495" s="4" t="s">
        <v>380</v>
      </c>
      <c r="I6495" s="4">
        <v>1</v>
      </c>
      <c r="J6495" s="21">
        <v>130</v>
      </c>
      <c r="K6495" s="21">
        <v>130</v>
      </c>
      <c r="L6495" s="5">
        <v>0</v>
      </c>
      <c r="M6495" s="4"/>
      <c r="N6495" s="4"/>
      <c r="O6495" s="5"/>
      <c r="P6495" s="5"/>
      <c r="Q6495" s="21">
        <v>0</v>
      </c>
      <c r="R6495" s="21">
        <v>0</v>
      </c>
      <c r="S6495" s="5">
        <f t="shared" si="407"/>
        <v>17999.521749698361</v>
      </c>
      <c r="T6495" cm="1">
        <f t="array" ref="T6495">IF(OR(B6495="MAL ALIMI", B6495="ÜRETİM GİRİŞ"), MIN(I6495, MAX(0, I6495 + SUM(SUMIFS($I$1:I6494, $C$1:C6494, C6495, $B$1:B6494, {"MAL ALIMI","ÜRETİM GİRİŞ"})) - VLOOKUP(C6495, 'STOK RAPORU'!$C$2:$I$1000, 4, 0))), 0)</f>
        <v>0</v>
      </c>
      <c r="U6495" s="22">
        <f t="shared" si="404"/>
        <v>0</v>
      </c>
      <c r="V6495">
        <f t="shared" si="405"/>
        <v>0</v>
      </c>
      <c r="W6495" s="22">
        <f t="shared" si="406"/>
        <v>0</v>
      </c>
    </row>
    <row r="6496" spans="1:23" hidden="1" x14ac:dyDescent="0.25">
      <c r="A6496" s="3">
        <v>46133</v>
      </c>
      <c r="B6496" s="46" t="s">
        <v>334</v>
      </c>
      <c r="C6496" s="4" t="s">
        <v>2588</v>
      </c>
      <c r="D6496" s="4"/>
      <c r="E6496" s="4" t="s">
        <v>921</v>
      </c>
      <c r="F6496" s="46" t="s">
        <v>3142</v>
      </c>
      <c r="G6496" s="4" t="s">
        <v>336</v>
      </c>
      <c r="H6496" s="4" t="s">
        <v>380</v>
      </c>
      <c r="I6496" s="4">
        <v>1</v>
      </c>
      <c r="J6496" s="21">
        <v>125</v>
      </c>
      <c r="K6496" s="21">
        <v>125</v>
      </c>
      <c r="L6496" s="5">
        <v>0</v>
      </c>
      <c r="M6496" s="4"/>
      <c r="N6496" s="4"/>
      <c r="O6496" s="5"/>
      <c r="P6496" s="5"/>
      <c r="Q6496" s="21">
        <v>0</v>
      </c>
      <c r="R6496" s="21">
        <v>0</v>
      </c>
      <c r="S6496" s="5">
        <f t="shared" si="407"/>
        <v>17999.521749698361</v>
      </c>
      <c r="T6496" cm="1">
        <f t="array" ref="T6496">IF(OR(B6496="MAL ALIMI", B6496="ÜRETİM GİRİŞ"), MIN(I6496, MAX(0, I6496 + SUM(SUMIFS($I$1:I6495, $C$1:C6495, C6496, $B$1:B6495, {"MAL ALIMI","ÜRETİM GİRİŞ"})) - VLOOKUP(C6496, 'STOK RAPORU'!$C$2:$I$1000, 4, 0))), 0)</f>
        <v>0</v>
      </c>
      <c r="U6496" s="22">
        <f t="shared" si="404"/>
        <v>0</v>
      </c>
      <c r="V6496">
        <f t="shared" si="405"/>
        <v>0</v>
      </c>
      <c r="W6496" s="22">
        <f t="shared" si="406"/>
        <v>0</v>
      </c>
    </row>
    <row r="6497" spans="1:23" hidden="1" x14ac:dyDescent="0.25">
      <c r="A6497" s="3">
        <v>46133</v>
      </c>
      <c r="B6497" s="46" t="s">
        <v>334</v>
      </c>
      <c r="C6497" s="4" t="s">
        <v>461</v>
      </c>
      <c r="D6497" s="4"/>
      <c r="E6497" s="4" t="s">
        <v>921</v>
      </c>
      <c r="F6497" s="46" t="s">
        <v>3142</v>
      </c>
      <c r="G6497" s="4" t="s">
        <v>336</v>
      </c>
      <c r="H6497" s="4" t="s">
        <v>380</v>
      </c>
      <c r="I6497" s="4">
        <v>1</v>
      </c>
      <c r="J6497" s="21">
        <v>100</v>
      </c>
      <c r="K6497" s="21">
        <v>100</v>
      </c>
      <c r="L6497" s="5">
        <v>0</v>
      </c>
      <c r="M6497" s="4"/>
      <c r="N6497" s="4"/>
      <c r="O6497" s="5"/>
      <c r="P6497" s="5"/>
      <c r="Q6497" s="21">
        <v>0</v>
      </c>
      <c r="R6497" s="21">
        <v>0</v>
      </c>
      <c r="S6497" s="5">
        <f t="shared" si="407"/>
        <v>17999.521749698361</v>
      </c>
      <c r="T6497" cm="1">
        <f t="array" ref="T6497">IF(OR(B6497="MAL ALIMI", B6497="ÜRETİM GİRİŞ"), MIN(I6497, MAX(0, I6497 + SUM(SUMIFS($I$1:I6496, $C$1:C6496, C6497, $B$1:B6496, {"MAL ALIMI","ÜRETİM GİRİŞ"})) - VLOOKUP(C6497, 'STOK RAPORU'!$C$2:$I$1000, 4, 0))), 0)</f>
        <v>0</v>
      </c>
      <c r="U6497" s="22">
        <f t="shared" si="404"/>
        <v>0</v>
      </c>
      <c r="V6497">
        <f t="shared" si="405"/>
        <v>0</v>
      </c>
      <c r="W6497" s="22">
        <f t="shared" si="406"/>
        <v>0</v>
      </c>
    </row>
    <row r="6498" spans="1:23" hidden="1" x14ac:dyDescent="0.25">
      <c r="A6498" s="3">
        <v>46133</v>
      </c>
      <c r="B6498" s="46" t="s">
        <v>334</v>
      </c>
      <c r="C6498" s="4" t="s">
        <v>462</v>
      </c>
      <c r="D6498" s="4"/>
      <c r="E6498" s="4" t="s">
        <v>921</v>
      </c>
      <c r="F6498" s="46" t="s">
        <v>3142</v>
      </c>
      <c r="G6498" s="4" t="s">
        <v>336</v>
      </c>
      <c r="H6498" s="4" t="s">
        <v>380</v>
      </c>
      <c r="I6498" s="4">
        <v>1</v>
      </c>
      <c r="J6498" s="21">
        <v>120</v>
      </c>
      <c r="K6498" s="21">
        <v>120</v>
      </c>
      <c r="L6498" s="5">
        <v>0</v>
      </c>
      <c r="M6498" s="4"/>
      <c r="N6498" s="4"/>
      <c r="O6498" s="5"/>
      <c r="P6498" s="5"/>
      <c r="Q6498" s="21">
        <v>0</v>
      </c>
      <c r="R6498" s="21">
        <v>0</v>
      </c>
      <c r="S6498" s="5">
        <f t="shared" si="407"/>
        <v>17999.521749698361</v>
      </c>
      <c r="T6498" cm="1">
        <f t="array" ref="T6498">IF(OR(B6498="MAL ALIMI", B6498="ÜRETİM GİRİŞ"), MIN(I6498, MAX(0, I6498 + SUM(SUMIFS($I$1:I6497, $C$1:C6497, C6498, $B$1:B6497, {"MAL ALIMI","ÜRETİM GİRİŞ"})) - VLOOKUP(C6498, 'STOK RAPORU'!$C$2:$I$1000, 4, 0))), 0)</f>
        <v>0</v>
      </c>
      <c r="U6498" s="22">
        <f t="shared" si="404"/>
        <v>0</v>
      </c>
      <c r="V6498">
        <f t="shared" si="405"/>
        <v>0</v>
      </c>
      <c r="W6498" s="22">
        <f t="shared" si="406"/>
        <v>0</v>
      </c>
    </row>
    <row r="6499" spans="1:23" hidden="1" x14ac:dyDescent="0.25">
      <c r="A6499" s="3">
        <v>46133</v>
      </c>
      <c r="B6499" s="46" t="s">
        <v>334</v>
      </c>
      <c r="C6499" s="4" t="s">
        <v>238</v>
      </c>
      <c r="D6499" s="4"/>
      <c r="E6499" s="4" t="s">
        <v>921</v>
      </c>
      <c r="F6499" s="46" t="s">
        <v>3142</v>
      </c>
      <c r="G6499" s="4" t="s">
        <v>336</v>
      </c>
      <c r="H6499" s="4" t="s">
        <v>380</v>
      </c>
      <c r="I6499" s="4">
        <v>0.1</v>
      </c>
      <c r="J6499" s="21">
        <v>1350</v>
      </c>
      <c r="K6499" s="21">
        <v>135</v>
      </c>
      <c r="L6499" s="5">
        <v>0</v>
      </c>
      <c r="M6499" s="4"/>
      <c r="N6499" s="4"/>
      <c r="O6499" s="5"/>
      <c r="P6499" s="5"/>
      <c r="Q6499" s="21">
        <v>0</v>
      </c>
      <c r="R6499" s="21">
        <v>0</v>
      </c>
      <c r="S6499" s="5">
        <f t="shared" si="407"/>
        <v>17999.521749698361</v>
      </c>
      <c r="T6499" cm="1">
        <f t="array" ref="T6499">IF(OR(B6499="MAL ALIMI", B6499="ÜRETİM GİRİŞ"), MIN(I6499, MAX(0, I6499 + SUM(SUMIFS($I$1:I6498, $C$1:C6498, C6499, $B$1:B6498, {"MAL ALIMI","ÜRETİM GİRİŞ"})) - VLOOKUP(C6499, 'STOK RAPORU'!$C$2:$I$1000, 4, 0))), 0)</f>
        <v>0</v>
      </c>
      <c r="U6499" s="22">
        <f t="shared" si="404"/>
        <v>0</v>
      </c>
      <c r="V6499">
        <f t="shared" si="405"/>
        <v>0</v>
      </c>
      <c r="W6499" s="22">
        <f t="shared" si="406"/>
        <v>0</v>
      </c>
    </row>
    <row r="6500" spans="1:23" hidden="1" x14ac:dyDescent="0.25">
      <c r="A6500" s="3">
        <v>46133</v>
      </c>
      <c r="B6500" s="4" t="s">
        <v>946</v>
      </c>
      <c r="C6500" s="4"/>
      <c r="D6500" s="4"/>
      <c r="E6500" s="4" t="s">
        <v>921</v>
      </c>
      <c r="F6500" s="4"/>
      <c r="G6500" s="4" t="s">
        <v>946</v>
      </c>
      <c r="H6500" s="4" t="s">
        <v>380</v>
      </c>
      <c r="I6500" s="4">
        <v>1</v>
      </c>
      <c r="J6500" s="105">
        <v>4221</v>
      </c>
      <c r="K6500" s="21">
        <v>0</v>
      </c>
      <c r="L6500" s="32">
        <v>4221</v>
      </c>
      <c r="M6500" s="4"/>
      <c r="N6500" s="4"/>
      <c r="O6500" s="5"/>
      <c r="P6500" s="5"/>
      <c r="Q6500" s="21">
        <v>4221</v>
      </c>
      <c r="R6500" s="21">
        <v>0</v>
      </c>
      <c r="S6500" s="5">
        <f t="shared" si="407"/>
        <v>22220.521749698361</v>
      </c>
      <c r="T6500" cm="1">
        <f t="array" ref="T6500">IF(OR(B6500="MAL ALIMI", B6500="ÜRETİM GİRİŞ"), MIN(I6500, MAX(0, I6500 + SUM(SUMIFS($I$1:I6499, $C$1:C6499, C6500, $B$1:B6499, {"MAL ALIMI","ÜRETİM GİRİŞ"})) - VLOOKUP(C6500, 'STOK RAPORU'!$C$2:$I$1000, 4, 0))), 0)</f>
        <v>0</v>
      </c>
      <c r="U6500" s="22">
        <f t="shared" si="404"/>
        <v>0</v>
      </c>
      <c r="V6500">
        <f t="shared" si="405"/>
        <v>0</v>
      </c>
      <c r="W6500" s="22">
        <f t="shared" si="406"/>
        <v>0</v>
      </c>
    </row>
    <row r="6501" spans="1:23" hidden="1" x14ac:dyDescent="0.25">
      <c r="A6501" s="3">
        <v>46133</v>
      </c>
      <c r="B6501" s="4" t="s">
        <v>946</v>
      </c>
      <c r="C6501" s="4"/>
      <c r="D6501" s="4"/>
      <c r="E6501" s="4" t="s">
        <v>921</v>
      </c>
      <c r="F6501" s="4"/>
      <c r="G6501" s="4" t="s">
        <v>946</v>
      </c>
      <c r="H6501" s="4" t="s">
        <v>380</v>
      </c>
      <c r="I6501" s="4">
        <v>1</v>
      </c>
      <c r="J6501" s="105">
        <v>80.37</v>
      </c>
      <c r="K6501" s="21">
        <v>0</v>
      </c>
      <c r="L6501" s="32">
        <v>80.37</v>
      </c>
      <c r="M6501" s="4"/>
      <c r="N6501" s="4"/>
      <c r="O6501" s="5"/>
      <c r="P6501" s="5"/>
      <c r="Q6501" s="21">
        <v>80.37</v>
      </c>
      <c r="R6501" s="21">
        <v>0</v>
      </c>
      <c r="S6501" s="5">
        <f t="shared" si="407"/>
        <v>22300.891749698359</v>
      </c>
      <c r="T6501" cm="1">
        <f t="array" ref="T6501">IF(OR(B6501="MAL ALIMI", B6501="ÜRETİM GİRİŞ"), MIN(I6501, MAX(0, I6501 + SUM(SUMIFS($I$1:I6500, $C$1:C6500, C6501, $B$1:B6500, {"MAL ALIMI","ÜRETİM GİRİŞ"})) - VLOOKUP(C6501, 'STOK RAPORU'!$C$2:$I$1000, 4, 0))), 0)</f>
        <v>0</v>
      </c>
      <c r="U6501" s="22">
        <f t="shared" si="404"/>
        <v>0</v>
      </c>
      <c r="V6501">
        <f t="shared" si="405"/>
        <v>0</v>
      </c>
      <c r="W6501" s="22">
        <f t="shared" si="406"/>
        <v>0</v>
      </c>
    </row>
    <row r="6502" spans="1:23" hidden="1" x14ac:dyDescent="0.25">
      <c r="A6502" s="3">
        <v>46134</v>
      </c>
      <c r="B6502" s="46" t="s">
        <v>298</v>
      </c>
      <c r="C6502" s="4" t="s">
        <v>587</v>
      </c>
      <c r="D6502" s="4"/>
      <c r="E6502" s="4" t="s">
        <v>350</v>
      </c>
      <c r="F6502" s="4">
        <v>1002752</v>
      </c>
      <c r="G6502" s="4" t="s">
        <v>350</v>
      </c>
      <c r="H6502" s="4" t="s">
        <v>304</v>
      </c>
      <c r="I6502" s="4">
        <v>19.350000000000001</v>
      </c>
      <c r="J6502" s="21">
        <v>80.099999999999994</v>
      </c>
      <c r="K6502" s="21">
        <v>0</v>
      </c>
      <c r="L6502" s="5">
        <v>1549.9349999999999</v>
      </c>
      <c r="M6502" s="4"/>
      <c r="N6502" s="4"/>
      <c r="O6502" s="5"/>
      <c r="P6502" s="5"/>
      <c r="Q6502" s="21">
        <v>0</v>
      </c>
      <c r="R6502" s="21">
        <v>0</v>
      </c>
      <c r="S6502" s="5">
        <f t="shared" si="407"/>
        <v>22300.891749698359</v>
      </c>
      <c r="T6502" cm="1">
        <f t="array" ref="T6502">IF(OR(B6502="MAL ALIMI", B6502="ÜRETİM GİRİŞ"), MIN(I6502, MAX(0, I6502 + SUM(SUMIFS($I$1:I6501, $C$1:C6501, C6502, $B$1:B6501, {"MAL ALIMI","ÜRETİM GİRİŞ"})) - VLOOKUP(C6502, 'STOK RAPORU'!$C$2:$I$1000, 4, 0))), 0)</f>
        <v>0</v>
      </c>
      <c r="U6502" s="22">
        <f t="shared" si="404"/>
        <v>0</v>
      </c>
      <c r="V6502">
        <f t="shared" si="405"/>
        <v>1549.9349999999999</v>
      </c>
      <c r="W6502" s="22">
        <f t="shared" si="406"/>
        <v>1549.9349999999999</v>
      </c>
    </row>
    <row r="6503" spans="1:23" hidden="1" x14ac:dyDescent="0.25">
      <c r="A6503" s="3">
        <v>46134</v>
      </c>
      <c r="B6503" s="46" t="s">
        <v>298</v>
      </c>
      <c r="C6503" s="4" t="s">
        <v>586</v>
      </c>
      <c r="D6503" s="4"/>
      <c r="E6503" s="4" t="s">
        <v>350</v>
      </c>
      <c r="F6503" s="4">
        <v>1002752</v>
      </c>
      <c r="G6503" s="4" t="s">
        <v>350</v>
      </c>
      <c r="H6503" s="4" t="s">
        <v>304</v>
      </c>
      <c r="I6503" s="4">
        <v>19.350000000000001</v>
      </c>
      <c r="J6503" s="21">
        <v>95.61</v>
      </c>
      <c r="K6503" s="21">
        <v>0</v>
      </c>
      <c r="L6503" s="5">
        <v>1850.0535000000002</v>
      </c>
      <c r="M6503" s="4"/>
      <c r="N6503" s="4"/>
      <c r="O6503" s="5"/>
      <c r="P6503" s="5"/>
      <c r="Q6503" s="21">
        <v>0</v>
      </c>
      <c r="R6503" s="21">
        <v>0</v>
      </c>
      <c r="S6503" s="5">
        <f t="shared" si="407"/>
        <v>22300.891749698359</v>
      </c>
      <c r="T6503" cm="1">
        <f t="array" ref="T6503">IF(OR(B6503="MAL ALIMI", B6503="ÜRETİM GİRİŞ"), MIN(I6503, MAX(0, I6503 + SUM(SUMIFS($I$1:I6502, $C$1:C6502, C6503, $B$1:B6502, {"MAL ALIMI","ÜRETİM GİRİŞ"})) - VLOOKUP(C6503, 'STOK RAPORU'!$C$2:$I$1000, 4, 0))), 0)</f>
        <v>0</v>
      </c>
      <c r="U6503" s="22">
        <f t="shared" si="404"/>
        <v>0</v>
      </c>
      <c r="V6503">
        <f t="shared" si="405"/>
        <v>1850.0535000000002</v>
      </c>
      <c r="W6503" s="22">
        <f t="shared" si="406"/>
        <v>1850.0535000000002</v>
      </c>
    </row>
    <row r="6504" spans="1:23" hidden="1" x14ac:dyDescent="0.25">
      <c r="A6504" s="3">
        <v>46134</v>
      </c>
      <c r="B6504" s="46" t="s">
        <v>298</v>
      </c>
      <c r="C6504" s="4" t="s">
        <v>3158</v>
      </c>
      <c r="D6504" s="4"/>
      <c r="E6504" s="4" t="s">
        <v>350</v>
      </c>
      <c r="F6504" s="4">
        <v>1002752</v>
      </c>
      <c r="G6504" s="4" t="s">
        <v>350</v>
      </c>
      <c r="H6504" s="4" t="s">
        <v>304</v>
      </c>
      <c r="I6504" s="4">
        <v>5</v>
      </c>
      <c r="J6504" s="21">
        <v>105</v>
      </c>
      <c r="K6504" s="21">
        <v>0</v>
      </c>
      <c r="L6504" s="5">
        <v>525</v>
      </c>
      <c r="M6504" s="4"/>
      <c r="N6504" s="4"/>
      <c r="O6504" s="5"/>
      <c r="P6504" s="5"/>
      <c r="Q6504" s="21">
        <v>0</v>
      </c>
      <c r="R6504" s="21">
        <v>0</v>
      </c>
      <c r="S6504" s="5">
        <f t="shared" si="407"/>
        <v>22300.891749698359</v>
      </c>
      <c r="T6504" t="e" cm="1">
        <f t="array" ref="T6504">IF(OR(B6504="MAL ALIMI", B6504="ÜRETİM GİRİŞ"), MIN(I6504, MAX(0, I6504 + SUM(SUMIFS($I$1:I6503, $C$1:C6503, C6504, $B$1:B6503, {"MAL ALIMI","ÜRETİM GİRİŞ"})) - VLOOKUP(C6504, 'STOK RAPORU'!$C$2:$I$1000, 4, 0))), 0)</f>
        <v>#N/A</v>
      </c>
      <c r="U6504" s="22" t="e">
        <f t="shared" si="404"/>
        <v>#N/A</v>
      </c>
      <c r="V6504">
        <f t="shared" si="405"/>
        <v>525</v>
      </c>
      <c r="W6504" s="22" t="e">
        <f t="shared" si="406"/>
        <v>#N/A</v>
      </c>
    </row>
    <row r="6505" spans="1:23" hidden="1" x14ac:dyDescent="0.25">
      <c r="A6505" s="3">
        <v>46134</v>
      </c>
      <c r="B6505" s="46" t="s">
        <v>298</v>
      </c>
      <c r="C6505" s="4" t="s">
        <v>590</v>
      </c>
      <c r="D6505" s="4"/>
      <c r="E6505" s="4" t="s">
        <v>350</v>
      </c>
      <c r="F6505" s="4">
        <v>1002752</v>
      </c>
      <c r="G6505" s="4" t="s">
        <v>350</v>
      </c>
      <c r="H6505" s="4" t="s">
        <v>304</v>
      </c>
      <c r="I6505" s="4">
        <v>10</v>
      </c>
      <c r="J6505" s="21">
        <v>52</v>
      </c>
      <c r="K6505" s="21">
        <v>0</v>
      </c>
      <c r="L6505" s="5">
        <v>520</v>
      </c>
      <c r="M6505" s="4"/>
      <c r="N6505" s="4"/>
      <c r="O6505" s="5"/>
      <c r="P6505" s="5"/>
      <c r="Q6505" s="21">
        <v>0</v>
      </c>
      <c r="R6505" s="21">
        <v>0</v>
      </c>
      <c r="S6505" s="5">
        <f t="shared" si="407"/>
        <v>22300.891749698359</v>
      </c>
      <c r="T6505" cm="1">
        <f t="array" ref="T6505">IF(OR(B6505="MAL ALIMI", B6505="ÜRETİM GİRİŞ"), MIN(I6505, MAX(0, I6505 + SUM(SUMIFS($I$1:I6504, $C$1:C6504, C6505, $B$1:B6504, {"MAL ALIMI","ÜRETİM GİRİŞ"})) - VLOOKUP(C6505, 'STOK RAPORU'!$C$2:$I$1000, 4, 0))), 0)</f>
        <v>4</v>
      </c>
      <c r="U6505" s="22">
        <f t="shared" si="404"/>
        <v>208</v>
      </c>
      <c r="V6505">
        <f t="shared" si="405"/>
        <v>520</v>
      </c>
      <c r="W6505" s="22">
        <f t="shared" si="406"/>
        <v>312</v>
      </c>
    </row>
    <row r="6506" spans="1:23" hidden="1" x14ac:dyDescent="0.25">
      <c r="A6506" s="3">
        <v>46134</v>
      </c>
      <c r="B6506" s="46" t="s">
        <v>298</v>
      </c>
      <c r="C6506" s="4" t="s">
        <v>230</v>
      </c>
      <c r="D6506" s="4"/>
      <c r="E6506" s="4" t="s">
        <v>350</v>
      </c>
      <c r="F6506" s="4">
        <v>1002752</v>
      </c>
      <c r="G6506" s="4" t="s">
        <v>350</v>
      </c>
      <c r="H6506" s="4" t="s">
        <v>304</v>
      </c>
      <c r="I6506" s="4">
        <v>3</v>
      </c>
      <c r="J6506" s="21">
        <v>135</v>
      </c>
      <c r="K6506" s="21">
        <v>0</v>
      </c>
      <c r="L6506" s="5">
        <v>405</v>
      </c>
      <c r="M6506" s="4"/>
      <c r="N6506" s="4"/>
      <c r="O6506" s="5"/>
      <c r="P6506" s="5"/>
      <c r="Q6506" s="21">
        <v>0</v>
      </c>
      <c r="R6506" s="21">
        <v>0</v>
      </c>
      <c r="S6506" s="5">
        <f t="shared" si="407"/>
        <v>22300.891749698359</v>
      </c>
      <c r="T6506" cm="1">
        <f t="array" ref="T6506">IF(OR(B6506="MAL ALIMI", B6506="ÜRETİM GİRİŞ"), MIN(I6506, MAX(0, I6506 + SUM(SUMIFS($I$1:I6505, $C$1:C6505, C6506, $B$1:B6505, {"MAL ALIMI","ÜRETİM GİRİŞ"})) - VLOOKUP(C6506, 'STOK RAPORU'!$C$2:$I$1000, 4, 0))), 0)</f>
        <v>3</v>
      </c>
      <c r="U6506" s="22">
        <f t="shared" si="404"/>
        <v>405</v>
      </c>
      <c r="V6506">
        <f t="shared" si="405"/>
        <v>405</v>
      </c>
      <c r="W6506" s="22">
        <f t="shared" si="406"/>
        <v>0</v>
      </c>
    </row>
    <row r="6507" spans="1:23" hidden="1" x14ac:dyDescent="0.25">
      <c r="A6507" s="3">
        <v>46134</v>
      </c>
      <c r="B6507" s="46" t="s">
        <v>298</v>
      </c>
      <c r="C6507" s="4" t="s">
        <v>465</v>
      </c>
      <c r="D6507" s="4"/>
      <c r="E6507" s="4" t="s">
        <v>350</v>
      </c>
      <c r="F6507" s="4">
        <v>1002752</v>
      </c>
      <c r="G6507" s="4" t="s">
        <v>350</v>
      </c>
      <c r="H6507" s="4" t="s">
        <v>304</v>
      </c>
      <c r="I6507" s="4">
        <v>1.06</v>
      </c>
      <c r="J6507" s="21">
        <v>175</v>
      </c>
      <c r="K6507" s="21">
        <v>0</v>
      </c>
      <c r="L6507" s="5">
        <v>185.5</v>
      </c>
      <c r="M6507" s="4"/>
      <c r="N6507" s="4"/>
      <c r="O6507" s="5"/>
      <c r="P6507" s="5"/>
      <c r="Q6507" s="21">
        <v>0</v>
      </c>
      <c r="R6507" s="21">
        <v>0</v>
      </c>
      <c r="S6507" s="5">
        <f t="shared" si="407"/>
        <v>22300.891749698359</v>
      </c>
      <c r="T6507" cm="1">
        <f t="array" ref="T6507">IF(OR(B6507="MAL ALIMI", B6507="ÜRETİM GİRİŞ"), MIN(I6507, MAX(0, I6507 + SUM(SUMIFS($I$1:I6506, $C$1:C6506, C6507, $B$1:B6506, {"MAL ALIMI","ÜRETİM GİRİŞ"})) - VLOOKUP(C6507, 'STOK RAPORU'!$C$2:$I$1000, 4, 0))), 0)</f>
        <v>5.9999999999998721E-2</v>
      </c>
      <c r="U6507" s="22">
        <f t="shared" si="404"/>
        <v>10.499999999999776</v>
      </c>
      <c r="V6507">
        <f t="shared" si="405"/>
        <v>185.5</v>
      </c>
      <c r="W6507" s="22">
        <f t="shared" si="406"/>
        <v>175.00000000000023</v>
      </c>
    </row>
    <row r="6508" spans="1:23" hidden="1" x14ac:dyDescent="0.25">
      <c r="A6508" s="3">
        <v>46134</v>
      </c>
      <c r="B6508" s="46" t="s">
        <v>298</v>
      </c>
      <c r="C6508" s="4" t="s">
        <v>467</v>
      </c>
      <c r="D6508" s="4"/>
      <c r="E6508" s="4" t="s">
        <v>350</v>
      </c>
      <c r="F6508" s="4">
        <v>1002752</v>
      </c>
      <c r="G6508" s="4" t="s">
        <v>350</v>
      </c>
      <c r="H6508" s="4" t="s">
        <v>304</v>
      </c>
      <c r="I6508" s="4">
        <v>1.04</v>
      </c>
      <c r="J6508" s="21">
        <v>175</v>
      </c>
      <c r="K6508" s="21">
        <v>0</v>
      </c>
      <c r="L6508" s="5">
        <v>182</v>
      </c>
      <c r="M6508" s="4"/>
      <c r="N6508" s="4"/>
      <c r="O6508" s="5"/>
      <c r="P6508" s="5"/>
      <c r="Q6508" s="21">
        <v>0</v>
      </c>
      <c r="R6508" s="21">
        <v>0</v>
      </c>
      <c r="S6508" s="5">
        <f t="shared" si="407"/>
        <v>22300.891749698359</v>
      </c>
      <c r="T6508" cm="1">
        <f t="array" ref="T6508">IF(OR(B6508="MAL ALIMI", B6508="ÜRETİM GİRİŞ"), MIN(I6508, MAX(0, I6508 + SUM(SUMIFS($I$1:I6507, $C$1:C6507, C6508, $B$1:B6507, {"MAL ALIMI","ÜRETİM GİRİŞ"})) - VLOOKUP(C6508, 'STOK RAPORU'!$C$2:$I$1000, 4, 0))), 0)</f>
        <v>1.0399999999999991</v>
      </c>
      <c r="U6508" s="22">
        <f t="shared" si="404"/>
        <v>181.99999999999986</v>
      </c>
      <c r="V6508">
        <f t="shared" si="405"/>
        <v>182</v>
      </c>
      <c r="W6508" s="22">
        <f t="shared" si="406"/>
        <v>0</v>
      </c>
    </row>
    <row r="6509" spans="1:23" hidden="1" x14ac:dyDescent="0.25">
      <c r="A6509" s="3">
        <v>46134</v>
      </c>
      <c r="B6509" s="46" t="s">
        <v>334</v>
      </c>
      <c r="C6509" s="4" t="s">
        <v>1634</v>
      </c>
      <c r="D6509" s="4"/>
      <c r="E6509" s="4" t="s">
        <v>921</v>
      </c>
      <c r="F6509" s="46" t="s">
        <v>3143</v>
      </c>
      <c r="G6509" s="4" t="s">
        <v>336</v>
      </c>
      <c r="H6509" s="4" t="s">
        <v>380</v>
      </c>
      <c r="I6509" s="4">
        <v>0.53142857142857147</v>
      </c>
      <c r="J6509" s="21">
        <v>350</v>
      </c>
      <c r="K6509" s="21">
        <v>186.00000000000003</v>
      </c>
      <c r="L6509" s="5">
        <v>0</v>
      </c>
      <c r="M6509" s="4"/>
      <c r="N6509" s="4"/>
      <c r="O6509" s="5"/>
      <c r="P6509" s="5"/>
      <c r="Q6509" s="21">
        <v>0</v>
      </c>
      <c r="R6509" s="21">
        <v>0</v>
      </c>
      <c r="S6509" s="5">
        <f t="shared" si="407"/>
        <v>22300.891749698359</v>
      </c>
      <c r="T6509" cm="1">
        <f t="array" ref="T6509">IF(OR(B6509="MAL ALIMI", B6509="ÜRETİM GİRİŞ"), MIN(I6509, MAX(0, I6509 + SUM(SUMIFS($I$1:I6508, $C$1:C6508, C6509, $B$1:B6508, {"MAL ALIMI","ÜRETİM GİRİŞ"})) - VLOOKUP(C6509, 'STOK RAPORU'!$C$2:$I$1000, 4, 0))), 0)</f>
        <v>0</v>
      </c>
      <c r="U6509" s="22">
        <f t="shared" si="404"/>
        <v>0</v>
      </c>
      <c r="V6509">
        <f t="shared" si="405"/>
        <v>0</v>
      </c>
      <c r="W6509" s="22">
        <f t="shared" si="406"/>
        <v>0</v>
      </c>
    </row>
    <row r="6510" spans="1:23" hidden="1" x14ac:dyDescent="0.25">
      <c r="A6510" s="3">
        <v>46134</v>
      </c>
      <c r="B6510" s="46" t="s">
        <v>334</v>
      </c>
      <c r="C6510" s="4" t="s">
        <v>91</v>
      </c>
      <c r="D6510" s="4"/>
      <c r="E6510" s="4" t="s">
        <v>921</v>
      </c>
      <c r="F6510" s="46" t="s">
        <v>3143</v>
      </c>
      <c r="G6510" s="4" t="s">
        <v>336</v>
      </c>
      <c r="H6510" s="4" t="s">
        <v>380</v>
      </c>
      <c r="I6510" s="4">
        <v>3.7647058823529408E-2</v>
      </c>
      <c r="J6510" s="21">
        <v>850</v>
      </c>
      <c r="K6510" s="21">
        <v>31.999999999999996</v>
      </c>
      <c r="L6510" s="5">
        <v>0</v>
      </c>
      <c r="M6510" s="4"/>
      <c r="N6510" s="4"/>
      <c r="O6510" s="5"/>
      <c r="P6510" s="5"/>
      <c r="Q6510" s="21">
        <v>0</v>
      </c>
      <c r="R6510" s="21">
        <v>0</v>
      </c>
      <c r="S6510" s="5">
        <f t="shared" si="407"/>
        <v>22300.891749698359</v>
      </c>
      <c r="T6510" cm="1">
        <f t="array" ref="T6510">IF(OR(B6510="MAL ALIMI", B6510="ÜRETİM GİRİŞ"), MIN(I6510, MAX(0, I6510 + SUM(SUMIFS($I$1:I6509, $C$1:C6509, C6510, $B$1:B6509, {"MAL ALIMI","ÜRETİM GİRİŞ"})) - VLOOKUP(C6510, 'STOK RAPORU'!$C$2:$I$1000, 4, 0))), 0)</f>
        <v>0</v>
      </c>
      <c r="U6510" s="22">
        <f t="shared" si="404"/>
        <v>0</v>
      </c>
      <c r="V6510">
        <f t="shared" si="405"/>
        <v>0</v>
      </c>
      <c r="W6510" s="22">
        <f t="shared" si="406"/>
        <v>0</v>
      </c>
    </row>
    <row r="6511" spans="1:23" hidden="1" x14ac:dyDescent="0.25">
      <c r="A6511" s="3">
        <v>46134</v>
      </c>
      <c r="B6511" s="46" t="s">
        <v>334</v>
      </c>
      <c r="C6511" s="4" t="s">
        <v>131</v>
      </c>
      <c r="D6511" s="4"/>
      <c r="E6511" s="4" t="s">
        <v>921</v>
      </c>
      <c r="F6511" s="46" t="s">
        <v>3143</v>
      </c>
      <c r="G6511" s="4" t="s">
        <v>336</v>
      </c>
      <c r="H6511" s="4" t="s">
        <v>380</v>
      </c>
      <c r="I6511" s="4">
        <v>6.5000000000000002E-2</v>
      </c>
      <c r="J6511" s="21">
        <v>400</v>
      </c>
      <c r="K6511" s="21">
        <v>26</v>
      </c>
      <c r="L6511" s="5">
        <v>0</v>
      </c>
      <c r="M6511" s="4"/>
      <c r="N6511" s="4"/>
      <c r="O6511" s="5"/>
      <c r="P6511" s="5"/>
      <c r="Q6511" s="21">
        <v>0</v>
      </c>
      <c r="R6511" s="21">
        <v>0</v>
      </c>
      <c r="S6511" s="5">
        <f t="shared" si="407"/>
        <v>22300.891749698359</v>
      </c>
      <c r="T6511" cm="1">
        <f t="array" ref="T6511">IF(OR(B6511="MAL ALIMI", B6511="ÜRETİM GİRİŞ"), MIN(I6511, MAX(0, I6511 + SUM(SUMIFS($I$1:I6510, $C$1:C6510, C6511, $B$1:B6510, {"MAL ALIMI","ÜRETİM GİRİŞ"})) - VLOOKUP(C6511, 'STOK RAPORU'!$C$2:$I$1000, 4, 0))), 0)</f>
        <v>0</v>
      </c>
      <c r="U6511" s="22">
        <f t="shared" si="404"/>
        <v>0</v>
      </c>
      <c r="V6511">
        <f t="shared" si="405"/>
        <v>0</v>
      </c>
      <c r="W6511" s="22">
        <f t="shared" si="406"/>
        <v>0</v>
      </c>
    </row>
    <row r="6512" spans="1:23" hidden="1" x14ac:dyDescent="0.25">
      <c r="A6512" s="3">
        <v>46134</v>
      </c>
      <c r="B6512" s="46" t="s">
        <v>334</v>
      </c>
      <c r="C6512" s="4" t="s">
        <v>132</v>
      </c>
      <c r="D6512" s="4"/>
      <c r="E6512" s="4" t="s">
        <v>921</v>
      </c>
      <c r="F6512" s="46" t="s">
        <v>3143</v>
      </c>
      <c r="G6512" s="4" t="s">
        <v>336</v>
      </c>
      <c r="H6512" s="4" t="s">
        <v>380</v>
      </c>
      <c r="I6512" s="4">
        <v>0.11799999999999999</v>
      </c>
      <c r="J6512" s="21">
        <v>500</v>
      </c>
      <c r="K6512" s="21">
        <v>59</v>
      </c>
      <c r="L6512" s="5">
        <v>0</v>
      </c>
      <c r="M6512" s="4"/>
      <c r="N6512" s="4"/>
      <c r="O6512" s="5"/>
      <c r="P6512" s="5"/>
      <c r="Q6512" s="21">
        <v>0</v>
      </c>
      <c r="R6512" s="21">
        <v>0</v>
      </c>
      <c r="S6512" s="5">
        <f t="shared" si="407"/>
        <v>22300.891749698359</v>
      </c>
      <c r="T6512" cm="1">
        <f t="array" ref="T6512">IF(OR(B6512="MAL ALIMI", B6512="ÜRETİM GİRİŞ"), MIN(I6512, MAX(0, I6512 + SUM(SUMIFS($I$1:I6511, $C$1:C6511, C6512, $B$1:B6511, {"MAL ALIMI","ÜRETİM GİRİŞ"})) - VLOOKUP(C6512, 'STOK RAPORU'!$C$2:$I$1000, 4, 0))), 0)</f>
        <v>0</v>
      </c>
      <c r="U6512" s="22">
        <f t="shared" si="404"/>
        <v>0</v>
      </c>
      <c r="V6512">
        <f t="shared" si="405"/>
        <v>0</v>
      </c>
      <c r="W6512" s="22">
        <f t="shared" si="406"/>
        <v>0</v>
      </c>
    </row>
    <row r="6513" spans="1:23" hidden="1" x14ac:dyDescent="0.25">
      <c r="A6513" s="3">
        <v>46134</v>
      </c>
      <c r="B6513" s="46" t="s">
        <v>334</v>
      </c>
      <c r="C6513" s="4" t="s">
        <v>200</v>
      </c>
      <c r="D6513" s="4"/>
      <c r="E6513" s="4" t="s">
        <v>921</v>
      </c>
      <c r="F6513" s="46" t="s">
        <v>3143</v>
      </c>
      <c r="G6513" s="4" t="s">
        <v>336</v>
      </c>
      <c r="H6513" s="4" t="s">
        <v>380</v>
      </c>
      <c r="I6513" s="4">
        <v>0.25</v>
      </c>
      <c r="J6513" s="21">
        <v>360</v>
      </c>
      <c r="K6513" s="21">
        <v>90</v>
      </c>
      <c r="L6513" s="5">
        <v>0</v>
      </c>
      <c r="M6513" s="4"/>
      <c r="N6513" s="4"/>
      <c r="O6513" s="5"/>
      <c r="P6513" s="5"/>
      <c r="Q6513" s="21">
        <v>0</v>
      </c>
      <c r="R6513" s="21">
        <v>0</v>
      </c>
      <c r="S6513" s="5">
        <f t="shared" si="407"/>
        <v>22300.891749698359</v>
      </c>
      <c r="T6513" cm="1">
        <f t="array" ref="T6513">IF(OR(B6513="MAL ALIMI", B6513="ÜRETİM GİRİŞ"), MIN(I6513, MAX(0, I6513 + SUM(SUMIFS($I$1:I6512, $C$1:C6512, C6513, $B$1:B6512, {"MAL ALIMI","ÜRETİM GİRİŞ"})) - VLOOKUP(C6513, 'STOK RAPORU'!$C$2:$I$1000, 4, 0))), 0)</f>
        <v>0</v>
      </c>
      <c r="U6513" s="22">
        <f t="shared" si="404"/>
        <v>0</v>
      </c>
      <c r="V6513">
        <f t="shared" si="405"/>
        <v>0</v>
      </c>
      <c r="W6513" s="22">
        <f t="shared" si="406"/>
        <v>0</v>
      </c>
    </row>
    <row r="6514" spans="1:23" hidden="1" x14ac:dyDescent="0.25">
      <c r="A6514" s="3">
        <v>46134</v>
      </c>
      <c r="B6514" s="46" t="s">
        <v>334</v>
      </c>
      <c r="C6514" s="4" t="s">
        <v>197</v>
      </c>
      <c r="D6514" s="4"/>
      <c r="E6514" s="4"/>
      <c r="F6514" s="46" t="s">
        <v>3144</v>
      </c>
      <c r="G6514" s="4" t="s">
        <v>1945</v>
      </c>
      <c r="H6514" s="4" t="s">
        <v>289</v>
      </c>
      <c r="I6514" s="4">
        <v>0.78600000000000003</v>
      </c>
      <c r="J6514" s="21">
        <v>140</v>
      </c>
      <c r="K6514" s="21">
        <v>0</v>
      </c>
      <c r="L6514" s="5">
        <v>0</v>
      </c>
      <c r="M6514" s="4"/>
      <c r="N6514" s="4"/>
      <c r="O6514" s="5"/>
      <c r="P6514" s="5"/>
      <c r="Q6514" s="21">
        <v>110.04</v>
      </c>
      <c r="R6514" s="21">
        <v>0</v>
      </c>
      <c r="S6514" s="5">
        <f t="shared" si="407"/>
        <v>22410.93174969836</v>
      </c>
      <c r="T6514" cm="1">
        <f t="array" ref="T6514">IF(OR(B6514="MAL ALIMI", B6514="ÜRETİM GİRİŞ"), MIN(I6514, MAX(0, I6514 + SUM(SUMIFS($I$1:I6513, $C$1:C6513, C6514, $B$1:B6513, {"MAL ALIMI","ÜRETİM GİRİŞ"})) - VLOOKUP(C6514, 'STOK RAPORU'!$C$2:$I$1000, 4, 0))), 0)</f>
        <v>0</v>
      </c>
      <c r="U6514" s="22">
        <f t="shared" ref="U6514:U6577" si="408">T6514*J6514</f>
        <v>0</v>
      </c>
      <c r="V6514">
        <f t="shared" ref="V6514:V6577" si="409">IF(OR(B6514="MAL ALIMI", B6514="ÜRETİM GİRİŞ"), I6514 * J6514, 0)</f>
        <v>0</v>
      </c>
      <c r="W6514" s="22">
        <f t="shared" ref="W6514:W6577" si="410">V6514-U6514</f>
        <v>0</v>
      </c>
    </row>
    <row r="6515" spans="1:23" hidden="1" x14ac:dyDescent="0.25">
      <c r="A6515" s="3">
        <v>46134</v>
      </c>
      <c r="B6515" s="46" t="s">
        <v>334</v>
      </c>
      <c r="C6515" s="4" t="s">
        <v>2117</v>
      </c>
      <c r="D6515" s="4"/>
      <c r="E6515" s="4"/>
      <c r="F6515" s="46" t="s">
        <v>3145</v>
      </c>
      <c r="G6515" s="4" t="s">
        <v>336</v>
      </c>
      <c r="H6515" s="4" t="s">
        <v>289</v>
      </c>
      <c r="I6515" s="4">
        <v>1</v>
      </c>
      <c r="J6515" s="21">
        <v>30</v>
      </c>
      <c r="K6515" s="21">
        <v>0</v>
      </c>
      <c r="L6515" s="5">
        <v>0</v>
      </c>
      <c r="M6515" s="4"/>
      <c r="N6515" s="4"/>
      <c r="O6515" s="5"/>
      <c r="P6515" s="5"/>
      <c r="Q6515" s="21">
        <v>30</v>
      </c>
      <c r="R6515" s="21">
        <v>0</v>
      </c>
      <c r="S6515" s="5">
        <f t="shared" si="407"/>
        <v>22440.93174969836</v>
      </c>
      <c r="T6515" cm="1">
        <f t="array" ref="T6515">IF(OR(B6515="MAL ALIMI", B6515="ÜRETİM GİRİŞ"), MIN(I6515, MAX(0, I6515 + SUM(SUMIFS($I$1:I6514, $C$1:C6514, C6515, $B$1:B6514, {"MAL ALIMI","ÜRETİM GİRİŞ"})) - VLOOKUP(C6515, 'STOK RAPORU'!$C$2:$I$1000, 4, 0))), 0)</f>
        <v>0</v>
      </c>
      <c r="U6515" s="22">
        <f t="shared" si="408"/>
        <v>0</v>
      </c>
      <c r="V6515">
        <f t="shared" si="409"/>
        <v>0</v>
      </c>
      <c r="W6515" s="22">
        <f t="shared" si="410"/>
        <v>0</v>
      </c>
    </row>
    <row r="6516" spans="1:23" hidden="1" x14ac:dyDescent="0.25">
      <c r="A6516" s="3">
        <v>46134</v>
      </c>
      <c r="B6516" s="46" t="s">
        <v>334</v>
      </c>
      <c r="C6516" s="4" t="s">
        <v>98</v>
      </c>
      <c r="D6516" s="4"/>
      <c r="E6516" s="4" t="s">
        <v>921</v>
      </c>
      <c r="F6516" s="46" t="s">
        <v>3146</v>
      </c>
      <c r="G6516" s="4" t="s">
        <v>336</v>
      </c>
      <c r="H6516" s="4" t="s">
        <v>380</v>
      </c>
      <c r="I6516" s="4">
        <v>9.1999999999999998E-2</v>
      </c>
      <c r="J6516" s="21">
        <v>400</v>
      </c>
      <c r="K6516" s="21">
        <v>36.799999999999997</v>
      </c>
      <c r="L6516" s="5">
        <v>0</v>
      </c>
      <c r="M6516" s="4"/>
      <c r="N6516" s="4"/>
      <c r="O6516" s="5"/>
      <c r="P6516" s="5"/>
      <c r="Q6516" s="21">
        <v>0</v>
      </c>
      <c r="R6516" s="21">
        <v>0</v>
      </c>
      <c r="S6516" s="5">
        <f t="shared" si="407"/>
        <v>22440.93174969836</v>
      </c>
      <c r="T6516" cm="1">
        <f t="array" ref="T6516">IF(OR(B6516="MAL ALIMI", B6516="ÜRETİM GİRİŞ"), MIN(I6516, MAX(0, I6516 + SUM(SUMIFS($I$1:I6515, $C$1:C6515, C6516, $B$1:B6515, {"MAL ALIMI","ÜRETİM GİRİŞ"})) - VLOOKUP(C6516, 'STOK RAPORU'!$C$2:$I$1000, 4, 0))), 0)</f>
        <v>0</v>
      </c>
      <c r="U6516" s="22">
        <f t="shared" si="408"/>
        <v>0</v>
      </c>
      <c r="V6516">
        <f t="shared" si="409"/>
        <v>0</v>
      </c>
      <c r="W6516" s="22">
        <f t="shared" si="410"/>
        <v>0</v>
      </c>
    </row>
    <row r="6517" spans="1:23" hidden="1" x14ac:dyDescent="0.25">
      <c r="A6517" s="3">
        <v>46134</v>
      </c>
      <c r="B6517" s="46" t="s">
        <v>334</v>
      </c>
      <c r="C6517" s="4" t="s">
        <v>140</v>
      </c>
      <c r="D6517" s="4"/>
      <c r="E6517" s="4" t="s">
        <v>921</v>
      </c>
      <c r="F6517" s="46" t="s">
        <v>3146</v>
      </c>
      <c r="G6517" s="4" t="s">
        <v>336</v>
      </c>
      <c r="H6517" s="4" t="s">
        <v>380</v>
      </c>
      <c r="I6517" s="4">
        <v>8.2000000000000003E-2</v>
      </c>
      <c r="J6517" s="21">
        <v>300</v>
      </c>
      <c r="K6517" s="21">
        <v>24.6</v>
      </c>
      <c r="L6517" s="5">
        <v>0</v>
      </c>
      <c r="M6517" s="4"/>
      <c r="N6517" s="4"/>
      <c r="O6517" s="5"/>
      <c r="P6517" s="5"/>
      <c r="Q6517" s="21">
        <v>0</v>
      </c>
      <c r="R6517" s="21">
        <v>0</v>
      </c>
      <c r="S6517" s="5">
        <f t="shared" si="407"/>
        <v>22440.93174969836</v>
      </c>
      <c r="T6517" cm="1">
        <f t="array" ref="T6517">IF(OR(B6517="MAL ALIMI", B6517="ÜRETİM GİRİŞ"), MIN(I6517, MAX(0, I6517 + SUM(SUMIFS($I$1:I6516, $C$1:C6516, C6517, $B$1:B6516, {"MAL ALIMI","ÜRETİM GİRİŞ"})) - VLOOKUP(C6517, 'STOK RAPORU'!$C$2:$I$1000, 4, 0))), 0)</f>
        <v>0</v>
      </c>
      <c r="U6517" s="22">
        <f t="shared" si="408"/>
        <v>0</v>
      </c>
      <c r="V6517">
        <f t="shared" si="409"/>
        <v>0</v>
      </c>
      <c r="W6517" s="22">
        <f t="shared" si="410"/>
        <v>0</v>
      </c>
    </row>
    <row r="6518" spans="1:23" hidden="1" x14ac:dyDescent="0.25">
      <c r="A6518" s="3">
        <v>46134</v>
      </c>
      <c r="B6518" s="46" t="s">
        <v>334</v>
      </c>
      <c r="C6518" s="4" t="s">
        <v>209</v>
      </c>
      <c r="D6518" s="4"/>
      <c r="E6518" s="4" t="s">
        <v>921</v>
      </c>
      <c r="F6518" s="46" t="s">
        <v>3146</v>
      </c>
      <c r="G6518" s="4" t="s">
        <v>336</v>
      </c>
      <c r="H6518" s="4" t="s">
        <v>380</v>
      </c>
      <c r="I6518" s="4">
        <v>0.05</v>
      </c>
      <c r="J6518" s="21">
        <v>2600</v>
      </c>
      <c r="K6518" s="21">
        <v>130</v>
      </c>
      <c r="L6518" s="5">
        <v>0</v>
      </c>
      <c r="M6518" s="4"/>
      <c r="N6518" s="4"/>
      <c r="O6518" s="5"/>
      <c r="P6518" s="5"/>
      <c r="Q6518" s="21">
        <v>0</v>
      </c>
      <c r="R6518" s="21">
        <v>0</v>
      </c>
      <c r="S6518" s="5">
        <f t="shared" si="407"/>
        <v>22440.93174969836</v>
      </c>
      <c r="T6518" cm="1">
        <f t="array" ref="T6518">IF(OR(B6518="MAL ALIMI", B6518="ÜRETİM GİRİŞ"), MIN(I6518, MAX(0, I6518 + SUM(SUMIFS($I$1:I6517, $C$1:C6517, C6518, $B$1:B6517, {"MAL ALIMI","ÜRETİM GİRİŞ"})) - VLOOKUP(C6518, 'STOK RAPORU'!$C$2:$I$1000, 4, 0))), 0)</f>
        <v>0</v>
      </c>
      <c r="U6518" s="22">
        <f t="shared" si="408"/>
        <v>0</v>
      </c>
      <c r="V6518">
        <f t="shared" si="409"/>
        <v>0</v>
      </c>
      <c r="W6518" s="22">
        <f t="shared" si="410"/>
        <v>0</v>
      </c>
    </row>
    <row r="6519" spans="1:23" hidden="1" x14ac:dyDescent="0.25">
      <c r="A6519" s="3">
        <v>46134</v>
      </c>
      <c r="B6519" s="46" t="s">
        <v>334</v>
      </c>
      <c r="C6519" s="4" t="s">
        <v>229</v>
      </c>
      <c r="D6519" s="4"/>
      <c r="E6519" s="4" t="s">
        <v>921</v>
      </c>
      <c r="F6519" s="46" t="s">
        <v>3146</v>
      </c>
      <c r="G6519" s="4" t="s">
        <v>336</v>
      </c>
      <c r="H6519" s="4" t="s">
        <v>380</v>
      </c>
      <c r="I6519" s="4">
        <v>1</v>
      </c>
      <c r="J6519" s="21">
        <v>200</v>
      </c>
      <c r="K6519" s="21">
        <v>200</v>
      </c>
      <c r="L6519" s="5">
        <v>0</v>
      </c>
      <c r="M6519" s="4"/>
      <c r="N6519" s="4"/>
      <c r="O6519" s="5"/>
      <c r="P6519" s="5"/>
      <c r="Q6519" s="21">
        <v>0</v>
      </c>
      <c r="R6519" s="21">
        <v>0</v>
      </c>
      <c r="S6519" s="5">
        <f t="shared" si="407"/>
        <v>22440.93174969836</v>
      </c>
      <c r="T6519" cm="1">
        <f t="array" ref="T6519">IF(OR(B6519="MAL ALIMI", B6519="ÜRETİM GİRİŞ"), MIN(I6519, MAX(0, I6519 + SUM(SUMIFS($I$1:I6518, $C$1:C6518, C6519, $B$1:B6518, {"MAL ALIMI","ÜRETİM GİRİŞ"})) - VLOOKUP(C6519, 'STOK RAPORU'!$C$2:$I$1000, 4, 0))), 0)</f>
        <v>0</v>
      </c>
      <c r="U6519" s="22">
        <f t="shared" si="408"/>
        <v>0</v>
      </c>
      <c r="V6519">
        <f t="shared" si="409"/>
        <v>0</v>
      </c>
      <c r="W6519" s="22">
        <f t="shared" si="410"/>
        <v>0</v>
      </c>
    </row>
    <row r="6520" spans="1:23" hidden="1" x14ac:dyDescent="0.25">
      <c r="A6520" s="3">
        <v>46134</v>
      </c>
      <c r="B6520" s="46" t="s">
        <v>334</v>
      </c>
      <c r="C6520" s="4" t="s">
        <v>231</v>
      </c>
      <c r="D6520" s="4"/>
      <c r="E6520" s="4" t="s">
        <v>921</v>
      </c>
      <c r="F6520" s="46" t="s">
        <v>3146</v>
      </c>
      <c r="G6520" s="4" t="s">
        <v>336</v>
      </c>
      <c r="H6520" s="4" t="s">
        <v>380</v>
      </c>
      <c r="I6520" s="4">
        <v>1</v>
      </c>
      <c r="J6520" s="21">
        <v>200</v>
      </c>
      <c r="K6520" s="21">
        <v>200</v>
      </c>
      <c r="L6520" s="5">
        <v>0</v>
      </c>
      <c r="M6520" s="4"/>
      <c r="N6520" s="4"/>
      <c r="O6520" s="5"/>
      <c r="P6520" s="5"/>
      <c r="Q6520" s="21">
        <v>0</v>
      </c>
      <c r="R6520" s="21">
        <v>0</v>
      </c>
      <c r="S6520" s="5">
        <f t="shared" si="407"/>
        <v>22440.93174969836</v>
      </c>
      <c r="T6520" cm="1">
        <f t="array" ref="T6520">IF(OR(B6520="MAL ALIMI", B6520="ÜRETİM GİRİŞ"), MIN(I6520, MAX(0, I6520 + SUM(SUMIFS($I$1:I6519, $C$1:C6519, C6520, $B$1:B6519, {"MAL ALIMI","ÜRETİM GİRİŞ"})) - VLOOKUP(C6520, 'STOK RAPORU'!$C$2:$I$1000, 4, 0))), 0)</f>
        <v>0</v>
      </c>
      <c r="U6520" s="22">
        <f t="shared" si="408"/>
        <v>0</v>
      </c>
      <c r="V6520">
        <f t="shared" si="409"/>
        <v>0</v>
      </c>
      <c r="W6520" s="22">
        <f t="shared" si="410"/>
        <v>0</v>
      </c>
    </row>
    <row r="6521" spans="1:23" hidden="1" x14ac:dyDescent="0.25">
      <c r="A6521" s="3">
        <v>46134</v>
      </c>
      <c r="B6521" s="46" t="s">
        <v>334</v>
      </c>
      <c r="C6521" s="4" t="s">
        <v>459</v>
      </c>
      <c r="D6521" s="4"/>
      <c r="E6521" s="4" t="s">
        <v>921</v>
      </c>
      <c r="F6521" s="46" t="s">
        <v>3146</v>
      </c>
      <c r="G6521" s="4" t="s">
        <v>336</v>
      </c>
      <c r="H6521" s="4" t="s">
        <v>380</v>
      </c>
      <c r="I6521" s="4">
        <v>0.5</v>
      </c>
      <c r="J6521" s="21">
        <v>140</v>
      </c>
      <c r="K6521" s="21">
        <v>70</v>
      </c>
      <c r="L6521" s="5">
        <v>0</v>
      </c>
      <c r="M6521" s="4"/>
      <c r="N6521" s="4"/>
      <c r="O6521" s="5"/>
      <c r="P6521" s="5"/>
      <c r="Q6521" s="21">
        <v>0</v>
      </c>
      <c r="R6521" s="21">
        <v>0</v>
      </c>
      <c r="S6521" s="5">
        <f t="shared" si="407"/>
        <v>22440.93174969836</v>
      </c>
      <c r="T6521" cm="1">
        <f t="array" ref="T6521">IF(OR(B6521="MAL ALIMI", B6521="ÜRETİM GİRİŞ"), MIN(I6521, MAX(0, I6521 + SUM(SUMIFS($I$1:I6520, $C$1:C6520, C6521, $B$1:B6520, {"MAL ALIMI","ÜRETİM GİRİŞ"})) - VLOOKUP(C6521, 'STOK RAPORU'!$C$2:$I$1000, 4, 0))), 0)</f>
        <v>0</v>
      </c>
      <c r="U6521" s="22">
        <f t="shared" si="408"/>
        <v>0</v>
      </c>
      <c r="V6521">
        <f t="shared" si="409"/>
        <v>0</v>
      </c>
      <c r="W6521" s="22">
        <f t="shared" si="410"/>
        <v>0</v>
      </c>
    </row>
    <row r="6522" spans="1:23" hidden="1" x14ac:dyDescent="0.25">
      <c r="A6522" s="3">
        <v>46134</v>
      </c>
      <c r="B6522" s="46" t="s">
        <v>334</v>
      </c>
      <c r="C6522" s="4" t="s">
        <v>523</v>
      </c>
      <c r="D6522" s="4"/>
      <c r="E6522" s="4" t="s">
        <v>921</v>
      </c>
      <c r="F6522" s="46" t="s">
        <v>3146</v>
      </c>
      <c r="G6522" s="4" t="s">
        <v>336</v>
      </c>
      <c r="H6522" s="4" t="s">
        <v>380</v>
      </c>
      <c r="I6522" s="4">
        <v>0.08</v>
      </c>
      <c r="J6522" s="21">
        <v>750</v>
      </c>
      <c r="K6522" s="21">
        <v>60</v>
      </c>
      <c r="L6522" s="5">
        <v>0</v>
      </c>
      <c r="M6522" s="4"/>
      <c r="N6522" s="4"/>
      <c r="O6522" s="5"/>
      <c r="P6522" s="5"/>
      <c r="Q6522" s="21">
        <v>0</v>
      </c>
      <c r="R6522" s="21">
        <v>0</v>
      </c>
      <c r="S6522" s="5">
        <f t="shared" si="407"/>
        <v>22440.93174969836</v>
      </c>
      <c r="T6522" cm="1">
        <f t="array" ref="T6522">IF(OR(B6522="MAL ALIMI", B6522="ÜRETİM GİRİŞ"), MIN(I6522, MAX(0, I6522 + SUM(SUMIFS($I$1:I6521, $C$1:C6521, C6522, $B$1:B6521, {"MAL ALIMI","ÜRETİM GİRİŞ"})) - VLOOKUP(C6522, 'STOK RAPORU'!$C$2:$I$1000, 4, 0))), 0)</f>
        <v>0</v>
      </c>
      <c r="U6522" s="22">
        <f t="shared" si="408"/>
        <v>0</v>
      </c>
      <c r="V6522">
        <f t="shared" si="409"/>
        <v>0</v>
      </c>
      <c r="W6522" s="22">
        <f t="shared" si="410"/>
        <v>0</v>
      </c>
    </row>
    <row r="6523" spans="1:23" hidden="1" x14ac:dyDescent="0.25">
      <c r="A6523" s="3">
        <v>46134</v>
      </c>
      <c r="B6523" s="46" t="s">
        <v>334</v>
      </c>
      <c r="C6523" s="4" t="s">
        <v>60</v>
      </c>
      <c r="D6523" s="4"/>
      <c r="E6523" s="4" t="s">
        <v>921</v>
      </c>
      <c r="F6523" s="46" t="s">
        <v>3146</v>
      </c>
      <c r="G6523" s="4" t="s">
        <v>336</v>
      </c>
      <c r="H6523" s="4" t="s">
        <v>380</v>
      </c>
      <c r="I6523" s="4">
        <v>0.05</v>
      </c>
      <c r="J6523" s="21">
        <v>1200</v>
      </c>
      <c r="K6523" s="21">
        <v>60</v>
      </c>
      <c r="L6523" s="5">
        <v>0</v>
      </c>
      <c r="M6523" s="4"/>
      <c r="N6523" s="4"/>
      <c r="O6523" s="5"/>
      <c r="P6523" s="5"/>
      <c r="Q6523" s="21">
        <v>0</v>
      </c>
      <c r="R6523" s="21">
        <v>0</v>
      </c>
      <c r="S6523" s="5">
        <f t="shared" si="407"/>
        <v>22440.93174969836</v>
      </c>
      <c r="T6523" cm="1">
        <f t="array" ref="T6523">IF(OR(B6523="MAL ALIMI", B6523="ÜRETİM GİRİŞ"), MIN(I6523, MAX(0, I6523 + SUM(SUMIFS($I$1:I6522, $C$1:C6522, C6523, $B$1:B6522, {"MAL ALIMI","ÜRETİM GİRİŞ"})) - VLOOKUP(C6523, 'STOK RAPORU'!$C$2:$I$1000, 4, 0))), 0)</f>
        <v>0</v>
      </c>
      <c r="U6523" s="22">
        <f t="shared" si="408"/>
        <v>0</v>
      </c>
      <c r="V6523">
        <f t="shared" si="409"/>
        <v>0</v>
      </c>
      <c r="W6523" s="22">
        <f t="shared" si="410"/>
        <v>0</v>
      </c>
    </row>
    <row r="6524" spans="1:23" hidden="1" x14ac:dyDescent="0.25">
      <c r="A6524" s="3">
        <v>46134</v>
      </c>
      <c r="B6524" s="46" t="s">
        <v>334</v>
      </c>
      <c r="C6524" s="4" t="s">
        <v>224</v>
      </c>
      <c r="D6524" s="4"/>
      <c r="E6524" s="4" t="s">
        <v>921</v>
      </c>
      <c r="F6524" s="46" t="s">
        <v>3146</v>
      </c>
      <c r="G6524" s="4" t="s">
        <v>336</v>
      </c>
      <c r="H6524" s="4" t="s">
        <v>380</v>
      </c>
      <c r="I6524" s="4">
        <v>0.05</v>
      </c>
      <c r="J6524" s="21">
        <v>900</v>
      </c>
      <c r="K6524" s="21">
        <v>45</v>
      </c>
      <c r="L6524" s="5">
        <v>0</v>
      </c>
      <c r="M6524" s="4"/>
      <c r="N6524" s="4"/>
      <c r="O6524" s="5"/>
      <c r="P6524" s="5"/>
      <c r="Q6524" s="21">
        <v>0</v>
      </c>
      <c r="R6524" s="21">
        <v>0</v>
      </c>
      <c r="S6524" s="5">
        <f t="shared" si="407"/>
        <v>22440.93174969836</v>
      </c>
      <c r="T6524" cm="1">
        <f t="array" ref="T6524">IF(OR(B6524="MAL ALIMI", B6524="ÜRETİM GİRİŞ"), MIN(I6524, MAX(0, I6524 + SUM(SUMIFS($I$1:I6523, $C$1:C6523, C6524, $B$1:B6523, {"MAL ALIMI","ÜRETİM GİRİŞ"})) - VLOOKUP(C6524, 'STOK RAPORU'!$C$2:$I$1000, 4, 0))), 0)</f>
        <v>0</v>
      </c>
      <c r="U6524" s="22">
        <f t="shared" si="408"/>
        <v>0</v>
      </c>
      <c r="V6524">
        <f t="shared" si="409"/>
        <v>0</v>
      </c>
      <c r="W6524" s="22">
        <f t="shared" si="410"/>
        <v>0</v>
      </c>
    </row>
    <row r="6525" spans="1:23" hidden="1" x14ac:dyDescent="0.25">
      <c r="A6525" s="3">
        <v>46134</v>
      </c>
      <c r="B6525" s="46" t="s">
        <v>334</v>
      </c>
      <c r="C6525" s="4" t="s">
        <v>834</v>
      </c>
      <c r="D6525" s="4"/>
      <c r="E6525" s="4" t="s">
        <v>921</v>
      </c>
      <c r="F6525" s="46" t="s">
        <v>3146</v>
      </c>
      <c r="G6525" s="4" t="s">
        <v>336</v>
      </c>
      <c r="H6525" s="4" t="s">
        <v>380</v>
      </c>
      <c r="I6525" s="4">
        <v>1</v>
      </c>
      <c r="J6525" s="21">
        <v>110</v>
      </c>
      <c r="K6525" s="21">
        <v>110</v>
      </c>
      <c r="L6525" s="5">
        <v>0</v>
      </c>
      <c r="M6525" s="4"/>
      <c r="N6525" s="4"/>
      <c r="O6525" s="5"/>
      <c r="P6525" s="5"/>
      <c r="Q6525" s="21">
        <v>0</v>
      </c>
      <c r="R6525" s="21">
        <v>0</v>
      </c>
      <c r="S6525" s="5">
        <f t="shared" si="407"/>
        <v>22440.93174969836</v>
      </c>
      <c r="T6525" cm="1">
        <f t="array" ref="T6525">IF(OR(B6525="MAL ALIMI", B6525="ÜRETİM GİRİŞ"), MIN(I6525, MAX(0, I6525 + SUM(SUMIFS($I$1:I6524, $C$1:C6524, C6525, $B$1:B6524, {"MAL ALIMI","ÜRETİM GİRİŞ"})) - VLOOKUP(C6525, 'STOK RAPORU'!$C$2:$I$1000, 4, 0))), 0)</f>
        <v>0</v>
      </c>
      <c r="U6525" s="22">
        <f t="shared" si="408"/>
        <v>0</v>
      </c>
      <c r="V6525">
        <f t="shared" si="409"/>
        <v>0</v>
      </c>
      <c r="W6525" s="22">
        <f t="shared" si="410"/>
        <v>0</v>
      </c>
    </row>
    <row r="6526" spans="1:23" hidden="1" x14ac:dyDescent="0.25">
      <c r="A6526" s="3">
        <v>46134</v>
      </c>
      <c r="B6526" s="46" t="s">
        <v>334</v>
      </c>
      <c r="C6526" s="4" t="s">
        <v>2117</v>
      </c>
      <c r="D6526" s="4"/>
      <c r="E6526" s="4" t="s">
        <v>921</v>
      </c>
      <c r="F6526" s="46" t="s">
        <v>3146</v>
      </c>
      <c r="G6526" s="4" t="s">
        <v>336</v>
      </c>
      <c r="H6526" s="4" t="s">
        <v>380</v>
      </c>
      <c r="I6526" s="4">
        <v>1</v>
      </c>
      <c r="J6526" s="21">
        <v>30</v>
      </c>
      <c r="K6526" s="21">
        <v>30</v>
      </c>
      <c r="L6526" s="5">
        <v>0</v>
      </c>
      <c r="M6526" s="4"/>
      <c r="N6526" s="4"/>
      <c r="O6526" s="5"/>
      <c r="P6526" s="5"/>
      <c r="Q6526" s="21">
        <v>0</v>
      </c>
      <c r="R6526" s="21">
        <v>0</v>
      </c>
      <c r="S6526" s="5">
        <f t="shared" si="407"/>
        <v>22440.93174969836</v>
      </c>
      <c r="T6526" cm="1">
        <f t="array" ref="T6526">IF(OR(B6526="MAL ALIMI", B6526="ÜRETİM GİRİŞ"), MIN(I6526, MAX(0, I6526 + SUM(SUMIFS($I$1:I6525, $C$1:C6525, C6526, $B$1:B6525, {"MAL ALIMI","ÜRETİM GİRİŞ"})) - VLOOKUP(C6526, 'STOK RAPORU'!$C$2:$I$1000, 4, 0))), 0)</f>
        <v>0</v>
      </c>
      <c r="U6526" s="22">
        <f t="shared" si="408"/>
        <v>0</v>
      </c>
      <c r="V6526">
        <f t="shared" si="409"/>
        <v>0</v>
      </c>
      <c r="W6526" s="22">
        <f t="shared" si="410"/>
        <v>0</v>
      </c>
    </row>
    <row r="6527" spans="1:23" x14ac:dyDescent="0.25">
      <c r="A6527" s="45">
        <v>46134</v>
      </c>
      <c r="B6527" s="4" t="s">
        <v>659</v>
      </c>
      <c r="C6527" s="4" t="s">
        <v>223</v>
      </c>
      <c r="D6527" s="4"/>
      <c r="E6527" s="4" t="s">
        <v>350</v>
      </c>
      <c r="F6527" s="4"/>
      <c r="G6527" s="4" t="s">
        <v>3159</v>
      </c>
      <c r="H6527" s="4" t="s">
        <v>304</v>
      </c>
      <c r="I6527" s="4">
        <v>4.75</v>
      </c>
      <c r="J6527" s="21">
        <v>550</v>
      </c>
      <c r="K6527" s="21">
        <v>2612.5</v>
      </c>
      <c r="L6527" s="5">
        <v>0</v>
      </c>
      <c r="M6527" s="4"/>
      <c r="N6527" s="4"/>
      <c r="O6527" s="5"/>
      <c r="P6527" s="5"/>
      <c r="Q6527" s="21">
        <v>0</v>
      </c>
      <c r="R6527" s="21">
        <v>0</v>
      </c>
      <c r="S6527" s="5">
        <f t="shared" si="407"/>
        <v>22440.93174969836</v>
      </c>
      <c r="T6527" cm="1">
        <f t="array" ref="T6527">IF(OR(B6527="MAL ALIMI", B6527="ÜRETİM GİRİŞ"), MIN(I6527, MAX(0, I6527 + SUM(SUMIFS($I$1:I6526, $C$1:C6526, C6527, $B$1:B6526, {"MAL ALIMI","ÜRETİM GİRİŞ"})) - VLOOKUP(C6527, 'STOK RAPORU'!$C$2:$I$1000, 4, 0))), 0)</f>
        <v>0</v>
      </c>
      <c r="U6527" s="22">
        <f t="shared" si="408"/>
        <v>0</v>
      </c>
      <c r="V6527">
        <f t="shared" si="409"/>
        <v>0</v>
      </c>
      <c r="W6527" s="22">
        <f t="shared" si="410"/>
        <v>0</v>
      </c>
    </row>
    <row r="6528" spans="1:23" x14ac:dyDescent="0.25">
      <c r="A6528" s="45">
        <v>46134</v>
      </c>
      <c r="B6528" s="4" t="s">
        <v>659</v>
      </c>
      <c r="C6528" s="4" t="s">
        <v>601</v>
      </c>
      <c r="D6528" s="4"/>
      <c r="E6528" s="4" t="s">
        <v>350</v>
      </c>
      <c r="F6528" s="4"/>
      <c r="G6528" s="4" t="s">
        <v>3159</v>
      </c>
      <c r="H6528" s="4" t="s">
        <v>304</v>
      </c>
      <c r="I6528" s="4">
        <v>5</v>
      </c>
      <c r="J6528" s="21">
        <v>540</v>
      </c>
      <c r="K6528" s="21">
        <v>2700</v>
      </c>
      <c r="L6528" s="5">
        <v>0</v>
      </c>
      <c r="M6528" s="4"/>
      <c r="N6528" s="4"/>
      <c r="O6528" s="5"/>
      <c r="P6528" s="5"/>
      <c r="Q6528" s="21">
        <v>0</v>
      </c>
      <c r="R6528" s="21">
        <v>0</v>
      </c>
      <c r="S6528" s="5">
        <f t="shared" si="407"/>
        <v>22440.93174969836</v>
      </c>
      <c r="T6528" cm="1">
        <f t="array" ref="T6528">IF(OR(B6528="MAL ALIMI", B6528="ÜRETİM GİRİŞ"), MIN(I6528, MAX(0, I6528 + SUM(SUMIFS($I$1:I6527, $C$1:C6527, C6528, $B$1:B6527, {"MAL ALIMI","ÜRETİM GİRİŞ"})) - VLOOKUP(C6528, 'STOK RAPORU'!$C$2:$I$1000, 4, 0))), 0)</f>
        <v>0</v>
      </c>
      <c r="U6528" s="22">
        <f t="shared" si="408"/>
        <v>0</v>
      </c>
      <c r="V6528">
        <f t="shared" si="409"/>
        <v>0</v>
      </c>
      <c r="W6528" s="22">
        <f t="shared" si="410"/>
        <v>0</v>
      </c>
    </row>
    <row r="6529" spans="1:23" x14ac:dyDescent="0.25">
      <c r="A6529" s="45">
        <v>46134</v>
      </c>
      <c r="B6529" s="4" t="s">
        <v>659</v>
      </c>
      <c r="C6529" s="4" t="s">
        <v>588</v>
      </c>
      <c r="D6529" s="4"/>
      <c r="E6529" s="4" t="s">
        <v>350</v>
      </c>
      <c r="F6529" s="4"/>
      <c r="G6529" s="4" t="s">
        <v>3159</v>
      </c>
      <c r="H6529" s="4" t="s">
        <v>304</v>
      </c>
      <c r="I6529" s="4">
        <v>1</v>
      </c>
      <c r="J6529" s="21">
        <v>235</v>
      </c>
      <c r="K6529" s="21">
        <v>235</v>
      </c>
      <c r="L6529" s="5">
        <v>0</v>
      </c>
      <c r="M6529" s="4"/>
      <c r="N6529" s="4"/>
      <c r="O6529" s="5"/>
      <c r="P6529" s="5"/>
      <c r="Q6529" s="21">
        <v>0</v>
      </c>
      <c r="R6529" s="21">
        <v>0</v>
      </c>
      <c r="S6529" s="5">
        <f t="shared" si="407"/>
        <v>22440.93174969836</v>
      </c>
      <c r="T6529" cm="1">
        <f t="array" ref="T6529">IF(OR(B6529="MAL ALIMI", B6529="ÜRETİM GİRİŞ"), MIN(I6529, MAX(0, I6529 + SUM(SUMIFS($I$1:I6528, $C$1:C6528, C6529, $B$1:B6528, {"MAL ALIMI","ÜRETİM GİRİŞ"})) - VLOOKUP(C6529, 'STOK RAPORU'!$C$2:$I$1000, 4, 0))), 0)</f>
        <v>0</v>
      </c>
      <c r="U6529" s="22">
        <f t="shared" si="408"/>
        <v>0</v>
      </c>
      <c r="V6529">
        <f t="shared" si="409"/>
        <v>0</v>
      </c>
      <c r="W6529" s="22">
        <f t="shared" si="410"/>
        <v>0</v>
      </c>
    </row>
    <row r="6530" spans="1:23" hidden="1" x14ac:dyDescent="0.25">
      <c r="A6530" s="3">
        <v>46134</v>
      </c>
      <c r="B6530" s="4" t="s">
        <v>946</v>
      </c>
      <c r="C6530" s="4"/>
      <c r="D6530" s="4"/>
      <c r="E6530" s="4" t="s">
        <v>921</v>
      </c>
      <c r="F6530" s="4"/>
      <c r="G6530" s="4" t="s">
        <v>3164</v>
      </c>
      <c r="H6530" s="4" t="s">
        <v>380</v>
      </c>
      <c r="I6530" s="4">
        <v>1</v>
      </c>
      <c r="J6530" s="105">
        <v>40000</v>
      </c>
      <c r="K6530" s="21">
        <v>0</v>
      </c>
      <c r="L6530" s="32">
        <v>40000</v>
      </c>
      <c r="M6530" s="4"/>
      <c r="N6530" s="4"/>
      <c r="O6530" s="5"/>
      <c r="P6530" s="5"/>
      <c r="Q6530" s="21">
        <v>40000</v>
      </c>
      <c r="R6530" s="21">
        <v>0</v>
      </c>
      <c r="S6530" s="5">
        <f t="shared" si="407"/>
        <v>62440.931749698357</v>
      </c>
      <c r="T6530" cm="1">
        <f t="array" ref="T6530">IF(OR(B6530="MAL ALIMI", B6530="ÜRETİM GİRİŞ"), MIN(I6530, MAX(0, I6530 + SUM(SUMIFS($I$1:I6529, $C$1:C6529, C6530, $B$1:B6529, {"MAL ALIMI","ÜRETİM GİRİŞ"})) - VLOOKUP(C6530, 'STOK RAPORU'!$C$2:$I$1000, 4, 0))), 0)</f>
        <v>0</v>
      </c>
      <c r="U6530" s="22">
        <f t="shared" si="408"/>
        <v>0</v>
      </c>
      <c r="V6530">
        <f t="shared" si="409"/>
        <v>0</v>
      </c>
      <c r="W6530" s="22">
        <f t="shared" si="410"/>
        <v>0</v>
      </c>
    </row>
    <row r="6531" spans="1:23" hidden="1" x14ac:dyDescent="0.25">
      <c r="A6531" s="3">
        <v>46134</v>
      </c>
      <c r="B6531" s="4" t="s">
        <v>917</v>
      </c>
      <c r="C6531" s="4"/>
      <c r="D6531" s="4"/>
      <c r="E6531" s="4" t="s">
        <v>350</v>
      </c>
      <c r="F6531" s="4"/>
      <c r="G6531" s="4" t="s">
        <v>3164</v>
      </c>
      <c r="H6531" s="4" t="s">
        <v>304</v>
      </c>
      <c r="I6531" s="4">
        <v>1</v>
      </c>
      <c r="J6531" s="21">
        <v>40000</v>
      </c>
      <c r="K6531" s="102">
        <v>40000</v>
      </c>
      <c r="L6531" s="5">
        <v>0</v>
      </c>
      <c r="M6531" s="4"/>
      <c r="N6531" s="4"/>
      <c r="O6531" s="5"/>
      <c r="P6531" s="5"/>
      <c r="Q6531" s="21">
        <v>0</v>
      </c>
      <c r="R6531" s="21">
        <v>40000</v>
      </c>
      <c r="S6531" s="5">
        <f t="shared" si="407"/>
        <v>22440.931749698357</v>
      </c>
      <c r="T6531" cm="1">
        <f t="array" ref="T6531">IF(OR(B6531="MAL ALIMI", B6531="ÜRETİM GİRİŞ"), MIN(I6531, MAX(0, I6531 + SUM(SUMIFS($I$1:I6530, $C$1:C6530, C6531, $B$1:B6530, {"MAL ALIMI","ÜRETİM GİRİŞ"})) - VLOOKUP(C6531, 'STOK RAPORU'!$C$2:$I$1000, 4, 0))), 0)</f>
        <v>0</v>
      </c>
      <c r="U6531" s="22">
        <f t="shared" si="408"/>
        <v>0</v>
      </c>
      <c r="V6531">
        <f t="shared" si="409"/>
        <v>0</v>
      </c>
      <c r="W6531" s="22">
        <f t="shared" si="410"/>
        <v>0</v>
      </c>
    </row>
    <row r="6532" spans="1:23" hidden="1" x14ac:dyDescent="0.25">
      <c r="A6532" s="3">
        <v>46134</v>
      </c>
      <c r="B6532" s="4" t="s">
        <v>946</v>
      </c>
      <c r="C6532" s="4"/>
      <c r="D6532" s="4"/>
      <c r="E6532" s="4" t="s">
        <v>921</v>
      </c>
      <c r="F6532" s="4"/>
      <c r="G6532" s="4" t="s">
        <v>946</v>
      </c>
      <c r="H6532" s="4" t="s">
        <v>380</v>
      </c>
      <c r="I6532" s="4">
        <v>1</v>
      </c>
      <c r="J6532" s="105">
        <v>533</v>
      </c>
      <c r="K6532" s="21">
        <v>0</v>
      </c>
      <c r="L6532" s="32">
        <v>533</v>
      </c>
      <c r="M6532" s="4"/>
      <c r="N6532" s="4"/>
      <c r="O6532" s="5"/>
      <c r="P6532" s="5"/>
      <c r="Q6532" s="21">
        <v>533</v>
      </c>
      <c r="R6532" s="21">
        <v>0</v>
      </c>
      <c r="S6532" s="5">
        <f t="shared" ref="S6532:S6595" si="411">S6531+Q6532-R6532</f>
        <v>22973.931749698357</v>
      </c>
      <c r="T6532" cm="1">
        <f t="array" ref="T6532">IF(OR(B6532="MAL ALIMI", B6532="ÜRETİM GİRİŞ"), MIN(I6532, MAX(0, I6532 + SUM(SUMIFS($I$1:I6531, $C$1:C6531, C6532, $B$1:B6531, {"MAL ALIMI","ÜRETİM GİRİŞ"})) - VLOOKUP(C6532, 'STOK RAPORU'!$C$2:$I$1000, 4, 0))), 0)</f>
        <v>0</v>
      </c>
      <c r="U6532" s="22">
        <f t="shared" si="408"/>
        <v>0</v>
      </c>
      <c r="V6532">
        <f t="shared" si="409"/>
        <v>0</v>
      </c>
      <c r="W6532" s="22">
        <f t="shared" si="410"/>
        <v>0</v>
      </c>
    </row>
    <row r="6533" spans="1:23" hidden="1" x14ac:dyDescent="0.25">
      <c r="A6533" s="3">
        <v>46134</v>
      </c>
      <c r="B6533" s="4" t="s">
        <v>946</v>
      </c>
      <c r="C6533" s="4"/>
      <c r="D6533" s="4"/>
      <c r="E6533" s="4" t="s">
        <v>921</v>
      </c>
      <c r="F6533" s="4"/>
      <c r="G6533" s="4" t="s">
        <v>946</v>
      </c>
      <c r="H6533" s="4" t="s">
        <v>380</v>
      </c>
      <c r="I6533" s="4">
        <v>1</v>
      </c>
      <c r="J6533" s="105">
        <v>3322</v>
      </c>
      <c r="K6533" s="21">
        <v>0</v>
      </c>
      <c r="L6533" s="32">
        <v>3322</v>
      </c>
      <c r="M6533" s="4"/>
      <c r="N6533" s="4"/>
      <c r="O6533" s="5"/>
      <c r="P6533" s="5"/>
      <c r="Q6533" s="21">
        <v>3322</v>
      </c>
      <c r="R6533" s="21">
        <v>0</v>
      </c>
      <c r="S6533" s="5">
        <f t="shared" si="411"/>
        <v>26295.931749698357</v>
      </c>
      <c r="T6533" cm="1">
        <f t="array" ref="T6533">IF(OR(B6533="MAL ALIMI", B6533="ÜRETİM GİRİŞ"), MIN(I6533, MAX(0, I6533 + SUM(SUMIFS($I$1:I6532, $C$1:C6532, C6533, $B$1:B6532, {"MAL ALIMI","ÜRETİM GİRİŞ"})) - VLOOKUP(C6533, 'STOK RAPORU'!$C$2:$I$1000, 4, 0))), 0)</f>
        <v>0</v>
      </c>
      <c r="U6533" s="22">
        <f t="shared" si="408"/>
        <v>0</v>
      </c>
      <c r="V6533">
        <f t="shared" si="409"/>
        <v>0</v>
      </c>
      <c r="W6533" s="22">
        <f t="shared" si="410"/>
        <v>0</v>
      </c>
    </row>
    <row r="6534" spans="1:23" hidden="1" x14ac:dyDescent="0.25">
      <c r="A6534" s="3">
        <v>46135</v>
      </c>
      <c r="B6534" s="46" t="s">
        <v>334</v>
      </c>
      <c r="C6534" s="4" t="s">
        <v>224</v>
      </c>
      <c r="D6534" s="4"/>
      <c r="E6534" s="4" t="s">
        <v>921</v>
      </c>
      <c r="F6534" s="46" t="s">
        <v>3147</v>
      </c>
      <c r="G6534" s="4" t="s">
        <v>336</v>
      </c>
      <c r="H6534" s="4" t="s">
        <v>380</v>
      </c>
      <c r="I6534" s="4">
        <v>0.1</v>
      </c>
      <c r="J6534" s="21">
        <v>900</v>
      </c>
      <c r="K6534" s="21">
        <v>90</v>
      </c>
      <c r="L6534" s="5">
        <v>0</v>
      </c>
      <c r="M6534" s="4"/>
      <c r="N6534" s="4"/>
      <c r="O6534" s="5"/>
      <c r="P6534" s="5"/>
      <c r="Q6534" s="21">
        <v>0</v>
      </c>
      <c r="R6534" s="21">
        <v>0</v>
      </c>
      <c r="S6534" s="5">
        <f t="shared" si="411"/>
        <v>26295.931749698357</v>
      </c>
      <c r="T6534" cm="1">
        <f t="array" ref="T6534">IF(OR(B6534="MAL ALIMI", B6534="ÜRETİM GİRİŞ"), MIN(I6534, MAX(0, I6534 + SUM(SUMIFS($I$1:I6533, $C$1:C6533, C6534, $B$1:B6533, {"MAL ALIMI","ÜRETİM GİRİŞ"})) - VLOOKUP(C6534, 'STOK RAPORU'!$C$2:$I$1000, 4, 0))), 0)</f>
        <v>0</v>
      </c>
      <c r="U6534" s="22">
        <f t="shared" si="408"/>
        <v>0</v>
      </c>
      <c r="V6534">
        <f t="shared" si="409"/>
        <v>0</v>
      </c>
      <c r="W6534" s="22">
        <f t="shared" si="410"/>
        <v>0</v>
      </c>
    </row>
    <row r="6535" spans="1:23" hidden="1" x14ac:dyDescent="0.25">
      <c r="A6535" s="3">
        <v>46135</v>
      </c>
      <c r="B6535" s="46" t="s">
        <v>334</v>
      </c>
      <c r="C6535" s="4" t="s">
        <v>200</v>
      </c>
      <c r="D6535" s="4"/>
      <c r="E6535" s="4"/>
      <c r="F6535" s="46" t="s">
        <v>3148</v>
      </c>
      <c r="G6535" s="4" t="s">
        <v>336</v>
      </c>
      <c r="H6535" s="4" t="s">
        <v>289</v>
      </c>
      <c r="I6535" s="4">
        <v>0.25</v>
      </c>
      <c r="J6535" s="21">
        <v>360</v>
      </c>
      <c r="K6535" s="21">
        <v>0</v>
      </c>
      <c r="L6535" s="5">
        <v>0</v>
      </c>
      <c r="M6535" s="4"/>
      <c r="N6535" s="4"/>
      <c r="O6535" s="5"/>
      <c r="P6535" s="5"/>
      <c r="Q6535" s="21">
        <v>90</v>
      </c>
      <c r="R6535" s="21">
        <v>0</v>
      </c>
      <c r="S6535" s="5">
        <f t="shared" si="411"/>
        <v>26385.931749698357</v>
      </c>
      <c r="T6535" cm="1">
        <f t="array" ref="T6535">IF(OR(B6535="MAL ALIMI", B6535="ÜRETİM GİRİŞ"), MIN(I6535, MAX(0, I6535 + SUM(SUMIFS($I$1:I6534, $C$1:C6534, C6535, $B$1:B6534, {"MAL ALIMI","ÜRETİM GİRİŞ"})) - VLOOKUP(C6535, 'STOK RAPORU'!$C$2:$I$1000, 4, 0))), 0)</f>
        <v>0</v>
      </c>
      <c r="U6535" s="22">
        <f t="shared" si="408"/>
        <v>0</v>
      </c>
      <c r="V6535">
        <f t="shared" si="409"/>
        <v>0</v>
      </c>
      <c r="W6535" s="22">
        <f t="shared" si="410"/>
        <v>0</v>
      </c>
    </row>
    <row r="6536" spans="1:23" hidden="1" x14ac:dyDescent="0.25">
      <c r="A6536" s="3">
        <v>46135</v>
      </c>
      <c r="B6536" s="46" t="s">
        <v>334</v>
      </c>
      <c r="C6536" s="4" t="s">
        <v>1386</v>
      </c>
      <c r="D6536" s="4"/>
      <c r="E6536" s="4" t="s">
        <v>921</v>
      </c>
      <c r="F6536" s="46" t="s">
        <v>3149</v>
      </c>
      <c r="G6536" s="4" t="s">
        <v>336</v>
      </c>
      <c r="H6536" s="4" t="s">
        <v>380</v>
      </c>
      <c r="I6536" s="4">
        <v>1</v>
      </c>
      <c r="J6536" s="21">
        <v>310</v>
      </c>
      <c r="K6536" s="21">
        <v>310</v>
      </c>
      <c r="L6536" s="5">
        <v>0</v>
      </c>
      <c r="M6536" s="4"/>
      <c r="N6536" s="4"/>
      <c r="O6536" s="5"/>
      <c r="P6536" s="5"/>
      <c r="Q6536" s="21">
        <v>0</v>
      </c>
      <c r="R6536" s="21">
        <v>0</v>
      </c>
      <c r="S6536" s="5">
        <f t="shared" si="411"/>
        <v>26385.931749698357</v>
      </c>
      <c r="T6536" cm="1">
        <f t="array" ref="T6536">IF(OR(B6536="MAL ALIMI", B6536="ÜRETİM GİRİŞ"), MIN(I6536, MAX(0, I6536 + SUM(SUMIFS($I$1:I6535, $C$1:C6535, C6536, $B$1:B6535, {"MAL ALIMI","ÜRETİM GİRİŞ"})) - VLOOKUP(C6536, 'STOK RAPORU'!$C$2:$I$1000, 4, 0))), 0)</f>
        <v>0</v>
      </c>
      <c r="U6536" s="22">
        <f t="shared" si="408"/>
        <v>0</v>
      </c>
      <c r="V6536">
        <f t="shared" si="409"/>
        <v>0</v>
      </c>
      <c r="W6536" s="22">
        <f t="shared" si="410"/>
        <v>0</v>
      </c>
    </row>
    <row r="6537" spans="1:23" hidden="1" x14ac:dyDescent="0.25">
      <c r="A6537" s="3">
        <v>46135</v>
      </c>
      <c r="B6537" s="46" t="s">
        <v>334</v>
      </c>
      <c r="C6537" s="4" t="s">
        <v>1399</v>
      </c>
      <c r="D6537" s="4"/>
      <c r="E6537" s="4" t="s">
        <v>921</v>
      </c>
      <c r="F6537" s="46" t="s">
        <v>3149</v>
      </c>
      <c r="G6537" s="4" t="s">
        <v>336</v>
      </c>
      <c r="H6537" s="4" t="s">
        <v>380</v>
      </c>
      <c r="I6537" s="4">
        <v>1</v>
      </c>
      <c r="J6537" s="21">
        <v>170</v>
      </c>
      <c r="K6537" s="21">
        <v>170</v>
      </c>
      <c r="L6537" s="5">
        <v>0</v>
      </c>
      <c r="M6537" s="4"/>
      <c r="N6537" s="4"/>
      <c r="O6537" s="5"/>
      <c r="P6537" s="5"/>
      <c r="Q6537" s="21">
        <v>0</v>
      </c>
      <c r="R6537" s="21">
        <v>0</v>
      </c>
      <c r="S6537" s="5">
        <f t="shared" si="411"/>
        <v>26385.931749698357</v>
      </c>
      <c r="T6537" cm="1">
        <f t="array" ref="T6537">IF(OR(B6537="MAL ALIMI", B6537="ÜRETİM GİRİŞ"), MIN(I6537, MAX(0, I6537 + SUM(SUMIFS($I$1:I6536, $C$1:C6536, C6537, $B$1:B6536, {"MAL ALIMI","ÜRETİM GİRİŞ"})) - VLOOKUP(C6537, 'STOK RAPORU'!$C$2:$I$1000, 4, 0))), 0)</f>
        <v>0</v>
      </c>
      <c r="U6537" s="22">
        <f t="shared" si="408"/>
        <v>0</v>
      </c>
      <c r="V6537">
        <f t="shared" si="409"/>
        <v>0</v>
      </c>
      <c r="W6537" s="22">
        <f t="shared" si="410"/>
        <v>0</v>
      </c>
    </row>
    <row r="6538" spans="1:23" hidden="1" x14ac:dyDescent="0.25">
      <c r="A6538" s="3">
        <v>46135</v>
      </c>
      <c r="B6538" s="46" t="s">
        <v>334</v>
      </c>
      <c r="C6538" s="4" t="s">
        <v>60</v>
      </c>
      <c r="D6538" s="4"/>
      <c r="E6538" s="4" t="s">
        <v>921</v>
      </c>
      <c r="F6538" s="46" t="s">
        <v>3149</v>
      </c>
      <c r="G6538" s="4" t="s">
        <v>336</v>
      </c>
      <c r="H6538" s="4" t="s">
        <v>380</v>
      </c>
      <c r="I6538" s="4">
        <v>0.05</v>
      </c>
      <c r="J6538" s="21">
        <v>1200</v>
      </c>
      <c r="K6538" s="21">
        <v>60</v>
      </c>
      <c r="L6538" s="5">
        <v>0</v>
      </c>
      <c r="M6538" s="4"/>
      <c r="N6538" s="4"/>
      <c r="O6538" s="5"/>
      <c r="P6538" s="5"/>
      <c r="Q6538" s="21">
        <v>0</v>
      </c>
      <c r="R6538" s="21">
        <v>0</v>
      </c>
      <c r="S6538" s="5">
        <f t="shared" si="411"/>
        <v>26385.931749698357</v>
      </c>
      <c r="T6538" cm="1">
        <f t="array" ref="T6538">IF(OR(B6538="MAL ALIMI", B6538="ÜRETİM GİRİŞ"), MIN(I6538, MAX(0, I6538 + SUM(SUMIFS($I$1:I6537, $C$1:C6537, C6538, $B$1:B6537, {"MAL ALIMI","ÜRETİM GİRİŞ"})) - VLOOKUP(C6538, 'STOK RAPORU'!$C$2:$I$1000, 4, 0))), 0)</f>
        <v>0</v>
      </c>
      <c r="U6538" s="22">
        <f t="shared" si="408"/>
        <v>0</v>
      </c>
      <c r="V6538">
        <f t="shared" si="409"/>
        <v>0</v>
      </c>
      <c r="W6538" s="22">
        <f t="shared" si="410"/>
        <v>0</v>
      </c>
    </row>
    <row r="6539" spans="1:23" hidden="1" x14ac:dyDescent="0.25">
      <c r="A6539" s="3">
        <v>46135</v>
      </c>
      <c r="B6539" s="46" t="s">
        <v>334</v>
      </c>
      <c r="C6539" s="4" t="s">
        <v>523</v>
      </c>
      <c r="D6539" s="4"/>
      <c r="E6539" s="4" t="s">
        <v>921</v>
      </c>
      <c r="F6539" s="46" t="s">
        <v>3149</v>
      </c>
      <c r="G6539" s="4" t="s">
        <v>336</v>
      </c>
      <c r="H6539" s="4" t="s">
        <v>380</v>
      </c>
      <c r="I6539" s="4">
        <v>0.08</v>
      </c>
      <c r="J6539" s="21">
        <v>750</v>
      </c>
      <c r="K6539" s="21">
        <v>60</v>
      </c>
      <c r="L6539" s="5">
        <v>0</v>
      </c>
      <c r="M6539" s="4"/>
      <c r="N6539" s="4"/>
      <c r="O6539" s="5"/>
      <c r="P6539" s="5"/>
      <c r="Q6539" s="21">
        <v>0</v>
      </c>
      <c r="R6539" s="21">
        <v>0</v>
      </c>
      <c r="S6539" s="5">
        <f t="shared" si="411"/>
        <v>26385.931749698357</v>
      </c>
      <c r="T6539" cm="1">
        <f t="array" ref="T6539">IF(OR(B6539="MAL ALIMI", B6539="ÜRETİM GİRİŞ"), MIN(I6539, MAX(0, I6539 + SUM(SUMIFS($I$1:I6538, $C$1:C6538, C6539, $B$1:B6538, {"MAL ALIMI","ÜRETİM GİRİŞ"})) - VLOOKUP(C6539, 'STOK RAPORU'!$C$2:$I$1000, 4, 0))), 0)</f>
        <v>0</v>
      </c>
      <c r="U6539" s="22">
        <f t="shared" si="408"/>
        <v>0</v>
      </c>
      <c r="V6539">
        <f t="shared" si="409"/>
        <v>0</v>
      </c>
      <c r="W6539" s="22">
        <f t="shared" si="410"/>
        <v>0</v>
      </c>
    </row>
    <row r="6540" spans="1:23" hidden="1" x14ac:dyDescent="0.25">
      <c r="A6540" s="3">
        <v>46135</v>
      </c>
      <c r="B6540" s="46" t="s">
        <v>334</v>
      </c>
      <c r="C6540" s="4" t="s">
        <v>829</v>
      </c>
      <c r="D6540" s="4"/>
      <c r="E6540" s="4"/>
      <c r="F6540" s="46" t="s">
        <v>3150</v>
      </c>
      <c r="G6540" s="4" t="s">
        <v>336</v>
      </c>
      <c r="H6540" s="4" t="s">
        <v>289</v>
      </c>
      <c r="I6540" s="4">
        <v>1</v>
      </c>
      <c r="J6540" s="21">
        <v>140</v>
      </c>
      <c r="K6540" s="21">
        <v>0</v>
      </c>
      <c r="L6540" s="5">
        <v>0</v>
      </c>
      <c r="M6540" s="4"/>
      <c r="N6540" s="4"/>
      <c r="O6540" s="5"/>
      <c r="P6540" s="5"/>
      <c r="Q6540" s="21">
        <v>140</v>
      </c>
      <c r="R6540" s="21">
        <v>0</v>
      </c>
      <c r="S6540" s="5">
        <f t="shared" si="411"/>
        <v>26525.931749698357</v>
      </c>
      <c r="T6540" cm="1">
        <f t="array" ref="T6540">IF(OR(B6540="MAL ALIMI", B6540="ÜRETİM GİRİŞ"), MIN(I6540, MAX(0, I6540 + SUM(SUMIFS($I$1:I6539, $C$1:C6539, C6540, $B$1:B6539, {"MAL ALIMI","ÜRETİM GİRİŞ"})) - VLOOKUP(C6540, 'STOK RAPORU'!$C$2:$I$1000, 4, 0))), 0)</f>
        <v>0</v>
      </c>
      <c r="U6540" s="22">
        <f t="shared" si="408"/>
        <v>0</v>
      </c>
      <c r="V6540">
        <f t="shared" si="409"/>
        <v>0</v>
      </c>
      <c r="W6540" s="22">
        <f t="shared" si="410"/>
        <v>0</v>
      </c>
    </row>
    <row r="6541" spans="1:23" hidden="1" x14ac:dyDescent="0.25">
      <c r="A6541" s="3">
        <v>46135</v>
      </c>
      <c r="B6541" s="46" t="s">
        <v>334</v>
      </c>
      <c r="C6541" s="4" t="s">
        <v>241</v>
      </c>
      <c r="D6541" s="4"/>
      <c r="E6541" s="4"/>
      <c r="F6541" s="46" t="s">
        <v>3150</v>
      </c>
      <c r="G6541" s="4" t="s">
        <v>336</v>
      </c>
      <c r="H6541" s="4" t="s">
        <v>289</v>
      </c>
      <c r="I6541" s="4">
        <v>0.75</v>
      </c>
      <c r="J6541" s="21">
        <v>400</v>
      </c>
      <c r="K6541" s="21">
        <v>0</v>
      </c>
      <c r="L6541" s="5">
        <v>0</v>
      </c>
      <c r="M6541" s="4"/>
      <c r="N6541" s="4"/>
      <c r="O6541" s="5"/>
      <c r="P6541" s="5"/>
      <c r="Q6541" s="21">
        <v>300</v>
      </c>
      <c r="R6541" s="21">
        <v>0</v>
      </c>
      <c r="S6541" s="5">
        <f t="shared" si="411"/>
        <v>26825.931749698357</v>
      </c>
      <c r="T6541" cm="1">
        <f t="array" ref="T6541">IF(OR(B6541="MAL ALIMI", B6541="ÜRETİM GİRİŞ"), MIN(I6541, MAX(0, I6541 + SUM(SUMIFS($I$1:I6540, $C$1:C6540, C6541, $B$1:B6540, {"MAL ALIMI","ÜRETİM GİRİŞ"})) - VLOOKUP(C6541, 'STOK RAPORU'!$C$2:$I$1000, 4, 0))), 0)</f>
        <v>0</v>
      </c>
      <c r="U6541" s="22">
        <f t="shared" si="408"/>
        <v>0</v>
      </c>
      <c r="V6541">
        <f t="shared" si="409"/>
        <v>0</v>
      </c>
      <c r="W6541" s="22">
        <f t="shared" si="410"/>
        <v>0</v>
      </c>
    </row>
    <row r="6542" spans="1:23" hidden="1" x14ac:dyDescent="0.25">
      <c r="A6542" s="3">
        <v>46135</v>
      </c>
      <c r="B6542" s="46" t="s">
        <v>334</v>
      </c>
      <c r="C6542" s="4" t="s">
        <v>1365</v>
      </c>
      <c r="D6542" s="4"/>
      <c r="E6542" s="4"/>
      <c r="F6542" s="46" t="s">
        <v>3150</v>
      </c>
      <c r="G6542" s="4" t="s">
        <v>336</v>
      </c>
      <c r="H6542" s="4" t="s">
        <v>289</v>
      </c>
      <c r="I6542" s="4">
        <v>2</v>
      </c>
      <c r="J6542" s="21">
        <v>140</v>
      </c>
      <c r="K6542" s="21">
        <v>0</v>
      </c>
      <c r="L6542" s="5">
        <v>0</v>
      </c>
      <c r="M6542" s="4"/>
      <c r="N6542" s="4"/>
      <c r="O6542" s="5"/>
      <c r="P6542" s="5"/>
      <c r="Q6542" s="21">
        <v>280</v>
      </c>
      <c r="R6542" s="21">
        <v>0</v>
      </c>
      <c r="S6542" s="5">
        <f t="shared" si="411"/>
        <v>27105.931749698357</v>
      </c>
      <c r="T6542" cm="1">
        <f t="array" ref="T6542">IF(OR(B6542="MAL ALIMI", B6542="ÜRETİM GİRİŞ"), MIN(I6542, MAX(0, I6542 + SUM(SUMIFS($I$1:I6541, $C$1:C6541, C6542, $B$1:B6541, {"MAL ALIMI","ÜRETİM GİRİŞ"})) - VLOOKUP(C6542, 'STOK RAPORU'!$C$2:$I$1000, 4, 0))), 0)</f>
        <v>0</v>
      </c>
      <c r="U6542" s="22">
        <f t="shared" si="408"/>
        <v>0</v>
      </c>
      <c r="V6542">
        <f t="shared" si="409"/>
        <v>0</v>
      </c>
      <c r="W6542" s="22">
        <f t="shared" si="410"/>
        <v>0</v>
      </c>
    </row>
    <row r="6543" spans="1:23" hidden="1" x14ac:dyDescent="0.25">
      <c r="A6543" s="3">
        <v>46135</v>
      </c>
      <c r="B6543" s="46" t="s">
        <v>334</v>
      </c>
      <c r="C6543" s="4" t="s">
        <v>160</v>
      </c>
      <c r="D6543" s="4"/>
      <c r="E6543" s="4" t="s">
        <v>921</v>
      </c>
      <c r="F6543" s="46" t="s">
        <v>3151</v>
      </c>
      <c r="G6543" s="4" t="s">
        <v>336</v>
      </c>
      <c r="H6543" s="4" t="s">
        <v>380</v>
      </c>
      <c r="I6543" s="4">
        <v>1</v>
      </c>
      <c r="J6543" s="21">
        <v>250</v>
      </c>
      <c r="K6543" s="21">
        <v>250</v>
      </c>
      <c r="L6543" s="5">
        <v>0</v>
      </c>
      <c r="M6543" s="4"/>
      <c r="N6543" s="4"/>
      <c r="O6543" s="5"/>
      <c r="P6543" s="5"/>
      <c r="Q6543" s="21">
        <v>0</v>
      </c>
      <c r="R6543" s="21">
        <v>0</v>
      </c>
      <c r="S6543" s="5">
        <f t="shared" si="411"/>
        <v>27105.931749698357</v>
      </c>
      <c r="T6543" cm="1">
        <f t="array" ref="T6543">IF(OR(B6543="MAL ALIMI", B6543="ÜRETİM GİRİŞ"), MIN(I6543, MAX(0, I6543 + SUM(SUMIFS($I$1:I6542, $C$1:C6542, C6543, $B$1:B6542, {"MAL ALIMI","ÜRETİM GİRİŞ"})) - VLOOKUP(C6543, 'STOK RAPORU'!$C$2:$I$1000, 4, 0))), 0)</f>
        <v>0</v>
      </c>
      <c r="U6543" s="22">
        <f t="shared" si="408"/>
        <v>0</v>
      </c>
      <c r="V6543">
        <f t="shared" si="409"/>
        <v>0</v>
      </c>
      <c r="W6543" s="22">
        <f t="shared" si="410"/>
        <v>0</v>
      </c>
    </row>
    <row r="6544" spans="1:23" hidden="1" x14ac:dyDescent="0.25">
      <c r="A6544" s="3">
        <v>46135</v>
      </c>
      <c r="B6544" s="46" t="s">
        <v>334</v>
      </c>
      <c r="C6544" s="4" t="s">
        <v>161</v>
      </c>
      <c r="D6544" s="4"/>
      <c r="E6544" s="4" t="s">
        <v>921</v>
      </c>
      <c r="F6544" s="46" t="s">
        <v>3151</v>
      </c>
      <c r="G6544" s="4" t="s">
        <v>336</v>
      </c>
      <c r="H6544" s="4" t="s">
        <v>380</v>
      </c>
      <c r="I6544" s="4">
        <v>1</v>
      </c>
      <c r="J6544" s="21">
        <v>250</v>
      </c>
      <c r="K6544" s="21">
        <v>250</v>
      </c>
      <c r="L6544" s="5">
        <v>0</v>
      </c>
      <c r="M6544" s="4"/>
      <c r="N6544" s="4"/>
      <c r="O6544" s="5"/>
      <c r="P6544" s="5"/>
      <c r="Q6544" s="21">
        <v>0</v>
      </c>
      <c r="R6544" s="21">
        <v>0</v>
      </c>
      <c r="S6544" s="5">
        <f t="shared" si="411"/>
        <v>27105.931749698357</v>
      </c>
      <c r="T6544" cm="1">
        <f t="array" ref="T6544">IF(OR(B6544="MAL ALIMI", B6544="ÜRETİM GİRİŞ"), MIN(I6544, MAX(0, I6544 + SUM(SUMIFS($I$1:I6543, $C$1:C6543, C6544, $B$1:B6543, {"MAL ALIMI","ÜRETİM GİRİŞ"})) - VLOOKUP(C6544, 'STOK RAPORU'!$C$2:$I$1000, 4, 0))), 0)</f>
        <v>0</v>
      </c>
      <c r="U6544" s="22">
        <f t="shared" si="408"/>
        <v>0</v>
      </c>
      <c r="V6544">
        <f t="shared" si="409"/>
        <v>0</v>
      </c>
      <c r="W6544" s="22">
        <f t="shared" si="410"/>
        <v>0</v>
      </c>
    </row>
    <row r="6545" spans="1:23" hidden="1" x14ac:dyDescent="0.25">
      <c r="A6545" s="3">
        <v>46135</v>
      </c>
      <c r="B6545" s="46" t="s">
        <v>334</v>
      </c>
      <c r="C6545" s="4" t="s">
        <v>168</v>
      </c>
      <c r="D6545" s="4"/>
      <c r="E6545" s="4" t="s">
        <v>921</v>
      </c>
      <c r="F6545" s="46" t="s">
        <v>3151</v>
      </c>
      <c r="G6545" s="4" t="s">
        <v>336</v>
      </c>
      <c r="H6545" s="4" t="s">
        <v>380</v>
      </c>
      <c r="I6545" s="4">
        <v>2</v>
      </c>
      <c r="J6545" s="21">
        <v>150</v>
      </c>
      <c r="K6545" s="21">
        <v>300</v>
      </c>
      <c r="L6545" s="5">
        <v>0</v>
      </c>
      <c r="M6545" s="4"/>
      <c r="N6545" s="4"/>
      <c r="O6545" s="5"/>
      <c r="P6545" s="5"/>
      <c r="Q6545" s="21">
        <v>0</v>
      </c>
      <c r="R6545" s="21">
        <v>0</v>
      </c>
      <c r="S6545" s="5">
        <f t="shared" si="411"/>
        <v>27105.931749698357</v>
      </c>
      <c r="T6545" cm="1">
        <f t="array" ref="T6545">IF(OR(B6545="MAL ALIMI", B6545="ÜRETİM GİRİŞ"), MIN(I6545, MAX(0, I6545 + SUM(SUMIFS($I$1:I6544, $C$1:C6544, C6545, $B$1:B6544, {"MAL ALIMI","ÜRETİM GİRİŞ"})) - VLOOKUP(C6545, 'STOK RAPORU'!$C$2:$I$1000, 4, 0))), 0)</f>
        <v>0</v>
      </c>
      <c r="U6545" s="22">
        <f t="shared" si="408"/>
        <v>0</v>
      </c>
      <c r="V6545">
        <f t="shared" si="409"/>
        <v>0</v>
      </c>
      <c r="W6545" s="22">
        <f t="shared" si="410"/>
        <v>0</v>
      </c>
    </row>
    <row r="6546" spans="1:23" hidden="1" x14ac:dyDescent="0.25">
      <c r="A6546" s="3">
        <v>46135</v>
      </c>
      <c r="B6546" s="46" t="s">
        <v>334</v>
      </c>
      <c r="C6546" s="4" t="s">
        <v>690</v>
      </c>
      <c r="D6546" s="4"/>
      <c r="E6546" s="4"/>
      <c r="F6546" s="46" t="s">
        <v>3152</v>
      </c>
      <c r="G6546" s="4" t="s">
        <v>336</v>
      </c>
      <c r="H6546" s="4" t="s">
        <v>289</v>
      </c>
      <c r="I6546" s="4">
        <v>0.39705882352941174</v>
      </c>
      <c r="J6546" s="21">
        <v>340</v>
      </c>
      <c r="K6546" s="21">
        <v>0</v>
      </c>
      <c r="L6546" s="5">
        <v>0</v>
      </c>
      <c r="M6546" s="4"/>
      <c r="N6546" s="4"/>
      <c r="O6546" s="5"/>
      <c r="P6546" s="5"/>
      <c r="Q6546" s="21">
        <v>135</v>
      </c>
      <c r="R6546" s="21">
        <v>0</v>
      </c>
      <c r="S6546" s="5">
        <f t="shared" si="411"/>
        <v>27240.931749698357</v>
      </c>
      <c r="T6546" cm="1">
        <f t="array" ref="T6546">IF(OR(B6546="MAL ALIMI", B6546="ÜRETİM GİRİŞ"), MIN(I6546, MAX(0, I6546 + SUM(SUMIFS($I$1:I6545, $C$1:C6545, C6546, $B$1:B6545, {"MAL ALIMI","ÜRETİM GİRİŞ"})) - VLOOKUP(C6546, 'STOK RAPORU'!$C$2:$I$1000, 4, 0))), 0)</f>
        <v>0</v>
      </c>
      <c r="U6546" s="22">
        <f t="shared" si="408"/>
        <v>0</v>
      </c>
      <c r="V6546">
        <f t="shared" si="409"/>
        <v>0</v>
      </c>
      <c r="W6546" s="22">
        <f t="shared" si="410"/>
        <v>0</v>
      </c>
    </row>
    <row r="6547" spans="1:23" hidden="1" x14ac:dyDescent="0.25">
      <c r="A6547" s="3">
        <v>46135</v>
      </c>
      <c r="B6547" s="46" t="s">
        <v>334</v>
      </c>
      <c r="C6547" s="4" t="s">
        <v>149</v>
      </c>
      <c r="D6547" s="4"/>
      <c r="E6547" s="4"/>
      <c r="F6547" s="46" t="s">
        <v>3152</v>
      </c>
      <c r="G6547" s="4" t="s">
        <v>336</v>
      </c>
      <c r="H6547" s="4" t="s">
        <v>289</v>
      </c>
      <c r="I6547" s="4">
        <v>1</v>
      </c>
      <c r="J6547" s="21">
        <v>65</v>
      </c>
      <c r="K6547" s="21">
        <v>0</v>
      </c>
      <c r="L6547" s="5">
        <v>0</v>
      </c>
      <c r="M6547" s="4"/>
      <c r="N6547" s="4"/>
      <c r="O6547" s="5"/>
      <c r="P6547" s="5"/>
      <c r="Q6547" s="21">
        <v>65</v>
      </c>
      <c r="R6547" s="21">
        <v>0</v>
      </c>
      <c r="S6547" s="5">
        <f t="shared" si="411"/>
        <v>27305.931749698357</v>
      </c>
      <c r="T6547" cm="1">
        <f t="array" ref="T6547">IF(OR(B6547="MAL ALIMI", B6547="ÜRETİM GİRİŞ"), MIN(I6547, MAX(0, I6547 + SUM(SUMIFS($I$1:I6546, $C$1:C6546, C6547, $B$1:B6546, {"MAL ALIMI","ÜRETİM GİRİŞ"})) - VLOOKUP(C6547, 'STOK RAPORU'!$C$2:$I$1000, 4, 0))), 0)</f>
        <v>0</v>
      </c>
      <c r="U6547" s="22">
        <f t="shared" si="408"/>
        <v>0</v>
      </c>
      <c r="V6547">
        <f t="shared" si="409"/>
        <v>0</v>
      </c>
      <c r="W6547" s="22">
        <f t="shared" si="410"/>
        <v>0</v>
      </c>
    </row>
    <row r="6548" spans="1:23" hidden="1" x14ac:dyDescent="0.25">
      <c r="A6548" s="3">
        <v>46135</v>
      </c>
      <c r="B6548" s="46" t="s">
        <v>334</v>
      </c>
      <c r="C6548" s="4" t="s">
        <v>2520</v>
      </c>
      <c r="D6548" s="4"/>
      <c r="E6548" s="4"/>
      <c r="F6548" s="46" t="s">
        <v>3153</v>
      </c>
      <c r="G6548" s="4" t="s">
        <v>336</v>
      </c>
      <c r="H6548" s="4" t="s">
        <v>289</v>
      </c>
      <c r="I6548" s="4">
        <v>1</v>
      </c>
      <c r="J6548" s="21">
        <v>550</v>
      </c>
      <c r="K6548" s="21">
        <v>0</v>
      </c>
      <c r="L6548" s="5">
        <v>0</v>
      </c>
      <c r="M6548" s="4"/>
      <c r="N6548" s="4"/>
      <c r="O6548" s="5"/>
      <c r="P6548" s="5"/>
      <c r="Q6548" s="21">
        <v>550</v>
      </c>
      <c r="R6548" s="21">
        <v>0</v>
      </c>
      <c r="S6548" s="5">
        <f t="shared" si="411"/>
        <v>27855.931749698357</v>
      </c>
      <c r="T6548" cm="1">
        <f t="array" ref="T6548">IF(OR(B6548="MAL ALIMI", B6548="ÜRETİM GİRİŞ"), MIN(I6548, MAX(0, I6548 + SUM(SUMIFS($I$1:I6547, $C$1:C6547, C6548, $B$1:B6547, {"MAL ALIMI","ÜRETİM GİRİŞ"})) - VLOOKUP(C6548, 'STOK RAPORU'!$C$2:$I$1000, 4, 0))), 0)</f>
        <v>0</v>
      </c>
      <c r="U6548" s="22">
        <f t="shared" si="408"/>
        <v>0</v>
      </c>
      <c r="V6548">
        <f t="shared" si="409"/>
        <v>0</v>
      </c>
      <c r="W6548" s="22">
        <f t="shared" si="410"/>
        <v>0</v>
      </c>
    </row>
    <row r="6549" spans="1:23" hidden="1" x14ac:dyDescent="0.25">
      <c r="A6549" s="3">
        <v>46135</v>
      </c>
      <c r="B6549" s="46" t="s">
        <v>334</v>
      </c>
      <c r="C6549" s="4" t="s">
        <v>1024</v>
      </c>
      <c r="D6549" s="4"/>
      <c r="E6549" s="4"/>
      <c r="F6549" s="46" t="s">
        <v>3153</v>
      </c>
      <c r="G6549" s="4" t="s">
        <v>336</v>
      </c>
      <c r="H6549" s="4" t="s">
        <v>289</v>
      </c>
      <c r="I6549" s="4">
        <v>0.84615384615384615</v>
      </c>
      <c r="J6549" s="21">
        <v>65</v>
      </c>
      <c r="K6549" s="21">
        <v>0</v>
      </c>
      <c r="L6549" s="5">
        <v>0</v>
      </c>
      <c r="M6549" s="4"/>
      <c r="N6549" s="4"/>
      <c r="O6549" s="5"/>
      <c r="P6549" s="5"/>
      <c r="Q6549" s="21">
        <v>55</v>
      </c>
      <c r="R6549" s="21">
        <v>0</v>
      </c>
      <c r="S6549" s="5">
        <f t="shared" si="411"/>
        <v>27910.931749698357</v>
      </c>
      <c r="T6549" cm="1">
        <f t="array" ref="T6549">IF(OR(B6549="MAL ALIMI", B6549="ÜRETİM GİRİŞ"), MIN(I6549, MAX(0, I6549 + SUM(SUMIFS($I$1:I6548, $C$1:C6548, C6549, $B$1:B6548, {"MAL ALIMI","ÜRETİM GİRİŞ"})) - VLOOKUP(C6549, 'STOK RAPORU'!$C$2:$I$1000, 4, 0))), 0)</f>
        <v>0</v>
      </c>
      <c r="U6549" s="22">
        <f t="shared" si="408"/>
        <v>0</v>
      </c>
      <c r="V6549">
        <f t="shared" si="409"/>
        <v>0</v>
      </c>
      <c r="W6549" s="22">
        <f t="shared" si="410"/>
        <v>0</v>
      </c>
    </row>
    <row r="6550" spans="1:23" hidden="1" x14ac:dyDescent="0.25">
      <c r="A6550" s="3">
        <v>46135</v>
      </c>
      <c r="B6550" s="46" t="s">
        <v>334</v>
      </c>
      <c r="C6550" s="4" t="s">
        <v>160</v>
      </c>
      <c r="D6550" s="4"/>
      <c r="E6550" s="4"/>
      <c r="F6550" s="46" t="s">
        <v>3154</v>
      </c>
      <c r="G6550" s="4" t="s">
        <v>3654</v>
      </c>
      <c r="H6550" s="4" t="s">
        <v>289</v>
      </c>
      <c r="I6550" s="4">
        <v>4</v>
      </c>
      <c r="J6550" s="21">
        <v>200</v>
      </c>
      <c r="K6550" s="21">
        <v>0</v>
      </c>
      <c r="L6550" s="5">
        <v>0</v>
      </c>
      <c r="M6550" s="4"/>
      <c r="N6550" s="4"/>
      <c r="O6550" s="5"/>
      <c r="P6550" s="5"/>
      <c r="Q6550" s="21">
        <v>800</v>
      </c>
      <c r="R6550" s="21">
        <v>0</v>
      </c>
      <c r="S6550" s="5">
        <f t="shared" si="411"/>
        <v>28710.931749698357</v>
      </c>
      <c r="T6550" cm="1">
        <f t="array" ref="T6550">IF(OR(B6550="MAL ALIMI", B6550="ÜRETİM GİRİŞ"), MIN(I6550, MAX(0, I6550 + SUM(SUMIFS($I$1:I6549, $C$1:C6549, C6550, $B$1:B6549, {"MAL ALIMI","ÜRETİM GİRİŞ"})) - VLOOKUP(C6550, 'STOK RAPORU'!$C$2:$I$1000, 4, 0))), 0)</f>
        <v>0</v>
      </c>
      <c r="U6550" s="22">
        <f t="shared" si="408"/>
        <v>0</v>
      </c>
      <c r="V6550">
        <f t="shared" si="409"/>
        <v>0</v>
      </c>
      <c r="W6550" s="22">
        <f t="shared" si="410"/>
        <v>0</v>
      </c>
    </row>
    <row r="6551" spans="1:23" hidden="1" x14ac:dyDescent="0.25">
      <c r="A6551" s="3">
        <v>46135</v>
      </c>
      <c r="B6551" s="46" t="s">
        <v>334</v>
      </c>
      <c r="C6551" s="4" t="s">
        <v>2282</v>
      </c>
      <c r="D6551" s="4"/>
      <c r="E6551" s="4"/>
      <c r="F6551" s="46" t="s">
        <v>3155</v>
      </c>
      <c r="G6551" s="4" t="s">
        <v>336</v>
      </c>
      <c r="H6551" s="4" t="s">
        <v>289</v>
      </c>
      <c r="I6551" s="4">
        <v>0.02</v>
      </c>
      <c r="J6551" s="21">
        <v>2800</v>
      </c>
      <c r="K6551" s="21">
        <v>0</v>
      </c>
      <c r="L6551" s="5">
        <v>0</v>
      </c>
      <c r="M6551" s="4"/>
      <c r="N6551" s="4"/>
      <c r="O6551" s="5"/>
      <c r="P6551" s="5"/>
      <c r="Q6551" s="21">
        <v>56</v>
      </c>
      <c r="R6551" s="21">
        <v>0</v>
      </c>
      <c r="S6551" s="5">
        <f t="shared" si="411"/>
        <v>28766.931749698357</v>
      </c>
      <c r="T6551" cm="1">
        <f t="array" ref="T6551">IF(OR(B6551="MAL ALIMI", B6551="ÜRETİM GİRİŞ"), MIN(I6551, MAX(0, I6551 + SUM(SUMIFS($I$1:I6550, $C$1:C6550, C6551, $B$1:B6550, {"MAL ALIMI","ÜRETİM GİRİŞ"})) - VLOOKUP(C6551, 'STOK RAPORU'!$C$2:$I$1000, 4, 0))), 0)</f>
        <v>0</v>
      </c>
      <c r="U6551" s="22">
        <f t="shared" si="408"/>
        <v>0</v>
      </c>
      <c r="V6551">
        <f t="shared" si="409"/>
        <v>0</v>
      </c>
      <c r="W6551" s="22">
        <f t="shared" si="410"/>
        <v>0</v>
      </c>
    </row>
    <row r="6552" spans="1:23" hidden="1" x14ac:dyDescent="0.25">
      <c r="A6552" s="3">
        <v>46135</v>
      </c>
      <c r="B6552" s="46" t="s">
        <v>334</v>
      </c>
      <c r="C6552" s="4" t="s">
        <v>158</v>
      </c>
      <c r="D6552" s="4"/>
      <c r="E6552" s="4" t="s">
        <v>921</v>
      </c>
      <c r="F6552" s="46" t="s">
        <v>3156</v>
      </c>
      <c r="G6552" s="4" t="s">
        <v>336</v>
      </c>
      <c r="H6552" s="4" t="s">
        <v>380</v>
      </c>
      <c r="I6552" s="4">
        <v>1</v>
      </c>
      <c r="J6552" s="21">
        <v>150</v>
      </c>
      <c r="K6552" s="21">
        <v>150</v>
      </c>
      <c r="L6552" s="5">
        <v>0</v>
      </c>
      <c r="M6552" s="4"/>
      <c r="N6552" s="4"/>
      <c r="O6552" s="5"/>
      <c r="P6552" s="5"/>
      <c r="Q6552" s="21">
        <v>0</v>
      </c>
      <c r="R6552" s="21">
        <v>0</v>
      </c>
      <c r="S6552" s="5">
        <f t="shared" si="411"/>
        <v>28766.931749698357</v>
      </c>
      <c r="T6552" cm="1">
        <f t="array" ref="T6552">IF(OR(B6552="MAL ALIMI", B6552="ÜRETİM GİRİŞ"), MIN(I6552, MAX(0, I6552 + SUM(SUMIFS($I$1:I6551, $C$1:C6551, C6552, $B$1:B6551, {"MAL ALIMI","ÜRETİM GİRİŞ"})) - VLOOKUP(C6552, 'STOK RAPORU'!$C$2:$I$1000, 4, 0))), 0)</f>
        <v>0</v>
      </c>
      <c r="U6552" s="22">
        <f t="shared" si="408"/>
        <v>0</v>
      </c>
      <c r="V6552">
        <f t="shared" si="409"/>
        <v>0</v>
      </c>
      <c r="W6552" s="22">
        <f t="shared" si="410"/>
        <v>0</v>
      </c>
    </row>
    <row r="6553" spans="1:23" hidden="1" x14ac:dyDescent="0.25">
      <c r="A6553" s="3">
        <v>46135</v>
      </c>
      <c r="B6553" s="46" t="s">
        <v>334</v>
      </c>
      <c r="C6553" s="4" t="s">
        <v>690</v>
      </c>
      <c r="D6553" s="4"/>
      <c r="E6553" s="4"/>
      <c r="F6553" s="46" t="s">
        <v>3157</v>
      </c>
      <c r="G6553" s="4" t="s">
        <v>1945</v>
      </c>
      <c r="H6553" s="4" t="s">
        <v>289</v>
      </c>
      <c r="I6553" s="4">
        <v>0.2</v>
      </c>
      <c r="J6553" s="21">
        <v>220</v>
      </c>
      <c r="K6553" s="21">
        <v>0</v>
      </c>
      <c r="L6553" s="5">
        <v>0</v>
      </c>
      <c r="M6553" s="4"/>
      <c r="N6553" s="4"/>
      <c r="O6553" s="5"/>
      <c r="P6553" s="5"/>
      <c r="Q6553" s="21">
        <v>44</v>
      </c>
      <c r="R6553" s="21">
        <v>0</v>
      </c>
      <c r="S6553" s="5">
        <f t="shared" si="411"/>
        <v>28810.931749698357</v>
      </c>
      <c r="T6553" cm="1">
        <f t="array" ref="T6553">IF(OR(B6553="MAL ALIMI", B6553="ÜRETİM GİRİŞ"), MIN(I6553, MAX(0, I6553 + SUM(SUMIFS($I$1:I6552, $C$1:C6552, C6553, $B$1:B6552, {"MAL ALIMI","ÜRETİM GİRİŞ"})) - VLOOKUP(C6553, 'STOK RAPORU'!$C$2:$I$1000, 4, 0))), 0)</f>
        <v>0</v>
      </c>
      <c r="U6553" s="22">
        <f t="shared" si="408"/>
        <v>0</v>
      </c>
      <c r="V6553">
        <f t="shared" si="409"/>
        <v>0</v>
      </c>
      <c r="W6553" s="22">
        <f t="shared" si="410"/>
        <v>0</v>
      </c>
    </row>
    <row r="6554" spans="1:23" hidden="1" x14ac:dyDescent="0.25">
      <c r="A6554" s="3">
        <v>46135</v>
      </c>
      <c r="B6554" s="46" t="s">
        <v>334</v>
      </c>
      <c r="C6554" s="4" t="s">
        <v>206</v>
      </c>
      <c r="D6554" s="4"/>
      <c r="E6554" s="4"/>
      <c r="F6554" s="46" t="s">
        <v>3165</v>
      </c>
      <c r="G6554" s="4" t="s">
        <v>336</v>
      </c>
      <c r="H6554" s="4" t="s">
        <v>289</v>
      </c>
      <c r="I6554" s="4">
        <v>1</v>
      </c>
      <c r="J6554" s="21">
        <v>290</v>
      </c>
      <c r="K6554" s="21">
        <v>0</v>
      </c>
      <c r="L6554" s="5">
        <v>0</v>
      </c>
      <c r="M6554" s="4"/>
      <c r="N6554" s="4"/>
      <c r="O6554" s="5"/>
      <c r="P6554" s="5"/>
      <c r="Q6554" s="21">
        <v>290</v>
      </c>
      <c r="R6554" s="21">
        <v>0</v>
      </c>
      <c r="S6554" s="5">
        <f t="shared" si="411"/>
        <v>29100.931749698357</v>
      </c>
      <c r="T6554" cm="1">
        <f t="array" ref="T6554">IF(OR(B6554="MAL ALIMI", B6554="ÜRETİM GİRİŞ"), MIN(I6554, MAX(0, I6554 + SUM(SUMIFS($I$1:I6553, $C$1:C6553, C6554, $B$1:B6553, {"MAL ALIMI","ÜRETİM GİRİŞ"})) - VLOOKUP(C6554, 'STOK RAPORU'!$C$2:$I$1000, 4, 0))), 0)</f>
        <v>0</v>
      </c>
      <c r="U6554" s="22">
        <f t="shared" si="408"/>
        <v>0</v>
      </c>
      <c r="V6554">
        <f t="shared" si="409"/>
        <v>0</v>
      </c>
      <c r="W6554" s="22">
        <f t="shared" si="410"/>
        <v>0</v>
      </c>
    </row>
    <row r="6555" spans="1:23" hidden="1" x14ac:dyDescent="0.25">
      <c r="A6555" s="3">
        <v>46135</v>
      </c>
      <c r="B6555" s="46" t="s">
        <v>334</v>
      </c>
      <c r="C6555" s="4" t="s">
        <v>192</v>
      </c>
      <c r="D6555" s="4"/>
      <c r="E6555" s="4" t="s">
        <v>921</v>
      </c>
      <c r="F6555" s="46" t="s">
        <v>3165</v>
      </c>
      <c r="G6555" s="4" t="s">
        <v>336</v>
      </c>
      <c r="H6555" s="4" t="s">
        <v>380</v>
      </c>
      <c r="I6555" s="4">
        <v>0.12</v>
      </c>
      <c r="J6555" s="21">
        <v>417</v>
      </c>
      <c r="K6555" s="21">
        <v>50.04</v>
      </c>
      <c r="L6555" s="5">
        <v>0</v>
      </c>
      <c r="M6555" s="4"/>
      <c r="N6555" s="4"/>
      <c r="O6555" s="5"/>
      <c r="P6555" s="5"/>
      <c r="Q6555" s="21">
        <v>0</v>
      </c>
      <c r="R6555" s="21">
        <v>0</v>
      </c>
      <c r="S6555" s="5">
        <f t="shared" si="411"/>
        <v>29100.931749698357</v>
      </c>
      <c r="T6555" cm="1">
        <f t="array" ref="T6555">IF(OR(B6555="MAL ALIMI", B6555="ÜRETİM GİRİŞ"), MIN(I6555, MAX(0, I6555 + SUM(SUMIFS($I$1:I6554, $C$1:C6554, C6555, $B$1:B6554, {"MAL ALIMI","ÜRETİM GİRİŞ"})) - VLOOKUP(C6555, 'STOK RAPORU'!$C$2:$I$1000, 4, 0))), 0)</f>
        <v>0</v>
      </c>
      <c r="U6555" s="22">
        <f t="shared" si="408"/>
        <v>0</v>
      </c>
      <c r="V6555">
        <f t="shared" si="409"/>
        <v>0</v>
      </c>
      <c r="W6555" s="22">
        <f t="shared" si="410"/>
        <v>0</v>
      </c>
    </row>
    <row r="6556" spans="1:23" hidden="1" x14ac:dyDescent="0.25">
      <c r="A6556" s="3">
        <v>46135</v>
      </c>
      <c r="B6556" s="46" t="s">
        <v>334</v>
      </c>
      <c r="C6556" s="4" t="s">
        <v>60</v>
      </c>
      <c r="D6556" s="4"/>
      <c r="E6556" s="4"/>
      <c r="F6556" s="46" t="s">
        <v>3165</v>
      </c>
      <c r="G6556" s="4" t="s">
        <v>336</v>
      </c>
      <c r="H6556" s="4" t="s">
        <v>289</v>
      </c>
      <c r="I6556" s="4">
        <v>0.05</v>
      </c>
      <c r="J6556" s="21">
        <v>1000</v>
      </c>
      <c r="K6556" s="21">
        <v>0</v>
      </c>
      <c r="L6556" s="5">
        <v>0</v>
      </c>
      <c r="M6556" s="4"/>
      <c r="N6556" s="4"/>
      <c r="O6556" s="5"/>
      <c r="P6556" s="5"/>
      <c r="Q6556" s="21">
        <v>50</v>
      </c>
      <c r="R6556" s="21">
        <v>0</v>
      </c>
      <c r="S6556" s="5">
        <f t="shared" si="411"/>
        <v>29150.931749698357</v>
      </c>
      <c r="T6556" cm="1">
        <f t="array" ref="T6556">IF(OR(B6556="MAL ALIMI", B6556="ÜRETİM GİRİŞ"), MIN(I6556, MAX(0, I6556 + SUM(SUMIFS($I$1:I6555, $C$1:C6555, C6556, $B$1:B6555, {"MAL ALIMI","ÜRETİM GİRİŞ"})) - VLOOKUP(C6556, 'STOK RAPORU'!$C$2:$I$1000, 4, 0))), 0)</f>
        <v>0</v>
      </c>
      <c r="U6556" s="22">
        <f t="shared" si="408"/>
        <v>0</v>
      </c>
      <c r="V6556">
        <f t="shared" si="409"/>
        <v>0</v>
      </c>
      <c r="W6556" s="22">
        <f t="shared" si="410"/>
        <v>0</v>
      </c>
    </row>
    <row r="6557" spans="1:23" hidden="1" x14ac:dyDescent="0.25">
      <c r="A6557" s="3">
        <v>46136</v>
      </c>
      <c r="B6557" s="46" t="s">
        <v>334</v>
      </c>
      <c r="C6557" s="4" t="s">
        <v>463</v>
      </c>
      <c r="D6557" s="4"/>
      <c r="E6557" s="4"/>
      <c r="F6557" s="46" t="s">
        <v>3168</v>
      </c>
      <c r="G6557" s="4" t="s">
        <v>3106</v>
      </c>
      <c r="H6557" s="4" t="s">
        <v>289</v>
      </c>
      <c r="I6557" s="4">
        <v>0.5</v>
      </c>
      <c r="J6557" s="21">
        <v>240</v>
      </c>
      <c r="K6557" s="21">
        <v>0</v>
      </c>
      <c r="L6557" s="5">
        <v>0</v>
      </c>
      <c r="M6557" s="4"/>
      <c r="N6557" s="4"/>
      <c r="O6557" s="5"/>
      <c r="P6557" s="5"/>
      <c r="Q6557" s="21">
        <v>120</v>
      </c>
      <c r="R6557" s="21">
        <v>0</v>
      </c>
      <c r="S6557" s="5">
        <f t="shared" si="411"/>
        <v>29270.931749698357</v>
      </c>
      <c r="T6557" cm="1">
        <f t="array" ref="T6557">IF(OR(B6557="MAL ALIMI", B6557="ÜRETİM GİRİŞ"), MIN(I6557, MAX(0, I6557 + SUM(SUMIFS($I$1:I6556, $C$1:C6556, C6557, $B$1:B6556, {"MAL ALIMI","ÜRETİM GİRİŞ"})) - VLOOKUP(C6557, 'STOK RAPORU'!$C$2:$I$1000, 4, 0))), 0)</f>
        <v>0</v>
      </c>
      <c r="U6557" s="22">
        <f t="shared" si="408"/>
        <v>0</v>
      </c>
      <c r="V6557">
        <f t="shared" si="409"/>
        <v>0</v>
      </c>
      <c r="W6557" s="22">
        <f t="shared" si="410"/>
        <v>0</v>
      </c>
    </row>
    <row r="6558" spans="1:23" hidden="1" x14ac:dyDescent="0.25">
      <c r="A6558" s="3">
        <v>46136</v>
      </c>
      <c r="B6558" s="46" t="s">
        <v>334</v>
      </c>
      <c r="C6558" s="4" t="s">
        <v>133</v>
      </c>
      <c r="D6558" s="4"/>
      <c r="E6558" s="4"/>
      <c r="F6558" s="46" t="s">
        <v>3168</v>
      </c>
      <c r="G6558" s="4" t="s">
        <v>3106</v>
      </c>
      <c r="H6558" s="4" t="s">
        <v>289</v>
      </c>
      <c r="I6558" s="4">
        <v>1</v>
      </c>
      <c r="J6558" s="21">
        <v>230</v>
      </c>
      <c r="K6558" s="21">
        <v>0</v>
      </c>
      <c r="L6558" s="5">
        <v>0</v>
      </c>
      <c r="M6558" s="4"/>
      <c r="N6558" s="4"/>
      <c r="O6558" s="5"/>
      <c r="P6558" s="5"/>
      <c r="Q6558" s="21">
        <v>230</v>
      </c>
      <c r="R6558" s="21">
        <v>0</v>
      </c>
      <c r="S6558" s="5">
        <f t="shared" si="411"/>
        <v>29500.931749698357</v>
      </c>
      <c r="T6558" cm="1">
        <f t="array" ref="T6558">IF(OR(B6558="MAL ALIMI", B6558="ÜRETİM GİRİŞ"), MIN(I6558, MAX(0, I6558 + SUM(SUMIFS($I$1:I6557, $C$1:C6557, C6558, $B$1:B6557, {"MAL ALIMI","ÜRETİM GİRİŞ"})) - VLOOKUP(C6558, 'STOK RAPORU'!$C$2:$I$1000, 4, 0))), 0)</f>
        <v>0</v>
      </c>
      <c r="U6558" s="22">
        <f t="shared" si="408"/>
        <v>0</v>
      </c>
      <c r="V6558">
        <f t="shared" si="409"/>
        <v>0</v>
      </c>
      <c r="W6558" s="22">
        <f t="shared" si="410"/>
        <v>0</v>
      </c>
    </row>
    <row r="6559" spans="1:23" hidden="1" x14ac:dyDescent="0.25">
      <c r="A6559" s="3">
        <v>46136</v>
      </c>
      <c r="B6559" s="46" t="s">
        <v>334</v>
      </c>
      <c r="C6559" s="4" t="s">
        <v>160</v>
      </c>
      <c r="D6559" s="4"/>
      <c r="E6559" s="4" t="s">
        <v>921</v>
      </c>
      <c r="F6559" s="46" t="s">
        <v>3169</v>
      </c>
      <c r="G6559" s="4" t="s">
        <v>336</v>
      </c>
      <c r="H6559" s="4" t="s">
        <v>380</v>
      </c>
      <c r="I6559" s="4">
        <v>0.5</v>
      </c>
      <c r="J6559" s="21">
        <v>250</v>
      </c>
      <c r="K6559" s="21">
        <v>125</v>
      </c>
      <c r="L6559" s="5">
        <v>0</v>
      </c>
      <c r="M6559" s="4"/>
      <c r="N6559" s="4"/>
      <c r="O6559" s="5"/>
      <c r="P6559" s="5"/>
      <c r="Q6559" s="21">
        <v>0</v>
      </c>
      <c r="R6559" s="21">
        <v>0</v>
      </c>
      <c r="S6559" s="5">
        <f t="shared" si="411"/>
        <v>29500.931749698357</v>
      </c>
      <c r="T6559" cm="1">
        <f t="array" ref="T6559">IF(OR(B6559="MAL ALIMI", B6559="ÜRETİM GİRİŞ"), MIN(I6559, MAX(0, I6559 + SUM(SUMIFS($I$1:I6558, $C$1:C6558, C6559, $B$1:B6558, {"MAL ALIMI","ÜRETİM GİRİŞ"})) - VLOOKUP(C6559, 'STOK RAPORU'!$C$2:$I$1000, 4, 0))), 0)</f>
        <v>0</v>
      </c>
      <c r="U6559" s="22">
        <f t="shared" si="408"/>
        <v>0</v>
      </c>
      <c r="V6559">
        <f t="shared" si="409"/>
        <v>0</v>
      </c>
      <c r="W6559" s="22">
        <f t="shared" si="410"/>
        <v>0</v>
      </c>
    </row>
    <row r="6560" spans="1:23" hidden="1" x14ac:dyDescent="0.25">
      <c r="A6560" s="3">
        <v>46136</v>
      </c>
      <c r="B6560" s="46" t="s">
        <v>334</v>
      </c>
      <c r="C6560" s="4" t="s">
        <v>161</v>
      </c>
      <c r="D6560" s="4"/>
      <c r="E6560" s="4" t="s">
        <v>921</v>
      </c>
      <c r="F6560" s="46" t="s">
        <v>3169</v>
      </c>
      <c r="G6560" s="4" t="s">
        <v>336</v>
      </c>
      <c r="H6560" s="4" t="s">
        <v>380</v>
      </c>
      <c r="I6560" s="4">
        <v>0.5</v>
      </c>
      <c r="J6560" s="21">
        <v>230</v>
      </c>
      <c r="K6560" s="21">
        <v>115</v>
      </c>
      <c r="L6560" s="5">
        <v>0</v>
      </c>
      <c r="M6560" s="4"/>
      <c r="N6560" s="4"/>
      <c r="O6560" s="5"/>
      <c r="P6560" s="5"/>
      <c r="Q6560" s="21">
        <v>0</v>
      </c>
      <c r="R6560" s="21">
        <v>0</v>
      </c>
      <c r="S6560" s="5">
        <f t="shared" si="411"/>
        <v>29500.931749698357</v>
      </c>
      <c r="T6560" cm="1">
        <f t="array" ref="T6560">IF(OR(B6560="MAL ALIMI", B6560="ÜRETİM GİRİŞ"), MIN(I6560, MAX(0, I6560 + SUM(SUMIFS($I$1:I6559, $C$1:C6559, C6560, $B$1:B6559, {"MAL ALIMI","ÜRETİM GİRİŞ"})) - VLOOKUP(C6560, 'STOK RAPORU'!$C$2:$I$1000, 4, 0))), 0)</f>
        <v>0</v>
      </c>
      <c r="U6560" s="22">
        <f t="shared" si="408"/>
        <v>0</v>
      </c>
      <c r="V6560">
        <f t="shared" si="409"/>
        <v>0</v>
      </c>
      <c r="W6560" s="22">
        <f t="shared" si="410"/>
        <v>0</v>
      </c>
    </row>
    <row r="6561" spans="1:23" hidden="1" x14ac:dyDescent="0.25">
      <c r="A6561" s="3">
        <v>46136</v>
      </c>
      <c r="B6561" s="46" t="s">
        <v>334</v>
      </c>
      <c r="C6561" s="4" t="s">
        <v>163</v>
      </c>
      <c r="D6561" s="4"/>
      <c r="E6561" s="4"/>
      <c r="F6561" s="46" t="s">
        <v>3170</v>
      </c>
      <c r="G6561" s="4" t="s">
        <v>336</v>
      </c>
      <c r="H6561" s="4" t="s">
        <v>289</v>
      </c>
      <c r="I6561" s="4">
        <v>0.25111111111111112</v>
      </c>
      <c r="J6561" s="21">
        <v>450</v>
      </c>
      <c r="K6561" s="21">
        <v>0</v>
      </c>
      <c r="L6561" s="5">
        <v>0</v>
      </c>
      <c r="M6561" s="4"/>
      <c r="N6561" s="4"/>
      <c r="O6561" s="5"/>
      <c r="P6561" s="5"/>
      <c r="Q6561" s="21">
        <v>113</v>
      </c>
      <c r="R6561" s="21">
        <v>0</v>
      </c>
      <c r="S6561" s="5">
        <f t="shared" si="411"/>
        <v>29613.931749698357</v>
      </c>
      <c r="T6561" cm="1">
        <f t="array" ref="T6561">IF(OR(B6561="MAL ALIMI", B6561="ÜRETİM GİRİŞ"), MIN(I6561, MAX(0, I6561 + SUM(SUMIFS($I$1:I6560, $C$1:C6560, C6561, $B$1:B6560, {"MAL ALIMI","ÜRETİM GİRİŞ"})) - VLOOKUP(C6561, 'STOK RAPORU'!$C$2:$I$1000, 4, 0))), 0)</f>
        <v>0</v>
      </c>
      <c r="U6561" s="22">
        <f t="shared" si="408"/>
        <v>0</v>
      </c>
      <c r="V6561">
        <f t="shared" si="409"/>
        <v>0</v>
      </c>
      <c r="W6561" s="22">
        <f t="shared" si="410"/>
        <v>0</v>
      </c>
    </row>
    <row r="6562" spans="1:23" hidden="1" x14ac:dyDescent="0.25">
      <c r="A6562" s="3">
        <v>46136</v>
      </c>
      <c r="B6562" s="46" t="s">
        <v>334</v>
      </c>
      <c r="C6562" s="4" t="s">
        <v>126</v>
      </c>
      <c r="D6562" s="4"/>
      <c r="E6562" s="4"/>
      <c r="F6562" s="46" t="s">
        <v>3170</v>
      </c>
      <c r="G6562" s="4" t="s">
        <v>336</v>
      </c>
      <c r="H6562" s="4" t="s">
        <v>289</v>
      </c>
      <c r="I6562" s="4">
        <v>0.12307692307692308</v>
      </c>
      <c r="J6562" s="21">
        <v>650</v>
      </c>
      <c r="K6562" s="21">
        <v>0</v>
      </c>
      <c r="L6562" s="5">
        <v>0</v>
      </c>
      <c r="M6562" s="4"/>
      <c r="N6562" s="4"/>
      <c r="O6562" s="5"/>
      <c r="P6562" s="5"/>
      <c r="Q6562" s="21">
        <v>80</v>
      </c>
      <c r="R6562" s="21">
        <v>0</v>
      </c>
      <c r="S6562" s="5">
        <f t="shared" si="411"/>
        <v>29693.931749698357</v>
      </c>
      <c r="T6562" cm="1">
        <f t="array" ref="T6562">IF(OR(B6562="MAL ALIMI", B6562="ÜRETİM GİRİŞ"), MIN(I6562, MAX(0, I6562 + SUM(SUMIFS($I$1:I6561, $C$1:C6561, C6562, $B$1:B6561, {"MAL ALIMI","ÜRETİM GİRİŞ"})) - VLOOKUP(C6562, 'STOK RAPORU'!$C$2:$I$1000, 4, 0))), 0)</f>
        <v>0</v>
      </c>
      <c r="U6562" s="22">
        <f t="shared" si="408"/>
        <v>0</v>
      </c>
      <c r="V6562">
        <f t="shared" si="409"/>
        <v>0</v>
      </c>
      <c r="W6562" s="22">
        <f t="shared" si="410"/>
        <v>0</v>
      </c>
    </row>
    <row r="6563" spans="1:23" hidden="1" x14ac:dyDescent="0.25">
      <c r="A6563" s="3">
        <v>46136</v>
      </c>
      <c r="B6563" s="46" t="s">
        <v>334</v>
      </c>
      <c r="C6563" s="4" t="s">
        <v>1041</v>
      </c>
      <c r="D6563" s="4"/>
      <c r="E6563" s="4" t="s">
        <v>921</v>
      </c>
      <c r="F6563" s="46" t="s">
        <v>3171</v>
      </c>
      <c r="G6563" s="4" t="s">
        <v>336</v>
      </c>
      <c r="H6563" s="4" t="s">
        <v>380</v>
      </c>
      <c r="I6563" s="4">
        <v>4</v>
      </c>
      <c r="J6563" s="21">
        <v>250</v>
      </c>
      <c r="K6563" s="21">
        <v>1000</v>
      </c>
      <c r="L6563" s="5">
        <v>0</v>
      </c>
      <c r="M6563" s="4"/>
      <c r="N6563" s="4"/>
      <c r="O6563" s="5"/>
      <c r="P6563" s="5"/>
      <c r="Q6563" s="21">
        <v>0</v>
      </c>
      <c r="R6563" s="21">
        <v>0</v>
      </c>
      <c r="S6563" s="5">
        <f t="shared" si="411"/>
        <v>29693.931749698357</v>
      </c>
      <c r="T6563" cm="1">
        <f t="array" ref="T6563">IF(OR(B6563="MAL ALIMI", B6563="ÜRETİM GİRİŞ"), MIN(I6563, MAX(0, I6563 + SUM(SUMIFS($I$1:I6562, $C$1:C6562, C6563, $B$1:B6562, {"MAL ALIMI","ÜRETİM GİRİŞ"})) - VLOOKUP(C6563, 'STOK RAPORU'!$C$2:$I$1000, 4, 0))), 0)</f>
        <v>0</v>
      </c>
      <c r="U6563" s="22">
        <f t="shared" si="408"/>
        <v>0</v>
      </c>
      <c r="V6563">
        <f t="shared" si="409"/>
        <v>0</v>
      </c>
      <c r="W6563" s="22">
        <f t="shared" si="410"/>
        <v>0</v>
      </c>
    </row>
    <row r="6564" spans="1:23" hidden="1" x14ac:dyDescent="0.25">
      <c r="A6564" s="3">
        <v>46136</v>
      </c>
      <c r="B6564" s="46" t="s">
        <v>334</v>
      </c>
      <c r="C6564" s="4" t="s">
        <v>160</v>
      </c>
      <c r="D6564" s="4"/>
      <c r="E6564" s="4"/>
      <c r="F6564" s="46" t="s">
        <v>3172</v>
      </c>
      <c r="G6564" s="4" t="s">
        <v>3654</v>
      </c>
      <c r="H6564" s="4" t="s">
        <v>289</v>
      </c>
      <c r="I6564" s="4">
        <v>2</v>
      </c>
      <c r="J6564" s="21">
        <v>200</v>
      </c>
      <c r="K6564" s="21">
        <v>0</v>
      </c>
      <c r="L6564" s="5">
        <v>0</v>
      </c>
      <c r="M6564" s="4"/>
      <c r="N6564" s="4"/>
      <c r="O6564" s="5"/>
      <c r="P6564" s="5"/>
      <c r="Q6564" s="21">
        <v>400</v>
      </c>
      <c r="R6564" s="21">
        <v>0</v>
      </c>
      <c r="S6564" s="5">
        <f t="shared" si="411"/>
        <v>30093.931749698357</v>
      </c>
      <c r="T6564" cm="1">
        <f t="array" ref="T6564">IF(OR(B6564="MAL ALIMI", B6564="ÜRETİM GİRİŞ"), MIN(I6564, MAX(0, I6564 + SUM(SUMIFS($I$1:I6563, $C$1:C6563, C6564, $B$1:B6563, {"MAL ALIMI","ÜRETİM GİRİŞ"})) - VLOOKUP(C6564, 'STOK RAPORU'!$C$2:$I$1000, 4, 0))), 0)</f>
        <v>0</v>
      </c>
      <c r="U6564" s="22">
        <f t="shared" si="408"/>
        <v>0</v>
      </c>
      <c r="V6564">
        <f t="shared" si="409"/>
        <v>0</v>
      </c>
      <c r="W6564" s="22">
        <f t="shared" si="410"/>
        <v>0</v>
      </c>
    </row>
    <row r="6565" spans="1:23" hidden="1" x14ac:dyDescent="0.25">
      <c r="A6565" s="3">
        <v>46136</v>
      </c>
      <c r="B6565" s="46" t="s">
        <v>334</v>
      </c>
      <c r="C6565" s="4" t="s">
        <v>158</v>
      </c>
      <c r="D6565" s="4"/>
      <c r="E6565" s="4" t="s">
        <v>921</v>
      </c>
      <c r="F6565" s="46" t="s">
        <v>3173</v>
      </c>
      <c r="G6565" s="4" t="s">
        <v>336</v>
      </c>
      <c r="H6565" s="4" t="s">
        <v>380</v>
      </c>
      <c r="I6565" s="4">
        <v>0.5</v>
      </c>
      <c r="J6565" s="21">
        <v>140</v>
      </c>
      <c r="K6565" s="21">
        <v>70</v>
      </c>
      <c r="L6565" s="5">
        <v>0</v>
      </c>
      <c r="M6565" s="4"/>
      <c r="N6565" s="4"/>
      <c r="O6565" s="5"/>
      <c r="P6565" s="5"/>
      <c r="Q6565" s="21">
        <v>0</v>
      </c>
      <c r="R6565" s="21">
        <v>0</v>
      </c>
      <c r="S6565" s="5">
        <f t="shared" si="411"/>
        <v>30093.931749698357</v>
      </c>
      <c r="T6565" cm="1">
        <f t="array" ref="T6565">IF(OR(B6565="MAL ALIMI", B6565="ÜRETİM GİRİŞ"), MIN(I6565, MAX(0, I6565 + SUM(SUMIFS($I$1:I6564, $C$1:C6564, C6565, $B$1:B6564, {"MAL ALIMI","ÜRETİM GİRİŞ"})) - VLOOKUP(C6565, 'STOK RAPORU'!$C$2:$I$1000, 4, 0))), 0)</f>
        <v>0</v>
      </c>
      <c r="U6565" s="22">
        <f t="shared" si="408"/>
        <v>0</v>
      </c>
      <c r="V6565">
        <f t="shared" si="409"/>
        <v>0</v>
      </c>
      <c r="W6565" s="22">
        <f t="shared" si="410"/>
        <v>0</v>
      </c>
    </row>
    <row r="6566" spans="1:23" hidden="1" x14ac:dyDescent="0.25">
      <c r="A6566" s="3">
        <v>46136</v>
      </c>
      <c r="B6566" s="46" t="s">
        <v>334</v>
      </c>
      <c r="C6566" s="4" t="s">
        <v>2273</v>
      </c>
      <c r="D6566" s="4"/>
      <c r="E6566" s="4" t="s">
        <v>921</v>
      </c>
      <c r="F6566" s="46" t="s">
        <v>3174</v>
      </c>
      <c r="G6566" s="4" t="s">
        <v>336</v>
      </c>
      <c r="H6566" s="4" t="s">
        <v>380</v>
      </c>
      <c r="I6566" s="4">
        <v>2</v>
      </c>
      <c r="J6566" s="21">
        <v>30</v>
      </c>
      <c r="K6566" s="21">
        <v>60</v>
      </c>
      <c r="L6566" s="5">
        <v>0</v>
      </c>
      <c r="M6566" s="4"/>
      <c r="N6566" s="4"/>
      <c r="O6566" s="5"/>
      <c r="P6566" s="5"/>
      <c r="Q6566" s="21">
        <v>0</v>
      </c>
      <c r="R6566" s="21">
        <v>0</v>
      </c>
      <c r="S6566" s="5">
        <f t="shared" si="411"/>
        <v>30093.931749698357</v>
      </c>
      <c r="T6566" cm="1">
        <f t="array" ref="T6566">IF(OR(B6566="MAL ALIMI", B6566="ÜRETİM GİRİŞ"), MIN(I6566, MAX(0, I6566 + SUM(SUMIFS($I$1:I6565, $C$1:C6565, C6566, $B$1:B6565, {"MAL ALIMI","ÜRETİM GİRİŞ"})) - VLOOKUP(C6566, 'STOK RAPORU'!$C$2:$I$1000, 4, 0))), 0)</f>
        <v>0</v>
      </c>
      <c r="U6566" s="22">
        <f t="shared" si="408"/>
        <v>0</v>
      </c>
      <c r="V6566">
        <f t="shared" si="409"/>
        <v>0</v>
      </c>
      <c r="W6566" s="22">
        <f t="shared" si="410"/>
        <v>0</v>
      </c>
    </row>
    <row r="6567" spans="1:23" hidden="1" x14ac:dyDescent="0.25">
      <c r="A6567" s="3">
        <v>46136</v>
      </c>
      <c r="B6567" s="46" t="s">
        <v>334</v>
      </c>
      <c r="C6567" s="4" t="s">
        <v>1024</v>
      </c>
      <c r="D6567" s="4"/>
      <c r="E6567" s="4" t="s">
        <v>921</v>
      </c>
      <c r="F6567" s="46" t="s">
        <v>3175</v>
      </c>
      <c r="G6567" s="4" t="s">
        <v>336</v>
      </c>
      <c r="H6567" s="4" t="s">
        <v>380</v>
      </c>
      <c r="I6567" s="4">
        <v>1.3859999999999999</v>
      </c>
      <c r="J6567" s="21">
        <v>65</v>
      </c>
      <c r="K6567" s="21">
        <v>90.089999999999989</v>
      </c>
      <c r="L6567" s="5">
        <v>0</v>
      </c>
      <c r="M6567" s="4"/>
      <c r="N6567" s="4"/>
      <c r="O6567" s="5"/>
      <c r="P6567" s="5"/>
      <c r="Q6567" s="21">
        <v>0</v>
      </c>
      <c r="R6567" s="21">
        <v>0</v>
      </c>
      <c r="S6567" s="5">
        <f t="shared" si="411"/>
        <v>30093.931749698357</v>
      </c>
      <c r="T6567" cm="1">
        <f t="array" ref="T6567">IF(OR(B6567="MAL ALIMI", B6567="ÜRETİM GİRİŞ"), MIN(I6567, MAX(0, I6567 + SUM(SUMIFS($I$1:I6566, $C$1:C6566, C6567, $B$1:B6566, {"MAL ALIMI","ÜRETİM GİRİŞ"})) - VLOOKUP(C6567, 'STOK RAPORU'!$C$2:$I$1000, 4, 0))), 0)</f>
        <v>0</v>
      </c>
      <c r="U6567" s="22">
        <f t="shared" si="408"/>
        <v>0</v>
      </c>
      <c r="V6567">
        <f t="shared" si="409"/>
        <v>0</v>
      </c>
      <c r="W6567" s="22">
        <f t="shared" si="410"/>
        <v>0</v>
      </c>
    </row>
    <row r="6568" spans="1:23" hidden="1" x14ac:dyDescent="0.25">
      <c r="A6568" s="3">
        <v>46136</v>
      </c>
      <c r="B6568" s="46" t="s">
        <v>334</v>
      </c>
      <c r="C6568" s="4" t="s">
        <v>2127</v>
      </c>
      <c r="D6568" s="4"/>
      <c r="E6568" s="4"/>
      <c r="F6568" s="46" t="s">
        <v>3176</v>
      </c>
      <c r="G6568" s="4" t="s">
        <v>336</v>
      </c>
      <c r="H6568" s="4" t="s">
        <v>289</v>
      </c>
      <c r="I6568" s="4">
        <v>0.78749999999999998</v>
      </c>
      <c r="J6568" s="21">
        <v>400</v>
      </c>
      <c r="K6568" s="21">
        <v>0</v>
      </c>
      <c r="L6568" s="5">
        <v>0</v>
      </c>
      <c r="M6568" s="4"/>
      <c r="N6568" s="4"/>
      <c r="O6568" s="5"/>
      <c r="P6568" s="5"/>
      <c r="Q6568" s="21">
        <v>315</v>
      </c>
      <c r="R6568" s="21">
        <v>0</v>
      </c>
      <c r="S6568" s="5">
        <f t="shared" si="411"/>
        <v>30408.931749698357</v>
      </c>
      <c r="T6568" cm="1">
        <f t="array" ref="T6568">IF(OR(B6568="MAL ALIMI", B6568="ÜRETİM GİRİŞ"), MIN(I6568, MAX(0, I6568 + SUM(SUMIFS($I$1:I6567, $C$1:C6567, C6568, $B$1:B6567, {"MAL ALIMI","ÜRETİM GİRİŞ"})) - VLOOKUP(C6568, 'STOK RAPORU'!$C$2:$I$1000, 4, 0))), 0)</f>
        <v>0</v>
      </c>
      <c r="U6568" s="22">
        <f t="shared" si="408"/>
        <v>0</v>
      </c>
      <c r="V6568">
        <f t="shared" si="409"/>
        <v>0</v>
      </c>
      <c r="W6568" s="22">
        <f t="shared" si="410"/>
        <v>0</v>
      </c>
    </row>
    <row r="6569" spans="1:23" hidden="1" x14ac:dyDescent="0.25">
      <c r="A6569" s="3">
        <v>46136</v>
      </c>
      <c r="B6569" s="46" t="s">
        <v>334</v>
      </c>
      <c r="C6569" s="4" t="s">
        <v>2520</v>
      </c>
      <c r="D6569" s="4"/>
      <c r="E6569" s="4"/>
      <c r="F6569" s="46" t="s">
        <v>3176</v>
      </c>
      <c r="G6569" s="4" t="s">
        <v>336</v>
      </c>
      <c r="H6569" s="4" t="s">
        <v>289</v>
      </c>
      <c r="I6569" s="4">
        <v>1</v>
      </c>
      <c r="J6569" s="21">
        <v>550</v>
      </c>
      <c r="K6569" s="21">
        <v>0</v>
      </c>
      <c r="L6569" s="5">
        <v>0</v>
      </c>
      <c r="M6569" s="4"/>
      <c r="N6569" s="4"/>
      <c r="O6569" s="5"/>
      <c r="P6569" s="5"/>
      <c r="Q6569" s="21">
        <v>550</v>
      </c>
      <c r="R6569" s="21">
        <v>0</v>
      </c>
      <c r="S6569" s="5">
        <f t="shared" si="411"/>
        <v>30958.931749698357</v>
      </c>
      <c r="T6569" cm="1">
        <f t="array" ref="T6569">IF(OR(B6569="MAL ALIMI", B6569="ÜRETİM GİRİŞ"), MIN(I6569, MAX(0, I6569 + SUM(SUMIFS($I$1:I6568, $C$1:C6568, C6569, $B$1:B6568, {"MAL ALIMI","ÜRETİM GİRİŞ"})) - VLOOKUP(C6569, 'STOK RAPORU'!$C$2:$I$1000, 4, 0))), 0)</f>
        <v>0</v>
      </c>
      <c r="U6569" s="22">
        <f t="shared" si="408"/>
        <v>0</v>
      </c>
      <c r="V6569">
        <f t="shared" si="409"/>
        <v>0</v>
      </c>
      <c r="W6569" s="22">
        <f t="shared" si="410"/>
        <v>0</v>
      </c>
    </row>
    <row r="6570" spans="1:23" hidden="1" x14ac:dyDescent="0.25">
      <c r="A6570" s="3">
        <v>46136</v>
      </c>
      <c r="B6570" s="46" t="s">
        <v>334</v>
      </c>
      <c r="C6570" s="4" t="s">
        <v>1041</v>
      </c>
      <c r="D6570" s="4"/>
      <c r="E6570" s="4"/>
      <c r="F6570" s="46" t="s">
        <v>3176</v>
      </c>
      <c r="G6570" s="4" t="s">
        <v>336</v>
      </c>
      <c r="H6570" s="4" t="s">
        <v>289</v>
      </c>
      <c r="I6570" s="4">
        <v>1</v>
      </c>
      <c r="J6570" s="21">
        <v>250</v>
      </c>
      <c r="K6570" s="21">
        <v>0</v>
      </c>
      <c r="L6570" s="5">
        <v>0</v>
      </c>
      <c r="M6570" s="4"/>
      <c r="N6570" s="4"/>
      <c r="O6570" s="5"/>
      <c r="P6570" s="5"/>
      <c r="Q6570" s="21">
        <v>250</v>
      </c>
      <c r="R6570" s="21">
        <v>0</v>
      </c>
      <c r="S6570" s="5">
        <f t="shared" si="411"/>
        <v>31208.931749698357</v>
      </c>
      <c r="T6570" cm="1">
        <f t="array" ref="T6570">IF(OR(B6570="MAL ALIMI", B6570="ÜRETİM GİRİŞ"), MIN(I6570, MAX(0, I6570 + SUM(SUMIFS($I$1:I6569, $C$1:C6569, C6570, $B$1:B6569, {"MAL ALIMI","ÜRETİM GİRİŞ"})) - VLOOKUP(C6570, 'STOK RAPORU'!$C$2:$I$1000, 4, 0))), 0)</f>
        <v>0</v>
      </c>
      <c r="U6570" s="22">
        <f t="shared" si="408"/>
        <v>0</v>
      </c>
      <c r="V6570">
        <f t="shared" si="409"/>
        <v>0</v>
      </c>
      <c r="W6570" s="22">
        <f t="shared" si="410"/>
        <v>0</v>
      </c>
    </row>
    <row r="6571" spans="1:23" hidden="1" x14ac:dyDescent="0.25">
      <c r="A6571" s="3">
        <v>46136</v>
      </c>
      <c r="B6571" s="46" t="s">
        <v>334</v>
      </c>
      <c r="C6571" s="4" t="s">
        <v>463</v>
      </c>
      <c r="D6571" s="4"/>
      <c r="E6571" s="4"/>
      <c r="F6571" s="46" t="s">
        <v>3176</v>
      </c>
      <c r="G6571" s="4" t="s">
        <v>336</v>
      </c>
      <c r="H6571" s="4" t="s">
        <v>289</v>
      </c>
      <c r="I6571" s="4">
        <v>0.28499999999999998</v>
      </c>
      <c r="J6571" s="21">
        <v>375</v>
      </c>
      <c r="K6571" s="21">
        <v>0</v>
      </c>
      <c r="L6571" s="5">
        <v>0</v>
      </c>
      <c r="M6571" s="4"/>
      <c r="N6571" s="4"/>
      <c r="O6571" s="5"/>
      <c r="P6571" s="5"/>
      <c r="Q6571" s="21">
        <v>106.87499999999999</v>
      </c>
      <c r="R6571" s="21">
        <v>0</v>
      </c>
      <c r="S6571" s="5">
        <f t="shared" si="411"/>
        <v>31315.806749698357</v>
      </c>
      <c r="T6571" cm="1">
        <f t="array" ref="T6571">IF(OR(B6571="MAL ALIMI", B6571="ÜRETİM GİRİŞ"), MIN(I6571, MAX(0, I6571 + SUM(SUMIFS($I$1:I6570, $C$1:C6570, C6571, $B$1:B6570, {"MAL ALIMI","ÜRETİM GİRİŞ"})) - VLOOKUP(C6571, 'STOK RAPORU'!$C$2:$I$1000, 4, 0))), 0)</f>
        <v>0</v>
      </c>
      <c r="U6571" s="22">
        <f t="shared" si="408"/>
        <v>0</v>
      </c>
      <c r="V6571">
        <f t="shared" si="409"/>
        <v>0</v>
      </c>
      <c r="W6571" s="22">
        <f t="shared" si="410"/>
        <v>0</v>
      </c>
    </row>
    <row r="6572" spans="1:23" hidden="1" x14ac:dyDescent="0.25">
      <c r="A6572" s="3">
        <v>46136</v>
      </c>
      <c r="B6572" s="46" t="s">
        <v>334</v>
      </c>
      <c r="C6572" s="4" t="s">
        <v>132</v>
      </c>
      <c r="D6572" s="4"/>
      <c r="E6572" s="4"/>
      <c r="F6572" s="46" t="s">
        <v>3177</v>
      </c>
      <c r="G6572" s="4" t="s">
        <v>336</v>
      </c>
      <c r="H6572" s="4" t="s">
        <v>289</v>
      </c>
      <c r="I6572" s="4">
        <v>0.19</v>
      </c>
      <c r="J6572" s="21">
        <v>500</v>
      </c>
      <c r="K6572" s="21">
        <v>0</v>
      </c>
      <c r="L6572" s="5">
        <v>0</v>
      </c>
      <c r="M6572" s="4"/>
      <c r="N6572" s="4"/>
      <c r="O6572" s="5"/>
      <c r="P6572" s="5"/>
      <c r="Q6572" s="21">
        <v>95</v>
      </c>
      <c r="R6572" s="21">
        <v>0</v>
      </c>
      <c r="S6572" s="5">
        <f t="shared" si="411"/>
        <v>31410.806749698357</v>
      </c>
      <c r="T6572" cm="1">
        <f t="array" ref="T6572">IF(OR(B6572="MAL ALIMI", B6572="ÜRETİM GİRİŞ"), MIN(I6572, MAX(0, I6572 + SUM(SUMIFS($I$1:I6571, $C$1:C6571, C6572, $B$1:B6571, {"MAL ALIMI","ÜRETİM GİRİŞ"})) - VLOOKUP(C6572, 'STOK RAPORU'!$C$2:$I$1000, 4, 0))), 0)</f>
        <v>0</v>
      </c>
      <c r="U6572" s="22">
        <f t="shared" si="408"/>
        <v>0</v>
      </c>
      <c r="V6572">
        <f t="shared" si="409"/>
        <v>0</v>
      </c>
      <c r="W6572" s="22">
        <f t="shared" si="410"/>
        <v>0</v>
      </c>
    </row>
    <row r="6573" spans="1:23" hidden="1" x14ac:dyDescent="0.25">
      <c r="A6573" s="3">
        <v>46136</v>
      </c>
      <c r="B6573" s="46" t="s">
        <v>334</v>
      </c>
      <c r="C6573" s="4" t="s">
        <v>168</v>
      </c>
      <c r="D6573" s="4"/>
      <c r="E6573" s="4"/>
      <c r="F6573" s="46" t="s">
        <v>3177</v>
      </c>
      <c r="G6573" s="4" t="s">
        <v>336</v>
      </c>
      <c r="H6573" s="4" t="s">
        <v>289</v>
      </c>
      <c r="I6573" s="4">
        <v>2</v>
      </c>
      <c r="J6573" s="21">
        <v>175</v>
      </c>
      <c r="K6573" s="21">
        <v>0</v>
      </c>
      <c r="L6573" s="5">
        <v>0</v>
      </c>
      <c r="M6573" s="4"/>
      <c r="N6573" s="4"/>
      <c r="O6573" s="5"/>
      <c r="P6573" s="5"/>
      <c r="Q6573" s="21">
        <v>350</v>
      </c>
      <c r="R6573" s="21">
        <v>0</v>
      </c>
      <c r="S6573" s="5">
        <f t="shared" si="411"/>
        <v>31760.806749698357</v>
      </c>
      <c r="T6573" cm="1">
        <f t="array" ref="T6573">IF(OR(B6573="MAL ALIMI", B6573="ÜRETİM GİRİŞ"), MIN(I6573, MAX(0, I6573 + SUM(SUMIFS($I$1:I6572, $C$1:C6572, C6573, $B$1:B6572, {"MAL ALIMI","ÜRETİM GİRİŞ"})) - VLOOKUP(C6573, 'STOK RAPORU'!$C$2:$I$1000, 4, 0))), 0)</f>
        <v>0</v>
      </c>
      <c r="U6573" s="22">
        <f t="shared" si="408"/>
        <v>0</v>
      </c>
      <c r="V6573">
        <f t="shared" si="409"/>
        <v>0</v>
      </c>
      <c r="W6573" s="22">
        <f t="shared" si="410"/>
        <v>0</v>
      </c>
    </row>
    <row r="6574" spans="1:23" hidden="1" x14ac:dyDescent="0.25">
      <c r="A6574" s="3">
        <v>46136</v>
      </c>
      <c r="B6574" s="46" t="s">
        <v>334</v>
      </c>
      <c r="C6574" s="4" t="s">
        <v>168</v>
      </c>
      <c r="D6574" s="4"/>
      <c r="E6574" s="4" t="s">
        <v>921</v>
      </c>
      <c r="F6574" s="46" t="s">
        <v>3178</v>
      </c>
      <c r="G6574" s="4" t="s">
        <v>336</v>
      </c>
      <c r="H6574" s="4" t="s">
        <v>380</v>
      </c>
      <c r="I6574" s="4">
        <v>2</v>
      </c>
      <c r="J6574" s="21">
        <v>175</v>
      </c>
      <c r="K6574" s="21">
        <v>350</v>
      </c>
      <c r="L6574" s="5">
        <v>0</v>
      </c>
      <c r="M6574" s="4"/>
      <c r="N6574" s="4"/>
      <c r="O6574" s="5"/>
      <c r="P6574" s="5"/>
      <c r="Q6574" s="21">
        <v>0</v>
      </c>
      <c r="R6574" s="21">
        <v>0</v>
      </c>
      <c r="S6574" s="5">
        <f t="shared" si="411"/>
        <v>31760.806749698357</v>
      </c>
      <c r="T6574" cm="1">
        <f t="array" ref="T6574">IF(OR(B6574="MAL ALIMI", B6574="ÜRETİM GİRİŞ"), MIN(I6574, MAX(0, I6574 + SUM(SUMIFS($I$1:I6573, $C$1:C6573, C6574, $B$1:B6573, {"MAL ALIMI","ÜRETİM GİRİŞ"})) - VLOOKUP(C6574, 'STOK RAPORU'!$C$2:$I$1000, 4, 0))), 0)</f>
        <v>0</v>
      </c>
      <c r="U6574" s="22">
        <f t="shared" si="408"/>
        <v>0</v>
      </c>
      <c r="V6574">
        <f t="shared" si="409"/>
        <v>0</v>
      </c>
      <c r="W6574" s="22">
        <f t="shared" si="410"/>
        <v>0</v>
      </c>
    </row>
    <row r="6575" spans="1:23" hidden="1" x14ac:dyDescent="0.25">
      <c r="A6575" s="3">
        <v>46136</v>
      </c>
      <c r="B6575" s="46" t="s">
        <v>334</v>
      </c>
      <c r="C6575" s="4" t="s">
        <v>218</v>
      </c>
      <c r="D6575" s="4"/>
      <c r="E6575" s="4" t="s">
        <v>921</v>
      </c>
      <c r="F6575" s="46" t="s">
        <v>3178</v>
      </c>
      <c r="G6575" s="4" t="s">
        <v>336</v>
      </c>
      <c r="H6575" s="4" t="s">
        <v>380</v>
      </c>
      <c r="I6575" s="4">
        <v>1</v>
      </c>
      <c r="J6575" s="21">
        <v>340</v>
      </c>
      <c r="K6575" s="21">
        <v>340</v>
      </c>
      <c r="L6575" s="5">
        <v>0</v>
      </c>
      <c r="M6575" s="4"/>
      <c r="N6575" s="4"/>
      <c r="O6575" s="5"/>
      <c r="P6575" s="5"/>
      <c r="Q6575" s="21">
        <v>0</v>
      </c>
      <c r="R6575" s="21">
        <v>0</v>
      </c>
      <c r="S6575" s="5">
        <f t="shared" si="411"/>
        <v>31760.806749698357</v>
      </c>
      <c r="T6575" cm="1">
        <f t="array" ref="T6575">IF(OR(B6575="MAL ALIMI", B6575="ÜRETİM GİRİŞ"), MIN(I6575, MAX(0, I6575 + SUM(SUMIFS($I$1:I6574, $C$1:C6574, C6575, $B$1:B6574, {"MAL ALIMI","ÜRETİM GİRİŞ"})) - VLOOKUP(C6575, 'STOK RAPORU'!$C$2:$I$1000, 4, 0))), 0)</f>
        <v>0</v>
      </c>
      <c r="U6575" s="22">
        <f t="shared" si="408"/>
        <v>0</v>
      </c>
      <c r="V6575">
        <f t="shared" si="409"/>
        <v>0</v>
      </c>
      <c r="W6575" s="22">
        <f t="shared" si="410"/>
        <v>0</v>
      </c>
    </row>
    <row r="6576" spans="1:23" hidden="1" x14ac:dyDescent="0.25">
      <c r="A6576" s="3">
        <v>46136</v>
      </c>
      <c r="B6576" s="46" t="s">
        <v>334</v>
      </c>
      <c r="C6576" s="4" t="s">
        <v>158</v>
      </c>
      <c r="D6576" s="4"/>
      <c r="E6576" s="4"/>
      <c r="F6576" s="46" t="s">
        <v>3179</v>
      </c>
      <c r="G6576" s="4" t="s">
        <v>336</v>
      </c>
      <c r="H6576" s="4" t="s">
        <v>289</v>
      </c>
      <c r="I6576" s="4">
        <v>1</v>
      </c>
      <c r="J6576" s="21">
        <v>150</v>
      </c>
      <c r="K6576" s="21">
        <v>0</v>
      </c>
      <c r="L6576" s="5">
        <v>0</v>
      </c>
      <c r="M6576" s="4"/>
      <c r="N6576" s="4"/>
      <c r="O6576" s="5"/>
      <c r="P6576" s="5"/>
      <c r="Q6576" s="21">
        <v>150</v>
      </c>
      <c r="R6576" s="21">
        <v>0</v>
      </c>
      <c r="S6576" s="5">
        <f t="shared" si="411"/>
        <v>31910.806749698357</v>
      </c>
      <c r="T6576" cm="1">
        <f t="array" ref="T6576">IF(OR(B6576="MAL ALIMI", B6576="ÜRETİM GİRİŞ"), MIN(I6576, MAX(0, I6576 + SUM(SUMIFS($I$1:I6575, $C$1:C6575, C6576, $B$1:B6575, {"MAL ALIMI","ÜRETİM GİRİŞ"})) - VLOOKUP(C6576, 'STOK RAPORU'!$C$2:$I$1000, 4, 0))), 0)</f>
        <v>0</v>
      </c>
      <c r="U6576" s="22">
        <f t="shared" si="408"/>
        <v>0</v>
      </c>
      <c r="V6576">
        <f t="shared" si="409"/>
        <v>0</v>
      </c>
      <c r="W6576" s="22">
        <f t="shared" si="410"/>
        <v>0</v>
      </c>
    </row>
    <row r="6577" spans="1:23" hidden="1" x14ac:dyDescent="0.25">
      <c r="A6577" s="3">
        <v>46136</v>
      </c>
      <c r="B6577" s="46" t="s">
        <v>334</v>
      </c>
      <c r="C6577" s="4" t="s">
        <v>195</v>
      </c>
      <c r="D6577" s="4"/>
      <c r="E6577" s="4"/>
      <c r="F6577" s="46" t="s">
        <v>3179</v>
      </c>
      <c r="G6577" s="4" t="s">
        <v>336</v>
      </c>
      <c r="H6577" s="4" t="s">
        <v>289</v>
      </c>
      <c r="I6577" s="4">
        <v>0.05</v>
      </c>
      <c r="J6577" s="21">
        <v>500</v>
      </c>
      <c r="K6577" s="21">
        <v>0</v>
      </c>
      <c r="L6577" s="5">
        <v>0</v>
      </c>
      <c r="M6577" s="4"/>
      <c r="N6577" s="4"/>
      <c r="O6577" s="5"/>
      <c r="P6577" s="5"/>
      <c r="Q6577" s="21">
        <v>25</v>
      </c>
      <c r="R6577" s="21">
        <v>0</v>
      </c>
      <c r="S6577" s="5">
        <f t="shared" si="411"/>
        <v>31935.806749698357</v>
      </c>
      <c r="T6577" cm="1">
        <f t="array" ref="T6577">IF(OR(B6577="MAL ALIMI", B6577="ÜRETİM GİRİŞ"), MIN(I6577, MAX(0, I6577 + SUM(SUMIFS($I$1:I6576, $C$1:C6576, C6577, $B$1:B6576, {"MAL ALIMI","ÜRETİM GİRİŞ"})) - VLOOKUP(C6577, 'STOK RAPORU'!$C$2:$I$1000, 4, 0))), 0)</f>
        <v>0</v>
      </c>
      <c r="U6577" s="22">
        <f t="shared" si="408"/>
        <v>0</v>
      </c>
      <c r="V6577">
        <f t="shared" si="409"/>
        <v>0</v>
      </c>
      <c r="W6577" s="22">
        <f t="shared" si="410"/>
        <v>0</v>
      </c>
    </row>
    <row r="6578" spans="1:23" hidden="1" x14ac:dyDescent="0.25">
      <c r="A6578" s="3">
        <v>46136</v>
      </c>
      <c r="B6578" s="46" t="s">
        <v>334</v>
      </c>
      <c r="C6578" s="4" t="s">
        <v>249</v>
      </c>
      <c r="D6578" s="4"/>
      <c r="E6578" s="4"/>
      <c r="F6578" s="46" t="s">
        <v>3179</v>
      </c>
      <c r="G6578" s="4" t="s">
        <v>336</v>
      </c>
      <c r="H6578" s="4" t="s">
        <v>289</v>
      </c>
      <c r="I6578" s="4">
        <v>0.1</v>
      </c>
      <c r="J6578" s="21">
        <v>500</v>
      </c>
      <c r="K6578" s="21">
        <v>0</v>
      </c>
      <c r="L6578" s="5">
        <v>0</v>
      </c>
      <c r="M6578" s="4"/>
      <c r="N6578" s="4"/>
      <c r="O6578" s="5"/>
      <c r="P6578" s="5"/>
      <c r="Q6578" s="21">
        <v>50</v>
      </c>
      <c r="R6578" s="21">
        <v>0</v>
      </c>
      <c r="S6578" s="5">
        <f t="shared" si="411"/>
        <v>31985.806749698357</v>
      </c>
      <c r="T6578" cm="1">
        <f t="array" ref="T6578">IF(OR(B6578="MAL ALIMI", B6578="ÜRETİM GİRİŞ"), MIN(I6578, MAX(0, I6578 + SUM(SUMIFS($I$1:I6577, $C$1:C6577, C6578, $B$1:B6577, {"MAL ALIMI","ÜRETİM GİRİŞ"})) - VLOOKUP(C6578, 'STOK RAPORU'!$C$2:$I$1000, 4, 0))), 0)</f>
        <v>0</v>
      </c>
      <c r="U6578" s="22">
        <f t="shared" ref="U6578:U6641" si="412">T6578*J6578</f>
        <v>0</v>
      </c>
      <c r="V6578">
        <f t="shared" ref="V6578:V6641" si="413">IF(OR(B6578="MAL ALIMI", B6578="ÜRETİM GİRİŞ"), I6578 * J6578, 0)</f>
        <v>0</v>
      </c>
      <c r="W6578" s="22">
        <f t="shared" ref="W6578:W6641" si="414">V6578-U6578</f>
        <v>0</v>
      </c>
    </row>
    <row r="6579" spans="1:23" hidden="1" x14ac:dyDescent="0.25">
      <c r="A6579" s="3">
        <v>46136</v>
      </c>
      <c r="B6579" s="46" t="s">
        <v>334</v>
      </c>
      <c r="C6579" s="4" t="s">
        <v>237</v>
      </c>
      <c r="D6579" s="4"/>
      <c r="E6579" s="4"/>
      <c r="F6579" s="46" t="s">
        <v>3179</v>
      </c>
      <c r="G6579" s="4" t="s">
        <v>336</v>
      </c>
      <c r="H6579" s="4" t="s">
        <v>289</v>
      </c>
      <c r="I6579" s="4">
        <v>0.05</v>
      </c>
      <c r="J6579" s="21">
        <v>1500</v>
      </c>
      <c r="K6579" s="21">
        <v>0</v>
      </c>
      <c r="L6579" s="5">
        <v>0</v>
      </c>
      <c r="M6579" s="4"/>
      <c r="N6579" s="4"/>
      <c r="O6579" s="5"/>
      <c r="P6579" s="5"/>
      <c r="Q6579" s="21">
        <v>75</v>
      </c>
      <c r="R6579" s="21">
        <v>0</v>
      </c>
      <c r="S6579" s="5">
        <f t="shared" si="411"/>
        <v>32060.806749698357</v>
      </c>
      <c r="T6579" cm="1">
        <f t="array" ref="T6579">IF(OR(B6579="MAL ALIMI", B6579="ÜRETİM GİRİŞ"), MIN(I6579, MAX(0, I6579 + SUM(SUMIFS($I$1:I6578, $C$1:C6578, C6579, $B$1:B6578, {"MAL ALIMI","ÜRETİM GİRİŞ"})) - VLOOKUP(C6579, 'STOK RAPORU'!$C$2:$I$1000, 4, 0))), 0)</f>
        <v>0</v>
      </c>
      <c r="U6579" s="22">
        <f t="shared" si="412"/>
        <v>0</v>
      </c>
      <c r="V6579">
        <f t="shared" si="413"/>
        <v>0</v>
      </c>
      <c r="W6579" s="22">
        <f t="shared" si="414"/>
        <v>0</v>
      </c>
    </row>
    <row r="6580" spans="1:23" hidden="1" x14ac:dyDescent="0.25">
      <c r="A6580" s="3">
        <v>46136</v>
      </c>
      <c r="B6580" s="46" t="s">
        <v>334</v>
      </c>
      <c r="C6580" s="4" t="s">
        <v>1501</v>
      </c>
      <c r="D6580" s="4"/>
      <c r="E6580" s="4"/>
      <c r="F6580" s="46" t="s">
        <v>3180</v>
      </c>
      <c r="G6580" s="4" t="s">
        <v>336</v>
      </c>
      <c r="H6580" s="4" t="s">
        <v>289</v>
      </c>
      <c r="I6580" s="4">
        <v>0.25</v>
      </c>
      <c r="J6580" s="21">
        <v>700</v>
      </c>
      <c r="K6580" s="21">
        <v>0</v>
      </c>
      <c r="L6580" s="5">
        <v>0</v>
      </c>
      <c r="M6580" s="4"/>
      <c r="N6580" s="4"/>
      <c r="O6580" s="5"/>
      <c r="P6580" s="5"/>
      <c r="Q6580" s="21">
        <v>175</v>
      </c>
      <c r="R6580" s="21">
        <v>0</v>
      </c>
      <c r="S6580" s="5">
        <f t="shared" si="411"/>
        <v>32235.806749698357</v>
      </c>
      <c r="T6580" cm="1">
        <f t="array" ref="T6580">IF(OR(B6580="MAL ALIMI", B6580="ÜRETİM GİRİŞ"), MIN(I6580, MAX(0, I6580 + SUM(SUMIFS($I$1:I6579, $C$1:C6579, C6580, $B$1:B6579, {"MAL ALIMI","ÜRETİM GİRİŞ"})) - VLOOKUP(C6580, 'STOK RAPORU'!$C$2:$I$1000, 4, 0))), 0)</f>
        <v>0</v>
      </c>
      <c r="U6580" s="22">
        <f t="shared" si="412"/>
        <v>0</v>
      </c>
      <c r="V6580">
        <f t="shared" si="413"/>
        <v>0</v>
      </c>
      <c r="W6580" s="22">
        <f t="shared" si="414"/>
        <v>0</v>
      </c>
    </row>
    <row r="6581" spans="1:23" hidden="1" x14ac:dyDescent="0.25">
      <c r="A6581" s="3">
        <v>46136</v>
      </c>
      <c r="B6581" s="46" t="s">
        <v>334</v>
      </c>
      <c r="C6581" s="4" t="s">
        <v>1041</v>
      </c>
      <c r="D6581" s="4"/>
      <c r="E6581" s="4"/>
      <c r="F6581" s="46" t="s">
        <v>3180</v>
      </c>
      <c r="G6581" s="4" t="s">
        <v>336</v>
      </c>
      <c r="H6581" s="4" t="s">
        <v>289</v>
      </c>
      <c r="I6581" s="4">
        <v>2</v>
      </c>
      <c r="J6581" s="21">
        <v>250</v>
      </c>
      <c r="K6581" s="21">
        <v>0</v>
      </c>
      <c r="L6581" s="5">
        <v>0</v>
      </c>
      <c r="M6581" s="4"/>
      <c r="N6581" s="4"/>
      <c r="O6581" s="5"/>
      <c r="P6581" s="5"/>
      <c r="Q6581" s="21">
        <v>500</v>
      </c>
      <c r="R6581" s="21">
        <v>0</v>
      </c>
      <c r="S6581" s="5">
        <f t="shared" si="411"/>
        <v>32735.806749698357</v>
      </c>
      <c r="T6581" cm="1">
        <f t="array" ref="T6581">IF(OR(B6581="MAL ALIMI", B6581="ÜRETİM GİRİŞ"), MIN(I6581, MAX(0, I6581 + SUM(SUMIFS($I$1:I6580, $C$1:C6580, C6581, $B$1:B6580, {"MAL ALIMI","ÜRETİM GİRİŞ"})) - VLOOKUP(C6581, 'STOK RAPORU'!$C$2:$I$1000, 4, 0))), 0)</f>
        <v>0</v>
      </c>
      <c r="U6581" s="22">
        <f t="shared" si="412"/>
        <v>0</v>
      </c>
      <c r="V6581">
        <f t="shared" si="413"/>
        <v>0</v>
      </c>
      <c r="W6581" s="22">
        <f t="shared" si="414"/>
        <v>0</v>
      </c>
    </row>
    <row r="6582" spans="1:23" hidden="1" x14ac:dyDescent="0.25">
      <c r="A6582" s="3">
        <v>46136</v>
      </c>
      <c r="B6582" s="46" t="s">
        <v>334</v>
      </c>
      <c r="C6582" s="4" t="s">
        <v>1642</v>
      </c>
      <c r="D6582" s="4"/>
      <c r="E6582" s="4" t="s">
        <v>921</v>
      </c>
      <c r="F6582" s="46" t="s">
        <v>3181</v>
      </c>
      <c r="G6582" s="4" t="s">
        <v>336</v>
      </c>
      <c r="H6582" s="4" t="s">
        <v>380</v>
      </c>
      <c r="I6582" s="4">
        <v>0.1</v>
      </c>
      <c r="J6582" s="21">
        <v>850</v>
      </c>
      <c r="K6582" s="21">
        <v>85</v>
      </c>
      <c r="L6582" s="5">
        <v>0</v>
      </c>
      <c r="M6582" s="4"/>
      <c r="N6582" s="4"/>
      <c r="O6582" s="5"/>
      <c r="P6582" s="5"/>
      <c r="Q6582" s="21">
        <v>0</v>
      </c>
      <c r="R6582" s="21">
        <v>0</v>
      </c>
      <c r="S6582" s="5">
        <f t="shared" si="411"/>
        <v>32735.806749698357</v>
      </c>
      <c r="T6582" cm="1">
        <f t="array" ref="T6582">IF(OR(B6582="MAL ALIMI", B6582="ÜRETİM GİRİŞ"), MIN(I6582, MAX(0, I6582 + SUM(SUMIFS($I$1:I6581, $C$1:C6581, C6582, $B$1:B6581, {"MAL ALIMI","ÜRETİM GİRİŞ"})) - VLOOKUP(C6582, 'STOK RAPORU'!$C$2:$I$1000, 4, 0))), 0)</f>
        <v>0</v>
      </c>
      <c r="U6582" s="22">
        <f t="shared" si="412"/>
        <v>0</v>
      </c>
      <c r="V6582">
        <f t="shared" si="413"/>
        <v>0</v>
      </c>
      <c r="W6582" s="22">
        <f t="shared" si="414"/>
        <v>0</v>
      </c>
    </row>
    <row r="6583" spans="1:23" hidden="1" x14ac:dyDescent="0.25">
      <c r="A6583" s="3">
        <v>46136</v>
      </c>
      <c r="B6583" s="46" t="s">
        <v>334</v>
      </c>
      <c r="C6583" s="4" t="s">
        <v>456</v>
      </c>
      <c r="D6583" s="4"/>
      <c r="E6583" s="4" t="s">
        <v>921</v>
      </c>
      <c r="F6583" s="46" t="s">
        <v>3181</v>
      </c>
      <c r="G6583" s="4" t="s">
        <v>336</v>
      </c>
      <c r="H6583" s="4" t="s">
        <v>380</v>
      </c>
      <c r="I6583" s="4">
        <v>1</v>
      </c>
      <c r="J6583" s="21">
        <v>80</v>
      </c>
      <c r="K6583" s="21">
        <v>80</v>
      </c>
      <c r="L6583" s="5">
        <v>0</v>
      </c>
      <c r="M6583" s="4"/>
      <c r="N6583" s="4"/>
      <c r="O6583" s="5"/>
      <c r="P6583" s="5"/>
      <c r="Q6583" s="21">
        <v>0</v>
      </c>
      <c r="R6583" s="21">
        <v>0</v>
      </c>
      <c r="S6583" s="5">
        <f t="shared" si="411"/>
        <v>32735.806749698357</v>
      </c>
      <c r="T6583" cm="1">
        <f t="array" ref="T6583">IF(OR(B6583="MAL ALIMI", B6583="ÜRETİM GİRİŞ"), MIN(I6583, MAX(0, I6583 + SUM(SUMIFS($I$1:I6582, $C$1:C6582, C6583, $B$1:B6582, {"MAL ALIMI","ÜRETİM GİRİŞ"})) - VLOOKUP(C6583, 'STOK RAPORU'!$C$2:$I$1000, 4, 0))), 0)</f>
        <v>0</v>
      </c>
      <c r="U6583" s="22">
        <f t="shared" si="412"/>
        <v>0</v>
      </c>
      <c r="V6583">
        <f t="shared" si="413"/>
        <v>0</v>
      </c>
      <c r="W6583" s="22">
        <f t="shared" si="414"/>
        <v>0</v>
      </c>
    </row>
    <row r="6584" spans="1:23" hidden="1" x14ac:dyDescent="0.25">
      <c r="A6584" s="3">
        <v>46136</v>
      </c>
      <c r="B6584" s="46" t="s">
        <v>334</v>
      </c>
      <c r="C6584" s="4" t="s">
        <v>1501</v>
      </c>
      <c r="D6584" s="4"/>
      <c r="E6584" s="4" t="s">
        <v>921</v>
      </c>
      <c r="F6584" s="46" t="s">
        <v>3181</v>
      </c>
      <c r="G6584" s="4" t="s">
        <v>336</v>
      </c>
      <c r="H6584" s="4" t="s">
        <v>380</v>
      </c>
      <c r="I6584" s="4">
        <v>0.25</v>
      </c>
      <c r="J6584" s="21">
        <v>700</v>
      </c>
      <c r="K6584" s="21">
        <v>175</v>
      </c>
      <c r="L6584" s="5">
        <v>0</v>
      </c>
      <c r="M6584" s="4"/>
      <c r="N6584" s="4"/>
      <c r="O6584" s="5"/>
      <c r="P6584" s="5"/>
      <c r="Q6584" s="21">
        <v>0</v>
      </c>
      <c r="R6584" s="21">
        <v>0</v>
      </c>
      <c r="S6584" s="5">
        <f t="shared" si="411"/>
        <v>32735.806749698357</v>
      </c>
      <c r="T6584" cm="1">
        <f t="array" ref="T6584">IF(OR(B6584="MAL ALIMI", B6584="ÜRETİM GİRİŞ"), MIN(I6584, MAX(0, I6584 + SUM(SUMIFS($I$1:I6583, $C$1:C6583, C6584, $B$1:B6583, {"MAL ALIMI","ÜRETİM GİRİŞ"})) - VLOOKUP(C6584, 'STOK RAPORU'!$C$2:$I$1000, 4, 0))), 0)</f>
        <v>0</v>
      </c>
      <c r="U6584" s="22">
        <f t="shared" si="412"/>
        <v>0</v>
      </c>
      <c r="V6584">
        <f t="shared" si="413"/>
        <v>0</v>
      </c>
      <c r="W6584" s="22">
        <f t="shared" si="414"/>
        <v>0</v>
      </c>
    </row>
    <row r="6585" spans="1:23" hidden="1" x14ac:dyDescent="0.25">
      <c r="A6585" s="3">
        <v>46136</v>
      </c>
      <c r="B6585" s="46" t="s">
        <v>334</v>
      </c>
      <c r="C6585" s="4" t="s">
        <v>1183</v>
      </c>
      <c r="D6585" s="4"/>
      <c r="E6585" s="4" t="s">
        <v>921</v>
      </c>
      <c r="F6585" s="46" t="s">
        <v>3181</v>
      </c>
      <c r="G6585" s="4" t="s">
        <v>336</v>
      </c>
      <c r="H6585" s="4" t="s">
        <v>380</v>
      </c>
      <c r="I6585" s="4">
        <v>0.1</v>
      </c>
      <c r="J6585" s="21">
        <v>900</v>
      </c>
      <c r="K6585" s="21">
        <v>90</v>
      </c>
      <c r="L6585" s="5">
        <v>0</v>
      </c>
      <c r="M6585" s="4"/>
      <c r="N6585" s="4"/>
      <c r="O6585" s="5"/>
      <c r="P6585" s="5"/>
      <c r="Q6585" s="21">
        <v>0</v>
      </c>
      <c r="R6585" s="21">
        <v>0</v>
      </c>
      <c r="S6585" s="5">
        <f t="shared" si="411"/>
        <v>32735.806749698357</v>
      </c>
      <c r="T6585" cm="1">
        <f t="array" ref="T6585">IF(OR(B6585="MAL ALIMI", B6585="ÜRETİM GİRİŞ"), MIN(I6585, MAX(0, I6585 + SUM(SUMIFS($I$1:I6584, $C$1:C6584, C6585, $B$1:B6584, {"MAL ALIMI","ÜRETİM GİRİŞ"})) - VLOOKUP(C6585, 'STOK RAPORU'!$C$2:$I$1000, 4, 0))), 0)</f>
        <v>0</v>
      </c>
      <c r="U6585" s="22">
        <f t="shared" si="412"/>
        <v>0</v>
      </c>
      <c r="V6585">
        <f t="shared" si="413"/>
        <v>0</v>
      </c>
      <c r="W6585" s="22">
        <f t="shared" si="414"/>
        <v>0</v>
      </c>
    </row>
    <row r="6586" spans="1:23" hidden="1" x14ac:dyDescent="0.25">
      <c r="A6586" s="3">
        <v>46137</v>
      </c>
      <c r="B6586" s="46" t="s">
        <v>334</v>
      </c>
      <c r="C6586" s="4" t="s">
        <v>126</v>
      </c>
      <c r="D6586" s="4"/>
      <c r="E6586" s="4" t="s">
        <v>921</v>
      </c>
      <c r="F6586" s="46" t="s">
        <v>3182</v>
      </c>
      <c r="G6586" s="4" t="s">
        <v>336</v>
      </c>
      <c r="H6586" s="4" t="s">
        <v>380</v>
      </c>
      <c r="I6586" s="4">
        <v>4.6153846153846156E-2</v>
      </c>
      <c r="J6586" s="21">
        <v>650</v>
      </c>
      <c r="K6586" s="21">
        <v>30</v>
      </c>
      <c r="L6586" s="5">
        <v>0</v>
      </c>
      <c r="M6586" s="4"/>
      <c r="N6586" s="4"/>
      <c r="O6586" s="5"/>
      <c r="P6586" s="5"/>
      <c r="Q6586" s="21">
        <v>0</v>
      </c>
      <c r="R6586" s="21">
        <v>0</v>
      </c>
      <c r="S6586" s="5">
        <f t="shared" si="411"/>
        <v>32735.806749698357</v>
      </c>
      <c r="T6586" cm="1">
        <f t="array" ref="T6586">IF(OR(B6586="MAL ALIMI", B6586="ÜRETİM GİRİŞ"), MIN(I6586, MAX(0, I6586 + SUM(SUMIFS($I$1:I6585, $C$1:C6585, C6586, $B$1:B6585, {"MAL ALIMI","ÜRETİM GİRİŞ"})) - VLOOKUP(C6586, 'STOK RAPORU'!$C$2:$I$1000, 4, 0))), 0)</f>
        <v>0</v>
      </c>
      <c r="U6586" s="22">
        <f t="shared" si="412"/>
        <v>0</v>
      </c>
      <c r="V6586">
        <f t="shared" si="413"/>
        <v>0</v>
      </c>
      <c r="W6586" s="22">
        <f t="shared" si="414"/>
        <v>0</v>
      </c>
    </row>
    <row r="6587" spans="1:23" hidden="1" x14ac:dyDescent="0.25">
      <c r="A6587" s="3">
        <v>46137</v>
      </c>
      <c r="B6587" s="46" t="s">
        <v>334</v>
      </c>
      <c r="C6587" s="4" t="s">
        <v>163</v>
      </c>
      <c r="D6587" s="4"/>
      <c r="E6587" s="4"/>
      <c r="F6587" s="46" t="s">
        <v>3183</v>
      </c>
      <c r="G6587" s="4" t="s">
        <v>336</v>
      </c>
      <c r="H6587" s="4" t="s">
        <v>289</v>
      </c>
      <c r="I6587" s="4">
        <v>9.555555555555556E-2</v>
      </c>
      <c r="J6587" s="21">
        <v>450</v>
      </c>
      <c r="K6587" s="21">
        <v>0</v>
      </c>
      <c r="L6587" s="5">
        <v>0</v>
      </c>
      <c r="M6587" s="4"/>
      <c r="N6587" s="4"/>
      <c r="O6587" s="5"/>
      <c r="P6587" s="5"/>
      <c r="Q6587" s="21">
        <v>43</v>
      </c>
      <c r="R6587" s="21">
        <v>0</v>
      </c>
      <c r="S6587" s="5">
        <f t="shared" si="411"/>
        <v>32778.806749698357</v>
      </c>
      <c r="T6587" cm="1">
        <f t="array" ref="T6587">IF(OR(B6587="MAL ALIMI", B6587="ÜRETİM GİRİŞ"), MIN(I6587, MAX(0, I6587 + SUM(SUMIFS($I$1:I6586, $C$1:C6586, C6587, $B$1:B6586, {"MAL ALIMI","ÜRETİM GİRİŞ"})) - VLOOKUP(C6587, 'STOK RAPORU'!$C$2:$I$1000, 4, 0))), 0)</f>
        <v>0</v>
      </c>
      <c r="U6587" s="22">
        <f t="shared" si="412"/>
        <v>0</v>
      </c>
      <c r="V6587">
        <f t="shared" si="413"/>
        <v>0</v>
      </c>
      <c r="W6587" s="22">
        <f t="shared" si="414"/>
        <v>0</v>
      </c>
    </row>
    <row r="6588" spans="1:23" hidden="1" x14ac:dyDescent="0.25">
      <c r="A6588" s="3">
        <v>46137</v>
      </c>
      <c r="B6588" s="46" t="s">
        <v>334</v>
      </c>
      <c r="C6588" s="4" t="s">
        <v>133</v>
      </c>
      <c r="D6588" s="4"/>
      <c r="E6588" s="4"/>
      <c r="F6588" s="46" t="s">
        <v>3183</v>
      </c>
      <c r="G6588" s="4" t="s">
        <v>336</v>
      </c>
      <c r="H6588" s="4" t="s">
        <v>289</v>
      </c>
      <c r="I6588" s="4">
        <v>0.17</v>
      </c>
      <c r="J6588" s="21">
        <v>400</v>
      </c>
      <c r="K6588" s="21">
        <v>0</v>
      </c>
      <c r="L6588" s="5">
        <v>0</v>
      </c>
      <c r="M6588" s="4"/>
      <c r="N6588" s="4"/>
      <c r="O6588" s="5"/>
      <c r="P6588" s="5"/>
      <c r="Q6588" s="21">
        <v>68</v>
      </c>
      <c r="R6588" s="21">
        <v>0</v>
      </c>
      <c r="S6588" s="5">
        <f t="shared" si="411"/>
        <v>32846.806749698357</v>
      </c>
      <c r="T6588" cm="1">
        <f t="array" ref="T6588">IF(OR(B6588="MAL ALIMI", B6588="ÜRETİM GİRİŞ"), MIN(I6588, MAX(0, I6588 + SUM(SUMIFS($I$1:I6587, $C$1:C6587, C6588, $B$1:B6587, {"MAL ALIMI","ÜRETİM GİRİŞ"})) - VLOOKUP(C6588, 'STOK RAPORU'!$C$2:$I$1000, 4, 0))), 0)</f>
        <v>0</v>
      </c>
      <c r="U6588" s="22">
        <f t="shared" si="412"/>
        <v>0</v>
      </c>
      <c r="V6588">
        <f t="shared" si="413"/>
        <v>0</v>
      </c>
      <c r="W6588" s="22">
        <f t="shared" si="414"/>
        <v>0</v>
      </c>
    </row>
    <row r="6589" spans="1:23" hidden="1" x14ac:dyDescent="0.25">
      <c r="A6589" s="3">
        <v>46137</v>
      </c>
      <c r="B6589" s="46" t="s">
        <v>334</v>
      </c>
      <c r="C6589" s="4" t="s">
        <v>60</v>
      </c>
      <c r="D6589" s="4"/>
      <c r="E6589" s="4"/>
      <c r="F6589" s="46" t="s">
        <v>3183</v>
      </c>
      <c r="G6589" s="4" t="s">
        <v>336</v>
      </c>
      <c r="H6589" s="4" t="s">
        <v>289</v>
      </c>
      <c r="I6589" s="4">
        <v>0.05</v>
      </c>
      <c r="J6589" s="21">
        <v>1200</v>
      </c>
      <c r="K6589" s="21">
        <v>0</v>
      </c>
      <c r="L6589" s="5">
        <v>0</v>
      </c>
      <c r="M6589" s="4"/>
      <c r="N6589" s="4"/>
      <c r="O6589" s="5"/>
      <c r="P6589" s="5"/>
      <c r="Q6589" s="21">
        <v>60</v>
      </c>
      <c r="R6589" s="21">
        <v>0</v>
      </c>
      <c r="S6589" s="5">
        <f t="shared" si="411"/>
        <v>32906.806749698357</v>
      </c>
      <c r="T6589" cm="1">
        <f t="array" ref="T6589">IF(OR(B6589="MAL ALIMI", B6589="ÜRETİM GİRİŞ"), MIN(I6589, MAX(0, I6589 + SUM(SUMIFS($I$1:I6588, $C$1:C6588, C6589, $B$1:B6588, {"MAL ALIMI","ÜRETİM GİRİŞ"})) - VLOOKUP(C6589, 'STOK RAPORU'!$C$2:$I$1000, 4, 0))), 0)</f>
        <v>0</v>
      </c>
      <c r="U6589" s="22">
        <f t="shared" si="412"/>
        <v>0</v>
      </c>
      <c r="V6589">
        <f t="shared" si="413"/>
        <v>0</v>
      </c>
      <c r="W6589" s="22">
        <f t="shared" si="414"/>
        <v>0</v>
      </c>
    </row>
    <row r="6590" spans="1:23" hidden="1" x14ac:dyDescent="0.25">
      <c r="A6590" s="3">
        <v>46137</v>
      </c>
      <c r="B6590" s="46" t="s">
        <v>334</v>
      </c>
      <c r="C6590" s="4" t="s">
        <v>131</v>
      </c>
      <c r="D6590" s="4"/>
      <c r="E6590" s="4"/>
      <c r="F6590" s="46" t="s">
        <v>3183</v>
      </c>
      <c r="G6590" s="4" t="s">
        <v>336</v>
      </c>
      <c r="H6590" s="4" t="s">
        <v>289</v>
      </c>
      <c r="I6590" s="4">
        <v>0.25</v>
      </c>
      <c r="J6590" s="21">
        <v>400</v>
      </c>
      <c r="K6590" s="21">
        <v>0</v>
      </c>
      <c r="L6590" s="5">
        <v>0</v>
      </c>
      <c r="M6590" s="4"/>
      <c r="N6590" s="4"/>
      <c r="O6590" s="5"/>
      <c r="P6590" s="5"/>
      <c r="Q6590" s="21">
        <v>100</v>
      </c>
      <c r="R6590" s="21">
        <v>0</v>
      </c>
      <c r="S6590" s="5">
        <f t="shared" si="411"/>
        <v>33006.806749698357</v>
      </c>
      <c r="T6590" cm="1">
        <f t="array" ref="T6590">IF(OR(B6590="MAL ALIMI", B6590="ÜRETİM GİRİŞ"), MIN(I6590, MAX(0, I6590 + SUM(SUMIFS($I$1:I6589, $C$1:C6589, C6590, $B$1:B6589, {"MAL ALIMI","ÜRETİM GİRİŞ"})) - VLOOKUP(C6590, 'STOK RAPORU'!$C$2:$I$1000, 4, 0))), 0)</f>
        <v>0</v>
      </c>
      <c r="U6590" s="22">
        <f t="shared" si="412"/>
        <v>0</v>
      </c>
      <c r="V6590">
        <f t="shared" si="413"/>
        <v>0</v>
      </c>
      <c r="W6590" s="22">
        <f t="shared" si="414"/>
        <v>0</v>
      </c>
    </row>
    <row r="6591" spans="1:23" hidden="1" x14ac:dyDescent="0.25">
      <c r="A6591" s="3">
        <v>46137</v>
      </c>
      <c r="B6591" s="46" t="s">
        <v>334</v>
      </c>
      <c r="C6591" s="4" t="s">
        <v>157</v>
      </c>
      <c r="D6591" s="4"/>
      <c r="E6591" s="4"/>
      <c r="F6591" s="46" t="s">
        <v>3183</v>
      </c>
      <c r="G6591" s="4" t="s">
        <v>336</v>
      </c>
      <c r="H6591" s="4" t="s">
        <v>289</v>
      </c>
      <c r="I6591" s="4">
        <v>0.5</v>
      </c>
      <c r="J6591" s="21">
        <v>200</v>
      </c>
      <c r="K6591" s="21">
        <v>0</v>
      </c>
      <c r="L6591" s="5">
        <v>0</v>
      </c>
      <c r="M6591" s="4"/>
      <c r="N6591" s="4"/>
      <c r="O6591" s="5"/>
      <c r="P6591" s="5"/>
      <c r="Q6591" s="21">
        <v>100</v>
      </c>
      <c r="R6591" s="21">
        <v>0</v>
      </c>
      <c r="S6591" s="5">
        <f t="shared" si="411"/>
        <v>33106.806749698357</v>
      </c>
      <c r="T6591" cm="1">
        <f t="array" ref="T6591">IF(OR(B6591="MAL ALIMI", B6591="ÜRETİM GİRİŞ"), MIN(I6591, MAX(0, I6591 + SUM(SUMIFS($I$1:I6590, $C$1:C6590, C6591, $B$1:B6590, {"MAL ALIMI","ÜRETİM GİRİŞ"})) - VLOOKUP(C6591, 'STOK RAPORU'!$C$2:$I$1000, 4, 0))), 0)</f>
        <v>0</v>
      </c>
      <c r="U6591" s="22">
        <f t="shared" si="412"/>
        <v>0</v>
      </c>
      <c r="V6591">
        <f t="shared" si="413"/>
        <v>0</v>
      </c>
      <c r="W6591" s="22">
        <f t="shared" si="414"/>
        <v>0</v>
      </c>
    </row>
    <row r="6592" spans="1:23" hidden="1" x14ac:dyDescent="0.25">
      <c r="A6592" s="3">
        <v>46137</v>
      </c>
      <c r="B6592" s="46" t="s">
        <v>334</v>
      </c>
      <c r="C6592" s="4" t="s">
        <v>690</v>
      </c>
      <c r="D6592" s="4"/>
      <c r="E6592" s="4"/>
      <c r="F6592" s="46" t="s">
        <v>3184</v>
      </c>
      <c r="G6592" s="4" t="s">
        <v>336</v>
      </c>
      <c r="H6592" s="4" t="s">
        <v>289</v>
      </c>
      <c r="I6592" s="4">
        <v>0.1</v>
      </c>
      <c r="J6592" s="21">
        <v>350</v>
      </c>
      <c r="K6592" s="21">
        <v>0</v>
      </c>
      <c r="L6592" s="5">
        <v>0</v>
      </c>
      <c r="M6592" s="4"/>
      <c r="N6592" s="4"/>
      <c r="O6592" s="5"/>
      <c r="P6592" s="5"/>
      <c r="Q6592" s="21">
        <v>35</v>
      </c>
      <c r="R6592" s="21">
        <v>0</v>
      </c>
      <c r="S6592" s="5">
        <f t="shared" si="411"/>
        <v>33141.806749698357</v>
      </c>
      <c r="T6592" cm="1">
        <f t="array" ref="T6592">IF(OR(B6592="MAL ALIMI", B6592="ÜRETİM GİRİŞ"), MIN(I6592, MAX(0, I6592 + SUM(SUMIFS($I$1:I6591, $C$1:C6591, C6592, $B$1:B6591, {"MAL ALIMI","ÜRETİM GİRİŞ"})) - VLOOKUP(C6592, 'STOK RAPORU'!$C$2:$I$1000, 4, 0))), 0)</f>
        <v>0</v>
      </c>
      <c r="U6592" s="22">
        <f t="shared" si="412"/>
        <v>0</v>
      </c>
      <c r="V6592">
        <f t="shared" si="413"/>
        <v>0</v>
      </c>
      <c r="W6592" s="22">
        <f t="shared" si="414"/>
        <v>0</v>
      </c>
    </row>
    <row r="6593" spans="1:23" hidden="1" x14ac:dyDescent="0.25">
      <c r="A6593" s="3">
        <v>46137</v>
      </c>
      <c r="B6593" s="46" t="s">
        <v>334</v>
      </c>
      <c r="C6593" s="4" t="s">
        <v>96</v>
      </c>
      <c r="D6593" s="4"/>
      <c r="E6593" s="4" t="s">
        <v>921</v>
      </c>
      <c r="F6593" s="46" t="s">
        <v>3185</v>
      </c>
      <c r="G6593" s="4" t="s">
        <v>336</v>
      </c>
      <c r="H6593" s="4" t="s">
        <v>380</v>
      </c>
      <c r="I6593" s="4">
        <v>1</v>
      </c>
      <c r="J6593" s="21">
        <v>400</v>
      </c>
      <c r="K6593" s="21">
        <v>400</v>
      </c>
      <c r="L6593" s="5">
        <v>0</v>
      </c>
      <c r="M6593" s="4"/>
      <c r="N6593" s="4"/>
      <c r="O6593" s="5"/>
      <c r="P6593" s="5"/>
      <c r="Q6593" s="21">
        <v>0</v>
      </c>
      <c r="R6593" s="21">
        <v>0</v>
      </c>
      <c r="S6593" s="5">
        <f t="shared" si="411"/>
        <v>33141.806749698357</v>
      </c>
      <c r="T6593" cm="1">
        <f t="array" ref="T6593">IF(OR(B6593="MAL ALIMI", B6593="ÜRETİM GİRİŞ"), MIN(I6593, MAX(0, I6593 + SUM(SUMIFS($I$1:I6592, $C$1:C6592, C6593, $B$1:B6592, {"MAL ALIMI","ÜRETİM GİRİŞ"})) - VLOOKUP(C6593, 'STOK RAPORU'!$C$2:$I$1000, 4, 0))), 0)</f>
        <v>0</v>
      </c>
      <c r="U6593" s="22">
        <f t="shared" si="412"/>
        <v>0</v>
      </c>
      <c r="V6593">
        <f t="shared" si="413"/>
        <v>0</v>
      </c>
      <c r="W6593" s="22">
        <f t="shared" si="414"/>
        <v>0</v>
      </c>
    </row>
    <row r="6594" spans="1:23" hidden="1" x14ac:dyDescent="0.25">
      <c r="A6594" s="3">
        <v>46137</v>
      </c>
      <c r="B6594" s="46" t="s">
        <v>334</v>
      </c>
      <c r="C6594" s="4" t="s">
        <v>158</v>
      </c>
      <c r="D6594" s="4"/>
      <c r="E6594" s="4" t="s">
        <v>921</v>
      </c>
      <c r="F6594" s="46" t="s">
        <v>3185</v>
      </c>
      <c r="G6594" s="4" t="s">
        <v>336</v>
      </c>
      <c r="H6594" s="4" t="s">
        <v>380</v>
      </c>
      <c r="I6594" s="4">
        <v>1</v>
      </c>
      <c r="J6594" s="21">
        <v>150</v>
      </c>
      <c r="K6594" s="21">
        <v>150</v>
      </c>
      <c r="L6594" s="5">
        <v>0</v>
      </c>
      <c r="M6594" s="4"/>
      <c r="N6594" s="4"/>
      <c r="O6594" s="5"/>
      <c r="P6594" s="5"/>
      <c r="Q6594" s="21">
        <v>0</v>
      </c>
      <c r="R6594" s="21">
        <v>0</v>
      </c>
      <c r="S6594" s="5">
        <f t="shared" si="411"/>
        <v>33141.806749698357</v>
      </c>
      <c r="T6594" cm="1">
        <f t="array" ref="T6594">IF(OR(B6594="MAL ALIMI", B6594="ÜRETİM GİRİŞ"), MIN(I6594, MAX(0, I6594 + SUM(SUMIFS($I$1:I6593, $C$1:C6593, C6594, $B$1:B6593, {"MAL ALIMI","ÜRETİM GİRİŞ"})) - VLOOKUP(C6594, 'STOK RAPORU'!$C$2:$I$1000, 4, 0))), 0)</f>
        <v>0</v>
      </c>
      <c r="U6594" s="22">
        <f t="shared" si="412"/>
        <v>0</v>
      </c>
      <c r="V6594">
        <f t="shared" si="413"/>
        <v>0</v>
      </c>
      <c r="W6594" s="22">
        <f t="shared" si="414"/>
        <v>0</v>
      </c>
    </row>
    <row r="6595" spans="1:23" hidden="1" x14ac:dyDescent="0.25">
      <c r="A6595" s="3">
        <v>46137</v>
      </c>
      <c r="B6595" s="46" t="s">
        <v>334</v>
      </c>
      <c r="C6595" s="4" t="s">
        <v>2120</v>
      </c>
      <c r="D6595" s="4"/>
      <c r="E6595" s="4" t="s">
        <v>921</v>
      </c>
      <c r="F6595" s="46" t="s">
        <v>3185</v>
      </c>
      <c r="G6595" s="4" t="s">
        <v>336</v>
      </c>
      <c r="H6595" s="4" t="s">
        <v>380</v>
      </c>
      <c r="I6595" s="4">
        <v>2</v>
      </c>
      <c r="J6595" s="21">
        <v>61</v>
      </c>
      <c r="K6595" s="21">
        <v>122</v>
      </c>
      <c r="L6595" s="5">
        <v>0</v>
      </c>
      <c r="M6595" s="4"/>
      <c r="N6595" s="4"/>
      <c r="O6595" s="5"/>
      <c r="P6595" s="5"/>
      <c r="Q6595" s="21">
        <v>0</v>
      </c>
      <c r="R6595" s="21">
        <v>0</v>
      </c>
      <c r="S6595" s="5">
        <f t="shared" si="411"/>
        <v>33141.806749698357</v>
      </c>
      <c r="T6595" cm="1">
        <f t="array" ref="T6595">IF(OR(B6595="MAL ALIMI", B6595="ÜRETİM GİRİŞ"), MIN(I6595, MAX(0, I6595 + SUM(SUMIFS($I$1:I6594, $C$1:C6594, C6595, $B$1:B6594, {"MAL ALIMI","ÜRETİM GİRİŞ"})) - VLOOKUP(C6595, 'STOK RAPORU'!$C$2:$I$1000, 4, 0))), 0)</f>
        <v>0</v>
      </c>
      <c r="U6595" s="22">
        <f t="shared" si="412"/>
        <v>0</v>
      </c>
      <c r="V6595">
        <f t="shared" si="413"/>
        <v>0</v>
      </c>
      <c r="W6595" s="22">
        <f t="shared" si="414"/>
        <v>0</v>
      </c>
    </row>
    <row r="6596" spans="1:23" hidden="1" x14ac:dyDescent="0.25">
      <c r="A6596" s="3">
        <v>46137</v>
      </c>
      <c r="B6596" s="46" t="s">
        <v>334</v>
      </c>
      <c r="C6596" s="4" t="s">
        <v>129</v>
      </c>
      <c r="D6596" s="4"/>
      <c r="E6596" s="4" t="s">
        <v>921</v>
      </c>
      <c r="F6596" s="46" t="s">
        <v>3185</v>
      </c>
      <c r="G6596" s="4" t="s">
        <v>336</v>
      </c>
      <c r="H6596" s="4" t="s">
        <v>380</v>
      </c>
      <c r="I6596" s="4">
        <v>7.1999999999999995E-2</v>
      </c>
      <c r="J6596" s="21">
        <v>400</v>
      </c>
      <c r="K6596" s="21">
        <v>28.799999999999997</v>
      </c>
      <c r="L6596" s="5">
        <v>0</v>
      </c>
      <c r="M6596" s="4"/>
      <c r="N6596" s="4"/>
      <c r="O6596" s="5"/>
      <c r="P6596" s="5"/>
      <c r="Q6596" s="21">
        <v>0</v>
      </c>
      <c r="R6596" s="21">
        <v>0</v>
      </c>
      <c r="S6596" s="5">
        <f t="shared" ref="S6596:S6659" si="415">S6595+Q6596-R6596</f>
        <v>33141.806749698357</v>
      </c>
      <c r="T6596" cm="1">
        <f t="array" ref="T6596">IF(OR(B6596="MAL ALIMI", B6596="ÜRETİM GİRİŞ"), MIN(I6596, MAX(0, I6596 + SUM(SUMIFS($I$1:I6595, $C$1:C6595, C6596, $B$1:B6595, {"MAL ALIMI","ÜRETİM GİRİŞ"})) - VLOOKUP(C6596, 'STOK RAPORU'!$C$2:$I$1000, 4, 0))), 0)</f>
        <v>0</v>
      </c>
      <c r="U6596" s="22">
        <f t="shared" si="412"/>
        <v>0</v>
      </c>
      <c r="V6596">
        <f t="shared" si="413"/>
        <v>0</v>
      </c>
      <c r="W6596" s="22">
        <f t="shared" si="414"/>
        <v>0</v>
      </c>
    </row>
    <row r="6597" spans="1:23" hidden="1" x14ac:dyDescent="0.25">
      <c r="A6597" s="3">
        <v>46137</v>
      </c>
      <c r="B6597" s="46" t="s">
        <v>334</v>
      </c>
      <c r="C6597" s="4" t="s">
        <v>695</v>
      </c>
      <c r="D6597" s="4"/>
      <c r="E6597" s="4"/>
      <c r="F6597" s="46" t="s">
        <v>3187</v>
      </c>
      <c r="G6597" s="4" t="s">
        <v>336</v>
      </c>
      <c r="H6597" s="4" t="s">
        <v>289</v>
      </c>
      <c r="I6597" s="4">
        <v>1</v>
      </c>
      <c r="J6597" s="21">
        <v>120</v>
      </c>
      <c r="K6597" s="21">
        <v>0</v>
      </c>
      <c r="L6597" s="5">
        <v>0</v>
      </c>
      <c r="M6597" s="4"/>
      <c r="N6597" s="4"/>
      <c r="O6597" s="5"/>
      <c r="P6597" s="5"/>
      <c r="Q6597" s="21">
        <v>120</v>
      </c>
      <c r="R6597" s="21">
        <v>0</v>
      </c>
      <c r="S6597" s="5">
        <f t="shared" si="415"/>
        <v>33261.806749698357</v>
      </c>
      <c r="T6597" cm="1">
        <f t="array" ref="T6597">IF(OR(B6597="MAL ALIMI", B6597="ÜRETİM GİRİŞ"), MIN(I6597, MAX(0, I6597 + SUM(SUMIFS($I$1:I6596, $C$1:C6596, C6597, $B$1:B6596, {"MAL ALIMI","ÜRETİM GİRİŞ"})) - VLOOKUP(C6597, 'STOK RAPORU'!$C$2:$I$1000, 4, 0))), 0)</f>
        <v>0</v>
      </c>
      <c r="U6597" s="22">
        <f t="shared" si="412"/>
        <v>0</v>
      </c>
      <c r="V6597">
        <f t="shared" si="413"/>
        <v>0</v>
      </c>
      <c r="W6597" s="22">
        <f t="shared" si="414"/>
        <v>0</v>
      </c>
    </row>
    <row r="6598" spans="1:23" hidden="1" x14ac:dyDescent="0.25">
      <c r="A6598" s="3">
        <v>46137</v>
      </c>
      <c r="B6598" s="46" t="s">
        <v>334</v>
      </c>
      <c r="C6598" s="4" t="s">
        <v>590</v>
      </c>
      <c r="D6598" s="4"/>
      <c r="E6598" s="4"/>
      <c r="F6598" s="46" t="s">
        <v>3187</v>
      </c>
      <c r="G6598" s="4" t="s">
        <v>336</v>
      </c>
      <c r="H6598" s="4" t="s">
        <v>289</v>
      </c>
      <c r="I6598" s="4">
        <v>1</v>
      </c>
      <c r="J6598" s="21">
        <v>80</v>
      </c>
      <c r="K6598" s="21">
        <v>0</v>
      </c>
      <c r="L6598" s="5">
        <v>0</v>
      </c>
      <c r="M6598" s="4"/>
      <c r="N6598" s="4"/>
      <c r="O6598" s="5"/>
      <c r="P6598" s="5"/>
      <c r="Q6598" s="21">
        <v>80</v>
      </c>
      <c r="R6598" s="21">
        <v>0</v>
      </c>
      <c r="S6598" s="5">
        <f t="shared" si="415"/>
        <v>33341.806749698357</v>
      </c>
      <c r="T6598" cm="1">
        <f t="array" ref="T6598">IF(OR(B6598="MAL ALIMI", B6598="ÜRETİM GİRİŞ"), MIN(I6598, MAX(0, I6598 + SUM(SUMIFS($I$1:I6597, $C$1:C6597, C6598, $B$1:B6597, {"MAL ALIMI","ÜRETİM GİRİŞ"})) - VLOOKUP(C6598, 'STOK RAPORU'!$C$2:$I$1000, 4, 0))), 0)</f>
        <v>0</v>
      </c>
      <c r="U6598" s="22">
        <f t="shared" si="412"/>
        <v>0</v>
      </c>
      <c r="V6598">
        <f t="shared" si="413"/>
        <v>0</v>
      </c>
      <c r="W6598" s="22">
        <f t="shared" si="414"/>
        <v>0</v>
      </c>
    </row>
    <row r="6599" spans="1:23" hidden="1" x14ac:dyDescent="0.25">
      <c r="A6599" s="3">
        <v>46137</v>
      </c>
      <c r="B6599" s="46" t="s">
        <v>334</v>
      </c>
      <c r="C6599" s="4" t="s">
        <v>226</v>
      </c>
      <c r="D6599" s="4"/>
      <c r="E6599" s="4"/>
      <c r="F6599" s="46" t="s">
        <v>3187</v>
      </c>
      <c r="G6599" s="4" t="s">
        <v>336</v>
      </c>
      <c r="H6599" s="4" t="s">
        <v>289</v>
      </c>
      <c r="I6599" s="4">
        <v>0.22727272727272727</v>
      </c>
      <c r="J6599" s="21">
        <v>220</v>
      </c>
      <c r="K6599" s="21">
        <v>0</v>
      </c>
      <c r="L6599" s="5">
        <v>0</v>
      </c>
      <c r="M6599" s="4"/>
      <c r="N6599" s="4"/>
      <c r="O6599" s="5"/>
      <c r="P6599" s="5"/>
      <c r="Q6599" s="21">
        <v>50</v>
      </c>
      <c r="R6599" s="21">
        <v>0</v>
      </c>
      <c r="S6599" s="5">
        <f t="shared" si="415"/>
        <v>33391.806749698357</v>
      </c>
      <c r="T6599" cm="1">
        <f t="array" ref="T6599">IF(OR(B6599="MAL ALIMI", B6599="ÜRETİM GİRİŞ"), MIN(I6599, MAX(0, I6599 + SUM(SUMIFS($I$1:I6598, $C$1:C6598, C6599, $B$1:B6598, {"MAL ALIMI","ÜRETİM GİRİŞ"})) - VLOOKUP(C6599, 'STOK RAPORU'!$C$2:$I$1000, 4, 0))), 0)</f>
        <v>0</v>
      </c>
      <c r="U6599" s="22">
        <f t="shared" si="412"/>
        <v>0</v>
      </c>
      <c r="V6599">
        <f t="shared" si="413"/>
        <v>0</v>
      </c>
      <c r="W6599" s="22">
        <f t="shared" si="414"/>
        <v>0</v>
      </c>
    </row>
    <row r="6600" spans="1:23" hidden="1" x14ac:dyDescent="0.25">
      <c r="A6600" s="3">
        <v>46137</v>
      </c>
      <c r="B6600" s="46" t="s">
        <v>334</v>
      </c>
      <c r="C6600" s="4" t="s">
        <v>465</v>
      </c>
      <c r="D6600" s="4"/>
      <c r="E6600" s="4"/>
      <c r="F6600" s="46" t="s">
        <v>3188</v>
      </c>
      <c r="G6600" s="4" t="s">
        <v>336</v>
      </c>
      <c r="H6600" s="4" t="s">
        <v>289</v>
      </c>
      <c r="I6600" s="4">
        <v>1</v>
      </c>
      <c r="J6600" s="21">
        <v>50</v>
      </c>
      <c r="K6600" s="21">
        <v>0</v>
      </c>
      <c r="L6600" s="5">
        <v>0</v>
      </c>
      <c r="M6600" s="4"/>
      <c r="N6600" s="4"/>
      <c r="O6600" s="5"/>
      <c r="P6600" s="5"/>
      <c r="Q6600" s="21">
        <v>50</v>
      </c>
      <c r="R6600" s="21">
        <v>0</v>
      </c>
      <c r="S6600" s="5">
        <f t="shared" si="415"/>
        <v>33441.806749698357</v>
      </c>
      <c r="T6600" cm="1">
        <f t="array" ref="T6600">IF(OR(B6600="MAL ALIMI", B6600="ÜRETİM GİRİŞ"), MIN(I6600, MAX(0, I6600 + SUM(SUMIFS($I$1:I6599, $C$1:C6599, C6600, $B$1:B6599, {"MAL ALIMI","ÜRETİM GİRİŞ"})) - VLOOKUP(C6600, 'STOK RAPORU'!$C$2:$I$1000, 4, 0))), 0)</f>
        <v>0</v>
      </c>
      <c r="U6600" s="22">
        <f t="shared" si="412"/>
        <v>0</v>
      </c>
      <c r="V6600">
        <f t="shared" si="413"/>
        <v>0</v>
      </c>
      <c r="W6600" s="22">
        <f t="shared" si="414"/>
        <v>0</v>
      </c>
    </row>
    <row r="6601" spans="1:23" hidden="1" x14ac:dyDescent="0.25">
      <c r="A6601" s="3">
        <v>46137</v>
      </c>
      <c r="B6601" s="46" t="s">
        <v>334</v>
      </c>
      <c r="C6601" s="4" t="s">
        <v>264</v>
      </c>
      <c r="D6601" s="4"/>
      <c r="E6601" s="4" t="s">
        <v>921</v>
      </c>
      <c r="F6601" s="46" t="s">
        <v>3189</v>
      </c>
      <c r="G6601" s="4" t="s">
        <v>336</v>
      </c>
      <c r="H6601" s="4" t="s">
        <v>380</v>
      </c>
      <c r="I6601" s="4">
        <v>1</v>
      </c>
      <c r="J6601" s="21">
        <v>140</v>
      </c>
      <c r="K6601" s="21">
        <v>140</v>
      </c>
      <c r="L6601" s="5">
        <v>0</v>
      </c>
      <c r="M6601" s="4"/>
      <c r="N6601" s="4"/>
      <c r="O6601" s="5"/>
      <c r="P6601" s="5"/>
      <c r="Q6601" s="21">
        <v>0</v>
      </c>
      <c r="R6601" s="21">
        <v>0</v>
      </c>
      <c r="S6601" s="5">
        <f t="shared" si="415"/>
        <v>33441.806749698357</v>
      </c>
      <c r="T6601" cm="1">
        <f t="array" ref="T6601">IF(OR(B6601="MAL ALIMI", B6601="ÜRETİM GİRİŞ"), MIN(I6601, MAX(0, I6601 + SUM(SUMIFS($I$1:I6600, $C$1:C6600, C6601, $B$1:B6600, {"MAL ALIMI","ÜRETİM GİRİŞ"})) - VLOOKUP(C6601, 'STOK RAPORU'!$C$2:$I$1000, 4, 0))), 0)</f>
        <v>0</v>
      </c>
      <c r="U6601" s="22">
        <f t="shared" si="412"/>
        <v>0</v>
      </c>
      <c r="V6601">
        <f t="shared" si="413"/>
        <v>0</v>
      </c>
      <c r="W6601" s="22">
        <f t="shared" si="414"/>
        <v>0</v>
      </c>
    </row>
    <row r="6602" spans="1:23" hidden="1" x14ac:dyDescent="0.25">
      <c r="A6602" s="3">
        <v>46137</v>
      </c>
      <c r="B6602" s="46" t="s">
        <v>334</v>
      </c>
      <c r="C6602" s="4" t="s">
        <v>240</v>
      </c>
      <c r="D6602" s="4"/>
      <c r="E6602" s="4" t="s">
        <v>921</v>
      </c>
      <c r="F6602" s="46" t="s">
        <v>3189</v>
      </c>
      <c r="G6602" s="4" t="s">
        <v>336</v>
      </c>
      <c r="H6602" s="4" t="s">
        <v>380</v>
      </c>
      <c r="I6602" s="4">
        <v>3.7499999999999999E-2</v>
      </c>
      <c r="J6602" s="21">
        <v>240</v>
      </c>
      <c r="K6602" s="21">
        <v>9</v>
      </c>
      <c r="L6602" s="5">
        <v>0</v>
      </c>
      <c r="M6602" s="4"/>
      <c r="N6602" s="4"/>
      <c r="O6602" s="5"/>
      <c r="P6602" s="5"/>
      <c r="Q6602" s="21">
        <v>0</v>
      </c>
      <c r="R6602" s="21">
        <v>0</v>
      </c>
      <c r="S6602" s="5">
        <f t="shared" si="415"/>
        <v>33441.806749698357</v>
      </c>
      <c r="T6602" cm="1">
        <f t="array" ref="T6602">IF(OR(B6602="MAL ALIMI", B6602="ÜRETİM GİRİŞ"), MIN(I6602, MAX(0, I6602 + SUM(SUMIFS($I$1:I6601, $C$1:C6601, C6602, $B$1:B6601, {"MAL ALIMI","ÜRETİM GİRİŞ"})) - VLOOKUP(C6602, 'STOK RAPORU'!$C$2:$I$1000, 4, 0))), 0)</f>
        <v>0</v>
      </c>
      <c r="U6602" s="22">
        <f t="shared" si="412"/>
        <v>0</v>
      </c>
      <c r="V6602">
        <f t="shared" si="413"/>
        <v>0</v>
      </c>
      <c r="W6602" s="22">
        <f t="shared" si="414"/>
        <v>0</v>
      </c>
    </row>
    <row r="6603" spans="1:23" hidden="1" x14ac:dyDescent="0.25">
      <c r="A6603" s="3">
        <v>46137</v>
      </c>
      <c r="B6603" s="46" t="s">
        <v>334</v>
      </c>
      <c r="C6603" s="4" t="s">
        <v>1634</v>
      </c>
      <c r="D6603" s="4"/>
      <c r="E6603" s="4" t="s">
        <v>921</v>
      </c>
      <c r="F6603" s="46" t="s">
        <v>3190</v>
      </c>
      <c r="G6603" s="4" t="s">
        <v>336</v>
      </c>
      <c r="H6603" s="4" t="s">
        <v>380</v>
      </c>
      <c r="I6603" s="4">
        <v>0.65428571428571425</v>
      </c>
      <c r="J6603" s="21">
        <v>350</v>
      </c>
      <c r="K6603" s="21">
        <v>229</v>
      </c>
      <c r="L6603" s="5">
        <v>0</v>
      </c>
      <c r="M6603" s="4"/>
      <c r="N6603" s="4"/>
      <c r="O6603" s="5"/>
      <c r="P6603" s="5"/>
      <c r="Q6603" s="21">
        <v>0</v>
      </c>
      <c r="R6603" s="21">
        <v>0</v>
      </c>
      <c r="S6603" s="5">
        <f t="shared" si="415"/>
        <v>33441.806749698357</v>
      </c>
      <c r="T6603" cm="1">
        <f t="array" ref="T6603">IF(OR(B6603="MAL ALIMI", B6603="ÜRETİM GİRİŞ"), MIN(I6603, MAX(0, I6603 + SUM(SUMIFS($I$1:I6602, $C$1:C6602, C6603, $B$1:B6602, {"MAL ALIMI","ÜRETİM GİRİŞ"})) - VLOOKUP(C6603, 'STOK RAPORU'!$C$2:$I$1000, 4, 0))), 0)</f>
        <v>0</v>
      </c>
      <c r="U6603" s="22">
        <f t="shared" si="412"/>
        <v>0</v>
      </c>
      <c r="V6603">
        <f t="shared" si="413"/>
        <v>0</v>
      </c>
      <c r="W6603" s="22">
        <f t="shared" si="414"/>
        <v>0</v>
      </c>
    </row>
    <row r="6604" spans="1:23" hidden="1" x14ac:dyDescent="0.25">
      <c r="A6604" s="3">
        <v>46137</v>
      </c>
      <c r="B6604" s="46" t="s">
        <v>334</v>
      </c>
      <c r="C6604" s="4" t="s">
        <v>160</v>
      </c>
      <c r="D6604" s="4"/>
      <c r="E6604" s="4" t="s">
        <v>921</v>
      </c>
      <c r="F6604" s="46" t="s">
        <v>3191</v>
      </c>
      <c r="G6604" s="4" t="s">
        <v>336</v>
      </c>
      <c r="H6604" s="4" t="s">
        <v>380</v>
      </c>
      <c r="I6604" s="4">
        <v>1</v>
      </c>
      <c r="J6604" s="21">
        <v>250</v>
      </c>
      <c r="K6604" s="21">
        <v>250</v>
      </c>
      <c r="L6604" s="5">
        <v>0</v>
      </c>
      <c r="M6604" s="4"/>
      <c r="N6604" s="4"/>
      <c r="O6604" s="5"/>
      <c r="P6604" s="5"/>
      <c r="Q6604" s="21">
        <v>0</v>
      </c>
      <c r="R6604" s="21">
        <v>0</v>
      </c>
      <c r="S6604" s="5">
        <f t="shared" si="415"/>
        <v>33441.806749698357</v>
      </c>
      <c r="T6604" cm="1">
        <f t="array" ref="T6604">IF(OR(B6604="MAL ALIMI", B6604="ÜRETİM GİRİŞ"), MIN(I6604, MAX(0, I6604 + SUM(SUMIFS($I$1:I6603, $C$1:C6603, C6604, $B$1:B6603, {"MAL ALIMI","ÜRETİM GİRİŞ"})) - VLOOKUP(C6604, 'STOK RAPORU'!$C$2:$I$1000, 4, 0))), 0)</f>
        <v>0</v>
      </c>
      <c r="U6604" s="22">
        <f t="shared" si="412"/>
        <v>0</v>
      </c>
      <c r="V6604">
        <f t="shared" si="413"/>
        <v>0</v>
      </c>
      <c r="W6604" s="22">
        <f t="shared" si="414"/>
        <v>0</v>
      </c>
    </row>
    <row r="6605" spans="1:23" hidden="1" x14ac:dyDescent="0.25">
      <c r="A6605" s="3">
        <v>46137</v>
      </c>
      <c r="B6605" s="46" t="s">
        <v>334</v>
      </c>
      <c r="C6605" s="4" t="s">
        <v>161</v>
      </c>
      <c r="D6605" s="4"/>
      <c r="E6605" s="4" t="s">
        <v>921</v>
      </c>
      <c r="F6605" s="46" t="s">
        <v>3191</v>
      </c>
      <c r="G6605" s="4" t="s">
        <v>336</v>
      </c>
      <c r="H6605" s="4" t="s">
        <v>380</v>
      </c>
      <c r="I6605" s="4">
        <v>1</v>
      </c>
      <c r="J6605" s="21">
        <v>250</v>
      </c>
      <c r="K6605" s="21">
        <v>250</v>
      </c>
      <c r="L6605" s="5">
        <v>0</v>
      </c>
      <c r="M6605" s="4"/>
      <c r="N6605" s="4"/>
      <c r="O6605" s="5"/>
      <c r="P6605" s="5"/>
      <c r="Q6605" s="21">
        <v>0</v>
      </c>
      <c r="R6605" s="21">
        <v>0</v>
      </c>
      <c r="S6605" s="5">
        <f t="shared" si="415"/>
        <v>33441.806749698357</v>
      </c>
      <c r="T6605" cm="1">
        <f t="array" ref="T6605">IF(OR(B6605="MAL ALIMI", B6605="ÜRETİM GİRİŞ"), MIN(I6605, MAX(0, I6605 + SUM(SUMIFS($I$1:I6604, $C$1:C6604, C6605, $B$1:B6604, {"MAL ALIMI","ÜRETİM GİRİŞ"})) - VLOOKUP(C6605, 'STOK RAPORU'!$C$2:$I$1000, 4, 0))), 0)</f>
        <v>0</v>
      </c>
      <c r="U6605" s="22">
        <f t="shared" si="412"/>
        <v>0</v>
      </c>
      <c r="V6605">
        <f t="shared" si="413"/>
        <v>0</v>
      </c>
      <c r="W6605" s="22">
        <f t="shared" si="414"/>
        <v>0</v>
      </c>
    </row>
    <row r="6606" spans="1:23" hidden="1" x14ac:dyDescent="0.25">
      <c r="A6606" s="3">
        <v>46137</v>
      </c>
      <c r="B6606" s="46" t="s">
        <v>334</v>
      </c>
      <c r="C6606" s="4" t="s">
        <v>459</v>
      </c>
      <c r="D6606" s="4"/>
      <c r="E6606" s="4"/>
      <c r="F6606" s="46" t="s">
        <v>3192</v>
      </c>
      <c r="G6606" s="4" t="s">
        <v>336</v>
      </c>
      <c r="H6606" s="4" t="s">
        <v>289</v>
      </c>
      <c r="I6606" s="4">
        <v>0.14399999999999999</v>
      </c>
      <c r="J6606" s="21">
        <v>140</v>
      </c>
      <c r="K6606" s="21">
        <v>0</v>
      </c>
      <c r="L6606" s="5">
        <v>0</v>
      </c>
      <c r="M6606" s="4"/>
      <c r="N6606" s="4"/>
      <c r="O6606" s="5"/>
      <c r="P6606" s="5"/>
      <c r="Q6606" s="21">
        <v>20.16</v>
      </c>
      <c r="R6606" s="21">
        <v>0</v>
      </c>
      <c r="S6606" s="5">
        <f t="shared" si="415"/>
        <v>33461.96674969836</v>
      </c>
      <c r="T6606" cm="1">
        <f t="array" ref="T6606">IF(OR(B6606="MAL ALIMI", B6606="ÜRETİM GİRİŞ"), MIN(I6606, MAX(0, I6606 + SUM(SUMIFS($I$1:I6605, $C$1:C6605, C6606, $B$1:B6605, {"MAL ALIMI","ÜRETİM GİRİŞ"})) - VLOOKUP(C6606, 'STOK RAPORU'!$C$2:$I$1000, 4, 0))), 0)</f>
        <v>0</v>
      </c>
      <c r="U6606" s="22">
        <f t="shared" si="412"/>
        <v>0</v>
      </c>
      <c r="V6606">
        <f t="shared" si="413"/>
        <v>0</v>
      </c>
      <c r="W6606" s="22">
        <f t="shared" si="414"/>
        <v>0</v>
      </c>
    </row>
    <row r="6607" spans="1:23" hidden="1" x14ac:dyDescent="0.25">
      <c r="A6607" s="3">
        <v>46137</v>
      </c>
      <c r="B6607" s="46" t="s">
        <v>334</v>
      </c>
      <c r="C6607" s="4" t="s">
        <v>132</v>
      </c>
      <c r="D6607" s="4"/>
      <c r="E6607" s="4" t="s">
        <v>921</v>
      </c>
      <c r="F6607" s="46" t="s">
        <v>3193</v>
      </c>
      <c r="G6607" s="4" t="s">
        <v>336</v>
      </c>
      <c r="H6607" s="4" t="s">
        <v>380</v>
      </c>
      <c r="I6607" s="4">
        <v>0.2</v>
      </c>
      <c r="J6607" s="21">
        <v>500</v>
      </c>
      <c r="K6607" s="21">
        <v>100</v>
      </c>
      <c r="L6607" s="5">
        <v>0</v>
      </c>
      <c r="M6607" s="4"/>
      <c r="N6607" s="4"/>
      <c r="O6607" s="5"/>
      <c r="P6607" s="5"/>
      <c r="Q6607" s="21">
        <v>0</v>
      </c>
      <c r="R6607" s="21">
        <v>0</v>
      </c>
      <c r="S6607" s="5">
        <f t="shared" si="415"/>
        <v>33461.96674969836</v>
      </c>
      <c r="T6607" cm="1">
        <f t="array" ref="T6607">IF(OR(B6607="MAL ALIMI", B6607="ÜRETİM GİRİŞ"), MIN(I6607, MAX(0, I6607 + SUM(SUMIFS($I$1:I6606, $C$1:C6606, C6607, $B$1:B6606, {"MAL ALIMI","ÜRETİM GİRİŞ"})) - VLOOKUP(C6607, 'STOK RAPORU'!$C$2:$I$1000, 4, 0))), 0)</f>
        <v>0</v>
      </c>
      <c r="U6607" s="22">
        <f t="shared" si="412"/>
        <v>0</v>
      </c>
      <c r="V6607">
        <f t="shared" si="413"/>
        <v>0</v>
      </c>
      <c r="W6607" s="22">
        <f t="shared" si="414"/>
        <v>0</v>
      </c>
    </row>
    <row r="6608" spans="1:23" hidden="1" x14ac:dyDescent="0.25">
      <c r="A6608" s="3">
        <v>46137</v>
      </c>
      <c r="B6608" s="46" t="s">
        <v>334</v>
      </c>
      <c r="C6608" s="4" t="s">
        <v>126</v>
      </c>
      <c r="D6608" s="4"/>
      <c r="E6608" s="4" t="s">
        <v>921</v>
      </c>
      <c r="F6608" s="46" t="s">
        <v>3193</v>
      </c>
      <c r="G6608" s="4" t="s">
        <v>336</v>
      </c>
      <c r="H6608" s="4" t="s">
        <v>380</v>
      </c>
      <c r="I6608" s="4">
        <v>0.15384615384615385</v>
      </c>
      <c r="J6608" s="21">
        <v>650</v>
      </c>
      <c r="K6608" s="21">
        <v>100</v>
      </c>
      <c r="L6608" s="5">
        <v>0</v>
      </c>
      <c r="M6608" s="4"/>
      <c r="N6608" s="4"/>
      <c r="O6608" s="5"/>
      <c r="P6608" s="5"/>
      <c r="Q6608" s="21">
        <v>0</v>
      </c>
      <c r="R6608" s="21">
        <v>0</v>
      </c>
      <c r="S6608" s="5">
        <f t="shared" si="415"/>
        <v>33461.96674969836</v>
      </c>
      <c r="T6608" cm="1">
        <f t="array" ref="T6608">IF(OR(B6608="MAL ALIMI", B6608="ÜRETİM GİRİŞ"), MIN(I6608, MAX(0, I6608 + SUM(SUMIFS($I$1:I6607, $C$1:C6607, C6608, $B$1:B6607, {"MAL ALIMI","ÜRETİM GİRİŞ"})) - VLOOKUP(C6608, 'STOK RAPORU'!$C$2:$I$1000, 4, 0))), 0)</f>
        <v>0</v>
      </c>
      <c r="U6608" s="22">
        <f t="shared" si="412"/>
        <v>0</v>
      </c>
      <c r="V6608">
        <f t="shared" si="413"/>
        <v>0</v>
      </c>
      <c r="W6608" s="22">
        <f t="shared" si="414"/>
        <v>0</v>
      </c>
    </row>
    <row r="6609" spans="1:23" hidden="1" x14ac:dyDescent="0.25">
      <c r="A6609" s="3">
        <v>46137</v>
      </c>
      <c r="B6609" s="46" t="s">
        <v>334</v>
      </c>
      <c r="C6609" s="4" t="s">
        <v>131</v>
      </c>
      <c r="D6609" s="4"/>
      <c r="E6609" s="4" t="s">
        <v>921</v>
      </c>
      <c r="F6609" s="46" t="s">
        <v>3193</v>
      </c>
      <c r="G6609" s="4" t="s">
        <v>336</v>
      </c>
      <c r="H6609" s="4" t="s">
        <v>380</v>
      </c>
      <c r="I6609" s="4">
        <v>0.15</v>
      </c>
      <c r="J6609" s="21">
        <v>400</v>
      </c>
      <c r="K6609" s="21">
        <v>60</v>
      </c>
      <c r="L6609" s="5">
        <v>0</v>
      </c>
      <c r="M6609" s="4"/>
      <c r="N6609" s="4"/>
      <c r="O6609" s="5"/>
      <c r="P6609" s="5"/>
      <c r="Q6609" s="21">
        <v>0</v>
      </c>
      <c r="R6609" s="21">
        <v>0</v>
      </c>
      <c r="S6609" s="5">
        <f t="shared" si="415"/>
        <v>33461.96674969836</v>
      </c>
      <c r="T6609" cm="1">
        <f t="array" ref="T6609">IF(OR(B6609="MAL ALIMI", B6609="ÜRETİM GİRİŞ"), MIN(I6609, MAX(0, I6609 + SUM(SUMIFS($I$1:I6608, $C$1:C6608, C6609, $B$1:B6608, {"MAL ALIMI","ÜRETİM GİRİŞ"})) - VLOOKUP(C6609, 'STOK RAPORU'!$C$2:$I$1000, 4, 0))), 0)</f>
        <v>0</v>
      </c>
      <c r="U6609" s="22">
        <f t="shared" si="412"/>
        <v>0</v>
      </c>
      <c r="V6609">
        <f t="shared" si="413"/>
        <v>0</v>
      </c>
      <c r="W6609" s="22">
        <f t="shared" si="414"/>
        <v>0</v>
      </c>
    </row>
    <row r="6610" spans="1:23" hidden="1" x14ac:dyDescent="0.25">
      <c r="A6610" s="3">
        <v>46137</v>
      </c>
      <c r="B6610" s="46" t="s">
        <v>334</v>
      </c>
      <c r="C6610" s="4" t="s">
        <v>140</v>
      </c>
      <c r="D6610" s="4"/>
      <c r="E6610" s="4" t="s">
        <v>921</v>
      </c>
      <c r="F6610" s="46" t="s">
        <v>3194</v>
      </c>
      <c r="G6610" s="4" t="s">
        <v>336</v>
      </c>
      <c r="H6610" s="4" t="s">
        <v>380</v>
      </c>
      <c r="I6610" s="4">
        <v>0.21333333333333335</v>
      </c>
      <c r="J6610" s="21">
        <v>300</v>
      </c>
      <c r="K6610" s="21">
        <v>64</v>
      </c>
      <c r="L6610" s="5">
        <v>0</v>
      </c>
      <c r="M6610" s="4"/>
      <c r="N6610" s="4"/>
      <c r="O6610" s="5"/>
      <c r="P6610" s="5"/>
      <c r="Q6610" s="21">
        <v>0</v>
      </c>
      <c r="R6610" s="21">
        <v>0</v>
      </c>
      <c r="S6610" s="5">
        <f t="shared" si="415"/>
        <v>33461.96674969836</v>
      </c>
      <c r="T6610" cm="1">
        <f t="array" ref="T6610">IF(OR(B6610="MAL ALIMI", B6610="ÜRETİM GİRİŞ"), MIN(I6610, MAX(0, I6610 + SUM(SUMIFS($I$1:I6609, $C$1:C6609, C6610, $B$1:B6609, {"MAL ALIMI","ÜRETİM GİRİŞ"})) - VLOOKUP(C6610, 'STOK RAPORU'!$C$2:$I$1000, 4, 0))), 0)</f>
        <v>0</v>
      </c>
      <c r="U6610" s="22">
        <f t="shared" si="412"/>
        <v>0</v>
      </c>
      <c r="V6610">
        <f t="shared" si="413"/>
        <v>0</v>
      </c>
      <c r="W6610" s="22">
        <f t="shared" si="414"/>
        <v>0</v>
      </c>
    </row>
    <row r="6611" spans="1:23" hidden="1" x14ac:dyDescent="0.25">
      <c r="A6611" s="3">
        <v>46137</v>
      </c>
      <c r="B6611" s="46" t="s">
        <v>334</v>
      </c>
      <c r="C6611" s="4" t="s">
        <v>98</v>
      </c>
      <c r="D6611" s="4"/>
      <c r="E6611" s="4" t="s">
        <v>921</v>
      </c>
      <c r="F6611" s="46" t="s">
        <v>3194</v>
      </c>
      <c r="G6611" s="4" t="s">
        <v>336</v>
      </c>
      <c r="H6611" s="4" t="s">
        <v>380</v>
      </c>
      <c r="I6611" s="4">
        <v>0.17499999999999999</v>
      </c>
      <c r="J6611" s="21">
        <v>400</v>
      </c>
      <c r="K6611" s="21">
        <v>70</v>
      </c>
      <c r="L6611" s="5">
        <v>0</v>
      </c>
      <c r="M6611" s="4"/>
      <c r="N6611" s="4"/>
      <c r="O6611" s="5"/>
      <c r="P6611" s="5"/>
      <c r="Q6611" s="21">
        <v>0</v>
      </c>
      <c r="R6611" s="21">
        <v>0</v>
      </c>
      <c r="S6611" s="5">
        <f t="shared" si="415"/>
        <v>33461.96674969836</v>
      </c>
      <c r="T6611" cm="1">
        <f t="array" ref="T6611">IF(OR(B6611="MAL ALIMI", B6611="ÜRETİM GİRİŞ"), MIN(I6611, MAX(0, I6611 + SUM(SUMIFS($I$1:I6610, $C$1:C6610, C6611, $B$1:B6610, {"MAL ALIMI","ÜRETİM GİRİŞ"})) - VLOOKUP(C6611, 'STOK RAPORU'!$C$2:$I$1000, 4, 0))), 0)</f>
        <v>0</v>
      </c>
      <c r="U6611" s="22">
        <f t="shared" si="412"/>
        <v>0</v>
      </c>
      <c r="V6611">
        <f t="shared" si="413"/>
        <v>0</v>
      </c>
      <c r="W6611" s="22">
        <f t="shared" si="414"/>
        <v>0</v>
      </c>
    </row>
    <row r="6612" spans="1:23" hidden="1" x14ac:dyDescent="0.25">
      <c r="A6612" s="3">
        <v>46137</v>
      </c>
      <c r="B6612" s="46" t="s">
        <v>334</v>
      </c>
      <c r="C6612" s="4" t="s">
        <v>266</v>
      </c>
      <c r="D6612" s="4"/>
      <c r="E6612" s="4" t="s">
        <v>921</v>
      </c>
      <c r="F6612" s="46" t="s">
        <v>3194</v>
      </c>
      <c r="G6612" s="4" t="s">
        <v>336</v>
      </c>
      <c r="H6612" s="4" t="s">
        <v>380</v>
      </c>
      <c r="I6612" s="4">
        <v>0.56799999999999995</v>
      </c>
      <c r="J6612" s="21">
        <v>250</v>
      </c>
      <c r="K6612" s="21">
        <v>142</v>
      </c>
      <c r="L6612" s="5">
        <v>0</v>
      </c>
      <c r="M6612" s="4"/>
      <c r="N6612" s="4"/>
      <c r="O6612" s="5"/>
      <c r="P6612" s="5"/>
      <c r="Q6612" s="21">
        <v>0</v>
      </c>
      <c r="R6612" s="21">
        <v>0</v>
      </c>
      <c r="S6612" s="5">
        <f t="shared" si="415"/>
        <v>33461.96674969836</v>
      </c>
      <c r="T6612" cm="1">
        <f t="array" ref="T6612">IF(OR(B6612="MAL ALIMI", B6612="ÜRETİM GİRİŞ"), MIN(I6612, MAX(0, I6612 + SUM(SUMIFS($I$1:I6611, $C$1:C6611, C6612, $B$1:B6611, {"MAL ALIMI","ÜRETİM GİRİŞ"})) - VLOOKUP(C6612, 'STOK RAPORU'!$C$2:$I$1000, 4, 0))), 0)</f>
        <v>0</v>
      </c>
      <c r="U6612" s="22">
        <f t="shared" si="412"/>
        <v>0</v>
      </c>
      <c r="V6612">
        <f t="shared" si="413"/>
        <v>0</v>
      </c>
      <c r="W6612" s="22">
        <f t="shared" si="414"/>
        <v>0</v>
      </c>
    </row>
    <row r="6613" spans="1:23" hidden="1" x14ac:dyDescent="0.25">
      <c r="A6613" s="3">
        <v>46137</v>
      </c>
      <c r="B6613" s="46" t="s">
        <v>334</v>
      </c>
      <c r="C6613" s="4" t="s">
        <v>160</v>
      </c>
      <c r="D6613" s="4"/>
      <c r="E6613" s="4"/>
      <c r="F6613" s="46" t="s">
        <v>3195</v>
      </c>
      <c r="G6613" s="4" t="s">
        <v>336</v>
      </c>
      <c r="H6613" s="4" t="s">
        <v>289</v>
      </c>
      <c r="I6613" s="4">
        <v>1</v>
      </c>
      <c r="J6613" s="21">
        <v>250</v>
      </c>
      <c r="K6613" s="21">
        <v>0</v>
      </c>
      <c r="L6613" s="5">
        <v>0</v>
      </c>
      <c r="M6613" s="4"/>
      <c r="N6613" s="4"/>
      <c r="O6613" s="5"/>
      <c r="P6613" s="5"/>
      <c r="Q6613" s="21">
        <v>250</v>
      </c>
      <c r="R6613" s="21">
        <v>0</v>
      </c>
      <c r="S6613" s="5">
        <f t="shared" si="415"/>
        <v>33711.96674969836</v>
      </c>
      <c r="T6613" cm="1">
        <f t="array" ref="T6613">IF(OR(B6613="MAL ALIMI", B6613="ÜRETİM GİRİŞ"), MIN(I6613, MAX(0, I6613 + SUM(SUMIFS($I$1:I6612, $C$1:C6612, C6613, $B$1:B6612, {"MAL ALIMI","ÜRETİM GİRİŞ"})) - VLOOKUP(C6613, 'STOK RAPORU'!$C$2:$I$1000, 4, 0))), 0)</f>
        <v>0</v>
      </c>
      <c r="U6613" s="22">
        <f t="shared" si="412"/>
        <v>0</v>
      </c>
      <c r="V6613">
        <f t="shared" si="413"/>
        <v>0</v>
      </c>
      <c r="W6613" s="22">
        <f t="shared" si="414"/>
        <v>0</v>
      </c>
    </row>
    <row r="6614" spans="1:23" hidden="1" x14ac:dyDescent="0.25">
      <c r="A6614" s="3">
        <v>46137</v>
      </c>
      <c r="B6614" s="46" t="s">
        <v>334</v>
      </c>
      <c r="C6614" s="4" t="s">
        <v>168</v>
      </c>
      <c r="D6614" s="4"/>
      <c r="E6614" s="4"/>
      <c r="F6614" s="46" t="s">
        <v>3196</v>
      </c>
      <c r="G6614" s="4" t="s">
        <v>336</v>
      </c>
      <c r="H6614" s="4" t="s">
        <v>289</v>
      </c>
      <c r="I6614" s="4">
        <v>1.2</v>
      </c>
      <c r="J6614" s="21">
        <v>167</v>
      </c>
      <c r="K6614" s="21">
        <v>0</v>
      </c>
      <c r="L6614" s="5">
        <v>0</v>
      </c>
      <c r="M6614" s="4"/>
      <c r="N6614" s="4"/>
      <c r="O6614" s="5"/>
      <c r="P6614" s="5"/>
      <c r="Q6614" s="21">
        <v>200.4</v>
      </c>
      <c r="R6614" s="21">
        <v>0</v>
      </c>
      <c r="S6614" s="5">
        <f t="shared" si="415"/>
        <v>33912.366749698362</v>
      </c>
      <c r="T6614" cm="1">
        <f t="array" ref="T6614">IF(OR(B6614="MAL ALIMI", B6614="ÜRETİM GİRİŞ"), MIN(I6614, MAX(0, I6614 + SUM(SUMIFS($I$1:I6613, $C$1:C6613, C6614, $B$1:B6613, {"MAL ALIMI","ÜRETİM GİRİŞ"})) - VLOOKUP(C6614, 'STOK RAPORU'!$C$2:$I$1000, 4, 0))), 0)</f>
        <v>0</v>
      </c>
      <c r="U6614" s="22">
        <f t="shared" si="412"/>
        <v>0</v>
      </c>
      <c r="V6614">
        <f t="shared" si="413"/>
        <v>0</v>
      </c>
      <c r="W6614" s="22">
        <f t="shared" si="414"/>
        <v>0</v>
      </c>
    </row>
    <row r="6615" spans="1:23" hidden="1" x14ac:dyDescent="0.25">
      <c r="A6615" s="3">
        <v>46138</v>
      </c>
      <c r="B6615" s="46" t="s">
        <v>946</v>
      </c>
      <c r="C6615" s="4"/>
      <c r="D6615" s="4"/>
      <c r="E6615" s="4" t="s">
        <v>921</v>
      </c>
      <c r="F6615" s="4"/>
      <c r="G6615" s="4" t="s">
        <v>3267</v>
      </c>
      <c r="H6615" s="4" t="s">
        <v>380</v>
      </c>
      <c r="I6615" s="4">
        <v>1</v>
      </c>
      <c r="J6615" s="105">
        <v>791</v>
      </c>
      <c r="K6615" s="21">
        <v>0</v>
      </c>
      <c r="L6615" s="32">
        <v>791</v>
      </c>
      <c r="M6615" s="4"/>
      <c r="N6615" s="4"/>
      <c r="O6615" s="5"/>
      <c r="P6615" s="5"/>
      <c r="Q6615" s="21">
        <v>791</v>
      </c>
      <c r="R6615" s="21">
        <v>0</v>
      </c>
      <c r="S6615" s="5">
        <f t="shared" si="415"/>
        <v>34703.366749698362</v>
      </c>
      <c r="T6615" cm="1">
        <f t="array" ref="T6615">IF(OR(B6615="MAL ALIMI", B6615="ÜRETİM GİRİŞ"), MIN(I6615, MAX(0, I6615 + SUM(SUMIFS($I$1:I6614, $C$1:C6614, C6615, $B$1:B6614, {"MAL ALIMI","ÜRETİM GİRİŞ"})) - VLOOKUP(C6615, 'STOK RAPORU'!$C$2:$I$1000, 4, 0))), 0)</f>
        <v>0</v>
      </c>
      <c r="U6615" s="22">
        <f t="shared" si="412"/>
        <v>0</v>
      </c>
      <c r="V6615">
        <f t="shared" si="413"/>
        <v>0</v>
      </c>
      <c r="W6615" s="22">
        <f t="shared" si="414"/>
        <v>0</v>
      </c>
    </row>
    <row r="6616" spans="1:23" hidden="1" x14ac:dyDescent="0.25">
      <c r="A6616" s="3">
        <v>46138</v>
      </c>
      <c r="B6616" s="4" t="s">
        <v>285</v>
      </c>
      <c r="C6616" s="4"/>
      <c r="D6616" s="4" t="s">
        <v>673</v>
      </c>
      <c r="E6616" s="4"/>
      <c r="F6616" s="4"/>
      <c r="G6616" s="4" t="s">
        <v>2639</v>
      </c>
      <c r="H6616" s="4" t="s">
        <v>289</v>
      </c>
      <c r="I6616" s="4">
        <v>1</v>
      </c>
      <c r="J6616" s="21">
        <v>791</v>
      </c>
      <c r="K6616" s="21">
        <v>0</v>
      </c>
      <c r="L6616" s="5">
        <v>0</v>
      </c>
      <c r="M6616" s="4"/>
      <c r="N6616" s="4"/>
      <c r="O6616" s="5"/>
      <c r="P6616" s="5"/>
      <c r="Q6616" s="21">
        <v>0</v>
      </c>
      <c r="R6616" s="21">
        <v>791</v>
      </c>
      <c r="S6616" s="5">
        <f t="shared" si="415"/>
        <v>33912.366749698362</v>
      </c>
      <c r="T6616" cm="1">
        <f t="array" ref="T6616">IF(OR(B6616="MAL ALIMI", B6616="ÜRETİM GİRİŞ"), MIN(I6616, MAX(0, I6616 + SUM(SUMIFS($I$1:I6615, $C$1:C6615, C6616, $B$1:B6615, {"MAL ALIMI","ÜRETİM GİRİŞ"})) - VLOOKUP(C6616, 'STOK RAPORU'!$C$2:$I$1000, 4, 0))), 0)</f>
        <v>0</v>
      </c>
      <c r="U6616" s="22">
        <f t="shared" si="412"/>
        <v>0</v>
      </c>
      <c r="V6616">
        <f t="shared" si="413"/>
        <v>0</v>
      </c>
      <c r="W6616" s="22">
        <f t="shared" si="414"/>
        <v>0</v>
      </c>
    </row>
    <row r="6617" spans="1:23" hidden="1" x14ac:dyDescent="0.25">
      <c r="A6617" s="3">
        <v>46139</v>
      </c>
      <c r="B6617" s="46" t="s">
        <v>334</v>
      </c>
      <c r="C6617" s="4" t="s">
        <v>1501</v>
      </c>
      <c r="D6617" s="4"/>
      <c r="E6617" s="4"/>
      <c r="F6617" s="46" t="s">
        <v>3197</v>
      </c>
      <c r="G6617" s="4" t="s">
        <v>336</v>
      </c>
      <c r="H6617" s="4" t="s">
        <v>289</v>
      </c>
      <c r="I6617" s="4">
        <v>1</v>
      </c>
      <c r="J6617" s="21">
        <v>700</v>
      </c>
      <c r="K6617" s="21">
        <v>0</v>
      </c>
      <c r="L6617" s="5">
        <v>0</v>
      </c>
      <c r="M6617" s="4"/>
      <c r="N6617" s="4"/>
      <c r="O6617" s="5"/>
      <c r="P6617" s="5"/>
      <c r="Q6617" s="21">
        <v>700</v>
      </c>
      <c r="R6617" s="21">
        <v>0</v>
      </c>
      <c r="S6617" s="5">
        <f t="shared" si="415"/>
        <v>34612.366749698362</v>
      </c>
      <c r="T6617" cm="1">
        <f t="array" ref="T6617">IF(OR(B6617="MAL ALIMI", B6617="ÜRETİM GİRİŞ"), MIN(I6617, MAX(0, I6617 + SUM(SUMIFS($I$1:I6616, $C$1:C6616, C6617, $B$1:B6616, {"MAL ALIMI","ÜRETİM GİRİŞ"})) - VLOOKUP(C6617, 'STOK RAPORU'!$C$2:$I$1000, 4, 0))), 0)</f>
        <v>0</v>
      </c>
      <c r="U6617" s="22">
        <f t="shared" si="412"/>
        <v>0</v>
      </c>
      <c r="V6617">
        <f t="shared" si="413"/>
        <v>0</v>
      </c>
      <c r="W6617" s="22">
        <f t="shared" si="414"/>
        <v>0</v>
      </c>
    </row>
    <row r="6618" spans="1:23" hidden="1" x14ac:dyDescent="0.25">
      <c r="A6618" s="3">
        <v>46139</v>
      </c>
      <c r="B6618" s="46" t="s">
        <v>334</v>
      </c>
      <c r="C6618" s="4" t="s">
        <v>89</v>
      </c>
      <c r="D6618" s="4"/>
      <c r="E6618" s="4" t="s">
        <v>921</v>
      </c>
      <c r="F6618" s="46" t="s">
        <v>3198</v>
      </c>
      <c r="G6618" s="4" t="s">
        <v>336</v>
      </c>
      <c r="H6618" s="4" t="s">
        <v>380</v>
      </c>
      <c r="I6618" s="4">
        <v>1.458</v>
      </c>
      <c r="J6618" s="21">
        <v>600</v>
      </c>
      <c r="K6618" s="21">
        <v>874.8</v>
      </c>
      <c r="L6618" s="5">
        <v>0</v>
      </c>
      <c r="M6618" s="4"/>
      <c r="N6618" s="4"/>
      <c r="O6618" s="5"/>
      <c r="P6618" s="5"/>
      <c r="Q6618" s="21">
        <v>0</v>
      </c>
      <c r="R6618" s="21">
        <v>0</v>
      </c>
      <c r="S6618" s="5">
        <f t="shared" si="415"/>
        <v>34612.366749698362</v>
      </c>
      <c r="T6618" cm="1">
        <f t="array" ref="T6618">IF(OR(B6618="MAL ALIMI", B6618="ÜRETİM GİRİŞ"), MIN(I6618, MAX(0, I6618 + SUM(SUMIFS($I$1:I6617, $C$1:C6617, C6618, $B$1:B6617, {"MAL ALIMI","ÜRETİM GİRİŞ"})) - VLOOKUP(C6618, 'STOK RAPORU'!$C$2:$I$1000, 4, 0))), 0)</f>
        <v>0</v>
      </c>
      <c r="U6618" s="22">
        <f t="shared" si="412"/>
        <v>0</v>
      </c>
      <c r="V6618">
        <f t="shared" si="413"/>
        <v>0</v>
      </c>
      <c r="W6618" s="22">
        <f t="shared" si="414"/>
        <v>0</v>
      </c>
    </row>
    <row r="6619" spans="1:23" hidden="1" x14ac:dyDescent="0.25">
      <c r="A6619" s="3">
        <v>46139</v>
      </c>
      <c r="B6619" s="46" t="s">
        <v>334</v>
      </c>
      <c r="C6619" s="4" t="s">
        <v>126</v>
      </c>
      <c r="D6619" s="4"/>
      <c r="E6619" s="4"/>
      <c r="F6619" s="46" t="s">
        <v>3199</v>
      </c>
      <c r="G6619" s="4" t="s">
        <v>3654</v>
      </c>
      <c r="H6619" s="4" t="s">
        <v>289</v>
      </c>
      <c r="I6619" s="4">
        <v>0.33600000000000002</v>
      </c>
      <c r="J6619" s="21">
        <v>500</v>
      </c>
      <c r="K6619" s="21">
        <v>0</v>
      </c>
      <c r="L6619" s="5">
        <v>0</v>
      </c>
      <c r="M6619" s="4"/>
      <c r="N6619" s="4"/>
      <c r="O6619" s="5"/>
      <c r="P6619" s="5"/>
      <c r="Q6619" s="21">
        <v>168</v>
      </c>
      <c r="R6619" s="21">
        <v>0</v>
      </c>
      <c r="S6619" s="5">
        <f t="shared" si="415"/>
        <v>34780.366749698362</v>
      </c>
      <c r="T6619" cm="1">
        <f t="array" ref="T6619">IF(OR(B6619="MAL ALIMI", B6619="ÜRETİM GİRİŞ"), MIN(I6619, MAX(0, I6619 + SUM(SUMIFS($I$1:I6618, $C$1:C6618, C6619, $B$1:B6618, {"MAL ALIMI","ÜRETİM GİRİŞ"})) - VLOOKUP(C6619, 'STOK RAPORU'!$C$2:$I$1000, 4, 0))), 0)</f>
        <v>0</v>
      </c>
      <c r="U6619" s="22">
        <f t="shared" si="412"/>
        <v>0</v>
      </c>
      <c r="V6619">
        <f t="shared" si="413"/>
        <v>0</v>
      </c>
      <c r="W6619" s="22">
        <f t="shared" si="414"/>
        <v>0</v>
      </c>
    </row>
    <row r="6620" spans="1:23" hidden="1" x14ac:dyDescent="0.25">
      <c r="A6620" s="3">
        <v>46139</v>
      </c>
      <c r="B6620" s="46" t="s">
        <v>334</v>
      </c>
      <c r="C6620" s="4" t="s">
        <v>92</v>
      </c>
      <c r="D6620" s="4"/>
      <c r="E6620" s="4"/>
      <c r="F6620" s="46" t="s">
        <v>3199</v>
      </c>
      <c r="G6620" s="4" t="s">
        <v>3654</v>
      </c>
      <c r="H6620" s="4" t="s">
        <v>289</v>
      </c>
      <c r="I6620" s="4">
        <v>1.1857142857142857</v>
      </c>
      <c r="J6620" s="21">
        <v>350</v>
      </c>
      <c r="K6620" s="21">
        <v>0</v>
      </c>
      <c r="L6620" s="5">
        <v>0</v>
      </c>
      <c r="M6620" s="4"/>
      <c r="N6620" s="4"/>
      <c r="O6620" s="5"/>
      <c r="P6620" s="5"/>
      <c r="Q6620" s="21">
        <v>415</v>
      </c>
      <c r="R6620" s="21">
        <v>0</v>
      </c>
      <c r="S6620" s="5">
        <f t="shared" si="415"/>
        <v>35195.366749698362</v>
      </c>
      <c r="T6620" cm="1">
        <f t="array" ref="T6620">IF(OR(B6620="MAL ALIMI", B6620="ÜRETİM GİRİŞ"), MIN(I6620, MAX(0, I6620 + SUM(SUMIFS($I$1:I6619, $C$1:C6619, C6620, $B$1:B6619, {"MAL ALIMI","ÜRETİM GİRİŞ"})) - VLOOKUP(C6620, 'STOK RAPORU'!$C$2:$I$1000, 4, 0))), 0)</f>
        <v>0</v>
      </c>
      <c r="U6620" s="22">
        <f t="shared" si="412"/>
        <v>0</v>
      </c>
      <c r="V6620">
        <f t="shared" si="413"/>
        <v>0</v>
      </c>
      <c r="W6620" s="22">
        <f t="shared" si="414"/>
        <v>0</v>
      </c>
    </row>
    <row r="6621" spans="1:23" hidden="1" x14ac:dyDescent="0.25">
      <c r="A6621" s="3">
        <v>46139</v>
      </c>
      <c r="B6621" s="46" t="s">
        <v>334</v>
      </c>
      <c r="C6621" s="4" t="s">
        <v>129</v>
      </c>
      <c r="D6621" s="4"/>
      <c r="E6621" s="4"/>
      <c r="F6621" s="46" t="s">
        <v>3199</v>
      </c>
      <c r="G6621" s="4" t="s">
        <v>3654</v>
      </c>
      <c r="H6621" s="4" t="s">
        <v>289</v>
      </c>
      <c r="I6621" s="4">
        <v>0.52333333333333332</v>
      </c>
      <c r="J6621" s="21">
        <v>300</v>
      </c>
      <c r="K6621" s="21">
        <v>0</v>
      </c>
      <c r="L6621" s="5">
        <v>0</v>
      </c>
      <c r="M6621" s="4"/>
      <c r="N6621" s="4"/>
      <c r="O6621" s="5"/>
      <c r="P6621" s="5"/>
      <c r="Q6621" s="21">
        <v>157</v>
      </c>
      <c r="R6621" s="21">
        <v>0</v>
      </c>
      <c r="S6621" s="5">
        <f t="shared" si="415"/>
        <v>35352.366749698362</v>
      </c>
      <c r="T6621" cm="1">
        <f t="array" ref="T6621">IF(OR(B6621="MAL ALIMI", B6621="ÜRETİM GİRİŞ"), MIN(I6621, MAX(0, I6621 + SUM(SUMIFS($I$1:I6620, $C$1:C6620, C6621, $B$1:B6620, {"MAL ALIMI","ÜRETİM GİRİŞ"})) - VLOOKUP(C6621, 'STOK RAPORU'!$C$2:$I$1000, 4, 0))), 0)</f>
        <v>0</v>
      </c>
      <c r="U6621" s="22">
        <f t="shared" si="412"/>
        <v>0</v>
      </c>
      <c r="V6621">
        <f t="shared" si="413"/>
        <v>0</v>
      </c>
      <c r="W6621" s="22">
        <f t="shared" si="414"/>
        <v>0</v>
      </c>
    </row>
    <row r="6622" spans="1:23" hidden="1" x14ac:dyDescent="0.25">
      <c r="A6622" s="3">
        <v>46139</v>
      </c>
      <c r="B6622" s="46" t="s">
        <v>334</v>
      </c>
      <c r="C6622" s="4" t="s">
        <v>463</v>
      </c>
      <c r="D6622" s="4"/>
      <c r="E6622" s="4"/>
      <c r="F6622" s="46" t="s">
        <v>3199</v>
      </c>
      <c r="G6622" s="4" t="s">
        <v>3654</v>
      </c>
      <c r="H6622" s="4" t="s">
        <v>289</v>
      </c>
      <c r="I6622" s="4">
        <v>0.61132075471698111</v>
      </c>
      <c r="J6622" s="21">
        <v>265</v>
      </c>
      <c r="K6622" s="21">
        <v>0</v>
      </c>
      <c r="L6622" s="5">
        <v>0</v>
      </c>
      <c r="M6622" s="4"/>
      <c r="N6622" s="4"/>
      <c r="O6622" s="5"/>
      <c r="P6622" s="5"/>
      <c r="Q6622" s="21">
        <v>162</v>
      </c>
      <c r="R6622" s="21">
        <v>0</v>
      </c>
      <c r="S6622" s="5">
        <f t="shared" si="415"/>
        <v>35514.366749698362</v>
      </c>
      <c r="T6622" cm="1">
        <f t="array" ref="T6622">IF(OR(B6622="MAL ALIMI", B6622="ÜRETİM GİRİŞ"), MIN(I6622, MAX(0, I6622 + SUM(SUMIFS($I$1:I6621, $C$1:C6621, C6622, $B$1:B6621, {"MAL ALIMI","ÜRETİM GİRİŞ"})) - VLOOKUP(C6622, 'STOK RAPORU'!$C$2:$I$1000, 4, 0))), 0)</f>
        <v>0</v>
      </c>
      <c r="U6622" s="22">
        <f t="shared" si="412"/>
        <v>0</v>
      </c>
      <c r="V6622">
        <f t="shared" si="413"/>
        <v>0</v>
      </c>
      <c r="W6622" s="22">
        <f t="shared" si="414"/>
        <v>0</v>
      </c>
    </row>
    <row r="6623" spans="1:23" hidden="1" x14ac:dyDescent="0.25">
      <c r="A6623" s="3">
        <v>46139</v>
      </c>
      <c r="B6623" s="46" t="s">
        <v>334</v>
      </c>
      <c r="C6623" s="4" t="s">
        <v>1634</v>
      </c>
      <c r="D6623" s="4"/>
      <c r="E6623" s="4"/>
      <c r="F6623" s="46" t="s">
        <v>3199</v>
      </c>
      <c r="G6623" s="4" t="s">
        <v>3654</v>
      </c>
      <c r="H6623" s="4" t="s">
        <v>289</v>
      </c>
      <c r="I6623" s="4">
        <v>5</v>
      </c>
      <c r="J6623" s="21">
        <v>300</v>
      </c>
      <c r="K6623" s="21">
        <v>0</v>
      </c>
      <c r="L6623" s="5">
        <v>0</v>
      </c>
      <c r="M6623" s="4"/>
      <c r="N6623" s="4"/>
      <c r="O6623" s="5"/>
      <c r="P6623" s="5"/>
      <c r="Q6623" s="21">
        <v>1500</v>
      </c>
      <c r="R6623" s="21">
        <v>0</v>
      </c>
      <c r="S6623" s="5">
        <f t="shared" si="415"/>
        <v>37014.366749698362</v>
      </c>
      <c r="T6623" cm="1">
        <f t="array" ref="T6623">IF(OR(B6623="MAL ALIMI", B6623="ÜRETİM GİRİŞ"), MIN(I6623, MAX(0, I6623 + SUM(SUMIFS($I$1:I6622, $C$1:C6622, C6623, $B$1:B6622, {"MAL ALIMI","ÜRETİM GİRİŞ"})) - VLOOKUP(C6623, 'STOK RAPORU'!$C$2:$I$1000, 4, 0))), 0)</f>
        <v>0</v>
      </c>
      <c r="U6623" s="22">
        <f t="shared" si="412"/>
        <v>0</v>
      </c>
      <c r="V6623">
        <f t="shared" si="413"/>
        <v>0</v>
      </c>
      <c r="W6623" s="22">
        <f t="shared" si="414"/>
        <v>0</v>
      </c>
    </row>
    <row r="6624" spans="1:23" hidden="1" x14ac:dyDescent="0.25">
      <c r="A6624" s="3">
        <v>46139</v>
      </c>
      <c r="B6624" s="46" t="s">
        <v>334</v>
      </c>
      <c r="C6624" s="4" t="s">
        <v>160</v>
      </c>
      <c r="D6624" s="4"/>
      <c r="E6624" s="4"/>
      <c r="F6624" s="46" t="s">
        <v>3199</v>
      </c>
      <c r="G6624" s="4" t="s">
        <v>3654</v>
      </c>
      <c r="H6624" s="4" t="s">
        <v>289</v>
      </c>
      <c r="I6624" s="4">
        <v>5</v>
      </c>
      <c r="J6624" s="21">
        <v>200</v>
      </c>
      <c r="K6624" s="21">
        <v>0</v>
      </c>
      <c r="L6624" s="5">
        <v>0</v>
      </c>
      <c r="M6624" s="4"/>
      <c r="N6624" s="4"/>
      <c r="O6624" s="5"/>
      <c r="P6624" s="5"/>
      <c r="Q6624" s="21">
        <v>1000</v>
      </c>
      <c r="R6624" s="21">
        <v>0</v>
      </c>
      <c r="S6624" s="5">
        <f t="shared" si="415"/>
        <v>38014.366749698362</v>
      </c>
      <c r="T6624" cm="1">
        <f t="array" ref="T6624">IF(OR(B6624="MAL ALIMI", B6624="ÜRETİM GİRİŞ"), MIN(I6624, MAX(0, I6624 + SUM(SUMIFS($I$1:I6623, $C$1:C6623, C6624, $B$1:B6623, {"MAL ALIMI","ÜRETİM GİRİŞ"})) - VLOOKUP(C6624, 'STOK RAPORU'!$C$2:$I$1000, 4, 0))), 0)</f>
        <v>0</v>
      </c>
      <c r="U6624" s="22">
        <f t="shared" si="412"/>
        <v>0</v>
      </c>
      <c r="V6624">
        <f t="shared" si="413"/>
        <v>0</v>
      </c>
      <c r="W6624" s="22">
        <f t="shared" si="414"/>
        <v>0</v>
      </c>
    </row>
    <row r="6625" spans="1:23" hidden="1" x14ac:dyDescent="0.25">
      <c r="A6625" s="3">
        <v>46139</v>
      </c>
      <c r="B6625" s="46" t="s">
        <v>334</v>
      </c>
      <c r="C6625" s="4" t="s">
        <v>158</v>
      </c>
      <c r="D6625" s="4"/>
      <c r="E6625" s="4"/>
      <c r="F6625" s="46" t="s">
        <v>3199</v>
      </c>
      <c r="G6625" s="4" t="s">
        <v>3654</v>
      </c>
      <c r="H6625" s="4" t="s">
        <v>289</v>
      </c>
      <c r="I6625" s="4">
        <v>2.85</v>
      </c>
      <c r="J6625" s="21">
        <v>120</v>
      </c>
      <c r="K6625" s="21">
        <v>0</v>
      </c>
      <c r="L6625" s="5">
        <v>0</v>
      </c>
      <c r="M6625" s="4"/>
      <c r="N6625" s="4"/>
      <c r="O6625" s="5"/>
      <c r="P6625" s="5"/>
      <c r="Q6625" s="21">
        <v>342</v>
      </c>
      <c r="R6625" s="21">
        <v>0</v>
      </c>
      <c r="S6625" s="5">
        <f t="shared" si="415"/>
        <v>38356.366749698362</v>
      </c>
      <c r="T6625" cm="1">
        <f t="array" ref="T6625">IF(OR(B6625="MAL ALIMI", B6625="ÜRETİM GİRİŞ"), MIN(I6625, MAX(0, I6625 + SUM(SUMIFS($I$1:I6624, $C$1:C6624, C6625, $B$1:B6624, {"MAL ALIMI","ÜRETİM GİRİŞ"})) - VLOOKUP(C6625, 'STOK RAPORU'!$C$2:$I$1000, 4, 0))), 0)</f>
        <v>0</v>
      </c>
      <c r="U6625" s="22">
        <f t="shared" si="412"/>
        <v>0</v>
      </c>
      <c r="V6625">
        <f t="shared" si="413"/>
        <v>0</v>
      </c>
      <c r="W6625" s="22">
        <f t="shared" si="414"/>
        <v>0</v>
      </c>
    </row>
    <row r="6626" spans="1:23" hidden="1" x14ac:dyDescent="0.25">
      <c r="A6626" s="3">
        <v>46139</v>
      </c>
      <c r="B6626" s="46" t="s">
        <v>334</v>
      </c>
      <c r="C6626" s="4" t="s">
        <v>530</v>
      </c>
      <c r="D6626" s="4"/>
      <c r="E6626" s="4" t="s">
        <v>921</v>
      </c>
      <c r="F6626" s="46" t="s">
        <v>3200</v>
      </c>
      <c r="G6626" s="4" t="s">
        <v>336</v>
      </c>
      <c r="H6626" s="4" t="s">
        <v>380</v>
      </c>
      <c r="I6626" s="4">
        <v>0.5</v>
      </c>
      <c r="J6626" s="21">
        <v>280</v>
      </c>
      <c r="K6626" s="21">
        <v>140</v>
      </c>
      <c r="L6626" s="5">
        <v>0</v>
      </c>
      <c r="M6626" s="4"/>
      <c r="N6626" s="4"/>
      <c r="O6626" s="5"/>
      <c r="P6626" s="5"/>
      <c r="Q6626" s="21">
        <v>0</v>
      </c>
      <c r="R6626" s="21">
        <v>0</v>
      </c>
      <c r="S6626" s="5">
        <f t="shared" si="415"/>
        <v>38356.366749698362</v>
      </c>
      <c r="T6626" cm="1">
        <f t="array" ref="T6626">IF(OR(B6626="MAL ALIMI", B6626="ÜRETİM GİRİŞ"), MIN(I6626, MAX(0, I6626 + SUM(SUMIFS($I$1:I6625, $C$1:C6625, C6626, $B$1:B6625, {"MAL ALIMI","ÜRETİM GİRİŞ"})) - VLOOKUP(C6626, 'STOK RAPORU'!$C$2:$I$1000, 4, 0))), 0)</f>
        <v>0</v>
      </c>
      <c r="U6626" s="22">
        <f t="shared" si="412"/>
        <v>0</v>
      </c>
      <c r="V6626">
        <f t="shared" si="413"/>
        <v>0</v>
      </c>
      <c r="W6626" s="22">
        <f t="shared" si="414"/>
        <v>0</v>
      </c>
    </row>
    <row r="6627" spans="1:23" hidden="1" x14ac:dyDescent="0.25">
      <c r="A6627" s="3">
        <v>46139</v>
      </c>
      <c r="B6627" s="46" t="s">
        <v>334</v>
      </c>
      <c r="C6627" s="4" t="s">
        <v>1366</v>
      </c>
      <c r="D6627" s="4"/>
      <c r="E6627" s="4"/>
      <c r="F6627" s="46" t="s">
        <v>3201</v>
      </c>
      <c r="G6627" s="4" t="s">
        <v>336</v>
      </c>
      <c r="H6627" s="4" t="s">
        <v>289</v>
      </c>
      <c r="I6627" s="4">
        <v>1</v>
      </c>
      <c r="J6627" s="21">
        <v>190</v>
      </c>
      <c r="K6627" s="21">
        <v>0</v>
      </c>
      <c r="L6627" s="5">
        <v>0</v>
      </c>
      <c r="M6627" s="4"/>
      <c r="N6627" s="4"/>
      <c r="O6627" s="5"/>
      <c r="P6627" s="5"/>
      <c r="Q6627" s="21">
        <v>190</v>
      </c>
      <c r="R6627" s="21">
        <v>0</v>
      </c>
      <c r="S6627" s="5">
        <f t="shared" si="415"/>
        <v>38546.366749698362</v>
      </c>
      <c r="T6627" cm="1">
        <f t="array" ref="T6627">IF(OR(B6627="MAL ALIMI", B6627="ÜRETİM GİRİŞ"), MIN(I6627, MAX(0, I6627 + SUM(SUMIFS($I$1:I6626, $C$1:C6626, C6627, $B$1:B6626, {"MAL ALIMI","ÜRETİM GİRİŞ"})) - VLOOKUP(C6627, 'STOK RAPORU'!$C$2:$I$1000, 4, 0))), 0)</f>
        <v>0</v>
      </c>
      <c r="U6627" s="22">
        <f t="shared" si="412"/>
        <v>0</v>
      </c>
      <c r="V6627">
        <f t="shared" si="413"/>
        <v>0</v>
      </c>
      <c r="W6627" s="22">
        <f t="shared" si="414"/>
        <v>0</v>
      </c>
    </row>
    <row r="6628" spans="1:23" hidden="1" x14ac:dyDescent="0.25">
      <c r="A6628" s="3">
        <v>46139</v>
      </c>
      <c r="B6628" s="46" t="s">
        <v>334</v>
      </c>
      <c r="C6628" s="4" t="s">
        <v>3158</v>
      </c>
      <c r="D6628" s="4"/>
      <c r="E6628" s="4"/>
      <c r="F6628" s="46" t="s">
        <v>3201</v>
      </c>
      <c r="G6628" s="4" t="s">
        <v>336</v>
      </c>
      <c r="H6628" s="4" t="s">
        <v>289</v>
      </c>
      <c r="I6628" s="4">
        <v>1</v>
      </c>
      <c r="J6628" s="21">
        <v>200</v>
      </c>
      <c r="K6628" s="21">
        <v>0</v>
      </c>
      <c r="L6628" s="5">
        <v>0</v>
      </c>
      <c r="M6628" s="4"/>
      <c r="N6628" s="4"/>
      <c r="O6628" s="5"/>
      <c r="P6628" s="5"/>
      <c r="Q6628" s="21">
        <v>200</v>
      </c>
      <c r="R6628" s="21">
        <v>0</v>
      </c>
      <c r="S6628" s="5">
        <f t="shared" si="415"/>
        <v>38746.366749698362</v>
      </c>
      <c r="T6628" cm="1">
        <f t="array" ref="T6628">IF(OR(B6628="MAL ALIMI", B6628="ÜRETİM GİRİŞ"), MIN(I6628, MAX(0, I6628 + SUM(SUMIFS($I$1:I6627, $C$1:C6627, C6628, $B$1:B6627, {"MAL ALIMI","ÜRETİM GİRİŞ"})) - VLOOKUP(C6628, 'STOK RAPORU'!$C$2:$I$1000, 4, 0))), 0)</f>
        <v>0</v>
      </c>
      <c r="U6628" s="22">
        <f t="shared" si="412"/>
        <v>0</v>
      </c>
      <c r="V6628">
        <f t="shared" si="413"/>
        <v>0</v>
      </c>
      <c r="W6628" s="22">
        <f t="shared" si="414"/>
        <v>0</v>
      </c>
    </row>
    <row r="6629" spans="1:23" hidden="1" x14ac:dyDescent="0.25">
      <c r="A6629" s="3">
        <v>46139</v>
      </c>
      <c r="B6629" s="46" t="s">
        <v>334</v>
      </c>
      <c r="C6629" s="4" t="s">
        <v>221</v>
      </c>
      <c r="D6629" s="4"/>
      <c r="E6629" s="4"/>
      <c r="F6629" s="46" t="s">
        <v>3201</v>
      </c>
      <c r="G6629" s="4" t="s">
        <v>336</v>
      </c>
      <c r="H6629" s="4" t="s">
        <v>289</v>
      </c>
      <c r="I6629" s="4">
        <v>1.8461538461538463E-2</v>
      </c>
      <c r="J6629" s="21">
        <v>1000</v>
      </c>
      <c r="K6629" s="21">
        <v>0</v>
      </c>
      <c r="L6629" s="5">
        <v>0</v>
      </c>
      <c r="M6629" s="4"/>
      <c r="N6629" s="4"/>
      <c r="O6629" s="5"/>
      <c r="P6629" s="5"/>
      <c r="Q6629" s="21">
        <v>18.461538461538463</v>
      </c>
      <c r="R6629" s="21">
        <v>0</v>
      </c>
      <c r="S6629" s="5">
        <f t="shared" si="415"/>
        <v>38764.828288159901</v>
      </c>
      <c r="T6629" cm="1">
        <f t="array" ref="T6629">IF(OR(B6629="MAL ALIMI", B6629="ÜRETİM GİRİŞ"), MIN(I6629, MAX(0, I6629 + SUM(SUMIFS($I$1:I6628, $C$1:C6628, C6629, $B$1:B6628, {"MAL ALIMI","ÜRETİM GİRİŞ"})) - VLOOKUP(C6629, 'STOK RAPORU'!$C$2:$I$1000, 4, 0))), 0)</f>
        <v>0</v>
      </c>
      <c r="U6629" s="22">
        <f t="shared" si="412"/>
        <v>0</v>
      </c>
      <c r="V6629">
        <f t="shared" si="413"/>
        <v>0</v>
      </c>
      <c r="W6629" s="22">
        <f t="shared" si="414"/>
        <v>0</v>
      </c>
    </row>
    <row r="6630" spans="1:23" hidden="1" x14ac:dyDescent="0.25">
      <c r="A6630" s="3">
        <v>46139</v>
      </c>
      <c r="B6630" s="46" t="s">
        <v>334</v>
      </c>
      <c r="C6630" s="4" t="s">
        <v>589</v>
      </c>
      <c r="D6630" s="4"/>
      <c r="E6630" s="4"/>
      <c r="F6630" s="46" t="s">
        <v>3201</v>
      </c>
      <c r="G6630" s="4" t="s">
        <v>336</v>
      </c>
      <c r="H6630" s="4" t="s">
        <v>289</v>
      </c>
      <c r="I6630" s="4">
        <v>4.8750000000000002E-2</v>
      </c>
      <c r="J6630" s="21">
        <v>500</v>
      </c>
      <c r="K6630" s="21">
        <v>0</v>
      </c>
      <c r="L6630" s="5">
        <v>0</v>
      </c>
      <c r="M6630" s="4"/>
      <c r="N6630" s="4"/>
      <c r="O6630" s="5"/>
      <c r="P6630" s="5"/>
      <c r="Q6630" s="21">
        <v>24.375</v>
      </c>
      <c r="R6630" s="21">
        <v>0</v>
      </c>
      <c r="S6630" s="5">
        <f t="shared" si="415"/>
        <v>38789.203288159901</v>
      </c>
      <c r="T6630" cm="1">
        <f t="array" ref="T6630">IF(OR(B6630="MAL ALIMI", B6630="ÜRETİM GİRİŞ"), MIN(I6630, MAX(0, I6630 + SUM(SUMIFS($I$1:I6629, $C$1:C6629, C6630, $B$1:B6629, {"MAL ALIMI","ÜRETİM GİRİŞ"})) - VLOOKUP(C6630, 'STOK RAPORU'!$C$2:$I$1000, 4, 0))), 0)</f>
        <v>0</v>
      </c>
      <c r="U6630" s="22">
        <f t="shared" si="412"/>
        <v>0</v>
      </c>
      <c r="V6630">
        <f t="shared" si="413"/>
        <v>0</v>
      </c>
      <c r="W6630" s="22">
        <f t="shared" si="414"/>
        <v>0</v>
      </c>
    </row>
    <row r="6631" spans="1:23" hidden="1" x14ac:dyDescent="0.25">
      <c r="A6631" s="3">
        <v>46139</v>
      </c>
      <c r="B6631" s="46" t="s">
        <v>334</v>
      </c>
      <c r="C6631" s="4" t="s">
        <v>193</v>
      </c>
      <c r="D6631" s="4"/>
      <c r="E6631" s="4"/>
      <c r="F6631" s="46" t="s">
        <v>3201</v>
      </c>
      <c r="G6631" s="4" t="s">
        <v>336</v>
      </c>
      <c r="H6631" s="4" t="s">
        <v>289</v>
      </c>
      <c r="I6631" s="4">
        <v>0.05</v>
      </c>
      <c r="J6631" s="21">
        <v>600</v>
      </c>
      <c r="K6631" s="21">
        <v>0</v>
      </c>
      <c r="L6631" s="5">
        <v>0</v>
      </c>
      <c r="M6631" s="4"/>
      <c r="N6631" s="4"/>
      <c r="O6631" s="5"/>
      <c r="P6631" s="5"/>
      <c r="Q6631" s="21">
        <v>30</v>
      </c>
      <c r="R6631" s="21">
        <v>0</v>
      </c>
      <c r="S6631" s="5">
        <f t="shared" si="415"/>
        <v>38819.203288159901</v>
      </c>
      <c r="T6631" cm="1">
        <f t="array" ref="T6631">IF(OR(B6631="MAL ALIMI", B6631="ÜRETİM GİRİŞ"), MIN(I6631, MAX(0, I6631 + SUM(SUMIFS($I$1:I6630, $C$1:C6630, C6631, $B$1:B6630, {"MAL ALIMI","ÜRETİM GİRİŞ"})) - VLOOKUP(C6631, 'STOK RAPORU'!$C$2:$I$1000, 4, 0))), 0)</f>
        <v>0</v>
      </c>
      <c r="U6631" s="22">
        <f t="shared" si="412"/>
        <v>0</v>
      </c>
      <c r="V6631">
        <f t="shared" si="413"/>
        <v>0</v>
      </c>
      <c r="W6631" s="22">
        <f t="shared" si="414"/>
        <v>0</v>
      </c>
    </row>
    <row r="6632" spans="1:23" hidden="1" x14ac:dyDescent="0.25">
      <c r="A6632" s="3">
        <v>46139</v>
      </c>
      <c r="B6632" s="46" t="s">
        <v>334</v>
      </c>
      <c r="C6632" s="4" t="s">
        <v>238</v>
      </c>
      <c r="D6632" s="4"/>
      <c r="E6632" s="4"/>
      <c r="F6632" s="46" t="s">
        <v>3201</v>
      </c>
      <c r="G6632" s="4" t="s">
        <v>336</v>
      </c>
      <c r="H6632" s="4" t="s">
        <v>289</v>
      </c>
      <c r="I6632" s="4">
        <v>0.1</v>
      </c>
      <c r="J6632" s="21">
        <v>800</v>
      </c>
      <c r="K6632" s="21">
        <v>0</v>
      </c>
      <c r="L6632" s="5">
        <v>0</v>
      </c>
      <c r="M6632" s="4"/>
      <c r="N6632" s="4"/>
      <c r="O6632" s="5"/>
      <c r="P6632" s="5"/>
      <c r="Q6632" s="21">
        <v>80</v>
      </c>
      <c r="R6632" s="21">
        <v>0</v>
      </c>
      <c r="S6632" s="5">
        <f t="shared" si="415"/>
        <v>38899.203288159901</v>
      </c>
      <c r="T6632" cm="1">
        <f t="array" ref="T6632">IF(OR(B6632="MAL ALIMI", B6632="ÜRETİM GİRİŞ"), MIN(I6632, MAX(0, I6632 + SUM(SUMIFS($I$1:I6631, $C$1:C6631, C6632, $B$1:B6631, {"MAL ALIMI","ÜRETİM GİRİŞ"})) - VLOOKUP(C6632, 'STOK RAPORU'!$C$2:$I$1000, 4, 0))), 0)</f>
        <v>0</v>
      </c>
      <c r="U6632" s="22">
        <f t="shared" si="412"/>
        <v>0</v>
      </c>
      <c r="V6632">
        <f t="shared" si="413"/>
        <v>0</v>
      </c>
      <c r="W6632" s="22">
        <f t="shared" si="414"/>
        <v>0</v>
      </c>
    </row>
    <row r="6633" spans="1:23" hidden="1" x14ac:dyDescent="0.25">
      <c r="A6633" s="3">
        <v>46139</v>
      </c>
      <c r="B6633" s="46" t="s">
        <v>334</v>
      </c>
      <c r="C6633" s="4" t="s">
        <v>724</v>
      </c>
      <c r="D6633" s="4"/>
      <c r="E6633" s="4"/>
      <c r="F6633" s="46" t="s">
        <v>3202</v>
      </c>
      <c r="G6633" s="4" t="s">
        <v>336</v>
      </c>
      <c r="H6633" s="4" t="s">
        <v>289</v>
      </c>
      <c r="I6633" s="4">
        <v>1</v>
      </c>
      <c r="J6633" s="21">
        <v>310</v>
      </c>
      <c r="K6633" s="21">
        <v>0</v>
      </c>
      <c r="L6633" s="5">
        <v>0</v>
      </c>
      <c r="M6633" s="4"/>
      <c r="N6633" s="4"/>
      <c r="O6633" s="5"/>
      <c r="P6633" s="5"/>
      <c r="Q6633" s="21">
        <v>310</v>
      </c>
      <c r="R6633" s="21">
        <v>0</v>
      </c>
      <c r="S6633" s="5">
        <f t="shared" si="415"/>
        <v>39209.203288159901</v>
      </c>
      <c r="T6633" cm="1">
        <f t="array" ref="T6633">IF(OR(B6633="MAL ALIMI", B6633="ÜRETİM GİRİŞ"), MIN(I6633, MAX(0, I6633 + SUM(SUMIFS($I$1:I6632, $C$1:C6632, C6633, $B$1:B6632, {"MAL ALIMI","ÜRETİM GİRİŞ"})) - VLOOKUP(C6633, 'STOK RAPORU'!$C$2:$I$1000, 4, 0))), 0)</f>
        <v>0</v>
      </c>
      <c r="U6633" s="22">
        <f t="shared" si="412"/>
        <v>0</v>
      </c>
      <c r="V6633">
        <f t="shared" si="413"/>
        <v>0</v>
      </c>
      <c r="W6633" s="22">
        <f t="shared" si="414"/>
        <v>0</v>
      </c>
    </row>
    <row r="6634" spans="1:23" hidden="1" x14ac:dyDescent="0.25">
      <c r="A6634" s="3">
        <v>46139</v>
      </c>
      <c r="B6634" s="46" t="s">
        <v>334</v>
      </c>
      <c r="C6634" s="4" t="s">
        <v>236</v>
      </c>
      <c r="D6634" s="4"/>
      <c r="E6634" s="4"/>
      <c r="F6634" s="46" t="s">
        <v>3203</v>
      </c>
      <c r="G6634" s="4" t="s">
        <v>336</v>
      </c>
      <c r="H6634" s="4" t="s">
        <v>289</v>
      </c>
      <c r="I6634" s="4">
        <v>1.0228571428571429</v>
      </c>
      <c r="J6634" s="21">
        <v>350</v>
      </c>
      <c r="K6634" s="21">
        <v>0</v>
      </c>
      <c r="L6634" s="5">
        <v>0</v>
      </c>
      <c r="M6634" s="4"/>
      <c r="N6634" s="4"/>
      <c r="O6634" s="5"/>
      <c r="P6634" s="5"/>
      <c r="Q6634" s="21">
        <v>358</v>
      </c>
      <c r="R6634" s="21">
        <v>0</v>
      </c>
      <c r="S6634" s="5">
        <f t="shared" si="415"/>
        <v>39567.203288159901</v>
      </c>
      <c r="T6634" cm="1">
        <f t="array" ref="T6634">IF(OR(B6634="MAL ALIMI", B6634="ÜRETİM GİRİŞ"), MIN(I6634, MAX(0, I6634 + SUM(SUMIFS($I$1:I6633, $C$1:C6633, C6634, $B$1:B6633, {"MAL ALIMI","ÜRETİM GİRİŞ"})) - VLOOKUP(C6634, 'STOK RAPORU'!$C$2:$I$1000, 4, 0))), 0)</f>
        <v>0</v>
      </c>
      <c r="U6634" s="22">
        <f t="shared" si="412"/>
        <v>0</v>
      </c>
      <c r="V6634">
        <f t="shared" si="413"/>
        <v>0</v>
      </c>
      <c r="W6634" s="22">
        <f t="shared" si="414"/>
        <v>0</v>
      </c>
    </row>
    <row r="6635" spans="1:23" hidden="1" x14ac:dyDescent="0.25">
      <c r="A6635" s="3">
        <v>46139</v>
      </c>
      <c r="B6635" s="46" t="s">
        <v>334</v>
      </c>
      <c r="C6635" s="4" t="s">
        <v>690</v>
      </c>
      <c r="D6635" s="4"/>
      <c r="E6635" s="4"/>
      <c r="F6635" s="46" t="s">
        <v>3203</v>
      </c>
      <c r="G6635" s="4" t="s">
        <v>336</v>
      </c>
      <c r="H6635" s="4" t="s">
        <v>289</v>
      </c>
      <c r="I6635" s="4">
        <v>0.45714285714285713</v>
      </c>
      <c r="J6635" s="21">
        <v>350</v>
      </c>
      <c r="K6635" s="21">
        <v>0</v>
      </c>
      <c r="L6635" s="5">
        <v>0</v>
      </c>
      <c r="M6635" s="4"/>
      <c r="N6635" s="4"/>
      <c r="O6635" s="5"/>
      <c r="P6635" s="5"/>
      <c r="Q6635" s="21">
        <v>160</v>
      </c>
      <c r="R6635" s="21">
        <v>0</v>
      </c>
      <c r="S6635" s="5">
        <f t="shared" si="415"/>
        <v>39727.203288159901</v>
      </c>
      <c r="T6635" cm="1">
        <f t="array" ref="T6635">IF(OR(B6635="MAL ALIMI", B6635="ÜRETİM GİRİŞ"), MIN(I6635, MAX(0, I6635 + SUM(SUMIFS($I$1:I6634, $C$1:C6634, C6635, $B$1:B6634, {"MAL ALIMI","ÜRETİM GİRİŞ"})) - VLOOKUP(C6635, 'STOK RAPORU'!$C$2:$I$1000, 4, 0))), 0)</f>
        <v>0</v>
      </c>
      <c r="U6635" s="22">
        <f t="shared" si="412"/>
        <v>0</v>
      </c>
      <c r="V6635">
        <f t="shared" si="413"/>
        <v>0</v>
      </c>
      <c r="W6635" s="22">
        <f t="shared" si="414"/>
        <v>0</v>
      </c>
    </row>
    <row r="6636" spans="1:23" hidden="1" x14ac:dyDescent="0.25">
      <c r="A6636" s="3">
        <v>46139</v>
      </c>
      <c r="B6636" s="46" t="s">
        <v>946</v>
      </c>
      <c r="C6636" s="4"/>
      <c r="D6636" s="4"/>
      <c r="E6636" s="4" t="s">
        <v>921</v>
      </c>
      <c r="F6636" s="4"/>
      <c r="G6636" s="4" t="s">
        <v>3266</v>
      </c>
      <c r="H6636" s="4" t="s">
        <v>380</v>
      </c>
      <c r="I6636" s="4">
        <v>1</v>
      </c>
      <c r="J6636" s="105">
        <v>307.89999999999998</v>
      </c>
      <c r="K6636" s="21">
        <v>0</v>
      </c>
      <c r="L6636" s="32">
        <v>307.89999999999998</v>
      </c>
      <c r="M6636" s="4"/>
      <c r="N6636" s="4"/>
      <c r="O6636" s="5"/>
      <c r="P6636" s="5"/>
      <c r="Q6636" s="21">
        <v>307.89999999999998</v>
      </c>
      <c r="R6636" s="21">
        <v>0</v>
      </c>
      <c r="S6636" s="5">
        <f t="shared" si="415"/>
        <v>40035.103288159902</v>
      </c>
      <c r="T6636" cm="1">
        <f t="array" ref="T6636">IF(OR(B6636="MAL ALIMI", B6636="ÜRETİM GİRİŞ"), MIN(I6636, MAX(0, I6636 + SUM(SUMIFS($I$1:I6635, $C$1:C6635, C6636, $B$1:B6635, {"MAL ALIMI","ÜRETİM GİRİŞ"})) - VLOOKUP(C6636, 'STOK RAPORU'!$C$2:$I$1000, 4, 0))), 0)</f>
        <v>0</v>
      </c>
      <c r="U6636" s="22">
        <f t="shared" si="412"/>
        <v>0</v>
      </c>
      <c r="V6636">
        <f t="shared" si="413"/>
        <v>0</v>
      </c>
      <c r="W6636" s="22">
        <f t="shared" si="414"/>
        <v>0</v>
      </c>
    </row>
    <row r="6637" spans="1:23" hidden="1" x14ac:dyDescent="0.25">
      <c r="A6637" s="3">
        <v>46139</v>
      </c>
      <c r="B6637" s="46" t="s">
        <v>285</v>
      </c>
      <c r="C6637" s="4"/>
      <c r="D6637" s="4" t="s">
        <v>943</v>
      </c>
      <c r="E6637" s="4"/>
      <c r="F6637" s="4"/>
      <c r="G6637" s="4" t="s">
        <v>3266</v>
      </c>
      <c r="H6637" s="4" t="s">
        <v>289</v>
      </c>
      <c r="I6637" s="4">
        <v>1</v>
      </c>
      <c r="J6637" s="21">
        <v>307.89999999999998</v>
      </c>
      <c r="K6637" s="21">
        <v>0</v>
      </c>
      <c r="L6637" s="5">
        <v>0</v>
      </c>
      <c r="M6637" s="4"/>
      <c r="N6637" s="4"/>
      <c r="O6637" s="5"/>
      <c r="P6637" s="5"/>
      <c r="Q6637" s="21">
        <v>0</v>
      </c>
      <c r="R6637" s="21">
        <v>307.89999999999998</v>
      </c>
      <c r="S6637" s="5">
        <f t="shared" si="415"/>
        <v>39727.203288159901</v>
      </c>
      <c r="T6637" cm="1">
        <f t="array" ref="T6637">IF(OR(B6637="MAL ALIMI", B6637="ÜRETİM GİRİŞ"), MIN(I6637, MAX(0, I6637 + SUM(SUMIFS($I$1:I6636, $C$1:C6636, C6637, $B$1:B6636, {"MAL ALIMI","ÜRETİM GİRİŞ"})) - VLOOKUP(C6637, 'STOK RAPORU'!$C$2:$I$1000, 4, 0))), 0)</f>
        <v>0</v>
      </c>
      <c r="U6637" s="22">
        <f t="shared" si="412"/>
        <v>0</v>
      </c>
      <c r="V6637">
        <f t="shared" si="413"/>
        <v>0</v>
      </c>
      <c r="W6637" s="22">
        <f t="shared" si="414"/>
        <v>0</v>
      </c>
    </row>
    <row r="6638" spans="1:23" hidden="1" x14ac:dyDescent="0.25">
      <c r="A6638" s="3">
        <v>46139</v>
      </c>
      <c r="B6638" s="46" t="s">
        <v>946</v>
      </c>
      <c r="C6638" s="4"/>
      <c r="D6638" s="4"/>
      <c r="E6638" s="4" t="s">
        <v>921</v>
      </c>
      <c r="F6638" s="4"/>
      <c r="G6638" s="4" t="s">
        <v>3266</v>
      </c>
      <c r="H6638" s="4" t="s">
        <v>380</v>
      </c>
      <c r="I6638" s="4">
        <v>1</v>
      </c>
      <c r="J6638" s="105">
        <v>1507.1</v>
      </c>
      <c r="K6638" s="21">
        <v>0</v>
      </c>
      <c r="L6638" s="32">
        <v>1507.1</v>
      </c>
      <c r="M6638" s="4"/>
      <c r="N6638" s="4"/>
      <c r="O6638" s="5"/>
      <c r="P6638" s="5"/>
      <c r="Q6638" s="21">
        <v>1507.1</v>
      </c>
      <c r="R6638" s="21">
        <v>0</v>
      </c>
      <c r="S6638" s="5">
        <f t="shared" si="415"/>
        <v>41234.303288159899</v>
      </c>
      <c r="T6638" cm="1">
        <f t="array" ref="T6638">IF(OR(B6638="MAL ALIMI", B6638="ÜRETİM GİRİŞ"), MIN(I6638, MAX(0, I6638 + SUM(SUMIFS($I$1:I6637, $C$1:C6637, C6638, $B$1:B6637, {"MAL ALIMI","ÜRETİM GİRİŞ"})) - VLOOKUP(C6638, 'STOK RAPORU'!$C$2:$I$1000, 4, 0))), 0)</f>
        <v>0</v>
      </c>
      <c r="U6638" s="22">
        <f t="shared" si="412"/>
        <v>0</v>
      </c>
      <c r="V6638">
        <f t="shared" si="413"/>
        <v>0</v>
      </c>
      <c r="W6638" s="22">
        <f t="shared" si="414"/>
        <v>0</v>
      </c>
    </row>
    <row r="6639" spans="1:23" hidden="1" x14ac:dyDescent="0.25">
      <c r="A6639" s="3">
        <v>46139</v>
      </c>
      <c r="B6639" s="46" t="s">
        <v>285</v>
      </c>
      <c r="C6639" s="4"/>
      <c r="D6639" s="4" t="s">
        <v>943</v>
      </c>
      <c r="E6639" s="4"/>
      <c r="F6639" s="4"/>
      <c r="G6639" s="4" t="s">
        <v>3266</v>
      </c>
      <c r="H6639" s="4" t="s">
        <v>289</v>
      </c>
      <c r="I6639" s="4">
        <v>1</v>
      </c>
      <c r="J6639" s="21">
        <v>1507.1</v>
      </c>
      <c r="K6639" s="21">
        <v>0</v>
      </c>
      <c r="L6639" s="5">
        <v>0</v>
      </c>
      <c r="M6639" s="4"/>
      <c r="N6639" s="4"/>
      <c r="O6639" s="5"/>
      <c r="P6639" s="5"/>
      <c r="Q6639" s="21">
        <v>0</v>
      </c>
      <c r="R6639" s="21">
        <v>1507.1</v>
      </c>
      <c r="S6639" s="5">
        <f t="shared" si="415"/>
        <v>39727.203288159901</v>
      </c>
      <c r="T6639" cm="1">
        <f t="array" ref="T6639">IF(OR(B6639="MAL ALIMI", B6639="ÜRETİM GİRİŞ"), MIN(I6639, MAX(0, I6639 + SUM(SUMIFS($I$1:I6638, $C$1:C6638, C6639, $B$1:B6638, {"MAL ALIMI","ÜRETİM GİRİŞ"})) - VLOOKUP(C6639, 'STOK RAPORU'!$C$2:$I$1000, 4, 0))), 0)</f>
        <v>0</v>
      </c>
      <c r="U6639" s="22">
        <f t="shared" si="412"/>
        <v>0</v>
      </c>
      <c r="V6639">
        <f t="shared" si="413"/>
        <v>0</v>
      </c>
      <c r="W6639" s="22">
        <f t="shared" si="414"/>
        <v>0</v>
      </c>
    </row>
    <row r="6640" spans="1:23" hidden="1" x14ac:dyDescent="0.25">
      <c r="A6640" s="3">
        <v>46140</v>
      </c>
      <c r="B6640" s="46" t="s">
        <v>334</v>
      </c>
      <c r="C6640" s="4" t="s">
        <v>98</v>
      </c>
      <c r="D6640" s="4"/>
      <c r="E6640" s="4"/>
      <c r="F6640" s="46" t="s">
        <v>3204</v>
      </c>
      <c r="G6640" s="4" t="s">
        <v>336</v>
      </c>
      <c r="H6640" s="4" t="s">
        <v>289</v>
      </c>
      <c r="I6640" s="4">
        <v>0.14000000000000001</v>
      </c>
      <c r="J6640" s="21">
        <v>400</v>
      </c>
      <c r="K6640" s="21">
        <v>0</v>
      </c>
      <c r="L6640" s="5">
        <v>0</v>
      </c>
      <c r="M6640" s="4"/>
      <c r="N6640" s="4"/>
      <c r="O6640" s="5"/>
      <c r="P6640" s="5"/>
      <c r="Q6640" s="21">
        <v>56.000000000000007</v>
      </c>
      <c r="R6640" s="21">
        <v>0</v>
      </c>
      <c r="S6640" s="5">
        <f t="shared" si="415"/>
        <v>39783.203288159901</v>
      </c>
      <c r="T6640" cm="1">
        <f t="array" ref="T6640">IF(OR(B6640="MAL ALIMI", B6640="ÜRETİM GİRİŞ"), MIN(I6640, MAX(0, I6640 + SUM(SUMIFS($I$1:I6639, $C$1:C6639, C6640, $B$1:B6639, {"MAL ALIMI","ÜRETİM GİRİŞ"})) - VLOOKUP(C6640, 'STOK RAPORU'!$C$2:$I$1000, 4, 0))), 0)</f>
        <v>0</v>
      </c>
      <c r="U6640" s="22">
        <f t="shared" si="412"/>
        <v>0</v>
      </c>
      <c r="V6640">
        <f t="shared" si="413"/>
        <v>0</v>
      </c>
      <c r="W6640" s="22">
        <f t="shared" si="414"/>
        <v>0</v>
      </c>
    </row>
    <row r="6641" spans="1:23" hidden="1" x14ac:dyDescent="0.25">
      <c r="A6641" s="3">
        <v>46140</v>
      </c>
      <c r="B6641" s="46" t="s">
        <v>334</v>
      </c>
      <c r="C6641" s="4" t="s">
        <v>977</v>
      </c>
      <c r="D6641" s="4"/>
      <c r="E6641" s="4"/>
      <c r="F6641" s="46" t="s">
        <v>3204</v>
      </c>
      <c r="G6641" s="4" t="s">
        <v>336</v>
      </c>
      <c r="H6641" s="4" t="s">
        <v>289</v>
      </c>
      <c r="I6641" s="4">
        <v>0.15625</v>
      </c>
      <c r="J6641" s="21">
        <v>320</v>
      </c>
      <c r="K6641" s="21">
        <v>0</v>
      </c>
      <c r="L6641" s="5">
        <v>0</v>
      </c>
      <c r="M6641" s="4"/>
      <c r="N6641" s="4"/>
      <c r="O6641" s="5"/>
      <c r="P6641" s="5"/>
      <c r="Q6641" s="21">
        <v>50</v>
      </c>
      <c r="R6641" s="21">
        <v>0</v>
      </c>
      <c r="S6641" s="5">
        <f t="shared" si="415"/>
        <v>39833.203288159901</v>
      </c>
      <c r="T6641" cm="1">
        <f t="array" ref="T6641">IF(OR(B6641="MAL ALIMI", B6641="ÜRETİM GİRİŞ"), MIN(I6641, MAX(0, I6641 + SUM(SUMIFS($I$1:I6640, $C$1:C6640, C6641, $B$1:B6640, {"MAL ALIMI","ÜRETİM GİRİŞ"})) - VLOOKUP(C6641, 'STOK RAPORU'!$C$2:$I$1000, 4, 0))), 0)</f>
        <v>0</v>
      </c>
      <c r="U6641" s="22">
        <f t="shared" si="412"/>
        <v>0</v>
      </c>
      <c r="V6641">
        <f t="shared" si="413"/>
        <v>0</v>
      </c>
      <c r="W6641" s="22">
        <f t="shared" si="414"/>
        <v>0</v>
      </c>
    </row>
    <row r="6642" spans="1:23" hidden="1" x14ac:dyDescent="0.25">
      <c r="A6642" s="3">
        <v>46140</v>
      </c>
      <c r="B6642" s="46" t="s">
        <v>334</v>
      </c>
      <c r="C6642" s="4" t="s">
        <v>2682</v>
      </c>
      <c r="D6642" s="4"/>
      <c r="E6642" s="4"/>
      <c r="F6642" s="46" t="s">
        <v>3205</v>
      </c>
      <c r="G6642" s="4" t="s">
        <v>336</v>
      </c>
      <c r="H6642" s="4" t="s">
        <v>289</v>
      </c>
      <c r="I6642" s="4">
        <v>1</v>
      </c>
      <c r="J6642" s="21">
        <v>450</v>
      </c>
      <c r="K6642" s="21">
        <v>0</v>
      </c>
      <c r="L6642" s="5">
        <v>0</v>
      </c>
      <c r="M6642" s="4"/>
      <c r="N6642" s="4"/>
      <c r="O6642" s="5"/>
      <c r="P6642" s="5"/>
      <c r="Q6642" s="21">
        <v>450</v>
      </c>
      <c r="R6642" s="21">
        <v>0</v>
      </c>
      <c r="S6642" s="5">
        <f t="shared" si="415"/>
        <v>40283.203288159901</v>
      </c>
      <c r="T6642" cm="1">
        <f t="array" ref="T6642">IF(OR(B6642="MAL ALIMI", B6642="ÜRETİM GİRİŞ"), MIN(I6642, MAX(0, I6642 + SUM(SUMIFS($I$1:I6641, $C$1:C6641, C6642, $B$1:B6641, {"MAL ALIMI","ÜRETİM GİRİŞ"})) - VLOOKUP(C6642, 'STOK RAPORU'!$C$2:$I$1000, 4, 0))), 0)</f>
        <v>0</v>
      </c>
      <c r="U6642" s="22">
        <f t="shared" ref="U6642:U6705" si="416">T6642*J6642</f>
        <v>0</v>
      </c>
      <c r="V6642">
        <f t="shared" ref="V6642:V6705" si="417">IF(OR(B6642="MAL ALIMI", B6642="ÜRETİM GİRİŞ"), I6642 * J6642, 0)</f>
        <v>0</v>
      </c>
      <c r="W6642" s="22">
        <f t="shared" ref="W6642:W6705" si="418">V6642-U6642</f>
        <v>0</v>
      </c>
    </row>
    <row r="6643" spans="1:23" hidden="1" x14ac:dyDescent="0.25">
      <c r="A6643" s="3">
        <v>46140</v>
      </c>
      <c r="B6643" s="46" t="s">
        <v>334</v>
      </c>
      <c r="C6643" s="4" t="s">
        <v>1501</v>
      </c>
      <c r="D6643" s="4"/>
      <c r="E6643" s="4" t="s">
        <v>921</v>
      </c>
      <c r="F6643" s="46" t="s">
        <v>3206</v>
      </c>
      <c r="G6643" s="4" t="s">
        <v>336</v>
      </c>
      <c r="H6643" s="4" t="s">
        <v>380</v>
      </c>
      <c r="I6643" s="4">
        <v>0.25</v>
      </c>
      <c r="J6643" s="21">
        <v>600</v>
      </c>
      <c r="K6643" s="21">
        <v>150</v>
      </c>
      <c r="L6643" s="5">
        <v>0</v>
      </c>
      <c r="M6643" s="4"/>
      <c r="N6643" s="4"/>
      <c r="O6643" s="5"/>
      <c r="P6643" s="5"/>
      <c r="Q6643" s="21">
        <v>0</v>
      </c>
      <c r="R6643" s="21">
        <v>0</v>
      </c>
      <c r="S6643" s="5">
        <f t="shared" si="415"/>
        <v>40283.203288159901</v>
      </c>
      <c r="T6643" cm="1">
        <f t="array" ref="T6643">IF(OR(B6643="MAL ALIMI", B6643="ÜRETİM GİRİŞ"), MIN(I6643, MAX(0, I6643 + SUM(SUMIFS($I$1:I6642, $C$1:C6642, C6643, $B$1:B6642, {"MAL ALIMI","ÜRETİM GİRİŞ"})) - VLOOKUP(C6643, 'STOK RAPORU'!$C$2:$I$1000, 4, 0))), 0)</f>
        <v>0</v>
      </c>
      <c r="U6643" s="22">
        <f t="shared" si="416"/>
        <v>0</v>
      </c>
      <c r="V6643">
        <f t="shared" si="417"/>
        <v>0</v>
      </c>
      <c r="W6643" s="22">
        <f t="shared" si="418"/>
        <v>0</v>
      </c>
    </row>
    <row r="6644" spans="1:23" hidden="1" x14ac:dyDescent="0.25">
      <c r="A6644" s="3">
        <v>46140</v>
      </c>
      <c r="B6644" s="46" t="s">
        <v>334</v>
      </c>
      <c r="C6644" s="4" t="s">
        <v>2603</v>
      </c>
      <c r="D6644" s="4"/>
      <c r="E6644" s="4" t="s">
        <v>921</v>
      </c>
      <c r="F6644" s="46" t="s">
        <v>3207</v>
      </c>
      <c r="G6644" s="4" t="s">
        <v>336</v>
      </c>
      <c r="H6644" s="4" t="s">
        <v>380</v>
      </c>
      <c r="I6644" s="4">
        <v>0.1</v>
      </c>
      <c r="J6644" s="21">
        <v>1200</v>
      </c>
      <c r="K6644" s="21">
        <v>120</v>
      </c>
      <c r="L6644" s="5">
        <v>0</v>
      </c>
      <c r="M6644" s="4"/>
      <c r="N6644" s="4"/>
      <c r="O6644" s="5"/>
      <c r="P6644" s="5"/>
      <c r="Q6644" s="21">
        <v>0</v>
      </c>
      <c r="R6644" s="21">
        <v>0</v>
      </c>
      <c r="S6644" s="5">
        <f t="shared" si="415"/>
        <v>40283.203288159901</v>
      </c>
      <c r="T6644" cm="1">
        <f t="array" ref="T6644">IF(OR(B6644="MAL ALIMI", B6644="ÜRETİM GİRİŞ"), MIN(I6644, MAX(0, I6644 + SUM(SUMIFS($I$1:I6643, $C$1:C6643, C6644, $B$1:B6643, {"MAL ALIMI","ÜRETİM GİRİŞ"})) - VLOOKUP(C6644, 'STOK RAPORU'!$C$2:$I$1000, 4, 0))), 0)</f>
        <v>0</v>
      </c>
      <c r="U6644" s="22">
        <f t="shared" si="416"/>
        <v>0</v>
      </c>
      <c r="V6644">
        <f t="shared" si="417"/>
        <v>0</v>
      </c>
      <c r="W6644" s="22">
        <f t="shared" si="418"/>
        <v>0</v>
      </c>
    </row>
    <row r="6645" spans="1:23" hidden="1" x14ac:dyDescent="0.25">
      <c r="A6645" s="3">
        <v>46140</v>
      </c>
      <c r="B6645" s="46" t="s">
        <v>334</v>
      </c>
      <c r="C6645" s="4" t="s">
        <v>221</v>
      </c>
      <c r="D6645" s="4"/>
      <c r="E6645" s="4" t="s">
        <v>921</v>
      </c>
      <c r="F6645" s="46" t="s">
        <v>3207</v>
      </c>
      <c r="G6645" s="4" t="s">
        <v>336</v>
      </c>
      <c r="H6645" s="4" t="s">
        <v>380</v>
      </c>
      <c r="I6645" s="4">
        <v>8.199999999999999E-2</v>
      </c>
      <c r="J6645" s="21">
        <v>1300</v>
      </c>
      <c r="K6645" s="21">
        <v>106.59999999999998</v>
      </c>
      <c r="L6645" s="5">
        <v>0</v>
      </c>
      <c r="M6645" s="4"/>
      <c r="N6645" s="4"/>
      <c r="O6645" s="5"/>
      <c r="P6645" s="5"/>
      <c r="Q6645" s="21">
        <v>0</v>
      </c>
      <c r="R6645" s="21">
        <v>0</v>
      </c>
      <c r="S6645" s="5">
        <f t="shared" si="415"/>
        <v>40283.203288159901</v>
      </c>
      <c r="T6645" cm="1">
        <f t="array" ref="T6645">IF(OR(B6645="MAL ALIMI", B6645="ÜRETİM GİRİŞ"), MIN(I6645, MAX(0, I6645 + SUM(SUMIFS($I$1:I6644, $C$1:C6644, C6645, $B$1:B6644, {"MAL ALIMI","ÜRETİM GİRİŞ"})) - VLOOKUP(C6645, 'STOK RAPORU'!$C$2:$I$1000, 4, 0))), 0)</f>
        <v>0</v>
      </c>
      <c r="U6645" s="22">
        <f t="shared" si="416"/>
        <v>0</v>
      </c>
      <c r="V6645">
        <f t="shared" si="417"/>
        <v>0</v>
      </c>
      <c r="W6645" s="22">
        <f t="shared" si="418"/>
        <v>0</v>
      </c>
    </row>
    <row r="6646" spans="1:23" hidden="1" x14ac:dyDescent="0.25">
      <c r="A6646" s="3">
        <v>46140</v>
      </c>
      <c r="B6646" s="46" t="s">
        <v>334</v>
      </c>
      <c r="C6646" s="4" t="s">
        <v>1183</v>
      </c>
      <c r="D6646" s="4"/>
      <c r="E6646" s="4" t="s">
        <v>921</v>
      </c>
      <c r="F6646" s="46" t="s">
        <v>3207</v>
      </c>
      <c r="G6646" s="4" t="s">
        <v>336</v>
      </c>
      <c r="H6646" s="4" t="s">
        <v>380</v>
      </c>
      <c r="I6646" s="4">
        <v>0.1</v>
      </c>
      <c r="J6646" s="21">
        <v>900</v>
      </c>
      <c r="K6646" s="21">
        <v>90</v>
      </c>
      <c r="L6646" s="5">
        <v>0</v>
      </c>
      <c r="M6646" s="4"/>
      <c r="N6646" s="4"/>
      <c r="O6646" s="5"/>
      <c r="P6646" s="5"/>
      <c r="Q6646" s="21">
        <v>0</v>
      </c>
      <c r="R6646" s="21">
        <v>0</v>
      </c>
      <c r="S6646" s="5">
        <f t="shared" si="415"/>
        <v>40283.203288159901</v>
      </c>
      <c r="T6646" cm="1">
        <f t="array" ref="T6646">IF(OR(B6646="MAL ALIMI", B6646="ÜRETİM GİRİŞ"), MIN(I6646, MAX(0, I6646 + SUM(SUMIFS($I$1:I6645, $C$1:C6645, C6646, $B$1:B6645, {"MAL ALIMI","ÜRETİM GİRİŞ"})) - VLOOKUP(C6646, 'STOK RAPORU'!$C$2:$I$1000, 4, 0))), 0)</f>
        <v>0</v>
      </c>
      <c r="U6646" s="22">
        <f t="shared" si="416"/>
        <v>0</v>
      </c>
      <c r="V6646">
        <f t="shared" si="417"/>
        <v>0</v>
      </c>
      <c r="W6646" s="22">
        <f t="shared" si="418"/>
        <v>0</v>
      </c>
    </row>
    <row r="6647" spans="1:23" hidden="1" x14ac:dyDescent="0.25">
      <c r="A6647" s="3">
        <v>46140</v>
      </c>
      <c r="B6647" s="46" t="s">
        <v>334</v>
      </c>
      <c r="C6647" s="4" t="s">
        <v>195</v>
      </c>
      <c r="D6647" s="4"/>
      <c r="E6647" s="4" t="s">
        <v>921</v>
      </c>
      <c r="F6647" s="46" t="s">
        <v>3207</v>
      </c>
      <c r="G6647" s="4" t="s">
        <v>336</v>
      </c>
      <c r="H6647" s="4" t="s">
        <v>380</v>
      </c>
      <c r="I6647" s="4">
        <v>0.05</v>
      </c>
      <c r="J6647" s="21">
        <v>1000</v>
      </c>
      <c r="K6647" s="21">
        <v>50</v>
      </c>
      <c r="L6647" s="5">
        <v>0</v>
      </c>
      <c r="M6647" s="4"/>
      <c r="N6647" s="4"/>
      <c r="O6647" s="5"/>
      <c r="P6647" s="5"/>
      <c r="Q6647" s="21">
        <v>0</v>
      </c>
      <c r="R6647" s="21">
        <v>0</v>
      </c>
      <c r="S6647" s="5">
        <f t="shared" si="415"/>
        <v>40283.203288159901</v>
      </c>
      <c r="T6647" cm="1">
        <f t="array" ref="T6647">IF(OR(B6647="MAL ALIMI", B6647="ÜRETİM GİRİŞ"), MIN(I6647, MAX(0, I6647 + SUM(SUMIFS($I$1:I6646, $C$1:C6646, C6647, $B$1:B6646, {"MAL ALIMI","ÜRETİM GİRİŞ"})) - VLOOKUP(C6647, 'STOK RAPORU'!$C$2:$I$1000, 4, 0))), 0)</f>
        <v>0</v>
      </c>
      <c r="U6647" s="22">
        <f t="shared" si="416"/>
        <v>0</v>
      </c>
      <c r="V6647">
        <f t="shared" si="417"/>
        <v>0</v>
      </c>
      <c r="W6647" s="22">
        <f t="shared" si="418"/>
        <v>0</v>
      </c>
    </row>
    <row r="6648" spans="1:23" hidden="1" x14ac:dyDescent="0.25">
      <c r="A6648" s="3">
        <v>46140</v>
      </c>
      <c r="B6648" s="46" t="s">
        <v>334</v>
      </c>
      <c r="C6648" s="4" t="s">
        <v>835</v>
      </c>
      <c r="D6648" s="4"/>
      <c r="E6648" s="4" t="s">
        <v>921</v>
      </c>
      <c r="F6648" s="46" t="s">
        <v>3207</v>
      </c>
      <c r="G6648" s="4" t="s">
        <v>336</v>
      </c>
      <c r="H6648" s="4" t="s">
        <v>380</v>
      </c>
      <c r="I6648" s="4">
        <v>1</v>
      </c>
      <c r="J6648" s="21">
        <v>130</v>
      </c>
      <c r="K6648" s="21">
        <v>130</v>
      </c>
      <c r="L6648" s="5">
        <v>0</v>
      </c>
      <c r="M6648" s="4"/>
      <c r="N6648" s="4"/>
      <c r="O6648" s="5"/>
      <c r="P6648" s="5"/>
      <c r="Q6648" s="21">
        <v>0</v>
      </c>
      <c r="R6648" s="21">
        <v>0</v>
      </c>
      <c r="S6648" s="5">
        <f t="shared" si="415"/>
        <v>40283.203288159901</v>
      </c>
      <c r="T6648" cm="1">
        <f t="array" ref="T6648">IF(OR(B6648="MAL ALIMI", B6648="ÜRETİM GİRİŞ"), MIN(I6648, MAX(0, I6648 + SUM(SUMIFS($I$1:I6647, $C$1:C6647, C6648, $B$1:B6647, {"MAL ALIMI","ÜRETİM GİRİŞ"})) - VLOOKUP(C6648, 'STOK RAPORU'!$C$2:$I$1000, 4, 0))), 0)</f>
        <v>0</v>
      </c>
      <c r="U6648" s="22">
        <f t="shared" si="416"/>
        <v>0</v>
      </c>
      <c r="V6648">
        <f t="shared" si="417"/>
        <v>0</v>
      </c>
      <c r="W6648" s="22">
        <f t="shared" si="418"/>
        <v>0</v>
      </c>
    </row>
    <row r="6649" spans="1:23" hidden="1" x14ac:dyDescent="0.25">
      <c r="A6649" s="3">
        <v>46140</v>
      </c>
      <c r="B6649" s="46" t="s">
        <v>334</v>
      </c>
      <c r="C6649" s="4" t="s">
        <v>60</v>
      </c>
      <c r="D6649" s="4"/>
      <c r="E6649" s="4" t="s">
        <v>921</v>
      </c>
      <c r="F6649" s="46" t="s">
        <v>3207</v>
      </c>
      <c r="G6649" s="4" t="s">
        <v>336</v>
      </c>
      <c r="H6649" s="4" t="s">
        <v>380</v>
      </c>
      <c r="I6649" s="4">
        <v>0.05</v>
      </c>
      <c r="J6649" s="21">
        <v>1200</v>
      </c>
      <c r="K6649" s="21">
        <v>60</v>
      </c>
      <c r="L6649" s="5">
        <v>0</v>
      </c>
      <c r="M6649" s="4"/>
      <c r="N6649" s="4"/>
      <c r="O6649" s="5"/>
      <c r="P6649" s="5"/>
      <c r="Q6649" s="21">
        <v>0</v>
      </c>
      <c r="R6649" s="21">
        <v>0</v>
      </c>
      <c r="S6649" s="5">
        <f t="shared" si="415"/>
        <v>40283.203288159901</v>
      </c>
      <c r="T6649" cm="1">
        <f t="array" ref="T6649">IF(OR(B6649="MAL ALIMI", B6649="ÜRETİM GİRİŞ"), MIN(I6649, MAX(0, I6649 + SUM(SUMIFS($I$1:I6648, $C$1:C6648, C6649, $B$1:B6648, {"MAL ALIMI","ÜRETİM GİRİŞ"})) - VLOOKUP(C6649, 'STOK RAPORU'!$C$2:$I$1000, 4, 0))), 0)</f>
        <v>0</v>
      </c>
      <c r="U6649" s="22">
        <f t="shared" si="416"/>
        <v>0</v>
      </c>
      <c r="V6649">
        <f t="shared" si="417"/>
        <v>0</v>
      </c>
      <c r="W6649" s="22">
        <f t="shared" si="418"/>
        <v>0</v>
      </c>
    </row>
    <row r="6650" spans="1:23" hidden="1" x14ac:dyDescent="0.25">
      <c r="A6650" s="3">
        <v>46140</v>
      </c>
      <c r="B6650" s="46" t="s">
        <v>334</v>
      </c>
      <c r="C6650" s="4" t="s">
        <v>523</v>
      </c>
      <c r="D6650" s="4"/>
      <c r="E6650" s="4" t="s">
        <v>921</v>
      </c>
      <c r="F6650" s="46" t="s">
        <v>3207</v>
      </c>
      <c r="G6650" s="4" t="s">
        <v>336</v>
      </c>
      <c r="H6650" s="4" t="s">
        <v>380</v>
      </c>
      <c r="I6650" s="4">
        <v>0.05</v>
      </c>
      <c r="J6650" s="21">
        <v>1200</v>
      </c>
      <c r="K6650" s="21">
        <v>60</v>
      </c>
      <c r="L6650" s="5">
        <v>0</v>
      </c>
      <c r="M6650" s="4"/>
      <c r="N6650" s="4"/>
      <c r="O6650" s="5"/>
      <c r="P6650" s="5"/>
      <c r="Q6650" s="21">
        <v>0</v>
      </c>
      <c r="R6650" s="21">
        <v>0</v>
      </c>
      <c r="S6650" s="5">
        <f t="shared" si="415"/>
        <v>40283.203288159901</v>
      </c>
      <c r="T6650" cm="1">
        <f t="array" ref="T6650">IF(OR(B6650="MAL ALIMI", B6650="ÜRETİM GİRİŞ"), MIN(I6650, MAX(0, I6650 + SUM(SUMIFS($I$1:I6649, $C$1:C6649, C6650, $B$1:B6649, {"MAL ALIMI","ÜRETİM GİRİŞ"})) - VLOOKUP(C6650, 'STOK RAPORU'!$C$2:$I$1000, 4, 0))), 0)</f>
        <v>0</v>
      </c>
      <c r="U6650" s="22">
        <f t="shared" si="416"/>
        <v>0</v>
      </c>
      <c r="V6650">
        <f t="shared" si="417"/>
        <v>0</v>
      </c>
      <c r="W6650" s="22">
        <f t="shared" si="418"/>
        <v>0</v>
      </c>
    </row>
    <row r="6651" spans="1:23" hidden="1" x14ac:dyDescent="0.25">
      <c r="A6651" s="3">
        <v>46140</v>
      </c>
      <c r="B6651" s="46" t="s">
        <v>334</v>
      </c>
      <c r="C6651" s="4" t="s">
        <v>1151</v>
      </c>
      <c r="D6651" s="4"/>
      <c r="E6651" s="4" t="s">
        <v>921</v>
      </c>
      <c r="F6651" s="46" t="s">
        <v>3208</v>
      </c>
      <c r="G6651" s="4" t="s">
        <v>336</v>
      </c>
      <c r="H6651" s="4" t="s">
        <v>380</v>
      </c>
      <c r="I6651" s="4">
        <v>0.27777777777777779</v>
      </c>
      <c r="J6651" s="21">
        <v>400</v>
      </c>
      <c r="K6651" s="21">
        <v>111.11111111111111</v>
      </c>
      <c r="L6651" s="5">
        <v>0</v>
      </c>
      <c r="M6651" s="4"/>
      <c r="N6651" s="4"/>
      <c r="O6651" s="5"/>
      <c r="P6651" s="5"/>
      <c r="Q6651" s="21">
        <v>0</v>
      </c>
      <c r="R6651" s="21">
        <v>0</v>
      </c>
      <c r="S6651" s="5">
        <f t="shared" si="415"/>
        <v>40283.203288159901</v>
      </c>
      <c r="T6651" cm="1">
        <f t="array" ref="T6651">IF(OR(B6651="MAL ALIMI", B6651="ÜRETİM GİRİŞ"), MIN(I6651, MAX(0, I6651 + SUM(SUMIFS($I$1:I6650, $C$1:C6650, C6651, $B$1:B6650, {"MAL ALIMI","ÜRETİM GİRİŞ"})) - VLOOKUP(C6651, 'STOK RAPORU'!$C$2:$I$1000, 4, 0))), 0)</f>
        <v>0</v>
      </c>
      <c r="U6651" s="22">
        <f t="shared" si="416"/>
        <v>0</v>
      </c>
      <c r="V6651">
        <f t="shared" si="417"/>
        <v>0</v>
      </c>
      <c r="W6651" s="22">
        <f t="shared" si="418"/>
        <v>0</v>
      </c>
    </row>
    <row r="6652" spans="1:23" hidden="1" x14ac:dyDescent="0.25">
      <c r="A6652" s="3">
        <v>46140</v>
      </c>
      <c r="B6652" s="46" t="s">
        <v>334</v>
      </c>
      <c r="C6652" s="4" t="s">
        <v>226</v>
      </c>
      <c r="D6652" s="4"/>
      <c r="E6652" s="4" t="s">
        <v>921</v>
      </c>
      <c r="F6652" s="46" t="s">
        <v>3208</v>
      </c>
      <c r="G6652" s="4" t="s">
        <v>336</v>
      </c>
      <c r="H6652" s="4" t="s">
        <v>380</v>
      </c>
      <c r="I6652" s="4">
        <v>0.22727272727272727</v>
      </c>
      <c r="J6652" s="21">
        <v>220</v>
      </c>
      <c r="K6652" s="21">
        <v>50</v>
      </c>
      <c r="L6652" s="5">
        <v>0</v>
      </c>
      <c r="M6652" s="4"/>
      <c r="N6652" s="4"/>
      <c r="O6652" s="5"/>
      <c r="P6652" s="5"/>
      <c r="Q6652" s="21">
        <v>0</v>
      </c>
      <c r="R6652" s="21">
        <v>0</v>
      </c>
      <c r="S6652" s="5">
        <f t="shared" si="415"/>
        <v>40283.203288159901</v>
      </c>
      <c r="T6652" cm="1">
        <f t="array" ref="T6652">IF(OR(B6652="MAL ALIMI", B6652="ÜRETİM GİRİŞ"), MIN(I6652, MAX(0, I6652 + SUM(SUMIFS($I$1:I6651, $C$1:C6651, C6652, $B$1:B6651, {"MAL ALIMI","ÜRETİM GİRİŞ"})) - VLOOKUP(C6652, 'STOK RAPORU'!$C$2:$I$1000, 4, 0))), 0)</f>
        <v>0</v>
      </c>
      <c r="U6652" s="22">
        <f t="shared" si="416"/>
        <v>0</v>
      </c>
      <c r="V6652">
        <f t="shared" si="417"/>
        <v>0</v>
      </c>
      <c r="W6652" s="22">
        <f t="shared" si="418"/>
        <v>0</v>
      </c>
    </row>
    <row r="6653" spans="1:23" hidden="1" x14ac:dyDescent="0.25">
      <c r="A6653" s="3">
        <v>46140</v>
      </c>
      <c r="B6653" s="46" t="s">
        <v>334</v>
      </c>
      <c r="C6653" s="4" t="s">
        <v>131</v>
      </c>
      <c r="D6653" s="4"/>
      <c r="E6653" s="4" t="s">
        <v>921</v>
      </c>
      <c r="F6653" s="46" t="s">
        <v>3208</v>
      </c>
      <c r="G6653" s="4" t="s">
        <v>336</v>
      </c>
      <c r="H6653" s="4" t="s">
        <v>380</v>
      </c>
      <c r="I6653" s="4">
        <v>7.2499999999999995E-2</v>
      </c>
      <c r="J6653" s="21">
        <v>400</v>
      </c>
      <c r="K6653" s="21">
        <v>28.999999999999996</v>
      </c>
      <c r="L6653" s="5">
        <v>0</v>
      </c>
      <c r="M6653" s="4"/>
      <c r="N6653" s="4"/>
      <c r="O6653" s="5"/>
      <c r="P6653" s="5"/>
      <c r="Q6653" s="21">
        <v>0</v>
      </c>
      <c r="R6653" s="21">
        <v>0</v>
      </c>
      <c r="S6653" s="5">
        <f t="shared" si="415"/>
        <v>40283.203288159901</v>
      </c>
      <c r="T6653" cm="1">
        <f t="array" ref="T6653">IF(OR(B6653="MAL ALIMI", B6653="ÜRETİM GİRİŞ"), MIN(I6653, MAX(0, I6653 + SUM(SUMIFS($I$1:I6652, $C$1:C6652, C6653, $B$1:B6652, {"MAL ALIMI","ÜRETİM GİRİŞ"})) - VLOOKUP(C6653, 'STOK RAPORU'!$C$2:$I$1000, 4, 0))), 0)</f>
        <v>0</v>
      </c>
      <c r="U6653" s="22">
        <f t="shared" si="416"/>
        <v>0</v>
      </c>
      <c r="V6653">
        <f t="shared" si="417"/>
        <v>0</v>
      </c>
      <c r="W6653" s="22">
        <f t="shared" si="418"/>
        <v>0</v>
      </c>
    </row>
    <row r="6654" spans="1:23" hidden="1" x14ac:dyDescent="0.25">
      <c r="A6654" s="3">
        <v>46140</v>
      </c>
      <c r="B6654" s="46" t="s">
        <v>334</v>
      </c>
      <c r="C6654" s="4" t="s">
        <v>824</v>
      </c>
      <c r="D6654" s="4"/>
      <c r="E6654" s="4"/>
      <c r="F6654" s="46" t="s">
        <v>3209</v>
      </c>
      <c r="G6654" s="4" t="s">
        <v>336</v>
      </c>
      <c r="H6654" s="4" t="s">
        <v>289</v>
      </c>
      <c r="I6654" s="4">
        <v>1</v>
      </c>
      <c r="J6654" s="21">
        <v>125</v>
      </c>
      <c r="K6654" s="21">
        <v>0</v>
      </c>
      <c r="L6654" s="5">
        <v>0</v>
      </c>
      <c r="M6654" s="4"/>
      <c r="N6654" s="4"/>
      <c r="O6654" s="5"/>
      <c r="P6654" s="5"/>
      <c r="Q6654" s="21">
        <v>125</v>
      </c>
      <c r="R6654" s="21">
        <v>0</v>
      </c>
      <c r="S6654" s="5">
        <f t="shared" si="415"/>
        <v>40408.203288159901</v>
      </c>
      <c r="T6654" cm="1">
        <f t="array" ref="T6654">IF(OR(B6654="MAL ALIMI", B6654="ÜRETİM GİRİŞ"), MIN(I6654, MAX(0, I6654 + SUM(SUMIFS($I$1:I6653, $C$1:C6653, C6654, $B$1:B6653, {"MAL ALIMI","ÜRETİM GİRİŞ"})) - VLOOKUP(C6654, 'STOK RAPORU'!$C$2:$I$1000, 4, 0))), 0)</f>
        <v>0</v>
      </c>
      <c r="U6654" s="22">
        <f t="shared" si="416"/>
        <v>0</v>
      </c>
      <c r="V6654">
        <f t="shared" si="417"/>
        <v>0</v>
      </c>
      <c r="W6654" s="22">
        <f t="shared" si="418"/>
        <v>0</v>
      </c>
    </row>
    <row r="6655" spans="1:23" hidden="1" x14ac:dyDescent="0.25">
      <c r="A6655" s="3">
        <v>46140</v>
      </c>
      <c r="B6655" s="46" t="s">
        <v>334</v>
      </c>
      <c r="C6655" s="4" t="s">
        <v>826</v>
      </c>
      <c r="D6655" s="4"/>
      <c r="E6655" s="4"/>
      <c r="F6655" s="46" t="s">
        <v>3209</v>
      </c>
      <c r="G6655" s="4" t="s">
        <v>336</v>
      </c>
      <c r="H6655" s="4" t="s">
        <v>289</v>
      </c>
      <c r="I6655" s="4">
        <v>1</v>
      </c>
      <c r="J6655" s="21">
        <v>130</v>
      </c>
      <c r="K6655" s="21">
        <v>0</v>
      </c>
      <c r="L6655" s="5">
        <v>0</v>
      </c>
      <c r="M6655" s="4"/>
      <c r="N6655" s="4"/>
      <c r="O6655" s="5"/>
      <c r="P6655" s="5"/>
      <c r="Q6655" s="21">
        <v>130</v>
      </c>
      <c r="R6655" s="21">
        <v>0</v>
      </c>
      <c r="S6655" s="5">
        <f t="shared" si="415"/>
        <v>40538.203288159901</v>
      </c>
      <c r="T6655" cm="1">
        <f t="array" ref="T6655">IF(OR(B6655="MAL ALIMI", B6655="ÜRETİM GİRİŞ"), MIN(I6655, MAX(0, I6655 + SUM(SUMIFS($I$1:I6654, $C$1:C6654, C6655, $B$1:B6654, {"MAL ALIMI","ÜRETİM GİRİŞ"})) - VLOOKUP(C6655, 'STOK RAPORU'!$C$2:$I$1000, 4, 0))), 0)</f>
        <v>0</v>
      </c>
      <c r="U6655" s="22">
        <f t="shared" si="416"/>
        <v>0</v>
      </c>
      <c r="V6655">
        <f t="shared" si="417"/>
        <v>0</v>
      </c>
      <c r="W6655" s="22">
        <f t="shared" si="418"/>
        <v>0</v>
      </c>
    </row>
    <row r="6656" spans="1:23" hidden="1" x14ac:dyDescent="0.25">
      <c r="A6656" s="3">
        <v>46140</v>
      </c>
      <c r="B6656" s="46" t="s">
        <v>334</v>
      </c>
      <c r="C6656" s="4" t="s">
        <v>1375</v>
      </c>
      <c r="D6656" s="4"/>
      <c r="E6656" s="4"/>
      <c r="F6656" s="46" t="s">
        <v>3209</v>
      </c>
      <c r="G6656" s="4" t="s">
        <v>336</v>
      </c>
      <c r="H6656" s="4" t="s">
        <v>289</v>
      </c>
      <c r="I6656" s="4">
        <v>1</v>
      </c>
      <c r="J6656" s="21">
        <v>220</v>
      </c>
      <c r="K6656" s="21">
        <v>0</v>
      </c>
      <c r="L6656" s="5">
        <v>0</v>
      </c>
      <c r="M6656" s="4"/>
      <c r="N6656" s="4"/>
      <c r="O6656" s="5"/>
      <c r="P6656" s="5"/>
      <c r="Q6656" s="21">
        <v>220</v>
      </c>
      <c r="R6656" s="21">
        <v>0</v>
      </c>
      <c r="S6656" s="5">
        <f t="shared" si="415"/>
        <v>40758.203288159901</v>
      </c>
      <c r="T6656" cm="1">
        <f t="array" ref="T6656">IF(OR(B6656="MAL ALIMI", B6656="ÜRETİM GİRİŞ"), MIN(I6656, MAX(0, I6656 + SUM(SUMIFS($I$1:I6655, $C$1:C6655, C6656, $B$1:B6655, {"MAL ALIMI","ÜRETİM GİRİŞ"})) - VLOOKUP(C6656, 'STOK RAPORU'!$C$2:$I$1000, 4, 0))), 0)</f>
        <v>0</v>
      </c>
      <c r="U6656" s="22">
        <f t="shared" si="416"/>
        <v>0</v>
      </c>
      <c r="V6656">
        <f t="shared" si="417"/>
        <v>0</v>
      </c>
      <c r="W6656" s="22">
        <f t="shared" si="418"/>
        <v>0</v>
      </c>
    </row>
    <row r="6657" spans="1:23" hidden="1" x14ac:dyDescent="0.25">
      <c r="A6657" s="3">
        <v>46140</v>
      </c>
      <c r="B6657" s="46" t="s">
        <v>334</v>
      </c>
      <c r="C6657" s="4" t="s">
        <v>1176</v>
      </c>
      <c r="D6657" s="4"/>
      <c r="E6657" s="4"/>
      <c r="F6657" s="46" t="s">
        <v>3210</v>
      </c>
      <c r="G6657" s="4" t="s">
        <v>336</v>
      </c>
      <c r="H6657" s="4" t="s">
        <v>289</v>
      </c>
      <c r="I6657" s="4">
        <v>0.1</v>
      </c>
      <c r="J6657" s="21">
        <v>2000</v>
      </c>
      <c r="K6657" s="21">
        <v>0</v>
      </c>
      <c r="L6657" s="5">
        <v>0</v>
      </c>
      <c r="M6657" s="4"/>
      <c r="N6657" s="4"/>
      <c r="O6657" s="5"/>
      <c r="P6657" s="5"/>
      <c r="Q6657" s="21">
        <v>200</v>
      </c>
      <c r="R6657" s="21">
        <v>0</v>
      </c>
      <c r="S6657" s="5">
        <f t="shared" si="415"/>
        <v>40958.203288159901</v>
      </c>
      <c r="T6657" cm="1">
        <f t="array" ref="T6657">IF(OR(B6657="MAL ALIMI", B6657="ÜRETİM GİRİŞ"), MIN(I6657, MAX(0, I6657 + SUM(SUMIFS($I$1:I6656, $C$1:C6656, C6657, $B$1:B6656, {"MAL ALIMI","ÜRETİM GİRİŞ"})) - VLOOKUP(C6657, 'STOK RAPORU'!$C$2:$I$1000, 4, 0))), 0)</f>
        <v>0</v>
      </c>
      <c r="U6657" s="22">
        <f t="shared" si="416"/>
        <v>0</v>
      </c>
      <c r="V6657">
        <f t="shared" si="417"/>
        <v>0</v>
      </c>
      <c r="W6657" s="22">
        <f t="shared" si="418"/>
        <v>0</v>
      </c>
    </row>
    <row r="6658" spans="1:23" hidden="1" x14ac:dyDescent="0.25">
      <c r="A6658" s="3">
        <v>46140</v>
      </c>
      <c r="B6658" s="46" t="s">
        <v>334</v>
      </c>
      <c r="C6658" s="4" t="s">
        <v>1269</v>
      </c>
      <c r="D6658" s="4"/>
      <c r="E6658" s="4" t="s">
        <v>921</v>
      </c>
      <c r="F6658" s="46" t="s">
        <v>3211</v>
      </c>
      <c r="G6658" s="4" t="s">
        <v>336</v>
      </c>
      <c r="H6658" s="4" t="s">
        <v>380</v>
      </c>
      <c r="I6658" s="4">
        <v>1</v>
      </c>
      <c r="J6658" s="21">
        <v>125</v>
      </c>
      <c r="K6658" s="21">
        <v>125</v>
      </c>
      <c r="L6658" s="5">
        <v>0</v>
      </c>
      <c r="M6658" s="4"/>
      <c r="N6658" s="4"/>
      <c r="O6658" s="5"/>
      <c r="P6658" s="5"/>
      <c r="Q6658" s="21">
        <v>0</v>
      </c>
      <c r="R6658" s="21">
        <v>0</v>
      </c>
      <c r="S6658" s="5">
        <f t="shared" si="415"/>
        <v>40958.203288159901</v>
      </c>
      <c r="T6658" cm="1">
        <f t="array" ref="T6658">IF(OR(B6658="MAL ALIMI", B6658="ÜRETİM GİRİŞ"), MIN(I6658, MAX(0, I6658 + SUM(SUMIFS($I$1:I6657, $C$1:C6657, C6658, $B$1:B6657, {"MAL ALIMI","ÜRETİM GİRİŞ"})) - VLOOKUP(C6658, 'STOK RAPORU'!$C$2:$I$1000, 4, 0))), 0)</f>
        <v>0</v>
      </c>
      <c r="U6658" s="22">
        <f t="shared" si="416"/>
        <v>0</v>
      </c>
      <c r="V6658">
        <f t="shared" si="417"/>
        <v>0</v>
      </c>
      <c r="W6658" s="22">
        <f t="shared" si="418"/>
        <v>0</v>
      </c>
    </row>
    <row r="6659" spans="1:23" hidden="1" x14ac:dyDescent="0.25">
      <c r="A6659" s="3">
        <v>46140</v>
      </c>
      <c r="B6659" s="46" t="s">
        <v>334</v>
      </c>
      <c r="C6659" s="4" t="s">
        <v>728</v>
      </c>
      <c r="D6659" s="4"/>
      <c r="E6659" s="4" t="s">
        <v>921</v>
      </c>
      <c r="F6659" s="46" t="s">
        <v>3212</v>
      </c>
      <c r="G6659" s="4" t="s">
        <v>336</v>
      </c>
      <c r="H6659" s="4" t="s">
        <v>380</v>
      </c>
      <c r="I6659" s="4">
        <v>0.2153846153846154</v>
      </c>
      <c r="J6659" s="21">
        <v>650</v>
      </c>
      <c r="K6659" s="21">
        <v>140</v>
      </c>
      <c r="L6659" s="5">
        <v>0</v>
      </c>
      <c r="M6659" s="4"/>
      <c r="N6659" s="4"/>
      <c r="O6659" s="5"/>
      <c r="P6659" s="5"/>
      <c r="Q6659" s="21">
        <v>0</v>
      </c>
      <c r="R6659" s="21">
        <v>0</v>
      </c>
      <c r="S6659" s="5">
        <f t="shared" si="415"/>
        <v>40958.203288159901</v>
      </c>
      <c r="T6659" cm="1">
        <f t="array" ref="T6659">IF(OR(B6659="MAL ALIMI", B6659="ÜRETİM GİRİŞ"), MIN(I6659, MAX(0, I6659 + SUM(SUMIFS($I$1:I6658, $C$1:C6658, C6659, $B$1:B6658, {"MAL ALIMI","ÜRETİM GİRİŞ"})) - VLOOKUP(C6659, 'STOK RAPORU'!$C$2:$I$1000, 4, 0))), 0)</f>
        <v>0</v>
      </c>
      <c r="U6659" s="22">
        <f t="shared" si="416"/>
        <v>0</v>
      </c>
      <c r="V6659">
        <f t="shared" si="417"/>
        <v>0</v>
      </c>
      <c r="W6659" s="22">
        <f t="shared" si="418"/>
        <v>0</v>
      </c>
    </row>
    <row r="6660" spans="1:23" hidden="1" x14ac:dyDescent="0.25">
      <c r="A6660" s="3">
        <v>46140</v>
      </c>
      <c r="B6660" s="46" t="s">
        <v>334</v>
      </c>
      <c r="C6660" s="4" t="s">
        <v>248</v>
      </c>
      <c r="D6660" s="4"/>
      <c r="E6660" s="4" t="s">
        <v>921</v>
      </c>
      <c r="F6660" s="46" t="s">
        <v>3212</v>
      </c>
      <c r="G6660" s="4" t="s">
        <v>336</v>
      </c>
      <c r="H6660" s="4" t="s">
        <v>380</v>
      </c>
      <c r="I6660" s="4">
        <v>0.2</v>
      </c>
      <c r="J6660" s="21">
        <v>1000</v>
      </c>
      <c r="K6660" s="21">
        <v>200</v>
      </c>
      <c r="L6660" s="5">
        <v>0</v>
      </c>
      <c r="M6660" s="4"/>
      <c r="N6660" s="4"/>
      <c r="O6660" s="5"/>
      <c r="P6660" s="5"/>
      <c r="Q6660" s="21">
        <v>0</v>
      </c>
      <c r="R6660" s="21">
        <v>0</v>
      </c>
      <c r="S6660" s="5">
        <f t="shared" ref="S6660:S6723" si="419">S6659+Q6660-R6660</f>
        <v>40958.203288159901</v>
      </c>
      <c r="T6660" cm="1">
        <f t="array" ref="T6660">IF(OR(B6660="MAL ALIMI", B6660="ÜRETİM GİRİŞ"), MIN(I6660, MAX(0, I6660 + SUM(SUMIFS($I$1:I6659, $C$1:C6659, C6660, $B$1:B6659, {"MAL ALIMI","ÜRETİM GİRİŞ"})) - VLOOKUP(C6660, 'STOK RAPORU'!$C$2:$I$1000, 4, 0))), 0)</f>
        <v>0</v>
      </c>
      <c r="U6660" s="22">
        <f t="shared" si="416"/>
        <v>0</v>
      </c>
      <c r="V6660">
        <f t="shared" si="417"/>
        <v>0</v>
      </c>
      <c r="W6660" s="22">
        <f t="shared" si="418"/>
        <v>0</v>
      </c>
    </row>
    <row r="6661" spans="1:23" hidden="1" x14ac:dyDescent="0.25">
      <c r="A6661" s="3">
        <v>46140</v>
      </c>
      <c r="B6661" s="46" t="s">
        <v>334</v>
      </c>
      <c r="C6661" s="4" t="s">
        <v>634</v>
      </c>
      <c r="D6661" s="4"/>
      <c r="E6661" s="4"/>
      <c r="F6661" s="46" t="s">
        <v>3213</v>
      </c>
      <c r="G6661" s="4" t="s">
        <v>336</v>
      </c>
      <c r="H6661" s="4" t="s">
        <v>289</v>
      </c>
      <c r="I6661" s="4">
        <v>0.23529411764705882</v>
      </c>
      <c r="J6661" s="21">
        <v>850</v>
      </c>
      <c r="K6661" s="21">
        <v>0</v>
      </c>
      <c r="L6661" s="5">
        <v>0</v>
      </c>
      <c r="M6661" s="4"/>
      <c r="N6661" s="4"/>
      <c r="O6661" s="5"/>
      <c r="P6661" s="5"/>
      <c r="Q6661" s="21">
        <v>200</v>
      </c>
      <c r="R6661" s="21">
        <v>0</v>
      </c>
      <c r="S6661" s="5">
        <f t="shared" si="419"/>
        <v>41158.203288159901</v>
      </c>
      <c r="T6661" cm="1">
        <f t="array" ref="T6661">IF(OR(B6661="MAL ALIMI", B6661="ÜRETİM GİRİŞ"), MIN(I6661, MAX(0, I6661 + SUM(SUMIFS($I$1:I6660, $C$1:C6660, C6661, $B$1:B6660, {"MAL ALIMI","ÜRETİM GİRİŞ"})) - VLOOKUP(C6661, 'STOK RAPORU'!$C$2:$I$1000, 4, 0))), 0)</f>
        <v>0</v>
      </c>
      <c r="U6661" s="22">
        <f t="shared" si="416"/>
        <v>0</v>
      </c>
      <c r="V6661">
        <f t="shared" si="417"/>
        <v>0</v>
      </c>
      <c r="W6661" s="22">
        <f t="shared" si="418"/>
        <v>0</v>
      </c>
    </row>
    <row r="6662" spans="1:23" hidden="1" x14ac:dyDescent="0.25">
      <c r="A6662" s="3">
        <v>46140</v>
      </c>
      <c r="B6662" s="46" t="s">
        <v>334</v>
      </c>
      <c r="C6662" s="4" t="s">
        <v>977</v>
      </c>
      <c r="D6662" s="4"/>
      <c r="E6662" s="4" t="s">
        <v>921</v>
      </c>
      <c r="F6662" s="46" t="s">
        <v>3214</v>
      </c>
      <c r="G6662" s="4" t="s">
        <v>336</v>
      </c>
      <c r="H6662" s="4" t="s">
        <v>380</v>
      </c>
      <c r="I6662" s="4">
        <v>0.121875</v>
      </c>
      <c r="J6662" s="21">
        <v>320</v>
      </c>
      <c r="K6662" s="21">
        <v>39</v>
      </c>
      <c r="L6662" s="5">
        <v>0</v>
      </c>
      <c r="M6662" s="4"/>
      <c r="N6662" s="4"/>
      <c r="O6662" s="5"/>
      <c r="P6662" s="5"/>
      <c r="Q6662" s="21">
        <v>0</v>
      </c>
      <c r="R6662" s="21">
        <v>0</v>
      </c>
      <c r="S6662" s="5">
        <f t="shared" si="419"/>
        <v>41158.203288159901</v>
      </c>
      <c r="T6662" cm="1">
        <f t="array" ref="T6662">IF(OR(B6662="MAL ALIMI", B6662="ÜRETİM GİRİŞ"), MIN(I6662, MAX(0, I6662 + SUM(SUMIFS($I$1:I6661, $C$1:C6661, C6662, $B$1:B6661, {"MAL ALIMI","ÜRETİM GİRİŞ"})) - VLOOKUP(C6662, 'STOK RAPORU'!$C$2:$I$1000, 4, 0))), 0)</f>
        <v>0</v>
      </c>
      <c r="U6662" s="22">
        <f t="shared" si="416"/>
        <v>0</v>
      </c>
      <c r="V6662">
        <f t="shared" si="417"/>
        <v>0</v>
      </c>
      <c r="W6662" s="22">
        <f t="shared" si="418"/>
        <v>0</v>
      </c>
    </row>
    <row r="6663" spans="1:23" hidden="1" x14ac:dyDescent="0.25">
      <c r="A6663" s="3">
        <v>46140</v>
      </c>
      <c r="B6663" s="46" t="s">
        <v>334</v>
      </c>
      <c r="C6663" s="4" t="s">
        <v>158</v>
      </c>
      <c r="D6663" s="4"/>
      <c r="E6663" s="4" t="s">
        <v>921</v>
      </c>
      <c r="F6663" s="46" t="s">
        <v>3214</v>
      </c>
      <c r="G6663" s="4" t="s">
        <v>336</v>
      </c>
      <c r="H6663" s="4" t="s">
        <v>380</v>
      </c>
      <c r="I6663" s="4">
        <v>1</v>
      </c>
      <c r="J6663" s="21">
        <v>150</v>
      </c>
      <c r="K6663" s="21">
        <v>150</v>
      </c>
      <c r="L6663" s="5">
        <v>0</v>
      </c>
      <c r="M6663" s="4"/>
      <c r="N6663" s="4"/>
      <c r="O6663" s="5"/>
      <c r="P6663" s="5"/>
      <c r="Q6663" s="21">
        <v>0</v>
      </c>
      <c r="R6663" s="21">
        <v>0</v>
      </c>
      <c r="S6663" s="5">
        <f t="shared" si="419"/>
        <v>41158.203288159901</v>
      </c>
      <c r="T6663" cm="1">
        <f t="array" ref="T6663">IF(OR(B6663="MAL ALIMI", B6663="ÜRETİM GİRİŞ"), MIN(I6663, MAX(0, I6663 + SUM(SUMIFS($I$1:I6662, $C$1:C6662, C6663, $B$1:B6662, {"MAL ALIMI","ÜRETİM GİRİŞ"})) - VLOOKUP(C6663, 'STOK RAPORU'!$C$2:$I$1000, 4, 0))), 0)</f>
        <v>0</v>
      </c>
      <c r="U6663" s="22">
        <f t="shared" si="416"/>
        <v>0</v>
      </c>
      <c r="V6663">
        <f t="shared" si="417"/>
        <v>0</v>
      </c>
      <c r="W6663" s="22">
        <f t="shared" si="418"/>
        <v>0</v>
      </c>
    </row>
    <row r="6664" spans="1:23" hidden="1" x14ac:dyDescent="0.25">
      <c r="A6664" s="3">
        <v>46140</v>
      </c>
      <c r="B6664" s="46" t="s">
        <v>334</v>
      </c>
      <c r="C6664" s="4" t="s">
        <v>157</v>
      </c>
      <c r="D6664" s="4"/>
      <c r="E6664" s="4" t="s">
        <v>921</v>
      </c>
      <c r="F6664" s="46" t="s">
        <v>3214</v>
      </c>
      <c r="G6664" s="4" t="s">
        <v>336</v>
      </c>
      <c r="H6664" s="4" t="s">
        <v>380</v>
      </c>
      <c r="I6664" s="4">
        <v>1</v>
      </c>
      <c r="J6664" s="21">
        <v>200</v>
      </c>
      <c r="K6664" s="21">
        <v>200</v>
      </c>
      <c r="L6664" s="5">
        <v>0</v>
      </c>
      <c r="M6664" s="4"/>
      <c r="N6664" s="4"/>
      <c r="O6664" s="5"/>
      <c r="P6664" s="5"/>
      <c r="Q6664" s="21">
        <v>0</v>
      </c>
      <c r="R6664" s="21">
        <v>0</v>
      </c>
      <c r="S6664" s="5">
        <f t="shared" si="419"/>
        <v>41158.203288159901</v>
      </c>
      <c r="T6664" cm="1">
        <f t="array" ref="T6664">IF(OR(B6664="MAL ALIMI", B6664="ÜRETİM GİRİŞ"), MIN(I6664, MAX(0, I6664 + SUM(SUMIFS($I$1:I6663, $C$1:C6663, C6664, $B$1:B6663, {"MAL ALIMI","ÜRETİM GİRİŞ"})) - VLOOKUP(C6664, 'STOK RAPORU'!$C$2:$I$1000, 4, 0))), 0)</f>
        <v>0</v>
      </c>
      <c r="U6664" s="22">
        <f t="shared" si="416"/>
        <v>0</v>
      </c>
      <c r="V6664">
        <f t="shared" si="417"/>
        <v>0</v>
      </c>
      <c r="W6664" s="22">
        <f t="shared" si="418"/>
        <v>0</v>
      </c>
    </row>
    <row r="6665" spans="1:23" hidden="1" x14ac:dyDescent="0.25">
      <c r="A6665" s="3">
        <v>46140</v>
      </c>
      <c r="B6665" s="46" t="s">
        <v>334</v>
      </c>
      <c r="C6665" s="4" t="s">
        <v>2129</v>
      </c>
      <c r="D6665" s="4"/>
      <c r="E6665" s="4" t="s">
        <v>921</v>
      </c>
      <c r="F6665" s="46" t="s">
        <v>3214</v>
      </c>
      <c r="G6665" s="4" t="s">
        <v>336</v>
      </c>
      <c r="H6665" s="4" t="s">
        <v>380</v>
      </c>
      <c r="I6665" s="4">
        <v>0.5</v>
      </c>
      <c r="J6665" s="21">
        <v>420</v>
      </c>
      <c r="K6665" s="21">
        <v>210</v>
      </c>
      <c r="L6665" s="5">
        <v>0</v>
      </c>
      <c r="M6665" s="4"/>
      <c r="N6665" s="4"/>
      <c r="O6665" s="5"/>
      <c r="P6665" s="5"/>
      <c r="Q6665" s="21">
        <v>0</v>
      </c>
      <c r="R6665" s="21">
        <v>0</v>
      </c>
      <c r="S6665" s="5">
        <f t="shared" si="419"/>
        <v>41158.203288159901</v>
      </c>
      <c r="T6665" cm="1">
        <f t="array" ref="T6665">IF(OR(B6665="MAL ALIMI", B6665="ÜRETİM GİRİŞ"), MIN(I6665, MAX(0, I6665 + SUM(SUMIFS($I$1:I6664, $C$1:C6664, C6665, $B$1:B6664, {"MAL ALIMI","ÜRETİM GİRİŞ"})) - VLOOKUP(C6665, 'STOK RAPORU'!$C$2:$I$1000, 4, 0))), 0)</f>
        <v>0</v>
      </c>
      <c r="U6665" s="22">
        <f t="shared" si="416"/>
        <v>0</v>
      </c>
      <c r="V6665">
        <f t="shared" si="417"/>
        <v>0</v>
      </c>
      <c r="W6665" s="22">
        <f t="shared" si="418"/>
        <v>0</v>
      </c>
    </row>
    <row r="6666" spans="1:23" hidden="1" x14ac:dyDescent="0.25">
      <c r="A6666" s="3">
        <v>46140</v>
      </c>
      <c r="B6666" s="46" t="s">
        <v>334</v>
      </c>
      <c r="C6666" s="4" t="s">
        <v>132</v>
      </c>
      <c r="D6666" s="4"/>
      <c r="E6666" s="4"/>
      <c r="F6666" s="46" t="s">
        <v>3215</v>
      </c>
      <c r="G6666" s="4" t="s">
        <v>336</v>
      </c>
      <c r="H6666" s="4" t="s">
        <v>289</v>
      </c>
      <c r="I6666" s="4">
        <v>0.2</v>
      </c>
      <c r="J6666" s="21">
        <v>500</v>
      </c>
      <c r="K6666" s="21">
        <v>0</v>
      </c>
      <c r="L6666" s="5">
        <v>0</v>
      </c>
      <c r="M6666" s="4"/>
      <c r="N6666" s="4"/>
      <c r="O6666" s="5"/>
      <c r="P6666" s="5"/>
      <c r="Q6666" s="21">
        <v>100</v>
      </c>
      <c r="R6666" s="21">
        <v>0</v>
      </c>
      <c r="S6666" s="5">
        <f t="shared" si="419"/>
        <v>41258.203288159901</v>
      </c>
      <c r="T6666" cm="1">
        <f t="array" ref="T6666">IF(OR(B6666="MAL ALIMI", B6666="ÜRETİM GİRİŞ"), MIN(I6666, MAX(0, I6666 + SUM(SUMIFS($I$1:I6665, $C$1:C6665, C6666, $B$1:B6665, {"MAL ALIMI","ÜRETİM GİRİŞ"})) - VLOOKUP(C6666, 'STOK RAPORU'!$C$2:$I$1000, 4, 0))), 0)</f>
        <v>0</v>
      </c>
      <c r="U6666" s="22">
        <f t="shared" si="416"/>
        <v>0</v>
      </c>
      <c r="V6666">
        <f t="shared" si="417"/>
        <v>0</v>
      </c>
      <c r="W6666" s="22">
        <f t="shared" si="418"/>
        <v>0</v>
      </c>
    </row>
    <row r="6667" spans="1:23" hidden="1" x14ac:dyDescent="0.25">
      <c r="A6667" s="3">
        <v>46140</v>
      </c>
      <c r="B6667" s="46" t="s">
        <v>334</v>
      </c>
      <c r="C6667" s="4" t="s">
        <v>91</v>
      </c>
      <c r="D6667" s="4"/>
      <c r="E6667" s="4"/>
      <c r="F6667" s="46" t="s">
        <v>3215</v>
      </c>
      <c r="G6667" s="4" t="s">
        <v>336</v>
      </c>
      <c r="H6667" s="4" t="s">
        <v>289</v>
      </c>
      <c r="I6667" s="4">
        <v>0.11764705882352941</v>
      </c>
      <c r="J6667" s="21">
        <v>850</v>
      </c>
      <c r="K6667" s="21">
        <v>0</v>
      </c>
      <c r="L6667" s="5">
        <v>0</v>
      </c>
      <c r="M6667" s="4"/>
      <c r="N6667" s="4"/>
      <c r="O6667" s="5"/>
      <c r="P6667" s="5"/>
      <c r="Q6667" s="21">
        <v>100</v>
      </c>
      <c r="R6667" s="21">
        <v>0</v>
      </c>
      <c r="S6667" s="5">
        <f t="shared" si="419"/>
        <v>41358.203288159901</v>
      </c>
      <c r="T6667" cm="1">
        <f t="array" ref="T6667">IF(OR(B6667="MAL ALIMI", B6667="ÜRETİM GİRİŞ"), MIN(I6667, MAX(0, I6667 + SUM(SUMIFS($I$1:I6666, $C$1:C6666, C6667, $B$1:B6666, {"MAL ALIMI","ÜRETİM GİRİŞ"})) - VLOOKUP(C6667, 'STOK RAPORU'!$C$2:$I$1000, 4, 0))), 0)</f>
        <v>0</v>
      </c>
      <c r="U6667" s="22">
        <f t="shared" si="416"/>
        <v>0</v>
      </c>
      <c r="V6667">
        <f t="shared" si="417"/>
        <v>0</v>
      </c>
      <c r="W6667" s="22">
        <f t="shared" si="418"/>
        <v>0</v>
      </c>
    </row>
    <row r="6668" spans="1:23" hidden="1" x14ac:dyDescent="0.25">
      <c r="A6668" s="3">
        <v>46140</v>
      </c>
      <c r="B6668" s="46" t="s">
        <v>334</v>
      </c>
      <c r="C6668" s="4" t="s">
        <v>827</v>
      </c>
      <c r="D6668" s="4"/>
      <c r="E6668" s="4"/>
      <c r="F6668" s="46" t="s">
        <v>3216</v>
      </c>
      <c r="G6668" s="4" t="s">
        <v>336</v>
      </c>
      <c r="H6668" s="4" t="s">
        <v>289</v>
      </c>
      <c r="I6668" s="4">
        <v>1</v>
      </c>
      <c r="J6668" s="21">
        <v>130</v>
      </c>
      <c r="K6668" s="21">
        <v>0</v>
      </c>
      <c r="L6668" s="5">
        <v>0</v>
      </c>
      <c r="M6668" s="4"/>
      <c r="N6668" s="4"/>
      <c r="O6668" s="5"/>
      <c r="P6668" s="5"/>
      <c r="Q6668" s="21">
        <v>130</v>
      </c>
      <c r="R6668" s="21">
        <v>0</v>
      </c>
      <c r="S6668" s="5">
        <f t="shared" si="419"/>
        <v>41488.203288159901</v>
      </c>
      <c r="T6668" cm="1">
        <f t="array" ref="T6668">IF(OR(B6668="MAL ALIMI", B6668="ÜRETİM GİRİŞ"), MIN(I6668, MAX(0, I6668 + SUM(SUMIFS($I$1:I6667, $C$1:C6667, C6668, $B$1:B6667, {"MAL ALIMI","ÜRETİM GİRİŞ"})) - VLOOKUP(C6668, 'STOK RAPORU'!$C$2:$I$1000, 4, 0))), 0)</f>
        <v>0</v>
      </c>
      <c r="U6668" s="22">
        <f t="shared" si="416"/>
        <v>0</v>
      </c>
      <c r="V6668">
        <f t="shared" si="417"/>
        <v>0</v>
      </c>
      <c r="W6668" s="22">
        <f t="shared" si="418"/>
        <v>0</v>
      </c>
    </row>
    <row r="6669" spans="1:23" hidden="1" x14ac:dyDescent="0.25">
      <c r="A6669" s="3">
        <v>46140</v>
      </c>
      <c r="B6669" s="46" t="s">
        <v>334</v>
      </c>
      <c r="C6669" s="4" t="s">
        <v>2127</v>
      </c>
      <c r="D6669" s="4"/>
      <c r="E6669" s="4"/>
      <c r="F6669" s="46" t="s">
        <v>3218</v>
      </c>
      <c r="G6669" s="4" t="s">
        <v>336</v>
      </c>
      <c r="H6669" s="4" t="s">
        <v>289</v>
      </c>
      <c r="I6669" s="4">
        <v>1</v>
      </c>
      <c r="J6669" s="21">
        <v>400</v>
      </c>
      <c r="K6669" s="21">
        <v>0</v>
      </c>
      <c r="L6669" s="5">
        <v>0</v>
      </c>
      <c r="M6669" s="4"/>
      <c r="N6669" s="4"/>
      <c r="O6669" s="5"/>
      <c r="P6669" s="5"/>
      <c r="Q6669" s="21">
        <v>400</v>
      </c>
      <c r="R6669" s="21">
        <v>0</v>
      </c>
      <c r="S6669" s="5">
        <f t="shared" si="419"/>
        <v>41888.203288159901</v>
      </c>
      <c r="T6669" cm="1">
        <f t="array" ref="T6669">IF(OR(B6669="MAL ALIMI", B6669="ÜRETİM GİRİŞ"), MIN(I6669, MAX(0, I6669 + SUM(SUMIFS($I$1:I6668, $C$1:C6668, C6669, $B$1:B6668, {"MAL ALIMI","ÜRETİM GİRİŞ"})) - VLOOKUP(C6669, 'STOK RAPORU'!$C$2:$I$1000, 4, 0))), 0)</f>
        <v>0</v>
      </c>
      <c r="U6669" s="22">
        <f t="shared" si="416"/>
        <v>0</v>
      </c>
      <c r="V6669">
        <f t="shared" si="417"/>
        <v>0</v>
      </c>
      <c r="W6669" s="22">
        <f t="shared" si="418"/>
        <v>0</v>
      </c>
    </row>
    <row r="6670" spans="1:23" hidden="1" x14ac:dyDescent="0.25">
      <c r="A6670" s="41">
        <v>46141</v>
      </c>
      <c r="B6670" s="42" t="s">
        <v>334</v>
      </c>
      <c r="C6670" s="42" t="s">
        <v>158</v>
      </c>
      <c r="D6670" s="42"/>
      <c r="E6670" s="42"/>
      <c r="F6670" s="42" t="s">
        <v>3219</v>
      </c>
      <c r="G6670" s="42" t="s">
        <v>1610</v>
      </c>
      <c r="H6670" s="4" t="s">
        <v>289</v>
      </c>
      <c r="I6670" s="42">
        <v>4</v>
      </c>
      <c r="J6670" s="43">
        <v>150</v>
      </c>
      <c r="K6670" s="44">
        <v>0</v>
      </c>
      <c r="L6670" s="44">
        <v>0</v>
      </c>
      <c r="M6670" s="42"/>
      <c r="N6670" s="42"/>
      <c r="O6670" s="44"/>
      <c r="P6670" s="44"/>
      <c r="Q6670" s="43">
        <v>600</v>
      </c>
      <c r="R6670" s="43">
        <v>0</v>
      </c>
      <c r="S6670" s="5">
        <f t="shared" si="419"/>
        <v>42488.203288159901</v>
      </c>
      <c r="T6670" cm="1">
        <f t="array" ref="T6670">IF(OR(B6670="MAL ALIMI", B6670="ÜRETİM GİRİŞ"), MIN(I6670, MAX(0, I6670 + SUM(SUMIFS($I$1:I6669, $C$1:C6669, C6670, $B$1:B6669, {"MAL ALIMI","ÜRETİM GİRİŞ"})) - VLOOKUP(C6670, 'STOK RAPORU'!$C$2:$I$1000, 4, 0))), 0)</f>
        <v>0</v>
      </c>
      <c r="U6670" s="22">
        <f t="shared" si="416"/>
        <v>0</v>
      </c>
      <c r="V6670">
        <f t="shared" si="417"/>
        <v>0</v>
      </c>
      <c r="W6670" s="22">
        <f t="shared" si="418"/>
        <v>0</v>
      </c>
    </row>
    <row r="6671" spans="1:23" hidden="1" x14ac:dyDescent="0.25">
      <c r="A6671" s="41">
        <v>46141</v>
      </c>
      <c r="B6671" s="42" t="s">
        <v>334</v>
      </c>
      <c r="C6671" s="42" t="s">
        <v>1501</v>
      </c>
      <c r="D6671" s="42"/>
      <c r="E6671" s="42"/>
      <c r="F6671" s="42" t="s">
        <v>3219</v>
      </c>
      <c r="G6671" s="42" t="s">
        <v>1610</v>
      </c>
      <c r="H6671" s="4" t="s">
        <v>289</v>
      </c>
      <c r="I6671" s="42">
        <v>1.5</v>
      </c>
      <c r="J6671" s="43">
        <v>700</v>
      </c>
      <c r="K6671" s="44">
        <v>0</v>
      </c>
      <c r="L6671" s="44">
        <v>0</v>
      </c>
      <c r="M6671" s="42"/>
      <c r="N6671" s="42"/>
      <c r="O6671" s="44"/>
      <c r="P6671" s="44"/>
      <c r="Q6671" s="43">
        <v>1050</v>
      </c>
      <c r="R6671" s="43">
        <v>0</v>
      </c>
      <c r="S6671" s="5">
        <f t="shared" si="419"/>
        <v>43538.203288159901</v>
      </c>
      <c r="T6671" cm="1">
        <f t="array" ref="T6671">IF(OR(B6671="MAL ALIMI", B6671="ÜRETİM GİRİŞ"), MIN(I6671, MAX(0, I6671 + SUM(SUMIFS($I$1:I6670, $C$1:C6670, C6671, $B$1:B6670, {"MAL ALIMI","ÜRETİM GİRİŞ"})) - VLOOKUP(C6671, 'STOK RAPORU'!$C$2:$I$1000, 4, 0))), 0)</f>
        <v>0</v>
      </c>
      <c r="U6671" s="22">
        <f t="shared" si="416"/>
        <v>0</v>
      </c>
      <c r="V6671">
        <f t="shared" si="417"/>
        <v>0</v>
      </c>
      <c r="W6671" s="22">
        <f t="shared" si="418"/>
        <v>0</v>
      </c>
    </row>
    <row r="6672" spans="1:23" hidden="1" x14ac:dyDescent="0.25">
      <c r="A6672" s="41">
        <v>46141</v>
      </c>
      <c r="B6672" s="42" t="s">
        <v>334</v>
      </c>
      <c r="C6672" s="42" t="s">
        <v>202</v>
      </c>
      <c r="D6672" s="42"/>
      <c r="E6672" s="42"/>
      <c r="F6672" s="42" t="s">
        <v>3219</v>
      </c>
      <c r="G6672" s="42" t="s">
        <v>1610</v>
      </c>
      <c r="H6672" s="4" t="s">
        <v>289</v>
      </c>
      <c r="I6672" s="42">
        <v>1.5</v>
      </c>
      <c r="J6672" s="43">
        <v>80</v>
      </c>
      <c r="K6672" s="44">
        <v>0</v>
      </c>
      <c r="L6672" s="44">
        <v>0</v>
      </c>
      <c r="M6672" s="42"/>
      <c r="N6672" s="42"/>
      <c r="O6672" s="44"/>
      <c r="P6672" s="44"/>
      <c r="Q6672" s="43">
        <v>120</v>
      </c>
      <c r="R6672" s="43">
        <v>0</v>
      </c>
      <c r="S6672" s="5">
        <f t="shared" si="419"/>
        <v>43658.203288159901</v>
      </c>
      <c r="T6672" cm="1">
        <f t="array" ref="T6672">IF(OR(B6672="MAL ALIMI", B6672="ÜRETİM GİRİŞ"), MIN(I6672, MAX(0, I6672 + SUM(SUMIFS($I$1:I6671, $C$1:C6671, C6672, $B$1:B6671, {"MAL ALIMI","ÜRETİM GİRİŞ"})) - VLOOKUP(C6672, 'STOK RAPORU'!$C$2:$I$1000, 4, 0))), 0)</f>
        <v>0</v>
      </c>
      <c r="U6672" s="22">
        <f t="shared" si="416"/>
        <v>0</v>
      </c>
      <c r="V6672">
        <f t="shared" si="417"/>
        <v>0</v>
      </c>
      <c r="W6672" s="22">
        <f t="shared" si="418"/>
        <v>0</v>
      </c>
    </row>
    <row r="6673" spans="1:23" hidden="1" x14ac:dyDescent="0.25">
      <c r="A6673" s="3">
        <v>46141</v>
      </c>
      <c r="B6673" s="46" t="s">
        <v>334</v>
      </c>
      <c r="C6673" s="4" t="s">
        <v>160</v>
      </c>
      <c r="D6673" s="4"/>
      <c r="E6673" s="4"/>
      <c r="F6673" s="46" t="s">
        <v>3220</v>
      </c>
      <c r="G6673" s="4" t="s">
        <v>336</v>
      </c>
      <c r="H6673" s="4" t="s">
        <v>289</v>
      </c>
      <c r="I6673" s="4">
        <v>1</v>
      </c>
      <c r="J6673" s="21">
        <v>250</v>
      </c>
      <c r="K6673" s="21">
        <v>0</v>
      </c>
      <c r="L6673" s="5">
        <v>0</v>
      </c>
      <c r="M6673" s="4"/>
      <c r="N6673" s="4"/>
      <c r="O6673" s="5"/>
      <c r="P6673" s="5"/>
      <c r="Q6673" s="21">
        <v>250</v>
      </c>
      <c r="R6673" s="21">
        <v>0</v>
      </c>
      <c r="S6673" s="5">
        <f t="shared" si="419"/>
        <v>43908.203288159901</v>
      </c>
      <c r="T6673" cm="1">
        <f t="array" ref="T6673">IF(OR(B6673="MAL ALIMI", B6673="ÜRETİM GİRİŞ"), MIN(I6673, MAX(0, I6673 + SUM(SUMIFS($I$1:I6672, $C$1:C6672, C6673, $B$1:B6672, {"MAL ALIMI","ÜRETİM GİRİŞ"})) - VLOOKUP(C6673, 'STOK RAPORU'!$C$2:$I$1000, 4, 0))), 0)</f>
        <v>0</v>
      </c>
      <c r="U6673" s="22">
        <f t="shared" si="416"/>
        <v>0</v>
      </c>
      <c r="V6673">
        <f t="shared" si="417"/>
        <v>0</v>
      </c>
      <c r="W6673" s="22">
        <f t="shared" si="418"/>
        <v>0</v>
      </c>
    </row>
    <row r="6674" spans="1:23" hidden="1" x14ac:dyDescent="0.25">
      <c r="A6674" s="3">
        <v>46141</v>
      </c>
      <c r="B6674" s="46" t="s">
        <v>334</v>
      </c>
      <c r="C6674" s="4" t="s">
        <v>158</v>
      </c>
      <c r="D6674" s="4"/>
      <c r="E6674" s="4"/>
      <c r="F6674" s="46" t="s">
        <v>3220</v>
      </c>
      <c r="G6674" s="4" t="s">
        <v>336</v>
      </c>
      <c r="H6674" s="4" t="s">
        <v>289</v>
      </c>
      <c r="I6674" s="4">
        <v>1</v>
      </c>
      <c r="J6674" s="21">
        <v>150</v>
      </c>
      <c r="K6674" s="21">
        <v>0</v>
      </c>
      <c r="L6674" s="5">
        <v>0</v>
      </c>
      <c r="M6674" s="4"/>
      <c r="N6674" s="4"/>
      <c r="O6674" s="5"/>
      <c r="P6674" s="5"/>
      <c r="Q6674" s="21">
        <v>150</v>
      </c>
      <c r="R6674" s="21">
        <v>0</v>
      </c>
      <c r="S6674" s="5">
        <f t="shared" si="419"/>
        <v>44058.203288159901</v>
      </c>
      <c r="T6674" cm="1">
        <f t="array" ref="T6674">IF(OR(B6674="MAL ALIMI", B6674="ÜRETİM GİRİŞ"), MIN(I6674, MAX(0, I6674 + SUM(SUMIFS($I$1:I6673, $C$1:C6673, C6674, $B$1:B6673, {"MAL ALIMI","ÜRETİM GİRİŞ"})) - VLOOKUP(C6674, 'STOK RAPORU'!$C$2:$I$1000, 4, 0))), 0)</f>
        <v>0</v>
      </c>
      <c r="U6674" s="22">
        <f t="shared" si="416"/>
        <v>0</v>
      </c>
      <c r="V6674">
        <f t="shared" si="417"/>
        <v>0</v>
      </c>
      <c r="W6674" s="22">
        <f t="shared" si="418"/>
        <v>0</v>
      </c>
    </row>
    <row r="6675" spans="1:23" hidden="1" x14ac:dyDescent="0.25">
      <c r="A6675" s="3">
        <v>46141</v>
      </c>
      <c r="B6675" s="46" t="s">
        <v>334</v>
      </c>
      <c r="C6675" s="4" t="s">
        <v>1367</v>
      </c>
      <c r="D6675" s="4"/>
      <c r="E6675" s="4"/>
      <c r="F6675" s="46" t="s">
        <v>3220</v>
      </c>
      <c r="G6675" s="4" t="s">
        <v>336</v>
      </c>
      <c r="H6675" s="4" t="s">
        <v>289</v>
      </c>
      <c r="I6675" s="4">
        <v>1</v>
      </c>
      <c r="J6675" s="21">
        <v>180</v>
      </c>
      <c r="K6675" s="21">
        <v>0</v>
      </c>
      <c r="L6675" s="5">
        <v>0</v>
      </c>
      <c r="M6675" s="4"/>
      <c r="N6675" s="4"/>
      <c r="O6675" s="5"/>
      <c r="P6675" s="5"/>
      <c r="Q6675" s="21">
        <v>180</v>
      </c>
      <c r="R6675" s="21">
        <v>0</v>
      </c>
      <c r="S6675" s="5">
        <f t="shared" si="419"/>
        <v>44238.203288159901</v>
      </c>
      <c r="T6675" cm="1">
        <f t="array" ref="T6675">IF(OR(B6675="MAL ALIMI", B6675="ÜRETİM GİRİŞ"), MIN(I6675, MAX(0, I6675 + SUM(SUMIFS($I$1:I6674, $C$1:C6674, C6675, $B$1:B6674, {"MAL ALIMI","ÜRETİM GİRİŞ"})) - VLOOKUP(C6675, 'STOK RAPORU'!$C$2:$I$1000, 4, 0))), 0)</f>
        <v>0</v>
      </c>
      <c r="U6675" s="22">
        <f t="shared" si="416"/>
        <v>0</v>
      </c>
      <c r="V6675">
        <f t="shared" si="417"/>
        <v>0</v>
      </c>
      <c r="W6675" s="22">
        <f t="shared" si="418"/>
        <v>0</v>
      </c>
    </row>
    <row r="6676" spans="1:23" hidden="1" x14ac:dyDescent="0.25">
      <c r="A6676" s="3">
        <v>46141</v>
      </c>
      <c r="B6676" s="46" t="s">
        <v>334</v>
      </c>
      <c r="C6676" s="4" t="s">
        <v>492</v>
      </c>
      <c r="D6676" s="4"/>
      <c r="E6676" s="4"/>
      <c r="F6676" s="46" t="s">
        <v>3220</v>
      </c>
      <c r="G6676" s="4" t="s">
        <v>336</v>
      </c>
      <c r="H6676" s="4" t="s">
        <v>289</v>
      </c>
      <c r="I6676" s="4">
        <v>1</v>
      </c>
      <c r="J6676" s="21">
        <v>165</v>
      </c>
      <c r="K6676" s="21">
        <v>0</v>
      </c>
      <c r="L6676" s="5">
        <v>0</v>
      </c>
      <c r="M6676" s="4"/>
      <c r="N6676" s="4"/>
      <c r="O6676" s="5"/>
      <c r="P6676" s="5"/>
      <c r="Q6676" s="21">
        <v>165</v>
      </c>
      <c r="R6676" s="21">
        <v>0</v>
      </c>
      <c r="S6676" s="5">
        <f t="shared" si="419"/>
        <v>44403.203288159901</v>
      </c>
      <c r="T6676" cm="1">
        <f t="array" ref="T6676">IF(OR(B6676="MAL ALIMI", B6676="ÜRETİM GİRİŞ"), MIN(I6676, MAX(0, I6676 + SUM(SUMIFS($I$1:I6675, $C$1:C6675, C6676, $B$1:B6675, {"MAL ALIMI","ÜRETİM GİRİŞ"})) - VLOOKUP(C6676, 'STOK RAPORU'!$C$2:$I$1000, 4, 0))), 0)</f>
        <v>0</v>
      </c>
      <c r="U6676" s="22">
        <f t="shared" si="416"/>
        <v>0</v>
      </c>
      <c r="V6676">
        <f t="shared" si="417"/>
        <v>0</v>
      </c>
      <c r="W6676" s="22">
        <f t="shared" si="418"/>
        <v>0</v>
      </c>
    </row>
    <row r="6677" spans="1:23" hidden="1" x14ac:dyDescent="0.25">
      <c r="A6677" s="3">
        <v>46141</v>
      </c>
      <c r="B6677" s="46" t="s">
        <v>334</v>
      </c>
      <c r="C6677" s="4" t="s">
        <v>246</v>
      </c>
      <c r="D6677" s="4"/>
      <c r="E6677" s="4"/>
      <c r="F6677" s="46" t="s">
        <v>3220</v>
      </c>
      <c r="G6677" s="4" t="s">
        <v>336</v>
      </c>
      <c r="H6677" s="4" t="s">
        <v>289</v>
      </c>
      <c r="I6677" s="4">
        <v>0.1</v>
      </c>
      <c r="J6677" s="21">
        <v>1250</v>
      </c>
      <c r="K6677" s="21">
        <v>0</v>
      </c>
      <c r="L6677" s="5">
        <v>0</v>
      </c>
      <c r="M6677" s="4"/>
      <c r="N6677" s="4"/>
      <c r="O6677" s="5"/>
      <c r="P6677" s="5"/>
      <c r="Q6677" s="21">
        <v>125</v>
      </c>
      <c r="R6677" s="21">
        <v>0</v>
      </c>
      <c r="S6677" s="5">
        <f t="shared" si="419"/>
        <v>44528.203288159901</v>
      </c>
      <c r="T6677" cm="1">
        <f t="array" ref="T6677">IF(OR(B6677="MAL ALIMI", B6677="ÜRETİM GİRİŞ"), MIN(I6677, MAX(0, I6677 + SUM(SUMIFS($I$1:I6676, $C$1:C6676, C6677, $B$1:B6676, {"MAL ALIMI","ÜRETİM GİRİŞ"})) - VLOOKUP(C6677, 'STOK RAPORU'!$C$2:$I$1000, 4, 0))), 0)</f>
        <v>0</v>
      </c>
      <c r="U6677" s="22">
        <f t="shared" si="416"/>
        <v>0</v>
      </c>
      <c r="V6677">
        <f t="shared" si="417"/>
        <v>0</v>
      </c>
      <c r="W6677" s="22">
        <f t="shared" si="418"/>
        <v>0</v>
      </c>
    </row>
    <row r="6678" spans="1:23" hidden="1" x14ac:dyDescent="0.25">
      <c r="A6678" s="3">
        <v>46141</v>
      </c>
      <c r="B6678" s="46" t="s">
        <v>334</v>
      </c>
      <c r="C6678" s="4" t="s">
        <v>226</v>
      </c>
      <c r="D6678" s="4"/>
      <c r="E6678" s="4"/>
      <c r="F6678" s="46" t="s">
        <v>3220</v>
      </c>
      <c r="G6678" s="4" t="s">
        <v>336</v>
      </c>
      <c r="H6678" s="4" t="s">
        <v>289</v>
      </c>
      <c r="I6678" s="4">
        <v>0.22800000000000001</v>
      </c>
      <c r="J6678" s="21">
        <v>220</v>
      </c>
      <c r="K6678" s="21">
        <v>0</v>
      </c>
      <c r="L6678" s="5">
        <v>0</v>
      </c>
      <c r="M6678" s="4"/>
      <c r="N6678" s="4"/>
      <c r="O6678" s="5"/>
      <c r="P6678" s="5"/>
      <c r="Q6678" s="21">
        <v>50.160000000000004</v>
      </c>
      <c r="R6678" s="21">
        <v>0</v>
      </c>
      <c r="S6678" s="5">
        <f t="shared" si="419"/>
        <v>44578.363288159904</v>
      </c>
      <c r="T6678" cm="1">
        <f t="array" ref="T6678">IF(OR(B6678="MAL ALIMI", B6678="ÜRETİM GİRİŞ"), MIN(I6678, MAX(0, I6678 + SUM(SUMIFS($I$1:I6677, $C$1:C6677, C6678, $B$1:B6677, {"MAL ALIMI","ÜRETİM GİRİŞ"})) - VLOOKUP(C6678, 'STOK RAPORU'!$C$2:$I$1000, 4, 0))), 0)</f>
        <v>0</v>
      </c>
      <c r="U6678" s="22">
        <f t="shared" si="416"/>
        <v>0</v>
      </c>
      <c r="V6678">
        <f t="shared" si="417"/>
        <v>0</v>
      </c>
      <c r="W6678" s="22">
        <f t="shared" si="418"/>
        <v>0</v>
      </c>
    </row>
    <row r="6679" spans="1:23" hidden="1" x14ac:dyDescent="0.25">
      <c r="A6679" s="3">
        <v>46141</v>
      </c>
      <c r="B6679" s="46" t="s">
        <v>334</v>
      </c>
      <c r="C6679" s="4" t="s">
        <v>1443</v>
      </c>
      <c r="D6679" s="4"/>
      <c r="E6679" s="4"/>
      <c r="F6679" s="46" t="s">
        <v>3220</v>
      </c>
      <c r="G6679" s="4" t="s">
        <v>336</v>
      </c>
      <c r="H6679" s="4" t="s">
        <v>289</v>
      </c>
      <c r="I6679" s="4">
        <v>2</v>
      </c>
      <c r="J6679" s="21">
        <v>20</v>
      </c>
      <c r="K6679" s="21">
        <v>0</v>
      </c>
      <c r="L6679" s="5">
        <v>0</v>
      </c>
      <c r="M6679" s="4"/>
      <c r="N6679" s="4"/>
      <c r="O6679" s="5"/>
      <c r="P6679" s="5"/>
      <c r="Q6679" s="21">
        <v>40</v>
      </c>
      <c r="R6679" s="21">
        <v>0</v>
      </c>
      <c r="S6679" s="5">
        <f t="shared" si="419"/>
        <v>44618.363288159904</v>
      </c>
      <c r="T6679" cm="1">
        <f t="array" ref="T6679">IF(OR(B6679="MAL ALIMI", B6679="ÜRETİM GİRİŞ"), MIN(I6679, MAX(0, I6679 + SUM(SUMIFS($I$1:I6678, $C$1:C6678, C6679, $B$1:B6678, {"MAL ALIMI","ÜRETİM GİRİŞ"})) - VLOOKUP(C6679, 'STOK RAPORU'!$C$2:$I$1000, 4, 0))), 0)</f>
        <v>0</v>
      </c>
      <c r="U6679" s="22">
        <f t="shared" si="416"/>
        <v>0</v>
      </c>
      <c r="V6679">
        <f t="shared" si="417"/>
        <v>0</v>
      </c>
      <c r="W6679" s="22">
        <f t="shared" si="418"/>
        <v>0</v>
      </c>
    </row>
    <row r="6680" spans="1:23" hidden="1" x14ac:dyDescent="0.25">
      <c r="A6680" s="3">
        <v>46141</v>
      </c>
      <c r="B6680" s="46" t="s">
        <v>334</v>
      </c>
      <c r="C6680" s="4" t="s">
        <v>690</v>
      </c>
      <c r="D6680" s="4"/>
      <c r="E6680" s="4"/>
      <c r="F6680" s="46" t="s">
        <v>3220</v>
      </c>
      <c r="G6680" s="4" t="s">
        <v>336</v>
      </c>
      <c r="H6680" s="4" t="s">
        <v>289</v>
      </c>
      <c r="I6680" s="4">
        <v>0.60799999999999998</v>
      </c>
      <c r="J6680" s="21">
        <v>350</v>
      </c>
      <c r="K6680" s="21">
        <v>0</v>
      </c>
      <c r="L6680" s="5">
        <v>0</v>
      </c>
      <c r="M6680" s="4"/>
      <c r="N6680" s="4"/>
      <c r="O6680" s="5"/>
      <c r="P6680" s="5"/>
      <c r="Q6680" s="21">
        <v>212.79999999999998</v>
      </c>
      <c r="R6680" s="21">
        <v>0</v>
      </c>
      <c r="S6680" s="5">
        <f t="shared" si="419"/>
        <v>44831.163288159907</v>
      </c>
      <c r="T6680" cm="1">
        <f t="array" ref="T6680">IF(OR(B6680="MAL ALIMI", B6680="ÜRETİM GİRİŞ"), MIN(I6680, MAX(0, I6680 + SUM(SUMIFS($I$1:I6679, $C$1:C6679, C6680, $B$1:B6679, {"MAL ALIMI","ÜRETİM GİRİŞ"})) - VLOOKUP(C6680, 'STOK RAPORU'!$C$2:$I$1000, 4, 0))), 0)</f>
        <v>0</v>
      </c>
      <c r="U6680" s="22">
        <f t="shared" si="416"/>
        <v>0</v>
      </c>
      <c r="V6680">
        <f t="shared" si="417"/>
        <v>0</v>
      </c>
      <c r="W6680" s="22">
        <f t="shared" si="418"/>
        <v>0</v>
      </c>
    </row>
    <row r="6681" spans="1:23" hidden="1" x14ac:dyDescent="0.25">
      <c r="A6681" s="3">
        <v>46141</v>
      </c>
      <c r="B6681" s="46" t="s">
        <v>334</v>
      </c>
      <c r="C6681" s="4" t="s">
        <v>1041</v>
      </c>
      <c r="D6681" s="4"/>
      <c r="E6681" s="4"/>
      <c r="F6681" s="46" t="s">
        <v>3220</v>
      </c>
      <c r="G6681" s="4" t="s">
        <v>336</v>
      </c>
      <c r="H6681" s="4" t="s">
        <v>289</v>
      </c>
      <c r="I6681" s="4">
        <v>1</v>
      </c>
      <c r="J6681" s="21">
        <v>250</v>
      </c>
      <c r="K6681" s="21">
        <v>0</v>
      </c>
      <c r="L6681" s="5">
        <v>0</v>
      </c>
      <c r="M6681" s="4"/>
      <c r="N6681" s="4"/>
      <c r="O6681" s="5"/>
      <c r="P6681" s="5"/>
      <c r="Q6681" s="21">
        <v>250</v>
      </c>
      <c r="R6681" s="21">
        <v>0</v>
      </c>
      <c r="S6681" s="5">
        <f t="shared" si="419"/>
        <v>45081.163288159907</v>
      </c>
      <c r="T6681" cm="1">
        <f t="array" ref="T6681">IF(OR(B6681="MAL ALIMI", B6681="ÜRETİM GİRİŞ"), MIN(I6681, MAX(0, I6681 + SUM(SUMIFS($I$1:I6680, $C$1:C6680, C6681, $B$1:B6680, {"MAL ALIMI","ÜRETİM GİRİŞ"})) - VLOOKUP(C6681, 'STOK RAPORU'!$C$2:$I$1000, 4, 0))), 0)</f>
        <v>0</v>
      </c>
      <c r="U6681" s="22">
        <f t="shared" si="416"/>
        <v>0</v>
      </c>
      <c r="V6681">
        <f t="shared" si="417"/>
        <v>0</v>
      </c>
      <c r="W6681" s="22">
        <f t="shared" si="418"/>
        <v>0</v>
      </c>
    </row>
    <row r="6682" spans="1:23" hidden="1" x14ac:dyDescent="0.25">
      <c r="A6682" s="3">
        <v>46141</v>
      </c>
      <c r="B6682" s="46" t="s">
        <v>334</v>
      </c>
      <c r="C6682" s="4" t="s">
        <v>196</v>
      </c>
      <c r="D6682" s="4"/>
      <c r="E6682" s="4"/>
      <c r="F6682" s="46" t="s">
        <v>3221</v>
      </c>
      <c r="G6682" s="4" t="s">
        <v>336</v>
      </c>
      <c r="H6682" s="4" t="s">
        <v>289</v>
      </c>
      <c r="I6682" s="4">
        <v>0.2608695652173913</v>
      </c>
      <c r="J6682" s="21">
        <v>230</v>
      </c>
      <c r="K6682" s="21">
        <v>0</v>
      </c>
      <c r="L6682" s="5">
        <v>0</v>
      </c>
      <c r="M6682" s="4"/>
      <c r="N6682" s="4"/>
      <c r="O6682" s="5"/>
      <c r="P6682" s="5"/>
      <c r="Q6682" s="21">
        <v>60</v>
      </c>
      <c r="R6682" s="21">
        <v>0</v>
      </c>
      <c r="S6682" s="5">
        <f t="shared" si="419"/>
        <v>45141.163288159907</v>
      </c>
      <c r="T6682" cm="1">
        <f t="array" ref="T6682">IF(OR(B6682="MAL ALIMI", B6682="ÜRETİM GİRİŞ"), MIN(I6682, MAX(0, I6682 + SUM(SUMIFS($I$1:I6681, $C$1:C6681, C6682, $B$1:B6681, {"MAL ALIMI","ÜRETİM GİRİŞ"})) - VLOOKUP(C6682, 'STOK RAPORU'!$C$2:$I$1000, 4, 0))), 0)</f>
        <v>0</v>
      </c>
      <c r="U6682" s="22">
        <f t="shared" si="416"/>
        <v>0</v>
      </c>
      <c r="V6682">
        <f t="shared" si="417"/>
        <v>0</v>
      </c>
      <c r="W6682" s="22">
        <f t="shared" si="418"/>
        <v>0</v>
      </c>
    </row>
    <row r="6683" spans="1:23" hidden="1" x14ac:dyDescent="0.25">
      <c r="A6683" s="3">
        <v>46141</v>
      </c>
      <c r="B6683" s="46" t="s">
        <v>334</v>
      </c>
      <c r="C6683" s="4" t="s">
        <v>254</v>
      </c>
      <c r="D6683" s="4"/>
      <c r="E6683" s="4"/>
      <c r="F6683" s="46" t="s">
        <v>3221</v>
      </c>
      <c r="G6683" s="4" t="s">
        <v>336</v>
      </c>
      <c r="H6683" s="4" t="s">
        <v>289</v>
      </c>
      <c r="I6683" s="4">
        <v>0.22</v>
      </c>
      <c r="J6683" s="21">
        <v>230</v>
      </c>
      <c r="K6683" s="21">
        <v>0</v>
      </c>
      <c r="L6683" s="5">
        <v>0</v>
      </c>
      <c r="M6683" s="4"/>
      <c r="N6683" s="4"/>
      <c r="O6683" s="5"/>
      <c r="P6683" s="5"/>
      <c r="Q6683" s="21">
        <v>50.6</v>
      </c>
      <c r="R6683" s="21">
        <v>0</v>
      </c>
      <c r="S6683" s="5">
        <f t="shared" si="419"/>
        <v>45191.763288159906</v>
      </c>
      <c r="T6683" cm="1">
        <f t="array" ref="T6683">IF(OR(B6683="MAL ALIMI", B6683="ÜRETİM GİRİŞ"), MIN(I6683, MAX(0, I6683 + SUM(SUMIFS($I$1:I6682, $C$1:C6682, C6683, $B$1:B6682, {"MAL ALIMI","ÜRETİM GİRİŞ"})) - VLOOKUP(C6683, 'STOK RAPORU'!$C$2:$I$1000, 4, 0))), 0)</f>
        <v>0</v>
      </c>
      <c r="U6683" s="22">
        <f t="shared" si="416"/>
        <v>0</v>
      </c>
      <c r="V6683">
        <f t="shared" si="417"/>
        <v>0</v>
      </c>
      <c r="W6683" s="22">
        <f t="shared" si="418"/>
        <v>0</v>
      </c>
    </row>
    <row r="6684" spans="1:23" hidden="1" x14ac:dyDescent="0.25">
      <c r="A6684" s="3">
        <v>46141</v>
      </c>
      <c r="B6684" s="46" t="s">
        <v>334</v>
      </c>
      <c r="C6684" s="4" t="s">
        <v>691</v>
      </c>
      <c r="D6684" s="4"/>
      <c r="E6684" s="4"/>
      <c r="F6684" s="46" t="s">
        <v>3221</v>
      </c>
      <c r="G6684" s="4" t="s">
        <v>336</v>
      </c>
      <c r="H6684" s="4" t="s">
        <v>289</v>
      </c>
      <c r="I6684" s="4">
        <v>0.3</v>
      </c>
      <c r="J6684" s="21">
        <v>250</v>
      </c>
      <c r="K6684" s="21">
        <v>0</v>
      </c>
      <c r="L6684" s="5">
        <v>0</v>
      </c>
      <c r="M6684" s="4"/>
      <c r="N6684" s="4"/>
      <c r="O6684" s="5"/>
      <c r="P6684" s="5"/>
      <c r="Q6684" s="21">
        <v>75</v>
      </c>
      <c r="R6684" s="21">
        <v>0</v>
      </c>
      <c r="S6684" s="5">
        <f t="shared" si="419"/>
        <v>45266.763288159906</v>
      </c>
      <c r="T6684" cm="1">
        <f t="array" ref="T6684">IF(OR(B6684="MAL ALIMI", B6684="ÜRETİM GİRİŞ"), MIN(I6684, MAX(0, I6684 + SUM(SUMIFS($I$1:I6683, $C$1:C6683, C6684, $B$1:B6683, {"MAL ALIMI","ÜRETİM GİRİŞ"})) - VLOOKUP(C6684, 'STOK RAPORU'!$C$2:$I$1000, 4, 0))), 0)</f>
        <v>0</v>
      </c>
      <c r="U6684" s="22">
        <f t="shared" si="416"/>
        <v>0</v>
      </c>
      <c r="V6684">
        <f t="shared" si="417"/>
        <v>0</v>
      </c>
      <c r="W6684" s="22">
        <f t="shared" si="418"/>
        <v>0</v>
      </c>
    </row>
    <row r="6685" spans="1:23" hidden="1" x14ac:dyDescent="0.25">
      <c r="A6685" s="3">
        <v>46141</v>
      </c>
      <c r="B6685" s="46" t="s">
        <v>334</v>
      </c>
      <c r="C6685" s="4" t="s">
        <v>226</v>
      </c>
      <c r="D6685" s="4"/>
      <c r="E6685" s="4"/>
      <c r="F6685" s="46" t="s">
        <v>3221</v>
      </c>
      <c r="G6685" s="4" t="s">
        <v>336</v>
      </c>
      <c r="H6685" s="4" t="s">
        <v>289</v>
      </c>
      <c r="I6685" s="4">
        <v>0.22800000000000001</v>
      </c>
      <c r="J6685" s="21">
        <v>220</v>
      </c>
      <c r="K6685" s="21">
        <v>0</v>
      </c>
      <c r="L6685" s="5">
        <v>0</v>
      </c>
      <c r="M6685" s="4"/>
      <c r="N6685" s="4"/>
      <c r="O6685" s="5"/>
      <c r="P6685" s="5"/>
      <c r="Q6685" s="21">
        <v>50.160000000000004</v>
      </c>
      <c r="R6685" s="21">
        <v>0</v>
      </c>
      <c r="S6685" s="5">
        <f t="shared" si="419"/>
        <v>45316.923288159909</v>
      </c>
      <c r="T6685" cm="1">
        <f t="array" ref="T6685">IF(OR(B6685="MAL ALIMI", B6685="ÜRETİM GİRİŞ"), MIN(I6685, MAX(0, I6685 + SUM(SUMIFS($I$1:I6684, $C$1:C6684, C6685, $B$1:B6684, {"MAL ALIMI","ÜRETİM GİRİŞ"})) - VLOOKUP(C6685, 'STOK RAPORU'!$C$2:$I$1000, 4, 0))), 0)</f>
        <v>0</v>
      </c>
      <c r="U6685" s="22">
        <f t="shared" si="416"/>
        <v>0</v>
      </c>
      <c r="V6685">
        <f t="shared" si="417"/>
        <v>0</v>
      </c>
      <c r="W6685" s="22">
        <f t="shared" si="418"/>
        <v>0</v>
      </c>
    </row>
    <row r="6686" spans="1:23" hidden="1" x14ac:dyDescent="0.25">
      <c r="A6686" s="3">
        <v>46141</v>
      </c>
      <c r="B6686" s="46" t="s">
        <v>334</v>
      </c>
      <c r="C6686" s="4" t="s">
        <v>458</v>
      </c>
      <c r="D6686" s="4"/>
      <c r="E6686" s="4"/>
      <c r="F6686" s="46" t="s">
        <v>3221</v>
      </c>
      <c r="G6686" s="4" t="s">
        <v>336</v>
      </c>
      <c r="H6686" s="4" t="s">
        <v>289</v>
      </c>
      <c r="I6686" s="4">
        <v>0.5</v>
      </c>
      <c r="J6686" s="21">
        <v>80</v>
      </c>
      <c r="K6686" s="21">
        <v>0</v>
      </c>
      <c r="L6686" s="5">
        <v>0</v>
      </c>
      <c r="M6686" s="4"/>
      <c r="N6686" s="4"/>
      <c r="O6686" s="5"/>
      <c r="P6686" s="5"/>
      <c r="Q6686" s="21">
        <v>40</v>
      </c>
      <c r="R6686" s="21">
        <v>0</v>
      </c>
      <c r="S6686" s="5">
        <f t="shared" si="419"/>
        <v>45356.923288159909</v>
      </c>
      <c r="T6686" cm="1">
        <f t="array" ref="T6686">IF(OR(B6686="MAL ALIMI", B6686="ÜRETİM GİRİŞ"), MIN(I6686, MAX(0, I6686 + SUM(SUMIFS($I$1:I6685, $C$1:C6685, C6686, $B$1:B6685, {"MAL ALIMI","ÜRETİM GİRİŞ"})) - VLOOKUP(C6686, 'STOK RAPORU'!$C$2:$I$1000, 4, 0))), 0)</f>
        <v>0</v>
      </c>
      <c r="U6686" s="22">
        <f t="shared" si="416"/>
        <v>0</v>
      </c>
      <c r="V6686">
        <f t="shared" si="417"/>
        <v>0</v>
      </c>
      <c r="W6686" s="22">
        <f t="shared" si="418"/>
        <v>0</v>
      </c>
    </row>
    <row r="6687" spans="1:23" hidden="1" x14ac:dyDescent="0.25">
      <c r="A6687" s="3">
        <v>46141</v>
      </c>
      <c r="B6687" s="46" t="s">
        <v>334</v>
      </c>
      <c r="C6687" s="4" t="s">
        <v>1367</v>
      </c>
      <c r="D6687" s="4"/>
      <c r="E6687" s="4"/>
      <c r="F6687" s="46" t="s">
        <v>3221</v>
      </c>
      <c r="G6687" s="4" t="s">
        <v>336</v>
      </c>
      <c r="H6687" s="4" t="s">
        <v>289</v>
      </c>
      <c r="I6687" s="4">
        <v>1</v>
      </c>
      <c r="J6687" s="21">
        <v>180</v>
      </c>
      <c r="K6687" s="21">
        <v>0</v>
      </c>
      <c r="L6687" s="5">
        <v>0</v>
      </c>
      <c r="M6687" s="4"/>
      <c r="N6687" s="4"/>
      <c r="O6687" s="5"/>
      <c r="P6687" s="5"/>
      <c r="Q6687" s="21">
        <v>180</v>
      </c>
      <c r="R6687" s="21">
        <v>0</v>
      </c>
      <c r="S6687" s="5">
        <f t="shared" si="419"/>
        <v>45536.923288159909</v>
      </c>
      <c r="T6687" cm="1">
        <f t="array" ref="T6687">IF(OR(B6687="MAL ALIMI", B6687="ÜRETİM GİRİŞ"), MIN(I6687, MAX(0, I6687 + SUM(SUMIFS($I$1:I6686, $C$1:C6686, C6687, $B$1:B6686, {"MAL ALIMI","ÜRETİM GİRİŞ"})) - VLOOKUP(C6687, 'STOK RAPORU'!$C$2:$I$1000, 4, 0))), 0)</f>
        <v>0</v>
      </c>
      <c r="U6687" s="22">
        <f t="shared" si="416"/>
        <v>0</v>
      </c>
      <c r="V6687">
        <f t="shared" si="417"/>
        <v>0</v>
      </c>
      <c r="W6687" s="22">
        <f t="shared" si="418"/>
        <v>0</v>
      </c>
    </row>
    <row r="6688" spans="1:23" hidden="1" x14ac:dyDescent="0.25">
      <c r="A6688" s="3">
        <v>46141</v>
      </c>
      <c r="B6688" s="46" t="s">
        <v>334</v>
      </c>
      <c r="C6688" s="4" t="s">
        <v>1041</v>
      </c>
      <c r="D6688" s="4"/>
      <c r="E6688" s="4"/>
      <c r="F6688" s="46" t="s">
        <v>3221</v>
      </c>
      <c r="G6688" s="4" t="s">
        <v>336</v>
      </c>
      <c r="H6688" s="4" t="s">
        <v>289</v>
      </c>
      <c r="I6688" s="4">
        <v>1</v>
      </c>
      <c r="J6688" s="21">
        <v>250</v>
      </c>
      <c r="K6688" s="21">
        <v>0</v>
      </c>
      <c r="L6688" s="5">
        <v>0</v>
      </c>
      <c r="M6688" s="4"/>
      <c r="N6688" s="4"/>
      <c r="O6688" s="5"/>
      <c r="P6688" s="5"/>
      <c r="Q6688" s="21">
        <v>250</v>
      </c>
      <c r="R6688" s="21">
        <v>0</v>
      </c>
      <c r="S6688" s="5">
        <f t="shared" si="419"/>
        <v>45786.923288159909</v>
      </c>
      <c r="T6688" cm="1">
        <f t="array" ref="T6688">IF(OR(B6688="MAL ALIMI", B6688="ÜRETİM GİRİŞ"), MIN(I6688, MAX(0, I6688 + SUM(SUMIFS($I$1:I6687, $C$1:C6687, C6688, $B$1:B6687, {"MAL ALIMI","ÜRETİM GİRİŞ"})) - VLOOKUP(C6688, 'STOK RAPORU'!$C$2:$I$1000, 4, 0))), 0)</f>
        <v>0</v>
      </c>
      <c r="U6688" s="22">
        <f t="shared" si="416"/>
        <v>0</v>
      </c>
      <c r="V6688">
        <f t="shared" si="417"/>
        <v>0</v>
      </c>
      <c r="W6688" s="22">
        <f t="shared" si="418"/>
        <v>0</v>
      </c>
    </row>
    <row r="6689" spans="1:23" hidden="1" x14ac:dyDescent="0.25">
      <c r="A6689" s="3">
        <v>46141</v>
      </c>
      <c r="B6689" s="46" t="s">
        <v>334</v>
      </c>
      <c r="C6689" s="4" t="s">
        <v>2563</v>
      </c>
      <c r="D6689" s="4"/>
      <c r="E6689" s="4"/>
      <c r="F6689" s="46" t="s">
        <v>3222</v>
      </c>
      <c r="G6689" s="4" t="s">
        <v>336</v>
      </c>
      <c r="H6689" s="4" t="s">
        <v>289</v>
      </c>
      <c r="I6689" s="4">
        <v>2</v>
      </c>
      <c r="J6689" s="21">
        <v>50</v>
      </c>
      <c r="K6689" s="21">
        <v>0</v>
      </c>
      <c r="L6689" s="5">
        <v>0</v>
      </c>
      <c r="M6689" s="4"/>
      <c r="N6689" s="4"/>
      <c r="O6689" s="5"/>
      <c r="P6689" s="5"/>
      <c r="Q6689" s="21">
        <v>100</v>
      </c>
      <c r="R6689" s="21">
        <v>0</v>
      </c>
      <c r="S6689" s="5">
        <f t="shared" si="419"/>
        <v>45886.923288159909</v>
      </c>
      <c r="T6689" cm="1">
        <f t="array" ref="T6689">IF(OR(B6689="MAL ALIMI", B6689="ÜRETİM GİRİŞ"), MIN(I6689, MAX(0, I6689 + SUM(SUMIFS($I$1:I6688, $C$1:C6688, C6689, $B$1:B6688, {"MAL ALIMI","ÜRETİM GİRİŞ"})) - VLOOKUP(C6689, 'STOK RAPORU'!$C$2:$I$1000, 4, 0))), 0)</f>
        <v>0</v>
      </c>
      <c r="U6689" s="22">
        <f t="shared" si="416"/>
        <v>0</v>
      </c>
      <c r="V6689">
        <f t="shared" si="417"/>
        <v>0</v>
      </c>
      <c r="W6689" s="22">
        <f t="shared" si="418"/>
        <v>0</v>
      </c>
    </row>
    <row r="6690" spans="1:23" hidden="1" x14ac:dyDescent="0.25">
      <c r="A6690" s="3">
        <v>46141</v>
      </c>
      <c r="B6690" s="46" t="s">
        <v>334</v>
      </c>
      <c r="C6690" s="4" t="s">
        <v>2579</v>
      </c>
      <c r="D6690" s="4"/>
      <c r="E6690" s="4"/>
      <c r="F6690" s="46" t="s">
        <v>3222</v>
      </c>
      <c r="G6690" s="4" t="s">
        <v>336</v>
      </c>
      <c r="H6690" s="4" t="s">
        <v>289</v>
      </c>
      <c r="I6690" s="4">
        <v>5</v>
      </c>
      <c r="J6690" s="21">
        <v>5</v>
      </c>
      <c r="K6690" s="21">
        <v>0</v>
      </c>
      <c r="L6690" s="5">
        <v>0</v>
      </c>
      <c r="M6690" s="4"/>
      <c r="N6690" s="4"/>
      <c r="O6690" s="5"/>
      <c r="P6690" s="5"/>
      <c r="Q6690" s="21">
        <v>25</v>
      </c>
      <c r="R6690" s="21">
        <v>0</v>
      </c>
      <c r="S6690" s="5">
        <f t="shared" si="419"/>
        <v>45911.923288159909</v>
      </c>
      <c r="T6690" cm="1">
        <f t="array" ref="T6690">IF(OR(B6690="MAL ALIMI", B6690="ÜRETİM GİRİŞ"), MIN(I6690, MAX(0, I6690 + SUM(SUMIFS($I$1:I6689, $C$1:C6689, C6690, $B$1:B6689, {"MAL ALIMI","ÜRETİM GİRİŞ"})) - VLOOKUP(C6690, 'STOK RAPORU'!$C$2:$I$1000, 4, 0))), 0)</f>
        <v>0</v>
      </c>
      <c r="U6690" s="22">
        <f t="shared" si="416"/>
        <v>0</v>
      </c>
      <c r="V6690">
        <f t="shared" si="417"/>
        <v>0</v>
      </c>
      <c r="W6690" s="22">
        <f t="shared" si="418"/>
        <v>0</v>
      </c>
    </row>
    <row r="6691" spans="1:23" hidden="1" x14ac:dyDescent="0.25">
      <c r="A6691" s="3">
        <v>46141</v>
      </c>
      <c r="B6691" s="46" t="s">
        <v>334</v>
      </c>
      <c r="C6691" s="4" t="s">
        <v>1176</v>
      </c>
      <c r="D6691" s="4"/>
      <c r="E6691" s="4"/>
      <c r="F6691" s="46" t="s">
        <v>3223</v>
      </c>
      <c r="G6691" s="4" t="s">
        <v>336</v>
      </c>
      <c r="H6691" s="4" t="s">
        <v>289</v>
      </c>
      <c r="I6691" s="4">
        <v>0.1</v>
      </c>
      <c r="J6691" s="21">
        <v>2000</v>
      </c>
      <c r="K6691" s="21">
        <v>0</v>
      </c>
      <c r="L6691" s="5">
        <v>0</v>
      </c>
      <c r="M6691" s="4"/>
      <c r="N6691" s="4"/>
      <c r="O6691" s="5"/>
      <c r="P6691" s="5"/>
      <c r="Q6691" s="21">
        <v>200</v>
      </c>
      <c r="R6691" s="21">
        <v>0</v>
      </c>
      <c r="S6691" s="5">
        <f t="shared" si="419"/>
        <v>46111.923288159909</v>
      </c>
      <c r="T6691" cm="1">
        <f t="array" ref="T6691">IF(OR(B6691="MAL ALIMI", B6691="ÜRETİM GİRİŞ"), MIN(I6691, MAX(0, I6691 + SUM(SUMIFS($I$1:I6690, $C$1:C6690, C6691, $B$1:B6690, {"MAL ALIMI","ÜRETİM GİRİŞ"})) - VLOOKUP(C6691, 'STOK RAPORU'!$C$2:$I$1000, 4, 0))), 0)</f>
        <v>0</v>
      </c>
      <c r="U6691" s="22">
        <f t="shared" si="416"/>
        <v>0</v>
      </c>
      <c r="V6691">
        <f t="shared" si="417"/>
        <v>0</v>
      </c>
      <c r="W6691" s="22">
        <f t="shared" si="418"/>
        <v>0</v>
      </c>
    </row>
    <row r="6692" spans="1:23" hidden="1" x14ac:dyDescent="0.25">
      <c r="A6692" s="3">
        <v>46141</v>
      </c>
      <c r="B6692" s="46" t="s">
        <v>334</v>
      </c>
      <c r="C6692" s="4" t="s">
        <v>1176</v>
      </c>
      <c r="D6692" s="4"/>
      <c r="E6692" s="4" t="s">
        <v>921</v>
      </c>
      <c r="F6692" s="46" t="s">
        <v>3224</v>
      </c>
      <c r="G6692" s="4" t="s">
        <v>336</v>
      </c>
      <c r="H6692" s="4" t="s">
        <v>380</v>
      </c>
      <c r="I6692" s="4">
        <v>0.1</v>
      </c>
      <c r="J6692" s="21">
        <v>2000</v>
      </c>
      <c r="K6692" s="21">
        <v>200</v>
      </c>
      <c r="L6692" s="5">
        <v>0</v>
      </c>
      <c r="M6692" s="4"/>
      <c r="N6692" s="4"/>
      <c r="O6692" s="5"/>
      <c r="P6692" s="5"/>
      <c r="Q6692" s="21">
        <v>0</v>
      </c>
      <c r="R6692" s="21">
        <v>0</v>
      </c>
      <c r="S6692" s="5">
        <f t="shared" si="419"/>
        <v>46111.923288159909</v>
      </c>
      <c r="T6692" cm="1">
        <f t="array" ref="T6692">IF(OR(B6692="MAL ALIMI", B6692="ÜRETİM GİRİŞ"), MIN(I6692, MAX(0, I6692 + SUM(SUMIFS($I$1:I6691, $C$1:C6691, C6692, $B$1:B6691, {"MAL ALIMI","ÜRETİM GİRİŞ"})) - VLOOKUP(C6692, 'STOK RAPORU'!$C$2:$I$1000, 4, 0))), 0)</f>
        <v>0</v>
      </c>
      <c r="U6692" s="22">
        <f t="shared" si="416"/>
        <v>0</v>
      </c>
      <c r="V6692">
        <f t="shared" si="417"/>
        <v>0</v>
      </c>
      <c r="W6692" s="22">
        <f t="shared" si="418"/>
        <v>0</v>
      </c>
    </row>
    <row r="6693" spans="1:23" hidden="1" x14ac:dyDescent="0.25">
      <c r="A6693" s="3">
        <v>46141</v>
      </c>
      <c r="B6693" s="46" t="s">
        <v>334</v>
      </c>
      <c r="C6693" s="4" t="s">
        <v>457</v>
      </c>
      <c r="D6693" s="4"/>
      <c r="E6693" s="4" t="s">
        <v>921</v>
      </c>
      <c r="F6693" s="46" t="s">
        <v>3224</v>
      </c>
      <c r="G6693" s="4" t="s">
        <v>336</v>
      </c>
      <c r="H6693" s="4" t="s">
        <v>380</v>
      </c>
      <c r="I6693" s="4">
        <v>0.1</v>
      </c>
      <c r="J6693" s="21">
        <v>700</v>
      </c>
      <c r="K6693" s="21">
        <v>70</v>
      </c>
      <c r="L6693" s="5">
        <v>0</v>
      </c>
      <c r="M6693" s="4"/>
      <c r="N6693" s="4"/>
      <c r="O6693" s="5"/>
      <c r="P6693" s="5"/>
      <c r="Q6693" s="21">
        <v>0</v>
      </c>
      <c r="R6693" s="21">
        <v>0</v>
      </c>
      <c r="S6693" s="5">
        <f t="shared" si="419"/>
        <v>46111.923288159909</v>
      </c>
      <c r="T6693" cm="1">
        <f t="array" ref="T6693">IF(OR(B6693="MAL ALIMI", B6693="ÜRETİM GİRİŞ"), MIN(I6693, MAX(0, I6693 + SUM(SUMIFS($I$1:I6692, $C$1:C6692, C6693, $B$1:B6692, {"MAL ALIMI","ÜRETİM GİRİŞ"})) - VLOOKUP(C6693, 'STOK RAPORU'!$C$2:$I$1000, 4, 0))), 0)</f>
        <v>0</v>
      </c>
      <c r="U6693" s="22">
        <f t="shared" si="416"/>
        <v>0</v>
      </c>
      <c r="V6693">
        <f t="shared" si="417"/>
        <v>0</v>
      </c>
      <c r="W6693" s="22">
        <f t="shared" si="418"/>
        <v>0</v>
      </c>
    </row>
    <row r="6694" spans="1:23" hidden="1" x14ac:dyDescent="0.25">
      <c r="A6694" s="3">
        <v>46141</v>
      </c>
      <c r="B6694" s="46" t="s">
        <v>334</v>
      </c>
      <c r="C6694" s="4" t="s">
        <v>1041</v>
      </c>
      <c r="D6694" s="4"/>
      <c r="E6694" s="4" t="s">
        <v>921</v>
      </c>
      <c r="F6694" s="46" t="s">
        <v>3224</v>
      </c>
      <c r="G6694" s="4" t="s">
        <v>336</v>
      </c>
      <c r="H6694" s="4" t="s">
        <v>380</v>
      </c>
      <c r="I6694" s="4">
        <v>0.5</v>
      </c>
      <c r="J6694" s="21">
        <v>250</v>
      </c>
      <c r="K6694" s="21">
        <v>125</v>
      </c>
      <c r="L6694" s="5">
        <v>0</v>
      </c>
      <c r="M6694" s="4"/>
      <c r="N6694" s="4"/>
      <c r="O6694" s="5"/>
      <c r="P6694" s="5"/>
      <c r="Q6694" s="21">
        <v>0</v>
      </c>
      <c r="R6694" s="21">
        <v>0</v>
      </c>
      <c r="S6694" s="5">
        <f t="shared" si="419"/>
        <v>46111.923288159909</v>
      </c>
      <c r="T6694" cm="1">
        <f t="array" ref="T6694">IF(OR(B6694="MAL ALIMI", B6694="ÜRETİM GİRİŞ"), MIN(I6694, MAX(0, I6694 + SUM(SUMIFS($I$1:I6693, $C$1:C6693, C6694, $B$1:B6693, {"MAL ALIMI","ÜRETİM GİRİŞ"})) - VLOOKUP(C6694, 'STOK RAPORU'!$C$2:$I$1000, 4, 0))), 0)</f>
        <v>0</v>
      </c>
      <c r="U6694" s="22">
        <f t="shared" si="416"/>
        <v>0</v>
      </c>
      <c r="V6694">
        <f t="shared" si="417"/>
        <v>0</v>
      </c>
      <c r="W6694" s="22">
        <f t="shared" si="418"/>
        <v>0</v>
      </c>
    </row>
    <row r="6695" spans="1:23" hidden="1" x14ac:dyDescent="0.25">
      <c r="A6695" s="3">
        <v>46141</v>
      </c>
      <c r="B6695" s="46" t="s">
        <v>334</v>
      </c>
      <c r="C6695" s="4" t="s">
        <v>1359</v>
      </c>
      <c r="D6695" s="4"/>
      <c r="E6695" s="4" t="s">
        <v>921</v>
      </c>
      <c r="F6695" s="46" t="s">
        <v>3224</v>
      </c>
      <c r="G6695" s="4" t="s">
        <v>336</v>
      </c>
      <c r="H6695" s="4" t="s">
        <v>380</v>
      </c>
      <c r="I6695" s="4">
        <v>0.25</v>
      </c>
      <c r="J6695" s="21">
        <v>500</v>
      </c>
      <c r="K6695" s="21">
        <v>125</v>
      </c>
      <c r="L6695" s="5">
        <v>0</v>
      </c>
      <c r="M6695" s="4"/>
      <c r="N6695" s="4"/>
      <c r="O6695" s="5"/>
      <c r="P6695" s="5"/>
      <c r="Q6695" s="21">
        <v>0</v>
      </c>
      <c r="R6695" s="21">
        <v>0</v>
      </c>
      <c r="S6695" s="5">
        <f t="shared" si="419"/>
        <v>46111.923288159909</v>
      </c>
      <c r="T6695" cm="1">
        <f t="array" ref="T6695">IF(OR(B6695="MAL ALIMI", B6695="ÜRETİM GİRİŞ"), MIN(I6695, MAX(0, I6695 + SUM(SUMIFS($I$1:I6694, $C$1:C6694, C6695, $B$1:B6694, {"MAL ALIMI","ÜRETİM GİRİŞ"})) - VLOOKUP(C6695, 'STOK RAPORU'!$C$2:$I$1000, 4, 0))), 0)</f>
        <v>0</v>
      </c>
      <c r="U6695" s="22">
        <f t="shared" si="416"/>
        <v>0</v>
      </c>
      <c r="V6695">
        <f t="shared" si="417"/>
        <v>0</v>
      </c>
      <c r="W6695" s="22">
        <f t="shared" si="418"/>
        <v>0</v>
      </c>
    </row>
    <row r="6696" spans="1:23" hidden="1" x14ac:dyDescent="0.25">
      <c r="A6696" s="3">
        <v>46141</v>
      </c>
      <c r="B6696" s="46" t="s">
        <v>334</v>
      </c>
      <c r="C6696" s="4" t="s">
        <v>766</v>
      </c>
      <c r="D6696" s="4"/>
      <c r="E6696" s="4"/>
      <c r="F6696" s="46" t="s">
        <v>3225</v>
      </c>
      <c r="G6696" s="4" t="s">
        <v>336</v>
      </c>
      <c r="H6696" s="4" t="s">
        <v>289</v>
      </c>
      <c r="I6696" s="4">
        <v>1</v>
      </c>
      <c r="J6696" s="21">
        <v>220</v>
      </c>
      <c r="K6696" s="21">
        <v>0</v>
      </c>
      <c r="L6696" s="5">
        <v>0</v>
      </c>
      <c r="M6696" s="4"/>
      <c r="N6696" s="4"/>
      <c r="O6696" s="5"/>
      <c r="P6696" s="5"/>
      <c r="Q6696" s="21">
        <v>220</v>
      </c>
      <c r="R6696" s="21">
        <v>0</v>
      </c>
      <c r="S6696" s="5">
        <f t="shared" si="419"/>
        <v>46331.923288159909</v>
      </c>
      <c r="T6696" cm="1">
        <f t="array" ref="T6696">IF(OR(B6696="MAL ALIMI", B6696="ÜRETİM GİRİŞ"), MIN(I6696, MAX(0, I6696 + SUM(SUMIFS($I$1:I6695, $C$1:C6695, C6696, $B$1:B6695, {"MAL ALIMI","ÜRETİM GİRİŞ"})) - VLOOKUP(C6696, 'STOK RAPORU'!$C$2:$I$1000, 4, 0))), 0)</f>
        <v>0</v>
      </c>
      <c r="U6696" s="22">
        <f t="shared" si="416"/>
        <v>0</v>
      </c>
      <c r="V6696">
        <f t="shared" si="417"/>
        <v>0</v>
      </c>
      <c r="W6696" s="22">
        <f t="shared" si="418"/>
        <v>0</v>
      </c>
    </row>
    <row r="6697" spans="1:23" hidden="1" x14ac:dyDescent="0.25">
      <c r="A6697" s="3">
        <v>46141</v>
      </c>
      <c r="B6697" s="46" t="s">
        <v>334</v>
      </c>
      <c r="C6697" s="4" t="s">
        <v>160</v>
      </c>
      <c r="D6697" s="4"/>
      <c r="E6697" s="4"/>
      <c r="F6697" s="46" t="s">
        <v>3226</v>
      </c>
      <c r="G6697" s="4" t="s">
        <v>336</v>
      </c>
      <c r="H6697" s="4" t="s">
        <v>289</v>
      </c>
      <c r="I6697" s="4">
        <v>3</v>
      </c>
      <c r="J6697" s="21">
        <v>250</v>
      </c>
      <c r="K6697" s="21">
        <v>0</v>
      </c>
      <c r="L6697" s="5">
        <v>0</v>
      </c>
      <c r="M6697" s="4"/>
      <c r="N6697" s="4"/>
      <c r="O6697" s="5"/>
      <c r="P6697" s="5"/>
      <c r="Q6697" s="21">
        <v>750</v>
      </c>
      <c r="R6697" s="21">
        <v>0</v>
      </c>
      <c r="S6697" s="5">
        <f t="shared" si="419"/>
        <v>47081.923288159909</v>
      </c>
      <c r="T6697" cm="1">
        <f t="array" ref="T6697">IF(OR(B6697="MAL ALIMI", B6697="ÜRETİM GİRİŞ"), MIN(I6697, MAX(0, I6697 + SUM(SUMIFS($I$1:I6696, $C$1:C6696, C6697, $B$1:B6696, {"MAL ALIMI","ÜRETİM GİRİŞ"})) - VLOOKUP(C6697, 'STOK RAPORU'!$C$2:$I$1000, 4, 0))), 0)</f>
        <v>0</v>
      </c>
      <c r="U6697" s="22">
        <f t="shared" si="416"/>
        <v>0</v>
      </c>
      <c r="V6697">
        <f t="shared" si="417"/>
        <v>0</v>
      </c>
      <c r="W6697" s="22">
        <f t="shared" si="418"/>
        <v>0</v>
      </c>
    </row>
    <row r="6698" spans="1:23" hidden="1" x14ac:dyDescent="0.25">
      <c r="A6698" s="3">
        <v>46141</v>
      </c>
      <c r="B6698" s="46" t="s">
        <v>334</v>
      </c>
      <c r="C6698" s="4" t="s">
        <v>158</v>
      </c>
      <c r="D6698" s="4"/>
      <c r="E6698" s="4"/>
      <c r="F6698" s="46" t="s">
        <v>3226</v>
      </c>
      <c r="G6698" s="4" t="s">
        <v>336</v>
      </c>
      <c r="H6698" s="4" t="s">
        <v>289</v>
      </c>
      <c r="I6698" s="4">
        <v>1</v>
      </c>
      <c r="J6698" s="21">
        <v>150</v>
      </c>
      <c r="K6698" s="21">
        <v>0</v>
      </c>
      <c r="L6698" s="5">
        <v>0</v>
      </c>
      <c r="M6698" s="4"/>
      <c r="N6698" s="4"/>
      <c r="O6698" s="5"/>
      <c r="P6698" s="5"/>
      <c r="Q6698" s="21">
        <v>150</v>
      </c>
      <c r="R6698" s="21">
        <v>0</v>
      </c>
      <c r="S6698" s="5">
        <f t="shared" si="419"/>
        <v>47231.923288159909</v>
      </c>
      <c r="T6698" cm="1">
        <f t="array" ref="T6698">IF(OR(B6698="MAL ALIMI", B6698="ÜRETİM GİRİŞ"), MIN(I6698, MAX(0, I6698 + SUM(SUMIFS($I$1:I6697, $C$1:C6697, C6698, $B$1:B6697, {"MAL ALIMI","ÜRETİM GİRİŞ"})) - VLOOKUP(C6698, 'STOK RAPORU'!$C$2:$I$1000, 4, 0))), 0)</f>
        <v>0</v>
      </c>
      <c r="U6698" s="22">
        <f t="shared" si="416"/>
        <v>0</v>
      </c>
      <c r="V6698">
        <f t="shared" si="417"/>
        <v>0</v>
      </c>
      <c r="W6698" s="22">
        <f t="shared" si="418"/>
        <v>0</v>
      </c>
    </row>
    <row r="6699" spans="1:23" hidden="1" x14ac:dyDescent="0.25">
      <c r="A6699" s="3">
        <v>46141</v>
      </c>
      <c r="B6699" s="46" t="s">
        <v>334</v>
      </c>
      <c r="C6699" s="4" t="s">
        <v>133</v>
      </c>
      <c r="D6699" s="4"/>
      <c r="E6699" s="4"/>
      <c r="F6699" s="46" t="s">
        <v>3226</v>
      </c>
      <c r="G6699" s="4" t="s">
        <v>336</v>
      </c>
      <c r="H6699" s="4" t="s">
        <v>289</v>
      </c>
      <c r="I6699" s="4">
        <v>0.25</v>
      </c>
      <c r="J6699" s="21">
        <v>400</v>
      </c>
      <c r="K6699" s="21">
        <v>0</v>
      </c>
      <c r="L6699" s="5">
        <v>0</v>
      </c>
      <c r="M6699" s="4"/>
      <c r="N6699" s="4"/>
      <c r="O6699" s="5"/>
      <c r="P6699" s="5"/>
      <c r="Q6699" s="21">
        <v>100</v>
      </c>
      <c r="R6699" s="21">
        <v>0</v>
      </c>
      <c r="S6699" s="5">
        <f t="shared" si="419"/>
        <v>47331.923288159909</v>
      </c>
      <c r="T6699" cm="1">
        <f t="array" ref="T6699">IF(OR(B6699="MAL ALIMI", B6699="ÜRETİM GİRİŞ"), MIN(I6699, MAX(0, I6699 + SUM(SUMIFS($I$1:I6698, $C$1:C6698, C6699, $B$1:B6698, {"MAL ALIMI","ÜRETİM GİRİŞ"})) - VLOOKUP(C6699, 'STOK RAPORU'!$C$2:$I$1000, 4, 0))), 0)</f>
        <v>0</v>
      </c>
      <c r="U6699" s="22">
        <f t="shared" si="416"/>
        <v>0</v>
      </c>
      <c r="V6699">
        <f t="shared" si="417"/>
        <v>0</v>
      </c>
      <c r="W6699" s="22">
        <f t="shared" si="418"/>
        <v>0</v>
      </c>
    </row>
    <row r="6700" spans="1:23" hidden="1" x14ac:dyDescent="0.25">
      <c r="A6700" s="3">
        <v>46141</v>
      </c>
      <c r="B6700" s="46" t="s">
        <v>334</v>
      </c>
      <c r="C6700" s="4" t="s">
        <v>1151</v>
      </c>
      <c r="D6700" s="4"/>
      <c r="E6700" s="4" t="s">
        <v>921</v>
      </c>
      <c r="F6700" s="46" t="s">
        <v>3227</v>
      </c>
      <c r="G6700" s="4" t="s">
        <v>336</v>
      </c>
      <c r="H6700" s="4" t="s">
        <v>380</v>
      </c>
      <c r="I6700" s="4">
        <v>0.27777777777777779</v>
      </c>
      <c r="J6700" s="21">
        <v>400</v>
      </c>
      <c r="K6700" s="21">
        <v>111.11111111111111</v>
      </c>
      <c r="L6700" s="5">
        <v>0</v>
      </c>
      <c r="M6700" s="4"/>
      <c r="N6700" s="4"/>
      <c r="O6700" s="5"/>
      <c r="P6700" s="5"/>
      <c r="Q6700" s="21">
        <v>0</v>
      </c>
      <c r="R6700" s="21">
        <v>0</v>
      </c>
      <c r="S6700" s="5">
        <f t="shared" si="419"/>
        <v>47331.923288159909</v>
      </c>
      <c r="T6700" cm="1">
        <f t="array" ref="T6700">IF(OR(B6700="MAL ALIMI", B6700="ÜRETİM GİRİŞ"), MIN(I6700, MAX(0, I6700 + SUM(SUMIFS($I$1:I6699, $C$1:C6699, C6700, $B$1:B6699, {"MAL ALIMI","ÜRETİM GİRİŞ"})) - VLOOKUP(C6700, 'STOK RAPORU'!$C$2:$I$1000, 4, 0))), 0)</f>
        <v>0</v>
      </c>
      <c r="U6700" s="22">
        <f t="shared" si="416"/>
        <v>0</v>
      </c>
      <c r="V6700">
        <f t="shared" si="417"/>
        <v>0</v>
      </c>
      <c r="W6700" s="22">
        <f t="shared" si="418"/>
        <v>0</v>
      </c>
    </row>
    <row r="6701" spans="1:23" hidden="1" x14ac:dyDescent="0.25">
      <c r="A6701" s="3">
        <v>46141</v>
      </c>
      <c r="B6701" s="46" t="s">
        <v>334</v>
      </c>
      <c r="C6701" s="4" t="s">
        <v>245</v>
      </c>
      <c r="D6701" s="4"/>
      <c r="E6701" s="4" t="s">
        <v>921</v>
      </c>
      <c r="F6701" s="46" t="s">
        <v>3227</v>
      </c>
      <c r="G6701" s="4" t="s">
        <v>336</v>
      </c>
      <c r="H6701" s="4" t="s">
        <v>380</v>
      </c>
      <c r="I6701" s="4">
        <v>0.23076923076923078</v>
      </c>
      <c r="J6701" s="21">
        <v>650</v>
      </c>
      <c r="K6701" s="21">
        <v>150</v>
      </c>
      <c r="L6701" s="5">
        <v>0</v>
      </c>
      <c r="M6701" s="4"/>
      <c r="N6701" s="4"/>
      <c r="O6701" s="5"/>
      <c r="P6701" s="5"/>
      <c r="Q6701" s="21">
        <v>0</v>
      </c>
      <c r="R6701" s="21">
        <v>0</v>
      </c>
      <c r="S6701" s="5">
        <f t="shared" si="419"/>
        <v>47331.923288159909</v>
      </c>
      <c r="T6701" cm="1">
        <f t="array" ref="T6701">IF(OR(B6701="MAL ALIMI", B6701="ÜRETİM GİRİŞ"), MIN(I6701, MAX(0, I6701 + SUM(SUMIFS($I$1:I6700, $C$1:C6700, C6701, $B$1:B6700, {"MAL ALIMI","ÜRETİM GİRİŞ"})) - VLOOKUP(C6701, 'STOK RAPORU'!$C$2:$I$1000, 4, 0))), 0)</f>
        <v>0</v>
      </c>
      <c r="U6701" s="22">
        <f t="shared" si="416"/>
        <v>0</v>
      </c>
      <c r="V6701">
        <f t="shared" si="417"/>
        <v>0</v>
      </c>
      <c r="W6701" s="22">
        <f t="shared" si="418"/>
        <v>0</v>
      </c>
    </row>
    <row r="6702" spans="1:23" hidden="1" x14ac:dyDescent="0.25">
      <c r="A6702" s="3">
        <v>46141</v>
      </c>
      <c r="B6702" s="46" t="s">
        <v>334</v>
      </c>
      <c r="C6702" s="4" t="s">
        <v>60</v>
      </c>
      <c r="D6702" s="4"/>
      <c r="E6702" s="4" t="s">
        <v>921</v>
      </c>
      <c r="F6702" s="46" t="s">
        <v>3228</v>
      </c>
      <c r="G6702" s="4" t="s">
        <v>336</v>
      </c>
      <c r="H6702" s="4" t="s">
        <v>380</v>
      </c>
      <c r="I6702" s="4">
        <v>0.05</v>
      </c>
      <c r="J6702" s="21">
        <v>1200</v>
      </c>
      <c r="K6702" s="21">
        <v>60</v>
      </c>
      <c r="L6702" s="5">
        <v>0</v>
      </c>
      <c r="M6702" s="4"/>
      <c r="N6702" s="4"/>
      <c r="O6702" s="5"/>
      <c r="P6702" s="5"/>
      <c r="Q6702" s="21">
        <v>0</v>
      </c>
      <c r="R6702" s="21">
        <v>0</v>
      </c>
      <c r="S6702" s="5">
        <f t="shared" si="419"/>
        <v>47331.923288159909</v>
      </c>
      <c r="T6702" cm="1">
        <f t="array" ref="T6702">IF(OR(B6702="MAL ALIMI", B6702="ÜRETİM GİRİŞ"), MIN(I6702, MAX(0, I6702 + SUM(SUMIFS($I$1:I6701, $C$1:C6701, C6702, $B$1:B6701, {"MAL ALIMI","ÜRETİM GİRİŞ"})) - VLOOKUP(C6702, 'STOK RAPORU'!$C$2:$I$1000, 4, 0))), 0)</f>
        <v>0</v>
      </c>
      <c r="U6702" s="22">
        <f t="shared" si="416"/>
        <v>0</v>
      </c>
      <c r="V6702">
        <f t="shared" si="417"/>
        <v>0</v>
      </c>
      <c r="W6702" s="22">
        <f t="shared" si="418"/>
        <v>0</v>
      </c>
    </row>
    <row r="6703" spans="1:23" hidden="1" x14ac:dyDescent="0.25">
      <c r="A6703" s="3">
        <v>46141</v>
      </c>
      <c r="B6703" s="46" t="s">
        <v>334</v>
      </c>
      <c r="C6703" s="4" t="s">
        <v>691</v>
      </c>
      <c r="D6703" s="4"/>
      <c r="E6703" s="4" t="s">
        <v>921</v>
      </c>
      <c r="F6703" s="46" t="s">
        <v>3228</v>
      </c>
      <c r="G6703" s="4" t="s">
        <v>336</v>
      </c>
      <c r="H6703" s="4" t="s">
        <v>380</v>
      </c>
      <c r="I6703" s="4">
        <v>0.28260869565217389</v>
      </c>
      <c r="J6703" s="21">
        <v>250</v>
      </c>
      <c r="K6703" s="21">
        <v>70.65217391304347</v>
      </c>
      <c r="L6703" s="5">
        <v>0</v>
      </c>
      <c r="M6703" s="4"/>
      <c r="N6703" s="4"/>
      <c r="O6703" s="5"/>
      <c r="P6703" s="5"/>
      <c r="Q6703" s="21">
        <v>0</v>
      </c>
      <c r="R6703" s="21">
        <v>0</v>
      </c>
      <c r="S6703" s="5">
        <f t="shared" si="419"/>
        <v>47331.923288159909</v>
      </c>
      <c r="T6703" cm="1">
        <f t="array" ref="T6703">IF(OR(B6703="MAL ALIMI", B6703="ÜRETİM GİRİŞ"), MIN(I6703, MAX(0, I6703 + SUM(SUMIFS($I$1:I6702, $C$1:C6702, C6703, $B$1:B6702, {"MAL ALIMI","ÜRETİM GİRİŞ"})) - VLOOKUP(C6703, 'STOK RAPORU'!$C$2:$I$1000, 4, 0))), 0)</f>
        <v>0</v>
      </c>
      <c r="U6703" s="22">
        <f t="shared" si="416"/>
        <v>0</v>
      </c>
      <c r="V6703">
        <f t="shared" si="417"/>
        <v>0</v>
      </c>
      <c r="W6703" s="22">
        <f t="shared" si="418"/>
        <v>0</v>
      </c>
    </row>
    <row r="6704" spans="1:23" hidden="1" x14ac:dyDescent="0.25">
      <c r="A6704" s="3">
        <v>46141</v>
      </c>
      <c r="B6704" s="46" t="s">
        <v>334</v>
      </c>
      <c r="C6704" s="4" t="s">
        <v>238</v>
      </c>
      <c r="D6704" s="4"/>
      <c r="E6704" s="4" t="s">
        <v>921</v>
      </c>
      <c r="F6704" s="46" t="s">
        <v>3228</v>
      </c>
      <c r="G6704" s="4" t="s">
        <v>336</v>
      </c>
      <c r="H6704" s="4" t="s">
        <v>380</v>
      </c>
      <c r="I6704" s="4">
        <v>0.1</v>
      </c>
      <c r="J6704" s="21">
        <v>1350</v>
      </c>
      <c r="K6704" s="21">
        <v>135</v>
      </c>
      <c r="L6704" s="5">
        <v>0</v>
      </c>
      <c r="M6704" s="4"/>
      <c r="N6704" s="4"/>
      <c r="O6704" s="5"/>
      <c r="P6704" s="5"/>
      <c r="Q6704" s="21">
        <v>0</v>
      </c>
      <c r="R6704" s="21">
        <v>0</v>
      </c>
      <c r="S6704" s="5">
        <f t="shared" si="419"/>
        <v>47331.923288159909</v>
      </c>
      <c r="T6704" cm="1">
        <f t="array" ref="T6704">IF(OR(B6704="MAL ALIMI", B6704="ÜRETİM GİRİŞ"), MIN(I6704, MAX(0, I6704 + SUM(SUMIFS($I$1:I6703, $C$1:C6703, C6704, $B$1:B6703, {"MAL ALIMI","ÜRETİM GİRİŞ"})) - VLOOKUP(C6704, 'STOK RAPORU'!$C$2:$I$1000, 4, 0))), 0)</f>
        <v>0</v>
      </c>
      <c r="U6704" s="22">
        <f t="shared" si="416"/>
        <v>0</v>
      </c>
      <c r="V6704">
        <f t="shared" si="417"/>
        <v>0</v>
      </c>
      <c r="W6704" s="22">
        <f t="shared" si="418"/>
        <v>0</v>
      </c>
    </row>
    <row r="6705" spans="1:23" hidden="1" x14ac:dyDescent="0.25">
      <c r="A6705" s="3">
        <v>46141</v>
      </c>
      <c r="B6705" s="46" t="s">
        <v>334</v>
      </c>
      <c r="C6705" s="4" t="s">
        <v>161</v>
      </c>
      <c r="D6705" s="4"/>
      <c r="E6705" s="4" t="s">
        <v>921</v>
      </c>
      <c r="F6705" s="46" t="s">
        <v>3229</v>
      </c>
      <c r="G6705" s="4" t="s">
        <v>336</v>
      </c>
      <c r="H6705" s="4" t="s">
        <v>380</v>
      </c>
      <c r="I6705" s="4">
        <v>1</v>
      </c>
      <c r="J6705" s="21">
        <v>250</v>
      </c>
      <c r="K6705" s="21">
        <v>250</v>
      </c>
      <c r="L6705" s="5">
        <v>0</v>
      </c>
      <c r="M6705" s="4"/>
      <c r="N6705" s="4"/>
      <c r="O6705" s="5"/>
      <c r="P6705" s="5"/>
      <c r="Q6705" s="21">
        <v>0</v>
      </c>
      <c r="R6705" s="21">
        <v>0</v>
      </c>
      <c r="S6705" s="5">
        <f t="shared" si="419"/>
        <v>47331.923288159909</v>
      </c>
      <c r="T6705" cm="1">
        <f t="array" ref="T6705">IF(OR(B6705="MAL ALIMI", B6705="ÜRETİM GİRİŞ"), MIN(I6705, MAX(0, I6705 + SUM(SUMIFS($I$1:I6704, $C$1:C6704, C6705, $B$1:B6704, {"MAL ALIMI","ÜRETİM GİRİŞ"})) - VLOOKUP(C6705, 'STOK RAPORU'!$C$2:$I$1000, 4, 0))), 0)</f>
        <v>0</v>
      </c>
      <c r="U6705" s="22">
        <f t="shared" si="416"/>
        <v>0</v>
      </c>
      <c r="V6705">
        <f t="shared" si="417"/>
        <v>0</v>
      </c>
      <c r="W6705" s="22">
        <f t="shared" si="418"/>
        <v>0</v>
      </c>
    </row>
    <row r="6706" spans="1:23" hidden="1" x14ac:dyDescent="0.25">
      <c r="A6706" s="3">
        <v>46141</v>
      </c>
      <c r="B6706" s="46" t="s">
        <v>334</v>
      </c>
      <c r="C6706" s="4" t="s">
        <v>209</v>
      </c>
      <c r="D6706" s="4"/>
      <c r="E6706" s="4" t="s">
        <v>921</v>
      </c>
      <c r="F6706" s="46" t="s">
        <v>3230</v>
      </c>
      <c r="G6706" s="4" t="s">
        <v>336</v>
      </c>
      <c r="H6706" s="4" t="s">
        <v>380</v>
      </c>
      <c r="I6706" s="4">
        <v>0.05</v>
      </c>
      <c r="J6706" s="21">
        <v>2600</v>
      </c>
      <c r="K6706" s="21">
        <v>130</v>
      </c>
      <c r="L6706" s="5">
        <v>0</v>
      </c>
      <c r="M6706" s="4"/>
      <c r="N6706" s="4"/>
      <c r="O6706" s="5"/>
      <c r="P6706" s="5"/>
      <c r="Q6706" s="21">
        <v>0</v>
      </c>
      <c r="R6706" s="21">
        <v>0</v>
      </c>
      <c r="S6706" s="5">
        <f t="shared" si="419"/>
        <v>47331.923288159909</v>
      </c>
      <c r="T6706" cm="1">
        <f t="array" ref="T6706">IF(OR(B6706="MAL ALIMI", B6706="ÜRETİM GİRİŞ"), MIN(I6706, MAX(0, I6706 + SUM(SUMIFS($I$1:I6705, $C$1:C6705, C6706, $B$1:B6705, {"MAL ALIMI","ÜRETİM GİRİŞ"})) - VLOOKUP(C6706, 'STOK RAPORU'!$C$2:$I$1000, 4, 0))), 0)</f>
        <v>0</v>
      </c>
      <c r="U6706" s="22">
        <f t="shared" ref="U6706:U6769" si="420">T6706*J6706</f>
        <v>0</v>
      </c>
      <c r="V6706">
        <f t="shared" ref="V6706:V6769" si="421">IF(OR(B6706="MAL ALIMI", B6706="ÜRETİM GİRİŞ"), I6706 * J6706, 0)</f>
        <v>0</v>
      </c>
      <c r="W6706" s="22">
        <f t="shared" ref="W6706:W6769" si="422">V6706-U6706</f>
        <v>0</v>
      </c>
    </row>
    <row r="6707" spans="1:23" hidden="1" x14ac:dyDescent="0.25">
      <c r="A6707" s="3">
        <v>46141</v>
      </c>
      <c r="B6707" s="46" t="s">
        <v>334</v>
      </c>
      <c r="C6707" s="4" t="s">
        <v>818</v>
      </c>
      <c r="D6707" s="4"/>
      <c r="E6707" s="4" t="s">
        <v>921</v>
      </c>
      <c r="F6707" s="46" t="s">
        <v>3231</v>
      </c>
      <c r="G6707" s="4" t="s">
        <v>336</v>
      </c>
      <c r="H6707" s="4" t="s">
        <v>380</v>
      </c>
      <c r="I6707" s="4">
        <v>1</v>
      </c>
      <c r="J6707" s="21">
        <v>110</v>
      </c>
      <c r="K6707" s="21">
        <v>110</v>
      </c>
      <c r="L6707" s="5">
        <v>0</v>
      </c>
      <c r="M6707" s="4"/>
      <c r="N6707" s="4"/>
      <c r="O6707" s="5"/>
      <c r="P6707" s="5"/>
      <c r="Q6707" s="21">
        <v>0</v>
      </c>
      <c r="R6707" s="21">
        <v>0</v>
      </c>
      <c r="S6707" s="5">
        <f t="shared" si="419"/>
        <v>47331.923288159909</v>
      </c>
      <c r="T6707" cm="1">
        <f t="array" ref="T6707">IF(OR(B6707="MAL ALIMI", B6707="ÜRETİM GİRİŞ"), MIN(I6707, MAX(0, I6707 + SUM(SUMIFS($I$1:I6706, $C$1:C6706, C6707, $B$1:B6706, {"MAL ALIMI","ÜRETİM GİRİŞ"})) - VLOOKUP(C6707, 'STOK RAPORU'!$C$2:$I$1000, 4, 0))), 0)</f>
        <v>0</v>
      </c>
      <c r="U6707" s="22">
        <f t="shared" si="420"/>
        <v>0</v>
      </c>
      <c r="V6707">
        <f t="shared" si="421"/>
        <v>0</v>
      </c>
      <c r="W6707" s="22">
        <f t="shared" si="422"/>
        <v>0</v>
      </c>
    </row>
    <row r="6708" spans="1:23" hidden="1" x14ac:dyDescent="0.25">
      <c r="A6708" s="3">
        <v>46141</v>
      </c>
      <c r="B6708" s="46" t="s">
        <v>334</v>
      </c>
      <c r="C6708" s="4" t="s">
        <v>834</v>
      </c>
      <c r="D6708" s="4"/>
      <c r="E6708" s="4" t="s">
        <v>921</v>
      </c>
      <c r="F6708" s="46" t="s">
        <v>3231</v>
      </c>
      <c r="G6708" s="4" t="s">
        <v>336</v>
      </c>
      <c r="H6708" s="4" t="s">
        <v>380</v>
      </c>
      <c r="I6708" s="4">
        <v>1</v>
      </c>
      <c r="J6708" s="21">
        <v>110</v>
      </c>
      <c r="K6708" s="21">
        <v>110</v>
      </c>
      <c r="L6708" s="5">
        <v>0</v>
      </c>
      <c r="M6708" s="4"/>
      <c r="N6708" s="4"/>
      <c r="O6708" s="5"/>
      <c r="P6708" s="5"/>
      <c r="Q6708" s="21">
        <v>0</v>
      </c>
      <c r="R6708" s="21">
        <v>0</v>
      </c>
      <c r="S6708" s="5">
        <f t="shared" si="419"/>
        <v>47331.923288159909</v>
      </c>
      <c r="T6708" cm="1">
        <f t="array" ref="T6708">IF(OR(B6708="MAL ALIMI", B6708="ÜRETİM GİRİŞ"), MIN(I6708, MAX(0, I6708 + SUM(SUMIFS($I$1:I6707, $C$1:C6707, C6708, $B$1:B6707, {"MAL ALIMI","ÜRETİM GİRİŞ"})) - VLOOKUP(C6708, 'STOK RAPORU'!$C$2:$I$1000, 4, 0))), 0)</f>
        <v>0</v>
      </c>
      <c r="U6708" s="22">
        <f t="shared" si="420"/>
        <v>0</v>
      </c>
      <c r="V6708">
        <f t="shared" si="421"/>
        <v>0</v>
      </c>
      <c r="W6708" s="22">
        <f t="shared" si="422"/>
        <v>0</v>
      </c>
    </row>
    <row r="6709" spans="1:23" hidden="1" x14ac:dyDescent="0.25">
      <c r="A6709" s="3">
        <v>46141</v>
      </c>
      <c r="B6709" s="46" t="s">
        <v>334</v>
      </c>
      <c r="C6709" s="4" t="s">
        <v>1176</v>
      </c>
      <c r="D6709" s="4"/>
      <c r="E6709" s="4" t="s">
        <v>921</v>
      </c>
      <c r="F6709" s="46" t="s">
        <v>3231</v>
      </c>
      <c r="G6709" s="4" t="s">
        <v>336</v>
      </c>
      <c r="H6709" s="4" t="s">
        <v>380</v>
      </c>
      <c r="I6709" s="4">
        <v>0.1</v>
      </c>
      <c r="J6709" s="21">
        <v>2000</v>
      </c>
      <c r="K6709" s="21">
        <v>200</v>
      </c>
      <c r="L6709" s="5">
        <v>0</v>
      </c>
      <c r="M6709" s="4"/>
      <c r="N6709" s="4"/>
      <c r="O6709" s="5"/>
      <c r="P6709" s="5"/>
      <c r="Q6709" s="21">
        <v>0</v>
      </c>
      <c r="R6709" s="21">
        <v>0</v>
      </c>
      <c r="S6709" s="5">
        <f t="shared" si="419"/>
        <v>47331.923288159909</v>
      </c>
      <c r="T6709" cm="1">
        <f t="array" ref="T6709">IF(OR(B6709="MAL ALIMI", B6709="ÜRETİM GİRİŞ"), MIN(I6709, MAX(0, I6709 + SUM(SUMIFS($I$1:I6708, $C$1:C6708, C6709, $B$1:B6708, {"MAL ALIMI","ÜRETİM GİRİŞ"})) - VLOOKUP(C6709, 'STOK RAPORU'!$C$2:$I$1000, 4, 0))), 0)</f>
        <v>0</v>
      </c>
      <c r="U6709" s="22">
        <f t="shared" si="420"/>
        <v>0</v>
      </c>
      <c r="V6709">
        <f t="shared" si="421"/>
        <v>0</v>
      </c>
      <c r="W6709" s="22">
        <f t="shared" si="422"/>
        <v>0</v>
      </c>
    </row>
    <row r="6710" spans="1:23" hidden="1" x14ac:dyDescent="0.25">
      <c r="A6710" s="3">
        <v>46141</v>
      </c>
      <c r="B6710" s="46" t="s">
        <v>334</v>
      </c>
      <c r="C6710" s="4" t="s">
        <v>160</v>
      </c>
      <c r="D6710" s="4"/>
      <c r="E6710" s="4" t="s">
        <v>921</v>
      </c>
      <c r="F6710" s="46" t="s">
        <v>3232</v>
      </c>
      <c r="G6710" s="4" t="s">
        <v>336</v>
      </c>
      <c r="H6710" s="4" t="s">
        <v>380</v>
      </c>
      <c r="I6710" s="4">
        <v>1</v>
      </c>
      <c r="J6710" s="21">
        <v>250</v>
      </c>
      <c r="K6710" s="21">
        <v>250</v>
      </c>
      <c r="L6710" s="5">
        <v>0</v>
      </c>
      <c r="M6710" s="4"/>
      <c r="N6710" s="4"/>
      <c r="O6710" s="5"/>
      <c r="P6710" s="5"/>
      <c r="Q6710" s="21">
        <v>0</v>
      </c>
      <c r="R6710" s="21">
        <v>0</v>
      </c>
      <c r="S6710" s="5">
        <f t="shared" si="419"/>
        <v>47331.923288159909</v>
      </c>
      <c r="T6710" cm="1">
        <f t="array" ref="T6710">IF(OR(B6710="MAL ALIMI", B6710="ÜRETİM GİRİŞ"), MIN(I6710, MAX(0, I6710 + SUM(SUMIFS($I$1:I6709, $C$1:C6709, C6710, $B$1:B6709, {"MAL ALIMI","ÜRETİM GİRİŞ"})) - VLOOKUP(C6710, 'STOK RAPORU'!$C$2:$I$1000, 4, 0))), 0)</f>
        <v>0</v>
      </c>
      <c r="U6710" s="22">
        <f t="shared" si="420"/>
        <v>0</v>
      </c>
      <c r="V6710">
        <f t="shared" si="421"/>
        <v>0</v>
      </c>
      <c r="W6710" s="22">
        <f t="shared" si="422"/>
        <v>0</v>
      </c>
    </row>
    <row r="6711" spans="1:23" hidden="1" x14ac:dyDescent="0.25">
      <c r="A6711" s="3">
        <v>46141</v>
      </c>
      <c r="B6711" s="46" t="s">
        <v>334</v>
      </c>
      <c r="C6711" s="4" t="s">
        <v>690</v>
      </c>
      <c r="D6711" s="4"/>
      <c r="E6711" s="4"/>
      <c r="F6711" s="46" t="s">
        <v>3233</v>
      </c>
      <c r="G6711" s="4" t="s">
        <v>336</v>
      </c>
      <c r="H6711" s="4" t="s">
        <v>289</v>
      </c>
      <c r="I6711" s="4">
        <v>0.44857142857142857</v>
      </c>
      <c r="J6711" s="21">
        <v>350</v>
      </c>
      <c r="K6711" s="21">
        <v>0</v>
      </c>
      <c r="L6711" s="5">
        <v>0</v>
      </c>
      <c r="M6711" s="4"/>
      <c r="N6711" s="4"/>
      <c r="O6711" s="5"/>
      <c r="P6711" s="5"/>
      <c r="Q6711" s="21">
        <v>157</v>
      </c>
      <c r="R6711" s="21">
        <v>0</v>
      </c>
      <c r="S6711" s="5">
        <f t="shared" si="419"/>
        <v>47488.923288159909</v>
      </c>
      <c r="T6711" cm="1">
        <f t="array" ref="T6711">IF(OR(B6711="MAL ALIMI", B6711="ÜRETİM GİRİŞ"), MIN(I6711, MAX(0, I6711 + SUM(SUMIFS($I$1:I6710, $C$1:C6710, C6711, $B$1:B6710, {"MAL ALIMI","ÜRETİM GİRİŞ"})) - VLOOKUP(C6711, 'STOK RAPORU'!$C$2:$I$1000, 4, 0))), 0)</f>
        <v>0</v>
      </c>
      <c r="U6711" s="22">
        <f t="shared" si="420"/>
        <v>0</v>
      </c>
      <c r="V6711">
        <f t="shared" si="421"/>
        <v>0</v>
      </c>
      <c r="W6711" s="22">
        <f t="shared" si="422"/>
        <v>0</v>
      </c>
    </row>
    <row r="6712" spans="1:23" hidden="1" x14ac:dyDescent="0.25">
      <c r="A6712" s="3">
        <v>46141</v>
      </c>
      <c r="B6712" s="46" t="s">
        <v>334</v>
      </c>
      <c r="C6712" s="4" t="s">
        <v>3167</v>
      </c>
      <c r="D6712" s="4"/>
      <c r="E6712" s="4"/>
      <c r="F6712" s="46" t="s">
        <v>3234</v>
      </c>
      <c r="G6712" s="4" t="s">
        <v>336</v>
      </c>
      <c r="H6712" s="4" t="s">
        <v>289</v>
      </c>
      <c r="I6712" s="4">
        <v>8.7499999999999994E-2</v>
      </c>
      <c r="J6712" s="21">
        <v>400</v>
      </c>
      <c r="K6712" s="21">
        <v>0</v>
      </c>
      <c r="L6712" s="5">
        <v>0</v>
      </c>
      <c r="M6712" s="4"/>
      <c r="N6712" s="4"/>
      <c r="O6712" s="5"/>
      <c r="P6712" s="5"/>
      <c r="Q6712" s="21">
        <v>35</v>
      </c>
      <c r="R6712" s="21">
        <v>0</v>
      </c>
      <c r="S6712" s="5">
        <f t="shared" si="419"/>
        <v>47523.923288159909</v>
      </c>
      <c r="T6712" cm="1">
        <f t="array" ref="T6712">IF(OR(B6712="MAL ALIMI", B6712="ÜRETİM GİRİŞ"), MIN(I6712, MAX(0, I6712 + SUM(SUMIFS($I$1:I6711, $C$1:C6711, C6712, $B$1:B6711, {"MAL ALIMI","ÜRETİM GİRİŞ"})) - VLOOKUP(C6712, 'STOK RAPORU'!$C$2:$I$1000, 4, 0))), 0)</f>
        <v>0</v>
      </c>
      <c r="U6712" s="22">
        <f t="shared" si="420"/>
        <v>0</v>
      </c>
      <c r="V6712">
        <f t="shared" si="421"/>
        <v>0</v>
      </c>
      <c r="W6712" s="22">
        <f t="shared" si="422"/>
        <v>0</v>
      </c>
    </row>
    <row r="6713" spans="1:23" hidden="1" x14ac:dyDescent="0.25">
      <c r="A6713" s="3">
        <v>46141</v>
      </c>
      <c r="B6713" s="46" t="s">
        <v>334</v>
      </c>
      <c r="C6713" s="4" t="s">
        <v>463</v>
      </c>
      <c r="D6713" s="4"/>
      <c r="E6713" s="4"/>
      <c r="F6713" s="46" t="s">
        <v>3234</v>
      </c>
      <c r="G6713" s="4" t="s">
        <v>336</v>
      </c>
      <c r="H6713" s="4" t="s">
        <v>289</v>
      </c>
      <c r="I6713" s="4">
        <v>8.7499999999999994E-2</v>
      </c>
      <c r="J6713" s="21">
        <v>400</v>
      </c>
      <c r="K6713" s="21">
        <v>0</v>
      </c>
      <c r="L6713" s="5">
        <v>0</v>
      </c>
      <c r="M6713" s="4"/>
      <c r="N6713" s="4"/>
      <c r="O6713" s="5"/>
      <c r="P6713" s="5"/>
      <c r="Q6713" s="21">
        <v>35</v>
      </c>
      <c r="R6713" s="21">
        <v>0</v>
      </c>
      <c r="S6713" s="5">
        <f t="shared" si="419"/>
        <v>47558.923288159909</v>
      </c>
      <c r="T6713" cm="1">
        <f t="array" ref="T6713">IF(OR(B6713="MAL ALIMI", B6713="ÜRETİM GİRİŞ"), MIN(I6713, MAX(0, I6713 + SUM(SUMIFS($I$1:I6712, $C$1:C6712, C6713, $B$1:B6712, {"MAL ALIMI","ÜRETİM GİRİŞ"})) - VLOOKUP(C6713, 'STOK RAPORU'!$C$2:$I$1000, 4, 0))), 0)</f>
        <v>0</v>
      </c>
      <c r="U6713" s="22">
        <f t="shared" si="420"/>
        <v>0</v>
      </c>
      <c r="V6713">
        <f t="shared" si="421"/>
        <v>0</v>
      </c>
      <c r="W6713" s="22">
        <f t="shared" si="422"/>
        <v>0</v>
      </c>
    </row>
    <row r="6714" spans="1:23" hidden="1" x14ac:dyDescent="0.25">
      <c r="A6714" s="3">
        <v>46141</v>
      </c>
      <c r="B6714" s="46" t="s">
        <v>334</v>
      </c>
      <c r="C6714" s="4" t="s">
        <v>470</v>
      </c>
      <c r="D6714" s="4"/>
      <c r="E6714" s="4"/>
      <c r="F6714" s="46" t="s">
        <v>3234</v>
      </c>
      <c r="G6714" s="4" t="s">
        <v>336</v>
      </c>
      <c r="H6714" s="4" t="s">
        <v>289</v>
      </c>
      <c r="I6714" s="4">
        <v>1</v>
      </c>
      <c r="J6714" s="21">
        <v>50</v>
      </c>
      <c r="K6714" s="21">
        <v>0</v>
      </c>
      <c r="L6714" s="5">
        <v>0</v>
      </c>
      <c r="M6714" s="4"/>
      <c r="N6714" s="4"/>
      <c r="O6714" s="5"/>
      <c r="P6714" s="5"/>
      <c r="Q6714" s="21">
        <v>50</v>
      </c>
      <c r="R6714" s="21">
        <v>0</v>
      </c>
      <c r="S6714" s="5">
        <f t="shared" si="419"/>
        <v>47608.923288159909</v>
      </c>
      <c r="T6714" cm="1">
        <f t="array" ref="T6714">IF(OR(B6714="MAL ALIMI", B6714="ÜRETİM GİRİŞ"), MIN(I6714, MAX(0, I6714 + SUM(SUMIFS($I$1:I6713, $C$1:C6713, C6714, $B$1:B6713, {"MAL ALIMI","ÜRETİM GİRİŞ"})) - VLOOKUP(C6714, 'STOK RAPORU'!$C$2:$I$1000, 4, 0))), 0)</f>
        <v>0</v>
      </c>
      <c r="U6714" s="22">
        <f t="shared" si="420"/>
        <v>0</v>
      </c>
      <c r="V6714">
        <f t="shared" si="421"/>
        <v>0</v>
      </c>
      <c r="W6714" s="22">
        <f t="shared" si="422"/>
        <v>0</v>
      </c>
    </row>
    <row r="6715" spans="1:23" hidden="1" x14ac:dyDescent="0.25">
      <c r="A6715" s="3">
        <v>46141</v>
      </c>
      <c r="B6715" s="46" t="s">
        <v>334</v>
      </c>
      <c r="C6715" s="4" t="s">
        <v>126</v>
      </c>
      <c r="D6715" s="4"/>
      <c r="E6715" s="4"/>
      <c r="F6715" s="46" t="s">
        <v>3235</v>
      </c>
      <c r="G6715" s="4" t="s">
        <v>336</v>
      </c>
      <c r="H6715" s="4" t="s">
        <v>289</v>
      </c>
      <c r="I6715" s="4">
        <v>9.0769230769230769E-2</v>
      </c>
      <c r="J6715" s="21">
        <v>650</v>
      </c>
      <c r="K6715" s="21">
        <v>0</v>
      </c>
      <c r="L6715" s="5">
        <v>0</v>
      </c>
      <c r="M6715" s="4"/>
      <c r="N6715" s="4"/>
      <c r="O6715" s="5"/>
      <c r="P6715" s="5"/>
      <c r="Q6715" s="21">
        <v>59</v>
      </c>
      <c r="R6715" s="21">
        <v>0</v>
      </c>
      <c r="S6715" s="5">
        <f t="shared" si="419"/>
        <v>47667.923288159909</v>
      </c>
      <c r="T6715" cm="1">
        <f t="array" ref="T6715">IF(OR(B6715="MAL ALIMI", B6715="ÜRETİM GİRİŞ"), MIN(I6715, MAX(0, I6715 + SUM(SUMIFS($I$1:I6714, $C$1:C6714, C6715, $B$1:B6714, {"MAL ALIMI","ÜRETİM GİRİŞ"})) - VLOOKUP(C6715, 'STOK RAPORU'!$C$2:$I$1000, 4, 0))), 0)</f>
        <v>0</v>
      </c>
      <c r="U6715" s="22">
        <f t="shared" si="420"/>
        <v>0</v>
      </c>
      <c r="V6715">
        <f t="shared" si="421"/>
        <v>0</v>
      </c>
      <c r="W6715" s="22">
        <f t="shared" si="422"/>
        <v>0</v>
      </c>
    </row>
    <row r="6716" spans="1:23" hidden="1" x14ac:dyDescent="0.25">
      <c r="A6716" s="3">
        <v>46141</v>
      </c>
      <c r="B6716" s="46" t="s">
        <v>334</v>
      </c>
      <c r="C6716" s="4" t="s">
        <v>158</v>
      </c>
      <c r="D6716" s="4"/>
      <c r="E6716" s="4"/>
      <c r="F6716" s="46" t="s">
        <v>3235</v>
      </c>
      <c r="G6716" s="4" t="s">
        <v>336</v>
      </c>
      <c r="H6716" s="4" t="s">
        <v>289</v>
      </c>
      <c r="I6716" s="4">
        <v>1.0466666666666666</v>
      </c>
      <c r="J6716" s="21">
        <v>150</v>
      </c>
      <c r="K6716" s="21">
        <v>0</v>
      </c>
      <c r="L6716" s="5">
        <v>0</v>
      </c>
      <c r="M6716" s="4"/>
      <c r="N6716" s="4"/>
      <c r="O6716" s="5"/>
      <c r="P6716" s="5"/>
      <c r="Q6716" s="21">
        <v>157</v>
      </c>
      <c r="R6716" s="21">
        <v>0</v>
      </c>
      <c r="S6716" s="5">
        <f t="shared" si="419"/>
        <v>47824.923288159909</v>
      </c>
      <c r="T6716" cm="1">
        <f t="array" ref="T6716">IF(OR(B6716="MAL ALIMI", B6716="ÜRETİM GİRİŞ"), MIN(I6716, MAX(0, I6716 + SUM(SUMIFS($I$1:I6715, $C$1:C6715, C6716, $B$1:B6715, {"MAL ALIMI","ÜRETİM GİRİŞ"})) - VLOOKUP(C6716, 'STOK RAPORU'!$C$2:$I$1000, 4, 0))), 0)</f>
        <v>0</v>
      </c>
      <c r="U6716" s="22">
        <f t="shared" si="420"/>
        <v>0</v>
      </c>
      <c r="V6716">
        <f t="shared" si="421"/>
        <v>0</v>
      </c>
      <c r="W6716" s="22">
        <f t="shared" si="422"/>
        <v>0</v>
      </c>
    </row>
    <row r="6717" spans="1:23" hidden="1" x14ac:dyDescent="0.25">
      <c r="A6717" s="3">
        <v>46141</v>
      </c>
      <c r="B6717" s="46" t="s">
        <v>334</v>
      </c>
      <c r="C6717" s="4" t="s">
        <v>1896</v>
      </c>
      <c r="D6717" s="4"/>
      <c r="E6717" s="4"/>
      <c r="F6717" s="46" t="s">
        <v>3235</v>
      </c>
      <c r="G6717" s="4" t="s">
        <v>336</v>
      </c>
      <c r="H6717" s="4" t="s">
        <v>289</v>
      </c>
      <c r="I6717" s="4">
        <v>0.1</v>
      </c>
      <c r="J6717" s="21">
        <v>400</v>
      </c>
      <c r="K6717" s="21">
        <v>0</v>
      </c>
      <c r="L6717" s="5">
        <v>0</v>
      </c>
      <c r="M6717" s="4"/>
      <c r="N6717" s="4"/>
      <c r="O6717" s="5"/>
      <c r="P6717" s="5"/>
      <c r="Q6717" s="21">
        <v>40</v>
      </c>
      <c r="R6717" s="21">
        <v>0</v>
      </c>
      <c r="S6717" s="5">
        <f t="shared" si="419"/>
        <v>47864.923288159909</v>
      </c>
      <c r="T6717" cm="1">
        <f t="array" ref="T6717">IF(OR(B6717="MAL ALIMI", B6717="ÜRETİM GİRİŞ"), MIN(I6717, MAX(0, I6717 + SUM(SUMIFS($I$1:I6716, $C$1:C6716, C6717, $B$1:B6716, {"MAL ALIMI","ÜRETİM GİRİŞ"})) - VLOOKUP(C6717, 'STOK RAPORU'!$C$2:$I$1000, 4, 0))), 0)</f>
        <v>0</v>
      </c>
      <c r="U6717" s="22">
        <f t="shared" si="420"/>
        <v>0</v>
      </c>
      <c r="V6717">
        <f t="shared" si="421"/>
        <v>0</v>
      </c>
      <c r="W6717" s="22">
        <f t="shared" si="422"/>
        <v>0</v>
      </c>
    </row>
    <row r="6718" spans="1:23" hidden="1" x14ac:dyDescent="0.25">
      <c r="A6718" s="3">
        <v>46141</v>
      </c>
      <c r="B6718" s="46" t="s">
        <v>334</v>
      </c>
      <c r="C6718" s="4" t="s">
        <v>214</v>
      </c>
      <c r="D6718" s="4"/>
      <c r="E6718" s="4" t="s">
        <v>921</v>
      </c>
      <c r="F6718" s="46" t="s">
        <v>3236</v>
      </c>
      <c r="G6718" s="4" t="s">
        <v>336</v>
      </c>
      <c r="H6718" s="4" t="s">
        <v>380</v>
      </c>
      <c r="I6718" s="4">
        <v>0.1</v>
      </c>
      <c r="J6718" s="21">
        <v>900</v>
      </c>
      <c r="K6718" s="21">
        <v>90</v>
      </c>
      <c r="L6718" s="5">
        <v>0</v>
      </c>
      <c r="M6718" s="4"/>
      <c r="N6718" s="4"/>
      <c r="O6718" s="5"/>
      <c r="P6718" s="5"/>
      <c r="Q6718" s="21">
        <v>0</v>
      </c>
      <c r="R6718" s="21">
        <v>0</v>
      </c>
      <c r="S6718" s="5">
        <f t="shared" si="419"/>
        <v>47864.923288159909</v>
      </c>
      <c r="T6718" cm="1">
        <f t="array" ref="T6718">IF(OR(B6718="MAL ALIMI", B6718="ÜRETİM GİRİŞ"), MIN(I6718, MAX(0, I6718 + SUM(SUMIFS($I$1:I6717, $C$1:C6717, C6718, $B$1:B6717, {"MAL ALIMI","ÜRETİM GİRİŞ"})) - VLOOKUP(C6718, 'STOK RAPORU'!$C$2:$I$1000, 4, 0))), 0)</f>
        <v>0</v>
      </c>
      <c r="U6718" s="22">
        <f t="shared" si="420"/>
        <v>0</v>
      </c>
      <c r="V6718">
        <f t="shared" si="421"/>
        <v>0</v>
      </c>
      <c r="W6718" s="22">
        <f t="shared" si="422"/>
        <v>0</v>
      </c>
    </row>
    <row r="6719" spans="1:23" hidden="1" x14ac:dyDescent="0.25">
      <c r="A6719" s="3">
        <v>46141</v>
      </c>
      <c r="B6719" s="46" t="s">
        <v>334</v>
      </c>
      <c r="C6719" s="4" t="s">
        <v>126</v>
      </c>
      <c r="D6719" s="4"/>
      <c r="E6719" s="4"/>
      <c r="F6719" s="46" t="s">
        <v>3237</v>
      </c>
      <c r="G6719" s="4" t="s">
        <v>336</v>
      </c>
      <c r="H6719" s="4" t="s">
        <v>289</v>
      </c>
      <c r="I6719" s="4">
        <v>0.16307692307692306</v>
      </c>
      <c r="J6719" s="21">
        <v>500</v>
      </c>
      <c r="K6719" s="21">
        <v>0</v>
      </c>
      <c r="L6719" s="5">
        <v>0</v>
      </c>
      <c r="M6719" s="4"/>
      <c r="N6719" s="4"/>
      <c r="O6719" s="5"/>
      <c r="P6719" s="5"/>
      <c r="Q6719" s="21">
        <v>81.538461538461533</v>
      </c>
      <c r="R6719" s="21">
        <v>0</v>
      </c>
      <c r="S6719" s="5">
        <f t="shared" si="419"/>
        <v>47946.46174969837</v>
      </c>
      <c r="T6719" cm="1">
        <f t="array" ref="T6719">IF(OR(B6719="MAL ALIMI", B6719="ÜRETİM GİRİŞ"), MIN(I6719, MAX(0, I6719 + SUM(SUMIFS($I$1:I6718, $C$1:C6718, C6719, $B$1:B6718, {"MAL ALIMI","ÜRETİM GİRİŞ"})) - VLOOKUP(C6719, 'STOK RAPORU'!$C$2:$I$1000, 4, 0))), 0)</f>
        <v>0</v>
      </c>
      <c r="U6719" s="22">
        <f t="shared" si="420"/>
        <v>0</v>
      </c>
      <c r="V6719">
        <f t="shared" si="421"/>
        <v>0</v>
      </c>
      <c r="W6719" s="22">
        <f t="shared" si="422"/>
        <v>0</v>
      </c>
    </row>
    <row r="6720" spans="1:23" hidden="1" x14ac:dyDescent="0.25">
      <c r="A6720" s="3">
        <v>46141</v>
      </c>
      <c r="B6720" s="46" t="s">
        <v>334</v>
      </c>
      <c r="C6720" s="4" t="s">
        <v>691</v>
      </c>
      <c r="D6720" s="4"/>
      <c r="E6720" s="4"/>
      <c r="F6720" s="46" t="s">
        <v>3237</v>
      </c>
      <c r="G6720" s="4" t="s">
        <v>336</v>
      </c>
      <c r="H6720" s="4" t="s">
        <v>289</v>
      </c>
      <c r="I6720" s="4">
        <v>0.1</v>
      </c>
      <c r="J6720" s="21">
        <v>250</v>
      </c>
      <c r="K6720" s="21">
        <v>0</v>
      </c>
      <c r="L6720" s="5">
        <v>0</v>
      </c>
      <c r="M6720" s="4"/>
      <c r="N6720" s="4"/>
      <c r="O6720" s="5"/>
      <c r="P6720" s="5"/>
      <c r="Q6720" s="21">
        <v>25</v>
      </c>
      <c r="R6720" s="21">
        <v>0</v>
      </c>
      <c r="S6720" s="5">
        <f t="shared" si="419"/>
        <v>47971.46174969837</v>
      </c>
      <c r="T6720" cm="1">
        <f t="array" ref="T6720">IF(OR(B6720="MAL ALIMI", B6720="ÜRETİM GİRİŞ"), MIN(I6720, MAX(0, I6720 + SUM(SUMIFS($I$1:I6719, $C$1:C6719, C6720, $B$1:B6719, {"MAL ALIMI","ÜRETİM GİRİŞ"})) - VLOOKUP(C6720, 'STOK RAPORU'!$C$2:$I$1000, 4, 0))), 0)</f>
        <v>0</v>
      </c>
      <c r="U6720" s="22">
        <f t="shared" si="420"/>
        <v>0</v>
      </c>
      <c r="V6720">
        <f t="shared" si="421"/>
        <v>0</v>
      </c>
      <c r="W6720" s="22">
        <f t="shared" si="422"/>
        <v>0</v>
      </c>
    </row>
    <row r="6721" spans="1:23" hidden="1" x14ac:dyDescent="0.25">
      <c r="A6721" s="3">
        <v>46141</v>
      </c>
      <c r="B6721" s="46" t="s">
        <v>334</v>
      </c>
      <c r="C6721" s="4" t="s">
        <v>455</v>
      </c>
      <c r="D6721" s="4"/>
      <c r="E6721" s="4" t="s">
        <v>921</v>
      </c>
      <c r="F6721" s="46" t="s">
        <v>3238</v>
      </c>
      <c r="G6721" s="4" t="s">
        <v>336</v>
      </c>
      <c r="H6721" s="4" t="s">
        <v>380</v>
      </c>
      <c r="I6721" s="4">
        <v>1</v>
      </c>
      <c r="J6721" s="21">
        <v>80</v>
      </c>
      <c r="K6721" s="21">
        <v>80</v>
      </c>
      <c r="L6721" s="5">
        <v>0</v>
      </c>
      <c r="M6721" s="4"/>
      <c r="N6721" s="4"/>
      <c r="O6721" s="5"/>
      <c r="P6721" s="5"/>
      <c r="Q6721" s="21">
        <v>0</v>
      </c>
      <c r="R6721" s="21">
        <v>0</v>
      </c>
      <c r="S6721" s="5">
        <f t="shared" si="419"/>
        <v>47971.46174969837</v>
      </c>
      <c r="T6721" cm="1">
        <f t="array" ref="T6721">IF(OR(B6721="MAL ALIMI", B6721="ÜRETİM GİRİŞ"), MIN(I6721, MAX(0, I6721 + SUM(SUMIFS($I$1:I6720, $C$1:C6720, C6721, $B$1:B6720, {"MAL ALIMI","ÜRETİM GİRİŞ"})) - VLOOKUP(C6721, 'STOK RAPORU'!$C$2:$I$1000, 4, 0))), 0)</f>
        <v>0</v>
      </c>
      <c r="U6721" s="22">
        <f t="shared" si="420"/>
        <v>0</v>
      </c>
      <c r="V6721">
        <f t="shared" si="421"/>
        <v>0</v>
      </c>
      <c r="W6721" s="22">
        <f t="shared" si="422"/>
        <v>0</v>
      </c>
    </row>
    <row r="6722" spans="1:23" hidden="1" x14ac:dyDescent="0.25">
      <c r="A6722" s="3">
        <v>46141</v>
      </c>
      <c r="B6722" s="46" t="s">
        <v>334</v>
      </c>
      <c r="C6722" s="4" t="s">
        <v>523</v>
      </c>
      <c r="D6722" s="4"/>
      <c r="E6722" s="4" t="s">
        <v>921</v>
      </c>
      <c r="F6722" s="46" t="s">
        <v>3239</v>
      </c>
      <c r="G6722" s="4" t="s">
        <v>336</v>
      </c>
      <c r="H6722" s="4" t="s">
        <v>380</v>
      </c>
      <c r="I6722" s="4">
        <v>0.08</v>
      </c>
      <c r="J6722" s="21">
        <v>750</v>
      </c>
      <c r="K6722" s="21">
        <v>60</v>
      </c>
      <c r="L6722" s="5">
        <v>0</v>
      </c>
      <c r="M6722" s="4"/>
      <c r="N6722" s="4"/>
      <c r="O6722" s="5"/>
      <c r="P6722" s="5"/>
      <c r="Q6722" s="21">
        <v>0</v>
      </c>
      <c r="R6722" s="21">
        <v>0</v>
      </c>
      <c r="S6722" s="5">
        <f t="shared" si="419"/>
        <v>47971.46174969837</v>
      </c>
      <c r="T6722" cm="1">
        <f t="array" ref="T6722">IF(OR(B6722="MAL ALIMI", B6722="ÜRETİM GİRİŞ"), MIN(I6722, MAX(0, I6722 + SUM(SUMIFS($I$1:I6721, $C$1:C6721, C6722, $B$1:B6721, {"MAL ALIMI","ÜRETİM GİRİŞ"})) - VLOOKUP(C6722, 'STOK RAPORU'!$C$2:$I$1000, 4, 0))), 0)</f>
        <v>0</v>
      </c>
      <c r="U6722" s="22">
        <f t="shared" si="420"/>
        <v>0</v>
      </c>
      <c r="V6722">
        <f t="shared" si="421"/>
        <v>0</v>
      </c>
      <c r="W6722" s="22">
        <f t="shared" si="422"/>
        <v>0</v>
      </c>
    </row>
    <row r="6723" spans="1:23" hidden="1" x14ac:dyDescent="0.25">
      <c r="A6723" s="3">
        <v>46141</v>
      </c>
      <c r="B6723" s="46" t="s">
        <v>334</v>
      </c>
      <c r="C6723" s="4" t="s">
        <v>158</v>
      </c>
      <c r="D6723" s="4"/>
      <c r="E6723" s="4" t="s">
        <v>921</v>
      </c>
      <c r="F6723" s="46" t="s">
        <v>3240</v>
      </c>
      <c r="G6723" s="4" t="s">
        <v>336</v>
      </c>
      <c r="H6723" s="4" t="s">
        <v>380</v>
      </c>
      <c r="I6723" s="4">
        <v>1</v>
      </c>
      <c r="J6723" s="21">
        <v>150</v>
      </c>
      <c r="K6723" s="21">
        <v>150</v>
      </c>
      <c r="L6723" s="5">
        <v>0</v>
      </c>
      <c r="M6723" s="4"/>
      <c r="N6723" s="4"/>
      <c r="O6723" s="5"/>
      <c r="P6723" s="5"/>
      <c r="Q6723" s="21">
        <v>0</v>
      </c>
      <c r="R6723" s="21">
        <v>0</v>
      </c>
      <c r="S6723" s="5">
        <f t="shared" si="419"/>
        <v>47971.46174969837</v>
      </c>
      <c r="T6723" cm="1">
        <f t="array" ref="T6723">IF(OR(B6723="MAL ALIMI", B6723="ÜRETİM GİRİŞ"), MIN(I6723, MAX(0, I6723 + SUM(SUMIFS($I$1:I6722, $C$1:C6722, C6723, $B$1:B6722, {"MAL ALIMI","ÜRETİM GİRİŞ"})) - VLOOKUP(C6723, 'STOK RAPORU'!$C$2:$I$1000, 4, 0))), 0)</f>
        <v>0</v>
      </c>
      <c r="U6723" s="22">
        <f t="shared" si="420"/>
        <v>0</v>
      </c>
      <c r="V6723">
        <f t="shared" si="421"/>
        <v>0</v>
      </c>
      <c r="W6723" s="22">
        <f t="shared" si="422"/>
        <v>0</v>
      </c>
    </row>
    <row r="6724" spans="1:23" hidden="1" x14ac:dyDescent="0.25">
      <c r="A6724" s="3">
        <v>46142</v>
      </c>
      <c r="B6724" s="46" t="s">
        <v>334</v>
      </c>
      <c r="C6724" s="4" t="s">
        <v>265</v>
      </c>
      <c r="D6724" s="4"/>
      <c r="E6724" s="4" t="s">
        <v>921</v>
      </c>
      <c r="F6724" s="46" t="s">
        <v>3241</v>
      </c>
      <c r="G6724" s="4" t="s">
        <v>336</v>
      </c>
      <c r="H6724" s="4" t="s">
        <v>380</v>
      </c>
      <c r="I6724" s="4">
        <v>1</v>
      </c>
      <c r="J6724" s="21">
        <v>130</v>
      </c>
      <c r="K6724" s="21">
        <v>130</v>
      </c>
      <c r="L6724" s="5">
        <v>0</v>
      </c>
      <c r="M6724" s="4"/>
      <c r="N6724" s="4"/>
      <c r="O6724" s="5"/>
      <c r="P6724" s="5"/>
      <c r="Q6724" s="21">
        <v>0</v>
      </c>
      <c r="R6724" s="21">
        <v>0</v>
      </c>
      <c r="S6724" s="5">
        <f t="shared" ref="S6724:S6787" si="423">S6723+Q6724-R6724</f>
        <v>47971.46174969837</v>
      </c>
      <c r="T6724" cm="1">
        <f t="array" ref="T6724">IF(OR(B6724="MAL ALIMI", B6724="ÜRETİM GİRİŞ"), MIN(I6724, MAX(0, I6724 + SUM(SUMIFS($I$1:I6723, $C$1:C6723, C6724, $B$1:B6723, {"MAL ALIMI","ÜRETİM GİRİŞ"})) - VLOOKUP(C6724, 'STOK RAPORU'!$C$2:$I$1000, 4, 0))), 0)</f>
        <v>0</v>
      </c>
      <c r="U6724" s="22">
        <f t="shared" si="420"/>
        <v>0</v>
      </c>
      <c r="V6724">
        <f t="shared" si="421"/>
        <v>0</v>
      </c>
      <c r="W6724" s="22">
        <f t="shared" si="422"/>
        <v>0</v>
      </c>
    </row>
    <row r="6725" spans="1:23" hidden="1" x14ac:dyDescent="0.25">
      <c r="A6725" s="3">
        <v>46142</v>
      </c>
      <c r="B6725" s="46" t="s">
        <v>334</v>
      </c>
      <c r="C6725" s="4" t="s">
        <v>843</v>
      </c>
      <c r="D6725" s="4"/>
      <c r="E6725" s="4" t="s">
        <v>921</v>
      </c>
      <c r="F6725" s="46" t="s">
        <v>3241</v>
      </c>
      <c r="G6725" s="4" t="s">
        <v>336</v>
      </c>
      <c r="H6725" s="4" t="s">
        <v>380</v>
      </c>
      <c r="I6725" s="4">
        <v>0.1</v>
      </c>
      <c r="J6725" s="21">
        <v>900</v>
      </c>
      <c r="K6725" s="21">
        <v>90</v>
      </c>
      <c r="L6725" s="5">
        <v>0</v>
      </c>
      <c r="M6725" s="4"/>
      <c r="N6725" s="4"/>
      <c r="O6725" s="5"/>
      <c r="P6725" s="5"/>
      <c r="Q6725" s="21">
        <v>0</v>
      </c>
      <c r="R6725" s="21">
        <v>0</v>
      </c>
      <c r="S6725" s="5">
        <f t="shared" si="423"/>
        <v>47971.46174969837</v>
      </c>
      <c r="T6725" cm="1">
        <f t="array" ref="T6725">IF(OR(B6725="MAL ALIMI", B6725="ÜRETİM GİRİŞ"), MIN(I6725, MAX(0, I6725 + SUM(SUMIFS($I$1:I6724, $C$1:C6724, C6725, $B$1:B6724, {"MAL ALIMI","ÜRETİM GİRİŞ"})) - VLOOKUP(C6725, 'STOK RAPORU'!$C$2:$I$1000, 4, 0))), 0)</f>
        <v>0</v>
      </c>
      <c r="U6725" s="22">
        <f t="shared" si="420"/>
        <v>0</v>
      </c>
      <c r="V6725">
        <f t="shared" si="421"/>
        <v>0</v>
      </c>
      <c r="W6725" s="22">
        <f t="shared" si="422"/>
        <v>0</v>
      </c>
    </row>
    <row r="6726" spans="1:23" hidden="1" x14ac:dyDescent="0.25">
      <c r="A6726" s="3">
        <v>46142</v>
      </c>
      <c r="B6726" s="46" t="s">
        <v>334</v>
      </c>
      <c r="C6726" s="4" t="s">
        <v>137</v>
      </c>
      <c r="D6726" s="4"/>
      <c r="E6726" s="4"/>
      <c r="F6726" s="46" t="s">
        <v>3242</v>
      </c>
      <c r="G6726" s="4" t="s">
        <v>336</v>
      </c>
      <c r="H6726" s="4" t="s">
        <v>289</v>
      </c>
      <c r="I6726" s="4">
        <v>0.27800000000000002</v>
      </c>
      <c r="J6726" s="21">
        <v>180</v>
      </c>
      <c r="K6726" s="21">
        <v>0</v>
      </c>
      <c r="L6726" s="5">
        <v>0</v>
      </c>
      <c r="M6726" s="4"/>
      <c r="N6726" s="4"/>
      <c r="O6726" s="5"/>
      <c r="P6726" s="5"/>
      <c r="Q6726" s="21">
        <v>50.040000000000006</v>
      </c>
      <c r="R6726" s="21">
        <v>0</v>
      </c>
      <c r="S6726" s="5">
        <f t="shared" si="423"/>
        <v>48021.501749698371</v>
      </c>
      <c r="T6726" cm="1">
        <f t="array" ref="T6726">IF(OR(B6726="MAL ALIMI", B6726="ÜRETİM GİRİŞ"), MIN(I6726, MAX(0, I6726 + SUM(SUMIFS($I$1:I6725, $C$1:C6725, C6726, $B$1:B6725, {"MAL ALIMI","ÜRETİM GİRİŞ"})) - VLOOKUP(C6726, 'STOK RAPORU'!$C$2:$I$1000, 4, 0))), 0)</f>
        <v>0</v>
      </c>
      <c r="U6726" s="22">
        <f t="shared" si="420"/>
        <v>0</v>
      </c>
      <c r="V6726">
        <f t="shared" si="421"/>
        <v>0</v>
      </c>
      <c r="W6726" s="22">
        <f t="shared" si="422"/>
        <v>0</v>
      </c>
    </row>
    <row r="6727" spans="1:23" hidden="1" x14ac:dyDescent="0.25">
      <c r="A6727" s="3">
        <v>46142</v>
      </c>
      <c r="B6727" s="46" t="s">
        <v>334</v>
      </c>
      <c r="C6727" s="4" t="s">
        <v>96</v>
      </c>
      <c r="D6727" s="4"/>
      <c r="E6727" s="4" t="s">
        <v>921</v>
      </c>
      <c r="F6727" s="46" t="s">
        <v>3243</v>
      </c>
      <c r="G6727" s="4" t="s">
        <v>336</v>
      </c>
      <c r="H6727" s="4" t="s">
        <v>380</v>
      </c>
      <c r="I6727" s="4">
        <v>0.14000000000000001</v>
      </c>
      <c r="J6727" s="21">
        <v>400</v>
      </c>
      <c r="K6727" s="21">
        <v>56.000000000000007</v>
      </c>
      <c r="L6727" s="5">
        <v>0</v>
      </c>
      <c r="M6727" s="4"/>
      <c r="N6727" s="4"/>
      <c r="O6727" s="5"/>
      <c r="P6727" s="5"/>
      <c r="Q6727" s="21">
        <v>0</v>
      </c>
      <c r="R6727" s="21">
        <v>0</v>
      </c>
      <c r="S6727" s="5">
        <f t="shared" si="423"/>
        <v>48021.501749698371</v>
      </c>
      <c r="T6727" cm="1">
        <f t="array" ref="T6727">IF(OR(B6727="MAL ALIMI", B6727="ÜRETİM GİRİŞ"), MIN(I6727, MAX(0, I6727 + SUM(SUMIFS($I$1:I6726, $C$1:C6726, C6727, $B$1:B6726, {"MAL ALIMI","ÜRETİM GİRİŞ"})) - VLOOKUP(C6727, 'STOK RAPORU'!$C$2:$I$1000, 4, 0))), 0)</f>
        <v>0</v>
      </c>
      <c r="U6727" s="22">
        <f t="shared" si="420"/>
        <v>0</v>
      </c>
      <c r="V6727">
        <f t="shared" si="421"/>
        <v>0</v>
      </c>
      <c r="W6727" s="22">
        <f t="shared" si="422"/>
        <v>0</v>
      </c>
    </row>
    <row r="6728" spans="1:23" hidden="1" x14ac:dyDescent="0.25">
      <c r="A6728" s="3">
        <v>46142</v>
      </c>
      <c r="B6728" s="46" t="s">
        <v>334</v>
      </c>
      <c r="C6728" s="4" t="s">
        <v>133</v>
      </c>
      <c r="D6728" s="4"/>
      <c r="E6728" s="4" t="s">
        <v>921</v>
      </c>
      <c r="F6728" s="46" t="s">
        <v>3244</v>
      </c>
      <c r="G6728" s="4" t="s">
        <v>2561</v>
      </c>
      <c r="H6728" s="4" t="s">
        <v>380</v>
      </c>
      <c r="I6728" s="4">
        <v>1</v>
      </c>
      <c r="J6728" s="21">
        <v>250</v>
      </c>
      <c r="K6728" s="21">
        <v>250</v>
      </c>
      <c r="L6728" s="5">
        <v>0</v>
      </c>
      <c r="M6728" s="4"/>
      <c r="N6728" s="4"/>
      <c r="O6728" s="5"/>
      <c r="P6728" s="5"/>
      <c r="Q6728" s="21">
        <v>0</v>
      </c>
      <c r="R6728" s="21">
        <v>0</v>
      </c>
      <c r="S6728" s="5">
        <f t="shared" si="423"/>
        <v>48021.501749698371</v>
      </c>
      <c r="T6728" cm="1">
        <f t="array" ref="T6728">IF(OR(B6728="MAL ALIMI", B6728="ÜRETİM GİRİŞ"), MIN(I6728, MAX(0, I6728 + SUM(SUMIFS($I$1:I6727, $C$1:C6727, C6728, $B$1:B6727, {"MAL ALIMI","ÜRETİM GİRİŞ"})) - VLOOKUP(C6728, 'STOK RAPORU'!$C$2:$I$1000, 4, 0))), 0)</f>
        <v>0</v>
      </c>
      <c r="U6728" s="22">
        <f t="shared" si="420"/>
        <v>0</v>
      </c>
      <c r="V6728">
        <f t="shared" si="421"/>
        <v>0</v>
      </c>
      <c r="W6728" s="22">
        <f t="shared" si="422"/>
        <v>0</v>
      </c>
    </row>
    <row r="6729" spans="1:23" hidden="1" x14ac:dyDescent="0.25">
      <c r="A6729" s="3">
        <v>46142</v>
      </c>
      <c r="B6729" s="46" t="s">
        <v>334</v>
      </c>
      <c r="C6729" s="4" t="s">
        <v>463</v>
      </c>
      <c r="D6729" s="4"/>
      <c r="E6729" s="4" t="s">
        <v>921</v>
      </c>
      <c r="F6729" s="46" t="s">
        <v>3244</v>
      </c>
      <c r="G6729" s="4" t="s">
        <v>2561</v>
      </c>
      <c r="H6729" s="4" t="s">
        <v>380</v>
      </c>
      <c r="I6729" s="4">
        <v>2</v>
      </c>
      <c r="J6729" s="21">
        <v>265</v>
      </c>
      <c r="K6729" s="21">
        <v>530</v>
      </c>
      <c r="L6729" s="5">
        <v>0</v>
      </c>
      <c r="M6729" s="4"/>
      <c r="N6729" s="4"/>
      <c r="O6729" s="5"/>
      <c r="P6729" s="5"/>
      <c r="Q6729" s="21">
        <v>0</v>
      </c>
      <c r="R6729" s="21">
        <v>0</v>
      </c>
      <c r="S6729" s="5">
        <f t="shared" si="423"/>
        <v>48021.501749698371</v>
      </c>
      <c r="T6729" cm="1">
        <f t="array" ref="T6729">IF(OR(B6729="MAL ALIMI", B6729="ÜRETİM GİRİŞ"), MIN(I6729, MAX(0, I6729 + SUM(SUMIFS($I$1:I6728, $C$1:C6728, C6729, $B$1:B6728, {"MAL ALIMI","ÜRETİM GİRİŞ"})) - VLOOKUP(C6729, 'STOK RAPORU'!$C$2:$I$1000, 4, 0))), 0)</f>
        <v>0</v>
      </c>
      <c r="U6729" s="22">
        <f t="shared" si="420"/>
        <v>0</v>
      </c>
      <c r="V6729">
        <f t="shared" si="421"/>
        <v>0</v>
      </c>
      <c r="W6729" s="22">
        <f t="shared" si="422"/>
        <v>0</v>
      </c>
    </row>
    <row r="6730" spans="1:23" hidden="1" x14ac:dyDescent="0.25">
      <c r="A6730" s="3">
        <v>46142</v>
      </c>
      <c r="B6730" s="46" t="s">
        <v>334</v>
      </c>
      <c r="C6730" s="4" t="s">
        <v>158</v>
      </c>
      <c r="D6730" s="4"/>
      <c r="E6730" s="4" t="s">
        <v>921</v>
      </c>
      <c r="F6730" s="46" t="s">
        <v>3245</v>
      </c>
      <c r="G6730" s="4" t="s">
        <v>336</v>
      </c>
      <c r="H6730" s="4" t="s">
        <v>380</v>
      </c>
      <c r="I6730" s="4">
        <v>1</v>
      </c>
      <c r="J6730" s="21">
        <v>150</v>
      </c>
      <c r="K6730" s="21">
        <v>150</v>
      </c>
      <c r="L6730" s="5">
        <v>0</v>
      </c>
      <c r="M6730" s="4"/>
      <c r="N6730" s="4"/>
      <c r="O6730" s="5"/>
      <c r="P6730" s="5"/>
      <c r="Q6730" s="21">
        <v>0</v>
      </c>
      <c r="R6730" s="21">
        <v>0</v>
      </c>
      <c r="S6730" s="5">
        <f t="shared" si="423"/>
        <v>48021.501749698371</v>
      </c>
      <c r="T6730" cm="1">
        <f t="array" ref="T6730">IF(OR(B6730="MAL ALIMI", B6730="ÜRETİM GİRİŞ"), MIN(I6730, MAX(0, I6730 + SUM(SUMIFS($I$1:I6729, $C$1:C6729, C6730, $B$1:B6729, {"MAL ALIMI","ÜRETİM GİRİŞ"})) - VLOOKUP(C6730, 'STOK RAPORU'!$C$2:$I$1000, 4, 0))), 0)</f>
        <v>0</v>
      </c>
      <c r="U6730" s="22">
        <f t="shared" si="420"/>
        <v>0</v>
      </c>
      <c r="V6730">
        <f t="shared" si="421"/>
        <v>0</v>
      </c>
      <c r="W6730" s="22">
        <f t="shared" si="422"/>
        <v>0</v>
      </c>
    </row>
    <row r="6731" spans="1:23" hidden="1" x14ac:dyDescent="0.25">
      <c r="A6731" s="3">
        <v>46142</v>
      </c>
      <c r="B6731" s="46" t="s">
        <v>334</v>
      </c>
      <c r="C6731" s="4" t="s">
        <v>2127</v>
      </c>
      <c r="D6731" s="4"/>
      <c r="E6731" s="4" t="s">
        <v>921</v>
      </c>
      <c r="F6731" s="46" t="s">
        <v>3246</v>
      </c>
      <c r="G6731" s="4" t="s">
        <v>336</v>
      </c>
      <c r="H6731" s="4" t="s">
        <v>380</v>
      </c>
      <c r="I6731" s="4">
        <v>0.5</v>
      </c>
      <c r="J6731" s="21">
        <v>400</v>
      </c>
      <c r="K6731" s="21">
        <v>200</v>
      </c>
      <c r="L6731" s="5">
        <v>0</v>
      </c>
      <c r="M6731" s="4"/>
      <c r="N6731" s="4"/>
      <c r="O6731" s="5"/>
      <c r="P6731" s="5"/>
      <c r="Q6731" s="21">
        <v>0</v>
      </c>
      <c r="R6731" s="21">
        <v>0</v>
      </c>
      <c r="S6731" s="5">
        <f t="shared" si="423"/>
        <v>48021.501749698371</v>
      </c>
      <c r="T6731" cm="1">
        <f t="array" ref="T6731">IF(OR(B6731="MAL ALIMI", B6731="ÜRETİM GİRİŞ"), MIN(I6731, MAX(0, I6731 + SUM(SUMIFS($I$1:I6730, $C$1:C6730, C6731, $B$1:B6730, {"MAL ALIMI","ÜRETİM GİRİŞ"})) - VLOOKUP(C6731, 'STOK RAPORU'!$C$2:$I$1000, 4, 0))), 0)</f>
        <v>0</v>
      </c>
      <c r="U6731" s="22">
        <f t="shared" si="420"/>
        <v>0</v>
      </c>
      <c r="V6731">
        <f t="shared" si="421"/>
        <v>0</v>
      </c>
      <c r="W6731" s="22">
        <f t="shared" si="422"/>
        <v>0</v>
      </c>
    </row>
    <row r="6732" spans="1:23" hidden="1" x14ac:dyDescent="0.25">
      <c r="A6732" s="3">
        <v>46142</v>
      </c>
      <c r="B6732" s="46" t="s">
        <v>334</v>
      </c>
      <c r="C6732" s="4" t="s">
        <v>470</v>
      </c>
      <c r="D6732" s="4"/>
      <c r="E6732" s="4" t="s">
        <v>921</v>
      </c>
      <c r="F6732" s="46" t="s">
        <v>3247</v>
      </c>
      <c r="G6732" s="4" t="s">
        <v>336</v>
      </c>
      <c r="H6732" s="4" t="s">
        <v>380</v>
      </c>
      <c r="I6732" s="4">
        <v>1</v>
      </c>
      <c r="J6732" s="21">
        <v>50</v>
      </c>
      <c r="K6732" s="21">
        <v>50</v>
      </c>
      <c r="L6732" s="5">
        <v>0</v>
      </c>
      <c r="M6732" s="4"/>
      <c r="N6732" s="4"/>
      <c r="O6732" s="5"/>
      <c r="P6732" s="5"/>
      <c r="Q6732" s="21">
        <v>0</v>
      </c>
      <c r="R6732" s="21">
        <v>0</v>
      </c>
      <c r="S6732" s="5">
        <f t="shared" si="423"/>
        <v>48021.501749698371</v>
      </c>
      <c r="T6732" cm="1">
        <f t="array" ref="T6732">IF(OR(B6732="MAL ALIMI", B6732="ÜRETİM GİRİŞ"), MIN(I6732, MAX(0, I6732 + SUM(SUMIFS($I$1:I6731, $C$1:C6731, C6732, $B$1:B6731, {"MAL ALIMI","ÜRETİM GİRİŞ"})) - VLOOKUP(C6732, 'STOK RAPORU'!$C$2:$I$1000, 4, 0))), 0)</f>
        <v>0</v>
      </c>
      <c r="U6732" s="22">
        <f t="shared" si="420"/>
        <v>0</v>
      </c>
      <c r="V6732">
        <f t="shared" si="421"/>
        <v>0</v>
      </c>
      <c r="W6732" s="22">
        <f t="shared" si="422"/>
        <v>0</v>
      </c>
    </row>
    <row r="6733" spans="1:23" hidden="1" x14ac:dyDescent="0.25">
      <c r="A6733" s="3">
        <v>46142</v>
      </c>
      <c r="B6733" s="46" t="s">
        <v>334</v>
      </c>
      <c r="C6733" s="4" t="s">
        <v>467</v>
      </c>
      <c r="D6733" s="4"/>
      <c r="E6733" s="4" t="s">
        <v>921</v>
      </c>
      <c r="F6733" s="46" t="s">
        <v>3247</v>
      </c>
      <c r="G6733" s="4" t="s">
        <v>336</v>
      </c>
      <c r="H6733" s="4" t="s">
        <v>380</v>
      </c>
      <c r="I6733" s="4">
        <v>1</v>
      </c>
      <c r="J6733" s="21">
        <v>50</v>
      </c>
      <c r="K6733" s="21">
        <v>50</v>
      </c>
      <c r="L6733" s="5">
        <v>0</v>
      </c>
      <c r="M6733" s="4"/>
      <c r="N6733" s="4"/>
      <c r="O6733" s="5"/>
      <c r="P6733" s="5"/>
      <c r="Q6733" s="21">
        <v>0</v>
      </c>
      <c r="R6733" s="21">
        <v>0</v>
      </c>
      <c r="S6733" s="5">
        <f t="shared" si="423"/>
        <v>48021.501749698371</v>
      </c>
      <c r="T6733" cm="1">
        <f t="array" ref="T6733">IF(OR(B6733="MAL ALIMI", B6733="ÜRETİM GİRİŞ"), MIN(I6733, MAX(0, I6733 + SUM(SUMIFS($I$1:I6732, $C$1:C6732, C6733, $B$1:B6732, {"MAL ALIMI","ÜRETİM GİRİŞ"})) - VLOOKUP(C6733, 'STOK RAPORU'!$C$2:$I$1000, 4, 0))), 0)</f>
        <v>0</v>
      </c>
      <c r="U6733" s="22">
        <f t="shared" si="420"/>
        <v>0</v>
      </c>
      <c r="V6733">
        <f t="shared" si="421"/>
        <v>0</v>
      </c>
      <c r="W6733" s="22">
        <f t="shared" si="422"/>
        <v>0</v>
      </c>
    </row>
    <row r="6734" spans="1:23" hidden="1" x14ac:dyDescent="0.25">
      <c r="A6734" s="3">
        <v>46142</v>
      </c>
      <c r="B6734" s="46" t="s">
        <v>334</v>
      </c>
      <c r="C6734" s="4" t="s">
        <v>1140</v>
      </c>
      <c r="D6734" s="4"/>
      <c r="E6734" s="4"/>
      <c r="F6734" s="46" t="s">
        <v>3252</v>
      </c>
      <c r="G6734" s="4" t="s">
        <v>336</v>
      </c>
      <c r="H6734" s="4" t="s">
        <v>289</v>
      </c>
      <c r="I6734" s="4">
        <v>1</v>
      </c>
      <c r="J6734" s="21">
        <v>350</v>
      </c>
      <c r="K6734" s="21">
        <v>0</v>
      </c>
      <c r="L6734" s="5">
        <v>0</v>
      </c>
      <c r="M6734" s="4"/>
      <c r="N6734" s="4"/>
      <c r="O6734" s="5"/>
      <c r="P6734" s="5"/>
      <c r="Q6734" s="21">
        <v>350</v>
      </c>
      <c r="R6734" s="21">
        <v>0</v>
      </c>
      <c r="S6734" s="5">
        <f t="shared" si="423"/>
        <v>48371.501749698371</v>
      </c>
      <c r="T6734" cm="1">
        <f t="array" ref="T6734">IF(OR(B6734="MAL ALIMI", B6734="ÜRETİM GİRİŞ"), MIN(I6734, MAX(0, I6734 + SUM(SUMIFS($I$1:I6733, $C$1:C6733, C6734, $B$1:B6733, {"MAL ALIMI","ÜRETİM GİRİŞ"})) - VLOOKUP(C6734, 'STOK RAPORU'!$C$2:$I$1000, 4, 0))), 0)</f>
        <v>0</v>
      </c>
      <c r="U6734" s="22">
        <f t="shared" si="420"/>
        <v>0</v>
      </c>
      <c r="V6734">
        <f t="shared" si="421"/>
        <v>0</v>
      </c>
      <c r="W6734" s="22">
        <f t="shared" si="422"/>
        <v>0</v>
      </c>
    </row>
    <row r="6735" spans="1:23" hidden="1" x14ac:dyDescent="0.25">
      <c r="A6735" s="3">
        <v>46142</v>
      </c>
      <c r="B6735" s="46" t="s">
        <v>334</v>
      </c>
      <c r="C6735" s="4" t="s">
        <v>522</v>
      </c>
      <c r="D6735" s="4"/>
      <c r="E6735" s="4"/>
      <c r="F6735" s="46" t="s">
        <v>3252</v>
      </c>
      <c r="G6735" s="4" t="s">
        <v>336</v>
      </c>
      <c r="H6735" s="4" t="s">
        <v>289</v>
      </c>
      <c r="I6735" s="4">
        <v>1</v>
      </c>
      <c r="J6735" s="21">
        <v>250</v>
      </c>
      <c r="K6735" s="21">
        <v>0</v>
      </c>
      <c r="L6735" s="5">
        <v>0</v>
      </c>
      <c r="M6735" s="4"/>
      <c r="N6735" s="4"/>
      <c r="O6735" s="5"/>
      <c r="P6735" s="5"/>
      <c r="Q6735" s="21">
        <v>250</v>
      </c>
      <c r="R6735" s="21">
        <v>0</v>
      </c>
      <c r="S6735" s="5">
        <f t="shared" si="423"/>
        <v>48621.501749698371</v>
      </c>
      <c r="T6735" cm="1">
        <f t="array" ref="T6735">IF(OR(B6735="MAL ALIMI", B6735="ÜRETİM GİRİŞ"), MIN(I6735, MAX(0, I6735 + SUM(SUMIFS($I$1:I6734, $C$1:C6734, C6735, $B$1:B6734, {"MAL ALIMI","ÜRETİM GİRİŞ"})) - VLOOKUP(C6735, 'STOK RAPORU'!$C$2:$I$1000, 4, 0))), 0)</f>
        <v>0</v>
      </c>
      <c r="U6735" s="22">
        <f t="shared" si="420"/>
        <v>0</v>
      </c>
      <c r="V6735">
        <f t="shared" si="421"/>
        <v>0</v>
      </c>
      <c r="W6735" s="22">
        <f t="shared" si="422"/>
        <v>0</v>
      </c>
    </row>
    <row r="6736" spans="1:23" hidden="1" x14ac:dyDescent="0.25">
      <c r="A6736" s="3">
        <v>46142</v>
      </c>
      <c r="B6736" s="46" t="s">
        <v>334</v>
      </c>
      <c r="C6736" s="4" t="s">
        <v>178</v>
      </c>
      <c r="D6736" s="4"/>
      <c r="E6736" s="4"/>
      <c r="F6736" s="46" t="s">
        <v>3252</v>
      </c>
      <c r="G6736" s="4" t="s">
        <v>336</v>
      </c>
      <c r="H6736" s="4" t="s">
        <v>289</v>
      </c>
      <c r="I6736" s="4">
        <v>1</v>
      </c>
      <c r="J6736" s="21">
        <v>90</v>
      </c>
      <c r="K6736" s="21">
        <v>0</v>
      </c>
      <c r="L6736" s="5">
        <v>0</v>
      </c>
      <c r="M6736" s="4"/>
      <c r="N6736" s="4"/>
      <c r="O6736" s="5"/>
      <c r="P6736" s="5"/>
      <c r="Q6736" s="21">
        <v>90</v>
      </c>
      <c r="R6736" s="21">
        <v>0</v>
      </c>
      <c r="S6736" s="5">
        <f t="shared" si="423"/>
        <v>48711.501749698371</v>
      </c>
      <c r="T6736" cm="1">
        <f t="array" ref="T6736">IF(OR(B6736="MAL ALIMI", B6736="ÜRETİM GİRİŞ"), MIN(I6736, MAX(0, I6736 + SUM(SUMIFS($I$1:I6735, $C$1:C6735, C6736, $B$1:B6735, {"MAL ALIMI","ÜRETİM GİRİŞ"})) - VLOOKUP(C6736, 'STOK RAPORU'!$C$2:$I$1000, 4, 0))), 0)</f>
        <v>0</v>
      </c>
      <c r="U6736" s="22">
        <f t="shared" si="420"/>
        <v>0</v>
      </c>
      <c r="V6736">
        <f t="shared" si="421"/>
        <v>0</v>
      </c>
      <c r="W6736" s="22">
        <f t="shared" si="422"/>
        <v>0</v>
      </c>
    </row>
    <row r="6737" spans="1:23" hidden="1" x14ac:dyDescent="0.25">
      <c r="A6737" s="3">
        <v>46143</v>
      </c>
      <c r="B6737" s="46" t="s">
        <v>334</v>
      </c>
      <c r="C6737" s="4" t="s">
        <v>189</v>
      </c>
      <c r="D6737" s="4"/>
      <c r="E6737" s="4"/>
      <c r="F6737" s="46" t="s">
        <v>3253</v>
      </c>
      <c r="G6737" s="4" t="s">
        <v>336</v>
      </c>
      <c r="H6737" s="4" t="s">
        <v>289</v>
      </c>
      <c r="I6737" s="4">
        <v>0.1</v>
      </c>
      <c r="J6737" s="21">
        <v>720</v>
      </c>
      <c r="K6737" s="21">
        <v>0</v>
      </c>
      <c r="L6737" s="5">
        <v>0</v>
      </c>
      <c r="M6737" s="4"/>
      <c r="N6737" s="4"/>
      <c r="O6737" s="5"/>
      <c r="P6737" s="5"/>
      <c r="Q6737" s="21">
        <v>72</v>
      </c>
      <c r="R6737" s="21">
        <v>0</v>
      </c>
      <c r="S6737" s="5">
        <f t="shared" si="423"/>
        <v>48783.501749698371</v>
      </c>
      <c r="T6737" cm="1">
        <f t="array" ref="T6737">IF(OR(B6737="MAL ALIMI", B6737="ÜRETİM GİRİŞ"), MIN(I6737, MAX(0, I6737 + SUM(SUMIFS($I$1:I6736, $C$1:C6736, C6737, $B$1:B6736, {"MAL ALIMI","ÜRETİM GİRİŞ"})) - VLOOKUP(C6737, 'STOK RAPORU'!$C$2:$I$1000, 4, 0))), 0)</f>
        <v>0</v>
      </c>
      <c r="U6737" s="22">
        <f t="shared" si="420"/>
        <v>0</v>
      </c>
      <c r="V6737">
        <f t="shared" si="421"/>
        <v>0</v>
      </c>
      <c r="W6737" s="22">
        <f t="shared" si="422"/>
        <v>0</v>
      </c>
    </row>
    <row r="6738" spans="1:23" hidden="1" x14ac:dyDescent="0.25">
      <c r="A6738" s="3">
        <v>46143</v>
      </c>
      <c r="B6738" s="46" t="s">
        <v>334</v>
      </c>
      <c r="C6738" s="4" t="s">
        <v>126</v>
      </c>
      <c r="D6738" s="4"/>
      <c r="E6738" s="4"/>
      <c r="F6738" s="46" t="s">
        <v>3253</v>
      </c>
      <c r="G6738" s="4" t="s">
        <v>336</v>
      </c>
      <c r="H6738" s="4" t="s">
        <v>289</v>
      </c>
      <c r="I6738" s="4">
        <v>0.13538461538461538</v>
      </c>
      <c r="J6738" s="21">
        <v>650</v>
      </c>
      <c r="K6738" s="21">
        <v>0</v>
      </c>
      <c r="L6738" s="5">
        <v>0</v>
      </c>
      <c r="M6738" s="4"/>
      <c r="N6738" s="4"/>
      <c r="O6738" s="5"/>
      <c r="P6738" s="5"/>
      <c r="Q6738" s="21">
        <v>88</v>
      </c>
      <c r="R6738" s="21">
        <v>0</v>
      </c>
      <c r="S6738" s="5">
        <f t="shared" si="423"/>
        <v>48871.501749698371</v>
      </c>
      <c r="T6738" cm="1">
        <f t="array" ref="T6738">IF(OR(B6738="MAL ALIMI", B6738="ÜRETİM GİRİŞ"), MIN(I6738, MAX(0, I6738 + SUM(SUMIFS($I$1:I6737, $C$1:C6737, C6738, $B$1:B6737, {"MAL ALIMI","ÜRETİM GİRİŞ"})) - VLOOKUP(C6738, 'STOK RAPORU'!$C$2:$I$1000, 4, 0))), 0)</f>
        <v>0</v>
      </c>
      <c r="U6738" s="22">
        <f t="shared" si="420"/>
        <v>0</v>
      </c>
      <c r="V6738">
        <f t="shared" si="421"/>
        <v>0</v>
      </c>
      <c r="W6738" s="22">
        <f t="shared" si="422"/>
        <v>0</v>
      </c>
    </row>
    <row r="6739" spans="1:23" hidden="1" x14ac:dyDescent="0.25">
      <c r="A6739" s="3">
        <v>46143</v>
      </c>
      <c r="B6739" s="46" t="s">
        <v>334</v>
      </c>
      <c r="C6739" s="4" t="s">
        <v>3158</v>
      </c>
      <c r="D6739" s="4"/>
      <c r="E6739" s="4"/>
      <c r="F6739" s="46" t="s">
        <v>3253</v>
      </c>
      <c r="G6739" s="4" t="s">
        <v>336</v>
      </c>
      <c r="H6739" s="4" t="s">
        <v>289</v>
      </c>
      <c r="I6739" s="4">
        <v>1</v>
      </c>
      <c r="J6739" s="21">
        <v>200</v>
      </c>
      <c r="K6739" s="21">
        <v>0</v>
      </c>
      <c r="L6739" s="5">
        <v>0</v>
      </c>
      <c r="M6739" s="4"/>
      <c r="N6739" s="4"/>
      <c r="O6739" s="5"/>
      <c r="P6739" s="5"/>
      <c r="Q6739" s="21">
        <v>200</v>
      </c>
      <c r="R6739" s="21">
        <v>0</v>
      </c>
      <c r="S6739" s="5">
        <f t="shared" si="423"/>
        <v>49071.501749698371</v>
      </c>
      <c r="T6739" cm="1">
        <f t="array" ref="T6739">IF(OR(B6739="MAL ALIMI", B6739="ÜRETİM GİRİŞ"), MIN(I6739, MAX(0, I6739 + SUM(SUMIFS($I$1:I6738, $C$1:C6738, C6739, $B$1:B6738, {"MAL ALIMI","ÜRETİM GİRİŞ"})) - VLOOKUP(C6739, 'STOK RAPORU'!$C$2:$I$1000, 4, 0))), 0)</f>
        <v>0</v>
      </c>
      <c r="U6739" s="22">
        <f t="shared" si="420"/>
        <v>0</v>
      </c>
      <c r="V6739">
        <f t="shared" si="421"/>
        <v>0</v>
      </c>
      <c r="W6739" s="22">
        <f t="shared" si="422"/>
        <v>0</v>
      </c>
    </row>
    <row r="6740" spans="1:23" hidden="1" x14ac:dyDescent="0.25">
      <c r="A6740" s="3">
        <v>46143</v>
      </c>
      <c r="B6740" s="46" t="s">
        <v>334</v>
      </c>
      <c r="C6740" s="4" t="s">
        <v>1364</v>
      </c>
      <c r="D6740" s="4"/>
      <c r="E6740" s="4"/>
      <c r="F6740" s="46" t="s">
        <v>3253</v>
      </c>
      <c r="G6740" s="4" t="s">
        <v>336</v>
      </c>
      <c r="H6740" s="4" t="s">
        <v>289</v>
      </c>
      <c r="I6740" s="4">
        <v>1</v>
      </c>
      <c r="J6740" s="21">
        <v>150</v>
      </c>
      <c r="K6740" s="21">
        <v>0</v>
      </c>
      <c r="L6740" s="5">
        <v>0</v>
      </c>
      <c r="M6740" s="4"/>
      <c r="N6740" s="4"/>
      <c r="O6740" s="5"/>
      <c r="P6740" s="5"/>
      <c r="Q6740" s="21">
        <v>150</v>
      </c>
      <c r="R6740" s="21">
        <v>0</v>
      </c>
      <c r="S6740" s="5">
        <f t="shared" si="423"/>
        <v>49221.501749698371</v>
      </c>
      <c r="T6740" cm="1">
        <f t="array" ref="T6740">IF(OR(B6740="MAL ALIMI", B6740="ÜRETİM GİRİŞ"), MIN(I6740, MAX(0, I6740 + SUM(SUMIFS($I$1:I6739, $C$1:C6739, C6740, $B$1:B6739, {"MAL ALIMI","ÜRETİM GİRİŞ"})) - VLOOKUP(C6740, 'STOK RAPORU'!$C$2:$I$1000, 4, 0))), 0)</f>
        <v>0</v>
      </c>
      <c r="U6740" s="22">
        <f t="shared" si="420"/>
        <v>0</v>
      </c>
      <c r="V6740">
        <f t="shared" si="421"/>
        <v>0</v>
      </c>
      <c r="W6740" s="22">
        <f t="shared" si="422"/>
        <v>0</v>
      </c>
    </row>
    <row r="6741" spans="1:23" hidden="1" x14ac:dyDescent="0.25">
      <c r="A6741" s="3">
        <v>46143</v>
      </c>
      <c r="B6741" s="46" t="s">
        <v>334</v>
      </c>
      <c r="C6741" s="4" t="s">
        <v>131</v>
      </c>
      <c r="D6741" s="4"/>
      <c r="E6741" s="4" t="s">
        <v>921</v>
      </c>
      <c r="F6741" s="46" t="s">
        <v>3254</v>
      </c>
      <c r="G6741" s="4" t="s">
        <v>336</v>
      </c>
      <c r="H6741" s="4" t="s">
        <v>380</v>
      </c>
      <c r="I6741" s="4">
        <v>7.4999999999999997E-2</v>
      </c>
      <c r="J6741" s="21">
        <v>400</v>
      </c>
      <c r="K6741" s="21">
        <v>30</v>
      </c>
      <c r="L6741" s="5">
        <v>0</v>
      </c>
      <c r="M6741" s="4"/>
      <c r="N6741" s="4"/>
      <c r="O6741" s="5"/>
      <c r="P6741" s="5"/>
      <c r="Q6741" s="21">
        <v>0</v>
      </c>
      <c r="R6741" s="21">
        <v>0</v>
      </c>
      <c r="S6741" s="5">
        <f t="shared" si="423"/>
        <v>49221.501749698371</v>
      </c>
      <c r="T6741" cm="1">
        <f t="array" ref="T6741">IF(OR(B6741="MAL ALIMI", B6741="ÜRETİM GİRİŞ"), MIN(I6741, MAX(0, I6741 + SUM(SUMIFS($I$1:I6740, $C$1:C6740, C6741, $B$1:B6740, {"MAL ALIMI","ÜRETİM GİRİŞ"})) - VLOOKUP(C6741, 'STOK RAPORU'!$C$2:$I$1000, 4, 0))), 0)</f>
        <v>0</v>
      </c>
      <c r="U6741" s="22">
        <f t="shared" si="420"/>
        <v>0</v>
      </c>
      <c r="V6741">
        <f t="shared" si="421"/>
        <v>0</v>
      </c>
      <c r="W6741" s="22">
        <f t="shared" si="422"/>
        <v>0</v>
      </c>
    </row>
    <row r="6742" spans="1:23" hidden="1" x14ac:dyDescent="0.25">
      <c r="A6742" s="3">
        <v>46143</v>
      </c>
      <c r="B6742" s="46" t="s">
        <v>334</v>
      </c>
      <c r="C6742" s="4" t="s">
        <v>163</v>
      </c>
      <c r="D6742" s="4"/>
      <c r="E6742" s="4" t="s">
        <v>921</v>
      </c>
      <c r="F6742" s="46" t="s">
        <v>3254</v>
      </c>
      <c r="G6742" s="4" t="s">
        <v>336</v>
      </c>
      <c r="H6742" s="4" t="s">
        <v>380</v>
      </c>
      <c r="I6742" s="4">
        <v>0.16222222222222221</v>
      </c>
      <c r="J6742" s="21">
        <v>450</v>
      </c>
      <c r="K6742" s="21">
        <v>73</v>
      </c>
      <c r="L6742" s="5">
        <v>0</v>
      </c>
      <c r="M6742" s="4"/>
      <c r="N6742" s="4"/>
      <c r="O6742" s="5"/>
      <c r="P6742" s="5"/>
      <c r="Q6742" s="21">
        <v>0</v>
      </c>
      <c r="R6742" s="21">
        <v>0</v>
      </c>
      <c r="S6742" s="5">
        <f t="shared" si="423"/>
        <v>49221.501749698371</v>
      </c>
      <c r="T6742" cm="1">
        <f t="array" ref="T6742">IF(OR(B6742="MAL ALIMI", B6742="ÜRETİM GİRİŞ"), MIN(I6742, MAX(0, I6742 + SUM(SUMIFS($I$1:I6741, $C$1:C6741, C6742, $B$1:B6741, {"MAL ALIMI","ÜRETİM GİRİŞ"})) - VLOOKUP(C6742, 'STOK RAPORU'!$C$2:$I$1000, 4, 0))), 0)</f>
        <v>0</v>
      </c>
      <c r="U6742" s="22">
        <f t="shared" si="420"/>
        <v>0</v>
      </c>
      <c r="V6742">
        <f t="shared" si="421"/>
        <v>0</v>
      </c>
      <c r="W6742" s="22">
        <f t="shared" si="422"/>
        <v>0</v>
      </c>
    </row>
    <row r="6743" spans="1:23" hidden="1" x14ac:dyDescent="0.25">
      <c r="A6743" s="3">
        <v>46143</v>
      </c>
      <c r="B6743" s="46" t="s">
        <v>334</v>
      </c>
      <c r="C6743" s="4" t="s">
        <v>157</v>
      </c>
      <c r="D6743" s="4"/>
      <c r="E6743" s="4" t="s">
        <v>921</v>
      </c>
      <c r="F6743" s="46" t="s">
        <v>3254</v>
      </c>
      <c r="G6743" s="4" t="s">
        <v>336</v>
      </c>
      <c r="H6743" s="4" t="s">
        <v>380</v>
      </c>
      <c r="I6743" s="4">
        <v>0.5</v>
      </c>
      <c r="J6743" s="21">
        <v>200</v>
      </c>
      <c r="K6743" s="21">
        <v>100</v>
      </c>
      <c r="L6743" s="5">
        <v>0</v>
      </c>
      <c r="M6743" s="4"/>
      <c r="N6743" s="4"/>
      <c r="O6743" s="5"/>
      <c r="P6743" s="5"/>
      <c r="Q6743" s="21">
        <v>0</v>
      </c>
      <c r="R6743" s="21">
        <v>0</v>
      </c>
      <c r="S6743" s="5">
        <f t="shared" si="423"/>
        <v>49221.501749698371</v>
      </c>
      <c r="T6743" cm="1">
        <f t="array" ref="T6743">IF(OR(B6743="MAL ALIMI", B6743="ÜRETİM GİRİŞ"), MIN(I6743, MAX(0, I6743 + SUM(SUMIFS($I$1:I6742, $C$1:C6742, C6743, $B$1:B6742, {"MAL ALIMI","ÜRETİM GİRİŞ"})) - VLOOKUP(C6743, 'STOK RAPORU'!$C$2:$I$1000, 4, 0))), 0)</f>
        <v>0</v>
      </c>
      <c r="U6743" s="22">
        <f t="shared" si="420"/>
        <v>0</v>
      </c>
      <c r="V6743">
        <f t="shared" si="421"/>
        <v>0</v>
      </c>
      <c r="W6743" s="22">
        <f t="shared" si="422"/>
        <v>0</v>
      </c>
    </row>
    <row r="6744" spans="1:23" hidden="1" x14ac:dyDescent="0.25">
      <c r="A6744" s="3">
        <v>46143</v>
      </c>
      <c r="B6744" s="46" t="s">
        <v>334</v>
      </c>
      <c r="C6744" s="4" t="s">
        <v>167</v>
      </c>
      <c r="D6744" s="4"/>
      <c r="E6744" s="4" t="s">
        <v>921</v>
      </c>
      <c r="F6744" s="46" t="s">
        <v>3254</v>
      </c>
      <c r="G6744" s="4" t="s">
        <v>336</v>
      </c>
      <c r="H6744" s="4" t="s">
        <v>380</v>
      </c>
      <c r="I6744" s="4">
        <v>0.5</v>
      </c>
      <c r="J6744" s="21">
        <v>250</v>
      </c>
      <c r="K6744" s="21">
        <v>125</v>
      </c>
      <c r="L6744" s="5">
        <v>0</v>
      </c>
      <c r="M6744" s="4"/>
      <c r="N6744" s="4"/>
      <c r="O6744" s="5"/>
      <c r="P6744" s="5"/>
      <c r="Q6744" s="21">
        <v>0</v>
      </c>
      <c r="R6744" s="21">
        <v>0</v>
      </c>
      <c r="S6744" s="5">
        <f t="shared" si="423"/>
        <v>49221.501749698371</v>
      </c>
      <c r="T6744" cm="1">
        <f t="array" ref="T6744">IF(OR(B6744="MAL ALIMI", B6744="ÜRETİM GİRİŞ"), MIN(I6744, MAX(0, I6744 + SUM(SUMIFS($I$1:I6743, $C$1:C6743, C6744, $B$1:B6743, {"MAL ALIMI","ÜRETİM GİRİŞ"})) - VLOOKUP(C6744, 'STOK RAPORU'!$C$2:$I$1000, 4, 0))), 0)</f>
        <v>0</v>
      </c>
      <c r="U6744" s="22">
        <f t="shared" si="420"/>
        <v>0</v>
      </c>
      <c r="V6744">
        <f t="shared" si="421"/>
        <v>0</v>
      </c>
      <c r="W6744" s="22">
        <f t="shared" si="422"/>
        <v>0</v>
      </c>
    </row>
    <row r="6745" spans="1:23" hidden="1" x14ac:dyDescent="0.25">
      <c r="A6745" s="3">
        <v>46143</v>
      </c>
      <c r="B6745" s="46" t="s">
        <v>334</v>
      </c>
      <c r="C6745" s="4" t="s">
        <v>161</v>
      </c>
      <c r="D6745" s="4"/>
      <c r="E6745" s="4" t="s">
        <v>921</v>
      </c>
      <c r="F6745" s="46" t="s">
        <v>3254</v>
      </c>
      <c r="G6745" s="4" t="s">
        <v>336</v>
      </c>
      <c r="H6745" s="4" t="s">
        <v>380</v>
      </c>
      <c r="I6745" s="4">
        <v>0.5</v>
      </c>
      <c r="J6745" s="21">
        <v>250</v>
      </c>
      <c r="K6745" s="21">
        <v>125</v>
      </c>
      <c r="L6745" s="5">
        <v>0</v>
      </c>
      <c r="M6745" s="4"/>
      <c r="N6745" s="4"/>
      <c r="O6745" s="5"/>
      <c r="P6745" s="5"/>
      <c r="Q6745" s="21">
        <v>0</v>
      </c>
      <c r="R6745" s="21">
        <v>0</v>
      </c>
      <c r="S6745" s="5">
        <f t="shared" si="423"/>
        <v>49221.501749698371</v>
      </c>
      <c r="T6745" cm="1">
        <f t="array" ref="T6745">IF(OR(B6745="MAL ALIMI", B6745="ÜRETİM GİRİŞ"), MIN(I6745, MAX(0, I6745 + SUM(SUMIFS($I$1:I6744, $C$1:C6744, C6745, $B$1:B6744, {"MAL ALIMI","ÜRETİM GİRİŞ"})) - VLOOKUP(C6745, 'STOK RAPORU'!$C$2:$I$1000, 4, 0))), 0)</f>
        <v>0</v>
      </c>
      <c r="U6745" s="22">
        <f t="shared" si="420"/>
        <v>0</v>
      </c>
      <c r="V6745">
        <f t="shared" si="421"/>
        <v>0</v>
      </c>
      <c r="W6745" s="22">
        <f t="shared" si="422"/>
        <v>0</v>
      </c>
    </row>
    <row r="6746" spans="1:23" hidden="1" x14ac:dyDescent="0.25">
      <c r="A6746" s="3">
        <v>46143</v>
      </c>
      <c r="B6746" s="46" t="s">
        <v>334</v>
      </c>
      <c r="C6746" s="4" t="s">
        <v>587</v>
      </c>
      <c r="D6746" s="4"/>
      <c r="E6746" s="4" t="s">
        <v>2343</v>
      </c>
      <c r="F6746" s="46" t="s">
        <v>3255</v>
      </c>
      <c r="G6746" s="4" t="s">
        <v>2613</v>
      </c>
      <c r="H6746" s="4" t="s">
        <v>304</v>
      </c>
      <c r="I6746" s="4">
        <v>19.350000000000001</v>
      </c>
      <c r="J6746" s="21">
        <v>105</v>
      </c>
      <c r="K6746" s="5">
        <v>2031.7500000000002</v>
      </c>
      <c r="L6746" s="5">
        <v>0</v>
      </c>
      <c r="M6746" s="4"/>
      <c r="N6746" s="4"/>
      <c r="O6746" s="5"/>
      <c r="P6746" s="5"/>
      <c r="Q6746" s="21">
        <v>0</v>
      </c>
      <c r="R6746" s="21">
        <v>0</v>
      </c>
      <c r="S6746" s="5">
        <f t="shared" si="423"/>
        <v>49221.501749698371</v>
      </c>
      <c r="T6746" cm="1">
        <f t="array" ref="T6746">IF(OR(B6746="MAL ALIMI", B6746="ÜRETİM GİRİŞ"), MIN(I6746, MAX(0, I6746 + SUM(SUMIFS($I$1:I6745, $C$1:C6745, C6746, $B$1:B6745, {"MAL ALIMI","ÜRETİM GİRİŞ"})) - VLOOKUP(C6746, 'STOK RAPORU'!$C$2:$I$1000, 4, 0))), 0)</f>
        <v>0</v>
      </c>
      <c r="U6746" s="22">
        <f t="shared" si="420"/>
        <v>0</v>
      </c>
      <c r="V6746">
        <f t="shared" si="421"/>
        <v>0</v>
      </c>
      <c r="W6746" s="22">
        <f t="shared" si="422"/>
        <v>0</v>
      </c>
    </row>
    <row r="6747" spans="1:23" hidden="1" x14ac:dyDescent="0.25">
      <c r="A6747" s="3">
        <v>46143</v>
      </c>
      <c r="B6747" s="46" t="s">
        <v>334</v>
      </c>
      <c r="C6747" s="4" t="s">
        <v>586</v>
      </c>
      <c r="D6747" s="4"/>
      <c r="E6747" s="4" t="s">
        <v>2343</v>
      </c>
      <c r="F6747" s="46" t="s">
        <v>3255</v>
      </c>
      <c r="G6747" s="4" t="s">
        <v>2613</v>
      </c>
      <c r="H6747" s="4" t="s">
        <v>304</v>
      </c>
      <c r="I6747" s="4">
        <v>19.350000000000001</v>
      </c>
      <c r="J6747" s="21">
        <v>130</v>
      </c>
      <c r="K6747" s="5">
        <v>2515.5</v>
      </c>
      <c r="L6747" s="5">
        <v>0</v>
      </c>
      <c r="M6747" s="4"/>
      <c r="N6747" s="4"/>
      <c r="O6747" s="5"/>
      <c r="P6747" s="5"/>
      <c r="Q6747" s="21">
        <v>0</v>
      </c>
      <c r="R6747" s="21">
        <v>0</v>
      </c>
      <c r="S6747" s="5">
        <f t="shared" si="423"/>
        <v>49221.501749698371</v>
      </c>
      <c r="T6747" cm="1">
        <f t="array" ref="T6747">IF(OR(B6747="MAL ALIMI", B6747="ÜRETİM GİRİŞ"), MIN(I6747, MAX(0, I6747 + SUM(SUMIFS($I$1:I6746, $C$1:C6746, C6747, $B$1:B6746, {"MAL ALIMI","ÜRETİM GİRİŞ"})) - VLOOKUP(C6747, 'STOK RAPORU'!$C$2:$I$1000, 4, 0))), 0)</f>
        <v>0</v>
      </c>
      <c r="U6747" s="22">
        <f t="shared" si="420"/>
        <v>0</v>
      </c>
      <c r="V6747">
        <f t="shared" si="421"/>
        <v>0</v>
      </c>
      <c r="W6747" s="22">
        <f t="shared" si="422"/>
        <v>0</v>
      </c>
    </row>
    <row r="6748" spans="1:23" hidden="1" x14ac:dyDescent="0.25">
      <c r="A6748" s="3">
        <v>46143</v>
      </c>
      <c r="B6748" s="46" t="s">
        <v>334</v>
      </c>
      <c r="C6748" s="4" t="s">
        <v>590</v>
      </c>
      <c r="D6748" s="4"/>
      <c r="E6748" s="4" t="s">
        <v>2343</v>
      </c>
      <c r="F6748" s="46" t="s">
        <v>3255</v>
      </c>
      <c r="G6748" s="4" t="s">
        <v>2613</v>
      </c>
      <c r="H6748" s="4" t="s">
        <v>304</v>
      </c>
      <c r="I6748" s="4">
        <v>5</v>
      </c>
      <c r="J6748" s="21">
        <v>65</v>
      </c>
      <c r="K6748" s="5">
        <v>325</v>
      </c>
      <c r="L6748" s="5">
        <v>0</v>
      </c>
      <c r="M6748" s="4"/>
      <c r="N6748" s="4"/>
      <c r="O6748" s="5"/>
      <c r="P6748" s="5"/>
      <c r="Q6748" s="21">
        <v>0</v>
      </c>
      <c r="R6748" s="21">
        <v>0</v>
      </c>
      <c r="S6748" s="5">
        <f t="shared" si="423"/>
        <v>49221.501749698371</v>
      </c>
      <c r="T6748" cm="1">
        <f t="array" ref="T6748">IF(OR(B6748="MAL ALIMI", B6748="ÜRETİM GİRİŞ"), MIN(I6748, MAX(0, I6748 + SUM(SUMIFS($I$1:I6747, $C$1:C6747, C6748, $B$1:B6747, {"MAL ALIMI","ÜRETİM GİRİŞ"})) - VLOOKUP(C6748, 'STOK RAPORU'!$C$2:$I$1000, 4, 0))), 0)</f>
        <v>0</v>
      </c>
      <c r="U6748" s="22">
        <f t="shared" si="420"/>
        <v>0</v>
      </c>
      <c r="V6748">
        <f t="shared" si="421"/>
        <v>0</v>
      </c>
      <c r="W6748" s="22">
        <f t="shared" si="422"/>
        <v>0</v>
      </c>
    </row>
    <row r="6749" spans="1:23" hidden="1" x14ac:dyDescent="0.25">
      <c r="A6749" s="3">
        <v>46143</v>
      </c>
      <c r="B6749" s="46" t="s">
        <v>334</v>
      </c>
      <c r="C6749" s="4" t="s">
        <v>463</v>
      </c>
      <c r="D6749" s="4"/>
      <c r="E6749" s="4" t="s">
        <v>2343</v>
      </c>
      <c r="F6749" s="46" t="s">
        <v>3255</v>
      </c>
      <c r="G6749" s="4" t="s">
        <v>2613</v>
      </c>
      <c r="H6749" s="4" t="s">
        <v>304</v>
      </c>
      <c r="I6749" s="4">
        <v>0.21</v>
      </c>
      <c r="J6749" s="21">
        <v>265</v>
      </c>
      <c r="K6749" s="5">
        <v>55.65</v>
      </c>
      <c r="L6749" s="5">
        <v>0</v>
      </c>
      <c r="M6749" s="4"/>
      <c r="N6749" s="4"/>
      <c r="O6749" s="5"/>
      <c r="P6749" s="5"/>
      <c r="Q6749" s="21">
        <v>0</v>
      </c>
      <c r="R6749" s="21">
        <v>0</v>
      </c>
      <c r="S6749" s="5">
        <f t="shared" si="423"/>
        <v>49221.501749698371</v>
      </c>
      <c r="T6749" cm="1">
        <f t="array" ref="T6749">IF(OR(B6749="MAL ALIMI", B6749="ÜRETİM GİRİŞ"), MIN(I6749, MAX(0, I6749 + SUM(SUMIFS($I$1:I6748, $C$1:C6748, C6749, $B$1:B6748, {"MAL ALIMI","ÜRETİM GİRİŞ"})) - VLOOKUP(C6749, 'STOK RAPORU'!$C$2:$I$1000, 4, 0))), 0)</f>
        <v>0</v>
      </c>
      <c r="U6749" s="22">
        <f t="shared" si="420"/>
        <v>0</v>
      </c>
      <c r="V6749">
        <f t="shared" si="421"/>
        <v>0</v>
      </c>
      <c r="W6749" s="22">
        <f t="shared" si="422"/>
        <v>0</v>
      </c>
    </row>
    <row r="6750" spans="1:23" hidden="1" x14ac:dyDescent="0.25">
      <c r="A6750" s="3">
        <v>46143</v>
      </c>
      <c r="B6750" s="46" t="s">
        <v>334</v>
      </c>
      <c r="C6750" s="4" t="s">
        <v>1176</v>
      </c>
      <c r="D6750" s="4"/>
      <c r="E6750" s="4" t="s">
        <v>921</v>
      </c>
      <c r="F6750" s="46" t="s">
        <v>3258</v>
      </c>
      <c r="G6750" s="4" t="s">
        <v>336</v>
      </c>
      <c r="H6750" s="4" t="s">
        <v>380</v>
      </c>
      <c r="I6750" s="4">
        <v>0.1</v>
      </c>
      <c r="J6750" s="21">
        <v>2000</v>
      </c>
      <c r="K6750" s="21">
        <v>200</v>
      </c>
      <c r="L6750" s="5">
        <v>0</v>
      </c>
      <c r="M6750" s="4"/>
      <c r="N6750" s="4"/>
      <c r="O6750" s="5"/>
      <c r="P6750" s="5"/>
      <c r="Q6750" s="21">
        <v>0</v>
      </c>
      <c r="R6750" s="21">
        <v>0</v>
      </c>
      <c r="S6750" s="5">
        <f t="shared" si="423"/>
        <v>49221.501749698371</v>
      </c>
      <c r="T6750" cm="1">
        <f t="array" ref="T6750">IF(OR(B6750="MAL ALIMI", B6750="ÜRETİM GİRİŞ"), MIN(I6750, MAX(0, I6750 + SUM(SUMIFS($I$1:I6749, $C$1:C6749, C6750, $B$1:B6749, {"MAL ALIMI","ÜRETİM GİRİŞ"})) - VLOOKUP(C6750, 'STOK RAPORU'!$C$2:$I$1000, 4, 0))), 0)</f>
        <v>0</v>
      </c>
      <c r="U6750" s="22">
        <f t="shared" si="420"/>
        <v>0</v>
      </c>
      <c r="V6750">
        <f t="shared" si="421"/>
        <v>0</v>
      </c>
      <c r="W6750" s="22">
        <f t="shared" si="422"/>
        <v>0</v>
      </c>
    </row>
    <row r="6751" spans="1:23" hidden="1" x14ac:dyDescent="0.25">
      <c r="A6751" s="3">
        <v>46143</v>
      </c>
      <c r="B6751" s="46" t="s">
        <v>334</v>
      </c>
      <c r="C6751" s="4" t="s">
        <v>214</v>
      </c>
      <c r="D6751" s="4"/>
      <c r="E6751" s="4" t="s">
        <v>921</v>
      </c>
      <c r="F6751" s="46" t="s">
        <v>3258</v>
      </c>
      <c r="G6751" s="4" t="s">
        <v>336</v>
      </c>
      <c r="H6751" s="4" t="s">
        <v>380</v>
      </c>
      <c r="I6751" s="4">
        <v>0.1</v>
      </c>
      <c r="J6751" s="21">
        <v>900</v>
      </c>
      <c r="K6751" s="21">
        <v>90</v>
      </c>
      <c r="L6751" s="5">
        <v>0</v>
      </c>
      <c r="M6751" s="4"/>
      <c r="N6751" s="4"/>
      <c r="O6751" s="5"/>
      <c r="P6751" s="5"/>
      <c r="Q6751" s="21">
        <v>0</v>
      </c>
      <c r="R6751" s="21">
        <v>0</v>
      </c>
      <c r="S6751" s="5">
        <f t="shared" si="423"/>
        <v>49221.501749698371</v>
      </c>
      <c r="T6751" cm="1">
        <f t="array" ref="T6751">IF(OR(B6751="MAL ALIMI", B6751="ÜRETİM GİRİŞ"), MIN(I6751, MAX(0, I6751 + SUM(SUMIFS($I$1:I6750, $C$1:C6750, C6751, $B$1:B6750, {"MAL ALIMI","ÜRETİM GİRİŞ"})) - VLOOKUP(C6751, 'STOK RAPORU'!$C$2:$I$1000, 4, 0))), 0)</f>
        <v>0</v>
      </c>
      <c r="U6751" s="22">
        <f t="shared" si="420"/>
        <v>0</v>
      </c>
      <c r="V6751">
        <f t="shared" si="421"/>
        <v>0</v>
      </c>
      <c r="W6751" s="22">
        <f t="shared" si="422"/>
        <v>0</v>
      </c>
    </row>
    <row r="6752" spans="1:23" hidden="1" x14ac:dyDescent="0.25">
      <c r="A6752" s="3">
        <v>46143</v>
      </c>
      <c r="B6752" s="46" t="s">
        <v>334</v>
      </c>
      <c r="C6752" s="4" t="s">
        <v>1373</v>
      </c>
      <c r="D6752" s="4"/>
      <c r="E6752" s="4" t="s">
        <v>921</v>
      </c>
      <c r="F6752" s="46" t="s">
        <v>3258</v>
      </c>
      <c r="G6752" s="4" t="s">
        <v>336</v>
      </c>
      <c r="H6752" s="4" t="s">
        <v>380</v>
      </c>
      <c r="I6752" s="4">
        <v>1</v>
      </c>
      <c r="J6752" s="21">
        <v>220</v>
      </c>
      <c r="K6752" s="21">
        <v>220</v>
      </c>
      <c r="L6752" s="5">
        <v>0</v>
      </c>
      <c r="M6752" s="4"/>
      <c r="N6752" s="4"/>
      <c r="O6752" s="5"/>
      <c r="P6752" s="5"/>
      <c r="Q6752" s="21">
        <v>0</v>
      </c>
      <c r="R6752" s="21">
        <v>0</v>
      </c>
      <c r="S6752" s="5">
        <f t="shared" si="423"/>
        <v>49221.501749698371</v>
      </c>
      <c r="T6752" cm="1">
        <f t="array" ref="T6752">IF(OR(B6752="MAL ALIMI", B6752="ÜRETİM GİRİŞ"), MIN(I6752, MAX(0, I6752 + SUM(SUMIFS($I$1:I6751, $C$1:C6751, C6752, $B$1:B6751, {"MAL ALIMI","ÜRETİM GİRİŞ"})) - VLOOKUP(C6752, 'STOK RAPORU'!$C$2:$I$1000, 4, 0))), 0)</f>
        <v>0</v>
      </c>
      <c r="U6752" s="22">
        <f t="shared" si="420"/>
        <v>0</v>
      </c>
      <c r="V6752">
        <f t="shared" si="421"/>
        <v>0</v>
      </c>
      <c r="W6752" s="22">
        <f t="shared" si="422"/>
        <v>0</v>
      </c>
    </row>
    <row r="6753" spans="1:23" hidden="1" x14ac:dyDescent="0.25">
      <c r="A6753" s="3">
        <v>46143</v>
      </c>
      <c r="B6753" s="46" t="s">
        <v>334</v>
      </c>
      <c r="C6753" s="4" t="s">
        <v>1176</v>
      </c>
      <c r="D6753" s="4"/>
      <c r="E6753" s="4" t="s">
        <v>921</v>
      </c>
      <c r="F6753" s="46" t="s">
        <v>3258</v>
      </c>
      <c r="G6753" s="4" t="s">
        <v>336</v>
      </c>
      <c r="H6753" s="4" t="s">
        <v>380</v>
      </c>
      <c r="I6753" s="4">
        <v>0.1</v>
      </c>
      <c r="J6753" s="21">
        <v>2000</v>
      </c>
      <c r="K6753" s="21">
        <v>200</v>
      </c>
      <c r="L6753" s="5">
        <v>0</v>
      </c>
      <c r="M6753" s="4"/>
      <c r="N6753" s="4"/>
      <c r="O6753" s="5"/>
      <c r="P6753" s="5"/>
      <c r="Q6753" s="21">
        <v>0</v>
      </c>
      <c r="R6753" s="21">
        <v>0</v>
      </c>
      <c r="S6753" s="5">
        <f t="shared" si="423"/>
        <v>49221.501749698371</v>
      </c>
      <c r="T6753" cm="1">
        <f t="array" ref="T6753">IF(OR(B6753="MAL ALIMI", B6753="ÜRETİM GİRİŞ"), MIN(I6753, MAX(0, I6753 + SUM(SUMIFS($I$1:I6752, $C$1:C6752, C6753, $B$1:B6752, {"MAL ALIMI","ÜRETİM GİRİŞ"})) - VLOOKUP(C6753, 'STOK RAPORU'!$C$2:$I$1000, 4, 0))), 0)</f>
        <v>0</v>
      </c>
      <c r="U6753" s="22">
        <f t="shared" si="420"/>
        <v>0</v>
      </c>
      <c r="V6753">
        <f t="shared" si="421"/>
        <v>0</v>
      </c>
      <c r="W6753" s="22">
        <f t="shared" si="422"/>
        <v>0</v>
      </c>
    </row>
    <row r="6754" spans="1:23" hidden="1" x14ac:dyDescent="0.25">
      <c r="A6754" s="3">
        <v>46143</v>
      </c>
      <c r="B6754" s="46" t="s">
        <v>334</v>
      </c>
      <c r="C6754" s="4" t="s">
        <v>2572</v>
      </c>
      <c r="D6754" s="4"/>
      <c r="E6754" s="4" t="s">
        <v>921</v>
      </c>
      <c r="F6754" s="46" t="s">
        <v>3258</v>
      </c>
      <c r="G6754" s="4" t="s">
        <v>336</v>
      </c>
      <c r="H6754" s="4" t="s">
        <v>380</v>
      </c>
      <c r="I6754" s="4">
        <v>1</v>
      </c>
      <c r="J6754" s="21">
        <v>200</v>
      </c>
      <c r="K6754" s="21">
        <v>200</v>
      </c>
      <c r="L6754" s="5">
        <v>0</v>
      </c>
      <c r="M6754" s="4"/>
      <c r="N6754" s="4"/>
      <c r="O6754" s="5"/>
      <c r="P6754" s="5"/>
      <c r="Q6754" s="21">
        <v>0</v>
      </c>
      <c r="R6754" s="21">
        <v>0</v>
      </c>
      <c r="S6754" s="5">
        <f t="shared" si="423"/>
        <v>49221.501749698371</v>
      </c>
      <c r="T6754" cm="1">
        <f t="array" ref="T6754">IF(OR(B6754="MAL ALIMI", B6754="ÜRETİM GİRİŞ"), MIN(I6754, MAX(0, I6754 + SUM(SUMIFS($I$1:I6753, $C$1:C6753, C6754, $B$1:B6753, {"MAL ALIMI","ÜRETİM GİRİŞ"})) - VLOOKUP(C6754, 'STOK RAPORU'!$C$2:$I$1000, 4, 0))), 0)</f>
        <v>0</v>
      </c>
      <c r="U6754" s="22">
        <f t="shared" si="420"/>
        <v>0</v>
      </c>
      <c r="V6754">
        <f t="shared" si="421"/>
        <v>0</v>
      </c>
      <c r="W6754" s="22">
        <f t="shared" si="422"/>
        <v>0</v>
      </c>
    </row>
    <row r="6755" spans="1:23" hidden="1" x14ac:dyDescent="0.25">
      <c r="A6755" s="3">
        <v>46143</v>
      </c>
      <c r="B6755" s="46" t="s">
        <v>334</v>
      </c>
      <c r="C6755" s="4" t="s">
        <v>237</v>
      </c>
      <c r="D6755" s="4"/>
      <c r="E6755" s="4" t="s">
        <v>921</v>
      </c>
      <c r="F6755" s="46" t="s">
        <v>3258</v>
      </c>
      <c r="G6755" s="4" t="s">
        <v>336</v>
      </c>
      <c r="H6755" s="4" t="s">
        <v>380</v>
      </c>
      <c r="I6755" s="4">
        <v>0.05</v>
      </c>
      <c r="J6755" s="21">
        <v>1800</v>
      </c>
      <c r="K6755" s="21">
        <v>90</v>
      </c>
      <c r="L6755" s="5">
        <v>0</v>
      </c>
      <c r="M6755" s="4"/>
      <c r="N6755" s="4"/>
      <c r="O6755" s="5"/>
      <c r="P6755" s="5"/>
      <c r="Q6755" s="21">
        <v>0</v>
      </c>
      <c r="R6755" s="21">
        <v>0</v>
      </c>
      <c r="S6755" s="5">
        <f t="shared" si="423"/>
        <v>49221.501749698371</v>
      </c>
      <c r="T6755" cm="1">
        <f t="array" ref="T6755">IF(OR(B6755="MAL ALIMI", B6755="ÜRETİM GİRİŞ"), MIN(I6755, MAX(0, I6755 + SUM(SUMIFS($I$1:I6754, $C$1:C6754, C6755, $B$1:B6754, {"MAL ALIMI","ÜRETİM GİRİŞ"})) - VLOOKUP(C6755, 'STOK RAPORU'!$C$2:$I$1000, 4, 0))), 0)</f>
        <v>0</v>
      </c>
      <c r="U6755" s="22">
        <f t="shared" si="420"/>
        <v>0</v>
      </c>
      <c r="V6755">
        <f t="shared" si="421"/>
        <v>0</v>
      </c>
      <c r="W6755" s="22">
        <f t="shared" si="422"/>
        <v>0</v>
      </c>
    </row>
    <row r="6756" spans="1:23" hidden="1" x14ac:dyDescent="0.25">
      <c r="A6756" s="3">
        <v>46143</v>
      </c>
      <c r="B6756" s="46" t="s">
        <v>334</v>
      </c>
      <c r="C6756" s="4" t="s">
        <v>193</v>
      </c>
      <c r="D6756" s="4"/>
      <c r="E6756" s="4" t="s">
        <v>921</v>
      </c>
      <c r="F6756" s="46" t="s">
        <v>3258</v>
      </c>
      <c r="G6756" s="4" t="s">
        <v>336</v>
      </c>
      <c r="H6756" s="4" t="s">
        <v>380</v>
      </c>
      <c r="I6756" s="4">
        <v>0.1</v>
      </c>
      <c r="J6756" s="21">
        <v>900</v>
      </c>
      <c r="K6756" s="21">
        <v>90</v>
      </c>
      <c r="L6756" s="5">
        <v>0</v>
      </c>
      <c r="M6756" s="4"/>
      <c r="N6756" s="4"/>
      <c r="O6756" s="5"/>
      <c r="P6756" s="5"/>
      <c r="Q6756" s="21">
        <v>0</v>
      </c>
      <c r="R6756" s="21">
        <v>0</v>
      </c>
      <c r="S6756" s="5">
        <f t="shared" si="423"/>
        <v>49221.501749698371</v>
      </c>
      <c r="T6756" cm="1">
        <f t="array" ref="T6756">IF(OR(B6756="MAL ALIMI", B6756="ÜRETİM GİRİŞ"), MIN(I6756, MAX(0, I6756 + SUM(SUMIFS($I$1:I6755, $C$1:C6755, C6756, $B$1:B6755, {"MAL ALIMI","ÜRETİM GİRİŞ"})) - VLOOKUP(C6756, 'STOK RAPORU'!$C$2:$I$1000, 4, 0))), 0)</f>
        <v>0</v>
      </c>
      <c r="U6756" s="22">
        <f t="shared" si="420"/>
        <v>0</v>
      </c>
      <c r="V6756">
        <f t="shared" si="421"/>
        <v>0</v>
      </c>
      <c r="W6756" s="22">
        <f t="shared" si="422"/>
        <v>0</v>
      </c>
    </row>
    <row r="6757" spans="1:23" hidden="1" x14ac:dyDescent="0.25">
      <c r="A6757" s="3">
        <v>46143</v>
      </c>
      <c r="B6757" s="46" t="s">
        <v>334</v>
      </c>
      <c r="C6757" s="4" t="s">
        <v>456</v>
      </c>
      <c r="D6757" s="4"/>
      <c r="E6757" s="4" t="s">
        <v>921</v>
      </c>
      <c r="F6757" s="46" t="s">
        <v>3258</v>
      </c>
      <c r="G6757" s="4" t="s">
        <v>336</v>
      </c>
      <c r="H6757" s="4" t="s">
        <v>380</v>
      </c>
      <c r="I6757" s="4">
        <v>1</v>
      </c>
      <c r="J6757" s="21">
        <v>80</v>
      </c>
      <c r="K6757" s="21">
        <v>80</v>
      </c>
      <c r="L6757" s="5">
        <v>0</v>
      </c>
      <c r="M6757" s="4"/>
      <c r="N6757" s="4"/>
      <c r="O6757" s="5"/>
      <c r="P6757" s="5"/>
      <c r="Q6757" s="21">
        <v>0</v>
      </c>
      <c r="R6757" s="21">
        <v>0</v>
      </c>
      <c r="S6757" s="5">
        <f t="shared" si="423"/>
        <v>49221.501749698371</v>
      </c>
      <c r="T6757" cm="1">
        <f t="array" ref="T6757">IF(OR(B6757="MAL ALIMI", B6757="ÜRETİM GİRİŞ"), MIN(I6757, MAX(0, I6757 + SUM(SUMIFS($I$1:I6756, $C$1:C6756, C6757, $B$1:B6756, {"MAL ALIMI","ÜRETİM GİRİŞ"})) - VLOOKUP(C6757, 'STOK RAPORU'!$C$2:$I$1000, 4, 0))), 0)</f>
        <v>0</v>
      </c>
      <c r="U6757" s="22">
        <f t="shared" si="420"/>
        <v>0</v>
      </c>
      <c r="V6757">
        <f t="shared" si="421"/>
        <v>0</v>
      </c>
      <c r="W6757" s="22">
        <f t="shared" si="422"/>
        <v>0</v>
      </c>
    </row>
    <row r="6758" spans="1:23" hidden="1" x14ac:dyDescent="0.25">
      <c r="A6758" s="3">
        <v>46143</v>
      </c>
      <c r="B6758" s="46" t="s">
        <v>334</v>
      </c>
      <c r="C6758" s="4" t="s">
        <v>214</v>
      </c>
      <c r="D6758" s="4"/>
      <c r="E6758" s="4" t="s">
        <v>921</v>
      </c>
      <c r="F6758" s="46" t="s">
        <v>3258</v>
      </c>
      <c r="G6758" s="4" t="s">
        <v>336</v>
      </c>
      <c r="H6758" s="4" t="s">
        <v>380</v>
      </c>
      <c r="I6758" s="4">
        <v>0.2</v>
      </c>
      <c r="J6758" s="21">
        <v>900</v>
      </c>
      <c r="K6758" s="21">
        <v>180</v>
      </c>
      <c r="L6758" s="5">
        <v>0</v>
      </c>
      <c r="M6758" s="4"/>
      <c r="N6758" s="4"/>
      <c r="O6758" s="5"/>
      <c r="P6758" s="5"/>
      <c r="Q6758" s="21">
        <v>0</v>
      </c>
      <c r="R6758" s="21">
        <v>0</v>
      </c>
      <c r="S6758" s="5">
        <f t="shared" si="423"/>
        <v>49221.501749698371</v>
      </c>
      <c r="T6758" cm="1">
        <f t="array" ref="T6758">IF(OR(B6758="MAL ALIMI", B6758="ÜRETİM GİRİŞ"), MIN(I6758, MAX(0, I6758 + SUM(SUMIFS($I$1:I6757, $C$1:C6757, C6758, $B$1:B6757, {"MAL ALIMI","ÜRETİM GİRİŞ"})) - VLOOKUP(C6758, 'STOK RAPORU'!$C$2:$I$1000, 4, 0))), 0)</f>
        <v>0</v>
      </c>
      <c r="U6758" s="22">
        <f t="shared" si="420"/>
        <v>0</v>
      </c>
      <c r="V6758">
        <f t="shared" si="421"/>
        <v>0</v>
      </c>
      <c r="W6758" s="22">
        <f t="shared" si="422"/>
        <v>0</v>
      </c>
    </row>
    <row r="6759" spans="1:23" hidden="1" x14ac:dyDescent="0.25">
      <c r="A6759" s="3">
        <v>46143</v>
      </c>
      <c r="B6759" s="46" t="s">
        <v>334</v>
      </c>
      <c r="C6759" s="4" t="s">
        <v>893</v>
      </c>
      <c r="D6759" s="4"/>
      <c r="E6759" s="4" t="s">
        <v>921</v>
      </c>
      <c r="F6759" s="46" t="s">
        <v>3259</v>
      </c>
      <c r="G6759" s="4" t="s">
        <v>336</v>
      </c>
      <c r="H6759" s="4" t="s">
        <v>380</v>
      </c>
      <c r="I6759" s="4">
        <v>1</v>
      </c>
      <c r="J6759" s="21">
        <v>170</v>
      </c>
      <c r="K6759" s="21">
        <v>170</v>
      </c>
      <c r="L6759" s="5">
        <v>0</v>
      </c>
      <c r="M6759" s="4"/>
      <c r="N6759" s="4"/>
      <c r="O6759" s="5"/>
      <c r="P6759" s="5"/>
      <c r="Q6759" s="21">
        <v>0</v>
      </c>
      <c r="R6759" s="21">
        <v>0</v>
      </c>
      <c r="S6759" s="5">
        <f t="shared" si="423"/>
        <v>49221.501749698371</v>
      </c>
      <c r="T6759" cm="1">
        <f t="array" ref="T6759">IF(OR(B6759="MAL ALIMI", B6759="ÜRETİM GİRİŞ"), MIN(I6759, MAX(0, I6759 + SUM(SUMIFS($I$1:I6758, $C$1:C6758, C6759, $B$1:B6758, {"MAL ALIMI","ÜRETİM GİRİŞ"})) - VLOOKUP(C6759, 'STOK RAPORU'!$C$2:$I$1000, 4, 0))), 0)</f>
        <v>0</v>
      </c>
      <c r="U6759" s="22">
        <f t="shared" si="420"/>
        <v>0</v>
      </c>
      <c r="V6759">
        <f t="shared" si="421"/>
        <v>0</v>
      </c>
      <c r="W6759" s="22">
        <f t="shared" si="422"/>
        <v>0</v>
      </c>
    </row>
    <row r="6760" spans="1:23" hidden="1" x14ac:dyDescent="0.25">
      <c r="A6760" s="3">
        <v>46143</v>
      </c>
      <c r="B6760" s="46" t="s">
        <v>334</v>
      </c>
      <c r="C6760" s="4" t="s">
        <v>157</v>
      </c>
      <c r="D6760" s="4"/>
      <c r="E6760" s="4" t="s">
        <v>921</v>
      </c>
      <c r="F6760" s="46" t="s">
        <v>3259</v>
      </c>
      <c r="G6760" s="4" t="s">
        <v>336</v>
      </c>
      <c r="H6760" s="4" t="s">
        <v>380</v>
      </c>
      <c r="I6760" s="4">
        <v>0.5</v>
      </c>
      <c r="J6760" s="21">
        <v>200</v>
      </c>
      <c r="K6760" s="21">
        <v>100</v>
      </c>
      <c r="L6760" s="5">
        <v>0</v>
      </c>
      <c r="M6760" s="4"/>
      <c r="N6760" s="4"/>
      <c r="O6760" s="5"/>
      <c r="P6760" s="5"/>
      <c r="Q6760" s="21">
        <v>0</v>
      </c>
      <c r="R6760" s="21">
        <v>0</v>
      </c>
      <c r="S6760" s="5">
        <f t="shared" si="423"/>
        <v>49221.501749698371</v>
      </c>
      <c r="T6760" cm="1">
        <f t="array" ref="T6760">IF(OR(B6760="MAL ALIMI", B6760="ÜRETİM GİRİŞ"), MIN(I6760, MAX(0, I6760 + SUM(SUMIFS($I$1:I6759, $C$1:C6759, C6760, $B$1:B6759, {"MAL ALIMI","ÜRETİM GİRİŞ"})) - VLOOKUP(C6760, 'STOK RAPORU'!$C$2:$I$1000, 4, 0))), 0)</f>
        <v>0</v>
      </c>
      <c r="U6760" s="22">
        <f t="shared" si="420"/>
        <v>0</v>
      </c>
      <c r="V6760">
        <f t="shared" si="421"/>
        <v>0</v>
      </c>
      <c r="W6760" s="22">
        <f t="shared" si="422"/>
        <v>0</v>
      </c>
    </row>
    <row r="6761" spans="1:23" hidden="1" x14ac:dyDescent="0.25">
      <c r="A6761" s="3">
        <v>46143</v>
      </c>
      <c r="B6761" s="46" t="s">
        <v>334</v>
      </c>
      <c r="C6761" s="4" t="s">
        <v>158</v>
      </c>
      <c r="D6761" s="4"/>
      <c r="E6761" s="4" t="s">
        <v>921</v>
      </c>
      <c r="F6761" s="46" t="s">
        <v>3259</v>
      </c>
      <c r="G6761" s="4" t="s">
        <v>336</v>
      </c>
      <c r="H6761" s="4" t="s">
        <v>380</v>
      </c>
      <c r="I6761" s="4">
        <v>0.5</v>
      </c>
      <c r="J6761" s="21">
        <v>150</v>
      </c>
      <c r="K6761" s="21">
        <v>75</v>
      </c>
      <c r="L6761" s="5">
        <v>0</v>
      </c>
      <c r="M6761" s="4"/>
      <c r="N6761" s="4"/>
      <c r="O6761" s="5"/>
      <c r="P6761" s="5"/>
      <c r="Q6761" s="21">
        <v>0</v>
      </c>
      <c r="R6761" s="21">
        <v>0</v>
      </c>
      <c r="S6761" s="5">
        <f t="shared" si="423"/>
        <v>49221.501749698371</v>
      </c>
      <c r="T6761" cm="1">
        <f t="array" ref="T6761">IF(OR(B6761="MAL ALIMI", B6761="ÜRETİM GİRİŞ"), MIN(I6761, MAX(0, I6761 + SUM(SUMIFS($I$1:I6760, $C$1:C6760, C6761, $B$1:B6760, {"MAL ALIMI","ÜRETİM GİRİŞ"})) - VLOOKUP(C6761, 'STOK RAPORU'!$C$2:$I$1000, 4, 0))), 0)</f>
        <v>0</v>
      </c>
      <c r="U6761" s="22">
        <f t="shared" si="420"/>
        <v>0</v>
      </c>
      <c r="V6761">
        <f t="shared" si="421"/>
        <v>0</v>
      </c>
      <c r="W6761" s="22">
        <f t="shared" si="422"/>
        <v>0</v>
      </c>
    </row>
    <row r="6762" spans="1:23" hidden="1" x14ac:dyDescent="0.25">
      <c r="A6762" s="3">
        <v>46143</v>
      </c>
      <c r="B6762" s="46" t="s">
        <v>334</v>
      </c>
      <c r="C6762" s="4" t="s">
        <v>130</v>
      </c>
      <c r="D6762" s="4"/>
      <c r="E6762" s="4" t="s">
        <v>921</v>
      </c>
      <c r="F6762" s="46" t="s">
        <v>3259</v>
      </c>
      <c r="G6762" s="4" t="s">
        <v>336</v>
      </c>
      <c r="H6762" s="4" t="s">
        <v>380</v>
      </c>
      <c r="I6762" s="4">
        <v>0.17799999999999999</v>
      </c>
      <c r="J6762" s="21">
        <v>450</v>
      </c>
      <c r="K6762" s="21">
        <v>80.099999999999994</v>
      </c>
      <c r="L6762" s="5">
        <v>0</v>
      </c>
      <c r="M6762" s="4"/>
      <c r="N6762" s="4"/>
      <c r="O6762" s="5"/>
      <c r="P6762" s="5"/>
      <c r="Q6762" s="21">
        <v>0</v>
      </c>
      <c r="R6762" s="21">
        <v>0</v>
      </c>
      <c r="S6762" s="5">
        <f t="shared" si="423"/>
        <v>49221.501749698371</v>
      </c>
      <c r="T6762" cm="1">
        <f t="array" ref="T6762">IF(OR(B6762="MAL ALIMI", B6762="ÜRETİM GİRİŞ"), MIN(I6762, MAX(0, I6762 + SUM(SUMIFS($I$1:I6761, $C$1:C6761, C6762, $B$1:B6761, {"MAL ALIMI","ÜRETİM GİRİŞ"})) - VLOOKUP(C6762, 'STOK RAPORU'!$C$2:$I$1000, 4, 0))), 0)</f>
        <v>0</v>
      </c>
      <c r="U6762" s="22">
        <f t="shared" si="420"/>
        <v>0</v>
      </c>
      <c r="V6762">
        <f t="shared" si="421"/>
        <v>0</v>
      </c>
      <c r="W6762" s="22">
        <f t="shared" si="422"/>
        <v>0</v>
      </c>
    </row>
    <row r="6763" spans="1:23" hidden="1" x14ac:dyDescent="0.25">
      <c r="A6763" s="3">
        <v>46143</v>
      </c>
      <c r="B6763" s="46" t="s">
        <v>334</v>
      </c>
      <c r="C6763" s="4" t="s">
        <v>131</v>
      </c>
      <c r="D6763" s="4"/>
      <c r="E6763" s="4" t="s">
        <v>921</v>
      </c>
      <c r="F6763" s="46" t="s">
        <v>3259</v>
      </c>
      <c r="G6763" s="4" t="s">
        <v>336</v>
      </c>
      <c r="H6763" s="4" t="s">
        <v>380</v>
      </c>
      <c r="I6763" s="4">
        <v>7.2499999999999995E-2</v>
      </c>
      <c r="J6763" s="21">
        <v>400</v>
      </c>
      <c r="K6763" s="21">
        <v>28.999999999999996</v>
      </c>
      <c r="L6763" s="5">
        <v>0</v>
      </c>
      <c r="M6763" s="4"/>
      <c r="N6763" s="4"/>
      <c r="O6763" s="5"/>
      <c r="P6763" s="5"/>
      <c r="Q6763" s="21">
        <v>0</v>
      </c>
      <c r="R6763" s="21">
        <v>0</v>
      </c>
      <c r="S6763" s="5">
        <f t="shared" si="423"/>
        <v>49221.501749698371</v>
      </c>
      <c r="T6763" cm="1">
        <f t="array" ref="T6763">IF(OR(B6763="MAL ALIMI", B6763="ÜRETİM GİRİŞ"), MIN(I6763, MAX(0, I6763 + SUM(SUMIFS($I$1:I6762, $C$1:C6762, C6763, $B$1:B6762, {"MAL ALIMI","ÜRETİM GİRİŞ"})) - VLOOKUP(C6763, 'STOK RAPORU'!$C$2:$I$1000, 4, 0))), 0)</f>
        <v>0</v>
      </c>
      <c r="U6763" s="22">
        <f t="shared" si="420"/>
        <v>0</v>
      </c>
      <c r="V6763">
        <f t="shared" si="421"/>
        <v>0</v>
      </c>
      <c r="W6763" s="22">
        <f t="shared" si="422"/>
        <v>0</v>
      </c>
    </row>
    <row r="6764" spans="1:23" hidden="1" x14ac:dyDescent="0.25">
      <c r="A6764" s="3">
        <v>46143</v>
      </c>
      <c r="B6764" s="46" t="s">
        <v>334</v>
      </c>
      <c r="C6764" s="4" t="s">
        <v>126</v>
      </c>
      <c r="D6764" s="4"/>
      <c r="E6764" s="4" t="s">
        <v>921</v>
      </c>
      <c r="F6764" s="46" t="s">
        <v>3259</v>
      </c>
      <c r="G6764" s="4" t="s">
        <v>336</v>
      </c>
      <c r="H6764" s="4" t="s">
        <v>380</v>
      </c>
      <c r="I6764" s="4">
        <v>0.11538461538461539</v>
      </c>
      <c r="J6764" s="21">
        <v>650</v>
      </c>
      <c r="K6764" s="21">
        <v>75</v>
      </c>
      <c r="L6764" s="5">
        <v>0</v>
      </c>
      <c r="M6764" s="4"/>
      <c r="N6764" s="4"/>
      <c r="O6764" s="5"/>
      <c r="P6764" s="5"/>
      <c r="Q6764" s="21">
        <v>0</v>
      </c>
      <c r="R6764" s="21">
        <v>0</v>
      </c>
      <c r="S6764" s="5">
        <f t="shared" si="423"/>
        <v>49221.501749698371</v>
      </c>
      <c r="T6764" cm="1">
        <f t="array" ref="T6764">IF(OR(B6764="MAL ALIMI", B6764="ÜRETİM GİRİŞ"), MIN(I6764, MAX(0, I6764 + SUM(SUMIFS($I$1:I6763, $C$1:C6763, C6764, $B$1:B6763, {"MAL ALIMI","ÜRETİM GİRİŞ"})) - VLOOKUP(C6764, 'STOK RAPORU'!$C$2:$I$1000, 4, 0))), 0)</f>
        <v>0</v>
      </c>
      <c r="U6764" s="22">
        <f t="shared" si="420"/>
        <v>0</v>
      </c>
      <c r="V6764">
        <f t="shared" si="421"/>
        <v>0</v>
      </c>
      <c r="W6764" s="22">
        <f t="shared" si="422"/>
        <v>0</v>
      </c>
    </row>
    <row r="6765" spans="1:23" hidden="1" x14ac:dyDescent="0.25">
      <c r="A6765" s="3">
        <v>46143</v>
      </c>
      <c r="B6765" s="46" t="s">
        <v>334</v>
      </c>
      <c r="C6765" s="4" t="s">
        <v>2127</v>
      </c>
      <c r="D6765" s="4"/>
      <c r="E6765" s="4"/>
      <c r="F6765" s="46" t="s">
        <v>3260</v>
      </c>
      <c r="G6765" s="4" t="s">
        <v>336</v>
      </c>
      <c r="H6765" s="4" t="s">
        <v>289</v>
      </c>
      <c r="I6765" s="4">
        <v>0.5</v>
      </c>
      <c r="J6765" s="21">
        <v>400</v>
      </c>
      <c r="K6765" s="21">
        <v>0</v>
      </c>
      <c r="L6765" s="5">
        <v>0</v>
      </c>
      <c r="M6765" s="4"/>
      <c r="N6765" s="4"/>
      <c r="O6765" s="5"/>
      <c r="P6765" s="5"/>
      <c r="Q6765" s="21">
        <v>200</v>
      </c>
      <c r="R6765" s="21">
        <v>0</v>
      </c>
      <c r="S6765" s="5">
        <f t="shared" si="423"/>
        <v>49421.501749698371</v>
      </c>
      <c r="T6765" cm="1">
        <f t="array" ref="T6765">IF(OR(B6765="MAL ALIMI", B6765="ÜRETİM GİRİŞ"), MIN(I6765, MAX(0, I6765 + SUM(SUMIFS($I$1:I6764, $C$1:C6764, C6765, $B$1:B6764, {"MAL ALIMI","ÜRETİM GİRİŞ"})) - VLOOKUP(C6765, 'STOK RAPORU'!$C$2:$I$1000, 4, 0))), 0)</f>
        <v>0</v>
      </c>
      <c r="U6765" s="22">
        <f t="shared" si="420"/>
        <v>0</v>
      </c>
      <c r="V6765">
        <f t="shared" si="421"/>
        <v>0</v>
      </c>
      <c r="W6765" s="22">
        <f t="shared" si="422"/>
        <v>0</v>
      </c>
    </row>
    <row r="6766" spans="1:23" hidden="1" x14ac:dyDescent="0.25">
      <c r="A6766" s="3">
        <v>46143</v>
      </c>
      <c r="B6766" s="46" t="s">
        <v>334</v>
      </c>
      <c r="C6766" s="4" t="s">
        <v>160</v>
      </c>
      <c r="D6766" s="4"/>
      <c r="E6766" s="4"/>
      <c r="F6766" s="46" t="s">
        <v>3260</v>
      </c>
      <c r="G6766" s="4" t="s">
        <v>336</v>
      </c>
      <c r="H6766" s="4" t="s">
        <v>289</v>
      </c>
      <c r="I6766" s="4">
        <v>0.5</v>
      </c>
      <c r="J6766" s="21">
        <v>250</v>
      </c>
      <c r="K6766" s="21">
        <v>0</v>
      </c>
      <c r="L6766" s="5">
        <v>0</v>
      </c>
      <c r="M6766" s="4"/>
      <c r="N6766" s="4"/>
      <c r="O6766" s="5"/>
      <c r="P6766" s="5"/>
      <c r="Q6766" s="21">
        <v>125</v>
      </c>
      <c r="R6766" s="21">
        <v>0</v>
      </c>
      <c r="S6766" s="5">
        <f t="shared" si="423"/>
        <v>49546.501749698371</v>
      </c>
      <c r="T6766" cm="1">
        <f t="array" ref="T6766">IF(OR(B6766="MAL ALIMI", B6766="ÜRETİM GİRİŞ"), MIN(I6766, MAX(0, I6766 + SUM(SUMIFS($I$1:I6765, $C$1:C6765, C6766, $B$1:B6765, {"MAL ALIMI","ÜRETİM GİRİŞ"})) - VLOOKUP(C6766, 'STOK RAPORU'!$C$2:$I$1000, 4, 0))), 0)</f>
        <v>0</v>
      </c>
      <c r="U6766" s="22">
        <f t="shared" si="420"/>
        <v>0</v>
      </c>
      <c r="V6766">
        <f t="shared" si="421"/>
        <v>0</v>
      </c>
      <c r="W6766" s="22">
        <f t="shared" si="422"/>
        <v>0</v>
      </c>
    </row>
    <row r="6767" spans="1:23" hidden="1" x14ac:dyDescent="0.25">
      <c r="A6767" s="3">
        <v>46143</v>
      </c>
      <c r="B6767" s="46" t="s">
        <v>334</v>
      </c>
      <c r="C6767" s="4" t="s">
        <v>161</v>
      </c>
      <c r="D6767" s="4"/>
      <c r="E6767" s="4"/>
      <c r="F6767" s="46" t="s">
        <v>3260</v>
      </c>
      <c r="G6767" s="4" t="s">
        <v>336</v>
      </c>
      <c r="H6767" s="4" t="s">
        <v>289</v>
      </c>
      <c r="I6767" s="4">
        <v>1</v>
      </c>
      <c r="J6767" s="21">
        <v>250</v>
      </c>
      <c r="K6767" s="21">
        <v>0</v>
      </c>
      <c r="L6767" s="5">
        <v>0</v>
      </c>
      <c r="M6767" s="4"/>
      <c r="N6767" s="4"/>
      <c r="O6767" s="5"/>
      <c r="P6767" s="5"/>
      <c r="Q6767" s="21">
        <v>250</v>
      </c>
      <c r="R6767" s="21">
        <v>0</v>
      </c>
      <c r="S6767" s="5">
        <f t="shared" si="423"/>
        <v>49796.501749698371</v>
      </c>
      <c r="T6767" cm="1">
        <f t="array" ref="T6767">IF(OR(B6767="MAL ALIMI", B6767="ÜRETİM GİRİŞ"), MIN(I6767, MAX(0, I6767 + SUM(SUMIFS($I$1:I6766, $C$1:C6766, C6767, $B$1:B6766, {"MAL ALIMI","ÜRETİM GİRİŞ"})) - VLOOKUP(C6767, 'STOK RAPORU'!$C$2:$I$1000, 4, 0))), 0)</f>
        <v>0</v>
      </c>
      <c r="U6767" s="22">
        <f t="shared" si="420"/>
        <v>0</v>
      </c>
      <c r="V6767">
        <f t="shared" si="421"/>
        <v>0</v>
      </c>
      <c r="W6767" s="22">
        <f t="shared" si="422"/>
        <v>0</v>
      </c>
    </row>
    <row r="6768" spans="1:23" hidden="1" x14ac:dyDescent="0.25">
      <c r="A6768" s="3">
        <v>46143</v>
      </c>
      <c r="B6768" s="46" t="s">
        <v>334</v>
      </c>
      <c r="C6768" s="4" t="s">
        <v>1634</v>
      </c>
      <c r="D6768" s="4"/>
      <c r="E6768" s="4"/>
      <c r="F6768" s="46" t="s">
        <v>3260</v>
      </c>
      <c r="G6768" s="4" t="s">
        <v>336</v>
      </c>
      <c r="H6768" s="4" t="s">
        <v>289</v>
      </c>
      <c r="I6768" s="4">
        <v>0.43142857142857144</v>
      </c>
      <c r="J6768" s="21">
        <v>350</v>
      </c>
      <c r="K6768" s="21">
        <v>0</v>
      </c>
      <c r="L6768" s="5">
        <v>0</v>
      </c>
      <c r="M6768" s="4"/>
      <c r="N6768" s="4"/>
      <c r="O6768" s="5"/>
      <c r="P6768" s="5"/>
      <c r="Q6768" s="21">
        <v>151</v>
      </c>
      <c r="R6768" s="21">
        <v>0</v>
      </c>
      <c r="S6768" s="5">
        <f t="shared" si="423"/>
        <v>49947.501749698371</v>
      </c>
      <c r="T6768" cm="1">
        <f t="array" ref="T6768">IF(OR(B6768="MAL ALIMI", B6768="ÜRETİM GİRİŞ"), MIN(I6768, MAX(0, I6768 + SUM(SUMIFS($I$1:I6767, $C$1:C6767, C6768, $B$1:B6767, {"MAL ALIMI","ÜRETİM GİRİŞ"})) - VLOOKUP(C6768, 'STOK RAPORU'!$C$2:$I$1000, 4, 0))), 0)</f>
        <v>0</v>
      </c>
      <c r="U6768" s="22">
        <f t="shared" si="420"/>
        <v>0</v>
      </c>
      <c r="V6768">
        <f t="shared" si="421"/>
        <v>0</v>
      </c>
      <c r="W6768" s="22">
        <f t="shared" si="422"/>
        <v>0</v>
      </c>
    </row>
    <row r="6769" spans="1:23" hidden="1" x14ac:dyDescent="0.25">
      <c r="A6769" s="3">
        <v>46143</v>
      </c>
      <c r="B6769" s="46" t="s">
        <v>334</v>
      </c>
      <c r="C6769" s="4" t="s">
        <v>130</v>
      </c>
      <c r="D6769" s="4"/>
      <c r="E6769" s="4"/>
      <c r="F6769" s="46" t="s">
        <v>3260</v>
      </c>
      <c r="G6769" s="4" t="s">
        <v>336</v>
      </c>
      <c r="H6769" s="4" t="s">
        <v>289</v>
      </c>
      <c r="I6769" s="4">
        <v>7.8E-2</v>
      </c>
      <c r="J6769" s="21">
        <v>450</v>
      </c>
      <c r="K6769" s="21">
        <v>0</v>
      </c>
      <c r="L6769" s="5">
        <v>0</v>
      </c>
      <c r="M6769" s="4"/>
      <c r="N6769" s="4"/>
      <c r="O6769" s="5"/>
      <c r="P6769" s="5"/>
      <c r="Q6769" s="21">
        <v>35.1</v>
      </c>
      <c r="R6769" s="21">
        <v>0</v>
      </c>
      <c r="S6769" s="5">
        <f t="shared" si="423"/>
        <v>49982.60174969837</v>
      </c>
      <c r="T6769" cm="1">
        <f t="array" ref="T6769">IF(OR(B6769="MAL ALIMI", B6769="ÜRETİM GİRİŞ"), MIN(I6769, MAX(0, I6769 + SUM(SUMIFS($I$1:I6768, $C$1:C6768, C6769, $B$1:B6768, {"MAL ALIMI","ÜRETİM GİRİŞ"})) - VLOOKUP(C6769, 'STOK RAPORU'!$C$2:$I$1000, 4, 0))), 0)</f>
        <v>0</v>
      </c>
      <c r="U6769" s="22">
        <f t="shared" si="420"/>
        <v>0</v>
      </c>
      <c r="V6769">
        <f t="shared" si="421"/>
        <v>0</v>
      </c>
      <c r="W6769" s="22">
        <f t="shared" si="422"/>
        <v>0</v>
      </c>
    </row>
    <row r="6770" spans="1:23" hidden="1" x14ac:dyDescent="0.25">
      <c r="A6770" s="3">
        <v>46143</v>
      </c>
      <c r="B6770" s="46" t="s">
        <v>334</v>
      </c>
      <c r="C6770" s="4" t="s">
        <v>131</v>
      </c>
      <c r="D6770" s="4"/>
      <c r="E6770" s="4"/>
      <c r="F6770" s="46" t="s">
        <v>3260</v>
      </c>
      <c r="G6770" s="4" t="s">
        <v>336</v>
      </c>
      <c r="H6770" s="4" t="s">
        <v>289</v>
      </c>
      <c r="I6770" s="4">
        <v>5.2499999999999998E-2</v>
      </c>
      <c r="J6770" s="21">
        <v>400</v>
      </c>
      <c r="K6770" s="21">
        <v>0</v>
      </c>
      <c r="L6770" s="5">
        <v>0</v>
      </c>
      <c r="M6770" s="4"/>
      <c r="N6770" s="4"/>
      <c r="O6770" s="5"/>
      <c r="P6770" s="5"/>
      <c r="Q6770" s="21">
        <v>21</v>
      </c>
      <c r="R6770" s="21">
        <v>0</v>
      </c>
      <c r="S6770" s="5">
        <f t="shared" si="423"/>
        <v>50003.60174969837</v>
      </c>
      <c r="T6770" cm="1">
        <f t="array" ref="T6770">IF(OR(B6770="MAL ALIMI", B6770="ÜRETİM GİRİŞ"), MIN(I6770, MAX(0, I6770 + SUM(SUMIFS($I$1:I6769, $C$1:C6769, C6770, $B$1:B6769, {"MAL ALIMI","ÜRETİM GİRİŞ"})) - VLOOKUP(C6770, 'STOK RAPORU'!$C$2:$I$1000, 4, 0))), 0)</f>
        <v>0</v>
      </c>
      <c r="U6770" s="22">
        <f t="shared" ref="U6770:U6833" si="424">T6770*J6770</f>
        <v>0</v>
      </c>
      <c r="V6770">
        <f t="shared" ref="V6770:V6833" si="425">IF(OR(B6770="MAL ALIMI", B6770="ÜRETİM GİRİŞ"), I6770 * J6770, 0)</f>
        <v>0</v>
      </c>
      <c r="W6770" s="22">
        <f t="shared" ref="W6770:W6833" si="426">V6770-U6770</f>
        <v>0</v>
      </c>
    </row>
    <row r="6771" spans="1:23" hidden="1" x14ac:dyDescent="0.25">
      <c r="A6771" s="3">
        <v>46143</v>
      </c>
      <c r="B6771" s="46" t="s">
        <v>334</v>
      </c>
      <c r="C6771" s="4" t="s">
        <v>91</v>
      </c>
      <c r="D6771" s="4"/>
      <c r="E6771" s="4"/>
      <c r="F6771" s="46" t="s">
        <v>3260</v>
      </c>
      <c r="G6771" s="4" t="s">
        <v>336</v>
      </c>
      <c r="H6771" s="4" t="s">
        <v>289</v>
      </c>
      <c r="I6771" s="4">
        <v>3.1764705882352938E-2</v>
      </c>
      <c r="J6771" s="21">
        <v>850</v>
      </c>
      <c r="K6771" s="21">
        <v>0</v>
      </c>
      <c r="L6771" s="5">
        <v>0</v>
      </c>
      <c r="M6771" s="4"/>
      <c r="N6771" s="4"/>
      <c r="O6771" s="5"/>
      <c r="P6771" s="5"/>
      <c r="Q6771" s="21">
        <v>26.999999999999996</v>
      </c>
      <c r="R6771" s="21">
        <v>0</v>
      </c>
      <c r="S6771" s="5">
        <f t="shared" si="423"/>
        <v>50030.60174969837</v>
      </c>
      <c r="T6771" cm="1">
        <f t="array" ref="T6771">IF(OR(B6771="MAL ALIMI", B6771="ÜRETİM GİRİŞ"), MIN(I6771, MAX(0, I6771 + SUM(SUMIFS($I$1:I6770, $C$1:C6770, C6771, $B$1:B6770, {"MAL ALIMI","ÜRETİM GİRİŞ"})) - VLOOKUP(C6771, 'STOK RAPORU'!$C$2:$I$1000, 4, 0))), 0)</f>
        <v>0</v>
      </c>
      <c r="U6771" s="22">
        <f t="shared" si="424"/>
        <v>0</v>
      </c>
      <c r="V6771">
        <f t="shared" si="425"/>
        <v>0</v>
      </c>
      <c r="W6771" s="22">
        <f t="shared" si="426"/>
        <v>0</v>
      </c>
    </row>
    <row r="6772" spans="1:23" hidden="1" x14ac:dyDescent="0.25">
      <c r="A6772" s="3">
        <v>46143</v>
      </c>
      <c r="B6772" s="46" t="s">
        <v>334</v>
      </c>
      <c r="C6772" s="4" t="s">
        <v>463</v>
      </c>
      <c r="D6772" s="4"/>
      <c r="E6772" s="4"/>
      <c r="F6772" s="46" t="s">
        <v>3260</v>
      </c>
      <c r="G6772" s="4" t="s">
        <v>336</v>
      </c>
      <c r="H6772" s="4" t="s">
        <v>289</v>
      </c>
      <c r="I6772" s="4">
        <v>0.16750000000000001</v>
      </c>
      <c r="J6772" s="21">
        <v>400</v>
      </c>
      <c r="K6772" s="21">
        <v>0</v>
      </c>
      <c r="L6772" s="5">
        <v>0</v>
      </c>
      <c r="M6772" s="4"/>
      <c r="N6772" s="4"/>
      <c r="O6772" s="5"/>
      <c r="P6772" s="5"/>
      <c r="Q6772" s="21">
        <v>67</v>
      </c>
      <c r="R6772" s="21">
        <v>0</v>
      </c>
      <c r="S6772" s="5">
        <f t="shared" si="423"/>
        <v>50097.60174969837</v>
      </c>
      <c r="T6772" cm="1">
        <f t="array" ref="T6772">IF(OR(B6772="MAL ALIMI", B6772="ÜRETİM GİRİŞ"), MIN(I6772, MAX(0, I6772 + SUM(SUMIFS($I$1:I6771, $C$1:C6771, C6772, $B$1:B6771, {"MAL ALIMI","ÜRETİM GİRİŞ"})) - VLOOKUP(C6772, 'STOK RAPORU'!$C$2:$I$1000, 4, 0))), 0)</f>
        <v>0</v>
      </c>
      <c r="U6772" s="22">
        <f t="shared" si="424"/>
        <v>0</v>
      </c>
      <c r="V6772">
        <f t="shared" si="425"/>
        <v>0</v>
      </c>
      <c r="W6772" s="22">
        <f t="shared" si="426"/>
        <v>0</v>
      </c>
    </row>
    <row r="6773" spans="1:23" hidden="1" x14ac:dyDescent="0.25">
      <c r="A6773" s="3">
        <v>46143</v>
      </c>
      <c r="B6773" s="46" t="s">
        <v>334</v>
      </c>
      <c r="C6773" s="4" t="s">
        <v>178</v>
      </c>
      <c r="D6773" s="4"/>
      <c r="E6773" s="4"/>
      <c r="F6773" s="46" t="s">
        <v>3260</v>
      </c>
      <c r="G6773" s="4" t="s">
        <v>336</v>
      </c>
      <c r="H6773" s="4" t="s">
        <v>289</v>
      </c>
      <c r="I6773" s="4">
        <v>1</v>
      </c>
      <c r="J6773" s="21">
        <v>95</v>
      </c>
      <c r="K6773" s="21">
        <v>0</v>
      </c>
      <c r="L6773" s="5">
        <v>0</v>
      </c>
      <c r="M6773" s="4"/>
      <c r="N6773" s="4"/>
      <c r="O6773" s="5"/>
      <c r="P6773" s="5"/>
      <c r="Q6773" s="21">
        <v>95</v>
      </c>
      <c r="R6773" s="21">
        <v>0</v>
      </c>
      <c r="S6773" s="5">
        <f t="shared" si="423"/>
        <v>50192.60174969837</v>
      </c>
      <c r="T6773" cm="1">
        <f t="array" ref="T6773">IF(OR(B6773="MAL ALIMI", B6773="ÜRETİM GİRİŞ"), MIN(I6773, MAX(0, I6773 + SUM(SUMIFS($I$1:I6772, $C$1:C6772, C6773, $B$1:B6772, {"MAL ALIMI","ÜRETİM GİRİŞ"})) - VLOOKUP(C6773, 'STOK RAPORU'!$C$2:$I$1000, 4, 0))), 0)</f>
        <v>0</v>
      </c>
      <c r="U6773" s="22">
        <f t="shared" si="424"/>
        <v>0</v>
      </c>
      <c r="V6773">
        <f t="shared" si="425"/>
        <v>0</v>
      </c>
      <c r="W6773" s="22">
        <f t="shared" si="426"/>
        <v>0</v>
      </c>
    </row>
    <row r="6774" spans="1:23" hidden="1" x14ac:dyDescent="0.25">
      <c r="A6774" s="3">
        <v>46143</v>
      </c>
      <c r="B6774" s="46" t="s">
        <v>334</v>
      </c>
      <c r="C6774" s="4" t="s">
        <v>60</v>
      </c>
      <c r="D6774" s="4"/>
      <c r="E6774" s="4"/>
      <c r="F6774" s="46" t="s">
        <v>3260</v>
      </c>
      <c r="G6774" s="4" t="s">
        <v>336</v>
      </c>
      <c r="H6774" s="4" t="s">
        <v>289</v>
      </c>
      <c r="I6774" s="4">
        <v>0.05</v>
      </c>
      <c r="J6774" s="21">
        <v>1200</v>
      </c>
      <c r="K6774" s="21">
        <v>0</v>
      </c>
      <c r="L6774" s="5">
        <v>0</v>
      </c>
      <c r="M6774" s="4"/>
      <c r="N6774" s="4"/>
      <c r="O6774" s="5"/>
      <c r="P6774" s="5"/>
      <c r="Q6774" s="21">
        <v>60</v>
      </c>
      <c r="R6774" s="21">
        <v>0</v>
      </c>
      <c r="S6774" s="5">
        <f t="shared" si="423"/>
        <v>50252.60174969837</v>
      </c>
      <c r="T6774" cm="1">
        <f t="array" ref="T6774">IF(OR(B6774="MAL ALIMI", B6774="ÜRETİM GİRİŞ"), MIN(I6774, MAX(0, I6774 + SUM(SUMIFS($I$1:I6773, $C$1:C6773, C6774, $B$1:B6773, {"MAL ALIMI","ÜRETİM GİRİŞ"})) - VLOOKUP(C6774, 'STOK RAPORU'!$C$2:$I$1000, 4, 0))), 0)</f>
        <v>0</v>
      </c>
      <c r="U6774" s="22">
        <f t="shared" si="424"/>
        <v>0</v>
      </c>
      <c r="V6774">
        <f t="shared" si="425"/>
        <v>0</v>
      </c>
      <c r="W6774" s="22">
        <f t="shared" si="426"/>
        <v>0</v>
      </c>
    </row>
    <row r="6775" spans="1:23" hidden="1" x14ac:dyDescent="0.25">
      <c r="A6775" s="3">
        <v>46143</v>
      </c>
      <c r="B6775" s="46" t="s">
        <v>334</v>
      </c>
      <c r="C6775" s="4" t="s">
        <v>892</v>
      </c>
      <c r="D6775" s="4"/>
      <c r="E6775" s="4"/>
      <c r="F6775" s="46" t="s">
        <v>3260</v>
      </c>
      <c r="G6775" s="4" t="s">
        <v>336</v>
      </c>
      <c r="H6775" s="4" t="s">
        <v>289</v>
      </c>
      <c r="I6775" s="4">
        <v>0.5</v>
      </c>
      <c r="J6775" s="21">
        <v>60</v>
      </c>
      <c r="K6775" s="21">
        <v>0</v>
      </c>
      <c r="L6775" s="5">
        <v>0</v>
      </c>
      <c r="M6775" s="4"/>
      <c r="N6775" s="4"/>
      <c r="O6775" s="5"/>
      <c r="P6775" s="5"/>
      <c r="Q6775" s="21">
        <v>30</v>
      </c>
      <c r="R6775" s="21">
        <v>0</v>
      </c>
      <c r="S6775" s="5">
        <f t="shared" si="423"/>
        <v>50282.60174969837</v>
      </c>
      <c r="T6775" cm="1">
        <f t="array" ref="T6775">IF(OR(B6775="MAL ALIMI", B6775="ÜRETİM GİRİŞ"), MIN(I6775, MAX(0, I6775 + SUM(SUMIFS($I$1:I6774, $C$1:C6774, C6775, $B$1:B6774, {"MAL ALIMI","ÜRETİM GİRİŞ"})) - VLOOKUP(C6775, 'STOK RAPORU'!$C$2:$I$1000, 4, 0))), 0)</f>
        <v>0</v>
      </c>
      <c r="U6775" s="22">
        <f t="shared" si="424"/>
        <v>0</v>
      </c>
      <c r="V6775">
        <f t="shared" si="425"/>
        <v>0</v>
      </c>
      <c r="W6775" s="22">
        <f t="shared" si="426"/>
        <v>0</v>
      </c>
    </row>
    <row r="6776" spans="1:23" hidden="1" x14ac:dyDescent="0.25">
      <c r="A6776" s="3">
        <v>46143</v>
      </c>
      <c r="B6776" s="46" t="s">
        <v>334</v>
      </c>
      <c r="C6776" s="4" t="s">
        <v>2243</v>
      </c>
      <c r="D6776" s="4"/>
      <c r="E6776" s="4"/>
      <c r="F6776" s="46" t="s">
        <v>3260</v>
      </c>
      <c r="G6776" s="4" t="s">
        <v>336</v>
      </c>
      <c r="H6776" s="4" t="s">
        <v>289</v>
      </c>
      <c r="I6776" s="4">
        <v>0.19038461538461537</v>
      </c>
      <c r="J6776" s="21">
        <v>520</v>
      </c>
      <c r="K6776" s="21">
        <v>0</v>
      </c>
      <c r="L6776" s="5">
        <v>0</v>
      </c>
      <c r="M6776" s="4"/>
      <c r="N6776" s="4"/>
      <c r="O6776" s="5"/>
      <c r="P6776" s="5"/>
      <c r="Q6776" s="21">
        <v>99</v>
      </c>
      <c r="R6776" s="21">
        <v>0</v>
      </c>
      <c r="S6776" s="5">
        <f t="shared" si="423"/>
        <v>50381.60174969837</v>
      </c>
      <c r="T6776" cm="1">
        <f t="array" ref="T6776">IF(OR(B6776="MAL ALIMI", B6776="ÜRETİM GİRİŞ"), MIN(I6776, MAX(0, I6776 + SUM(SUMIFS($I$1:I6775, $C$1:C6775, C6776, $B$1:B6775, {"MAL ALIMI","ÜRETİM GİRİŞ"})) - VLOOKUP(C6776, 'STOK RAPORU'!$C$2:$I$1000, 4, 0))), 0)</f>
        <v>0</v>
      </c>
      <c r="U6776" s="22">
        <f t="shared" si="424"/>
        <v>0</v>
      </c>
      <c r="V6776">
        <f t="shared" si="425"/>
        <v>0</v>
      </c>
      <c r="W6776" s="22">
        <f t="shared" si="426"/>
        <v>0</v>
      </c>
    </row>
    <row r="6777" spans="1:23" hidden="1" x14ac:dyDescent="0.25">
      <c r="A6777" s="3">
        <v>46143</v>
      </c>
      <c r="B6777" s="46" t="s">
        <v>334</v>
      </c>
      <c r="C6777" s="4" t="s">
        <v>130</v>
      </c>
      <c r="D6777" s="4"/>
      <c r="E6777" s="4"/>
      <c r="F6777" s="46" t="s">
        <v>3260</v>
      </c>
      <c r="G6777" s="4" t="s">
        <v>336</v>
      </c>
      <c r="H6777" s="4" t="s">
        <v>289</v>
      </c>
      <c r="I6777" s="4">
        <v>0.15</v>
      </c>
      <c r="J6777" s="21">
        <v>415</v>
      </c>
      <c r="K6777" s="21">
        <v>0</v>
      </c>
      <c r="L6777" s="5">
        <v>0</v>
      </c>
      <c r="M6777" s="4"/>
      <c r="N6777" s="4"/>
      <c r="O6777" s="5"/>
      <c r="P6777" s="5"/>
      <c r="Q6777" s="21">
        <v>62.25</v>
      </c>
      <c r="R6777" s="21">
        <v>0</v>
      </c>
      <c r="S6777" s="5">
        <f t="shared" si="423"/>
        <v>50443.85174969837</v>
      </c>
      <c r="T6777" cm="1">
        <f t="array" ref="T6777">IF(OR(B6777="MAL ALIMI", B6777="ÜRETİM GİRİŞ"), MIN(I6777, MAX(0, I6777 + SUM(SUMIFS($I$1:I6776, $C$1:C6776, C6777, $B$1:B6776, {"MAL ALIMI","ÜRETİM GİRİŞ"})) - VLOOKUP(C6777, 'STOK RAPORU'!$C$2:$I$1000, 4, 0))), 0)</f>
        <v>0</v>
      </c>
      <c r="U6777" s="22">
        <f t="shared" si="424"/>
        <v>0</v>
      </c>
      <c r="V6777">
        <f t="shared" si="425"/>
        <v>0</v>
      </c>
      <c r="W6777" s="22">
        <f t="shared" si="426"/>
        <v>0</v>
      </c>
    </row>
    <row r="6778" spans="1:23" hidden="1" x14ac:dyDescent="0.25">
      <c r="A6778" s="3">
        <v>46143</v>
      </c>
      <c r="B6778" s="46" t="s">
        <v>334</v>
      </c>
      <c r="C6778" s="4" t="s">
        <v>91</v>
      </c>
      <c r="D6778" s="4"/>
      <c r="E6778" s="4"/>
      <c r="F6778" s="46" t="s">
        <v>3260</v>
      </c>
      <c r="G6778" s="4" t="s">
        <v>336</v>
      </c>
      <c r="H6778" s="4" t="s">
        <v>289</v>
      </c>
      <c r="I6778" s="4">
        <v>0.16533333333333333</v>
      </c>
      <c r="J6778" s="21">
        <v>750</v>
      </c>
      <c r="K6778" s="21">
        <v>0</v>
      </c>
      <c r="L6778" s="5">
        <v>0</v>
      </c>
      <c r="M6778" s="4"/>
      <c r="N6778" s="4"/>
      <c r="O6778" s="5"/>
      <c r="P6778" s="5"/>
      <c r="Q6778" s="21">
        <v>124</v>
      </c>
      <c r="R6778" s="21">
        <v>0</v>
      </c>
      <c r="S6778" s="5">
        <f t="shared" si="423"/>
        <v>50567.85174969837</v>
      </c>
      <c r="T6778" cm="1">
        <f t="array" ref="T6778">IF(OR(B6778="MAL ALIMI", B6778="ÜRETİM GİRİŞ"), MIN(I6778, MAX(0, I6778 + SUM(SUMIFS($I$1:I6777, $C$1:C6777, C6778, $B$1:B6777, {"MAL ALIMI","ÜRETİM GİRİŞ"})) - VLOOKUP(C6778, 'STOK RAPORU'!$C$2:$I$1000, 4, 0))), 0)</f>
        <v>0</v>
      </c>
      <c r="U6778" s="22">
        <f t="shared" si="424"/>
        <v>0</v>
      </c>
      <c r="V6778">
        <f t="shared" si="425"/>
        <v>0</v>
      </c>
      <c r="W6778" s="22">
        <f t="shared" si="426"/>
        <v>0</v>
      </c>
    </row>
    <row r="6779" spans="1:23" hidden="1" x14ac:dyDescent="0.25">
      <c r="A6779" s="3">
        <v>46143</v>
      </c>
      <c r="B6779" s="46" t="s">
        <v>334</v>
      </c>
      <c r="C6779" s="4" t="s">
        <v>158</v>
      </c>
      <c r="D6779" s="4"/>
      <c r="E6779" s="4"/>
      <c r="F6779" s="46" t="s">
        <v>3261</v>
      </c>
      <c r="G6779" s="4" t="s">
        <v>336</v>
      </c>
      <c r="H6779" s="4" t="s">
        <v>289</v>
      </c>
      <c r="I6779" s="4">
        <v>1</v>
      </c>
      <c r="J6779" s="21">
        <v>150</v>
      </c>
      <c r="K6779" s="21">
        <v>0</v>
      </c>
      <c r="L6779" s="5">
        <v>0</v>
      </c>
      <c r="M6779" s="4"/>
      <c r="N6779" s="4"/>
      <c r="O6779" s="5"/>
      <c r="P6779" s="5"/>
      <c r="Q6779" s="21">
        <v>150</v>
      </c>
      <c r="R6779" s="21">
        <v>0</v>
      </c>
      <c r="S6779" s="5">
        <f t="shared" si="423"/>
        <v>50717.85174969837</v>
      </c>
      <c r="T6779" cm="1">
        <f t="array" ref="T6779">IF(OR(B6779="MAL ALIMI", B6779="ÜRETİM GİRİŞ"), MIN(I6779, MAX(0, I6779 + SUM(SUMIFS($I$1:I6778, $C$1:C6778, C6779, $B$1:B6778, {"MAL ALIMI","ÜRETİM GİRİŞ"})) - VLOOKUP(C6779, 'STOK RAPORU'!$C$2:$I$1000, 4, 0))), 0)</f>
        <v>0</v>
      </c>
      <c r="U6779" s="22">
        <f t="shared" si="424"/>
        <v>0</v>
      </c>
      <c r="V6779">
        <f t="shared" si="425"/>
        <v>0</v>
      </c>
      <c r="W6779" s="22">
        <f t="shared" si="426"/>
        <v>0</v>
      </c>
    </row>
    <row r="6780" spans="1:23" hidden="1" x14ac:dyDescent="0.25">
      <c r="A6780" s="3">
        <v>46143</v>
      </c>
      <c r="B6780" s="46" t="s">
        <v>334</v>
      </c>
      <c r="C6780" s="4" t="s">
        <v>160</v>
      </c>
      <c r="D6780" s="4"/>
      <c r="E6780" s="4"/>
      <c r="F6780" s="46" t="s">
        <v>3261</v>
      </c>
      <c r="G6780" s="4" t="s">
        <v>336</v>
      </c>
      <c r="H6780" s="4" t="s">
        <v>289</v>
      </c>
      <c r="I6780" s="4">
        <v>1</v>
      </c>
      <c r="J6780" s="21">
        <v>250</v>
      </c>
      <c r="K6780" s="21">
        <v>0</v>
      </c>
      <c r="L6780" s="5">
        <v>0</v>
      </c>
      <c r="M6780" s="4"/>
      <c r="N6780" s="4"/>
      <c r="O6780" s="5"/>
      <c r="P6780" s="5"/>
      <c r="Q6780" s="21">
        <v>250</v>
      </c>
      <c r="R6780" s="21">
        <v>0</v>
      </c>
      <c r="S6780" s="5">
        <f t="shared" si="423"/>
        <v>50967.85174969837</v>
      </c>
      <c r="T6780" cm="1">
        <f t="array" ref="T6780">IF(OR(B6780="MAL ALIMI", B6780="ÜRETİM GİRİŞ"), MIN(I6780, MAX(0, I6780 + SUM(SUMIFS($I$1:I6779, $C$1:C6779, C6780, $B$1:B6779, {"MAL ALIMI","ÜRETİM GİRİŞ"})) - VLOOKUP(C6780, 'STOK RAPORU'!$C$2:$I$1000, 4, 0))), 0)</f>
        <v>0</v>
      </c>
      <c r="U6780" s="22">
        <f t="shared" si="424"/>
        <v>0</v>
      </c>
      <c r="V6780">
        <f t="shared" si="425"/>
        <v>0</v>
      </c>
      <c r="W6780" s="22">
        <f t="shared" si="426"/>
        <v>0</v>
      </c>
    </row>
    <row r="6781" spans="1:23" hidden="1" x14ac:dyDescent="0.25">
      <c r="A6781" s="3">
        <v>46143</v>
      </c>
      <c r="B6781" s="46" t="s">
        <v>334</v>
      </c>
      <c r="C6781" s="4" t="s">
        <v>161</v>
      </c>
      <c r="D6781" s="4"/>
      <c r="E6781" s="4"/>
      <c r="F6781" s="46" t="s">
        <v>3261</v>
      </c>
      <c r="G6781" s="4" t="s">
        <v>336</v>
      </c>
      <c r="H6781" s="4" t="s">
        <v>289</v>
      </c>
      <c r="I6781" s="4">
        <v>1</v>
      </c>
      <c r="J6781" s="21">
        <v>250</v>
      </c>
      <c r="K6781" s="21">
        <v>0</v>
      </c>
      <c r="L6781" s="5">
        <v>0</v>
      </c>
      <c r="M6781" s="4"/>
      <c r="N6781" s="4"/>
      <c r="O6781" s="5"/>
      <c r="P6781" s="5"/>
      <c r="Q6781" s="21">
        <v>250</v>
      </c>
      <c r="R6781" s="21">
        <v>0</v>
      </c>
      <c r="S6781" s="5">
        <f t="shared" si="423"/>
        <v>51217.85174969837</v>
      </c>
      <c r="T6781" cm="1">
        <f t="array" ref="T6781">IF(OR(B6781="MAL ALIMI", B6781="ÜRETİM GİRİŞ"), MIN(I6781, MAX(0, I6781 + SUM(SUMIFS($I$1:I6780, $C$1:C6780, C6781, $B$1:B6780, {"MAL ALIMI","ÜRETİM GİRİŞ"})) - VLOOKUP(C6781, 'STOK RAPORU'!$C$2:$I$1000, 4, 0))), 0)</f>
        <v>0</v>
      </c>
      <c r="U6781" s="22">
        <f t="shared" si="424"/>
        <v>0</v>
      </c>
      <c r="V6781">
        <f t="shared" si="425"/>
        <v>0</v>
      </c>
      <c r="W6781" s="22">
        <f t="shared" si="426"/>
        <v>0</v>
      </c>
    </row>
    <row r="6782" spans="1:23" hidden="1" x14ac:dyDescent="0.25">
      <c r="A6782" s="3">
        <v>46143</v>
      </c>
      <c r="B6782" s="46" t="s">
        <v>334</v>
      </c>
      <c r="C6782" s="4" t="s">
        <v>131</v>
      </c>
      <c r="D6782" s="4"/>
      <c r="E6782" s="4"/>
      <c r="F6782" s="46" t="s">
        <v>3261</v>
      </c>
      <c r="G6782" s="4" t="s">
        <v>336</v>
      </c>
      <c r="H6782" s="4" t="s">
        <v>289</v>
      </c>
      <c r="I6782" s="4">
        <v>6.5000000000000002E-2</v>
      </c>
      <c r="J6782" s="21">
        <v>400</v>
      </c>
      <c r="K6782" s="21">
        <v>0</v>
      </c>
      <c r="L6782" s="5">
        <v>0</v>
      </c>
      <c r="M6782" s="4"/>
      <c r="N6782" s="4"/>
      <c r="O6782" s="5"/>
      <c r="P6782" s="5"/>
      <c r="Q6782" s="21">
        <v>26</v>
      </c>
      <c r="R6782" s="21">
        <v>0</v>
      </c>
      <c r="S6782" s="5">
        <f t="shared" si="423"/>
        <v>51243.85174969837</v>
      </c>
      <c r="T6782" cm="1">
        <f t="array" ref="T6782">IF(OR(B6782="MAL ALIMI", B6782="ÜRETİM GİRİŞ"), MIN(I6782, MAX(0, I6782 + SUM(SUMIFS($I$1:I6781, $C$1:C6781, C6782, $B$1:B6781, {"MAL ALIMI","ÜRETİM GİRİŞ"})) - VLOOKUP(C6782, 'STOK RAPORU'!$C$2:$I$1000, 4, 0))), 0)</f>
        <v>0</v>
      </c>
      <c r="U6782" s="22">
        <f t="shared" si="424"/>
        <v>0</v>
      </c>
      <c r="V6782">
        <f t="shared" si="425"/>
        <v>0</v>
      </c>
      <c r="W6782" s="22">
        <f t="shared" si="426"/>
        <v>0</v>
      </c>
    </row>
    <row r="6783" spans="1:23" hidden="1" x14ac:dyDescent="0.25">
      <c r="A6783" s="3">
        <v>46143</v>
      </c>
      <c r="B6783" s="46" t="s">
        <v>334</v>
      </c>
      <c r="C6783" s="4" t="s">
        <v>126</v>
      </c>
      <c r="D6783" s="4"/>
      <c r="E6783" s="4"/>
      <c r="F6783" s="46" t="s">
        <v>3261</v>
      </c>
      <c r="G6783" s="4" t="s">
        <v>336</v>
      </c>
      <c r="H6783" s="4" t="s">
        <v>289</v>
      </c>
      <c r="I6783" s="4">
        <v>9.3846153846153843E-2</v>
      </c>
      <c r="J6783" s="21">
        <v>650</v>
      </c>
      <c r="K6783" s="21">
        <v>0</v>
      </c>
      <c r="L6783" s="5">
        <v>0</v>
      </c>
      <c r="M6783" s="4"/>
      <c r="N6783" s="4"/>
      <c r="O6783" s="5"/>
      <c r="P6783" s="5"/>
      <c r="Q6783" s="21">
        <v>61</v>
      </c>
      <c r="R6783" s="21">
        <v>0</v>
      </c>
      <c r="S6783" s="5">
        <f t="shared" si="423"/>
        <v>51304.85174969837</v>
      </c>
      <c r="T6783" cm="1">
        <f t="array" ref="T6783">IF(OR(B6783="MAL ALIMI", B6783="ÜRETİM GİRİŞ"), MIN(I6783, MAX(0, I6783 + SUM(SUMIFS($I$1:I6782, $C$1:C6782, C6783, $B$1:B6782, {"MAL ALIMI","ÜRETİM GİRİŞ"})) - VLOOKUP(C6783, 'STOK RAPORU'!$C$2:$I$1000, 4, 0))), 0)</f>
        <v>0</v>
      </c>
      <c r="U6783" s="22">
        <f t="shared" si="424"/>
        <v>0</v>
      </c>
      <c r="V6783">
        <f t="shared" si="425"/>
        <v>0</v>
      </c>
      <c r="W6783" s="22">
        <f t="shared" si="426"/>
        <v>0</v>
      </c>
    </row>
    <row r="6784" spans="1:23" hidden="1" x14ac:dyDescent="0.25">
      <c r="A6784" s="3">
        <v>46143</v>
      </c>
      <c r="B6784" s="46" t="s">
        <v>334</v>
      </c>
      <c r="C6784" s="4" t="s">
        <v>91</v>
      </c>
      <c r="D6784" s="4"/>
      <c r="E6784" s="4"/>
      <c r="F6784" s="46" t="s">
        <v>3261</v>
      </c>
      <c r="G6784" s="4" t="s">
        <v>336</v>
      </c>
      <c r="H6784" s="4" t="s">
        <v>289</v>
      </c>
      <c r="I6784" s="4">
        <v>3.7647058823529408E-2</v>
      </c>
      <c r="J6784" s="21">
        <v>850</v>
      </c>
      <c r="K6784" s="21">
        <v>0</v>
      </c>
      <c r="L6784" s="5">
        <v>0</v>
      </c>
      <c r="M6784" s="4"/>
      <c r="N6784" s="4"/>
      <c r="O6784" s="5"/>
      <c r="P6784" s="5"/>
      <c r="Q6784" s="21">
        <v>31.999999999999996</v>
      </c>
      <c r="R6784" s="21">
        <v>0</v>
      </c>
      <c r="S6784" s="5">
        <f t="shared" si="423"/>
        <v>51336.85174969837</v>
      </c>
      <c r="T6784" cm="1">
        <f t="array" ref="T6784">IF(OR(B6784="MAL ALIMI", B6784="ÜRETİM GİRİŞ"), MIN(I6784, MAX(0, I6784 + SUM(SUMIFS($I$1:I6783, $C$1:C6783, C6784, $B$1:B6783, {"MAL ALIMI","ÜRETİM GİRİŞ"})) - VLOOKUP(C6784, 'STOK RAPORU'!$C$2:$I$1000, 4, 0))), 0)</f>
        <v>0</v>
      </c>
      <c r="U6784" s="22">
        <f t="shared" si="424"/>
        <v>0</v>
      </c>
      <c r="V6784">
        <f t="shared" si="425"/>
        <v>0</v>
      </c>
      <c r="W6784" s="22">
        <f t="shared" si="426"/>
        <v>0</v>
      </c>
    </row>
    <row r="6785" spans="1:23" hidden="1" x14ac:dyDescent="0.25">
      <c r="A6785" s="3">
        <v>46143</v>
      </c>
      <c r="B6785" s="46" t="s">
        <v>334</v>
      </c>
      <c r="C6785" s="4" t="s">
        <v>728</v>
      </c>
      <c r="D6785" s="4"/>
      <c r="E6785" s="4"/>
      <c r="F6785" s="46" t="s">
        <v>3261</v>
      </c>
      <c r="G6785" s="4" t="s">
        <v>336</v>
      </c>
      <c r="H6785" s="4" t="s">
        <v>289</v>
      </c>
      <c r="I6785" s="4">
        <v>0.62923076923076926</v>
      </c>
      <c r="J6785" s="21">
        <v>650</v>
      </c>
      <c r="K6785" s="21">
        <v>0</v>
      </c>
      <c r="L6785" s="5">
        <v>0</v>
      </c>
      <c r="M6785" s="4"/>
      <c r="N6785" s="4"/>
      <c r="O6785" s="5"/>
      <c r="P6785" s="5"/>
      <c r="Q6785" s="21">
        <v>409</v>
      </c>
      <c r="R6785" s="21">
        <v>0</v>
      </c>
      <c r="S6785" s="5">
        <f t="shared" si="423"/>
        <v>51745.85174969837</v>
      </c>
      <c r="T6785" cm="1">
        <f t="array" ref="T6785">IF(OR(B6785="MAL ALIMI", B6785="ÜRETİM GİRİŞ"), MIN(I6785, MAX(0, I6785 + SUM(SUMIFS($I$1:I6784, $C$1:C6784, C6785, $B$1:B6784, {"MAL ALIMI","ÜRETİM GİRİŞ"})) - VLOOKUP(C6785, 'STOK RAPORU'!$C$2:$I$1000, 4, 0))), 0)</f>
        <v>0</v>
      </c>
      <c r="U6785" s="22">
        <f t="shared" si="424"/>
        <v>0</v>
      </c>
      <c r="V6785">
        <f t="shared" si="425"/>
        <v>0</v>
      </c>
      <c r="W6785" s="22">
        <f t="shared" si="426"/>
        <v>0</v>
      </c>
    </row>
    <row r="6786" spans="1:23" hidden="1" x14ac:dyDescent="0.25">
      <c r="A6786" s="3">
        <v>46143</v>
      </c>
      <c r="B6786" s="46" t="s">
        <v>334</v>
      </c>
      <c r="C6786" s="4" t="s">
        <v>209</v>
      </c>
      <c r="D6786" s="4"/>
      <c r="E6786" s="4" t="s">
        <v>921</v>
      </c>
      <c r="F6786" s="46" t="s">
        <v>3262</v>
      </c>
      <c r="G6786" s="4" t="s">
        <v>336</v>
      </c>
      <c r="H6786" s="4" t="s">
        <v>380</v>
      </c>
      <c r="I6786" s="4">
        <v>0.05</v>
      </c>
      <c r="J6786" s="21">
        <v>2000</v>
      </c>
      <c r="K6786" s="21">
        <v>100</v>
      </c>
      <c r="L6786" s="5">
        <v>0</v>
      </c>
      <c r="M6786" s="4"/>
      <c r="N6786" s="4"/>
      <c r="O6786" s="5"/>
      <c r="P6786" s="5"/>
      <c r="Q6786" s="21">
        <v>0</v>
      </c>
      <c r="R6786" s="21">
        <v>0</v>
      </c>
      <c r="S6786" s="5">
        <f t="shared" si="423"/>
        <v>51745.85174969837</v>
      </c>
      <c r="T6786" cm="1">
        <f t="array" ref="T6786">IF(OR(B6786="MAL ALIMI", B6786="ÜRETİM GİRİŞ"), MIN(I6786, MAX(0, I6786 + SUM(SUMIFS($I$1:I6785, $C$1:C6785, C6786, $B$1:B6785, {"MAL ALIMI","ÜRETİM GİRİŞ"})) - VLOOKUP(C6786, 'STOK RAPORU'!$C$2:$I$1000, 4, 0))), 0)</f>
        <v>0</v>
      </c>
      <c r="U6786" s="22">
        <f t="shared" si="424"/>
        <v>0</v>
      </c>
      <c r="V6786">
        <f t="shared" si="425"/>
        <v>0</v>
      </c>
      <c r="W6786" s="22">
        <f t="shared" si="426"/>
        <v>0</v>
      </c>
    </row>
    <row r="6787" spans="1:23" hidden="1" x14ac:dyDescent="0.25">
      <c r="A6787" s="3">
        <v>46143</v>
      </c>
      <c r="B6787" s="46" t="s">
        <v>334</v>
      </c>
      <c r="C6787" s="4" t="s">
        <v>1184</v>
      </c>
      <c r="D6787" s="4"/>
      <c r="E6787" s="4" t="s">
        <v>921</v>
      </c>
      <c r="F6787" s="46" t="s">
        <v>3262</v>
      </c>
      <c r="G6787" s="4" t="s">
        <v>336</v>
      </c>
      <c r="H6787" s="4" t="s">
        <v>380</v>
      </c>
      <c r="I6787" s="4">
        <v>0.1</v>
      </c>
      <c r="J6787" s="21">
        <v>900</v>
      </c>
      <c r="K6787" s="21">
        <v>90</v>
      </c>
      <c r="L6787" s="5">
        <v>0</v>
      </c>
      <c r="M6787" s="4"/>
      <c r="N6787" s="4"/>
      <c r="O6787" s="5"/>
      <c r="P6787" s="5"/>
      <c r="Q6787" s="21">
        <v>0</v>
      </c>
      <c r="R6787" s="21">
        <v>0</v>
      </c>
      <c r="S6787" s="5">
        <f t="shared" si="423"/>
        <v>51745.85174969837</v>
      </c>
      <c r="T6787" cm="1">
        <f t="array" ref="T6787">IF(OR(B6787="MAL ALIMI", B6787="ÜRETİM GİRİŞ"), MIN(I6787, MAX(0, I6787 + SUM(SUMIFS($I$1:I6786, $C$1:C6786, C6787, $B$1:B6786, {"MAL ALIMI","ÜRETİM GİRİŞ"})) - VLOOKUP(C6787, 'STOK RAPORU'!$C$2:$I$1000, 4, 0))), 0)</f>
        <v>0</v>
      </c>
      <c r="U6787" s="22">
        <f t="shared" si="424"/>
        <v>0</v>
      </c>
      <c r="V6787">
        <f t="shared" si="425"/>
        <v>0</v>
      </c>
      <c r="W6787" s="22">
        <f t="shared" si="426"/>
        <v>0</v>
      </c>
    </row>
    <row r="6788" spans="1:23" hidden="1" x14ac:dyDescent="0.25">
      <c r="A6788" s="3">
        <v>46143</v>
      </c>
      <c r="B6788" s="46" t="s">
        <v>334</v>
      </c>
      <c r="C6788" s="4" t="s">
        <v>2565</v>
      </c>
      <c r="D6788" s="4"/>
      <c r="E6788" s="4"/>
      <c r="F6788" s="46" t="s">
        <v>3263</v>
      </c>
      <c r="G6788" s="4" t="s">
        <v>336</v>
      </c>
      <c r="H6788" s="4" t="s">
        <v>289</v>
      </c>
      <c r="I6788" s="4">
        <v>0.12307692307692308</v>
      </c>
      <c r="J6788" s="21">
        <v>650</v>
      </c>
      <c r="K6788" s="21">
        <v>0</v>
      </c>
      <c r="L6788" s="5">
        <v>0</v>
      </c>
      <c r="M6788" s="4"/>
      <c r="N6788" s="4"/>
      <c r="O6788" s="5"/>
      <c r="P6788" s="5"/>
      <c r="Q6788" s="21">
        <v>80</v>
      </c>
      <c r="R6788" s="21">
        <v>0</v>
      </c>
      <c r="S6788" s="5">
        <f t="shared" ref="S6788:S6851" si="427">S6787+Q6788-R6788</f>
        <v>51825.85174969837</v>
      </c>
      <c r="T6788" cm="1">
        <f t="array" ref="T6788">IF(OR(B6788="MAL ALIMI", B6788="ÜRETİM GİRİŞ"), MIN(I6788, MAX(0, I6788 + SUM(SUMIFS($I$1:I6787, $C$1:C6787, C6788, $B$1:B6787, {"MAL ALIMI","ÜRETİM GİRİŞ"})) - VLOOKUP(C6788, 'STOK RAPORU'!$C$2:$I$1000, 4, 0))), 0)</f>
        <v>0</v>
      </c>
      <c r="U6788" s="22">
        <f t="shared" si="424"/>
        <v>0</v>
      </c>
      <c r="V6788">
        <f t="shared" si="425"/>
        <v>0</v>
      </c>
      <c r="W6788" s="22">
        <f t="shared" si="426"/>
        <v>0</v>
      </c>
    </row>
    <row r="6789" spans="1:23" hidden="1" x14ac:dyDescent="0.25">
      <c r="A6789" s="3">
        <v>46143</v>
      </c>
      <c r="B6789" s="46" t="s">
        <v>334</v>
      </c>
      <c r="C6789" s="4" t="s">
        <v>1359</v>
      </c>
      <c r="D6789" s="4"/>
      <c r="E6789" s="4"/>
      <c r="F6789" s="46" t="s">
        <v>3264</v>
      </c>
      <c r="G6789" s="4" t="s">
        <v>336</v>
      </c>
      <c r="H6789" s="4" t="s">
        <v>289</v>
      </c>
      <c r="I6789" s="4">
        <v>0.5</v>
      </c>
      <c r="J6789" s="21">
        <v>500</v>
      </c>
      <c r="K6789" s="21">
        <v>0</v>
      </c>
      <c r="L6789" s="5">
        <v>0</v>
      </c>
      <c r="M6789" s="4"/>
      <c r="N6789" s="4"/>
      <c r="O6789" s="5"/>
      <c r="P6789" s="5"/>
      <c r="Q6789" s="21">
        <v>250</v>
      </c>
      <c r="R6789" s="21">
        <v>0</v>
      </c>
      <c r="S6789" s="5">
        <f t="shared" si="427"/>
        <v>52075.85174969837</v>
      </c>
      <c r="T6789" cm="1">
        <f t="array" ref="T6789">IF(OR(B6789="MAL ALIMI", B6789="ÜRETİM GİRİŞ"), MIN(I6789, MAX(0, I6789 + SUM(SUMIFS($I$1:I6788, $C$1:C6788, C6789, $B$1:B6788, {"MAL ALIMI","ÜRETİM GİRİŞ"})) - VLOOKUP(C6789, 'STOK RAPORU'!$C$2:$I$1000, 4, 0))), 0)</f>
        <v>0</v>
      </c>
      <c r="U6789" s="22">
        <f t="shared" si="424"/>
        <v>0</v>
      </c>
      <c r="V6789">
        <f t="shared" si="425"/>
        <v>0</v>
      </c>
      <c r="W6789" s="22">
        <f t="shared" si="426"/>
        <v>0</v>
      </c>
    </row>
    <row r="6790" spans="1:23" hidden="1" x14ac:dyDescent="0.25">
      <c r="A6790" s="3">
        <v>46143</v>
      </c>
      <c r="B6790" s="46" t="s">
        <v>334</v>
      </c>
      <c r="C6790" s="4" t="s">
        <v>132</v>
      </c>
      <c r="D6790" s="4"/>
      <c r="E6790" s="4" t="s">
        <v>921</v>
      </c>
      <c r="F6790" s="46" t="s">
        <v>3265</v>
      </c>
      <c r="G6790" s="4" t="s">
        <v>336</v>
      </c>
      <c r="H6790" s="4" t="s">
        <v>380</v>
      </c>
      <c r="I6790" s="4">
        <v>0.122</v>
      </c>
      <c r="J6790" s="21">
        <v>500</v>
      </c>
      <c r="K6790" s="21">
        <v>61</v>
      </c>
      <c r="L6790" s="5">
        <v>0</v>
      </c>
      <c r="M6790" s="4"/>
      <c r="N6790" s="4"/>
      <c r="O6790" s="5"/>
      <c r="P6790" s="5"/>
      <c r="Q6790" s="21">
        <v>0</v>
      </c>
      <c r="R6790" s="21">
        <v>0</v>
      </c>
      <c r="S6790" s="5">
        <f t="shared" si="427"/>
        <v>52075.85174969837</v>
      </c>
      <c r="T6790" cm="1">
        <f t="array" ref="T6790">IF(OR(B6790="MAL ALIMI", B6790="ÜRETİM GİRİŞ"), MIN(I6790, MAX(0, I6790 + SUM(SUMIFS($I$1:I6789, $C$1:C6789, C6790, $B$1:B6789, {"MAL ALIMI","ÜRETİM GİRİŞ"})) - VLOOKUP(C6790, 'STOK RAPORU'!$C$2:$I$1000, 4, 0))), 0)</f>
        <v>0</v>
      </c>
      <c r="U6790" s="22">
        <f t="shared" si="424"/>
        <v>0</v>
      </c>
      <c r="V6790">
        <f t="shared" si="425"/>
        <v>0</v>
      </c>
      <c r="W6790" s="22">
        <f t="shared" si="426"/>
        <v>0</v>
      </c>
    </row>
    <row r="6791" spans="1:23" hidden="1" x14ac:dyDescent="0.25">
      <c r="A6791" s="3">
        <v>46143</v>
      </c>
      <c r="B6791" s="46" t="s">
        <v>334</v>
      </c>
      <c r="C6791" s="4" t="s">
        <v>126</v>
      </c>
      <c r="D6791" s="4"/>
      <c r="E6791" s="4" t="s">
        <v>921</v>
      </c>
      <c r="F6791" s="46" t="s">
        <v>3265</v>
      </c>
      <c r="G6791" s="4" t="s">
        <v>336</v>
      </c>
      <c r="H6791" s="4" t="s">
        <v>380</v>
      </c>
      <c r="I6791" s="4">
        <v>8.7692307692307694E-2</v>
      </c>
      <c r="J6791" s="21">
        <v>650</v>
      </c>
      <c r="K6791" s="21">
        <v>57</v>
      </c>
      <c r="L6791" s="5">
        <v>0</v>
      </c>
      <c r="M6791" s="4"/>
      <c r="N6791" s="4"/>
      <c r="O6791" s="5"/>
      <c r="P6791" s="5"/>
      <c r="Q6791" s="21">
        <v>0</v>
      </c>
      <c r="R6791" s="21">
        <v>0</v>
      </c>
      <c r="S6791" s="5">
        <f t="shared" si="427"/>
        <v>52075.85174969837</v>
      </c>
      <c r="T6791" cm="1">
        <f t="array" ref="T6791">IF(OR(B6791="MAL ALIMI", B6791="ÜRETİM GİRİŞ"), MIN(I6791, MAX(0, I6791 + SUM(SUMIFS($I$1:I6790, $C$1:C6790, C6791, $B$1:B6790, {"MAL ALIMI","ÜRETİM GİRİŞ"})) - VLOOKUP(C6791, 'STOK RAPORU'!$C$2:$I$1000, 4, 0))), 0)</f>
        <v>0</v>
      </c>
      <c r="U6791" s="22">
        <f t="shared" si="424"/>
        <v>0</v>
      </c>
      <c r="V6791">
        <f t="shared" si="425"/>
        <v>0</v>
      </c>
      <c r="W6791" s="22">
        <f t="shared" si="426"/>
        <v>0</v>
      </c>
    </row>
    <row r="6792" spans="1:23" hidden="1" x14ac:dyDescent="0.25">
      <c r="A6792" s="3">
        <v>46143</v>
      </c>
      <c r="B6792" s="46" t="s">
        <v>334</v>
      </c>
      <c r="C6792" s="4" t="s">
        <v>529</v>
      </c>
      <c r="D6792" s="4"/>
      <c r="E6792" s="4" t="s">
        <v>921</v>
      </c>
      <c r="F6792" s="46" t="s">
        <v>3265</v>
      </c>
      <c r="G6792" s="4" t="s">
        <v>336</v>
      </c>
      <c r="H6792" s="4" t="s">
        <v>380</v>
      </c>
      <c r="I6792" s="4">
        <v>0.1</v>
      </c>
      <c r="J6792" s="21">
        <v>600</v>
      </c>
      <c r="K6792" s="21">
        <v>60</v>
      </c>
      <c r="L6792" s="5">
        <v>0</v>
      </c>
      <c r="M6792" s="4"/>
      <c r="N6792" s="4"/>
      <c r="O6792" s="5"/>
      <c r="P6792" s="5"/>
      <c r="Q6792" s="21">
        <v>0</v>
      </c>
      <c r="R6792" s="21">
        <v>0</v>
      </c>
      <c r="S6792" s="5">
        <f t="shared" si="427"/>
        <v>52075.85174969837</v>
      </c>
      <c r="T6792" cm="1">
        <f t="array" ref="T6792">IF(OR(B6792="MAL ALIMI", B6792="ÜRETİM GİRİŞ"), MIN(I6792, MAX(0, I6792 + SUM(SUMIFS($I$1:I6791, $C$1:C6791, C6792, $B$1:B6791, {"MAL ALIMI","ÜRETİM GİRİŞ"})) - VLOOKUP(C6792, 'STOK RAPORU'!$C$2:$I$1000, 4, 0))), 0)</f>
        <v>0</v>
      </c>
      <c r="U6792" s="22">
        <f t="shared" si="424"/>
        <v>0</v>
      </c>
      <c r="V6792">
        <f t="shared" si="425"/>
        <v>0</v>
      </c>
      <c r="W6792" s="22">
        <f t="shared" si="426"/>
        <v>0</v>
      </c>
    </row>
    <row r="6793" spans="1:23" hidden="1" x14ac:dyDescent="0.25">
      <c r="A6793" s="3">
        <v>46143</v>
      </c>
      <c r="B6793" s="46" t="s">
        <v>334</v>
      </c>
      <c r="C6793" s="4" t="s">
        <v>463</v>
      </c>
      <c r="D6793" s="4"/>
      <c r="E6793" s="4" t="s">
        <v>921</v>
      </c>
      <c r="F6793" s="46" t="s">
        <v>3265</v>
      </c>
      <c r="G6793" s="4" t="s">
        <v>336</v>
      </c>
      <c r="H6793" s="4" t="s">
        <v>380</v>
      </c>
      <c r="I6793" s="4">
        <v>0.13250000000000001</v>
      </c>
      <c r="J6793" s="21">
        <v>400</v>
      </c>
      <c r="K6793" s="21">
        <v>53</v>
      </c>
      <c r="L6793" s="5">
        <v>0</v>
      </c>
      <c r="M6793" s="4"/>
      <c r="N6793" s="4"/>
      <c r="O6793" s="5"/>
      <c r="P6793" s="5"/>
      <c r="Q6793" s="21">
        <v>0</v>
      </c>
      <c r="R6793" s="21">
        <v>0</v>
      </c>
      <c r="S6793" s="5">
        <f t="shared" si="427"/>
        <v>52075.85174969837</v>
      </c>
      <c r="T6793" cm="1">
        <f t="array" ref="T6793">IF(OR(B6793="MAL ALIMI", B6793="ÜRETİM GİRİŞ"), MIN(I6793, MAX(0, I6793 + SUM(SUMIFS($I$1:I6792, $C$1:C6792, C6793, $B$1:B6792, {"MAL ALIMI","ÜRETİM GİRİŞ"})) - VLOOKUP(C6793, 'STOK RAPORU'!$C$2:$I$1000, 4, 0))), 0)</f>
        <v>0</v>
      </c>
      <c r="U6793" s="22">
        <f t="shared" si="424"/>
        <v>0</v>
      </c>
      <c r="V6793">
        <f t="shared" si="425"/>
        <v>0</v>
      </c>
      <c r="W6793" s="22">
        <f t="shared" si="426"/>
        <v>0</v>
      </c>
    </row>
    <row r="6794" spans="1:23" hidden="1" x14ac:dyDescent="0.25">
      <c r="A6794" s="3">
        <v>46143</v>
      </c>
      <c r="B6794" s="46" t="s">
        <v>2344</v>
      </c>
      <c r="C6794" s="4"/>
      <c r="D6794" s="4"/>
      <c r="E6794" s="4" t="s">
        <v>2343</v>
      </c>
      <c r="F6794" s="4"/>
      <c r="G6794" s="4" t="s">
        <v>3257</v>
      </c>
      <c r="H6794" s="4" t="s">
        <v>304</v>
      </c>
      <c r="I6794" s="4">
        <v>1</v>
      </c>
      <c r="J6794" s="21">
        <v>6895</v>
      </c>
      <c r="K6794" s="21">
        <v>0</v>
      </c>
      <c r="L6794" s="5">
        <v>6895</v>
      </c>
      <c r="M6794" s="4"/>
      <c r="N6794" s="4"/>
      <c r="O6794" s="5"/>
      <c r="P6794" s="5"/>
      <c r="Q6794" s="116">
        <v>6895</v>
      </c>
      <c r="R6794" s="21">
        <v>0</v>
      </c>
      <c r="S6794" s="5">
        <f t="shared" si="427"/>
        <v>58970.85174969837</v>
      </c>
      <c r="T6794" cm="1">
        <f t="array" ref="T6794">IF(OR(B6794="MAL ALIMI", B6794="ÜRETİM GİRİŞ"), MIN(I6794, MAX(0, I6794 + SUM(SUMIFS($I$1:I6793, $C$1:C6793, C6794, $B$1:B6793, {"MAL ALIMI","ÜRETİM GİRİŞ"})) - VLOOKUP(C6794, 'STOK RAPORU'!$C$2:$I$1000, 4, 0))), 0)</f>
        <v>0</v>
      </c>
      <c r="U6794" s="22">
        <f t="shared" si="424"/>
        <v>0</v>
      </c>
      <c r="V6794">
        <f t="shared" si="425"/>
        <v>0</v>
      </c>
      <c r="W6794" s="22">
        <f t="shared" si="426"/>
        <v>0</v>
      </c>
    </row>
    <row r="6795" spans="1:23" hidden="1" x14ac:dyDescent="0.25">
      <c r="A6795" s="3">
        <v>46143</v>
      </c>
      <c r="B6795" s="4" t="s">
        <v>285</v>
      </c>
      <c r="C6795" s="4"/>
      <c r="D6795" s="4" t="s">
        <v>108</v>
      </c>
      <c r="E6795" s="4"/>
      <c r="F6795" s="4"/>
      <c r="G6795" s="4" t="s">
        <v>3269</v>
      </c>
      <c r="H6795" s="4" t="s">
        <v>289</v>
      </c>
      <c r="I6795" s="4">
        <v>1</v>
      </c>
      <c r="J6795" s="21">
        <v>22000</v>
      </c>
      <c r="K6795" s="21">
        <v>0</v>
      </c>
      <c r="L6795" s="5">
        <v>0</v>
      </c>
      <c r="M6795" s="4"/>
      <c r="N6795" s="4"/>
      <c r="O6795" s="5"/>
      <c r="P6795" s="5"/>
      <c r="Q6795" s="21">
        <v>0</v>
      </c>
      <c r="R6795" s="21">
        <v>22000</v>
      </c>
      <c r="S6795" s="5">
        <f t="shared" si="427"/>
        <v>36970.85174969837</v>
      </c>
      <c r="T6795" cm="1">
        <f t="array" ref="T6795">IF(OR(B6795="MAL ALIMI", B6795="ÜRETİM GİRİŞ"), MIN(I6795, MAX(0, I6795 + SUM(SUMIFS($I$1:I6794, $C$1:C6794, C6795, $B$1:B6794, {"MAL ALIMI","ÜRETİM GİRİŞ"})) - VLOOKUP(C6795, 'STOK RAPORU'!$C$2:$I$1000, 4, 0))), 0)</f>
        <v>0</v>
      </c>
      <c r="U6795" s="22">
        <f t="shared" si="424"/>
        <v>0</v>
      </c>
      <c r="V6795">
        <f t="shared" si="425"/>
        <v>0</v>
      </c>
      <c r="W6795" s="22">
        <f t="shared" si="426"/>
        <v>0</v>
      </c>
    </row>
    <row r="6796" spans="1:23" hidden="1" x14ac:dyDescent="0.25">
      <c r="A6796" s="3">
        <v>46144</v>
      </c>
      <c r="B6796" s="46" t="s">
        <v>298</v>
      </c>
      <c r="C6796" s="4" t="s">
        <v>455</v>
      </c>
      <c r="D6796" s="4"/>
      <c r="E6796" s="4" t="s">
        <v>350</v>
      </c>
      <c r="F6796" s="4">
        <v>1003408</v>
      </c>
      <c r="G6796" s="4" t="s">
        <v>350</v>
      </c>
      <c r="H6796" s="4" t="s">
        <v>304</v>
      </c>
      <c r="I6796" s="4">
        <v>5</v>
      </c>
      <c r="J6796" s="21">
        <v>30</v>
      </c>
      <c r="K6796" s="21">
        <v>0</v>
      </c>
      <c r="L6796" s="5">
        <v>150</v>
      </c>
      <c r="M6796" s="4"/>
      <c r="N6796" s="4"/>
      <c r="O6796" s="5"/>
      <c r="P6796" s="5"/>
      <c r="Q6796" s="21">
        <v>0</v>
      </c>
      <c r="R6796" s="21">
        <v>0</v>
      </c>
      <c r="S6796" s="5">
        <f t="shared" si="427"/>
        <v>36970.85174969837</v>
      </c>
      <c r="T6796" cm="1">
        <f t="array" ref="T6796">IF(OR(B6796="MAL ALIMI", B6796="ÜRETİM GİRİŞ"), MIN(I6796, MAX(0, I6796 + SUM(SUMIFS($I$1:I6795, $C$1:C6795, C6796, $B$1:B6795, {"MAL ALIMI","ÜRETİM GİRİŞ"})) - VLOOKUP(C6796, 'STOK RAPORU'!$C$2:$I$1000, 4, 0))), 0)</f>
        <v>3</v>
      </c>
      <c r="U6796" s="22">
        <f t="shared" si="424"/>
        <v>90</v>
      </c>
      <c r="V6796">
        <f t="shared" si="425"/>
        <v>150</v>
      </c>
      <c r="W6796" s="22">
        <f t="shared" si="426"/>
        <v>60</v>
      </c>
    </row>
    <row r="6797" spans="1:23" hidden="1" x14ac:dyDescent="0.25">
      <c r="A6797" s="3">
        <v>46144</v>
      </c>
      <c r="B6797" s="46" t="s">
        <v>298</v>
      </c>
      <c r="C6797" s="4" t="s">
        <v>456</v>
      </c>
      <c r="D6797" s="4"/>
      <c r="E6797" s="4" t="s">
        <v>350</v>
      </c>
      <c r="F6797" s="4">
        <v>1003408</v>
      </c>
      <c r="G6797" s="4" t="s">
        <v>350</v>
      </c>
      <c r="H6797" s="4" t="s">
        <v>304</v>
      </c>
      <c r="I6797" s="4">
        <v>5</v>
      </c>
      <c r="J6797" s="21">
        <v>25</v>
      </c>
      <c r="K6797" s="21">
        <v>0</v>
      </c>
      <c r="L6797" s="5">
        <v>125</v>
      </c>
      <c r="M6797" s="4"/>
      <c r="N6797" s="4"/>
      <c r="O6797" s="5"/>
      <c r="P6797" s="5"/>
      <c r="Q6797" s="21">
        <v>0</v>
      </c>
      <c r="R6797" s="21">
        <v>0</v>
      </c>
      <c r="S6797" s="5">
        <f t="shared" si="427"/>
        <v>36970.85174969837</v>
      </c>
      <c r="T6797" cm="1">
        <f t="array" ref="T6797">IF(OR(B6797="MAL ALIMI", B6797="ÜRETİM GİRİŞ"), MIN(I6797, MAX(0, I6797 + SUM(SUMIFS($I$1:I6796, $C$1:C6796, C6797, $B$1:B6796, {"MAL ALIMI","ÜRETİM GİRİŞ"})) - VLOOKUP(C6797, 'STOK RAPORU'!$C$2:$I$1000, 4, 0))), 0)</f>
        <v>3</v>
      </c>
      <c r="U6797" s="22">
        <f t="shared" si="424"/>
        <v>75</v>
      </c>
      <c r="V6797">
        <f t="shared" si="425"/>
        <v>125</v>
      </c>
      <c r="W6797" s="22">
        <f t="shared" si="426"/>
        <v>50</v>
      </c>
    </row>
    <row r="6798" spans="1:23" hidden="1" x14ac:dyDescent="0.25">
      <c r="A6798" s="3">
        <v>46144</v>
      </c>
      <c r="B6798" s="46" t="s">
        <v>298</v>
      </c>
      <c r="C6798" s="4" t="s">
        <v>264</v>
      </c>
      <c r="D6798" s="4"/>
      <c r="E6798" s="4" t="s">
        <v>350</v>
      </c>
      <c r="F6798" s="4">
        <v>1003408</v>
      </c>
      <c r="G6798" s="4" t="s">
        <v>350</v>
      </c>
      <c r="H6798" s="4" t="s">
        <v>304</v>
      </c>
      <c r="I6798" s="4">
        <v>5</v>
      </c>
      <c r="J6798" s="21">
        <v>95</v>
      </c>
      <c r="K6798" s="21">
        <v>0</v>
      </c>
      <c r="L6798" s="5">
        <v>475</v>
      </c>
      <c r="M6798" s="4"/>
      <c r="N6798" s="4"/>
      <c r="O6798" s="5"/>
      <c r="P6798" s="5"/>
      <c r="Q6798" s="21">
        <v>0</v>
      </c>
      <c r="R6798" s="21">
        <v>0</v>
      </c>
      <c r="S6798" s="5">
        <f t="shared" si="427"/>
        <v>36970.85174969837</v>
      </c>
      <c r="T6798" cm="1">
        <f t="array" ref="T6798">IF(OR(B6798="MAL ALIMI", B6798="ÜRETİM GİRİŞ"), MIN(I6798, MAX(0, I6798 + SUM(SUMIFS($I$1:I6797, $C$1:C6797, C6798, $B$1:B6797, {"MAL ALIMI","ÜRETİM GİRİŞ"})) - VLOOKUP(C6798, 'STOK RAPORU'!$C$2:$I$1000, 4, 0))), 0)</f>
        <v>5</v>
      </c>
      <c r="U6798" s="22">
        <f t="shared" si="424"/>
        <v>475</v>
      </c>
      <c r="V6798">
        <f t="shared" si="425"/>
        <v>475</v>
      </c>
      <c r="W6798" s="22">
        <f t="shared" si="426"/>
        <v>0</v>
      </c>
    </row>
    <row r="6799" spans="1:23" hidden="1" x14ac:dyDescent="0.25">
      <c r="A6799" s="3">
        <v>46144</v>
      </c>
      <c r="B6799" s="46" t="s">
        <v>298</v>
      </c>
      <c r="C6799" s="4" t="s">
        <v>238</v>
      </c>
      <c r="D6799" s="4"/>
      <c r="E6799" s="4" t="s">
        <v>350</v>
      </c>
      <c r="F6799" s="4">
        <v>1003408</v>
      </c>
      <c r="G6799" s="4" t="s">
        <v>350</v>
      </c>
      <c r="H6799" s="4" t="s">
        <v>304</v>
      </c>
      <c r="I6799" s="4">
        <v>1</v>
      </c>
      <c r="J6799" s="21">
        <v>375</v>
      </c>
      <c r="K6799" s="21">
        <v>0</v>
      </c>
      <c r="L6799" s="5">
        <v>375</v>
      </c>
      <c r="M6799" s="4"/>
      <c r="N6799" s="4"/>
      <c r="O6799" s="5"/>
      <c r="P6799" s="5"/>
      <c r="Q6799" s="21">
        <v>0</v>
      </c>
      <c r="R6799" s="21">
        <v>0</v>
      </c>
      <c r="S6799" s="5">
        <f t="shared" si="427"/>
        <v>36970.85174969837</v>
      </c>
      <c r="T6799" cm="1">
        <f t="array" ref="T6799">IF(OR(B6799="MAL ALIMI", B6799="ÜRETİM GİRİŞ"), MIN(I6799, MAX(0, I6799 + SUM(SUMIFS($I$1:I6798, $C$1:C6798, C6799, $B$1:B6798, {"MAL ALIMI","ÜRETİM GİRİŞ"})) - VLOOKUP(C6799, 'STOK RAPORU'!$C$2:$I$1000, 4, 0))), 0)</f>
        <v>0.44599999999999884</v>
      </c>
      <c r="U6799" s="22">
        <f t="shared" si="424"/>
        <v>167.24999999999957</v>
      </c>
      <c r="V6799">
        <f t="shared" si="425"/>
        <v>375</v>
      </c>
      <c r="W6799" s="22">
        <f t="shared" si="426"/>
        <v>207.75000000000043</v>
      </c>
    </row>
    <row r="6800" spans="1:23" hidden="1" x14ac:dyDescent="0.25">
      <c r="A6800" s="3">
        <v>46144</v>
      </c>
      <c r="B6800" s="46" t="s">
        <v>334</v>
      </c>
      <c r="C6800" s="4" t="s">
        <v>1897</v>
      </c>
      <c r="D6800" s="4"/>
      <c r="E6800" s="4" t="s">
        <v>921</v>
      </c>
      <c r="F6800" s="46" t="s">
        <v>3276</v>
      </c>
      <c r="G6800" s="4" t="s">
        <v>336</v>
      </c>
      <c r="H6800" s="4" t="s">
        <v>380</v>
      </c>
      <c r="I6800" s="4">
        <v>1</v>
      </c>
      <c r="J6800" s="21">
        <v>300</v>
      </c>
      <c r="K6800" s="21">
        <v>300</v>
      </c>
      <c r="L6800" s="5">
        <v>0</v>
      </c>
      <c r="M6800" s="4"/>
      <c r="N6800" s="4"/>
      <c r="O6800" s="5"/>
      <c r="P6800" s="5"/>
      <c r="Q6800" s="21">
        <v>0</v>
      </c>
      <c r="R6800" s="21">
        <v>0</v>
      </c>
      <c r="S6800" s="5">
        <f t="shared" si="427"/>
        <v>36970.85174969837</v>
      </c>
      <c r="T6800" cm="1">
        <f t="array" ref="T6800">IF(OR(B6800="MAL ALIMI", B6800="ÜRETİM GİRİŞ"), MIN(I6800, MAX(0, I6800 + SUM(SUMIFS($I$1:I6799, $C$1:C6799, C6800, $B$1:B6799, {"MAL ALIMI","ÜRETİM GİRİŞ"})) - VLOOKUP(C6800, 'STOK RAPORU'!$C$2:$I$1000, 4, 0))), 0)</f>
        <v>0</v>
      </c>
      <c r="U6800" s="22">
        <f t="shared" si="424"/>
        <v>0</v>
      </c>
      <c r="V6800">
        <f t="shared" si="425"/>
        <v>0</v>
      </c>
      <c r="W6800" s="22">
        <f t="shared" si="426"/>
        <v>0</v>
      </c>
    </row>
    <row r="6801" spans="1:23" hidden="1" x14ac:dyDescent="0.25">
      <c r="A6801" s="3">
        <v>46144</v>
      </c>
      <c r="B6801" s="46" t="s">
        <v>334</v>
      </c>
      <c r="C6801" s="4" t="s">
        <v>158</v>
      </c>
      <c r="D6801" s="4"/>
      <c r="E6801" s="4"/>
      <c r="F6801" s="46" t="s">
        <v>3276</v>
      </c>
      <c r="G6801" s="4" t="s">
        <v>336</v>
      </c>
      <c r="H6801" s="4" t="s">
        <v>289</v>
      </c>
      <c r="I6801" s="4">
        <v>0.66666666666666663</v>
      </c>
      <c r="J6801" s="21">
        <v>150</v>
      </c>
      <c r="K6801" s="21">
        <v>0</v>
      </c>
      <c r="L6801" s="5">
        <v>0</v>
      </c>
      <c r="M6801" s="4"/>
      <c r="N6801" s="4"/>
      <c r="O6801" s="5"/>
      <c r="P6801" s="5"/>
      <c r="Q6801" s="21">
        <v>100</v>
      </c>
      <c r="R6801" s="21">
        <v>0</v>
      </c>
      <c r="S6801" s="5">
        <f t="shared" si="427"/>
        <v>37070.85174969837</v>
      </c>
      <c r="T6801" cm="1">
        <f t="array" ref="T6801">IF(OR(B6801="MAL ALIMI", B6801="ÜRETİM GİRİŞ"), MIN(I6801, MAX(0, I6801 + SUM(SUMIFS($I$1:I6800, $C$1:C6800, C6801, $B$1:B6800, {"MAL ALIMI","ÜRETİM GİRİŞ"})) - VLOOKUP(C6801, 'STOK RAPORU'!$C$2:$I$1000, 4, 0))), 0)</f>
        <v>0</v>
      </c>
      <c r="U6801" s="22">
        <f t="shared" si="424"/>
        <v>0</v>
      </c>
      <c r="V6801">
        <f t="shared" si="425"/>
        <v>0</v>
      </c>
      <c r="W6801" s="22">
        <f t="shared" si="426"/>
        <v>0</v>
      </c>
    </row>
    <row r="6802" spans="1:23" hidden="1" x14ac:dyDescent="0.25">
      <c r="A6802" s="3">
        <v>46144</v>
      </c>
      <c r="B6802" s="46" t="s">
        <v>334</v>
      </c>
      <c r="C6802" s="4" t="s">
        <v>157</v>
      </c>
      <c r="D6802" s="4"/>
      <c r="E6802" s="4" t="s">
        <v>921</v>
      </c>
      <c r="F6802" s="46" t="s">
        <v>3277</v>
      </c>
      <c r="G6802" s="4" t="s">
        <v>336</v>
      </c>
      <c r="H6802" s="4" t="s">
        <v>380</v>
      </c>
      <c r="I6802" s="4">
        <v>1</v>
      </c>
      <c r="J6802" s="21">
        <v>200</v>
      </c>
      <c r="K6802" s="21">
        <v>200</v>
      </c>
      <c r="L6802" s="5">
        <v>0</v>
      </c>
      <c r="M6802" s="4"/>
      <c r="N6802" s="4"/>
      <c r="O6802" s="5"/>
      <c r="P6802" s="5"/>
      <c r="Q6802" s="21">
        <v>0</v>
      </c>
      <c r="R6802" s="21">
        <v>0</v>
      </c>
      <c r="S6802" s="5">
        <f t="shared" si="427"/>
        <v>37070.85174969837</v>
      </c>
      <c r="T6802" cm="1">
        <f t="array" ref="T6802">IF(OR(B6802="MAL ALIMI", B6802="ÜRETİM GİRİŞ"), MIN(I6802, MAX(0, I6802 + SUM(SUMIFS($I$1:I6801, $C$1:C6801, C6802, $B$1:B6801, {"MAL ALIMI","ÜRETİM GİRİŞ"})) - VLOOKUP(C6802, 'STOK RAPORU'!$C$2:$I$1000, 4, 0))), 0)</f>
        <v>0</v>
      </c>
      <c r="U6802" s="22">
        <f t="shared" si="424"/>
        <v>0</v>
      </c>
      <c r="V6802">
        <f t="shared" si="425"/>
        <v>0</v>
      </c>
      <c r="W6802" s="22">
        <f t="shared" si="426"/>
        <v>0</v>
      </c>
    </row>
    <row r="6803" spans="1:23" hidden="1" x14ac:dyDescent="0.25">
      <c r="A6803" s="3">
        <v>46144</v>
      </c>
      <c r="B6803" s="46" t="s">
        <v>334</v>
      </c>
      <c r="C6803" s="4" t="s">
        <v>158</v>
      </c>
      <c r="D6803" s="4"/>
      <c r="E6803" s="4" t="s">
        <v>921</v>
      </c>
      <c r="F6803" s="46" t="s">
        <v>3277</v>
      </c>
      <c r="G6803" s="4" t="s">
        <v>336</v>
      </c>
      <c r="H6803" s="4" t="s">
        <v>380</v>
      </c>
      <c r="I6803" s="4">
        <v>1</v>
      </c>
      <c r="J6803" s="21">
        <v>150</v>
      </c>
      <c r="K6803" s="21">
        <v>150</v>
      </c>
      <c r="L6803" s="5">
        <v>0</v>
      </c>
      <c r="M6803" s="4"/>
      <c r="N6803" s="4"/>
      <c r="O6803" s="5"/>
      <c r="P6803" s="5"/>
      <c r="Q6803" s="21">
        <v>0</v>
      </c>
      <c r="R6803" s="21">
        <v>0</v>
      </c>
      <c r="S6803" s="5">
        <f t="shared" si="427"/>
        <v>37070.85174969837</v>
      </c>
      <c r="T6803" cm="1">
        <f t="array" ref="T6803">IF(OR(B6803="MAL ALIMI", B6803="ÜRETİM GİRİŞ"), MIN(I6803, MAX(0, I6803 + SUM(SUMIFS($I$1:I6802, $C$1:C6802, C6803, $B$1:B6802, {"MAL ALIMI","ÜRETİM GİRİŞ"})) - VLOOKUP(C6803, 'STOK RAPORU'!$C$2:$I$1000, 4, 0))), 0)</f>
        <v>0</v>
      </c>
      <c r="U6803" s="22">
        <f t="shared" si="424"/>
        <v>0</v>
      </c>
      <c r="V6803">
        <f t="shared" si="425"/>
        <v>0</v>
      </c>
      <c r="W6803" s="22">
        <f t="shared" si="426"/>
        <v>0</v>
      </c>
    </row>
    <row r="6804" spans="1:23" hidden="1" x14ac:dyDescent="0.25">
      <c r="A6804" s="3">
        <v>46144</v>
      </c>
      <c r="B6804" s="46" t="s">
        <v>334</v>
      </c>
      <c r="C6804" s="4" t="s">
        <v>2243</v>
      </c>
      <c r="D6804" s="4"/>
      <c r="E6804" s="4" t="s">
        <v>921</v>
      </c>
      <c r="F6804" s="46" t="s">
        <v>3277</v>
      </c>
      <c r="G6804" s="4" t="s">
        <v>336</v>
      </c>
      <c r="H6804" s="4" t="s">
        <v>380</v>
      </c>
      <c r="I6804" s="4">
        <v>0.1</v>
      </c>
      <c r="J6804" s="21">
        <v>520</v>
      </c>
      <c r="K6804" s="21">
        <v>52</v>
      </c>
      <c r="L6804" s="5">
        <v>0</v>
      </c>
      <c r="M6804" s="4"/>
      <c r="N6804" s="4"/>
      <c r="O6804" s="5"/>
      <c r="P6804" s="5"/>
      <c r="Q6804" s="21">
        <v>0</v>
      </c>
      <c r="R6804" s="21">
        <v>0</v>
      </c>
      <c r="S6804" s="5">
        <f t="shared" si="427"/>
        <v>37070.85174969837</v>
      </c>
      <c r="T6804" cm="1">
        <f t="array" ref="T6804">IF(OR(B6804="MAL ALIMI", B6804="ÜRETİM GİRİŞ"), MIN(I6804, MAX(0, I6804 + SUM(SUMIFS($I$1:I6803, $C$1:C6803, C6804, $B$1:B6803, {"MAL ALIMI","ÜRETİM GİRİŞ"})) - VLOOKUP(C6804, 'STOK RAPORU'!$C$2:$I$1000, 4, 0))), 0)</f>
        <v>0</v>
      </c>
      <c r="U6804" s="22">
        <f t="shared" si="424"/>
        <v>0</v>
      </c>
      <c r="V6804">
        <f t="shared" si="425"/>
        <v>0</v>
      </c>
      <c r="W6804" s="22">
        <f t="shared" si="426"/>
        <v>0</v>
      </c>
    </row>
    <row r="6805" spans="1:23" hidden="1" x14ac:dyDescent="0.25">
      <c r="A6805" s="3">
        <v>46144</v>
      </c>
      <c r="B6805" s="46" t="s">
        <v>334</v>
      </c>
      <c r="C6805" s="4" t="s">
        <v>207</v>
      </c>
      <c r="D6805" s="4"/>
      <c r="E6805" s="4" t="s">
        <v>921</v>
      </c>
      <c r="F6805" s="46" t="s">
        <v>3277</v>
      </c>
      <c r="G6805" s="4" t="s">
        <v>336</v>
      </c>
      <c r="H6805" s="4" t="s">
        <v>380</v>
      </c>
      <c r="I6805" s="4">
        <v>0.5</v>
      </c>
      <c r="J6805" s="21">
        <v>140</v>
      </c>
      <c r="K6805" s="21">
        <v>70</v>
      </c>
      <c r="L6805" s="5">
        <v>0</v>
      </c>
      <c r="M6805" s="4"/>
      <c r="N6805" s="4"/>
      <c r="O6805" s="5"/>
      <c r="P6805" s="5"/>
      <c r="Q6805" s="21">
        <v>0</v>
      </c>
      <c r="R6805" s="21">
        <v>0</v>
      </c>
      <c r="S6805" s="5">
        <f t="shared" si="427"/>
        <v>37070.85174969837</v>
      </c>
      <c r="T6805" cm="1">
        <f t="array" ref="T6805">IF(OR(B6805="MAL ALIMI", B6805="ÜRETİM GİRİŞ"), MIN(I6805, MAX(0, I6805 + SUM(SUMIFS($I$1:I6804, $C$1:C6804, C6805, $B$1:B6804, {"MAL ALIMI","ÜRETİM GİRİŞ"})) - VLOOKUP(C6805, 'STOK RAPORU'!$C$2:$I$1000, 4, 0))), 0)</f>
        <v>0</v>
      </c>
      <c r="U6805" s="22">
        <f t="shared" si="424"/>
        <v>0</v>
      </c>
      <c r="V6805">
        <f t="shared" si="425"/>
        <v>0</v>
      </c>
      <c r="W6805" s="22">
        <f t="shared" si="426"/>
        <v>0</v>
      </c>
    </row>
    <row r="6806" spans="1:23" hidden="1" x14ac:dyDescent="0.25">
      <c r="A6806" s="3">
        <v>46144</v>
      </c>
      <c r="B6806" s="46" t="s">
        <v>334</v>
      </c>
      <c r="C6806" s="4" t="s">
        <v>133</v>
      </c>
      <c r="D6806" s="4"/>
      <c r="E6806" s="4" t="s">
        <v>921</v>
      </c>
      <c r="F6806" s="46" t="s">
        <v>3277</v>
      </c>
      <c r="G6806" s="4" t="s">
        <v>336</v>
      </c>
      <c r="H6806" s="4" t="s">
        <v>380</v>
      </c>
      <c r="I6806" s="4">
        <v>0.24</v>
      </c>
      <c r="J6806" s="21">
        <v>400</v>
      </c>
      <c r="K6806" s="21">
        <v>96</v>
      </c>
      <c r="L6806" s="5">
        <v>0</v>
      </c>
      <c r="M6806" s="4"/>
      <c r="N6806" s="4"/>
      <c r="O6806" s="5"/>
      <c r="P6806" s="5"/>
      <c r="Q6806" s="21">
        <v>0</v>
      </c>
      <c r="R6806" s="21">
        <v>0</v>
      </c>
      <c r="S6806" s="5">
        <f t="shared" si="427"/>
        <v>37070.85174969837</v>
      </c>
      <c r="T6806" cm="1">
        <f t="array" ref="T6806">IF(OR(B6806="MAL ALIMI", B6806="ÜRETİM GİRİŞ"), MIN(I6806, MAX(0, I6806 + SUM(SUMIFS($I$1:I6805, $C$1:C6805, C6806, $B$1:B6805, {"MAL ALIMI","ÜRETİM GİRİŞ"})) - VLOOKUP(C6806, 'STOK RAPORU'!$C$2:$I$1000, 4, 0))), 0)</f>
        <v>0</v>
      </c>
      <c r="U6806" s="22">
        <f t="shared" si="424"/>
        <v>0</v>
      </c>
      <c r="V6806">
        <f t="shared" si="425"/>
        <v>0</v>
      </c>
      <c r="W6806" s="22">
        <f t="shared" si="426"/>
        <v>0</v>
      </c>
    </row>
    <row r="6807" spans="1:23" hidden="1" x14ac:dyDescent="0.25">
      <c r="A6807" s="3">
        <v>46144</v>
      </c>
      <c r="B6807" s="46" t="s">
        <v>334</v>
      </c>
      <c r="C6807" s="4" t="s">
        <v>160</v>
      </c>
      <c r="D6807" s="4"/>
      <c r="E6807" s="4" t="s">
        <v>921</v>
      </c>
      <c r="F6807" s="46" t="s">
        <v>3278</v>
      </c>
      <c r="G6807" s="4" t="s">
        <v>336</v>
      </c>
      <c r="H6807" s="4" t="s">
        <v>380</v>
      </c>
      <c r="I6807" s="4">
        <v>1</v>
      </c>
      <c r="J6807" s="21">
        <v>250</v>
      </c>
      <c r="K6807" s="21">
        <v>250</v>
      </c>
      <c r="L6807" s="5">
        <v>0</v>
      </c>
      <c r="M6807" s="4"/>
      <c r="N6807" s="4"/>
      <c r="O6807" s="5"/>
      <c r="P6807" s="5"/>
      <c r="Q6807" s="21">
        <v>0</v>
      </c>
      <c r="R6807" s="21">
        <v>0</v>
      </c>
      <c r="S6807" s="5">
        <f t="shared" si="427"/>
        <v>37070.85174969837</v>
      </c>
      <c r="T6807" cm="1">
        <f t="array" ref="T6807">IF(OR(B6807="MAL ALIMI", B6807="ÜRETİM GİRİŞ"), MIN(I6807, MAX(0, I6807 + SUM(SUMIFS($I$1:I6806, $C$1:C6806, C6807, $B$1:B6806, {"MAL ALIMI","ÜRETİM GİRİŞ"})) - VLOOKUP(C6807, 'STOK RAPORU'!$C$2:$I$1000, 4, 0))), 0)</f>
        <v>0</v>
      </c>
      <c r="U6807" s="22">
        <f t="shared" si="424"/>
        <v>0</v>
      </c>
      <c r="V6807">
        <f t="shared" si="425"/>
        <v>0</v>
      </c>
      <c r="W6807" s="22">
        <f t="shared" si="426"/>
        <v>0</v>
      </c>
    </row>
    <row r="6808" spans="1:23" hidden="1" x14ac:dyDescent="0.25">
      <c r="A6808" s="3">
        <v>46144</v>
      </c>
      <c r="B6808" s="46" t="s">
        <v>334</v>
      </c>
      <c r="C6808" s="4" t="s">
        <v>161</v>
      </c>
      <c r="D6808" s="4"/>
      <c r="E6808" s="4" t="s">
        <v>921</v>
      </c>
      <c r="F6808" s="46" t="s">
        <v>3278</v>
      </c>
      <c r="G6808" s="4" t="s">
        <v>336</v>
      </c>
      <c r="H6808" s="4" t="s">
        <v>380</v>
      </c>
      <c r="I6808" s="4">
        <v>1</v>
      </c>
      <c r="J6808" s="21">
        <v>250</v>
      </c>
      <c r="K6808" s="21">
        <v>250</v>
      </c>
      <c r="L6808" s="5">
        <v>0</v>
      </c>
      <c r="M6808" s="4"/>
      <c r="N6808" s="4"/>
      <c r="O6808" s="5"/>
      <c r="P6808" s="5"/>
      <c r="Q6808" s="21">
        <v>0</v>
      </c>
      <c r="R6808" s="21">
        <v>0</v>
      </c>
      <c r="S6808" s="5">
        <f t="shared" si="427"/>
        <v>37070.85174969837</v>
      </c>
      <c r="T6808" cm="1">
        <f t="array" ref="T6808">IF(OR(B6808="MAL ALIMI", B6808="ÜRETİM GİRİŞ"), MIN(I6808, MAX(0, I6808 + SUM(SUMIFS($I$1:I6807, $C$1:C6807, C6808, $B$1:B6807, {"MAL ALIMI","ÜRETİM GİRİŞ"})) - VLOOKUP(C6808, 'STOK RAPORU'!$C$2:$I$1000, 4, 0))), 0)</f>
        <v>0</v>
      </c>
      <c r="U6808" s="22">
        <f t="shared" si="424"/>
        <v>0</v>
      </c>
      <c r="V6808">
        <f t="shared" si="425"/>
        <v>0</v>
      </c>
      <c r="W6808" s="22">
        <f t="shared" si="426"/>
        <v>0</v>
      </c>
    </row>
    <row r="6809" spans="1:23" hidden="1" x14ac:dyDescent="0.25">
      <c r="A6809" s="3">
        <v>46144</v>
      </c>
      <c r="B6809" s="46" t="s">
        <v>334</v>
      </c>
      <c r="C6809" s="4" t="s">
        <v>133</v>
      </c>
      <c r="D6809" s="4"/>
      <c r="E6809" s="4" t="s">
        <v>921</v>
      </c>
      <c r="F6809" s="46" t="s">
        <v>3279</v>
      </c>
      <c r="G6809" s="4" t="s">
        <v>336</v>
      </c>
      <c r="H6809" s="4" t="s">
        <v>380</v>
      </c>
      <c r="I6809" s="4">
        <v>0.40500000000000003</v>
      </c>
      <c r="J6809" s="21">
        <v>400</v>
      </c>
      <c r="K6809" s="21">
        <v>162</v>
      </c>
      <c r="L6809" s="5">
        <v>0</v>
      </c>
      <c r="M6809" s="4"/>
      <c r="N6809" s="4"/>
      <c r="O6809" s="5"/>
      <c r="P6809" s="5"/>
      <c r="Q6809" s="21">
        <v>0</v>
      </c>
      <c r="R6809" s="21">
        <v>0</v>
      </c>
      <c r="S6809" s="5">
        <f t="shared" si="427"/>
        <v>37070.85174969837</v>
      </c>
      <c r="T6809" cm="1">
        <f t="array" ref="T6809">IF(OR(B6809="MAL ALIMI", B6809="ÜRETİM GİRİŞ"), MIN(I6809, MAX(0, I6809 + SUM(SUMIFS($I$1:I6808, $C$1:C6808, C6809, $B$1:B6808, {"MAL ALIMI","ÜRETİM GİRİŞ"})) - VLOOKUP(C6809, 'STOK RAPORU'!$C$2:$I$1000, 4, 0))), 0)</f>
        <v>0</v>
      </c>
      <c r="U6809" s="22">
        <f t="shared" si="424"/>
        <v>0</v>
      </c>
      <c r="V6809">
        <f t="shared" si="425"/>
        <v>0</v>
      </c>
      <c r="W6809" s="22">
        <f t="shared" si="426"/>
        <v>0</v>
      </c>
    </row>
    <row r="6810" spans="1:23" hidden="1" x14ac:dyDescent="0.25">
      <c r="A6810" s="3">
        <v>46144</v>
      </c>
      <c r="B6810" s="46" t="s">
        <v>334</v>
      </c>
      <c r="C6810" s="4" t="s">
        <v>132</v>
      </c>
      <c r="D6810" s="4"/>
      <c r="E6810" s="4" t="s">
        <v>921</v>
      </c>
      <c r="F6810" s="46" t="s">
        <v>3279</v>
      </c>
      <c r="G6810" s="4" t="s">
        <v>336</v>
      </c>
      <c r="H6810" s="4" t="s">
        <v>380</v>
      </c>
      <c r="I6810" s="4">
        <v>0.13600000000000001</v>
      </c>
      <c r="J6810" s="21">
        <v>500</v>
      </c>
      <c r="K6810" s="21">
        <v>68</v>
      </c>
      <c r="L6810" s="5">
        <v>0</v>
      </c>
      <c r="M6810" s="4"/>
      <c r="N6810" s="4"/>
      <c r="O6810" s="5"/>
      <c r="P6810" s="5"/>
      <c r="Q6810" s="21">
        <v>0</v>
      </c>
      <c r="R6810" s="21">
        <v>0</v>
      </c>
      <c r="S6810" s="5">
        <f t="shared" si="427"/>
        <v>37070.85174969837</v>
      </c>
      <c r="T6810" cm="1">
        <f t="array" ref="T6810">IF(OR(B6810="MAL ALIMI", B6810="ÜRETİM GİRİŞ"), MIN(I6810, MAX(0, I6810 + SUM(SUMIFS($I$1:I6809, $C$1:C6809, C6810, $B$1:B6809, {"MAL ALIMI","ÜRETİM GİRİŞ"})) - VLOOKUP(C6810, 'STOK RAPORU'!$C$2:$I$1000, 4, 0))), 0)</f>
        <v>0</v>
      </c>
      <c r="U6810" s="22">
        <f t="shared" si="424"/>
        <v>0</v>
      </c>
      <c r="V6810">
        <f t="shared" si="425"/>
        <v>0</v>
      </c>
      <c r="W6810" s="22">
        <f t="shared" si="426"/>
        <v>0</v>
      </c>
    </row>
    <row r="6811" spans="1:23" hidden="1" x14ac:dyDescent="0.25">
      <c r="A6811" s="3">
        <v>46144</v>
      </c>
      <c r="B6811" s="46" t="s">
        <v>334</v>
      </c>
      <c r="C6811" s="4" t="s">
        <v>1501</v>
      </c>
      <c r="D6811" s="4"/>
      <c r="E6811" s="4" t="s">
        <v>921</v>
      </c>
      <c r="F6811" s="46" t="s">
        <v>3279</v>
      </c>
      <c r="G6811" s="4" t="s">
        <v>336</v>
      </c>
      <c r="H6811" s="4" t="s">
        <v>380</v>
      </c>
      <c r="I6811" s="4">
        <v>0.25</v>
      </c>
      <c r="J6811" s="21">
        <v>700</v>
      </c>
      <c r="K6811" s="21">
        <v>175</v>
      </c>
      <c r="L6811" s="5">
        <v>0</v>
      </c>
      <c r="M6811" s="4"/>
      <c r="N6811" s="4"/>
      <c r="O6811" s="5"/>
      <c r="P6811" s="5"/>
      <c r="Q6811" s="21">
        <v>0</v>
      </c>
      <c r="R6811" s="21">
        <v>0</v>
      </c>
      <c r="S6811" s="5">
        <f t="shared" si="427"/>
        <v>37070.85174969837</v>
      </c>
      <c r="T6811" cm="1">
        <f t="array" ref="T6811">IF(OR(B6811="MAL ALIMI", B6811="ÜRETİM GİRİŞ"), MIN(I6811, MAX(0, I6811 + SUM(SUMIFS($I$1:I6810, $C$1:C6810, C6811, $B$1:B6810, {"MAL ALIMI","ÜRETİM GİRİŞ"})) - VLOOKUP(C6811, 'STOK RAPORU'!$C$2:$I$1000, 4, 0))), 0)</f>
        <v>0</v>
      </c>
      <c r="U6811" s="22">
        <f t="shared" si="424"/>
        <v>0</v>
      </c>
      <c r="V6811">
        <f t="shared" si="425"/>
        <v>0</v>
      </c>
      <c r="W6811" s="22">
        <f t="shared" si="426"/>
        <v>0</v>
      </c>
    </row>
    <row r="6812" spans="1:23" hidden="1" x14ac:dyDescent="0.25">
      <c r="A6812" s="3">
        <v>46144</v>
      </c>
      <c r="B6812" s="46" t="s">
        <v>334</v>
      </c>
      <c r="C6812" s="4" t="s">
        <v>2243</v>
      </c>
      <c r="D6812" s="4"/>
      <c r="E6812" s="4" t="s">
        <v>921</v>
      </c>
      <c r="F6812" s="46" t="s">
        <v>3279</v>
      </c>
      <c r="G6812" s="4" t="s">
        <v>336</v>
      </c>
      <c r="H6812" s="4" t="s">
        <v>380</v>
      </c>
      <c r="I6812" s="4">
        <v>0.20961538461538462</v>
      </c>
      <c r="J6812" s="21">
        <v>520</v>
      </c>
      <c r="K6812" s="21">
        <v>109</v>
      </c>
      <c r="L6812" s="5">
        <v>0</v>
      </c>
      <c r="M6812" s="4"/>
      <c r="N6812" s="4"/>
      <c r="O6812" s="5"/>
      <c r="P6812" s="5"/>
      <c r="Q6812" s="21">
        <v>0</v>
      </c>
      <c r="R6812" s="21">
        <v>0</v>
      </c>
      <c r="S6812" s="5">
        <f t="shared" si="427"/>
        <v>37070.85174969837</v>
      </c>
      <c r="T6812" cm="1">
        <f t="array" ref="T6812">IF(OR(B6812="MAL ALIMI", B6812="ÜRETİM GİRİŞ"), MIN(I6812, MAX(0, I6812 + SUM(SUMIFS($I$1:I6811, $C$1:C6811, C6812, $B$1:B6811, {"MAL ALIMI","ÜRETİM GİRİŞ"})) - VLOOKUP(C6812, 'STOK RAPORU'!$C$2:$I$1000, 4, 0))), 0)</f>
        <v>0</v>
      </c>
      <c r="U6812" s="22">
        <f t="shared" si="424"/>
        <v>0</v>
      </c>
      <c r="V6812">
        <f t="shared" si="425"/>
        <v>0</v>
      </c>
      <c r="W6812" s="22">
        <f t="shared" si="426"/>
        <v>0</v>
      </c>
    </row>
    <row r="6813" spans="1:23" hidden="1" x14ac:dyDescent="0.25">
      <c r="A6813" s="3">
        <v>46144</v>
      </c>
      <c r="B6813" s="46" t="s">
        <v>334</v>
      </c>
      <c r="C6813" s="4" t="s">
        <v>157</v>
      </c>
      <c r="D6813" s="4"/>
      <c r="E6813" s="4" t="s">
        <v>921</v>
      </c>
      <c r="F6813" s="46" t="s">
        <v>3279</v>
      </c>
      <c r="G6813" s="4" t="s">
        <v>336</v>
      </c>
      <c r="H6813" s="4" t="s">
        <v>380</v>
      </c>
      <c r="I6813" s="4">
        <v>1</v>
      </c>
      <c r="J6813" s="21">
        <v>200</v>
      </c>
      <c r="K6813" s="21">
        <v>200</v>
      </c>
      <c r="L6813" s="5">
        <v>0</v>
      </c>
      <c r="M6813" s="4"/>
      <c r="N6813" s="4"/>
      <c r="O6813" s="5"/>
      <c r="P6813" s="5"/>
      <c r="Q6813" s="21">
        <v>0</v>
      </c>
      <c r="R6813" s="21">
        <v>0</v>
      </c>
      <c r="S6813" s="5">
        <f t="shared" si="427"/>
        <v>37070.85174969837</v>
      </c>
      <c r="T6813" cm="1">
        <f t="array" ref="T6813">IF(OR(B6813="MAL ALIMI", B6813="ÜRETİM GİRİŞ"), MIN(I6813, MAX(0, I6813 + SUM(SUMIFS($I$1:I6812, $C$1:C6812, C6813, $B$1:B6812, {"MAL ALIMI","ÜRETİM GİRİŞ"})) - VLOOKUP(C6813, 'STOK RAPORU'!$C$2:$I$1000, 4, 0))), 0)</f>
        <v>0</v>
      </c>
      <c r="U6813" s="22">
        <f t="shared" si="424"/>
        <v>0</v>
      </c>
      <c r="V6813">
        <f t="shared" si="425"/>
        <v>0</v>
      </c>
      <c r="W6813" s="22">
        <f t="shared" si="426"/>
        <v>0</v>
      </c>
    </row>
    <row r="6814" spans="1:23" hidden="1" x14ac:dyDescent="0.25">
      <c r="A6814" s="3">
        <v>46144</v>
      </c>
      <c r="B6814" s="46" t="s">
        <v>334</v>
      </c>
      <c r="C6814" s="4" t="s">
        <v>160</v>
      </c>
      <c r="D6814" s="4"/>
      <c r="E6814" s="4" t="s">
        <v>921</v>
      </c>
      <c r="F6814" s="46" t="s">
        <v>3279</v>
      </c>
      <c r="G6814" s="4" t="s">
        <v>336</v>
      </c>
      <c r="H6814" s="4" t="s">
        <v>380</v>
      </c>
      <c r="I6814" s="4">
        <v>1</v>
      </c>
      <c r="J6814" s="21">
        <v>250</v>
      </c>
      <c r="K6814" s="21">
        <v>250</v>
      </c>
      <c r="L6814" s="5">
        <v>0</v>
      </c>
      <c r="M6814" s="4"/>
      <c r="N6814" s="4"/>
      <c r="O6814" s="5"/>
      <c r="P6814" s="5"/>
      <c r="Q6814" s="21">
        <v>0</v>
      </c>
      <c r="R6814" s="21">
        <v>0</v>
      </c>
      <c r="S6814" s="5">
        <f t="shared" si="427"/>
        <v>37070.85174969837</v>
      </c>
      <c r="T6814" cm="1">
        <f t="array" ref="T6814">IF(OR(B6814="MAL ALIMI", B6814="ÜRETİM GİRİŞ"), MIN(I6814, MAX(0, I6814 + SUM(SUMIFS($I$1:I6813, $C$1:C6813, C6814, $B$1:B6813, {"MAL ALIMI","ÜRETİM GİRİŞ"})) - VLOOKUP(C6814, 'STOK RAPORU'!$C$2:$I$1000, 4, 0))), 0)</f>
        <v>0</v>
      </c>
      <c r="U6814" s="22">
        <f t="shared" si="424"/>
        <v>0</v>
      </c>
      <c r="V6814">
        <f t="shared" si="425"/>
        <v>0</v>
      </c>
      <c r="W6814" s="22">
        <f t="shared" si="426"/>
        <v>0</v>
      </c>
    </row>
    <row r="6815" spans="1:23" hidden="1" x14ac:dyDescent="0.25">
      <c r="A6815" s="3">
        <v>46144</v>
      </c>
      <c r="B6815" s="46" t="s">
        <v>334</v>
      </c>
      <c r="C6815" s="4" t="s">
        <v>161</v>
      </c>
      <c r="D6815" s="4"/>
      <c r="E6815" s="4" t="s">
        <v>921</v>
      </c>
      <c r="F6815" s="46" t="s">
        <v>3279</v>
      </c>
      <c r="G6815" s="4" t="s">
        <v>336</v>
      </c>
      <c r="H6815" s="4" t="s">
        <v>380</v>
      </c>
      <c r="I6815" s="4">
        <v>1</v>
      </c>
      <c r="J6815" s="21">
        <v>250</v>
      </c>
      <c r="K6815" s="21">
        <v>250</v>
      </c>
      <c r="L6815" s="5">
        <v>0</v>
      </c>
      <c r="M6815" s="4"/>
      <c r="N6815" s="4"/>
      <c r="O6815" s="5"/>
      <c r="P6815" s="5"/>
      <c r="Q6815" s="21">
        <v>0</v>
      </c>
      <c r="R6815" s="21">
        <v>0</v>
      </c>
      <c r="S6815" s="5">
        <f t="shared" si="427"/>
        <v>37070.85174969837</v>
      </c>
      <c r="T6815" cm="1">
        <f t="array" ref="T6815">IF(OR(B6815="MAL ALIMI", B6815="ÜRETİM GİRİŞ"), MIN(I6815, MAX(0, I6815 + SUM(SUMIFS($I$1:I6814, $C$1:C6814, C6815, $B$1:B6814, {"MAL ALIMI","ÜRETİM GİRİŞ"})) - VLOOKUP(C6815, 'STOK RAPORU'!$C$2:$I$1000, 4, 0))), 0)</f>
        <v>0</v>
      </c>
      <c r="U6815" s="22">
        <f t="shared" si="424"/>
        <v>0</v>
      </c>
      <c r="V6815">
        <f t="shared" si="425"/>
        <v>0</v>
      </c>
      <c r="W6815" s="22">
        <f t="shared" si="426"/>
        <v>0</v>
      </c>
    </row>
    <row r="6816" spans="1:23" hidden="1" x14ac:dyDescent="0.25">
      <c r="A6816" s="3">
        <v>46144</v>
      </c>
      <c r="B6816" s="46" t="s">
        <v>334</v>
      </c>
      <c r="C6816" s="4" t="s">
        <v>140</v>
      </c>
      <c r="D6816" s="4"/>
      <c r="E6816" s="4"/>
      <c r="F6816" s="46" t="s">
        <v>3280</v>
      </c>
      <c r="G6816" s="4" t="s">
        <v>336</v>
      </c>
      <c r="H6816" s="4" t="s">
        <v>289</v>
      </c>
      <c r="I6816" s="4">
        <v>6.3333333333333339E-2</v>
      </c>
      <c r="J6816" s="21">
        <v>300</v>
      </c>
      <c r="K6816" s="21">
        <v>0</v>
      </c>
      <c r="L6816" s="5">
        <v>0</v>
      </c>
      <c r="M6816" s="4"/>
      <c r="N6816" s="4"/>
      <c r="O6816" s="5"/>
      <c r="P6816" s="5"/>
      <c r="Q6816" s="21">
        <v>19</v>
      </c>
      <c r="R6816" s="21">
        <v>0</v>
      </c>
      <c r="S6816" s="5">
        <f t="shared" si="427"/>
        <v>37089.85174969837</v>
      </c>
      <c r="T6816" cm="1">
        <f t="array" ref="T6816">IF(OR(B6816="MAL ALIMI", B6816="ÜRETİM GİRİŞ"), MIN(I6816, MAX(0, I6816 + SUM(SUMIFS($I$1:I6815, $C$1:C6815, C6816, $B$1:B6815, {"MAL ALIMI","ÜRETİM GİRİŞ"})) - VLOOKUP(C6816, 'STOK RAPORU'!$C$2:$I$1000, 4, 0))), 0)</f>
        <v>0</v>
      </c>
      <c r="U6816" s="22">
        <f t="shared" si="424"/>
        <v>0</v>
      </c>
      <c r="V6816">
        <f t="shared" si="425"/>
        <v>0</v>
      </c>
      <c r="W6816" s="22">
        <f t="shared" si="426"/>
        <v>0</v>
      </c>
    </row>
    <row r="6817" spans="1:23" hidden="1" x14ac:dyDescent="0.25">
      <c r="A6817" s="3">
        <v>46144</v>
      </c>
      <c r="B6817" s="46" t="s">
        <v>334</v>
      </c>
      <c r="C6817" s="4" t="s">
        <v>98</v>
      </c>
      <c r="D6817" s="4"/>
      <c r="E6817" s="4"/>
      <c r="F6817" s="46" t="s">
        <v>3280</v>
      </c>
      <c r="G6817" s="4" t="s">
        <v>336</v>
      </c>
      <c r="H6817" s="4" t="s">
        <v>289</v>
      </c>
      <c r="I6817" s="4">
        <v>5.7500000000000002E-2</v>
      </c>
      <c r="J6817" s="21">
        <v>400</v>
      </c>
      <c r="K6817" s="21">
        <v>0</v>
      </c>
      <c r="L6817" s="5">
        <v>0</v>
      </c>
      <c r="M6817" s="4"/>
      <c r="N6817" s="4"/>
      <c r="O6817" s="5"/>
      <c r="P6817" s="5"/>
      <c r="Q6817" s="21">
        <v>23</v>
      </c>
      <c r="R6817" s="21">
        <v>0</v>
      </c>
      <c r="S6817" s="5">
        <f t="shared" si="427"/>
        <v>37112.85174969837</v>
      </c>
      <c r="T6817" cm="1">
        <f t="array" ref="T6817">IF(OR(B6817="MAL ALIMI", B6817="ÜRETİM GİRİŞ"), MIN(I6817, MAX(0, I6817 + SUM(SUMIFS($I$1:I6816, $C$1:C6816, C6817, $B$1:B6816, {"MAL ALIMI","ÜRETİM GİRİŞ"})) - VLOOKUP(C6817, 'STOK RAPORU'!$C$2:$I$1000, 4, 0))), 0)</f>
        <v>0</v>
      </c>
      <c r="U6817" s="22">
        <f t="shared" si="424"/>
        <v>0</v>
      </c>
      <c r="V6817">
        <f t="shared" si="425"/>
        <v>0</v>
      </c>
      <c r="W6817" s="22">
        <f t="shared" si="426"/>
        <v>0</v>
      </c>
    </row>
    <row r="6818" spans="1:23" hidden="1" x14ac:dyDescent="0.25">
      <c r="A6818" s="3">
        <v>46144</v>
      </c>
      <c r="B6818" s="46" t="s">
        <v>334</v>
      </c>
      <c r="C6818" s="4" t="s">
        <v>158</v>
      </c>
      <c r="D6818" s="4"/>
      <c r="E6818" s="4"/>
      <c r="F6818" s="46" t="s">
        <v>3281</v>
      </c>
      <c r="G6818" s="4" t="s">
        <v>336</v>
      </c>
      <c r="H6818" s="4" t="s">
        <v>289</v>
      </c>
      <c r="I6818" s="4">
        <v>1</v>
      </c>
      <c r="J6818" s="21">
        <v>150</v>
      </c>
      <c r="K6818" s="21">
        <v>0</v>
      </c>
      <c r="L6818" s="5">
        <v>0</v>
      </c>
      <c r="M6818" s="4"/>
      <c r="N6818" s="4"/>
      <c r="O6818" s="5"/>
      <c r="P6818" s="5"/>
      <c r="Q6818" s="21">
        <v>150</v>
      </c>
      <c r="R6818" s="21">
        <v>0</v>
      </c>
      <c r="S6818" s="5">
        <f t="shared" si="427"/>
        <v>37262.85174969837</v>
      </c>
      <c r="T6818" cm="1">
        <f t="array" ref="T6818">IF(OR(B6818="MAL ALIMI", B6818="ÜRETİM GİRİŞ"), MIN(I6818, MAX(0, I6818 + SUM(SUMIFS($I$1:I6817, $C$1:C6817, C6818, $B$1:B6817, {"MAL ALIMI","ÜRETİM GİRİŞ"})) - VLOOKUP(C6818, 'STOK RAPORU'!$C$2:$I$1000, 4, 0))), 0)</f>
        <v>0</v>
      </c>
      <c r="U6818" s="22">
        <f t="shared" si="424"/>
        <v>0</v>
      </c>
      <c r="V6818">
        <f t="shared" si="425"/>
        <v>0</v>
      </c>
      <c r="W6818" s="22">
        <f t="shared" si="426"/>
        <v>0</v>
      </c>
    </row>
    <row r="6819" spans="1:23" hidden="1" x14ac:dyDescent="0.25">
      <c r="A6819" s="3">
        <v>46144</v>
      </c>
      <c r="B6819" s="46" t="s">
        <v>334</v>
      </c>
      <c r="C6819" s="4" t="s">
        <v>132</v>
      </c>
      <c r="D6819" s="4"/>
      <c r="E6819" s="4"/>
      <c r="F6819" s="46" t="s">
        <v>3281</v>
      </c>
      <c r="G6819" s="4" t="s">
        <v>336</v>
      </c>
      <c r="H6819" s="4" t="s">
        <v>289</v>
      </c>
      <c r="I6819" s="4">
        <v>0.3</v>
      </c>
      <c r="J6819" s="21">
        <v>500</v>
      </c>
      <c r="K6819" s="21">
        <v>0</v>
      </c>
      <c r="L6819" s="5">
        <v>0</v>
      </c>
      <c r="M6819" s="4"/>
      <c r="N6819" s="4"/>
      <c r="O6819" s="5"/>
      <c r="P6819" s="5"/>
      <c r="Q6819" s="21">
        <v>150</v>
      </c>
      <c r="R6819" s="21">
        <v>0</v>
      </c>
      <c r="S6819" s="5">
        <f t="shared" si="427"/>
        <v>37412.85174969837</v>
      </c>
      <c r="T6819" cm="1">
        <f t="array" ref="T6819">IF(OR(B6819="MAL ALIMI", B6819="ÜRETİM GİRİŞ"), MIN(I6819, MAX(0, I6819 + SUM(SUMIFS($I$1:I6818, $C$1:C6818, C6819, $B$1:B6818, {"MAL ALIMI","ÜRETİM GİRİŞ"})) - VLOOKUP(C6819, 'STOK RAPORU'!$C$2:$I$1000, 4, 0))), 0)</f>
        <v>0</v>
      </c>
      <c r="U6819" s="22">
        <f t="shared" si="424"/>
        <v>0</v>
      </c>
      <c r="V6819">
        <f t="shared" si="425"/>
        <v>0</v>
      </c>
      <c r="W6819" s="22">
        <f t="shared" si="426"/>
        <v>0</v>
      </c>
    </row>
    <row r="6820" spans="1:23" hidden="1" x14ac:dyDescent="0.25">
      <c r="A6820" s="3">
        <v>46144</v>
      </c>
      <c r="B6820" s="46" t="s">
        <v>334</v>
      </c>
      <c r="C6820" s="4" t="s">
        <v>96</v>
      </c>
      <c r="D6820" s="4"/>
      <c r="E6820" s="4"/>
      <c r="F6820" s="46" t="s">
        <v>3282</v>
      </c>
      <c r="G6820" s="4" t="s">
        <v>336</v>
      </c>
      <c r="H6820" s="4" t="s">
        <v>289</v>
      </c>
      <c r="I6820" s="4">
        <v>0.33250000000000002</v>
      </c>
      <c r="J6820" s="21">
        <v>400</v>
      </c>
      <c r="K6820" s="21">
        <v>0</v>
      </c>
      <c r="L6820" s="5">
        <v>0</v>
      </c>
      <c r="M6820" s="4"/>
      <c r="N6820" s="4"/>
      <c r="O6820" s="5"/>
      <c r="P6820" s="5"/>
      <c r="Q6820" s="21">
        <v>133</v>
      </c>
      <c r="R6820" s="21">
        <v>0</v>
      </c>
      <c r="S6820" s="5">
        <f t="shared" si="427"/>
        <v>37545.85174969837</v>
      </c>
      <c r="T6820" cm="1">
        <f t="array" ref="T6820">IF(OR(B6820="MAL ALIMI", B6820="ÜRETİM GİRİŞ"), MIN(I6820, MAX(0, I6820 + SUM(SUMIFS($I$1:I6819, $C$1:C6819, C6820, $B$1:B6819, {"MAL ALIMI","ÜRETİM GİRİŞ"})) - VLOOKUP(C6820, 'STOK RAPORU'!$C$2:$I$1000, 4, 0))), 0)</f>
        <v>0</v>
      </c>
      <c r="U6820" s="22">
        <f t="shared" si="424"/>
        <v>0</v>
      </c>
      <c r="V6820">
        <f t="shared" si="425"/>
        <v>0</v>
      </c>
      <c r="W6820" s="22">
        <f t="shared" si="426"/>
        <v>0</v>
      </c>
    </row>
    <row r="6821" spans="1:23" hidden="1" x14ac:dyDescent="0.25">
      <c r="A6821" s="3">
        <v>46144</v>
      </c>
      <c r="B6821" s="46" t="s">
        <v>334</v>
      </c>
      <c r="C6821" s="4" t="s">
        <v>92</v>
      </c>
      <c r="D6821" s="4"/>
      <c r="E6821" s="4"/>
      <c r="F6821" s="46" t="s">
        <v>3282</v>
      </c>
      <c r="G6821" s="4" t="s">
        <v>336</v>
      </c>
      <c r="H6821" s="4" t="s">
        <v>289</v>
      </c>
      <c r="I6821" s="4">
        <v>0.378</v>
      </c>
      <c r="J6821" s="21">
        <v>500</v>
      </c>
      <c r="K6821" s="21">
        <v>0</v>
      </c>
      <c r="L6821" s="5">
        <v>0</v>
      </c>
      <c r="M6821" s="4"/>
      <c r="N6821" s="4"/>
      <c r="O6821" s="5"/>
      <c r="P6821" s="5"/>
      <c r="Q6821" s="21">
        <v>189</v>
      </c>
      <c r="R6821" s="21">
        <v>0</v>
      </c>
      <c r="S6821" s="5">
        <f t="shared" si="427"/>
        <v>37734.85174969837</v>
      </c>
      <c r="T6821" cm="1">
        <f t="array" ref="T6821">IF(OR(B6821="MAL ALIMI", B6821="ÜRETİM GİRİŞ"), MIN(I6821, MAX(0, I6821 + SUM(SUMIFS($I$1:I6820, $C$1:C6820, C6821, $B$1:B6820, {"MAL ALIMI","ÜRETİM GİRİŞ"})) - VLOOKUP(C6821, 'STOK RAPORU'!$C$2:$I$1000, 4, 0))), 0)</f>
        <v>0</v>
      </c>
      <c r="U6821" s="22">
        <f t="shared" si="424"/>
        <v>0</v>
      </c>
      <c r="V6821">
        <f t="shared" si="425"/>
        <v>0</v>
      </c>
      <c r="W6821" s="22">
        <f t="shared" si="426"/>
        <v>0</v>
      </c>
    </row>
    <row r="6822" spans="1:23" hidden="1" x14ac:dyDescent="0.25">
      <c r="A6822" s="3">
        <v>46144</v>
      </c>
      <c r="B6822" s="46" t="s">
        <v>334</v>
      </c>
      <c r="C6822" s="4" t="s">
        <v>463</v>
      </c>
      <c r="D6822" s="4"/>
      <c r="E6822" s="4"/>
      <c r="F6822" s="46" t="s">
        <v>3282</v>
      </c>
      <c r="G6822" s="4" t="s">
        <v>336</v>
      </c>
      <c r="H6822" s="4" t="s">
        <v>289</v>
      </c>
      <c r="I6822" s="4">
        <v>0.28999999999999998</v>
      </c>
      <c r="J6822" s="21">
        <v>400</v>
      </c>
      <c r="K6822" s="21">
        <v>0</v>
      </c>
      <c r="L6822" s="5">
        <v>0</v>
      </c>
      <c r="M6822" s="4"/>
      <c r="N6822" s="4"/>
      <c r="O6822" s="5"/>
      <c r="P6822" s="5"/>
      <c r="Q6822" s="21">
        <v>115.99999999999999</v>
      </c>
      <c r="R6822" s="21">
        <v>0</v>
      </c>
      <c r="S6822" s="5">
        <f t="shared" si="427"/>
        <v>37850.85174969837</v>
      </c>
      <c r="T6822" cm="1">
        <f t="array" ref="T6822">IF(OR(B6822="MAL ALIMI", B6822="ÜRETİM GİRİŞ"), MIN(I6822, MAX(0, I6822 + SUM(SUMIFS($I$1:I6821, $C$1:C6821, C6822, $B$1:B6821, {"MAL ALIMI","ÜRETİM GİRİŞ"})) - VLOOKUP(C6822, 'STOK RAPORU'!$C$2:$I$1000, 4, 0))), 0)</f>
        <v>0</v>
      </c>
      <c r="U6822" s="22">
        <f t="shared" si="424"/>
        <v>0</v>
      </c>
      <c r="V6822">
        <f t="shared" si="425"/>
        <v>0</v>
      </c>
      <c r="W6822" s="22">
        <f t="shared" si="426"/>
        <v>0</v>
      </c>
    </row>
    <row r="6823" spans="1:23" hidden="1" x14ac:dyDescent="0.25">
      <c r="A6823" s="3">
        <v>46144</v>
      </c>
      <c r="B6823" s="46" t="s">
        <v>334</v>
      </c>
      <c r="C6823" s="4" t="s">
        <v>750</v>
      </c>
      <c r="D6823" s="4"/>
      <c r="E6823" s="4"/>
      <c r="F6823" s="46" t="s">
        <v>3282</v>
      </c>
      <c r="G6823" s="4" t="s">
        <v>336</v>
      </c>
      <c r="H6823" s="4" t="s">
        <v>289</v>
      </c>
      <c r="I6823" s="4">
        <v>1</v>
      </c>
      <c r="J6823" s="21">
        <v>250</v>
      </c>
      <c r="K6823" s="21">
        <v>0</v>
      </c>
      <c r="L6823" s="5">
        <v>0</v>
      </c>
      <c r="M6823" s="4"/>
      <c r="N6823" s="4"/>
      <c r="O6823" s="5"/>
      <c r="P6823" s="5"/>
      <c r="Q6823" s="21">
        <v>250</v>
      </c>
      <c r="R6823" s="21">
        <v>0</v>
      </c>
      <c r="S6823" s="5">
        <f t="shared" si="427"/>
        <v>38100.85174969837</v>
      </c>
      <c r="T6823" cm="1">
        <f t="array" ref="T6823">IF(OR(B6823="MAL ALIMI", B6823="ÜRETİM GİRİŞ"), MIN(I6823, MAX(0, I6823 + SUM(SUMIFS($I$1:I6822, $C$1:C6822, C6823, $B$1:B6822, {"MAL ALIMI","ÜRETİM GİRİŞ"})) - VLOOKUP(C6823, 'STOK RAPORU'!$C$2:$I$1000, 4, 0))), 0)</f>
        <v>0</v>
      </c>
      <c r="U6823" s="22">
        <f t="shared" si="424"/>
        <v>0</v>
      </c>
      <c r="V6823">
        <f t="shared" si="425"/>
        <v>0</v>
      </c>
      <c r="W6823" s="22">
        <f t="shared" si="426"/>
        <v>0</v>
      </c>
    </row>
    <row r="6824" spans="1:23" hidden="1" x14ac:dyDescent="0.25">
      <c r="A6824" s="3">
        <v>46144</v>
      </c>
      <c r="B6824" s="46" t="s">
        <v>334</v>
      </c>
      <c r="C6824" s="4" t="s">
        <v>2120</v>
      </c>
      <c r="D6824" s="4"/>
      <c r="E6824" s="4"/>
      <c r="F6824" s="46" t="s">
        <v>3282</v>
      </c>
      <c r="G6824" s="4" t="s">
        <v>336</v>
      </c>
      <c r="H6824" s="4" t="s">
        <v>289</v>
      </c>
      <c r="I6824" s="4">
        <v>0.92307692307692313</v>
      </c>
      <c r="J6824" s="21">
        <v>65</v>
      </c>
      <c r="K6824" s="21">
        <v>0</v>
      </c>
      <c r="L6824" s="5">
        <v>0</v>
      </c>
      <c r="M6824" s="4"/>
      <c r="N6824" s="4"/>
      <c r="O6824" s="5"/>
      <c r="P6824" s="5"/>
      <c r="Q6824" s="21">
        <v>60</v>
      </c>
      <c r="R6824" s="21">
        <v>0</v>
      </c>
      <c r="S6824" s="5">
        <f t="shared" si="427"/>
        <v>38160.85174969837</v>
      </c>
      <c r="T6824" cm="1">
        <f t="array" ref="T6824">IF(OR(B6824="MAL ALIMI", B6824="ÜRETİM GİRİŞ"), MIN(I6824, MAX(0, I6824 + SUM(SUMIFS($I$1:I6823, $C$1:C6823, C6824, $B$1:B6823, {"MAL ALIMI","ÜRETİM GİRİŞ"})) - VLOOKUP(C6824, 'STOK RAPORU'!$C$2:$I$1000, 4, 0))), 0)</f>
        <v>0</v>
      </c>
      <c r="U6824" s="22">
        <f t="shared" si="424"/>
        <v>0</v>
      </c>
      <c r="V6824">
        <f t="shared" si="425"/>
        <v>0</v>
      </c>
      <c r="W6824" s="22">
        <f t="shared" si="426"/>
        <v>0</v>
      </c>
    </row>
    <row r="6825" spans="1:23" hidden="1" x14ac:dyDescent="0.25">
      <c r="A6825" s="3">
        <v>46144</v>
      </c>
      <c r="B6825" s="46" t="s">
        <v>334</v>
      </c>
      <c r="C6825" s="4" t="s">
        <v>1634</v>
      </c>
      <c r="D6825" s="4"/>
      <c r="E6825" s="4"/>
      <c r="F6825" s="46" t="s">
        <v>3283</v>
      </c>
      <c r="G6825" s="4" t="s">
        <v>336</v>
      </c>
      <c r="H6825" s="4" t="s">
        <v>289</v>
      </c>
      <c r="I6825" s="4">
        <v>1.1371428571428572</v>
      </c>
      <c r="J6825" s="21">
        <v>350</v>
      </c>
      <c r="K6825" s="21">
        <v>0</v>
      </c>
      <c r="L6825" s="5">
        <v>0</v>
      </c>
      <c r="M6825" s="4"/>
      <c r="N6825" s="4"/>
      <c r="O6825" s="5"/>
      <c r="P6825" s="5"/>
      <c r="Q6825" s="21">
        <v>398.00000000000006</v>
      </c>
      <c r="R6825" s="21">
        <v>0</v>
      </c>
      <c r="S6825" s="5">
        <f t="shared" si="427"/>
        <v>38558.85174969837</v>
      </c>
      <c r="T6825" cm="1">
        <f t="array" ref="T6825">IF(OR(B6825="MAL ALIMI", B6825="ÜRETİM GİRİŞ"), MIN(I6825, MAX(0, I6825 + SUM(SUMIFS($I$1:I6824, $C$1:C6824, C6825, $B$1:B6824, {"MAL ALIMI","ÜRETİM GİRİŞ"})) - VLOOKUP(C6825, 'STOK RAPORU'!$C$2:$I$1000, 4, 0))), 0)</f>
        <v>0</v>
      </c>
      <c r="U6825" s="22">
        <f t="shared" si="424"/>
        <v>0</v>
      </c>
      <c r="V6825">
        <f t="shared" si="425"/>
        <v>0</v>
      </c>
      <c r="W6825" s="22">
        <f t="shared" si="426"/>
        <v>0</v>
      </c>
    </row>
    <row r="6826" spans="1:23" hidden="1" x14ac:dyDescent="0.25">
      <c r="A6826" s="3">
        <v>46144</v>
      </c>
      <c r="B6826" s="46" t="s">
        <v>334</v>
      </c>
      <c r="C6826" s="4" t="s">
        <v>157</v>
      </c>
      <c r="D6826" s="4"/>
      <c r="E6826" s="4" t="s">
        <v>2348</v>
      </c>
      <c r="F6826" s="46" t="s">
        <v>3285</v>
      </c>
      <c r="G6826" s="4" t="s">
        <v>2437</v>
      </c>
      <c r="H6826" s="4" t="s">
        <v>304</v>
      </c>
      <c r="I6826" s="4">
        <v>38.700000000000003</v>
      </c>
      <c r="J6826" s="21">
        <v>155.03875968992199</v>
      </c>
      <c r="K6826" s="5">
        <v>6000</v>
      </c>
      <c r="L6826" s="5">
        <v>0</v>
      </c>
      <c r="M6826" s="4"/>
      <c r="N6826" s="4"/>
      <c r="O6826" s="5"/>
      <c r="P6826" s="5"/>
      <c r="Q6826" s="21">
        <v>0</v>
      </c>
      <c r="R6826" s="21">
        <v>0</v>
      </c>
      <c r="S6826" s="5">
        <f t="shared" si="427"/>
        <v>38558.85174969837</v>
      </c>
      <c r="T6826" cm="1">
        <f t="array" ref="T6826">IF(OR(B6826="MAL ALIMI", B6826="ÜRETİM GİRİŞ"), MIN(I6826, MAX(0, I6826 + SUM(SUMIFS($I$1:I6825, $C$1:C6825, C6826, $B$1:B6825, {"MAL ALIMI","ÜRETİM GİRİŞ"})) - VLOOKUP(C6826, 'STOK RAPORU'!$C$2:$I$1000, 4, 0))), 0)</f>
        <v>0</v>
      </c>
      <c r="U6826" s="22">
        <f t="shared" si="424"/>
        <v>0</v>
      </c>
      <c r="V6826">
        <f t="shared" si="425"/>
        <v>0</v>
      </c>
      <c r="W6826" s="22">
        <f t="shared" si="426"/>
        <v>0</v>
      </c>
    </row>
    <row r="6827" spans="1:23" hidden="1" x14ac:dyDescent="0.25">
      <c r="A6827" s="3">
        <v>46144</v>
      </c>
      <c r="B6827" s="46" t="s">
        <v>334</v>
      </c>
      <c r="C6827" s="4" t="s">
        <v>827</v>
      </c>
      <c r="D6827" s="4"/>
      <c r="E6827" s="4" t="s">
        <v>921</v>
      </c>
      <c r="F6827" s="46" t="s">
        <v>3286</v>
      </c>
      <c r="G6827" s="4" t="s">
        <v>336</v>
      </c>
      <c r="H6827" s="4" t="s">
        <v>380</v>
      </c>
      <c r="I6827" s="4">
        <v>1</v>
      </c>
      <c r="J6827" s="21">
        <v>130</v>
      </c>
      <c r="K6827" s="21">
        <v>130</v>
      </c>
      <c r="L6827" s="5">
        <v>0</v>
      </c>
      <c r="M6827" s="4"/>
      <c r="N6827" s="4"/>
      <c r="O6827" s="5"/>
      <c r="P6827" s="5"/>
      <c r="Q6827" s="21">
        <v>0</v>
      </c>
      <c r="R6827" s="21">
        <v>0</v>
      </c>
      <c r="S6827" s="5">
        <f t="shared" si="427"/>
        <v>38558.85174969837</v>
      </c>
      <c r="T6827" cm="1">
        <f t="array" ref="T6827">IF(OR(B6827="MAL ALIMI", B6827="ÜRETİM GİRİŞ"), MIN(I6827, MAX(0, I6827 + SUM(SUMIFS($I$1:I6826, $C$1:C6826, C6827, $B$1:B6826, {"MAL ALIMI","ÜRETİM GİRİŞ"})) - VLOOKUP(C6827, 'STOK RAPORU'!$C$2:$I$1000, 4, 0))), 0)</f>
        <v>0</v>
      </c>
      <c r="U6827" s="22">
        <f t="shared" si="424"/>
        <v>0</v>
      </c>
      <c r="V6827">
        <f t="shared" si="425"/>
        <v>0</v>
      </c>
      <c r="W6827" s="22">
        <f t="shared" si="426"/>
        <v>0</v>
      </c>
    </row>
    <row r="6828" spans="1:23" hidden="1" x14ac:dyDescent="0.25">
      <c r="A6828" s="3">
        <v>46144</v>
      </c>
      <c r="B6828" s="46" t="s">
        <v>334</v>
      </c>
      <c r="C6828" s="4" t="s">
        <v>98</v>
      </c>
      <c r="D6828" s="4"/>
      <c r="E6828" s="4"/>
      <c r="F6828" s="46" t="s">
        <v>3287</v>
      </c>
      <c r="G6828" s="4" t="s">
        <v>336</v>
      </c>
      <c r="H6828" s="4" t="s">
        <v>289</v>
      </c>
      <c r="I6828" s="4">
        <v>7.4999999999999997E-2</v>
      </c>
      <c r="J6828" s="21">
        <v>400</v>
      </c>
      <c r="K6828" s="21">
        <v>0</v>
      </c>
      <c r="L6828" s="5">
        <v>0</v>
      </c>
      <c r="M6828" s="4"/>
      <c r="N6828" s="4"/>
      <c r="O6828" s="5"/>
      <c r="P6828" s="5"/>
      <c r="Q6828" s="21">
        <v>30</v>
      </c>
      <c r="R6828" s="21">
        <v>0</v>
      </c>
      <c r="S6828" s="5">
        <f t="shared" si="427"/>
        <v>38588.85174969837</v>
      </c>
      <c r="T6828" cm="1">
        <f t="array" ref="T6828">IF(OR(B6828="MAL ALIMI", B6828="ÜRETİM GİRİŞ"), MIN(I6828, MAX(0, I6828 + SUM(SUMIFS($I$1:I6827, $C$1:C6827, C6828, $B$1:B6827, {"MAL ALIMI","ÜRETİM GİRİŞ"})) - VLOOKUP(C6828, 'STOK RAPORU'!$C$2:$I$1000, 4, 0))), 0)</f>
        <v>0</v>
      </c>
      <c r="U6828" s="22">
        <f t="shared" si="424"/>
        <v>0</v>
      </c>
      <c r="V6828">
        <f t="shared" si="425"/>
        <v>0</v>
      </c>
      <c r="W6828" s="22">
        <f t="shared" si="426"/>
        <v>0</v>
      </c>
    </row>
    <row r="6829" spans="1:23" hidden="1" x14ac:dyDescent="0.25">
      <c r="A6829" s="3">
        <v>46144</v>
      </c>
      <c r="B6829" s="46" t="s">
        <v>334</v>
      </c>
      <c r="C6829" s="4" t="s">
        <v>60</v>
      </c>
      <c r="D6829" s="4"/>
      <c r="E6829" s="4"/>
      <c r="F6829" s="46" t="s">
        <v>3287</v>
      </c>
      <c r="G6829" s="4" t="s">
        <v>336</v>
      </c>
      <c r="H6829" s="4" t="s">
        <v>289</v>
      </c>
      <c r="I6829" s="4">
        <v>0.05</v>
      </c>
      <c r="J6829" s="21">
        <v>1200</v>
      </c>
      <c r="K6829" s="21">
        <v>0</v>
      </c>
      <c r="L6829" s="5">
        <v>0</v>
      </c>
      <c r="M6829" s="4"/>
      <c r="N6829" s="4"/>
      <c r="O6829" s="5"/>
      <c r="P6829" s="5"/>
      <c r="Q6829" s="21">
        <v>60</v>
      </c>
      <c r="R6829" s="21">
        <v>0</v>
      </c>
      <c r="S6829" s="5">
        <f t="shared" si="427"/>
        <v>38648.85174969837</v>
      </c>
      <c r="T6829" cm="1">
        <f t="array" ref="T6829">IF(OR(B6829="MAL ALIMI", B6829="ÜRETİM GİRİŞ"), MIN(I6829, MAX(0, I6829 + SUM(SUMIFS($I$1:I6828, $C$1:C6828, C6829, $B$1:B6828, {"MAL ALIMI","ÜRETİM GİRİŞ"})) - VLOOKUP(C6829, 'STOK RAPORU'!$C$2:$I$1000, 4, 0))), 0)</f>
        <v>0</v>
      </c>
      <c r="U6829" s="22">
        <f t="shared" si="424"/>
        <v>0</v>
      </c>
      <c r="V6829">
        <f t="shared" si="425"/>
        <v>0</v>
      </c>
      <c r="W6829" s="22">
        <f t="shared" si="426"/>
        <v>0</v>
      </c>
    </row>
    <row r="6830" spans="1:23" hidden="1" x14ac:dyDescent="0.25">
      <c r="A6830" s="3">
        <v>46144</v>
      </c>
      <c r="B6830" s="46" t="s">
        <v>334</v>
      </c>
      <c r="C6830" s="4" t="s">
        <v>529</v>
      </c>
      <c r="D6830" s="4"/>
      <c r="E6830" s="4"/>
      <c r="F6830" s="46" t="s">
        <v>3287</v>
      </c>
      <c r="G6830" s="4" t="s">
        <v>336</v>
      </c>
      <c r="H6830" s="4" t="s">
        <v>289</v>
      </c>
      <c r="I6830" s="4">
        <v>0.1</v>
      </c>
      <c r="J6830" s="21">
        <v>600</v>
      </c>
      <c r="K6830" s="21">
        <v>0</v>
      </c>
      <c r="L6830" s="5">
        <v>0</v>
      </c>
      <c r="M6830" s="4"/>
      <c r="N6830" s="4"/>
      <c r="O6830" s="5"/>
      <c r="P6830" s="5"/>
      <c r="Q6830" s="21">
        <v>60</v>
      </c>
      <c r="R6830" s="21">
        <v>0</v>
      </c>
      <c r="S6830" s="5">
        <f t="shared" si="427"/>
        <v>38708.85174969837</v>
      </c>
      <c r="T6830" cm="1">
        <f t="array" ref="T6830">IF(OR(B6830="MAL ALIMI", B6830="ÜRETİM GİRİŞ"), MIN(I6830, MAX(0, I6830 + SUM(SUMIFS($I$1:I6829, $C$1:C6829, C6830, $B$1:B6829, {"MAL ALIMI","ÜRETİM GİRİŞ"})) - VLOOKUP(C6830, 'STOK RAPORU'!$C$2:$I$1000, 4, 0))), 0)</f>
        <v>0</v>
      </c>
      <c r="U6830" s="22">
        <f t="shared" si="424"/>
        <v>0</v>
      </c>
      <c r="V6830">
        <f t="shared" si="425"/>
        <v>0</v>
      </c>
      <c r="W6830" s="22">
        <f t="shared" si="426"/>
        <v>0</v>
      </c>
    </row>
    <row r="6831" spans="1:23" hidden="1" x14ac:dyDescent="0.25">
      <c r="A6831" s="3">
        <v>46144</v>
      </c>
      <c r="B6831" s="46" t="s">
        <v>334</v>
      </c>
      <c r="C6831" s="4" t="s">
        <v>529</v>
      </c>
      <c r="D6831" s="4"/>
      <c r="E6831" s="4"/>
      <c r="F6831" s="46" t="s">
        <v>3288</v>
      </c>
      <c r="G6831" s="4" t="s">
        <v>336</v>
      </c>
      <c r="H6831" s="4" t="s">
        <v>289</v>
      </c>
      <c r="I6831" s="4">
        <v>0.1</v>
      </c>
      <c r="J6831" s="21">
        <v>600</v>
      </c>
      <c r="K6831" s="21">
        <v>0</v>
      </c>
      <c r="L6831" s="5">
        <v>0</v>
      </c>
      <c r="M6831" s="4"/>
      <c r="N6831" s="4"/>
      <c r="O6831" s="5"/>
      <c r="P6831" s="5"/>
      <c r="Q6831" s="21">
        <v>60</v>
      </c>
      <c r="R6831" s="21">
        <v>0</v>
      </c>
      <c r="S6831" s="5">
        <f t="shared" si="427"/>
        <v>38768.85174969837</v>
      </c>
      <c r="T6831" cm="1">
        <f t="array" ref="T6831">IF(OR(B6831="MAL ALIMI", B6831="ÜRETİM GİRİŞ"), MIN(I6831, MAX(0, I6831 + SUM(SUMIFS($I$1:I6830, $C$1:C6830, C6831, $B$1:B6830, {"MAL ALIMI","ÜRETİM GİRİŞ"})) - VLOOKUP(C6831, 'STOK RAPORU'!$C$2:$I$1000, 4, 0))), 0)</f>
        <v>0</v>
      </c>
      <c r="U6831" s="22">
        <f t="shared" si="424"/>
        <v>0</v>
      </c>
      <c r="V6831">
        <f t="shared" si="425"/>
        <v>0</v>
      </c>
      <c r="W6831" s="22">
        <f t="shared" si="426"/>
        <v>0</v>
      </c>
    </row>
    <row r="6832" spans="1:23" hidden="1" x14ac:dyDescent="0.25">
      <c r="A6832" s="3">
        <v>46144</v>
      </c>
      <c r="B6832" s="46" t="s">
        <v>334</v>
      </c>
      <c r="C6832" s="4" t="s">
        <v>1023</v>
      </c>
      <c r="D6832" s="4"/>
      <c r="E6832" s="4"/>
      <c r="F6832" s="46" t="s">
        <v>3288</v>
      </c>
      <c r="G6832" s="4" t="s">
        <v>336</v>
      </c>
      <c r="H6832" s="4" t="s">
        <v>289</v>
      </c>
      <c r="I6832" s="4">
        <v>1.2307692307692308</v>
      </c>
      <c r="J6832" s="21">
        <v>65</v>
      </c>
      <c r="K6832" s="21">
        <v>0</v>
      </c>
      <c r="L6832" s="5">
        <v>0</v>
      </c>
      <c r="M6832" s="4"/>
      <c r="N6832" s="4"/>
      <c r="O6832" s="5"/>
      <c r="P6832" s="5"/>
      <c r="Q6832" s="21">
        <v>80</v>
      </c>
      <c r="R6832" s="21">
        <v>0</v>
      </c>
      <c r="S6832" s="5">
        <f t="shared" si="427"/>
        <v>38848.85174969837</v>
      </c>
      <c r="T6832" cm="1">
        <f t="array" ref="T6832">IF(OR(B6832="MAL ALIMI", B6832="ÜRETİM GİRİŞ"), MIN(I6832, MAX(0, I6832 + SUM(SUMIFS($I$1:I6831, $C$1:C6831, C6832, $B$1:B6831, {"MAL ALIMI","ÜRETİM GİRİŞ"})) - VLOOKUP(C6832, 'STOK RAPORU'!$C$2:$I$1000, 4, 0))), 0)</f>
        <v>0</v>
      </c>
      <c r="U6832" s="22">
        <f t="shared" si="424"/>
        <v>0</v>
      </c>
      <c r="V6832">
        <f t="shared" si="425"/>
        <v>0</v>
      </c>
      <c r="W6832" s="22">
        <f t="shared" si="426"/>
        <v>0</v>
      </c>
    </row>
    <row r="6833" spans="1:23" hidden="1" x14ac:dyDescent="0.25">
      <c r="A6833" s="3">
        <v>46144</v>
      </c>
      <c r="B6833" s="46" t="s">
        <v>334</v>
      </c>
      <c r="C6833" s="4" t="s">
        <v>156</v>
      </c>
      <c r="D6833" s="4"/>
      <c r="E6833" s="4"/>
      <c r="F6833" s="46" t="s">
        <v>3288</v>
      </c>
      <c r="G6833" s="4" t="s">
        <v>336</v>
      </c>
      <c r="H6833" s="4" t="s">
        <v>289</v>
      </c>
      <c r="I6833" s="4">
        <v>0.22500000000000001</v>
      </c>
      <c r="J6833" s="21">
        <v>200</v>
      </c>
      <c r="K6833" s="21">
        <v>0</v>
      </c>
      <c r="L6833" s="5">
        <v>0</v>
      </c>
      <c r="M6833" s="4"/>
      <c r="N6833" s="4"/>
      <c r="O6833" s="5"/>
      <c r="P6833" s="5"/>
      <c r="Q6833" s="21">
        <v>45</v>
      </c>
      <c r="R6833" s="21">
        <v>0</v>
      </c>
      <c r="S6833" s="5">
        <f t="shared" si="427"/>
        <v>38893.85174969837</v>
      </c>
      <c r="T6833" cm="1">
        <f t="array" ref="T6833">IF(OR(B6833="MAL ALIMI", B6833="ÜRETİM GİRİŞ"), MIN(I6833, MAX(0, I6833 + SUM(SUMIFS($I$1:I6832, $C$1:C6832, C6833, $B$1:B6832, {"MAL ALIMI","ÜRETİM GİRİŞ"})) - VLOOKUP(C6833, 'STOK RAPORU'!$C$2:$I$1000, 4, 0))), 0)</f>
        <v>0</v>
      </c>
      <c r="U6833" s="22">
        <f t="shared" si="424"/>
        <v>0</v>
      </c>
      <c r="V6833">
        <f t="shared" si="425"/>
        <v>0</v>
      </c>
      <c r="W6833" s="22">
        <f t="shared" si="426"/>
        <v>0</v>
      </c>
    </row>
    <row r="6834" spans="1:23" hidden="1" x14ac:dyDescent="0.25">
      <c r="A6834" s="3">
        <v>46144</v>
      </c>
      <c r="B6834" s="4" t="s">
        <v>285</v>
      </c>
      <c r="C6834" s="4"/>
      <c r="D6834" s="4" t="s">
        <v>673</v>
      </c>
      <c r="E6834" s="4" t="s">
        <v>856</v>
      </c>
      <c r="F6834" s="4"/>
      <c r="G6834" s="4" t="s">
        <v>3268</v>
      </c>
      <c r="H6834" s="4" t="s">
        <v>1329</v>
      </c>
      <c r="I6834" s="4">
        <v>1</v>
      </c>
      <c r="J6834" s="21">
        <v>824.17</v>
      </c>
      <c r="K6834" s="21">
        <v>0</v>
      </c>
      <c r="L6834" s="5">
        <v>824.17</v>
      </c>
      <c r="M6834" s="4"/>
      <c r="N6834" s="4"/>
      <c r="O6834" s="5"/>
      <c r="P6834" s="5"/>
      <c r="Q6834" s="21">
        <v>0</v>
      </c>
      <c r="R6834" s="21">
        <v>0</v>
      </c>
      <c r="S6834" s="5">
        <f t="shared" si="427"/>
        <v>38893.85174969837</v>
      </c>
      <c r="T6834" cm="1">
        <f t="array" ref="T6834">IF(OR(B6834="MAL ALIMI", B6834="ÜRETİM GİRİŞ"), MIN(I6834, MAX(0, I6834 + SUM(SUMIFS($I$1:I6833, $C$1:C6833, C6834, $B$1:B6833, {"MAL ALIMI","ÜRETİM GİRİŞ"})) - VLOOKUP(C6834, 'STOK RAPORU'!$C$2:$I$1000, 4, 0))), 0)</f>
        <v>0</v>
      </c>
      <c r="U6834" s="22">
        <f t="shared" ref="U6834:U6897" si="428">T6834*J6834</f>
        <v>0</v>
      </c>
      <c r="V6834">
        <f t="shared" ref="V6834:V6897" si="429">IF(OR(B6834="MAL ALIMI", B6834="ÜRETİM GİRİŞ"), I6834 * J6834, 0)</f>
        <v>0</v>
      </c>
      <c r="W6834" s="22">
        <f t="shared" ref="W6834:W6897" si="430">V6834-U6834</f>
        <v>0</v>
      </c>
    </row>
    <row r="6835" spans="1:23" hidden="1" x14ac:dyDescent="0.25">
      <c r="A6835" s="3">
        <v>46145</v>
      </c>
      <c r="B6835" s="46" t="s">
        <v>334</v>
      </c>
      <c r="C6835" s="4" t="s">
        <v>157</v>
      </c>
      <c r="D6835" s="4"/>
      <c r="E6835" s="4"/>
      <c r="F6835" s="46" t="s">
        <v>3289</v>
      </c>
      <c r="G6835" s="4" t="s">
        <v>336</v>
      </c>
      <c r="H6835" s="4" t="s">
        <v>289</v>
      </c>
      <c r="I6835" s="4">
        <v>1</v>
      </c>
      <c r="J6835" s="21">
        <v>200</v>
      </c>
      <c r="K6835" s="21">
        <v>0</v>
      </c>
      <c r="L6835" s="5">
        <v>0</v>
      </c>
      <c r="M6835" s="4"/>
      <c r="N6835" s="4"/>
      <c r="O6835" s="5"/>
      <c r="P6835" s="5"/>
      <c r="Q6835" s="21">
        <v>200</v>
      </c>
      <c r="R6835" s="21">
        <v>0</v>
      </c>
      <c r="S6835" s="5">
        <f t="shared" si="427"/>
        <v>39093.85174969837</v>
      </c>
      <c r="T6835" cm="1">
        <f t="array" ref="T6835">IF(OR(B6835="MAL ALIMI", B6835="ÜRETİM GİRİŞ"), MIN(I6835, MAX(0, I6835 + SUM(SUMIFS($I$1:I6834, $C$1:C6834, C6835, $B$1:B6834, {"MAL ALIMI","ÜRETİM GİRİŞ"})) - VLOOKUP(C6835, 'STOK RAPORU'!$C$2:$I$1000, 4, 0))), 0)</f>
        <v>0</v>
      </c>
      <c r="U6835" s="22">
        <f t="shared" si="428"/>
        <v>0</v>
      </c>
      <c r="V6835">
        <f t="shared" si="429"/>
        <v>0</v>
      </c>
      <c r="W6835" s="22">
        <f t="shared" si="430"/>
        <v>0</v>
      </c>
    </row>
    <row r="6836" spans="1:23" hidden="1" x14ac:dyDescent="0.25">
      <c r="A6836" s="3">
        <v>46145</v>
      </c>
      <c r="B6836" s="46" t="s">
        <v>334</v>
      </c>
      <c r="C6836" s="4" t="s">
        <v>183</v>
      </c>
      <c r="D6836" s="4"/>
      <c r="E6836" s="4"/>
      <c r="F6836" s="46" t="s">
        <v>3289</v>
      </c>
      <c r="G6836" s="4" t="s">
        <v>336</v>
      </c>
      <c r="H6836" s="4" t="s">
        <v>289</v>
      </c>
      <c r="I6836" s="4">
        <v>1</v>
      </c>
      <c r="J6836" s="21">
        <v>210</v>
      </c>
      <c r="K6836" s="21">
        <v>0</v>
      </c>
      <c r="L6836" s="5">
        <v>0</v>
      </c>
      <c r="M6836" s="4"/>
      <c r="N6836" s="4"/>
      <c r="O6836" s="5"/>
      <c r="P6836" s="5"/>
      <c r="Q6836" s="21">
        <v>210</v>
      </c>
      <c r="R6836" s="21">
        <v>0</v>
      </c>
      <c r="S6836" s="5">
        <f t="shared" si="427"/>
        <v>39303.85174969837</v>
      </c>
      <c r="T6836" cm="1">
        <f t="array" ref="T6836">IF(OR(B6836="MAL ALIMI", B6836="ÜRETİM GİRİŞ"), MIN(I6836, MAX(0, I6836 + SUM(SUMIFS($I$1:I6835, $C$1:C6835, C6836, $B$1:B6835, {"MAL ALIMI","ÜRETİM GİRİŞ"})) - VLOOKUP(C6836, 'STOK RAPORU'!$C$2:$I$1000, 4, 0))), 0)</f>
        <v>0</v>
      </c>
      <c r="U6836" s="22">
        <f t="shared" si="428"/>
        <v>0</v>
      </c>
      <c r="V6836">
        <f t="shared" si="429"/>
        <v>0</v>
      </c>
      <c r="W6836" s="22">
        <f t="shared" si="430"/>
        <v>0</v>
      </c>
    </row>
    <row r="6837" spans="1:23" hidden="1" x14ac:dyDescent="0.25">
      <c r="A6837" s="3">
        <v>46145</v>
      </c>
      <c r="B6837" s="46" t="s">
        <v>334</v>
      </c>
      <c r="C6837" s="4" t="s">
        <v>3248</v>
      </c>
      <c r="D6837" s="4"/>
      <c r="E6837" s="4"/>
      <c r="F6837" s="46" t="s">
        <v>3289</v>
      </c>
      <c r="G6837" s="4" t="s">
        <v>336</v>
      </c>
      <c r="H6837" s="4" t="s">
        <v>289</v>
      </c>
      <c r="I6837" s="4">
        <v>1</v>
      </c>
      <c r="J6837" s="21">
        <v>170</v>
      </c>
      <c r="K6837" s="21">
        <v>0</v>
      </c>
      <c r="L6837" s="5">
        <v>0</v>
      </c>
      <c r="M6837" s="4"/>
      <c r="N6837" s="4"/>
      <c r="O6837" s="5"/>
      <c r="P6837" s="5"/>
      <c r="Q6837" s="21">
        <v>170</v>
      </c>
      <c r="R6837" s="21">
        <v>0</v>
      </c>
      <c r="S6837" s="5">
        <f t="shared" si="427"/>
        <v>39473.85174969837</v>
      </c>
      <c r="T6837" cm="1">
        <f t="array" ref="T6837">IF(OR(B6837="MAL ALIMI", B6837="ÜRETİM GİRİŞ"), MIN(I6837, MAX(0, I6837 + SUM(SUMIFS($I$1:I6836, $C$1:C6836, C6837, $B$1:B6836, {"MAL ALIMI","ÜRETİM GİRİŞ"})) - VLOOKUP(C6837, 'STOK RAPORU'!$C$2:$I$1000, 4, 0))), 0)</f>
        <v>0</v>
      </c>
      <c r="U6837" s="22">
        <f t="shared" si="428"/>
        <v>0</v>
      </c>
      <c r="V6837">
        <f t="shared" si="429"/>
        <v>0</v>
      </c>
      <c r="W6837" s="22">
        <f t="shared" si="430"/>
        <v>0</v>
      </c>
    </row>
    <row r="6838" spans="1:23" hidden="1" x14ac:dyDescent="0.25">
      <c r="A6838" s="3">
        <v>46145</v>
      </c>
      <c r="B6838" s="46" t="s">
        <v>334</v>
      </c>
      <c r="C6838" s="4" t="s">
        <v>1151</v>
      </c>
      <c r="D6838" s="4"/>
      <c r="E6838" s="4"/>
      <c r="F6838" s="46" t="s">
        <v>3289</v>
      </c>
      <c r="G6838" s="4" t="s">
        <v>336</v>
      </c>
      <c r="H6838" s="4" t="s">
        <v>289</v>
      </c>
      <c r="I6838" s="4">
        <v>0.39200000000000002</v>
      </c>
      <c r="J6838" s="21">
        <v>350</v>
      </c>
      <c r="K6838" s="21">
        <v>0</v>
      </c>
      <c r="L6838" s="5">
        <v>0</v>
      </c>
      <c r="M6838" s="4"/>
      <c r="N6838" s="4"/>
      <c r="O6838" s="5"/>
      <c r="P6838" s="5"/>
      <c r="Q6838" s="21">
        <v>137.20000000000002</v>
      </c>
      <c r="R6838" s="21">
        <v>0</v>
      </c>
      <c r="S6838" s="5">
        <f t="shared" si="427"/>
        <v>39611.051749698367</v>
      </c>
      <c r="T6838" cm="1">
        <f t="array" ref="T6838">IF(OR(B6838="MAL ALIMI", B6838="ÜRETİM GİRİŞ"), MIN(I6838, MAX(0, I6838 + SUM(SUMIFS($I$1:I6837, $C$1:C6837, C6838, $B$1:B6837, {"MAL ALIMI","ÜRETİM GİRİŞ"})) - VLOOKUP(C6838, 'STOK RAPORU'!$C$2:$I$1000, 4, 0))), 0)</f>
        <v>0</v>
      </c>
      <c r="U6838" s="22">
        <f t="shared" si="428"/>
        <v>0</v>
      </c>
      <c r="V6838">
        <f t="shared" si="429"/>
        <v>0</v>
      </c>
      <c r="W6838" s="22">
        <f t="shared" si="430"/>
        <v>0</v>
      </c>
    </row>
    <row r="6839" spans="1:23" hidden="1" x14ac:dyDescent="0.25">
      <c r="A6839" s="3">
        <v>46145</v>
      </c>
      <c r="B6839" s="46" t="s">
        <v>334</v>
      </c>
      <c r="C6839" s="4" t="s">
        <v>2125</v>
      </c>
      <c r="D6839" s="4"/>
      <c r="E6839" s="4"/>
      <c r="F6839" s="46" t="s">
        <v>3289</v>
      </c>
      <c r="G6839" s="4" t="s">
        <v>336</v>
      </c>
      <c r="H6839" s="4" t="s">
        <v>289</v>
      </c>
      <c r="I6839" s="4">
        <v>0.32600000000000001</v>
      </c>
      <c r="J6839" s="21">
        <v>370</v>
      </c>
      <c r="K6839" s="21">
        <v>0</v>
      </c>
      <c r="L6839" s="5">
        <v>0</v>
      </c>
      <c r="M6839" s="4"/>
      <c r="N6839" s="4"/>
      <c r="O6839" s="5"/>
      <c r="P6839" s="5"/>
      <c r="Q6839" s="21">
        <v>120.62</v>
      </c>
      <c r="R6839" s="21">
        <v>0</v>
      </c>
      <c r="S6839" s="5">
        <f t="shared" si="427"/>
        <v>39731.671749698369</v>
      </c>
      <c r="T6839" cm="1">
        <f t="array" ref="T6839">IF(OR(B6839="MAL ALIMI", B6839="ÜRETİM GİRİŞ"), MIN(I6839, MAX(0, I6839 + SUM(SUMIFS($I$1:I6838, $C$1:C6838, C6839, $B$1:B6838, {"MAL ALIMI","ÜRETİM GİRİŞ"})) - VLOOKUP(C6839, 'STOK RAPORU'!$C$2:$I$1000, 4, 0))), 0)</f>
        <v>0</v>
      </c>
      <c r="U6839" s="22">
        <f t="shared" si="428"/>
        <v>0</v>
      </c>
      <c r="V6839">
        <f t="shared" si="429"/>
        <v>0</v>
      </c>
      <c r="W6839" s="22">
        <f t="shared" si="430"/>
        <v>0</v>
      </c>
    </row>
    <row r="6840" spans="1:23" hidden="1" x14ac:dyDescent="0.25">
      <c r="A6840" s="3">
        <v>46145</v>
      </c>
      <c r="B6840" s="46" t="s">
        <v>334</v>
      </c>
      <c r="C6840" s="4" t="s">
        <v>1041</v>
      </c>
      <c r="D6840" s="4"/>
      <c r="E6840" s="4"/>
      <c r="F6840" s="46" t="s">
        <v>3289</v>
      </c>
      <c r="G6840" s="4" t="s">
        <v>336</v>
      </c>
      <c r="H6840" s="4" t="s">
        <v>289</v>
      </c>
      <c r="I6840" s="4">
        <v>1</v>
      </c>
      <c r="J6840" s="21">
        <v>250</v>
      </c>
      <c r="K6840" s="21">
        <v>0</v>
      </c>
      <c r="L6840" s="5">
        <v>0</v>
      </c>
      <c r="M6840" s="4"/>
      <c r="N6840" s="4"/>
      <c r="O6840" s="5"/>
      <c r="P6840" s="5"/>
      <c r="Q6840" s="21">
        <v>250</v>
      </c>
      <c r="R6840" s="21">
        <v>0</v>
      </c>
      <c r="S6840" s="5">
        <f t="shared" si="427"/>
        <v>39981.671749698369</v>
      </c>
      <c r="T6840" cm="1">
        <f t="array" ref="T6840">IF(OR(B6840="MAL ALIMI", B6840="ÜRETİM GİRİŞ"), MIN(I6840, MAX(0, I6840 + SUM(SUMIFS($I$1:I6839, $C$1:C6839, C6840, $B$1:B6839, {"MAL ALIMI","ÜRETİM GİRİŞ"})) - VLOOKUP(C6840, 'STOK RAPORU'!$C$2:$I$1000, 4, 0))), 0)</f>
        <v>0</v>
      </c>
      <c r="U6840" s="22">
        <f t="shared" si="428"/>
        <v>0</v>
      </c>
      <c r="V6840">
        <f t="shared" si="429"/>
        <v>0</v>
      </c>
      <c r="W6840" s="22">
        <f t="shared" si="430"/>
        <v>0</v>
      </c>
    </row>
    <row r="6841" spans="1:23" hidden="1" x14ac:dyDescent="0.25">
      <c r="A6841" s="3">
        <v>46145</v>
      </c>
      <c r="B6841" s="46" t="s">
        <v>334</v>
      </c>
      <c r="C6841" s="4" t="s">
        <v>1443</v>
      </c>
      <c r="D6841" s="4"/>
      <c r="E6841" s="4"/>
      <c r="F6841" s="46" t="s">
        <v>3289</v>
      </c>
      <c r="G6841" s="4" t="s">
        <v>336</v>
      </c>
      <c r="H6841" s="4" t="s">
        <v>289</v>
      </c>
      <c r="I6841" s="4">
        <v>4</v>
      </c>
      <c r="J6841" s="21">
        <v>20</v>
      </c>
      <c r="K6841" s="21">
        <v>0</v>
      </c>
      <c r="L6841" s="5">
        <v>0</v>
      </c>
      <c r="M6841" s="4"/>
      <c r="N6841" s="4"/>
      <c r="O6841" s="5"/>
      <c r="P6841" s="5"/>
      <c r="Q6841" s="21">
        <v>80</v>
      </c>
      <c r="R6841" s="21">
        <v>0</v>
      </c>
      <c r="S6841" s="5">
        <f t="shared" si="427"/>
        <v>40061.671749698369</v>
      </c>
      <c r="T6841" cm="1">
        <f t="array" ref="T6841">IF(OR(B6841="MAL ALIMI", B6841="ÜRETİM GİRİŞ"), MIN(I6841, MAX(0, I6841 + SUM(SUMIFS($I$1:I6840, $C$1:C6840, C6841, $B$1:B6840, {"MAL ALIMI","ÜRETİM GİRİŞ"})) - VLOOKUP(C6841, 'STOK RAPORU'!$C$2:$I$1000, 4, 0))), 0)</f>
        <v>0</v>
      </c>
      <c r="U6841" s="22">
        <f t="shared" si="428"/>
        <v>0</v>
      </c>
      <c r="V6841">
        <f t="shared" si="429"/>
        <v>0</v>
      </c>
      <c r="W6841" s="22">
        <f t="shared" si="430"/>
        <v>0</v>
      </c>
    </row>
    <row r="6842" spans="1:23" hidden="1" x14ac:dyDescent="0.25">
      <c r="A6842" s="3">
        <v>46145</v>
      </c>
      <c r="B6842" s="46" t="s">
        <v>334</v>
      </c>
      <c r="C6842" s="4" t="s">
        <v>2129</v>
      </c>
      <c r="D6842" s="4"/>
      <c r="E6842" s="4"/>
      <c r="F6842" s="46" t="s">
        <v>3289</v>
      </c>
      <c r="G6842" s="4" t="s">
        <v>336</v>
      </c>
      <c r="H6842" s="4" t="s">
        <v>289</v>
      </c>
      <c r="I6842" s="4">
        <v>0.224</v>
      </c>
      <c r="J6842" s="21">
        <v>400</v>
      </c>
      <c r="K6842" s="21">
        <v>0</v>
      </c>
      <c r="L6842" s="5">
        <v>0</v>
      </c>
      <c r="M6842" s="4"/>
      <c r="N6842" s="4"/>
      <c r="O6842" s="5"/>
      <c r="P6842" s="5"/>
      <c r="Q6842" s="21">
        <v>89.600000000000009</v>
      </c>
      <c r="R6842" s="21">
        <v>0</v>
      </c>
      <c r="S6842" s="5">
        <f t="shared" si="427"/>
        <v>40151.271749698368</v>
      </c>
      <c r="T6842" cm="1">
        <f t="array" ref="T6842">IF(OR(B6842="MAL ALIMI", B6842="ÜRETİM GİRİŞ"), MIN(I6842, MAX(0, I6842 + SUM(SUMIFS($I$1:I6841, $C$1:C6841, C6842, $B$1:B6841, {"MAL ALIMI","ÜRETİM GİRİŞ"})) - VLOOKUP(C6842, 'STOK RAPORU'!$C$2:$I$1000, 4, 0))), 0)</f>
        <v>0</v>
      </c>
      <c r="U6842" s="22">
        <f t="shared" si="428"/>
        <v>0</v>
      </c>
      <c r="V6842">
        <f t="shared" si="429"/>
        <v>0</v>
      </c>
      <c r="W6842" s="22">
        <f t="shared" si="430"/>
        <v>0</v>
      </c>
    </row>
    <row r="6843" spans="1:23" hidden="1" x14ac:dyDescent="0.25">
      <c r="A6843" s="3">
        <v>46145</v>
      </c>
      <c r="B6843" s="46" t="s">
        <v>334</v>
      </c>
      <c r="C6843" s="4" t="s">
        <v>1501</v>
      </c>
      <c r="D6843" s="4"/>
      <c r="E6843" s="4"/>
      <c r="F6843" s="46" t="s">
        <v>3289</v>
      </c>
      <c r="G6843" s="4" t="s">
        <v>336</v>
      </c>
      <c r="H6843" s="4" t="s">
        <v>289</v>
      </c>
      <c r="I6843" s="4">
        <v>0.25</v>
      </c>
      <c r="J6843" s="21">
        <v>600</v>
      </c>
      <c r="K6843" s="21">
        <v>0</v>
      </c>
      <c r="L6843" s="5">
        <v>0</v>
      </c>
      <c r="M6843" s="4"/>
      <c r="N6843" s="4"/>
      <c r="O6843" s="5"/>
      <c r="P6843" s="5"/>
      <c r="Q6843" s="21">
        <v>150</v>
      </c>
      <c r="R6843" s="21">
        <v>0</v>
      </c>
      <c r="S6843" s="5">
        <f t="shared" si="427"/>
        <v>40301.271749698368</v>
      </c>
      <c r="T6843" cm="1">
        <f t="array" ref="T6843">IF(OR(B6843="MAL ALIMI", B6843="ÜRETİM GİRİŞ"), MIN(I6843, MAX(0, I6843 + SUM(SUMIFS($I$1:I6842, $C$1:C6842, C6843, $B$1:B6842, {"MAL ALIMI","ÜRETİM GİRİŞ"})) - VLOOKUP(C6843, 'STOK RAPORU'!$C$2:$I$1000, 4, 0))), 0)</f>
        <v>0</v>
      </c>
      <c r="U6843" s="22">
        <f t="shared" si="428"/>
        <v>0</v>
      </c>
      <c r="V6843">
        <f t="shared" si="429"/>
        <v>0</v>
      </c>
      <c r="W6843" s="22">
        <f t="shared" si="430"/>
        <v>0</v>
      </c>
    </row>
    <row r="6844" spans="1:23" hidden="1" x14ac:dyDescent="0.25">
      <c r="A6844" s="3">
        <v>46145</v>
      </c>
      <c r="B6844" s="46" t="s">
        <v>334</v>
      </c>
      <c r="C6844" s="4" t="s">
        <v>2121</v>
      </c>
      <c r="D6844" s="4"/>
      <c r="E6844" s="4"/>
      <c r="F6844" s="46" t="s">
        <v>3289</v>
      </c>
      <c r="G6844" s="4" t="s">
        <v>336</v>
      </c>
      <c r="H6844" s="4" t="s">
        <v>289</v>
      </c>
      <c r="I6844" s="4">
        <v>0.5</v>
      </c>
      <c r="J6844" s="21">
        <v>60</v>
      </c>
      <c r="K6844" s="21">
        <v>0</v>
      </c>
      <c r="L6844" s="5">
        <v>0</v>
      </c>
      <c r="M6844" s="4"/>
      <c r="N6844" s="4"/>
      <c r="O6844" s="5"/>
      <c r="P6844" s="5"/>
      <c r="Q6844" s="21">
        <v>30</v>
      </c>
      <c r="R6844" s="21">
        <v>0</v>
      </c>
      <c r="S6844" s="5">
        <f t="shared" si="427"/>
        <v>40331.271749698368</v>
      </c>
      <c r="T6844" cm="1">
        <f t="array" ref="T6844">IF(OR(B6844="MAL ALIMI", B6844="ÜRETİM GİRİŞ"), MIN(I6844, MAX(0, I6844 + SUM(SUMIFS($I$1:I6843, $C$1:C6843, C6844, $B$1:B6843, {"MAL ALIMI","ÜRETİM GİRİŞ"})) - VLOOKUP(C6844, 'STOK RAPORU'!$C$2:$I$1000, 4, 0))), 0)</f>
        <v>0</v>
      </c>
      <c r="U6844" s="22">
        <f t="shared" si="428"/>
        <v>0</v>
      </c>
      <c r="V6844">
        <f t="shared" si="429"/>
        <v>0</v>
      </c>
      <c r="W6844" s="22">
        <f t="shared" si="430"/>
        <v>0</v>
      </c>
    </row>
    <row r="6845" spans="1:23" hidden="1" x14ac:dyDescent="0.25">
      <c r="A6845" s="3">
        <v>46145</v>
      </c>
      <c r="B6845" s="46" t="s">
        <v>334</v>
      </c>
      <c r="C6845" s="4" t="s">
        <v>256</v>
      </c>
      <c r="D6845" s="4"/>
      <c r="E6845" s="4"/>
      <c r="F6845" s="46" t="s">
        <v>3289</v>
      </c>
      <c r="G6845" s="4" t="s">
        <v>336</v>
      </c>
      <c r="H6845" s="4" t="s">
        <v>289</v>
      </c>
      <c r="I6845" s="4">
        <v>1</v>
      </c>
      <c r="J6845" s="21">
        <v>220</v>
      </c>
      <c r="K6845" s="21">
        <v>0</v>
      </c>
      <c r="L6845" s="5">
        <v>0</v>
      </c>
      <c r="M6845" s="4"/>
      <c r="N6845" s="4"/>
      <c r="O6845" s="5"/>
      <c r="P6845" s="5"/>
      <c r="Q6845" s="21">
        <v>220</v>
      </c>
      <c r="R6845" s="21">
        <v>0</v>
      </c>
      <c r="S6845" s="5">
        <f t="shared" si="427"/>
        <v>40551.271749698368</v>
      </c>
      <c r="T6845" cm="1">
        <f t="array" ref="T6845">IF(OR(B6845="MAL ALIMI", B6845="ÜRETİM GİRİŞ"), MIN(I6845, MAX(0, I6845 + SUM(SUMIFS($I$1:I6844, $C$1:C6844, C6845, $B$1:B6844, {"MAL ALIMI","ÜRETİM GİRİŞ"})) - VLOOKUP(C6845, 'STOK RAPORU'!$C$2:$I$1000, 4, 0))), 0)</f>
        <v>0</v>
      </c>
      <c r="U6845" s="22">
        <f t="shared" si="428"/>
        <v>0</v>
      </c>
      <c r="V6845">
        <f t="shared" si="429"/>
        <v>0</v>
      </c>
      <c r="W6845" s="22">
        <f t="shared" si="430"/>
        <v>0</v>
      </c>
    </row>
    <row r="6846" spans="1:23" hidden="1" x14ac:dyDescent="0.25">
      <c r="A6846" s="3">
        <v>46145</v>
      </c>
      <c r="B6846" s="46" t="s">
        <v>334</v>
      </c>
      <c r="C6846" s="4" t="s">
        <v>2592</v>
      </c>
      <c r="D6846" s="4"/>
      <c r="E6846" s="4"/>
      <c r="F6846" s="46" t="s">
        <v>3289</v>
      </c>
      <c r="G6846" s="4" t="s">
        <v>336</v>
      </c>
      <c r="H6846" s="4" t="s">
        <v>289</v>
      </c>
      <c r="I6846" s="4">
        <v>1</v>
      </c>
      <c r="J6846" s="21">
        <v>120</v>
      </c>
      <c r="K6846" s="21">
        <v>0</v>
      </c>
      <c r="L6846" s="5">
        <v>0</v>
      </c>
      <c r="M6846" s="4"/>
      <c r="N6846" s="4"/>
      <c r="O6846" s="5"/>
      <c r="P6846" s="5"/>
      <c r="Q6846" s="21">
        <v>120</v>
      </c>
      <c r="R6846" s="21">
        <v>0</v>
      </c>
      <c r="S6846" s="5">
        <f t="shared" si="427"/>
        <v>40671.271749698368</v>
      </c>
      <c r="T6846" cm="1">
        <f t="array" ref="T6846">IF(OR(B6846="MAL ALIMI", B6846="ÜRETİM GİRİŞ"), MIN(I6846, MAX(0, I6846 + SUM(SUMIFS($I$1:I6845, $C$1:C6845, C6846, $B$1:B6845, {"MAL ALIMI","ÜRETİM GİRİŞ"})) - VLOOKUP(C6846, 'STOK RAPORU'!$C$2:$I$1000, 4, 0))), 0)</f>
        <v>0</v>
      </c>
      <c r="U6846" s="22">
        <f t="shared" si="428"/>
        <v>0</v>
      </c>
      <c r="V6846">
        <f t="shared" si="429"/>
        <v>0</v>
      </c>
      <c r="W6846" s="22">
        <f t="shared" si="430"/>
        <v>0</v>
      </c>
    </row>
    <row r="6847" spans="1:23" hidden="1" x14ac:dyDescent="0.25">
      <c r="A6847" s="3">
        <v>46145</v>
      </c>
      <c r="B6847" s="46" t="s">
        <v>334</v>
      </c>
      <c r="C6847" s="4" t="s">
        <v>1634</v>
      </c>
      <c r="D6847" s="4"/>
      <c r="E6847" s="4"/>
      <c r="F6847" s="46" t="s">
        <v>3289</v>
      </c>
      <c r="G6847" s="4" t="s">
        <v>336</v>
      </c>
      <c r="H6847" s="4" t="s">
        <v>289</v>
      </c>
      <c r="I6847" s="4">
        <v>0.5</v>
      </c>
      <c r="J6847" s="21">
        <v>350</v>
      </c>
      <c r="K6847" s="21">
        <v>0</v>
      </c>
      <c r="L6847" s="5">
        <v>0</v>
      </c>
      <c r="M6847" s="4"/>
      <c r="N6847" s="4"/>
      <c r="O6847" s="5"/>
      <c r="P6847" s="5"/>
      <c r="Q6847" s="21">
        <v>175</v>
      </c>
      <c r="R6847" s="21">
        <v>0</v>
      </c>
      <c r="S6847" s="5">
        <f t="shared" si="427"/>
        <v>40846.271749698368</v>
      </c>
      <c r="T6847" cm="1">
        <f t="array" ref="T6847">IF(OR(B6847="MAL ALIMI", B6847="ÜRETİM GİRİŞ"), MIN(I6847, MAX(0, I6847 + SUM(SUMIFS($I$1:I6846, $C$1:C6846, C6847, $B$1:B6846, {"MAL ALIMI","ÜRETİM GİRİŞ"})) - VLOOKUP(C6847, 'STOK RAPORU'!$C$2:$I$1000, 4, 0))), 0)</f>
        <v>0</v>
      </c>
      <c r="U6847" s="22">
        <f t="shared" si="428"/>
        <v>0</v>
      </c>
      <c r="V6847">
        <f t="shared" si="429"/>
        <v>0</v>
      </c>
      <c r="W6847" s="22">
        <f t="shared" si="430"/>
        <v>0</v>
      </c>
    </row>
    <row r="6848" spans="1:23" hidden="1" x14ac:dyDescent="0.25">
      <c r="A6848" s="3">
        <v>46145</v>
      </c>
      <c r="B6848" s="46" t="s">
        <v>334</v>
      </c>
      <c r="C6848" s="4" t="s">
        <v>751</v>
      </c>
      <c r="D6848" s="4"/>
      <c r="E6848" s="4"/>
      <c r="F6848" s="46" t="s">
        <v>3289</v>
      </c>
      <c r="G6848" s="4" t="s">
        <v>336</v>
      </c>
      <c r="H6848" s="4" t="s">
        <v>289</v>
      </c>
      <c r="I6848" s="4">
        <v>1</v>
      </c>
      <c r="J6848" s="21">
        <v>240</v>
      </c>
      <c r="K6848" s="21">
        <v>0</v>
      </c>
      <c r="L6848" s="5">
        <v>0</v>
      </c>
      <c r="M6848" s="4"/>
      <c r="N6848" s="4"/>
      <c r="O6848" s="5"/>
      <c r="P6848" s="5"/>
      <c r="Q6848" s="21">
        <v>240</v>
      </c>
      <c r="R6848" s="21">
        <v>0</v>
      </c>
      <c r="S6848" s="5">
        <f t="shared" si="427"/>
        <v>41086.271749698368</v>
      </c>
      <c r="T6848" cm="1">
        <f t="array" ref="T6848">IF(OR(B6848="MAL ALIMI", B6848="ÜRETİM GİRİŞ"), MIN(I6848, MAX(0, I6848 + SUM(SUMIFS($I$1:I6847, $C$1:C6847, C6848, $B$1:B6847, {"MAL ALIMI","ÜRETİM GİRİŞ"})) - VLOOKUP(C6848, 'STOK RAPORU'!$C$2:$I$1000, 4, 0))), 0)</f>
        <v>0</v>
      </c>
      <c r="U6848" s="22">
        <f t="shared" si="428"/>
        <v>0</v>
      </c>
      <c r="V6848">
        <f t="shared" si="429"/>
        <v>0</v>
      </c>
      <c r="W6848" s="22">
        <f t="shared" si="430"/>
        <v>0</v>
      </c>
    </row>
    <row r="6849" spans="1:23" hidden="1" x14ac:dyDescent="0.25">
      <c r="A6849" s="3">
        <v>46145</v>
      </c>
      <c r="B6849" s="46" t="s">
        <v>334</v>
      </c>
      <c r="C6849" s="4" t="s">
        <v>152</v>
      </c>
      <c r="D6849" s="4"/>
      <c r="E6849" s="4"/>
      <c r="F6849" s="46" t="s">
        <v>3289</v>
      </c>
      <c r="G6849" s="4" t="s">
        <v>336</v>
      </c>
      <c r="H6849" s="4" t="s">
        <v>289</v>
      </c>
      <c r="I6849" s="4">
        <v>1</v>
      </c>
      <c r="J6849" s="21">
        <v>40</v>
      </c>
      <c r="K6849" s="21">
        <v>0</v>
      </c>
      <c r="L6849" s="5">
        <v>0</v>
      </c>
      <c r="M6849" s="4"/>
      <c r="N6849" s="4"/>
      <c r="O6849" s="5"/>
      <c r="P6849" s="5"/>
      <c r="Q6849" s="21">
        <v>40</v>
      </c>
      <c r="R6849" s="21">
        <v>0</v>
      </c>
      <c r="S6849" s="5">
        <f t="shared" si="427"/>
        <v>41126.271749698368</v>
      </c>
      <c r="T6849" cm="1">
        <f t="array" ref="T6849">IF(OR(B6849="MAL ALIMI", B6849="ÜRETİM GİRİŞ"), MIN(I6849, MAX(0, I6849 + SUM(SUMIFS($I$1:I6848, $C$1:C6848, C6849, $B$1:B6848, {"MAL ALIMI","ÜRETİM GİRİŞ"})) - VLOOKUP(C6849, 'STOK RAPORU'!$C$2:$I$1000, 4, 0))), 0)</f>
        <v>0</v>
      </c>
      <c r="U6849" s="22">
        <f t="shared" si="428"/>
        <v>0</v>
      </c>
      <c r="V6849">
        <f t="shared" si="429"/>
        <v>0</v>
      </c>
      <c r="W6849" s="22">
        <f t="shared" si="430"/>
        <v>0</v>
      </c>
    </row>
    <row r="6850" spans="1:23" hidden="1" x14ac:dyDescent="0.25">
      <c r="A6850" s="3">
        <v>46145</v>
      </c>
      <c r="B6850" s="46" t="s">
        <v>334</v>
      </c>
      <c r="C6850" s="4" t="s">
        <v>728</v>
      </c>
      <c r="D6850" s="4"/>
      <c r="E6850" s="4"/>
      <c r="F6850" s="46" t="s">
        <v>3289</v>
      </c>
      <c r="G6850" s="4" t="s">
        <v>336</v>
      </c>
      <c r="H6850" s="4" t="s">
        <v>289</v>
      </c>
      <c r="I6850" s="4">
        <v>0.5</v>
      </c>
      <c r="J6850" s="21">
        <v>625</v>
      </c>
      <c r="K6850" s="21">
        <v>0</v>
      </c>
      <c r="L6850" s="5">
        <v>0</v>
      </c>
      <c r="M6850" s="4"/>
      <c r="N6850" s="4"/>
      <c r="O6850" s="5"/>
      <c r="P6850" s="5"/>
      <c r="Q6850" s="21">
        <v>312.5</v>
      </c>
      <c r="R6850" s="21">
        <v>0</v>
      </c>
      <c r="S6850" s="5">
        <f t="shared" si="427"/>
        <v>41438.771749698368</v>
      </c>
      <c r="T6850" cm="1">
        <f t="array" ref="T6850">IF(OR(B6850="MAL ALIMI", B6850="ÜRETİM GİRİŞ"), MIN(I6850, MAX(0, I6850 + SUM(SUMIFS($I$1:I6849, $C$1:C6849, C6850, $B$1:B6849, {"MAL ALIMI","ÜRETİM GİRİŞ"})) - VLOOKUP(C6850, 'STOK RAPORU'!$C$2:$I$1000, 4, 0))), 0)</f>
        <v>0</v>
      </c>
      <c r="U6850" s="22">
        <f t="shared" si="428"/>
        <v>0</v>
      </c>
      <c r="V6850">
        <f t="shared" si="429"/>
        <v>0</v>
      </c>
      <c r="W6850" s="22">
        <f t="shared" si="430"/>
        <v>0</v>
      </c>
    </row>
    <row r="6851" spans="1:23" hidden="1" x14ac:dyDescent="0.25">
      <c r="A6851" s="3">
        <v>46145</v>
      </c>
      <c r="B6851" s="46" t="s">
        <v>334</v>
      </c>
      <c r="C6851" s="4" t="s">
        <v>1394</v>
      </c>
      <c r="D6851" s="4"/>
      <c r="E6851" s="4"/>
      <c r="F6851" s="46" t="s">
        <v>3289</v>
      </c>
      <c r="G6851" s="4" t="s">
        <v>336</v>
      </c>
      <c r="H6851" s="4" t="s">
        <v>289</v>
      </c>
      <c r="I6851" s="4">
        <v>1</v>
      </c>
      <c r="J6851" s="21">
        <v>120</v>
      </c>
      <c r="K6851" s="21">
        <v>0</v>
      </c>
      <c r="L6851" s="5">
        <v>0</v>
      </c>
      <c r="M6851" s="4"/>
      <c r="N6851" s="4"/>
      <c r="O6851" s="5"/>
      <c r="P6851" s="5"/>
      <c r="Q6851" s="21">
        <v>120</v>
      </c>
      <c r="R6851" s="21">
        <v>0</v>
      </c>
      <c r="S6851" s="5">
        <f t="shared" si="427"/>
        <v>41558.771749698368</v>
      </c>
      <c r="T6851" cm="1">
        <f t="array" ref="T6851">IF(OR(B6851="MAL ALIMI", B6851="ÜRETİM GİRİŞ"), MIN(I6851, MAX(0, I6851 + SUM(SUMIFS($I$1:I6850, $C$1:C6850, C6851, $B$1:B6850, {"MAL ALIMI","ÜRETİM GİRİŞ"})) - VLOOKUP(C6851, 'STOK RAPORU'!$C$2:$I$1000, 4, 0))), 0)</f>
        <v>0</v>
      </c>
      <c r="U6851" s="22">
        <f t="shared" si="428"/>
        <v>0</v>
      </c>
      <c r="V6851">
        <f t="shared" si="429"/>
        <v>0</v>
      </c>
      <c r="W6851" s="22">
        <f t="shared" si="430"/>
        <v>0</v>
      </c>
    </row>
    <row r="6852" spans="1:23" hidden="1" x14ac:dyDescent="0.25">
      <c r="A6852" s="3">
        <v>46145</v>
      </c>
      <c r="B6852" s="46" t="s">
        <v>334</v>
      </c>
      <c r="C6852" s="4" t="s">
        <v>1327</v>
      </c>
      <c r="D6852" s="4"/>
      <c r="E6852" s="4"/>
      <c r="F6852" s="46" t="s">
        <v>3289</v>
      </c>
      <c r="G6852" s="4" t="s">
        <v>336</v>
      </c>
      <c r="H6852" s="4" t="s">
        <v>289</v>
      </c>
      <c r="I6852" s="4">
        <v>1</v>
      </c>
      <c r="J6852" s="21">
        <v>120</v>
      </c>
      <c r="K6852" s="21">
        <v>0</v>
      </c>
      <c r="L6852" s="5">
        <v>0</v>
      </c>
      <c r="M6852" s="4"/>
      <c r="N6852" s="4"/>
      <c r="O6852" s="5"/>
      <c r="P6852" s="5"/>
      <c r="Q6852" s="21">
        <v>120</v>
      </c>
      <c r="R6852" s="21">
        <v>0</v>
      </c>
      <c r="S6852" s="5">
        <f t="shared" ref="S6852:S6915" si="431">S6851+Q6852-R6852</f>
        <v>41678.771749698368</v>
      </c>
      <c r="T6852" cm="1">
        <f t="array" ref="T6852">IF(OR(B6852="MAL ALIMI", B6852="ÜRETİM GİRİŞ"), MIN(I6852, MAX(0, I6852 + SUM(SUMIFS($I$1:I6851, $C$1:C6851, C6852, $B$1:B6851, {"MAL ALIMI","ÜRETİM GİRİŞ"})) - VLOOKUP(C6852, 'STOK RAPORU'!$C$2:$I$1000, 4, 0))), 0)</f>
        <v>0</v>
      </c>
      <c r="U6852" s="22">
        <f t="shared" si="428"/>
        <v>0</v>
      </c>
      <c r="V6852">
        <f t="shared" si="429"/>
        <v>0</v>
      </c>
      <c r="W6852" s="22">
        <f t="shared" si="430"/>
        <v>0</v>
      </c>
    </row>
    <row r="6853" spans="1:23" hidden="1" x14ac:dyDescent="0.25">
      <c r="A6853" s="3">
        <v>46145</v>
      </c>
      <c r="B6853" s="46" t="s">
        <v>334</v>
      </c>
      <c r="C6853" s="4" t="s">
        <v>722</v>
      </c>
      <c r="D6853" s="4"/>
      <c r="E6853" s="4"/>
      <c r="F6853" s="46" t="s">
        <v>3289</v>
      </c>
      <c r="G6853" s="4" t="s">
        <v>336</v>
      </c>
      <c r="H6853" s="4" t="s">
        <v>289</v>
      </c>
      <c r="I6853" s="4">
        <v>1</v>
      </c>
      <c r="J6853" s="21">
        <v>380</v>
      </c>
      <c r="K6853" s="21">
        <v>0</v>
      </c>
      <c r="L6853" s="5">
        <v>0</v>
      </c>
      <c r="M6853" s="4"/>
      <c r="N6853" s="4"/>
      <c r="O6853" s="5"/>
      <c r="P6853" s="5"/>
      <c r="Q6853" s="21">
        <v>380</v>
      </c>
      <c r="R6853" s="21">
        <v>0</v>
      </c>
      <c r="S6853" s="5">
        <f t="shared" si="431"/>
        <v>42058.771749698368</v>
      </c>
      <c r="T6853" cm="1">
        <f t="array" ref="T6853">IF(OR(B6853="MAL ALIMI", B6853="ÜRETİM GİRİŞ"), MIN(I6853, MAX(0, I6853 + SUM(SUMIFS($I$1:I6852, $C$1:C6852, C6853, $B$1:B6852, {"MAL ALIMI","ÜRETİM GİRİŞ"})) - VLOOKUP(C6853, 'STOK RAPORU'!$C$2:$I$1000, 4, 0))), 0)</f>
        <v>0</v>
      </c>
      <c r="U6853" s="22">
        <f t="shared" si="428"/>
        <v>0</v>
      </c>
      <c r="V6853">
        <f t="shared" si="429"/>
        <v>0</v>
      </c>
      <c r="W6853" s="22">
        <f t="shared" si="430"/>
        <v>0</v>
      </c>
    </row>
    <row r="6854" spans="1:23" hidden="1" x14ac:dyDescent="0.25">
      <c r="A6854" s="3">
        <v>46145</v>
      </c>
      <c r="B6854" s="46" t="s">
        <v>334</v>
      </c>
      <c r="C6854" s="4" t="s">
        <v>218</v>
      </c>
      <c r="D6854" s="4"/>
      <c r="E6854" s="4"/>
      <c r="F6854" s="46" t="s">
        <v>3289</v>
      </c>
      <c r="G6854" s="4" t="s">
        <v>336</v>
      </c>
      <c r="H6854" s="4" t="s">
        <v>289</v>
      </c>
      <c r="I6854" s="4">
        <v>1</v>
      </c>
      <c r="J6854" s="21">
        <v>320</v>
      </c>
      <c r="K6854" s="21">
        <v>0</v>
      </c>
      <c r="L6854" s="5">
        <v>0</v>
      </c>
      <c r="M6854" s="4"/>
      <c r="N6854" s="4"/>
      <c r="O6854" s="5"/>
      <c r="P6854" s="5"/>
      <c r="Q6854" s="21">
        <v>320</v>
      </c>
      <c r="R6854" s="21">
        <v>0</v>
      </c>
      <c r="S6854" s="5">
        <f t="shared" si="431"/>
        <v>42378.771749698368</v>
      </c>
      <c r="T6854" cm="1">
        <f t="array" ref="T6854">IF(OR(B6854="MAL ALIMI", B6854="ÜRETİM GİRİŞ"), MIN(I6854, MAX(0, I6854 + SUM(SUMIFS($I$1:I6853, $C$1:C6853, C6854, $B$1:B6853, {"MAL ALIMI","ÜRETİM GİRİŞ"})) - VLOOKUP(C6854, 'STOK RAPORU'!$C$2:$I$1000, 4, 0))), 0)</f>
        <v>0</v>
      </c>
      <c r="U6854" s="22">
        <f t="shared" si="428"/>
        <v>0</v>
      </c>
      <c r="V6854">
        <f t="shared" si="429"/>
        <v>0</v>
      </c>
      <c r="W6854" s="22">
        <f t="shared" si="430"/>
        <v>0</v>
      </c>
    </row>
    <row r="6855" spans="1:23" hidden="1" x14ac:dyDescent="0.25">
      <c r="A6855" s="3">
        <v>46145</v>
      </c>
      <c r="B6855" s="46" t="s">
        <v>334</v>
      </c>
      <c r="C6855" s="4" t="s">
        <v>757</v>
      </c>
      <c r="D6855" s="4"/>
      <c r="E6855" s="4"/>
      <c r="F6855" s="46" t="s">
        <v>3289</v>
      </c>
      <c r="G6855" s="4" t="s">
        <v>336</v>
      </c>
      <c r="H6855" s="4" t="s">
        <v>289</v>
      </c>
      <c r="I6855" s="4">
        <v>1</v>
      </c>
      <c r="J6855" s="21">
        <v>500</v>
      </c>
      <c r="K6855" s="21">
        <v>0</v>
      </c>
      <c r="L6855" s="5">
        <v>0</v>
      </c>
      <c r="M6855" s="4"/>
      <c r="N6855" s="4"/>
      <c r="O6855" s="5"/>
      <c r="P6855" s="5"/>
      <c r="Q6855" s="21">
        <v>500</v>
      </c>
      <c r="R6855" s="21">
        <v>0</v>
      </c>
      <c r="S6855" s="5">
        <f t="shared" si="431"/>
        <v>42878.771749698368</v>
      </c>
      <c r="T6855" cm="1">
        <f t="array" ref="T6855">IF(OR(B6855="MAL ALIMI", B6855="ÜRETİM GİRİŞ"), MIN(I6855, MAX(0, I6855 + SUM(SUMIFS($I$1:I6854, $C$1:C6854, C6855, $B$1:B6854, {"MAL ALIMI","ÜRETİM GİRİŞ"})) - VLOOKUP(C6855, 'STOK RAPORU'!$C$2:$I$1000, 4, 0))), 0)</f>
        <v>0</v>
      </c>
      <c r="U6855" s="22">
        <f t="shared" si="428"/>
        <v>0</v>
      </c>
      <c r="V6855">
        <f t="shared" si="429"/>
        <v>0</v>
      </c>
      <c r="W6855" s="22">
        <f t="shared" si="430"/>
        <v>0</v>
      </c>
    </row>
    <row r="6856" spans="1:23" hidden="1" x14ac:dyDescent="0.25">
      <c r="A6856" s="3">
        <v>46145</v>
      </c>
      <c r="B6856" s="46" t="s">
        <v>334</v>
      </c>
      <c r="C6856" s="4" t="s">
        <v>767</v>
      </c>
      <c r="D6856" s="4"/>
      <c r="E6856" s="4"/>
      <c r="F6856" s="46" t="s">
        <v>3289</v>
      </c>
      <c r="G6856" s="4" t="s">
        <v>336</v>
      </c>
      <c r="H6856" s="4" t="s">
        <v>289</v>
      </c>
      <c r="I6856" s="4">
        <v>1</v>
      </c>
      <c r="J6856" s="21">
        <v>200</v>
      </c>
      <c r="K6856" s="21">
        <v>0</v>
      </c>
      <c r="L6856" s="5">
        <v>0</v>
      </c>
      <c r="M6856" s="4"/>
      <c r="N6856" s="4"/>
      <c r="O6856" s="5"/>
      <c r="P6856" s="5"/>
      <c r="Q6856" s="21">
        <v>200</v>
      </c>
      <c r="R6856" s="21">
        <v>0</v>
      </c>
      <c r="S6856" s="5">
        <f t="shared" si="431"/>
        <v>43078.771749698368</v>
      </c>
      <c r="T6856" cm="1">
        <f t="array" ref="T6856">IF(OR(B6856="MAL ALIMI", B6856="ÜRETİM GİRİŞ"), MIN(I6856, MAX(0, I6856 + SUM(SUMIFS($I$1:I6855, $C$1:C6855, C6856, $B$1:B6855, {"MAL ALIMI","ÜRETİM GİRİŞ"})) - VLOOKUP(C6856, 'STOK RAPORU'!$C$2:$I$1000, 4, 0))), 0)</f>
        <v>0</v>
      </c>
      <c r="U6856" s="22">
        <f t="shared" si="428"/>
        <v>0</v>
      </c>
      <c r="V6856">
        <f t="shared" si="429"/>
        <v>0</v>
      </c>
      <c r="W6856" s="22">
        <f t="shared" si="430"/>
        <v>0</v>
      </c>
    </row>
    <row r="6857" spans="1:23" hidden="1" x14ac:dyDescent="0.25">
      <c r="A6857" s="3">
        <v>46145</v>
      </c>
      <c r="B6857" s="46" t="s">
        <v>334</v>
      </c>
      <c r="C6857" s="4" t="s">
        <v>796</v>
      </c>
      <c r="D6857" s="4"/>
      <c r="E6857" s="4"/>
      <c r="F6857" s="46" t="s">
        <v>3289</v>
      </c>
      <c r="G6857" s="4" t="s">
        <v>336</v>
      </c>
      <c r="H6857" s="4" t="s">
        <v>289</v>
      </c>
      <c r="I6857" s="4">
        <v>1</v>
      </c>
      <c r="J6857" s="21">
        <v>240</v>
      </c>
      <c r="K6857" s="21">
        <v>0</v>
      </c>
      <c r="L6857" s="5">
        <v>0</v>
      </c>
      <c r="M6857" s="4"/>
      <c r="N6857" s="4"/>
      <c r="O6857" s="5"/>
      <c r="P6857" s="5"/>
      <c r="Q6857" s="21">
        <v>240</v>
      </c>
      <c r="R6857" s="21">
        <v>0</v>
      </c>
      <c r="S6857" s="5">
        <f t="shared" si="431"/>
        <v>43318.771749698368</v>
      </c>
      <c r="T6857" cm="1">
        <f t="array" ref="T6857">IF(OR(B6857="MAL ALIMI", B6857="ÜRETİM GİRİŞ"), MIN(I6857, MAX(0, I6857 + SUM(SUMIFS($I$1:I6856, $C$1:C6856, C6857, $B$1:B6856, {"MAL ALIMI","ÜRETİM GİRİŞ"})) - VLOOKUP(C6857, 'STOK RAPORU'!$C$2:$I$1000, 4, 0))), 0)</f>
        <v>0</v>
      </c>
      <c r="U6857" s="22">
        <f t="shared" si="428"/>
        <v>0</v>
      </c>
      <c r="V6857">
        <f t="shared" si="429"/>
        <v>0</v>
      </c>
      <c r="W6857" s="22">
        <f t="shared" si="430"/>
        <v>0</v>
      </c>
    </row>
    <row r="6858" spans="1:23" hidden="1" x14ac:dyDescent="0.25">
      <c r="A6858" s="3">
        <v>46145</v>
      </c>
      <c r="B6858" s="46" t="s">
        <v>334</v>
      </c>
      <c r="C6858" s="4" t="s">
        <v>91</v>
      </c>
      <c r="D6858" s="4"/>
      <c r="E6858" s="4"/>
      <c r="F6858" s="46" t="s">
        <v>3289</v>
      </c>
      <c r="G6858" s="4" t="s">
        <v>336</v>
      </c>
      <c r="H6858" s="4" t="s">
        <v>289</v>
      </c>
      <c r="I6858" s="4">
        <v>6.6000000000000003E-2</v>
      </c>
      <c r="J6858" s="21">
        <v>800</v>
      </c>
      <c r="K6858" s="21">
        <v>0</v>
      </c>
      <c r="L6858" s="5">
        <v>0</v>
      </c>
      <c r="M6858" s="4"/>
      <c r="N6858" s="4"/>
      <c r="O6858" s="5"/>
      <c r="P6858" s="5"/>
      <c r="Q6858" s="21">
        <v>52.800000000000004</v>
      </c>
      <c r="R6858" s="21">
        <v>0</v>
      </c>
      <c r="S6858" s="5">
        <f t="shared" si="431"/>
        <v>43371.571749698371</v>
      </c>
      <c r="T6858" cm="1">
        <f t="array" ref="T6858">IF(OR(B6858="MAL ALIMI", B6858="ÜRETİM GİRİŞ"), MIN(I6858, MAX(0, I6858 + SUM(SUMIFS($I$1:I6857, $C$1:C6857, C6858, $B$1:B6857, {"MAL ALIMI","ÜRETİM GİRİŞ"})) - VLOOKUP(C6858, 'STOK RAPORU'!$C$2:$I$1000, 4, 0))), 0)</f>
        <v>0</v>
      </c>
      <c r="U6858" s="22">
        <f t="shared" si="428"/>
        <v>0</v>
      </c>
      <c r="V6858">
        <f t="shared" si="429"/>
        <v>0</v>
      </c>
      <c r="W6858" s="22">
        <f t="shared" si="430"/>
        <v>0</v>
      </c>
    </row>
    <row r="6859" spans="1:23" hidden="1" x14ac:dyDescent="0.25">
      <c r="A6859" s="3">
        <v>46145</v>
      </c>
      <c r="B6859" s="46" t="s">
        <v>334</v>
      </c>
      <c r="C6859" s="4" t="s">
        <v>1425</v>
      </c>
      <c r="D6859" s="4"/>
      <c r="E6859" s="4"/>
      <c r="F6859" s="46" t="s">
        <v>3289</v>
      </c>
      <c r="G6859" s="4" t="s">
        <v>336</v>
      </c>
      <c r="H6859" s="4" t="s">
        <v>289</v>
      </c>
      <c r="I6859" s="4">
        <v>1</v>
      </c>
      <c r="J6859" s="21">
        <v>80</v>
      </c>
      <c r="K6859" s="21">
        <v>0</v>
      </c>
      <c r="L6859" s="5">
        <v>0</v>
      </c>
      <c r="M6859" s="4"/>
      <c r="N6859" s="4"/>
      <c r="O6859" s="5"/>
      <c r="P6859" s="5"/>
      <c r="Q6859" s="21">
        <v>80</v>
      </c>
      <c r="R6859" s="21">
        <v>0</v>
      </c>
      <c r="S6859" s="5">
        <f t="shared" si="431"/>
        <v>43451.571749698371</v>
      </c>
      <c r="T6859" cm="1">
        <f t="array" ref="T6859">IF(OR(B6859="MAL ALIMI", B6859="ÜRETİM GİRİŞ"), MIN(I6859, MAX(0, I6859 + SUM(SUMIFS($I$1:I6858, $C$1:C6858, C6859, $B$1:B6858, {"MAL ALIMI","ÜRETİM GİRİŞ"})) - VLOOKUP(C6859, 'STOK RAPORU'!$C$2:$I$1000, 4, 0))), 0)</f>
        <v>0</v>
      </c>
      <c r="U6859" s="22">
        <f t="shared" si="428"/>
        <v>0</v>
      </c>
      <c r="V6859">
        <f t="shared" si="429"/>
        <v>0</v>
      </c>
      <c r="W6859" s="22">
        <f t="shared" si="430"/>
        <v>0</v>
      </c>
    </row>
    <row r="6860" spans="1:23" hidden="1" x14ac:dyDescent="0.25">
      <c r="A6860" s="3">
        <v>46145</v>
      </c>
      <c r="B6860" s="46" t="s">
        <v>334</v>
      </c>
      <c r="C6860" s="4" t="s">
        <v>230</v>
      </c>
      <c r="D6860" s="4"/>
      <c r="E6860" s="4"/>
      <c r="F6860" s="46" t="s">
        <v>3289</v>
      </c>
      <c r="G6860" s="4" t="s">
        <v>336</v>
      </c>
      <c r="H6860" s="4" t="s">
        <v>289</v>
      </c>
      <c r="I6860" s="4">
        <v>1</v>
      </c>
      <c r="J6860" s="21">
        <v>180</v>
      </c>
      <c r="K6860" s="21">
        <v>0</v>
      </c>
      <c r="L6860" s="5">
        <v>0</v>
      </c>
      <c r="M6860" s="4"/>
      <c r="N6860" s="4"/>
      <c r="O6860" s="5"/>
      <c r="P6860" s="5"/>
      <c r="Q6860" s="21">
        <v>180</v>
      </c>
      <c r="R6860" s="21">
        <v>0</v>
      </c>
      <c r="S6860" s="5">
        <f t="shared" si="431"/>
        <v>43631.571749698371</v>
      </c>
      <c r="T6860" cm="1">
        <f t="array" ref="T6860">IF(OR(B6860="MAL ALIMI", B6860="ÜRETİM GİRİŞ"), MIN(I6860, MAX(0, I6860 + SUM(SUMIFS($I$1:I6859, $C$1:C6859, C6860, $B$1:B6859, {"MAL ALIMI","ÜRETİM GİRİŞ"})) - VLOOKUP(C6860, 'STOK RAPORU'!$C$2:$I$1000, 4, 0))), 0)</f>
        <v>0</v>
      </c>
      <c r="U6860" s="22">
        <f t="shared" si="428"/>
        <v>0</v>
      </c>
      <c r="V6860">
        <f t="shared" si="429"/>
        <v>0</v>
      </c>
      <c r="W6860" s="22">
        <f t="shared" si="430"/>
        <v>0</v>
      </c>
    </row>
    <row r="6861" spans="1:23" hidden="1" x14ac:dyDescent="0.25">
      <c r="A6861" s="3">
        <v>46145</v>
      </c>
      <c r="B6861" s="46" t="s">
        <v>334</v>
      </c>
      <c r="C6861" s="4" t="s">
        <v>131</v>
      </c>
      <c r="D6861" s="4"/>
      <c r="E6861" s="4"/>
      <c r="F6861" s="46" t="s">
        <v>3289</v>
      </c>
      <c r="G6861" s="4" t="s">
        <v>336</v>
      </c>
      <c r="H6861" s="4" t="s">
        <v>289</v>
      </c>
      <c r="I6861" s="4">
        <v>0.126</v>
      </c>
      <c r="J6861" s="21">
        <v>300</v>
      </c>
      <c r="K6861" s="21">
        <v>0</v>
      </c>
      <c r="L6861" s="5">
        <v>0</v>
      </c>
      <c r="M6861" s="4"/>
      <c r="N6861" s="4"/>
      <c r="O6861" s="5"/>
      <c r="P6861" s="5"/>
      <c r="Q6861" s="21">
        <v>37.799999999999997</v>
      </c>
      <c r="R6861" s="21">
        <v>0</v>
      </c>
      <c r="S6861" s="5">
        <f t="shared" si="431"/>
        <v>43669.371749698374</v>
      </c>
      <c r="T6861" cm="1">
        <f t="array" ref="T6861">IF(OR(B6861="MAL ALIMI", B6861="ÜRETİM GİRİŞ"), MIN(I6861, MAX(0, I6861 + SUM(SUMIFS($I$1:I6860, $C$1:C6860, C6861, $B$1:B6860, {"MAL ALIMI","ÜRETİM GİRİŞ"})) - VLOOKUP(C6861, 'STOK RAPORU'!$C$2:$I$1000, 4, 0))), 0)</f>
        <v>0</v>
      </c>
      <c r="U6861" s="22">
        <f t="shared" si="428"/>
        <v>0</v>
      </c>
      <c r="V6861">
        <f t="shared" si="429"/>
        <v>0</v>
      </c>
      <c r="W6861" s="22">
        <f t="shared" si="430"/>
        <v>0</v>
      </c>
    </row>
    <row r="6862" spans="1:23" hidden="1" x14ac:dyDescent="0.25">
      <c r="A6862" s="3">
        <v>46145</v>
      </c>
      <c r="B6862" s="46" t="s">
        <v>334</v>
      </c>
      <c r="C6862" s="4" t="s">
        <v>96</v>
      </c>
      <c r="D6862" s="4"/>
      <c r="E6862" s="4"/>
      <c r="F6862" s="46" t="s">
        <v>3289</v>
      </c>
      <c r="G6862" s="4" t="s">
        <v>336</v>
      </c>
      <c r="H6862" s="4" t="s">
        <v>289</v>
      </c>
      <c r="I6862" s="4">
        <v>0.80400000000000005</v>
      </c>
      <c r="J6862" s="21">
        <v>300</v>
      </c>
      <c r="K6862" s="21">
        <v>0</v>
      </c>
      <c r="L6862" s="5">
        <v>0</v>
      </c>
      <c r="M6862" s="4"/>
      <c r="N6862" s="4"/>
      <c r="O6862" s="5"/>
      <c r="P6862" s="5"/>
      <c r="Q6862" s="21">
        <v>241.20000000000002</v>
      </c>
      <c r="R6862" s="21">
        <v>0</v>
      </c>
      <c r="S6862" s="5">
        <f t="shared" si="431"/>
        <v>43910.571749698371</v>
      </c>
      <c r="T6862" cm="1">
        <f t="array" ref="T6862">IF(OR(B6862="MAL ALIMI", B6862="ÜRETİM GİRİŞ"), MIN(I6862, MAX(0, I6862 + SUM(SUMIFS($I$1:I6861, $C$1:C6861, C6862, $B$1:B6861, {"MAL ALIMI","ÜRETİM GİRİŞ"})) - VLOOKUP(C6862, 'STOK RAPORU'!$C$2:$I$1000, 4, 0))), 0)</f>
        <v>0</v>
      </c>
      <c r="U6862" s="22">
        <f t="shared" si="428"/>
        <v>0</v>
      </c>
      <c r="V6862">
        <f t="shared" si="429"/>
        <v>0</v>
      </c>
      <c r="W6862" s="22">
        <f t="shared" si="430"/>
        <v>0</v>
      </c>
    </row>
    <row r="6863" spans="1:23" hidden="1" x14ac:dyDescent="0.25">
      <c r="A6863" s="3">
        <v>46145</v>
      </c>
      <c r="B6863" s="46" t="s">
        <v>334</v>
      </c>
      <c r="C6863" s="4" t="s">
        <v>834</v>
      </c>
      <c r="D6863" s="4"/>
      <c r="E6863" s="4"/>
      <c r="F6863" s="46" t="s">
        <v>3289</v>
      </c>
      <c r="G6863" s="4" t="s">
        <v>336</v>
      </c>
      <c r="H6863" s="4" t="s">
        <v>289</v>
      </c>
      <c r="I6863" s="4">
        <v>1</v>
      </c>
      <c r="J6863" s="21">
        <v>100</v>
      </c>
      <c r="K6863" s="21">
        <v>0</v>
      </c>
      <c r="L6863" s="5">
        <v>0</v>
      </c>
      <c r="M6863" s="4"/>
      <c r="N6863" s="4"/>
      <c r="O6863" s="5"/>
      <c r="P6863" s="5"/>
      <c r="Q6863" s="21">
        <v>100</v>
      </c>
      <c r="R6863" s="21">
        <v>0</v>
      </c>
      <c r="S6863" s="5">
        <f t="shared" si="431"/>
        <v>44010.571749698371</v>
      </c>
      <c r="T6863" cm="1">
        <f t="array" ref="T6863">IF(OR(B6863="MAL ALIMI", B6863="ÜRETİM GİRİŞ"), MIN(I6863, MAX(0, I6863 + SUM(SUMIFS($I$1:I6862, $C$1:C6862, C6863, $B$1:B6862, {"MAL ALIMI","ÜRETİM GİRİŞ"})) - VLOOKUP(C6863, 'STOK RAPORU'!$C$2:$I$1000, 4, 0))), 0)</f>
        <v>0</v>
      </c>
      <c r="U6863" s="22">
        <f t="shared" si="428"/>
        <v>0</v>
      </c>
      <c r="V6863">
        <f t="shared" si="429"/>
        <v>0</v>
      </c>
      <c r="W6863" s="22">
        <f t="shared" si="430"/>
        <v>0</v>
      </c>
    </row>
    <row r="6864" spans="1:23" hidden="1" x14ac:dyDescent="0.25">
      <c r="A6864" s="3">
        <v>46145</v>
      </c>
      <c r="B6864" s="46" t="s">
        <v>334</v>
      </c>
      <c r="C6864" s="4" t="s">
        <v>469</v>
      </c>
      <c r="D6864" s="4"/>
      <c r="E6864" s="4"/>
      <c r="F6864" s="46" t="s">
        <v>3289</v>
      </c>
      <c r="G6864" s="4" t="s">
        <v>336</v>
      </c>
      <c r="H6864" s="4" t="s">
        <v>289</v>
      </c>
      <c r="I6864" s="4">
        <v>1</v>
      </c>
      <c r="J6864" s="21">
        <v>40</v>
      </c>
      <c r="K6864" s="21">
        <v>0</v>
      </c>
      <c r="L6864" s="5">
        <v>0</v>
      </c>
      <c r="M6864" s="4"/>
      <c r="N6864" s="4"/>
      <c r="O6864" s="5"/>
      <c r="P6864" s="5"/>
      <c r="Q6864" s="21">
        <v>40</v>
      </c>
      <c r="R6864" s="21">
        <v>0</v>
      </c>
      <c r="S6864" s="5">
        <f t="shared" si="431"/>
        <v>44050.571749698371</v>
      </c>
      <c r="T6864" cm="1">
        <f t="array" ref="T6864">IF(OR(B6864="MAL ALIMI", B6864="ÜRETİM GİRİŞ"), MIN(I6864, MAX(0, I6864 + SUM(SUMIFS($I$1:I6863, $C$1:C6863, C6864, $B$1:B6863, {"MAL ALIMI","ÜRETİM GİRİŞ"})) - VLOOKUP(C6864, 'STOK RAPORU'!$C$2:$I$1000, 4, 0))), 0)</f>
        <v>0</v>
      </c>
      <c r="U6864" s="22">
        <f t="shared" si="428"/>
        <v>0</v>
      </c>
      <c r="V6864">
        <f t="shared" si="429"/>
        <v>0</v>
      </c>
      <c r="W6864" s="22">
        <f t="shared" si="430"/>
        <v>0</v>
      </c>
    </row>
    <row r="6865" spans="1:23" hidden="1" x14ac:dyDescent="0.25">
      <c r="A6865" s="3">
        <v>46145</v>
      </c>
      <c r="B6865" s="46" t="s">
        <v>334</v>
      </c>
      <c r="C6865" s="4" t="s">
        <v>455</v>
      </c>
      <c r="D6865" s="4"/>
      <c r="E6865" s="4"/>
      <c r="F6865" s="46" t="s">
        <v>3289</v>
      </c>
      <c r="G6865" s="4" t="s">
        <v>336</v>
      </c>
      <c r="H6865" s="4" t="s">
        <v>289</v>
      </c>
      <c r="I6865" s="4">
        <v>1</v>
      </c>
      <c r="J6865" s="21">
        <v>60</v>
      </c>
      <c r="K6865" s="21">
        <v>0</v>
      </c>
      <c r="L6865" s="5">
        <v>0</v>
      </c>
      <c r="M6865" s="4"/>
      <c r="N6865" s="4"/>
      <c r="O6865" s="5"/>
      <c r="P6865" s="5"/>
      <c r="Q6865" s="21">
        <v>60</v>
      </c>
      <c r="R6865" s="21">
        <v>0</v>
      </c>
      <c r="S6865" s="5">
        <f t="shared" si="431"/>
        <v>44110.571749698371</v>
      </c>
      <c r="T6865" cm="1">
        <f t="array" ref="T6865">IF(OR(B6865="MAL ALIMI", B6865="ÜRETİM GİRİŞ"), MIN(I6865, MAX(0, I6865 + SUM(SUMIFS($I$1:I6864, $C$1:C6864, C6865, $B$1:B6864, {"MAL ALIMI","ÜRETİM GİRİŞ"})) - VLOOKUP(C6865, 'STOK RAPORU'!$C$2:$I$1000, 4, 0))), 0)</f>
        <v>0</v>
      </c>
      <c r="U6865" s="22">
        <f t="shared" si="428"/>
        <v>0</v>
      </c>
      <c r="V6865">
        <f t="shared" si="429"/>
        <v>0</v>
      </c>
      <c r="W6865" s="22">
        <f t="shared" si="430"/>
        <v>0</v>
      </c>
    </row>
    <row r="6866" spans="1:23" hidden="1" x14ac:dyDescent="0.25">
      <c r="A6866" s="3">
        <v>46145</v>
      </c>
      <c r="B6866" s="46" t="s">
        <v>334</v>
      </c>
      <c r="C6866" s="4" t="s">
        <v>456</v>
      </c>
      <c r="D6866" s="4"/>
      <c r="E6866" s="4"/>
      <c r="F6866" s="46" t="s">
        <v>3289</v>
      </c>
      <c r="G6866" s="4" t="s">
        <v>336</v>
      </c>
      <c r="H6866" s="4" t="s">
        <v>289</v>
      </c>
      <c r="I6866" s="4">
        <v>1</v>
      </c>
      <c r="J6866" s="21">
        <v>60</v>
      </c>
      <c r="K6866" s="21">
        <v>0</v>
      </c>
      <c r="L6866" s="5">
        <v>0</v>
      </c>
      <c r="M6866" s="4"/>
      <c r="N6866" s="4"/>
      <c r="O6866" s="5"/>
      <c r="P6866" s="5"/>
      <c r="Q6866" s="21">
        <v>60</v>
      </c>
      <c r="R6866" s="21">
        <v>0</v>
      </c>
      <c r="S6866" s="5">
        <f t="shared" si="431"/>
        <v>44170.571749698371</v>
      </c>
      <c r="T6866" cm="1">
        <f t="array" ref="T6866">IF(OR(B6866="MAL ALIMI", B6866="ÜRETİM GİRİŞ"), MIN(I6866, MAX(0, I6866 + SUM(SUMIFS($I$1:I6865, $C$1:C6865, C6866, $B$1:B6865, {"MAL ALIMI","ÜRETİM GİRİŞ"})) - VLOOKUP(C6866, 'STOK RAPORU'!$C$2:$I$1000, 4, 0))), 0)</f>
        <v>0</v>
      </c>
      <c r="U6866" s="22">
        <f t="shared" si="428"/>
        <v>0</v>
      </c>
      <c r="V6866">
        <f t="shared" si="429"/>
        <v>0</v>
      </c>
      <c r="W6866" s="22">
        <f t="shared" si="430"/>
        <v>0</v>
      </c>
    </row>
    <row r="6867" spans="1:23" hidden="1" x14ac:dyDescent="0.25">
      <c r="A6867" s="3">
        <v>46145</v>
      </c>
      <c r="B6867" s="46" t="s">
        <v>334</v>
      </c>
      <c r="C6867" s="4" t="s">
        <v>2608</v>
      </c>
      <c r="D6867" s="4"/>
      <c r="E6867" s="4"/>
      <c r="F6867" s="46" t="s">
        <v>3289</v>
      </c>
      <c r="G6867" s="4" t="s">
        <v>336</v>
      </c>
      <c r="H6867" s="4" t="s">
        <v>289</v>
      </c>
      <c r="I6867" s="4">
        <v>0.1</v>
      </c>
      <c r="J6867" s="21">
        <v>400</v>
      </c>
      <c r="K6867" s="21">
        <v>0</v>
      </c>
      <c r="L6867" s="5">
        <v>0</v>
      </c>
      <c r="M6867" s="4"/>
      <c r="N6867" s="4"/>
      <c r="O6867" s="5"/>
      <c r="P6867" s="5"/>
      <c r="Q6867" s="21">
        <v>40</v>
      </c>
      <c r="R6867" s="21">
        <v>0</v>
      </c>
      <c r="S6867" s="5">
        <f t="shared" si="431"/>
        <v>44210.571749698371</v>
      </c>
      <c r="T6867" cm="1">
        <f t="array" ref="T6867">IF(OR(B6867="MAL ALIMI", B6867="ÜRETİM GİRİŞ"), MIN(I6867, MAX(0, I6867 + SUM(SUMIFS($I$1:I6866, $C$1:C6866, C6867, $B$1:B6866, {"MAL ALIMI","ÜRETİM GİRİŞ"})) - VLOOKUP(C6867, 'STOK RAPORU'!$C$2:$I$1000, 4, 0))), 0)</f>
        <v>0</v>
      </c>
      <c r="U6867" s="22">
        <f t="shared" si="428"/>
        <v>0</v>
      </c>
      <c r="V6867">
        <f t="shared" si="429"/>
        <v>0</v>
      </c>
      <c r="W6867" s="22">
        <f t="shared" si="430"/>
        <v>0</v>
      </c>
    </row>
    <row r="6868" spans="1:23" hidden="1" x14ac:dyDescent="0.25">
      <c r="A6868" s="3">
        <v>46145</v>
      </c>
      <c r="B6868" s="46" t="s">
        <v>334</v>
      </c>
      <c r="C6868" s="4" t="s">
        <v>140</v>
      </c>
      <c r="D6868" s="4"/>
      <c r="E6868" s="4"/>
      <c r="F6868" s="46" t="s">
        <v>3289</v>
      </c>
      <c r="G6868" s="4" t="s">
        <v>336</v>
      </c>
      <c r="H6868" s="4" t="s">
        <v>289</v>
      </c>
      <c r="I6868" s="4">
        <v>0.126</v>
      </c>
      <c r="J6868" s="21">
        <v>250</v>
      </c>
      <c r="K6868" s="21">
        <v>0</v>
      </c>
      <c r="L6868" s="5">
        <v>0</v>
      </c>
      <c r="M6868" s="4"/>
      <c r="N6868" s="4"/>
      <c r="O6868" s="5"/>
      <c r="P6868" s="5"/>
      <c r="Q6868" s="21">
        <v>31.5</v>
      </c>
      <c r="R6868" s="21">
        <v>0</v>
      </c>
      <c r="S6868" s="5">
        <f t="shared" si="431"/>
        <v>44242.071749698371</v>
      </c>
      <c r="T6868" cm="1">
        <f t="array" ref="T6868">IF(OR(B6868="MAL ALIMI", B6868="ÜRETİM GİRİŞ"), MIN(I6868, MAX(0, I6868 + SUM(SUMIFS($I$1:I6867, $C$1:C6867, C6868, $B$1:B6867, {"MAL ALIMI","ÜRETİM GİRİŞ"})) - VLOOKUP(C6868, 'STOK RAPORU'!$C$2:$I$1000, 4, 0))), 0)</f>
        <v>0</v>
      </c>
      <c r="U6868" s="22">
        <f t="shared" si="428"/>
        <v>0</v>
      </c>
      <c r="V6868">
        <f t="shared" si="429"/>
        <v>0</v>
      </c>
      <c r="W6868" s="22">
        <f t="shared" si="430"/>
        <v>0</v>
      </c>
    </row>
    <row r="6869" spans="1:23" hidden="1" x14ac:dyDescent="0.25">
      <c r="A6869" s="3">
        <v>46145</v>
      </c>
      <c r="B6869" s="46" t="s">
        <v>334</v>
      </c>
      <c r="C6869" s="4" t="s">
        <v>98</v>
      </c>
      <c r="D6869" s="4"/>
      <c r="E6869" s="4"/>
      <c r="F6869" s="46" t="s">
        <v>3302</v>
      </c>
      <c r="G6869" s="4" t="s">
        <v>336</v>
      </c>
      <c r="H6869" s="4" t="s">
        <v>289</v>
      </c>
      <c r="I6869" s="4">
        <v>0.125</v>
      </c>
      <c r="J6869" s="21">
        <v>400</v>
      </c>
      <c r="K6869" s="21">
        <v>0</v>
      </c>
      <c r="L6869" s="5">
        <v>0</v>
      </c>
      <c r="M6869" s="4"/>
      <c r="N6869" s="4"/>
      <c r="O6869" s="5"/>
      <c r="P6869" s="5"/>
      <c r="Q6869" s="21">
        <v>50</v>
      </c>
      <c r="R6869" s="21">
        <v>0</v>
      </c>
      <c r="S6869" s="5">
        <f t="shared" si="431"/>
        <v>44292.071749698371</v>
      </c>
      <c r="T6869" cm="1">
        <f t="array" ref="T6869">IF(OR(B6869="MAL ALIMI", B6869="ÜRETİM GİRİŞ"), MIN(I6869, MAX(0, I6869 + SUM(SUMIFS($I$1:I6868, $C$1:C6868, C6869, $B$1:B6868, {"MAL ALIMI","ÜRETİM GİRİŞ"})) - VLOOKUP(C6869, 'STOK RAPORU'!$C$2:$I$1000, 4, 0))), 0)</f>
        <v>0</v>
      </c>
      <c r="U6869" s="22">
        <f t="shared" si="428"/>
        <v>0</v>
      </c>
      <c r="V6869">
        <f t="shared" si="429"/>
        <v>0</v>
      </c>
      <c r="W6869" s="22">
        <f t="shared" si="430"/>
        <v>0</v>
      </c>
    </row>
    <row r="6870" spans="1:23" hidden="1" x14ac:dyDescent="0.25">
      <c r="A6870" s="3">
        <v>46145</v>
      </c>
      <c r="B6870" s="46" t="s">
        <v>334</v>
      </c>
      <c r="C6870" s="4" t="s">
        <v>1897</v>
      </c>
      <c r="D6870" s="4"/>
      <c r="E6870" s="4" t="s">
        <v>921</v>
      </c>
      <c r="F6870" s="46" t="s">
        <v>3303</v>
      </c>
      <c r="G6870" s="4" t="s">
        <v>336</v>
      </c>
      <c r="H6870" s="4" t="s">
        <v>380</v>
      </c>
      <c r="I6870" s="4">
        <v>1</v>
      </c>
      <c r="J6870" s="21">
        <v>300</v>
      </c>
      <c r="K6870" s="21">
        <v>300</v>
      </c>
      <c r="L6870" s="5">
        <v>0</v>
      </c>
      <c r="M6870" s="4"/>
      <c r="N6870" s="4"/>
      <c r="O6870" s="5"/>
      <c r="P6870" s="5"/>
      <c r="Q6870" s="21">
        <v>0</v>
      </c>
      <c r="R6870" s="21">
        <v>0</v>
      </c>
      <c r="S6870" s="5">
        <f t="shared" si="431"/>
        <v>44292.071749698371</v>
      </c>
      <c r="T6870" cm="1">
        <f t="array" ref="T6870">IF(OR(B6870="MAL ALIMI", B6870="ÜRETİM GİRİŞ"), MIN(I6870, MAX(0, I6870 + SUM(SUMIFS($I$1:I6869, $C$1:C6869, C6870, $B$1:B6869, {"MAL ALIMI","ÜRETİM GİRİŞ"})) - VLOOKUP(C6870, 'STOK RAPORU'!$C$2:$I$1000, 4, 0))), 0)</f>
        <v>0</v>
      </c>
      <c r="U6870" s="22">
        <f t="shared" si="428"/>
        <v>0</v>
      </c>
      <c r="V6870">
        <f t="shared" si="429"/>
        <v>0</v>
      </c>
      <c r="W6870" s="22">
        <f t="shared" si="430"/>
        <v>0</v>
      </c>
    </row>
    <row r="6871" spans="1:23" hidden="1" x14ac:dyDescent="0.25">
      <c r="A6871" s="3">
        <v>46145</v>
      </c>
      <c r="B6871" s="46" t="s">
        <v>334</v>
      </c>
      <c r="C6871" s="4" t="s">
        <v>157</v>
      </c>
      <c r="D6871" s="4"/>
      <c r="E6871" s="4" t="s">
        <v>921</v>
      </c>
      <c r="F6871" s="46" t="s">
        <v>3304</v>
      </c>
      <c r="G6871" s="4" t="s">
        <v>336</v>
      </c>
      <c r="H6871" s="4" t="s">
        <v>380</v>
      </c>
      <c r="I6871" s="4">
        <v>0.5</v>
      </c>
      <c r="J6871" s="21">
        <v>200</v>
      </c>
      <c r="K6871" s="21">
        <v>100</v>
      </c>
      <c r="L6871" s="5">
        <v>0</v>
      </c>
      <c r="M6871" s="4"/>
      <c r="N6871" s="4"/>
      <c r="O6871" s="5"/>
      <c r="P6871" s="5"/>
      <c r="Q6871" s="21">
        <v>0</v>
      </c>
      <c r="R6871" s="21">
        <v>0</v>
      </c>
      <c r="S6871" s="5">
        <f t="shared" si="431"/>
        <v>44292.071749698371</v>
      </c>
      <c r="T6871" cm="1">
        <f t="array" ref="T6871">IF(OR(B6871="MAL ALIMI", B6871="ÜRETİM GİRİŞ"), MIN(I6871, MAX(0, I6871 + SUM(SUMIFS($I$1:I6870, $C$1:C6870, C6871, $B$1:B6870, {"MAL ALIMI","ÜRETİM GİRİŞ"})) - VLOOKUP(C6871, 'STOK RAPORU'!$C$2:$I$1000, 4, 0))), 0)</f>
        <v>0</v>
      </c>
      <c r="U6871" s="22">
        <f t="shared" si="428"/>
        <v>0</v>
      </c>
      <c r="V6871">
        <f t="shared" si="429"/>
        <v>0</v>
      </c>
      <c r="W6871" s="22">
        <f t="shared" si="430"/>
        <v>0</v>
      </c>
    </row>
    <row r="6872" spans="1:23" hidden="1" x14ac:dyDescent="0.25">
      <c r="A6872" s="3">
        <v>46145</v>
      </c>
      <c r="B6872" s="46" t="s">
        <v>334</v>
      </c>
      <c r="C6872" s="4" t="s">
        <v>158</v>
      </c>
      <c r="D6872" s="4"/>
      <c r="E6872" s="4"/>
      <c r="F6872" s="46" t="s">
        <v>3305</v>
      </c>
      <c r="G6872" s="4" t="s">
        <v>336</v>
      </c>
      <c r="H6872" s="4" t="s">
        <v>289</v>
      </c>
      <c r="I6872" s="4">
        <v>2</v>
      </c>
      <c r="J6872" s="21">
        <v>150</v>
      </c>
      <c r="K6872" s="21">
        <v>0</v>
      </c>
      <c r="L6872" s="5">
        <v>0</v>
      </c>
      <c r="M6872" s="4"/>
      <c r="N6872" s="4"/>
      <c r="O6872" s="5"/>
      <c r="P6872" s="5"/>
      <c r="Q6872" s="21">
        <v>300</v>
      </c>
      <c r="R6872" s="21">
        <v>0</v>
      </c>
      <c r="S6872" s="5">
        <f t="shared" si="431"/>
        <v>44592.071749698371</v>
      </c>
      <c r="T6872" cm="1">
        <f t="array" ref="T6872">IF(OR(B6872="MAL ALIMI", B6872="ÜRETİM GİRİŞ"), MIN(I6872, MAX(0, I6872 + SUM(SUMIFS($I$1:I6871, $C$1:C6871, C6872, $B$1:B6871, {"MAL ALIMI","ÜRETİM GİRİŞ"})) - VLOOKUP(C6872, 'STOK RAPORU'!$C$2:$I$1000, 4, 0))), 0)</f>
        <v>0</v>
      </c>
      <c r="U6872" s="22">
        <f t="shared" si="428"/>
        <v>0</v>
      </c>
      <c r="V6872">
        <f t="shared" si="429"/>
        <v>0</v>
      </c>
      <c r="W6872" s="22">
        <f t="shared" si="430"/>
        <v>0</v>
      </c>
    </row>
    <row r="6873" spans="1:23" hidden="1" x14ac:dyDescent="0.25">
      <c r="A6873" s="3">
        <v>46145</v>
      </c>
      <c r="B6873" s="46" t="s">
        <v>334</v>
      </c>
      <c r="C6873" s="4" t="s">
        <v>157</v>
      </c>
      <c r="D6873" s="4"/>
      <c r="E6873" s="4"/>
      <c r="F6873" s="46" t="s">
        <v>3305</v>
      </c>
      <c r="G6873" s="4" t="s">
        <v>336</v>
      </c>
      <c r="H6873" s="4" t="s">
        <v>289</v>
      </c>
      <c r="I6873" s="4">
        <v>1</v>
      </c>
      <c r="J6873" s="21">
        <v>200</v>
      </c>
      <c r="K6873" s="21">
        <v>0</v>
      </c>
      <c r="L6873" s="5">
        <v>0</v>
      </c>
      <c r="M6873" s="4"/>
      <c r="N6873" s="4"/>
      <c r="O6873" s="5"/>
      <c r="P6873" s="5"/>
      <c r="Q6873" s="21">
        <v>200</v>
      </c>
      <c r="R6873" s="21">
        <v>0</v>
      </c>
      <c r="S6873" s="5">
        <f t="shared" si="431"/>
        <v>44792.071749698371</v>
      </c>
      <c r="T6873" cm="1">
        <f t="array" ref="T6873">IF(OR(B6873="MAL ALIMI", B6873="ÜRETİM GİRİŞ"), MIN(I6873, MAX(0, I6873 + SUM(SUMIFS($I$1:I6872, $C$1:C6872, C6873, $B$1:B6872, {"MAL ALIMI","ÜRETİM GİRİŞ"})) - VLOOKUP(C6873, 'STOK RAPORU'!$C$2:$I$1000, 4, 0))), 0)</f>
        <v>0</v>
      </c>
      <c r="U6873" s="22">
        <f t="shared" si="428"/>
        <v>0</v>
      </c>
      <c r="V6873">
        <f t="shared" si="429"/>
        <v>0</v>
      </c>
      <c r="W6873" s="22">
        <f t="shared" si="430"/>
        <v>0</v>
      </c>
    </row>
    <row r="6874" spans="1:23" hidden="1" x14ac:dyDescent="0.25">
      <c r="A6874" s="3">
        <v>46145</v>
      </c>
      <c r="B6874" s="46" t="s">
        <v>334</v>
      </c>
      <c r="C6874" s="4" t="s">
        <v>156</v>
      </c>
      <c r="D6874" s="4"/>
      <c r="E6874" s="4"/>
      <c r="F6874" s="46" t="s">
        <v>3305</v>
      </c>
      <c r="G6874" s="4" t="s">
        <v>336</v>
      </c>
      <c r="H6874" s="4" t="s">
        <v>289</v>
      </c>
      <c r="I6874" s="4">
        <v>1</v>
      </c>
      <c r="J6874" s="21">
        <v>200</v>
      </c>
      <c r="K6874" s="21">
        <v>0</v>
      </c>
      <c r="L6874" s="5">
        <v>0</v>
      </c>
      <c r="M6874" s="4"/>
      <c r="N6874" s="4"/>
      <c r="O6874" s="5"/>
      <c r="P6874" s="5"/>
      <c r="Q6874" s="21">
        <v>200</v>
      </c>
      <c r="R6874" s="21">
        <v>0</v>
      </c>
      <c r="S6874" s="5">
        <f t="shared" si="431"/>
        <v>44992.071749698371</v>
      </c>
      <c r="T6874" cm="1">
        <f t="array" ref="T6874">IF(OR(B6874="MAL ALIMI", B6874="ÜRETİM GİRİŞ"), MIN(I6874, MAX(0, I6874 + SUM(SUMIFS($I$1:I6873, $C$1:C6873, C6874, $B$1:B6873, {"MAL ALIMI","ÜRETİM GİRİŞ"})) - VLOOKUP(C6874, 'STOK RAPORU'!$C$2:$I$1000, 4, 0))), 0)</f>
        <v>0</v>
      </c>
      <c r="U6874" s="22">
        <f t="shared" si="428"/>
        <v>0</v>
      </c>
      <c r="V6874">
        <f t="shared" si="429"/>
        <v>0</v>
      </c>
      <c r="W6874" s="22">
        <f t="shared" si="430"/>
        <v>0</v>
      </c>
    </row>
    <row r="6875" spans="1:23" hidden="1" x14ac:dyDescent="0.25">
      <c r="A6875" s="3">
        <v>46145</v>
      </c>
      <c r="B6875" s="46" t="s">
        <v>334</v>
      </c>
      <c r="C6875" s="4" t="s">
        <v>89</v>
      </c>
      <c r="D6875" s="4"/>
      <c r="E6875" s="4" t="s">
        <v>921</v>
      </c>
      <c r="F6875" s="46" t="s">
        <v>3305</v>
      </c>
      <c r="G6875" s="4" t="s">
        <v>336</v>
      </c>
      <c r="H6875" s="4" t="s">
        <v>380</v>
      </c>
      <c r="I6875" s="4">
        <v>0.7</v>
      </c>
      <c r="J6875" s="21">
        <v>571.42999999999995</v>
      </c>
      <c r="K6875" s="21">
        <v>400.00099999999992</v>
      </c>
      <c r="L6875" s="5">
        <v>0</v>
      </c>
      <c r="M6875" s="4"/>
      <c r="N6875" s="4"/>
      <c r="O6875" s="5"/>
      <c r="P6875" s="5"/>
      <c r="Q6875" s="21">
        <v>0</v>
      </c>
      <c r="R6875" s="21">
        <v>0</v>
      </c>
      <c r="S6875" s="5">
        <f t="shared" si="431"/>
        <v>44992.071749698371</v>
      </c>
      <c r="T6875" cm="1">
        <f t="array" ref="T6875">IF(OR(B6875="MAL ALIMI", B6875="ÜRETİM GİRİŞ"), MIN(I6875, MAX(0, I6875 + SUM(SUMIFS($I$1:I6874, $C$1:C6874, C6875, $B$1:B6874, {"MAL ALIMI","ÜRETİM GİRİŞ"})) - VLOOKUP(C6875, 'STOK RAPORU'!$C$2:$I$1000, 4, 0))), 0)</f>
        <v>0</v>
      </c>
      <c r="U6875" s="22">
        <f t="shared" si="428"/>
        <v>0</v>
      </c>
      <c r="V6875">
        <f t="shared" si="429"/>
        <v>0</v>
      </c>
      <c r="W6875" s="22">
        <f t="shared" si="430"/>
        <v>0</v>
      </c>
    </row>
    <row r="6876" spans="1:23" hidden="1" x14ac:dyDescent="0.25">
      <c r="A6876" s="3">
        <v>46145</v>
      </c>
      <c r="B6876" s="46" t="s">
        <v>334</v>
      </c>
      <c r="C6876" s="4" t="s">
        <v>60</v>
      </c>
      <c r="D6876" s="4"/>
      <c r="E6876" s="4"/>
      <c r="F6876" s="46" t="s">
        <v>3305</v>
      </c>
      <c r="G6876" s="4" t="s">
        <v>336</v>
      </c>
      <c r="H6876" s="4" t="s">
        <v>289</v>
      </c>
      <c r="I6876" s="4">
        <v>0.05</v>
      </c>
      <c r="J6876" s="21">
        <v>1600</v>
      </c>
      <c r="K6876" s="21">
        <v>0</v>
      </c>
      <c r="L6876" s="5">
        <v>0</v>
      </c>
      <c r="M6876" s="4"/>
      <c r="N6876" s="4"/>
      <c r="O6876" s="5"/>
      <c r="P6876" s="5"/>
      <c r="Q6876" s="21">
        <v>80</v>
      </c>
      <c r="R6876" s="21">
        <v>0</v>
      </c>
      <c r="S6876" s="5">
        <f t="shared" si="431"/>
        <v>45072.071749698371</v>
      </c>
      <c r="T6876" cm="1">
        <f t="array" ref="T6876">IF(OR(B6876="MAL ALIMI", B6876="ÜRETİM GİRİŞ"), MIN(I6876, MAX(0, I6876 + SUM(SUMIFS($I$1:I6875, $C$1:C6875, C6876, $B$1:B6875, {"MAL ALIMI","ÜRETİM GİRİŞ"})) - VLOOKUP(C6876, 'STOK RAPORU'!$C$2:$I$1000, 4, 0))), 0)</f>
        <v>0</v>
      </c>
      <c r="U6876" s="22">
        <f t="shared" si="428"/>
        <v>0</v>
      </c>
      <c r="V6876">
        <f t="shared" si="429"/>
        <v>0</v>
      </c>
      <c r="W6876" s="22">
        <f t="shared" si="430"/>
        <v>0</v>
      </c>
    </row>
    <row r="6877" spans="1:23" hidden="1" x14ac:dyDescent="0.25">
      <c r="A6877" s="3">
        <v>46145</v>
      </c>
      <c r="B6877" s="46" t="s">
        <v>334</v>
      </c>
      <c r="C6877" s="4" t="s">
        <v>136</v>
      </c>
      <c r="D6877" s="4"/>
      <c r="E6877" s="4" t="s">
        <v>921</v>
      </c>
      <c r="F6877" s="46" t="s">
        <v>3306</v>
      </c>
      <c r="G6877" s="4" t="s">
        <v>336</v>
      </c>
      <c r="H6877" s="4" t="s">
        <v>380</v>
      </c>
      <c r="I6877" s="4">
        <v>0.25</v>
      </c>
      <c r="J6877" s="21">
        <v>180</v>
      </c>
      <c r="K6877" s="21">
        <v>45</v>
      </c>
      <c r="L6877" s="5">
        <v>0</v>
      </c>
      <c r="M6877" s="4"/>
      <c r="N6877" s="4"/>
      <c r="O6877" s="5"/>
      <c r="P6877" s="5"/>
      <c r="Q6877" s="21">
        <v>0</v>
      </c>
      <c r="R6877" s="21">
        <v>0</v>
      </c>
      <c r="S6877" s="5">
        <f t="shared" si="431"/>
        <v>45072.071749698371</v>
      </c>
      <c r="T6877" cm="1">
        <f t="array" ref="T6877">IF(OR(B6877="MAL ALIMI", B6877="ÜRETİM GİRİŞ"), MIN(I6877, MAX(0, I6877 + SUM(SUMIFS($I$1:I6876, $C$1:C6876, C6877, $B$1:B6876, {"MAL ALIMI","ÜRETİM GİRİŞ"})) - VLOOKUP(C6877, 'STOK RAPORU'!$C$2:$I$1000, 4, 0))), 0)</f>
        <v>0</v>
      </c>
      <c r="U6877" s="22">
        <f t="shared" si="428"/>
        <v>0</v>
      </c>
      <c r="V6877">
        <f t="shared" si="429"/>
        <v>0</v>
      </c>
      <c r="W6877" s="22">
        <f t="shared" si="430"/>
        <v>0</v>
      </c>
    </row>
    <row r="6878" spans="1:23" hidden="1" x14ac:dyDescent="0.25">
      <c r="A6878" s="3">
        <v>46145</v>
      </c>
      <c r="B6878" s="46" t="s">
        <v>334</v>
      </c>
      <c r="C6878" s="4" t="s">
        <v>1041</v>
      </c>
      <c r="D6878" s="4"/>
      <c r="E6878" s="4"/>
      <c r="F6878" s="46" t="s">
        <v>3307</v>
      </c>
      <c r="G6878" s="4" t="s">
        <v>336</v>
      </c>
      <c r="H6878" s="4" t="s">
        <v>289</v>
      </c>
      <c r="I6878" s="4">
        <v>2</v>
      </c>
      <c r="J6878" s="21">
        <v>240</v>
      </c>
      <c r="K6878" s="21">
        <v>0</v>
      </c>
      <c r="L6878" s="5">
        <v>0</v>
      </c>
      <c r="M6878" s="4"/>
      <c r="N6878" s="4"/>
      <c r="O6878" s="5"/>
      <c r="P6878" s="5"/>
      <c r="Q6878" s="21">
        <v>480</v>
      </c>
      <c r="R6878" s="21">
        <v>0</v>
      </c>
      <c r="S6878" s="5">
        <f t="shared" si="431"/>
        <v>45552.071749698371</v>
      </c>
      <c r="T6878" cm="1">
        <f t="array" ref="T6878">IF(OR(B6878="MAL ALIMI", B6878="ÜRETİM GİRİŞ"), MIN(I6878, MAX(0, I6878 + SUM(SUMIFS($I$1:I6877, $C$1:C6877, C6878, $B$1:B6877, {"MAL ALIMI","ÜRETİM GİRİŞ"})) - VLOOKUP(C6878, 'STOK RAPORU'!$C$2:$I$1000, 4, 0))), 0)</f>
        <v>0</v>
      </c>
      <c r="U6878" s="22">
        <f t="shared" si="428"/>
        <v>0</v>
      </c>
      <c r="V6878">
        <f t="shared" si="429"/>
        <v>0</v>
      </c>
      <c r="W6878" s="22">
        <f t="shared" si="430"/>
        <v>0</v>
      </c>
    </row>
    <row r="6879" spans="1:23" hidden="1" x14ac:dyDescent="0.25">
      <c r="A6879" s="3">
        <v>46145</v>
      </c>
      <c r="B6879" s="46" t="s">
        <v>334</v>
      </c>
      <c r="C6879" s="4" t="s">
        <v>131</v>
      </c>
      <c r="D6879" s="4"/>
      <c r="E6879" s="4"/>
      <c r="F6879" s="46" t="s">
        <v>3307</v>
      </c>
      <c r="G6879" s="4" t="s">
        <v>336</v>
      </c>
      <c r="H6879" s="4" t="s">
        <v>289</v>
      </c>
      <c r="I6879" s="4">
        <v>7.2499999999999995E-2</v>
      </c>
      <c r="J6879" s="21">
        <v>300</v>
      </c>
      <c r="K6879" s="21">
        <v>0</v>
      </c>
      <c r="L6879" s="5">
        <v>0</v>
      </c>
      <c r="M6879" s="4"/>
      <c r="N6879" s="4"/>
      <c r="O6879" s="5"/>
      <c r="P6879" s="5"/>
      <c r="Q6879" s="21">
        <v>21.75</v>
      </c>
      <c r="R6879" s="21">
        <v>0</v>
      </c>
      <c r="S6879" s="5">
        <f t="shared" si="431"/>
        <v>45573.821749698371</v>
      </c>
      <c r="T6879" cm="1">
        <f t="array" ref="T6879">IF(OR(B6879="MAL ALIMI", B6879="ÜRETİM GİRİŞ"), MIN(I6879, MAX(0, I6879 + SUM(SUMIFS($I$1:I6878, $C$1:C6878, C6879, $B$1:B6878, {"MAL ALIMI","ÜRETİM GİRİŞ"})) - VLOOKUP(C6879, 'STOK RAPORU'!$C$2:$I$1000, 4, 0))), 0)</f>
        <v>0</v>
      </c>
      <c r="U6879" s="22">
        <f t="shared" si="428"/>
        <v>0</v>
      </c>
      <c r="V6879">
        <f t="shared" si="429"/>
        <v>0</v>
      </c>
      <c r="W6879" s="22">
        <f t="shared" si="430"/>
        <v>0</v>
      </c>
    </row>
    <row r="6880" spans="1:23" hidden="1" x14ac:dyDescent="0.25">
      <c r="A6880" s="3">
        <v>46146</v>
      </c>
      <c r="B6880" s="46" t="s">
        <v>334</v>
      </c>
      <c r="C6880" s="4" t="s">
        <v>98</v>
      </c>
      <c r="D6880" s="4"/>
      <c r="E6880" s="4"/>
      <c r="F6880" s="46" t="s">
        <v>3308</v>
      </c>
      <c r="G6880" s="4" t="s">
        <v>336</v>
      </c>
      <c r="H6880" s="4" t="s">
        <v>289</v>
      </c>
      <c r="I6880" s="4">
        <v>5.7500000000000002E-2</v>
      </c>
      <c r="J6880" s="21">
        <v>400</v>
      </c>
      <c r="K6880" s="21">
        <v>0</v>
      </c>
      <c r="L6880" s="5">
        <v>0</v>
      </c>
      <c r="M6880" s="4"/>
      <c r="N6880" s="4"/>
      <c r="O6880" s="5"/>
      <c r="P6880" s="5"/>
      <c r="Q6880" s="21">
        <v>23</v>
      </c>
      <c r="R6880" s="21">
        <v>0</v>
      </c>
      <c r="S6880" s="5">
        <f t="shared" si="431"/>
        <v>45596.821749698371</v>
      </c>
      <c r="T6880" cm="1">
        <f t="array" ref="T6880">IF(OR(B6880="MAL ALIMI", B6880="ÜRETİM GİRİŞ"), MIN(I6880, MAX(0, I6880 + SUM(SUMIFS($I$1:I6879, $C$1:C6879, C6880, $B$1:B6879, {"MAL ALIMI","ÜRETİM GİRİŞ"})) - VLOOKUP(C6880, 'STOK RAPORU'!$C$2:$I$1000, 4, 0))), 0)</f>
        <v>0</v>
      </c>
      <c r="U6880" s="22">
        <f t="shared" si="428"/>
        <v>0</v>
      </c>
      <c r="V6880">
        <f t="shared" si="429"/>
        <v>0</v>
      </c>
      <c r="W6880" s="22">
        <f t="shared" si="430"/>
        <v>0</v>
      </c>
    </row>
    <row r="6881" spans="1:23" hidden="1" x14ac:dyDescent="0.25">
      <c r="A6881" s="3">
        <v>46146</v>
      </c>
      <c r="B6881" s="46" t="s">
        <v>334</v>
      </c>
      <c r="C6881" s="4" t="s">
        <v>1041</v>
      </c>
      <c r="D6881" s="4"/>
      <c r="E6881" s="4" t="s">
        <v>921</v>
      </c>
      <c r="F6881" s="46" t="s">
        <v>3309</v>
      </c>
      <c r="G6881" s="4" t="s">
        <v>336</v>
      </c>
      <c r="H6881" s="4" t="s">
        <v>380</v>
      </c>
      <c r="I6881" s="4">
        <v>0.6</v>
      </c>
      <c r="J6881" s="21">
        <v>250</v>
      </c>
      <c r="K6881" s="21">
        <v>150</v>
      </c>
      <c r="L6881" s="5">
        <v>0</v>
      </c>
      <c r="M6881" s="4"/>
      <c r="N6881" s="4"/>
      <c r="O6881" s="5"/>
      <c r="P6881" s="5"/>
      <c r="Q6881" s="21">
        <v>0</v>
      </c>
      <c r="R6881" s="21">
        <v>0</v>
      </c>
      <c r="S6881" s="5">
        <f t="shared" si="431"/>
        <v>45596.821749698371</v>
      </c>
      <c r="T6881" cm="1">
        <f t="array" ref="T6881">IF(OR(B6881="MAL ALIMI", B6881="ÜRETİM GİRİŞ"), MIN(I6881, MAX(0, I6881 + SUM(SUMIFS($I$1:I6880, $C$1:C6880, C6881, $B$1:B6880, {"MAL ALIMI","ÜRETİM GİRİŞ"})) - VLOOKUP(C6881, 'STOK RAPORU'!$C$2:$I$1000, 4, 0))), 0)</f>
        <v>0</v>
      </c>
      <c r="U6881" s="22">
        <f t="shared" si="428"/>
        <v>0</v>
      </c>
      <c r="V6881">
        <f t="shared" si="429"/>
        <v>0</v>
      </c>
      <c r="W6881" s="22">
        <f t="shared" si="430"/>
        <v>0</v>
      </c>
    </row>
    <row r="6882" spans="1:23" hidden="1" x14ac:dyDescent="0.25">
      <c r="A6882" s="3">
        <v>46146</v>
      </c>
      <c r="B6882" s="46" t="s">
        <v>334</v>
      </c>
      <c r="C6882" s="4" t="s">
        <v>157</v>
      </c>
      <c r="D6882" s="4"/>
      <c r="E6882" s="4" t="s">
        <v>921</v>
      </c>
      <c r="F6882" s="46" t="s">
        <v>3309</v>
      </c>
      <c r="G6882" s="4" t="s">
        <v>336</v>
      </c>
      <c r="H6882" s="4" t="s">
        <v>380</v>
      </c>
      <c r="I6882" s="4">
        <v>1</v>
      </c>
      <c r="J6882" s="21">
        <v>200</v>
      </c>
      <c r="K6882" s="21">
        <v>200</v>
      </c>
      <c r="L6882" s="5">
        <v>0</v>
      </c>
      <c r="M6882" s="4"/>
      <c r="N6882" s="4"/>
      <c r="O6882" s="5"/>
      <c r="P6882" s="5"/>
      <c r="Q6882" s="21">
        <v>0</v>
      </c>
      <c r="R6882" s="21">
        <v>0</v>
      </c>
      <c r="S6882" s="5">
        <f t="shared" si="431"/>
        <v>45596.821749698371</v>
      </c>
      <c r="T6882" cm="1">
        <f t="array" ref="T6882">IF(OR(B6882="MAL ALIMI", B6882="ÜRETİM GİRİŞ"), MIN(I6882, MAX(0, I6882 + SUM(SUMIFS($I$1:I6881, $C$1:C6881, C6882, $B$1:B6881, {"MAL ALIMI","ÜRETİM GİRİŞ"})) - VLOOKUP(C6882, 'STOK RAPORU'!$C$2:$I$1000, 4, 0))), 0)</f>
        <v>0</v>
      </c>
      <c r="U6882" s="22">
        <f t="shared" si="428"/>
        <v>0</v>
      </c>
      <c r="V6882">
        <f t="shared" si="429"/>
        <v>0</v>
      </c>
      <c r="W6882" s="22">
        <f t="shared" si="430"/>
        <v>0</v>
      </c>
    </row>
    <row r="6883" spans="1:23" hidden="1" x14ac:dyDescent="0.25">
      <c r="A6883" s="3">
        <v>46146</v>
      </c>
      <c r="B6883" s="46" t="s">
        <v>334</v>
      </c>
      <c r="C6883" s="4" t="s">
        <v>158</v>
      </c>
      <c r="D6883" s="4"/>
      <c r="E6883" s="4" t="s">
        <v>921</v>
      </c>
      <c r="F6883" s="46" t="s">
        <v>3309</v>
      </c>
      <c r="G6883" s="4" t="s">
        <v>336</v>
      </c>
      <c r="H6883" s="4" t="s">
        <v>380</v>
      </c>
      <c r="I6883" s="4">
        <v>1</v>
      </c>
      <c r="J6883" s="21">
        <v>150</v>
      </c>
      <c r="K6883" s="21">
        <v>150</v>
      </c>
      <c r="L6883" s="5">
        <v>0</v>
      </c>
      <c r="M6883" s="4"/>
      <c r="N6883" s="4"/>
      <c r="O6883" s="5"/>
      <c r="P6883" s="5"/>
      <c r="Q6883" s="21">
        <v>0</v>
      </c>
      <c r="R6883" s="21">
        <v>0</v>
      </c>
      <c r="S6883" s="5">
        <f t="shared" si="431"/>
        <v>45596.821749698371</v>
      </c>
      <c r="T6883" cm="1">
        <f t="array" ref="T6883">IF(OR(B6883="MAL ALIMI", B6883="ÜRETİM GİRİŞ"), MIN(I6883, MAX(0, I6883 + SUM(SUMIFS($I$1:I6882, $C$1:C6882, C6883, $B$1:B6882, {"MAL ALIMI","ÜRETİM GİRİŞ"})) - VLOOKUP(C6883, 'STOK RAPORU'!$C$2:$I$1000, 4, 0))), 0)</f>
        <v>0</v>
      </c>
      <c r="U6883" s="22">
        <f t="shared" si="428"/>
        <v>0</v>
      </c>
      <c r="V6883">
        <f t="shared" si="429"/>
        <v>0</v>
      </c>
      <c r="W6883" s="22">
        <f t="shared" si="430"/>
        <v>0</v>
      </c>
    </row>
    <row r="6884" spans="1:23" hidden="1" x14ac:dyDescent="0.25">
      <c r="A6884" s="3">
        <v>46146</v>
      </c>
      <c r="B6884" s="46" t="s">
        <v>334</v>
      </c>
      <c r="C6884" s="4" t="s">
        <v>202</v>
      </c>
      <c r="D6884" s="4"/>
      <c r="E6884" s="4" t="s">
        <v>921</v>
      </c>
      <c r="F6884" s="46" t="s">
        <v>3309</v>
      </c>
      <c r="G6884" s="4" t="s">
        <v>336</v>
      </c>
      <c r="H6884" s="4" t="s">
        <v>380</v>
      </c>
      <c r="I6884" s="4">
        <v>0.5</v>
      </c>
      <c r="J6884" s="21">
        <v>80</v>
      </c>
      <c r="K6884" s="21">
        <v>40</v>
      </c>
      <c r="L6884" s="5">
        <v>0</v>
      </c>
      <c r="M6884" s="4"/>
      <c r="N6884" s="4"/>
      <c r="O6884" s="5"/>
      <c r="P6884" s="5"/>
      <c r="Q6884" s="21">
        <v>0</v>
      </c>
      <c r="R6884" s="21">
        <v>0</v>
      </c>
      <c r="S6884" s="5">
        <f t="shared" si="431"/>
        <v>45596.821749698371</v>
      </c>
      <c r="T6884" cm="1">
        <f t="array" ref="T6884">IF(OR(B6884="MAL ALIMI", B6884="ÜRETİM GİRİŞ"), MIN(I6884, MAX(0, I6884 + SUM(SUMIFS($I$1:I6883, $C$1:C6883, C6884, $B$1:B6883, {"MAL ALIMI","ÜRETİM GİRİŞ"})) - VLOOKUP(C6884, 'STOK RAPORU'!$C$2:$I$1000, 4, 0))), 0)</f>
        <v>0</v>
      </c>
      <c r="U6884" s="22">
        <f t="shared" si="428"/>
        <v>0</v>
      </c>
      <c r="V6884">
        <f t="shared" si="429"/>
        <v>0</v>
      </c>
      <c r="W6884" s="22">
        <f t="shared" si="430"/>
        <v>0</v>
      </c>
    </row>
    <row r="6885" spans="1:23" hidden="1" x14ac:dyDescent="0.25">
      <c r="A6885" s="3">
        <v>46146</v>
      </c>
      <c r="B6885" s="46" t="s">
        <v>334</v>
      </c>
      <c r="C6885" s="4" t="s">
        <v>192</v>
      </c>
      <c r="D6885" s="4"/>
      <c r="E6885" s="4"/>
      <c r="F6885" s="46" t="s">
        <v>3310</v>
      </c>
      <c r="G6885" s="4" t="s">
        <v>336</v>
      </c>
      <c r="H6885" s="4" t="s">
        <v>289</v>
      </c>
      <c r="I6885" s="4">
        <v>0.11990407673860912</v>
      </c>
      <c r="J6885" s="21">
        <v>417</v>
      </c>
      <c r="K6885" s="21">
        <v>0</v>
      </c>
      <c r="L6885" s="5">
        <v>0</v>
      </c>
      <c r="M6885" s="4"/>
      <c r="N6885" s="4"/>
      <c r="O6885" s="5"/>
      <c r="P6885" s="5"/>
      <c r="Q6885" s="21">
        <v>50</v>
      </c>
      <c r="R6885" s="21">
        <v>0</v>
      </c>
      <c r="S6885" s="5">
        <f t="shared" si="431"/>
        <v>45646.821749698371</v>
      </c>
      <c r="T6885" cm="1">
        <f t="array" ref="T6885">IF(OR(B6885="MAL ALIMI", B6885="ÜRETİM GİRİŞ"), MIN(I6885, MAX(0, I6885 + SUM(SUMIFS($I$1:I6884, $C$1:C6884, C6885, $B$1:B6884, {"MAL ALIMI","ÜRETİM GİRİŞ"})) - VLOOKUP(C6885, 'STOK RAPORU'!$C$2:$I$1000, 4, 0))), 0)</f>
        <v>0</v>
      </c>
      <c r="U6885" s="22">
        <f t="shared" si="428"/>
        <v>0</v>
      </c>
      <c r="V6885">
        <f t="shared" si="429"/>
        <v>0</v>
      </c>
      <c r="W6885" s="22">
        <f t="shared" si="430"/>
        <v>0</v>
      </c>
    </row>
    <row r="6886" spans="1:23" hidden="1" x14ac:dyDescent="0.25">
      <c r="A6886" s="3">
        <v>46146</v>
      </c>
      <c r="B6886" s="46" t="s">
        <v>334</v>
      </c>
      <c r="C6886" s="4" t="s">
        <v>461</v>
      </c>
      <c r="D6886" s="4"/>
      <c r="E6886" s="4"/>
      <c r="F6886" s="46" t="s">
        <v>3311</v>
      </c>
      <c r="G6886" s="4" t="s">
        <v>336</v>
      </c>
      <c r="H6886" s="4" t="s">
        <v>289</v>
      </c>
      <c r="I6886" s="4">
        <v>1</v>
      </c>
      <c r="J6886" s="21">
        <v>100</v>
      </c>
      <c r="K6886" s="21">
        <v>0</v>
      </c>
      <c r="L6886" s="5">
        <v>0</v>
      </c>
      <c r="M6886" s="4"/>
      <c r="N6886" s="4"/>
      <c r="O6886" s="5"/>
      <c r="P6886" s="5"/>
      <c r="Q6886" s="21">
        <v>100</v>
      </c>
      <c r="R6886" s="21">
        <v>0</v>
      </c>
      <c r="S6886" s="5">
        <f t="shared" si="431"/>
        <v>45746.821749698371</v>
      </c>
      <c r="T6886" cm="1">
        <f t="array" ref="T6886">IF(OR(B6886="MAL ALIMI", B6886="ÜRETİM GİRİŞ"), MIN(I6886, MAX(0, I6886 + SUM(SUMIFS($I$1:I6885, $C$1:C6885, C6886, $B$1:B6885, {"MAL ALIMI","ÜRETİM GİRİŞ"})) - VLOOKUP(C6886, 'STOK RAPORU'!$C$2:$I$1000, 4, 0))), 0)</f>
        <v>0</v>
      </c>
      <c r="U6886" s="22">
        <f t="shared" si="428"/>
        <v>0</v>
      </c>
      <c r="V6886">
        <f t="shared" si="429"/>
        <v>0</v>
      </c>
      <c r="W6886" s="22">
        <f t="shared" si="430"/>
        <v>0</v>
      </c>
    </row>
    <row r="6887" spans="1:23" hidden="1" x14ac:dyDescent="0.25">
      <c r="A6887" s="3">
        <v>46146</v>
      </c>
      <c r="B6887" s="46" t="s">
        <v>334</v>
      </c>
      <c r="C6887" s="4" t="s">
        <v>1894</v>
      </c>
      <c r="D6887" s="4"/>
      <c r="E6887" s="4"/>
      <c r="F6887" s="46" t="s">
        <v>3311</v>
      </c>
      <c r="G6887" s="4" t="s">
        <v>336</v>
      </c>
      <c r="H6887" s="4" t="s">
        <v>289</v>
      </c>
      <c r="I6887" s="4">
        <v>1</v>
      </c>
      <c r="J6887" s="21">
        <v>70</v>
      </c>
      <c r="K6887" s="21">
        <v>0</v>
      </c>
      <c r="L6887" s="5">
        <v>0</v>
      </c>
      <c r="M6887" s="4"/>
      <c r="N6887" s="4"/>
      <c r="O6887" s="5"/>
      <c r="P6887" s="5"/>
      <c r="Q6887" s="21">
        <v>70</v>
      </c>
      <c r="R6887" s="21">
        <v>0</v>
      </c>
      <c r="S6887" s="5">
        <f t="shared" si="431"/>
        <v>45816.821749698371</v>
      </c>
      <c r="T6887" cm="1">
        <f t="array" ref="T6887">IF(OR(B6887="MAL ALIMI", B6887="ÜRETİM GİRİŞ"), MIN(I6887, MAX(0, I6887 + SUM(SUMIFS($I$1:I6886, $C$1:C6886, C6887, $B$1:B6886, {"MAL ALIMI","ÜRETİM GİRİŞ"})) - VLOOKUP(C6887, 'STOK RAPORU'!$C$2:$I$1000, 4, 0))), 0)</f>
        <v>0</v>
      </c>
      <c r="U6887" s="22">
        <f t="shared" si="428"/>
        <v>0</v>
      </c>
      <c r="V6887">
        <f t="shared" si="429"/>
        <v>0</v>
      </c>
      <c r="W6887" s="22">
        <f t="shared" si="430"/>
        <v>0</v>
      </c>
    </row>
    <row r="6888" spans="1:23" hidden="1" x14ac:dyDescent="0.25">
      <c r="A6888" s="3">
        <v>46146</v>
      </c>
      <c r="B6888" s="46" t="s">
        <v>334</v>
      </c>
      <c r="C6888" s="4" t="s">
        <v>2118</v>
      </c>
      <c r="D6888" s="4"/>
      <c r="E6888" s="4"/>
      <c r="F6888" s="46" t="s">
        <v>3312</v>
      </c>
      <c r="G6888" s="4" t="s">
        <v>336</v>
      </c>
      <c r="H6888" s="4" t="s">
        <v>289</v>
      </c>
      <c r="I6888" s="4">
        <v>1</v>
      </c>
      <c r="J6888" s="21">
        <v>150</v>
      </c>
      <c r="K6888" s="21">
        <v>0</v>
      </c>
      <c r="L6888" s="5">
        <v>0</v>
      </c>
      <c r="M6888" s="4"/>
      <c r="N6888" s="4"/>
      <c r="O6888" s="5"/>
      <c r="P6888" s="5"/>
      <c r="Q6888" s="21">
        <v>150</v>
      </c>
      <c r="R6888" s="21">
        <v>0</v>
      </c>
      <c r="S6888" s="5">
        <f t="shared" si="431"/>
        <v>45966.821749698371</v>
      </c>
      <c r="T6888" cm="1">
        <f t="array" ref="T6888">IF(OR(B6888="MAL ALIMI", B6888="ÜRETİM GİRİŞ"), MIN(I6888, MAX(0, I6888 + SUM(SUMIFS($I$1:I6887, $C$1:C6887, C6888, $B$1:B6887, {"MAL ALIMI","ÜRETİM GİRİŞ"})) - VLOOKUP(C6888, 'STOK RAPORU'!$C$2:$I$1000, 4, 0))), 0)</f>
        <v>0</v>
      </c>
      <c r="U6888" s="22">
        <f t="shared" si="428"/>
        <v>0</v>
      </c>
      <c r="V6888">
        <f t="shared" si="429"/>
        <v>0</v>
      </c>
      <c r="W6888" s="22">
        <f t="shared" si="430"/>
        <v>0</v>
      </c>
    </row>
    <row r="6889" spans="1:23" hidden="1" x14ac:dyDescent="0.25">
      <c r="A6889" s="3">
        <v>46146</v>
      </c>
      <c r="B6889" s="46" t="s">
        <v>334</v>
      </c>
      <c r="C6889" s="4" t="s">
        <v>157</v>
      </c>
      <c r="D6889" s="4"/>
      <c r="E6889" s="4"/>
      <c r="F6889" s="46" t="s">
        <v>3313</v>
      </c>
      <c r="G6889" s="4" t="s">
        <v>336</v>
      </c>
      <c r="H6889" s="4" t="s">
        <v>289</v>
      </c>
      <c r="I6889" s="4">
        <v>1</v>
      </c>
      <c r="J6889" s="21">
        <v>200</v>
      </c>
      <c r="K6889" s="21">
        <v>0</v>
      </c>
      <c r="L6889" s="5">
        <v>0</v>
      </c>
      <c r="M6889" s="4"/>
      <c r="N6889" s="4"/>
      <c r="O6889" s="5"/>
      <c r="P6889" s="5"/>
      <c r="Q6889" s="21">
        <v>200</v>
      </c>
      <c r="R6889" s="21">
        <v>0</v>
      </c>
      <c r="S6889" s="5">
        <f t="shared" si="431"/>
        <v>46166.821749698371</v>
      </c>
      <c r="T6889" cm="1">
        <f t="array" ref="T6889">IF(OR(B6889="MAL ALIMI", B6889="ÜRETİM GİRİŞ"), MIN(I6889, MAX(0, I6889 + SUM(SUMIFS($I$1:I6888, $C$1:C6888, C6889, $B$1:B6888, {"MAL ALIMI","ÜRETİM GİRİŞ"})) - VLOOKUP(C6889, 'STOK RAPORU'!$C$2:$I$1000, 4, 0))), 0)</f>
        <v>0</v>
      </c>
      <c r="U6889" s="22">
        <f t="shared" si="428"/>
        <v>0</v>
      </c>
      <c r="V6889">
        <f t="shared" si="429"/>
        <v>0</v>
      </c>
      <c r="W6889" s="22">
        <f t="shared" si="430"/>
        <v>0</v>
      </c>
    </row>
    <row r="6890" spans="1:23" hidden="1" x14ac:dyDescent="0.25">
      <c r="A6890" s="3">
        <v>46146</v>
      </c>
      <c r="B6890" s="46" t="s">
        <v>334</v>
      </c>
      <c r="C6890" s="4" t="s">
        <v>158</v>
      </c>
      <c r="D6890" s="4"/>
      <c r="E6890" s="4"/>
      <c r="F6890" s="46" t="s">
        <v>3313</v>
      </c>
      <c r="G6890" s="4" t="s">
        <v>336</v>
      </c>
      <c r="H6890" s="4" t="s">
        <v>289</v>
      </c>
      <c r="I6890" s="4">
        <v>1</v>
      </c>
      <c r="J6890" s="21">
        <v>150</v>
      </c>
      <c r="K6890" s="21">
        <v>0</v>
      </c>
      <c r="L6890" s="5">
        <v>0</v>
      </c>
      <c r="M6890" s="4"/>
      <c r="N6890" s="4"/>
      <c r="O6890" s="5"/>
      <c r="P6890" s="5"/>
      <c r="Q6890" s="21">
        <v>150</v>
      </c>
      <c r="R6890" s="21">
        <v>0</v>
      </c>
      <c r="S6890" s="5">
        <f t="shared" si="431"/>
        <v>46316.821749698371</v>
      </c>
      <c r="T6890" cm="1">
        <f t="array" ref="T6890">IF(OR(B6890="MAL ALIMI", B6890="ÜRETİM GİRİŞ"), MIN(I6890, MAX(0, I6890 + SUM(SUMIFS($I$1:I6889, $C$1:C6889, C6890, $B$1:B6889, {"MAL ALIMI","ÜRETİM GİRİŞ"})) - VLOOKUP(C6890, 'STOK RAPORU'!$C$2:$I$1000, 4, 0))), 0)</f>
        <v>0</v>
      </c>
      <c r="U6890" s="22">
        <f t="shared" si="428"/>
        <v>0</v>
      </c>
      <c r="V6890">
        <f t="shared" si="429"/>
        <v>0</v>
      </c>
      <c r="W6890" s="22">
        <f t="shared" si="430"/>
        <v>0</v>
      </c>
    </row>
    <row r="6891" spans="1:23" hidden="1" x14ac:dyDescent="0.25">
      <c r="A6891" s="3">
        <v>46146</v>
      </c>
      <c r="B6891" s="46" t="s">
        <v>334</v>
      </c>
      <c r="C6891" s="4" t="s">
        <v>463</v>
      </c>
      <c r="D6891" s="4"/>
      <c r="E6891" s="4"/>
      <c r="F6891" s="46" t="s">
        <v>3313</v>
      </c>
      <c r="G6891" s="4" t="s">
        <v>336</v>
      </c>
      <c r="H6891" s="4" t="s">
        <v>289</v>
      </c>
      <c r="I6891" s="4">
        <v>0.16500000000000001</v>
      </c>
      <c r="J6891" s="21">
        <v>400</v>
      </c>
      <c r="K6891" s="21">
        <v>0</v>
      </c>
      <c r="L6891" s="5">
        <v>0</v>
      </c>
      <c r="M6891" s="4"/>
      <c r="N6891" s="4"/>
      <c r="O6891" s="5"/>
      <c r="P6891" s="5"/>
      <c r="Q6891" s="21">
        <v>66</v>
      </c>
      <c r="R6891" s="21">
        <v>0</v>
      </c>
      <c r="S6891" s="5">
        <f t="shared" si="431"/>
        <v>46382.821749698371</v>
      </c>
      <c r="T6891" cm="1">
        <f t="array" ref="T6891">IF(OR(B6891="MAL ALIMI", B6891="ÜRETİM GİRİŞ"), MIN(I6891, MAX(0, I6891 + SUM(SUMIFS($I$1:I6890, $C$1:C6890, C6891, $B$1:B6890, {"MAL ALIMI","ÜRETİM GİRİŞ"})) - VLOOKUP(C6891, 'STOK RAPORU'!$C$2:$I$1000, 4, 0))), 0)</f>
        <v>0</v>
      </c>
      <c r="U6891" s="22">
        <f t="shared" si="428"/>
        <v>0</v>
      </c>
      <c r="V6891">
        <f t="shared" si="429"/>
        <v>0</v>
      </c>
      <c r="W6891" s="22">
        <f t="shared" si="430"/>
        <v>0</v>
      </c>
    </row>
    <row r="6892" spans="1:23" hidden="1" x14ac:dyDescent="0.25">
      <c r="A6892" s="3">
        <v>46146</v>
      </c>
      <c r="B6892" s="46" t="s">
        <v>334</v>
      </c>
      <c r="C6892" s="4" t="s">
        <v>157</v>
      </c>
      <c r="D6892" s="4"/>
      <c r="E6892" s="4"/>
      <c r="F6892" s="46" t="s">
        <v>3314</v>
      </c>
      <c r="G6892" s="4" t="s">
        <v>336</v>
      </c>
      <c r="H6892" s="4" t="s">
        <v>289</v>
      </c>
      <c r="I6892" s="4">
        <v>1</v>
      </c>
      <c r="J6892" s="21">
        <v>200</v>
      </c>
      <c r="K6892" s="21">
        <v>0</v>
      </c>
      <c r="L6892" s="5">
        <v>0</v>
      </c>
      <c r="M6892" s="4"/>
      <c r="N6892" s="4"/>
      <c r="O6892" s="5"/>
      <c r="P6892" s="5"/>
      <c r="Q6892" s="21">
        <v>200</v>
      </c>
      <c r="R6892" s="21">
        <v>0</v>
      </c>
      <c r="S6892" s="5">
        <f t="shared" si="431"/>
        <v>46582.821749698371</v>
      </c>
      <c r="T6892" cm="1">
        <f t="array" ref="T6892">IF(OR(B6892="MAL ALIMI", B6892="ÜRETİM GİRİŞ"), MIN(I6892, MAX(0, I6892 + SUM(SUMIFS($I$1:I6891, $C$1:C6891, C6892, $B$1:B6891, {"MAL ALIMI","ÜRETİM GİRİŞ"})) - VLOOKUP(C6892, 'STOK RAPORU'!$C$2:$I$1000, 4, 0))), 0)</f>
        <v>0</v>
      </c>
      <c r="U6892" s="22">
        <f t="shared" si="428"/>
        <v>0</v>
      </c>
      <c r="V6892">
        <f t="shared" si="429"/>
        <v>0</v>
      </c>
      <c r="W6892" s="22">
        <f t="shared" si="430"/>
        <v>0</v>
      </c>
    </row>
    <row r="6893" spans="1:23" hidden="1" x14ac:dyDescent="0.25">
      <c r="A6893" s="3">
        <v>46146</v>
      </c>
      <c r="B6893" s="46" t="s">
        <v>334</v>
      </c>
      <c r="C6893" s="4" t="s">
        <v>697</v>
      </c>
      <c r="D6893" s="4"/>
      <c r="E6893" s="4"/>
      <c r="F6893" s="46" t="s">
        <v>3314</v>
      </c>
      <c r="G6893" s="4" t="s">
        <v>336</v>
      </c>
      <c r="H6893" s="4" t="s">
        <v>289</v>
      </c>
      <c r="I6893" s="4">
        <v>0.1</v>
      </c>
      <c r="J6893" s="21">
        <v>750</v>
      </c>
      <c r="K6893" s="21">
        <v>0</v>
      </c>
      <c r="L6893" s="5">
        <v>0</v>
      </c>
      <c r="M6893" s="4"/>
      <c r="N6893" s="4"/>
      <c r="O6893" s="5"/>
      <c r="P6893" s="5"/>
      <c r="Q6893" s="21">
        <v>75</v>
      </c>
      <c r="R6893" s="21">
        <v>0</v>
      </c>
      <c r="S6893" s="5">
        <f t="shared" si="431"/>
        <v>46657.821749698371</v>
      </c>
      <c r="T6893" cm="1">
        <f t="array" ref="T6893">IF(OR(B6893="MAL ALIMI", B6893="ÜRETİM GİRİŞ"), MIN(I6893, MAX(0, I6893 + SUM(SUMIFS($I$1:I6892, $C$1:C6892, C6893, $B$1:B6892, {"MAL ALIMI","ÜRETİM GİRİŞ"})) - VLOOKUP(C6893, 'STOK RAPORU'!$C$2:$I$1000, 4, 0))), 0)</f>
        <v>0</v>
      </c>
      <c r="U6893" s="22">
        <f t="shared" si="428"/>
        <v>0</v>
      </c>
      <c r="V6893">
        <f t="shared" si="429"/>
        <v>0</v>
      </c>
      <c r="W6893" s="22">
        <f t="shared" si="430"/>
        <v>0</v>
      </c>
    </row>
    <row r="6894" spans="1:23" hidden="1" x14ac:dyDescent="0.25">
      <c r="A6894" s="3">
        <v>46146</v>
      </c>
      <c r="B6894" s="46" t="s">
        <v>334</v>
      </c>
      <c r="C6894" s="4" t="s">
        <v>1151</v>
      </c>
      <c r="D6894" s="4"/>
      <c r="E6894" s="4"/>
      <c r="F6894" s="46" t="s">
        <v>3314</v>
      </c>
      <c r="G6894" s="4" t="s">
        <v>336</v>
      </c>
      <c r="H6894" s="4" t="s">
        <v>289</v>
      </c>
      <c r="I6894" s="4">
        <v>0.19444444444444445</v>
      </c>
      <c r="J6894" s="21">
        <v>400</v>
      </c>
      <c r="K6894" s="21">
        <v>0</v>
      </c>
      <c r="L6894" s="5">
        <v>0</v>
      </c>
      <c r="M6894" s="4"/>
      <c r="N6894" s="4"/>
      <c r="O6894" s="5"/>
      <c r="P6894" s="5"/>
      <c r="Q6894" s="21">
        <v>77.777777777777786</v>
      </c>
      <c r="R6894" s="21">
        <v>0</v>
      </c>
      <c r="S6894" s="5">
        <f t="shared" si="431"/>
        <v>46735.599527476152</v>
      </c>
      <c r="T6894" cm="1">
        <f t="array" ref="T6894">IF(OR(B6894="MAL ALIMI", B6894="ÜRETİM GİRİŞ"), MIN(I6894, MAX(0, I6894 + SUM(SUMIFS($I$1:I6893, $C$1:C6893, C6894, $B$1:B6893, {"MAL ALIMI","ÜRETİM GİRİŞ"})) - VLOOKUP(C6894, 'STOK RAPORU'!$C$2:$I$1000, 4, 0))), 0)</f>
        <v>0</v>
      </c>
      <c r="U6894" s="22">
        <f t="shared" si="428"/>
        <v>0</v>
      </c>
      <c r="V6894">
        <f t="shared" si="429"/>
        <v>0</v>
      </c>
      <c r="W6894" s="22">
        <f t="shared" si="430"/>
        <v>0</v>
      </c>
    </row>
    <row r="6895" spans="1:23" hidden="1" x14ac:dyDescent="0.25">
      <c r="A6895" s="3">
        <v>46146</v>
      </c>
      <c r="B6895" s="46" t="s">
        <v>334</v>
      </c>
      <c r="C6895" s="4" t="s">
        <v>1443</v>
      </c>
      <c r="D6895" s="4"/>
      <c r="E6895" s="4"/>
      <c r="F6895" s="46" t="s">
        <v>3314</v>
      </c>
      <c r="G6895" s="4" t="s">
        <v>336</v>
      </c>
      <c r="H6895" s="4" t="s">
        <v>289</v>
      </c>
      <c r="I6895" s="4">
        <v>1</v>
      </c>
      <c r="J6895" s="21">
        <v>20</v>
      </c>
      <c r="K6895" s="21">
        <v>0</v>
      </c>
      <c r="L6895" s="5">
        <v>0</v>
      </c>
      <c r="M6895" s="4"/>
      <c r="N6895" s="4"/>
      <c r="O6895" s="5"/>
      <c r="P6895" s="5"/>
      <c r="Q6895" s="21">
        <v>20</v>
      </c>
      <c r="R6895" s="21">
        <v>0</v>
      </c>
      <c r="S6895" s="5">
        <f t="shared" si="431"/>
        <v>46755.599527476152</v>
      </c>
      <c r="T6895" cm="1">
        <f t="array" ref="T6895">IF(OR(B6895="MAL ALIMI", B6895="ÜRETİM GİRİŞ"), MIN(I6895, MAX(0, I6895 + SUM(SUMIFS($I$1:I6894, $C$1:C6894, C6895, $B$1:B6894, {"MAL ALIMI","ÜRETİM GİRİŞ"})) - VLOOKUP(C6895, 'STOK RAPORU'!$C$2:$I$1000, 4, 0))), 0)</f>
        <v>0</v>
      </c>
      <c r="U6895" s="22">
        <f t="shared" si="428"/>
        <v>0</v>
      </c>
      <c r="V6895">
        <f t="shared" si="429"/>
        <v>0</v>
      </c>
      <c r="W6895" s="22">
        <f t="shared" si="430"/>
        <v>0</v>
      </c>
    </row>
    <row r="6896" spans="1:23" hidden="1" x14ac:dyDescent="0.25">
      <c r="A6896" s="3">
        <v>46146</v>
      </c>
      <c r="B6896" s="46" t="s">
        <v>334</v>
      </c>
      <c r="C6896" s="4" t="s">
        <v>158</v>
      </c>
      <c r="D6896" s="4"/>
      <c r="E6896" s="4"/>
      <c r="F6896" s="46" t="s">
        <v>3314</v>
      </c>
      <c r="G6896" s="4" t="s">
        <v>336</v>
      </c>
      <c r="H6896" s="4" t="s">
        <v>289</v>
      </c>
      <c r="I6896" s="4">
        <v>1</v>
      </c>
      <c r="J6896" s="21">
        <v>150</v>
      </c>
      <c r="K6896" s="21">
        <v>0</v>
      </c>
      <c r="L6896" s="5">
        <v>0</v>
      </c>
      <c r="M6896" s="4"/>
      <c r="N6896" s="4"/>
      <c r="O6896" s="5"/>
      <c r="P6896" s="5"/>
      <c r="Q6896" s="21">
        <v>150</v>
      </c>
      <c r="R6896" s="21">
        <v>0</v>
      </c>
      <c r="S6896" s="5">
        <f t="shared" si="431"/>
        <v>46905.599527476152</v>
      </c>
      <c r="T6896" cm="1">
        <f t="array" ref="T6896">IF(OR(B6896="MAL ALIMI", B6896="ÜRETİM GİRİŞ"), MIN(I6896, MAX(0, I6896 + SUM(SUMIFS($I$1:I6895, $C$1:C6895, C6896, $B$1:B6895, {"MAL ALIMI","ÜRETİM GİRİŞ"})) - VLOOKUP(C6896, 'STOK RAPORU'!$C$2:$I$1000, 4, 0))), 0)</f>
        <v>0</v>
      </c>
      <c r="U6896" s="22">
        <f t="shared" si="428"/>
        <v>0</v>
      </c>
      <c r="V6896">
        <f t="shared" si="429"/>
        <v>0</v>
      </c>
      <c r="W6896" s="22">
        <f t="shared" si="430"/>
        <v>0</v>
      </c>
    </row>
    <row r="6897" spans="1:23" hidden="1" x14ac:dyDescent="0.25">
      <c r="A6897" s="3">
        <v>46146</v>
      </c>
      <c r="B6897" s="46" t="s">
        <v>334</v>
      </c>
      <c r="C6897" s="4" t="s">
        <v>1443</v>
      </c>
      <c r="D6897" s="4"/>
      <c r="E6897" s="4"/>
      <c r="F6897" s="46" t="s">
        <v>3315</v>
      </c>
      <c r="G6897" s="4" t="s">
        <v>336</v>
      </c>
      <c r="H6897" s="4" t="s">
        <v>289</v>
      </c>
      <c r="I6897" s="4">
        <v>1</v>
      </c>
      <c r="J6897" s="21">
        <v>20</v>
      </c>
      <c r="K6897" s="21">
        <v>0</v>
      </c>
      <c r="L6897" s="5">
        <v>0</v>
      </c>
      <c r="M6897" s="4"/>
      <c r="N6897" s="4"/>
      <c r="O6897" s="5"/>
      <c r="P6897" s="5"/>
      <c r="Q6897" s="21">
        <v>20</v>
      </c>
      <c r="R6897" s="21">
        <v>0</v>
      </c>
      <c r="S6897" s="5">
        <f t="shared" si="431"/>
        <v>46925.599527476152</v>
      </c>
      <c r="T6897" cm="1">
        <f t="array" ref="T6897">IF(OR(B6897="MAL ALIMI", B6897="ÜRETİM GİRİŞ"), MIN(I6897, MAX(0, I6897 + SUM(SUMIFS($I$1:I6896, $C$1:C6896, C6897, $B$1:B6896, {"MAL ALIMI","ÜRETİM GİRİŞ"})) - VLOOKUP(C6897, 'STOK RAPORU'!$C$2:$I$1000, 4, 0))), 0)</f>
        <v>0</v>
      </c>
      <c r="U6897" s="22">
        <f t="shared" si="428"/>
        <v>0</v>
      </c>
      <c r="V6897">
        <f t="shared" si="429"/>
        <v>0</v>
      </c>
      <c r="W6897" s="22">
        <f t="shared" si="430"/>
        <v>0</v>
      </c>
    </row>
    <row r="6898" spans="1:23" hidden="1" x14ac:dyDescent="0.25">
      <c r="A6898" s="3">
        <v>46146</v>
      </c>
      <c r="B6898" s="46" t="s">
        <v>334</v>
      </c>
      <c r="C6898" s="4" t="s">
        <v>589</v>
      </c>
      <c r="D6898" s="4"/>
      <c r="E6898" s="4"/>
      <c r="F6898" s="46" t="s">
        <v>3316</v>
      </c>
      <c r="G6898" s="4" t="s">
        <v>336</v>
      </c>
      <c r="H6898" s="4" t="s">
        <v>289</v>
      </c>
      <c r="I6898" s="4">
        <v>0.05</v>
      </c>
      <c r="J6898" s="21">
        <v>800</v>
      </c>
      <c r="K6898" s="21">
        <v>0</v>
      </c>
      <c r="L6898" s="5">
        <v>0</v>
      </c>
      <c r="M6898" s="4"/>
      <c r="N6898" s="4"/>
      <c r="O6898" s="5"/>
      <c r="P6898" s="5"/>
      <c r="Q6898" s="21">
        <v>40</v>
      </c>
      <c r="R6898" s="21">
        <v>0</v>
      </c>
      <c r="S6898" s="5">
        <f t="shared" si="431"/>
        <v>46965.599527476152</v>
      </c>
      <c r="T6898" cm="1">
        <f t="array" ref="T6898">IF(OR(B6898="MAL ALIMI", B6898="ÜRETİM GİRİŞ"), MIN(I6898, MAX(0, I6898 + SUM(SUMIFS($I$1:I6897, $C$1:C6897, C6898, $B$1:B6897, {"MAL ALIMI","ÜRETİM GİRİŞ"})) - VLOOKUP(C6898, 'STOK RAPORU'!$C$2:$I$1000, 4, 0))), 0)</f>
        <v>0</v>
      </c>
      <c r="U6898" s="22">
        <f t="shared" ref="U6898:U6961" si="432">T6898*J6898</f>
        <v>0</v>
      </c>
      <c r="V6898">
        <f t="shared" ref="V6898:V6961" si="433">IF(OR(B6898="MAL ALIMI", B6898="ÜRETİM GİRİŞ"), I6898 * J6898, 0)</f>
        <v>0</v>
      </c>
      <c r="W6898" s="22">
        <f t="shared" ref="W6898:W6961" si="434">V6898-U6898</f>
        <v>0</v>
      </c>
    </row>
    <row r="6899" spans="1:23" hidden="1" x14ac:dyDescent="0.25">
      <c r="A6899" s="3">
        <v>46146</v>
      </c>
      <c r="B6899" s="46" t="s">
        <v>334</v>
      </c>
      <c r="C6899" s="4" t="s">
        <v>160</v>
      </c>
      <c r="D6899" s="4"/>
      <c r="E6899" s="4"/>
      <c r="F6899" s="46" t="s">
        <v>3317</v>
      </c>
      <c r="G6899" s="4" t="s">
        <v>336</v>
      </c>
      <c r="H6899" s="4" t="s">
        <v>289</v>
      </c>
      <c r="I6899" s="4">
        <v>5</v>
      </c>
      <c r="J6899" s="21">
        <v>210</v>
      </c>
      <c r="K6899" s="21">
        <v>0</v>
      </c>
      <c r="L6899" s="5">
        <v>0</v>
      </c>
      <c r="M6899" s="4"/>
      <c r="N6899" s="4"/>
      <c r="O6899" s="5"/>
      <c r="P6899" s="5"/>
      <c r="Q6899" s="21">
        <v>1050</v>
      </c>
      <c r="R6899" s="21">
        <v>0</v>
      </c>
      <c r="S6899" s="5">
        <f t="shared" si="431"/>
        <v>48015.599527476152</v>
      </c>
      <c r="T6899" cm="1">
        <f t="array" ref="T6899">IF(OR(B6899="MAL ALIMI", B6899="ÜRETİM GİRİŞ"), MIN(I6899, MAX(0, I6899 + SUM(SUMIFS($I$1:I6898, $C$1:C6898, C6899, $B$1:B6898, {"MAL ALIMI","ÜRETİM GİRİŞ"})) - VLOOKUP(C6899, 'STOK RAPORU'!$C$2:$I$1000, 4, 0))), 0)</f>
        <v>0</v>
      </c>
      <c r="U6899" s="22">
        <f t="shared" si="432"/>
        <v>0</v>
      </c>
      <c r="V6899">
        <f t="shared" si="433"/>
        <v>0</v>
      </c>
      <c r="W6899" s="22">
        <f t="shared" si="434"/>
        <v>0</v>
      </c>
    </row>
    <row r="6900" spans="1:23" hidden="1" x14ac:dyDescent="0.25">
      <c r="A6900" s="3">
        <v>46147</v>
      </c>
      <c r="B6900" s="46" t="s">
        <v>334</v>
      </c>
      <c r="C6900" s="4" t="s">
        <v>131</v>
      </c>
      <c r="D6900" s="4"/>
      <c r="E6900" s="4" t="s">
        <v>921</v>
      </c>
      <c r="F6900" s="46" t="s">
        <v>3318</v>
      </c>
      <c r="G6900" s="4" t="s">
        <v>336</v>
      </c>
      <c r="H6900" s="4" t="s">
        <v>380</v>
      </c>
      <c r="I6900" s="4">
        <v>0.08</v>
      </c>
      <c r="J6900" s="21">
        <v>388</v>
      </c>
      <c r="K6900" s="21">
        <v>31.04</v>
      </c>
      <c r="L6900" s="5">
        <v>0</v>
      </c>
      <c r="M6900" s="4"/>
      <c r="N6900" s="4"/>
      <c r="O6900" s="5"/>
      <c r="P6900" s="5"/>
      <c r="Q6900" s="21">
        <v>0</v>
      </c>
      <c r="R6900" s="21">
        <v>0</v>
      </c>
      <c r="S6900" s="5">
        <f t="shared" si="431"/>
        <v>48015.599527476152</v>
      </c>
      <c r="T6900" cm="1">
        <f t="array" ref="T6900">IF(OR(B6900="MAL ALIMI", B6900="ÜRETİM GİRİŞ"), MIN(I6900, MAX(0, I6900 + SUM(SUMIFS($I$1:I6899, $C$1:C6899, C6900, $B$1:B6899, {"MAL ALIMI","ÜRETİM GİRİŞ"})) - VLOOKUP(C6900, 'STOK RAPORU'!$C$2:$I$1000, 4, 0))), 0)</f>
        <v>0</v>
      </c>
      <c r="U6900" s="22">
        <f t="shared" si="432"/>
        <v>0</v>
      </c>
      <c r="V6900">
        <f t="shared" si="433"/>
        <v>0</v>
      </c>
      <c r="W6900" s="22">
        <f t="shared" si="434"/>
        <v>0</v>
      </c>
    </row>
    <row r="6901" spans="1:23" hidden="1" x14ac:dyDescent="0.25">
      <c r="A6901" s="3">
        <v>46147</v>
      </c>
      <c r="B6901" s="46" t="s">
        <v>334</v>
      </c>
      <c r="C6901" s="4" t="s">
        <v>91</v>
      </c>
      <c r="D6901" s="4"/>
      <c r="E6901" s="4" t="s">
        <v>921</v>
      </c>
      <c r="F6901" s="46" t="s">
        <v>3318</v>
      </c>
      <c r="G6901" s="4" t="s">
        <v>336</v>
      </c>
      <c r="H6901" s="4" t="s">
        <v>380</v>
      </c>
      <c r="I6901" s="4">
        <v>9.1764705882352943E-2</v>
      </c>
      <c r="J6901" s="21">
        <v>850</v>
      </c>
      <c r="K6901" s="21">
        <v>78</v>
      </c>
      <c r="L6901" s="5">
        <v>0</v>
      </c>
      <c r="M6901" s="4"/>
      <c r="N6901" s="4"/>
      <c r="O6901" s="5"/>
      <c r="P6901" s="5"/>
      <c r="Q6901" s="21">
        <v>0</v>
      </c>
      <c r="R6901" s="21">
        <v>0</v>
      </c>
      <c r="S6901" s="5">
        <f t="shared" si="431"/>
        <v>48015.599527476152</v>
      </c>
      <c r="T6901" cm="1">
        <f t="array" ref="T6901">IF(OR(B6901="MAL ALIMI", B6901="ÜRETİM GİRİŞ"), MIN(I6901, MAX(0, I6901 + SUM(SUMIFS($I$1:I6900, $C$1:C6900, C6901, $B$1:B6900, {"MAL ALIMI","ÜRETİM GİRİŞ"})) - VLOOKUP(C6901, 'STOK RAPORU'!$C$2:$I$1000, 4, 0))), 0)</f>
        <v>0</v>
      </c>
      <c r="U6901" s="22">
        <f t="shared" si="432"/>
        <v>0</v>
      </c>
      <c r="V6901">
        <f t="shared" si="433"/>
        <v>0</v>
      </c>
      <c r="W6901" s="22">
        <f t="shared" si="434"/>
        <v>0</v>
      </c>
    </row>
    <row r="6902" spans="1:23" hidden="1" x14ac:dyDescent="0.25">
      <c r="A6902" s="3">
        <v>46147</v>
      </c>
      <c r="B6902" s="46" t="s">
        <v>334</v>
      </c>
      <c r="C6902" s="4" t="s">
        <v>132</v>
      </c>
      <c r="D6902" s="4"/>
      <c r="E6902" s="4" t="s">
        <v>921</v>
      </c>
      <c r="F6902" s="46" t="s">
        <v>3318</v>
      </c>
      <c r="G6902" s="4" t="s">
        <v>336</v>
      </c>
      <c r="H6902" s="4" t="s">
        <v>380</v>
      </c>
      <c r="I6902" s="4">
        <v>0.26800000000000002</v>
      </c>
      <c r="J6902" s="21">
        <v>500</v>
      </c>
      <c r="K6902" s="21">
        <v>134</v>
      </c>
      <c r="L6902" s="5">
        <v>0</v>
      </c>
      <c r="M6902" s="4"/>
      <c r="N6902" s="4"/>
      <c r="O6902" s="5"/>
      <c r="P6902" s="5"/>
      <c r="Q6902" s="21">
        <v>0</v>
      </c>
      <c r="R6902" s="21">
        <v>0</v>
      </c>
      <c r="S6902" s="5">
        <f t="shared" si="431"/>
        <v>48015.599527476152</v>
      </c>
      <c r="T6902" cm="1">
        <f t="array" ref="T6902">IF(OR(B6902="MAL ALIMI", B6902="ÜRETİM GİRİŞ"), MIN(I6902, MAX(0, I6902 + SUM(SUMIFS($I$1:I6901, $C$1:C6901, C6902, $B$1:B6901, {"MAL ALIMI","ÜRETİM GİRİŞ"})) - VLOOKUP(C6902, 'STOK RAPORU'!$C$2:$I$1000, 4, 0))), 0)</f>
        <v>0</v>
      </c>
      <c r="U6902" s="22">
        <f t="shared" si="432"/>
        <v>0</v>
      </c>
      <c r="V6902">
        <f t="shared" si="433"/>
        <v>0</v>
      </c>
      <c r="W6902" s="22">
        <f t="shared" si="434"/>
        <v>0</v>
      </c>
    </row>
    <row r="6903" spans="1:23" hidden="1" x14ac:dyDescent="0.25">
      <c r="A6903" s="3">
        <v>46147</v>
      </c>
      <c r="B6903" s="46" t="s">
        <v>334</v>
      </c>
      <c r="C6903" s="4" t="s">
        <v>2488</v>
      </c>
      <c r="D6903" s="4"/>
      <c r="E6903" s="4" t="s">
        <v>921</v>
      </c>
      <c r="F6903" s="46" t="s">
        <v>3318</v>
      </c>
      <c r="G6903" s="4" t="s">
        <v>336</v>
      </c>
      <c r="H6903" s="4" t="s">
        <v>380</v>
      </c>
      <c r="I6903" s="4">
        <v>0.26727272727272727</v>
      </c>
      <c r="J6903" s="21">
        <v>550</v>
      </c>
      <c r="K6903" s="21">
        <v>147</v>
      </c>
      <c r="L6903" s="5">
        <v>0</v>
      </c>
      <c r="M6903" s="4"/>
      <c r="N6903" s="4"/>
      <c r="O6903" s="5"/>
      <c r="P6903" s="5"/>
      <c r="Q6903" s="21">
        <v>0</v>
      </c>
      <c r="R6903" s="21">
        <v>0</v>
      </c>
      <c r="S6903" s="5">
        <f t="shared" si="431"/>
        <v>48015.599527476152</v>
      </c>
      <c r="T6903" cm="1">
        <f t="array" ref="T6903">IF(OR(B6903="MAL ALIMI", B6903="ÜRETİM GİRİŞ"), MIN(I6903, MAX(0, I6903 + SUM(SUMIFS($I$1:I6902, $C$1:C6902, C6903, $B$1:B6902, {"MAL ALIMI","ÜRETİM GİRİŞ"})) - VLOOKUP(C6903, 'STOK RAPORU'!$C$2:$I$1000, 4, 0))), 0)</f>
        <v>0</v>
      </c>
      <c r="U6903" s="22">
        <f t="shared" si="432"/>
        <v>0</v>
      </c>
      <c r="V6903">
        <f t="shared" si="433"/>
        <v>0</v>
      </c>
      <c r="W6903" s="22">
        <f t="shared" si="434"/>
        <v>0</v>
      </c>
    </row>
    <row r="6904" spans="1:23" hidden="1" x14ac:dyDescent="0.25">
      <c r="A6904" s="3">
        <v>46147</v>
      </c>
      <c r="B6904" s="46" t="s">
        <v>334</v>
      </c>
      <c r="C6904" s="4" t="s">
        <v>140</v>
      </c>
      <c r="D6904" s="4"/>
      <c r="E6904" s="4" t="s">
        <v>921</v>
      </c>
      <c r="F6904" s="46" t="s">
        <v>3319</v>
      </c>
      <c r="G6904" s="4" t="s">
        <v>336</v>
      </c>
      <c r="H6904" s="4" t="s">
        <v>380</v>
      </c>
      <c r="I6904" s="4">
        <v>7.0000000000000007E-2</v>
      </c>
      <c r="J6904" s="21">
        <v>300</v>
      </c>
      <c r="K6904" s="21">
        <v>21.000000000000004</v>
      </c>
      <c r="L6904" s="5">
        <v>0</v>
      </c>
      <c r="M6904" s="4"/>
      <c r="N6904" s="4"/>
      <c r="O6904" s="5"/>
      <c r="P6904" s="5"/>
      <c r="Q6904" s="21">
        <v>0</v>
      </c>
      <c r="R6904" s="21">
        <v>0</v>
      </c>
      <c r="S6904" s="5">
        <f t="shared" si="431"/>
        <v>48015.599527476152</v>
      </c>
      <c r="T6904" cm="1">
        <f t="array" ref="T6904">IF(OR(B6904="MAL ALIMI", B6904="ÜRETİM GİRİŞ"), MIN(I6904, MAX(0, I6904 + SUM(SUMIFS($I$1:I6903, $C$1:C6903, C6904, $B$1:B6903, {"MAL ALIMI","ÜRETİM GİRİŞ"})) - VLOOKUP(C6904, 'STOK RAPORU'!$C$2:$I$1000, 4, 0))), 0)</f>
        <v>0</v>
      </c>
      <c r="U6904" s="22">
        <f t="shared" si="432"/>
        <v>0</v>
      </c>
      <c r="V6904">
        <f t="shared" si="433"/>
        <v>0</v>
      </c>
      <c r="W6904" s="22">
        <f t="shared" si="434"/>
        <v>0</v>
      </c>
    </row>
    <row r="6905" spans="1:23" hidden="1" x14ac:dyDescent="0.25">
      <c r="A6905" s="3">
        <v>46147</v>
      </c>
      <c r="B6905" s="46" t="s">
        <v>334</v>
      </c>
      <c r="C6905" s="4" t="s">
        <v>133</v>
      </c>
      <c r="D6905" s="4"/>
      <c r="E6905" s="4" t="s">
        <v>921</v>
      </c>
      <c r="F6905" s="46" t="s">
        <v>3319</v>
      </c>
      <c r="G6905" s="4" t="s">
        <v>336</v>
      </c>
      <c r="H6905" s="4" t="s">
        <v>380</v>
      </c>
      <c r="I6905" s="4">
        <v>0.1825</v>
      </c>
      <c r="J6905" s="21">
        <v>400</v>
      </c>
      <c r="K6905" s="21">
        <v>73</v>
      </c>
      <c r="L6905" s="5">
        <v>0</v>
      </c>
      <c r="M6905" s="4"/>
      <c r="N6905" s="4"/>
      <c r="O6905" s="5"/>
      <c r="P6905" s="5"/>
      <c r="Q6905" s="21">
        <v>0</v>
      </c>
      <c r="R6905" s="21">
        <v>0</v>
      </c>
      <c r="S6905" s="5">
        <f t="shared" si="431"/>
        <v>48015.599527476152</v>
      </c>
      <c r="T6905" cm="1">
        <f t="array" ref="T6905">IF(OR(B6905="MAL ALIMI", B6905="ÜRETİM GİRİŞ"), MIN(I6905, MAX(0, I6905 + SUM(SUMIFS($I$1:I6904, $C$1:C6904, C6905, $B$1:B6904, {"MAL ALIMI","ÜRETİM GİRİŞ"})) - VLOOKUP(C6905, 'STOK RAPORU'!$C$2:$I$1000, 4, 0))), 0)</f>
        <v>0</v>
      </c>
      <c r="U6905" s="22">
        <f t="shared" si="432"/>
        <v>0</v>
      </c>
      <c r="V6905">
        <f t="shared" si="433"/>
        <v>0</v>
      </c>
      <c r="W6905" s="22">
        <f t="shared" si="434"/>
        <v>0</v>
      </c>
    </row>
    <row r="6906" spans="1:23" hidden="1" x14ac:dyDescent="0.25">
      <c r="A6906" s="3">
        <v>46147</v>
      </c>
      <c r="B6906" s="46" t="s">
        <v>334</v>
      </c>
      <c r="C6906" s="4" t="s">
        <v>92</v>
      </c>
      <c r="D6906" s="4"/>
      <c r="E6906" s="4" t="s">
        <v>921</v>
      </c>
      <c r="F6906" s="46" t="s">
        <v>3319</v>
      </c>
      <c r="G6906" s="4" t="s">
        <v>336</v>
      </c>
      <c r="H6906" s="4" t="s">
        <v>380</v>
      </c>
      <c r="I6906" s="4">
        <v>0.1</v>
      </c>
      <c r="J6906" s="21">
        <v>500</v>
      </c>
      <c r="K6906" s="21">
        <v>50</v>
      </c>
      <c r="L6906" s="5">
        <v>0</v>
      </c>
      <c r="M6906" s="4"/>
      <c r="N6906" s="4"/>
      <c r="O6906" s="5"/>
      <c r="P6906" s="5"/>
      <c r="Q6906" s="21">
        <v>0</v>
      </c>
      <c r="R6906" s="21">
        <v>0</v>
      </c>
      <c r="S6906" s="5">
        <f t="shared" si="431"/>
        <v>48015.599527476152</v>
      </c>
      <c r="T6906" cm="1">
        <f t="array" ref="T6906">IF(OR(B6906="MAL ALIMI", B6906="ÜRETİM GİRİŞ"), MIN(I6906, MAX(0, I6906 + SUM(SUMIFS($I$1:I6905, $C$1:C6905, C6906, $B$1:B6905, {"MAL ALIMI","ÜRETİM GİRİŞ"})) - VLOOKUP(C6906, 'STOK RAPORU'!$C$2:$I$1000, 4, 0))), 0)</f>
        <v>0</v>
      </c>
      <c r="U6906" s="22">
        <f t="shared" si="432"/>
        <v>0</v>
      </c>
      <c r="V6906">
        <f t="shared" si="433"/>
        <v>0</v>
      </c>
      <c r="W6906" s="22">
        <f t="shared" si="434"/>
        <v>0</v>
      </c>
    </row>
    <row r="6907" spans="1:23" hidden="1" x14ac:dyDescent="0.25">
      <c r="A6907" s="3">
        <v>46147</v>
      </c>
      <c r="B6907" s="46" t="s">
        <v>334</v>
      </c>
      <c r="C6907" s="4" t="s">
        <v>1041</v>
      </c>
      <c r="D6907" s="4"/>
      <c r="E6907" s="4" t="s">
        <v>921</v>
      </c>
      <c r="F6907" s="46" t="s">
        <v>3320</v>
      </c>
      <c r="G6907" s="4" t="s">
        <v>336</v>
      </c>
      <c r="H6907" s="4" t="s">
        <v>380</v>
      </c>
      <c r="I6907" s="4">
        <v>1</v>
      </c>
      <c r="J6907" s="21">
        <v>250</v>
      </c>
      <c r="K6907" s="21">
        <v>250</v>
      </c>
      <c r="L6907" s="5">
        <v>0</v>
      </c>
      <c r="M6907" s="4"/>
      <c r="N6907" s="4"/>
      <c r="O6907" s="5"/>
      <c r="P6907" s="5"/>
      <c r="Q6907" s="21">
        <v>0</v>
      </c>
      <c r="R6907" s="21">
        <v>0</v>
      </c>
      <c r="S6907" s="5">
        <f t="shared" si="431"/>
        <v>48015.599527476152</v>
      </c>
      <c r="T6907" cm="1">
        <f t="array" ref="T6907">IF(OR(B6907="MAL ALIMI", B6907="ÜRETİM GİRİŞ"), MIN(I6907, MAX(0, I6907 + SUM(SUMIFS($I$1:I6906, $C$1:C6906, C6907, $B$1:B6906, {"MAL ALIMI","ÜRETİM GİRİŞ"})) - VLOOKUP(C6907, 'STOK RAPORU'!$C$2:$I$1000, 4, 0))), 0)</f>
        <v>0</v>
      </c>
      <c r="U6907" s="22">
        <f t="shared" si="432"/>
        <v>0</v>
      </c>
      <c r="V6907">
        <f t="shared" si="433"/>
        <v>0</v>
      </c>
      <c r="W6907" s="22">
        <f t="shared" si="434"/>
        <v>0</v>
      </c>
    </row>
    <row r="6908" spans="1:23" hidden="1" x14ac:dyDescent="0.25">
      <c r="A6908" s="3">
        <v>46147</v>
      </c>
      <c r="B6908" s="46" t="s">
        <v>334</v>
      </c>
      <c r="C6908" s="4" t="s">
        <v>1634</v>
      </c>
      <c r="D6908" s="4"/>
      <c r="E6908" s="4" t="s">
        <v>921</v>
      </c>
      <c r="F6908" s="46" t="s">
        <v>3320</v>
      </c>
      <c r="G6908" s="4" t="s">
        <v>336</v>
      </c>
      <c r="H6908" s="4" t="s">
        <v>380</v>
      </c>
      <c r="I6908" s="4">
        <v>0.5</v>
      </c>
      <c r="J6908" s="21">
        <v>350</v>
      </c>
      <c r="K6908" s="21">
        <v>175</v>
      </c>
      <c r="L6908" s="5">
        <v>0</v>
      </c>
      <c r="M6908" s="4"/>
      <c r="N6908" s="4"/>
      <c r="O6908" s="5"/>
      <c r="P6908" s="5"/>
      <c r="Q6908" s="21">
        <v>0</v>
      </c>
      <c r="R6908" s="21">
        <v>0</v>
      </c>
      <c r="S6908" s="5">
        <f t="shared" si="431"/>
        <v>48015.599527476152</v>
      </c>
      <c r="T6908" cm="1">
        <f t="array" ref="T6908">IF(OR(B6908="MAL ALIMI", B6908="ÜRETİM GİRİŞ"), MIN(I6908, MAX(0, I6908 + SUM(SUMIFS($I$1:I6907, $C$1:C6907, C6908, $B$1:B6907, {"MAL ALIMI","ÜRETİM GİRİŞ"})) - VLOOKUP(C6908, 'STOK RAPORU'!$C$2:$I$1000, 4, 0))), 0)</f>
        <v>0</v>
      </c>
      <c r="U6908" s="22">
        <f t="shared" si="432"/>
        <v>0</v>
      </c>
      <c r="V6908">
        <f t="shared" si="433"/>
        <v>0</v>
      </c>
      <c r="W6908" s="22">
        <f t="shared" si="434"/>
        <v>0</v>
      </c>
    </row>
    <row r="6909" spans="1:23" hidden="1" x14ac:dyDescent="0.25">
      <c r="A6909" s="3">
        <v>46147</v>
      </c>
      <c r="B6909" s="46" t="s">
        <v>334</v>
      </c>
      <c r="C6909" s="4" t="s">
        <v>133</v>
      </c>
      <c r="D6909" s="4"/>
      <c r="E6909" s="4"/>
      <c r="F6909" s="46" t="s">
        <v>3321</v>
      </c>
      <c r="G6909" s="4" t="s">
        <v>336</v>
      </c>
      <c r="H6909" s="4" t="s">
        <v>289</v>
      </c>
      <c r="I6909" s="4">
        <v>0.25</v>
      </c>
      <c r="J6909" s="21">
        <v>400</v>
      </c>
      <c r="K6909" s="21">
        <v>0</v>
      </c>
      <c r="L6909" s="5">
        <v>0</v>
      </c>
      <c r="M6909" s="4"/>
      <c r="N6909" s="4"/>
      <c r="O6909" s="5"/>
      <c r="P6909" s="5"/>
      <c r="Q6909" s="21">
        <v>100</v>
      </c>
      <c r="R6909" s="21">
        <v>0</v>
      </c>
      <c r="S6909" s="5">
        <f t="shared" si="431"/>
        <v>48115.599527476152</v>
      </c>
      <c r="T6909" cm="1">
        <f t="array" ref="T6909">IF(OR(B6909="MAL ALIMI", B6909="ÜRETİM GİRİŞ"), MIN(I6909, MAX(0, I6909 + SUM(SUMIFS($I$1:I6908, $C$1:C6908, C6909, $B$1:B6908, {"MAL ALIMI","ÜRETİM GİRİŞ"})) - VLOOKUP(C6909, 'STOK RAPORU'!$C$2:$I$1000, 4, 0))), 0)</f>
        <v>0</v>
      </c>
      <c r="U6909" s="22">
        <f t="shared" si="432"/>
        <v>0</v>
      </c>
      <c r="V6909">
        <f t="shared" si="433"/>
        <v>0</v>
      </c>
      <c r="W6909" s="22">
        <f t="shared" si="434"/>
        <v>0</v>
      </c>
    </row>
    <row r="6910" spans="1:23" hidden="1" x14ac:dyDescent="0.25">
      <c r="A6910" s="3">
        <v>46147</v>
      </c>
      <c r="B6910" s="46" t="s">
        <v>334</v>
      </c>
      <c r="C6910" s="4" t="s">
        <v>2086</v>
      </c>
      <c r="D6910" s="4"/>
      <c r="E6910" s="4"/>
      <c r="F6910" s="46" t="s">
        <v>3321</v>
      </c>
      <c r="G6910" s="4" t="s">
        <v>336</v>
      </c>
      <c r="H6910" s="4" t="s">
        <v>289</v>
      </c>
      <c r="I6910" s="4">
        <v>0.1</v>
      </c>
      <c r="J6910" s="21">
        <v>900</v>
      </c>
      <c r="K6910" s="21">
        <v>0</v>
      </c>
      <c r="L6910" s="5">
        <v>0</v>
      </c>
      <c r="M6910" s="4"/>
      <c r="N6910" s="4"/>
      <c r="O6910" s="5"/>
      <c r="P6910" s="5"/>
      <c r="Q6910" s="21">
        <v>90</v>
      </c>
      <c r="R6910" s="21">
        <v>0</v>
      </c>
      <c r="S6910" s="5">
        <f t="shared" si="431"/>
        <v>48205.599527476152</v>
      </c>
      <c r="T6910" cm="1">
        <f t="array" ref="T6910">IF(OR(B6910="MAL ALIMI", B6910="ÜRETİM GİRİŞ"), MIN(I6910, MAX(0, I6910 + SUM(SUMIFS($I$1:I6909, $C$1:C6909, C6910, $B$1:B6909, {"MAL ALIMI","ÜRETİM GİRİŞ"})) - VLOOKUP(C6910, 'STOK RAPORU'!$C$2:$I$1000, 4, 0))), 0)</f>
        <v>0</v>
      </c>
      <c r="U6910" s="22">
        <f t="shared" si="432"/>
        <v>0</v>
      </c>
      <c r="V6910">
        <f t="shared" si="433"/>
        <v>0</v>
      </c>
      <c r="W6910" s="22">
        <f t="shared" si="434"/>
        <v>0</v>
      </c>
    </row>
    <row r="6911" spans="1:23" hidden="1" x14ac:dyDescent="0.25">
      <c r="A6911" s="3">
        <v>46147</v>
      </c>
      <c r="B6911" s="46" t="s">
        <v>334</v>
      </c>
      <c r="C6911" s="4" t="s">
        <v>2128</v>
      </c>
      <c r="D6911" s="4"/>
      <c r="E6911" s="4"/>
      <c r="F6911" s="46" t="s">
        <v>3322</v>
      </c>
      <c r="G6911" s="4" t="s">
        <v>336</v>
      </c>
      <c r="H6911" s="4" t="s">
        <v>289</v>
      </c>
      <c r="I6911" s="4">
        <v>0.76190476190476186</v>
      </c>
      <c r="J6911" s="21">
        <v>420</v>
      </c>
      <c r="K6911" s="21">
        <v>0</v>
      </c>
      <c r="L6911" s="5">
        <v>0</v>
      </c>
      <c r="M6911" s="4"/>
      <c r="N6911" s="4"/>
      <c r="O6911" s="5"/>
      <c r="P6911" s="5"/>
      <c r="Q6911" s="21">
        <v>320</v>
      </c>
      <c r="R6911" s="21">
        <v>0</v>
      </c>
      <c r="S6911" s="5">
        <f t="shared" si="431"/>
        <v>48525.599527476152</v>
      </c>
      <c r="T6911" cm="1">
        <f t="array" ref="T6911">IF(OR(B6911="MAL ALIMI", B6911="ÜRETİM GİRİŞ"), MIN(I6911, MAX(0, I6911 + SUM(SUMIFS($I$1:I6910, $C$1:C6910, C6911, $B$1:B6910, {"MAL ALIMI","ÜRETİM GİRİŞ"})) - VLOOKUP(C6911, 'STOK RAPORU'!$C$2:$I$1000, 4, 0))), 0)</f>
        <v>0</v>
      </c>
      <c r="U6911" s="22">
        <f t="shared" si="432"/>
        <v>0</v>
      </c>
      <c r="V6911">
        <f t="shared" si="433"/>
        <v>0</v>
      </c>
      <c r="W6911" s="22">
        <f t="shared" si="434"/>
        <v>0</v>
      </c>
    </row>
    <row r="6912" spans="1:23" hidden="1" x14ac:dyDescent="0.25">
      <c r="A6912" s="3">
        <v>46147</v>
      </c>
      <c r="B6912" s="46" t="s">
        <v>334</v>
      </c>
      <c r="C6912" s="4" t="s">
        <v>206</v>
      </c>
      <c r="D6912" s="4"/>
      <c r="E6912" s="4"/>
      <c r="F6912" s="46" t="s">
        <v>3322</v>
      </c>
      <c r="G6912" s="4" t="s">
        <v>336</v>
      </c>
      <c r="H6912" s="4" t="s">
        <v>289</v>
      </c>
      <c r="I6912" s="4">
        <v>1</v>
      </c>
      <c r="J6912" s="21">
        <v>280</v>
      </c>
      <c r="K6912" s="21">
        <v>0</v>
      </c>
      <c r="L6912" s="5">
        <v>0</v>
      </c>
      <c r="M6912" s="4"/>
      <c r="N6912" s="4"/>
      <c r="O6912" s="5"/>
      <c r="P6912" s="5"/>
      <c r="Q6912" s="21">
        <v>280</v>
      </c>
      <c r="R6912" s="21">
        <v>0</v>
      </c>
      <c r="S6912" s="5">
        <f t="shared" si="431"/>
        <v>48805.599527476152</v>
      </c>
      <c r="T6912" cm="1">
        <f t="array" ref="T6912">IF(OR(B6912="MAL ALIMI", B6912="ÜRETİM GİRİŞ"), MIN(I6912, MAX(0, I6912 + SUM(SUMIFS($I$1:I6911, $C$1:C6911, C6912, $B$1:B6911, {"MAL ALIMI","ÜRETİM GİRİŞ"})) - VLOOKUP(C6912, 'STOK RAPORU'!$C$2:$I$1000, 4, 0))), 0)</f>
        <v>0</v>
      </c>
      <c r="U6912" s="22">
        <f t="shared" si="432"/>
        <v>0</v>
      </c>
      <c r="V6912">
        <f t="shared" si="433"/>
        <v>0</v>
      </c>
      <c r="W6912" s="22">
        <f t="shared" si="434"/>
        <v>0</v>
      </c>
    </row>
    <row r="6913" spans="1:23" hidden="1" x14ac:dyDescent="0.25">
      <c r="A6913" s="3">
        <v>46147</v>
      </c>
      <c r="B6913" s="46" t="s">
        <v>334</v>
      </c>
      <c r="C6913" s="4" t="s">
        <v>160</v>
      </c>
      <c r="D6913" s="4"/>
      <c r="E6913" s="4"/>
      <c r="F6913" s="46" t="s">
        <v>3323</v>
      </c>
      <c r="G6913" s="4" t="s">
        <v>336</v>
      </c>
      <c r="H6913" s="4" t="s">
        <v>289</v>
      </c>
      <c r="I6913" s="4">
        <v>1</v>
      </c>
      <c r="J6913" s="21">
        <v>250</v>
      </c>
      <c r="K6913" s="21">
        <v>0</v>
      </c>
      <c r="L6913" s="5">
        <v>0</v>
      </c>
      <c r="M6913" s="4"/>
      <c r="N6913" s="4"/>
      <c r="O6913" s="5"/>
      <c r="P6913" s="5"/>
      <c r="Q6913" s="21">
        <v>250</v>
      </c>
      <c r="R6913" s="21">
        <v>0</v>
      </c>
      <c r="S6913" s="5">
        <f t="shared" si="431"/>
        <v>49055.599527476152</v>
      </c>
      <c r="T6913" cm="1">
        <f t="array" ref="T6913">IF(OR(B6913="MAL ALIMI", B6913="ÜRETİM GİRİŞ"), MIN(I6913, MAX(0, I6913 + SUM(SUMIFS($I$1:I6912, $C$1:C6912, C6913, $B$1:B6912, {"MAL ALIMI","ÜRETİM GİRİŞ"})) - VLOOKUP(C6913, 'STOK RAPORU'!$C$2:$I$1000, 4, 0))), 0)</f>
        <v>0</v>
      </c>
      <c r="U6913" s="22">
        <f t="shared" si="432"/>
        <v>0</v>
      </c>
      <c r="V6913">
        <f t="shared" si="433"/>
        <v>0</v>
      </c>
      <c r="W6913" s="22">
        <f t="shared" si="434"/>
        <v>0</v>
      </c>
    </row>
    <row r="6914" spans="1:23" hidden="1" x14ac:dyDescent="0.25">
      <c r="A6914" s="3">
        <v>46147</v>
      </c>
      <c r="B6914" s="46" t="s">
        <v>334</v>
      </c>
      <c r="C6914" s="4" t="s">
        <v>1501</v>
      </c>
      <c r="D6914" s="4"/>
      <c r="E6914" s="4"/>
      <c r="F6914" s="46" t="s">
        <v>3324</v>
      </c>
      <c r="G6914" s="4" t="s">
        <v>336</v>
      </c>
      <c r="H6914" s="4" t="s">
        <v>289</v>
      </c>
      <c r="I6914" s="4">
        <v>4.2857142857142858E-2</v>
      </c>
      <c r="J6914" s="21">
        <v>700</v>
      </c>
      <c r="K6914" s="21">
        <v>0</v>
      </c>
      <c r="L6914" s="5">
        <v>0</v>
      </c>
      <c r="M6914" s="4"/>
      <c r="N6914" s="4"/>
      <c r="O6914" s="5"/>
      <c r="P6914" s="5"/>
      <c r="Q6914" s="21">
        <v>30</v>
      </c>
      <c r="R6914" s="21">
        <v>0</v>
      </c>
      <c r="S6914" s="5">
        <f t="shared" si="431"/>
        <v>49085.599527476152</v>
      </c>
      <c r="T6914" cm="1">
        <f t="array" ref="T6914">IF(OR(B6914="MAL ALIMI", B6914="ÜRETİM GİRİŞ"), MIN(I6914, MAX(0, I6914 + SUM(SUMIFS($I$1:I6913, $C$1:C6913, C6914, $B$1:B6913, {"MAL ALIMI","ÜRETİM GİRİŞ"})) - VLOOKUP(C6914, 'STOK RAPORU'!$C$2:$I$1000, 4, 0))), 0)</f>
        <v>0</v>
      </c>
      <c r="U6914" s="22">
        <f t="shared" si="432"/>
        <v>0</v>
      </c>
      <c r="V6914">
        <f t="shared" si="433"/>
        <v>0</v>
      </c>
      <c r="W6914" s="22">
        <f t="shared" si="434"/>
        <v>0</v>
      </c>
    </row>
    <row r="6915" spans="1:23" hidden="1" x14ac:dyDescent="0.25">
      <c r="A6915" s="3">
        <v>46147</v>
      </c>
      <c r="B6915" s="46" t="s">
        <v>334</v>
      </c>
      <c r="C6915" s="4" t="s">
        <v>1359</v>
      </c>
      <c r="D6915" s="4"/>
      <c r="E6915" s="4"/>
      <c r="F6915" s="46" t="s">
        <v>3324</v>
      </c>
      <c r="G6915" s="4" t="s">
        <v>336</v>
      </c>
      <c r="H6915" s="4" t="s">
        <v>289</v>
      </c>
      <c r="I6915" s="4">
        <v>0.24399999999999999</v>
      </c>
      <c r="J6915" s="21">
        <v>500</v>
      </c>
      <c r="K6915" s="21">
        <v>0</v>
      </c>
      <c r="L6915" s="5">
        <v>0</v>
      </c>
      <c r="M6915" s="4"/>
      <c r="N6915" s="4"/>
      <c r="O6915" s="5"/>
      <c r="P6915" s="5"/>
      <c r="Q6915" s="21">
        <v>122</v>
      </c>
      <c r="R6915" s="21">
        <v>0</v>
      </c>
      <c r="S6915" s="5">
        <f t="shared" si="431"/>
        <v>49207.599527476152</v>
      </c>
      <c r="T6915" cm="1">
        <f t="array" ref="T6915">IF(OR(B6915="MAL ALIMI", B6915="ÜRETİM GİRİŞ"), MIN(I6915, MAX(0, I6915 + SUM(SUMIFS($I$1:I6914, $C$1:C6914, C6915, $B$1:B6914, {"MAL ALIMI","ÜRETİM GİRİŞ"})) - VLOOKUP(C6915, 'STOK RAPORU'!$C$2:$I$1000, 4, 0))), 0)</f>
        <v>0</v>
      </c>
      <c r="U6915" s="22">
        <f t="shared" si="432"/>
        <v>0</v>
      </c>
      <c r="V6915">
        <f t="shared" si="433"/>
        <v>0</v>
      </c>
      <c r="W6915" s="22">
        <f t="shared" si="434"/>
        <v>0</v>
      </c>
    </row>
    <row r="6916" spans="1:23" hidden="1" x14ac:dyDescent="0.25">
      <c r="A6916" s="3">
        <v>46147</v>
      </c>
      <c r="B6916" s="46" t="s">
        <v>334</v>
      </c>
      <c r="C6916" s="4" t="s">
        <v>463</v>
      </c>
      <c r="D6916" s="4"/>
      <c r="E6916" s="4" t="s">
        <v>921</v>
      </c>
      <c r="F6916" s="46" t="s">
        <v>3325</v>
      </c>
      <c r="G6916" s="4" t="s">
        <v>336</v>
      </c>
      <c r="H6916" s="4" t="s">
        <v>380</v>
      </c>
      <c r="I6916" s="4">
        <v>0.1</v>
      </c>
      <c r="J6916" s="21">
        <v>400</v>
      </c>
      <c r="K6916" s="21">
        <v>40</v>
      </c>
      <c r="L6916" s="5">
        <v>0</v>
      </c>
      <c r="M6916" s="4"/>
      <c r="N6916" s="4"/>
      <c r="O6916" s="5"/>
      <c r="P6916" s="5"/>
      <c r="Q6916" s="21">
        <v>0</v>
      </c>
      <c r="R6916" s="21">
        <v>0</v>
      </c>
      <c r="S6916" s="5">
        <f t="shared" ref="S6916:S6979" si="435">S6915+Q6916-R6916</f>
        <v>49207.599527476152</v>
      </c>
      <c r="T6916" cm="1">
        <f t="array" ref="T6916">IF(OR(B6916="MAL ALIMI", B6916="ÜRETİM GİRİŞ"), MIN(I6916, MAX(0, I6916 + SUM(SUMIFS($I$1:I6915, $C$1:C6915, C6916, $B$1:B6915, {"MAL ALIMI","ÜRETİM GİRİŞ"})) - VLOOKUP(C6916, 'STOK RAPORU'!$C$2:$I$1000, 4, 0))), 0)</f>
        <v>0</v>
      </c>
      <c r="U6916" s="22">
        <f t="shared" si="432"/>
        <v>0</v>
      </c>
      <c r="V6916">
        <f t="shared" si="433"/>
        <v>0</v>
      </c>
      <c r="W6916" s="22">
        <f t="shared" si="434"/>
        <v>0</v>
      </c>
    </row>
    <row r="6917" spans="1:23" hidden="1" x14ac:dyDescent="0.25">
      <c r="A6917" s="3">
        <v>46147</v>
      </c>
      <c r="B6917" s="46" t="s">
        <v>334</v>
      </c>
      <c r="C6917" s="4" t="s">
        <v>163</v>
      </c>
      <c r="D6917" s="4"/>
      <c r="E6917" s="4" t="s">
        <v>921</v>
      </c>
      <c r="F6917" s="46" t="s">
        <v>3325</v>
      </c>
      <c r="G6917" s="4" t="s">
        <v>336</v>
      </c>
      <c r="H6917" s="4" t="s">
        <v>380</v>
      </c>
      <c r="I6917" s="4">
        <v>8.8888888888888892E-2</v>
      </c>
      <c r="J6917" s="21">
        <v>450</v>
      </c>
      <c r="K6917" s="21">
        <v>40</v>
      </c>
      <c r="L6917" s="5">
        <v>0</v>
      </c>
      <c r="M6917" s="4"/>
      <c r="N6917" s="4"/>
      <c r="O6917" s="5"/>
      <c r="P6917" s="5"/>
      <c r="Q6917" s="21">
        <v>0</v>
      </c>
      <c r="R6917" s="21">
        <v>0</v>
      </c>
      <c r="S6917" s="5">
        <f t="shared" si="435"/>
        <v>49207.599527476152</v>
      </c>
      <c r="T6917" cm="1">
        <f t="array" ref="T6917">IF(OR(B6917="MAL ALIMI", B6917="ÜRETİM GİRİŞ"), MIN(I6917, MAX(0, I6917 + SUM(SUMIFS($I$1:I6916, $C$1:C6916, C6917, $B$1:B6916, {"MAL ALIMI","ÜRETİM GİRİŞ"})) - VLOOKUP(C6917, 'STOK RAPORU'!$C$2:$I$1000, 4, 0))), 0)</f>
        <v>0</v>
      </c>
      <c r="U6917" s="22">
        <f t="shared" si="432"/>
        <v>0</v>
      </c>
      <c r="V6917">
        <f t="shared" si="433"/>
        <v>0</v>
      </c>
      <c r="W6917" s="22">
        <f t="shared" si="434"/>
        <v>0</v>
      </c>
    </row>
    <row r="6918" spans="1:23" hidden="1" x14ac:dyDescent="0.25">
      <c r="A6918" s="3">
        <v>46147</v>
      </c>
      <c r="B6918" s="46" t="s">
        <v>334</v>
      </c>
      <c r="C6918" s="4" t="s">
        <v>156</v>
      </c>
      <c r="D6918" s="4"/>
      <c r="E6918" s="4" t="s">
        <v>921</v>
      </c>
      <c r="F6918" s="46" t="s">
        <v>3326</v>
      </c>
      <c r="G6918" s="4" t="s">
        <v>336</v>
      </c>
      <c r="H6918" s="4" t="s">
        <v>380</v>
      </c>
      <c r="I6918" s="4">
        <v>1</v>
      </c>
      <c r="J6918" s="21">
        <v>200</v>
      </c>
      <c r="K6918" s="21">
        <v>200</v>
      </c>
      <c r="L6918" s="5">
        <v>0</v>
      </c>
      <c r="M6918" s="4"/>
      <c r="N6918" s="4"/>
      <c r="O6918" s="5"/>
      <c r="P6918" s="5"/>
      <c r="Q6918" s="21">
        <v>0</v>
      </c>
      <c r="R6918" s="21">
        <v>0</v>
      </c>
      <c r="S6918" s="5">
        <f t="shared" si="435"/>
        <v>49207.599527476152</v>
      </c>
      <c r="T6918" cm="1">
        <f t="array" ref="T6918">IF(OR(B6918="MAL ALIMI", B6918="ÜRETİM GİRİŞ"), MIN(I6918, MAX(0, I6918 + SUM(SUMIFS($I$1:I6917, $C$1:C6917, C6918, $B$1:B6917, {"MAL ALIMI","ÜRETİM GİRİŞ"})) - VLOOKUP(C6918, 'STOK RAPORU'!$C$2:$I$1000, 4, 0))), 0)</f>
        <v>0</v>
      </c>
      <c r="U6918" s="22">
        <f t="shared" si="432"/>
        <v>0</v>
      </c>
      <c r="V6918">
        <f t="shared" si="433"/>
        <v>0</v>
      </c>
      <c r="W6918" s="22">
        <f t="shared" si="434"/>
        <v>0</v>
      </c>
    </row>
    <row r="6919" spans="1:23" hidden="1" x14ac:dyDescent="0.25">
      <c r="A6919" s="3">
        <v>46147</v>
      </c>
      <c r="B6919" s="46" t="s">
        <v>334</v>
      </c>
      <c r="C6919" s="4" t="s">
        <v>131</v>
      </c>
      <c r="D6919" s="4"/>
      <c r="E6919" s="4" t="s">
        <v>921</v>
      </c>
      <c r="F6919" s="46" t="s">
        <v>3326</v>
      </c>
      <c r="G6919" s="4" t="s">
        <v>336</v>
      </c>
      <c r="H6919" s="4" t="s">
        <v>380</v>
      </c>
      <c r="I6919" s="4">
        <v>0.13</v>
      </c>
      <c r="J6919" s="21">
        <v>400</v>
      </c>
      <c r="K6919" s="21">
        <v>52</v>
      </c>
      <c r="L6919" s="5">
        <v>0</v>
      </c>
      <c r="M6919" s="4"/>
      <c r="N6919" s="4"/>
      <c r="O6919" s="5"/>
      <c r="P6919" s="5"/>
      <c r="Q6919" s="21">
        <v>0</v>
      </c>
      <c r="R6919" s="21">
        <v>0</v>
      </c>
      <c r="S6919" s="5">
        <f t="shared" si="435"/>
        <v>49207.599527476152</v>
      </c>
      <c r="T6919" cm="1">
        <f t="array" ref="T6919">IF(OR(B6919="MAL ALIMI", B6919="ÜRETİM GİRİŞ"), MIN(I6919, MAX(0, I6919 + SUM(SUMIFS($I$1:I6918, $C$1:C6918, C6919, $B$1:B6918, {"MAL ALIMI","ÜRETİM GİRİŞ"})) - VLOOKUP(C6919, 'STOK RAPORU'!$C$2:$I$1000, 4, 0))), 0)</f>
        <v>0</v>
      </c>
      <c r="U6919" s="22">
        <f t="shared" si="432"/>
        <v>0</v>
      </c>
      <c r="V6919">
        <f t="shared" si="433"/>
        <v>0</v>
      </c>
      <c r="W6919" s="22">
        <f t="shared" si="434"/>
        <v>0</v>
      </c>
    </row>
    <row r="6920" spans="1:23" hidden="1" x14ac:dyDescent="0.25">
      <c r="A6920" s="3">
        <v>46147</v>
      </c>
      <c r="B6920" s="46" t="s">
        <v>334</v>
      </c>
      <c r="C6920" s="4" t="s">
        <v>91</v>
      </c>
      <c r="D6920" s="4"/>
      <c r="E6920" s="4" t="s">
        <v>921</v>
      </c>
      <c r="F6920" s="46" t="s">
        <v>3326</v>
      </c>
      <c r="G6920" s="4" t="s">
        <v>336</v>
      </c>
      <c r="H6920" s="4" t="s">
        <v>380</v>
      </c>
      <c r="I6920" s="4">
        <v>5.647058823529412E-2</v>
      </c>
      <c r="J6920" s="21">
        <v>850</v>
      </c>
      <c r="K6920" s="21">
        <v>48</v>
      </c>
      <c r="L6920" s="5">
        <v>0</v>
      </c>
      <c r="M6920" s="4"/>
      <c r="N6920" s="4"/>
      <c r="O6920" s="5"/>
      <c r="P6920" s="5"/>
      <c r="Q6920" s="21">
        <v>0</v>
      </c>
      <c r="R6920" s="21">
        <v>0</v>
      </c>
      <c r="S6920" s="5">
        <f t="shared" si="435"/>
        <v>49207.599527476152</v>
      </c>
      <c r="T6920" cm="1">
        <f t="array" ref="T6920">IF(OR(B6920="MAL ALIMI", B6920="ÜRETİM GİRİŞ"), MIN(I6920, MAX(0, I6920 + SUM(SUMIFS($I$1:I6919, $C$1:C6919, C6920, $B$1:B6919, {"MAL ALIMI","ÜRETİM GİRİŞ"})) - VLOOKUP(C6920, 'STOK RAPORU'!$C$2:$I$1000, 4, 0))), 0)</f>
        <v>0</v>
      </c>
      <c r="U6920" s="22">
        <f t="shared" si="432"/>
        <v>0</v>
      </c>
      <c r="V6920">
        <f t="shared" si="433"/>
        <v>0</v>
      </c>
      <c r="W6920" s="22">
        <f t="shared" si="434"/>
        <v>0</v>
      </c>
    </row>
    <row r="6921" spans="1:23" hidden="1" x14ac:dyDescent="0.25">
      <c r="A6921" s="3">
        <v>46147</v>
      </c>
      <c r="B6921" s="46" t="s">
        <v>334</v>
      </c>
      <c r="C6921" s="4" t="s">
        <v>134</v>
      </c>
      <c r="D6921" s="4"/>
      <c r="E6921" s="4" t="s">
        <v>921</v>
      </c>
      <c r="F6921" s="46" t="s">
        <v>3326</v>
      </c>
      <c r="G6921" s="4" t="s">
        <v>336</v>
      </c>
      <c r="H6921" s="4" t="s">
        <v>380</v>
      </c>
      <c r="I6921" s="4">
        <v>0.1</v>
      </c>
      <c r="J6921" s="21">
        <v>600</v>
      </c>
      <c r="K6921" s="21">
        <v>60</v>
      </c>
      <c r="L6921" s="5">
        <v>0</v>
      </c>
      <c r="M6921" s="4"/>
      <c r="N6921" s="4"/>
      <c r="O6921" s="5"/>
      <c r="P6921" s="5"/>
      <c r="Q6921" s="21">
        <v>0</v>
      </c>
      <c r="R6921" s="21">
        <v>0</v>
      </c>
      <c r="S6921" s="5">
        <f t="shared" si="435"/>
        <v>49207.599527476152</v>
      </c>
      <c r="T6921" cm="1">
        <f t="array" ref="T6921">IF(OR(B6921="MAL ALIMI", B6921="ÜRETİM GİRİŞ"), MIN(I6921, MAX(0, I6921 + SUM(SUMIFS($I$1:I6920, $C$1:C6920, C6921, $B$1:B6920, {"MAL ALIMI","ÜRETİM GİRİŞ"})) - VLOOKUP(C6921, 'STOK RAPORU'!$C$2:$I$1000, 4, 0))), 0)</f>
        <v>0</v>
      </c>
      <c r="U6921" s="22">
        <f t="shared" si="432"/>
        <v>0</v>
      </c>
      <c r="V6921">
        <f t="shared" si="433"/>
        <v>0</v>
      </c>
      <c r="W6921" s="22">
        <f t="shared" si="434"/>
        <v>0</v>
      </c>
    </row>
    <row r="6922" spans="1:23" hidden="1" x14ac:dyDescent="0.25">
      <c r="A6922" s="3">
        <v>46147</v>
      </c>
      <c r="B6922" s="46" t="s">
        <v>334</v>
      </c>
      <c r="C6922" s="4" t="s">
        <v>2125</v>
      </c>
      <c r="D6922" s="4"/>
      <c r="E6922" s="4"/>
      <c r="F6922" s="46" t="s">
        <v>3327</v>
      </c>
      <c r="G6922" s="4" t="s">
        <v>336</v>
      </c>
      <c r="H6922" s="4" t="s">
        <v>289</v>
      </c>
      <c r="I6922" s="4">
        <v>0.21621621621621623</v>
      </c>
      <c r="J6922" s="21">
        <v>370</v>
      </c>
      <c r="K6922" s="21">
        <v>0</v>
      </c>
      <c r="L6922" s="5">
        <v>0</v>
      </c>
      <c r="M6922" s="4"/>
      <c r="N6922" s="4"/>
      <c r="O6922" s="5"/>
      <c r="P6922" s="5"/>
      <c r="Q6922" s="21">
        <v>80</v>
      </c>
      <c r="R6922" s="21">
        <v>0</v>
      </c>
      <c r="S6922" s="5">
        <f t="shared" si="435"/>
        <v>49287.599527476152</v>
      </c>
      <c r="T6922" cm="1">
        <f t="array" ref="T6922">IF(OR(B6922="MAL ALIMI", B6922="ÜRETİM GİRİŞ"), MIN(I6922, MAX(0, I6922 + SUM(SUMIFS($I$1:I6921, $C$1:C6921, C6922, $B$1:B6921, {"MAL ALIMI","ÜRETİM GİRİŞ"})) - VLOOKUP(C6922, 'STOK RAPORU'!$C$2:$I$1000, 4, 0))), 0)</f>
        <v>0</v>
      </c>
      <c r="U6922" s="22">
        <f t="shared" si="432"/>
        <v>0</v>
      </c>
      <c r="V6922">
        <f t="shared" si="433"/>
        <v>0</v>
      </c>
      <c r="W6922" s="22">
        <f t="shared" si="434"/>
        <v>0</v>
      </c>
    </row>
    <row r="6923" spans="1:23" hidden="1" x14ac:dyDescent="0.25">
      <c r="A6923" s="3">
        <v>46147</v>
      </c>
      <c r="B6923" s="46" t="s">
        <v>334</v>
      </c>
      <c r="C6923" s="4" t="s">
        <v>192</v>
      </c>
      <c r="D6923" s="4"/>
      <c r="E6923" s="4"/>
      <c r="F6923" s="46" t="s">
        <v>3328</v>
      </c>
      <c r="G6923" s="4" t="s">
        <v>336</v>
      </c>
      <c r="H6923" s="4" t="s">
        <v>289</v>
      </c>
      <c r="I6923" s="4">
        <v>0.23980815347721823</v>
      </c>
      <c r="J6923" s="21">
        <v>417</v>
      </c>
      <c r="K6923" s="21">
        <v>0</v>
      </c>
      <c r="L6923" s="5">
        <v>0</v>
      </c>
      <c r="M6923" s="4"/>
      <c r="N6923" s="4"/>
      <c r="O6923" s="5"/>
      <c r="P6923" s="5"/>
      <c r="Q6923" s="21">
        <v>100</v>
      </c>
      <c r="R6923" s="21">
        <v>0</v>
      </c>
      <c r="S6923" s="5">
        <f t="shared" si="435"/>
        <v>49387.599527476152</v>
      </c>
      <c r="T6923" cm="1">
        <f t="array" ref="T6923">IF(OR(B6923="MAL ALIMI", B6923="ÜRETİM GİRİŞ"), MIN(I6923, MAX(0, I6923 + SUM(SUMIFS($I$1:I6922, $C$1:C6922, C6923, $B$1:B6922, {"MAL ALIMI","ÜRETİM GİRİŞ"})) - VLOOKUP(C6923, 'STOK RAPORU'!$C$2:$I$1000, 4, 0))), 0)</f>
        <v>0</v>
      </c>
      <c r="U6923" s="22">
        <f t="shared" si="432"/>
        <v>0</v>
      </c>
      <c r="V6923">
        <f t="shared" si="433"/>
        <v>0</v>
      </c>
      <c r="W6923" s="22">
        <f t="shared" si="434"/>
        <v>0</v>
      </c>
    </row>
    <row r="6924" spans="1:23" hidden="1" x14ac:dyDescent="0.25">
      <c r="A6924" s="3">
        <v>46147</v>
      </c>
      <c r="B6924" s="46" t="s">
        <v>334</v>
      </c>
      <c r="C6924" s="4" t="s">
        <v>218</v>
      </c>
      <c r="D6924" s="4"/>
      <c r="E6924" s="4"/>
      <c r="F6924" s="46" t="s">
        <v>3329</v>
      </c>
      <c r="G6924" s="4" t="s">
        <v>336</v>
      </c>
      <c r="H6924" s="4" t="s">
        <v>289</v>
      </c>
      <c r="I6924" s="4">
        <v>1</v>
      </c>
      <c r="J6924" s="21">
        <v>225</v>
      </c>
      <c r="K6924" s="21">
        <v>0</v>
      </c>
      <c r="L6924" s="5">
        <v>0</v>
      </c>
      <c r="M6924" s="4"/>
      <c r="N6924" s="4"/>
      <c r="O6924" s="5"/>
      <c r="P6924" s="5"/>
      <c r="Q6924" s="21">
        <v>225</v>
      </c>
      <c r="R6924" s="21">
        <v>0</v>
      </c>
      <c r="S6924" s="5">
        <f t="shared" si="435"/>
        <v>49612.599527476152</v>
      </c>
      <c r="T6924" cm="1">
        <f t="array" ref="T6924">IF(OR(B6924="MAL ALIMI", B6924="ÜRETİM GİRİŞ"), MIN(I6924, MAX(0, I6924 + SUM(SUMIFS($I$1:I6923, $C$1:C6923, C6924, $B$1:B6923, {"MAL ALIMI","ÜRETİM GİRİŞ"})) - VLOOKUP(C6924, 'STOK RAPORU'!$C$2:$I$1000, 4, 0))), 0)</f>
        <v>0</v>
      </c>
      <c r="U6924" s="22">
        <f t="shared" si="432"/>
        <v>0</v>
      </c>
      <c r="V6924">
        <f t="shared" si="433"/>
        <v>0</v>
      </c>
      <c r="W6924" s="22">
        <f t="shared" si="434"/>
        <v>0</v>
      </c>
    </row>
    <row r="6925" spans="1:23" hidden="1" x14ac:dyDescent="0.25">
      <c r="A6925" s="3">
        <v>46147</v>
      </c>
      <c r="B6925" s="46" t="s">
        <v>334</v>
      </c>
      <c r="C6925" s="4" t="s">
        <v>892</v>
      </c>
      <c r="D6925" s="4"/>
      <c r="E6925" s="4"/>
      <c r="F6925" s="46" t="s">
        <v>3329</v>
      </c>
      <c r="G6925" s="4" t="s">
        <v>336</v>
      </c>
      <c r="H6925" s="4" t="s">
        <v>289</v>
      </c>
      <c r="I6925" s="4">
        <v>0.5</v>
      </c>
      <c r="J6925" s="21">
        <v>30</v>
      </c>
      <c r="K6925" s="21">
        <v>0</v>
      </c>
      <c r="L6925" s="5">
        <v>0</v>
      </c>
      <c r="M6925" s="4"/>
      <c r="N6925" s="4"/>
      <c r="O6925" s="5"/>
      <c r="P6925" s="5"/>
      <c r="Q6925" s="21">
        <v>15</v>
      </c>
      <c r="R6925" s="21">
        <v>0</v>
      </c>
      <c r="S6925" s="5">
        <f t="shared" si="435"/>
        <v>49627.599527476152</v>
      </c>
      <c r="T6925" cm="1">
        <f t="array" ref="T6925">IF(OR(B6925="MAL ALIMI", B6925="ÜRETİM GİRİŞ"), MIN(I6925, MAX(0, I6925 + SUM(SUMIFS($I$1:I6924, $C$1:C6924, C6925, $B$1:B6924, {"MAL ALIMI","ÜRETİM GİRİŞ"})) - VLOOKUP(C6925, 'STOK RAPORU'!$C$2:$I$1000, 4, 0))), 0)</f>
        <v>0</v>
      </c>
      <c r="U6925" s="22">
        <f t="shared" si="432"/>
        <v>0</v>
      </c>
      <c r="V6925">
        <f t="shared" si="433"/>
        <v>0</v>
      </c>
      <c r="W6925" s="22">
        <f t="shared" si="434"/>
        <v>0</v>
      </c>
    </row>
    <row r="6926" spans="1:23" hidden="1" x14ac:dyDescent="0.25">
      <c r="A6926" s="3">
        <v>46147</v>
      </c>
      <c r="B6926" s="46" t="s">
        <v>334</v>
      </c>
      <c r="C6926" s="4" t="s">
        <v>129</v>
      </c>
      <c r="D6926" s="4"/>
      <c r="E6926" s="4"/>
      <c r="F6926" s="46" t="s">
        <v>3329</v>
      </c>
      <c r="G6926" s="4" t="s">
        <v>336</v>
      </c>
      <c r="H6926" s="4" t="s">
        <v>289</v>
      </c>
      <c r="I6926" s="4">
        <v>0.112</v>
      </c>
      <c r="J6926" s="21">
        <v>240</v>
      </c>
      <c r="K6926" s="21">
        <v>0</v>
      </c>
      <c r="L6926" s="5">
        <v>0</v>
      </c>
      <c r="M6926" s="4"/>
      <c r="N6926" s="4"/>
      <c r="O6926" s="5"/>
      <c r="P6926" s="5"/>
      <c r="Q6926" s="21">
        <v>26.88</v>
      </c>
      <c r="R6926" s="21">
        <v>0</v>
      </c>
      <c r="S6926" s="5">
        <f t="shared" si="435"/>
        <v>49654.479527476149</v>
      </c>
      <c r="T6926" cm="1">
        <f t="array" ref="T6926">IF(OR(B6926="MAL ALIMI", B6926="ÜRETİM GİRİŞ"), MIN(I6926, MAX(0, I6926 + SUM(SUMIFS($I$1:I6925, $C$1:C6925, C6926, $B$1:B6925, {"MAL ALIMI","ÜRETİM GİRİŞ"})) - VLOOKUP(C6926, 'STOK RAPORU'!$C$2:$I$1000, 4, 0))), 0)</f>
        <v>0</v>
      </c>
      <c r="U6926" s="22">
        <f t="shared" si="432"/>
        <v>0</v>
      </c>
      <c r="V6926">
        <f t="shared" si="433"/>
        <v>0</v>
      </c>
      <c r="W6926" s="22">
        <f t="shared" si="434"/>
        <v>0</v>
      </c>
    </row>
    <row r="6927" spans="1:23" hidden="1" x14ac:dyDescent="0.25">
      <c r="A6927" s="3">
        <v>46147</v>
      </c>
      <c r="B6927" s="46" t="s">
        <v>334</v>
      </c>
      <c r="C6927" s="4" t="s">
        <v>463</v>
      </c>
      <c r="D6927" s="4"/>
      <c r="E6927" s="4"/>
      <c r="F6927" s="46" t="s">
        <v>3329</v>
      </c>
      <c r="G6927" s="4" t="s">
        <v>336</v>
      </c>
      <c r="H6927" s="4" t="s">
        <v>289</v>
      </c>
      <c r="I6927" s="4">
        <v>0.192</v>
      </c>
      <c r="J6927" s="21">
        <v>190</v>
      </c>
      <c r="K6927" s="21">
        <v>0</v>
      </c>
      <c r="L6927" s="5">
        <v>0</v>
      </c>
      <c r="M6927" s="4"/>
      <c r="N6927" s="4"/>
      <c r="O6927" s="5"/>
      <c r="P6927" s="5"/>
      <c r="Q6927" s="21">
        <v>36.480000000000004</v>
      </c>
      <c r="R6927" s="21">
        <v>0</v>
      </c>
      <c r="S6927" s="5">
        <f t="shared" si="435"/>
        <v>49690.959527476152</v>
      </c>
      <c r="T6927" cm="1">
        <f t="array" ref="T6927">IF(OR(B6927="MAL ALIMI", B6927="ÜRETİM GİRİŞ"), MIN(I6927, MAX(0, I6927 + SUM(SUMIFS($I$1:I6926, $C$1:C6926, C6927, $B$1:B6926, {"MAL ALIMI","ÜRETİM GİRİŞ"})) - VLOOKUP(C6927, 'STOK RAPORU'!$C$2:$I$1000, 4, 0))), 0)</f>
        <v>0</v>
      </c>
      <c r="U6927" s="22">
        <f t="shared" si="432"/>
        <v>0</v>
      </c>
      <c r="V6927">
        <f t="shared" si="433"/>
        <v>0</v>
      </c>
      <c r="W6927" s="22">
        <f t="shared" si="434"/>
        <v>0</v>
      </c>
    </row>
    <row r="6928" spans="1:23" hidden="1" x14ac:dyDescent="0.25">
      <c r="A6928" s="3">
        <v>46147</v>
      </c>
      <c r="B6928" s="46" t="s">
        <v>334</v>
      </c>
      <c r="C6928" s="4" t="s">
        <v>2120</v>
      </c>
      <c r="D6928" s="4"/>
      <c r="E6928" s="4"/>
      <c r="F6928" s="46" t="s">
        <v>3329</v>
      </c>
      <c r="G6928" s="4" t="s">
        <v>336</v>
      </c>
      <c r="H6928" s="4" t="s">
        <v>289</v>
      </c>
      <c r="I6928" s="4">
        <v>0.92200000000000004</v>
      </c>
      <c r="J6928" s="21">
        <v>35</v>
      </c>
      <c r="K6928" s="21">
        <v>0</v>
      </c>
      <c r="L6928" s="5">
        <v>0</v>
      </c>
      <c r="M6928" s="4"/>
      <c r="N6928" s="4"/>
      <c r="O6928" s="5"/>
      <c r="P6928" s="5"/>
      <c r="Q6928" s="21">
        <v>32.270000000000003</v>
      </c>
      <c r="R6928" s="21">
        <v>0</v>
      </c>
      <c r="S6928" s="5">
        <f t="shared" si="435"/>
        <v>49723.229527476149</v>
      </c>
      <c r="T6928" cm="1">
        <f t="array" ref="T6928">IF(OR(B6928="MAL ALIMI", B6928="ÜRETİM GİRİŞ"), MIN(I6928, MAX(0, I6928 + SUM(SUMIFS($I$1:I6927, $C$1:C6927, C6928, $B$1:B6927, {"MAL ALIMI","ÜRETİM GİRİŞ"})) - VLOOKUP(C6928, 'STOK RAPORU'!$C$2:$I$1000, 4, 0))), 0)</f>
        <v>0</v>
      </c>
      <c r="U6928" s="22">
        <f t="shared" si="432"/>
        <v>0</v>
      </c>
      <c r="V6928">
        <f t="shared" si="433"/>
        <v>0</v>
      </c>
      <c r="W6928" s="22">
        <f t="shared" si="434"/>
        <v>0</v>
      </c>
    </row>
    <row r="6929" spans="1:23" hidden="1" x14ac:dyDescent="0.25">
      <c r="A6929" s="3">
        <v>46147</v>
      </c>
      <c r="B6929" s="46" t="s">
        <v>334</v>
      </c>
      <c r="C6929" s="4" t="s">
        <v>132</v>
      </c>
      <c r="D6929" s="4"/>
      <c r="E6929" s="4"/>
      <c r="F6929" s="46" t="s">
        <v>3329</v>
      </c>
      <c r="G6929" s="4" t="s">
        <v>336</v>
      </c>
      <c r="H6929" s="4" t="s">
        <v>289</v>
      </c>
      <c r="I6929" s="4">
        <v>0.20200000000000001</v>
      </c>
      <c r="J6929" s="21">
        <v>260</v>
      </c>
      <c r="K6929" s="21">
        <v>0</v>
      </c>
      <c r="L6929" s="5">
        <v>0</v>
      </c>
      <c r="M6929" s="4"/>
      <c r="N6929" s="4"/>
      <c r="O6929" s="5"/>
      <c r="P6929" s="5"/>
      <c r="Q6929" s="21">
        <v>52.52</v>
      </c>
      <c r="R6929" s="21">
        <v>0</v>
      </c>
      <c r="S6929" s="5">
        <f t="shared" si="435"/>
        <v>49775.749527476146</v>
      </c>
      <c r="T6929" cm="1">
        <f t="array" ref="T6929">IF(OR(B6929="MAL ALIMI", B6929="ÜRETİM GİRİŞ"), MIN(I6929, MAX(0, I6929 + SUM(SUMIFS($I$1:I6928, $C$1:C6928, C6929, $B$1:B6928, {"MAL ALIMI","ÜRETİM GİRİŞ"})) - VLOOKUP(C6929, 'STOK RAPORU'!$C$2:$I$1000, 4, 0))), 0)</f>
        <v>0</v>
      </c>
      <c r="U6929" s="22">
        <f t="shared" si="432"/>
        <v>0</v>
      </c>
      <c r="V6929">
        <f t="shared" si="433"/>
        <v>0</v>
      </c>
      <c r="W6929" s="22">
        <f t="shared" si="434"/>
        <v>0</v>
      </c>
    </row>
    <row r="6930" spans="1:23" hidden="1" x14ac:dyDescent="0.25">
      <c r="A6930" s="3">
        <v>46147</v>
      </c>
      <c r="B6930" s="46" t="s">
        <v>334</v>
      </c>
      <c r="C6930" s="4" t="s">
        <v>194</v>
      </c>
      <c r="D6930" s="4"/>
      <c r="E6930" s="4"/>
      <c r="F6930" s="46" t="s">
        <v>3330</v>
      </c>
      <c r="G6930" s="4" t="s">
        <v>336</v>
      </c>
      <c r="H6930" s="4" t="s">
        <v>289</v>
      </c>
      <c r="I6930" s="4">
        <v>0.13333333333333333</v>
      </c>
      <c r="J6930" s="21">
        <v>750</v>
      </c>
      <c r="K6930" s="21">
        <v>0</v>
      </c>
      <c r="L6930" s="5">
        <v>0</v>
      </c>
      <c r="M6930" s="4"/>
      <c r="N6930" s="4"/>
      <c r="O6930" s="5"/>
      <c r="P6930" s="5"/>
      <c r="Q6930" s="21">
        <v>100</v>
      </c>
      <c r="R6930" s="21">
        <v>0</v>
      </c>
      <c r="S6930" s="5">
        <f t="shared" si="435"/>
        <v>49875.749527476146</v>
      </c>
      <c r="T6930" cm="1">
        <f t="array" ref="T6930">IF(OR(B6930="MAL ALIMI", B6930="ÜRETİM GİRİŞ"), MIN(I6930, MAX(0, I6930 + SUM(SUMIFS($I$1:I6929, $C$1:C6929, C6930, $B$1:B6929, {"MAL ALIMI","ÜRETİM GİRİŞ"})) - VLOOKUP(C6930, 'STOK RAPORU'!$C$2:$I$1000, 4, 0))), 0)</f>
        <v>0</v>
      </c>
      <c r="U6930" s="22">
        <f t="shared" si="432"/>
        <v>0</v>
      </c>
      <c r="V6930">
        <f t="shared" si="433"/>
        <v>0</v>
      </c>
      <c r="W6930" s="22">
        <f t="shared" si="434"/>
        <v>0</v>
      </c>
    </row>
    <row r="6931" spans="1:23" hidden="1" x14ac:dyDescent="0.25">
      <c r="A6931" s="3">
        <v>46147</v>
      </c>
      <c r="B6931" s="46" t="s">
        <v>334</v>
      </c>
      <c r="C6931" s="4" t="s">
        <v>126</v>
      </c>
      <c r="D6931" s="4"/>
      <c r="E6931" s="4"/>
      <c r="F6931" s="46" t="s">
        <v>3331</v>
      </c>
      <c r="G6931" s="4" t="s">
        <v>336</v>
      </c>
      <c r="H6931" s="4" t="s">
        <v>289</v>
      </c>
      <c r="I6931" s="4">
        <v>0.13384615384615384</v>
      </c>
      <c r="J6931" s="21">
        <v>650</v>
      </c>
      <c r="K6931" s="21">
        <v>0</v>
      </c>
      <c r="L6931" s="5">
        <v>0</v>
      </c>
      <c r="M6931" s="4"/>
      <c r="N6931" s="4"/>
      <c r="O6931" s="5"/>
      <c r="P6931" s="5"/>
      <c r="Q6931" s="21">
        <v>87</v>
      </c>
      <c r="R6931" s="21">
        <v>0</v>
      </c>
      <c r="S6931" s="5">
        <f t="shared" si="435"/>
        <v>49962.749527476146</v>
      </c>
      <c r="T6931" cm="1">
        <f t="array" ref="T6931">IF(OR(B6931="MAL ALIMI", B6931="ÜRETİM GİRİŞ"), MIN(I6931, MAX(0, I6931 + SUM(SUMIFS($I$1:I6930, $C$1:C6930, C6931, $B$1:B6930, {"MAL ALIMI","ÜRETİM GİRİŞ"})) - VLOOKUP(C6931, 'STOK RAPORU'!$C$2:$I$1000, 4, 0))), 0)</f>
        <v>0</v>
      </c>
      <c r="U6931" s="22">
        <f t="shared" si="432"/>
        <v>0</v>
      </c>
      <c r="V6931">
        <f t="shared" si="433"/>
        <v>0</v>
      </c>
      <c r="W6931" s="22">
        <f t="shared" si="434"/>
        <v>0</v>
      </c>
    </row>
    <row r="6932" spans="1:23" hidden="1" x14ac:dyDescent="0.25">
      <c r="A6932" s="3">
        <v>46147</v>
      </c>
      <c r="B6932" s="46" t="s">
        <v>334</v>
      </c>
      <c r="C6932" s="4" t="s">
        <v>140</v>
      </c>
      <c r="D6932" s="4"/>
      <c r="E6932" s="4"/>
      <c r="F6932" s="46" t="s">
        <v>3331</v>
      </c>
      <c r="G6932" s="4" t="s">
        <v>336</v>
      </c>
      <c r="H6932" s="4" t="s">
        <v>289</v>
      </c>
      <c r="I6932" s="4">
        <v>0.2</v>
      </c>
      <c r="J6932" s="21">
        <v>300</v>
      </c>
      <c r="K6932" s="21">
        <v>0</v>
      </c>
      <c r="L6932" s="5">
        <v>0</v>
      </c>
      <c r="M6932" s="4"/>
      <c r="N6932" s="4"/>
      <c r="O6932" s="5"/>
      <c r="P6932" s="5"/>
      <c r="Q6932" s="21">
        <v>60</v>
      </c>
      <c r="R6932" s="21">
        <v>0</v>
      </c>
      <c r="S6932" s="5">
        <f t="shared" si="435"/>
        <v>50022.749527476146</v>
      </c>
      <c r="T6932" cm="1">
        <f t="array" ref="T6932">IF(OR(B6932="MAL ALIMI", B6932="ÜRETİM GİRİŞ"), MIN(I6932, MAX(0, I6932 + SUM(SUMIFS($I$1:I6931, $C$1:C6931, C6932, $B$1:B6931, {"MAL ALIMI","ÜRETİM GİRİŞ"})) - VLOOKUP(C6932, 'STOK RAPORU'!$C$2:$I$1000, 4, 0))), 0)</f>
        <v>0</v>
      </c>
      <c r="U6932" s="22">
        <f t="shared" si="432"/>
        <v>0</v>
      </c>
      <c r="V6932">
        <f t="shared" si="433"/>
        <v>0</v>
      </c>
      <c r="W6932" s="22">
        <f t="shared" si="434"/>
        <v>0</v>
      </c>
    </row>
    <row r="6933" spans="1:23" hidden="1" x14ac:dyDescent="0.25">
      <c r="A6933" s="3">
        <v>46147</v>
      </c>
      <c r="B6933" s="46" t="s">
        <v>334</v>
      </c>
      <c r="C6933" s="4" t="s">
        <v>133</v>
      </c>
      <c r="D6933" s="4"/>
      <c r="E6933" s="4"/>
      <c r="F6933" s="46" t="s">
        <v>3331</v>
      </c>
      <c r="G6933" s="4" t="s">
        <v>336</v>
      </c>
      <c r="H6933" s="4" t="s">
        <v>289</v>
      </c>
      <c r="I6933" s="4">
        <v>0.25</v>
      </c>
      <c r="J6933" s="21">
        <v>400</v>
      </c>
      <c r="K6933" s="21">
        <v>0</v>
      </c>
      <c r="L6933" s="5">
        <v>0</v>
      </c>
      <c r="M6933" s="4"/>
      <c r="N6933" s="4"/>
      <c r="O6933" s="5"/>
      <c r="P6933" s="5"/>
      <c r="Q6933" s="21">
        <v>100</v>
      </c>
      <c r="R6933" s="21">
        <v>0</v>
      </c>
      <c r="S6933" s="5">
        <f t="shared" si="435"/>
        <v>50122.749527476146</v>
      </c>
      <c r="T6933" cm="1">
        <f t="array" ref="T6933">IF(OR(B6933="MAL ALIMI", B6933="ÜRETİM GİRİŞ"), MIN(I6933, MAX(0, I6933 + SUM(SUMIFS($I$1:I6932, $C$1:C6932, C6933, $B$1:B6932, {"MAL ALIMI","ÜRETİM GİRİŞ"})) - VLOOKUP(C6933, 'STOK RAPORU'!$C$2:$I$1000, 4, 0))), 0)</f>
        <v>0</v>
      </c>
      <c r="U6933" s="22">
        <f t="shared" si="432"/>
        <v>0</v>
      </c>
      <c r="V6933">
        <f t="shared" si="433"/>
        <v>0</v>
      </c>
      <c r="W6933" s="22">
        <f t="shared" si="434"/>
        <v>0</v>
      </c>
    </row>
    <row r="6934" spans="1:23" hidden="1" x14ac:dyDescent="0.25">
      <c r="A6934" s="3">
        <v>46147</v>
      </c>
      <c r="B6934" s="46" t="s">
        <v>334</v>
      </c>
      <c r="C6934" s="4" t="s">
        <v>133</v>
      </c>
      <c r="D6934" s="4"/>
      <c r="E6934" s="4" t="s">
        <v>921</v>
      </c>
      <c r="F6934" s="46" t="s">
        <v>3332</v>
      </c>
      <c r="G6934" s="4" t="s">
        <v>336</v>
      </c>
      <c r="H6934" s="4" t="s">
        <v>380</v>
      </c>
      <c r="I6934" s="4">
        <v>0.41599999999999998</v>
      </c>
      <c r="J6934" s="21">
        <v>370</v>
      </c>
      <c r="K6934" s="21">
        <v>153.91999999999999</v>
      </c>
      <c r="L6934" s="5">
        <v>0</v>
      </c>
      <c r="M6934" s="4"/>
      <c r="N6934" s="4"/>
      <c r="O6934" s="5"/>
      <c r="P6934" s="5"/>
      <c r="Q6934" s="21">
        <v>0</v>
      </c>
      <c r="R6934" s="21">
        <v>0</v>
      </c>
      <c r="S6934" s="5">
        <f t="shared" si="435"/>
        <v>50122.749527476146</v>
      </c>
      <c r="T6934" cm="1">
        <f t="array" ref="T6934">IF(OR(B6934="MAL ALIMI", B6934="ÜRETİM GİRİŞ"), MIN(I6934, MAX(0, I6934 + SUM(SUMIFS($I$1:I6933, $C$1:C6933, C6934, $B$1:B6933, {"MAL ALIMI","ÜRETİM GİRİŞ"})) - VLOOKUP(C6934, 'STOK RAPORU'!$C$2:$I$1000, 4, 0))), 0)</f>
        <v>0</v>
      </c>
      <c r="U6934" s="22">
        <f t="shared" si="432"/>
        <v>0</v>
      </c>
      <c r="V6934">
        <f t="shared" si="433"/>
        <v>0</v>
      </c>
      <c r="W6934" s="22">
        <f t="shared" si="434"/>
        <v>0</v>
      </c>
    </row>
    <row r="6935" spans="1:23" hidden="1" x14ac:dyDescent="0.25">
      <c r="A6935" s="3">
        <v>46147</v>
      </c>
      <c r="B6935" s="46" t="s">
        <v>334</v>
      </c>
      <c r="C6935" s="4" t="s">
        <v>3167</v>
      </c>
      <c r="D6935" s="4"/>
      <c r="E6935" s="4" t="s">
        <v>921</v>
      </c>
      <c r="F6935" s="46" t="s">
        <v>3332</v>
      </c>
      <c r="G6935" s="4" t="s">
        <v>336</v>
      </c>
      <c r="H6935" s="4" t="s">
        <v>380</v>
      </c>
      <c r="I6935" s="4">
        <v>0.186</v>
      </c>
      <c r="J6935" s="21">
        <v>375</v>
      </c>
      <c r="K6935" s="21">
        <v>69.75</v>
      </c>
      <c r="L6935" s="5">
        <v>0</v>
      </c>
      <c r="M6935" s="4"/>
      <c r="N6935" s="4"/>
      <c r="O6935" s="5"/>
      <c r="P6935" s="5"/>
      <c r="Q6935" s="21">
        <v>0</v>
      </c>
      <c r="R6935" s="21">
        <v>0</v>
      </c>
      <c r="S6935" s="5">
        <f t="shared" si="435"/>
        <v>50122.749527476146</v>
      </c>
      <c r="T6935" cm="1">
        <f t="array" ref="T6935">IF(OR(B6935="MAL ALIMI", B6935="ÜRETİM GİRİŞ"), MIN(I6935, MAX(0, I6935 + SUM(SUMIFS($I$1:I6934, $C$1:C6934, C6935, $B$1:B6934, {"MAL ALIMI","ÜRETİM GİRİŞ"})) - VLOOKUP(C6935, 'STOK RAPORU'!$C$2:$I$1000, 4, 0))), 0)</f>
        <v>0</v>
      </c>
      <c r="U6935" s="22">
        <f t="shared" si="432"/>
        <v>0</v>
      </c>
      <c r="V6935">
        <f t="shared" si="433"/>
        <v>0</v>
      </c>
      <c r="W6935" s="22">
        <f t="shared" si="434"/>
        <v>0</v>
      </c>
    </row>
    <row r="6936" spans="1:23" hidden="1" x14ac:dyDescent="0.25">
      <c r="A6936" s="3">
        <v>46147</v>
      </c>
      <c r="B6936" s="46" t="s">
        <v>334</v>
      </c>
      <c r="C6936" s="4" t="s">
        <v>126</v>
      </c>
      <c r="D6936" s="4"/>
      <c r="E6936" s="4" t="s">
        <v>921</v>
      </c>
      <c r="F6936" s="46" t="s">
        <v>3332</v>
      </c>
      <c r="G6936" s="4" t="s">
        <v>336</v>
      </c>
      <c r="H6936" s="4" t="s">
        <v>380</v>
      </c>
      <c r="I6936" s="4">
        <v>0.14399999999999999</v>
      </c>
      <c r="J6936" s="21">
        <v>600</v>
      </c>
      <c r="K6936" s="21">
        <v>86.399999999999991</v>
      </c>
      <c r="L6936" s="5">
        <v>0</v>
      </c>
      <c r="M6936" s="4"/>
      <c r="N6936" s="4"/>
      <c r="O6936" s="5"/>
      <c r="P6936" s="5"/>
      <c r="Q6936" s="21">
        <v>0</v>
      </c>
      <c r="R6936" s="21">
        <v>0</v>
      </c>
      <c r="S6936" s="5">
        <f t="shared" si="435"/>
        <v>50122.749527476146</v>
      </c>
      <c r="T6936" cm="1">
        <f t="array" ref="T6936">IF(OR(B6936="MAL ALIMI", B6936="ÜRETİM GİRİŞ"), MIN(I6936, MAX(0, I6936 + SUM(SUMIFS($I$1:I6935, $C$1:C6935, C6936, $B$1:B6935, {"MAL ALIMI","ÜRETİM GİRİŞ"})) - VLOOKUP(C6936, 'STOK RAPORU'!$C$2:$I$1000, 4, 0))), 0)</f>
        <v>0</v>
      </c>
      <c r="U6936" s="22">
        <f t="shared" si="432"/>
        <v>0</v>
      </c>
      <c r="V6936">
        <f t="shared" si="433"/>
        <v>0</v>
      </c>
      <c r="W6936" s="22">
        <f t="shared" si="434"/>
        <v>0</v>
      </c>
    </row>
    <row r="6937" spans="1:23" hidden="1" x14ac:dyDescent="0.25">
      <c r="A6937" s="3">
        <v>46147</v>
      </c>
      <c r="B6937" s="46" t="s">
        <v>334</v>
      </c>
      <c r="C6937" s="4" t="s">
        <v>200</v>
      </c>
      <c r="D6937" s="4"/>
      <c r="E6937" s="4" t="s">
        <v>921</v>
      </c>
      <c r="F6937" s="46" t="s">
        <v>3332</v>
      </c>
      <c r="G6937" s="4" t="s">
        <v>336</v>
      </c>
      <c r="H6937" s="4" t="s">
        <v>380</v>
      </c>
      <c r="I6937" s="4">
        <v>0.25</v>
      </c>
      <c r="J6937" s="21">
        <v>360</v>
      </c>
      <c r="K6937" s="21">
        <v>90</v>
      </c>
      <c r="L6937" s="5">
        <v>0</v>
      </c>
      <c r="M6937" s="4"/>
      <c r="N6937" s="4"/>
      <c r="O6937" s="5"/>
      <c r="P6937" s="5"/>
      <c r="Q6937" s="21">
        <v>0</v>
      </c>
      <c r="R6937" s="21">
        <v>0</v>
      </c>
      <c r="S6937" s="5">
        <f t="shared" si="435"/>
        <v>50122.749527476146</v>
      </c>
      <c r="T6937" cm="1">
        <f t="array" ref="T6937">IF(OR(B6937="MAL ALIMI", B6937="ÜRETİM GİRİŞ"), MIN(I6937, MAX(0, I6937 + SUM(SUMIFS($I$1:I6936, $C$1:C6936, C6937, $B$1:B6936, {"MAL ALIMI","ÜRETİM GİRİŞ"})) - VLOOKUP(C6937, 'STOK RAPORU'!$C$2:$I$1000, 4, 0))), 0)</f>
        <v>0</v>
      </c>
      <c r="U6937" s="22">
        <f t="shared" si="432"/>
        <v>0</v>
      </c>
      <c r="V6937">
        <f t="shared" si="433"/>
        <v>0</v>
      </c>
      <c r="W6937" s="22">
        <f t="shared" si="434"/>
        <v>0</v>
      </c>
    </row>
    <row r="6938" spans="1:23" hidden="1" x14ac:dyDescent="0.25">
      <c r="A6938" s="3">
        <v>46147</v>
      </c>
      <c r="B6938" s="46" t="s">
        <v>334</v>
      </c>
      <c r="C6938" s="4" t="s">
        <v>1041</v>
      </c>
      <c r="D6938" s="4"/>
      <c r="E6938" s="4"/>
      <c r="F6938" s="46" t="s">
        <v>3333</v>
      </c>
      <c r="G6938" s="4" t="s">
        <v>336</v>
      </c>
      <c r="H6938" s="4" t="s">
        <v>289</v>
      </c>
      <c r="I6938" s="4">
        <v>0.62</v>
      </c>
      <c r="J6938" s="21">
        <v>250</v>
      </c>
      <c r="K6938" s="21">
        <v>0</v>
      </c>
      <c r="L6938" s="5">
        <v>0</v>
      </c>
      <c r="M6938" s="4"/>
      <c r="N6938" s="4"/>
      <c r="O6938" s="5"/>
      <c r="P6938" s="5"/>
      <c r="Q6938" s="21">
        <v>155</v>
      </c>
      <c r="R6938" s="21">
        <v>0</v>
      </c>
      <c r="S6938" s="5">
        <f t="shared" si="435"/>
        <v>50277.749527476146</v>
      </c>
      <c r="T6938" cm="1">
        <f t="array" ref="T6938">IF(OR(B6938="MAL ALIMI", B6938="ÜRETİM GİRİŞ"), MIN(I6938, MAX(0, I6938 + SUM(SUMIFS($I$1:I6937, $C$1:C6937, C6938, $B$1:B6937, {"MAL ALIMI","ÜRETİM GİRİŞ"})) - VLOOKUP(C6938, 'STOK RAPORU'!$C$2:$I$1000, 4, 0))), 0)</f>
        <v>0</v>
      </c>
      <c r="U6938" s="22">
        <f t="shared" si="432"/>
        <v>0</v>
      </c>
      <c r="V6938">
        <f t="shared" si="433"/>
        <v>0</v>
      </c>
      <c r="W6938" s="22">
        <f t="shared" si="434"/>
        <v>0</v>
      </c>
    </row>
    <row r="6939" spans="1:23" hidden="1" x14ac:dyDescent="0.25">
      <c r="A6939" s="3">
        <v>46147</v>
      </c>
      <c r="B6939" s="46" t="s">
        <v>334</v>
      </c>
      <c r="C6939" s="4" t="s">
        <v>1151</v>
      </c>
      <c r="D6939" s="4"/>
      <c r="E6939" s="4"/>
      <c r="F6939" s="46" t="s">
        <v>3333</v>
      </c>
      <c r="G6939" s="4" t="s">
        <v>336</v>
      </c>
      <c r="H6939" s="4" t="s">
        <v>289</v>
      </c>
      <c r="I6939" s="4">
        <v>0.30555555555555558</v>
      </c>
      <c r="J6939" s="21">
        <v>335</v>
      </c>
      <c r="K6939" s="21">
        <v>0</v>
      </c>
      <c r="L6939" s="5">
        <v>0</v>
      </c>
      <c r="M6939" s="4"/>
      <c r="N6939" s="4"/>
      <c r="O6939" s="5"/>
      <c r="P6939" s="5"/>
      <c r="Q6939" s="21">
        <v>102.36111111111111</v>
      </c>
      <c r="R6939" s="21">
        <v>0</v>
      </c>
      <c r="S6939" s="5">
        <f t="shared" si="435"/>
        <v>50380.110638587255</v>
      </c>
      <c r="T6939" cm="1">
        <f t="array" ref="T6939">IF(OR(B6939="MAL ALIMI", B6939="ÜRETİM GİRİŞ"), MIN(I6939, MAX(0, I6939 + SUM(SUMIFS($I$1:I6938, $C$1:C6938, C6939, $B$1:B6938, {"MAL ALIMI","ÜRETİM GİRİŞ"})) - VLOOKUP(C6939, 'STOK RAPORU'!$C$2:$I$1000, 4, 0))), 0)</f>
        <v>0</v>
      </c>
      <c r="U6939" s="22">
        <f t="shared" si="432"/>
        <v>0</v>
      </c>
      <c r="V6939">
        <f t="shared" si="433"/>
        <v>0</v>
      </c>
      <c r="W6939" s="22">
        <f t="shared" si="434"/>
        <v>0</v>
      </c>
    </row>
    <row r="6940" spans="1:23" hidden="1" x14ac:dyDescent="0.25">
      <c r="A6940" s="3">
        <v>46147</v>
      </c>
      <c r="B6940" s="46" t="s">
        <v>334</v>
      </c>
      <c r="C6940" s="4" t="s">
        <v>1501</v>
      </c>
      <c r="D6940" s="4"/>
      <c r="E6940" s="4"/>
      <c r="F6940" s="46" t="s">
        <v>3333</v>
      </c>
      <c r="G6940" s="4" t="s">
        <v>336</v>
      </c>
      <c r="H6940" s="4" t="s">
        <v>289</v>
      </c>
      <c r="I6940" s="4">
        <v>0.25</v>
      </c>
      <c r="J6940" s="21">
        <v>700</v>
      </c>
      <c r="K6940" s="21">
        <v>0</v>
      </c>
      <c r="L6940" s="5">
        <v>0</v>
      </c>
      <c r="M6940" s="4"/>
      <c r="N6940" s="4"/>
      <c r="O6940" s="5"/>
      <c r="P6940" s="5"/>
      <c r="Q6940" s="21">
        <v>175</v>
      </c>
      <c r="R6940" s="21">
        <v>0</v>
      </c>
      <c r="S6940" s="5">
        <f t="shared" si="435"/>
        <v>50555.110638587255</v>
      </c>
      <c r="T6940" cm="1">
        <f t="array" ref="T6940">IF(OR(B6940="MAL ALIMI", B6940="ÜRETİM GİRİŞ"), MIN(I6940, MAX(0, I6940 + SUM(SUMIFS($I$1:I6939, $C$1:C6939, C6940, $B$1:B6939, {"MAL ALIMI","ÜRETİM GİRİŞ"})) - VLOOKUP(C6940, 'STOK RAPORU'!$C$2:$I$1000, 4, 0))), 0)</f>
        <v>0</v>
      </c>
      <c r="U6940" s="22">
        <f t="shared" si="432"/>
        <v>0</v>
      </c>
      <c r="V6940">
        <f t="shared" si="433"/>
        <v>0</v>
      </c>
      <c r="W6940" s="22">
        <f t="shared" si="434"/>
        <v>0</v>
      </c>
    </row>
    <row r="6941" spans="1:23" hidden="1" x14ac:dyDescent="0.25">
      <c r="A6941" s="3">
        <v>46147</v>
      </c>
      <c r="B6941" s="46" t="s">
        <v>334</v>
      </c>
      <c r="C6941" s="4" t="s">
        <v>226</v>
      </c>
      <c r="D6941" s="4"/>
      <c r="E6941" s="4"/>
      <c r="F6941" s="46" t="s">
        <v>3333</v>
      </c>
      <c r="G6941" s="4" t="s">
        <v>336</v>
      </c>
      <c r="H6941" s="4" t="s">
        <v>289</v>
      </c>
      <c r="I6941" s="4">
        <v>0.22727272727272727</v>
      </c>
      <c r="J6941" s="21">
        <v>220</v>
      </c>
      <c r="K6941" s="21">
        <v>0</v>
      </c>
      <c r="L6941" s="5">
        <v>0</v>
      </c>
      <c r="M6941" s="4"/>
      <c r="N6941" s="4"/>
      <c r="O6941" s="5"/>
      <c r="P6941" s="5"/>
      <c r="Q6941" s="21">
        <v>50</v>
      </c>
      <c r="R6941" s="21">
        <v>0</v>
      </c>
      <c r="S6941" s="5">
        <f t="shared" si="435"/>
        <v>50605.110638587255</v>
      </c>
      <c r="T6941" cm="1">
        <f t="array" ref="T6941">IF(OR(B6941="MAL ALIMI", B6941="ÜRETİM GİRİŞ"), MIN(I6941, MAX(0, I6941 + SUM(SUMIFS($I$1:I6940, $C$1:C6940, C6941, $B$1:B6940, {"MAL ALIMI","ÜRETİM GİRİŞ"})) - VLOOKUP(C6941, 'STOK RAPORU'!$C$2:$I$1000, 4, 0))), 0)</f>
        <v>0</v>
      </c>
      <c r="U6941" s="22">
        <f t="shared" si="432"/>
        <v>0</v>
      </c>
      <c r="V6941">
        <f t="shared" si="433"/>
        <v>0</v>
      </c>
      <c r="W6941" s="22">
        <f t="shared" si="434"/>
        <v>0</v>
      </c>
    </row>
    <row r="6942" spans="1:23" hidden="1" x14ac:dyDescent="0.25">
      <c r="A6942" s="3">
        <v>46147</v>
      </c>
      <c r="B6942" s="46" t="s">
        <v>334</v>
      </c>
      <c r="C6942" s="4" t="s">
        <v>60</v>
      </c>
      <c r="D6942" s="4"/>
      <c r="E6942" s="4"/>
      <c r="F6942" s="46" t="s">
        <v>3333</v>
      </c>
      <c r="G6942" s="4" t="s">
        <v>336</v>
      </c>
      <c r="H6942" s="4" t="s">
        <v>289</v>
      </c>
      <c r="I6942" s="4">
        <v>0.05</v>
      </c>
      <c r="J6942" s="21">
        <v>1200</v>
      </c>
      <c r="K6942" s="21">
        <v>0</v>
      </c>
      <c r="L6942" s="5">
        <v>0</v>
      </c>
      <c r="M6942" s="4"/>
      <c r="N6942" s="4"/>
      <c r="O6942" s="5"/>
      <c r="P6942" s="5"/>
      <c r="Q6942" s="21">
        <v>60</v>
      </c>
      <c r="R6942" s="21">
        <v>0</v>
      </c>
      <c r="S6942" s="5">
        <f t="shared" si="435"/>
        <v>50665.110638587255</v>
      </c>
      <c r="T6942" cm="1">
        <f t="array" ref="T6942">IF(OR(B6942="MAL ALIMI", B6942="ÜRETİM GİRİŞ"), MIN(I6942, MAX(0, I6942 + SUM(SUMIFS($I$1:I6941, $C$1:C6941, C6942, $B$1:B6941, {"MAL ALIMI","ÜRETİM GİRİŞ"})) - VLOOKUP(C6942, 'STOK RAPORU'!$C$2:$I$1000, 4, 0))), 0)</f>
        <v>0</v>
      </c>
      <c r="U6942" s="22">
        <f t="shared" si="432"/>
        <v>0</v>
      </c>
      <c r="V6942">
        <f t="shared" si="433"/>
        <v>0</v>
      </c>
      <c r="W6942" s="22">
        <f t="shared" si="434"/>
        <v>0</v>
      </c>
    </row>
    <row r="6943" spans="1:23" hidden="1" x14ac:dyDescent="0.25">
      <c r="A6943" s="3">
        <v>46147</v>
      </c>
      <c r="B6943" s="46" t="s">
        <v>334</v>
      </c>
      <c r="C6943" s="4" t="s">
        <v>245</v>
      </c>
      <c r="D6943" s="4"/>
      <c r="E6943" s="4"/>
      <c r="F6943" s="46" t="s">
        <v>3333</v>
      </c>
      <c r="G6943" s="4" t="s">
        <v>336</v>
      </c>
      <c r="H6943" s="4" t="s">
        <v>289</v>
      </c>
      <c r="I6943" s="4">
        <v>0.23076923076923078</v>
      </c>
      <c r="J6943" s="21">
        <v>650</v>
      </c>
      <c r="K6943" s="21">
        <v>0</v>
      </c>
      <c r="L6943" s="5">
        <v>0</v>
      </c>
      <c r="M6943" s="4"/>
      <c r="N6943" s="4"/>
      <c r="O6943" s="5"/>
      <c r="P6943" s="5"/>
      <c r="Q6943" s="21">
        <v>150</v>
      </c>
      <c r="R6943" s="21">
        <v>0</v>
      </c>
      <c r="S6943" s="5">
        <f t="shared" si="435"/>
        <v>50815.110638587255</v>
      </c>
      <c r="T6943" cm="1">
        <f t="array" ref="T6943">IF(OR(B6943="MAL ALIMI", B6943="ÜRETİM GİRİŞ"), MIN(I6943, MAX(0, I6943 + SUM(SUMIFS($I$1:I6942, $C$1:C6942, C6943, $B$1:B6942, {"MAL ALIMI","ÜRETİM GİRİŞ"})) - VLOOKUP(C6943, 'STOK RAPORU'!$C$2:$I$1000, 4, 0))), 0)</f>
        <v>0</v>
      </c>
      <c r="U6943" s="22">
        <f t="shared" si="432"/>
        <v>0</v>
      </c>
      <c r="V6943">
        <f t="shared" si="433"/>
        <v>0</v>
      </c>
      <c r="W6943" s="22">
        <f t="shared" si="434"/>
        <v>0</v>
      </c>
    </row>
    <row r="6944" spans="1:23" hidden="1" x14ac:dyDescent="0.25">
      <c r="A6944" s="3">
        <v>46147</v>
      </c>
      <c r="B6944" s="46" t="s">
        <v>334</v>
      </c>
      <c r="C6944" s="4" t="s">
        <v>266</v>
      </c>
      <c r="D6944" s="4"/>
      <c r="E6944" s="4"/>
      <c r="F6944" s="46" t="s">
        <v>3333</v>
      </c>
      <c r="G6944" s="4" t="s">
        <v>336</v>
      </c>
      <c r="H6944" s="4" t="s">
        <v>289</v>
      </c>
      <c r="I6944" s="4">
        <v>0.23200000000000001</v>
      </c>
      <c r="J6944" s="21">
        <v>250</v>
      </c>
      <c r="K6944" s="21">
        <v>0</v>
      </c>
      <c r="L6944" s="5">
        <v>0</v>
      </c>
      <c r="M6944" s="4"/>
      <c r="N6944" s="4"/>
      <c r="O6944" s="5"/>
      <c r="P6944" s="5"/>
      <c r="Q6944" s="21">
        <v>58</v>
      </c>
      <c r="R6944" s="21">
        <v>0</v>
      </c>
      <c r="S6944" s="5">
        <f t="shared" si="435"/>
        <v>50873.110638587255</v>
      </c>
      <c r="T6944" cm="1">
        <f t="array" ref="T6944">IF(OR(B6944="MAL ALIMI", B6944="ÜRETİM GİRİŞ"), MIN(I6944, MAX(0, I6944 + SUM(SUMIFS($I$1:I6943, $C$1:C6943, C6944, $B$1:B6943, {"MAL ALIMI","ÜRETİM GİRİŞ"})) - VLOOKUP(C6944, 'STOK RAPORU'!$C$2:$I$1000, 4, 0))), 0)</f>
        <v>0</v>
      </c>
      <c r="U6944" s="22">
        <f t="shared" si="432"/>
        <v>0</v>
      </c>
      <c r="V6944">
        <f t="shared" si="433"/>
        <v>0</v>
      </c>
      <c r="W6944" s="22">
        <f t="shared" si="434"/>
        <v>0</v>
      </c>
    </row>
    <row r="6945" spans="1:23" hidden="1" x14ac:dyDescent="0.25">
      <c r="A6945" s="3">
        <v>46147</v>
      </c>
      <c r="B6945" s="46" t="s">
        <v>334</v>
      </c>
      <c r="C6945" s="4" t="s">
        <v>694</v>
      </c>
      <c r="D6945" s="4"/>
      <c r="E6945" s="4"/>
      <c r="F6945" s="46" t="s">
        <v>3333</v>
      </c>
      <c r="G6945" s="4" t="s">
        <v>336</v>
      </c>
      <c r="H6945" s="4" t="s">
        <v>289</v>
      </c>
      <c r="I6945" s="4">
        <v>0.25641025641025639</v>
      </c>
      <c r="J6945" s="21">
        <v>195</v>
      </c>
      <c r="K6945" s="21">
        <v>0</v>
      </c>
      <c r="L6945" s="5">
        <v>0</v>
      </c>
      <c r="M6945" s="4"/>
      <c r="N6945" s="4"/>
      <c r="O6945" s="5"/>
      <c r="P6945" s="5"/>
      <c r="Q6945" s="21">
        <v>49.999999999999993</v>
      </c>
      <c r="R6945" s="21">
        <v>0</v>
      </c>
      <c r="S6945" s="5">
        <f t="shared" si="435"/>
        <v>50923.110638587255</v>
      </c>
      <c r="T6945" cm="1">
        <f t="array" ref="T6945">IF(OR(B6945="MAL ALIMI", B6945="ÜRETİM GİRİŞ"), MIN(I6945, MAX(0, I6945 + SUM(SUMIFS($I$1:I6944, $C$1:C6944, C6945, $B$1:B6944, {"MAL ALIMI","ÜRETİM GİRİŞ"})) - VLOOKUP(C6945, 'STOK RAPORU'!$C$2:$I$1000, 4, 0))), 0)</f>
        <v>0</v>
      </c>
      <c r="U6945" s="22">
        <f t="shared" si="432"/>
        <v>0</v>
      </c>
      <c r="V6945">
        <f t="shared" si="433"/>
        <v>0</v>
      </c>
      <c r="W6945" s="22">
        <f t="shared" si="434"/>
        <v>0</v>
      </c>
    </row>
    <row r="6946" spans="1:23" hidden="1" x14ac:dyDescent="0.25">
      <c r="A6946" s="3">
        <v>46147</v>
      </c>
      <c r="B6946" s="46" t="s">
        <v>334</v>
      </c>
      <c r="C6946" s="4" t="s">
        <v>247</v>
      </c>
      <c r="D6946" s="4"/>
      <c r="E6946" s="4"/>
      <c r="F6946" s="46" t="s">
        <v>3333</v>
      </c>
      <c r="G6946" s="4" t="s">
        <v>336</v>
      </c>
      <c r="H6946" s="4" t="s">
        <v>289</v>
      </c>
      <c r="I6946" s="4">
        <v>8.3333333333333329E-2</v>
      </c>
      <c r="J6946" s="21">
        <v>1200</v>
      </c>
      <c r="K6946" s="21">
        <v>0</v>
      </c>
      <c r="L6946" s="5">
        <v>0</v>
      </c>
      <c r="M6946" s="4"/>
      <c r="N6946" s="4"/>
      <c r="O6946" s="5"/>
      <c r="P6946" s="5"/>
      <c r="Q6946" s="21">
        <v>100</v>
      </c>
      <c r="R6946" s="21">
        <v>0</v>
      </c>
      <c r="S6946" s="5">
        <f t="shared" si="435"/>
        <v>51023.110638587255</v>
      </c>
      <c r="T6946" cm="1">
        <f t="array" ref="T6946">IF(OR(B6946="MAL ALIMI", B6946="ÜRETİM GİRİŞ"), MIN(I6946, MAX(0, I6946 + SUM(SUMIFS($I$1:I6945, $C$1:C6945, C6946, $B$1:B6945, {"MAL ALIMI","ÜRETİM GİRİŞ"})) - VLOOKUP(C6946, 'STOK RAPORU'!$C$2:$I$1000, 4, 0))), 0)</f>
        <v>0</v>
      </c>
      <c r="U6946" s="22">
        <f t="shared" si="432"/>
        <v>0</v>
      </c>
      <c r="V6946">
        <f t="shared" si="433"/>
        <v>0</v>
      </c>
      <c r="W6946" s="22">
        <f t="shared" si="434"/>
        <v>0</v>
      </c>
    </row>
    <row r="6947" spans="1:23" hidden="1" x14ac:dyDescent="0.25">
      <c r="A6947" s="3">
        <v>46147</v>
      </c>
      <c r="B6947" s="46" t="s">
        <v>334</v>
      </c>
      <c r="C6947" s="4" t="s">
        <v>486</v>
      </c>
      <c r="D6947" s="4"/>
      <c r="E6947" s="4" t="s">
        <v>921</v>
      </c>
      <c r="F6947" s="46" t="s">
        <v>3334</v>
      </c>
      <c r="G6947" s="4" t="s">
        <v>336</v>
      </c>
      <c r="H6947" s="4" t="s">
        <v>380</v>
      </c>
      <c r="I6947" s="4">
        <v>0.22222222222222221</v>
      </c>
      <c r="J6947" s="21">
        <v>180</v>
      </c>
      <c r="K6947" s="21">
        <v>40</v>
      </c>
      <c r="L6947" s="5">
        <v>0</v>
      </c>
      <c r="M6947" s="4"/>
      <c r="N6947" s="4"/>
      <c r="O6947" s="5"/>
      <c r="P6947" s="5"/>
      <c r="Q6947" s="21">
        <v>0</v>
      </c>
      <c r="R6947" s="21">
        <v>0</v>
      </c>
      <c r="S6947" s="5">
        <f t="shared" si="435"/>
        <v>51023.110638587255</v>
      </c>
      <c r="T6947" cm="1">
        <f t="array" ref="T6947">IF(OR(B6947="MAL ALIMI", B6947="ÜRETİM GİRİŞ"), MIN(I6947, MAX(0, I6947 + SUM(SUMIFS($I$1:I6946, $C$1:C6946, C6947, $B$1:B6946, {"MAL ALIMI","ÜRETİM GİRİŞ"})) - VLOOKUP(C6947, 'STOK RAPORU'!$C$2:$I$1000, 4, 0))), 0)</f>
        <v>0</v>
      </c>
      <c r="U6947" s="22">
        <f t="shared" si="432"/>
        <v>0</v>
      </c>
      <c r="V6947">
        <f t="shared" si="433"/>
        <v>0</v>
      </c>
      <c r="W6947" s="22">
        <f t="shared" si="434"/>
        <v>0</v>
      </c>
    </row>
    <row r="6948" spans="1:23" hidden="1" x14ac:dyDescent="0.25">
      <c r="A6948" s="3">
        <v>46147</v>
      </c>
      <c r="B6948" s="46" t="s">
        <v>334</v>
      </c>
      <c r="C6948" s="4" t="s">
        <v>160</v>
      </c>
      <c r="D6948" s="4"/>
      <c r="E6948" s="4" t="s">
        <v>921</v>
      </c>
      <c r="F6948" s="46" t="s">
        <v>3335</v>
      </c>
      <c r="G6948" s="4" t="s">
        <v>336</v>
      </c>
      <c r="H6948" s="4" t="s">
        <v>380</v>
      </c>
      <c r="I6948" s="4">
        <v>1</v>
      </c>
      <c r="J6948" s="21">
        <v>250</v>
      </c>
      <c r="K6948" s="21">
        <v>250</v>
      </c>
      <c r="L6948" s="5">
        <v>0</v>
      </c>
      <c r="M6948" s="4"/>
      <c r="N6948" s="4"/>
      <c r="O6948" s="5"/>
      <c r="P6948" s="5"/>
      <c r="Q6948" s="21">
        <v>0</v>
      </c>
      <c r="R6948" s="21">
        <v>0</v>
      </c>
      <c r="S6948" s="5">
        <f t="shared" si="435"/>
        <v>51023.110638587255</v>
      </c>
      <c r="T6948" cm="1">
        <f t="array" ref="T6948">IF(OR(B6948="MAL ALIMI", B6948="ÜRETİM GİRİŞ"), MIN(I6948, MAX(0, I6948 + SUM(SUMIFS($I$1:I6947, $C$1:C6947, C6948, $B$1:B6947, {"MAL ALIMI","ÜRETİM GİRİŞ"})) - VLOOKUP(C6948, 'STOK RAPORU'!$C$2:$I$1000, 4, 0))), 0)</f>
        <v>0</v>
      </c>
      <c r="U6948" s="22">
        <f t="shared" si="432"/>
        <v>0</v>
      </c>
      <c r="V6948">
        <f t="shared" si="433"/>
        <v>0</v>
      </c>
      <c r="W6948" s="22">
        <f t="shared" si="434"/>
        <v>0</v>
      </c>
    </row>
    <row r="6949" spans="1:23" hidden="1" x14ac:dyDescent="0.25">
      <c r="A6949" s="3">
        <v>46147</v>
      </c>
      <c r="B6949" s="46" t="s">
        <v>334</v>
      </c>
      <c r="C6949" s="4" t="s">
        <v>161</v>
      </c>
      <c r="D6949" s="4"/>
      <c r="E6949" s="4" t="s">
        <v>921</v>
      </c>
      <c r="F6949" s="46" t="s">
        <v>3335</v>
      </c>
      <c r="G6949" s="4" t="s">
        <v>336</v>
      </c>
      <c r="H6949" s="4" t="s">
        <v>380</v>
      </c>
      <c r="I6949" s="4">
        <v>0.5</v>
      </c>
      <c r="J6949" s="21">
        <v>250</v>
      </c>
      <c r="K6949" s="21">
        <v>125</v>
      </c>
      <c r="L6949" s="5">
        <v>0</v>
      </c>
      <c r="M6949" s="4"/>
      <c r="N6949" s="4"/>
      <c r="O6949" s="5"/>
      <c r="P6949" s="5"/>
      <c r="Q6949" s="21">
        <v>0</v>
      </c>
      <c r="R6949" s="21">
        <v>0</v>
      </c>
      <c r="S6949" s="5">
        <f t="shared" si="435"/>
        <v>51023.110638587255</v>
      </c>
      <c r="T6949" cm="1">
        <f t="array" ref="T6949">IF(OR(B6949="MAL ALIMI", B6949="ÜRETİM GİRİŞ"), MIN(I6949, MAX(0, I6949 + SUM(SUMIFS($I$1:I6948, $C$1:C6948, C6949, $B$1:B6948, {"MAL ALIMI","ÜRETİM GİRİŞ"})) - VLOOKUP(C6949, 'STOK RAPORU'!$C$2:$I$1000, 4, 0))), 0)</f>
        <v>0</v>
      </c>
      <c r="U6949" s="22">
        <f t="shared" si="432"/>
        <v>0</v>
      </c>
      <c r="V6949">
        <f t="shared" si="433"/>
        <v>0</v>
      </c>
      <c r="W6949" s="22">
        <f t="shared" si="434"/>
        <v>0</v>
      </c>
    </row>
    <row r="6950" spans="1:23" hidden="1" x14ac:dyDescent="0.25">
      <c r="A6950" s="3">
        <v>46147</v>
      </c>
      <c r="B6950" s="46" t="s">
        <v>334</v>
      </c>
      <c r="C6950" s="4" t="s">
        <v>167</v>
      </c>
      <c r="D6950" s="4"/>
      <c r="E6950" s="4" t="s">
        <v>921</v>
      </c>
      <c r="F6950" s="46" t="s">
        <v>3335</v>
      </c>
      <c r="G6950" s="4" t="s">
        <v>336</v>
      </c>
      <c r="H6950" s="4" t="s">
        <v>380</v>
      </c>
      <c r="I6950" s="4">
        <v>0.5</v>
      </c>
      <c r="J6950" s="21">
        <v>250</v>
      </c>
      <c r="K6950" s="21">
        <v>125</v>
      </c>
      <c r="L6950" s="5">
        <v>0</v>
      </c>
      <c r="M6950" s="4"/>
      <c r="N6950" s="4"/>
      <c r="O6950" s="5"/>
      <c r="P6950" s="5"/>
      <c r="Q6950" s="21">
        <v>0</v>
      </c>
      <c r="R6950" s="21">
        <v>0</v>
      </c>
      <c r="S6950" s="5">
        <f t="shared" si="435"/>
        <v>51023.110638587255</v>
      </c>
      <c r="T6950" cm="1">
        <f t="array" ref="T6950">IF(OR(B6950="MAL ALIMI", B6950="ÜRETİM GİRİŞ"), MIN(I6950, MAX(0, I6950 + SUM(SUMIFS($I$1:I6949, $C$1:C6949, C6950, $B$1:B6949, {"MAL ALIMI","ÜRETİM GİRİŞ"})) - VLOOKUP(C6950, 'STOK RAPORU'!$C$2:$I$1000, 4, 0))), 0)</f>
        <v>0</v>
      </c>
      <c r="U6950" s="22">
        <f t="shared" si="432"/>
        <v>0</v>
      </c>
      <c r="V6950">
        <f t="shared" si="433"/>
        <v>0</v>
      </c>
      <c r="W6950" s="22">
        <f t="shared" si="434"/>
        <v>0</v>
      </c>
    </row>
    <row r="6951" spans="1:23" hidden="1" x14ac:dyDescent="0.25">
      <c r="A6951" s="3">
        <v>46147</v>
      </c>
      <c r="B6951" s="46" t="s">
        <v>334</v>
      </c>
      <c r="C6951" s="4" t="s">
        <v>132</v>
      </c>
      <c r="D6951" s="4"/>
      <c r="E6951" s="4" t="s">
        <v>921</v>
      </c>
      <c r="F6951" s="46" t="s">
        <v>3335</v>
      </c>
      <c r="G6951" s="4" t="s">
        <v>336</v>
      </c>
      <c r="H6951" s="4" t="s">
        <v>380</v>
      </c>
      <c r="I6951" s="4">
        <v>0.2</v>
      </c>
      <c r="J6951" s="21">
        <v>500</v>
      </c>
      <c r="K6951" s="21">
        <v>100</v>
      </c>
      <c r="L6951" s="5">
        <v>0</v>
      </c>
      <c r="M6951" s="4"/>
      <c r="N6951" s="4"/>
      <c r="O6951" s="5"/>
      <c r="P6951" s="5"/>
      <c r="Q6951" s="21">
        <v>0</v>
      </c>
      <c r="R6951" s="21">
        <v>0</v>
      </c>
      <c r="S6951" s="5">
        <f t="shared" si="435"/>
        <v>51023.110638587255</v>
      </c>
      <c r="T6951" cm="1">
        <f t="array" ref="T6951">IF(OR(B6951="MAL ALIMI", B6951="ÜRETİM GİRİŞ"), MIN(I6951, MAX(0, I6951 + SUM(SUMIFS($I$1:I6950, $C$1:C6950, C6951, $B$1:B6950, {"MAL ALIMI","ÜRETİM GİRİŞ"})) - VLOOKUP(C6951, 'STOK RAPORU'!$C$2:$I$1000, 4, 0))), 0)</f>
        <v>0</v>
      </c>
      <c r="U6951" s="22">
        <f t="shared" si="432"/>
        <v>0</v>
      </c>
      <c r="V6951">
        <f t="shared" si="433"/>
        <v>0</v>
      </c>
      <c r="W6951" s="22">
        <f t="shared" si="434"/>
        <v>0</v>
      </c>
    </row>
    <row r="6952" spans="1:23" hidden="1" x14ac:dyDescent="0.25">
      <c r="A6952" s="3">
        <v>46148</v>
      </c>
      <c r="B6952" s="46" t="s">
        <v>334</v>
      </c>
      <c r="C6952" s="4" t="s">
        <v>157</v>
      </c>
      <c r="D6952" s="4"/>
      <c r="E6952" s="4"/>
      <c r="F6952" s="46" t="s">
        <v>3336</v>
      </c>
      <c r="G6952" s="4" t="s">
        <v>336</v>
      </c>
      <c r="H6952" s="4" t="s">
        <v>289</v>
      </c>
      <c r="I6952" s="4">
        <v>2</v>
      </c>
      <c r="J6952" s="21">
        <v>200</v>
      </c>
      <c r="K6952" s="21">
        <v>0</v>
      </c>
      <c r="L6952" s="5">
        <v>0</v>
      </c>
      <c r="M6952" s="4"/>
      <c r="N6952" s="4"/>
      <c r="O6952" s="5"/>
      <c r="P6952" s="5"/>
      <c r="Q6952" s="21">
        <v>400</v>
      </c>
      <c r="R6952" s="21">
        <v>0</v>
      </c>
      <c r="S6952" s="5">
        <f t="shared" si="435"/>
        <v>51423.110638587255</v>
      </c>
      <c r="T6952" cm="1">
        <f t="array" ref="T6952">IF(OR(B6952="MAL ALIMI", B6952="ÜRETİM GİRİŞ"), MIN(I6952, MAX(0, I6952 + SUM(SUMIFS($I$1:I6951, $C$1:C6951, C6952, $B$1:B6951, {"MAL ALIMI","ÜRETİM GİRİŞ"})) - VLOOKUP(C6952, 'STOK RAPORU'!$C$2:$I$1000, 4, 0))), 0)</f>
        <v>0</v>
      </c>
      <c r="U6952" s="22">
        <f t="shared" si="432"/>
        <v>0</v>
      </c>
      <c r="V6952">
        <f t="shared" si="433"/>
        <v>0</v>
      </c>
      <c r="W6952" s="22">
        <f t="shared" si="434"/>
        <v>0</v>
      </c>
    </row>
    <row r="6953" spans="1:23" hidden="1" x14ac:dyDescent="0.25">
      <c r="A6953" s="3">
        <v>46148</v>
      </c>
      <c r="B6953" s="46" t="s">
        <v>334</v>
      </c>
      <c r="C6953" s="4" t="s">
        <v>156</v>
      </c>
      <c r="D6953" s="4"/>
      <c r="E6953" s="4"/>
      <c r="F6953" s="46" t="s">
        <v>3336</v>
      </c>
      <c r="G6953" s="4" t="s">
        <v>336</v>
      </c>
      <c r="H6953" s="4" t="s">
        <v>289</v>
      </c>
      <c r="I6953" s="4">
        <v>2</v>
      </c>
      <c r="J6953" s="21">
        <v>200</v>
      </c>
      <c r="K6953" s="21">
        <v>0</v>
      </c>
      <c r="L6953" s="5">
        <v>0</v>
      </c>
      <c r="M6953" s="4"/>
      <c r="N6953" s="4"/>
      <c r="O6953" s="5"/>
      <c r="P6953" s="5"/>
      <c r="Q6953" s="21">
        <v>400</v>
      </c>
      <c r="R6953" s="21">
        <v>0</v>
      </c>
      <c r="S6953" s="5">
        <f t="shared" si="435"/>
        <v>51823.110638587255</v>
      </c>
      <c r="T6953" cm="1">
        <f t="array" ref="T6953">IF(OR(B6953="MAL ALIMI", B6953="ÜRETİM GİRİŞ"), MIN(I6953, MAX(0, I6953 + SUM(SUMIFS($I$1:I6952, $C$1:C6952, C6953, $B$1:B6952, {"MAL ALIMI","ÜRETİM GİRİŞ"})) - VLOOKUP(C6953, 'STOK RAPORU'!$C$2:$I$1000, 4, 0))), 0)</f>
        <v>0</v>
      </c>
      <c r="U6953" s="22">
        <f t="shared" si="432"/>
        <v>0</v>
      </c>
      <c r="V6953">
        <f t="shared" si="433"/>
        <v>0</v>
      </c>
      <c r="W6953" s="22">
        <f t="shared" si="434"/>
        <v>0</v>
      </c>
    </row>
    <row r="6954" spans="1:23" hidden="1" x14ac:dyDescent="0.25">
      <c r="A6954" s="3">
        <v>46148</v>
      </c>
      <c r="B6954" s="46" t="s">
        <v>334</v>
      </c>
      <c r="C6954" s="4" t="s">
        <v>209</v>
      </c>
      <c r="D6954" s="4"/>
      <c r="E6954" s="4" t="s">
        <v>921</v>
      </c>
      <c r="F6954" s="46" t="s">
        <v>3337</v>
      </c>
      <c r="G6954" s="4" t="s">
        <v>336</v>
      </c>
      <c r="H6954" s="4" t="s">
        <v>380</v>
      </c>
      <c r="I6954" s="4">
        <v>0.05</v>
      </c>
      <c r="J6954" s="21">
        <v>2600</v>
      </c>
      <c r="K6954" s="21">
        <v>130</v>
      </c>
      <c r="L6954" s="5">
        <v>0</v>
      </c>
      <c r="M6954" s="4"/>
      <c r="N6954" s="4"/>
      <c r="O6954" s="5"/>
      <c r="P6954" s="5"/>
      <c r="Q6954" s="21">
        <v>0</v>
      </c>
      <c r="R6954" s="21">
        <v>0</v>
      </c>
      <c r="S6954" s="5">
        <f t="shared" si="435"/>
        <v>51823.110638587255</v>
      </c>
      <c r="T6954" cm="1">
        <f t="array" ref="T6954">IF(OR(B6954="MAL ALIMI", B6954="ÜRETİM GİRİŞ"), MIN(I6954, MAX(0, I6954 + SUM(SUMIFS($I$1:I6953, $C$1:C6953, C6954, $B$1:B6953, {"MAL ALIMI","ÜRETİM GİRİŞ"})) - VLOOKUP(C6954, 'STOK RAPORU'!$C$2:$I$1000, 4, 0))), 0)</f>
        <v>0</v>
      </c>
      <c r="U6954" s="22">
        <f t="shared" si="432"/>
        <v>0</v>
      </c>
      <c r="V6954">
        <f t="shared" si="433"/>
        <v>0</v>
      </c>
      <c r="W6954" s="22">
        <f t="shared" si="434"/>
        <v>0</v>
      </c>
    </row>
    <row r="6955" spans="1:23" hidden="1" x14ac:dyDescent="0.25">
      <c r="A6955" s="3">
        <v>46148</v>
      </c>
      <c r="B6955" s="46" t="s">
        <v>334</v>
      </c>
      <c r="C6955" s="4" t="s">
        <v>131</v>
      </c>
      <c r="D6955" s="4"/>
      <c r="E6955" s="4" t="s">
        <v>921</v>
      </c>
      <c r="F6955" s="46" t="s">
        <v>3338</v>
      </c>
      <c r="G6955" s="4" t="s">
        <v>336</v>
      </c>
      <c r="H6955" s="4" t="s">
        <v>380</v>
      </c>
      <c r="I6955" s="4">
        <v>5.5999999999999994E-2</v>
      </c>
      <c r="J6955" s="21">
        <v>400</v>
      </c>
      <c r="K6955" s="21">
        <v>22.4</v>
      </c>
      <c r="L6955" s="5">
        <v>0</v>
      </c>
      <c r="M6955" s="4"/>
      <c r="N6955" s="4"/>
      <c r="O6955" s="5"/>
      <c r="P6955" s="5"/>
      <c r="Q6955" s="21">
        <v>0</v>
      </c>
      <c r="R6955" s="21">
        <v>0</v>
      </c>
      <c r="S6955" s="5">
        <f t="shared" si="435"/>
        <v>51823.110638587255</v>
      </c>
      <c r="T6955" cm="1">
        <f t="array" ref="T6955">IF(OR(B6955="MAL ALIMI", B6955="ÜRETİM GİRİŞ"), MIN(I6955, MAX(0, I6955 + SUM(SUMIFS($I$1:I6954, $C$1:C6954, C6955, $B$1:B6954, {"MAL ALIMI","ÜRETİM GİRİŞ"})) - VLOOKUP(C6955, 'STOK RAPORU'!$C$2:$I$1000, 4, 0))), 0)</f>
        <v>0</v>
      </c>
      <c r="U6955" s="22">
        <f t="shared" si="432"/>
        <v>0</v>
      </c>
      <c r="V6955">
        <f t="shared" si="433"/>
        <v>0</v>
      </c>
      <c r="W6955" s="22">
        <f t="shared" si="434"/>
        <v>0</v>
      </c>
    </row>
    <row r="6956" spans="1:23" hidden="1" x14ac:dyDescent="0.25">
      <c r="A6956" s="3">
        <v>46148</v>
      </c>
      <c r="B6956" s="46" t="s">
        <v>334</v>
      </c>
      <c r="C6956" s="4" t="s">
        <v>151</v>
      </c>
      <c r="D6956" s="4"/>
      <c r="E6956" s="4" t="s">
        <v>921</v>
      </c>
      <c r="F6956" s="46" t="s">
        <v>3338</v>
      </c>
      <c r="G6956" s="4" t="s">
        <v>336</v>
      </c>
      <c r="H6956" s="4" t="s">
        <v>380</v>
      </c>
      <c r="I6956" s="4">
        <v>3.6000000000000004E-2</v>
      </c>
      <c r="J6956" s="21">
        <v>400</v>
      </c>
      <c r="K6956" s="21">
        <v>14.400000000000002</v>
      </c>
      <c r="L6956" s="5">
        <v>0</v>
      </c>
      <c r="M6956" s="4"/>
      <c r="N6956" s="4"/>
      <c r="O6956" s="5"/>
      <c r="P6956" s="5"/>
      <c r="Q6956" s="21">
        <v>0</v>
      </c>
      <c r="R6956" s="21">
        <v>0</v>
      </c>
      <c r="S6956" s="5">
        <f t="shared" si="435"/>
        <v>51823.110638587255</v>
      </c>
      <c r="T6956" cm="1">
        <f t="array" ref="T6956">IF(OR(B6956="MAL ALIMI", B6956="ÜRETİM GİRİŞ"), MIN(I6956, MAX(0, I6956 + SUM(SUMIFS($I$1:I6955, $C$1:C6955, C6956, $B$1:B6955, {"MAL ALIMI","ÜRETİM GİRİŞ"})) - VLOOKUP(C6956, 'STOK RAPORU'!$C$2:$I$1000, 4, 0))), 0)</f>
        <v>0</v>
      </c>
      <c r="U6956" s="22">
        <f t="shared" si="432"/>
        <v>0</v>
      </c>
      <c r="V6956">
        <f t="shared" si="433"/>
        <v>0</v>
      </c>
      <c r="W6956" s="22">
        <f t="shared" si="434"/>
        <v>0</v>
      </c>
    </row>
    <row r="6957" spans="1:23" hidden="1" x14ac:dyDescent="0.25">
      <c r="A6957" s="3">
        <v>46148</v>
      </c>
      <c r="B6957" s="46" t="s">
        <v>334</v>
      </c>
      <c r="C6957" s="4" t="s">
        <v>1646</v>
      </c>
      <c r="D6957" s="4"/>
      <c r="E6957" s="4" t="s">
        <v>921</v>
      </c>
      <c r="F6957" s="46" t="s">
        <v>3339</v>
      </c>
      <c r="G6957" s="4" t="s">
        <v>336</v>
      </c>
      <c r="H6957" s="4" t="s">
        <v>380</v>
      </c>
      <c r="I6957" s="4">
        <v>0.12820512820512819</v>
      </c>
      <c r="J6957" s="21">
        <v>780</v>
      </c>
      <c r="K6957" s="21">
        <v>99.999999999999986</v>
      </c>
      <c r="L6957" s="5">
        <v>0</v>
      </c>
      <c r="M6957" s="4"/>
      <c r="N6957" s="4"/>
      <c r="O6957" s="5"/>
      <c r="P6957" s="5"/>
      <c r="Q6957" s="21">
        <v>0</v>
      </c>
      <c r="R6957" s="21">
        <v>0</v>
      </c>
      <c r="S6957" s="5">
        <f t="shared" si="435"/>
        <v>51823.110638587255</v>
      </c>
      <c r="T6957" cm="1">
        <f t="array" ref="T6957">IF(OR(B6957="MAL ALIMI", B6957="ÜRETİM GİRİŞ"), MIN(I6957, MAX(0, I6957 + SUM(SUMIFS($I$1:I6956, $C$1:C6956, C6957, $B$1:B6956, {"MAL ALIMI","ÜRETİM GİRİŞ"})) - VLOOKUP(C6957, 'STOK RAPORU'!$C$2:$I$1000, 4, 0))), 0)</f>
        <v>0</v>
      </c>
      <c r="U6957" s="22">
        <f t="shared" si="432"/>
        <v>0</v>
      </c>
      <c r="V6957">
        <f t="shared" si="433"/>
        <v>0</v>
      </c>
      <c r="W6957" s="22">
        <f t="shared" si="434"/>
        <v>0</v>
      </c>
    </row>
    <row r="6958" spans="1:23" hidden="1" x14ac:dyDescent="0.25">
      <c r="A6958" s="3">
        <v>46148</v>
      </c>
      <c r="B6958" s="46" t="s">
        <v>334</v>
      </c>
      <c r="C6958" s="4" t="s">
        <v>60</v>
      </c>
      <c r="D6958" s="4"/>
      <c r="E6958" s="4" t="s">
        <v>921</v>
      </c>
      <c r="F6958" s="46" t="s">
        <v>3339</v>
      </c>
      <c r="G6958" s="4" t="s">
        <v>336</v>
      </c>
      <c r="H6958" s="4" t="s">
        <v>380</v>
      </c>
      <c r="I6958" s="4">
        <v>0.05</v>
      </c>
      <c r="J6958" s="21">
        <v>1200</v>
      </c>
      <c r="K6958" s="21">
        <v>60</v>
      </c>
      <c r="L6958" s="5">
        <v>0</v>
      </c>
      <c r="M6958" s="4"/>
      <c r="N6958" s="4"/>
      <c r="O6958" s="5"/>
      <c r="P6958" s="5"/>
      <c r="Q6958" s="21">
        <v>0</v>
      </c>
      <c r="R6958" s="21">
        <v>0</v>
      </c>
      <c r="S6958" s="5">
        <f t="shared" si="435"/>
        <v>51823.110638587255</v>
      </c>
      <c r="T6958" cm="1">
        <f t="array" ref="T6958">IF(OR(B6958="MAL ALIMI", B6958="ÜRETİM GİRİŞ"), MIN(I6958, MAX(0, I6958 + SUM(SUMIFS($I$1:I6957, $C$1:C6957, C6958, $B$1:B6957, {"MAL ALIMI","ÜRETİM GİRİŞ"})) - VLOOKUP(C6958, 'STOK RAPORU'!$C$2:$I$1000, 4, 0))), 0)</f>
        <v>0</v>
      </c>
      <c r="U6958" s="22">
        <f t="shared" si="432"/>
        <v>0</v>
      </c>
      <c r="V6958">
        <f t="shared" si="433"/>
        <v>0</v>
      </c>
      <c r="W6958" s="22">
        <f t="shared" si="434"/>
        <v>0</v>
      </c>
    </row>
    <row r="6959" spans="1:23" hidden="1" x14ac:dyDescent="0.25">
      <c r="A6959" s="3">
        <v>46148</v>
      </c>
      <c r="B6959" s="46" t="s">
        <v>334</v>
      </c>
      <c r="C6959" s="4" t="s">
        <v>523</v>
      </c>
      <c r="D6959" s="4"/>
      <c r="E6959" s="4" t="s">
        <v>921</v>
      </c>
      <c r="F6959" s="46" t="s">
        <v>3339</v>
      </c>
      <c r="G6959" s="4" t="s">
        <v>336</v>
      </c>
      <c r="H6959" s="4" t="s">
        <v>380</v>
      </c>
      <c r="I6959" s="4">
        <v>0.08</v>
      </c>
      <c r="J6959" s="21">
        <v>750</v>
      </c>
      <c r="K6959" s="21">
        <v>60</v>
      </c>
      <c r="L6959" s="5">
        <v>0</v>
      </c>
      <c r="M6959" s="4"/>
      <c r="N6959" s="4"/>
      <c r="O6959" s="5"/>
      <c r="P6959" s="5"/>
      <c r="Q6959" s="21">
        <v>0</v>
      </c>
      <c r="R6959" s="21">
        <v>0</v>
      </c>
      <c r="S6959" s="5">
        <f t="shared" si="435"/>
        <v>51823.110638587255</v>
      </c>
      <c r="T6959" cm="1">
        <f t="array" ref="T6959">IF(OR(B6959="MAL ALIMI", B6959="ÜRETİM GİRİŞ"), MIN(I6959, MAX(0, I6959 + SUM(SUMIFS($I$1:I6958, $C$1:C6958, C6959, $B$1:B6958, {"MAL ALIMI","ÜRETİM GİRİŞ"})) - VLOOKUP(C6959, 'STOK RAPORU'!$C$2:$I$1000, 4, 0))), 0)</f>
        <v>0</v>
      </c>
      <c r="U6959" s="22">
        <f t="shared" si="432"/>
        <v>0</v>
      </c>
      <c r="V6959">
        <f t="shared" si="433"/>
        <v>0</v>
      </c>
      <c r="W6959" s="22">
        <f t="shared" si="434"/>
        <v>0</v>
      </c>
    </row>
    <row r="6960" spans="1:23" hidden="1" x14ac:dyDescent="0.25">
      <c r="A6960" s="3">
        <v>46148</v>
      </c>
      <c r="B6960" s="46" t="s">
        <v>334</v>
      </c>
      <c r="C6960" s="4" t="s">
        <v>214</v>
      </c>
      <c r="D6960" s="4"/>
      <c r="E6960" s="4"/>
      <c r="F6960" s="46" t="s">
        <v>3340</v>
      </c>
      <c r="G6960" s="4" t="s">
        <v>336</v>
      </c>
      <c r="H6960" s="4" t="s">
        <v>289</v>
      </c>
      <c r="I6960" s="4">
        <v>0.21739130434782608</v>
      </c>
      <c r="J6960" s="21">
        <v>900</v>
      </c>
      <c r="K6960" s="21">
        <v>0</v>
      </c>
      <c r="L6960" s="5">
        <v>0</v>
      </c>
      <c r="M6960" s="4"/>
      <c r="N6960" s="4"/>
      <c r="O6960" s="5"/>
      <c r="P6960" s="5"/>
      <c r="Q6960" s="21">
        <v>195.65217391304347</v>
      </c>
      <c r="R6960" s="21">
        <v>0</v>
      </c>
      <c r="S6960" s="5">
        <f t="shared" si="435"/>
        <v>52018.762812500296</v>
      </c>
      <c r="T6960" cm="1">
        <f t="array" ref="T6960">IF(OR(B6960="MAL ALIMI", B6960="ÜRETİM GİRİŞ"), MIN(I6960, MAX(0, I6960 + SUM(SUMIFS($I$1:I6959, $C$1:C6959, C6960, $B$1:B6959, {"MAL ALIMI","ÜRETİM GİRİŞ"})) - VLOOKUP(C6960, 'STOK RAPORU'!$C$2:$I$1000, 4, 0))), 0)</f>
        <v>0</v>
      </c>
      <c r="U6960" s="22">
        <f t="shared" si="432"/>
        <v>0</v>
      </c>
      <c r="V6960">
        <f t="shared" si="433"/>
        <v>0</v>
      </c>
      <c r="W6960" s="22">
        <f t="shared" si="434"/>
        <v>0</v>
      </c>
    </row>
    <row r="6961" spans="1:23" hidden="1" x14ac:dyDescent="0.25">
      <c r="A6961" s="3">
        <v>46148</v>
      </c>
      <c r="B6961" s="46" t="s">
        <v>334</v>
      </c>
      <c r="C6961" s="4" t="s">
        <v>728</v>
      </c>
      <c r="D6961" s="4"/>
      <c r="E6961" s="4" t="s">
        <v>921</v>
      </c>
      <c r="F6961" s="46" t="s">
        <v>3341</v>
      </c>
      <c r="G6961" s="4" t="s">
        <v>336</v>
      </c>
      <c r="H6961" s="4" t="s">
        <v>380</v>
      </c>
      <c r="I6961" s="4">
        <v>0.28615384615384615</v>
      </c>
      <c r="J6961" s="21">
        <v>650</v>
      </c>
      <c r="K6961" s="21">
        <v>186</v>
      </c>
      <c r="L6961" s="5">
        <v>0</v>
      </c>
      <c r="M6961" s="4"/>
      <c r="N6961" s="4"/>
      <c r="O6961" s="5"/>
      <c r="P6961" s="5"/>
      <c r="Q6961" s="21">
        <v>0</v>
      </c>
      <c r="R6961" s="21">
        <v>0</v>
      </c>
      <c r="S6961" s="5">
        <f t="shared" si="435"/>
        <v>52018.762812500296</v>
      </c>
      <c r="T6961" cm="1">
        <f t="array" ref="T6961">IF(OR(B6961="MAL ALIMI", B6961="ÜRETİM GİRİŞ"), MIN(I6961, MAX(0, I6961 + SUM(SUMIFS($I$1:I6960, $C$1:C6960, C6961, $B$1:B6960, {"MAL ALIMI","ÜRETİM GİRİŞ"})) - VLOOKUP(C6961, 'STOK RAPORU'!$C$2:$I$1000, 4, 0))), 0)</f>
        <v>0</v>
      </c>
      <c r="U6961" s="22">
        <f t="shared" si="432"/>
        <v>0</v>
      </c>
      <c r="V6961">
        <f t="shared" si="433"/>
        <v>0</v>
      </c>
      <c r="W6961" s="22">
        <f t="shared" si="434"/>
        <v>0</v>
      </c>
    </row>
    <row r="6962" spans="1:23" hidden="1" x14ac:dyDescent="0.25">
      <c r="A6962" s="3">
        <v>46148</v>
      </c>
      <c r="B6962" s="46" t="s">
        <v>334</v>
      </c>
      <c r="C6962" s="4" t="s">
        <v>1126</v>
      </c>
      <c r="D6962" s="4"/>
      <c r="E6962" s="4" t="s">
        <v>921</v>
      </c>
      <c r="F6962" s="46" t="s">
        <v>3341</v>
      </c>
      <c r="G6962" s="4" t="s">
        <v>336</v>
      </c>
      <c r="H6962" s="4" t="s">
        <v>380</v>
      </c>
      <c r="I6962" s="4">
        <v>1</v>
      </c>
      <c r="J6962" s="21">
        <v>290</v>
      </c>
      <c r="K6962" s="21">
        <v>290</v>
      </c>
      <c r="L6962" s="5">
        <v>0</v>
      </c>
      <c r="M6962" s="4"/>
      <c r="N6962" s="4"/>
      <c r="O6962" s="5"/>
      <c r="P6962" s="5"/>
      <c r="Q6962" s="21">
        <v>0</v>
      </c>
      <c r="R6962" s="21">
        <v>0</v>
      </c>
      <c r="S6962" s="5">
        <f t="shared" si="435"/>
        <v>52018.762812500296</v>
      </c>
      <c r="T6962" cm="1">
        <f t="array" ref="T6962">IF(OR(B6962="MAL ALIMI", B6962="ÜRETİM GİRİŞ"), MIN(I6962, MAX(0, I6962 + SUM(SUMIFS($I$1:I6961, $C$1:C6961, C6962, $B$1:B6961, {"MAL ALIMI","ÜRETİM GİRİŞ"})) - VLOOKUP(C6962, 'STOK RAPORU'!$C$2:$I$1000, 4, 0))), 0)</f>
        <v>0</v>
      </c>
      <c r="U6962" s="22">
        <f t="shared" ref="U6962:U7025" si="436">T6962*J6962</f>
        <v>0</v>
      </c>
      <c r="V6962">
        <f t="shared" ref="V6962:V7025" si="437">IF(OR(B6962="MAL ALIMI", B6962="ÜRETİM GİRİŞ"), I6962 * J6962, 0)</f>
        <v>0</v>
      </c>
      <c r="W6962" s="22">
        <f t="shared" ref="W6962:W7025" si="438">V6962-U6962</f>
        <v>0</v>
      </c>
    </row>
    <row r="6963" spans="1:23" hidden="1" x14ac:dyDescent="0.25">
      <c r="A6963" s="3">
        <v>46148</v>
      </c>
      <c r="B6963" s="46" t="s">
        <v>334</v>
      </c>
      <c r="C6963" s="4" t="s">
        <v>1501</v>
      </c>
      <c r="D6963" s="4"/>
      <c r="E6963" s="4" t="s">
        <v>921</v>
      </c>
      <c r="F6963" s="46" t="s">
        <v>3341</v>
      </c>
      <c r="G6963" s="4" t="s">
        <v>336</v>
      </c>
      <c r="H6963" s="4" t="s">
        <v>380</v>
      </c>
      <c r="I6963" s="4">
        <v>0.25</v>
      </c>
      <c r="J6963" s="21">
        <v>700</v>
      </c>
      <c r="K6963" s="21">
        <v>175</v>
      </c>
      <c r="L6963" s="5">
        <v>0</v>
      </c>
      <c r="M6963" s="4"/>
      <c r="N6963" s="4"/>
      <c r="O6963" s="5"/>
      <c r="P6963" s="5"/>
      <c r="Q6963" s="21">
        <v>0</v>
      </c>
      <c r="R6963" s="21">
        <v>0</v>
      </c>
      <c r="S6963" s="5">
        <f t="shared" si="435"/>
        <v>52018.762812500296</v>
      </c>
      <c r="T6963" cm="1">
        <f t="array" ref="T6963">IF(OR(B6963="MAL ALIMI", B6963="ÜRETİM GİRİŞ"), MIN(I6963, MAX(0, I6963 + SUM(SUMIFS($I$1:I6962, $C$1:C6962, C6963, $B$1:B6962, {"MAL ALIMI","ÜRETİM GİRİŞ"})) - VLOOKUP(C6963, 'STOK RAPORU'!$C$2:$I$1000, 4, 0))), 0)</f>
        <v>0</v>
      </c>
      <c r="U6963" s="22">
        <f t="shared" si="436"/>
        <v>0</v>
      </c>
      <c r="V6963">
        <f t="shared" si="437"/>
        <v>0</v>
      </c>
      <c r="W6963" s="22">
        <f t="shared" si="438"/>
        <v>0</v>
      </c>
    </row>
    <row r="6964" spans="1:23" hidden="1" x14ac:dyDescent="0.25">
      <c r="A6964" s="3">
        <v>46148</v>
      </c>
      <c r="B6964" s="46" t="s">
        <v>334</v>
      </c>
      <c r="C6964" s="4" t="s">
        <v>245</v>
      </c>
      <c r="D6964" s="4"/>
      <c r="E6964" s="4" t="s">
        <v>921</v>
      </c>
      <c r="F6964" s="46" t="s">
        <v>3341</v>
      </c>
      <c r="G6964" s="4" t="s">
        <v>336</v>
      </c>
      <c r="H6964" s="4" t="s">
        <v>380</v>
      </c>
      <c r="I6964" s="4">
        <v>0.23076923076923078</v>
      </c>
      <c r="J6964" s="21">
        <v>650</v>
      </c>
      <c r="K6964" s="21">
        <v>150</v>
      </c>
      <c r="L6964" s="5">
        <v>0</v>
      </c>
      <c r="M6964" s="4"/>
      <c r="N6964" s="4"/>
      <c r="O6964" s="5"/>
      <c r="P6964" s="5"/>
      <c r="Q6964" s="21">
        <v>0</v>
      </c>
      <c r="R6964" s="21">
        <v>0</v>
      </c>
      <c r="S6964" s="5">
        <f t="shared" si="435"/>
        <v>52018.762812500296</v>
      </c>
      <c r="T6964" cm="1">
        <f t="array" ref="T6964">IF(OR(B6964="MAL ALIMI", B6964="ÜRETİM GİRİŞ"), MIN(I6964, MAX(0, I6964 + SUM(SUMIFS($I$1:I6963, $C$1:C6963, C6964, $B$1:B6963, {"MAL ALIMI","ÜRETİM GİRİŞ"})) - VLOOKUP(C6964, 'STOK RAPORU'!$C$2:$I$1000, 4, 0))), 0)</f>
        <v>0</v>
      </c>
      <c r="U6964" s="22">
        <f t="shared" si="436"/>
        <v>0</v>
      </c>
      <c r="V6964">
        <f t="shared" si="437"/>
        <v>0</v>
      </c>
      <c r="W6964" s="22">
        <f t="shared" si="438"/>
        <v>0</v>
      </c>
    </row>
    <row r="6965" spans="1:23" hidden="1" x14ac:dyDescent="0.25">
      <c r="A6965" s="3">
        <v>46148</v>
      </c>
      <c r="B6965" s="46" t="s">
        <v>334</v>
      </c>
      <c r="C6965" s="4" t="s">
        <v>247</v>
      </c>
      <c r="D6965" s="4"/>
      <c r="E6965" s="4" t="s">
        <v>921</v>
      </c>
      <c r="F6965" s="46" t="s">
        <v>3341</v>
      </c>
      <c r="G6965" s="4" t="s">
        <v>336</v>
      </c>
      <c r="H6965" s="4" t="s">
        <v>380</v>
      </c>
      <c r="I6965" s="4">
        <v>0.16666666666666666</v>
      </c>
      <c r="J6965" s="21">
        <v>1200</v>
      </c>
      <c r="K6965" s="21">
        <v>200</v>
      </c>
      <c r="L6965" s="5">
        <v>0</v>
      </c>
      <c r="M6965" s="4"/>
      <c r="N6965" s="4"/>
      <c r="O6965" s="5"/>
      <c r="P6965" s="5"/>
      <c r="Q6965" s="21">
        <v>0</v>
      </c>
      <c r="R6965" s="21">
        <v>0</v>
      </c>
      <c r="S6965" s="5">
        <f t="shared" si="435"/>
        <v>52018.762812500296</v>
      </c>
      <c r="T6965" cm="1">
        <f t="array" ref="T6965">IF(OR(B6965="MAL ALIMI", B6965="ÜRETİM GİRİŞ"), MIN(I6965, MAX(0, I6965 + SUM(SUMIFS($I$1:I6964, $C$1:C6964, C6965, $B$1:B6964, {"MAL ALIMI","ÜRETİM GİRİŞ"})) - VLOOKUP(C6965, 'STOK RAPORU'!$C$2:$I$1000, 4, 0))), 0)</f>
        <v>0</v>
      </c>
      <c r="U6965" s="22">
        <f t="shared" si="436"/>
        <v>0</v>
      </c>
      <c r="V6965">
        <f t="shared" si="437"/>
        <v>0</v>
      </c>
      <c r="W6965" s="22">
        <f t="shared" si="438"/>
        <v>0</v>
      </c>
    </row>
    <row r="6966" spans="1:23" hidden="1" x14ac:dyDescent="0.25">
      <c r="A6966" s="3">
        <v>46148</v>
      </c>
      <c r="B6966" s="46" t="s">
        <v>334</v>
      </c>
      <c r="C6966" s="4" t="s">
        <v>266</v>
      </c>
      <c r="D6966" s="4"/>
      <c r="E6966" s="4" t="s">
        <v>921</v>
      </c>
      <c r="F6966" s="46" t="s">
        <v>3341</v>
      </c>
      <c r="G6966" s="4" t="s">
        <v>336</v>
      </c>
      <c r="H6966" s="4" t="s">
        <v>380</v>
      </c>
      <c r="I6966" s="4">
        <v>0.4</v>
      </c>
      <c r="J6966" s="21">
        <v>250</v>
      </c>
      <c r="K6966" s="21">
        <v>100</v>
      </c>
      <c r="L6966" s="5">
        <v>0</v>
      </c>
      <c r="M6966" s="4"/>
      <c r="N6966" s="4"/>
      <c r="O6966" s="5"/>
      <c r="P6966" s="5"/>
      <c r="Q6966" s="21">
        <v>0</v>
      </c>
      <c r="R6966" s="21">
        <v>0</v>
      </c>
      <c r="S6966" s="5">
        <f t="shared" si="435"/>
        <v>52018.762812500296</v>
      </c>
      <c r="T6966" cm="1">
        <f t="array" ref="T6966">IF(OR(B6966="MAL ALIMI", B6966="ÜRETİM GİRİŞ"), MIN(I6966, MAX(0, I6966 + SUM(SUMIFS($I$1:I6965, $C$1:C6965, C6966, $B$1:B6965, {"MAL ALIMI","ÜRETİM GİRİŞ"})) - VLOOKUP(C6966, 'STOK RAPORU'!$C$2:$I$1000, 4, 0))), 0)</f>
        <v>0</v>
      </c>
      <c r="U6966" s="22">
        <f t="shared" si="436"/>
        <v>0</v>
      </c>
      <c r="V6966">
        <f t="shared" si="437"/>
        <v>0</v>
      </c>
      <c r="W6966" s="22">
        <f t="shared" si="438"/>
        <v>0</v>
      </c>
    </row>
    <row r="6967" spans="1:23" hidden="1" x14ac:dyDescent="0.25">
      <c r="A6967" s="3">
        <v>46149</v>
      </c>
      <c r="B6967" s="46" t="s">
        <v>334</v>
      </c>
      <c r="C6967" s="4" t="s">
        <v>158</v>
      </c>
      <c r="D6967" s="4"/>
      <c r="E6967" s="4" t="s">
        <v>921</v>
      </c>
      <c r="F6967" s="46" t="s">
        <v>3342</v>
      </c>
      <c r="G6967" s="4" t="s">
        <v>336</v>
      </c>
      <c r="H6967" s="4" t="s">
        <v>380</v>
      </c>
      <c r="I6967" s="4">
        <v>1</v>
      </c>
      <c r="J6967" s="21">
        <v>150</v>
      </c>
      <c r="K6967" s="21">
        <v>150</v>
      </c>
      <c r="L6967" s="5">
        <v>0</v>
      </c>
      <c r="M6967" s="4"/>
      <c r="N6967" s="4"/>
      <c r="O6967" s="5"/>
      <c r="P6967" s="5"/>
      <c r="Q6967" s="21">
        <v>0</v>
      </c>
      <c r="R6967" s="21">
        <v>0</v>
      </c>
      <c r="S6967" s="5">
        <f t="shared" si="435"/>
        <v>52018.762812500296</v>
      </c>
      <c r="T6967" cm="1">
        <f t="array" ref="T6967">IF(OR(B6967="MAL ALIMI", B6967="ÜRETİM GİRİŞ"), MIN(I6967, MAX(0, I6967 + SUM(SUMIFS($I$1:I6966, $C$1:C6966, C6967, $B$1:B6966, {"MAL ALIMI","ÜRETİM GİRİŞ"})) - VLOOKUP(C6967, 'STOK RAPORU'!$C$2:$I$1000, 4, 0))), 0)</f>
        <v>0</v>
      </c>
      <c r="U6967" s="22">
        <f t="shared" si="436"/>
        <v>0</v>
      </c>
      <c r="V6967">
        <f t="shared" si="437"/>
        <v>0</v>
      </c>
      <c r="W6967" s="22">
        <f t="shared" si="438"/>
        <v>0</v>
      </c>
    </row>
    <row r="6968" spans="1:23" hidden="1" x14ac:dyDescent="0.25">
      <c r="A6968" s="3">
        <v>46149</v>
      </c>
      <c r="B6968" s="46" t="s">
        <v>334</v>
      </c>
      <c r="C6968" s="4" t="s">
        <v>203</v>
      </c>
      <c r="D6968" s="4"/>
      <c r="E6968" s="4" t="s">
        <v>921</v>
      </c>
      <c r="F6968" s="46" t="s">
        <v>3342</v>
      </c>
      <c r="G6968" s="4" t="s">
        <v>336</v>
      </c>
      <c r="H6968" s="4" t="s">
        <v>380</v>
      </c>
      <c r="I6968" s="4">
        <v>0.5</v>
      </c>
      <c r="J6968" s="21">
        <v>80</v>
      </c>
      <c r="K6968" s="21">
        <v>40</v>
      </c>
      <c r="L6968" s="5">
        <v>0</v>
      </c>
      <c r="M6968" s="4"/>
      <c r="N6968" s="4"/>
      <c r="O6968" s="5"/>
      <c r="P6968" s="5"/>
      <c r="Q6968" s="21">
        <v>0</v>
      </c>
      <c r="R6968" s="21">
        <v>0</v>
      </c>
      <c r="S6968" s="5">
        <f t="shared" si="435"/>
        <v>52018.762812500296</v>
      </c>
      <c r="T6968" cm="1">
        <f t="array" ref="T6968">IF(OR(B6968="MAL ALIMI", B6968="ÜRETİM GİRİŞ"), MIN(I6968, MAX(0, I6968 + SUM(SUMIFS($I$1:I6967, $C$1:C6967, C6968, $B$1:B6967, {"MAL ALIMI","ÜRETİM GİRİŞ"})) - VLOOKUP(C6968, 'STOK RAPORU'!$C$2:$I$1000, 4, 0))), 0)</f>
        <v>0</v>
      </c>
      <c r="U6968" s="22">
        <f t="shared" si="436"/>
        <v>0</v>
      </c>
      <c r="V6968">
        <f t="shared" si="437"/>
        <v>0</v>
      </c>
      <c r="W6968" s="22">
        <f t="shared" si="438"/>
        <v>0</v>
      </c>
    </row>
    <row r="6969" spans="1:23" hidden="1" x14ac:dyDescent="0.25">
      <c r="A6969" s="3">
        <v>46149</v>
      </c>
      <c r="B6969" s="46" t="s">
        <v>334</v>
      </c>
      <c r="C6969" s="4" t="s">
        <v>1501</v>
      </c>
      <c r="D6969" s="4"/>
      <c r="E6969" s="4" t="s">
        <v>921</v>
      </c>
      <c r="F6969" s="46" t="s">
        <v>3343</v>
      </c>
      <c r="G6969" s="4" t="s">
        <v>336</v>
      </c>
      <c r="H6969" s="4" t="s">
        <v>380</v>
      </c>
      <c r="I6969" s="4">
        <v>0.71599999999999997</v>
      </c>
      <c r="J6969" s="21">
        <v>698.33</v>
      </c>
      <c r="K6969" s="21">
        <v>500.00427999999999</v>
      </c>
      <c r="L6969" s="5">
        <v>0</v>
      </c>
      <c r="M6969" s="4"/>
      <c r="N6969" s="4"/>
      <c r="O6969" s="5"/>
      <c r="P6969" s="5"/>
      <c r="Q6969" s="21">
        <v>0</v>
      </c>
      <c r="R6969" s="21">
        <v>0</v>
      </c>
      <c r="S6969" s="5">
        <f t="shared" si="435"/>
        <v>52018.762812500296</v>
      </c>
      <c r="T6969" cm="1">
        <f t="array" ref="T6969">IF(OR(B6969="MAL ALIMI", B6969="ÜRETİM GİRİŞ"), MIN(I6969, MAX(0, I6969 + SUM(SUMIFS($I$1:I6968, $C$1:C6968, C6969, $B$1:B6968, {"MAL ALIMI","ÜRETİM GİRİŞ"})) - VLOOKUP(C6969, 'STOK RAPORU'!$C$2:$I$1000, 4, 0))), 0)</f>
        <v>0</v>
      </c>
      <c r="U6969" s="22">
        <f t="shared" si="436"/>
        <v>0</v>
      </c>
      <c r="V6969">
        <f t="shared" si="437"/>
        <v>0</v>
      </c>
      <c r="W6969" s="22">
        <f t="shared" si="438"/>
        <v>0</v>
      </c>
    </row>
    <row r="6970" spans="1:23" hidden="1" x14ac:dyDescent="0.25">
      <c r="A6970" s="3">
        <v>46149</v>
      </c>
      <c r="B6970" s="46" t="s">
        <v>334</v>
      </c>
      <c r="C6970" s="4" t="s">
        <v>1041</v>
      </c>
      <c r="D6970" s="4"/>
      <c r="E6970" s="4"/>
      <c r="F6970" s="46" t="s">
        <v>3344</v>
      </c>
      <c r="G6970" s="4" t="s">
        <v>336</v>
      </c>
      <c r="H6970" s="4" t="s">
        <v>289</v>
      </c>
      <c r="I6970" s="4">
        <v>1</v>
      </c>
      <c r="J6970" s="21">
        <v>250</v>
      </c>
      <c r="K6970" s="21">
        <v>0</v>
      </c>
      <c r="L6970" s="5">
        <v>0</v>
      </c>
      <c r="M6970" s="4"/>
      <c r="N6970" s="4"/>
      <c r="O6970" s="5"/>
      <c r="P6970" s="5"/>
      <c r="Q6970" s="21">
        <v>250</v>
      </c>
      <c r="R6970" s="21">
        <v>0</v>
      </c>
      <c r="S6970" s="5">
        <f t="shared" si="435"/>
        <v>52268.762812500296</v>
      </c>
      <c r="T6970" cm="1">
        <f t="array" ref="T6970">IF(OR(B6970="MAL ALIMI", B6970="ÜRETİM GİRİŞ"), MIN(I6970, MAX(0, I6970 + SUM(SUMIFS($I$1:I6969, $C$1:C6969, C6970, $B$1:B6969, {"MAL ALIMI","ÜRETİM GİRİŞ"})) - VLOOKUP(C6970, 'STOK RAPORU'!$C$2:$I$1000, 4, 0))), 0)</f>
        <v>0</v>
      </c>
      <c r="U6970" s="22">
        <f t="shared" si="436"/>
        <v>0</v>
      </c>
      <c r="V6970">
        <f t="shared" si="437"/>
        <v>0</v>
      </c>
      <c r="W6970" s="22">
        <f t="shared" si="438"/>
        <v>0</v>
      </c>
    </row>
    <row r="6971" spans="1:23" hidden="1" x14ac:dyDescent="0.25">
      <c r="A6971" s="3">
        <v>46149</v>
      </c>
      <c r="B6971" s="46" t="s">
        <v>334</v>
      </c>
      <c r="C6971" s="4" t="s">
        <v>1024</v>
      </c>
      <c r="D6971" s="4"/>
      <c r="E6971" s="4" t="s">
        <v>921</v>
      </c>
      <c r="F6971" s="46" t="s">
        <v>3345</v>
      </c>
      <c r="G6971" s="4" t="s">
        <v>336</v>
      </c>
      <c r="H6971" s="4" t="s">
        <v>380</v>
      </c>
      <c r="I6971" s="4">
        <v>1.6160000000000001</v>
      </c>
      <c r="J6971" s="21">
        <v>65</v>
      </c>
      <c r="K6971" s="21">
        <v>105.04</v>
      </c>
      <c r="L6971" s="5">
        <v>0</v>
      </c>
      <c r="M6971" s="4"/>
      <c r="N6971" s="4"/>
      <c r="O6971" s="5"/>
      <c r="P6971" s="5"/>
      <c r="Q6971" s="21">
        <v>0</v>
      </c>
      <c r="R6971" s="21">
        <v>0</v>
      </c>
      <c r="S6971" s="5">
        <f t="shared" si="435"/>
        <v>52268.762812500296</v>
      </c>
      <c r="T6971" cm="1">
        <f t="array" ref="T6971">IF(OR(B6971="MAL ALIMI", B6971="ÜRETİM GİRİŞ"), MIN(I6971, MAX(0, I6971 + SUM(SUMIFS($I$1:I6970, $C$1:C6970, C6971, $B$1:B6970, {"MAL ALIMI","ÜRETİM GİRİŞ"})) - VLOOKUP(C6971, 'STOK RAPORU'!$C$2:$I$1000, 4, 0))), 0)</f>
        <v>0</v>
      </c>
      <c r="U6971" s="22">
        <f t="shared" si="436"/>
        <v>0</v>
      </c>
      <c r="V6971">
        <f t="shared" si="437"/>
        <v>0</v>
      </c>
      <c r="W6971" s="22">
        <f t="shared" si="438"/>
        <v>0</v>
      </c>
    </row>
    <row r="6972" spans="1:23" hidden="1" x14ac:dyDescent="0.25">
      <c r="A6972" s="3">
        <v>46149</v>
      </c>
      <c r="B6972" s="46" t="s">
        <v>334</v>
      </c>
      <c r="C6972" s="4" t="s">
        <v>1151</v>
      </c>
      <c r="D6972" s="4"/>
      <c r="E6972" s="4" t="s">
        <v>921</v>
      </c>
      <c r="F6972" s="46" t="s">
        <v>3345</v>
      </c>
      <c r="G6972" s="4" t="s">
        <v>336</v>
      </c>
      <c r="H6972" s="4" t="s">
        <v>380</v>
      </c>
      <c r="I6972" s="4">
        <v>0.91400000000000003</v>
      </c>
      <c r="J6972" s="21">
        <v>400</v>
      </c>
      <c r="K6972" s="21">
        <v>365.6</v>
      </c>
      <c r="L6972" s="5">
        <v>0</v>
      </c>
      <c r="M6972" s="4"/>
      <c r="N6972" s="4"/>
      <c r="O6972" s="5"/>
      <c r="P6972" s="5"/>
      <c r="Q6972" s="21">
        <v>0</v>
      </c>
      <c r="R6972" s="21">
        <v>0</v>
      </c>
      <c r="S6972" s="5">
        <f t="shared" si="435"/>
        <v>52268.762812500296</v>
      </c>
      <c r="T6972" cm="1">
        <f t="array" ref="T6972">IF(OR(B6972="MAL ALIMI", B6972="ÜRETİM GİRİŞ"), MIN(I6972, MAX(0, I6972 + SUM(SUMIFS($I$1:I6971, $C$1:C6971, C6972, $B$1:B6971, {"MAL ALIMI","ÜRETİM GİRİŞ"})) - VLOOKUP(C6972, 'STOK RAPORU'!$C$2:$I$1000, 4, 0))), 0)</f>
        <v>0</v>
      </c>
      <c r="U6972" s="22">
        <f t="shared" si="436"/>
        <v>0</v>
      </c>
      <c r="V6972">
        <f t="shared" si="437"/>
        <v>0</v>
      </c>
      <c r="W6972" s="22">
        <f t="shared" si="438"/>
        <v>0</v>
      </c>
    </row>
    <row r="6973" spans="1:23" hidden="1" x14ac:dyDescent="0.25">
      <c r="A6973" s="3">
        <v>46149</v>
      </c>
      <c r="B6973" s="46" t="s">
        <v>334</v>
      </c>
      <c r="C6973" s="4" t="s">
        <v>523</v>
      </c>
      <c r="D6973" s="4"/>
      <c r="E6973" s="4" t="s">
        <v>921</v>
      </c>
      <c r="F6973" s="46" t="s">
        <v>3345</v>
      </c>
      <c r="G6973" s="4" t="s">
        <v>336</v>
      </c>
      <c r="H6973" s="4" t="s">
        <v>380</v>
      </c>
      <c r="I6973" s="4">
        <v>0.08</v>
      </c>
      <c r="J6973" s="21">
        <v>750</v>
      </c>
      <c r="K6973" s="21">
        <v>60</v>
      </c>
      <c r="L6973" s="5">
        <v>0</v>
      </c>
      <c r="M6973" s="4"/>
      <c r="N6973" s="4"/>
      <c r="O6973" s="5"/>
      <c r="P6973" s="5"/>
      <c r="Q6973" s="21">
        <v>0</v>
      </c>
      <c r="R6973" s="21">
        <v>0</v>
      </c>
      <c r="S6973" s="5">
        <f t="shared" si="435"/>
        <v>52268.762812500296</v>
      </c>
      <c r="T6973" cm="1">
        <f t="array" ref="T6973">IF(OR(B6973="MAL ALIMI", B6973="ÜRETİM GİRİŞ"), MIN(I6973, MAX(0, I6973 + SUM(SUMIFS($I$1:I6972, $C$1:C6972, C6973, $B$1:B6972, {"MAL ALIMI","ÜRETİM GİRİŞ"})) - VLOOKUP(C6973, 'STOK RAPORU'!$C$2:$I$1000, 4, 0))), 0)</f>
        <v>0</v>
      </c>
      <c r="U6973" s="22">
        <f t="shared" si="436"/>
        <v>0</v>
      </c>
      <c r="V6973">
        <f t="shared" si="437"/>
        <v>0</v>
      </c>
      <c r="W6973" s="22">
        <f t="shared" si="438"/>
        <v>0</v>
      </c>
    </row>
    <row r="6974" spans="1:23" hidden="1" x14ac:dyDescent="0.25">
      <c r="A6974" s="3">
        <v>46149</v>
      </c>
      <c r="B6974" s="46" t="s">
        <v>334</v>
      </c>
      <c r="C6974" s="4" t="s">
        <v>200</v>
      </c>
      <c r="D6974" s="4"/>
      <c r="E6974" s="4" t="s">
        <v>921</v>
      </c>
      <c r="F6974" s="46" t="s">
        <v>3346</v>
      </c>
      <c r="G6974" s="4" t="s">
        <v>336</v>
      </c>
      <c r="H6974" s="4" t="s">
        <v>380</v>
      </c>
      <c r="I6974" s="4">
        <v>0.25</v>
      </c>
      <c r="J6974" s="21">
        <v>360</v>
      </c>
      <c r="K6974" s="21">
        <v>90</v>
      </c>
      <c r="L6974" s="5">
        <v>0</v>
      </c>
      <c r="M6974" s="4"/>
      <c r="N6974" s="4"/>
      <c r="O6974" s="5"/>
      <c r="P6974" s="5"/>
      <c r="Q6974" s="21">
        <v>0</v>
      </c>
      <c r="R6974" s="21">
        <v>0</v>
      </c>
      <c r="S6974" s="5">
        <f t="shared" si="435"/>
        <v>52268.762812500296</v>
      </c>
      <c r="T6974" cm="1">
        <f t="array" ref="T6974">IF(OR(B6974="MAL ALIMI", B6974="ÜRETİM GİRİŞ"), MIN(I6974, MAX(0, I6974 + SUM(SUMIFS($I$1:I6973, $C$1:C6973, C6974, $B$1:B6973, {"MAL ALIMI","ÜRETİM GİRİŞ"})) - VLOOKUP(C6974, 'STOK RAPORU'!$C$2:$I$1000, 4, 0))), 0)</f>
        <v>0</v>
      </c>
      <c r="U6974" s="22">
        <f t="shared" si="436"/>
        <v>0</v>
      </c>
      <c r="V6974">
        <f t="shared" si="437"/>
        <v>0</v>
      </c>
      <c r="W6974" s="22">
        <f t="shared" si="438"/>
        <v>0</v>
      </c>
    </row>
    <row r="6975" spans="1:23" hidden="1" x14ac:dyDescent="0.25">
      <c r="A6975" s="3">
        <v>46149</v>
      </c>
      <c r="B6975" s="46" t="s">
        <v>334</v>
      </c>
      <c r="C6975" s="4" t="s">
        <v>1041</v>
      </c>
      <c r="D6975" s="4"/>
      <c r="E6975" s="4" t="s">
        <v>921</v>
      </c>
      <c r="F6975" s="46" t="s">
        <v>3347</v>
      </c>
      <c r="G6975" s="4" t="s">
        <v>336</v>
      </c>
      <c r="H6975" s="4" t="s">
        <v>380</v>
      </c>
      <c r="I6975" s="4">
        <v>1</v>
      </c>
      <c r="J6975" s="21">
        <v>250</v>
      </c>
      <c r="K6975" s="21">
        <v>250</v>
      </c>
      <c r="L6975" s="5">
        <v>0</v>
      </c>
      <c r="M6975" s="4"/>
      <c r="N6975" s="4"/>
      <c r="O6975" s="5"/>
      <c r="P6975" s="5"/>
      <c r="Q6975" s="21">
        <v>0</v>
      </c>
      <c r="R6975" s="21">
        <v>0</v>
      </c>
      <c r="S6975" s="5">
        <f t="shared" si="435"/>
        <v>52268.762812500296</v>
      </c>
      <c r="T6975" cm="1">
        <f t="array" ref="T6975">IF(OR(B6975="MAL ALIMI", B6975="ÜRETİM GİRİŞ"), MIN(I6975, MAX(0, I6975 + SUM(SUMIFS($I$1:I6974, $C$1:C6974, C6975, $B$1:B6974, {"MAL ALIMI","ÜRETİM GİRİŞ"})) - VLOOKUP(C6975, 'STOK RAPORU'!$C$2:$I$1000, 4, 0))), 0)</f>
        <v>0</v>
      </c>
      <c r="U6975" s="22">
        <f t="shared" si="436"/>
        <v>0</v>
      </c>
      <c r="V6975">
        <f t="shared" si="437"/>
        <v>0</v>
      </c>
      <c r="W6975" s="22">
        <f t="shared" si="438"/>
        <v>0</v>
      </c>
    </row>
    <row r="6976" spans="1:23" hidden="1" x14ac:dyDescent="0.25">
      <c r="A6976" s="3">
        <v>46149</v>
      </c>
      <c r="B6976" s="46" t="s">
        <v>334</v>
      </c>
      <c r="C6976" s="4" t="s">
        <v>249</v>
      </c>
      <c r="D6976" s="4"/>
      <c r="E6976" s="4"/>
      <c r="F6976" s="46" t="s">
        <v>3348</v>
      </c>
      <c r="G6976" s="4" t="s">
        <v>336</v>
      </c>
      <c r="H6976" s="4" t="s">
        <v>289</v>
      </c>
      <c r="I6976" s="4">
        <v>0.1</v>
      </c>
      <c r="J6976" s="21">
        <v>900</v>
      </c>
      <c r="K6976" s="21">
        <v>0</v>
      </c>
      <c r="L6976" s="5">
        <v>0</v>
      </c>
      <c r="M6976" s="4"/>
      <c r="N6976" s="4"/>
      <c r="O6976" s="5"/>
      <c r="P6976" s="5"/>
      <c r="Q6976" s="21">
        <v>90</v>
      </c>
      <c r="R6976" s="21">
        <v>0</v>
      </c>
      <c r="S6976" s="5">
        <f t="shared" si="435"/>
        <v>52358.762812500296</v>
      </c>
      <c r="T6976" cm="1">
        <f t="array" ref="T6976">IF(OR(B6976="MAL ALIMI", B6976="ÜRETİM GİRİŞ"), MIN(I6976, MAX(0, I6976 + SUM(SUMIFS($I$1:I6975, $C$1:C6975, C6976, $B$1:B6975, {"MAL ALIMI","ÜRETİM GİRİŞ"})) - VLOOKUP(C6976, 'STOK RAPORU'!$C$2:$I$1000, 4, 0))), 0)</f>
        <v>0</v>
      </c>
      <c r="U6976" s="22">
        <f t="shared" si="436"/>
        <v>0</v>
      </c>
      <c r="V6976">
        <f t="shared" si="437"/>
        <v>0</v>
      </c>
      <c r="W6976" s="22">
        <f t="shared" si="438"/>
        <v>0</v>
      </c>
    </row>
    <row r="6977" spans="1:23" hidden="1" x14ac:dyDescent="0.25">
      <c r="A6977" s="3">
        <v>46149</v>
      </c>
      <c r="B6977" s="46" t="s">
        <v>334</v>
      </c>
      <c r="C6977" s="4" t="s">
        <v>523</v>
      </c>
      <c r="D6977" s="4"/>
      <c r="E6977" s="4"/>
      <c r="F6977" s="46" t="s">
        <v>3348</v>
      </c>
      <c r="G6977" s="4" t="s">
        <v>336</v>
      </c>
      <c r="H6977" s="4" t="s">
        <v>289</v>
      </c>
      <c r="I6977" s="4">
        <v>0.08</v>
      </c>
      <c r="J6977" s="21">
        <v>750</v>
      </c>
      <c r="K6977" s="21">
        <v>0</v>
      </c>
      <c r="L6977" s="5">
        <v>0</v>
      </c>
      <c r="M6977" s="4"/>
      <c r="N6977" s="4"/>
      <c r="O6977" s="5"/>
      <c r="P6977" s="5"/>
      <c r="Q6977" s="21">
        <v>60</v>
      </c>
      <c r="R6977" s="21">
        <v>0</v>
      </c>
      <c r="S6977" s="5">
        <f t="shared" si="435"/>
        <v>52418.762812500296</v>
      </c>
      <c r="T6977" cm="1">
        <f t="array" ref="T6977">IF(OR(B6977="MAL ALIMI", B6977="ÜRETİM GİRİŞ"), MIN(I6977, MAX(0, I6977 + SUM(SUMIFS($I$1:I6976, $C$1:C6976, C6977, $B$1:B6976, {"MAL ALIMI","ÜRETİM GİRİŞ"})) - VLOOKUP(C6977, 'STOK RAPORU'!$C$2:$I$1000, 4, 0))), 0)</f>
        <v>0</v>
      </c>
      <c r="U6977" s="22">
        <f t="shared" si="436"/>
        <v>0</v>
      </c>
      <c r="V6977">
        <f t="shared" si="437"/>
        <v>0</v>
      </c>
      <c r="W6977" s="22">
        <f t="shared" si="438"/>
        <v>0</v>
      </c>
    </row>
    <row r="6978" spans="1:23" hidden="1" x14ac:dyDescent="0.25">
      <c r="A6978" s="3">
        <v>46149</v>
      </c>
      <c r="B6978" s="46" t="s">
        <v>334</v>
      </c>
      <c r="C6978" s="4" t="s">
        <v>209</v>
      </c>
      <c r="D6978" s="4"/>
      <c r="E6978" s="4"/>
      <c r="F6978" s="46" t="s">
        <v>3349</v>
      </c>
      <c r="G6978" s="4" t="s">
        <v>336</v>
      </c>
      <c r="H6978" s="4" t="s">
        <v>289</v>
      </c>
      <c r="I6978" s="4">
        <v>0.05</v>
      </c>
      <c r="J6978" s="21">
        <v>2600</v>
      </c>
      <c r="K6978" s="21">
        <v>0</v>
      </c>
      <c r="L6978" s="5">
        <v>0</v>
      </c>
      <c r="M6978" s="4"/>
      <c r="N6978" s="4"/>
      <c r="O6978" s="5"/>
      <c r="P6978" s="5"/>
      <c r="Q6978" s="21">
        <v>130</v>
      </c>
      <c r="R6978" s="21">
        <v>0</v>
      </c>
      <c r="S6978" s="5">
        <f t="shared" si="435"/>
        <v>52548.762812500296</v>
      </c>
      <c r="T6978" cm="1">
        <f t="array" ref="T6978">IF(OR(B6978="MAL ALIMI", B6978="ÜRETİM GİRİŞ"), MIN(I6978, MAX(0, I6978 + SUM(SUMIFS($I$1:I6977, $C$1:C6977, C6978, $B$1:B6977, {"MAL ALIMI","ÜRETİM GİRİŞ"})) - VLOOKUP(C6978, 'STOK RAPORU'!$C$2:$I$1000, 4, 0))), 0)</f>
        <v>0</v>
      </c>
      <c r="U6978" s="22">
        <f t="shared" si="436"/>
        <v>0</v>
      </c>
      <c r="V6978">
        <f t="shared" si="437"/>
        <v>0</v>
      </c>
      <c r="W6978" s="22">
        <f t="shared" si="438"/>
        <v>0</v>
      </c>
    </row>
    <row r="6979" spans="1:23" hidden="1" x14ac:dyDescent="0.25">
      <c r="A6979" s="3">
        <v>46150</v>
      </c>
      <c r="B6979" s="46" t="s">
        <v>334</v>
      </c>
      <c r="C6979" s="4" t="s">
        <v>2604</v>
      </c>
      <c r="D6979" s="4"/>
      <c r="E6979" s="4"/>
      <c r="F6979" s="46" t="s">
        <v>3350</v>
      </c>
      <c r="G6979" s="4" t="s">
        <v>336</v>
      </c>
      <c r="H6979" s="4" t="s">
        <v>289</v>
      </c>
      <c r="I6979" s="4">
        <v>0.1</v>
      </c>
      <c r="J6979" s="21">
        <v>500</v>
      </c>
      <c r="K6979" s="21">
        <v>0</v>
      </c>
      <c r="L6979" s="5">
        <v>0</v>
      </c>
      <c r="M6979" s="4"/>
      <c r="N6979" s="4"/>
      <c r="O6979" s="5"/>
      <c r="P6979" s="5"/>
      <c r="Q6979" s="21">
        <v>50</v>
      </c>
      <c r="R6979" s="21">
        <v>0</v>
      </c>
      <c r="S6979" s="5">
        <f t="shared" si="435"/>
        <v>52598.762812500296</v>
      </c>
      <c r="T6979" cm="1">
        <f t="array" ref="T6979">IF(OR(B6979="MAL ALIMI", B6979="ÜRETİM GİRİŞ"), MIN(I6979, MAX(0, I6979 + SUM(SUMIFS($I$1:I6978, $C$1:C6978, C6979, $B$1:B6978, {"MAL ALIMI","ÜRETİM GİRİŞ"})) - VLOOKUP(C6979, 'STOK RAPORU'!$C$2:$I$1000, 4, 0))), 0)</f>
        <v>0</v>
      </c>
      <c r="U6979" s="22">
        <f t="shared" si="436"/>
        <v>0</v>
      </c>
      <c r="V6979">
        <f t="shared" si="437"/>
        <v>0</v>
      </c>
      <c r="W6979" s="22">
        <f t="shared" si="438"/>
        <v>0</v>
      </c>
    </row>
    <row r="6980" spans="1:23" hidden="1" x14ac:dyDescent="0.25">
      <c r="A6980" s="3">
        <v>46150</v>
      </c>
      <c r="B6980" s="46" t="s">
        <v>334</v>
      </c>
      <c r="C6980" s="4" t="s">
        <v>823</v>
      </c>
      <c r="D6980" s="4"/>
      <c r="E6980" s="4"/>
      <c r="F6980" s="46" t="s">
        <v>3350</v>
      </c>
      <c r="G6980" s="4" t="s">
        <v>336</v>
      </c>
      <c r="H6980" s="4" t="s">
        <v>289</v>
      </c>
      <c r="I6980" s="4">
        <v>1</v>
      </c>
      <c r="J6980" s="21">
        <v>125</v>
      </c>
      <c r="K6980" s="21">
        <v>0</v>
      </c>
      <c r="L6980" s="5">
        <v>0</v>
      </c>
      <c r="M6980" s="4"/>
      <c r="N6980" s="4"/>
      <c r="O6980" s="5"/>
      <c r="P6980" s="5"/>
      <c r="Q6980" s="21">
        <v>125</v>
      </c>
      <c r="R6980" s="21">
        <v>0</v>
      </c>
      <c r="S6980" s="5">
        <f t="shared" ref="S6980:S7043" si="439">S6979+Q6980-R6980</f>
        <v>52723.762812500296</v>
      </c>
      <c r="T6980" cm="1">
        <f t="array" ref="T6980">IF(OR(B6980="MAL ALIMI", B6980="ÜRETİM GİRİŞ"), MIN(I6980, MAX(0, I6980 + SUM(SUMIFS($I$1:I6979, $C$1:C6979, C6980, $B$1:B6979, {"MAL ALIMI","ÜRETİM GİRİŞ"})) - VLOOKUP(C6980, 'STOK RAPORU'!$C$2:$I$1000, 4, 0))), 0)</f>
        <v>0</v>
      </c>
      <c r="U6980" s="22">
        <f t="shared" si="436"/>
        <v>0</v>
      </c>
      <c r="V6980">
        <f t="shared" si="437"/>
        <v>0</v>
      </c>
      <c r="W6980" s="22">
        <f t="shared" si="438"/>
        <v>0</v>
      </c>
    </row>
    <row r="6981" spans="1:23" hidden="1" x14ac:dyDescent="0.25">
      <c r="A6981" s="3">
        <v>46150</v>
      </c>
      <c r="B6981" s="46" t="s">
        <v>334</v>
      </c>
      <c r="C6981" s="4" t="s">
        <v>2579</v>
      </c>
      <c r="D6981" s="4"/>
      <c r="E6981" s="4"/>
      <c r="F6981" s="46" t="s">
        <v>3350</v>
      </c>
      <c r="G6981" s="4" t="s">
        <v>336</v>
      </c>
      <c r="H6981" s="4" t="s">
        <v>289</v>
      </c>
      <c r="I6981" s="4">
        <v>3</v>
      </c>
      <c r="J6981" s="21">
        <v>10</v>
      </c>
      <c r="K6981" s="21">
        <v>0</v>
      </c>
      <c r="L6981" s="5">
        <v>0</v>
      </c>
      <c r="M6981" s="4"/>
      <c r="N6981" s="4"/>
      <c r="O6981" s="5"/>
      <c r="P6981" s="5"/>
      <c r="Q6981" s="21">
        <v>30</v>
      </c>
      <c r="R6981" s="21">
        <v>0</v>
      </c>
      <c r="S6981" s="5">
        <f t="shared" si="439"/>
        <v>52753.762812500296</v>
      </c>
      <c r="T6981" cm="1">
        <f t="array" ref="T6981">IF(OR(B6981="MAL ALIMI", B6981="ÜRETİM GİRİŞ"), MIN(I6981, MAX(0, I6981 + SUM(SUMIFS($I$1:I6980, $C$1:C6980, C6981, $B$1:B6980, {"MAL ALIMI","ÜRETİM GİRİŞ"})) - VLOOKUP(C6981, 'STOK RAPORU'!$C$2:$I$1000, 4, 0))), 0)</f>
        <v>0</v>
      </c>
      <c r="U6981" s="22">
        <f t="shared" si="436"/>
        <v>0</v>
      </c>
      <c r="V6981">
        <f t="shared" si="437"/>
        <v>0</v>
      </c>
      <c r="W6981" s="22">
        <f t="shared" si="438"/>
        <v>0</v>
      </c>
    </row>
    <row r="6982" spans="1:23" hidden="1" x14ac:dyDescent="0.25">
      <c r="A6982" s="3">
        <v>46150</v>
      </c>
      <c r="B6982" s="46" t="s">
        <v>334</v>
      </c>
      <c r="C6982" s="4" t="s">
        <v>234</v>
      </c>
      <c r="D6982" s="4"/>
      <c r="E6982" s="4"/>
      <c r="F6982" s="46" t="s">
        <v>3351</v>
      </c>
      <c r="G6982" s="4" t="s">
        <v>336</v>
      </c>
      <c r="H6982" s="4" t="s">
        <v>289</v>
      </c>
      <c r="I6982" s="4">
        <v>1</v>
      </c>
      <c r="J6982" s="21">
        <v>180</v>
      </c>
      <c r="K6982" s="21">
        <v>0</v>
      </c>
      <c r="L6982" s="5">
        <v>0</v>
      </c>
      <c r="M6982" s="4"/>
      <c r="N6982" s="4"/>
      <c r="O6982" s="5"/>
      <c r="P6982" s="5"/>
      <c r="Q6982" s="21">
        <v>180</v>
      </c>
      <c r="R6982" s="21">
        <v>0</v>
      </c>
      <c r="S6982" s="5">
        <f t="shared" si="439"/>
        <v>52933.762812500296</v>
      </c>
      <c r="T6982" cm="1">
        <f t="array" ref="T6982">IF(OR(B6982="MAL ALIMI", B6982="ÜRETİM GİRİŞ"), MIN(I6982, MAX(0, I6982 + SUM(SUMIFS($I$1:I6981, $C$1:C6981, C6982, $B$1:B6981, {"MAL ALIMI","ÜRETİM GİRİŞ"})) - VLOOKUP(C6982, 'STOK RAPORU'!$C$2:$I$1000, 4, 0))), 0)</f>
        <v>0</v>
      </c>
      <c r="U6982" s="22">
        <f t="shared" si="436"/>
        <v>0</v>
      </c>
      <c r="V6982">
        <f t="shared" si="437"/>
        <v>0</v>
      </c>
      <c r="W6982" s="22">
        <f t="shared" si="438"/>
        <v>0</v>
      </c>
    </row>
    <row r="6983" spans="1:23" hidden="1" x14ac:dyDescent="0.25">
      <c r="A6983" s="3">
        <v>46150</v>
      </c>
      <c r="B6983" s="46" t="s">
        <v>334</v>
      </c>
      <c r="C6983" s="4" t="s">
        <v>160</v>
      </c>
      <c r="D6983" s="4"/>
      <c r="E6983" s="4" t="s">
        <v>921</v>
      </c>
      <c r="F6983" s="46" t="s">
        <v>3352</v>
      </c>
      <c r="G6983" s="4" t="s">
        <v>336</v>
      </c>
      <c r="H6983" s="4" t="s">
        <v>380</v>
      </c>
      <c r="I6983" s="4">
        <v>1</v>
      </c>
      <c r="J6983" s="21">
        <v>250</v>
      </c>
      <c r="K6983" s="21">
        <v>250</v>
      </c>
      <c r="L6983" s="5">
        <v>0</v>
      </c>
      <c r="M6983" s="4"/>
      <c r="N6983" s="4"/>
      <c r="O6983" s="5"/>
      <c r="P6983" s="5"/>
      <c r="Q6983" s="21">
        <v>0</v>
      </c>
      <c r="R6983" s="21">
        <v>0</v>
      </c>
      <c r="S6983" s="5">
        <f t="shared" si="439"/>
        <v>52933.762812500296</v>
      </c>
      <c r="T6983" cm="1">
        <f t="array" ref="T6983">IF(OR(B6983="MAL ALIMI", B6983="ÜRETİM GİRİŞ"), MIN(I6983, MAX(0, I6983 + SUM(SUMIFS($I$1:I6982, $C$1:C6982, C6983, $B$1:B6982, {"MAL ALIMI","ÜRETİM GİRİŞ"})) - VLOOKUP(C6983, 'STOK RAPORU'!$C$2:$I$1000, 4, 0))), 0)</f>
        <v>0</v>
      </c>
      <c r="U6983" s="22">
        <f t="shared" si="436"/>
        <v>0</v>
      </c>
      <c r="V6983">
        <f t="shared" si="437"/>
        <v>0</v>
      </c>
      <c r="W6983" s="22">
        <f t="shared" si="438"/>
        <v>0</v>
      </c>
    </row>
    <row r="6984" spans="1:23" hidden="1" x14ac:dyDescent="0.25">
      <c r="A6984" s="3">
        <v>46150</v>
      </c>
      <c r="B6984" s="46" t="s">
        <v>334</v>
      </c>
      <c r="C6984" s="4" t="s">
        <v>161</v>
      </c>
      <c r="D6984" s="4"/>
      <c r="E6984" s="4" t="s">
        <v>921</v>
      </c>
      <c r="F6984" s="46" t="s">
        <v>3352</v>
      </c>
      <c r="G6984" s="4" t="s">
        <v>336</v>
      </c>
      <c r="H6984" s="4" t="s">
        <v>380</v>
      </c>
      <c r="I6984" s="4">
        <v>1</v>
      </c>
      <c r="J6984" s="21">
        <v>250</v>
      </c>
      <c r="K6984" s="21">
        <v>250</v>
      </c>
      <c r="L6984" s="5">
        <v>0</v>
      </c>
      <c r="M6984" s="4"/>
      <c r="N6984" s="4"/>
      <c r="O6984" s="5"/>
      <c r="P6984" s="5"/>
      <c r="Q6984" s="21">
        <v>0</v>
      </c>
      <c r="R6984" s="21">
        <v>0</v>
      </c>
      <c r="S6984" s="5">
        <f t="shared" si="439"/>
        <v>52933.762812500296</v>
      </c>
      <c r="T6984" cm="1">
        <f t="array" ref="T6984">IF(OR(B6984="MAL ALIMI", B6984="ÜRETİM GİRİŞ"), MIN(I6984, MAX(0, I6984 + SUM(SUMIFS($I$1:I6983, $C$1:C6983, C6984, $B$1:B6983, {"MAL ALIMI","ÜRETİM GİRİŞ"})) - VLOOKUP(C6984, 'STOK RAPORU'!$C$2:$I$1000, 4, 0))), 0)</f>
        <v>0</v>
      </c>
      <c r="U6984" s="22">
        <f t="shared" si="436"/>
        <v>0</v>
      </c>
      <c r="V6984">
        <f t="shared" si="437"/>
        <v>0</v>
      </c>
      <c r="W6984" s="22">
        <f t="shared" si="438"/>
        <v>0</v>
      </c>
    </row>
    <row r="6985" spans="1:23" hidden="1" x14ac:dyDescent="0.25">
      <c r="A6985" s="3">
        <v>46150</v>
      </c>
      <c r="B6985" s="46" t="s">
        <v>334</v>
      </c>
      <c r="C6985" s="4" t="s">
        <v>468</v>
      </c>
      <c r="D6985" s="4"/>
      <c r="E6985" s="4" t="s">
        <v>921</v>
      </c>
      <c r="F6985" s="46" t="s">
        <v>3353</v>
      </c>
      <c r="G6985" s="4" t="s">
        <v>336</v>
      </c>
      <c r="H6985" s="4" t="s">
        <v>380</v>
      </c>
      <c r="I6985" s="4">
        <v>1</v>
      </c>
      <c r="J6985" s="21">
        <v>50</v>
      </c>
      <c r="K6985" s="21">
        <v>50</v>
      </c>
      <c r="L6985" s="5">
        <v>0</v>
      </c>
      <c r="M6985" s="4"/>
      <c r="N6985" s="4"/>
      <c r="O6985" s="5"/>
      <c r="P6985" s="5"/>
      <c r="Q6985" s="21">
        <v>0</v>
      </c>
      <c r="R6985" s="21">
        <v>0</v>
      </c>
      <c r="S6985" s="5">
        <f t="shared" si="439"/>
        <v>52933.762812500296</v>
      </c>
      <c r="T6985" cm="1">
        <f t="array" ref="T6985">IF(OR(B6985="MAL ALIMI", B6985="ÜRETİM GİRİŞ"), MIN(I6985, MAX(0, I6985 + SUM(SUMIFS($I$1:I6984, $C$1:C6984, C6985, $B$1:B6984, {"MAL ALIMI","ÜRETİM GİRİŞ"})) - VLOOKUP(C6985, 'STOK RAPORU'!$C$2:$I$1000, 4, 0))), 0)</f>
        <v>0</v>
      </c>
      <c r="U6985" s="22">
        <f t="shared" si="436"/>
        <v>0</v>
      </c>
      <c r="V6985">
        <f t="shared" si="437"/>
        <v>0</v>
      </c>
      <c r="W6985" s="22">
        <f t="shared" si="438"/>
        <v>0</v>
      </c>
    </row>
    <row r="6986" spans="1:23" hidden="1" x14ac:dyDescent="0.25">
      <c r="A6986" s="3">
        <v>46150</v>
      </c>
      <c r="B6986" s="46" t="s">
        <v>334</v>
      </c>
      <c r="C6986" s="4" t="s">
        <v>200</v>
      </c>
      <c r="D6986" s="4"/>
      <c r="E6986" s="4" t="s">
        <v>921</v>
      </c>
      <c r="F6986" s="46" t="s">
        <v>3354</v>
      </c>
      <c r="G6986" s="4" t="s">
        <v>336</v>
      </c>
      <c r="H6986" s="4" t="s">
        <v>380</v>
      </c>
      <c r="I6986" s="4">
        <v>0.125</v>
      </c>
      <c r="J6986" s="21">
        <v>320</v>
      </c>
      <c r="K6986" s="21">
        <v>40</v>
      </c>
      <c r="L6986" s="5">
        <v>0</v>
      </c>
      <c r="M6986" s="4"/>
      <c r="N6986" s="4"/>
      <c r="O6986" s="5"/>
      <c r="P6986" s="5"/>
      <c r="Q6986" s="21">
        <v>0</v>
      </c>
      <c r="R6986" s="21">
        <v>0</v>
      </c>
      <c r="S6986" s="5">
        <f t="shared" si="439"/>
        <v>52933.762812500296</v>
      </c>
      <c r="T6986" cm="1">
        <f t="array" ref="T6986">IF(OR(B6986="MAL ALIMI", B6986="ÜRETİM GİRİŞ"), MIN(I6986, MAX(0, I6986 + SUM(SUMIFS($I$1:I6985, $C$1:C6985, C6986, $B$1:B6985, {"MAL ALIMI","ÜRETİM GİRİŞ"})) - VLOOKUP(C6986, 'STOK RAPORU'!$C$2:$I$1000, 4, 0))), 0)</f>
        <v>0</v>
      </c>
      <c r="U6986" s="22">
        <f t="shared" si="436"/>
        <v>0</v>
      </c>
      <c r="V6986">
        <f t="shared" si="437"/>
        <v>0</v>
      </c>
      <c r="W6986" s="22">
        <f t="shared" si="438"/>
        <v>0</v>
      </c>
    </row>
    <row r="6987" spans="1:23" hidden="1" x14ac:dyDescent="0.25">
      <c r="A6987" s="3">
        <v>46150</v>
      </c>
      <c r="B6987" s="46" t="s">
        <v>334</v>
      </c>
      <c r="C6987" s="4" t="s">
        <v>2243</v>
      </c>
      <c r="D6987" s="4"/>
      <c r="E6987" s="4" t="s">
        <v>921</v>
      </c>
      <c r="F6987" s="46" t="s">
        <v>3354</v>
      </c>
      <c r="G6987" s="4" t="s">
        <v>336</v>
      </c>
      <c r="H6987" s="4" t="s">
        <v>380</v>
      </c>
      <c r="I6987" s="4">
        <v>0.28846153846153844</v>
      </c>
      <c r="J6987" s="21">
        <v>520</v>
      </c>
      <c r="K6987" s="21">
        <v>150</v>
      </c>
      <c r="L6987" s="5">
        <v>0</v>
      </c>
      <c r="M6987" s="4"/>
      <c r="N6987" s="4"/>
      <c r="O6987" s="5"/>
      <c r="P6987" s="5"/>
      <c r="Q6987" s="21">
        <v>0</v>
      </c>
      <c r="R6987" s="21">
        <v>0</v>
      </c>
      <c r="S6987" s="5">
        <f t="shared" si="439"/>
        <v>52933.762812500296</v>
      </c>
      <c r="T6987" cm="1">
        <f t="array" ref="T6987">IF(OR(B6987="MAL ALIMI", B6987="ÜRETİM GİRİŞ"), MIN(I6987, MAX(0, I6987 + SUM(SUMIFS($I$1:I6986, $C$1:C6986, C6987, $B$1:B6986, {"MAL ALIMI","ÜRETİM GİRİŞ"})) - VLOOKUP(C6987, 'STOK RAPORU'!$C$2:$I$1000, 4, 0))), 0)</f>
        <v>0</v>
      </c>
      <c r="U6987" s="22">
        <f t="shared" si="436"/>
        <v>0</v>
      </c>
      <c r="V6987">
        <f t="shared" si="437"/>
        <v>0</v>
      </c>
      <c r="W6987" s="22">
        <f t="shared" si="438"/>
        <v>0</v>
      </c>
    </row>
    <row r="6988" spans="1:23" hidden="1" x14ac:dyDescent="0.25">
      <c r="A6988" s="3">
        <v>46150</v>
      </c>
      <c r="B6988" s="46" t="s">
        <v>334</v>
      </c>
      <c r="C6988" s="4" t="s">
        <v>1640</v>
      </c>
      <c r="D6988" s="4"/>
      <c r="E6988" s="4" t="s">
        <v>921</v>
      </c>
      <c r="F6988" s="46" t="s">
        <v>3354</v>
      </c>
      <c r="G6988" s="4" t="s">
        <v>336</v>
      </c>
      <c r="H6988" s="4" t="s">
        <v>380</v>
      </c>
      <c r="I6988" s="4">
        <v>0.1</v>
      </c>
      <c r="J6988" s="21">
        <v>1200</v>
      </c>
      <c r="K6988" s="21">
        <v>120</v>
      </c>
      <c r="L6988" s="5">
        <v>0</v>
      </c>
      <c r="M6988" s="4"/>
      <c r="N6988" s="4"/>
      <c r="O6988" s="5"/>
      <c r="P6988" s="5"/>
      <c r="Q6988" s="21">
        <v>0</v>
      </c>
      <c r="R6988" s="21">
        <v>0</v>
      </c>
      <c r="S6988" s="5">
        <f t="shared" si="439"/>
        <v>52933.762812500296</v>
      </c>
      <c r="T6988" cm="1">
        <f t="array" ref="T6988">IF(OR(B6988="MAL ALIMI", B6988="ÜRETİM GİRİŞ"), MIN(I6988, MAX(0, I6988 + SUM(SUMIFS($I$1:I6987, $C$1:C6987, C6988, $B$1:B6987, {"MAL ALIMI","ÜRETİM GİRİŞ"})) - VLOOKUP(C6988, 'STOK RAPORU'!$C$2:$I$1000, 4, 0))), 0)</f>
        <v>0</v>
      </c>
      <c r="U6988" s="22">
        <f t="shared" si="436"/>
        <v>0</v>
      </c>
      <c r="V6988">
        <f t="shared" si="437"/>
        <v>0</v>
      </c>
      <c r="W6988" s="22">
        <f t="shared" si="438"/>
        <v>0</v>
      </c>
    </row>
    <row r="6989" spans="1:23" hidden="1" x14ac:dyDescent="0.25">
      <c r="A6989" s="3">
        <v>46150</v>
      </c>
      <c r="B6989" s="46" t="s">
        <v>334</v>
      </c>
      <c r="C6989" s="4" t="s">
        <v>2117</v>
      </c>
      <c r="D6989" s="4"/>
      <c r="E6989" s="4" t="s">
        <v>921</v>
      </c>
      <c r="F6989" s="46" t="s">
        <v>3354</v>
      </c>
      <c r="G6989" s="4" t="s">
        <v>336</v>
      </c>
      <c r="H6989" s="4" t="s">
        <v>380</v>
      </c>
      <c r="I6989" s="4">
        <v>1</v>
      </c>
      <c r="J6989" s="21">
        <v>30</v>
      </c>
      <c r="K6989" s="21">
        <v>30</v>
      </c>
      <c r="L6989" s="5">
        <v>0</v>
      </c>
      <c r="M6989" s="4"/>
      <c r="N6989" s="4"/>
      <c r="O6989" s="5"/>
      <c r="P6989" s="5"/>
      <c r="Q6989" s="21">
        <v>0</v>
      </c>
      <c r="R6989" s="21">
        <v>0</v>
      </c>
      <c r="S6989" s="5">
        <f t="shared" si="439"/>
        <v>52933.762812500296</v>
      </c>
      <c r="T6989" cm="1">
        <f t="array" ref="T6989">IF(OR(B6989="MAL ALIMI", B6989="ÜRETİM GİRİŞ"), MIN(I6989, MAX(0, I6989 + SUM(SUMIFS($I$1:I6988, $C$1:C6988, C6989, $B$1:B6988, {"MAL ALIMI","ÜRETİM GİRİŞ"})) - VLOOKUP(C6989, 'STOK RAPORU'!$C$2:$I$1000, 4, 0))), 0)</f>
        <v>0</v>
      </c>
      <c r="U6989" s="22">
        <f t="shared" si="436"/>
        <v>0</v>
      </c>
      <c r="V6989">
        <f t="shared" si="437"/>
        <v>0</v>
      </c>
      <c r="W6989" s="22">
        <f t="shared" si="438"/>
        <v>0</v>
      </c>
    </row>
    <row r="6990" spans="1:23" hidden="1" x14ac:dyDescent="0.25">
      <c r="A6990" s="3">
        <v>46150</v>
      </c>
      <c r="B6990" s="46" t="s">
        <v>334</v>
      </c>
      <c r="C6990" s="4" t="s">
        <v>679</v>
      </c>
      <c r="D6990" s="4"/>
      <c r="E6990" s="4"/>
      <c r="F6990" s="46" t="s">
        <v>3355</v>
      </c>
      <c r="G6990" s="4" t="s">
        <v>336</v>
      </c>
      <c r="H6990" s="4" t="s">
        <v>289</v>
      </c>
      <c r="I6990" s="4">
        <v>0.25</v>
      </c>
      <c r="J6990" s="21">
        <v>400</v>
      </c>
      <c r="K6990" s="21">
        <v>0</v>
      </c>
      <c r="L6990" s="5">
        <v>0</v>
      </c>
      <c r="M6990" s="4"/>
      <c r="N6990" s="4"/>
      <c r="O6990" s="5"/>
      <c r="P6990" s="5"/>
      <c r="Q6990" s="21">
        <v>100</v>
      </c>
      <c r="R6990" s="21">
        <v>0</v>
      </c>
      <c r="S6990" s="5">
        <f t="shared" si="439"/>
        <v>53033.762812500296</v>
      </c>
      <c r="T6990" cm="1">
        <f t="array" ref="T6990">IF(OR(B6990="MAL ALIMI", B6990="ÜRETİM GİRİŞ"), MIN(I6990, MAX(0, I6990 + SUM(SUMIFS($I$1:I6989, $C$1:C6989, C6990, $B$1:B6989, {"MAL ALIMI","ÜRETİM GİRİŞ"})) - VLOOKUP(C6990, 'STOK RAPORU'!$C$2:$I$1000, 4, 0))), 0)</f>
        <v>0</v>
      </c>
      <c r="U6990" s="22">
        <f t="shared" si="436"/>
        <v>0</v>
      </c>
      <c r="V6990">
        <f t="shared" si="437"/>
        <v>0</v>
      </c>
      <c r="W6990" s="22">
        <f t="shared" si="438"/>
        <v>0</v>
      </c>
    </row>
    <row r="6991" spans="1:23" hidden="1" x14ac:dyDescent="0.25">
      <c r="A6991" s="3">
        <v>46150</v>
      </c>
      <c r="B6991" s="46" t="s">
        <v>334</v>
      </c>
      <c r="C6991" s="4" t="s">
        <v>214</v>
      </c>
      <c r="D6991" s="4"/>
      <c r="E6991" s="4"/>
      <c r="F6991" s="46" t="s">
        <v>3356</v>
      </c>
      <c r="G6991" s="4" t="s">
        <v>336</v>
      </c>
      <c r="H6991" s="4" t="s">
        <v>289</v>
      </c>
      <c r="I6991" s="4">
        <v>0.1</v>
      </c>
      <c r="J6991" s="21">
        <v>900</v>
      </c>
      <c r="K6991" s="21">
        <v>0</v>
      </c>
      <c r="L6991" s="5">
        <v>0</v>
      </c>
      <c r="M6991" s="4"/>
      <c r="N6991" s="4"/>
      <c r="O6991" s="5"/>
      <c r="P6991" s="5"/>
      <c r="Q6991" s="21">
        <v>90</v>
      </c>
      <c r="R6991" s="21">
        <v>0</v>
      </c>
      <c r="S6991" s="5">
        <f t="shared" si="439"/>
        <v>53123.762812500296</v>
      </c>
      <c r="T6991" cm="1">
        <f t="array" ref="T6991">IF(OR(B6991="MAL ALIMI", B6991="ÜRETİM GİRİŞ"), MIN(I6991, MAX(0, I6991 + SUM(SUMIFS($I$1:I6990, $C$1:C6990, C6991, $B$1:B6990, {"MAL ALIMI","ÜRETİM GİRİŞ"})) - VLOOKUP(C6991, 'STOK RAPORU'!$C$2:$I$1000, 4, 0))), 0)</f>
        <v>0</v>
      </c>
      <c r="U6991" s="22">
        <f t="shared" si="436"/>
        <v>0</v>
      </c>
      <c r="V6991">
        <f t="shared" si="437"/>
        <v>0</v>
      </c>
      <c r="W6991" s="22">
        <f t="shared" si="438"/>
        <v>0</v>
      </c>
    </row>
    <row r="6992" spans="1:23" hidden="1" x14ac:dyDescent="0.25">
      <c r="A6992" s="3">
        <v>46150</v>
      </c>
      <c r="B6992" s="46" t="s">
        <v>334</v>
      </c>
      <c r="C6992" s="4" t="s">
        <v>160</v>
      </c>
      <c r="D6992" s="4"/>
      <c r="E6992" s="4" t="s">
        <v>921</v>
      </c>
      <c r="F6992" s="46" t="s">
        <v>3357</v>
      </c>
      <c r="G6992" s="4" t="s">
        <v>336</v>
      </c>
      <c r="H6992" s="4" t="s">
        <v>380</v>
      </c>
      <c r="I6992" s="4">
        <v>1</v>
      </c>
      <c r="J6992" s="21">
        <v>250</v>
      </c>
      <c r="K6992" s="21">
        <v>250</v>
      </c>
      <c r="L6992" s="5">
        <v>0</v>
      </c>
      <c r="M6992" s="4"/>
      <c r="N6992" s="4"/>
      <c r="O6992" s="5"/>
      <c r="P6992" s="5"/>
      <c r="Q6992" s="21">
        <v>0</v>
      </c>
      <c r="R6992" s="21">
        <v>0</v>
      </c>
      <c r="S6992" s="5">
        <f t="shared" si="439"/>
        <v>53123.762812500296</v>
      </c>
      <c r="T6992" cm="1">
        <f t="array" ref="T6992">IF(OR(B6992="MAL ALIMI", B6992="ÜRETİM GİRİŞ"), MIN(I6992, MAX(0, I6992 + SUM(SUMIFS($I$1:I6991, $C$1:C6991, C6992, $B$1:B6991, {"MAL ALIMI","ÜRETİM GİRİŞ"})) - VLOOKUP(C6992, 'STOK RAPORU'!$C$2:$I$1000, 4, 0))), 0)</f>
        <v>0</v>
      </c>
      <c r="U6992" s="22">
        <f t="shared" si="436"/>
        <v>0</v>
      </c>
      <c r="V6992">
        <f t="shared" si="437"/>
        <v>0</v>
      </c>
      <c r="W6992" s="22">
        <f t="shared" si="438"/>
        <v>0</v>
      </c>
    </row>
    <row r="6993" spans="1:23" hidden="1" x14ac:dyDescent="0.25">
      <c r="A6993" s="3">
        <v>46150</v>
      </c>
      <c r="B6993" s="46" t="s">
        <v>334</v>
      </c>
      <c r="C6993" s="4" t="s">
        <v>161</v>
      </c>
      <c r="D6993" s="4"/>
      <c r="E6993" s="4" t="s">
        <v>921</v>
      </c>
      <c r="F6993" s="46" t="s">
        <v>3357</v>
      </c>
      <c r="G6993" s="4" t="s">
        <v>336</v>
      </c>
      <c r="H6993" s="4" t="s">
        <v>380</v>
      </c>
      <c r="I6993" s="4">
        <v>1</v>
      </c>
      <c r="J6993" s="21">
        <v>250</v>
      </c>
      <c r="K6993" s="21">
        <v>250</v>
      </c>
      <c r="L6993" s="5">
        <v>0</v>
      </c>
      <c r="M6993" s="4"/>
      <c r="N6993" s="4"/>
      <c r="O6993" s="5"/>
      <c r="P6993" s="5"/>
      <c r="Q6993" s="21">
        <v>0</v>
      </c>
      <c r="R6993" s="21">
        <v>0</v>
      </c>
      <c r="S6993" s="5">
        <f t="shared" si="439"/>
        <v>53123.762812500296</v>
      </c>
      <c r="T6993" cm="1">
        <f t="array" ref="T6993">IF(OR(B6993="MAL ALIMI", B6993="ÜRETİM GİRİŞ"), MIN(I6993, MAX(0, I6993 + SUM(SUMIFS($I$1:I6992, $C$1:C6992, C6993, $B$1:B6992, {"MAL ALIMI","ÜRETİM GİRİŞ"})) - VLOOKUP(C6993, 'STOK RAPORU'!$C$2:$I$1000, 4, 0))), 0)</f>
        <v>0</v>
      </c>
      <c r="U6993" s="22">
        <f t="shared" si="436"/>
        <v>0</v>
      </c>
      <c r="V6993">
        <f t="shared" si="437"/>
        <v>0</v>
      </c>
      <c r="W6993" s="22">
        <f t="shared" si="438"/>
        <v>0</v>
      </c>
    </row>
    <row r="6994" spans="1:23" hidden="1" x14ac:dyDescent="0.25">
      <c r="A6994" s="3">
        <v>46150</v>
      </c>
      <c r="B6994" s="46" t="s">
        <v>334</v>
      </c>
      <c r="C6994" s="4" t="s">
        <v>269</v>
      </c>
      <c r="D6994" s="4"/>
      <c r="E6994" s="4" t="s">
        <v>921</v>
      </c>
      <c r="F6994" s="46" t="s">
        <v>3357</v>
      </c>
      <c r="G6994" s="4" t="s">
        <v>336</v>
      </c>
      <c r="H6994" s="4" t="s">
        <v>380</v>
      </c>
      <c r="I6994" s="4">
        <v>0.25416666666666665</v>
      </c>
      <c r="J6994" s="21">
        <v>240</v>
      </c>
      <c r="K6994" s="21">
        <v>61</v>
      </c>
      <c r="L6994" s="5">
        <v>0</v>
      </c>
      <c r="M6994" s="4"/>
      <c r="N6994" s="4"/>
      <c r="O6994" s="5"/>
      <c r="P6994" s="5"/>
      <c r="Q6994" s="21">
        <v>0</v>
      </c>
      <c r="R6994" s="21">
        <v>0</v>
      </c>
      <c r="S6994" s="5">
        <f t="shared" si="439"/>
        <v>53123.762812500296</v>
      </c>
      <c r="T6994" cm="1">
        <f t="array" ref="T6994">IF(OR(B6994="MAL ALIMI", B6994="ÜRETİM GİRİŞ"), MIN(I6994, MAX(0, I6994 + SUM(SUMIFS($I$1:I6993, $C$1:C6993, C6994, $B$1:B6993, {"MAL ALIMI","ÜRETİM GİRİŞ"})) - VLOOKUP(C6994, 'STOK RAPORU'!$C$2:$I$1000, 4, 0))), 0)</f>
        <v>0</v>
      </c>
      <c r="U6994" s="22">
        <f t="shared" si="436"/>
        <v>0</v>
      </c>
      <c r="V6994">
        <f t="shared" si="437"/>
        <v>0</v>
      </c>
      <c r="W6994" s="22">
        <f t="shared" si="438"/>
        <v>0</v>
      </c>
    </row>
    <row r="6995" spans="1:23" hidden="1" x14ac:dyDescent="0.25">
      <c r="A6995" s="3">
        <v>46150</v>
      </c>
      <c r="B6995" s="46" t="s">
        <v>334</v>
      </c>
      <c r="C6995" s="4" t="s">
        <v>1634</v>
      </c>
      <c r="D6995" s="4"/>
      <c r="E6995" s="4" t="s">
        <v>921</v>
      </c>
      <c r="F6995" s="46" t="s">
        <v>3358</v>
      </c>
      <c r="G6995" s="4" t="s">
        <v>336</v>
      </c>
      <c r="H6995" s="4" t="s">
        <v>380</v>
      </c>
      <c r="I6995" s="4">
        <v>1</v>
      </c>
      <c r="J6995" s="21">
        <v>350</v>
      </c>
      <c r="K6995" s="21">
        <v>350</v>
      </c>
      <c r="L6995" s="5">
        <v>0</v>
      </c>
      <c r="M6995" s="4"/>
      <c r="N6995" s="4"/>
      <c r="O6995" s="5"/>
      <c r="P6995" s="5"/>
      <c r="Q6995" s="21">
        <v>0</v>
      </c>
      <c r="R6995" s="21">
        <v>0</v>
      </c>
      <c r="S6995" s="5">
        <f t="shared" si="439"/>
        <v>53123.762812500296</v>
      </c>
      <c r="T6995" cm="1">
        <f t="array" ref="T6995">IF(OR(B6995="MAL ALIMI", B6995="ÜRETİM GİRİŞ"), MIN(I6995, MAX(0, I6995 + SUM(SUMIFS($I$1:I6994, $C$1:C6994, C6995, $B$1:B6994, {"MAL ALIMI","ÜRETİM GİRİŞ"})) - VLOOKUP(C6995, 'STOK RAPORU'!$C$2:$I$1000, 4, 0))), 0)</f>
        <v>0</v>
      </c>
      <c r="U6995" s="22">
        <f t="shared" si="436"/>
        <v>0</v>
      </c>
      <c r="V6995">
        <f t="shared" si="437"/>
        <v>0</v>
      </c>
      <c r="W6995" s="22">
        <f t="shared" si="438"/>
        <v>0</v>
      </c>
    </row>
    <row r="6996" spans="1:23" hidden="1" x14ac:dyDescent="0.25">
      <c r="A6996" s="3">
        <v>46150</v>
      </c>
      <c r="B6996" s="46" t="s">
        <v>334</v>
      </c>
      <c r="C6996" s="4" t="s">
        <v>200</v>
      </c>
      <c r="D6996" s="4"/>
      <c r="E6996" s="4"/>
      <c r="F6996" s="46" t="s">
        <v>3359</v>
      </c>
      <c r="G6996" s="4" t="s">
        <v>1945</v>
      </c>
      <c r="H6996" s="4" t="s">
        <v>289</v>
      </c>
      <c r="I6996" s="4">
        <v>0.125</v>
      </c>
      <c r="J6996" s="21">
        <v>320</v>
      </c>
      <c r="K6996" s="21">
        <v>0</v>
      </c>
      <c r="L6996" s="5">
        <v>0</v>
      </c>
      <c r="M6996" s="4"/>
      <c r="N6996" s="4"/>
      <c r="O6996" s="5"/>
      <c r="P6996" s="5"/>
      <c r="Q6996" s="21">
        <v>40</v>
      </c>
      <c r="R6996" s="21">
        <v>0</v>
      </c>
      <c r="S6996" s="5">
        <f t="shared" si="439"/>
        <v>53163.762812500296</v>
      </c>
      <c r="T6996" cm="1">
        <f t="array" ref="T6996">IF(OR(B6996="MAL ALIMI", B6996="ÜRETİM GİRİŞ"), MIN(I6996, MAX(0, I6996 + SUM(SUMIFS($I$1:I6995, $C$1:C6995, C6996, $B$1:B6995, {"MAL ALIMI","ÜRETİM GİRİŞ"})) - VLOOKUP(C6996, 'STOK RAPORU'!$C$2:$I$1000, 4, 0))), 0)</f>
        <v>0</v>
      </c>
      <c r="U6996" s="22">
        <f t="shared" si="436"/>
        <v>0</v>
      </c>
      <c r="V6996">
        <f t="shared" si="437"/>
        <v>0</v>
      </c>
      <c r="W6996" s="22">
        <f t="shared" si="438"/>
        <v>0</v>
      </c>
    </row>
    <row r="6997" spans="1:23" hidden="1" x14ac:dyDescent="0.25">
      <c r="A6997" s="3">
        <v>46151</v>
      </c>
      <c r="B6997" s="46" t="s">
        <v>334</v>
      </c>
      <c r="C6997" s="4" t="s">
        <v>463</v>
      </c>
      <c r="D6997" s="4"/>
      <c r="E6997" s="4" t="s">
        <v>921</v>
      </c>
      <c r="F6997" s="46" t="s">
        <v>3360</v>
      </c>
      <c r="G6997" s="4" t="s">
        <v>3106</v>
      </c>
      <c r="H6997" s="4" t="s">
        <v>380</v>
      </c>
      <c r="I6997" s="4">
        <v>1.554</v>
      </c>
      <c r="J6997" s="21">
        <v>265</v>
      </c>
      <c r="K6997" s="21">
        <v>411.81</v>
      </c>
      <c r="L6997" s="5">
        <v>0</v>
      </c>
      <c r="M6997" s="4"/>
      <c r="N6997" s="4"/>
      <c r="O6997" s="5"/>
      <c r="P6997" s="5"/>
      <c r="Q6997" s="21">
        <v>0</v>
      </c>
      <c r="R6997" s="21">
        <v>0</v>
      </c>
      <c r="S6997" s="5">
        <f t="shared" si="439"/>
        <v>53163.762812500296</v>
      </c>
      <c r="T6997" cm="1">
        <f t="array" ref="T6997">IF(OR(B6997="MAL ALIMI", B6997="ÜRETİM GİRİŞ"), MIN(I6997, MAX(0, I6997 + SUM(SUMIFS($I$1:I6996, $C$1:C6996, C6997, $B$1:B6996, {"MAL ALIMI","ÜRETİM GİRİŞ"})) - VLOOKUP(C6997, 'STOK RAPORU'!$C$2:$I$1000, 4, 0))), 0)</f>
        <v>0</v>
      </c>
      <c r="U6997" s="22">
        <f t="shared" si="436"/>
        <v>0</v>
      </c>
      <c r="V6997">
        <f t="shared" si="437"/>
        <v>0</v>
      </c>
      <c r="W6997" s="22">
        <f t="shared" si="438"/>
        <v>0</v>
      </c>
    </row>
    <row r="6998" spans="1:23" hidden="1" x14ac:dyDescent="0.25">
      <c r="A6998" s="3">
        <v>46151</v>
      </c>
      <c r="B6998" s="46" t="s">
        <v>334</v>
      </c>
      <c r="C6998" s="4" t="s">
        <v>132</v>
      </c>
      <c r="D6998" s="4"/>
      <c r="E6998" s="4" t="s">
        <v>921</v>
      </c>
      <c r="F6998" s="46" t="s">
        <v>3360</v>
      </c>
      <c r="G6998" s="4" t="s">
        <v>3106</v>
      </c>
      <c r="H6998" s="4" t="s">
        <v>380</v>
      </c>
      <c r="I6998" s="4">
        <v>1.238</v>
      </c>
      <c r="J6998" s="21">
        <v>375</v>
      </c>
      <c r="K6998" s="21">
        <v>464.25</v>
      </c>
      <c r="L6998" s="5">
        <v>0</v>
      </c>
      <c r="M6998" s="4"/>
      <c r="N6998" s="4"/>
      <c r="O6998" s="5"/>
      <c r="P6998" s="5"/>
      <c r="Q6998" s="21">
        <v>0</v>
      </c>
      <c r="R6998" s="21">
        <v>0</v>
      </c>
      <c r="S6998" s="5">
        <f t="shared" si="439"/>
        <v>53163.762812500296</v>
      </c>
      <c r="T6998" cm="1">
        <f t="array" ref="T6998">IF(OR(B6998="MAL ALIMI", B6998="ÜRETİM GİRİŞ"), MIN(I6998, MAX(0, I6998 + SUM(SUMIFS($I$1:I6997, $C$1:C6997, C6998, $B$1:B6997, {"MAL ALIMI","ÜRETİM GİRİŞ"})) - VLOOKUP(C6998, 'STOK RAPORU'!$C$2:$I$1000, 4, 0))), 0)</f>
        <v>0</v>
      </c>
      <c r="U6998" s="22">
        <f t="shared" si="436"/>
        <v>0</v>
      </c>
      <c r="V6998">
        <f t="shared" si="437"/>
        <v>0</v>
      </c>
      <c r="W6998" s="22">
        <f t="shared" si="438"/>
        <v>0</v>
      </c>
    </row>
    <row r="6999" spans="1:23" hidden="1" x14ac:dyDescent="0.25">
      <c r="A6999" s="3">
        <v>46151</v>
      </c>
      <c r="B6999" s="46" t="s">
        <v>334</v>
      </c>
      <c r="C6999" s="4" t="s">
        <v>1151</v>
      </c>
      <c r="D6999" s="4"/>
      <c r="E6999" s="4" t="s">
        <v>921</v>
      </c>
      <c r="F6999" s="46" t="s">
        <v>3360</v>
      </c>
      <c r="G6999" s="4" t="s">
        <v>3106</v>
      </c>
      <c r="H6999" s="4" t="s">
        <v>380</v>
      </c>
      <c r="I6999" s="4">
        <v>2.0139999999999998</v>
      </c>
      <c r="J6999" s="21">
        <v>265</v>
      </c>
      <c r="K6999" s="21">
        <v>533.70999999999992</v>
      </c>
      <c r="L6999" s="5">
        <v>0</v>
      </c>
      <c r="M6999" s="4"/>
      <c r="N6999" s="4"/>
      <c r="O6999" s="5"/>
      <c r="P6999" s="5"/>
      <c r="Q6999" s="21">
        <v>0</v>
      </c>
      <c r="R6999" s="21">
        <v>0</v>
      </c>
      <c r="S6999" s="5">
        <f t="shared" si="439"/>
        <v>53163.762812500296</v>
      </c>
      <c r="T6999" cm="1">
        <f t="array" ref="T6999">IF(OR(B6999="MAL ALIMI", B6999="ÜRETİM GİRİŞ"), MIN(I6999, MAX(0, I6999 + SUM(SUMIFS($I$1:I6998, $C$1:C6998, C6999, $B$1:B6998, {"MAL ALIMI","ÜRETİM GİRİŞ"})) - VLOOKUP(C6999, 'STOK RAPORU'!$C$2:$I$1000, 4, 0))), 0)</f>
        <v>0</v>
      </c>
      <c r="U6999" s="22">
        <f t="shared" si="436"/>
        <v>0</v>
      </c>
      <c r="V6999">
        <f t="shared" si="437"/>
        <v>0</v>
      </c>
      <c r="W6999" s="22">
        <f t="shared" si="438"/>
        <v>0</v>
      </c>
    </row>
    <row r="7000" spans="1:23" hidden="1" x14ac:dyDescent="0.25">
      <c r="A7000" s="3">
        <v>46151</v>
      </c>
      <c r="B7000" s="46" t="s">
        <v>334</v>
      </c>
      <c r="C7000" s="4" t="s">
        <v>202</v>
      </c>
      <c r="D7000" s="4"/>
      <c r="E7000" s="4" t="s">
        <v>921</v>
      </c>
      <c r="F7000" s="46" t="s">
        <v>3360</v>
      </c>
      <c r="G7000" s="4" t="s">
        <v>3106</v>
      </c>
      <c r="H7000" s="4" t="s">
        <v>380</v>
      </c>
      <c r="I7000" s="4">
        <v>0.5</v>
      </c>
      <c r="J7000" s="21">
        <v>80</v>
      </c>
      <c r="K7000" s="21">
        <v>40</v>
      </c>
      <c r="L7000" s="5">
        <v>0</v>
      </c>
      <c r="M7000" s="4"/>
      <c r="N7000" s="4"/>
      <c r="O7000" s="5"/>
      <c r="P7000" s="5"/>
      <c r="Q7000" s="21">
        <v>0</v>
      </c>
      <c r="R7000" s="21">
        <v>0</v>
      </c>
      <c r="S7000" s="5">
        <f t="shared" si="439"/>
        <v>53163.762812500296</v>
      </c>
      <c r="T7000" cm="1">
        <f t="array" ref="T7000">IF(OR(B7000="MAL ALIMI", B7000="ÜRETİM GİRİŞ"), MIN(I7000, MAX(0, I7000 + SUM(SUMIFS($I$1:I6999, $C$1:C6999, C7000, $B$1:B6999, {"MAL ALIMI","ÜRETİM GİRİŞ"})) - VLOOKUP(C7000, 'STOK RAPORU'!$C$2:$I$1000, 4, 0))), 0)</f>
        <v>0</v>
      </c>
      <c r="U7000" s="22">
        <f t="shared" si="436"/>
        <v>0</v>
      </c>
      <c r="V7000">
        <f t="shared" si="437"/>
        <v>0</v>
      </c>
      <c r="W7000" s="22">
        <f t="shared" si="438"/>
        <v>0</v>
      </c>
    </row>
    <row r="7001" spans="1:23" hidden="1" x14ac:dyDescent="0.25">
      <c r="A7001" s="3">
        <v>46151</v>
      </c>
      <c r="B7001" s="46" t="s">
        <v>334</v>
      </c>
      <c r="C7001" s="4" t="s">
        <v>249</v>
      </c>
      <c r="D7001" s="4"/>
      <c r="E7001" s="4"/>
      <c r="F7001" s="46" t="s">
        <v>3361</v>
      </c>
      <c r="G7001" s="4" t="s">
        <v>336</v>
      </c>
      <c r="H7001" s="4" t="s">
        <v>289</v>
      </c>
      <c r="I7001" s="4">
        <v>0.1</v>
      </c>
      <c r="J7001" s="21">
        <v>900</v>
      </c>
      <c r="K7001" s="21">
        <v>0</v>
      </c>
      <c r="L7001" s="5">
        <v>0</v>
      </c>
      <c r="M7001" s="4"/>
      <c r="N7001" s="4"/>
      <c r="O7001" s="5"/>
      <c r="P7001" s="5"/>
      <c r="Q7001" s="21">
        <v>90</v>
      </c>
      <c r="R7001" s="21">
        <v>0</v>
      </c>
      <c r="S7001" s="5">
        <f t="shared" si="439"/>
        <v>53253.762812500296</v>
      </c>
      <c r="T7001" cm="1">
        <f t="array" ref="T7001">IF(OR(B7001="MAL ALIMI", B7001="ÜRETİM GİRİŞ"), MIN(I7001, MAX(0, I7001 + SUM(SUMIFS($I$1:I7000, $C$1:C7000, C7001, $B$1:B7000, {"MAL ALIMI","ÜRETİM GİRİŞ"})) - VLOOKUP(C7001, 'STOK RAPORU'!$C$2:$I$1000, 4, 0))), 0)</f>
        <v>0</v>
      </c>
      <c r="U7001" s="22">
        <f t="shared" si="436"/>
        <v>0</v>
      </c>
      <c r="V7001">
        <f t="shared" si="437"/>
        <v>0</v>
      </c>
      <c r="W7001" s="22">
        <f t="shared" si="438"/>
        <v>0</v>
      </c>
    </row>
    <row r="7002" spans="1:23" hidden="1" x14ac:dyDescent="0.25">
      <c r="A7002" s="3">
        <v>46151</v>
      </c>
      <c r="B7002" s="46" t="s">
        <v>334</v>
      </c>
      <c r="C7002" s="4" t="s">
        <v>146</v>
      </c>
      <c r="D7002" s="4"/>
      <c r="E7002" s="4" t="s">
        <v>921</v>
      </c>
      <c r="F7002" s="46" t="s">
        <v>3362</v>
      </c>
      <c r="G7002" s="4" t="s">
        <v>336</v>
      </c>
      <c r="H7002" s="4" t="s">
        <v>380</v>
      </c>
      <c r="I7002" s="4">
        <v>1</v>
      </c>
      <c r="J7002" s="21">
        <v>80</v>
      </c>
      <c r="K7002" s="21">
        <v>80</v>
      </c>
      <c r="L7002" s="5">
        <v>0</v>
      </c>
      <c r="M7002" s="4"/>
      <c r="N7002" s="4"/>
      <c r="O7002" s="5"/>
      <c r="P7002" s="5"/>
      <c r="Q7002" s="21">
        <v>0</v>
      </c>
      <c r="R7002" s="21">
        <v>0</v>
      </c>
      <c r="S7002" s="5">
        <f t="shared" si="439"/>
        <v>53253.762812500296</v>
      </c>
      <c r="T7002" cm="1">
        <f t="array" ref="T7002">IF(OR(B7002="MAL ALIMI", B7002="ÜRETİM GİRİŞ"), MIN(I7002, MAX(0, I7002 + SUM(SUMIFS($I$1:I7001, $C$1:C7001, C7002, $B$1:B7001, {"MAL ALIMI","ÜRETİM GİRİŞ"})) - VLOOKUP(C7002, 'STOK RAPORU'!$C$2:$I$1000, 4, 0))), 0)</f>
        <v>0</v>
      </c>
      <c r="U7002" s="22">
        <f t="shared" si="436"/>
        <v>0</v>
      </c>
      <c r="V7002">
        <f t="shared" si="437"/>
        <v>0</v>
      </c>
      <c r="W7002" s="22">
        <f t="shared" si="438"/>
        <v>0</v>
      </c>
    </row>
    <row r="7003" spans="1:23" hidden="1" x14ac:dyDescent="0.25">
      <c r="A7003" s="3">
        <v>46151</v>
      </c>
      <c r="B7003" s="46" t="s">
        <v>334</v>
      </c>
      <c r="C7003" s="4" t="s">
        <v>264</v>
      </c>
      <c r="D7003" s="4"/>
      <c r="E7003" s="4" t="s">
        <v>921</v>
      </c>
      <c r="F7003" s="46" t="s">
        <v>3362</v>
      </c>
      <c r="G7003" s="4" t="s">
        <v>336</v>
      </c>
      <c r="H7003" s="4" t="s">
        <v>380</v>
      </c>
      <c r="I7003" s="4">
        <v>1</v>
      </c>
      <c r="J7003" s="21">
        <v>150</v>
      </c>
      <c r="K7003" s="21">
        <v>150</v>
      </c>
      <c r="L7003" s="5">
        <v>0</v>
      </c>
      <c r="M7003" s="4"/>
      <c r="N7003" s="4"/>
      <c r="O7003" s="5"/>
      <c r="P7003" s="5"/>
      <c r="Q7003" s="21">
        <v>0</v>
      </c>
      <c r="R7003" s="21">
        <v>0</v>
      </c>
      <c r="S7003" s="5">
        <f t="shared" si="439"/>
        <v>53253.762812500296</v>
      </c>
      <c r="T7003" cm="1">
        <f t="array" ref="T7003">IF(OR(B7003="MAL ALIMI", B7003="ÜRETİM GİRİŞ"), MIN(I7003, MAX(0, I7003 + SUM(SUMIFS($I$1:I7002, $C$1:C7002, C7003, $B$1:B7002, {"MAL ALIMI","ÜRETİM GİRİŞ"})) - VLOOKUP(C7003, 'STOK RAPORU'!$C$2:$I$1000, 4, 0))), 0)</f>
        <v>0</v>
      </c>
      <c r="U7003" s="22">
        <f t="shared" si="436"/>
        <v>0</v>
      </c>
      <c r="V7003">
        <f t="shared" si="437"/>
        <v>0</v>
      </c>
      <c r="W7003" s="22">
        <f t="shared" si="438"/>
        <v>0</v>
      </c>
    </row>
    <row r="7004" spans="1:23" hidden="1" x14ac:dyDescent="0.25">
      <c r="A7004" s="3">
        <v>46151</v>
      </c>
      <c r="B7004" s="46" t="s">
        <v>334</v>
      </c>
      <c r="C7004" s="4" t="s">
        <v>214</v>
      </c>
      <c r="D7004" s="4"/>
      <c r="E7004" s="4"/>
      <c r="F7004" s="46" t="s">
        <v>3363</v>
      </c>
      <c r="G7004" s="4" t="s">
        <v>336</v>
      </c>
      <c r="H7004" s="4" t="s">
        <v>289</v>
      </c>
      <c r="I7004" s="4">
        <v>0.1</v>
      </c>
      <c r="J7004" s="21">
        <v>900</v>
      </c>
      <c r="K7004" s="21">
        <v>0</v>
      </c>
      <c r="L7004" s="5">
        <v>0</v>
      </c>
      <c r="M7004" s="4"/>
      <c r="N7004" s="4"/>
      <c r="O7004" s="5"/>
      <c r="P7004" s="5"/>
      <c r="Q7004" s="21">
        <v>90</v>
      </c>
      <c r="R7004" s="21">
        <v>0</v>
      </c>
      <c r="S7004" s="5">
        <f t="shared" si="439"/>
        <v>53343.762812500296</v>
      </c>
      <c r="T7004" cm="1">
        <f t="array" ref="T7004">IF(OR(B7004="MAL ALIMI", B7004="ÜRETİM GİRİŞ"), MIN(I7004, MAX(0, I7004 + SUM(SUMIFS($I$1:I7003, $C$1:C7003, C7004, $B$1:B7003, {"MAL ALIMI","ÜRETİM GİRİŞ"})) - VLOOKUP(C7004, 'STOK RAPORU'!$C$2:$I$1000, 4, 0))), 0)</f>
        <v>0</v>
      </c>
      <c r="U7004" s="22">
        <f t="shared" si="436"/>
        <v>0</v>
      </c>
      <c r="V7004">
        <f t="shared" si="437"/>
        <v>0</v>
      </c>
      <c r="W7004" s="22">
        <f t="shared" si="438"/>
        <v>0</v>
      </c>
    </row>
    <row r="7005" spans="1:23" hidden="1" x14ac:dyDescent="0.25">
      <c r="A7005" s="3">
        <v>46151</v>
      </c>
      <c r="B7005" s="46" t="s">
        <v>334</v>
      </c>
      <c r="C7005" s="4" t="s">
        <v>1024</v>
      </c>
      <c r="D7005" s="4"/>
      <c r="E7005" s="4"/>
      <c r="F7005" s="46" t="s">
        <v>3364</v>
      </c>
      <c r="G7005" s="4" t="s">
        <v>336</v>
      </c>
      <c r="H7005" s="4" t="s">
        <v>289</v>
      </c>
      <c r="I7005" s="4">
        <v>1.26</v>
      </c>
      <c r="J7005" s="21">
        <v>52</v>
      </c>
      <c r="K7005" s="21">
        <v>0</v>
      </c>
      <c r="L7005" s="5">
        <v>0</v>
      </c>
      <c r="M7005" s="4"/>
      <c r="N7005" s="4"/>
      <c r="O7005" s="5"/>
      <c r="P7005" s="5"/>
      <c r="Q7005" s="21">
        <v>65.52</v>
      </c>
      <c r="R7005" s="21">
        <v>0</v>
      </c>
      <c r="S7005" s="5">
        <f t="shared" si="439"/>
        <v>53409.282812500292</v>
      </c>
      <c r="T7005" cm="1">
        <f t="array" ref="T7005">IF(OR(B7005="MAL ALIMI", B7005="ÜRETİM GİRİŞ"), MIN(I7005, MAX(0, I7005 + SUM(SUMIFS($I$1:I7004, $C$1:C7004, C7005, $B$1:B7004, {"MAL ALIMI","ÜRETİM GİRİŞ"})) - VLOOKUP(C7005, 'STOK RAPORU'!$C$2:$I$1000, 4, 0))), 0)</f>
        <v>0</v>
      </c>
      <c r="U7005" s="22">
        <f t="shared" si="436"/>
        <v>0</v>
      </c>
      <c r="V7005">
        <f t="shared" si="437"/>
        <v>0</v>
      </c>
      <c r="W7005" s="22">
        <f t="shared" si="438"/>
        <v>0</v>
      </c>
    </row>
    <row r="7006" spans="1:23" hidden="1" x14ac:dyDescent="0.25">
      <c r="A7006" s="3">
        <v>46151</v>
      </c>
      <c r="B7006" s="46" t="s">
        <v>334</v>
      </c>
      <c r="C7006" s="4" t="s">
        <v>1023</v>
      </c>
      <c r="D7006" s="4"/>
      <c r="E7006" s="4"/>
      <c r="F7006" s="46" t="s">
        <v>3364</v>
      </c>
      <c r="G7006" s="4" t="s">
        <v>336</v>
      </c>
      <c r="H7006" s="4" t="s">
        <v>289</v>
      </c>
      <c r="I7006" s="4">
        <v>1.244</v>
      </c>
      <c r="J7006" s="21">
        <v>52</v>
      </c>
      <c r="K7006" s="21">
        <v>0</v>
      </c>
      <c r="L7006" s="5">
        <v>0</v>
      </c>
      <c r="M7006" s="4"/>
      <c r="N7006" s="4"/>
      <c r="O7006" s="5"/>
      <c r="P7006" s="5"/>
      <c r="Q7006" s="21">
        <v>64.688000000000002</v>
      </c>
      <c r="R7006" s="21">
        <v>0</v>
      </c>
      <c r="S7006" s="5">
        <f t="shared" si="439"/>
        <v>53473.970812500294</v>
      </c>
      <c r="T7006" cm="1">
        <f t="array" ref="T7006">IF(OR(B7006="MAL ALIMI", B7006="ÜRETİM GİRİŞ"), MIN(I7006, MAX(0, I7006 + SUM(SUMIFS($I$1:I7005, $C$1:C7005, C7006, $B$1:B7005, {"MAL ALIMI","ÜRETİM GİRİŞ"})) - VLOOKUP(C7006, 'STOK RAPORU'!$C$2:$I$1000, 4, 0))), 0)</f>
        <v>0</v>
      </c>
      <c r="U7006" s="22">
        <f t="shared" si="436"/>
        <v>0</v>
      </c>
      <c r="V7006">
        <f t="shared" si="437"/>
        <v>0</v>
      </c>
      <c r="W7006" s="22">
        <f t="shared" si="438"/>
        <v>0</v>
      </c>
    </row>
    <row r="7007" spans="1:23" hidden="1" x14ac:dyDescent="0.25">
      <c r="A7007" s="3">
        <v>46151</v>
      </c>
      <c r="B7007" s="46" t="s">
        <v>334</v>
      </c>
      <c r="C7007" s="4" t="s">
        <v>236</v>
      </c>
      <c r="D7007" s="4"/>
      <c r="E7007" s="4"/>
      <c r="F7007" s="46" t="s">
        <v>3364</v>
      </c>
      <c r="G7007" s="4" t="s">
        <v>336</v>
      </c>
      <c r="H7007" s="4" t="s">
        <v>289</v>
      </c>
      <c r="I7007" s="4">
        <v>0.2</v>
      </c>
      <c r="J7007" s="21">
        <v>350</v>
      </c>
      <c r="K7007" s="21">
        <v>0</v>
      </c>
      <c r="L7007" s="5">
        <v>0</v>
      </c>
      <c r="M7007" s="4"/>
      <c r="N7007" s="4"/>
      <c r="O7007" s="5"/>
      <c r="P7007" s="5"/>
      <c r="Q7007" s="21">
        <v>70</v>
      </c>
      <c r="R7007" s="21">
        <v>0</v>
      </c>
      <c r="S7007" s="5">
        <f t="shared" si="439"/>
        <v>53543.970812500294</v>
      </c>
      <c r="T7007" cm="1">
        <f t="array" ref="T7007">IF(OR(B7007="MAL ALIMI", B7007="ÜRETİM GİRİŞ"), MIN(I7007, MAX(0, I7007 + SUM(SUMIFS($I$1:I7006, $C$1:C7006, C7007, $B$1:B7006, {"MAL ALIMI","ÜRETİM GİRİŞ"})) - VLOOKUP(C7007, 'STOK RAPORU'!$C$2:$I$1000, 4, 0))), 0)</f>
        <v>0</v>
      </c>
      <c r="U7007" s="22">
        <f t="shared" si="436"/>
        <v>0</v>
      </c>
      <c r="V7007">
        <f t="shared" si="437"/>
        <v>0</v>
      </c>
      <c r="W7007" s="22">
        <f t="shared" si="438"/>
        <v>0</v>
      </c>
    </row>
    <row r="7008" spans="1:23" hidden="1" x14ac:dyDescent="0.25">
      <c r="A7008" s="3">
        <v>46151</v>
      </c>
      <c r="B7008" s="46" t="s">
        <v>334</v>
      </c>
      <c r="C7008" s="4" t="s">
        <v>693</v>
      </c>
      <c r="D7008" s="4"/>
      <c r="E7008" s="4"/>
      <c r="F7008" s="46" t="s">
        <v>3364</v>
      </c>
      <c r="G7008" s="4" t="s">
        <v>336</v>
      </c>
      <c r="H7008" s="4" t="s">
        <v>289</v>
      </c>
      <c r="I7008" s="4">
        <v>0.25641025641025639</v>
      </c>
      <c r="J7008" s="21">
        <v>195</v>
      </c>
      <c r="K7008" s="21">
        <v>0</v>
      </c>
      <c r="L7008" s="5">
        <v>0</v>
      </c>
      <c r="M7008" s="4"/>
      <c r="N7008" s="4"/>
      <c r="O7008" s="5"/>
      <c r="P7008" s="5"/>
      <c r="Q7008" s="21">
        <v>49.999999999999993</v>
      </c>
      <c r="R7008" s="21">
        <v>0</v>
      </c>
      <c r="S7008" s="5">
        <f t="shared" si="439"/>
        <v>53593.970812500294</v>
      </c>
      <c r="T7008" cm="1">
        <f t="array" ref="T7008">IF(OR(B7008="MAL ALIMI", B7008="ÜRETİM GİRİŞ"), MIN(I7008, MAX(0, I7008 + SUM(SUMIFS($I$1:I7007, $C$1:C7007, C7008, $B$1:B7007, {"MAL ALIMI","ÜRETİM GİRİŞ"})) - VLOOKUP(C7008, 'STOK RAPORU'!$C$2:$I$1000, 4, 0))), 0)</f>
        <v>0</v>
      </c>
      <c r="U7008" s="22">
        <f t="shared" si="436"/>
        <v>0</v>
      </c>
      <c r="V7008">
        <f t="shared" si="437"/>
        <v>0</v>
      </c>
      <c r="W7008" s="22">
        <f t="shared" si="438"/>
        <v>0</v>
      </c>
    </row>
    <row r="7009" spans="1:23" hidden="1" x14ac:dyDescent="0.25">
      <c r="A7009" s="3">
        <v>46151</v>
      </c>
      <c r="B7009" s="46" t="s">
        <v>334</v>
      </c>
      <c r="C7009" s="4" t="s">
        <v>196</v>
      </c>
      <c r="D7009" s="4"/>
      <c r="E7009" s="4"/>
      <c r="F7009" s="46" t="s">
        <v>3364</v>
      </c>
      <c r="G7009" s="4" t="s">
        <v>336</v>
      </c>
      <c r="H7009" s="4" t="s">
        <v>289</v>
      </c>
      <c r="I7009" s="4">
        <v>0.21739130434782608</v>
      </c>
      <c r="J7009" s="21">
        <v>230</v>
      </c>
      <c r="K7009" s="21">
        <v>0</v>
      </c>
      <c r="L7009" s="5">
        <v>0</v>
      </c>
      <c r="M7009" s="4"/>
      <c r="N7009" s="4"/>
      <c r="O7009" s="5"/>
      <c r="P7009" s="5"/>
      <c r="Q7009" s="21">
        <v>50</v>
      </c>
      <c r="R7009" s="21">
        <v>0</v>
      </c>
      <c r="S7009" s="5">
        <f t="shared" si="439"/>
        <v>53643.970812500294</v>
      </c>
      <c r="T7009" cm="1">
        <f t="array" ref="T7009">IF(OR(B7009="MAL ALIMI", B7009="ÜRETİM GİRİŞ"), MIN(I7009, MAX(0, I7009 + SUM(SUMIFS($I$1:I7008, $C$1:C7008, C7009, $B$1:B7008, {"MAL ALIMI","ÜRETİM GİRİŞ"})) - VLOOKUP(C7009, 'STOK RAPORU'!$C$2:$I$1000, 4, 0))), 0)</f>
        <v>0</v>
      </c>
      <c r="U7009" s="22">
        <f t="shared" si="436"/>
        <v>0</v>
      </c>
      <c r="V7009">
        <f t="shared" si="437"/>
        <v>0</v>
      </c>
      <c r="W7009" s="22">
        <f t="shared" si="438"/>
        <v>0</v>
      </c>
    </row>
    <row r="7010" spans="1:23" hidden="1" x14ac:dyDescent="0.25">
      <c r="A7010" s="3">
        <v>46151</v>
      </c>
      <c r="B7010" s="46" t="s">
        <v>334</v>
      </c>
      <c r="C7010" s="4" t="s">
        <v>133</v>
      </c>
      <c r="D7010" s="4"/>
      <c r="E7010" s="4" t="s">
        <v>921</v>
      </c>
      <c r="F7010" s="46" t="s">
        <v>3365</v>
      </c>
      <c r="G7010" s="4" t="s">
        <v>336</v>
      </c>
      <c r="H7010" s="4" t="s">
        <v>380</v>
      </c>
      <c r="I7010" s="4">
        <v>0.32</v>
      </c>
      <c r="J7010" s="21">
        <v>400</v>
      </c>
      <c r="K7010" s="21">
        <v>128</v>
      </c>
      <c r="L7010" s="5">
        <v>0</v>
      </c>
      <c r="M7010" s="4"/>
      <c r="N7010" s="4"/>
      <c r="O7010" s="5"/>
      <c r="P7010" s="5"/>
      <c r="Q7010" s="21">
        <v>0</v>
      </c>
      <c r="R7010" s="21">
        <v>0</v>
      </c>
      <c r="S7010" s="5">
        <f t="shared" si="439"/>
        <v>53643.970812500294</v>
      </c>
      <c r="T7010" cm="1">
        <f t="array" ref="T7010">IF(OR(B7010="MAL ALIMI", B7010="ÜRETİM GİRİŞ"), MIN(I7010, MAX(0, I7010 + SUM(SUMIFS($I$1:I7009, $C$1:C7009, C7010, $B$1:B7009, {"MAL ALIMI","ÜRETİM GİRİŞ"})) - VLOOKUP(C7010, 'STOK RAPORU'!$C$2:$I$1000, 4, 0))), 0)</f>
        <v>0</v>
      </c>
      <c r="U7010" s="22">
        <f t="shared" si="436"/>
        <v>0</v>
      </c>
      <c r="V7010">
        <f t="shared" si="437"/>
        <v>0</v>
      </c>
      <c r="W7010" s="22">
        <f t="shared" si="438"/>
        <v>0</v>
      </c>
    </row>
    <row r="7011" spans="1:23" hidden="1" x14ac:dyDescent="0.25">
      <c r="A7011" s="3">
        <v>46151</v>
      </c>
      <c r="B7011" s="46" t="s">
        <v>334</v>
      </c>
      <c r="C7011" s="4" t="s">
        <v>463</v>
      </c>
      <c r="D7011" s="4"/>
      <c r="E7011" s="4" t="s">
        <v>921</v>
      </c>
      <c r="F7011" s="46" t="s">
        <v>3365</v>
      </c>
      <c r="G7011" s="4" t="s">
        <v>336</v>
      </c>
      <c r="H7011" s="4" t="s">
        <v>380</v>
      </c>
      <c r="I7011" s="4">
        <v>0.26750000000000002</v>
      </c>
      <c r="J7011" s="21">
        <v>400</v>
      </c>
      <c r="K7011" s="21">
        <v>107</v>
      </c>
      <c r="L7011" s="5">
        <v>0</v>
      </c>
      <c r="M7011" s="4"/>
      <c r="N7011" s="4"/>
      <c r="O7011" s="5"/>
      <c r="P7011" s="5"/>
      <c r="Q7011" s="21">
        <v>0</v>
      </c>
      <c r="R7011" s="21">
        <v>0</v>
      </c>
      <c r="S7011" s="5">
        <f t="shared" si="439"/>
        <v>53643.970812500294</v>
      </c>
      <c r="T7011" cm="1">
        <f t="array" ref="T7011">IF(OR(B7011="MAL ALIMI", B7011="ÜRETİM GİRİŞ"), MIN(I7011, MAX(0, I7011 + SUM(SUMIFS($I$1:I7010, $C$1:C7010, C7011, $B$1:B7010, {"MAL ALIMI","ÜRETİM GİRİŞ"})) - VLOOKUP(C7011, 'STOK RAPORU'!$C$2:$I$1000, 4, 0))), 0)</f>
        <v>0</v>
      </c>
      <c r="U7011" s="22">
        <f t="shared" si="436"/>
        <v>0</v>
      </c>
      <c r="V7011">
        <f t="shared" si="437"/>
        <v>0</v>
      </c>
      <c r="W7011" s="22">
        <f t="shared" si="438"/>
        <v>0</v>
      </c>
    </row>
    <row r="7012" spans="1:23" hidden="1" x14ac:dyDescent="0.25">
      <c r="A7012" s="3">
        <v>46151</v>
      </c>
      <c r="B7012" s="46" t="s">
        <v>334</v>
      </c>
      <c r="C7012" s="4" t="s">
        <v>132</v>
      </c>
      <c r="D7012" s="4"/>
      <c r="E7012" s="4"/>
      <c r="F7012" s="46" t="s">
        <v>3366</v>
      </c>
      <c r="G7012" s="4" t="s">
        <v>336</v>
      </c>
      <c r="H7012" s="4" t="s">
        <v>289</v>
      </c>
      <c r="I7012" s="4">
        <v>0.09</v>
      </c>
      <c r="J7012" s="21">
        <v>500</v>
      </c>
      <c r="K7012" s="21">
        <v>0</v>
      </c>
      <c r="L7012" s="5">
        <v>0</v>
      </c>
      <c r="M7012" s="4"/>
      <c r="N7012" s="4"/>
      <c r="O7012" s="5"/>
      <c r="P7012" s="5"/>
      <c r="Q7012" s="21">
        <v>45</v>
      </c>
      <c r="R7012" s="21">
        <v>0</v>
      </c>
      <c r="S7012" s="5">
        <f t="shared" si="439"/>
        <v>53688.970812500294</v>
      </c>
      <c r="T7012" cm="1">
        <f t="array" ref="T7012">IF(OR(B7012="MAL ALIMI", B7012="ÜRETİM GİRİŞ"), MIN(I7012, MAX(0, I7012 + SUM(SUMIFS($I$1:I7011, $C$1:C7011, C7012, $B$1:B7011, {"MAL ALIMI","ÜRETİM GİRİŞ"})) - VLOOKUP(C7012, 'STOK RAPORU'!$C$2:$I$1000, 4, 0))), 0)</f>
        <v>0</v>
      </c>
      <c r="U7012" s="22">
        <f t="shared" si="436"/>
        <v>0</v>
      </c>
      <c r="V7012">
        <f t="shared" si="437"/>
        <v>0</v>
      </c>
      <c r="W7012" s="22">
        <f t="shared" si="438"/>
        <v>0</v>
      </c>
    </row>
    <row r="7013" spans="1:23" hidden="1" x14ac:dyDescent="0.25">
      <c r="A7013" s="3">
        <v>46151</v>
      </c>
      <c r="B7013" s="46" t="s">
        <v>334</v>
      </c>
      <c r="C7013" s="4" t="s">
        <v>160</v>
      </c>
      <c r="D7013" s="4"/>
      <c r="E7013" s="4"/>
      <c r="F7013" s="46" t="s">
        <v>3366</v>
      </c>
      <c r="G7013" s="4" t="s">
        <v>336</v>
      </c>
      <c r="H7013" s="4" t="s">
        <v>289</v>
      </c>
      <c r="I7013" s="4">
        <v>1</v>
      </c>
      <c r="J7013" s="21">
        <v>250</v>
      </c>
      <c r="K7013" s="21">
        <v>0</v>
      </c>
      <c r="L7013" s="5">
        <v>0</v>
      </c>
      <c r="M7013" s="4"/>
      <c r="N7013" s="4"/>
      <c r="O7013" s="5"/>
      <c r="P7013" s="5"/>
      <c r="Q7013" s="21">
        <v>250</v>
      </c>
      <c r="R7013" s="21">
        <v>0</v>
      </c>
      <c r="S7013" s="5">
        <f t="shared" si="439"/>
        <v>53938.970812500294</v>
      </c>
      <c r="T7013" cm="1">
        <f t="array" ref="T7013">IF(OR(B7013="MAL ALIMI", B7013="ÜRETİM GİRİŞ"), MIN(I7013, MAX(0, I7013 + SUM(SUMIFS($I$1:I7012, $C$1:C7012, C7013, $B$1:B7012, {"MAL ALIMI","ÜRETİM GİRİŞ"})) - VLOOKUP(C7013, 'STOK RAPORU'!$C$2:$I$1000, 4, 0))), 0)</f>
        <v>0</v>
      </c>
      <c r="U7013" s="22">
        <f t="shared" si="436"/>
        <v>0</v>
      </c>
      <c r="V7013">
        <f t="shared" si="437"/>
        <v>0</v>
      </c>
      <c r="W7013" s="22">
        <f t="shared" si="438"/>
        <v>0</v>
      </c>
    </row>
    <row r="7014" spans="1:23" hidden="1" x14ac:dyDescent="0.25">
      <c r="A7014" s="3">
        <v>46151</v>
      </c>
      <c r="B7014" s="46" t="s">
        <v>334</v>
      </c>
      <c r="C7014" s="4" t="s">
        <v>1023</v>
      </c>
      <c r="D7014" s="4"/>
      <c r="E7014" s="4" t="s">
        <v>921</v>
      </c>
      <c r="F7014" s="46" t="s">
        <v>3367</v>
      </c>
      <c r="G7014" s="4" t="s">
        <v>336</v>
      </c>
      <c r="H7014" s="4" t="s">
        <v>380</v>
      </c>
      <c r="I7014" s="4">
        <v>1</v>
      </c>
      <c r="J7014" s="21">
        <v>60</v>
      </c>
      <c r="K7014" s="21">
        <v>60</v>
      </c>
      <c r="L7014" s="5">
        <v>0</v>
      </c>
      <c r="M7014" s="4"/>
      <c r="N7014" s="4"/>
      <c r="O7014" s="5"/>
      <c r="P7014" s="5"/>
      <c r="Q7014" s="21">
        <v>0</v>
      </c>
      <c r="R7014" s="21">
        <v>0</v>
      </c>
      <c r="S7014" s="5">
        <f t="shared" si="439"/>
        <v>53938.970812500294</v>
      </c>
      <c r="T7014" cm="1">
        <f t="array" ref="T7014">IF(OR(B7014="MAL ALIMI", B7014="ÜRETİM GİRİŞ"), MIN(I7014, MAX(0, I7014 + SUM(SUMIFS($I$1:I7013, $C$1:C7013, C7014, $B$1:B7013, {"MAL ALIMI","ÜRETİM GİRİŞ"})) - VLOOKUP(C7014, 'STOK RAPORU'!$C$2:$I$1000, 4, 0))), 0)</f>
        <v>0</v>
      </c>
      <c r="U7014" s="22">
        <f t="shared" si="436"/>
        <v>0</v>
      </c>
      <c r="V7014">
        <f t="shared" si="437"/>
        <v>0</v>
      </c>
      <c r="W7014" s="22">
        <f t="shared" si="438"/>
        <v>0</v>
      </c>
    </row>
    <row r="7015" spans="1:23" hidden="1" x14ac:dyDescent="0.25">
      <c r="A7015" s="3">
        <v>46151</v>
      </c>
      <c r="B7015" s="46" t="s">
        <v>334</v>
      </c>
      <c r="C7015" s="4" t="s">
        <v>1024</v>
      </c>
      <c r="D7015" s="4"/>
      <c r="E7015" s="4" t="s">
        <v>921</v>
      </c>
      <c r="F7015" s="46" t="s">
        <v>3367</v>
      </c>
      <c r="G7015" s="4" t="s">
        <v>336</v>
      </c>
      <c r="H7015" s="4" t="s">
        <v>380</v>
      </c>
      <c r="I7015" s="4">
        <v>1</v>
      </c>
      <c r="J7015" s="21">
        <v>60</v>
      </c>
      <c r="K7015" s="21">
        <v>60</v>
      </c>
      <c r="L7015" s="5">
        <v>0</v>
      </c>
      <c r="M7015" s="4"/>
      <c r="N7015" s="4"/>
      <c r="O7015" s="5"/>
      <c r="P7015" s="5"/>
      <c r="Q7015" s="21">
        <v>0</v>
      </c>
      <c r="R7015" s="21">
        <v>0</v>
      </c>
      <c r="S7015" s="5">
        <f t="shared" si="439"/>
        <v>53938.970812500294</v>
      </c>
      <c r="T7015" cm="1">
        <f t="array" ref="T7015">IF(OR(B7015="MAL ALIMI", B7015="ÜRETİM GİRİŞ"), MIN(I7015, MAX(0, I7015 + SUM(SUMIFS($I$1:I7014, $C$1:C7014, C7015, $B$1:B7014, {"MAL ALIMI","ÜRETİM GİRİŞ"})) - VLOOKUP(C7015, 'STOK RAPORU'!$C$2:$I$1000, 4, 0))), 0)</f>
        <v>0</v>
      </c>
      <c r="U7015" s="22">
        <f t="shared" si="436"/>
        <v>0</v>
      </c>
      <c r="V7015">
        <f t="shared" si="437"/>
        <v>0</v>
      </c>
      <c r="W7015" s="22">
        <f t="shared" si="438"/>
        <v>0</v>
      </c>
    </row>
    <row r="7016" spans="1:23" hidden="1" x14ac:dyDescent="0.25">
      <c r="A7016" s="3">
        <v>46151</v>
      </c>
      <c r="B7016" s="46" t="s">
        <v>334</v>
      </c>
      <c r="C7016" s="4" t="s">
        <v>3383</v>
      </c>
      <c r="D7016" s="4"/>
      <c r="E7016" s="4" t="s">
        <v>921</v>
      </c>
      <c r="F7016" s="46" t="s">
        <v>3367</v>
      </c>
      <c r="G7016" s="4" t="s">
        <v>336</v>
      </c>
      <c r="H7016" s="4" t="s">
        <v>380</v>
      </c>
      <c r="I7016" s="4">
        <v>0.5</v>
      </c>
      <c r="J7016" s="21">
        <v>50</v>
      </c>
      <c r="K7016" s="21">
        <v>25</v>
      </c>
      <c r="L7016" s="5">
        <v>0</v>
      </c>
      <c r="M7016" s="4"/>
      <c r="N7016" s="4"/>
      <c r="O7016" s="5"/>
      <c r="P7016" s="5"/>
      <c r="Q7016" s="21">
        <v>0</v>
      </c>
      <c r="R7016" s="21">
        <v>0</v>
      </c>
      <c r="S7016" s="5">
        <f t="shared" si="439"/>
        <v>53938.970812500294</v>
      </c>
      <c r="T7016" cm="1">
        <f t="array" ref="T7016">IF(OR(B7016="MAL ALIMI", B7016="ÜRETİM GİRİŞ"), MIN(I7016, MAX(0, I7016 + SUM(SUMIFS($I$1:I7015, $C$1:C7015, C7016, $B$1:B7015, {"MAL ALIMI","ÜRETİM GİRİŞ"})) - VLOOKUP(C7016, 'STOK RAPORU'!$C$2:$I$1000, 4, 0))), 0)</f>
        <v>0</v>
      </c>
      <c r="U7016" s="22">
        <f t="shared" si="436"/>
        <v>0</v>
      </c>
      <c r="V7016">
        <f t="shared" si="437"/>
        <v>0</v>
      </c>
      <c r="W7016" s="22">
        <f t="shared" si="438"/>
        <v>0</v>
      </c>
    </row>
    <row r="7017" spans="1:23" hidden="1" x14ac:dyDescent="0.25">
      <c r="A7017" s="3">
        <v>46152</v>
      </c>
      <c r="B7017" s="46" t="s">
        <v>334</v>
      </c>
      <c r="C7017" s="4" t="s">
        <v>160</v>
      </c>
      <c r="D7017" s="4"/>
      <c r="E7017" s="4"/>
      <c r="F7017" s="46" t="s">
        <v>3368</v>
      </c>
      <c r="G7017" s="4" t="s">
        <v>336</v>
      </c>
      <c r="H7017" s="4" t="s">
        <v>289</v>
      </c>
      <c r="I7017" s="4">
        <v>1</v>
      </c>
      <c r="J7017" s="21">
        <v>250</v>
      </c>
      <c r="K7017" s="21">
        <v>0</v>
      </c>
      <c r="L7017" s="5">
        <v>0</v>
      </c>
      <c r="M7017" s="4"/>
      <c r="N7017" s="4"/>
      <c r="O7017" s="5"/>
      <c r="P7017" s="5"/>
      <c r="Q7017" s="21">
        <v>250</v>
      </c>
      <c r="R7017" s="21">
        <v>0</v>
      </c>
      <c r="S7017" s="5">
        <f t="shared" si="439"/>
        <v>54188.970812500294</v>
      </c>
      <c r="T7017" cm="1">
        <f t="array" ref="T7017">IF(OR(B7017="MAL ALIMI", B7017="ÜRETİM GİRİŞ"), MIN(I7017, MAX(0, I7017 + SUM(SUMIFS($I$1:I7016, $C$1:C7016, C7017, $B$1:B7016, {"MAL ALIMI","ÜRETİM GİRİŞ"})) - VLOOKUP(C7017, 'STOK RAPORU'!$C$2:$I$1000, 4, 0))), 0)</f>
        <v>0</v>
      </c>
      <c r="U7017" s="22">
        <f t="shared" si="436"/>
        <v>0</v>
      </c>
      <c r="V7017">
        <f t="shared" si="437"/>
        <v>0</v>
      </c>
      <c r="W7017" s="22">
        <f t="shared" si="438"/>
        <v>0</v>
      </c>
    </row>
    <row r="7018" spans="1:23" hidden="1" x14ac:dyDescent="0.25">
      <c r="A7018" s="3">
        <v>46152</v>
      </c>
      <c r="B7018" s="46" t="s">
        <v>334</v>
      </c>
      <c r="C7018" s="4" t="s">
        <v>161</v>
      </c>
      <c r="D7018" s="4"/>
      <c r="E7018" s="4"/>
      <c r="F7018" s="46" t="s">
        <v>3368</v>
      </c>
      <c r="G7018" s="4" t="s">
        <v>336</v>
      </c>
      <c r="H7018" s="4" t="s">
        <v>289</v>
      </c>
      <c r="I7018" s="4">
        <v>1</v>
      </c>
      <c r="J7018" s="21">
        <v>250</v>
      </c>
      <c r="K7018" s="21">
        <v>0</v>
      </c>
      <c r="L7018" s="5">
        <v>0</v>
      </c>
      <c r="M7018" s="4"/>
      <c r="N7018" s="4"/>
      <c r="O7018" s="5"/>
      <c r="P7018" s="5"/>
      <c r="Q7018" s="21">
        <v>250</v>
      </c>
      <c r="R7018" s="21">
        <v>0</v>
      </c>
      <c r="S7018" s="5">
        <f t="shared" si="439"/>
        <v>54438.970812500294</v>
      </c>
      <c r="T7018" cm="1">
        <f t="array" ref="T7018">IF(OR(B7018="MAL ALIMI", B7018="ÜRETİM GİRİŞ"), MIN(I7018, MAX(0, I7018 + SUM(SUMIFS($I$1:I7017, $C$1:C7017, C7018, $B$1:B7017, {"MAL ALIMI","ÜRETİM GİRİŞ"})) - VLOOKUP(C7018, 'STOK RAPORU'!$C$2:$I$1000, 4, 0))), 0)</f>
        <v>0</v>
      </c>
      <c r="U7018" s="22">
        <f t="shared" si="436"/>
        <v>0</v>
      </c>
      <c r="V7018">
        <f t="shared" si="437"/>
        <v>0</v>
      </c>
      <c r="W7018" s="22">
        <f t="shared" si="438"/>
        <v>0</v>
      </c>
    </row>
    <row r="7019" spans="1:23" hidden="1" x14ac:dyDescent="0.25">
      <c r="A7019" s="3">
        <v>46152</v>
      </c>
      <c r="B7019" s="46" t="s">
        <v>334</v>
      </c>
      <c r="C7019" s="4" t="s">
        <v>218</v>
      </c>
      <c r="D7019" s="4"/>
      <c r="E7019" s="4" t="s">
        <v>921</v>
      </c>
      <c r="F7019" s="46" t="s">
        <v>3369</v>
      </c>
      <c r="G7019" s="4" t="s">
        <v>336</v>
      </c>
      <c r="H7019" s="4" t="s">
        <v>380</v>
      </c>
      <c r="I7019" s="4">
        <v>1</v>
      </c>
      <c r="J7019" s="21">
        <v>340</v>
      </c>
      <c r="K7019" s="21">
        <v>340</v>
      </c>
      <c r="L7019" s="5">
        <v>0</v>
      </c>
      <c r="M7019" s="4"/>
      <c r="N7019" s="4"/>
      <c r="O7019" s="5"/>
      <c r="P7019" s="5"/>
      <c r="Q7019" s="21">
        <v>0</v>
      </c>
      <c r="R7019" s="21">
        <v>0</v>
      </c>
      <c r="S7019" s="5">
        <f t="shared" si="439"/>
        <v>54438.970812500294</v>
      </c>
      <c r="T7019" cm="1">
        <f t="array" ref="T7019">IF(OR(B7019="MAL ALIMI", B7019="ÜRETİM GİRİŞ"), MIN(I7019, MAX(0, I7019 + SUM(SUMIFS($I$1:I7018, $C$1:C7018, C7019, $B$1:B7018, {"MAL ALIMI","ÜRETİM GİRİŞ"})) - VLOOKUP(C7019, 'STOK RAPORU'!$C$2:$I$1000, 4, 0))), 0)</f>
        <v>0</v>
      </c>
      <c r="U7019" s="22">
        <f t="shared" si="436"/>
        <v>0</v>
      </c>
      <c r="V7019">
        <f t="shared" si="437"/>
        <v>0</v>
      </c>
      <c r="W7019" s="22">
        <f t="shared" si="438"/>
        <v>0</v>
      </c>
    </row>
    <row r="7020" spans="1:23" hidden="1" x14ac:dyDescent="0.25">
      <c r="A7020" s="3">
        <v>46152</v>
      </c>
      <c r="B7020" s="46" t="s">
        <v>334</v>
      </c>
      <c r="C7020" s="4" t="s">
        <v>160</v>
      </c>
      <c r="D7020" s="4"/>
      <c r="E7020" s="4" t="s">
        <v>921</v>
      </c>
      <c r="F7020" s="46" t="s">
        <v>3369</v>
      </c>
      <c r="G7020" s="4" t="s">
        <v>336</v>
      </c>
      <c r="H7020" s="4" t="s">
        <v>380</v>
      </c>
      <c r="I7020" s="4">
        <v>1</v>
      </c>
      <c r="J7020" s="21">
        <v>250</v>
      </c>
      <c r="K7020" s="21">
        <v>250</v>
      </c>
      <c r="L7020" s="5">
        <v>0</v>
      </c>
      <c r="M7020" s="4"/>
      <c r="N7020" s="4"/>
      <c r="O7020" s="5"/>
      <c r="P7020" s="5"/>
      <c r="Q7020" s="21">
        <v>0</v>
      </c>
      <c r="R7020" s="21">
        <v>0</v>
      </c>
      <c r="S7020" s="5">
        <f t="shared" si="439"/>
        <v>54438.970812500294</v>
      </c>
      <c r="T7020" cm="1">
        <f t="array" ref="T7020">IF(OR(B7020="MAL ALIMI", B7020="ÜRETİM GİRİŞ"), MIN(I7020, MAX(0, I7020 + SUM(SUMIFS($I$1:I7019, $C$1:C7019, C7020, $B$1:B7019, {"MAL ALIMI","ÜRETİM GİRİŞ"})) - VLOOKUP(C7020, 'STOK RAPORU'!$C$2:$I$1000, 4, 0))), 0)</f>
        <v>0</v>
      </c>
      <c r="U7020" s="22">
        <f t="shared" si="436"/>
        <v>0</v>
      </c>
      <c r="V7020">
        <f t="shared" si="437"/>
        <v>0</v>
      </c>
      <c r="W7020" s="22">
        <f t="shared" si="438"/>
        <v>0</v>
      </c>
    </row>
    <row r="7021" spans="1:23" hidden="1" x14ac:dyDescent="0.25">
      <c r="A7021" s="3">
        <v>46152</v>
      </c>
      <c r="B7021" s="46" t="s">
        <v>334</v>
      </c>
      <c r="C7021" s="4" t="s">
        <v>161</v>
      </c>
      <c r="D7021" s="4"/>
      <c r="E7021" s="4" t="s">
        <v>921</v>
      </c>
      <c r="F7021" s="46" t="s">
        <v>3369</v>
      </c>
      <c r="G7021" s="4" t="s">
        <v>336</v>
      </c>
      <c r="H7021" s="4" t="s">
        <v>380</v>
      </c>
      <c r="I7021" s="4">
        <v>1</v>
      </c>
      <c r="J7021" s="21">
        <v>250</v>
      </c>
      <c r="K7021" s="21">
        <v>250</v>
      </c>
      <c r="L7021" s="5">
        <v>0</v>
      </c>
      <c r="M7021" s="4"/>
      <c r="N7021" s="4"/>
      <c r="O7021" s="5"/>
      <c r="P7021" s="5"/>
      <c r="Q7021" s="21">
        <v>0</v>
      </c>
      <c r="R7021" s="21">
        <v>0</v>
      </c>
      <c r="S7021" s="5">
        <f t="shared" si="439"/>
        <v>54438.970812500294</v>
      </c>
      <c r="T7021" cm="1">
        <f t="array" ref="T7021">IF(OR(B7021="MAL ALIMI", B7021="ÜRETİM GİRİŞ"), MIN(I7021, MAX(0, I7021 + SUM(SUMIFS($I$1:I7020, $C$1:C7020, C7021, $B$1:B7020, {"MAL ALIMI","ÜRETİM GİRİŞ"})) - VLOOKUP(C7021, 'STOK RAPORU'!$C$2:$I$1000, 4, 0))), 0)</f>
        <v>0</v>
      </c>
      <c r="U7021" s="22">
        <f t="shared" si="436"/>
        <v>0</v>
      </c>
      <c r="V7021">
        <f t="shared" si="437"/>
        <v>0</v>
      </c>
      <c r="W7021" s="22">
        <f t="shared" si="438"/>
        <v>0</v>
      </c>
    </row>
    <row r="7022" spans="1:23" hidden="1" x14ac:dyDescent="0.25">
      <c r="A7022" s="3">
        <v>46152</v>
      </c>
      <c r="B7022" s="46" t="s">
        <v>334</v>
      </c>
      <c r="C7022" s="4" t="s">
        <v>1897</v>
      </c>
      <c r="D7022" s="4"/>
      <c r="E7022" s="4" t="s">
        <v>921</v>
      </c>
      <c r="F7022" s="46" t="s">
        <v>3370</v>
      </c>
      <c r="G7022" s="4" t="s">
        <v>336</v>
      </c>
      <c r="H7022" s="4" t="s">
        <v>380</v>
      </c>
      <c r="I7022" s="4">
        <v>1</v>
      </c>
      <c r="J7022" s="21">
        <v>300</v>
      </c>
      <c r="K7022" s="21">
        <v>300</v>
      </c>
      <c r="L7022" s="5">
        <v>0</v>
      </c>
      <c r="M7022" s="4"/>
      <c r="N7022" s="4"/>
      <c r="O7022" s="5"/>
      <c r="P7022" s="5"/>
      <c r="Q7022" s="21">
        <v>0</v>
      </c>
      <c r="R7022" s="21">
        <v>0</v>
      </c>
      <c r="S7022" s="5">
        <f t="shared" si="439"/>
        <v>54438.970812500294</v>
      </c>
      <c r="T7022" cm="1">
        <f t="array" ref="T7022">IF(OR(B7022="MAL ALIMI", B7022="ÜRETİM GİRİŞ"), MIN(I7022, MAX(0, I7022 + SUM(SUMIFS($I$1:I7021, $C$1:C7021, C7022, $B$1:B7021, {"MAL ALIMI","ÜRETİM GİRİŞ"})) - VLOOKUP(C7022, 'STOK RAPORU'!$C$2:$I$1000, 4, 0))), 0)</f>
        <v>0</v>
      </c>
      <c r="U7022" s="22">
        <f t="shared" si="436"/>
        <v>0</v>
      </c>
      <c r="V7022">
        <f t="shared" si="437"/>
        <v>0</v>
      </c>
      <c r="W7022" s="22">
        <f t="shared" si="438"/>
        <v>0</v>
      </c>
    </row>
    <row r="7023" spans="1:23" hidden="1" x14ac:dyDescent="0.25">
      <c r="A7023" s="3">
        <v>46152</v>
      </c>
      <c r="B7023" s="46" t="s">
        <v>334</v>
      </c>
      <c r="C7023" s="4" t="s">
        <v>204</v>
      </c>
      <c r="D7023" s="4"/>
      <c r="E7023" s="4"/>
      <c r="F7023" s="46" t="s">
        <v>3371</v>
      </c>
      <c r="G7023" s="4" t="s">
        <v>336</v>
      </c>
      <c r="H7023" s="4" t="s">
        <v>289</v>
      </c>
      <c r="I7023" s="4">
        <v>0.05</v>
      </c>
      <c r="J7023" s="21">
        <v>1400</v>
      </c>
      <c r="K7023" s="21">
        <v>0</v>
      </c>
      <c r="L7023" s="5">
        <v>0</v>
      </c>
      <c r="M7023" s="4"/>
      <c r="N7023" s="4"/>
      <c r="O7023" s="5"/>
      <c r="P7023" s="5"/>
      <c r="Q7023" s="21">
        <v>70</v>
      </c>
      <c r="R7023" s="21">
        <v>0</v>
      </c>
      <c r="S7023" s="5">
        <f t="shared" si="439"/>
        <v>54508.970812500294</v>
      </c>
      <c r="T7023" cm="1">
        <f t="array" ref="T7023">IF(OR(B7023="MAL ALIMI", B7023="ÜRETİM GİRİŞ"), MIN(I7023, MAX(0, I7023 + SUM(SUMIFS($I$1:I7022, $C$1:C7022, C7023, $B$1:B7022, {"MAL ALIMI","ÜRETİM GİRİŞ"})) - VLOOKUP(C7023, 'STOK RAPORU'!$C$2:$I$1000, 4, 0))), 0)</f>
        <v>0</v>
      </c>
      <c r="U7023" s="22">
        <f t="shared" si="436"/>
        <v>0</v>
      </c>
      <c r="V7023">
        <f t="shared" si="437"/>
        <v>0</v>
      </c>
      <c r="W7023" s="22">
        <f t="shared" si="438"/>
        <v>0</v>
      </c>
    </row>
    <row r="7024" spans="1:23" hidden="1" x14ac:dyDescent="0.25">
      <c r="A7024" s="3">
        <v>46152</v>
      </c>
      <c r="B7024" s="46" t="s">
        <v>334</v>
      </c>
      <c r="C7024" s="4" t="s">
        <v>193</v>
      </c>
      <c r="D7024" s="4"/>
      <c r="E7024" s="4"/>
      <c r="F7024" s="46" t="s">
        <v>3371</v>
      </c>
      <c r="G7024" s="4" t="s">
        <v>336</v>
      </c>
      <c r="H7024" s="4" t="s">
        <v>289</v>
      </c>
      <c r="I7024" s="4">
        <v>0.05</v>
      </c>
      <c r="J7024" s="21">
        <v>1000</v>
      </c>
      <c r="K7024" s="21">
        <v>0</v>
      </c>
      <c r="L7024" s="5">
        <v>0</v>
      </c>
      <c r="M7024" s="4"/>
      <c r="N7024" s="4"/>
      <c r="O7024" s="5"/>
      <c r="P7024" s="5"/>
      <c r="Q7024" s="21">
        <v>50</v>
      </c>
      <c r="R7024" s="21">
        <v>0</v>
      </c>
      <c r="S7024" s="5">
        <f t="shared" si="439"/>
        <v>54558.970812500294</v>
      </c>
      <c r="T7024" cm="1">
        <f t="array" ref="T7024">IF(OR(B7024="MAL ALIMI", B7024="ÜRETİM GİRİŞ"), MIN(I7024, MAX(0, I7024 + SUM(SUMIFS($I$1:I7023, $C$1:C7023, C7024, $B$1:B7023, {"MAL ALIMI","ÜRETİM GİRİŞ"})) - VLOOKUP(C7024, 'STOK RAPORU'!$C$2:$I$1000, 4, 0))), 0)</f>
        <v>0</v>
      </c>
      <c r="U7024" s="22">
        <f t="shared" si="436"/>
        <v>0</v>
      </c>
      <c r="V7024">
        <f t="shared" si="437"/>
        <v>0</v>
      </c>
      <c r="W7024" s="22">
        <f t="shared" si="438"/>
        <v>0</v>
      </c>
    </row>
    <row r="7025" spans="1:23" hidden="1" x14ac:dyDescent="0.25">
      <c r="A7025" s="3">
        <v>46152</v>
      </c>
      <c r="B7025" s="46" t="s">
        <v>334</v>
      </c>
      <c r="C7025" s="4" t="s">
        <v>238</v>
      </c>
      <c r="D7025" s="4"/>
      <c r="E7025" s="4"/>
      <c r="F7025" s="46" t="s">
        <v>3371</v>
      </c>
      <c r="G7025" s="4" t="s">
        <v>336</v>
      </c>
      <c r="H7025" s="4" t="s">
        <v>289</v>
      </c>
      <c r="I7025" s="4">
        <v>0.1</v>
      </c>
      <c r="J7025" s="21">
        <v>1300</v>
      </c>
      <c r="K7025" s="21">
        <v>0</v>
      </c>
      <c r="L7025" s="5">
        <v>0</v>
      </c>
      <c r="M7025" s="4"/>
      <c r="N7025" s="4"/>
      <c r="O7025" s="5"/>
      <c r="P7025" s="5"/>
      <c r="Q7025" s="21">
        <v>130</v>
      </c>
      <c r="R7025" s="21">
        <v>0</v>
      </c>
      <c r="S7025" s="5">
        <f t="shared" si="439"/>
        <v>54688.970812500294</v>
      </c>
      <c r="T7025" cm="1">
        <f t="array" ref="T7025">IF(OR(B7025="MAL ALIMI", B7025="ÜRETİM GİRİŞ"), MIN(I7025, MAX(0, I7025 + SUM(SUMIFS($I$1:I7024, $C$1:C7024, C7025, $B$1:B7024, {"MAL ALIMI","ÜRETİM GİRİŞ"})) - VLOOKUP(C7025, 'STOK RAPORU'!$C$2:$I$1000, 4, 0))), 0)</f>
        <v>0</v>
      </c>
      <c r="U7025" s="22">
        <f t="shared" si="436"/>
        <v>0</v>
      </c>
      <c r="V7025">
        <f t="shared" si="437"/>
        <v>0</v>
      </c>
      <c r="W7025" s="22">
        <f t="shared" si="438"/>
        <v>0</v>
      </c>
    </row>
    <row r="7026" spans="1:23" hidden="1" x14ac:dyDescent="0.25">
      <c r="A7026" s="3">
        <v>46152</v>
      </c>
      <c r="B7026" s="46" t="s">
        <v>334</v>
      </c>
      <c r="C7026" s="4" t="s">
        <v>60</v>
      </c>
      <c r="D7026" s="4"/>
      <c r="E7026" s="4"/>
      <c r="F7026" s="46" t="s">
        <v>3371</v>
      </c>
      <c r="G7026" s="4" t="s">
        <v>336</v>
      </c>
      <c r="H7026" s="4" t="s">
        <v>289</v>
      </c>
      <c r="I7026" s="4">
        <v>0.05</v>
      </c>
      <c r="J7026" s="21">
        <v>1200</v>
      </c>
      <c r="K7026" s="21">
        <v>0</v>
      </c>
      <c r="L7026" s="5">
        <v>0</v>
      </c>
      <c r="M7026" s="4"/>
      <c r="N7026" s="4"/>
      <c r="O7026" s="5"/>
      <c r="P7026" s="5"/>
      <c r="Q7026" s="21">
        <v>60</v>
      </c>
      <c r="R7026" s="21">
        <v>0</v>
      </c>
      <c r="S7026" s="5">
        <f t="shared" si="439"/>
        <v>54748.970812500294</v>
      </c>
      <c r="T7026" cm="1">
        <f t="array" ref="T7026">IF(OR(B7026="MAL ALIMI", B7026="ÜRETİM GİRİŞ"), MIN(I7026, MAX(0, I7026 + SUM(SUMIFS($I$1:I7025, $C$1:C7025, C7026, $B$1:B7025, {"MAL ALIMI","ÜRETİM GİRİŞ"})) - VLOOKUP(C7026, 'STOK RAPORU'!$C$2:$I$1000, 4, 0))), 0)</f>
        <v>0</v>
      </c>
      <c r="U7026" s="22">
        <f t="shared" ref="U7026:U7089" si="440">T7026*J7026</f>
        <v>0</v>
      </c>
      <c r="V7026">
        <f t="shared" ref="V7026:V7089" si="441">IF(OR(B7026="MAL ALIMI", B7026="ÜRETİM GİRİŞ"), I7026 * J7026, 0)</f>
        <v>0</v>
      </c>
      <c r="W7026" s="22">
        <f t="shared" ref="W7026:W7089" si="442">V7026-U7026</f>
        <v>0</v>
      </c>
    </row>
    <row r="7027" spans="1:23" hidden="1" x14ac:dyDescent="0.25">
      <c r="A7027" s="3">
        <v>46152</v>
      </c>
      <c r="B7027" s="46" t="s">
        <v>334</v>
      </c>
      <c r="C7027" s="4" t="s">
        <v>1127</v>
      </c>
      <c r="D7027" s="4"/>
      <c r="E7027" s="4"/>
      <c r="F7027" s="46" t="s">
        <v>3372</v>
      </c>
      <c r="G7027" s="4" t="s">
        <v>336</v>
      </c>
      <c r="H7027" s="4" t="s">
        <v>289</v>
      </c>
      <c r="I7027" s="4">
        <v>1</v>
      </c>
      <c r="J7027" s="21">
        <v>350</v>
      </c>
      <c r="K7027" s="21">
        <v>0</v>
      </c>
      <c r="L7027" s="5">
        <v>0</v>
      </c>
      <c r="M7027" s="4"/>
      <c r="N7027" s="4"/>
      <c r="O7027" s="5"/>
      <c r="P7027" s="5"/>
      <c r="Q7027" s="21">
        <v>350</v>
      </c>
      <c r="R7027" s="21">
        <v>0</v>
      </c>
      <c r="S7027" s="5">
        <f t="shared" si="439"/>
        <v>55098.970812500294</v>
      </c>
      <c r="T7027" cm="1">
        <f t="array" ref="T7027">IF(OR(B7027="MAL ALIMI", B7027="ÜRETİM GİRİŞ"), MIN(I7027, MAX(0, I7027 + SUM(SUMIFS($I$1:I7026, $C$1:C7026, C7027, $B$1:B7026, {"MAL ALIMI","ÜRETİM GİRİŞ"})) - VLOOKUP(C7027, 'STOK RAPORU'!$C$2:$I$1000, 4, 0))), 0)</f>
        <v>0</v>
      </c>
      <c r="U7027" s="22">
        <f t="shared" si="440"/>
        <v>0</v>
      </c>
      <c r="V7027">
        <f t="shared" si="441"/>
        <v>0</v>
      </c>
      <c r="W7027" s="22">
        <f t="shared" si="442"/>
        <v>0</v>
      </c>
    </row>
    <row r="7028" spans="1:23" hidden="1" x14ac:dyDescent="0.25">
      <c r="A7028" s="3">
        <v>46152</v>
      </c>
      <c r="B7028" s="46" t="s">
        <v>334</v>
      </c>
      <c r="C7028" s="4" t="s">
        <v>455</v>
      </c>
      <c r="D7028" s="4"/>
      <c r="E7028" s="4"/>
      <c r="F7028" s="46" t="s">
        <v>3372</v>
      </c>
      <c r="G7028" s="4" t="s">
        <v>336</v>
      </c>
      <c r="H7028" s="4" t="s">
        <v>289</v>
      </c>
      <c r="I7028" s="4">
        <v>1</v>
      </c>
      <c r="J7028" s="21">
        <v>80</v>
      </c>
      <c r="K7028" s="21">
        <v>0</v>
      </c>
      <c r="L7028" s="5">
        <v>0</v>
      </c>
      <c r="M7028" s="4"/>
      <c r="N7028" s="4"/>
      <c r="O7028" s="5"/>
      <c r="P7028" s="5"/>
      <c r="Q7028" s="21">
        <v>80</v>
      </c>
      <c r="R7028" s="21">
        <v>0</v>
      </c>
      <c r="S7028" s="5">
        <f t="shared" si="439"/>
        <v>55178.970812500294</v>
      </c>
      <c r="T7028" cm="1">
        <f t="array" ref="T7028">IF(OR(B7028="MAL ALIMI", B7028="ÜRETİM GİRİŞ"), MIN(I7028, MAX(0, I7028 + SUM(SUMIFS($I$1:I7027, $C$1:C7027, C7028, $B$1:B7027, {"MAL ALIMI","ÜRETİM GİRİŞ"})) - VLOOKUP(C7028, 'STOK RAPORU'!$C$2:$I$1000, 4, 0))), 0)</f>
        <v>0</v>
      </c>
      <c r="U7028" s="22">
        <f t="shared" si="440"/>
        <v>0</v>
      </c>
      <c r="V7028">
        <f t="shared" si="441"/>
        <v>0</v>
      </c>
      <c r="W7028" s="22">
        <f t="shared" si="442"/>
        <v>0</v>
      </c>
    </row>
    <row r="7029" spans="1:23" hidden="1" x14ac:dyDescent="0.25">
      <c r="A7029" s="3">
        <v>46152</v>
      </c>
      <c r="B7029" s="46" t="s">
        <v>334</v>
      </c>
      <c r="C7029" s="4" t="s">
        <v>3158</v>
      </c>
      <c r="D7029" s="4"/>
      <c r="E7029" s="4"/>
      <c r="F7029" s="46" t="s">
        <v>3373</v>
      </c>
      <c r="G7029" s="4" t="s">
        <v>336</v>
      </c>
      <c r="H7029" s="4" t="s">
        <v>289</v>
      </c>
      <c r="I7029" s="4">
        <v>1</v>
      </c>
      <c r="J7029" s="21">
        <v>190</v>
      </c>
      <c r="K7029" s="21">
        <v>0</v>
      </c>
      <c r="L7029" s="5">
        <v>0</v>
      </c>
      <c r="M7029" s="4"/>
      <c r="N7029" s="4"/>
      <c r="O7029" s="5"/>
      <c r="P7029" s="5"/>
      <c r="Q7029" s="21">
        <v>190</v>
      </c>
      <c r="R7029" s="21">
        <v>0</v>
      </c>
      <c r="S7029" s="5">
        <f t="shared" si="439"/>
        <v>55368.970812500294</v>
      </c>
      <c r="T7029" cm="1">
        <f t="array" ref="T7029">IF(OR(B7029="MAL ALIMI", B7029="ÜRETİM GİRİŞ"), MIN(I7029, MAX(0, I7029 + SUM(SUMIFS($I$1:I7028, $C$1:C7028, C7029, $B$1:B7028, {"MAL ALIMI","ÜRETİM GİRİŞ"})) - VLOOKUP(C7029, 'STOK RAPORU'!$C$2:$I$1000, 4, 0))), 0)</f>
        <v>0</v>
      </c>
      <c r="U7029" s="22">
        <f t="shared" si="440"/>
        <v>0</v>
      </c>
      <c r="V7029">
        <f t="shared" si="441"/>
        <v>0</v>
      </c>
      <c r="W7029" s="22">
        <f t="shared" si="442"/>
        <v>0</v>
      </c>
    </row>
    <row r="7030" spans="1:23" hidden="1" x14ac:dyDescent="0.25">
      <c r="A7030" s="3">
        <v>46152</v>
      </c>
      <c r="B7030" s="46" t="s">
        <v>334</v>
      </c>
      <c r="C7030" s="4" t="s">
        <v>227</v>
      </c>
      <c r="D7030" s="4"/>
      <c r="E7030" s="4"/>
      <c r="F7030" s="46" t="s">
        <v>3374</v>
      </c>
      <c r="G7030" s="4" t="s">
        <v>336</v>
      </c>
      <c r="H7030" s="4" t="s">
        <v>289</v>
      </c>
      <c r="I7030" s="4">
        <v>0.1</v>
      </c>
      <c r="J7030" s="21">
        <v>500</v>
      </c>
      <c r="K7030" s="21">
        <v>0</v>
      </c>
      <c r="L7030" s="5">
        <v>0</v>
      </c>
      <c r="M7030" s="4"/>
      <c r="N7030" s="4"/>
      <c r="O7030" s="5"/>
      <c r="P7030" s="5"/>
      <c r="Q7030" s="21">
        <v>50</v>
      </c>
      <c r="R7030" s="21">
        <v>0</v>
      </c>
      <c r="S7030" s="5">
        <f t="shared" si="439"/>
        <v>55418.970812500294</v>
      </c>
      <c r="T7030" cm="1">
        <f t="array" ref="T7030">IF(OR(B7030="MAL ALIMI", B7030="ÜRETİM GİRİŞ"), MIN(I7030, MAX(0, I7030 + SUM(SUMIFS($I$1:I7029, $C$1:C7029, C7030, $B$1:B7029, {"MAL ALIMI","ÜRETİM GİRİŞ"})) - VLOOKUP(C7030, 'STOK RAPORU'!$C$2:$I$1000, 4, 0))), 0)</f>
        <v>0</v>
      </c>
      <c r="U7030" s="22">
        <f t="shared" si="440"/>
        <v>0</v>
      </c>
      <c r="V7030">
        <f t="shared" si="441"/>
        <v>0</v>
      </c>
      <c r="W7030" s="22">
        <f t="shared" si="442"/>
        <v>0</v>
      </c>
    </row>
    <row r="7031" spans="1:23" hidden="1" x14ac:dyDescent="0.25">
      <c r="A7031" s="3">
        <v>46152</v>
      </c>
      <c r="B7031" s="46" t="s">
        <v>334</v>
      </c>
      <c r="C7031" s="4" t="s">
        <v>236</v>
      </c>
      <c r="D7031" s="4"/>
      <c r="E7031" s="4"/>
      <c r="F7031" s="46" t="s">
        <v>3375</v>
      </c>
      <c r="G7031" s="4" t="s">
        <v>336</v>
      </c>
      <c r="H7031" s="4" t="s">
        <v>289</v>
      </c>
      <c r="I7031" s="4">
        <v>0.25</v>
      </c>
      <c r="J7031" s="21">
        <v>350</v>
      </c>
      <c r="K7031" s="21">
        <v>0</v>
      </c>
      <c r="L7031" s="5">
        <v>0</v>
      </c>
      <c r="M7031" s="4"/>
      <c r="N7031" s="4"/>
      <c r="O7031" s="5"/>
      <c r="P7031" s="5"/>
      <c r="Q7031" s="21">
        <v>87.5</v>
      </c>
      <c r="R7031" s="21">
        <v>0</v>
      </c>
      <c r="S7031" s="5">
        <f t="shared" si="439"/>
        <v>55506.470812500294</v>
      </c>
      <c r="T7031" cm="1">
        <f t="array" ref="T7031">IF(OR(B7031="MAL ALIMI", B7031="ÜRETİM GİRİŞ"), MIN(I7031, MAX(0, I7031 + SUM(SUMIFS($I$1:I7030, $C$1:C7030, C7031, $B$1:B7030, {"MAL ALIMI","ÜRETİM GİRİŞ"})) - VLOOKUP(C7031, 'STOK RAPORU'!$C$2:$I$1000, 4, 0))), 0)</f>
        <v>0</v>
      </c>
      <c r="U7031" s="22">
        <f t="shared" si="440"/>
        <v>0</v>
      </c>
      <c r="V7031">
        <f t="shared" si="441"/>
        <v>0</v>
      </c>
      <c r="W7031" s="22">
        <f t="shared" si="442"/>
        <v>0</v>
      </c>
    </row>
    <row r="7032" spans="1:23" hidden="1" x14ac:dyDescent="0.25">
      <c r="A7032" s="3">
        <v>46152</v>
      </c>
      <c r="B7032" s="4" t="s">
        <v>917</v>
      </c>
      <c r="C7032" s="4"/>
      <c r="D7032" s="4"/>
      <c r="E7032" s="4" t="s">
        <v>856</v>
      </c>
      <c r="F7032" s="4"/>
      <c r="G7032" s="4" t="s">
        <v>920</v>
      </c>
      <c r="H7032" s="4" t="s">
        <v>289</v>
      </c>
      <c r="I7032" s="4">
        <v>1</v>
      </c>
      <c r="J7032" s="21">
        <v>24664.7</v>
      </c>
      <c r="K7032" s="21">
        <v>24664.7</v>
      </c>
      <c r="L7032" s="5">
        <v>0</v>
      </c>
      <c r="M7032" s="4"/>
      <c r="N7032" s="4"/>
      <c r="O7032" s="5"/>
      <c r="P7032" s="5"/>
      <c r="Q7032" s="21">
        <v>0</v>
      </c>
      <c r="R7032" s="21">
        <v>24664.7</v>
      </c>
      <c r="S7032" s="5">
        <f t="shared" si="439"/>
        <v>30841.770812500294</v>
      </c>
      <c r="T7032" cm="1">
        <f t="array" ref="T7032">IF(OR(B7032="MAL ALIMI", B7032="ÜRETİM GİRİŞ"), MIN(I7032, MAX(0, I7032 + SUM(SUMIFS($I$1:I7031, $C$1:C7031, C7032, $B$1:B7031, {"MAL ALIMI","ÜRETİM GİRİŞ"})) - VLOOKUP(C7032, 'STOK RAPORU'!$C$2:$I$1000, 4, 0))), 0)</f>
        <v>0</v>
      </c>
      <c r="U7032" s="22">
        <f t="shared" si="440"/>
        <v>0</v>
      </c>
      <c r="V7032">
        <f t="shared" si="441"/>
        <v>0</v>
      </c>
      <c r="W7032" s="22">
        <f t="shared" si="442"/>
        <v>0</v>
      </c>
    </row>
    <row r="7033" spans="1:23" hidden="1" x14ac:dyDescent="0.25">
      <c r="A7033" s="3">
        <v>46153</v>
      </c>
      <c r="B7033" s="46" t="s">
        <v>334</v>
      </c>
      <c r="C7033" s="4" t="s">
        <v>160</v>
      </c>
      <c r="D7033" s="4"/>
      <c r="E7033" s="4"/>
      <c r="F7033" s="46" t="s">
        <v>3379</v>
      </c>
      <c r="G7033" s="4" t="s">
        <v>336</v>
      </c>
      <c r="H7033" s="4" t="s">
        <v>289</v>
      </c>
      <c r="I7033" s="4">
        <v>1</v>
      </c>
      <c r="J7033" s="21">
        <v>250</v>
      </c>
      <c r="K7033" s="21">
        <v>0</v>
      </c>
      <c r="L7033" s="5">
        <v>0</v>
      </c>
      <c r="M7033" s="4"/>
      <c r="N7033" s="4"/>
      <c r="O7033" s="5"/>
      <c r="P7033" s="5"/>
      <c r="Q7033" s="21">
        <v>250</v>
      </c>
      <c r="R7033" s="21">
        <v>0</v>
      </c>
      <c r="S7033" s="5">
        <f t="shared" si="439"/>
        <v>31091.770812500294</v>
      </c>
      <c r="T7033" cm="1">
        <f t="array" ref="T7033">IF(OR(B7033="MAL ALIMI", B7033="ÜRETİM GİRİŞ"), MIN(I7033, MAX(0, I7033 + SUM(SUMIFS($I$1:I7032, $C$1:C7032, C7033, $B$1:B7032, {"MAL ALIMI","ÜRETİM GİRİŞ"})) - VLOOKUP(C7033, 'STOK RAPORU'!$C$2:$I$1000, 4, 0))), 0)</f>
        <v>0</v>
      </c>
      <c r="U7033" s="22">
        <f t="shared" si="440"/>
        <v>0</v>
      </c>
      <c r="V7033">
        <f t="shared" si="441"/>
        <v>0</v>
      </c>
      <c r="W7033" s="22">
        <f t="shared" si="442"/>
        <v>0</v>
      </c>
    </row>
    <row r="7034" spans="1:23" hidden="1" x14ac:dyDescent="0.25">
      <c r="A7034" s="3">
        <v>46153</v>
      </c>
      <c r="B7034" s="46" t="s">
        <v>334</v>
      </c>
      <c r="C7034" s="4" t="s">
        <v>161</v>
      </c>
      <c r="D7034" s="4"/>
      <c r="E7034" s="4"/>
      <c r="F7034" s="46" t="s">
        <v>3379</v>
      </c>
      <c r="G7034" s="4" t="s">
        <v>336</v>
      </c>
      <c r="H7034" s="4" t="s">
        <v>289</v>
      </c>
      <c r="I7034" s="4">
        <v>1</v>
      </c>
      <c r="J7034" s="21">
        <v>250</v>
      </c>
      <c r="K7034" s="21">
        <v>0</v>
      </c>
      <c r="L7034" s="5">
        <v>0</v>
      </c>
      <c r="M7034" s="4"/>
      <c r="N7034" s="4"/>
      <c r="O7034" s="5"/>
      <c r="P7034" s="5"/>
      <c r="Q7034" s="21">
        <v>250</v>
      </c>
      <c r="R7034" s="21">
        <v>0</v>
      </c>
      <c r="S7034" s="5">
        <f t="shared" si="439"/>
        <v>31341.770812500294</v>
      </c>
      <c r="T7034" cm="1">
        <f t="array" ref="T7034">IF(OR(B7034="MAL ALIMI", B7034="ÜRETİM GİRİŞ"), MIN(I7034, MAX(0, I7034 + SUM(SUMIFS($I$1:I7033, $C$1:C7033, C7034, $B$1:B7033, {"MAL ALIMI","ÜRETİM GİRİŞ"})) - VLOOKUP(C7034, 'STOK RAPORU'!$C$2:$I$1000, 4, 0))), 0)</f>
        <v>0</v>
      </c>
      <c r="U7034" s="22">
        <f t="shared" si="440"/>
        <v>0</v>
      </c>
      <c r="V7034">
        <f t="shared" si="441"/>
        <v>0</v>
      </c>
      <c r="W7034" s="22">
        <f t="shared" si="442"/>
        <v>0</v>
      </c>
    </row>
    <row r="7035" spans="1:23" hidden="1" x14ac:dyDescent="0.25">
      <c r="A7035" s="3">
        <v>46153</v>
      </c>
      <c r="B7035" s="46" t="s">
        <v>334</v>
      </c>
      <c r="C7035" s="4" t="s">
        <v>456</v>
      </c>
      <c r="D7035" s="4"/>
      <c r="E7035" s="4"/>
      <c r="F7035" s="46" t="s">
        <v>3380</v>
      </c>
      <c r="G7035" s="4" t="s">
        <v>336</v>
      </c>
      <c r="H7035" s="4" t="s">
        <v>289</v>
      </c>
      <c r="I7035" s="4">
        <v>1</v>
      </c>
      <c r="J7035" s="21">
        <v>25</v>
      </c>
      <c r="K7035" s="21">
        <v>0</v>
      </c>
      <c r="L7035" s="5">
        <v>0</v>
      </c>
      <c r="M7035" s="4"/>
      <c r="N7035" s="4"/>
      <c r="O7035" s="5"/>
      <c r="P7035" s="5"/>
      <c r="Q7035" s="21">
        <v>25</v>
      </c>
      <c r="R7035" s="21">
        <v>0</v>
      </c>
      <c r="S7035" s="5">
        <f t="shared" si="439"/>
        <v>31366.770812500294</v>
      </c>
      <c r="T7035" cm="1">
        <f t="array" ref="T7035">IF(OR(B7035="MAL ALIMI", B7035="ÜRETİM GİRİŞ"), MIN(I7035, MAX(0, I7035 + SUM(SUMIFS($I$1:I7034, $C$1:C7034, C7035, $B$1:B7034, {"MAL ALIMI","ÜRETİM GİRİŞ"})) - VLOOKUP(C7035, 'STOK RAPORU'!$C$2:$I$1000, 4, 0))), 0)</f>
        <v>0</v>
      </c>
      <c r="U7035" s="22">
        <f t="shared" si="440"/>
        <v>0</v>
      </c>
      <c r="V7035">
        <f t="shared" si="441"/>
        <v>0</v>
      </c>
      <c r="W7035" s="22">
        <f t="shared" si="442"/>
        <v>0</v>
      </c>
    </row>
    <row r="7036" spans="1:23" hidden="1" x14ac:dyDescent="0.25">
      <c r="A7036" s="3">
        <v>46153</v>
      </c>
      <c r="B7036" s="46" t="s">
        <v>334</v>
      </c>
      <c r="C7036" s="4" t="s">
        <v>826</v>
      </c>
      <c r="D7036" s="4"/>
      <c r="E7036" s="4"/>
      <c r="F7036" s="46" t="s">
        <v>3380</v>
      </c>
      <c r="G7036" s="4" t="s">
        <v>336</v>
      </c>
      <c r="H7036" s="4" t="s">
        <v>289</v>
      </c>
      <c r="I7036" s="4">
        <v>1</v>
      </c>
      <c r="J7036" s="21">
        <v>120</v>
      </c>
      <c r="K7036" s="21">
        <v>0</v>
      </c>
      <c r="L7036" s="5">
        <v>0</v>
      </c>
      <c r="M7036" s="4"/>
      <c r="N7036" s="4"/>
      <c r="O7036" s="5"/>
      <c r="P7036" s="5"/>
      <c r="Q7036" s="21">
        <v>120</v>
      </c>
      <c r="R7036" s="21">
        <v>0</v>
      </c>
      <c r="S7036" s="5">
        <f t="shared" si="439"/>
        <v>31486.770812500294</v>
      </c>
      <c r="T7036" cm="1">
        <f t="array" ref="T7036">IF(OR(B7036="MAL ALIMI", B7036="ÜRETİM GİRİŞ"), MIN(I7036, MAX(0, I7036 + SUM(SUMIFS($I$1:I7035, $C$1:C7035, C7036, $B$1:B7035, {"MAL ALIMI","ÜRETİM GİRİŞ"})) - VLOOKUP(C7036, 'STOK RAPORU'!$C$2:$I$1000, 4, 0))), 0)</f>
        <v>0</v>
      </c>
      <c r="U7036" s="22">
        <f t="shared" si="440"/>
        <v>0</v>
      </c>
      <c r="V7036">
        <f t="shared" si="441"/>
        <v>0</v>
      </c>
      <c r="W7036" s="22">
        <f t="shared" si="442"/>
        <v>0</v>
      </c>
    </row>
    <row r="7037" spans="1:23" hidden="1" x14ac:dyDescent="0.25">
      <c r="A7037" s="3">
        <v>46153</v>
      </c>
      <c r="B7037" s="46" t="s">
        <v>334</v>
      </c>
      <c r="C7037" s="4" t="s">
        <v>2125</v>
      </c>
      <c r="D7037" s="4"/>
      <c r="E7037" s="4"/>
      <c r="F7037" s="46" t="s">
        <v>3380</v>
      </c>
      <c r="G7037" s="4" t="s">
        <v>336</v>
      </c>
      <c r="H7037" s="4" t="s">
        <v>289</v>
      </c>
      <c r="I7037" s="4">
        <v>1</v>
      </c>
      <c r="J7037" s="21">
        <v>370</v>
      </c>
      <c r="K7037" s="21">
        <v>0</v>
      </c>
      <c r="L7037" s="5">
        <v>0</v>
      </c>
      <c r="M7037" s="4"/>
      <c r="N7037" s="4"/>
      <c r="O7037" s="5"/>
      <c r="P7037" s="5"/>
      <c r="Q7037" s="21">
        <v>370</v>
      </c>
      <c r="R7037" s="21">
        <v>0</v>
      </c>
      <c r="S7037" s="5">
        <f t="shared" si="439"/>
        <v>31856.770812500294</v>
      </c>
      <c r="T7037" cm="1">
        <f t="array" ref="T7037">IF(OR(B7037="MAL ALIMI", B7037="ÜRETİM GİRİŞ"), MIN(I7037, MAX(0, I7037 + SUM(SUMIFS($I$1:I7036, $C$1:C7036, C7037, $B$1:B7036, {"MAL ALIMI","ÜRETİM GİRİŞ"})) - VLOOKUP(C7037, 'STOK RAPORU'!$C$2:$I$1000, 4, 0))), 0)</f>
        <v>0</v>
      </c>
      <c r="U7037" s="22">
        <f t="shared" si="440"/>
        <v>0</v>
      </c>
      <c r="V7037">
        <f t="shared" si="441"/>
        <v>0</v>
      </c>
      <c r="W7037" s="22">
        <f t="shared" si="442"/>
        <v>0</v>
      </c>
    </row>
    <row r="7038" spans="1:23" hidden="1" x14ac:dyDescent="0.25">
      <c r="A7038" s="3">
        <v>46153</v>
      </c>
      <c r="B7038" s="46" t="s">
        <v>334</v>
      </c>
      <c r="C7038" s="4" t="s">
        <v>3378</v>
      </c>
      <c r="D7038" s="4"/>
      <c r="E7038" s="4"/>
      <c r="F7038" s="46" t="s">
        <v>3380</v>
      </c>
      <c r="G7038" s="4" t="s">
        <v>336</v>
      </c>
      <c r="H7038" s="4" t="s">
        <v>289</v>
      </c>
      <c r="I7038" s="4">
        <v>2</v>
      </c>
      <c r="J7038" s="21">
        <v>100</v>
      </c>
      <c r="K7038" s="21">
        <v>0</v>
      </c>
      <c r="L7038" s="5">
        <v>0</v>
      </c>
      <c r="M7038" s="4"/>
      <c r="N7038" s="4"/>
      <c r="O7038" s="5"/>
      <c r="P7038" s="5"/>
      <c r="Q7038" s="21">
        <v>200</v>
      </c>
      <c r="R7038" s="21">
        <v>0</v>
      </c>
      <c r="S7038" s="5">
        <f t="shared" si="439"/>
        <v>32056.770812500294</v>
      </c>
      <c r="T7038" cm="1">
        <f t="array" ref="T7038">IF(OR(B7038="MAL ALIMI", B7038="ÜRETİM GİRİŞ"), MIN(I7038, MAX(0, I7038 + SUM(SUMIFS($I$1:I7037, $C$1:C7037, C7038, $B$1:B7037, {"MAL ALIMI","ÜRETİM GİRİŞ"})) - VLOOKUP(C7038, 'STOK RAPORU'!$C$2:$I$1000, 4, 0))), 0)</f>
        <v>0</v>
      </c>
      <c r="U7038" s="22">
        <f t="shared" si="440"/>
        <v>0</v>
      </c>
      <c r="V7038">
        <f t="shared" si="441"/>
        <v>0</v>
      </c>
      <c r="W7038" s="22">
        <f t="shared" si="442"/>
        <v>0</v>
      </c>
    </row>
    <row r="7039" spans="1:23" hidden="1" x14ac:dyDescent="0.25">
      <c r="A7039" s="41">
        <v>46153</v>
      </c>
      <c r="B7039" s="42" t="s">
        <v>334</v>
      </c>
      <c r="C7039" s="42" t="s">
        <v>2127</v>
      </c>
      <c r="D7039" s="42"/>
      <c r="E7039" s="42"/>
      <c r="F7039" s="42" t="s">
        <v>3384</v>
      </c>
      <c r="G7039" s="42" t="s">
        <v>3385</v>
      </c>
      <c r="H7039" s="42" t="s">
        <v>289</v>
      </c>
      <c r="I7039" s="42">
        <v>1.75</v>
      </c>
      <c r="J7039" s="43">
        <v>400</v>
      </c>
      <c r="K7039" s="44">
        <v>0</v>
      </c>
      <c r="L7039" s="44">
        <v>0</v>
      </c>
      <c r="M7039" s="42"/>
      <c r="N7039" s="42"/>
      <c r="O7039" s="44"/>
      <c r="P7039" s="44"/>
      <c r="Q7039" s="43">
        <v>700</v>
      </c>
      <c r="R7039" s="43">
        <v>0</v>
      </c>
      <c r="S7039" s="5">
        <f t="shared" si="439"/>
        <v>32756.770812500294</v>
      </c>
      <c r="T7039" cm="1">
        <f t="array" ref="T7039">IF(OR(B7039="MAL ALIMI", B7039="ÜRETİM GİRİŞ"), MIN(I7039, MAX(0, I7039 + SUM(SUMIFS($I$1:I7038, $C$1:C7038, C7039, $B$1:B7038, {"MAL ALIMI","ÜRETİM GİRİŞ"})) - VLOOKUP(C7039, 'STOK RAPORU'!$C$2:$I$1000, 4, 0))), 0)</f>
        <v>0</v>
      </c>
      <c r="U7039" s="22">
        <f t="shared" si="440"/>
        <v>0</v>
      </c>
      <c r="V7039">
        <f t="shared" si="441"/>
        <v>0</v>
      </c>
      <c r="W7039" s="22">
        <f t="shared" si="442"/>
        <v>0</v>
      </c>
    </row>
    <row r="7040" spans="1:23" hidden="1" x14ac:dyDescent="0.25">
      <c r="A7040" s="41">
        <v>46153</v>
      </c>
      <c r="B7040" s="42" t="s">
        <v>334</v>
      </c>
      <c r="C7040" s="42" t="s">
        <v>238</v>
      </c>
      <c r="D7040" s="42"/>
      <c r="E7040" s="42"/>
      <c r="F7040" s="42" t="s">
        <v>3384</v>
      </c>
      <c r="G7040" s="42" t="s">
        <v>3385</v>
      </c>
      <c r="H7040" s="42" t="s">
        <v>289</v>
      </c>
      <c r="I7040" s="42">
        <v>0.1</v>
      </c>
      <c r="J7040" s="43">
        <v>1000</v>
      </c>
      <c r="K7040" s="44">
        <v>0</v>
      </c>
      <c r="L7040" s="44">
        <v>0</v>
      </c>
      <c r="M7040" s="42"/>
      <c r="N7040" s="42"/>
      <c r="O7040" s="44"/>
      <c r="P7040" s="44"/>
      <c r="Q7040" s="43">
        <v>100</v>
      </c>
      <c r="R7040" s="43">
        <v>0</v>
      </c>
      <c r="S7040" s="5">
        <f t="shared" si="439"/>
        <v>32856.770812500297</v>
      </c>
      <c r="T7040" cm="1">
        <f t="array" ref="T7040">IF(OR(B7040="MAL ALIMI", B7040="ÜRETİM GİRİŞ"), MIN(I7040, MAX(0, I7040 + SUM(SUMIFS($I$1:I7039, $C$1:C7039, C7040, $B$1:B7039, {"MAL ALIMI","ÜRETİM GİRİŞ"})) - VLOOKUP(C7040, 'STOK RAPORU'!$C$2:$I$1000, 4, 0))), 0)</f>
        <v>0</v>
      </c>
      <c r="U7040" s="22">
        <f t="shared" si="440"/>
        <v>0</v>
      </c>
      <c r="V7040">
        <f t="shared" si="441"/>
        <v>0</v>
      </c>
      <c r="W7040" s="22">
        <f t="shared" si="442"/>
        <v>0</v>
      </c>
    </row>
    <row r="7041" spans="1:23" hidden="1" x14ac:dyDescent="0.25">
      <c r="A7041" s="41">
        <v>46153</v>
      </c>
      <c r="B7041" s="42" t="s">
        <v>334</v>
      </c>
      <c r="C7041" s="42" t="s">
        <v>693</v>
      </c>
      <c r="D7041" s="42"/>
      <c r="E7041" s="42"/>
      <c r="F7041" s="42" t="s">
        <v>3384</v>
      </c>
      <c r="G7041" s="42" t="s">
        <v>3385</v>
      </c>
      <c r="H7041" s="42" t="s">
        <v>289</v>
      </c>
      <c r="I7041" s="42">
        <v>0.25641025641025639</v>
      </c>
      <c r="J7041" s="43">
        <v>195</v>
      </c>
      <c r="K7041" s="44">
        <v>0</v>
      </c>
      <c r="L7041" s="44">
        <v>0</v>
      </c>
      <c r="M7041" s="42"/>
      <c r="N7041" s="42"/>
      <c r="O7041" s="44"/>
      <c r="P7041" s="44"/>
      <c r="Q7041" s="43">
        <v>50</v>
      </c>
      <c r="R7041" s="43">
        <v>0</v>
      </c>
      <c r="S7041" s="5">
        <f t="shared" si="439"/>
        <v>32906.770812500297</v>
      </c>
      <c r="T7041" cm="1">
        <f t="array" ref="T7041">IF(OR(B7041="MAL ALIMI", B7041="ÜRETİM GİRİŞ"), MIN(I7041, MAX(0, I7041 + SUM(SUMIFS($I$1:I7040, $C$1:C7040, C7041, $B$1:B7040, {"MAL ALIMI","ÜRETİM GİRİŞ"})) - VLOOKUP(C7041, 'STOK RAPORU'!$C$2:$I$1000, 4, 0))), 0)</f>
        <v>0</v>
      </c>
      <c r="U7041" s="22">
        <f t="shared" si="440"/>
        <v>0</v>
      </c>
      <c r="V7041">
        <f t="shared" si="441"/>
        <v>0</v>
      </c>
      <c r="W7041" s="22">
        <f t="shared" si="442"/>
        <v>0</v>
      </c>
    </row>
    <row r="7042" spans="1:23" hidden="1" x14ac:dyDescent="0.25">
      <c r="A7042" s="3">
        <v>46153</v>
      </c>
      <c r="B7042" s="46" t="s">
        <v>334</v>
      </c>
      <c r="C7042" s="4" t="s">
        <v>529</v>
      </c>
      <c r="D7042" s="4"/>
      <c r="E7042" s="4"/>
      <c r="F7042" s="46" t="s">
        <v>3386</v>
      </c>
      <c r="G7042" s="4" t="s">
        <v>336</v>
      </c>
      <c r="H7042" s="4" t="s">
        <v>289</v>
      </c>
      <c r="I7042" s="4">
        <v>0.15</v>
      </c>
      <c r="J7042" s="21">
        <v>600</v>
      </c>
      <c r="K7042" s="21">
        <v>0</v>
      </c>
      <c r="L7042" s="5">
        <v>0</v>
      </c>
      <c r="M7042" s="4"/>
      <c r="N7042" s="4"/>
      <c r="O7042" s="5"/>
      <c r="P7042" s="5"/>
      <c r="Q7042" s="21">
        <v>90</v>
      </c>
      <c r="R7042" s="21">
        <v>0</v>
      </c>
      <c r="S7042" s="5">
        <f t="shared" si="439"/>
        <v>32996.770812500297</v>
      </c>
      <c r="T7042" cm="1">
        <f t="array" ref="T7042">IF(OR(B7042="MAL ALIMI", B7042="ÜRETİM GİRİŞ"), MIN(I7042, MAX(0, I7042 + SUM(SUMIFS($I$1:I7041, $C$1:C7041, C7042, $B$1:B7041, {"MAL ALIMI","ÜRETİM GİRİŞ"})) - VLOOKUP(C7042, 'STOK RAPORU'!$C$2:$I$1000, 4, 0))), 0)</f>
        <v>0</v>
      </c>
      <c r="U7042" s="22">
        <f t="shared" si="440"/>
        <v>0</v>
      </c>
      <c r="V7042">
        <f t="shared" si="441"/>
        <v>0</v>
      </c>
      <c r="W7042" s="22">
        <f t="shared" si="442"/>
        <v>0</v>
      </c>
    </row>
    <row r="7043" spans="1:23" hidden="1" x14ac:dyDescent="0.25">
      <c r="A7043" s="3">
        <v>46153</v>
      </c>
      <c r="B7043" s="46" t="s">
        <v>334</v>
      </c>
      <c r="C7043" s="4" t="s">
        <v>523</v>
      </c>
      <c r="D7043" s="4"/>
      <c r="E7043" s="4"/>
      <c r="F7043" s="46" t="s">
        <v>3386</v>
      </c>
      <c r="G7043" s="4" t="s">
        <v>336</v>
      </c>
      <c r="H7043" s="4" t="s">
        <v>289</v>
      </c>
      <c r="I7043" s="4">
        <v>0.08</v>
      </c>
      <c r="J7043" s="21">
        <v>750</v>
      </c>
      <c r="K7043" s="21">
        <v>0</v>
      </c>
      <c r="L7043" s="5">
        <v>0</v>
      </c>
      <c r="M7043" s="4"/>
      <c r="N7043" s="4"/>
      <c r="O7043" s="5"/>
      <c r="P7043" s="5"/>
      <c r="Q7043" s="21">
        <v>60</v>
      </c>
      <c r="R7043" s="21">
        <v>0</v>
      </c>
      <c r="S7043" s="5">
        <f t="shared" si="439"/>
        <v>33056.770812500297</v>
      </c>
      <c r="T7043" cm="1">
        <f t="array" ref="T7043">IF(OR(B7043="MAL ALIMI", B7043="ÜRETİM GİRİŞ"), MIN(I7043, MAX(0, I7043 + SUM(SUMIFS($I$1:I7042, $C$1:C7042, C7043, $B$1:B7042, {"MAL ALIMI","ÜRETİM GİRİŞ"})) - VLOOKUP(C7043, 'STOK RAPORU'!$C$2:$I$1000, 4, 0))), 0)</f>
        <v>0</v>
      </c>
      <c r="U7043" s="22">
        <f t="shared" si="440"/>
        <v>0</v>
      </c>
      <c r="V7043">
        <f t="shared" si="441"/>
        <v>0</v>
      </c>
      <c r="W7043" s="22">
        <f t="shared" si="442"/>
        <v>0</v>
      </c>
    </row>
    <row r="7044" spans="1:23" hidden="1" x14ac:dyDescent="0.25">
      <c r="A7044" s="3">
        <v>46153</v>
      </c>
      <c r="B7044" s="46" t="s">
        <v>334</v>
      </c>
      <c r="C7044" s="4" t="s">
        <v>255</v>
      </c>
      <c r="D7044" s="4"/>
      <c r="E7044" s="4"/>
      <c r="F7044" s="46" t="s">
        <v>3387</v>
      </c>
      <c r="G7044" s="4" t="s">
        <v>336</v>
      </c>
      <c r="H7044" s="4" t="s">
        <v>289</v>
      </c>
      <c r="I7044" s="4">
        <v>1</v>
      </c>
      <c r="J7044" s="21">
        <v>220</v>
      </c>
      <c r="K7044" s="21">
        <v>0</v>
      </c>
      <c r="L7044" s="5">
        <v>0</v>
      </c>
      <c r="M7044" s="4"/>
      <c r="N7044" s="4"/>
      <c r="O7044" s="5"/>
      <c r="P7044" s="5"/>
      <c r="Q7044" s="21">
        <v>220</v>
      </c>
      <c r="R7044" s="21">
        <v>0</v>
      </c>
      <c r="S7044" s="5">
        <f t="shared" ref="S7044:S7107" si="443">S7043+Q7044-R7044</f>
        <v>33276.770812500297</v>
      </c>
      <c r="T7044" cm="1">
        <f t="array" ref="T7044">IF(OR(B7044="MAL ALIMI", B7044="ÜRETİM GİRİŞ"), MIN(I7044, MAX(0, I7044 + SUM(SUMIFS($I$1:I7043, $C$1:C7043, C7044, $B$1:B7043, {"MAL ALIMI","ÜRETİM GİRİŞ"})) - VLOOKUP(C7044, 'STOK RAPORU'!$C$2:$I$1000, 4, 0))), 0)</f>
        <v>0</v>
      </c>
      <c r="U7044" s="22">
        <f t="shared" si="440"/>
        <v>0</v>
      </c>
      <c r="V7044">
        <f t="shared" si="441"/>
        <v>0</v>
      </c>
      <c r="W7044" s="22">
        <f t="shared" si="442"/>
        <v>0</v>
      </c>
    </row>
    <row r="7045" spans="1:23" hidden="1" x14ac:dyDescent="0.25">
      <c r="A7045" s="3">
        <v>46153</v>
      </c>
      <c r="B7045" s="46" t="s">
        <v>334</v>
      </c>
      <c r="C7045" s="4" t="s">
        <v>255</v>
      </c>
      <c r="D7045" s="4"/>
      <c r="E7045" s="4" t="s">
        <v>921</v>
      </c>
      <c r="F7045" s="46" t="s">
        <v>3388</v>
      </c>
      <c r="G7045" s="4" t="s">
        <v>336</v>
      </c>
      <c r="H7045" s="4" t="s">
        <v>380</v>
      </c>
      <c r="I7045" s="4">
        <v>1</v>
      </c>
      <c r="J7045" s="21">
        <v>220</v>
      </c>
      <c r="K7045" s="21">
        <v>220</v>
      </c>
      <c r="L7045" s="5">
        <v>0</v>
      </c>
      <c r="M7045" s="4"/>
      <c r="N7045" s="4"/>
      <c r="O7045" s="5"/>
      <c r="P7045" s="5"/>
      <c r="Q7045" s="21">
        <v>0</v>
      </c>
      <c r="R7045" s="21">
        <v>0</v>
      </c>
      <c r="S7045" s="5">
        <f t="shared" si="443"/>
        <v>33276.770812500297</v>
      </c>
      <c r="T7045" cm="1">
        <f t="array" ref="T7045">IF(OR(B7045="MAL ALIMI", B7045="ÜRETİM GİRİŞ"), MIN(I7045, MAX(0, I7045 + SUM(SUMIFS($I$1:I7044, $C$1:C7044, C7045, $B$1:B7044, {"MAL ALIMI","ÜRETİM GİRİŞ"})) - VLOOKUP(C7045, 'STOK RAPORU'!$C$2:$I$1000, 4, 0))), 0)</f>
        <v>0</v>
      </c>
      <c r="U7045" s="22">
        <f t="shared" si="440"/>
        <v>0</v>
      </c>
      <c r="V7045">
        <f t="shared" si="441"/>
        <v>0</v>
      </c>
      <c r="W7045" s="22">
        <f t="shared" si="442"/>
        <v>0</v>
      </c>
    </row>
    <row r="7046" spans="1:23" hidden="1" x14ac:dyDescent="0.25">
      <c r="A7046" s="3">
        <v>46153</v>
      </c>
      <c r="B7046" s="46" t="s">
        <v>334</v>
      </c>
      <c r="C7046" s="4" t="s">
        <v>751</v>
      </c>
      <c r="D7046" s="4"/>
      <c r="E7046" s="4" t="s">
        <v>921</v>
      </c>
      <c r="F7046" s="46" t="s">
        <v>3388</v>
      </c>
      <c r="G7046" s="4" t="s">
        <v>336</v>
      </c>
      <c r="H7046" s="4" t="s">
        <v>380</v>
      </c>
      <c r="I7046" s="4">
        <v>1</v>
      </c>
      <c r="J7046" s="21">
        <v>250</v>
      </c>
      <c r="K7046" s="21">
        <v>250</v>
      </c>
      <c r="L7046" s="5">
        <v>0</v>
      </c>
      <c r="M7046" s="4"/>
      <c r="N7046" s="4"/>
      <c r="O7046" s="5"/>
      <c r="P7046" s="5"/>
      <c r="Q7046" s="21">
        <v>0</v>
      </c>
      <c r="R7046" s="21">
        <v>0</v>
      </c>
      <c r="S7046" s="5">
        <f t="shared" si="443"/>
        <v>33276.770812500297</v>
      </c>
      <c r="T7046" cm="1">
        <f t="array" ref="T7046">IF(OR(B7046="MAL ALIMI", B7046="ÜRETİM GİRİŞ"), MIN(I7046, MAX(0, I7046 + SUM(SUMIFS($I$1:I7045, $C$1:C7045, C7046, $B$1:B7045, {"MAL ALIMI","ÜRETİM GİRİŞ"})) - VLOOKUP(C7046, 'STOK RAPORU'!$C$2:$I$1000, 4, 0))), 0)</f>
        <v>0</v>
      </c>
      <c r="U7046" s="22">
        <f t="shared" si="440"/>
        <v>0</v>
      </c>
      <c r="V7046">
        <f t="shared" si="441"/>
        <v>0</v>
      </c>
      <c r="W7046" s="22">
        <f t="shared" si="442"/>
        <v>0</v>
      </c>
    </row>
    <row r="7047" spans="1:23" hidden="1" x14ac:dyDescent="0.25">
      <c r="A7047" s="3">
        <v>46153</v>
      </c>
      <c r="B7047" s="46" t="s">
        <v>334</v>
      </c>
      <c r="C7047" s="4" t="s">
        <v>463</v>
      </c>
      <c r="D7047" s="4"/>
      <c r="E7047" s="4"/>
      <c r="F7047" s="46" t="s">
        <v>3389</v>
      </c>
      <c r="G7047" s="4" t="s">
        <v>336</v>
      </c>
      <c r="H7047" s="4" t="s">
        <v>289</v>
      </c>
      <c r="I7047" s="4">
        <v>0.125</v>
      </c>
      <c r="J7047" s="21">
        <v>400</v>
      </c>
      <c r="K7047" s="21">
        <v>0</v>
      </c>
      <c r="L7047" s="5">
        <v>0</v>
      </c>
      <c r="M7047" s="4"/>
      <c r="N7047" s="4"/>
      <c r="O7047" s="5"/>
      <c r="P7047" s="5"/>
      <c r="Q7047" s="21">
        <v>50</v>
      </c>
      <c r="R7047" s="21">
        <v>0</v>
      </c>
      <c r="S7047" s="5">
        <f t="shared" si="443"/>
        <v>33326.770812500297</v>
      </c>
      <c r="T7047" cm="1">
        <f t="array" ref="T7047">IF(OR(B7047="MAL ALIMI", B7047="ÜRETİM GİRİŞ"), MIN(I7047, MAX(0, I7047 + SUM(SUMIFS($I$1:I7046, $C$1:C7046, C7047, $B$1:B7046, {"MAL ALIMI","ÜRETİM GİRİŞ"})) - VLOOKUP(C7047, 'STOK RAPORU'!$C$2:$I$1000, 4, 0))), 0)</f>
        <v>0</v>
      </c>
      <c r="U7047" s="22">
        <f t="shared" si="440"/>
        <v>0</v>
      </c>
      <c r="V7047">
        <f t="shared" si="441"/>
        <v>0</v>
      </c>
      <c r="W7047" s="22">
        <f t="shared" si="442"/>
        <v>0</v>
      </c>
    </row>
    <row r="7048" spans="1:23" hidden="1" x14ac:dyDescent="0.25">
      <c r="A7048" s="3">
        <v>46153</v>
      </c>
      <c r="B7048" s="46" t="s">
        <v>334</v>
      </c>
      <c r="C7048" s="4" t="s">
        <v>1395</v>
      </c>
      <c r="D7048" s="4"/>
      <c r="E7048" s="4" t="s">
        <v>921</v>
      </c>
      <c r="F7048" s="46" t="s">
        <v>3390</v>
      </c>
      <c r="G7048" s="4" t="s">
        <v>336</v>
      </c>
      <c r="H7048" s="4" t="s">
        <v>380</v>
      </c>
      <c r="I7048" s="4">
        <v>1</v>
      </c>
      <c r="J7048" s="21">
        <v>140</v>
      </c>
      <c r="K7048" s="21">
        <v>140</v>
      </c>
      <c r="L7048" s="5">
        <v>0</v>
      </c>
      <c r="M7048" s="4"/>
      <c r="N7048" s="4"/>
      <c r="O7048" s="5"/>
      <c r="P7048" s="5"/>
      <c r="Q7048" s="21">
        <v>0</v>
      </c>
      <c r="R7048" s="21">
        <v>0</v>
      </c>
      <c r="S7048" s="5">
        <f t="shared" si="443"/>
        <v>33326.770812500297</v>
      </c>
      <c r="T7048" cm="1">
        <f t="array" ref="T7048">IF(OR(B7048="MAL ALIMI", B7048="ÜRETİM GİRİŞ"), MIN(I7048, MAX(0, I7048 + SUM(SUMIFS($I$1:I7047, $C$1:C7047, C7048, $B$1:B7047, {"MAL ALIMI","ÜRETİM GİRİŞ"})) - VLOOKUP(C7048, 'STOK RAPORU'!$C$2:$I$1000, 4, 0))), 0)</f>
        <v>0</v>
      </c>
      <c r="U7048" s="22">
        <f t="shared" si="440"/>
        <v>0</v>
      </c>
      <c r="V7048">
        <f t="shared" si="441"/>
        <v>0</v>
      </c>
      <c r="W7048" s="22">
        <f t="shared" si="442"/>
        <v>0</v>
      </c>
    </row>
    <row r="7049" spans="1:23" hidden="1" x14ac:dyDescent="0.25">
      <c r="A7049" s="3">
        <v>46153</v>
      </c>
      <c r="B7049" s="46" t="s">
        <v>334</v>
      </c>
      <c r="C7049" s="4" t="s">
        <v>91</v>
      </c>
      <c r="D7049" s="4"/>
      <c r="E7049" s="4" t="s">
        <v>921</v>
      </c>
      <c r="F7049" s="46" t="s">
        <v>3390</v>
      </c>
      <c r="G7049" s="4" t="s">
        <v>336</v>
      </c>
      <c r="H7049" s="4" t="s">
        <v>380</v>
      </c>
      <c r="I7049" s="4">
        <v>3.6999999999999998E-2</v>
      </c>
      <c r="J7049" s="21">
        <v>850</v>
      </c>
      <c r="K7049" s="21">
        <v>31.45</v>
      </c>
      <c r="L7049" s="5">
        <v>0</v>
      </c>
      <c r="M7049" s="4"/>
      <c r="N7049" s="4"/>
      <c r="O7049" s="5"/>
      <c r="P7049" s="5"/>
      <c r="Q7049" s="21">
        <v>0</v>
      </c>
      <c r="R7049" s="21">
        <v>0</v>
      </c>
      <c r="S7049" s="5">
        <f t="shared" si="443"/>
        <v>33326.770812500297</v>
      </c>
      <c r="T7049" cm="1">
        <f t="array" ref="T7049">IF(OR(B7049="MAL ALIMI", B7049="ÜRETİM GİRİŞ"), MIN(I7049, MAX(0, I7049 + SUM(SUMIFS($I$1:I7048, $C$1:C7048, C7049, $B$1:B7048, {"MAL ALIMI","ÜRETİM GİRİŞ"})) - VLOOKUP(C7049, 'STOK RAPORU'!$C$2:$I$1000, 4, 0))), 0)</f>
        <v>0</v>
      </c>
      <c r="U7049" s="22">
        <f t="shared" si="440"/>
        <v>0</v>
      </c>
      <c r="V7049">
        <f t="shared" si="441"/>
        <v>0</v>
      </c>
      <c r="W7049" s="22">
        <f t="shared" si="442"/>
        <v>0</v>
      </c>
    </row>
    <row r="7050" spans="1:23" hidden="1" x14ac:dyDescent="0.25">
      <c r="A7050" s="3">
        <v>46153</v>
      </c>
      <c r="B7050" s="46" t="s">
        <v>334</v>
      </c>
      <c r="C7050" s="4" t="s">
        <v>129</v>
      </c>
      <c r="D7050" s="4"/>
      <c r="E7050" s="4" t="s">
        <v>921</v>
      </c>
      <c r="F7050" s="46" t="s">
        <v>3390</v>
      </c>
      <c r="G7050" s="4" t="s">
        <v>336</v>
      </c>
      <c r="H7050" s="4" t="s">
        <v>380</v>
      </c>
      <c r="I7050" s="4">
        <v>8.199999999999999E-2</v>
      </c>
      <c r="J7050" s="21">
        <v>400</v>
      </c>
      <c r="K7050" s="21">
        <v>32.799999999999997</v>
      </c>
      <c r="L7050" s="5">
        <v>0</v>
      </c>
      <c r="M7050" s="4"/>
      <c r="N7050" s="4"/>
      <c r="O7050" s="5"/>
      <c r="P7050" s="5"/>
      <c r="Q7050" s="21">
        <v>0</v>
      </c>
      <c r="R7050" s="21">
        <v>0</v>
      </c>
      <c r="S7050" s="5">
        <f t="shared" si="443"/>
        <v>33326.770812500297</v>
      </c>
      <c r="T7050" cm="1">
        <f t="array" ref="T7050">IF(OR(B7050="MAL ALIMI", B7050="ÜRETİM GİRİŞ"), MIN(I7050, MAX(0, I7050 + SUM(SUMIFS($I$1:I7049, $C$1:C7049, C7050, $B$1:B7049, {"MAL ALIMI","ÜRETİM GİRİŞ"})) - VLOOKUP(C7050, 'STOK RAPORU'!$C$2:$I$1000, 4, 0))), 0)</f>
        <v>0</v>
      </c>
      <c r="U7050" s="22">
        <f t="shared" si="440"/>
        <v>0</v>
      </c>
      <c r="V7050">
        <f t="shared" si="441"/>
        <v>0</v>
      </c>
      <c r="W7050" s="22">
        <f t="shared" si="442"/>
        <v>0</v>
      </c>
    </row>
    <row r="7051" spans="1:23" hidden="1" x14ac:dyDescent="0.25">
      <c r="A7051" s="3">
        <v>46153</v>
      </c>
      <c r="B7051" s="46" t="s">
        <v>334</v>
      </c>
      <c r="C7051" s="4" t="s">
        <v>977</v>
      </c>
      <c r="D7051" s="4"/>
      <c r="E7051" s="4"/>
      <c r="F7051" s="46" t="s">
        <v>3391</v>
      </c>
      <c r="G7051" s="4" t="s">
        <v>336</v>
      </c>
      <c r="H7051" s="4" t="s">
        <v>289</v>
      </c>
      <c r="I7051" s="4">
        <v>0.25</v>
      </c>
      <c r="J7051" s="21">
        <v>320</v>
      </c>
      <c r="K7051" s="21">
        <v>0</v>
      </c>
      <c r="L7051" s="5">
        <v>0</v>
      </c>
      <c r="M7051" s="4"/>
      <c r="N7051" s="4"/>
      <c r="O7051" s="5"/>
      <c r="P7051" s="5"/>
      <c r="Q7051" s="21">
        <v>80</v>
      </c>
      <c r="R7051" s="21">
        <v>0</v>
      </c>
      <c r="S7051" s="5">
        <f t="shared" si="443"/>
        <v>33406.770812500297</v>
      </c>
      <c r="T7051" cm="1">
        <f t="array" ref="T7051">IF(OR(B7051="MAL ALIMI", B7051="ÜRETİM GİRİŞ"), MIN(I7051, MAX(0, I7051 + SUM(SUMIFS($I$1:I7050, $C$1:C7050, C7051, $B$1:B7050, {"MAL ALIMI","ÜRETİM GİRİŞ"})) - VLOOKUP(C7051, 'STOK RAPORU'!$C$2:$I$1000, 4, 0))), 0)</f>
        <v>0</v>
      </c>
      <c r="U7051" s="22">
        <f t="shared" si="440"/>
        <v>0</v>
      </c>
      <c r="V7051">
        <f t="shared" si="441"/>
        <v>0</v>
      </c>
      <c r="W7051" s="22">
        <f t="shared" si="442"/>
        <v>0</v>
      </c>
    </row>
    <row r="7052" spans="1:23" hidden="1" x14ac:dyDescent="0.25">
      <c r="A7052" s="3">
        <v>46153</v>
      </c>
      <c r="B7052" s="46" t="s">
        <v>334</v>
      </c>
      <c r="C7052" s="4" t="s">
        <v>2520</v>
      </c>
      <c r="D7052" s="4"/>
      <c r="E7052" s="4"/>
      <c r="F7052" s="46" t="s">
        <v>3392</v>
      </c>
      <c r="G7052" s="4" t="s">
        <v>336</v>
      </c>
      <c r="H7052" s="4" t="s">
        <v>289</v>
      </c>
      <c r="I7052" s="4">
        <v>0.40909090909090912</v>
      </c>
      <c r="J7052" s="21">
        <v>490</v>
      </c>
      <c r="K7052" s="21">
        <v>0</v>
      </c>
      <c r="L7052" s="5">
        <v>0</v>
      </c>
      <c r="M7052" s="4"/>
      <c r="N7052" s="4"/>
      <c r="O7052" s="5"/>
      <c r="P7052" s="5"/>
      <c r="Q7052" s="21">
        <v>200.45454545454547</v>
      </c>
      <c r="R7052" s="21">
        <v>0</v>
      </c>
      <c r="S7052" s="5">
        <f t="shared" si="443"/>
        <v>33607.225357954841</v>
      </c>
      <c r="T7052" cm="1">
        <f t="array" ref="T7052">IF(OR(B7052="MAL ALIMI", B7052="ÜRETİM GİRİŞ"), MIN(I7052, MAX(0, I7052 + SUM(SUMIFS($I$1:I7051, $C$1:C7051, C7052, $B$1:B7051, {"MAL ALIMI","ÜRETİM GİRİŞ"})) - VLOOKUP(C7052, 'STOK RAPORU'!$C$2:$I$1000, 4, 0))), 0)</f>
        <v>0</v>
      </c>
      <c r="U7052" s="22">
        <f t="shared" si="440"/>
        <v>0</v>
      </c>
      <c r="V7052">
        <f t="shared" si="441"/>
        <v>0</v>
      </c>
      <c r="W7052" s="22">
        <f t="shared" si="442"/>
        <v>0</v>
      </c>
    </row>
    <row r="7053" spans="1:23" hidden="1" x14ac:dyDescent="0.25">
      <c r="A7053" s="3">
        <v>46153</v>
      </c>
      <c r="B7053" s="46" t="s">
        <v>334</v>
      </c>
      <c r="C7053" s="4" t="s">
        <v>830</v>
      </c>
      <c r="D7053" s="4"/>
      <c r="E7053" s="4" t="s">
        <v>921</v>
      </c>
      <c r="F7053" s="46" t="s">
        <v>3393</v>
      </c>
      <c r="G7053" s="4" t="s">
        <v>336</v>
      </c>
      <c r="H7053" s="4" t="s">
        <v>380</v>
      </c>
      <c r="I7053" s="4">
        <v>1</v>
      </c>
      <c r="J7053" s="21">
        <v>100</v>
      </c>
      <c r="K7053" s="21">
        <v>100</v>
      </c>
      <c r="L7053" s="5">
        <v>0</v>
      </c>
      <c r="M7053" s="4"/>
      <c r="N7053" s="4"/>
      <c r="O7053" s="5"/>
      <c r="P7053" s="5"/>
      <c r="Q7053" s="21">
        <v>0</v>
      </c>
      <c r="R7053" s="21">
        <v>0</v>
      </c>
      <c r="S7053" s="5">
        <f t="shared" si="443"/>
        <v>33607.225357954841</v>
      </c>
      <c r="T7053" cm="1">
        <f t="array" ref="T7053">IF(OR(B7053="MAL ALIMI", B7053="ÜRETİM GİRİŞ"), MIN(I7053, MAX(0, I7053 + SUM(SUMIFS($I$1:I7052, $C$1:C7052, C7053, $B$1:B7052, {"MAL ALIMI","ÜRETİM GİRİŞ"})) - VLOOKUP(C7053, 'STOK RAPORU'!$C$2:$I$1000, 4, 0))), 0)</f>
        <v>0</v>
      </c>
      <c r="U7053" s="22">
        <f t="shared" si="440"/>
        <v>0</v>
      </c>
      <c r="V7053">
        <f t="shared" si="441"/>
        <v>0</v>
      </c>
      <c r="W7053" s="22">
        <f t="shared" si="442"/>
        <v>0</v>
      </c>
    </row>
    <row r="7054" spans="1:23" hidden="1" x14ac:dyDescent="0.25">
      <c r="A7054" s="3">
        <v>46153</v>
      </c>
      <c r="B7054" s="46" t="s">
        <v>946</v>
      </c>
      <c r="C7054" s="4"/>
      <c r="D7054" s="4"/>
      <c r="E7054" s="4" t="s">
        <v>921</v>
      </c>
      <c r="F7054" s="4"/>
      <c r="G7054" s="4" t="s">
        <v>946</v>
      </c>
      <c r="H7054" s="4" t="s">
        <v>380</v>
      </c>
      <c r="I7054" s="4">
        <v>1</v>
      </c>
      <c r="J7054" s="21">
        <v>4</v>
      </c>
      <c r="K7054" s="21">
        <v>0</v>
      </c>
      <c r="L7054" s="5">
        <v>4</v>
      </c>
      <c r="M7054" s="4"/>
      <c r="N7054" s="4"/>
      <c r="O7054" s="5"/>
      <c r="P7054" s="5"/>
      <c r="Q7054" s="21">
        <v>4</v>
      </c>
      <c r="R7054" s="21">
        <v>0</v>
      </c>
      <c r="S7054" s="5">
        <f t="shared" si="443"/>
        <v>33611.225357954841</v>
      </c>
      <c r="T7054" cm="1">
        <f t="array" ref="T7054">IF(OR(B7054="MAL ALIMI", B7054="ÜRETİM GİRİŞ"), MIN(I7054, MAX(0, I7054 + SUM(SUMIFS($I$1:I7053, $C$1:C7053, C7054, $B$1:B7053, {"MAL ALIMI","ÜRETİM GİRİŞ"})) - VLOOKUP(C7054, 'STOK RAPORU'!$C$2:$I$1000, 4, 0))), 0)</f>
        <v>0</v>
      </c>
      <c r="U7054" s="22">
        <f t="shared" si="440"/>
        <v>0</v>
      </c>
      <c r="V7054">
        <f t="shared" si="441"/>
        <v>0</v>
      </c>
      <c r="W7054" s="22">
        <f t="shared" si="442"/>
        <v>0</v>
      </c>
    </row>
    <row r="7055" spans="1:23" hidden="1" x14ac:dyDescent="0.25">
      <c r="A7055" s="3">
        <v>46154</v>
      </c>
      <c r="B7055" s="46" t="s">
        <v>334</v>
      </c>
      <c r="C7055" s="4" t="s">
        <v>158</v>
      </c>
      <c r="D7055" s="4"/>
      <c r="E7055" s="4"/>
      <c r="F7055" s="46" t="s">
        <v>3394</v>
      </c>
      <c r="G7055" s="4" t="s">
        <v>336</v>
      </c>
      <c r="H7055" s="4" t="s">
        <v>289</v>
      </c>
      <c r="I7055" s="4">
        <v>1</v>
      </c>
      <c r="J7055" s="21">
        <v>150</v>
      </c>
      <c r="K7055" s="21">
        <v>0</v>
      </c>
      <c r="L7055" s="5">
        <v>0</v>
      </c>
      <c r="M7055" s="4"/>
      <c r="N7055" s="4"/>
      <c r="O7055" s="5"/>
      <c r="P7055" s="5"/>
      <c r="Q7055" s="21">
        <v>150</v>
      </c>
      <c r="R7055" s="21">
        <v>0</v>
      </c>
      <c r="S7055" s="5">
        <f t="shared" si="443"/>
        <v>33761.225357954841</v>
      </c>
      <c r="T7055" cm="1">
        <f t="array" ref="T7055">IF(OR(B7055="MAL ALIMI", B7055="ÜRETİM GİRİŞ"), MIN(I7055, MAX(0, I7055 + SUM(SUMIFS($I$1:I7054, $C$1:C7054, C7055, $B$1:B7054, {"MAL ALIMI","ÜRETİM GİRİŞ"})) - VLOOKUP(C7055, 'STOK RAPORU'!$C$2:$I$1000, 4, 0))), 0)</f>
        <v>0</v>
      </c>
      <c r="U7055" s="22">
        <f t="shared" si="440"/>
        <v>0</v>
      </c>
      <c r="V7055">
        <f t="shared" si="441"/>
        <v>0</v>
      </c>
      <c r="W7055" s="22">
        <f t="shared" si="442"/>
        <v>0</v>
      </c>
    </row>
    <row r="7056" spans="1:23" hidden="1" x14ac:dyDescent="0.25">
      <c r="A7056" s="3">
        <v>46154</v>
      </c>
      <c r="B7056" s="46" t="s">
        <v>334</v>
      </c>
      <c r="C7056" s="4" t="s">
        <v>157</v>
      </c>
      <c r="D7056" s="4"/>
      <c r="E7056" s="4"/>
      <c r="F7056" s="46" t="s">
        <v>3394</v>
      </c>
      <c r="G7056" s="4" t="s">
        <v>336</v>
      </c>
      <c r="H7056" s="4" t="s">
        <v>289</v>
      </c>
      <c r="I7056" s="4">
        <v>1</v>
      </c>
      <c r="J7056" s="21">
        <v>200</v>
      </c>
      <c r="K7056" s="21">
        <v>0</v>
      </c>
      <c r="L7056" s="5">
        <v>0</v>
      </c>
      <c r="M7056" s="4"/>
      <c r="N7056" s="4"/>
      <c r="O7056" s="5"/>
      <c r="P7056" s="5"/>
      <c r="Q7056" s="21">
        <v>200</v>
      </c>
      <c r="R7056" s="21">
        <v>0</v>
      </c>
      <c r="S7056" s="5">
        <f t="shared" si="443"/>
        <v>33961.225357954841</v>
      </c>
      <c r="T7056" cm="1">
        <f t="array" ref="T7056">IF(OR(B7056="MAL ALIMI", B7056="ÜRETİM GİRİŞ"), MIN(I7056, MAX(0, I7056 + SUM(SUMIFS($I$1:I7055, $C$1:C7055, C7056, $B$1:B7055, {"MAL ALIMI","ÜRETİM GİRİŞ"})) - VLOOKUP(C7056, 'STOK RAPORU'!$C$2:$I$1000, 4, 0))), 0)</f>
        <v>0</v>
      </c>
      <c r="U7056" s="22">
        <f t="shared" si="440"/>
        <v>0</v>
      </c>
      <c r="V7056">
        <f t="shared" si="441"/>
        <v>0</v>
      </c>
      <c r="W7056" s="22">
        <f t="shared" si="442"/>
        <v>0</v>
      </c>
    </row>
    <row r="7057" spans="1:23" hidden="1" x14ac:dyDescent="0.25">
      <c r="A7057" s="3">
        <v>46154</v>
      </c>
      <c r="B7057" s="46" t="s">
        <v>334</v>
      </c>
      <c r="C7057" s="4" t="s">
        <v>530</v>
      </c>
      <c r="D7057" s="4"/>
      <c r="E7057" s="4" t="s">
        <v>921</v>
      </c>
      <c r="F7057" s="46" t="s">
        <v>3395</v>
      </c>
      <c r="G7057" s="4" t="s">
        <v>336</v>
      </c>
      <c r="H7057" s="4" t="s">
        <v>380</v>
      </c>
      <c r="I7057" s="4">
        <v>0.5</v>
      </c>
      <c r="J7057" s="21">
        <v>300</v>
      </c>
      <c r="K7057" s="21">
        <v>150</v>
      </c>
      <c r="L7057" s="5">
        <v>0</v>
      </c>
      <c r="M7057" s="4"/>
      <c r="N7057" s="4"/>
      <c r="O7057" s="5"/>
      <c r="P7057" s="5"/>
      <c r="Q7057" s="21">
        <v>0</v>
      </c>
      <c r="R7057" s="21">
        <v>0</v>
      </c>
      <c r="S7057" s="5">
        <f t="shared" si="443"/>
        <v>33961.225357954841</v>
      </c>
      <c r="T7057" cm="1">
        <f t="array" ref="T7057">IF(OR(B7057="MAL ALIMI", B7057="ÜRETİM GİRİŞ"), MIN(I7057, MAX(0, I7057 + SUM(SUMIFS($I$1:I7056, $C$1:C7056, C7057, $B$1:B7056, {"MAL ALIMI","ÜRETİM GİRİŞ"})) - VLOOKUP(C7057, 'STOK RAPORU'!$C$2:$I$1000, 4, 0))), 0)</f>
        <v>0</v>
      </c>
      <c r="U7057" s="22">
        <f t="shared" si="440"/>
        <v>0</v>
      </c>
      <c r="V7057">
        <f t="shared" si="441"/>
        <v>0</v>
      </c>
      <c r="W7057" s="22">
        <f t="shared" si="442"/>
        <v>0</v>
      </c>
    </row>
    <row r="7058" spans="1:23" hidden="1" x14ac:dyDescent="0.25">
      <c r="A7058" s="3">
        <v>46154</v>
      </c>
      <c r="B7058" s="46" t="s">
        <v>334</v>
      </c>
      <c r="C7058" s="4" t="s">
        <v>133</v>
      </c>
      <c r="D7058" s="4"/>
      <c r="E7058" s="4"/>
      <c r="F7058" s="46" t="s">
        <v>3396</v>
      </c>
      <c r="G7058" s="4" t="s">
        <v>336</v>
      </c>
      <c r="H7058" s="4" t="s">
        <v>289</v>
      </c>
      <c r="I7058" s="4">
        <v>0.3</v>
      </c>
      <c r="J7058" s="21">
        <v>400</v>
      </c>
      <c r="K7058" s="21">
        <v>0</v>
      </c>
      <c r="L7058" s="5">
        <v>0</v>
      </c>
      <c r="M7058" s="4"/>
      <c r="N7058" s="4"/>
      <c r="O7058" s="5"/>
      <c r="P7058" s="5"/>
      <c r="Q7058" s="21">
        <v>120</v>
      </c>
      <c r="R7058" s="21">
        <v>0</v>
      </c>
      <c r="S7058" s="5">
        <f t="shared" si="443"/>
        <v>34081.225357954841</v>
      </c>
      <c r="T7058" cm="1">
        <f t="array" ref="T7058">IF(OR(B7058="MAL ALIMI", B7058="ÜRETİM GİRİŞ"), MIN(I7058, MAX(0, I7058 + SUM(SUMIFS($I$1:I7057, $C$1:C7057, C7058, $B$1:B7057, {"MAL ALIMI","ÜRETİM GİRİŞ"})) - VLOOKUP(C7058, 'STOK RAPORU'!$C$2:$I$1000, 4, 0))), 0)</f>
        <v>0</v>
      </c>
      <c r="U7058" s="22">
        <f t="shared" si="440"/>
        <v>0</v>
      </c>
      <c r="V7058">
        <f t="shared" si="441"/>
        <v>0</v>
      </c>
      <c r="W7058" s="22">
        <f t="shared" si="442"/>
        <v>0</v>
      </c>
    </row>
    <row r="7059" spans="1:23" hidden="1" x14ac:dyDescent="0.25">
      <c r="A7059" s="3">
        <v>46154</v>
      </c>
      <c r="B7059" s="46" t="s">
        <v>334</v>
      </c>
      <c r="C7059" s="4" t="s">
        <v>131</v>
      </c>
      <c r="D7059" s="4"/>
      <c r="E7059" s="4"/>
      <c r="F7059" s="46" t="s">
        <v>3396</v>
      </c>
      <c r="G7059" s="4" t="s">
        <v>336</v>
      </c>
      <c r="H7059" s="4" t="s">
        <v>289</v>
      </c>
      <c r="I7059" s="4">
        <v>7.4999999999999997E-2</v>
      </c>
      <c r="J7059" s="21">
        <v>400</v>
      </c>
      <c r="K7059" s="21">
        <v>0</v>
      </c>
      <c r="L7059" s="5">
        <v>0</v>
      </c>
      <c r="M7059" s="4"/>
      <c r="N7059" s="4"/>
      <c r="O7059" s="5"/>
      <c r="P7059" s="5"/>
      <c r="Q7059" s="21">
        <v>30</v>
      </c>
      <c r="R7059" s="21">
        <v>0</v>
      </c>
      <c r="S7059" s="5">
        <f t="shared" si="443"/>
        <v>34111.225357954841</v>
      </c>
      <c r="T7059" cm="1">
        <f t="array" ref="T7059">IF(OR(B7059="MAL ALIMI", B7059="ÜRETİM GİRİŞ"), MIN(I7059, MAX(0, I7059 + SUM(SUMIFS($I$1:I7058, $C$1:C7058, C7059, $B$1:B7058, {"MAL ALIMI","ÜRETİM GİRİŞ"})) - VLOOKUP(C7059, 'STOK RAPORU'!$C$2:$I$1000, 4, 0))), 0)</f>
        <v>0</v>
      </c>
      <c r="U7059" s="22">
        <f t="shared" si="440"/>
        <v>0</v>
      </c>
      <c r="V7059">
        <f t="shared" si="441"/>
        <v>0</v>
      </c>
      <c r="W7059" s="22">
        <f t="shared" si="442"/>
        <v>0</v>
      </c>
    </row>
    <row r="7060" spans="1:23" hidden="1" x14ac:dyDescent="0.25">
      <c r="A7060" s="3">
        <v>46154</v>
      </c>
      <c r="B7060" s="46" t="s">
        <v>334</v>
      </c>
      <c r="C7060" s="4" t="s">
        <v>129</v>
      </c>
      <c r="D7060" s="4"/>
      <c r="E7060" s="4"/>
      <c r="F7060" s="46" t="s">
        <v>3397</v>
      </c>
      <c r="G7060" s="4" t="s">
        <v>336</v>
      </c>
      <c r="H7060" s="4" t="s">
        <v>289</v>
      </c>
      <c r="I7060" s="4">
        <v>0.125</v>
      </c>
      <c r="J7060" s="21">
        <v>400</v>
      </c>
      <c r="K7060" s="21">
        <v>0</v>
      </c>
      <c r="L7060" s="5">
        <v>0</v>
      </c>
      <c r="M7060" s="4"/>
      <c r="N7060" s="4"/>
      <c r="O7060" s="5"/>
      <c r="P7060" s="5"/>
      <c r="Q7060" s="21">
        <v>50</v>
      </c>
      <c r="R7060" s="21">
        <v>0</v>
      </c>
      <c r="S7060" s="5">
        <f t="shared" si="443"/>
        <v>34161.225357954841</v>
      </c>
      <c r="T7060" cm="1">
        <f t="array" ref="T7060">IF(OR(B7060="MAL ALIMI", B7060="ÜRETİM GİRİŞ"), MIN(I7060, MAX(0, I7060 + SUM(SUMIFS($I$1:I7059, $C$1:C7059, C7060, $B$1:B7059, {"MAL ALIMI","ÜRETİM GİRİŞ"})) - VLOOKUP(C7060, 'STOK RAPORU'!$C$2:$I$1000, 4, 0))), 0)</f>
        <v>0</v>
      </c>
      <c r="U7060" s="22">
        <f t="shared" si="440"/>
        <v>0</v>
      </c>
      <c r="V7060">
        <f t="shared" si="441"/>
        <v>0</v>
      </c>
      <c r="W7060" s="22">
        <f t="shared" si="442"/>
        <v>0</v>
      </c>
    </row>
    <row r="7061" spans="1:23" hidden="1" x14ac:dyDescent="0.25">
      <c r="A7061" s="3">
        <v>46154</v>
      </c>
      <c r="B7061" s="46" t="s">
        <v>334</v>
      </c>
      <c r="C7061" s="4" t="s">
        <v>156</v>
      </c>
      <c r="D7061" s="4"/>
      <c r="E7061" s="4" t="s">
        <v>921</v>
      </c>
      <c r="F7061" s="46" t="s">
        <v>3398</v>
      </c>
      <c r="G7061" s="4" t="s">
        <v>336</v>
      </c>
      <c r="H7061" s="4" t="s">
        <v>380</v>
      </c>
      <c r="I7061" s="4">
        <v>0.5</v>
      </c>
      <c r="J7061" s="21">
        <v>200</v>
      </c>
      <c r="K7061" s="21">
        <v>100</v>
      </c>
      <c r="L7061" s="5">
        <v>0</v>
      </c>
      <c r="M7061" s="4"/>
      <c r="N7061" s="4"/>
      <c r="O7061" s="5"/>
      <c r="P7061" s="5"/>
      <c r="Q7061" s="21">
        <v>0</v>
      </c>
      <c r="R7061" s="21">
        <v>0</v>
      </c>
      <c r="S7061" s="5">
        <f t="shared" si="443"/>
        <v>34161.225357954841</v>
      </c>
      <c r="T7061" cm="1">
        <f t="array" ref="T7061">IF(OR(B7061="MAL ALIMI", B7061="ÜRETİM GİRİŞ"), MIN(I7061, MAX(0, I7061 + SUM(SUMIFS($I$1:I7060, $C$1:C7060, C7061, $B$1:B7060, {"MAL ALIMI","ÜRETİM GİRİŞ"})) - VLOOKUP(C7061, 'STOK RAPORU'!$C$2:$I$1000, 4, 0))), 0)</f>
        <v>0</v>
      </c>
      <c r="U7061" s="22">
        <f t="shared" si="440"/>
        <v>0</v>
      </c>
      <c r="V7061">
        <f t="shared" si="441"/>
        <v>0</v>
      </c>
      <c r="W7061" s="22">
        <f t="shared" si="442"/>
        <v>0</v>
      </c>
    </row>
    <row r="7062" spans="1:23" hidden="1" x14ac:dyDescent="0.25">
      <c r="A7062" s="3">
        <v>46154</v>
      </c>
      <c r="B7062" s="46" t="s">
        <v>334</v>
      </c>
      <c r="C7062" s="4" t="s">
        <v>157</v>
      </c>
      <c r="D7062" s="4"/>
      <c r="E7062" s="4" t="s">
        <v>921</v>
      </c>
      <c r="F7062" s="46" t="s">
        <v>3398</v>
      </c>
      <c r="G7062" s="4" t="s">
        <v>336</v>
      </c>
      <c r="H7062" s="4" t="s">
        <v>380</v>
      </c>
      <c r="I7062" s="4">
        <v>0.5</v>
      </c>
      <c r="J7062" s="21">
        <v>200</v>
      </c>
      <c r="K7062" s="21">
        <v>100</v>
      </c>
      <c r="L7062" s="5">
        <v>0</v>
      </c>
      <c r="M7062" s="4"/>
      <c r="N7062" s="4"/>
      <c r="O7062" s="5"/>
      <c r="P7062" s="5"/>
      <c r="Q7062" s="21">
        <v>0</v>
      </c>
      <c r="R7062" s="21">
        <v>0</v>
      </c>
      <c r="S7062" s="5">
        <f t="shared" si="443"/>
        <v>34161.225357954841</v>
      </c>
      <c r="T7062" cm="1">
        <f t="array" ref="T7062">IF(OR(B7062="MAL ALIMI", B7062="ÜRETİM GİRİŞ"), MIN(I7062, MAX(0, I7062 + SUM(SUMIFS($I$1:I7061, $C$1:C7061, C7062, $B$1:B7061, {"MAL ALIMI","ÜRETİM GİRİŞ"})) - VLOOKUP(C7062, 'STOK RAPORU'!$C$2:$I$1000, 4, 0))), 0)</f>
        <v>0</v>
      </c>
      <c r="U7062" s="22">
        <f t="shared" si="440"/>
        <v>0</v>
      </c>
      <c r="V7062">
        <f t="shared" si="441"/>
        <v>0</v>
      </c>
      <c r="W7062" s="22">
        <f t="shared" si="442"/>
        <v>0</v>
      </c>
    </row>
    <row r="7063" spans="1:23" hidden="1" x14ac:dyDescent="0.25">
      <c r="A7063" s="3">
        <v>46154</v>
      </c>
      <c r="B7063" s="46" t="s">
        <v>334</v>
      </c>
      <c r="C7063" s="4" t="s">
        <v>193</v>
      </c>
      <c r="D7063" s="4"/>
      <c r="E7063" s="4"/>
      <c r="F7063" s="46" t="s">
        <v>3399</v>
      </c>
      <c r="G7063" s="4" t="s">
        <v>336</v>
      </c>
      <c r="H7063" s="4" t="s">
        <v>289</v>
      </c>
      <c r="I7063" s="4">
        <v>0.1</v>
      </c>
      <c r="J7063" s="21">
        <v>900</v>
      </c>
      <c r="K7063" s="21">
        <v>0</v>
      </c>
      <c r="L7063" s="5">
        <v>0</v>
      </c>
      <c r="M7063" s="4"/>
      <c r="N7063" s="4"/>
      <c r="O7063" s="5"/>
      <c r="P7063" s="5"/>
      <c r="Q7063" s="21">
        <v>90</v>
      </c>
      <c r="R7063" s="21">
        <v>0</v>
      </c>
      <c r="S7063" s="5">
        <f t="shared" si="443"/>
        <v>34251.225357954841</v>
      </c>
      <c r="T7063" cm="1">
        <f t="array" ref="T7063">IF(OR(B7063="MAL ALIMI", B7063="ÜRETİM GİRİŞ"), MIN(I7063, MAX(0, I7063 + SUM(SUMIFS($I$1:I7062, $C$1:C7062, C7063, $B$1:B7062, {"MAL ALIMI","ÜRETİM GİRİŞ"})) - VLOOKUP(C7063, 'STOK RAPORU'!$C$2:$I$1000, 4, 0))), 0)</f>
        <v>0</v>
      </c>
      <c r="U7063" s="22">
        <f t="shared" si="440"/>
        <v>0</v>
      </c>
      <c r="V7063">
        <f t="shared" si="441"/>
        <v>0</v>
      </c>
      <c r="W7063" s="22">
        <f t="shared" si="442"/>
        <v>0</v>
      </c>
    </row>
    <row r="7064" spans="1:23" hidden="1" x14ac:dyDescent="0.25">
      <c r="A7064" s="3">
        <v>46154</v>
      </c>
      <c r="B7064" s="46" t="s">
        <v>334</v>
      </c>
      <c r="C7064" s="4" t="s">
        <v>131</v>
      </c>
      <c r="D7064" s="4"/>
      <c r="E7064" s="4"/>
      <c r="F7064" s="46" t="s">
        <v>3399</v>
      </c>
      <c r="G7064" s="4" t="s">
        <v>336</v>
      </c>
      <c r="H7064" s="4" t="s">
        <v>289</v>
      </c>
      <c r="I7064" s="4">
        <v>0.1</v>
      </c>
      <c r="J7064" s="21">
        <v>400</v>
      </c>
      <c r="K7064" s="21">
        <v>0</v>
      </c>
      <c r="L7064" s="5">
        <v>0</v>
      </c>
      <c r="M7064" s="4"/>
      <c r="N7064" s="4"/>
      <c r="O7064" s="5"/>
      <c r="P7064" s="5"/>
      <c r="Q7064" s="21">
        <v>40</v>
      </c>
      <c r="R7064" s="21">
        <v>0</v>
      </c>
      <c r="S7064" s="5">
        <f t="shared" si="443"/>
        <v>34291.225357954841</v>
      </c>
      <c r="T7064" cm="1">
        <f t="array" ref="T7064">IF(OR(B7064="MAL ALIMI", B7064="ÜRETİM GİRİŞ"), MIN(I7064, MAX(0, I7064 + SUM(SUMIFS($I$1:I7063, $C$1:C7063, C7064, $B$1:B7063, {"MAL ALIMI","ÜRETİM GİRİŞ"})) - VLOOKUP(C7064, 'STOK RAPORU'!$C$2:$I$1000, 4, 0))), 0)</f>
        <v>0</v>
      </c>
      <c r="U7064" s="22">
        <f t="shared" si="440"/>
        <v>0</v>
      </c>
      <c r="V7064">
        <f t="shared" si="441"/>
        <v>0</v>
      </c>
      <c r="W7064" s="22">
        <f t="shared" si="442"/>
        <v>0</v>
      </c>
    </row>
    <row r="7065" spans="1:23" hidden="1" x14ac:dyDescent="0.25">
      <c r="A7065" s="3">
        <v>46154</v>
      </c>
      <c r="B7065" s="46" t="s">
        <v>334</v>
      </c>
      <c r="C7065" s="4" t="s">
        <v>270</v>
      </c>
      <c r="D7065" s="4"/>
      <c r="E7065" s="4" t="s">
        <v>921</v>
      </c>
      <c r="F7065" s="46" t="s">
        <v>3400</v>
      </c>
      <c r="G7065" s="4" t="s">
        <v>336</v>
      </c>
      <c r="H7065" s="4" t="s">
        <v>380</v>
      </c>
      <c r="I7065" s="4">
        <v>1</v>
      </c>
      <c r="J7065" s="21">
        <v>165</v>
      </c>
      <c r="K7065" s="21">
        <v>165</v>
      </c>
      <c r="L7065" s="5">
        <v>0</v>
      </c>
      <c r="M7065" s="4"/>
      <c r="N7065" s="4"/>
      <c r="O7065" s="5"/>
      <c r="P7065" s="5"/>
      <c r="Q7065" s="21">
        <v>0</v>
      </c>
      <c r="R7065" s="21">
        <v>0</v>
      </c>
      <c r="S7065" s="5">
        <f t="shared" si="443"/>
        <v>34291.225357954841</v>
      </c>
      <c r="T7065" cm="1">
        <f t="array" ref="T7065">IF(OR(B7065="MAL ALIMI", B7065="ÜRETİM GİRİŞ"), MIN(I7065, MAX(0, I7065 + SUM(SUMIFS($I$1:I7064, $C$1:C7064, C7065, $B$1:B7064, {"MAL ALIMI","ÜRETİM GİRİŞ"})) - VLOOKUP(C7065, 'STOK RAPORU'!$C$2:$I$1000, 4, 0))), 0)</f>
        <v>0</v>
      </c>
      <c r="U7065" s="22">
        <f t="shared" si="440"/>
        <v>0</v>
      </c>
      <c r="V7065">
        <f t="shared" si="441"/>
        <v>0</v>
      </c>
      <c r="W7065" s="22">
        <f t="shared" si="442"/>
        <v>0</v>
      </c>
    </row>
    <row r="7066" spans="1:23" hidden="1" x14ac:dyDescent="0.25">
      <c r="A7066" s="3">
        <v>46154</v>
      </c>
      <c r="B7066" s="46" t="s">
        <v>334</v>
      </c>
      <c r="C7066" s="4" t="s">
        <v>2117</v>
      </c>
      <c r="D7066" s="4"/>
      <c r="E7066" s="4"/>
      <c r="F7066" s="46" t="s">
        <v>3401</v>
      </c>
      <c r="G7066" s="4" t="s">
        <v>336</v>
      </c>
      <c r="H7066" s="4" t="s">
        <v>289</v>
      </c>
      <c r="I7066" s="4">
        <v>3</v>
      </c>
      <c r="J7066" s="21">
        <v>30</v>
      </c>
      <c r="K7066" s="21">
        <v>0</v>
      </c>
      <c r="L7066" s="5">
        <v>0</v>
      </c>
      <c r="M7066" s="4"/>
      <c r="N7066" s="4"/>
      <c r="O7066" s="5"/>
      <c r="P7066" s="5"/>
      <c r="Q7066" s="21">
        <v>90</v>
      </c>
      <c r="R7066" s="21">
        <v>0</v>
      </c>
      <c r="S7066" s="5">
        <f t="shared" si="443"/>
        <v>34381.225357954841</v>
      </c>
      <c r="T7066" cm="1">
        <f t="array" ref="T7066">IF(OR(B7066="MAL ALIMI", B7066="ÜRETİM GİRİŞ"), MIN(I7066, MAX(0, I7066 + SUM(SUMIFS($I$1:I7065, $C$1:C7065, C7066, $B$1:B7065, {"MAL ALIMI","ÜRETİM GİRİŞ"})) - VLOOKUP(C7066, 'STOK RAPORU'!$C$2:$I$1000, 4, 0))), 0)</f>
        <v>0</v>
      </c>
      <c r="U7066" s="22">
        <f t="shared" si="440"/>
        <v>0</v>
      </c>
      <c r="V7066">
        <f t="shared" si="441"/>
        <v>0</v>
      </c>
      <c r="W7066" s="22">
        <f t="shared" si="442"/>
        <v>0</v>
      </c>
    </row>
    <row r="7067" spans="1:23" hidden="1" x14ac:dyDescent="0.25">
      <c r="A7067" s="3">
        <v>46154</v>
      </c>
      <c r="B7067" s="46" t="s">
        <v>334</v>
      </c>
      <c r="C7067" s="4" t="s">
        <v>98</v>
      </c>
      <c r="D7067" s="4"/>
      <c r="E7067" s="4"/>
      <c r="F7067" s="46" t="s">
        <v>3402</v>
      </c>
      <c r="G7067" s="4" t="s">
        <v>336</v>
      </c>
      <c r="H7067" s="4" t="s">
        <v>289</v>
      </c>
      <c r="I7067" s="4">
        <v>6.7500000000000004E-2</v>
      </c>
      <c r="J7067" s="21">
        <v>400</v>
      </c>
      <c r="K7067" s="21">
        <v>0</v>
      </c>
      <c r="L7067" s="5">
        <v>0</v>
      </c>
      <c r="M7067" s="4"/>
      <c r="N7067" s="4"/>
      <c r="O7067" s="5"/>
      <c r="P7067" s="5"/>
      <c r="Q7067" s="21">
        <v>27</v>
      </c>
      <c r="R7067" s="21">
        <v>0</v>
      </c>
      <c r="S7067" s="5">
        <f t="shared" si="443"/>
        <v>34408.225357954841</v>
      </c>
      <c r="T7067" cm="1">
        <f t="array" ref="T7067">IF(OR(B7067="MAL ALIMI", B7067="ÜRETİM GİRİŞ"), MIN(I7067, MAX(0, I7067 + SUM(SUMIFS($I$1:I7066, $C$1:C7066, C7067, $B$1:B7066, {"MAL ALIMI","ÜRETİM GİRİŞ"})) - VLOOKUP(C7067, 'STOK RAPORU'!$C$2:$I$1000, 4, 0))), 0)</f>
        <v>0</v>
      </c>
      <c r="U7067" s="22">
        <f t="shared" si="440"/>
        <v>0</v>
      </c>
      <c r="V7067">
        <f t="shared" si="441"/>
        <v>0</v>
      </c>
      <c r="W7067" s="22">
        <f t="shared" si="442"/>
        <v>0</v>
      </c>
    </row>
    <row r="7068" spans="1:23" hidden="1" x14ac:dyDescent="0.25">
      <c r="A7068" s="3">
        <v>46154</v>
      </c>
      <c r="B7068" s="46" t="s">
        <v>334</v>
      </c>
      <c r="C7068" s="4" t="s">
        <v>192</v>
      </c>
      <c r="D7068" s="4"/>
      <c r="E7068" s="4"/>
      <c r="F7068" s="46" t="s">
        <v>3403</v>
      </c>
      <c r="G7068" s="4" t="s">
        <v>336</v>
      </c>
      <c r="H7068" s="4" t="s">
        <v>289</v>
      </c>
      <c r="I7068" s="4">
        <v>0.12</v>
      </c>
      <c r="J7068" s="21">
        <v>417</v>
      </c>
      <c r="K7068" s="21">
        <v>0</v>
      </c>
      <c r="L7068" s="5">
        <v>0</v>
      </c>
      <c r="M7068" s="4"/>
      <c r="N7068" s="4"/>
      <c r="O7068" s="5"/>
      <c r="P7068" s="5"/>
      <c r="Q7068" s="21">
        <v>50.04</v>
      </c>
      <c r="R7068" s="21">
        <v>0</v>
      </c>
      <c r="S7068" s="5">
        <f t="shared" si="443"/>
        <v>34458.265357954842</v>
      </c>
      <c r="T7068" cm="1">
        <f t="array" ref="T7068">IF(OR(B7068="MAL ALIMI", B7068="ÜRETİM GİRİŞ"), MIN(I7068, MAX(0, I7068 + SUM(SUMIFS($I$1:I7067, $C$1:C7067, C7068, $B$1:B7067, {"MAL ALIMI","ÜRETİM GİRİŞ"})) - VLOOKUP(C7068, 'STOK RAPORU'!$C$2:$I$1000, 4, 0))), 0)</f>
        <v>0</v>
      </c>
      <c r="U7068" s="22">
        <f t="shared" si="440"/>
        <v>0</v>
      </c>
      <c r="V7068">
        <f t="shared" si="441"/>
        <v>0</v>
      </c>
      <c r="W7068" s="22">
        <f t="shared" si="442"/>
        <v>0</v>
      </c>
    </row>
    <row r="7069" spans="1:23" hidden="1" x14ac:dyDescent="0.25">
      <c r="A7069" s="3">
        <v>46154</v>
      </c>
      <c r="B7069" s="46" t="s">
        <v>334</v>
      </c>
      <c r="C7069" s="4" t="s">
        <v>720</v>
      </c>
      <c r="D7069" s="4"/>
      <c r="E7069" s="4" t="s">
        <v>921</v>
      </c>
      <c r="F7069" s="46" t="s">
        <v>3404</v>
      </c>
      <c r="G7069" s="4" t="s">
        <v>336</v>
      </c>
      <c r="H7069" s="4" t="s">
        <v>380</v>
      </c>
      <c r="I7069" s="4">
        <v>1</v>
      </c>
      <c r="J7069" s="21">
        <v>240</v>
      </c>
      <c r="K7069" s="21">
        <v>240</v>
      </c>
      <c r="L7069" s="5">
        <v>0</v>
      </c>
      <c r="M7069" s="4"/>
      <c r="N7069" s="4"/>
      <c r="O7069" s="5"/>
      <c r="P7069" s="5"/>
      <c r="Q7069" s="21">
        <v>0</v>
      </c>
      <c r="R7069" s="21">
        <v>0</v>
      </c>
      <c r="S7069" s="5">
        <f t="shared" si="443"/>
        <v>34458.265357954842</v>
      </c>
      <c r="T7069" cm="1">
        <f t="array" ref="T7069">IF(OR(B7069="MAL ALIMI", B7069="ÜRETİM GİRİŞ"), MIN(I7069, MAX(0, I7069 + SUM(SUMIFS($I$1:I7068, $C$1:C7068, C7069, $B$1:B7068, {"MAL ALIMI","ÜRETİM GİRİŞ"})) - VLOOKUP(C7069, 'STOK RAPORU'!$C$2:$I$1000, 4, 0))), 0)</f>
        <v>0</v>
      </c>
      <c r="U7069" s="22">
        <f t="shared" si="440"/>
        <v>0</v>
      </c>
      <c r="V7069">
        <f t="shared" si="441"/>
        <v>0</v>
      </c>
      <c r="W7069" s="22">
        <f t="shared" si="442"/>
        <v>0</v>
      </c>
    </row>
    <row r="7070" spans="1:23" hidden="1" x14ac:dyDescent="0.25">
      <c r="A7070" s="3">
        <v>46154</v>
      </c>
      <c r="B7070" s="46" t="s">
        <v>334</v>
      </c>
      <c r="C7070" s="4" t="s">
        <v>1203</v>
      </c>
      <c r="D7070" s="4"/>
      <c r="E7070" s="4" t="s">
        <v>921</v>
      </c>
      <c r="F7070" s="46" t="s">
        <v>3404</v>
      </c>
      <c r="G7070" s="4" t="s">
        <v>336</v>
      </c>
      <c r="H7070" s="4" t="s">
        <v>380</v>
      </c>
      <c r="I7070" s="4">
        <v>1</v>
      </c>
      <c r="J7070" s="21">
        <v>140</v>
      </c>
      <c r="K7070" s="21">
        <v>140</v>
      </c>
      <c r="L7070" s="5">
        <v>0</v>
      </c>
      <c r="M7070" s="4"/>
      <c r="N7070" s="4"/>
      <c r="O7070" s="5"/>
      <c r="P7070" s="5"/>
      <c r="Q7070" s="21">
        <v>0</v>
      </c>
      <c r="R7070" s="21">
        <v>0</v>
      </c>
      <c r="S7070" s="5">
        <f t="shared" si="443"/>
        <v>34458.265357954842</v>
      </c>
      <c r="T7070" cm="1">
        <f t="array" ref="T7070">IF(OR(B7070="MAL ALIMI", B7070="ÜRETİM GİRİŞ"), MIN(I7070, MAX(0, I7070 + SUM(SUMIFS($I$1:I7069, $C$1:C7069, C7070, $B$1:B7069, {"MAL ALIMI","ÜRETİM GİRİŞ"})) - VLOOKUP(C7070, 'STOK RAPORU'!$C$2:$I$1000, 4, 0))), 0)</f>
        <v>0</v>
      </c>
      <c r="U7070" s="22">
        <f t="shared" si="440"/>
        <v>0</v>
      </c>
      <c r="V7070">
        <f t="shared" si="441"/>
        <v>0</v>
      </c>
      <c r="W7070" s="22">
        <f t="shared" si="442"/>
        <v>0</v>
      </c>
    </row>
    <row r="7071" spans="1:23" hidden="1" x14ac:dyDescent="0.25">
      <c r="A7071" s="3">
        <v>46154</v>
      </c>
      <c r="B7071" s="46" t="s">
        <v>334</v>
      </c>
      <c r="C7071" s="4" t="s">
        <v>2240</v>
      </c>
      <c r="D7071" s="4"/>
      <c r="E7071" s="4" t="s">
        <v>921</v>
      </c>
      <c r="F7071" s="46" t="s">
        <v>3404</v>
      </c>
      <c r="G7071" s="4" t="s">
        <v>336</v>
      </c>
      <c r="H7071" s="4" t="s">
        <v>380</v>
      </c>
      <c r="I7071" s="4">
        <v>1</v>
      </c>
      <c r="J7071" s="21">
        <v>130</v>
      </c>
      <c r="K7071" s="21">
        <v>130</v>
      </c>
      <c r="L7071" s="5">
        <v>0</v>
      </c>
      <c r="M7071" s="4"/>
      <c r="N7071" s="4"/>
      <c r="O7071" s="5"/>
      <c r="P7071" s="5"/>
      <c r="Q7071" s="21">
        <v>0</v>
      </c>
      <c r="R7071" s="21">
        <v>0</v>
      </c>
      <c r="S7071" s="5">
        <f t="shared" si="443"/>
        <v>34458.265357954842</v>
      </c>
      <c r="T7071" cm="1">
        <f t="array" ref="T7071">IF(OR(B7071="MAL ALIMI", B7071="ÜRETİM GİRİŞ"), MIN(I7071, MAX(0, I7071 + SUM(SUMIFS($I$1:I7070, $C$1:C7070, C7071, $B$1:B7070, {"MAL ALIMI","ÜRETİM GİRİŞ"})) - VLOOKUP(C7071, 'STOK RAPORU'!$C$2:$I$1000, 4, 0))), 0)</f>
        <v>0</v>
      </c>
      <c r="U7071" s="22">
        <f t="shared" si="440"/>
        <v>0</v>
      </c>
      <c r="V7071">
        <f t="shared" si="441"/>
        <v>0</v>
      </c>
      <c r="W7071" s="22">
        <f t="shared" si="442"/>
        <v>0</v>
      </c>
    </row>
    <row r="7072" spans="1:23" hidden="1" x14ac:dyDescent="0.25">
      <c r="A7072" s="3">
        <v>46154</v>
      </c>
      <c r="B7072" s="46" t="s">
        <v>334</v>
      </c>
      <c r="C7072" s="4" t="s">
        <v>823</v>
      </c>
      <c r="D7072" s="4"/>
      <c r="E7072" s="4" t="s">
        <v>921</v>
      </c>
      <c r="F7072" s="46" t="s">
        <v>3404</v>
      </c>
      <c r="G7072" s="4" t="s">
        <v>336</v>
      </c>
      <c r="H7072" s="4" t="s">
        <v>380</v>
      </c>
      <c r="I7072" s="4">
        <v>1</v>
      </c>
      <c r="J7072" s="21">
        <v>125</v>
      </c>
      <c r="K7072" s="21">
        <v>125</v>
      </c>
      <c r="L7072" s="5">
        <v>0</v>
      </c>
      <c r="M7072" s="4"/>
      <c r="N7072" s="4"/>
      <c r="O7072" s="5"/>
      <c r="P7072" s="5"/>
      <c r="Q7072" s="21">
        <v>0</v>
      </c>
      <c r="R7072" s="21">
        <v>0</v>
      </c>
      <c r="S7072" s="5">
        <f t="shared" si="443"/>
        <v>34458.265357954842</v>
      </c>
      <c r="T7072" cm="1">
        <f t="array" ref="T7072">IF(OR(B7072="MAL ALIMI", B7072="ÜRETİM GİRİŞ"), MIN(I7072, MAX(0, I7072 + SUM(SUMIFS($I$1:I7071, $C$1:C7071, C7072, $B$1:B7071, {"MAL ALIMI","ÜRETİM GİRİŞ"})) - VLOOKUP(C7072, 'STOK RAPORU'!$C$2:$I$1000, 4, 0))), 0)</f>
        <v>0</v>
      </c>
      <c r="U7072" s="22">
        <f t="shared" si="440"/>
        <v>0</v>
      </c>
      <c r="V7072">
        <f t="shared" si="441"/>
        <v>0</v>
      </c>
      <c r="W7072" s="22">
        <f t="shared" si="442"/>
        <v>0</v>
      </c>
    </row>
    <row r="7073" spans="1:23" hidden="1" x14ac:dyDescent="0.25">
      <c r="A7073" s="3">
        <v>46154</v>
      </c>
      <c r="B7073" s="46" t="s">
        <v>334</v>
      </c>
      <c r="C7073" s="4" t="s">
        <v>1649</v>
      </c>
      <c r="D7073" s="4"/>
      <c r="E7073" s="4"/>
      <c r="F7073" s="46" t="s">
        <v>3405</v>
      </c>
      <c r="G7073" s="4" t="s">
        <v>3407</v>
      </c>
      <c r="H7073" s="4" t="s">
        <v>289</v>
      </c>
      <c r="I7073" s="4">
        <v>0.05</v>
      </c>
      <c r="J7073" s="21">
        <v>280</v>
      </c>
      <c r="K7073" s="21">
        <v>0</v>
      </c>
      <c r="L7073" s="5">
        <v>0</v>
      </c>
      <c r="M7073" s="4"/>
      <c r="N7073" s="4"/>
      <c r="O7073" s="5"/>
      <c r="P7073" s="5"/>
      <c r="Q7073" s="21">
        <v>14</v>
      </c>
      <c r="R7073" s="21">
        <v>0</v>
      </c>
      <c r="S7073" s="5">
        <f t="shared" si="443"/>
        <v>34472.265357954842</v>
      </c>
      <c r="T7073" cm="1">
        <f t="array" ref="T7073">IF(OR(B7073="MAL ALIMI", B7073="ÜRETİM GİRİŞ"), MIN(I7073, MAX(0, I7073 + SUM(SUMIFS($I$1:I7072, $C$1:C7072, C7073, $B$1:B7072, {"MAL ALIMI","ÜRETİM GİRİŞ"})) - VLOOKUP(C7073, 'STOK RAPORU'!$C$2:$I$1000, 4, 0))), 0)</f>
        <v>0</v>
      </c>
      <c r="U7073" s="22">
        <f t="shared" si="440"/>
        <v>0</v>
      </c>
      <c r="V7073">
        <f t="shared" si="441"/>
        <v>0</v>
      </c>
      <c r="W7073" s="22">
        <f t="shared" si="442"/>
        <v>0</v>
      </c>
    </row>
    <row r="7074" spans="1:23" hidden="1" x14ac:dyDescent="0.25">
      <c r="A7074" s="3">
        <v>46154</v>
      </c>
      <c r="B7074" s="46" t="s">
        <v>334</v>
      </c>
      <c r="C7074" s="4" t="s">
        <v>256</v>
      </c>
      <c r="D7074" s="4"/>
      <c r="E7074" s="4"/>
      <c r="F7074" s="46" t="s">
        <v>3406</v>
      </c>
      <c r="G7074" s="4" t="s">
        <v>336</v>
      </c>
      <c r="H7074" s="4" t="s">
        <v>289</v>
      </c>
      <c r="I7074" s="4">
        <v>2</v>
      </c>
      <c r="J7074" s="21">
        <v>220</v>
      </c>
      <c r="K7074" s="21">
        <v>0</v>
      </c>
      <c r="L7074" s="5">
        <v>0</v>
      </c>
      <c r="M7074" s="4"/>
      <c r="N7074" s="4"/>
      <c r="O7074" s="5"/>
      <c r="P7074" s="5"/>
      <c r="Q7074" s="21">
        <v>440</v>
      </c>
      <c r="R7074" s="21">
        <v>0</v>
      </c>
      <c r="S7074" s="5">
        <f t="shared" si="443"/>
        <v>34912.265357954842</v>
      </c>
      <c r="T7074" cm="1">
        <f t="array" ref="T7074">IF(OR(B7074="MAL ALIMI", B7074="ÜRETİM GİRİŞ"), MIN(I7074, MAX(0, I7074 + SUM(SUMIFS($I$1:I7073, $C$1:C7073, C7074, $B$1:B7073, {"MAL ALIMI","ÜRETİM GİRİŞ"})) - VLOOKUP(C7074, 'STOK RAPORU'!$C$2:$I$1000, 4, 0))), 0)</f>
        <v>0</v>
      </c>
      <c r="U7074" s="22">
        <f t="shared" si="440"/>
        <v>0</v>
      </c>
      <c r="V7074">
        <f t="shared" si="441"/>
        <v>0</v>
      </c>
      <c r="W7074" s="22">
        <f t="shared" si="442"/>
        <v>0</v>
      </c>
    </row>
    <row r="7075" spans="1:23" hidden="1" x14ac:dyDescent="0.25">
      <c r="A7075" s="3">
        <v>46154</v>
      </c>
      <c r="B7075" s="46" t="s">
        <v>334</v>
      </c>
      <c r="C7075" s="4" t="s">
        <v>60</v>
      </c>
      <c r="D7075" s="4"/>
      <c r="E7075" s="4"/>
      <c r="F7075" s="46" t="s">
        <v>3406</v>
      </c>
      <c r="G7075" s="4" t="s">
        <v>336</v>
      </c>
      <c r="H7075" s="4" t="s">
        <v>289</v>
      </c>
      <c r="I7075" s="4">
        <v>0.05</v>
      </c>
      <c r="J7075" s="21">
        <v>1200</v>
      </c>
      <c r="K7075" s="21">
        <v>0</v>
      </c>
      <c r="L7075" s="5">
        <v>0</v>
      </c>
      <c r="M7075" s="4"/>
      <c r="N7075" s="4"/>
      <c r="O7075" s="5"/>
      <c r="P7075" s="5"/>
      <c r="Q7075" s="21">
        <v>60</v>
      </c>
      <c r="R7075" s="21">
        <v>0</v>
      </c>
      <c r="S7075" s="5">
        <f t="shared" si="443"/>
        <v>34972.265357954842</v>
      </c>
      <c r="T7075" cm="1">
        <f t="array" ref="T7075">IF(OR(B7075="MAL ALIMI", B7075="ÜRETİM GİRİŞ"), MIN(I7075, MAX(0, I7075 + SUM(SUMIFS($I$1:I7074, $C$1:C7074, C7075, $B$1:B7074, {"MAL ALIMI","ÜRETİM GİRİŞ"})) - VLOOKUP(C7075, 'STOK RAPORU'!$C$2:$I$1000, 4, 0))), 0)</f>
        <v>0</v>
      </c>
      <c r="U7075" s="22">
        <f t="shared" si="440"/>
        <v>0</v>
      </c>
      <c r="V7075">
        <f t="shared" si="441"/>
        <v>0</v>
      </c>
      <c r="W7075" s="22">
        <f t="shared" si="442"/>
        <v>0</v>
      </c>
    </row>
    <row r="7076" spans="1:23" hidden="1" x14ac:dyDescent="0.25">
      <c r="A7076" s="3">
        <v>46154</v>
      </c>
      <c r="B7076" s="46" t="s">
        <v>917</v>
      </c>
      <c r="C7076" s="4"/>
      <c r="D7076" s="4"/>
      <c r="E7076" s="4" t="s">
        <v>855</v>
      </c>
      <c r="F7076" s="4"/>
      <c r="G7076" s="4" t="s">
        <v>3376</v>
      </c>
      <c r="H7076" s="4" t="s">
        <v>289</v>
      </c>
      <c r="I7076" s="4">
        <v>1</v>
      </c>
      <c r="J7076" s="21">
        <v>20000</v>
      </c>
      <c r="K7076" s="21">
        <v>20000</v>
      </c>
      <c r="L7076" s="5">
        <v>0</v>
      </c>
      <c r="M7076" s="4"/>
      <c r="N7076" s="4"/>
      <c r="O7076" s="5"/>
      <c r="P7076" s="5"/>
      <c r="Q7076" s="21">
        <v>0</v>
      </c>
      <c r="R7076" s="21">
        <v>20000</v>
      </c>
      <c r="S7076" s="5">
        <f t="shared" si="443"/>
        <v>14972.265357954842</v>
      </c>
      <c r="T7076" cm="1">
        <f t="array" ref="T7076">IF(OR(B7076="MAL ALIMI", B7076="ÜRETİM GİRİŞ"), MIN(I7076, MAX(0, I7076 + SUM(SUMIFS($I$1:I7075, $C$1:C7075, C7076, $B$1:B7075, {"MAL ALIMI","ÜRETİM GİRİŞ"})) - VLOOKUP(C7076, 'STOK RAPORU'!$C$2:$I$1000, 4, 0))), 0)</f>
        <v>0</v>
      </c>
      <c r="U7076" s="22">
        <f t="shared" si="440"/>
        <v>0</v>
      </c>
      <c r="V7076">
        <f t="shared" si="441"/>
        <v>0</v>
      </c>
      <c r="W7076" s="22">
        <f t="shared" si="442"/>
        <v>0</v>
      </c>
    </row>
    <row r="7077" spans="1:23" hidden="1" x14ac:dyDescent="0.25">
      <c r="A7077" s="3">
        <v>46154</v>
      </c>
      <c r="B7077" s="46" t="s">
        <v>285</v>
      </c>
      <c r="C7077" s="4"/>
      <c r="D7077" s="4" t="s">
        <v>113</v>
      </c>
      <c r="E7077" s="4"/>
      <c r="F7077" s="4"/>
      <c r="G7077" s="4" t="s">
        <v>3377</v>
      </c>
      <c r="H7077" s="4" t="s">
        <v>289</v>
      </c>
      <c r="I7077" s="4">
        <v>2</v>
      </c>
      <c r="J7077" s="21">
        <v>2000</v>
      </c>
      <c r="K7077" s="21">
        <v>0</v>
      </c>
      <c r="L7077" s="5">
        <v>0</v>
      </c>
      <c r="M7077" s="4"/>
      <c r="N7077" s="4"/>
      <c r="O7077" s="5"/>
      <c r="P7077" s="5"/>
      <c r="Q7077" s="21">
        <v>0</v>
      </c>
      <c r="R7077" s="21">
        <v>4000</v>
      </c>
      <c r="S7077" s="5">
        <f t="shared" si="443"/>
        <v>10972.265357954842</v>
      </c>
      <c r="T7077" cm="1">
        <f t="array" ref="T7077">IF(OR(B7077="MAL ALIMI", B7077="ÜRETİM GİRİŞ"), MIN(I7077, MAX(0, I7077 + SUM(SUMIFS($I$1:I7076, $C$1:C7076, C7077, $B$1:B7076, {"MAL ALIMI","ÜRETİM GİRİŞ"})) - VLOOKUP(C7077, 'STOK RAPORU'!$C$2:$I$1000, 4, 0))), 0)</f>
        <v>0</v>
      </c>
      <c r="U7077" s="22">
        <f t="shared" si="440"/>
        <v>0</v>
      </c>
      <c r="V7077">
        <f t="shared" si="441"/>
        <v>0</v>
      </c>
      <c r="W7077" s="22">
        <f t="shared" si="442"/>
        <v>0</v>
      </c>
    </row>
    <row r="7078" spans="1:23" hidden="1" x14ac:dyDescent="0.25">
      <c r="A7078" s="3">
        <v>46154</v>
      </c>
      <c r="B7078" s="46" t="s">
        <v>917</v>
      </c>
      <c r="C7078" s="4"/>
      <c r="D7078" s="4"/>
      <c r="E7078" s="4" t="s">
        <v>855</v>
      </c>
      <c r="F7078" s="4"/>
      <c r="G7078" s="4" t="s">
        <v>3376</v>
      </c>
      <c r="H7078" s="4" t="s">
        <v>289</v>
      </c>
      <c r="I7078" s="4">
        <v>1</v>
      </c>
      <c r="J7078" s="21">
        <v>7000</v>
      </c>
      <c r="K7078" s="21">
        <v>7000</v>
      </c>
      <c r="L7078" s="5">
        <v>0</v>
      </c>
      <c r="M7078" s="4"/>
      <c r="N7078" s="4"/>
      <c r="O7078" s="5"/>
      <c r="P7078" s="5"/>
      <c r="Q7078" s="21">
        <v>0</v>
      </c>
      <c r="R7078" s="21">
        <v>7000</v>
      </c>
      <c r="S7078" s="5">
        <f t="shared" si="443"/>
        <v>3972.2653579548423</v>
      </c>
      <c r="T7078" cm="1">
        <f t="array" ref="T7078">IF(OR(B7078="MAL ALIMI", B7078="ÜRETİM GİRİŞ"), MIN(I7078, MAX(0, I7078 + SUM(SUMIFS($I$1:I7077, $C$1:C7077, C7078, $B$1:B7077, {"MAL ALIMI","ÜRETİM GİRİŞ"})) - VLOOKUP(C7078, 'STOK RAPORU'!$C$2:$I$1000, 4, 0))), 0)</f>
        <v>0</v>
      </c>
      <c r="U7078" s="22">
        <f t="shared" si="440"/>
        <v>0</v>
      </c>
      <c r="V7078">
        <f t="shared" si="441"/>
        <v>0</v>
      </c>
      <c r="W7078" s="22">
        <f t="shared" si="442"/>
        <v>0</v>
      </c>
    </row>
    <row r="7079" spans="1:23" hidden="1" x14ac:dyDescent="0.25">
      <c r="A7079" s="3">
        <v>46154</v>
      </c>
      <c r="B7079" s="46" t="s">
        <v>298</v>
      </c>
      <c r="C7079" s="4" t="s">
        <v>256</v>
      </c>
      <c r="D7079" s="4"/>
      <c r="E7079" s="4" t="s">
        <v>856</v>
      </c>
      <c r="F7079" s="4"/>
      <c r="G7079" s="4" t="s">
        <v>753</v>
      </c>
      <c r="H7079" s="4" t="s">
        <v>304</v>
      </c>
      <c r="I7079" s="4">
        <v>3</v>
      </c>
      <c r="J7079" s="21">
        <v>143.66999999999999</v>
      </c>
      <c r="K7079" s="21">
        <v>0</v>
      </c>
      <c r="L7079" s="5">
        <v>431.01</v>
      </c>
      <c r="M7079" s="4"/>
      <c r="N7079" s="4"/>
      <c r="O7079" s="5"/>
      <c r="P7079" s="5"/>
      <c r="Q7079" s="21">
        <v>0</v>
      </c>
      <c r="R7079" s="21">
        <v>0</v>
      </c>
      <c r="S7079" s="5">
        <f t="shared" si="443"/>
        <v>3972.2653579548423</v>
      </c>
      <c r="T7079" cm="1">
        <f t="array" ref="T7079">IF(OR(B7079="MAL ALIMI", B7079="ÜRETİM GİRİŞ"), MIN(I7079, MAX(0, I7079 + SUM(SUMIFS($I$1:I7078, $C$1:C7078, C7079, $B$1:B7078, {"MAL ALIMI","ÜRETİM GİRİŞ"})) - VLOOKUP(C7079, 'STOK RAPORU'!$C$2:$I$1000, 4, 0))), 0)</f>
        <v>3</v>
      </c>
      <c r="U7079" s="22">
        <f t="shared" si="440"/>
        <v>431.01</v>
      </c>
      <c r="V7079">
        <f t="shared" si="441"/>
        <v>431.01</v>
      </c>
      <c r="W7079" s="22">
        <f t="shared" si="442"/>
        <v>0</v>
      </c>
    </row>
    <row r="7080" spans="1:23" hidden="1" x14ac:dyDescent="0.25">
      <c r="A7080" s="41">
        <v>46155</v>
      </c>
      <c r="B7080" s="42" t="s">
        <v>334</v>
      </c>
      <c r="C7080" s="42" t="s">
        <v>266</v>
      </c>
      <c r="D7080" s="42"/>
      <c r="E7080" s="42"/>
      <c r="F7080" s="42" t="s">
        <v>3408</v>
      </c>
      <c r="G7080" s="42" t="s">
        <v>1690</v>
      </c>
      <c r="H7080" s="42" t="s">
        <v>289</v>
      </c>
      <c r="I7080" s="42">
        <v>0.25</v>
      </c>
      <c r="J7080" s="43">
        <v>250</v>
      </c>
      <c r="K7080" s="43">
        <v>0</v>
      </c>
      <c r="L7080" s="44">
        <v>0</v>
      </c>
      <c r="M7080" s="42"/>
      <c r="N7080" s="42"/>
      <c r="O7080" s="44"/>
      <c r="P7080" s="44"/>
      <c r="Q7080" s="43">
        <v>62.5</v>
      </c>
      <c r="R7080" s="43">
        <v>0</v>
      </c>
      <c r="S7080" s="5">
        <f t="shared" si="443"/>
        <v>4034.7653579548423</v>
      </c>
      <c r="T7080" cm="1">
        <f t="array" ref="T7080">IF(OR(B7080="MAL ALIMI", B7080="ÜRETİM GİRİŞ"), MIN(I7080, MAX(0, I7080 + SUM(SUMIFS($I$1:I7079, $C$1:C7079, C7080, $B$1:B7079, {"MAL ALIMI","ÜRETİM GİRİŞ"})) - VLOOKUP(C7080, 'STOK RAPORU'!$C$2:$I$1000, 4, 0))), 0)</f>
        <v>0</v>
      </c>
      <c r="U7080" s="22">
        <f t="shared" si="440"/>
        <v>0</v>
      </c>
      <c r="V7080">
        <f t="shared" si="441"/>
        <v>0</v>
      </c>
      <c r="W7080" s="22">
        <f t="shared" si="442"/>
        <v>0</v>
      </c>
    </row>
    <row r="7081" spans="1:23" hidden="1" x14ac:dyDescent="0.25">
      <c r="A7081" s="3">
        <v>46155</v>
      </c>
      <c r="B7081" s="46" t="s">
        <v>334</v>
      </c>
      <c r="C7081" s="4" t="s">
        <v>2565</v>
      </c>
      <c r="D7081" s="4"/>
      <c r="E7081" s="4"/>
      <c r="F7081" s="46" t="s">
        <v>3408</v>
      </c>
      <c r="G7081" s="4" t="s">
        <v>336</v>
      </c>
      <c r="H7081" s="4" t="s">
        <v>289</v>
      </c>
      <c r="I7081" s="4">
        <v>0.16923076923076924</v>
      </c>
      <c r="J7081" s="21">
        <v>650</v>
      </c>
      <c r="K7081" s="21">
        <v>0</v>
      </c>
      <c r="L7081" s="5">
        <v>0</v>
      </c>
      <c r="M7081" s="4"/>
      <c r="N7081" s="4"/>
      <c r="O7081" s="5"/>
      <c r="P7081" s="5"/>
      <c r="Q7081" s="21">
        <v>110</v>
      </c>
      <c r="R7081" s="21">
        <v>0</v>
      </c>
      <c r="S7081" s="5">
        <f t="shared" si="443"/>
        <v>4144.7653579548423</v>
      </c>
      <c r="T7081" cm="1">
        <f t="array" ref="T7081">IF(OR(B7081="MAL ALIMI", B7081="ÜRETİM GİRİŞ"), MIN(I7081, MAX(0, I7081 + SUM(SUMIFS($I$1:I7080, $C$1:C7080, C7081, $B$1:B7080, {"MAL ALIMI","ÜRETİM GİRİŞ"})) - VLOOKUP(C7081, 'STOK RAPORU'!$C$2:$I$1000, 4, 0))), 0)</f>
        <v>0</v>
      </c>
      <c r="U7081" s="22">
        <f t="shared" si="440"/>
        <v>0</v>
      </c>
      <c r="V7081">
        <f t="shared" si="441"/>
        <v>0</v>
      </c>
      <c r="W7081" s="22">
        <f t="shared" si="442"/>
        <v>0</v>
      </c>
    </row>
    <row r="7082" spans="1:23" hidden="1" x14ac:dyDescent="0.25">
      <c r="A7082" s="3">
        <v>46155</v>
      </c>
      <c r="B7082" s="46" t="s">
        <v>334</v>
      </c>
      <c r="C7082" s="4" t="s">
        <v>253</v>
      </c>
      <c r="D7082" s="4"/>
      <c r="E7082" s="4"/>
      <c r="F7082" s="46" t="s">
        <v>3408</v>
      </c>
      <c r="G7082" s="4" t="s">
        <v>336</v>
      </c>
      <c r="H7082" s="4" t="s">
        <v>289</v>
      </c>
      <c r="I7082" s="4">
        <v>0.20833333333333334</v>
      </c>
      <c r="J7082" s="21">
        <v>250</v>
      </c>
      <c r="K7082" s="21">
        <v>0</v>
      </c>
      <c r="L7082" s="5">
        <v>0</v>
      </c>
      <c r="M7082" s="4"/>
      <c r="N7082" s="4"/>
      <c r="O7082" s="5"/>
      <c r="P7082" s="5"/>
      <c r="Q7082" s="21">
        <v>52.083333333333336</v>
      </c>
      <c r="R7082" s="21">
        <v>0</v>
      </c>
      <c r="S7082" s="5">
        <f t="shared" si="443"/>
        <v>4196.8486912881754</v>
      </c>
      <c r="T7082" cm="1">
        <f t="array" ref="T7082">IF(OR(B7082="MAL ALIMI", B7082="ÜRETİM GİRİŞ"), MIN(I7082, MAX(0, I7082 + SUM(SUMIFS($I$1:I7081, $C$1:C7081, C7082, $B$1:B7081, {"MAL ALIMI","ÜRETİM GİRİŞ"})) - VLOOKUP(C7082, 'STOK RAPORU'!$C$2:$I$1000, 4, 0))), 0)</f>
        <v>0</v>
      </c>
      <c r="U7082" s="22">
        <f t="shared" si="440"/>
        <v>0</v>
      </c>
      <c r="V7082">
        <f t="shared" si="441"/>
        <v>0</v>
      </c>
      <c r="W7082" s="22">
        <f t="shared" si="442"/>
        <v>0</v>
      </c>
    </row>
    <row r="7083" spans="1:23" hidden="1" x14ac:dyDescent="0.25">
      <c r="A7083" s="41">
        <v>46155</v>
      </c>
      <c r="B7083" s="42" t="s">
        <v>334</v>
      </c>
      <c r="C7083" s="42" t="s">
        <v>91</v>
      </c>
      <c r="D7083" s="42"/>
      <c r="E7083" s="42"/>
      <c r="F7083" s="42" t="s">
        <v>3409</v>
      </c>
      <c r="G7083" s="42" t="s">
        <v>3410</v>
      </c>
      <c r="H7083" s="42" t="s">
        <v>289</v>
      </c>
      <c r="I7083" s="42">
        <v>0.25</v>
      </c>
      <c r="J7083" s="43">
        <v>850</v>
      </c>
      <c r="K7083" s="43">
        <v>0</v>
      </c>
      <c r="L7083" s="44">
        <v>0</v>
      </c>
      <c r="M7083" s="42"/>
      <c r="N7083" s="42"/>
      <c r="O7083" s="44"/>
      <c r="P7083" s="44"/>
      <c r="Q7083" s="43">
        <v>212.5</v>
      </c>
      <c r="R7083" s="43">
        <v>0</v>
      </c>
      <c r="S7083" s="5">
        <f t="shared" si="443"/>
        <v>4409.3486912881754</v>
      </c>
      <c r="T7083" cm="1">
        <f t="array" ref="T7083">IF(OR(B7083="MAL ALIMI", B7083="ÜRETİM GİRİŞ"), MIN(I7083, MAX(0, I7083 + SUM(SUMIFS($I$1:I7082, $C$1:C7082, C7083, $B$1:B7082, {"MAL ALIMI","ÜRETİM GİRİŞ"})) - VLOOKUP(C7083, 'STOK RAPORU'!$C$2:$I$1000, 4, 0))), 0)</f>
        <v>0</v>
      </c>
      <c r="U7083" s="22">
        <f t="shared" si="440"/>
        <v>0</v>
      </c>
      <c r="V7083">
        <f t="shared" si="441"/>
        <v>0</v>
      </c>
      <c r="W7083" s="22">
        <f t="shared" si="442"/>
        <v>0</v>
      </c>
    </row>
    <row r="7084" spans="1:23" hidden="1" x14ac:dyDescent="0.25">
      <c r="A7084" s="41">
        <v>46155</v>
      </c>
      <c r="B7084" s="42" t="s">
        <v>334</v>
      </c>
      <c r="C7084" s="42" t="s">
        <v>463</v>
      </c>
      <c r="D7084" s="42"/>
      <c r="E7084" s="42"/>
      <c r="F7084" s="42" t="s">
        <v>3409</v>
      </c>
      <c r="G7084" s="42" t="s">
        <v>3410</v>
      </c>
      <c r="H7084" s="42" t="s">
        <v>289</v>
      </c>
      <c r="I7084" s="42">
        <v>0.5</v>
      </c>
      <c r="J7084" s="43">
        <v>400</v>
      </c>
      <c r="K7084" s="43">
        <v>0</v>
      </c>
      <c r="L7084" s="44">
        <v>0</v>
      </c>
      <c r="M7084" s="42"/>
      <c r="N7084" s="42"/>
      <c r="O7084" s="44"/>
      <c r="P7084" s="44"/>
      <c r="Q7084" s="43">
        <v>200</v>
      </c>
      <c r="R7084" s="43">
        <v>0</v>
      </c>
      <c r="S7084" s="5">
        <f t="shared" si="443"/>
        <v>4609.3486912881754</v>
      </c>
      <c r="T7084" cm="1">
        <f t="array" ref="T7084">IF(OR(B7084="MAL ALIMI", B7084="ÜRETİM GİRİŞ"), MIN(I7084, MAX(0, I7084 + SUM(SUMIFS($I$1:I7083, $C$1:C7083, C7084, $B$1:B7083, {"MAL ALIMI","ÜRETİM GİRİŞ"})) - VLOOKUP(C7084, 'STOK RAPORU'!$C$2:$I$1000, 4, 0))), 0)</f>
        <v>0</v>
      </c>
      <c r="U7084" s="22">
        <f t="shared" si="440"/>
        <v>0</v>
      </c>
      <c r="V7084">
        <f t="shared" si="441"/>
        <v>0</v>
      </c>
      <c r="W7084" s="22">
        <f t="shared" si="442"/>
        <v>0</v>
      </c>
    </row>
    <row r="7085" spans="1:23" hidden="1" x14ac:dyDescent="0.25">
      <c r="A7085" s="41">
        <v>46155</v>
      </c>
      <c r="B7085" s="42" t="s">
        <v>334</v>
      </c>
      <c r="C7085" s="42" t="s">
        <v>158</v>
      </c>
      <c r="D7085" s="42"/>
      <c r="E7085" s="42"/>
      <c r="F7085" s="42" t="s">
        <v>3409</v>
      </c>
      <c r="G7085" s="42" t="s">
        <v>3410</v>
      </c>
      <c r="H7085" s="42" t="s">
        <v>289</v>
      </c>
      <c r="I7085" s="42">
        <v>5</v>
      </c>
      <c r="J7085" s="43">
        <v>150</v>
      </c>
      <c r="K7085" s="43">
        <v>0</v>
      </c>
      <c r="L7085" s="44">
        <v>0</v>
      </c>
      <c r="M7085" s="42"/>
      <c r="N7085" s="42"/>
      <c r="O7085" s="44"/>
      <c r="P7085" s="44"/>
      <c r="Q7085" s="43">
        <v>750</v>
      </c>
      <c r="R7085" s="43">
        <v>0</v>
      </c>
      <c r="S7085" s="5">
        <f t="shared" si="443"/>
        <v>5359.3486912881754</v>
      </c>
      <c r="T7085" cm="1">
        <f t="array" ref="T7085">IF(OR(B7085="MAL ALIMI", B7085="ÜRETİM GİRİŞ"), MIN(I7085, MAX(0, I7085 + SUM(SUMIFS($I$1:I7084, $C$1:C7084, C7085, $B$1:B7084, {"MAL ALIMI","ÜRETİM GİRİŞ"})) - VLOOKUP(C7085, 'STOK RAPORU'!$C$2:$I$1000, 4, 0))), 0)</f>
        <v>0</v>
      </c>
      <c r="U7085" s="22">
        <f t="shared" si="440"/>
        <v>0</v>
      </c>
      <c r="V7085">
        <f t="shared" si="441"/>
        <v>0</v>
      </c>
      <c r="W7085" s="22">
        <f t="shared" si="442"/>
        <v>0</v>
      </c>
    </row>
    <row r="7086" spans="1:23" hidden="1" x14ac:dyDescent="0.25">
      <c r="A7086" s="41">
        <v>46155</v>
      </c>
      <c r="B7086" s="42" t="s">
        <v>334</v>
      </c>
      <c r="C7086" s="42" t="s">
        <v>157</v>
      </c>
      <c r="D7086" s="42"/>
      <c r="E7086" s="42"/>
      <c r="F7086" s="42" t="s">
        <v>3409</v>
      </c>
      <c r="G7086" s="42" t="s">
        <v>3410</v>
      </c>
      <c r="H7086" s="42" t="s">
        <v>289</v>
      </c>
      <c r="I7086" s="42">
        <v>2</v>
      </c>
      <c r="J7086" s="43">
        <v>200</v>
      </c>
      <c r="K7086" s="43">
        <v>0</v>
      </c>
      <c r="L7086" s="44">
        <v>0</v>
      </c>
      <c r="M7086" s="42"/>
      <c r="N7086" s="42"/>
      <c r="O7086" s="44"/>
      <c r="P7086" s="44"/>
      <c r="Q7086" s="43">
        <v>400</v>
      </c>
      <c r="R7086" s="43">
        <v>0</v>
      </c>
      <c r="S7086" s="5">
        <f t="shared" si="443"/>
        <v>5759.3486912881754</v>
      </c>
      <c r="T7086" cm="1">
        <f t="array" ref="T7086">IF(OR(B7086="MAL ALIMI", B7086="ÜRETİM GİRİŞ"), MIN(I7086, MAX(0, I7086 + SUM(SUMIFS($I$1:I7085, $C$1:C7085, C7086, $B$1:B7085, {"MAL ALIMI","ÜRETİM GİRİŞ"})) - VLOOKUP(C7086, 'STOK RAPORU'!$C$2:$I$1000, 4, 0))), 0)</f>
        <v>0</v>
      </c>
      <c r="U7086" s="22">
        <f t="shared" si="440"/>
        <v>0</v>
      </c>
      <c r="V7086">
        <f t="shared" si="441"/>
        <v>0</v>
      </c>
      <c r="W7086" s="22">
        <f t="shared" si="442"/>
        <v>0</v>
      </c>
    </row>
    <row r="7087" spans="1:23" hidden="1" x14ac:dyDescent="0.25">
      <c r="A7087" s="41">
        <v>46155</v>
      </c>
      <c r="B7087" s="42" t="s">
        <v>334</v>
      </c>
      <c r="C7087" s="42" t="s">
        <v>1151</v>
      </c>
      <c r="D7087" s="42"/>
      <c r="E7087" s="42"/>
      <c r="F7087" s="42" t="s">
        <v>3409</v>
      </c>
      <c r="G7087" s="42" t="s">
        <v>3410</v>
      </c>
      <c r="H7087" s="42" t="s">
        <v>289</v>
      </c>
      <c r="I7087" s="42">
        <v>0.5</v>
      </c>
      <c r="J7087" s="43">
        <v>400</v>
      </c>
      <c r="K7087" s="43">
        <v>0</v>
      </c>
      <c r="L7087" s="44">
        <v>0</v>
      </c>
      <c r="M7087" s="42"/>
      <c r="N7087" s="42"/>
      <c r="O7087" s="44"/>
      <c r="P7087" s="44"/>
      <c r="Q7087" s="43">
        <v>200</v>
      </c>
      <c r="R7087" s="43">
        <v>0</v>
      </c>
      <c r="S7087" s="5">
        <f t="shared" si="443"/>
        <v>5959.3486912881754</v>
      </c>
      <c r="T7087" cm="1">
        <f t="array" ref="T7087">IF(OR(B7087="MAL ALIMI", B7087="ÜRETİM GİRİŞ"), MIN(I7087, MAX(0, I7087 + SUM(SUMIFS($I$1:I7086, $C$1:C7086, C7087, $B$1:B7086, {"MAL ALIMI","ÜRETİM GİRİŞ"})) - VLOOKUP(C7087, 'STOK RAPORU'!$C$2:$I$1000, 4, 0))), 0)</f>
        <v>0</v>
      </c>
      <c r="U7087" s="22">
        <f t="shared" si="440"/>
        <v>0</v>
      </c>
      <c r="V7087">
        <f t="shared" si="441"/>
        <v>0</v>
      </c>
      <c r="W7087" s="22">
        <f t="shared" si="442"/>
        <v>0</v>
      </c>
    </row>
    <row r="7088" spans="1:23" hidden="1" x14ac:dyDescent="0.25">
      <c r="A7088" s="41">
        <v>46155</v>
      </c>
      <c r="B7088" s="42" t="s">
        <v>334</v>
      </c>
      <c r="C7088" s="42" t="s">
        <v>697</v>
      </c>
      <c r="D7088" s="42"/>
      <c r="E7088" s="42"/>
      <c r="F7088" s="42" t="s">
        <v>3409</v>
      </c>
      <c r="G7088" s="42" t="s">
        <v>3410</v>
      </c>
      <c r="H7088" s="42" t="s">
        <v>289</v>
      </c>
      <c r="I7088" s="42">
        <v>0.1</v>
      </c>
      <c r="J7088" s="43">
        <v>750</v>
      </c>
      <c r="K7088" s="43">
        <v>0</v>
      </c>
      <c r="L7088" s="44">
        <v>0</v>
      </c>
      <c r="M7088" s="42"/>
      <c r="N7088" s="42"/>
      <c r="O7088" s="44"/>
      <c r="P7088" s="44"/>
      <c r="Q7088" s="43">
        <v>75</v>
      </c>
      <c r="R7088" s="43">
        <v>0</v>
      </c>
      <c r="S7088" s="5">
        <f t="shared" si="443"/>
        <v>6034.3486912881754</v>
      </c>
      <c r="T7088" cm="1">
        <f t="array" ref="T7088">IF(OR(B7088="MAL ALIMI", B7088="ÜRETİM GİRİŞ"), MIN(I7088, MAX(0, I7088 + SUM(SUMIFS($I$1:I7087, $C$1:C7087, C7088, $B$1:B7087, {"MAL ALIMI","ÜRETİM GİRİŞ"})) - VLOOKUP(C7088, 'STOK RAPORU'!$C$2:$I$1000, 4, 0))), 0)</f>
        <v>0</v>
      </c>
      <c r="U7088" s="22">
        <f t="shared" si="440"/>
        <v>0</v>
      </c>
      <c r="V7088">
        <f t="shared" si="441"/>
        <v>0</v>
      </c>
      <c r="W7088" s="22">
        <f t="shared" si="442"/>
        <v>0</v>
      </c>
    </row>
    <row r="7089" spans="1:23" hidden="1" x14ac:dyDescent="0.25">
      <c r="A7089" s="41">
        <v>46155</v>
      </c>
      <c r="B7089" s="42" t="s">
        <v>334</v>
      </c>
      <c r="C7089" s="42" t="s">
        <v>796</v>
      </c>
      <c r="D7089" s="42"/>
      <c r="E7089" s="42"/>
      <c r="F7089" s="42" t="s">
        <v>3409</v>
      </c>
      <c r="G7089" s="42" t="s">
        <v>3410</v>
      </c>
      <c r="H7089" s="42" t="s">
        <v>289</v>
      </c>
      <c r="I7089" s="42">
        <v>1</v>
      </c>
      <c r="J7089" s="43">
        <v>260</v>
      </c>
      <c r="K7089" s="43">
        <v>0</v>
      </c>
      <c r="L7089" s="44">
        <v>0</v>
      </c>
      <c r="M7089" s="42"/>
      <c r="N7089" s="42"/>
      <c r="O7089" s="44"/>
      <c r="P7089" s="44"/>
      <c r="Q7089" s="43">
        <v>260</v>
      </c>
      <c r="R7089" s="43">
        <v>0</v>
      </c>
      <c r="S7089" s="5">
        <f t="shared" si="443"/>
        <v>6294.3486912881754</v>
      </c>
      <c r="T7089" cm="1">
        <f t="array" ref="T7089">IF(OR(B7089="MAL ALIMI", B7089="ÜRETİM GİRİŞ"), MIN(I7089, MAX(0, I7089 + SUM(SUMIFS($I$1:I7088, $C$1:C7088, C7089, $B$1:B7088, {"MAL ALIMI","ÜRETİM GİRİŞ"})) - VLOOKUP(C7089, 'STOK RAPORU'!$C$2:$I$1000, 4, 0))), 0)</f>
        <v>0</v>
      </c>
      <c r="U7089" s="22">
        <f t="shared" si="440"/>
        <v>0</v>
      </c>
      <c r="V7089">
        <f t="shared" si="441"/>
        <v>0</v>
      </c>
      <c r="W7089" s="22">
        <f t="shared" si="442"/>
        <v>0</v>
      </c>
    </row>
    <row r="7090" spans="1:23" hidden="1" x14ac:dyDescent="0.25">
      <c r="A7090" s="41">
        <v>46155</v>
      </c>
      <c r="B7090" s="42" t="s">
        <v>334</v>
      </c>
      <c r="C7090" s="42" t="s">
        <v>751</v>
      </c>
      <c r="D7090" s="42"/>
      <c r="E7090" s="42"/>
      <c r="F7090" s="42" t="s">
        <v>3409</v>
      </c>
      <c r="G7090" s="42" t="s">
        <v>3410</v>
      </c>
      <c r="H7090" s="42" t="s">
        <v>289</v>
      </c>
      <c r="I7090" s="42">
        <v>2</v>
      </c>
      <c r="J7090" s="43">
        <v>250</v>
      </c>
      <c r="K7090" s="43">
        <v>0</v>
      </c>
      <c r="L7090" s="44">
        <v>0</v>
      </c>
      <c r="M7090" s="42"/>
      <c r="N7090" s="42"/>
      <c r="O7090" s="44"/>
      <c r="P7090" s="44"/>
      <c r="Q7090" s="43">
        <v>500</v>
      </c>
      <c r="R7090" s="43">
        <v>0</v>
      </c>
      <c r="S7090" s="5">
        <f t="shared" si="443"/>
        <v>6794.3486912881754</v>
      </c>
      <c r="T7090" cm="1">
        <f t="array" ref="T7090">IF(OR(B7090="MAL ALIMI", B7090="ÜRETİM GİRİŞ"), MIN(I7090, MAX(0, I7090 + SUM(SUMIFS($I$1:I7089, $C$1:C7089, C7090, $B$1:B7089, {"MAL ALIMI","ÜRETİM GİRİŞ"})) - VLOOKUP(C7090, 'STOK RAPORU'!$C$2:$I$1000, 4, 0))), 0)</f>
        <v>0</v>
      </c>
      <c r="U7090" s="22">
        <f t="shared" ref="U7090:U7153" si="444">T7090*J7090</f>
        <v>0</v>
      </c>
      <c r="V7090">
        <f t="shared" ref="V7090:V7153" si="445">IF(OR(B7090="MAL ALIMI", B7090="ÜRETİM GİRİŞ"), I7090 * J7090, 0)</f>
        <v>0</v>
      </c>
      <c r="W7090" s="22">
        <f t="shared" ref="W7090:W7153" si="446">V7090-U7090</f>
        <v>0</v>
      </c>
    </row>
    <row r="7091" spans="1:23" hidden="1" x14ac:dyDescent="0.25">
      <c r="A7091" s="41">
        <v>46155</v>
      </c>
      <c r="B7091" s="42" t="s">
        <v>334</v>
      </c>
      <c r="C7091" s="42" t="s">
        <v>750</v>
      </c>
      <c r="D7091" s="42"/>
      <c r="E7091" s="42"/>
      <c r="F7091" s="42" t="s">
        <v>3409</v>
      </c>
      <c r="G7091" s="42" t="s">
        <v>3410</v>
      </c>
      <c r="H7091" s="42" t="s">
        <v>289</v>
      </c>
      <c r="I7091" s="42">
        <v>1</v>
      </c>
      <c r="J7091" s="43">
        <v>250</v>
      </c>
      <c r="K7091" s="43">
        <v>0</v>
      </c>
      <c r="L7091" s="44">
        <v>0</v>
      </c>
      <c r="M7091" s="42"/>
      <c r="N7091" s="42"/>
      <c r="O7091" s="44"/>
      <c r="P7091" s="44"/>
      <c r="Q7091" s="43">
        <v>250</v>
      </c>
      <c r="R7091" s="43">
        <v>0</v>
      </c>
      <c r="S7091" s="5">
        <f t="shared" si="443"/>
        <v>7044.3486912881754</v>
      </c>
      <c r="T7091" cm="1">
        <f t="array" ref="T7091">IF(OR(B7091="MAL ALIMI", B7091="ÜRETİM GİRİŞ"), MIN(I7091, MAX(0, I7091 + SUM(SUMIFS($I$1:I7090, $C$1:C7090, C7091, $B$1:B7090, {"MAL ALIMI","ÜRETİM GİRİŞ"})) - VLOOKUP(C7091, 'STOK RAPORU'!$C$2:$I$1000, 4, 0))), 0)</f>
        <v>0</v>
      </c>
      <c r="U7091" s="22">
        <f t="shared" si="444"/>
        <v>0</v>
      </c>
      <c r="V7091">
        <f t="shared" si="445"/>
        <v>0</v>
      </c>
      <c r="W7091" s="22">
        <f t="shared" si="446"/>
        <v>0</v>
      </c>
    </row>
    <row r="7092" spans="1:23" hidden="1" x14ac:dyDescent="0.25">
      <c r="A7092" s="41">
        <v>46155</v>
      </c>
      <c r="B7092" s="42" t="s">
        <v>334</v>
      </c>
      <c r="C7092" s="42" t="s">
        <v>690</v>
      </c>
      <c r="D7092" s="42"/>
      <c r="E7092" s="42"/>
      <c r="F7092" s="42" t="s">
        <v>3409</v>
      </c>
      <c r="G7092" s="42" t="s">
        <v>3410</v>
      </c>
      <c r="H7092" s="42" t="s">
        <v>289</v>
      </c>
      <c r="I7092" s="42">
        <v>0.53</v>
      </c>
      <c r="J7092" s="43">
        <v>350</v>
      </c>
      <c r="K7092" s="43">
        <v>0</v>
      </c>
      <c r="L7092" s="44">
        <v>0</v>
      </c>
      <c r="M7092" s="42"/>
      <c r="N7092" s="42"/>
      <c r="O7092" s="44"/>
      <c r="P7092" s="44"/>
      <c r="Q7092" s="43">
        <v>185.5</v>
      </c>
      <c r="R7092" s="43">
        <v>0</v>
      </c>
      <c r="S7092" s="5">
        <f t="shared" si="443"/>
        <v>7229.8486912881754</v>
      </c>
      <c r="T7092" cm="1">
        <f t="array" ref="T7092">IF(OR(B7092="MAL ALIMI", B7092="ÜRETİM GİRİŞ"), MIN(I7092, MAX(0, I7092 + SUM(SUMIFS($I$1:I7091, $C$1:C7091, C7092, $B$1:B7091, {"MAL ALIMI","ÜRETİM GİRİŞ"})) - VLOOKUP(C7092, 'STOK RAPORU'!$C$2:$I$1000, 4, 0))), 0)</f>
        <v>0</v>
      </c>
      <c r="U7092" s="22">
        <f t="shared" si="444"/>
        <v>0</v>
      </c>
      <c r="V7092">
        <f t="shared" si="445"/>
        <v>0</v>
      </c>
      <c r="W7092" s="22">
        <f t="shared" si="446"/>
        <v>0</v>
      </c>
    </row>
    <row r="7093" spans="1:23" hidden="1" x14ac:dyDescent="0.25">
      <c r="A7093" s="41">
        <v>46155</v>
      </c>
      <c r="B7093" s="42" t="s">
        <v>334</v>
      </c>
      <c r="C7093" s="42" t="s">
        <v>827</v>
      </c>
      <c r="D7093" s="42"/>
      <c r="E7093" s="42"/>
      <c r="F7093" s="42" t="s">
        <v>3409</v>
      </c>
      <c r="G7093" s="42" t="s">
        <v>3410</v>
      </c>
      <c r="H7093" s="42" t="s">
        <v>289</v>
      </c>
      <c r="I7093" s="42">
        <v>1</v>
      </c>
      <c r="J7093" s="43">
        <v>130</v>
      </c>
      <c r="K7093" s="43">
        <v>0</v>
      </c>
      <c r="L7093" s="44">
        <v>0</v>
      </c>
      <c r="M7093" s="42"/>
      <c r="N7093" s="42"/>
      <c r="O7093" s="44"/>
      <c r="P7093" s="44"/>
      <c r="Q7093" s="43">
        <v>130</v>
      </c>
      <c r="R7093" s="43">
        <v>0</v>
      </c>
      <c r="S7093" s="5">
        <f t="shared" si="443"/>
        <v>7359.8486912881754</v>
      </c>
      <c r="T7093" cm="1">
        <f t="array" ref="T7093">IF(OR(B7093="MAL ALIMI", B7093="ÜRETİM GİRİŞ"), MIN(I7093, MAX(0, I7093 + SUM(SUMIFS($I$1:I7092, $C$1:C7092, C7093, $B$1:B7092, {"MAL ALIMI","ÜRETİM GİRİŞ"})) - VLOOKUP(C7093, 'STOK RAPORU'!$C$2:$I$1000, 4, 0))), 0)</f>
        <v>0</v>
      </c>
      <c r="U7093" s="22">
        <f t="shared" si="444"/>
        <v>0</v>
      </c>
      <c r="V7093">
        <f t="shared" si="445"/>
        <v>0</v>
      </c>
      <c r="W7093" s="22">
        <f t="shared" si="446"/>
        <v>0</v>
      </c>
    </row>
    <row r="7094" spans="1:23" hidden="1" x14ac:dyDescent="0.25">
      <c r="A7094" s="41">
        <v>46155</v>
      </c>
      <c r="B7094" s="42" t="s">
        <v>334</v>
      </c>
      <c r="C7094" s="42" t="s">
        <v>2125</v>
      </c>
      <c r="D7094" s="42"/>
      <c r="E7094" s="42"/>
      <c r="F7094" s="42" t="s">
        <v>3409</v>
      </c>
      <c r="G7094" s="42" t="s">
        <v>3410</v>
      </c>
      <c r="H7094" s="42" t="s">
        <v>289</v>
      </c>
      <c r="I7094" s="42">
        <v>0.5</v>
      </c>
      <c r="J7094" s="43">
        <v>370</v>
      </c>
      <c r="K7094" s="43">
        <v>0</v>
      </c>
      <c r="L7094" s="44">
        <v>0</v>
      </c>
      <c r="M7094" s="42"/>
      <c r="N7094" s="42"/>
      <c r="O7094" s="44"/>
      <c r="P7094" s="44"/>
      <c r="Q7094" s="43">
        <v>185</v>
      </c>
      <c r="R7094" s="43">
        <v>0</v>
      </c>
      <c r="S7094" s="5">
        <f t="shared" si="443"/>
        <v>7544.8486912881754</v>
      </c>
      <c r="T7094" cm="1">
        <f t="array" ref="T7094">IF(OR(B7094="MAL ALIMI", B7094="ÜRETİM GİRİŞ"), MIN(I7094, MAX(0, I7094 + SUM(SUMIFS($I$1:I7093, $C$1:C7093, C7094, $B$1:B7093, {"MAL ALIMI","ÜRETİM GİRİŞ"})) - VLOOKUP(C7094, 'STOK RAPORU'!$C$2:$I$1000, 4, 0))), 0)</f>
        <v>0</v>
      </c>
      <c r="U7094" s="22">
        <f t="shared" si="444"/>
        <v>0</v>
      </c>
      <c r="V7094">
        <f t="shared" si="445"/>
        <v>0</v>
      </c>
      <c r="W7094" s="22">
        <f t="shared" si="446"/>
        <v>0</v>
      </c>
    </row>
    <row r="7095" spans="1:23" hidden="1" x14ac:dyDescent="0.25">
      <c r="A7095" s="41">
        <v>46155</v>
      </c>
      <c r="B7095" s="42" t="s">
        <v>334</v>
      </c>
      <c r="C7095" s="42" t="s">
        <v>156</v>
      </c>
      <c r="D7095" s="42"/>
      <c r="E7095" s="42"/>
      <c r="F7095" s="42" t="s">
        <v>3411</v>
      </c>
      <c r="G7095" s="42" t="s">
        <v>3412</v>
      </c>
      <c r="H7095" s="42" t="s">
        <v>289</v>
      </c>
      <c r="I7095" s="42">
        <v>1</v>
      </c>
      <c r="J7095" s="43">
        <v>200</v>
      </c>
      <c r="K7095" s="43">
        <v>0</v>
      </c>
      <c r="L7095" s="44">
        <v>0</v>
      </c>
      <c r="M7095" s="42"/>
      <c r="N7095" s="42"/>
      <c r="O7095" s="44"/>
      <c r="P7095" s="44"/>
      <c r="Q7095" s="43">
        <v>200</v>
      </c>
      <c r="R7095" s="21">
        <v>0</v>
      </c>
      <c r="S7095" s="5">
        <f t="shared" si="443"/>
        <v>7744.8486912881754</v>
      </c>
      <c r="T7095" cm="1">
        <f t="array" ref="T7095">IF(OR(B7095="MAL ALIMI", B7095="ÜRETİM GİRİŞ"), MIN(I7095, MAX(0, I7095 + SUM(SUMIFS($I$1:I7094, $C$1:C7094, C7095, $B$1:B7094, {"MAL ALIMI","ÜRETİM GİRİŞ"})) - VLOOKUP(C7095, 'STOK RAPORU'!$C$2:$I$1000, 4, 0))), 0)</f>
        <v>0</v>
      </c>
      <c r="U7095" s="22">
        <f t="shared" si="444"/>
        <v>0</v>
      </c>
      <c r="V7095">
        <f t="shared" si="445"/>
        <v>0</v>
      </c>
      <c r="W7095" s="22">
        <f t="shared" si="446"/>
        <v>0</v>
      </c>
    </row>
    <row r="7096" spans="1:23" hidden="1" x14ac:dyDescent="0.25">
      <c r="A7096" s="41">
        <v>46155</v>
      </c>
      <c r="B7096" s="42" t="s">
        <v>334</v>
      </c>
      <c r="C7096" s="42" t="s">
        <v>158</v>
      </c>
      <c r="D7096" s="42"/>
      <c r="E7096" s="42"/>
      <c r="F7096" s="42" t="s">
        <v>3411</v>
      </c>
      <c r="G7096" s="42" t="s">
        <v>3412</v>
      </c>
      <c r="H7096" s="42" t="s">
        <v>289</v>
      </c>
      <c r="I7096" s="42">
        <v>1</v>
      </c>
      <c r="J7096" s="43">
        <v>150</v>
      </c>
      <c r="K7096" s="43">
        <v>0</v>
      </c>
      <c r="L7096" s="44">
        <v>0</v>
      </c>
      <c r="M7096" s="42"/>
      <c r="N7096" s="42"/>
      <c r="O7096" s="44"/>
      <c r="P7096" s="44"/>
      <c r="Q7096" s="43">
        <v>150</v>
      </c>
      <c r="R7096" s="21">
        <v>0</v>
      </c>
      <c r="S7096" s="5">
        <f t="shared" si="443"/>
        <v>7894.8486912881754</v>
      </c>
      <c r="T7096" cm="1">
        <f t="array" ref="T7096">IF(OR(B7096="MAL ALIMI", B7096="ÜRETİM GİRİŞ"), MIN(I7096, MAX(0, I7096 + SUM(SUMIFS($I$1:I7095, $C$1:C7095, C7096, $B$1:B7095, {"MAL ALIMI","ÜRETİM GİRİŞ"})) - VLOOKUP(C7096, 'STOK RAPORU'!$C$2:$I$1000, 4, 0))), 0)</f>
        <v>0</v>
      </c>
      <c r="U7096" s="22">
        <f t="shared" si="444"/>
        <v>0</v>
      </c>
      <c r="V7096">
        <f t="shared" si="445"/>
        <v>0</v>
      </c>
      <c r="W7096" s="22">
        <f t="shared" si="446"/>
        <v>0</v>
      </c>
    </row>
    <row r="7097" spans="1:23" hidden="1" x14ac:dyDescent="0.25">
      <c r="A7097" s="3">
        <v>46155</v>
      </c>
      <c r="B7097" s="46" t="s">
        <v>334</v>
      </c>
      <c r="C7097" s="4" t="s">
        <v>91</v>
      </c>
      <c r="D7097" s="4"/>
      <c r="E7097" s="4"/>
      <c r="F7097" s="46" t="s">
        <v>3413</v>
      </c>
      <c r="G7097" s="4" t="s">
        <v>336</v>
      </c>
      <c r="H7097" s="4" t="s">
        <v>289</v>
      </c>
      <c r="I7097" s="4">
        <v>5.8823529411764705E-2</v>
      </c>
      <c r="J7097" s="21">
        <v>850</v>
      </c>
      <c r="K7097" s="21">
        <v>0</v>
      </c>
      <c r="L7097" s="5">
        <v>0</v>
      </c>
      <c r="M7097" s="4"/>
      <c r="N7097" s="4"/>
      <c r="O7097" s="5"/>
      <c r="P7097" s="5"/>
      <c r="Q7097" s="21">
        <v>50</v>
      </c>
      <c r="R7097" s="21">
        <v>0</v>
      </c>
      <c r="S7097" s="5">
        <f t="shared" si="443"/>
        <v>7944.8486912881754</v>
      </c>
      <c r="T7097" cm="1">
        <f t="array" ref="T7097">IF(OR(B7097="MAL ALIMI", B7097="ÜRETİM GİRİŞ"), MIN(I7097, MAX(0, I7097 + SUM(SUMIFS($I$1:I7096, $C$1:C7096, C7097, $B$1:B7096, {"MAL ALIMI","ÜRETİM GİRİŞ"})) - VLOOKUP(C7097, 'STOK RAPORU'!$C$2:$I$1000, 4, 0))), 0)</f>
        <v>0</v>
      </c>
      <c r="U7097" s="22">
        <f t="shared" si="444"/>
        <v>0</v>
      </c>
      <c r="V7097">
        <f t="shared" si="445"/>
        <v>0</v>
      </c>
      <c r="W7097" s="22">
        <f t="shared" si="446"/>
        <v>0</v>
      </c>
    </row>
    <row r="7098" spans="1:23" hidden="1" x14ac:dyDescent="0.25">
      <c r="A7098" s="3">
        <v>46155</v>
      </c>
      <c r="B7098" s="46" t="s">
        <v>334</v>
      </c>
      <c r="C7098" s="4" t="s">
        <v>133</v>
      </c>
      <c r="D7098" s="4"/>
      <c r="E7098" s="4"/>
      <c r="F7098" s="46" t="s">
        <v>3413</v>
      </c>
      <c r="G7098" s="4" t="s">
        <v>336</v>
      </c>
      <c r="H7098" s="4" t="s">
        <v>289</v>
      </c>
      <c r="I7098" s="4">
        <v>0.125</v>
      </c>
      <c r="J7098" s="21">
        <v>400</v>
      </c>
      <c r="K7098" s="21">
        <v>0</v>
      </c>
      <c r="L7098" s="5">
        <v>0</v>
      </c>
      <c r="M7098" s="4"/>
      <c r="N7098" s="4"/>
      <c r="O7098" s="5"/>
      <c r="P7098" s="5"/>
      <c r="Q7098" s="21">
        <v>50</v>
      </c>
      <c r="R7098" s="21">
        <v>0</v>
      </c>
      <c r="S7098" s="5">
        <f t="shared" si="443"/>
        <v>7994.8486912881754</v>
      </c>
      <c r="T7098" cm="1">
        <f t="array" ref="T7098">IF(OR(B7098="MAL ALIMI", B7098="ÜRETİM GİRİŞ"), MIN(I7098, MAX(0, I7098 + SUM(SUMIFS($I$1:I7097, $C$1:C7097, C7098, $B$1:B7097, {"MAL ALIMI","ÜRETİM GİRİŞ"})) - VLOOKUP(C7098, 'STOK RAPORU'!$C$2:$I$1000, 4, 0))), 0)</f>
        <v>0</v>
      </c>
      <c r="U7098" s="22">
        <f t="shared" si="444"/>
        <v>0</v>
      </c>
      <c r="V7098">
        <f t="shared" si="445"/>
        <v>0</v>
      </c>
      <c r="W7098" s="22">
        <f t="shared" si="446"/>
        <v>0</v>
      </c>
    </row>
    <row r="7099" spans="1:23" hidden="1" x14ac:dyDescent="0.25">
      <c r="A7099" s="3">
        <v>46155</v>
      </c>
      <c r="B7099" s="46" t="s">
        <v>334</v>
      </c>
      <c r="C7099" s="4" t="s">
        <v>464</v>
      </c>
      <c r="D7099" s="4"/>
      <c r="E7099" s="4"/>
      <c r="F7099" s="46" t="s">
        <v>3414</v>
      </c>
      <c r="G7099" s="4" t="s">
        <v>336</v>
      </c>
      <c r="H7099" s="4" t="s">
        <v>289</v>
      </c>
      <c r="I7099" s="4">
        <v>1</v>
      </c>
      <c r="J7099" s="21">
        <v>50</v>
      </c>
      <c r="K7099" s="21">
        <v>0</v>
      </c>
      <c r="L7099" s="5">
        <v>0</v>
      </c>
      <c r="M7099" s="4"/>
      <c r="N7099" s="4"/>
      <c r="O7099" s="5"/>
      <c r="P7099" s="5"/>
      <c r="Q7099" s="21">
        <v>50</v>
      </c>
      <c r="R7099" s="21">
        <v>0</v>
      </c>
      <c r="S7099" s="5">
        <f t="shared" si="443"/>
        <v>8044.8486912881754</v>
      </c>
      <c r="T7099" cm="1">
        <f t="array" ref="T7099">IF(OR(B7099="MAL ALIMI", B7099="ÜRETİM GİRİŞ"), MIN(I7099, MAX(0, I7099 + SUM(SUMIFS($I$1:I7098, $C$1:C7098, C7099, $B$1:B7098, {"MAL ALIMI","ÜRETİM GİRİŞ"})) - VLOOKUP(C7099, 'STOK RAPORU'!$C$2:$I$1000, 4, 0))), 0)</f>
        <v>0</v>
      </c>
      <c r="U7099" s="22">
        <f t="shared" si="444"/>
        <v>0</v>
      </c>
      <c r="V7099">
        <f t="shared" si="445"/>
        <v>0</v>
      </c>
      <c r="W7099" s="22">
        <f t="shared" si="446"/>
        <v>0</v>
      </c>
    </row>
    <row r="7100" spans="1:23" hidden="1" x14ac:dyDescent="0.25">
      <c r="A7100" s="3">
        <v>46155</v>
      </c>
      <c r="B7100" s="46" t="s">
        <v>334</v>
      </c>
      <c r="C7100" s="4" t="s">
        <v>470</v>
      </c>
      <c r="D7100" s="4"/>
      <c r="E7100" s="4"/>
      <c r="F7100" s="46" t="s">
        <v>3414</v>
      </c>
      <c r="G7100" s="4" t="s">
        <v>336</v>
      </c>
      <c r="H7100" s="4" t="s">
        <v>289</v>
      </c>
      <c r="I7100" s="4">
        <v>1</v>
      </c>
      <c r="J7100" s="21">
        <v>50</v>
      </c>
      <c r="K7100" s="21">
        <v>0</v>
      </c>
      <c r="L7100" s="5">
        <v>0</v>
      </c>
      <c r="M7100" s="4"/>
      <c r="N7100" s="4"/>
      <c r="O7100" s="5"/>
      <c r="P7100" s="5"/>
      <c r="Q7100" s="21">
        <v>50</v>
      </c>
      <c r="R7100" s="21">
        <v>0</v>
      </c>
      <c r="S7100" s="5">
        <f t="shared" si="443"/>
        <v>8094.8486912881754</v>
      </c>
      <c r="T7100" cm="1">
        <f t="array" ref="T7100">IF(OR(B7100="MAL ALIMI", B7100="ÜRETİM GİRİŞ"), MIN(I7100, MAX(0, I7100 + SUM(SUMIFS($I$1:I7099, $C$1:C7099, C7100, $B$1:B7099, {"MAL ALIMI","ÜRETİM GİRİŞ"})) - VLOOKUP(C7100, 'STOK RAPORU'!$C$2:$I$1000, 4, 0))), 0)</f>
        <v>0</v>
      </c>
      <c r="U7100" s="22">
        <f t="shared" si="444"/>
        <v>0</v>
      </c>
      <c r="V7100">
        <f t="shared" si="445"/>
        <v>0</v>
      </c>
      <c r="W7100" s="22">
        <f t="shared" si="446"/>
        <v>0</v>
      </c>
    </row>
    <row r="7101" spans="1:23" hidden="1" x14ac:dyDescent="0.25">
      <c r="A7101" s="3">
        <v>46155</v>
      </c>
      <c r="B7101" s="46" t="s">
        <v>334</v>
      </c>
      <c r="C7101" s="4" t="s">
        <v>468</v>
      </c>
      <c r="D7101" s="4"/>
      <c r="E7101" s="4"/>
      <c r="F7101" s="46" t="s">
        <v>3414</v>
      </c>
      <c r="G7101" s="4" t="s">
        <v>336</v>
      </c>
      <c r="H7101" s="4" t="s">
        <v>289</v>
      </c>
      <c r="I7101" s="4">
        <v>1</v>
      </c>
      <c r="J7101" s="21">
        <v>50</v>
      </c>
      <c r="K7101" s="21">
        <v>0</v>
      </c>
      <c r="L7101" s="5">
        <v>0</v>
      </c>
      <c r="M7101" s="4"/>
      <c r="N7101" s="4"/>
      <c r="O7101" s="5"/>
      <c r="P7101" s="5"/>
      <c r="Q7101" s="21">
        <v>50</v>
      </c>
      <c r="R7101" s="21">
        <v>0</v>
      </c>
      <c r="S7101" s="5">
        <f t="shared" si="443"/>
        <v>8144.8486912881754</v>
      </c>
      <c r="T7101" cm="1">
        <f t="array" ref="T7101">IF(OR(B7101="MAL ALIMI", B7101="ÜRETİM GİRİŞ"), MIN(I7101, MAX(0, I7101 + SUM(SUMIFS($I$1:I7100, $C$1:C7100, C7101, $B$1:B7100, {"MAL ALIMI","ÜRETİM GİRİŞ"})) - VLOOKUP(C7101, 'STOK RAPORU'!$C$2:$I$1000, 4, 0))), 0)</f>
        <v>0</v>
      </c>
      <c r="U7101" s="22">
        <f t="shared" si="444"/>
        <v>0</v>
      </c>
      <c r="V7101">
        <f t="shared" si="445"/>
        <v>0</v>
      </c>
      <c r="W7101" s="22">
        <f t="shared" si="446"/>
        <v>0</v>
      </c>
    </row>
    <row r="7102" spans="1:23" hidden="1" x14ac:dyDescent="0.25">
      <c r="A7102" s="3">
        <v>46155</v>
      </c>
      <c r="B7102" s="46" t="s">
        <v>334</v>
      </c>
      <c r="C7102" s="4" t="s">
        <v>465</v>
      </c>
      <c r="D7102" s="4"/>
      <c r="E7102" s="4"/>
      <c r="F7102" s="46" t="s">
        <v>3414</v>
      </c>
      <c r="G7102" s="4" t="s">
        <v>336</v>
      </c>
      <c r="H7102" s="4" t="s">
        <v>289</v>
      </c>
      <c r="I7102" s="4">
        <v>1</v>
      </c>
      <c r="J7102" s="21">
        <v>50</v>
      </c>
      <c r="K7102" s="21">
        <v>0</v>
      </c>
      <c r="L7102" s="5">
        <v>0</v>
      </c>
      <c r="M7102" s="4"/>
      <c r="N7102" s="4"/>
      <c r="O7102" s="5"/>
      <c r="P7102" s="5"/>
      <c r="Q7102" s="21">
        <v>50</v>
      </c>
      <c r="R7102" s="21">
        <v>0</v>
      </c>
      <c r="S7102" s="5">
        <f t="shared" si="443"/>
        <v>8194.8486912881745</v>
      </c>
      <c r="T7102" cm="1">
        <f t="array" ref="T7102">IF(OR(B7102="MAL ALIMI", B7102="ÜRETİM GİRİŞ"), MIN(I7102, MAX(0, I7102 + SUM(SUMIFS($I$1:I7101, $C$1:C7101, C7102, $B$1:B7101, {"MAL ALIMI","ÜRETİM GİRİŞ"})) - VLOOKUP(C7102, 'STOK RAPORU'!$C$2:$I$1000, 4, 0))), 0)</f>
        <v>0</v>
      </c>
      <c r="U7102" s="22">
        <f t="shared" si="444"/>
        <v>0</v>
      </c>
      <c r="V7102">
        <f t="shared" si="445"/>
        <v>0</v>
      </c>
      <c r="W7102" s="22">
        <f t="shared" si="446"/>
        <v>0</v>
      </c>
    </row>
    <row r="7103" spans="1:23" hidden="1" x14ac:dyDescent="0.25">
      <c r="A7103" s="3">
        <v>46155</v>
      </c>
      <c r="B7103" s="46" t="s">
        <v>334</v>
      </c>
      <c r="C7103" s="4" t="s">
        <v>469</v>
      </c>
      <c r="D7103" s="4"/>
      <c r="E7103" s="4"/>
      <c r="F7103" s="46" t="s">
        <v>3414</v>
      </c>
      <c r="G7103" s="4" t="s">
        <v>336</v>
      </c>
      <c r="H7103" s="4" t="s">
        <v>289</v>
      </c>
      <c r="I7103" s="4">
        <v>1</v>
      </c>
      <c r="J7103" s="21">
        <v>50</v>
      </c>
      <c r="K7103" s="21">
        <v>0</v>
      </c>
      <c r="L7103" s="5">
        <v>0</v>
      </c>
      <c r="M7103" s="4"/>
      <c r="N7103" s="4"/>
      <c r="O7103" s="5"/>
      <c r="P7103" s="5"/>
      <c r="Q7103" s="21">
        <v>50</v>
      </c>
      <c r="R7103" s="21">
        <v>0</v>
      </c>
      <c r="S7103" s="5">
        <f t="shared" si="443"/>
        <v>8244.8486912881745</v>
      </c>
      <c r="T7103" cm="1">
        <f t="array" ref="T7103">IF(OR(B7103="MAL ALIMI", B7103="ÜRETİM GİRİŞ"), MIN(I7103, MAX(0, I7103 + SUM(SUMIFS($I$1:I7102, $C$1:C7102, C7103, $B$1:B7102, {"MAL ALIMI","ÜRETİM GİRİŞ"})) - VLOOKUP(C7103, 'STOK RAPORU'!$C$2:$I$1000, 4, 0))), 0)</f>
        <v>0</v>
      </c>
      <c r="U7103" s="22">
        <f t="shared" si="444"/>
        <v>0</v>
      </c>
      <c r="V7103">
        <f t="shared" si="445"/>
        <v>0</v>
      </c>
      <c r="W7103" s="22">
        <f t="shared" si="446"/>
        <v>0</v>
      </c>
    </row>
    <row r="7104" spans="1:23" hidden="1" x14ac:dyDescent="0.25">
      <c r="A7104" s="3">
        <v>46155</v>
      </c>
      <c r="B7104" s="46" t="s">
        <v>334</v>
      </c>
      <c r="C7104" s="4" t="s">
        <v>160</v>
      </c>
      <c r="D7104" s="4"/>
      <c r="E7104" s="4" t="s">
        <v>921</v>
      </c>
      <c r="F7104" s="46" t="s">
        <v>3415</v>
      </c>
      <c r="G7104" s="4" t="s">
        <v>336</v>
      </c>
      <c r="H7104" s="4" t="s">
        <v>380</v>
      </c>
      <c r="I7104" s="4">
        <v>1</v>
      </c>
      <c r="J7104" s="21">
        <v>250</v>
      </c>
      <c r="K7104" s="21">
        <v>250</v>
      </c>
      <c r="L7104" s="5">
        <v>0</v>
      </c>
      <c r="M7104" s="4"/>
      <c r="N7104" s="4"/>
      <c r="O7104" s="5"/>
      <c r="P7104" s="5"/>
      <c r="Q7104" s="21">
        <v>0</v>
      </c>
      <c r="R7104" s="21">
        <v>0</v>
      </c>
      <c r="S7104" s="5">
        <f t="shared" si="443"/>
        <v>8244.8486912881745</v>
      </c>
      <c r="T7104" cm="1">
        <f t="array" ref="T7104">IF(OR(B7104="MAL ALIMI", B7104="ÜRETİM GİRİŞ"), MIN(I7104, MAX(0, I7104 + SUM(SUMIFS($I$1:I7103, $C$1:C7103, C7104, $B$1:B7103, {"MAL ALIMI","ÜRETİM GİRİŞ"})) - VLOOKUP(C7104, 'STOK RAPORU'!$C$2:$I$1000, 4, 0))), 0)</f>
        <v>0</v>
      </c>
      <c r="U7104" s="22">
        <f t="shared" si="444"/>
        <v>0</v>
      </c>
      <c r="V7104">
        <f t="shared" si="445"/>
        <v>0</v>
      </c>
      <c r="W7104" s="22">
        <f t="shared" si="446"/>
        <v>0</v>
      </c>
    </row>
    <row r="7105" spans="1:23" hidden="1" x14ac:dyDescent="0.25">
      <c r="A7105" s="41">
        <v>46155</v>
      </c>
      <c r="B7105" s="42" t="s">
        <v>334</v>
      </c>
      <c r="C7105" s="42" t="s">
        <v>195</v>
      </c>
      <c r="D7105" s="42"/>
      <c r="E7105" s="42"/>
      <c r="F7105" s="42" t="s">
        <v>3416</v>
      </c>
      <c r="G7105" s="42" t="s">
        <v>3417</v>
      </c>
      <c r="H7105" s="42" t="s">
        <v>289</v>
      </c>
      <c r="I7105" s="42">
        <v>0.05</v>
      </c>
      <c r="J7105" s="43">
        <v>1000</v>
      </c>
      <c r="K7105" s="43">
        <v>0</v>
      </c>
      <c r="L7105" s="44">
        <v>0</v>
      </c>
      <c r="M7105" s="42"/>
      <c r="N7105" s="42"/>
      <c r="O7105" s="44"/>
      <c r="P7105" s="44"/>
      <c r="Q7105" s="43">
        <v>50</v>
      </c>
      <c r="R7105" s="43">
        <v>0</v>
      </c>
      <c r="S7105" s="5">
        <f t="shared" si="443"/>
        <v>8294.8486912881745</v>
      </c>
      <c r="T7105" cm="1">
        <f t="array" ref="T7105">IF(OR(B7105="MAL ALIMI", B7105="ÜRETİM GİRİŞ"), MIN(I7105, MAX(0, I7105 + SUM(SUMIFS($I$1:I7104, $C$1:C7104, C7105, $B$1:B7104, {"MAL ALIMI","ÜRETİM GİRİŞ"})) - VLOOKUP(C7105, 'STOK RAPORU'!$C$2:$I$1000, 4, 0))), 0)</f>
        <v>0</v>
      </c>
      <c r="U7105" s="22">
        <f t="shared" si="444"/>
        <v>0</v>
      </c>
      <c r="V7105">
        <f t="shared" si="445"/>
        <v>0</v>
      </c>
      <c r="W7105" s="22">
        <f t="shared" si="446"/>
        <v>0</v>
      </c>
    </row>
    <row r="7106" spans="1:23" hidden="1" x14ac:dyDescent="0.25">
      <c r="A7106" s="41">
        <v>46155</v>
      </c>
      <c r="B7106" s="42" t="s">
        <v>334</v>
      </c>
      <c r="C7106" s="42" t="s">
        <v>750</v>
      </c>
      <c r="D7106" s="42"/>
      <c r="E7106" s="42"/>
      <c r="F7106" s="42" t="s">
        <v>3416</v>
      </c>
      <c r="G7106" s="42" t="s">
        <v>3417</v>
      </c>
      <c r="H7106" s="42" t="s">
        <v>289</v>
      </c>
      <c r="I7106" s="42">
        <v>1</v>
      </c>
      <c r="J7106" s="43">
        <v>250</v>
      </c>
      <c r="K7106" s="43">
        <v>0</v>
      </c>
      <c r="L7106" s="44">
        <v>0</v>
      </c>
      <c r="M7106" s="42"/>
      <c r="N7106" s="42"/>
      <c r="O7106" s="44"/>
      <c r="P7106" s="44"/>
      <c r="Q7106" s="43">
        <v>250</v>
      </c>
      <c r="R7106" s="43">
        <v>0</v>
      </c>
      <c r="S7106" s="5">
        <f t="shared" si="443"/>
        <v>8544.8486912881745</v>
      </c>
      <c r="T7106" cm="1">
        <f t="array" ref="T7106">IF(OR(B7106="MAL ALIMI", B7106="ÜRETİM GİRİŞ"), MIN(I7106, MAX(0, I7106 + SUM(SUMIFS($I$1:I7105, $C$1:C7105, C7106, $B$1:B7105, {"MAL ALIMI","ÜRETİM GİRİŞ"})) - VLOOKUP(C7106, 'STOK RAPORU'!$C$2:$I$1000, 4, 0))), 0)</f>
        <v>0</v>
      </c>
      <c r="U7106" s="22">
        <f t="shared" si="444"/>
        <v>0</v>
      </c>
      <c r="V7106">
        <f t="shared" si="445"/>
        <v>0</v>
      </c>
      <c r="W7106" s="22">
        <f t="shared" si="446"/>
        <v>0</v>
      </c>
    </row>
    <row r="7107" spans="1:23" hidden="1" x14ac:dyDescent="0.25">
      <c r="A7107" s="41">
        <v>46155</v>
      </c>
      <c r="B7107" s="42" t="s">
        <v>334</v>
      </c>
      <c r="C7107" s="42" t="s">
        <v>1366</v>
      </c>
      <c r="D7107" s="42"/>
      <c r="E7107" s="42"/>
      <c r="F7107" s="42" t="s">
        <v>3416</v>
      </c>
      <c r="G7107" s="42" t="s">
        <v>3417</v>
      </c>
      <c r="H7107" s="42" t="s">
        <v>289</v>
      </c>
      <c r="I7107" s="42">
        <v>1</v>
      </c>
      <c r="J7107" s="43">
        <v>195</v>
      </c>
      <c r="K7107" s="43">
        <v>0</v>
      </c>
      <c r="L7107" s="44">
        <v>0</v>
      </c>
      <c r="M7107" s="42"/>
      <c r="N7107" s="42"/>
      <c r="O7107" s="44"/>
      <c r="P7107" s="44"/>
      <c r="Q7107" s="43">
        <v>195</v>
      </c>
      <c r="R7107" s="43">
        <v>0</v>
      </c>
      <c r="S7107" s="5">
        <f t="shared" si="443"/>
        <v>8739.8486912881745</v>
      </c>
      <c r="T7107" cm="1">
        <f t="array" ref="T7107">IF(OR(B7107="MAL ALIMI", B7107="ÜRETİM GİRİŞ"), MIN(I7107, MAX(0, I7107 + SUM(SUMIFS($I$1:I7106, $C$1:C7106, C7107, $B$1:B7106, {"MAL ALIMI","ÜRETİM GİRİŞ"})) - VLOOKUP(C7107, 'STOK RAPORU'!$C$2:$I$1000, 4, 0))), 0)</f>
        <v>0</v>
      </c>
      <c r="U7107" s="22">
        <f t="shared" si="444"/>
        <v>0</v>
      </c>
      <c r="V7107">
        <f t="shared" si="445"/>
        <v>0</v>
      </c>
      <c r="W7107" s="22">
        <f t="shared" si="446"/>
        <v>0</v>
      </c>
    </row>
    <row r="7108" spans="1:23" hidden="1" x14ac:dyDescent="0.25">
      <c r="A7108" s="41">
        <v>46155</v>
      </c>
      <c r="B7108" s="42" t="s">
        <v>334</v>
      </c>
      <c r="C7108" s="42" t="s">
        <v>722</v>
      </c>
      <c r="D7108" s="42"/>
      <c r="E7108" s="42"/>
      <c r="F7108" s="42" t="s">
        <v>3419</v>
      </c>
      <c r="G7108" s="42" t="s">
        <v>3418</v>
      </c>
      <c r="H7108" s="42" t="s">
        <v>289</v>
      </c>
      <c r="I7108" s="42">
        <v>1</v>
      </c>
      <c r="J7108" s="43">
        <v>430</v>
      </c>
      <c r="K7108" s="43">
        <v>0</v>
      </c>
      <c r="L7108" s="44">
        <v>0</v>
      </c>
      <c r="M7108" s="42"/>
      <c r="N7108" s="42"/>
      <c r="O7108" s="44"/>
      <c r="P7108" s="44"/>
      <c r="Q7108" s="43">
        <v>430</v>
      </c>
      <c r="R7108" s="43">
        <v>0</v>
      </c>
      <c r="S7108" s="5">
        <f t="shared" ref="S7108:S7171" si="447">S7107+Q7108-R7108</f>
        <v>9169.8486912881745</v>
      </c>
      <c r="T7108" cm="1">
        <f t="array" ref="T7108">IF(OR(B7108="MAL ALIMI", B7108="ÜRETİM GİRİŞ"), MIN(I7108, MAX(0, I7108 + SUM(SUMIFS($I$1:I7107, $C$1:C7107, C7108, $B$1:B7107, {"MAL ALIMI","ÜRETİM GİRİŞ"})) - VLOOKUP(C7108, 'STOK RAPORU'!$C$2:$I$1000, 4, 0))), 0)</f>
        <v>0</v>
      </c>
      <c r="U7108" s="22">
        <f t="shared" si="444"/>
        <v>0</v>
      </c>
      <c r="V7108">
        <f t="shared" si="445"/>
        <v>0</v>
      </c>
      <c r="W7108" s="22">
        <f t="shared" si="446"/>
        <v>0</v>
      </c>
    </row>
    <row r="7109" spans="1:23" hidden="1" x14ac:dyDescent="0.25">
      <c r="A7109" s="41">
        <v>46155</v>
      </c>
      <c r="B7109" s="42" t="s">
        <v>334</v>
      </c>
      <c r="C7109" s="42" t="s">
        <v>717</v>
      </c>
      <c r="D7109" s="42"/>
      <c r="E7109" s="42"/>
      <c r="F7109" s="42" t="s">
        <v>3419</v>
      </c>
      <c r="G7109" s="42" t="s">
        <v>3418</v>
      </c>
      <c r="H7109" s="42" t="s">
        <v>289</v>
      </c>
      <c r="I7109" s="42">
        <v>1</v>
      </c>
      <c r="J7109" s="43">
        <v>350</v>
      </c>
      <c r="K7109" s="43">
        <v>0</v>
      </c>
      <c r="L7109" s="44">
        <v>0</v>
      </c>
      <c r="M7109" s="42"/>
      <c r="N7109" s="42"/>
      <c r="O7109" s="44"/>
      <c r="P7109" s="44"/>
      <c r="Q7109" s="43">
        <v>350</v>
      </c>
      <c r="R7109" s="43">
        <v>0</v>
      </c>
      <c r="S7109" s="5">
        <f t="shared" si="447"/>
        <v>9519.8486912881745</v>
      </c>
      <c r="T7109" cm="1">
        <f t="array" ref="T7109">IF(OR(B7109="MAL ALIMI", B7109="ÜRETİM GİRİŞ"), MIN(I7109, MAX(0, I7109 + SUM(SUMIFS($I$1:I7108, $C$1:C7108, C7109, $B$1:B7108, {"MAL ALIMI","ÜRETİM GİRİŞ"})) - VLOOKUP(C7109, 'STOK RAPORU'!$C$2:$I$1000, 4, 0))), 0)</f>
        <v>0</v>
      </c>
      <c r="U7109" s="22">
        <f t="shared" si="444"/>
        <v>0</v>
      </c>
      <c r="V7109">
        <f t="shared" si="445"/>
        <v>0</v>
      </c>
      <c r="W7109" s="22">
        <f t="shared" si="446"/>
        <v>0</v>
      </c>
    </row>
    <row r="7110" spans="1:23" hidden="1" x14ac:dyDescent="0.25">
      <c r="A7110" s="41">
        <v>46155</v>
      </c>
      <c r="B7110" s="42" t="s">
        <v>334</v>
      </c>
      <c r="C7110" s="42" t="s">
        <v>725</v>
      </c>
      <c r="D7110" s="42"/>
      <c r="E7110" s="42"/>
      <c r="F7110" s="42" t="s">
        <v>3419</v>
      </c>
      <c r="G7110" s="42" t="s">
        <v>3418</v>
      </c>
      <c r="H7110" s="42" t="s">
        <v>289</v>
      </c>
      <c r="I7110" s="42">
        <v>1</v>
      </c>
      <c r="J7110" s="43">
        <v>360</v>
      </c>
      <c r="K7110" s="43">
        <v>0</v>
      </c>
      <c r="L7110" s="44">
        <v>0</v>
      </c>
      <c r="M7110" s="42"/>
      <c r="N7110" s="42"/>
      <c r="O7110" s="44"/>
      <c r="P7110" s="44"/>
      <c r="Q7110" s="43">
        <v>360</v>
      </c>
      <c r="R7110" s="43">
        <v>0</v>
      </c>
      <c r="S7110" s="5">
        <f t="shared" si="447"/>
        <v>9879.8486912881745</v>
      </c>
      <c r="T7110" cm="1">
        <f t="array" ref="T7110">IF(OR(B7110="MAL ALIMI", B7110="ÜRETİM GİRİŞ"), MIN(I7110, MAX(0, I7110 + SUM(SUMIFS($I$1:I7109, $C$1:C7109, C7110, $B$1:B7109, {"MAL ALIMI","ÜRETİM GİRİŞ"})) - VLOOKUP(C7110, 'STOK RAPORU'!$C$2:$I$1000, 4, 0))), 0)</f>
        <v>0</v>
      </c>
      <c r="U7110" s="22">
        <f t="shared" si="444"/>
        <v>0</v>
      </c>
      <c r="V7110">
        <f t="shared" si="445"/>
        <v>0</v>
      </c>
      <c r="W7110" s="22">
        <f t="shared" si="446"/>
        <v>0</v>
      </c>
    </row>
    <row r="7111" spans="1:23" hidden="1" x14ac:dyDescent="0.25">
      <c r="A7111" s="41">
        <v>46155</v>
      </c>
      <c r="B7111" s="42" t="s">
        <v>334</v>
      </c>
      <c r="C7111" s="42" t="s">
        <v>679</v>
      </c>
      <c r="D7111" s="42"/>
      <c r="E7111" s="42"/>
      <c r="F7111" s="42" t="s">
        <v>3419</v>
      </c>
      <c r="G7111" s="42" t="s">
        <v>3418</v>
      </c>
      <c r="H7111" s="42" t="s">
        <v>289</v>
      </c>
      <c r="I7111" s="42">
        <v>0.25</v>
      </c>
      <c r="J7111" s="43">
        <v>400</v>
      </c>
      <c r="K7111" s="43">
        <v>0</v>
      </c>
      <c r="L7111" s="44">
        <v>0</v>
      </c>
      <c r="M7111" s="42"/>
      <c r="N7111" s="42"/>
      <c r="O7111" s="44"/>
      <c r="P7111" s="44"/>
      <c r="Q7111" s="43">
        <v>100</v>
      </c>
      <c r="R7111" s="43">
        <v>0</v>
      </c>
      <c r="S7111" s="5">
        <f t="shared" si="447"/>
        <v>9979.8486912881745</v>
      </c>
      <c r="T7111" cm="1">
        <f t="array" ref="T7111">IF(OR(B7111="MAL ALIMI", B7111="ÜRETİM GİRİŞ"), MIN(I7111, MAX(0, I7111 + SUM(SUMIFS($I$1:I7110, $C$1:C7110, C7111, $B$1:B7110, {"MAL ALIMI","ÜRETİM GİRİŞ"})) - VLOOKUP(C7111, 'STOK RAPORU'!$C$2:$I$1000, 4, 0))), 0)</f>
        <v>0</v>
      </c>
      <c r="U7111" s="22">
        <f t="shared" si="444"/>
        <v>0</v>
      </c>
      <c r="V7111">
        <f t="shared" si="445"/>
        <v>0</v>
      </c>
      <c r="W7111" s="22">
        <f t="shared" si="446"/>
        <v>0</v>
      </c>
    </row>
    <row r="7112" spans="1:23" hidden="1" x14ac:dyDescent="0.25">
      <c r="A7112" s="41">
        <v>46155</v>
      </c>
      <c r="B7112" s="42" t="s">
        <v>334</v>
      </c>
      <c r="C7112" s="42" t="s">
        <v>722</v>
      </c>
      <c r="D7112" s="42"/>
      <c r="E7112" s="42"/>
      <c r="F7112" s="42" t="s">
        <v>3419</v>
      </c>
      <c r="G7112" s="42" t="s">
        <v>3418</v>
      </c>
      <c r="H7112" s="42" t="s">
        <v>289</v>
      </c>
      <c r="I7112" s="42">
        <v>1</v>
      </c>
      <c r="J7112" s="43">
        <v>430</v>
      </c>
      <c r="K7112" s="43">
        <v>0</v>
      </c>
      <c r="L7112" s="44">
        <v>0</v>
      </c>
      <c r="M7112" s="42"/>
      <c r="N7112" s="42"/>
      <c r="O7112" s="44"/>
      <c r="P7112" s="44"/>
      <c r="Q7112" s="43">
        <v>430</v>
      </c>
      <c r="R7112" s="43">
        <v>0</v>
      </c>
      <c r="S7112" s="5">
        <f t="shared" si="447"/>
        <v>10409.848691288174</v>
      </c>
      <c r="T7112" cm="1">
        <f t="array" ref="T7112">IF(OR(B7112="MAL ALIMI", B7112="ÜRETİM GİRİŞ"), MIN(I7112, MAX(0, I7112 + SUM(SUMIFS($I$1:I7111, $C$1:C7111, C7112, $B$1:B7111, {"MAL ALIMI","ÜRETİM GİRİŞ"})) - VLOOKUP(C7112, 'STOK RAPORU'!$C$2:$I$1000, 4, 0))), 0)</f>
        <v>0</v>
      </c>
      <c r="U7112" s="22">
        <f t="shared" si="444"/>
        <v>0</v>
      </c>
      <c r="V7112">
        <f t="shared" si="445"/>
        <v>0</v>
      </c>
      <c r="W7112" s="22">
        <f t="shared" si="446"/>
        <v>0</v>
      </c>
    </row>
    <row r="7113" spans="1:23" hidden="1" x14ac:dyDescent="0.25">
      <c r="A7113" s="41">
        <v>46155</v>
      </c>
      <c r="B7113" s="42" t="s">
        <v>334</v>
      </c>
      <c r="C7113" s="42" t="s">
        <v>822</v>
      </c>
      <c r="D7113" s="42"/>
      <c r="E7113" s="42"/>
      <c r="F7113" s="42" t="s">
        <v>3419</v>
      </c>
      <c r="G7113" s="42" t="s">
        <v>3418</v>
      </c>
      <c r="H7113" s="42" t="s">
        <v>289</v>
      </c>
      <c r="I7113" s="42">
        <v>1</v>
      </c>
      <c r="J7113" s="43">
        <v>170</v>
      </c>
      <c r="K7113" s="43">
        <v>0</v>
      </c>
      <c r="L7113" s="44">
        <v>0</v>
      </c>
      <c r="M7113" s="42"/>
      <c r="N7113" s="42"/>
      <c r="O7113" s="44"/>
      <c r="P7113" s="44"/>
      <c r="Q7113" s="43">
        <v>170</v>
      </c>
      <c r="R7113" s="43">
        <v>0</v>
      </c>
      <c r="S7113" s="5">
        <f t="shared" si="447"/>
        <v>10579.848691288174</v>
      </c>
      <c r="T7113" cm="1">
        <f t="array" ref="T7113">IF(OR(B7113="MAL ALIMI", B7113="ÜRETİM GİRİŞ"), MIN(I7113, MAX(0, I7113 + SUM(SUMIFS($I$1:I7112, $C$1:C7112, C7113, $B$1:B7112, {"MAL ALIMI","ÜRETİM GİRİŞ"})) - VLOOKUP(C7113, 'STOK RAPORU'!$C$2:$I$1000, 4, 0))), 0)</f>
        <v>0</v>
      </c>
      <c r="U7113" s="22">
        <f t="shared" si="444"/>
        <v>0</v>
      </c>
      <c r="V7113">
        <f t="shared" si="445"/>
        <v>0</v>
      </c>
      <c r="W7113" s="22">
        <f t="shared" si="446"/>
        <v>0</v>
      </c>
    </row>
    <row r="7114" spans="1:23" hidden="1" x14ac:dyDescent="0.25">
      <c r="A7114" s="3">
        <v>46155</v>
      </c>
      <c r="B7114" s="46" t="s">
        <v>334</v>
      </c>
      <c r="C7114" s="4" t="s">
        <v>98</v>
      </c>
      <c r="D7114" s="4"/>
      <c r="E7114" s="4" t="s">
        <v>921</v>
      </c>
      <c r="F7114" s="4" t="s">
        <v>3420</v>
      </c>
      <c r="G7114" s="4" t="s">
        <v>336</v>
      </c>
      <c r="H7114" s="4" t="s">
        <v>380</v>
      </c>
      <c r="I7114" s="42">
        <v>0.2225</v>
      </c>
      <c r="J7114" s="21">
        <v>379</v>
      </c>
      <c r="K7114" s="21">
        <v>84.327500000000001</v>
      </c>
      <c r="L7114" s="5">
        <v>0</v>
      </c>
      <c r="M7114" s="4"/>
      <c r="N7114" s="4"/>
      <c r="O7114" s="5"/>
      <c r="P7114" s="5"/>
      <c r="Q7114" s="21">
        <v>0</v>
      </c>
      <c r="R7114" s="21">
        <v>0</v>
      </c>
      <c r="S7114" s="5">
        <f t="shared" si="447"/>
        <v>10579.848691288174</v>
      </c>
      <c r="T7114" cm="1">
        <f t="array" ref="T7114">IF(OR(B7114="MAL ALIMI", B7114="ÜRETİM GİRİŞ"), MIN(I7114, MAX(0, I7114 + SUM(SUMIFS($I$1:I7113, $C$1:C7113, C7114, $B$1:B7113, {"MAL ALIMI","ÜRETİM GİRİŞ"})) - VLOOKUP(C7114, 'STOK RAPORU'!$C$2:$I$1000, 4, 0))), 0)</f>
        <v>0</v>
      </c>
      <c r="U7114" s="22">
        <f t="shared" si="444"/>
        <v>0</v>
      </c>
      <c r="V7114">
        <f t="shared" si="445"/>
        <v>0</v>
      </c>
      <c r="W7114" s="22">
        <f t="shared" si="446"/>
        <v>0</v>
      </c>
    </row>
    <row r="7115" spans="1:23" hidden="1" x14ac:dyDescent="0.25">
      <c r="A7115" s="3">
        <v>46155</v>
      </c>
      <c r="B7115" s="46" t="s">
        <v>334</v>
      </c>
      <c r="C7115" s="4" t="s">
        <v>140</v>
      </c>
      <c r="D7115" s="4"/>
      <c r="E7115" s="4" t="s">
        <v>921</v>
      </c>
      <c r="F7115" s="4" t="s">
        <v>3420</v>
      </c>
      <c r="G7115" s="4" t="s">
        <v>336</v>
      </c>
      <c r="H7115" s="4" t="s">
        <v>380</v>
      </c>
      <c r="I7115" s="4">
        <v>0.17</v>
      </c>
      <c r="J7115" s="21">
        <v>300</v>
      </c>
      <c r="K7115" s="21">
        <v>51.000000000000007</v>
      </c>
      <c r="L7115" s="5">
        <v>0</v>
      </c>
      <c r="M7115" s="4"/>
      <c r="N7115" s="4"/>
      <c r="O7115" s="5"/>
      <c r="P7115" s="5"/>
      <c r="Q7115" s="21">
        <v>0</v>
      </c>
      <c r="R7115" s="21">
        <v>0</v>
      </c>
      <c r="S7115" s="5">
        <f t="shared" si="447"/>
        <v>10579.848691288174</v>
      </c>
      <c r="T7115" cm="1">
        <f t="array" ref="T7115">IF(OR(B7115="MAL ALIMI", B7115="ÜRETİM GİRİŞ"), MIN(I7115, MAX(0, I7115 + SUM(SUMIFS($I$1:I7114, $C$1:C7114, C7115, $B$1:B7114, {"MAL ALIMI","ÜRETİM GİRİŞ"})) - VLOOKUP(C7115, 'STOK RAPORU'!$C$2:$I$1000, 4, 0))), 0)</f>
        <v>0</v>
      </c>
      <c r="U7115" s="22">
        <f t="shared" si="444"/>
        <v>0</v>
      </c>
      <c r="V7115">
        <f t="shared" si="445"/>
        <v>0</v>
      </c>
      <c r="W7115" s="22">
        <f t="shared" si="446"/>
        <v>0</v>
      </c>
    </row>
    <row r="7116" spans="1:23" hidden="1" x14ac:dyDescent="0.25">
      <c r="A7116" s="3">
        <v>46155</v>
      </c>
      <c r="B7116" s="46" t="s">
        <v>334</v>
      </c>
      <c r="C7116" s="4" t="s">
        <v>460</v>
      </c>
      <c r="D7116" s="4"/>
      <c r="E7116" s="4" t="s">
        <v>921</v>
      </c>
      <c r="F7116" s="4" t="s">
        <v>3420</v>
      </c>
      <c r="G7116" s="4" t="s">
        <v>336</v>
      </c>
      <c r="H7116" s="4" t="s">
        <v>380</v>
      </c>
      <c r="I7116" s="4">
        <v>7</v>
      </c>
      <c r="J7116" s="21">
        <v>15</v>
      </c>
      <c r="K7116" s="21">
        <v>105</v>
      </c>
      <c r="L7116" s="5">
        <v>0</v>
      </c>
      <c r="M7116" s="4"/>
      <c r="N7116" s="4"/>
      <c r="O7116" s="5"/>
      <c r="P7116" s="5"/>
      <c r="Q7116" s="21">
        <v>0</v>
      </c>
      <c r="R7116" s="21">
        <v>0</v>
      </c>
      <c r="S7116" s="5">
        <f t="shared" si="447"/>
        <v>10579.848691288174</v>
      </c>
      <c r="T7116" cm="1">
        <f t="array" ref="T7116">IF(OR(B7116="MAL ALIMI", B7116="ÜRETİM GİRİŞ"), MIN(I7116, MAX(0, I7116 + SUM(SUMIFS($I$1:I7115, $C$1:C7115, C7116, $B$1:B7115, {"MAL ALIMI","ÜRETİM GİRİŞ"})) - VLOOKUP(C7116, 'STOK RAPORU'!$C$2:$I$1000, 4, 0))), 0)</f>
        <v>0</v>
      </c>
      <c r="U7116" s="22">
        <f t="shared" si="444"/>
        <v>0</v>
      </c>
      <c r="V7116">
        <f t="shared" si="445"/>
        <v>0</v>
      </c>
      <c r="W7116" s="22">
        <f t="shared" si="446"/>
        <v>0</v>
      </c>
    </row>
    <row r="7117" spans="1:23" hidden="1" x14ac:dyDescent="0.25">
      <c r="A7117" s="3">
        <v>46155</v>
      </c>
      <c r="B7117" s="46" t="s">
        <v>334</v>
      </c>
      <c r="C7117" s="4" t="s">
        <v>829</v>
      </c>
      <c r="D7117" s="4"/>
      <c r="E7117" s="4" t="s">
        <v>921</v>
      </c>
      <c r="F7117" s="4" t="s">
        <v>3421</v>
      </c>
      <c r="G7117" s="4" t="s">
        <v>336</v>
      </c>
      <c r="H7117" s="4" t="s">
        <v>380</v>
      </c>
      <c r="I7117" s="4">
        <v>1</v>
      </c>
      <c r="J7117" s="21">
        <v>145</v>
      </c>
      <c r="K7117" s="21">
        <v>145</v>
      </c>
      <c r="L7117" s="5">
        <v>0</v>
      </c>
      <c r="M7117" s="4"/>
      <c r="N7117" s="4"/>
      <c r="O7117" s="5"/>
      <c r="P7117" s="5"/>
      <c r="Q7117" s="21">
        <v>0</v>
      </c>
      <c r="R7117" s="21">
        <v>0</v>
      </c>
      <c r="S7117" s="5">
        <f t="shared" si="447"/>
        <v>10579.848691288174</v>
      </c>
      <c r="T7117" cm="1">
        <f t="array" ref="T7117">IF(OR(B7117="MAL ALIMI", B7117="ÜRETİM GİRİŞ"), MIN(I7117, MAX(0, I7117 + SUM(SUMIFS($I$1:I7116, $C$1:C7116, C7117, $B$1:B7116, {"MAL ALIMI","ÜRETİM GİRİŞ"})) - VLOOKUP(C7117, 'STOK RAPORU'!$C$2:$I$1000, 4, 0))), 0)</f>
        <v>0</v>
      </c>
      <c r="U7117" s="22">
        <f t="shared" si="444"/>
        <v>0</v>
      </c>
      <c r="V7117">
        <f t="shared" si="445"/>
        <v>0</v>
      </c>
      <c r="W7117" s="22">
        <f t="shared" si="446"/>
        <v>0</v>
      </c>
    </row>
    <row r="7118" spans="1:23" hidden="1" x14ac:dyDescent="0.25">
      <c r="A7118" s="3">
        <v>46155</v>
      </c>
      <c r="B7118" s="4" t="s">
        <v>285</v>
      </c>
      <c r="C7118" s="4"/>
      <c r="D7118" s="4" t="s">
        <v>1815</v>
      </c>
      <c r="E7118" s="4"/>
      <c r="F7118" s="4"/>
      <c r="G7118" s="4" t="s">
        <v>1986</v>
      </c>
      <c r="H7118" s="4" t="s">
        <v>289</v>
      </c>
      <c r="I7118" s="4">
        <v>1</v>
      </c>
      <c r="J7118" s="21">
        <v>418.83</v>
      </c>
      <c r="K7118" s="21">
        <v>0</v>
      </c>
      <c r="L7118" s="5">
        <v>0</v>
      </c>
      <c r="M7118" s="4"/>
      <c r="N7118" s="4"/>
      <c r="O7118" s="5"/>
      <c r="P7118" s="5"/>
      <c r="Q7118" s="21">
        <v>0</v>
      </c>
      <c r="R7118" s="21">
        <v>418.83</v>
      </c>
      <c r="S7118" s="5">
        <f t="shared" si="447"/>
        <v>10161.018691288175</v>
      </c>
      <c r="T7118" cm="1">
        <f t="array" ref="T7118">IF(OR(B7118="MAL ALIMI", B7118="ÜRETİM GİRİŞ"), MIN(I7118, MAX(0, I7118 + SUM(SUMIFS($I$1:I7117, $C$1:C7117, C7118, $B$1:B7117, {"MAL ALIMI","ÜRETİM GİRİŞ"})) - VLOOKUP(C7118, 'STOK RAPORU'!$C$2:$I$1000, 4, 0))), 0)</f>
        <v>0</v>
      </c>
      <c r="U7118" s="22">
        <f t="shared" si="444"/>
        <v>0</v>
      </c>
      <c r="V7118">
        <f t="shared" si="445"/>
        <v>0</v>
      </c>
      <c r="W7118" s="22">
        <f t="shared" si="446"/>
        <v>0</v>
      </c>
    </row>
    <row r="7119" spans="1:23" hidden="1" x14ac:dyDescent="0.25">
      <c r="A7119" s="3">
        <v>46155</v>
      </c>
      <c r="B7119" s="46" t="s">
        <v>298</v>
      </c>
      <c r="C7119" s="4" t="s">
        <v>3381</v>
      </c>
      <c r="D7119" s="4"/>
      <c r="E7119" s="4"/>
      <c r="F7119" s="4"/>
      <c r="G7119" s="4" t="s">
        <v>3474</v>
      </c>
      <c r="H7119" s="4" t="s">
        <v>289</v>
      </c>
      <c r="I7119" s="4">
        <v>10</v>
      </c>
      <c r="J7119" s="21">
        <v>133.33000000000001</v>
      </c>
      <c r="K7119" s="21">
        <v>0</v>
      </c>
      <c r="L7119" s="5">
        <v>0</v>
      </c>
      <c r="M7119" s="4"/>
      <c r="N7119" s="4"/>
      <c r="O7119" s="5"/>
      <c r="P7119" s="5"/>
      <c r="Q7119" s="21">
        <v>0</v>
      </c>
      <c r="R7119" s="21">
        <v>1333.3000000000002</v>
      </c>
      <c r="S7119" s="5">
        <f t="shared" si="447"/>
        <v>8827.7186912881734</v>
      </c>
      <c r="T7119" t="e" cm="1">
        <f t="array" ref="T7119">IF(OR(B7119="MAL ALIMI", B7119="ÜRETİM GİRİŞ"), MIN(I7119, MAX(0, I7119 + SUM(SUMIFS($I$1:I7118, $C$1:C7118, C7119, $B$1:B7118, {"MAL ALIMI","ÜRETİM GİRİŞ"})) - VLOOKUP(C7119, 'STOK RAPORU'!$C$2:$I$1000, 4, 0))), 0)</f>
        <v>#N/A</v>
      </c>
      <c r="U7119" s="22" t="e">
        <f t="shared" si="444"/>
        <v>#N/A</v>
      </c>
      <c r="V7119">
        <f t="shared" si="445"/>
        <v>1333.3000000000002</v>
      </c>
      <c r="W7119" s="22" t="e">
        <f t="shared" si="446"/>
        <v>#N/A</v>
      </c>
    </row>
    <row r="7120" spans="1:23" hidden="1" x14ac:dyDescent="0.25">
      <c r="A7120" s="3">
        <v>46155</v>
      </c>
      <c r="B7120" s="46" t="s">
        <v>298</v>
      </c>
      <c r="C7120" s="4" t="s">
        <v>3382</v>
      </c>
      <c r="D7120" s="4"/>
      <c r="E7120" s="4"/>
      <c r="F7120" s="4"/>
      <c r="G7120" s="4" t="s">
        <v>3474</v>
      </c>
      <c r="H7120" s="4" t="s">
        <v>289</v>
      </c>
      <c r="I7120" s="4">
        <v>5</v>
      </c>
      <c r="J7120" s="21">
        <v>133.34</v>
      </c>
      <c r="K7120" s="21">
        <v>0</v>
      </c>
      <c r="L7120" s="5">
        <v>0</v>
      </c>
      <c r="M7120" s="4"/>
      <c r="N7120" s="4"/>
      <c r="O7120" s="5"/>
      <c r="P7120" s="5"/>
      <c r="Q7120" s="21">
        <v>0</v>
      </c>
      <c r="R7120" s="21">
        <v>666.7</v>
      </c>
      <c r="S7120" s="5">
        <f t="shared" si="447"/>
        <v>8161.0186912881736</v>
      </c>
      <c r="T7120" t="e" cm="1">
        <f t="array" ref="T7120">IF(OR(B7120="MAL ALIMI", B7120="ÜRETİM GİRİŞ"), MIN(I7120, MAX(0, I7120 + SUM(SUMIFS($I$1:I7119, $C$1:C7119, C7120, $B$1:B7119, {"MAL ALIMI","ÜRETİM GİRİŞ"})) - VLOOKUP(C7120, 'STOK RAPORU'!$C$2:$I$1000, 4, 0))), 0)</f>
        <v>#N/A</v>
      </c>
      <c r="U7120" s="22" t="e">
        <f t="shared" si="444"/>
        <v>#N/A</v>
      </c>
      <c r="V7120">
        <f t="shared" si="445"/>
        <v>666.7</v>
      </c>
      <c r="W7120" s="22" t="e">
        <f t="shared" si="446"/>
        <v>#N/A</v>
      </c>
    </row>
    <row r="7121" spans="1:23" hidden="1" x14ac:dyDescent="0.25">
      <c r="A7121" s="3">
        <v>46156</v>
      </c>
      <c r="B7121" s="46" t="s">
        <v>334</v>
      </c>
      <c r="C7121" s="4" t="s">
        <v>463</v>
      </c>
      <c r="D7121" s="4"/>
      <c r="E7121" s="4"/>
      <c r="F7121" s="4" t="s">
        <v>3422</v>
      </c>
      <c r="G7121" s="4" t="s">
        <v>336</v>
      </c>
      <c r="H7121" s="4" t="s">
        <v>289</v>
      </c>
      <c r="I7121" s="4">
        <v>0.44750000000000001</v>
      </c>
      <c r="J7121" s="21">
        <v>400</v>
      </c>
      <c r="K7121" s="21">
        <v>0</v>
      </c>
      <c r="L7121" s="5">
        <v>0</v>
      </c>
      <c r="M7121" s="4"/>
      <c r="N7121" s="4"/>
      <c r="O7121" s="5"/>
      <c r="P7121" s="5"/>
      <c r="Q7121" s="21">
        <v>179</v>
      </c>
      <c r="R7121" s="21">
        <v>0</v>
      </c>
      <c r="S7121" s="5">
        <f t="shared" si="447"/>
        <v>8340.0186912881727</v>
      </c>
      <c r="T7121" cm="1">
        <f t="array" ref="T7121">IF(OR(B7121="MAL ALIMI", B7121="ÜRETİM GİRİŞ"), MIN(I7121, MAX(0, I7121 + SUM(SUMIFS($I$1:I7120, $C$1:C7120, C7121, $B$1:B7120, {"MAL ALIMI","ÜRETİM GİRİŞ"})) - VLOOKUP(C7121, 'STOK RAPORU'!$C$2:$I$1000, 4, 0))), 0)</f>
        <v>0</v>
      </c>
      <c r="U7121" s="22">
        <f t="shared" si="444"/>
        <v>0</v>
      </c>
      <c r="V7121">
        <f t="shared" si="445"/>
        <v>0</v>
      </c>
      <c r="W7121" s="22">
        <f t="shared" si="446"/>
        <v>0</v>
      </c>
    </row>
    <row r="7122" spans="1:23" hidden="1" x14ac:dyDescent="0.25">
      <c r="A7122" s="3">
        <v>46156</v>
      </c>
      <c r="B7122" s="46" t="s">
        <v>334</v>
      </c>
      <c r="C7122" s="4" t="s">
        <v>766</v>
      </c>
      <c r="D7122" s="4"/>
      <c r="E7122" s="4"/>
      <c r="F7122" s="4" t="s">
        <v>3423</v>
      </c>
      <c r="G7122" s="4" t="s">
        <v>336</v>
      </c>
      <c r="H7122" s="4" t="s">
        <v>289</v>
      </c>
      <c r="I7122" s="4">
        <v>1</v>
      </c>
      <c r="J7122" s="21">
        <v>220</v>
      </c>
      <c r="K7122" s="21">
        <v>0</v>
      </c>
      <c r="L7122" s="5">
        <v>0</v>
      </c>
      <c r="M7122" s="4"/>
      <c r="N7122" s="4"/>
      <c r="O7122" s="5"/>
      <c r="P7122" s="5"/>
      <c r="Q7122" s="21">
        <v>220</v>
      </c>
      <c r="R7122" s="21">
        <v>0</v>
      </c>
      <c r="S7122" s="5">
        <f t="shared" si="447"/>
        <v>8560.0186912881727</v>
      </c>
      <c r="T7122" cm="1">
        <f t="array" ref="T7122">IF(OR(B7122="MAL ALIMI", B7122="ÜRETİM GİRİŞ"), MIN(I7122, MAX(0, I7122 + SUM(SUMIFS($I$1:I7121, $C$1:C7121, C7122, $B$1:B7121, {"MAL ALIMI","ÜRETİM GİRİŞ"})) - VLOOKUP(C7122, 'STOK RAPORU'!$C$2:$I$1000, 4, 0))), 0)</f>
        <v>0</v>
      </c>
      <c r="U7122" s="22">
        <f t="shared" si="444"/>
        <v>0</v>
      </c>
      <c r="V7122">
        <f t="shared" si="445"/>
        <v>0</v>
      </c>
      <c r="W7122" s="22">
        <f t="shared" si="446"/>
        <v>0</v>
      </c>
    </row>
    <row r="7123" spans="1:23" hidden="1" x14ac:dyDescent="0.25">
      <c r="A7123" s="3">
        <v>46156</v>
      </c>
      <c r="B7123" s="46" t="s">
        <v>334</v>
      </c>
      <c r="C7123" s="4" t="s">
        <v>133</v>
      </c>
      <c r="D7123" s="4"/>
      <c r="E7123" s="4" t="s">
        <v>921</v>
      </c>
      <c r="F7123" s="4" t="s">
        <v>3424</v>
      </c>
      <c r="G7123" s="4" t="s">
        <v>2561</v>
      </c>
      <c r="H7123" s="4" t="s">
        <v>380</v>
      </c>
      <c r="I7123" s="4">
        <v>2</v>
      </c>
      <c r="J7123" s="21">
        <v>250</v>
      </c>
      <c r="K7123" s="21">
        <v>500</v>
      </c>
      <c r="L7123" s="5">
        <v>0</v>
      </c>
      <c r="M7123" s="4"/>
      <c r="N7123" s="4"/>
      <c r="O7123" s="5"/>
      <c r="P7123" s="5"/>
      <c r="Q7123" s="21">
        <v>0</v>
      </c>
      <c r="R7123" s="21">
        <v>0</v>
      </c>
      <c r="S7123" s="5">
        <f t="shared" si="447"/>
        <v>8560.0186912881727</v>
      </c>
      <c r="T7123" cm="1">
        <f t="array" ref="T7123">IF(OR(B7123="MAL ALIMI", B7123="ÜRETİM GİRİŞ"), MIN(I7123, MAX(0, I7123 + SUM(SUMIFS($I$1:I7122, $C$1:C7122, C7123, $B$1:B7122, {"MAL ALIMI","ÜRETİM GİRİŞ"})) - VLOOKUP(C7123, 'STOK RAPORU'!$C$2:$I$1000, 4, 0))), 0)</f>
        <v>0</v>
      </c>
      <c r="U7123" s="22">
        <f t="shared" si="444"/>
        <v>0</v>
      </c>
      <c r="V7123">
        <f t="shared" si="445"/>
        <v>0</v>
      </c>
      <c r="W7123" s="22">
        <f t="shared" si="446"/>
        <v>0</v>
      </c>
    </row>
    <row r="7124" spans="1:23" hidden="1" x14ac:dyDescent="0.25">
      <c r="A7124" s="3">
        <v>46156</v>
      </c>
      <c r="B7124" s="46" t="s">
        <v>334</v>
      </c>
      <c r="C7124" s="4" t="s">
        <v>463</v>
      </c>
      <c r="D7124" s="4"/>
      <c r="E7124" s="4" t="s">
        <v>921</v>
      </c>
      <c r="F7124" s="4" t="s">
        <v>3424</v>
      </c>
      <c r="G7124" s="4" t="s">
        <v>2561</v>
      </c>
      <c r="H7124" s="4" t="s">
        <v>380</v>
      </c>
      <c r="I7124" s="4">
        <v>2</v>
      </c>
      <c r="J7124" s="21">
        <v>265</v>
      </c>
      <c r="K7124" s="21">
        <v>530</v>
      </c>
      <c r="L7124" s="5">
        <v>0</v>
      </c>
      <c r="M7124" s="4"/>
      <c r="N7124" s="4"/>
      <c r="O7124" s="5"/>
      <c r="P7124" s="5"/>
      <c r="Q7124" s="21">
        <v>0</v>
      </c>
      <c r="R7124" s="21">
        <v>0</v>
      </c>
      <c r="S7124" s="5">
        <f t="shared" si="447"/>
        <v>8560.0186912881727</v>
      </c>
      <c r="T7124" cm="1">
        <f t="array" ref="T7124">IF(OR(B7124="MAL ALIMI", B7124="ÜRETİM GİRİŞ"), MIN(I7124, MAX(0, I7124 + SUM(SUMIFS($I$1:I7123, $C$1:C7123, C7124, $B$1:B7123, {"MAL ALIMI","ÜRETİM GİRİŞ"})) - VLOOKUP(C7124, 'STOK RAPORU'!$C$2:$I$1000, 4, 0))), 0)</f>
        <v>0</v>
      </c>
      <c r="U7124" s="22">
        <f t="shared" si="444"/>
        <v>0</v>
      </c>
      <c r="V7124">
        <f t="shared" si="445"/>
        <v>0</v>
      </c>
      <c r="W7124" s="22">
        <f t="shared" si="446"/>
        <v>0</v>
      </c>
    </row>
    <row r="7125" spans="1:23" hidden="1" x14ac:dyDescent="0.25">
      <c r="A7125" s="3">
        <v>46156</v>
      </c>
      <c r="B7125" s="46" t="s">
        <v>334</v>
      </c>
      <c r="C7125" s="4" t="s">
        <v>2243</v>
      </c>
      <c r="D7125" s="4"/>
      <c r="E7125" s="4" t="s">
        <v>921</v>
      </c>
      <c r="F7125" s="4" t="s">
        <v>3424</v>
      </c>
      <c r="G7125" s="4" t="s">
        <v>2561</v>
      </c>
      <c r="H7125" s="4" t="s">
        <v>380</v>
      </c>
      <c r="I7125" s="4">
        <v>1</v>
      </c>
      <c r="J7125" s="21">
        <v>375</v>
      </c>
      <c r="K7125" s="21">
        <v>375</v>
      </c>
      <c r="L7125" s="5">
        <v>0</v>
      </c>
      <c r="M7125" s="4"/>
      <c r="N7125" s="4"/>
      <c r="O7125" s="5"/>
      <c r="P7125" s="5"/>
      <c r="Q7125" s="21">
        <v>0</v>
      </c>
      <c r="R7125" s="21">
        <v>0</v>
      </c>
      <c r="S7125" s="5">
        <f t="shared" si="447"/>
        <v>8560.0186912881727</v>
      </c>
      <c r="T7125" cm="1">
        <f t="array" ref="T7125">IF(OR(B7125="MAL ALIMI", B7125="ÜRETİM GİRİŞ"), MIN(I7125, MAX(0, I7125 + SUM(SUMIFS($I$1:I7124, $C$1:C7124, C7125, $B$1:B7124, {"MAL ALIMI","ÜRETİM GİRİŞ"})) - VLOOKUP(C7125, 'STOK RAPORU'!$C$2:$I$1000, 4, 0))), 0)</f>
        <v>0</v>
      </c>
      <c r="U7125" s="22">
        <f t="shared" si="444"/>
        <v>0</v>
      </c>
      <c r="V7125">
        <f t="shared" si="445"/>
        <v>0</v>
      </c>
      <c r="W7125" s="22">
        <f t="shared" si="446"/>
        <v>0</v>
      </c>
    </row>
    <row r="7126" spans="1:23" hidden="1" x14ac:dyDescent="0.25">
      <c r="A7126" s="3">
        <v>46156</v>
      </c>
      <c r="B7126" s="46" t="s">
        <v>334</v>
      </c>
      <c r="C7126" s="4" t="s">
        <v>96</v>
      </c>
      <c r="D7126" s="4"/>
      <c r="E7126" s="4" t="s">
        <v>921</v>
      </c>
      <c r="F7126" s="4" t="s">
        <v>3424</v>
      </c>
      <c r="G7126" s="4" t="s">
        <v>2561</v>
      </c>
      <c r="H7126" s="4" t="s">
        <v>380</v>
      </c>
      <c r="I7126" s="4">
        <v>1</v>
      </c>
      <c r="J7126" s="21">
        <v>260</v>
      </c>
      <c r="K7126" s="21">
        <v>260</v>
      </c>
      <c r="L7126" s="5">
        <v>0</v>
      </c>
      <c r="M7126" s="4"/>
      <c r="N7126" s="4"/>
      <c r="O7126" s="5"/>
      <c r="P7126" s="5"/>
      <c r="Q7126" s="21">
        <v>0</v>
      </c>
      <c r="R7126" s="21">
        <v>0</v>
      </c>
      <c r="S7126" s="5">
        <f t="shared" si="447"/>
        <v>8560.0186912881727</v>
      </c>
      <c r="T7126" cm="1">
        <f t="array" ref="T7126">IF(OR(B7126="MAL ALIMI", B7126="ÜRETİM GİRİŞ"), MIN(I7126, MAX(0, I7126 + SUM(SUMIFS($I$1:I7125, $C$1:C7125, C7126, $B$1:B7125, {"MAL ALIMI","ÜRETİM GİRİŞ"})) - VLOOKUP(C7126, 'STOK RAPORU'!$C$2:$I$1000, 4, 0))), 0)</f>
        <v>0</v>
      </c>
      <c r="U7126" s="22">
        <f t="shared" si="444"/>
        <v>0</v>
      </c>
      <c r="V7126">
        <f t="shared" si="445"/>
        <v>0</v>
      </c>
      <c r="W7126" s="22">
        <f t="shared" si="446"/>
        <v>0</v>
      </c>
    </row>
    <row r="7127" spans="1:23" hidden="1" x14ac:dyDescent="0.25">
      <c r="A7127" s="3">
        <v>46156</v>
      </c>
      <c r="B7127" s="46" t="s">
        <v>334</v>
      </c>
      <c r="C7127" s="4" t="s">
        <v>198</v>
      </c>
      <c r="D7127" s="4"/>
      <c r="E7127" s="4"/>
      <c r="F7127" s="4" t="s">
        <v>3425</v>
      </c>
      <c r="G7127" s="4" t="s">
        <v>336</v>
      </c>
      <c r="H7127" s="4" t="s">
        <v>289</v>
      </c>
      <c r="I7127" s="4">
        <v>0.05</v>
      </c>
      <c r="J7127" s="21">
        <v>1400</v>
      </c>
      <c r="K7127" s="21">
        <v>0</v>
      </c>
      <c r="L7127" s="5">
        <v>0</v>
      </c>
      <c r="M7127" s="4"/>
      <c r="N7127" s="4"/>
      <c r="O7127" s="5"/>
      <c r="P7127" s="5"/>
      <c r="Q7127" s="21">
        <v>70</v>
      </c>
      <c r="R7127" s="21">
        <v>0</v>
      </c>
      <c r="S7127" s="5">
        <f t="shared" si="447"/>
        <v>8630.0186912881727</v>
      </c>
      <c r="T7127" cm="1">
        <f t="array" ref="T7127">IF(OR(B7127="MAL ALIMI", B7127="ÜRETİM GİRİŞ"), MIN(I7127, MAX(0, I7127 + SUM(SUMIFS($I$1:I7126, $C$1:C7126, C7127, $B$1:B7126, {"MAL ALIMI","ÜRETİM GİRİŞ"})) - VLOOKUP(C7127, 'STOK RAPORU'!$C$2:$I$1000, 4, 0))), 0)</f>
        <v>0</v>
      </c>
      <c r="U7127" s="22">
        <f t="shared" si="444"/>
        <v>0</v>
      </c>
      <c r="V7127">
        <f t="shared" si="445"/>
        <v>0</v>
      </c>
      <c r="W7127" s="22">
        <f t="shared" si="446"/>
        <v>0</v>
      </c>
    </row>
    <row r="7128" spans="1:23" hidden="1" x14ac:dyDescent="0.25">
      <c r="A7128" s="3">
        <v>46156</v>
      </c>
      <c r="B7128" s="46" t="s">
        <v>334</v>
      </c>
      <c r="C7128" s="4" t="s">
        <v>695</v>
      </c>
      <c r="D7128" s="4"/>
      <c r="E7128" s="4"/>
      <c r="F7128" s="4" t="s">
        <v>3425</v>
      </c>
      <c r="G7128" s="4" t="s">
        <v>336</v>
      </c>
      <c r="H7128" s="4" t="s">
        <v>289</v>
      </c>
      <c r="I7128" s="4">
        <v>1</v>
      </c>
      <c r="J7128" s="21">
        <v>120</v>
      </c>
      <c r="K7128" s="21">
        <v>0</v>
      </c>
      <c r="L7128" s="5">
        <v>0</v>
      </c>
      <c r="M7128" s="4"/>
      <c r="N7128" s="4"/>
      <c r="O7128" s="5"/>
      <c r="P7128" s="5"/>
      <c r="Q7128" s="21">
        <v>120</v>
      </c>
      <c r="R7128" s="21">
        <v>0</v>
      </c>
      <c r="S7128" s="5">
        <f t="shared" si="447"/>
        <v>8750.0186912881727</v>
      </c>
      <c r="T7128" cm="1">
        <f t="array" ref="T7128">IF(OR(B7128="MAL ALIMI", B7128="ÜRETİM GİRİŞ"), MIN(I7128, MAX(0, I7128 + SUM(SUMIFS($I$1:I7127, $C$1:C7127, C7128, $B$1:B7127, {"MAL ALIMI","ÜRETİM GİRİŞ"})) - VLOOKUP(C7128, 'STOK RAPORU'!$C$2:$I$1000, 4, 0))), 0)</f>
        <v>0</v>
      </c>
      <c r="U7128" s="22">
        <f t="shared" si="444"/>
        <v>0</v>
      </c>
      <c r="V7128">
        <f t="shared" si="445"/>
        <v>0</v>
      </c>
      <c r="W7128" s="22">
        <f t="shared" si="446"/>
        <v>0</v>
      </c>
    </row>
    <row r="7129" spans="1:23" hidden="1" x14ac:dyDescent="0.25">
      <c r="A7129" s="3">
        <v>46156</v>
      </c>
      <c r="B7129" s="46" t="s">
        <v>334</v>
      </c>
      <c r="C7129" s="4" t="s">
        <v>892</v>
      </c>
      <c r="D7129" s="4"/>
      <c r="E7129" s="4"/>
      <c r="F7129" s="4" t="s">
        <v>3425</v>
      </c>
      <c r="G7129" s="4" t="s">
        <v>336</v>
      </c>
      <c r="H7129" s="4" t="s">
        <v>289</v>
      </c>
      <c r="I7129" s="4">
        <v>0.5</v>
      </c>
      <c r="J7129" s="21">
        <v>60</v>
      </c>
      <c r="K7129" s="21">
        <v>0</v>
      </c>
      <c r="L7129" s="5">
        <v>0</v>
      </c>
      <c r="M7129" s="4"/>
      <c r="N7129" s="4"/>
      <c r="O7129" s="5"/>
      <c r="P7129" s="5"/>
      <c r="Q7129" s="21">
        <v>30</v>
      </c>
      <c r="R7129" s="21">
        <v>0</v>
      </c>
      <c r="S7129" s="5">
        <f t="shared" si="447"/>
        <v>8780.0186912881727</v>
      </c>
      <c r="T7129" cm="1">
        <f t="array" ref="T7129">IF(OR(B7129="MAL ALIMI", B7129="ÜRETİM GİRİŞ"), MIN(I7129, MAX(0, I7129 + SUM(SUMIFS($I$1:I7128, $C$1:C7128, C7129, $B$1:B7128, {"MAL ALIMI","ÜRETİM GİRİŞ"})) - VLOOKUP(C7129, 'STOK RAPORU'!$C$2:$I$1000, 4, 0))), 0)</f>
        <v>0</v>
      </c>
      <c r="U7129" s="22">
        <f t="shared" si="444"/>
        <v>0</v>
      </c>
      <c r="V7129">
        <f t="shared" si="445"/>
        <v>0</v>
      </c>
      <c r="W7129" s="22">
        <f t="shared" si="446"/>
        <v>0</v>
      </c>
    </row>
    <row r="7130" spans="1:23" hidden="1" x14ac:dyDescent="0.25">
      <c r="A7130" s="3">
        <v>46156</v>
      </c>
      <c r="B7130" s="46" t="s">
        <v>334</v>
      </c>
      <c r="C7130" s="4" t="s">
        <v>134</v>
      </c>
      <c r="D7130" s="4"/>
      <c r="E7130" s="4"/>
      <c r="F7130" s="4" t="s">
        <v>3425</v>
      </c>
      <c r="G7130" s="4" t="s">
        <v>336</v>
      </c>
      <c r="H7130" s="4" t="s">
        <v>289</v>
      </c>
      <c r="I7130" s="4">
        <v>0.1</v>
      </c>
      <c r="J7130" s="21">
        <v>600</v>
      </c>
      <c r="K7130" s="21">
        <v>0</v>
      </c>
      <c r="L7130" s="5">
        <v>0</v>
      </c>
      <c r="M7130" s="4"/>
      <c r="N7130" s="4"/>
      <c r="O7130" s="5"/>
      <c r="P7130" s="5"/>
      <c r="Q7130" s="21">
        <v>60</v>
      </c>
      <c r="R7130" s="21">
        <v>0</v>
      </c>
      <c r="S7130" s="5">
        <f t="shared" si="447"/>
        <v>8840.0186912881727</v>
      </c>
      <c r="T7130" cm="1">
        <f t="array" ref="T7130">IF(OR(B7130="MAL ALIMI", B7130="ÜRETİM GİRİŞ"), MIN(I7130, MAX(0, I7130 + SUM(SUMIFS($I$1:I7129, $C$1:C7129, C7130, $B$1:B7129, {"MAL ALIMI","ÜRETİM GİRİŞ"})) - VLOOKUP(C7130, 'STOK RAPORU'!$C$2:$I$1000, 4, 0))), 0)</f>
        <v>0</v>
      </c>
      <c r="U7130" s="22">
        <f t="shared" si="444"/>
        <v>0</v>
      </c>
      <c r="V7130">
        <f t="shared" si="445"/>
        <v>0</v>
      </c>
      <c r="W7130" s="22">
        <f t="shared" si="446"/>
        <v>0</v>
      </c>
    </row>
    <row r="7131" spans="1:23" hidden="1" x14ac:dyDescent="0.25">
      <c r="A7131" s="3">
        <v>46156</v>
      </c>
      <c r="B7131" s="46" t="s">
        <v>334</v>
      </c>
      <c r="C7131" s="4" t="s">
        <v>691</v>
      </c>
      <c r="D7131" s="4"/>
      <c r="E7131" s="4"/>
      <c r="F7131" s="4" t="s">
        <v>3426</v>
      </c>
      <c r="G7131" s="4" t="s">
        <v>336</v>
      </c>
      <c r="H7131" s="4" t="s">
        <v>289</v>
      </c>
      <c r="I7131" s="4">
        <v>0.32800000000000001</v>
      </c>
      <c r="J7131" s="21">
        <v>250</v>
      </c>
      <c r="K7131" s="21">
        <v>0</v>
      </c>
      <c r="L7131" s="5">
        <v>0</v>
      </c>
      <c r="M7131" s="4"/>
      <c r="N7131" s="4"/>
      <c r="O7131" s="5"/>
      <c r="P7131" s="5"/>
      <c r="Q7131" s="21">
        <v>82</v>
      </c>
      <c r="R7131" s="21">
        <v>0</v>
      </c>
      <c r="S7131" s="5">
        <f t="shared" si="447"/>
        <v>8922.0186912881727</v>
      </c>
      <c r="T7131" cm="1">
        <f t="array" ref="T7131">IF(OR(B7131="MAL ALIMI", B7131="ÜRETİM GİRİŞ"), MIN(I7131, MAX(0, I7131 + SUM(SUMIFS($I$1:I7130, $C$1:C7130, C7131, $B$1:B7130, {"MAL ALIMI","ÜRETİM GİRİŞ"})) - VLOOKUP(C7131, 'STOK RAPORU'!$C$2:$I$1000, 4, 0))), 0)</f>
        <v>0</v>
      </c>
      <c r="U7131" s="22">
        <f t="shared" si="444"/>
        <v>0</v>
      </c>
      <c r="V7131">
        <f t="shared" si="445"/>
        <v>0</v>
      </c>
      <c r="W7131" s="22">
        <f t="shared" si="446"/>
        <v>0</v>
      </c>
    </row>
    <row r="7132" spans="1:23" hidden="1" x14ac:dyDescent="0.25">
      <c r="A7132" s="3">
        <v>46156</v>
      </c>
      <c r="B7132" s="46" t="s">
        <v>334</v>
      </c>
      <c r="C7132" s="4" t="s">
        <v>2282</v>
      </c>
      <c r="D7132" s="4"/>
      <c r="E7132" s="4" t="s">
        <v>921</v>
      </c>
      <c r="F7132" s="4" t="s">
        <v>3427</v>
      </c>
      <c r="G7132" s="4" t="s">
        <v>336</v>
      </c>
      <c r="H7132" s="4" t="s">
        <v>380</v>
      </c>
      <c r="I7132" s="4">
        <v>0.05</v>
      </c>
      <c r="J7132" s="21">
        <v>2900</v>
      </c>
      <c r="K7132" s="21">
        <v>145</v>
      </c>
      <c r="L7132" s="5">
        <v>0</v>
      </c>
      <c r="M7132" s="4"/>
      <c r="N7132" s="4"/>
      <c r="O7132" s="5"/>
      <c r="P7132" s="5"/>
      <c r="Q7132" s="21">
        <v>0</v>
      </c>
      <c r="R7132" s="21">
        <v>0</v>
      </c>
      <c r="S7132" s="5">
        <f t="shared" si="447"/>
        <v>8922.0186912881727</v>
      </c>
      <c r="T7132" cm="1">
        <f t="array" ref="T7132">IF(OR(B7132="MAL ALIMI", B7132="ÜRETİM GİRİŞ"), MIN(I7132, MAX(0, I7132 + SUM(SUMIFS($I$1:I7131, $C$1:C7131, C7132, $B$1:B7131, {"MAL ALIMI","ÜRETİM GİRİŞ"})) - VLOOKUP(C7132, 'STOK RAPORU'!$C$2:$I$1000, 4, 0))), 0)</f>
        <v>0</v>
      </c>
      <c r="U7132" s="22">
        <f t="shared" si="444"/>
        <v>0</v>
      </c>
      <c r="V7132">
        <f t="shared" si="445"/>
        <v>0</v>
      </c>
      <c r="W7132" s="22">
        <f t="shared" si="446"/>
        <v>0</v>
      </c>
    </row>
    <row r="7133" spans="1:23" hidden="1" x14ac:dyDescent="0.25">
      <c r="A7133" s="3">
        <v>46156</v>
      </c>
      <c r="B7133" s="46" t="s">
        <v>334</v>
      </c>
      <c r="C7133" s="4" t="s">
        <v>134</v>
      </c>
      <c r="D7133" s="4"/>
      <c r="E7133" s="4"/>
      <c r="F7133" s="4" t="s">
        <v>3428</v>
      </c>
      <c r="G7133" s="4" t="s">
        <v>336</v>
      </c>
      <c r="H7133" s="4" t="s">
        <v>289</v>
      </c>
      <c r="I7133" s="4">
        <v>0.1</v>
      </c>
      <c r="J7133" s="21">
        <v>600</v>
      </c>
      <c r="K7133" s="21">
        <v>0</v>
      </c>
      <c r="L7133" s="5">
        <v>0</v>
      </c>
      <c r="M7133" s="4"/>
      <c r="N7133" s="4"/>
      <c r="O7133" s="5"/>
      <c r="P7133" s="5"/>
      <c r="Q7133" s="21">
        <v>60</v>
      </c>
      <c r="R7133" s="21">
        <v>0</v>
      </c>
      <c r="S7133" s="5">
        <f t="shared" si="447"/>
        <v>8982.0186912881727</v>
      </c>
      <c r="T7133" cm="1">
        <f t="array" ref="T7133">IF(OR(B7133="MAL ALIMI", B7133="ÜRETİM GİRİŞ"), MIN(I7133, MAX(0, I7133 + SUM(SUMIFS($I$1:I7132, $C$1:C7132, C7133, $B$1:B7132, {"MAL ALIMI","ÜRETİM GİRİŞ"})) - VLOOKUP(C7133, 'STOK RAPORU'!$C$2:$I$1000, 4, 0))), 0)</f>
        <v>0</v>
      </c>
      <c r="U7133" s="22">
        <f t="shared" si="444"/>
        <v>0</v>
      </c>
      <c r="V7133">
        <f t="shared" si="445"/>
        <v>0</v>
      </c>
      <c r="W7133" s="22">
        <f t="shared" si="446"/>
        <v>0</v>
      </c>
    </row>
    <row r="7134" spans="1:23" hidden="1" x14ac:dyDescent="0.25">
      <c r="A7134" s="3">
        <v>46156</v>
      </c>
      <c r="B7134" s="4" t="s">
        <v>285</v>
      </c>
      <c r="C7134" s="4"/>
      <c r="D7134" s="4" t="s">
        <v>1815</v>
      </c>
      <c r="E7134" s="4"/>
      <c r="F7134" s="4"/>
      <c r="G7134" s="4" t="s">
        <v>1986</v>
      </c>
      <c r="H7134" s="4" t="s">
        <v>289</v>
      </c>
      <c r="I7134" s="4">
        <v>1</v>
      </c>
      <c r="J7134" s="21">
        <v>22.17</v>
      </c>
      <c r="K7134" s="21">
        <v>0</v>
      </c>
      <c r="L7134" s="5">
        <v>0</v>
      </c>
      <c r="M7134" s="4"/>
      <c r="N7134" s="4"/>
      <c r="O7134" s="5"/>
      <c r="P7134" s="5"/>
      <c r="Q7134" s="21">
        <v>0</v>
      </c>
      <c r="R7134" s="21">
        <v>22.17</v>
      </c>
      <c r="S7134" s="5">
        <f t="shared" si="447"/>
        <v>8959.8486912881726</v>
      </c>
      <c r="T7134" cm="1">
        <f t="array" ref="T7134">IF(OR(B7134="MAL ALIMI", B7134="ÜRETİM GİRİŞ"), MIN(I7134, MAX(0, I7134 + SUM(SUMIFS($I$1:I7133, $C$1:C7133, C7134, $B$1:B7133, {"MAL ALIMI","ÜRETİM GİRİŞ"})) - VLOOKUP(C7134, 'STOK RAPORU'!$C$2:$I$1000, 4, 0))), 0)</f>
        <v>0</v>
      </c>
      <c r="U7134" s="22">
        <f t="shared" si="444"/>
        <v>0</v>
      </c>
      <c r="V7134">
        <f t="shared" si="445"/>
        <v>0</v>
      </c>
      <c r="W7134" s="22">
        <f t="shared" si="446"/>
        <v>0</v>
      </c>
    </row>
    <row r="7135" spans="1:23" hidden="1" x14ac:dyDescent="0.25">
      <c r="A7135" s="3">
        <v>46156</v>
      </c>
      <c r="B7135" s="4" t="s">
        <v>946</v>
      </c>
      <c r="C7135" s="4"/>
      <c r="D7135" s="4"/>
      <c r="E7135" s="4" t="s">
        <v>921</v>
      </c>
      <c r="F7135" s="4"/>
      <c r="G7135" s="4" t="s">
        <v>946</v>
      </c>
      <c r="H7135" s="4" t="s">
        <v>380</v>
      </c>
      <c r="I7135" s="4">
        <v>1</v>
      </c>
      <c r="J7135" s="21">
        <v>1543</v>
      </c>
      <c r="K7135" s="21">
        <v>0</v>
      </c>
      <c r="L7135" s="32">
        <v>1543</v>
      </c>
      <c r="M7135" s="4"/>
      <c r="N7135" s="4"/>
      <c r="O7135" s="5"/>
      <c r="P7135" s="5"/>
      <c r="Q7135" s="21">
        <v>1543</v>
      </c>
      <c r="R7135" s="21">
        <v>0</v>
      </c>
      <c r="S7135" s="5">
        <f t="shared" si="447"/>
        <v>10502.848691288173</v>
      </c>
      <c r="T7135" cm="1">
        <f t="array" ref="T7135">IF(OR(B7135="MAL ALIMI", B7135="ÜRETİM GİRİŞ"), MIN(I7135, MAX(0, I7135 + SUM(SUMIFS($I$1:I7134, $C$1:C7134, C7135, $B$1:B7134, {"MAL ALIMI","ÜRETİM GİRİŞ"})) - VLOOKUP(C7135, 'STOK RAPORU'!$C$2:$I$1000, 4, 0))), 0)</f>
        <v>0</v>
      </c>
      <c r="U7135" s="22">
        <f t="shared" si="444"/>
        <v>0</v>
      </c>
      <c r="V7135">
        <f t="shared" si="445"/>
        <v>0</v>
      </c>
      <c r="W7135" s="22">
        <f t="shared" si="446"/>
        <v>0</v>
      </c>
    </row>
    <row r="7136" spans="1:23" hidden="1" x14ac:dyDescent="0.25">
      <c r="A7136" s="3">
        <v>46156</v>
      </c>
      <c r="B7136" s="4" t="s">
        <v>946</v>
      </c>
      <c r="C7136" s="4"/>
      <c r="D7136" s="4"/>
      <c r="E7136" s="4" t="s">
        <v>921</v>
      </c>
      <c r="F7136" s="4"/>
      <c r="G7136" s="4" t="s">
        <v>3466</v>
      </c>
      <c r="H7136" s="4" t="s">
        <v>380</v>
      </c>
      <c r="I7136" s="4">
        <v>1</v>
      </c>
      <c r="J7136" s="21">
        <v>1085.2</v>
      </c>
      <c r="K7136" s="21">
        <v>0</v>
      </c>
      <c r="L7136" s="32">
        <v>1085.2</v>
      </c>
      <c r="M7136" s="4"/>
      <c r="N7136" s="4"/>
      <c r="O7136" s="5"/>
      <c r="P7136" s="5"/>
      <c r="Q7136" s="21">
        <v>1085.2</v>
      </c>
      <c r="R7136" s="21">
        <v>0</v>
      </c>
      <c r="S7136" s="5">
        <f t="shared" si="447"/>
        <v>11588.048691288173</v>
      </c>
      <c r="T7136" cm="1">
        <f t="array" ref="T7136">IF(OR(B7136="MAL ALIMI", B7136="ÜRETİM GİRİŞ"), MIN(I7136, MAX(0, I7136 + SUM(SUMIFS($I$1:I7135, $C$1:C7135, C7136, $B$1:B7135, {"MAL ALIMI","ÜRETİM GİRİŞ"})) - VLOOKUP(C7136, 'STOK RAPORU'!$C$2:$I$1000, 4, 0))), 0)</f>
        <v>0</v>
      </c>
      <c r="U7136" s="22">
        <f t="shared" si="444"/>
        <v>0</v>
      </c>
      <c r="V7136">
        <f t="shared" si="445"/>
        <v>0</v>
      </c>
      <c r="W7136" s="22">
        <f t="shared" si="446"/>
        <v>0</v>
      </c>
    </row>
    <row r="7137" spans="1:23" hidden="1" x14ac:dyDescent="0.25">
      <c r="A7137" s="3">
        <v>46156</v>
      </c>
      <c r="B7137" s="4" t="s">
        <v>285</v>
      </c>
      <c r="C7137" s="4"/>
      <c r="D7137" s="4" t="s">
        <v>673</v>
      </c>
      <c r="E7137" s="4"/>
      <c r="F7137" s="4"/>
      <c r="G7137" s="4" t="s">
        <v>3466</v>
      </c>
      <c r="H7137" s="4" t="s">
        <v>289</v>
      </c>
      <c r="I7137" s="4">
        <v>1</v>
      </c>
      <c r="J7137" s="21">
        <v>1085.2</v>
      </c>
      <c r="K7137" s="21">
        <v>0</v>
      </c>
      <c r="L7137" s="5">
        <v>0</v>
      </c>
      <c r="M7137" s="4"/>
      <c r="N7137" s="4"/>
      <c r="O7137" s="5"/>
      <c r="P7137" s="5"/>
      <c r="Q7137" s="21">
        <v>0</v>
      </c>
      <c r="R7137" s="21">
        <v>1085.2</v>
      </c>
      <c r="S7137" s="5">
        <f t="shared" si="447"/>
        <v>10502.848691288173</v>
      </c>
      <c r="T7137" cm="1">
        <f t="array" ref="T7137">IF(OR(B7137="MAL ALIMI", B7137="ÜRETİM GİRİŞ"), MIN(I7137, MAX(0, I7137 + SUM(SUMIFS($I$1:I7136, $C$1:C7136, C7137, $B$1:B7136, {"MAL ALIMI","ÜRETİM GİRİŞ"})) - VLOOKUP(C7137, 'STOK RAPORU'!$C$2:$I$1000, 4, 0))), 0)</f>
        <v>0</v>
      </c>
      <c r="U7137" s="22">
        <f t="shared" si="444"/>
        <v>0</v>
      </c>
      <c r="V7137">
        <f t="shared" si="445"/>
        <v>0</v>
      </c>
      <c r="W7137" s="22">
        <f t="shared" si="446"/>
        <v>0</v>
      </c>
    </row>
    <row r="7138" spans="1:23" hidden="1" x14ac:dyDescent="0.25">
      <c r="A7138" s="3">
        <v>46157</v>
      </c>
      <c r="B7138" s="46" t="s">
        <v>334</v>
      </c>
      <c r="C7138" s="4" t="s">
        <v>98</v>
      </c>
      <c r="D7138" s="4"/>
      <c r="E7138" s="4" t="s">
        <v>921</v>
      </c>
      <c r="F7138" s="4" t="s">
        <v>3429</v>
      </c>
      <c r="G7138" s="4" t="s">
        <v>336</v>
      </c>
      <c r="H7138" s="4" t="s">
        <v>380</v>
      </c>
      <c r="I7138" s="4">
        <v>0.125</v>
      </c>
      <c r="J7138" s="21">
        <v>400</v>
      </c>
      <c r="K7138" s="21">
        <v>50</v>
      </c>
      <c r="L7138" s="5">
        <v>0</v>
      </c>
      <c r="M7138" s="4"/>
      <c r="N7138" s="4"/>
      <c r="O7138" s="5"/>
      <c r="P7138" s="5"/>
      <c r="Q7138" s="21">
        <v>0</v>
      </c>
      <c r="R7138" s="21">
        <v>0</v>
      </c>
      <c r="S7138" s="5">
        <f t="shared" si="447"/>
        <v>10502.848691288173</v>
      </c>
      <c r="T7138" cm="1">
        <f t="array" ref="T7138">IF(OR(B7138="MAL ALIMI", B7138="ÜRETİM GİRİŞ"), MIN(I7138, MAX(0, I7138 + SUM(SUMIFS($I$1:I7137, $C$1:C7137, C7138, $B$1:B7137, {"MAL ALIMI","ÜRETİM GİRİŞ"})) - VLOOKUP(C7138, 'STOK RAPORU'!$C$2:$I$1000, 4, 0))), 0)</f>
        <v>0</v>
      </c>
      <c r="U7138" s="22">
        <f t="shared" si="444"/>
        <v>0</v>
      </c>
      <c r="V7138">
        <f t="shared" si="445"/>
        <v>0</v>
      </c>
      <c r="W7138" s="22">
        <f t="shared" si="446"/>
        <v>0</v>
      </c>
    </row>
    <row r="7139" spans="1:23" hidden="1" x14ac:dyDescent="0.25">
      <c r="A7139" s="3">
        <v>46157</v>
      </c>
      <c r="B7139" s="46" t="s">
        <v>334</v>
      </c>
      <c r="C7139" s="4" t="s">
        <v>91</v>
      </c>
      <c r="D7139" s="4"/>
      <c r="E7139" s="4" t="s">
        <v>921</v>
      </c>
      <c r="F7139" s="4" t="s">
        <v>3429</v>
      </c>
      <c r="G7139" s="4" t="s">
        <v>336</v>
      </c>
      <c r="H7139" s="4" t="s">
        <v>380</v>
      </c>
      <c r="I7139" s="4">
        <v>5.8823529411764705E-2</v>
      </c>
      <c r="J7139" s="21">
        <v>850</v>
      </c>
      <c r="K7139" s="21">
        <v>50</v>
      </c>
      <c r="L7139" s="5">
        <v>0</v>
      </c>
      <c r="M7139" s="4"/>
      <c r="N7139" s="4"/>
      <c r="O7139" s="5"/>
      <c r="P7139" s="5"/>
      <c r="Q7139" s="21">
        <v>0</v>
      </c>
      <c r="R7139" s="21">
        <v>0</v>
      </c>
      <c r="S7139" s="5">
        <f t="shared" si="447"/>
        <v>10502.848691288173</v>
      </c>
      <c r="T7139" cm="1">
        <f t="array" ref="T7139">IF(OR(B7139="MAL ALIMI", B7139="ÜRETİM GİRİŞ"), MIN(I7139, MAX(0, I7139 + SUM(SUMIFS($I$1:I7138, $C$1:C7138, C7139, $B$1:B7138, {"MAL ALIMI","ÜRETİM GİRİŞ"})) - VLOOKUP(C7139, 'STOK RAPORU'!$C$2:$I$1000, 4, 0))), 0)</f>
        <v>0</v>
      </c>
      <c r="U7139" s="22">
        <f t="shared" si="444"/>
        <v>0</v>
      </c>
      <c r="V7139">
        <f t="shared" si="445"/>
        <v>0</v>
      </c>
      <c r="W7139" s="22">
        <f t="shared" si="446"/>
        <v>0</v>
      </c>
    </row>
    <row r="7140" spans="1:23" hidden="1" x14ac:dyDescent="0.25">
      <c r="A7140" s="3">
        <v>46157</v>
      </c>
      <c r="B7140" s="46" t="s">
        <v>334</v>
      </c>
      <c r="C7140" s="4" t="s">
        <v>1365</v>
      </c>
      <c r="D7140" s="4"/>
      <c r="E7140" s="4" t="s">
        <v>921</v>
      </c>
      <c r="F7140" s="4" t="s">
        <v>3429</v>
      </c>
      <c r="G7140" s="4" t="s">
        <v>336</v>
      </c>
      <c r="H7140" s="4" t="s">
        <v>380</v>
      </c>
      <c r="I7140" s="4">
        <v>1</v>
      </c>
      <c r="J7140" s="21">
        <v>150</v>
      </c>
      <c r="K7140" s="21">
        <v>150</v>
      </c>
      <c r="L7140" s="5">
        <v>0</v>
      </c>
      <c r="M7140" s="4"/>
      <c r="N7140" s="4"/>
      <c r="O7140" s="5"/>
      <c r="P7140" s="5"/>
      <c r="Q7140" s="21">
        <v>0</v>
      </c>
      <c r="R7140" s="21">
        <v>0</v>
      </c>
      <c r="S7140" s="5">
        <f t="shared" si="447"/>
        <v>10502.848691288173</v>
      </c>
      <c r="T7140" cm="1">
        <f t="array" ref="T7140">IF(OR(B7140="MAL ALIMI", B7140="ÜRETİM GİRİŞ"), MIN(I7140, MAX(0, I7140 + SUM(SUMIFS($I$1:I7139, $C$1:C7139, C7140, $B$1:B7139, {"MAL ALIMI","ÜRETİM GİRİŞ"})) - VLOOKUP(C7140, 'STOK RAPORU'!$C$2:$I$1000, 4, 0))), 0)</f>
        <v>0</v>
      </c>
      <c r="U7140" s="22">
        <f t="shared" si="444"/>
        <v>0</v>
      </c>
      <c r="V7140">
        <f t="shared" si="445"/>
        <v>0</v>
      </c>
      <c r="W7140" s="22">
        <f t="shared" si="446"/>
        <v>0</v>
      </c>
    </row>
    <row r="7141" spans="1:23" hidden="1" x14ac:dyDescent="0.25">
      <c r="A7141" s="3">
        <v>46157</v>
      </c>
      <c r="B7141" s="46" t="s">
        <v>334</v>
      </c>
      <c r="C7141" s="4" t="s">
        <v>192</v>
      </c>
      <c r="D7141" s="4"/>
      <c r="E7141" s="4" t="s">
        <v>921</v>
      </c>
      <c r="F7141" s="4" t="s">
        <v>3429</v>
      </c>
      <c r="G7141" s="4" t="s">
        <v>336</v>
      </c>
      <c r="H7141" s="4" t="s">
        <v>380</v>
      </c>
      <c r="I7141" s="4">
        <v>0.12</v>
      </c>
      <c r="J7141" s="21">
        <v>417</v>
      </c>
      <c r="K7141" s="21">
        <v>50.04</v>
      </c>
      <c r="L7141" s="5">
        <v>0</v>
      </c>
      <c r="M7141" s="4"/>
      <c r="N7141" s="4"/>
      <c r="O7141" s="5"/>
      <c r="P7141" s="5"/>
      <c r="Q7141" s="21">
        <v>0</v>
      </c>
      <c r="R7141" s="21">
        <v>0</v>
      </c>
      <c r="S7141" s="5">
        <f t="shared" si="447"/>
        <v>10502.848691288173</v>
      </c>
      <c r="T7141" cm="1">
        <f t="array" ref="T7141">IF(OR(B7141="MAL ALIMI", B7141="ÜRETİM GİRİŞ"), MIN(I7141, MAX(0, I7141 + SUM(SUMIFS($I$1:I7140, $C$1:C7140, C7141, $B$1:B7140, {"MAL ALIMI","ÜRETİM GİRİŞ"})) - VLOOKUP(C7141, 'STOK RAPORU'!$C$2:$I$1000, 4, 0))), 0)</f>
        <v>0</v>
      </c>
      <c r="U7141" s="22">
        <f t="shared" si="444"/>
        <v>0</v>
      </c>
      <c r="V7141">
        <f t="shared" si="445"/>
        <v>0</v>
      </c>
      <c r="W7141" s="22">
        <f t="shared" si="446"/>
        <v>0</v>
      </c>
    </row>
    <row r="7142" spans="1:23" hidden="1" x14ac:dyDescent="0.25">
      <c r="A7142" s="3">
        <v>46157</v>
      </c>
      <c r="B7142" s="46" t="s">
        <v>334</v>
      </c>
      <c r="C7142" s="4" t="s">
        <v>3248</v>
      </c>
      <c r="D7142" s="4"/>
      <c r="E7142" s="4" t="s">
        <v>921</v>
      </c>
      <c r="F7142" s="4" t="s">
        <v>3429</v>
      </c>
      <c r="G7142" s="4" t="s">
        <v>336</v>
      </c>
      <c r="H7142" s="4" t="s">
        <v>380</v>
      </c>
      <c r="I7142" s="4">
        <v>1</v>
      </c>
      <c r="J7142" s="21">
        <v>170</v>
      </c>
      <c r="K7142" s="21">
        <v>170</v>
      </c>
      <c r="L7142" s="5">
        <v>0</v>
      </c>
      <c r="M7142" s="4"/>
      <c r="N7142" s="4"/>
      <c r="O7142" s="5"/>
      <c r="P7142" s="5"/>
      <c r="Q7142" s="21">
        <v>0</v>
      </c>
      <c r="R7142" s="21">
        <v>0</v>
      </c>
      <c r="S7142" s="5">
        <f t="shared" si="447"/>
        <v>10502.848691288173</v>
      </c>
      <c r="T7142" cm="1">
        <f t="array" ref="T7142">IF(OR(B7142="MAL ALIMI", B7142="ÜRETİM GİRİŞ"), MIN(I7142, MAX(0, I7142 + SUM(SUMIFS($I$1:I7141, $C$1:C7141, C7142, $B$1:B7141, {"MAL ALIMI","ÜRETİM GİRİŞ"})) - VLOOKUP(C7142, 'STOK RAPORU'!$C$2:$I$1000, 4, 0))), 0)</f>
        <v>0</v>
      </c>
      <c r="U7142" s="22">
        <f t="shared" si="444"/>
        <v>0</v>
      </c>
      <c r="V7142">
        <f t="shared" si="445"/>
        <v>0</v>
      </c>
      <c r="W7142" s="22">
        <f t="shared" si="446"/>
        <v>0</v>
      </c>
    </row>
    <row r="7143" spans="1:23" hidden="1" x14ac:dyDescent="0.25">
      <c r="A7143" s="3">
        <v>46157</v>
      </c>
      <c r="B7143" s="46" t="s">
        <v>334</v>
      </c>
      <c r="C7143" s="4" t="s">
        <v>1041</v>
      </c>
      <c r="D7143" s="4"/>
      <c r="E7143" s="4" t="s">
        <v>921</v>
      </c>
      <c r="F7143" s="4" t="s">
        <v>3430</v>
      </c>
      <c r="G7143" s="4" t="s">
        <v>336</v>
      </c>
      <c r="H7143" s="4" t="s">
        <v>380</v>
      </c>
      <c r="I7143" s="4">
        <v>1.34</v>
      </c>
      <c r="J7143" s="21">
        <v>250</v>
      </c>
      <c r="K7143" s="21">
        <v>335</v>
      </c>
      <c r="L7143" s="5">
        <v>0</v>
      </c>
      <c r="M7143" s="4"/>
      <c r="N7143" s="4"/>
      <c r="O7143" s="5"/>
      <c r="P7143" s="5"/>
      <c r="Q7143" s="21">
        <v>0</v>
      </c>
      <c r="R7143" s="21">
        <v>0</v>
      </c>
      <c r="S7143" s="5">
        <f t="shared" si="447"/>
        <v>10502.848691288173</v>
      </c>
      <c r="T7143" cm="1">
        <f t="array" ref="T7143">IF(OR(B7143="MAL ALIMI", B7143="ÜRETİM GİRİŞ"), MIN(I7143, MAX(0, I7143 + SUM(SUMIFS($I$1:I7142, $C$1:C7142, C7143, $B$1:B7142, {"MAL ALIMI","ÜRETİM GİRİŞ"})) - VLOOKUP(C7143, 'STOK RAPORU'!$C$2:$I$1000, 4, 0))), 0)</f>
        <v>0</v>
      </c>
      <c r="U7143" s="22">
        <f t="shared" si="444"/>
        <v>0</v>
      </c>
      <c r="V7143">
        <f t="shared" si="445"/>
        <v>0</v>
      </c>
      <c r="W7143" s="22">
        <f t="shared" si="446"/>
        <v>0</v>
      </c>
    </row>
    <row r="7144" spans="1:23" hidden="1" x14ac:dyDescent="0.25">
      <c r="A7144" s="3">
        <v>46157</v>
      </c>
      <c r="B7144" s="46" t="s">
        <v>334</v>
      </c>
      <c r="C7144" s="4" t="s">
        <v>213</v>
      </c>
      <c r="D7144" s="4"/>
      <c r="E7144" s="4" t="s">
        <v>921</v>
      </c>
      <c r="F7144" s="4" t="s">
        <v>3431</v>
      </c>
      <c r="G7144" s="4" t="s">
        <v>336</v>
      </c>
      <c r="H7144" s="4" t="s">
        <v>380</v>
      </c>
      <c r="I7144" s="4">
        <v>0.05</v>
      </c>
      <c r="J7144" s="21">
        <v>1400</v>
      </c>
      <c r="K7144" s="21">
        <v>70</v>
      </c>
      <c r="L7144" s="5">
        <v>0</v>
      </c>
      <c r="M7144" s="4"/>
      <c r="N7144" s="4"/>
      <c r="O7144" s="5"/>
      <c r="P7144" s="5"/>
      <c r="Q7144" s="21">
        <v>0</v>
      </c>
      <c r="R7144" s="21">
        <v>0</v>
      </c>
      <c r="S7144" s="5">
        <f t="shared" si="447"/>
        <v>10502.848691288173</v>
      </c>
      <c r="T7144" cm="1">
        <f t="array" ref="T7144">IF(OR(B7144="MAL ALIMI", B7144="ÜRETİM GİRİŞ"), MIN(I7144, MAX(0, I7144 + SUM(SUMIFS($I$1:I7143, $C$1:C7143, C7144, $B$1:B7143, {"MAL ALIMI","ÜRETİM GİRİŞ"})) - VLOOKUP(C7144, 'STOK RAPORU'!$C$2:$I$1000, 4, 0))), 0)</f>
        <v>0</v>
      </c>
      <c r="U7144" s="22">
        <f t="shared" si="444"/>
        <v>0</v>
      </c>
      <c r="V7144">
        <f t="shared" si="445"/>
        <v>0</v>
      </c>
      <c r="W7144" s="22">
        <f t="shared" si="446"/>
        <v>0</v>
      </c>
    </row>
    <row r="7145" spans="1:23" hidden="1" x14ac:dyDescent="0.25">
      <c r="A7145" s="3">
        <v>46157</v>
      </c>
      <c r="B7145" s="46" t="s">
        <v>334</v>
      </c>
      <c r="C7145" s="4" t="s">
        <v>209</v>
      </c>
      <c r="D7145" s="4"/>
      <c r="E7145" s="4" t="s">
        <v>921</v>
      </c>
      <c r="F7145" s="4" t="s">
        <v>3431</v>
      </c>
      <c r="G7145" s="4" t="s">
        <v>336</v>
      </c>
      <c r="H7145" s="4" t="s">
        <v>380</v>
      </c>
      <c r="I7145" s="4">
        <v>0.05</v>
      </c>
      <c r="J7145" s="21">
        <v>2600</v>
      </c>
      <c r="K7145" s="21">
        <v>130</v>
      </c>
      <c r="L7145" s="5">
        <v>0</v>
      </c>
      <c r="M7145" s="4"/>
      <c r="N7145" s="4"/>
      <c r="O7145" s="5"/>
      <c r="P7145" s="5"/>
      <c r="Q7145" s="21">
        <v>0</v>
      </c>
      <c r="R7145" s="21">
        <v>0</v>
      </c>
      <c r="S7145" s="5">
        <f t="shared" si="447"/>
        <v>10502.848691288173</v>
      </c>
      <c r="T7145" cm="1">
        <f t="array" ref="T7145">IF(OR(B7145="MAL ALIMI", B7145="ÜRETİM GİRİŞ"), MIN(I7145, MAX(0, I7145 + SUM(SUMIFS($I$1:I7144, $C$1:C7144, C7145, $B$1:B7144, {"MAL ALIMI","ÜRETİM GİRİŞ"})) - VLOOKUP(C7145, 'STOK RAPORU'!$C$2:$I$1000, 4, 0))), 0)</f>
        <v>0</v>
      </c>
      <c r="U7145" s="22">
        <f t="shared" si="444"/>
        <v>0</v>
      </c>
      <c r="V7145">
        <f t="shared" si="445"/>
        <v>0</v>
      </c>
      <c r="W7145" s="22">
        <f t="shared" si="446"/>
        <v>0</v>
      </c>
    </row>
    <row r="7146" spans="1:23" hidden="1" x14ac:dyDescent="0.25">
      <c r="A7146" s="3">
        <v>46157</v>
      </c>
      <c r="B7146" s="46" t="s">
        <v>334</v>
      </c>
      <c r="C7146" s="4" t="s">
        <v>160</v>
      </c>
      <c r="D7146" s="4"/>
      <c r="E7146" s="4"/>
      <c r="F7146" s="4" t="s">
        <v>3432</v>
      </c>
      <c r="G7146" s="4" t="s">
        <v>336</v>
      </c>
      <c r="H7146" s="4" t="s">
        <v>289</v>
      </c>
      <c r="I7146" s="4">
        <v>1</v>
      </c>
      <c r="J7146" s="21">
        <v>250</v>
      </c>
      <c r="K7146" s="21">
        <v>0</v>
      </c>
      <c r="L7146" s="5">
        <v>0</v>
      </c>
      <c r="M7146" s="4"/>
      <c r="N7146" s="4"/>
      <c r="O7146" s="5"/>
      <c r="P7146" s="5"/>
      <c r="Q7146" s="21">
        <v>250</v>
      </c>
      <c r="R7146" s="21">
        <v>0</v>
      </c>
      <c r="S7146" s="5">
        <f t="shared" si="447"/>
        <v>10752.848691288173</v>
      </c>
      <c r="T7146" cm="1">
        <f t="array" ref="T7146">IF(OR(B7146="MAL ALIMI", B7146="ÜRETİM GİRİŞ"), MIN(I7146, MAX(0, I7146 + SUM(SUMIFS($I$1:I7145, $C$1:C7145, C7146, $B$1:B7145, {"MAL ALIMI","ÜRETİM GİRİŞ"})) - VLOOKUP(C7146, 'STOK RAPORU'!$C$2:$I$1000, 4, 0))), 0)</f>
        <v>0</v>
      </c>
      <c r="U7146" s="22">
        <f t="shared" si="444"/>
        <v>0</v>
      </c>
      <c r="V7146">
        <f t="shared" si="445"/>
        <v>0</v>
      </c>
      <c r="W7146" s="22">
        <f t="shared" si="446"/>
        <v>0</v>
      </c>
    </row>
    <row r="7147" spans="1:23" hidden="1" x14ac:dyDescent="0.25">
      <c r="A7147" s="3">
        <v>46157</v>
      </c>
      <c r="B7147" s="46" t="s">
        <v>334</v>
      </c>
      <c r="C7147" s="4" t="s">
        <v>156</v>
      </c>
      <c r="D7147" s="4"/>
      <c r="E7147" s="4"/>
      <c r="F7147" s="4" t="s">
        <v>3433</v>
      </c>
      <c r="G7147" s="4" t="s">
        <v>336</v>
      </c>
      <c r="H7147" s="4" t="s">
        <v>289</v>
      </c>
      <c r="I7147" s="4">
        <v>0.25</v>
      </c>
      <c r="J7147" s="21">
        <v>200</v>
      </c>
      <c r="K7147" s="21">
        <v>0</v>
      </c>
      <c r="L7147" s="5">
        <v>0</v>
      </c>
      <c r="M7147" s="4"/>
      <c r="N7147" s="4"/>
      <c r="O7147" s="5"/>
      <c r="P7147" s="5"/>
      <c r="Q7147" s="21">
        <v>50</v>
      </c>
      <c r="R7147" s="21">
        <v>0</v>
      </c>
      <c r="S7147" s="5">
        <f t="shared" si="447"/>
        <v>10802.848691288173</v>
      </c>
      <c r="T7147" cm="1">
        <f t="array" ref="T7147">IF(OR(B7147="MAL ALIMI", B7147="ÜRETİM GİRİŞ"), MIN(I7147, MAX(0, I7147 + SUM(SUMIFS($I$1:I7146, $C$1:C7146, C7147, $B$1:B7146, {"MAL ALIMI","ÜRETİM GİRİŞ"})) - VLOOKUP(C7147, 'STOK RAPORU'!$C$2:$I$1000, 4, 0))), 0)</f>
        <v>0</v>
      </c>
      <c r="U7147" s="22">
        <f t="shared" si="444"/>
        <v>0</v>
      </c>
      <c r="V7147">
        <f t="shared" si="445"/>
        <v>0</v>
      </c>
      <c r="W7147" s="22">
        <f t="shared" si="446"/>
        <v>0</v>
      </c>
    </row>
    <row r="7148" spans="1:23" hidden="1" x14ac:dyDescent="0.25">
      <c r="A7148" s="3">
        <v>46157</v>
      </c>
      <c r="B7148" s="46" t="s">
        <v>334</v>
      </c>
      <c r="C7148" s="4" t="s">
        <v>157</v>
      </c>
      <c r="D7148" s="4"/>
      <c r="E7148" s="4"/>
      <c r="F7148" s="4" t="s">
        <v>3433</v>
      </c>
      <c r="G7148" s="4" t="s">
        <v>336</v>
      </c>
      <c r="H7148" s="4" t="s">
        <v>289</v>
      </c>
      <c r="I7148" s="4">
        <v>0.25</v>
      </c>
      <c r="J7148" s="21">
        <v>200</v>
      </c>
      <c r="K7148" s="21">
        <v>0</v>
      </c>
      <c r="L7148" s="5">
        <v>0</v>
      </c>
      <c r="M7148" s="4"/>
      <c r="N7148" s="4"/>
      <c r="O7148" s="5"/>
      <c r="P7148" s="5"/>
      <c r="Q7148" s="21">
        <v>50</v>
      </c>
      <c r="R7148" s="21">
        <v>0</v>
      </c>
      <c r="S7148" s="5">
        <f t="shared" si="447"/>
        <v>10852.848691288173</v>
      </c>
      <c r="T7148" cm="1">
        <f t="array" ref="T7148">IF(OR(B7148="MAL ALIMI", B7148="ÜRETİM GİRİŞ"), MIN(I7148, MAX(0, I7148 + SUM(SUMIFS($I$1:I7147, $C$1:C7147, C7148, $B$1:B7147, {"MAL ALIMI","ÜRETİM GİRİŞ"})) - VLOOKUP(C7148, 'STOK RAPORU'!$C$2:$I$1000, 4, 0))), 0)</f>
        <v>0</v>
      </c>
      <c r="U7148" s="22">
        <f t="shared" si="444"/>
        <v>0</v>
      </c>
      <c r="V7148">
        <f t="shared" si="445"/>
        <v>0</v>
      </c>
      <c r="W7148" s="22">
        <f t="shared" si="446"/>
        <v>0</v>
      </c>
    </row>
    <row r="7149" spans="1:23" hidden="1" x14ac:dyDescent="0.25">
      <c r="A7149" s="3">
        <v>46157</v>
      </c>
      <c r="B7149" s="46" t="s">
        <v>334</v>
      </c>
      <c r="C7149" s="4" t="s">
        <v>60</v>
      </c>
      <c r="D7149" s="4"/>
      <c r="E7149" s="4"/>
      <c r="F7149" s="4" t="s">
        <v>3433</v>
      </c>
      <c r="G7149" s="4" t="s">
        <v>336</v>
      </c>
      <c r="H7149" s="4" t="s">
        <v>289</v>
      </c>
      <c r="I7149" s="4">
        <v>0.05</v>
      </c>
      <c r="J7149" s="21">
        <v>1200</v>
      </c>
      <c r="K7149" s="21">
        <v>0</v>
      </c>
      <c r="L7149" s="5">
        <v>0</v>
      </c>
      <c r="M7149" s="4"/>
      <c r="N7149" s="4"/>
      <c r="O7149" s="5"/>
      <c r="P7149" s="5"/>
      <c r="Q7149" s="21">
        <v>60</v>
      </c>
      <c r="R7149" s="21">
        <v>0</v>
      </c>
      <c r="S7149" s="5">
        <f t="shared" si="447"/>
        <v>10912.848691288173</v>
      </c>
      <c r="T7149" cm="1">
        <f t="array" ref="T7149">IF(OR(B7149="MAL ALIMI", B7149="ÜRETİM GİRİŞ"), MIN(I7149, MAX(0, I7149 + SUM(SUMIFS($I$1:I7148, $C$1:C7148, C7149, $B$1:B7148, {"MAL ALIMI","ÜRETİM GİRİŞ"})) - VLOOKUP(C7149, 'STOK RAPORU'!$C$2:$I$1000, 4, 0))), 0)</f>
        <v>0</v>
      </c>
      <c r="U7149" s="22">
        <f t="shared" si="444"/>
        <v>0</v>
      </c>
      <c r="V7149">
        <f t="shared" si="445"/>
        <v>0</v>
      </c>
      <c r="W7149" s="22">
        <f t="shared" si="446"/>
        <v>0</v>
      </c>
    </row>
    <row r="7150" spans="1:23" hidden="1" x14ac:dyDescent="0.25">
      <c r="A7150" s="3">
        <v>46157</v>
      </c>
      <c r="B7150" s="46" t="s">
        <v>334</v>
      </c>
      <c r="C7150" s="4" t="s">
        <v>2488</v>
      </c>
      <c r="D7150" s="4"/>
      <c r="E7150" s="4" t="s">
        <v>921</v>
      </c>
      <c r="F7150" s="4" t="s">
        <v>3434</v>
      </c>
      <c r="G7150" s="4" t="s">
        <v>336</v>
      </c>
      <c r="H7150" s="4" t="s">
        <v>380</v>
      </c>
      <c r="I7150" s="4">
        <v>0.50181818181818183</v>
      </c>
      <c r="J7150" s="21">
        <v>550</v>
      </c>
      <c r="K7150" s="21">
        <v>276</v>
      </c>
      <c r="L7150" s="5">
        <v>0</v>
      </c>
      <c r="M7150" s="4"/>
      <c r="N7150" s="4"/>
      <c r="O7150" s="5"/>
      <c r="P7150" s="5"/>
      <c r="Q7150" s="21">
        <v>0</v>
      </c>
      <c r="R7150" s="21">
        <v>0</v>
      </c>
      <c r="S7150" s="5">
        <f t="shared" si="447"/>
        <v>10912.848691288173</v>
      </c>
      <c r="T7150" cm="1">
        <f t="array" ref="T7150">IF(OR(B7150="MAL ALIMI", B7150="ÜRETİM GİRİŞ"), MIN(I7150, MAX(0, I7150 + SUM(SUMIFS($I$1:I7149, $C$1:C7149, C7150, $B$1:B7149, {"MAL ALIMI","ÜRETİM GİRİŞ"})) - VLOOKUP(C7150, 'STOK RAPORU'!$C$2:$I$1000, 4, 0))), 0)</f>
        <v>0</v>
      </c>
      <c r="U7150" s="22">
        <f t="shared" si="444"/>
        <v>0</v>
      </c>
      <c r="V7150">
        <f t="shared" si="445"/>
        <v>0</v>
      </c>
      <c r="W7150" s="22">
        <f t="shared" si="446"/>
        <v>0</v>
      </c>
    </row>
    <row r="7151" spans="1:23" hidden="1" x14ac:dyDescent="0.25">
      <c r="A7151" s="3">
        <v>46157</v>
      </c>
      <c r="B7151" s="46" t="s">
        <v>334</v>
      </c>
      <c r="C7151" s="4" t="s">
        <v>158</v>
      </c>
      <c r="D7151" s="4"/>
      <c r="E7151" s="4" t="s">
        <v>921</v>
      </c>
      <c r="F7151" s="4" t="s">
        <v>3434</v>
      </c>
      <c r="G7151" s="4" t="s">
        <v>336</v>
      </c>
      <c r="H7151" s="4" t="s">
        <v>380</v>
      </c>
      <c r="I7151" s="4">
        <v>1</v>
      </c>
      <c r="J7151" s="21">
        <v>150</v>
      </c>
      <c r="K7151" s="21">
        <v>150</v>
      </c>
      <c r="L7151" s="5">
        <v>0</v>
      </c>
      <c r="M7151" s="4"/>
      <c r="N7151" s="4"/>
      <c r="O7151" s="5"/>
      <c r="P7151" s="5"/>
      <c r="Q7151" s="21">
        <v>0</v>
      </c>
      <c r="R7151" s="21">
        <v>0</v>
      </c>
      <c r="S7151" s="5">
        <f t="shared" si="447"/>
        <v>10912.848691288173</v>
      </c>
      <c r="T7151" cm="1">
        <f t="array" ref="T7151">IF(OR(B7151="MAL ALIMI", B7151="ÜRETİM GİRİŞ"), MIN(I7151, MAX(0, I7151 + SUM(SUMIFS($I$1:I7150, $C$1:C7150, C7151, $B$1:B7150, {"MAL ALIMI","ÜRETİM GİRİŞ"})) - VLOOKUP(C7151, 'STOK RAPORU'!$C$2:$I$1000, 4, 0))), 0)</f>
        <v>0</v>
      </c>
      <c r="U7151" s="22">
        <f t="shared" si="444"/>
        <v>0</v>
      </c>
      <c r="V7151">
        <f t="shared" si="445"/>
        <v>0</v>
      </c>
      <c r="W7151" s="22">
        <f t="shared" si="446"/>
        <v>0</v>
      </c>
    </row>
    <row r="7152" spans="1:23" hidden="1" x14ac:dyDescent="0.25">
      <c r="A7152" s="3">
        <v>46157</v>
      </c>
      <c r="B7152" s="46" t="s">
        <v>334</v>
      </c>
      <c r="C7152" s="4" t="s">
        <v>591</v>
      </c>
      <c r="D7152" s="4"/>
      <c r="E7152" s="4"/>
      <c r="F7152" s="4" t="s">
        <v>3435</v>
      </c>
      <c r="G7152" s="4" t="s">
        <v>336</v>
      </c>
      <c r="H7152" s="4" t="s">
        <v>289</v>
      </c>
      <c r="I7152" s="4">
        <v>1</v>
      </c>
      <c r="J7152" s="21">
        <v>350</v>
      </c>
      <c r="K7152" s="21">
        <v>0</v>
      </c>
      <c r="L7152" s="5">
        <v>0</v>
      </c>
      <c r="M7152" s="4"/>
      <c r="N7152" s="4"/>
      <c r="O7152" s="5"/>
      <c r="P7152" s="5"/>
      <c r="Q7152" s="21">
        <v>350</v>
      </c>
      <c r="R7152" s="21">
        <v>0</v>
      </c>
      <c r="S7152" s="5">
        <f t="shared" si="447"/>
        <v>11262.848691288173</v>
      </c>
      <c r="T7152" cm="1">
        <f t="array" ref="T7152">IF(OR(B7152="MAL ALIMI", B7152="ÜRETİM GİRİŞ"), MIN(I7152, MAX(0, I7152 + SUM(SUMIFS($I$1:I7151, $C$1:C7151, C7152, $B$1:B7151, {"MAL ALIMI","ÜRETİM GİRİŞ"})) - VLOOKUP(C7152, 'STOK RAPORU'!$C$2:$I$1000, 4, 0))), 0)</f>
        <v>0</v>
      </c>
      <c r="U7152" s="22">
        <f t="shared" si="444"/>
        <v>0</v>
      </c>
      <c r="V7152">
        <f t="shared" si="445"/>
        <v>0</v>
      </c>
      <c r="W7152" s="22">
        <f t="shared" si="446"/>
        <v>0</v>
      </c>
    </row>
    <row r="7153" spans="1:23" hidden="1" x14ac:dyDescent="0.25">
      <c r="A7153" s="3">
        <v>46157</v>
      </c>
      <c r="B7153" s="46" t="s">
        <v>334</v>
      </c>
      <c r="C7153" s="4" t="s">
        <v>237</v>
      </c>
      <c r="D7153" s="4"/>
      <c r="E7153" s="4"/>
      <c r="F7153" s="4" t="s">
        <v>3436</v>
      </c>
      <c r="G7153" s="4" t="s">
        <v>336</v>
      </c>
      <c r="H7153" s="4" t="s">
        <v>289</v>
      </c>
      <c r="I7153" s="4">
        <v>0.05</v>
      </c>
      <c r="J7153" s="21">
        <v>1800</v>
      </c>
      <c r="K7153" s="21">
        <v>0</v>
      </c>
      <c r="L7153" s="5">
        <v>0</v>
      </c>
      <c r="M7153" s="4"/>
      <c r="N7153" s="4"/>
      <c r="O7153" s="5"/>
      <c r="P7153" s="5"/>
      <c r="Q7153" s="21">
        <v>90</v>
      </c>
      <c r="R7153" s="21">
        <v>0</v>
      </c>
      <c r="S7153" s="5">
        <f t="shared" si="447"/>
        <v>11352.848691288173</v>
      </c>
      <c r="T7153" cm="1">
        <f t="array" ref="T7153">IF(OR(B7153="MAL ALIMI", B7153="ÜRETİM GİRİŞ"), MIN(I7153, MAX(0, I7153 + SUM(SUMIFS($I$1:I7152, $C$1:C7152, C7153, $B$1:B7152, {"MAL ALIMI","ÜRETİM GİRİŞ"})) - VLOOKUP(C7153, 'STOK RAPORU'!$C$2:$I$1000, 4, 0))), 0)</f>
        <v>0</v>
      </c>
      <c r="U7153" s="22">
        <f t="shared" si="444"/>
        <v>0</v>
      </c>
      <c r="V7153">
        <f t="shared" si="445"/>
        <v>0</v>
      </c>
      <c r="W7153" s="22">
        <f t="shared" si="446"/>
        <v>0</v>
      </c>
    </row>
    <row r="7154" spans="1:23" hidden="1" x14ac:dyDescent="0.25">
      <c r="A7154" s="3">
        <v>46157</v>
      </c>
      <c r="B7154" s="46" t="s">
        <v>334</v>
      </c>
      <c r="C7154" s="4" t="s">
        <v>1365</v>
      </c>
      <c r="D7154" s="4"/>
      <c r="E7154" s="4"/>
      <c r="F7154" s="4" t="s">
        <v>3437</v>
      </c>
      <c r="G7154" s="4" t="s">
        <v>1945</v>
      </c>
      <c r="H7154" s="4" t="s">
        <v>289</v>
      </c>
      <c r="I7154" s="4">
        <v>1</v>
      </c>
      <c r="J7154" s="21">
        <v>90</v>
      </c>
      <c r="K7154" s="21">
        <v>0</v>
      </c>
      <c r="L7154" s="5">
        <v>0</v>
      </c>
      <c r="M7154" s="4"/>
      <c r="N7154" s="4"/>
      <c r="O7154" s="5"/>
      <c r="P7154" s="5"/>
      <c r="Q7154" s="21">
        <v>90</v>
      </c>
      <c r="R7154" s="21">
        <v>0</v>
      </c>
      <c r="S7154" s="5">
        <f t="shared" si="447"/>
        <v>11442.848691288173</v>
      </c>
      <c r="T7154" cm="1">
        <f t="array" ref="T7154">IF(OR(B7154="MAL ALIMI", B7154="ÜRETİM GİRİŞ"), MIN(I7154, MAX(0, I7154 + SUM(SUMIFS($I$1:I7153, $C$1:C7153, C7154, $B$1:B7153, {"MAL ALIMI","ÜRETİM GİRİŞ"})) - VLOOKUP(C7154, 'STOK RAPORU'!$C$2:$I$1000, 4, 0))), 0)</f>
        <v>0</v>
      </c>
      <c r="U7154" s="22">
        <f t="shared" ref="U7154:U7217" si="448">T7154*J7154</f>
        <v>0</v>
      </c>
      <c r="V7154">
        <f t="shared" ref="V7154:V7217" si="449">IF(OR(B7154="MAL ALIMI", B7154="ÜRETİM GİRİŞ"), I7154 * J7154, 0)</f>
        <v>0</v>
      </c>
      <c r="W7154" s="22">
        <f t="shared" ref="W7154:W7217" si="450">V7154-U7154</f>
        <v>0</v>
      </c>
    </row>
    <row r="7155" spans="1:23" hidden="1" x14ac:dyDescent="0.25">
      <c r="A7155" s="3">
        <v>46157</v>
      </c>
      <c r="B7155" s="46" t="s">
        <v>334</v>
      </c>
      <c r="C7155" s="4" t="s">
        <v>530</v>
      </c>
      <c r="D7155" s="4"/>
      <c r="E7155" s="4" t="s">
        <v>921</v>
      </c>
      <c r="F7155" s="4" t="s">
        <v>3438</v>
      </c>
      <c r="G7155" s="4" t="s">
        <v>336</v>
      </c>
      <c r="H7155" s="4" t="s">
        <v>380</v>
      </c>
      <c r="I7155" s="4">
        <v>0.5</v>
      </c>
      <c r="J7155" s="21">
        <v>280</v>
      </c>
      <c r="K7155" s="21">
        <v>140</v>
      </c>
      <c r="L7155" s="5">
        <v>0</v>
      </c>
      <c r="M7155" s="4"/>
      <c r="N7155" s="4"/>
      <c r="O7155" s="5"/>
      <c r="P7155" s="5"/>
      <c r="Q7155" s="21">
        <v>0</v>
      </c>
      <c r="R7155" s="21">
        <v>0</v>
      </c>
      <c r="S7155" s="5">
        <f t="shared" si="447"/>
        <v>11442.848691288173</v>
      </c>
      <c r="T7155" cm="1">
        <f t="array" ref="T7155">IF(OR(B7155="MAL ALIMI", B7155="ÜRETİM GİRİŞ"), MIN(I7155, MAX(0, I7155 + SUM(SUMIFS($I$1:I7154, $C$1:C7154, C7155, $B$1:B7154, {"MAL ALIMI","ÜRETİM GİRİŞ"})) - VLOOKUP(C7155, 'STOK RAPORU'!$C$2:$I$1000, 4, 0))), 0)</f>
        <v>0</v>
      </c>
      <c r="U7155" s="22">
        <f t="shared" si="448"/>
        <v>0</v>
      </c>
      <c r="V7155">
        <f t="shared" si="449"/>
        <v>0</v>
      </c>
      <c r="W7155" s="22">
        <f t="shared" si="450"/>
        <v>0</v>
      </c>
    </row>
    <row r="7156" spans="1:23" hidden="1" x14ac:dyDescent="0.25">
      <c r="A7156" s="3">
        <v>46157</v>
      </c>
      <c r="B7156" s="46" t="s">
        <v>334</v>
      </c>
      <c r="C7156" s="4" t="s">
        <v>158</v>
      </c>
      <c r="D7156" s="4"/>
      <c r="E7156" s="4" t="s">
        <v>921</v>
      </c>
      <c r="F7156" s="4" t="s">
        <v>3439</v>
      </c>
      <c r="G7156" s="4" t="s">
        <v>336</v>
      </c>
      <c r="H7156" s="4" t="s">
        <v>380</v>
      </c>
      <c r="I7156" s="4">
        <v>1</v>
      </c>
      <c r="J7156" s="21">
        <v>150</v>
      </c>
      <c r="K7156" s="21">
        <v>150</v>
      </c>
      <c r="L7156" s="5">
        <v>0</v>
      </c>
      <c r="M7156" s="4"/>
      <c r="N7156" s="4"/>
      <c r="O7156" s="5"/>
      <c r="P7156" s="5"/>
      <c r="Q7156" s="21">
        <v>0</v>
      </c>
      <c r="R7156" s="21">
        <v>0</v>
      </c>
      <c r="S7156" s="5">
        <f t="shared" si="447"/>
        <v>11442.848691288173</v>
      </c>
      <c r="T7156" cm="1">
        <f t="array" ref="T7156">IF(OR(B7156="MAL ALIMI", B7156="ÜRETİM GİRİŞ"), MIN(I7156, MAX(0, I7156 + SUM(SUMIFS($I$1:I7155, $C$1:C7155, C7156, $B$1:B7155, {"MAL ALIMI","ÜRETİM GİRİŞ"})) - VLOOKUP(C7156, 'STOK RAPORU'!$C$2:$I$1000, 4, 0))), 0)</f>
        <v>0</v>
      </c>
      <c r="U7156" s="22">
        <f t="shared" si="448"/>
        <v>0</v>
      </c>
      <c r="V7156">
        <f t="shared" si="449"/>
        <v>0</v>
      </c>
      <c r="W7156" s="22">
        <f t="shared" si="450"/>
        <v>0</v>
      </c>
    </row>
    <row r="7157" spans="1:23" hidden="1" x14ac:dyDescent="0.25">
      <c r="A7157" s="3">
        <v>46157</v>
      </c>
      <c r="B7157" s="46" t="s">
        <v>334</v>
      </c>
      <c r="C7157" s="4" t="s">
        <v>2488</v>
      </c>
      <c r="D7157" s="4"/>
      <c r="E7157" s="4" t="s">
        <v>921</v>
      </c>
      <c r="F7157" s="4" t="s">
        <v>3439</v>
      </c>
      <c r="G7157" s="4" t="s">
        <v>336</v>
      </c>
      <c r="H7157" s="4" t="s">
        <v>380</v>
      </c>
      <c r="I7157" s="4">
        <v>0.36363636363636365</v>
      </c>
      <c r="J7157" s="21">
        <v>550</v>
      </c>
      <c r="K7157" s="21">
        <v>200</v>
      </c>
      <c r="L7157" s="5">
        <v>0</v>
      </c>
      <c r="M7157" s="4"/>
      <c r="N7157" s="4"/>
      <c r="O7157" s="5"/>
      <c r="P7157" s="5"/>
      <c r="Q7157" s="21">
        <v>0</v>
      </c>
      <c r="R7157" s="21">
        <v>0</v>
      </c>
      <c r="S7157" s="5">
        <f t="shared" si="447"/>
        <v>11442.848691288173</v>
      </c>
      <c r="T7157" cm="1">
        <f t="array" ref="T7157">IF(OR(B7157="MAL ALIMI", B7157="ÜRETİM GİRİŞ"), MIN(I7157, MAX(0, I7157 + SUM(SUMIFS($I$1:I7156, $C$1:C7156, C7157, $B$1:B7156, {"MAL ALIMI","ÜRETİM GİRİŞ"})) - VLOOKUP(C7157, 'STOK RAPORU'!$C$2:$I$1000, 4, 0))), 0)</f>
        <v>0</v>
      </c>
      <c r="U7157" s="22">
        <f t="shared" si="448"/>
        <v>0</v>
      </c>
      <c r="V7157">
        <f t="shared" si="449"/>
        <v>0</v>
      </c>
      <c r="W7157" s="22">
        <f t="shared" si="450"/>
        <v>0</v>
      </c>
    </row>
    <row r="7158" spans="1:23" hidden="1" x14ac:dyDescent="0.25">
      <c r="A7158" s="3">
        <v>46157</v>
      </c>
      <c r="B7158" s="46" t="s">
        <v>334</v>
      </c>
      <c r="C7158" s="4" t="s">
        <v>3378</v>
      </c>
      <c r="D7158" s="4"/>
      <c r="E7158" s="4"/>
      <c r="F7158" s="4" t="s">
        <v>3440</v>
      </c>
      <c r="G7158" s="4" t="s">
        <v>336</v>
      </c>
      <c r="H7158" s="4" t="s">
        <v>289</v>
      </c>
      <c r="I7158" s="4">
        <v>3</v>
      </c>
      <c r="J7158" s="21">
        <v>100</v>
      </c>
      <c r="K7158" s="21">
        <v>0</v>
      </c>
      <c r="L7158" s="5">
        <v>0</v>
      </c>
      <c r="M7158" s="4"/>
      <c r="N7158" s="4"/>
      <c r="O7158" s="5"/>
      <c r="P7158" s="5"/>
      <c r="Q7158" s="21">
        <v>300</v>
      </c>
      <c r="R7158" s="21">
        <v>0</v>
      </c>
      <c r="S7158" s="5">
        <f t="shared" si="447"/>
        <v>11742.848691288173</v>
      </c>
      <c r="T7158" cm="1">
        <f t="array" ref="T7158">IF(OR(B7158="MAL ALIMI", B7158="ÜRETİM GİRİŞ"), MIN(I7158, MAX(0, I7158 + SUM(SUMIFS($I$1:I7157, $C$1:C7157, C7158, $B$1:B7157, {"MAL ALIMI","ÜRETİM GİRİŞ"})) - VLOOKUP(C7158, 'STOK RAPORU'!$C$2:$I$1000, 4, 0))), 0)</f>
        <v>0</v>
      </c>
      <c r="U7158" s="22">
        <f t="shared" si="448"/>
        <v>0</v>
      </c>
      <c r="V7158">
        <f t="shared" si="449"/>
        <v>0</v>
      </c>
      <c r="W7158" s="22">
        <f t="shared" si="450"/>
        <v>0</v>
      </c>
    </row>
    <row r="7159" spans="1:23" hidden="1" x14ac:dyDescent="0.25">
      <c r="A7159" s="3">
        <v>46157</v>
      </c>
      <c r="B7159" s="46" t="s">
        <v>334</v>
      </c>
      <c r="C7159" s="4" t="s">
        <v>692</v>
      </c>
      <c r="D7159" s="4"/>
      <c r="E7159" s="4"/>
      <c r="F7159" s="4" t="s">
        <v>3441</v>
      </c>
      <c r="G7159" s="4" t="s">
        <v>1716</v>
      </c>
      <c r="H7159" s="4" t="s">
        <v>289</v>
      </c>
      <c r="I7159" s="4">
        <v>0.5</v>
      </c>
      <c r="J7159" s="21">
        <v>60</v>
      </c>
      <c r="K7159" s="21">
        <v>0</v>
      </c>
      <c r="L7159" s="5">
        <v>0</v>
      </c>
      <c r="M7159" s="4"/>
      <c r="N7159" s="4"/>
      <c r="O7159" s="5"/>
      <c r="P7159" s="5"/>
      <c r="Q7159" s="21">
        <v>30</v>
      </c>
      <c r="R7159" s="21">
        <v>0</v>
      </c>
      <c r="S7159" s="5">
        <f t="shared" si="447"/>
        <v>11772.848691288173</v>
      </c>
      <c r="T7159" cm="1">
        <f t="array" ref="T7159">IF(OR(B7159="MAL ALIMI", B7159="ÜRETİM GİRİŞ"), MIN(I7159, MAX(0, I7159 + SUM(SUMIFS($I$1:I7158, $C$1:C7158, C7159, $B$1:B7158, {"MAL ALIMI","ÜRETİM GİRİŞ"})) - VLOOKUP(C7159, 'STOK RAPORU'!$C$2:$I$1000, 4, 0))), 0)</f>
        <v>0</v>
      </c>
      <c r="U7159" s="22">
        <f t="shared" si="448"/>
        <v>0</v>
      </c>
      <c r="V7159">
        <f t="shared" si="449"/>
        <v>0</v>
      </c>
      <c r="W7159" s="22">
        <f t="shared" si="450"/>
        <v>0</v>
      </c>
    </row>
    <row r="7160" spans="1:23" hidden="1" x14ac:dyDescent="0.25">
      <c r="A7160" s="3">
        <v>46157</v>
      </c>
      <c r="B7160" s="46" t="s">
        <v>334</v>
      </c>
      <c r="C7160" s="4" t="s">
        <v>695</v>
      </c>
      <c r="D7160" s="4"/>
      <c r="E7160" s="4"/>
      <c r="F7160" s="4" t="s">
        <v>3441</v>
      </c>
      <c r="G7160" s="4" t="s">
        <v>1716</v>
      </c>
      <c r="H7160" s="4" t="s">
        <v>289</v>
      </c>
      <c r="I7160" s="4">
        <v>0.5</v>
      </c>
      <c r="J7160" s="21">
        <v>120</v>
      </c>
      <c r="K7160" s="21">
        <v>0</v>
      </c>
      <c r="L7160" s="5">
        <v>0</v>
      </c>
      <c r="M7160" s="4"/>
      <c r="N7160" s="4"/>
      <c r="O7160" s="5"/>
      <c r="P7160" s="5"/>
      <c r="Q7160" s="21">
        <v>60</v>
      </c>
      <c r="R7160" s="21">
        <v>0</v>
      </c>
      <c r="S7160" s="5">
        <f t="shared" si="447"/>
        <v>11832.848691288173</v>
      </c>
      <c r="T7160" cm="1">
        <f t="array" ref="T7160">IF(OR(B7160="MAL ALIMI", B7160="ÜRETİM GİRİŞ"), MIN(I7160, MAX(0, I7160 + SUM(SUMIFS($I$1:I7159, $C$1:C7159, C7160, $B$1:B7159, {"MAL ALIMI","ÜRETİM GİRİŞ"})) - VLOOKUP(C7160, 'STOK RAPORU'!$C$2:$I$1000, 4, 0))), 0)</f>
        <v>0</v>
      </c>
      <c r="U7160" s="22">
        <f t="shared" si="448"/>
        <v>0</v>
      </c>
      <c r="V7160">
        <f t="shared" si="449"/>
        <v>0</v>
      </c>
      <c r="W7160" s="22">
        <f t="shared" si="450"/>
        <v>0</v>
      </c>
    </row>
    <row r="7161" spans="1:23" hidden="1" x14ac:dyDescent="0.25">
      <c r="A7161" s="3">
        <v>46157</v>
      </c>
      <c r="B7161" s="46" t="s">
        <v>334</v>
      </c>
      <c r="C7161" s="4" t="s">
        <v>2608</v>
      </c>
      <c r="D7161" s="4"/>
      <c r="E7161" s="4"/>
      <c r="F7161" s="4" t="s">
        <v>3441</v>
      </c>
      <c r="G7161" s="4" t="s">
        <v>1716</v>
      </c>
      <c r="H7161" s="4" t="s">
        <v>289</v>
      </c>
      <c r="I7161" s="4">
        <v>0.2</v>
      </c>
      <c r="J7161" s="21">
        <v>500</v>
      </c>
      <c r="K7161" s="21">
        <v>0</v>
      </c>
      <c r="L7161" s="5">
        <v>0</v>
      </c>
      <c r="M7161" s="4"/>
      <c r="N7161" s="4"/>
      <c r="O7161" s="5"/>
      <c r="P7161" s="5"/>
      <c r="Q7161" s="21">
        <v>100</v>
      </c>
      <c r="R7161" s="21">
        <v>0</v>
      </c>
      <c r="S7161" s="5">
        <f t="shared" si="447"/>
        <v>11932.848691288173</v>
      </c>
      <c r="T7161" cm="1">
        <f t="array" ref="T7161">IF(OR(B7161="MAL ALIMI", B7161="ÜRETİM GİRİŞ"), MIN(I7161, MAX(0, I7161 + SUM(SUMIFS($I$1:I7160, $C$1:C7160, C7161, $B$1:B7160, {"MAL ALIMI","ÜRETİM GİRİŞ"})) - VLOOKUP(C7161, 'STOK RAPORU'!$C$2:$I$1000, 4, 0))), 0)</f>
        <v>0</v>
      </c>
      <c r="U7161" s="22">
        <f t="shared" si="448"/>
        <v>0</v>
      </c>
      <c r="V7161">
        <f t="shared" si="449"/>
        <v>0</v>
      </c>
      <c r="W7161" s="22">
        <f t="shared" si="450"/>
        <v>0</v>
      </c>
    </row>
    <row r="7162" spans="1:23" hidden="1" x14ac:dyDescent="0.25">
      <c r="A7162" s="3">
        <v>46157</v>
      </c>
      <c r="B7162" s="46" t="s">
        <v>334</v>
      </c>
      <c r="C7162" s="4" t="s">
        <v>2601</v>
      </c>
      <c r="D7162" s="4"/>
      <c r="E7162" s="4"/>
      <c r="F7162" s="4" t="s">
        <v>3441</v>
      </c>
      <c r="G7162" s="4" t="s">
        <v>1716</v>
      </c>
      <c r="H7162" s="4" t="s">
        <v>289</v>
      </c>
      <c r="I7162" s="4">
        <v>0.1</v>
      </c>
      <c r="J7162" s="21">
        <v>500</v>
      </c>
      <c r="K7162" s="21">
        <v>0</v>
      </c>
      <c r="L7162" s="5">
        <v>0</v>
      </c>
      <c r="M7162" s="4"/>
      <c r="N7162" s="4"/>
      <c r="O7162" s="5"/>
      <c r="P7162" s="5"/>
      <c r="Q7162" s="21">
        <v>50</v>
      </c>
      <c r="R7162" s="21">
        <v>0</v>
      </c>
      <c r="S7162" s="5">
        <f t="shared" si="447"/>
        <v>11982.848691288173</v>
      </c>
      <c r="T7162" cm="1">
        <f t="array" ref="T7162">IF(OR(B7162="MAL ALIMI", B7162="ÜRETİM GİRİŞ"), MIN(I7162, MAX(0, I7162 + SUM(SUMIFS($I$1:I7161, $C$1:C7161, C7162, $B$1:B7161, {"MAL ALIMI","ÜRETİM GİRİŞ"})) - VLOOKUP(C7162, 'STOK RAPORU'!$C$2:$I$1000, 4, 0))), 0)</f>
        <v>0</v>
      </c>
      <c r="U7162" s="22">
        <f t="shared" si="448"/>
        <v>0</v>
      </c>
      <c r="V7162">
        <f t="shared" si="449"/>
        <v>0</v>
      </c>
      <c r="W7162" s="22">
        <f t="shared" si="450"/>
        <v>0</v>
      </c>
    </row>
    <row r="7163" spans="1:23" hidden="1" x14ac:dyDescent="0.25">
      <c r="A7163" s="3">
        <v>46157</v>
      </c>
      <c r="B7163" s="46" t="s">
        <v>334</v>
      </c>
      <c r="C7163" s="4" t="s">
        <v>212</v>
      </c>
      <c r="D7163" s="4"/>
      <c r="E7163" s="4"/>
      <c r="F7163" s="4" t="s">
        <v>3441</v>
      </c>
      <c r="G7163" s="4" t="s">
        <v>1716</v>
      </c>
      <c r="H7163" s="4" t="s">
        <v>289</v>
      </c>
      <c r="I7163" s="4">
        <v>0.1</v>
      </c>
      <c r="J7163" s="21">
        <v>700</v>
      </c>
      <c r="K7163" s="21">
        <v>0</v>
      </c>
      <c r="L7163" s="5">
        <v>0</v>
      </c>
      <c r="M7163" s="4"/>
      <c r="N7163" s="4"/>
      <c r="O7163" s="5"/>
      <c r="P7163" s="5"/>
      <c r="Q7163" s="21">
        <v>70</v>
      </c>
      <c r="R7163" s="21">
        <v>0</v>
      </c>
      <c r="S7163" s="5">
        <f t="shared" si="447"/>
        <v>12052.848691288173</v>
      </c>
      <c r="T7163" cm="1">
        <f t="array" ref="T7163">IF(OR(B7163="MAL ALIMI", B7163="ÜRETİM GİRİŞ"), MIN(I7163, MAX(0, I7163 + SUM(SUMIFS($I$1:I7162, $C$1:C7162, C7163, $B$1:B7162, {"MAL ALIMI","ÜRETİM GİRİŞ"})) - VLOOKUP(C7163, 'STOK RAPORU'!$C$2:$I$1000, 4, 0))), 0)</f>
        <v>0</v>
      </c>
      <c r="U7163" s="22">
        <f t="shared" si="448"/>
        <v>0</v>
      </c>
      <c r="V7163">
        <f t="shared" si="449"/>
        <v>0</v>
      </c>
      <c r="W7163" s="22">
        <f t="shared" si="450"/>
        <v>0</v>
      </c>
    </row>
    <row r="7164" spans="1:23" hidden="1" x14ac:dyDescent="0.25">
      <c r="A7164" s="3">
        <v>46157</v>
      </c>
      <c r="B7164" s="46" t="s">
        <v>334</v>
      </c>
      <c r="C7164" s="4" t="s">
        <v>750</v>
      </c>
      <c r="D7164" s="4"/>
      <c r="E7164" s="4"/>
      <c r="F7164" s="4" t="s">
        <v>3441</v>
      </c>
      <c r="G7164" s="4" t="s">
        <v>1716</v>
      </c>
      <c r="H7164" s="4" t="s">
        <v>289</v>
      </c>
      <c r="I7164" s="4">
        <v>1</v>
      </c>
      <c r="J7164" s="21">
        <v>250</v>
      </c>
      <c r="K7164" s="21">
        <v>0</v>
      </c>
      <c r="L7164" s="5">
        <v>0</v>
      </c>
      <c r="M7164" s="4"/>
      <c r="N7164" s="4"/>
      <c r="O7164" s="5"/>
      <c r="P7164" s="5"/>
      <c r="Q7164" s="21">
        <v>250</v>
      </c>
      <c r="R7164" s="21">
        <v>0</v>
      </c>
      <c r="S7164" s="5">
        <f t="shared" si="447"/>
        <v>12302.848691288173</v>
      </c>
      <c r="T7164" cm="1">
        <f t="array" ref="T7164">IF(OR(B7164="MAL ALIMI", B7164="ÜRETİM GİRİŞ"), MIN(I7164, MAX(0, I7164 + SUM(SUMIFS($I$1:I7163, $C$1:C7163, C7164, $B$1:B7163, {"MAL ALIMI","ÜRETİM GİRİŞ"})) - VLOOKUP(C7164, 'STOK RAPORU'!$C$2:$I$1000, 4, 0))), 0)</f>
        <v>0</v>
      </c>
      <c r="U7164" s="22">
        <f t="shared" si="448"/>
        <v>0</v>
      </c>
      <c r="V7164">
        <f t="shared" si="449"/>
        <v>0</v>
      </c>
      <c r="W7164" s="22">
        <f t="shared" si="450"/>
        <v>0</v>
      </c>
    </row>
    <row r="7165" spans="1:23" hidden="1" x14ac:dyDescent="0.25">
      <c r="A7165" s="3">
        <v>46157</v>
      </c>
      <c r="B7165" s="46" t="s">
        <v>334</v>
      </c>
      <c r="C7165" s="4" t="s">
        <v>490</v>
      </c>
      <c r="D7165" s="4"/>
      <c r="E7165" s="4"/>
      <c r="F7165" s="4" t="s">
        <v>3441</v>
      </c>
      <c r="G7165" s="4" t="s">
        <v>1716</v>
      </c>
      <c r="H7165" s="4" t="s">
        <v>289</v>
      </c>
      <c r="I7165" s="4">
        <v>1</v>
      </c>
      <c r="J7165" s="21">
        <v>220</v>
      </c>
      <c r="K7165" s="21">
        <v>0</v>
      </c>
      <c r="L7165" s="5">
        <v>0</v>
      </c>
      <c r="M7165" s="4"/>
      <c r="N7165" s="4"/>
      <c r="O7165" s="5"/>
      <c r="P7165" s="5"/>
      <c r="Q7165" s="21">
        <v>220</v>
      </c>
      <c r="R7165" s="21">
        <v>0</v>
      </c>
      <c r="S7165" s="5">
        <f t="shared" si="447"/>
        <v>12522.848691288173</v>
      </c>
      <c r="T7165" cm="1">
        <f t="array" ref="T7165">IF(OR(B7165="MAL ALIMI", B7165="ÜRETİM GİRİŞ"), MIN(I7165, MAX(0, I7165 + SUM(SUMIFS($I$1:I7164, $C$1:C7164, C7165, $B$1:B7164, {"MAL ALIMI","ÜRETİM GİRİŞ"})) - VLOOKUP(C7165, 'STOK RAPORU'!$C$2:$I$1000, 4, 0))), 0)</f>
        <v>0</v>
      </c>
      <c r="U7165" s="22">
        <f t="shared" si="448"/>
        <v>0</v>
      </c>
      <c r="V7165">
        <f t="shared" si="449"/>
        <v>0</v>
      </c>
      <c r="W7165" s="22">
        <f t="shared" si="450"/>
        <v>0</v>
      </c>
    </row>
    <row r="7166" spans="1:23" hidden="1" x14ac:dyDescent="0.25">
      <c r="A7166" s="3">
        <v>46157</v>
      </c>
      <c r="B7166" s="46" t="s">
        <v>334</v>
      </c>
      <c r="C7166" s="4" t="s">
        <v>911</v>
      </c>
      <c r="D7166" s="4"/>
      <c r="E7166" s="4"/>
      <c r="F7166" s="4" t="s">
        <v>3441</v>
      </c>
      <c r="G7166" s="4" t="s">
        <v>1716</v>
      </c>
      <c r="H7166" s="4" t="s">
        <v>289</v>
      </c>
      <c r="I7166" s="4">
        <v>1</v>
      </c>
      <c r="J7166" s="21">
        <v>130</v>
      </c>
      <c r="K7166" s="21">
        <v>0</v>
      </c>
      <c r="L7166" s="5">
        <v>0</v>
      </c>
      <c r="M7166" s="4"/>
      <c r="N7166" s="4"/>
      <c r="O7166" s="5"/>
      <c r="P7166" s="5"/>
      <c r="Q7166" s="21">
        <v>130</v>
      </c>
      <c r="R7166" s="21">
        <v>0</v>
      </c>
      <c r="S7166" s="5">
        <f t="shared" si="447"/>
        <v>12652.848691288173</v>
      </c>
      <c r="T7166" cm="1">
        <f t="array" ref="T7166">IF(OR(B7166="MAL ALIMI", B7166="ÜRETİM GİRİŞ"), MIN(I7166, MAX(0, I7166 + SUM(SUMIFS($I$1:I7165, $C$1:C7165, C7166, $B$1:B7165, {"MAL ALIMI","ÜRETİM GİRİŞ"})) - VLOOKUP(C7166, 'STOK RAPORU'!$C$2:$I$1000, 4, 0))), 0)</f>
        <v>0</v>
      </c>
      <c r="U7166" s="22">
        <f t="shared" si="448"/>
        <v>0</v>
      </c>
      <c r="V7166">
        <f t="shared" si="449"/>
        <v>0</v>
      </c>
      <c r="W7166" s="22">
        <f t="shared" si="450"/>
        <v>0</v>
      </c>
    </row>
    <row r="7167" spans="1:23" hidden="1" x14ac:dyDescent="0.25">
      <c r="A7167" s="3">
        <v>46157</v>
      </c>
      <c r="B7167" s="46" t="s">
        <v>334</v>
      </c>
      <c r="C7167" s="4" t="s">
        <v>2120</v>
      </c>
      <c r="D7167" s="4"/>
      <c r="E7167" s="4"/>
      <c r="F7167" s="4" t="s">
        <v>3441</v>
      </c>
      <c r="G7167" s="4" t="s">
        <v>1716</v>
      </c>
      <c r="H7167" s="4" t="s">
        <v>289</v>
      </c>
      <c r="I7167" s="4">
        <v>2.5</v>
      </c>
      <c r="J7167" s="21">
        <v>65</v>
      </c>
      <c r="K7167" s="21">
        <v>0</v>
      </c>
      <c r="L7167" s="5">
        <v>0</v>
      </c>
      <c r="M7167" s="4"/>
      <c r="N7167" s="4"/>
      <c r="O7167" s="5"/>
      <c r="P7167" s="5"/>
      <c r="Q7167" s="21">
        <v>162.5</v>
      </c>
      <c r="R7167" s="21">
        <v>0</v>
      </c>
      <c r="S7167" s="5">
        <f t="shared" si="447"/>
        <v>12815.348691288173</v>
      </c>
      <c r="T7167" cm="1">
        <f t="array" ref="T7167">IF(OR(B7167="MAL ALIMI", B7167="ÜRETİM GİRİŞ"), MIN(I7167, MAX(0, I7167 + SUM(SUMIFS($I$1:I7166, $C$1:C7166, C7167, $B$1:B7166, {"MAL ALIMI","ÜRETİM GİRİŞ"})) - VLOOKUP(C7167, 'STOK RAPORU'!$C$2:$I$1000, 4, 0))), 0)</f>
        <v>0</v>
      </c>
      <c r="U7167" s="22">
        <f t="shared" si="448"/>
        <v>0</v>
      </c>
      <c r="V7167">
        <f t="shared" si="449"/>
        <v>0</v>
      </c>
      <c r="W7167" s="22">
        <f t="shared" si="450"/>
        <v>0</v>
      </c>
    </row>
    <row r="7168" spans="1:23" hidden="1" x14ac:dyDescent="0.25">
      <c r="A7168" s="3">
        <v>46157</v>
      </c>
      <c r="B7168" s="46" t="s">
        <v>334</v>
      </c>
      <c r="C7168" s="4" t="s">
        <v>690</v>
      </c>
      <c r="D7168" s="4"/>
      <c r="E7168" s="4"/>
      <c r="F7168" s="4" t="s">
        <v>3441</v>
      </c>
      <c r="G7168" s="4" t="s">
        <v>1716</v>
      </c>
      <c r="H7168" s="4" t="s">
        <v>289</v>
      </c>
      <c r="I7168" s="4">
        <v>0.19600000000000001</v>
      </c>
      <c r="J7168" s="21">
        <v>350</v>
      </c>
      <c r="K7168" s="21">
        <v>0</v>
      </c>
      <c r="L7168" s="5">
        <v>0</v>
      </c>
      <c r="M7168" s="4"/>
      <c r="N7168" s="4"/>
      <c r="O7168" s="5"/>
      <c r="P7168" s="5"/>
      <c r="Q7168" s="21">
        <v>68.600000000000009</v>
      </c>
      <c r="R7168" s="21">
        <v>0</v>
      </c>
      <c r="S7168" s="5">
        <f t="shared" si="447"/>
        <v>12883.948691288173</v>
      </c>
      <c r="T7168" cm="1">
        <f t="array" ref="T7168">IF(OR(B7168="MAL ALIMI", B7168="ÜRETİM GİRİŞ"), MIN(I7168, MAX(0, I7168 + SUM(SUMIFS($I$1:I7167, $C$1:C7167, C7168, $B$1:B7167, {"MAL ALIMI","ÜRETİM GİRİŞ"})) - VLOOKUP(C7168, 'STOK RAPORU'!$C$2:$I$1000, 4, 0))), 0)</f>
        <v>0</v>
      </c>
      <c r="U7168" s="22">
        <f t="shared" si="448"/>
        <v>0</v>
      </c>
      <c r="V7168">
        <f t="shared" si="449"/>
        <v>0</v>
      </c>
      <c r="W7168" s="22">
        <f t="shared" si="450"/>
        <v>0</v>
      </c>
    </row>
    <row r="7169" spans="1:23" hidden="1" x14ac:dyDescent="0.25">
      <c r="A7169" s="3">
        <v>46157</v>
      </c>
      <c r="B7169" s="46" t="s">
        <v>334</v>
      </c>
      <c r="C7169" s="4" t="s">
        <v>237</v>
      </c>
      <c r="D7169" s="4"/>
      <c r="E7169" s="4"/>
      <c r="F7169" s="4" t="s">
        <v>3441</v>
      </c>
      <c r="G7169" s="4" t="s">
        <v>1716</v>
      </c>
      <c r="H7169" s="4" t="s">
        <v>289</v>
      </c>
      <c r="I7169" s="4">
        <v>0.05</v>
      </c>
      <c r="J7169" s="21">
        <v>1800</v>
      </c>
      <c r="K7169" s="21">
        <v>0</v>
      </c>
      <c r="L7169" s="5">
        <v>0</v>
      </c>
      <c r="M7169" s="4"/>
      <c r="N7169" s="4"/>
      <c r="O7169" s="5"/>
      <c r="P7169" s="5"/>
      <c r="Q7169" s="21">
        <v>90</v>
      </c>
      <c r="R7169" s="21">
        <v>0</v>
      </c>
      <c r="S7169" s="5">
        <f t="shared" si="447"/>
        <v>12973.948691288173</v>
      </c>
      <c r="T7169" cm="1">
        <f t="array" ref="T7169">IF(OR(B7169="MAL ALIMI", B7169="ÜRETİM GİRİŞ"), MIN(I7169, MAX(0, I7169 + SUM(SUMIFS($I$1:I7168, $C$1:C7168, C7169, $B$1:B7168, {"MAL ALIMI","ÜRETİM GİRİŞ"})) - VLOOKUP(C7169, 'STOK RAPORU'!$C$2:$I$1000, 4, 0))), 0)</f>
        <v>0</v>
      </c>
      <c r="U7169" s="22">
        <f t="shared" si="448"/>
        <v>0</v>
      </c>
      <c r="V7169">
        <f t="shared" si="449"/>
        <v>0</v>
      </c>
      <c r="W7169" s="22">
        <f t="shared" si="450"/>
        <v>0</v>
      </c>
    </row>
    <row r="7170" spans="1:23" hidden="1" x14ac:dyDescent="0.25">
      <c r="A7170" s="3">
        <v>46157</v>
      </c>
      <c r="B7170" s="4" t="s">
        <v>946</v>
      </c>
      <c r="C7170" s="4"/>
      <c r="D7170" s="4"/>
      <c r="E7170" s="4" t="s">
        <v>921</v>
      </c>
      <c r="F7170" s="4"/>
      <c r="G7170" s="4" t="s">
        <v>946</v>
      </c>
      <c r="H7170" s="4" t="s">
        <v>380</v>
      </c>
      <c r="I7170" s="4">
        <v>1</v>
      </c>
      <c r="J7170" s="21">
        <v>984.8</v>
      </c>
      <c r="K7170" s="21">
        <v>0</v>
      </c>
      <c r="L7170" s="32">
        <v>984.8</v>
      </c>
      <c r="M7170" s="4"/>
      <c r="N7170" s="4"/>
      <c r="O7170" s="5"/>
      <c r="P7170" s="5"/>
      <c r="Q7170" s="21">
        <v>984.8</v>
      </c>
      <c r="R7170" s="21">
        <v>0</v>
      </c>
      <c r="S7170" s="5">
        <f t="shared" si="447"/>
        <v>13958.748691288172</v>
      </c>
      <c r="T7170" cm="1">
        <f t="array" ref="T7170">IF(OR(B7170="MAL ALIMI", B7170="ÜRETİM GİRİŞ"), MIN(I7170, MAX(0, I7170 + SUM(SUMIFS($I$1:I7169, $C$1:C7169, C7170, $B$1:B7169, {"MAL ALIMI","ÜRETİM GİRİŞ"})) - VLOOKUP(C7170, 'STOK RAPORU'!$C$2:$I$1000, 4, 0))), 0)</f>
        <v>0</v>
      </c>
      <c r="U7170" s="22">
        <f t="shared" si="448"/>
        <v>0</v>
      </c>
      <c r="V7170">
        <f t="shared" si="449"/>
        <v>0</v>
      </c>
      <c r="W7170" s="22">
        <f t="shared" si="450"/>
        <v>0</v>
      </c>
    </row>
    <row r="7171" spans="1:23" hidden="1" x14ac:dyDescent="0.25">
      <c r="A7171" s="3">
        <v>46158</v>
      </c>
      <c r="B7171" s="46" t="s">
        <v>334</v>
      </c>
      <c r="C7171" s="4" t="s">
        <v>161</v>
      </c>
      <c r="D7171" s="4"/>
      <c r="E7171" s="4"/>
      <c r="F7171" s="4" t="s">
        <v>3442</v>
      </c>
      <c r="G7171" s="4" t="s">
        <v>336</v>
      </c>
      <c r="H7171" s="4" t="s">
        <v>289</v>
      </c>
      <c r="I7171" s="4">
        <v>0.5</v>
      </c>
      <c r="J7171" s="21">
        <v>250</v>
      </c>
      <c r="K7171" s="21">
        <v>0</v>
      </c>
      <c r="L7171" s="5">
        <v>0</v>
      </c>
      <c r="M7171" s="4"/>
      <c r="N7171" s="4"/>
      <c r="O7171" s="5"/>
      <c r="P7171" s="5"/>
      <c r="Q7171" s="21">
        <v>125</v>
      </c>
      <c r="R7171" s="21">
        <v>0</v>
      </c>
      <c r="S7171" s="5">
        <f t="shared" si="447"/>
        <v>14083.748691288172</v>
      </c>
      <c r="T7171" cm="1">
        <f t="array" ref="T7171">IF(OR(B7171="MAL ALIMI", B7171="ÜRETİM GİRİŞ"), MIN(I7171, MAX(0, I7171 + SUM(SUMIFS($I$1:I7170, $C$1:C7170, C7171, $B$1:B7170, {"MAL ALIMI","ÜRETİM GİRİŞ"})) - VLOOKUP(C7171, 'STOK RAPORU'!$C$2:$I$1000, 4, 0))), 0)</f>
        <v>0</v>
      </c>
      <c r="U7171" s="22">
        <f t="shared" si="448"/>
        <v>0</v>
      </c>
      <c r="V7171">
        <f t="shared" si="449"/>
        <v>0</v>
      </c>
      <c r="W7171" s="22">
        <f t="shared" si="450"/>
        <v>0</v>
      </c>
    </row>
    <row r="7172" spans="1:23" hidden="1" x14ac:dyDescent="0.25">
      <c r="A7172" s="3">
        <v>46158</v>
      </c>
      <c r="B7172" s="46" t="s">
        <v>334</v>
      </c>
      <c r="C7172" s="4" t="s">
        <v>160</v>
      </c>
      <c r="D7172" s="4"/>
      <c r="E7172" s="4"/>
      <c r="F7172" s="4" t="s">
        <v>3442</v>
      </c>
      <c r="G7172" s="4" t="s">
        <v>336</v>
      </c>
      <c r="H7172" s="4" t="s">
        <v>289</v>
      </c>
      <c r="I7172" s="4">
        <v>0.5</v>
      </c>
      <c r="J7172" s="21">
        <v>250</v>
      </c>
      <c r="K7172" s="21">
        <v>0</v>
      </c>
      <c r="L7172" s="5">
        <v>0</v>
      </c>
      <c r="M7172" s="4"/>
      <c r="N7172" s="4"/>
      <c r="O7172" s="5"/>
      <c r="P7172" s="5"/>
      <c r="Q7172" s="21">
        <v>125</v>
      </c>
      <c r="R7172" s="21">
        <v>0</v>
      </c>
      <c r="S7172" s="5">
        <f t="shared" ref="S7172:S7235" si="451">S7171+Q7172-R7172</f>
        <v>14208.748691288172</v>
      </c>
      <c r="T7172" cm="1">
        <f t="array" ref="T7172">IF(OR(B7172="MAL ALIMI", B7172="ÜRETİM GİRİŞ"), MIN(I7172, MAX(0, I7172 + SUM(SUMIFS($I$1:I7171, $C$1:C7171, C7172, $B$1:B7171, {"MAL ALIMI","ÜRETİM GİRİŞ"})) - VLOOKUP(C7172, 'STOK RAPORU'!$C$2:$I$1000, 4, 0))), 0)</f>
        <v>0</v>
      </c>
      <c r="U7172" s="22">
        <f t="shared" si="448"/>
        <v>0</v>
      </c>
      <c r="V7172">
        <f t="shared" si="449"/>
        <v>0</v>
      </c>
      <c r="W7172" s="22">
        <f t="shared" si="450"/>
        <v>0</v>
      </c>
    </row>
    <row r="7173" spans="1:23" hidden="1" x14ac:dyDescent="0.25">
      <c r="A7173" s="3">
        <v>46158</v>
      </c>
      <c r="B7173" s="46" t="s">
        <v>334</v>
      </c>
      <c r="C7173" s="4" t="s">
        <v>131</v>
      </c>
      <c r="D7173" s="4"/>
      <c r="E7173" s="4"/>
      <c r="F7173" s="4" t="s">
        <v>3442</v>
      </c>
      <c r="G7173" s="4" t="s">
        <v>336</v>
      </c>
      <c r="H7173" s="4" t="s">
        <v>289</v>
      </c>
      <c r="I7173" s="4">
        <v>0.125</v>
      </c>
      <c r="J7173" s="21">
        <v>400</v>
      </c>
      <c r="K7173" s="21">
        <v>0</v>
      </c>
      <c r="L7173" s="5">
        <v>0</v>
      </c>
      <c r="M7173" s="4"/>
      <c r="N7173" s="4"/>
      <c r="O7173" s="5"/>
      <c r="P7173" s="5"/>
      <c r="Q7173" s="21">
        <v>50</v>
      </c>
      <c r="R7173" s="21">
        <v>0</v>
      </c>
      <c r="S7173" s="5">
        <f t="shared" si="451"/>
        <v>14258.748691288172</v>
      </c>
      <c r="T7173" cm="1">
        <f t="array" ref="T7173">IF(OR(B7173="MAL ALIMI", B7173="ÜRETİM GİRİŞ"), MIN(I7173, MAX(0, I7173 + SUM(SUMIFS($I$1:I7172, $C$1:C7172, C7173, $B$1:B7172, {"MAL ALIMI","ÜRETİM GİRİŞ"})) - VLOOKUP(C7173, 'STOK RAPORU'!$C$2:$I$1000, 4, 0))), 0)</f>
        <v>0</v>
      </c>
      <c r="U7173" s="22">
        <f t="shared" si="448"/>
        <v>0</v>
      </c>
      <c r="V7173">
        <f t="shared" si="449"/>
        <v>0</v>
      </c>
      <c r="W7173" s="22">
        <f t="shared" si="450"/>
        <v>0</v>
      </c>
    </row>
    <row r="7174" spans="1:23" hidden="1" x14ac:dyDescent="0.25">
      <c r="A7174" s="3">
        <v>46158</v>
      </c>
      <c r="B7174" s="46" t="s">
        <v>334</v>
      </c>
      <c r="C7174" s="4" t="s">
        <v>132</v>
      </c>
      <c r="D7174" s="4"/>
      <c r="E7174" s="4"/>
      <c r="F7174" s="4" t="s">
        <v>3442</v>
      </c>
      <c r="G7174" s="4" t="s">
        <v>336</v>
      </c>
      <c r="H7174" s="4" t="s">
        <v>289</v>
      </c>
      <c r="I7174" s="4">
        <v>0.1</v>
      </c>
      <c r="J7174" s="21">
        <v>500</v>
      </c>
      <c r="K7174" s="21">
        <v>0</v>
      </c>
      <c r="L7174" s="5">
        <v>0</v>
      </c>
      <c r="M7174" s="4"/>
      <c r="N7174" s="4"/>
      <c r="O7174" s="5"/>
      <c r="P7174" s="5"/>
      <c r="Q7174" s="21">
        <v>50</v>
      </c>
      <c r="R7174" s="21">
        <v>0</v>
      </c>
      <c r="S7174" s="5">
        <f t="shared" si="451"/>
        <v>14308.748691288172</v>
      </c>
      <c r="T7174" cm="1">
        <f t="array" ref="T7174">IF(OR(B7174="MAL ALIMI", B7174="ÜRETİM GİRİŞ"), MIN(I7174, MAX(0, I7174 + SUM(SUMIFS($I$1:I7173, $C$1:C7173, C7174, $B$1:B7173, {"MAL ALIMI","ÜRETİM GİRİŞ"})) - VLOOKUP(C7174, 'STOK RAPORU'!$C$2:$I$1000, 4, 0))), 0)</f>
        <v>0</v>
      </c>
      <c r="U7174" s="22">
        <f t="shared" si="448"/>
        <v>0</v>
      </c>
      <c r="V7174">
        <f t="shared" si="449"/>
        <v>0</v>
      </c>
      <c r="W7174" s="22">
        <f t="shared" si="450"/>
        <v>0</v>
      </c>
    </row>
    <row r="7175" spans="1:23" hidden="1" x14ac:dyDescent="0.25">
      <c r="A7175" s="3">
        <v>46158</v>
      </c>
      <c r="B7175" s="46" t="s">
        <v>334</v>
      </c>
      <c r="C7175" s="4" t="s">
        <v>829</v>
      </c>
      <c r="D7175" s="4"/>
      <c r="E7175" s="4" t="s">
        <v>921</v>
      </c>
      <c r="F7175" s="4" t="s">
        <v>3443</v>
      </c>
      <c r="G7175" s="4" t="s">
        <v>336</v>
      </c>
      <c r="H7175" s="4" t="s">
        <v>380</v>
      </c>
      <c r="I7175" s="4">
        <v>2</v>
      </c>
      <c r="J7175" s="21">
        <v>145</v>
      </c>
      <c r="K7175" s="21">
        <v>290</v>
      </c>
      <c r="L7175" s="5">
        <v>0</v>
      </c>
      <c r="M7175" s="4"/>
      <c r="N7175" s="4"/>
      <c r="O7175" s="5"/>
      <c r="P7175" s="5"/>
      <c r="Q7175" s="21">
        <v>0</v>
      </c>
      <c r="R7175" s="21">
        <v>0</v>
      </c>
      <c r="S7175" s="5">
        <f t="shared" si="451"/>
        <v>14308.748691288172</v>
      </c>
      <c r="T7175" cm="1">
        <f t="array" ref="T7175">IF(OR(B7175="MAL ALIMI", B7175="ÜRETİM GİRİŞ"), MIN(I7175, MAX(0, I7175 + SUM(SUMIFS($I$1:I7174, $C$1:C7174, C7175, $B$1:B7174, {"MAL ALIMI","ÜRETİM GİRİŞ"})) - VLOOKUP(C7175, 'STOK RAPORU'!$C$2:$I$1000, 4, 0))), 0)</f>
        <v>0</v>
      </c>
      <c r="U7175" s="22">
        <f t="shared" si="448"/>
        <v>0</v>
      </c>
      <c r="V7175">
        <f t="shared" si="449"/>
        <v>0</v>
      </c>
      <c r="W7175" s="22">
        <f t="shared" si="450"/>
        <v>0</v>
      </c>
    </row>
    <row r="7176" spans="1:23" hidden="1" x14ac:dyDescent="0.25">
      <c r="A7176" s="3">
        <v>46158</v>
      </c>
      <c r="B7176" s="46" t="s">
        <v>334</v>
      </c>
      <c r="C7176" s="4" t="s">
        <v>462</v>
      </c>
      <c r="D7176" s="4"/>
      <c r="E7176" s="4" t="s">
        <v>921</v>
      </c>
      <c r="F7176" s="4" t="s">
        <v>3444</v>
      </c>
      <c r="G7176" s="4" t="s">
        <v>336</v>
      </c>
      <c r="H7176" s="4" t="s">
        <v>380</v>
      </c>
      <c r="I7176" s="4">
        <v>1</v>
      </c>
      <c r="J7176" s="21">
        <v>120</v>
      </c>
      <c r="K7176" s="21">
        <v>120</v>
      </c>
      <c r="L7176" s="5">
        <v>0</v>
      </c>
      <c r="M7176" s="4"/>
      <c r="N7176" s="4"/>
      <c r="O7176" s="5"/>
      <c r="P7176" s="5"/>
      <c r="Q7176" s="21">
        <v>0</v>
      </c>
      <c r="R7176" s="21">
        <v>0</v>
      </c>
      <c r="S7176" s="5">
        <f t="shared" si="451"/>
        <v>14308.748691288172</v>
      </c>
      <c r="T7176" cm="1">
        <f t="array" ref="T7176">IF(OR(B7176="MAL ALIMI", B7176="ÜRETİM GİRİŞ"), MIN(I7176, MAX(0, I7176 + SUM(SUMIFS($I$1:I7175, $C$1:C7175, C7176, $B$1:B7175, {"MAL ALIMI","ÜRETİM GİRİŞ"})) - VLOOKUP(C7176, 'STOK RAPORU'!$C$2:$I$1000, 4, 0))), 0)</f>
        <v>0</v>
      </c>
      <c r="U7176" s="22">
        <f t="shared" si="448"/>
        <v>0</v>
      </c>
      <c r="V7176">
        <f t="shared" si="449"/>
        <v>0</v>
      </c>
      <c r="W7176" s="22">
        <f t="shared" si="450"/>
        <v>0</v>
      </c>
    </row>
    <row r="7177" spans="1:23" hidden="1" x14ac:dyDescent="0.25">
      <c r="A7177" s="3">
        <v>46158</v>
      </c>
      <c r="B7177" s="46" t="s">
        <v>334</v>
      </c>
      <c r="C7177" s="4" t="s">
        <v>161</v>
      </c>
      <c r="D7177" s="4"/>
      <c r="E7177" s="4" t="s">
        <v>921</v>
      </c>
      <c r="F7177" s="4" t="s">
        <v>3444</v>
      </c>
      <c r="G7177" s="4" t="s">
        <v>336</v>
      </c>
      <c r="H7177" s="4" t="s">
        <v>380</v>
      </c>
      <c r="I7177" s="4">
        <v>1</v>
      </c>
      <c r="J7177" s="21">
        <v>250</v>
      </c>
      <c r="K7177" s="21">
        <v>250</v>
      </c>
      <c r="L7177" s="5">
        <v>0</v>
      </c>
      <c r="M7177" s="4"/>
      <c r="N7177" s="4"/>
      <c r="O7177" s="5"/>
      <c r="P7177" s="5"/>
      <c r="Q7177" s="21">
        <v>0</v>
      </c>
      <c r="R7177" s="21">
        <v>0</v>
      </c>
      <c r="S7177" s="5">
        <f t="shared" si="451"/>
        <v>14308.748691288172</v>
      </c>
      <c r="T7177" cm="1">
        <f t="array" ref="T7177">IF(OR(B7177="MAL ALIMI", B7177="ÜRETİM GİRİŞ"), MIN(I7177, MAX(0, I7177 + SUM(SUMIFS($I$1:I7176, $C$1:C7176, C7177, $B$1:B7176, {"MAL ALIMI","ÜRETİM GİRİŞ"})) - VLOOKUP(C7177, 'STOK RAPORU'!$C$2:$I$1000, 4, 0))), 0)</f>
        <v>0</v>
      </c>
      <c r="U7177" s="22">
        <f t="shared" si="448"/>
        <v>0</v>
      </c>
      <c r="V7177">
        <f t="shared" si="449"/>
        <v>0</v>
      </c>
      <c r="W7177" s="22">
        <f t="shared" si="450"/>
        <v>0</v>
      </c>
    </row>
    <row r="7178" spans="1:23" hidden="1" x14ac:dyDescent="0.25">
      <c r="A7178" s="3">
        <v>46158</v>
      </c>
      <c r="B7178" s="46" t="s">
        <v>334</v>
      </c>
      <c r="C7178" s="4" t="s">
        <v>160</v>
      </c>
      <c r="D7178" s="4"/>
      <c r="E7178" s="4" t="s">
        <v>921</v>
      </c>
      <c r="F7178" s="4" t="s">
        <v>3444</v>
      </c>
      <c r="G7178" s="4" t="s">
        <v>336</v>
      </c>
      <c r="H7178" s="4" t="s">
        <v>380</v>
      </c>
      <c r="I7178" s="4">
        <v>1</v>
      </c>
      <c r="J7178" s="21">
        <v>250</v>
      </c>
      <c r="K7178" s="21">
        <v>250</v>
      </c>
      <c r="L7178" s="5">
        <v>0</v>
      </c>
      <c r="M7178" s="4"/>
      <c r="N7178" s="4"/>
      <c r="O7178" s="5"/>
      <c r="P7178" s="5"/>
      <c r="Q7178" s="21">
        <v>0</v>
      </c>
      <c r="R7178" s="21">
        <v>0</v>
      </c>
      <c r="S7178" s="5">
        <f t="shared" si="451"/>
        <v>14308.748691288172</v>
      </c>
      <c r="T7178" cm="1">
        <f t="array" ref="T7178">IF(OR(B7178="MAL ALIMI", B7178="ÜRETİM GİRİŞ"), MIN(I7178, MAX(0, I7178 + SUM(SUMIFS($I$1:I7177, $C$1:C7177, C7178, $B$1:B7177, {"MAL ALIMI","ÜRETİM GİRİŞ"})) - VLOOKUP(C7178, 'STOK RAPORU'!$C$2:$I$1000, 4, 0))), 0)</f>
        <v>0</v>
      </c>
      <c r="U7178" s="22">
        <f t="shared" si="448"/>
        <v>0</v>
      </c>
      <c r="V7178">
        <f t="shared" si="449"/>
        <v>0</v>
      </c>
      <c r="W7178" s="22">
        <f t="shared" si="450"/>
        <v>0</v>
      </c>
    </row>
    <row r="7179" spans="1:23" hidden="1" x14ac:dyDescent="0.25">
      <c r="A7179" s="3">
        <v>46158</v>
      </c>
      <c r="B7179" s="46" t="s">
        <v>334</v>
      </c>
      <c r="C7179" s="4" t="s">
        <v>137</v>
      </c>
      <c r="D7179" s="4"/>
      <c r="E7179" s="4" t="s">
        <v>921</v>
      </c>
      <c r="F7179" s="4" t="s">
        <v>3444</v>
      </c>
      <c r="G7179" s="4" t="s">
        <v>336</v>
      </c>
      <c r="H7179" s="4" t="s">
        <v>380</v>
      </c>
      <c r="I7179" s="4">
        <v>0.27777777777777779</v>
      </c>
      <c r="J7179" s="21">
        <v>180</v>
      </c>
      <c r="K7179" s="21">
        <v>50</v>
      </c>
      <c r="L7179" s="5">
        <v>0</v>
      </c>
      <c r="M7179" s="4"/>
      <c r="N7179" s="4"/>
      <c r="O7179" s="5"/>
      <c r="P7179" s="5"/>
      <c r="Q7179" s="21">
        <v>0</v>
      </c>
      <c r="R7179" s="21">
        <v>0</v>
      </c>
      <c r="S7179" s="5">
        <f t="shared" si="451"/>
        <v>14308.748691288172</v>
      </c>
      <c r="T7179" cm="1">
        <f t="array" ref="T7179">IF(OR(B7179="MAL ALIMI", B7179="ÜRETİM GİRİŞ"), MIN(I7179, MAX(0, I7179 + SUM(SUMIFS($I$1:I7178, $C$1:C7178, C7179, $B$1:B7178, {"MAL ALIMI","ÜRETİM GİRİŞ"})) - VLOOKUP(C7179, 'STOK RAPORU'!$C$2:$I$1000, 4, 0))), 0)</f>
        <v>0</v>
      </c>
      <c r="U7179" s="22">
        <f t="shared" si="448"/>
        <v>0</v>
      </c>
      <c r="V7179">
        <f t="shared" si="449"/>
        <v>0</v>
      </c>
      <c r="W7179" s="22">
        <f t="shared" si="450"/>
        <v>0</v>
      </c>
    </row>
    <row r="7180" spans="1:23" hidden="1" x14ac:dyDescent="0.25">
      <c r="A7180" s="3">
        <v>46158</v>
      </c>
      <c r="B7180" s="46" t="s">
        <v>334</v>
      </c>
      <c r="C7180" s="4" t="s">
        <v>133</v>
      </c>
      <c r="D7180" s="4"/>
      <c r="E7180" s="4"/>
      <c r="F7180" s="4" t="s">
        <v>3445</v>
      </c>
      <c r="G7180" s="4" t="s">
        <v>336</v>
      </c>
      <c r="H7180" s="4" t="s">
        <v>289</v>
      </c>
      <c r="I7180" s="4">
        <v>0.5</v>
      </c>
      <c r="J7180" s="21">
        <v>400</v>
      </c>
      <c r="K7180" s="21">
        <v>0</v>
      </c>
      <c r="L7180" s="5">
        <v>0</v>
      </c>
      <c r="M7180" s="4"/>
      <c r="N7180" s="4"/>
      <c r="O7180" s="5"/>
      <c r="P7180" s="5"/>
      <c r="Q7180" s="21">
        <v>200</v>
      </c>
      <c r="R7180" s="21">
        <v>0</v>
      </c>
      <c r="S7180" s="5">
        <f t="shared" si="451"/>
        <v>14508.748691288172</v>
      </c>
      <c r="T7180" cm="1">
        <f t="array" ref="T7180">IF(OR(B7180="MAL ALIMI", B7180="ÜRETİM GİRİŞ"), MIN(I7180, MAX(0, I7180 + SUM(SUMIFS($I$1:I7179, $C$1:C7179, C7180, $B$1:B7179, {"MAL ALIMI","ÜRETİM GİRİŞ"})) - VLOOKUP(C7180, 'STOK RAPORU'!$C$2:$I$1000, 4, 0))), 0)</f>
        <v>0</v>
      </c>
      <c r="U7180" s="22">
        <f t="shared" si="448"/>
        <v>0</v>
      </c>
      <c r="V7180">
        <f t="shared" si="449"/>
        <v>0</v>
      </c>
      <c r="W7180" s="22">
        <f t="shared" si="450"/>
        <v>0</v>
      </c>
    </row>
    <row r="7181" spans="1:23" hidden="1" x14ac:dyDescent="0.25">
      <c r="A7181" s="3">
        <v>46158</v>
      </c>
      <c r="B7181" s="46" t="s">
        <v>334</v>
      </c>
      <c r="C7181" s="4" t="s">
        <v>270</v>
      </c>
      <c r="D7181" s="4"/>
      <c r="E7181" s="4"/>
      <c r="F7181" s="4" t="s">
        <v>3446</v>
      </c>
      <c r="G7181" s="4" t="s">
        <v>336</v>
      </c>
      <c r="H7181" s="4" t="s">
        <v>289</v>
      </c>
      <c r="I7181" s="4">
        <v>1</v>
      </c>
      <c r="J7181" s="21">
        <v>90</v>
      </c>
      <c r="K7181" s="21">
        <v>0</v>
      </c>
      <c r="L7181" s="5">
        <v>0</v>
      </c>
      <c r="M7181" s="4"/>
      <c r="N7181" s="4"/>
      <c r="O7181" s="5"/>
      <c r="P7181" s="5"/>
      <c r="Q7181" s="21">
        <v>90</v>
      </c>
      <c r="R7181" s="21">
        <v>0</v>
      </c>
      <c r="S7181" s="5">
        <f t="shared" si="451"/>
        <v>14598.748691288172</v>
      </c>
      <c r="T7181" cm="1">
        <f t="array" ref="T7181">IF(OR(B7181="MAL ALIMI", B7181="ÜRETİM GİRİŞ"), MIN(I7181, MAX(0, I7181 + SUM(SUMIFS($I$1:I7180, $C$1:C7180, C7181, $B$1:B7180, {"MAL ALIMI","ÜRETİM GİRİŞ"})) - VLOOKUP(C7181, 'STOK RAPORU'!$C$2:$I$1000, 4, 0))), 0)</f>
        <v>0</v>
      </c>
      <c r="U7181" s="22">
        <f t="shared" si="448"/>
        <v>0</v>
      </c>
      <c r="V7181">
        <f t="shared" si="449"/>
        <v>0</v>
      </c>
      <c r="W7181" s="22">
        <f t="shared" si="450"/>
        <v>0</v>
      </c>
    </row>
    <row r="7182" spans="1:23" hidden="1" x14ac:dyDescent="0.25">
      <c r="A7182" s="3">
        <v>46158</v>
      </c>
      <c r="B7182" s="46" t="s">
        <v>334</v>
      </c>
      <c r="C7182" s="4" t="s">
        <v>1396</v>
      </c>
      <c r="D7182" s="4"/>
      <c r="E7182" s="4"/>
      <c r="F7182" s="4" t="s">
        <v>3447</v>
      </c>
      <c r="G7182" s="4" t="s">
        <v>336</v>
      </c>
      <c r="H7182" s="4" t="s">
        <v>289</v>
      </c>
      <c r="I7182" s="4">
        <v>1</v>
      </c>
      <c r="J7182" s="21">
        <v>100</v>
      </c>
      <c r="K7182" s="21">
        <v>0</v>
      </c>
      <c r="L7182" s="5">
        <v>0</v>
      </c>
      <c r="M7182" s="4"/>
      <c r="N7182" s="4"/>
      <c r="O7182" s="5"/>
      <c r="P7182" s="5"/>
      <c r="Q7182" s="21">
        <v>100</v>
      </c>
      <c r="R7182" s="21">
        <v>0</v>
      </c>
      <c r="S7182" s="5">
        <f t="shared" si="451"/>
        <v>14698.748691288172</v>
      </c>
      <c r="T7182" cm="1">
        <f t="array" ref="T7182">IF(OR(B7182="MAL ALIMI", B7182="ÜRETİM GİRİŞ"), MIN(I7182, MAX(0, I7182 + SUM(SUMIFS($I$1:I7181, $C$1:C7181, C7182, $B$1:B7181, {"MAL ALIMI","ÜRETİM GİRİŞ"})) - VLOOKUP(C7182, 'STOK RAPORU'!$C$2:$I$1000, 4, 0))), 0)</f>
        <v>0</v>
      </c>
      <c r="U7182" s="22">
        <f t="shared" si="448"/>
        <v>0</v>
      </c>
      <c r="V7182">
        <f t="shared" si="449"/>
        <v>0</v>
      </c>
      <c r="W7182" s="22">
        <f t="shared" si="450"/>
        <v>0</v>
      </c>
    </row>
    <row r="7183" spans="1:23" hidden="1" x14ac:dyDescent="0.25">
      <c r="A7183" s="3">
        <v>46158</v>
      </c>
      <c r="B7183" s="46" t="s">
        <v>334</v>
      </c>
      <c r="C7183" s="4" t="s">
        <v>161</v>
      </c>
      <c r="D7183" s="4"/>
      <c r="E7183" s="4" t="s">
        <v>921</v>
      </c>
      <c r="F7183" s="4" t="s">
        <v>3448</v>
      </c>
      <c r="G7183" s="4" t="s">
        <v>336</v>
      </c>
      <c r="H7183" s="4" t="s">
        <v>380</v>
      </c>
      <c r="I7183" s="4">
        <v>1</v>
      </c>
      <c r="J7183" s="21">
        <v>250</v>
      </c>
      <c r="K7183" s="21">
        <v>250</v>
      </c>
      <c r="L7183" s="5">
        <v>0</v>
      </c>
      <c r="M7183" s="4"/>
      <c r="N7183" s="4"/>
      <c r="O7183" s="5"/>
      <c r="P7183" s="5"/>
      <c r="Q7183" s="21">
        <v>0</v>
      </c>
      <c r="R7183" s="21">
        <v>0</v>
      </c>
      <c r="S7183" s="5">
        <f t="shared" si="451"/>
        <v>14698.748691288172</v>
      </c>
      <c r="T7183" cm="1">
        <f t="array" ref="T7183">IF(OR(B7183="MAL ALIMI", B7183="ÜRETİM GİRİŞ"), MIN(I7183, MAX(0, I7183 + SUM(SUMIFS($I$1:I7182, $C$1:C7182, C7183, $B$1:B7182, {"MAL ALIMI","ÜRETİM GİRİŞ"})) - VLOOKUP(C7183, 'STOK RAPORU'!$C$2:$I$1000, 4, 0))), 0)</f>
        <v>0</v>
      </c>
      <c r="U7183" s="22">
        <f t="shared" si="448"/>
        <v>0</v>
      </c>
      <c r="V7183">
        <f t="shared" si="449"/>
        <v>0</v>
      </c>
      <c r="W7183" s="22">
        <f t="shared" si="450"/>
        <v>0</v>
      </c>
    </row>
    <row r="7184" spans="1:23" hidden="1" x14ac:dyDescent="0.25">
      <c r="A7184" s="3">
        <v>46158</v>
      </c>
      <c r="B7184" s="46" t="s">
        <v>334</v>
      </c>
      <c r="C7184" s="4" t="s">
        <v>160</v>
      </c>
      <c r="D7184" s="4"/>
      <c r="E7184" s="4" t="s">
        <v>921</v>
      </c>
      <c r="F7184" s="4" t="s">
        <v>3448</v>
      </c>
      <c r="G7184" s="4" t="s">
        <v>336</v>
      </c>
      <c r="H7184" s="4" t="s">
        <v>380</v>
      </c>
      <c r="I7184" s="4">
        <v>1</v>
      </c>
      <c r="J7184" s="21">
        <v>250</v>
      </c>
      <c r="K7184" s="21">
        <v>250</v>
      </c>
      <c r="L7184" s="5">
        <v>0</v>
      </c>
      <c r="M7184" s="4"/>
      <c r="N7184" s="4"/>
      <c r="O7184" s="5"/>
      <c r="P7184" s="5"/>
      <c r="Q7184" s="21">
        <v>0</v>
      </c>
      <c r="R7184" s="21">
        <v>0</v>
      </c>
      <c r="S7184" s="5">
        <f t="shared" si="451"/>
        <v>14698.748691288172</v>
      </c>
      <c r="T7184" cm="1">
        <f t="array" ref="T7184">IF(OR(B7184="MAL ALIMI", B7184="ÜRETİM GİRİŞ"), MIN(I7184, MAX(0, I7184 + SUM(SUMIFS($I$1:I7183, $C$1:C7183, C7184, $B$1:B7183, {"MAL ALIMI","ÜRETİM GİRİŞ"})) - VLOOKUP(C7184, 'STOK RAPORU'!$C$2:$I$1000, 4, 0))), 0)</f>
        <v>0</v>
      </c>
      <c r="U7184" s="22">
        <f t="shared" si="448"/>
        <v>0</v>
      </c>
      <c r="V7184">
        <f t="shared" si="449"/>
        <v>0</v>
      </c>
      <c r="W7184" s="22">
        <f t="shared" si="450"/>
        <v>0</v>
      </c>
    </row>
    <row r="7185" spans="1:23" hidden="1" x14ac:dyDescent="0.25">
      <c r="A7185" s="3">
        <v>46158</v>
      </c>
      <c r="B7185" s="46" t="s">
        <v>334</v>
      </c>
      <c r="C7185" s="4" t="s">
        <v>133</v>
      </c>
      <c r="D7185" s="4"/>
      <c r="E7185" s="4" t="s">
        <v>921</v>
      </c>
      <c r="F7185" s="4" t="s">
        <v>3448</v>
      </c>
      <c r="G7185" s="4" t="s">
        <v>336</v>
      </c>
      <c r="H7185" s="4" t="s">
        <v>380</v>
      </c>
      <c r="I7185" s="4">
        <v>0.31</v>
      </c>
      <c r="J7185" s="21">
        <v>400</v>
      </c>
      <c r="K7185" s="21">
        <v>124</v>
      </c>
      <c r="L7185" s="5">
        <v>0</v>
      </c>
      <c r="M7185" s="4"/>
      <c r="N7185" s="4"/>
      <c r="O7185" s="5"/>
      <c r="P7185" s="5"/>
      <c r="Q7185" s="21">
        <v>0</v>
      </c>
      <c r="R7185" s="21">
        <v>0</v>
      </c>
      <c r="S7185" s="5">
        <f t="shared" si="451"/>
        <v>14698.748691288172</v>
      </c>
      <c r="T7185" cm="1">
        <f t="array" ref="T7185">IF(OR(B7185="MAL ALIMI", B7185="ÜRETİM GİRİŞ"), MIN(I7185, MAX(0, I7185 + SUM(SUMIFS($I$1:I7184, $C$1:C7184, C7185, $B$1:B7184, {"MAL ALIMI","ÜRETİM GİRİŞ"})) - VLOOKUP(C7185, 'STOK RAPORU'!$C$2:$I$1000, 4, 0))), 0)</f>
        <v>0</v>
      </c>
      <c r="U7185" s="22">
        <f t="shared" si="448"/>
        <v>0</v>
      </c>
      <c r="V7185">
        <f t="shared" si="449"/>
        <v>0</v>
      </c>
      <c r="W7185" s="22">
        <f t="shared" si="450"/>
        <v>0</v>
      </c>
    </row>
    <row r="7186" spans="1:23" hidden="1" x14ac:dyDescent="0.25">
      <c r="A7186" s="3">
        <v>46158</v>
      </c>
      <c r="B7186" s="46" t="s">
        <v>334</v>
      </c>
      <c r="C7186" s="4" t="s">
        <v>92</v>
      </c>
      <c r="D7186" s="4"/>
      <c r="E7186" s="4"/>
      <c r="F7186" s="4" t="s">
        <v>3449</v>
      </c>
      <c r="G7186" s="4" t="s">
        <v>336</v>
      </c>
      <c r="H7186" s="4" t="s">
        <v>289</v>
      </c>
      <c r="I7186" s="4">
        <v>9.1999999999999998E-2</v>
      </c>
      <c r="J7186" s="21">
        <v>500</v>
      </c>
      <c r="K7186" s="21">
        <v>0</v>
      </c>
      <c r="L7186" s="5">
        <v>0</v>
      </c>
      <c r="M7186" s="4"/>
      <c r="N7186" s="4"/>
      <c r="O7186" s="5"/>
      <c r="P7186" s="5"/>
      <c r="Q7186" s="21">
        <v>46</v>
      </c>
      <c r="R7186" s="21">
        <v>0</v>
      </c>
      <c r="S7186" s="5">
        <f t="shared" si="451"/>
        <v>14744.748691288172</v>
      </c>
      <c r="T7186" cm="1">
        <f t="array" ref="T7186">IF(OR(B7186="MAL ALIMI", B7186="ÜRETİM GİRİŞ"), MIN(I7186, MAX(0, I7186 + SUM(SUMIFS($I$1:I7185, $C$1:C7185, C7186, $B$1:B7185, {"MAL ALIMI","ÜRETİM GİRİŞ"})) - VLOOKUP(C7186, 'STOK RAPORU'!$C$2:$I$1000, 4, 0))), 0)</f>
        <v>0</v>
      </c>
      <c r="U7186" s="22">
        <f t="shared" si="448"/>
        <v>0</v>
      </c>
      <c r="V7186">
        <f t="shared" si="449"/>
        <v>0</v>
      </c>
      <c r="W7186" s="22">
        <f t="shared" si="450"/>
        <v>0</v>
      </c>
    </row>
    <row r="7187" spans="1:23" hidden="1" x14ac:dyDescent="0.25">
      <c r="A7187" s="3">
        <v>46158</v>
      </c>
      <c r="B7187" s="46" t="s">
        <v>334</v>
      </c>
      <c r="C7187" s="4" t="s">
        <v>161</v>
      </c>
      <c r="D7187" s="4"/>
      <c r="E7187" s="4"/>
      <c r="F7187" s="4" t="s">
        <v>3449</v>
      </c>
      <c r="G7187" s="4" t="s">
        <v>336</v>
      </c>
      <c r="H7187" s="4" t="s">
        <v>289</v>
      </c>
      <c r="I7187" s="4">
        <v>1</v>
      </c>
      <c r="J7187" s="21">
        <v>250</v>
      </c>
      <c r="K7187" s="21">
        <v>0</v>
      </c>
      <c r="L7187" s="5">
        <v>0</v>
      </c>
      <c r="M7187" s="4"/>
      <c r="N7187" s="4"/>
      <c r="O7187" s="5"/>
      <c r="P7187" s="5"/>
      <c r="Q7187" s="21">
        <v>250</v>
      </c>
      <c r="R7187" s="21">
        <v>0</v>
      </c>
      <c r="S7187" s="5">
        <f t="shared" si="451"/>
        <v>14994.748691288172</v>
      </c>
      <c r="T7187" cm="1">
        <f t="array" ref="T7187">IF(OR(B7187="MAL ALIMI", B7187="ÜRETİM GİRİŞ"), MIN(I7187, MAX(0, I7187 + SUM(SUMIFS($I$1:I7186, $C$1:C7186, C7187, $B$1:B7186, {"MAL ALIMI","ÜRETİM GİRİŞ"})) - VLOOKUP(C7187, 'STOK RAPORU'!$C$2:$I$1000, 4, 0))), 0)</f>
        <v>0</v>
      </c>
      <c r="U7187" s="22">
        <f t="shared" si="448"/>
        <v>0</v>
      </c>
      <c r="V7187">
        <f t="shared" si="449"/>
        <v>0</v>
      </c>
      <c r="W7187" s="22">
        <f t="shared" si="450"/>
        <v>0</v>
      </c>
    </row>
    <row r="7188" spans="1:23" hidden="1" x14ac:dyDescent="0.25">
      <c r="A7188" s="3">
        <v>46158</v>
      </c>
      <c r="B7188" s="46" t="s">
        <v>334</v>
      </c>
      <c r="C7188" s="4" t="s">
        <v>160</v>
      </c>
      <c r="D7188" s="4"/>
      <c r="E7188" s="4"/>
      <c r="F7188" s="4" t="s">
        <v>3449</v>
      </c>
      <c r="G7188" s="4" t="s">
        <v>336</v>
      </c>
      <c r="H7188" s="4" t="s">
        <v>289</v>
      </c>
      <c r="I7188" s="4">
        <v>1</v>
      </c>
      <c r="J7188" s="21">
        <v>250</v>
      </c>
      <c r="K7188" s="21">
        <v>0</v>
      </c>
      <c r="L7188" s="5">
        <v>0</v>
      </c>
      <c r="M7188" s="4"/>
      <c r="N7188" s="4"/>
      <c r="O7188" s="5"/>
      <c r="P7188" s="5"/>
      <c r="Q7188" s="21">
        <v>250</v>
      </c>
      <c r="R7188" s="21">
        <v>0</v>
      </c>
      <c r="S7188" s="5">
        <f t="shared" si="451"/>
        <v>15244.748691288172</v>
      </c>
      <c r="T7188" cm="1">
        <f t="array" ref="T7188">IF(OR(B7188="MAL ALIMI", B7188="ÜRETİM GİRİŞ"), MIN(I7188, MAX(0, I7188 + SUM(SUMIFS($I$1:I7187, $C$1:C7187, C7188, $B$1:B7187, {"MAL ALIMI","ÜRETİM GİRİŞ"})) - VLOOKUP(C7188, 'STOK RAPORU'!$C$2:$I$1000, 4, 0))), 0)</f>
        <v>0</v>
      </c>
      <c r="U7188" s="22">
        <f t="shared" si="448"/>
        <v>0</v>
      </c>
      <c r="V7188">
        <f t="shared" si="449"/>
        <v>0</v>
      </c>
      <c r="W7188" s="22">
        <f t="shared" si="450"/>
        <v>0</v>
      </c>
    </row>
    <row r="7189" spans="1:23" hidden="1" x14ac:dyDescent="0.25">
      <c r="A7189" s="3">
        <v>46158</v>
      </c>
      <c r="B7189" s="46" t="s">
        <v>334</v>
      </c>
      <c r="C7189" s="4" t="s">
        <v>634</v>
      </c>
      <c r="D7189" s="4"/>
      <c r="E7189" s="4" t="s">
        <v>921</v>
      </c>
      <c r="F7189" s="4" t="s">
        <v>3450</v>
      </c>
      <c r="G7189" s="4" t="s">
        <v>336</v>
      </c>
      <c r="H7189" s="4" t="s">
        <v>380</v>
      </c>
      <c r="I7189" s="4">
        <v>0.47058823529411764</v>
      </c>
      <c r="J7189" s="21">
        <v>850</v>
      </c>
      <c r="K7189" s="21">
        <v>400</v>
      </c>
      <c r="L7189" s="5">
        <v>0</v>
      </c>
      <c r="M7189" s="4"/>
      <c r="N7189" s="4"/>
      <c r="O7189" s="5"/>
      <c r="P7189" s="5"/>
      <c r="Q7189" s="21">
        <v>0</v>
      </c>
      <c r="R7189" s="21">
        <v>0</v>
      </c>
      <c r="S7189" s="5">
        <f t="shared" si="451"/>
        <v>15244.748691288172</v>
      </c>
      <c r="T7189" cm="1">
        <f t="array" ref="T7189">IF(OR(B7189="MAL ALIMI", B7189="ÜRETİM GİRİŞ"), MIN(I7189, MAX(0, I7189 + SUM(SUMIFS($I$1:I7188, $C$1:C7188, C7189, $B$1:B7188, {"MAL ALIMI","ÜRETİM GİRİŞ"})) - VLOOKUP(C7189, 'STOK RAPORU'!$C$2:$I$1000, 4, 0))), 0)</f>
        <v>0</v>
      </c>
      <c r="U7189" s="22">
        <f t="shared" si="448"/>
        <v>0</v>
      </c>
      <c r="V7189">
        <f t="shared" si="449"/>
        <v>0</v>
      </c>
      <c r="W7189" s="22">
        <f t="shared" si="450"/>
        <v>0</v>
      </c>
    </row>
    <row r="7190" spans="1:23" hidden="1" x14ac:dyDescent="0.25">
      <c r="A7190" s="3">
        <v>46158</v>
      </c>
      <c r="B7190" s="46" t="s">
        <v>334</v>
      </c>
      <c r="C7190" s="4" t="s">
        <v>679</v>
      </c>
      <c r="D7190" s="4"/>
      <c r="E7190" s="4"/>
      <c r="F7190" s="4" t="s">
        <v>3451</v>
      </c>
      <c r="G7190" s="4" t="s">
        <v>336</v>
      </c>
      <c r="H7190" s="4" t="s">
        <v>289</v>
      </c>
      <c r="I7190" s="4">
        <v>0.25</v>
      </c>
      <c r="J7190" s="21">
        <v>400</v>
      </c>
      <c r="K7190" s="21">
        <v>0</v>
      </c>
      <c r="L7190" s="5">
        <v>0</v>
      </c>
      <c r="M7190" s="4"/>
      <c r="N7190" s="4"/>
      <c r="O7190" s="5"/>
      <c r="P7190" s="5"/>
      <c r="Q7190" s="21">
        <v>100</v>
      </c>
      <c r="R7190" s="21">
        <v>0</v>
      </c>
      <c r="S7190" s="5">
        <f t="shared" si="451"/>
        <v>15344.748691288172</v>
      </c>
      <c r="T7190" cm="1">
        <f t="array" ref="T7190">IF(OR(B7190="MAL ALIMI", B7190="ÜRETİM GİRİŞ"), MIN(I7190, MAX(0, I7190 + SUM(SUMIFS($I$1:I7189, $C$1:C7189, C7190, $B$1:B7189, {"MAL ALIMI","ÜRETİM GİRİŞ"})) - VLOOKUP(C7190, 'STOK RAPORU'!$C$2:$I$1000, 4, 0))), 0)</f>
        <v>0</v>
      </c>
      <c r="U7190" s="22">
        <f t="shared" si="448"/>
        <v>0</v>
      </c>
      <c r="V7190">
        <f t="shared" si="449"/>
        <v>0</v>
      </c>
      <c r="W7190" s="22">
        <f t="shared" si="450"/>
        <v>0</v>
      </c>
    </row>
    <row r="7191" spans="1:23" hidden="1" x14ac:dyDescent="0.25">
      <c r="A7191" s="3">
        <v>46158</v>
      </c>
      <c r="B7191" s="4" t="s">
        <v>946</v>
      </c>
      <c r="C7191" s="4"/>
      <c r="D7191" s="4"/>
      <c r="E7191" s="4" t="s">
        <v>921</v>
      </c>
      <c r="F7191" s="4"/>
      <c r="G7191" s="4" t="s">
        <v>946</v>
      </c>
      <c r="H7191" s="4" t="s">
        <v>380</v>
      </c>
      <c r="I7191" s="4">
        <v>1</v>
      </c>
      <c r="J7191" s="21">
        <v>1406</v>
      </c>
      <c r="K7191" s="21">
        <v>0</v>
      </c>
      <c r="L7191" s="32">
        <v>1406</v>
      </c>
      <c r="M7191" s="4"/>
      <c r="N7191" s="4"/>
      <c r="O7191" s="5"/>
      <c r="P7191" s="5"/>
      <c r="Q7191" s="21">
        <v>1406</v>
      </c>
      <c r="R7191" s="21">
        <v>0</v>
      </c>
      <c r="S7191" s="5">
        <f t="shared" si="451"/>
        <v>16750.748691288172</v>
      </c>
      <c r="T7191" cm="1">
        <f t="array" ref="T7191">IF(OR(B7191="MAL ALIMI", B7191="ÜRETİM GİRİŞ"), MIN(I7191, MAX(0, I7191 + SUM(SUMIFS($I$1:I7190, $C$1:C7190, C7191, $B$1:B7190, {"MAL ALIMI","ÜRETİM GİRİŞ"})) - VLOOKUP(C7191, 'STOK RAPORU'!$C$2:$I$1000, 4, 0))), 0)</f>
        <v>0</v>
      </c>
      <c r="U7191" s="22">
        <f t="shared" si="448"/>
        <v>0</v>
      </c>
      <c r="V7191">
        <f t="shared" si="449"/>
        <v>0</v>
      </c>
      <c r="W7191" s="22">
        <f t="shared" si="450"/>
        <v>0</v>
      </c>
    </row>
    <row r="7192" spans="1:23" hidden="1" x14ac:dyDescent="0.25">
      <c r="A7192" s="3">
        <v>46159</v>
      </c>
      <c r="B7192" s="46" t="s">
        <v>334</v>
      </c>
      <c r="C7192" s="4" t="s">
        <v>160</v>
      </c>
      <c r="D7192" s="4"/>
      <c r="E7192" s="4"/>
      <c r="F7192" s="4" t="s">
        <v>3452</v>
      </c>
      <c r="G7192" s="4" t="s">
        <v>336</v>
      </c>
      <c r="H7192" s="4" t="s">
        <v>289</v>
      </c>
      <c r="I7192" s="4">
        <v>1</v>
      </c>
      <c r="J7192" s="21">
        <v>250</v>
      </c>
      <c r="K7192" s="21">
        <v>0</v>
      </c>
      <c r="L7192" s="5">
        <v>0</v>
      </c>
      <c r="M7192" s="4"/>
      <c r="N7192" s="4"/>
      <c r="O7192" s="5"/>
      <c r="P7192" s="5"/>
      <c r="Q7192" s="21">
        <v>250</v>
      </c>
      <c r="R7192" s="21">
        <v>0</v>
      </c>
      <c r="S7192" s="5">
        <f t="shared" si="451"/>
        <v>17000.748691288172</v>
      </c>
      <c r="T7192" cm="1">
        <f t="array" ref="T7192">IF(OR(B7192="MAL ALIMI", B7192="ÜRETİM GİRİŞ"), MIN(I7192, MAX(0, I7192 + SUM(SUMIFS($I$1:I7191, $C$1:C7191, C7192, $B$1:B7191, {"MAL ALIMI","ÜRETİM GİRİŞ"})) - VLOOKUP(C7192, 'STOK RAPORU'!$C$2:$I$1000, 4, 0))), 0)</f>
        <v>0</v>
      </c>
      <c r="U7192" s="22">
        <f t="shared" si="448"/>
        <v>0</v>
      </c>
      <c r="V7192">
        <f t="shared" si="449"/>
        <v>0</v>
      </c>
      <c r="W7192" s="22">
        <f t="shared" si="450"/>
        <v>0</v>
      </c>
    </row>
    <row r="7193" spans="1:23" hidden="1" x14ac:dyDescent="0.25">
      <c r="A7193" s="3">
        <v>46159</v>
      </c>
      <c r="B7193" s="46" t="s">
        <v>334</v>
      </c>
      <c r="C7193" s="4" t="s">
        <v>192</v>
      </c>
      <c r="D7193" s="4"/>
      <c r="E7193" s="4"/>
      <c r="F7193" s="4" t="s">
        <v>3453</v>
      </c>
      <c r="G7193" s="4" t="s">
        <v>336</v>
      </c>
      <c r="H7193" s="4" t="s">
        <v>289</v>
      </c>
      <c r="I7193" s="4">
        <v>0.12</v>
      </c>
      <c r="J7193" s="21">
        <v>417</v>
      </c>
      <c r="K7193" s="21">
        <v>0</v>
      </c>
      <c r="L7193" s="5">
        <v>0</v>
      </c>
      <c r="M7193" s="4"/>
      <c r="N7193" s="4"/>
      <c r="O7193" s="5"/>
      <c r="P7193" s="5"/>
      <c r="Q7193" s="21">
        <v>50.04</v>
      </c>
      <c r="R7193" s="21">
        <v>0</v>
      </c>
      <c r="S7193" s="5">
        <f t="shared" si="451"/>
        <v>17050.788691288173</v>
      </c>
      <c r="T7193" cm="1">
        <f t="array" ref="T7193">IF(OR(B7193="MAL ALIMI", B7193="ÜRETİM GİRİŞ"), MIN(I7193, MAX(0, I7193 + SUM(SUMIFS($I$1:I7192, $C$1:C7192, C7193, $B$1:B7192, {"MAL ALIMI","ÜRETİM GİRİŞ"})) - VLOOKUP(C7193, 'STOK RAPORU'!$C$2:$I$1000, 4, 0))), 0)</f>
        <v>0</v>
      </c>
      <c r="U7193" s="22">
        <f t="shared" si="448"/>
        <v>0</v>
      </c>
      <c r="V7193">
        <f t="shared" si="449"/>
        <v>0</v>
      </c>
      <c r="W7193" s="22">
        <f t="shared" si="450"/>
        <v>0</v>
      </c>
    </row>
    <row r="7194" spans="1:23" hidden="1" x14ac:dyDescent="0.25">
      <c r="A7194" s="3">
        <v>46159</v>
      </c>
      <c r="B7194" s="46" t="s">
        <v>334</v>
      </c>
      <c r="C7194" s="4" t="s">
        <v>151</v>
      </c>
      <c r="D7194" s="4"/>
      <c r="E7194" s="4"/>
      <c r="F7194" s="4" t="s">
        <v>3454</v>
      </c>
      <c r="G7194" s="4" t="s">
        <v>336</v>
      </c>
      <c r="H7194" s="4" t="s">
        <v>289</v>
      </c>
      <c r="I7194" s="4">
        <v>0.2</v>
      </c>
      <c r="J7194" s="21">
        <v>400</v>
      </c>
      <c r="K7194" s="21">
        <v>0</v>
      </c>
      <c r="L7194" s="5">
        <v>0</v>
      </c>
      <c r="M7194" s="4"/>
      <c r="N7194" s="4"/>
      <c r="O7194" s="5"/>
      <c r="P7194" s="5"/>
      <c r="Q7194" s="21">
        <v>80</v>
      </c>
      <c r="R7194" s="21">
        <v>0</v>
      </c>
      <c r="S7194" s="5">
        <f t="shared" si="451"/>
        <v>17130.788691288173</v>
      </c>
      <c r="T7194" cm="1">
        <f t="array" ref="T7194">IF(OR(B7194="MAL ALIMI", B7194="ÜRETİM GİRİŞ"), MIN(I7194, MAX(0, I7194 + SUM(SUMIFS($I$1:I7193, $C$1:C7193, C7194, $B$1:B7193, {"MAL ALIMI","ÜRETİM GİRİŞ"})) - VLOOKUP(C7194, 'STOK RAPORU'!$C$2:$I$1000, 4, 0))), 0)</f>
        <v>0</v>
      </c>
      <c r="U7194" s="22">
        <f t="shared" si="448"/>
        <v>0</v>
      </c>
      <c r="V7194">
        <f t="shared" si="449"/>
        <v>0</v>
      </c>
      <c r="W7194" s="22">
        <f t="shared" si="450"/>
        <v>0</v>
      </c>
    </row>
    <row r="7195" spans="1:23" hidden="1" x14ac:dyDescent="0.25">
      <c r="A7195" s="3">
        <v>46159</v>
      </c>
      <c r="B7195" s="46" t="s">
        <v>334</v>
      </c>
      <c r="C7195" s="4" t="s">
        <v>140</v>
      </c>
      <c r="D7195" s="4"/>
      <c r="E7195" s="4"/>
      <c r="F7195" s="4" t="s">
        <v>3454</v>
      </c>
      <c r="G7195" s="4" t="s">
        <v>336</v>
      </c>
      <c r="H7195" s="4" t="s">
        <v>289</v>
      </c>
      <c r="I7195" s="4">
        <v>0.37333333333333335</v>
      </c>
      <c r="J7195" s="21">
        <v>300</v>
      </c>
      <c r="K7195" s="21">
        <v>0</v>
      </c>
      <c r="L7195" s="5">
        <v>0</v>
      </c>
      <c r="M7195" s="4"/>
      <c r="N7195" s="4"/>
      <c r="O7195" s="5"/>
      <c r="P7195" s="5"/>
      <c r="Q7195" s="21">
        <v>112</v>
      </c>
      <c r="R7195" s="21">
        <v>0</v>
      </c>
      <c r="S7195" s="5">
        <f t="shared" si="451"/>
        <v>17242.788691288173</v>
      </c>
      <c r="T7195" cm="1">
        <f t="array" ref="T7195">IF(OR(B7195="MAL ALIMI", B7195="ÜRETİM GİRİŞ"), MIN(I7195, MAX(0, I7195 + SUM(SUMIFS($I$1:I7194, $C$1:C7194, C7195, $B$1:B7194, {"MAL ALIMI","ÜRETİM GİRİŞ"})) - VLOOKUP(C7195, 'STOK RAPORU'!$C$2:$I$1000, 4, 0))), 0)</f>
        <v>0</v>
      </c>
      <c r="U7195" s="22">
        <f t="shared" si="448"/>
        <v>0</v>
      </c>
      <c r="V7195">
        <f t="shared" si="449"/>
        <v>0</v>
      </c>
      <c r="W7195" s="22">
        <f t="shared" si="450"/>
        <v>0</v>
      </c>
    </row>
    <row r="7196" spans="1:23" hidden="1" x14ac:dyDescent="0.25">
      <c r="A7196" s="3">
        <v>46159</v>
      </c>
      <c r="B7196" s="46" t="s">
        <v>334</v>
      </c>
      <c r="C7196" s="4" t="s">
        <v>131</v>
      </c>
      <c r="D7196" s="4"/>
      <c r="E7196" s="4"/>
      <c r="F7196" s="4" t="s">
        <v>3454</v>
      </c>
      <c r="G7196" s="4" t="s">
        <v>336</v>
      </c>
      <c r="H7196" s="4" t="s">
        <v>289</v>
      </c>
      <c r="I7196" s="4">
        <v>0.23499999999999999</v>
      </c>
      <c r="J7196" s="21">
        <v>400</v>
      </c>
      <c r="K7196" s="21">
        <v>0</v>
      </c>
      <c r="L7196" s="5">
        <v>0</v>
      </c>
      <c r="M7196" s="4"/>
      <c r="N7196" s="4"/>
      <c r="O7196" s="5"/>
      <c r="P7196" s="5"/>
      <c r="Q7196" s="21">
        <v>94</v>
      </c>
      <c r="R7196" s="21">
        <v>0</v>
      </c>
      <c r="S7196" s="5">
        <f t="shared" si="451"/>
        <v>17336.788691288173</v>
      </c>
      <c r="T7196" cm="1">
        <f t="array" ref="T7196">IF(OR(B7196="MAL ALIMI", B7196="ÜRETİM GİRİŞ"), MIN(I7196, MAX(0, I7196 + SUM(SUMIFS($I$1:I7195, $C$1:C7195, C7196, $B$1:B7195, {"MAL ALIMI","ÜRETİM GİRİŞ"})) - VLOOKUP(C7196, 'STOK RAPORU'!$C$2:$I$1000, 4, 0))), 0)</f>
        <v>0</v>
      </c>
      <c r="U7196" s="22">
        <f t="shared" si="448"/>
        <v>0</v>
      </c>
      <c r="V7196">
        <f t="shared" si="449"/>
        <v>0</v>
      </c>
      <c r="W7196" s="22">
        <f t="shared" si="450"/>
        <v>0</v>
      </c>
    </row>
    <row r="7197" spans="1:23" hidden="1" x14ac:dyDescent="0.25">
      <c r="A7197" s="3">
        <v>46159</v>
      </c>
      <c r="B7197" s="46" t="s">
        <v>334</v>
      </c>
      <c r="C7197" s="4" t="s">
        <v>60</v>
      </c>
      <c r="D7197" s="4"/>
      <c r="E7197" s="4"/>
      <c r="F7197" s="4" t="s">
        <v>3454</v>
      </c>
      <c r="G7197" s="4" t="s">
        <v>336</v>
      </c>
      <c r="H7197" s="4" t="s">
        <v>289</v>
      </c>
      <c r="I7197" s="4">
        <v>0.05</v>
      </c>
      <c r="J7197" s="21">
        <v>1200</v>
      </c>
      <c r="K7197" s="21">
        <v>0</v>
      </c>
      <c r="L7197" s="5">
        <v>0</v>
      </c>
      <c r="M7197" s="4"/>
      <c r="N7197" s="4"/>
      <c r="O7197" s="5"/>
      <c r="P7197" s="5"/>
      <c r="Q7197" s="21">
        <v>60</v>
      </c>
      <c r="R7197" s="21">
        <v>0</v>
      </c>
      <c r="S7197" s="5">
        <f t="shared" si="451"/>
        <v>17396.788691288173</v>
      </c>
      <c r="T7197" cm="1">
        <f t="array" ref="T7197">IF(OR(B7197="MAL ALIMI", B7197="ÜRETİM GİRİŞ"), MIN(I7197, MAX(0, I7197 + SUM(SUMIFS($I$1:I7196, $C$1:C7196, C7197, $B$1:B7196, {"MAL ALIMI","ÜRETİM GİRİŞ"})) - VLOOKUP(C7197, 'STOK RAPORU'!$C$2:$I$1000, 4, 0))), 0)</f>
        <v>0</v>
      </c>
      <c r="U7197" s="22">
        <f t="shared" si="448"/>
        <v>0</v>
      </c>
      <c r="V7197">
        <f t="shared" si="449"/>
        <v>0</v>
      </c>
      <c r="W7197" s="22">
        <f t="shared" si="450"/>
        <v>0</v>
      </c>
    </row>
    <row r="7198" spans="1:23" hidden="1" x14ac:dyDescent="0.25">
      <c r="A7198" s="3">
        <v>46159</v>
      </c>
      <c r="B7198" s="46" t="s">
        <v>334</v>
      </c>
      <c r="C7198" s="4" t="s">
        <v>129</v>
      </c>
      <c r="D7198" s="4"/>
      <c r="E7198" s="4"/>
      <c r="F7198" s="4" t="s">
        <v>3454</v>
      </c>
      <c r="G7198" s="4" t="s">
        <v>336</v>
      </c>
      <c r="H7198" s="4" t="s">
        <v>289</v>
      </c>
      <c r="I7198" s="4">
        <v>0.14249999999999999</v>
      </c>
      <c r="J7198" s="21">
        <v>400</v>
      </c>
      <c r="K7198" s="21">
        <v>0</v>
      </c>
      <c r="L7198" s="5">
        <v>0</v>
      </c>
      <c r="M7198" s="4"/>
      <c r="N7198" s="4"/>
      <c r="O7198" s="5"/>
      <c r="P7198" s="5"/>
      <c r="Q7198" s="21">
        <v>56.999999999999993</v>
      </c>
      <c r="R7198" s="21">
        <v>0</v>
      </c>
      <c r="S7198" s="5">
        <f t="shared" si="451"/>
        <v>17453.788691288173</v>
      </c>
      <c r="T7198" cm="1">
        <f t="array" ref="T7198">IF(OR(B7198="MAL ALIMI", B7198="ÜRETİM GİRİŞ"), MIN(I7198, MAX(0, I7198 + SUM(SUMIFS($I$1:I7197, $C$1:C7197, C7198, $B$1:B7197, {"MAL ALIMI","ÜRETİM GİRİŞ"})) - VLOOKUP(C7198, 'STOK RAPORU'!$C$2:$I$1000, 4, 0))), 0)</f>
        <v>0</v>
      </c>
      <c r="U7198" s="22">
        <f t="shared" si="448"/>
        <v>0</v>
      </c>
      <c r="V7198">
        <f t="shared" si="449"/>
        <v>0</v>
      </c>
      <c r="W7198" s="22">
        <f t="shared" si="450"/>
        <v>0</v>
      </c>
    </row>
    <row r="7199" spans="1:23" hidden="1" x14ac:dyDescent="0.25">
      <c r="A7199" s="3">
        <v>46159</v>
      </c>
      <c r="B7199" s="46" t="s">
        <v>334</v>
      </c>
      <c r="C7199" s="4" t="s">
        <v>126</v>
      </c>
      <c r="D7199" s="4"/>
      <c r="E7199" s="4"/>
      <c r="F7199" s="4" t="s">
        <v>3454</v>
      </c>
      <c r="G7199" s="4" t="s">
        <v>336</v>
      </c>
      <c r="H7199" s="4" t="s">
        <v>289</v>
      </c>
      <c r="I7199" s="4">
        <v>0.21692307692307691</v>
      </c>
      <c r="J7199" s="21">
        <v>650</v>
      </c>
      <c r="K7199" s="21">
        <v>0</v>
      </c>
      <c r="L7199" s="5">
        <v>0</v>
      </c>
      <c r="M7199" s="4"/>
      <c r="N7199" s="4"/>
      <c r="O7199" s="5"/>
      <c r="P7199" s="5"/>
      <c r="Q7199" s="21">
        <v>141</v>
      </c>
      <c r="R7199" s="21">
        <v>0</v>
      </c>
      <c r="S7199" s="5">
        <f t="shared" si="451"/>
        <v>17594.788691288173</v>
      </c>
      <c r="T7199" cm="1">
        <f t="array" ref="T7199">IF(OR(B7199="MAL ALIMI", B7199="ÜRETİM GİRİŞ"), MIN(I7199, MAX(0, I7199 + SUM(SUMIFS($I$1:I7198, $C$1:C7198, C7199, $B$1:B7198, {"MAL ALIMI","ÜRETİM GİRİŞ"})) - VLOOKUP(C7199, 'STOK RAPORU'!$C$2:$I$1000, 4, 0))), 0)</f>
        <v>0</v>
      </c>
      <c r="U7199" s="22">
        <f t="shared" si="448"/>
        <v>0</v>
      </c>
      <c r="V7199">
        <f t="shared" si="449"/>
        <v>0</v>
      </c>
      <c r="W7199" s="22">
        <f t="shared" si="450"/>
        <v>0</v>
      </c>
    </row>
    <row r="7200" spans="1:23" hidden="1" x14ac:dyDescent="0.25">
      <c r="A7200" s="3">
        <v>46159</v>
      </c>
      <c r="B7200" s="46" t="s">
        <v>334</v>
      </c>
      <c r="C7200" s="4" t="s">
        <v>130</v>
      </c>
      <c r="D7200" s="4"/>
      <c r="E7200" s="4"/>
      <c r="F7200" s="4" t="s">
        <v>3454</v>
      </c>
      <c r="G7200" s="4" t="s">
        <v>336</v>
      </c>
      <c r="H7200" s="4" t="s">
        <v>289</v>
      </c>
      <c r="I7200" s="4">
        <v>0.16444444444444445</v>
      </c>
      <c r="J7200" s="21">
        <v>450</v>
      </c>
      <c r="K7200" s="21">
        <v>0</v>
      </c>
      <c r="L7200" s="5">
        <v>0</v>
      </c>
      <c r="M7200" s="4"/>
      <c r="N7200" s="4"/>
      <c r="O7200" s="5"/>
      <c r="P7200" s="5"/>
      <c r="Q7200" s="21">
        <v>74</v>
      </c>
      <c r="R7200" s="21">
        <v>0</v>
      </c>
      <c r="S7200" s="5">
        <f t="shared" si="451"/>
        <v>17668.788691288173</v>
      </c>
      <c r="T7200" cm="1">
        <f t="array" ref="T7200">IF(OR(B7200="MAL ALIMI", B7200="ÜRETİM GİRİŞ"), MIN(I7200, MAX(0, I7200 + SUM(SUMIFS($I$1:I7199, $C$1:C7199, C7200, $B$1:B7199, {"MAL ALIMI","ÜRETİM GİRİŞ"})) - VLOOKUP(C7200, 'STOK RAPORU'!$C$2:$I$1000, 4, 0))), 0)</f>
        <v>0</v>
      </c>
      <c r="U7200" s="22">
        <f t="shared" si="448"/>
        <v>0</v>
      </c>
      <c r="V7200">
        <f t="shared" si="449"/>
        <v>0</v>
      </c>
      <c r="W7200" s="22">
        <f t="shared" si="450"/>
        <v>0</v>
      </c>
    </row>
    <row r="7201" spans="1:23" hidden="1" x14ac:dyDescent="0.25">
      <c r="A7201" s="3">
        <v>46159</v>
      </c>
      <c r="B7201" s="46" t="s">
        <v>334</v>
      </c>
      <c r="C7201" s="4" t="s">
        <v>154</v>
      </c>
      <c r="D7201" s="4"/>
      <c r="E7201" s="4"/>
      <c r="F7201" s="4" t="s">
        <v>3454</v>
      </c>
      <c r="G7201" s="4" t="s">
        <v>336</v>
      </c>
      <c r="H7201" s="4" t="s">
        <v>289</v>
      </c>
      <c r="I7201" s="4">
        <v>0.1</v>
      </c>
      <c r="J7201" s="21">
        <v>400</v>
      </c>
      <c r="K7201" s="21">
        <v>0</v>
      </c>
      <c r="L7201" s="5">
        <v>0</v>
      </c>
      <c r="M7201" s="4"/>
      <c r="N7201" s="4"/>
      <c r="O7201" s="5"/>
      <c r="P7201" s="5"/>
      <c r="Q7201" s="21">
        <v>40</v>
      </c>
      <c r="R7201" s="21">
        <v>0</v>
      </c>
      <c r="S7201" s="5">
        <f t="shared" si="451"/>
        <v>17708.788691288173</v>
      </c>
      <c r="T7201" cm="1">
        <f t="array" ref="T7201">IF(OR(B7201="MAL ALIMI", B7201="ÜRETİM GİRİŞ"), MIN(I7201, MAX(0, I7201 + SUM(SUMIFS($I$1:I7200, $C$1:C7200, C7201, $B$1:B7200, {"MAL ALIMI","ÜRETİM GİRİŞ"})) - VLOOKUP(C7201, 'STOK RAPORU'!$C$2:$I$1000, 4, 0))), 0)</f>
        <v>0</v>
      </c>
      <c r="U7201" s="22">
        <f t="shared" si="448"/>
        <v>0</v>
      </c>
      <c r="V7201">
        <f t="shared" si="449"/>
        <v>0</v>
      </c>
      <c r="W7201" s="22">
        <f t="shared" si="450"/>
        <v>0</v>
      </c>
    </row>
    <row r="7202" spans="1:23" hidden="1" x14ac:dyDescent="0.25">
      <c r="A7202" s="3">
        <v>46159</v>
      </c>
      <c r="B7202" s="46" t="s">
        <v>334</v>
      </c>
      <c r="C7202" s="4" t="s">
        <v>132</v>
      </c>
      <c r="D7202" s="4"/>
      <c r="E7202" s="4"/>
      <c r="F7202" s="4" t="s">
        <v>3454</v>
      </c>
      <c r="G7202" s="4" t="s">
        <v>336</v>
      </c>
      <c r="H7202" s="4" t="s">
        <v>289</v>
      </c>
      <c r="I7202" s="4">
        <v>0.64600000000000002</v>
      </c>
      <c r="J7202" s="21">
        <v>500</v>
      </c>
      <c r="K7202" s="21">
        <v>0</v>
      </c>
      <c r="L7202" s="5">
        <v>0</v>
      </c>
      <c r="M7202" s="4"/>
      <c r="N7202" s="4"/>
      <c r="O7202" s="5"/>
      <c r="P7202" s="5"/>
      <c r="Q7202" s="21">
        <v>323</v>
      </c>
      <c r="R7202" s="21">
        <v>0</v>
      </c>
      <c r="S7202" s="5">
        <f t="shared" si="451"/>
        <v>18031.788691288173</v>
      </c>
      <c r="T7202" cm="1">
        <f t="array" ref="T7202">IF(OR(B7202="MAL ALIMI", B7202="ÜRETİM GİRİŞ"), MIN(I7202, MAX(0, I7202 + SUM(SUMIFS($I$1:I7201, $C$1:C7201, C7202, $B$1:B7201, {"MAL ALIMI","ÜRETİM GİRİŞ"})) - VLOOKUP(C7202, 'STOK RAPORU'!$C$2:$I$1000, 4, 0))), 0)</f>
        <v>0</v>
      </c>
      <c r="U7202" s="22">
        <f t="shared" si="448"/>
        <v>0</v>
      </c>
      <c r="V7202">
        <f t="shared" si="449"/>
        <v>0</v>
      </c>
      <c r="W7202" s="22">
        <f t="shared" si="450"/>
        <v>0</v>
      </c>
    </row>
    <row r="7203" spans="1:23" hidden="1" x14ac:dyDescent="0.25">
      <c r="A7203" s="3">
        <v>46159</v>
      </c>
      <c r="B7203" s="46" t="s">
        <v>334</v>
      </c>
      <c r="C7203" s="4" t="s">
        <v>2571</v>
      </c>
      <c r="D7203" s="4"/>
      <c r="E7203" s="4"/>
      <c r="F7203" s="4" t="s">
        <v>3454</v>
      </c>
      <c r="G7203" s="4" t="s">
        <v>336</v>
      </c>
      <c r="H7203" s="4" t="s">
        <v>289</v>
      </c>
      <c r="I7203" s="4">
        <v>0.2</v>
      </c>
      <c r="J7203" s="21">
        <v>700</v>
      </c>
      <c r="K7203" s="21">
        <v>0</v>
      </c>
      <c r="L7203" s="5">
        <v>0</v>
      </c>
      <c r="M7203" s="4"/>
      <c r="N7203" s="4"/>
      <c r="O7203" s="5"/>
      <c r="P7203" s="5"/>
      <c r="Q7203" s="21">
        <v>140</v>
      </c>
      <c r="R7203" s="21">
        <v>0</v>
      </c>
      <c r="S7203" s="5">
        <f t="shared" si="451"/>
        <v>18171.788691288173</v>
      </c>
      <c r="T7203" cm="1">
        <f t="array" ref="T7203">IF(OR(B7203="MAL ALIMI", B7203="ÜRETİM GİRİŞ"), MIN(I7203, MAX(0, I7203 + SUM(SUMIFS($I$1:I7202, $C$1:C7202, C7203, $B$1:B7202, {"MAL ALIMI","ÜRETİM GİRİŞ"})) - VLOOKUP(C7203, 'STOK RAPORU'!$C$2:$I$1000, 4, 0))), 0)</f>
        <v>0</v>
      </c>
      <c r="U7203" s="22">
        <f t="shared" si="448"/>
        <v>0</v>
      </c>
      <c r="V7203">
        <f t="shared" si="449"/>
        <v>0</v>
      </c>
      <c r="W7203" s="22">
        <f t="shared" si="450"/>
        <v>0</v>
      </c>
    </row>
    <row r="7204" spans="1:23" hidden="1" x14ac:dyDescent="0.25">
      <c r="A7204" s="3">
        <v>46159</v>
      </c>
      <c r="B7204" s="46" t="s">
        <v>334</v>
      </c>
      <c r="C7204" s="4" t="s">
        <v>157</v>
      </c>
      <c r="D7204" s="4"/>
      <c r="E7204" s="4"/>
      <c r="F7204" s="4" t="s">
        <v>3454</v>
      </c>
      <c r="G7204" s="4" t="s">
        <v>336</v>
      </c>
      <c r="H7204" s="4" t="s">
        <v>289</v>
      </c>
      <c r="I7204" s="4">
        <v>1</v>
      </c>
      <c r="J7204" s="21">
        <v>200</v>
      </c>
      <c r="K7204" s="21">
        <v>0</v>
      </c>
      <c r="L7204" s="5">
        <v>0</v>
      </c>
      <c r="M7204" s="4"/>
      <c r="N7204" s="4"/>
      <c r="O7204" s="5"/>
      <c r="P7204" s="5"/>
      <c r="Q7204" s="21">
        <v>200</v>
      </c>
      <c r="R7204" s="21">
        <v>0</v>
      </c>
      <c r="S7204" s="5">
        <f t="shared" si="451"/>
        <v>18371.788691288173</v>
      </c>
      <c r="T7204" cm="1">
        <f t="array" ref="T7204">IF(OR(B7204="MAL ALIMI", B7204="ÜRETİM GİRİŞ"), MIN(I7204, MAX(0, I7204 + SUM(SUMIFS($I$1:I7203, $C$1:C7203, C7204, $B$1:B7203, {"MAL ALIMI","ÜRETİM GİRİŞ"})) - VLOOKUP(C7204, 'STOK RAPORU'!$C$2:$I$1000, 4, 0))), 0)</f>
        <v>0</v>
      </c>
      <c r="U7204" s="22">
        <f t="shared" si="448"/>
        <v>0</v>
      </c>
      <c r="V7204">
        <f t="shared" si="449"/>
        <v>0</v>
      </c>
      <c r="W7204" s="22">
        <f t="shared" si="450"/>
        <v>0</v>
      </c>
    </row>
    <row r="7205" spans="1:23" hidden="1" x14ac:dyDescent="0.25">
      <c r="A7205" s="3">
        <v>46159</v>
      </c>
      <c r="B7205" s="4" t="s">
        <v>946</v>
      </c>
      <c r="C7205" s="4"/>
      <c r="D7205" s="4"/>
      <c r="E7205" s="4" t="s">
        <v>921</v>
      </c>
      <c r="F7205" s="4"/>
      <c r="G7205" s="4" t="s">
        <v>946</v>
      </c>
      <c r="H7205" s="4" t="s">
        <v>380</v>
      </c>
      <c r="I7205" s="4">
        <v>1</v>
      </c>
      <c r="J7205" s="21">
        <v>972</v>
      </c>
      <c r="K7205" s="21">
        <v>0</v>
      </c>
      <c r="L7205" s="32">
        <v>972</v>
      </c>
      <c r="M7205" s="4"/>
      <c r="N7205" s="4"/>
      <c r="O7205" s="5"/>
      <c r="P7205" s="5"/>
      <c r="Q7205" s="21">
        <v>972</v>
      </c>
      <c r="R7205" s="21">
        <v>0</v>
      </c>
      <c r="S7205" s="5">
        <f t="shared" si="451"/>
        <v>19343.788691288173</v>
      </c>
      <c r="T7205" cm="1">
        <f t="array" ref="T7205">IF(OR(B7205="MAL ALIMI", B7205="ÜRETİM GİRİŞ"), MIN(I7205, MAX(0, I7205 + SUM(SUMIFS($I$1:I7204, $C$1:C7204, C7205, $B$1:B7204, {"MAL ALIMI","ÜRETİM GİRİŞ"})) - VLOOKUP(C7205, 'STOK RAPORU'!$C$2:$I$1000, 4, 0))), 0)</f>
        <v>0</v>
      </c>
      <c r="U7205" s="22">
        <f t="shared" si="448"/>
        <v>0</v>
      </c>
      <c r="V7205">
        <f t="shared" si="449"/>
        <v>0</v>
      </c>
      <c r="W7205" s="22">
        <f t="shared" si="450"/>
        <v>0</v>
      </c>
    </row>
    <row r="7206" spans="1:23" hidden="1" x14ac:dyDescent="0.25">
      <c r="A7206" s="3">
        <v>46160</v>
      </c>
      <c r="B7206" s="46" t="s">
        <v>334</v>
      </c>
      <c r="C7206" s="4" t="s">
        <v>3158</v>
      </c>
      <c r="D7206" s="4"/>
      <c r="E7206" s="4"/>
      <c r="F7206" s="4" t="s">
        <v>3455</v>
      </c>
      <c r="G7206" s="4" t="s">
        <v>336</v>
      </c>
      <c r="H7206" s="4" t="s">
        <v>289</v>
      </c>
      <c r="I7206" s="4">
        <v>1</v>
      </c>
      <c r="J7206" s="21">
        <v>200</v>
      </c>
      <c r="K7206" s="21">
        <v>0</v>
      </c>
      <c r="L7206" s="5">
        <v>0</v>
      </c>
      <c r="M7206" s="4"/>
      <c r="N7206" s="4"/>
      <c r="O7206" s="5"/>
      <c r="P7206" s="5"/>
      <c r="Q7206" s="21">
        <v>200</v>
      </c>
      <c r="R7206" s="21">
        <v>0</v>
      </c>
      <c r="S7206" s="5">
        <f t="shared" si="451"/>
        <v>19543.788691288173</v>
      </c>
      <c r="T7206" cm="1">
        <f t="array" ref="T7206">IF(OR(B7206="MAL ALIMI", B7206="ÜRETİM GİRİŞ"), MIN(I7206, MAX(0, I7206 + SUM(SUMIFS($I$1:I7205, $C$1:C7205, C7206, $B$1:B7205, {"MAL ALIMI","ÜRETİM GİRİŞ"})) - VLOOKUP(C7206, 'STOK RAPORU'!$C$2:$I$1000, 4, 0))), 0)</f>
        <v>0</v>
      </c>
      <c r="U7206" s="22">
        <f t="shared" si="448"/>
        <v>0</v>
      </c>
      <c r="V7206">
        <f t="shared" si="449"/>
        <v>0</v>
      </c>
      <c r="W7206" s="22">
        <f t="shared" si="450"/>
        <v>0</v>
      </c>
    </row>
    <row r="7207" spans="1:23" hidden="1" x14ac:dyDescent="0.25">
      <c r="A7207" s="3">
        <v>46160</v>
      </c>
      <c r="B7207" s="46" t="s">
        <v>334</v>
      </c>
      <c r="C7207" s="4" t="s">
        <v>750</v>
      </c>
      <c r="D7207" s="4"/>
      <c r="E7207" s="4" t="s">
        <v>921</v>
      </c>
      <c r="F7207" s="4" t="s">
        <v>3456</v>
      </c>
      <c r="G7207" s="4" t="s">
        <v>336</v>
      </c>
      <c r="H7207" s="4" t="s">
        <v>380</v>
      </c>
      <c r="I7207" s="4">
        <v>1</v>
      </c>
      <c r="J7207" s="21">
        <v>250</v>
      </c>
      <c r="K7207" s="21">
        <v>250</v>
      </c>
      <c r="L7207" s="5">
        <v>0</v>
      </c>
      <c r="M7207" s="4"/>
      <c r="N7207" s="4"/>
      <c r="O7207" s="5"/>
      <c r="P7207" s="5"/>
      <c r="Q7207" s="21">
        <v>0</v>
      </c>
      <c r="R7207" s="21">
        <v>0</v>
      </c>
      <c r="S7207" s="5">
        <f t="shared" si="451"/>
        <v>19543.788691288173</v>
      </c>
      <c r="T7207" cm="1">
        <f t="array" ref="T7207">IF(OR(B7207="MAL ALIMI", B7207="ÜRETİM GİRİŞ"), MIN(I7207, MAX(0, I7207 + SUM(SUMIFS($I$1:I7206, $C$1:C7206, C7207, $B$1:B7206, {"MAL ALIMI","ÜRETİM GİRİŞ"})) - VLOOKUP(C7207, 'STOK RAPORU'!$C$2:$I$1000, 4, 0))), 0)</f>
        <v>0</v>
      </c>
      <c r="U7207" s="22">
        <f t="shared" si="448"/>
        <v>0</v>
      </c>
      <c r="V7207">
        <f t="shared" si="449"/>
        <v>0</v>
      </c>
      <c r="W7207" s="22">
        <f t="shared" si="450"/>
        <v>0</v>
      </c>
    </row>
    <row r="7208" spans="1:23" hidden="1" x14ac:dyDescent="0.25">
      <c r="A7208" s="3">
        <v>46160</v>
      </c>
      <c r="B7208" s="46" t="s">
        <v>334</v>
      </c>
      <c r="C7208" s="4" t="s">
        <v>194</v>
      </c>
      <c r="D7208" s="4"/>
      <c r="E7208" s="4" t="s">
        <v>921</v>
      </c>
      <c r="F7208" s="4" t="s">
        <v>3456</v>
      </c>
      <c r="G7208" s="4" t="s">
        <v>336</v>
      </c>
      <c r="H7208" s="4" t="s">
        <v>380</v>
      </c>
      <c r="I7208" s="4">
        <v>0.5</v>
      </c>
      <c r="J7208" s="21">
        <v>750</v>
      </c>
      <c r="K7208" s="21">
        <v>375</v>
      </c>
      <c r="L7208" s="5">
        <v>0</v>
      </c>
      <c r="M7208" s="4"/>
      <c r="N7208" s="4"/>
      <c r="O7208" s="5"/>
      <c r="P7208" s="5"/>
      <c r="Q7208" s="21">
        <v>0</v>
      </c>
      <c r="R7208" s="21">
        <v>0</v>
      </c>
      <c r="S7208" s="5">
        <f t="shared" si="451"/>
        <v>19543.788691288173</v>
      </c>
      <c r="T7208" cm="1">
        <f t="array" ref="T7208">IF(OR(B7208="MAL ALIMI", B7208="ÜRETİM GİRİŞ"), MIN(I7208, MAX(0, I7208 + SUM(SUMIFS($I$1:I7207, $C$1:C7207, C7208, $B$1:B7207, {"MAL ALIMI","ÜRETİM GİRİŞ"})) - VLOOKUP(C7208, 'STOK RAPORU'!$C$2:$I$1000, 4, 0))), 0)</f>
        <v>0</v>
      </c>
      <c r="U7208" s="22">
        <f t="shared" si="448"/>
        <v>0</v>
      </c>
      <c r="V7208">
        <f t="shared" si="449"/>
        <v>0</v>
      </c>
      <c r="W7208" s="22">
        <f t="shared" si="450"/>
        <v>0</v>
      </c>
    </row>
    <row r="7209" spans="1:23" hidden="1" x14ac:dyDescent="0.25">
      <c r="A7209" s="3">
        <v>46160</v>
      </c>
      <c r="B7209" s="46" t="s">
        <v>334</v>
      </c>
      <c r="C7209" s="4" t="s">
        <v>2281</v>
      </c>
      <c r="D7209" s="4"/>
      <c r="E7209" s="4" t="s">
        <v>921</v>
      </c>
      <c r="F7209" s="4" t="s">
        <v>3456</v>
      </c>
      <c r="G7209" s="4" t="s">
        <v>336</v>
      </c>
      <c r="H7209" s="4" t="s">
        <v>380</v>
      </c>
      <c r="I7209" s="4">
        <v>0.1</v>
      </c>
      <c r="J7209" s="21">
        <v>2800</v>
      </c>
      <c r="K7209" s="21">
        <v>280</v>
      </c>
      <c r="L7209" s="5">
        <v>0</v>
      </c>
      <c r="M7209" s="4"/>
      <c r="N7209" s="4"/>
      <c r="O7209" s="5"/>
      <c r="P7209" s="5"/>
      <c r="Q7209" s="21">
        <v>0</v>
      </c>
      <c r="R7209" s="21">
        <v>0</v>
      </c>
      <c r="S7209" s="5">
        <f t="shared" si="451"/>
        <v>19543.788691288173</v>
      </c>
      <c r="T7209" cm="1">
        <f t="array" ref="T7209">IF(OR(B7209="MAL ALIMI", B7209="ÜRETİM GİRİŞ"), MIN(I7209, MAX(0, I7209 + SUM(SUMIFS($I$1:I7208, $C$1:C7208, C7209, $B$1:B7208, {"MAL ALIMI","ÜRETİM GİRİŞ"})) - VLOOKUP(C7209, 'STOK RAPORU'!$C$2:$I$1000, 4, 0))), 0)</f>
        <v>0</v>
      </c>
      <c r="U7209" s="22">
        <f t="shared" si="448"/>
        <v>0</v>
      </c>
      <c r="V7209">
        <f t="shared" si="449"/>
        <v>0</v>
      </c>
      <c r="W7209" s="22">
        <f t="shared" si="450"/>
        <v>0</v>
      </c>
    </row>
    <row r="7210" spans="1:23" hidden="1" x14ac:dyDescent="0.25">
      <c r="A7210" s="3">
        <v>46160</v>
      </c>
      <c r="B7210" s="46" t="s">
        <v>334</v>
      </c>
      <c r="C7210" s="4" t="s">
        <v>157</v>
      </c>
      <c r="D7210" s="4"/>
      <c r="E7210" s="4"/>
      <c r="F7210" s="4" t="s">
        <v>3457</v>
      </c>
      <c r="G7210" s="4" t="s">
        <v>336</v>
      </c>
      <c r="H7210" s="4" t="s">
        <v>289</v>
      </c>
      <c r="I7210" s="4">
        <v>1</v>
      </c>
      <c r="J7210" s="21">
        <v>200</v>
      </c>
      <c r="K7210" s="21">
        <v>0</v>
      </c>
      <c r="L7210" s="5">
        <v>0</v>
      </c>
      <c r="M7210" s="4"/>
      <c r="N7210" s="4"/>
      <c r="O7210" s="5"/>
      <c r="P7210" s="5"/>
      <c r="Q7210" s="21">
        <v>200</v>
      </c>
      <c r="R7210" s="21">
        <v>0</v>
      </c>
      <c r="S7210" s="5">
        <f t="shared" si="451"/>
        <v>19743.788691288173</v>
      </c>
      <c r="T7210" cm="1">
        <f t="array" ref="T7210">IF(OR(B7210="MAL ALIMI", B7210="ÜRETİM GİRİŞ"), MIN(I7210, MAX(0, I7210 + SUM(SUMIFS($I$1:I7209, $C$1:C7209, C7210, $B$1:B7209, {"MAL ALIMI","ÜRETİM GİRİŞ"})) - VLOOKUP(C7210, 'STOK RAPORU'!$C$2:$I$1000, 4, 0))), 0)</f>
        <v>0</v>
      </c>
      <c r="U7210" s="22">
        <f t="shared" si="448"/>
        <v>0</v>
      </c>
      <c r="V7210">
        <f t="shared" si="449"/>
        <v>0</v>
      </c>
      <c r="W7210" s="22">
        <f t="shared" si="450"/>
        <v>0</v>
      </c>
    </row>
    <row r="7211" spans="1:23" hidden="1" x14ac:dyDescent="0.25">
      <c r="A7211" s="3">
        <v>46160</v>
      </c>
      <c r="B7211" s="46" t="s">
        <v>334</v>
      </c>
      <c r="C7211" s="4" t="s">
        <v>2565</v>
      </c>
      <c r="D7211" s="4"/>
      <c r="E7211" s="4"/>
      <c r="F7211" s="4" t="s">
        <v>3458</v>
      </c>
      <c r="G7211" s="4" t="s">
        <v>336</v>
      </c>
      <c r="H7211" s="4" t="s">
        <v>289</v>
      </c>
      <c r="I7211" s="4">
        <v>0.64615384615384619</v>
      </c>
      <c r="J7211" s="21">
        <v>650</v>
      </c>
      <c r="K7211" s="21">
        <v>0</v>
      </c>
      <c r="L7211" s="5">
        <v>0</v>
      </c>
      <c r="M7211" s="4"/>
      <c r="N7211" s="4"/>
      <c r="O7211" s="5"/>
      <c r="P7211" s="5"/>
      <c r="Q7211" s="21">
        <v>420</v>
      </c>
      <c r="R7211" s="21">
        <v>0</v>
      </c>
      <c r="S7211" s="5">
        <f t="shared" si="451"/>
        <v>20163.788691288173</v>
      </c>
      <c r="T7211" cm="1">
        <f t="array" ref="T7211">IF(OR(B7211="MAL ALIMI", B7211="ÜRETİM GİRİŞ"), MIN(I7211, MAX(0, I7211 + SUM(SUMIFS($I$1:I7210, $C$1:C7210, C7211, $B$1:B7210, {"MAL ALIMI","ÜRETİM GİRİŞ"})) - VLOOKUP(C7211, 'STOK RAPORU'!$C$2:$I$1000, 4, 0))), 0)</f>
        <v>0</v>
      </c>
      <c r="U7211" s="22">
        <f t="shared" si="448"/>
        <v>0</v>
      </c>
      <c r="V7211">
        <f t="shared" si="449"/>
        <v>0</v>
      </c>
      <c r="W7211" s="22">
        <f t="shared" si="450"/>
        <v>0</v>
      </c>
    </row>
    <row r="7212" spans="1:23" hidden="1" x14ac:dyDescent="0.25">
      <c r="A7212" s="3">
        <v>46160</v>
      </c>
      <c r="B7212" s="46" t="s">
        <v>334</v>
      </c>
      <c r="C7212" s="4" t="s">
        <v>460</v>
      </c>
      <c r="D7212" s="4"/>
      <c r="E7212" s="4"/>
      <c r="F7212" s="4" t="s">
        <v>3459</v>
      </c>
      <c r="G7212" s="4" t="s">
        <v>336</v>
      </c>
      <c r="H7212" s="4" t="s">
        <v>289</v>
      </c>
      <c r="I7212" s="4">
        <v>1</v>
      </c>
      <c r="J7212" s="21">
        <v>15</v>
      </c>
      <c r="K7212" s="21">
        <v>0</v>
      </c>
      <c r="L7212" s="5">
        <v>0</v>
      </c>
      <c r="M7212" s="4"/>
      <c r="N7212" s="4"/>
      <c r="O7212" s="5"/>
      <c r="P7212" s="5"/>
      <c r="Q7212" s="21">
        <v>15</v>
      </c>
      <c r="R7212" s="21">
        <v>0</v>
      </c>
      <c r="S7212" s="5">
        <f t="shared" si="451"/>
        <v>20178.788691288173</v>
      </c>
      <c r="T7212" cm="1">
        <f t="array" ref="T7212">IF(OR(B7212="MAL ALIMI", B7212="ÜRETİM GİRİŞ"), MIN(I7212, MAX(0, I7212 + SUM(SUMIFS($I$1:I7211, $C$1:C7211, C7212, $B$1:B7211, {"MAL ALIMI","ÜRETİM GİRİŞ"})) - VLOOKUP(C7212, 'STOK RAPORU'!$C$2:$I$1000, 4, 0))), 0)</f>
        <v>0</v>
      </c>
      <c r="U7212" s="22">
        <f t="shared" si="448"/>
        <v>0</v>
      </c>
      <c r="V7212">
        <f t="shared" si="449"/>
        <v>0</v>
      </c>
      <c r="W7212" s="22">
        <f t="shared" si="450"/>
        <v>0</v>
      </c>
    </row>
    <row r="7213" spans="1:23" hidden="1" x14ac:dyDescent="0.25">
      <c r="A7213" s="3">
        <v>46160</v>
      </c>
      <c r="B7213" s="46" t="s">
        <v>334</v>
      </c>
      <c r="C7213" s="4" t="s">
        <v>231</v>
      </c>
      <c r="D7213" s="4"/>
      <c r="E7213" s="4" t="s">
        <v>921</v>
      </c>
      <c r="F7213" s="4" t="s">
        <v>3460</v>
      </c>
      <c r="G7213" s="4" t="s">
        <v>336</v>
      </c>
      <c r="H7213" s="4" t="s">
        <v>380</v>
      </c>
      <c r="I7213" s="4">
        <v>1</v>
      </c>
      <c r="J7213" s="21">
        <v>200</v>
      </c>
      <c r="K7213" s="21">
        <v>200</v>
      </c>
      <c r="L7213" s="5">
        <v>0</v>
      </c>
      <c r="M7213" s="4"/>
      <c r="N7213" s="4"/>
      <c r="O7213" s="5"/>
      <c r="P7213" s="5"/>
      <c r="Q7213" s="21">
        <v>0</v>
      </c>
      <c r="R7213" s="21">
        <v>0</v>
      </c>
      <c r="S7213" s="5">
        <f t="shared" si="451"/>
        <v>20178.788691288173</v>
      </c>
      <c r="T7213" cm="1">
        <f t="array" ref="T7213">IF(OR(B7213="MAL ALIMI", B7213="ÜRETİM GİRİŞ"), MIN(I7213, MAX(0, I7213 + SUM(SUMIFS($I$1:I7212, $C$1:C7212, C7213, $B$1:B7212, {"MAL ALIMI","ÜRETİM GİRİŞ"})) - VLOOKUP(C7213, 'STOK RAPORU'!$C$2:$I$1000, 4, 0))), 0)</f>
        <v>0</v>
      </c>
      <c r="U7213" s="22">
        <f t="shared" si="448"/>
        <v>0</v>
      </c>
      <c r="V7213">
        <f t="shared" si="449"/>
        <v>0</v>
      </c>
      <c r="W7213" s="22">
        <f t="shared" si="450"/>
        <v>0</v>
      </c>
    </row>
    <row r="7214" spans="1:23" hidden="1" x14ac:dyDescent="0.25">
      <c r="A7214" s="3">
        <v>46160</v>
      </c>
      <c r="B7214" s="46" t="s">
        <v>334</v>
      </c>
      <c r="C7214" s="4" t="s">
        <v>2488</v>
      </c>
      <c r="D7214" s="4"/>
      <c r="E7214" s="4" t="s">
        <v>921</v>
      </c>
      <c r="F7214" s="4" t="s">
        <v>3461</v>
      </c>
      <c r="G7214" s="4" t="s">
        <v>336</v>
      </c>
      <c r="H7214" s="4" t="s">
        <v>380</v>
      </c>
      <c r="I7214" s="4">
        <v>0.34909090909090912</v>
      </c>
      <c r="J7214" s="21">
        <v>550</v>
      </c>
      <c r="K7214" s="21">
        <v>192.00000000000003</v>
      </c>
      <c r="L7214" s="5">
        <v>0</v>
      </c>
      <c r="M7214" s="4"/>
      <c r="N7214" s="4"/>
      <c r="O7214" s="5"/>
      <c r="P7214" s="5"/>
      <c r="Q7214" s="21">
        <v>0</v>
      </c>
      <c r="R7214" s="21">
        <v>0</v>
      </c>
      <c r="S7214" s="5">
        <f t="shared" si="451"/>
        <v>20178.788691288173</v>
      </c>
      <c r="T7214" cm="1">
        <f t="array" ref="T7214">IF(OR(B7214="MAL ALIMI", B7214="ÜRETİM GİRİŞ"), MIN(I7214, MAX(0, I7214 + SUM(SUMIFS($I$1:I7213, $C$1:C7213, C7214, $B$1:B7213, {"MAL ALIMI","ÜRETİM GİRİŞ"})) - VLOOKUP(C7214, 'STOK RAPORU'!$C$2:$I$1000, 4, 0))), 0)</f>
        <v>0</v>
      </c>
      <c r="U7214" s="22">
        <f t="shared" si="448"/>
        <v>0</v>
      </c>
      <c r="V7214">
        <f t="shared" si="449"/>
        <v>0</v>
      </c>
      <c r="W7214" s="22">
        <f t="shared" si="450"/>
        <v>0</v>
      </c>
    </row>
    <row r="7215" spans="1:23" hidden="1" x14ac:dyDescent="0.25">
      <c r="A7215" s="3">
        <v>46160</v>
      </c>
      <c r="B7215" s="46" t="s">
        <v>334</v>
      </c>
      <c r="C7215" s="4" t="s">
        <v>126</v>
      </c>
      <c r="D7215" s="4"/>
      <c r="E7215" s="4"/>
      <c r="F7215" s="4" t="s">
        <v>3462</v>
      </c>
      <c r="G7215" s="4" t="s">
        <v>336</v>
      </c>
      <c r="H7215" s="4" t="s">
        <v>289</v>
      </c>
      <c r="I7215" s="4">
        <v>0.11076923076923077</v>
      </c>
      <c r="J7215" s="21">
        <v>650</v>
      </c>
      <c r="K7215" s="21">
        <v>0</v>
      </c>
      <c r="L7215" s="5">
        <v>0</v>
      </c>
      <c r="M7215" s="4"/>
      <c r="N7215" s="4"/>
      <c r="O7215" s="5"/>
      <c r="P7215" s="5"/>
      <c r="Q7215" s="21">
        <v>72</v>
      </c>
      <c r="R7215" s="21">
        <v>0</v>
      </c>
      <c r="S7215" s="5">
        <f t="shared" si="451"/>
        <v>20250.788691288173</v>
      </c>
      <c r="T7215" cm="1">
        <f t="array" ref="T7215">IF(OR(B7215="MAL ALIMI", B7215="ÜRETİM GİRİŞ"), MIN(I7215, MAX(0, I7215 + SUM(SUMIFS($I$1:I7214, $C$1:C7214, C7215, $B$1:B7214, {"MAL ALIMI","ÜRETİM GİRİŞ"})) - VLOOKUP(C7215, 'STOK RAPORU'!$C$2:$I$1000, 4, 0))), 0)</f>
        <v>0</v>
      </c>
      <c r="U7215" s="22">
        <f t="shared" si="448"/>
        <v>0</v>
      </c>
      <c r="V7215">
        <f t="shared" si="449"/>
        <v>0</v>
      </c>
      <c r="W7215" s="22">
        <f t="shared" si="450"/>
        <v>0</v>
      </c>
    </row>
    <row r="7216" spans="1:23" hidden="1" x14ac:dyDescent="0.25">
      <c r="A7216" s="3">
        <v>46160</v>
      </c>
      <c r="B7216" s="46" t="s">
        <v>334</v>
      </c>
      <c r="C7216" s="4" t="s">
        <v>236</v>
      </c>
      <c r="D7216" s="4"/>
      <c r="E7216" s="4" t="s">
        <v>921</v>
      </c>
      <c r="F7216" s="4" t="s">
        <v>3463</v>
      </c>
      <c r="G7216" s="4" t="s">
        <v>336</v>
      </c>
      <c r="H7216" s="4" t="s">
        <v>380</v>
      </c>
      <c r="I7216" s="4">
        <v>0.35142857142857142</v>
      </c>
      <c r="J7216" s="21">
        <v>350</v>
      </c>
      <c r="K7216" s="21">
        <v>123</v>
      </c>
      <c r="L7216" s="5">
        <v>0</v>
      </c>
      <c r="M7216" s="4"/>
      <c r="N7216" s="4"/>
      <c r="O7216" s="5"/>
      <c r="P7216" s="5"/>
      <c r="Q7216" s="21">
        <v>0</v>
      </c>
      <c r="R7216" s="21">
        <v>0</v>
      </c>
      <c r="S7216" s="5">
        <f t="shared" si="451"/>
        <v>20250.788691288173</v>
      </c>
      <c r="T7216" cm="1">
        <f t="array" ref="T7216">IF(OR(B7216="MAL ALIMI", B7216="ÜRETİM GİRİŞ"), MIN(I7216, MAX(0, I7216 + SUM(SUMIFS($I$1:I7215, $C$1:C7215, C7216, $B$1:B7215, {"MAL ALIMI","ÜRETİM GİRİŞ"})) - VLOOKUP(C7216, 'STOK RAPORU'!$C$2:$I$1000, 4, 0))), 0)</f>
        <v>0</v>
      </c>
      <c r="U7216" s="22">
        <f t="shared" si="448"/>
        <v>0</v>
      </c>
      <c r="V7216">
        <f t="shared" si="449"/>
        <v>0</v>
      </c>
      <c r="W7216" s="22">
        <f t="shared" si="450"/>
        <v>0</v>
      </c>
    </row>
    <row r="7217" spans="1:23" hidden="1" x14ac:dyDescent="0.25">
      <c r="A7217" s="3">
        <v>46160</v>
      </c>
      <c r="B7217" s="46" t="s">
        <v>334</v>
      </c>
      <c r="C7217" s="4" t="s">
        <v>133</v>
      </c>
      <c r="D7217" s="4"/>
      <c r="E7217" s="4"/>
      <c r="F7217" s="4" t="s">
        <v>3464</v>
      </c>
      <c r="G7217" s="4" t="s">
        <v>336</v>
      </c>
      <c r="H7217" s="4" t="s">
        <v>289</v>
      </c>
      <c r="I7217" s="4">
        <v>0.46</v>
      </c>
      <c r="J7217" s="21">
        <v>400</v>
      </c>
      <c r="K7217" s="21">
        <v>0</v>
      </c>
      <c r="L7217" s="5">
        <v>0</v>
      </c>
      <c r="M7217" s="4"/>
      <c r="N7217" s="4"/>
      <c r="O7217" s="5"/>
      <c r="P7217" s="5"/>
      <c r="Q7217" s="21">
        <v>184</v>
      </c>
      <c r="R7217" s="21">
        <v>0</v>
      </c>
      <c r="S7217" s="5">
        <f t="shared" si="451"/>
        <v>20434.788691288173</v>
      </c>
      <c r="T7217" cm="1">
        <f t="array" ref="T7217">IF(OR(B7217="MAL ALIMI", B7217="ÜRETİM GİRİŞ"), MIN(I7217, MAX(0, I7217 + SUM(SUMIFS($I$1:I7216, $C$1:C7216, C7217, $B$1:B7216, {"MAL ALIMI","ÜRETİM GİRİŞ"})) - VLOOKUP(C7217, 'STOK RAPORU'!$C$2:$I$1000, 4, 0))), 0)</f>
        <v>0</v>
      </c>
      <c r="U7217" s="22">
        <f t="shared" si="448"/>
        <v>0</v>
      </c>
      <c r="V7217">
        <f t="shared" si="449"/>
        <v>0</v>
      </c>
      <c r="W7217" s="22">
        <f t="shared" si="450"/>
        <v>0</v>
      </c>
    </row>
    <row r="7218" spans="1:23" hidden="1" x14ac:dyDescent="0.25">
      <c r="A7218" s="3">
        <v>46160</v>
      </c>
      <c r="B7218" s="46" t="s">
        <v>334</v>
      </c>
      <c r="C7218" s="4" t="s">
        <v>844</v>
      </c>
      <c r="D7218" s="4"/>
      <c r="E7218" s="4"/>
      <c r="F7218" s="4" t="s">
        <v>3464</v>
      </c>
      <c r="G7218" s="4" t="s">
        <v>336</v>
      </c>
      <c r="H7218" s="4" t="s">
        <v>289</v>
      </c>
      <c r="I7218" s="4">
        <v>1</v>
      </c>
      <c r="J7218" s="21">
        <v>170</v>
      </c>
      <c r="K7218" s="21">
        <v>0</v>
      </c>
      <c r="L7218" s="5">
        <v>0</v>
      </c>
      <c r="M7218" s="4"/>
      <c r="N7218" s="4"/>
      <c r="O7218" s="5"/>
      <c r="P7218" s="5"/>
      <c r="Q7218" s="21">
        <v>170</v>
      </c>
      <c r="R7218" s="21">
        <v>0</v>
      </c>
      <c r="S7218" s="5">
        <f t="shared" si="451"/>
        <v>20604.788691288173</v>
      </c>
      <c r="T7218" cm="1">
        <f t="array" ref="T7218">IF(OR(B7218="MAL ALIMI", B7218="ÜRETİM GİRİŞ"), MIN(I7218, MAX(0, I7218 + SUM(SUMIFS($I$1:I7217, $C$1:C7217, C7218, $B$1:B7217, {"MAL ALIMI","ÜRETİM GİRİŞ"})) - VLOOKUP(C7218, 'STOK RAPORU'!$C$2:$I$1000, 4, 0))), 0)</f>
        <v>0</v>
      </c>
      <c r="U7218" s="22">
        <f t="shared" ref="U7218:U7281" si="452">T7218*J7218</f>
        <v>0</v>
      </c>
      <c r="V7218">
        <f t="shared" ref="V7218:V7281" si="453">IF(OR(B7218="MAL ALIMI", B7218="ÜRETİM GİRİŞ"), I7218 * J7218, 0)</f>
        <v>0</v>
      </c>
      <c r="W7218" s="22">
        <f t="shared" ref="W7218:W7281" si="454">V7218-U7218</f>
        <v>0</v>
      </c>
    </row>
    <row r="7219" spans="1:23" hidden="1" x14ac:dyDescent="0.25">
      <c r="A7219" s="3">
        <v>46160</v>
      </c>
      <c r="B7219" s="46" t="s">
        <v>334</v>
      </c>
      <c r="C7219" s="4" t="s">
        <v>1501</v>
      </c>
      <c r="D7219" s="4"/>
      <c r="E7219" s="4"/>
      <c r="F7219" s="4" t="s">
        <v>3464</v>
      </c>
      <c r="G7219" s="4" t="s">
        <v>336</v>
      </c>
      <c r="H7219" s="4" t="s">
        <v>289</v>
      </c>
      <c r="I7219" s="4">
        <v>0.5</v>
      </c>
      <c r="J7219" s="21">
        <v>700</v>
      </c>
      <c r="K7219" s="21">
        <v>0</v>
      </c>
      <c r="L7219" s="5">
        <v>0</v>
      </c>
      <c r="M7219" s="4"/>
      <c r="N7219" s="4"/>
      <c r="O7219" s="5"/>
      <c r="P7219" s="5"/>
      <c r="Q7219" s="21">
        <v>350</v>
      </c>
      <c r="R7219" s="21">
        <v>0</v>
      </c>
      <c r="S7219" s="5">
        <f t="shared" si="451"/>
        <v>20954.788691288173</v>
      </c>
      <c r="T7219" cm="1">
        <f t="array" ref="T7219">IF(OR(B7219="MAL ALIMI", B7219="ÜRETİM GİRİŞ"), MIN(I7219, MAX(0, I7219 + SUM(SUMIFS($I$1:I7218, $C$1:C7218, C7219, $B$1:B7218, {"MAL ALIMI","ÜRETİM GİRİŞ"})) - VLOOKUP(C7219, 'STOK RAPORU'!$C$2:$I$1000, 4, 0))), 0)</f>
        <v>0</v>
      </c>
      <c r="U7219" s="22">
        <f t="shared" si="452"/>
        <v>0</v>
      </c>
      <c r="V7219">
        <f t="shared" si="453"/>
        <v>0</v>
      </c>
      <c r="W7219" s="22">
        <f t="shared" si="454"/>
        <v>0</v>
      </c>
    </row>
    <row r="7220" spans="1:23" hidden="1" x14ac:dyDescent="0.25">
      <c r="A7220" s="3">
        <v>46160</v>
      </c>
      <c r="B7220" s="46" t="s">
        <v>334</v>
      </c>
      <c r="C7220" s="4" t="s">
        <v>152</v>
      </c>
      <c r="D7220" s="4"/>
      <c r="E7220" s="4"/>
      <c r="F7220" s="4" t="s">
        <v>3464</v>
      </c>
      <c r="G7220" s="4" t="s">
        <v>336</v>
      </c>
      <c r="H7220" s="4" t="s">
        <v>289</v>
      </c>
      <c r="I7220" s="4">
        <v>0.1</v>
      </c>
      <c r="J7220" s="21">
        <v>400</v>
      </c>
      <c r="K7220" s="21">
        <v>0</v>
      </c>
      <c r="L7220" s="5">
        <v>0</v>
      </c>
      <c r="M7220" s="4"/>
      <c r="N7220" s="4"/>
      <c r="O7220" s="5"/>
      <c r="P7220" s="5"/>
      <c r="Q7220" s="21">
        <v>40</v>
      </c>
      <c r="R7220" s="21">
        <v>0</v>
      </c>
      <c r="S7220" s="5">
        <f t="shared" si="451"/>
        <v>20994.788691288173</v>
      </c>
      <c r="T7220" cm="1">
        <f t="array" ref="T7220">IF(OR(B7220="MAL ALIMI", B7220="ÜRETİM GİRİŞ"), MIN(I7220, MAX(0, I7220 + SUM(SUMIFS($I$1:I7219, $C$1:C7219, C7220, $B$1:B7219, {"MAL ALIMI","ÜRETİM GİRİŞ"})) - VLOOKUP(C7220, 'STOK RAPORU'!$C$2:$I$1000, 4, 0))), 0)</f>
        <v>0</v>
      </c>
      <c r="U7220" s="22">
        <f t="shared" si="452"/>
        <v>0</v>
      </c>
      <c r="V7220">
        <f t="shared" si="453"/>
        <v>0</v>
      </c>
      <c r="W7220" s="22">
        <f t="shared" si="454"/>
        <v>0</v>
      </c>
    </row>
    <row r="7221" spans="1:23" hidden="1" x14ac:dyDescent="0.25">
      <c r="A7221" s="3">
        <v>46160</v>
      </c>
      <c r="B7221" s="46" t="s">
        <v>334</v>
      </c>
      <c r="C7221" s="4" t="s">
        <v>529</v>
      </c>
      <c r="D7221" s="4"/>
      <c r="E7221" s="4"/>
      <c r="F7221" s="4" t="s">
        <v>3464</v>
      </c>
      <c r="G7221" s="4" t="s">
        <v>336</v>
      </c>
      <c r="H7221" s="4" t="s">
        <v>289</v>
      </c>
      <c r="I7221" s="4">
        <v>0.1</v>
      </c>
      <c r="J7221" s="21">
        <v>600</v>
      </c>
      <c r="K7221" s="21">
        <v>0</v>
      </c>
      <c r="L7221" s="5">
        <v>0</v>
      </c>
      <c r="M7221" s="4"/>
      <c r="N7221" s="4"/>
      <c r="O7221" s="5"/>
      <c r="P7221" s="5"/>
      <c r="Q7221" s="21">
        <v>60</v>
      </c>
      <c r="R7221" s="21">
        <v>0</v>
      </c>
      <c r="S7221" s="5">
        <f t="shared" si="451"/>
        <v>21054.788691288173</v>
      </c>
      <c r="T7221" cm="1">
        <f t="array" ref="T7221">IF(OR(B7221="MAL ALIMI", B7221="ÜRETİM GİRİŞ"), MIN(I7221, MAX(0, I7221 + SUM(SUMIFS($I$1:I7220, $C$1:C7220, C7221, $B$1:B7220, {"MAL ALIMI","ÜRETİM GİRİŞ"})) - VLOOKUP(C7221, 'STOK RAPORU'!$C$2:$I$1000, 4, 0))), 0)</f>
        <v>0</v>
      </c>
      <c r="U7221" s="22">
        <f t="shared" si="452"/>
        <v>0</v>
      </c>
      <c r="V7221">
        <f t="shared" si="453"/>
        <v>0</v>
      </c>
      <c r="W7221" s="22">
        <f t="shared" si="454"/>
        <v>0</v>
      </c>
    </row>
    <row r="7222" spans="1:23" hidden="1" x14ac:dyDescent="0.25">
      <c r="A7222" s="3">
        <v>46160</v>
      </c>
      <c r="B7222" s="46" t="s">
        <v>334</v>
      </c>
      <c r="C7222" s="4" t="s">
        <v>1041</v>
      </c>
      <c r="D7222" s="4"/>
      <c r="E7222" s="4"/>
      <c r="F7222" s="4" t="s">
        <v>3464</v>
      </c>
      <c r="G7222" s="4" t="s">
        <v>336</v>
      </c>
      <c r="H7222" s="4" t="s">
        <v>289</v>
      </c>
      <c r="I7222" s="4">
        <v>1.292</v>
      </c>
      <c r="J7222" s="21">
        <v>250</v>
      </c>
      <c r="K7222" s="21">
        <v>0</v>
      </c>
      <c r="L7222" s="5">
        <v>0</v>
      </c>
      <c r="M7222" s="4"/>
      <c r="N7222" s="4"/>
      <c r="O7222" s="5"/>
      <c r="P7222" s="5"/>
      <c r="Q7222" s="21">
        <v>323</v>
      </c>
      <c r="R7222" s="21">
        <v>0</v>
      </c>
      <c r="S7222" s="5">
        <f t="shared" si="451"/>
        <v>21377.788691288173</v>
      </c>
      <c r="T7222" cm="1">
        <f t="array" ref="T7222">IF(OR(B7222="MAL ALIMI", B7222="ÜRETİM GİRİŞ"), MIN(I7222, MAX(0, I7222 + SUM(SUMIFS($I$1:I7221, $C$1:C7221, C7222, $B$1:B7221, {"MAL ALIMI","ÜRETİM GİRİŞ"})) - VLOOKUP(C7222, 'STOK RAPORU'!$C$2:$I$1000, 4, 0))), 0)</f>
        <v>0</v>
      </c>
      <c r="U7222" s="22">
        <f t="shared" si="452"/>
        <v>0</v>
      </c>
      <c r="V7222">
        <f t="shared" si="453"/>
        <v>0</v>
      </c>
      <c r="W7222" s="22">
        <f t="shared" si="454"/>
        <v>0</v>
      </c>
    </row>
    <row r="7223" spans="1:23" hidden="1" x14ac:dyDescent="0.25">
      <c r="A7223" s="3">
        <v>46160</v>
      </c>
      <c r="B7223" s="46" t="s">
        <v>334</v>
      </c>
      <c r="C7223" s="4" t="s">
        <v>152</v>
      </c>
      <c r="D7223" s="4"/>
      <c r="E7223" s="4"/>
      <c r="F7223" s="4" t="s">
        <v>3465</v>
      </c>
      <c r="G7223" s="4" t="s">
        <v>336</v>
      </c>
      <c r="H7223" s="4" t="s">
        <v>289</v>
      </c>
      <c r="I7223" s="4">
        <v>0.2</v>
      </c>
      <c r="J7223" s="21">
        <v>400</v>
      </c>
      <c r="K7223" s="21">
        <v>0</v>
      </c>
      <c r="L7223" s="5">
        <v>0</v>
      </c>
      <c r="M7223" s="4"/>
      <c r="N7223" s="4"/>
      <c r="O7223" s="5"/>
      <c r="P7223" s="5"/>
      <c r="Q7223" s="21">
        <v>80</v>
      </c>
      <c r="R7223" s="21">
        <v>0</v>
      </c>
      <c r="S7223" s="5">
        <f t="shared" si="451"/>
        <v>21457.788691288173</v>
      </c>
      <c r="T7223" cm="1">
        <f t="array" ref="T7223">IF(OR(B7223="MAL ALIMI", B7223="ÜRETİM GİRİŞ"), MIN(I7223, MAX(0, I7223 + SUM(SUMIFS($I$1:I7222, $C$1:C7222, C7223, $B$1:B7222, {"MAL ALIMI","ÜRETİM GİRİŞ"})) - VLOOKUP(C7223, 'STOK RAPORU'!$C$2:$I$1000, 4, 0))), 0)</f>
        <v>0</v>
      </c>
      <c r="U7223" s="22">
        <f t="shared" si="452"/>
        <v>0</v>
      </c>
      <c r="V7223">
        <f t="shared" si="453"/>
        <v>0</v>
      </c>
      <c r="W7223" s="22">
        <f t="shared" si="454"/>
        <v>0</v>
      </c>
    </row>
    <row r="7224" spans="1:23" hidden="1" x14ac:dyDescent="0.25">
      <c r="A7224" s="3">
        <v>46160</v>
      </c>
      <c r="B7224" s="4" t="s">
        <v>946</v>
      </c>
      <c r="C7224" s="4"/>
      <c r="D7224" s="4"/>
      <c r="E7224" s="4" t="s">
        <v>921</v>
      </c>
      <c r="F7224" s="4"/>
      <c r="G7224" s="4" t="s">
        <v>946</v>
      </c>
      <c r="H7224" s="4" t="s">
        <v>380</v>
      </c>
      <c r="I7224" s="4">
        <v>1</v>
      </c>
      <c r="J7224" s="21">
        <v>1514</v>
      </c>
      <c r="K7224" s="21">
        <v>0</v>
      </c>
      <c r="L7224" s="32">
        <v>1514</v>
      </c>
      <c r="M7224" s="4"/>
      <c r="N7224" s="4"/>
      <c r="O7224" s="5"/>
      <c r="P7224" s="5"/>
      <c r="Q7224" s="21">
        <v>1514</v>
      </c>
      <c r="R7224" s="21">
        <v>0</v>
      </c>
      <c r="S7224" s="5">
        <f t="shared" si="451"/>
        <v>22971.788691288173</v>
      </c>
      <c r="T7224" cm="1">
        <f t="array" ref="T7224">IF(OR(B7224="MAL ALIMI", B7224="ÜRETİM GİRİŞ"), MIN(I7224, MAX(0, I7224 + SUM(SUMIFS($I$1:I7223, $C$1:C7223, C7224, $B$1:B7223, {"MAL ALIMI","ÜRETİM GİRİŞ"})) - VLOOKUP(C7224, 'STOK RAPORU'!$C$2:$I$1000, 4, 0))), 0)</f>
        <v>0</v>
      </c>
      <c r="U7224" s="22">
        <f t="shared" si="452"/>
        <v>0</v>
      </c>
      <c r="V7224">
        <f t="shared" si="453"/>
        <v>0</v>
      </c>
      <c r="W7224" s="22">
        <f t="shared" si="454"/>
        <v>0</v>
      </c>
    </row>
    <row r="7225" spans="1:23" hidden="1" x14ac:dyDescent="0.25">
      <c r="A7225" s="3">
        <v>46161</v>
      </c>
      <c r="B7225" s="46" t="s">
        <v>334</v>
      </c>
      <c r="C7225" s="4" t="s">
        <v>463</v>
      </c>
      <c r="D7225" s="4"/>
      <c r="E7225" s="4"/>
      <c r="F7225" s="4" t="s">
        <v>3467</v>
      </c>
      <c r="G7225" s="4" t="s">
        <v>336</v>
      </c>
      <c r="H7225" s="4" t="s">
        <v>289</v>
      </c>
      <c r="I7225" s="4">
        <v>0.1125</v>
      </c>
      <c r="J7225" s="21">
        <v>400</v>
      </c>
      <c r="K7225" s="21">
        <v>0</v>
      </c>
      <c r="L7225" s="5">
        <v>0</v>
      </c>
      <c r="M7225" s="4"/>
      <c r="N7225" s="4"/>
      <c r="O7225" s="5"/>
      <c r="P7225" s="5"/>
      <c r="Q7225" s="21">
        <v>45</v>
      </c>
      <c r="R7225" s="21">
        <v>0</v>
      </c>
      <c r="S7225" s="5">
        <f t="shared" si="451"/>
        <v>23016.788691288173</v>
      </c>
      <c r="T7225" cm="1">
        <f t="array" ref="T7225">IF(OR(B7225="MAL ALIMI", B7225="ÜRETİM GİRİŞ"), MIN(I7225, MAX(0, I7225 + SUM(SUMIFS($I$1:I7224, $C$1:C7224, C7225, $B$1:B7224, {"MAL ALIMI","ÜRETİM GİRİŞ"})) - VLOOKUP(C7225, 'STOK RAPORU'!$C$2:$I$1000, 4, 0))), 0)</f>
        <v>0</v>
      </c>
      <c r="U7225" s="22">
        <f t="shared" si="452"/>
        <v>0</v>
      </c>
      <c r="V7225">
        <f t="shared" si="453"/>
        <v>0</v>
      </c>
      <c r="W7225" s="22">
        <f t="shared" si="454"/>
        <v>0</v>
      </c>
    </row>
    <row r="7226" spans="1:23" hidden="1" x14ac:dyDescent="0.25">
      <c r="A7226" s="3">
        <v>46161</v>
      </c>
      <c r="B7226" s="46" t="s">
        <v>334</v>
      </c>
      <c r="C7226" s="4" t="s">
        <v>1151</v>
      </c>
      <c r="D7226" s="4"/>
      <c r="E7226" s="4"/>
      <c r="F7226" s="4" t="s">
        <v>3467</v>
      </c>
      <c r="G7226" s="4" t="s">
        <v>336</v>
      </c>
      <c r="H7226" s="4" t="s">
        <v>289</v>
      </c>
      <c r="I7226" s="4">
        <v>0.125</v>
      </c>
      <c r="J7226" s="21">
        <v>400</v>
      </c>
      <c r="K7226" s="21">
        <v>0</v>
      </c>
      <c r="L7226" s="5">
        <v>0</v>
      </c>
      <c r="M7226" s="4"/>
      <c r="N7226" s="4"/>
      <c r="O7226" s="5"/>
      <c r="P7226" s="5"/>
      <c r="Q7226" s="21">
        <v>50</v>
      </c>
      <c r="R7226" s="21">
        <v>0</v>
      </c>
      <c r="S7226" s="5">
        <f t="shared" si="451"/>
        <v>23066.788691288173</v>
      </c>
      <c r="T7226" cm="1">
        <f t="array" ref="T7226">IF(OR(B7226="MAL ALIMI", B7226="ÜRETİM GİRİŞ"), MIN(I7226, MAX(0, I7226 + SUM(SUMIFS($I$1:I7225, $C$1:C7225, C7226, $B$1:B7225, {"MAL ALIMI","ÜRETİM GİRİŞ"})) - VLOOKUP(C7226, 'STOK RAPORU'!$C$2:$I$1000, 4, 0))), 0)</f>
        <v>0</v>
      </c>
      <c r="U7226" s="22">
        <f t="shared" si="452"/>
        <v>0</v>
      </c>
      <c r="V7226">
        <f t="shared" si="453"/>
        <v>0</v>
      </c>
      <c r="W7226" s="22">
        <f t="shared" si="454"/>
        <v>0</v>
      </c>
    </row>
    <row r="7227" spans="1:23" hidden="1" x14ac:dyDescent="0.25">
      <c r="A7227" s="3">
        <v>46161</v>
      </c>
      <c r="B7227" s="46" t="s">
        <v>334</v>
      </c>
      <c r="C7227" s="4" t="s">
        <v>140</v>
      </c>
      <c r="D7227" s="4"/>
      <c r="E7227" s="4"/>
      <c r="F7227" s="4" t="s">
        <v>3468</v>
      </c>
      <c r="G7227" s="4" t="s">
        <v>336</v>
      </c>
      <c r="H7227" s="4" t="s">
        <v>289</v>
      </c>
      <c r="I7227" s="4">
        <v>0.16666666666666666</v>
      </c>
      <c r="J7227" s="21">
        <v>300</v>
      </c>
      <c r="K7227" s="21">
        <v>0</v>
      </c>
      <c r="L7227" s="5">
        <v>0</v>
      </c>
      <c r="M7227" s="4"/>
      <c r="N7227" s="4"/>
      <c r="O7227" s="5"/>
      <c r="P7227" s="5"/>
      <c r="Q7227" s="21">
        <v>50</v>
      </c>
      <c r="R7227" s="21">
        <v>0</v>
      </c>
      <c r="S7227" s="5">
        <f t="shared" si="451"/>
        <v>23116.788691288173</v>
      </c>
      <c r="T7227" cm="1">
        <f t="array" ref="T7227">IF(OR(B7227="MAL ALIMI", B7227="ÜRETİM GİRİŞ"), MIN(I7227, MAX(0, I7227 + SUM(SUMIFS($I$1:I7226, $C$1:C7226, C7227, $B$1:B7226, {"MAL ALIMI","ÜRETİM GİRİŞ"})) - VLOOKUP(C7227, 'STOK RAPORU'!$C$2:$I$1000, 4, 0))), 0)</f>
        <v>0</v>
      </c>
      <c r="U7227" s="22">
        <f t="shared" si="452"/>
        <v>0</v>
      </c>
      <c r="V7227">
        <f t="shared" si="453"/>
        <v>0</v>
      </c>
      <c r="W7227" s="22">
        <f t="shared" si="454"/>
        <v>0</v>
      </c>
    </row>
    <row r="7228" spans="1:23" hidden="1" x14ac:dyDescent="0.25">
      <c r="A7228" s="3">
        <v>46161</v>
      </c>
      <c r="B7228" s="46" t="s">
        <v>334</v>
      </c>
      <c r="C7228" s="4" t="s">
        <v>529</v>
      </c>
      <c r="D7228" s="4"/>
      <c r="E7228" s="4"/>
      <c r="F7228" s="4" t="s">
        <v>3469</v>
      </c>
      <c r="G7228" s="4" t="s">
        <v>336</v>
      </c>
      <c r="H7228" s="4" t="s">
        <v>289</v>
      </c>
      <c r="I7228" s="4">
        <v>0.1</v>
      </c>
      <c r="J7228" s="21">
        <v>600</v>
      </c>
      <c r="K7228" s="21">
        <v>0</v>
      </c>
      <c r="L7228" s="5">
        <v>0</v>
      </c>
      <c r="M7228" s="4"/>
      <c r="N7228" s="4"/>
      <c r="O7228" s="5"/>
      <c r="P7228" s="5"/>
      <c r="Q7228" s="21">
        <v>60</v>
      </c>
      <c r="R7228" s="21">
        <v>0</v>
      </c>
      <c r="S7228" s="5">
        <f t="shared" si="451"/>
        <v>23176.788691288173</v>
      </c>
      <c r="T7228" cm="1">
        <f t="array" ref="T7228">IF(OR(B7228="MAL ALIMI", B7228="ÜRETİM GİRİŞ"), MIN(I7228, MAX(0, I7228 + SUM(SUMIFS($I$1:I7227, $C$1:C7227, C7228, $B$1:B7227, {"MAL ALIMI","ÜRETİM GİRİŞ"})) - VLOOKUP(C7228, 'STOK RAPORU'!$C$2:$I$1000, 4, 0))), 0)</f>
        <v>0</v>
      </c>
      <c r="U7228" s="22">
        <f t="shared" si="452"/>
        <v>0</v>
      </c>
      <c r="V7228">
        <f t="shared" si="453"/>
        <v>0</v>
      </c>
      <c r="W7228" s="22">
        <f t="shared" si="454"/>
        <v>0</v>
      </c>
    </row>
    <row r="7229" spans="1:23" hidden="1" x14ac:dyDescent="0.25">
      <c r="A7229" s="3">
        <v>46161</v>
      </c>
      <c r="B7229" s="46" t="s">
        <v>334</v>
      </c>
      <c r="C7229" s="4" t="s">
        <v>160</v>
      </c>
      <c r="D7229" s="4"/>
      <c r="E7229" s="4" t="s">
        <v>921</v>
      </c>
      <c r="F7229" s="4" t="s">
        <v>3470</v>
      </c>
      <c r="G7229" s="4" t="s">
        <v>336</v>
      </c>
      <c r="H7229" s="4" t="s">
        <v>380</v>
      </c>
      <c r="I7229" s="4">
        <v>1</v>
      </c>
      <c r="J7229" s="21">
        <v>250</v>
      </c>
      <c r="K7229" s="21">
        <v>250</v>
      </c>
      <c r="L7229" s="5">
        <v>0</v>
      </c>
      <c r="M7229" s="4"/>
      <c r="N7229" s="4"/>
      <c r="O7229" s="5"/>
      <c r="P7229" s="5"/>
      <c r="Q7229" s="21">
        <v>0</v>
      </c>
      <c r="R7229" s="21">
        <v>0</v>
      </c>
      <c r="S7229" s="5">
        <f t="shared" si="451"/>
        <v>23176.788691288173</v>
      </c>
      <c r="T7229" cm="1">
        <f t="array" ref="T7229">IF(OR(B7229="MAL ALIMI", B7229="ÜRETİM GİRİŞ"), MIN(I7229, MAX(0, I7229 + SUM(SUMIFS($I$1:I7228, $C$1:C7228, C7229, $B$1:B7228, {"MAL ALIMI","ÜRETİM GİRİŞ"})) - VLOOKUP(C7229, 'STOK RAPORU'!$C$2:$I$1000, 4, 0))), 0)</f>
        <v>0</v>
      </c>
      <c r="U7229" s="22">
        <f t="shared" si="452"/>
        <v>0</v>
      </c>
      <c r="V7229">
        <f t="shared" si="453"/>
        <v>0</v>
      </c>
      <c r="W7229" s="22">
        <f t="shared" si="454"/>
        <v>0</v>
      </c>
    </row>
    <row r="7230" spans="1:23" hidden="1" x14ac:dyDescent="0.25">
      <c r="A7230" s="3">
        <v>46161</v>
      </c>
      <c r="B7230" s="46" t="s">
        <v>334</v>
      </c>
      <c r="C7230" s="4" t="s">
        <v>161</v>
      </c>
      <c r="D7230" s="4"/>
      <c r="E7230" s="4" t="s">
        <v>921</v>
      </c>
      <c r="F7230" s="4" t="s">
        <v>3470</v>
      </c>
      <c r="G7230" s="4" t="s">
        <v>336</v>
      </c>
      <c r="H7230" s="4" t="s">
        <v>380</v>
      </c>
      <c r="I7230" s="4">
        <v>1</v>
      </c>
      <c r="J7230" s="21">
        <v>250</v>
      </c>
      <c r="K7230" s="21">
        <v>250</v>
      </c>
      <c r="L7230" s="5">
        <v>0</v>
      </c>
      <c r="M7230" s="4"/>
      <c r="N7230" s="4"/>
      <c r="O7230" s="5"/>
      <c r="P7230" s="5"/>
      <c r="Q7230" s="21">
        <v>0</v>
      </c>
      <c r="R7230" s="21">
        <v>0</v>
      </c>
      <c r="S7230" s="5">
        <f t="shared" si="451"/>
        <v>23176.788691288173</v>
      </c>
      <c r="T7230" cm="1">
        <f t="array" ref="T7230">IF(OR(B7230="MAL ALIMI", B7230="ÜRETİM GİRİŞ"), MIN(I7230, MAX(0, I7230 + SUM(SUMIFS($I$1:I7229, $C$1:C7229, C7230, $B$1:B7229, {"MAL ALIMI","ÜRETİM GİRİŞ"})) - VLOOKUP(C7230, 'STOK RAPORU'!$C$2:$I$1000, 4, 0))), 0)</f>
        <v>0</v>
      </c>
      <c r="U7230" s="22">
        <f t="shared" si="452"/>
        <v>0</v>
      </c>
      <c r="V7230">
        <f t="shared" si="453"/>
        <v>0</v>
      </c>
      <c r="W7230" s="22">
        <f t="shared" si="454"/>
        <v>0</v>
      </c>
    </row>
    <row r="7231" spans="1:23" hidden="1" x14ac:dyDescent="0.25">
      <c r="A7231" s="3">
        <v>46161</v>
      </c>
      <c r="B7231" s="46" t="s">
        <v>334</v>
      </c>
      <c r="C7231" s="4" t="s">
        <v>523</v>
      </c>
      <c r="D7231" s="4"/>
      <c r="E7231" s="4" t="s">
        <v>921</v>
      </c>
      <c r="F7231" s="4" t="s">
        <v>3470</v>
      </c>
      <c r="G7231" s="4" t="s">
        <v>336</v>
      </c>
      <c r="H7231" s="4" t="s">
        <v>380</v>
      </c>
      <c r="I7231" s="4">
        <v>0.08</v>
      </c>
      <c r="J7231" s="21">
        <v>750</v>
      </c>
      <c r="K7231" s="21">
        <v>60</v>
      </c>
      <c r="L7231" s="5">
        <v>0</v>
      </c>
      <c r="M7231" s="4"/>
      <c r="N7231" s="4"/>
      <c r="O7231" s="5"/>
      <c r="P7231" s="5"/>
      <c r="Q7231" s="21">
        <v>0</v>
      </c>
      <c r="R7231" s="21">
        <v>0</v>
      </c>
      <c r="S7231" s="5">
        <f t="shared" si="451"/>
        <v>23176.788691288173</v>
      </c>
      <c r="T7231" cm="1">
        <f t="array" ref="T7231">IF(OR(B7231="MAL ALIMI", B7231="ÜRETİM GİRİŞ"), MIN(I7231, MAX(0, I7231 + SUM(SUMIFS($I$1:I7230, $C$1:C7230, C7231, $B$1:B7230, {"MAL ALIMI","ÜRETİM GİRİŞ"})) - VLOOKUP(C7231, 'STOK RAPORU'!$C$2:$I$1000, 4, 0))), 0)</f>
        <v>0</v>
      </c>
      <c r="U7231" s="22">
        <f t="shared" si="452"/>
        <v>0</v>
      </c>
      <c r="V7231">
        <f t="shared" si="453"/>
        <v>0</v>
      </c>
      <c r="W7231" s="22">
        <f t="shared" si="454"/>
        <v>0</v>
      </c>
    </row>
    <row r="7232" spans="1:23" hidden="1" x14ac:dyDescent="0.25">
      <c r="A7232" s="3">
        <v>46161</v>
      </c>
      <c r="B7232" s="46" t="s">
        <v>334</v>
      </c>
      <c r="C7232" s="4" t="s">
        <v>1024</v>
      </c>
      <c r="D7232" s="4"/>
      <c r="E7232" s="4"/>
      <c r="F7232" s="4" t="s">
        <v>3471</v>
      </c>
      <c r="G7232" s="4" t="s">
        <v>336</v>
      </c>
      <c r="H7232" s="4" t="s">
        <v>289</v>
      </c>
      <c r="I7232" s="4">
        <v>2.1538461538461537</v>
      </c>
      <c r="J7232" s="21">
        <v>60.5</v>
      </c>
      <c r="K7232" s="21">
        <v>0</v>
      </c>
      <c r="L7232" s="5">
        <v>0</v>
      </c>
      <c r="M7232" s="4"/>
      <c r="N7232" s="4"/>
      <c r="O7232" s="5"/>
      <c r="P7232" s="5"/>
      <c r="Q7232" s="21">
        <v>130.30769230769229</v>
      </c>
      <c r="R7232" s="21">
        <v>0</v>
      </c>
      <c r="S7232" s="5">
        <f t="shared" si="451"/>
        <v>23307.096383595865</v>
      </c>
      <c r="T7232" cm="1">
        <f t="array" ref="T7232">IF(OR(B7232="MAL ALIMI", B7232="ÜRETİM GİRİŞ"), MIN(I7232, MAX(0, I7232 + SUM(SUMIFS($I$1:I7231, $C$1:C7231, C7232, $B$1:B7231, {"MAL ALIMI","ÜRETİM GİRİŞ"})) - VLOOKUP(C7232, 'STOK RAPORU'!$C$2:$I$1000, 4, 0))), 0)</f>
        <v>0</v>
      </c>
      <c r="U7232" s="22">
        <f t="shared" si="452"/>
        <v>0</v>
      </c>
      <c r="V7232">
        <f t="shared" si="453"/>
        <v>0</v>
      </c>
      <c r="W7232" s="22">
        <f t="shared" si="454"/>
        <v>0</v>
      </c>
    </row>
    <row r="7233" spans="1:23" hidden="1" x14ac:dyDescent="0.25">
      <c r="A7233" s="3">
        <v>46161</v>
      </c>
      <c r="B7233" s="46" t="s">
        <v>334</v>
      </c>
      <c r="C7233" s="4" t="s">
        <v>463</v>
      </c>
      <c r="D7233" s="4"/>
      <c r="E7233" s="4"/>
      <c r="F7233" s="4" t="s">
        <v>3471</v>
      </c>
      <c r="G7233" s="4" t="s">
        <v>336</v>
      </c>
      <c r="H7233" s="4" t="s">
        <v>289</v>
      </c>
      <c r="I7233" s="4">
        <v>0.35249999999999998</v>
      </c>
      <c r="J7233" s="21">
        <v>400</v>
      </c>
      <c r="K7233" s="21">
        <v>0</v>
      </c>
      <c r="L7233" s="5">
        <v>0</v>
      </c>
      <c r="M7233" s="4"/>
      <c r="N7233" s="4"/>
      <c r="O7233" s="5"/>
      <c r="P7233" s="5"/>
      <c r="Q7233" s="21">
        <v>141</v>
      </c>
      <c r="R7233" s="21">
        <v>0</v>
      </c>
      <c r="S7233" s="5">
        <f t="shared" si="451"/>
        <v>23448.096383595865</v>
      </c>
      <c r="T7233" cm="1">
        <f t="array" ref="T7233">IF(OR(B7233="MAL ALIMI", B7233="ÜRETİM GİRİŞ"), MIN(I7233, MAX(0, I7233 + SUM(SUMIFS($I$1:I7232, $C$1:C7232, C7233, $B$1:B7232, {"MAL ALIMI","ÜRETİM GİRİŞ"})) - VLOOKUP(C7233, 'STOK RAPORU'!$C$2:$I$1000, 4, 0))), 0)</f>
        <v>0</v>
      </c>
      <c r="U7233" s="22">
        <f t="shared" si="452"/>
        <v>0</v>
      </c>
      <c r="V7233">
        <f t="shared" si="453"/>
        <v>0</v>
      </c>
      <c r="W7233" s="22">
        <f t="shared" si="454"/>
        <v>0</v>
      </c>
    </row>
    <row r="7234" spans="1:23" hidden="1" x14ac:dyDescent="0.25">
      <c r="A7234" s="3">
        <v>46161</v>
      </c>
      <c r="B7234" s="46" t="s">
        <v>334</v>
      </c>
      <c r="C7234" s="4" t="s">
        <v>2520</v>
      </c>
      <c r="D7234" s="4"/>
      <c r="E7234" s="4"/>
      <c r="F7234" s="4" t="s">
        <v>3471</v>
      </c>
      <c r="G7234" s="4" t="s">
        <v>336</v>
      </c>
      <c r="H7234" s="4" t="s">
        <v>289</v>
      </c>
      <c r="I7234" s="4">
        <v>0.44363636363636366</v>
      </c>
      <c r="J7234" s="21">
        <v>550</v>
      </c>
      <c r="K7234" s="21">
        <v>0</v>
      </c>
      <c r="L7234" s="5">
        <v>0</v>
      </c>
      <c r="M7234" s="4"/>
      <c r="N7234" s="4"/>
      <c r="O7234" s="5"/>
      <c r="P7234" s="5"/>
      <c r="Q7234" s="21">
        <v>244</v>
      </c>
      <c r="R7234" s="21">
        <v>0</v>
      </c>
      <c r="S7234" s="5">
        <f t="shared" si="451"/>
        <v>23692.096383595865</v>
      </c>
      <c r="T7234" cm="1">
        <f t="array" ref="T7234">IF(OR(B7234="MAL ALIMI", B7234="ÜRETİM GİRİŞ"), MIN(I7234, MAX(0, I7234 + SUM(SUMIFS($I$1:I7233, $C$1:C7233, C7234, $B$1:B7233, {"MAL ALIMI","ÜRETİM GİRİŞ"})) - VLOOKUP(C7234, 'STOK RAPORU'!$C$2:$I$1000, 4, 0))), 0)</f>
        <v>0</v>
      </c>
      <c r="U7234" s="22">
        <f t="shared" si="452"/>
        <v>0</v>
      </c>
      <c r="V7234">
        <f t="shared" si="453"/>
        <v>0</v>
      </c>
      <c r="W7234" s="22">
        <f t="shared" si="454"/>
        <v>0</v>
      </c>
    </row>
    <row r="7235" spans="1:23" hidden="1" x14ac:dyDescent="0.25">
      <c r="A7235" s="3">
        <v>46161</v>
      </c>
      <c r="B7235" s="46" t="s">
        <v>334</v>
      </c>
      <c r="C7235" s="4" t="s">
        <v>3382</v>
      </c>
      <c r="D7235" s="4"/>
      <c r="E7235" s="4"/>
      <c r="F7235" s="4" t="s">
        <v>3471</v>
      </c>
      <c r="G7235" s="4" t="s">
        <v>336</v>
      </c>
      <c r="H7235" s="4" t="s">
        <v>289</v>
      </c>
      <c r="I7235" s="4">
        <v>0.3</v>
      </c>
      <c r="J7235" s="21">
        <v>283.33999999999997</v>
      </c>
      <c r="K7235" s="21">
        <v>0</v>
      </c>
      <c r="L7235" s="5">
        <v>0</v>
      </c>
      <c r="M7235" s="4"/>
      <c r="N7235" s="4"/>
      <c r="O7235" s="5"/>
      <c r="P7235" s="5"/>
      <c r="Q7235" s="21">
        <v>85.001999999999995</v>
      </c>
      <c r="R7235" s="21">
        <v>0</v>
      </c>
      <c r="S7235" s="5">
        <f t="shared" si="451"/>
        <v>23777.098383595865</v>
      </c>
      <c r="T7235" cm="1">
        <f t="array" ref="T7235">IF(OR(B7235="MAL ALIMI", B7235="ÜRETİM GİRİŞ"), MIN(I7235, MAX(0, I7235 + SUM(SUMIFS($I$1:I7234, $C$1:C7234, C7235, $B$1:B7234, {"MAL ALIMI","ÜRETİM GİRİŞ"})) - VLOOKUP(C7235, 'STOK RAPORU'!$C$2:$I$1000, 4, 0))), 0)</f>
        <v>0</v>
      </c>
      <c r="U7235" s="22">
        <f t="shared" si="452"/>
        <v>0</v>
      </c>
      <c r="V7235">
        <f t="shared" si="453"/>
        <v>0</v>
      </c>
      <c r="W7235" s="22">
        <f t="shared" si="454"/>
        <v>0</v>
      </c>
    </row>
    <row r="7236" spans="1:23" hidden="1" x14ac:dyDescent="0.25">
      <c r="A7236" s="3">
        <v>46161</v>
      </c>
      <c r="B7236" s="46" t="s">
        <v>334</v>
      </c>
      <c r="C7236" s="4" t="s">
        <v>3158</v>
      </c>
      <c r="D7236" s="4"/>
      <c r="E7236" s="4" t="s">
        <v>921</v>
      </c>
      <c r="F7236" s="4" t="s">
        <v>3472</v>
      </c>
      <c r="G7236" s="4" t="s">
        <v>336</v>
      </c>
      <c r="H7236" s="4" t="s">
        <v>380</v>
      </c>
      <c r="I7236" s="4">
        <v>1</v>
      </c>
      <c r="J7236" s="21">
        <v>200</v>
      </c>
      <c r="K7236" s="21">
        <v>200</v>
      </c>
      <c r="L7236" s="5">
        <v>0</v>
      </c>
      <c r="M7236" s="4"/>
      <c r="N7236" s="4"/>
      <c r="O7236" s="5"/>
      <c r="P7236" s="5"/>
      <c r="Q7236" s="21">
        <v>0</v>
      </c>
      <c r="R7236" s="21">
        <v>0</v>
      </c>
      <c r="S7236" s="5">
        <f t="shared" ref="S7236:S7299" si="455">S7235+Q7236-R7236</f>
        <v>23777.098383595865</v>
      </c>
      <c r="T7236" cm="1">
        <f t="array" ref="T7236">IF(OR(B7236="MAL ALIMI", B7236="ÜRETİM GİRİŞ"), MIN(I7236, MAX(0, I7236 + SUM(SUMIFS($I$1:I7235, $C$1:C7235, C7236, $B$1:B7235, {"MAL ALIMI","ÜRETİM GİRİŞ"})) - VLOOKUP(C7236, 'STOK RAPORU'!$C$2:$I$1000, 4, 0))), 0)</f>
        <v>0</v>
      </c>
      <c r="U7236" s="22">
        <f t="shared" si="452"/>
        <v>0</v>
      </c>
      <c r="V7236">
        <f t="shared" si="453"/>
        <v>0</v>
      </c>
      <c r="W7236" s="22">
        <f t="shared" si="454"/>
        <v>0</v>
      </c>
    </row>
    <row r="7237" spans="1:23" hidden="1" x14ac:dyDescent="0.25">
      <c r="A7237" s="3">
        <v>46161</v>
      </c>
      <c r="B7237" s="46" t="s">
        <v>334</v>
      </c>
      <c r="C7237" s="4" t="s">
        <v>60</v>
      </c>
      <c r="D7237" s="4"/>
      <c r="E7237" s="4" t="s">
        <v>921</v>
      </c>
      <c r="F7237" s="4" t="s">
        <v>3472</v>
      </c>
      <c r="G7237" s="4" t="s">
        <v>336</v>
      </c>
      <c r="H7237" s="4" t="s">
        <v>380</v>
      </c>
      <c r="I7237" s="4">
        <v>0.05</v>
      </c>
      <c r="J7237" s="21">
        <v>1200</v>
      </c>
      <c r="K7237" s="21">
        <v>60</v>
      </c>
      <c r="L7237" s="5">
        <v>0</v>
      </c>
      <c r="M7237" s="4"/>
      <c r="N7237" s="4"/>
      <c r="O7237" s="5"/>
      <c r="P7237" s="5"/>
      <c r="Q7237" s="21">
        <v>0</v>
      </c>
      <c r="R7237" s="21">
        <v>0</v>
      </c>
      <c r="S7237" s="5">
        <f t="shared" si="455"/>
        <v>23777.098383595865</v>
      </c>
      <c r="T7237" cm="1">
        <f t="array" ref="T7237">IF(OR(B7237="MAL ALIMI", B7237="ÜRETİM GİRİŞ"), MIN(I7237, MAX(0, I7237 + SUM(SUMIFS($I$1:I7236, $C$1:C7236, C7237, $B$1:B7236, {"MAL ALIMI","ÜRETİM GİRİŞ"})) - VLOOKUP(C7237, 'STOK RAPORU'!$C$2:$I$1000, 4, 0))), 0)</f>
        <v>0</v>
      </c>
      <c r="U7237" s="22">
        <f t="shared" si="452"/>
        <v>0</v>
      </c>
      <c r="V7237">
        <f t="shared" si="453"/>
        <v>0</v>
      </c>
      <c r="W7237" s="22">
        <f t="shared" si="454"/>
        <v>0</v>
      </c>
    </row>
    <row r="7238" spans="1:23" hidden="1" x14ac:dyDescent="0.25">
      <c r="A7238" s="3">
        <v>46161</v>
      </c>
      <c r="B7238" s="46" t="s">
        <v>334</v>
      </c>
      <c r="C7238" s="4" t="s">
        <v>240</v>
      </c>
      <c r="D7238" s="4"/>
      <c r="E7238" s="4" t="s">
        <v>921</v>
      </c>
      <c r="F7238" s="4" t="s">
        <v>3472</v>
      </c>
      <c r="G7238" s="4" t="s">
        <v>336</v>
      </c>
      <c r="H7238" s="4" t="s">
        <v>380</v>
      </c>
      <c r="I7238" s="4">
        <v>8.3333333333333329E-2</v>
      </c>
      <c r="J7238" s="21">
        <v>240</v>
      </c>
      <c r="K7238" s="21">
        <v>20</v>
      </c>
      <c r="L7238" s="5">
        <v>0</v>
      </c>
      <c r="M7238" s="4"/>
      <c r="N7238" s="4"/>
      <c r="O7238" s="5"/>
      <c r="P7238" s="5"/>
      <c r="Q7238" s="21">
        <v>0</v>
      </c>
      <c r="R7238" s="21">
        <v>0</v>
      </c>
      <c r="S7238" s="5">
        <f t="shared" si="455"/>
        <v>23777.098383595865</v>
      </c>
      <c r="T7238" cm="1">
        <f t="array" ref="T7238">IF(OR(B7238="MAL ALIMI", B7238="ÜRETİM GİRİŞ"), MIN(I7238, MAX(0, I7238 + SUM(SUMIFS($I$1:I7237, $C$1:C7237, C7238, $B$1:B7237, {"MAL ALIMI","ÜRETİM GİRİŞ"})) - VLOOKUP(C7238, 'STOK RAPORU'!$C$2:$I$1000, 4, 0))), 0)</f>
        <v>0</v>
      </c>
      <c r="U7238" s="22">
        <f t="shared" si="452"/>
        <v>0</v>
      </c>
      <c r="V7238">
        <f t="shared" si="453"/>
        <v>0</v>
      </c>
      <c r="W7238" s="22">
        <f t="shared" si="454"/>
        <v>0</v>
      </c>
    </row>
    <row r="7239" spans="1:23" hidden="1" x14ac:dyDescent="0.25">
      <c r="A7239" s="3">
        <v>46161</v>
      </c>
      <c r="B7239" s="46" t="s">
        <v>334</v>
      </c>
      <c r="C7239" s="4" t="s">
        <v>649</v>
      </c>
      <c r="D7239" s="4"/>
      <c r="E7239" s="4" t="s">
        <v>921</v>
      </c>
      <c r="F7239" s="4" t="s">
        <v>3472</v>
      </c>
      <c r="G7239" s="4" t="s">
        <v>336</v>
      </c>
      <c r="H7239" s="4" t="s">
        <v>380</v>
      </c>
      <c r="I7239" s="4">
        <v>1</v>
      </c>
      <c r="J7239" s="21">
        <v>270</v>
      </c>
      <c r="K7239" s="21">
        <v>270</v>
      </c>
      <c r="L7239" s="5">
        <v>0</v>
      </c>
      <c r="M7239" s="4"/>
      <c r="N7239" s="4"/>
      <c r="O7239" s="5"/>
      <c r="P7239" s="5"/>
      <c r="Q7239" s="21">
        <v>0</v>
      </c>
      <c r="R7239" s="21">
        <v>0</v>
      </c>
      <c r="S7239" s="5">
        <f t="shared" si="455"/>
        <v>23777.098383595865</v>
      </c>
      <c r="T7239" cm="1">
        <f t="array" ref="T7239">IF(OR(B7239="MAL ALIMI", B7239="ÜRETİM GİRİŞ"), MIN(I7239, MAX(0, I7239 + SUM(SUMIFS($I$1:I7238, $C$1:C7238, C7239, $B$1:B7238, {"MAL ALIMI","ÜRETİM GİRİŞ"})) - VLOOKUP(C7239, 'STOK RAPORU'!$C$2:$I$1000, 4, 0))), 0)</f>
        <v>0</v>
      </c>
      <c r="U7239" s="22">
        <f t="shared" si="452"/>
        <v>0</v>
      </c>
      <c r="V7239">
        <f t="shared" si="453"/>
        <v>0</v>
      </c>
      <c r="W7239" s="22">
        <f t="shared" si="454"/>
        <v>0</v>
      </c>
    </row>
    <row r="7240" spans="1:23" hidden="1" x14ac:dyDescent="0.25">
      <c r="A7240" s="3">
        <v>46161</v>
      </c>
      <c r="B7240" s="46" t="s">
        <v>334</v>
      </c>
      <c r="C7240" s="4" t="s">
        <v>2284</v>
      </c>
      <c r="D7240" s="4"/>
      <c r="E7240" s="4"/>
      <c r="F7240" s="4" t="s">
        <v>3473</v>
      </c>
      <c r="G7240" s="4" t="s">
        <v>336</v>
      </c>
      <c r="H7240" s="4" t="s">
        <v>289</v>
      </c>
      <c r="I7240" s="4">
        <v>2</v>
      </c>
      <c r="J7240" s="21">
        <v>65</v>
      </c>
      <c r="K7240" s="21">
        <v>0</v>
      </c>
      <c r="L7240" s="5">
        <v>0</v>
      </c>
      <c r="M7240" s="4"/>
      <c r="N7240" s="4"/>
      <c r="O7240" s="5"/>
      <c r="P7240" s="5"/>
      <c r="Q7240" s="21">
        <v>130</v>
      </c>
      <c r="R7240" s="21">
        <v>0</v>
      </c>
      <c r="S7240" s="5">
        <f t="shared" si="455"/>
        <v>23907.098383595865</v>
      </c>
      <c r="T7240" cm="1">
        <f t="array" ref="T7240">IF(OR(B7240="MAL ALIMI", B7240="ÜRETİM GİRİŞ"), MIN(I7240, MAX(0, I7240 + SUM(SUMIFS($I$1:I7239, $C$1:C7239, C7240, $B$1:B7239, {"MAL ALIMI","ÜRETİM GİRİŞ"})) - VLOOKUP(C7240, 'STOK RAPORU'!$C$2:$I$1000, 4, 0))), 0)</f>
        <v>0</v>
      </c>
      <c r="U7240" s="22">
        <f t="shared" si="452"/>
        <v>0</v>
      </c>
      <c r="V7240">
        <f t="shared" si="453"/>
        <v>0</v>
      </c>
      <c r="W7240" s="22">
        <f t="shared" si="454"/>
        <v>0</v>
      </c>
    </row>
    <row r="7241" spans="1:23" hidden="1" x14ac:dyDescent="0.25">
      <c r="A7241" s="3">
        <v>46161</v>
      </c>
      <c r="B7241" s="4" t="s">
        <v>946</v>
      </c>
      <c r="C7241" s="4"/>
      <c r="D7241" s="4"/>
      <c r="E7241" s="4" t="s">
        <v>921</v>
      </c>
      <c r="F7241" s="4"/>
      <c r="G7241" s="4" t="s">
        <v>946</v>
      </c>
      <c r="H7241" s="4" t="s">
        <v>380</v>
      </c>
      <c r="I7241" s="4">
        <v>1</v>
      </c>
      <c r="J7241" s="21">
        <v>500</v>
      </c>
      <c r="K7241" s="21">
        <v>0</v>
      </c>
      <c r="L7241" s="32">
        <v>500</v>
      </c>
      <c r="M7241" s="4"/>
      <c r="N7241" s="4"/>
      <c r="O7241" s="5"/>
      <c r="P7241" s="5"/>
      <c r="Q7241" s="21">
        <v>500</v>
      </c>
      <c r="R7241" s="21">
        <v>0</v>
      </c>
      <c r="S7241" s="5">
        <f t="shared" si="455"/>
        <v>24407.098383595865</v>
      </c>
      <c r="T7241" cm="1">
        <f t="array" ref="T7241">IF(OR(B7241="MAL ALIMI", B7241="ÜRETİM GİRİŞ"), MIN(I7241, MAX(0, I7241 + SUM(SUMIFS($I$1:I7240, $C$1:C7240, C7241, $B$1:B7240, {"MAL ALIMI","ÜRETİM GİRİŞ"})) - VLOOKUP(C7241, 'STOK RAPORU'!$C$2:$I$1000, 4, 0))), 0)</f>
        <v>0</v>
      </c>
      <c r="U7241" s="22">
        <f t="shared" si="452"/>
        <v>0</v>
      </c>
      <c r="V7241">
        <f t="shared" si="453"/>
        <v>0</v>
      </c>
      <c r="W7241" s="22">
        <f t="shared" si="454"/>
        <v>0</v>
      </c>
    </row>
    <row r="7242" spans="1:23" hidden="1" x14ac:dyDescent="0.25">
      <c r="A7242" s="3">
        <v>46162</v>
      </c>
      <c r="B7242" s="46" t="s">
        <v>334</v>
      </c>
      <c r="C7242" s="4" t="s">
        <v>166</v>
      </c>
      <c r="D7242" s="4"/>
      <c r="E7242" s="4"/>
      <c r="F7242" s="4" t="s">
        <v>3475</v>
      </c>
      <c r="G7242" s="4" t="s">
        <v>336</v>
      </c>
      <c r="H7242" s="4" t="s">
        <v>289</v>
      </c>
      <c r="I7242" s="4">
        <v>3.4000000000000002E-2</v>
      </c>
      <c r="J7242" s="21">
        <v>600</v>
      </c>
      <c r="K7242" s="21">
        <v>0</v>
      </c>
      <c r="L7242" s="5">
        <v>0</v>
      </c>
      <c r="M7242" s="4"/>
      <c r="N7242" s="4"/>
      <c r="O7242" s="5"/>
      <c r="P7242" s="5"/>
      <c r="Q7242" s="21">
        <v>20.400000000000002</v>
      </c>
      <c r="R7242" s="21">
        <v>0</v>
      </c>
      <c r="S7242" s="5">
        <f t="shared" si="455"/>
        <v>24427.498383595866</v>
      </c>
      <c r="T7242" cm="1">
        <f t="array" ref="T7242">IF(OR(B7242="MAL ALIMI", B7242="ÜRETİM GİRİŞ"), MIN(I7242, MAX(0, I7242 + SUM(SUMIFS($I$1:I7241, $C$1:C7241, C7242, $B$1:B7241, {"MAL ALIMI","ÜRETİM GİRİŞ"})) - VLOOKUP(C7242, 'STOK RAPORU'!$C$2:$I$1000, 4, 0))), 0)</f>
        <v>0</v>
      </c>
      <c r="U7242" s="22">
        <f t="shared" si="452"/>
        <v>0</v>
      </c>
      <c r="V7242">
        <f t="shared" si="453"/>
        <v>0</v>
      </c>
      <c r="W7242" s="22">
        <f t="shared" si="454"/>
        <v>0</v>
      </c>
    </row>
    <row r="7243" spans="1:23" hidden="1" x14ac:dyDescent="0.25">
      <c r="A7243" s="3">
        <v>46162</v>
      </c>
      <c r="B7243" s="46" t="s">
        <v>334</v>
      </c>
      <c r="C7243" s="4" t="s">
        <v>192</v>
      </c>
      <c r="D7243" s="4"/>
      <c r="E7243" s="4" t="s">
        <v>921</v>
      </c>
      <c r="F7243" s="4" t="s">
        <v>3476</v>
      </c>
      <c r="G7243" s="4" t="s">
        <v>336</v>
      </c>
      <c r="H7243" s="4" t="s">
        <v>380</v>
      </c>
      <c r="I7243" s="4">
        <v>0.11990407673860912</v>
      </c>
      <c r="J7243" s="21">
        <v>417</v>
      </c>
      <c r="K7243" s="21">
        <v>50</v>
      </c>
      <c r="L7243" s="5">
        <v>0</v>
      </c>
      <c r="M7243" s="4"/>
      <c r="N7243" s="4"/>
      <c r="O7243" s="5"/>
      <c r="P7243" s="5"/>
      <c r="Q7243" s="21">
        <v>0</v>
      </c>
      <c r="R7243" s="21">
        <v>0</v>
      </c>
      <c r="S7243" s="5">
        <f t="shared" si="455"/>
        <v>24427.498383595866</v>
      </c>
      <c r="T7243" cm="1">
        <f t="array" ref="T7243">IF(OR(B7243="MAL ALIMI", B7243="ÜRETİM GİRİŞ"), MIN(I7243, MAX(0, I7243 + SUM(SUMIFS($I$1:I7242, $C$1:C7242, C7243, $B$1:B7242, {"MAL ALIMI","ÜRETİM GİRİŞ"})) - VLOOKUP(C7243, 'STOK RAPORU'!$C$2:$I$1000, 4, 0))), 0)</f>
        <v>0</v>
      </c>
      <c r="U7243" s="22">
        <f t="shared" si="452"/>
        <v>0</v>
      </c>
      <c r="V7243">
        <f t="shared" si="453"/>
        <v>0</v>
      </c>
      <c r="W7243" s="22">
        <f t="shared" si="454"/>
        <v>0</v>
      </c>
    </row>
    <row r="7244" spans="1:23" hidden="1" x14ac:dyDescent="0.25">
      <c r="A7244" s="3">
        <v>46162</v>
      </c>
      <c r="B7244" s="46" t="s">
        <v>334</v>
      </c>
      <c r="C7244" s="4" t="s">
        <v>728</v>
      </c>
      <c r="D7244" s="4"/>
      <c r="E7244" s="4" t="s">
        <v>921</v>
      </c>
      <c r="F7244" s="4" t="s">
        <v>3476</v>
      </c>
      <c r="G7244" s="4" t="s">
        <v>336</v>
      </c>
      <c r="H7244" s="4" t="s">
        <v>380</v>
      </c>
      <c r="I7244" s="4">
        <v>0.17076923076923076</v>
      </c>
      <c r="J7244" s="21">
        <v>650</v>
      </c>
      <c r="K7244" s="21">
        <v>110.99999999999999</v>
      </c>
      <c r="L7244" s="5">
        <v>0</v>
      </c>
      <c r="M7244" s="4"/>
      <c r="N7244" s="4"/>
      <c r="O7244" s="5"/>
      <c r="P7244" s="5"/>
      <c r="Q7244" s="21">
        <v>0</v>
      </c>
      <c r="R7244" s="21">
        <v>0</v>
      </c>
      <c r="S7244" s="5">
        <f t="shared" si="455"/>
        <v>24427.498383595866</v>
      </c>
      <c r="T7244" cm="1">
        <f t="array" ref="T7244">IF(OR(B7244="MAL ALIMI", B7244="ÜRETİM GİRİŞ"), MIN(I7244, MAX(0, I7244 + SUM(SUMIFS($I$1:I7243, $C$1:C7243, C7244, $B$1:B7243, {"MAL ALIMI","ÜRETİM GİRİŞ"})) - VLOOKUP(C7244, 'STOK RAPORU'!$C$2:$I$1000, 4, 0))), 0)</f>
        <v>0</v>
      </c>
      <c r="U7244" s="22">
        <f t="shared" si="452"/>
        <v>0</v>
      </c>
      <c r="V7244">
        <f t="shared" si="453"/>
        <v>0</v>
      </c>
      <c r="W7244" s="22">
        <f t="shared" si="454"/>
        <v>0</v>
      </c>
    </row>
    <row r="7245" spans="1:23" hidden="1" x14ac:dyDescent="0.25">
      <c r="A7245" s="3">
        <v>46162</v>
      </c>
      <c r="B7245" s="46" t="s">
        <v>334</v>
      </c>
      <c r="C7245" s="4" t="s">
        <v>199</v>
      </c>
      <c r="D7245" s="4"/>
      <c r="E7245" s="4" t="s">
        <v>921</v>
      </c>
      <c r="F7245" s="4" t="s">
        <v>3476</v>
      </c>
      <c r="G7245" s="4" t="s">
        <v>336</v>
      </c>
      <c r="H7245" s="4" t="s">
        <v>380</v>
      </c>
      <c r="I7245" s="4">
        <v>0.11066666666666666</v>
      </c>
      <c r="J7245" s="21">
        <v>750</v>
      </c>
      <c r="K7245" s="21">
        <v>83</v>
      </c>
      <c r="L7245" s="5">
        <v>0</v>
      </c>
      <c r="M7245" s="4"/>
      <c r="N7245" s="4"/>
      <c r="O7245" s="5"/>
      <c r="P7245" s="5"/>
      <c r="Q7245" s="21">
        <v>0</v>
      </c>
      <c r="R7245" s="21">
        <v>0</v>
      </c>
      <c r="S7245" s="5">
        <f t="shared" si="455"/>
        <v>24427.498383595866</v>
      </c>
      <c r="T7245" cm="1">
        <f t="array" ref="T7245">IF(OR(B7245="MAL ALIMI", B7245="ÜRETİM GİRİŞ"), MIN(I7245, MAX(0, I7245 + SUM(SUMIFS($I$1:I7244, $C$1:C7244, C7245, $B$1:B7244, {"MAL ALIMI","ÜRETİM GİRİŞ"})) - VLOOKUP(C7245, 'STOK RAPORU'!$C$2:$I$1000, 4, 0))), 0)</f>
        <v>0</v>
      </c>
      <c r="U7245" s="22">
        <f t="shared" si="452"/>
        <v>0</v>
      </c>
      <c r="V7245">
        <f t="shared" si="453"/>
        <v>0</v>
      </c>
      <c r="W7245" s="22">
        <f t="shared" si="454"/>
        <v>0</v>
      </c>
    </row>
    <row r="7246" spans="1:23" hidden="1" x14ac:dyDescent="0.25">
      <c r="A7246" s="3">
        <v>46162</v>
      </c>
      <c r="B7246" s="46" t="s">
        <v>334</v>
      </c>
      <c r="C7246" s="4" t="s">
        <v>648</v>
      </c>
      <c r="D7246" s="4"/>
      <c r="E7246" s="4" t="s">
        <v>921</v>
      </c>
      <c r="F7246" s="4" t="s">
        <v>3476</v>
      </c>
      <c r="G7246" s="4" t="s">
        <v>336</v>
      </c>
      <c r="H7246" s="4" t="s">
        <v>380</v>
      </c>
      <c r="I7246" s="4">
        <v>0.15384615384615385</v>
      </c>
      <c r="J7246" s="21">
        <v>650</v>
      </c>
      <c r="K7246" s="21">
        <v>100</v>
      </c>
      <c r="L7246" s="5">
        <v>0</v>
      </c>
      <c r="M7246" s="4"/>
      <c r="N7246" s="4"/>
      <c r="O7246" s="5"/>
      <c r="P7246" s="5"/>
      <c r="Q7246" s="21">
        <v>0</v>
      </c>
      <c r="R7246" s="21">
        <v>0</v>
      </c>
      <c r="S7246" s="5">
        <f t="shared" si="455"/>
        <v>24427.498383595866</v>
      </c>
      <c r="T7246" cm="1">
        <f t="array" ref="T7246">IF(OR(B7246="MAL ALIMI", B7246="ÜRETİM GİRİŞ"), MIN(I7246, MAX(0, I7246 + SUM(SUMIFS($I$1:I7245, $C$1:C7245, C7246, $B$1:B7245, {"MAL ALIMI","ÜRETİM GİRİŞ"})) - VLOOKUP(C7246, 'STOK RAPORU'!$C$2:$I$1000, 4, 0))), 0)</f>
        <v>0</v>
      </c>
      <c r="U7246" s="22">
        <f t="shared" si="452"/>
        <v>0</v>
      </c>
      <c r="V7246">
        <f t="shared" si="453"/>
        <v>0</v>
      </c>
      <c r="W7246" s="22">
        <f t="shared" si="454"/>
        <v>0</v>
      </c>
    </row>
    <row r="7247" spans="1:23" hidden="1" x14ac:dyDescent="0.25">
      <c r="A7247" s="3">
        <v>46162</v>
      </c>
      <c r="B7247" s="46" t="s">
        <v>334</v>
      </c>
      <c r="C7247" s="4" t="s">
        <v>226</v>
      </c>
      <c r="D7247" s="4"/>
      <c r="E7247" s="4"/>
      <c r="F7247" s="4" t="s">
        <v>3477</v>
      </c>
      <c r="G7247" s="4" t="s">
        <v>336</v>
      </c>
      <c r="H7247" s="4" t="s">
        <v>289</v>
      </c>
      <c r="I7247" s="4">
        <v>0.22727272727272727</v>
      </c>
      <c r="J7247" s="21">
        <v>220</v>
      </c>
      <c r="K7247" s="21">
        <v>0</v>
      </c>
      <c r="L7247" s="5">
        <v>0</v>
      </c>
      <c r="M7247" s="4"/>
      <c r="N7247" s="4"/>
      <c r="O7247" s="5"/>
      <c r="P7247" s="5"/>
      <c r="Q7247" s="21">
        <v>50</v>
      </c>
      <c r="R7247" s="21">
        <v>0</v>
      </c>
      <c r="S7247" s="5">
        <f t="shared" si="455"/>
        <v>24477.498383595866</v>
      </c>
      <c r="T7247" cm="1">
        <f t="array" ref="T7247">IF(OR(B7247="MAL ALIMI", B7247="ÜRETİM GİRİŞ"), MIN(I7247, MAX(0, I7247 + SUM(SUMIFS($I$1:I7246, $C$1:C7246, C7247, $B$1:B7246, {"MAL ALIMI","ÜRETİM GİRİŞ"})) - VLOOKUP(C7247, 'STOK RAPORU'!$C$2:$I$1000, 4, 0))), 0)</f>
        <v>0</v>
      </c>
      <c r="U7247" s="22">
        <f t="shared" si="452"/>
        <v>0</v>
      </c>
      <c r="V7247">
        <f t="shared" si="453"/>
        <v>0</v>
      </c>
      <c r="W7247" s="22">
        <f t="shared" si="454"/>
        <v>0</v>
      </c>
    </row>
    <row r="7248" spans="1:23" hidden="1" x14ac:dyDescent="0.25">
      <c r="A7248" s="3">
        <v>46162</v>
      </c>
      <c r="B7248" s="46" t="s">
        <v>334</v>
      </c>
      <c r="C7248" s="4" t="s">
        <v>691</v>
      </c>
      <c r="D7248" s="4"/>
      <c r="E7248" s="4"/>
      <c r="F7248" s="4" t="s">
        <v>3477</v>
      </c>
      <c r="G7248" s="4" t="s">
        <v>336</v>
      </c>
      <c r="H7248" s="4" t="s">
        <v>289</v>
      </c>
      <c r="I7248" s="4">
        <v>0.32608695652173914</v>
      </c>
      <c r="J7248" s="21">
        <v>250</v>
      </c>
      <c r="K7248" s="21">
        <v>0</v>
      </c>
      <c r="L7248" s="5">
        <v>0</v>
      </c>
      <c r="M7248" s="4"/>
      <c r="N7248" s="4"/>
      <c r="O7248" s="5"/>
      <c r="P7248" s="5"/>
      <c r="Q7248" s="21">
        <v>81.521739130434781</v>
      </c>
      <c r="R7248" s="21">
        <v>0</v>
      </c>
      <c r="S7248" s="5">
        <f t="shared" si="455"/>
        <v>24559.020122726302</v>
      </c>
      <c r="T7248" cm="1">
        <f t="array" ref="T7248">IF(OR(B7248="MAL ALIMI", B7248="ÜRETİM GİRİŞ"), MIN(I7248, MAX(0, I7248 + SUM(SUMIFS($I$1:I7247, $C$1:C7247, C7248, $B$1:B7247, {"MAL ALIMI","ÜRETİM GİRİŞ"})) - VLOOKUP(C7248, 'STOK RAPORU'!$C$2:$I$1000, 4, 0))), 0)</f>
        <v>0</v>
      </c>
      <c r="U7248" s="22">
        <f t="shared" si="452"/>
        <v>0</v>
      </c>
      <c r="V7248">
        <f t="shared" si="453"/>
        <v>0</v>
      </c>
      <c r="W7248" s="22">
        <f t="shared" si="454"/>
        <v>0</v>
      </c>
    </row>
    <row r="7249" spans="1:23" hidden="1" x14ac:dyDescent="0.25">
      <c r="A7249" s="3">
        <v>46162</v>
      </c>
      <c r="B7249" s="46" t="s">
        <v>334</v>
      </c>
      <c r="C7249" s="4" t="s">
        <v>254</v>
      </c>
      <c r="D7249" s="4"/>
      <c r="E7249" s="4"/>
      <c r="F7249" s="4" t="s">
        <v>3477</v>
      </c>
      <c r="G7249" s="4" t="s">
        <v>336</v>
      </c>
      <c r="H7249" s="4" t="s">
        <v>289</v>
      </c>
      <c r="I7249" s="4">
        <v>0.21739130434782608</v>
      </c>
      <c r="J7249" s="21">
        <v>230</v>
      </c>
      <c r="K7249" s="21">
        <v>0</v>
      </c>
      <c r="L7249" s="5">
        <v>0</v>
      </c>
      <c r="M7249" s="4"/>
      <c r="N7249" s="4"/>
      <c r="O7249" s="5"/>
      <c r="P7249" s="5"/>
      <c r="Q7249" s="21">
        <v>50</v>
      </c>
      <c r="R7249" s="21">
        <v>0</v>
      </c>
      <c r="S7249" s="5">
        <f t="shared" si="455"/>
        <v>24609.020122726302</v>
      </c>
      <c r="T7249" cm="1">
        <f t="array" ref="T7249">IF(OR(B7249="MAL ALIMI", B7249="ÜRETİM GİRİŞ"), MIN(I7249, MAX(0, I7249 + SUM(SUMIFS($I$1:I7248, $C$1:C7248, C7249, $B$1:B7248, {"MAL ALIMI","ÜRETİM GİRİŞ"})) - VLOOKUP(C7249, 'STOK RAPORU'!$C$2:$I$1000, 4, 0))), 0)</f>
        <v>0</v>
      </c>
      <c r="U7249" s="22">
        <f t="shared" si="452"/>
        <v>0</v>
      </c>
      <c r="V7249">
        <f t="shared" si="453"/>
        <v>0</v>
      </c>
      <c r="W7249" s="22">
        <f t="shared" si="454"/>
        <v>0</v>
      </c>
    </row>
    <row r="7250" spans="1:23" hidden="1" x14ac:dyDescent="0.25">
      <c r="A7250" s="3">
        <v>46162</v>
      </c>
      <c r="B7250" s="46" t="s">
        <v>334</v>
      </c>
      <c r="C7250" s="4" t="s">
        <v>91</v>
      </c>
      <c r="D7250" s="4"/>
      <c r="E7250" s="4"/>
      <c r="F7250" s="4" t="s">
        <v>3477</v>
      </c>
      <c r="G7250" s="4" t="s">
        <v>336</v>
      </c>
      <c r="H7250" s="4" t="s">
        <v>289</v>
      </c>
      <c r="I7250" s="4">
        <v>0.11764705882352941</v>
      </c>
      <c r="J7250" s="21">
        <v>850</v>
      </c>
      <c r="K7250" s="21">
        <v>0</v>
      </c>
      <c r="L7250" s="5">
        <v>0</v>
      </c>
      <c r="M7250" s="4"/>
      <c r="N7250" s="4"/>
      <c r="O7250" s="5"/>
      <c r="P7250" s="5"/>
      <c r="Q7250" s="21">
        <v>100</v>
      </c>
      <c r="R7250" s="21">
        <v>0</v>
      </c>
      <c r="S7250" s="5">
        <f t="shared" si="455"/>
        <v>24709.020122726302</v>
      </c>
      <c r="T7250" cm="1">
        <f t="array" ref="T7250">IF(OR(B7250="MAL ALIMI", B7250="ÜRETİM GİRİŞ"), MIN(I7250, MAX(0, I7250 + SUM(SUMIFS($I$1:I7249, $C$1:C7249, C7250, $B$1:B7249, {"MAL ALIMI","ÜRETİM GİRİŞ"})) - VLOOKUP(C7250, 'STOK RAPORU'!$C$2:$I$1000, 4, 0))), 0)</f>
        <v>0</v>
      </c>
      <c r="U7250" s="22">
        <f t="shared" si="452"/>
        <v>0</v>
      </c>
      <c r="V7250">
        <f t="shared" si="453"/>
        <v>0</v>
      </c>
      <c r="W7250" s="22">
        <f t="shared" si="454"/>
        <v>0</v>
      </c>
    </row>
    <row r="7251" spans="1:23" hidden="1" x14ac:dyDescent="0.25">
      <c r="A7251" s="3">
        <v>46162</v>
      </c>
      <c r="B7251" s="46" t="s">
        <v>334</v>
      </c>
      <c r="C7251" s="4" t="s">
        <v>679</v>
      </c>
      <c r="D7251" s="4"/>
      <c r="E7251" s="4"/>
      <c r="F7251" s="4" t="s">
        <v>3478</v>
      </c>
      <c r="G7251" s="4" t="s">
        <v>336</v>
      </c>
      <c r="H7251" s="4" t="s">
        <v>289</v>
      </c>
      <c r="I7251" s="4">
        <v>0.25</v>
      </c>
      <c r="J7251" s="21">
        <v>400</v>
      </c>
      <c r="K7251" s="21">
        <v>0</v>
      </c>
      <c r="L7251" s="5">
        <v>0</v>
      </c>
      <c r="M7251" s="4"/>
      <c r="N7251" s="4"/>
      <c r="O7251" s="5"/>
      <c r="P7251" s="5"/>
      <c r="Q7251" s="21">
        <v>100</v>
      </c>
      <c r="R7251" s="21">
        <v>0</v>
      </c>
      <c r="S7251" s="5">
        <f t="shared" si="455"/>
        <v>24809.020122726302</v>
      </c>
      <c r="T7251" cm="1">
        <f t="array" ref="T7251">IF(OR(B7251="MAL ALIMI", B7251="ÜRETİM GİRİŞ"), MIN(I7251, MAX(0, I7251 + SUM(SUMIFS($I$1:I7250, $C$1:C7250, C7251, $B$1:B7250, {"MAL ALIMI","ÜRETİM GİRİŞ"})) - VLOOKUP(C7251, 'STOK RAPORU'!$C$2:$I$1000, 4, 0))), 0)</f>
        <v>0</v>
      </c>
      <c r="U7251" s="22">
        <f t="shared" si="452"/>
        <v>0</v>
      </c>
      <c r="V7251">
        <f t="shared" si="453"/>
        <v>0</v>
      </c>
      <c r="W7251" s="22">
        <f t="shared" si="454"/>
        <v>0</v>
      </c>
    </row>
    <row r="7252" spans="1:23" hidden="1" x14ac:dyDescent="0.25">
      <c r="A7252" s="3">
        <v>46162</v>
      </c>
      <c r="B7252" s="46" t="s">
        <v>334</v>
      </c>
      <c r="C7252" s="4" t="s">
        <v>126</v>
      </c>
      <c r="D7252" s="4"/>
      <c r="E7252" s="4"/>
      <c r="F7252" s="4" t="s">
        <v>3478</v>
      </c>
      <c r="G7252" s="4" t="s">
        <v>336</v>
      </c>
      <c r="H7252" s="4" t="s">
        <v>289</v>
      </c>
      <c r="I7252" s="4">
        <v>8.9230769230769225E-2</v>
      </c>
      <c r="J7252" s="21">
        <v>650</v>
      </c>
      <c r="K7252" s="21">
        <v>0</v>
      </c>
      <c r="L7252" s="5">
        <v>0</v>
      </c>
      <c r="M7252" s="4"/>
      <c r="N7252" s="4"/>
      <c r="O7252" s="5"/>
      <c r="P7252" s="5"/>
      <c r="Q7252" s="21">
        <v>57.999999999999993</v>
      </c>
      <c r="R7252" s="21">
        <v>0</v>
      </c>
      <c r="S7252" s="5">
        <f t="shared" si="455"/>
        <v>24867.020122726302</v>
      </c>
      <c r="T7252" cm="1">
        <f t="array" ref="T7252">IF(OR(B7252="MAL ALIMI", B7252="ÜRETİM GİRİŞ"), MIN(I7252, MAX(0, I7252 + SUM(SUMIFS($I$1:I7251, $C$1:C7251, C7252, $B$1:B7251, {"MAL ALIMI","ÜRETİM GİRİŞ"})) - VLOOKUP(C7252, 'STOK RAPORU'!$C$2:$I$1000, 4, 0))), 0)</f>
        <v>0</v>
      </c>
      <c r="U7252" s="22">
        <f t="shared" si="452"/>
        <v>0</v>
      </c>
      <c r="V7252">
        <f t="shared" si="453"/>
        <v>0</v>
      </c>
      <c r="W7252" s="22">
        <f t="shared" si="454"/>
        <v>0</v>
      </c>
    </row>
    <row r="7253" spans="1:23" hidden="1" x14ac:dyDescent="0.25">
      <c r="A7253" s="3">
        <v>46162</v>
      </c>
      <c r="B7253" s="46" t="s">
        <v>334</v>
      </c>
      <c r="C7253" s="4" t="s">
        <v>133</v>
      </c>
      <c r="D7253" s="4"/>
      <c r="E7253" s="4"/>
      <c r="F7253" s="4" t="s">
        <v>3478</v>
      </c>
      <c r="G7253" s="4" t="s">
        <v>336</v>
      </c>
      <c r="H7253" s="4" t="s">
        <v>289</v>
      </c>
      <c r="I7253" s="4">
        <v>0.18</v>
      </c>
      <c r="J7253" s="21">
        <v>400</v>
      </c>
      <c r="K7253" s="21">
        <v>0</v>
      </c>
      <c r="L7253" s="5">
        <v>0</v>
      </c>
      <c r="M7253" s="4"/>
      <c r="N7253" s="4"/>
      <c r="O7253" s="5"/>
      <c r="P7253" s="5"/>
      <c r="Q7253" s="21">
        <v>72</v>
      </c>
      <c r="R7253" s="21">
        <v>0</v>
      </c>
      <c r="S7253" s="5">
        <f t="shared" si="455"/>
        <v>24939.020122726302</v>
      </c>
      <c r="T7253" cm="1">
        <f t="array" ref="T7253">IF(OR(B7253="MAL ALIMI", B7253="ÜRETİM GİRİŞ"), MIN(I7253, MAX(0, I7253 + SUM(SUMIFS($I$1:I7252, $C$1:C7252, C7253, $B$1:B7252, {"MAL ALIMI","ÜRETİM GİRİŞ"})) - VLOOKUP(C7253, 'STOK RAPORU'!$C$2:$I$1000, 4, 0))), 0)</f>
        <v>0</v>
      </c>
      <c r="U7253" s="22">
        <f t="shared" si="452"/>
        <v>0</v>
      </c>
      <c r="V7253">
        <f t="shared" si="453"/>
        <v>0</v>
      </c>
      <c r="W7253" s="22">
        <f t="shared" si="454"/>
        <v>0</v>
      </c>
    </row>
    <row r="7254" spans="1:23" hidden="1" x14ac:dyDescent="0.25">
      <c r="A7254" s="3">
        <v>46162</v>
      </c>
      <c r="B7254" s="46" t="s">
        <v>334</v>
      </c>
      <c r="C7254" s="4" t="s">
        <v>131</v>
      </c>
      <c r="D7254" s="4"/>
      <c r="E7254" s="4"/>
      <c r="F7254" s="4" t="s">
        <v>3478</v>
      </c>
      <c r="G7254" s="4" t="s">
        <v>336</v>
      </c>
      <c r="H7254" s="4" t="s">
        <v>289</v>
      </c>
      <c r="I7254" s="4">
        <v>0.1</v>
      </c>
      <c r="J7254" s="21">
        <v>400</v>
      </c>
      <c r="K7254" s="21">
        <v>0</v>
      </c>
      <c r="L7254" s="5">
        <v>0</v>
      </c>
      <c r="M7254" s="4"/>
      <c r="N7254" s="4"/>
      <c r="O7254" s="5"/>
      <c r="P7254" s="5"/>
      <c r="Q7254" s="21">
        <v>40</v>
      </c>
      <c r="R7254" s="21">
        <v>0</v>
      </c>
      <c r="S7254" s="5">
        <f t="shared" si="455"/>
        <v>24979.020122726302</v>
      </c>
      <c r="T7254" cm="1">
        <f t="array" ref="T7254">IF(OR(B7254="MAL ALIMI", B7254="ÜRETİM GİRİŞ"), MIN(I7254, MAX(0, I7254 + SUM(SUMIFS($I$1:I7253, $C$1:C7253, C7254, $B$1:B7253, {"MAL ALIMI","ÜRETİM GİRİŞ"})) - VLOOKUP(C7254, 'STOK RAPORU'!$C$2:$I$1000, 4, 0))), 0)</f>
        <v>0</v>
      </c>
      <c r="U7254" s="22">
        <f t="shared" si="452"/>
        <v>0</v>
      </c>
      <c r="V7254">
        <f t="shared" si="453"/>
        <v>0</v>
      </c>
      <c r="W7254" s="22">
        <f t="shared" si="454"/>
        <v>0</v>
      </c>
    </row>
    <row r="7255" spans="1:23" hidden="1" x14ac:dyDescent="0.25">
      <c r="A7255" s="3">
        <v>46162</v>
      </c>
      <c r="B7255" s="46" t="s">
        <v>334</v>
      </c>
      <c r="C7255" s="4" t="s">
        <v>91</v>
      </c>
      <c r="D7255" s="4"/>
      <c r="E7255" s="4"/>
      <c r="F7255" s="4" t="s">
        <v>3478</v>
      </c>
      <c r="G7255" s="4" t="s">
        <v>336</v>
      </c>
      <c r="H7255" s="4" t="s">
        <v>289</v>
      </c>
      <c r="I7255" s="4">
        <v>6.1176470588235297E-2</v>
      </c>
      <c r="J7255" s="21">
        <v>850</v>
      </c>
      <c r="K7255" s="21">
        <v>0</v>
      </c>
      <c r="L7255" s="5">
        <v>0</v>
      </c>
      <c r="M7255" s="4"/>
      <c r="N7255" s="4"/>
      <c r="O7255" s="5"/>
      <c r="P7255" s="5"/>
      <c r="Q7255" s="21">
        <v>52</v>
      </c>
      <c r="R7255" s="21">
        <v>0</v>
      </c>
      <c r="S7255" s="5">
        <f t="shared" si="455"/>
        <v>25031.020122726302</v>
      </c>
      <c r="T7255" cm="1">
        <f t="array" ref="T7255">IF(OR(B7255="MAL ALIMI", B7255="ÜRETİM GİRİŞ"), MIN(I7255, MAX(0, I7255 + SUM(SUMIFS($I$1:I7254, $C$1:C7254, C7255, $B$1:B7254, {"MAL ALIMI","ÜRETİM GİRİŞ"})) - VLOOKUP(C7255, 'STOK RAPORU'!$C$2:$I$1000, 4, 0))), 0)</f>
        <v>0</v>
      </c>
      <c r="U7255" s="22">
        <f t="shared" si="452"/>
        <v>0</v>
      </c>
      <c r="V7255">
        <f t="shared" si="453"/>
        <v>0</v>
      </c>
      <c r="W7255" s="22">
        <f t="shared" si="454"/>
        <v>0</v>
      </c>
    </row>
    <row r="7256" spans="1:23" hidden="1" x14ac:dyDescent="0.25">
      <c r="A7256" s="3">
        <v>46162</v>
      </c>
      <c r="B7256" s="46" t="s">
        <v>334</v>
      </c>
      <c r="C7256" s="4" t="s">
        <v>157</v>
      </c>
      <c r="D7256" s="4"/>
      <c r="E7256" s="4"/>
      <c r="F7256" s="4" t="s">
        <v>3478</v>
      </c>
      <c r="G7256" s="4" t="s">
        <v>336</v>
      </c>
      <c r="H7256" s="4" t="s">
        <v>289</v>
      </c>
      <c r="I7256" s="4">
        <v>1</v>
      </c>
      <c r="J7256" s="21">
        <v>200</v>
      </c>
      <c r="K7256" s="21">
        <v>0</v>
      </c>
      <c r="L7256" s="5">
        <v>0</v>
      </c>
      <c r="M7256" s="4"/>
      <c r="N7256" s="4"/>
      <c r="O7256" s="5"/>
      <c r="P7256" s="5"/>
      <c r="Q7256" s="21">
        <v>200</v>
      </c>
      <c r="R7256" s="21">
        <v>0</v>
      </c>
      <c r="S7256" s="5">
        <f t="shared" si="455"/>
        <v>25231.020122726302</v>
      </c>
      <c r="T7256" cm="1">
        <f t="array" ref="T7256">IF(OR(B7256="MAL ALIMI", B7256="ÜRETİM GİRİŞ"), MIN(I7256, MAX(0, I7256 + SUM(SUMIFS($I$1:I7255, $C$1:C7255, C7256, $B$1:B7255, {"MAL ALIMI","ÜRETİM GİRİŞ"})) - VLOOKUP(C7256, 'STOK RAPORU'!$C$2:$I$1000, 4, 0))), 0)</f>
        <v>0</v>
      </c>
      <c r="U7256" s="22">
        <f t="shared" si="452"/>
        <v>0</v>
      </c>
      <c r="V7256">
        <f t="shared" si="453"/>
        <v>0</v>
      </c>
      <c r="W7256" s="22">
        <f t="shared" si="454"/>
        <v>0</v>
      </c>
    </row>
    <row r="7257" spans="1:23" hidden="1" x14ac:dyDescent="0.25">
      <c r="A7257" s="3">
        <v>46162</v>
      </c>
      <c r="B7257" s="46" t="s">
        <v>334</v>
      </c>
      <c r="C7257" s="4" t="s">
        <v>140</v>
      </c>
      <c r="D7257" s="4"/>
      <c r="E7257" s="4" t="s">
        <v>921</v>
      </c>
      <c r="F7257" s="4" t="s">
        <v>3479</v>
      </c>
      <c r="G7257" s="4" t="s">
        <v>336</v>
      </c>
      <c r="H7257" s="4" t="s">
        <v>380</v>
      </c>
      <c r="I7257" s="4">
        <v>0.12666666666666668</v>
      </c>
      <c r="J7257" s="21">
        <v>300</v>
      </c>
      <c r="K7257" s="21">
        <v>38</v>
      </c>
      <c r="L7257" s="5">
        <v>0</v>
      </c>
      <c r="M7257" s="4"/>
      <c r="N7257" s="4"/>
      <c r="O7257" s="5"/>
      <c r="P7257" s="5"/>
      <c r="Q7257" s="21">
        <v>0</v>
      </c>
      <c r="R7257" s="21">
        <v>0</v>
      </c>
      <c r="S7257" s="5">
        <f t="shared" si="455"/>
        <v>25231.020122726302</v>
      </c>
      <c r="T7257" cm="1">
        <f t="array" ref="T7257">IF(OR(B7257="MAL ALIMI", B7257="ÜRETİM GİRİŞ"), MIN(I7257, MAX(0, I7257 + SUM(SUMIFS($I$1:I7256, $C$1:C7256, C7257, $B$1:B7256, {"MAL ALIMI","ÜRETİM GİRİŞ"})) - VLOOKUP(C7257, 'STOK RAPORU'!$C$2:$I$1000, 4, 0))), 0)</f>
        <v>0</v>
      </c>
      <c r="U7257" s="22">
        <f t="shared" si="452"/>
        <v>0</v>
      </c>
      <c r="V7257">
        <f t="shared" si="453"/>
        <v>0</v>
      </c>
      <c r="W7257" s="22">
        <f t="shared" si="454"/>
        <v>0</v>
      </c>
    </row>
    <row r="7258" spans="1:23" hidden="1" x14ac:dyDescent="0.25">
      <c r="A7258" s="3">
        <v>46162</v>
      </c>
      <c r="B7258" s="46" t="s">
        <v>334</v>
      </c>
      <c r="C7258" s="4" t="s">
        <v>221</v>
      </c>
      <c r="D7258" s="4"/>
      <c r="E7258" s="4" t="s">
        <v>921</v>
      </c>
      <c r="F7258" s="4" t="s">
        <v>3479</v>
      </c>
      <c r="G7258" s="4" t="s">
        <v>336</v>
      </c>
      <c r="H7258" s="4" t="s">
        <v>380</v>
      </c>
      <c r="I7258" s="4">
        <v>0.04</v>
      </c>
      <c r="J7258" s="21">
        <v>1250</v>
      </c>
      <c r="K7258" s="21">
        <v>50</v>
      </c>
      <c r="L7258" s="5">
        <v>0</v>
      </c>
      <c r="M7258" s="4"/>
      <c r="N7258" s="4"/>
      <c r="O7258" s="5"/>
      <c r="P7258" s="5"/>
      <c r="Q7258" s="21">
        <v>0</v>
      </c>
      <c r="R7258" s="21">
        <v>0</v>
      </c>
      <c r="S7258" s="5">
        <f t="shared" si="455"/>
        <v>25231.020122726302</v>
      </c>
      <c r="T7258" cm="1">
        <f t="array" ref="T7258">IF(OR(B7258="MAL ALIMI", B7258="ÜRETİM GİRİŞ"), MIN(I7258, MAX(0, I7258 + SUM(SUMIFS($I$1:I7257, $C$1:C7257, C7258, $B$1:B7257, {"MAL ALIMI","ÜRETİM GİRİŞ"})) - VLOOKUP(C7258, 'STOK RAPORU'!$C$2:$I$1000, 4, 0))), 0)</f>
        <v>0</v>
      </c>
      <c r="U7258" s="22">
        <f t="shared" si="452"/>
        <v>0</v>
      </c>
      <c r="V7258">
        <f t="shared" si="453"/>
        <v>0</v>
      </c>
      <c r="W7258" s="22">
        <f t="shared" si="454"/>
        <v>0</v>
      </c>
    </row>
    <row r="7259" spans="1:23" hidden="1" x14ac:dyDescent="0.25">
      <c r="A7259" s="3">
        <v>46162</v>
      </c>
      <c r="B7259" s="46" t="s">
        <v>334</v>
      </c>
      <c r="C7259" s="4" t="s">
        <v>589</v>
      </c>
      <c r="D7259" s="4"/>
      <c r="E7259" s="4" t="s">
        <v>921</v>
      </c>
      <c r="F7259" s="4" t="s">
        <v>3479</v>
      </c>
      <c r="G7259" s="4" t="s">
        <v>336</v>
      </c>
      <c r="H7259" s="4" t="s">
        <v>380</v>
      </c>
      <c r="I7259" s="4">
        <v>0.05</v>
      </c>
      <c r="J7259" s="21">
        <v>800</v>
      </c>
      <c r="K7259" s="21">
        <v>40</v>
      </c>
      <c r="L7259" s="5">
        <v>0</v>
      </c>
      <c r="M7259" s="4"/>
      <c r="N7259" s="4"/>
      <c r="O7259" s="5"/>
      <c r="P7259" s="5"/>
      <c r="Q7259" s="21">
        <v>0</v>
      </c>
      <c r="R7259" s="21">
        <v>0</v>
      </c>
      <c r="S7259" s="5">
        <f t="shared" si="455"/>
        <v>25231.020122726302</v>
      </c>
      <c r="T7259" cm="1">
        <f t="array" ref="T7259">IF(OR(B7259="MAL ALIMI", B7259="ÜRETİM GİRİŞ"), MIN(I7259, MAX(0, I7259 + SUM(SUMIFS($I$1:I7258, $C$1:C7258, C7259, $B$1:B7258, {"MAL ALIMI","ÜRETİM GİRİŞ"})) - VLOOKUP(C7259, 'STOK RAPORU'!$C$2:$I$1000, 4, 0))), 0)</f>
        <v>0</v>
      </c>
      <c r="U7259" s="22">
        <f t="shared" si="452"/>
        <v>0</v>
      </c>
      <c r="V7259">
        <f t="shared" si="453"/>
        <v>0</v>
      </c>
      <c r="W7259" s="22">
        <f t="shared" si="454"/>
        <v>0</v>
      </c>
    </row>
    <row r="7260" spans="1:23" hidden="1" x14ac:dyDescent="0.25">
      <c r="A7260" s="3">
        <v>46162</v>
      </c>
      <c r="B7260" s="46" t="s">
        <v>334</v>
      </c>
      <c r="C7260" s="4" t="s">
        <v>1650</v>
      </c>
      <c r="D7260" s="4"/>
      <c r="E7260" s="4" t="s">
        <v>921</v>
      </c>
      <c r="F7260" s="4" t="s">
        <v>3479</v>
      </c>
      <c r="G7260" s="4" t="s">
        <v>336</v>
      </c>
      <c r="H7260" s="4" t="s">
        <v>380</v>
      </c>
      <c r="I7260" s="4">
        <v>0.04</v>
      </c>
      <c r="J7260" s="21">
        <v>760</v>
      </c>
      <c r="K7260" s="21">
        <v>30.400000000000002</v>
      </c>
      <c r="L7260" s="5">
        <v>0</v>
      </c>
      <c r="M7260" s="4"/>
      <c r="N7260" s="4"/>
      <c r="O7260" s="5"/>
      <c r="P7260" s="5"/>
      <c r="Q7260" s="21">
        <v>0</v>
      </c>
      <c r="R7260" s="21">
        <v>0</v>
      </c>
      <c r="S7260" s="5">
        <f t="shared" si="455"/>
        <v>25231.020122726302</v>
      </c>
      <c r="T7260" cm="1">
        <f t="array" ref="T7260">IF(OR(B7260="MAL ALIMI", B7260="ÜRETİM GİRİŞ"), MIN(I7260, MAX(0, I7260 + SUM(SUMIFS($I$1:I7259, $C$1:C7259, C7260, $B$1:B7259, {"MAL ALIMI","ÜRETİM GİRİŞ"})) - VLOOKUP(C7260, 'STOK RAPORU'!$C$2:$I$1000, 4, 0))), 0)</f>
        <v>0</v>
      </c>
      <c r="U7260" s="22">
        <f t="shared" si="452"/>
        <v>0</v>
      </c>
      <c r="V7260">
        <f t="shared" si="453"/>
        <v>0</v>
      </c>
      <c r="W7260" s="22">
        <f t="shared" si="454"/>
        <v>0</v>
      </c>
    </row>
    <row r="7261" spans="1:23" hidden="1" x14ac:dyDescent="0.25">
      <c r="A7261" s="3">
        <v>46162</v>
      </c>
      <c r="B7261" s="46" t="s">
        <v>334</v>
      </c>
      <c r="C7261" s="4" t="s">
        <v>226</v>
      </c>
      <c r="D7261" s="4"/>
      <c r="E7261" s="4" t="s">
        <v>921</v>
      </c>
      <c r="F7261" s="4" t="s">
        <v>3479</v>
      </c>
      <c r="G7261" s="4" t="s">
        <v>336</v>
      </c>
      <c r="H7261" s="4" t="s">
        <v>380</v>
      </c>
      <c r="I7261" s="4">
        <v>0.22727272727272727</v>
      </c>
      <c r="J7261" s="21">
        <v>220</v>
      </c>
      <c r="K7261" s="21">
        <v>50</v>
      </c>
      <c r="L7261" s="5">
        <v>0</v>
      </c>
      <c r="M7261" s="4"/>
      <c r="N7261" s="4"/>
      <c r="O7261" s="5"/>
      <c r="P7261" s="5"/>
      <c r="Q7261" s="21">
        <v>0</v>
      </c>
      <c r="R7261" s="21">
        <v>0</v>
      </c>
      <c r="S7261" s="5">
        <f t="shared" si="455"/>
        <v>25231.020122726302</v>
      </c>
      <c r="T7261" cm="1">
        <f t="array" ref="T7261">IF(OR(B7261="MAL ALIMI", B7261="ÜRETİM GİRİŞ"), MIN(I7261, MAX(0, I7261 + SUM(SUMIFS($I$1:I7260, $C$1:C7260, C7261, $B$1:B7260, {"MAL ALIMI","ÜRETİM GİRİŞ"})) - VLOOKUP(C7261, 'STOK RAPORU'!$C$2:$I$1000, 4, 0))), 0)</f>
        <v>0</v>
      </c>
      <c r="U7261" s="22">
        <f t="shared" si="452"/>
        <v>0</v>
      </c>
      <c r="V7261">
        <f t="shared" si="453"/>
        <v>0</v>
      </c>
      <c r="W7261" s="22">
        <f t="shared" si="454"/>
        <v>0</v>
      </c>
    </row>
    <row r="7262" spans="1:23" hidden="1" x14ac:dyDescent="0.25">
      <c r="A7262" s="3">
        <v>46162</v>
      </c>
      <c r="B7262" s="46" t="s">
        <v>334</v>
      </c>
      <c r="C7262" s="4" t="s">
        <v>131</v>
      </c>
      <c r="D7262" s="4"/>
      <c r="E7262" s="4"/>
      <c r="F7262" s="4" t="s">
        <v>3480</v>
      </c>
      <c r="G7262" s="4" t="s">
        <v>3483</v>
      </c>
      <c r="H7262" s="4" t="s">
        <v>289</v>
      </c>
      <c r="I7262" s="4">
        <v>0.53</v>
      </c>
      <c r="J7262" s="21">
        <v>190</v>
      </c>
      <c r="K7262" s="21">
        <v>0</v>
      </c>
      <c r="L7262" s="5">
        <v>0</v>
      </c>
      <c r="M7262" s="4"/>
      <c r="N7262" s="4"/>
      <c r="O7262" s="5"/>
      <c r="P7262" s="5"/>
      <c r="Q7262" s="21">
        <v>100.7</v>
      </c>
      <c r="R7262" s="21">
        <v>0</v>
      </c>
      <c r="S7262" s="5">
        <f t="shared" si="455"/>
        <v>25331.720122726303</v>
      </c>
      <c r="T7262" cm="1">
        <f t="array" ref="T7262">IF(OR(B7262="MAL ALIMI", B7262="ÜRETİM GİRİŞ"), MIN(I7262, MAX(0, I7262 + SUM(SUMIFS($I$1:I7261, $C$1:C7261, C7262, $B$1:B7261, {"MAL ALIMI","ÜRETİM GİRİŞ"})) - VLOOKUP(C7262, 'STOK RAPORU'!$C$2:$I$1000, 4, 0))), 0)</f>
        <v>0</v>
      </c>
      <c r="U7262" s="22">
        <f t="shared" si="452"/>
        <v>0</v>
      </c>
      <c r="V7262">
        <f t="shared" si="453"/>
        <v>0</v>
      </c>
      <c r="W7262" s="22">
        <f t="shared" si="454"/>
        <v>0</v>
      </c>
    </row>
    <row r="7263" spans="1:23" hidden="1" x14ac:dyDescent="0.25">
      <c r="A7263" s="3">
        <v>46162</v>
      </c>
      <c r="B7263" s="46" t="s">
        <v>334</v>
      </c>
      <c r="C7263" s="4" t="s">
        <v>597</v>
      </c>
      <c r="D7263" s="4"/>
      <c r="E7263" s="4" t="s">
        <v>921</v>
      </c>
      <c r="F7263" s="4" t="s">
        <v>3481</v>
      </c>
      <c r="G7263" s="4" t="s">
        <v>336</v>
      </c>
      <c r="H7263" s="4" t="s">
        <v>380</v>
      </c>
      <c r="I7263" s="4">
        <v>1</v>
      </c>
      <c r="J7263" s="21">
        <v>375</v>
      </c>
      <c r="K7263" s="21">
        <v>375</v>
      </c>
      <c r="L7263" s="5">
        <v>0</v>
      </c>
      <c r="M7263" s="4"/>
      <c r="N7263" s="4"/>
      <c r="O7263" s="5"/>
      <c r="P7263" s="5"/>
      <c r="Q7263" s="21">
        <v>0</v>
      </c>
      <c r="R7263" s="21">
        <v>0</v>
      </c>
      <c r="S7263" s="5">
        <f t="shared" si="455"/>
        <v>25331.720122726303</v>
      </c>
      <c r="T7263" cm="1">
        <f t="array" ref="T7263">IF(OR(B7263="MAL ALIMI", B7263="ÜRETİM GİRİŞ"), MIN(I7263, MAX(0, I7263 + SUM(SUMIFS($I$1:I7262, $C$1:C7262, C7263, $B$1:B7262, {"MAL ALIMI","ÜRETİM GİRİŞ"})) - VLOOKUP(C7263, 'STOK RAPORU'!$C$2:$I$1000, 4, 0))), 0)</f>
        <v>0</v>
      </c>
      <c r="U7263" s="22">
        <f t="shared" si="452"/>
        <v>0</v>
      </c>
      <c r="V7263">
        <f t="shared" si="453"/>
        <v>0</v>
      </c>
      <c r="W7263" s="22">
        <f t="shared" si="454"/>
        <v>0</v>
      </c>
    </row>
    <row r="7264" spans="1:23" hidden="1" x14ac:dyDescent="0.25">
      <c r="A7264" s="3">
        <v>46162</v>
      </c>
      <c r="B7264" s="46" t="s">
        <v>334</v>
      </c>
      <c r="C7264" s="4" t="s">
        <v>691</v>
      </c>
      <c r="D7264" s="4"/>
      <c r="E7264" s="4" t="s">
        <v>921</v>
      </c>
      <c r="F7264" s="4" t="s">
        <v>3481</v>
      </c>
      <c r="G7264" s="4" t="s">
        <v>336</v>
      </c>
      <c r="H7264" s="4" t="s">
        <v>380</v>
      </c>
      <c r="I7264" s="4">
        <v>0.32608695652173914</v>
      </c>
      <c r="J7264" s="21">
        <v>250</v>
      </c>
      <c r="K7264" s="21">
        <v>81.521739130434781</v>
      </c>
      <c r="L7264" s="5">
        <v>0</v>
      </c>
      <c r="M7264" s="4"/>
      <c r="N7264" s="4"/>
      <c r="O7264" s="5"/>
      <c r="P7264" s="5"/>
      <c r="Q7264" s="21">
        <v>0</v>
      </c>
      <c r="R7264" s="21">
        <v>0</v>
      </c>
      <c r="S7264" s="5">
        <f t="shared" si="455"/>
        <v>25331.720122726303</v>
      </c>
      <c r="T7264" cm="1">
        <f t="array" ref="T7264">IF(OR(B7264="MAL ALIMI", B7264="ÜRETİM GİRİŞ"), MIN(I7264, MAX(0, I7264 + SUM(SUMIFS($I$1:I7263, $C$1:C7263, C7264, $B$1:B7263, {"MAL ALIMI","ÜRETİM GİRİŞ"})) - VLOOKUP(C7264, 'STOK RAPORU'!$C$2:$I$1000, 4, 0))), 0)</f>
        <v>0</v>
      </c>
      <c r="U7264" s="22">
        <f t="shared" si="452"/>
        <v>0</v>
      </c>
      <c r="V7264">
        <f t="shared" si="453"/>
        <v>0</v>
      </c>
      <c r="W7264" s="22">
        <f t="shared" si="454"/>
        <v>0</v>
      </c>
    </row>
    <row r="7265" spans="1:23" hidden="1" x14ac:dyDescent="0.25">
      <c r="A7265" s="3">
        <v>46162</v>
      </c>
      <c r="B7265" s="46" t="s">
        <v>334</v>
      </c>
      <c r="C7265" s="4" t="s">
        <v>198</v>
      </c>
      <c r="D7265" s="4"/>
      <c r="E7265" s="4" t="s">
        <v>921</v>
      </c>
      <c r="F7265" s="4" t="s">
        <v>3481</v>
      </c>
      <c r="G7265" s="4" t="s">
        <v>336</v>
      </c>
      <c r="H7265" s="4" t="s">
        <v>380</v>
      </c>
      <c r="I7265" s="4">
        <v>0.05</v>
      </c>
      <c r="J7265" s="21">
        <v>1400</v>
      </c>
      <c r="K7265" s="21">
        <v>70</v>
      </c>
      <c r="L7265" s="5">
        <v>0</v>
      </c>
      <c r="M7265" s="4"/>
      <c r="N7265" s="4"/>
      <c r="O7265" s="5"/>
      <c r="P7265" s="5"/>
      <c r="Q7265" s="21">
        <v>0</v>
      </c>
      <c r="R7265" s="21">
        <v>0</v>
      </c>
      <c r="S7265" s="5">
        <f t="shared" si="455"/>
        <v>25331.720122726303</v>
      </c>
      <c r="T7265" cm="1">
        <f t="array" ref="T7265">IF(OR(B7265="MAL ALIMI", B7265="ÜRETİM GİRİŞ"), MIN(I7265, MAX(0, I7265 + SUM(SUMIFS($I$1:I7264, $C$1:C7264, C7265, $B$1:B7264, {"MAL ALIMI","ÜRETİM GİRİŞ"})) - VLOOKUP(C7265, 'STOK RAPORU'!$C$2:$I$1000, 4, 0))), 0)</f>
        <v>0</v>
      </c>
      <c r="U7265" s="22">
        <f t="shared" si="452"/>
        <v>0</v>
      </c>
      <c r="V7265">
        <f t="shared" si="453"/>
        <v>0</v>
      </c>
      <c r="W7265" s="22">
        <f t="shared" si="454"/>
        <v>0</v>
      </c>
    </row>
    <row r="7266" spans="1:23" hidden="1" x14ac:dyDescent="0.25">
      <c r="A7266" s="3">
        <v>46162</v>
      </c>
      <c r="B7266" s="46" t="s">
        <v>334</v>
      </c>
      <c r="C7266" s="4" t="s">
        <v>200</v>
      </c>
      <c r="D7266" s="4"/>
      <c r="E7266" s="4"/>
      <c r="F7266" s="4" t="s">
        <v>3482</v>
      </c>
      <c r="G7266" s="4" t="s">
        <v>336</v>
      </c>
      <c r="H7266" s="4" t="s">
        <v>289</v>
      </c>
      <c r="I7266" s="4">
        <v>0.25</v>
      </c>
      <c r="J7266" s="21">
        <v>360</v>
      </c>
      <c r="K7266" s="21">
        <v>0</v>
      </c>
      <c r="L7266" s="5">
        <v>0</v>
      </c>
      <c r="M7266" s="4"/>
      <c r="N7266" s="4"/>
      <c r="O7266" s="5"/>
      <c r="P7266" s="5"/>
      <c r="Q7266" s="21">
        <v>90</v>
      </c>
      <c r="R7266" s="21">
        <v>0</v>
      </c>
      <c r="S7266" s="5">
        <f t="shared" si="455"/>
        <v>25421.720122726303</v>
      </c>
      <c r="T7266" cm="1">
        <f t="array" ref="T7266">IF(OR(B7266="MAL ALIMI", B7266="ÜRETİM GİRİŞ"), MIN(I7266, MAX(0, I7266 + SUM(SUMIFS($I$1:I7265, $C$1:C7265, C7266, $B$1:B7265, {"MAL ALIMI","ÜRETİM GİRİŞ"})) - VLOOKUP(C7266, 'STOK RAPORU'!$C$2:$I$1000, 4, 0))), 0)</f>
        <v>0</v>
      </c>
      <c r="U7266" s="22">
        <f t="shared" si="452"/>
        <v>0</v>
      </c>
      <c r="V7266">
        <f t="shared" si="453"/>
        <v>0</v>
      </c>
      <c r="W7266" s="22">
        <f t="shared" si="454"/>
        <v>0</v>
      </c>
    </row>
    <row r="7267" spans="1:23" hidden="1" x14ac:dyDescent="0.25">
      <c r="A7267" s="3">
        <v>46162</v>
      </c>
      <c r="B7267" s="46" t="s">
        <v>946</v>
      </c>
      <c r="C7267" s="4"/>
      <c r="D7267" s="4"/>
      <c r="E7267" s="4" t="s">
        <v>921</v>
      </c>
      <c r="F7267" s="4"/>
      <c r="G7267" s="4" t="s">
        <v>3546</v>
      </c>
      <c r="H7267" s="4" t="s">
        <v>380</v>
      </c>
      <c r="I7267" s="4">
        <v>1</v>
      </c>
      <c r="J7267" s="21">
        <v>2455</v>
      </c>
      <c r="K7267" s="21">
        <v>0</v>
      </c>
      <c r="L7267" s="32">
        <v>2455</v>
      </c>
      <c r="M7267" s="4"/>
      <c r="N7267" s="4"/>
      <c r="O7267" s="5"/>
      <c r="P7267" s="5"/>
      <c r="Q7267" s="21">
        <v>2455</v>
      </c>
      <c r="R7267" s="21">
        <v>0</v>
      </c>
      <c r="S7267" s="5">
        <f t="shared" si="455"/>
        <v>27876.720122726303</v>
      </c>
      <c r="T7267" cm="1">
        <f t="array" ref="T7267">IF(OR(B7267="MAL ALIMI", B7267="ÜRETİM GİRİŞ"), MIN(I7267, MAX(0, I7267 + SUM(SUMIFS($I$1:I7266, $C$1:C7266, C7267, $B$1:B7266, {"MAL ALIMI","ÜRETİM GİRİŞ"})) - VLOOKUP(C7267, 'STOK RAPORU'!$C$2:$I$1000, 4, 0))), 0)</f>
        <v>0</v>
      </c>
      <c r="U7267" s="22">
        <f t="shared" si="452"/>
        <v>0</v>
      </c>
      <c r="V7267">
        <f t="shared" si="453"/>
        <v>0</v>
      </c>
      <c r="W7267" s="22">
        <f t="shared" si="454"/>
        <v>0</v>
      </c>
    </row>
    <row r="7268" spans="1:23" hidden="1" x14ac:dyDescent="0.25">
      <c r="A7268" s="3">
        <v>46162</v>
      </c>
      <c r="B7268" s="46" t="s">
        <v>285</v>
      </c>
      <c r="C7268" s="4"/>
      <c r="D7268" s="4" t="s">
        <v>943</v>
      </c>
      <c r="E7268" s="4"/>
      <c r="F7268" s="4"/>
      <c r="G7268" s="4" t="s">
        <v>3546</v>
      </c>
      <c r="H7268" s="4" t="s">
        <v>289</v>
      </c>
      <c r="I7268" s="4">
        <v>1</v>
      </c>
      <c r="J7268" s="21">
        <v>2455</v>
      </c>
      <c r="K7268" s="21">
        <v>0</v>
      </c>
      <c r="L7268" s="5">
        <v>0</v>
      </c>
      <c r="M7268" s="4"/>
      <c r="N7268" s="4"/>
      <c r="O7268" s="5"/>
      <c r="P7268" s="5"/>
      <c r="Q7268" s="21">
        <v>0</v>
      </c>
      <c r="R7268" s="21">
        <v>2455</v>
      </c>
      <c r="S7268" s="5">
        <f t="shared" si="455"/>
        <v>25421.720122726303</v>
      </c>
      <c r="T7268" cm="1">
        <f t="array" ref="T7268">IF(OR(B7268="MAL ALIMI", B7268="ÜRETİM GİRİŞ"), MIN(I7268, MAX(0, I7268 + SUM(SUMIFS($I$1:I7267, $C$1:C7267, C7268, $B$1:B7267, {"MAL ALIMI","ÜRETİM GİRİŞ"})) - VLOOKUP(C7268, 'STOK RAPORU'!$C$2:$I$1000, 4, 0))), 0)</f>
        <v>0</v>
      </c>
      <c r="U7268" s="22">
        <f t="shared" si="452"/>
        <v>0</v>
      </c>
      <c r="V7268">
        <f t="shared" si="453"/>
        <v>0</v>
      </c>
      <c r="W7268" s="22">
        <f t="shared" si="454"/>
        <v>0</v>
      </c>
    </row>
    <row r="7269" spans="1:23" hidden="1" x14ac:dyDescent="0.25">
      <c r="A7269" s="3">
        <v>46163</v>
      </c>
      <c r="B7269" s="46" t="s">
        <v>334</v>
      </c>
      <c r="C7269" s="4" t="s">
        <v>1024</v>
      </c>
      <c r="D7269" s="4"/>
      <c r="E7269" s="4"/>
      <c r="F7269" s="4" t="s">
        <v>3484</v>
      </c>
      <c r="G7269" s="4" t="s">
        <v>336</v>
      </c>
      <c r="H7269" s="4" t="s">
        <v>289</v>
      </c>
      <c r="I7269" s="4">
        <v>1.1539999999999999</v>
      </c>
      <c r="J7269" s="21">
        <v>65</v>
      </c>
      <c r="K7269" s="21">
        <v>0</v>
      </c>
      <c r="L7269" s="5">
        <v>0</v>
      </c>
      <c r="M7269" s="4"/>
      <c r="N7269" s="4"/>
      <c r="O7269" s="5"/>
      <c r="P7269" s="5"/>
      <c r="Q7269" s="21">
        <v>75.009999999999991</v>
      </c>
      <c r="R7269" s="21">
        <v>0</v>
      </c>
      <c r="S7269" s="5">
        <f t="shared" si="455"/>
        <v>25496.730122726301</v>
      </c>
      <c r="T7269" cm="1">
        <f t="array" ref="T7269">IF(OR(B7269="MAL ALIMI", B7269="ÜRETİM GİRİŞ"), MIN(I7269, MAX(0, I7269 + SUM(SUMIFS($I$1:I7268, $C$1:C7268, C7269, $B$1:B7268, {"MAL ALIMI","ÜRETİM GİRİŞ"})) - VLOOKUP(C7269, 'STOK RAPORU'!$C$2:$I$1000, 4, 0))), 0)</f>
        <v>0</v>
      </c>
      <c r="U7269" s="22">
        <f t="shared" si="452"/>
        <v>0</v>
      </c>
      <c r="V7269">
        <f t="shared" si="453"/>
        <v>0</v>
      </c>
      <c r="W7269" s="22">
        <f t="shared" si="454"/>
        <v>0</v>
      </c>
    </row>
    <row r="7270" spans="1:23" hidden="1" x14ac:dyDescent="0.25">
      <c r="A7270" s="3">
        <v>46163</v>
      </c>
      <c r="B7270" s="46" t="s">
        <v>334</v>
      </c>
      <c r="C7270" s="4" t="s">
        <v>2488</v>
      </c>
      <c r="D7270" s="4"/>
      <c r="E7270" s="4" t="s">
        <v>921</v>
      </c>
      <c r="F7270" s="4" t="s">
        <v>3485</v>
      </c>
      <c r="G7270" s="4" t="s">
        <v>336</v>
      </c>
      <c r="H7270" s="4" t="s">
        <v>380</v>
      </c>
      <c r="I7270" s="4">
        <v>0.5</v>
      </c>
      <c r="J7270" s="21">
        <v>500</v>
      </c>
      <c r="K7270" s="21">
        <v>250</v>
      </c>
      <c r="L7270" s="5">
        <v>0</v>
      </c>
      <c r="M7270" s="4"/>
      <c r="N7270" s="4"/>
      <c r="O7270" s="5"/>
      <c r="P7270" s="5"/>
      <c r="Q7270" s="21">
        <v>0</v>
      </c>
      <c r="R7270" s="21">
        <v>0</v>
      </c>
      <c r="S7270" s="5">
        <f t="shared" si="455"/>
        <v>25496.730122726301</v>
      </c>
      <c r="T7270" cm="1">
        <f t="array" ref="T7270">IF(OR(B7270="MAL ALIMI", B7270="ÜRETİM GİRİŞ"), MIN(I7270, MAX(0, I7270 + SUM(SUMIFS($I$1:I7269, $C$1:C7269, C7270, $B$1:B7269, {"MAL ALIMI","ÜRETİM GİRİŞ"})) - VLOOKUP(C7270, 'STOK RAPORU'!$C$2:$I$1000, 4, 0))), 0)</f>
        <v>0</v>
      </c>
      <c r="U7270" s="22">
        <f t="shared" si="452"/>
        <v>0</v>
      </c>
      <c r="V7270">
        <f t="shared" si="453"/>
        <v>0</v>
      </c>
      <c r="W7270" s="22">
        <f t="shared" si="454"/>
        <v>0</v>
      </c>
    </row>
    <row r="7271" spans="1:23" hidden="1" x14ac:dyDescent="0.25">
      <c r="A7271" s="3">
        <v>46163</v>
      </c>
      <c r="B7271" s="46" t="s">
        <v>334</v>
      </c>
      <c r="C7271" s="4" t="s">
        <v>1501</v>
      </c>
      <c r="D7271" s="4"/>
      <c r="E7271" s="4" t="s">
        <v>921</v>
      </c>
      <c r="F7271" s="4" t="s">
        <v>3485</v>
      </c>
      <c r="G7271" s="4" t="s">
        <v>336</v>
      </c>
      <c r="H7271" s="4" t="s">
        <v>380</v>
      </c>
      <c r="I7271" s="4">
        <v>0.25</v>
      </c>
      <c r="J7271" s="21">
        <v>700</v>
      </c>
      <c r="K7271" s="21">
        <v>175</v>
      </c>
      <c r="L7271" s="5">
        <v>0</v>
      </c>
      <c r="M7271" s="4"/>
      <c r="N7271" s="4"/>
      <c r="O7271" s="5"/>
      <c r="P7271" s="5"/>
      <c r="Q7271" s="21">
        <v>0</v>
      </c>
      <c r="R7271" s="21">
        <v>0</v>
      </c>
      <c r="S7271" s="5">
        <f t="shared" si="455"/>
        <v>25496.730122726301</v>
      </c>
      <c r="T7271" cm="1">
        <f t="array" ref="T7271">IF(OR(B7271="MAL ALIMI", B7271="ÜRETİM GİRİŞ"), MIN(I7271, MAX(0, I7271 + SUM(SUMIFS($I$1:I7270, $C$1:C7270, C7271, $B$1:B7270, {"MAL ALIMI","ÜRETİM GİRİŞ"})) - VLOOKUP(C7271, 'STOK RAPORU'!$C$2:$I$1000, 4, 0))), 0)</f>
        <v>0</v>
      </c>
      <c r="U7271" s="22">
        <f t="shared" si="452"/>
        <v>0</v>
      </c>
      <c r="V7271">
        <f t="shared" si="453"/>
        <v>0</v>
      </c>
      <c r="W7271" s="22">
        <f t="shared" si="454"/>
        <v>0</v>
      </c>
    </row>
    <row r="7272" spans="1:23" hidden="1" x14ac:dyDescent="0.25">
      <c r="A7272" s="3">
        <v>46163</v>
      </c>
      <c r="B7272" s="46" t="s">
        <v>334</v>
      </c>
      <c r="C7272" s="4" t="s">
        <v>91</v>
      </c>
      <c r="D7272" s="4"/>
      <c r="E7272" s="4"/>
      <c r="F7272" s="4" t="s">
        <v>3486</v>
      </c>
      <c r="G7272" s="4" t="s">
        <v>336</v>
      </c>
      <c r="H7272" s="4" t="s">
        <v>289</v>
      </c>
      <c r="I7272" s="4">
        <v>0.26666666666666666</v>
      </c>
      <c r="J7272" s="21">
        <v>750</v>
      </c>
      <c r="K7272" s="21">
        <v>0</v>
      </c>
      <c r="L7272" s="5">
        <v>0</v>
      </c>
      <c r="M7272" s="4"/>
      <c r="N7272" s="4"/>
      <c r="O7272" s="5"/>
      <c r="P7272" s="5"/>
      <c r="Q7272" s="21">
        <v>200</v>
      </c>
      <c r="R7272" s="21">
        <v>0</v>
      </c>
      <c r="S7272" s="5">
        <f t="shared" si="455"/>
        <v>25696.730122726301</v>
      </c>
      <c r="T7272" cm="1">
        <f t="array" ref="T7272">IF(OR(B7272="MAL ALIMI", B7272="ÜRETİM GİRİŞ"), MIN(I7272, MAX(0, I7272 + SUM(SUMIFS($I$1:I7271, $C$1:C7271, C7272, $B$1:B7271, {"MAL ALIMI","ÜRETİM GİRİŞ"})) - VLOOKUP(C7272, 'STOK RAPORU'!$C$2:$I$1000, 4, 0))), 0)</f>
        <v>0</v>
      </c>
      <c r="U7272" s="22">
        <f t="shared" si="452"/>
        <v>0</v>
      </c>
      <c r="V7272">
        <f t="shared" si="453"/>
        <v>0</v>
      </c>
      <c r="W7272" s="22">
        <f t="shared" si="454"/>
        <v>0</v>
      </c>
    </row>
    <row r="7273" spans="1:23" hidden="1" x14ac:dyDescent="0.25">
      <c r="A7273" s="3">
        <v>46163</v>
      </c>
      <c r="B7273" s="46" t="s">
        <v>334</v>
      </c>
      <c r="C7273" s="4" t="s">
        <v>131</v>
      </c>
      <c r="D7273" s="4"/>
      <c r="E7273" s="4"/>
      <c r="F7273" s="4" t="s">
        <v>3487</v>
      </c>
      <c r="G7273" s="4" t="s">
        <v>336</v>
      </c>
      <c r="H7273" s="4" t="s">
        <v>289</v>
      </c>
      <c r="I7273" s="4">
        <v>0.25</v>
      </c>
      <c r="J7273" s="21">
        <v>400</v>
      </c>
      <c r="K7273" s="21">
        <v>0</v>
      </c>
      <c r="L7273" s="5">
        <v>0</v>
      </c>
      <c r="M7273" s="4"/>
      <c r="N7273" s="4"/>
      <c r="O7273" s="5"/>
      <c r="P7273" s="5"/>
      <c r="Q7273" s="21">
        <v>100</v>
      </c>
      <c r="R7273" s="21">
        <v>0</v>
      </c>
      <c r="S7273" s="5">
        <f t="shared" si="455"/>
        <v>25796.730122726301</v>
      </c>
      <c r="T7273" cm="1">
        <f t="array" ref="T7273">IF(OR(B7273="MAL ALIMI", B7273="ÜRETİM GİRİŞ"), MIN(I7273, MAX(0, I7273 + SUM(SUMIFS($I$1:I7272, $C$1:C7272, C7273, $B$1:B7272, {"MAL ALIMI","ÜRETİM GİRİŞ"})) - VLOOKUP(C7273, 'STOK RAPORU'!$C$2:$I$1000, 4, 0))), 0)</f>
        <v>0</v>
      </c>
      <c r="U7273" s="22">
        <f t="shared" si="452"/>
        <v>0</v>
      </c>
      <c r="V7273">
        <f t="shared" si="453"/>
        <v>0</v>
      </c>
      <c r="W7273" s="22">
        <f t="shared" si="454"/>
        <v>0</v>
      </c>
    </row>
    <row r="7274" spans="1:23" hidden="1" x14ac:dyDescent="0.25">
      <c r="A7274" s="3">
        <v>46163</v>
      </c>
      <c r="B7274" s="46" t="s">
        <v>334</v>
      </c>
      <c r="C7274" s="4" t="s">
        <v>2589</v>
      </c>
      <c r="D7274" s="4"/>
      <c r="E7274" s="4"/>
      <c r="F7274" s="4" t="s">
        <v>3488</v>
      </c>
      <c r="G7274" s="4" t="s">
        <v>336</v>
      </c>
      <c r="H7274" s="4" t="s">
        <v>289</v>
      </c>
      <c r="I7274" s="4">
        <v>1</v>
      </c>
      <c r="J7274" s="21">
        <v>125</v>
      </c>
      <c r="K7274" s="21">
        <v>0</v>
      </c>
      <c r="L7274" s="5">
        <v>0</v>
      </c>
      <c r="M7274" s="4"/>
      <c r="N7274" s="4"/>
      <c r="O7274" s="5"/>
      <c r="P7274" s="5"/>
      <c r="Q7274" s="21">
        <v>125</v>
      </c>
      <c r="R7274" s="21">
        <v>0</v>
      </c>
      <c r="S7274" s="5">
        <f t="shared" si="455"/>
        <v>25921.730122726301</v>
      </c>
      <c r="T7274" cm="1">
        <f t="array" ref="T7274">IF(OR(B7274="MAL ALIMI", B7274="ÜRETİM GİRİŞ"), MIN(I7274, MAX(0, I7274 + SUM(SUMIFS($I$1:I7273, $C$1:C7273, C7274, $B$1:B7273, {"MAL ALIMI","ÜRETİM GİRİŞ"})) - VLOOKUP(C7274, 'STOK RAPORU'!$C$2:$I$1000, 4, 0))), 0)</f>
        <v>0</v>
      </c>
      <c r="U7274" s="22">
        <f t="shared" si="452"/>
        <v>0</v>
      </c>
      <c r="V7274">
        <f t="shared" si="453"/>
        <v>0</v>
      </c>
      <c r="W7274" s="22">
        <f t="shared" si="454"/>
        <v>0</v>
      </c>
    </row>
    <row r="7275" spans="1:23" hidden="1" x14ac:dyDescent="0.25">
      <c r="A7275" s="3">
        <v>46163</v>
      </c>
      <c r="B7275" s="46" t="s">
        <v>334</v>
      </c>
      <c r="C7275" s="4" t="s">
        <v>911</v>
      </c>
      <c r="D7275" s="4"/>
      <c r="E7275" s="4"/>
      <c r="F7275" s="4" t="s">
        <v>3489</v>
      </c>
      <c r="G7275" s="4" t="s">
        <v>336</v>
      </c>
      <c r="H7275" s="4" t="s">
        <v>289</v>
      </c>
      <c r="I7275" s="4">
        <v>1</v>
      </c>
      <c r="J7275" s="21">
        <v>130</v>
      </c>
      <c r="K7275" s="21">
        <v>0</v>
      </c>
      <c r="L7275" s="5">
        <v>0</v>
      </c>
      <c r="M7275" s="4"/>
      <c r="N7275" s="4"/>
      <c r="O7275" s="5"/>
      <c r="P7275" s="5"/>
      <c r="Q7275" s="21">
        <v>130</v>
      </c>
      <c r="R7275" s="21">
        <v>0</v>
      </c>
      <c r="S7275" s="5">
        <f t="shared" si="455"/>
        <v>26051.730122726301</v>
      </c>
      <c r="T7275" cm="1">
        <f t="array" ref="T7275">IF(OR(B7275="MAL ALIMI", B7275="ÜRETİM GİRİŞ"), MIN(I7275, MAX(0, I7275 + SUM(SUMIFS($I$1:I7274, $C$1:C7274, C7275, $B$1:B7274, {"MAL ALIMI","ÜRETİM GİRİŞ"})) - VLOOKUP(C7275, 'STOK RAPORU'!$C$2:$I$1000, 4, 0))), 0)</f>
        <v>0</v>
      </c>
      <c r="U7275" s="22">
        <f t="shared" si="452"/>
        <v>0</v>
      </c>
      <c r="V7275">
        <f t="shared" si="453"/>
        <v>0</v>
      </c>
      <c r="W7275" s="22">
        <f t="shared" si="454"/>
        <v>0</v>
      </c>
    </row>
    <row r="7276" spans="1:23" hidden="1" x14ac:dyDescent="0.25">
      <c r="A7276" s="3">
        <v>46163</v>
      </c>
      <c r="B7276" s="46" t="s">
        <v>334</v>
      </c>
      <c r="C7276" s="4" t="s">
        <v>198</v>
      </c>
      <c r="D7276" s="4"/>
      <c r="E7276" s="4" t="s">
        <v>921</v>
      </c>
      <c r="F7276" s="4" t="s">
        <v>3490</v>
      </c>
      <c r="G7276" s="4" t="s">
        <v>336</v>
      </c>
      <c r="H7276" s="4" t="s">
        <v>380</v>
      </c>
      <c r="I7276" s="4">
        <v>0.05</v>
      </c>
      <c r="J7276" s="21">
        <v>1400</v>
      </c>
      <c r="K7276" s="21">
        <v>70</v>
      </c>
      <c r="L7276" s="5">
        <v>0</v>
      </c>
      <c r="M7276" s="4"/>
      <c r="N7276" s="4"/>
      <c r="O7276" s="5"/>
      <c r="P7276" s="5"/>
      <c r="Q7276" s="21">
        <v>0</v>
      </c>
      <c r="R7276" s="21">
        <v>0</v>
      </c>
      <c r="S7276" s="5">
        <f t="shared" si="455"/>
        <v>26051.730122726301</v>
      </c>
      <c r="T7276" cm="1">
        <f t="array" ref="T7276">IF(OR(B7276="MAL ALIMI", B7276="ÜRETİM GİRİŞ"), MIN(I7276, MAX(0, I7276 + SUM(SUMIFS($I$1:I7275, $C$1:C7275, C7276, $B$1:B7275, {"MAL ALIMI","ÜRETİM GİRİŞ"})) - VLOOKUP(C7276, 'STOK RAPORU'!$C$2:$I$1000, 4, 0))), 0)</f>
        <v>0</v>
      </c>
      <c r="U7276" s="22">
        <f t="shared" si="452"/>
        <v>0</v>
      </c>
      <c r="V7276">
        <f t="shared" si="453"/>
        <v>0</v>
      </c>
      <c r="W7276" s="22">
        <f t="shared" si="454"/>
        <v>0</v>
      </c>
    </row>
    <row r="7277" spans="1:23" hidden="1" x14ac:dyDescent="0.25">
      <c r="A7277" s="3">
        <v>46163</v>
      </c>
      <c r="B7277" s="46" t="s">
        <v>334</v>
      </c>
      <c r="C7277" s="4" t="s">
        <v>695</v>
      </c>
      <c r="D7277" s="4"/>
      <c r="E7277" s="4" t="s">
        <v>921</v>
      </c>
      <c r="F7277" s="4" t="s">
        <v>3490</v>
      </c>
      <c r="G7277" s="4" t="s">
        <v>336</v>
      </c>
      <c r="H7277" s="4" t="s">
        <v>380</v>
      </c>
      <c r="I7277" s="4">
        <v>0.5</v>
      </c>
      <c r="J7277" s="21">
        <v>120</v>
      </c>
      <c r="K7277" s="21">
        <v>60</v>
      </c>
      <c r="L7277" s="5">
        <v>0</v>
      </c>
      <c r="M7277" s="4"/>
      <c r="N7277" s="4"/>
      <c r="O7277" s="5"/>
      <c r="P7277" s="5"/>
      <c r="Q7277" s="21">
        <v>0</v>
      </c>
      <c r="R7277" s="21">
        <v>0</v>
      </c>
      <c r="S7277" s="5">
        <f t="shared" si="455"/>
        <v>26051.730122726301</v>
      </c>
      <c r="T7277" cm="1">
        <f t="array" ref="T7277">IF(OR(B7277="MAL ALIMI", B7277="ÜRETİM GİRİŞ"), MIN(I7277, MAX(0, I7277 + SUM(SUMIFS($I$1:I7276, $C$1:C7276, C7277, $B$1:B7276, {"MAL ALIMI","ÜRETİM GİRİŞ"})) - VLOOKUP(C7277, 'STOK RAPORU'!$C$2:$I$1000, 4, 0))), 0)</f>
        <v>0</v>
      </c>
      <c r="U7277" s="22">
        <f t="shared" si="452"/>
        <v>0</v>
      </c>
      <c r="V7277">
        <f t="shared" si="453"/>
        <v>0</v>
      </c>
      <c r="W7277" s="22">
        <f t="shared" si="454"/>
        <v>0</v>
      </c>
    </row>
    <row r="7278" spans="1:23" hidden="1" x14ac:dyDescent="0.25">
      <c r="A7278" s="3">
        <v>46163</v>
      </c>
      <c r="B7278" s="46" t="s">
        <v>334</v>
      </c>
      <c r="C7278" s="4" t="s">
        <v>2565</v>
      </c>
      <c r="D7278" s="4"/>
      <c r="E7278" s="4" t="s">
        <v>921</v>
      </c>
      <c r="F7278" s="4" t="s">
        <v>3490</v>
      </c>
      <c r="G7278" s="4" t="s">
        <v>336</v>
      </c>
      <c r="H7278" s="4" t="s">
        <v>380</v>
      </c>
      <c r="I7278" s="4">
        <v>0.38400000000000001</v>
      </c>
      <c r="J7278" s="21">
        <v>650</v>
      </c>
      <c r="K7278" s="21">
        <v>249.6</v>
      </c>
      <c r="L7278" s="5">
        <v>0</v>
      </c>
      <c r="M7278" s="4"/>
      <c r="N7278" s="4"/>
      <c r="O7278" s="5"/>
      <c r="P7278" s="5"/>
      <c r="Q7278" s="21">
        <v>0</v>
      </c>
      <c r="R7278" s="21">
        <v>0</v>
      </c>
      <c r="S7278" s="5">
        <f t="shared" si="455"/>
        <v>26051.730122726301</v>
      </c>
      <c r="T7278" cm="1">
        <f t="array" ref="T7278">IF(OR(B7278="MAL ALIMI", B7278="ÜRETİM GİRİŞ"), MIN(I7278, MAX(0, I7278 + SUM(SUMIFS($I$1:I7277, $C$1:C7277, C7278, $B$1:B7277, {"MAL ALIMI","ÜRETİM GİRİŞ"})) - VLOOKUP(C7278, 'STOK RAPORU'!$C$2:$I$1000, 4, 0))), 0)</f>
        <v>0</v>
      </c>
      <c r="U7278" s="22">
        <f t="shared" si="452"/>
        <v>0</v>
      </c>
      <c r="V7278">
        <f t="shared" si="453"/>
        <v>0</v>
      </c>
      <c r="W7278" s="22">
        <f t="shared" si="454"/>
        <v>0</v>
      </c>
    </row>
    <row r="7279" spans="1:23" hidden="1" x14ac:dyDescent="0.25">
      <c r="A7279" s="3">
        <v>46163</v>
      </c>
      <c r="B7279" s="46" t="s">
        <v>334</v>
      </c>
      <c r="C7279" s="4" t="s">
        <v>158</v>
      </c>
      <c r="D7279" s="4"/>
      <c r="E7279" s="4" t="s">
        <v>921</v>
      </c>
      <c r="F7279" s="4" t="s">
        <v>3490</v>
      </c>
      <c r="G7279" s="4" t="s">
        <v>336</v>
      </c>
      <c r="H7279" s="4" t="s">
        <v>380</v>
      </c>
      <c r="I7279" s="4">
        <v>1</v>
      </c>
      <c r="J7279" s="21">
        <v>150</v>
      </c>
      <c r="K7279" s="21">
        <v>150</v>
      </c>
      <c r="L7279" s="5">
        <v>0</v>
      </c>
      <c r="M7279" s="4"/>
      <c r="N7279" s="4"/>
      <c r="O7279" s="5"/>
      <c r="P7279" s="5"/>
      <c r="Q7279" s="21">
        <v>0</v>
      </c>
      <c r="R7279" s="21">
        <v>0</v>
      </c>
      <c r="S7279" s="5">
        <f t="shared" si="455"/>
        <v>26051.730122726301</v>
      </c>
      <c r="T7279" cm="1">
        <f t="array" ref="T7279">IF(OR(B7279="MAL ALIMI", B7279="ÜRETİM GİRİŞ"), MIN(I7279, MAX(0, I7279 + SUM(SUMIFS($I$1:I7278, $C$1:C7278, C7279, $B$1:B7278, {"MAL ALIMI","ÜRETİM GİRİŞ"})) - VLOOKUP(C7279, 'STOK RAPORU'!$C$2:$I$1000, 4, 0))), 0)</f>
        <v>0</v>
      </c>
      <c r="U7279" s="22">
        <f t="shared" si="452"/>
        <v>0</v>
      </c>
      <c r="V7279">
        <f t="shared" si="453"/>
        <v>0</v>
      </c>
      <c r="W7279" s="22">
        <f t="shared" si="454"/>
        <v>0</v>
      </c>
    </row>
    <row r="7280" spans="1:23" hidden="1" x14ac:dyDescent="0.25">
      <c r="A7280" s="3">
        <v>46163</v>
      </c>
      <c r="B7280" s="46" t="s">
        <v>334</v>
      </c>
      <c r="C7280" s="4" t="s">
        <v>156</v>
      </c>
      <c r="D7280" s="4"/>
      <c r="E7280" s="4" t="s">
        <v>921</v>
      </c>
      <c r="F7280" s="4" t="s">
        <v>3490</v>
      </c>
      <c r="G7280" s="4" t="s">
        <v>336</v>
      </c>
      <c r="H7280" s="4" t="s">
        <v>380</v>
      </c>
      <c r="I7280" s="4">
        <v>1</v>
      </c>
      <c r="J7280" s="21">
        <v>200</v>
      </c>
      <c r="K7280" s="21">
        <v>200</v>
      </c>
      <c r="L7280" s="5">
        <v>0</v>
      </c>
      <c r="M7280" s="4"/>
      <c r="N7280" s="4"/>
      <c r="O7280" s="5"/>
      <c r="P7280" s="5"/>
      <c r="Q7280" s="21">
        <v>0</v>
      </c>
      <c r="R7280" s="21">
        <v>0</v>
      </c>
      <c r="S7280" s="5">
        <f t="shared" si="455"/>
        <v>26051.730122726301</v>
      </c>
      <c r="T7280" cm="1">
        <f t="array" ref="T7280">IF(OR(B7280="MAL ALIMI", B7280="ÜRETİM GİRİŞ"), MIN(I7280, MAX(0, I7280 + SUM(SUMIFS($I$1:I7279, $C$1:C7279, C7280, $B$1:B7279, {"MAL ALIMI","ÜRETİM GİRİŞ"})) - VLOOKUP(C7280, 'STOK RAPORU'!$C$2:$I$1000, 4, 0))), 0)</f>
        <v>0</v>
      </c>
      <c r="U7280" s="22">
        <f t="shared" si="452"/>
        <v>0</v>
      </c>
      <c r="V7280">
        <f t="shared" si="453"/>
        <v>0</v>
      </c>
      <c r="W7280" s="22">
        <f t="shared" si="454"/>
        <v>0</v>
      </c>
    </row>
    <row r="7281" spans="1:23" hidden="1" x14ac:dyDescent="0.25">
      <c r="A7281" s="3">
        <v>46163</v>
      </c>
      <c r="B7281" s="46" t="s">
        <v>334</v>
      </c>
      <c r="C7281" s="4" t="s">
        <v>214</v>
      </c>
      <c r="D7281" s="4"/>
      <c r="E7281" s="4" t="s">
        <v>921</v>
      </c>
      <c r="F7281" s="4" t="s">
        <v>3491</v>
      </c>
      <c r="G7281" s="4" t="s">
        <v>336</v>
      </c>
      <c r="H7281" s="4" t="s">
        <v>380</v>
      </c>
      <c r="I7281" s="4">
        <v>0.1</v>
      </c>
      <c r="J7281" s="21">
        <v>900</v>
      </c>
      <c r="K7281" s="21">
        <v>90</v>
      </c>
      <c r="L7281" s="5">
        <v>0</v>
      </c>
      <c r="M7281" s="4"/>
      <c r="N7281" s="4"/>
      <c r="O7281" s="5"/>
      <c r="P7281" s="5"/>
      <c r="Q7281" s="21">
        <v>0</v>
      </c>
      <c r="R7281" s="21">
        <v>0</v>
      </c>
      <c r="S7281" s="5">
        <f t="shared" si="455"/>
        <v>26051.730122726301</v>
      </c>
      <c r="T7281" cm="1">
        <f t="array" ref="T7281">IF(OR(B7281="MAL ALIMI", B7281="ÜRETİM GİRİŞ"), MIN(I7281, MAX(0, I7281 + SUM(SUMIFS($I$1:I7280, $C$1:C7280, C7281, $B$1:B7280, {"MAL ALIMI","ÜRETİM GİRİŞ"})) - VLOOKUP(C7281, 'STOK RAPORU'!$C$2:$I$1000, 4, 0))), 0)</f>
        <v>0</v>
      </c>
      <c r="U7281" s="22">
        <f t="shared" si="452"/>
        <v>0</v>
      </c>
      <c r="V7281">
        <f t="shared" si="453"/>
        <v>0</v>
      </c>
      <c r="W7281" s="22">
        <f t="shared" si="454"/>
        <v>0</v>
      </c>
    </row>
    <row r="7282" spans="1:23" hidden="1" x14ac:dyDescent="0.25">
      <c r="A7282" s="3">
        <v>46163</v>
      </c>
      <c r="B7282" s="46" t="s">
        <v>334</v>
      </c>
      <c r="C7282" s="4" t="s">
        <v>60</v>
      </c>
      <c r="D7282" s="4"/>
      <c r="E7282" s="4"/>
      <c r="F7282" s="4" t="s">
        <v>3492</v>
      </c>
      <c r="G7282" s="4" t="s">
        <v>336</v>
      </c>
      <c r="H7282" s="4" t="s">
        <v>289</v>
      </c>
      <c r="I7282" s="4">
        <v>0.1</v>
      </c>
      <c r="J7282" s="21">
        <v>1200</v>
      </c>
      <c r="K7282" s="21">
        <v>0</v>
      </c>
      <c r="L7282" s="5">
        <v>0</v>
      </c>
      <c r="M7282" s="4"/>
      <c r="N7282" s="4"/>
      <c r="O7282" s="5"/>
      <c r="P7282" s="5"/>
      <c r="Q7282" s="21">
        <v>120</v>
      </c>
      <c r="R7282" s="21">
        <v>0</v>
      </c>
      <c r="S7282" s="5">
        <f t="shared" si="455"/>
        <v>26171.730122726301</v>
      </c>
      <c r="T7282" cm="1">
        <f t="array" ref="T7282">IF(OR(B7282="MAL ALIMI", B7282="ÜRETİM GİRİŞ"), MIN(I7282, MAX(0, I7282 + SUM(SUMIFS($I$1:I7281, $C$1:C7281, C7282, $B$1:B7281, {"MAL ALIMI","ÜRETİM GİRİŞ"})) - VLOOKUP(C7282, 'STOK RAPORU'!$C$2:$I$1000, 4, 0))), 0)</f>
        <v>0</v>
      </c>
      <c r="U7282" s="22">
        <f t="shared" ref="U7282:U7345" si="456">T7282*J7282</f>
        <v>0</v>
      </c>
      <c r="V7282">
        <f t="shared" ref="V7282:V7345" si="457">IF(OR(B7282="MAL ALIMI", B7282="ÜRETİM GİRİŞ"), I7282 * J7282, 0)</f>
        <v>0</v>
      </c>
      <c r="W7282" s="22">
        <f t="shared" ref="W7282:W7345" si="458">V7282-U7282</f>
        <v>0</v>
      </c>
    </row>
    <row r="7283" spans="1:23" hidden="1" x14ac:dyDescent="0.25">
      <c r="A7283" s="3">
        <v>46163</v>
      </c>
      <c r="B7283" s="46" t="s">
        <v>334</v>
      </c>
      <c r="C7283" s="4" t="s">
        <v>160</v>
      </c>
      <c r="D7283" s="4"/>
      <c r="E7283" s="4" t="s">
        <v>921</v>
      </c>
      <c r="F7283" s="4" t="s">
        <v>3493</v>
      </c>
      <c r="G7283" s="4" t="s">
        <v>336</v>
      </c>
      <c r="H7283" s="4" t="s">
        <v>380</v>
      </c>
      <c r="I7283" s="4">
        <v>1</v>
      </c>
      <c r="J7283" s="21">
        <v>250</v>
      </c>
      <c r="K7283" s="21">
        <v>250</v>
      </c>
      <c r="L7283" s="5">
        <v>0</v>
      </c>
      <c r="M7283" s="4"/>
      <c r="N7283" s="4"/>
      <c r="O7283" s="5"/>
      <c r="P7283" s="5"/>
      <c r="Q7283" s="21">
        <v>0</v>
      </c>
      <c r="R7283" s="21">
        <v>0</v>
      </c>
      <c r="S7283" s="5">
        <f t="shared" si="455"/>
        <v>26171.730122726301</v>
      </c>
      <c r="T7283" cm="1">
        <f t="array" ref="T7283">IF(OR(B7283="MAL ALIMI", B7283="ÜRETİM GİRİŞ"), MIN(I7283, MAX(0, I7283 + SUM(SUMIFS($I$1:I7282, $C$1:C7282, C7283, $B$1:B7282, {"MAL ALIMI","ÜRETİM GİRİŞ"})) - VLOOKUP(C7283, 'STOK RAPORU'!$C$2:$I$1000, 4, 0))), 0)</f>
        <v>0</v>
      </c>
      <c r="U7283" s="22">
        <f t="shared" si="456"/>
        <v>0</v>
      </c>
      <c r="V7283">
        <f t="shared" si="457"/>
        <v>0</v>
      </c>
      <c r="W7283" s="22">
        <f t="shared" si="458"/>
        <v>0</v>
      </c>
    </row>
    <row r="7284" spans="1:23" hidden="1" x14ac:dyDescent="0.25">
      <c r="A7284" s="3">
        <v>46163</v>
      </c>
      <c r="B7284" s="46" t="s">
        <v>334</v>
      </c>
      <c r="C7284" s="4" t="s">
        <v>463</v>
      </c>
      <c r="D7284" s="4"/>
      <c r="E7284" s="4"/>
      <c r="F7284" s="4" t="s">
        <v>3494</v>
      </c>
      <c r="G7284" s="4" t="s">
        <v>336</v>
      </c>
      <c r="H7284" s="4" t="s">
        <v>289</v>
      </c>
      <c r="I7284" s="4">
        <v>0.16500000000000001</v>
      </c>
      <c r="J7284" s="21">
        <v>400</v>
      </c>
      <c r="K7284" s="21">
        <v>0</v>
      </c>
      <c r="L7284" s="5">
        <v>0</v>
      </c>
      <c r="M7284" s="4"/>
      <c r="N7284" s="4"/>
      <c r="O7284" s="5"/>
      <c r="P7284" s="5"/>
      <c r="Q7284" s="21">
        <v>66</v>
      </c>
      <c r="R7284" s="21">
        <v>0</v>
      </c>
      <c r="S7284" s="5">
        <f t="shared" si="455"/>
        <v>26237.730122726301</v>
      </c>
      <c r="T7284" cm="1">
        <f t="array" ref="T7284">IF(OR(B7284="MAL ALIMI", B7284="ÜRETİM GİRİŞ"), MIN(I7284, MAX(0, I7284 + SUM(SUMIFS($I$1:I7283, $C$1:C7283, C7284, $B$1:B7283, {"MAL ALIMI","ÜRETİM GİRİŞ"})) - VLOOKUP(C7284, 'STOK RAPORU'!$C$2:$I$1000, 4, 0))), 0)</f>
        <v>0</v>
      </c>
      <c r="U7284" s="22">
        <f t="shared" si="456"/>
        <v>0</v>
      </c>
      <c r="V7284">
        <f t="shared" si="457"/>
        <v>0</v>
      </c>
      <c r="W7284" s="22">
        <f t="shared" si="458"/>
        <v>0</v>
      </c>
    </row>
    <row r="7285" spans="1:23" hidden="1" x14ac:dyDescent="0.25">
      <c r="A7285" s="3">
        <v>46163</v>
      </c>
      <c r="B7285" s="46" t="s">
        <v>334</v>
      </c>
      <c r="C7285" s="4" t="s">
        <v>1394</v>
      </c>
      <c r="D7285" s="4"/>
      <c r="E7285" s="4"/>
      <c r="F7285" s="4" t="s">
        <v>3494</v>
      </c>
      <c r="G7285" s="4" t="s">
        <v>336</v>
      </c>
      <c r="H7285" s="4" t="s">
        <v>289</v>
      </c>
      <c r="I7285" s="4">
        <v>1</v>
      </c>
      <c r="J7285" s="21">
        <v>135</v>
      </c>
      <c r="K7285" s="21">
        <v>0</v>
      </c>
      <c r="L7285" s="5">
        <v>0</v>
      </c>
      <c r="M7285" s="4"/>
      <c r="N7285" s="4"/>
      <c r="O7285" s="5"/>
      <c r="P7285" s="5"/>
      <c r="Q7285" s="21">
        <v>135</v>
      </c>
      <c r="R7285" s="21">
        <v>0</v>
      </c>
      <c r="S7285" s="5">
        <f t="shared" si="455"/>
        <v>26372.730122726301</v>
      </c>
      <c r="T7285" cm="1">
        <f t="array" ref="T7285">IF(OR(B7285="MAL ALIMI", B7285="ÜRETİM GİRİŞ"), MIN(I7285, MAX(0, I7285 + SUM(SUMIFS($I$1:I7284, $C$1:C7284, C7285, $B$1:B7284, {"MAL ALIMI","ÜRETİM GİRİŞ"})) - VLOOKUP(C7285, 'STOK RAPORU'!$C$2:$I$1000, 4, 0))), 0)</f>
        <v>0</v>
      </c>
      <c r="U7285" s="22">
        <f t="shared" si="456"/>
        <v>0</v>
      </c>
      <c r="V7285">
        <f t="shared" si="457"/>
        <v>0</v>
      </c>
      <c r="W7285" s="22">
        <f t="shared" si="458"/>
        <v>0</v>
      </c>
    </row>
    <row r="7286" spans="1:23" hidden="1" x14ac:dyDescent="0.25">
      <c r="A7286" s="3">
        <v>46163</v>
      </c>
      <c r="B7286" s="46" t="s">
        <v>334</v>
      </c>
      <c r="C7286" s="4" t="s">
        <v>651</v>
      </c>
      <c r="D7286" s="4"/>
      <c r="E7286" s="4"/>
      <c r="F7286" s="4" t="s">
        <v>3494</v>
      </c>
      <c r="G7286" s="4" t="s">
        <v>336</v>
      </c>
      <c r="H7286" s="4" t="s">
        <v>289</v>
      </c>
      <c r="I7286" s="4">
        <v>1</v>
      </c>
      <c r="J7286" s="21">
        <v>400</v>
      </c>
      <c r="K7286" s="21">
        <v>0</v>
      </c>
      <c r="L7286" s="5">
        <v>0</v>
      </c>
      <c r="M7286" s="4"/>
      <c r="N7286" s="4"/>
      <c r="O7286" s="5"/>
      <c r="P7286" s="5"/>
      <c r="Q7286" s="21">
        <v>400</v>
      </c>
      <c r="R7286" s="21">
        <v>0</v>
      </c>
      <c r="S7286" s="5">
        <f t="shared" si="455"/>
        <v>26772.730122726301</v>
      </c>
      <c r="T7286" cm="1">
        <f t="array" ref="T7286">IF(OR(B7286="MAL ALIMI", B7286="ÜRETİM GİRİŞ"), MIN(I7286, MAX(0, I7286 + SUM(SUMIFS($I$1:I7285, $C$1:C7285, C7286, $B$1:B7285, {"MAL ALIMI","ÜRETİM GİRİŞ"})) - VLOOKUP(C7286, 'STOK RAPORU'!$C$2:$I$1000, 4, 0))), 0)</f>
        <v>0</v>
      </c>
      <c r="U7286" s="22">
        <f t="shared" si="456"/>
        <v>0</v>
      </c>
      <c r="V7286">
        <f t="shared" si="457"/>
        <v>0</v>
      </c>
      <c r="W7286" s="22">
        <f t="shared" si="458"/>
        <v>0</v>
      </c>
    </row>
    <row r="7287" spans="1:23" hidden="1" x14ac:dyDescent="0.25">
      <c r="A7287" s="3">
        <v>46163</v>
      </c>
      <c r="B7287" s="46" t="s">
        <v>334</v>
      </c>
      <c r="C7287" s="4" t="s">
        <v>529</v>
      </c>
      <c r="D7287" s="4"/>
      <c r="E7287" s="4"/>
      <c r="F7287" s="4" t="s">
        <v>3494</v>
      </c>
      <c r="G7287" s="4" t="s">
        <v>336</v>
      </c>
      <c r="H7287" s="4" t="s">
        <v>289</v>
      </c>
      <c r="I7287" s="4">
        <v>0.45</v>
      </c>
      <c r="J7287" s="21">
        <v>540</v>
      </c>
      <c r="K7287" s="21">
        <v>0</v>
      </c>
      <c r="L7287" s="5">
        <v>0</v>
      </c>
      <c r="M7287" s="4"/>
      <c r="N7287" s="4"/>
      <c r="O7287" s="5"/>
      <c r="P7287" s="5"/>
      <c r="Q7287" s="21">
        <v>243</v>
      </c>
      <c r="R7287" s="21">
        <v>0</v>
      </c>
      <c r="S7287" s="5">
        <f t="shared" si="455"/>
        <v>27015.730122726301</v>
      </c>
      <c r="T7287" cm="1">
        <f t="array" ref="T7287">IF(OR(B7287="MAL ALIMI", B7287="ÜRETİM GİRİŞ"), MIN(I7287, MAX(0, I7287 + SUM(SUMIFS($I$1:I7286, $C$1:C7286, C7287, $B$1:B7286, {"MAL ALIMI","ÜRETİM GİRİŞ"})) - VLOOKUP(C7287, 'STOK RAPORU'!$C$2:$I$1000, 4, 0))), 0)</f>
        <v>0</v>
      </c>
      <c r="U7287" s="22">
        <f t="shared" si="456"/>
        <v>0</v>
      </c>
      <c r="V7287">
        <f t="shared" si="457"/>
        <v>0</v>
      </c>
      <c r="W7287" s="22">
        <f t="shared" si="458"/>
        <v>0</v>
      </c>
    </row>
    <row r="7288" spans="1:23" hidden="1" x14ac:dyDescent="0.25">
      <c r="A7288" s="3">
        <v>46164</v>
      </c>
      <c r="B7288" s="46" t="s">
        <v>334</v>
      </c>
      <c r="C7288" s="4" t="s">
        <v>214</v>
      </c>
      <c r="D7288" s="4"/>
      <c r="E7288" s="4"/>
      <c r="F7288" s="4" t="s">
        <v>3495</v>
      </c>
      <c r="G7288" s="4" t="s">
        <v>336</v>
      </c>
      <c r="H7288" s="4" t="s">
        <v>289</v>
      </c>
      <c r="I7288" s="4">
        <v>0.2</v>
      </c>
      <c r="J7288" s="21">
        <v>900</v>
      </c>
      <c r="K7288" s="21">
        <v>0</v>
      </c>
      <c r="L7288" s="5">
        <v>0</v>
      </c>
      <c r="M7288" s="4"/>
      <c r="N7288" s="4"/>
      <c r="O7288" s="5"/>
      <c r="P7288" s="5"/>
      <c r="Q7288" s="21">
        <v>180</v>
      </c>
      <c r="R7288" s="21">
        <v>0</v>
      </c>
      <c r="S7288" s="5">
        <f t="shared" si="455"/>
        <v>27195.730122726301</v>
      </c>
      <c r="T7288" cm="1">
        <f t="array" ref="T7288">IF(OR(B7288="MAL ALIMI", B7288="ÜRETİM GİRİŞ"), MIN(I7288, MAX(0, I7288 + SUM(SUMIFS($I$1:I7287, $C$1:C7287, C7288, $B$1:B7287, {"MAL ALIMI","ÜRETİM GİRİŞ"})) - VLOOKUP(C7288, 'STOK RAPORU'!$C$2:$I$1000, 4, 0))), 0)</f>
        <v>0</v>
      </c>
      <c r="U7288" s="22">
        <f t="shared" si="456"/>
        <v>0</v>
      </c>
      <c r="V7288">
        <f t="shared" si="457"/>
        <v>0</v>
      </c>
      <c r="W7288" s="22">
        <f t="shared" si="458"/>
        <v>0</v>
      </c>
    </row>
    <row r="7289" spans="1:23" hidden="1" x14ac:dyDescent="0.25">
      <c r="A7289" s="3">
        <v>46164</v>
      </c>
      <c r="B7289" s="46" t="s">
        <v>334</v>
      </c>
      <c r="C7289" s="4" t="s">
        <v>468</v>
      </c>
      <c r="D7289" s="4"/>
      <c r="E7289" s="4"/>
      <c r="F7289" s="4" t="s">
        <v>3496</v>
      </c>
      <c r="G7289" s="4" t="s">
        <v>336</v>
      </c>
      <c r="H7289" s="4" t="s">
        <v>289</v>
      </c>
      <c r="I7289" s="4">
        <v>1</v>
      </c>
      <c r="J7289" s="21">
        <v>50</v>
      </c>
      <c r="K7289" s="21">
        <v>0</v>
      </c>
      <c r="L7289" s="5">
        <v>0</v>
      </c>
      <c r="M7289" s="4"/>
      <c r="N7289" s="4"/>
      <c r="O7289" s="5"/>
      <c r="P7289" s="5"/>
      <c r="Q7289" s="21">
        <v>50</v>
      </c>
      <c r="R7289" s="21">
        <v>0</v>
      </c>
      <c r="S7289" s="5">
        <f t="shared" si="455"/>
        <v>27245.730122726301</v>
      </c>
      <c r="T7289" cm="1">
        <f t="array" ref="T7289">IF(OR(B7289="MAL ALIMI", B7289="ÜRETİM GİRİŞ"), MIN(I7289, MAX(0, I7289 + SUM(SUMIFS($I$1:I7288, $C$1:C7288, C7289, $B$1:B7288, {"MAL ALIMI","ÜRETİM GİRİŞ"})) - VLOOKUP(C7289, 'STOK RAPORU'!$C$2:$I$1000, 4, 0))), 0)</f>
        <v>0</v>
      </c>
      <c r="U7289" s="22">
        <f t="shared" si="456"/>
        <v>0</v>
      </c>
      <c r="V7289">
        <f t="shared" si="457"/>
        <v>0</v>
      </c>
      <c r="W7289" s="22">
        <f t="shared" si="458"/>
        <v>0</v>
      </c>
    </row>
    <row r="7290" spans="1:23" hidden="1" x14ac:dyDescent="0.25">
      <c r="A7290" s="3">
        <v>46164</v>
      </c>
      <c r="B7290" s="46" t="s">
        <v>334</v>
      </c>
      <c r="C7290" s="4" t="s">
        <v>1443</v>
      </c>
      <c r="D7290" s="4"/>
      <c r="E7290" s="4"/>
      <c r="F7290" s="4" t="s">
        <v>3496</v>
      </c>
      <c r="G7290" s="4" t="s">
        <v>336</v>
      </c>
      <c r="H7290" s="4" t="s">
        <v>289</v>
      </c>
      <c r="I7290" s="4">
        <v>1</v>
      </c>
      <c r="J7290" s="21">
        <v>20</v>
      </c>
      <c r="K7290" s="21">
        <v>0</v>
      </c>
      <c r="L7290" s="5">
        <v>0</v>
      </c>
      <c r="M7290" s="4"/>
      <c r="N7290" s="4"/>
      <c r="O7290" s="5"/>
      <c r="P7290" s="5"/>
      <c r="Q7290" s="21">
        <v>20</v>
      </c>
      <c r="R7290" s="21">
        <v>0</v>
      </c>
      <c r="S7290" s="5">
        <f t="shared" si="455"/>
        <v>27265.730122726301</v>
      </c>
      <c r="T7290" cm="1">
        <f t="array" ref="T7290">IF(OR(B7290="MAL ALIMI", B7290="ÜRETİM GİRİŞ"), MIN(I7290, MAX(0, I7290 + SUM(SUMIFS($I$1:I7289, $C$1:C7289, C7290, $B$1:B7289, {"MAL ALIMI","ÜRETİM GİRİŞ"})) - VLOOKUP(C7290, 'STOK RAPORU'!$C$2:$I$1000, 4, 0))), 0)</f>
        <v>0</v>
      </c>
      <c r="U7290" s="22">
        <f t="shared" si="456"/>
        <v>0</v>
      </c>
      <c r="V7290">
        <f t="shared" si="457"/>
        <v>0</v>
      </c>
      <c r="W7290" s="22">
        <f t="shared" si="458"/>
        <v>0</v>
      </c>
    </row>
    <row r="7291" spans="1:23" hidden="1" x14ac:dyDescent="0.25">
      <c r="A7291" s="3">
        <v>46164</v>
      </c>
      <c r="B7291" s="46" t="s">
        <v>334</v>
      </c>
      <c r="C7291" s="4" t="s">
        <v>158</v>
      </c>
      <c r="D7291" s="4"/>
      <c r="E7291" s="4"/>
      <c r="F7291" s="4" t="s">
        <v>3497</v>
      </c>
      <c r="G7291" s="4" t="s">
        <v>336</v>
      </c>
      <c r="H7291" s="4" t="s">
        <v>289</v>
      </c>
      <c r="I7291" s="4">
        <v>1</v>
      </c>
      <c r="J7291" s="21">
        <v>150</v>
      </c>
      <c r="K7291" s="21">
        <v>0</v>
      </c>
      <c r="L7291" s="5">
        <v>0</v>
      </c>
      <c r="M7291" s="4"/>
      <c r="N7291" s="4"/>
      <c r="O7291" s="5"/>
      <c r="P7291" s="5"/>
      <c r="Q7291" s="21">
        <v>150</v>
      </c>
      <c r="R7291" s="21">
        <v>0</v>
      </c>
      <c r="S7291" s="5">
        <f t="shared" si="455"/>
        <v>27415.730122726301</v>
      </c>
      <c r="T7291" cm="1">
        <f t="array" ref="T7291">IF(OR(B7291="MAL ALIMI", B7291="ÜRETİM GİRİŞ"), MIN(I7291, MAX(0, I7291 + SUM(SUMIFS($I$1:I7290, $C$1:C7290, C7291, $B$1:B7290, {"MAL ALIMI","ÜRETİM GİRİŞ"})) - VLOOKUP(C7291, 'STOK RAPORU'!$C$2:$I$1000, 4, 0))), 0)</f>
        <v>0</v>
      </c>
      <c r="U7291" s="22">
        <f t="shared" si="456"/>
        <v>0</v>
      </c>
      <c r="V7291">
        <f t="shared" si="457"/>
        <v>0</v>
      </c>
      <c r="W7291" s="22">
        <f t="shared" si="458"/>
        <v>0</v>
      </c>
    </row>
    <row r="7292" spans="1:23" hidden="1" x14ac:dyDescent="0.25">
      <c r="A7292" s="3">
        <v>46164</v>
      </c>
      <c r="B7292" s="46" t="s">
        <v>334</v>
      </c>
      <c r="C7292" s="4" t="s">
        <v>157</v>
      </c>
      <c r="D7292" s="4"/>
      <c r="E7292" s="4"/>
      <c r="F7292" s="4" t="s">
        <v>3497</v>
      </c>
      <c r="G7292" s="4" t="s">
        <v>336</v>
      </c>
      <c r="H7292" s="4" t="s">
        <v>289</v>
      </c>
      <c r="I7292" s="4">
        <v>1</v>
      </c>
      <c r="J7292" s="21">
        <v>200</v>
      </c>
      <c r="K7292" s="21">
        <v>0</v>
      </c>
      <c r="L7292" s="5">
        <v>0</v>
      </c>
      <c r="M7292" s="4"/>
      <c r="N7292" s="4"/>
      <c r="O7292" s="5"/>
      <c r="P7292" s="5"/>
      <c r="Q7292" s="21">
        <v>200</v>
      </c>
      <c r="R7292" s="21">
        <v>0</v>
      </c>
      <c r="S7292" s="5">
        <f t="shared" si="455"/>
        <v>27615.730122726301</v>
      </c>
      <c r="T7292" cm="1">
        <f t="array" ref="T7292">IF(OR(B7292="MAL ALIMI", B7292="ÜRETİM GİRİŞ"), MIN(I7292, MAX(0, I7292 + SUM(SUMIFS($I$1:I7291, $C$1:C7291, C7292, $B$1:B7291, {"MAL ALIMI","ÜRETİM GİRİŞ"})) - VLOOKUP(C7292, 'STOK RAPORU'!$C$2:$I$1000, 4, 0))), 0)</f>
        <v>0</v>
      </c>
      <c r="U7292" s="22">
        <f t="shared" si="456"/>
        <v>0</v>
      </c>
      <c r="V7292">
        <f t="shared" si="457"/>
        <v>0</v>
      </c>
      <c r="W7292" s="22">
        <f t="shared" si="458"/>
        <v>0</v>
      </c>
    </row>
    <row r="7293" spans="1:23" hidden="1" x14ac:dyDescent="0.25">
      <c r="A7293" s="3">
        <v>46164</v>
      </c>
      <c r="B7293" s="46" t="s">
        <v>334</v>
      </c>
      <c r="C7293" s="4" t="s">
        <v>131</v>
      </c>
      <c r="D7293" s="4"/>
      <c r="E7293" s="4"/>
      <c r="F7293" s="4" t="s">
        <v>3498</v>
      </c>
      <c r="G7293" s="4" t="s">
        <v>336</v>
      </c>
      <c r="H7293" s="4" t="s">
        <v>289</v>
      </c>
      <c r="I7293" s="4">
        <v>3.7499999999999999E-2</v>
      </c>
      <c r="J7293" s="21">
        <v>400</v>
      </c>
      <c r="K7293" s="21">
        <v>0</v>
      </c>
      <c r="L7293" s="5">
        <v>0</v>
      </c>
      <c r="M7293" s="4"/>
      <c r="N7293" s="4"/>
      <c r="O7293" s="5"/>
      <c r="P7293" s="5"/>
      <c r="Q7293" s="21">
        <v>15</v>
      </c>
      <c r="R7293" s="21">
        <v>0</v>
      </c>
      <c r="S7293" s="5">
        <f t="shared" si="455"/>
        <v>27630.730122726301</v>
      </c>
      <c r="T7293" cm="1">
        <f t="array" ref="T7293">IF(OR(B7293="MAL ALIMI", B7293="ÜRETİM GİRİŞ"), MIN(I7293, MAX(0, I7293 + SUM(SUMIFS($I$1:I7292, $C$1:C7292, C7293, $B$1:B7292, {"MAL ALIMI","ÜRETİM GİRİŞ"})) - VLOOKUP(C7293, 'STOK RAPORU'!$C$2:$I$1000, 4, 0))), 0)</f>
        <v>0</v>
      </c>
      <c r="U7293" s="22">
        <f t="shared" si="456"/>
        <v>0</v>
      </c>
      <c r="V7293">
        <f t="shared" si="457"/>
        <v>0</v>
      </c>
      <c r="W7293" s="22">
        <f t="shared" si="458"/>
        <v>0</v>
      </c>
    </row>
    <row r="7294" spans="1:23" hidden="1" x14ac:dyDescent="0.25">
      <c r="A7294" s="3">
        <v>46164</v>
      </c>
      <c r="B7294" s="46" t="s">
        <v>334</v>
      </c>
      <c r="C7294" s="4" t="s">
        <v>126</v>
      </c>
      <c r="D7294" s="4"/>
      <c r="E7294" s="4"/>
      <c r="F7294" s="4" t="s">
        <v>3498</v>
      </c>
      <c r="G7294" s="4" t="s">
        <v>336</v>
      </c>
      <c r="H7294" s="4" t="s">
        <v>289</v>
      </c>
      <c r="I7294" s="4">
        <v>0.15384615384615385</v>
      </c>
      <c r="J7294" s="21">
        <v>650</v>
      </c>
      <c r="K7294" s="21">
        <v>0</v>
      </c>
      <c r="L7294" s="5">
        <v>0</v>
      </c>
      <c r="M7294" s="4"/>
      <c r="N7294" s="4"/>
      <c r="O7294" s="5"/>
      <c r="P7294" s="5"/>
      <c r="Q7294" s="21">
        <v>100</v>
      </c>
      <c r="R7294" s="21">
        <v>0</v>
      </c>
      <c r="S7294" s="5">
        <f t="shared" si="455"/>
        <v>27730.730122726301</v>
      </c>
      <c r="T7294" cm="1">
        <f t="array" ref="T7294">IF(OR(B7294="MAL ALIMI", B7294="ÜRETİM GİRİŞ"), MIN(I7294, MAX(0, I7294 + SUM(SUMIFS($I$1:I7293, $C$1:C7293, C7294, $B$1:B7293, {"MAL ALIMI","ÜRETİM GİRİŞ"})) - VLOOKUP(C7294, 'STOK RAPORU'!$C$2:$I$1000, 4, 0))), 0)</f>
        <v>0</v>
      </c>
      <c r="U7294" s="22">
        <f t="shared" si="456"/>
        <v>0</v>
      </c>
      <c r="V7294">
        <f t="shared" si="457"/>
        <v>0</v>
      </c>
      <c r="W7294" s="22">
        <f t="shared" si="458"/>
        <v>0</v>
      </c>
    </row>
    <row r="7295" spans="1:23" hidden="1" x14ac:dyDescent="0.25">
      <c r="A7295" s="3">
        <v>46164</v>
      </c>
      <c r="B7295" s="46" t="s">
        <v>334</v>
      </c>
      <c r="C7295" s="4" t="s">
        <v>1641</v>
      </c>
      <c r="D7295" s="4"/>
      <c r="E7295" s="4"/>
      <c r="F7295" s="4" t="s">
        <v>3499</v>
      </c>
      <c r="G7295" s="4" t="s">
        <v>336</v>
      </c>
      <c r="H7295" s="4" t="s">
        <v>289</v>
      </c>
      <c r="I7295" s="4">
        <v>0.1</v>
      </c>
      <c r="J7295" s="21">
        <v>950</v>
      </c>
      <c r="K7295" s="21">
        <v>0</v>
      </c>
      <c r="L7295" s="5">
        <v>0</v>
      </c>
      <c r="M7295" s="4"/>
      <c r="N7295" s="4"/>
      <c r="O7295" s="5"/>
      <c r="P7295" s="5"/>
      <c r="Q7295" s="21">
        <v>95</v>
      </c>
      <c r="R7295" s="21">
        <v>0</v>
      </c>
      <c r="S7295" s="5">
        <f t="shared" si="455"/>
        <v>27825.730122726301</v>
      </c>
      <c r="T7295" cm="1">
        <f t="array" ref="T7295">IF(OR(B7295="MAL ALIMI", B7295="ÜRETİM GİRİŞ"), MIN(I7295, MAX(0, I7295 + SUM(SUMIFS($I$1:I7294, $C$1:C7294, C7295, $B$1:B7294, {"MAL ALIMI","ÜRETİM GİRİŞ"})) - VLOOKUP(C7295, 'STOK RAPORU'!$C$2:$I$1000, 4, 0))), 0)</f>
        <v>0</v>
      </c>
      <c r="U7295" s="22">
        <f t="shared" si="456"/>
        <v>0</v>
      </c>
      <c r="V7295">
        <f t="shared" si="457"/>
        <v>0</v>
      </c>
      <c r="W7295" s="22">
        <f t="shared" si="458"/>
        <v>0</v>
      </c>
    </row>
    <row r="7296" spans="1:23" hidden="1" x14ac:dyDescent="0.25">
      <c r="A7296" s="3">
        <v>46164</v>
      </c>
      <c r="B7296" s="46" t="s">
        <v>334</v>
      </c>
      <c r="C7296" s="4" t="s">
        <v>1642</v>
      </c>
      <c r="D7296" s="4"/>
      <c r="E7296" s="4"/>
      <c r="F7296" s="4" t="s">
        <v>3499</v>
      </c>
      <c r="G7296" s="4" t="s">
        <v>336</v>
      </c>
      <c r="H7296" s="4" t="s">
        <v>289</v>
      </c>
      <c r="I7296" s="4">
        <v>0.1</v>
      </c>
      <c r="J7296" s="21">
        <v>850</v>
      </c>
      <c r="K7296" s="21">
        <v>0</v>
      </c>
      <c r="L7296" s="5">
        <v>0</v>
      </c>
      <c r="M7296" s="4"/>
      <c r="N7296" s="4"/>
      <c r="O7296" s="5"/>
      <c r="P7296" s="5"/>
      <c r="Q7296" s="21">
        <v>85</v>
      </c>
      <c r="R7296" s="21">
        <v>0</v>
      </c>
      <c r="S7296" s="5">
        <f t="shared" si="455"/>
        <v>27910.730122726301</v>
      </c>
      <c r="T7296" cm="1">
        <f t="array" ref="T7296">IF(OR(B7296="MAL ALIMI", B7296="ÜRETİM GİRİŞ"), MIN(I7296, MAX(0, I7296 + SUM(SUMIFS($I$1:I7295, $C$1:C7295, C7296, $B$1:B7295, {"MAL ALIMI","ÜRETİM GİRİŞ"})) - VLOOKUP(C7296, 'STOK RAPORU'!$C$2:$I$1000, 4, 0))), 0)</f>
        <v>0</v>
      </c>
      <c r="U7296" s="22">
        <f t="shared" si="456"/>
        <v>0</v>
      </c>
      <c r="V7296">
        <f t="shared" si="457"/>
        <v>0</v>
      </c>
      <c r="W7296" s="22">
        <f t="shared" si="458"/>
        <v>0</v>
      </c>
    </row>
    <row r="7297" spans="1:23" hidden="1" x14ac:dyDescent="0.25">
      <c r="A7297" s="3">
        <v>46164</v>
      </c>
      <c r="B7297" s="46" t="s">
        <v>334</v>
      </c>
      <c r="C7297" s="4" t="s">
        <v>2125</v>
      </c>
      <c r="D7297" s="4"/>
      <c r="E7297" s="4" t="s">
        <v>921</v>
      </c>
      <c r="F7297" s="4" t="s">
        <v>3500</v>
      </c>
      <c r="G7297" s="4" t="s">
        <v>336</v>
      </c>
      <c r="H7297" s="4" t="s">
        <v>380</v>
      </c>
      <c r="I7297" s="4">
        <v>0.5</v>
      </c>
      <c r="J7297" s="21">
        <v>370</v>
      </c>
      <c r="K7297" s="21">
        <v>185</v>
      </c>
      <c r="L7297" s="5">
        <v>0</v>
      </c>
      <c r="M7297" s="4"/>
      <c r="N7297" s="4"/>
      <c r="O7297" s="5"/>
      <c r="P7297" s="5"/>
      <c r="Q7297" s="21">
        <v>0</v>
      </c>
      <c r="R7297" s="21">
        <v>0</v>
      </c>
      <c r="S7297" s="5">
        <f t="shared" si="455"/>
        <v>27910.730122726301</v>
      </c>
      <c r="T7297" cm="1">
        <f t="array" ref="T7297">IF(OR(B7297="MAL ALIMI", B7297="ÜRETİM GİRİŞ"), MIN(I7297, MAX(0, I7297 + SUM(SUMIFS($I$1:I7296, $C$1:C7296, C7297, $B$1:B7296, {"MAL ALIMI","ÜRETİM GİRİŞ"})) - VLOOKUP(C7297, 'STOK RAPORU'!$C$2:$I$1000, 4, 0))), 0)</f>
        <v>0</v>
      </c>
      <c r="U7297" s="22">
        <f t="shared" si="456"/>
        <v>0</v>
      </c>
      <c r="V7297">
        <f t="shared" si="457"/>
        <v>0</v>
      </c>
      <c r="W7297" s="22">
        <f t="shared" si="458"/>
        <v>0</v>
      </c>
    </row>
    <row r="7298" spans="1:23" hidden="1" x14ac:dyDescent="0.25">
      <c r="A7298" s="3">
        <v>46164</v>
      </c>
      <c r="B7298" s="46" t="s">
        <v>334</v>
      </c>
      <c r="C7298" s="4" t="s">
        <v>157</v>
      </c>
      <c r="D7298" s="4"/>
      <c r="E7298" s="4" t="s">
        <v>921</v>
      </c>
      <c r="F7298" s="4" t="s">
        <v>3501</v>
      </c>
      <c r="G7298" s="4" t="s">
        <v>336</v>
      </c>
      <c r="H7298" s="4" t="s">
        <v>380</v>
      </c>
      <c r="I7298" s="4">
        <v>0.5</v>
      </c>
      <c r="J7298" s="21">
        <v>200</v>
      </c>
      <c r="K7298" s="21">
        <v>100</v>
      </c>
      <c r="L7298" s="5">
        <v>0</v>
      </c>
      <c r="M7298" s="4"/>
      <c r="N7298" s="4"/>
      <c r="O7298" s="5"/>
      <c r="P7298" s="5"/>
      <c r="Q7298" s="21">
        <v>0</v>
      </c>
      <c r="R7298" s="21">
        <v>0</v>
      </c>
      <c r="S7298" s="5">
        <f t="shared" si="455"/>
        <v>27910.730122726301</v>
      </c>
      <c r="T7298" cm="1">
        <f t="array" ref="T7298">IF(OR(B7298="MAL ALIMI", B7298="ÜRETİM GİRİŞ"), MIN(I7298, MAX(0, I7298 + SUM(SUMIFS($I$1:I7297, $C$1:C7297, C7298, $B$1:B7297, {"MAL ALIMI","ÜRETİM GİRİŞ"})) - VLOOKUP(C7298, 'STOK RAPORU'!$C$2:$I$1000, 4, 0))), 0)</f>
        <v>0</v>
      </c>
      <c r="U7298" s="22">
        <f t="shared" si="456"/>
        <v>0</v>
      </c>
      <c r="V7298">
        <f t="shared" si="457"/>
        <v>0</v>
      </c>
      <c r="W7298" s="22">
        <f t="shared" si="458"/>
        <v>0</v>
      </c>
    </row>
    <row r="7299" spans="1:23" hidden="1" x14ac:dyDescent="0.25">
      <c r="A7299" s="3">
        <v>46164</v>
      </c>
      <c r="B7299" s="46" t="s">
        <v>334</v>
      </c>
      <c r="C7299" s="4" t="s">
        <v>158</v>
      </c>
      <c r="D7299" s="4"/>
      <c r="E7299" s="4" t="s">
        <v>921</v>
      </c>
      <c r="F7299" s="4" t="s">
        <v>3501</v>
      </c>
      <c r="G7299" s="4" t="s">
        <v>336</v>
      </c>
      <c r="H7299" s="4" t="s">
        <v>380</v>
      </c>
      <c r="I7299" s="4">
        <v>1</v>
      </c>
      <c r="J7299" s="21">
        <v>150</v>
      </c>
      <c r="K7299" s="21">
        <v>150</v>
      </c>
      <c r="L7299" s="5">
        <v>0</v>
      </c>
      <c r="M7299" s="4"/>
      <c r="N7299" s="4"/>
      <c r="O7299" s="5"/>
      <c r="P7299" s="5"/>
      <c r="Q7299" s="21">
        <v>0</v>
      </c>
      <c r="R7299" s="21">
        <v>0</v>
      </c>
      <c r="S7299" s="5">
        <f t="shared" si="455"/>
        <v>27910.730122726301</v>
      </c>
      <c r="T7299" cm="1">
        <f t="array" ref="T7299">IF(OR(B7299="MAL ALIMI", B7299="ÜRETİM GİRİŞ"), MIN(I7299, MAX(0, I7299 + SUM(SUMIFS($I$1:I7298, $C$1:C7298, C7299, $B$1:B7298, {"MAL ALIMI","ÜRETİM GİRİŞ"})) - VLOOKUP(C7299, 'STOK RAPORU'!$C$2:$I$1000, 4, 0))), 0)</f>
        <v>0</v>
      </c>
      <c r="U7299" s="22">
        <f t="shared" si="456"/>
        <v>0</v>
      </c>
      <c r="V7299">
        <f t="shared" si="457"/>
        <v>0</v>
      </c>
      <c r="W7299" s="22">
        <f t="shared" si="458"/>
        <v>0</v>
      </c>
    </row>
    <row r="7300" spans="1:23" hidden="1" x14ac:dyDescent="0.25">
      <c r="A7300" s="3">
        <v>46164</v>
      </c>
      <c r="B7300" s="46" t="s">
        <v>334</v>
      </c>
      <c r="C7300" s="4" t="s">
        <v>126</v>
      </c>
      <c r="D7300" s="4"/>
      <c r="E7300" s="4"/>
      <c r="F7300" s="4" t="s">
        <v>3502</v>
      </c>
      <c r="G7300" s="4" t="s">
        <v>336</v>
      </c>
      <c r="H7300" s="4" t="s">
        <v>289</v>
      </c>
      <c r="I7300" s="4">
        <v>0.19384615384615383</v>
      </c>
      <c r="J7300" s="21">
        <v>600</v>
      </c>
      <c r="K7300" s="21">
        <v>0</v>
      </c>
      <c r="L7300" s="5">
        <v>0</v>
      </c>
      <c r="M7300" s="4"/>
      <c r="N7300" s="4"/>
      <c r="O7300" s="5"/>
      <c r="P7300" s="5"/>
      <c r="Q7300" s="21">
        <v>116.30769230769231</v>
      </c>
      <c r="R7300" s="21">
        <v>0</v>
      </c>
      <c r="S7300" s="5">
        <f t="shared" ref="S7300:S7363" si="459">S7299+Q7300-R7300</f>
        <v>28027.037815033993</v>
      </c>
      <c r="T7300" cm="1">
        <f t="array" ref="T7300">IF(OR(B7300="MAL ALIMI", B7300="ÜRETİM GİRİŞ"), MIN(I7300, MAX(0, I7300 + SUM(SUMIFS($I$1:I7299, $C$1:C7299, C7300, $B$1:B7299, {"MAL ALIMI","ÜRETİM GİRİŞ"})) - VLOOKUP(C7300, 'STOK RAPORU'!$C$2:$I$1000, 4, 0))), 0)</f>
        <v>0</v>
      </c>
      <c r="U7300" s="22">
        <f t="shared" si="456"/>
        <v>0</v>
      </c>
      <c r="V7300">
        <f t="shared" si="457"/>
        <v>0</v>
      </c>
      <c r="W7300" s="22">
        <f t="shared" si="458"/>
        <v>0</v>
      </c>
    </row>
    <row r="7301" spans="1:23" hidden="1" x14ac:dyDescent="0.25">
      <c r="A7301" s="3">
        <v>46164</v>
      </c>
      <c r="B7301" s="46" t="s">
        <v>334</v>
      </c>
      <c r="C7301" s="4" t="s">
        <v>3167</v>
      </c>
      <c r="D7301" s="4"/>
      <c r="E7301" s="4"/>
      <c r="F7301" s="4" t="s">
        <v>3502</v>
      </c>
      <c r="G7301" s="4" t="s">
        <v>336</v>
      </c>
      <c r="H7301" s="4" t="s">
        <v>289</v>
      </c>
      <c r="I7301" s="4">
        <v>0.19</v>
      </c>
      <c r="J7301" s="21">
        <v>375</v>
      </c>
      <c r="K7301" s="21">
        <v>0</v>
      </c>
      <c r="L7301" s="5">
        <v>0</v>
      </c>
      <c r="M7301" s="4"/>
      <c r="N7301" s="4"/>
      <c r="O7301" s="5"/>
      <c r="P7301" s="5"/>
      <c r="Q7301" s="21">
        <v>71.25</v>
      </c>
      <c r="R7301" s="21">
        <v>0</v>
      </c>
      <c r="S7301" s="5">
        <f t="shared" si="459"/>
        <v>28098.287815033993</v>
      </c>
      <c r="T7301" cm="1">
        <f t="array" ref="T7301">IF(OR(B7301="MAL ALIMI", B7301="ÜRETİM GİRİŞ"), MIN(I7301, MAX(0, I7301 + SUM(SUMIFS($I$1:I7300, $C$1:C7300, C7301, $B$1:B7300, {"MAL ALIMI","ÜRETİM GİRİŞ"})) - VLOOKUP(C7301, 'STOK RAPORU'!$C$2:$I$1000, 4, 0))), 0)</f>
        <v>0</v>
      </c>
      <c r="U7301" s="22">
        <f t="shared" si="456"/>
        <v>0</v>
      </c>
      <c r="V7301">
        <f t="shared" si="457"/>
        <v>0</v>
      </c>
      <c r="W7301" s="22">
        <f t="shared" si="458"/>
        <v>0</v>
      </c>
    </row>
    <row r="7302" spans="1:23" hidden="1" x14ac:dyDescent="0.25">
      <c r="A7302" s="3">
        <v>46164</v>
      </c>
      <c r="B7302" s="46" t="s">
        <v>334</v>
      </c>
      <c r="C7302" s="4" t="s">
        <v>463</v>
      </c>
      <c r="D7302" s="4"/>
      <c r="E7302" s="4"/>
      <c r="F7302" s="4" t="s">
        <v>3502</v>
      </c>
      <c r="G7302" s="4" t="s">
        <v>336</v>
      </c>
      <c r="H7302" s="4" t="s">
        <v>289</v>
      </c>
      <c r="I7302" s="4">
        <v>0.22750000000000001</v>
      </c>
      <c r="J7302" s="21">
        <v>375</v>
      </c>
      <c r="K7302" s="21">
        <v>0</v>
      </c>
      <c r="L7302" s="5">
        <v>0</v>
      </c>
      <c r="M7302" s="4"/>
      <c r="N7302" s="4"/>
      <c r="O7302" s="5"/>
      <c r="P7302" s="5"/>
      <c r="Q7302" s="21">
        <v>85.3125</v>
      </c>
      <c r="R7302" s="21">
        <v>0</v>
      </c>
      <c r="S7302" s="5">
        <f t="shared" si="459"/>
        <v>28183.600315033993</v>
      </c>
      <c r="T7302" cm="1">
        <f t="array" ref="T7302">IF(OR(B7302="MAL ALIMI", B7302="ÜRETİM GİRİŞ"), MIN(I7302, MAX(0, I7302 + SUM(SUMIFS($I$1:I7301, $C$1:C7301, C7302, $B$1:B7301, {"MAL ALIMI","ÜRETİM GİRİŞ"})) - VLOOKUP(C7302, 'STOK RAPORU'!$C$2:$I$1000, 4, 0))), 0)</f>
        <v>0</v>
      </c>
      <c r="U7302" s="22">
        <f t="shared" si="456"/>
        <v>0</v>
      </c>
      <c r="V7302">
        <f t="shared" si="457"/>
        <v>0</v>
      </c>
      <c r="W7302" s="22">
        <f t="shared" si="458"/>
        <v>0</v>
      </c>
    </row>
    <row r="7303" spans="1:23" hidden="1" x14ac:dyDescent="0.25">
      <c r="A7303" s="3">
        <v>46164</v>
      </c>
      <c r="B7303" s="46" t="s">
        <v>334</v>
      </c>
      <c r="C7303" s="4" t="s">
        <v>133</v>
      </c>
      <c r="D7303" s="4"/>
      <c r="E7303" s="4"/>
      <c r="F7303" s="4" t="s">
        <v>3502</v>
      </c>
      <c r="G7303" s="4" t="s">
        <v>336</v>
      </c>
      <c r="H7303" s="4" t="s">
        <v>289</v>
      </c>
      <c r="I7303" s="4">
        <v>0.31</v>
      </c>
      <c r="J7303" s="21">
        <v>375</v>
      </c>
      <c r="K7303" s="21">
        <v>0</v>
      </c>
      <c r="L7303" s="5">
        <v>0</v>
      </c>
      <c r="M7303" s="4"/>
      <c r="N7303" s="4"/>
      <c r="O7303" s="5"/>
      <c r="P7303" s="5"/>
      <c r="Q7303" s="21">
        <v>116.25</v>
      </c>
      <c r="R7303" s="21">
        <v>0</v>
      </c>
      <c r="S7303" s="5">
        <f t="shared" si="459"/>
        <v>28299.850315033993</v>
      </c>
      <c r="T7303" cm="1">
        <f t="array" ref="T7303">IF(OR(B7303="MAL ALIMI", B7303="ÜRETİM GİRİŞ"), MIN(I7303, MAX(0, I7303 + SUM(SUMIFS($I$1:I7302, $C$1:C7302, C7303, $B$1:B7302, {"MAL ALIMI","ÜRETİM GİRİŞ"})) - VLOOKUP(C7303, 'STOK RAPORU'!$C$2:$I$1000, 4, 0))), 0)</f>
        <v>0</v>
      </c>
      <c r="U7303" s="22">
        <f t="shared" si="456"/>
        <v>0</v>
      </c>
      <c r="V7303">
        <f t="shared" si="457"/>
        <v>0</v>
      </c>
      <c r="W7303" s="22">
        <f t="shared" si="458"/>
        <v>0</v>
      </c>
    </row>
    <row r="7304" spans="1:23" hidden="1" x14ac:dyDescent="0.25">
      <c r="A7304" s="3">
        <v>46164</v>
      </c>
      <c r="B7304" s="46" t="s">
        <v>334</v>
      </c>
      <c r="C7304" s="4" t="s">
        <v>163</v>
      </c>
      <c r="D7304" s="4"/>
      <c r="E7304" s="4"/>
      <c r="F7304" s="4" t="s">
        <v>3502</v>
      </c>
      <c r="G7304" s="4" t="s">
        <v>336</v>
      </c>
      <c r="H7304" s="4" t="s">
        <v>289</v>
      </c>
      <c r="I7304" s="4">
        <v>0.27111111111111114</v>
      </c>
      <c r="J7304" s="21">
        <v>410</v>
      </c>
      <c r="K7304" s="21">
        <v>0</v>
      </c>
      <c r="L7304" s="5">
        <v>0</v>
      </c>
      <c r="M7304" s="4"/>
      <c r="N7304" s="4"/>
      <c r="O7304" s="5"/>
      <c r="P7304" s="5"/>
      <c r="Q7304" s="21">
        <v>111.15555555555557</v>
      </c>
      <c r="R7304" s="21">
        <v>0</v>
      </c>
      <c r="S7304" s="5">
        <f t="shared" si="459"/>
        <v>28411.00587058955</v>
      </c>
      <c r="T7304" cm="1">
        <f t="array" ref="T7304">IF(OR(B7304="MAL ALIMI", B7304="ÜRETİM GİRİŞ"), MIN(I7304, MAX(0, I7304 + SUM(SUMIFS($I$1:I7303, $C$1:C7303, C7304, $B$1:B7303, {"MAL ALIMI","ÜRETİM GİRİŞ"})) - VLOOKUP(C7304, 'STOK RAPORU'!$C$2:$I$1000, 4, 0))), 0)</f>
        <v>0</v>
      </c>
      <c r="U7304" s="22">
        <f t="shared" si="456"/>
        <v>0</v>
      </c>
      <c r="V7304">
        <f t="shared" si="457"/>
        <v>0</v>
      </c>
      <c r="W7304" s="22">
        <f t="shared" si="458"/>
        <v>0</v>
      </c>
    </row>
    <row r="7305" spans="1:23" hidden="1" x14ac:dyDescent="0.25">
      <c r="A7305" s="3">
        <v>46164</v>
      </c>
      <c r="B7305" s="46" t="s">
        <v>334</v>
      </c>
      <c r="C7305" s="4" t="s">
        <v>1499</v>
      </c>
      <c r="D7305" s="4"/>
      <c r="E7305" s="4"/>
      <c r="F7305" s="4" t="s">
        <v>3502</v>
      </c>
      <c r="G7305" s="4" t="s">
        <v>336</v>
      </c>
      <c r="H7305" s="4" t="s">
        <v>289</v>
      </c>
      <c r="I7305" s="4">
        <v>1</v>
      </c>
      <c r="J7305" s="21">
        <v>550</v>
      </c>
      <c r="K7305" s="21">
        <v>0</v>
      </c>
      <c r="L7305" s="5">
        <v>0</v>
      </c>
      <c r="M7305" s="4"/>
      <c r="N7305" s="4"/>
      <c r="O7305" s="5"/>
      <c r="P7305" s="5"/>
      <c r="Q7305" s="21">
        <v>550</v>
      </c>
      <c r="R7305" s="21">
        <v>0</v>
      </c>
      <c r="S7305" s="5">
        <f t="shared" si="459"/>
        <v>28961.00587058955</v>
      </c>
      <c r="T7305" cm="1">
        <f t="array" ref="T7305">IF(OR(B7305="MAL ALIMI", B7305="ÜRETİM GİRİŞ"), MIN(I7305, MAX(0, I7305 + SUM(SUMIFS($I$1:I7304, $C$1:C7304, C7305, $B$1:B7304, {"MAL ALIMI","ÜRETİM GİRİŞ"})) - VLOOKUP(C7305, 'STOK RAPORU'!$C$2:$I$1000, 4, 0))), 0)</f>
        <v>0</v>
      </c>
      <c r="U7305" s="22">
        <f t="shared" si="456"/>
        <v>0</v>
      </c>
      <c r="V7305">
        <f t="shared" si="457"/>
        <v>0</v>
      </c>
      <c r="W7305" s="22">
        <f t="shared" si="458"/>
        <v>0</v>
      </c>
    </row>
    <row r="7306" spans="1:23" hidden="1" x14ac:dyDescent="0.25">
      <c r="A7306" s="3">
        <v>46164</v>
      </c>
      <c r="B7306" s="46" t="s">
        <v>334</v>
      </c>
      <c r="C7306" s="4" t="s">
        <v>695</v>
      </c>
      <c r="D7306" s="4"/>
      <c r="E7306" s="4" t="s">
        <v>921</v>
      </c>
      <c r="F7306" s="4" t="s">
        <v>3503</v>
      </c>
      <c r="G7306" s="4" t="s">
        <v>336</v>
      </c>
      <c r="H7306" s="4" t="s">
        <v>380</v>
      </c>
      <c r="I7306" s="4">
        <v>0.5</v>
      </c>
      <c r="J7306" s="21">
        <v>100</v>
      </c>
      <c r="K7306" s="21">
        <v>50</v>
      </c>
      <c r="L7306" s="5">
        <v>0</v>
      </c>
      <c r="M7306" s="4"/>
      <c r="N7306" s="4"/>
      <c r="O7306" s="5"/>
      <c r="P7306" s="5"/>
      <c r="Q7306" s="21">
        <v>0</v>
      </c>
      <c r="R7306" s="21">
        <v>0</v>
      </c>
      <c r="S7306" s="5">
        <f t="shared" si="459"/>
        <v>28961.00587058955</v>
      </c>
      <c r="T7306" cm="1">
        <f t="array" ref="T7306">IF(OR(B7306="MAL ALIMI", B7306="ÜRETİM GİRİŞ"), MIN(I7306, MAX(0, I7306 + SUM(SUMIFS($I$1:I7305, $C$1:C7305, C7306, $B$1:B7305, {"MAL ALIMI","ÜRETİM GİRİŞ"})) - VLOOKUP(C7306, 'STOK RAPORU'!$C$2:$I$1000, 4, 0))), 0)</f>
        <v>0</v>
      </c>
      <c r="U7306" s="22">
        <f t="shared" si="456"/>
        <v>0</v>
      </c>
      <c r="V7306">
        <f t="shared" si="457"/>
        <v>0</v>
      </c>
      <c r="W7306" s="22">
        <f t="shared" si="458"/>
        <v>0</v>
      </c>
    </row>
    <row r="7307" spans="1:23" hidden="1" x14ac:dyDescent="0.25">
      <c r="A7307" s="3">
        <v>46164</v>
      </c>
      <c r="B7307" s="46" t="s">
        <v>334</v>
      </c>
      <c r="C7307" s="4" t="s">
        <v>160</v>
      </c>
      <c r="D7307" s="4"/>
      <c r="E7307" s="4" t="s">
        <v>921</v>
      </c>
      <c r="F7307" s="4" t="s">
        <v>3504</v>
      </c>
      <c r="G7307" s="4" t="s">
        <v>336</v>
      </c>
      <c r="H7307" s="4" t="s">
        <v>380</v>
      </c>
      <c r="I7307" s="4">
        <v>2</v>
      </c>
      <c r="J7307" s="21">
        <v>250</v>
      </c>
      <c r="K7307" s="21">
        <v>500</v>
      </c>
      <c r="L7307" s="5">
        <v>0</v>
      </c>
      <c r="M7307" s="4"/>
      <c r="N7307" s="4"/>
      <c r="O7307" s="5"/>
      <c r="P7307" s="5"/>
      <c r="Q7307" s="21">
        <v>0</v>
      </c>
      <c r="R7307" s="21">
        <v>0</v>
      </c>
      <c r="S7307" s="5">
        <f t="shared" si="459"/>
        <v>28961.00587058955</v>
      </c>
      <c r="T7307" cm="1">
        <f t="array" ref="T7307">IF(OR(B7307="MAL ALIMI", B7307="ÜRETİM GİRİŞ"), MIN(I7307, MAX(0, I7307 + SUM(SUMIFS($I$1:I7306, $C$1:C7306, C7307, $B$1:B7306, {"MAL ALIMI","ÜRETİM GİRİŞ"})) - VLOOKUP(C7307, 'STOK RAPORU'!$C$2:$I$1000, 4, 0))), 0)</f>
        <v>0</v>
      </c>
      <c r="U7307" s="22">
        <f t="shared" si="456"/>
        <v>0</v>
      </c>
      <c r="V7307">
        <f t="shared" si="457"/>
        <v>0</v>
      </c>
      <c r="W7307" s="22">
        <f t="shared" si="458"/>
        <v>0</v>
      </c>
    </row>
    <row r="7308" spans="1:23" hidden="1" x14ac:dyDescent="0.25">
      <c r="A7308" s="3">
        <v>46165</v>
      </c>
      <c r="B7308" s="46" t="s">
        <v>334</v>
      </c>
      <c r="C7308" s="4" t="s">
        <v>1151</v>
      </c>
      <c r="D7308" s="4"/>
      <c r="E7308" s="4"/>
      <c r="F7308" s="4" t="s">
        <v>3505</v>
      </c>
      <c r="G7308" s="4" t="s">
        <v>336</v>
      </c>
      <c r="H7308" s="4" t="s">
        <v>289</v>
      </c>
      <c r="I7308" s="4">
        <v>0.20833333333333334</v>
      </c>
      <c r="J7308" s="21">
        <v>400</v>
      </c>
      <c r="K7308" s="21">
        <v>0</v>
      </c>
      <c r="L7308" s="5">
        <v>0</v>
      </c>
      <c r="M7308" s="4"/>
      <c r="N7308" s="4"/>
      <c r="O7308" s="5"/>
      <c r="P7308" s="5"/>
      <c r="Q7308" s="21">
        <v>83.333333333333343</v>
      </c>
      <c r="R7308" s="21">
        <v>0</v>
      </c>
      <c r="S7308" s="5">
        <f t="shared" si="459"/>
        <v>29044.339203922882</v>
      </c>
      <c r="T7308" cm="1">
        <f t="array" ref="T7308">IF(OR(B7308="MAL ALIMI", B7308="ÜRETİM GİRİŞ"), MIN(I7308, MAX(0, I7308 + SUM(SUMIFS($I$1:I7307, $C$1:C7307, C7308, $B$1:B7307, {"MAL ALIMI","ÜRETİM GİRİŞ"})) - VLOOKUP(C7308, 'STOK RAPORU'!$C$2:$I$1000, 4, 0))), 0)</f>
        <v>0</v>
      </c>
      <c r="U7308" s="22">
        <f t="shared" si="456"/>
        <v>0</v>
      </c>
      <c r="V7308">
        <f t="shared" si="457"/>
        <v>0</v>
      </c>
      <c r="W7308" s="22">
        <f t="shared" si="458"/>
        <v>0</v>
      </c>
    </row>
    <row r="7309" spans="1:23" hidden="1" x14ac:dyDescent="0.25">
      <c r="A7309" s="3">
        <v>46165</v>
      </c>
      <c r="B7309" s="46" t="s">
        <v>334</v>
      </c>
      <c r="C7309" s="4" t="s">
        <v>455</v>
      </c>
      <c r="D7309" s="4"/>
      <c r="E7309" s="4"/>
      <c r="F7309" s="4" t="s">
        <v>3506</v>
      </c>
      <c r="G7309" s="4" t="s">
        <v>336</v>
      </c>
      <c r="H7309" s="4" t="s">
        <v>289</v>
      </c>
      <c r="I7309" s="4">
        <v>1</v>
      </c>
      <c r="J7309" s="21">
        <v>80</v>
      </c>
      <c r="K7309" s="21">
        <v>0</v>
      </c>
      <c r="L7309" s="5">
        <v>0</v>
      </c>
      <c r="M7309" s="4"/>
      <c r="N7309" s="4"/>
      <c r="O7309" s="5"/>
      <c r="P7309" s="5"/>
      <c r="Q7309" s="21">
        <v>80</v>
      </c>
      <c r="R7309" s="21">
        <v>0</v>
      </c>
      <c r="S7309" s="5">
        <f t="shared" si="459"/>
        <v>29124.339203922882</v>
      </c>
      <c r="T7309" cm="1">
        <f t="array" ref="T7309">IF(OR(B7309="MAL ALIMI", B7309="ÜRETİM GİRİŞ"), MIN(I7309, MAX(0, I7309 + SUM(SUMIFS($I$1:I7308, $C$1:C7308, C7309, $B$1:B7308, {"MAL ALIMI","ÜRETİM GİRİŞ"})) - VLOOKUP(C7309, 'STOK RAPORU'!$C$2:$I$1000, 4, 0))), 0)</f>
        <v>0</v>
      </c>
      <c r="U7309" s="22">
        <f t="shared" si="456"/>
        <v>0</v>
      </c>
      <c r="V7309">
        <f t="shared" si="457"/>
        <v>0</v>
      </c>
      <c r="W7309" s="22">
        <f t="shared" si="458"/>
        <v>0</v>
      </c>
    </row>
    <row r="7310" spans="1:23" hidden="1" x14ac:dyDescent="0.25">
      <c r="A7310" s="3">
        <v>46165</v>
      </c>
      <c r="B7310" s="46" t="s">
        <v>334</v>
      </c>
      <c r="C7310" s="4" t="s">
        <v>195</v>
      </c>
      <c r="D7310" s="4"/>
      <c r="E7310" s="4"/>
      <c r="F7310" s="4" t="s">
        <v>3507</v>
      </c>
      <c r="G7310" s="4" t="s">
        <v>336</v>
      </c>
      <c r="H7310" s="4" t="s">
        <v>289</v>
      </c>
      <c r="I7310" s="4">
        <v>0.05</v>
      </c>
      <c r="J7310" s="21">
        <v>1000</v>
      </c>
      <c r="K7310" s="21">
        <v>0</v>
      </c>
      <c r="L7310" s="5">
        <v>0</v>
      </c>
      <c r="M7310" s="4"/>
      <c r="N7310" s="4"/>
      <c r="O7310" s="5"/>
      <c r="P7310" s="5"/>
      <c r="Q7310" s="21">
        <v>50</v>
      </c>
      <c r="R7310" s="21">
        <v>0</v>
      </c>
      <c r="S7310" s="5">
        <f t="shared" si="459"/>
        <v>29174.339203922882</v>
      </c>
      <c r="T7310" cm="1">
        <f t="array" ref="T7310">IF(OR(B7310="MAL ALIMI", B7310="ÜRETİM GİRİŞ"), MIN(I7310, MAX(0, I7310 + SUM(SUMIFS($I$1:I7309, $C$1:C7309, C7310, $B$1:B7309, {"MAL ALIMI","ÜRETİM GİRİŞ"})) - VLOOKUP(C7310, 'STOK RAPORU'!$C$2:$I$1000, 4, 0))), 0)</f>
        <v>0</v>
      </c>
      <c r="U7310" s="22">
        <f t="shared" si="456"/>
        <v>0</v>
      </c>
      <c r="V7310">
        <f t="shared" si="457"/>
        <v>0</v>
      </c>
      <c r="W7310" s="22">
        <f t="shared" si="458"/>
        <v>0</v>
      </c>
    </row>
    <row r="7311" spans="1:23" hidden="1" x14ac:dyDescent="0.25">
      <c r="A7311" s="3">
        <v>46165</v>
      </c>
      <c r="B7311" s="46" t="s">
        <v>334</v>
      </c>
      <c r="C7311" s="4" t="s">
        <v>92</v>
      </c>
      <c r="D7311" s="4"/>
      <c r="E7311" s="4"/>
      <c r="F7311" s="4" t="s">
        <v>3507</v>
      </c>
      <c r="G7311" s="4" t="s">
        <v>336</v>
      </c>
      <c r="H7311" s="4" t="s">
        <v>289</v>
      </c>
      <c r="I7311" s="4">
        <v>0.15</v>
      </c>
      <c r="J7311" s="21">
        <v>500</v>
      </c>
      <c r="K7311" s="21">
        <v>0</v>
      </c>
      <c r="L7311" s="5">
        <v>0</v>
      </c>
      <c r="M7311" s="4"/>
      <c r="N7311" s="4"/>
      <c r="O7311" s="5"/>
      <c r="P7311" s="5"/>
      <c r="Q7311" s="21">
        <v>75</v>
      </c>
      <c r="R7311" s="21">
        <v>0</v>
      </c>
      <c r="S7311" s="5">
        <f t="shared" si="459"/>
        <v>29249.339203922882</v>
      </c>
      <c r="T7311" cm="1">
        <f t="array" ref="T7311">IF(OR(B7311="MAL ALIMI", B7311="ÜRETİM GİRİŞ"), MIN(I7311, MAX(0, I7311 + SUM(SUMIFS($I$1:I7310, $C$1:C7310, C7311, $B$1:B7310, {"MAL ALIMI","ÜRETİM GİRİŞ"})) - VLOOKUP(C7311, 'STOK RAPORU'!$C$2:$I$1000, 4, 0))), 0)</f>
        <v>0</v>
      </c>
      <c r="U7311" s="22">
        <f t="shared" si="456"/>
        <v>0</v>
      </c>
      <c r="V7311">
        <f t="shared" si="457"/>
        <v>0</v>
      </c>
      <c r="W7311" s="22">
        <f t="shared" si="458"/>
        <v>0</v>
      </c>
    </row>
    <row r="7312" spans="1:23" hidden="1" x14ac:dyDescent="0.25">
      <c r="A7312" s="3">
        <v>46165</v>
      </c>
      <c r="B7312" s="46" t="s">
        <v>334</v>
      </c>
      <c r="C7312" s="4" t="s">
        <v>91</v>
      </c>
      <c r="D7312" s="4"/>
      <c r="E7312" s="4"/>
      <c r="F7312" s="4" t="s">
        <v>3507</v>
      </c>
      <c r="G7312" s="4" t="s">
        <v>336</v>
      </c>
      <c r="H7312" s="4" t="s">
        <v>289</v>
      </c>
      <c r="I7312" s="4">
        <v>3.411764705882353E-2</v>
      </c>
      <c r="J7312" s="21">
        <v>850</v>
      </c>
      <c r="K7312" s="21">
        <v>0</v>
      </c>
      <c r="L7312" s="5">
        <v>0</v>
      </c>
      <c r="M7312" s="4"/>
      <c r="N7312" s="4"/>
      <c r="O7312" s="5"/>
      <c r="P7312" s="5"/>
      <c r="Q7312" s="21">
        <v>29</v>
      </c>
      <c r="R7312" s="21">
        <v>0</v>
      </c>
      <c r="S7312" s="5">
        <f t="shared" si="459"/>
        <v>29278.339203922882</v>
      </c>
      <c r="T7312" cm="1">
        <f t="array" ref="T7312">IF(OR(B7312="MAL ALIMI", B7312="ÜRETİM GİRİŞ"), MIN(I7312, MAX(0, I7312 + SUM(SUMIFS($I$1:I7311, $C$1:C7311, C7312, $B$1:B7311, {"MAL ALIMI","ÜRETİM GİRİŞ"})) - VLOOKUP(C7312, 'STOK RAPORU'!$C$2:$I$1000, 4, 0))), 0)</f>
        <v>0</v>
      </c>
      <c r="U7312" s="22">
        <f t="shared" si="456"/>
        <v>0</v>
      </c>
      <c r="V7312">
        <f t="shared" si="457"/>
        <v>0</v>
      </c>
      <c r="W7312" s="22">
        <f t="shared" si="458"/>
        <v>0</v>
      </c>
    </row>
    <row r="7313" spans="1:23" hidden="1" x14ac:dyDescent="0.25">
      <c r="A7313" s="3">
        <v>46165</v>
      </c>
      <c r="B7313" s="46" t="s">
        <v>334</v>
      </c>
      <c r="C7313" s="4" t="s">
        <v>140</v>
      </c>
      <c r="D7313" s="4"/>
      <c r="E7313" s="4"/>
      <c r="F7313" s="4" t="s">
        <v>3507</v>
      </c>
      <c r="G7313" s="4" t="s">
        <v>336</v>
      </c>
      <c r="H7313" s="4" t="s">
        <v>289</v>
      </c>
      <c r="I7313" s="4">
        <v>0.16</v>
      </c>
      <c r="J7313" s="21">
        <v>300</v>
      </c>
      <c r="K7313" s="21">
        <v>0</v>
      </c>
      <c r="L7313" s="5">
        <v>0</v>
      </c>
      <c r="M7313" s="4"/>
      <c r="N7313" s="4"/>
      <c r="O7313" s="5"/>
      <c r="P7313" s="5"/>
      <c r="Q7313" s="21">
        <v>48</v>
      </c>
      <c r="R7313" s="21">
        <v>0</v>
      </c>
      <c r="S7313" s="5">
        <f t="shared" si="459"/>
        <v>29326.339203922882</v>
      </c>
      <c r="T7313" cm="1">
        <f t="array" ref="T7313">IF(OR(B7313="MAL ALIMI", B7313="ÜRETİM GİRİŞ"), MIN(I7313, MAX(0, I7313 + SUM(SUMIFS($I$1:I7312, $C$1:C7312, C7313, $B$1:B7312, {"MAL ALIMI","ÜRETİM GİRİŞ"})) - VLOOKUP(C7313, 'STOK RAPORU'!$C$2:$I$1000, 4, 0))), 0)</f>
        <v>0</v>
      </c>
      <c r="U7313" s="22">
        <f t="shared" si="456"/>
        <v>0</v>
      </c>
      <c r="V7313">
        <f t="shared" si="457"/>
        <v>0</v>
      </c>
      <c r="W7313" s="22">
        <f t="shared" si="458"/>
        <v>0</v>
      </c>
    </row>
    <row r="7314" spans="1:23" hidden="1" x14ac:dyDescent="0.25">
      <c r="A7314" s="3">
        <v>46165</v>
      </c>
      <c r="B7314" s="46" t="s">
        <v>334</v>
      </c>
      <c r="C7314" s="4" t="s">
        <v>129</v>
      </c>
      <c r="D7314" s="4"/>
      <c r="E7314" s="4"/>
      <c r="F7314" s="4" t="s">
        <v>3508</v>
      </c>
      <c r="G7314" s="4" t="s">
        <v>336</v>
      </c>
      <c r="H7314" s="4" t="s">
        <v>289</v>
      </c>
      <c r="I7314" s="4">
        <v>9.4E-2</v>
      </c>
      <c r="J7314" s="21">
        <v>400</v>
      </c>
      <c r="K7314" s="21">
        <v>0</v>
      </c>
      <c r="L7314" s="5">
        <v>0</v>
      </c>
      <c r="M7314" s="4"/>
      <c r="N7314" s="4"/>
      <c r="O7314" s="5"/>
      <c r="P7314" s="5"/>
      <c r="Q7314" s="21">
        <v>37.6</v>
      </c>
      <c r="R7314" s="21">
        <v>0</v>
      </c>
      <c r="S7314" s="5">
        <f t="shared" si="459"/>
        <v>29363.939203922881</v>
      </c>
      <c r="T7314" cm="1">
        <f t="array" ref="T7314">IF(OR(B7314="MAL ALIMI", B7314="ÜRETİM GİRİŞ"), MIN(I7314, MAX(0, I7314 + SUM(SUMIFS($I$1:I7313, $C$1:C7313, C7314, $B$1:B7313, {"MAL ALIMI","ÜRETİM GİRİŞ"})) - VLOOKUP(C7314, 'STOK RAPORU'!$C$2:$I$1000, 4, 0))), 0)</f>
        <v>0</v>
      </c>
      <c r="U7314" s="22">
        <f t="shared" si="456"/>
        <v>0</v>
      </c>
      <c r="V7314">
        <f t="shared" si="457"/>
        <v>0</v>
      </c>
      <c r="W7314" s="22">
        <f t="shared" si="458"/>
        <v>0</v>
      </c>
    </row>
    <row r="7315" spans="1:23" hidden="1" x14ac:dyDescent="0.25">
      <c r="A7315" s="3">
        <v>46165</v>
      </c>
      <c r="B7315" s="46" t="s">
        <v>334</v>
      </c>
      <c r="C7315" s="4" t="s">
        <v>245</v>
      </c>
      <c r="D7315" s="4"/>
      <c r="E7315" s="4"/>
      <c r="F7315" s="4" t="s">
        <v>3508</v>
      </c>
      <c r="G7315" s="4" t="s">
        <v>336</v>
      </c>
      <c r="H7315" s="4" t="s">
        <v>289</v>
      </c>
      <c r="I7315" s="4">
        <v>0.23076923076923078</v>
      </c>
      <c r="J7315" s="21">
        <v>650</v>
      </c>
      <c r="K7315" s="21">
        <v>0</v>
      </c>
      <c r="L7315" s="5">
        <v>0</v>
      </c>
      <c r="M7315" s="4"/>
      <c r="N7315" s="4"/>
      <c r="O7315" s="5"/>
      <c r="P7315" s="5"/>
      <c r="Q7315" s="21">
        <v>150</v>
      </c>
      <c r="R7315" s="21">
        <v>0</v>
      </c>
      <c r="S7315" s="5">
        <f t="shared" si="459"/>
        <v>29513.939203922881</v>
      </c>
      <c r="T7315" cm="1">
        <f t="array" ref="T7315">IF(OR(B7315="MAL ALIMI", B7315="ÜRETİM GİRİŞ"), MIN(I7315, MAX(0, I7315 + SUM(SUMIFS($I$1:I7314, $C$1:C7314, C7315, $B$1:B7314, {"MAL ALIMI","ÜRETİM GİRİŞ"})) - VLOOKUP(C7315, 'STOK RAPORU'!$C$2:$I$1000, 4, 0))), 0)</f>
        <v>0</v>
      </c>
      <c r="U7315" s="22">
        <f t="shared" si="456"/>
        <v>0</v>
      </c>
      <c r="V7315">
        <f t="shared" si="457"/>
        <v>0</v>
      </c>
      <c r="W7315" s="22">
        <f t="shared" si="458"/>
        <v>0</v>
      </c>
    </row>
    <row r="7316" spans="1:23" hidden="1" x14ac:dyDescent="0.25">
      <c r="A7316" s="3">
        <v>46165</v>
      </c>
      <c r="B7316" s="46" t="s">
        <v>334</v>
      </c>
      <c r="C7316" s="4" t="s">
        <v>3381</v>
      </c>
      <c r="D7316" s="4"/>
      <c r="E7316" s="4"/>
      <c r="F7316" s="4" t="s">
        <v>3508</v>
      </c>
      <c r="G7316" s="4" t="s">
        <v>336</v>
      </c>
      <c r="H7316" s="4" t="s">
        <v>289</v>
      </c>
      <c r="I7316" s="4">
        <v>0.34</v>
      </c>
      <c r="J7316" s="21">
        <v>250</v>
      </c>
      <c r="K7316" s="21">
        <v>0</v>
      </c>
      <c r="L7316" s="5">
        <v>0</v>
      </c>
      <c r="M7316" s="4"/>
      <c r="N7316" s="4"/>
      <c r="O7316" s="5"/>
      <c r="P7316" s="5"/>
      <c r="Q7316" s="21">
        <v>85</v>
      </c>
      <c r="R7316" s="21">
        <v>0</v>
      </c>
      <c r="S7316" s="5">
        <f t="shared" si="459"/>
        <v>29598.939203922881</v>
      </c>
      <c r="T7316" cm="1">
        <f t="array" ref="T7316">IF(OR(B7316="MAL ALIMI", B7316="ÜRETİM GİRİŞ"), MIN(I7316, MAX(0, I7316 + SUM(SUMIFS($I$1:I7315, $C$1:C7315, C7316, $B$1:B7315, {"MAL ALIMI","ÜRETİM GİRİŞ"})) - VLOOKUP(C7316, 'STOK RAPORU'!$C$2:$I$1000, 4, 0))), 0)</f>
        <v>0</v>
      </c>
      <c r="U7316" s="22">
        <f t="shared" si="456"/>
        <v>0</v>
      </c>
      <c r="V7316">
        <f t="shared" si="457"/>
        <v>0</v>
      </c>
      <c r="W7316" s="22">
        <f t="shared" si="458"/>
        <v>0</v>
      </c>
    </row>
    <row r="7317" spans="1:23" hidden="1" x14ac:dyDescent="0.25">
      <c r="A7317" s="3">
        <v>46165</v>
      </c>
      <c r="B7317" s="46" t="s">
        <v>334</v>
      </c>
      <c r="C7317" s="4" t="s">
        <v>134</v>
      </c>
      <c r="D7317" s="4"/>
      <c r="E7317" s="4" t="s">
        <v>921</v>
      </c>
      <c r="F7317" s="4" t="s">
        <v>3509</v>
      </c>
      <c r="G7317" s="4" t="s">
        <v>336</v>
      </c>
      <c r="H7317" s="4" t="s">
        <v>380</v>
      </c>
      <c r="I7317" s="4">
        <v>0.13</v>
      </c>
      <c r="J7317" s="21">
        <v>580</v>
      </c>
      <c r="K7317" s="21">
        <v>75.400000000000006</v>
      </c>
      <c r="L7317" s="5">
        <v>0</v>
      </c>
      <c r="M7317" s="4"/>
      <c r="N7317" s="4"/>
      <c r="O7317" s="5"/>
      <c r="P7317" s="5"/>
      <c r="Q7317" s="21">
        <v>0</v>
      </c>
      <c r="R7317" s="21">
        <v>0</v>
      </c>
      <c r="S7317" s="5">
        <f t="shared" si="459"/>
        <v>29598.939203922881</v>
      </c>
      <c r="T7317" cm="1">
        <f t="array" ref="T7317">IF(OR(B7317="MAL ALIMI", B7317="ÜRETİM GİRİŞ"), MIN(I7317, MAX(0, I7317 + SUM(SUMIFS($I$1:I7316, $C$1:C7316, C7317, $B$1:B7316, {"MAL ALIMI","ÜRETİM GİRİŞ"})) - VLOOKUP(C7317, 'STOK RAPORU'!$C$2:$I$1000, 4, 0))), 0)</f>
        <v>0</v>
      </c>
      <c r="U7317" s="22">
        <f t="shared" si="456"/>
        <v>0</v>
      </c>
      <c r="V7317">
        <f t="shared" si="457"/>
        <v>0</v>
      </c>
      <c r="W7317" s="22">
        <f t="shared" si="458"/>
        <v>0</v>
      </c>
    </row>
    <row r="7318" spans="1:23" hidden="1" x14ac:dyDescent="0.25">
      <c r="A7318" s="3">
        <v>46165</v>
      </c>
      <c r="B7318" s="46" t="s">
        <v>334</v>
      </c>
      <c r="C7318" s="4" t="s">
        <v>132</v>
      </c>
      <c r="D7318" s="4"/>
      <c r="E7318" s="4" t="s">
        <v>921</v>
      </c>
      <c r="F7318" s="4" t="s">
        <v>3509</v>
      </c>
      <c r="G7318" s="4" t="s">
        <v>336</v>
      </c>
      <c r="H7318" s="4" t="s">
        <v>380</v>
      </c>
      <c r="I7318" s="4">
        <v>0.4</v>
      </c>
      <c r="J7318" s="21">
        <v>500</v>
      </c>
      <c r="K7318" s="21">
        <v>200</v>
      </c>
      <c r="L7318" s="5">
        <v>0</v>
      </c>
      <c r="M7318" s="4"/>
      <c r="N7318" s="4"/>
      <c r="O7318" s="5"/>
      <c r="P7318" s="5"/>
      <c r="Q7318" s="21">
        <v>0</v>
      </c>
      <c r="R7318" s="21">
        <v>0</v>
      </c>
      <c r="S7318" s="5">
        <f t="shared" si="459"/>
        <v>29598.939203922881</v>
      </c>
      <c r="T7318" cm="1">
        <f t="array" ref="T7318">IF(OR(B7318="MAL ALIMI", B7318="ÜRETİM GİRİŞ"), MIN(I7318, MAX(0, I7318 + SUM(SUMIFS($I$1:I7317, $C$1:C7317, C7318, $B$1:B7317, {"MAL ALIMI","ÜRETİM GİRİŞ"})) - VLOOKUP(C7318, 'STOK RAPORU'!$C$2:$I$1000, 4, 0))), 0)</f>
        <v>0</v>
      </c>
      <c r="U7318" s="22">
        <f t="shared" si="456"/>
        <v>0</v>
      </c>
      <c r="V7318">
        <f t="shared" si="457"/>
        <v>0</v>
      </c>
      <c r="W7318" s="22">
        <f t="shared" si="458"/>
        <v>0</v>
      </c>
    </row>
    <row r="7319" spans="1:23" hidden="1" x14ac:dyDescent="0.25">
      <c r="A7319" s="3">
        <v>46165</v>
      </c>
      <c r="B7319" s="46" t="s">
        <v>334</v>
      </c>
      <c r="C7319" s="4" t="s">
        <v>648</v>
      </c>
      <c r="D7319" s="4"/>
      <c r="E7319" s="4" t="s">
        <v>921</v>
      </c>
      <c r="F7319" s="4" t="s">
        <v>3509</v>
      </c>
      <c r="G7319" s="4" t="s">
        <v>336</v>
      </c>
      <c r="H7319" s="4" t="s">
        <v>380</v>
      </c>
      <c r="I7319" s="4">
        <v>0.30769230769230771</v>
      </c>
      <c r="J7319" s="21">
        <v>650</v>
      </c>
      <c r="K7319" s="21">
        <v>200</v>
      </c>
      <c r="L7319" s="5">
        <v>0</v>
      </c>
      <c r="M7319" s="4"/>
      <c r="N7319" s="4"/>
      <c r="O7319" s="5"/>
      <c r="P7319" s="5"/>
      <c r="Q7319" s="21">
        <v>0</v>
      </c>
      <c r="R7319" s="21">
        <v>0</v>
      </c>
      <c r="S7319" s="5">
        <f t="shared" si="459"/>
        <v>29598.939203922881</v>
      </c>
      <c r="T7319" cm="1">
        <f t="array" ref="T7319">IF(OR(B7319="MAL ALIMI", B7319="ÜRETİM GİRİŞ"), MIN(I7319, MAX(0, I7319 + SUM(SUMIFS($I$1:I7318, $C$1:C7318, C7319, $B$1:B7318, {"MAL ALIMI","ÜRETİM GİRİŞ"})) - VLOOKUP(C7319, 'STOK RAPORU'!$C$2:$I$1000, 4, 0))), 0)</f>
        <v>0</v>
      </c>
      <c r="U7319" s="22">
        <f t="shared" si="456"/>
        <v>0</v>
      </c>
      <c r="V7319">
        <f t="shared" si="457"/>
        <v>0</v>
      </c>
      <c r="W7319" s="22">
        <f t="shared" si="458"/>
        <v>0</v>
      </c>
    </row>
    <row r="7320" spans="1:23" hidden="1" x14ac:dyDescent="0.25">
      <c r="A7320" s="3">
        <v>46165</v>
      </c>
      <c r="B7320" s="46" t="s">
        <v>334</v>
      </c>
      <c r="C7320" s="4" t="s">
        <v>244</v>
      </c>
      <c r="D7320" s="4"/>
      <c r="E7320" s="4" t="s">
        <v>921</v>
      </c>
      <c r="F7320" s="4" t="s">
        <v>3509</v>
      </c>
      <c r="G7320" s="4" t="s">
        <v>336</v>
      </c>
      <c r="H7320" s="4" t="s">
        <v>380</v>
      </c>
      <c r="I7320" s="4">
        <v>0.23076923076923078</v>
      </c>
      <c r="J7320" s="21">
        <v>650</v>
      </c>
      <c r="K7320" s="21">
        <v>150</v>
      </c>
      <c r="L7320" s="5">
        <v>0</v>
      </c>
      <c r="M7320" s="4"/>
      <c r="N7320" s="4"/>
      <c r="O7320" s="5"/>
      <c r="P7320" s="5"/>
      <c r="Q7320" s="21">
        <v>0</v>
      </c>
      <c r="R7320" s="21">
        <v>0</v>
      </c>
      <c r="S7320" s="5">
        <f t="shared" si="459"/>
        <v>29598.939203922881</v>
      </c>
      <c r="T7320" cm="1">
        <f t="array" ref="T7320">IF(OR(B7320="MAL ALIMI", B7320="ÜRETİM GİRİŞ"), MIN(I7320, MAX(0, I7320 + SUM(SUMIFS($I$1:I7319, $C$1:C7319, C7320, $B$1:B7319, {"MAL ALIMI","ÜRETİM GİRİŞ"})) - VLOOKUP(C7320, 'STOK RAPORU'!$C$2:$I$1000, 4, 0))), 0)</f>
        <v>0</v>
      </c>
      <c r="U7320" s="22">
        <f t="shared" si="456"/>
        <v>0</v>
      </c>
      <c r="V7320">
        <f t="shared" si="457"/>
        <v>0</v>
      </c>
      <c r="W7320" s="22">
        <f t="shared" si="458"/>
        <v>0</v>
      </c>
    </row>
    <row r="7321" spans="1:23" hidden="1" x14ac:dyDescent="0.25">
      <c r="A7321" s="3">
        <v>46165</v>
      </c>
      <c r="B7321" s="46" t="s">
        <v>334</v>
      </c>
      <c r="C7321" s="4" t="s">
        <v>247</v>
      </c>
      <c r="D7321" s="4"/>
      <c r="E7321" s="4" t="s">
        <v>921</v>
      </c>
      <c r="F7321" s="4" t="s">
        <v>3509</v>
      </c>
      <c r="G7321" s="4" t="s">
        <v>336</v>
      </c>
      <c r="H7321" s="4" t="s">
        <v>380</v>
      </c>
      <c r="I7321" s="4">
        <v>0.25</v>
      </c>
      <c r="J7321" s="21">
        <v>1200</v>
      </c>
      <c r="K7321" s="21">
        <v>300</v>
      </c>
      <c r="L7321" s="5">
        <v>0</v>
      </c>
      <c r="M7321" s="4"/>
      <c r="N7321" s="4"/>
      <c r="O7321" s="5"/>
      <c r="P7321" s="5"/>
      <c r="Q7321" s="21">
        <v>0</v>
      </c>
      <c r="R7321" s="21">
        <v>0</v>
      </c>
      <c r="S7321" s="5">
        <f t="shared" si="459"/>
        <v>29598.939203922881</v>
      </c>
      <c r="T7321" cm="1">
        <f t="array" ref="T7321">IF(OR(B7321="MAL ALIMI", B7321="ÜRETİM GİRİŞ"), MIN(I7321, MAX(0, I7321 + SUM(SUMIFS($I$1:I7320, $C$1:C7320, C7321, $B$1:B7320, {"MAL ALIMI","ÜRETİM GİRİŞ"})) - VLOOKUP(C7321, 'STOK RAPORU'!$C$2:$I$1000, 4, 0))), 0)</f>
        <v>0</v>
      </c>
      <c r="U7321" s="22">
        <f t="shared" si="456"/>
        <v>0</v>
      </c>
      <c r="V7321">
        <f t="shared" si="457"/>
        <v>0</v>
      </c>
      <c r="W7321" s="22">
        <f t="shared" si="458"/>
        <v>0</v>
      </c>
    </row>
    <row r="7322" spans="1:23" hidden="1" x14ac:dyDescent="0.25">
      <c r="A7322" s="3">
        <v>46165</v>
      </c>
      <c r="B7322" s="46" t="s">
        <v>334</v>
      </c>
      <c r="C7322" s="4" t="s">
        <v>154</v>
      </c>
      <c r="D7322" s="4"/>
      <c r="E7322" s="4" t="s">
        <v>921</v>
      </c>
      <c r="F7322" s="4" t="s">
        <v>3509</v>
      </c>
      <c r="G7322" s="4" t="s">
        <v>336</v>
      </c>
      <c r="H7322" s="4" t="s">
        <v>380</v>
      </c>
      <c r="I7322" s="4">
        <v>0.1</v>
      </c>
      <c r="J7322" s="21">
        <v>400</v>
      </c>
      <c r="K7322" s="21">
        <v>40</v>
      </c>
      <c r="L7322" s="5">
        <v>0</v>
      </c>
      <c r="M7322" s="4"/>
      <c r="N7322" s="4"/>
      <c r="O7322" s="5"/>
      <c r="P7322" s="5"/>
      <c r="Q7322" s="21">
        <v>0</v>
      </c>
      <c r="R7322" s="21">
        <v>0</v>
      </c>
      <c r="S7322" s="5">
        <f t="shared" si="459"/>
        <v>29598.939203922881</v>
      </c>
      <c r="T7322" cm="1">
        <f t="array" ref="T7322">IF(OR(B7322="MAL ALIMI", B7322="ÜRETİM GİRİŞ"), MIN(I7322, MAX(0, I7322 + SUM(SUMIFS($I$1:I7321, $C$1:C7321, C7322, $B$1:B7321, {"MAL ALIMI","ÜRETİM GİRİŞ"})) - VLOOKUP(C7322, 'STOK RAPORU'!$C$2:$I$1000, 4, 0))), 0)</f>
        <v>0</v>
      </c>
      <c r="U7322" s="22">
        <f t="shared" si="456"/>
        <v>0</v>
      </c>
      <c r="V7322">
        <f t="shared" si="457"/>
        <v>0</v>
      </c>
      <c r="W7322" s="22">
        <f t="shared" si="458"/>
        <v>0</v>
      </c>
    </row>
    <row r="7323" spans="1:23" hidden="1" x14ac:dyDescent="0.25">
      <c r="A7323" s="3">
        <v>46165</v>
      </c>
      <c r="B7323" s="46" t="s">
        <v>334</v>
      </c>
      <c r="C7323" s="4" t="s">
        <v>1501</v>
      </c>
      <c r="D7323" s="4"/>
      <c r="E7323" s="4" t="s">
        <v>921</v>
      </c>
      <c r="F7323" s="4" t="s">
        <v>3509</v>
      </c>
      <c r="G7323" s="4" t="s">
        <v>336</v>
      </c>
      <c r="H7323" s="4" t="s">
        <v>380</v>
      </c>
      <c r="I7323" s="4">
        <v>0.25</v>
      </c>
      <c r="J7323" s="21">
        <v>700</v>
      </c>
      <c r="K7323" s="21">
        <v>175</v>
      </c>
      <c r="L7323" s="5">
        <v>0</v>
      </c>
      <c r="M7323" s="4"/>
      <c r="N7323" s="4"/>
      <c r="O7323" s="5"/>
      <c r="P7323" s="5"/>
      <c r="Q7323" s="21">
        <v>0</v>
      </c>
      <c r="R7323" s="21">
        <v>0</v>
      </c>
      <c r="S7323" s="5">
        <f t="shared" si="459"/>
        <v>29598.939203922881</v>
      </c>
      <c r="T7323" cm="1">
        <f t="array" ref="T7323">IF(OR(B7323="MAL ALIMI", B7323="ÜRETİM GİRİŞ"), MIN(I7323, MAX(0, I7323 + SUM(SUMIFS($I$1:I7322, $C$1:C7322, C7323, $B$1:B7322, {"MAL ALIMI","ÜRETİM GİRİŞ"})) - VLOOKUP(C7323, 'STOK RAPORU'!$C$2:$I$1000, 4, 0))), 0)</f>
        <v>0</v>
      </c>
      <c r="U7323" s="22">
        <f t="shared" si="456"/>
        <v>0</v>
      </c>
      <c r="V7323">
        <f t="shared" si="457"/>
        <v>0</v>
      </c>
      <c r="W7323" s="22">
        <f t="shared" si="458"/>
        <v>0</v>
      </c>
    </row>
    <row r="7324" spans="1:23" hidden="1" x14ac:dyDescent="0.25">
      <c r="A7324" s="3">
        <v>46165</v>
      </c>
      <c r="B7324" s="46" t="s">
        <v>334</v>
      </c>
      <c r="C7324" s="4" t="s">
        <v>1501</v>
      </c>
      <c r="D7324" s="4"/>
      <c r="E7324" s="4" t="s">
        <v>921</v>
      </c>
      <c r="F7324" s="4" t="s">
        <v>3510</v>
      </c>
      <c r="G7324" s="4" t="s">
        <v>336</v>
      </c>
      <c r="H7324" s="4" t="s">
        <v>380</v>
      </c>
      <c r="I7324" s="4">
        <v>2</v>
      </c>
      <c r="J7324" s="21">
        <v>675</v>
      </c>
      <c r="K7324" s="21">
        <v>1350</v>
      </c>
      <c r="L7324" s="5">
        <v>0</v>
      </c>
      <c r="M7324" s="4"/>
      <c r="N7324" s="4"/>
      <c r="O7324" s="5"/>
      <c r="P7324" s="5"/>
      <c r="Q7324" s="21">
        <v>0</v>
      </c>
      <c r="R7324" s="21">
        <v>0</v>
      </c>
      <c r="S7324" s="5">
        <f t="shared" si="459"/>
        <v>29598.939203922881</v>
      </c>
      <c r="T7324" cm="1">
        <f t="array" ref="T7324">IF(OR(B7324="MAL ALIMI", B7324="ÜRETİM GİRİŞ"), MIN(I7324, MAX(0, I7324 + SUM(SUMIFS($I$1:I7323, $C$1:C7323, C7324, $B$1:B7323, {"MAL ALIMI","ÜRETİM GİRİŞ"})) - VLOOKUP(C7324, 'STOK RAPORU'!$C$2:$I$1000, 4, 0))), 0)</f>
        <v>0</v>
      </c>
      <c r="U7324" s="22">
        <f t="shared" si="456"/>
        <v>0</v>
      </c>
      <c r="V7324">
        <f t="shared" si="457"/>
        <v>0</v>
      </c>
      <c r="W7324" s="22">
        <f t="shared" si="458"/>
        <v>0</v>
      </c>
    </row>
    <row r="7325" spans="1:23" hidden="1" x14ac:dyDescent="0.25">
      <c r="A7325" s="3">
        <v>46165</v>
      </c>
      <c r="B7325" s="46" t="s">
        <v>334</v>
      </c>
      <c r="C7325" s="4" t="s">
        <v>1143</v>
      </c>
      <c r="D7325" s="4"/>
      <c r="E7325" s="4"/>
      <c r="F7325" s="4" t="s">
        <v>3511</v>
      </c>
      <c r="G7325" s="4" t="s">
        <v>336</v>
      </c>
      <c r="H7325" s="4" t="s">
        <v>289</v>
      </c>
      <c r="I7325" s="4">
        <v>1</v>
      </c>
      <c r="J7325" s="21">
        <v>130</v>
      </c>
      <c r="K7325" s="21">
        <v>0</v>
      </c>
      <c r="L7325" s="5">
        <v>0</v>
      </c>
      <c r="M7325" s="4"/>
      <c r="N7325" s="4"/>
      <c r="O7325" s="5"/>
      <c r="P7325" s="5"/>
      <c r="Q7325" s="21">
        <v>130</v>
      </c>
      <c r="R7325" s="21">
        <v>0</v>
      </c>
      <c r="S7325" s="5">
        <f t="shared" si="459"/>
        <v>29728.939203922881</v>
      </c>
      <c r="T7325" cm="1">
        <f t="array" ref="T7325">IF(OR(B7325="MAL ALIMI", B7325="ÜRETİM GİRİŞ"), MIN(I7325, MAX(0, I7325 + SUM(SUMIFS($I$1:I7324, $C$1:C7324, C7325, $B$1:B7324, {"MAL ALIMI","ÜRETİM GİRİŞ"})) - VLOOKUP(C7325, 'STOK RAPORU'!$C$2:$I$1000, 4, 0))), 0)</f>
        <v>0</v>
      </c>
      <c r="U7325" s="22">
        <f t="shared" si="456"/>
        <v>0</v>
      </c>
      <c r="V7325">
        <f t="shared" si="457"/>
        <v>0</v>
      </c>
      <c r="W7325" s="22">
        <f t="shared" si="458"/>
        <v>0</v>
      </c>
    </row>
    <row r="7326" spans="1:23" hidden="1" x14ac:dyDescent="0.25">
      <c r="A7326" s="3">
        <v>46165</v>
      </c>
      <c r="B7326" s="46" t="s">
        <v>334</v>
      </c>
      <c r="C7326" s="4" t="s">
        <v>1367</v>
      </c>
      <c r="D7326" s="4"/>
      <c r="E7326" s="4"/>
      <c r="F7326" s="4" t="s">
        <v>3511</v>
      </c>
      <c r="G7326" s="4" t="s">
        <v>336</v>
      </c>
      <c r="H7326" s="4" t="s">
        <v>289</v>
      </c>
      <c r="I7326" s="4">
        <v>1</v>
      </c>
      <c r="J7326" s="21">
        <v>180</v>
      </c>
      <c r="K7326" s="21">
        <v>0</v>
      </c>
      <c r="L7326" s="5">
        <v>0</v>
      </c>
      <c r="M7326" s="4"/>
      <c r="N7326" s="4"/>
      <c r="O7326" s="5"/>
      <c r="P7326" s="5"/>
      <c r="Q7326" s="21">
        <v>180</v>
      </c>
      <c r="R7326" s="21">
        <v>0</v>
      </c>
      <c r="S7326" s="5">
        <f t="shared" si="459"/>
        <v>29908.939203922881</v>
      </c>
      <c r="T7326" cm="1">
        <f t="array" ref="T7326">IF(OR(B7326="MAL ALIMI", B7326="ÜRETİM GİRİŞ"), MIN(I7326, MAX(0, I7326 + SUM(SUMIFS($I$1:I7325, $C$1:C7325, C7326, $B$1:B7325, {"MAL ALIMI","ÜRETİM GİRİŞ"})) - VLOOKUP(C7326, 'STOK RAPORU'!$C$2:$I$1000, 4, 0))), 0)</f>
        <v>0</v>
      </c>
      <c r="U7326" s="22">
        <f t="shared" si="456"/>
        <v>0</v>
      </c>
      <c r="V7326">
        <f t="shared" si="457"/>
        <v>0</v>
      </c>
      <c r="W7326" s="22">
        <f t="shared" si="458"/>
        <v>0</v>
      </c>
    </row>
    <row r="7327" spans="1:23" hidden="1" x14ac:dyDescent="0.25">
      <c r="A7327" s="3">
        <v>46165</v>
      </c>
      <c r="B7327" s="46" t="s">
        <v>334</v>
      </c>
      <c r="C7327" s="4" t="s">
        <v>529</v>
      </c>
      <c r="D7327" s="4"/>
      <c r="E7327" s="4"/>
      <c r="F7327" s="4" t="s">
        <v>3511</v>
      </c>
      <c r="G7327" s="4" t="s">
        <v>336</v>
      </c>
      <c r="H7327" s="4" t="s">
        <v>289</v>
      </c>
      <c r="I7327" s="4">
        <v>0.1</v>
      </c>
      <c r="J7327" s="21">
        <v>600</v>
      </c>
      <c r="K7327" s="21">
        <v>0</v>
      </c>
      <c r="L7327" s="5">
        <v>0</v>
      </c>
      <c r="M7327" s="4"/>
      <c r="N7327" s="4"/>
      <c r="O7327" s="5"/>
      <c r="P7327" s="5"/>
      <c r="Q7327" s="21">
        <v>60</v>
      </c>
      <c r="R7327" s="21">
        <v>0</v>
      </c>
      <c r="S7327" s="5">
        <f t="shared" si="459"/>
        <v>29968.939203922881</v>
      </c>
      <c r="T7327" cm="1">
        <f t="array" ref="T7327">IF(OR(B7327="MAL ALIMI", B7327="ÜRETİM GİRİŞ"), MIN(I7327, MAX(0, I7327 + SUM(SUMIFS($I$1:I7326, $C$1:C7326, C7327, $B$1:B7326, {"MAL ALIMI","ÜRETİM GİRİŞ"})) - VLOOKUP(C7327, 'STOK RAPORU'!$C$2:$I$1000, 4, 0))), 0)</f>
        <v>0</v>
      </c>
      <c r="U7327" s="22">
        <f t="shared" si="456"/>
        <v>0</v>
      </c>
      <c r="V7327">
        <f t="shared" si="457"/>
        <v>0</v>
      </c>
      <c r="W7327" s="22">
        <f t="shared" si="458"/>
        <v>0</v>
      </c>
    </row>
    <row r="7328" spans="1:23" hidden="1" x14ac:dyDescent="0.25">
      <c r="A7328" s="3">
        <v>46165</v>
      </c>
      <c r="B7328" s="46" t="s">
        <v>334</v>
      </c>
      <c r="C7328" s="4" t="s">
        <v>140</v>
      </c>
      <c r="D7328" s="4"/>
      <c r="E7328" s="4"/>
      <c r="F7328" s="4" t="s">
        <v>3511</v>
      </c>
      <c r="G7328" s="4" t="s">
        <v>336</v>
      </c>
      <c r="H7328" s="4" t="s">
        <v>289</v>
      </c>
      <c r="I7328" s="4">
        <v>0.1</v>
      </c>
      <c r="J7328" s="21">
        <v>300</v>
      </c>
      <c r="K7328" s="21">
        <v>0</v>
      </c>
      <c r="L7328" s="5">
        <v>0</v>
      </c>
      <c r="M7328" s="4"/>
      <c r="N7328" s="4"/>
      <c r="O7328" s="5"/>
      <c r="P7328" s="5"/>
      <c r="Q7328" s="21">
        <v>30</v>
      </c>
      <c r="R7328" s="21">
        <v>0</v>
      </c>
      <c r="S7328" s="5">
        <f t="shared" si="459"/>
        <v>29998.939203922881</v>
      </c>
      <c r="T7328" cm="1">
        <f t="array" ref="T7328">IF(OR(B7328="MAL ALIMI", B7328="ÜRETİM GİRİŞ"), MIN(I7328, MAX(0, I7328 + SUM(SUMIFS($I$1:I7327, $C$1:C7327, C7328, $B$1:B7327, {"MAL ALIMI","ÜRETİM GİRİŞ"})) - VLOOKUP(C7328, 'STOK RAPORU'!$C$2:$I$1000, 4, 0))), 0)</f>
        <v>0</v>
      </c>
      <c r="U7328" s="22">
        <f t="shared" si="456"/>
        <v>0</v>
      </c>
      <c r="V7328">
        <f t="shared" si="457"/>
        <v>0</v>
      </c>
      <c r="W7328" s="22">
        <f t="shared" si="458"/>
        <v>0</v>
      </c>
    </row>
    <row r="7329" spans="1:23" hidden="1" x14ac:dyDescent="0.25">
      <c r="A7329" s="3">
        <v>46165</v>
      </c>
      <c r="B7329" s="46" t="s">
        <v>334</v>
      </c>
      <c r="C7329" s="4" t="s">
        <v>209</v>
      </c>
      <c r="D7329" s="4"/>
      <c r="E7329" s="4" t="s">
        <v>921</v>
      </c>
      <c r="F7329" s="4" t="s">
        <v>3512</v>
      </c>
      <c r="G7329" s="4" t="s">
        <v>336</v>
      </c>
      <c r="H7329" s="4" t="s">
        <v>380</v>
      </c>
      <c r="I7329" s="4">
        <v>0.05</v>
      </c>
      <c r="J7329" s="21">
        <v>2600</v>
      </c>
      <c r="K7329" s="21">
        <v>130</v>
      </c>
      <c r="L7329" s="5">
        <v>0</v>
      </c>
      <c r="M7329" s="4"/>
      <c r="N7329" s="4"/>
      <c r="O7329" s="5"/>
      <c r="P7329" s="5"/>
      <c r="Q7329" s="21">
        <v>0</v>
      </c>
      <c r="R7329" s="21">
        <v>0</v>
      </c>
      <c r="S7329" s="5">
        <f t="shared" si="459"/>
        <v>29998.939203922881</v>
      </c>
      <c r="T7329" cm="1">
        <f t="array" ref="T7329">IF(OR(B7329="MAL ALIMI", B7329="ÜRETİM GİRİŞ"), MIN(I7329, MAX(0, I7329 + SUM(SUMIFS($I$1:I7328, $C$1:C7328, C7329, $B$1:B7328, {"MAL ALIMI","ÜRETİM GİRİŞ"})) - VLOOKUP(C7329, 'STOK RAPORU'!$C$2:$I$1000, 4, 0))), 0)</f>
        <v>0</v>
      </c>
      <c r="U7329" s="22">
        <f t="shared" si="456"/>
        <v>0</v>
      </c>
      <c r="V7329">
        <f t="shared" si="457"/>
        <v>0</v>
      </c>
      <c r="W7329" s="22">
        <f t="shared" si="458"/>
        <v>0</v>
      </c>
    </row>
    <row r="7330" spans="1:23" hidden="1" x14ac:dyDescent="0.25">
      <c r="A7330" s="3">
        <v>46165</v>
      </c>
      <c r="B7330" s="46" t="s">
        <v>334</v>
      </c>
      <c r="C7330" s="4" t="s">
        <v>92</v>
      </c>
      <c r="D7330" s="4"/>
      <c r="E7330" s="4"/>
      <c r="F7330" s="4" t="s">
        <v>3513</v>
      </c>
      <c r="G7330" s="4" t="s">
        <v>336</v>
      </c>
      <c r="H7330" s="4" t="s">
        <v>289</v>
      </c>
      <c r="I7330" s="4">
        <v>5.8000000000000003E-2</v>
      </c>
      <c r="J7330" s="21">
        <v>500</v>
      </c>
      <c r="K7330" s="21">
        <v>0</v>
      </c>
      <c r="L7330" s="5">
        <v>0</v>
      </c>
      <c r="M7330" s="4"/>
      <c r="N7330" s="4"/>
      <c r="O7330" s="5"/>
      <c r="P7330" s="5"/>
      <c r="Q7330" s="21">
        <v>29</v>
      </c>
      <c r="R7330" s="21">
        <v>0</v>
      </c>
      <c r="S7330" s="5">
        <f t="shared" si="459"/>
        <v>30027.939203922881</v>
      </c>
      <c r="T7330" cm="1">
        <f t="array" ref="T7330">IF(OR(B7330="MAL ALIMI", B7330="ÜRETİM GİRİŞ"), MIN(I7330, MAX(0, I7330 + SUM(SUMIFS($I$1:I7329, $C$1:C7329, C7330, $B$1:B7329, {"MAL ALIMI","ÜRETİM GİRİŞ"})) - VLOOKUP(C7330, 'STOK RAPORU'!$C$2:$I$1000, 4, 0))), 0)</f>
        <v>0</v>
      </c>
      <c r="U7330" s="22">
        <f t="shared" si="456"/>
        <v>0</v>
      </c>
      <c r="V7330">
        <f t="shared" si="457"/>
        <v>0</v>
      </c>
      <c r="W7330" s="22">
        <f t="shared" si="458"/>
        <v>0</v>
      </c>
    </row>
    <row r="7331" spans="1:23" hidden="1" x14ac:dyDescent="0.25">
      <c r="A7331" s="3">
        <v>46165</v>
      </c>
      <c r="B7331" s="46" t="s">
        <v>334</v>
      </c>
      <c r="C7331" s="4" t="s">
        <v>126</v>
      </c>
      <c r="D7331" s="4"/>
      <c r="E7331" s="4"/>
      <c r="F7331" s="4" t="s">
        <v>3513</v>
      </c>
      <c r="G7331" s="4" t="s">
        <v>336</v>
      </c>
      <c r="H7331" s="4" t="s">
        <v>289</v>
      </c>
      <c r="I7331" s="4">
        <v>6.4000000000000001E-2</v>
      </c>
      <c r="J7331" s="21">
        <v>630</v>
      </c>
      <c r="K7331" s="21">
        <v>0</v>
      </c>
      <c r="L7331" s="5">
        <v>0</v>
      </c>
      <c r="M7331" s="4"/>
      <c r="N7331" s="4"/>
      <c r="O7331" s="5"/>
      <c r="P7331" s="5"/>
      <c r="Q7331" s="21">
        <v>40.32</v>
      </c>
      <c r="R7331" s="21">
        <v>0</v>
      </c>
      <c r="S7331" s="5">
        <f t="shared" si="459"/>
        <v>30068.25920392288</v>
      </c>
      <c r="T7331" cm="1">
        <f t="array" ref="T7331">IF(OR(B7331="MAL ALIMI", B7331="ÜRETİM GİRİŞ"), MIN(I7331, MAX(0, I7331 + SUM(SUMIFS($I$1:I7330, $C$1:C7330, C7331, $B$1:B7330, {"MAL ALIMI","ÜRETİM GİRİŞ"})) - VLOOKUP(C7331, 'STOK RAPORU'!$C$2:$I$1000, 4, 0))), 0)</f>
        <v>0</v>
      </c>
      <c r="U7331" s="22">
        <f t="shared" si="456"/>
        <v>0</v>
      </c>
      <c r="V7331">
        <f t="shared" si="457"/>
        <v>0</v>
      </c>
      <c r="W7331" s="22">
        <f t="shared" si="458"/>
        <v>0</v>
      </c>
    </row>
    <row r="7332" spans="1:23" hidden="1" x14ac:dyDescent="0.25">
      <c r="A7332" s="3">
        <v>46165</v>
      </c>
      <c r="B7332" s="46" t="s">
        <v>334</v>
      </c>
      <c r="C7332" s="4" t="s">
        <v>129</v>
      </c>
      <c r="D7332" s="4"/>
      <c r="E7332" s="4"/>
      <c r="F7332" s="4" t="s">
        <v>3513</v>
      </c>
      <c r="G7332" s="4" t="s">
        <v>336</v>
      </c>
      <c r="H7332" s="4" t="s">
        <v>289</v>
      </c>
      <c r="I7332" s="4">
        <v>5.2000000000000005E-2</v>
      </c>
      <c r="J7332" s="21">
        <v>400</v>
      </c>
      <c r="K7332" s="21">
        <v>0</v>
      </c>
      <c r="L7332" s="5">
        <v>0</v>
      </c>
      <c r="M7332" s="4"/>
      <c r="N7332" s="4"/>
      <c r="O7332" s="5"/>
      <c r="P7332" s="5"/>
      <c r="Q7332" s="21">
        <v>20.8</v>
      </c>
      <c r="R7332" s="21">
        <v>0</v>
      </c>
      <c r="S7332" s="5">
        <f t="shared" si="459"/>
        <v>30089.05920392288</v>
      </c>
      <c r="T7332" cm="1">
        <f t="array" ref="T7332">IF(OR(B7332="MAL ALIMI", B7332="ÜRETİM GİRİŞ"), MIN(I7332, MAX(0, I7332 + SUM(SUMIFS($I$1:I7331, $C$1:C7331, C7332, $B$1:B7331, {"MAL ALIMI","ÜRETİM GİRİŞ"})) - VLOOKUP(C7332, 'STOK RAPORU'!$C$2:$I$1000, 4, 0))), 0)</f>
        <v>0</v>
      </c>
      <c r="U7332" s="22">
        <f t="shared" si="456"/>
        <v>0</v>
      </c>
      <c r="V7332">
        <f t="shared" si="457"/>
        <v>0</v>
      </c>
      <c r="W7332" s="22">
        <f t="shared" si="458"/>
        <v>0</v>
      </c>
    </row>
    <row r="7333" spans="1:23" hidden="1" x14ac:dyDescent="0.25">
      <c r="A7333" s="3">
        <v>46165</v>
      </c>
      <c r="B7333" s="46" t="s">
        <v>334</v>
      </c>
      <c r="C7333" s="4" t="s">
        <v>158</v>
      </c>
      <c r="D7333" s="4"/>
      <c r="E7333" s="4"/>
      <c r="F7333" s="4" t="s">
        <v>3513</v>
      </c>
      <c r="G7333" s="4" t="s">
        <v>336</v>
      </c>
      <c r="H7333" s="4" t="s">
        <v>289</v>
      </c>
      <c r="I7333" s="4">
        <v>2</v>
      </c>
      <c r="J7333" s="21">
        <v>150</v>
      </c>
      <c r="K7333" s="21">
        <v>0</v>
      </c>
      <c r="L7333" s="5">
        <v>0</v>
      </c>
      <c r="M7333" s="4"/>
      <c r="N7333" s="4"/>
      <c r="O7333" s="5"/>
      <c r="P7333" s="5"/>
      <c r="Q7333" s="21">
        <v>300</v>
      </c>
      <c r="R7333" s="21">
        <v>0</v>
      </c>
      <c r="S7333" s="5">
        <f t="shared" si="459"/>
        <v>30389.05920392288</v>
      </c>
      <c r="T7333" cm="1">
        <f t="array" ref="T7333">IF(OR(B7333="MAL ALIMI", B7333="ÜRETİM GİRİŞ"), MIN(I7333, MAX(0, I7333 + SUM(SUMIFS($I$1:I7332, $C$1:C7332, C7333, $B$1:B7332, {"MAL ALIMI","ÜRETİM GİRİŞ"})) - VLOOKUP(C7333, 'STOK RAPORU'!$C$2:$I$1000, 4, 0))), 0)</f>
        <v>0</v>
      </c>
      <c r="U7333" s="22">
        <f t="shared" si="456"/>
        <v>0</v>
      </c>
      <c r="V7333">
        <f t="shared" si="457"/>
        <v>0</v>
      </c>
      <c r="W7333" s="22">
        <f t="shared" si="458"/>
        <v>0</v>
      </c>
    </row>
    <row r="7334" spans="1:23" hidden="1" x14ac:dyDescent="0.25">
      <c r="A7334" s="3">
        <v>46165</v>
      </c>
      <c r="B7334" s="46" t="s">
        <v>334</v>
      </c>
      <c r="C7334" s="4" t="s">
        <v>728</v>
      </c>
      <c r="D7334" s="4"/>
      <c r="E7334" s="4"/>
      <c r="F7334" s="4" t="s">
        <v>3513</v>
      </c>
      <c r="G7334" s="4" t="s">
        <v>336</v>
      </c>
      <c r="H7334" s="4" t="s">
        <v>289</v>
      </c>
      <c r="I7334" s="4">
        <v>0.15384615384615385</v>
      </c>
      <c r="J7334" s="21">
        <v>650</v>
      </c>
      <c r="K7334" s="21">
        <v>0</v>
      </c>
      <c r="L7334" s="5">
        <v>0</v>
      </c>
      <c r="M7334" s="4"/>
      <c r="N7334" s="4"/>
      <c r="O7334" s="5"/>
      <c r="P7334" s="5"/>
      <c r="Q7334" s="21">
        <v>100</v>
      </c>
      <c r="R7334" s="21">
        <v>0</v>
      </c>
      <c r="S7334" s="5">
        <f t="shared" si="459"/>
        <v>30489.05920392288</v>
      </c>
      <c r="T7334" cm="1">
        <f t="array" ref="T7334">IF(OR(B7334="MAL ALIMI", B7334="ÜRETİM GİRİŞ"), MIN(I7334, MAX(0, I7334 + SUM(SUMIFS($I$1:I7333, $C$1:C7333, C7334, $B$1:B7333, {"MAL ALIMI","ÜRETİM GİRİŞ"})) - VLOOKUP(C7334, 'STOK RAPORU'!$C$2:$I$1000, 4, 0))), 0)</f>
        <v>0</v>
      </c>
      <c r="U7334" s="22">
        <f t="shared" si="456"/>
        <v>0</v>
      </c>
      <c r="V7334">
        <f t="shared" si="457"/>
        <v>0</v>
      </c>
      <c r="W7334" s="22">
        <f t="shared" si="458"/>
        <v>0</v>
      </c>
    </row>
    <row r="7335" spans="1:23" hidden="1" x14ac:dyDescent="0.25">
      <c r="A7335" s="3">
        <v>46165</v>
      </c>
      <c r="B7335" s="46" t="s">
        <v>334</v>
      </c>
      <c r="C7335" s="4" t="s">
        <v>1379</v>
      </c>
      <c r="D7335" s="4"/>
      <c r="E7335" s="4"/>
      <c r="F7335" s="4" t="s">
        <v>3514</v>
      </c>
      <c r="G7335" s="4" t="s">
        <v>336</v>
      </c>
      <c r="H7335" s="4" t="s">
        <v>289</v>
      </c>
      <c r="I7335" s="4">
        <v>1</v>
      </c>
      <c r="J7335" s="21">
        <v>220</v>
      </c>
      <c r="K7335" s="21">
        <v>0</v>
      </c>
      <c r="L7335" s="5">
        <v>0</v>
      </c>
      <c r="M7335" s="4"/>
      <c r="N7335" s="4"/>
      <c r="O7335" s="5"/>
      <c r="P7335" s="5"/>
      <c r="Q7335" s="21">
        <v>220</v>
      </c>
      <c r="R7335" s="21">
        <v>0</v>
      </c>
      <c r="S7335" s="5">
        <f t="shared" si="459"/>
        <v>30709.05920392288</v>
      </c>
      <c r="T7335" cm="1">
        <f t="array" ref="T7335">IF(OR(B7335="MAL ALIMI", B7335="ÜRETİM GİRİŞ"), MIN(I7335, MAX(0, I7335 + SUM(SUMIFS($I$1:I7334, $C$1:C7334, C7335, $B$1:B7334, {"MAL ALIMI","ÜRETİM GİRİŞ"})) - VLOOKUP(C7335, 'STOK RAPORU'!$C$2:$I$1000, 4, 0))), 0)</f>
        <v>0</v>
      </c>
      <c r="U7335" s="22">
        <f t="shared" si="456"/>
        <v>0</v>
      </c>
      <c r="V7335">
        <f t="shared" si="457"/>
        <v>0</v>
      </c>
      <c r="W7335" s="22">
        <f t="shared" si="458"/>
        <v>0</v>
      </c>
    </row>
    <row r="7336" spans="1:23" hidden="1" x14ac:dyDescent="0.25">
      <c r="A7336" s="3">
        <v>46165</v>
      </c>
      <c r="B7336" s="46" t="s">
        <v>334</v>
      </c>
      <c r="C7336" s="4" t="s">
        <v>523</v>
      </c>
      <c r="D7336" s="4"/>
      <c r="E7336" s="4" t="s">
        <v>921</v>
      </c>
      <c r="F7336" s="4" t="s">
        <v>3515</v>
      </c>
      <c r="G7336" s="4" t="s">
        <v>336</v>
      </c>
      <c r="H7336" s="4" t="s">
        <v>380</v>
      </c>
      <c r="I7336" s="4">
        <v>0.1</v>
      </c>
      <c r="J7336" s="21">
        <v>600</v>
      </c>
      <c r="K7336" s="21">
        <v>60</v>
      </c>
      <c r="L7336" s="5">
        <v>0</v>
      </c>
      <c r="M7336" s="4"/>
      <c r="N7336" s="4"/>
      <c r="O7336" s="5"/>
      <c r="P7336" s="5"/>
      <c r="Q7336" s="21">
        <v>0</v>
      </c>
      <c r="R7336" s="21">
        <v>0</v>
      </c>
      <c r="S7336" s="5">
        <f t="shared" si="459"/>
        <v>30709.05920392288</v>
      </c>
      <c r="T7336" cm="1">
        <f t="array" ref="T7336">IF(OR(B7336="MAL ALIMI", B7336="ÜRETİM GİRİŞ"), MIN(I7336, MAX(0, I7336 + SUM(SUMIFS($I$1:I7335, $C$1:C7335, C7336, $B$1:B7335, {"MAL ALIMI","ÜRETİM GİRİŞ"})) - VLOOKUP(C7336, 'STOK RAPORU'!$C$2:$I$1000, 4, 0))), 0)</f>
        <v>0</v>
      </c>
      <c r="U7336" s="22">
        <f t="shared" si="456"/>
        <v>0</v>
      </c>
      <c r="V7336">
        <f t="shared" si="457"/>
        <v>0</v>
      </c>
      <c r="W7336" s="22">
        <f t="shared" si="458"/>
        <v>0</v>
      </c>
    </row>
    <row r="7337" spans="1:23" hidden="1" x14ac:dyDescent="0.25">
      <c r="A7337" s="3">
        <v>46165</v>
      </c>
      <c r="B7337" s="46" t="s">
        <v>334</v>
      </c>
      <c r="C7337" s="4" t="s">
        <v>126</v>
      </c>
      <c r="D7337" s="4"/>
      <c r="E7337" s="4" t="s">
        <v>921</v>
      </c>
      <c r="F7337" s="4" t="s">
        <v>3515</v>
      </c>
      <c r="G7337" s="4" t="s">
        <v>336</v>
      </c>
      <c r="H7337" s="4" t="s">
        <v>380</v>
      </c>
      <c r="I7337" s="4">
        <v>5.2307692307692305E-2</v>
      </c>
      <c r="J7337" s="21">
        <v>650</v>
      </c>
      <c r="K7337" s="21">
        <v>34</v>
      </c>
      <c r="L7337" s="5">
        <v>0</v>
      </c>
      <c r="M7337" s="4"/>
      <c r="N7337" s="4"/>
      <c r="O7337" s="5"/>
      <c r="P7337" s="5"/>
      <c r="Q7337" s="21">
        <v>0</v>
      </c>
      <c r="R7337" s="21">
        <v>0</v>
      </c>
      <c r="S7337" s="5">
        <f t="shared" si="459"/>
        <v>30709.05920392288</v>
      </c>
      <c r="T7337" cm="1">
        <f t="array" ref="T7337">IF(OR(B7337="MAL ALIMI", B7337="ÜRETİM GİRİŞ"), MIN(I7337, MAX(0, I7337 + SUM(SUMIFS($I$1:I7336, $C$1:C7336, C7337, $B$1:B7336, {"MAL ALIMI","ÜRETİM GİRİŞ"})) - VLOOKUP(C7337, 'STOK RAPORU'!$C$2:$I$1000, 4, 0))), 0)</f>
        <v>0</v>
      </c>
      <c r="U7337" s="22">
        <f t="shared" si="456"/>
        <v>0</v>
      </c>
      <c r="V7337">
        <f t="shared" si="457"/>
        <v>0</v>
      </c>
      <c r="W7337" s="22">
        <f t="shared" si="458"/>
        <v>0</v>
      </c>
    </row>
    <row r="7338" spans="1:23" hidden="1" x14ac:dyDescent="0.25">
      <c r="A7338" s="3">
        <v>46165</v>
      </c>
      <c r="B7338" s="4" t="s">
        <v>946</v>
      </c>
      <c r="C7338" s="4"/>
      <c r="D7338" s="4"/>
      <c r="E7338" s="4" t="s">
        <v>921</v>
      </c>
      <c r="F7338" s="4"/>
      <c r="G7338" s="4" t="s">
        <v>946</v>
      </c>
      <c r="H7338" s="4" t="s">
        <v>380</v>
      </c>
      <c r="I7338" s="4">
        <v>1</v>
      </c>
      <c r="J7338" s="21">
        <v>1084</v>
      </c>
      <c r="K7338" s="21">
        <v>0</v>
      </c>
      <c r="L7338" s="32">
        <v>1084</v>
      </c>
      <c r="M7338" s="21">
        <v>500</v>
      </c>
      <c r="N7338" s="4"/>
      <c r="O7338" s="5"/>
      <c r="P7338" s="5"/>
      <c r="Q7338" s="21">
        <v>1084</v>
      </c>
      <c r="R7338" s="21">
        <v>0</v>
      </c>
      <c r="S7338" s="5">
        <f t="shared" si="459"/>
        <v>31793.05920392288</v>
      </c>
      <c r="T7338" cm="1">
        <f t="array" ref="T7338">IF(OR(B7338="MAL ALIMI", B7338="ÜRETİM GİRİŞ"), MIN(I7338, MAX(0, I7338 + SUM(SUMIFS($I$1:I7337, $C$1:C7337, C7338, $B$1:B7337, {"MAL ALIMI","ÜRETİM GİRİŞ"})) - VLOOKUP(C7338, 'STOK RAPORU'!$C$2:$I$1000, 4, 0))), 0)</f>
        <v>0</v>
      </c>
      <c r="U7338" s="22">
        <f t="shared" si="456"/>
        <v>0</v>
      </c>
      <c r="V7338">
        <f t="shared" si="457"/>
        <v>0</v>
      </c>
      <c r="W7338" s="22">
        <f t="shared" si="458"/>
        <v>0</v>
      </c>
    </row>
    <row r="7339" spans="1:23" hidden="1" x14ac:dyDescent="0.25">
      <c r="A7339" s="3">
        <v>46167</v>
      </c>
      <c r="B7339" s="46" t="s">
        <v>334</v>
      </c>
      <c r="C7339" s="4" t="s">
        <v>218</v>
      </c>
      <c r="D7339" s="4"/>
      <c r="E7339" s="4" t="s">
        <v>921</v>
      </c>
      <c r="F7339" s="4" t="s">
        <v>3517</v>
      </c>
      <c r="G7339" s="4" t="s">
        <v>336</v>
      </c>
      <c r="H7339" s="4" t="s">
        <v>380</v>
      </c>
      <c r="I7339" s="4">
        <v>1</v>
      </c>
      <c r="J7339" s="21">
        <v>320</v>
      </c>
      <c r="K7339" s="21">
        <v>320</v>
      </c>
      <c r="L7339" s="5">
        <v>0</v>
      </c>
      <c r="M7339" s="4"/>
      <c r="N7339" s="4"/>
      <c r="O7339" s="5"/>
      <c r="P7339" s="5"/>
      <c r="Q7339" s="21">
        <v>0</v>
      </c>
      <c r="R7339" s="21">
        <v>0</v>
      </c>
      <c r="S7339" s="5">
        <f t="shared" si="459"/>
        <v>31793.05920392288</v>
      </c>
      <c r="T7339" cm="1">
        <f t="array" ref="T7339">IF(OR(B7339="MAL ALIMI", B7339="ÜRETİM GİRİŞ"), MIN(I7339, MAX(0, I7339 + SUM(SUMIFS($I$1:I7338, $C$1:C7338, C7339, $B$1:B7338, {"MAL ALIMI","ÜRETİM GİRİŞ"})) - VLOOKUP(C7339, 'STOK RAPORU'!$C$2:$I$1000, 4, 0))), 0)</f>
        <v>0</v>
      </c>
      <c r="U7339" s="22">
        <f t="shared" si="456"/>
        <v>0</v>
      </c>
      <c r="V7339">
        <f t="shared" si="457"/>
        <v>0</v>
      </c>
      <c r="W7339" s="22">
        <f t="shared" si="458"/>
        <v>0</v>
      </c>
    </row>
    <row r="7340" spans="1:23" hidden="1" x14ac:dyDescent="0.25">
      <c r="A7340" s="3">
        <v>46167</v>
      </c>
      <c r="B7340" s="46" t="s">
        <v>334</v>
      </c>
      <c r="C7340" s="4" t="s">
        <v>3381</v>
      </c>
      <c r="D7340" s="4"/>
      <c r="E7340" s="4" t="s">
        <v>921</v>
      </c>
      <c r="F7340" s="4" t="s">
        <v>3517</v>
      </c>
      <c r="G7340" s="4" t="s">
        <v>336</v>
      </c>
      <c r="H7340" s="4" t="s">
        <v>380</v>
      </c>
      <c r="I7340" s="4">
        <v>0.34</v>
      </c>
      <c r="J7340" s="21">
        <v>235.5</v>
      </c>
      <c r="K7340" s="21">
        <v>80.070000000000007</v>
      </c>
      <c r="L7340" s="5">
        <v>0</v>
      </c>
      <c r="M7340" s="4"/>
      <c r="N7340" s="4"/>
      <c r="O7340" s="5"/>
      <c r="P7340" s="5"/>
      <c r="Q7340" s="21">
        <v>0</v>
      </c>
      <c r="R7340" s="21">
        <v>0</v>
      </c>
      <c r="S7340" s="5">
        <f t="shared" si="459"/>
        <v>31793.05920392288</v>
      </c>
      <c r="T7340" cm="1">
        <f t="array" ref="T7340">IF(OR(B7340="MAL ALIMI", B7340="ÜRETİM GİRİŞ"), MIN(I7340, MAX(0, I7340 + SUM(SUMIFS($I$1:I7339, $C$1:C7339, C7340, $B$1:B7339, {"MAL ALIMI","ÜRETİM GİRİŞ"})) - VLOOKUP(C7340, 'STOK RAPORU'!$C$2:$I$1000, 4, 0))), 0)</f>
        <v>0</v>
      </c>
      <c r="U7340" s="22">
        <f t="shared" si="456"/>
        <v>0</v>
      </c>
      <c r="V7340">
        <f t="shared" si="457"/>
        <v>0</v>
      </c>
      <c r="W7340" s="22">
        <f t="shared" si="458"/>
        <v>0</v>
      </c>
    </row>
    <row r="7341" spans="1:23" hidden="1" x14ac:dyDescent="0.25">
      <c r="A7341" s="3">
        <v>46167</v>
      </c>
      <c r="B7341" s="46" t="s">
        <v>334</v>
      </c>
      <c r="C7341" s="4" t="s">
        <v>597</v>
      </c>
      <c r="D7341" s="4"/>
      <c r="E7341" s="4" t="s">
        <v>921</v>
      </c>
      <c r="F7341" s="4" t="s">
        <v>3518</v>
      </c>
      <c r="G7341" s="4" t="s">
        <v>336</v>
      </c>
      <c r="H7341" s="4" t="s">
        <v>380</v>
      </c>
      <c r="I7341" s="4">
        <v>1</v>
      </c>
      <c r="J7341" s="21">
        <v>375</v>
      </c>
      <c r="K7341" s="21">
        <v>375</v>
      </c>
      <c r="L7341" s="5">
        <v>0</v>
      </c>
      <c r="M7341" s="4"/>
      <c r="N7341" s="4"/>
      <c r="O7341" s="5"/>
      <c r="P7341" s="5"/>
      <c r="Q7341" s="21">
        <v>0</v>
      </c>
      <c r="R7341" s="21">
        <v>0</v>
      </c>
      <c r="S7341" s="5">
        <f t="shared" si="459"/>
        <v>31793.05920392288</v>
      </c>
      <c r="T7341" cm="1">
        <f t="array" ref="T7341">IF(OR(B7341="MAL ALIMI", B7341="ÜRETİM GİRİŞ"), MIN(I7341, MAX(0, I7341 + SUM(SUMIFS($I$1:I7340, $C$1:C7340, C7341, $B$1:B7340, {"MAL ALIMI","ÜRETİM GİRİŞ"})) - VLOOKUP(C7341, 'STOK RAPORU'!$C$2:$I$1000, 4, 0))), 0)</f>
        <v>0</v>
      </c>
      <c r="U7341" s="22">
        <f t="shared" si="456"/>
        <v>0</v>
      </c>
      <c r="V7341">
        <f t="shared" si="457"/>
        <v>0</v>
      </c>
      <c r="W7341" s="22">
        <f t="shared" si="458"/>
        <v>0</v>
      </c>
    </row>
    <row r="7342" spans="1:23" hidden="1" x14ac:dyDescent="0.25">
      <c r="A7342" s="3">
        <v>46167</v>
      </c>
      <c r="B7342" s="46" t="s">
        <v>334</v>
      </c>
      <c r="C7342" s="4" t="s">
        <v>129</v>
      </c>
      <c r="D7342" s="4"/>
      <c r="E7342" s="4"/>
      <c r="F7342" s="4" t="s">
        <v>3519</v>
      </c>
      <c r="G7342" s="4" t="s">
        <v>336</v>
      </c>
      <c r="H7342" s="4" t="s">
        <v>289</v>
      </c>
      <c r="I7342" s="4">
        <v>0.125</v>
      </c>
      <c r="J7342" s="21">
        <v>400</v>
      </c>
      <c r="K7342" s="21">
        <v>0</v>
      </c>
      <c r="L7342" s="5">
        <v>0</v>
      </c>
      <c r="M7342" s="4"/>
      <c r="N7342" s="4"/>
      <c r="O7342" s="5"/>
      <c r="P7342" s="5"/>
      <c r="Q7342" s="21">
        <v>50</v>
      </c>
      <c r="R7342" s="21">
        <v>0</v>
      </c>
      <c r="S7342" s="5">
        <f t="shared" si="459"/>
        <v>31843.05920392288</v>
      </c>
      <c r="T7342" cm="1">
        <f t="array" ref="T7342">IF(OR(B7342="MAL ALIMI", B7342="ÜRETİM GİRİŞ"), MIN(I7342, MAX(0, I7342 + SUM(SUMIFS($I$1:I7341, $C$1:C7341, C7342, $B$1:B7341, {"MAL ALIMI","ÜRETİM GİRİŞ"})) - VLOOKUP(C7342, 'STOK RAPORU'!$C$2:$I$1000, 4, 0))), 0)</f>
        <v>0</v>
      </c>
      <c r="U7342" s="22">
        <f t="shared" si="456"/>
        <v>0</v>
      </c>
      <c r="V7342">
        <f t="shared" si="457"/>
        <v>0</v>
      </c>
      <c r="W7342" s="22">
        <f t="shared" si="458"/>
        <v>0</v>
      </c>
    </row>
    <row r="7343" spans="1:23" hidden="1" x14ac:dyDescent="0.25">
      <c r="A7343" s="3">
        <v>46167</v>
      </c>
      <c r="B7343" s="46" t="s">
        <v>334</v>
      </c>
      <c r="C7343" s="4" t="s">
        <v>158</v>
      </c>
      <c r="D7343" s="4"/>
      <c r="E7343" s="4" t="s">
        <v>921</v>
      </c>
      <c r="F7343" s="4" t="s">
        <v>3520</v>
      </c>
      <c r="G7343" s="4" t="s">
        <v>336</v>
      </c>
      <c r="H7343" s="4" t="s">
        <v>380</v>
      </c>
      <c r="I7343" s="4">
        <v>1</v>
      </c>
      <c r="J7343" s="21">
        <v>150</v>
      </c>
      <c r="K7343" s="21">
        <v>150</v>
      </c>
      <c r="L7343" s="5">
        <v>0</v>
      </c>
      <c r="M7343" s="4"/>
      <c r="N7343" s="4"/>
      <c r="O7343" s="5"/>
      <c r="P7343" s="5"/>
      <c r="Q7343" s="21">
        <v>0</v>
      </c>
      <c r="R7343" s="21">
        <v>0</v>
      </c>
      <c r="S7343" s="5">
        <f t="shared" si="459"/>
        <v>31843.05920392288</v>
      </c>
      <c r="T7343" cm="1">
        <f t="array" ref="T7343">IF(OR(B7343="MAL ALIMI", B7343="ÜRETİM GİRİŞ"), MIN(I7343, MAX(0, I7343 + SUM(SUMIFS($I$1:I7342, $C$1:C7342, C7343, $B$1:B7342, {"MAL ALIMI","ÜRETİM GİRİŞ"})) - VLOOKUP(C7343, 'STOK RAPORU'!$C$2:$I$1000, 4, 0))), 0)</f>
        <v>0</v>
      </c>
      <c r="U7343" s="22">
        <f t="shared" si="456"/>
        <v>0</v>
      </c>
      <c r="V7343">
        <f t="shared" si="457"/>
        <v>0</v>
      </c>
      <c r="W7343" s="22">
        <f t="shared" si="458"/>
        <v>0</v>
      </c>
    </row>
    <row r="7344" spans="1:23" hidden="1" x14ac:dyDescent="0.25">
      <c r="A7344" s="3">
        <v>46167</v>
      </c>
      <c r="B7344" s="46" t="s">
        <v>334</v>
      </c>
      <c r="C7344" s="4" t="s">
        <v>194</v>
      </c>
      <c r="D7344" s="4"/>
      <c r="E7344" s="4" t="s">
        <v>921</v>
      </c>
      <c r="F7344" s="4" t="s">
        <v>3521</v>
      </c>
      <c r="G7344" s="4" t="s">
        <v>336</v>
      </c>
      <c r="H7344" s="4" t="s">
        <v>380</v>
      </c>
      <c r="I7344" s="4">
        <v>0.2</v>
      </c>
      <c r="J7344" s="21">
        <v>750</v>
      </c>
      <c r="K7344" s="21">
        <v>150</v>
      </c>
      <c r="L7344" s="5">
        <v>0</v>
      </c>
      <c r="M7344" s="4"/>
      <c r="N7344" s="4"/>
      <c r="O7344" s="5"/>
      <c r="P7344" s="5"/>
      <c r="Q7344" s="21">
        <v>0</v>
      </c>
      <c r="R7344" s="21">
        <v>0</v>
      </c>
      <c r="S7344" s="5">
        <f t="shared" si="459"/>
        <v>31843.05920392288</v>
      </c>
      <c r="T7344" cm="1">
        <f t="array" ref="T7344">IF(OR(B7344="MAL ALIMI", B7344="ÜRETİM GİRİŞ"), MIN(I7344, MAX(0, I7344 + SUM(SUMIFS($I$1:I7343, $C$1:C7343, C7344, $B$1:B7343, {"MAL ALIMI","ÜRETİM GİRİŞ"})) - VLOOKUP(C7344, 'STOK RAPORU'!$C$2:$I$1000, 4, 0))), 0)</f>
        <v>0</v>
      </c>
      <c r="U7344" s="22">
        <f t="shared" si="456"/>
        <v>0</v>
      </c>
      <c r="V7344">
        <f t="shared" si="457"/>
        <v>0</v>
      </c>
      <c r="W7344" s="22">
        <f t="shared" si="458"/>
        <v>0</v>
      </c>
    </row>
    <row r="7345" spans="1:23" hidden="1" x14ac:dyDescent="0.25">
      <c r="A7345" s="3">
        <v>46167</v>
      </c>
      <c r="B7345" s="46" t="s">
        <v>334</v>
      </c>
      <c r="C7345" s="4" t="s">
        <v>244</v>
      </c>
      <c r="D7345" s="4"/>
      <c r="E7345" s="4" t="s">
        <v>921</v>
      </c>
      <c r="F7345" s="4" t="s">
        <v>3521</v>
      </c>
      <c r="G7345" s="4" t="s">
        <v>336</v>
      </c>
      <c r="H7345" s="4" t="s">
        <v>380</v>
      </c>
      <c r="I7345" s="4">
        <v>0.23200000000000001</v>
      </c>
      <c r="J7345" s="21">
        <v>650</v>
      </c>
      <c r="K7345" s="21">
        <v>150.80000000000001</v>
      </c>
      <c r="L7345" s="5">
        <v>0</v>
      </c>
      <c r="M7345" s="4"/>
      <c r="N7345" s="4"/>
      <c r="O7345" s="5"/>
      <c r="P7345" s="5"/>
      <c r="Q7345" s="21">
        <v>0</v>
      </c>
      <c r="R7345" s="21">
        <v>0</v>
      </c>
      <c r="S7345" s="5">
        <f t="shared" si="459"/>
        <v>31843.05920392288</v>
      </c>
      <c r="T7345" cm="1">
        <f t="array" ref="T7345">IF(OR(B7345="MAL ALIMI", B7345="ÜRETİM GİRİŞ"), MIN(I7345, MAX(0, I7345 + SUM(SUMIFS($I$1:I7344, $C$1:C7344, C7345, $B$1:B7344, {"MAL ALIMI","ÜRETİM GİRİŞ"})) - VLOOKUP(C7345, 'STOK RAPORU'!$C$2:$I$1000, 4, 0))), 0)</f>
        <v>0</v>
      </c>
      <c r="U7345" s="22">
        <f t="shared" si="456"/>
        <v>0</v>
      </c>
      <c r="V7345">
        <f t="shared" si="457"/>
        <v>0</v>
      </c>
      <c r="W7345" s="22">
        <f t="shared" si="458"/>
        <v>0</v>
      </c>
    </row>
    <row r="7346" spans="1:23" hidden="1" x14ac:dyDescent="0.25">
      <c r="A7346" s="3">
        <v>46167</v>
      </c>
      <c r="B7346" s="46" t="s">
        <v>334</v>
      </c>
      <c r="C7346" s="4" t="s">
        <v>1364</v>
      </c>
      <c r="D7346" s="4"/>
      <c r="E7346" s="4" t="s">
        <v>921</v>
      </c>
      <c r="F7346" s="4" t="s">
        <v>3521</v>
      </c>
      <c r="G7346" s="4" t="s">
        <v>336</v>
      </c>
      <c r="H7346" s="4" t="s">
        <v>380</v>
      </c>
      <c r="I7346" s="4">
        <v>1</v>
      </c>
      <c r="J7346" s="21">
        <v>140</v>
      </c>
      <c r="K7346" s="21">
        <v>140</v>
      </c>
      <c r="L7346" s="5">
        <v>0</v>
      </c>
      <c r="M7346" s="4"/>
      <c r="N7346" s="4"/>
      <c r="O7346" s="5"/>
      <c r="P7346" s="5"/>
      <c r="Q7346" s="21">
        <v>0</v>
      </c>
      <c r="R7346" s="21">
        <v>0</v>
      </c>
      <c r="S7346" s="5">
        <f t="shared" si="459"/>
        <v>31843.05920392288</v>
      </c>
      <c r="T7346" cm="1">
        <f t="array" ref="T7346">IF(OR(B7346="MAL ALIMI", B7346="ÜRETİM GİRİŞ"), MIN(I7346, MAX(0, I7346 + SUM(SUMIFS($I$1:I7345, $C$1:C7345, C7346, $B$1:B7345, {"MAL ALIMI","ÜRETİM GİRİŞ"})) - VLOOKUP(C7346, 'STOK RAPORU'!$C$2:$I$1000, 4, 0))), 0)</f>
        <v>0</v>
      </c>
      <c r="U7346" s="22">
        <f t="shared" ref="U7346:U7409" si="460">T7346*J7346</f>
        <v>0</v>
      </c>
      <c r="V7346">
        <f t="shared" ref="V7346:V7409" si="461">IF(OR(B7346="MAL ALIMI", B7346="ÜRETİM GİRİŞ"), I7346 * J7346, 0)</f>
        <v>0</v>
      </c>
      <c r="W7346" s="22">
        <f t="shared" ref="W7346:W7409" si="462">V7346-U7346</f>
        <v>0</v>
      </c>
    </row>
    <row r="7347" spans="1:23" hidden="1" x14ac:dyDescent="0.25">
      <c r="A7347" s="3">
        <v>46167</v>
      </c>
      <c r="B7347" s="46" t="s">
        <v>334</v>
      </c>
      <c r="C7347" s="4" t="s">
        <v>679</v>
      </c>
      <c r="D7347" s="4"/>
      <c r="E7347" s="4"/>
      <c r="F7347" s="4" t="s">
        <v>3522</v>
      </c>
      <c r="G7347" s="4" t="s">
        <v>336</v>
      </c>
      <c r="H7347" s="4" t="s">
        <v>289</v>
      </c>
      <c r="I7347" s="4">
        <v>0.25</v>
      </c>
      <c r="J7347" s="21">
        <v>400</v>
      </c>
      <c r="K7347" s="21">
        <v>0</v>
      </c>
      <c r="L7347" s="5">
        <v>0</v>
      </c>
      <c r="M7347" s="4"/>
      <c r="N7347" s="4"/>
      <c r="O7347" s="5"/>
      <c r="P7347" s="5"/>
      <c r="Q7347" s="21">
        <v>100</v>
      </c>
      <c r="R7347" s="21">
        <v>0</v>
      </c>
      <c r="S7347" s="5">
        <f t="shared" si="459"/>
        <v>31943.05920392288</v>
      </c>
      <c r="T7347" cm="1">
        <f t="array" ref="T7347">IF(OR(B7347="MAL ALIMI", B7347="ÜRETİM GİRİŞ"), MIN(I7347, MAX(0, I7347 + SUM(SUMIFS($I$1:I7346, $C$1:C7346, C7347, $B$1:B7346, {"MAL ALIMI","ÜRETİM GİRİŞ"})) - VLOOKUP(C7347, 'STOK RAPORU'!$C$2:$I$1000, 4, 0))), 0)</f>
        <v>0</v>
      </c>
      <c r="U7347" s="22">
        <f t="shared" si="460"/>
        <v>0</v>
      </c>
      <c r="V7347">
        <f t="shared" si="461"/>
        <v>0</v>
      </c>
      <c r="W7347" s="22">
        <f t="shared" si="462"/>
        <v>0</v>
      </c>
    </row>
    <row r="7348" spans="1:23" hidden="1" x14ac:dyDescent="0.25">
      <c r="A7348" s="3">
        <v>46167</v>
      </c>
      <c r="B7348" s="46" t="s">
        <v>334</v>
      </c>
      <c r="C7348" s="4" t="s">
        <v>165</v>
      </c>
      <c r="D7348" s="4"/>
      <c r="E7348" s="4"/>
      <c r="F7348" s="4" t="s">
        <v>3523</v>
      </c>
      <c r="G7348" s="4" t="s">
        <v>336</v>
      </c>
      <c r="H7348" s="4" t="s">
        <v>289</v>
      </c>
      <c r="I7348" s="4">
        <v>0.1</v>
      </c>
      <c r="J7348" s="21">
        <v>250</v>
      </c>
      <c r="K7348" s="21">
        <v>0</v>
      </c>
      <c r="L7348" s="5">
        <v>0</v>
      </c>
      <c r="M7348" s="4"/>
      <c r="N7348" s="4"/>
      <c r="O7348" s="5"/>
      <c r="P7348" s="5"/>
      <c r="Q7348" s="21">
        <v>25</v>
      </c>
      <c r="R7348" s="21">
        <v>0</v>
      </c>
      <c r="S7348" s="5">
        <f t="shared" si="459"/>
        <v>31968.05920392288</v>
      </c>
      <c r="T7348" cm="1">
        <f t="array" ref="T7348">IF(OR(B7348="MAL ALIMI", B7348="ÜRETİM GİRİŞ"), MIN(I7348, MAX(0, I7348 + SUM(SUMIFS($I$1:I7347, $C$1:C7347, C7348, $B$1:B7347, {"MAL ALIMI","ÜRETİM GİRİŞ"})) - VLOOKUP(C7348, 'STOK RAPORU'!$C$2:$I$1000, 4, 0))), 0)</f>
        <v>0</v>
      </c>
      <c r="U7348" s="22">
        <f t="shared" si="460"/>
        <v>0</v>
      </c>
      <c r="V7348">
        <f t="shared" si="461"/>
        <v>0</v>
      </c>
      <c r="W7348" s="22">
        <f t="shared" si="462"/>
        <v>0</v>
      </c>
    </row>
    <row r="7349" spans="1:23" hidden="1" x14ac:dyDescent="0.25">
      <c r="A7349" s="3">
        <v>46167</v>
      </c>
      <c r="B7349" s="46" t="s">
        <v>334</v>
      </c>
      <c r="C7349" s="4" t="s">
        <v>126</v>
      </c>
      <c r="D7349" s="4"/>
      <c r="E7349" s="4"/>
      <c r="F7349" s="4" t="s">
        <v>3524</v>
      </c>
      <c r="G7349" s="4" t="s">
        <v>336</v>
      </c>
      <c r="H7349" s="4" t="s">
        <v>289</v>
      </c>
      <c r="I7349" s="4">
        <v>0.11</v>
      </c>
      <c r="J7349" s="21">
        <v>650</v>
      </c>
      <c r="K7349" s="21">
        <v>0</v>
      </c>
      <c r="L7349" s="5">
        <v>0</v>
      </c>
      <c r="M7349" s="4"/>
      <c r="N7349" s="4"/>
      <c r="O7349" s="5"/>
      <c r="P7349" s="5"/>
      <c r="Q7349" s="21">
        <v>71.5</v>
      </c>
      <c r="R7349" s="21">
        <v>0</v>
      </c>
      <c r="S7349" s="5">
        <f t="shared" si="459"/>
        <v>32039.55920392288</v>
      </c>
      <c r="T7349" cm="1">
        <f t="array" ref="T7349">IF(OR(B7349="MAL ALIMI", B7349="ÜRETİM GİRİŞ"), MIN(I7349, MAX(0, I7349 + SUM(SUMIFS($I$1:I7348, $C$1:C7348, C7349, $B$1:B7348, {"MAL ALIMI","ÜRETİM GİRİŞ"})) - VLOOKUP(C7349, 'STOK RAPORU'!$C$2:$I$1000, 4, 0))), 0)</f>
        <v>0</v>
      </c>
      <c r="U7349" s="22">
        <f t="shared" si="460"/>
        <v>0</v>
      </c>
      <c r="V7349">
        <f t="shared" si="461"/>
        <v>0</v>
      </c>
      <c r="W7349" s="22">
        <f t="shared" si="462"/>
        <v>0</v>
      </c>
    </row>
    <row r="7350" spans="1:23" hidden="1" x14ac:dyDescent="0.25">
      <c r="A7350" s="3">
        <v>46167</v>
      </c>
      <c r="B7350" s="46" t="s">
        <v>334</v>
      </c>
      <c r="C7350" s="4" t="s">
        <v>131</v>
      </c>
      <c r="D7350" s="4"/>
      <c r="E7350" s="4"/>
      <c r="F7350" s="4" t="s">
        <v>3524</v>
      </c>
      <c r="G7350" s="4" t="s">
        <v>336</v>
      </c>
      <c r="H7350" s="4" t="s">
        <v>289</v>
      </c>
      <c r="I7350" s="4">
        <v>6.4000000000000001E-2</v>
      </c>
      <c r="J7350" s="21">
        <v>400</v>
      </c>
      <c r="K7350" s="21">
        <v>0</v>
      </c>
      <c r="L7350" s="5">
        <v>0</v>
      </c>
      <c r="M7350" s="4"/>
      <c r="N7350" s="4"/>
      <c r="O7350" s="5"/>
      <c r="P7350" s="5"/>
      <c r="Q7350" s="21">
        <v>25.6</v>
      </c>
      <c r="R7350" s="21">
        <v>0</v>
      </c>
      <c r="S7350" s="5">
        <f t="shared" si="459"/>
        <v>32065.159203922878</v>
      </c>
      <c r="T7350" cm="1">
        <f t="array" ref="T7350">IF(OR(B7350="MAL ALIMI", B7350="ÜRETİM GİRİŞ"), MIN(I7350, MAX(0, I7350 + SUM(SUMIFS($I$1:I7349, $C$1:C7349, C7350, $B$1:B7349, {"MAL ALIMI","ÜRETİM GİRİŞ"})) - VLOOKUP(C7350, 'STOK RAPORU'!$C$2:$I$1000, 4, 0))), 0)</f>
        <v>0</v>
      </c>
      <c r="U7350" s="22">
        <f t="shared" si="460"/>
        <v>0</v>
      </c>
      <c r="V7350">
        <f t="shared" si="461"/>
        <v>0</v>
      </c>
      <c r="W7350" s="22">
        <f t="shared" si="462"/>
        <v>0</v>
      </c>
    </row>
    <row r="7351" spans="1:23" hidden="1" x14ac:dyDescent="0.25">
      <c r="A7351" s="3">
        <v>46167</v>
      </c>
      <c r="B7351" s="46" t="s">
        <v>334</v>
      </c>
      <c r="C7351" s="4" t="s">
        <v>463</v>
      </c>
      <c r="D7351" s="4"/>
      <c r="E7351" s="4"/>
      <c r="F7351" s="4" t="s">
        <v>3524</v>
      </c>
      <c r="G7351" s="4" t="s">
        <v>336</v>
      </c>
      <c r="H7351" s="4" t="s">
        <v>289</v>
      </c>
      <c r="I7351" s="4">
        <v>0.13400000000000001</v>
      </c>
      <c r="J7351" s="21">
        <v>400</v>
      </c>
      <c r="K7351" s="21">
        <v>0</v>
      </c>
      <c r="L7351" s="5">
        <v>0</v>
      </c>
      <c r="M7351" s="4"/>
      <c r="N7351" s="4"/>
      <c r="O7351" s="5"/>
      <c r="P7351" s="5"/>
      <c r="Q7351" s="21">
        <v>53.6</v>
      </c>
      <c r="R7351" s="21">
        <v>0</v>
      </c>
      <c r="S7351" s="5">
        <f t="shared" si="459"/>
        <v>32118.759203922877</v>
      </c>
      <c r="T7351" cm="1">
        <f t="array" ref="T7351">IF(OR(B7351="MAL ALIMI", B7351="ÜRETİM GİRİŞ"), MIN(I7351, MAX(0, I7351 + SUM(SUMIFS($I$1:I7350, $C$1:C7350, C7351, $B$1:B7350, {"MAL ALIMI","ÜRETİM GİRİŞ"})) - VLOOKUP(C7351, 'STOK RAPORU'!$C$2:$I$1000, 4, 0))), 0)</f>
        <v>0</v>
      </c>
      <c r="U7351" s="22">
        <f t="shared" si="460"/>
        <v>0</v>
      </c>
      <c r="V7351">
        <f t="shared" si="461"/>
        <v>0</v>
      </c>
      <c r="W7351" s="22">
        <f t="shared" si="462"/>
        <v>0</v>
      </c>
    </row>
    <row r="7352" spans="1:23" hidden="1" x14ac:dyDescent="0.25">
      <c r="A7352" s="3">
        <v>46167</v>
      </c>
      <c r="B7352" s="46" t="s">
        <v>334</v>
      </c>
      <c r="C7352" s="4" t="s">
        <v>1367</v>
      </c>
      <c r="D7352" s="4"/>
      <c r="E7352" s="4"/>
      <c r="F7352" s="4" t="s">
        <v>3524</v>
      </c>
      <c r="G7352" s="4" t="s">
        <v>336</v>
      </c>
      <c r="H7352" s="4" t="s">
        <v>289</v>
      </c>
      <c r="I7352" s="4">
        <v>1</v>
      </c>
      <c r="J7352" s="21">
        <v>180</v>
      </c>
      <c r="K7352" s="21">
        <v>0</v>
      </c>
      <c r="L7352" s="5">
        <v>0</v>
      </c>
      <c r="M7352" s="4"/>
      <c r="N7352" s="4"/>
      <c r="O7352" s="5"/>
      <c r="P7352" s="5"/>
      <c r="Q7352" s="21">
        <v>180</v>
      </c>
      <c r="R7352" s="21">
        <v>0</v>
      </c>
      <c r="S7352" s="5">
        <f t="shared" si="459"/>
        <v>32298.759203922877</v>
      </c>
      <c r="T7352" cm="1">
        <f t="array" ref="T7352">IF(OR(B7352="MAL ALIMI", B7352="ÜRETİM GİRİŞ"), MIN(I7352, MAX(0, I7352 + SUM(SUMIFS($I$1:I7351, $C$1:C7351, C7352, $B$1:B7351, {"MAL ALIMI","ÜRETİM GİRİŞ"})) - VLOOKUP(C7352, 'STOK RAPORU'!$C$2:$I$1000, 4, 0))), 0)</f>
        <v>0</v>
      </c>
      <c r="U7352" s="22">
        <f t="shared" si="460"/>
        <v>0</v>
      </c>
      <c r="V7352">
        <f t="shared" si="461"/>
        <v>0</v>
      </c>
      <c r="W7352" s="22">
        <f t="shared" si="462"/>
        <v>0</v>
      </c>
    </row>
    <row r="7353" spans="1:23" hidden="1" x14ac:dyDescent="0.25">
      <c r="A7353" s="3">
        <v>46167</v>
      </c>
      <c r="B7353" s="46" t="s">
        <v>334</v>
      </c>
      <c r="C7353" s="4" t="s">
        <v>1501</v>
      </c>
      <c r="D7353" s="4"/>
      <c r="E7353" s="4"/>
      <c r="F7353" s="4" t="s">
        <v>3524</v>
      </c>
      <c r="G7353" s="4" t="s">
        <v>336</v>
      </c>
      <c r="H7353" s="4" t="s">
        <v>289</v>
      </c>
      <c r="I7353" s="4">
        <v>0.25</v>
      </c>
      <c r="J7353" s="21">
        <v>700</v>
      </c>
      <c r="K7353" s="21">
        <v>0</v>
      </c>
      <c r="L7353" s="5">
        <v>0</v>
      </c>
      <c r="M7353" s="4"/>
      <c r="N7353" s="4"/>
      <c r="O7353" s="5"/>
      <c r="P7353" s="5"/>
      <c r="Q7353" s="21">
        <v>175</v>
      </c>
      <c r="R7353" s="21">
        <v>0</v>
      </c>
      <c r="S7353" s="5">
        <f t="shared" si="459"/>
        <v>32473.759203922877</v>
      </c>
      <c r="T7353" cm="1">
        <f t="array" ref="T7353">IF(OR(B7353="MAL ALIMI", B7353="ÜRETİM GİRİŞ"), MIN(I7353, MAX(0, I7353 + SUM(SUMIFS($I$1:I7352, $C$1:C7352, C7353, $B$1:B7352, {"MAL ALIMI","ÜRETİM GİRİŞ"})) - VLOOKUP(C7353, 'STOK RAPORU'!$C$2:$I$1000, 4, 0))), 0)</f>
        <v>0</v>
      </c>
      <c r="U7353" s="22">
        <f t="shared" si="460"/>
        <v>0</v>
      </c>
      <c r="V7353">
        <f t="shared" si="461"/>
        <v>0</v>
      </c>
      <c r="W7353" s="22">
        <f t="shared" si="462"/>
        <v>0</v>
      </c>
    </row>
    <row r="7354" spans="1:23" hidden="1" x14ac:dyDescent="0.25">
      <c r="A7354" s="3">
        <v>46167</v>
      </c>
      <c r="B7354" s="46" t="s">
        <v>334</v>
      </c>
      <c r="C7354" s="4" t="s">
        <v>695</v>
      </c>
      <c r="D7354" s="4"/>
      <c r="E7354" s="4"/>
      <c r="F7354" s="4" t="s">
        <v>3524</v>
      </c>
      <c r="G7354" s="4" t="s">
        <v>336</v>
      </c>
      <c r="H7354" s="4" t="s">
        <v>289</v>
      </c>
      <c r="I7354" s="4">
        <v>0.5</v>
      </c>
      <c r="J7354" s="21">
        <v>120</v>
      </c>
      <c r="K7354" s="21">
        <v>0</v>
      </c>
      <c r="L7354" s="5">
        <v>0</v>
      </c>
      <c r="M7354" s="4"/>
      <c r="N7354" s="4"/>
      <c r="O7354" s="5"/>
      <c r="P7354" s="5"/>
      <c r="Q7354" s="21">
        <v>60</v>
      </c>
      <c r="R7354" s="21">
        <v>0</v>
      </c>
      <c r="S7354" s="5">
        <f t="shared" si="459"/>
        <v>32533.759203922877</v>
      </c>
      <c r="T7354" cm="1">
        <f t="array" ref="T7354">IF(OR(B7354="MAL ALIMI", B7354="ÜRETİM GİRİŞ"), MIN(I7354, MAX(0, I7354 + SUM(SUMIFS($I$1:I7353, $C$1:C7353, C7354, $B$1:B7353, {"MAL ALIMI","ÜRETİM GİRİŞ"})) - VLOOKUP(C7354, 'STOK RAPORU'!$C$2:$I$1000, 4, 0))), 0)</f>
        <v>0</v>
      </c>
      <c r="U7354" s="22">
        <f t="shared" si="460"/>
        <v>0</v>
      </c>
      <c r="V7354">
        <f t="shared" si="461"/>
        <v>0</v>
      </c>
      <c r="W7354" s="22">
        <f t="shared" si="462"/>
        <v>0</v>
      </c>
    </row>
    <row r="7355" spans="1:23" hidden="1" x14ac:dyDescent="0.25">
      <c r="A7355" s="3">
        <v>46167</v>
      </c>
      <c r="B7355" s="46" t="s">
        <v>334</v>
      </c>
      <c r="C7355" s="4" t="s">
        <v>649</v>
      </c>
      <c r="D7355" s="4"/>
      <c r="E7355" s="4"/>
      <c r="F7355" s="4" t="s">
        <v>3524</v>
      </c>
      <c r="G7355" s="4" t="s">
        <v>336</v>
      </c>
      <c r="H7355" s="4" t="s">
        <v>289</v>
      </c>
      <c r="I7355" s="4">
        <v>1</v>
      </c>
      <c r="J7355" s="21">
        <v>250</v>
      </c>
      <c r="K7355" s="21">
        <v>0</v>
      </c>
      <c r="L7355" s="5">
        <v>0</v>
      </c>
      <c r="M7355" s="4"/>
      <c r="N7355" s="4"/>
      <c r="O7355" s="5"/>
      <c r="P7355" s="5"/>
      <c r="Q7355" s="21">
        <v>250</v>
      </c>
      <c r="R7355" s="21">
        <v>0</v>
      </c>
      <c r="S7355" s="5">
        <f t="shared" si="459"/>
        <v>32783.759203922877</v>
      </c>
      <c r="T7355" cm="1">
        <f t="array" ref="T7355">IF(OR(B7355="MAL ALIMI", B7355="ÜRETİM GİRİŞ"), MIN(I7355, MAX(0, I7355 + SUM(SUMIFS($I$1:I7354, $C$1:C7354, C7355, $B$1:B7354, {"MAL ALIMI","ÜRETİM GİRİŞ"})) - VLOOKUP(C7355, 'STOK RAPORU'!$C$2:$I$1000, 4, 0))), 0)</f>
        <v>0</v>
      </c>
      <c r="U7355" s="22">
        <f t="shared" si="460"/>
        <v>0</v>
      </c>
      <c r="V7355">
        <f t="shared" si="461"/>
        <v>0</v>
      </c>
      <c r="W7355" s="22">
        <f t="shared" si="462"/>
        <v>0</v>
      </c>
    </row>
    <row r="7356" spans="1:23" hidden="1" x14ac:dyDescent="0.25">
      <c r="A7356" s="3">
        <v>46167</v>
      </c>
      <c r="B7356" s="46" t="s">
        <v>334</v>
      </c>
      <c r="C7356" s="4" t="s">
        <v>160</v>
      </c>
      <c r="D7356" s="4"/>
      <c r="E7356" s="4" t="s">
        <v>921</v>
      </c>
      <c r="F7356" s="4" t="s">
        <v>3525</v>
      </c>
      <c r="G7356" s="4" t="s">
        <v>336</v>
      </c>
      <c r="H7356" s="4" t="s">
        <v>380</v>
      </c>
      <c r="I7356" s="4">
        <v>1</v>
      </c>
      <c r="J7356" s="21">
        <v>250</v>
      </c>
      <c r="K7356" s="21">
        <v>250</v>
      </c>
      <c r="L7356" s="5">
        <v>0</v>
      </c>
      <c r="M7356" s="4"/>
      <c r="N7356" s="4"/>
      <c r="O7356" s="5"/>
      <c r="P7356" s="5"/>
      <c r="Q7356" s="21">
        <v>0</v>
      </c>
      <c r="R7356" s="21">
        <v>0</v>
      </c>
      <c r="S7356" s="5">
        <f t="shared" si="459"/>
        <v>32783.759203922877</v>
      </c>
      <c r="T7356" cm="1">
        <f t="array" ref="T7356">IF(OR(B7356="MAL ALIMI", B7356="ÜRETİM GİRİŞ"), MIN(I7356, MAX(0, I7356 + SUM(SUMIFS($I$1:I7355, $C$1:C7355, C7356, $B$1:B7355, {"MAL ALIMI","ÜRETİM GİRİŞ"})) - VLOOKUP(C7356, 'STOK RAPORU'!$C$2:$I$1000, 4, 0))), 0)</f>
        <v>0</v>
      </c>
      <c r="U7356" s="22">
        <f t="shared" si="460"/>
        <v>0</v>
      </c>
      <c r="V7356">
        <f t="shared" si="461"/>
        <v>0</v>
      </c>
      <c r="W7356" s="22">
        <f t="shared" si="462"/>
        <v>0</v>
      </c>
    </row>
    <row r="7357" spans="1:23" hidden="1" x14ac:dyDescent="0.25">
      <c r="A7357" s="3">
        <v>46167</v>
      </c>
      <c r="B7357" s="46" t="s">
        <v>334</v>
      </c>
      <c r="C7357" s="4" t="s">
        <v>161</v>
      </c>
      <c r="D7357" s="4"/>
      <c r="E7357" s="4" t="s">
        <v>921</v>
      </c>
      <c r="F7357" s="4" t="s">
        <v>3525</v>
      </c>
      <c r="G7357" s="4" t="s">
        <v>336</v>
      </c>
      <c r="H7357" s="4" t="s">
        <v>380</v>
      </c>
      <c r="I7357" s="4">
        <v>1</v>
      </c>
      <c r="J7357" s="21">
        <v>250</v>
      </c>
      <c r="K7357" s="21">
        <v>250</v>
      </c>
      <c r="L7357" s="5">
        <v>0</v>
      </c>
      <c r="M7357" s="4"/>
      <c r="N7357" s="4"/>
      <c r="O7357" s="5"/>
      <c r="P7357" s="5"/>
      <c r="Q7357" s="21">
        <v>0</v>
      </c>
      <c r="R7357" s="21">
        <v>0</v>
      </c>
      <c r="S7357" s="5">
        <f t="shared" si="459"/>
        <v>32783.759203922877</v>
      </c>
      <c r="T7357" cm="1">
        <f t="array" ref="T7357">IF(OR(B7357="MAL ALIMI", B7357="ÜRETİM GİRİŞ"), MIN(I7357, MAX(0, I7357 + SUM(SUMIFS($I$1:I7356, $C$1:C7356, C7357, $B$1:B7356, {"MAL ALIMI","ÜRETİM GİRİŞ"})) - VLOOKUP(C7357, 'STOK RAPORU'!$C$2:$I$1000, 4, 0))), 0)</f>
        <v>0</v>
      </c>
      <c r="U7357" s="22">
        <f t="shared" si="460"/>
        <v>0</v>
      </c>
      <c r="V7357">
        <f t="shared" si="461"/>
        <v>0</v>
      </c>
      <c r="W7357" s="22">
        <f t="shared" si="462"/>
        <v>0</v>
      </c>
    </row>
    <row r="7358" spans="1:23" hidden="1" x14ac:dyDescent="0.25">
      <c r="A7358" s="3">
        <v>46167</v>
      </c>
      <c r="B7358" s="46" t="s">
        <v>334</v>
      </c>
      <c r="C7358" s="4" t="s">
        <v>597</v>
      </c>
      <c r="D7358" s="4"/>
      <c r="E7358" s="4" t="s">
        <v>921</v>
      </c>
      <c r="F7358" s="4" t="s">
        <v>3525</v>
      </c>
      <c r="G7358" s="4" t="s">
        <v>336</v>
      </c>
      <c r="H7358" s="4" t="s">
        <v>380</v>
      </c>
      <c r="I7358" s="4">
        <v>1</v>
      </c>
      <c r="J7358" s="21">
        <v>375</v>
      </c>
      <c r="K7358" s="21">
        <v>375</v>
      </c>
      <c r="L7358" s="5">
        <v>0</v>
      </c>
      <c r="M7358" s="4"/>
      <c r="N7358" s="4"/>
      <c r="O7358" s="5"/>
      <c r="P7358" s="5"/>
      <c r="Q7358" s="21">
        <v>0</v>
      </c>
      <c r="R7358" s="21">
        <v>0</v>
      </c>
      <c r="S7358" s="5">
        <f t="shared" si="459"/>
        <v>32783.759203922877</v>
      </c>
      <c r="T7358" cm="1">
        <f t="array" ref="T7358">IF(OR(B7358="MAL ALIMI", B7358="ÜRETİM GİRİŞ"), MIN(I7358, MAX(0, I7358 + SUM(SUMIFS($I$1:I7357, $C$1:C7357, C7358, $B$1:B7357, {"MAL ALIMI","ÜRETİM GİRİŞ"})) - VLOOKUP(C7358, 'STOK RAPORU'!$C$2:$I$1000, 4, 0))), 0)</f>
        <v>0</v>
      </c>
      <c r="U7358" s="22">
        <f t="shared" si="460"/>
        <v>0</v>
      </c>
      <c r="V7358">
        <f t="shared" si="461"/>
        <v>0</v>
      </c>
      <c r="W7358" s="22">
        <f t="shared" si="462"/>
        <v>0</v>
      </c>
    </row>
    <row r="7359" spans="1:23" hidden="1" x14ac:dyDescent="0.25">
      <c r="A7359" s="3">
        <v>46167</v>
      </c>
      <c r="B7359" s="46" t="s">
        <v>334</v>
      </c>
      <c r="C7359" s="4" t="s">
        <v>529</v>
      </c>
      <c r="D7359" s="4"/>
      <c r="E7359" s="4" t="s">
        <v>921</v>
      </c>
      <c r="F7359" s="4" t="s">
        <v>3525</v>
      </c>
      <c r="G7359" s="4" t="s">
        <v>336</v>
      </c>
      <c r="H7359" s="4" t="s">
        <v>380</v>
      </c>
      <c r="I7359" s="4">
        <v>0.1</v>
      </c>
      <c r="J7359" s="21">
        <v>600</v>
      </c>
      <c r="K7359" s="21">
        <v>60</v>
      </c>
      <c r="L7359" s="5">
        <v>0</v>
      </c>
      <c r="M7359" s="4"/>
      <c r="N7359" s="4"/>
      <c r="O7359" s="5"/>
      <c r="P7359" s="5"/>
      <c r="Q7359" s="21">
        <v>0</v>
      </c>
      <c r="R7359" s="21">
        <v>0</v>
      </c>
      <c r="S7359" s="5">
        <f t="shared" si="459"/>
        <v>32783.759203922877</v>
      </c>
      <c r="T7359" cm="1">
        <f t="array" ref="T7359">IF(OR(B7359="MAL ALIMI", B7359="ÜRETİM GİRİŞ"), MIN(I7359, MAX(0, I7359 + SUM(SUMIFS($I$1:I7358, $C$1:C7358, C7359, $B$1:B7358, {"MAL ALIMI","ÜRETİM GİRİŞ"})) - VLOOKUP(C7359, 'STOK RAPORU'!$C$2:$I$1000, 4, 0))), 0)</f>
        <v>0</v>
      </c>
      <c r="U7359" s="22">
        <f t="shared" si="460"/>
        <v>0</v>
      </c>
      <c r="V7359">
        <f t="shared" si="461"/>
        <v>0</v>
      </c>
      <c r="W7359" s="22">
        <f t="shared" si="462"/>
        <v>0</v>
      </c>
    </row>
    <row r="7360" spans="1:23" hidden="1" x14ac:dyDescent="0.25">
      <c r="A7360" s="3">
        <v>46167</v>
      </c>
      <c r="B7360" s="46" t="s">
        <v>334</v>
      </c>
      <c r="C7360" s="4" t="s">
        <v>2243</v>
      </c>
      <c r="D7360" s="4"/>
      <c r="E7360" s="4" t="s">
        <v>2343</v>
      </c>
      <c r="F7360" s="4" t="s">
        <v>3526</v>
      </c>
      <c r="G7360" s="4" t="s">
        <v>336</v>
      </c>
      <c r="H7360" s="4" t="s">
        <v>304</v>
      </c>
      <c r="I7360" s="4">
        <v>1</v>
      </c>
      <c r="J7360" s="21">
        <v>300</v>
      </c>
      <c r="K7360" s="5">
        <v>300</v>
      </c>
      <c r="L7360" s="5">
        <v>0</v>
      </c>
      <c r="M7360" s="4"/>
      <c r="N7360" s="4"/>
      <c r="O7360" s="5"/>
      <c r="P7360" s="5"/>
      <c r="Q7360" s="21">
        <v>0</v>
      </c>
      <c r="R7360" s="21">
        <v>0</v>
      </c>
      <c r="S7360" s="5">
        <f t="shared" si="459"/>
        <v>32783.759203922877</v>
      </c>
      <c r="T7360" cm="1">
        <f t="array" ref="T7360">IF(OR(B7360="MAL ALIMI", B7360="ÜRETİM GİRİŞ"), MIN(I7360, MAX(0, I7360 + SUM(SUMIFS($I$1:I7359, $C$1:C7359, C7360, $B$1:B7359, {"MAL ALIMI","ÜRETİM GİRİŞ"})) - VLOOKUP(C7360, 'STOK RAPORU'!$C$2:$I$1000, 4, 0))), 0)</f>
        <v>0</v>
      </c>
      <c r="U7360" s="22">
        <f t="shared" si="460"/>
        <v>0</v>
      </c>
      <c r="V7360">
        <f t="shared" si="461"/>
        <v>0</v>
      </c>
      <c r="W7360" s="22">
        <f t="shared" si="462"/>
        <v>0</v>
      </c>
    </row>
    <row r="7361" spans="1:23" hidden="1" x14ac:dyDescent="0.25">
      <c r="A7361" s="3">
        <v>46167</v>
      </c>
      <c r="B7361" s="46" t="s">
        <v>334</v>
      </c>
      <c r="C7361" s="4" t="s">
        <v>154</v>
      </c>
      <c r="D7361" s="4"/>
      <c r="E7361" s="4" t="s">
        <v>2343</v>
      </c>
      <c r="F7361" s="4" t="s">
        <v>3526</v>
      </c>
      <c r="G7361" s="4" t="s">
        <v>336</v>
      </c>
      <c r="H7361" s="4" t="s">
        <v>304</v>
      </c>
      <c r="I7361" s="4">
        <v>1</v>
      </c>
      <c r="J7361" s="21">
        <v>230</v>
      </c>
      <c r="K7361" s="5">
        <v>230</v>
      </c>
      <c r="L7361" s="5">
        <v>0</v>
      </c>
      <c r="M7361" s="4"/>
      <c r="N7361" s="4"/>
      <c r="O7361" s="5"/>
      <c r="P7361" s="5"/>
      <c r="Q7361" s="21">
        <v>0</v>
      </c>
      <c r="R7361" s="21">
        <v>0</v>
      </c>
      <c r="S7361" s="5">
        <f t="shared" si="459"/>
        <v>32783.759203922877</v>
      </c>
      <c r="T7361" cm="1">
        <f t="array" ref="T7361">IF(OR(B7361="MAL ALIMI", B7361="ÜRETİM GİRİŞ"), MIN(I7361, MAX(0, I7361 + SUM(SUMIFS($I$1:I7360, $C$1:C7360, C7361, $B$1:B7360, {"MAL ALIMI","ÜRETİM GİRİŞ"})) - VLOOKUP(C7361, 'STOK RAPORU'!$C$2:$I$1000, 4, 0))), 0)</f>
        <v>0</v>
      </c>
      <c r="U7361" s="22">
        <f t="shared" si="460"/>
        <v>0</v>
      </c>
      <c r="V7361">
        <f t="shared" si="461"/>
        <v>0</v>
      </c>
      <c r="W7361" s="22">
        <f t="shared" si="462"/>
        <v>0</v>
      </c>
    </row>
    <row r="7362" spans="1:23" hidden="1" x14ac:dyDescent="0.25">
      <c r="A7362" s="3">
        <v>46167</v>
      </c>
      <c r="B7362" s="4" t="s">
        <v>2344</v>
      </c>
      <c r="C7362" s="4"/>
      <c r="D7362" s="4"/>
      <c r="E7362" s="4" t="s">
        <v>2348</v>
      </c>
      <c r="F7362" s="4"/>
      <c r="G7362" s="4" t="s">
        <v>2610</v>
      </c>
      <c r="H7362" s="4" t="s">
        <v>289</v>
      </c>
      <c r="I7362" s="4">
        <v>1</v>
      </c>
      <c r="J7362" s="21">
        <v>6000</v>
      </c>
      <c r="K7362" s="21">
        <v>0</v>
      </c>
      <c r="L7362" s="5">
        <v>6000</v>
      </c>
      <c r="M7362" s="4"/>
      <c r="N7362" s="4"/>
      <c r="O7362" s="5"/>
      <c r="P7362" s="5"/>
      <c r="Q7362" s="116">
        <v>6000</v>
      </c>
      <c r="R7362" s="21">
        <v>0</v>
      </c>
      <c r="S7362" s="5">
        <f t="shared" si="459"/>
        <v>38783.759203922877</v>
      </c>
      <c r="T7362" cm="1">
        <f t="array" ref="T7362">IF(OR(B7362="MAL ALIMI", B7362="ÜRETİM GİRİŞ"), MIN(I7362, MAX(0, I7362 + SUM(SUMIFS($I$1:I7361, $C$1:C7361, C7362, $B$1:B7361, {"MAL ALIMI","ÜRETİM GİRİŞ"})) - VLOOKUP(C7362, 'STOK RAPORU'!$C$2:$I$1000, 4, 0))), 0)</f>
        <v>0</v>
      </c>
      <c r="U7362" s="22">
        <f t="shared" si="460"/>
        <v>0</v>
      </c>
      <c r="V7362">
        <f t="shared" si="461"/>
        <v>0</v>
      </c>
      <c r="W7362" s="22">
        <f t="shared" si="462"/>
        <v>0</v>
      </c>
    </row>
    <row r="7363" spans="1:23" hidden="1" x14ac:dyDescent="0.25">
      <c r="A7363" s="3">
        <v>46167</v>
      </c>
      <c r="B7363" s="46" t="s">
        <v>946</v>
      </c>
      <c r="C7363" s="4"/>
      <c r="D7363" s="4"/>
      <c r="E7363" s="4" t="s">
        <v>921</v>
      </c>
      <c r="F7363" s="4"/>
      <c r="G7363" s="4" t="s">
        <v>3547</v>
      </c>
      <c r="H7363" s="4" t="s">
        <v>380</v>
      </c>
      <c r="I7363" s="4">
        <v>1</v>
      </c>
      <c r="J7363" s="21">
        <v>317.39999999999998</v>
      </c>
      <c r="K7363" s="21">
        <v>0</v>
      </c>
      <c r="L7363" s="32">
        <v>317.39999999999998</v>
      </c>
      <c r="M7363" s="4"/>
      <c r="N7363" s="4"/>
      <c r="O7363" s="5"/>
      <c r="P7363" s="5"/>
      <c r="Q7363" s="21">
        <v>317.39999999999998</v>
      </c>
      <c r="R7363" s="21">
        <v>0</v>
      </c>
      <c r="S7363" s="5">
        <f t="shared" si="459"/>
        <v>39101.159203922878</v>
      </c>
      <c r="T7363" cm="1">
        <f t="array" ref="T7363">IF(OR(B7363="MAL ALIMI", B7363="ÜRETİM GİRİŞ"), MIN(I7363, MAX(0, I7363 + SUM(SUMIFS($I$1:I7362, $C$1:C7362, C7363, $B$1:B7362, {"MAL ALIMI","ÜRETİM GİRİŞ"})) - VLOOKUP(C7363, 'STOK RAPORU'!$C$2:$I$1000, 4, 0))), 0)</f>
        <v>0</v>
      </c>
      <c r="U7363" s="22">
        <f t="shared" si="460"/>
        <v>0</v>
      </c>
      <c r="V7363">
        <f t="shared" si="461"/>
        <v>0</v>
      </c>
      <c r="W7363" s="22">
        <f t="shared" si="462"/>
        <v>0</v>
      </c>
    </row>
    <row r="7364" spans="1:23" hidden="1" x14ac:dyDescent="0.25">
      <c r="A7364" s="3">
        <v>46167</v>
      </c>
      <c r="B7364" s="46" t="s">
        <v>285</v>
      </c>
      <c r="C7364" s="4"/>
      <c r="D7364" s="4" t="s">
        <v>943</v>
      </c>
      <c r="E7364" s="4"/>
      <c r="F7364" s="4"/>
      <c r="G7364" s="4" t="s">
        <v>3547</v>
      </c>
      <c r="H7364" s="4" t="s">
        <v>289</v>
      </c>
      <c r="I7364" s="4">
        <v>1</v>
      </c>
      <c r="J7364" s="21">
        <v>317.39999999999998</v>
      </c>
      <c r="K7364" s="21">
        <v>0</v>
      </c>
      <c r="L7364" s="5">
        <v>0</v>
      </c>
      <c r="M7364" s="4"/>
      <c r="N7364" s="4"/>
      <c r="O7364" s="5"/>
      <c r="P7364" s="5"/>
      <c r="Q7364" s="21">
        <v>0</v>
      </c>
      <c r="R7364" s="21">
        <v>317.39999999999998</v>
      </c>
      <c r="S7364" s="5">
        <f t="shared" ref="S7364:S7427" si="463">S7363+Q7364-R7364</f>
        <v>38783.759203922877</v>
      </c>
      <c r="T7364" cm="1">
        <f t="array" ref="T7364">IF(OR(B7364="MAL ALIMI", B7364="ÜRETİM GİRİŞ"), MIN(I7364, MAX(0, I7364 + SUM(SUMIFS($I$1:I7363, $C$1:C7363, C7364, $B$1:B7363, {"MAL ALIMI","ÜRETİM GİRİŞ"})) - VLOOKUP(C7364, 'STOK RAPORU'!$C$2:$I$1000, 4, 0))), 0)</f>
        <v>0</v>
      </c>
      <c r="U7364" s="22">
        <f t="shared" si="460"/>
        <v>0</v>
      </c>
      <c r="V7364">
        <f t="shared" si="461"/>
        <v>0</v>
      </c>
      <c r="W7364" s="22">
        <f t="shared" si="462"/>
        <v>0</v>
      </c>
    </row>
    <row r="7365" spans="1:23" hidden="1" x14ac:dyDescent="0.25">
      <c r="A7365" s="3">
        <v>46167</v>
      </c>
      <c r="B7365" s="46" t="s">
        <v>946</v>
      </c>
      <c r="C7365" s="4"/>
      <c r="D7365" s="4"/>
      <c r="E7365" s="4" t="s">
        <v>921</v>
      </c>
      <c r="F7365" s="4"/>
      <c r="G7365" s="4" t="s">
        <v>3547</v>
      </c>
      <c r="H7365" s="4" t="s">
        <v>380</v>
      </c>
      <c r="I7365" s="4">
        <v>1</v>
      </c>
      <c r="J7365" s="21">
        <v>1562.6</v>
      </c>
      <c r="K7365" s="21">
        <v>0</v>
      </c>
      <c r="L7365" s="115">
        <v>1562.6</v>
      </c>
      <c r="M7365" s="4"/>
      <c r="N7365" s="4"/>
      <c r="O7365" s="5"/>
      <c r="P7365" s="5"/>
      <c r="Q7365" s="21">
        <v>1562.6</v>
      </c>
      <c r="R7365" s="21">
        <v>0</v>
      </c>
      <c r="S7365" s="5">
        <f t="shared" si="463"/>
        <v>40346.359203922875</v>
      </c>
      <c r="T7365" cm="1">
        <f t="array" ref="T7365">IF(OR(B7365="MAL ALIMI", B7365="ÜRETİM GİRİŞ"), MIN(I7365, MAX(0, I7365 + SUM(SUMIFS($I$1:I7364, $C$1:C7364, C7365, $B$1:B7364, {"MAL ALIMI","ÜRETİM GİRİŞ"})) - VLOOKUP(C7365, 'STOK RAPORU'!$C$2:$I$1000, 4, 0))), 0)</f>
        <v>0</v>
      </c>
      <c r="U7365" s="22">
        <f t="shared" si="460"/>
        <v>0</v>
      </c>
      <c r="V7365">
        <f t="shared" si="461"/>
        <v>0</v>
      </c>
      <c r="W7365" s="22">
        <f t="shared" si="462"/>
        <v>0</v>
      </c>
    </row>
    <row r="7366" spans="1:23" hidden="1" x14ac:dyDescent="0.25">
      <c r="A7366" s="3">
        <v>46167</v>
      </c>
      <c r="B7366" s="46" t="s">
        <v>285</v>
      </c>
      <c r="C7366" s="4"/>
      <c r="D7366" s="4" t="s">
        <v>943</v>
      </c>
      <c r="E7366" s="4"/>
      <c r="F7366" s="4"/>
      <c r="G7366" s="4" t="s">
        <v>3547</v>
      </c>
      <c r="H7366" s="4" t="s">
        <v>289</v>
      </c>
      <c r="I7366" s="4">
        <v>1</v>
      </c>
      <c r="J7366" s="21">
        <v>1562.6</v>
      </c>
      <c r="K7366" s="21">
        <v>0</v>
      </c>
      <c r="L7366" s="5">
        <v>0</v>
      </c>
      <c r="M7366" s="4"/>
      <c r="N7366" s="4"/>
      <c r="O7366" s="5"/>
      <c r="P7366" s="5"/>
      <c r="Q7366" s="21">
        <v>0</v>
      </c>
      <c r="R7366" s="21">
        <v>1562.6</v>
      </c>
      <c r="S7366" s="5">
        <f t="shared" si="463"/>
        <v>38783.759203922877</v>
      </c>
      <c r="T7366" cm="1">
        <f t="array" ref="T7366">IF(OR(B7366="MAL ALIMI", B7366="ÜRETİM GİRİŞ"), MIN(I7366, MAX(0, I7366 + SUM(SUMIFS($I$1:I7365, $C$1:C7365, C7366, $B$1:B7365, {"MAL ALIMI","ÜRETİM GİRİŞ"})) - VLOOKUP(C7366, 'STOK RAPORU'!$C$2:$I$1000, 4, 0))), 0)</f>
        <v>0</v>
      </c>
      <c r="U7366" s="22">
        <f t="shared" si="460"/>
        <v>0</v>
      </c>
      <c r="V7366">
        <f t="shared" si="461"/>
        <v>0</v>
      </c>
      <c r="W7366" s="22">
        <f t="shared" si="462"/>
        <v>0</v>
      </c>
    </row>
    <row r="7367" spans="1:23" hidden="1" x14ac:dyDescent="0.25">
      <c r="A7367" s="3">
        <v>46167</v>
      </c>
      <c r="B7367" s="4" t="s">
        <v>946</v>
      </c>
      <c r="C7367" s="4"/>
      <c r="D7367" s="4"/>
      <c r="E7367" s="4" t="s">
        <v>921</v>
      </c>
      <c r="F7367" s="4"/>
      <c r="G7367" s="4" t="s">
        <v>946</v>
      </c>
      <c r="H7367" s="4" t="s">
        <v>380</v>
      </c>
      <c r="I7367" s="4">
        <v>1</v>
      </c>
      <c r="J7367" s="21">
        <v>145</v>
      </c>
      <c r="K7367" s="21">
        <v>0</v>
      </c>
      <c r="L7367" s="115">
        <v>145</v>
      </c>
      <c r="M7367" s="21">
        <v>145</v>
      </c>
      <c r="N7367" s="4"/>
      <c r="O7367" s="5"/>
      <c r="P7367" s="5"/>
      <c r="Q7367" s="21">
        <v>145</v>
      </c>
      <c r="R7367" s="21">
        <v>0</v>
      </c>
      <c r="S7367" s="5">
        <f t="shared" si="463"/>
        <v>38928.759203922877</v>
      </c>
      <c r="T7367" cm="1">
        <f t="array" ref="T7367">IF(OR(B7367="MAL ALIMI", B7367="ÜRETİM GİRİŞ"), MIN(I7367, MAX(0, I7367 + SUM(SUMIFS($I$1:I7366, $C$1:C7366, C7367, $B$1:B7366, {"MAL ALIMI","ÜRETİM GİRİŞ"})) - VLOOKUP(C7367, 'STOK RAPORU'!$C$2:$I$1000, 4, 0))), 0)</f>
        <v>0</v>
      </c>
      <c r="U7367" s="22">
        <f t="shared" si="460"/>
        <v>0</v>
      </c>
      <c r="V7367">
        <f t="shared" si="461"/>
        <v>0</v>
      </c>
      <c r="W7367" s="22">
        <f t="shared" si="462"/>
        <v>0</v>
      </c>
    </row>
    <row r="7368" spans="1:23" hidden="1" x14ac:dyDescent="0.25">
      <c r="A7368" s="3">
        <v>46168</v>
      </c>
      <c r="B7368" s="46" t="s">
        <v>334</v>
      </c>
      <c r="C7368" s="4" t="s">
        <v>3383</v>
      </c>
      <c r="D7368" s="4"/>
      <c r="E7368" s="4"/>
      <c r="F7368" s="4" t="s">
        <v>3527</v>
      </c>
      <c r="G7368" s="4" t="s">
        <v>1945</v>
      </c>
      <c r="H7368" s="4" t="s">
        <v>289</v>
      </c>
      <c r="I7368" s="4">
        <v>1</v>
      </c>
      <c r="J7368" s="21">
        <v>30</v>
      </c>
      <c r="K7368" s="21">
        <v>0</v>
      </c>
      <c r="L7368" s="5">
        <v>0</v>
      </c>
      <c r="M7368" s="4"/>
      <c r="N7368" s="4"/>
      <c r="O7368" s="5"/>
      <c r="P7368" s="5"/>
      <c r="Q7368" s="21">
        <v>30</v>
      </c>
      <c r="R7368" s="21">
        <v>0</v>
      </c>
      <c r="S7368" s="5">
        <f t="shared" si="463"/>
        <v>38958.759203922877</v>
      </c>
      <c r="T7368" cm="1">
        <f t="array" ref="T7368">IF(OR(B7368="MAL ALIMI", B7368="ÜRETİM GİRİŞ"), MIN(I7368, MAX(0, I7368 + SUM(SUMIFS($I$1:I7367, $C$1:C7367, C7368, $B$1:B7367, {"MAL ALIMI","ÜRETİM GİRİŞ"})) - VLOOKUP(C7368, 'STOK RAPORU'!$C$2:$I$1000, 4, 0))), 0)</f>
        <v>0</v>
      </c>
      <c r="U7368" s="22">
        <f t="shared" si="460"/>
        <v>0</v>
      </c>
      <c r="V7368">
        <f t="shared" si="461"/>
        <v>0</v>
      </c>
      <c r="W7368" s="22">
        <f t="shared" si="462"/>
        <v>0</v>
      </c>
    </row>
    <row r="7369" spans="1:23" hidden="1" x14ac:dyDescent="0.25">
      <c r="A7369" s="3">
        <v>46168</v>
      </c>
      <c r="B7369" s="46" t="s">
        <v>334</v>
      </c>
      <c r="C7369" s="4" t="s">
        <v>2282</v>
      </c>
      <c r="D7369" s="4"/>
      <c r="E7369" s="4" t="s">
        <v>921</v>
      </c>
      <c r="F7369" s="4" t="s">
        <v>3528</v>
      </c>
      <c r="G7369" s="4" t="s">
        <v>336</v>
      </c>
      <c r="H7369" s="4" t="s">
        <v>380</v>
      </c>
      <c r="I7369" s="4">
        <v>7.1724137931034479E-2</v>
      </c>
      <c r="J7369" s="21">
        <v>2900</v>
      </c>
      <c r="K7369" s="21">
        <v>208</v>
      </c>
      <c r="L7369" s="5">
        <v>0</v>
      </c>
      <c r="M7369" s="4"/>
      <c r="N7369" s="4"/>
      <c r="O7369" s="5"/>
      <c r="P7369" s="5"/>
      <c r="Q7369" s="21">
        <v>0</v>
      </c>
      <c r="R7369" s="21">
        <v>0</v>
      </c>
      <c r="S7369" s="5">
        <f t="shared" si="463"/>
        <v>38958.759203922877</v>
      </c>
      <c r="T7369" cm="1">
        <f t="array" ref="T7369">IF(OR(B7369="MAL ALIMI", B7369="ÜRETİM GİRİŞ"), MIN(I7369, MAX(0, I7369 + SUM(SUMIFS($I$1:I7368, $C$1:C7368, C7369, $B$1:B7368, {"MAL ALIMI","ÜRETİM GİRİŞ"})) - VLOOKUP(C7369, 'STOK RAPORU'!$C$2:$I$1000, 4, 0))), 0)</f>
        <v>0</v>
      </c>
      <c r="U7369" s="22">
        <f t="shared" si="460"/>
        <v>0</v>
      </c>
      <c r="V7369">
        <f t="shared" si="461"/>
        <v>0</v>
      </c>
      <c r="W7369" s="22">
        <f t="shared" si="462"/>
        <v>0</v>
      </c>
    </row>
    <row r="7370" spans="1:23" hidden="1" x14ac:dyDescent="0.25">
      <c r="A7370" s="3">
        <v>46168</v>
      </c>
      <c r="B7370" s="46" t="s">
        <v>334</v>
      </c>
      <c r="C7370" s="4" t="s">
        <v>152</v>
      </c>
      <c r="D7370" s="4"/>
      <c r="E7370" s="4" t="s">
        <v>921</v>
      </c>
      <c r="F7370" s="4" t="s">
        <v>3528</v>
      </c>
      <c r="G7370" s="4" t="s">
        <v>336</v>
      </c>
      <c r="H7370" s="4" t="s">
        <v>380</v>
      </c>
      <c r="I7370" s="4">
        <v>0.1</v>
      </c>
      <c r="J7370" s="21">
        <v>400</v>
      </c>
      <c r="K7370" s="21">
        <v>40</v>
      </c>
      <c r="L7370" s="5">
        <v>0</v>
      </c>
      <c r="M7370" s="4"/>
      <c r="N7370" s="4"/>
      <c r="O7370" s="5"/>
      <c r="P7370" s="5"/>
      <c r="Q7370" s="21">
        <v>0</v>
      </c>
      <c r="R7370" s="21">
        <v>0</v>
      </c>
      <c r="S7370" s="5">
        <f t="shared" si="463"/>
        <v>38958.759203922877</v>
      </c>
      <c r="T7370" cm="1">
        <f t="array" ref="T7370">IF(OR(B7370="MAL ALIMI", B7370="ÜRETİM GİRİŞ"), MIN(I7370, MAX(0, I7370 + SUM(SUMIFS($I$1:I7369, $C$1:C7369, C7370, $B$1:B7369, {"MAL ALIMI","ÜRETİM GİRİŞ"})) - VLOOKUP(C7370, 'STOK RAPORU'!$C$2:$I$1000, 4, 0))), 0)</f>
        <v>0</v>
      </c>
      <c r="U7370" s="22">
        <f t="shared" si="460"/>
        <v>0</v>
      </c>
      <c r="V7370">
        <f t="shared" si="461"/>
        <v>0</v>
      </c>
      <c r="W7370" s="22">
        <f t="shared" si="462"/>
        <v>0</v>
      </c>
    </row>
    <row r="7371" spans="1:23" hidden="1" x14ac:dyDescent="0.25">
      <c r="A7371" s="3">
        <v>46168</v>
      </c>
      <c r="B7371" s="46" t="s">
        <v>334</v>
      </c>
      <c r="C7371" s="4" t="s">
        <v>137</v>
      </c>
      <c r="D7371" s="4"/>
      <c r="E7371" s="4" t="s">
        <v>921</v>
      </c>
      <c r="F7371" s="4" t="s">
        <v>3528</v>
      </c>
      <c r="G7371" s="4" t="s">
        <v>336</v>
      </c>
      <c r="H7371" s="4" t="s">
        <v>380</v>
      </c>
      <c r="I7371" s="4">
        <v>0.27777777777777779</v>
      </c>
      <c r="J7371" s="21">
        <v>180</v>
      </c>
      <c r="K7371" s="21">
        <v>50</v>
      </c>
      <c r="L7371" s="5">
        <v>0</v>
      </c>
      <c r="M7371" s="4"/>
      <c r="N7371" s="4"/>
      <c r="O7371" s="5"/>
      <c r="P7371" s="5"/>
      <c r="Q7371" s="21">
        <v>0</v>
      </c>
      <c r="R7371" s="21">
        <v>0</v>
      </c>
      <c r="S7371" s="5">
        <f t="shared" si="463"/>
        <v>38958.759203922877</v>
      </c>
      <c r="T7371" cm="1">
        <f t="array" ref="T7371">IF(OR(B7371="MAL ALIMI", B7371="ÜRETİM GİRİŞ"), MIN(I7371, MAX(0, I7371 + SUM(SUMIFS($I$1:I7370, $C$1:C7370, C7371, $B$1:B7370, {"MAL ALIMI","ÜRETİM GİRİŞ"})) - VLOOKUP(C7371, 'STOK RAPORU'!$C$2:$I$1000, 4, 0))), 0)</f>
        <v>0</v>
      </c>
      <c r="U7371" s="22">
        <f t="shared" si="460"/>
        <v>0</v>
      </c>
      <c r="V7371">
        <f t="shared" si="461"/>
        <v>0</v>
      </c>
      <c r="W7371" s="22">
        <f t="shared" si="462"/>
        <v>0</v>
      </c>
    </row>
    <row r="7372" spans="1:23" hidden="1" x14ac:dyDescent="0.25">
      <c r="A7372" s="3">
        <v>46168</v>
      </c>
      <c r="B7372" s="46" t="s">
        <v>334</v>
      </c>
      <c r="C7372" s="4" t="s">
        <v>60</v>
      </c>
      <c r="D7372" s="4"/>
      <c r="E7372" s="4" t="s">
        <v>921</v>
      </c>
      <c r="F7372" s="4" t="s">
        <v>3528</v>
      </c>
      <c r="G7372" s="4" t="s">
        <v>336</v>
      </c>
      <c r="H7372" s="4" t="s">
        <v>380</v>
      </c>
      <c r="I7372" s="4">
        <v>0.05</v>
      </c>
      <c r="J7372" s="21">
        <v>1200</v>
      </c>
      <c r="K7372" s="21">
        <v>60</v>
      </c>
      <c r="L7372" s="5">
        <v>0</v>
      </c>
      <c r="M7372" s="4"/>
      <c r="N7372" s="4"/>
      <c r="O7372" s="5"/>
      <c r="P7372" s="5"/>
      <c r="Q7372" s="21">
        <v>0</v>
      </c>
      <c r="R7372" s="21">
        <v>0</v>
      </c>
      <c r="S7372" s="5">
        <f t="shared" si="463"/>
        <v>38958.759203922877</v>
      </c>
      <c r="T7372" cm="1">
        <f t="array" ref="T7372">IF(OR(B7372="MAL ALIMI", B7372="ÜRETİM GİRİŞ"), MIN(I7372, MAX(0, I7372 + SUM(SUMIFS($I$1:I7371, $C$1:C7371, C7372, $B$1:B7371, {"MAL ALIMI","ÜRETİM GİRİŞ"})) - VLOOKUP(C7372, 'STOK RAPORU'!$C$2:$I$1000, 4, 0))), 0)</f>
        <v>0</v>
      </c>
      <c r="U7372" s="22">
        <f t="shared" si="460"/>
        <v>0</v>
      </c>
      <c r="V7372">
        <f t="shared" si="461"/>
        <v>0</v>
      </c>
      <c r="W7372" s="22">
        <f t="shared" si="462"/>
        <v>0</v>
      </c>
    </row>
    <row r="7373" spans="1:23" hidden="1" x14ac:dyDescent="0.25">
      <c r="A7373" s="3">
        <v>46168</v>
      </c>
      <c r="B7373" s="46" t="s">
        <v>334</v>
      </c>
      <c r="C7373" s="4" t="s">
        <v>154</v>
      </c>
      <c r="D7373" s="4"/>
      <c r="E7373" s="4" t="s">
        <v>921</v>
      </c>
      <c r="F7373" s="4" t="s">
        <v>3528</v>
      </c>
      <c r="G7373" s="4" t="s">
        <v>336</v>
      </c>
      <c r="H7373" s="4" t="s">
        <v>380</v>
      </c>
      <c r="I7373" s="4">
        <v>0.1</v>
      </c>
      <c r="J7373" s="21">
        <v>400</v>
      </c>
      <c r="K7373" s="21">
        <v>40</v>
      </c>
      <c r="L7373" s="5">
        <v>0</v>
      </c>
      <c r="M7373" s="4"/>
      <c r="N7373" s="4"/>
      <c r="O7373" s="5"/>
      <c r="P7373" s="5"/>
      <c r="Q7373" s="21">
        <v>0</v>
      </c>
      <c r="R7373" s="21">
        <v>0</v>
      </c>
      <c r="S7373" s="5">
        <f t="shared" si="463"/>
        <v>38958.759203922877</v>
      </c>
      <c r="T7373" cm="1">
        <f t="array" ref="T7373">IF(OR(B7373="MAL ALIMI", B7373="ÜRETİM GİRİŞ"), MIN(I7373, MAX(0, I7373 + SUM(SUMIFS($I$1:I7372, $C$1:C7372, C7373, $B$1:B7372, {"MAL ALIMI","ÜRETİM GİRİŞ"})) - VLOOKUP(C7373, 'STOK RAPORU'!$C$2:$I$1000, 4, 0))), 0)</f>
        <v>0</v>
      </c>
      <c r="U7373" s="22">
        <f t="shared" si="460"/>
        <v>0</v>
      </c>
      <c r="V7373">
        <f t="shared" si="461"/>
        <v>0</v>
      </c>
      <c r="W7373" s="22">
        <f t="shared" si="462"/>
        <v>0</v>
      </c>
    </row>
    <row r="7374" spans="1:23" hidden="1" x14ac:dyDescent="0.25">
      <c r="A7374" s="3">
        <v>46168</v>
      </c>
      <c r="B7374" s="46" t="s">
        <v>334</v>
      </c>
      <c r="C7374" s="4" t="s">
        <v>160</v>
      </c>
      <c r="D7374" s="4"/>
      <c r="E7374" s="4" t="s">
        <v>921</v>
      </c>
      <c r="F7374" s="4" t="s">
        <v>3529</v>
      </c>
      <c r="G7374" s="4" t="s">
        <v>336</v>
      </c>
      <c r="H7374" s="4" t="s">
        <v>380</v>
      </c>
      <c r="I7374" s="4">
        <v>1</v>
      </c>
      <c r="J7374" s="21">
        <v>250</v>
      </c>
      <c r="K7374" s="21">
        <v>250</v>
      </c>
      <c r="L7374" s="5">
        <v>0</v>
      </c>
      <c r="M7374" s="4"/>
      <c r="N7374" s="4"/>
      <c r="O7374" s="5"/>
      <c r="P7374" s="5"/>
      <c r="Q7374" s="21">
        <v>0</v>
      </c>
      <c r="R7374" s="21">
        <v>0</v>
      </c>
      <c r="S7374" s="5">
        <f t="shared" si="463"/>
        <v>38958.759203922877</v>
      </c>
      <c r="T7374" cm="1">
        <f t="array" ref="T7374">IF(OR(B7374="MAL ALIMI", B7374="ÜRETİM GİRİŞ"), MIN(I7374, MAX(0, I7374 + SUM(SUMIFS($I$1:I7373, $C$1:C7373, C7374, $B$1:B7373, {"MAL ALIMI","ÜRETİM GİRİŞ"})) - VLOOKUP(C7374, 'STOK RAPORU'!$C$2:$I$1000, 4, 0))), 0)</f>
        <v>0</v>
      </c>
      <c r="U7374" s="22">
        <f t="shared" si="460"/>
        <v>0</v>
      </c>
      <c r="V7374">
        <f t="shared" si="461"/>
        <v>0</v>
      </c>
      <c r="W7374" s="22">
        <f t="shared" si="462"/>
        <v>0</v>
      </c>
    </row>
    <row r="7375" spans="1:23" hidden="1" x14ac:dyDescent="0.25">
      <c r="A7375" s="3">
        <v>46168</v>
      </c>
      <c r="B7375" s="46" t="s">
        <v>334</v>
      </c>
      <c r="C7375" s="4" t="s">
        <v>161</v>
      </c>
      <c r="D7375" s="4"/>
      <c r="E7375" s="4" t="s">
        <v>921</v>
      </c>
      <c r="F7375" s="4" t="s">
        <v>3529</v>
      </c>
      <c r="G7375" s="4" t="s">
        <v>336</v>
      </c>
      <c r="H7375" s="4" t="s">
        <v>380</v>
      </c>
      <c r="I7375" s="4">
        <v>1</v>
      </c>
      <c r="J7375" s="21">
        <v>250</v>
      </c>
      <c r="K7375" s="21">
        <v>250</v>
      </c>
      <c r="L7375" s="5">
        <v>0</v>
      </c>
      <c r="M7375" s="4"/>
      <c r="N7375" s="4"/>
      <c r="O7375" s="5"/>
      <c r="P7375" s="5"/>
      <c r="Q7375" s="21">
        <v>0</v>
      </c>
      <c r="R7375" s="21">
        <v>0</v>
      </c>
      <c r="S7375" s="5">
        <f t="shared" si="463"/>
        <v>38958.759203922877</v>
      </c>
      <c r="T7375" cm="1">
        <f t="array" ref="T7375">IF(OR(B7375="MAL ALIMI", B7375="ÜRETİM GİRİŞ"), MIN(I7375, MAX(0, I7375 + SUM(SUMIFS($I$1:I7374, $C$1:C7374, C7375, $B$1:B7374, {"MAL ALIMI","ÜRETİM GİRİŞ"})) - VLOOKUP(C7375, 'STOK RAPORU'!$C$2:$I$1000, 4, 0))), 0)</f>
        <v>0</v>
      </c>
      <c r="U7375" s="22">
        <f t="shared" si="460"/>
        <v>0</v>
      </c>
      <c r="V7375">
        <f t="shared" si="461"/>
        <v>0</v>
      </c>
      <c r="W7375" s="22">
        <f t="shared" si="462"/>
        <v>0</v>
      </c>
    </row>
    <row r="7376" spans="1:23" hidden="1" x14ac:dyDescent="0.25">
      <c r="A7376" s="3">
        <v>46168</v>
      </c>
      <c r="B7376" s="46" t="s">
        <v>334</v>
      </c>
      <c r="C7376" s="4" t="s">
        <v>1634</v>
      </c>
      <c r="D7376" s="4"/>
      <c r="E7376" s="4" t="s">
        <v>921</v>
      </c>
      <c r="F7376" s="4" t="s">
        <v>3529</v>
      </c>
      <c r="G7376" s="4" t="s">
        <v>336</v>
      </c>
      <c r="H7376" s="4" t="s">
        <v>380</v>
      </c>
      <c r="I7376" s="4">
        <v>1</v>
      </c>
      <c r="J7376" s="21">
        <v>175</v>
      </c>
      <c r="K7376" s="21">
        <v>175</v>
      </c>
      <c r="L7376" s="5">
        <v>0</v>
      </c>
      <c r="M7376" s="4"/>
      <c r="N7376" s="4"/>
      <c r="O7376" s="5"/>
      <c r="P7376" s="5"/>
      <c r="Q7376" s="21">
        <v>0</v>
      </c>
      <c r="R7376" s="21">
        <v>0</v>
      </c>
      <c r="S7376" s="5">
        <f t="shared" si="463"/>
        <v>38958.759203922877</v>
      </c>
      <c r="T7376" cm="1">
        <f t="array" ref="T7376">IF(OR(B7376="MAL ALIMI", B7376="ÜRETİM GİRİŞ"), MIN(I7376, MAX(0, I7376 + SUM(SUMIFS($I$1:I7375, $C$1:C7375, C7376, $B$1:B7375, {"MAL ALIMI","ÜRETİM GİRİŞ"})) - VLOOKUP(C7376, 'STOK RAPORU'!$C$2:$I$1000, 4, 0))), 0)</f>
        <v>0</v>
      </c>
      <c r="U7376" s="22">
        <f t="shared" si="460"/>
        <v>0</v>
      </c>
      <c r="V7376">
        <f t="shared" si="461"/>
        <v>0</v>
      </c>
      <c r="W7376" s="22">
        <f t="shared" si="462"/>
        <v>0</v>
      </c>
    </row>
    <row r="7377" spans="1:23" hidden="1" x14ac:dyDescent="0.25">
      <c r="A7377" s="3">
        <v>46168</v>
      </c>
      <c r="B7377" s="46" t="s">
        <v>334</v>
      </c>
      <c r="C7377" s="4" t="s">
        <v>259</v>
      </c>
      <c r="D7377" s="4"/>
      <c r="E7377" s="4"/>
      <c r="F7377" s="4" t="s">
        <v>3530</v>
      </c>
      <c r="G7377" s="4" t="s">
        <v>336</v>
      </c>
      <c r="H7377" s="4" t="s">
        <v>289</v>
      </c>
      <c r="I7377" s="4">
        <v>1</v>
      </c>
      <c r="J7377" s="21">
        <v>100</v>
      </c>
      <c r="K7377" s="21">
        <v>0</v>
      </c>
      <c r="L7377" s="5">
        <v>0</v>
      </c>
      <c r="M7377" s="4"/>
      <c r="N7377" s="4"/>
      <c r="O7377" s="5"/>
      <c r="P7377" s="5"/>
      <c r="Q7377" s="21">
        <v>100</v>
      </c>
      <c r="R7377" s="21">
        <v>0</v>
      </c>
      <c r="S7377" s="5">
        <f t="shared" si="463"/>
        <v>39058.759203922877</v>
      </c>
      <c r="T7377" cm="1">
        <f t="array" ref="T7377">IF(OR(B7377="MAL ALIMI", B7377="ÜRETİM GİRİŞ"), MIN(I7377, MAX(0, I7377 + SUM(SUMIFS($I$1:I7376, $C$1:C7376, C7377, $B$1:B7376, {"MAL ALIMI","ÜRETİM GİRİŞ"})) - VLOOKUP(C7377, 'STOK RAPORU'!$C$2:$I$1000, 4, 0))), 0)</f>
        <v>0</v>
      </c>
      <c r="U7377" s="22">
        <f t="shared" si="460"/>
        <v>0</v>
      </c>
      <c r="V7377">
        <f t="shared" si="461"/>
        <v>0</v>
      </c>
      <c r="W7377" s="22">
        <f t="shared" si="462"/>
        <v>0</v>
      </c>
    </row>
    <row r="7378" spans="1:23" hidden="1" x14ac:dyDescent="0.25">
      <c r="A7378" s="3">
        <v>46168</v>
      </c>
      <c r="B7378" s="46" t="s">
        <v>334</v>
      </c>
      <c r="C7378" s="4" t="s">
        <v>160</v>
      </c>
      <c r="D7378" s="4"/>
      <c r="E7378" s="4" t="s">
        <v>2343</v>
      </c>
      <c r="F7378" s="4" t="s">
        <v>3531</v>
      </c>
      <c r="G7378" s="4" t="s">
        <v>336</v>
      </c>
      <c r="H7378" s="4" t="s">
        <v>304</v>
      </c>
      <c r="I7378" s="4">
        <v>2</v>
      </c>
      <c r="J7378" s="21">
        <v>210</v>
      </c>
      <c r="K7378" s="21">
        <v>420</v>
      </c>
      <c r="L7378" s="5">
        <v>0</v>
      </c>
      <c r="M7378" s="4"/>
      <c r="N7378" s="4"/>
      <c r="O7378" s="5"/>
      <c r="P7378" s="5"/>
      <c r="Q7378" s="21">
        <v>0</v>
      </c>
      <c r="R7378" s="21">
        <v>0</v>
      </c>
      <c r="S7378" s="5">
        <f t="shared" si="463"/>
        <v>39058.759203922877</v>
      </c>
      <c r="T7378" cm="1">
        <f t="array" ref="T7378">IF(OR(B7378="MAL ALIMI", B7378="ÜRETİM GİRİŞ"), MIN(I7378, MAX(0, I7378 + SUM(SUMIFS($I$1:I7377, $C$1:C7377, C7378, $B$1:B7377, {"MAL ALIMI","ÜRETİM GİRİŞ"})) - VLOOKUP(C7378, 'STOK RAPORU'!$C$2:$I$1000, 4, 0))), 0)</f>
        <v>0</v>
      </c>
      <c r="U7378" s="22">
        <f t="shared" si="460"/>
        <v>0</v>
      </c>
      <c r="V7378">
        <f t="shared" si="461"/>
        <v>0</v>
      </c>
      <c r="W7378" s="22">
        <f t="shared" si="462"/>
        <v>0</v>
      </c>
    </row>
    <row r="7379" spans="1:23" hidden="1" x14ac:dyDescent="0.25">
      <c r="A7379" s="3">
        <v>46168</v>
      </c>
      <c r="B7379" s="46" t="s">
        <v>334</v>
      </c>
      <c r="C7379" s="4" t="s">
        <v>161</v>
      </c>
      <c r="D7379" s="4"/>
      <c r="E7379" s="4" t="s">
        <v>2343</v>
      </c>
      <c r="F7379" s="4" t="s">
        <v>3531</v>
      </c>
      <c r="G7379" s="4" t="s">
        <v>336</v>
      </c>
      <c r="H7379" s="4" t="s">
        <v>304</v>
      </c>
      <c r="I7379" s="4">
        <v>1</v>
      </c>
      <c r="J7379" s="21">
        <v>200</v>
      </c>
      <c r="K7379" s="21">
        <v>200</v>
      </c>
      <c r="L7379" s="5">
        <v>0</v>
      </c>
      <c r="M7379" s="4"/>
      <c r="N7379" s="4"/>
      <c r="O7379" s="5"/>
      <c r="P7379" s="5"/>
      <c r="Q7379" s="21">
        <v>0</v>
      </c>
      <c r="R7379" s="21">
        <v>0</v>
      </c>
      <c r="S7379" s="5">
        <f t="shared" si="463"/>
        <v>39058.759203922877</v>
      </c>
      <c r="T7379" cm="1">
        <f t="array" ref="T7379">IF(OR(B7379="MAL ALIMI", B7379="ÜRETİM GİRİŞ"), MIN(I7379, MAX(0, I7379 + SUM(SUMIFS($I$1:I7378, $C$1:C7378, C7379, $B$1:B7378, {"MAL ALIMI","ÜRETİM GİRİŞ"})) - VLOOKUP(C7379, 'STOK RAPORU'!$C$2:$I$1000, 4, 0))), 0)</f>
        <v>0</v>
      </c>
      <c r="U7379" s="22">
        <f t="shared" si="460"/>
        <v>0</v>
      </c>
      <c r="V7379">
        <f t="shared" si="461"/>
        <v>0</v>
      </c>
      <c r="W7379" s="22">
        <f t="shared" si="462"/>
        <v>0</v>
      </c>
    </row>
    <row r="7380" spans="1:23" hidden="1" x14ac:dyDescent="0.25">
      <c r="A7380" s="3">
        <v>46168</v>
      </c>
      <c r="B7380" s="46" t="s">
        <v>334</v>
      </c>
      <c r="C7380" s="4" t="s">
        <v>133</v>
      </c>
      <c r="D7380" s="4"/>
      <c r="E7380" s="4" t="s">
        <v>2343</v>
      </c>
      <c r="F7380" s="4" t="s">
        <v>3531</v>
      </c>
      <c r="G7380" s="4" t="s">
        <v>336</v>
      </c>
      <c r="H7380" s="4" t="s">
        <v>304</v>
      </c>
      <c r="I7380" s="4">
        <v>1</v>
      </c>
      <c r="J7380" s="21">
        <v>250</v>
      </c>
      <c r="K7380" s="21">
        <v>250</v>
      </c>
      <c r="L7380" s="5">
        <v>0</v>
      </c>
      <c r="M7380" s="4"/>
      <c r="N7380" s="4"/>
      <c r="O7380" s="5"/>
      <c r="P7380" s="5"/>
      <c r="Q7380" s="21">
        <v>0</v>
      </c>
      <c r="R7380" s="21">
        <v>0</v>
      </c>
      <c r="S7380" s="5">
        <f t="shared" si="463"/>
        <v>39058.759203922877</v>
      </c>
      <c r="T7380" cm="1">
        <f t="array" ref="T7380">IF(OR(B7380="MAL ALIMI", B7380="ÜRETİM GİRİŞ"), MIN(I7380, MAX(0, I7380 + SUM(SUMIFS($I$1:I7379, $C$1:C7379, C7380, $B$1:B7379, {"MAL ALIMI","ÜRETİM GİRİŞ"})) - VLOOKUP(C7380, 'STOK RAPORU'!$C$2:$I$1000, 4, 0))), 0)</f>
        <v>0</v>
      </c>
      <c r="U7380" s="22">
        <f t="shared" si="460"/>
        <v>0</v>
      </c>
      <c r="V7380">
        <f t="shared" si="461"/>
        <v>0</v>
      </c>
      <c r="W7380" s="22">
        <f t="shared" si="462"/>
        <v>0</v>
      </c>
    </row>
    <row r="7381" spans="1:23" hidden="1" x14ac:dyDescent="0.25">
      <c r="A7381" s="3">
        <v>46168</v>
      </c>
      <c r="B7381" s="46" t="s">
        <v>334</v>
      </c>
      <c r="C7381" s="4" t="s">
        <v>132</v>
      </c>
      <c r="D7381" s="4"/>
      <c r="E7381" s="4"/>
      <c r="F7381" s="4" t="s">
        <v>3532</v>
      </c>
      <c r="G7381" s="4" t="s">
        <v>336</v>
      </c>
      <c r="H7381" s="4" t="s">
        <v>289</v>
      </c>
      <c r="I7381" s="4">
        <v>0.2</v>
      </c>
      <c r="J7381" s="21">
        <v>500</v>
      </c>
      <c r="K7381" s="21">
        <v>0</v>
      </c>
      <c r="L7381" s="5">
        <v>0</v>
      </c>
      <c r="M7381" s="4"/>
      <c r="N7381" s="4"/>
      <c r="O7381" s="5"/>
      <c r="P7381" s="5"/>
      <c r="Q7381" s="21">
        <v>100</v>
      </c>
      <c r="R7381" s="21">
        <v>0</v>
      </c>
      <c r="S7381" s="5">
        <f t="shared" si="463"/>
        <v>39158.759203922877</v>
      </c>
      <c r="T7381" cm="1">
        <f t="array" ref="T7381">IF(OR(B7381="MAL ALIMI", B7381="ÜRETİM GİRİŞ"), MIN(I7381, MAX(0, I7381 + SUM(SUMIFS($I$1:I7380, $C$1:C7380, C7381, $B$1:B7380, {"MAL ALIMI","ÜRETİM GİRİŞ"})) - VLOOKUP(C7381, 'STOK RAPORU'!$C$2:$I$1000, 4, 0))), 0)</f>
        <v>0</v>
      </c>
      <c r="U7381" s="22">
        <f t="shared" si="460"/>
        <v>0</v>
      </c>
      <c r="V7381">
        <f t="shared" si="461"/>
        <v>0</v>
      </c>
      <c r="W7381" s="22">
        <f t="shared" si="462"/>
        <v>0</v>
      </c>
    </row>
    <row r="7382" spans="1:23" hidden="1" x14ac:dyDescent="0.25">
      <c r="A7382" s="3">
        <v>46168</v>
      </c>
      <c r="B7382" s="46" t="s">
        <v>334</v>
      </c>
      <c r="C7382" s="4" t="s">
        <v>1501</v>
      </c>
      <c r="D7382" s="4"/>
      <c r="E7382" s="4"/>
      <c r="F7382" s="4" t="s">
        <v>3532</v>
      </c>
      <c r="G7382" s="4" t="s">
        <v>336</v>
      </c>
      <c r="H7382" s="4" t="s">
        <v>289</v>
      </c>
      <c r="I7382" s="4">
        <v>0.14285714285714285</v>
      </c>
      <c r="J7382" s="21">
        <v>700</v>
      </c>
      <c r="K7382" s="21">
        <v>0</v>
      </c>
      <c r="L7382" s="5">
        <v>0</v>
      </c>
      <c r="M7382" s="4"/>
      <c r="N7382" s="4"/>
      <c r="O7382" s="5"/>
      <c r="P7382" s="5"/>
      <c r="Q7382" s="21">
        <v>100</v>
      </c>
      <c r="R7382" s="21">
        <v>0</v>
      </c>
      <c r="S7382" s="5">
        <f t="shared" si="463"/>
        <v>39258.759203922877</v>
      </c>
      <c r="T7382" cm="1">
        <f t="array" ref="T7382">IF(OR(B7382="MAL ALIMI", B7382="ÜRETİM GİRİŞ"), MIN(I7382, MAX(0, I7382 + SUM(SUMIFS($I$1:I7381, $C$1:C7381, C7382, $B$1:B7381, {"MAL ALIMI","ÜRETİM GİRİŞ"})) - VLOOKUP(C7382, 'STOK RAPORU'!$C$2:$I$1000, 4, 0))), 0)</f>
        <v>0</v>
      </c>
      <c r="U7382" s="22">
        <f t="shared" si="460"/>
        <v>0</v>
      </c>
      <c r="V7382">
        <f t="shared" si="461"/>
        <v>0</v>
      </c>
      <c r="W7382" s="22">
        <f t="shared" si="462"/>
        <v>0</v>
      </c>
    </row>
    <row r="7383" spans="1:23" hidden="1" x14ac:dyDescent="0.25">
      <c r="A7383" s="3">
        <v>46168</v>
      </c>
      <c r="B7383" s="46" t="s">
        <v>334</v>
      </c>
      <c r="C7383" s="4" t="s">
        <v>2144</v>
      </c>
      <c r="D7383" s="4"/>
      <c r="E7383" s="4" t="s">
        <v>921</v>
      </c>
      <c r="F7383" s="4" t="s">
        <v>3533</v>
      </c>
      <c r="G7383" s="4" t="s">
        <v>336</v>
      </c>
      <c r="H7383" s="4" t="s">
        <v>380</v>
      </c>
      <c r="I7383" s="4">
        <v>1</v>
      </c>
      <c r="J7383" s="21">
        <v>350</v>
      </c>
      <c r="K7383" s="21">
        <v>350</v>
      </c>
      <c r="L7383" s="5">
        <v>0</v>
      </c>
      <c r="M7383" s="4"/>
      <c r="N7383" s="4"/>
      <c r="O7383" s="5"/>
      <c r="P7383" s="5"/>
      <c r="Q7383" s="21">
        <v>0</v>
      </c>
      <c r="R7383" s="21">
        <v>0</v>
      </c>
      <c r="S7383" s="5">
        <f t="shared" si="463"/>
        <v>39258.759203922877</v>
      </c>
      <c r="T7383" cm="1">
        <f t="array" ref="T7383">IF(OR(B7383="MAL ALIMI", B7383="ÜRETİM GİRİŞ"), MIN(I7383, MAX(0, I7383 + SUM(SUMIFS($I$1:I7382, $C$1:C7382, C7383, $B$1:B7382, {"MAL ALIMI","ÜRETİM GİRİŞ"})) - VLOOKUP(C7383, 'STOK RAPORU'!$C$2:$I$1000, 4, 0))), 0)</f>
        <v>0</v>
      </c>
      <c r="U7383" s="22">
        <f t="shared" si="460"/>
        <v>0</v>
      </c>
      <c r="V7383">
        <f t="shared" si="461"/>
        <v>0</v>
      </c>
      <c r="W7383" s="22">
        <f t="shared" si="462"/>
        <v>0</v>
      </c>
    </row>
    <row r="7384" spans="1:23" hidden="1" x14ac:dyDescent="0.25">
      <c r="A7384" s="3">
        <v>46168</v>
      </c>
      <c r="B7384" s="46" t="s">
        <v>334</v>
      </c>
      <c r="C7384" s="4" t="s">
        <v>226</v>
      </c>
      <c r="D7384" s="4"/>
      <c r="E7384" s="4" t="s">
        <v>921</v>
      </c>
      <c r="F7384" s="4" t="s">
        <v>3533</v>
      </c>
      <c r="G7384" s="4" t="s">
        <v>336</v>
      </c>
      <c r="H7384" s="4" t="s">
        <v>380</v>
      </c>
      <c r="I7384" s="4">
        <v>0.22727272727272727</v>
      </c>
      <c r="J7384" s="21">
        <v>220</v>
      </c>
      <c r="K7384" s="21">
        <v>50</v>
      </c>
      <c r="L7384" s="5">
        <v>0</v>
      </c>
      <c r="M7384" s="4"/>
      <c r="N7384" s="4"/>
      <c r="O7384" s="5"/>
      <c r="P7384" s="5"/>
      <c r="Q7384" s="21">
        <v>0</v>
      </c>
      <c r="R7384" s="21">
        <v>0</v>
      </c>
      <c r="S7384" s="5">
        <f t="shared" si="463"/>
        <v>39258.759203922877</v>
      </c>
      <c r="T7384" cm="1">
        <f t="array" ref="T7384">IF(OR(B7384="MAL ALIMI", B7384="ÜRETİM GİRİŞ"), MIN(I7384, MAX(0, I7384 + SUM(SUMIFS($I$1:I7383, $C$1:C7383, C7384, $B$1:B7383, {"MAL ALIMI","ÜRETİM GİRİŞ"})) - VLOOKUP(C7384, 'STOK RAPORU'!$C$2:$I$1000, 4, 0))), 0)</f>
        <v>0</v>
      </c>
      <c r="U7384" s="22">
        <f t="shared" si="460"/>
        <v>0</v>
      </c>
      <c r="V7384">
        <f t="shared" si="461"/>
        <v>0</v>
      </c>
      <c r="W7384" s="22">
        <f t="shared" si="462"/>
        <v>0</v>
      </c>
    </row>
    <row r="7385" spans="1:23" hidden="1" x14ac:dyDescent="0.25">
      <c r="A7385" s="3">
        <v>46168</v>
      </c>
      <c r="B7385" s="46" t="s">
        <v>334</v>
      </c>
      <c r="C7385" s="4" t="s">
        <v>126</v>
      </c>
      <c r="D7385" s="4"/>
      <c r="E7385" s="4" t="s">
        <v>921</v>
      </c>
      <c r="F7385" s="4" t="s">
        <v>3533</v>
      </c>
      <c r="G7385" s="4" t="s">
        <v>336</v>
      </c>
      <c r="H7385" s="4" t="s">
        <v>380</v>
      </c>
      <c r="I7385" s="4">
        <v>0.16</v>
      </c>
      <c r="J7385" s="21">
        <v>625</v>
      </c>
      <c r="K7385" s="21">
        <v>100</v>
      </c>
      <c r="L7385" s="5">
        <v>0</v>
      </c>
      <c r="M7385" s="4"/>
      <c r="N7385" s="4"/>
      <c r="O7385" s="5"/>
      <c r="P7385" s="5"/>
      <c r="Q7385" s="21">
        <v>0</v>
      </c>
      <c r="R7385" s="21">
        <v>0</v>
      </c>
      <c r="S7385" s="5">
        <f t="shared" si="463"/>
        <v>39258.759203922877</v>
      </c>
      <c r="T7385" cm="1">
        <f t="array" ref="T7385">IF(OR(B7385="MAL ALIMI", B7385="ÜRETİM GİRİŞ"), MIN(I7385, MAX(0, I7385 + SUM(SUMIFS($I$1:I7384, $C$1:C7384, C7385, $B$1:B7384, {"MAL ALIMI","ÜRETİM GİRİŞ"})) - VLOOKUP(C7385, 'STOK RAPORU'!$C$2:$I$1000, 4, 0))), 0)</f>
        <v>0</v>
      </c>
      <c r="U7385" s="22">
        <f t="shared" si="460"/>
        <v>0</v>
      </c>
      <c r="V7385">
        <f t="shared" si="461"/>
        <v>0</v>
      </c>
      <c r="W7385" s="22">
        <f t="shared" si="462"/>
        <v>0</v>
      </c>
    </row>
    <row r="7386" spans="1:23" hidden="1" x14ac:dyDescent="0.25">
      <c r="A7386" s="3">
        <v>46168</v>
      </c>
      <c r="B7386" s="46" t="s">
        <v>334</v>
      </c>
      <c r="C7386" s="4" t="s">
        <v>486</v>
      </c>
      <c r="D7386" s="4"/>
      <c r="E7386" s="4"/>
      <c r="F7386" s="4" t="s">
        <v>3534</v>
      </c>
      <c r="G7386" s="4" t="s">
        <v>336</v>
      </c>
      <c r="H7386" s="4" t="s">
        <v>289</v>
      </c>
      <c r="I7386" s="4">
        <v>1</v>
      </c>
      <c r="J7386" s="21">
        <v>180</v>
      </c>
      <c r="K7386" s="21">
        <v>0</v>
      </c>
      <c r="L7386" s="5">
        <v>0</v>
      </c>
      <c r="M7386" s="4"/>
      <c r="N7386" s="4"/>
      <c r="O7386" s="5"/>
      <c r="P7386" s="5"/>
      <c r="Q7386" s="21">
        <v>180</v>
      </c>
      <c r="R7386" s="21">
        <v>0</v>
      </c>
      <c r="S7386" s="5">
        <f t="shared" si="463"/>
        <v>39438.759203922877</v>
      </c>
      <c r="T7386" cm="1">
        <f t="array" ref="T7386">IF(OR(B7386="MAL ALIMI", B7386="ÜRETİM GİRİŞ"), MIN(I7386, MAX(0, I7386 + SUM(SUMIFS($I$1:I7385, $C$1:C7385, C7386, $B$1:B7385, {"MAL ALIMI","ÜRETİM GİRİŞ"})) - VLOOKUP(C7386, 'STOK RAPORU'!$C$2:$I$1000, 4, 0))), 0)</f>
        <v>0</v>
      </c>
      <c r="U7386" s="22">
        <f t="shared" si="460"/>
        <v>0</v>
      </c>
      <c r="V7386">
        <f t="shared" si="461"/>
        <v>0</v>
      </c>
      <c r="W7386" s="22">
        <f t="shared" si="462"/>
        <v>0</v>
      </c>
    </row>
    <row r="7387" spans="1:23" hidden="1" x14ac:dyDescent="0.25">
      <c r="A7387" s="3">
        <v>46168</v>
      </c>
      <c r="B7387" s="46" t="s">
        <v>334</v>
      </c>
      <c r="C7387" s="4" t="s">
        <v>156</v>
      </c>
      <c r="D7387" s="4"/>
      <c r="E7387" s="4"/>
      <c r="F7387" s="4" t="s">
        <v>3534</v>
      </c>
      <c r="G7387" s="4" t="s">
        <v>336</v>
      </c>
      <c r="H7387" s="4" t="s">
        <v>289</v>
      </c>
      <c r="I7387" s="4">
        <v>1</v>
      </c>
      <c r="J7387" s="21">
        <v>200</v>
      </c>
      <c r="K7387" s="21">
        <v>0</v>
      </c>
      <c r="L7387" s="5">
        <v>0</v>
      </c>
      <c r="M7387" s="4"/>
      <c r="N7387" s="4"/>
      <c r="O7387" s="5"/>
      <c r="P7387" s="5"/>
      <c r="Q7387" s="21">
        <v>200</v>
      </c>
      <c r="R7387" s="21">
        <v>0</v>
      </c>
      <c r="S7387" s="5">
        <f t="shared" si="463"/>
        <v>39638.759203922877</v>
      </c>
      <c r="T7387" cm="1">
        <f t="array" ref="T7387">IF(OR(B7387="MAL ALIMI", B7387="ÜRETİM GİRİŞ"), MIN(I7387, MAX(0, I7387 + SUM(SUMIFS($I$1:I7386, $C$1:C7386, C7387, $B$1:B7386, {"MAL ALIMI","ÜRETİM GİRİŞ"})) - VLOOKUP(C7387, 'STOK RAPORU'!$C$2:$I$1000, 4, 0))), 0)</f>
        <v>0</v>
      </c>
      <c r="U7387" s="22">
        <f t="shared" si="460"/>
        <v>0</v>
      </c>
      <c r="V7387">
        <f t="shared" si="461"/>
        <v>0</v>
      </c>
      <c r="W7387" s="22">
        <f t="shared" si="462"/>
        <v>0</v>
      </c>
    </row>
    <row r="7388" spans="1:23" hidden="1" x14ac:dyDescent="0.25">
      <c r="A7388" s="3">
        <v>46168</v>
      </c>
      <c r="B7388" s="46" t="s">
        <v>334</v>
      </c>
      <c r="C7388" s="4" t="s">
        <v>695</v>
      </c>
      <c r="D7388" s="4"/>
      <c r="E7388" s="4"/>
      <c r="F7388" s="4" t="s">
        <v>3534</v>
      </c>
      <c r="G7388" s="4" t="s">
        <v>336</v>
      </c>
      <c r="H7388" s="4" t="s">
        <v>289</v>
      </c>
      <c r="I7388" s="4">
        <v>0.5</v>
      </c>
      <c r="J7388" s="21">
        <v>120</v>
      </c>
      <c r="K7388" s="21">
        <v>0</v>
      </c>
      <c r="L7388" s="5">
        <v>0</v>
      </c>
      <c r="M7388" s="4"/>
      <c r="N7388" s="4"/>
      <c r="O7388" s="5"/>
      <c r="P7388" s="5"/>
      <c r="Q7388" s="21">
        <v>60</v>
      </c>
      <c r="R7388" s="21">
        <v>0</v>
      </c>
      <c r="S7388" s="5">
        <f t="shared" si="463"/>
        <v>39698.759203922877</v>
      </c>
      <c r="T7388" cm="1">
        <f t="array" ref="T7388">IF(OR(B7388="MAL ALIMI", B7388="ÜRETİM GİRİŞ"), MIN(I7388, MAX(0, I7388 + SUM(SUMIFS($I$1:I7387, $C$1:C7387, C7388, $B$1:B7387, {"MAL ALIMI","ÜRETİM GİRİŞ"})) - VLOOKUP(C7388, 'STOK RAPORU'!$C$2:$I$1000, 4, 0))), 0)</f>
        <v>0</v>
      </c>
      <c r="U7388" s="22">
        <f t="shared" si="460"/>
        <v>0</v>
      </c>
      <c r="V7388">
        <f t="shared" si="461"/>
        <v>0</v>
      </c>
      <c r="W7388" s="22">
        <f t="shared" si="462"/>
        <v>0</v>
      </c>
    </row>
    <row r="7389" spans="1:23" hidden="1" x14ac:dyDescent="0.25">
      <c r="A7389" s="3">
        <v>46168</v>
      </c>
      <c r="B7389" s="46" t="s">
        <v>334</v>
      </c>
      <c r="C7389" s="4" t="s">
        <v>166</v>
      </c>
      <c r="D7389" s="4"/>
      <c r="E7389" s="4"/>
      <c r="F7389" s="4" t="s">
        <v>3535</v>
      </c>
      <c r="G7389" s="4" t="s">
        <v>336</v>
      </c>
      <c r="H7389" s="4" t="s">
        <v>289</v>
      </c>
      <c r="I7389" s="4">
        <v>0.12987012987012986</v>
      </c>
      <c r="J7389" s="21">
        <v>770</v>
      </c>
      <c r="K7389" s="21">
        <v>0</v>
      </c>
      <c r="L7389" s="5">
        <v>0</v>
      </c>
      <c r="M7389" s="4"/>
      <c r="N7389" s="4"/>
      <c r="O7389" s="5"/>
      <c r="P7389" s="5"/>
      <c r="Q7389" s="21">
        <v>99.999999999999986</v>
      </c>
      <c r="R7389" s="21">
        <v>0</v>
      </c>
      <c r="S7389" s="5">
        <f t="shared" si="463"/>
        <v>39798.759203922877</v>
      </c>
      <c r="T7389" cm="1">
        <f t="array" ref="T7389">IF(OR(B7389="MAL ALIMI", B7389="ÜRETİM GİRİŞ"), MIN(I7389, MAX(0, I7389 + SUM(SUMIFS($I$1:I7388, $C$1:C7388, C7389, $B$1:B7388, {"MAL ALIMI","ÜRETİM GİRİŞ"})) - VLOOKUP(C7389, 'STOK RAPORU'!$C$2:$I$1000, 4, 0))), 0)</f>
        <v>0</v>
      </c>
      <c r="U7389" s="22">
        <f t="shared" si="460"/>
        <v>0</v>
      </c>
      <c r="V7389">
        <f t="shared" si="461"/>
        <v>0</v>
      </c>
      <c r="W7389" s="22">
        <f t="shared" si="462"/>
        <v>0</v>
      </c>
    </row>
    <row r="7390" spans="1:23" hidden="1" x14ac:dyDescent="0.25">
      <c r="A7390" s="3">
        <v>46168</v>
      </c>
      <c r="B7390" s="46" t="s">
        <v>334</v>
      </c>
      <c r="C7390" s="4" t="s">
        <v>133</v>
      </c>
      <c r="D7390" s="4"/>
      <c r="E7390" s="4" t="s">
        <v>921</v>
      </c>
      <c r="F7390" s="4" t="s">
        <v>3536</v>
      </c>
      <c r="G7390" s="4" t="s">
        <v>336</v>
      </c>
      <c r="H7390" s="4" t="s">
        <v>380</v>
      </c>
      <c r="I7390" s="4">
        <v>0.17</v>
      </c>
      <c r="J7390" s="21">
        <v>400</v>
      </c>
      <c r="K7390" s="21">
        <v>68</v>
      </c>
      <c r="L7390" s="5">
        <v>0</v>
      </c>
      <c r="M7390" s="4"/>
      <c r="N7390" s="4"/>
      <c r="O7390" s="5"/>
      <c r="P7390" s="5"/>
      <c r="Q7390" s="21">
        <v>0</v>
      </c>
      <c r="R7390" s="21">
        <v>0</v>
      </c>
      <c r="S7390" s="5">
        <f t="shared" si="463"/>
        <v>39798.759203922877</v>
      </c>
      <c r="T7390" cm="1">
        <f t="array" ref="T7390">IF(OR(B7390="MAL ALIMI", B7390="ÜRETİM GİRİŞ"), MIN(I7390, MAX(0, I7390 + SUM(SUMIFS($I$1:I7389, $C$1:C7389, C7390, $B$1:B7389, {"MAL ALIMI","ÜRETİM GİRİŞ"})) - VLOOKUP(C7390, 'STOK RAPORU'!$C$2:$I$1000, 4, 0))), 0)</f>
        <v>0</v>
      </c>
      <c r="U7390" s="22">
        <f t="shared" si="460"/>
        <v>0</v>
      </c>
      <c r="V7390">
        <f t="shared" si="461"/>
        <v>0</v>
      </c>
      <c r="W7390" s="22">
        <f t="shared" si="462"/>
        <v>0</v>
      </c>
    </row>
    <row r="7391" spans="1:23" hidden="1" x14ac:dyDescent="0.25">
      <c r="A7391" s="3">
        <v>46168</v>
      </c>
      <c r="B7391" s="46" t="s">
        <v>334</v>
      </c>
      <c r="C7391" s="4" t="s">
        <v>161</v>
      </c>
      <c r="D7391" s="4"/>
      <c r="E7391" s="4" t="s">
        <v>921</v>
      </c>
      <c r="F7391" s="4" t="s">
        <v>3536</v>
      </c>
      <c r="G7391" s="4" t="s">
        <v>336</v>
      </c>
      <c r="H7391" s="4" t="s">
        <v>380</v>
      </c>
      <c r="I7391" s="4">
        <v>1</v>
      </c>
      <c r="J7391" s="21">
        <v>250</v>
      </c>
      <c r="K7391" s="21">
        <v>250</v>
      </c>
      <c r="L7391" s="5">
        <v>0</v>
      </c>
      <c r="M7391" s="4"/>
      <c r="N7391" s="4"/>
      <c r="O7391" s="5"/>
      <c r="P7391" s="5"/>
      <c r="Q7391" s="21">
        <v>0</v>
      </c>
      <c r="R7391" s="21">
        <v>0</v>
      </c>
      <c r="S7391" s="5">
        <f t="shared" si="463"/>
        <v>39798.759203922877</v>
      </c>
      <c r="T7391" cm="1">
        <f t="array" ref="T7391">IF(OR(B7391="MAL ALIMI", B7391="ÜRETİM GİRİŞ"), MIN(I7391, MAX(0, I7391 + SUM(SUMIFS($I$1:I7390, $C$1:C7390, C7391, $B$1:B7390, {"MAL ALIMI","ÜRETİM GİRİŞ"})) - VLOOKUP(C7391, 'STOK RAPORU'!$C$2:$I$1000, 4, 0))), 0)</f>
        <v>0</v>
      </c>
      <c r="U7391" s="22">
        <f t="shared" si="460"/>
        <v>0</v>
      </c>
      <c r="V7391">
        <f t="shared" si="461"/>
        <v>0</v>
      </c>
      <c r="W7391" s="22">
        <f t="shared" si="462"/>
        <v>0</v>
      </c>
    </row>
    <row r="7392" spans="1:23" hidden="1" x14ac:dyDescent="0.25">
      <c r="A7392" s="3">
        <v>46168</v>
      </c>
      <c r="B7392" s="46" t="s">
        <v>334</v>
      </c>
      <c r="C7392" s="4" t="s">
        <v>160</v>
      </c>
      <c r="D7392" s="4"/>
      <c r="E7392" s="4"/>
      <c r="F7392" s="4" t="s">
        <v>3537</v>
      </c>
      <c r="G7392" s="4" t="s">
        <v>336</v>
      </c>
      <c r="H7392" s="4" t="s">
        <v>289</v>
      </c>
      <c r="I7392" s="4">
        <v>1</v>
      </c>
      <c r="J7392" s="21">
        <v>250</v>
      </c>
      <c r="K7392" s="21">
        <v>0</v>
      </c>
      <c r="L7392" s="5">
        <v>0</v>
      </c>
      <c r="M7392" s="4"/>
      <c r="N7392" s="4"/>
      <c r="O7392" s="5"/>
      <c r="P7392" s="5"/>
      <c r="Q7392" s="21">
        <v>250</v>
      </c>
      <c r="R7392" s="21">
        <v>0</v>
      </c>
      <c r="S7392" s="5">
        <f t="shared" si="463"/>
        <v>40048.759203922877</v>
      </c>
      <c r="T7392" cm="1">
        <f t="array" ref="T7392">IF(OR(B7392="MAL ALIMI", B7392="ÜRETİM GİRİŞ"), MIN(I7392, MAX(0, I7392 + SUM(SUMIFS($I$1:I7391, $C$1:C7391, C7392, $B$1:B7391, {"MAL ALIMI","ÜRETİM GİRİŞ"})) - VLOOKUP(C7392, 'STOK RAPORU'!$C$2:$I$1000, 4, 0))), 0)</f>
        <v>0</v>
      </c>
      <c r="U7392" s="22">
        <f t="shared" si="460"/>
        <v>0</v>
      </c>
      <c r="V7392">
        <f t="shared" si="461"/>
        <v>0</v>
      </c>
      <c r="W7392" s="22">
        <f t="shared" si="462"/>
        <v>0</v>
      </c>
    </row>
    <row r="7393" spans="1:23" hidden="1" x14ac:dyDescent="0.25">
      <c r="A7393" s="3">
        <v>46168</v>
      </c>
      <c r="B7393" s="46" t="s">
        <v>334</v>
      </c>
      <c r="C7393" s="4" t="s">
        <v>192</v>
      </c>
      <c r="D7393" s="4"/>
      <c r="E7393" s="4"/>
      <c r="F7393" s="4" t="s">
        <v>3538</v>
      </c>
      <c r="G7393" s="4" t="s">
        <v>336</v>
      </c>
      <c r="H7393" s="4" t="s">
        <v>289</v>
      </c>
      <c r="I7393" s="4">
        <v>0.24</v>
      </c>
      <c r="J7393" s="21">
        <v>417</v>
      </c>
      <c r="K7393" s="21">
        <v>0</v>
      </c>
      <c r="L7393" s="5">
        <v>0</v>
      </c>
      <c r="M7393" s="4"/>
      <c r="N7393" s="4"/>
      <c r="O7393" s="5"/>
      <c r="P7393" s="5"/>
      <c r="Q7393" s="21">
        <v>100.08</v>
      </c>
      <c r="R7393" s="21">
        <v>0</v>
      </c>
      <c r="S7393" s="5">
        <f t="shared" si="463"/>
        <v>40148.839203922878</v>
      </c>
      <c r="T7393" cm="1">
        <f t="array" ref="T7393">IF(OR(B7393="MAL ALIMI", B7393="ÜRETİM GİRİŞ"), MIN(I7393, MAX(0, I7393 + SUM(SUMIFS($I$1:I7392, $C$1:C7392, C7393, $B$1:B7392, {"MAL ALIMI","ÜRETİM GİRİŞ"})) - VLOOKUP(C7393, 'STOK RAPORU'!$C$2:$I$1000, 4, 0))), 0)</f>
        <v>0</v>
      </c>
      <c r="U7393" s="22">
        <f t="shared" si="460"/>
        <v>0</v>
      </c>
      <c r="V7393">
        <f t="shared" si="461"/>
        <v>0</v>
      </c>
      <c r="W7393" s="22">
        <f t="shared" si="462"/>
        <v>0</v>
      </c>
    </row>
    <row r="7394" spans="1:23" hidden="1" x14ac:dyDescent="0.25">
      <c r="A7394" s="3">
        <v>46168</v>
      </c>
      <c r="B7394" s="46" t="s">
        <v>334</v>
      </c>
      <c r="C7394" s="4" t="s">
        <v>160</v>
      </c>
      <c r="D7394" s="4"/>
      <c r="E7394" s="4" t="s">
        <v>921</v>
      </c>
      <c r="F7394" s="4" t="s">
        <v>3539</v>
      </c>
      <c r="G7394" s="4" t="s">
        <v>336</v>
      </c>
      <c r="H7394" s="4" t="s">
        <v>380</v>
      </c>
      <c r="I7394" s="4">
        <v>0.5</v>
      </c>
      <c r="J7394" s="21">
        <v>250</v>
      </c>
      <c r="K7394" s="21">
        <v>125</v>
      </c>
      <c r="L7394" s="5">
        <v>0</v>
      </c>
      <c r="M7394" s="4"/>
      <c r="N7394" s="4"/>
      <c r="O7394" s="5"/>
      <c r="P7394" s="5"/>
      <c r="Q7394" s="21">
        <v>0</v>
      </c>
      <c r="R7394" s="21">
        <v>0</v>
      </c>
      <c r="S7394" s="5">
        <f t="shared" si="463"/>
        <v>40148.839203922878</v>
      </c>
      <c r="T7394" cm="1">
        <f t="array" ref="T7394">IF(OR(B7394="MAL ALIMI", B7394="ÜRETİM GİRİŞ"), MIN(I7394, MAX(0, I7394 + SUM(SUMIFS($I$1:I7393, $C$1:C7393, C7394, $B$1:B7393, {"MAL ALIMI","ÜRETİM GİRİŞ"})) - VLOOKUP(C7394, 'STOK RAPORU'!$C$2:$I$1000, 4, 0))), 0)</f>
        <v>0</v>
      </c>
      <c r="U7394" s="22">
        <f t="shared" si="460"/>
        <v>0</v>
      </c>
      <c r="V7394">
        <f t="shared" si="461"/>
        <v>0</v>
      </c>
      <c r="W7394" s="22">
        <f t="shared" si="462"/>
        <v>0</v>
      </c>
    </row>
    <row r="7395" spans="1:23" hidden="1" x14ac:dyDescent="0.25">
      <c r="A7395" s="3">
        <v>46168</v>
      </c>
      <c r="B7395" s="46" t="s">
        <v>334</v>
      </c>
      <c r="C7395" s="4" t="s">
        <v>161</v>
      </c>
      <c r="D7395" s="4"/>
      <c r="E7395" s="4" t="s">
        <v>921</v>
      </c>
      <c r="F7395" s="4" t="s">
        <v>3539</v>
      </c>
      <c r="G7395" s="4" t="s">
        <v>336</v>
      </c>
      <c r="H7395" s="4" t="s">
        <v>380</v>
      </c>
      <c r="I7395" s="4">
        <v>0.5</v>
      </c>
      <c r="J7395" s="21">
        <v>250</v>
      </c>
      <c r="K7395" s="21">
        <v>125</v>
      </c>
      <c r="L7395" s="5">
        <v>0</v>
      </c>
      <c r="M7395" s="4"/>
      <c r="N7395" s="4"/>
      <c r="O7395" s="5"/>
      <c r="P7395" s="5"/>
      <c r="Q7395" s="21">
        <v>0</v>
      </c>
      <c r="R7395" s="21">
        <v>0</v>
      </c>
      <c r="S7395" s="5">
        <f t="shared" si="463"/>
        <v>40148.839203922878</v>
      </c>
      <c r="T7395" cm="1">
        <f t="array" ref="T7395">IF(OR(B7395="MAL ALIMI", B7395="ÜRETİM GİRİŞ"), MIN(I7395, MAX(0, I7395 + SUM(SUMIFS($I$1:I7394, $C$1:C7394, C7395, $B$1:B7394, {"MAL ALIMI","ÜRETİM GİRİŞ"})) - VLOOKUP(C7395, 'STOK RAPORU'!$C$2:$I$1000, 4, 0))), 0)</f>
        <v>0</v>
      </c>
      <c r="U7395" s="22">
        <f t="shared" si="460"/>
        <v>0</v>
      </c>
      <c r="V7395">
        <f t="shared" si="461"/>
        <v>0</v>
      </c>
      <c r="W7395" s="22">
        <f t="shared" si="462"/>
        <v>0</v>
      </c>
    </row>
    <row r="7396" spans="1:23" hidden="1" x14ac:dyDescent="0.25">
      <c r="A7396" s="3">
        <v>46168</v>
      </c>
      <c r="B7396" s="4" t="s">
        <v>2344</v>
      </c>
      <c r="C7396" s="4"/>
      <c r="D7396" s="4"/>
      <c r="E7396" s="4" t="s">
        <v>2343</v>
      </c>
      <c r="F7396" s="4"/>
      <c r="G7396" s="4" t="s">
        <v>3540</v>
      </c>
      <c r="H7396" s="4" t="s">
        <v>289</v>
      </c>
      <c r="I7396" s="4">
        <v>1</v>
      </c>
      <c r="J7396" s="21">
        <v>1402.14</v>
      </c>
      <c r="K7396" s="21">
        <v>0</v>
      </c>
      <c r="L7396" s="5">
        <v>1402.14</v>
      </c>
      <c r="M7396" s="4"/>
      <c r="N7396" s="4"/>
      <c r="O7396" s="5"/>
      <c r="P7396" s="5"/>
      <c r="Q7396" s="116">
        <v>1402.14</v>
      </c>
      <c r="R7396" s="21">
        <v>0</v>
      </c>
      <c r="S7396" s="5">
        <f t="shared" si="463"/>
        <v>41550.979203922878</v>
      </c>
      <c r="T7396" cm="1">
        <f t="array" ref="T7396">IF(OR(B7396="MAL ALIMI", B7396="ÜRETİM GİRİŞ"), MIN(I7396, MAX(0, I7396 + SUM(SUMIFS($I$1:I7395, $C$1:C7395, C7396, $B$1:B7395, {"MAL ALIMI","ÜRETİM GİRİŞ"})) - VLOOKUP(C7396, 'STOK RAPORU'!$C$2:$I$1000, 4, 0))), 0)</f>
        <v>0</v>
      </c>
      <c r="U7396" s="22">
        <f t="shared" si="460"/>
        <v>0</v>
      </c>
      <c r="V7396">
        <f t="shared" si="461"/>
        <v>0</v>
      </c>
      <c r="W7396" s="22">
        <f t="shared" si="462"/>
        <v>0</v>
      </c>
    </row>
    <row r="7397" spans="1:23" hidden="1" x14ac:dyDescent="0.25">
      <c r="A7397" s="3">
        <v>46169</v>
      </c>
      <c r="B7397" s="4" t="s">
        <v>285</v>
      </c>
      <c r="C7397" s="4"/>
      <c r="D7397" s="4" t="s">
        <v>1815</v>
      </c>
      <c r="E7397" s="4"/>
      <c r="F7397" s="4"/>
      <c r="G7397" s="4" t="s">
        <v>1986</v>
      </c>
      <c r="H7397" s="4" t="s">
        <v>289</v>
      </c>
      <c r="I7397" s="4">
        <v>1</v>
      </c>
      <c r="J7397" s="21">
        <v>661.5</v>
      </c>
      <c r="K7397" s="21">
        <v>0</v>
      </c>
      <c r="L7397" s="5">
        <v>0</v>
      </c>
      <c r="M7397" s="4"/>
      <c r="N7397" s="4"/>
      <c r="O7397" s="5"/>
      <c r="P7397" s="5"/>
      <c r="Q7397" s="21">
        <v>0</v>
      </c>
      <c r="R7397" s="21">
        <v>661.5</v>
      </c>
      <c r="S7397" s="5">
        <f t="shared" si="463"/>
        <v>40889.479203922878</v>
      </c>
      <c r="T7397" cm="1">
        <f t="array" ref="T7397">IF(OR(B7397="MAL ALIMI", B7397="ÜRETİM GİRİŞ"), MIN(I7397, MAX(0, I7397 + SUM(SUMIFS($I$1:I7396, $C$1:C7396, C7397, $B$1:B7396, {"MAL ALIMI","ÜRETİM GİRİŞ"})) - VLOOKUP(C7397, 'STOK RAPORU'!$C$2:$I$1000, 4, 0))), 0)</f>
        <v>0</v>
      </c>
      <c r="U7397" s="22">
        <f t="shared" si="460"/>
        <v>0</v>
      </c>
      <c r="V7397">
        <f t="shared" si="461"/>
        <v>0</v>
      </c>
      <c r="W7397" s="22">
        <f t="shared" si="462"/>
        <v>0</v>
      </c>
    </row>
    <row r="7398" spans="1:23" hidden="1" x14ac:dyDescent="0.25">
      <c r="A7398" s="3">
        <v>46170</v>
      </c>
      <c r="B7398" s="4" t="s">
        <v>946</v>
      </c>
      <c r="C7398" s="4"/>
      <c r="D7398" s="4"/>
      <c r="E7398" s="4" t="s">
        <v>921</v>
      </c>
      <c r="F7398" s="4"/>
      <c r="G7398" s="4" t="s">
        <v>946</v>
      </c>
      <c r="H7398" s="4" t="s">
        <v>380</v>
      </c>
      <c r="I7398" s="4">
        <v>1</v>
      </c>
      <c r="J7398" s="21">
        <v>272</v>
      </c>
      <c r="K7398" s="21">
        <v>0</v>
      </c>
      <c r="L7398" s="115">
        <v>272</v>
      </c>
      <c r="M7398" s="4"/>
      <c r="N7398" s="4"/>
      <c r="O7398" s="5"/>
      <c r="P7398" s="5"/>
      <c r="Q7398" s="21">
        <v>272</v>
      </c>
      <c r="R7398" s="21">
        <v>0</v>
      </c>
      <c r="S7398" s="5">
        <f t="shared" si="463"/>
        <v>41161.479203922878</v>
      </c>
      <c r="T7398" cm="1">
        <f t="array" ref="T7398">IF(OR(B7398="MAL ALIMI", B7398="ÜRETİM GİRİŞ"), MIN(I7398, MAX(0, I7398 + SUM(SUMIFS($I$1:I7397, $C$1:C7397, C7398, $B$1:B7397, {"MAL ALIMI","ÜRETİM GİRİŞ"})) - VLOOKUP(C7398, 'STOK RAPORU'!$C$2:$I$1000, 4, 0))), 0)</f>
        <v>0</v>
      </c>
      <c r="U7398" s="22">
        <f t="shared" si="460"/>
        <v>0</v>
      </c>
      <c r="V7398">
        <f t="shared" si="461"/>
        <v>0</v>
      </c>
      <c r="W7398" s="22">
        <f t="shared" si="462"/>
        <v>0</v>
      </c>
    </row>
    <row r="7399" spans="1:23" hidden="1" x14ac:dyDescent="0.25">
      <c r="A7399" s="3">
        <v>46171</v>
      </c>
      <c r="B7399" s="46" t="s">
        <v>334</v>
      </c>
      <c r="C7399" s="4" t="s">
        <v>229</v>
      </c>
      <c r="D7399" s="4"/>
      <c r="E7399" s="4"/>
      <c r="F7399" s="4" t="s">
        <v>3541</v>
      </c>
      <c r="G7399" s="4" t="s">
        <v>336</v>
      </c>
      <c r="H7399" s="4" t="s">
        <v>289</v>
      </c>
      <c r="I7399" s="4">
        <v>1</v>
      </c>
      <c r="J7399" s="21">
        <v>200</v>
      </c>
      <c r="K7399" s="21">
        <v>0</v>
      </c>
      <c r="L7399" s="5">
        <v>0</v>
      </c>
      <c r="M7399" s="4"/>
      <c r="N7399" s="4"/>
      <c r="O7399" s="5"/>
      <c r="P7399" s="5"/>
      <c r="Q7399" s="21">
        <v>200</v>
      </c>
      <c r="R7399" s="21">
        <v>0</v>
      </c>
      <c r="S7399" s="5">
        <f t="shared" si="463"/>
        <v>41361.479203922878</v>
      </c>
      <c r="T7399" cm="1">
        <f t="array" ref="T7399">IF(OR(B7399="MAL ALIMI", B7399="ÜRETİM GİRİŞ"), MIN(I7399, MAX(0, I7399 + SUM(SUMIFS($I$1:I7398, $C$1:C7398, C7399, $B$1:B7398, {"MAL ALIMI","ÜRETİM GİRİŞ"})) - VLOOKUP(C7399, 'STOK RAPORU'!$C$2:$I$1000, 4, 0))), 0)</f>
        <v>0</v>
      </c>
      <c r="U7399" s="22">
        <f t="shared" si="460"/>
        <v>0</v>
      </c>
      <c r="V7399">
        <f t="shared" si="461"/>
        <v>0</v>
      </c>
      <c r="W7399" s="22">
        <f t="shared" si="462"/>
        <v>0</v>
      </c>
    </row>
    <row r="7400" spans="1:23" hidden="1" x14ac:dyDescent="0.25">
      <c r="A7400" s="3">
        <v>46171</v>
      </c>
      <c r="B7400" s="46" t="s">
        <v>334</v>
      </c>
      <c r="C7400" s="4" t="s">
        <v>160</v>
      </c>
      <c r="D7400" s="4"/>
      <c r="E7400" s="4"/>
      <c r="F7400" s="4" t="s">
        <v>3542</v>
      </c>
      <c r="G7400" s="4" t="s">
        <v>336</v>
      </c>
      <c r="H7400" s="4" t="s">
        <v>289</v>
      </c>
      <c r="I7400" s="4">
        <v>1</v>
      </c>
      <c r="J7400" s="21">
        <v>250</v>
      </c>
      <c r="K7400" s="21">
        <v>0</v>
      </c>
      <c r="L7400" s="5">
        <v>0</v>
      </c>
      <c r="M7400" s="4"/>
      <c r="N7400" s="4"/>
      <c r="O7400" s="5"/>
      <c r="P7400" s="5"/>
      <c r="Q7400" s="21">
        <v>250</v>
      </c>
      <c r="R7400" s="21">
        <v>0</v>
      </c>
      <c r="S7400" s="5">
        <f t="shared" si="463"/>
        <v>41611.479203922878</v>
      </c>
      <c r="T7400" cm="1">
        <f t="array" ref="T7400">IF(OR(B7400="MAL ALIMI", B7400="ÜRETİM GİRİŞ"), MIN(I7400, MAX(0, I7400 + SUM(SUMIFS($I$1:I7399, $C$1:C7399, C7400, $B$1:B7399, {"MAL ALIMI","ÜRETİM GİRİŞ"})) - VLOOKUP(C7400, 'STOK RAPORU'!$C$2:$I$1000, 4, 0))), 0)</f>
        <v>0</v>
      </c>
      <c r="U7400" s="22">
        <f t="shared" si="460"/>
        <v>0</v>
      </c>
      <c r="V7400">
        <f t="shared" si="461"/>
        <v>0</v>
      </c>
      <c r="W7400" s="22">
        <f t="shared" si="462"/>
        <v>0</v>
      </c>
    </row>
    <row r="7401" spans="1:23" hidden="1" x14ac:dyDescent="0.25">
      <c r="A7401" s="3">
        <v>46171</v>
      </c>
      <c r="B7401" s="46" t="s">
        <v>334</v>
      </c>
      <c r="C7401" s="4" t="s">
        <v>161</v>
      </c>
      <c r="D7401" s="4"/>
      <c r="E7401" s="4"/>
      <c r="F7401" s="4" t="s">
        <v>3542</v>
      </c>
      <c r="G7401" s="4" t="s">
        <v>336</v>
      </c>
      <c r="H7401" s="4" t="s">
        <v>289</v>
      </c>
      <c r="I7401" s="4">
        <v>1</v>
      </c>
      <c r="J7401" s="21">
        <v>250</v>
      </c>
      <c r="K7401" s="21">
        <v>0</v>
      </c>
      <c r="L7401" s="5">
        <v>0</v>
      </c>
      <c r="M7401" s="4"/>
      <c r="N7401" s="4"/>
      <c r="O7401" s="5"/>
      <c r="P7401" s="5"/>
      <c r="Q7401" s="21">
        <v>250</v>
      </c>
      <c r="R7401" s="21">
        <v>0</v>
      </c>
      <c r="S7401" s="5">
        <f t="shared" si="463"/>
        <v>41861.479203922878</v>
      </c>
      <c r="T7401" cm="1">
        <f t="array" ref="T7401">IF(OR(B7401="MAL ALIMI", B7401="ÜRETİM GİRİŞ"), MIN(I7401, MAX(0, I7401 + SUM(SUMIFS($I$1:I7400, $C$1:C7400, C7401, $B$1:B7400, {"MAL ALIMI","ÜRETİM GİRİŞ"})) - VLOOKUP(C7401, 'STOK RAPORU'!$C$2:$I$1000, 4, 0))), 0)</f>
        <v>0</v>
      </c>
      <c r="U7401" s="22">
        <f t="shared" si="460"/>
        <v>0</v>
      </c>
      <c r="V7401">
        <f t="shared" si="461"/>
        <v>0</v>
      </c>
      <c r="W7401" s="22">
        <f t="shared" si="462"/>
        <v>0</v>
      </c>
    </row>
    <row r="7402" spans="1:23" hidden="1" x14ac:dyDescent="0.25">
      <c r="A7402" s="3">
        <v>46171</v>
      </c>
      <c r="B7402" s="46" t="s">
        <v>334</v>
      </c>
      <c r="C7402" s="4" t="s">
        <v>156</v>
      </c>
      <c r="D7402" s="4"/>
      <c r="E7402" s="4"/>
      <c r="F7402" s="4" t="s">
        <v>3543</v>
      </c>
      <c r="G7402" s="4" t="s">
        <v>336</v>
      </c>
      <c r="H7402" s="4" t="s">
        <v>289</v>
      </c>
      <c r="I7402" s="4">
        <v>1</v>
      </c>
      <c r="J7402" s="21">
        <v>200</v>
      </c>
      <c r="K7402" s="21">
        <v>0</v>
      </c>
      <c r="L7402" s="5">
        <v>0</v>
      </c>
      <c r="M7402" s="4"/>
      <c r="N7402" s="4"/>
      <c r="O7402" s="5"/>
      <c r="P7402" s="5"/>
      <c r="Q7402" s="21">
        <v>200</v>
      </c>
      <c r="R7402" s="21">
        <v>0</v>
      </c>
      <c r="S7402" s="5">
        <f t="shared" si="463"/>
        <v>42061.479203922878</v>
      </c>
      <c r="T7402" cm="1">
        <f t="array" ref="T7402">IF(OR(B7402="MAL ALIMI", B7402="ÜRETİM GİRİŞ"), MIN(I7402, MAX(0, I7402 + SUM(SUMIFS($I$1:I7401, $C$1:C7401, C7402, $B$1:B7401, {"MAL ALIMI","ÜRETİM GİRİŞ"})) - VLOOKUP(C7402, 'STOK RAPORU'!$C$2:$I$1000, 4, 0))), 0)</f>
        <v>0</v>
      </c>
      <c r="U7402" s="22">
        <f t="shared" si="460"/>
        <v>0</v>
      </c>
      <c r="V7402">
        <f t="shared" si="461"/>
        <v>0</v>
      </c>
      <c r="W7402" s="22">
        <f t="shared" si="462"/>
        <v>0</v>
      </c>
    </row>
    <row r="7403" spans="1:23" hidden="1" x14ac:dyDescent="0.25">
      <c r="A7403" s="3">
        <v>46171</v>
      </c>
      <c r="B7403" s="46" t="s">
        <v>334</v>
      </c>
      <c r="C7403" s="4" t="s">
        <v>158</v>
      </c>
      <c r="D7403" s="4"/>
      <c r="E7403" s="4"/>
      <c r="F7403" s="4" t="s">
        <v>3543</v>
      </c>
      <c r="G7403" s="4" t="s">
        <v>336</v>
      </c>
      <c r="H7403" s="4" t="s">
        <v>289</v>
      </c>
      <c r="I7403" s="4">
        <v>1</v>
      </c>
      <c r="J7403" s="21">
        <v>150</v>
      </c>
      <c r="K7403" s="21">
        <v>0</v>
      </c>
      <c r="L7403" s="5">
        <v>0</v>
      </c>
      <c r="M7403" s="4"/>
      <c r="N7403" s="4"/>
      <c r="O7403" s="5"/>
      <c r="P7403" s="5"/>
      <c r="Q7403" s="21">
        <v>150</v>
      </c>
      <c r="R7403" s="21">
        <v>0</v>
      </c>
      <c r="S7403" s="5">
        <f t="shared" si="463"/>
        <v>42211.479203922878</v>
      </c>
      <c r="T7403" cm="1">
        <f t="array" ref="T7403">IF(OR(B7403="MAL ALIMI", B7403="ÜRETİM GİRİŞ"), MIN(I7403, MAX(0, I7403 + SUM(SUMIFS($I$1:I7402, $C$1:C7402, C7403, $B$1:B7402, {"MAL ALIMI","ÜRETİM GİRİŞ"})) - VLOOKUP(C7403, 'STOK RAPORU'!$C$2:$I$1000, 4, 0))), 0)</f>
        <v>0</v>
      </c>
      <c r="U7403" s="22">
        <f t="shared" si="460"/>
        <v>0</v>
      </c>
      <c r="V7403">
        <f t="shared" si="461"/>
        <v>0</v>
      </c>
      <c r="W7403" s="22">
        <f t="shared" si="462"/>
        <v>0</v>
      </c>
    </row>
    <row r="7404" spans="1:23" hidden="1" x14ac:dyDescent="0.25">
      <c r="A7404" s="3">
        <v>46171</v>
      </c>
      <c r="B7404" s="46" t="s">
        <v>334</v>
      </c>
      <c r="C7404" s="4" t="s">
        <v>1023</v>
      </c>
      <c r="D7404" s="4"/>
      <c r="E7404" s="4"/>
      <c r="F7404" s="4" t="s">
        <v>3543</v>
      </c>
      <c r="G7404" s="4" t="s">
        <v>336</v>
      </c>
      <c r="H7404" s="4" t="s">
        <v>289</v>
      </c>
      <c r="I7404" s="4">
        <v>0.92307692307692313</v>
      </c>
      <c r="J7404" s="21">
        <v>65</v>
      </c>
      <c r="K7404" s="21">
        <v>0</v>
      </c>
      <c r="L7404" s="5">
        <v>0</v>
      </c>
      <c r="M7404" s="4"/>
      <c r="N7404" s="4"/>
      <c r="O7404" s="5"/>
      <c r="P7404" s="5"/>
      <c r="Q7404" s="21">
        <v>60</v>
      </c>
      <c r="R7404" s="21">
        <v>0</v>
      </c>
      <c r="S7404" s="5">
        <f t="shared" si="463"/>
        <v>42271.479203922878</v>
      </c>
      <c r="T7404" cm="1">
        <f t="array" ref="T7404">IF(OR(B7404="MAL ALIMI", B7404="ÜRETİM GİRİŞ"), MIN(I7404, MAX(0, I7404 + SUM(SUMIFS($I$1:I7403, $C$1:C7403, C7404, $B$1:B7403, {"MAL ALIMI","ÜRETİM GİRİŞ"})) - VLOOKUP(C7404, 'STOK RAPORU'!$C$2:$I$1000, 4, 0))), 0)</f>
        <v>0</v>
      </c>
      <c r="U7404" s="22">
        <f t="shared" si="460"/>
        <v>0</v>
      </c>
      <c r="V7404">
        <f t="shared" si="461"/>
        <v>0</v>
      </c>
      <c r="W7404" s="22">
        <f t="shared" si="462"/>
        <v>0</v>
      </c>
    </row>
    <row r="7405" spans="1:23" hidden="1" x14ac:dyDescent="0.25">
      <c r="A7405" s="3">
        <v>46171</v>
      </c>
      <c r="B7405" s="46" t="s">
        <v>334</v>
      </c>
      <c r="C7405" s="4" t="s">
        <v>137</v>
      </c>
      <c r="D7405" s="4"/>
      <c r="E7405" s="4"/>
      <c r="F7405" s="4" t="s">
        <v>3543</v>
      </c>
      <c r="G7405" s="4" t="s">
        <v>336</v>
      </c>
      <c r="H7405" s="4" t="s">
        <v>289</v>
      </c>
      <c r="I7405" s="4">
        <v>0.27777777777777779</v>
      </c>
      <c r="J7405" s="21">
        <v>180</v>
      </c>
      <c r="K7405" s="21">
        <v>0</v>
      </c>
      <c r="L7405" s="5">
        <v>0</v>
      </c>
      <c r="M7405" s="4"/>
      <c r="N7405" s="4"/>
      <c r="O7405" s="5"/>
      <c r="P7405" s="5"/>
      <c r="Q7405" s="21">
        <v>50</v>
      </c>
      <c r="R7405" s="21">
        <v>0</v>
      </c>
      <c r="S7405" s="5">
        <f t="shared" si="463"/>
        <v>42321.479203922878</v>
      </c>
      <c r="T7405" cm="1">
        <f t="array" ref="T7405">IF(OR(B7405="MAL ALIMI", B7405="ÜRETİM GİRİŞ"), MIN(I7405, MAX(0, I7405 + SUM(SUMIFS($I$1:I7404, $C$1:C7404, C7405, $B$1:B7404, {"MAL ALIMI","ÜRETİM GİRİŞ"})) - VLOOKUP(C7405, 'STOK RAPORU'!$C$2:$I$1000, 4, 0))), 0)</f>
        <v>0</v>
      </c>
      <c r="U7405" s="22">
        <f t="shared" si="460"/>
        <v>0</v>
      </c>
      <c r="V7405">
        <f t="shared" si="461"/>
        <v>0</v>
      </c>
      <c r="W7405" s="22">
        <f t="shared" si="462"/>
        <v>0</v>
      </c>
    </row>
    <row r="7406" spans="1:23" hidden="1" x14ac:dyDescent="0.25">
      <c r="A7406" s="3">
        <v>46171</v>
      </c>
      <c r="B7406" s="46" t="s">
        <v>334</v>
      </c>
      <c r="C7406" s="4" t="s">
        <v>202</v>
      </c>
      <c r="D7406" s="4"/>
      <c r="E7406" s="4"/>
      <c r="F7406" s="4" t="s">
        <v>3543</v>
      </c>
      <c r="G7406" s="4" t="s">
        <v>336</v>
      </c>
      <c r="H7406" s="4" t="s">
        <v>289</v>
      </c>
      <c r="I7406" s="4">
        <v>0.5</v>
      </c>
      <c r="J7406" s="21">
        <v>90</v>
      </c>
      <c r="K7406" s="21">
        <v>0</v>
      </c>
      <c r="L7406" s="5">
        <v>0</v>
      </c>
      <c r="M7406" s="4"/>
      <c r="N7406" s="4"/>
      <c r="O7406" s="5"/>
      <c r="P7406" s="5"/>
      <c r="Q7406" s="21">
        <v>45</v>
      </c>
      <c r="R7406" s="21">
        <v>0</v>
      </c>
      <c r="S7406" s="5">
        <f t="shared" si="463"/>
        <v>42366.479203922878</v>
      </c>
      <c r="T7406" cm="1">
        <f t="array" ref="T7406">IF(OR(B7406="MAL ALIMI", B7406="ÜRETİM GİRİŞ"), MIN(I7406, MAX(0, I7406 + SUM(SUMIFS($I$1:I7405, $C$1:C7405, C7406, $B$1:B7405, {"MAL ALIMI","ÜRETİM GİRİŞ"})) - VLOOKUP(C7406, 'STOK RAPORU'!$C$2:$I$1000, 4, 0))), 0)</f>
        <v>0</v>
      </c>
      <c r="U7406" s="22">
        <f t="shared" si="460"/>
        <v>0</v>
      </c>
      <c r="V7406">
        <f t="shared" si="461"/>
        <v>0</v>
      </c>
      <c r="W7406" s="22">
        <f t="shared" si="462"/>
        <v>0</v>
      </c>
    </row>
    <row r="7407" spans="1:23" hidden="1" x14ac:dyDescent="0.25">
      <c r="A7407" s="3">
        <v>46171</v>
      </c>
      <c r="B7407" s="46" t="s">
        <v>334</v>
      </c>
      <c r="C7407" s="4" t="s">
        <v>207</v>
      </c>
      <c r="D7407" s="4"/>
      <c r="E7407" s="4"/>
      <c r="F7407" s="4" t="s">
        <v>3543</v>
      </c>
      <c r="G7407" s="4" t="s">
        <v>336</v>
      </c>
      <c r="H7407" s="4" t="s">
        <v>289</v>
      </c>
      <c r="I7407" s="4">
        <v>0.5</v>
      </c>
      <c r="J7407" s="21">
        <v>140</v>
      </c>
      <c r="K7407" s="21">
        <v>0</v>
      </c>
      <c r="L7407" s="5">
        <v>0</v>
      </c>
      <c r="M7407" s="4"/>
      <c r="N7407" s="4"/>
      <c r="O7407" s="5"/>
      <c r="P7407" s="5"/>
      <c r="Q7407" s="21">
        <v>70</v>
      </c>
      <c r="R7407" s="21">
        <v>0</v>
      </c>
      <c r="S7407" s="5">
        <f t="shared" si="463"/>
        <v>42436.479203922878</v>
      </c>
      <c r="T7407" cm="1">
        <f t="array" ref="T7407">IF(OR(B7407="MAL ALIMI", B7407="ÜRETİM GİRİŞ"), MIN(I7407, MAX(0, I7407 + SUM(SUMIFS($I$1:I7406, $C$1:C7406, C7407, $B$1:B7406, {"MAL ALIMI","ÜRETİM GİRİŞ"})) - VLOOKUP(C7407, 'STOK RAPORU'!$C$2:$I$1000, 4, 0))), 0)</f>
        <v>0</v>
      </c>
      <c r="U7407" s="22">
        <f t="shared" si="460"/>
        <v>0</v>
      </c>
      <c r="V7407">
        <f t="shared" si="461"/>
        <v>0</v>
      </c>
      <c r="W7407" s="22">
        <f t="shared" si="462"/>
        <v>0</v>
      </c>
    </row>
    <row r="7408" spans="1:23" hidden="1" x14ac:dyDescent="0.25">
      <c r="A7408" s="3">
        <v>46171</v>
      </c>
      <c r="B7408" s="46" t="s">
        <v>334</v>
      </c>
      <c r="C7408" s="4" t="s">
        <v>467</v>
      </c>
      <c r="D7408" s="4"/>
      <c r="E7408" s="4"/>
      <c r="F7408" s="4" t="s">
        <v>3543</v>
      </c>
      <c r="G7408" s="4" t="s">
        <v>336</v>
      </c>
      <c r="H7408" s="4" t="s">
        <v>289</v>
      </c>
      <c r="I7408" s="4">
        <v>1</v>
      </c>
      <c r="J7408" s="21">
        <v>50</v>
      </c>
      <c r="K7408" s="21">
        <v>0</v>
      </c>
      <c r="L7408" s="5">
        <v>0</v>
      </c>
      <c r="M7408" s="4"/>
      <c r="N7408" s="4"/>
      <c r="O7408" s="5"/>
      <c r="P7408" s="5"/>
      <c r="Q7408" s="21">
        <v>50</v>
      </c>
      <c r="R7408" s="21">
        <v>0</v>
      </c>
      <c r="S7408" s="5">
        <f t="shared" si="463"/>
        <v>42486.479203922878</v>
      </c>
      <c r="T7408" cm="1">
        <f t="array" ref="T7408">IF(OR(B7408="MAL ALIMI", B7408="ÜRETİM GİRİŞ"), MIN(I7408, MAX(0, I7408 + SUM(SUMIFS($I$1:I7407, $C$1:C7407, C7408, $B$1:B7407, {"MAL ALIMI","ÜRETİM GİRİŞ"})) - VLOOKUP(C7408, 'STOK RAPORU'!$C$2:$I$1000, 4, 0))), 0)</f>
        <v>0</v>
      </c>
      <c r="U7408" s="22">
        <f t="shared" si="460"/>
        <v>0</v>
      </c>
      <c r="V7408">
        <f t="shared" si="461"/>
        <v>0</v>
      </c>
      <c r="W7408" s="22">
        <f t="shared" si="462"/>
        <v>0</v>
      </c>
    </row>
    <row r="7409" spans="1:23" hidden="1" x14ac:dyDescent="0.25">
      <c r="A7409" s="3">
        <v>46171</v>
      </c>
      <c r="B7409" s="46" t="s">
        <v>334</v>
      </c>
      <c r="C7409" s="4" t="s">
        <v>470</v>
      </c>
      <c r="D7409" s="4"/>
      <c r="E7409" s="4"/>
      <c r="F7409" s="4" t="s">
        <v>3543</v>
      </c>
      <c r="G7409" s="4" t="s">
        <v>336</v>
      </c>
      <c r="H7409" s="4" t="s">
        <v>289</v>
      </c>
      <c r="I7409" s="4">
        <v>1</v>
      </c>
      <c r="J7409" s="21">
        <v>50</v>
      </c>
      <c r="K7409" s="21">
        <v>0</v>
      </c>
      <c r="L7409" s="5">
        <v>0</v>
      </c>
      <c r="M7409" s="4"/>
      <c r="N7409" s="4"/>
      <c r="O7409" s="5"/>
      <c r="P7409" s="5"/>
      <c r="Q7409" s="21">
        <v>50</v>
      </c>
      <c r="R7409" s="21">
        <v>0</v>
      </c>
      <c r="S7409" s="5">
        <f t="shared" si="463"/>
        <v>42536.479203922878</v>
      </c>
      <c r="T7409" cm="1">
        <f t="array" ref="T7409">IF(OR(B7409="MAL ALIMI", B7409="ÜRETİM GİRİŞ"), MIN(I7409, MAX(0, I7409 + SUM(SUMIFS($I$1:I7408, $C$1:C7408, C7409, $B$1:B7408, {"MAL ALIMI","ÜRETİM GİRİŞ"})) - VLOOKUP(C7409, 'STOK RAPORU'!$C$2:$I$1000, 4, 0))), 0)</f>
        <v>0</v>
      </c>
      <c r="U7409" s="22">
        <f t="shared" si="460"/>
        <v>0</v>
      </c>
      <c r="V7409">
        <f t="shared" si="461"/>
        <v>0</v>
      </c>
      <c r="W7409" s="22">
        <f t="shared" si="462"/>
        <v>0</v>
      </c>
    </row>
    <row r="7410" spans="1:23" hidden="1" x14ac:dyDescent="0.25">
      <c r="A7410" s="3">
        <v>46171</v>
      </c>
      <c r="B7410" s="46" t="s">
        <v>334</v>
      </c>
      <c r="C7410" s="4" t="s">
        <v>2592</v>
      </c>
      <c r="D7410" s="4"/>
      <c r="E7410" s="4"/>
      <c r="F7410" s="4" t="s">
        <v>3543</v>
      </c>
      <c r="G7410" s="4" t="s">
        <v>336</v>
      </c>
      <c r="H7410" s="4" t="s">
        <v>289</v>
      </c>
      <c r="I7410" s="4">
        <v>1</v>
      </c>
      <c r="J7410" s="21">
        <v>125</v>
      </c>
      <c r="K7410" s="21">
        <v>0</v>
      </c>
      <c r="L7410" s="5">
        <v>0</v>
      </c>
      <c r="M7410" s="4"/>
      <c r="N7410" s="4"/>
      <c r="O7410" s="5"/>
      <c r="P7410" s="5"/>
      <c r="Q7410" s="21">
        <v>125</v>
      </c>
      <c r="R7410" s="21">
        <v>0</v>
      </c>
      <c r="S7410" s="5">
        <f t="shared" si="463"/>
        <v>42661.479203922878</v>
      </c>
      <c r="T7410" cm="1">
        <f t="array" ref="T7410">IF(OR(B7410="MAL ALIMI", B7410="ÜRETİM GİRİŞ"), MIN(I7410, MAX(0, I7410 + SUM(SUMIFS($I$1:I7409, $C$1:C7409, C7410, $B$1:B7409, {"MAL ALIMI","ÜRETİM GİRİŞ"})) - VLOOKUP(C7410, 'STOK RAPORU'!$C$2:$I$1000, 4, 0))), 0)</f>
        <v>0</v>
      </c>
      <c r="U7410" s="22">
        <f t="shared" ref="U7410:U7473" si="464">T7410*J7410</f>
        <v>0</v>
      </c>
      <c r="V7410">
        <f t="shared" ref="V7410:V7473" si="465">IF(OR(B7410="MAL ALIMI", B7410="ÜRETİM GİRİŞ"), I7410 * J7410, 0)</f>
        <v>0</v>
      </c>
      <c r="W7410" s="22">
        <f t="shared" ref="W7410:W7473" si="466">V7410-U7410</f>
        <v>0</v>
      </c>
    </row>
    <row r="7411" spans="1:23" hidden="1" x14ac:dyDescent="0.25">
      <c r="A7411" s="3">
        <v>46171</v>
      </c>
      <c r="B7411" s="46" t="s">
        <v>334</v>
      </c>
      <c r="C7411" s="4" t="s">
        <v>2590</v>
      </c>
      <c r="D7411" s="4"/>
      <c r="E7411" s="4"/>
      <c r="F7411" s="4" t="s">
        <v>3543</v>
      </c>
      <c r="G7411" s="4" t="s">
        <v>336</v>
      </c>
      <c r="H7411" s="4" t="s">
        <v>289</v>
      </c>
      <c r="I7411" s="4">
        <v>1</v>
      </c>
      <c r="J7411" s="21">
        <v>125</v>
      </c>
      <c r="K7411" s="21">
        <v>0</v>
      </c>
      <c r="L7411" s="5">
        <v>0</v>
      </c>
      <c r="M7411" s="4"/>
      <c r="N7411" s="4"/>
      <c r="O7411" s="5"/>
      <c r="P7411" s="5"/>
      <c r="Q7411" s="21">
        <v>125</v>
      </c>
      <c r="R7411" s="21">
        <v>0</v>
      </c>
      <c r="S7411" s="5">
        <f t="shared" si="463"/>
        <v>42786.479203922878</v>
      </c>
      <c r="T7411" cm="1">
        <f t="array" ref="T7411">IF(OR(B7411="MAL ALIMI", B7411="ÜRETİM GİRİŞ"), MIN(I7411, MAX(0, I7411 + SUM(SUMIFS($I$1:I7410, $C$1:C7410, C7411, $B$1:B7410, {"MAL ALIMI","ÜRETİM GİRİŞ"})) - VLOOKUP(C7411, 'STOK RAPORU'!$C$2:$I$1000, 4, 0))), 0)</f>
        <v>0</v>
      </c>
      <c r="U7411" s="22">
        <f t="shared" si="464"/>
        <v>0</v>
      </c>
      <c r="V7411">
        <f t="shared" si="465"/>
        <v>0</v>
      </c>
      <c r="W7411" s="22">
        <f t="shared" si="466"/>
        <v>0</v>
      </c>
    </row>
    <row r="7412" spans="1:23" hidden="1" x14ac:dyDescent="0.25">
      <c r="A7412" s="3">
        <v>46171</v>
      </c>
      <c r="B7412" s="46" t="s">
        <v>334</v>
      </c>
      <c r="C7412" s="4" t="s">
        <v>1126</v>
      </c>
      <c r="D7412" s="4"/>
      <c r="E7412" s="4"/>
      <c r="F7412" s="4" t="s">
        <v>3543</v>
      </c>
      <c r="G7412" s="4" t="s">
        <v>336</v>
      </c>
      <c r="H7412" s="4" t="s">
        <v>289</v>
      </c>
      <c r="I7412" s="4">
        <v>1</v>
      </c>
      <c r="J7412" s="21">
        <v>290</v>
      </c>
      <c r="K7412" s="21">
        <v>0</v>
      </c>
      <c r="L7412" s="5">
        <v>0</v>
      </c>
      <c r="M7412" s="4"/>
      <c r="N7412" s="4"/>
      <c r="O7412" s="5"/>
      <c r="P7412" s="5"/>
      <c r="Q7412" s="21">
        <v>290</v>
      </c>
      <c r="R7412" s="21">
        <v>0</v>
      </c>
      <c r="S7412" s="5">
        <f t="shared" si="463"/>
        <v>43076.479203922878</v>
      </c>
      <c r="T7412" cm="1">
        <f t="array" ref="T7412">IF(OR(B7412="MAL ALIMI", B7412="ÜRETİM GİRİŞ"), MIN(I7412, MAX(0, I7412 + SUM(SUMIFS($I$1:I7411, $C$1:C7411, C7412, $B$1:B7411, {"MAL ALIMI","ÜRETİM GİRİŞ"})) - VLOOKUP(C7412, 'STOK RAPORU'!$C$2:$I$1000, 4, 0))), 0)</f>
        <v>0</v>
      </c>
      <c r="U7412" s="22">
        <f t="shared" si="464"/>
        <v>0</v>
      </c>
      <c r="V7412">
        <f t="shared" si="465"/>
        <v>0</v>
      </c>
      <c r="W7412" s="22">
        <f t="shared" si="466"/>
        <v>0</v>
      </c>
    </row>
    <row r="7413" spans="1:23" hidden="1" x14ac:dyDescent="0.25">
      <c r="A7413" s="3">
        <v>46171</v>
      </c>
      <c r="B7413" s="46" t="s">
        <v>334</v>
      </c>
      <c r="C7413" s="4" t="s">
        <v>131</v>
      </c>
      <c r="D7413" s="4"/>
      <c r="E7413" s="4"/>
      <c r="F7413" s="4" t="s">
        <v>3543</v>
      </c>
      <c r="G7413" s="4" t="s">
        <v>336</v>
      </c>
      <c r="H7413" s="4" t="s">
        <v>289</v>
      </c>
      <c r="I7413" s="4">
        <v>7.0000000000000007E-2</v>
      </c>
      <c r="J7413" s="21">
        <v>400</v>
      </c>
      <c r="K7413" s="21">
        <v>0</v>
      </c>
      <c r="L7413" s="5">
        <v>0</v>
      </c>
      <c r="M7413" s="4"/>
      <c r="N7413" s="4"/>
      <c r="O7413" s="5"/>
      <c r="P7413" s="5"/>
      <c r="Q7413" s="21">
        <v>28.000000000000004</v>
      </c>
      <c r="R7413" s="21">
        <v>0</v>
      </c>
      <c r="S7413" s="5">
        <f t="shared" si="463"/>
        <v>43104.479203922878</v>
      </c>
      <c r="T7413" cm="1">
        <f t="array" ref="T7413">IF(OR(B7413="MAL ALIMI", B7413="ÜRETİM GİRİŞ"), MIN(I7413, MAX(0, I7413 + SUM(SUMIFS($I$1:I7412, $C$1:C7412, C7413, $B$1:B7412, {"MAL ALIMI","ÜRETİM GİRİŞ"})) - VLOOKUP(C7413, 'STOK RAPORU'!$C$2:$I$1000, 4, 0))), 0)</f>
        <v>0</v>
      </c>
      <c r="U7413" s="22">
        <f t="shared" si="464"/>
        <v>0</v>
      </c>
      <c r="V7413">
        <f t="shared" si="465"/>
        <v>0</v>
      </c>
      <c r="W7413" s="22">
        <f t="shared" si="466"/>
        <v>0</v>
      </c>
    </row>
    <row r="7414" spans="1:23" hidden="1" x14ac:dyDescent="0.25">
      <c r="A7414" s="3">
        <v>46171</v>
      </c>
      <c r="B7414" s="46" t="s">
        <v>334</v>
      </c>
      <c r="C7414" s="4" t="s">
        <v>463</v>
      </c>
      <c r="D7414" s="4"/>
      <c r="E7414" s="4"/>
      <c r="F7414" s="4" t="s">
        <v>3543</v>
      </c>
      <c r="G7414" s="4" t="s">
        <v>336</v>
      </c>
      <c r="H7414" s="4" t="s">
        <v>289</v>
      </c>
      <c r="I7414" s="4">
        <v>5.5E-2</v>
      </c>
      <c r="J7414" s="21">
        <v>400</v>
      </c>
      <c r="K7414" s="21">
        <v>0</v>
      </c>
      <c r="L7414" s="5">
        <v>0</v>
      </c>
      <c r="M7414" s="4"/>
      <c r="N7414" s="4"/>
      <c r="O7414" s="5"/>
      <c r="P7414" s="5"/>
      <c r="Q7414" s="21">
        <v>22</v>
      </c>
      <c r="R7414" s="21">
        <v>0</v>
      </c>
      <c r="S7414" s="5">
        <f t="shared" si="463"/>
        <v>43126.479203922878</v>
      </c>
      <c r="T7414" cm="1">
        <f t="array" ref="T7414">IF(OR(B7414="MAL ALIMI", B7414="ÜRETİM GİRİŞ"), MIN(I7414, MAX(0, I7414 + SUM(SUMIFS($I$1:I7413, $C$1:C7413, C7414, $B$1:B7413, {"MAL ALIMI","ÜRETİM GİRİŞ"})) - VLOOKUP(C7414, 'STOK RAPORU'!$C$2:$I$1000, 4, 0))), 0)</f>
        <v>0</v>
      </c>
      <c r="U7414" s="22">
        <f t="shared" si="464"/>
        <v>0</v>
      </c>
      <c r="V7414">
        <f t="shared" si="465"/>
        <v>0</v>
      </c>
      <c r="W7414" s="22">
        <f t="shared" si="466"/>
        <v>0</v>
      </c>
    </row>
    <row r="7415" spans="1:23" hidden="1" x14ac:dyDescent="0.25">
      <c r="A7415" s="3">
        <v>46171</v>
      </c>
      <c r="B7415" s="46" t="s">
        <v>334</v>
      </c>
      <c r="C7415" s="4" t="s">
        <v>126</v>
      </c>
      <c r="D7415" s="4"/>
      <c r="E7415" s="4"/>
      <c r="F7415" s="4" t="s">
        <v>3543</v>
      </c>
      <c r="G7415" s="4" t="s">
        <v>336</v>
      </c>
      <c r="H7415" s="4" t="s">
        <v>289</v>
      </c>
      <c r="I7415" s="4">
        <v>5.6923076923076923E-2</v>
      </c>
      <c r="J7415" s="21">
        <v>650</v>
      </c>
      <c r="K7415" s="21">
        <v>0</v>
      </c>
      <c r="L7415" s="5">
        <v>0</v>
      </c>
      <c r="M7415" s="4"/>
      <c r="N7415" s="4"/>
      <c r="O7415" s="5"/>
      <c r="P7415" s="5"/>
      <c r="Q7415" s="21">
        <v>37</v>
      </c>
      <c r="R7415" s="21">
        <v>0</v>
      </c>
      <c r="S7415" s="5">
        <f t="shared" si="463"/>
        <v>43163.479203922878</v>
      </c>
      <c r="T7415" cm="1">
        <f t="array" ref="T7415">IF(OR(B7415="MAL ALIMI", B7415="ÜRETİM GİRİŞ"), MIN(I7415, MAX(0, I7415 + SUM(SUMIFS($I$1:I7414, $C$1:C7414, C7415, $B$1:B7414, {"MAL ALIMI","ÜRETİM GİRİŞ"})) - VLOOKUP(C7415, 'STOK RAPORU'!$C$2:$I$1000, 4, 0))), 0)</f>
        <v>0</v>
      </c>
      <c r="U7415" s="22">
        <f t="shared" si="464"/>
        <v>0</v>
      </c>
      <c r="V7415">
        <f t="shared" si="465"/>
        <v>0</v>
      </c>
      <c r="W7415" s="22">
        <f t="shared" si="466"/>
        <v>0</v>
      </c>
    </row>
    <row r="7416" spans="1:23" hidden="1" x14ac:dyDescent="0.25">
      <c r="A7416" s="3">
        <v>46171</v>
      </c>
      <c r="B7416" s="46" t="s">
        <v>334</v>
      </c>
      <c r="C7416" s="4" t="s">
        <v>91</v>
      </c>
      <c r="D7416" s="4"/>
      <c r="E7416" s="4"/>
      <c r="F7416" s="4" t="s">
        <v>3543</v>
      </c>
      <c r="G7416" s="4" t="s">
        <v>336</v>
      </c>
      <c r="H7416" s="4" t="s">
        <v>289</v>
      </c>
      <c r="I7416" s="4">
        <v>0.04</v>
      </c>
      <c r="J7416" s="21">
        <v>850</v>
      </c>
      <c r="K7416" s="21">
        <v>0</v>
      </c>
      <c r="L7416" s="5">
        <v>0</v>
      </c>
      <c r="M7416" s="4"/>
      <c r="N7416" s="4"/>
      <c r="O7416" s="5"/>
      <c r="P7416" s="5"/>
      <c r="Q7416" s="21">
        <v>34</v>
      </c>
      <c r="R7416" s="21">
        <v>0</v>
      </c>
      <c r="S7416" s="5">
        <f t="shared" si="463"/>
        <v>43197.479203922878</v>
      </c>
      <c r="T7416" cm="1">
        <f t="array" ref="T7416">IF(OR(B7416="MAL ALIMI", B7416="ÜRETİM GİRİŞ"), MIN(I7416, MAX(0, I7416 + SUM(SUMIFS($I$1:I7415, $C$1:C7415, C7416, $B$1:B7415, {"MAL ALIMI","ÜRETİM GİRİŞ"})) - VLOOKUP(C7416, 'STOK RAPORU'!$C$2:$I$1000, 4, 0))), 0)</f>
        <v>0</v>
      </c>
      <c r="U7416" s="22">
        <f t="shared" si="464"/>
        <v>0</v>
      </c>
      <c r="V7416">
        <f t="shared" si="465"/>
        <v>0</v>
      </c>
      <c r="W7416" s="22">
        <f t="shared" si="466"/>
        <v>0</v>
      </c>
    </row>
    <row r="7417" spans="1:23" hidden="1" x14ac:dyDescent="0.25">
      <c r="A7417" s="3">
        <v>46171</v>
      </c>
      <c r="B7417" s="46" t="s">
        <v>334</v>
      </c>
      <c r="C7417" s="4" t="s">
        <v>130</v>
      </c>
      <c r="D7417" s="4"/>
      <c r="E7417" s="4"/>
      <c r="F7417" s="4" t="s">
        <v>3543</v>
      </c>
      <c r="G7417" s="4" t="s">
        <v>336</v>
      </c>
      <c r="H7417" s="4" t="s">
        <v>289</v>
      </c>
      <c r="I7417" s="4">
        <v>3.111111111111111E-2</v>
      </c>
      <c r="J7417" s="21">
        <v>450</v>
      </c>
      <c r="K7417" s="21">
        <v>0</v>
      </c>
      <c r="L7417" s="5">
        <v>0</v>
      </c>
      <c r="M7417" s="4"/>
      <c r="N7417" s="4"/>
      <c r="O7417" s="5"/>
      <c r="P7417" s="5"/>
      <c r="Q7417" s="21">
        <v>14</v>
      </c>
      <c r="R7417" s="21">
        <v>0</v>
      </c>
      <c r="S7417" s="5">
        <f t="shared" si="463"/>
        <v>43211.479203922878</v>
      </c>
      <c r="T7417" cm="1">
        <f t="array" ref="T7417">IF(OR(B7417="MAL ALIMI", B7417="ÜRETİM GİRİŞ"), MIN(I7417, MAX(0, I7417 + SUM(SUMIFS($I$1:I7416, $C$1:C7416, C7417, $B$1:B7416, {"MAL ALIMI","ÜRETİM GİRİŞ"})) - VLOOKUP(C7417, 'STOK RAPORU'!$C$2:$I$1000, 4, 0))), 0)</f>
        <v>0</v>
      </c>
      <c r="U7417" s="22">
        <f t="shared" si="464"/>
        <v>0</v>
      </c>
      <c r="V7417">
        <f t="shared" si="465"/>
        <v>0</v>
      </c>
      <c r="W7417" s="22">
        <f t="shared" si="466"/>
        <v>0</v>
      </c>
    </row>
    <row r="7418" spans="1:23" hidden="1" x14ac:dyDescent="0.25">
      <c r="A7418" s="3">
        <v>46171</v>
      </c>
      <c r="B7418" s="46" t="s">
        <v>334</v>
      </c>
      <c r="C7418" s="4" t="s">
        <v>1024</v>
      </c>
      <c r="D7418" s="4"/>
      <c r="E7418" s="4"/>
      <c r="F7418" s="4" t="s">
        <v>3543</v>
      </c>
      <c r="G7418" s="4" t="s">
        <v>336</v>
      </c>
      <c r="H7418" s="4" t="s">
        <v>289</v>
      </c>
      <c r="I7418" s="4">
        <v>0.58461538461538465</v>
      </c>
      <c r="J7418" s="21">
        <v>65</v>
      </c>
      <c r="K7418" s="21">
        <v>0</v>
      </c>
      <c r="L7418" s="5">
        <v>0</v>
      </c>
      <c r="M7418" s="4"/>
      <c r="N7418" s="4"/>
      <c r="O7418" s="5"/>
      <c r="P7418" s="5"/>
      <c r="Q7418" s="21">
        <v>38</v>
      </c>
      <c r="R7418" s="21">
        <v>0</v>
      </c>
      <c r="S7418" s="5">
        <f t="shared" si="463"/>
        <v>43249.479203922878</v>
      </c>
      <c r="T7418" cm="1">
        <f t="array" ref="T7418">IF(OR(B7418="MAL ALIMI", B7418="ÜRETİM GİRİŞ"), MIN(I7418, MAX(0, I7418 + SUM(SUMIFS($I$1:I7417, $C$1:C7417, C7418, $B$1:B7417, {"MAL ALIMI","ÜRETİM GİRİŞ"})) - VLOOKUP(C7418, 'STOK RAPORU'!$C$2:$I$1000, 4, 0))), 0)</f>
        <v>0</v>
      </c>
      <c r="U7418" s="22">
        <f t="shared" si="464"/>
        <v>0</v>
      </c>
      <c r="V7418">
        <f t="shared" si="465"/>
        <v>0</v>
      </c>
      <c r="W7418" s="22">
        <f t="shared" si="466"/>
        <v>0</v>
      </c>
    </row>
    <row r="7419" spans="1:23" hidden="1" x14ac:dyDescent="0.25">
      <c r="A7419" s="3">
        <v>46171</v>
      </c>
      <c r="B7419" s="46" t="s">
        <v>334</v>
      </c>
      <c r="C7419" s="4" t="s">
        <v>493</v>
      </c>
      <c r="D7419" s="4"/>
      <c r="E7419" s="4"/>
      <c r="F7419" s="4" t="s">
        <v>3544</v>
      </c>
      <c r="G7419" s="4" t="s">
        <v>336</v>
      </c>
      <c r="H7419" s="4" t="s">
        <v>289</v>
      </c>
      <c r="I7419" s="4">
        <v>1</v>
      </c>
      <c r="J7419" s="21">
        <v>230</v>
      </c>
      <c r="K7419" s="21">
        <v>0</v>
      </c>
      <c r="L7419" s="5">
        <v>0</v>
      </c>
      <c r="M7419" s="4"/>
      <c r="N7419" s="4"/>
      <c r="O7419" s="5"/>
      <c r="P7419" s="5"/>
      <c r="Q7419" s="21">
        <v>230</v>
      </c>
      <c r="R7419" s="21">
        <v>0</v>
      </c>
      <c r="S7419" s="5">
        <f t="shared" si="463"/>
        <v>43479.479203922878</v>
      </c>
      <c r="T7419" cm="1">
        <f t="array" ref="T7419">IF(OR(B7419="MAL ALIMI", B7419="ÜRETİM GİRİŞ"), MIN(I7419, MAX(0, I7419 + SUM(SUMIFS($I$1:I7418, $C$1:C7418, C7419, $B$1:B7418, {"MAL ALIMI","ÜRETİM GİRİŞ"})) - VLOOKUP(C7419, 'STOK RAPORU'!$C$2:$I$1000, 4, 0))), 0)</f>
        <v>0</v>
      </c>
      <c r="U7419" s="22">
        <f t="shared" si="464"/>
        <v>0</v>
      </c>
      <c r="V7419">
        <f t="shared" si="465"/>
        <v>0</v>
      </c>
      <c r="W7419" s="22">
        <f t="shared" si="466"/>
        <v>0</v>
      </c>
    </row>
    <row r="7420" spans="1:23" hidden="1" x14ac:dyDescent="0.25">
      <c r="A7420" s="3">
        <v>46171</v>
      </c>
      <c r="B7420" s="46" t="s">
        <v>334</v>
      </c>
      <c r="C7420" s="4" t="s">
        <v>1126</v>
      </c>
      <c r="D7420" s="4"/>
      <c r="E7420" s="4"/>
      <c r="F7420" s="4" t="s">
        <v>3544</v>
      </c>
      <c r="G7420" s="4" t="s">
        <v>336</v>
      </c>
      <c r="H7420" s="4" t="s">
        <v>289</v>
      </c>
      <c r="I7420" s="4">
        <v>1</v>
      </c>
      <c r="J7420" s="21">
        <v>290</v>
      </c>
      <c r="K7420" s="21">
        <v>0</v>
      </c>
      <c r="L7420" s="5">
        <v>0</v>
      </c>
      <c r="M7420" s="4"/>
      <c r="N7420" s="4"/>
      <c r="O7420" s="5"/>
      <c r="P7420" s="5"/>
      <c r="Q7420" s="21">
        <v>290</v>
      </c>
      <c r="R7420" s="21">
        <v>0</v>
      </c>
      <c r="S7420" s="5">
        <f t="shared" si="463"/>
        <v>43769.479203922878</v>
      </c>
      <c r="T7420" cm="1">
        <f t="array" ref="T7420">IF(OR(B7420="MAL ALIMI", B7420="ÜRETİM GİRİŞ"), MIN(I7420, MAX(0, I7420 + SUM(SUMIFS($I$1:I7419, $C$1:C7419, C7420, $B$1:B7419, {"MAL ALIMI","ÜRETİM GİRİŞ"})) - VLOOKUP(C7420, 'STOK RAPORU'!$C$2:$I$1000, 4, 0))), 0)</f>
        <v>0</v>
      </c>
      <c r="U7420" s="22">
        <f t="shared" si="464"/>
        <v>0</v>
      </c>
      <c r="V7420">
        <f t="shared" si="465"/>
        <v>0</v>
      </c>
      <c r="W7420" s="22">
        <f t="shared" si="466"/>
        <v>0</v>
      </c>
    </row>
    <row r="7421" spans="1:23" hidden="1" x14ac:dyDescent="0.25">
      <c r="A7421" s="3">
        <v>46171</v>
      </c>
      <c r="B7421" s="46" t="s">
        <v>334</v>
      </c>
      <c r="C7421" s="4" t="s">
        <v>496</v>
      </c>
      <c r="D7421" s="4"/>
      <c r="E7421" s="4"/>
      <c r="F7421" s="4" t="s">
        <v>3544</v>
      </c>
      <c r="G7421" s="4" t="s">
        <v>336</v>
      </c>
      <c r="H7421" s="4" t="s">
        <v>289</v>
      </c>
      <c r="I7421" s="4">
        <v>1</v>
      </c>
      <c r="J7421" s="21">
        <v>149</v>
      </c>
      <c r="K7421" s="21">
        <v>0</v>
      </c>
      <c r="L7421" s="5">
        <v>0</v>
      </c>
      <c r="M7421" s="4"/>
      <c r="N7421" s="4"/>
      <c r="O7421" s="5"/>
      <c r="P7421" s="5"/>
      <c r="Q7421" s="21">
        <v>149</v>
      </c>
      <c r="R7421" s="21">
        <v>0</v>
      </c>
      <c r="S7421" s="5">
        <f t="shared" si="463"/>
        <v>43918.479203922878</v>
      </c>
      <c r="T7421" cm="1">
        <f t="array" ref="T7421">IF(OR(B7421="MAL ALIMI", B7421="ÜRETİM GİRİŞ"), MIN(I7421, MAX(0, I7421 + SUM(SUMIFS($I$1:I7420, $C$1:C7420, C7421, $B$1:B7420, {"MAL ALIMI","ÜRETİM GİRİŞ"})) - VLOOKUP(C7421, 'STOK RAPORU'!$C$2:$I$1000, 4, 0))), 0)</f>
        <v>0</v>
      </c>
      <c r="U7421" s="22">
        <f t="shared" si="464"/>
        <v>0</v>
      </c>
      <c r="V7421">
        <f t="shared" si="465"/>
        <v>0</v>
      </c>
      <c r="W7421" s="22">
        <f t="shared" si="466"/>
        <v>0</v>
      </c>
    </row>
    <row r="7422" spans="1:23" hidden="1" x14ac:dyDescent="0.25">
      <c r="A7422" s="3">
        <v>46171</v>
      </c>
      <c r="B7422" s="46" t="s">
        <v>334</v>
      </c>
      <c r="C7422" s="4" t="s">
        <v>468</v>
      </c>
      <c r="D7422" s="4"/>
      <c r="E7422" s="4"/>
      <c r="F7422" s="4" t="s">
        <v>3544</v>
      </c>
      <c r="G7422" s="4" t="s">
        <v>336</v>
      </c>
      <c r="H7422" s="4" t="s">
        <v>289</v>
      </c>
      <c r="I7422" s="4">
        <v>1</v>
      </c>
      <c r="J7422" s="21">
        <v>50</v>
      </c>
      <c r="K7422" s="21">
        <v>0</v>
      </c>
      <c r="L7422" s="5">
        <v>0</v>
      </c>
      <c r="M7422" s="4"/>
      <c r="N7422" s="4"/>
      <c r="O7422" s="5"/>
      <c r="P7422" s="5"/>
      <c r="Q7422" s="21">
        <v>50</v>
      </c>
      <c r="R7422" s="21">
        <v>0</v>
      </c>
      <c r="S7422" s="5">
        <f t="shared" si="463"/>
        <v>43968.479203922878</v>
      </c>
      <c r="T7422" cm="1">
        <f t="array" ref="T7422">IF(OR(B7422="MAL ALIMI", B7422="ÜRETİM GİRİŞ"), MIN(I7422, MAX(0, I7422 + SUM(SUMIFS($I$1:I7421, $C$1:C7421, C7422, $B$1:B7421, {"MAL ALIMI","ÜRETİM GİRİŞ"})) - VLOOKUP(C7422, 'STOK RAPORU'!$C$2:$I$1000, 4, 0))), 0)</f>
        <v>0</v>
      </c>
      <c r="U7422" s="22">
        <f t="shared" si="464"/>
        <v>0</v>
      </c>
      <c r="V7422">
        <f t="shared" si="465"/>
        <v>0</v>
      </c>
      <c r="W7422" s="22">
        <f t="shared" si="466"/>
        <v>0</v>
      </c>
    </row>
    <row r="7423" spans="1:23" hidden="1" x14ac:dyDescent="0.25">
      <c r="A7423" s="3">
        <v>46171</v>
      </c>
      <c r="B7423" s="46" t="s">
        <v>334</v>
      </c>
      <c r="C7423" s="4" t="s">
        <v>470</v>
      </c>
      <c r="D7423" s="4"/>
      <c r="E7423" s="4"/>
      <c r="F7423" s="4" t="s">
        <v>3544</v>
      </c>
      <c r="G7423" s="4" t="s">
        <v>336</v>
      </c>
      <c r="H7423" s="4" t="s">
        <v>289</v>
      </c>
      <c r="I7423" s="4">
        <v>1</v>
      </c>
      <c r="J7423" s="21">
        <v>50</v>
      </c>
      <c r="K7423" s="21">
        <v>0</v>
      </c>
      <c r="L7423" s="5">
        <v>0</v>
      </c>
      <c r="M7423" s="4"/>
      <c r="N7423" s="4"/>
      <c r="O7423" s="5"/>
      <c r="P7423" s="5"/>
      <c r="Q7423" s="21">
        <v>50</v>
      </c>
      <c r="R7423" s="21">
        <v>0</v>
      </c>
      <c r="S7423" s="5">
        <f t="shared" si="463"/>
        <v>44018.479203922878</v>
      </c>
      <c r="T7423" cm="1">
        <f t="array" ref="T7423">IF(OR(B7423="MAL ALIMI", B7423="ÜRETİM GİRİŞ"), MIN(I7423, MAX(0, I7423 + SUM(SUMIFS($I$1:I7422, $C$1:C7422, C7423, $B$1:B7422, {"MAL ALIMI","ÜRETİM GİRİŞ"})) - VLOOKUP(C7423, 'STOK RAPORU'!$C$2:$I$1000, 4, 0))), 0)</f>
        <v>0</v>
      </c>
      <c r="U7423" s="22">
        <f t="shared" si="464"/>
        <v>0</v>
      </c>
      <c r="V7423">
        <f t="shared" si="465"/>
        <v>0</v>
      </c>
      <c r="W7423" s="22">
        <f t="shared" si="466"/>
        <v>0</v>
      </c>
    </row>
    <row r="7424" spans="1:23" hidden="1" x14ac:dyDescent="0.25">
      <c r="A7424" s="3">
        <v>46171</v>
      </c>
      <c r="B7424" s="46" t="s">
        <v>334</v>
      </c>
      <c r="C7424" s="4" t="s">
        <v>207</v>
      </c>
      <c r="D7424" s="4"/>
      <c r="E7424" s="4"/>
      <c r="F7424" s="4" t="s">
        <v>3544</v>
      </c>
      <c r="G7424" s="4" t="s">
        <v>336</v>
      </c>
      <c r="H7424" s="4" t="s">
        <v>289</v>
      </c>
      <c r="I7424" s="4">
        <v>0.5</v>
      </c>
      <c r="J7424" s="21">
        <v>140</v>
      </c>
      <c r="K7424" s="21">
        <v>0</v>
      </c>
      <c r="L7424" s="5">
        <v>0</v>
      </c>
      <c r="M7424" s="4"/>
      <c r="N7424" s="4"/>
      <c r="O7424" s="5"/>
      <c r="P7424" s="5"/>
      <c r="Q7424" s="21">
        <v>70</v>
      </c>
      <c r="R7424" s="21">
        <v>0</v>
      </c>
      <c r="S7424" s="5">
        <f t="shared" si="463"/>
        <v>44088.479203922878</v>
      </c>
      <c r="T7424" cm="1">
        <f t="array" ref="T7424">IF(OR(B7424="MAL ALIMI", B7424="ÜRETİM GİRİŞ"), MIN(I7424, MAX(0, I7424 + SUM(SUMIFS($I$1:I7423, $C$1:C7423, C7424, $B$1:B7423, {"MAL ALIMI","ÜRETİM GİRİŞ"})) - VLOOKUP(C7424, 'STOK RAPORU'!$C$2:$I$1000, 4, 0))), 0)</f>
        <v>0</v>
      </c>
      <c r="U7424" s="22">
        <f t="shared" si="464"/>
        <v>0</v>
      </c>
      <c r="V7424">
        <f t="shared" si="465"/>
        <v>0</v>
      </c>
      <c r="W7424" s="22">
        <f t="shared" si="466"/>
        <v>0</v>
      </c>
    </row>
    <row r="7425" spans="1:23" hidden="1" x14ac:dyDescent="0.25">
      <c r="A7425" s="3">
        <v>46171</v>
      </c>
      <c r="B7425" s="46" t="s">
        <v>334</v>
      </c>
      <c r="C7425" s="4" t="s">
        <v>202</v>
      </c>
      <c r="D7425" s="4"/>
      <c r="E7425" s="4"/>
      <c r="F7425" s="4" t="s">
        <v>3544</v>
      </c>
      <c r="G7425" s="4" t="s">
        <v>336</v>
      </c>
      <c r="H7425" s="4" t="s">
        <v>289</v>
      </c>
      <c r="I7425" s="4">
        <v>0.5</v>
      </c>
      <c r="J7425" s="21">
        <v>90</v>
      </c>
      <c r="K7425" s="21">
        <v>0</v>
      </c>
      <c r="L7425" s="5">
        <v>0</v>
      </c>
      <c r="M7425" s="4"/>
      <c r="N7425" s="4"/>
      <c r="O7425" s="5"/>
      <c r="P7425" s="5"/>
      <c r="Q7425" s="21">
        <v>45</v>
      </c>
      <c r="R7425" s="21">
        <v>0</v>
      </c>
      <c r="S7425" s="5">
        <f t="shared" si="463"/>
        <v>44133.479203922878</v>
      </c>
      <c r="T7425" cm="1">
        <f t="array" ref="T7425">IF(OR(B7425="MAL ALIMI", B7425="ÜRETİM GİRİŞ"), MIN(I7425, MAX(0, I7425 + SUM(SUMIFS($I$1:I7424, $C$1:C7424, C7425, $B$1:B7424, {"MAL ALIMI","ÜRETİM GİRİŞ"})) - VLOOKUP(C7425, 'STOK RAPORU'!$C$2:$I$1000, 4, 0))), 0)</f>
        <v>0</v>
      </c>
      <c r="U7425" s="22">
        <f t="shared" si="464"/>
        <v>0</v>
      </c>
      <c r="V7425">
        <f t="shared" si="465"/>
        <v>0</v>
      </c>
      <c r="W7425" s="22">
        <f t="shared" si="466"/>
        <v>0</v>
      </c>
    </row>
    <row r="7426" spans="1:23" hidden="1" x14ac:dyDescent="0.25">
      <c r="A7426" s="3">
        <v>46171</v>
      </c>
      <c r="B7426" s="46" t="s">
        <v>334</v>
      </c>
      <c r="C7426" s="4" t="s">
        <v>137</v>
      </c>
      <c r="D7426" s="4"/>
      <c r="E7426" s="4"/>
      <c r="F7426" s="4" t="s">
        <v>3544</v>
      </c>
      <c r="G7426" s="4" t="s">
        <v>336</v>
      </c>
      <c r="H7426" s="4" t="s">
        <v>289</v>
      </c>
      <c r="I7426" s="4">
        <v>0.27777777777777779</v>
      </c>
      <c r="J7426" s="21">
        <v>180</v>
      </c>
      <c r="K7426" s="21">
        <v>0</v>
      </c>
      <c r="L7426" s="5">
        <v>0</v>
      </c>
      <c r="M7426" s="4"/>
      <c r="N7426" s="4"/>
      <c r="O7426" s="5"/>
      <c r="P7426" s="5"/>
      <c r="Q7426" s="21">
        <v>50</v>
      </c>
      <c r="R7426" s="21">
        <v>0</v>
      </c>
      <c r="S7426" s="5">
        <f t="shared" si="463"/>
        <v>44183.479203922878</v>
      </c>
      <c r="T7426" cm="1">
        <f t="array" ref="T7426">IF(OR(B7426="MAL ALIMI", B7426="ÜRETİM GİRİŞ"), MIN(I7426, MAX(0, I7426 + SUM(SUMIFS($I$1:I7425, $C$1:C7425, C7426, $B$1:B7425, {"MAL ALIMI","ÜRETİM GİRİŞ"})) - VLOOKUP(C7426, 'STOK RAPORU'!$C$2:$I$1000, 4, 0))), 0)</f>
        <v>0</v>
      </c>
      <c r="U7426" s="22">
        <f t="shared" si="464"/>
        <v>0</v>
      </c>
      <c r="V7426">
        <f t="shared" si="465"/>
        <v>0</v>
      </c>
      <c r="W7426" s="22">
        <f t="shared" si="466"/>
        <v>0</v>
      </c>
    </row>
    <row r="7427" spans="1:23" hidden="1" x14ac:dyDescent="0.25">
      <c r="A7427" s="3">
        <v>46171</v>
      </c>
      <c r="B7427" s="46" t="s">
        <v>334</v>
      </c>
      <c r="C7427" s="4" t="s">
        <v>208</v>
      </c>
      <c r="D7427" s="4"/>
      <c r="E7427" s="4"/>
      <c r="F7427" s="4" t="s">
        <v>3544</v>
      </c>
      <c r="G7427" s="4" t="s">
        <v>336</v>
      </c>
      <c r="H7427" s="4" t="s">
        <v>289</v>
      </c>
      <c r="I7427" s="4">
        <v>0.5</v>
      </c>
      <c r="J7427" s="21">
        <v>140</v>
      </c>
      <c r="K7427" s="21">
        <v>0</v>
      </c>
      <c r="L7427" s="5">
        <v>0</v>
      </c>
      <c r="M7427" s="4"/>
      <c r="N7427" s="4"/>
      <c r="O7427" s="5"/>
      <c r="P7427" s="5"/>
      <c r="Q7427" s="21">
        <v>70</v>
      </c>
      <c r="R7427" s="21">
        <v>0</v>
      </c>
      <c r="S7427" s="5">
        <f t="shared" si="463"/>
        <v>44253.479203922878</v>
      </c>
      <c r="T7427" cm="1">
        <f t="array" ref="T7427">IF(OR(B7427="MAL ALIMI", B7427="ÜRETİM GİRİŞ"), MIN(I7427, MAX(0, I7427 + SUM(SUMIFS($I$1:I7426, $C$1:C7426, C7427, $B$1:B7426, {"MAL ALIMI","ÜRETİM GİRİŞ"})) - VLOOKUP(C7427, 'STOK RAPORU'!$C$2:$I$1000, 4, 0))), 0)</f>
        <v>0</v>
      </c>
      <c r="U7427" s="22">
        <f t="shared" si="464"/>
        <v>0</v>
      </c>
      <c r="V7427">
        <f t="shared" si="465"/>
        <v>0</v>
      </c>
      <c r="W7427" s="22">
        <f t="shared" si="466"/>
        <v>0</v>
      </c>
    </row>
    <row r="7428" spans="1:23" hidden="1" x14ac:dyDescent="0.25">
      <c r="A7428" s="3">
        <v>46171</v>
      </c>
      <c r="B7428" s="46" t="s">
        <v>334</v>
      </c>
      <c r="C7428" s="4" t="s">
        <v>3382</v>
      </c>
      <c r="D7428" s="4"/>
      <c r="E7428" s="4"/>
      <c r="F7428" s="4" t="s">
        <v>3544</v>
      </c>
      <c r="G7428" s="4" t="s">
        <v>336</v>
      </c>
      <c r="H7428" s="4" t="s">
        <v>289</v>
      </c>
      <c r="I7428" s="4">
        <v>0.34</v>
      </c>
      <c r="J7428" s="21">
        <v>250</v>
      </c>
      <c r="K7428" s="21">
        <v>0</v>
      </c>
      <c r="L7428" s="5">
        <v>0</v>
      </c>
      <c r="M7428" s="4"/>
      <c r="N7428" s="4"/>
      <c r="O7428" s="5"/>
      <c r="P7428" s="5"/>
      <c r="Q7428" s="21">
        <v>85</v>
      </c>
      <c r="R7428" s="21">
        <v>0</v>
      </c>
      <c r="S7428" s="5">
        <f t="shared" ref="S7428:S7491" si="467">S7427+Q7428-R7428</f>
        <v>44338.479203922878</v>
      </c>
      <c r="T7428" cm="1">
        <f t="array" ref="T7428">IF(OR(B7428="MAL ALIMI", B7428="ÜRETİM GİRİŞ"), MIN(I7428, MAX(0, I7428 + SUM(SUMIFS($I$1:I7427, $C$1:C7427, C7428, $B$1:B7427, {"MAL ALIMI","ÜRETİM GİRİŞ"})) - VLOOKUP(C7428, 'STOK RAPORU'!$C$2:$I$1000, 4, 0))), 0)</f>
        <v>0</v>
      </c>
      <c r="U7428" s="22">
        <f t="shared" si="464"/>
        <v>0</v>
      </c>
      <c r="V7428">
        <f t="shared" si="465"/>
        <v>0</v>
      </c>
      <c r="W7428" s="22">
        <f t="shared" si="466"/>
        <v>0</v>
      </c>
    </row>
    <row r="7429" spans="1:23" hidden="1" x14ac:dyDescent="0.25">
      <c r="A7429" s="3">
        <v>46171</v>
      </c>
      <c r="B7429" s="46" t="s">
        <v>334</v>
      </c>
      <c r="C7429" s="4" t="s">
        <v>130</v>
      </c>
      <c r="D7429" s="4"/>
      <c r="E7429" s="4"/>
      <c r="F7429" s="4" t="s">
        <v>3544</v>
      </c>
      <c r="G7429" s="4" t="s">
        <v>336</v>
      </c>
      <c r="H7429" s="4" t="s">
        <v>289</v>
      </c>
      <c r="I7429" s="4">
        <v>6.222222222222222E-2</v>
      </c>
      <c r="J7429" s="21">
        <v>450</v>
      </c>
      <c r="K7429" s="21">
        <v>0</v>
      </c>
      <c r="L7429" s="5">
        <v>0</v>
      </c>
      <c r="M7429" s="4"/>
      <c r="N7429" s="4"/>
      <c r="O7429" s="5"/>
      <c r="P7429" s="5"/>
      <c r="Q7429" s="21">
        <v>28</v>
      </c>
      <c r="R7429" s="21">
        <v>0</v>
      </c>
      <c r="S7429" s="5">
        <f t="shared" si="467"/>
        <v>44366.479203922878</v>
      </c>
      <c r="T7429" cm="1">
        <f t="array" ref="T7429">IF(OR(B7429="MAL ALIMI", B7429="ÜRETİM GİRİŞ"), MIN(I7429, MAX(0, I7429 + SUM(SUMIFS($I$1:I7428, $C$1:C7428, C7429, $B$1:B7428, {"MAL ALIMI","ÜRETİM GİRİŞ"})) - VLOOKUP(C7429, 'STOK RAPORU'!$C$2:$I$1000, 4, 0))), 0)</f>
        <v>0</v>
      </c>
      <c r="U7429" s="22">
        <f t="shared" si="464"/>
        <v>0</v>
      </c>
      <c r="V7429">
        <f t="shared" si="465"/>
        <v>0</v>
      </c>
      <c r="W7429" s="22">
        <f t="shared" si="466"/>
        <v>0</v>
      </c>
    </row>
    <row r="7430" spans="1:23" hidden="1" x14ac:dyDescent="0.25">
      <c r="A7430" s="3">
        <v>46171</v>
      </c>
      <c r="B7430" s="46" t="s">
        <v>334</v>
      </c>
      <c r="C7430" s="4" t="s">
        <v>226</v>
      </c>
      <c r="D7430" s="4"/>
      <c r="E7430" s="4"/>
      <c r="F7430" s="4" t="s">
        <v>3544</v>
      </c>
      <c r="G7430" s="4" t="s">
        <v>336</v>
      </c>
      <c r="H7430" s="4" t="s">
        <v>289</v>
      </c>
      <c r="I7430" s="4">
        <v>0.22727272727272727</v>
      </c>
      <c r="J7430" s="21">
        <v>220</v>
      </c>
      <c r="K7430" s="21">
        <v>0</v>
      </c>
      <c r="L7430" s="5">
        <v>0</v>
      </c>
      <c r="M7430" s="4"/>
      <c r="N7430" s="4"/>
      <c r="O7430" s="5"/>
      <c r="P7430" s="5"/>
      <c r="Q7430" s="21">
        <v>50</v>
      </c>
      <c r="R7430" s="21">
        <v>0</v>
      </c>
      <c r="S7430" s="5">
        <f t="shared" si="467"/>
        <v>44416.479203922878</v>
      </c>
      <c r="T7430" cm="1">
        <f t="array" ref="T7430">IF(OR(B7430="MAL ALIMI", B7430="ÜRETİM GİRİŞ"), MIN(I7430, MAX(0, I7430 + SUM(SUMIFS($I$1:I7429, $C$1:C7429, C7430, $B$1:B7429, {"MAL ALIMI","ÜRETİM GİRİŞ"})) - VLOOKUP(C7430, 'STOK RAPORU'!$C$2:$I$1000, 4, 0))), 0)</f>
        <v>0</v>
      </c>
      <c r="U7430" s="22">
        <f t="shared" si="464"/>
        <v>0</v>
      </c>
      <c r="V7430">
        <f t="shared" si="465"/>
        <v>0</v>
      </c>
      <c r="W7430" s="22">
        <f t="shared" si="466"/>
        <v>0</v>
      </c>
    </row>
    <row r="7431" spans="1:23" hidden="1" x14ac:dyDescent="0.25">
      <c r="A7431" s="3">
        <v>46171</v>
      </c>
      <c r="B7431" s="46" t="s">
        <v>334</v>
      </c>
      <c r="C7431" s="4" t="s">
        <v>1023</v>
      </c>
      <c r="D7431" s="4"/>
      <c r="E7431" s="4"/>
      <c r="F7431" s="4" t="s">
        <v>3544</v>
      </c>
      <c r="G7431" s="4" t="s">
        <v>336</v>
      </c>
      <c r="H7431" s="4" t="s">
        <v>289</v>
      </c>
      <c r="I7431" s="4">
        <v>1.0153846153846153</v>
      </c>
      <c r="J7431" s="21">
        <v>65</v>
      </c>
      <c r="K7431" s="21">
        <v>0</v>
      </c>
      <c r="L7431" s="5">
        <v>0</v>
      </c>
      <c r="M7431" s="4"/>
      <c r="N7431" s="4"/>
      <c r="O7431" s="5"/>
      <c r="P7431" s="5"/>
      <c r="Q7431" s="21">
        <v>66</v>
      </c>
      <c r="R7431" s="21">
        <v>0</v>
      </c>
      <c r="S7431" s="5">
        <f t="shared" si="467"/>
        <v>44482.479203922878</v>
      </c>
      <c r="T7431" cm="1">
        <f t="array" ref="T7431">IF(OR(B7431="MAL ALIMI", B7431="ÜRETİM GİRİŞ"), MIN(I7431, MAX(0, I7431 + SUM(SUMIFS($I$1:I7430, $C$1:C7430, C7431, $B$1:B7430, {"MAL ALIMI","ÜRETİM GİRİŞ"})) - VLOOKUP(C7431, 'STOK RAPORU'!$C$2:$I$1000, 4, 0))), 0)</f>
        <v>0</v>
      </c>
      <c r="U7431" s="22">
        <f t="shared" si="464"/>
        <v>0</v>
      </c>
      <c r="V7431">
        <f t="shared" si="465"/>
        <v>0</v>
      </c>
      <c r="W7431" s="22">
        <f t="shared" si="466"/>
        <v>0</v>
      </c>
    </row>
    <row r="7432" spans="1:23" hidden="1" x14ac:dyDescent="0.25">
      <c r="A7432" s="3">
        <v>46171</v>
      </c>
      <c r="B7432" s="46" t="s">
        <v>334</v>
      </c>
      <c r="C7432" s="4" t="s">
        <v>651</v>
      </c>
      <c r="D7432" s="4"/>
      <c r="E7432" s="4"/>
      <c r="F7432" s="4" t="s">
        <v>3544</v>
      </c>
      <c r="G7432" s="4" t="s">
        <v>336</v>
      </c>
      <c r="H7432" s="4" t="s">
        <v>289</v>
      </c>
      <c r="I7432" s="4">
        <v>1</v>
      </c>
      <c r="J7432" s="21">
        <v>350</v>
      </c>
      <c r="K7432" s="21">
        <v>0</v>
      </c>
      <c r="L7432" s="5">
        <v>0</v>
      </c>
      <c r="M7432" s="4"/>
      <c r="N7432" s="4"/>
      <c r="O7432" s="5"/>
      <c r="P7432" s="5"/>
      <c r="Q7432" s="21">
        <v>350</v>
      </c>
      <c r="R7432" s="21">
        <v>0</v>
      </c>
      <c r="S7432" s="5">
        <f t="shared" si="467"/>
        <v>44832.479203922878</v>
      </c>
      <c r="T7432" cm="1">
        <f t="array" ref="T7432">IF(OR(B7432="MAL ALIMI", B7432="ÜRETİM GİRİŞ"), MIN(I7432, MAX(0, I7432 + SUM(SUMIFS($I$1:I7431, $C$1:C7431, C7432, $B$1:B7431, {"MAL ALIMI","ÜRETİM GİRİŞ"})) - VLOOKUP(C7432, 'STOK RAPORU'!$C$2:$I$1000, 4, 0))), 0)</f>
        <v>0</v>
      </c>
      <c r="U7432" s="22">
        <f t="shared" si="464"/>
        <v>0</v>
      </c>
      <c r="V7432">
        <f t="shared" si="465"/>
        <v>0</v>
      </c>
      <c r="W7432" s="22">
        <f t="shared" si="466"/>
        <v>0</v>
      </c>
    </row>
    <row r="7433" spans="1:23" hidden="1" x14ac:dyDescent="0.25">
      <c r="A7433" s="3">
        <v>46171</v>
      </c>
      <c r="B7433" s="46" t="s">
        <v>334</v>
      </c>
      <c r="C7433" s="4" t="s">
        <v>248</v>
      </c>
      <c r="D7433" s="4"/>
      <c r="E7433" s="4" t="s">
        <v>921</v>
      </c>
      <c r="F7433" s="4" t="s">
        <v>3545</v>
      </c>
      <c r="G7433" s="4" t="s">
        <v>336</v>
      </c>
      <c r="H7433" s="4" t="s">
        <v>380</v>
      </c>
      <c r="I7433" s="4">
        <v>0.1</v>
      </c>
      <c r="J7433" s="21">
        <v>1000</v>
      </c>
      <c r="K7433" s="21">
        <v>100</v>
      </c>
      <c r="L7433" s="5">
        <v>0</v>
      </c>
      <c r="M7433" s="4"/>
      <c r="N7433" s="4"/>
      <c r="O7433" s="5"/>
      <c r="P7433" s="5"/>
      <c r="Q7433" s="21">
        <v>0</v>
      </c>
      <c r="R7433" s="21">
        <v>0</v>
      </c>
      <c r="S7433" s="5">
        <f t="shared" si="467"/>
        <v>44832.479203922878</v>
      </c>
      <c r="T7433" cm="1">
        <f t="array" ref="T7433">IF(OR(B7433="MAL ALIMI", B7433="ÜRETİM GİRİŞ"), MIN(I7433, MAX(0, I7433 + SUM(SUMIFS($I$1:I7432, $C$1:C7432, C7433, $B$1:B7432, {"MAL ALIMI","ÜRETİM GİRİŞ"})) - VLOOKUP(C7433, 'STOK RAPORU'!$C$2:$I$1000, 4, 0))), 0)</f>
        <v>0</v>
      </c>
      <c r="U7433" s="22">
        <f t="shared" si="464"/>
        <v>0</v>
      </c>
      <c r="V7433">
        <f t="shared" si="465"/>
        <v>0</v>
      </c>
      <c r="W7433" s="22">
        <f t="shared" si="466"/>
        <v>0</v>
      </c>
    </row>
    <row r="7434" spans="1:23" hidden="1" x14ac:dyDescent="0.25">
      <c r="A7434" s="3">
        <v>46171</v>
      </c>
      <c r="B7434" s="4" t="s">
        <v>946</v>
      </c>
      <c r="C7434" s="4"/>
      <c r="D7434" s="4"/>
      <c r="E7434" s="4" t="s">
        <v>921</v>
      </c>
      <c r="F7434" s="4"/>
      <c r="G7434" s="4" t="s">
        <v>946</v>
      </c>
      <c r="H7434" s="4" t="s">
        <v>380</v>
      </c>
      <c r="I7434" s="4">
        <v>1</v>
      </c>
      <c r="J7434" s="21">
        <v>250</v>
      </c>
      <c r="K7434" s="21">
        <v>0</v>
      </c>
      <c r="L7434" s="115">
        <v>250</v>
      </c>
      <c r="M7434" s="4"/>
      <c r="N7434" s="4"/>
      <c r="O7434" s="5"/>
      <c r="P7434" s="5"/>
      <c r="Q7434" s="21">
        <v>250</v>
      </c>
      <c r="R7434" s="21">
        <v>0</v>
      </c>
      <c r="S7434" s="5">
        <f t="shared" si="467"/>
        <v>45082.479203922878</v>
      </c>
      <c r="T7434" cm="1">
        <f t="array" ref="T7434">IF(OR(B7434="MAL ALIMI", B7434="ÜRETİM GİRİŞ"), MIN(I7434, MAX(0, I7434 + SUM(SUMIFS($I$1:I7433, $C$1:C7433, C7434, $B$1:B7433, {"MAL ALIMI","ÜRETİM GİRİŞ"})) - VLOOKUP(C7434, 'STOK RAPORU'!$C$2:$I$1000, 4, 0))), 0)</f>
        <v>0</v>
      </c>
      <c r="U7434" s="22">
        <f t="shared" si="464"/>
        <v>0</v>
      </c>
      <c r="V7434">
        <f t="shared" si="465"/>
        <v>0</v>
      </c>
      <c r="W7434" s="22">
        <f t="shared" si="466"/>
        <v>0</v>
      </c>
    </row>
    <row r="7435" spans="1:23" hidden="1" x14ac:dyDescent="0.25">
      <c r="A7435" s="3">
        <v>46171</v>
      </c>
      <c r="B7435" s="4" t="s">
        <v>946</v>
      </c>
      <c r="C7435" s="4"/>
      <c r="D7435" s="4"/>
      <c r="E7435" s="4" t="s">
        <v>921</v>
      </c>
      <c r="F7435" s="4"/>
      <c r="G7435" s="4" t="s">
        <v>946</v>
      </c>
      <c r="H7435" s="4" t="s">
        <v>380</v>
      </c>
      <c r="I7435" s="4">
        <v>1</v>
      </c>
      <c r="J7435" s="21">
        <v>370</v>
      </c>
      <c r="K7435" s="21">
        <v>0</v>
      </c>
      <c r="L7435" s="115">
        <v>370</v>
      </c>
      <c r="M7435" s="4"/>
      <c r="N7435" s="4"/>
      <c r="O7435" s="5"/>
      <c r="P7435" s="5"/>
      <c r="Q7435" s="21">
        <v>370</v>
      </c>
      <c r="R7435" s="21">
        <v>0</v>
      </c>
      <c r="S7435" s="5">
        <f t="shared" si="467"/>
        <v>45452.479203922878</v>
      </c>
      <c r="T7435" cm="1">
        <f t="array" ref="T7435">IF(OR(B7435="MAL ALIMI", B7435="ÜRETİM GİRİŞ"), MIN(I7435, MAX(0, I7435 + SUM(SUMIFS($I$1:I7434, $C$1:C7434, C7435, $B$1:B7434, {"MAL ALIMI","ÜRETİM GİRİŞ"})) - VLOOKUP(C7435, 'STOK RAPORU'!$C$2:$I$1000, 4, 0))), 0)</f>
        <v>0</v>
      </c>
      <c r="U7435" s="22">
        <f t="shared" si="464"/>
        <v>0</v>
      </c>
      <c r="V7435">
        <f t="shared" si="465"/>
        <v>0</v>
      </c>
      <c r="W7435" s="22">
        <f t="shared" si="466"/>
        <v>0</v>
      </c>
    </row>
    <row r="7436" spans="1:23" hidden="1" x14ac:dyDescent="0.25">
      <c r="A7436" s="3">
        <v>46172</v>
      </c>
      <c r="B7436" s="4" t="s">
        <v>946</v>
      </c>
      <c r="C7436" s="4"/>
      <c r="D7436" s="4"/>
      <c r="E7436" s="4" t="s">
        <v>921</v>
      </c>
      <c r="F7436" s="4"/>
      <c r="G7436" s="4" t="s">
        <v>946</v>
      </c>
      <c r="H7436" s="4" t="s">
        <v>380</v>
      </c>
      <c r="I7436" s="4">
        <v>1</v>
      </c>
      <c r="J7436" s="21">
        <v>1665</v>
      </c>
      <c r="K7436" s="21">
        <v>0</v>
      </c>
      <c r="L7436" s="115">
        <v>1665</v>
      </c>
      <c r="M7436" s="4"/>
      <c r="N7436" s="4"/>
      <c r="O7436" s="5"/>
      <c r="P7436" s="5"/>
      <c r="Q7436" s="21">
        <v>1665</v>
      </c>
      <c r="R7436" s="21">
        <v>0</v>
      </c>
      <c r="S7436" s="5">
        <f t="shared" si="467"/>
        <v>47117.479203922878</v>
      </c>
      <c r="T7436" cm="1">
        <f t="array" ref="T7436">IF(OR(B7436="MAL ALIMI", B7436="ÜRETİM GİRİŞ"), MIN(I7436, MAX(0, I7436 + SUM(SUMIFS($I$1:I7435, $C$1:C7435, C7436, $B$1:B7435, {"MAL ALIMI","ÜRETİM GİRİŞ"})) - VLOOKUP(C7436, 'STOK RAPORU'!$C$2:$I$1000, 4, 0))), 0)</f>
        <v>0</v>
      </c>
      <c r="U7436" s="22">
        <f t="shared" si="464"/>
        <v>0</v>
      </c>
      <c r="V7436">
        <f t="shared" si="465"/>
        <v>0</v>
      </c>
      <c r="W7436" s="22">
        <f t="shared" si="466"/>
        <v>0</v>
      </c>
    </row>
    <row r="7437" spans="1:23" hidden="1" x14ac:dyDescent="0.25">
      <c r="A7437" s="3">
        <v>46172</v>
      </c>
      <c r="B7437" s="4" t="s">
        <v>946</v>
      </c>
      <c r="C7437" s="4"/>
      <c r="D7437" s="4"/>
      <c r="E7437" s="4" t="s">
        <v>921</v>
      </c>
      <c r="F7437" s="4"/>
      <c r="G7437" s="4" t="s">
        <v>946</v>
      </c>
      <c r="H7437" s="4" t="s">
        <v>380</v>
      </c>
      <c r="I7437" s="4">
        <v>1</v>
      </c>
      <c r="J7437" s="21">
        <v>1548</v>
      </c>
      <c r="K7437" s="21">
        <v>0</v>
      </c>
      <c r="L7437" s="115">
        <v>1548</v>
      </c>
      <c r="M7437" s="4"/>
      <c r="N7437" s="4"/>
      <c r="O7437" s="5"/>
      <c r="P7437" s="5"/>
      <c r="Q7437" s="21">
        <v>1548</v>
      </c>
      <c r="R7437" s="21">
        <v>0</v>
      </c>
      <c r="S7437" s="5">
        <f t="shared" si="467"/>
        <v>48665.479203922878</v>
      </c>
      <c r="T7437" cm="1">
        <f t="array" ref="T7437">IF(OR(B7437="MAL ALIMI", B7437="ÜRETİM GİRİŞ"), MIN(I7437, MAX(0, I7437 + SUM(SUMIFS($I$1:I7436, $C$1:C7436, C7437, $B$1:B7436, {"MAL ALIMI","ÜRETİM GİRİŞ"})) - VLOOKUP(C7437, 'STOK RAPORU'!$C$2:$I$1000, 4, 0))), 0)</f>
        <v>0</v>
      </c>
      <c r="U7437" s="22">
        <f t="shared" si="464"/>
        <v>0</v>
      </c>
      <c r="V7437">
        <f t="shared" si="465"/>
        <v>0</v>
      </c>
      <c r="W7437" s="22">
        <f t="shared" si="466"/>
        <v>0</v>
      </c>
    </row>
    <row r="7438" spans="1:23" hidden="1" x14ac:dyDescent="0.25">
      <c r="A7438" s="3">
        <v>46173</v>
      </c>
      <c r="B7438" s="4" t="s">
        <v>946</v>
      </c>
      <c r="C7438" s="4"/>
      <c r="D7438" s="4"/>
      <c r="E7438" s="4" t="s">
        <v>921</v>
      </c>
      <c r="F7438" s="4"/>
      <c r="G7438" s="4" t="s">
        <v>946</v>
      </c>
      <c r="H7438" s="4" t="s">
        <v>380</v>
      </c>
      <c r="I7438" s="4">
        <v>1</v>
      </c>
      <c r="J7438" s="21">
        <v>350</v>
      </c>
      <c r="K7438" s="21">
        <v>0</v>
      </c>
      <c r="L7438" s="115">
        <v>350</v>
      </c>
      <c r="M7438" s="4"/>
      <c r="N7438" s="4"/>
      <c r="O7438" s="5"/>
      <c r="P7438" s="5"/>
      <c r="Q7438" s="21">
        <v>350</v>
      </c>
      <c r="R7438" s="21">
        <v>0</v>
      </c>
      <c r="S7438" s="5">
        <f t="shared" si="467"/>
        <v>49015.479203922878</v>
      </c>
      <c r="T7438" cm="1">
        <f t="array" ref="T7438">IF(OR(B7438="MAL ALIMI", B7438="ÜRETİM GİRİŞ"), MIN(I7438, MAX(0, I7438 + SUM(SUMIFS($I$1:I7437, $C$1:C7437, C7438, $B$1:B7437, {"MAL ALIMI","ÜRETİM GİRİŞ"})) - VLOOKUP(C7438, 'STOK RAPORU'!$C$2:$I$1000, 4, 0))), 0)</f>
        <v>0</v>
      </c>
      <c r="U7438" s="22">
        <f t="shared" si="464"/>
        <v>0</v>
      </c>
      <c r="V7438">
        <f t="shared" si="465"/>
        <v>0</v>
      </c>
      <c r="W7438" s="22">
        <f t="shared" si="466"/>
        <v>0</v>
      </c>
    </row>
    <row r="7439" spans="1:23" hidden="1" x14ac:dyDescent="0.25">
      <c r="A7439" s="3">
        <v>46173</v>
      </c>
      <c r="B7439" s="4" t="s">
        <v>946</v>
      </c>
      <c r="C7439" s="4"/>
      <c r="D7439" s="4"/>
      <c r="E7439" s="4" t="s">
        <v>921</v>
      </c>
      <c r="F7439" s="4"/>
      <c r="G7439" s="4" t="s">
        <v>946</v>
      </c>
      <c r="H7439" s="4" t="s">
        <v>380</v>
      </c>
      <c r="I7439" s="4">
        <v>1</v>
      </c>
      <c r="J7439" s="21">
        <v>310</v>
      </c>
      <c r="K7439" s="21">
        <v>0</v>
      </c>
      <c r="L7439" s="115">
        <v>310</v>
      </c>
      <c r="M7439" s="4"/>
      <c r="N7439" s="4"/>
      <c r="O7439" s="5"/>
      <c r="P7439" s="5"/>
      <c r="Q7439" s="21">
        <v>310</v>
      </c>
      <c r="R7439" s="21">
        <v>0</v>
      </c>
      <c r="S7439" s="5">
        <f t="shared" si="467"/>
        <v>49325.479203922878</v>
      </c>
      <c r="T7439" cm="1">
        <f t="array" ref="T7439">IF(OR(B7439="MAL ALIMI", B7439="ÜRETİM GİRİŞ"), MIN(I7439, MAX(0, I7439 + SUM(SUMIFS($I$1:I7438, $C$1:C7438, C7439, $B$1:B7438, {"MAL ALIMI","ÜRETİM GİRİŞ"})) - VLOOKUP(C7439, 'STOK RAPORU'!$C$2:$I$1000, 4, 0))), 0)</f>
        <v>0</v>
      </c>
      <c r="U7439" s="22">
        <f t="shared" si="464"/>
        <v>0</v>
      </c>
      <c r="V7439">
        <f t="shared" si="465"/>
        <v>0</v>
      </c>
      <c r="W7439" s="22">
        <f t="shared" si="466"/>
        <v>0</v>
      </c>
    </row>
    <row r="7440" spans="1:23" hidden="1" x14ac:dyDescent="0.25">
      <c r="A7440" s="3">
        <v>46174</v>
      </c>
      <c r="B7440" s="4" t="s">
        <v>946</v>
      </c>
      <c r="C7440" s="4"/>
      <c r="D7440" s="4"/>
      <c r="E7440" s="4" t="s">
        <v>921</v>
      </c>
      <c r="F7440" s="4"/>
      <c r="G7440" s="4" t="s">
        <v>946</v>
      </c>
      <c r="H7440" s="4" t="s">
        <v>380</v>
      </c>
      <c r="I7440" s="4">
        <v>1</v>
      </c>
      <c r="J7440" s="21">
        <v>400</v>
      </c>
      <c r="K7440" s="21">
        <v>0</v>
      </c>
      <c r="L7440" s="115">
        <v>400</v>
      </c>
      <c r="M7440" s="4"/>
      <c r="N7440" s="4"/>
      <c r="O7440" s="5"/>
      <c r="P7440" s="5"/>
      <c r="Q7440" s="21">
        <v>400</v>
      </c>
      <c r="R7440" s="21">
        <v>0</v>
      </c>
      <c r="S7440" s="5">
        <f t="shared" si="467"/>
        <v>49725.479203922878</v>
      </c>
      <c r="T7440" cm="1">
        <f t="array" ref="T7440">IF(OR(B7440="MAL ALIMI", B7440="ÜRETİM GİRİŞ"), MIN(I7440, MAX(0, I7440 + SUM(SUMIFS($I$1:I7439, $C$1:C7439, C7440, $B$1:B7439, {"MAL ALIMI","ÜRETİM GİRİŞ"})) - VLOOKUP(C7440, 'STOK RAPORU'!$C$2:$I$1000, 4, 0))), 0)</f>
        <v>0</v>
      </c>
      <c r="U7440" s="22">
        <f t="shared" si="464"/>
        <v>0</v>
      </c>
      <c r="V7440">
        <f t="shared" si="465"/>
        <v>0</v>
      </c>
      <c r="W7440" s="22">
        <f t="shared" si="466"/>
        <v>0</v>
      </c>
    </row>
    <row r="7441" spans="1:23" hidden="1" x14ac:dyDescent="0.25">
      <c r="A7441" s="3">
        <v>46175</v>
      </c>
      <c r="B7441" s="46" t="s">
        <v>334</v>
      </c>
      <c r="C7441" s="4" t="s">
        <v>126</v>
      </c>
      <c r="D7441" s="4"/>
      <c r="E7441" s="4" t="s">
        <v>921</v>
      </c>
      <c r="F7441" s="4" t="s">
        <v>3551</v>
      </c>
      <c r="G7441" s="4" t="s">
        <v>336</v>
      </c>
      <c r="H7441" s="4" t="s">
        <v>380</v>
      </c>
      <c r="I7441" s="4">
        <v>6.615384615384616E-2</v>
      </c>
      <c r="J7441" s="21">
        <v>650</v>
      </c>
      <c r="K7441" s="21">
        <v>43.000000000000007</v>
      </c>
      <c r="L7441" s="5">
        <v>0</v>
      </c>
      <c r="M7441" s="4"/>
      <c r="N7441" s="4"/>
      <c r="O7441" s="5"/>
      <c r="P7441" s="5"/>
      <c r="Q7441" s="21">
        <v>0</v>
      </c>
      <c r="R7441" s="21">
        <v>0</v>
      </c>
      <c r="S7441" s="5">
        <f t="shared" si="467"/>
        <v>49725.479203922878</v>
      </c>
      <c r="T7441" cm="1">
        <f t="array" ref="T7441">IF(OR(B7441="MAL ALIMI", B7441="ÜRETİM GİRİŞ"), MIN(I7441, MAX(0, I7441 + SUM(SUMIFS($I$1:I7440, $C$1:C7440, C7441, $B$1:B7440, {"MAL ALIMI","ÜRETİM GİRİŞ"})) - VLOOKUP(C7441, 'STOK RAPORU'!$C$2:$I$1000, 4, 0))), 0)</f>
        <v>0</v>
      </c>
      <c r="U7441" s="22">
        <f t="shared" si="464"/>
        <v>0</v>
      </c>
      <c r="V7441">
        <f t="shared" si="465"/>
        <v>0</v>
      </c>
      <c r="W7441" s="22">
        <f t="shared" si="466"/>
        <v>0</v>
      </c>
    </row>
    <row r="7442" spans="1:23" hidden="1" x14ac:dyDescent="0.25">
      <c r="A7442" s="3">
        <v>46175</v>
      </c>
      <c r="B7442" s="46" t="s">
        <v>334</v>
      </c>
      <c r="C7442" s="4" t="s">
        <v>140</v>
      </c>
      <c r="D7442" s="4"/>
      <c r="E7442" s="4" t="s">
        <v>921</v>
      </c>
      <c r="F7442" s="4" t="s">
        <v>3551</v>
      </c>
      <c r="G7442" s="4" t="s">
        <v>336</v>
      </c>
      <c r="H7442" s="4" t="s">
        <v>380</v>
      </c>
      <c r="I7442" s="4">
        <v>0.12333333333333334</v>
      </c>
      <c r="J7442" s="21">
        <v>300</v>
      </c>
      <c r="K7442" s="21">
        <v>37</v>
      </c>
      <c r="L7442" s="5">
        <v>0</v>
      </c>
      <c r="M7442" s="4"/>
      <c r="N7442" s="4"/>
      <c r="O7442" s="5"/>
      <c r="P7442" s="5"/>
      <c r="Q7442" s="21">
        <v>0</v>
      </c>
      <c r="R7442" s="21">
        <v>0</v>
      </c>
      <c r="S7442" s="5">
        <f t="shared" si="467"/>
        <v>49725.479203922878</v>
      </c>
      <c r="T7442" cm="1">
        <f t="array" ref="T7442">IF(OR(B7442="MAL ALIMI", B7442="ÜRETİM GİRİŞ"), MIN(I7442, MAX(0, I7442 + SUM(SUMIFS($I$1:I7441, $C$1:C7441, C7442, $B$1:B7441, {"MAL ALIMI","ÜRETİM GİRİŞ"})) - VLOOKUP(C7442, 'STOK RAPORU'!$C$2:$I$1000, 4, 0))), 0)</f>
        <v>0</v>
      </c>
      <c r="U7442" s="22">
        <f t="shared" si="464"/>
        <v>0</v>
      </c>
      <c r="V7442">
        <f t="shared" si="465"/>
        <v>0</v>
      </c>
      <c r="W7442" s="22">
        <f t="shared" si="466"/>
        <v>0</v>
      </c>
    </row>
    <row r="7443" spans="1:23" hidden="1" x14ac:dyDescent="0.25">
      <c r="A7443" s="3">
        <v>46175</v>
      </c>
      <c r="B7443" s="46" t="s">
        <v>334</v>
      </c>
      <c r="C7443" s="4" t="s">
        <v>202</v>
      </c>
      <c r="D7443" s="4"/>
      <c r="E7443" s="4" t="s">
        <v>921</v>
      </c>
      <c r="F7443" s="4" t="s">
        <v>3551</v>
      </c>
      <c r="G7443" s="4" t="s">
        <v>336</v>
      </c>
      <c r="H7443" s="4" t="s">
        <v>380</v>
      </c>
      <c r="I7443" s="4">
        <v>0.5</v>
      </c>
      <c r="J7443" s="21">
        <v>90</v>
      </c>
      <c r="K7443" s="21">
        <v>45</v>
      </c>
      <c r="L7443" s="5">
        <v>0</v>
      </c>
      <c r="M7443" s="4"/>
      <c r="N7443" s="4"/>
      <c r="O7443" s="5"/>
      <c r="P7443" s="5"/>
      <c r="Q7443" s="21">
        <v>0</v>
      </c>
      <c r="R7443" s="21">
        <v>0</v>
      </c>
      <c r="S7443" s="5">
        <f t="shared" si="467"/>
        <v>49725.479203922878</v>
      </c>
      <c r="T7443" cm="1">
        <f t="array" ref="T7443">IF(OR(B7443="MAL ALIMI", B7443="ÜRETİM GİRİŞ"), MIN(I7443, MAX(0, I7443 + SUM(SUMIFS($I$1:I7442, $C$1:C7442, C7443, $B$1:B7442, {"MAL ALIMI","ÜRETİM GİRİŞ"})) - VLOOKUP(C7443, 'STOK RAPORU'!$C$2:$I$1000, 4, 0))), 0)</f>
        <v>0</v>
      </c>
      <c r="U7443" s="22">
        <f t="shared" si="464"/>
        <v>0</v>
      </c>
      <c r="V7443">
        <f t="shared" si="465"/>
        <v>0</v>
      </c>
      <c r="W7443" s="22">
        <f t="shared" si="466"/>
        <v>0</v>
      </c>
    </row>
    <row r="7444" spans="1:23" hidden="1" x14ac:dyDescent="0.25">
      <c r="A7444" s="3">
        <v>46175</v>
      </c>
      <c r="B7444" s="46" t="s">
        <v>334</v>
      </c>
      <c r="C7444" s="4" t="s">
        <v>60</v>
      </c>
      <c r="D7444" s="4"/>
      <c r="E7444" s="4" t="s">
        <v>921</v>
      </c>
      <c r="F7444" s="4" t="s">
        <v>3551</v>
      </c>
      <c r="G7444" s="4" t="s">
        <v>336</v>
      </c>
      <c r="H7444" s="4" t="s">
        <v>380</v>
      </c>
      <c r="I7444" s="4">
        <v>0.05</v>
      </c>
      <c r="J7444" s="21">
        <v>1200</v>
      </c>
      <c r="K7444" s="21">
        <v>60</v>
      </c>
      <c r="L7444" s="5">
        <v>0</v>
      </c>
      <c r="M7444" s="4"/>
      <c r="N7444" s="4"/>
      <c r="O7444" s="5"/>
      <c r="P7444" s="5"/>
      <c r="Q7444" s="21">
        <v>0</v>
      </c>
      <c r="R7444" s="21">
        <v>0</v>
      </c>
      <c r="S7444" s="5">
        <f t="shared" si="467"/>
        <v>49725.479203922878</v>
      </c>
      <c r="T7444" cm="1">
        <f t="array" ref="T7444">IF(OR(B7444="MAL ALIMI", B7444="ÜRETİM GİRİŞ"), MIN(I7444, MAX(0, I7444 + SUM(SUMIFS($I$1:I7443, $C$1:C7443, C7444, $B$1:B7443, {"MAL ALIMI","ÜRETİM GİRİŞ"})) - VLOOKUP(C7444, 'STOK RAPORU'!$C$2:$I$1000, 4, 0))), 0)</f>
        <v>0</v>
      </c>
      <c r="U7444" s="22">
        <f t="shared" si="464"/>
        <v>0</v>
      </c>
      <c r="V7444">
        <f t="shared" si="465"/>
        <v>0</v>
      </c>
      <c r="W7444" s="22">
        <f t="shared" si="466"/>
        <v>0</v>
      </c>
    </row>
    <row r="7445" spans="1:23" hidden="1" x14ac:dyDescent="0.25">
      <c r="A7445" s="3">
        <v>46175</v>
      </c>
      <c r="B7445" s="46" t="s">
        <v>334</v>
      </c>
      <c r="C7445" s="4" t="s">
        <v>238</v>
      </c>
      <c r="D7445" s="4"/>
      <c r="E7445" s="4" t="s">
        <v>921</v>
      </c>
      <c r="F7445" s="4" t="s">
        <v>3551</v>
      </c>
      <c r="G7445" s="4" t="s">
        <v>336</v>
      </c>
      <c r="H7445" s="4" t="s">
        <v>380</v>
      </c>
      <c r="I7445" s="4">
        <v>0.1</v>
      </c>
      <c r="J7445" s="21">
        <v>1350</v>
      </c>
      <c r="K7445" s="21">
        <v>135</v>
      </c>
      <c r="L7445" s="5">
        <v>0</v>
      </c>
      <c r="M7445" s="4"/>
      <c r="N7445" s="4"/>
      <c r="O7445" s="5"/>
      <c r="P7445" s="5"/>
      <c r="Q7445" s="21">
        <v>0</v>
      </c>
      <c r="R7445" s="21">
        <v>0</v>
      </c>
      <c r="S7445" s="5">
        <f t="shared" si="467"/>
        <v>49725.479203922878</v>
      </c>
      <c r="T7445" cm="1">
        <f t="array" ref="T7445">IF(OR(B7445="MAL ALIMI", B7445="ÜRETİM GİRİŞ"), MIN(I7445, MAX(0, I7445 + SUM(SUMIFS($I$1:I7444, $C$1:C7444, C7445, $B$1:B7444, {"MAL ALIMI","ÜRETİM GİRİŞ"})) - VLOOKUP(C7445, 'STOK RAPORU'!$C$2:$I$1000, 4, 0))), 0)</f>
        <v>0</v>
      </c>
      <c r="U7445" s="22">
        <f t="shared" si="464"/>
        <v>0</v>
      </c>
      <c r="V7445">
        <f t="shared" si="465"/>
        <v>0</v>
      </c>
      <c r="W7445" s="22">
        <f t="shared" si="466"/>
        <v>0</v>
      </c>
    </row>
    <row r="7446" spans="1:23" hidden="1" x14ac:dyDescent="0.25">
      <c r="A7446" s="3">
        <v>46175</v>
      </c>
      <c r="B7446" s="46" t="s">
        <v>334</v>
      </c>
      <c r="C7446" s="4" t="s">
        <v>462</v>
      </c>
      <c r="D7446" s="4"/>
      <c r="E7446" s="4" t="s">
        <v>921</v>
      </c>
      <c r="F7446" s="4" t="s">
        <v>3551</v>
      </c>
      <c r="G7446" s="4" t="s">
        <v>336</v>
      </c>
      <c r="H7446" s="4" t="s">
        <v>380</v>
      </c>
      <c r="I7446" s="4">
        <v>1</v>
      </c>
      <c r="J7446" s="21">
        <v>120</v>
      </c>
      <c r="K7446" s="21">
        <v>120</v>
      </c>
      <c r="L7446" s="5">
        <v>0</v>
      </c>
      <c r="M7446" s="4"/>
      <c r="N7446" s="4"/>
      <c r="O7446" s="5"/>
      <c r="P7446" s="5"/>
      <c r="Q7446" s="21">
        <v>0</v>
      </c>
      <c r="R7446" s="21">
        <v>0</v>
      </c>
      <c r="S7446" s="5">
        <f t="shared" si="467"/>
        <v>49725.479203922878</v>
      </c>
      <c r="T7446" cm="1">
        <f t="array" ref="T7446">IF(OR(B7446="MAL ALIMI", B7446="ÜRETİM GİRİŞ"), MIN(I7446, MAX(0, I7446 + SUM(SUMIFS($I$1:I7445, $C$1:C7445, C7446, $B$1:B7445, {"MAL ALIMI","ÜRETİM GİRİŞ"})) - VLOOKUP(C7446, 'STOK RAPORU'!$C$2:$I$1000, 4, 0))), 0)</f>
        <v>0</v>
      </c>
      <c r="U7446" s="22">
        <f t="shared" si="464"/>
        <v>0</v>
      </c>
      <c r="V7446">
        <f t="shared" si="465"/>
        <v>0</v>
      </c>
      <c r="W7446" s="22">
        <f t="shared" si="466"/>
        <v>0</v>
      </c>
    </row>
    <row r="7447" spans="1:23" hidden="1" x14ac:dyDescent="0.25">
      <c r="A7447" s="3">
        <v>46175</v>
      </c>
      <c r="B7447" s="46" t="s">
        <v>334</v>
      </c>
      <c r="C7447" s="4" t="s">
        <v>766</v>
      </c>
      <c r="D7447" s="4"/>
      <c r="E7447" s="4"/>
      <c r="F7447" s="4" t="s">
        <v>3552</v>
      </c>
      <c r="G7447" s="4" t="s">
        <v>336</v>
      </c>
      <c r="H7447" s="4" t="s">
        <v>289</v>
      </c>
      <c r="I7447" s="4">
        <v>1</v>
      </c>
      <c r="J7447" s="21">
        <v>220</v>
      </c>
      <c r="K7447" s="21">
        <v>0</v>
      </c>
      <c r="L7447" s="5">
        <v>0</v>
      </c>
      <c r="M7447" s="4"/>
      <c r="N7447" s="4"/>
      <c r="O7447" s="5"/>
      <c r="P7447" s="5"/>
      <c r="Q7447" s="21">
        <v>220</v>
      </c>
      <c r="R7447" s="21">
        <v>0</v>
      </c>
      <c r="S7447" s="5">
        <f t="shared" si="467"/>
        <v>49945.479203922878</v>
      </c>
      <c r="T7447" cm="1">
        <f t="array" ref="T7447">IF(OR(B7447="MAL ALIMI", B7447="ÜRETİM GİRİŞ"), MIN(I7447, MAX(0, I7447 + SUM(SUMIFS($I$1:I7446, $C$1:C7446, C7447, $B$1:B7446, {"MAL ALIMI","ÜRETİM GİRİŞ"})) - VLOOKUP(C7447, 'STOK RAPORU'!$C$2:$I$1000, 4, 0))), 0)</f>
        <v>0</v>
      </c>
      <c r="U7447" s="22">
        <f t="shared" si="464"/>
        <v>0</v>
      </c>
      <c r="V7447">
        <f t="shared" si="465"/>
        <v>0</v>
      </c>
      <c r="W7447" s="22">
        <f t="shared" si="466"/>
        <v>0</v>
      </c>
    </row>
    <row r="7448" spans="1:23" hidden="1" x14ac:dyDescent="0.25">
      <c r="A7448" s="3">
        <v>46175</v>
      </c>
      <c r="B7448" s="46" t="s">
        <v>334</v>
      </c>
      <c r="C7448" s="4" t="s">
        <v>160</v>
      </c>
      <c r="D7448" s="4"/>
      <c r="E7448" s="4"/>
      <c r="F7448" s="4" t="s">
        <v>3553</v>
      </c>
      <c r="G7448" s="4" t="s">
        <v>336</v>
      </c>
      <c r="H7448" s="4" t="s">
        <v>289</v>
      </c>
      <c r="I7448" s="4">
        <v>1</v>
      </c>
      <c r="J7448" s="21">
        <v>250</v>
      </c>
      <c r="K7448" s="21">
        <v>0</v>
      </c>
      <c r="L7448" s="5">
        <v>0</v>
      </c>
      <c r="M7448" s="4"/>
      <c r="N7448" s="4"/>
      <c r="O7448" s="5"/>
      <c r="P7448" s="5"/>
      <c r="Q7448" s="21">
        <v>250</v>
      </c>
      <c r="R7448" s="21">
        <v>0</v>
      </c>
      <c r="S7448" s="5">
        <f t="shared" si="467"/>
        <v>50195.479203922878</v>
      </c>
      <c r="T7448" cm="1">
        <f t="array" ref="T7448">IF(OR(B7448="MAL ALIMI", B7448="ÜRETİM GİRİŞ"), MIN(I7448, MAX(0, I7448 + SUM(SUMIFS($I$1:I7447, $C$1:C7447, C7448, $B$1:B7447, {"MAL ALIMI","ÜRETİM GİRİŞ"})) - VLOOKUP(C7448, 'STOK RAPORU'!$C$2:$I$1000, 4, 0))), 0)</f>
        <v>0</v>
      </c>
      <c r="U7448" s="22">
        <f t="shared" si="464"/>
        <v>0</v>
      </c>
      <c r="V7448">
        <f t="shared" si="465"/>
        <v>0</v>
      </c>
      <c r="W7448" s="22">
        <f t="shared" si="466"/>
        <v>0</v>
      </c>
    </row>
    <row r="7449" spans="1:23" hidden="1" x14ac:dyDescent="0.25">
      <c r="A7449" s="3">
        <v>46175</v>
      </c>
      <c r="B7449" s="46" t="s">
        <v>334</v>
      </c>
      <c r="C7449" s="4" t="s">
        <v>2126</v>
      </c>
      <c r="D7449" s="4"/>
      <c r="E7449" s="4" t="s">
        <v>921</v>
      </c>
      <c r="F7449" s="4" t="s">
        <v>3554</v>
      </c>
      <c r="G7449" s="4" t="s">
        <v>336</v>
      </c>
      <c r="H7449" s="4" t="s">
        <v>380</v>
      </c>
      <c r="I7449" s="4">
        <v>0.13513513513513514</v>
      </c>
      <c r="J7449" s="21">
        <v>370</v>
      </c>
      <c r="K7449" s="21">
        <v>50</v>
      </c>
      <c r="L7449" s="5">
        <v>0</v>
      </c>
      <c r="M7449" s="4"/>
      <c r="N7449" s="4"/>
      <c r="O7449" s="5"/>
      <c r="P7449" s="5"/>
      <c r="Q7449" s="21">
        <v>0</v>
      </c>
      <c r="R7449" s="21">
        <v>0</v>
      </c>
      <c r="S7449" s="5">
        <f t="shared" si="467"/>
        <v>50195.479203922878</v>
      </c>
      <c r="T7449" cm="1">
        <f t="array" ref="T7449">IF(OR(B7449="MAL ALIMI", B7449="ÜRETİM GİRİŞ"), MIN(I7449, MAX(0, I7449 + SUM(SUMIFS($I$1:I7448, $C$1:C7448, C7449, $B$1:B7448, {"MAL ALIMI","ÜRETİM GİRİŞ"})) - VLOOKUP(C7449, 'STOK RAPORU'!$C$2:$I$1000, 4, 0))), 0)</f>
        <v>0</v>
      </c>
      <c r="U7449" s="22">
        <f t="shared" si="464"/>
        <v>0</v>
      </c>
      <c r="V7449">
        <f t="shared" si="465"/>
        <v>0</v>
      </c>
      <c r="W7449" s="22">
        <f t="shared" si="466"/>
        <v>0</v>
      </c>
    </row>
    <row r="7450" spans="1:23" hidden="1" x14ac:dyDescent="0.25">
      <c r="A7450" s="3">
        <v>46175</v>
      </c>
      <c r="B7450" s="46" t="s">
        <v>334</v>
      </c>
      <c r="C7450" s="4" t="s">
        <v>2125</v>
      </c>
      <c r="D7450" s="4"/>
      <c r="E7450" s="4" t="s">
        <v>921</v>
      </c>
      <c r="F7450" s="4" t="s">
        <v>3554</v>
      </c>
      <c r="G7450" s="4" t="s">
        <v>336</v>
      </c>
      <c r="H7450" s="4" t="s">
        <v>380</v>
      </c>
      <c r="I7450" s="4">
        <v>0.14864864864864866</v>
      </c>
      <c r="J7450" s="21">
        <v>370</v>
      </c>
      <c r="K7450" s="21">
        <v>55</v>
      </c>
      <c r="L7450" s="5">
        <v>0</v>
      </c>
      <c r="M7450" s="4"/>
      <c r="N7450" s="4"/>
      <c r="O7450" s="5"/>
      <c r="P7450" s="5"/>
      <c r="Q7450" s="21">
        <v>0</v>
      </c>
      <c r="R7450" s="21">
        <v>0</v>
      </c>
      <c r="S7450" s="5">
        <f t="shared" si="467"/>
        <v>50195.479203922878</v>
      </c>
      <c r="T7450" cm="1">
        <f t="array" ref="T7450">IF(OR(B7450="MAL ALIMI", B7450="ÜRETİM GİRİŞ"), MIN(I7450, MAX(0, I7450 + SUM(SUMIFS($I$1:I7449, $C$1:C7449, C7450, $B$1:B7449, {"MAL ALIMI","ÜRETİM GİRİŞ"})) - VLOOKUP(C7450, 'STOK RAPORU'!$C$2:$I$1000, 4, 0))), 0)</f>
        <v>0</v>
      </c>
      <c r="U7450" s="22">
        <f t="shared" si="464"/>
        <v>0</v>
      </c>
      <c r="V7450">
        <f t="shared" si="465"/>
        <v>0</v>
      </c>
      <c r="W7450" s="22">
        <f t="shared" si="466"/>
        <v>0</v>
      </c>
    </row>
    <row r="7451" spans="1:23" hidden="1" x14ac:dyDescent="0.25">
      <c r="A7451" s="3">
        <v>46175</v>
      </c>
      <c r="B7451" s="46" t="s">
        <v>334</v>
      </c>
      <c r="C7451" s="4" t="s">
        <v>199</v>
      </c>
      <c r="D7451" s="4"/>
      <c r="E7451" s="4" t="s">
        <v>921</v>
      </c>
      <c r="F7451" s="4" t="s">
        <v>3554</v>
      </c>
      <c r="G7451" s="4" t="s">
        <v>336</v>
      </c>
      <c r="H7451" s="4" t="s">
        <v>380</v>
      </c>
      <c r="I7451" s="4">
        <v>0.32</v>
      </c>
      <c r="J7451" s="21">
        <v>688</v>
      </c>
      <c r="K7451" s="21">
        <v>220.16</v>
      </c>
      <c r="L7451" s="5">
        <v>0</v>
      </c>
      <c r="M7451" s="4"/>
      <c r="N7451" s="4"/>
      <c r="O7451" s="5"/>
      <c r="P7451" s="5"/>
      <c r="Q7451" s="21">
        <v>0</v>
      </c>
      <c r="R7451" s="21">
        <v>0</v>
      </c>
      <c r="S7451" s="5">
        <f t="shared" si="467"/>
        <v>50195.479203922878</v>
      </c>
      <c r="T7451" cm="1">
        <f t="array" ref="T7451">IF(OR(B7451="MAL ALIMI", B7451="ÜRETİM GİRİŞ"), MIN(I7451, MAX(0, I7451 + SUM(SUMIFS($I$1:I7450, $C$1:C7450, C7451, $B$1:B7450, {"MAL ALIMI","ÜRETİM GİRİŞ"})) - VLOOKUP(C7451, 'STOK RAPORU'!$C$2:$I$1000, 4, 0))), 0)</f>
        <v>0</v>
      </c>
      <c r="U7451" s="22">
        <f t="shared" si="464"/>
        <v>0</v>
      </c>
      <c r="V7451">
        <f t="shared" si="465"/>
        <v>0</v>
      </c>
      <c r="W7451" s="22">
        <f t="shared" si="466"/>
        <v>0</v>
      </c>
    </row>
    <row r="7452" spans="1:23" hidden="1" x14ac:dyDescent="0.25">
      <c r="A7452" s="3">
        <v>46175</v>
      </c>
      <c r="B7452" s="46" t="s">
        <v>334</v>
      </c>
      <c r="C7452" s="4" t="s">
        <v>530</v>
      </c>
      <c r="D7452" s="4"/>
      <c r="E7452" s="4" t="s">
        <v>921</v>
      </c>
      <c r="F7452" s="4" t="s">
        <v>3555</v>
      </c>
      <c r="G7452" s="4" t="s">
        <v>336</v>
      </c>
      <c r="H7452" s="4" t="s">
        <v>380</v>
      </c>
      <c r="I7452" s="4">
        <v>0.42857142857142855</v>
      </c>
      <c r="J7452" s="21">
        <v>280</v>
      </c>
      <c r="K7452" s="21">
        <v>120</v>
      </c>
      <c r="L7452" s="5">
        <v>0</v>
      </c>
      <c r="M7452" s="4"/>
      <c r="N7452" s="4"/>
      <c r="O7452" s="5"/>
      <c r="P7452" s="5"/>
      <c r="Q7452" s="21">
        <v>0</v>
      </c>
      <c r="R7452" s="21">
        <v>0</v>
      </c>
      <c r="S7452" s="5">
        <f t="shared" si="467"/>
        <v>50195.479203922878</v>
      </c>
      <c r="T7452" cm="1">
        <f t="array" ref="T7452">IF(OR(B7452="MAL ALIMI", B7452="ÜRETİM GİRİŞ"), MIN(I7452, MAX(0, I7452 + SUM(SUMIFS($I$1:I7451, $C$1:C7451, C7452, $B$1:B7451, {"MAL ALIMI","ÜRETİM GİRİŞ"})) - VLOOKUP(C7452, 'STOK RAPORU'!$C$2:$I$1000, 4, 0))), 0)</f>
        <v>0</v>
      </c>
      <c r="U7452" s="22">
        <f t="shared" si="464"/>
        <v>0</v>
      </c>
      <c r="V7452">
        <f t="shared" si="465"/>
        <v>0</v>
      </c>
      <c r="W7452" s="22">
        <f t="shared" si="466"/>
        <v>0</v>
      </c>
    </row>
    <row r="7453" spans="1:23" hidden="1" x14ac:dyDescent="0.25">
      <c r="A7453" s="3">
        <v>46175</v>
      </c>
      <c r="B7453" s="46" t="s">
        <v>334</v>
      </c>
      <c r="C7453" s="4" t="s">
        <v>530</v>
      </c>
      <c r="D7453" s="4"/>
      <c r="E7453" s="4"/>
      <c r="F7453" s="4" t="s">
        <v>3555</v>
      </c>
      <c r="G7453" s="4" t="s">
        <v>336</v>
      </c>
      <c r="H7453" s="4" t="s">
        <v>289</v>
      </c>
      <c r="I7453" s="4">
        <v>7.1428571428571425E-2</v>
      </c>
      <c r="J7453" s="21">
        <v>280</v>
      </c>
      <c r="K7453" s="21">
        <v>0</v>
      </c>
      <c r="L7453" s="5">
        <v>0</v>
      </c>
      <c r="M7453" s="4"/>
      <c r="N7453" s="4"/>
      <c r="O7453" s="5"/>
      <c r="P7453" s="5"/>
      <c r="Q7453" s="21">
        <v>20</v>
      </c>
      <c r="R7453" s="21">
        <v>0</v>
      </c>
      <c r="S7453" s="5">
        <f t="shared" si="467"/>
        <v>50215.479203922878</v>
      </c>
      <c r="T7453" cm="1">
        <f t="array" ref="T7453">IF(OR(B7453="MAL ALIMI", B7453="ÜRETİM GİRİŞ"), MIN(I7453, MAX(0, I7453 + SUM(SUMIFS($I$1:I7452, $C$1:C7452, C7453, $B$1:B7452, {"MAL ALIMI","ÜRETİM GİRİŞ"})) - VLOOKUP(C7453, 'STOK RAPORU'!$C$2:$I$1000, 4, 0))), 0)</f>
        <v>0</v>
      </c>
      <c r="U7453" s="22">
        <f t="shared" si="464"/>
        <v>0</v>
      </c>
      <c r="V7453">
        <f t="shared" si="465"/>
        <v>0</v>
      </c>
      <c r="W7453" s="22">
        <f t="shared" si="466"/>
        <v>0</v>
      </c>
    </row>
    <row r="7454" spans="1:23" hidden="1" x14ac:dyDescent="0.25">
      <c r="A7454" s="3">
        <v>46175</v>
      </c>
      <c r="B7454" s="46" t="s">
        <v>334</v>
      </c>
      <c r="C7454" s="4" t="s">
        <v>160</v>
      </c>
      <c r="D7454" s="4"/>
      <c r="E7454" s="4"/>
      <c r="F7454" s="4" t="s">
        <v>3556</v>
      </c>
      <c r="G7454" s="4" t="s">
        <v>336</v>
      </c>
      <c r="H7454" s="4" t="s">
        <v>289</v>
      </c>
      <c r="I7454" s="4">
        <v>1</v>
      </c>
      <c r="J7454" s="21">
        <v>250</v>
      </c>
      <c r="K7454" s="21">
        <v>0</v>
      </c>
      <c r="L7454" s="5">
        <v>0</v>
      </c>
      <c r="M7454" s="4"/>
      <c r="N7454" s="4"/>
      <c r="O7454" s="5"/>
      <c r="P7454" s="5"/>
      <c r="Q7454" s="21">
        <v>250</v>
      </c>
      <c r="R7454" s="21">
        <v>0</v>
      </c>
      <c r="S7454" s="5">
        <f t="shared" si="467"/>
        <v>50465.479203922878</v>
      </c>
      <c r="T7454" cm="1">
        <f t="array" ref="T7454">IF(OR(B7454="MAL ALIMI", B7454="ÜRETİM GİRİŞ"), MIN(I7454, MAX(0, I7454 + SUM(SUMIFS($I$1:I7453, $C$1:C7453, C7454, $B$1:B7453, {"MAL ALIMI","ÜRETİM GİRİŞ"})) - VLOOKUP(C7454, 'STOK RAPORU'!$C$2:$I$1000, 4, 0))), 0)</f>
        <v>0</v>
      </c>
      <c r="U7454" s="22">
        <f t="shared" si="464"/>
        <v>0</v>
      </c>
      <c r="V7454">
        <f t="shared" si="465"/>
        <v>0</v>
      </c>
      <c r="W7454" s="22">
        <f t="shared" si="466"/>
        <v>0</v>
      </c>
    </row>
    <row r="7455" spans="1:23" hidden="1" x14ac:dyDescent="0.25">
      <c r="A7455" s="3">
        <v>46175</v>
      </c>
      <c r="B7455" s="46" t="s">
        <v>334</v>
      </c>
      <c r="C7455" s="4" t="s">
        <v>161</v>
      </c>
      <c r="D7455" s="4"/>
      <c r="E7455" s="4"/>
      <c r="F7455" s="4" t="s">
        <v>3556</v>
      </c>
      <c r="G7455" s="4" t="s">
        <v>336</v>
      </c>
      <c r="H7455" s="4" t="s">
        <v>289</v>
      </c>
      <c r="I7455" s="4">
        <v>1</v>
      </c>
      <c r="J7455" s="21">
        <v>250</v>
      </c>
      <c r="K7455" s="21">
        <v>0</v>
      </c>
      <c r="L7455" s="5">
        <v>0</v>
      </c>
      <c r="M7455" s="4"/>
      <c r="N7455" s="4"/>
      <c r="O7455" s="5"/>
      <c r="P7455" s="5"/>
      <c r="Q7455" s="21">
        <v>250</v>
      </c>
      <c r="R7455" s="21">
        <v>0</v>
      </c>
      <c r="S7455" s="5">
        <f t="shared" si="467"/>
        <v>50715.479203922878</v>
      </c>
      <c r="T7455" cm="1">
        <f t="array" ref="T7455">IF(OR(B7455="MAL ALIMI", B7455="ÜRETİM GİRİŞ"), MIN(I7455, MAX(0, I7455 + SUM(SUMIFS($I$1:I7454, $C$1:C7454, C7455, $B$1:B7454, {"MAL ALIMI","ÜRETİM GİRİŞ"})) - VLOOKUP(C7455, 'STOK RAPORU'!$C$2:$I$1000, 4, 0))), 0)</f>
        <v>0</v>
      </c>
      <c r="U7455" s="22">
        <f t="shared" si="464"/>
        <v>0</v>
      </c>
      <c r="V7455">
        <f t="shared" si="465"/>
        <v>0</v>
      </c>
      <c r="W7455" s="22">
        <f t="shared" si="466"/>
        <v>0</v>
      </c>
    </row>
    <row r="7456" spans="1:23" hidden="1" x14ac:dyDescent="0.25">
      <c r="A7456" s="3">
        <v>46175</v>
      </c>
      <c r="B7456" s="46" t="s">
        <v>334</v>
      </c>
      <c r="C7456" s="4" t="s">
        <v>1365</v>
      </c>
      <c r="D7456" s="4"/>
      <c r="E7456" s="4" t="s">
        <v>921</v>
      </c>
      <c r="F7456" s="4" t="s">
        <v>3557</v>
      </c>
      <c r="G7456" s="4" t="s">
        <v>336</v>
      </c>
      <c r="H7456" s="4" t="s">
        <v>380</v>
      </c>
      <c r="I7456" s="4">
        <v>1</v>
      </c>
      <c r="J7456" s="21">
        <v>140</v>
      </c>
      <c r="K7456" s="21">
        <v>140</v>
      </c>
      <c r="L7456" s="5">
        <v>0</v>
      </c>
      <c r="M7456" s="4"/>
      <c r="N7456" s="4"/>
      <c r="O7456" s="5"/>
      <c r="P7456" s="5"/>
      <c r="Q7456" s="21">
        <v>0</v>
      </c>
      <c r="R7456" s="21">
        <v>0</v>
      </c>
      <c r="S7456" s="5">
        <f t="shared" si="467"/>
        <v>50715.479203922878</v>
      </c>
      <c r="T7456" cm="1">
        <f t="array" ref="T7456">IF(OR(B7456="MAL ALIMI", B7456="ÜRETİM GİRİŞ"), MIN(I7456, MAX(0, I7456 + SUM(SUMIFS($I$1:I7455, $C$1:C7455, C7456, $B$1:B7455, {"MAL ALIMI","ÜRETİM GİRİŞ"})) - VLOOKUP(C7456, 'STOK RAPORU'!$C$2:$I$1000, 4, 0))), 0)</f>
        <v>0</v>
      </c>
      <c r="U7456" s="22">
        <f t="shared" si="464"/>
        <v>0</v>
      </c>
      <c r="V7456">
        <f t="shared" si="465"/>
        <v>0</v>
      </c>
      <c r="W7456" s="22">
        <f t="shared" si="466"/>
        <v>0</v>
      </c>
    </row>
    <row r="7457" spans="1:23" hidden="1" x14ac:dyDescent="0.25">
      <c r="A7457" s="3">
        <v>46175</v>
      </c>
      <c r="B7457" s="46" t="s">
        <v>334</v>
      </c>
      <c r="C7457" s="4" t="s">
        <v>60</v>
      </c>
      <c r="D7457" s="4"/>
      <c r="E7457" s="4" t="s">
        <v>921</v>
      </c>
      <c r="F7457" s="4" t="s">
        <v>3557</v>
      </c>
      <c r="G7457" s="4" t="s">
        <v>336</v>
      </c>
      <c r="H7457" s="4" t="s">
        <v>380</v>
      </c>
      <c r="I7457" s="4">
        <v>0.05</v>
      </c>
      <c r="J7457" s="21">
        <v>1200</v>
      </c>
      <c r="K7457" s="21">
        <v>60</v>
      </c>
      <c r="L7457" s="5">
        <v>0</v>
      </c>
      <c r="M7457" s="4"/>
      <c r="N7457" s="4"/>
      <c r="O7457" s="5"/>
      <c r="P7457" s="5"/>
      <c r="Q7457" s="21">
        <v>0</v>
      </c>
      <c r="R7457" s="21">
        <v>0</v>
      </c>
      <c r="S7457" s="5">
        <f t="shared" si="467"/>
        <v>50715.479203922878</v>
      </c>
      <c r="T7457" cm="1">
        <f t="array" ref="T7457">IF(OR(B7457="MAL ALIMI", B7457="ÜRETİM GİRİŞ"), MIN(I7457, MAX(0, I7457 + SUM(SUMIFS($I$1:I7456, $C$1:C7456, C7457, $B$1:B7456, {"MAL ALIMI","ÜRETİM GİRİŞ"})) - VLOOKUP(C7457, 'STOK RAPORU'!$C$2:$I$1000, 4, 0))), 0)</f>
        <v>0</v>
      </c>
      <c r="U7457" s="22">
        <f t="shared" si="464"/>
        <v>0</v>
      </c>
      <c r="V7457">
        <f t="shared" si="465"/>
        <v>0</v>
      </c>
      <c r="W7457" s="22">
        <f t="shared" si="466"/>
        <v>0</v>
      </c>
    </row>
    <row r="7458" spans="1:23" hidden="1" x14ac:dyDescent="0.25">
      <c r="A7458" s="3">
        <v>46175</v>
      </c>
      <c r="B7458" s="46" t="s">
        <v>334</v>
      </c>
      <c r="C7458" s="4" t="s">
        <v>2243</v>
      </c>
      <c r="D7458" s="4"/>
      <c r="E7458" s="4"/>
      <c r="F7458" s="4" t="s">
        <v>3558</v>
      </c>
      <c r="G7458" s="4" t="s">
        <v>336</v>
      </c>
      <c r="H7458" s="4" t="s">
        <v>289</v>
      </c>
      <c r="I7458" s="4">
        <v>0.12</v>
      </c>
      <c r="J7458" s="21">
        <v>520</v>
      </c>
      <c r="K7458" s="21">
        <v>0</v>
      </c>
      <c r="L7458" s="5">
        <v>0</v>
      </c>
      <c r="M7458" s="4"/>
      <c r="N7458" s="4"/>
      <c r="O7458" s="5"/>
      <c r="P7458" s="5"/>
      <c r="Q7458" s="21">
        <v>62.4</v>
      </c>
      <c r="R7458" s="21">
        <v>0</v>
      </c>
      <c r="S7458" s="5">
        <f t="shared" si="467"/>
        <v>50777.879203922879</v>
      </c>
      <c r="T7458" cm="1">
        <f t="array" ref="T7458">IF(OR(B7458="MAL ALIMI", B7458="ÜRETİM GİRİŞ"), MIN(I7458, MAX(0, I7458 + SUM(SUMIFS($I$1:I7457, $C$1:C7457, C7458, $B$1:B7457, {"MAL ALIMI","ÜRETİM GİRİŞ"})) - VLOOKUP(C7458, 'STOK RAPORU'!$C$2:$I$1000, 4, 0))), 0)</f>
        <v>0</v>
      </c>
      <c r="U7458" s="22">
        <f t="shared" si="464"/>
        <v>0</v>
      </c>
      <c r="V7458">
        <f t="shared" si="465"/>
        <v>0</v>
      </c>
      <c r="W7458" s="22">
        <f t="shared" si="466"/>
        <v>0</v>
      </c>
    </row>
    <row r="7459" spans="1:23" hidden="1" x14ac:dyDescent="0.25">
      <c r="A7459" s="3">
        <v>46175</v>
      </c>
      <c r="B7459" s="46" t="s">
        <v>334</v>
      </c>
      <c r="C7459" s="4" t="s">
        <v>132</v>
      </c>
      <c r="D7459" s="4"/>
      <c r="E7459" s="4"/>
      <c r="F7459" s="4" t="s">
        <v>3558</v>
      </c>
      <c r="G7459" s="4" t="s">
        <v>336</v>
      </c>
      <c r="H7459" s="4" t="s">
        <v>289</v>
      </c>
      <c r="I7459" s="4">
        <v>0.13400000000000001</v>
      </c>
      <c r="J7459" s="21">
        <v>500</v>
      </c>
      <c r="K7459" s="21">
        <v>0</v>
      </c>
      <c r="L7459" s="5">
        <v>0</v>
      </c>
      <c r="M7459" s="4"/>
      <c r="N7459" s="4"/>
      <c r="O7459" s="5"/>
      <c r="P7459" s="5"/>
      <c r="Q7459" s="21">
        <v>67</v>
      </c>
      <c r="R7459" s="21">
        <v>0</v>
      </c>
      <c r="S7459" s="5">
        <f t="shared" si="467"/>
        <v>50844.879203922879</v>
      </c>
      <c r="T7459" cm="1">
        <f t="array" ref="T7459">IF(OR(B7459="MAL ALIMI", B7459="ÜRETİM GİRİŞ"), MIN(I7459, MAX(0, I7459 + SUM(SUMIFS($I$1:I7458, $C$1:C7458, C7459, $B$1:B7458, {"MAL ALIMI","ÜRETİM GİRİŞ"})) - VLOOKUP(C7459, 'STOK RAPORU'!$C$2:$I$1000, 4, 0))), 0)</f>
        <v>0</v>
      </c>
      <c r="U7459" s="22">
        <f t="shared" si="464"/>
        <v>0</v>
      </c>
      <c r="V7459">
        <f t="shared" si="465"/>
        <v>0</v>
      </c>
      <c r="W7459" s="22">
        <f t="shared" si="466"/>
        <v>0</v>
      </c>
    </row>
    <row r="7460" spans="1:23" hidden="1" x14ac:dyDescent="0.25">
      <c r="A7460" s="3">
        <v>46175</v>
      </c>
      <c r="B7460" s="46" t="s">
        <v>334</v>
      </c>
      <c r="C7460" s="4" t="s">
        <v>156</v>
      </c>
      <c r="D7460" s="4"/>
      <c r="E7460" s="4"/>
      <c r="F7460" s="4" t="s">
        <v>3558</v>
      </c>
      <c r="G7460" s="4" t="s">
        <v>336</v>
      </c>
      <c r="H7460" s="4" t="s">
        <v>289</v>
      </c>
      <c r="I7460" s="4">
        <v>1</v>
      </c>
      <c r="J7460" s="21">
        <v>200</v>
      </c>
      <c r="K7460" s="21">
        <v>0</v>
      </c>
      <c r="L7460" s="5">
        <v>0</v>
      </c>
      <c r="M7460" s="4"/>
      <c r="N7460" s="4"/>
      <c r="O7460" s="5"/>
      <c r="P7460" s="5"/>
      <c r="Q7460" s="21">
        <v>200</v>
      </c>
      <c r="R7460" s="21">
        <v>0</v>
      </c>
      <c r="S7460" s="5">
        <f t="shared" si="467"/>
        <v>51044.879203922879</v>
      </c>
      <c r="T7460" cm="1">
        <f t="array" ref="T7460">IF(OR(B7460="MAL ALIMI", B7460="ÜRETİM GİRİŞ"), MIN(I7460, MAX(0, I7460 + SUM(SUMIFS($I$1:I7459, $C$1:C7459, C7460, $B$1:B7459, {"MAL ALIMI","ÜRETİM GİRİŞ"})) - VLOOKUP(C7460, 'STOK RAPORU'!$C$2:$I$1000, 4, 0))), 0)</f>
        <v>0</v>
      </c>
      <c r="U7460" s="22">
        <f t="shared" si="464"/>
        <v>0</v>
      </c>
      <c r="V7460">
        <f t="shared" si="465"/>
        <v>0</v>
      </c>
      <c r="W7460" s="22">
        <f t="shared" si="466"/>
        <v>0</v>
      </c>
    </row>
    <row r="7461" spans="1:23" hidden="1" x14ac:dyDescent="0.25">
      <c r="A7461" s="3">
        <v>46175</v>
      </c>
      <c r="B7461" s="46" t="s">
        <v>334</v>
      </c>
      <c r="C7461" s="4" t="s">
        <v>530</v>
      </c>
      <c r="D7461" s="4"/>
      <c r="E7461" s="4"/>
      <c r="F7461" s="4" t="s">
        <v>3559</v>
      </c>
      <c r="G7461" s="4" t="s">
        <v>336</v>
      </c>
      <c r="H7461" s="4" t="s">
        <v>289</v>
      </c>
      <c r="I7461" s="4">
        <v>0.5</v>
      </c>
      <c r="J7461" s="21">
        <v>300</v>
      </c>
      <c r="K7461" s="21">
        <v>0</v>
      </c>
      <c r="L7461" s="5">
        <v>0</v>
      </c>
      <c r="M7461" s="4"/>
      <c r="N7461" s="4"/>
      <c r="O7461" s="5"/>
      <c r="P7461" s="5"/>
      <c r="Q7461" s="21">
        <v>150</v>
      </c>
      <c r="R7461" s="21">
        <v>0</v>
      </c>
      <c r="S7461" s="5">
        <f t="shared" si="467"/>
        <v>51194.879203922879</v>
      </c>
      <c r="T7461" cm="1">
        <f t="array" ref="T7461">IF(OR(B7461="MAL ALIMI", B7461="ÜRETİM GİRİŞ"), MIN(I7461, MAX(0, I7461 + SUM(SUMIFS($I$1:I7460, $C$1:C7460, C7461, $B$1:B7460, {"MAL ALIMI","ÜRETİM GİRİŞ"})) - VLOOKUP(C7461, 'STOK RAPORU'!$C$2:$I$1000, 4, 0))), 0)</f>
        <v>0</v>
      </c>
      <c r="U7461" s="22">
        <f t="shared" si="464"/>
        <v>0</v>
      </c>
      <c r="V7461">
        <f t="shared" si="465"/>
        <v>0</v>
      </c>
      <c r="W7461" s="22">
        <f t="shared" si="466"/>
        <v>0</v>
      </c>
    </row>
    <row r="7462" spans="1:23" hidden="1" x14ac:dyDescent="0.25">
      <c r="A7462" s="3">
        <v>46175</v>
      </c>
      <c r="B7462" s="46" t="s">
        <v>334</v>
      </c>
      <c r="C7462" s="4" t="s">
        <v>2565</v>
      </c>
      <c r="D7462" s="4"/>
      <c r="E7462" s="4"/>
      <c r="F7462" s="4" t="s">
        <v>3560</v>
      </c>
      <c r="G7462" s="4" t="s">
        <v>336</v>
      </c>
      <c r="H7462" s="4" t="s">
        <v>289</v>
      </c>
      <c r="I7462" s="4">
        <v>0.4</v>
      </c>
      <c r="J7462" s="21">
        <v>650</v>
      </c>
      <c r="K7462" s="21">
        <v>0</v>
      </c>
      <c r="L7462" s="5">
        <v>0</v>
      </c>
      <c r="M7462" s="4"/>
      <c r="N7462" s="4"/>
      <c r="O7462" s="5"/>
      <c r="P7462" s="5"/>
      <c r="Q7462" s="21">
        <v>260</v>
      </c>
      <c r="R7462" s="21">
        <v>0</v>
      </c>
      <c r="S7462" s="5">
        <f t="shared" si="467"/>
        <v>51454.879203922879</v>
      </c>
      <c r="T7462" cm="1">
        <f t="array" ref="T7462">IF(OR(B7462="MAL ALIMI", B7462="ÜRETİM GİRİŞ"), MIN(I7462, MAX(0, I7462 + SUM(SUMIFS($I$1:I7461, $C$1:C7461, C7462, $B$1:B7461, {"MAL ALIMI","ÜRETİM GİRİŞ"})) - VLOOKUP(C7462, 'STOK RAPORU'!$C$2:$I$1000, 4, 0))), 0)</f>
        <v>0</v>
      </c>
      <c r="U7462" s="22">
        <f t="shared" si="464"/>
        <v>0</v>
      </c>
      <c r="V7462">
        <f t="shared" si="465"/>
        <v>0</v>
      </c>
      <c r="W7462" s="22">
        <f t="shared" si="466"/>
        <v>0</v>
      </c>
    </row>
    <row r="7463" spans="1:23" hidden="1" x14ac:dyDescent="0.25">
      <c r="A7463" s="3">
        <v>46175</v>
      </c>
      <c r="B7463" s="46" t="s">
        <v>334</v>
      </c>
      <c r="C7463" s="4" t="s">
        <v>60</v>
      </c>
      <c r="D7463" s="4"/>
      <c r="E7463" s="4"/>
      <c r="F7463" s="4" t="s">
        <v>3560</v>
      </c>
      <c r="G7463" s="4" t="s">
        <v>336</v>
      </c>
      <c r="H7463" s="4" t="s">
        <v>289</v>
      </c>
      <c r="I7463" s="4">
        <v>0.05</v>
      </c>
      <c r="J7463" s="21">
        <v>800</v>
      </c>
      <c r="K7463" s="21">
        <v>0</v>
      </c>
      <c r="L7463" s="5">
        <v>0</v>
      </c>
      <c r="M7463" s="4"/>
      <c r="N7463" s="4"/>
      <c r="O7463" s="5"/>
      <c r="P7463" s="5"/>
      <c r="Q7463" s="21">
        <v>40</v>
      </c>
      <c r="R7463" s="21">
        <v>0</v>
      </c>
      <c r="S7463" s="5">
        <f t="shared" si="467"/>
        <v>51494.879203922879</v>
      </c>
      <c r="T7463" cm="1">
        <f t="array" ref="T7463">IF(OR(B7463="MAL ALIMI", B7463="ÜRETİM GİRİŞ"), MIN(I7463, MAX(0, I7463 + SUM(SUMIFS($I$1:I7462, $C$1:C7462, C7463, $B$1:B7462, {"MAL ALIMI","ÜRETİM GİRİŞ"})) - VLOOKUP(C7463, 'STOK RAPORU'!$C$2:$I$1000, 4, 0))), 0)</f>
        <v>0</v>
      </c>
      <c r="U7463" s="22">
        <f t="shared" si="464"/>
        <v>0</v>
      </c>
      <c r="V7463">
        <f t="shared" si="465"/>
        <v>0</v>
      </c>
      <c r="W7463" s="22">
        <f t="shared" si="466"/>
        <v>0</v>
      </c>
    </row>
    <row r="7464" spans="1:23" hidden="1" x14ac:dyDescent="0.25">
      <c r="A7464" s="3">
        <v>46175</v>
      </c>
      <c r="B7464" s="46" t="s">
        <v>334</v>
      </c>
      <c r="C7464" s="4" t="s">
        <v>715</v>
      </c>
      <c r="D7464" s="4"/>
      <c r="E7464" s="4" t="s">
        <v>921</v>
      </c>
      <c r="F7464" s="4" t="s">
        <v>3561</v>
      </c>
      <c r="G7464" s="4" t="s">
        <v>336</v>
      </c>
      <c r="H7464" s="4" t="s">
        <v>380</v>
      </c>
      <c r="I7464" s="4">
        <v>1</v>
      </c>
      <c r="J7464" s="21">
        <v>400</v>
      </c>
      <c r="K7464" s="21">
        <v>400</v>
      </c>
      <c r="L7464" s="5">
        <v>0</v>
      </c>
      <c r="M7464" s="4"/>
      <c r="N7464" s="4"/>
      <c r="O7464" s="5"/>
      <c r="P7464" s="5"/>
      <c r="Q7464" s="21">
        <v>0</v>
      </c>
      <c r="R7464" s="21">
        <v>0</v>
      </c>
      <c r="S7464" s="5">
        <f t="shared" si="467"/>
        <v>51494.879203922879</v>
      </c>
      <c r="T7464" cm="1">
        <f t="array" ref="T7464">IF(OR(B7464="MAL ALIMI", B7464="ÜRETİM GİRİŞ"), MIN(I7464, MAX(0, I7464 + SUM(SUMIFS($I$1:I7463, $C$1:C7463, C7464, $B$1:B7463, {"MAL ALIMI","ÜRETİM GİRİŞ"})) - VLOOKUP(C7464, 'STOK RAPORU'!$C$2:$I$1000, 4, 0))), 0)</f>
        <v>0</v>
      </c>
      <c r="U7464" s="22">
        <f t="shared" si="464"/>
        <v>0</v>
      </c>
      <c r="V7464">
        <f t="shared" si="465"/>
        <v>0</v>
      </c>
      <c r="W7464" s="22">
        <f t="shared" si="466"/>
        <v>0</v>
      </c>
    </row>
    <row r="7465" spans="1:23" hidden="1" x14ac:dyDescent="0.25">
      <c r="A7465" s="3">
        <v>46175</v>
      </c>
      <c r="B7465" s="46" t="s">
        <v>946</v>
      </c>
      <c r="C7465" s="4"/>
      <c r="D7465" s="4"/>
      <c r="E7465" s="4" t="s">
        <v>921</v>
      </c>
      <c r="F7465" s="4"/>
      <c r="G7465" s="4" t="s">
        <v>3548</v>
      </c>
      <c r="H7465" s="4" t="s">
        <v>380</v>
      </c>
      <c r="I7465" s="4">
        <v>1</v>
      </c>
      <c r="J7465" s="21">
        <v>791</v>
      </c>
      <c r="K7465" s="21">
        <v>0</v>
      </c>
      <c r="L7465" s="115">
        <v>791</v>
      </c>
      <c r="M7465" s="4"/>
      <c r="N7465" s="4"/>
      <c r="O7465" s="5"/>
      <c r="P7465" s="5"/>
      <c r="Q7465" s="21">
        <v>791</v>
      </c>
      <c r="R7465" s="21">
        <v>0</v>
      </c>
      <c r="S7465" s="5">
        <f t="shared" si="467"/>
        <v>52285.879203922879</v>
      </c>
      <c r="T7465" cm="1">
        <f t="array" ref="T7465">IF(OR(B7465="MAL ALIMI", B7465="ÜRETİM GİRİŞ"), MIN(I7465, MAX(0, I7465 + SUM(SUMIFS($I$1:I7464, $C$1:C7464, C7465, $B$1:B7464, {"MAL ALIMI","ÜRETİM GİRİŞ"})) - VLOOKUP(C7465, 'STOK RAPORU'!$C$2:$I$1000, 4, 0))), 0)</f>
        <v>0</v>
      </c>
      <c r="U7465" s="22">
        <f t="shared" si="464"/>
        <v>0</v>
      </c>
      <c r="V7465">
        <f t="shared" si="465"/>
        <v>0</v>
      </c>
      <c r="W7465" s="22">
        <f t="shared" si="466"/>
        <v>0</v>
      </c>
    </row>
    <row r="7466" spans="1:23" hidden="1" x14ac:dyDescent="0.25">
      <c r="A7466" s="3">
        <v>46175</v>
      </c>
      <c r="B7466" s="46" t="s">
        <v>285</v>
      </c>
      <c r="C7466" s="4"/>
      <c r="D7466" s="4" t="s">
        <v>673</v>
      </c>
      <c r="E7466" s="4"/>
      <c r="F7466" s="4"/>
      <c r="G7466" s="4" t="s">
        <v>3548</v>
      </c>
      <c r="H7466" s="4" t="s">
        <v>289</v>
      </c>
      <c r="I7466" s="4">
        <v>1</v>
      </c>
      <c r="J7466" s="21">
        <v>791</v>
      </c>
      <c r="K7466" s="21">
        <v>0</v>
      </c>
      <c r="L7466" s="5">
        <v>0</v>
      </c>
      <c r="M7466" s="4"/>
      <c r="N7466" s="4"/>
      <c r="O7466" s="5"/>
      <c r="P7466" s="5"/>
      <c r="Q7466" s="21">
        <v>0</v>
      </c>
      <c r="R7466" s="21">
        <v>791</v>
      </c>
      <c r="S7466" s="5">
        <f t="shared" si="467"/>
        <v>51494.879203922879</v>
      </c>
      <c r="T7466" cm="1">
        <f t="array" ref="T7466">IF(OR(B7466="MAL ALIMI", B7466="ÜRETİM GİRİŞ"), MIN(I7466, MAX(0, I7466 + SUM(SUMIFS($I$1:I7465, $C$1:C7465, C7466, $B$1:B7465, {"MAL ALIMI","ÜRETİM GİRİŞ"})) - VLOOKUP(C7466, 'STOK RAPORU'!$C$2:$I$1000, 4, 0))), 0)</f>
        <v>0</v>
      </c>
      <c r="U7466" s="22">
        <f t="shared" si="464"/>
        <v>0</v>
      </c>
      <c r="V7466">
        <f t="shared" si="465"/>
        <v>0</v>
      </c>
      <c r="W7466" s="22">
        <f t="shared" si="466"/>
        <v>0</v>
      </c>
    </row>
    <row r="7467" spans="1:23" hidden="1" x14ac:dyDescent="0.25">
      <c r="A7467" s="3">
        <v>46175</v>
      </c>
      <c r="B7467" s="46" t="s">
        <v>285</v>
      </c>
      <c r="C7467" s="4"/>
      <c r="D7467" s="4" t="s">
        <v>108</v>
      </c>
      <c r="E7467" s="4"/>
      <c r="F7467" s="4"/>
      <c r="G7467" s="4" t="s">
        <v>3550</v>
      </c>
      <c r="H7467" s="4" t="s">
        <v>289</v>
      </c>
      <c r="I7467" s="4">
        <v>1</v>
      </c>
      <c r="J7467" s="21">
        <v>22000</v>
      </c>
      <c r="K7467" s="21">
        <v>0</v>
      </c>
      <c r="L7467" s="5">
        <v>0</v>
      </c>
      <c r="M7467" s="4"/>
      <c r="N7467" s="4"/>
      <c r="O7467" s="5"/>
      <c r="P7467" s="5"/>
      <c r="Q7467" s="21">
        <v>0</v>
      </c>
      <c r="R7467" s="21">
        <v>22000</v>
      </c>
      <c r="S7467" s="5">
        <f t="shared" si="467"/>
        <v>29494.879203922879</v>
      </c>
      <c r="T7467" cm="1">
        <f t="array" ref="T7467">IF(OR(B7467="MAL ALIMI", B7467="ÜRETİM GİRİŞ"), MIN(I7467, MAX(0, I7467 + SUM(SUMIFS($I$1:I7466, $C$1:C7466, C7467, $B$1:B7466, {"MAL ALIMI","ÜRETİM GİRİŞ"})) - VLOOKUP(C7467, 'STOK RAPORU'!$C$2:$I$1000, 4, 0))), 0)</f>
        <v>0</v>
      </c>
      <c r="U7467" s="22">
        <f t="shared" si="464"/>
        <v>0</v>
      </c>
      <c r="V7467">
        <f t="shared" si="465"/>
        <v>0</v>
      </c>
      <c r="W7467" s="22">
        <f t="shared" si="466"/>
        <v>0</v>
      </c>
    </row>
    <row r="7468" spans="1:23" hidden="1" x14ac:dyDescent="0.25">
      <c r="A7468" s="3">
        <v>46175</v>
      </c>
      <c r="B7468" s="4" t="s">
        <v>946</v>
      </c>
      <c r="C7468" s="4"/>
      <c r="D7468" s="4"/>
      <c r="E7468" s="4" t="s">
        <v>921</v>
      </c>
      <c r="F7468" s="4"/>
      <c r="G7468" s="4" t="s">
        <v>946</v>
      </c>
      <c r="H7468" s="4" t="s">
        <v>380</v>
      </c>
      <c r="I7468" s="4">
        <v>1</v>
      </c>
      <c r="J7468" s="21">
        <v>1358</v>
      </c>
      <c r="K7468" s="21">
        <v>0</v>
      </c>
      <c r="L7468" s="115">
        <v>1358</v>
      </c>
      <c r="M7468" s="4"/>
      <c r="N7468" s="4"/>
      <c r="O7468" s="5"/>
      <c r="P7468" s="5"/>
      <c r="Q7468" s="21">
        <v>1358</v>
      </c>
      <c r="R7468" s="21">
        <v>0</v>
      </c>
      <c r="S7468" s="5">
        <f t="shared" si="467"/>
        <v>30852.879203922879</v>
      </c>
      <c r="T7468" cm="1">
        <f t="array" ref="T7468">IF(OR(B7468="MAL ALIMI", B7468="ÜRETİM GİRİŞ"), MIN(I7468, MAX(0, I7468 + SUM(SUMIFS($I$1:I7467, $C$1:C7467, C7468, $B$1:B7467, {"MAL ALIMI","ÜRETİM GİRİŞ"})) - VLOOKUP(C7468, 'STOK RAPORU'!$C$2:$I$1000, 4, 0))), 0)</f>
        <v>0</v>
      </c>
      <c r="U7468" s="22">
        <f t="shared" si="464"/>
        <v>0</v>
      </c>
      <c r="V7468">
        <f t="shared" si="465"/>
        <v>0</v>
      </c>
      <c r="W7468" s="22">
        <f t="shared" si="466"/>
        <v>0</v>
      </c>
    </row>
    <row r="7469" spans="1:23" hidden="1" x14ac:dyDescent="0.25">
      <c r="A7469" s="3">
        <v>46176</v>
      </c>
      <c r="B7469" s="46" t="s">
        <v>334</v>
      </c>
      <c r="C7469" s="4" t="s">
        <v>3381</v>
      </c>
      <c r="D7469" s="4"/>
      <c r="E7469" s="4" t="s">
        <v>921</v>
      </c>
      <c r="F7469" s="4" t="s">
        <v>3562</v>
      </c>
      <c r="G7469" s="4" t="s">
        <v>336</v>
      </c>
      <c r="H7469" s="4" t="s">
        <v>380</v>
      </c>
      <c r="I7469" s="4">
        <v>0.34</v>
      </c>
      <c r="J7469" s="21">
        <v>250</v>
      </c>
      <c r="K7469" s="21">
        <v>85</v>
      </c>
      <c r="L7469" s="5">
        <v>0</v>
      </c>
      <c r="M7469" s="4"/>
      <c r="N7469" s="4"/>
      <c r="O7469" s="5"/>
      <c r="P7469" s="5"/>
      <c r="Q7469" s="21">
        <v>0</v>
      </c>
      <c r="R7469" s="21">
        <v>0</v>
      </c>
      <c r="S7469" s="5">
        <f t="shared" si="467"/>
        <v>30852.879203922879</v>
      </c>
      <c r="T7469" cm="1">
        <f t="array" ref="T7469">IF(OR(B7469="MAL ALIMI", B7469="ÜRETİM GİRİŞ"), MIN(I7469, MAX(0, I7469 + SUM(SUMIFS($I$1:I7468, $C$1:C7468, C7469, $B$1:B7468, {"MAL ALIMI","ÜRETİM GİRİŞ"})) - VLOOKUP(C7469, 'STOK RAPORU'!$C$2:$I$1000, 4, 0))), 0)</f>
        <v>0</v>
      </c>
      <c r="U7469" s="22">
        <f t="shared" si="464"/>
        <v>0</v>
      </c>
      <c r="V7469">
        <f t="shared" si="465"/>
        <v>0</v>
      </c>
      <c r="W7469" s="22">
        <f t="shared" si="466"/>
        <v>0</v>
      </c>
    </row>
    <row r="7470" spans="1:23" hidden="1" x14ac:dyDescent="0.25">
      <c r="A7470" s="3">
        <v>46176</v>
      </c>
      <c r="B7470" s="46" t="s">
        <v>334</v>
      </c>
      <c r="C7470" s="4" t="s">
        <v>634</v>
      </c>
      <c r="D7470" s="4"/>
      <c r="E7470" s="4" t="s">
        <v>921</v>
      </c>
      <c r="F7470" s="4" t="s">
        <v>3562</v>
      </c>
      <c r="G7470" s="4" t="s">
        <v>336</v>
      </c>
      <c r="H7470" s="4" t="s">
        <v>380</v>
      </c>
      <c r="I7470" s="4">
        <v>0.23529411764705882</v>
      </c>
      <c r="J7470" s="21">
        <v>850</v>
      </c>
      <c r="K7470" s="21">
        <v>200</v>
      </c>
      <c r="L7470" s="5">
        <v>0</v>
      </c>
      <c r="M7470" s="4"/>
      <c r="N7470" s="4"/>
      <c r="O7470" s="5"/>
      <c r="P7470" s="5"/>
      <c r="Q7470" s="21">
        <v>0</v>
      </c>
      <c r="R7470" s="21">
        <v>0</v>
      </c>
      <c r="S7470" s="5">
        <f t="shared" si="467"/>
        <v>30852.879203922879</v>
      </c>
      <c r="T7470" cm="1">
        <f t="array" ref="T7470">IF(OR(B7470="MAL ALIMI", B7470="ÜRETİM GİRİŞ"), MIN(I7470, MAX(0, I7470 + SUM(SUMIFS($I$1:I7469, $C$1:C7469, C7470, $B$1:B7469, {"MAL ALIMI","ÜRETİM GİRİŞ"})) - VLOOKUP(C7470, 'STOK RAPORU'!$C$2:$I$1000, 4, 0))), 0)</f>
        <v>0</v>
      </c>
      <c r="U7470" s="22">
        <f t="shared" si="464"/>
        <v>0</v>
      </c>
      <c r="V7470">
        <f t="shared" si="465"/>
        <v>0</v>
      </c>
      <c r="W7470" s="22">
        <f t="shared" si="466"/>
        <v>0</v>
      </c>
    </row>
    <row r="7471" spans="1:23" hidden="1" x14ac:dyDescent="0.25">
      <c r="A7471" s="3">
        <v>46176</v>
      </c>
      <c r="B7471" s="46" t="s">
        <v>334</v>
      </c>
      <c r="C7471" s="4" t="s">
        <v>728</v>
      </c>
      <c r="D7471" s="4"/>
      <c r="E7471" s="4" t="s">
        <v>921</v>
      </c>
      <c r="F7471" s="4" t="s">
        <v>3562</v>
      </c>
      <c r="G7471" s="4" t="s">
        <v>336</v>
      </c>
      <c r="H7471" s="4" t="s">
        <v>380</v>
      </c>
      <c r="I7471" s="4">
        <v>0.44461538461538463</v>
      </c>
      <c r="J7471" s="21">
        <v>650</v>
      </c>
      <c r="K7471" s="21">
        <v>289</v>
      </c>
      <c r="L7471" s="5">
        <v>0</v>
      </c>
      <c r="M7471" s="4"/>
      <c r="N7471" s="4"/>
      <c r="O7471" s="5"/>
      <c r="P7471" s="5"/>
      <c r="Q7471" s="21">
        <v>0</v>
      </c>
      <c r="R7471" s="21">
        <v>0</v>
      </c>
      <c r="S7471" s="5">
        <f t="shared" si="467"/>
        <v>30852.879203922879</v>
      </c>
      <c r="T7471" cm="1">
        <f t="array" ref="T7471">IF(OR(B7471="MAL ALIMI", B7471="ÜRETİM GİRİŞ"), MIN(I7471, MAX(0, I7471 + SUM(SUMIFS($I$1:I7470, $C$1:C7470, C7471, $B$1:B7470, {"MAL ALIMI","ÜRETİM GİRİŞ"})) - VLOOKUP(C7471, 'STOK RAPORU'!$C$2:$I$1000, 4, 0))), 0)</f>
        <v>0</v>
      </c>
      <c r="U7471" s="22">
        <f t="shared" si="464"/>
        <v>0</v>
      </c>
      <c r="V7471">
        <f t="shared" si="465"/>
        <v>0</v>
      </c>
      <c r="W7471" s="22">
        <f t="shared" si="466"/>
        <v>0</v>
      </c>
    </row>
    <row r="7472" spans="1:23" hidden="1" x14ac:dyDescent="0.25">
      <c r="A7472" s="3">
        <v>46176</v>
      </c>
      <c r="B7472" s="46" t="s">
        <v>334</v>
      </c>
      <c r="C7472" s="4" t="s">
        <v>133</v>
      </c>
      <c r="D7472" s="4"/>
      <c r="E7472" s="4" t="s">
        <v>921</v>
      </c>
      <c r="F7472" s="4" t="s">
        <v>3563</v>
      </c>
      <c r="G7472" s="4" t="s">
        <v>3564</v>
      </c>
      <c r="H7472" s="4" t="s">
        <v>380</v>
      </c>
      <c r="I7472" s="4">
        <v>5</v>
      </c>
      <c r="J7472" s="21">
        <v>230</v>
      </c>
      <c r="K7472" s="21">
        <v>1150</v>
      </c>
      <c r="L7472" s="5">
        <v>0</v>
      </c>
      <c r="M7472" s="4"/>
      <c r="N7472" s="4"/>
      <c r="O7472" s="5"/>
      <c r="P7472" s="5"/>
      <c r="Q7472" s="21">
        <v>0</v>
      </c>
      <c r="R7472" s="21">
        <v>0</v>
      </c>
      <c r="S7472" s="5">
        <f t="shared" si="467"/>
        <v>30852.879203922879</v>
      </c>
      <c r="T7472" cm="1">
        <f t="array" ref="T7472">IF(OR(B7472="MAL ALIMI", B7472="ÜRETİM GİRİŞ"), MIN(I7472, MAX(0, I7472 + SUM(SUMIFS($I$1:I7471, $C$1:C7471, C7472, $B$1:B7471, {"MAL ALIMI","ÜRETİM GİRİŞ"})) - VLOOKUP(C7472, 'STOK RAPORU'!$C$2:$I$1000, 4, 0))), 0)</f>
        <v>0</v>
      </c>
      <c r="U7472" s="22">
        <f t="shared" si="464"/>
        <v>0</v>
      </c>
      <c r="V7472">
        <f t="shared" si="465"/>
        <v>0</v>
      </c>
      <c r="W7472" s="22">
        <f t="shared" si="466"/>
        <v>0</v>
      </c>
    </row>
    <row r="7473" spans="1:23" hidden="1" x14ac:dyDescent="0.25">
      <c r="A7473" s="3">
        <v>46176</v>
      </c>
      <c r="B7473" s="46" t="s">
        <v>334</v>
      </c>
      <c r="C7473" s="4" t="s">
        <v>463</v>
      </c>
      <c r="D7473" s="4"/>
      <c r="E7473" s="4" t="s">
        <v>921</v>
      </c>
      <c r="F7473" s="4" t="s">
        <v>3563</v>
      </c>
      <c r="G7473" s="4" t="s">
        <v>3564</v>
      </c>
      <c r="H7473" s="4" t="s">
        <v>380</v>
      </c>
      <c r="I7473" s="4">
        <v>2.04</v>
      </c>
      <c r="J7473" s="21">
        <v>265</v>
      </c>
      <c r="K7473" s="21">
        <v>540.6</v>
      </c>
      <c r="L7473" s="5">
        <v>0</v>
      </c>
      <c r="M7473" s="4"/>
      <c r="N7473" s="4"/>
      <c r="O7473" s="5"/>
      <c r="P7473" s="5"/>
      <c r="Q7473" s="21">
        <v>0</v>
      </c>
      <c r="R7473" s="21">
        <v>0</v>
      </c>
      <c r="S7473" s="5">
        <f t="shared" si="467"/>
        <v>30852.879203922879</v>
      </c>
      <c r="T7473" cm="1">
        <f t="array" ref="T7473">IF(OR(B7473="MAL ALIMI", B7473="ÜRETİM GİRİŞ"), MIN(I7473, MAX(0, I7473 + SUM(SUMIFS($I$1:I7472, $C$1:C7472, C7473, $B$1:B7472, {"MAL ALIMI","ÜRETİM GİRİŞ"})) - VLOOKUP(C7473, 'STOK RAPORU'!$C$2:$I$1000, 4, 0))), 0)</f>
        <v>0</v>
      </c>
      <c r="U7473" s="22">
        <f t="shared" si="464"/>
        <v>0</v>
      </c>
      <c r="V7473">
        <f t="shared" si="465"/>
        <v>0</v>
      </c>
      <c r="W7473" s="22">
        <f t="shared" si="466"/>
        <v>0</v>
      </c>
    </row>
    <row r="7474" spans="1:23" hidden="1" x14ac:dyDescent="0.25">
      <c r="A7474" s="3">
        <v>46176</v>
      </c>
      <c r="B7474" s="46" t="s">
        <v>334</v>
      </c>
      <c r="C7474" s="4" t="s">
        <v>132</v>
      </c>
      <c r="D7474" s="4"/>
      <c r="E7474" s="4" t="s">
        <v>921</v>
      </c>
      <c r="F7474" s="4" t="s">
        <v>3565</v>
      </c>
      <c r="G7474" s="4" t="s">
        <v>336</v>
      </c>
      <c r="H7474" s="4" t="s">
        <v>380</v>
      </c>
      <c r="I7474" s="4">
        <v>0.13600000000000001</v>
      </c>
      <c r="J7474" s="21">
        <v>500</v>
      </c>
      <c r="K7474" s="21">
        <v>68</v>
      </c>
      <c r="L7474" s="5">
        <v>0</v>
      </c>
      <c r="M7474" s="4"/>
      <c r="N7474" s="4"/>
      <c r="O7474" s="5"/>
      <c r="P7474" s="5"/>
      <c r="Q7474" s="21">
        <v>0</v>
      </c>
      <c r="R7474" s="21">
        <v>0</v>
      </c>
      <c r="S7474" s="5">
        <f t="shared" si="467"/>
        <v>30852.879203922879</v>
      </c>
      <c r="T7474" cm="1">
        <f t="array" ref="T7474">IF(OR(B7474="MAL ALIMI", B7474="ÜRETİM GİRİŞ"), MIN(I7474, MAX(0, I7474 + SUM(SUMIFS($I$1:I7473, $C$1:C7473, C7474, $B$1:B7473, {"MAL ALIMI","ÜRETİM GİRİŞ"})) - VLOOKUP(C7474, 'STOK RAPORU'!$C$2:$I$1000, 4, 0))), 0)</f>
        <v>0</v>
      </c>
      <c r="U7474" s="22">
        <f t="shared" ref="U7474:U7537" si="468">T7474*J7474</f>
        <v>0</v>
      </c>
      <c r="V7474">
        <f t="shared" ref="V7474:V7537" si="469">IF(OR(B7474="MAL ALIMI", B7474="ÜRETİM GİRİŞ"), I7474 * J7474, 0)</f>
        <v>0</v>
      </c>
      <c r="W7474" s="22">
        <f t="shared" ref="W7474:W7537" si="470">V7474-U7474</f>
        <v>0</v>
      </c>
    </row>
    <row r="7475" spans="1:23" hidden="1" x14ac:dyDescent="0.25">
      <c r="A7475" s="3">
        <v>46176</v>
      </c>
      <c r="B7475" s="46" t="s">
        <v>334</v>
      </c>
      <c r="C7475" s="4" t="s">
        <v>463</v>
      </c>
      <c r="D7475" s="4"/>
      <c r="E7475" s="4" t="s">
        <v>921</v>
      </c>
      <c r="F7475" s="4" t="s">
        <v>3565</v>
      </c>
      <c r="G7475" s="4" t="s">
        <v>336</v>
      </c>
      <c r="H7475" s="4" t="s">
        <v>380</v>
      </c>
      <c r="I7475" s="4">
        <v>0.20600000000000002</v>
      </c>
      <c r="J7475" s="21">
        <v>400</v>
      </c>
      <c r="K7475" s="21">
        <v>82.4</v>
      </c>
      <c r="L7475" s="5">
        <v>0</v>
      </c>
      <c r="M7475" s="4"/>
      <c r="N7475" s="4"/>
      <c r="O7475" s="5"/>
      <c r="P7475" s="5"/>
      <c r="Q7475" s="21">
        <v>0</v>
      </c>
      <c r="R7475" s="21">
        <v>0</v>
      </c>
      <c r="S7475" s="5">
        <f t="shared" si="467"/>
        <v>30852.879203922879</v>
      </c>
      <c r="T7475" cm="1">
        <f t="array" ref="T7475">IF(OR(B7475="MAL ALIMI", B7475="ÜRETİM GİRİŞ"), MIN(I7475, MAX(0, I7475 + SUM(SUMIFS($I$1:I7474, $C$1:C7474, C7475, $B$1:B7474, {"MAL ALIMI","ÜRETİM GİRİŞ"})) - VLOOKUP(C7475, 'STOK RAPORU'!$C$2:$I$1000, 4, 0))), 0)</f>
        <v>0</v>
      </c>
      <c r="U7475" s="22">
        <f t="shared" si="468"/>
        <v>0</v>
      </c>
      <c r="V7475">
        <f t="shared" si="469"/>
        <v>0</v>
      </c>
      <c r="W7475" s="22">
        <f t="shared" si="470"/>
        <v>0</v>
      </c>
    </row>
    <row r="7476" spans="1:23" hidden="1" x14ac:dyDescent="0.25">
      <c r="A7476" s="3">
        <v>46176</v>
      </c>
      <c r="B7476" s="46" t="s">
        <v>334</v>
      </c>
      <c r="C7476" s="4" t="s">
        <v>152</v>
      </c>
      <c r="D7476" s="4"/>
      <c r="E7476" s="4" t="s">
        <v>921</v>
      </c>
      <c r="F7476" s="4" t="s">
        <v>3565</v>
      </c>
      <c r="G7476" s="4" t="s">
        <v>336</v>
      </c>
      <c r="H7476" s="4" t="s">
        <v>380</v>
      </c>
      <c r="I7476" s="4">
        <v>0.1</v>
      </c>
      <c r="J7476" s="21">
        <v>400</v>
      </c>
      <c r="K7476" s="21">
        <v>40</v>
      </c>
      <c r="L7476" s="5">
        <v>0</v>
      </c>
      <c r="M7476" s="4"/>
      <c r="N7476" s="4"/>
      <c r="O7476" s="5"/>
      <c r="P7476" s="5"/>
      <c r="Q7476" s="21">
        <v>0</v>
      </c>
      <c r="R7476" s="21">
        <v>0</v>
      </c>
      <c r="S7476" s="5">
        <f t="shared" si="467"/>
        <v>30852.879203922879</v>
      </c>
      <c r="T7476" cm="1">
        <f t="array" ref="T7476">IF(OR(B7476="MAL ALIMI", B7476="ÜRETİM GİRİŞ"), MIN(I7476, MAX(0, I7476 + SUM(SUMIFS($I$1:I7475, $C$1:C7475, C7476, $B$1:B7475, {"MAL ALIMI","ÜRETİM GİRİŞ"})) - VLOOKUP(C7476, 'STOK RAPORU'!$C$2:$I$1000, 4, 0))), 0)</f>
        <v>0</v>
      </c>
      <c r="U7476" s="22">
        <f t="shared" si="468"/>
        <v>0</v>
      </c>
      <c r="V7476">
        <f t="shared" si="469"/>
        <v>0</v>
      </c>
      <c r="W7476" s="22">
        <f t="shared" si="470"/>
        <v>0</v>
      </c>
    </row>
    <row r="7477" spans="1:23" hidden="1" x14ac:dyDescent="0.25">
      <c r="A7477" s="3">
        <v>46176</v>
      </c>
      <c r="B7477" s="46" t="s">
        <v>334</v>
      </c>
      <c r="C7477" s="4" t="s">
        <v>156</v>
      </c>
      <c r="D7477" s="4"/>
      <c r="E7477" s="4" t="s">
        <v>921</v>
      </c>
      <c r="F7477" s="4" t="s">
        <v>3565</v>
      </c>
      <c r="G7477" s="4" t="s">
        <v>336</v>
      </c>
      <c r="H7477" s="4" t="s">
        <v>380</v>
      </c>
      <c r="I7477" s="4">
        <v>0.5</v>
      </c>
      <c r="J7477" s="21">
        <v>200</v>
      </c>
      <c r="K7477" s="21">
        <v>100</v>
      </c>
      <c r="L7477" s="5">
        <v>0</v>
      </c>
      <c r="M7477" s="4"/>
      <c r="N7477" s="4"/>
      <c r="O7477" s="5"/>
      <c r="P7477" s="5"/>
      <c r="Q7477" s="21">
        <v>0</v>
      </c>
      <c r="R7477" s="21">
        <v>0</v>
      </c>
      <c r="S7477" s="5">
        <f t="shared" si="467"/>
        <v>30852.879203922879</v>
      </c>
      <c r="T7477" cm="1">
        <f t="array" ref="T7477">IF(OR(B7477="MAL ALIMI", B7477="ÜRETİM GİRİŞ"), MIN(I7477, MAX(0, I7477 + SUM(SUMIFS($I$1:I7476, $C$1:C7476, C7477, $B$1:B7476, {"MAL ALIMI","ÜRETİM GİRİŞ"})) - VLOOKUP(C7477, 'STOK RAPORU'!$C$2:$I$1000, 4, 0))), 0)</f>
        <v>0</v>
      </c>
      <c r="U7477" s="22">
        <f t="shared" si="468"/>
        <v>0</v>
      </c>
      <c r="V7477">
        <f t="shared" si="469"/>
        <v>0</v>
      </c>
      <c r="W7477" s="22">
        <f t="shared" si="470"/>
        <v>0</v>
      </c>
    </row>
    <row r="7478" spans="1:23" hidden="1" x14ac:dyDescent="0.25">
      <c r="A7478" s="3">
        <v>46176</v>
      </c>
      <c r="B7478" s="46" t="s">
        <v>334</v>
      </c>
      <c r="C7478" s="4" t="s">
        <v>157</v>
      </c>
      <c r="D7478" s="4"/>
      <c r="E7478" s="4" t="s">
        <v>921</v>
      </c>
      <c r="F7478" s="4" t="s">
        <v>3565</v>
      </c>
      <c r="G7478" s="4" t="s">
        <v>336</v>
      </c>
      <c r="H7478" s="4" t="s">
        <v>380</v>
      </c>
      <c r="I7478" s="4">
        <v>0.5</v>
      </c>
      <c r="J7478" s="21">
        <v>200</v>
      </c>
      <c r="K7478" s="21">
        <v>100</v>
      </c>
      <c r="L7478" s="5">
        <v>0</v>
      </c>
      <c r="M7478" s="4"/>
      <c r="N7478" s="4"/>
      <c r="O7478" s="5"/>
      <c r="P7478" s="5"/>
      <c r="Q7478" s="21">
        <v>0</v>
      </c>
      <c r="R7478" s="21">
        <v>0</v>
      </c>
      <c r="S7478" s="5">
        <f t="shared" si="467"/>
        <v>30852.879203922879</v>
      </c>
      <c r="T7478" cm="1">
        <f t="array" ref="T7478">IF(OR(B7478="MAL ALIMI", B7478="ÜRETİM GİRİŞ"), MIN(I7478, MAX(0, I7478 + SUM(SUMIFS($I$1:I7477, $C$1:C7477, C7478, $B$1:B7477, {"MAL ALIMI","ÜRETİM GİRİŞ"})) - VLOOKUP(C7478, 'STOK RAPORU'!$C$2:$I$1000, 4, 0))), 0)</f>
        <v>0</v>
      </c>
      <c r="U7478" s="22">
        <f t="shared" si="468"/>
        <v>0</v>
      </c>
      <c r="V7478">
        <f t="shared" si="469"/>
        <v>0</v>
      </c>
      <c r="W7478" s="22">
        <f t="shared" si="470"/>
        <v>0</v>
      </c>
    </row>
    <row r="7479" spans="1:23" hidden="1" x14ac:dyDescent="0.25">
      <c r="A7479" s="3">
        <v>46176</v>
      </c>
      <c r="B7479" s="46" t="s">
        <v>334</v>
      </c>
      <c r="C7479" s="4" t="s">
        <v>158</v>
      </c>
      <c r="D7479" s="4"/>
      <c r="E7479" s="4" t="s">
        <v>921</v>
      </c>
      <c r="F7479" s="4" t="s">
        <v>3565</v>
      </c>
      <c r="G7479" s="4" t="s">
        <v>336</v>
      </c>
      <c r="H7479" s="4" t="s">
        <v>380</v>
      </c>
      <c r="I7479" s="4">
        <v>1</v>
      </c>
      <c r="J7479" s="21">
        <v>150</v>
      </c>
      <c r="K7479" s="21">
        <v>150</v>
      </c>
      <c r="L7479" s="5">
        <v>0</v>
      </c>
      <c r="M7479" s="4"/>
      <c r="N7479" s="4"/>
      <c r="O7479" s="5"/>
      <c r="P7479" s="5"/>
      <c r="Q7479" s="21">
        <v>0</v>
      </c>
      <c r="R7479" s="21">
        <v>0</v>
      </c>
      <c r="S7479" s="5">
        <f t="shared" si="467"/>
        <v>30852.879203922879</v>
      </c>
      <c r="T7479" cm="1">
        <f t="array" ref="T7479">IF(OR(B7479="MAL ALIMI", B7479="ÜRETİM GİRİŞ"), MIN(I7479, MAX(0, I7479 + SUM(SUMIFS($I$1:I7478, $C$1:C7478, C7479, $B$1:B7478, {"MAL ALIMI","ÜRETİM GİRİŞ"})) - VLOOKUP(C7479, 'STOK RAPORU'!$C$2:$I$1000, 4, 0))), 0)</f>
        <v>0</v>
      </c>
      <c r="U7479" s="22">
        <f t="shared" si="468"/>
        <v>0</v>
      </c>
      <c r="V7479">
        <f t="shared" si="469"/>
        <v>0</v>
      </c>
      <c r="W7479" s="22">
        <f t="shared" si="470"/>
        <v>0</v>
      </c>
    </row>
    <row r="7480" spans="1:23" hidden="1" x14ac:dyDescent="0.25">
      <c r="A7480" s="3">
        <v>46176</v>
      </c>
      <c r="B7480" s="46" t="s">
        <v>334</v>
      </c>
      <c r="C7480" s="4" t="s">
        <v>91</v>
      </c>
      <c r="D7480" s="4"/>
      <c r="E7480" s="4" t="s">
        <v>921</v>
      </c>
      <c r="F7480" s="4" t="s">
        <v>3565</v>
      </c>
      <c r="G7480" s="4" t="s">
        <v>336</v>
      </c>
      <c r="H7480" s="4" t="s">
        <v>380</v>
      </c>
      <c r="I7480" s="4">
        <v>2.823529411764706E-2</v>
      </c>
      <c r="J7480" s="21">
        <v>850</v>
      </c>
      <c r="K7480" s="21">
        <v>24</v>
      </c>
      <c r="L7480" s="5">
        <v>0</v>
      </c>
      <c r="M7480" s="4"/>
      <c r="N7480" s="4"/>
      <c r="O7480" s="5"/>
      <c r="P7480" s="5"/>
      <c r="Q7480" s="21">
        <v>0</v>
      </c>
      <c r="R7480" s="21">
        <v>0</v>
      </c>
      <c r="S7480" s="5">
        <f t="shared" si="467"/>
        <v>30852.879203922879</v>
      </c>
      <c r="T7480" cm="1">
        <f t="array" ref="T7480">IF(OR(B7480="MAL ALIMI", B7480="ÜRETİM GİRİŞ"), MIN(I7480, MAX(0, I7480 + SUM(SUMIFS($I$1:I7479, $C$1:C7479, C7480, $B$1:B7479, {"MAL ALIMI","ÜRETİM GİRİŞ"})) - VLOOKUP(C7480, 'STOK RAPORU'!$C$2:$I$1000, 4, 0))), 0)</f>
        <v>0</v>
      </c>
      <c r="U7480" s="22">
        <f t="shared" si="468"/>
        <v>0</v>
      </c>
      <c r="V7480">
        <f t="shared" si="469"/>
        <v>0</v>
      </c>
      <c r="W7480" s="22">
        <f t="shared" si="470"/>
        <v>0</v>
      </c>
    </row>
    <row r="7481" spans="1:23" hidden="1" x14ac:dyDescent="0.25">
      <c r="A7481" s="3">
        <v>46176</v>
      </c>
      <c r="B7481" s="46" t="s">
        <v>334</v>
      </c>
      <c r="C7481" s="4" t="s">
        <v>132</v>
      </c>
      <c r="D7481" s="4"/>
      <c r="E7481" s="4" t="s">
        <v>921</v>
      </c>
      <c r="F7481" s="4" t="s">
        <v>3566</v>
      </c>
      <c r="G7481" s="4" t="s">
        <v>336</v>
      </c>
      <c r="H7481" s="4" t="s">
        <v>380</v>
      </c>
      <c r="I7481" s="4">
        <v>0.188</v>
      </c>
      <c r="J7481" s="21">
        <v>500</v>
      </c>
      <c r="K7481" s="21">
        <v>94</v>
      </c>
      <c r="L7481" s="5">
        <v>0</v>
      </c>
      <c r="M7481" s="4"/>
      <c r="N7481" s="4"/>
      <c r="O7481" s="5"/>
      <c r="P7481" s="5"/>
      <c r="Q7481" s="21">
        <v>0</v>
      </c>
      <c r="R7481" s="21">
        <v>0</v>
      </c>
      <c r="S7481" s="5">
        <f t="shared" si="467"/>
        <v>30852.879203922879</v>
      </c>
      <c r="T7481" cm="1">
        <f t="array" ref="T7481">IF(OR(B7481="MAL ALIMI", B7481="ÜRETİM GİRİŞ"), MIN(I7481, MAX(0, I7481 + SUM(SUMIFS($I$1:I7480, $C$1:C7480, C7481, $B$1:B7480, {"MAL ALIMI","ÜRETİM GİRİŞ"})) - VLOOKUP(C7481, 'STOK RAPORU'!$C$2:$I$1000, 4, 0))), 0)</f>
        <v>0</v>
      </c>
      <c r="U7481" s="22">
        <f t="shared" si="468"/>
        <v>0</v>
      </c>
      <c r="V7481">
        <f t="shared" si="469"/>
        <v>0</v>
      </c>
      <c r="W7481" s="22">
        <f t="shared" si="470"/>
        <v>0</v>
      </c>
    </row>
    <row r="7482" spans="1:23" hidden="1" x14ac:dyDescent="0.25">
      <c r="A7482" s="3">
        <v>46176</v>
      </c>
      <c r="B7482" s="46" t="s">
        <v>334</v>
      </c>
      <c r="C7482" s="4" t="s">
        <v>463</v>
      </c>
      <c r="D7482" s="4"/>
      <c r="E7482" s="4" t="s">
        <v>921</v>
      </c>
      <c r="F7482" s="4" t="s">
        <v>3566</v>
      </c>
      <c r="G7482" s="4" t="s">
        <v>336</v>
      </c>
      <c r="H7482" s="4" t="s">
        <v>380</v>
      </c>
      <c r="I7482" s="4">
        <v>0.185</v>
      </c>
      <c r="J7482" s="21">
        <v>400</v>
      </c>
      <c r="K7482" s="21">
        <v>74</v>
      </c>
      <c r="L7482" s="5">
        <v>0</v>
      </c>
      <c r="M7482" s="4"/>
      <c r="N7482" s="4"/>
      <c r="O7482" s="5"/>
      <c r="P7482" s="5"/>
      <c r="Q7482" s="21">
        <v>0</v>
      </c>
      <c r="R7482" s="21">
        <v>0</v>
      </c>
      <c r="S7482" s="5">
        <f t="shared" si="467"/>
        <v>30852.879203922879</v>
      </c>
      <c r="T7482" cm="1">
        <f t="array" ref="T7482">IF(OR(B7482="MAL ALIMI", B7482="ÜRETİM GİRİŞ"), MIN(I7482, MAX(0, I7482 + SUM(SUMIFS($I$1:I7481, $C$1:C7481, C7482, $B$1:B7481, {"MAL ALIMI","ÜRETİM GİRİŞ"})) - VLOOKUP(C7482, 'STOK RAPORU'!$C$2:$I$1000, 4, 0))), 0)</f>
        <v>0</v>
      </c>
      <c r="U7482" s="22">
        <f t="shared" si="468"/>
        <v>0</v>
      </c>
      <c r="V7482">
        <f t="shared" si="469"/>
        <v>0</v>
      </c>
      <c r="W7482" s="22">
        <f t="shared" si="470"/>
        <v>0</v>
      </c>
    </row>
    <row r="7483" spans="1:23" hidden="1" x14ac:dyDescent="0.25">
      <c r="A7483" s="3">
        <v>46176</v>
      </c>
      <c r="B7483" s="46" t="s">
        <v>334</v>
      </c>
      <c r="C7483" s="4" t="s">
        <v>157</v>
      </c>
      <c r="D7483" s="4"/>
      <c r="E7483" s="4" t="s">
        <v>921</v>
      </c>
      <c r="F7483" s="4" t="s">
        <v>3566</v>
      </c>
      <c r="G7483" s="4" t="s">
        <v>336</v>
      </c>
      <c r="H7483" s="4" t="s">
        <v>380</v>
      </c>
      <c r="I7483" s="4">
        <v>1</v>
      </c>
      <c r="J7483" s="21">
        <v>200</v>
      </c>
      <c r="K7483" s="21">
        <v>200</v>
      </c>
      <c r="L7483" s="5">
        <v>0</v>
      </c>
      <c r="M7483" s="4"/>
      <c r="N7483" s="4"/>
      <c r="O7483" s="5"/>
      <c r="P7483" s="5"/>
      <c r="Q7483" s="21">
        <v>0</v>
      </c>
      <c r="R7483" s="21">
        <v>0</v>
      </c>
      <c r="S7483" s="5">
        <f t="shared" si="467"/>
        <v>30852.879203922879</v>
      </c>
      <c r="T7483" cm="1">
        <f t="array" ref="T7483">IF(OR(B7483="MAL ALIMI", B7483="ÜRETİM GİRİŞ"), MIN(I7483, MAX(0, I7483 + SUM(SUMIFS($I$1:I7482, $C$1:C7482, C7483, $B$1:B7482, {"MAL ALIMI","ÜRETİM GİRİŞ"})) - VLOOKUP(C7483, 'STOK RAPORU'!$C$2:$I$1000, 4, 0))), 0)</f>
        <v>0</v>
      </c>
      <c r="U7483" s="22">
        <f t="shared" si="468"/>
        <v>0</v>
      </c>
      <c r="V7483">
        <f t="shared" si="469"/>
        <v>0</v>
      </c>
      <c r="W7483" s="22">
        <f t="shared" si="470"/>
        <v>0</v>
      </c>
    </row>
    <row r="7484" spans="1:23" hidden="1" x14ac:dyDescent="0.25">
      <c r="A7484" s="3">
        <v>46176</v>
      </c>
      <c r="B7484" s="46" t="s">
        <v>334</v>
      </c>
      <c r="C7484" s="4" t="s">
        <v>140</v>
      </c>
      <c r="D7484" s="4"/>
      <c r="E7484" s="4"/>
      <c r="F7484" s="4" t="s">
        <v>3567</v>
      </c>
      <c r="G7484" s="4" t="s">
        <v>336</v>
      </c>
      <c r="H7484" s="4" t="s">
        <v>289</v>
      </c>
      <c r="I7484" s="4">
        <v>0.12333333333333334</v>
      </c>
      <c r="J7484" s="21">
        <v>300</v>
      </c>
      <c r="K7484" s="21">
        <v>0</v>
      </c>
      <c r="L7484" s="5">
        <v>0</v>
      </c>
      <c r="M7484" s="4"/>
      <c r="N7484" s="4"/>
      <c r="O7484" s="5"/>
      <c r="P7484" s="5"/>
      <c r="Q7484" s="21">
        <v>37</v>
      </c>
      <c r="R7484" s="21">
        <v>0</v>
      </c>
      <c r="S7484" s="5">
        <f t="shared" si="467"/>
        <v>30889.879203922879</v>
      </c>
      <c r="T7484" cm="1">
        <f t="array" ref="T7484">IF(OR(B7484="MAL ALIMI", B7484="ÜRETİM GİRİŞ"), MIN(I7484, MAX(0, I7484 + SUM(SUMIFS($I$1:I7483, $C$1:C7483, C7484, $B$1:B7483, {"MAL ALIMI","ÜRETİM GİRİŞ"})) - VLOOKUP(C7484, 'STOK RAPORU'!$C$2:$I$1000, 4, 0))), 0)</f>
        <v>0</v>
      </c>
      <c r="U7484" s="22">
        <f t="shared" si="468"/>
        <v>0</v>
      </c>
      <c r="V7484">
        <f t="shared" si="469"/>
        <v>0</v>
      </c>
      <c r="W7484" s="22">
        <f t="shared" si="470"/>
        <v>0</v>
      </c>
    </row>
    <row r="7485" spans="1:23" hidden="1" x14ac:dyDescent="0.25">
      <c r="A7485" s="3">
        <v>46176</v>
      </c>
      <c r="B7485" s="46" t="s">
        <v>334</v>
      </c>
      <c r="C7485" s="4" t="s">
        <v>158</v>
      </c>
      <c r="D7485" s="4"/>
      <c r="E7485" s="4"/>
      <c r="F7485" s="4" t="s">
        <v>3568</v>
      </c>
      <c r="G7485" s="4" t="s">
        <v>336</v>
      </c>
      <c r="H7485" s="4" t="s">
        <v>289</v>
      </c>
      <c r="I7485" s="4">
        <v>1</v>
      </c>
      <c r="J7485" s="21">
        <v>150</v>
      </c>
      <c r="K7485" s="21">
        <v>0</v>
      </c>
      <c r="L7485" s="5">
        <v>0</v>
      </c>
      <c r="M7485" s="4"/>
      <c r="N7485" s="4"/>
      <c r="O7485" s="5"/>
      <c r="P7485" s="5"/>
      <c r="Q7485" s="21">
        <v>150</v>
      </c>
      <c r="R7485" s="21">
        <v>0</v>
      </c>
      <c r="S7485" s="5">
        <f t="shared" si="467"/>
        <v>31039.879203922879</v>
      </c>
      <c r="T7485" cm="1">
        <f t="array" ref="T7485">IF(OR(B7485="MAL ALIMI", B7485="ÜRETİM GİRİŞ"), MIN(I7485, MAX(0, I7485 + SUM(SUMIFS($I$1:I7484, $C$1:C7484, C7485, $B$1:B7484, {"MAL ALIMI","ÜRETİM GİRİŞ"})) - VLOOKUP(C7485, 'STOK RAPORU'!$C$2:$I$1000, 4, 0))), 0)</f>
        <v>0</v>
      </c>
      <c r="U7485" s="22">
        <f t="shared" si="468"/>
        <v>0</v>
      </c>
      <c r="V7485">
        <f t="shared" si="469"/>
        <v>0</v>
      </c>
      <c r="W7485" s="22">
        <f t="shared" si="470"/>
        <v>0</v>
      </c>
    </row>
    <row r="7486" spans="1:23" hidden="1" x14ac:dyDescent="0.25">
      <c r="A7486" s="3">
        <v>46176</v>
      </c>
      <c r="B7486" s="46" t="s">
        <v>334</v>
      </c>
      <c r="C7486" s="4" t="s">
        <v>157</v>
      </c>
      <c r="D7486" s="4"/>
      <c r="E7486" s="4"/>
      <c r="F7486" s="4" t="s">
        <v>3568</v>
      </c>
      <c r="G7486" s="4" t="s">
        <v>336</v>
      </c>
      <c r="H7486" s="4" t="s">
        <v>289</v>
      </c>
      <c r="I7486" s="4">
        <v>1</v>
      </c>
      <c r="J7486" s="21">
        <v>200</v>
      </c>
      <c r="K7486" s="21">
        <v>0</v>
      </c>
      <c r="L7486" s="5">
        <v>0</v>
      </c>
      <c r="M7486" s="4"/>
      <c r="N7486" s="4"/>
      <c r="O7486" s="5"/>
      <c r="P7486" s="5"/>
      <c r="Q7486" s="21">
        <v>200</v>
      </c>
      <c r="R7486" s="21">
        <v>0</v>
      </c>
      <c r="S7486" s="5">
        <f t="shared" si="467"/>
        <v>31239.879203922879</v>
      </c>
      <c r="T7486" cm="1">
        <f t="array" ref="T7486">IF(OR(B7486="MAL ALIMI", B7486="ÜRETİM GİRİŞ"), MIN(I7486, MAX(0, I7486 + SUM(SUMIFS($I$1:I7485, $C$1:C7485, C7486, $B$1:B7485, {"MAL ALIMI","ÜRETİM GİRİŞ"})) - VLOOKUP(C7486, 'STOK RAPORU'!$C$2:$I$1000, 4, 0))), 0)</f>
        <v>0</v>
      </c>
      <c r="U7486" s="22">
        <f t="shared" si="468"/>
        <v>0</v>
      </c>
      <c r="V7486">
        <f t="shared" si="469"/>
        <v>0</v>
      </c>
      <c r="W7486" s="22">
        <f t="shared" si="470"/>
        <v>0</v>
      </c>
    </row>
    <row r="7487" spans="1:23" hidden="1" x14ac:dyDescent="0.25">
      <c r="A7487" s="3">
        <v>46176</v>
      </c>
      <c r="B7487" s="46" t="s">
        <v>334</v>
      </c>
      <c r="C7487" s="4" t="s">
        <v>715</v>
      </c>
      <c r="D7487" s="4"/>
      <c r="E7487" s="4" t="s">
        <v>921</v>
      </c>
      <c r="F7487" s="4" t="s">
        <v>3569</v>
      </c>
      <c r="G7487" s="4" t="s">
        <v>336</v>
      </c>
      <c r="H7487" s="4" t="s">
        <v>380</v>
      </c>
      <c r="I7487" s="4">
        <v>1</v>
      </c>
      <c r="J7487" s="21">
        <v>400</v>
      </c>
      <c r="K7487" s="21">
        <v>400</v>
      </c>
      <c r="L7487" s="5">
        <v>0</v>
      </c>
      <c r="M7487" s="4"/>
      <c r="N7487" s="4"/>
      <c r="O7487" s="5"/>
      <c r="P7487" s="5"/>
      <c r="Q7487" s="21">
        <v>0</v>
      </c>
      <c r="R7487" s="21">
        <v>0</v>
      </c>
      <c r="S7487" s="5">
        <f t="shared" si="467"/>
        <v>31239.879203922879</v>
      </c>
      <c r="T7487" cm="1">
        <f t="array" ref="T7487">IF(OR(B7487="MAL ALIMI", B7487="ÜRETİM GİRİŞ"), MIN(I7487, MAX(0, I7487 + SUM(SUMIFS($I$1:I7486, $C$1:C7486, C7487, $B$1:B7486, {"MAL ALIMI","ÜRETİM GİRİŞ"})) - VLOOKUP(C7487, 'STOK RAPORU'!$C$2:$I$1000, 4, 0))), 0)</f>
        <v>0</v>
      </c>
      <c r="U7487" s="22">
        <f t="shared" si="468"/>
        <v>0</v>
      </c>
      <c r="V7487">
        <f t="shared" si="469"/>
        <v>0</v>
      </c>
      <c r="W7487" s="22">
        <f t="shared" si="470"/>
        <v>0</v>
      </c>
    </row>
    <row r="7488" spans="1:23" hidden="1" x14ac:dyDescent="0.25">
      <c r="A7488" s="3">
        <v>46176</v>
      </c>
      <c r="B7488" s="46" t="s">
        <v>334</v>
      </c>
      <c r="C7488" s="4" t="s">
        <v>826</v>
      </c>
      <c r="D7488" s="4"/>
      <c r="E7488" s="4" t="s">
        <v>921</v>
      </c>
      <c r="F7488" s="4" t="s">
        <v>3570</v>
      </c>
      <c r="G7488" s="4" t="s">
        <v>336</v>
      </c>
      <c r="H7488" s="4" t="s">
        <v>380</v>
      </c>
      <c r="I7488" s="4">
        <v>1</v>
      </c>
      <c r="J7488" s="21">
        <v>130</v>
      </c>
      <c r="K7488" s="21">
        <v>130</v>
      </c>
      <c r="L7488" s="5">
        <v>0</v>
      </c>
      <c r="M7488" s="4"/>
      <c r="N7488" s="4"/>
      <c r="O7488" s="5"/>
      <c r="P7488" s="5"/>
      <c r="Q7488" s="21">
        <v>0</v>
      </c>
      <c r="R7488" s="21">
        <v>0</v>
      </c>
      <c r="S7488" s="5">
        <f t="shared" si="467"/>
        <v>31239.879203922879</v>
      </c>
      <c r="T7488" cm="1">
        <f t="array" ref="T7488">IF(OR(B7488="MAL ALIMI", B7488="ÜRETİM GİRİŞ"), MIN(I7488, MAX(0, I7488 + SUM(SUMIFS($I$1:I7487, $C$1:C7487, C7488, $B$1:B7487, {"MAL ALIMI","ÜRETİM GİRİŞ"})) - VLOOKUP(C7488, 'STOK RAPORU'!$C$2:$I$1000, 4, 0))), 0)</f>
        <v>0</v>
      </c>
      <c r="U7488" s="22">
        <f t="shared" si="468"/>
        <v>0</v>
      </c>
      <c r="V7488">
        <f t="shared" si="469"/>
        <v>0</v>
      </c>
      <c r="W7488" s="22">
        <f t="shared" si="470"/>
        <v>0</v>
      </c>
    </row>
    <row r="7489" spans="1:23" hidden="1" x14ac:dyDescent="0.25">
      <c r="A7489" s="3">
        <v>46176</v>
      </c>
      <c r="B7489" s="46" t="s">
        <v>334</v>
      </c>
      <c r="C7489" s="4" t="s">
        <v>160</v>
      </c>
      <c r="D7489" s="4"/>
      <c r="E7489" s="4" t="s">
        <v>921</v>
      </c>
      <c r="F7489" s="4" t="s">
        <v>3571</v>
      </c>
      <c r="G7489" s="4" t="s">
        <v>336</v>
      </c>
      <c r="H7489" s="4" t="s">
        <v>380</v>
      </c>
      <c r="I7489" s="4">
        <v>1</v>
      </c>
      <c r="J7489" s="21">
        <v>250</v>
      </c>
      <c r="K7489" s="21">
        <v>250</v>
      </c>
      <c r="L7489" s="5">
        <v>0</v>
      </c>
      <c r="M7489" s="4"/>
      <c r="N7489" s="4"/>
      <c r="O7489" s="5"/>
      <c r="P7489" s="5"/>
      <c r="Q7489" s="21">
        <v>0</v>
      </c>
      <c r="R7489" s="21">
        <v>0</v>
      </c>
      <c r="S7489" s="5">
        <f t="shared" si="467"/>
        <v>31239.879203922879</v>
      </c>
      <c r="T7489" cm="1">
        <f t="array" ref="T7489">IF(OR(B7489="MAL ALIMI", B7489="ÜRETİM GİRİŞ"), MIN(I7489, MAX(0, I7489 + SUM(SUMIFS($I$1:I7488, $C$1:C7488, C7489, $B$1:B7488, {"MAL ALIMI","ÜRETİM GİRİŞ"})) - VLOOKUP(C7489, 'STOK RAPORU'!$C$2:$I$1000, 4, 0))), 0)</f>
        <v>0</v>
      </c>
      <c r="U7489" s="22">
        <f t="shared" si="468"/>
        <v>0</v>
      </c>
      <c r="V7489">
        <f t="shared" si="469"/>
        <v>0</v>
      </c>
      <c r="W7489" s="22">
        <f t="shared" si="470"/>
        <v>0</v>
      </c>
    </row>
    <row r="7490" spans="1:23" hidden="1" x14ac:dyDescent="0.25">
      <c r="A7490" s="3">
        <v>46176</v>
      </c>
      <c r="B7490" s="46" t="s">
        <v>334</v>
      </c>
      <c r="C7490" s="4" t="s">
        <v>199</v>
      </c>
      <c r="D7490" s="4"/>
      <c r="E7490" s="4"/>
      <c r="F7490" s="4" t="s">
        <v>3572</v>
      </c>
      <c r="G7490" s="4" t="s">
        <v>336</v>
      </c>
      <c r="H7490" s="4" t="s">
        <v>289</v>
      </c>
      <c r="I7490" s="4">
        <v>0.6</v>
      </c>
      <c r="J7490" s="21">
        <v>750</v>
      </c>
      <c r="K7490" s="21">
        <v>0</v>
      </c>
      <c r="L7490" s="5">
        <v>0</v>
      </c>
      <c r="M7490" s="4"/>
      <c r="N7490" s="4"/>
      <c r="O7490" s="5"/>
      <c r="P7490" s="5"/>
      <c r="Q7490" s="21">
        <v>450</v>
      </c>
      <c r="R7490" s="21">
        <v>0</v>
      </c>
      <c r="S7490" s="5">
        <f t="shared" si="467"/>
        <v>31689.879203922879</v>
      </c>
      <c r="T7490" cm="1">
        <f t="array" ref="T7490">IF(OR(B7490="MAL ALIMI", B7490="ÜRETİM GİRİŞ"), MIN(I7490, MAX(0, I7490 + SUM(SUMIFS($I$1:I7489, $C$1:C7489, C7490, $B$1:B7489, {"MAL ALIMI","ÜRETİM GİRİŞ"})) - VLOOKUP(C7490, 'STOK RAPORU'!$C$2:$I$1000, 4, 0))), 0)</f>
        <v>0</v>
      </c>
      <c r="U7490" s="22">
        <f t="shared" si="468"/>
        <v>0</v>
      </c>
      <c r="V7490">
        <f t="shared" si="469"/>
        <v>0</v>
      </c>
      <c r="W7490" s="22">
        <f t="shared" si="470"/>
        <v>0</v>
      </c>
    </row>
    <row r="7491" spans="1:23" hidden="1" x14ac:dyDescent="0.25">
      <c r="A7491" s="3">
        <v>46176</v>
      </c>
      <c r="B7491" s="46" t="s">
        <v>334</v>
      </c>
      <c r="C7491" s="4" t="s">
        <v>1364</v>
      </c>
      <c r="D7491" s="4"/>
      <c r="E7491" s="4"/>
      <c r="F7491" s="4" t="s">
        <v>3572</v>
      </c>
      <c r="G7491" s="4" t="s">
        <v>336</v>
      </c>
      <c r="H7491" s="4" t="s">
        <v>289</v>
      </c>
      <c r="I7491" s="4">
        <v>1</v>
      </c>
      <c r="J7491" s="21">
        <v>150</v>
      </c>
      <c r="K7491" s="21">
        <v>0</v>
      </c>
      <c r="L7491" s="5">
        <v>0</v>
      </c>
      <c r="M7491" s="4"/>
      <c r="N7491" s="4"/>
      <c r="O7491" s="5"/>
      <c r="P7491" s="5"/>
      <c r="Q7491" s="21">
        <v>150</v>
      </c>
      <c r="R7491" s="21">
        <v>0</v>
      </c>
      <c r="S7491" s="5">
        <f t="shared" si="467"/>
        <v>31839.879203922879</v>
      </c>
      <c r="T7491" cm="1">
        <f t="array" ref="T7491">IF(OR(B7491="MAL ALIMI", B7491="ÜRETİM GİRİŞ"), MIN(I7491, MAX(0, I7491 + SUM(SUMIFS($I$1:I7490, $C$1:C7490, C7491, $B$1:B7490, {"MAL ALIMI","ÜRETİM GİRİŞ"})) - VLOOKUP(C7491, 'STOK RAPORU'!$C$2:$I$1000, 4, 0))), 0)</f>
        <v>0</v>
      </c>
      <c r="U7491" s="22">
        <f t="shared" si="468"/>
        <v>0</v>
      </c>
      <c r="V7491">
        <f t="shared" si="469"/>
        <v>0</v>
      </c>
      <c r="W7491" s="22">
        <f t="shared" si="470"/>
        <v>0</v>
      </c>
    </row>
    <row r="7492" spans="1:23" hidden="1" x14ac:dyDescent="0.25">
      <c r="A7492" s="3">
        <v>46176</v>
      </c>
      <c r="B7492" s="46" t="s">
        <v>334</v>
      </c>
      <c r="C7492" s="4" t="s">
        <v>1365</v>
      </c>
      <c r="D7492" s="4"/>
      <c r="E7492" s="4"/>
      <c r="F7492" s="4" t="s">
        <v>3572</v>
      </c>
      <c r="G7492" s="4" t="s">
        <v>336</v>
      </c>
      <c r="H7492" s="4" t="s">
        <v>289</v>
      </c>
      <c r="I7492" s="4">
        <v>1</v>
      </c>
      <c r="J7492" s="21">
        <v>150</v>
      </c>
      <c r="K7492" s="21">
        <v>0</v>
      </c>
      <c r="L7492" s="5">
        <v>0</v>
      </c>
      <c r="M7492" s="4"/>
      <c r="N7492" s="4"/>
      <c r="O7492" s="5"/>
      <c r="P7492" s="5"/>
      <c r="Q7492" s="21">
        <v>150</v>
      </c>
      <c r="R7492" s="21">
        <v>0</v>
      </c>
      <c r="S7492" s="5">
        <f t="shared" ref="S7492:S7555" si="471">S7491+Q7492-R7492</f>
        <v>31989.879203922879</v>
      </c>
      <c r="T7492" cm="1">
        <f t="array" ref="T7492">IF(OR(B7492="MAL ALIMI", B7492="ÜRETİM GİRİŞ"), MIN(I7492, MAX(0, I7492 + SUM(SUMIFS($I$1:I7491, $C$1:C7491, C7492, $B$1:B7491, {"MAL ALIMI","ÜRETİM GİRİŞ"})) - VLOOKUP(C7492, 'STOK RAPORU'!$C$2:$I$1000, 4, 0))), 0)</f>
        <v>0</v>
      </c>
      <c r="U7492" s="22">
        <f t="shared" si="468"/>
        <v>0</v>
      </c>
      <c r="V7492">
        <f t="shared" si="469"/>
        <v>0</v>
      </c>
      <c r="W7492" s="22">
        <f t="shared" si="470"/>
        <v>0</v>
      </c>
    </row>
    <row r="7493" spans="1:23" hidden="1" x14ac:dyDescent="0.25">
      <c r="A7493" s="3">
        <v>46176</v>
      </c>
      <c r="B7493" s="46" t="s">
        <v>334</v>
      </c>
      <c r="C7493" s="4" t="s">
        <v>3382</v>
      </c>
      <c r="D7493" s="4"/>
      <c r="E7493" s="4"/>
      <c r="F7493" s="4" t="s">
        <v>3572</v>
      </c>
      <c r="G7493" s="4" t="s">
        <v>336</v>
      </c>
      <c r="H7493" s="4" t="s">
        <v>289</v>
      </c>
      <c r="I7493" s="4">
        <v>0.34</v>
      </c>
      <c r="J7493" s="21">
        <v>250</v>
      </c>
      <c r="K7493" s="21">
        <v>0</v>
      </c>
      <c r="L7493" s="5">
        <v>0</v>
      </c>
      <c r="M7493" s="4"/>
      <c r="N7493" s="4"/>
      <c r="O7493" s="5"/>
      <c r="P7493" s="5"/>
      <c r="Q7493" s="21">
        <v>85</v>
      </c>
      <c r="R7493" s="21">
        <v>0</v>
      </c>
      <c r="S7493" s="5">
        <f t="shared" si="471"/>
        <v>32074.879203922879</v>
      </c>
      <c r="T7493" cm="1">
        <f t="array" ref="T7493">IF(OR(B7493="MAL ALIMI", B7493="ÜRETİM GİRİŞ"), MIN(I7493, MAX(0, I7493 + SUM(SUMIFS($I$1:I7492, $C$1:C7492, C7493, $B$1:B7492, {"MAL ALIMI","ÜRETİM GİRİŞ"})) - VLOOKUP(C7493, 'STOK RAPORU'!$C$2:$I$1000, 4, 0))), 0)</f>
        <v>0</v>
      </c>
      <c r="U7493" s="22">
        <f t="shared" si="468"/>
        <v>0</v>
      </c>
      <c r="V7493">
        <f t="shared" si="469"/>
        <v>0</v>
      </c>
      <c r="W7493" s="22">
        <f t="shared" si="470"/>
        <v>0</v>
      </c>
    </row>
    <row r="7494" spans="1:23" hidden="1" x14ac:dyDescent="0.25">
      <c r="A7494" s="3">
        <v>46176</v>
      </c>
      <c r="B7494" s="46" t="s">
        <v>334</v>
      </c>
      <c r="C7494" s="4" t="s">
        <v>158</v>
      </c>
      <c r="D7494" s="4"/>
      <c r="E7494" s="4" t="s">
        <v>921</v>
      </c>
      <c r="F7494" s="4" t="s">
        <v>3573</v>
      </c>
      <c r="G7494" s="4" t="s">
        <v>336</v>
      </c>
      <c r="H7494" s="4" t="s">
        <v>380</v>
      </c>
      <c r="I7494" s="4">
        <v>2</v>
      </c>
      <c r="J7494" s="21">
        <v>150</v>
      </c>
      <c r="K7494" s="21">
        <v>300</v>
      </c>
      <c r="L7494" s="5">
        <v>0</v>
      </c>
      <c r="M7494" s="4"/>
      <c r="N7494" s="4"/>
      <c r="O7494" s="5"/>
      <c r="P7494" s="5"/>
      <c r="Q7494" s="21">
        <v>0</v>
      </c>
      <c r="R7494" s="21">
        <v>0</v>
      </c>
      <c r="S7494" s="5">
        <f t="shared" si="471"/>
        <v>32074.879203922879</v>
      </c>
      <c r="T7494" cm="1">
        <f t="array" ref="T7494">IF(OR(B7494="MAL ALIMI", B7494="ÜRETİM GİRİŞ"), MIN(I7494, MAX(0, I7494 + SUM(SUMIFS($I$1:I7493, $C$1:C7493, C7494, $B$1:B7493, {"MAL ALIMI","ÜRETİM GİRİŞ"})) - VLOOKUP(C7494, 'STOK RAPORU'!$C$2:$I$1000, 4, 0))), 0)</f>
        <v>0</v>
      </c>
      <c r="U7494" s="22">
        <f t="shared" si="468"/>
        <v>0</v>
      </c>
      <c r="V7494">
        <f t="shared" si="469"/>
        <v>0</v>
      </c>
      <c r="W7494" s="22">
        <f t="shared" si="470"/>
        <v>0</v>
      </c>
    </row>
    <row r="7495" spans="1:23" hidden="1" x14ac:dyDescent="0.25">
      <c r="A7495" s="3">
        <v>46176</v>
      </c>
      <c r="B7495" s="46" t="s">
        <v>334</v>
      </c>
      <c r="C7495" s="4" t="s">
        <v>133</v>
      </c>
      <c r="D7495" s="4"/>
      <c r="E7495" s="4" t="s">
        <v>921</v>
      </c>
      <c r="F7495" s="4" t="s">
        <v>3573</v>
      </c>
      <c r="G7495" s="4" t="s">
        <v>336</v>
      </c>
      <c r="H7495" s="4" t="s">
        <v>380</v>
      </c>
      <c r="I7495" s="4">
        <v>0.21249999999999999</v>
      </c>
      <c r="J7495" s="21">
        <v>400</v>
      </c>
      <c r="K7495" s="21">
        <v>85</v>
      </c>
      <c r="L7495" s="5">
        <v>0</v>
      </c>
      <c r="M7495" s="4"/>
      <c r="N7495" s="4"/>
      <c r="O7495" s="5"/>
      <c r="P7495" s="5"/>
      <c r="Q7495" s="21">
        <v>0</v>
      </c>
      <c r="R7495" s="21">
        <v>0</v>
      </c>
      <c r="S7495" s="5">
        <f t="shared" si="471"/>
        <v>32074.879203922879</v>
      </c>
      <c r="T7495" cm="1">
        <f t="array" ref="T7495">IF(OR(B7495="MAL ALIMI", B7495="ÜRETİM GİRİŞ"), MIN(I7495, MAX(0, I7495 + SUM(SUMIFS($I$1:I7494, $C$1:C7494, C7495, $B$1:B7494, {"MAL ALIMI","ÜRETİM GİRİŞ"})) - VLOOKUP(C7495, 'STOK RAPORU'!$C$2:$I$1000, 4, 0))), 0)</f>
        <v>0</v>
      </c>
      <c r="U7495" s="22">
        <f t="shared" si="468"/>
        <v>0</v>
      </c>
      <c r="V7495">
        <f t="shared" si="469"/>
        <v>0</v>
      </c>
      <c r="W7495" s="22">
        <f t="shared" si="470"/>
        <v>0</v>
      </c>
    </row>
    <row r="7496" spans="1:23" hidden="1" x14ac:dyDescent="0.25">
      <c r="A7496" s="3">
        <v>46176</v>
      </c>
      <c r="B7496" s="4" t="s">
        <v>946</v>
      </c>
      <c r="C7496" s="4"/>
      <c r="D7496" s="4"/>
      <c r="E7496" s="4" t="s">
        <v>921</v>
      </c>
      <c r="F7496" s="4"/>
      <c r="G7496" s="4" t="s">
        <v>946</v>
      </c>
      <c r="H7496" s="4" t="s">
        <v>380</v>
      </c>
      <c r="I7496" s="4">
        <v>1</v>
      </c>
      <c r="J7496" s="21">
        <v>192</v>
      </c>
      <c r="K7496" s="21">
        <v>0</v>
      </c>
      <c r="L7496" s="115">
        <v>192</v>
      </c>
      <c r="M7496" s="4"/>
      <c r="N7496" s="4"/>
      <c r="O7496" s="5"/>
      <c r="P7496" s="5"/>
      <c r="Q7496" s="21">
        <v>192</v>
      </c>
      <c r="R7496" s="21">
        <v>0</v>
      </c>
      <c r="S7496" s="5">
        <f t="shared" si="471"/>
        <v>32266.879203922879</v>
      </c>
      <c r="T7496" cm="1">
        <f t="array" ref="T7496">IF(OR(B7496="MAL ALIMI", B7496="ÜRETİM GİRİŞ"), MIN(I7496, MAX(0, I7496 + SUM(SUMIFS($I$1:I7495, $C$1:C7495, C7496, $B$1:B7495, {"MAL ALIMI","ÜRETİM GİRİŞ"})) - VLOOKUP(C7496, 'STOK RAPORU'!$C$2:$I$1000, 4, 0))), 0)</f>
        <v>0</v>
      </c>
      <c r="U7496" s="22">
        <f t="shared" si="468"/>
        <v>0</v>
      </c>
      <c r="V7496">
        <f t="shared" si="469"/>
        <v>0</v>
      </c>
      <c r="W7496" s="22">
        <f t="shared" si="470"/>
        <v>0</v>
      </c>
    </row>
    <row r="7497" spans="1:23" hidden="1" x14ac:dyDescent="0.25">
      <c r="A7497" s="3">
        <v>46176</v>
      </c>
      <c r="B7497" s="4" t="s">
        <v>946</v>
      </c>
      <c r="C7497" s="4"/>
      <c r="D7497" s="4"/>
      <c r="E7497" s="4" t="s">
        <v>921</v>
      </c>
      <c r="F7497" s="4"/>
      <c r="G7497" s="4" t="s">
        <v>946</v>
      </c>
      <c r="H7497" s="4" t="s">
        <v>380</v>
      </c>
      <c r="I7497" s="4">
        <v>1</v>
      </c>
      <c r="J7497" s="21">
        <v>99</v>
      </c>
      <c r="K7497" s="21">
        <v>0</v>
      </c>
      <c r="L7497" s="115">
        <v>99</v>
      </c>
      <c r="M7497" s="4"/>
      <c r="N7497" s="4"/>
      <c r="O7497" s="5"/>
      <c r="P7497" s="5"/>
      <c r="Q7497" s="21">
        <v>99</v>
      </c>
      <c r="R7497" s="21">
        <v>0</v>
      </c>
      <c r="S7497" s="5">
        <f t="shared" si="471"/>
        <v>32365.879203922879</v>
      </c>
      <c r="T7497" cm="1">
        <f t="array" ref="T7497">IF(OR(B7497="MAL ALIMI", B7497="ÜRETİM GİRİŞ"), MIN(I7497, MAX(0, I7497 + SUM(SUMIFS($I$1:I7496, $C$1:C7496, C7497, $B$1:B7496, {"MAL ALIMI","ÜRETİM GİRİŞ"})) - VLOOKUP(C7497, 'STOK RAPORU'!$C$2:$I$1000, 4, 0))), 0)</f>
        <v>0</v>
      </c>
      <c r="U7497" s="22">
        <f t="shared" si="468"/>
        <v>0</v>
      </c>
      <c r="V7497">
        <f t="shared" si="469"/>
        <v>0</v>
      </c>
      <c r="W7497" s="22">
        <f t="shared" si="470"/>
        <v>0</v>
      </c>
    </row>
    <row r="7498" spans="1:23" hidden="1" x14ac:dyDescent="0.25">
      <c r="A7498" s="3">
        <v>46177</v>
      </c>
      <c r="B7498" s="4" t="s">
        <v>298</v>
      </c>
      <c r="C7498" s="4" t="s">
        <v>1357</v>
      </c>
      <c r="D7498" s="4"/>
      <c r="E7498" s="4" t="s">
        <v>3591</v>
      </c>
      <c r="F7498" s="4">
        <v>26</v>
      </c>
      <c r="G7498" s="4" t="s">
        <v>3589</v>
      </c>
      <c r="H7498" s="4" t="s">
        <v>304</v>
      </c>
      <c r="I7498" s="4">
        <v>10</v>
      </c>
      <c r="J7498" s="21">
        <v>450</v>
      </c>
      <c r="K7498" s="21">
        <v>0</v>
      </c>
      <c r="L7498" s="5">
        <v>4500</v>
      </c>
      <c r="M7498" s="4"/>
      <c r="N7498" s="4"/>
      <c r="O7498" s="5"/>
      <c r="P7498" s="5"/>
      <c r="Q7498" s="21">
        <v>0</v>
      </c>
      <c r="R7498" s="21">
        <v>0</v>
      </c>
      <c r="S7498" s="5">
        <f t="shared" si="471"/>
        <v>32365.879203922879</v>
      </c>
      <c r="T7498" cm="1">
        <f t="array" ref="T7498">IF(OR(B7498="MAL ALIMI", B7498="ÜRETİM GİRİŞ"), MIN(I7498, MAX(0, I7498 + SUM(SUMIFS($I$1:I7497, $C$1:C7497, C7498, $B$1:B7497, {"MAL ALIMI","ÜRETİM GİRİŞ"})) - VLOOKUP(C7498, 'STOK RAPORU'!$C$2:$I$1000, 4, 0))), 0)</f>
        <v>3.1603612878349701</v>
      </c>
      <c r="U7498" s="22">
        <f t="shared" si="468"/>
        <v>1422.1625795257364</v>
      </c>
      <c r="V7498">
        <f t="shared" si="469"/>
        <v>4500</v>
      </c>
      <c r="W7498" s="22">
        <f t="shared" si="470"/>
        <v>3077.8374204742636</v>
      </c>
    </row>
    <row r="7499" spans="1:23" hidden="1" x14ac:dyDescent="0.25">
      <c r="A7499" s="3">
        <v>46177</v>
      </c>
      <c r="B7499" s="4" t="s">
        <v>298</v>
      </c>
      <c r="C7499" s="4" t="s">
        <v>2565</v>
      </c>
      <c r="D7499" s="4"/>
      <c r="E7499" s="4" t="s">
        <v>3591</v>
      </c>
      <c r="F7499" s="4">
        <v>26</v>
      </c>
      <c r="G7499" s="4" t="s">
        <v>3589</v>
      </c>
      <c r="H7499" s="4" t="s">
        <v>304</v>
      </c>
      <c r="I7499" s="4">
        <v>10</v>
      </c>
      <c r="J7499" s="21">
        <v>350</v>
      </c>
      <c r="K7499" s="21">
        <v>0</v>
      </c>
      <c r="L7499" s="5">
        <v>3500</v>
      </c>
      <c r="M7499" s="4"/>
      <c r="N7499" s="4"/>
      <c r="O7499" s="5"/>
      <c r="P7499" s="5"/>
      <c r="Q7499" s="21">
        <v>0</v>
      </c>
      <c r="R7499" s="21">
        <v>0</v>
      </c>
      <c r="S7499" s="5">
        <f t="shared" si="471"/>
        <v>32365.879203922879</v>
      </c>
      <c r="T7499" cm="1">
        <f t="array" ref="T7499">IF(OR(B7499="MAL ALIMI", B7499="ÜRETİM GİRİŞ"), MIN(I7499, MAX(0, I7499 + SUM(SUMIFS($I$1:I7498, $C$1:C7498, C7499, $B$1:B7498, {"MAL ALIMI","ÜRETİM GİRİŞ"})) - VLOOKUP(C7499, 'STOK RAPORU'!$C$2:$I$1000, 4, 0))), 0)</f>
        <v>10</v>
      </c>
      <c r="U7499" s="22">
        <f t="shared" si="468"/>
        <v>3500</v>
      </c>
      <c r="V7499">
        <f t="shared" si="469"/>
        <v>3500</v>
      </c>
      <c r="W7499" s="22">
        <f t="shared" si="470"/>
        <v>0</v>
      </c>
    </row>
    <row r="7500" spans="1:23" hidden="1" x14ac:dyDescent="0.25">
      <c r="A7500" s="3">
        <v>46177</v>
      </c>
      <c r="B7500" s="4" t="s">
        <v>298</v>
      </c>
      <c r="C7500" s="4" t="s">
        <v>1359</v>
      </c>
      <c r="D7500" s="4"/>
      <c r="E7500" s="4" t="s">
        <v>3591</v>
      </c>
      <c r="F7500" s="4">
        <v>26</v>
      </c>
      <c r="G7500" s="4" t="s">
        <v>3589</v>
      </c>
      <c r="H7500" s="4" t="s">
        <v>304</v>
      </c>
      <c r="I7500" s="4">
        <v>5</v>
      </c>
      <c r="J7500" s="21">
        <v>250</v>
      </c>
      <c r="K7500" s="21">
        <v>0</v>
      </c>
      <c r="L7500" s="5">
        <v>1250</v>
      </c>
      <c r="M7500" s="4"/>
      <c r="N7500" s="4"/>
      <c r="O7500" s="5"/>
      <c r="P7500" s="5"/>
      <c r="Q7500" s="21">
        <v>0</v>
      </c>
      <c r="R7500" s="21">
        <v>0</v>
      </c>
      <c r="S7500" s="5">
        <f t="shared" si="471"/>
        <v>32365.879203922879</v>
      </c>
      <c r="T7500" cm="1">
        <f t="array" ref="T7500">IF(OR(B7500="MAL ALIMI", B7500="ÜRETİM GİRİŞ"), MIN(I7500, MAX(0, I7500 + SUM(SUMIFS($I$1:I7499, $C$1:C7499, C7500, $B$1:B7499, {"MAL ALIMI","ÜRETİM GİRİŞ"})) - VLOOKUP(C7500, 'STOK RAPORU'!$C$2:$I$1000, 4, 0))), 0)</f>
        <v>2.2523569949719047</v>
      </c>
      <c r="U7500" s="22">
        <f t="shared" si="468"/>
        <v>563.08924874297622</v>
      </c>
      <c r="V7500">
        <f t="shared" si="469"/>
        <v>1250</v>
      </c>
      <c r="W7500" s="22">
        <f t="shared" si="470"/>
        <v>686.91075125702378</v>
      </c>
    </row>
    <row r="7501" spans="1:23" hidden="1" x14ac:dyDescent="0.25">
      <c r="A7501" s="3">
        <v>46177</v>
      </c>
      <c r="B7501" s="46" t="s">
        <v>334</v>
      </c>
      <c r="C7501" s="4" t="s">
        <v>131</v>
      </c>
      <c r="D7501" s="4"/>
      <c r="E7501" s="4"/>
      <c r="F7501" s="4" t="s">
        <v>3574</v>
      </c>
      <c r="G7501" s="4" t="s">
        <v>336</v>
      </c>
      <c r="H7501" s="4" t="s">
        <v>289</v>
      </c>
      <c r="I7501" s="4">
        <v>0.105</v>
      </c>
      <c r="J7501" s="21">
        <v>400</v>
      </c>
      <c r="K7501" s="21">
        <v>0</v>
      </c>
      <c r="L7501" s="5">
        <v>0</v>
      </c>
      <c r="M7501" s="4"/>
      <c r="N7501" s="4"/>
      <c r="O7501" s="5"/>
      <c r="P7501" s="5"/>
      <c r="Q7501" s="21">
        <v>42</v>
      </c>
      <c r="R7501" s="21">
        <v>0</v>
      </c>
      <c r="S7501" s="5">
        <f t="shared" si="471"/>
        <v>32407.879203922879</v>
      </c>
      <c r="T7501" cm="1">
        <f t="array" ref="T7501">IF(OR(B7501="MAL ALIMI", B7501="ÜRETİM GİRİŞ"), MIN(I7501, MAX(0, I7501 + SUM(SUMIFS($I$1:I7500, $C$1:C7500, C7501, $B$1:B7500, {"MAL ALIMI","ÜRETİM GİRİŞ"})) - VLOOKUP(C7501, 'STOK RAPORU'!$C$2:$I$1000, 4, 0))), 0)</f>
        <v>0</v>
      </c>
      <c r="U7501" s="22">
        <f t="shared" si="468"/>
        <v>0</v>
      </c>
      <c r="V7501">
        <f t="shared" si="469"/>
        <v>0</v>
      </c>
      <c r="W7501" s="22">
        <f t="shared" si="470"/>
        <v>0</v>
      </c>
    </row>
    <row r="7502" spans="1:23" hidden="1" x14ac:dyDescent="0.25">
      <c r="A7502" s="3">
        <v>46177</v>
      </c>
      <c r="B7502" s="46" t="s">
        <v>334</v>
      </c>
      <c r="C7502" s="4" t="s">
        <v>248</v>
      </c>
      <c r="D7502" s="4"/>
      <c r="E7502" s="4" t="s">
        <v>921</v>
      </c>
      <c r="F7502" s="4" t="s">
        <v>3575</v>
      </c>
      <c r="G7502" s="4" t="s">
        <v>336</v>
      </c>
      <c r="H7502" s="4" t="s">
        <v>380</v>
      </c>
      <c r="I7502" s="4">
        <v>0.2</v>
      </c>
      <c r="J7502" s="21">
        <v>1000</v>
      </c>
      <c r="K7502" s="21">
        <v>200</v>
      </c>
      <c r="L7502" s="5">
        <v>0</v>
      </c>
      <c r="M7502" s="4"/>
      <c r="N7502" s="4"/>
      <c r="O7502" s="5"/>
      <c r="P7502" s="5"/>
      <c r="Q7502" s="21">
        <v>0</v>
      </c>
      <c r="R7502" s="21">
        <v>0</v>
      </c>
      <c r="S7502" s="5">
        <f t="shared" si="471"/>
        <v>32407.879203922879</v>
      </c>
      <c r="T7502" cm="1">
        <f t="array" ref="T7502">IF(OR(B7502="MAL ALIMI", B7502="ÜRETİM GİRİŞ"), MIN(I7502, MAX(0, I7502 + SUM(SUMIFS($I$1:I7501, $C$1:C7501, C7502, $B$1:B7501, {"MAL ALIMI","ÜRETİM GİRİŞ"})) - VLOOKUP(C7502, 'STOK RAPORU'!$C$2:$I$1000, 4, 0))), 0)</f>
        <v>0</v>
      </c>
      <c r="U7502" s="22">
        <f t="shared" si="468"/>
        <v>0</v>
      </c>
      <c r="V7502">
        <f t="shared" si="469"/>
        <v>0</v>
      </c>
      <c r="W7502" s="22">
        <f t="shared" si="470"/>
        <v>0</v>
      </c>
    </row>
    <row r="7503" spans="1:23" hidden="1" x14ac:dyDescent="0.25">
      <c r="A7503" s="3">
        <v>46177</v>
      </c>
      <c r="B7503" s="46" t="s">
        <v>334</v>
      </c>
      <c r="C7503" s="4" t="s">
        <v>1501</v>
      </c>
      <c r="D7503" s="4"/>
      <c r="E7503" s="4" t="s">
        <v>921</v>
      </c>
      <c r="F7503" s="4" t="s">
        <v>3576</v>
      </c>
      <c r="G7503" s="4" t="s">
        <v>336</v>
      </c>
      <c r="H7503" s="4" t="s">
        <v>380</v>
      </c>
      <c r="I7503" s="4">
        <v>0.5</v>
      </c>
      <c r="J7503" s="21">
        <v>700</v>
      </c>
      <c r="K7503" s="21">
        <v>350</v>
      </c>
      <c r="L7503" s="5">
        <v>0</v>
      </c>
      <c r="M7503" s="4"/>
      <c r="N7503" s="4"/>
      <c r="O7503" s="5"/>
      <c r="P7503" s="5"/>
      <c r="Q7503" s="21">
        <v>0</v>
      </c>
      <c r="R7503" s="21">
        <v>0</v>
      </c>
      <c r="S7503" s="5">
        <f t="shared" si="471"/>
        <v>32407.879203922879</v>
      </c>
      <c r="T7503" cm="1">
        <f t="array" ref="T7503">IF(OR(B7503="MAL ALIMI", B7503="ÜRETİM GİRİŞ"), MIN(I7503, MAX(0, I7503 + SUM(SUMIFS($I$1:I7502, $C$1:C7502, C7503, $B$1:B7502, {"MAL ALIMI","ÜRETİM GİRİŞ"})) - VLOOKUP(C7503, 'STOK RAPORU'!$C$2:$I$1000, 4, 0))), 0)</f>
        <v>0</v>
      </c>
      <c r="U7503" s="22">
        <f t="shared" si="468"/>
        <v>0</v>
      </c>
      <c r="V7503">
        <f t="shared" si="469"/>
        <v>0</v>
      </c>
      <c r="W7503" s="22">
        <f t="shared" si="470"/>
        <v>0</v>
      </c>
    </row>
    <row r="7504" spans="1:23" hidden="1" x14ac:dyDescent="0.25">
      <c r="A7504" s="3">
        <v>46177</v>
      </c>
      <c r="B7504" s="46" t="s">
        <v>334</v>
      </c>
      <c r="C7504" s="4" t="s">
        <v>202</v>
      </c>
      <c r="D7504" s="4"/>
      <c r="E7504" s="4"/>
      <c r="F7504" s="4" t="s">
        <v>3577</v>
      </c>
      <c r="G7504" s="4" t="s">
        <v>336</v>
      </c>
      <c r="H7504" s="4" t="s">
        <v>289</v>
      </c>
      <c r="I7504" s="4">
        <v>1.25</v>
      </c>
      <c r="J7504" s="21">
        <v>80</v>
      </c>
      <c r="K7504" s="21">
        <v>0</v>
      </c>
      <c r="L7504" s="5">
        <v>0</v>
      </c>
      <c r="M7504" s="4"/>
      <c r="N7504" s="4"/>
      <c r="O7504" s="5"/>
      <c r="P7504" s="5"/>
      <c r="Q7504" s="21">
        <v>100</v>
      </c>
      <c r="R7504" s="21">
        <v>0</v>
      </c>
      <c r="S7504" s="5">
        <f t="shared" si="471"/>
        <v>32507.879203922879</v>
      </c>
      <c r="T7504" cm="1">
        <f t="array" ref="T7504">IF(OR(B7504="MAL ALIMI", B7504="ÜRETİM GİRİŞ"), MIN(I7504, MAX(0, I7504 + SUM(SUMIFS($I$1:I7503, $C$1:C7503, C7504, $B$1:B7503, {"MAL ALIMI","ÜRETİM GİRİŞ"})) - VLOOKUP(C7504, 'STOK RAPORU'!$C$2:$I$1000, 4, 0))), 0)</f>
        <v>0</v>
      </c>
      <c r="U7504" s="22">
        <f t="shared" si="468"/>
        <v>0</v>
      </c>
      <c r="V7504">
        <f t="shared" si="469"/>
        <v>0</v>
      </c>
      <c r="W7504" s="22">
        <f t="shared" si="470"/>
        <v>0</v>
      </c>
    </row>
    <row r="7505" spans="1:23" hidden="1" x14ac:dyDescent="0.25">
      <c r="A7505" s="3">
        <v>46177</v>
      </c>
      <c r="B7505" s="46" t="s">
        <v>334</v>
      </c>
      <c r="C7505" s="4" t="s">
        <v>463</v>
      </c>
      <c r="D7505" s="4"/>
      <c r="E7505" s="4" t="s">
        <v>921</v>
      </c>
      <c r="F7505" s="4" t="s">
        <v>3578</v>
      </c>
      <c r="G7505" s="4" t="s">
        <v>336</v>
      </c>
      <c r="H7505" s="4" t="s">
        <v>380</v>
      </c>
      <c r="I7505" s="4">
        <v>0.1575</v>
      </c>
      <c r="J7505" s="21">
        <v>400</v>
      </c>
      <c r="K7505" s="21">
        <v>63</v>
      </c>
      <c r="L7505" s="5">
        <v>0</v>
      </c>
      <c r="M7505" s="4"/>
      <c r="N7505" s="4"/>
      <c r="O7505" s="5"/>
      <c r="P7505" s="5"/>
      <c r="Q7505" s="21">
        <v>0</v>
      </c>
      <c r="R7505" s="21">
        <v>0</v>
      </c>
      <c r="S7505" s="5">
        <f t="shared" si="471"/>
        <v>32507.879203922879</v>
      </c>
      <c r="T7505" cm="1">
        <f t="array" ref="T7505">IF(OR(B7505="MAL ALIMI", B7505="ÜRETİM GİRİŞ"), MIN(I7505, MAX(0, I7505 + SUM(SUMIFS($I$1:I7504, $C$1:C7504, C7505, $B$1:B7504, {"MAL ALIMI","ÜRETİM GİRİŞ"})) - VLOOKUP(C7505, 'STOK RAPORU'!$C$2:$I$1000, 4, 0))), 0)</f>
        <v>0</v>
      </c>
      <c r="U7505" s="22">
        <f t="shared" si="468"/>
        <v>0</v>
      </c>
      <c r="V7505">
        <f t="shared" si="469"/>
        <v>0</v>
      </c>
      <c r="W7505" s="22">
        <f t="shared" si="470"/>
        <v>0</v>
      </c>
    </row>
    <row r="7506" spans="1:23" hidden="1" x14ac:dyDescent="0.25">
      <c r="A7506" s="3">
        <v>46177</v>
      </c>
      <c r="B7506" s="46" t="s">
        <v>334</v>
      </c>
      <c r="C7506" s="4" t="s">
        <v>648</v>
      </c>
      <c r="D7506" s="4"/>
      <c r="E7506" s="4" t="s">
        <v>921</v>
      </c>
      <c r="F7506" s="4" t="s">
        <v>3578</v>
      </c>
      <c r="G7506" s="4" t="s">
        <v>336</v>
      </c>
      <c r="H7506" s="4" t="s">
        <v>380</v>
      </c>
      <c r="I7506" s="4">
        <v>0.15384615384615385</v>
      </c>
      <c r="J7506" s="21">
        <v>650</v>
      </c>
      <c r="K7506" s="21">
        <v>100</v>
      </c>
      <c r="L7506" s="5">
        <v>0</v>
      </c>
      <c r="M7506" s="4"/>
      <c r="N7506" s="4"/>
      <c r="O7506" s="5"/>
      <c r="P7506" s="5"/>
      <c r="Q7506" s="21">
        <v>0</v>
      </c>
      <c r="R7506" s="21">
        <v>0</v>
      </c>
      <c r="S7506" s="5">
        <f t="shared" si="471"/>
        <v>32507.879203922879</v>
      </c>
      <c r="T7506" cm="1">
        <f t="array" ref="T7506">IF(OR(B7506="MAL ALIMI", B7506="ÜRETİM GİRİŞ"), MIN(I7506, MAX(0, I7506 + SUM(SUMIFS($I$1:I7505, $C$1:C7505, C7506, $B$1:B7505, {"MAL ALIMI","ÜRETİM GİRİŞ"})) - VLOOKUP(C7506, 'STOK RAPORU'!$C$2:$I$1000, 4, 0))), 0)</f>
        <v>0</v>
      </c>
      <c r="U7506" s="22">
        <f t="shared" si="468"/>
        <v>0</v>
      </c>
      <c r="V7506">
        <f t="shared" si="469"/>
        <v>0</v>
      </c>
      <c r="W7506" s="22">
        <f t="shared" si="470"/>
        <v>0</v>
      </c>
    </row>
    <row r="7507" spans="1:23" hidden="1" x14ac:dyDescent="0.25">
      <c r="A7507" s="3">
        <v>46177</v>
      </c>
      <c r="B7507" s="46" t="s">
        <v>334</v>
      </c>
      <c r="C7507" s="4" t="s">
        <v>91</v>
      </c>
      <c r="D7507" s="4"/>
      <c r="E7507" s="4"/>
      <c r="F7507" s="4" t="s">
        <v>3579</v>
      </c>
      <c r="G7507" s="4" t="s">
        <v>336</v>
      </c>
      <c r="H7507" s="4" t="s">
        <v>289</v>
      </c>
      <c r="I7507" s="4">
        <v>3.7647058823529408E-2</v>
      </c>
      <c r="J7507" s="21">
        <v>850</v>
      </c>
      <c r="K7507" s="21">
        <v>0</v>
      </c>
      <c r="L7507" s="5">
        <v>0</v>
      </c>
      <c r="M7507" s="4"/>
      <c r="N7507" s="4"/>
      <c r="O7507" s="5"/>
      <c r="P7507" s="5"/>
      <c r="Q7507" s="21">
        <v>31.999999999999996</v>
      </c>
      <c r="R7507" s="21">
        <v>0</v>
      </c>
      <c r="S7507" s="5">
        <f t="shared" si="471"/>
        <v>32539.879203922879</v>
      </c>
      <c r="T7507" cm="1">
        <f t="array" ref="T7507">IF(OR(B7507="MAL ALIMI", B7507="ÜRETİM GİRİŞ"), MIN(I7507, MAX(0, I7507 + SUM(SUMIFS($I$1:I7506, $C$1:C7506, C7507, $B$1:B7506, {"MAL ALIMI","ÜRETİM GİRİŞ"})) - VLOOKUP(C7507, 'STOK RAPORU'!$C$2:$I$1000, 4, 0))), 0)</f>
        <v>0</v>
      </c>
      <c r="U7507" s="22">
        <f t="shared" si="468"/>
        <v>0</v>
      </c>
      <c r="V7507">
        <f t="shared" si="469"/>
        <v>0</v>
      </c>
      <c r="W7507" s="22">
        <f t="shared" si="470"/>
        <v>0</v>
      </c>
    </row>
    <row r="7508" spans="1:23" hidden="1" x14ac:dyDescent="0.25">
      <c r="A7508" s="3">
        <v>46177</v>
      </c>
      <c r="B7508" s="46" t="s">
        <v>334</v>
      </c>
      <c r="C7508" s="4" t="s">
        <v>2488</v>
      </c>
      <c r="D7508" s="4"/>
      <c r="E7508" s="4" t="s">
        <v>921</v>
      </c>
      <c r="F7508" s="4" t="s">
        <v>3580</v>
      </c>
      <c r="G7508" s="4" t="s">
        <v>336</v>
      </c>
      <c r="H7508" s="4" t="s">
        <v>380</v>
      </c>
      <c r="I7508" s="4">
        <v>0.2</v>
      </c>
      <c r="J7508" s="21">
        <v>500</v>
      </c>
      <c r="K7508" s="21">
        <v>100</v>
      </c>
      <c r="L7508" s="5">
        <v>0</v>
      </c>
      <c r="M7508" s="4"/>
      <c r="N7508" s="4"/>
      <c r="O7508" s="5"/>
      <c r="P7508" s="5"/>
      <c r="Q7508" s="21">
        <v>0</v>
      </c>
      <c r="R7508" s="21">
        <v>0</v>
      </c>
      <c r="S7508" s="5">
        <f t="shared" si="471"/>
        <v>32539.879203922879</v>
      </c>
      <c r="T7508" cm="1">
        <f t="array" ref="T7508">IF(OR(B7508="MAL ALIMI", B7508="ÜRETİM GİRİŞ"), MIN(I7508, MAX(0, I7508 + SUM(SUMIFS($I$1:I7507, $C$1:C7507, C7508, $B$1:B7507, {"MAL ALIMI","ÜRETİM GİRİŞ"})) - VLOOKUP(C7508, 'STOK RAPORU'!$C$2:$I$1000, 4, 0))), 0)</f>
        <v>0</v>
      </c>
      <c r="U7508" s="22">
        <f t="shared" si="468"/>
        <v>0</v>
      </c>
      <c r="V7508">
        <f t="shared" si="469"/>
        <v>0</v>
      </c>
      <c r="W7508" s="22">
        <f t="shared" si="470"/>
        <v>0</v>
      </c>
    </row>
    <row r="7509" spans="1:23" hidden="1" x14ac:dyDescent="0.25">
      <c r="A7509" s="3">
        <v>46177</v>
      </c>
      <c r="B7509" s="46" t="s">
        <v>334</v>
      </c>
      <c r="C7509" s="4" t="s">
        <v>92</v>
      </c>
      <c r="D7509" s="4"/>
      <c r="E7509" s="4" t="s">
        <v>921</v>
      </c>
      <c r="F7509" s="4" t="s">
        <v>3580</v>
      </c>
      <c r="G7509" s="4" t="s">
        <v>336</v>
      </c>
      <c r="H7509" s="4" t="s">
        <v>380</v>
      </c>
      <c r="I7509" s="4">
        <v>0.15</v>
      </c>
      <c r="J7509" s="21">
        <v>500</v>
      </c>
      <c r="K7509" s="21">
        <v>75</v>
      </c>
      <c r="L7509" s="5">
        <v>0</v>
      </c>
      <c r="M7509" s="4"/>
      <c r="N7509" s="4"/>
      <c r="O7509" s="5"/>
      <c r="P7509" s="5"/>
      <c r="Q7509" s="21">
        <v>0</v>
      </c>
      <c r="R7509" s="21">
        <v>0</v>
      </c>
      <c r="S7509" s="5">
        <f t="shared" si="471"/>
        <v>32539.879203922879</v>
      </c>
      <c r="T7509" cm="1">
        <f t="array" ref="T7509">IF(OR(B7509="MAL ALIMI", B7509="ÜRETİM GİRİŞ"), MIN(I7509, MAX(0, I7509 + SUM(SUMIFS($I$1:I7508, $C$1:C7508, C7509, $B$1:B7508, {"MAL ALIMI","ÜRETİM GİRİŞ"})) - VLOOKUP(C7509, 'STOK RAPORU'!$C$2:$I$1000, 4, 0))), 0)</f>
        <v>0</v>
      </c>
      <c r="U7509" s="22">
        <f t="shared" si="468"/>
        <v>0</v>
      </c>
      <c r="V7509">
        <f t="shared" si="469"/>
        <v>0</v>
      </c>
      <c r="W7509" s="22">
        <f t="shared" si="470"/>
        <v>0</v>
      </c>
    </row>
    <row r="7510" spans="1:23" hidden="1" x14ac:dyDescent="0.25">
      <c r="A7510" s="3">
        <v>46177</v>
      </c>
      <c r="B7510" s="46" t="s">
        <v>334</v>
      </c>
      <c r="C7510" s="4" t="s">
        <v>757</v>
      </c>
      <c r="D7510" s="4"/>
      <c r="E7510" s="4"/>
      <c r="F7510" s="4" t="s">
        <v>3581</v>
      </c>
      <c r="G7510" s="4" t="s">
        <v>1945</v>
      </c>
      <c r="H7510" s="4" t="s">
        <v>289</v>
      </c>
      <c r="I7510" s="4">
        <v>1</v>
      </c>
      <c r="J7510" s="21">
        <v>400</v>
      </c>
      <c r="K7510" s="21">
        <v>0</v>
      </c>
      <c r="L7510" s="5">
        <v>0</v>
      </c>
      <c r="M7510" s="4"/>
      <c r="N7510" s="4"/>
      <c r="O7510" s="5"/>
      <c r="P7510" s="5"/>
      <c r="Q7510" s="21">
        <v>400</v>
      </c>
      <c r="R7510" s="21">
        <v>0</v>
      </c>
      <c r="S7510" s="5">
        <f t="shared" si="471"/>
        <v>32939.879203922879</v>
      </c>
      <c r="T7510" cm="1">
        <f t="array" ref="T7510">IF(OR(B7510="MAL ALIMI", B7510="ÜRETİM GİRİŞ"), MIN(I7510, MAX(0, I7510 + SUM(SUMIFS($I$1:I7509, $C$1:C7509, C7510, $B$1:B7509, {"MAL ALIMI","ÜRETİM GİRİŞ"})) - VLOOKUP(C7510, 'STOK RAPORU'!$C$2:$I$1000, 4, 0))), 0)</f>
        <v>0</v>
      </c>
      <c r="U7510" s="22">
        <f t="shared" si="468"/>
        <v>0</v>
      </c>
      <c r="V7510">
        <f t="shared" si="469"/>
        <v>0</v>
      </c>
      <c r="W7510" s="22">
        <f t="shared" si="470"/>
        <v>0</v>
      </c>
    </row>
    <row r="7511" spans="1:23" hidden="1" x14ac:dyDescent="0.25">
      <c r="A7511" s="3">
        <v>46177</v>
      </c>
      <c r="B7511" s="46" t="s">
        <v>334</v>
      </c>
      <c r="C7511" s="4" t="s">
        <v>160</v>
      </c>
      <c r="D7511" s="4"/>
      <c r="E7511" s="4"/>
      <c r="F7511" s="4" t="s">
        <v>3582</v>
      </c>
      <c r="G7511" s="4" t="s">
        <v>336</v>
      </c>
      <c r="H7511" s="4" t="s">
        <v>289</v>
      </c>
      <c r="I7511" s="4">
        <v>0.5</v>
      </c>
      <c r="J7511" s="21">
        <v>250</v>
      </c>
      <c r="K7511" s="21">
        <v>0</v>
      </c>
      <c r="L7511" s="5">
        <v>0</v>
      </c>
      <c r="M7511" s="4"/>
      <c r="N7511" s="4"/>
      <c r="O7511" s="5"/>
      <c r="P7511" s="5"/>
      <c r="Q7511" s="21">
        <v>125</v>
      </c>
      <c r="R7511" s="21">
        <v>0</v>
      </c>
      <c r="S7511" s="5">
        <f t="shared" si="471"/>
        <v>33064.879203922879</v>
      </c>
      <c r="T7511" cm="1">
        <f t="array" ref="T7511">IF(OR(B7511="MAL ALIMI", B7511="ÜRETİM GİRİŞ"), MIN(I7511, MAX(0, I7511 + SUM(SUMIFS($I$1:I7510, $C$1:C7510, C7511, $B$1:B7510, {"MAL ALIMI","ÜRETİM GİRİŞ"})) - VLOOKUP(C7511, 'STOK RAPORU'!$C$2:$I$1000, 4, 0))), 0)</f>
        <v>0</v>
      </c>
      <c r="U7511" s="22">
        <f t="shared" si="468"/>
        <v>0</v>
      </c>
      <c r="V7511">
        <f t="shared" si="469"/>
        <v>0</v>
      </c>
      <c r="W7511" s="22">
        <f t="shared" si="470"/>
        <v>0</v>
      </c>
    </row>
    <row r="7512" spans="1:23" hidden="1" x14ac:dyDescent="0.25">
      <c r="A7512" s="3">
        <v>46177</v>
      </c>
      <c r="B7512" s="46" t="s">
        <v>334</v>
      </c>
      <c r="C7512" s="4" t="s">
        <v>129</v>
      </c>
      <c r="D7512" s="4"/>
      <c r="E7512" s="4"/>
      <c r="F7512" s="4" t="s">
        <v>3582</v>
      </c>
      <c r="G7512" s="4" t="s">
        <v>336</v>
      </c>
      <c r="H7512" s="4" t="s">
        <v>289</v>
      </c>
      <c r="I7512" s="4">
        <v>0.1</v>
      </c>
      <c r="J7512" s="21">
        <v>400</v>
      </c>
      <c r="K7512" s="21">
        <v>0</v>
      </c>
      <c r="L7512" s="5">
        <v>0</v>
      </c>
      <c r="M7512" s="4"/>
      <c r="N7512" s="4"/>
      <c r="O7512" s="5"/>
      <c r="P7512" s="5"/>
      <c r="Q7512" s="21">
        <v>40</v>
      </c>
      <c r="R7512" s="21">
        <v>0</v>
      </c>
      <c r="S7512" s="5">
        <f t="shared" si="471"/>
        <v>33104.879203922879</v>
      </c>
      <c r="T7512" cm="1">
        <f t="array" ref="T7512">IF(OR(B7512="MAL ALIMI", B7512="ÜRETİM GİRİŞ"), MIN(I7512, MAX(0, I7512 + SUM(SUMIFS($I$1:I7511, $C$1:C7511, C7512, $B$1:B7511, {"MAL ALIMI","ÜRETİM GİRİŞ"})) - VLOOKUP(C7512, 'STOK RAPORU'!$C$2:$I$1000, 4, 0))), 0)</f>
        <v>0</v>
      </c>
      <c r="U7512" s="22">
        <f t="shared" si="468"/>
        <v>0</v>
      </c>
      <c r="V7512">
        <f t="shared" si="469"/>
        <v>0</v>
      </c>
      <c r="W7512" s="22">
        <f t="shared" si="470"/>
        <v>0</v>
      </c>
    </row>
    <row r="7513" spans="1:23" hidden="1" x14ac:dyDescent="0.25">
      <c r="A7513" s="41">
        <v>46177</v>
      </c>
      <c r="B7513" s="42" t="s">
        <v>334</v>
      </c>
      <c r="C7513" s="42" t="s">
        <v>160</v>
      </c>
      <c r="D7513" s="42"/>
      <c r="E7513" s="42"/>
      <c r="F7513" s="42" t="s">
        <v>3583</v>
      </c>
      <c r="G7513" s="42" t="s">
        <v>2163</v>
      </c>
      <c r="H7513" s="42" t="s">
        <v>289</v>
      </c>
      <c r="I7513" s="42">
        <v>2</v>
      </c>
      <c r="J7513" s="21">
        <v>250</v>
      </c>
      <c r="K7513" s="43">
        <v>0</v>
      </c>
      <c r="L7513" s="44">
        <v>0</v>
      </c>
      <c r="M7513" s="42"/>
      <c r="N7513" s="42"/>
      <c r="O7513" s="44"/>
      <c r="P7513" s="44"/>
      <c r="Q7513" s="43">
        <v>500</v>
      </c>
      <c r="R7513" s="43">
        <v>0</v>
      </c>
      <c r="S7513" s="5">
        <f t="shared" si="471"/>
        <v>33604.879203922879</v>
      </c>
      <c r="T7513" cm="1">
        <f t="array" ref="T7513">IF(OR(B7513="MAL ALIMI", B7513="ÜRETİM GİRİŞ"), MIN(I7513, MAX(0, I7513 + SUM(SUMIFS($I$1:I7512, $C$1:C7512, C7513, $B$1:B7512, {"MAL ALIMI","ÜRETİM GİRİŞ"})) - VLOOKUP(C7513, 'STOK RAPORU'!$C$2:$I$1000, 4, 0))), 0)</f>
        <v>0</v>
      </c>
      <c r="U7513" s="22">
        <f t="shared" si="468"/>
        <v>0</v>
      </c>
      <c r="V7513">
        <f t="shared" si="469"/>
        <v>0</v>
      </c>
      <c r="W7513" s="22">
        <f t="shared" si="470"/>
        <v>0</v>
      </c>
    </row>
    <row r="7514" spans="1:23" hidden="1" x14ac:dyDescent="0.25">
      <c r="A7514" s="41">
        <v>46177</v>
      </c>
      <c r="B7514" s="42" t="s">
        <v>334</v>
      </c>
      <c r="C7514" s="42" t="s">
        <v>2120</v>
      </c>
      <c r="D7514" s="42"/>
      <c r="E7514" s="42"/>
      <c r="F7514" s="42" t="s">
        <v>3583</v>
      </c>
      <c r="G7514" s="42" t="s">
        <v>2163</v>
      </c>
      <c r="H7514" s="42" t="s">
        <v>289</v>
      </c>
      <c r="I7514" s="42">
        <v>3</v>
      </c>
      <c r="J7514" s="43">
        <v>65</v>
      </c>
      <c r="K7514" s="43">
        <v>0</v>
      </c>
      <c r="L7514" s="44">
        <v>0</v>
      </c>
      <c r="M7514" s="42"/>
      <c r="N7514" s="42"/>
      <c r="O7514" s="44"/>
      <c r="P7514" s="44"/>
      <c r="Q7514" s="43">
        <v>195</v>
      </c>
      <c r="R7514" s="43">
        <v>0</v>
      </c>
      <c r="S7514" s="5">
        <f t="shared" si="471"/>
        <v>33799.879203922879</v>
      </c>
      <c r="T7514" cm="1">
        <f t="array" ref="T7514">IF(OR(B7514="MAL ALIMI", B7514="ÜRETİM GİRİŞ"), MIN(I7514, MAX(0, I7514 + SUM(SUMIFS($I$1:I7513, $C$1:C7513, C7514, $B$1:B7513, {"MAL ALIMI","ÜRETİM GİRİŞ"})) - VLOOKUP(C7514, 'STOK RAPORU'!$C$2:$I$1000, 4, 0))), 0)</f>
        <v>0</v>
      </c>
      <c r="U7514" s="22">
        <f t="shared" si="468"/>
        <v>0</v>
      </c>
      <c r="V7514">
        <f t="shared" si="469"/>
        <v>0</v>
      </c>
      <c r="W7514" s="22">
        <f t="shared" si="470"/>
        <v>0</v>
      </c>
    </row>
    <row r="7515" spans="1:23" hidden="1" x14ac:dyDescent="0.25">
      <c r="A7515" s="41">
        <v>46177</v>
      </c>
      <c r="B7515" s="42" t="s">
        <v>334</v>
      </c>
      <c r="C7515" s="42" t="s">
        <v>158</v>
      </c>
      <c r="D7515" s="42"/>
      <c r="E7515" s="42"/>
      <c r="F7515" s="42" t="s">
        <v>3583</v>
      </c>
      <c r="G7515" s="42" t="s">
        <v>2163</v>
      </c>
      <c r="H7515" s="42" t="s">
        <v>289</v>
      </c>
      <c r="I7515" s="42">
        <v>5</v>
      </c>
      <c r="J7515" s="43">
        <v>150</v>
      </c>
      <c r="K7515" s="43">
        <v>0</v>
      </c>
      <c r="L7515" s="44">
        <v>0</v>
      </c>
      <c r="M7515" s="42"/>
      <c r="N7515" s="42"/>
      <c r="O7515" s="44"/>
      <c r="P7515" s="44"/>
      <c r="Q7515" s="43">
        <v>750</v>
      </c>
      <c r="R7515" s="43">
        <v>0</v>
      </c>
      <c r="S7515" s="5">
        <f t="shared" si="471"/>
        <v>34549.879203922879</v>
      </c>
      <c r="T7515" cm="1">
        <f t="array" ref="T7515">IF(OR(B7515="MAL ALIMI", B7515="ÜRETİM GİRİŞ"), MIN(I7515, MAX(0, I7515 + SUM(SUMIFS($I$1:I7514, $C$1:C7514, C7515, $B$1:B7514, {"MAL ALIMI","ÜRETİM GİRİŞ"})) - VLOOKUP(C7515, 'STOK RAPORU'!$C$2:$I$1000, 4, 0))), 0)</f>
        <v>0</v>
      </c>
      <c r="U7515" s="22">
        <f t="shared" si="468"/>
        <v>0</v>
      </c>
      <c r="V7515">
        <f t="shared" si="469"/>
        <v>0</v>
      </c>
      <c r="W7515" s="22">
        <f t="shared" si="470"/>
        <v>0</v>
      </c>
    </row>
    <row r="7516" spans="1:23" hidden="1" x14ac:dyDescent="0.25">
      <c r="A7516" s="41">
        <v>46177</v>
      </c>
      <c r="B7516" s="42" t="s">
        <v>334</v>
      </c>
      <c r="C7516" s="42" t="s">
        <v>157</v>
      </c>
      <c r="D7516" s="42"/>
      <c r="E7516" s="42"/>
      <c r="F7516" s="42" t="s">
        <v>3583</v>
      </c>
      <c r="G7516" s="42" t="s">
        <v>2163</v>
      </c>
      <c r="H7516" s="42" t="s">
        <v>289</v>
      </c>
      <c r="I7516" s="42">
        <v>2</v>
      </c>
      <c r="J7516" s="43">
        <v>200</v>
      </c>
      <c r="K7516" s="43">
        <v>0</v>
      </c>
      <c r="L7516" s="44">
        <v>0</v>
      </c>
      <c r="M7516" s="42"/>
      <c r="N7516" s="42"/>
      <c r="O7516" s="44"/>
      <c r="P7516" s="44"/>
      <c r="Q7516" s="43">
        <v>400</v>
      </c>
      <c r="R7516" s="43">
        <v>0</v>
      </c>
      <c r="S7516" s="5">
        <f t="shared" si="471"/>
        <v>34949.879203922879</v>
      </c>
      <c r="T7516" cm="1">
        <f t="array" ref="T7516">IF(OR(B7516="MAL ALIMI", B7516="ÜRETİM GİRİŞ"), MIN(I7516, MAX(0, I7516 + SUM(SUMIFS($I$1:I7515, $C$1:C7515, C7516, $B$1:B7515, {"MAL ALIMI","ÜRETİM GİRİŞ"})) - VLOOKUP(C7516, 'STOK RAPORU'!$C$2:$I$1000, 4, 0))), 0)</f>
        <v>0</v>
      </c>
      <c r="U7516" s="22">
        <f t="shared" si="468"/>
        <v>0</v>
      </c>
      <c r="V7516">
        <f t="shared" si="469"/>
        <v>0</v>
      </c>
      <c r="W7516" s="22">
        <f t="shared" si="470"/>
        <v>0</v>
      </c>
    </row>
    <row r="7517" spans="1:23" hidden="1" x14ac:dyDescent="0.25">
      <c r="A7517" s="41">
        <v>46177</v>
      </c>
      <c r="B7517" s="42" t="s">
        <v>334</v>
      </c>
      <c r="C7517" s="42" t="s">
        <v>160</v>
      </c>
      <c r="D7517" s="42"/>
      <c r="E7517" s="42"/>
      <c r="F7517" s="42" t="s">
        <v>3583</v>
      </c>
      <c r="G7517" s="42" t="s">
        <v>2163</v>
      </c>
      <c r="H7517" s="42" t="s">
        <v>289</v>
      </c>
      <c r="I7517" s="42">
        <v>3</v>
      </c>
      <c r="J7517" s="21">
        <v>250</v>
      </c>
      <c r="K7517" s="43">
        <v>0</v>
      </c>
      <c r="L7517" s="44">
        <v>0</v>
      </c>
      <c r="M7517" s="42"/>
      <c r="N7517" s="42"/>
      <c r="O7517" s="44"/>
      <c r="P7517" s="44"/>
      <c r="Q7517" s="43">
        <v>750</v>
      </c>
      <c r="R7517" s="43">
        <v>0</v>
      </c>
      <c r="S7517" s="5">
        <f t="shared" si="471"/>
        <v>35699.879203922879</v>
      </c>
      <c r="T7517" cm="1">
        <f t="array" ref="T7517">IF(OR(B7517="MAL ALIMI", B7517="ÜRETİM GİRİŞ"), MIN(I7517, MAX(0, I7517 + SUM(SUMIFS($I$1:I7516, $C$1:C7516, C7517, $B$1:B7516, {"MAL ALIMI","ÜRETİM GİRİŞ"})) - VLOOKUP(C7517, 'STOK RAPORU'!$C$2:$I$1000, 4, 0))), 0)</f>
        <v>0</v>
      </c>
      <c r="U7517" s="22">
        <f t="shared" si="468"/>
        <v>0</v>
      </c>
      <c r="V7517">
        <f t="shared" si="469"/>
        <v>0</v>
      </c>
      <c r="W7517" s="22">
        <f t="shared" si="470"/>
        <v>0</v>
      </c>
    </row>
    <row r="7518" spans="1:23" hidden="1" x14ac:dyDescent="0.25">
      <c r="A7518" s="41">
        <v>46177</v>
      </c>
      <c r="B7518" s="42" t="s">
        <v>334</v>
      </c>
      <c r="C7518" s="42" t="s">
        <v>1357</v>
      </c>
      <c r="D7518" s="42"/>
      <c r="E7518" s="42"/>
      <c r="F7518" s="42" t="s">
        <v>3583</v>
      </c>
      <c r="G7518" s="42" t="s">
        <v>2163</v>
      </c>
      <c r="H7518" s="42" t="s">
        <v>289</v>
      </c>
      <c r="I7518" s="42">
        <v>1</v>
      </c>
      <c r="J7518" s="43">
        <v>700</v>
      </c>
      <c r="K7518" s="43">
        <v>0</v>
      </c>
      <c r="L7518" s="44">
        <v>0</v>
      </c>
      <c r="M7518" s="42"/>
      <c r="N7518" s="42"/>
      <c r="O7518" s="44"/>
      <c r="P7518" s="44"/>
      <c r="Q7518" s="43">
        <v>700</v>
      </c>
      <c r="R7518" s="43">
        <v>0</v>
      </c>
      <c r="S7518" s="5">
        <f t="shared" si="471"/>
        <v>36399.879203922879</v>
      </c>
      <c r="T7518" cm="1">
        <f t="array" ref="T7518">IF(OR(B7518="MAL ALIMI", B7518="ÜRETİM GİRİŞ"), MIN(I7518, MAX(0, I7518 + SUM(SUMIFS($I$1:I7517, $C$1:C7517, C7518, $B$1:B7517, {"MAL ALIMI","ÜRETİM GİRİŞ"})) - VLOOKUP(C7518, 'STOK RAPORU'!$C$2:$I$1000, 4, 0))), 0)</f>
        <v>0</v>
      </c>
      <c r="U7518" s="22">
        <f t="shared" si="468"/>
        <v>0</v>
      </c>
      <c r="V7518">
        <f t="shared" si="469"/>
        <v>0</v>
      </c>
      <c r="W7518" s="22">
        <f t="shared" si="470"/>
        <v>0</v>
      </c>
    </row>
    <row r="7519" spans="1:23" hidden="1" x14ac:dyDescent="0.25">
      <c r="A7519" s="41">
        <v>46177</v>
      </c>
      <c r="B7519" s="42" t="s">
        <v>334</v>
      </c>
      <c r="C7519" s="42" t="s">
        <v>1357</v>
      </c>
      <c r="D7519" s="42"/>
      <c r="E7519" s="42"/>
      <c r="F7519" s="42" t="s">
        <v>3584</v>
      </c>
      <c r="G7519" s="42" t="s">
        <v>3101</v>
      </c>
      <c r="H7519" s="42" t="s">
        <v>289</v>
      </c>
      <c r="I7519" s="42">
        <v>0.2857142857142857</v>
      </c>
      <c r="J7519" s="43">
        <v>700</v>
      </c>
      <c r="K7519" s="43">
        <v>0</v>
      </c>
      <c r="L7519" s="44">
        <v>0</v>
      </c>
      <c r="M7519" s="42"/>
      <c r="N7519" s="42"/>
      <c r="O7519" s="44"/>
      <c r="P7519" s="44"/>
      <c r="Q7519" s="43">
        <v>200</v>
      </c>
      <c r="R7519" s="43">
        <v>0</v>
      </c>
      <c r="S7519" s="5">
        <f t="shared" si="471"/>
        <v>36599.879203922879</v>
      </c>
      <c r="T7519" cm="1">
        <f t="array" ref="T7519">IF(OR(B7519="MAL ALIMI", B7519="ÜRETİM GİRİŞ"), MIN(I7519, MAX(0, I7519 + SUM(SUMIFS($I$1:I7518, $C$1:C7518, C7519, $B$1:B7518, {"MAL ALIMI","ÜRETİM GİRİŞ"})) - VLOOKUP(C7519, 'STOK RAPORU'!$C$2:$I$1000, 4, 0))), 0)</f>
        <v>0</v>
      </c>
      <c r="U7519" s="22">
        <f t="shared" si="468"/>
        <v>0</v>
      </c>
      <c r="V7519">
        <f t="shared" si="469"/>
        <v>0</v>
      </c>
      <c r="W7519" s="22">
        <f t="shared" si="470"/>
        <v>0</v>
      </c>
    </row>
    <row r="7520" spans="1:23" hidden="1" x14ac:dyDescent="0.25">
      <c r="A7520" s="41">
        <v>46177</v>
      </c>
      <c r="B7520" s="42" t="s">
        <v>334</v>
      </c>
      <c r="C7520" s="42" t="s">
        <v>463</v>
      </c>
      <c r="D7520" s="42"/>
      <c r="E7520" s="42"/>
      <c r="F7520" s="42" t="s">
        <v>3584</v>
      </c>
      <c r="G7520" s="42" t="s">
        <v>3101</v>
      </c>
      <c r="H7520" s="42" t="s">
        <v>289</v>
      </c>
      <c r="I7520" s="42">
        <v>0.25</v>
      </c>
      <c r="J7520" s="43">
        <v>400</v>
      </c>
      <c r="K7520" s="43">
        <v>0</v>
      </c>
      <c r="L7520" s="44">
        <v>0</v>
      </c>
      <c r="M7520" s="42"/>
      <c r="N7520" s="42"/>
      <c r="O7520" s="44"/>
      <c r="P7520" s="44"/>
      <c r="Q7520" s="43">
        <v>100</v>
      </c>
      <c r="R7520" s="43">
        <v>0</v>
      </c>
      <c r="S7520" s="5">
        <f t="shared" si="471"/>
        <v>36699.879203922879</v>
      </c>
      <c r="T7520" cm="1">
        <f t="array" ref="T7520">IF(OR(B7520="MAL ALIMI", B7520="ÜRETİM GİRİŞ"), MIN(I7520, MAX(0, I7520 + SUM(SUMIFS($I$1:I7519, $C$1:C7519, C7520, $B$1:B7519, {"MAL ALIMI","ÜRETİM GİRİŞ"})) - VLOOKUP(C7520, 'STOK RAPORU'!$C$2:$I$1000, 4, 0))), 0)</f>
        <v>0</v>
      </c>
      <c r="U7520" s="22">
        <f t="shared" si="468"/>
        <v>0</v>
      </c>
      <c r="V7520">
        <f t="shared" si="469"/>
        <v>0</v>
      </c>
      <c r="W7520" s="22">
        <f t="shared" si="470"/>
        <v>0</v>
      </c>
    </row>
    <row r="7521" spans="1:23" hidden="1" x14ac:dyDescent="0.25">
      <c r="A7521" s="3">
        <v>46177</v>
      </c>
      <c r="B7521" s="46" t="s">
        <v>334</v>
      </c>
      <c r="C7521" s="4" t="s">
        <v>1501</v>
      </c>
      <c r="D7521" s="4"/>
      <c r="E7521" s="4"/>
      <c r="F7521" s="4" t="s">
        <v>3585</v>
      </c>
      <c r="G7521" s="4" t="s">
        <v>1771</v>
      </c>
      <c r="H7521" s="4" t="s">
        <v>289</v>
      </c>
      <c r="I7521" s="4">
        <v>2</v>
      </c>
      <c r="J7521" s="21">
        <v>700</v>
      </c>
      <c r="K7521" s="21">
        <v>0</v>
      </c>
      <c r="L7521" s="5">
        <v>0</v>
      </c>
      <c r="M7521" s="4"/>
      <c r="N7521" s="4"/>
      <c r="O7521" s="5"/>
      <c r="P7521" s="5"/>
      <c r="Q7521" s="21">
        <v>1400</v>
      </c>
      <c r="R7521" s="21">
        <v>0</v>
      </c>
      <c r="S7521" s="5">
        <f t="shared" si="471"/>
        <v>38099.879203922879</v>
      </c>
      <c r="T7521" cm="1">
        <f t="array" ref="T7521">IF(OR(B7521="MAL ALIMI", B7521="ÜRETİM GİRİŞ"), MIN(I7521, MAX(0, I7521 + SUM(SUMIFS($I$1:I7520, $C$1:C7520, C7521, $B$1:B7520, {"MAL ALIMI","ÜRETİM GİRİŞ"})) - VLOOKUP(C7521, 'STOK RAPORU'!$C$2:$I$1000, 4, 0))), 0)</f>
        <v>0</v>
      </c>
      <c r="U7521" s="22">
        <f t="shared" si="468"/>
        <v>0</v>
      </c>
      <c r="V7521">
        <f t="shared" si="469"/>
        <v>0</v>
      </c>
      <c r="W7521" s="22">
        <f t="shared" si="470"/>
        <v>0</v>
      </c>
    </row>
    <row r="7522" spans="1:23" hidden="1" x14ac:dyDescent="0.25">
      <c r="A7522" s="3">
        <v>46177</v>
      </c>
      <c r="B7522" s="46" t="s">
        <v>334</v>
      </c>
      <c r="C7522" s="4" t="s">
        <v>1357</v>
      </c>
      <c r="D7522" s="4"/>
      <c r="E7522" s="4"/>
      <c r="F7522" s="4" t="s">
        <v>3585</v>
      </c>
      <c r="G7522" s="4" t="s">
        <v>1771</v>
      </c>
      <c r="H7522" s="4" t="s">
        <v>289</v>
      </c>
      <c r="I7522" s="4">
        <v>2</v>
      </c>
      <c r="J7522" s="21">
        <v>700</v>
      </c>
      <c r="K7522" s="21">
        <v>0</v>
      </c>
      <c r="L7522" s="5">
        <v>0</v>
      </c>
      <c r="M7522" s="4"/>
      <c r="N7522" s="4"/>
      <c r="O7522" s="5"/>
      <c r="P7522" s="5"/>
      <c r="Q7522" s="21">
        <v>1400</v>
      </c>
      <c r="R7522" s="21">
        <v>0</v>
      </c>
      <c r="S7522" s="5">
        <f t="shared" si="471"/>
        <v>39499.879203922879</v>
      </c>
      <c r="T7522" cm="1">
        <f t="array" ref="T7522">IF(OR(B7522="MAL ALIMI", B7522="ÜRETİM GİRİŞ"), MIN(I7522, MAX(0, I7522 + SUM(SUMIFS($I$1:I7521, $C$1:C7521, C7522, $B$1:B7521, {"MAL ALIMI","ÜRETİM GİRİŞ"})) - VLOOKUP(C7522, 'STOK RAPORU'!$C$2:$I$1000, 4, 0))), 0)</f>
        <v>0</v>
      </c>
      <c r="U7522" s="22">
        <f t="shared" si="468"/>
        <v>0</v>
      </c>
      <c r="V7522">
        <f t="shared" si="469"/>
        <v>0</v>
      </c>
      <c r="W7522" s="22">
        <f t="shared" si="470"/>
        <v>0</v>
      </c>
    </row>
    <row r="7523" spans="1:23" hidden="1" x14ac:dyDescent="0.25">
      <c r="A7523" s="3">
        <v>46177</v>
      </c>
      <c r="B7523" s="46" t="s">
        <v>334</v>
      </c>
      <c r="C7523" s="4" t="s">
        <v>2520</v>
      </c>
      <c r="D7523" s="4"/>
      <c r="E7523" s="4"/>
      <c r="F7523" s="4" t="s">
        <v>3585</v>
      </c>
      <c r="G7523" s="4" t="s">
        <v>1771</v>
      </c>
      <c r="H7523" s="4" t="s">
        <v>289</v>
      </c>
      <c r="I7523" s="4">
        <v>0.5</v>
      </c>
      <c r="J7523" s="21">
        <v>550</v>
      </c>
      <c r="K7523" s="21">
        <v>0</v>
      </c>
      <c r="L7523" s="5">
        <v>0</v>
      </c>
      <c r="M7523" s="4"/>
      <c r="N7523" s="4"/>
      <c r="O7523" s="5"/>
      <c r="P7523" s="5"/>
      <c r="Q7523" s="21">
        <v>275</v>
      </c>
      <c r="R7523" s="21">
        <v>0</v>
      </c>
      <c r="S7523" s="5">
        <f t="shared" si="471"/>
        <v>39774.879203922879</v>
      </c>
      <c r="T7523" cm="1">
        <f t="array" ref="T7523">IF(OR(B7523="MAL ALIMI", B7523="ÜRETİM GİRİŞ"), MIN(I7523, MAX(0, I7523 + SUM(SUMIFS($I$1:I7522, $C$1:C7522, C7523, $B$1:B7522, {"MAL ALIMI","ÜRETİM GİRİŞ"})) - VLOOKUP(C7523, 'STOK RAPORU'!$C$2:$I$1000, 4, 0))), 0)</f>
        <v>0</v>
      </c>
      <c r="U7523" s="22">
        <f t="shared" si="468"/>
        <v>0</v>
      </c>
      <c r="V7523">
        <f t="shared" si="469"/>
        <v>0</v>
      </c>
      <c r="W7523" s="22">
        <f t="shared" si="470"/>
        <v>0</v>
      </c>
    </row>
    <row r="7524" spans="1:23" hidden="1" x14ac:dyDescent="0.25">
      <c r="A7524" s="41">
        <v>46177</v>
      </c>
      <c r="B7524" s="42" t="s">
        <v>334</v>
      </c>
      <c r="C7524" s="42" t="s">
        <v>133</v>
      </c>
      <c r="D7524" s="42"/>
      <c r="E7524" s="42"/>
      <c r="F7524" s="42" t="s">
        <v>3586</v>
      </c>
      <c r="G7524" s="42" t="s">
        <v>2526</v>
      </c>
      <c r="H7524" s="42" t="s">
        <v>289</v>
      </c>
      <c r="I7524" s="42">
        <v>1</v>
      </c>
      <c r="J7524" s="43">
        <v>400</v>
      </c>
      <c r="K7524" s="43">
        <v>0</v>
      </c>
      <c r="L7524" s="44">
        <v>0</v>
      </c>
      <c r="M7524" s="42"/>
      <c r="N7524" s="42"/>
      <c r="O7524" s="44"/>
      <c r="P7524" s="44"/>
      <c r="Q7524" s="43">
        <v>400</v>
      </c>
      <c r="R7524" s="43">
        <v>0</v>
      </c>
      <c r="S7524" s="5">
        <f t="shared" si="471"/>
        <v>40174.879203922879</v>
      </c>
      <c r="T7524" cm="1">
        <f t="array" ref="T7524">IF(OR(B7524="MAL ALIMI", B7524="ÜRETİM GİRİŞ"), MIN(I7524, MAX(0, I7524 + SUM(SUMIFS($I$1:I7523, $C$1:C7523, C7524, $B$1:B7523, {"MAL ALIMI","ÜRETİM GİRİŞ"})) - VLOOKUP(C7524, 'STOK RAPORU'!$C$2:$I$1000, 4, 0))), 0)</f>
        <v>0</v>
      </c>
      <c r="U7524" s="22">
        <f t="shared" si="468"/>
        <v>0</v>
      </c>
      <c r="V7524">
        <f t="shared" si="469"/>
        <v>0</v>
      </c>
      <c r="W7524" s="22">
        <f t="shared" si="470"/>
        <v>0</v>
      </c>
    </row>
    <row r="7525" spans="1:23" hidden="1" x14ac:dyDescent="0.25">
      <c r="A7525" s="41">
        <v>46177</v>
      </c>
      <c r="B7525" s="42" t="s">
        <v>334</v>
      </c>
      <c r="C7525" s="42" t="s">
        <v>130</v>
      </c>
      <c r="D7525" s="42"/>
      <c r="E7525" s="42"/>
      <c r="F7525" s="42" t="s">
        <v>3586</v>
      </c>
      <c r="G7525" s="42" t="s">
        <v>2526</v>
      </c>
      <c r="H7525" s="42" t="s">
        <v>289</v>
      </c>
      <c r="I7525" s="42">
        <v>0.44444444444444442</v>
      </c>
      <c r="J7525" s="43">
        <v>450</v>
      </c>
      <c r="K7525" s="43">
        <v>0</v>
      </c>
      <c r="L7525" s="44">
        <v>0</v>
      </c>
      <c r="M7525" s="42"/>
      <c r="N7525" s="42"/>
      <c r="O7525" s="44"/>
      <c r="P7525" s="44"/>
      <c r="Q7525" s="43">
        <v>200</v>
      </c>
      <c r="R7525" s="43">
        <v>0</v>
      </c>
      <c r="S7525" s="5">
        <f t="shared" si="471"/>
        <v>40374.879203922879</v>
      </c>
      <c r="T7525" cm="1">
        <f t="array" ref="T7525">IF(OR(B7525="MAL ALIMI", B7525="ÜRETİM GİRİŞ"), MIN(I7525, MAX(0, I7525 + SUM(SUMIFS($I$1:I7524, $C$1:C7524, C7525, $B$1:B7524, {"MAL ALIMI","ÜRETİM GİRİŞ"})) - VLOOKUP(C7525, 'STOK RAPORU'!$C$2:$I$1000, 4, 0))), 0)</f>
        <v>0</v>
      </c>
      <c r="U7525" s="22">
        <f t="shared" si="468"/>
        <v>0</v>
      </c>
      <c r="V7525">
        <f t="shared" si="469"/>
        <v>0</v>
      </c>
      <c r="W7525" s="22">
        <f t="shared" si="470"/>
        <v>0</v>
      </c>
    </row>
    <row r="7526" spans="1:23" hidden="1" x14ac:dyDescent="0.25">
      <c r="A7526" s="41">
        <v>46177</v>
      </c>
      <c r="B7526" s="42" t="s">
        <v>334</v>
      </c>
      <c r="C7526" s="42" t="s">
        <v>238</v>
      </c>
      <c r="D7526" s="42"/>
      <c r="E7526" s="42"/>
      <c r="F7526" s="42" t="s">
        <v>3586</v>
      </c>
      <c r="G7526" s="42" t="s">
        <v>2526</v>
      </c>
      <c r="H7526" s="42" t="s">
        <v>289</v>
      </c>
      <c r="I7526" s="42">
        <v>0.1</v>
      </c>
      <c r="J7526" s="43">
        <v>1350</v>
      </c>
      <c r="K7526" s="43">
        <v>0</v>
      </c>
      <c r="L7526" s="44">
        <v>0</v>
      </c>
      <c r="M7526" s="42"/>
      <c r="N7526" s="42"/>
      <c r="O7526" s="44"/>
      <c r="P7526" s="44"/>
      <c r="Q7526" s="43">
        <v>135</v>
      </c>
      <c r="R7526" s="43">
        <v>0</v>
      </c>
      <c r="S7526" s="5">
        <f t="shared" si="471"/>
        <v>40509.879203922879</v>
      </c>
      <c r="T7526" cm="1">
        <f t="array" ref="T7526">IF(OR(B7526="MAL ALIMI", B7526="ÜRETİM GİRİŞ"), MIN(I7526, MAX(0, I7526 + SUM(SUMIFS($I$1:I7525, $C$1:C7525, C7526, $B$1:B7525, {"MAL ALIMI","ÜRETİM GİRİŞ"})) - VLOOKUP(C7526, 'STOK RAPORU'!$C$2:$I$1000, 4, 0))), 0)</f>
        <v>0</v>
      </c>
      <c r="U7526" s="22">
        <f t="shared" si="468"/>
        <v>0</v>
      </c>
      <c r="V7526">
        <f t="shared" si="469"/>
        <v>0</v>
      </c>
      <c r="W7526" s="22">
        <f t="shared" si="470"/>
        <v>0</v>
      </c>
    </row>
    <row r="7527" spans="1:23" hidden="1" x14ac:dyDescent="0.25">
      <c r="A7527" s="41">
        <v>46177</v>
      </c>
      <c r="B7527" s="42" t="s">
        <v>334</v>
      </c>
      <c r="C7527" s="42" t="s">
        <v>714</v>
      </c>
      <c r="D7527" s="42"/>
      <c r="E7527" s="42"/>
      <c r="F7527" s="42" t="s">
        <v>3586</v>
      </c>
      <c r="G7527" s="42" t="s">
        <v>2526</v>
      </c>
      <c r="H7527" s="42" t="s">
        <v>289</v>
      </c>
      <c r="I7527" s="42">
        <v>1</v>
      </c>
      <c r="J7527" s="43">
        <v>250</v>
      </c>
      <c r="K7527" s="43">
        <v>0</v>
      </c>
      <c r="L7527" s="44">
        <v>0</v>
      </c>
      <c r="M7527" s="42"/>
      <c r="N7527" s="42"/>
      <c r="O7527" s="44"/>
      <c r="P7527" s="44"/>
      <c r="Q7527" s="43">
        <v>250</v>
      </c>
      <c r="R7527" s="43">
        <v>0</v>
      </c>
      <c r="S7527" s="5">
        <f t="shared" si="471"/>
        <v>40759.879203922879</v>
      </c>
      <c r="T7527" cm="1">
        <f t="array" ref="T7527">IF(OR(B7527="MAL ALIMI", B7527="ÜRETİM GİRİŞ"), MIN(I7527, MAX(0, I7527 + SUM(SUMIFS($I$1:I7526, $C$1:C7526, C7527, $B$1:B7526, {"MAL ALIMI","ÜRETİM GİRİŞ"})) - VLOOKUP(C7527, 'STOK RAPORU'!$C$2:$I$1000, 4, 0))), 0)</f>
        <v>0</v>
      </c>
      <c r="U7527" s="22">
        <f t="shared" si="468"/>
        <v>0</v>
      </c>
      <c r="V7527">
        <f t="shared" si="469"/>
        <v>0</v>
      </c>
      <c r="W7527" s="22">
        <f t="shared" si="470"/>
        <v>0</v>
      </c>
    </row>
    <row r="7528" spans="1:23" hidden="1" x14ac:dyDescent="0.25">
      <c r="A7528" s="3">
        <v>46177</v>
      </c>
      <c r="B7528" s="46" t="s">
        <v>334</v>
      </c>
      <c r="C7528" s="4" t="s">
        <v>158</v>
      </c>
      <c r="D7528" s="4"/>
      <c r="E7528" s="4" t="s">
        <v>921</v>
      </c>
      <c r="F7528" s="4" t="s">
        <v>3587</v>
      </c>
      <c r="G7528" s="4" t="s">
        <v>336</v>
      </c>
      <c r="H7528" s="4" t="s">
        <v>380</v>
      </c>
      <c r="I7528" s="4">
        <v>1</v>
      </c>
      <c r="J7528" s="21">
        <v>150</v>
      </c>
      <c r="K7528" s="21">
        <v>150</v>
      </c>
      <c r="L7528" s="5">
        <v>0</v>
      </c>
      <c r="M7528" s="4"/>
      <c r="N7528" s="4"/>
      <c r="O7528" s="5"/>
      <c r="P7528" s="5"/>
      <c r="Q7528" s="21">
        <v>0</v>
      </c>
      <c r="R7528" s="21">
        <v>0</v>
      </c>
      <c r="S7528" s="5">
        <f t="shared" si="471"/>
        <v>40759.879203922879</v>
      </c>
      <c r="T7528" cm="1">
        <f t="array" ref="T7528">IF(OR(B7528="MAL ALIMI", B7528="ÜRETİM GİRİŞ"), MIN(I7528, MAX(0, I7528 + SUM(SUMIFS($I$1:I7527, $C$1:C7527, C7528, $B$1:B7527, {"MAL ALIMI","ÜRETİM GİRİŞ"})) - VLOOKUP(C7528, 'STOK RAPORU'!$C$2:$I$1000, 4, 0))), 0)</f>
        <v>0</v>
      </c>
      <c r="U7528" s="22">
        <f t="shared" si="468"/>
        <v>0</v>
      </c>
      <c r="V7528">
        <f t="shared" si="469"/>
        <v>0</v>
      </c>
      <c r="W7528" s="22">
        <f t="shared" si="470"/>
        <v>0</v>
      </c>
    </row>
    <row r="7529" spans="1:23" hidden="1" x14ac:dyDescent="0.25">
      <c r="A7529" s="3">
        <v>46177</v>
      </c>
      <c r="B7529" s="46" t="s">
        <v>334</v>
      </c>
      <c r="C7529" s="4" t="s">
        <v>844</v>
      </c>
      <c r="D7529" s="4"/>
      <c r="E7529" s="4" t="s">
        <v>921</v>
      </c>
      <c r="F7529" s="4" t="s">
        <v>3587</v>
      </c>
      <c r="G7529" s="4" t="s">
        <v>336</v>
      </c>
      <c r="H7529" s="4" t="s">
        <v>380</v>
      </c>
      <c r="I7529" s="4">
        <v>1</v>
      </c>
      <c r="J7529" s="21">
        <v>170</v>
      </c>
      <c r="K7529" s="21">
        <v>170</v>
      </c>
      <c r="L7529" s="5">
        <v>0</v>
      </c>
      <c r="M7529" s="4"/>
      <c r="N7529" s="4"/>
      <c r="O7529" s="5"/>
      <c r="P7529" s="5"/>
      <c r="Q7529" s="21">
        <v>0</v>
      </c>
      <c r="R7529" s="21">
        <v>0</v>
      </c>
      <c r="S7529" s="5">
        <f t="shared" si="471"/>
        <v>40759.879203922879</v>
      </c>
      <c r="T7529" cm="1">
        <f t="array" ref="T7529">IF(OR(B7529="MAL ALIMI", B7529="ÜRETİM GİRİŞ"), MIN(I7529, MAX(0, I7529 + SUM(SUMIFS($I$1:I7528, $C$1:C7528, C7529, $B$1:B7528, {"MAL ALIMI","ÜRETİM GİRİŞ"})) - VLOOKUP(C7529, 'STOK RAPORU'!$C$2:$I$1000, 4, 0))), 0)</f>
        <v>0</v>
      </c>
      <c r="U7529" s="22">
        <f t="shared" si="468"/>
        <v>0</v>
      </c>
      <c r="V7529">
        <f t="shared" si="469"/>
        <v>0</v>
      </c>
      <c r="W7529" s="22">
        <f t="shared" si="470"/>
        <v>0</v>
      </c>
    </row>
    <row r="7530" spans="1:23" hidden="1" x14ac:dyDescent="0.25">
      <c r="A7530" s="3">
        <v>46177</v>
      </c>
      <c r="B7530" s="46" t="s">
        <v>334</v>
      </c>
      <c r="C7530" s="4" t="s">
        <v>1367</v>
      </c>
      <c r="D7530" s="4"/>
      <c r="E7530" s="4" t="s">
        <v>921</v>
      </c>
      <c r="F7530" s="4" t="s">
        <v>3587</v>
      </c>
      <c r="G7530" s="4" t="s">
        <v>336</v>
      </c>
      <c r="H7530" s="4" t="s">
        <v>380</v>
      </c>
      <c r="I7530" s="4">
        <v>1</v>
      </c>
      <c r="J7530" s="21">
        <v>180</v>
      </c>
      <c r="K7530" s="21">
        <v>180</v>
      </c>
      <c r="L7530" s="5">
        <v>0</v>
      </c>
      <c r="M7530" s="4"/>
      <c r="N7530" s="4"/>
      <c r="O7530" s="5"/>
      <c r="P7530" s="5"/>
      <c r="Q7530" s="21">
        <v>0</v>
      </c>
      <c r="R7530" s="21">
        <v>0</v>
      </c>
      <c r="S7530" s="5">
        <f t="shared" si="471"/>
        <v>40759.879203922879</v>
      </c>
      <c r="T7530" cm="1">
        <f t="array" ref="T7530">IF(OR(B7530="MAL ALIMI", B7530="ÜRETİM GİRİŞ"), MIN(I7530, MAX(0, I7530 + SUM(SUMIFS($I$1:I7529, $C$1:C7529, C7530, $B$1:B7529, {"MAL ALIMI","ÜRETİM GİRİŞ"})) - VLOOKUP(C7530, 'STOK RAPORU'!$C$2:$I$1000, 4, 0))), 0)</f>
        <v>0</v>
      </c>
      <c r="U7530" s="22">
        <f t="shared" si="468"/>
        <v>0</v>
      </c>
      <c r="V7530">
        <f t="shared" si="469"/>
        <v>0</v>
      </c>
      <c r="W7530" s="22">
        <f t="shared" si="470"/>
        <v>0</v>
      </c>
    </row>
    <row r="7531" spans="1:23" hidden="1" x14ac:dyDescent="0.25">
      <c r="A7531" s="41">
        <v>46177</v>
      </c>
      <c r="B7531" s="42" t="s">
        <v>334</v>
      </c>
      <c r="C7531" s="42" t="s">
        <v>2126</v>
      </c>
      <c r="D7531" s="42"/>
      <c r="E7531" s="42"/>
      <c r="F7531" s="42" t="s">
        <v>3588</v>
      </c>
      <c r="G7531" s="42" t="s">
        <v>1911</v>
      </c>
      <c r="H7531" s="42" t="s">
        <v>289</v>
      </c>
      <c r="I7531" s="42">
        <v>0.86486486486486491</v>
      </c>
      <c r="J7531" s="43">
        <v>370</v>
      </c>
      <c r="K7531" s="43">
        <v>0</v>
      </c>
      <c r="L7531" s="44">
        <v>0</v>
      </c>
      <c r="M7531" s="42"/>
      <c r="N7531" s="42"/>
      <c r="O7531" s="44"/>
      <c r="P7531" s="44"/>
      <c r="Q7531" s="43">
        <v>320</v>
      </c>
      <c r="R7531" s="43">
        <v>0</v>
      </c>
      <c r="S7531" s="5">
        <f t="shared" si="471"/>
        <v>41079.879203922879</v>
      </c>
      <c r="T7531" cm="1">
        <f t="array" ref="T7531">IF(OR(B7531="MAL ALIMI", B7531="ÜRETİM GİRİŞ"), MIN(I7531, MAX(0, I7531 + SUM(SUMIFS($I$1:I7530, $C$1:C7530, C7531, $B$1:B7530, {"MAL ALIMI","ÜRETİM GİRİŞ"})) - VLOOKUP(C7531, 'STOK RAPORU'!$C$2:$I$1000, 4, 0))), 0)</f>
        <v>0</v>
      </c>
      <c r="U7531" s="22">
        <f t="shared" si="468"/>
        <v>0</v>
      </c>
      <c r="V7531">
        <f t="shared" si="469"/>
        <v>0</v>
      </c>
      <c r="W7531" s="22">
        <f t="shared" si="470"/>
        <v>0</v>
      </c>
    </row>
    <row r="7532" spans="1:23" hidden="1" x14ac:dyDescent="0.25">
      <c r="A7532" s="41">
        <v>46177</v>
      </c>
      <c r="B7532" s="42" t="s">
        <v>334</v>
      </c>
      <c r="C7532" s="42" t="s">
        <v>158</v>
      </c>
      <c r="D7532" s="42"/>
      <c r="E7532" s="42"/>
      <c r="F7532" s="42" t="s">
        <v>3588</v>
      </c>
      <c r="G7532" s="42" t="s">
        <v>1911</v>
      </c>
      <c r="H7532" s="42" t="s">
        <v>289</v>
      </c>
      <c r="I7532" s="42">
        <v>1</v>
      </c>
      <c r="J7532" s="43">
        <v>150</v>
      </c>
      <c r="K7532" s="43">
        <v>0</v>
      </c>
      <c r="L7532" s="44">
        <v>0</v>
      </c>
      <c r="M7532" s="42"/>
      <c r="N7532" s="42"/>
      <c r="O7532" s="44"/>
      <c r="P7532" s="44"/>
      <c r="Q7532" s="43">
        <v>150</v>
      </c>
      <c r="R7532" s="43">
        <v>0</v>
      </c>
      <c r="S7532" s="5">
        <f t="shared" si="471"/>
        <v>41229.879203922879</v>
      </c>
      <c r="T7532" cm="1">
        <f t="array" ref="T7532">IF(OR(B7532="MAL ALIMI", B7532="ÜRETİM GİRİŞ"), MIN(I7532, MAX(0, I7532 + SUM(SUMIFS($I$1:I7531, $C$1:C7531, C7532, $B$1:B7531, {"MAL ALIMI","ÜRETİM GİRİŞ"})) - VLOOKUP(C7532, 'STOK RAPORU'!$C$2:$I$1000, 4, 0))), 0)</f>
        <v>0</v>
      </c>
      <c r="U7532" s="22">
        <f t="shared" si="468"/>
        <v>0</v>
      </c>
      <c r="V7532">
        <f t="shared" si="469"/>
        <v>0</v>
      </c>
      <c r="W7532" s="22">
        <f t="shared" si="470"/>
        <v>0</v>
      </c>
    </row>
    <row r="7533" spans="1:23" hidden="1" x14ac:dyDescent="0.25">
      <c r="A7533" s="41">
        <v>46177</v>
      </c>
      <c r="B7533" s="42" t="s">
        <v>334</v>
      </c>
      <c r="C7533" s="42" t="s">
        <v>634</v>
      </c>
      <c r="D7533" s="42"/>
      <c r="E7533" s="42"/>
      <c r="F7533" s="42" t="s">
        <v>3588</v>
      </c>
      <c r="G7533" s="42" t="s">
        <v>1911</v>
      </c>
      <c r="H7533" s="42" t="s">
        <v>289</v>
      </c>
      <c r="I7533" s="42">
        <v>0.23529411764705882</v>
      </c>
      <c r="J7533" s="43">
        <v>850</v>
      </c>
      <c r="K7533" s="43">
        <v>0</v>
      </c>
      <c r="L7533" s="44">
        <v>0</v>
      </c>
      <c r="M7533" s="42"/>
      <c r="N7533" s="42"/>
      <c r="O7533" s="44"/>
      <c r="P7533" s="44"/>
      <c r="Q7533" s="43">
        <v>200</v>
      </c>
      <c r="R7533" s="43">
        <v>0</v>
      </c>
      <c r="S7533" s="5">
        <f t="shared" si="471"/>
        <v>41429.879203922879</v>
      </c>
      <c r="T7533" cm="1">
        <f t="array" ref="T7533">IF(OR(B7533="MAL ALIMI", B7533="ÜRETİM GİRİŞ"), MIN(I7533, MAX(0, I7533 + SUM(SUMIFS($I$1:I7532, $C$1:C7532, C7533, $B$1:B7532, {"MAL ALIMI","ÜRETİM GİRİŞ"})) - VLOOKUP(C7533, 'STOK RAPORU'!$C$2:$I$1000, 4, 0))), 0)</f>
        <v>0</v>
      </c>
      <c r="U7533" s="22">
        <f t="shared" si="468"/>
        <v>0</v>
      </c>
      <c r="V7533">
        <f t="shared" si="469"/>
        <v>0</v>
      </c>
      <c r="W7533" s="22">
        <f t="shared" si="470"/>
        <v>0</v>
      </c>
    </row>
    <row r="7534" spans="1:23" hidden="1" x14ac:dyDescent="0.25">
      <c r="A7534" s="41">
        <v>46177</v>
      </c>
      <c r="B7534" s="42" t="s">
        <v>334</v>
      </c>
      <c r="C7534" s="42" t="s">
        <v>244</v>
      </c>
      <c r="D7534" s="42"/>
      <c r="E7534" s="42"/>
      <c r="F7534" s="42" t="s">
        <v>3588</v>
      </c>
      <c r="G7534" s="42" t="s">
        <v>1911</v>
      </c>
      <c r="H7534" s="42" t="s">
        <v>289</v>
      </c>
      <c r="I7534" s="42">
        <v>0.23076923076923078</v>
      </c>
      <c r="J7534" s="43">
        <v>650</v>
      </c>
      <c r="K7534" s="43">
        <v>0</v>
      </c>
      <c r="L7534" s="44">
        <v>0</v>
      </c>
      <c r="M7534" s="42"/>
      <c r="N7534" s="42"/>
      <c r="O7534" s="44"/>
      <c r="P7534" s="44"/>
      <c r="Q7534" s="43">
        <v>150</v>
      </c>
      <c r="R7534" s="43">
        <v>0</v>
      </c>
      <c r="S7534" s="5">
        <f t="shared" si="471"/>
        <v>41579.879203922879</v>
      </c>
      <c r="T7534" cm="1">
        <f t="array" ref="T7534">IF(OR(B7534="MAL ALIMI", B7534="ÜRETİM GİRİŞ"), MIN(I7534, MAX(0, I7534 + SUM(SUMIFS($I$1:I7533, $C$1:C7533, C7534, $B$1:B7533, {"MAL ALIMI","ÜRETİM GİRİŞ"})) - VLOOKUP(C7534, 'STOK RAPORU'!$C$2:$I$1000, 4, 0))), 0)</f>
        <v>0</v>
      </c>
      <c r="U7534" s="22">
        <f t="shared" si="468"/>
        <v>0</v>
      </c>
      <c r="V7534">
        <f t="shared" si="469"/>
        <v>0</v>
      </c>
      <c r="W7534" s="22">
        <f t="shared" si="470"/>
        <v>0</v>
      </c>
    </row>
    <row r="7535" spans="1:23" hidden="1" x14ac:dyDescent="0.25">
      <c r="A7535" s="3">
        <v>46177</v>
      </c>
      <c r="B7535" s="46" t="s">
        <v>946</v>
      </c>
      <c r="C7535" s="4"/>
      <c r="D7535" s="4"/>
      <c r="E7535" s="4" t="s">
        <v>921</v>
      </c>
      <c r="F7535" s="4"/>
      <c r="G7535" s="4" t="s">
        <v>3590</v>
      </c>
      <c r="H7535" s="4" t="s">
        <v>380</v>
      </c>
      <c r="I7535" s="4">
        <v>1</v>
      </c>
      <c r="J7535" s="21">
        <v>5250</v>
      </c>
      <c r="K7535" s="21">
        <v>0</v>
      </c>
      <c r="L7535" s="32">
        <v>5250</v>
      </c>
      <c r="M7535" s="4"/>
      <c r="N7535" s="4"/>
      <c r="O7535" s="5"/>
      <c r="P7535" s="5"/>
      <c r="Q7535" s="21">
        <v>5250</v>
      </c>
      <c r="R7535" s="21">
        <v>0</v>
      </c>
      <c r="S7535" s="5">
        <f t="shared" si="471"/>
        <v>46829.879203922879</v>
      </c>
      <c r="T7535" cm="1">
        <f t="array" ref="T7535">IF(OR(B7535="MAL ALIMI", B7535="ÜRETİM GİRİŞ"), MIN(I7535, MAX(0, I7535 + SUM(SUMIFS($I$1:I7534, $C$1:C7534, C7535, $B$1:B7534, {"MAL ALIMI","ÜRETİM GİRİŞ"})) - VLOOKUP(C7535, 'STOK RAPORU'!$C$2:$I$1000, 4, 0))), 0)</f>
        <v>0</v>
      </c>
      <c r="U7535" s="22">
        <f t="shared" si="468"/>
        <v>0</v>
      </c>
      <c r="V7535">
        <f t="shared" si="469"/>
        <v>0</v>
      </c>
      <c r="W7535" s="22">
        <f t="shared" si="470"/>
        <v>0</v>
      </c>
    </row>
    <row r="7536" spans="1:23" hidden="1" x14ac:dyDescent="0.25">
      <c r="A7536" s="3">
        <v>46177</v>
      </c>
      <c r="B7536" s="4" t="s">
        <v>917</v>
      </c>
      <c r="C7536" s="4"/>
      <c r="D7536" s="4"/>
      <c r="E7536" s="4" t="s">
        <v>3591</v>
      </c>
      <c r="F7536" s="4"/>
      <c r="G7536" s="4" t="s">
        <v>3592</v>
      </c>
      <c r="H7536" s="4" t="s">
        <v>289</v>
      </c>
      <c r="I7536" s="4">
        <v>1</v>
      </c>
      <c r="J7536" s="21">
        <v>9250</v>
      </c>
      <c r="K7536" s="21">
        <v>9250</v>
      </c>
      <c r="L7536" s="5">
        <v>0</v>
      </c>
      <c r="M7536" s="4"/>
      <c r="N7536" s="4"/>
      <c r="O7536" s="5"/>
      <c r="P7536" s="5"/>
      <c r="Q7536" s="21"/>
      <c r="R7536" s="21">
        <v>9250</v>
      </c>
      <c r="S7536" s="5">
        <f t="shared" si="471"/>
        <v>37579.879203922879</v>
      </c>
      <c r="T7536" cm="1">
        <f t="array" ref="T7536">IF(OR(B7536="MAL ALIMI", B7536="ÜRETİM GİRİŞ"), MIN(I7536, MAX(0, I7536 + SUM(SUMIFS($I$1:I7535, $C$1:C7535, C7536, $B$1:B7535, {"MAL ALIMI","ÜRETİM GİRİŞ"})) - VLOOKUP(C7536, 'STOK RAPORU'!$C$2:$I$1000, 4, 0))), 0)</f>
        <v>0</v>
      </c>
      <c r="U7536" s="22">
        <f t="shared" si="468"/>
        <v>0</v>
      </c>
      <c r="V7536">
        <f t="shared" si="469"/>
        <v>0</v>
      </c>
      <c r="W7536" s="22">
        <f t="shared" si="470"/>
        <v>0</v>
      </c>
    </row>
    <row r="7537" spans="1:23" hidden="1" x14ac:dyDescent="0.25">
      <c r="A7537" s="3">
        <v>46177</v>
      </c>
      <c r="B7537" s="4" t="s">
        <v>946</v>
      </c>
      <c r="C7537" s="4"/>
      <c r="D7537" s="4"/>
      <c r="E7537" s="4" t="s">
        <v>921</v>
      </c>
      <c r="F7537" s="4"/>
      <c r="G7537" s="4" t="s">
        <v>946</v>
      </c>
      <c r="H7537" s="4" t="s">
        <v>380</v>
      </c>
      <c r="I7537" s="4">
        <v>1</v>
      </c>
      <c r="J7537" s="21">
        <v>560</v>
      </c>
      <c r="K7537" s="21">
        <v>0</v>
      </c>
      <c r="L7537" s="115">
        <v>560</v>
      </c>
      <c r="M7537" s="4"/>
      <c r="N7537" s="4"/>
      <c r="O7537" s="5"/>
      <c r="P7537" s="5"/>
      <c r="Q7537" s="21">
        <v>560</v>
      </c>
      <c r="R7537" s="21">
        <v>0</v>
      </c>
      <c r="S7537" s="5">
        <f t="shared" si="471"/>
        <v>38139.879203922879</v>
      </c>
      <c r="T7537" cm="1">
        <f t="array" ref="T7537">IF(OR(B7537="MAL ALIMI", B7537="ÜRETİM GİRİŞ"), MIN(I7537, MAX(0, I7537 + SUM(SUMIFS($I$1:I7536, $C$1:C7536, C7537, $B$1:B7536, {"MAL ALIMI","ÜRETİM GİRİŞ"})) - VLOOKUP(C7537, 'STOK RAPORU'!$C$2:$I$1000, 4, 0))), 0)</f>
        <v>0</v>
      </c>
      <c r="U7537" s="22">
        <f t="shared" si="468"/>
        <v>0</v>
      </c>
      <c r="V7537">
        <f t="shared" si="469"/>
        <v>0</v>
      </c>
      <c r="W7537" s="22">
        <f t="shared" si="470"/>
        <v>0</v>
      </c>
    </row>
    <row r="7538" spans="1:23" hidden="1" x14ac:dyDescent="0.25">
      <c r="A7538" s="3">
        <v>46177</v>
      </c>
      <c r="B7538" s="4" t="s">
        <v>946</v>
      </c>
      <c r="C7538" s="4"/>
      <c r="D7538" s="4"/>
      <c r="E7538" s="4" t="s">
        <v>921</v>
      </c>
      <c r="F7538" s="4"/>
      <c r="G7538" s="4" t="s">
        <v>946</v>
      </c>
      <c r="H7538" s="4" t="s">
        <v>380</v>
      </c>
      <c r="I7538" s="4">
        <v>1</v>
      </c>
      <c r="J7538" s="21">
        <v>1120</v>
      </c>
      <c r="K7538" s="21">
        <v>0</v>
      </c>
      <c r="L7538" s="115">
        <v>1120</v>
      </c>
      <c r="M7538" s="4"/>
      <c r="N7538" s="4"/>
      <c r="O7538" s="5"/>
      <c r="P7538" s="5"/>
      <c r="Q7538" s="21">
        <v>1120</v>
      </c>
      <c r="R7538" s="21">
        <v>0</v>
      </c>
      <c r="S7538" s="5">
        <f t="shared" si="471"/>
        <v>39259.879203922879</v>
      </c>
      <c r="T7538" cm="1">
        <f t="array" ref="T7538">IF(OR(B7538="MAL ALIMI", B7538="ÜRETİM GİRİŞ"), MIN(I7538, MAX(0, I7538 + SUM(SUMIFS($I$1:I7537, $C$1:C7537, C7538, $B$1:B7537, {"MAL ALIMI","ÜRETİM GİRİŞ"})) - VLOOKUP(C7538, 'STOK RAPORU'!$C$2:$I$1000, 4, 0))), 0)</f>
        <v>0</v>
      </c>
      <c r="U7538" s="22">
        <f t="shared" ref="U7538:U7601" si="472">T7538*J7538</f>
        <v>0</v>
      </c>
      <c r="V7538">
        <f t="shared" ref="V7538:V7601" si="473">IF(OR(B7538="MAL ALIMI", B7538="ÜRETİM GİRİŞ"), I7538 * J7538, 0)</f>
        <v>0</v>
      </c>
      <c r="W7538" s="22">
        <f t="shared" ref="W7538:W7601" si="474">V7538-U7538</f>
        <v>0</v>
      </c>
    </row>
    <row r="7539" spans="1:23" hidden="1" x14ac:dyDescent="0.25">
      <c r="A7539" s="3">
        <v>46178</v>
      </c>
      <c r="B7539" s="46" t="s">
        <v>334</v>
      </c>
      <c r="C7539" s="4" t="s">
        <v>134</v>
      </c>
      <c r="D7539" s="4"/>
      <c r="E7539" s="4"/>
      <c r="F7539" s="4" t="s">
        <v>3595</v>
      </c>
      <c r="G7539" s="4" t="s">
        <v>336</v>
      </c>
      <c r="H7539" s="4" t="s">
        <v>289</v>
      </c>
      <c r="I7539" s="4">
        <v>0.1</v>
      </c>
      <c r="J7539" s="21">
        <v>600</v>
      </c>
      <c r="K7539" s="21">
        <v>0</v>
      </c>
      <c r="L7539" s="5">
        <v>0</v>
      </c>
      <c r="M7539" s="4"/>
      <c r="N7539" s="4"/>
      <c r="O7539" s="5"/>
      <c r="P7539" s="5"/>
      <c r="Q7539" s="21">
        <v>60</v>
      </c>
      <c r="R7539" s="21">
        <v>0</v>
      </c>
      <c r="S7539" s="5">
        <f t="shared" si="471"/>
        <v>39319.879203922879</v>
      </c>
      <c r="T7539" cm="1">
        <f t="array" ref="T7539">IF(OR(B7539="MAL ALIMI", B7539="ÜRETİM GİRİŞ"), MIN(I7539, MAX(0, I7539 + SUM(SUMIFS($I$1:I7538, $C$1:C7538, C7539, $B$1:B7538, {"MAL ALIMI","ÜRETİM GİRİŞ"})) - VLOOKUP(C7539, 'STOK RAPORU'!$C$2:$I$1000, 4, 0))), 0)</f>
        <v>0</v>
      </c>
      <c r="U7539" s="22">
        <f t="shared" si="472"/>
        <v>0</v>
      </c>
      <c r="V7539">
        <f t="shared" si="473"/>
        <v>0</v>
      </c>
      <c r="W7539" s="22">
        <f t="shared" si="474"/>
        <v>0</v>
      </c>
    </row>
    <row r="7540" spans="1:23" hidden="1" x14ac:dyDescent="0.25">
      <c r="A7540" s="3">
        <v>46178</v>
      </c>
      <c r="B7540" s="46" t="s">
        <v>334</v>
      </c>
      <c r="C7540" s="4" t="s">
        <v>156</v>
      </c>
      <c r="D7540" s="4"/>
      <c r="E7540" s="4" t="s">
        <v>921</v>
      </c>
      <c r="F7540" s="4" t="s">
        <v>3596</v>
      </c>
      <c r="G7540" s="4" t="s">
        <v>336</v>
      </c>
      <c r="H7540" s="4" t="s">
        <v>380</v>
      </c>
      <c r="I7540" s="4">
        <v>1</v>
      </c>
      <c r="J7540" s="21">
        <v>200</v>
      </c>
      <c r="K7540" s="21">
        <v>200</v>
      </c>
      <c r="L7540" s="5">
        <v>0</v>
      </c>
      <c r="M7540" s="4"/>
      <c r="N7540" s="4"/>
      <c r="O7540" s="5"/>
      <c r="P7540" s="5"/>
      <c r="Q7540" s="21">
        <v>0</v>
      </c>
      <c r="R7540" s="21">
        <v>0</v>
      </c>
      <c r="S7540" s="5">
        <f t="shared" si="471"/>
        <v>39319.879203922879</v>
      </c>
      <c r="T7540" cm="1">
        <f t="array" ref="T7540">IF(OR(B7540="MAL ALIMI", B7540="ÜRETİM GİRİŞ"), MIN(I7540, MAX(0, I7540 + SUM(SUMIFS($I$1:I7539, $C$1:C7539, C7540, $B$1:B7539, {"MAL ALIMI","ÜRETİM GİRİŞ"})) - VLOOKUP(C7540, 'STOK RAPORU'!$C$2:$I$1000, 4, 0))), 0)</f>
        <v>0</v>
      </c>
      <c r="U7540" s="22">
        <f t="shared" si="472"/>
        <v>0</v>
      </c>
      <c r="V7540">
        <f t="shared" si="473"/>
        <v>0</v>
      </c>
      <c r="W7540" s="22">
        <f t="shared" si="474"/>
        <v>0</v>
      </c>
    </row>
    <row r="7541" spans="1:23" hidden="1" x14ac:dyDescent="0.25">
      <c r="A7541" s="3">
        <v>46178</v>
      </c>
      <c r="B7541" s="46" t="s">
        <v>334</v>
      </c>
      <c r="C7541" s="4" t="s">
        <v>157</v>
      </c>
      <c r="D7541" s="4"/>
      <c r="E7541" s="4" t="s">
        <v>921</v>
      </c>
      <c r="F7541" s="4" t="s">
        <v>3597</v>
      </c>
      <c r="G7541" s="4" t="s">
        <v>336</v>
      </c>
      <c r="H7541" s="4" t="s">
        <v>380</v>
      </c>
      <c r="I7541" s="4">
        <v>1</v>
      </c>
      <c r="J7541" s="21">
        <v>200</v>
      </c>
      <c r="K7541" s="21">
        <v>200</v>
      </c>
      <c r="L7541" s="5">
        <v>0</v>
      </c>
      <c r="M7541" s="4"/>
      <c r="N7541" s="4"/>
      <c r="O7541" s="5"/>
      <c r="P7541" s="5"/>
      <c r="Q7541" s="21">
        <v>0</v>
      </c>
      <c r="R7541" s="21">
        <v>0</v>
      </c>
      <c r="S7541" s="5">
        <f t="shared" si="471"/>
        <v>39319.879203922879</v>
      </c>
      <c r="T7541" cm="1">
        <f t="array" ref="T7541">IF(OR(B7541="MAL ALIMI", B7541="ÜRETİM GİRİŞ"), MIN(I7541, MAX(0, I7541 + SUM(SUMIFS($I$1:I7540, $C$1:C7540, C7541, $B$1:B7540, {"MAL ALIMI","ÜRETİM GİRİŞ"})) - VLOOKUP(C7541, 'STOK RAPORU'!$C$2:$I$1000, 4, 0))), 0)</f>
        <v>0</v>
      </c>
      <c r="U7541" s="22">
        <f t="shared" si="472"/>
        <v>0</v>
      </c>
      <c r="V7541">
        <f t="shared" si="473"/>
        <v>0</v>
      </c>
      <c r="W7541" s="22">
        <f t="shared" si="474"/>
        <v>0</v>
      </c>
    </row>
    <row r="7542" spans="1:23" hidden="1" x14ac:dyDescent="0.25">
      <c r="A7542" s="3">
        <v>46178</v>
      </c>
      <c r="B7542" s="46" t="s">
        <v>334</v>
      </c>
      <c r="C7542" s="4" t="s">
        <v>2571</v>
      </c>
      <c r="D7542" s="4"/>
      <c r="E7542" s="4" t="s">
        <v>921</v>
      </c>
      <c r="F7542" s="4" t="s">
        <v>3598</v>
      </c>
      <c r="G7542" s="4" t="s">
        <v>336</v>
      </c>
      <c r="H7542" s="4" t="s">
        <v>380</v>
      </c>
      <c r="I7542" s="4">
        <v>3.4000000000000002E-2</v>
      </c>
      <c r="J7542" s="21">
        <v>700</v>
      </c>
      <c r="K7542" s="21">
        <v>23.8</v>
      </c>
      <c r="L7542" s="5">
        <v>0</v>
      </c>
      <c r="M7542" s="4"/>
      <c r="N7542" s="4"/>
      <c r="O7542" s="5"/>
      <c r="P7542" s="5"/>
      <c r="Q7542" s="21">
        <v>0</v>
      </c>
      <c r="R7542" s="21">
        <v>0</v>
      </c>
      <c r="S7542" s="5">
        <f t="shared" si="471"/>
        <v>39319.879203922879</v>
      </c>
      <c r="T7542" cm="1">
        <f t="array" ref="T7542">IF(OR(B7542="MAL ALIMI", B7542="ÜRETİM GİRİŞ"), MIN(I7542, MAX(0, I7542 + SUM(SUMIFS($I$1:I7541, $C$1:C7541, C7542, $B$1:B7541, {"MAL ALIMI","ÜRETİM GİRİŞ"})) - VLOOKUP(C7542, 'STOK RAPORU'!$C$2:$I$1000, 4, 0))), 0)</f>
        <v>0</v>
      </c>
      <c r="U7542" s="22">
        <f t="shared" si="472"/>
        <v>0</v>
      </c>
      <c r="V7542">
        <f t="shared" si="473"/>
        <v>0</v>
      </c>
      <c r="W7542" s="22">
        <f t="shared" si="474"/>
        <v>0</v>
      </c>
    </row>
    <row r="7543" spans="1:23" hidden="1" x14ac:dyDescent="0.25">
      <c r="A7543" s="3">
        <v>46178</v>
      </c>
      <c r="B7543" s="46" t="s">
        <v>334</v>
      </c>
      <c r="C7543" s="4" t="s">
        <v>140</v>
      </c>
      <c r="D7543" s="4"/>
      <c r="E7543" s="4" t="s">
        <v>921</v>
      </c>
      <c r="F7543" s="4" t="s">
        <v>3598</v>
      </c>
      <c r="G7543" s="4" t="s">
        <v>336</v>
      </c>
      <c r="H7543" s="4" t="s">
        <v>380</v>
      </c>
      <c r="I7543" s="4">
        <v>0.08</v>
      </c>
      <c r="J7543" s="21">
        <v>300</v>
      </c>
      <c r="K7543" s="21">
        <v>24</v>
      </c>
      <c r="L7543" s="5">
        <v>0</v>
      </c>
      <c r="M7543" s="4"/>
      <c r="N7543" s="4"/>
      <c r="O7543" s="5"/>
      <c r="P7543" s="5"/>
      <c r="Q7543" s="21">
        <v>0</v>
      </c>
      <c r="R7543" s="21">
        <v>0</v>
      </c>
      <c r="S7543" s="5">
        <f t="shared" si="471"/>
        <v>39319.879203922879</v>
      </c>
      <c r="T7543" cm="1">
        <f t="array" ref="T7543">IF(OR(B7543="MAL ALIMI", B7543="ÜRETİM GİRİŞ"), MIN(I7543, MAX(0, I7543 + SUM(SUMIFS($I$1:I7542, $C$1:C7542, C7543, $B$1:B7542, {"MAL ALIMI","ÜRETİM GİRİŞ"})) - VLOOKUP(C7543, 'STOK RAPORU'!$C$2:$I$1000, 4, 0))), 0)</f>
        <v>0</v>
      </c>
      <c r="U7543" s="22">
        <f t="shared" si="472"/>
        <v>0</v>
      </c>
      <c r="V7543">
        <f t="shared" si="473"/>
        <v>0</v>
      </c>
      <c r="W7543" s="22">
        <f t="shared" si="474"/>
        <v>0</v>
      </c>
    </row>
    <row r="7544" spans="1:23" hidden="1" x14ac:dyDescent="0.25">
      <c r="A7544" s="3">
        <v>46178</v>
      </c>
      <c r="B7544" s="46" t="s">
        <v>334</v>
      </c>
      <c r="C7544" s="4" t="s">
        <v>1424</v>
      </c>
      <c r="D7544" s="4"/>
      <c r="E7544" s="4" t="s">
        <v>921</v>
      </c>
      <c r="F7544" s="4" t="s">
        <v>3598</v>
      </c>
      <c r="G7544" s="4" t="s">
        <v>336</v>
      </c>
      <c r="H7544" s="4" t="s">
        <v>380</v>
      </c>
      <c r="I7544" s="4">
        <v>1</v>
      </c>
      <c r="J7544" s="21">
        <v>100</v>
      </c>
      <c r="K7544" s="21">
        <v>100</v>
      </c>
      <c r="L7544" s="5">
        <v>0</v>
      </c>
      <c r="M7544" s="4"/>
      <c r="N7544" s="4"/>
      <c r="O7544" s="5"/>
      <c r="P7544" s="5"/>
      <c r="Q7544" s="21">
        <v>0</v>
      </c>
      <c r="R7544" s="21">
        <v>0</v>
      </c>
      <c r="S7544" s="5">
        <f t="shared" si="471"/>
        <v>39319.879203922879</v>
      </c>
      <c r="T7544" cm="1">
        <f t="array" ref="T7544">IF(OR(B7544="MAL ALIMI", B7544="ÜRETİM GİRİŞ"), MIN(I7544, MAX(0, I7544 + SUM(SUMIFS($I$1:I7543, $C$1:C7543, C7544, $B$1:B7543, {"MAL ALIMI","ÜRETİM GİRİŞ"})) - VLOOKUP(C7544, 'STOK RAPORU'!$C$2:$I$1000, 4, 0))), 0)</f>
        <v>0</v>
      </c>
      <c r="U7544" s="22">
        <f t="shared" si="472"/>
        <v>0</v>
      </c>
      <c r="V7544">
        <f t="shared" si="473"/>
        <v>0</v>
      </c>
      <c r="W7544" s="22">
        <f t="shared" si="474"/>
        <v>0</v>
      </c>
    </row>
    <row r="7545" spans="1:23" hidden="1" x14ac:dyDescent="0.25">
      <c r="A7545" s="3">
        <v>46178</v>
      </c>
      <c r="B7545" s="46" t="s">
        <v>334</v>
      </c>
      <c r="C7545" s="4" t="s">
        <v>463</v>
      </c>
      <c r="D7545" s="4"/>
      <c r="E7545" s="4"/>
      <c r="F7545" s="4" t="s">
        <v>3599</v>
      </c>
      <c r="G7545" s="4" t="s">
        <v>336</v>
      </c>
      <c r="H7545" s="4" t="s">
        <v>289</v>
      </c>
      <c r="I7545" s="4">
        <v>0.77358490566037741</v>
      </c>
      <c r="J7545" s="21">
        <v>265</v>
      </c>
      <c r="K7545" s="21">
        <v>0</v>
      </c>
      <c r="L7545" s="5">
        <v>0</v>
      </c>
      <c r="M7545" s="4"/>
      <c r="N7545" s="4"/>
      <c r="O7545" s="5"/>
      <c r="P7545" s="5"/>
      <c r="Q7545" s="21">
        <v>205</v>
      </c>
      <c r="R7545" s="21">
        <v>0</v>
      </c>
      <c r="S7545" s="5">
        <f t="shared" si="471"/>
        <v>39524.879203922879</v>
      </c>
      <c r="T7545" cm="1">
        <f t="array" ref="T7545">IF(OR(B7545="MAL ALIMI", B7545="ÜRETİM GİRİŞ"), MIN(I7545, MAX(0, I7545 + SUM(SUMIFS($I$1:I7544, $C$1:C7544, C7545, $B$1:B7544, {"MAL ALIMI","ÜRETİM GİRİŞ"})) - VLOOKUP(C7545, 'STOK RAPORU'!$C$2:$I$1000, 4, 0))), 0)</f>
        <v>0</v>
      </c>
      <c r="U7545" s="22">
        <f t="shared" si="472"/>
        <v>0</v>
      </c>
      <c r="V7545">
        <f t="shared" si="473"/>
        <v>0</v>
      </c>
      <c r="W7545" s="22">
        <f t="shared" si="474"/>
        <v>0</v>
      </c>
    </row>
    <row r="7546" spans="1:23" hidden="1" x14ac:dyDescent="0.25">
      <c r="A7546" s="3">
        <v>46178</v>
      </c>
      <c r="B7546" s="46" t="s">
        <v>334</v>
      </c>
      <c r="C7546" s="4" t="s">
        <v>129</v>
      </c>
      <c r="D7546" s="4"/>
      <c r="E7546" s="4"/>
      <c r="F7546" s="4" t="s">
        <v>3599</v>
      </c>
      <c r="G7546" s="4" t="s">
        <v>336</v>
      </c>
      <c r="H7546" s="4" t="s">
        <v>289</v>
      </c>
      <c r="I7546" s="4">
        <v>0.69333333333333336</v>
      </c>
      <c r="J7546" s="21">
        <v>300</v>
      </c>
      <c r="K7546" s="21">
        <v>0</v>
      </c>
      <c r="L7546" s="5">
        <v>0</v>
      </c>
      <c r="M7546" s="4"/>
      <c r="N7546" s="4"/>
      <c r="O7546" s="5"/>
      <c r="P7546" s="5"/>
      <c r="Q7546" s="21">
        <v>208</v>
      </c>
      <c r="R7546" s="21">
        <v>0</v>
      </c>
      <c r="S7546" s="5">
        <f t="shared" si="471"/>
        <v>39732.879203922879</v>
      </c>
      <c r="T7546" cm="1">
        <f t="array" ref="T7546">IF(OR(B7546="MAL ALIMI", B7546="ÜRETİM GİRİŞ"), MIN(I7546, MAX(0, I7546 + SUM(SUMIFS($I$1:I7545, $C$1:C7545, C7546, $B$1:B7545, {"MAL ALIMI","ÜRETİM GİRİŞ"})) - VLOOKUP(C7546, 'STOK RAPORU'!$C$2:$I$1000, 4, 0))), 0)</f>
        <v>0</v>
      </c>
      <c r="U7546" s="22">
        <f t="shared" si="472"/>
        <v>0</v>
      </c>
      <c r="V7546">
        <f t="shared" si="473"/>
        <v>0</v>
      </c>
      <c r="W7546" s="22">
        <f t="shared" si="474"/>
        <v>0</v>
      </c>
    </row>
    <row r="7547" spans="1:23" hidden="1" x14ac:dyDescent="0.25">
      <c r="A7547" s="3">
        <v>46178</v>
      </c>
      <c r="B7547" s="46" t="s">
        <v>334</v>
      </c>
      <c r="C7547" s="4" t="s">
        <v>826</v>
      </c>
      <c r="D7547" s="4"/>
      <c r="E7547" s="4"/>
      <c r="F7547" s="4" t="s">
        <v>3600</v>
      </c>
      <c r="G7547" s="4" t="s">
        <v>336</v>
      </c>
      <c r="H7547" s="4" t="s">
        <v>289</v>
      </c>
      <c r="I7547" s="4">
        <v>1</v>
      </c>
      <c r="J7547" s="21">
        <v>130</v>
      </c>
      <c r="K7547" s="21">
        <v>0</v>
      </c>
      <c r="L7547" s="5">
        <v>0</v>
      </c>
      <c r="M7547" s="4"/>
      <c r="N7547" s="4"/>
      <c r="O7547" s="5"/>
      <c r="P7547" s="5"/>
      <c r="Q7547" s="21">
        <v>130</v>
      </c>
      <c r="R7547" s="21">
        <v>0</v>
      </c>
      <c r="S7547" s="5">
        <f t="shared" si="471"/>
        <v>39862.879203922879</v>
      </c>
      <c r="T7547" cm="1">
        <f t="array" ref="T7547">IF(OR(B7547="MAL ALIMI", B7547="ÜRETİM GİRİŞ"), MIN(I7547, MAX(0, I7547 + SUM(SUMIFS($I$1:I7546, $C$1:C7546, C7547, $B$1:B7546, {"MAL ALIMI","ÜRETİM GİRİŞ"})) - VLOOKUP(C7547, 'STOK RAPORU'!$C$2:$I$1000, 4, 0))), 0)</f>
        <v>0</v>
      </c>
      <c r="U7547" s="22">
        <f t="shared" si="472"/>
        <v>0</v>
      </c>
      <c r="V7547">
        <f t="shared" si="473"/>
        <v>0</v>
      </c>
      <c r="W7547" s="22">
        <f t="shared" si="474"/>
        <v>0</v>
      </c>
    </row>
    <row r="7548" spans="1:23" hidden="1" x14ac:dyDescent="0.25">
      <c r="A7548" s="3">
        <v>46178</v>
      </c>
      <c r="B7548" s="46" t="s">
        <v>334</v>
      </c>
      <c r="C7548" s="4" t="s">
        <v>830</v>
      </c>
      <c r="D7548" s="4"/>
      <c r="E7548" s="4"/>
      <c r="F7548" s="4" t="s">
        <v>3600</v>
      </c>
      <c r="G7548" s="4" t="s">
        <v>336</v>
      </c>
      <c r="H7548" s="4" t="s">
        <v>289</v>
      </c>
      <c r="I7548" s="4">
        <v>1</v>
      </c>
      <c r="J7548" s="21">
        <v>130</v>
      </c>
      <c r="K7548" s="21">
        <v>0</v>
      </c>
      <c r="L7548" s="5">
        <v>0</v>
      </c>
      <c r="M7548" s="4"/>
      <c r="N7548" s="4"/>
      <c r="O7548" s="5"/>
      <c r="P7548" s="5"/>
      <c r="Q7548" s="21">
        <v>130</v>
      </c>
      <c r="R7548" s="21">
        <v>0</v>
      </c>
      <c r="S7548" s="5">
        <f t="shared" si="471"/>
        <v>39992.879203922879</v>
      </c>
      <c r="T7548" cm="1">
        <f t="array" ref="T7548">IF(OR(B7548="MAL ALIMI", B7548="ÜRETİM GİRİŞ"), MIN(I7548, MAX(0, I7548 + SUM(SUMIFS($I$1:I7547, $C$1:C7547, C7548, $B$1:B7547, {"MAL ALIMI","ÜRETİM GİRİŞ"})) - VLOOKUP(C7548, 'STOK RAPORU'!$C$2:$I$1000, 4, 0))), 0)</f>
        <v>0</v>
      </c>
      <c r="U7548" s="22">
        <f t="shared" si="472"/>
        <v>0</v>
      </c>
      <c r="V7548">
        <f t="shared" si="473"/>
        <v>0</v>
      </c>
      <c r="W7548" s="22">
        <f t="shared" si="474"/>
        <v>0</v>
      </c>
    </row>
    <row r="7549" spans="1:23" hidden="1" x14ac:dyDescent="0.25">
      <c r="A7549" s="3">
        <v>46178</v>
      </c>
      <c r="B7549" s="46" t="s">
        <v>334</v>
      </c>
      <c r="C7549" s="4" t="s">
        <v>834</v>
      </c>
      <c r="D7549" s="4"/>
      <c r="E7549" s="4"/>
      <c r="F7549" s="4" t="s">
        <v>3600</v>
      </c>
      <c r="G7549" s="4" t="s">
        <v>336</v>
      </c>
      <c r="H7549" s="4" t="s">
        <v>289</v>
      </c>
      <c r="I7549" s="4">
        <v>1</v>
      </c>
      <c r="J7549" s="21">
        <v>110</v>
      </c>
      <c r="K7549" s="21">
        <v>0</v>
      </c>
      <c r="L7549" s="5">
        <v>0</v>
      </c>
      <c r="M7549" s="4"/>
      <c r="N7549" s="4"/>
      <c r="O7549" s="5"/>
      <c r="P7549" s="5"/>
      <c r="Q7549" s="21">
        <v>110</v>
      </c>
      <c r="R7549" s="21">
        <v>0</v>
      </c>
      <c r="S7549" s="5">
        <f t="shared" si="471"/>
        <v>40102.879203922879</v>
      </c>
      <c r="T7549" cm="1">
        <f t="array" ref="T7549">IF(OR(B7549="MAL ALIMI", B7549="ÜRETİM GİRİŞ"), MIN(I7549, MAX(0, I7549 + SUM(SUMIFS($I$1:I7548, $C$1:C7548, C7549, $B$1:B7548, {"MAL ALIMI","ÜRETİM GİRİŞ"})) - VLOOKUP(C7549, 'STOK RAPORU'!$C$2:$I$1000, 4, 0))), 0)</f>
        <v>0</v>
      </c>
      <c r="U7549" s="22">
        <f t="shared" si="472"/>
        <v>0</v>
      </c>
      <c r="V7549">
        <f t="shared" si="473"/>
        <v>0</v>
      </c>
      <c r="W7549" s="22">
        <f t="shared" si="474"/>
        <v>0</v>
      </c>
    </row>
    <row r="7550" spans="1:23" hidden="1" x14ac:dyDescent="0.25">
      <c r="A7550" s="3">
        <v>46178</v>
      </c>
      <c r="B7550" s="46" t="s">
        <v>334</v>
      </c>
      <c r="C7550" s="4" t="s">
        <v>458</v>
      </c>
      <c r="D7550" s="4"/>
      <c r="E7550" s="4"/>
      <c r="F7550" s="4" t="s">
        <v>3600</v>
      </c>
      <c r="G7550" s="4" t="s">
        <v>336</v>
      </c>
      <c r="H7550" s="4" t="s">
        <v>289</v>
      </c>
      <c r="I7550" s="4">
        <v>0.5</v>
      </c>
      <c r="J7550" s="21">
        <v>60</v>
      </c>
      <c r="K7550" s="21">
        <v>0</v>
      </c>
      <c r="L7550" s="5">
        <v>0</v>
      </c>
      <c r="M7550" s="4"/>
      <c r="N7550" s="4"/>
      <c r="O7550" s="5"/>
      <c r="P7550" s="5"/>
      <c r="Q7550" s="21">
        <v>30</v>
      </c>
      <c r="R7550" s="21">
        <v>0</v>
      </c>
      <c r="S7550" s="5">
        <f t="shared" si="471"/>
        <v>40132.879203922879</v>
      </c>
      <c r="T7550" cm="1">
        <f t="array" ref="T7550">IF(OR(B7550="MAL ALIMI", B7550="ÜRETİM GİRİŞ"), MIN(I7550, MAX(0, I7550 + SUM(SUMIFS($I$1:I7549, $C$1:C7549, C7550, $B$1:B7549, {"MAL ALIMI","ÜRETİM GİRİŞ"})) - VLOOKUP(C7550, 'STOK RAPORU'!$C$2:$I$1000, 4, 0))), 0)</f>
        <v>0</v>
      </c>
      <c r="U7550" s="22">
        <f t="shared" si="472"/>
        <v>0</v>
      </c>
      <c r="V7550">
        <f t="shared" si="473"/>
        <v>0</v>
      </c>
      <c r="W7550" s="22">
        <f t="shared" si="474"/>
        <v>0</v>
      </c>
    </row>
    <row r="7551" spans="1:23" hidden="1" x14ac:dyDescent="0.25">
      <c r="A7551" s="3">
        <v>46178</v>
      </c>
      <c r="B7551" s="46" t="s">
        <v>334</v>
      </c>
      <c r="C7551" s="4" t="s">
        <v>96</v>
      </c>
      <c r="D7551" s="4"/>
      <c r="E7551" s="4"/>
      <c r="F7551" s="4" t="s">
        <v>3601</v>
      </c>
      <c r="G7551" s="4" t="s">
        <v>336</v>
      </c>
      <c r="H7551" s="4" t="s">
        <v>289</v>
      </c>
      <c r="I7551" s="4">
        <v>0.25</v>
      </c>
      <c r="J7551" s="21">
        <v>400</v>
      </c>
      <c r="K7551" s="21">
        <v>0</v>
      </c>
      <c r="L7551" s="5">
        <v>0</v>
      </c>
      <c r="M7551" s="4"/>
      <c r="N7551" s="4"/>
      <c r="O7551" s="5"/>
      <c r="P7551" s="5"/>
      <c r="Q7551" s="21">
        <v>100</v>
      </c>
      <c r="R7551" s="21">
        <v>0</v>
      </c>
      <c r="S7551" s="5">
        <f t="shared" si="471"/>
        <v>40232.879203922879</v>
      </c>
      <c r="T7551" cm="1">
        <f t="array" ref="T7551">IF(OR(B7551="MAL ALIMI", B7551="ÜRETİM GİRİŞ"), MIN(I7551, MAX(0, I7551 + SUM(SUMIFS($I$1:I7550, $C$1:C7550, C7551, $B$1:B7550, {"MAL ALIMI","ÜRETİM GİRİŞ"})) - VLOOKUP(C7551, 'STOK RAPORU'!$C$2:$I$1000, 4, 0))), 0)</f>
        <v>0</v>
      </c>
      <c r="U7551" s="22">
        <f t="shared" si="472"/>
        <v>0</v>
      </c>
      <c r="V7551">
        <f t="shared" si="473"/>
        <v>0</v>
      </c>
      <c r="W7551" s="22">
        <f t="shared" si="474"/>
        <v>0</v>
      </c>
    </row>
    <row r="7552" spans="1:23" hidden="1" x14ac:dyDescent="0.25">
      <c r="A7552" s="3">
        <v>46178</v>
      </c>
      <c r="B7552" s="4" t="s">
        <v>298</v>
      </c>
      <c r="C7552" s="4" t="s">
        <v>196</v>
      </c>
      <c r="D7552" s="4"/>
      <c r="E7552" s="4" t="s">
        <v>2381</v>
      </c>
      <c r="F7552" s="4"/>
      <c r="G7552" s="4" t="s">
        <v>3593</v>
      </c>
      <c r="H7552" s="4" t="s">
        <v>304</v>
      </c>
      <c r="I7552" s="4">
        <v>5</v>
      </c>
      <c r="J7552" s="21">
        <v>105</v>
      </c>
      <c r="K7552" s="21">
        <v>0</v>
      </c>
      <c r="L7552" s="5">
        <v>525</v>
      </c>
      <c r="M7552" s="4"/>
      <c r="N7552" s="4"/>
      <c r="O7552" s="5"/>
      <c r="P7552" s="5"/>
      <c r="Q7552" s="21">
        <v>0</v>
      </c>
      <c r="R7552" s="21">
        <v>0</v>
      </c>
      <c r="S7552" s="5">
        <f t="shared" si="471"/>
        <v>40232.879203922879</v>
      </c>
      <c r="T7552" cm="1">
        <f t="array" ref="T7552">IF(OR(B7552="MAL ALIMI", B7552="ÜRETİM GİRİŞ"), MIN(I7552, MAX(0, I7552 + SUM(SUMIFS($I$1:I7551, $C$1:C7551, C7552, $B$1:B7551, {"MAL ALIMI","ÜRETİM GİRİŞ"})) - VLOOKUP(C7552, 'STOK RAPORU'!$C$2:$I$1000, 4, 0))), 0)</f>
        <v>4.9025499999999997</v>
      </c>
      <c r="U7552" s="22">
        <f t="shared" si="472"/>
        <v>514.76774999999998</v>
      </c>
      <c r="V7552">
        <f t="shared" si="473"/>
        <v>525</v>
      </c>
      <c r="W7552" s="22">
        <f t="shared" si="474"/>
        <v>10.232250000000022</v>
      </c>
    </row>
    <row r="7553" spans="1:23" hidden="1" x14ac:dyDescent="0.25">
      <c r="A7553" s="3">
        <v>46178</v>
      </c>
      <c r="B7553" s="4" t="s">
        <v>298</v>
      </c>
      <c r="C7553" s="4" t="s">
        <v>266</v>
      </c>
      <c r="D7553" s="4"/>
      <c r="E7553" s="4" t="s">
        <v>2381</v>
      </c>
      <c r="F7553" s="4"/>
      <c r="G7553" s="4" t="s">
        <v>3593</v>
      </c>
      <c r="H7553" s="4" t="s">
        <v>304</v>
      </c>
      <c r="I7553" s="4">
        <v>5</v>
      </c>
      <c r="J7553" s="21">
        <v>180</v>
      </c>
      <c r="K7553" s="21">
        <v>0</v>
      </c>
      <c r="L7553" s="5">
        <v>900</v>
      </c>
      <c r="M7553" s="4"/>
      <c r="N7553" s="4"/>
      <c r="O7553" s="5"/>
      <c r="P7553" s="5"/>
      <c r="Q7553" s="21">
        <v>0</v>
      </c>
      <c r="R7553" s="21">
        <v>0</v>
      </c>
      <c r="S7553" s="5">
        <f t="shared" si="471"/>
        <v>40232.879203922879</v>
      </c>
      <c r="T7553" cm="1">
        <f t="array" ref="T7553">IF(OR(B7553="MAL ALIMI", B7553="ÜRETİM GİRİŞ"), MIN(I7553, MAX(0, I7553 + SUM(SUMIFS($I$1:I7552, $C$1:C7552, C7553, $B$1:B7552, {"MAL ALIMI","ÜRETİM GİRİŞ"})) - VLOOKUP(C7553, 'STOK RAPORU'!$C$2:$I$1000, 4, 0))), 0)</f>
        <v>5</v>
      </c>
      <c r="U7553" s="22">
        <f t="shared" si="472"/>
        <v>900</v>
      </c>
      <c r="V7553">
        <f t="shared" si="473"/>
        <v>900</v>
      </c>
      <c r="W7553" s="22">
        <f t="shared" si="474"/>
        <v>0</v>
      </c>
    </row>
    <row r="7554" spans="1:23" hidden="1" x14ac:dyDescent="0.25">
      <c r="A7554" s="3">
        <v>46178</v>
      </c>
      <c r="B7554" s="4" t="s">
        <v>298</v>
      </c>
      <c r="C7554" s="4" t="s">
        <v>691</v>
      </c>
      <c r="D7554" s="4"/>
      <c r="E7554" s="4" t="s">
        <v>2381</v>
      </c>
      <c r="F7554" s="4"/>
      <c r="G7554" s="4" t="s">
        <v>3593</v>
      </c>
      <c r="H7554" s="4" t="s">
        <v>304</v>
      </c>
      <c r="I7554" s="4">
        <v>5</v>
      </c>
      <c r="J7554" s="21">
        <v>99</v>
      </c>
      <c r="K7554" s="21">
        <v>0</v>
      </c>
      <c r="L7554" s="5">
        <v>495</v>
      </c>
      <c r="M7554" s="4"/>
      <c r="N7554" s="4"/>
      <c r="O7554" s="5"/>
      <c r="P7554" s="5"/>
      <c r="Q7554" s="21">
        <v>0</v>
      </c>
      <c r="R7554" s="21">
        <v>0</v>
      </c>
      <c r="S7554" s="5">
        <f t="shared" si="471"/>
        <v>40232.879203922879</v>
      </c>
      <c r="T7554" cm="1">
        <f t="array" ref="T7554">IF(OR(B7554="MAL ALIMI", B7554="ÜRETİM GİRİŞ"), MIN(I7554, MAX(0, I7554 + SUM(SUMIFS($I$1:I7553, $C$1:C7553, C7554, $B$1:B7553, {"MAL ALIMI","ÜRETİM GİRİŞ"})) - VLOOKUP(C7554, 'STOK RAPORU'!$C$2:$I$1000, 4, 0))), 0)</f>
        <v>4.481945080091533</v>
      </c>
      <c r="U7554" s="22">
        <f t="shared" si="472"/>
        <v>443.71256292906179</v>
      </c>
      <c r="V7554">
        <f t="shared" si="473"/>
        <v>495</v>
      </c>
      <c r="W7554" s="22">
        <f t="shared" si="474"/>
        <v>51.287437070938211</v>
      </c>
    </row>
    <row r="7555" spans="1:23" hidden="1" x14ac:dyDescent="0.25">
      <c r="A7555" s="3">
        <v>46178</v>
      </c>
      <c r="B7555" s="4" t="s">
        <v>298</v>
      </c>
      <c r="C7555" s="4" t="s">
        <v>253</v>
      </c>
      <c r="D7555" s="4"/>
      <c r="E7555" s="4" t="s">
        <v>2381</v>
      </c>
      <c r="F7555" s="4"/>
      <c r="G7555" s="4" t="s">
        <v>3593</v>
      </c>
      <c r="H7555" s="4" t="s">
        <v>304</v>
      </c>
      <c r="I7555" s="4">
        <v>5</v>
      </c>
      <c r="J7555" s="21">
        <v>180</v>
      </c>
      <c r="K7555" s="21">
        <v>0</v>
      </c>
      <c r="L7555" s="5">
        <v>900</v>
      </c>
      <c r="M7555" s="4"/>
      <c r="N7555" s="4"/>
      <c r="O7555" s="5"/>
      <c r="P7555" s="5"/>
      <c r="Q7555" s="21">
        <v>0</v>
      </c>
      <c r="R7555" s="21">
        <v>0</v>
      </c>
      <c r="S7555" s="5">
        <f t="shared" si="471"/>
        <v>40232.879203922879</v>
      </c>
      <c r="T7555" cm="1">
        <f t="array" ref="T7555">IF(OR(B7555="MAL ALIMI", B7555="ÜRETİM GİRİŞ"), MIN(I7555, MAX(0, I7555 + SUM(SUMIFS($I$1:I7554, $C$1:C7554, C7555, $B$1:B7554, {"MAL ALIMI","ÜRETİM GİRİŞ"})) - VLOOKUP(C7555, 'STOK RAPORU'!$C$2:$I$1000, 4, 0))), 0)</f>
        <v>1.5019999999999989</v>
      </c>
      <c r="U7555" s="22">
        <f t="shared" si="472"/>
        <v>270.35999999999979</v>
      </c>
      <c r="V7555">
        <f t="shared" si="473"/>
        <v>900</v>
      </c>
      <c r="W7555" s="22">
        <f t="shared" si="474"/>
        <v>629.64000000000021</v>
      </c>
    </row>
    <row r="7556" spans="1:23" hidden="1" x14ac:dyDescent="0.25">
      <c r="A7556" s="3">
        <v>46178</v>
      </c>
      <c r="B7556" s="4" t="s">
        <v>298</v>
      </c>
      <c r="C7556" s="4" t="s">
        <v>252</v>
      </c>
      <c r="D7556" s="4"/>
      <c r="E7556" s="4" t="s">
        <v>2381</v>
      </c>
      <c r="F7556" s="4"/>
      <c r="G7556" s="4" t="s">
        <v>3593</v>
      </c>
      <c r="H7556" s="4" t="s">
        <v>304</v>
      </c>
      <c r="I7556" s="4">
        <v>5</v>
      </c>
      <c r="J7556" s="21">
        <v>95</v>
      </c>
      <c r="K7556" s="21">
        <v>0</v>
      </c>
      <c r="L7556" s="5">
        <v>475</v>
      </c>
      <c r="M7556" s="4"/>
      <c r="N7556" s="4"/>
      <c r="O7556" s="5"/>
      <c r="P7556" s="5"/>
      <c r="Q7556" s="21">
        <v>0</v>
      </c>
      <c r="R7556" s="21">
        <v>0</v>
      </c>
      <c r="S7556" s="5">
        <f t="shared" ref="S7556:S7619" si="475">S7555+Q7556-R7556</f>
        <v>40232.879203922879</v>
      </c>
      <c r="T7556" cm="1">
        <f t="array" ref="T7556">IF(OR(B7556="MAL ALIMI", B7556="ÜRETİM GİRİŞ"), MIN(I7556, MAX(0, I7556 + SUM(SUMIFS($I$1:I7555, $C$1:C7555, C7556, $B$1:B7555, {"MAL ALIMI","ÜRETİM GİRİŞ"})) - VLOOKUP(C7556, 'STOK RAPORU'!$C$2:$I$1000, 4, 0))), 0)</f>
        <v>3.9969999999999999</v>
      </c>
      <c r="U7556" s="22">
        <f t="shared" si="472"/>
        <v>379.71499999999997</v>
      </c>
      <c r="V7556">
        <f t="shared" si="473"/>
        <v>475</v>
      </c>
      <c r="W7556" s="22">
        <f t="shared" si="474"/>
        <v>95.285000000000025</v>
      </c>
    </row>
    <row r="7557" spans="1:23" hidden="1" x14ac:dyDescent="0.25">
      <c r="A7557" s="3">
        <v>46178</v>
      </c>
      <c r="B7557" s="4" t="s">
        <v>298</v>
      </c>
      <c r="C7557" s="4" t="s">
        <v>2562</v>
      </c>
      <c r="D7557" s="4"/>
      <c r="E7557" s="4" t="s">
        <v>2381</v>
      </c>
      <c r="F7557" s="4"/>
      <c r="G7557" s="4" t="s">
        <v>3593</v>
      </c>
      <c r="H7557" s="4" t="s">
        <v>304</v>
      </c>
      <c r="I7557" s="4">
        <v>12</v>
      </c>
      <c r="J7557" s="21">
        <v>50</v>
      </c>
      <c r="K7557" s="21">
        <v>0</v>
      </c>
      <c r="L7557" s="5">
        <v>600</v>
      </c>
      <c r="M7557" s="4"/>
      <c r="N7557" s="4"/>
      <c r="O7557" s="5"/>
      <c r="P7557" s="5"/>
      <c r="Q7557" s="21">
        <v>0</v>
      </c>
      <c r="R7557" s="21">
        <v>0</v>
      </c>
      <c r="S7557" s="5">
        <f t="shared" si="475"/>
        <v>40232.879203922879</v>
      </c>
      <c r="T7557" cm="1">
        <f t="array" ref="T7557">IF(OR(B7557="MAL ALIMI", B7557="ÜRETİM GİRİŞ"), MIN(I7557, MAX(0, I7557 + SUM(SUMIFS($I$1:I7556, $C$1:C7556, C7557, $B$1:B7556, {"MAL ALIMI","ÜRETİM GİRİŞ"})) - VLOOKUP(C7557, 'STOK RAPORU'!$C$2:$I$1000, 4, 0))), 0)</f>
        <v>8</v>
      </c>
      <c r="U7557" s="22">
        <f t="shared" si="472"/>
        <v>400</v>
      </c>
      <c r="V7557">
        <f t="shared" si="473"/>
        <v>600</v>
      </c>
      <c r="W7557" s="22">
        <f t="shared" si="474"/>
        <v>200</v>
      </c>
    </row>
    <row r="7558" spans="1:23" hidden="1" x14ac:dyDescent="0.25">
      <c r="A7558" s="3">
        <v>46178</v>
      </c>
      <c r="B7558" s="4" t="s">
        <v>298</v>
      </c>
      <c r="C7558" s="4" t="s">
        <v>246</v>
      </c>
      <c r="D7558" s="4"/>
      <c r="E7558" s="4" t="s">
        <v>2381</v>
      </c>
      <c r="F7558" s="4"/>
      <c r="G7558" s="4" t="s">
        <v>3593</v>
      </c>
      <c r="H7558" s="4" t="s">
        <v>304</v>
      </c>
      <c r="I7558" s="4">
        <v>2</v>
      </c>
      <c r="J7558" s="21">
        <v>1260</v>
      </c>
      <c r="K7558" s="21">
        <v>0</v>
      </c>
      <c r="L7558" s="5">
        <v>2520</v>
      </c>
      <c r="M7558" s="4"/>
      <c r="N7558" s="4"/>
      <c r="O7558" s="5"/>
      <c r="P7558" s="5"/>
      <c r="Q7558" s="21">
        <v>0</v>
      </c>
      <c r="R7558" s="21">
        <v>0</v>
      </c>
      <c r="S7558" s="5">
        <f t="shared" si="475"/>
        <v>40232.879203922879</v>
      </c>
      <c r="T7558" cm="1">
        <f t="array" ref="T7558">IF(OR(B7558="MAL ALIMI", B7558="ÜRETİM GİRİŞ"), MIN(I7558, MAX(0, I7558 + SUM(SUMIFS($I$1:I7557, $C$1:C7557, C7558, $B$1:B7557, {"MAL ALIMI","ÜRETİM GİRİŞ"})) - VLOOKUP(C7558, 'STOK RAPORU'!$C$2:$I$1000, 4, 0))), 0)</f>
        <v>0.34399999999999942</v>
      </c>
      <c r="U7558" s="22">
        <f t="shared" si="472"/>
        <v>433.43999999999926</v>
      </c>
      <c r="V7558">
        <f t="shared" si="473"/>
        <v>2520</v>
      </c>
      <c r="W7558" s="22">
        <f t="shared" si="474"/>
        <v>2086.5600000000009</v>
      </c>
    </row>
    <row r="7559" spans="1:23" hidden="1" x14ac:dyDescent="0.25">
      <c r="A7559" s="3">
        <v>46178</v>
      </c>
      <c r="B7559" s="4" t="s">
        <v>298</v>
      </c>
      <c r="C7559" s="4" t="s">
        <v>648</v>
      </c>
      <c r="D7559" s="4"/>
      <c r="E7559" s="4" t="s">
        <v>2381</v>
      </c>
      <c r="F7559" s="4"/>
      <c r="G7559" s="4" t="s">
        <v>3593</v>
      </c>
      <c r="H7559" s="4" t="s">
        <v>304</v>
      </c>
      <c r="I7559" s="4">
        <v>3</v>
      </c>
      <c r="J7559" s="21">
        <v>500</v>
      </c>
      <c r="K7559" s="21">
        <v>0</v>
      </c>
      <c r="L7559" s="5">
        <v>1500</v>
      </c>
      <c r="M7559" s="4"/>
      <c r="N7559" s="4"/>
      <c r="O7559" s="5"/>
      <c r="P7559" s="5"/>
      <c r="Q7559" s="21">
        <v>0</v>
      </c>
      <c r="R7559" s="21">
        <v>0</v>
      </c>
      <c r="S7559" s="5">
        <f t="shared" si="475"/>
        <v>40232.879203922879</v>
      </c>
      <c r="T7559" cm="1">
        <f t="array" ref="T7559">IF(OR(B7559="MAL ALIMI", B7559="ÜRETİM GİRİŞ"), MIN(I7559, MAX(0, I7559 + SUM(SUMIFS($I$1:I7558, $C$1:C7558, C7559, $B$1:B7558, {"MAL ALIMI","ÜRETİM GİRİŞ"})) - VLOOKUP(C7559, 'STOK RAPORU'!$C$2:$I$1000, 4, 0))), 0)</f>
        <v>0.31769230769230816</v>
      </c>
      <c r="U7559" s="22">
        <f t="shared" si="472"/>
        <v>158.8461538461541</v>
      </c>
      <c r="V7559">
        <f t="shared" si="473"/>
        <v>1500</v>
      </c>
      <c r="W7559" s="22">
        <f t="shared" si="474"/>
        <v>1341.153846153846</v>
      </c>
    </row>
    <row r="7560" spans="1:23" hidden="1" x14ac:dyDescent="0.25">
      <c r="A7560" s="3">
        <v>46178</v>
      </c>
      <c r="B7560" s="4" t="s">
        <v>298</v>
      </c>
      <c r="C7560" s="4" t="s">
        <v>647</v>
      </c>
      <c r="D7560" s="4"/>
      <c r="E7560" s="4" t="s">
        <v>2381</v>
      </c>
      <c r="F7560" s="4"/>
      <c r="G7560" s="4" t="s">
        <v>3593</v>
      </c>
      <c r="H7560" s="4" t="s">
        <v>304</v>
      </c>
      <c r="I7560" s="4">
        <v>5</v>
      </c>
      <c r="J7560" s="21">
        <v>150</v>
      </c>
      <c r="K7560" s="21">
        <v>0</v>
      </c>
      <c r="L7560" s="5">
        <v>750</v>
      </c>
      <c r="M7560" s="4"/>
      <c r="N7560" s="4"/>
      <c r="O7560" s="5"/>
      <c r="P7560" s="5"/>
      <c r="Q7560" s="21">
        <v>0</v>
      </c>
      <c r="R7560" s="21">
        <v>0</v>
      </c>
      <c r="S7560" s="5">
        <f t="shared" si="475"/>
        <v>40232.879203922879</v>
      </c>
      <c r="T7560" cm="1">
        <f t="array" ref="T7560">IF(OR(B7560="MAL ALIMI", B7560="ÜRETİM GİRİŞ"), MIN(I7560, MAX(0, I7560 + SUM(SUMIFS($I$1:I7559, $C$1:C7559, C7560, $B$1:B7559, {"MAL ALIMI","ÜRETİM GİRİŞ"})) - VLOOKUP(C7560, 'STOK RAPORU'!$C$2:$I$1000, 4, 0))), 0)</f>
        <v>4.1999999999999993</v>
      </c>
      <c r="U7560" s="22">
        <f t="shared" si="472"/>
        <v>629.99999999999989</v>
      </c>
      <c r="V7560">
        <f t="shared" si="473"/>
        <v>750</v>
      </c>
      <c r="W7560" s="22">
        <f t="shared" si="474"/>
        <v>120.00000000000011</v>
      </c>
    </row>
    <row r="7561" spans="1:23" hidden="1" x14ac:dyDescent="0.25">
      <c r="A7561" s="3">
        <v>46178</v>
      </c>
      <c r="B7561" s="46" t="s">
        <v>946</v>
      </c>
      <c r="C7561" s="4"/>
      <c r="D7561" s="4"/>
      <c r="E7561" s="4" t="s">
        <v>921</v>
      </c>
      <c r="F7561" s="4"/>
      <c r="G7561" s="4" t="s">
        <v>3594</v>
      </c>
      <c r="H7561" s="4" t="s">
        <v>380</v>
      </c>
      <c r="I7561" s="4">
        <v>1</v>
      </c>
      <c r="J7561" s="21">
        <v>8665</v>
      </c>
      <c r="K7561" s="21">
        <v>0</v>
      </c>
      <c r="L7561" s="115">
        <v>8665</v>
      </c>
      <c r="M7561" s="4"/>
      <c r="N7561" s="4"/>
      <c r="O7561" s="5"/>
      <c r="P7561" s="5"/>
      <c r="Q7561" s="21">
        <v>8665</v>
      </c>
      <c r="R7561" s="21">
        <v>0</v>
      </c>
      <c r="S7561" s="5">
        <f t="shared" si="475"/>
        <v>48897.879203922879</v>
      </c>
      <c r="T7561" cm="1">
        <f t="array" ref="T7561">IF(OR(B7561="MAL ALIMI", B7561="ÜRETİM GİRİŞ"), MIN(I7561, MAX(0, I7561 + SUM(SUMIFS($I$1:I7560, $C$1:C7560, C7561, $B$1:B7560, {"MAL ALIMI","ÜRETİM GİRİŞ"})) - VLOOKUP(C7561, 'STOK RAPORU'!$C$2:$I$1000, 4, 0))), 0)</f>
        <v>0</v>
      </c>
      <c r="U7561" s="22">
        <f t="shared" si="472"/>
        <v>0</v>
      </c>
      <c r="V7561">
        <f t="shared" si="473"/>
        <v>0</v>
      </c>
      <c r="W7561" s="22">
        <f t="shared" si="474"/>
        <v>0</v>
      </c>
    </row>
    <row r="7562" spans="1:23" hidden="1" x14ac:dyDescent="0.25">
      <c r="A7562" s="3">
        <v>46178</v>
      </c>
      <c r="B7562" s="4" t="s">
        <v>917</v>
      </c>
      <c r="C7562" s="4"/>
      <c r="D7562" s="4"/>
      <c r="E7562" s="4" t="s">
        <v>2381</v>
      </c>
      <c r="F7562" s="4"/>
      <c r="G7562" s="4" t="s">
        <v>3594</v>
      </c>
      <c r="H7562" s="4" t="s">
        <v>289</v>
      </c>
      <c r="I7562" s="4">
        <v>1</v>
      </c>
      <c r="J7562" s="21">
        <v>8665</v>
      </c>
      <c r="K7562" s="102">
        <v>8665</v>
      </c>
      <c r="L7562" s="5">
        <v>0</v>
      </c>
      <c r="M7562" s="4"/>
      <c r="N7562" s="4"/>
      <c r="O7562" s="5"/>
      <c r="P7562" s="5"/>
      <c r="Q7562" s="21">
        <v>0</v>
      </c>
      <c r="R7562" s="21">
        <v>8665</v>
      </c>
      <c r="S7562" s="5">
        <f t="shared" si="475"/>
        <v>40232.879203922879</v>
      </c>
      <c r="T7562" cm="1">
        <f t="array" ref="T7562">IF(OR(B7562="MAL ALIMI", B7562="ÜRETİM GİRİŞ"), MIN(I7562, MAX(0, I7562 + SUM(SUMIFS($I$1:I7561, $C$1:C7561, C7562, $B$1:B7561, {"MAL ALIMI","ÜRETİM GİRİŞ"})) - VLOOKUP(C7562, 'STOK RAPORU'!$C$2:$I$1000, 4, 0))), 0)</f>
        <v>0</v>
      </c>
      <c r="U7562" s="22">
        <f t="shared" si="472"/>
        <v>0</v>
      </c>
      <c r="V7562">
        <f t="shared" si="473"/>
        <v>0</v>
      </c>
      <c r="W7562" s="22">
        <f t="shared" si="474"/>
        <v>0</v>
      </c>
    </row>
    <row r="7563" spans="1:23" hidden="1" x14ac:dyDescent="0.25">
      <c r="A7563" s="3">
        <v>46179</v>
      </c>
      <c r="B7563" s="46" t="s">
        <v>334</v>
      </c>
      <c r="C7563" s="4" t="s">
        <v>1897</v>
      </c>
      <c r="D7563" s="4"/>
      <c r="E7563" s="4" t="s">
        <v>921</v>
      </c>
      <c r="F7563" s="4" t="s">
        <v>3602</v>
      </c>
      <c r="G7563" s="4" t="s">
        <v>336</v>
      </c>
      <c r="H7563" s="4" t="s">
        <v>380</v>
      </c>
      <c r="I7563" s="4">
        <v>1</v>
      </c>
      <c r="J7563" s="21">
        <v>300</v>
      </c>
      <c r="K7563" s="21">
        <v>300</v>
      </c>
      <c r="L7563" s="5">
        <v>0</v>
      </c>
      <c r="M7563" s="4"/>
      <c r="N7563" s="4"/>
      <c r="O7563" s="5"/>
      <c r="P7563" s="5"/>
      <c r="Q7563" s="21">
        <v>0</v>
      </c>
      <c r="R7563" s="21">
        <v>0</v>
      </c>
      <c r="S7563" s="5">
        <f t="shared" si="475"/>
        <v>40232.879203922879</v>
      </c>
      <c r="T7563" cm="1">
        <f t="array" ref="T7563">IF(OR(B7563="MAL ALIMI", B7563="ÜRETİM GİRİŞ"), MIN(I7563, MAX(0, I7563 + SUM(SUMIFS($I$1:I7562, $C$1:C7562, C7563, $B$1:B7562, {"MAL ALIMI","ÜRETİM GİRİŞ"})) - VLOOKUP(C7563, 'STOK RAPORU'!$C$2:$I$1000, 4, 0))), 0)</f>
        <v>0</v>
      </c>
      <c r="U7563" s="22">
        <f t="shared" si="472"/>
        <v>0</v>
      </c>
      <c r="V7563">
        <f t="shared" si="473"/>
        <v>0</v>
      </c>
      <c r="W7563" s="22">
        <f t="shared" si="474"/>
        <v>0</v>
      </c>
    </row>
    <row r="7564" spans="1:23" hidden="1" x14ac:dyDescent="0.25">
      <c r="A7564" s="3">
        <v>46179</v>
      </c>
      <c r="B7564" s="46" t="s">
        <v>334</v>
      </c>
      <c r="C7564" s="4" t="s">
        <v>634</v>
      </c>
      <c r="D7564" s="4"/>
      <c r="E7564" s="4" t="s">
        <v>921</v>
      </c>
      <c r="F7564" s="4" t="s">
        <v>3602</v>
      </c>
      <c r="G7564" s="4" t="s">
        <v>336</v>
      </c>
      <c r="H7564" s="4" t="s">
        <v>380</v>
      </c>
      <c r="I7564" s="4">
        <v>0.47058823529411764</v>
      </c>
      <c r="J7564" s="21">
        <v>850</v>
      </c>
      <c r="K7564" s="21">
        <v>400</v>
      </c>
      <c r="L7564" s="5">
        <v>0</v>
      </c>
      <c r="M7564" s="4"/>
      <c r="N7564" s="4"/>
      <c r="O7564" s="5"/>
      <c r="P7564" s="5"/>
      <c r="Q7564" s="21">
        <v>0</v>
      </c>
      <c r="R7564" s="21">
        <v>0</v>
      </c>
      <c r="S7564" s="5">
        <f t="shared" si="475"/>
        <v>40232.879203922879</v>
      </c>
      <c r="T7564" cm="1">
        <f t="array" ref="T7564">IF(OR(B7564="MAL ALIMI", B7564="ÜRETİM GİRİŞ"), MIN(I7564, MAX(0, I7564 + SUM(SUMIFS($I$1:I7563, $C$1:C7563, C7564, $B$1:B7563, {"MAL ALIMI","ÜRETİM GİRİŞ"})) - VLOOKUP(C7564, 'STOK RAPORU'!$C$2:$I$1000, 4, 0))), 0)</f>
        <v>0</v>
      </c>
      <c r="U7564" s="22">
        <f t="shared" si="472"/>
        <v>0</v>
      </c>
      <c r="V7564">
        <f t="shared" si="473"/>
        <v>0</v>
      </c>
      <c r="W7564" s="22">
        <f t="shared" si="474"/>
        <v>0</v>
      </c>
    </row>
    <row r="7565" spans="1:23" hidden="1" x14ac:dyDescent="0.25">
      <c r="A7565" s="3">
        <v>46179</v>
      </c>
      <c r="B7565" s="46" t="s">
        <v>334</v>
      </c>
      <c r="C7565" s="4" t="s">
        <v>3381</v>
      </c>
      <c r="D7565" s="4"/>
      <c r="E7565" s="4" t="s">
        <v>921</v>
      </c>
      <c r="F7565" s="4" t="s">
        <v>3602</v>
      </c>
      <c r="G7565" s="4" t="s">
        <v>336</v>
      </c>
      <c r="H7565" s="4" t="s">
        <v>380</v>
      </c>
      <c r="I7565" s="4">
        <v>0.34</v>
      </c>
      <c r="J7565" s="21">
        <v>250</v>
      </c>
      <c r="K7565" s="21">
        <v>85</v>
      </c>
      <c r="L7565" s="5">
        <v>0</v>
      </c>
      <c r="M7565" s="4"/>
      <c r="N7565" s="4"/>
      <c r="O7565" s="5"/>
      <c r="P7565" s="5"/>
      <c r="Q7565" s="21">
        <v>0</v>
      </c>
      <c r="R7565" s="21">
        <v>0</v>
      </c>
      <c r="S7565" s="5">
        <f t="shared" si="475"/>
        <v>40232.879203922879</v>
      </c>
      <c r="T7565" cm="1">
        <f t="array" ref="T7565">IF(OR(B7565="MAL ALIMI", B7565="ÜRETİM GİRİŞ"), MIN(I7565, MAX(0, I7565 + SUM(SUMIFS($I$1:I7564, $C$1:C7564, C7565, $B$1:B7564, {"MAL ALIMI","ÜRETİM GİRİŞ"})) - VLOOKUP(C7565, 'STOK RAPORU'!$C$2:$I$1000, 4, 0))), 0)</f>
        <v>0</v>
      </c>
      <c r="U7565" s="22">
        <f t="shared" si="472"/>
        <v>0</v>
      </c>
      <c r="V7565">
        <f t="shared" si="473"/>
        <v>0</v>
      </c>
      <c r="W7565" s="22">
        <f t="shared" si="474"/>
        <v>0</v>
      </c>
    </row>
    <row r="7566" spans="1:23" hidden="1" x14ac:dyDescent="0.25">
      <c r="A7566" s="3">
        <v>46179</v>
      </c>
      <c r="B7566" s="46" t="s">
        <v>334</v>
      </c>
      <c r="C7566" s="4" t="s">
        <v>253</v>
      </c>
      <c r="D7566" s="4"/>
      <c r="E7566" s="4" t="s">
        <v>921</v>
      </c>
      <c r="F7566" s="4" t="s">
        <v>3602</v>
      </c>
      <c r="G7566" s="4" t="s">
        <v>336</v>
      </c>
      <c r="H7566" s="4" t="s">
        <v>380</v>
      </c>
      <c r="I7566" s="4">
        <v>0.2</v>
      </c>
      <c r="J7566" s="21">
        <v>250</v>
      </c>
      <c r="K7566" s="21">
        <v>50</v>
      </c>
      <c r="L7566" s="5">
        <v>0</v>
      </c>
      <c r="M7566" s="4"/>
      <c r="N7566" s="4"/>
      <c r="O7566" s="5"/>
      <c r="P7566" s="5"/>
      <c r="Q7566" s="21">
        <v>0</v>
      </c>
      <c r="R7566" s="21">
        <v>0</v>
      </c>
      <c r="S7566" s="5">
        <f t="shared" si="475"/>
        <v>40232.879203922879</v>
      </c>
      <c r="T7566" cm="1">
        <f t="array" ref="T7566">IF(OR(B7566="MAL ALIMI", B7566="ÜRETİM GİRİŞ"), MIN(I7566, MAX(0, I7566 + SUM(SUMIFS($I$1:I7565, $C$1:C7565, C7566, $B$1:B7565, {"MAL ALIMI","ÜRETİM GİRİŞ"})) - VLOOKUP(C7566, 'STOK RAPORU'!$C$2:$I$1000, 4, 0))), 0)</f>
        <v>0</v>
      </c>
      <c r="U7566" s="22">
        <f t="shared" si="472"/>
        <v>0</v>
      </c>
      <c r="V7566">
        <f t="shared" si="473"/>
        <v>0</v>
      </c>
      <c r="W7566" s="22">
        <f t="shared" si="474"/>
        <v>0</v>
      </c>
    </row>
    <row r="7567" spans="1:23" hidden="1" x14ac:dyDescent="0.25">
      <c r="A7567" s="3">
        <v>46179</v>
      </c>
      <c r="B7567" s="46" t="s">
        <v>334</v>
      </c>
      <c r="C7567" s="4" t="s">
        <v>197</v>
      </c>
      <c r="D7567" s="4"/>
      <c r="E7567" s="4" t="s">
        <v>921</v>
      </c>
      <c r="F7567" s="4" t="s">
        <v>3602</v>
      </c>
      <c r="G7567" s="4" t="s">
        <v>336</v>
      </c>
      <c r="H7567" s="4" t="s">
        <v>380</v>
      </c>
      <c r="I7567" s="4">
        <v>0.2608695652173913</v>
      </c>
      <c r="J7567" s="21">
        <v>230</v>
      </c>
      <c r="K7567" s="21">
        <v>60</v>
      </c>
      <c r="L7567" s="5">
        <v>0</v>
      </c>
      <c r="M7567" s="4"/>
      <c r="N7567" s="4"/>
      <c r="O7567" s="5"/>
      <c r="P7567" s="5"/>
      <c r="Q7567" s="21">
        <v>0</v>
      </c>
      <c r="R7567" s="21">
        <v>0</v>
      </c>
      <c r="S7567" s="5">
        <f t="shared" si="475"/>
        <v>40232.879203922879</v>
      </c>
      <c r="T7567" cm="1">
        <f t="array" ref="T7567">IF(OR(B7567="MAL ALIMI", B7567="ÜRETİM GİRİŞ"), MIN(I7567, MAX(0, I7567 + SUM(SUMIFS($I$1:I7566, $C$1:C7566, C7567, $B$1:B7566, {"MAL ALIMI","ÜRETİM GİRİŞ"})) - VLOOKUP(C7567, 'STOK RAPORU'!$C$2:$I$1000, 4, 0))), 0)</f>
        <v>0</v>
      </c>
      <c r="U7567" s="22">
        <f t="shared" si="472"/>
        <v>0</v>
      </c>
      <c r="V7567">
        <f t="shared" si="473"/>
        <v>0</v>
      </c>
      <c r="W7567" s="22">
        <f t="shared" si="474"/>
        <v>0</v>
      </c>
    </row>
    <row r="7568" spans="1:23" hidden="1" x14ac:dyDescent="0.25">
      <c r="A7568" s="3">
        <v>46179</v>
      </c>
      <c r="B7568" s="46" t="s">
        <v>334</v>
      </c>
      <c r="C7568" s="4" t="s">
        <v>160</v>
      </c>
      <c r="D7568" s="4"/>
      <c r="E7568" s="4" t="s">
        <v>921</v>
      </c>
      <c r="F7568" s="4" t="s">
        <v>3603</v>
      </c>
      <c r="G7568" s="4" t="s">
        <v>336</v>
      </c>
      <c r="H7568" s="4" t="s">
        <v>380</v>
      </c>
      <c r="I7568" s="4">
        <v>1</v>
      </c>
      <c r="J7568" s="21">
        <v>240</v>
      </c>
      <c r="K7568" s="21">
        <v>240</v>
      </c>
      <c r="L7568" s="5">
        <v>0</v>
      </c>
      <c r="M7568" s="4"/>
      <c r="N7568" s="4"/>
      <c r="O7568" s="5"/>
      <c r="P7568" s="5"/>
      <c r="Q7568" s="21">
        <v>0</v>
      </c>
      <c r="R7568" s="21">
        <v>0</v>
      </c>
      <c r="S7568" s="5">
        <f t="shared" si="475"/>
        <v>40232.879203922879</v>
      </c>
      <c r="T7568" cm="1">
        <f t="array" ref="T7568">IF(OR(B7568="MAL ALIMI", B7568="ÜRETİM GİRİŞ"), MIN(I7568, MAX(0, I7568 + SUM(SUMIFS($I$1:I7567, $C$1:C7567, C7568, $B$1:B7567, {"MAL ALIMI","ÜRETİM GİRİŞ"})) - VLOOKUP(C7568, 'STOK RAPORU'!$C$2:$I$1000, 4, 0))), 0)</f>
        <v>0</v>
      </c>
      <c r="U7568" s="22">
        <f t="shared" si="472"/>
        <v>0</v>
      </c>
      <c r="V7568">
        <f t="shared" si="473"/>
        <v>0</v>
      </c>
      <c r="W7568" s="22">
        <f t="shared" si="474"/>
        <v>0</v>
      </c>
    </row>
    <row r="7569" spans="1:23" hidden="1" x14ac:dyDescent="0.25">
      <c r="A7569" s="3">
        <v>46179</v>
      </c>
      <c r="B7569" s="46" t="s">
        <v>334</v>
      </c>
      <c r="C7569" s="4" t="s">
        <v>161</v>
      </c>
      <c r="D7569" s="4"/>
      <c r="E7569" s="4" t="s">
        <v>921</v>
      </c>
      <c r="F7569" s="4" t="s">
        <v>3603</v>
      </c>
      <c r="G7569" s="4" t="s">
        <v>336</v>
      </c>
      <c r="H7569" s="4" t="s">
        <v>380</v>
      </c>
      <c r="I7569" s="4">
        <v>1</v>
      </c>
      <c r="J7569" s="21">
        <v>240</v>
      </c>
      <c r="K7569" s="21">
        <v>240</v>
      </c>
      <c r="L7569" s="5">
        <v>0</v>
      </c>
      <c r="M7569" s="4"/>
      <c r="N7569" s="4"/>
      <c r="O7569" s="5"/>
      <c r="P7569" s="5"/>
      <c r="Q7569" s="21">
        <v>0</v>
      </c>
      <c r="R7569" s="21">
        <v>0</v>
      </c>
      <c r="S7569" s="5">
        <f t="shared" si="475"/>
        <v>40232.879203922879</v>
      </c>
      <c r="T7569" cm="1">
        <f t="array" ref="T7569">IF(OR(B7569="MAL ALIMI", B7569="ÜRETİM GİRİŞ"), MIN(I7569, MAX(0, I7569 + SUM(SUMIFS($I$1:I7568, $C$1:C7568, C7569, $B$1:B7568, {"MAL ALIMI","ÜRETİM GİRİŞ"})) - VLOOKUP(C7569, 'STOK RAPORU'!$C$2:$I$1000, 4, 0))), 0)</f>
        <v>0</v>
      </c>
      <c r="U7569" s="22">
        <f t="shared" si="472"/>
        <v>0</v>
      </c>
      <c r="V7569">
        <f t="shared" si="473"/>
        <v>0</v>
      </c>
      <c r="W7569" s="22">
        <f t="shared" si="474"/>
        <v>0</v>
      </c>
    </row>
    <row r="7570" spans="1:23" hidden="1" x14ac:dyDescent="0.25">
      <c r="A7570" s="3">
        <v>46179</v>
      </c>
      <c r="B7570" s="46" t="s">
        <v>334</v>
      </c>
      <c r="C7570" s="4" t="s">
        <v>517</v>
      </c>
      <c r="D7570" s="4"/>
      <c r="E7570" s="4" t="s">
        <v>921</v>
      </c>
      <c r="F7570" s="4" t="s">
        <v>3603</v>
      </c>
      <c r="G7570" s="4" t="s">
        <v>336</v>
      </c>
      <c r="H7570" s="4" t="s">
        <v>380</v>
      </c>
      <c r="I7570" s="4">
        <v>1</v>
      </c>
      <c r="J7570" s="21">
        <v>190</v>
      </c>
      <c r="K7570" s="21">
        <v>190</v>
      </c>
      <c r="L7570" s="5">
        <v>0</v>
      </c>
      <c r="M7570" s="4"/>
      <c r="N7570" s="4"/>
      <c r="O7570" s="5"/>
      <c r="P7570" s="5"/>
      <c r="Q7570" s="21">
        <v>0</v>
      </c>
      <c r="R7570" s="21">
        <v>0</v>
      </c>
      <c r="S7570" s="5">
        <f t="shared" si="475"/>
        <v>40232.879203922879</v>
      </c>
      <c r="T7570" cm="1">
        <f t="array" ref="T7570">IF(OR(B7570="MAL ALIMI", B7570="ÜRETİM GİRİŞ"), MIN(I7570, MAX(0, I7570 + SUM(SUMIFS($I$1:I7569, $C$1:C7569, C7570, $B$1:B7569, {"MAL ALIMI","ÜRETİM GİRİŞ"})) - VLOOKUP(C7570, 'STOK RAPORU'!$C$2:$I$1000, 4, 0))), 0)</f>
        <v>0</v>
      </c>
      <c r="U7570" s="22">
        <f t="shared" si="472"/>
        <v>0</v>
      </c>
      <c r="V7570">
        <f t="shared" si="473"/>
        <v>0</v>
      </c>
      <c r="W7570" s="22">
        <f t="shared" si="474"/>
        <v>0</v>
      </c>
    </row>
    <row r="7571" spans="1:23" hidden="1" x14ac:dyDescent="0.25">
      <c r="A7571" s="3">
        <v>46179</v>
      </c>
      <c r="B7571" s="46" t="s">
        <v>334</v>
      </c>
      <c r="C7571" s="4" t="s">
        <v>835</v>
      </c>
      <c r="D7571" s="4"/>
      <c r="E7571" s="4" t="s">
        <v>921</v>
      </c>
      <c r="F7571" s="4" t="s">
        <v>3603</v>
      </c>
      <c r="G7571" s="4" t="s">
        <v>336</v>
      </c>
      <c r="H7571" s="4" t="s">
        <v>380</v>
      </c>
      <c r="I7571" s="4">
        <v>1</v>
      </c>
      <c r="J7571" s="21">
        <v>130</v>
      </c>
      <c r="K7571" s="21">
        <v>130</v>
      </c>
      <c r="L7571" s="5">
        <v>0</v>
      </c>
      <c r="M7571" s="4"/>
      <c r="N7571" s="4"/>
      <c r="O7571" s="5"/>
      <c r="P7571" s="5"/>
      <c r="Q7571" s="21">
        <v>0</v>
      </c>
      <c r="R7571" s="21">
        <v>0</v>
      </c>
      <c r="S7571" s="5">
        <f t="shared" si="475"/>
        <v>40232.879203922879</v>
      </c>
      <c r="T7571" cm="1">
        <f t="array" ref="T7571">IF(OR(B7571="MAL ALIMI", B7571="ÜRETİM GİRİŞ"), MIN(I7571, MAX(0, I7571 + SUM(SUMIFS($I$1:I7570, $C$1:C7570, C7571, $B$1:B7570, {"MAL ALIMI","ÜRETİM GİRİŞ"})) - VLOOKUP(C7571, 'STOK RAPORU'!$C$2:$I$1000, 4, 0))), 0)</f>
        <v>0</v>
      </c>
      <c r="U7571" s="22">
        <f t="shared" si="472"/>
        <v>0</v>
      </c>
      <c r="V7571">
        <f t="shared" si="473"/>
        <v>0</v>
      </c>
      <c r="W7571" s="22">
        <f t="shared" si="474"/>
        <v>0</v>
      </c>
    </row>
    <row r="7572" spans="1:23" hidden="1" x14ac:dyDescent="0.25">
      <c r="A7572" s="41">
        <v>46179</v>
      </c>
      <c r="B7572" s="42" t="s">
        <v>334</v>
      </c>
      <c r="C7572" s="42" t="s">
        <v>1399</v>
      </c>
      <c r="D7572" s="42"/>
      <c r="E7572" s="42"/>
      <c r="F7572" s="42" t="s">
        <v>3604</v>
      </c>
      <c r="G7572" s="42" t="s">
        <v>3610</v>
      </c>
      <c r="H7572" s="42" t="s">
        <v>289</v>
      </c>
      <c r="I7572" s="42">
        <v>1</v>
      </c>
      <c r="J7572" s="43">
        <v>170</v>
      </c>
      <c r="K7572" s="43">
        <v>0</v>
      </c>
      <c r="L7572" s="44">
        <v>0</v>
      </c>
      <c r="M7572" s="42"/>
      <c r="N7572" s="42"/>
      <c r="O7572" s="44"/>
      <c r="P7572" s="44"/>
      <c r="Q7572" s="43">
        <v>170</v>
      </c>
      <c r="R7572" s="43">
        <v>0</v>
      </c>
      <c r="S7572" s="5">
        <f t="shared" si="475"/>
        <v>40402.879203922879</v>
      </c>
      <c r="T7572" cm="1">
        <f t="array" ref="T7572">IF(OR(B7572="MAL ALIMI", B7572="ÜRETİM GİRİŞ"), MIN(I7572, MAX(0, I7572 + SUM(SUMIFS($I$1:I7571, $C$1:C7571, C7572, $B$1:B7571, {"MAL ALIMI","ÜRETİM GİRİŞ"})) - VLOOKUP(C7572, 'STOK RAPORU'!$C$2:$I$1000, 4, 0))), 0)</f>
        <v>0</v>
      </c>
      <c r="U7572" s="22">
        <f t="shared" si="472"/>
        <v>0</v>
      </c>
      <c r="V7572">
        <f t="shared" si="473"/>
        <v>0</v>
      </c>
      <c r="W7572" s="22">
        <f t="shared" si="474"/>
        <v>0</v>
      </c>
    </row>
    <row r="7573" spans="1:23" hidden="1" x14ac:dyDescent="0.25">
      <c r="A7573" s="41">
        <v>46179</v>
      </c>
      <c r="B7573" s="42" t="s">
        <v>334</v>
      </c>
      <c r="C7573" s="42" t="s">
        <v>158</v>
      </c>
      <c r="D7573" s="42"/>
      <c r="E7573" s="42"/>
      <c r="F7573" s="42" t="s">
        <v>3604</v>
      </c>
      <c r="G7573" s="42" t="s">
        <v>3610</v>
      </c>
      <c r="H7573" s="42" t="s">
        <v>289</v>
      </c>
      <c r="I7573" s="42">
        <v>1</v>
      </c>
      <c r="J7573" s="43">
        <v>150</v>
      </c>
      <c r="K7573" s="43">
        <v>0</v>
      </c>
      <c r="L7573" s="44">
        <v>0</v>
      </c>
      <c r="M7573" s="42"/>
      <c r="N7573" s="42"/>
      <c r="O7573" s="44"/>
      <c r="P7573" s="44"/>
      <c r="Q7573" s="43">
        <v>150</v>
      </c>
      <c r="R7573" s="43">
        <v>0</v>
      </c>
      <c r="S7573" s="5">
        <f t="shared" si="475"/>
        <v>40552.879203922879</v>
      </c>
      <c r="T7573" cm="1">
        <f t="array" ref="T7573">IF(OR(B7573="MAL ALIMI", B7573="ÜRETİM GİRİŞ"), MIN(I7573, MAX(0, I7573 + SUM(SUMIFS($I$1:I7572, $C$1:C7572, C7573, $B$1:B7572, {"MAL ALIMI","ÜRETİM GİRİŞ"})) - VLOOKUP(C7573, 'STOK RAPORU'!$C$2:$I$1000, 4, 0))), 0)</f>
        <v>0</v>
      </c>
      <c r="U7573" s="22">
        <f t="shared" si="472"/>
        <v>0</v>
      </c>
      <c r="V7573">
        <f t="shared" si="473"/>
        <v>0</v>
      </c>
      <c r="W7573" s="22">
        <f t="shared" si="474"/>
        <v>0</v>
      </c>
    </row>
    <row r="7574" spans="1:23" hidden="1" x14ac:dyDescent="0.25">
      <c r="A7574" s="3">
        <v>46179</v>
      </c>
      <c r="B7574" s="46" t="s">
        <v>334</v>
      </c>
      <c r="C7574" s="4" t="s">
        <v>60</v>
      </c>
      <c r="D7574" s="4"/>
      <c r="E7574" s="4"/>
      <c r="F7574" s="4" t="s">
        <v>3605</v>
      </c>
      <c r="G7574" s="4" t="s">
        <v>336</v>
      </c>
      <c r="H7574" s="4" t="s">
        <v>289</v>
      </c>
      <c r="I7574" s="4">
        <v>0.05</v>
      </c>
      <c r="J7574" s="21">
        <v>1200</v>
      </c>
      <c r="K7574" s="21">
        <v>0</v>
      </c>
      <c r="L7574" s="5">
        <v>0</v>
      </c>
      <c r="M7574" s="4"/>
      <c r="N7574" s="4"/>
      <c r="O7574" s="5"/>
      <c r="P7574" s="5"/>
      <c r="Q7574" s="21">
        <v>60</v>
      </c>
      <c r="R7574" s="21">
        <v>0</v>
      </c>
      <c r="S7574" s="5">
        <f t="shared" si="475"/>
        <v>40612.879203922879</v>
      </c>
      <c r="T7574" cm="1">
        <f t="array" ref="T7574">IF(OR(B7574="MAL ALIMI", B7574="ÜRETİM GİRİŞ"), MIN(I7574, MAX(0, I7574 + SUM(SUMIFS($I$1:I7573, $C$1:C7573, C7574, $B$1:B7573, {"MAL ALIMI","ÜRETİM GİRİŞ"})) - VLOOKUP(C7574, 'STOK RAPORU'!$C$2:$I$1000, 4, 0))), 0)</f>
        <v>0</v>
      </c>
      <c r="U7574" s="22">
        <f t="shared" si="472"/>
        <v>0</v>
      </c>
      <c r="V7574">
        <f t="shared" si="473"/>
        <v>0</v>
      </c>
      <c r="W7574" s="22">
        <f t="shared" si="474"/>
        <v>0</v>
      </c>
    </row>
    <row r="7575" spans="1:23" hidden="1" x14ac:dyDescent="0.25">
      <c r="A7575" s="3">
        <v>46179</v>
      </c>
      <c r="B7575" s="46" t="s">
        <v>334</v>
      </c>
      <c r="C7575" s="4" t="s">
        <v>691</v>
      </c>
      <c r="D7575" s="4"/>
      <c r="E7575" s="4" t="s">
        <v>921</v>
      </c>
      <c r="F7575" s="4" t="s">
        <v>3606</v>
      </c>
      <c r="G7575" s="4" t="s">
        <v>336</v>
      </c>
      <c r="H7575" s="4" t="s">
        <v>380</v>
      </c>
      <c r="I7575" s="4">
        <v>0.3</v>
      </c>
      <c r="J7575" s="21">
        <v>250</v>
      </c>
      <c r="K7575" s="21">
        <v>75</v>
      </c>
      <c r="L7575" s="5">
        <v>0</v>
      </c>
      <c r="M7575" s="4"/>
      <c r="N7575" s="4"/>
      <c r="O7575" s="5"/>
      <c r="P7575" s="5"/>
      <c r="Q7575" s="21">
        <v>0</v>
      </c>
      <c r="R7575" s="21">
        <v>0</v>
      </c>
      <c r="S7575" s="5">
        <f t="shared" si="475"/>
        <v>40612.879203922879</v>
      </c>
      <c r="T7575" cm="1">
        <f t="array" ref="T7575">IF(OR(B7575="MAL ALIMI", B7575="ÜRETİM GİRİŞ"), MIN(I7575, MAX(0, I7575 + SUM(SUMIFS($I$1:I7574, $C$1:C7574, C7575, $B$1:B7574, {"MAL ALIMI","ÜRETİM GİRİŞ"})) - VLOOKUP(C7575, 'STOK RAPORU'!$C$2:$I$1000, 4, 0))), 0)</f>
        <v>0</v>
      </c>
      <c r="U7575" s="22">
        <f t="shared" si="472"/>
        <v>0</v>
      </c>
      <c r="V7575">
        <f t="shared" si="473"/>
        <v>0</v>
      </c>
      <c r="W7575" s="22">
        <f t="shared" si="474"/>
        <v>0</v>
      </c>
    </row>
    <row r="7576" spans="1:23" hidden="1" x14ac:dyDescent="0.25">
      <c r="A7576" s="3">
        <v>46179</v>
      </c>
      <c r="B7576" s="46" t="s">
        <v>334</v>
      </c>
      <c r="C7576" s="4" t="s">
        <v>253</v>
      </c>
      <c r="D7576" s="4"/>
      <c r="E7576" s="4" t="s">
        <v>921</v>
      </c>
      <c r="F7576" s="4" t="s">
        <v>3606</v>
      </c>
      <c r="G7576" s="4" t="s">
        <v>336</v>
      </c>
      <c r="H7576" s="4" t="s">
        <v>380</v>
      </c>
      <c r="I7576" s="4">
        <v>0.3</v>
      </c>
      <c r="J7576" s="21">
        <v>250</v>
      </c>
      <c r="K7576" s="21">
        <v>75</v>
      </c>
      <c r="L7576" s="5">
        <v>0</v>
      </c>
      <c r="M7576" s="4"/>
      <c r="N7576" s="4"/>
      <c r="O7576" s="5"/>
      <c r="P7576" s="5"/>
      <c r="Q7576" s="21">
        <v>0</v>
      </c>
      <c r="R7576" s="21">
        <v>0</v>
      </c>
      <c r="S7576" s="5">
        <f t="shared" si="475"/>
        <v>40612.879203922879</v>
      </c>
      <c r="T7576" cm="1">
        <f t="array" ref="T7576">IF(OR(B7576="MAL ALIMI", B7576="ÜRETİM GİRİŞ"), MIN(I7576, MAX(0, I7576 + SUM(SUMIFS($I$1:I7575, $C$1:C7575, C7576, $B$1:B7575, {"MAL ALIMI","ÜRETİM GİRİŞ"})) - VLOOKUP(C7576, 'STOK RAPORU'!$C$2:$I$1000, 4, 0))), 0)</f>
        <v>0</v>
      </c>
      <c r="U7576" s="22">
        <f t="shared" si="472"/>
        <v>0</v>
      </c>
      <c r="V7576">
        <f t="shared" si="473"/>
        <v>0</v>
      </c>
      <c r="W7576" s="22">
        <f t="shared" si="474"/>
        <v>0</v>
      </c>
    </row>
    <row r="7577" spans="1:23" hidden="1" x14ac:dyDescent="0.25">
      <c r="A7577" s="3">
        <v>46179</v>
      </c>
      <c r="B7577" s="46" t="s">
        <v>334</v>
      </c>
      <c r="C7577" s="4" t="s">
        <v>166</v>
      </c>
      <c r="D7577" s="4"/>
      <c r="E7577" s="4"/>
      <c r="F7577" s="4" t="s">
        <v>3607</v>
      </c>
      <c r="G7577" s="4" t="s">
        <v>336</v>
      </c>
      <c r="H7577" s="4" t="s">
        <v>289</v>
      </c>
      <c r="I7577" s="4">
        <v>7.1428571428571425E-2</v>
      </c>
      <c r="J7577" s="21">
        <v>770</v>
      </c>
      <c r="K7577" s="21">
        <v>0</v>
      </c>
      <c r="L7577" s="5">
        <v>0</v>
      </c>
      <c r="M7577" s="4"/>
      <c r="N7577" s="4"/>
      <c r="O7577" s="5"/>
      <c r="P7577" s="5"/>
      <c r="Q7577" s="21">
        <v>55</v>
      </c>
      <c r="R7577" s="21">
        <v>0</v>
      </c>
      <c r="S7577" s="5">
        <f t="shared" si="475"/>
        <v>40667.879203922879</v>
      </c>
      <c r="T7577" cm="1">
        <f t="array" ref="T7577">IF(OR(B7577="MAL ALIMI", B7577="ÜRETİM GİRİŞ"), MIN(I7577, MAX(0, I7577 + SUM(SUMIFS($I$1:I7576, $C$1:C7576, C7577, $B$1:B7576, {"MAL ALIMI","ÜRETİM GİRİŞ"})) - VLOOKUP(C7577, 'STOK RAPORU'!$C$2:$I$1000, 4, 0))), 0)</f>
        <v>0</v>
      </c>
      <c r="U7577" s="22">
        <f t="shared" si="472"/>
        <v>0</v>
      </c>
      <c r="V7577">
        <f t="shared" si="473"/>
        <v>0</v>
      </c>
      <c r="W7577" s="22">
        <f t="shared" si="474"/>
        <v>0</v>
      </c>
    </row>
    <row r="7578" spans="1:23" hidden="1" x14ac:dyDescent="0.25">
      <c r="A7578" s="3">
        <v>46179</v>
      </c>
      <c r="B7578" s="46" t="s">
        <v>334</v>
      </c>
      <c r="C7578" s="4" t="s">
        <v>130</v>
      </c>
      <c r="D7578" s="4"/>
      <c r="E7578" s="4"/>
      <c r="F7578" s="4" t="s">
        <v>3607</v>
      </c>
      <c r="G7578" s="4" t="s">
        <v>336</v>
      </c>
      <c r="H7578" s="4" t="s">
        <v>289</v>
      </c>
      <c r="I7578" s="4">
        <v>7.7777777777777779E-2</v>
      </c>
      <c r="J7578" s="21">
        <v>450</v>
      </c>
      <c r="K7578" s="21">
        <v>0</v>
      </c>
      <c r="L7578" s="5">
        <v>0</v>
      </c>
      <c r="M7578" s="4"/>
      <c r="N7578" s="4"/>
      <c r="O7578" s="5"/>
      <c r="P7578" s="5"/>
      <c r="Q7578" s="21">
        <v>35</v>
      </c>
      <c r="R7578" s="21">
        <v>0</v>
      </c>
      <c r="S7578" s="5">
        <f t="shared" si="475"/>
        <v>40702.879203922879</v>
      </c>
      <c r="T7578" cm="1">
        <f t="array" ref="T7578">IF(OR(B7578="MAL ALIMI", B7578="ÜRETİM GİRİŞ"), MIN(I7578, MAX(0, I7578 + SUM(SUMIFS($I$1:I7577, $C$1:C7577, C7578, $B$1:B7577, {"MAL ALIMI","ÜRETİM GİRİŞ"})) - VLOOKUP(C7578, 'STOK RAPORU'!$C$2:$I$1000, 4, 0))), 0)</f>
        <v>0</v>
      </c>
      <c r="U7578" s="22">
        <f t="shared" si="472"/>
        <v>0</v>
      </c>
      <c r="V7578">
        <f t="shared" si="473"/>
        <v>0</v>
      </c>
      <c r="W7578" s="22">
        <f t="shared" si="474"/>
        <v>0</v>
      </c>
    </row>
    <row r="7579" spans="1:23" hidden="1" x14ac:dyDescent="0.25">
      <c r="A7579" s="3">
        <v>46179</v>
      </c>
      <c r="B7579" s="46" t="s">
        <v>334</v>
      </c>
      <c r="C7579" s="4" t="s">
        <v>1024</v>
      </c>
      <c r="D7579" s="4"/>
      <c r="E7579" s="4"/>
      <c r="F7579" s="4" t="s">
        <v>3608</v>
      </c>
      <c r="G7579" s="4" t="s">
        <v>336</v>
      </c>
      <c r="H7579" s="4" t="s">
        <v>289</v>
      </c>
      <c r="I7579" s="4">
        <v>2</v>
      </c>
      <c r="J7579" s="21">
        <v>65</v>
      </c>
      <c r="K7579" s="21">
        <v>0</v>
      </c>
      <c r="L7579" s="5">
        <v>0</v>
      </c>
      <c r="M7579" s="4"/>
      <c r="N7579" s="4"/>
      <c r="O7579" s="5"/>
      <c r="P7579" s="5"/>
      <c r="Q7579" s="21">
        <v>130</v>
      </c>
      <c r="R7579" s="21">
        <v>0</v>
      </c>
      <c r="S7579" s="5">
        <f t="shared" si="475"/>
        <v>40832.879203922879</v>
      </c>
      <c r="T7579" cm="1">
        <f t="array" ref="T7579">IF(OR(B7579="MAL ALIMI", B7579="ÜRETİM GİRİŞ"), MIN(I7579, MAX(0, I7579 + SUM(SUMIFS($I$1:I7578, $C$1:C7578, C7579, $B$1:B7578, {"MAL ALIMI","ÜRETİM GİRİŞ"})) - VLOOKUP(C7579, 'STOK RAPORU'!$C$2:$I$1000, 4, 0))), 0)</f>
        <v>0</v>
      </c>
      <c r="U7579" s="22">
        <f t="shared" si="472"/>
        <v>0</v>
      </c>
      <c r="V7579">
        <f t="shared" si="473"/>
        <v>0</v>
      </c>
      <c r="W7579" s="22">
        <f t="shared" si="474"/>
        <v>0</v>
      </c>
    </row>
    <row r="7580" spans="1:23" hidden="1" x14ac:dyDescent="0.25">
      <c r="A7580" s="3">
        <v>46179</v>
      </c>
      <c r="B7580" s="46" t="s">
        <v>334</v>
      </c>
      <c r="C7580" s="4" t="s">
        <v>133</v>
      </c>
      <c r="D7580" s="4"/>
      <c r="E7580" s="4" t="s">
        <v>921</v>
      </c>
      <c r="F7580" s="4" t="s">
        <v>3609</v>
      </c>
      <c r="G7580" s="4" t="s">
        <v>336</v>
      </c>
      <c r="H7580" s="4" t="s">
        <v>380</v>
      </c>
      <c r="I7580" s="4">
        <v>0.24</v>
      </c>
      <c r="J7580" s="21">
        <v>400</v>
      </c>
      <c r="K7580" s="21">
        <v>96</v>
      </c>
      <c r="L7580" s="5">
        <v>0</v>
      </c>
      <c r="M7580" s="4"/>
      <c r="N7580" s="4"/>
      <c r="O7580" s="5"/>
      <c r="P7580" s="5"/>
      <c r="Q7580" s="21">
        <v>0</v>
      </c>
      <c r="R7580" s="21">
        <v>0</v>
      </c>
      <c r="S7580" s="5">
        <f t="shared" si="475"/>
        <v>40832.879203922879</v>
      </c>
      <c r="T7580" cm="1">
        <f t="array" ref="T7580">IF(OR(B7580="MAL ALIMI", B7580="ÜRETİM GİRİŞ"), MIN(I7580, MAX(0, I7580 + SUM(SUMIFS($I$1:I7579, $C$1:C7579, C7580, $B$1:B7579, {"MAL ALIMI","ÜRETİM GİRİŞ"})) - VLOOKUP(C7580, 'STOK RAPORU'!$C$2:$I$1000, 4, 0))), 0)</f>
        <v>0</v>
      </c>
      <c r="U7580" s="22">
        <f t="shared" si="472"/>
        <v>0</v>
      </c>
      <c r="V7580">
        <f t="shared" si="473"/>
        <v>0</v>
      </c>
      <c r="W7580" s="22">
        <f t="shared" si="474"/>
        <v>0</v>
      </c>
    </row>
    <row r="7581" spans="1:23" hidden="1" x14ac:dyDescent="0.25">
      <c r="A7581" s="3">
        <v>46179</v>
      </c>
      <c r="B7581" s="46" t="s">
        <v>334</v>
      </c>
      <c r="C7581" s="4" t="s">
        <v>1041</v>
      </c>
      <c r="D7581" s="4"/>
      <c r="E7581" s="4" t="s">
        <v>921</v>
      </c>
      <c r="F7581" s="4" t="s">
        <v>3609</v>
      </c>
      <c r="G7581" s="4" t="s">
        <v>336</v>
      </c>
      <c r="H7581" s="4" t="s">
        <v>380</v>
      </c>
      <c r="I7581" s="4">
        <v>1.02</v>
      </c>
      <c r="J7581" s="21">
        <v>250</v>
      </c>
      <c r="K7581" s="21">
        <v>255</v>
      </c>
      <c r="L7581" s="5">
        <v>0</v>
      </c>
      <c r="M7581" s="4"/>
      <c r="N7581" s="4"/>
      <c r="O7581" s="5"/>
      <c r="P7581" s="5"/>
      <c r="Q7581" s="21">
        <v>0</v>
      </c>
      <c r="R7581" s="21">
        <v>0</v>
      </c>
      <c r="S7581" s="5">
        <f t="shared" si="475"/>
        <v>40832.879203922879</v>
      </c>
      <c r="T7581" cm="1">
        <f t="array" ref="T7581">IF(OR(B7581="MAL ALIMI", B7581="ÜRETİM GİRİŞ"), MIN(I7581, MAX(0, I7581 + SUM(SUMIFS($I$1:I7580, $C$1:C7580, C7581, $B$1:B7580, {"MAL ALIMI","ÜRETİM GİRİŞ"})) - VLOOKUP(C7581, 'STOK RAPORU'!$C$2:$I$1000, 4, 0))), 0)</f>
        <v>0</v>
      </c>
      <c r="U7581" s="22">
        <f t="shared" si="472"/>
        <v>0</v>
      </c>
      <c r="V7581">
        <f t="shared" si="473"/>
        <v>0</v>
      </c>
      <c r="W7581" s="22">
        <f t="shared" si="474"/>
        <v>0</v>
      </c>
    </row>
    <row r="7582" spans="1:23" hidden="1" x14ac:dyDescent="0.25">
      <c r="A7582" s="3">
        <v>46179</v>
      </c>
      <c r="B7582" s="46" t="s">
        <v>334</v>
      </c>
      <c r="C7582" s="4" t="s">
        <v>253</v>
      </c>
      <c r="D7582" s="4"/>
      <c r="E7582" s="4" t="s">
        <v>921</v>
      </c>
      <c r="F7582" s="4" t="s">
        <v>3609</v>
      </c>
      <c r="G7582" s="4" t="s">
        <v>336</v>
      </c>
      <c r="H7582" s="4" t="s">
        <v>380</v>
      </c>
      <c r="I7582" s="4">
        <v>0.3</v>
      </c>
      <c r="J7582" s="21">
        <v>250</v>
      </c>
      <c r="K7582" s="21">
        <v>75</v>
      </c>
      <c r="L7582" s="5">
        <v>0</v>
      </c>
      <c r="M7582" s="4"/>
      <c r="N7582" s="4"/>
      <c r="O7582" s="5"/>
      <c r="P7582" s="5"/>
      <c r="Q7582" s="21">
        <v>0</v>
      </c>
      <c r="R7582" s="21">
        <v>0</v>
      </c>
      <c r="S7582" s="5">
        <f t="shared" si="475"/>
        <v>40832.879203922879</v>
      </c>
      <c r="T7582" cm="1">
        <f t="array" ref="T7582">IF(OR(B7582="MAL ALIMI", B7582="ÜRETİM GİRİŞ"), MIN(I7582, MAX(0, I7582 + SUM(SUMIFS($I$1:I7581, $C$1:C7581, C7582, $B$1:B7581, {"MAL ALIMI","ÜRETİM GİRİŞ"})) - VLOOKUP(C7582, 'STOK RAPORU'!$C$2:$I$1000, 4, 0))), 0)</f>
        <v>0</v>
      </c>
      <c r="U7582" s="22">
        <f t="shared" si="472"/>
        <v>0</v>
      </c>
      <c r="V7582">
        <f t="shared" si="473"/>
        <v>0</v>
      </c>
      <c r="W7582" s="22">
        <f t="shared" si="474"/>
        <v>0</v>
      </c>
    </row>
    <row r="7583" spans="1:23" hidden="1" x14ac:dyDescent="0.25">
      <c r="A7583" s="3">
        <v>46179</v>
      </c>
      <c r="B7583" s="46" t="s">
        <v>334</v>
      </c>
      <c r="C7583" s="4" t="s">
        <v>206</v>
      </c>
      <c r="D7583" s="4"/>
      <c r="E7583" s="4" t="s">
        <v>921</v>
      </c>
      <c r="F7583" s="4" t="s">
        <v>3609</v>
      </c>
      <c r="G7583" s="4" t="s">
        <v>336</v>
      </c>
      <c r="H7583" s="4" t="s">
        <v>380</v>
      </c>
      <c r="I7583" s="4">
        <v>1</v>
      </c>
      <c r="J7583" s="21">
        <v>290</v>
      </c>
      <c r="K7583" s="21">
        <v>290</v>
      </c>
      <c r="L7583" s="5">
        <v>0</v>
      </c>
      <c r="M7583" s="4"/>
      <c r="N7583" s="4"/>
      <c r="O7583" s="5"/>
      <c r="P7583" s="5"/>
      <c r="Q7583" s="21">
        <v>0</v>
      </c>
      <c r="R7583" s="21">
        <v>0</v>
      </c>
      <c r="S7583" s="5">
        <f t="shared" si="475"/>
        <v>40832.879203922879</v>
      </c>
      <c r="T7583" cm="1">
        <f t="array" ref="T7583">IF(OR(B7583="MAL ALIMI", B7583="ÜRETİM GİRİŞ"), MIN(I7583, MAX(0, I7583 + SUM(SUMIFS($I$1:I7582, $C$1:C7582, C7583, $B$1:B7582, {"MAL ALIMI","ÜRETİM GİRİŞ"})) - VLOOKUP(C7583, 'STOK RAPORU'!$C$2:$I$1000, 4, 0))), 0)</f>
        <v>0</v>
      </c>
      <c r="U7583" s="22">
        <f t="shared" si="472"/>
        <v>0</v>
      </c>
      <c r="V7583">
        <f t="shared" si="473"/>
        <v>0</v>
      </c>
      <c r="W7583" s="22">
        <f t="shared" si="474"/>
        <v>0</v>
      </c>
    </row>
    <row r="7584" spans="1:23" hidden="1" x14ac:dyDescent="0.25">
      <c r="A7584" s="3">
        <v>46179</v>
      </c>
      <c r="B7584" s="46" t="s">
        <v>334</v>
      </c>
      <c r="C7584" s="4" t="s">
        <v>158</v>
      </c>
      <c r="D7584" s="4"/>
      <c r="E7584" s="4" t="s">
        <v>921</v>
      </c>
      <c r="F7584" s="4" t="s">
        <v>3609</v>
      </c>
      <c r="G7584" s="4" t="s">
        <v>336</v>
      </c>
      <c r="H7584" s="4" t="s">
        <v>380</v>
      </c>
      <c r="I7584" s="4">
        <v>2</v>
      </c>
      <c r="J7584" s="21">
        <v>150</v>
      </c>
      <c r="K7584" s="21">
        <v>300</v>
      </c>
      <c r="L7584" s="5">
        <v>0</v>
      </c>
      <c r="M7584" s="4"/>
      <c r="N7584" s="4"/>
      <c r="O7584" s="5"/>
      <c r="P7584" s="5"/>
      <c r="Q7584" s="21">
        <v>0</v>
      </c>
      <c r="R7584" s="21">
        <v>0</v>
      </c>
      <c r="S7584" s="5">
        <f t="shared" si="475"/>
        <v>40832.879203922879</v>
      </c>
      <c r="T7584" cm="1">
        <f t="array" ref="T7584">IF(OR(B7584="MAL ALIMI", B7584="ÜRETİM GİRİŞ"), MIN(I7584, MAX(0, I7584 + SUM(SUMIFS($I$1:I7583, $C$1:C7583, C7584, $B$1:B7583, {"MAL ALIMI","ÜRETİM GİRİŞ"})) - VLOOKUP(C7584, 'STOK RAPORU'!$C$2:$I$1000, 4, 0))), 0)</f>
        <v>0</v>
      </c>
      <c r="U7584" s="22">
        <f t="shared" si="472"/>
        <v>0</v>
      </c>
      <c r="V7584">
        <f t="shared" si="473"/>
        <v>0</v>
      </c>
      <c r="W7584" s="22">
        <f t="shared" si="474"/>
        <v>0</v>
      </c>
    </row>
    <row r="7585" spans="1:23" hidden="1" x14ac:dyDescent="0.25">
      <c r="A7585" s="3">
        <v>46179</v>
      </c>
      <c r="B7585" s="46" t="s">
        <v>334</v>
      </c>
      <c r="C7585" s="4" t="s">
        <v>2607</v>
      </c>
      <c r="D7585" s="4"/>
      <c r="E7585" s="4" t="s">
        <v>921</v>
      </c>
      <c r="F7585" s="4" t="s">
        <v>3609</v>
      </c>
      <c r="G7585" s="4" t="s">
        <v>336</v>
      </c>
      <c r="H7585" s="4" t="s">
        <v>380</v>
      </c>
      <c r="I7585" s="4">
        <v>0.1</v>
      </c>
      <c r="J7585" s="21">
        <v>450</v>
      </c>
      <c r="K7585" s="21">
        <v>45</v>
      </c>
      <c r="L7585" s="5">
        <v>0</v>
      </c>
      <c r="M7585" s="4"/>
      <c r="N7585" s="4"/>
      <c r="O7585" s="5"/>
      <c r="P7585" s="5"/>
      <c r="Q7585" s="21">
        <v>0</v>
      </c>
      <c r="R7585" s="21">
        <v>0</v>
      </c>
      <c r="S7585" s="5">
        <f t="shared" si="475"/>
        <v>40832.879203922879</v>
      </c>
      <c r="T7585" cm="1">
        <f t="array" ref="T7585">IF(OR(B7585="MAL ALIMI", B7585="ÜRETİM GİRİŞ"), MIN(I7585, MAX(0, I7585 + SUM(SUMIFS($I$1:I7584, $C$1:C7584, C7585, $B$1:B7584, {"MAL ALIMI","ÜRETİM GİRİŞ"})) - VLOOKUP(C7585, 'STOK RAPORU'!$C$2:$I$1000, 4, 0))), 0)</f>
        <v>0</v>
      </c>
      <c r="U7585" s="22">
        <f t="shared" si="472"/>
        <v>0</v>
      </c>
      <c r="V7585">
        <f t="shared" si="473"/>
        <v>0</v>
      </c>
      <c r="W7585" s="22">
        <f t="shared" si="474"/>
        <v>0</v>
      </c>
    </row>
    <row r="7586" spans="1:23" hidden="1" x14ac:dyDescent="0.25">
      <c r="A7586" s="3">
        <v>46179</v>
      </c>
      <c r="B7586" s="46" t="s">
        <v>334</v>
      </c>
      <c r="C7586" s="4" t="s">
        <v>1500</v>
      </c>
      <c r="D7586" s="4"/>
      <c r="E7586" s="4" t="s">
        <v>921</v>
      </c>
      <c r="F7586" s="4" t="s">
        <v>3609</v>
      </c>
      <c r="G7586" s="4" t="s">
        <v>336</v>
      </c>
      <c r="H7586" s="4" t="s">
        <v>380</v>
      </c>
      <c r="I7586" s="4">
        <v>1</v>
      </c>
      <c r="J7586" s="21">
        <v>275</v>
      </c>
      <c r="K7586" s="21">
        <v>275</v>
      </c>
      <c r="L7586" s="5">
        <v>0</v>
      </c>
      <c r="M7586" s="4"/>
      <c r="N7586" s="4"/>
      <c r="O7586" s="5"/>
      <c r="P7586" s="5"/>
      <c r="Q7586" s="21">
        <v>0</v>
      </c>
      <c r="R7586" s="21">
        <v>0</v>
      </c>
      <c r="S7586" s="5">
        <f t="shared" si="475"/>
        <v>40832.879203922879</v>
      </c>
      <c r="T7586" cm="1">
        <f t="array" ref="T7586">IF(OR(B7586="MAL ALIMI", B7586="ÜRETİM GİRİŞ"), MIN(I7586, MAX(0, I7586 + SUM(SUMIFS($I$1:I7585, $C$1:C7585, C7586, $B$1:B7585, {"MAL ALIMI","ÜRETİM GİRİŞ"})) - VLOOKUP(C7586, 'STOK RAPORU'!$C$2:$I$1000, 4, 0))), 0)</f>
        <v>0</v>
      </c>
      <c r="U7586" s="22">
        <f t="shared" si="472"/>
        <v>0</v>
      </c>
      <c r="V7586">
        <f t="shared" si="473"/>
        <v>0</v>
      </c>
      <c r="W7586" s="22">
        <f t="shared" si="474"/>
        <v>0</v>
      </c>
    </row>
    <row r="7587" spans="1:23" hidden="1" x14ac:dyDescent="0.25">
      <c r="A7587" s="3">
        <v>46180</v>
      </c>
      <c r="B7587" s="46" t="s">
        <v>334</v>
      </c>
      <c r="C7587" s="4" t="s">
        <v>647</v>
      </c>
      <c r="D7587" s="4"/>
      <c r="E7587" s="4"/>
      <c r="F7587" s="4" t="s">
        <v>3612</v>
      </c>
      <c r="G7587" s="4" t="s">
        <v>336</v>
      </c>
      <c r="H7587" s="4" t="s">
        <v>289</v>
      </c>
      <c r="I7587" s="4">
        <v>0.2</v>
      </c>
      <c r="J7587" s="21">
        <v>250</v>
      </c>
      <c r="K7587" s="21">
        <v>0</v>
      </c>
      <c r="L7587" s="5">
        <v>0</v>
      </c>
      <c r="M7587" s="4"/>
      <c r="N7587" s="4"/>
      <c r="O7587" s="5"/>
      <c r="P7587" s="5"/>
      <c r="Q7587" s="21">
        <v>50</v>
      </c>
      <c r="R7587" s="21">
        <v>0</v>
      </c>
      <c r="S7587" s="5">
        <f t="shared" si="475"/>
        <v>40882.879203922879</v>
      </c>
      <c r="T7587" cm="1">
        <f t="array" ref="T7587">IF(OR(B7587="MAL ALIMI", B7587="ÜRETİM GİRİŞ"), MIN(I7587, MAX(0, I7587 + SUM(SUMIFS($I$1:I7586, $C$1:C7586, C7587, $B$1:B7586, {"MAL ALIMI","ÜRETİM GİRİŞ"})) - VLOOKUP(C7587, 'STOK RAPORU'!$C$2:$I$1000, 4, 0))), 0)</f>
        <v>0</v>
      </c>
      <c r="U7587" s="22">
        <f t="shared" si="472"/>
        <v>0</v>
      </c>
      <c r="V7587">
        <f t="shared" si="473"/>
        <v>0</v>
      </c>
      <c r="W7587" s="22">
        <f t="shared" si="474"/>
        <v>0</v>
      </c>
    </row>
    <row r="7588" spans="1:23" hidden="1" x14ac:dyDescent="0.25">
      <c r="A7588" s="3">
        <v>46180</v>
      </c>
      <c r="B7588" s="46" t="s">
        <v>334</v>
      </c>
      <c r="C7588" s="4" t="s">
        <v>679</v>
      </c>
      <c r="D7588" s="4"/>
      <c r="E7588" s="4"/>
      <c r="F7588" s="4" t="s">
        <v>3613</v>
      </c>
      <c r="G7588" s="4" t="s">
        <v>336</v>
      </c>
      <c r="H7588" s="4" t="s">
        <v>289</v>
      </c>
      <c r="I7588" s="4">
        <v>0.25</v>
      </c>
      <c r="J7588" s="21">
        <v>400</v>
      </c>
      <c r="K7588" s="21">
        <v>0</v>
      </c>
      <c r="L7588" s="5">
        <v>0</v>
      </c>
      <c r="M7588" s="4"/>
      <c r="N7588" s="4"/>
      <c r="O7588" s="5"/>
      <c r="P7588" s="5"/>
      <c r="Q7588" s="21">
        <v>100</v>
      </c>
      <c r="R7588" s="21">
        <v>0</v>
      </c>
      <c r="S7588" s="5">
        <f t="shared" si="475"/>
        <v>40982.879203922879</v>
      </c>
      <c r="T7588" cm="1">
        <f t="array" ref="T7588">IF(OR(B7588="MAL ALIMI", B7588="ÜRETİM GİRİŞ"), MIN(I7588, MAX(0, I7588 + SUM(SUMIFS($I$1:I7587, $C$1:C7587, C7588, $B$1:B7587, {"MAL ALIMI","ÜRETİM GİRİŞ"})) - VLOOKUP(C7588, 'STOK RAPORU'!$C$2:$I$1000, 4, 0))), 0)</f>
        <v>0</v>
      </c>
      <c r="U7588" s="22">
        <f t="shared" si="472"/>
        <v>0</v>
      </c>
      <c r="V7588">
        <f t="shared" si="473"/>
        <v>0</v>
      </c>
      <c r="W7588" s="22">
        <f t="shared" si="474"/>
        <v>0</v>
      </c>
    </row>
    <row r="7589" spans="1:23" hidden="1" x14ac:dyDescent="0.25">
      <c r="A7589" s="3">
        <v>46180</v>
      </c>
      <c r="B7589" s="46" t="s">
        <v>334</v>
      </c>
      <c r="C7589" s="4" t="s">
        <v>163</v>
      </c>
      <c r="D7589" s="4"/>
      <c r="E7589" s="4" t="s">
        <v>921</v>
      </c>
      <c r="F7589" s="4" t="s">
        <v>3614</v>
      </c>
      <c r="G7589" s="4" t="s">
        <v>336</v>
      </c>
      <c r="H7589" s="4" t="s">
        <v>380</v>
      </c>
      <c r="I7589" s="4">
        <v>0.21777777777777776</v>
      </c>
      <c r="J7589" s="21">
        <v>450</v>
      </c>
      <c r="K7589" s="21">
        <v>98</v>
      </c>
      <c r="L7589" s="5">
        <v>0</v>
      </c>
      <c r="M7589" s="4"/>
      <c r="N7589" s="4"/>
      <c r="O7589" s="5"/>
      <c r="P7589" s="5"/>
      <c r="Q7589" s="21">
        <v>0</v>
      </c>
      <c r="R7589" s="21">
        <v>0</v>
      </c>
      <c r="S7589" s="5">
        <f t="shared" si="475"/>
        <v>40982.879203922879</v>
      </c>
      <c r="T7589" cm="1">
        <f t="array" ref="T7589">IF(OR(B7589="MAL ALIMI", B7589="ÜRETİM GİRİŞ"), MIN(I7589, MAX(0, I7589 + SUM(SUMIFS($I$1:I7588, $C$1:C7588, C7589, $B$1:B7588, {"MAL ALIMI","ÜRETİM GİRİŞ"})) - VLOOKUP(C7589, 'STOK RAPORU'!$C$2:$I$1000, 4, 0))), 0)</f>
        <v>0</v>
      </c>
      <c r="U7589" s="22">
        <f t="shared" si="472"/>
        <v>0</v>
      </c>
      <c r="V7589">
        <f t="shared" si="473"/>
        <v>0</v>
      </c>
      <c r="W7589" s="22">
        <f t="shared" si="474"/>
        <v>0</v>
      </c>
    </row>
    <row r="7590" spans="1:23" hidden="1" x14ac:dyDescent="0.25">
      <c r="A7590" s="3">
        <v>46180</v>
      </c>
      <c r="B7590" s="46" t="s">
        <v>334</v>
      </c>
      <c r="C7590" s="4" t="s">
        <v>229</v>
      </c>
      <c r="D7590" s="4"/>
      <c r="E7590" s="4" t="s">
        <v>921</v>
      </c>
      <c r="F7590" s="4" t="s">
        <v>3614</v>
      </c>
      <c r="G7590" s="4" t="s">
        <v>336</v>
      </c>
      <c r="H7590" s="4" t="s">
        <v>380</v>
      </c>
      <c r="I7590" s="4">
        <v>1</v>
      </c>
      <c r="J7590" s="21">
        <v>200</v>
      </c>
      <c r="K7590" s="21">
        <v>200</v>
      </c>
      <c r="L7590" s="5">
        <v>0</v>
      </c>
      <c r="M7590" s="4"/>
      <c r="N7590" s="4"/>
      <c r="O7590" s="5"/>
      <c r="P7590" s="5"/>
      <c r="Q7590" s="21">
        <v>0</v>
      </c>
      <c r="R7590" s="21">
        <v>0</v>
      </c>
      <c r="S7590" s="5">
        <f t="shared" si="475"/>
        <v>40982.879203922879</v>
      </c>
      <c r="T7590" cm="1">
        <f t="array" ref="T7590">IF(OR(B7590="MAL ALIMI", B7590="ÜRETİM GİRİŞ"), MIN(I7590, MAX(0, I7590 + SUM(SUMIFS($I$1:I7589, $C$1:C7589, C7590, $B$1:B7589, {"MAL ALIMI","ÜRETİM GİRİŞ"})) - VLOOKUP(C7590, 'STOK RAPORU'!$C$2:$I$1000, 4, 0))), 0)</f>
        <v>0</v>
      </c>
      <c r="U7590" s="22">
        <f t="shared" si="472"/>
        <v>0</v>
      </c>
      <c r="V7590">
        <f t="shared" si="473"/>
        <v>0</v>
      </c>
      <c r="W7590" s="22">
        <f t="shared" si="474"/>
        <v>0</v>
      </c>
    </row>
    <row r="7591" spans="1:23" hidden="1" x14ac:dyDescent="0.25">
      <c r="A7591" s="3">
        <v>46180</v>
      </c>
      <c r="B7591" s="46" t="s">
        <v>334</v>
      </c>
      <c r="C7591" s="4" t="s">
        <v>2488</v>
      </c>
      <c r="D7591" s="4"/>
      <c r="E7591" s="4" t="s">
        <v>921</v>
      </c>
      <c r="F7591" s="4" t="s">
        <v>3615</v>
      </c>
      <c r="G7591" s="4" t="s">
        <v>336</v>
      </c>
      <c r="H7591" s="4" t="s">
        <v>380</v>
      </c>
      <c r="I7591" s="4">
        <v>0.21818181818181817</v>
      </c>
      <c r="J7591" s="21">
        <v>550</v>
      </c>
      <c r="K7591" s="21">
        <v>120</v>
      </c>
      <c r="L7591" s="5">
        <v>0</v>
      </c>
      <c r="M7591" s="4"/>
      <c r="N7591" s="4"/>
      <c r="O7591" s="5"/>
      <c r="P7591" s="5"/>
      <c r="Q7591" s="21">
        <v>0</v>
      </c>
      <c r="R7591" s="21">
        <v>0</v>
      </c>
      <c r="S7591" s="5">
        <f t="shared" si="475"/>
        <v>40982.879203922879</v>
      </c>
      <c r="T7591" cm="1">
        <f t="array" ref="T7591">IF(OR(B7591="MAL ALIMI", B7591="ÜRETİM GİRİŞ"), MIN(I7591, MAX(0, I7591 + SUM(SUMIFS($I$1:I7590, $C$1:C7590, C7591, $B$1:B7590, {"MAL ALIMI","ÜRETİM GİRİŞ"})) - VLOOKUP(C7591, 'STOK RAPORU'!$C$2:$I$1000, 4, 0))), 0)</f>
        <v>0</v>
      </c>
      <c r="U7591" s="22">
        <f t="shared" si="472"/>
        <v>0</v>
      </c>
      <c r="V7591">
        <f t="shared" si="473"/>
        <v>0</v>
      </c>
      <c r="W7591" s="22">
        <f t="shared" si="474"/>
        <v>0</v>
      </c>
    </row>
    <row r="7592" spans="1:23" hidden="1" x14ac:dyDescent="0.25">
      <c r="A7592" s="3">
        <v>46180</v>
      </c>
      <c r="B7592" s="46" t="s">
        <v>334</v>
      </c>
      <c r="C7592" s="4" t="s">
        <v>647</v>
      </c>
      <c r="D7592" s="4"/>
      <c r="E7592" s="4" t="s">
        <v>921</v>
      </c>
      <c r="F7592" s="4" t="s">
        <v>3615</v>
      </c>
      <c r="G7592" s="4" t="s">
        <v>336</v>
      </c>
      <c r="H7592" s="4" t="s">
        <v>380</v>
      </c>
      <c r="I7592" s="4">
        <v>0.2</v>
      </c>
      <c r="J7592" s="21">
        <v>375</v>
      </c>
      <c r="K7592" s="21">
        <v>75</v>
      </c>
      <c r="L7592" s="5">
        <v>0</v>
      </c>
      <c r="M7592" s="4"/>
      <c r="N7592" s="4"/>
      <c r="O7592" s="5"/>
      <c r="P7592" s="5"/>
      <c r="Q7592" s="21">
        <v>0</v>
      </c>
      <c r="R7592" s="21">
        <v>0</v>
      </c>
      <c r="S7592" s="5">
        <f t="shared" si="475"/>
        <v>40982.879203922879</v>
      </c>
      <c r="T7592" cm="1">
        <f t="array" ref="T7592">IF(OR(B7592="MAL ALIMI", B7592="ÜRETİM GİRİŞ"), MIN(I7592, MAX(0, I7592 + SUM(SUMIFS($I$1:I7591, $C$1:C7591, C7592, $B$1:B7591, {"MAL ALIMI","ÜRETİM GİRİŞ"})) - VLOOKUP(C7592, 'STOK RAPORU'!$C$2:$I$1000, 4, 0))), 0)</f>
        <v>0</v>
      </c>
      <c r="U7592" s="22">
        <f t="shared" si="472"/>
        <v>0</v>
      </c>
      <c r="V7592">
        <f t="shared" si="473"/>
        <v>0</v>
      </c>
      <c r="W7592" s="22">
        <f t="shared" si="474"/>
        <v>0</v>
      </c>
    </row>
    <row r="7593" spans="1:23" hidden="1" x14ac:dyDescent="0.25">
      <c r="A7593" s="3">
        <v>46180</v>
      </c>
      <c r="B7593" s="46" t="s">
        <v>334</v>
      </c>
      <c r="C7593" s="4" t="s">
        <v>1382</v>
      </c>
      <c r="D7593" s="4"/>
      <c r="E7593" s="4" t="s">
        <v>921</v>
      </c>
      <c r="F7593" s="4" t="s">
        <v>3616</v>
      </c>
      <c r="G7593" s="4" t="s">
        <v>336</v>
      </c>
      <c r="H7593" s="4" t="s">
        <v>380</v>
      </c>
      <c r="I7593" s="4">
        <v>1</v>
      </c>
      <c r="J7593" s="21">
        <v>250</v>
      </c>
      <c r="K7593" s="21">
        <v>250</v>
      </c>
      <c r="L7593" s="5">
        <v>0</v>
      </c>
      <c r="M7593" s="4"/>
      <c r="N7593" s="4"/>
      <c r="O7593" s="5"/>
      <c r="P7593" s="5"/>
      <c r="Q7593" s="21">
        <v>0</v>
      </c>
      <c r="R7593" s="21">
        <v>0</v>
      </c>
      <c r="S7593" s="5">
        <f t="shared" si="475"/>
        <v>40982.879203922879</v>
      </c>
      <c r="T7593" cm="1">
        <f t="array" ref="T7593">IF(OR(B7593="MAL ALIMI", B7593="ÜRETİM GİRİŞ"), MIN(I7593, MAX(0, I7593 + SUM(SUMIFS($I$1:I7592, $C$1:C7592, C7593, $B$1:B7592, {"MAL ALIMI","ÜRETİM GİRİŞ"})) - VLOOKUP(C7593, 'STOK RAPORU'!$C$2:$I$1000, 4, 0))), 0)</f>
        <v>0</v>
      </c>
      <c r="U7593" s="22">
        <f t="shared" si="472"/>
        <v>0</v>
      </c>
      <c r="V7593">
        <f t="shared" si="473"/>
        <v>0</v>
      </c>
      <c r="W7593" s="22">
        <f t="shared" si="474"/>
        <v>0</v>
      </c>
    </row>
    <row r="7594" spans="1:23" hidden="1" x14ac:dyDescent="0.25">
      <c r="A7594" s="3">
        <v>46180</v>
      </c>
      <c r="B7594" s="46" t="s">
        <v>334</v>
      </c>
      <c r="C7594" s="4" t="s">
        <v>507</v>
      </c>
      <c r="D7594" s="4"/>
      <c r="E7594" s="4" t="s">
        <v>921</v>
      </c>
      <c r="F7594" s="4" t="s">
        <v>3616</v>
      </c>
      <c r="G7594" s="4" t="s">
        <v>336</v>
      </c>
      <c r="H7594" s="4" t="s">
        <v>380</v>
      </c>
      <c r="I7594" s="4">
        <v>1</v>
      </c>
      <c r="J7594" s="21">
        <v>190</v>
      </c>
      <c r="K7594" s="21">
        <v>190</v>
      </c>
      <c r="L7594" s="5">
        <v>0</v>
      </c>
      <c r="M7594" s="4"/>
      <c r="N7594" s="4"/>
      <c r="O7594" s="5"/>
      <c r="P7594" s="5"/>
      <c r="Q7594" s="21">
        <v>0</v>
      </c>
      <c r="R7594" s="21">
        <v>0</v>
      </c>
      <c r="S7594" s="5">
        <f t="shared" si="475"/>
        <v>40982.879203922879</v>
      </c>
      <c r="T7594" cm="1">
        <f t="array" ref="T7594">IF(OR(B7594="MAL ALIMI", B7594="ÜRETİM GİRİŞ"), MIN(I7594, MAX(0, I7594 + SUM(SUMIFS($I$1:I7593, $C$1:C7593, C7594, $B$1:B7593, {"MAL ALIMI","ÜRETİM GİRİŞ"})) - VLOOKUP(C7594, 'STOK RAPORU'!$C$2:$I$1000, 4, 0))), 0)</f>
        <v>0</v>
      </c>
      <c r="U7594" s="22">
        <f t="shared" si="472"/>
        <v>0</v>
      </c>
      <c r="V7594">
        <f t="shared" si="473"/>
        <v>0</v>
      </c>
      <c r="W7594" s="22">
        <f t="shared" si="474"/>
        <v>0</v>
      </c>
    </row>
    <row r="7595" spans="1:23" hidden="1" x14ac:dyDescent="0.25">
      <c r="A7595" s="3">
        <v>46180</v>
      </c>
      <c r="B7595" s="46" t="s">
        <v>334</v>
      </c>
      <c r="C7595" s="4" t="s">
        <v>266</v>
      </c>
      <c r="D7595" s="4"/>
      <c r="E7595" s="4" t="s">
        <v>921</v>
      </c>
      <c r="F7595" s="4" t="s">
        <v>3616</v>
      </c>
      <c r="G7595" s="4" t="s">
        <v>336</v>
      </c>
      <c r="H7595" s="4" t="s">
        <v>380</v>
      </c>
      <c r="I7595" s="4">
        <v>0.27600000000000002</v>
      </c>
      <c r="J7595" s="21">
        <v>250</v>
      </c>
      <c r="K7595" s="21">
        <v>69</v>
      </c>
      <c r="L7595" s="5">
        <v>0</v>
      </c>
      <c r="M7595" s="4"/>
      <c r="N7595" s="4"/>
      <c r="O7595" s="5"/>
      <c r="P7595" s="5"/>
      <c r="Q7595" s="21">
        <v>0</v>
      </c>
      <c r="R7595" s="21">
        <v>0</v>
      </c>
      <c r="S7595" s="5">
        <f t="shared" si="475"/>
        <v>40982.879203922879</v>
      </c>
      <c r="T7595" cm="1">
        <f t="array" ref="T7595">IF(OR(B7595="MAL ALIMI", B7595="ÜRETİM GİRİŞ"), MIN(I7595, MAX(0, I7595 + SUM(SUMIFS($I$1:I7594, $C$1:C7594, C7595, $B$1:B7594, {"MAL ALIMI","ÜRETİM GİRİŞ"})) - VLOOKUP(C7595, 'STOK RAPORU'!$C$2:$I$1000, 4, 0))), 0)</f>
        <v>0</v>
      </c>
      <c r="U7595" s="22">
        <f t="shared" si="472"/>
        <v>0</v>
      </c>
      <c r="V7595">
        <f t="shared" si="473"/>
        <v>0</v>
      </c>
      <c r="W7595" s="22">
        <f t="shared" si="474"/>
        <v>0</v>
      </c>
    </row>
    <row r="7596" spans="1:23" hidden="1" x14ac:dyDescent="0.25">
      <c r="A7596" s="3">
        <v>46180</v>
      </c>
      <c r="B7596" s="46" t="s">
        <v>334</v>
      </c>
      <c r="C7596" s="4" t="s">
        <v>253</v>
      </c>
      <c r="D7596" s="4"/>
      <c r="E7596" s="4" t="s">
        <v>921</v>
      </c>
      <c r="F7596" s="4" t="s">
        <v>3616</v>
      </c>
      <c r="G7596" s="4" t="s">
        <v>336</v>
      </c>
      <c r="H7596" s="4" t="s">
        <v>380</v>
      </c>
      <c r="I7596" s="4">
        <v>0.3</v>
      </c>
      <c r="J7596" s="21">
        <v>250</v>
      </c>
      <c r="K7596" s="21">
        <v>75</v>
      </c>
      <c r="L7596" s="5">
        <v>0</v>
      </c>
      <c r="M7596" s="4"/>
      <c r="N7596" s="4"/>
      <c r="O7596" s="5"/>
      <c r="P7596" s="5"/>
      <c r="Q7596" s="21">
        <v>0</v>
      </c>
      <c r="R7596" s="21">
        <v>0</v>
      </c>
      <c r="S7596" s="5">
        <f t="shared" si="475"/>
        <v>40982.879203922879</v>
      </c>
      <c r="T7596" cm="1">
        <f t="array" ref="T7596">IF(OR(B7596="MAL ALIMI", B7596="ÜRETİM GİRİŞ"), MIN(I7596, MAX(0, I7596 + SUM(SUMIFS($I$1:I7595, $C$1:C7595, C7596, $B$1:B7595, {"MAL ALIMI","ÜRETİM GİRİŞ"})) - VLOOKUP(C7596, 'STOK RAPORU'!$C$2:$I$1000, 4, 0))), 0)</f>
        <v>0</v>
      </c>
      <c r="U7596" s="22">
        <f t="shared" si="472"/>
        <v>0</v>
      </c>
      <c r="V7596">
        <f t="shared" si="473"/>
        <v>0</v>
      </c>
      <c r="W7596" s="22">
        <f t="shared" si="474"/>
        <v>0</v>
      </c>
    </row>
    <row r="7597" spans="1:23" hidden="1" x14ac:dyDescent="0.25">
      <c r="A7597" s="3">
        <v>46180</v>
      </c>
      <c r="B7597" s="46" t="s">
        <v>334</v>
      </c>
      <c r="C7597" s="4" t="s">
        <v>237</v>
      </c>
      <c r="D7597" s="4"/>
      <c r="E7597" s="4" t="s">
        <v>921</v>
      </c>
      <c r="F7597" s="4" t="s">
        <v>3616</v>
      </c>
      <c r="G7597" s="4" t="s">
        <v>336</v>
      </c>
      <c r="H7597" s="4" t="s">
        <v>380</v>
      </c>
      <c r="I7597" s="4">
        <v>0.05</v>
      </c>
      <c r="J7597" s="21">
        <v>1800</v>
      </c>
      <c r="K7597" s="21">
        <v>90</v>
      </c>
      <c r="L7597" s="5">
        <v>0</v>
      </c>
      <c r="M7597" s="4"/>
      <c r="N7597" s="4"/>
      <c r="O7597" s="5"/>
      <c r="P7597" s="5"/>
      <c r="Q7597" s="21">
        <v>0</v>
      </c>
      <c r="R7597" s="21">
        <v>0</v>
      </c>
      <c r="S7597" s="5">
        <f t="shared" si="475"/>
        <v>40982.879203922879</v>
      </c>
      <c r="T7597" cm="1">
        <f t="array" ref="T7597">IF(OR(B7597="MAL ALIMI", B7597="ÜRETİM GİRİŞ"), MIN(I7597, MAX(0, I7597 + SUM(SUMIFS($I$1:I7596, $C$1:C7596, C7597, $B$1:B7596, {"MAL ALIMI","ÜRETİM GİRİŞ"})) - VLOOKUP(C7597, 'STOK RAPORU'!$C$2:$I$1000, 4, 0))), 0)</f>
        <v>0</v>
      </c>
      <c r="U7597" s="22">
        <f t="shared" si="472"/>
        <v>0</v>
      </c>
      <c r="V7597">
        <f t="shared" si="473"/>
        <v>0</v>
      </c>
      <c r="W7597" s="22">
        <f t="shared" si="474"/>
        <v>0</v>
      </c>
    </row>
    <row r="7598" spans="1:23" hidden="1" x14ac:dyDescent="0.25">
      <c r="A7598" s="3">
        <v>46180</v>
      </c>
      <c r="B7598" s="46" t="s">
        <v>334</v>
      </c>
      <c r="C7598" s="4" t="s">
        <v>240</v>
      </c>
      <c r="D7598" s="4"/>
      <c r="E7598" s="4" t="s">
        <v>921</v>
      </c>
      <c r="F7598" s="4" t="s">
        <v>3616</v>
      </c>
      <c r="G7598" s="4" t="s">
        <v>336</v>
      </c>
      <c r="H7598" s="4" t="s">
        <v>380</v>
      </c>
      <c r="I7598" s="4">
        <v>3.7499999999999999E-2</v>
      </c>
      <c r="J7598" s="21">
        <v>240</v>
      </c>
      <c r="K7598" s="21">
        <v>9</v>
      </c>
      <c r="L7598" s="5">
        <v>0</v>
      </c>
      <c r="M7598" s="4"/>
      <c r="N7598" s="4"/>
      <c r="O7598" s="5"/>
      <c r="P7598" s="5"/>
      <c r="Q7598" s="21">
        <v>0</v>
      </c>
      <c r="R7598" s="21">
        <v>0</v>
      </c>
      <c r="S7598" s="5">
        <f t="shared" si="475"/>
        <v>40982.879203922879</v>
      </c>
      <c r="T7598" cm="1">
        <f t="array" ref="T7598">IF(OR(B7598="MAL ALIMI", B7598="ÜRETİM GİRİŞ"), MIN(I7598, MAX(0, I7598 + SUM(SUMIFS($I$1:I7597, $C$1:C7597, C7598, $B$1:B7597, {"MAL ALIMI","ÜRETİM GİRİŞ"})) - VLOOKUP(C7598, 'STOK RAPORU'!$C$2:$I$1000, 4, 0))), 0)</f>
        <v>0</v>
      </c>
      <c r="U7598" s="22">
        <f t="shared" si="472"/>
        <v>0</v>
      </c>
      <c r="V7598">
        <f t="shared" si="473"/>
        <v>0</v>
      </c>
      <c r="W7598" s="22">
        <f t="shared" si="474"/>
        <v>0</v>
      </c>
    </row>
    <row r="7599" spans="1:23" hidden="1" x14ac:dyDescent="0.25">
      <c r="A7599" s="3">
        <v>46180</v>
      </c>
      <c r="B7599" s="46" t="s">
        <v>334</v>
      </c>
      <c r="C7599" s="4" t="s">
        <v>192</v>
      </c>
      <c r="D7599" s="4"/>
      <c r="E7599" s="4"/>
      <c r="F7599" s="4" t="s">
        <v>3617</v>
      </c>
      <c r="G7599" s="4" t="s">
        <v>336</v>
      </c>
      <c r="H7599" s="4" t="s">
        <v>289</v>
      </c>
      <c r="I7599" s="4">
        <v>0.12</v>
      </c>
      <c r="J7599" s="21">
        <v>417</v>
      </c>
      <c r="K7599" s="21">
        <v>0</v>
      </c>
      <c r="L7599" s="5">
        <v>0</v>
      </c>
      <c r="M7599" s="4"/>
      <c r="N7599" s="4"/>
      <c r="O7599" s="5"/>
      <c r="P7599" s="5"/>
      <c r="Q7599" s="21">
        <v>50.04</v>
      </c>
      <c r="R7599" s="21">
        <v>0</v>
      </c>
      <c r="S7599" s="5">
        <f t="shared" si="475"/>
        <v>41032.91920392288</v>
      </c>
      <c r="T7599" cm="1">
        <f t="array" ref="T7599">IF(OR(B7599="MAL ALIMI", B7599="ÜRETİM GİRİŞ"), MIN(I7599, MAX(0, I7599 + SUM(SUMIFS($I$1:I7598, $C$1:C7598, C7599, $B$1:B7598, {"MAL ALIMI","ÜRETİM GİRİŞ"})) - VLOOKUP(C7599, 'STOK RAPORU'!$C$2:$I$1000, 4, 0))), 0)</f>
        <v>0</v>
      </c>
      <c r="U7599" s="22">
        <f t="shared" si="472"/>
        <v>0</v>
      </c>
      <c r="V7599">
        <f t="shared" si="473"/>
        <v>0</v>
      </c>
      <c r="W7599" s="22">
        <f t="shared" si="474"/>
        <v>0</v>
      </c>
    </row>
    <row r="7600" spans="1:23" hidden="1" x14ac:dyDescent="0.25">
      <c r="A7600" s="3">
        <v>46181</v>
      </c>
      <c r="B7600" s="46" t="s">
        <v>334</v>
      </c>
      <c r="C7600" s="4" t="s">
        <v>133</v>
      </c>
      <c r="D7600" s="4"/>
      <c r="E7600" s="4"/>
      <c r="F7600" s="4" t="s">
        <v>3618</v>
      </c>
      <c r="G7600" s="4" t="s">
        <v>336</v>
      </c>
      <c r="H7600" s="4" t="s">
        <v>289</v>
      </c>
      <c r="I7600" s="4">
        <v>0.192</v>
      </c>
      <c r="J7600" s="21">
        <v>400</v>
      </c>
      <c r="K7600" s="21">
        <v>0</v>
      </c>
      <c r="L7600" s="5">
        <v>0</v>
      </c>
      <c r="M7600" s="4"/>
      <c r="N7600" s="4"/>
      <c r="O7600" s="5"/>
      <c r="P7600" s="5"/>
      <c r="Q7600" s="21">
        <v>76.8</v>
      </c>
      <c r="R7600" s="21">
        <v>0</v>
      </c>
      <c r="S7600" s="5">
        <f t="shared" si="475"/>
        <v>41109.719203922883</v>
      </c>
      <c r="T7600" cm="1">
        <f t="array" ref="T7600">IF(OR(B7600="MAL ALIMI", B7600="ÜRETİM GİRİŞ"), MIN(I7600, MAX(0, I7600 + SUM(SUMIFS($I$1:I7599, $C$1:C7599, C7600, $B$1:B7599, {"MAL ALIMI","ÜRETİM GİRİŞ"})) - VLOOKUP(C7600, 'STOK RAPORU'!$C$2:$I$1000, 4, 0))), 0)</f>
        <v>0</v>
      </c>
      <c r="U7600" s="22">
        <f t="shared" si="472"/>
        <v>0</v>
      </c>
      <c r="V7600">
        <f t="shared" si="473"/>
        <v>0</v>
      </c>
      <c r="W7600" s="22">
        <f t="shared" si="474"/>
        <v>0</v>
      </c>
    </row>
    <row r="7601" spans="1:23" hidden="1" x14ac:dyDescent="0.25">
      <c r="A7601" s="3">
        <v>46181</v>
      </c>
      <c r="B7601" s="46" t="s">
        <v>334</v>
      </c>
      <c r="C7601" s="4" t="s">
        <v>463</v>
      </c>
      <c r="D7601" s="4"/>
      <c r="E7601" s="4"/>
      <c r="F7601" s="4" t="s">
        <v>3618</v>
      </c>
      <c r="G7601" s="4" t="s">
        <v>336</v>
      </c>
      <c r="H7601" s="4" t="s">
        <v>289</v>
      </c>
      <c r="I7601" s="4">
        <v>0.17600000000000002</v>
      </c>
      <c r="J7601" s="21">
        <v>400</v>
      </c>
      <c r="K7601" s="21">
        <v>0</v>
      </c>
      <c r="L7601" s="5">
        <v>0</v>
      </c>
      <c r="M7601" s="4"/>
      <c r="N7601" s="4"/>
      <c r="O7601" s="5"/>
      <c r="P7601" s="5"/>
      <c r="Q7601" s="21">
        <v>70.400000000000006</v>
      </c>
      <c r="R7601" s="21">
        <v>0</v>
      </c>
      <c r="S7601" s="5">
        <f t="shared" si="475"/>
        <v>41180.119203922884</v>
      </c>
      <c r="T7601" cm="1">
        <f t="array" ref="T7601">IF(OR(B7601="MAL ALIMI", B7601="ÜRETİM GİRİŞ"), MIN(I7601, MAX(0, I7601 + SUM(SUMIFS($I$1:I7600, $C$1:C7600, C7601, $B$1:B7600, {"MAL ALIMI","ÜRETİM GİRİŞ"})) - VLOOKUP(C7601, 'STOK RAPORU'!$C$2:$I$1000, 4, 0))), 0)</f>
        <v>0</v>
      </c>
      <c r="U7601" s="22">
        <f t="shared" si="472"/>
        <v>0</v>
      </c>
      <c r="V7601">
        <f t="shared" si="473"/>
        <v>0</v>
      </c>
      <c r="W7601" s="22">
        <f t="shared" si="474"/>
        <v>0</v>
      </c>
    </row>
    <row r="7602" spans="1:23" hidden="1" x14ac:dyDescent="0.25">
      <c r="A7602" s="3">
        <v>46181</v>
      </c>
      <c r="B7602" s="46" t="s">
        <v>334</v>
      </c>
      <c r="C7602" s="4" t="s">
        <v>2682</v>
      </c>
      <c r="D7602" s="4"/>
      <c r="E7602" s="4" t="s">
        <v>921</v>
      </c>
      <c r="F7602" s="4" t="s">
        <v>3619</v>
      </c>
      <c r="G7602" s="4" t="s">
        <v>336</v>
      </c>
      <c r="H7602" s="4" t="s">
        <v>380</v>
      </c>
      <c r="I7602" s="4">
        <v>1</v>
      </c>
      <c r="J7602" s="21">
        <v>500</v>
      </c>
      <c r="K7602" s="21">
        <v>500</v>
      </c>
      <c r="L7602" s="5">
        <v>0</v>
      </c>
      <c r="M7602" s="4"/>
      <c r="N7602" s="4"/>
      <c r="O7602" s="5"/>
      <c r="P7602" s="5"/>
      <c r="Q7602" s="21">
        <v>0</v>
      </c>
      <c r="R7602" s="21">
        <v>0</v>
      </c>
      <c r="S7602" s="5">
        <f t="shared" si="475"/>
        <v>41180.119203922884</v>
      </c>
      <c r="T7602" cm="1">
        <f t="array" ref="T7602">IF(OR(B7602="MAL ALIMI", B7602="ÜRETİM GİRİŞ"), MIN(I7602, MAX(0, I7602 + SUM(SUMIFS($I$1:I7601, $C$1:C7601, C7602, $B$1:B7601, {"MAL ALIMI","ÜRETİM GİRİŞ"})) - VLOOKUP(C7602, 'STOK RAPORU'!$C$2:$I$1000, 4, 0))), 0)</f>
        <v>0</v>
      </c>
      <c r="U7602" s="22">
        <f t="shared" ref="U7602:U7666" si="476">T7602*J7602</f>
        <v>0</v>
      </c>
      <c r="V7602">
        <f t="shared" ref="V7602:V7666" si="477">IF(OR(B7602="MAL ALIMI", B7602="ÜRETİM GİRİŞ"), I7602 * J7602, 0)</f>
        <v>0</v>
      </c>
      <c r="W7602" s="22">
        <f t="shared" ref="W7602:W7666" si="478">V7602-U7602</f>
        <v>0</v>
      </c>
    </row>
    <row r="7603" spans="1:23" hidden="1" x14ac:dyDescent="0.25">
      <c r="A7603" s="3">
        <v>46181</v>
      </c>
      <c r="B7603" s="46" t="s">
        <v>334</v>
      </c>
      <c r="C7603" s="4" t="s">
        <v>524</v>
      </c>
      <c r="D7603" s="4"/>
      <c r="E7603" s="4" t="s">
        <v>921</v>
      </c>
      <c r="F7603" s="4" t="s">
        <v>3619</v>
      </c>
      <c r="G7603" s="4" t="s">
        <v>336</v>
      </c>
      <c r="H7603" s="4" t="s">
        <v>380</v>
      </c>
      <c r="I7603" s="4">
        <v>0.1</v>
      </c>
      <c r="J7603" s="21">
        <v>400</v>
      </c>
      <c r="K7603" s="21">
        <v>40</v>
      </c>
      <c r="L7603" s="5">
        <v>0</v>
      </c>
      <c r="M7603" s="4"/>
      <c r="N7603" s="4"/>
      <c r="O7603" s="5"/>
      <c r="P7603" s="5"/>
      <c r="Q7603" s="21">
        <v>0</v>
      </c>
      <c r="R7603" s="21">
        <v>0</v>
      </c>
      <c r="S7603" s="5">
        <f t="shared" si="475"/>
        <v>41180.119203922884</v>
      </c>
      <c r="T7603" cm="1">
        <f t="array" ref="T7603">IF(OR(B7603="MAL ALIMI", B7603="ÜRETİM GİRİŞ"), MIN(I7603, MAX(0, I7603 + SUM(SUMIFS($I$1:I7602, $C$1:C7602, C7603, $B$1:B7602, {"MAL ALIMI","ÜRETİM GİRİŞ"})) - VLOOKUP(C7603, 'STOK RAPORU'!$C$2:$I$1000, 4, 0))), 0)</f>
        <v>0</v>
      </c>
      <c r="U7603" s="22">
        <f t="shared" si="476"/>
        <v>0</v>
      </c>
      <c r="V7603">
        <f t="shared" si="477"/>
        <v>0</v>
      </c>
      <c r="W7603" s="22">
        <f t="shared" si="478"/>
        <v>0</v>
      </c>
    </row>
    <row r="7604" spans="1:23" hidden="1" x14ac:dyDescent="0.25">
      <c r="A7604" s="3">
        <v>46181</v>
      </c>
      <c r="B7604" s="46" t="s">
        <v>334</v>
      </c>
      <c r="C7604" s="4" t="s">
        <v>266</v>
      </c>
      <c r="D7604" s="4"/>
      <c r="E7604" s="4" t="s">
        <v>921</v>
      </c>
      <c r="F7604" s="4" t="s">
        <v>3620</v>
      </c>
      <c r="G7604" s="4" t="s">
        <v>336</v>
      </c>
      <c r="H7604" s="4" t="s">
        <v>380</v>
      </c>
      <c r="I7604" s="4">
        <v>0.49199999999999999</v>
      </c>
      <c r="J7604" s="21">
        <v>250</v>
      </c>
      <c r="K7604" s="21">
        <v>123</v>
      </c>
      <c r="L7604" s="5">
        <v>0</v>
      </c>
      <c r="M7604" s="4"/>
      <c r="N7604" s="4"/>
      <c r="O7604" s="5"/>
      <c r="P7604" s="5"/>
      <c r="Q7604" s="21">
        <v>0</v>
      </c>
      <c r="R7604" s="21">
        <v>0</v>
      </c>
      <c r="S7604" s="5">
        <f t="shared" si="475"/>
        <v>41180.119203922884</v>
      </c>
      <c r="T7604" cm="1">
        <f t="array" ref="T7604">IF(OR(B7604="MAL ALIMI", B7604="ÜRETİM GİRİŞ"), MIN(I7604, MAX(0, I7604 + SUM(SUMIFS($I$1:I7603, $C$1:C7603, C7604, $B$1:B7603, {"MAL ALIMI","ÜRETİM GİRİŞ"})) - VLOOKUP(C7604, 'STOK RAPORU'!$C$2:$I$1000, 4, 0))), 0)</f>
        <v>0</v>
      </c>
      <c r="U7604" s="22">
        <f t="shared" si="476"/>
        <v>0</v>
      </c>
      <c r="V7604">
        <f t="shared" si="477"/>
        <v>0</v>
      </c>
      <c r="W7604" s="22">
        <f t="shared" si="478"/>
        <v>0</v>
      </c>
    </row>
    <row r="7605" spans="1:23" hidden="1" x14ac:dyDescent="0.25">
      <c r="A7605" s="3">
        <v>46181</v>
      </c>
      <c r="B7605" s="46" t="s">
        <v>334</v>
      </c>
      <c r="C7605" s="4" t="s">
        <v>728</v>
      </c>
      <c r="D7605" s="4"/>
      <c r="E7605" s="4" t="s">
        <v>921</v>
      </c>
      <c r="F7605" s="4" t="s">
        <v>3620</v>
      </c>
      <c r="G7605" s="4" t="s">
        <v>336</v>
      </c>
      <c r="H7605" s="4" t="s">
        <v>380</v>
      </c>
      <c r="I7605" s="4">
        <v>0.38</v>
      </c>
      <c r="J7605" s="21">
        <v>650</v>
      </c>
      <c r="K7605" s="21">
        <v>247</v>
      </c>
      <c r="L7605" s="5">
        <v>0</v>
      </c>
      <c r="M7605" s="4"/>
      <c r="N7605" s="4"/>
      <c r="O7605" s="5"/>
      <c r="P7605" s="5"/>
      <c r="Q7605" s="21">
        <v>0</v>
      </c>
      <c r="R7605" s="21">
        <v>0</v>
      </c>
      <c r="S7605" s="5">
        <f t="shared" si="475"/>
        <v>41180.119203922884</v>
      </c>
      <c r="T7605" cm="1">
        <f t="array" ref="T7605">IF(OR(B7605="MAL ALIMI", B7605="ÜRETİM GİRİŞ"), MIN(I7605, MAX(0, I7605 + SUM(SUMIFS($I$1:I7604, $C$1:C7604, C7605, $B$1:B7604, {"MAL ALIMI","ÜRETİM GİRİŞ"})) - VLOOKUP(C7605, 'STOK RAPORU'!$C$2:$I$1000, 4, 0))), 0)</f>
        <v>0</v>
      </c>
      <c r="U7605" s="22">
        <f t="shared" si="476"/>
        <v>0</v>
      </c>
      <c r="V7605">
        <f t="shared" si="477"/>
        <v>0</v>
      </c>
      <c r="W7605" s="22">
        <f t="shared" si="478"/>
        <v>0</v>
      </c>
    </row>
    <row r="7606" spans="1:23" hidden="1" x14ac:dyDescent="0.25">
      <c r="A7606" s="3">
        <v>46181</v>
      </c>
      <c r="B7606" s="46" t="s">
        <v>334</v>
      </c>
      <c r="C7606" s="4" t="s">
        <v>158</v>
      </c>
      <c r="D7606" s="4"/>
      <c r="E7606" s="4"/>
      <c r="F7606" s="4" t="s">
        <v>3621</v>
      </c>
      <c r="G7606" s="4" t="s">
        <v>336</v>
      </c>
      <c r="H7606" s="4" t="s">
        <v>289</v>
      </c>
      <c r="I7606" s="4">
        <v>2</v>
      </c>
      <c r="J7606" s="21">
        <v>150</v>
      </c>
      <c r="K7606" s="21">
        <v>0</v>
      </c>
      <c r="L7606" s="5">
        <v>0</v>
      </c>
      <c r="M7606" s="4"/>
      <c r="N7606" s="4"/>
      <c r="O7606" s="5"/>
      <c r="P7606" s="5"/>
      <c r="Q7606" s="21">
        <v>300</v>
      </c>
      <c r="R7606" s="21">
        <v>0</v>
      </c>
      <c r="S7606" s="5">
        <f t="shared" si="475"/>
        <v>41480.119203922884</v>
      </c>
      <c r="T7606" cm="1">
        <f t="array" ref="T7606">IF(OR(B7606="MAL ALIMI", B7606="ÜRETİM GİRİŞ"), MIN(I7606, MAX(0, I7606 + SUM(SUMIFS($I$1:I7605, $C$1:C7605, C7606, $B$1:B7605, {"MAL ALIMI","ÜRETİM GİRİŞ"})) - VLOOKUP(C7606, 'STOK RAPORU'!$C$2:$I$1000, 4, 0))), 0)</f>
        <v>0</v>
      </c>
      <c r="U7606" s="22">
        <f t="shared" si="476"/>
        <v>0</v>
      </c>
      <c r="V7606">
        <f t="shared" si="477"/>
        <v>0</v>
      </c>
      <c r="W7606" s="22">
        <f t="shared" si="478"/>
        <v>0</v>
      </c>
    </row>
    <row r="7607" spans="1:23" hidden="1" x14ac:dyDescent="0.25">
      <c r="A7607" s="3">
        <v>46181</v>
      </c>
      <c r="B7607" s="46" t="s">
        <v>334</v>
      </c>
      <c r="C7607" s="4" t="s">
        <v>160</v>
      </c>
      <c r="D7607" s="4"/>
      <c r="E7607" s="4"/>
      <c r="F7607" s="4" t="s">
        <v>3622</v>
      </c>
      <c r="G7607" s="4" t="s">
        <v>336</v>
      </c>
      <c r="H7607" s="4" t="s">
        <v>289</v>
      </c>
      <c r="I7607" s="4">
        <v>4</v>
      </c>
      <c r="J7607" s="21">
        <v>250</v>
      </c>
      <c r="K7607" s="21">
        <v>0</v>
      </c>
      <c r="L7607" s="5">
        <v>0</v>
      </c>
      <c r="M7607" s="4"/>
      <c r="N7607" s="4"/>
      <c r="O7607" s="5"/>
      <c r="P7607" s="5"/>
      <c r="Q7607" s="21">
        <v>1000</v>
      </c>
      <c r="R7607" s="21">
        <v>0</v>
      </c>
      <c r="S7607" s="5">
        <f t="shared" si="475"/>
        <v>42480.119203922884</v>
      </c>
      <c r="T7607" cm="1">
        <f t="array" ref="T7607">IF(OR(B7607="MAL ALIMI", B7607="ÜRETİM GİRİŞ"), MIN(I7607, MAX(0, I7607 + SUM(SUMIFS($I$1:I7606, $C$1:C7606, C7607, $B$1:B7606, {"MAL ALIMI","ÜRETİM GİRİŞ"})) - VLOOKUP(C7607, 'STOK RAPORU'!$C$2:$I$1000, 4, 0))), 0)</f>
        <v>0</v>
      </c>
      <c r="U7607" s="22">
        <f t="shared" si="476"/>
        <v>0</v>
      </c>
      <c r="V7607">
        <f t="shared" si="477"/>
        <v>0</v>
      </c>
      <c r="W7607" s="22">
        <f t="shared" si="478"/>
        <v>0</v>
      </c>
    </row>
    <row r="7608" spans="1:23" hidden="1" x14ac:dyDescent="0.25">
      <c r="A7608" s="3">
        <v>46181</v>
      </c>
      <c r="B7608" s="46" t="s">
        <v>334</v>
      </c>
      <c r="C7608" s="4" t="s">
        <v>157</v>
      </c>
      <c r="D7608" s="4"/>
      <c r="E7608" s="4"/>
      <c r="F7608" s="4" t="s">
        <v>3622</v>
      </c>
      <c r="G7608" s="4" t="s">
        <v>336</v>
      </c>
      <c r="H7608" s="4" t="s">
        <v>289</v>
      </c>
      <c r="I7608" s="4">
        <v>2</v>
      </c>
      <c r="J7608" s="21">
        <v>200</v>
      </c>
      <c r="K7608" s="21">
        <v>0</v>
      </c>
      <c r="L7608" s="5">
        <v>0</v>
      </c>
      <c r="M7608" s="4"/>
      <c r="N7608" s="4"/>
      <c r="O7608" s="5"/>
      <c r="P7608" s="5"/>
      <c r="Q7608" s="21">
        <v>400</v>
      </c>
      <c r="R7608" s="21">
        <v>0</v>
      </c>
      <c r="S7608" s="5">
        <f t="shared" si="475"/>
        <v>42880.119203922884</v>
      </c>
      <c r="T7608" cm="1">
        <f t="array" ref="T7608">IF(OR(B7608="MAL ALIMI", B7608="ÜRETİM GİRİŞ"), MIN(I7608, MAX(0, I7608 + SUM(SUMIFS($I$1:I7607, $C$1:C7607, C7608, $B$1:B7607, {"MAL ALIMI","ÜRETİM GİRİŞ"})) - VLOOKUP(C7608, 'STOK RAPORU'!$C$2:$I$1000, 4, 0))), 0)</f>
        <v>0</v>
      </c>
      <c r="U7608" s="22">
        <f t="shared" si="476"/>
        <v>0</v>
      </c>
      <c r="V7608">
        <f t="shared" si="477"/>
        <v>0</v>
      </c>
      <c r="W7608" s="22">
        <f t="shared" si="478"/>
        <v>0</v>
      </c>
    </row>
    <row r="7609" spans="1:23" hidden="1" x14ac:dyDescent="0.25">
      <c r="A7609" s="3">
        <v>46181</v>
      </c>
      <c r="B7609" s="46" t="s">
        <v>334</v>
      </c>
      <c r="C7609" s="4" t="s">
        <v>267</v>
      </c>
      <c r="D7609" s="4"/>
      <c r="E7609" s="4"/>
      <c r="F7609" s="4" t="s">
        <v>3622</v>
      </c>
      <c r="G7609" s="4" t="s">
        <v>336</v>
      </c>
      <c r="H7609" s="4" t="s">
        <v>289</v>
      </c>
      <c r="I7609" s="4">
        <v>1</v>
      </c>
      <c r="J7609" s="21">
        <v>190</v>
      </c>
      <c r="K7609" s="21">
        <v>0</v>
      </c>
      <c r="L7609" s="5">
        <v>0</v>
      </c>
      <c r="M7609" s="4"/>
      <c r="N7609" s="4"/>
      <c r="O7609" s="5"/>
      <c r="P7609" s="5"/>
      <c r="Q7609" s="21">
        <v>190</v>
      </c>
      <c r="R7609" s="21">
        <v>0</v>
      </c>
      <c r="S7609" s="5">
        <f t="shared" si="475"/>
        <v>43070.119203922884</v>
      </c>
      <c r="T7609" cm="1">
        <f t="array" ref="T7609">IF(OR(B7609="MAL ALIMI", B7609="ÜRETİM GİRİŞ"), MIN(I7609, MAX(0, I7609 + SUM(SUMIFS($I$1:I7608, $C$1:C7608, C7609, $B$1:B7608, {"MAL ALIMI","ÜRETİM GİRİŞ"})) - VLOOKUP(C7609, 'STOK RAPORU'!$C$2:$I$1000, 4, 0))), 0)</f>
        <v>0</v>
      </c>
      <c r="U7609" s="22">
        <f t="shared" si="476"/>
        <v>0</v>
      </c>
      <c r="V7609">
        <f t="shared" si="477"/>
        <v>0</v>
      </c>
      <c r="W7609" s="22">
        <f t="shared" si="478"/>
        <v>0</v>
      </c>
    </row>
    <row r="7610" spans="1:23" hidden="1" x14ac:dyDescent="0.25">
      <c r="A7610" s="3">
        <v>46182</v>
      </c>
      <c r="B7610" s="4" t="s">
        <v>298</v>
      </c>
      <c r="C7610" s="4" t="s">
        <v>3383</v>
      </c>
      <c r="D7610" s="4"/>
      <c r="E7610" s="4" t="s">
        <v>350</v>
      </c>
      <c r="F7610" s="4">
        <v>1005550</v>
      </c>
      <c r="G7610" s="4" t="s">
        <v>350</v>
      </c>
      <c r="H7610" s="4" t="s">
        <v>304</v>
      </c>
      <c r="I7610" s="4">
        <v>10</v>
      </c>
      <c r="J7610" s="21">
        <v>38</v>
      </c>
      <c r="K7610" s="21">
        <v>0</v>
      </c>
      <c r="L7610" s="5">
        <v>380</v>
      </c>
      <c r="M7610" s="4"/>
      <c r="N7610" s="4"/>
      <c r="O7610" s="5"/>
      <c r="P7610" s="5"/>
      <c r="Q7610" s="21">
        <v>0</v>
      </c>
      <c r="R7610" s="21">
        <v>0</v>
      </c>
      <c r="S7610" s="5">
        <f t="shared" si="475"/>
        <v>43070.119203922884</v>
      </c>
      <c r="T7610" t="e" cm="1">
        <f t="array" ref="T7610">IF(OR(B7610="MAL ALIMI", B7610="ÜRETİM GİRİŞ"), MIN(I7610, MAX(0, I7610 + SUM(SUMIFS($I$1:I7609, $C$1:C7609, C7610, $B$1:B7609, {"MAL ALIMI","ÜRETİM GİRİŞ"})) - VLOOKUP(C7610, 'STOK RAPORU'!$C$2:$I$1000, 4, 0))), 0)</f>
        <v>#N/A</v>
      </c>
      <c r="U7610" s="22" t="e">
        <f t="shared" si="476"/>
        <v>#N/A</v>
      </c>
      <c r="V7610">
        <f t="shared" si="477"/>
        <v>380</v>
      </c>
      <c r="W7610" s="22" t="e">
        <f t="shared" si="478"/>
        <v>#N/A</v>
      </c>
    </row>
    <row r="7611" spans="1:23" hidden="1" x14ac:dyDescent="0.25">
      <c r="A7611" s="3">
        <v>46182</v>
      </c>
      <c r="B7611" s="4" t="s">
        <v>298</v>
      </c>
      <c r="C7611" s="4" t="s">
        <v>218</v>
      </c>
      <c r="D7611" s="4"/>
      <c r="E7611" s="4" t="s">
        <v>350</v>
      </c>
      <c r="F7611" s="4">
        <v>1005550</v>
      </c>
      <c r="G7611" s="4" t="s">
        <v>350</v>
      </c>
      <c r="H7611" s="4" t="s">
        <v>304</v>
      </c>
      <c r="I7611" s="4">
        <v>6</v>
      </c>
      <c r="J7611" s="21">
        <v>240</v>
      </c>
      <c r="K7611" s="21">
        <v>0</v>
      </c>
      <c r="L7611" s="5">
        <v>1440</v>
      </c>
      <c r="M7611" s="4"/>
      <c r="N7611" s="4"/>
      <c r="O7611" s="5"/>
      <c r="P7611" s="5"/>
      <c r="Q7611" s="21">
        <v>0</v>
      </c>
      <c r="R7611" s="21">
        <v>0</v>
      </c>
      <c r="S7611" s="5">
        <f t="shared" si="475"/>
        <v>43070.119203922884</v>
      </c>
      <c r="T7611" cm="1">
        <f t="array" ref="T7611">IF(OR(B7611="MAL ALIMI", B7611="ÜRETİM GİRİŞ"), MIN(I7611, MAX(0, I7611 + SUM(SUMIFS($I$1:I7610, $C$1:C7610, C7611, $B$1:B7610, {"MAL ALIMI","ÜRETİM GİRİŞ"})) - VLOOKUP(C7611, 'STOK RAPORU'!$C$2:$I$1000, 4, 0))), 0)</f>
        <v>5</v>
      </c>
      <c r="U7611" s="22">
        <f t="shared" si="476"/>
        <v>1200</v>
      </c>
      <c r="V7611">
        <f t="shared" si="477"/>
        <v>1440</v>
      </c>
      <c r="W7611" s="22">
        <f t="shared" si="478"/>
        <v>240</v>
      </c>
    </row>
    <row r="7612" spans="1:23" hidden="1" x14ac:dyDescent="0.25">
      <c r="A7612" s="3">
        <v>46182</v>
      </c>
      <c r="B7612" s="4" t="s">
        <v>298</v>
      </c>
      <c r="C7612" s="4" t="s">
        <v>2117</v>
      </c>
      <c r="D7612" s="4"/>
      <c r="E7612" s="4" t="s">
        <v>350</v>
      </c>
      <c r="F7612" s="4">
        <v>1005550</v>
      </c>
      <c r="G7612" s="4" t="s">
        <v>350</v>
      </c>
      <c r="H7612" s="4" t="s">
        <v>304</v>
      </c>
      <c r="I7612" s="4">
        <v>60</v>
      </c>
      <c r="J7612" s="21">
        <v>18</v>
      </c>
      <c r="K7612" s="21">
        <v>0</v>
      </c>
      <c r="L7612" s="5">
        <v>1080</v>
      </c>
      <c r="M7612" s="4"/>
      <c r="N7612" s="4"/>
      <c r="O7612" s="5"/>
      <c r="P7612" s="5"/>
      <c r="Q7612" s="21">
        <v>0</v>
      </c>
      <c r="R7612" s="21">
        <v>0</v>
      </c>
      <c r="S7612" s="5">
        <f t="shared" si="475"/>
        <v>43070.119203922884</v>
      </c>
      <c r="T7612" cm="1">
        <f t="array" ref="T7612">IF(OR(B7612="MAL ALIMI", B7612="ÜRETİM GİRİŞ"), MIN(I7612, MAX(0, I7612 + SUM(SUMIFS($I$1:I7611, $C$1:C7611, C7612, $B$1:B7611, {"MAL ALIMI","ÜRETİM GİRİŞ"})) - VLOOKUP(C7612, 'STOK RAPORU'!$C$2:$I$1000, 4, 0))), 0)</f>
        <v>55</v>
      </c>
      <c r="U7612" s="22">
        <f t="shared" si="476"/>
        <v>990</v>
      </c>
      <c r="V7612">
        <f t="shared" si="477"/>
        <v>1080</v>
      </c>
      <c r="W7612" s="22">
        <f t="shared" si="478"/>
        <v>90</v>
      </c>
    </row>
    <row r="7613" spans="1:23" hidden="1" x14ac:dyDescent="0.25">
      <c r="A7613" s="3">
        <v>46182</v>
      </c>
      <c r="B7613" s="4" t="s">
        <v>298</v>
      </c>
      <c r="C7613" s="4" t="s">
        <v>3158</v>
      </c>
      <c r="D7613" s="4"/>
      <c r="E7613" s="4" t="s">
        <v>350</v>
      </c>
      <c r="F7613" s="4">
        <v>1005550</v>
      </c>
      <c r="G7613" s="4" t="s">
        <v>350</v>
      </c>
      <c r="H7613" s="4" t="s">
        <v>304</v>
      </c>
      <c r="I7613" s="4">
        <v>6</v>
      </c>
      <c r="J7613" s="21">
        <v>105</v>
      </c>
      <c r="K7613" s="21">
        <v>0</v>
      </c>
      <c r="L7613" s="5">
        <v>630</v>
      </c>
      <c r="M7613" s="4"/>
      <c r="N7613" s="4"/>
      <c r="O7613" s="5"/>
      <c r="P7613" s="5"/>
      <c r="Q7613" s="21">
        <v>0</v>
      </c>
      <c r="R7613" s="21">
        <v>0</v>
      </c>
      <c r="S7613" s="5">
        <f t="shared" si="475"/>
        <v>43070.119203922884</v>
      </c>
      <c r="T7613" t="e" cm="1">
        <f t="array" ref="T7613">IF(OR(B7613="MAL ALIMI", B7613="ÜRETİM GİRİŞ"), MIN(I7613, MAX(0, I7613 + SUM(SUMIFS($I$1:I7612, $C$1:C7612, C7613, $B$1:B7612, {"MAL ALIMI","ÜRETİM GİRİŞ"})) - VLOOKUP(C7613, 'STOK RAPORU'!$C$2:$I$1000, 4, 0))), 0)</f>
        <v>#N/A</v>
      </c>
      <c r="U7613" s="22" t="e">
        <f t="shared" si="476"/>
        <v>#N/A</v>
      </c>
      <c r="V7613">
        <f t="shared" si="477"/>
        <v>630</v>
      </c>
      <c r="W7613" s="22" t="e">
        <f t="shared" si="478"/>
        <v>#N/A</v>
      </c>
    </row>
    <row r="7614" spans="1:23" hidden="1" x14ac:dyDescent="0.25">
      <c r="A7614" s="3">
        <v>46182</v>
      </c>
      <c r="B7614" s="4" t="s">
        <v>298</v>
      </c>
      <c r="C7614" s="4" t="s">
        <v>1368</v>
      </c>
      <c r="D7614" s="4"/>
      <c r="E7614" s="4" t="s">
        <v>350</v>
      </c>
      <c r="F7614" s="4">
        <v>1005550</v>
      </c>
      <c r="G7614" s="4" t="s">
        <v>350</v>
      </c>
      <c r="H7614" s="4" t="s">
        <v>304</v>
      </c>
      <c r="I7614" s="4">
        <v>6</v>
      </c>
      <c r="J7614" s="21">
        <v>190</v>
      </c>
      <c r="K7614" s="21">
        <v>0</v>
      </c>
      <c r="L7614" s="5">
        <v>1140</v>
      </c>
      <c r="M7614" s="4"/>
      <c r="N7614" s="4"/>
      <c r="O7614" s="5"/>
      <c r="P7614" s="5"/>
      <c r="Q7614" s="21">
        <v>0</v>
      </c>
      <c r="R7614" s="21">
        <v>0</v>
      </c>
      <c r="S7614" s="5">
        <f t="shared" si="475"/>
        <v>43070.119203922884</v>
      </c>
      <c r="T7614" cm="1">
        <f t="array" ref="T7614">IF(OR(B7614="MAL ALIMI", B7614="ÜRETİM GİRİŞ"), MIN(I7614, MAX(0, I7614 + SUM(SUMIFS($I$1:I7613, $C$1:C7613, C7614, $B$1:B7613, {"MAL ALIMI","ÜRETİM GİRİŞ"})) - VLOOKUP(C7614, 'STOK RAPORU'!$C$2:$I$1000, 4, 0))), 0)</f>
        <v>4</v>
      </c>
      <c r="U7614" s="22">
        <f t="shared" si="476"/>
        <v>760</v>
      </c>
      <c r="V7614">
        <f t="shared" si="477"/>
        <v>1140</v>
      </c>
      <c r="W7614" s="22">
        <f t="shared" si="478"/>
        <v>380</v>
      </c>
    </row>
    <row r="7615" spans="1:23" hidden="1" x14ac:dyDescent="0.25">
      <c r="A7615" s="3">
        <v>46182</v>
      </c>
      <c r="B7615" s="4" t="s">
        <v>298</v>
      </c>
      <c r="C7615" s="4" t="s">
        <v>1023</v>
      </c>
      <c r="D7615" s="4"/>
      <c r="E7615" s="4" t="s">
        <v>350</v>
      </c>
      <c r="F7615" s="4">
        <v>1005550</v>
      </c>
      <c r="G7615" s="4" t="s">
        <v>350</v>
      </c>
      <c r="H7615" s="4" t="s">
        <v>304</v>
      </c>
      <c r="I7615" s="4">
        <v>25</v>
      </c>
      <c r="J7615" s="21">
        <v>44.5</v>
      </c>
      <c r="K7615" s="21">
        <v>0</v>
      </c>
      <c r="L7615" s="5">
        <v>1112.5</v>
      </c>
      <c r="M7615" s="4"/>
      <c r="N7615" s="4"/>
      <c r="O7615" s="5"/>
      <c r="P7615" s="5"/>
      <c r="Q7615" s="21">
        <v>0</v>
      </c>
      <c r="R7615" s="21">
        <v>0</v>
      </c>
      <c r="S7615" s="5">
        <f t="shared" si="475"/>
        <v>43070.119203922884</v>
      </c>
      <c r="T7615" cm="1">
        <f t="array" ref="T7615">IF(OR(B7615="MAL ALIMI", B7615="ÜRETİM GİRİŞ"), MIN(I7615, MAX(0, I7615 + SUM(SUMIFS($I$1:I7614, $C$1:C7614, C7615, $B$1:B7614, {"MAL ALIMI","ÜRETİM GİRİŞ"})) - VLOOKUP(C7615, 'STOK RAPORU'!$C$2:$I$1000, 4, 0))), 0)</f>
        <v>24.193461538461534</v>
      </c>
      <c r="U7615" s="22">
        <f t="shared" si="476"/>
        <v>1076.6090384615384</v>
      </c>
      <c r="V7615">
        <f t="shared" si="477"/>
        <v>1112.5</v>
      </c>
      <c r="W7615" s="22">
        <f t="shared" si="478"/>
        <v>35.890961538461625</v>
      </c>
    </row>
    <row r="7616" spans="1:23" hidden="1" x14ac:dyDescent="0.25">
      <c r="A7616" s="3">
        <v>46182</v>
      </c>
      <c r="B7616" s="4" t="s">
        <v>298</v>
      </c>
      <c r="C7616" s="4" t="s">
        <v>229</v>
      </c>
      <c r="D7616" s="4"/>
      <c r="E7616" s="4" t="s">
        <v>350</v>
      </c>
      <c r="F7616" s="4">
        <v>1005550</v>
      </c>
      <c r="G7616" s="4" t="s">
        <v>350</v>
      </c>
      <c r="H7616" s="4" t="s">
        <v>304</v>
      </c>
      <c r="I7616" s="4">
        <v>6</v>
      </c>
      <c r="J7616" s="21">
        <v>135</v>
      </c>
      <c r="K7616" s="21">
        <v>0</v>
      </c>
      <c r="L7616" s="5">
        <v>810</v>
      </c>
      <c r="M7616" s="4"/>
      <c r="N7616" s="4"/>
      <c r="O7616" s="5"/>
      <c r="P7616" s="5"/>
      <c r="Q7616" s="21">
        <v>0</v>
      </c>
      <c r="R7616" s="21">
        <v>0</v>
      </c>
      <c r="S7616" s="5">
        <f t="shared" si="475"/>
        <v>43070.119203922884</v>
      </c>
      <c r="T7616" cm="1">
        <f t="array" ref="T7616">IF(OR(B7616="MAL ALIMI", B7616="ÜRETİM GİRİŞ"), MIN(I7616, MAX(0, I7616 + SUM(SUMIFS($I$1:I7615, $C$1:C7615, C7616, $B$1:B7615, {"MAL ALIMI","ÜRETİM GİRİŞ"})) - VLOOKUP(C7616, 'STOK RAPORU'!$C$2:$I$1000, 4, 0))), 0)</f>
        <v>6</v>
      </c>
      <c r="U7616" s="22">
        <f t="shared" si="476"/>
        <v>810</v>
      </c>
      <c r="V7616">
        <f t="shared" si="477"/>
        <v>810</v>
      </c>
      <c r="W7616" s="22">
        <f t="shared" si="478"/>
        <v>0</v>
      </c>
    </row>
    <row r="7617" spans="1:23" hidden="1" x14ac:dyDescent="0.25">
      <c r="A7617" s="3">
        <v>46182</v>
      </c>
      <c r="B7617" s="4" t="s">
        <v>298</v>
      </c>
      <c r="C7617" s="4" t="s">
        <v>231</v>
      </c>
      <c r="D7617" s="4"/>
      <c r="E7617" s="4" t="s">
        <v>350</v>
      </c>
      <c r="F7617" s="4">
        <v>1005550</v>
      </c>
      <c r="G7617" s="4" t="s">
        <v>350</v>
      </c>
      <c r="H7617" s="4" t="s">
        <v>304</v>
      </c>
      <c r="I7617" s="4">
        <v>6</v>
      </c>
      <c r="J7617" s="21">
        <v>135</v>
      </c>
      <c r="K7617" s="21">
        <v>0</v>
      </c>
      <c r="L7617" s="5">
        <v>810</v>
      </c>
      <c r="M7617" s="4"/>
      <c r="N7617" s="4"/>
      <c r="O7617" s="5"/>
      <c r="P7617" s="5"/>
      <c r="Q7617" s="21">
        <v>0</v>
      </c>
      <c r="R7617" s="21">
        <v>0</v>
      </c>
      <c r="S7617" s="5">
        <f t="shared" si="475"/>
        <v>43070.119203922884</v>
      </c>
      <c r="T7617" cm="1">
        <f t="array" ref="T7617">IF(OR(B7617="MAL ALIMI", B7617="ÜRETİM GİRİŞ"), MIN(I7617, MAX(0, I7617 + SUM(SUMIFS($I$1:I7616, $C$1:C7616, C7617, $B$1:B7616, {"MAL ALIMI","ÜRETİM GİRİŞ"})) - VLOOKUP(C7617, 'STOK RAPORU'!$C$2:$I$1000, 4, 0))), 0)</f>
        <v>6</v>
      </c>
      <c r="U7617" s="22">
        <f t="shared" si="476"/>
        <v>810</v>
      </c>
      <c r="V7617">
        <f t="shared" si="477"/>
        <v>810</v>
      </c>
      <c r="W7617" s="22">
        <f t="shared" si="478"/>
        <v>0</v>
      </c>
    </row>
    <row r="7618" spans="1:23" hidden="1" x14ac:dyDescent="0.25">
      <c r="A7618" s="3">
        <v>46182</v>
      </c>
      <c r="B7618" s="4" t="s">
        <v>298</v>
      </c>
      <c r="C7618" s="4" t="s">
        <v>461</v>
      </c>
      <c r="D7618" s="4"/>
      <c r="E7618" s="4" t="s">
        <v>350</v>
      </c>
      <c r="F7618" s="4">
        <v>1005550</v>
      </c>
      <c r="G7618" s="4" t="s">
        <v>350</v>
      </c>
      <c r="H7618" s="4" t="s">
        <v>304</v>
      </c>
      <c r="I7618" s="4">
        <v>12</v>
      </c>
      <c r="J7618" s="21">
        <v>60</v>
      </c>
      <c r="K7618" s="21">
        <v>0</v>
      </c>
      <c r="L7618" s="5">
        <v>720</v>
      </c>
      <c r="M7618" s="4"/>
      <c r="N7618" s="4"/>
      <c r="O7618" s="5"/>
      <c r="P7618" s="5"/>
      <c r="Q7618" s="21">
        <v>0</v>
      </c>
      <c r="R7618" s="21">
        <v>0</v>
      </c>
      <c r="S7618" s="5">
        <f t="shared" si="475"/>
        <v>43070.119203922884</v>
      </c>
      <c r="T7618" cm="1">
        <f t="array" ref="T7618">IF(OR(B7618="MAL ALIMI", B7618="ÜRETİM GİRİŞ"), MIN(I7618, MAX(0, I7618 + SUM(SUMIFS($I$1:I7617, $C$1:C7617, C7618, $B$1:B7617, {"MAL ALIMI","ÜRETİM GİRİŞ"})) - VLOOKUP(C7618, 'STOK RAPORU'!$C$2:$I$1000, 4, 0))), 0)</f>
        <v>11</v>
      </c>
      <c r="U7618" s="22">
        <f t="shared" si="476"/>
        <v>660</v>
      </c>
      <c r="V7618">
        <f t="shared" si="477"/>
        <v>720</v>
      </c>
      <c r="W7618" s="22">
        <f t="shared" si="478"/>
        <v>60</v>
      </c>
    </row>
    <row r="7619" spans="1:23" hidden="1" x14ac:dyDescent="0.25">
      <c r="A7619" s="3">
        <v>46182</v>
      </c>
      <c r="B7619" s="4" t="s">
        <v>298</v>
      </c>
      <c r="C7619" s="4" t="s">
        <v>462</v>
      </c>
      <c r="D7619" s="4"/>
      <c r="E7619" s="4" t="s">
        <v>350</v>
      </c>
      <c r="F7619" s="4">
        <v>1005550</v>
      </c>
      <c r="G7619" s="4" t="s">
        <v>350</v>
      </c>
      <c r="H7619" s="4" t="s">
        <v>304</v>
      </c>
      <c r="I7619" s="4">
        <v>12</v>
      </c>
      <c r="J7619" s="21">
        <v>70</v>
      </c>
      <c r="K7619" s="21">
        <v>0</v>
      </c>
      <c r="L7619" s="5">
        <v>840</v>
      </c>
      <c r="M7619" s="4"/>
      <c r="N7619" s="4"/>
      <c r="O7619" s="5"/>
      <c r="P7619" s="5"/>
      <c r="Q7619" s="21">
        <v>0</v>
      </c>
      <c r="R7619" s="21">
        <v>0</v>
      </c>
      <c r="S7619" s="5">
        <f t="shared" si="475"/>
        <v>43070.119203922884</v>
      </c>
      <c r="T7619" cm="1">
        <f t="array" ref="T7619">IF(OR(B7619="MAL ALIMI", B7619="ÜRETİM GİRİŞ"), MIN(I7619, MAX(0, I7619 + SUM(SUMIFS($I$1:I7618, $C$1:C7618, C7619, $B$1:B7618, {"MAL ALIMI","ÜRETİM GİRİŞ"})) - VLOOKUP(C7619, 'STOK RAPORU'!$C$2:$I$1000, 4, 0))), 0)</f>
        <v>12</v>
      </c>
      <c r="U7619" s="22">
        <f t="shared" si="476"/>
        <v>840</v>
      </c>
      <c r="V7619">
        <f t="shared" si="477"/>
        <v>840</v>
      </c>
      <c r="W7619" s="22">
        <f t="shared" si="478"/>
        <v>0</v>
      </c>
    </row>
    <row r="7620" spans="1:23" hidden="1" x14ac:dyDescent="0.25">
      <c r="A7620" s="3">
        <v>46182</v>
      </c>
      <c r="B7620" s="46" t="s">
        <v>334</v>
      </c>
      <c r="C7620" s="4" t="s">
        <v>911</v>
      </c>
      <c r="D7620" s="4"/>
      <c r="E7620" s="4" t="s">
        <v>921</v>
      </c>
      <c r="F7620" s="4" t="s">
        <v>3623</v>
      </c>
      <c r="G7620" s="4" t="s">
        <v>336</v>
      </c>
      <c r="H7620" s="4" t="s">
        <v>380</v>
      </c>
      <c r="I7620" s="4">
        <v>1</v>
      </c>
      <c r="J7620" s="21">
        <v>130</v>
      </c>
      <c r="K7620" s="21">
        <v>130</v>
      </c>
      <c r="L7620" s="5">
        <v>0</v>
      </c>
      <c r="M7620" s="4"/>
      <c r="N7620" s="4"/>
      <c r="O7620" s="5"/>
      <c r="P7620" s="5"/>
      <c r="Q7620" s="21">
        <v>0</v>
      </c>
      <c r="R7620" s="21">
        <v>0</v>
      </c>
      <c r="S7620" s="5">
        <f t="shared" ref="S7620:S7684" si="479">S7619+Q7620-R7620</f>
        <v>43070.119203922884</v>
      </c>
      <c r="T7620" cm="1">
        <f t="array" ref="T7620">IF(OR(B7620="MAL ALIMI", B7620="ÜRETİM GİRİŞ"), MIN(I7620, MAX(0, I7620 + SUM(SUMIFS($I$1:I7619, $C$1:C7619, C7620, $B$1:B7619, {"MAL ALIMI","ÜRETİM GİRİŞ"})) - VLOOKUP(C7620, 'STOK RAPORU'!$C$2:$I$1000, 4, 0))), 0)</f>
        <v>0</v>
      </c>
      <c r="U7620" s="22">
        <f t="shared" si="476"/>
        <v>0</v>
      </c>
      <c r="V7620">
        <f t="shared" si="477"/>
        <v>0</v>
      </c>
      <c r="W7620" s="22">
        <f t="shared" si="478"/>
        <v>0</v>
      </c>
    </row>
    <row r="7621" spans="1:23" hidden="1" x14ac:dyDescent="0.25">
      <c r="A7621" s="3">
        <v>46182</v>
      </c>
      <c r="B7621" s="46" t="s">
        <v>334</v>
      </c>
      <c r="C7621" s="4" t="s">
        <v>160</v>
      </c>
      <c r="D7621" s="4"/>
      <c r="E7621" s="4" t="s">
        <v>921</v>
      </c>
      <c r="F7621" s="4" t="s">
        <v>3624</v>
      </c>
      <c r="G7621" s="4" t="s">
        <v>336</v>
      </c>
      <c r="H7621" s="4" t="s">
        <v>380</v>
      </c>
      <c r="I7621" s="4">
        <v>1</v>
      </c>
      <c r="J7621" s="21">
        <v>250</v>
      </c>
      <c r="K7621" s="21">
        <v>250</v>
      </c>
      <c r="L7621" s="5">
        <v>0</v>
      </c>
      <c r="M7621" s="4"/>
      <c r="N7621" s="4"/>
      <c r="O7621" s="5"/>
      <c r="P7621" s="5"/>
      <c r="Q7621" s="21">
        <v>0</v>
      </c>
      <c r="R7621" s="21">
        <v>0</v>
      </c>
      <c r="S7621" s="5">
        <f t="shared" si="479"/>
        <v>43070.119203922884</v>
      </c>
      <c r="T7621" cm="1">
        <f t="array" ref="T7621">IF(OR(B7621="MAL ALIMI", B7621="ÜRETİM GİRİŞ"), MIN(I7621, MAX(0, I7621 + SUM(SUMIFS($I$1:I7620, $C$1:C7620, C7621, $B$1:B7620, {"MAL ALIMI","ÜRETİM GİRİŞ"})) - VLOOKUP(C7621, 'STOK RAPORU'!$C$2:$I$1000, 4, 0))), 0)</f>
        <v>0</v>
      </c>
      <c r="U7621" s="22">
        <f t="shared" si="476"/>
        <v>0</v>
      </c>
      <c r="V7621">
        <f t="shared" si="477"/>
        <v>0</v>
      </c>
      <c r="W7621" s="22">
        <f t="shared" si="478"/>
        <v>0</v>
      </c>
    </row>
    <row r="7622" spans="1:23" hidden="1" x14ac:dyDescent="0.25">
      <c r="A7622" s="3">
        <v>46182</v>
      </c>
      <c r="B7622" s="46" t="s">
        <v>334</v>
      </c>
      <c r="C7622" s="4" t="s">
        <v>161</v>
      </c>
      <c r="D7622" s="4"/>
      <c r="E7622" s="4" t="s">
        <v>921</v>
      </c>
      <c r="F7622" s="4" t="s">
        <v>3624</v>
      </c>
      <c r="G7622" s="4" t="s">
        <v>336</v>
      </c>
      <c r="H7622" s="4" t="s">
        <v>380</v>
      </c>
      <c r="I7622" s="4">
        <v>1</v>
      </c>
      <c r="J7622" s="21">
        <v>250</v>
      </c>
      <c r="K7622" s="21">
        <v>250</v>
      </c>
      <c r="L7622" s="5">
        <v>0</v>
      </c>
      <c r="M7622" s="4"/>
      <c r="N7622" s="4"/>
      <c r="O7622" s="5"/>
      <c r="P7622" s="5"/>
      <c r="Q7622" s="21">
        <v>0</v>
      </c>
      <c r="R7622" s="21">
        <v>0</v>
      </c>
      <c r="S7622" s="5">
        <f t="shared" si="479"/>
        <v>43070.119203922884</v>
      </c>
      <c r="T7622" cm="1">
        <f t="array" ref="T7622">IF(OR(B7622="MAL ALIMI", B7622="ÜRETİM GİRİŞ"), MIN(I7622, MAX(0, I7622 + SUM(SUMIFS($I$1:I7621, $C$1:C7621, C7622, $B$1:B7621, {"MAL ALIMI","ÜRETİM GİRİŞ"})) - VLOOKUP(C7622, 'STOK RAPORU'!$C$2:$I$1000, 4, 0))), 0)</f>
        <v>0</v>
      </c>
      <c r="U7622" s="22">
        <f t="shared" si="476"/>
        <v>0</v>
      </c>
      <c r="V7622">
        <f t="shared" si="477"/>
        <v>0</v>
      </c>
      <c r="W7622" s="22">
        <f t="shared" si="478"/>
        <v>0</v>
      </c>
    </row>
    <row r="7623" spans="1:23" hidden="1" x14ac:dyDescent="0.25">
      <c r="A7623" s="3">
        <v>46182</v>
      </c>
      <c r="B7623" s="46" t="s">
        <v>334</v>
      </c>
      <c r="C7623" s="4" t="s">
        <v>529</v>
      </c>
      <c r="D7623" s="4"/>
      <c r="E7623" s="4" t="s">
        <v>921</v>
      </c>
      <c r="F7623" s="4" t="s">
        <v>3624</v>
      </c>
      <c r="G7623" s="4" t="s">
        <v>336</v>
      </c>
      <c r="H7623" s="4" t="s">
        <v>380</v>
      </c>
      <c r="I7623" s="4">
        <v>0.15</v>
      </c>
      <c r="J7623" s="21">
        <v>600</v>
      </c>
      <c r="K7623" s="21">
        <v>90</v>
      </c>
      <c r="L7623" s="5">
        <v>0</v>
      </c>
      <c r="M7623" s="4"/>
      <c r="N7623" s="4"/>
      <c r="O7623" s="5"/>
      <c r="P7623" s="5"/>
      <c r="Q7623" s="21">
        <v>0</v>
      </c>
      <c r="R7623" s="21">
        <v>0</v>
      </c>
      <c r="S7623" s="5">
        <f t="shared" si="479"/>
        <v>43070.119203922884</v>
      </c>
      <c r="T7623" cm="1">
        <f t="array" ref="T7623">IF(OR(B7623="MAL ALIMI", B7623="ÜRETİM GİRİŞ"), MIN(I7623, MAX(0, I7623 + SUM(SUMIFS($I$1:I7622, $C$1:C7622, C7623, $B$1:B7622, {"MAL ALIMI","ÜRETİM GİRİŞ"})) - VLOOKUP(C7623, 'STOK RAPORU'!$C$2:$I$1000, 4, 0))), 0)</f>
        <v>0</v>
      </c>
      <c r="U7623" s="22">
        <f t="shared" si="476"/>
        <v>0</v>
      </c>
      <c r="V7623">
        <f t="shared" si="477"/>
        <v>0</v>
      </c>
      <c r="W7623" s="22">
        <f t="shared" si="478"/>
        <v>0</v>
      </c>
    </row>
    <row r="7624" spans="1:23" hidden="1" x14ac:dyDescent="0.25">
      <c r="A7624" s="3">
        <v>46182</v>
      </c>
      <c r="B7624" s="46" t="s">
        <v>334</v>
      </c>
      <c r="C7624" s="4" t="s">
        <v>1501</v>
      </c>
      <c r="D7624" s="4"/>
      <c r="E7624" s="4"/>
      <c r="F7624" s="4" t="s">
        <v>3625</v>
      </c>
      <c r="G7624" s="4" t="s">
        <v>336</v>
      </c>
      <c r="H7624" s="4" t="s">
        <v>289</v>
      </c>
      <c r="I7624" s="4">
        <v>0.5</v>
      </c>
      <c r="J7624" s="21">
        <v>700</v>
      </c>
      <c r="K7624" s="21">
        <v>0</v>
      </c>
      <c r="L7624" s="5">
        <v>0</v>
      </c>
      <c r="M7624" s="4"/>
      <c r="N7624" s="4"/>
      <c r="O7624" s="5"/>
      <c r="P7624" s="5"/>
      <c r="Q7624" s="21">
        <v>350</v>
      </c>
      <c r="R7624" s="21">
        <v>0</v>
      </c>
      <c r="S7624" s="5">
        <f t="shared" si="479"/>
        <v>43420.119203922884</v>
      </c>
      <c r="T7624" cm="1">
        <f t="array" ref="T7624">IF(OR(B7624="MAL ALIMI", B7624="ÜRETİM GİRİŞ"), MIN(I7624, MAX(0, I7624 + SUM(SUMIFS($I$1:I7623, $C$1:C7623, C7624, $B$1:B7623, {"MAL ALIMI","ÜRETİM GİRİŞ"})) - VLOOKUP(C7624, 'STOK RAPORU'!$C$2:$I$1000, 4, 0))), 0)</f>
        <v>0</v>
      </c>
      <c r="U7624" s="22">
        <f t="shared" si="476"/>
        <v>0</v>
      </c>
      <c r="V7624">
        <f t="shared" si="477"/>
        <v>0</v>
      </c>
      <c r="W7624" s="22">
        <f t="shared" si="478"/>
        <v>0</v>
      </c>
    </row>
    <row r="7625" spans="1:23" hidden="1" x14ac:dyDescent="0.25">
      <c r="A7625" s="3">
        <v>46182</v>
      </c>
      <c r="B7625" s="46" t="s">
        <v>334</v>
      </c>
      <c r="C7625" s="4" t="s">
        <v>459</v>
      </c>
      <c r="D7625" s="4"/>
      <c r="E7625" s="4"/>
      <c r="F7625" s="4" t="s">
        <v>3626</v>
      </c>
      <c r="G7625" s="4" t="s">
        <v>336</v>
      </c>
      <c r="H7625" s="4" t="s">
        <v>289</v>
      </c>
      <c r="I7625" s="4">
        <v>0.05</v>
      </c>
      <c r="J7625" s="21">
        <v>140</v>
      </c>
      <c r="K7625" s="21">
        <v>0</v>
      </c>
      <c r="L7625" s="5">
        <v>0</v>
      </c>
      <c r="M7625" s="4"/>
      <c r="N7625" s="4"/>
      <c r="O7625" s="5"/>
      <c r="P7625" s="5"/>
      <c r="Q7625" s="21">
        <v>7</v>
      </c>
      <c r="R7625" s="21">
        <v>0</v>
      </c>
      <c r="S7625" s="5">
        <f t="shared" si="479"/>
        <v>43427.119203922884</v>
      </c>
      <c r="T7625" cm="1">
        <f t="array" ref="T7625">IF(OR(B7625="MAL ALIMI", B7625="ÜRETİM GİRİŞ"), MIN(I7625, MAX(0, I7625 + SUM(SUMIFS($I$1:I7624, $C$1:C7624, C7625, $B$1:B7624, {"MAL ALIMI","ÜRETİM GİRİŞ"})) - VLOOKUP(C7625, 'STOK RAPORU'!$C$2:$I$1000, 4, 0))), 0)</f>
        <v>0</v>
      </c>
      <c r="U7625" s="22">
        <f t="shared" si="476"/>
        <v>0</v>
      </c>
      <c r="V7625">
        <f t="shared" si="477"/>
        <v>0</v>
      </c>
      <c r="W7625" s="22">
        <f t="shared" si="478"/>
        <v>0</v>
      </c>
    </row>
    <row r="7626" spans="1:23" hidden="1" x14ac:dyDescent="0.25">
      <c r="A7626" s="3">
        <v>46182</v>
      </c>
      <c r="B7626" s="46" t="s">
        <v>334</v>
      </c>
      <c r="C7626" s="4" t="s">
        <v>140</v>
      </c>
      <c r="D7626" s="4"/>
      <c r="E7626" s="4" t="s">
        <v>921</v>
      </c>
      <c r="F7626" s="4" t="s">
        <v>3627</v>
      </c>
      <c r="G7626" s="4" t="s">
        <v>336</v>
      </c>
      <c r="H7626" s="4" t="s">
        <v>380</v>
      </c>
      <c r="I7626" s="4">
        <v>0.16799999999999998</v>
      </c>
      <c r="J7626" s="21">
        <v>300</v>
      </c>
      <c r="K7626" s="21">
        <v>50.399999999999991</v>
      </c>
      <c r="L7626" s="5">
        <v>0</v>
      </c>
      <c r="M7626" s="4"/>
      <c r="N7626" s="4"/>
      <c r="O7626" s="5"/>
      <c r="P7626" s="5"/>
      <c r="Q7626" s="21">
        <v>0</v>
      </c>
      <c r="R7626" s="21">
        <v>0</v>
      </c>
      <c r="S7626" s="5">
        <f t="shared" si="479"/>
        <v>43427.119203922884</v>
      </c>
      <c r="T7626" cm="1">
        <f t="array" ref="T7626">IF(OR(B7626="MAL ALIMI", B7626="ÜRETİM GİRİŞ"), MIN(I7626, MAX(0, I7626 + SUM(SUMIFS($I$1:I7625, $C$1:C7625, C7626, $B$1:B7625, {"MAL ALIMI","ÜRETİM GİRİŞ"})) - VLOOKUP(C7626, 'STOK RAPORU'!$C$2:$I$1000, 4, 0))), 0)</f>
        <v>0</v>
      </c>
      <c r="U7626" s="22">
        <f t="shared" si="476"/>
        <v>0</v>
      </c>
      <c r="V7626">
        <f t="shared" si="477"/>
        <v>0</v>
      </c>
      <c r="W7626" s="22">
        <f t="shared" si="478"/>
        <v>0</v>
      </c>
    </row>
    <row r="7627" spans="1:23" hidden="1" x14ac:dyDescent="0.25">
      <c r="A7627" s="3">
        <v>46182</v>
      </c>
      <c r="B7627" s="46" t="s">
        <v>334</v>
      </c>
      <c r="C7627" s="4" t="s">
        <v>98</v>
      </c>
      <c r="D7627" s="4"/>
      <c r="E7627" s="4" t="s">
        <v>921</v>
      </c>
      <c r="F7627" s="4" t="s">
        <v>3627</v>
      </c>
      <c r="G7627" s="4" t="s">
        <v>336</v>
      </c>
      <c r="H7627" s="4" t="s">
        <v>380</v>
      </c>
      <c r="I7627" s="4">
        <v>0.17199999999999999</v>
      </c>
      <c r="J7627" s="21">
        <v>400</v>
      </c>
      <c r="K7627" s="21">
        <v>68.8</v>
      </c>
      <c r="L7627" s="5">
        <v>0</v>
      </c>
      <c r="M7627" s="4"/>
      <c r="N7627" s="4"/>
      <c r="O7627" s="5"/>
      <c r="P7627" s="5"/>
      <c r="Q7627" s="21">
        <v>0</v>
      </c>
      <c r="R7627" s="21">
        <v>0</v>
      </c>
      <c r="S7627" s="5">
        <f t="shared" si="479"/>
        <v>43427.119203922884</v>
      </c>
      <c r="T7627" cm="1">
        <f t="array" ref="T7627">IF(OR(B7627="MAL ALIMI", B7627="ÜRETİM GİRİŞ"), MIN(I7627, MAX(0, I7627 + SUM(SUMIFS($I$1:I7626, $C$1:C7626, C7627, $B$1:B7626, {"MAL ALIMI","ÜRETİM GİRİŞ"})) - VLOOKUP(C7627, 'STOK RAPORU'!$C$2:$I$1000, 4, 0))), 0)</f>
        <v>0</v>
      </c>
      <c r="U7627" s="22">
        <f t="shared" si="476"/>
        <v>0</v>
      </c>
      <c r="V7627">
        <f t="shared" si="477"/>
        <v>0</v>
      </c>
      <c r="W7627" s="22">
        <f t="shared" si="478"/>
        <v>0</v>
      </c>
    </row>
    <row r="7628" spans="1:23" hidden="1" x14ac:dyDescent="0.25">
      <c r="A7628" s="3">
        <v>46182</v>
      </c>
      <c r="B7628" s="46" t="s">
        <v>334</v>
      </c>
      <c r="C7628" s="4" t="s">
        <v>457</v>
      </c>
      <c r="D7628" s="4"/>
      <c r="E7628" s="4" t="s">
        <v>921</v>
      </c>
      <c r="F7628" s="4" t="s">
        <v>3627</v>
      </c>
      <c r="G7628" s="4" t="s">
        <v>336</v>
      </c>
      <c r="H7628" s="4" t="s">
        <v>380</v>
      </c>
      <c r="I7628" s="4">
        <v>0.2</v>
      </c>
      <c r="J7628" s="21">
        <v>700</v>
      </c>
      <c r="K7628" s="21">
        <v>140</v>
      </c>
      <c r="L7628" s="5">
        <v>0</v>
      </c>
      <c r="M7628" s="4"/>
      <c r="N7628" s="4"/>
      <c r="O7628" s="5"/>
      <c r="P7628" s="5"/>
      <c r="Q7628" s="21">
        <v>0</v>
      </c>
      <c r="R7628" s="21">
        <v>0</v>
      </c>
      <c r="S7628" s="5">
        <f t="shared" si="479"/>
        <v>43427.119203922884</v>
      </c>
      <c r="T7628" cm="1">
        <f t="array" ref="T7628">IF(OR(B7628="MAL ALIMI", B7628="ÜRETİM GİRİŞ"), MIN(I7628, MAX(0, I7628 + SUM(SUMIFS($I$1:I7627, $C$1:C7627, C7628, $B$1:B7627, {"MAL ALIMI","ÜRETİM GİRİŞ"})) - VLOOKUP(C7628, 'STOK RAPORU'!$C$2:$I$1000, 4, 0))), 0)</f>
        <v>0</v>
      </c>
      <c r="U7628" s="22">
        <f t="shared" si="476"/>
        <v>0</v>
      </c>
      <c r="V7628">
        <f t="shared" si="477"/>
        <v>0</v>
      </c>
      <c r="W7628" s="22">
        <f t="shared" si="478"/>
        <v>0</v>
      </c>
    </row>
    <row r="7629" spans="1:23" hidden="1" x14ac:dyDescent="0.25">
      <c r="A7629" s="3">
        <v>46182</v>
      </c>
      <c r="B7629" s="46" t="s">
        <v>334</v>
      </c>
      <c r="C7629" s="4" t="s">
        <v>131</v>
      </c>
      <c r="D7629" s="4"/>
      <c r="E7629" s="4"/>
      <c r="F7629" s="4" t="s">
        <v>3628</v>
      </c>
      <c r="G7629" s="4" t="s">
        <v>1716</v>
      </c>
      <c r="H7629" s="42" t="s">
        <v>289</v>
      </c>
      <c r="I7629" s="4">
        <v>0.1</v>
      </c>
      <c r="J7629" s="21">
        <v>400</v>
      </c>
      <c r="K7629" s="43">
        <v>0</v>
      </c>
      <c r="L7629" s="5">
        <v>0</v>
      </c>
      <c r="M7629" s="4"/>
      <c r="N7629" s="4"/>
      <c r="O7629" s="5"/>
      <c r="P7629" s="5"/>
      <c r="Q7629" s="21">
        <v>40</v>
      </c>
      <c r="R7629" s="21">
        <v>0</v>
      </c>
      <c r="S7629" s="5">
        <f t="shared" si="479"/>
        <v>43467.119203922884</v>
      </c>
      <c r="T7629" cm="1">
        <f t="array" ref="T7629">IF(OR(B7629="MAL ALIMI", B7629="ÜRETİM GİRİŞ"), MIN(I7629, MAX(0, I7629 + SUM(SUMIFS($I$1:I7628, $C$1:C7628, C7629, $B$1:B7628, {"MAL ALIMI","ÜRETİM GİRİŞ"})) - VLOOKUP(C7629, 'STOK RAPORU'!$C$2:$I$1000, 4, 0))), 0)</f>
        <v>0</v>
      </c>
      <c r="U7629" s="22">
        <f t="shared" si="476"/>
        <v>0</v>
      </c>
      <c r="V7629">
        <f t="shared" si="477"/>
        <v>0</v>
      </c>
      <c r="W7629" s="22">
        <f t="shared" si="478"/>
        <v>0</v>
      </c>
    </row>
    <row r="7630" spans="1:23" hidden="1" x14ac:dyDescent="0.25">
      <c r="A7630" s="3">
        <v>46182</v>
      </c>
      <c r="B7630" s="46" t="s">
        <v>334</v>
      </c>
      <c r="C7630" s="4" t="s">
        <v>129</v>
      </c>
      <c r="D7630" s="4"/>
      <c r="E7630" s="4"/>
      <c r="F7630" s="4" t="s">
        <v>3628</v>
      </c>
      <c r="G7630" s="4" t="s">
        <v>1716</v>
      </c>
      <c r="H7630" s="42" t="s">
        <v>289</v>
      </c>
      <c r="I7630" s="4">
        <v>0.1</v>
      </c>
      <c r="J7630" s="21">
        <v>400</v>
      </c>
      <c r="K7630" s="43">
        <v>0</v>
      </c>
      <c r="L7630" s="5">
        <v>0</v>
      </c>
      <c r="M7630" s="4"/>
      <c r="N7630" s="4"/>
      <c r="O7630" s="5"/>
      <c r="P7630" s="5"/>
      <c r="Q7630" s="21">
        <v>40</v>
      </c>
      <c r="R7630" s="21">
        <v>0</v>
      </c>
      <c r="S7630" s="5">
        <f t="shared" si="479"/>
        <v>43507.119203922884</v>
      </c>
      <c r="T7630" cm="1">
        <f t="array" ref="T7630">IF(OR(B7630="MAL ALIMI", B7630="ÜRETİM GİRİŞ"), MIN(I7630, MAX(0, I7630 + SUM(SUMIFS($I$1:I7629, $C$1:C7629, C7630, $B$1:B7629, {"MAL ALIMI","ÜRETİM GİRİŞ"})) - VLOOKUP(C7630, 'STOK RAPORU'!$C$2:$I$1000, 4, 0))), 0)</f>
        <v>0</v>
      </c>
      <c r="U7630" s="22">
        <f t="shared" si="476"/>
        <v>0</v>
      </c>
      <c r="V7630">
        <f t="shared" si="477"/>
        <v>0</v>
      </c>
      <c r="W7630" s="22">
        <f t="shared" si="478"/>
        <v>0</v>
      </c>
    </row>
    <row r="7631" spans="1:23" hidden="1" x14ac:dyDescent="0.25">
      <c r="A7631" s="3">
        <v>46182</v>
      </c>
      <c r="B7631" s="46" t="s">
        <v>334</v>
      </c>
      <c r="C7631" s="4" t="s">
        <v>505</v>
      </c>
      <c r="D7631" s="4"/>
      <c r="E7631" s="4"/>
      <c r="F7631" s="4" t="s">
        <v>3628</v>
      </c>
      <c r="G7631" s="4" t="s">
        <v>1716</v>
      </c>
      <c r="H7631" s="42" t="s">
        <v>289</v>
      </c>
      <c r="I7631" s="4">
        <v>1</v>
      </c>
      <c r="J7631" s="21">
        <v>220</v>
      </c>
      <c r="K7631" s="43">
        <v>0</v>
      </c>
      <c r="L7631" s="5">
        <v>0</v>
      </c>
      <c r="M7631" s="4"/>
      <c r="N7631" s="4"/>
      <c r="O7631" s="5"/>
      <c r="P7631" s="5"/>
      <c r="Q7631" s="21">
        <v>220</v>
      </c>
      <c r="R7631" s="21">
        <v>0</v>
      </c>
      <c r="S7631" s="5">
        <f t="shared" si="479"/>
        <v>43727.119203922884</v>
      </c>
      <c r="T7631" cm="1">
        <f t="array" ref="T7631">IF(OR(B7631="MAL ALIMI", B7631="ÜRETİM GİRİŞ"), MIN(I7631, MAX(0, I7631 + SUM(SUMIFS($I$1:I7630, $C$1:C7630, C7631, $B$1:B7630, {"MAL ALIMI","ÜRETİM GİRİŞ"})) - VLOOKUP(C7631, 'STOK RAPORU'!$C$2:$I$1000, 4, 0))), 0)</f>
        <v>0</v>
      </c>
      <c r="U7631" s="22">
        <f t="shared" si="476"/>
        <v>0</v>
      </c>
      <c r="V7631">
        <f t="shared" si="477"/>
        <v>0</v>
      </c>
      <c r="W7631" s="22">
        <f t="shared" si="478"/>
        <v>0</v>
      </c>
    </row>
    <row r="7632" spans="1:23" hidden="1" x14ac:dyDescent="0.25">
      <c r="A7632" s="3">
        <v>46182</v>
      </c>
      <c r="B7632" s="46" t="s">
        <v>334</v>
      </c>
      <c r="C7632" s="4" t="s">
        <v>2117</v>
      </c>
      <c r="D7632" s="4"/>
      <c r="E7632" s="4" t="s">
        <v>921</v>
      </c>
      <c r="F7632" s="4" t="s">
        <v>3631</v>
      </c>
      <c r="G7632" s="4" t="s">
        <v>336</v>
      </c>
      <c r="H7632" s="4" t="s">
        <v>380</v>
      </c>
      <c r="I7632" s="4">
        <v>2</v>
      </c>
      <c r="J7632" s="21">
        <v>30</v>
      </c>
      <c r="K7632" s="21">
        <v>60</v>
      </c>
      <c r="L7632" s="5">
        <v>0</v>
      </c>
      <c r="M7632" s="4"/>
      <c r="N7632" s="4"/>
      <c r="O7632" s="5"/>
      <c r="P7632" s="5"/>
      <c r="Q7632" s="21">
        <v>0</v>
      </c>
      <c r="R7632" s="21">
        <v>0</v>
      </c>
      <c r="S7632" s="5">
        <f t="shared" si="479"/>
        <v>43727.119203922884</v>
      </c>
      <c r="T7632" cm="1">
        <f t="array" ref="T7632">IF(OR(B7632="MAL ALIMI", B7632="ÜRETİM GİRİŞ"), MIN(I7632, MAX(0, I7632 + SUM(SUMIFS($I$1:I7631, $C$1:C7631, C7632, $B$1:B7631, {"MAL ALIMI","ÜRETİM GİRİŞ"})) - VLOOKUP(C7632, 'STOK RAPORU'!$C$2:$I$1000, 4, 0))), 0)</f>
        <v>0</v>
      </c>
      <c r="U7632" s="22">
        <f t="shared" si="476"/>
        <v>0</v>
      </c>
      <c r="V7632">
        <f t="shared" si="477"/>
        <v>0</v>
      </c>
      <c r="W7632" s="22">
        <f t="shared" si="478"/>
        <v>0</v>
      </c>
    </row>
    <row r="7633" spans="1:23" hidden="1" x14ac:dyDescent="0.25">
      <c r="A7633" s="3">
        <v>46183</v>
      </c>
      <c r="B7633" s="46" t="s">
        <v>334</v>
      </c>
      <c r="C7633" s="4" t="s">
        <v>156</v>
      </c>
      <c r="D7633" s="4"/>
      <c r="E7633" s="4" t="s">
        <v>921</v>
      </c>
      <c r="F7633" s="4" t="s">
        <v>3635</v>
      </c>
      <c r="G7633" s="4" t="s">
        <v>336</v>
      </c>
      <c r="H7633" s="4" t="s">
        <v>380</v>
      </c>
      <c r="I7633" s="4">
        <v>0.5</v>
      </c>
      <c r="J7633" s="21">
        <v>200</v>
      </c>
      <c r="K7633" s="21">
        <v>100</v>
      </c>
      <c r="L7633" s="5">
        <v>0</v>
      </c>
      <c r="M7633" s="4"/>
      <c r="N7633" s="4"/>
      <c r="O7633" s="5"/>
      <c r="P7633" s="5"/>
      <c r="Q7633" s="21">
        <v>0</v>
      </c>
      <c r="R7633" s="21">
        <v>0</v>
      </c>
      <c r="S7633" s="5">
        <f t="shared" si="479"/>
        <v>43727.119203922884</v>
      </c>
      <c r="T7633" cm="1">
        <f t="array" ref="T7633">IF(OR(B7633="MAL ALIMI", B7633="ÜRETİM GİRİŞ"), MIN(I7633, MAX(0, I7633 + SUM(SUMIFS($I$1:I7632, $C$1:C7632, C7633, $B$1:B7632, {"MAL ALIMI","ÜRETİM GİRİŞ"})) - VLOOKUP(C7633, 'STOK RAPORU'!$C$2:$I$1000, 4, 0))), 0)</f>
        <v>0</v>
      </c>
      <c r="U7633" s="22">
        <f t="shared" si="476"/>
        <v>0</v>
      </c>
      <c r="V7633">
        <f t="shared" si="477"/>
        <v>0</v>
      </c>
      <c r="W7633" s="22">
        <f t="shared" si="478"/>
        <v>0</v>
      </c>
    </row>
    <row r="7634" spans="1:23" hidden="1" x14ac:dyDescent="0.25">
      <c r="A7634" s="3">
        <v>46183</v>
      </c>
      <c r="B7634" s="46" t="s">
        <v>334</v>
      </c>
      <c r="C7634" s="4" t="s">
        <v>158</v>
      </c>
      <c r="D7634" s="4"/>
      <c r="E7634" s="4" t="s">
        <v>921</v>
      </c>
      <c r="F7634" s="4" t="s">
        <v>3635</v>
      </c>
      <c r="G7634" s="4" t="s">
        <v>336</v>
      </c>
      <c r="H7634" s="4" t="s">
        <v>380</v>
      </c>
      <c r="I7634" s="4">
        <v>0.5</v>
      </c>
      <c r="J7634" s="21">
        <v>150</v>
      </c>
      <c r="K7634" s="21">
        <v>75</v>
      </c>
      <c r="L7634" s="5">
        <v>0</v>
      </c>
      <c r="M7634" s="4"/>
      <c r="N7634" s="4"/>
      <c r="O7634" s="5"/>
      <c r="P7634" s="5"/>
      <c r="Q7634" s="21">
        <v>0</v>
      </c>
      <c r="R7634" s="21">
        <v>0</v>
      </c>
      <c r="S7634" s="5">
        <f t="shared" si="479"/>
        <v>43727.119203922884</v>
      </c>
      <c r="T7634" cm="1">
        <f t="array" ref="T7634">IF(OR(B7634="MAL ALIMI", B7634="ÜRETİM GİRİŞ"), MIN(I7634, MAX(0, I7634 + SUM(SUMIFS($I$1:I7633, $C$1:C7633, C7634, $B$1:B7633, {"MAL ALIMI","ÜRETİM GİRİŞ"})) - VLOOKUP(C7634, 'STOK RAPORU'!$C$2:$I$1000, 4, 0))), 0)</f>
        <v>0</v>
      </c>
      <c r="U7634" s="22">
        <f t="shared" si="476"/>
        <v>0</v>
      </c>
      <c r="V7634">
        <f t="shared" si="477"/>
        <v>0</v>
      </c>
      <c r="W7634" s="22">
        <f t="shared" si="478"/>
        <v>0</v>
      </c>
    </row>
    <row r="7635" spans="1:23" hidden="1" x14ac:dyDescent="0.25">
      <c r="A7635" s="3">
        <v>46183</v>
      </c>
      <c r="B7635" s="46" t="s">
        <v>334</v>
      </c>
      <c r="C7635" s="4" t="s">
        <v>1023</v>
      </c>
      <c r="D7635" s="4"/>
      <c r="E7635" s="4" t="s">
        <v>921</v>
      </c>
      <c r="F7635" s="4" t="s">
        <v>3635</v>
      </c>
      <c r="G7635" s="4" t="s">
        <v>336</v>
      </c>
      <c r="H7635" s="4" t="s">
        <v>380</v>
      </c>
      <c r="I7635" s="4">
        <v>1.3859999999999999</v>
      </c>
      <c r="J7635" s="21">
        <v>63</v>
      </c>
      <c r="K7635" s="21">
        <v>87.317999999999998</v>
      </c>
      <c r="L7635" s="5">
        <v>0</v>
      </c>
      <c r="M7635" s="4"/>
      <c r="N7635" s="4"/>
      <c r="O7635" s="5"/>
      <c r="P7635" s="5"/>
      <c r="Q7635" s="21">
        <v>0</v>
      </c>
      <c r="R7635" s="21">
        <v>0</v>
      </c>
      <c r="S7635" s="5">
        <f t="shared" si="479"/>
        <v>43727.119203922884</v>
      </c>
      <c r="T7635" cm="1">
        <f t="array" ref="T7635">IF(OR(B7635="MAL ALIMI", B7635="ÜRETİM GİRİŞ"), MIN(I7635, MAX(0, I7635 + SUM(SUMIFS($I$1:I7634, $C$1:C7634, C7635, $B$1:B7634, {"MAL ALIMI","ÜRETİM GİRİŞ"})) - VLOOKUP(C7635, 'STOK RAPORU'!$C$2:$I$1000, 4, 0))), 0)</f>
        <v>0</v>
      </c>
      <c r="U7635" s="22">
        <f t="shared" si="476"/>
        <v>0</v>
      </c>
      <c r="V7635">
        <f t="shared" si="477"/>
        <v>0</v>
      </c>
      <c r="W7635" s="22">
        <f t="shared" si="478"/>
        <v>0</v>
      </c>
    </row>
    <row r="7636" spans="1:23" hidden="1" x14ac:dyDescent="0.25">
      <c r="A7636" s="3">
        <v>46183</v>
      </c>
      <c r="B7636" s="46" t="s">
        <v>334</v>
      </c>
      <c r="C7636" s="4" t="s">
        <v>133</v>
      </c>
      <c r="D7636" s="4"/>
      <c r="E7636" s="4" t="s">
        <v>921</v>
      </c>
      <c r="F7636" s="4" t="s">
        <v>3635</v>
      </c>
      <c r="G7636" s="4" t="s">
        <v>336</v>
      </c>
      <c r="H7636" s="4" t="s">
        <v>380</v>
      </c>
      <c r="I7636" s="4">
        <v>0.17</v>
      </c>
      <c r="J7636" s="21">
        <v>400</v>
      </c>
      <c r="K7636" s="21">
        <v>68</v>
      </c>
      <c r="L7636" s="5">
        <v>0</v>
      </c>
      <c r="M7636" s="4"/>
      <c r="N7636" s="4"/>
      <c r="O7636" s="5"/>
      <c r="P7636" s="5"/>
      <c r="Q7636" s="21">
        <v>0</v>
      </c>
      <c r="R7636" s="21">
        <v>0</v>
      </c>
      <c r="S7636" s="5">
        <f t="shared" si="479"/>
        <v>43727.119203922884</v>
      </c>
      <c r="T7636" cm="1">
        <f t="array" ref="T7636">IF(OR(B7636="MAL ALIMI", B7636="ÜRETİM GİRİŞ"), MIN(I7636, MAX(0, I7636 + SUM(SUMIFS($I$1:I7635, $C$1:C7635, C7636, $B$1:B7635, {"MAL ALIMI","ÜRETİM GİRİŞ"})) - VLOOKUP(C7636, 'STOK RAPORU'!$C$2:$I$1000, 4, 0))), 0)</f>
        <v>0</v>
      </c>
      <c r="U7636" s="22">
        <f t="shared" si="476"/>
        <v>0</v>
      </c>
      <c r="V7636">
        <f t="shared" si="477"/>
        <v>0</v>
      </c>
      <c r="W7636" s="22">
        <f t="shared" si="478"/>
        <v>0</v>
      </c>
    </row>
    <row r="7637" spans="1:23" hidden="1" x14ac:dyDescent="0.25">
      <c r="A7637" s="3">
        <v>46183</v>
      </c>
      <c r="B7637" s="46" t="s">
        <v>334</v>
      </c>
      <c r="C7637" s="4" t="s">
        <v>193</v>
      </c>
      <c r="D7637" s="4"/>
      <c r="E7637" s="4" t="s">
        <v>921</v>
      </c>
      <c r="F7637" s="4" t="s">
        <v>3636</v>
      </c>
      <c r="G7637" s="4" t="s">
        <v>336</v>
      </c>
      <c r="H7637" s="4" t="s">
        <v>380</v>
      </c>
      <c r="I7637" s="4">
        <v>0.1</v>
      </c>
      <c r="J7637" s="21">
        <v>900</v>
      </c>
      <c r="K7637" s="21">
        <v>90</v>
      </c>
      <c r="L7637" s="5">
        <v>0</v>
      </c>
      <c r="M7637" s="4"/>
      <c r="N7637" s="4"/>
      <c r="O7637" s="5"/>
      <c r="P7637" s="5"/>
      <c r="Q7637" s="21">
        <v>0</v>
      </c>
      <c r="R7637" s="21">
        <v>0</v>
      </c>
      <c r="S7637" s="5">
        <f t="shared" si="479"/>
        <v>43727.119203922884</v>
      </c>
      <c r="T7637" cm="1">
        <f t="array" ref="T7637">IF(OR(B7637="MAL ALIMI", B7637="ÜRETİM GİRİŞ"), MIN(I7637, MAX(0, I7637 + SUM(SUMIFS($I$1:I7636, $C$1:C7636, C7637, $B$1:B7636, {"MAL ALIMI","ÜRETİM GİRİŞ"})) - VLOOKUP(C7637, 'STOK RAPORU'!$C$2:$I$1000, 4, 0))), 0)</f>
        <v>0</v>
      </c>
      <c r="U7637" s="22">
        <f t="shared" si="476"/>
        <v>0</v>
      </c>
      <c r="V7637">
        <f t="shared" si="477"/>
        <v>0</v>
      </c>
      <c r="W7637" s="22">
        <f t="shared" si="478"/>
        <v>0</v>
      </c>
    </row>
    <row r="7638" spans="1:23" hidden="1" x14ac:dyDescent="0.25">
      <c r="A7638" s="3">
        <v>46183</v>
      </c>
      <c r="B7638" s="46" t="s">
        <v>334</v>
      </c>
      <c r="C7638" s="4" t="s">
        <v>530</v>
      </c>
      <c r="D7638" s="4"/>
      <c r="E7638" s="4" t="s">
        <v>921</v>
      </c>
      <c r="F7638" s="4" t="s">
        <v>3636</v>
      </c>
      <c r="G7638" s="4" t="s">
        <v>336</v>
      </c>
      <c r="H7638" s="4" t="s">
        <v>380</v>
      </c>
      <c r="I7638" s="4">
        <v>0.5</v>
      </c>
      <c r="J7638" s="21">
        <v>300</v>
      </c>
      <c r="K7638" s="21">
        <v>150</v>
      </c>
      <c r="L7638" s="5">
        <v>0</v>
      </c>
      <c r="M7638" s="4"/>
      <c r="N7638" s="4"/>
      <c r="O7638" s="5"/>
      <c r="P7638" s="5"/>
      <c r="Q7638" s="21">
        <v>0</v>
      </c>
      <c r="R7638" s="21">
        <v>0</v>
      </c>
      <c r="S7638" s="5">
        <f t="shared" si="479"/>
        <v>43727.119203922884</v>
      </c>
      <c r="T7638" cm="1">
        <f t="array" ref="T7638">IF(OR(B7638="MAL ALIMI", B7638="ÜRETİM GİRİŞ"), MIN(I7638, MAX(0, I7638 + SUM(SUMIFS($I$1:I7637, $C$1:C7637, C7638, $B$1:B7637, {"MAL ALIMI","ÜRETİM GİRİŞ"})) - VLOOKUP(C7638, 'STOK RAPORU'!$C$2:$I$1000, 4, 0))), 0)</f>
        <v>0</v>
      </c>
      <c r="U7638" s="22">
        <f t="shared" si="476"/>
        <v>0</v>
      </c>
      <c r="V7638">
        <f t="shared" si="477"/>
        <v>0</v>
      </c>
      <c r="W7638" s="22">
        <f t="shared" si="478"/>
        <v>0</v>
      </c>
    </row>
    <row r="7639" spans="1:23" hidden="1" x14ac:dyDescent="0.25">
      <c r="A7639" s="3">
        <v>46183</v>
      </c>
      <c r="B7639" s="46" t="s">
        <v>334</v>
      </c>
      <c r="C7639" s="4" t="s">
        <v>126</v>
      </c>
      <c r="D7639" s="4"/>
      <c r="E7639" s="4"/>
      <c r="F7639" s="4" t="s">
        <v>3637</v>
      </c>
      <c r="G7639" s="4" t="s">
        <v>336</v>
      </c>
      <c r="H7639" s="4" t="s">
        <v>289</v>
      </c>
      <c r="I7639" s="4">
        <v>0.15384615384615385</v>
      </c>
      <c r="J7639" s="21">
        <v>650</v>
      </c>
      <c r="K7639" s="21">
        <v>0</v>
      </c>
      <c r="L7639" s="5">
        <v>0</v>
      </c>
      <c r="M7639" s="4"/>
      <c r="N7639" s="4"/>
      <c r="O7639" s="5"/>
      <c r="P7639" s="5"/>
      <c r="Q7639" s="21">
        <v>100</v>
      </c>
      <c r="R7639" s="21">
        <v>0</v>
      </c>
      <c r="S7639" s="5">
        <f t="shared" si="479"/>
        <v>43827.119203922884</v>
      </c>
      <c r="T7639" cm="1">
        <f t="array" ref="T7639">IF(OR(B7639="MAL ALIMI", B7639="ÜRETİM GİRİŞ"), MIN(I7639, MAX(0, I7639 + SUM(SUMIFS($I$1:I7638, $C$1:C7638, C7639, $B$1:B7638, {"MAL ALIMI","ÜRETİM GİRİŞ"})) - VLOOKUP(C7639, 'STOK RAPORU'!$C$2:$I$1000, 4, 0))), 0)</f>
        <v>0</v>
      </c>
      <c r="U7639" s="22">
        <f t="shared" si="476"/>
        <v>0</v>
      </c>
      <c r="V7639">
        <f t="shared" si="477"/>
        <v>0</v>
      </c>
      <c r="W7639" s="22">
        <f t="shared" si="478"/>
        <v>0</v>
      </c>
    </row>
    <row r="7640" spans="1:23" hidden="1" x14ac:dyDescent="0.25">
      <c r="A7640" s="3">
        <v>46183</v>
      </c>
      <c r="B7640" s="46" t="s">
        <v>334</v>
      </c>
      <c r="C7640" s="4" t="s">
        <v>196</v>
      </c>
      <c r="D7640" s="4"/>
      <c r="E7640" s="4" t="s">
        <v>921</v>
      </c>
      <c r="F7640" s="4" t="s">
        <v>3637</v>
      </c>
      <c r="G7640" s="4" t="s">
        <v>336</v>
      </c>
      <c r="H7640" s="4" t="s">
        <v>380</v>
      </c>
      <c r="I7640" s="4">
        <v>0.43478260869565216</v>
      </c>
      <c r="J7640" s="21">
        <v>230</v>
      </c>
      <c r="K7640" s="21">
        <v>100</v>
      </c>
      <c r="L7640" s="5">
        <v>0</v>
      </c>
      <c r="M7640" s="4"/>
      <c r="N7640" s="4"/>
      <c r="O7640" s="5"/>
      <c r="P7640" s="5"/>
      <c r="Q7640" s="21">
        <v>0</v>
      </c>
      <c r="R7640" s="21">
        <v>0</v>
      </c>
      <c r="S7640" s="5">
        <f t="shared" si="479"/>
        <v>43827.119203922884</v>
      </c>
      <c r="T7640" cm="1">
        <f t="array" ref="T7640">IF(OR(B7640="MAL ALIMI", B7640="ÜRETİM GİRİŞ"), MIN(I7640, MAX(0, I7640 + SUM(SUMIFS($I$1:I7639, $C$1:C7639, C7640, $B$1:B7639, {"MAL ALIMI","ÜRETİM GİRİŞ"})) - VLOOKUP(C7640, 'STOK RAPORU'!$C$2:$I$1000, 4, 0))), 0)</f>
        <v>0</v>
      </c>
      <c r="U7640" s="22">
        <f t="shared" si="476"/>
        <v>0</v>
      </c>
      <c r="V7640">
        <f t="shared" si="477"/>
        <v>0</v>
      </c>
      <c r="W7640" s="22">
        <f t="shared" si="478"/>
        <v>0</v>
      </c>
    </row>
    <row r="7641" spans="1:23" hidden="1" x14ac:dyDescent="0.25">
      <c r="A7641" s="3">
        <v>46183</v>
      </c>
      <c r="B7641" s="46" t="s">
        <v>334</v>
      </c>
      <c r="C7641" s="4" t="s">
        <v>1041</v>
      </c>
      <c r="D7641" s="4"/>
      <c r="E7641" s="4"/>
      <c r="F7641" s="4" t="s">
        <v>3638</v>
      </c>
      <c r="G7641" s="4" t="s">
        <v>336</v>
      </c>
      <c r="H7641" s="4" t="s">
        <v>289</v>
      </c>
      <c r="I7641" s="4">
        <v>0.8</v>
      </c>
      <c r="J7641" s="21">
        <v>250</v>
      </c>
      <c r="K7641" s="21">
        <v>0</v>
      </c>
      <c r="L7641" s="5">
        <v>0</v>
      </c>
      <c r="M7641" s="4"/>
      <c r="N7641" s="4"/>
      <c r="O7641" s="5"/>
      <c r="P7641" s="5"/>
      <c r="Q7641" s="21">
        <v>200</v>
      </c>
      <c r="R7641" s="21">
        <v>0</v>
      </c>
      <c r="S7641" s="5">
        <f t="shared" si="479"/>
        <v>44027.119203922884</v>
      </c>
      <c r="T7641" cm="1">
        <f t="array" ref="T7641">IF(OR(B7641="MAL ALIMI", B7641="ÜRETİM GİRİŞ"), MIN(I7641, MAX(0, I7641 + SUM(SUMIFS($I$1:I7640, $C$1:C7640, C7641, $B$1:B7640, {"MAL ALIMI","ÜRETİM GİRİŞ"})) - VLOOKUP(C7641, 'STOK RAPORU'!$C$2:$I$1000, 4, 0))), 0)</f>
        <v>0</v>
      </c>
      <c r="U7641" s="22">
        <f t="shared" si="476"/>
        <v>0</v>
      </c>
      <c r="V7641">
        <f t="shared" si="477"/>
        <v>0</v>
      </c>
      <c r="W7641" s="22">
        <f t="shared" si="478"/>
        <v>0</v>
      </c>
    </row>
    <row r="7642" spans="1:23" hidden="1" x14ac:dyDescent="0.25">
      <c r="A7642" s="3">
        <v>46183</v>
      </c>
      <c r="B7642" s="46" t="s">
        <v>917</v>
      </c>
      <c r="C7642" s="4"/>
      <c r="D7642" s="4"/>
      <c r="E7642" s="4" t="s">
        <v>856</v>
      </c>
      <c r="F7642" s="4"/>
      <c r="G7642" s="4" t="s">
        <v>3741</v>
      </c>
      <c r="H7642" s="4" t="s">
        <v>289</v>
      </c>
      <c r="I7642" s="4">
        <v>1</v>
      </c>
      <c r="J7642" s="21">
        <v>1255.18</v>
      </c>
      <c r="K7642" s="21">
        <v>1255.18</v>
      </c>
      <c r="L7642" s="5">
        <v>0</v>
      </c>
      <c r="M7642" s="4"/>
      <c r="N7642" s="4"/>
      <c r="O7642" s="5"/>
      <c r="P7642" s="5"/>
      <c r="Q7642" s="21">
        <v>0</v>
      </c>
      <c r="R7642" s="21">
        <v>1255.18</v>
      </c>
      <c r="S7642" s="5">
        <f t="shared" si="479"/>
        <v>42771.939203922884</v>
      </c>
      <c r="T7642" cm="1">
        <f t="array" ref="T7642">IF(OR(B7642="MAL ALIMI", B7642="ÜRETİM GİRİŞ"), MIN(I7642, MAX(0, I7642 + SUM(SUMIFS($I$1:I7641, $C$1:C7641, C7642, $B$1:B7641, {"MAL ALIMI","ÜRETİM GİRİŞ"})) - VLOOKUP(C7642, 'STOK RAPORU'!$C$2:$I$1000, 4, 0))), 0)</f>
        <v>0</v>
      </c>
      <c r="U7642" s="22">
        <f t="shared" si="476"/>
        <v>0</v>
      </c>
      <c r="V7642">
        <f t="shared" si="477"/>
        <v>0</v>
      </c>
      <c r="W7642" s="22">
        <f t="shared" si="478"/>
        <v>0</v>
      </c>
    </row>
    <row r="7643" spans="1:23" hidden="1" x14ac:dyDescent="0.25">
      <c r="A7643" s="3">
        <v>46184</v>
      </c>
      <c r="B7643" s="46" t="s">
        <v>334</v>
      </c>
      <c r="C7643" s="4" t="s">
        <v>96</v>
      </c>
      <c r="D7643" s="4"/>
      <c r="E7643" s="4" t="s">
        <v>921</v>
      </c>
      <c r="F7643" s="4" t="s">
        <v>3639</v>
      </c>
      <c r="G7643" s="4" t="s">
        <v>3655</v>
      </c>
      <c r="H7643" s="4" t="s">
        <v>380</v>
      </c>
      <c r="I7643" s="4">
        <v>2</v>
      </c>
      <c r="J7643" s="21">
        <v>260</v>
      </c>
      <c r="K7643" s="21">
        <v>520</v>
      </c>
      <c r="L7643" s="5">
        <v>0</v>
      </c>
      <c r="M7643" s="4"/>
      <c r="N7643" s="4"/>
      <c r="O7643" s="5"/>
      <c r="P7643" s="5"/>
      <c r="Q7643" s="21">
        <v>0</v>
      </c>
      <c r="R7643" s="21">
        <v>0</v>
      </c>
      <c r="S7643" s="5">
        <f t="shared" si="479"/>
        <v>42771.939203922884</v>
      </c>
      <c r="T7643" cm="1">
        <f t="array" ref="T7643">IF(OR(B7643="MAL ALIMI", B7643="ÜRETİM GİRİŞ"), MIN(I7643, MAX(0, I7643 + SUM(SUMIFS($I$1:I7642, $C$1:C7642, C7643, $B$1:B7642, {"MAL ALIMI","ÜRETİM GİRİŞ"})) - VLOOKUP(C7643, 'STOK RAPORU'!$C$2:$I$1000, 4, 0))), 0)</f>
        <v>0</v>
      </c>
      <c r="U7643" s="22">
        <f t="shared" si="476"/>
        <v>0</v>
      </c>
      <c r="V7643">
        <f t="shared" si="477"/>
        <v>0</v>
      </c>
      <c r="W7643" s="22">
        <f t="shared" si="478"/>
        <v>0</v>
      </c>
    </row>
    <row r="7644" spans="1:23" hidden="1" x14ac:dyDescent="0.25">
      <c r="A7644" s="3">
        <v>46184</v>
      </c>
      <c r="B7644" s="46" t="s">
        <v>334</v>
      </c>
      <c r="C7644" s="4" t="s">
        <v>133</v>
      </c>
      <c r="D7644" s="4"/>
      <c r="E7644" s="4" t="s">
        <v>921</v>
      </c>
      <c r="F7644" s="4" t="s">
        <v>3639</v>
      </c>
      <c r="G7644" s="4" t="s">
        <v>3655</v>
      </c>
      <c r="H7644" s="4" t="s">
        <v>380</v>
      </c>
      <c r="I7644" s="4">
        <v>1</v>
      </c>
      <c r="J7644" s="21">
        <v>250</v>
      </c>
      <c r="K7644" s="21">
        <v>250</v>
      </c>
      <c r="L7644" s="5">
        <v>0</v>
      </c>
      <c r="M7644" s="4"/>
      <c r="N7644" s="4"/>
      <c r="O7644" s="5"/>
      <c r="P7644" s="5"/>
      <c r="Q7644" s="21">
        <v>0</v>
      </c>
      <c r="R7644" s="21">
        <v>0</v>
      </c>
      <c r="S7644" s="5">
        <f t="shared" si="479"/>
        <v>42771.939203922884</v>
      </c>
      <c r="T7644" cm="1">
        <f t="array" ref="T7644">IF(OR(B7644="MAL ALIMI", B7644="ÜRETİM GİRİŞ"), MIN(I7644, MAX(0, I7644 + SUM(SUMIFS($I$1:I7643, $C$1:C7643, C7644, $B$1:B7643, {"MAL ALIMI","ÜRETİM GİRİŞ"})) - VLOOKUP(C7644, 'STOK RAPORU'!$C$2:$I$1000, 4, 0))), 0)</f>
        <v>0</v>
      </c>
      <c r="U7644" s="22">
        <f t="shared" si="476"/>
        <v>0</v>
      </c>
      <c r="V7644">
        <f t="shared" si="477"/>
        <v>0</v>
      </c>
      <c r="W7644" s="22">
        <f t="shared" si="478"/>
        <v>0</v>
      </c>
    </row>
    <row r="7645" spans="1:23" hidden="1" x14ac:dyDescent="0.25">
      <c r="A7645" s="3">
        <v>46184</v>
      </c>
      <c r="B7645" s="46" t="s">
        <v>334</v>
      </c>
      <c r="C7645" s="4" t="s">
        <v>463</v>
      </c>
      <c r="D7645" s="4"/>
      <c r="E7645" s="4" t="s">
        <v>921</v>
      </c>
      <c r="F7645" s="4" t="s">
        <v>3639</v>
      </c>
      <c r="G7645" s="4" t="s">
        <v>3655</v>
      </c>
      <c r="H7645" s="4" t="s">
        <v>380</v>
      </c>
      <c r="I7645" s="4">
        <v>2</v>
      </c>
      <c r="J7645" s="21">
        <v>265</v>
      </c>
      <c r="K7645" s="21">
        <v>530</v>
      </c>
      <c r="L7645" s="5">
        <v>0</v>
      </c>
      <c r="M7645" s="4"/>
      <c r="N7645" s="4"/>
      <c r="O7645" s="5"/>
      <c r="P7645" s="5"/>
      <c r="Q7645" s="21">
        <v>0</v>
      </c>
      <c r="R7645" s="21">
        <v>0</v>
      </c>
      <c r="S7645" s="5">
        <f t="shared" si="479"/>
        <v>42771.939203922884</v>
      </c>
      <c r="T7645" cm="1">
        <f t="array" ref="T7645">IF(OR(B7645="MAL ALIMI", B7645="ÜRETİM GİRİŞ"), MIN(I7645, MAX(0, I7645 + SUM(SUMIFS($I$1:I7644, $C$1:C7644, C7645, $B$1:B7644, {"MAL ALIMI","ÜRETİM GİRİŞ"})) - VLOOKUP(C7645, 'STOK RAPORU'!$C$2:$I$1000, 4, 0))), 0)</f>
        <v>0</v>
      </c>
      <c r="U7645" s="22">
        <f t="shared" si="476"/>
        <v>0</v>
      </c>
      <c r="V7645">
        <f t="shared" si="477"/>
        <v>0</v>
      </c>
      <c r="W7645" s="22">
        <f t="shared" si="478"/>
        <v>0</v>
      </c>
    </row>
    <row r="7646" spans="1:23" hidden="1" x14ac:dyDescent="0.25">
      <c r="A7646" s="3">
        <v>46184</v>
      </c>
      <c r="B7646" s="46" t="s">
        <v>334</v>
      </c>
      <c r="C7646" s="4" t="s">
        <v>1269</v>
      </c>
      <c r="D7646" s="4"/>
      <c r="E7646" s="4" t="s">
        <v>921</v>
      </c>
      <c r="F7646" s="4" t="s">
        <v>3640</v>
      </c>
      <c r="G7646" s="4" t="s">
        <v>336</v>
      </c>
      <c r="H7646" s="4" t="s">
        <v>380</v>
      </c>
      <c r="I7646" s="4">
        <v>1</v>
      </c>
      <c r="J7646" s="21">
        <v>125</v>
      </c>
      <c r="K7646" s="21">
        <v>125</v>
      </c>
      <c r="L7646" s="5">
        <v>0</v>
      </c>
      <c r="M7646" s="4"/>
      <c r="N7646" s="4"/>
      <c r="O7646" s="5"/>
      <c r="P7646" s="5"/>
      <c r="Q7646" s="21">
        <v>0</v>
      </c>
      <c r="R7646" s="21">
        <v>0</v>
      </c>
      <c r="S7646" s="5">
        <f t="shared" si="479"/>
        <v>42771.939203922884</v>
      </c>
      <c r="T7646" cm="1">
        <f t="array" ref="T7646">IF(OR(B7646="MAL ALIMI", B7646="ÜRETİM GİRİŞ"), MIN(I7646, MAX(0, I7646 + SUM(SUMIFS($I$1:I7645, $C$1:C7645, C7646, $B$1:B7645, {"MAL ALIMI","ÜRETİM GİRİŞ"})) - VLOOKUP(C7646, 'STOK RAPORU'!$C$2:$I$1000, 4, 0))), 0)</f>
        <v>0</v>
      </c>
      <c r="U7646" s="22">
        <f t="shared" si="476"/>
        <v>0</v>
      </c>
      <c r="V7646">
        <f t="shared" si="477"/>
        <v>0</v>
      </c>
      <c r="W7646" s="22">
        <f t="shared" si="478"/>
        <v>0</v>
      </c>
    </row>
    <row r="7647" spans="1:23" hidden="1" x14ac:dyDescent="0.25">
      <c r="A7647" s="3">
        <v>46184</v>
      </c>
      <c r="B7647" s="46" t="s">
        <v>334</v>
      </c>
      <c r="C7647" s="4" t="s">
        <v>1357</v>
      </c>
      <c r="D7647" s="4"/>
      <c r="E7647" s="4"/>
      <c r="F7647" s="4" t="s">
        <v>3641</v>
      </c>
      <c r="G7647" s="4" t="s">
        <v>336</v>
      </c>
      <c r="H7647" s="4" t="s">
        <v>289</v>
      </c>
      <c r="I7647" s="4">
        <v>0.8571428571428571</v>
      </c>
      <c r="J7647" s="21">
        <v>700</v>
      </c>
      <c r="K7647" s="21">
        <v>0</v>
      </c>
      <c r="L7647" s="5">
        <v>0</v>
      </c>
      <c r="M7647" s="4"/>
      <c r="N7647" s="4"/>
      <c r="O7647" s="5"/>
      <c r="P7647" s="5"/>
      <c r="Q7647" s="21">
        <v>600</v>
      </c>
      <c r="R7647" s="21">
        <v>0</v>
      </c>
      <c r="S7647" s="5">
        <f t="shared" si="479"/>
        <v>43371.939203922884</v>
      </c>
      <c r="T7647" cm="1">
        <f t="array" ref="T7647">IF(OR(B7647="MAL ALIMI", B7647="ÜRETİM GİRİŞ"), MIN(I7647, MAX(0, I7647 + SUM(SUMIFS($I$1:I7646, $C$1:C7646, C7647, $B$1:B7646, {"MAL ALIMI","ÜRETİM GİRİŞ"})) - VLOOKUP(C7647, 'STOK RAPORU'!$C$2:$I$1000, 4, 0))), 0)</f>
        <v>0</v>
      </c>
      <c r="U7647" s="22">
        <f t="shared" si="476"/>
        <v>0</v>
      </c>
      <c r="V7647">
        <f t="shared" si="477"/>
        <v>0</v>
      </c>
      <c r="W7647" s="22">
        <f t="shared" si="478"/>
        <v>0</v>
      </c>
    </row>
    <row r="7648" spans="1:23" hidden="1" x14ac:dyDescent="0.25">
      <c r="A7648" s="3">
        <v>46184</v>
      </c>
      <c r="B7648" s="46" t="s">
        <v>334</v>
      </c>
      <c r="C7648" s="4" t="s">
        <v>158</v>
      </c>
      <c r="D7648" s="4"/>
      <c r="E7648" s="4" t="s">
        <v>921</v>
      </c>
      <c r="F7648" s="4" t="s">
        <v>3642</v>
      </c>
      <c r="G7648" s="4" t="s">
        <v>336</v>
      </c>
      <c r="H7648" s="4" t="s">
        <v>380</v>
      </c>
      <c r="I7648" s="4">
        <v>1</v>
      </c>
      <c r="J7648" s="21">
        <v>150</v>
      </c>
      <c r="K7648" s="21">
        <v>150</v>
      </c>
      <c r="L7648" s="5">
        <v>0</v>
      </c>
      <c r="M7648" s="4"/>
      <c r="N7648" s="4"/>
      <c r="O7648" s="5"/>
      <c r="P7648" s="5"/>
      <c r="Q7648" s="21">
        <v>0</v>
      </c>
      <c r="R7648" s="21">
        <v>0</v>
      </c>
      <c r="S7648" s="5">
        <f t="shared" si="479"/>
        <v>43371.939203922884</v>
      </c>
      <c r="T7648" cm="1">
        <f t="array" ref="T7648">IF(OR(B7648="MAL ALIMI", B7648="ÜRETİM GİRİŞ"), MIN(I7648, MAX(0, I7648 + SUM(SUMIFS($I$1:I7647, $C$1:C7647, C7648, $B$1:B7647, {"MAL ALIMI","ÜRETİM GİRİŞ"})) - VLOOKUP(C7648, 'STOK RAPORU'!$C$2:$I$1000, 4, 0))), 0)</f>
        <v>0</v>
      </c>
      <c r="U7648" s="22">
        <f t="shared" si="476"/>
        <v>0</v>
      </c>
      <c r="V7648">
        <f t="shared" si="477"/>
        <v>0</v>
      </c>
      <c r="W7648" s="22">
        <f t="shared" si="478"/>
        <v>0</v>
      </c>
    </row>
    <row r="7649" spans="1:23" hidden="1" x14ac:dyDescent="0.25">
      <c r="A7649" s="3">
        <v>46184</v>
      </c>
      <c r="B7649" s="46" t="s">
        <v>334</v>
      </c>
      <c r="C7649" s="4" t="s">
        <v>1041</v>
      </c>
      <c r="D7649" s="4"/>
      <c r="E7649" s="4" t="s">
        <v>921</v>
      </c>
      <c r="F7649" s="4" t="s">
        <v>3642</v>
      </c>
      <c r="G7649" s="4" t="s">
        <v>336</v>
      </c>
      <c r="H7649" s="4" t="s">
        <v>380</v>
      </c>
      <c r="I7649" s="4">
        <v>0.6</v>
      </c>
      <c r="J7649" s="21">
        <v>250</v>
      </c>
      <c r="K7649" s="21">
        <v>150</v>
      </c>
      <c r="L7649" s="5">
        <v>0</v>
      </c>
      <c r="M7649" s="4"/>
      <c r="N7649" s="4"/>
      <c r="O7649" s="5"/>
      <c r="P7649" s="5"/>
      <c r="Q7649" s="21">
        <v>0</v>
      </c>
      <c r="R7649" s="21">
        <v>0</v>
      </c>
      <c r="S7649" s="5">
        <f t="shared" si="479"/>
        <v>43371.939203922884</v>
      </c>
      <c r="T7649" cm="1">
        <f t="array" ref="T7649">IF(OR(B7649="MAL ALIMI", B7649="ÜRETİM GİRİŞ"), MIN(I7649, MAX(0, I7649 + SUM(SUMIFS($I$1:I7648, $C$1:C7648, C7649, $B$1:B7648, {"MAL ALIMI","ÜRETİM GİRİŞ"})) - VLOOKUP(C7649, 'STOK RAPORU'!$C$2:$I$1000, 4, 0))), 0)</f>
        <v>0</v>
      </c>
      <c r="U7649" s="22">
        <f t="shared" si="476"/>
        <v>0</v>
      </c>
      <c r="V7649">
        <f t="shared" si="477"/>
        <v>0</v>
      </c>
      <c r="W7649" s="22">
        <f t="shared" si="478"/>
        <v>0</v>
      </c>
    </row>
    <row r="7650" spans="1:23" hidden="1" x14ac:dyDescent="0.25">
      <c r="A7650" s="3">
        <v>46184</v>
      </c>
      <c r="B7650" s="46" t="s">
        <v>334</v>
      </c>
      <c r="C7650" s="4" t="s">
        <v>1041</v>
      </c>
      <c r="D7650" s="4"/>
      <c r="E7650" s="4"/>
      <c r="F7650" s="4" t="s">
        <v>3643</v>
      </c>
      <c r="G7650" s="4" t="s">
        <v>336</v>
      </c>
      <c r="H7650" s="4" t="s">
        <v>289</v>
      </c>
      <c r="I7650" s="4">
        <v>1.0869565217391304</v>
      </c>
      <c r="J7650" s="21">
        <v>230</v>
      </c>
      <c r="K7650" s="21">
        <v>0</v>
      </c>
      <c r="L7650" s="5">
        <v>0</v>
      </c>
      <c r="M7650" s="4"/>
      <c r="N7650" s="4"/>
      <c r="O7650" s="5"/>
      <c r="P7650" s="5"/>
      <c r="Q7650" s="21">
        <v>250</v>
      </c>
      <c r="R7650" s="21">
        <v>0</v>
      </c>
      <c r="S7650" s="5">
        <f t="shared" si="479"/>
        <v>43621.939203922884</v>
      </c>
      <c r="T7650" cm="1">
        <f t="array" ref="T7650">IF(OR(B7650="MAL ALIMI", B7650="ÜRETİM GİRİŞ"), MIN(I7650, MAX(0, I7650 + SUM(SUMIFS($I$1:I7649, $C$1:C7649, C7650, $B$1:B7649, {"MAL ALIMI","ÜRETİM GİRİŞ"})) - VLOOKUP(C7650, 'STOK RAPORU'!$C$2:$I$1000, 4, 0))), 0)</f>
        <v>0</v>
      </c>
      <c r="U7650" s="22">
        <f t="shared" si="476"/>
        <v>0</v>
      </c>
      <c r="V7650">
        <f t="shared" si="477"/>
        <v>0</v>
      </c>
      <c r="W7650" s="22">
        <f t="shared" si="478"/>
        <v>0</v>
      </c>
    </row>
    <row r="7651" spans="1:23" hidden="1" x14ac:dyDescent="0.25">
      <c r="A7651" s="3">
        <v>46184</v>
      </c>
      <c r="B7651" s="46" t="s">
        <v>334</v>
      </c>
      <c r="C7651" s="4" t="s">
        <v>131</v>
      </c>
      <c r="D7651" s="4"/>
      <c r="E7651" s="4"/>
      <c r="F7651" s="4" t="s">
        <v>3643</v>
      </c>
      <c r="G7651" s="4" t="s">
        <v>336</v>
      </c>
      <c r="H7651" s="4" t="s">
        <v>289</v>
      </c>
      <c r="I7651" s="4">
        <v>7.4999999999999997E-2</v>
      </c>
      <c r="J7651" s="21">
        <v>400</v>
      </c>
      <c r="K7651" s="21">
        <v>0</v>
      </c>
      <c r="L7651" s="5">
        <v>0</v>
      </c>
      <c r="M7651" s="4"/>
      <c r="N7651" s="4"/>
      <c r="O7651" s="5"/>
      <c r="P7651" s="5"/>
      <c r="Q7651" s="21">
        <v>30</v>
      </c>
      <c r="R7651" s="21">
        <v>0</v>
      </c>
      <c r="S7651" s="5">
        <f t="shared" si="479"/>
        <v>43651.939203922884</v>
      </c>
      <c r="T7651" cm="1">
        <f t="array" ref="T7651">IF(OR(B7651="MAL ALIMI", B7651="ÜRETİM GİRİŞ"), MIN(I7651, MAX(0, I7651 + SUM(SUMIFS($I$1:I7650, $C$1:C7650, C7651, $B$1:B7650, {"MAL ALIMI","ÜRETİM GİRİŞ"})) - VLOOKUP(C7651, 'STOK RAPORU'!$C$2:$I$1000, 4, 0))), 0)</f>
        <v>0</v>
      </c>
      <c r="U7651" s="22">
        <f t="shared" si="476"/>
        <v>0</v>
      </c>
      <c r="V7651">
        <f t="shared" si="477"/>
        <v>0</v>
      </c>
      <c r="W7651" s="22">
        <f t="shared" si="478"/>
        <v>0</v>
      </c>
    </row>
    <row r="7652" spans="1:23" hidden="1" x14ac:dyDescent="0.25">
      <c r="A7652" s="3">
        <v>46184</v>
      </c>
      <c r="B7652" s="46" t="s">
        <v>334</v>
      </c>
      <c r="C7652" s="4" t="s">
        <v>196</v>
      </c>
      <c r="D7652" s="4"/>
      <c r="E7652" s="4"/>
      <c r="F7652" s="4" t="s">
        <v>3643</v>
      </c>
      <c r="G7652" s="4" t="s">
        <v>336</v>
      </c>
      <c r="H7652" s="4" t="s">
        <v>289</v>
      </c>
      <c r="I7652" s="4">
        <v>0.52173913043478259</v>
      </c>
      <c r="J7652" s="21">
        <v>230</v>
      </c>
      <c r="K7652" s="21">
        <v>0</v>
      </c>
      <c r="L7652" s="5">
        <v>0</v>
      </c>
      <c r="M7652" s="4"/>
      <c r="N7652" s="4"/>
      <c r="O7652" s="5"/>
      <c r="P7652" s="5"/>
      <c r="Q7652" s="21">
        <v>120</v>
      </c>
      <c r="R7652" s="21">
        <v>0</v>
      </c>
      <c r="S7652" s="5">
        <f t="shared" si="479"/>
        <v>43771.939203922884</v>
      </c>
      <c r="T7652" cm="1">
        <f t="array" ref="T7652">IF(OR(B7652="MAL ALIMI", B7652="ÜRETİM GİRİŞ"), MIN(I7652, MAX(0, I7652 + SUM(SUMIFS($I$1:I7651, $C$1:C7651, C7652, $B$1:B7651, {"MAL ALIMI","ÜRETİM GİRİŞ"})) - VLOOKUP(C7652, 'STOK RAPORU'!$C$2:$I$1000, 4, 0))), 0)</f>
        <v>0</v>
      </c>
      <c r="U7652" s="22">
        <f t="shared" si="476"/>
        <v>0</v>
      </c>
      <c r="V7652">
        <f t="shared" si="477"/>
        <v>0</v>
      </c>
      <c r="W7652" s="22">
        <f t="shared" si="478"/>
        <v>0</v>
      </c>
    </row>
    <row r="7653" spans="1:23" hidden="1" x14ac:dyDescent="0.25">
      <c r="A7653" s="3">
        <v>46184</v>
      </c>
      <c r="B7653" s="46" t="s">
        <v>334</v>
      </c>
      <c r="C7653" s="4" t="s">
        <v>599</v>
      </c>
      <c r="D7653" s="4"/>
      <c r="E7653" s="4"/>
      <c r="F7653" s="4" t="s">
        <v>3644</v>
      </c>
      <c r="G7653" s="4" t="s">
        <v>336</v>
      </c>
      <c r="H7653" s="4" t="s">
        <v>289</v>
      </c>
      <c r="I7653" s="4">
        <v>1</v>
      </c>
      <c r="J7653" s="21">
        <v>50</v>
      </c>
      <c r="K7653" s="21">
        <v>0</v>
      </c>
      <c r="L7653" s="5">
        <v>0</v>
      </c>
      <c r="M7653" s="4"/>
      <c r="N7653" s="4"/>
      <c r="O7653" s="5"/>
      <c r="P7653" s="5"/>
      <c r="Q7653" s="21">
        <v>50</v>
      </c>
      <c r="R7653" s="21">
        <v>0</v>
      </c>
      <c r="S7653" s="5">
        <f t="shared" si="479"/>
        <v>43821.939203922884</v>
      </c>
      <c r="T7653" cm="1">
        <f t="array" ref="T7653">IF(OR(B7653="MAL ALIMI", B7653="ÜRETİM GİRİŞ"), MIN(I7653, MAX(0, I7653 + SUM(SUMIFS($I$1:I7652, $C$1:C7652, C7653, $B$1:B7652, {"MAL ALIMI","ÜRETİM GİRİŞ"})) - VLOOKUP(C7653, 'STOK RAPORU'!$C$2:$I$1000, 4, 0))), 0)</f>
        <v>0</v>
      </c>
      <c r="U7653" s="22">
        <f t="shared" si="476"/>
        <v>0</v>
      </c>
      <c r="V7653">
        <f t="shared" si="477"/>
        <v>0</v>
      </c>
      <c r="W7653" s="22">
        <f t="shared" si="478"/>
        <v>0</v>
      </c>
    </row>
    <row r="7654" spans="1:23" hidden="1" x14ac:dyDescent="0.25">
      <c r="A7654" s="3">
        <v>46184</v>
      </c>
      <c r="B7654" s="46" t="s">
        <v>334</v>
      </c>
      <c r="C7654" s="4" t="s">
        <v>256</v>
      </c>
      <c r="D7654" s="4"/>
      <c r="E7654" s="4"/>
      <c r="F7654" s="4" t="s">
        <v>3645</v>
      </c>
      <c r="G7654" s="4" t="s">
        <v>336</v>
      </c>
      <c r="H7654" s="4" t="s">
        <v>289</v>
      </c>
      <c r="I7654" s="4">
        <v>1</v>
      </c>
      <c r="J7654" s="21">
        <v>220</v>
      </c>
      <c r="K7654" s="21">
        <v>0</v>
      </c>
      <c r="L7654" s="5">
        <v>0</v>
      </c>
      <c r="M7654" s="4"/>
      <c r="N7654" s="4"/>
      <c r="O7654" s="5"/>
      <c r="P7654" s="5"/>
      <c r="Q7654" s="21">
        <v>220</v>
      </c>
      <c r="R7654" s="21">
        <v>0</v>
      </c>
      <c r="S7654" s="5">
        <f t="shared" si="479"/>
        <v>44041.939203922884</v>
      </c>
      <c r="T7654" cm="1">
        <f t="array" ref="T7654">IF(OR(B7654="MAL ALIMI", B7654="ÜRETİM GİRİŞ"), MIN(I7654, MAX(0, I7654 + SUM(SUMIFS($I$1:I7653, $C$1:C7653, C7654, $B$1:B7653, {"MAL ALIMI","ÜRETİM GİRİŞ"})) - VLOOKUP(C7654, 'STOK RAPORU'!$C$2:$I$1000, 4, 0))), 0)</f>
        <v>0</v>
      </c>
      <c r="U7654" s="22">
        <f t="shared" si="476"/>
        <v>0</v>
      </c>
      <c r="V7654">
        <f t="shared" si="477"/>
        <v>0</v>
      </c>
      <c r="W7654" s="22">
        <f t="shared" si="478"/>
        <v>0</v>
      </c>
    </row>
    <row r="7655" spans="1:23" hidden="1" x14ac:dyDescent="0.25">
      <c r="A7655" s="3">
        <v>46184</v>
      </c>
      <c r="B7655" s="46" t="s">
        <v>334</v>
      </c>
      <c r="C7655" s="4" t="s">
        <v>1382</v>
      </c>
      <c r="D7655" s="4"/>
      <c r="E7655" s="4"/>
      <c r="F7655" s="4" t="s">
        <v>3646</v>
      </c>
      <c r="G7655" s="4" t="s">
        <v>336</v>
      </c>
      <c r="H7655" s="4" t="s">
        <v>289</v>
      </c>
      <c r="I7655" s="4">
        <v>1</v>
      </c>
      <c r="J7655" s="21">
        <v>250</v>
      </c>
      <c r="K7655" s="21">
        <v>0</v>
      </c>
      <c r="L7655" s="5">
        <v>0</v>
      </c>
      <c r="M7655" s="4"/>
      <c r="N7655" s="4"/>
      <c r="O7655" s="5"/>
      <c r="P7655" s="5"/>
      <c r="Q7655" s="21">
        <v>250</v>
      </c>
      <c r="R7655" s="21">
        <v>0</v>
      </c>
      <c r="S7655" s="5">
        <f t="shared" si="479"/>
        <v>44291.939203922884</v>
      </c>
      <c r="T7655" cm="1">
        <f t="array" ref="T7655">IF(OR(B7655="MAL ALIMI", B7655="ÜRETİM GİRİŞ"), MIN(I7655, MAX(0, I7655 + SUM(SUMIFS($I$1:I7654, $C$1:C7654, C7655, $B$1:B7654, {"MAL ALIMI","ÜRETİM GİRİŞ"})) - VLOOKUP(C7655, 'STOK RAPORU'!$C$2:$I$1000, 4, 0))), 0)</f>
        <v>0</v>
      </c>
      <c r="U7655" s="22">
        <f t="shared" si="476"/>
        <v>0</v>
      </c>
      <c r="V7655">
        <f t="shared" si="477"/>
        <v>0</v>
      </c>
      <c r="W7655" s="22">
        <f t="shared" si="478"/>
        <v>0</v>
      </c>
    </row>
    <row r="7656" spans="1:23" hidden="1" x14ac:dyDescent="0.25">
      <c r="A7656" s="3">
        <v>46184</v>
      </c>
      <c r="B7656" s="46" t="s">
        <v>334</v>
      </c>
      <c r="C7656" s="4" t="s">
        <v>486</v>
      </c>
      <c r="D7656" s="4"/>
      <c r="E7656" s="4"/>
      <c r="F7656" s="4" t="s">
        <v>3646</v>
      </c>
      <c r="G7656" s="4" t="s">
        <v>336</v>
      </c>
      <c r="H7656" s="4" t="s">
        <v>289</v>
      </c>
      <c r="I7656" s="4">
        <v>1</v>
      </c>
      <c r="J7656" s="21">
        <v>180</v>
      </c>
      <c r="K7656" s="21">
        <v>0</v>
      </c>
      <c r="L7656" s="5">
        <v>0</v>
      </c>
      <c r="M7656" s="4"/>
      <c r="N7656" s="4"/>
      <c r="O7656" s="5"/>
      <c r="P7656" s="5"/>
      <c r="Q7656" s="21">
        <v>180</v>
      </c>
      <c r="R7656" s="21">
        <v>0</v>
      </c>
      <c r="S7656" s="5">
        <f t="shared" si="479"/>
        <v>44471.939203922884</v>
      </c>
      <c r="T7656" cm="1">
        <f t="array" ref="T7656">IF(OR(B7656="MAL ALIMI", B7656="ÜRETİM GİRİŞ"), MIN(I7656, MAX(0, I7656 + SUM(SUMIFS($I$1:I7655, $C$1:C7655, C7656, $B$1:B7655, {"MAL ALIMI","ÜRETİM GİRİŞ"})) - VLOOKUP(C7656, 'STOK RAPORU'!$C$2:$I$1000, 4, 0))), 0)</f>
        <v>0</v>
      </c>
      <c r="U7656" s="22">
        <f t="shared" si="476"/>
        <v>0</v>
      </c>
      <c r="V7656">
        <f t="shared" si="477"/>
        <v>0</v>
      </c>
      <c r="W7656" s="22">
        <f t="shared" si="478"/>
        <v>0</v>
      </c>
    </row>
    <row r="7657" spans="1:23" hidden="1" x14ac:dyDescent="0.25">
      <c r="A7657" s="3">
        <v>46184</v>
      </c>
      <c r="B7657" s="46" t="s">
        <v>334</v>
      </c>
      <c r="C7657" s="4" t="s">
        <v>767</v>
      </c>
      <c r="D7657" s="4"/>
      <c r="E7657" s="4" t="s">
        <v>921</v>
      </c>
      <c r="F7657" s="4" t="s">
        <v>3647</v>
      </c>
      <c r="G7657" s="4" t="s">
        <v>336</v>
      </c>
      <c r="H7657" s="4" t="s">
        <v>380</v>
      </c>
      <c r="I7657" s="4">
        <v>1</v>
      </c>
      <c r="J7657" s="21">
        <v>214</v>
      </c>
      <c r="K7657" s="21">
        <v>214</v>
      </c>
      <c r="L7657" s="5">
        <v>0</v>
      </c>
      <c r="M7657" s="4"/>
      <c r="N7657" s="4"/>
      <c r="O7657" s="5"/>
      <c r="P7657" s="5"/>
      <c r="Q7657" s="21">
        <v>0</v>
      </c>
      <c r="R7657" s="21">
        <v>0</v>
      </c>
      <c r="S7657" s="5">
        <f t="shared" si="479"/>
        <v>44471.939203922884</v>
      </c>
      <c r="T7657" cm="1">
        <f t="array" ref="T7657">IF(OR(B7657="MAL ALIMI", B7657="ÜRETİM GİRİŞ"), MIN(I7657, MAX(0, I7657 + SUM(SUMIFS($I$1:I7656, $C$1:C7656, C7657, $B$1:B7656, {"MAL ALIMI","ÜRETİM GİRİŞ"})) - VLOOKUP(C7657, 'STOK RAPORU'!$C$2:$I$1000, 4, 0))), 0)</f>
        <v>0</v>
      </c>
      <c r="U7657" s="22">
        <f t="shared" si="476"/>
        <v>0</v>
      </c>
      <c r="V7657">
        <f t="shared" si="477"/>
        <v>0</v>
      </c>
      <c r="W7657" s="22">
        <f t="shared" si="478"/>
        <v>0</v>
      </c>
    </row>
    <row r="7658" spans="1:23" hidden="1" x14ac:dyDescent="0.25">
      <c r="A7658" s="3">
        <v>46184</v>
      </c>
      <c r="B7658" s="46" t="s">
        <v>334</v>
      </c>
      <c r="C7658" s="4" t="s">
        <v>257</v>
      </c>
      <c r="D7658" s="4"/>
      <c r="E7658" s="4" t="s">
        <v>921</v>
      </c>
      <c r="F7658" s="4" t="s">
        <v>3647</v>
      </c>
      <c r="G7658" s="4" t="s">
        <v>336</v>
      </c>
      <c r="H7658" s="4" t="s">
        <v>380</v>
      </c>
      <c r="I7658" s="4">
        <v>1</v>
      </c>
      <c r="J7658" s="21">
        <v>220</v>
      </c>
      <c r="K7658" s="21">
        <v>220</v>
      </c>
      <c r="L7658" s="5">
        <v>0</v>
      </c>
      <c r="M7658" s="4"/>
      <c r="N7658" s="4"/>
      <c r="O7658" s="5"/>
      <c r="P7658" s="5"/>
      <c r="Q7658" s="21">
        <v>0</v>
      </c>
      <c r="R7658" s="21">
        <v>0</v>
      </c>
      <c r="S7658" s="5">
        <f t="shared" si="479"/>
        <v>44471.939203922884</v>
      </c>
      <c r="T7658" cm="1">
        <f t="array" ref="T7658">IF(OR(B7658="MAL ALIMI", B7658="ÜRETİM GİRİŞ"), MIN(I7658, MAX(0, I7658 + SUM(SUMIFS($I$1:I7657, $C$1:C7657, C7658, $B$1:B7657, {"MAL ALIMI","ÜRETİM GİRİŞ"})) - VLOOKUP(C7658, 'STOK RAPORU'!$C$2:$I$1000, 4, 0))), 0)</f>
        <v>0</v>
      </c>
      <c r="U7658" s="22">
        <f t="shared" si="476"/>
        <v>0</v>
      </c>
      <c r="V7658">
        <f t="shared" si="477"/>
        <v>0</v>
      </c>
      <c r="W7658" s="22">
        <f t="shared" si="478"/>
        <v>0</v>
      </c>
    </row>
    <row r="7659" spans="1:23" hidden="1" x14ac:dyDescent="0.25">
      <c r="A7659" s="3">
        <v>46184</v>
      </c>
      <c r="B7659" s="46" t="s">
        <v>334</v>
      </c>
      <c r="C7659" s="4" t="s">
        <v>238</v>
      </c>
      <c r="D7659" s="4"/>
      <c r="E7659" s="4" t="s">
        <v>921</v>
      </c>
      <c r="F7659" s="4" t="s">
        <v>3647</v>
      </c>
      <c r="G7659" s="4" t="s">
        <v>336</v>
      </c>
      <c r="H7659" s="4" t="s">
        <v>380</v>
      </c>
      <c r="I7659" s="4">
        <v>0.1</v>
      </c>
      <c r="J7659" s="21">
        <v>1300</v>
      </c>
      <c r="K7659" s="21">
        <v>130</v>
      </c>
      <c r="L7659" s="5">
        <v>0</v>
      </c>
      <c r="M7659" s="4"/>
      <c r="N7659" s="4"/>
      <c r="O7659" s="5"/>
      <c r="P7659" s="5"/>
      <c r="Q7659" s="21">
        <v>0</v>
      </c>
      <c r="R7659" s="21">
        <v>0</v>
      </c>
      <c r="S7659" s="5">
        <f t="shared" si="479"/>
        <v>44471.939203922884</v>
      </c>
      <c r="T7659" cm="1">
        <f t="array" ref="T7659">IF(OR(B7659="MAL ALIMI", B7659="ÜRETİM GİRİŞ"), MIN(I7659, MAX(0, I7659 + SUM(SUMIFS($I$1:I7658, $C$1:C7658, C7659, $B$1:B7658, {"MAL ALIMI","ÜRETİM GİRİŞ"})) - VLOOKUP(C7659, 'STOK RAPORU'!$C$2:$I$1000, 4, 0))), 0)</f>
        <v>0</v>
      </c>
      <c r="U7659" s="22">
        <f t="shared" si="476"/>
        <v>0</v>
      </c>
      <c r="V7659">
        <f t="shared" si="477"/>
        <v>0</v>
      </c>
      <c r="W7659" s="22">
        <f t="shared" si="478"/>
        <v>0</v>
      </c>
    </row>
    <row r="7660" spans="1:23" hidden="1" x14ac:dyDescent="0.25">
      <c r="A7660" s="3">
        <v>46184</v>
      </c>
      <c r="B7660" s="46" t="s">
        <v>334</v>
      </c>
      <c r="C7660" s="4" t="s">
        <v>193</v>
      </c>
      <c r="D7660" s="4"/>
      <c r="E7660" s="4" t="s">
        <v>921</v>
      </c>
      <c r="F7660" s="4" t="s">
        <v>3647</v>
      </c>
      <c r="G7660" s="4" t="s">
        <v>336</v>
      </c>
      <c r="H7660" s="4" t="s">
        <v>380</v>
      </c>
      <c r="I7660" s="4">
        <v>0.04</v>
      </c>
      <c r="J7660" s="21">
        <v>900</v>
      </c>
      <c r="K7660" s="21">
        <v>36</v>
      </c>
      <c r="L7660" s="5">
        <v>0</v>
      </c>
      <c r="M7660" s="4"/>
      <c r="N7660" s="4"/>
      <c r="O7660" s="5"/>
      <c r="P7660" s="5"/>
      <c r="Q7660" s="21">
        <v>0</v>
      </c>
      <c r="R7660" s="21">
        <v>0</v>
      </c>
      <c r="S7660" s="5">
        <f t="shared" si="479"/>
        <v>44471.939203922884</v>
      </c>
      <c r="T7660" cm="1">
        <f t="array" ref="T7660">IF(OR(B7660="MAL ALIMI", B7660="ÜRETİM GİRİŞ"), MIN(I7660, MAX(0, I7660 + SUM(SUMIFS($I$1:I7659, $C$1:C7659, C7660, $B$1:B7659, {"MAL ALIMI","ÜRETİM GİRİŞ"})) - VLOOKUP(C7660, 'STOK RAPORU'!$C$2:$I$1000, 4, 0))), 0)</f>
        <v>0</v>
      </c>
      <c r="U7660" s="22">
        <f t="shared" si="476"/>
        <v>0</v>
      </c>
      <c r="V7660">
        <f t="shared" si="477"/>
        <v>0</v>
      </c>
      <c r="W7660" s="22">
        <f t="shared" si="478"/>
        <v>0</v>
      </c>
    </row>
    <row r="7661" spans="1:23" hidden="1" x14ac:dyDescent="0.25">
      <c r="A7661" s="3">
        <v>46184</v>
      </c>
      <c r="B7661" s="46" t="s">
        <v>334</v>
      </c>
      <c r="C7661" s="4" t="s">
        <v>221</v>
      </c>
      <c r="D7661" s="4"/>
      <c r="E7661" s="4"/>
      <c r="F7661" s="4" t="s">
        <v>3648</v>
      </c>
      <c r="G7661" s="4" t="s">
        <v>336</v>
      </c>
      <c r="H7661" s="4" t="s">
        <v>289</v>
      </c>
      <c r="I7661" s="4">
        <v>3.4615384615384617E-2</v>
      </c>
      <c r="J7661" s="21">
        <v>1300</v>
      </c>
      <c r="K7661" s="21">
        <v>0</v>
      </c>
      <c r="L7661" s="5">
        <v>0</v>
      </c>
      <c r="M7661" s="4"/>
      <c r="N7661" s="4"/>
      <c r="O7661" s="5"/>
      <c r="P7661" s="5"/>
      <c r="Q7661" s="21">
        <v>45</v>
      </c>
      <c r="R7661" s="21">
        <v>0</v>
      </c>
      <c r="S7661" s="5">
        <f t="shared" si="479"/>
        <v>44516.939203922884</v>
      </c>
      <c r="T7661" cm="1">
        <f t="array" ref="T7661">IF(OR(B7661="MAL ALIMI", B7661="ÜRETİM GİRİŞ"), MIN(I7661, MAX(0, I7661 + SUM(SUMIFS($I$1:I7660, $C$1:C7660, C7661, $B$1:B7660, {"MAL ALIMI","ÜRETİM GİRİŞ"})) - VLOOKUP(C7661, 'STOK RAPORU'!$C$2:$I$1000, 4, 0))), 0)</f>
        <v>0</v>
      </c>
      <c r="U7661" s="22">
        <f t="shared" si="476"/>
        <v>0</v>
      </c>
      <c r="V7661">
        <f t="shared" si="477"/>
        <v>0</v>
      </c>
      <c r="W7661" s="22">
        <f t="shared" si="478"/>
        <v>0</v>
      </c>
    </row>
    <row r="7662" spans="1:23" hidden="1" x14ac:dyDescent="0.25">
      <c r="A7662" s="3">
        <v>46184</v>
      </c>
      <c r="B7662" s="46" t="s">
        <v>334</v>
      </c>
      <c r="C7662" s="4" t="s">
        <v>588</v>
      </c>
      <c r="D7662" s="4"/>
      <c r="E7662" s="4" t="s">
        <v>921</v>
      </c>
      <c r="F7662" s="4" t="s">
        <v>3649</v>
      </c>
      <c r="G7662" s="4" t="s">
        <v>336</v>
      </c>
      <c r="H7662" s="4" t="s">
        <v>380</v>
      </c>
      <c r="I7662" s="4">
        <v>1</v>
      </c>
      <c r="J7662" s="21">
        <v>350</v>
      </c>
      <c r="K7662" s="21">
        <v>350</v>
      </c>
      <c r="L7662" s="5">
        <v>0</v>
      </c>
      <c r="M7662" s="4"/>
      <c r="N7662" s="4"/>
      <c r="O7662" s="5"/>
      <c r="P7662" s="5"/>
      <c r="Q7662" s="21">
        <v>0</v>
      </c>
      <c r="R7662" s="21">
        <v>0</v>
      </c>
      <c r="S7662" s="5">
        <f t="shared" si="479"/>
        <v>44516.939203922884</v>
      </c>
      <c r="T7662" cm="1">
        <f t="array" ref="T7662">IF(OR(B7662="MAL ALIMI", B7662="ÜRETİM GİRİŞ"), MIN(I7662, MAX(0, I7662 + SUM(SUMIFS($I$1:I7661, $C$1:C7661, C7662, $B$1:B7661, {"MAL ALIMI","ÜRETİM GİRİŞ"})) - VLOOKUP(C7662, 'STOK RAPORU'!$C$2:$I$1000, 4, 0))), 0)</f>
        <v>0</v>
      </c>
      <c r="U7662" s="22">
        <f t="shared" si="476"/>
        <v>0</v>
      </c>
      <c r="V7662">
        <f t="shared" si="477"/>
        <v>0</v>
      </c>
      <c r="W7662" s="22">
        <f t="shared" si="478"/>
        <v>0</v>
      </c>
    </row>
    <row r="7663" spans="1:23" hidden="1" x14ac:dyDescent="0.25">
      <c r="A7663" s="3">
        <v>46184</v>
      </c>
      <c r="B7663" s="46" t="s">
        <v>334</v>
      </c>
      <c r="C7663" s="4" t="s">
        <v>591</v>
      </c>
      <c r="D7663" s="4"/>
      <c r="E7663" s="4" t="s">
        <v>921</v>
      </c>
      <c r="F7663" s="4" t="s">
        <v>3649</v>
      </c>
      <c r="G7663" s="4" t="s">
        <v>336</v>
      </c>
      <c r="H7663" s="4" t="s">
        <v>380</v>
      </c>
      <c r="I7663" s="4">
        <v>1</v>
      </c>
      <c r="J7663" s="21">
        <v>350</v>
      </c>
      <c r="K7663" s="21">
        <v>350</v>
      </c>
      <c r="L7663" s="5">
        <v>0</v>
      </c>
      <c r="M7663" s="4"/>
      <c r="N7663" s="4"/>
      <c r="O7663" s="5"/>
      <c r="P7663" s="5"/>
      <c r="Q7663" s="21">
        <v>0</v>
      </c>
      <c r="R7663" s="21">
        <v>0</v>
      </c>
      <c r="S7663" s="5">
        <f t="shared" si="479"/>
        <v>44516.939203922884</v>
      </c>
      <c r="T7663" cm="1">
        <f t="array" ref="T7663">IF(OR(B7663="MAL ALIMI", B7663="ÜRETİM GİRİŞ"), MIN(I7663, MAX(0, I7663 + SUM(SUMIFS($I$1:I7662, $C$1:C7662, C7663, $B$1:B7662, {"MAL ALIMI","ÜRETİM GİRİŞ"})) - VLOOKUP(C7663, 'STOK RAPORU'!$C$2:$I$1000, 4, 0))), 0)</f>
        <v>0</v>
      </c>
      <c r="U7663" s="22">
        <f t="shared" si="476"/>
        <v>0</v>
      </c>
      <c r="V7663">
        <f t="shared" si="477"/>
        <v>0</v>
      </c>
      <c r="W7663" s="22">
        <f t="shared" si="478"/>
        <v>0</v>
      </c>
    </row>
    <row r="7664" spans="1:23" hidden="1" x14ac:dyDescent="0.25">
      <c r="A7664" s="3">
        <v>46184</v>
      </c>
      <c r="B7664" s="46" t="s">
        <v>334</v>
      </c>
      <c r="C7664" s="4" t="s">
        <v>1648</v>
      </c>
      <c r="D7664" s="4"/>
      <c r="E7664" s="4"/>
      <c r="F7664" s="4"/>
      <c r="G7664" s="4" t="s">
        <v>3633</v>
      </c>
      <c r="H7664" s="4" t="s">
        <v>289</v>
      </c>
      <c r="I7664" s="4">
        <v>0.86199999999999999</v>
      </c>
      <c r="J7664" s="21">
        <v>280</v>
      </c>
      <c r="K7664" s="21"/>
      <c r="L7664" s="5">
        <v>0</v>
      </c>
      <c r="M7664" s="4"/>
      <c r="N7664" s="4"/>
      <c r="O7664" s="5"/>
      <c r="P7664" s="5"/>
      <c r="Q7664" s="21">
        <v>241.36</v>
      </c>
      <c r="R7664" s="21"/>
      <c r="S7664" s="5">
        <f t="shared" si="479"/>
        <v>44758.299203922885</v>
      </c>
      <c r="U7664" s="22"/>
      <c r="W7664" s="22"/>
    </row>
    <row r="7665" spans="1:23" hidden="1" x14ac:dyDescent="0.25">
      <c r="A7665" s="3">
        <v>46184</v>
      </c>
      <c r="B7665" s="4" t="s">
        <v>3943</v>
      </c>
      <c r="C7665" s="4" t="s">
        <v>1648</v>
      </c>
      <c r="D7665" s="4" t="s">
        <v>3632</v>
      </c>
      <c r="E7665" s="4"/>
      <c r="F7665" s="4"/>
      <c r="G7665" s="4" t="s">
        <v>3633</v>
      </c>
      <c r="H7665" s="4" t="s">
        <v>289</v>
      </c>
      <c r="I7665" s="4">
        <v>0.86199999999999999</v>
      </c>
      <c r="J7665" s="21">
        <v>280</v>
      </c>
      <c r="K7665" s="21">
        <v>0</v>
      </c>
      <c r="L7665" s="5">
        <v>0</v>
      </c>
      <c r="M7665" s="4"/>
      <c r="N7665" s="4"/>
      <c r="O7665" s="5"/>
      <c r="P7665" s="5"/>
      <c r="Q7665" s="21">
        <v>0</v>
      </c>
      <c r="R7665" s="21">
        <v>241.35999999999999</v>
      </c>
      <c r="S7665" s="5">
        <f>S7664+Q7665-R7665</f>
        <v>44516.939203922884</v>
      </c>
      <c r="T7665" cm="1">
        <f t="array" ref="T7665">IF(OR(B7665="MAL ALIMI", B7665="ÜRETİM GİRİŞ"), MIN(I7665, MAX(0, I7665 + SUM(SUMIFS($I$1:I7663, $C$1:C7663, C7665, $B$1:B7663, {"MAL ALIMI","ÜRETİM GİRİŞ"})) - VLOOKUP(C7665, 'STOK RAPORU'!$C$2:$I$1000, 4, 0))), 0)</f>
        <v>0</v>
      </c>
      <c r="U7665" s="22">
        <f t="shared" si="476"/>
        <v>0</v>
      </c>
      <c r="V7665">
        <f t="shared" si="477"/>
        <v>0</v>
      </c>
      <c r="W7665" s="22">
        <f t="shared" si="478"/>
        <v>0</v>
      </c>
    </row>
    <row r="7666" spans="1:23" hidden="1" x14ac:dyDescent="0.25">
      <c r="A7666" s="3">
        <v>46185</v>
      </c>
      <c r="B7666" s="46" t="s">
        <v>334</v>
      </c>
      <c r="C7666" s="4" t="s">
        <v>160</v>
      </c>
      <c r="D7666" s="4"/>
      <c r="E7666" s="4"/>
      <c r="F7666" s="4" t="s">
        <v>3650</v>
      </c>
      <c r="G7666" s="4" t="s">
        <v>3654</v>
      </c>
      <c r="H7666" s="4" t="s">
        <v>289</v>
      </c>
      <c r="I7666" s="4">
        <v>4</v>
      </c>
      <c r="J7666" s="21">
        <v>200</v>
      </c>
      <c r="K7666" s="21">
        <v>0</v>
      </c>
      <c r="L7666" s="5">
        <v>0</v>
      </c>
      <c r="M7666" s="4"/>
      <c r="N7666" s="4"/>
      <c r="O7666" s="5"/>
      <c r="P7666" s="5"/>
      <c r="Q7666" s="21">
        <v>800</v>
      </c>
      <c r="R7666" s="21">
        <v>0</v>
      </c>
      <c r="S7666" s="5">
        <f t="shared" si="479"/>
        <v>45316.939203922884</v>
      </c>
      <c r="T7666" cm="1">
        <f t="array" ref="T7666">IF(OR(B7666="MAL ALIMI", B7666="ÜRETİM GİRİŞ"), MIN(I7666, MAX(0, I7666 + SUM(SUMIFS($I$1:I7665, $C$1:C7665, C7666, $B$1:B7665, {"MAL ALIMI","ÜRETİM GİRİŞ"})) - VLOOKUP(C7666, 'STOK RAPORU'!$C$2:$I$1000, 4, 0))), 0)</f>
        <v>0</v>
      </c>
      <c r="U7666" s="22">
        <f t="shared" si="476"/>
        <v>0</v>
      </c>
      <c r="V7666">
        <f t="shared" si="477"/>
        <v>0</v>
      </c>
      <c r="W7666" s="22">
        <f t="shared" si="478"/>
        <v>0</v>
      </c>
    </row>
    <row r="7667" spans="1:23" hidden="1" x14ac:dyDescent="0.25">
      <c r="A7667" s="3">
        <v>46185</v>
      </c>
      <c r="B7667" s="46" t="s">
        <v>334</v>
      </c>
      <c r="C7667" s="4" t="s">
        <v>1144</v>
      </c>
      <c r="D7667" s="4"/>
      <c r="E7667" s="4"/>
      <c r="F7667" s="4" t="s">
        <v>3651</v>
      </c>
      <c r="G7667" s="4" t="s">
        <v>336</v>
      </c>
      <c r="H7667" s="4" t="s">
        <v>289</v>
      </c>
      <c r="I7667" s="4">
        <v>1</v>
      </c>
      <c r="J7667" s="21">
        <v>130</v>
      </c>
      <c r="K7667" s="21">
        <v>0</v>
      </c>
      <c r="L7667" s="5">
        <v>0</v>
      </c>
      <c r="M7667" s="4"/>
      <c r="N7667" s="4"/>
      <c r="O7667" s="5"/>
      <c r="P7667" s="5"/>
      <c r="Q7667" s="21">
        <v>130</v>
      </c>
      <c r="R7667" s="21">
        <v>0</v>
      </c>
      <c r="S7667" s="5">
        <f t="shared" si="479"/>
        <v>45446.939203922884</v>
      </c>
      <c r="T7667" cm="1">
        <f t="array" ref="T7667">IF(OR(B7667="MAL ALIMI", B7667="ÜRETİM GİRİŞ"), MIN(I7667, MAX(0, I7667 + SUM(SUMIFS($I$1:I7666, $C$1:C7666, C7667, $B$1:B7666, {"MAL ALIMI","ÜRETİM GİRİŞ"})) - VLOOKUP(C7667, 'STOK RAPORU'!$C$2:$I$1000, 4, 0))), 0)</f>
        <v>0</v>
      </c>
      <c r="U7667" s="22">
        <f t="shared" ref="U7667:U7729" si="480">T7667*J7667</f>
        <v>0</v>
      </c>
      <c r="V7667">
        <f t="shared" ref="V7667:V7729" si="481">IF(OR(B7667="MAL ALIMI", B7667="ÜRETİM GİRİŞ"), I7667 * J7667, 0)</f>
        <v>0</v>
      </c>
      <c r="W7667" s="22">
        <f t="shared" ref="W7667:W7729" si="482">V7667-U7667</f>
        <v>0</v>
      </c>
    </row>
    <row r="7668" spans="1:23" hidden="1" x14ac:dyDescent="0.25">
      <c r="A7668" s="3">
        <v>46185</v>
      </c>
      <c r="B7668" s="46" t="s">
        <v>334</v>
      </c>
      <c r="C7668" s="4" t="s">
        <v>158</v>
      </c>
      <c r="D7668" s="4"/>
      <c r="E7668" s="4" t="s">
        <v>921</v>
      </c>
      <c r="F7668" s="4" t="s">
        <v>3652</v>
      </c>
      <c r="G7668" s="4" t="s">
        <v>336</v>
      </c>
      <c r="H7668" s="4" t="s">
        <v>380</v>
      </c>
      <c r="I7668" s="4">
        <v>1</v>
      </c>
      <c r="J7668" s="21">
        <v>150</v>
      </c>
      <c r="K7668" s="21">
        <v>150</v>
      </c>
      <c r="L7668" s="5">
        <v>0</v>
      </c>
      <c r="M7668" s="4"/>
      <c r="N7668" s="4"/>
      <c r="O7668" s="5"/>
      <c r="P7668" s="5"/>
      <c r="Q7668" s="21">
        <v>0</v>
      </c>
      <c r="R7668" s="21">
        <v>0</v>
      </c>
      <c r="S7668" s="5">
        <f t="shared" si="479"/>
        <v>45446.939203922884</v>
      </c>
      <c r="T7668" cm="1">
        <f t="array" ref="T7668">IF(OR(B7668="MAL ALIMI", B7668="ÜRETİM GİRİŞ"), MIN(I7668, MAX(0, I7668 + SUM(SUMIFS($I$1:I7667, $C$1:C7667, C7668, $B$1:B7667, {"MAL ALIMI","ÜRETİM GİRİŞ"})) - VLOOKUP(C7668, 'STOK RAPORU'!$C$2:$I$1000, 4, 0))), 0)</f>
        <v>0</v>
      </c>
      <c r="U7668" s="22">
        <f t="shared" si="480"/>
        <v>0</v>
      </c>
      <c r="V7668">
        <f t="shared" si="481"/>
        <v>0</v>
      </c>
      <c r="W7668" s="22">
        <f t="shared" si="482"/>
        <v>0</v>
      </c>
    </row>
    <row r="7669" spans="1:23" hidden="1" x14ac:dyDescent="0.25">
      <c r="A7669" s="3">
        <v>46185</v>
      </c>
      <c r="B7669" s="46" t="s">
        <v>334</v>
      </c>
      <c r="C7669" s="4" t="s">
        <v>157</v>
      </c>
      <c r="D7669" s="4"/>
      <c r="E7669" s="4"/>
      <c r="F7669" s="4" t="s">
        <v>3653</v>
      </c>
      <c r="G7669" s="4" t="s">
        <v>336</v>
      </c>
      <c r="H7669" s="4" t="s">
        <v>289</v>
      </c>
      <c r="I7669" s="4">
        <v>1</v>
      </c>
      <c r="J7669" s="21">
        <v>200</v>
      </c>
      <c r="K7669" s="21">
        <v>0</v>
      </c>
      <c r="L7669" s="5">
        <v>0</v>
      </c>
      <c r="M7669" s="4"/>
      <c r="N7669" s="4"/>
      <c r="O7669" s="5"/>
      <c r="P7669" s="5"/>
      <c r="Q7669" s="21">
        <v>200</v>
      </c>
      <c r="R7669" s="21">
        <v>0</v>
      </c>
      <c r="S7669" s="5">
        <f t="shared" si="479"/>
        <v>45646.939203922884</v>
      </c>
      <c r="T7669" cm="1">
        <f t="array" ref="T7669">IF(OR(B7669="MAL ALIMI", B7669="ÜRETİM GİRİŞ"), MIN(I7669, MAX(0, I7669 + SUM(SUMIFS($I$1:I7668, $C$1:C7668, C7669, $B$1:B7668, {"MAL ALIMI","ÜRETİM GİRİŞ"})) - VLOOKUP(C7669, 'STOK RAPORU'!$C$2:$I$1000, 4, 0))), 0)</f>
        <v>0</v>
      </c>
      <c r="U7669" s="22">
        <f t="shared" si="480"/>
        <v>0</v>
      </c>
      <c r="V7669">
        <f t="shared" si="481"/>
        <v>0</v>
      </c>
      <c r="W7669" s="22">
        <f t="shared" si="482"/>
        <v>0</v>
      </c>
    </row>
    <row r="7670" spans="1:23" hidden="1" x14ac:dyDescent="0.25">
      <c r="A7670" s="3">
        <v>46185</v>
      </c>
      <c r="B7670" s="46" t="s">
        <v>334</v>
      </c>
      <c r="C7670" s="4" t="s">
        <v>523</v>
      </c>
      <c r="D7670" s="4"/>
      <c r="E7670" s="4"/>
      <c r="F7670" s="4" t="s">
        <v>3656</v>
      </c>
      <c r="G7670" s="4" t="s">
        <v>336</v>
      </c>
      <c r="H7670" s="4" t="s">
        <v>289</v>
      </c>
      <c r="I7670" s="4">
        <v>0.1</v>
      </c>
      <c r="J7670" s="21">
        <v>600</v>
      </c>
      <c r="K7670" s="21">
        <v>0</v>
      </c>
      <c r="L7670" s="5">
        <v>0</v>
      </c>
      <c r="M7670" s="4"/>
      <c r="N7670" s="4"/>
      <c r="O7670" s="5"/>
      <c r="P7670" s="5"/>
      <c r="Q7670" s="21">
        <v>60</v>
      </c>
      <c r="R7670" s="21">
        <v>0</v>
      </c>
      <c r="S7670" s="5">
        <f t="shared" si="479"/>
        <v>45706.939203922884</v>
      </c>
      <c r="T7670" cm="1">
        <f t="array" ref="T7670">IF(OR(B7670="MAL ALIMI", B7670="ÜRETİM GİRİŞ"), MIN(I7670, MAX(0, I7670 + SUM(SUMIFS($I$1:I7669, $C$1:C7669, C7670, $B$1:B7669, {"MAL ALIMI","ÜRETİM GİRİŞ"})) - VLOOKUP(C7670, 'STOK RAPORU'!$C$2:$I$1000, 4, 0))), 0)</f>
        <v>0</v>
      </c>
      <c r="U7670" s="22">
        <f t="shared" si="480"/>
        <v>0</v>
      </c>
      <c r="V7670">
        <f t="shared" si="481"/>
        <v>0</v>
      </c>
      <c r="W7670" s="22">
        <f t="shared" si="482"/>
        <v>0</v>
      </c>
    </row>
    <row r="7671" spans="1:23" hidden="1" x14ac:dyDescent="0.25">
      <c r="A7671" s="3">
        <v>46185</v>
      </c>
      <c r="B7671" s="46" t="s">
        <v>334</v>
      </c>
      <c r="C7671" s="4" t="s">
        <v>60</v>
      </c>
      <c r="D7671" s="4"/>
      <c r="E7671" s="4"/>
      <c r="F7671" s="4" t="s">
        <v>3656</v>
      </c>
      <c r="G7671" s="4" t="s">
        <v>336</v>
      </c>
      <c r="H7671" s="4" t="s">
        <v>289</v>
      </c>
      <c r="I7671" s="4">
        <v>0.1</v>
      </c>
      <c r="J7671" s="21">
        <v>600</v>
      </c>
      <c r="K7671" s="21">
        <v>0</v>
      </c>
      <c r="L7671" s="5">
        <v>0</v>
      </c>
      <c r="M7671" s="4"/>
      <c r="N7671" s="4"/>
      <c r="O7671" s="5"/>
      <c r="P7671" s="5"/>
      <c r="Q7671" s="21">
        <v>60</v>
      </c>
      <c r="R7671" s="21">
        <v>0</v>
      </c>
      <c r="S7671" s="5">
        <f t="shared" si="479"/>
        <v>45766.939203922884</v>
      </c>
      <c r="T7671" cm="1">
        <f t="array" ref="T7671">IF(OR(B7671="MAL ALIMI", B7671="ÜRETİM GİRİŞ"), MIN(I7671, MAX(0, I7671 + SUM(SUMIFS($I$1:I7670, $C$1:C7670, C7671, $B$1:B7670, {"MAL ALIMI","ÜRETİM GİRİŞ"})) - VLOOKUP(C7671, 'STOK RAPORU'!$C$2:$I$1000, 4, 0))), 0)</f>
        <v>0</v>
      </c>
      <c r="U7671" s="22">
        <f t="shared" si="480"/>
        <v>0</v>
      </c>
      <c r="V7671">
        <f t="shared" si="481"/>
        <v>0</v>
      </c>
      <c r="W7671" s="22">
        <f t="shared" si="482"/>
        <v>0</v>
      </c>
    </row>
    <row r="7672" spans="1:23" hidden="1" x14ac:dyDescent="0.25">
      <c r="A7672" s="3">
        <v>46186</v>
      </c>
      <c r="B7672" s="46" t="s">
        <v>334</v>
      </c>
      <c r="C7672" s="4" t="s">
        <v>133</v>
      </c>
      <c r="D7672" s="4"/>
      <c r="E7672" s="4" t="s">
        <v>921</v>
      </c>
      <c r="F7672" s="4" t="s">
        <v>3657</v>
      </c>
      <c r="G7672" s="4" t="s">
        <v>336</v>
      </c>
      <c r="H7672" s="4" t="s">
        <v>380</v>
      </c>
      <c r="I7672" s="4">
        <v>0.25</v>
      </c>
      <c r="J7672" s="21">
        <v>400</v>
      </c>
      <c r="K7672" s="21">
        <v>100</v>
      </c>
      <c r="L7672" s="5">
        <v>0</v>
      </c>
      <c r="M7672" s="4"/>
      <c r="N7672" s="4"/>
      <c r="O7672" s="5"/>
      <c r="P7672" s="5"/>
      <c r="Q7672" s="21">
        <v>0</v>
      </c>
      <c r="R7672" s="21">
        <v>0</v>
      </c>
      <c r="S7672" s="5">
        <f t="shared" si="479"/>
        <v>45766.939203922884</v>
      </c>
      <c r="T7672" cm="1">
        <f t="array" ref="T7672">IF(OR(B7672="MAL ALIMI", B7672="ÜRETİM GİRİŞ"), MIN(I7672, MAX(0, I7672 + SUM(SUMIFS($I$1:I7671, $C$1:C7671, C7672, $B$1:B7671, {"MAL ALIMI","ÜRETİM GİRİŞ"})) - VLOOKUP(C7672, 'STOK RAPORU'!$C$2:$I$1000, 4, 0))), 0)</f>
        <v>0</v>
      </c>
      <c r="U7672" s="22">
        <f t="shared" si="480"/>
        <v>0</v>
      </c>
      <c r="V7672">
        <f t="shared" si="481"/>
        <v>0</v>
      </c>
      <c r="W7672" s="22">
        <f t="shared" si="482"/>
        <v>0</v>
      </c>
    </row>
    <row r="7673" spans="1:23" hidden="1" x14ac:dyDescent="0.25">
      <c r="A7673" s="3">
        <v>46186</v>
      </c>
      <c r="B7673" s="46" t="s">
        <v>334</v>
      </c>
      <c r="C7673" s="4" t="s">
        <v>244</v>
      </c>
      <c r="D7673" s="4"/>
      <c r="E7673" s="4" t="s">
        <v>921</v>
      </c>
      <c r="F7673" s="4" t="s">
        <v>3657</v>
      </c>
      <c r="G7673" s="4" t="s">
        <v>336</v>
      </c>
      <c r="H7673" s="4" t="s">
        <v>380</v>
      </c>
      <c r="I7673" s="4">
        <v>0.23076923076923078</v>
      </c>
      <c r="J7673" s="21">
        <v>650</v>
      </c>
      <c r="K7673" s="21">
        <v>150</v>
      </c>
      <c r="L7673" s="5">
        <v>0</v>
      </c>
      <c r="M7673" s="4"/>
      <c r="N7673" s="4"/>
      <c r="O7673" s="5"/>
      <c r="P7673" s="5"/>
      <c r="Q7673" s="21">
        <v>0</v>
      </c>
      <c r="R7673" s="21">
        <v>0</v>
      </c>
      <c r="S7673" s="5">
        <f t="shared" si="479"/>
        <v>45766.939203922884</v>
      </c>
      <c r="T7673" cm="1">
        <f t="array" ref="T7673">IF(OR(B7673="MAL ALIMI", B7673="ÜRETİM GİRİŞ"), MIN(I7673, MAX(0, I7673 + SUM(SUMIFS($I$1:I7672, $C$1:C7672, C7673, $B$1:B7672, {"MAL ALIMI","ÜRETİM GİRİŞ"})) - VLOOKUP(C7673, 'STOK RAPORU'!$C$2:$I$1000, 4, 0))), 0)</f>
        <v>0</v>
      </c>
      <c r="U7673" s="22">
        <f t="shared" si="480"/>
        <v>0</v>
      </c>
      <c r="V7673">
        <f t="shared" si="481"/>
        <v>0</v>
      </c>
      <c r="W7673" s="22">
        <f t="shared" si="482"/>
        <v>0</v>
      </c>
    </row>
    <row r="7674" spans="1:23" hidden="1" x14ac:dyDescent="0.25">
      <c r="A7674" s="3">
        <v>46186</v>
      </c>
      <c r="B7674" s="46" t="s">
        <v>334</v>
      </c>
      <c r="C7674" s="4" t="s">
        <v>648</v>
      </c>
      <c r="D7674" s="4"/>
      <c r="E7674" s="4" t="s">
        <v>921</v>
      </c>
      <c r="F7674" s="4" t="s">
        <v>3657</v>
      </c>
      <c r="G7674" s="4" t="s">
        <v>336</v>
      </c>
      <c r="H7674" s="4" t="s">
        <v>380</v>
      </c>
      <c r="I7674" s="4">
        <v>0.15384615384615385</v>
      </c>
      <c r="J7674" s="21">
        <v>650</v>
      </c>
      <c r="K7674" s="21">
        <v>100</v>
      </c>
      <c r="L7674" s="5">
        <v>0</v>
      </c>
      <c r="M7674" s="4"/>
      <c r="N7674" s="4"/>
      <c r="O7674" s="5"/>
      <c r="P7674" s="5"/>
      <c r="Q7674" s="21">
        <v>0</v>
      </c>
      <c r="R7674" s="21">
        <v>0</v>
      </c>
      <c r="S7674" s="5">
        <f t="shared" si="479"/>
        <v>45766.939203922884</v>
      </c>
      <c r="T7674" cm="1">
        <f t="array" ref="T7674">IF(OR(B7674="MAL ALIMI", B7674="ÜRETİM GİRİŞ"), MIN(I7674, MAX(0, I7674 + SUM(SUMIFS($I$1:I7673, $C$1:C7673, C7674, $B$1:B7673, {"MAL ALIMI","ÜRETİM GİRİŞ"})) - VLOOKUP(C7674, 'STOK RAPORU'!$C$2:$I$1000, 4, 0))), 0)</f>
        <v>0</v>
      </c>
      <c r="U7674" s="22">
        <f t="shared" si="480"/>
        <v>0</v>
      </c>
      <c r="V7674">
        <f t="shared" si="481"/>
        <v>0</v>
      </c>
      <c r="W7674" s="22">
        <f t="shared" si="482"/>
        <v>0</v>
      </c>
    </row>
    <row r="7675" spans="1:23" hidden="1" x14ac:dyDescent="0.25">
      <c r="A7675" s="3">
        <v>46186</v>
      </c>
      <c r="B7675" s="46" t="s">
        <v>334</v>
      </c>
      <c r="C7675" s="4" t="s">
        <v>133</v>
      </c>
      <c r="D7675" s="4"/>
      <c r="E7675" s="4" t="s">
        <v>921</v>
      </c>
      <c r="F7675" s="4" t="s">
        <v>3658</v>
      </c>
      <c r="G7675" s="4" t="s">
        <v>336</v>
      </c>
      <c r="H7675" s="4" t="s">
        <v>380</v>
      </c>
      <c r="I7675" s="4">
        <v>0.2525</v>
      </c>
      <c r="J7675" s="21">
        <v>400</v>
      </c>
      <c r="K7675" s="21">
        <v>101</v>
      </c>
      <c r="L7675" s="5">
        <v>0</v>
      </c>
      <c r="M7675" s="4"/>
      <c r="N7675" s="4"/>
      <c r="O7675" s="5"/>
      <c r="P7675" s="5"/>
      <c r="Q7675" s="21">
        <v>0</v>
      </c>
      <c r="R7675" s="21">
        <v>0</v>
      </c>
      <c r="S7675" s="5">
        <f t="shared" si="479"/>
        <v>45766.939203922884</v>
      </c>
      <c r="T7675" cm="1">
        <f t="array" ref="T7675">IF(OR(B7675="MAL ALIMI", B7675="ÜRETİM GİRİŞ"), MIN(I7675, MAX(0, I7675 + SUM(SUMIFS($I$1:I7674, $C$1:C7674, C7675, $B$1:B7674, {"MAL ALIMI","ÜRETİM GİRİŞ"})) - VLOOKUP(C7675, 'STOK RAPORU'!$C$2:$I$1000, 4, 0))), 0)</f>
        <v>0</v>
      </c>
      <c r="U7675" s="22">
        <f t="shared" si="480"/>
        <v>0</v>
      </c>
      <c r="V7675">
        <f t="shared" si="481"/>
        <v>0</v>
      </c>
      <c r="W7675" s="22">
        <f t="shared" si="482"/>
        <v>0</v>
      </c>
    </row>
    <row r="7676" spans="1:23" hidden="1" x14ac:dyDescent="0.25">
      <c r="A7676" s="3">
        <v>46186</v>
      </c>
      <c r="B7676" s="46" t="s">
        <v>334</v>
      </c>
      <c r="C7676" s="4" t="s">
        <v>126</v>
      </c>
      <c r="D7676" s="4"/>
      <c r="E7676" s="4" t="s">
        <v>921</v>
      </c>
      <c r="F7676" s="4" t="s">
        <v>3658</v>
      </c>
      <c r="G7676" s="4" t="s">
        <v>336</v>
      </c>
      <c r="H7676" s="4" t="s">
        <v>380</v>
      </c>
      <c r="I7676" s="4">
        <v>0.13384615384615384</v>
      </c>
      <c r="J7676" s="21">
        <v>650</v>
      </c>
      <c r="K7676" s="21">
        <v>87</v>
      </c>
      <c r="L7676" s="5">
        <v>0</v>
      </c>
      <c r="M7676" s="4"/>
      <c r="N7676" s="4"/>
      <c r="O7676" s="5"/>
      <c r="P7676" s="5"/>
      <c r="Q7676" s="21">
        <v>0</v>
      </c>
      <c r="R7676" s="21">
        <v>0</v>
      </c>
      <c r="S7676" s="5">
        <f t="shared" si="479"/>
        <v>45766.939203922884</v>
      </c>
      <c r="T7676" cm="1">
        <f t="array" ref="T7676">IF(OR(B7676="MAL ALIMI", B7676="ÜRETİM GİRİŞ"), MIN(I7676, MAX(0, I7676 + SUM(SUMIFS($I$1:I7675, $C$1:C7675, C7676, $B$1:B7675, {"MAL ALIMI","ÜRETİM GİRİŞ"})) - VLOOKUP(C7676, 'STOK RAPORU'!$C$2:$I$1000, 4, 0))), 0)</f>
        <v>0</v>
      </c>
      <c r="U7676" s="22">
        <f t="shared" si="480"/>
        <v>0</v>
      </c>
      <c r="V7676">
        <f t="shared" si="481"/>
        <v>0</v>
      </c>
      <c r="W7676" s="22">
        <f t="shared" si="482"/>
        <v>0</v>
      </c>
    </row>
    <row r="7677" spans="1:23" hidden="1" x14ac:dyDescent="0.25">
      <c r="A7677" s="3">
        <v>46186</v>
      </c>
      <c r="B7677" s="46" t="s">
        <v>334</v>
      </c>
      <c r="C7677" s="4" t="s">
        <v>463</v>
      </c>
      <c r="D7677" s="4"/>
      <c r="E7677" s="4" t="s">
        <v>921</v>
      </c>
      <c r="F7677" s="4" t="s">
        <v>3658</v>
      </c>
      <c r="G7677" s="4" t="s">
        <v>336</v>
      </c>
      <c r="H7677" s="4" t="s">
        <v>380</v>
      </c>
      <c r="I7677" s="4">
        <v>0.22750000000000001</v>
      </c>
      <c r="J7677" s="21">
        <v>400</v>
      </c>
      <c r="K7677" s="21">
        <v>91</v>
      </c>
      <c r="L7677" s="5">
        <v>0</v>
      </c>
      <c r="M7677" s="4"/>
      <c r="N7677" s="4"/>
      <c r="O7677" s="5"/>
      <c r="P7677" s="5"/>
      <c r="Q7677" s="21">
        <v>0</v>
      </c>
      <c r="R7677" s="21">
        <v>0</v>
      </c>
      <c r="S7677" s="5">
        <f t="shared" si="479"/>
        <v>45766.939203922884</v>
      </c>
      <c r="T7677" cm="1">
        <f t="array" ref="T7677">IF(OR(B7677="MAL ALIMI", B7677="ÜRETİM GİRİŞ"), MIN(I7677, MAX(0, I7677 + SUM(SUMIFS($I$1:I7676, $C$1:C7676, C7677, $B$1:B7676, {"MAL ALIMI","ÜRETİM GİRİŞ"})) - VLOOKUP(C7677, 'STOK RAPORU'!$C$2:$I$1000, 4, 0))), 0)</f>
        <v>0</v>
      </c>
      <c r="U7677" s="22">
        <f t="shared" si="480"/>
        <v>0</v>
      </c>
      <c r="V7677">
        <f t="shared" si="481"/>
        <v>0</v>
      </c>
      <c r="W7677" s="22">
        <f t="shared" si="482"/>
        <v>0</v>
      </c>
    </row>
    <row r="7678" spans="1:23" hidden="1" x14ac:dyDescent="0.25">
      <c r="A7678" s="3">
        <v>46186</v>
      </c>
      <c r="B7678" s="46" t="s">
        <v>334</v>
      </c>
      <c r="C7678" s="4" t="s">
        <v>130</v>
      </c>
      <c r="D7678" s="4"/>
      <c r="E7678" s="4" t="s">
        <v>921</v>
      </c>
      <c r="F7678" s="4" t="s">
        <v>3658</v>
      </c>
      <c r="G7678" s="4" t="s">
        <v>336</v>
      </c>
      <c r="H7678" s="4" t="s">
        <v>380</v>
      </c>
      <c r="I7678" s="4">
        <v>0.11555555555555555</v>
      </c>
      <c r="J7678" s="21">
        <v>450</v>
      </c>
      <c r="K7678" s="21">
        <v>52</v>
      </c>
      <c r="L7678" s="5">
        <v>0</v>
      </c>
      <c r="M7678" s="4"/>
      <c r="N7678" s="4"/>
      <c r="O7678" s="5"/>
      <c r="P7678" s="5"/>
      <c r="Q7678" s="21">
        <v>0</v>
      </c>
      <c r="R7678" s="21">
        <v>0</v>
      </c>
      <c r="S7678" s="5">
        <f t="shared" si="479"/>
        <v>45766.939203922884</v>
      </c>
      <c r="T7678" cm="1">
        <f t="array" ref="T7678">IF(OR(B7678="MAL ALIMI", B7678="ÜRETİM GİRİŞ"), MIN(I7678, MAX(0, I7678 + SUM(SUMIFS($I$1:I7677, $C$1:C7677, C7678, $B$1:B7677, {"MAL ALIMI","ÜRETİM GİRİŞ"})) - VLOOKUP(C7678, 'STOK RAPORU'!$C$2:$I$1000, 4, 0))), 0)</f>
        <v>0</v>
      </c>
      <c r="U7678" s="22">
        <f t="shared" si="480"/>
        <v>0</v>
      </c>
      <c r="V7678">
        <f t="shared" si="481"/>
        <v>0</v>
      </c>
      <c r="W7678" s="22">
        <f t="shared" si="482"/>
        <v>0</v>
      </c>
    </row>
    <row r="7679" spans="1:23" hidden="1" x14ac:dyDescent="0.25">
      <c r="A7679" s="3">
        <v>46186</v>
      </c>
      <c r="B7679" s="46" t="s">
        <v>334</v>
      </c>
      <c r="C7679" s="4" t="s">
        <v>131</v>
      </c>
      <c r="D7679" s="4"/>
      <c r="E7679" s="4" t="s">
        <v>921</v>
      </c>
      <c r="F7679" s="4" t="s">
        <v>3658</v>
      </c>
      <c r="G7679" s="4" t="s">
        <v>336</v>
      </c>
      <c r="H7679" s="4" t="s">
        <v>380</v>
      </c>
      <c r="I7679" s="4">
        <v>5.7500000000000002E-2</v>
      </c>
      <c r="J7679" s="21">
        <v>400</v>
      </c>
      <c r="K7679" s="21">
        <v>23</v>
      </c>
      <c r="L7679" s="5">
        <v>0</v>
      </c>
      <c r="M7679" s="4"/>
      <c r="N7679" s="4"/>
      <c r="O7679" s="5"/>
      <c r="P7679" s="5"/>
      <c r="Q7679" s="21">
        <v>0</v>
      </c>
      <c r="R7679" s="21">
        <v>0</v>
      </c>
      <c r="S7679" s="5">
        <f t="shared" si="479"/>
        <v>45766.939203922884</v>
      </c>
      <c r="T7679" cm="1">
        <f t="array" ref="T7679">IF(OR(B7679="MAL ALIMI", B7679="ÜRETİM GİRİŞ"), MIN(I7679, MAX(0, I7679 + SUM(SUMIFS($I$1:I7678, $C$1:C7678, C7679, $B$1:B7678, {"MAL ALIMI","ÜRETİM GİRİŞ"})) - VLOOKUP(C7679, 'STOK RAPORU'!$C$2:$I$1000, 4, 0))), 0)</f>
        <v>0</v>
      </c>
      <c r="U7679" s="22">
        <f t="shared" si="480"/>
        <v>0</v>
      </c>
      <c r="V7679">
        <f t="shared" si="481"/>
        <v>0</v>
      </c>
      <c r="W7679" s="22">
        <f t="shared" si="482"/>
        <v>0</v>
      </c>
    </row>
    <row r="7680" spans="1:23" hidden="1" x14ac:dyDescent="0.25">
      <c r="A7680" s="3">
        <v>46186</v>
      </c>
      <c r="B7680" s="46" t="s">
        <v>334</v>
      </c>
      <c r="C7680" s="4" t="s">
        <v>1024</v>
      </c>
      <c r="D7680" s="4"/>
      <c r="E7680" s="4" t="s">
        <v>921</v>
      </c>
      <c r="F7680" s="4" t="s">
        <v>3658</v>
      </c>
      <c r="G7680" s="4" t="s">
        <v>336</v>
      </c>
      <c r="H7680" s="4" t="s">
        <v>380</v>
      </c>
      <c r="I7680" s="4">
        <v>0.63076923076923075</v>
      </c>
      <c r="J7680" s="21">
        <v>65</v>
      </c>
      <c r="K7680" s="21">
        <v>41</v>
      </c>
      <c r="L7680" s="5">
        <v>0</v>
      </c>
      <c r="M7680" s="4"/>
      <c r="N7680" s="4"/>
      <c r="O7680" s="5"/>
      <c r="P7680" s="5"/>
      <c r="Q7680" s="21">
        <v>0</v>
      </c>
      <c r="R7680" s="21">
        <v>0</v>
      </c>
      <c r="S7680" s="5">
        <f t="shared" si="479"/>
        <v>45766.939203922884</v>
      </c>
      <c r="T7680" cm="1">
        <f t="array" ref="T7680">IF(OR(B7680="MAL ALIMI", B7680="ÜRETİM GİRİŞ"), MIN(I7680, MAX(0, I7680 + SUM(SUMIFS($I$1:I7679, $C$1:C7679, C7680, $B$1:B7679, {"MAL ALIMI","ÜRETİM GİRİŞ"})) - VLOOKUP(C7680, 'STOK RAPORU'!$C$2:$I$1000, 4, 0))), 0)</f>
        <v>0</v>
      </c>
      <c r="U7680" s="22">
        <f t="shared" si="480"/>
        <v>0</v>
      </c>
      <c r="V7680">
        <f t="shared" si="481"/>
        <v>0</v>
      </c>
      <c r="W7680" s="22">
        <f t="shared" si="482"/>
        <v>0</v>
      </c>
    </row>
    <row r="7681" spans="1:23" hidden="1" x14ac:dyDescent="0.25">
      <c r="A7681" s="3">
        <v>46186</v>
      </c>
      <c r="B7681" s="46" t="s">
        <v>334</v>
      </c>
      <c r="C7681" s="4" t="s">
        <v>634</v>
      </c>
      <c r="D7681" s="4"/>
      <c r="E7681" s="4" t="s">
        <v>921</v>
      </c>
      <c r="F7681" s="4" t="s">
        <v>3659</v>
      </c>
      <c r="G7681" s="4" t="s">
        <v>336</v>
      </c>
      <c r="H7681" s="4" t="s">
        <v>380</v>
      </c>
      <c r="I7681" s="4">
        <v>0.23529411764705882</v>
      </c>
      <c r="J7681" s="21">
        <v>850</v>
      </c>
      <c r="K7681" s="21">
        <v>200</v>
      </c>
      <c r="L7681" s="5">
        <v>0</v>
      </c>
      <c r="M7681" s="4"/>
      <c r="N7681" s="4"/>
      <c r="O7681" s="5"/>
      <c r="P7681" s="5"/>
      <c r="Q7681" s="21">
        <v>0</v>
      </c>
      <c r="R7681" s="21">
        <v>0</v>
      </c>
      <c r="S7681" s="5">
        <f t="shared" si="479"/>
        <v>45766.939203922884</v>
      </c>
      <c r="T7681" cm="1">
        <f t="array" ref="T7681">IF(OR(B7681="MAL ALIMI", B7681="ÜRETİM GİRİŞ"), MIN(I7681, MAX(0, I7681 + SUM(SUMIFS($I$1:I7680, $C$1:C7680, C7681, $B$1:B7680, {"MAL ALIMI","ÜRETİM GİRİŞ"})) - VLOOKUP(C7681, 'STOK RAPORU'!$C$2:$I$1000, 4, 0))), 0)</f>
        <v>0</v>
      </c>
      <c r="U7681" s="22">
        <f t="shared" si="480"/>
        <v>0</v>
      </c>
      <c r="V7681">
        <f t="shared" si="481"/>
        <v>0</v>
      </c>
      <c r="W7681" s="22">
        <f t="shared" si="482"/>
        <v>0</v>
      </c>
    </row>
    <row r="7682" spans="1:23" hidden="1" x14ac:dyDescent="0.25">
      <c r="A7682" s="3">
        <v>46186</v>
      </c>
      <c r="B7682" s="46" t="s">
        <v>334</v>
      </c>
      <c r="C7682" s="4" t="s">
        <v>253</v>
      </c>
      <c r="D7682" s="4"/>
      <c r="E7682" s="4" t="s">
        <v>921</v>
      </c>
      <c r="F7682" s="4" t="s">
        <v>3659</v>
      </c>
      <c r="G7682" s="4" t="s">
        <v>336</v>
      </c>
      <c r="H7682" s="4" t="s">
        <v>380</v>
      </c>
      <c r="I7682" s="4">
        <v>0.3</v>
      </c>
      <c r="J7682" s="21">
        <v>250</v>
      </c>
      <c r="K7682" s="21">
        <v>75</v>
      </c>
      <c r="L7682" s="5">
        <v>0</v>
      </c>
      <c r="M7682" s="4"/>
      <c r="N7682" s="4"/>
      <c r="O7682" s="5"/>
      <c r="P7682" s="5"/>
      <c r="Q7682" s="21">
        <v>0</v>
      </c>
      <c r="R7682" s="21">
        <v>0</v>
      </c>
      <c r="S7682" s="5">
        <f t="shared" si="479"/>
        <v>45766.939203922884</v>
      </c>
      <c r="T7682" cm="1">
        <f t="array" ref="T7682">IF(OR(B7682="MAL ALIMI", B7682="ÜRETİM GİRİŞ"), MIN(I7682, MAX(0, I7682 + SUM(SUMIFS($I$1:I7681, $C$1:C7681, C7682, $B$1:B7681, {"MAL ALIMI","ÜRETİM GİRİŞ"})) - VLOOKUP(C7682, 'STOK RAPORU'!$C$2:$I$1000, 4, 0))), 0)</f>
        <v>0</v>
      </c>
      <c r="U7682" s="22">
        <f t="shared" si="480"/>
        <v>0</v>
      </c>
      <c r="V7682">
        <f t="shared" si="481"/>
        <v>0</v>
      </c>
      <c r="W7682" s="22">
        <f t="shared" si="482"/>
        <v>0</v>
      </c>
    </row>
    <row r="7683" spans="1:23" hidden="1" x14ac:dyDescent="0.25">
      <c r="A7683" s="3">
        <v>46186</v>
      </c>
      <c r="B7683" s="46" t="s">
        <v>334</v>
      </c>
      <c r="C7683" s="4" t="s">
        <v>1023</v>
      </c>
      <c r="D7683" s="4"/>
      <c r="E7683" s="4"/>
      <c r="F7683" s="4" t="s">
        <v>3660</v>
      </c>
      <c r="G7683" s="4" t="s">
        <v>336</v>
      </c>
      <c r="H7683" s="4" t="s">
        <v>289</v>
      </c>
      <c r="I7683" s="4">
        <v>1.476923076923077</v>
      </c>
      <c r="J7683" s="21">
        <v>65</v>
      </c>
      <c r="K7683" s="21">
        <v>0</v>
      </c>
      <c r="L7683" s="5">
        <v>0</v>
      </c>
      <c r="M7683" s="4"/>
      <c r="N7683" s="4"/>
      <c r="O7683" s="5"/>
      <c r="P7683" s="5"/>
      <c r="Q7683" s="21">
        <v>96</v>
      </c>
      <c r="R7683" s="21">
        <v>0</v>
      </c>
      <c r="S7683" s="5">
        <f t="shared" si="479"/>
        <v>45862.939203922884</v>
      </c>
      <c r="T7683" cm="1">
        <f t="array" ref="T7683">IF(OR(B7683="MAL ALIMI", B7683="ÜRETİM GİRİŞ"), MIN(I7683, MAX(0, I7683 + SUM(SUMIFS($I$1:I7682, $C$1:C7682, C7683, $B$1:B7682, {"MAL ALIMI","ÜRETİM GİRİŞ"})) - VLOOKUP(C7683, 'STOK RAPORU'!$C$2:$I$1000, 4, 0))), 0)</f>
        <v>0</v>
      </c>
      <c r="U7683" s="22">
        <f t="shared" si="480"/>
        <v>0</v>
      </c>
      <c r="V7683">
        <f t="shared" si="481"/>
        <v>0</v>
      </c>
      <c r="W7683" s="22">
        <f t="shared" si="482"/>
        <v>0</v>
      </c>
    </row>
    <row r="7684" spans="1:23" hidden="1" x14ac:dyDescent="0.25">
      <c r="A7684" s="3">
        <v>46186</v>
      </c>
      <c r="B7684" s="46" t="s">
        <v>334</v>
      </c>
      <c r="C7684" s="4" t="s">
        <v>1368</v>
      </c>
      <c r="D7684" s="4"/>
      <c r="E7684" s="4"/>
      <c r="F7684" s="4" t="s">
        <v>3660</v>
      </c>
      <c r="G7684" s="4" t="s">
        <v>336</v>
      </c>
      <c r="H7684" s="4" t="s">
        <v>289</v>
      </c>
      <c r="I7684" s="4">
        <v>1</v>
      </c>
      <c r="J7684" s="21">
        <v>180</v>
      </c>
      <c r="K7684" s="21">
        <v>0</v>
      </c>
      <c r="L7684" s="5">
        <v>0</v>
      </c>
      <c r="M7684" s="4"/>
      <c r="N7684" s="4"/>
      <c r="O7684" s="5"/>
      <c r="P7684" s="5"/>
      <c r="Q7684" s="21">
        <v>180</v>
      </c>
      <c r="R7684" s="21">
        <v>0</v>
      </c>
      <c r="S7684" s="5">
        <f t="shared" si="479"/>
        <v>46042.939203922884</v>
      </c>
      <c r="T7684" cm="1">
        <f t="array" ref="T7684">IF(OR(B7684="MAL ALIMI", B7684="ÜRETİM GİRİŞ"), MIN(I7684, MAX(0, I7684 + SUM(SUMIFS($I$1:I7683, $C$1:C7683, C7684, $B$1:B7683, {"MAL ALIMI","ÜRETİM GİRİŞ"})) - VLOOKUP(C7684, 'STOK RAPORU'!$C$2:$I$1000, 4, 0))), 0)</f>
        <v>0</v>
      </c>
      <c r="U7684" s="22">
        <f t="shared" si="480"/>
        <v>0</v>
      </c>
      <c r="V7684">
        <f t="shared" si="481"/>
        <v>0</v>
      </c>
      <c r="W7684" s="22">
        <f t="shared" si="482"/>
        <v>0</v>
      </c>
    </row>
    <row r="7685" spans="1:23" hidden="1" x14ac:dyDescent="0.25">
      <c r="A7685" s="3">
        <v>46186</v>
      </c>
      <c r="B7685" s="46" t="s">
        <v>334</v>
      </c>
      <c r="C7685" s="4" t="s">
        <v>1393</v>
      </c>
      <c r="D7685" s="4"/>
      <c r="E7685" s="4"/>
      <c r="F7685" s="4" t="s">
        <v>3660</v>
      </c>
      <c r="G7685" s="4" t="s">
        <v>336</v>
      </c>
      <c r="H7685" s="4" t="s">
        <v>289</v>
      </c>
      <c r="I7685" s="4">
        <v>1</v>
      </c>
      <c r="J7685" s="21">
        <v>135</v>
      </c>
      <c r="K7685" s="21">
        <v>0</v>
      </c>
      <c r="L7685" s="5">
        <v>0</v>
      </c>
      <c r="M7685" s="4"/>
      <c r="N7685" s="4"/>
      <c r="O7685" s="5"/>
      <c r="P7685" s="5"/>
      <c r="Q7685" s="21">
        <v>135</v>
      </c>
      <c r="R7685" s="21">
        <v>0</v>
      </c>
      <c r="S7685" s="5">
        <f t="shared" ref="S7685:S7748" si="483">S7684+Q7685-R7685</f>
        <v>46177.939203922884</v>
      </c>
      <c r="T7685" cm="1">
        <f t="array" ref="T7685">IF(OR(B7685="MAL ALIMI", B7685="ÜRETİM GİRİŞ"), MIN(I7685, MAX(0, I7685 + SUM(SUMIFS($I$1:I7684, $C$1:C7684, C7685, $B$1:B7684, {"MAL ALIMI","ÜRETİM GİRİŞ"})) - VLOOKUP(C7685, 'STOK RAPORU'!$C$2:$I$1000, 4, 0))), 0)</f>
        <v>0</v>
      </c>
      <c r="U7685" s="22">
        <f t="shared" si="480"/>
        <v>0</v>
      </c>
      <c r="V7685">
        <f t="shared" si="481"/>
        <v>0</v>
      </c>
      <c r="W7685" s="22">
        <f t="shared" si="482"/>
        <v>0</v>
      </c>
    </row>
    <row r="7686" spans="1:23" hidden="1" x14ac:dyDescent="0.25">
      <c r="A7686" s="3">
        <v>46186</v>
      </c>
      <c r="B7686" s="46" t="s">
        <v>334</v>
      </c>
      <c r="C7686" s="4" t="s">
        <v>647</v>
      </c>
      <c r="D7686" s="4"/>
      <c r="E7686" s="4"/>
      <c r="F7686" s="4" t="s">
        <v>3660</v>
      </c>
      <c r="G7686" s="4" t="s">
        <v>336</v>
      </c>
      <c r="H7686" s="4" t="s">
        <v>289</v>
      </c>
      <c r="I7686" s="4">
        <v>0.2</v>
      </c>
      <c r="J7686" s="21">
        <v>375</v>
      </c>
      <c r="K7686" s="21">
        <v>0</v>
      </c>
      <c r="L7686" s="5">
        <v>0</v>
      </c>
      <c r="M7686" s="4"/>
      <c r="N7686" s="4"/>
      <c r="O7686" s="5"/>
      <c r="P7686" s="5"/>
      <c r="Q7686" s="21">
        <v>75</v>
      </c>
      <c r="R7686" s="21">
        <v>0</v>
      </c>
      <c r="S7686" s="5">
        <f t="shared" si="483"/>
        <v>46252.939203922884</v>
      </c>
      <c r="T7686" cm="1">
        <f t="array" ref="T7686">IF(OR(B7686="MAL ALIMI", B7686="ÜRETİM GİRİŞ"), MIN(I7686, MAX(0, I7686 + SUM(SUMIFS($I$1:I7685, $C$1:C7685, C7686, $B$1:B7685, {"MAL ALIMI","ÜRETİM GİRİŞ"})) - VLOOKUP(C7686, 'STOK RAPORU'!$C$2:$I$1000, 4, 0))), 0)</f>
        <v>0</v>
      </c>
      <c r="U7686" s="22">
        <f t="shared" si="480"/>
        <v>0</v>
      </c>
      <c r="V7686">
        <f t="shared" si="481"/>
        <v>0</v>
      </c>
      <c r="W7686" s="22">
        <f t="shared" si="482"/>
        <v>0</v>
      </c>
    </row>
    <row r="7687" spans="1:23" hidden="1" x14ac:dyDescent="0.25">
      <c r="A7687" s="3">
        <v>46186</v>
      </c>
      <c r="B7687" s="46" t="s">
        <v>334</v>
      </c>
      <c r="C7687" s="4" t="s">
        <v>3382</v>
      </c>
      <c r="D7687" s="4"/>
      <c r="E7687" s="4"/>
      <c r="F7687" s="4" t="s">
        <v>3660</v>
      </c>
      <c r="G7687" s="4" t="s">
        <v>336</v>
      </c>
      <c r="H7687" s="4" t="s">
        <v>289</v>
      </c>
      <c r="I7687" s="4">
        <v>0.34</v>
      </c>
      <c r="J7687" s="21">
        <v>250</v>
      </c>
      <c r="K7687" s="21">
        <v>0</v>
      </c>
      <c r="L7687" s="5">
        <v>0</v>
      </c>
      <c r="M7687" s="4"/>
      <c r="N7687" s="4"/>
      <c r="O7687" s="5"/>
      <c r="P7687" s="5"/>
      <c r="Q7687" s="21">
        <v>85</v>
      </c>
      <c r="R7687" s="21">
        <v>0</v>
      </c>
      <c r="S7687" s="5">
        <f t="shared" si="483"/>
        <v>46337.939203922884</v>
      </c>
      <c r="T7687" cm="1">
        <f t="array" ref="T7687">IF(OR(B7687="MAL ALIMI", B7687="ÜRETİM GİRİŞ"), MIN(I7687, MAX(0, I7687 + SUM(SUMIFS($I$1:I7686, $C$1:C7686, C7687, $B$1:B7686, {"MAL ALIMI","ÜRETİM GİRİŞ"})) - VLOOKUP(C7687, 'STOK RAPORU'!$C$2:$I$1000, 4, 0))), 0)</f>
        <v>0</v>
      </c>
      <c r="U7687" s="22">
        <f t="shared" si="480"/>
        <v>0</v>
      </c>
      <c r="V7687">
        <f t="shared" si="481"/>
        <v>0</v>
      </c>
      <c r="W7687" s="22">
        <f t="shared" si="482"/>
        <v>0</v>
      </c>
    </row>
    <row r="7688" spans="1:23" hidden="1" x14ac:dyDescent="0.25">
      <c r="A7688" s="3">
        <v>46186</v>
      </c>
      <c r="B7688" s="46" t="s">
        <v>334</v>
      </c>
      <c r="C7688" s="4" t="s">
        <v>977</v>
      </c>
      <c r="D7688" s="4"/>
      <c r="E7688" s="4"/>
      <c r="F7688" s="4" t="s">
        <v>3661</v>
      </c>
      <c r="G7688" s="4" t="s">
        <v>336</v>
      </c>
      <c r="H7688" s="4" t="s">
        <v>289</v>
      </c>
      <c r="I7688" s="4">
        <v>0.16875000000000001</v>
      </c>
      <c r="J7688" s="21">
        <v>320</v>
      </c>
      <c r="K7688" s="21">
        <v>0</v>
      </c>
      <c r="L7688" s="5">
        <v>0</v>
      </c>
      <c r="M7688" s="4"/>
      <c r="N7688" s="4"/>
      <c r="O7688" s="5"/>
      <c r="P7688" s="5"/>
      <c r="Q7688" s="21">
        <v>54</v>
      </c>
      <c r="R7688" s="21">
        <v>0</v>
      </c>
      <c r="S7688" s="5">
        <f t="shared" si="483"/>
        <v>46391.939203922884</v>
      </c>
      <c r="T7688" cm="1">
        <f t="array" ref="T7688">IF(OR(B7688="MAL ALIMI", B7688="ÜRETİM GİRİŞ"), MIN(I7688, MAX(0, I7688 + SUM(SUMIFS($I$1:I7687, $C$1:C7687, C7688, $B$1:B7687, {"MAL ALIMI","ÜRETİM GİRİŞ"})) - VLOOKUP(C7688, 'STOK RAPORU'!$C$2:$I$1000, 4, 0))), 0)</f>
        <v>0</v>
      </c>
      <c r="U7688" s="22">
        <f t="shared" si="480"/>
        <v>0</v>
      </c>
      <c r="V7688">
        <f t="shared" si="481"/>
        <v>0</v>
      </c>
      <c r="W7688" s="22">
        <f t="shared" si="482"/>
        <v>0</v>
      </c>
    </row>
    <row r="7689" spans="1:23" hidden="1" x14ac:dyDescent="0.25">
      <c r="A7689" s="3">
        <v>46186</v>
      </c>
      <c r="B7689" s="46" t="s">
        <v>334</v>
      </c>
      <c r="C7689" s="4" t="s">
        <v>828</v>
      </c>
      <c r="D7689" s="4"/>
      <c r="E7689" s="4"/>
      <c r="F7689" s="4" t="s">
        <v>3662</v>
      </c>
      <c r="G7689" s="4" t="s">
        <v>336</v>
      </c>
      <c r="H7689" s="4" t="s">
        <v>289</v>
      </c>
      <c r="I7689" s="4">
        <v>1</v>
      </c>
      <c r="J7689" s="21">
        <v>145</v>
      </c>
      <c r="K7689" s="21">
        <v>0</v>
      </c>
      <c r="L7689" s="5">
        <v>0</v>
      </c>
      <c r="M7689" s="4"/>
      <c r="N7689" s="4"/>
      <c r="O7689" s="5"/>
      <c r="P7689" s="5"/>
      <c r="Q7689" s="21">
        <v>145</v>
      </c>
      <c r="R7689" s="21">
        <v>0</v>
      </c>
      <c r="S7689" s="5">
        <f t="shared" si="483"/>
        <v>46536.939203922884</v>
      </c>
      <c r="T7689" cm="1">
        <f t="array" ref="T7689">IF(OR(B7689="MAL ALIMI", B7689="ÜRETİM GİRİŞ"), MIN(I7689, MAX(0, I7689 + SUM(SUMIFS($I$1:I7688, $C$1:C7688, C7689, $B$1:B7688, {"MAL ALIMI","ÜRETİM GİRİŞ"})) - VLOOKUP(C7689, 'STOK RAPORU'!$C$2:$I$1000, 4, 0))), 0)</f>
        <v>0</v>
      </c>
      <c r="U7689" s="22">
        <f t="shared" si="480"/>
        <v>0</v>
      </c>
      <c r="V7689">
        <f t="shared" si="481"/>
        <v>0</v>
      </c>
      <c r="W7689" s="22">
        <f t="shared" si="482"/>
        <v>0</v>
      </c>
    </row>
    <row r="7690" spans="1:23" hidden="1" x14ac:dyDescent="0.25">
      <c r="A7690" s="3">
        <v>46186</v>
      </c>
      <c r="B7690" s="46" t="s">
        <v>334</v>
      </c>
      <c r="C7690" s="4" t="s">
        <v>977</v>
      </c>
      <c r="D7690" s="4"/>
      <c r="E7690" s="4"/>
      <c r="F7690" s="4" t="s">
        <v>3663</v>
      </c>
      <c r="G7690" s="4" t="s">
        <v>336</v>
      </c>
      <c r="H7690" s="4" t="s">
        <v>289</v>
      </c>
      <c r="I7690" s="4">
        <v>7.1874999999999994E-2</v>
      </c>
      <c r="J7690" s="21">
        <v>320</v>
      </c>
      <c r="K7690" s="21">
        <v>0</v>
      </c>
      <c r="L7690" s="5">
        <v>0</v>
      </c>
      <c r="M7690" s="4"/>
      <c r="N7690" s="4"/>
      <c r="O7690" s="5"/>
      <c r="P7690" s="5"/>
      <c r="Q7690" s="21">
        <v>23</v>
      </c>
      <c r="R7690" s="21">
        <v>0</v>
      </c>
      <c r="S7690" s="5">
        <f t="shared" si="483"/>
        <v>46559.939203922884</v>
      </c>
      <c r="T7690" cm="1">
        <f t="array" ref="T7690">IF(OR(B7690="MAL ALIMI", B7690="ÜRETİM GİRİŞ"), MIN(I7690, MAX(0, I7690 + SUM(SUMIFS($I$1:I7689, $C$1:C7689, C7690, $B$1:B7689, {"MAL ALIMI","ÜRETİM GİRİŞ"})) - VLOOKUP(C7690, 'STOK RAPORU'!$C$2:$I$1000, 4, 0))), 0)</f>
        <v>0</v>
      </c>
      <c r="U7690" s="22">
        <f t="shared" si="480"/>
        <v>0</v>
      </c>
      <c r="V7690">
        <f t="shared" si="481"/>
        <v>0</v>
      </c>
      <c r="W7690" s="22">
        <f t="shared" si="482"/>
        <v>0</v>
      </c>
    </row>
    <row r="7691" spans="1:23" hidden="1" x14ac:dyDescent="0.25">
      <c r="A7691" s="3">
        <v>46186</v>
      </c>
      <c r="B7691" s="46" t="s">
        <v>334</v>
      </c>
      <c r="C7691" s="4" t="s">
        <v>158</v>
      </c>
      <c r="D7691" s="4"/>
      <c r="E7691" s="4"/>
      <c r="F7691" s="4" t="s">
        <v>3663</v>
      </c>
      <c r="G7691" s="4" t="s">
        <v>336</v>
      </c>
      <c r="H7691" s="4" t="s">
        <v>289</v>
      </c>
      <c r="I7691" s="4">
        <v>1</v>
      </c>
      <c r="J7691" s="21">
        <v>150</v>
      </c>
      <c r="K7691" s="21">
        <v>0</v>
      </c>
      <c r="L7691" s="5">
        <v>0</v>
      </c>
      <c r="M7691" s="4"/>
      <c r="N7691" s="4"/>
      <c r="O7691" s="5"/>
      <c r="P7691" s="5"/>
      <c r="Q7691" s="21">
        <v>150</v>
      </c>
      <c r="R7691" s="21">
        <v>0</v>
      </c>
      <c r="S7691" s="5">
        <f t="shared" si="483"/>
        <v>46709.939203922884</v>
      </c>
      <c r="T7691" cm="1">
        <f t="array" ref="T7691">IF(OR(B7691="MAL ALIMI", B7691="ÜRETİM GİRİŞ"), MIN(I7691, MAX(0, I7691 + SUM(SUMIFS($I$1:I7690, $C$1:C7690, C7691, $B$1:B7690, {"MAL ALIMI","ÜRETİM GİRİŞ"})) - VLOOKUP(C7691, 'STOK RAPORU'!$C$2:$I$1000, 4, 0))), 0)</f>
        <v>0</v>
      </c>
      <c r="U7691" s="22">
        <f t="shared" si="480"/>
        <v>0</v>
      </c>
      <c r="V7691">
        <f t="shared" si="481"/>
        <v>0</v>
      </c>
      <c r="W7691" s="22">
        <f t="shared" si="482"/>
        <v>0</v>
      </c>
    </row>
    <row r="7692" spans="1:23" hidden="1" x14ac:dyDescent="0.25">
      <c r="A7692" s="3">
        <v>46186</v>
      </c>
      <c r="B7692" s="46" t="s">
        <v>334</v>
      </c>
      <c r="C7692" s="4" t="s">
        <v>1041</v>
      </c>
      <c r="D7692" s="4"/>
      <c r="E7692" s="4"/>
      <c r="F7692" s="4" t="s">
        <v>3663</v>
      </c>
      <c r="G7692" s="4" t="s">
        <v>336</v>
      </c>
      <c r="H7692" s="4" t="s">
        <v>289</v>
      </c>
      <c r="I7692" s="4">
        <v>0.43478260869565216</v>
      </c>
      <c r="J7692" s="21">
        <v>230</v>
      </c>
      <c r="K7692" s="21">
        <v>0</v>
      </c>
      <c r="L7692" s="5">
        <v>0</v>
      </c>
      <c r="M7692" s="4"/>
      <c r="N7692" s="4"/>
      <c r="O7692" s="5"/>
      <c r="P7692" s="5"/>
      <c r="Q7692" s="21">
        <v>100</v>
      </c>
      <c r="R7692" s="21">
        <v>0</v>
      </c>
      <c r="S7692" s="5">
        <f t="shared" si="483"/>
        <v>46809.939203922884</v>
      </c>
      <c r="T7692" cm="1">
        <f t="array" ref="T7692">IF(OR(B7692="MAL ALIMI", B7692="ÜRETİM GİRİŞ"), MIN(I7692, MAX(0, I7692 + SUM(SUMIFS($I$1:I7691, $C$1:C7691, C7692, $B$1:B7691, {"MAL ALIMI","ÜRETİM GİRİŞ"})) - VLOOKUP(C7692, 'STOK RAPORU'!$C$2:$I$1000, 4, 0))), 0)</f>
        <v>0</v>
      </c>
      <c r="U7692" s="22">
        <f t="shared" si="480"/>
        <v>0</v>
      </c>
      <c r="V7692">
        <f t="shared" si="481"/>
        <v>0</v>
      </c>
      <c r="W7692" s="22">
        <f t="shared" si="482"/>
        <v>0</v>
      </c>
    </row>
    <row r="7693" spans="1:23" hidden="1" x14ac:dyDescent="0.25">
      <c r="A7693" s="3">
        <v>46186</v>
      </c>
      <c r="B7693" s="46" t="s">
        <v>334</v>
      </c>
      <c r="C7693" s="4" t="s">
        <v>1024</v>
      </c>
      <c r="D7693" s="4"/>
      <c r="E7693" s="4"/>
      <c r="F7693" s="4" t="s">
        <v>3664</v>
      </c>
      <c r="G7693" s="4" t="s">
        <v>336</v>
      </c>
      <c r="H7693" s="4" t="s">
        <v>289</v>
      </c>
      <c r="I7693" s="4">
        <v>1</v>
      </c>
      <c r="J7693" s="21">
        <v>45</v>
      </c>
      <c r="K7693" s="21">
        <v>0</v>
      </c>
      <c r="L7693" s="5">
        <v>0</v>
      </c>
      <c r="M7693" s="4"/>
      <c r="N7693" s="4"/>
      <c r="O7693" s="5"/>
      <c r="P7693" s="5"/>
      <c r="Q7693" s="21">
        <v>45</v>
      </c>
      <c r="R7693" s="21">
        <v>0</v>
      </c>
      <c r="S7693" s="5">
        <f t="shared" si="483"/>
        <v>46854.939203922884</v>
      </c>
      <c r="T7693" cm="1">
        <f t="array" ref="T7693">IF(OR(B7693="MAL ALIMI", B7693="ÜRETİM GİRİŞ"), MIN(I7693, MAX(0, I7693 + SUM(SUMIFS($I$1:I7692, $C$1:C7692, C7693, $B$1:B7692, {"MAL ALIMI","ÜRETİM GİRİŞ"})) - VLOOKUP(C7693, 'STOK RAPORU'!$C$2:$I$1000, 4, 0))), 0)</f>
        <v>0</v>
      </c>
      <c r="U7693" s="22">
        <f t="shared" si="480"/>
        <v>0</v>
      </c>
      <c r="V7693">
        <f t="shared" si="481"/>
        <v>0</v>
      </c>
      <c r="W7693" s="22">
        <f t="shared" si="482"/>
        <v>0</v>
      </c>
    </row>
    <row r="7694" spans="1:23" hidden="1" x14ac:dyDescent="0.25">
      <c r="A7694" s="3">
        <v>46186</v>
      </c>
      <c r="B7694" s="46" t="s">
        <v>334</v>
      </c>
      <c r="C7694" s="4" t="s">
        <v>2120</v>
      </c>
      <c r="D7694" s="4"/>
      <c r="E7694" s="4"/>
      <c r="F7694" s="4" t="s">
        <v>3664</v>
      </c>
      <c r="G7694" s="4" t="s">
        <v>336</v>
      </c>
      <c r="H7694" s="4" t="s">
        <v>289</v>
      </c>
      <c r="I7694" s="4">
        <v>1.0307692307692307</v>
      </c>
      <c r="J7694" s="21">
        <v>45</v>
      </c>
      <c r="K7694" s="21">
        <v>0</v>
      </c>
      <c r="L7694" s="5">
        <v>0</v>
      </c>
      <c r="M7694" s="4"/>
      <c r="N7694" s="4"/>
      <c r="O7694" s="5"/>
      <c r="P7694" s="5"/>
      <c r="Q7694" s="21">
        <v>46.38461538461538</v>
      </c>
      <c r="R7694" s="21">
        <v>0</v>
      </c>
      <c r="S7694" s="5">
        <f t="shared" si="483"/>
        <v>46901.323819307501</v>
      </c>
      <c r="T7694" cm="1">
        <f t="array" ref="T7694">IF(OR(B7694="MAL ALIMI", B7694="ÜRETİM GİRİŞ"), MIN(I7694, MAX(0, I7694 + SUM(SUMIFS($I$1:I7693, $C$1:C7693, C7694, $B$1:B7693, {"MAL ALIMI","ÜRETİM GİRİŞ"})) - VLOOKUP(C7694, 'STOK RAPORU'!$C$2:$I$1000, 4, 0))), 0)</f>
        <v>0</v>
      </c>
      <c r="U7694" s="22">
        <f t="shared" si="480"/>
        <v>0</v>
      </c>
      <c r="V7694">
        <f t="shared" si="481"/>
        <v>0</v>
      </c>
      <c r="W7694" s="22">
        <f t="shared" si="482"/>
        <v>0</v>
      </c>
    </row>
    <row r="7695" spans="1:23" hidden="1" x14ac:dyDescent="0.25">
      <c r="A7695" s="3">
        <v>46188</v>
      </c>
      <c r="B7695" s="46" t="s">
        <v>298</v>
      </c>
      <c r="C7695" s="4" t="s">
        <v>91</v>
      </c>
      <c r="D7695" s="4"/>
      <c r="E7695" s="4" t="s">
        <v>855</v>
      </c>
      <c r="F7695" s="4">
        <v>10429</v>
      </c>
      <c r="G7695" s="4" t="s">
        <v>855</v>
      </c>
      <c r="H7695" s="4" t="s">
        <v>304</v>
      </c>
      <c r="I7695" s="4">
        <v>10</v>
      </c>
      <c r="J7695" s="21">
        <v>620</v>
      </c>
      <c r="K7695" s="21">
        <v>0</v>
      </c>
      <c r="L7695" s="5">
        <v>6200</v>
      </c>
      <c r="M7695" s="4"/>
      <c r="N7695" s="4"/>
      <c r="O7695" s="5"/>
      <c r="P7695" s="5"/>
      <c r="Q7695" s="21">
        <v>0</v>
      </c>
      <c r="R7695" s="21">
        <v>0</v>
      </c>
      <c r="S7695" s="5">
        <f t="shared" si="483"/>
        <v>46901.323819307501</v>
      </c>
      <c r="T7695" cm="1">
        <f t="array" ref="T7695">IF(OR(B7695="MAL ALIMI", B7695="ÜRETİM GİRİŞ"), MIN(I7695, MAX(0, I7695 + SUM(SUMIFS($I$1:I7694, $C$1:C7694, C7695, $B$1:B7694, {"MAL ALIMI","ÜRETİM GİRİŞ"})) - VLOOKUP(C7695, 'STOK RAPORU'!$C$2:$I$1000, 4, 0))), 0)</f>
        <v>8.5715374216083244</v>
      </c>
      <c r="U7695" s="22">
        <f t="shared" si="480"/>
        <v>5314.3532013971608</v>
      </c>
      <c r="V7695">
        <f t="shared" si="481"/>
        <v>6200</v>
      </c>
      <c r="W7695" s="22">
        <f t="shared" si="482"/>
        <v>885.64679860283923</v>
      </c>
    </row>
    <row r="7696" spans="1:23" hidden="1" x14ac:dyDescent="0.25">
      <c r="A7696" s="3">
        <v>46188</v>
      </c>
      <c r="B7696" s="46" t="s">
        <v>298</v>
      </c>
      <c r="C7696" s="4" t="s">
        <v>133</v>
      </c>
      <c r="D7696" s="4"/>
      <c r="E7696" s="4" t="s">
        <v>855</v>
      </c>
      <c r="F7696" s="4">
        <v>10429</v>
      </c>
      <c r="G7696" s="4" t="s">
        <v>855</v>
      </c>
      <c r="H7696" s="4" t="s">
        <v>304</v>
      </c>
      <c r="I7696" s="4">
        <v>25</v>
      </c>
      <c r="J7696" s="21">
        <v>210</v>
      </c>
      <c r="K7696" s="21">
        <v>0</v>
      </c>
      <c r="L7696" s="5">
        <v>5250</v>
      </c>
      <c r="M7696" s="4"/>
      <c r="N7696" s="4"/>
      <c r="O7696" s="5"/>
      <c r="P7696" s="5"/>
      <c r="Q7696" s="21">
        <v>0</v>
      </c>
      <c r="R7696" s="21">
        <v>0</v>
      </c>
      <c r="S7696" s="5">
        <f t="shared" si="483"/>
        <v>46901.323819307501</v>
      </c>
      <c r="T7696" cm="1">
        <f t="array" ref="T7696">IF(OR(B7696="MAL ALIMI", B7696="ÜRETİM GİRİŞ"), MIN(I7696, MAX(0, I7696 + SUM(SUMIFS($I$1:I7695, $C$1:C7695, C7696, $B$1:B7695, {"MAL ALIMI","ÜRETİM GİRİŞ"})) - VLOOKUP(C7696, 'STOK RAPORU'!$C$2:$I$1000, 4, 0))), 0)</f>
        <v>20.432922807017533</v>
      </c>
      <c r="U7696" s="22">
        <f t="shared" si="480"/>
        <v>4290.9137894736823</v>
      </c>
      <c r="V7696">
        <f t="shared" si="481"/>
        <v>5250</v>
      </c>
      <c r="W7696" s="22">
        <f t="shared" si="482"/>
        <v>959.0862105263177</v>
      </c>
    </row>
    <row r="7697" spans="1:23" hidden="1" x14ac:dyDescent="0.25">
      <c r="A7697" s="3">
        <v>46188</v>
      </c>
      <c r="B7697" s="46" t="s">
        <v>298</v>
      </c>
      <c r="C7697" s="4" t="s">
        <v>132</v>
      </c>
      <c r="D7697" s="4"/>
      <c r="E7697" s="4" t="s">
        <v>855</v>
      </c>
      <c r="F7697" s="4">
        <v>10429</v>
      </c>
      <c r="G7697" s="4" t="s">
        <v>855</v>
      </c>
      <c r="H7697" s="4" t="s">
        <v>304</v>
      </c>
      <c r="I7697" s="4">
        <v>20</v>
      </c>
      <c r="J7697" s="21">
        <v>285</v>
      </c>
      <c r="K7697" s="21">
        <v>0</v>
      </c>
      <c r="L7697" s="5">
        <v>5700</v>
      </c>
      <c r="M7697" s="4"/>
      <c r="N7697" s="4"/>
      <c r="O7697" s="5"/>
      <c r="P7697" s="5"/>
      <c r="Q7697" s="21">
        <v>0</v>
      </c>
      <c r="R7697" s="21">
        <v>0</v>
      </c>
      <c r="S7697" s="5">
        <f t="shared" si="483"/>
        <v>46901.323819307501</v>
      </c>
      <c r="T7697" cm="1">
        <f t="array" ref="T7697">IF(OR(B7697="MAL ALIMI", B7697="ÜRETİM GİRİŞ"), MIN(I7697, MAX(0, I7697 + SUM(SUMIFS($I$1:I7696, $C$1:C7696, C7697, $B$1:B7696, {"MAL ALIMI","ÜRETİM GİRİŞ"})) - VLOOKUP(C7697, 'STOK RAPORU'!$C$2:$I$1000, 4, 0))), 0)</f>
        <v>20</v>
      </c>
      <c r="U7697" s="22">
        <f t="shared" si="480"/>
        <v>5700</v>
      </c>
      <c r="V7697">
        <f t="shared" si="481"/>
        <v>5700</v>
      </c>
      <c r="W7697" s="22">
        <f t="shared" si="482"/>
        <v>0</v>
      </c>
    </row>
    <row r="7698" spans="1:23" hidden="1" x14ac:dyDescent="0.25">
      <c r="A7698" s="3">
        <v>46188</v>
      </c>
      <c r="B7698" s="46" t="s">
        <v>298</v>
      </c>
      <c r="C7698" s="4" t="s">
        <v>1151</v>
      </c>
      <c r="D7698" s="4"/>
      <c r="E7698" s="4" t="s">
        <v>855</v>
      </c>
      <c r="F7698" s="4">
        <v>10429</v>
      </c>
      <c r="G7698" s="4" t="s">
        <v>855</v>
      </c>
      <c r="H7698" s="4" t="s">
        <v>304</v>
      </c>
      <c r="I7698" s="4">
        <v>10</v>
      </c>
      <c r="J7698" s="21">
        <v>190</v>
      </c>
      <c r="K7698" s="21">
        <v>0</v>
      </c>
      <c r="L7698" s="5">
        <v>1900</v>
      </c>
      <c r="M7698" s="4"/>
      <c r="N7698" s="4"/>
      <c r="O7698" s="5"/>
      <c r="P7698" s="5"/>
      <c r="Q7698" s="21">
        <v>0</v>
      </c>
      <c r="R7698" s="21">
        <v>0</v>
      </c>
      <c r="S7698" s="5">
        <f t="shared" si="483"/>
        <v>46901.323819307501</v>
      </c>
      <c r="T7698" cm="1">
        <f t="array" ref="T7698">IF(OR(B7698="MAL ALIMI", B7698="ÜRETİM GİRİŞ"), MIN(I7698, MAX(0, I7698 + SUM(SUMIFS($I$1:I7697, $C$1:C7697, C7698, $B$1:B7697, {"MAL ALIMI","ÜRETİM GİRİŞ"})) - VLOOKUP(C7698, 'STOK RAPORU'!$C$2:$I$1000, 4, 0))), 0)</f>
        <v>4.5074347424347412</v>
      </c>
      <c r="U7698" s="22">
        <f t="shared" si="480"/>
        <v>856.41260106260086</v>
      </c>
      <c r="V7698">
        <f t="shared" si="481"/>
        <v>1900</v>
      </c>
      <c r="W7698" s="22">
        <f t="shared" si="482"/>
        <v>1043.587398937399</v>
      </c>
    </row>
    <row r="7699" spans="1:23" hidden="1" x14ac:dyDescent="0.25">
      <c r="A7699" s="3">
        <v>46188</v>
      </c>
      <c r="B7699" s="46" t="s">
        <v>298</v>
      </c>
      <c r="C7699" s="4" t="s">
        <v>3865</v>
      </c>
      <c r="D7699" s="4"/>
      <c r="E7699" s="4" t="s">
        <v>855</v>
      </c>
      <c r="F7699" s="4">
        <v>10429</v>
      </c>
      <c r="G7699" s="4" t="s">
        <v>855</v>
      </c>
      <c r="H7699" s="4" t="s">
        <v>304</v>
      </c>
      <c r="I7699" s="4">
        <v>10</v>
      </c>
      <c r="J7699" s="21">
        <v>175</v>
      </c>
      <c r="K7699" s="21">
        <v>0</v>
      </c>
      <c r="L7699" s="5">
        <v>1750</v>
      </c>
      <c r="M7699" s="4"/>
      <c r="N7699" s="4"/>
      <c r="O7699" s="5"/>
      <c r="P7699" s="5"/>
      <c r="Q7699" s="21">
        <v>0</v>
      </c>
      <c r="R7699" s="21">
        <v>0</v>
      </c>
      <c r="S7699" s="5">
        <f t="shared" si="483"/>
        <v>46901.323819307501</v>
      </c>
      <c r="T7699" t="e" cm="1">
        <f t="array" ref="T7699">IF(OR(B7699="MAL ALIMI", B7699="ÜRETİM GİRİŞ"), MIN(I7699, MAX(0, I7699 + SUM(SUMIFS($I$1:I7698, $C$1:C7698, C7699, $B$1:B7698, {"MAL ALIMI","ÜRETİM GİRİŞ"})) - VLOOKUP(C7699, 'STOK RAPORU'!$C$2:$I$1000, 4, 0))), 0)</f>
        <v>#N/A</v>
      </c>
      <c r="U7699" s="22" t="e">
        <f t="shared" si="480"/>
        <v>#N/A</v>
      </c>
      <c r="V7699">
        <f t="shared" si="481"/>
        <v>1750</v>
      </c>
      <c r="W7699" s="22" t="e">
        <f t="shared" si="482"/>
        <v>#N/A</v>
      </c>
    </row>
    <row r="7700" spans="1:23" hidden="1" x14ac:dyDescent="0.25">
      <c r="A7700" s="3">
        <v>46188</v>
      </c>
      <c r="B7700" s="46" t="s">
        <v>298</v>
      </c>
      <c r="C7700" s="4" t="s">
        <v>89</v>
      </c>
      <c r="D7700" s="4"/>
      <c r="E7700" s="4" t="s">
        <v>855</v>
      </c>
      <c r="F7700" s="4">
        <v>10429</v>
      </c>
      <c r="G7700" s="4" t="s">
        <v>855</v>
      </c>
      <c r="H7700" s="4" t="s">
        <v>304</v>
      </c>
      <c r="I7700" s="4">
        <v>20</v>
      </c>
      <c r="J7700" s="21">
        <v>460</v>
      </c>
      <c r="K7700" s="21">
        <v>0</v>
      </c>
      <c r="L7700" s="5">
        <v>9200</v>
      </c>
      <c r="M7700" s="4"/>
      <c r="N7700" s="4"/>
      <c r="O7700" s="5"/>
      <c r="P7700" s="5"/>
      <c r="Q7700" s="21">
        <v>0</v>
      </c>
      <c r="R7700" s="21">
        <v>0</v>
      </c>
      <c r="S7700" s="5">
        <f t="shared" si="483"/>
        <v>46901.323819307501</v>
      </c>
      <c r="T7700" cm="1">
        <f t="array" ref="T7700">IF(OR(B7700="MAL ALIMI", B7700="ÜRETİM GİRİŞ"), MIN(I7700, MAX(0, I7700 + SUM(SUMIFS($I$1:I7699, $C$1:C7699, C7700, $B$1:B7699, {"MAL ALIMI","ÜRETİM GİRİŞ"})) - VLOOKUP(C7700, 'STOK RAPORU'!$C$2:$I$1000, 4, 0))), 0)</f>
        <v>18.203164835164841</v>
      </c>
      <c r="U7700" s="22">
        <f t="shared" si="480"/>
        <v>8373.4558241758277</v>
      </c>
      <c r="V7700">
        <f t="shared" si="481"/>
        <v>9200</v>
      </c>
      <c r="W7700" s="22">
        <f t="shared" si="482"/>
        <v>826.54417582417227</v>
      </c>
    </row>
    <row r="7701" spans="1:23" hidden="1" x14ac:dyDescent="0.25">
      <c r="A7701" s="3">
        <v>46188</v>
      </c>
      <c r="B7701" s="46" t="s">
        <v>298</v>
      </c>
      <c r="C7701" s="4" t="s">
        <v>160</v>
      </c>
      <c r="D7701" s="4"/>
      <c r="E7701" s="4" t="s">
        <v>855</v>
      </c>
      <c r="F7701" s="4">
        <v>10429</v>
      </c>
      <c r="G7701" s="4" t="s">
        <v>855</v>
      </c>
      <c r="H7701" s="4" t="s">
        <v>304</v>
      </c>
      <c r="I7701" s="4">
        <v>40</v>
      </c>
      <c r="J7701" s="21">
        <v>190</v>
      </c>
      <c r="K7701" s="21">
        <v>0</v>
      </c>
      <c r="L7701" s="5">
        <v>7600</v>
      </c>
      <c r="M7701" s="4"/>
      <c r="N7701" s="4"/>
      <c r="O7701" s="5"/>
      <c r="P7701" s="5"/>
      <c r="Q7701" s="21">
        <v>0</v>
      </c>
      <c r="R7701" s="21">
        <v>0</v>
      </c>
      <c r="S7701" s="5">
        <f t="shared" si="483"/>
        <v>46901.323819307501</v>
      </c>
      <c r="T7701" cm="1">
        <f t="array" ref="T7701">IF(OR(B7701="MAL ALIMI", B7701="ÜRETİM GİRİŞ"), MIN(I7701, MAX(0, I7701 + SUM(SUMIFS($I$1:I7700, $C$1:C7700, C7701, $B$1:B7700, {"MAL ALIMI","ÜRETİM GİRİŞ"})) - VLOOKUP(C7701, 'STOK RAPORU'!$C$2:$I$1000, 4, 0))), 0)</f>
        <v>15.300000000000011</v>
      </c>
      <c r="U7701" s="22">
        <f t="shared" si="480"/>
        <v>2907.0000000000023</v>
      </c>
      <c r="V7701">
        <f t="shared" si="481"/>
        <v>7600</v>
      </c>
      <c r="W7701" s="22">
        <f t="shared" si="482"/>
        <v>4692.9999999999982</v>
      </c>
    </row>
    <row r="7702" spans="1:23" hidden="1" x14ac:dyDescent="0.25">
      <c r="A7702" s="3">
        <v>46188</v>
      </c>
      <c r="B7702" s="46" t="s">
        <v>298</v>
      </c>
      <c r="C7702" s="4" t="s">
        <v>74</v>
      </c>
      <c r="D7702" s="4"/>
      <c r="E7702" s="4" t="s">
        <v>855</v>
      </c>
      <c r="F7702" s="4">
        <v>10429</v>
      </c>
      <c r="G7702" s="4" t="s">
        <v>855</v>
      </c>
      <c r="H7702" s="4" t="s">
        <v>304</v>
      </c>
      <c r="I7702" s="4">
        <v>1</v>
      </c>
      <c r="J7702" s="21">
        <v>500</v>
      </c>
      <c r="K7702" s="21">
        <v>0</v>
      </c>
      <c r="L7702" s="5">
        <v>500</v>
      </c>
      <c r="M7702" s="4"/>
      <c r="N7702" s="4"/>
      <c r="O7702" s="5"/>
      <c r="P7702" s="5"/>
      <c r="Q7702" s="21">
        <v>0</v>
      </c>
      <c r="R7702" s="21">
        <v>0</v>
      </c>
      <c r="S7702" s="5">
        <f t="shared" si="483"/>
        <v>46901.323819307501</v>
      </c>
      <c r="T7702" cm="1">
        <f t="array" ref="T7702">IF(OR(B7702="MAL ALIMI", B7702="ÜRETİM GİRİŞ"), MIN(I7702, MAX(0, I7702 + SUM(SUMIFS($I$1:I7701, $C$1:C7701, C7702, $B$1:B7701, {"MAL ALIMI","ÜRETİM GİRİŞ"})) - VLOOKUP(C7702, 'STOK RAPORU'!$C$2:$I$1000, 4, 0))), 0)</f>
        <v>1</v>
      </c>
      <c r="U7702" s="22">
        <f t="shared" si="480"/>
        <v>500</v>
      </c>
      <c r="V7702">
        <f t="shared" si="481"/>
        <v>500</v>
      </c>
      <c r="W7702" s="22">
        <f t="shared" si="482"/>
        <v>0</v>
      </c>
    </row>
    <row r="7703" spans="1:23" hidden="1" x14ac:dyDescent="0.25">
      <c r="A7703" s="3">
        <v>46188</v>
      </c>
      <c r="B7703" s="46" t="s">
        <v>298</v>
      </c>
      <c r="C7703" s="4" t="s">
        <v>150</v>
      </c>
      <c r="D7703" s="4"/>
      <c r="E7703" s="4" t="s">
        <v>855</v>
      </c>
      <c r="F7703" s="4">
        <v>10429</v>
      </c>
      <c r="G7703" s="4" t="s">
        <v>855</v>
      </c>
      <c r="H7703" s="4" t="s">
        <v>304</v>
      </c>
      <c r="I7703" s="4">
        <v>1</v>
      </c>
      <c r="J7703" s="21">
        <v>650</v>
      </c>
      <c r="K7703" s="21">
        <v>0</v>
      </c>
      <c r="L7703" s="5">
        <v>650</v>
      </c>
      <c r="M7703" s="4"/>
      <c r="N7703" s="4"/>
      <c r="O7703" s="5"/>
      <c r="P7703" s="5"/>
      <c r="Q7703" s="21">
        <v>0</v>
      </c>
      <c r="R7703" s="21">
        <v>0</v>
      </c>
      <c r="S7703" s="5">
        <f t="shared" si="483"/>
        <v>46901.323819307501</v>
      </c>
      <c r="T7703" cm="1">
        <f t="array" ref="T7703">IF(OR(B7703="MAL ALIMI", B7703="ÜRETİM GİRİŞ"), MIN(I7703, MAX(0, I7703 + SUM(SUMIFS($I$1:I7702, $C$1:C7702, C7703, $B$1:B7702, {"MAL ALIMI","ÜRETİM GİRİŞ"})) - VLOOKUP(C7703, 'STOK RAPORU'!$C$2:$I$1000, 4, 0))), 0)</f>
        <v>1</v>
      </c>
      <c r="U7703" s="22">
        <f t="shared" si="480"/>
        <v>650</v>
      </c>
      <c r="V7703">
        <f t="shared" si="481"/>
        <v>650</v>
      </c>
      <c r="W7703" s="22">
        <f t="shared" si="482"/>
        <v>0</v>
      </c>
    </row>
    <row r="7704" spans="1:23" hidden="1" x14ac:dyDescent="0.25">
      <c r="A7704" s="3">
        <v>46188</v>
      </c>
      <c r="B7704" s="46" t="s">
        <v>298</v>
      </c>
      <c r="C7704" s="4" t="s">
        <v>238</v>
      </c>
      <c r="D7704" s="4"/>
      <c r="E7704" s="4" t="s">
        <v>855</v>
      </c>
      <c r="F7704" s="4">
        <v>10429</v>
      </c>
      <c r="G7704" s="4" t="s">
        <v>855</v>
      </c>
      <c r="H7704" s="4" t="s">
        <v>304</v>
      </c>
      <c r="I7704" s="4">
        <v>2</v>
      </c>
      <c r="J7704" s="21">
        <v>325</v>
      </c>
      <c r="K7704" s="21">
        <v>0</v>
      </c>
      <c r="L7704" s="5">
        <v>650</v>
      </c>
      <c r="M7704" s="4"/>
      <c r="N7704" s="4"/>
      <c r="O7704" s="5"/>
      <c r="P7704" s="5"/>
      <c r="Q7704" s="21">
        <v>0</v>
      </c>
      <c r="R7704" s="21">
        <v>0</v>
      </c>
      <c r="S7704" s="5">
        <f t="shared" si="483"/>
        <v>46901.323819307501</v>
      </c>
      <c r="T7704" cm="1">
        <f t="array" ref="T7704">IF(OR(B7704="MAL ALIMI", B7704="ÜRETİM GİRİŞ"), MIN(I7704, MAX(0, I7704 + SUM(SUMIFS($I$1:I7703, $C$1:C7703, C7704, $B$1:B7703, {"MAL ALIMI","ÜRETİM GİRİŞ"})) - VLOOKUP(C7704, 'STOK RAPORU'!$C$2:$I$1000, 4, 0))), 0)</f>
        <v>2</v>
      </c>
      <c r="U7704" s="22">
        <f t="shared" si="480"/>
        <v>650</v>
      </c>
      <c r="V7704">
        <f t="shared" si="481"/>
        <v>650</v>
      </c>
      <c r="W7704" s="22">
        <f t="shared" si="482"/>
        <v>0</v>
      </c>
    </row>
    <row r="7705" spans="1:23" hidden="1" x14ac:dyDescent="0.25">
      <c r="A7705" s="3">
        <v>46188</v>
      </c>
      <c r="B7705" s="46" t="s">
        <v>298</v>
      </c>
      <c r="C7705" s="4" t="s">
        <v>2608</v>
      </c>
      <c r="D7705" s="4"/>
      <c r="E7705" s="4" t="s">
        <v>855</v>
      </c>
      <c r="F7705" s="4">
        <v>10429</v>
      </c>
      <c r="G7705" s="4" t="s">
        <v>855</v>
      </c>
      <c r="H7705" s="4" t="s">
        <v>304</v>
      </c>
      <c r="I7705" s="4">
        <v>2</v>
      </c>
      <c r="J7705" s="21">
        <v>220</v>
      </c>
      <c r="K7705" s="21">
        <v>0</v>
      </c>
      <c r="L7705" s="5">
        <v>440</v>
      </c>
      <c r="M7705" s="4"/>
      <c r="N7705" s="4"/>
      <c r="O7705" s="5"/>
      <c r="P7705" s="5"/>
      <c r="Q7705" s="21">
        <v>0</v>
      </c>
      <c r="R7705" s="21">
        <v>0</v>
      </c>
      <c r="S7705" s="5">
        <f t="shared" si="483"/>
        <v>46901.323819307501</v>
      </c>
      <c r="T7705" cm="1">
        <f t="array" ref="T7705">IF(OR(B7705="MAL ALIMI", B7705="ÜRETİM GİRİŞ"), MIN(I7705, MAX(0, I7705 + SUM(SUMIFS($I$1:I7704, $C$1:C7704, C7705, $B$1:B7704, {"MAL ALIMI","ÜRETİM GİRİŞ"})) - VLOOKUP(C7705, 'STOK RAPORU'!$C$2:$I$1000, 4, 0))), 0)</f>
        <v>2</v>
      </c>
      <c r="U7705" s="22">
        <f t="shared" si="480"/>
        <v>440</v>
      </c>
      <c r="V7705">
        <f t="shared" si="481"/>
        <v>440</v>
      </c>
      <c r="W7705" s="22">
        <f t="shared" si="482"/>
        <v>0</v>
      </c>
    </row>
    <row r="7706" spans="1:23" hidden="1" x14ac:dyDescent="0.25">
      <c r="A7706" s="3">
        <v>46188</v>
      </c>
      <c r="B7706" s="46" t="s">
        <v>334</v>
      </c>
      <c r="C7706" s="4" t="s">
        <v>92</v>
      </c>
      <c r="D7706" s="4"/>
      <c r="E7706" s="4"/>
      <c r="F7706" s="4" t="s">
        <v>3665</v>
      </c>
      <c r="G7706" s="4" t="s">
        <v>336</v>
      </c>
      <c r="H7706" s="4" t="s">
        <v>289</v>
      </c>
      <c r="I7706" s="4">
        <v>0.24</v>
      </c>
      <c r="J7706" s="21">
        <v>500</v>
      </c>
      <c r="K7706" s="21">
        <v>0</v>
      </c>
      <c r="L7706" s="5">
        <v>0</v>
      </c>
      <c r="M7706" s="4"/>
      <c r="N7706" s="4"/>
      <c r="O7706" s="5"/>
      <c r="P7706" s="5"/>
      <c r="Q7706" s="21">
        <v>120</v>
      </c>
      <c r="R7706" s="21">
        <v>0</v>
      </c>
      <c r="S7706" s="5">
        <f t="shared" si="483"/>
        <v>47021.323819307501</v>
      </c>
      <c r="T7706" cm="1">
        <f t="array" ref="T7706">IF(OR(B7706="MAL ALIMI", B7706="ÜRETİM GİRİŞ"), MIN(I7706, MAX(0, I7706 + SUM(SUMIFS($I$1:I7705, $C$1:C7705, C7706, $B$1:B7705, {"MAL ALIMI","ÜRETİM GİRİŞ"})) - VLOOKUP(C7706, 'STOK RAPORU'!$C$2:$I$1000, 4, 0))), 0)</f>
        <v>0</v>
      </c>
      <c r="U7706" s="22">
        <f t="shared" si="480"/>
        <v>0</v>
      </c>
      <c r="V7706">
        <f t="shared" si="481"/>
        <v>0</v>
      </c>
      <c r="W7706" s="22">
        <f t="shared" si="482"/>
        <v>0</v>
      </c>
    </row>
    <row r="7707" spans="1:23" hidden="1" x14ac:dyDescent="0.25">
      <c r="A7707" s="3">
        <v>46188</v>
      </c>
      <c r="B7707" s="46" t="s">
        <v>334</v>
      </c>
      <c r="C7707" s="4" t="s">
        <v>133</v>
      </c>
      <c r="D7707" s="4"/>
      <c r="E7707" s="4" t="s">
        <v>921</v>
      </c>
      <c r="F7707" s="4" t="s">
        <v>3666</v>
      </c>
      <c r="G7707" s="4" t="s">
        <v>336</v>
      </c>
      <c r="H7707" s="4" t="s">
        <v>380</v>
      </c>
      <c r="I7707" s="4">
        <v>0.25</v>
      </c>
      <c r="J7707" s="21">
        <v>400</v>
      </c>
      <c r="K7707" s="21">
        <v>100</v>
      </c>
      <c r="L7707" s="5">
        <v>0</v>
      </c>
      <c r="M7707" s="4"/>
      <c r="N7707" s="4"/>
      <c r="O7707" s="5"/>
      <c r="P7707" s="5"/>
      <c r="Q7707" s="21">
        <v>0</v>
      </c>
      <c r="R7707" s="21">
        <v>0</v>
      </c>
      <c r="S7707" s="5">
        <f t="shared" si="483"/>
        <v>47021.323819307501</v>
      </c>
      <c r="T7707" cm="1">
        <f t="array" ref="T7707">IF(OR(B7707="MAL ALIMI", B7707="ÜRETİM GİRİŞ"), MIN(I7707, MAX(0, I7707 + SUM(SUMIFS($I$1:I7706, $C$1:C7706, C7707, $B$1:B7706, {"MAL ALIMI","ÜRETİM GİRİŞ"})) - VLOOKUP(C7707, 'STOK RAPORU'!$C$2:$I$1000, 4, 0))), 0)</f>
        <v>0</v>
      </c>
      <c r="U7707" s="22">
        <f t="shared" si="480"/>
        <v>0</v>
      </c>
      <c r="V7707">
        <f t="shared" si="481"/>
        <v>0</v>
      </c>
      <c r="W7707" s="22">
        <f t="shared" si="482"/>
        <v>0</v>
      </c>
    </row>
    <row r="7708" spans="1:23" hidden="1" x14ac:dyDescent="0.25">
      <c r="A7708" s="3">
        <v>46188</v>
      </c>
      <c r="B7708" s="46" t="s">
        <v>334</v>
      </c>
      <c r="C7708" s="4" t="s">
        <v>157</v>
      </c>
      <c r="D7708" s="4"/>
      <c r="E7708" s="4"/>
      <c r="F7708" s="4" t="s">
        <v>3667</v>
      </c>
      <c r="G7708" s="4" t="s">
        <v>336</v>
      </c>
      <c r="H7708" s="4" t="s">
        <v>289</v>
      </c>
      <c r="I7708" s="4">
        <v>1</v>
      </c>
      <c r="J7708" s="21">
        <v>200</v>
      </c>
      <c r="K7708" s="21">
        <v>0</v>
      </c>
      <c r="L7708" s="5">
        <v>0</v>
      </c>
      <c r="M7708" s="4"/>
      <c r="N7708" s="4"/>
      <c r="O7708" s="5"/>
      <c r="P7708" s="5"/>
      <c r="Q7708" s="21">
        <v>200</v>
      </c>
      <c r="R7708" s="21">
        <v>0</v>
      </c>
      <c r="S7708" s="5">
        <f t="shared" si="483"/>
        <v>47221.323819307501</v>
      </c>
      <c r="T7708" cm="1">
        <f t="array" ref="T7708">IF(OR(B7708="MAL ALIMI", B7708="ÜRETİM GİRİŞ"), MIN(I7708, MAX(0, I7708 + SUM(SUMIFS($I$1:I7707, $C$1:C7707, C7708, $B$1:B7707, {"MAL ALIMI","ÜRETİM GİRİŞ"})) - VLOOKUP(C7708, 'STOK RAPORU'!$C$2:$I$1000, 4, 0))), 0)</f>
        <v>0</v>
      </c>
      <c r="U7708" s="22">
        <f t="shared" si="480"/>
        <v>0</v>
      </c>
      <c r="V7708">
        <f t="shared" si="481"/>
        <v>0</v>
      </c>
      <c r="W7708" s="22">
        <f t="shared" si="482"/>
        <v>0</v>
      </c>
    </row>
    <row r="7709" spans="1:23" hidden="1" x14ac:dyDescent="0.25">
      <c r="A7709" s="3">
        <v>46188</v>
      </c>
      <c r="B7709" s="46" t="s">
        <v>334</v>
      </c>
      <c r="C7709" s="4" t="s">
        <v>1041</v>
      </c>
      <c r="D7709" s="4"/>
      <c r="E7709" s="4"/>
      <c r="F7709" s="4" t="s">
        <v>3667</v>
      </c>
      <c r="G7709" s="4" t="s">
        <v>336</v>
      </c>
      <c r="H7709" s="4" t="s">
        <v>289</v>
      </c>
      <c r="I7709" s="4">
        <v>0.57391304347826089</v>
      </c>
      <c r="J7709" s="21">
        <v>230</v>
      </c>
      <c r="K7709" s="21">
        <v>0</v>
      </c>
      <c r="L7709" s="5">
        <v>0</v>
      </c>
      <c r="M7709" s="4"/>
      <c r="N7709" s="4"/>
      <c r="O7709" s="5"/>
      <c r="P7709" s="5"/>
      <c r="Q7709" s="21">
        <v>132</v>
      </c>
      <c r="R7709" s="21">
        <v>0</v>
      </c>
      <c r="S7709" s="5">
        <f t="shared" si="483"/>
        <v>47353.323819307501</v>
      </c>
      <c r="T7709" cm="1">
        <f t="array" ref="T7709">IF(OR(B7709="MAL ALIMI", B7709="ÜRETİM GİRİŞ"), MIN(I7709, MAX(0, I7709 + SUM(SUMIFS($I$1:I7708, $C$1:C7708, C7709, $B$1:B7708, {"MAL ALIMI","ÜRETİM GİRİŞ"})) - VLOOKUP(C7709, 'STOK RAPORU'!$C$2:$I$1000, 4, 0))), 0)</f>
        <v>0</v>
      </c>
      <c r="U7709" s="22">
        <f t="shared" si="480"/>
        <v>0</v>
      </c>
      <c r="V7709">
        <f t="shared" si="481"/>
        <v>0</v>
      </c>
      <c r="W7709" s="22">
        <f t="shared" si="482"/>
        <v>0</v>
      </c>
    </row>
    <row r="7710" spans="1:23" hidden="1" x14ac:dyDescent="0.25">
      <c r="A7710" s="3">
        <v>46188</v>
      </c>
      <c r="B7710" s="46" t="s">
        <v>334</v>
      </c>
      <c r="C7710" s="4" t="s">
        <v>1501</v>
      </c>
      <c r="D7710" s="4"/>
      <c r="E7710" s="4" t="s">
        <v>921</v>
      </c>
      <c r="F7710" s="4" t="s">
        <v>3668</v>
      </c>
      <c r="G7710" s="4" t="s">
        <v>336</v>
      </c>
      <c r="H7710" s="4" t="s">
        <v>380</v>
      </c>
      <c r="I7710" s="4">
        <v>0.25</v>
      </c>
      <c r="J7710" s="21">
        <v>700</v>
      </c>
      <c r="K7710" s="21">
        <v>175</v>
      </c>
      <c r="L7710" s="5">
        <v>0</v>
      </c>
      <c r="M7710" s="4"/>
      <c r="N7710" s="4"/>
      <c r="O7710" s="5"/>
      <c r="P7710" s="5"/>
      <c r="Q7710" s="21">
        <v>0</v>
      </c>
      <c r="R7710" s="21">
        <v>0</v>
      </c>
      <c r="S7710" s="5">
        <f t="shared" si="483"/>
        <v>47353.323819307501</v>
      </c>
      <c r="T7710" cm="1">
        <f t="array" ref="T7710">IF(OR(B7710="MAL ALIMI", B7710="ÜRETİM GİRİŞ"), MIN(I7710, MAX(0, I7710 + SUM(SUMIFS($I$1:I7709, $C$1:C7709, C7710, $B$1:B7709, {"MAL ALIMI","ÜRETİM GİRİŞ"})) - VLOOKUP(C7710, 'STOK RAPORU'!$C$2:$I$1000, 4, 0))), 0)</f>
        <v>0</v>
      </c>
      <c r="U7710" s="22">
        <f t="shared" si="480"/>
        <v>0</v>
      </c>
      <c r="V7710">
        <f t="shared" si="481"/>
        <v>0</v>
      </c>
      <c r="W7710" s="22">
        <f t="shared" si="482"/>
        <v>0</v>
      </c>
    </row>
    <row r="7711" spans="1:23" hidden="1" x14ac:dyDescent="0.25">
      <c r="A7711" s="3">
        <v>46188</v>
      </c>
      <c r="B7711" s="46" t="s">
        <v>334</v>
      </c>
      <c r="C7711" s="4" t="s">
        <v>126</v>
      </c>
      <c r="D7711" s="4"/>
      <c r="E7711" s="4" t="s">
        <v>921</v>
      </c>
      <c r="F7711" s="4" t="s">
        <v>3668</v>
      </c>
      <c r="G7711" s="4" t="s">
        <v>336</v>
      </c>
      <c r="H7711" s="4" t="s">
        <v>380</v>
      </c>
      <c r="I7711" s="4">
        <v>9.3846153846153843E-2</v>
      </c>
      <c r="J7711" s="21">
        <v>650</v>
      </c>
      <c r="K7711" s="21">
        <v>61</v>
      </c>
      <c r="L7711" s="5">
        <v>0</v>
      </c>
      <c r="M7711" s="4"/>
      <c r="N7711" s="4"/>
      <c r="O7711" s="5"/>
      <c r="P7711" s="5"/>
      <c r="Q7711" s="21">
        <v>0</v>
      </c>
      <c r="R7711" s="21">
        <v>0</v>
      </c>
      <c r="S7711" s="5">
        <f t="shared" si="483"/>
        <v>47353.323819307501</v>
      </c>
      <c r="T7711" cm="1">
        <f t="array" ref="T7711">IF(OR(B7711="MAL ALIMI", B7711="ÜRETİM GİRİŞ"), MIN(I7711, MAX(0, I7711 + SUM(SUMIFS($I$1:I7710, $C$1:C7710, C7711, $B$1:B7710, {"MAL ALIMI","ÜRETİM GİRİŞ"})) - VLOOKUP(C7711, 'STOK RAPORU'!$C$2:$I$1000, 4, 0))), 0)</f>
        <v>0</v>
      </c>
      <c r="U7711" s="22">
        <f t="shared" si="480"/>
        <v>0</v>
      </c>
      <c r="V7711">
        <f t="shared" si="481"/>
        <v>0</v>
      </c>
      <c r="W7711" s="22">
        <f t="shared" si="482"/>
        <v>0</v>
      </c>
    </row>
    <row r="7712" spans="1:23" hidden="1" x14ac:dyDescent="0.25">
      <c r="A7712" s="3">
        <v>46188</v>
      </c>
      <c r="B7712" s="46" t="s">
        <v>334</v>
      </c>
      <c r="C7712" s="4" t="s">
        <v>131</v>
      </c>
      <c r="D7712" s="4"/>
      <c r="E7712" s="4" t="s">
        <v>921</v>
      </c>
      <c r="F7712" s="4" t="s">
        <v>3668</v>
      </c>
      <c r="G7712" s="4" t="s">
        <v>336</v>
      </c>
      <c r="H7712" s="4" t="s">
        <v>380</v>
      </c>
      <c r="I7712" s="4">
        <v>0.05</v>
      </c>
      <c r="J7712" s="21">
        <v>400</v>
      </c>
      <c r="K7712" s="21">
        <v>20</v>
      </c>
      <c r="L7712" s="5">
        <v>0</v>
      </c>
      <c r="M7712" s="4"/>
      <c r="N7712" s="4"/>
      <c r="O7712" s="5"/>
      <c r="P7712" s="5"/>
      <c r="Q7712" s="21">
        <v>0</v>
      </c>
      <c r="R7712" s="21">
        <v>0</v>
      </c>
      <c r="S7712" s="5">
        <f t="shared" si="483"/>
        <v>47353.323819307501</v>
      </c>
      <c r="T7712" cm="1">
        <f t="array" ref="T7712">IF(OR(B7712="MAL ALIMI", B7712="ÜRETİM GİRİŞ"), MIN(I7712, MAX(0, I7712 + SUM(SUMIFS($I$1:I7711, $C$1:C7711, C7712, $B$1:B7711, {"MAL ALIMI","ÜRETİM GİRİŞ"})) - VLOOKUP(C7712, 'STOK RAPORU'!$C$2:$I$1000, 4, 0))), 0)</f>
        <v>0</v>
      </c>
      <c r="U7712" s="22">
        <f t="shared" si="480"/>
        <v>0</v>
      </c>
      <c r="V7712">
        <f t="shared" si="481"/>
        <v>0</v>
      </c>
      <c r="W7712" s="22">
        <f t="shared" si="482"/>
        <v>0</v>
      </c>
    </row>
    <row r="7713" spans="1:23" hidden="1" x14ac:dyDescent="0.25">
      <c r="A7713" s="3">
        <v>46188</v>
      </c>
      <c r="B7713" s="46" t="s">
        <v>334</v>
      </c>
      <c r="C7713" s="4" t="s">
        <v>149</v>
      </c>
      <c r="D7713" s="4"/>
      <c r="E7713" s="4" t="s">
        <v>921</v>
      </c>
      <c r="F7713" s="4" t="s">
        <v>3668</v>
      </c>
      <c r="G7713" s="4" t="s">
        <v>336</v>
      </c>
      <c r="H7713" s="4" t="s">
        <v>380</v>
      </c>
      <c r="I7713" s="4">
        <v>1</v>
      </c>
      <c r="J7713" s="21">
        <v>75</v>
      </c>
      <c r="K7713" s="21">
        <v>75</v>
      </c>
      <c r="L7713" s="5">
        <v>0</v>
      </c>
      <c r="M7713" s="4"/>
      <c r="N7713" s="4"/>
      <c r="O7713" s="5"/>
      <c r="P7713" s="5"/>
      <c r="Q7713" s="21">
        <v>0</v>
      </c>
      <c r="R7713" s="21">
        <v>0</v>
      </c>
      <c r="S7713" s="5">
        <f t="shared" si="483"/>
        <v>47353.323819307501</v>
      </c>
      <c r="T7713" cm="1">
        <f t="array" ref="T7713">IF(OR(B7713="MAL ALIMI", B7713="ÜRETİM GİRİŞ"), MIN(I7713, MAX(0, I7713 + SUM(SUMIFS($I$1:I7712, $C$1:C7712, C7713, $B$1:B7712, {"MAL ALIMI","ÜRETİM GİRİŞ"})) - VLOOKUP(C7713, 'STOK RAPORU'!$C$2:$I$1000, 4, 0))), 0)</f>
        <v>0</v>
      </c>
      <c r="U7713" s="22">
        <f t="shared" si="480"/>
        <v>0</v>
      </c>
      <c r="V7713">
        <f t="shared" si="481"/>
        <v>0</v>
      </c>
      <c r="W7713" s="22">
        <f t="shared" si="482"/>
        <v>0</v>
      </c>
    </row>
    <row r="7714" spans="1:23" hidden="1" x14ac:dyDescent="0.25">
      <c r="A7714" s="3">
        <v>46188</v>
      </c>
      <c r="B7714" s="46" t="s">
        <v>334</v>
      </c>
      <c r="C7714" s="4" t="s">
        <v>91</v>
      </c>
      <c r="D7714" s="4"/>
      <c r="E7714" s="4"/>
      <c r="F7714" s="4" t="s">
        <v>3669</v>
      </c>
      <c r="G7714" s="4" t="s">
        <v>3835</v>
      </c>
      <c r="H7714" s="4" t="s">
        <v>289</v>
      </c>
      <c r="I7714" s="4">
        <v>0.14399999999999999</v>
      </c>
      <c r="J7714" s="4">
        <v>700</v>
      </c>
      <c r="K7714" s="21">
        <v>0</v>
      </c>
      <c r="L7714" s="5">
        <v>0</v>
      </c>
      <c r="M7714" s="4"/>
      <c r="N7714" s="4"/>
      <c r="O7714" s="5"/>
      <c r="P7714" s="5"/>
      <c r="Q7714" s="21">
        <v>100.8</v>
      </c>
      <c r="R7714" s="21">
        <v>0</v>
      </c>
      <c r="S7714" s="5">
        <f t="shared" si="483"/>
        <v>47454.123819307504</v>
      </c>
      <c r="T7714" cm="1">
        <f t="array" ref="T7714">IF(OR(B7714="MAL ALIMI", B7714="ÜRETİM GİRİŞ"), MIN(I7714, MAX(0, I7714 + SUM(SUMIFS($I$1:I7713, $C$1:C7713, C7714, $B$1:B7713, {"MAL ALIMI","ÜRETİM GİRİŞ"})) - VLOOKUP(C7714, 'STOK RAPORU'!$C$2:$I$1000, 4, 0))), 0)</f>
        <v>0</v>
      </c>
      <c r="U7714" s="22">
        <f t="shared" si="480"/>
        <v>0</v>
      </c>
      <c r="V7714">
        <f t="shared" si="481"/>
        <v>0</v>
      </c>
      <c r="W7714" s="22">
        <f t="shared" si="482"/>
        <v>0</v>
      </c>
    </row>
    <row r="7715" spans="1:23" hidden="1" x14ac:dyDescent="0.25">
      <c r="A7715" s="3">
        <v>46188</v>
      </c>
      <c r="B7715" s="46" t="s">
        <v>334</v>
      </c>
      <c r="C7715" s="4" t="s">
        <v>463</v>
      </c>
      <c r="D7715" s="4"/>
      <c r="E7715" s="4"/>
      <c r="F7715" s="4" t="s">
        <v>3669</v>
      </c>
      <c r="G7715" s="4" t="s">
        <v>3835</v>
      </c>
      <c r="H7715" s="4" t="s">
        <v>289</v>
      </c>
      <c r="I7715" s="4">
        <v>0.434</v>
      </c>
      <c r="J7715" s="4">
        <v>261.5</v>
      </c>
      <c r="K7715" s="21">
        <v>0</v>
      </c>
      <c r="L7715" s="5">
        <v>0</v>
      </c>
      <c r="M7715" s="4"/>
      <c r="N7715" s="4"/>
      <c r="O7715" s="5"/>
      <c r="P7715" s="5"/>
      <c r="Q7715" s="21">
        <v>113.491</v>
      </c>
      <c r="R7715" s="21">
        <v>0</v>
      </c>
      <c r="S7715" s="5">
        <f t="shared" si="483"/>
        <v>47567.614819307506</v>
      </c>
      <c r="T7715" cm="1">
        <f t="array" ref="T7715">IF(OR(B7715="MAL ALIMI", B7715="ÜRETİM GİRİŞ"), MIN(I7715, MAX(0, I7715 + SUM(SUMIFS($I$1:I7714, $C$1:C7714, C7715, $B$1:B7714, {"MAL ALIMI","ÜRETİM GİRİŞ"})) - VLOOKUP(C7715, 'STOK RAPORU'!$C$2:$I$1000, 4, 0))), 0)</f>
        <v>0</v>
      </c>
      <c r="U7715" s="22">
        <f t="shared" si="480"/>
        <v>0</v>
      </c>
      <c r="V7715">
        <f t="shared" si="481"/>
        <v>0</v>
      </c>
      <c r="W7715" s="22">
        <f t="shared" si="482"/>
        <v>0</v>
      </c>
    </row>
    <row r="7716" spans="1:23" hidden="1" x14ac:dyDescent="0.25">
      <c r="A7716" s="3">
        <v>46188</v>
      </c>
      <c r="B7716" s="46" t="s">
        <v>334</v>
      </c>
      <c r="C7716" s="4" t="s">
        <v>2243</v>
      </c>
      <c r="D7716" s="4"/>
      <c r="E7716" s="4"/>
      <c r="F7716" s="4" t="s">
        <v>3669</v>
      </c>
      <c r="G7716" s="4" t="s">
        <v>3835</v>
      </c>
      <c r="H7716" s="4" t="s">
        <v>289</v>
      </c>
      <c r="I7716" s="4">
        <v>0.23799999999999999</v>
      </c>
      <c r="J7716" s="4">
        <v>350</v>
      </c>
      <c r="K7716" s="21">
        <v>0</v>
      </c>
      <c r="L7716" s="5">
        <v>0</v>
      </c>
      <c r="M7716" s="4"/>
      <c r="N7716" s="4"/>
      <c r="O7716" s="5"/>
      <c r="P7716" s="5"/>
      <c r="Q7716" s="21">
        <v>83.3</v>
      </c>
      <c r="R7716" s="21">
        <v>0</v>
      </c>
      <c r="S7716" s="5">
        <f t="shared" si="483"/>
        <v>47650.914819307509</v>
      </c>
      <c r="T7716" cm="1">
        <f t="array" ref="T7716">IF(OR(B7716="MAL ALIMI", B7716="ÜRETİM GİRİŞ"), MIN(I7716, MAX(0, I7716 + SUM(SUMIFS($I$1:I7715, $C$1:C7715, C7716, $B$1:B7715, {"MAL ALIMI","ÜRETİM GİRİŞ"})) - VLOOKUP(C7716, 'STOK RAPORU'!$C$2:$I$1000, 4, 0))), 0)</f>
        <v>0</v>
      </c>
      <c r="U7716" s="22">
        <f t="shared" si="480"/>
        <v>0</v>
      </c>
      <c r="V7716">
        <f t="shared" si="481"/>
        <v>0</v>
      </c>
      <c r="W7716" s="22">
        <f t="shared" si="482"/>
        <v>0</v>
      </c>
    </row>
    <row r="7717" spans="1:23" hidden="1" x14ac:dyDescent="0.25">
      <c r="A7717" s="3">
        <v>46188</v>
      </c>
      <c r="B7717" s="46" t="s">
        <v>334</v>
      </c>
      <c r="C7717" s="4" t="s">
        <v>130</v>
      </c>
      <c r="D7717" s="4"/>
      <c r="E7717" s="4"/>
      <c r="F7717" s="4" t="s">
        <v>3669</v>
      </c>
      <c r="G7717" s="4" t="s">
        <v>3835</v>
      </c>
      <c r="H7717" s="4" t="s">
        <v>289</v>
      </c>
      <c r="I7717" s="4">
        <v>0.13200000000000001</v>
      </c>
      <c r="J7717" s="21">
        <v>250</v>
      </c>
      <c r="K7717" s="21">
        <v>0</v>
      </c>
      <c r="L7717" s="5">
        <v>0</v>
      </c>
      <c r="M7717" s="4"/>
      <c r="N7717" s="4"/>
      <c r="O7717" s="5"/>
      <c r="P7717" s="5"/>
      <c r="Q7717" s="21">
        <v>33</v>
      </c>
      <c r="R7717" s="21">
        <v>0</v>
      </c>
      <c r="S7717" s="5">
        <f t="shared" si="483"/>
        <v>47683.914819307509</v>
      </c>
      <c r="T7717" cm="1">
        <f t="array" ref="T7717">IF(OR(B7717="MAL ALIMI", B7717="ÜRETİM GİRİŞ"), MIN(I7717, MAX(0, I7717 + SUM(SUMIFS($I$1:I7716, $C$1:C7716, C7717, $B$1:B7716, {"MAL ALIMI","ÜRETİM GİRİŞ"})) - VLOOKUP(C7717, 'STOK RAPORU'!$C$2:$I$1000, 4, 0))), 0)</f>
        <v>0</v>
      </c>
      <c r="U7717" s="22">
        <f t="shared" si="480"/>
        <v>0</v>
      </c>
      <c r="V7717">
        <f t="shared" si="481"/>
        <v>0</v>
      </c>
      <c r="W7717" s="22">
        <f t="shared" si="482"/>
        <v>0</v>
      </c>
    </row>
    <row r="7718" spans="1:23" hidden="1" x14ac:dyDescent="0.25">
      <c r="A7718" s="3">
        <v>46188</v>
      </c>
      <c r="B7718" s="46" t="s">
        <v>334</v>
      </c>
      <c r="C7718" s="4" t="s">
        <v>141</v>
      </c>
      <c r="D7718" s="4"/>
      <c r="E7718" s="4"/>
      <c r="F7718" s="4" t="s">
        <v>3669</v>
      </c>
      <c r="G7718" s="4" t="s">
        <v>3835</v>
      </c>
      <c r="H7718" s="4" t="s">
        <v>289</v>
      </c>
      <c r="I7718" s="4">
        <v>0.248</v>
      </c>
      <c r="J7718" s="4">
        <v>100</v>
      </c>
      <c r="K7718" s="21">
        <v>0</v>
      </c>
      <c r="L7718" s="5">
        <v>0</v>
      </c>
      <c r="M7718" s="4"/>
      <c r="N7718" s="4"/>
      <c r="O7718" s="5"/>
      <c r="P7718" s="5"/>
      <c r="Q7718" s="21">
        <v>24.8</v>
      </c>
      <c r="R7718" s="21">
        <v>0</v>
      </c>
      <c r="S7718" s="5">
        <f t="shared" si="483"/>
        <v>47708.714819307512</v>
      </c>
      <c r="T7718" cm="1">
        <f t="array" ref="T7718">IF(OR(B7718="MAL ALIMI", B7718="ÜRETİM GİRİŞ"), MIN(I7718, MAX(0, I7718 + SUM(SUMIFS($I$1:I7717, $C$1:C7717, C7718, $B$1:B7717, {"MAL ALIMI","ÜRETİM GİRİŞ"})) - VLOOKUP(C7718, 'STOK RAPORU'!$C$2:$I$1000, 4, 0))), 0)</f>
        <v>0</v>
      </c>
      <c r="U7718" s="22">
        <f t="shared" si="480"/>
        <v>0</v>
      </c>
      <c r="V7718">
        <f t="shared" si="481"/>
        <v>0</v>
      </c>
      <c r="W7718" s="22">
        <f t="shared" si="482"/>
        <v>0</v>
      </c>
    </row>
    <row r="7719" spans="1:23" hidden="1" x14ac:dyDescent="0.25">
      <c r="A7719" s="3">
        <v>46188</v>
      </c>
      <c r="B7719" s="46" t="s">
        <v>334</v>
      </c>
      <c r="C7719" s="4" t="s">
        <v>129</v>
      </c>
      <c r="D7719" s="4"/>
      <c r="E7719" s="4"/>
      <c r="F7719" s="4" t="s">
        <v>3669</v>
      </c>
      <c r="G7719" s="4" t="s">
        <v>3835</v>
      </c>
      <c r="H7719" s="4" t="s">
        <v>289</v>
      </c>
      <c r="I7719" s="4">
        <v>0.316</v>
      </c>
      <c r="J7719" s="4">
        <v>300</v>
      </c>
      <c r="K7719" s="21">
        <v>0</v>
      </c>
      <c r="L7719" s="5">
        <v>0</v>
      </c>
      <c r="M7719" s="4"/>
      <c r="N7719" s="4"/>
      <c r="O7719" s="5"/>
      <c r="P7719" s="5"/>
      <c r="Q7719" s="21">
        <v>94.8</v>
      </c>
      <c r="R7719" s="21">
        <v>0</v>
      </c>
      <c r="S7719" s="5">
        <f t="shared" si="483"/>
        <v>47803.514819307515</v>
      </c>
      <c r="T7719" cm="1">
        <f t="array" ref="T7719">IF(OR(B7719="MAL ALIMI", B7719="ÜRETİM GİRİŞ"), MIN(I7719, MAX(0, I7719 + SUM(SUMIFS($I$1:I7718, $C$1:C7718, C7719, $B$1:B7718, {"MAL ALIMI","ÜRETİM GİRİŞ"})) - VLOOKUP(C7719, 'STOK RAPORU'!$C$2:$I$1000, 4, 0))), 0)</f>
        <v>0</v>
      </c>
      <c r="U7719" s="22">
        <f t="shared" si="480"/>
        <v>0</v>
      </c>
      <c r="V7719">
        <f t="shared" si="481"/>
        <v>0</v>
      </c>
      <c r="W7719" s="22">
        <f t="shared" si="482"/>
        <v>0</v>
      </c>
    </row>
    <row r="7720" spans="1:23" hidden="1" x14ac:dyDescent="0.25">
      <c r="A7720" s="3">
        <v>46189</v>
      </c>
      <c r="B7720" s="46" t="s">
        <v>334</v>
      </c>
      <c r="C7720" s="4" t="s">
        <v>244</v>
      </c>
      <c r="D7720" s="4"/>
      <c r="E7720" s="4" t="s">
        <v>921</v>
      </c>
      <c r="F7720" s="4" t="s">
        <v>3673</v>
      </c>
      <c r="G7720" s="4" t="s">
        <v>336</v>
      </c>
      <c r="H7720" s="4" t="s">
        <v>380</v>
      </c>
      <c r="I7720" s="4">
        <v>0.23076923076923078</v>
      </c>
      <c r="J7720" s="21">
        <v>650</v>
      </c>
      <c r="K7720" s="21">
        <v>150</v>
      </c>
      <c r="L7720" s="5">
        <v>0</v>
      </c>
      <c r="M7720" s="4"/>
      <c r="N7720" s="4"/>
      <c r="O7720" s="5"/>
      <c r="P7720" s="5"/>
      <c r="Q7720" s="21">
        <v>0</v>
      </c>
      <c r="R7720" s="21">
        <v>0</v>
      </c>
      <c r="S7720" s="5">
        <f t="shared" si="483"/>
        <v>47803.514819307515</v>
      </c>
      <c r="T7720" cm="1">
        <f t="array" ref="T7720">IF(OR(B7720="MAL ALIMI", B7720="ÜRETİM GİRİŞ"), MIN(I7720, MAX(0, I7720 + SUM(SUMIFS($I$1:I7719, $C$1:C7719, C7720, $B$1:B7719, {"MAL ALIMI","ÜRETİM GİRİŞ"})) - VLOOKUP(C7720, 'STOK RAPORU'!$C$2:$I$1000, 4, 0))), 0)</f>
        <v>0</v>
      </c>
      <c r="U7720" s="22">
        <f t="shared" si="480"/>
        <v>0</v>
      </c>
      <c r="V7720">
        <f t="shared" si="481"/>
        <v>0</v>
      </c>
      <c r="W7720" s="22">
        <f t="shared" si="482"/>
        <v>0</v>
      </c>
    </row>
    <row r="7721" spans="1:23" hidden="1" x14ac:dyDescent="0.25">
      <c r="A7721" s="3">
        <v>46189</v>
      </c>
      <c r="B7721" s="46" t="s">
        <v>334</v>
      </c>
      <c r="C7721" s="4" t="s">
        <v>160</v>
      </c>
      <c r="D7721" s="4"/>
      <c r="E7721" s="4"/>
      <c r="F7721" s="4" t="s">
        <v>3674</v>
      </c>
      <c r="G7721" s="4" t="s">
        <v>336</v>
      </c>
      <c r="H7721" s="4" t="s">
        <v>289</v>
      </c>
      <c r="I7721" s="4">
        <v>1</v>
      </c>
      <c r="J7721" s="21">
        <v>200</v>
      </c>
      <c r="K7721" s="21">
        <v>0</v>
      </c>
      <c r="L7721" s="5">
        <v>0</v>
      </c>
      <c r="M7721" s="4"/>
      <c r="N7721" s="4"/>
      <c r="O7721" s="5"/>
      <c r="P7721" s="5"/>
      <c r="Q7721" s="21">
        <v>200</v>
      </c>
      <c r="R7721" s="21">
        <v>0</v>
      </c>
      <c r="S7721" s="5">
        <f t="shared" si="483"/>
        <v>48003.514819307515</v>
      </c>
      <c r="T7721" cm="1">
        <f t="array" ref="T7721">IF(OR(B7721="MAL ALIMI", B7721="ÜRETİM GİRİŞ"), MIN(I7721, MAX(0, I7721 + SUM(SUMIFS($I$1:I7720, $C$1:C7720, C7721, $B$1:B7720, {"MAL ALIMI","ÜRETİM GİRİŞ"})) - VLOOKUP(C7721, 'STOK RAPORU'!$C$2:$I$1000, 4, 0))), 0)</f>
        <v>0</v>
      </c>
      <c r="U7721" s="22">
        <f t="shared" si="480"/>
        <v>0</v>
      </c>
      <c r="V7721">
        <f t="shared" si="481"/>
        <v>0</v>
      </c>
      <c r="W7721" s="22">
        <f t="shared" si="482"/>
        <v>0</v>
      </c>
    </row>
    <row r="7722" spans="1:23" hidden="1" x14ac:dyDescent="0.25">
      <c r="A7722" s="3">
        <v>46189</v>
      </c>
      <c r="B7722" s="46" t="s">
        <v>334</v>
      </c>
      <c r="C7722" s="4" t="s">
        <v>828</v>
      </c>
      <c r="D7722" s="4"/>
      <c r="E7722" s="4"/>
      <c r="F7722" s="4" t="s">
        <v>3675</v>
      </c>
      <c r="G7722" s="4" t="s">
        <v>336</v>
      </c>
      <c r="H7722" s="4" t="s">
        <v>289</v>
      </c>
      <c r="I7722" s="4">
        <v>1</v>
      </c>
      <c r="J7722" s="21">
        <v>145</v>
      </c>
      <c r="K7722" s="21">
        <v>0</v>
      </c>
      <c r="L7722" s="5">
        <v>0</v>
      </c>
      <c r="M7722" s="4"/>
      <c r="N7722" s="4"/>
      <c r="O7722" s="5"/>
      <c r="P7722" s="5"/>
      <c r="Q7722" s="21">
        <v>145</v>
      </c>
      <c r="R7722" s="21">
        <v>0</v>
      </c>
      <c r="S7722" s="5">
        <f t="shared" si="483"/>
        <v>48148.514819307515</v>
      </c>
      <c r="T7722" cm="1">
        <f t="array" ref="T7722">IF(OR(B7722="MAL ALIMI", B7722="ÜRETİM GİRİŞ"), MIN(I7722, MAX(0, I7722 + SUM(SUMIFS($I$1:I7721, $C$1:C7721, C7722, $B$1:B7721, {"MAL ALIMI","ÜRETİM GİRİŞ"})) - VLOOKUP(C7722, 'STOK RAPORU'!$C$2:$I$1000, 4, 0))), 0)</f>
        <v>0</v>
      </c>
      <c r="U7722" s="22">
        <f t="shared" si="480"/>
        <v>0</v>
      </c>
      <c r="V7722">
        <f t="shared" si="481"/>
        <v>0</v>
      </c>
      <c r="W7722" s="22">
        <f t="shared" si="482"/>
        <v>0</v>
      </c>
    </row>
    <row r="7723" spans="1:23" hidden="1" x14ac:dyDescent="0.25">
      <c r="A7723" s="3">
        <v>46189</v>
      </c>
      <c r="B7723" s="46" t="s">
        <v>334</v>
      </c>
      <c r="C7723" s="4" t="s">
        <v>157</v>
      </c>
      <c r="D7723" s="4"/>
      <c r="E7723" s="4"/>
      <c r="F7723" s="4" t="s">
        <v>3676</v>
      </c>
      <c r="G7723" s="4" t="s">
        <v>336</v>
      </c>
      <c r="H7723" s="4" t="s">
        <v>289</v>
      </c>
      <c r="I7723" s="4">
        <v>1</v>
      </c>
      <c r="J7723" s="21">
        <v>200</v>
      </c>
      <c r="K7723" s="21">
        <v>0</v>
      </c>
      <c r="L7723" s="5">
        <v>0</v>
      </c>
      <c r="M7723" s="4"/>
      <c r="N7723" s="4"/>
      <c r="O7723" s="5"/>
      <c r="P7723" s="5"/>
      <c r="Q7723" s="21">
        <v>200</v>
      </c>
      <c r="R7723" s="21">
        <v>0</v>
      </c>
      <c r="S7723" s="5">
        <f t="shared" si="483"/>
        <v>48348.514819307515</v>
      </c>
      <c r="T7723" cm="1">
        <f t="array" ref="T7723">IF(OR(B7723="MAL ALIMI", B7723="ÜRETİM GİRİŞ"), MIN(I7723, MAX(0, I7723 + SUM(SUMIFS($I$1:I7722, $C$1:C7722, C7723, $B$1:B7722, {"MAL ALIMI","ÜRETİM GİRİŞ"})) - VLOOKUP(C7723, 'STOK RAPORU'!$C$2:$I$1000, 4, 0))), 0)</f>
        <v>0</v>
      </c>
      <c r="U7723" s="22">
        <f t="shared" si="480"/>
        <v>0</v>
      </c>
      <c r="V7723">
        <f t="shared" si="481"/>
        <v>0</v>
      </c>
      <c r="W7723" s="22">
        <f t="shared" si="482"/>
        <v>0</v>
      </c>
    </row>
    <row r="7724" spans="1:23" hidden="1" x14ac:dyDescent="0.25">
      <c r="A7724" s="3">
        <v>46189</v>
      </c>
      <c r="B7724" s="46" t="s">
        <v>334</v>
      </c>
      <c r="C7724" s="4" t="s">
        <v>143</v>
      </c>
      <c r="D7724" s="4"/>
      <c r="E7724" s="4"/>
      <c r="F7724" s="4" t="s">
        <v>3677</v>
      </c>
      <c r="G7724" s="4" t="s">
        <v>336</v>
      </c>
      <c r="H7724" s="4" t="s">
        <v>289</v>
      </c>
      <c r="I7724" s="4">
        <v>2</v>
      </c>
      <c r="J7724" s="21">
        <v>100</v>
      </c>
      <c r="K7724" s="21">
        <v>0</v>
      </c>
      <c r="L7724" s="5">
        <v>0</v>
      </c>
      <c r="M7724" s="4"/>
      <c r="N7724" s="4"/>
      <c r="O7724" s="5"/>
      <c r="P7724" s="5"/>
      <c r="Q7724" s="21">
        <v>200</v>
      </c>
      <c r="R7724" s="21">
        <v>0</v>
      </c>
      <c r="S7724" s="5">
        <f t="shared" si="483"/>
        <v>48548.514819307515</v>
      </c>
      <c r="T7724" cm="1">
        <f t="array" ref="T7724">IF(OR(B7724="MAL ALIMI", B7724="ÜRETİM GİRİŞ"), MIN(I7724, MAX(0, I7724 + SUM(SUMIFS($I$1:I7723, $C$1:C7723, C7724, $B$1:B7723, {"MAL ALIMI","ÜRETİM GİRİŞ"})) - VLOOKUP(C7724, 'STOK RAPORU'!$C$2:$I$1000, 4, 0))), 0)</f>
        <v>0</v>
      </c>
      <c r="U7724" s="22">
        <f t="shared" si="480"/>
        <v>0</v>
      </c>
      <c r="V7724">
        <f t="shared" si="481"/>
        <v>0</v>
      </c>
      <c r="W7724" s="22">
        <f t="shared" si="482"/>
        <v>0</v>
      </c>
    </row>
    <row r="7725" spans="1:23" hidden="1" x14ac:dyDescent="0.25">
      <c r="A7725" s="3">
        <v>46189</v>
      </c>
      <c r="B7725" s="46" t="s">
        <v>334</v>
      </c>
      <c r="C7725" s="4" t="s">
        <v>60</v>
      </c>
      <c r="D7725" s="4"/>
      <c r="E7725" s="4"/>
      <c r="F7725" s="4" t="s">
        <v>3678</v>
      </c>
      <c r="G7725" s="4" t="s">
        <v>336</v>
      </c>
      <c r="H7725" s="4" t="s">
        <v>289</v>
      </c>
      <c r="I7725" s="4">
        <v>0.05</v>
      </c>
      <c r="J7725" s="21">
        <v>1000</v>
      </c>
      <c r="K7725" s="21">
        <v>0</v>
      </c>
      <c r="L7725" s="5">
        <v>0</v>
      </c>
      <c r="M7725" s="4"/>
      <c r="N7725" s="4"/>
      <c r="O7725" s="5"/>
      <c r="P7725" s="5"/>
      <c r="Q7725" s="21">
        <v>50</v>
      </c>
      <c r="R7725" s="21">
        <v>0</v>
      </c>
      <c r="S7725" s="5">
        <f t="shared" si="483"/>
        <v>48598.514819307515</v>
      </c>
      <c r="T7725" cm="1">
        <f t="array" ref="T7725">IF(OR(B7725="MAL ALIMI", B7725="ÜRETİM GİRİŞ"), MIN(I7725, MAX(0, I7725 + SUM(SUMIFS($I$1:I7724, $C$1:C7724, C7725, $B$1:B7724, {"MAL ALIMI","ÜRETİM GİRİŞ"})) - VLOOKUP(C7725, 'STOK RAPORU'!$C$2:$I$1000, 4, 0))), 0)</f>
        <v>0</v>
      </c>
      <c r="U7725" s="22">
        <f t="shared" si="480"/>
        <v>0</v>
      </c>
      <c r="V7725">
        <f t="shared" si="481"/>
        <v>0</v>
      </c>
      <c r="W7725" s="22">
        <f t="shared" si="482"/>
        <v>0</v>
      </c>
    </row>
    <row r="7726" spans="1:23" hidden="1" x14ac:dyDescent="0.25">
      <c r="A7726" s="3">
        <v>46189</v>
      </c>
      <c r="B7726" s="46" t="s">
        <v>334</v>
      </c>
      <c r="C7726" s="4" t="s">
        <v>266</v>
      </c>
      <c r="D7726" s="4"/>
      <c r="E7726" s="4"/>
      <c r="F7726" s="4" t="s">
        <v>3679</v>
      </c>
      <c r="G7726" s="4" t="s">
        <v>336</v>
      </c>
      <c r="H7726" s="4" t="s">
        <v>289</v>
      </c>
      <c r="I7726" s="4">
        <v>0.38</v>
      </c>
      <c r="J7726" s="21">
        <v>250</v>
      </c>
      <c r="K7726" s="21">
        <v>0</v>
      </c>
      <c r="L7726" s="5">
        <v>0</v>
      </c>
      <c r="M7726" s="4"/>
      <c r="N7726" s="4"/>
      <c r="O7726" s="5"/>
      <c r="P7726" s="5"/>
      <c r="Q7726" s="21">
        <v>95</v>
      </c>
      <c r="R7726" s="21">
        <v>0</v>
      </c>
      <c r="S7726" s="5">
        <f t="shared" si="483"/>
        <v>48693.514819307515</v>
      </c>
      <c r="T7726" cm="1">
        <f t="array" ref="T7726">IF(OR(B7726="MAL ALIMI", B7726="ÜRETİM GİRİŞ"), MIN(I7726, MAX(0, I7726 + SUM(SUMIFS($I$1:I7725, $C$1:C7725, C7726, $B$1:B7725, {"MAL ALIMI","ÜRETİM GİRİŞ"})) - VLOOKUP(C7726, 'STOK RAPORU'!$C$2:$I$1000, 4, 0))), 0)</f>
        <v>0</v>
      </c>
      <c r="U7726" s="22">
        <f t="shared" si="480"/>
        <v>0</v>
      </c>
      <c r="V7726">
        <f t="shared" si="481"/>
        <v>0</v>
      </c>
      <c r="W7726" s="22">
        <f t="shared" si="482"/>
        <v>0</v>
      </c>
    </row>
    <row r="7727" spans="1:23" hidden="1" x14ac:dyDescent="0.25">
      <c r="A7727" s="3">
        <v>46189</v>
      </c>
      <c r="B7727" s="46" t="s">
        <v>334</v>
      </c>
      <c r="C7727" s="4" t="s">
        <v>1041</v>
      </c>
      <c r="D7727" s="4"/>
      <c r="E7727" s="4" t="s">
        <v>921</v>
      </c>
      <c r="F7727" s="4" t="s">
        <v>3680</v>
      </c>
      <c r="G7727" s="4" t="s">
        <v>336</v>
      </c>
      <c r="H7727" s="4" t="s">
        <v>380</v>
      </c>
      <c r="I7727" s="4">
        <v>1</v>
      </c>
      <c r="J7727" s="21">
        <v>230</v>
      </c>
      <c r="K7727" s="21">
        <v>230</v>
      </c>
      <c r="L7727" s="5">
        <v>0</v>
      </c>
      <c r="M7727" s="4"/>
      <c r="N7727" s="4"/>
      <c r="O7727" s="5"/>
      <c r="P7727" s="5"/>
      <c r="Q7727" s="21">
        <v>0</v>
      </c>
      <c r="R7727" s="21">
        <v>0</v>
      </c>
      <c r="S7727" s="5">
        <f t="shared" si="483"/>
        <v>48693.514819307515</v>
      </c>
      <c r="T7727" cm="1">
        <f t="array" ref="T7727">IF(OR(B7727="MAL ALIMI", B7727="ÜRETİM GİRİŞ"), MIN(I7727, MAX(0, I7727 + SUM(SUMIFS($I$1:I7726, $C$1:C7726, C7727, $B$1:B7726, {"MAL ALIMI","ÜRETİM GİRİŞ"})) - VLOOKUP(C7727, 'STOK RAPORU'!$C$2:$I$1000, 4, 0))), 0)</f>
        <v>0</v>
      </c>
      <c r="U7727" s="22">
        <f t="shared" si="480"/>
        <v>0</v>
      </c>
      <c r="V7727">
        <f t="shared" si="481"/>
        <v>0</v>
      </c>
      <c r="W7727" s="22">
        <f t="shared" si="482"/>
        <v>0</v>
      </c>
    </row>
    <row r="7728" spans="1:23" hidden="1" x14ac:dyDescent="0.25">
      <c r="A7728" s="3">
        <v>46189</v>
      </c>
      <c r="B7728" s="46" t="s">
        <v>334</v>
      </c>
      <c r="C7728" s="4" t="s">
        <v>3381</v>
      </c>
      <c r="D7728" s="4"/>
      <c r="E7728" s="4" t="s">
        <v>921</v>
      </c>
      <c r="F7728" s="4" t="s">
        <v>3680</v>
      </c>
      <c r="G7728" s="4" t="s">
        <v>336</v>
      </c>
      <c r="H7728" s="4" t="s">
        <v>380</v>
      </c>
      <c r="I7728" s="4">
        <v>0.34</v>
      </c>
      <c r="J7728" s="21">
        <v>250</v>
      </c>
      <c r="K7728" s="21">
        <v>85</v>
      </c>
      <c r="L7728" s="5">
        <v>0</v>
      </c>
      <c r="M7728" s="4"/>
      <c r="N7728" s="4"/>
      <c r="O7728" s="5"/>
      <c r="P7728" s="5"/>
      <c r="Q7728" s="21">
        <v>0</v>
      </c>
      <c r="R7728" s="21">
        <v>0</v>
      </c>
      <c r="S7728" s="5">
        <f t="shared" si="483"/>
        <v>48693.514819307515</v>
      </c>
      <c r="T7728" cm="1">
        <f t="array" ref="T7728">IF(OR(B7728="MAL ALIMI", B7728="ÜRETİM GİRİŞ"), MIN(I7728, MAX(0, I7728 + SUM(SUMIFS($I$1:I7727, $C$1:C7727, C7728, $B$1:B7727, {"MAL ALIMI","ÜRETİM GİRİŞ"})) - VLOOKUP(C7728, 'STOK RAPORU'!$C$2:$I$1000, 4, 0))), 0)</f>
        <v>0</v>
      </c>
      <c r="U7728" s="22">
        <f t="shared" si="480"/>
        <v>0</v>
      </c>
      <c r="V7728">
        <f t="shared" si="481"/>
        <v>0</v>
      </c>
      <c r="W7728" s="22">
        <f t="shared" si="482"/>
        <v>0</v>
      </c>
    </row>
    <row r="7729" spans="1:23" hidden="1" x14ac:dyDescent="0.25">
      <c r="A7729" s="3">
        <v>46189</v>
      </c>
      <c r="B7729" s="46" t="s">
        <v>334</v>
      </c>
      <c r="C7729" s="4" t="s">
        <v>728</v>
      </c>
      <c r="D7729" s="4"/>
      <c r="E7729" s="4" t="s">
        <v>921</v>
      </c>
      <c r="F7729" s="4" t="s">
        <v>3680</v>
      </c>
      <c r="G7729" s="4" t="s">
        <v>336</v>
      </c>
      <c r="H7729" s="4" t="s">
        <v>380</v>
      </c>
      <c r="I7729" s="4">
        <v>0.5</v>
      </c>
      <c r="J7729" s="21">
        <v>650</v>
      </c>
      <c r="K7729" s="21">
        <v>325</v>
      </c>
      <c r="L7729" s="5">
        <v>0</v>
      </c>
      <c r="M7729" s="4"/>
      <c r="N7729" s="4"/>
      <c r="O7729" s="5"/>
      <c r="P7729" s="5"/>
      <c r="Q7729" s="21">
        <v>0</v>
      </c>
      <c r="R7729" s="21">
        <v>0</v>
      </c>
      <c r="S7729" s="5">
        <f t="shared" si="483"/>
        <v>48693.514819307515</v>
      </c>
      <c r="T7729" cm="1">
        <f t="array" ref="T7729">IF(OR(B7729="MAL ALIMI", B7729="ÜRETİM GİRİŞ"), MIN(I7729, MAX(0, I7729 + SUM(SUMIFS($I$1:I7728, $C$1:C7728, C7729, $B$1:B7728, {"MAL ALIMI","ÜRETİM GİRİŞ"})) - VLOOKUP(C7729, 'STOK RAPORU'!$C$2:$I$1000, 4, 0))), 0)</f>
        <v>0</v>
      </c>
      <c r="U7729" s="22">
        <f t="shared" si="480"/>
        <v>0</v>
      </c>
      <c r="V7729">
        <f t="shared" si="481"/>
        <v>0</v>
      </c>
      <c r="W7729" s="22">
        <f t="shared" si="482"/>
        <v>0</v>
      </c>
    </row>
    <row r="7730" spans="1:23" hidden="1" x14ac:dyDescent="0.25">
      <c r="A7730" s="3">
        <v>46189</v>
      </c>
      <c r="B7730" s="46" t="s">
        <v>334</v>
      </c>
      <c r="C7730" s="4" t="s">
        <v>238</v>
      </c>
      <c r="D7730" s="4"/>
      <c r="E7730" s="4"/>
      <c r="F7730" s="4" t="s">
        <v>3681</v>
      </c>
      <c r="G7730" s="4" t="s">
        <v>336</v>
      </c>
      <c r="H7730" s="4" t="s">
        <v>289</v>
      </c>
      <c r="I7730" s="4">
        <v>0.1</v>
      </c>
      <c r="J7730" s="21">
        <v>1350</v>
      </c>
      <c r="K7730" s="21">
        <v>0</v>
      </c>
      <c r="L7730" s="5">
        <v>0</v>
      </c>
      <c r="M7730" s="4"/>
      <c r="N7730" s="4"/>
      <c r="O7730" s="5"/>
      <c r="P7730" s="5"/>
      <c r="Q7730" s="21">
        <v>135</v>
      </c>
      <c r="R7730" s="21">
        <v>0</v>
      </c>
      <c r="S7730" s="5">
        <f t="shared" si="483"/>
        <v>48828.514819307515</v>
      </c>
      <c r="T7730" cm="1">
        <f t="array" ref="T7730">IF(OR(B7730="MAL ALIMI", B7730="ÜRETİM GİRİŞ"), MIN(I7730, MAX(0, I7730 + SUM(SUMIFS($I$1:I7729, $C$1:C7729, C7730, $B$1:B7729, {"MAL ALIMI","ÜRETİM GİRİŞ"})) - VLOOKUP(C7730, 'STOK RAPORU'!$C$2:$I$1000, 4, 0))), 0)</f>
        <v>0</v>
      </c>
      <c r="U7730" s="22">
        <f t="shared" ref="U7730:U7792" si="484">T7730*J7730</f>
        <v>0</v>
      </c>
      <c r="V7730">
        <f t="shared" ref="V7730:V7792" si="485">IF(OR(B7730="MAL ALIMI", B7730="ÜRETİM GİRİŞ"), I7730 * J7730, 0)</f>
        <v>0</v>
      </c>
      <c r="W7730" s="22">
        <f t="shared" ref="W7730:W7792" si="486">V7730-U7730</f>
        <v>0</v>
      </c>
    </row>
    <row r="7731" spans="1:23" hidden="1" x14ac:dyDescent="0.25">
      <c r="A7731" s="3">
        <v>46189</v>
      </c>
      <c r="B7731" s="46" t="s">
        <v>334</v>
      </c>
      <c r="C7731" s="4" t="s">
        <v>3158</v>
      </c>
      <c r="D7731" s="4"/>
      <c r="E7731" s="4" t="s">
        <v>921</v>
      </c>
      <c r="F7731" s="4" t="s">
        <v>3682</v>
      </c>
      <c r="G7731" s="4" t="s">
        <v>336</v>
      </c>
      <c r="H7731" s="4" t="s">
        <v>380</v>
      </c>
      <c r="I7731" s="4">
        <v>1</v>
      </c>
      <c r="J7731" s="21">
        <v>200</v>
      </c>
      <c r="K7731" s="21">
        <v>200</v>
      </c>
      <c r="L7731" s="5">
        <v>0</v>
      </c>
      <c r="M7731" s="4"/>
      <c r="N7731" s="4"/>
      <c r="O7731" s="5"/>
      <c r="P7731" s="5"/>
      <c r="Q7731" s="21">
        <v>0</v>
      </c>
      <c r="R7731" s="21">
        <v>0</v>
      </c>
      <c r="S7731" s="5">
        <f t="shared" si="483"/>
        <v>48828.514819307515</v>
      </c>
      <c r="T7731" cm="1">
        <f t="array" ref="T7731">IF(OR(B7731="MAL ALIMI", B7731="ÜRETİM GİRİŞ"), MIN(I7731, MAX(0, I7731 + SUM(SUMIFS($I$1:I7730, $C$1:C7730, C7731, $B$1:B7730, {"MAL ALIMI","ÜRETİM GİRİŞ"})) - VLOOKUP(C7731, 'STOK RAPORU'!$C$2:$I$1000, 4, 0))), 0)</f>
        <v>0</v>
      </c>
      <c r="U7731" s="22">
        <f t="shared" si="484"/>
        <v>0</v>
      </c>
      <c r="V7731">
        <f t="shared" si="485"/>
        <v>0</v>
      </c>
      <c r="W7731" s="22">
        <f t="shared" si="486"/>
        <v>0</v>
      </c>
    </row>
    <row r="7732" spans="1:23" hidden="1" x14ac:dyDescent="0.25">
      <c r="A7732" s="3">
        <v>46189</v>
      </c>
      <c r="B7732" s="46" t="s">
        <v>334</v>
      </c>
      <c r="C7732" s="4" t="s">
        <v>831</v>
      </c>
      <c r="D7732" s="4"/>
      <c r="E7732" s="4" t="s">
        <v>921</v>
      </c>
      <c r="F7732" s="4" t="s">
        <v>3682</v>
      </c>
      <c r="G7732" s="4" t="s">
        <v>336</v>
      </c>
      <c r="H7732" s="4" t="s">
        <v>380</v>
      </c>
      <c r="I7732" s="4">
        <v>1</v>
      </c>
      <c r="J7732" s="21">
        <v>145</v>
      </c>
      <c r="K7732" s="21">
        <v>145</v>
      </c>
      <c r="L7732" s="5">
        <v>0</v>
      </c>
      <c r="M7732" s="4"/>
      <c r="N7732" s="4"/>
      <c r="O7732" s="5"/>
      <c r="P7732" s="5"/>
      <c r="Q7732" s="21">
        <v>0</v>
      </c>
      <c r="R7732" s="21">
        <v>0</v>
      </c>
      <c r="S7732" s="5">
        <f t="shared" si="483"/>
        <v>48828.514819307515</v>
      </c>
      <c r="T7732" cm="1">
        <f t="array" ref="T7732">IF(OR(B7732="MAL ALIMI", B7732="ÜRETİM GİRİŞ"), MIN(I7732, MAX(0, I7732 + SUM(SUMIFS($I$1:I7731, $C$1:C7731, C7732, $B$1:B7731, {"MAL ALIMI","ÜRETİM GİRİŞ"})) - VLOOKUP(C7732, 'STOK RAPORU'!$C$2:$I$1000, 4, 0))), 0)</f>
        <v>0</v>
      </c>
      <c r="U7732" s="22">
        <f t="shared" si="484"/>
        <v>0</v>
      </c>
      <c r="V7732">
        <f t="shared" si="485"/>
        <v>0</v>
      </c>
      <c r="W7732" s="22">
        <f t="shared" si="486"/>
        <v>0</v>
      </c>
    </row>
    <row r="7733" spans="1:23" hidden="1" x14ac:dyDescent="0.25">
      <c r="A7733" s="3">
        <v>46189</v>
      </c>
      <c r="B7733" s="46" t="s">
        <v>334</v>
      </c>
      <c r="C7733" s="4" t="s">
        <v>1642</v>
      </c>
      <c r="D7733" s="4"/>
      <c r="E7733" s="4" t="s">
        <v>921</v>
      </c>
      <c r="F7733" s="4" t="s">
        <v>3682</v>
      </c>
      <c r="G7733" s="4" t="s">
        <v>336</v>
      </c>
      <c r="H7733" s="4" t="s">
        <v>380</v>
      </c>
      <c r="I7733" s="4">
        <v>0.1</v>
      </c>
      <c r="J7733" s="21">
        <v>850</v>
      </c>
      <c r="K7733" s="21">
        <v>85</v>
      </c>
      <c r="L7733" s="5">
        <v>0</v>
      </c>
      <c r="M7733" s="4"/>
      <c r="N7733" s="4"/>
      <c r="O7733" s="5"/>
      <c r="P7733" s="5"/>
      <c r="Q7733" s="21">
        <v>0</v>
      </c>
      <c r="R7733" s="21">
        <v>0</v>
      </c>
      <c r="S7733" s="5">
        <f t="shared" si="483"/>
        <v>48828.514819307515</v>
      </c>
      <c r="T7733" cm="1">
        <f t="array" ref="T7733">IF(OR(B7733="MAL ALIMI", B7733="ÜRETİM GİRİŞ"), MIN(I7733, MAX(0, I7733 + SUM(SUMIFS($I$1:I7732, $C$1:C7732, C7733, $B$1:B7732, {"MAL ALIMI","ÜRETİM GİRİŞ"})) - VLOOKUP(C7733, 'STOK RAPORU'!$C$2:$I$1000, 4, 0))), 0)</f>
        <v>0</v>
      </c>
      <c r="U7733" s="22">
        <f t="shared" si="484"/>
        <v>0</v>
      </c>
      <c r="V7733">
        <f t="shared" si="485"/>
        <v>0</v>
      </c>
      <c r="W7733" s="22">
        <f t="shared" si="486"/>
        <v>0</v>
      </c>
    </row>
    <row r="7734" spans="1:23" hidden="1" x14ac:dyDescent="0.25">
      <c r="A7734" s="3">
        <v>46189</v>
      </c>
      <c r="B7734" s="46" t="s">
        <v>334</v>
      </c>
      <c r="C7734" s="4" t="s">
        <v>523</v>
      </c>
      <c r="D7734" s="4"/>
      <c r="E7734" s="4" t="s">
        <v>921</v>
      </c>
      <c r="F7734" s="4" t="s">
        <v>3682</v>
      </c>
      <c r="G7734" s="4" t="s">
        <v>336</v>
      </c>
      <c r="H7734" s="4" t="s">
        <v>380</v>
      </c>
      <c r="I7734" s="4">
        <v>0.08</v>
      </c>
      <c r="J7734" s="21">
        <v>750</v>
      </c>
      <c r="K7734" s="21">
        <v>60</v>
      </c>
      <c r="L7734" s="5">
        <v>0</v>
      </c>
      <c r="M7734" s="4"/>
      <c r="N7734" s="4"/>
      <c r="O7734" s="5"/>
      <c r="P7734" s="5"/>
      <c r="Q7734" s="21">
        <v>0</v>
      </c>
      <c r="R7734" s="21">
        <v>0</v>
      </c>
      <c r="S7734" s="5">
        <f t="shared" si="483"/>
        <v>48828.514819307515</v>
      </c>
      <c r="T7734" cm="1">
        <f t="array" ref="T7734">IF(OR(B7734="MAL ALIMI", B7734="ÜRETİM GİRİŞ"), MIN(I7734, MAX(0, I7734 + SUM(SUMIFS($I$1:I7733, $C$1:C7733, C7734, $B$1:B7733, {"MAL ALIMI","ÜRETİM GİRİŞ"})) - VLOOKUP(C7734, 'STOK RAPORU'!$C$2:$I$1000, 4, 0))), 0)</f>
        <v>0</v>
      </c>
      <c r="U7734" s="22">
        <f t="shared" si="484"/>
        <v>0</v>
      </c>
      <c r="V7734">
        <f t="shared" si="485"/>
        <v>0</v>
      </c>
      <c r="W7734" s="22">
        <f t="shared" si="486"/>
        <v>0</v>
      </c>
    </row>
    <row r="7735" spans="1:23" hidden="1" x14ac:dyDescent="0.25">
      <c r="A7735" s="41">
        <v>46189</v>
      </c>
      <c r="B7735" s="42" t="s">
        <v>334</v>
      </c>
      <c r="C7735" s="42" t="s">
        <v>2120</v>
      </c>
      <c r="D7735" s="42"/>
      <c r="E7735" s="42"/>
      <c r="F7735" s="42" t="s">
        <v>3683</v>
      </c>
      <c r="G7735" s="42" t="s">
        <v>1716</v>
      </c>
      <c r="H7735" s="42" t="s">
        <v>289</v>
      </c>
      <c r="I7735" s="42">
        <v>3</v>
      </c>
      <c r="J7735" s="43">
        <v>65</v>
      </c>
      <c r="K7735" s="43">
        <v>0</v>
      </c>
      <c r="L7735" s="44">
        <v>0</v>
      </c>
      <c r="M7735" s="42"/>
      <c r="N7735" s="42"/>
      <c r="O7735" s="44"/>
      <c r="P7735" s="44"/>
      <c r="Q7735" s="43">
        <v>195</v>
      </c>
      <c r="R7735" s="43">
        <v>0</v>
      </c>
      <c r="S7735" s="5">
        <f t="shared" si="483"/>
        <v>49023.514819307515</v>
      </c>
      <c r="T7735" cm="1">
        <f t="array" ref="T7735">IF(OR(B7735="MAL ALIMI", B7735="ÜRETİM GİRİŞ"), MIN(I7735, MAX(0, I7735 + SUM(SUMIFS($I$1:I7734, $C$1:C7734, C7735, $B$1:B7734, {"MAL ALIMI","ÜRETİM GİRİŞ"})) - VLOOKUP(C7735, 'STOK RAPORU'!$C$2:$I$1000, 4, 0))), 0)</f>
        <v>0</v>
      </c>
      <c r="U7735" s="22">
        <f t="shared" si="484"/>
        <v>0</v>
      </c>
      <c r="V7735">
        <f t="shared" si="485"/>
        <v>0</v>
      </c>
      <c r="W7735" s="22">
        <f t="shared" si="486"/>
        <v>0</v>
      </c>
    </row>
    <row r="7736" spans="1:23" hidden="1" x14ac:dyDescent="0.25">
      <c r="A7736" s="41">
        <v>46189</v>
      </c>
      <c r="B7736" s="42" t="s">
        <v>334</v>
      </c>
      <c r="C7736" s="42" t="s">
        <v>158</v>
      </c>
      <c r="D7736" s="42"/>
      <c r="E7736" s="42"/>
      <c r="F7736" s="42" t="s">
        <v>3683</v>
      </c>
      <c r="G7736" s="42" t="s">
        <v>1716</v>
      </c>
      <c r="H7736" s="42" t="s">
        <v>289</v>
      </c>
      <c r="I7736" s="42">
        <v>2</v>
      </c>
      <c r="J7736" s="43">
        <v>150</v>
      </c>
      <c r="K7736" s="43">
        <v>0</v>
      </c>
      <c r="L7736" s="44">
        <v>0</v>
      </c>
      <c r="M7736" s="42"/>
      <c r="N7736" s="42"/>
      <c r="O7736" s="44"/>
      <c r="P7736" s="44"/>
      <c r="Q7736" s="43">
        <v>300</v>
      </c>
      <c r="R7736" s="43">
        <v>0</v>
      </c>
      <c r="S7736" s="5">
        <f t="shared" si="483"/>
        <v>49323.514819307515</v>
      </c>
      <c r="T7736" cm="1">
        <f t="array" ref="T7736">IF(OR(B7736="MAL ALIMI", B7736="ÜRETİM GİRİŞ"), MIN(I7736, MAX(0, I7736 + SUM(SUMIFS($I$1:I7735, $C$1:C7735, C7736, $B$1:B7735, {"MAL ALIMI","ÜRETİM GİRİŞ"})) - VLOOKUP(C7736, 'STOK RAPORU'!$C$2:$I$1000, 4, 0))), 0)</f>
        <v>0</v>
      </c>
      <c r="U7736" s="22">
        <f t="shared" si="484"/>
        <v>0</v>
      </c>
      <c r="V7736">
        <f t="shared" si="485"/>
        <v>0</v>
      </c>
      <c r="W7736" s="22">
        <f t="shared" si="486"/>
        <v>0</v>
      </c>
    </row>
    <row r="7737" spans="1:23" hidden="1" x14ac:dyDescent="0.25">
      <c r="A7737" s="41">
        <v>46189</v>
      </c>
      <c r="B7737" s="42" t="s">
        <v>334</v>
      </c>
      <c r="C7737" s="42" t="s">
        <v>92</v>
      </c>
      <c r="D7737" s="42"/>
      <c r="E7737" s="42"/>
      <c r="F7737" s="42" t="s">
        <v>3684</v>
      </c>
      <c r="G7737" s="42" t="s">
        <v>1771</v>
      </c>
      <c r="H7737" s="42" t="s">
        <v>289</v>
      </c>
      <c r="I7737" s="42">
        <v>0.4</v>
      </c>
      <c r="J7737" s="43">
        <v>500</v>
      </c>
      <c r="K7737" s="43">
        <v>0</v>
      </c>
      <c r="L7737" s="44">
        <v>0</v>
      </c>
      <c r="M7737" s="42"/>
      <c r="N7737" s="42"/>
      <c r="O7737" s="44"/>
      <c r="P7737" s="44"/>
      <c r="Q7737" s="43">
        <v>200</v>
      </c>
      <c r="R7737" s="43">
        <v>0</v>
      </c>
      <c r="S7737" s="5">
        <f t="shared" si="483"/>
        <v>49523.514819307515</v>
      </c>
      <c r="T7737" cm="1">
        <f t="array" ref="T7737">IF(OR(B7737="MAL ALIMI", B7737="ÜRETİM GİRİŞ"), MIN(I7737, MAX(0, I7737 + SUM(SUMIFS($I$1:I7736, $C$1:C7736, C7737, $B$1:B7736, {"MAL ALIMI","ÜRETİM GİRİŞ"})) - VLOOKUP(C7737, 'STOK RAPORU'!$C$2:$I$1000, 4, 0))), 0)</f>
        <v>0</v>
      </c>
      <c r="U7737" s="22">
        <f t="shared" si="484"/>
        <v>0</v>
      </c>
      <c r="V7737">
        <f t="shared" si="485"/>
        <v>0</v>
      </c>
      <c r="W7737" s="22">
        <f t="shared" si="486"/>
        <v>0</v>
      </c>
    </row>
    <row r="7738" spans="1:23" hidden="1" x14ac:dyDescent="0.25">
      <c r="A7738" s="41">
        <v>46189</v>
      </c>
      <c r="B7738" s="42" t="s">
        <v>334</v>
      </c>
      <c r="C7738" s="42" t="s">
        <v>92</v>
      </c>
      <c r="D7738" s="42"/>
      <c r="E7738" s="42"/>
      <c r="F7738" s="42" t="s">
        <v>3685</v>
      </c>
      <c r="G7738" s="42" t="s">
        <v>3101</v>
      </c>
      <c r="H7738" s="42" t="s">
        <v>289</v>
      </c>
      <c r="I7738" s="42">
        <v>0.1</v>
      </c>
      <c r="J7738" s="43">
        <v>500</v>
      </c>
      <c r="K7738" s="43">
        <v>0</v>
      </c>
      <c r="L7738" s="44">
        <v>0</v>
      </c>
      <c r="M7738" s="42"/>
      <c r="N7738" s="42"/>
      <c r="O7738" s="44"/>
      <c r="P7738" s="44"/>
      <c r="Q7738" s="43">
        <v>50</v>
      </c>
      <c r="R7738" s="43">
        <v>0</v>
      </c>
      <c r="S7738" s="5">
        <f t="shared" si="483"/>
        <v>49573.514819307515</v>
      </c>
      <c r="T7738" cm="1">
        <f t="array" ref="T7738">IF(OR(B7738="MAL ALIMI", B7738="ÜRETİM GİRİŞ"), MIN(I7738, MAX(0, I7738 + SUM(SUMIFS($I$1:I7737, $C$1:C7737, C7738, $B$1:B7737, {"MAL ALIMI","ÜRETİM GİRİŞ"})) - VLOOKUP(C7738, 'STOK RAPORU'!$C$2:$I$1000, 4, 0))), 0)</f>
        <v>0</v>
      </c>
      <c r="U7738" s="22">
        <f t="shared" si="484"/>
        <v>0</v>
      </c>
      <c r="V7738">
        <f t="shared" si="485"/>
        <v>0</v>
      </c>
      <c r="W7738" s="22">
        <f t="shared" si="486"/>
        <v>0</v>
      </c>
    </row>
    <row r="7739" spans="1:23" hidden="1" x14ac:dyDescent="0.25">
      <c r="A7739" s="3">
        <v>46189</v>
      </c>
      <c r="B7739" s="46" t="s">
        <v>334</v>
      </c>
      <c r="C7739" s="4" t="s">
        <v>92</v>
      </c>
      <c r="D7739" s="4"/>
      <c r="E7739" s="4"/>
      <c r="F7739" s="4" t="s">
        <v>3687</v>
      </c>
      <c r="G7739" s="4" t="s">
        <v>1945</v>
      </c>
      <c r="H7739" s="4" t="s">
        <v>289</v>
      </c>
      <c r="I7739" s="4">
        <v>0.78</v>
      </c>
      <c r="J7739" s="21">
        <v>200</v>
      </c>
      <c r="K7739" s="21">
        <v>0</v>
      </c>
      <c r="L7739" s="5">
        <v>0</v>
      </c>
      <c r="M7739" s="4"/>
      <c r="N7739" s="4"/>
      <c r="O7739" s="5"/>
      <c r="P7739" s="5"/>
      <c r="Q7739" s="21">
        <v>156</v>
      </c>
      <c r="R7739" s="21">
        <v>0</v>
      </c>
      <c r="S7739" s="5">
        <f t="shared" si="483"/>
        <v>49729.514819307515</v>
      </c>
      <c r="T7739" cm="1">
        <f t="array" ref="T7739">IF(OR(B7739="MAL ALIMI", B7739="ÜRETİM GİRİŞ"), MIN(I7739, MAX(0, I7739 + SUM(SUMIFS($I$1:I7738, $C$1:C7738, C7739, $B$1:B7738, {"MAL ALIMI","ÜRETİM GİRİŞ"})) - VLOOKUP(C7739, 'STOK RAPORU'!$C$2:$I$1000, 4, 0))), 0)</f>
        <v>0</v>
      </c>
      <c r="U7739" s="22">
        <f t="shared" si="484"/>
        <v>0</v>
      </c>
      <c r="V7739">
        <f t="shared" si="485"/>
        <v>0</v>
      </c>
      <c r="W7739" s="22">
        <f t="shared" si="486"/>
        <v>0</v>
      </c>
    </row>
    <row r="7740" spans="1:23" hidden="1" x14ac:dyDescent="0.25">
      <c r="A7740" s="3">
        <v>46189</v>
      </c>
      <c r="B7740" s="46" t="s">
        <v>334</v>
      </c>
      <c r="C7740" s="4" t="s">
        <v>131</v>
      </c>
      <c r="D7740" s="4"/>
      <c r="E7740" s="4"/>
      <c r="F7740" s="4" t="s">
        <v>3687</v>
      </c>
      <c r="G7740" s="4" t="s">
        <v>1945</v>
      </c>
      <c r="H7740" s="4" t="s">
        <v>289</v>
      </c>
      <c r="I7740" s="4">
        <v>0.12</v>
      </c>
      <c r="J7740" s="21">
        <v>125</v>
      </c>
      <c r="K7740" s="21">
        <v>0</v>
      </c>
      <c r="L7740" s="5">
        <v>0</v>
      </c>
      <c r="M7740" s="4"/>
      <c r="N7740" s="4"/>
      <c r="O7740" s="5"/>
      <c r="P7740" s="5"/>
      <c r="Q7740" s="21">
        <v>15</v>
      </c>
      <c r="R7740" s="21">
        <v>0</v>
      </c>
      <c r="S7740" s="5">
        <f t="shared" si="483"/>
        <v>49744.514819307515</v>
      </c>
      <c r="T7740" cm="1">
        <f t="array" ref="T7740">IF(OR(B7740="MAL ALIMI", B7740="ÜRETİM GİRİŞ"), MIN(I7740, MAX(0, I7740 + SUM(SUMIFS($I$1:I7739, $C$1:C7739, C7740, $B$1:B7739, {"MAL ALIMI","ÜRETİM GİRİŞ"})) - VLOOKUP(C7740, 'STOK RAPORU'!$C$2:$I$1000, 4, 0))), 0)</f>
        <v>0</v>
      </c>
      <c r="U7740" s="22">
        <f t="shared" si="484"/>
        <v>0</v>
      </c>
      <c r="V7740">
        <f t="shared" si="485"/>
        <v>0</v>
      </c>
      <c r="W7740" s="22">
        <f t="shared" si="486"/>
        <v>0</v>
      </c>
    </row>
    <row r="7741" spans="1:23" hidden="1" x14ac:dyDescent="0.25">
      <c r="A7741" s="3">
        <v>46189</v>
      </c>
      <c r="B7741" s="46" t="s">
        <v>334</v>
      </c>
      <c r="C7741" s="4" t="s">
        <v>96</v>
      </c>
      <c r="D7741" s="4"/>
      <c r="E7741" s="4"/>
      <c r="F7741" s="4" t="s">
        <v>3687</v>
      </c>
      <c r="G7741" s="4" t="s">
        <v>1945</v>
      </c>
      <c r="H7741" s="4" t="s">
        <v>289</v>
      </c>
      <c r="I7741" s="4">
        <v>0.312</v>
      </c>
      <c r="J7741" s="21">
        <v>180</v>
      </c>
      <c r="K7741" s="21">
        <v>0</v>
      </c>
      <c r="L7741" s="5">
        <v>0</v>
      </c>
      <c r="M7741" s="4"/>
      <c r="N7741" s="4"/>
      <c r="O7741" s="5"/>
      <c r="P7741" s="5"/>
      <c r="Q7741" s="21">
        <v>56.16</v>
      </c>
      <c r="R7741" s="21">
        <v>0</v>
      </c>
      <c r="S7741" s="5">
        <f t="shared" si="483"/>
        <v>49800.674819307518</v>
      </c>
      <c r="T7741" cm="1">
        <f t="array" ref="T7741">IF(OR(B7741="MAL ALIMI", B7741="ÜRETİM GİRİŞ"), MIN(I7741, MAX(0, I7741 + SUM(SUMIFS($I$1:I7740, $C$1:C7740, C7741, $B$1:B7740, {"MAL ALIMI","ÜRETİM GİRİŞ"})) - VLOOKUP(C7741, 'STOK RAPORU'!$C$2:$I$1000, 4, 0))), 0)</f>
        <v>0</v>
      </c>
      <c r="U7741" s="22">
        <f t="shared" si="484"/>
        <v>0</v>
      </c>
      <c r="V7741">
        <f t="shared" si="485"/>
        <v>0</v>
      </c>
      <c r="W7741" s="22">
        <f t="shared" si="486"/>
        <v>0</v>
      </c>
    </row>
    <row r="7742" spans="1:23" hidden="1" x14ac:dyDescent="0.25">
      <c r="A7742" s="3">
        <v>46189</v>
      </c>
      <c r="B7742" s="46" t="s">
        <v>334</v>
      </c>
      <c r="C7742" s="4" t="s">
        <v>126</v>
      </c>
      <c r="D7742" s="4"/>
      <c r="E7742" s="4"/>
      <c r="F7742" s="4" t="s">
        <v>3687</v>
      </c>
      <c r="G7742" s="4" t="s">
        <v>1945</v>
      </c>
      <c r="H7742" s="4" t="s">
        <v>289</v>
      </c>
      <c r="I7742" s="4">
        <v>0.17399999999999999</v>
      </c>
      <c r="J7742" s="21">
        <v>340</v>
      </c>
      <c r="K7742" s="21">
        <v>0</v>
      </c>
      <c r="L7742" s="5">
        <v>0</v>
      </c>
      <c r="M7742" s="4"/>
      <c r="N7742" s="4"/>
      <c r="O7742" s="5"/>
      <c r="P7742" s="5"/>
      <c r="Q7742" s="21">
        <v>59.16</v>
      </c>
      <c r="R7742" s="21">
        <v>0</v>
      </c>
      <c r="S7742" s="5">
        <f t="shared" si="483"/>
        <v>49859.834819307522</v>
      </c>
      <c r="T7742" cm="1">
        <f t="array" ref="T7742">IF(OR(B7742="MAL ALIMI", B7742="ÜRETİM GİRİŞ"), MIN(I7742, MAX(0, I7742 + SUM(SUMIFS($I$1:I7741, $C$1:C7741, C7742, $B$1:B7741, {"MAL ALIMI","ÜRETİM GİRİŞ"})) - VLOOKUP(C7742, 'STOK RAPORU'!$C$2:$I$1000, 4, 0))), 0)</f>
        <v>0</v>
      </c>
      <c r="U7742" s="22">
        <f t="shared" si="484"/>
        <v>0</v>
      </c>
      <c r="V7742">
        <f t="shared" si="485"/>
        <v>0</v>
      </c>
      <c r="W7742" s="22">
        <f t="shared" si="486"/>
        <v>0</v>
      </c>
    </row>
    <row r="7743" spans="1:23" hidden="1" x14ac:dyDescent="0.25">
      <c r="A7743" s="3">
        <v>46189</v>
      </c>
      <c r="B7743" s="46" t="s">
        <v>334</v>
      </c>
      <c r="C7743" s="4" t="s">
        <v>157</v>
      </c>
      <c r="D7743" s="4"/>
      <c r="E7743" s="4"/>
      <c r="F7743" s="4" t="s">
        <v>3687</v>
      </c>
      <c r="G7743" s="4" t="s">
        <v>1945</v>
      </c>
      <c r="H7743" s="4" t="s">
        <v>289</v>
      </c>
      <c r="I7743" s="4">
        <v>1.5</v>
      </c>
      <c r="J7743" s="21">
        <v>100</v>
      </c>
      <c r="K7743" s="21">
        <v>0</v>
      </c>
      <c r="L7743" s="5">
        <v>0</v>
      </c>
      <c r="M7743" s="4"/>
      <c r="N7743" s="4"/>
      <c r="O7743" s="5"/>
      <c r="P7743" s="5"/>
      <c r="Q7743" s="21">
        <v>150</v>
      </c>
      <c r="R7743" s="21">
        <v>0</v>
      </c>
      <c r="S7743" s="5">
        <f t="shared" si="483"/>
        <v>50009.834819307522</v>
      </c>
      <c r="T7743" cm="1">
        <f t="array" ref="T7743">IF(OR(B7743="MAL ALIMI", B7743="ÜRETİM GİRİŞ"), MIN(I7743, MAX(0, I7743 + SUM(SUMIFS($I$1:I7742, $C$1:C7742, C7743, $B$1:B7742, {"MAL ALIMI","ÜRETİM GİRİŞ"})) - VLOOKUP(C7743, 'STOK RAPORU'!$C$2:$I$1000, 4, 0))), 0)</f>
        <v>0</v>
      </c>
      <c r="U7743" s="22">
        <f t="shared" si="484"/>
        <v>0</v>
      </c>
      <c r="V7743">
        <f t="shared" si="485"/>
        <v>0</v>
      </c>
      <c r="W7743" s="22">
        <f t="shared" si="486"/>
        <v>0</v>
      </c>
    </row>
    <row r="7744" spans="1:23" hidden="1" x14ac:dyDescent="0.25">
      <c r="A7744" s="3">
        <v>46190</v>
      </c>
      <c r="B7744" s="46" t="s">
        <v>334</v>
      </c>
      <c r="C7744" s="4" t="s">
        <v>160</v>
      </c>
      <c r="D7744" s="4"/>
      <c r="E7744" s="4" t="s">
        <v>921</v>
      </c>
      <c r="F7744" s="4" t="s">
        <v>3688</v>
      </c>
      <c r="G7744" s="4" t="s">
        <v>336</v>
      </c>
      <c r="H7744" s="4" t="s">
        <v>380</v>
      </c>
      <c r="I7744" s="4">
        <v>1</v>
      </c>
      <c r="J7744" s="21">
        <v>225</v>
      </c>
      <c r="K7744" s="21">
        <v>225</v>
      </c>
      <c r="L7744" s="5">
        <v>0</v>
      </c>
      <c r="M7744" s="4"/>
      <c r="N7744" s="4"/>
      <c r="O7744" s="5"/>
      <c r="P7744" s="5"/>
      <c r="Q7744" s="21">
        <v>0</v>
      </c>
      <c r="R7744" s="21">
        <v>0</v>
      </c>
      <c r="S7744" s="5">
        <f t="shared" si="483"/>
        <v>50009.834819307522</v>
      </c>
      <c r="T7744" cm="1">
        <f t="array" ref="T7744">IF(OR(B7744="MAL ALIMI", B7744="ÜRETİM GİRİŞ"), MIN(I7744, MAX(0, I7744 + SUM(SUMIFS($I$1:I7743, $C$1:C7743, C7744, $B$1:B7743, {"MAL ALIMI","ÜRETİM GİRİŞ"})) - VLOOKUP(C7744, 'STOK RAPORU'!$C$2:$I$1000, 4, 0))), 0)</f>
        <v>0</v>
      </c>
      <c r="U7744" s="22">
        <f t="shared" si="484"/>
        <v>0</v>
      </c>
      <c r="V7744">
        <f t="shared" si="485"/>
        <v>0</v>
      </c>
      <c r="W7744" s="22">
        <f t="shared" si="486"/>
        <v>0</v>
      </c>
    </row>
    <row r="7745" spans="1:23" hidden="1" x14ac:dyDescent="0.25">
      <c r="A7745" s="3">
        <v>46190</v>
      </c>
      <c r="B7745" s="46" t="s">
        <v>334</v>
      </c>
      <c r="C7745" s="4" t="s">
        <v>161</v>
      </c>
      <c r="D7745" s="4"/>
      <c r="E7745" s="4" t="s">
        <v>921</v>
      </c>
      <c r="F7745" s="4" t="s">
        <v>3688</v>
      </c>
      <c r="G7745" s="4" t="s">
        <v>336</v>
      </c>
      <c r="H7745" s="4" t="s">
        <v>380</v>
      </c>
      <c r="I7745" s="4">
        <v>1</v>
      </c>
      <c r="J7745" s="21">
        <v>225</v>
      </c>
      <c r="K7745" s="21">
        <v>225</v>
      </c>
      <c r="L7745" s="5">
        <v>0</v>
      </c>
      <c r="M7745" s="4"/>
      <c r="N7745" s="4"/>
      <c r="O7745" s="5"/>
      <c r="P7745" s="5"/>
      <c r="Q7745" s="21">
        <v>0</v>
      </c>
      <c r="R7745" s="21">
        <v>0</v>
      </c>
      <c r="S7745" s="5">
        <f t="shared" si="483"/>
        <v>50009.834819307522</v>
      </c>
      <c r="T7745" cm="1">
        <f t="array" ref="T7745">IF(OR(B7745="MAL ALIMI", B7745="ÜRETİM GİRİŞ"), MIN(I7745, MAX(0, I7745 + SUM(SUMIFS($I$1:I7744, $C$1:C7744, C7745, $B$1:B7744, {"MAL ALIMI","ÜRETİM GİRİŞ"})) - VLOOKUP(C7745, 'STOK RAPORU'!$C$2:$I$1000, 4, 0))), 0)</f>
        <v>0</v>
      </c>
      <c r="U7745" s="22">
        <f t="shared" si="484"/>
        <v>0</v>
      </c>
      <c r="V7745">
        <f t="shared" si="485"/>
        <v>0</v>
      </c>
      <c r="W7745" s="22">
        <f t="shared" si="486"/>
        <v>0</v>
      </c>
    </row>
    <row r="7746" spans="1:23" hidden="1" x14ac:dyDescent="0.25">
      <c r="A7746" s="3">
        <v>46190</v>
      </c>
      <c r="B7746" s="46" t="s">
        <v>334</v>
      </c>
      <c r="C7746" s="4" t="s">
        <v>2117</v>
      </c>
      <c r="D7746" s="4"/>
      <c r="E7746" s="4" t="s">
        <v>921</v>
      </c>
      <c r="F7746" s="4" t="s">
        <v>3688</v>
      </c>
      <c r="G7746" s="4" t="s">
        <v>336</v>
      </c>
      <c r="H7746" s="4" t="s">
        <v>380</v>
      </c>
      <c r="I7746" s="4">
        <v>1</v>
      </c>
      <c r="J7746" s="21">
        <v>30</v>
      </c>
      <c r="K7746" s="21">
        <v>30</v>
      </c>
      <c r="L7746" s="5">
        <v>0</v>
      </c>
      <c r="M7746" s="4"/>
      <c r="N7746" s="4"/>
      <c r="O7746" s="5"/>
      <c r="P7746" s="5"/>
      <c r="Q7746" s="21">
        <v>0</v>
      </c>
      <c r="R7746" s="21">
        <v>0</v>
      </c>
      <c r="S7746" s="5">
        <f t="shared" si="483"/>
        <v>50009.834819307522</v>
      </c>
      <c r="T7746" cm="1">
        <f t="array" ref="T7746">IF(OR(B7746="MAL ALIMI", B7746="ÜRETİM GİRİŞ"), MIN(I7746, MAX(0, I7746 + SUM(SUMIFS($I$1:I7745, $C$1:C7745, C7746, $B$1:B7745, {"MAL ALIMI","ÜRETİM GİRİŞ"})) - VLOOKUP(C7746, 'STOK RAPORU'!$C$2:$I$1000, 4, 0))), 0)</f>
        <v>0</v>
      </c>
      <c r="U7746" s="22">
        <f t="shared" si="484"/>
        <v>0</v>
      </c>
      <c r="V7746">
        <f t="shared" si="485"/>
        <v>0</v>
      </c>
      <c r="W7746" s="22">
        <f t="shared" si="486"/>
        <v>0</v>
      </c>
    </row>
    <row r="7747" spans="1:23" hidden="1" x14ac:dyDescent="0.25">
      <c r="A7747" s="3">
        <v>46190</v>
      </c>
      <c r="B7747" s="46" t="s">
        <v>334</v>
      </c>
      <c r="C7747" s="4" t="s">
        <v>129</v>
      </c>
      <c r="D7747" s="4"/>
      <c r="E7747" s="4"/>
      <c r="F7747" s="4" t="s">
        <v>3689</v>
      </c>
      <c r="G7747" s="4" t="s">
        <v>336</v>
      </c>
      <c r="H7747" s="4" t="s">
        <v>289</v>
      </c>
      <c r="I7747" s="4">
        <v>0.10400000000000001</v>
      </c>
      <c r="J7747" s="21">
        <v>400</v>
      </c>
      <c r="K7747" s="21">
        <v>0</v>
      </c>
      <c r="L7747" s="5">
        <v>0</v>
      </c>
      <c r="M7747" s="4"/>
      <c r="N7747" s="4"/>
      <c r="O7747" s="5"/>
      <c r="P7747" s="5"/>
      <c r="Q7747" s="21">
        <v>41.6</v>
      </c>
      <c r="R7747" s="21">
        <v>0</v>
      </c>
      <c r="S7747" s="5">
        <f t="shared" si="483"/>
        <v>50051.43481930752</v>
      </c>
      <c r="T7747" cm="1">
        <f t="array" ref="T7747">IF(OR(B7747="MAL ALIMI", B7747="ÜRETİM GİRİŞ"), MIN(I7747, MAX(0, I7747 + SUM(SUMIFS($I$1:I7746, $C$1:C7746, C7747, $B$1:B7746, {"MAL ALIMI","ÜRETİM GİRİŞ"})) - VLOOKUP(C7747, 'STOK RAPORU'!$C$2:$I$1000, 4, 0))), 0)</f>
        <v>0</v>
      </c>
      <c r="U7747" s="22">
        <f t="shared" si="484"/>
        <v>0</v>
      </c>
      <c r="V7747">
        <f t="shared" si="485"/>
        <v>0</v>
      </c>
      <c r="W7747" s="22">
        <f t="shared" si="486"/>
        <v>0</v>
      </c>
    </row>
    <row r="7748" spans="1:23" hidden="1" x14ac:dyDescent="0.25">
      <c r="A7748" s="3">
        <v>46190</v>
      </c>
      <c r="B7748" s="46" t="s">
        <v>334</v>
      </c>
      <c r="C7748" s="4" t="s">
        <v>131</v>
      </c>
      <c r="D7748" s="4"/>
      <c r="E7748" s="4"/>
      <c r="F7748" s="4" t="s">
        <v>3689</v>
      </c>
      <c r="G7748" s="4" t="s">
        <v>336</v>
      </c>
      <c r="H7748" s="4" t="s">
        <v>289</v>
      </c>
      <c r="I7748" s="4">
        <v>8.8000000000000009E-2</v>
      </c>
      <c r="J7748" s="21">
        <v>400</v>
      </c>
      <c r="K7748" s="21">
        <v>0</v>
      </c>
      <c r="L7748" s="5">
        <v>0</v>
      </c>
      <c r="M7748" s="4"/>
      <c r="N7748" s="4"/>
      <c r="O7748" s="5"/>
      <c r="P7748" s="5"/>
      <c r="Q7748" s="21">
        <v>35.200000000000003</v>
      </c>
      <c r="R7748" s="21">
        <v>0</v>
      </c>
      <c r="S7748" s="5">
        <f t="shared" si="483"/>
        <v>50086.634819307517</v>
      </c>
      <c r="T7748" cm="1">
        <f t="array" ref="T7748">IF(OR(B7748="MAL ALIMI", B7748="ÜRETİM GİRİŞ"), MIN(I7748, MAX(0, I7748 + SUM(SUMIFS($I$1:I7747, $C$1:C7747, C7748, $B$1:B7747, {"MAL ALIMI","ÜRETİM GİRİŞ"})) - VLOOKUP(C7748, 'STOK RAPORU'!$C$2:$I$1000, 4, 0))), 0)</f>
        <v>0</v>
      </c>
      <c r="U7748" s="22">
        <f t="shared" si="484"/>
        <v>0</v>
      </c>
      <c r="V7748">
        <f t="shared" si="485"/>
        <v>0</v>
      </c>
      <c r="W7748" s="22">
        <f t="shared" si="486"/>
        <v>0</v>
      </c>
    </row>
    <row r="7749" spans="1:23" hidden="1" x14ac:dyDescent="0.25">
      <c r="A7749" s="3">
        <v>46190</v>
      </c>
      <c r="B7749" s="46" t="s">
        <v>334</v>
      </c>
      <c r="C7749" s="4" t="s">
        <v>126</v>
      </c>
      <c r="D7749" s="4"/>
      <c r="E7749" s="4"/>
      <c r="F7749" s="4" t="s">
        <v>3689</v>
      </c>
      <c r="G7749" s="4" t="s">
        <v>336</v>
      </c>
      <c r="H7749" s="4" t="s">
        <v>289</v>
      </c>
      <c r="I7749" s="4">
        <v>0.12399999999999999</v>
      </c>
      <c r="J7749" s="21">
        <v>650</v>
      </c>
      <c r="K7749" s="21">
        <v>0</v>
      </c>
      <c r="L7749" s="5">
        <v>0</v>
      </c>
      <c r="M7749" s="4"/>
      <c r="N7749" s="4"/>
      <c r="O7749" s="5"/>
      <c r="P7749" s="5"/>
      <c r="Q7749" s="21">
        <v>80.599999999999994</v>
      </c>
      <c r="R7749" s="21">
        <v>0</v>
      </c>
      <c r="S7749" s="5">
        <f t="shared" ref="S7749:S7812" si="487">S7748+Q7749-R7749</f>
        <v>50167.234819307516</v>
      </c>
      <c r="T7749" cm="1">
        <f t="array" ref="T7749">IF(OR(B7749="MAL ALIMI", B7749="ÜRETİM GİRİŞ"), MIN(I7749, MAX(0, I7749 + SUM(SUMIFS($I$1:I7748, $C$1:C7748, C7749, $B$1:B7748, {"MAL ALIMI","ÜRETİM GİRİŞ"})) - VLOOKUP(C7749, 'STOK RAPORU'!$C$2:$I$1000, 4, 0))), 0)</f>
        <v>0</v>
      </c>
      <c r="U7749" s="22">
        <f t="shared" si="484"/>
        <v>0</v>
      </c>
      <c r="V7749">
        <f t="shared" si="485"/>
        <v>0</v>
      </c>
      <c r="W7749" s="22">
        <f t="shared" si="486"/>
        <v>0</v>
      </c>
    </row>
    <row r="7750" spans="1:23" hidden="1" x14ac:dyDescent="0.25">
      <c r="A7750" s="3">
        <v>46190</v>
      </c>
      <c r="B7750" s="46" t="s">
        <v>334</v>
      </c>
      <c r="C7750" s="4" t="s">
        <v>463</v>
      </c>
      <c r="D7750" s="4"/>
      <c r="E7750" s="4"/>
      <c r="F7750" s="4" t="s">
        <v>3689</v>
      </c>
      <c r="G7750" s="4" t="s">
        <v>336</v>
      </c>
      <c r="H7750" s="4" t="s">
        <v>289</v>
      </c>
      <c r="I7750" s="4">
        <v>0.126</v>
      </c>
      <c r="J7750" s="21">
        <v>400</v>
      </c>
      <c r="K7750" s="21">
        <v>0</v>
      </c>
      <c r="L7750" s="5">
        <v>0</v>
      </c>
      <c r="M7750" s="4"/>
      <c r="N7750" s="4"/>
      <c r="O7750" s="5"/>
      <c r="P7750" s="5"/>
      <c r="Q7750" s="21">
        <v>50.4</v>
      </c>
      <c r="R7750" s="21">
        <v>0</v>
      </c>
      <c r="S7750" s="5">
        <f t="shared" si="487"/>
        <v>50217.634819307517</v>
      </c>
      <c r="T7750" cm="1">
        <f t="array" ref="T7750">IF(OR(B7750="MAL ALIMI", B7750="ÜRETİM GİRİŞ"), MIN(I7750, MAX(0, I7750 + SUM(SUMIFS($I$1:I7749, $C$1:C7749, C7750, $B$1:B7749, {"MAL ALIMI","ÜRETİM GİRİŞ"})) - VLOOKUP(C7750, 'STOK RAPORU'!$C$2:$I$1000, 4, 0))), 0)</f>
        <v>0</v>
      </c>
      <c r="U7750" s="22">
        <f t="shared" si="484"/>
        <v>0</v>
      </c>
      <c r="V7750">
        <f t="shared" si="485"/>
        <v>0</v>
      </c>
      <c r="W7750" s="22">
        <f t="shared" si="486"/>
        <v>0</v>
      </c>
    </row>
    <row r="7751" spans="1:23" hidden="1" x14ac:dyDescent="0.25">
      <c r="A7751" s="3">
        <v>46190</v>
      </c>
      <c r="B7751" s="46" t="s">
        <v>334</v>
      </c>
      <c r="C7751" s="4" t="s">
        <v>133</v>
      </c>
      <c r="D7751" s="4"/>
      <c r="E7751" s="4"/>
      <c r="F7751" s="4" t="s">
        <v>3689</v>
      </c>
      <c r="G7751" s="4" t="s">
        <v>336</v>
      </c>
      <c r="H7751" s="4" t="s">
        <v>289</v>
      </c>
      <c r="I7751" s="4">
        <v>0.14199999999999999</v>
      </c>
      <c r="J7751" s="21">
        <v>400</v>
      </c>
      <c r="K7751" s="21">
        <v>0</v>
      </c>
      <c r="L7751" s="5">
        <v>0</v>
      </c>
      <c r="M7751" s="4"/>
      <c r="N7751" s="4"/>
      <c r="O7751" s="5"/>
      <c r="P7751" s="5"/>
      <c r="Q7751" s="21">
        <v>56.8</v>
      </c>
      <c r="R7751" s="21">
        <v>0</v>
      </c>
      <c r="S7751" s="5">
        <f t="shared" si="487"/>
        <v>50274.43481930752</v>
      </c>
      <c r="T7751" cm="1">
        <f t="array" ref="T7751">IF(OR(B7751="MAL ALIMI", B7751="ÜRETİM GİRİŞ"), MIN(I7751, MAX(0, I7751 + SUM(SUMIFS($I$1:I7750, $C$1:C7750, C7751, $B$1:B7750, {"MAL ALIMI","ÜRETİM GİRİŞ"})) - VLOOKUP(C7751, 'STOK RAPORU'!$C$2:$I$1000, 4, 0))), 0)</f>
        <v>0</v>
      </c>
      <c r="U7751" s="22">
        <f t="shared" si="484"/>
        <v>0</v>
      </c>
      <c r="V7751">
        <f t="shared" si="485"/>
        <v>0</v>
      </c>
      <c r="W7751" s="22">
        <f t="shared" si="486"/>
        <v>0</v>
      </c>
    </row>
    <row r="7752" spans="1:23" hidden="1" x14ac:dyDescent="0.25">
      <c r="A7752" s="3">
        <v>46190</v>
      </c>
      <c r="B7752" s="46" t="s">
        <v>334</v>
      </c>
      <c r="C7752" s="4" t="s">
        <v>461</v>
      </c>
      <c r="D7752" s="4"/>
      <c r="E7752" s="4" t="s">
        <v>921</v>
      </c>
      <c r="F7752" s="4" t="s">
        <v>3690</v>
      </c>
      <c r="G7752" s="4" t="s">
        <v>336</v>
      </c>
      <c r="H7752" s="4" t="s">
        <v>380</v>
      </c>
      <c r="I7752" s="4">
        <v>1</v>
      </c>
      <c r="J7752" s="21">
        <v>100</v>
      </c>
      <c r="K7752" s="21">
        <v>100</v>
      </c>
      <c r="L7752" s="5">
        <v>0</v>
      </c>
      <c r="M7752" s="4"/>
      <c r="N7752" s="4"/>
      <c r="O7752" s="5"/>
      <c r="P7752" s="5"/>
      <c r="Q7752" s="21">
        <v>0</v>
      </c>
      <c r="R7752" s="21">
        <v>0</v>
      </c>
      <c r="S7752" s="5">
        <f t="shared" si="487"/>
        <v>50274.43481930752</v>
      </c>
      <c r="T7752" cm="1">
        <f t="array" ref="T7752">IF(OR(B7752="MAL ALIMI", B7752="ÜRETİM GİRİŞ"), MIN(I7752, MAX(0, I7752 + SUM(SUMIFS($I$1:I7751, $C$1:C7751, C7752, $B$1:B7751, {"MAL ALIMI","ÜRETİM GİRİŞ"})) - VLOOKUP(C7752, 'STOK RAPORU'!$C$2:$I$1000, 4, 0))), 0)</f>
        <v>0</v>
      </c>
      <c r="U7752" s="22">
        <f t="shared" si="484"/>
        <v>0</v>
      </c>
      <c r="V7752">
        <f t="shared" si="485"/>
        <v>0</v>
      </c>
      <c r="W7752" s="22">
        <f t="shared" si="486"/>
        <v>0</v>
      </c>
    </row>
    <row r="7753" spans="1:23" hidden="1" x14ac:dyDescent="0.25">
      <c r="A7753" s="3">
        <v>46190</v>
      </c>
      <c r="B7753" s="46" t="s">
        <v>334</v>
      </c>
      <c r="C7753" s="4" t="s">
        <v>460</v>
      </c>
      <c r="D7753" s="4"/>
      <c r="E7753" s="4" t="s">
        <v>921</v>
      </c>
      <c r="F7753" s="4" t="s">
        <v>3690</v>
      </c>
      <c r="G7753" s="4" t="s">
        <v>336</v>
      </c>
      <c r="H7753" s="4" t="s">
        <v>380</v>
      </c>
      <c r="I7753" s="4">
        <v>1</v>
      </c>
      <c r="J7753" s="21">
        <v>15</v>
      </c>
      <c r="K7753" s="21">
        <v>15</v>
      </c>
      <c r="L7753" s="5">
        <v>0</v>
      </c>
      <c r="M7753" s="4"/>
      <c r="N7753" s="4"/>
      <c r="O7753" s="5"/>
      <c r="P7753" s="5"/>
      <c r="Q7753" s="21">
        <v>0</v>
      </c>
      <c r="R7753" s="21">
        <v>0</v>
      </c>
      <c r="S7753" s="5">
        <f t="shared" si="487"/>
        <v>50274.43481930752</v>
      </c>
      <c r="T7753" cm="1">
        <f t="array" ref="T7753">IF(OR(B7753="MAL ALIMI", B7753="ÜRETİM GİRİŞ"), MIN(I7753, MAX(0, I7753 + SUM(SUMIFS($I$1:I7752, $C$1:C7752, C7753, $B$1:B7752, {"MAL ALIMI","ÜRETİM GİRİŞ"})) - VLOOKUP(C7753, 'STOK RAPORU'!$C$2:$I$1000, 4, 0))), 0)</f>
        <v>0</v>
      </c>
      <c r="U7753" s="22">
        <f t="shared" si="484"/>
        <v>0</v>
      </c>
      <c r="V7753">
        <f t="shared" si="485"/>
        <v>0</v>
      </c>
      <c r="W7753" s="22">
        <f t="shared" si="486"/>
        <v>0</v>
      </c>
    </row>
    <row r="7754" spans="1:23" hidden="1" x14ac:dyDescent="0.25">
      <c r="A7754" s="3">
        <v>46190</v>
      </c>
      <c r="B7754" s="46" t="s">
        <v>334</v>
      </c>
      <c r="C7754" s="4" t="s">
        <v>2282</v>
      </c>
      <c r="D7754" s="4"/>
      <c r="E7754" s="4" t="s">
        <v>921</v>
      </c>
      <c r="F7754" s="4" t="s">
        <v>3691</v>
      </c>
      <c r="G7754" s="4" t="s">
        <v>336</v>
      </c>
      <c r="H7754" s="4" t="s">
        <v>380</v>
      </c>
      <c r="I7754" s="4">
        <v>0.19600000000000001</v>
      </c>
      <c r="J7754" s="21">
        <v>2900</v>
      </c>
      <c r="K7754" s="21">
        <v>568.4</v>
      </c>
      <c r="L7754" s="5">
        <v>0</v>
      </c>
      <c r="M7754" s="4"/>
      <c r="N7754" s="4"/>
      <c r="O7754" s="5"/>
      <c r="P7754" s="5"/>
      <c r="Q7754" s="21">
        <v>0</v>
      </c>
      <c r="R7754" s="21">
        <v>0</v>
      </c>
      <c r="S7754" s="5">
        <f t="shared" si="487"/>
        <v>50274.43481930752</v>
      </c>
      <c r="T7754" cm="1">
        <f t="array" ref="T7754">IF(OR(B7754="MAL ALIMI", B7754="ÜRETİM GİRİŞ"), MIN(I7754, MAX(0, I7754 + SUM(SUMIFS($I$1:I7753, $C$1:C7753, C7754, $B$1:B7753, {"MAL ALIMI","ÜRETİM GİRİŞ"})) - VLOOKUP(C7754, 'STOK RAPORU'!$C$2:$I$1000, 4, 0))), 0)</f>
        <v>0</v>
      </c>
      <c r="U7754" s="22">
        <f t="shared" si="484"/>
        <v>0</v>
      </c>
      <c r="V7754">
        <f t="shared" si="485"/>
        <v>0</v>
      </c>
      <c r="W7754" s="22">
        <f t="shared" si="486"/>
        <v>0</v>
      </c>
    </row>
    <row r="7755" spans="1:23" hidden="1" x14ac:dyDescent="0.25">
      <c r="A7755" s="3">
        <v>46190</v>
      </c>
      <c r="B7755" s="46" t="s">
        <v>334</v>
      </c>
      <c r="C7755" s="4" t="s">
        <v>1366</v>
      </c>
      <c r="D7755" s="4"/>
      <c r="E7755" s="4" t="s">
        <v>921</v>
      </c>
      <c r="F7755" s="4" t="s">
        <v>3691</v>
      </c>
      <c r="G7755" s="4" t="s">
        <v>336</v>
      </c>
      <c r="H7755" s="4" t="s">
        <v>380</v>
      </c>
      <c r="I7755" s="4">
        <v>1</v>
      </c>
      <c r="J7755" s="21">
        <v>195</v>
      </c>
      <c r="K7755" s="21">
        <v>195</v>
      </c>
      <c r="L7755" s="5">
        <v>0</v>
      </c>
      <c r="M7755" s="4"/>
      <c r="N7755" s="4"/>
      <c r="O7755" s="5"/>
      <c r="P7755" s="5"/>
      <c r="Q7755" s="21">
        <v>0</v>
      </c>
      <c r="R7755" s="21">
        <v>0</v>
      </c>
      <c r="S7755" s="5">
        <f t="shared" si="487"/>
        <v>50274.43481930752</v>
      </c>
      <c r="T7755" cm="1">
        <f t="array" ref="T7755">IF(OR(B7755="MAL ALIMI", B7755="ÜRETİM GİRİŞ"), MIN(I7755, MAX(0, I7755 + SUM(SUMIFS($I$1:I7754, $C$1:C7754, C7755, $B$1:B7754, {"MAL ALIMI","ÜRETİM GİRİŞ"})) - VLOOKUP(C7755, 'STOK RAPORU'!$C$2:$I$1000, 4, 0))), 0)</f>
        <v>0</v>
      </c>
      <c r="U7755" s="22">
        <f t="shared" si="484"/>
        <v>0</v>
      </c>
      <c r="V7755">
        <f t="shared" si="485"/>
        <v>0</v>
      </c>
      <c r="W7755" s="22">
        <f t="shared" si="486"/>
        <v>0</v>
      </c>
    </row>
    <row r="7756" spans="1:23" hidden="1" x14ac:dyDescent="0.25">
      <c r="A7756" s="3">
        <v>46190</v>
      </c>
      <c r="B7756" s="46" t="s">
        <v>334</v>
      </c>
      <c r="C7756" s="4" t="s">
        <v>1365</v>
      </c>
      <c r="D7756" s="4"/>
      <c r="E7756" s="4" t="s">
        <v>921</v>
      </c>
      <c r="F7756" s="4" t="s">
        <v>3691</v>
      </c>
      <c r="G7756" s="4" t="s">
        <v>336</v>
      </c>
      <c r="H7756" s="4" t="s">
        <v>380</v>
      </c>
      <c r="I7756" s="4">
        <v>1</v>
      </c>
      <c r="J7756" s="21">
        <v>150</v>
      </c>
      <c r="K7756" s="21">
        <v>150</v>
      </c>
      <c r="L7756" s="5">
        <v>0</v>
      </c>
      <c r="M7756" s="4"/>
      <c r="N7756" s="4"/>
      <c r="O7756" s="5"/>
      <c r="P7756" s="5"/>
      <c r="Q7756" s="21">
        <v>0</v>
      </c>
      <c r="R7756" s="21">
        <v>0</v>
      </c>
      <c r="S7756" s="5">
        <f t="shared" si="487"/>
        <v>50274.43481930752</v>
      </c>
      <c r="T7756" cm="1">
        <f t="array" ref="T7756">IF(OR(B7756="MAL ALIMI", B7756="ÜRETİM GİRİŞ"), MIN(I7756, MAX(0, I7756 + SUM(SUMIFS($I$1:I7755, $C$1:C7755, C7756, $B$1:B7755, {"MAL ALIMI","ÜRETİM GİRİŞ"})) - VLOOKUP(C7756, 'STOK RAPORU'!$C$2:$I$1000, 4, 0))), 0)</f>
        <v>0</v>
      </c>
      <c r="U7756" s="22">
        <f t="shared" si="484"/>
        <v>0</v>
      </c>
      <c r="V7756">
        <f t="shared" si="485"/>
        <v>0</v>
      </c>
      <c r="W7756" s="22">
        <f t="shared" si="486"/>
        <v>0</v>
      </c>
    </row>
    <row r="7757" spans="1:23" hidden="1" x14ac:dyDescent="0.25">
      <c r="A7757" s="3">
        <v>46190</v>
      </c>
      <c r="B7757" s="46" t="s">
        <v>334</v>
      </c>
      <c r="C7757" s="4" t="s">
        <v>226</v>
      </c>
      <c r="D7757" s="4"/>
      <c r="E7757" s="4" t="s">
        <v>921</v>
      </c>
      <c r="F7757" s="4" t="s">
        <v>3691</v>
      </c>
      <c r="G7757" s="4" t="s">
        <v>336</v>
      </c>
      <c r="H7757" s="4" t="s">
        <v>380</v>
      </c>
      <c r="I7757" s="4">
        <v>0.22800000000000001</v>
      </c>
      <c r="J7757" s="21">
        <v>220</v>
      </c>
      <c r="K7757" s="21">
        <v>50.160000000000004</v>
      </c>
      <c r="L7757" s="5">
        <v>0</v>
      </c>
      <c r="M7757" s="4"/>
      <c r="N7757" s="4"/>
      <c r="O7757" s="5"/>
      <c r="P7757" s="5"/>
      <c r="Q7757" s="21">
        <v>0</v>
      </c>
      <c r="R7757" s="21">
        <v>0</v>
      </c>
      <c r="S7757" s="5">
        <f t="shared" si="487"/>
        <v>50274.43481930752</v>
      </c>
      <c r="T7757" cm="1">
        <f t="array" ref="T7757">IF(OR(B7757="MAL ALIMI", B7757="ÜRETİM GİRİŞ"), MIN(I7757, MAX(0, I7757 + SUM(SUMIFS($I$1:I7756, $C$1:C7756, C7757, $B$1:B7756, {"MAL ALIMI","ÜRETİM GİRİŞ"})) - VLOOKUP(C7757, 'STOK RAPORU'!$C$2:$I$1000, 4, 0))), 0)</f>
        <v>0</v>
      </c>
      <c r="U7757" s="22">
        <f t="shared" si="484"/>
        <v>0</v>
      </c>
      <c r="V7757">
        <f t="shared" si="485"/>
        <v>0</v>
      </c>
      <c r="W7757" s="22">
        <f t="shared" si="486"/>
        <v>0</v>
      </c>
    </row>
    <row r="7758" spans="1:23" hidden="1" x14ac:dyDescent="0.25">
      <c r="A7758" s="3">
        <v>46190</v>
      </c>
      <c r="B7758" s="46" t="s">
        <v>334</v>
      </c>
      <c r="C7758" s="4" t="s">
        <v>647</v>
      </c>
      <c r="D7758" s="4"/>
      <c r="E7758" s="4" t="s">
        <v>921</v>
      </c>
      <c r="F7758" s="4" t="s">
        <v>3691</v>
      </c>
      <c r="G7758" s="4" t="s">
        <v>336</v>
      </c>
      <c r="H7758" s="4" t="s">
        <v>380</v>
      </c>
      <c r="I7758" s="4">
        <v>0.2</v>
      </c>
      <c r="J7758" s="21">
        <v>375</v>
      </c>
      <c r="K7758" s="21">
        <v>75</v>
      </c>
      <c r="L7758" s="5">
        <v>0</v>
      </c>
      <c r="M7758" s="4"/>
      <c r="N7758" s="4"/>
      <c r="O7758" s="5"/>
      <c r="P7758" s="5"/>
      <c r="Q7758" s="21">
        <v>0</v>
      </c>
      <c r="R7758" s="21">
        <v>0</v>
      </c>
      <c r="S7758" s="5">
        <f t="shared" si="487"/>
        <v>50274.43481930752</v>
      </c>
      <c r="T7758" cm="1">
        <f t="array" ref="T7758">IF(OR(B7758="MAL ALIMI", B7758="ÜRETİM GİRİŞ"), MIN(I7758, MAX(0, I7758 + SUM(SUMIFS($I$1:I7757, $C$1:C7757, C7758, $B$1:B7757, {"MAL ALIMI","ÜRETİM GİRİŞ"})) - VLOOKUP(C7758, 'STOK RAPORU'!$C$2:$I$1000, 4, 0))), 0)</f>
        <v>0</v>
      </c>
      <c r="U7758" s="22">
        <f t="shared" si="484"/>
        <v>0</v>
      </c>
      <c r="V7758">
        <f t="shared" si="485"/>
        <v>0</v>
      </c>
      <c r="W7758" s="22">
        <f t="shared" si="486"/>
        <v>0</v>
      </c>
    </row>
    <row r="7759" spans="1:23" hidden="1" x14ac:dyDescent="0.25">
      <c r="A7759" s="3">
        <v>46190</v>
      </c>
      <c r="B7759" s="46" t="s">
        <v>334</v>
      </c>
      <c r="C7759" s="4" t="s">
        <v>228</v>
      </c>
      <c r="D7759" s="4"/>
      <c r="E7759" s="4" t="s">
        <v>921</v>
      </c>
      <c r="F7759" s="4" t="s">
        <v>3691</v>
      </c>
      <c r="G7759" s="4" t="s">
        <v>336</v>
      </c>
      <c r="H7759" s="4" t="s">
        <v>380</v>
      </c>
      <c r="I7759" s="4">
        <v>1</v>
      </c>
      <c r="J7759" s="21">
        <v>260</v>
      </c>
      <c r="K7759" s="21">
        <v>260</v>
      </c>
      <c r="L7759" s="5">
        <v>0</v>
      </c>
      <c r="M7759" s="4"/>
      <c r="N7759" s="4"/>
      <c r="O7759" s="5"/>
      <c r="P7759" s="5"/>
      <c r="Q7759" s="21">
        <v>0</v>
      </c>
      <c r="R7759" s="21">
        <v>0</v>
      </c>
      <c r="S7759" s="5">
        <f t="shared" si="487"/>
        <v>50274.43481930752</v>
      </c>
      <c r="T7759" cm="1">
        <f t="array" ref="T7759">IF(OR(B7759="MAL ALIMI", B7759="ÜRETİM GİRİŞ"), MIN(I7759, MAX(0, I7759 + SUM(SUMIFS($I$1:I7758, $C$1:C7758, C7759, $B$1:B7758, {"MAL ALIMI","ÜRETİM GİRİŞ"})) - VLOOKUP(C7759, 'STOK RAPORU'!$C$2:$I$1000, 4, 0))), 0)</f>
        <v>0</v>
      </c>
      <c r="U7759" s="22">
        <f t="shared" si="484"/>
        <v>0</v>
      </c>
      <c r="V7759">
        <f t="shared" si="485"/>
        <v>0</v>
      </c>
      <c r="W7759" s="22">
        <f t="shared" si="486"/>
        <v>0</v>
      </c>
    </row>
    <row r="7760" spans="1:23" hidden="1" x14ac:dyDescent="0.25">
      <c r="A7760" s="3">
        <v>46190</v>
      </c>
      <c r="B7760" s="46" t="s">
        <v>334</v>
      </c>
      <c r="C7760" s="4" t="s">
        <v>679</v>
      </c>
      <c r="D7760" s="4"/>
      <c r="E7760" s="4" t="s">
        <v>921</v>
      </c>
      <c r="F7760" s="4" t="s">
        <v>3691</v>
      </c>
      <c r="G7760" s="4" t="s">
        <v>336</v>
      </c>
      <c r="H7760" s="4" t="s">
        <v>380</v>
      </c>
      <c r="I7760" s="4">
        <v>0.5</v>
      </c>
      <c r="J7760" s="21">
        <v>400</v>
      </c>
      <c r="K7760" s="21">
        <v>200</v>
      </c>
      <c r="L7760" s="5">
        <v>0</v>
      </c>
      <c r="M7760" s="4"/>
      <c r="N7760" s="4"/>
      <c r="O7760" s="5"/>
      <c r="P7760" s="5"/>
      <c r="Q7760" s="21">
        <v>0</v>
      </c>
      <c r="R7760" s="21">
        <v>0</v>
      </c>
      <c r="S7760" s="5">
        <f t="shared" si="487"/>
        <v>50274.43481930752</v>
      </c>
      <c r="T7760" cm="1">
        <f t="array" ref="T7760">IF(OR(B7760="MAL ALIMI", B7760="ÜRETİM GİRİŞ"), MIN(I7760, MAX(0, I7760 + SUM(SUMIFS($I$1:I7759, $C$1:C7759, C7760, $B$1:B7759, {"MAL ALIMI","ÜRETİM GİRİŞ"})) - VLOOKUP(C7760, 'STOK RAPORU'!$C$2:$I$1000, 4, 0))), 0)</f>
        <v>0</v>
      </c>
      <c r="U7760" s="22">
        <f t="shared" si="484"/>
        <v>0</v>
      </c>
      <c r="V7760">
        <f t="shared" si="485"/>
        <v>0</v>
      </c>
      <c r="W7760" s="22">
        <f t="shared" si="486"/>
        <v>0</v>
      </c>
    </row>
    <row r="7761" spans="1:23" hidden="1" x14ac:dyDescent="0.25">
      <c r="A7761" s="3">
        <v>46190</v>
      </c>
      <c r="B7761" s="46" t="s">
        <v>334</v>
      </c>
      <c r="C7761" s="4" t="s">
        <v>197</v>
      </c>
      <c r="D7761" s="4"/>
      <c r="E7761" s="4" t="s">
        <v>921</v>
      </c>
      <c r="F7761" s="4" t="s">
        <v>3691</v>
      </c>
      <c r="G7761" s="4" t="s">
        <v>336</v>
      </c>
      <c r="H7761" s="4" t="s">
        <v>380</v>
      </c>
      <c r="I7761" s="4">
        <v>0.2608695652173913</v>
      </c>
      <c r="J7761" s="21">
        <v>230</v>
      </c>
      <c r="K7761" s="21">
        <v>60</v>
      </c>
      <c r="L7761" s="5">
        <v>0</v>
      </c>
      <c r="M7761" s="4"/>
      <c r="N7761" s="4"/>
      <c r="O7761" s="5"/>
      <c r="P7761" s="5"/>
      <c r="Q7761" s="21">
        <v>0</v>
      </c>
      <c r="R7761" s="21">
        <v>0</v>
      </c>
      <c r="S7761" s="5">
        <f t="shared" si="487"/>
        <v>50274.43481930752</v>
      </c>
      <c r="T7761" cm="1">
        <f t="array" ref="T7761">IF(OR(B7761="MAL ALIMI", B7761="ÜRETİM GİRİŞ"), MIN(I7761, MAX(0, I7761 + SUM(SUMIFS($I$1:I7760, $C$1:C7760, C7761, $B$1:B7760, {"MAL ALIMI","ÜRETİM GİRİŞ"})) - VLOOKUP(C7761, 'STOK RAPORU'!$C$2:$I$1000, 4, 0))), 0)</f>
        <v>0</v>
      </c>
      <c r="U7761" s="22">
        <f t="shared" si="484"/>
        <v>0</v>
      </c>
      <c r="V7761">
        <f t="shared" si="485"/>
        <v>0</v>
      </c>
      <c r="W7761" s="22">
        <f t="shared" si="486"/>
        <v>0</v>
      </c>
    </row>
    <row r="7762" spans="1:23" hidden="1" x14ac:dyDescent="0.25">
      <c r="A7762" s="3">
        <v>46190</v>
      </c>
      <c r="B7762" s="46" t="s">
        <v>334</v>
      </c>
      <c r="C7762" s="4" t="s">
        <v>530</v>
      </c>
      <c r="D7762" s="4"/>
      <c r="E7762" s="4" t="s">
        <v>921</v>
      </c>
      <c r="F7762" s="4" t="s">
        <v>3692</v>
      </c>
      <c r="G7762" s="4" t="s">
        <v>336</v>
      </c>
      <c r="H7762" s="4" t="s">
        <v>380</v>
      </c>
      <c r="I7762" s="4">
        <v>0.5</v>
      </c>
      <c r="J7762" s="21">
        <v>280</v>
      </c>
      <c r="K7762" s="21">
        <v>140</v>
      </c>
      <c r="L7762" s="5">
        <v>0</v>
      </c>
      <c r="M7762" s="4"/>
      <c r="N7762" s="4"/>
      <c r="O7762" s="5"/>
      <c r="P7762" s="5"/>
      <c r="Q7762" s="21">
        <v>0</v>
      </c>
      <c r="R7762" s="21">
        <v>0</v>
      </c>
      <c r="S7762" s="5">
        <f t="shared" si="487"/>
        <v>50274.43481930752</v>
      </c>
      <c r="T7762" cm="1">
        <f t="array" ref="T7762">IF(OR(B7762="MAL ALIMI", B7762="ÜRETİM GİRİŞ"), MIN(I7762, MAX(0, I7762 + SUM(SUMIFS($I$1:I7761, $C$1:C7761, C7762, $B$1:B7761, {"MAL ALIMI","ÜRETİM GİRİŞ"})) - VLOOKUP(C7762, 'STOK RAPORU'!$C$2:$I$1000, 4, 0))), 0)</f>
        <v>0</v>
      </c>
      <c r="U7762" s="22">
        <f t="shared" si="484"/>
        <v>0</v>
      </c>
      <c r="V7762">
        <f t="shared" si="485"/>
        <v>0</v>
      </c>
      <c r="W7762" s="22">
        <f t="shared" si="486"/>
        <v>0</v>
      </c>
    </row>
    <row r="7763" spans="1:23" hidden="1" x14ac:dyDescent="0.25">
      <c r="A7763" s="3">
        <v>46190</v>
      </c>
      <c r="B7763" s="46" t="s">
        <v>334</v>
      </c>
      <c r="C7763" s="4" t="s">
        <v>1024</v>
      </c>
      <c r="D7763" s="4"/>
      <c r="E7763" s="4" t="s">
        <v>921</v>
      </c>
      <c r="F7763" s="4" t="s">
        <v>3693</v>
      </c>
      <c r="G7763" s="4" t="s">
        <v>336</v>
      </c>
      <c r="H7763" s="4" t="s">
        <v>380</v>
      </c>
      <c r="I7763" s="4">
        <v>1.5384615384615385</v>
      </c>
      <c r="J7763" s="21">
        <v>65</v>
      </c>
      <c r="K7763" s="21">
        <v>100</v>
      </c>
      <c r="L7763" s="5">
        <v>0</v>
      </c>
      <c r="M7763" s="4"/>
      <c r="N7763" s="4"/>
      <c r="O7763" s="5"/>
      <c r="P7763" s="5"/>
      <c r="Q7763" s="21">
        <v>0</v>
      </c>
      <c r="R7763" s="21">
        <v>0</v>
      </c>
      <c r="S7763" s="5">
        <f t="shared" si="487"/>
        <v>50274.43481930752</v>
      </c>
      <c r="T7763" cm="1">
        <f t="array" ref="T7763">IF(OR(B7763="MAL ALIMI", B7763="ÜRETİM GİRİŞ"), MIN(I7763, MAX(0, I7763 + SUM(SUMIFS($I$1:I7762, $C$1:C7762, C7763, $B$1:B7762, {"MAL ALIMI","ÜRETİM GİRİŞ"})) - VLOOKUP(C7763, 'STOK RAPORU'!$C$2:$I$1000, 4, 0))), 0)</f>
        <v>0</v>
      </c>
      <c r="U7763" s="22">
        <f t="shared" si="484"/>
        <v>0</v>
      </c>
      <c r="V7763">
        <f t="shared" si="485"/>
        <v>0</v>
      </c>
      <c r="W7763" s="22">
        <f t="shared" si="486"/>
        <v>0</v>
      </c>
    </row>
    <row r="7764" spans="1:23" hidden="1" x14ac:dyDescent="0.25">
      <c r="A7764" s="3">
        <v>46190</v>
      </c>
      <c r="B7764" s="46" t="s">
        <v>334</v>
      </c>
      <c r="C7764" s="4" t="s">
        <v>691</v>
      </c>
      <c r="D7764" s="4"/>
      <c r="E7764" s="4" t="s">
        <v>921</v>
      </c>
      <c r="F7764" s="4" t="s">
        <v>3693</v>
      </c>
      <c r="G7764" s="4" t="s">
        <v>336</v>
      </c>
      <c r="H7764" s="4" t="s">
        <v>380</v>
      </c>
      <c r="I7764" s="4">
        <v>0.3</v>
      </c>
      <c r="J7764" s="21">
        <v>250</v>
      </c>
      <c r="K7764" s="21">
        <v>75</v>
      </c>
      <c r="L7764" s="5">
        <v>0</v>
      </c>
      <c r="M7764" s="4"/>
      <c r="N7764" s="4"/>
      <c r="O7764" s="5"/>
      <c r="P7764" s="5"/>
      <c r="Q7764" s="21">
        <v>0</v>
      </c>
      <c r="R7764" s="21">
        <v>0</v>
      </c>
      <c r="S7764" s="5">
        <f t="shared" si="487"/>
        <v>50274.43481930752</v>
      </c>
      <c r="T7764" cm="1">
        <f t="array" ref="T7764">IF(OR(B7764="MAL ALIMI", B7764="ÜRETİM GİRİŞ"), MIN(I7764, MAX(0, I7764 + SUM(SUMIFS($I$1:I7763, $C$1:C7763, C7764, $B$1:B7763, {"MAL ALIMI","ÜRETİM GİRİŞ"})) - VLOOKUP(C7764, 'STOK RAPORU'!$C$2:$I$1000, 4, 0))), 0)</f>
        <v>0</v>
      </c>
      <c r="U7764" s="22">
        <f t="shared" si="484"/>
        <v>0</v>
      </c>
      <c r="V7764">
        <f t="shared" si="485"/>
        <v>0</v>
      </c>
      <c r="W7764" s="22">
        <f t="shared" si="486"/>
        <v>0</v>
      </c>
    </row>
    <row r="7765" spans="1:23" hidden="1" x14ac:dyDescent="0.25">
      <c r="A7765" s="3">
        <v>46190</v>
      </c>
      <c r="B7765" s="46" t="s">
        <v>334</v>
      </c>
      <c r="C7765" s="4" t="s">
        <v>60</v>
      </c>
      <c r="D7765" s="4"/>
      <c r="E7765" s="4"/>
      <c r="F7765" s="4" t="s">
        <v>3694</v>
      </c>
      <c r="G7765" s="4" t="s">
        <v>336</v>
      </c>
      <c r="H7765" s="4" t="s">
        <v>289</v>
      </c>
      <c r="I7765" s="4">
        <v>0.05</v>
      </c>
      <c r="J7765" s="21">
        <v>1200</v>
      </c>
      <c r="K7765" s="21">
        <v>0</v>
      </c>
      <c r="L7765" s="5">
        <v>0</v>
      </c>
      <c r="M7765" s="4"/>
      <c r="N7765" s="4"/>
      <c r="O7765" s="5"/>
      <c r="P7765" s="5"/>
      <c r="Q7765" s="21">
        <v>60</v>
      </c>
      <c r="R7765" s="21">
        <v>0</v>
      </c>
      <c r="S7765" s="5">
        <f t="shared" si="487"/>
        <v>50334.43481930752</v>
      </c>
      <c r="T7765" cm="1">
        <f t="array" ref="T7765">IF(OR(B7765="MAL ALIMI", B7765="ÜRETİM GİRİŞ"), MIN(I7765, MAX(0, I7765 + SUM(SUMIFS($I$1:I7764, $C$1:C7764, C7765, $B$1:B7764, {"MAL ALIMI","ÜRETİM GİRİŞ"})) - VLOOKUP(C7765, 'STOK RAPORU'!$C$2:$I$1000, 4, 0))), 0)</f>
        <v>0</v>
      </c>
      <c r="U7765" s="22">
        <f t="shared" si="484"/>
        <v>0</v>
      </c>
      <c r="V7765">
        <f t="shared" si="485"/>
        <v>0</v>
      </c>
      <c r="W7765" s="22">
        <f t="shared" si="486"/>
        <v>0</v>
      </c>
    </row>
    <row r="7766" spans="1:23" hidden="1" x14ac:dyDescent="0.25">
      <c r="A7766" s="3">
        <v>46190</v>
      </c>
      <c r="B7766" s="46" t="s">
        <v>334</v>
      </c>
      <c r="C7766" s="4" t="s">
        <v>822</v>
      </c>
      <c r="D7766" s="4"/>
      <c r="E7766" s="4"/>
      <c r="F7766" s="4" t="s">
        <v>3694</v>
      </c>
      <c r="G7766" s="4" t="s">
        <v>336</v>
      </c>
      <c r="H7766" s="4" t="s">
        <v>289</v>
      </c>
      <c r="I7766" s="4">
        <v>1</v>
      </c>
      <c r="J7766" s="21">
        <v>170</v>
      </c>
      <c r="K7766" s="21">
        <v>0</v>
      </c>
      <c r="L7766" s="5">
        <v>0</v>
      </c>
      <c r="M7766" s="4"/>
      <c r="N7766" s="4"/>
      <c r="O7766" s="5"/>
      <c r="P7766" s="5"/>
      <c r="Q7766" s="21">
        <v>170</v>
      </c>
      <c r="R7766" s="21">
        <v>0</v>
      </c>
      <c r="S7766" s="5">
        <f t="shared" si="487"/>
        <v>50504.43481930752</v>
      </c>
      <c r="T7766" cm="1">
        <f t="array" ref="T7766">IF(OR(B7766="MAL ALIMI", B7766="ÜRETİM GİRİŞ"), MIN(I7766, MAX(0, I7766 + SUM(SUMIFS($I$1:I7765, $C$1:C7765, C7766, $B$1:B7765, {"MAL ALIMI","ÜRETİM GİRİŞ"})) - VLOOKUP(C7766, 'STOK RAPORU'!$C$2:$I$1000, 4, 0))), 0)</f>
        <v>0</v>
      </c>
      <c r="U7766" s="22">
        <f t="shared" si="484"/>
        <v>0</v>
      </c>
      <c r="V7766">
        <f t="shared" si="485"/>
        <v>0</v>
      </c>
      <c r="W7766" s="22">
        <f t="shared" si="486"/>
        <v>0</v>
      </c>
    </row>
    <row r="7767" spans="1:23" hidden="1" x14ac:dyDescent="0.25">
      <c r="A7767" s="3">
        <v>46190</v>
      </c>
      <c r="B7767" s="46" t="s">
        <v>334</v>
      </c>
      <c r="C7767" s="4" t="s">
        <v>3158</v>
      </c>
      <c r="D7767" s="4"/>
      <c r="E7767" s="4"/>
      <c r="F7767" s="4" t="s">
        <v>3695</v>
      </c>
      <c r="G7767" s="4" t="s">
        <v>336</v>
      </c>
      <c r="H7767" s="4" t="s">
        <v>380</v>
      </c>
      <c r="I7767" s="4">
        <v>1</v>
      </c>
      <c r="J7767" s="21">
        <v>200</v>
      </c>
      <c r="K7767" s="21">
        <v>200</v>
      </c>
      <c r="L7767" s="5">
        <v>0</v>
      </c>
      <c r="M7767" s="4"/>
      <c r="N7767" s="4"/>
      <c r="O7767" s="5"/>
      <c r="P7767" s="5"/>
      <c r="Q7767" s="21">
        <v>0</v>
      </c>
      <c r="R7767" s="21">
        <v>0</v>
      </c>
      <c r="S7767" s="5">
        <f t="shared" si="487"/>
        <v>50504.43481930752</v>
      </c>
      <c r="T7767" cm="1">
        <f t="array" ref="T7767">IF(OR(B7767="MAL ALIMI", B7767="ÜRETİM GİRİŞ"), MIN(I7767, MAX(0, I7767 + SUM(SUMIFS($I$1:I7766, $C$1:C7766, C7767, $B$1:B7766, {"MAL ALIMI","ÜRETİM GİRİŞ"})) - VLOOKUP(C7767, 'STOK RAPORU'!$C$2:$I$1000, 4, 0))), 0)</f>
        <v>0</v>
      </c>
      <c r="U7767" s="22">
        <f t="shared" si="484"/>
        <v>0</v>
      </c>
      <c r="V7767">
        <f t="shared" si="485"/>
        <v>0</v>
      </c>
      <c r="W7767" s="22">
        <f t="shared" si="486"/>
        <v>0</v>
      </c>
    </row>
    <row r="7768" spans="1:23" hidden="1" x14ac:dyDescent="0.25">
      <c r="A7768" s="3">
        <v>46190</v>
      </c>
      <c r="B7768" s="46" t="s">
        <v>334</v>
      </c>
      <c r="C7768" s="4" t="s">
        <v>822</v>
      </c>
      <c r="D7768" s="4"/>
      <c r="E7768" s="4" t="s">
        <v>921</v>
      </c>
      <c r="F7768" s="4" t="s">
        <v>3695</v>
      </c>
      <c r="G7768" s="4" t="s">
        <v>336</v>
      </c>
      <c r="H7768" s="4" t="s">
        <v>380</v>
      </c>
      <c r="I7768" s="4">
        <v>1</v>
      </c>
      <c r="J7768" s="21">
        <v>170</v>
      </c>
      <c r="K7768" s="21">
        <v>170</v>
      </c>
      <c r="L7768" s="5">
        <v>0</v>
      </c>
      <c r="M7768" s="4"/>
      <c r="N7768" s="4"/>
      <c r="O7768" s="5"/>
      <c r="P7768" s="5"/>
      <c r="Q7768" s="21">
        <v>0</v>
      </c>
      <c r="R7768" s="21">
        <v>0</v>
      </c>
      <c r="S7768" s="5">
        <f t="shared" si="487"/>
        <v>50504.43481930752</v>
      </c>
      <c r="T7768" cm="1">
        <f t="array" ref="T7768">IF(OR(B7768="MAL ALIMI", B7768="ÜRETİM GİRİŞ"), MIN(I7768, MAX(0, I7768 + SUM(SUMIFS($I$1:I7767, $C$1:C7767, C7768, $B$1:B7767, {"MAL ALIMI","ÜRETİM GİRİŞ"})) - VLOOKUP(C7768, 'STOK RAPORU'!$C$2:$I$1000, 4, 0))), 0)</f>
        <v>0</v>
      </c>
      <c r="U7768" s="22">
        <f t="shared" si="484"/>
        <v>0</v>
      </c>
      <c r="V7768">
        <f t="shared" si="485"/>
        <v>0</v>
      </c>
      <c r="W7768" s="22">
        <f t="shared" si="486"/>
        <v>0</v>
      </c>
    </row>
    <row r="7769" spans="1:23" hidden="1" x14ac:dyDescent="0.25">
      <c r="A7769" s="3">
        <v>46190</v>
      </c>
      <c r="B7769" s="46" t="s">
        <v>334</v>
      </c>
      <c r="C7769" s="4" t="s">
        <v>1144</v>
      </c>
      <c r="D7769" s="4"/>
      <c r="E7769" s="4"/>
      <c r="F7769" s="4" t="s">
        <v>3695</v>
      </c>
      <c r="G7769" s="4" t="s">
        <v>336</v>
      </c>
      <c r="H7769" s="4" t="s">
        <v>380</v>
      </c>
      <c r="I7769" s="4">
        <v>1</v>
      </c>
      <c r="J7769" s="21">
        <v>130</v>
      </c>
      <c r="K7769" s="21">
        <v>130</v>
      </c>
      <c r="L7769" s="5">
        <v>0</v>
      </c>
      <c r="M7769" s="4"/>
      <c r="N7769" s="4"/>
      <c r="O7769" s="5"/>
      <c r="P7769" s="5"/>
      <c r="Q7769" s="21">
        <v>0</v>
      </c>
      <c r="R7769" s="21">
        <v>0</v>
      </c>
      <c r="S7769" s="5">
        <f t="shared" si="487"/>
        <v>50504.43481930752</v>
      </c>
      <c r="T7769" cm="1">
        <f t="array" ref="T7769">IF(OR(B7769="MAL ALIMI", B7769="ÜRETİM GİRİŞ"), MIN(I7769, MAX(0, I7769 + SUM(SUMIFS($I$1:I7768, $C$1:C7768, C7769, $B$1:B7768, {"MAL ALIMI","ÜRETİM GİRİŞ"})) - VLOOKUP(C7769, 'STOK RAPORU'!$C$2:$I$1000, 4, 0))), 0)</f>
        <v>0</v>
      </c>
      <c r="U7769" s="22">
        <f t="shared" si="484"/>
        <v>0</v>
      </c>
      <c r="V7769">
        <f t="shared" si="485"/>
        <v>0</v>
      </c>
      <c r="W7769" s="22">
        <f t="shared" si="486"/>
        <v>0</v>
      </c>
    </row>
    <row r="7770" spans="1:23" hidden="1" x14ac:dyDescent="0.25">
      <c r="A7770" s="3">
        <v>46190</v>
      </c>
      <c r="B7770" s="46" t="s">
        <v>334</v>
      </c>
      <c r="C7770" s="4" t="s">
        <v>240</v>
      </c>
      <c r="D7770" s="4"/>
      <c r="E7770" s="4"/>
      <c r="F7770" s="4" t="s">
        <v>3695</v>
      </c>
      <c r="G7770" s="4" t="s">
        <v>336</v>
      </c>
      <c r="H7770" s="4" t="s">
        <v>380</v>
      </c>
      <c r="I7770" s="4">
        <v>2.0833333333333332E-2</v>
      </c>
      <c r="J7770" s="21">
        <v>240</v>
      </c>
      <c r="K7770" s="21">
        <v>5</v>
      </c>
      <c r="L7770" s="5">
        <v>0</v>
      </c>
      <c r="M7770" s="4"/>
      <c r="N7770" s="4"/>
      <c r="O7770" s="5"/>
      <c r="P7770" s="5"/>
      <c r="Q7770" s="21">
        <v>0</v>
      </c>
      <c r="R7770" s="21">
        <v>0</v>
      </c>
      <c r="S7770" s="5">
        <f t="shared" si="487"/>
        <v>50504.43481930752</v>
      </c>
      <c r="T7770" cm="1">
        <f t="array" ref="T7770">IF(OR(B7770="MAL ALIMI", B7770="ÜRETİM GİRİŞ"), MIN(I7770, MAX(0, I7770 + SUM(SUMIFS($I$1:I7769, $C$1:C7769, C7770, $B$1:B7769, {"MAL ALIMI","ÜRETİM GİRİŞ"})) - VLOOKUP(C7770, 'STOK RAPORU'!$C$2:$I$1000, 4, 0))), 0)</f>
        <v>0</v>
      </c>
      <c r="U7770" s="22">
        <f t="shared" si="484"/>
        <v>0</v>
      </c>
      <c r="V7770">
        <f t="shared" si="485"/>
        <v>0</v>
      </c>
      <c r="W7770" s="22">
        <f t="shared" si="486"/>
        <v>0</v>
      </c>
    </row>
    <row r="7771" spans="1:23" hidden="1" x14ac:dyDescent="0.25">
      <c r="A7771" s="3">
        <v>46190</v>
      </c>
      <c r="B7771" s="4" t="s">
        <v>946</v>
      </c>
      <c r="C7771" s="4"/>
      <c r="D7771" s="4"/>
      <c r="E7771" s="4" t="s">
        <v>921</v>
      </c>
      <c r="F7771" s="4"/>
      <c r="G7771" s="4" t="s">
        <v>946</v>
      </c>
      <c r="H7771" s="4" t="s">
        <v>380</v>
      </c>
      <c r="I7771" s="4">
        <v>1</v>
      </c>
      <c r="J7771" s="21">
        <v>262</v>
      </c>
      <c r="K7771" s="21">
        <v>0</v>
      </c>
      <c r="L7771" s="115">
        <v>262</v>
      </c>
      <c r="M7771" s="4"/>
      <c r="N7771" s="4"/>
      <c r="O7771" s="5"/>
      <c r="P7771" s="5"/>
      <c r="Q7771" s="21">
        <v>262</v>
      </c>
      <c r="R7771" s="21">
        <v>0</v>
      </c>
      <c r="S7771" s="5">
        <f t="shared" si="487"/>
        <v>50766.43481930752</v>
      </c>
      <c r="T7771" cm="1">
        <f t="array" ref="T7771">IF(OR(B7771="MAL ALIMI", B7771="ÜRETİM GİRİŞ"), MIN(I7771, MAX(0, I7771 + SUM(SUMIFS($I$1:I7770, $C$1:C7770, C7771, $B$1:B7770, {"MAL ALIMI","ÜRETİM GİRİŞ"})) - VLOOKUP(C7771, 'STOK RAPORU'!$C$2:$I$1000, 4, 0))), 0)</f>
        <v>0</v>
      </c>
      <c r="U7771" s="22">
        <f t="shared" si="484"/>
        <v>0</v>
      </c>
      <c r="V7771">
        <f t="shared" si="485"/>
        <v>0</v>
      </c>
      <c r="W7771" s="22">
        <f t="shared" si="486"/>
        <v>0</v>
      </c>
    </row>
    <row r="7772" spans="1:23" hidden="1" x14ac:dyDescent="0.25">
      <c r="A7772" s="3">
        <v>46191</v>
      </c>
      <c r="B7772" s="46" t="s">
        <v>334</v>
      </c>
      <c r="C7772" s="4" t="s">
        <v>89</v>
      </c>
      <c r="D7772" s="4"/>
      <c r="E7772" s="4" t="s">
        <v>921</v>
      </c>
      <c r="F7772" s="4" t="s">
        <v>3696</v>
      </c>
      <c r="G7772" s="4" t="s">
        <v>336</v>
      </c>
      <c r="H7772" s="4" t="s">
        <v>380</v>
      </c>
      <c r="I7772" s="4">
        <v>0.7142857142857143</v>
      </c>
      <c r="J7772" s="21">
        <v>700</v>
      </c>
      <c r="K7772" s="21">
        <v>500</v>
      </c>
      <c r="L7772" s="5">
        <v>0</v>
      </c>
      <c r="M7772" s="4"/>
      <c r="N7772" s="4"/>
      <c r="O7772" s="5"/>
      <c r="P7772" s="5"/>
      <c r="Q7772" s="21">
        <v>0</v>
      </c>
      <c r="R7772" s="21">
        <v>0</v>
      </c>
      <c r="S7772" s="5">
        <f t="shared" si="487"/>
        <v>50766.43481930752</v>
      </c>
      <c r="T7772" cm="1">
        <f t="array" ref="T7772">IF(OR(B7772="MAL ALIMI", B7772="ÜRETİM GİRİŞ"), MIN(I7772, MAX(0, I7772 + SUM(SUMIFS($I$1:I7771, $C$1:C7771, C7772, $B$1:B7771, {"MAL ALIMI","ÜRETİM GİRİŞ"})) - VLOOKUP(C7772, 'STOK RAPORU'!$C$2:$I$1000, 4, 0))), 0)</f>
        <v>0</v>
      </c>
      <c r="U7772" s="22">
        <f t="shared" si="484"/>
        <v>0</v>
      </c>
      <c r="V7772">
        <f t="shared" si="485"/>
        <v>0</v>
      </c>
      <c r="W7772" s="22">
        <f t="shared" si="486"/>
        <v>0</v>
      </c>
    </row>
    <row r="7773" spans="1:23" hidden="1" x14ac:dyDescent="0.25">
      <c r="A7773" s="3">
        <v>46191</v>
      </c>
      <c r="B7773" s="46" t="s">
        <v>334</v>
      </c>
      <c r="C7773" s="4" t="s">
        <v>648</v>
      </c>
      <c r="D7773" s="4"/>
      <c r="E7773" s="4" t="s">
        <v>921</v>
      </c>
      <c r="F7773" s="4" t="s">
        <v>3696</v>
      </c>
      <c r="G7773" s="4" t="s">
        <v>336</v>
      </c>
      <c r="H7773" s="4" t="s">
        <v>380</v>
      </c>
      <c r="I7773" s="4">
        <v>0.15384615384615385</v>
      </c>
      <c r="J7773" s="21">
        <v>650</v>
      </c>
      <c r="K7773" s="21">
        <v>100</v>
      </c>
      <c r="L7773" s="5">
        <v>0</v>
      </c>
      <c r="M7773" s="4"/>
      <c r="N7773" s="4"/>
      <c r="O7773" s="5"/>
      <c r="P7773" s="5"/>
      <c r="Q7773" s="21">
        <v>0</v>
      </c>
      <c r="R7773" s="21">
        <v>0</v>
      </c>
      <c r="S7773" s="5">
        <f t="shared" si="487"/>
        <v>50766.43481930752</v>
      </c>
      <c r="T7773" cm="1">
        <f t="array" ref="T7773">IF(OR(B7773="MAL ALIMI", B7773="ÜRETİM GİRİŞ"), MIN(I7773, MAX(0, I7773 + SUM(SUMIFS($I$1:I7772, $C$1:C7772, C7773, $B$1:B7772, {"MAL ALIMI","ÜRETİM GİRİŞ"})) - VLOOKUP(C7773, 'STOK RAPORU'!$C$2:$I$1000, 4, 0))), 0)</f>
        <v>0</v>
      </c>
      <c r="U7773" s="22">
        <f t="shared" si="484"/>
        <v>0</v>
      </c>
      <c r="V7773">
        <f t="shared" si="485"/>
        <v>0</v>
      </c>
      <c r="W7773" s="22">
        <f t="shared" si="486"/>
        <v>0</v>
      </c>
    </row>
    <row r="7774" spans="1:23" hidden="1" x14ac:dyDescent="0.25">
      <c r="A7774" s="3">
        <v>46191</v>
      </c>
      <c r="B7774" s="46" t="s">
        <v>334</v>
      </c>
      <c r="C7774" s="4" t="s">
        <v>523</v>
      </c>
      <c r="D7774" s="4"/>
      <c r="E7774" s="4"/>
      <c r="F7774" s="4" t="s">
        <v>3697</v>
      </c>
      <c r="G7774" s="4" t="s">
        <v>336</v>
      </c>
      <c r="H7774" s="4" t="s">
        <v>289</v>
      </c>
      <c r="I7774" s="4">
        <v>0.08</v>
      </c>
      <c r="J7774" s="21">
        <v>750</v>
      </c>
      <c r="K7774" s="21">
        <v>0</v>
      </c>
      <c r="L7774" s="5">
        <v>0</v>
      </c>
      <c r="M7774" s="4"/>
      <c r="N7774" s="4"/>
      <c r="O7774" s="5"/>
      <c r="P7774" s="5"/>
      <c r="Q7774" s="21">
        <v>60</v>
      </c>
      <c r="R7774" s="21">
        <v>0</v>
      </c>
      <c r="S7774" s="5">
        <f t="shared" si="487"/>
        <v>50826.43481930752</v>
      </c>
      <c r="T7774" cm="1">
        <f t="array" ref="T7774">IF(OR(B7774="MAL ALIMI", B7774="ÜRETİM GİRİŞ"), MIN(I7774, MAX(0, I7774 + SUM(SUMIFS($I$1:I7773, $C$1:C7773, C7774, $B$1:B7773, {"MAL ALIMI","ÜRETİM GİRİŞ"})) - VLOOKUP(C7774, 'STOK RAPORU'!$C$2:$I$1000, 4, 0))), 0)</f>
        <v>0</v>
      </c>
      <c r="U7774" s="22">
        <f t="shared" si="484"/>
        <v>0</v>
      </c>
      <c r="V7774">
        <f t="shared" si="485"/>
        <v>0</v>
      </c>
      <c r="W7774" s="22">
        <f t="shared" si="486"/>
        <v>0</v>
      </c>
    </row>
    <row r="7775" spans="1:23" hidden="1" x14ac:dyDescent="0.25">
      <c r="A7775" s="3">
        <v>46191</v>
      </c>
      <c r="B7775" s="46" t="s">
        <v>334</v>
      </c>
      <c r="C7775" s="4" t="s">
        <v>133</v>
      </c>
      <c r="D7775" s="4"/>
      <c r="E7775" s="4"/>
      <c r="F7775" s="4" t="s">
        <v>3700</v>
      </c>
      <c r="G7775" s="4" t="s">
        <v>336</v>
      </c>
      <c r="H7775" s="4" t="s">
        <v>289</v>
      </c>
      <c r="I7775" s="4">
        <v>0.25</v>
      </c>
      <c r="J7775" s="21">
        <v>400</v>
      </c>
      <c r="K7775" s="21">
        <v>0</v>
      </c>
      <c r="L7775" s="5">
        <v>0</v>
      </c>
      <c r="M7775" s="4"/>
      <c r="N7775" s="4"/>
      <c r="O7775" s="5"/>
      <c r="P7775" s="5"/>
      <c r="Q7775" s="21">
        <v>100</v>
      </c>
      <c r="R7775" s="21">
        <v>0</v>
      </c>
      <c r="S7775" s="5">
        <f t="shared" si="487"/>
        <v>50926.43481930752</v>
      </c>
      <c r="T7775" cm="1">
        <f t="array" ref="T7775">IF(OR(B7775="MAL ALIMI", B7775="ÜRETİM GİRİŞ"), MIN(I7775, MAX(0, I7775 + SUM(SUMIFS($I$1:I7774, $C$1:C7774, C7775, $B$1:B7774, {"MAL ALIMI","ÜRETİM GİRİŞ"})) - VLOOKUP(C7775, 'STOK RAPORU'!$C$2:$I$1000, 4, 0))), 0)</f>
        <v>0</v>
      </c>
      <c r="U7775" s="22">
        <f t="shared" si="484"/>
        <v>0</v>
      </c>
      <c r="V7775">
        <f t="shared" si="485"/>
        <v>0</v>
      </c>
      <c r="W7775" s="22">
        <f t="shared" si="486"/>
        <v>0</v>
      </c>
    </row>
    <row r="7776" spans="1:23" hidden="1" x14ac:dyDescent="0.25">
      <c r="A7776" s="3">
        <v>46191</v>
      </c>
      <c r="B7776" s="46" t="s">
        <v>334</v>
      </c>
      <c r="C7776" s="4" t="s">
        <v>137</v>
      </c>
      <c r="D7776" s="4"/>
      <c r="E7776" s="4"/>
      <c r="F7776" s="4" t="s">
        <v>3701</v>
      </c>
      <c r="G7776" s="4" t="s">
        <v>336</v>
      </c>
      <c r="H7776" s="4" t="s">
        <v>289</v>
      </c>
      <c r="I7776" s="4">
        <v>0.55600000000000005</v>
      </c>
      <c r="J7776" s="21">
        <v>180</v>
      </c>
      <c r="K7776" s="21">
        <v>0</v>
      </c>
      <c r="L7776" s="5">
        <v>0</v>
      </c>
      <c r="M7776" s="4"/>
      <c r="N7776" s="4"/>
      <c r="O7776" s="5"/>
      <c r="P7776" s="5"/>
      <c r="Q7776" s="21">
        <v>100.08000000000001</v>
      </c>
      <c r="R7776" s="21">
        <v>0</v>
      </c>
      <c r="S7776" s="5">
        <f t="shared" si="487"/>
        <v>51026.514819307522</v>
      </c>
      <c r="T7776" cm="1">
        <f t="array" ref="T7776">IF(OR(B7776="MAL ALIMI", B7776="ÜRETİM GİRİŞ"), MIN(I7776, MAX(0, I7776 + SUM(SUMIFS($I$1:I7775, $C$1:C7775, C7776, $B$1:B7775, {"MAL ALIMI","ÜRETİM GİRİŞ"})) - VLOOKUP(C7776, 'STOK RAPORU'!$C$2:$I$1000, 4, 0))), 0)</f>
        <v>0</v>
      </c>
      <c r="U7776" s="22">
        <f t="shared" si="484"/>
        <v>0</v>
      </c>
      <c r="V7776">
        <f t="shared" si="485"/>
        <v>0</v>
      </c>
      <c r="W7776" s="22">
        <f t="shared" si="486"/>
        <v>0</v>
      </c>
    </row>
    <row r="7777" spans="1:23" hidden="1" x14ac:dyDescent="0.25">
      <c r="A7777" s="3">
        <v>46191</v>
      </c>
      <c r="B7777" s="46" t="s">
        <v>334</v>
      </c>
      <c r="C7777" s="4" t="s">
        <v>2117</v>
      </c>
      <c r="D7777" s="4"/>
      <c r="E7777" s="4"/>
      <c r="F7777" s="4" t="s">
        <v>3701</v>
      </c>
      <c r="G7777" s="4" t="s">
        <v>336</v>
      </c>
      <c r="H7777" s="4" t="s">
        <v>289</v>
      </c>
      <c r="I7777" s="4">
        <v>1</v>
      </c>
      <c r="J7777" s="21">
        <v>30</v>
      </c>
      <c r="K7777" s="21">
        <v>0</v>
      </c>
      <c r="L7777" s="5">
        <v>0</v>
      </c>
      <c r="M7777" s="4"/>
      <c r="N7777" s="4"/>
      <c r="O7777" s="5"/>
      <c r="P7777" s="5"/>
      <c r="Q7777" s="21">
        <v>30</v>
      </c>
      <c r="R7777" s="21">
        <v>0</v>
      </c>
      <c r="S7777" s="5">
        <f t="shared" si="487"/>
        <v>51056.514819307522</v>
      </c>
      <c r="T7777" cm="1">
        <f t="array" ref="T7777">IF(OR(B7777="MAL ALIMI", B7777="ÜRETİM GİRİŞ"), MIN(I7777, MAX(0, I7777 + SUM(SUMIFS($I$1:I7776, $C$1:C7776, C7777, $B$1:B7776, {"MAL ALIMI","ÜRETİM GİRİŞ"})) - VLOOKUP(C7777, 'STOK RAPORU'!$C$2:$I$1000, 4, 0))), 0)</f>
        <v>0</v>
      </c>
      <c r="U7777" s="22">
        <f t="shared" si="484"/>
        <v>0</v>
      </c>
      <c r="V7777">
        <f t="shared" si="485"/>
        <v>0</v>
      </c>
      <c r="W7777" s="22">
        <f t="shared" si="486"/>
        <v>0</v>
      </c>
    </row>
    <row r="7778" spans="1:23" hidden="1" x14ac:dyDescent="0.25">
      <c r="A7778" s="3">
        <v>46191</v>
      </c>
      <c r="B7778" s="46" t="s">
        <v>334</v>
      </c>
      <c r="C7778" s="4" t="s">
        <v>247</v>
      </c>
      <c r="D7778" s="4"/>
      <c r="E7778" s="4"/>
      <c r="F7778" s="4" t="s">
        <v>3702</v>
      </c>
      <c r="G7778" s="4" t="s">
        <v>336</v>
      </c>
      <c r="H7778" s="4" t="s">
        <v>289</v>
      </c>
      <c r="I7778" s="4">
        <v>0.16666666666666666</v>
      </c>
      <c r="J7778" s="21">
        <v>1200</v>
      </c>
      <c r="K7778" s="21">
        <v>0</v>
      </c>
      <c r="L7778" s="5">
        <v>0</v>
      </c>
      <c r="M7778" s="4"/>
      <c r="N7778" s="4"/>
      <c r="O7778" s="5"/>
      <c r="P7778" s="5"/>
      <c r="Q7778" s="21">
        <v>200</v>
      </c>
      <c r="R7778" s="21">
        <v>0</v>
      </c>
      <c r="S7778" s="5">
        <f t="shared" si="487"/>
        <v>51256.514819307522</v>
      </c>
      <c r="T7778" cm="1">
        <f t="array" ref="T7778">IF(OR(B7778="MAL ALIMI", B7778="ÜRETİM GİRİŞ"), MIN(I7778, MAX(0, I7778 + SUM(SUMIFS($I$1:I7777, $C$1:C7777, C7778, $B$1:B7777, {"MAL ALIMI","ÜRETİM GİRİŞ"})) - VLOOKUP(C7778, 'STOK RAPORU'!$C$2:$I$1000, 4, 0))), 0)</f>
        <v>0</v>
      </c>
      <c r="U7778" s="22">
        <f t="shared" si="484"/>
        <v>0</v>
      </c>
      <c r="V7778">
        <f t="shared" si="485"/>
        <v>0</v>
      </c>
      <c r="W7778" s="22">
        <f t="shared" si="486"/>
        <v>0</v>
      </c>
    </row>
    <row r="7779" spans="1:23" hidden="1" x14ac:dyDescent="0.25">
      <c r="A7779" s="3">
        <v>46191</v>
      </c>
      <c r="B7779" s="46" t="s">
        <v>334</v>
      </c>
      <c r="C7779" s="4" t="s">
        <v>1359</v>
      </c>
      <c r="D7779" s="4"/>
      <c r="E7779" s="4"/>
      <c r="F7779" s="4" t="s">
        <v>3702</v>
      </c>
      <c r="G7779" s="4" t="s">
        <v>336</v>
      </c>
      <c r="H7779" s="4" t="s">
        <v>289</v>
      </c>
      <c r="I7779" s="4">
        <v>0.2</v>
      </c>
      <c r="J7779" s="21">
        <v>500</v>
      </c>
      <c r="K7779" s="21">
        <v>0</v>
      </c>
      <c r="L7779" s="5">
        <v>0</v>
      </c>
      <c r="M7779" s="4"/>
      <c r="N7779" s="4"/>
      <c r="O7779" s="5"/>
      <c r="P7779" s="5"/>
      <c r="Q7779" s="21">
        <v>100</v>
      </c>
      <c r="R7779" s="21">
        <v>0</v>
      </c>
      <c r="S7779" s="5">
        <f t="shared" si="487"/>
        <v>51356.514819307522</v>
      </c>
      <c r="T7779" cm="1">
        <f t="array" ref="T7779">IF(OR(B7779="MAL ALIMI", B7779="ÜRETİM GİRİŞ"), MIN(I7779, MAX(0, I7779 + SUM(SUMIFS($I$1:I7778, $C$1:C7778, C7779, $B$1:B7778, {"MAL ALIMI","ÜRETİM GİRİŞ"})) - VLOOKUP(C7779, 'STOK RAPORU'!$C$2:$I$1000, 4, 0))), 0)</f>
        <v>0</v>
      </c>
      <c r="U7779" s="22">
        <f t="shared" si="484"/>
        <v>0</v>
      </c>
      <c r="V7779">
        <f t="shared" si="485"/>
        <v>0</v>
      </c>
      <c r="W7779" s="22">
        <f t="shared" si="486"/>
        <v>0</v>
      </c>
    </row>
    <row r="7780" spans="1:23" hidden="1" x14ac:dyDescent="0.25">
      <c r="A7780" s="3">
        <v>46191</v>
      </c>
      <c r="B7780" s="46" t="s">
        <v>334</v>
      </c>
      <c r="C7780" s="4" t="s">
        <v>266</v>
      </c>
      <c r="D7780" s="4"/>
      <c r="E7780" s="4"/>
      <c r="F7780" s="4" t="s">
        <v>3702</v>
      </c>
      <c r="G7780" s="4" t="s">
        <v>336</v>
      </c>
      <c r="H7780" s="4" t="s">
        <v>289</v>
      </c>
      <c r="I7780" s="4">
        <v>0.4</v>
      </c>
      <c r="J7780" s="21">
        <v>250</v>
      </c>
      <c r="K7780" s="21">
        <v>0</v>
      </c>
      <c r="L7780" s="5">
        <v>0</v>
      </c>
      <c r="M7780" s="4"/>
      <c r="N7780" s="4"/>
      <c r="O7780" s="5"/>
      <c r="P7780" s="5"/>
      <c r="Q7780" s="21">
        <v>100</v>
      </c>
      <c r="R7780" s="21">
        <v>0</v>
      </c>
      <c r="S7780" s="5">
        <f t="shared" si="487"/>
        <v>51456.514819307522</v>
      </c>
      <c r="T7780" cm="1">
        <f t="array" ref="T7780">IF(OR(B7780="MAL ALIMI", B7780="ÜRETİM GİRİŞ"), MIN(I7780, MAX(0, I7780 + SUM(SUMIFS($I$1:I7779, $C$1:C7779, C7780, $B$1:B7779, {"MAL ALIMI","ÜRETİM GİRİŞ"})) - VLOOKUP(C7780, 'STOK RAPORU'!$C$2:$I$1000, 4, 0))), 0)</f>
        <v>0</v>
      </c>
      <c r="U7780" s="22">
        <f t="shared" si="484"/>
        <v>0</v>
      </c>
      <c r="V7780">
        <f t="shared" si="485"/>
        <v>0</v>
      </c>
      <c r="W7780" s="22">
        <f t="shared" si="486"/>
        <v>0</v>
      </c>
    </row>
    <row r="7781" spans="1:23" hidden="1" x14ac:dyDescent="0.25">
      <c r="A7781" s="3">
        <v>46191</v>
      </c>
      <c r="B7781" s="46" t="s">
        <v>334</v>
      </c>
      <c r="C7781" s="4" t="s">
        <v>728</v>
      </c>
      <c r="D7781" s="4"/>
      <c r="E7781" s="4"/>
      <c r="F7781" s="4" t="s">
        <v>3702</v>
      </c>
      <c r="G7781" s="4" t="s">
        <v>336</v>
      </c>
      <c r="H7781" s="4" t="s">
        <v>289</v>
      </c>
      <c r="I7781" s="4">
        <v>0.15384615384615385</v>
      </c>
      <c r="J7781" s="21">
        <v>650</v>
      </c>
      <c r="K7781" s="21">
        <v>0</v>
      </c>
      <c r="L7781" s="5">
        <v>0</v>
      </c>
      <c r="M7781" s="4"/>
      <c r="N7781" s="4"/>
      <c r="O7781" s="5"/>
      <c r="P7781" s="5"/>
      <c r="Q7781" s="21">
        <v>100</v>
      </c>
      <c r="R7781" s="21">
        <v>0</v>
      </c>
      <c r="S7781" s="5">
        <f t="shared" si="487"/>
        <v>51556.514819307522</v>
      </c>
      <c r="T7781" cm="1">
        <f t="array" ref="T7781">IF(OR(B7781="MAL ALIMI", B7781="ÜRETİM GİRİŞ"), MIN(I7781, MAX(0, I7781 + SUM(SUMIFS($I$1:I7780, $C$1:C7780, C7781, $B$1:B7780, {"MAL ALIMI","ÜRETİM GİRİŞ"})) - VLOOKUP(C7781, 'STOK RAPORU'!$C$2:$I$1000, 4, 0))), 0)</f>
        <v>0</v>
      </c>
      <c r="U7781" s="22">
        <f t="shared" si="484"/>
        <v>0</v>
      </c>
      <c r="V7781">
        <f t="shared" si="485"/>
        <v>0</v>
      </c>
      <c r="W7781" s="22">
        <f t="shared" si="486"/>
        <v>0</v>
      </c>
    </row>
    <row r="7782" spans="1:23" hidden="1" x14ac:dyDescent="0.25">
      <c r="A7782" s="3">
        <v>46191</v>
      </c>
      <c r="B7782" s="46" t="s">
        <v>334</v>
      </c>
      <c r="C7782" s="4" t="s">
        <v>157</v>
      </c>
      <c r="D7782" s="4"/>
      <c r="E7782" s="4"/>
      <c r="F7782" s="4" t="s">
        <v>3703</v>
      </c>
      <c r="G7782" s="4" t="s">
        <v>336</v>
      </c>
      <c r="H7782" s="4" t="s">
        <v>289</v>
      </c>
      <c r="I7782" s="4">
        <v>1</v>
      </c>
      <c r="J7782" s="21">
        <v>200</v>
      </c>
      <c r="K7782" s="21">
        <v>0</v>
      </c>
      <c r="L7782" s="5">
        <v>0</v>
      </c>
      <c r="M7782" s="4"/>
      <c r="N7782" s="4"/>
      <c r="O7782" s="5"/>
      <c r="P7782" s="5"/>
      <c r="Q7782" s="21">
        <v>200</v>
      </c>
      <c r="R7782" s="21">
        <v>0</v>
      </c>
      <c r="S7782" s="5">
        <f t="shared" si="487"/>
        <v>51756.514819307522</v>
      </c>
      <c r="T7782" cm="1">
        <f t="array" ref="T7782">IF(OR(B7782="MAL ALIMI", B7782="ÜRETİM GİRİŞ"), MIN(I7782, MAX(0, I7782 + SUM(SUMIFS($I$1:I7781, $C$1:C7781, C7782, $B$1:B7781, {"MAL ALIMI","ÜRETİM GİRİŞ"})) - VLOOKUP(C7782, 'STOK RAPORU'!$C$2:$I$1000, 4, 0))), 0)</f>
        <v>0</v>
      </c>
      <c r="U7782" s="22">
        <f t="shared" si="484"/>
        <v>0</v>
      </c>
      <c r="V7782">
        <f t="shared" si="485"/>
        <v>0</v>
      </c>
      <c r="W7782" s="22">
        <f t="shared" si="486"/>
        <v>0</v>
      </c>
    </row>
    <row r="7783" spans="1:23" hidden="1" x14ac:dyDescent="0.25">
      <c r="A7783" s="3">
        <v>46191</v>
      </c>
      <c r="B7783" s="46" t="s">
        <v>334</v>
      </c>
      <c r="C7783" s="4" t="s">
        <v>465</v>
      </c>
      <c r="D7783" s="4"/>
      <c r="E7783" s="4"/>
      <c r="F7783" s="4" t="s">
        <v>3704</v>
      </c>
      <c r="G7783" s="4" t="s">
        <v>336</v>
      </c>
      <c r="H7783" s="4" t="s">
        <v>289</v>
      </c>
      <c r="I7783" s="4">
        <v>1</v>
      </c>
      <c r="J7783" s="21">
        <v>50</v>
      </c>
      <c r="K7783" s="21">
        <v>0</v>
      </c>
      <c r="L7783" s="5">
        <v>0</v>
      </c>
      <c r="M7783" s="4"/>
      <c r="N7783" s="4"/>
      <c r="O7783" s="5"/>
      <c r="P7783" s="5"/>
      <c r="Q7783" s="21">
        <v>50</v>
      </c>
      <c r="R7783" s="21">
        <v>0</v>
      </c>
      <c r="S7783" s="5">
        <f t="shared" si="487"/>
        <v>51806.514819307522</v>
      </c>
      <c r="T7783" cm="1">
        <f t="array" ref="T7783">IF(OR(B7783="MAL ALIMI", B7783="ÜRETİM GİRİŞ"), MIN(I7783, MAX(0, I7783 + SUM(SUMIFS($I$1:I7782, $C$1:C7782, C7783, $B$1:B7782, {"MAL ALIMI","ÜRETİM GİRİŞ"})) - VLOOKUP(C7783, 'STOK RAPORU'!$C$2:$I$1000, 4, 0))), 0)</f>
        <v>0</v>
      </c>
      <c r="U7783" s="22">
        <f t="shared" si="484"/>
        <v>0</v>
      </c>
      <c r="V7783">
        <f t="shared" si="485"/>
        <v>0</v>
      </c>
      <c r="W7783" s="22">
        <f t="shared" si="486"/>
        <v>0</v>
      </c>
    </row>
    <row r="7784" spans="1:23" hidden="1" x14ac:dyDescent="0.25">
      <c r="A7784" s="3">
        <v>46191</v>
      </c>
      <c r="B7784" s="46" t="s">
        <v>334</v>
      </c>
      <c r="C7784" s="4" t="s">
        <v>215</v>
      </c>
      <c r="D7784" s="4"/>
      <c r="E7784" s="4"/>
      <c r="F7784" s="4" t="s">
        <v>3705</v>
      </c>
      <c r="G7784" s="4" t="s">
        <v>336</v>
      </c>
      <c r="H7784" s="4" t="s">
        <v>289</v>
      </c>
      <c r="I7784" s="4">
        <v>2</v>
      </c>
      <c r="J7784" s="21">
        <v>250</v>
      </c>
      <c r="K7784" s="21">
        <v>0</v>
      </c>
      <c r="L7784" s="5">
        <v>0</v>
      </c>
      <c r="M7784" s="4"/>
      <c r="N7784" s="4"/>
      <c r="O7784" s="5"/>
      <c r="P7784" s="5"/>
      <c r="Q7784" s="21">
        <v>500</v>
      </c>
      <c r="R7784" s="21">
        <v>0</v>
      </c>
      <c r="S7784" s="5">
        <f t="shared" si="487"/>
        <v>52306.514819307522</v>
      </c>
      <c r="T7784" cm="1">
        <f t="array" ref="T7784">IF(OR(B7784="MAL ALIMI", B7784="ÜRETİM GİRİŞ"), MIN(I7784, MAX(0, I7784 + SUM(SUMIFS($I$1:I7783, $C$1:C7783, C7784, $B$1:B7783, {"MAL ALIMI","ÜRETİM GİRİŞ"})) - VLOOKUP(C7784, 'STOK RAPORU'!$C$2:$I$1000, 4, 0))), 0)</f>
        <v>0</v>
      </c>
      <c r="U7784" s="22">
        <f t="shared" si="484"/>
        <v>0</v>
      </c>
      <c r="V7784">
        <f t="shared" si="485"/>
        <v>0</v>
      </c>
      <c r="W7784" s="22">
        <f t="shared" si="486"/>
        <v>0</v>
      </c>
    </row>
    <row r="7785" spans="1:23" hidden="1" x14ac:dyDescent="0.25">
      <c r="A7785" s="3">
        <v>46191</v>
      </c>
      <c r="B7785" s="46" t="s">
        <v>334</v>
      </c>
      <c r="C7785" s="4" t="s">
        <v>240</v>
      </c>
      <c r="D7785" s="4"/>
      <c r="E7785" s="4" t="s">
        <v>921</v>
      </c>
      <c r="F7785" s="4" t="s">
        <v>3706</v>
      </c>
      <c r="G7785" s="4" t="s">
        <v>336</v>
      </c>
      <c r="H7785" s="4" t="s">
        <v>380</v>
      </c>
      <c r="I7785" s="4">
        <v>6.25E-2</v>
      </c>
      <c r="J7785" s="21">
        <v>240</v>
      </c>
      <c r="K7785" s="21">
        <v>15</v>
      </c>
      <c r="L7785" s="5">
        <v>0</v>
      </c>
      <c r="M7785" s="4"/>
      <c r="N7785" s="4"/>
      <c r="O7785" s="5"/>
      <c r="P7785" s="5"/>
      <c r="Q7785" s="21">
        <v>0</v>
      </c>
      <c r="R7785" s="21">
        <v>0</v>
      </c>
      <c r="S7785" s="5">
        <f t="shared" si="487"/>
        <v>52306.514819307522</v>
      </c>
      <c r="T7785" cm="1">
        <f t="array" ref="T7785">IF(OR(B7785="MAL ALIMI", B7785="ÜRETİM GİRİŞ"), MIN(I7785, MAX(0, I7785 + SUM(SUMIFS($I$1:I7784, $C$1:C7784, C7785, $B$1:B7784, {"MAL ALIMI","ÜRETİM GİRİŞ"})) - VLOOKUP(C7785, 'STOK RAPORU'!$C$2:$I$1000, 4, 0))), 0)</f>
        <v>0</v>
      </c>
      <c r="U7785" s="22">
        <f t="shared" si="484"/>
        <v>0</v>
      </c>
      <c r="V7785">
        <f t="shared" si="485"/>
        <v>0</v>
      </c>
      <c r="W7785" s="22">
        <f t="shared" si="486"/>
        <v>0</v>
      </c>
    </row>
    <row r="7786" spans="1:23" hidden="1" x14ac:dyDescent="0.25">
      <c r="A7786" s="3">
        <v>46191</v>
      </c>
      <c r="B7786" s="46" t="s">
        <v>334</v>
      </c>
      <c r="C7786" s="4" t="s">
        <v>1634</v>
      </c>
      <c r="D7786" s="4"/>
      <c r="E7786" s="4"/>
      <c r="F7786" s="4" t="s">
        <v>3707</v>
      </c>
      <c r="G7786" s="4" t="s">
        <v>336</v>
      </c>
      <c r="H7786" s="4" t="s">
        <v>289</v>
      </c>
      <c r="I7786" s="4">
        <v>1</v>
      </c>
      <c r="J7786" s="21">
        <v>300</v>
      </c>
      <c r="K7786" s="21">
        <v>0</v>
      </c>
      <c r="L7786" s="5">
        <v>0</v>
      </c>
      <c r="M7786" s="4"/>
      <c r="N7786" s="4"/>
      <c r="O7786" s="5"/>
      <c r="P7786" s="5"/>
      <c r="Q7786" s="21">
        <v>300</v>
      </c>
      <c r="R7786" s="21">
        <v>0</v>
      </c>
      <c r="S7786" s="5">
        <f t="shared" si="487"/>
        <v>52606.514819307522</v>
      </c>
      <c r="T7786" cm="1">
        <f t="array" ref="T7786">IF(OR(B7786="MAL ALIMI", B7786="ÜRETİM GİRİŞ"), MIN(I7786, MAX(0, I7786 + SUM(SUMIFS($I$1:I7785, $C$1:C7785, C7786, $B$1:B7785, {"MAL ALIMI","ÜRETİM GİRİŞ"})) - VLOOKUP(C7786, 'STOK RAPORU'!$C$2:$I$1000, 4, 0))), 0)</f>
        <v>0</v>
      </c>
      <c r="U7786" s="22">
        <f t="shared" si="484"/>
        <v>0</v>
      </c>
      <c r="V7786">
        <f t="shared" si="485"/>
        <v>0</v>
      </c>
      <c r="W7786" s="22">
        <f t="shared" si="486"/>
        <v>0</v>
      </c>
    </row>
    <row r="7787" spans="1:23" hidden="1" x14ac:dyDescent="0.25">
      <c r="A7787" s="3">
        <v>46191</v>
      </c>
      <c r="B7787" s="46" t="s">
        <v>334</v>
      </c>
      <c r="C7787" s="4" t="s">
        <v>158</v>
      </c>
      <c r="D7787" s="4"/>
      <c r="E7787" s="4" t="s">
        <v>921</v>
      </c>
      <c r="F7787" s="4" t="s">
        <v>3708</v>
      </c>
      <c r="G7787" s="4" t="s">
        <v>336</v>
      </c>
      <c r="H7787" s="4" t="s">
        <v>380</v>
      </c>
      <c r="I7787" s="4">
        <v>1</v>
      </c>
      <c r="J7787" s="21">
        <v>150</v>
      </c>
      <c r="K7787" s="21">
        <v>150</v>
      </c>
      <c r="L7787" s="5">
        <v>0</v>
      </c>
      <c r="M7787" s="4"/>
      <c r="N7787" s="4"/>
      <c r="O7787" s="5"/>
      <c r="P7787" s="5"/>
      <c r="Q7787" s="21">
        <v>0</v>
      </c>
      <c r="R7787" s="21">
        <v>0</v>
      </c>
      <c r="S7787" s="5">
        <f t="shared" si="487"/>
        <v>52606.514819307522</v>
      </c>
      <c r="T7787" cm="1">
        <f t="array" ref="T7787">IF(OR(B7787="MAL ALIMI", B7787="ÜRETİM GİRİŞ"), MIN(I7787, MAX(0, I7787 + SUM(SUMIFS($I$1:I7786, $C$1:C7786, C7787, $B$1:B7786, {"MAL ALIMI","ÜRETİM GİRİŞ"})) - VLOOKUP(C7787, 'STOK RAPORU'!$C$2:$I$1000, 4, 0))), 0)</f>
        <v>0</v>
      </c>
      <c r="U7787" s="22">
        <f t="shared" si="484"/>
        <v>0</v>
      </c>
      <c r="V7787">
        <f t="shared" si="485"/>
        <v>0</v>
      </c>
      <c r="W7787" s="22">
        <f t="shared" si="486"/>
        <v>0</v>
      </c>
    </row>
    <row r="7788" spans="1:23" hidden="1" x14ac:dyDescent="0.25">
      <c r="A7788" s="3">
        <v>46191</v>
      </c>
      <c r="B7788" s="46" t="s">
        <v>334</v>
      </c>
      <c r="C7788" s="4" t="s">
        <v>2562</v>
      </c>
      <c r="D7788" s="4"/>
      <c r="E7788" s="4" t="s">
        <v>921</v>
      </c>
      <c r="F7788" s="4" t="s">
        <v>3708</v>
      </c>
      <c r="G7788" s="4" t="s">
        <v>336</v>
      </c>
      <c r="H7788" s="4" t="s">
        <v>380</v>
      </c>
      <c r="I7788" s="4">
        <v>1</v>
      </c>
      <c r="J7788" s="21">
        <v>50</v>
      </c>
      <c r="K7788" s="21">
        <v>50</v>
      </c>
      <c r="L7788" s="5">
        <v>0</v>
      </c>
      <c r="M7788" s="4"/>
      <c r="N7788" s="4"/>
      <c r="O7788" s="5"/>
      <c r="P7788" s="5"/>
      <c r="Q7788" s="21">
        <v>0</v>
      </c>
      <c r="R7788" s="21">
        <v>0</v>
      </c>
      <c r="S7788" s="5">
        <f t="shared" si="487"/>
        <v>52606.514819307522</v>
      </c>
      <c r="T7788" cm="1">
        <f t="array" ref="T7788">IF(OR(B7788="MAL ALIMI", B7788="ÜRETİM GİRİŞ"), MIN(I7788, MAX(0, I7788 + SUM(SUMIFS($I$1:I7787, $C$1:C7787, C7788, $B$1:B7787, {"MAL ALIMI","ÜRETİM GİRİŞ"})) - VLOOKUP(C7788, 'STOK RAPORU'!$C$2:$I$1000, 4, 0))), 0)</f>
        <v>0</v>
      </c>
      <c r="U7788" s="22">
        <f t="shared" si="484"/>
        <v>0</v>
      </c>
      <c r="V7788">
        <f t="shared" si="485"/>
        <v>0</v>
      </c>
      <c r="W7788" s="22">
        <f t="shared" si="486"/>
        <v>0</v>
      </c>
    </row>
    <row r="7789" spans="1:23" hidden="1" x14ac:dyDescent="0.25">
      <c r="A7789" s="3">
        <v>46191</v>
      </c>
      <c r="B7789" s="46" t="s">
        <v>334</v>
      </c>
      <c r="C7789" s="4" t="s">
        <v>463</v>
      </c>
      <c r="D7789" s="4"/>
      <c r="E7789" s="4"/>
      <c r="F7789" s="4" t="s">
        <v>3709</v>
      </c>
      <c r="G7789" s="4" t="s">
        <v>336</v>
      </c>
      <c r="H7789" s="4" t="s">
        <v>289</v>
      </c>
      <c r="I7789" s="4">
        <v>0.28749999999999998</v>
      </c>
      <c r="J7789" s="21">
        <v>400</v>
      </c>
      <c r="K7789" s="21">
        <v>0</v>
      </c>
      <c r="L7789" s="5">
        <v>0</v>
      </c>
      <c r="M7789" s="4"/>
      <c r="N7789" s="4"/>
      <c r="O7789" s="5"/>
      <c r="P7789" s="5"/>
      <c r="Q7789" s="21">
        <v>114.99999999999999</v>
      </c>
      <c r="R7789" s="21">
        <v>0</v>
      </c>
      <c r="S7789" s="5">
        <f t="shared" si="487"/>
        <v>52721.514819307522</v>
      </c>
      <c r="T7789" cm="1">
        <f t="array" ref="T7789">IF(OR(B7789="MAL ALIMI", B7789="ÜRETİM GİRİŞ"), MIN(I7789, MAX(0, I7789 + SUM(SUMIFS($I$1:I7788, $C$1:C7788, C7789, $B$1:B7788, {"MAL ALIMI","ÜRETİM GİRİŞ"})) - VLOOKUP(C7789, 'STOK RAPORU'!$C$2:$I$1000, 4, 0))), 0)</f>
        <v>0</v>
      </c>
      <c r="U7789" s="22">
        <f t="shared" si="484"/>
        <v>0</v>
      </c>
      <c r="V7789">
        <f t="shared" si="485"/>
        <v>0</v>
      </c>
      <c r="W7789" s="22">
        <f t="shared" si="486"/>
        <v>0</v>
      </c>
    </row>
    <row r="7790" spans="1:23" hidden="1" x14ac:dyDescent="0.25">
      <c r="A7790" s="3">
        <v>46191</v>
      </c>
      <c r="B7790" s="46" t="s">
        <v>334</v>
      </c>
      <c r="C7790" s="4" t="s">
        <v>194</v>
      </c>
      <c r="D7790" s="4"/>
      <c r="E7790" s="4" t="s">
        <v>921</v>
      </c>
      <c r="F7790" s="4" t="s">
        <v>3710</v>
      </c>
      <c r="G7790" s="4" t="s">
        <v>336</v>
      </c>
      <c r="H7790" s="4" t="s">
        <v>380</v>
      </c>
      <c r="I7790" s="4">
        <v>0.14933333333333335</v>
      </c>
      <c r="J7790" s="21">
        <v>750</v>
      </c>
      <c r="K7790" s="21">
        <v>112.00000000000001</v>
      </c>
      <c r="L7790" s="5">
        <v>0</v>
      </c>
      <c r="M7790" s="4"/>
      <c r="N7790" s="4"/>
      <c r="O7790" s="5"/>
      <c r="P7790" s="5"/>
      <c r="Q7790" s="21">
        <v>0</v>
      </c>
      <c r="R7790" s="21">
        <v>0</v>
      </c>
      <c r="S7790" s="5">
        <f t="shared" si="487"/>
        <v>52721.514819307522</v>
      </c>
      <c r="T7790" cm="1">
        <f t="array" ref="T7790">IF(OR(B7790="MAL ALIMI", B7790="ÜRETİM GİRİŞ"), MIN(I7790, MAX(0, I7790 + SUM(SUMIFS($I$1:I7789, $C$1:C7789, C7790, $B$1:B7789, {"MAL ALIMI","ÜRETİM GİRİŞ"})) - VLOOKUP(C7790, 'STOK RAPORU'!$C$2:$I$1000, 4, 0))), 0)</f>
        <v>0</v>
      </c>
      <c r="U7790" s="22">
        <f t="shared" si="484"/>
        <v>0</v>
      </c>
      <c r="V7790">
        <f t="shared" si="485"/>
        <v>0</v>
      </c>
      <c r="W7790" s="22">
        <f t="shared" si="486"/>
        <v>0</v>
      </c>
    </row>
    <row r="7791" spans="1:23" hidden="1" x14ac:dyDescent="0.25">
      <c r="A7791" s="3">
        <v>46191</v>
      </c>
      <c r="B7791" s="46" t="s">
        <v>334</v>
      </c>
      <c r="C7791" s="4" t="s">
        <v>463</v>
      </c>
      <c r="D7791" s="4"/>
      <c r="E7791" s="4" t="s">
        <v>921</v>
      </c>
      <c r="F7791" s="4" t="s">
        <v>3710</v>
      </c>
      <c r="G7791" s="4" t="s">
        <v>336</v>
      </c>
      <c r="H7791" s="4" t="s">
        <v>380</v>
      </c>
      <c r="I7791" s="4">
        <v>0.13</v>
      </c>
      <c r="J7791" s="21">
        <v>400</v>
      </c>
      <c r="K7791" s="21">
        <v>52</v>
      </c>
      <c r="L7791" s="5">
        <v>0</v>
      </c>
      <c r="M7791" s="4"/>
      <c r="N7791" s="4"/>
      <c r="O7791" s="5"/>
      <c r="P7791" s="5"/>
      <c r="Q7791" s="21">
        <v>0</v>
      </c>
      <c r="R7791" s="21">
        <v>0</v>
      </c>
      <c r="S7791" s="5">
        <f t="shared" si="487"/>
        <v>52721.514819307522</v>
      </c>
      <c r="T7791" cm="1">
        <f t="array" ref="T7791">IF(OR(B7791="MAL ALIMI", B7791="ÜRETİM GİRİŞ"), MIN(I7791, MAX(0, I7791 + SUM(SUMIFS($I$1:I7790, $C$1:C7790, C7791, $B$1:B7790, {"MAL ALIMI","ÜRETİM GİRİŞ"})) - VLOOKUP(C7791, 'STOK RAPORU'!$C$2:$I$1000, 4, 0))), 0)</f>
        <v>0</v>
      </c>
      <c r="U7791" s="22">
        <f t="shared" si="484"/>
        <v>0</v>
      </c>
      <c r="V7791">
        <f t="shared" si="485"/>
        <v>0</v>
      </c>
      <c r="W7791" s="22">
        <f t="shared" si="486"/>
        <v>0</v>
      </c>
    </row>
    <row r="7792" spans="1:23" hidden="1" x14ac:dyDescent="0.25">
      <c r="A7792" s="3">
        <v>46191</v>
      </c>
      <c r="B7792" s="46" t="s">
        <v>334</v>
      </c>
      <c r="C7792" s="4" t="s">
        <v>1634</v>
      </c>
      <c r="D7792" s="4"/>
      <c r="E7792" s="4" t="s">
        <v>921</v>
      </c>
      <c r="F7792" s="4" t="s">
        <v>3710</v>
      </c>
      <c r="G7792" s="4" t="s">
        <v>336</v>
      </c>
      <c r="H7792" s="4" t="s">
        <v>380</v>
      </c>
      <c r="I7792" s="4">
        <v>0.5</v>
      </c>
      <c r="J7792" s="21">
        <v>350</v>
      </c>
      <c r="K7792" s="21">
        <v>175</v>
      </c>
      <c r="L7792" s="5">
        <v>0</v>
      </c>
      <c r="M7792" s="4"/>
      <c r="N7792" s="4"/>
      <c r="O7792" s="5"/>
      <c r="P7792" s="5"/>
      <c r="Q7792" s="21">
        <v>0</v>
      </c>
      <c r="R7792" s="21">
        <v>0</v>
      </c>
      <c r="S7792" s="5">
        <f t="shared" si="487"/>
        <v>52721.514819307522</v>
      </c>
      <c r="T7792" cm="1">
        <f t="array" ref="T7792">IF(OR(B7792="MAL ALIMI", B7792="ÜRETİM GİRİŞ"), MIN(I7792, MAX(0, I7792 + SUM(SUMIFS($I$1:I7791, $C$1:C7791, C7792, $B$1:B7791, {"MAL ALIMI","ÜRETİM GİRİŞ"})) - VLOOKUP(C7792, 'STOK RAPORU'!$C$2:$I$1000, 4, 0))), 0)</f>
        <v>0</v>
      </c>
      <c r="U7792" s="22">
        <f t="shared" si="484"/>
        <v>0</v>
      </c>
      <c r="V7792">
        <f t="shared" si="485"/>
        <v>0</v>
      </c>
      <c r="W7792" s="22">
        <f t="shared" si="486"/>
        <v>0</v>
      </c>
    </row>
    <row r="7793" spans="1:23" hidden="1" x14ac:dyDescent="0.25">
      <c r="A7793" s="3">
        <v>46191</v>
      </c>
      <c r="B7793" s="46" t="s">
        <v>334</v>
      </c>
      <c r="C7793" s="4" t="s">
        <v>1041</v>
      </c>
      <c r="D7793" s="4"/>
      <c r="E7793" s="4"/>
      <c r="F7793" s="4" t="s">
        <v>3711</v>
      </c>
      <c r="G7793" s="4" t="s">
        <v>336</v>
      </c>
      <c r="H7793" s="4" t="s">
        <v>289</v>
      </c>
      <c r="I7793" s="4">
        <v>2</v>
      </c>
      <c r="J7793" s="21">
        <v>230</v>
      </c>
      <c r="K7793" s="21">
        <v>0</v>
      </c>
      <c r="L7793" s="5">
        <v>0</v>
      </c>
      <c r="M7793" s="4"/>
      <c r="N7793" s="4"/>
      <c r="O7793" s="5"/>
      <c r="P7793" s="5"/>
      <c r="Q7793" s="21">
        <v>460</v>
      </c>
      <c r="R7793" s="21">
        <v>0</v>
      </c>
      <c r="S7793" s="5">
        <f t="shared" si="487"/>
        <v>53181.514819307522</v>
      </c>
      <c r="T7793" cm="1">
        <f t="array" ref="T7793">IF(OR(B7793="MAL ALIMI", B7793="ÜRETİM GİRİŞ"), MIN(I7793, MAX(0, I7793 + SUM(SUMIFS($I$1:I7792, $C$1:C7792, C7793, $B$1:B7792, {"MAL ALIMI","ÜRETİM GİRİŞ"})) - VLOOKUP(C7793, 'STOK RAPORU'!$C$2:$I$1000, 4, 0))), 0)</f>
        <v>0</v>
      </c>
      <c r="U7793" s="22">
        <f t="shared" ref="U7793:U7856" si="488">T7793*J7793</f>
        <v>0</v>
      </c>
      <c r="V7793">
        <f t="shared" ref="V7793:V7856" si="489">IF(OR(B7793="MAL ALIMI", B7793="ÜRETİM GİRİŞ"), I7793 * J7793, 0)</f>
        <v>0</v>
      </c>
      <c r="W7793" s="22">
        <f t="shared" ref="W7793:W7856" si="490">V7793-U7793</f>
        <v>0</v>
      </c>
    </row>
    <row r="7794" spans="1:23" hidden="1" x14ac:dyDescent="0.25">
      <c r="A7794" s="3">
        <v>46191</v>
      </c>
      <c r="B7794" s="46" t="s">
        <v>334</v>
      </c>
      <c r="C7794" s="4" t="s">
        <v>131</v>
      </c>
      <c r="D7794" s="4"/>
      <c r="E7794" s="4"/>
      <c r="F7794" s="4" t="s">
        <v>3712</v>
      </c>
      <c r="G7794" s="4" t="s">
        <v>336</v>
      </c>
      <c r="H7794" s="4" t="s">
        <v>380</v>
      </c>
      <c r="I7794" s="4">
        <v>8.2500000000000004E-2</v>
      </c>
      <c r="J7794" s="21">
        <v>400</v>
      </c>
      <c r="K7794" s="21">
        <v>33</v>
      </c>
      <c r="L7794" s="5">
        <v>0</v>
      </c>
      <c r="M7794" s="4"/>
      <c r="N7794" s="4"/>
      <c r="O7794" s="5"/>
      <c r="P7794" s="5"/>
      <c r="Q7794" s="21">
        <v>0</v>
      </c>
      <c r="R7794" s="21">
        <v>0</v>
      </c>
      <c r="S7794" s="5">
        <f t="shared" si="487"/>
        <v>53181.514819307522</v>
      </c>
      <c r="T7794" cm="1">
        <f t="array" ref="T7794">IF(OR(B7794="MAL ALIMI", B7794="ÜRETİM GİRİŞ"), MIN(I7794, MAX(0, I7794 + SUM(SUMIFS($I$1:I7793, $C$1:C7793, C7794, $B$1:B7793, {"MAL ALIMI","ÜRETİM GİRİŞ"})) - VLOOKUP(C7794, 'STOK RAPORU'!$C$2:$I$1000, 4, 0))), 0)</f>
        <v>0</v>
      </c>
      <c r="U7794" s="22">
        <f t="shared" si="488"/>
        <v>0</v>
      </c>
      <c r="V7794">
        <f t="shared" si="489"/>
        <v>0</v>
      </c>
      <c r="W7794" s="22">
        <f t="shared" si="490"/>
        <v>0</v>
      </c>
    </row>
    <row r="7795" spans="1:23" hidden="1" x14ac:dyDescent="0.25">
      <c r="A7795" s="3">
        <v>46191</v>
      </c>
      <c r="B7795" s="46" t="s">
        <v>334</v>
      </c>
      <c r="C7795" s="4" t="s">
        <v>133</v>
      </c>
      <c r="D7795" s="4"/>
      <c r="E7795" s="4"/>
      <c r="F7795" s="4" t="s">
        <v>3712</v>
      </c>
      <c r="G7795" s="4" t="s">
        <v>336</v>
      </c>
      <c r="H7795" s="4" t="s">
        <v>380</v>
      </c>
      <c r="I7795" s="4">
        <v>0.20499999999999999</v>
      </c>
      <c r="J7795" s="21">
        <v>400</v>
      </c>
      <c r="K7795" s="21">
        <v>82</v>
      </c>
      <c r="L7795" s="5">
        <v>0</v>
      </c>
      <c r="M7795" s="4"/>
      <c r="N7795" s="4"/>
      <c r="O7795" s="5"/>
      <c r="P7795" s="5"/>
      <c r="Q7795" s="21">
        <v>0</v>
      </c>
      <c r="R7795" s="21">
        <v>0</v>
      </c>
      <c r="S7795" s="5">
        <f t="shared" si="487"/>
        <v>53181.514819307522</v>
      </c>
      <c r="T7795" cm="1">
        <f t="array" ref="T7795">IF(OR(B7795="MAL ALIMI", B7795="ÜRETİM GİRİŞ"), MIN(I7795, MAX(0, I7795 + SUM(SUMIFS($I$1:I7794, $C$1:C7794, C7795, $B$1:B7794, {"MAL ALIMI","ÜRETİM GİRİŞ"})) - VLOOKUP(C7795, 'STOK RAPORU'!$C$2:$I$1000, 4, 0))), 0)</f>
        <v>0</v>
      </c>
      <c r="U7795" s="22">
        <f t="shared" si="488"/>
        <v>0</v>
      </c>
      <c r="V7795">
        <f t="shared" si="489"/>
        <v>0</v>
      </c>
      <c r="W7795" s="22">
        <f t="shared" si="490"/>
        <v>0</v>
      </c>
    </row>
    <row r="7796" spans="1:23" hidden="1" x14ac:dyDescent="0.25">
      <c r="A7796" s="3">
        <v>46191</v>
      </c>
      <c r="B7796" s="46" t="s">
        <v>334</v>
      </c>
      <c r="C7796" s="4" t="s">
        <v>160</v>
      </c>
      <c r="D7796" s="4"/>
      <c r="E7796" s="4"/>
      <c r="F7796" s="4" t="s">
        <v>3712</v>
      </c>
      <c r="G7796" s="4" t="s">
        <v>336</v>
      </c>
      <c r="H7796" s="4" t="s">
        <v>380</v>
      </c>
      <c r="I7796" s="4">
        <v>1</v>
      </c>
      <c r="J7796" s="21">
        <v>270</v>
      </c>
      <c r="K7796" s="21">
        <v>270</v>
      </c>
      <c r="L7796" s="5">
        <v>0</v>
      </c>
      <c r="M7796" s="4"/>
      <c r="N7796" s="4"/>
      <c r="O7796" s="5"/>
      <c r="P7796" s="5"/>
      <c r="Q7796" s="21">
        <v>0</v>
      </c>
      <c r="R7796" s="21">
        <v>0</v>
      </c>
      <c r="S7796" s="5">
        <f t="shared" si="487"/>
        <v>53181.514819307522</v>
      </c>
      <c r="T7796" cm="1">
        <f t="array" ref="T7796">IF(OR(B7796="MAL ALIMI", B7796="ÜRETİM GİRİŞ"), MIN(I7796, MAX(0, I7796 + SUM(SUMIFS($I$1:I7795, $C$1:C7795, C7796, $B$1:B7795, {"MAL ALIMI","ÜRETİM GİRİŞ"})) - VLOOKUP(C7796, 'STOK RAPORU'!$C$2:$I$1000, 4, 0))), 0)</f>
        <v>0</v>
      </c>
      <c r="U7796" s="22">
        <f t="shared" si="488"/>
        <v>0</v>
      </c>
      <c r="V7796">
        <f t="shared" si="489"/>
        <v>0</v>
      </c>
      <c r="W7796" s="22">
        <f t="shared" si="490"/>
        <v>0</v>
      </c>
    </row>
    <row r="7797" spans="1:23" hidden="1" x14ac:dyDescent="0.25">
      <c r="A7797" s="3">
        <v>46191</v>
      </c>
      <c r="B7797" s="46" t="s">
        <v>334</v>
      </c>
      <c r="C7797" s="4" t="s">
        <v>1501</v>
      </c>
      <c r="D7797" s="4"/>
      <c r="E7797" s="4"/>
      <c r="F7797" s="4" t="s">
        <v>3712</v>
      </c>
      <c r="G7797" s="4" t="s">
        <v>336</v>
      </c>
      <c r="H7797" s="4" t="s">
        <v>380</v>
      </c>
      <c r="I7797" s="4">
        <v>0.25</v>
      </c>
      <c r="J7797" s="21">
        <v>700</v>
      </c>
      <c r="K7797" s="21">
        <v>175</v>
      </c>
      <c r="L7797" s="5">
        <v>0</v>
      </c>
      <c r="M7797" s="4"/>
      <c r="N7797" s="4"/>
      <c r="O7797" s="5"/>
      <c r="P7797" s="5"/>
      <c r="Q7797" s="21">
        <v>0</v>
      </c>
      <c r="R7797" s="21">
        <v>0</v>
      </c>
      <c r="S7797" s="5">
        <f t="shared" si="487"/>
        <v>53181.514819307522</v>
      </c>
      <c r="T7797" cm="1">
        <f t="array" ref="T7797">IF(OR(B7797="MAL ALIMI", B7797="ÜRETİM GİRİŞ"), MIN(I7797, MAX(0, I7797 + SUM(SUMIFS($I$1:I7796, $C$1:C7796, C7797, $B$1:B7796, {"MAL ALIMI","ÜRETİM GİRİŞ"})) - VLOOKUP(C7797, 'STOK RAPORU'!$C$2:$I$1000, 4, 0))), 0)</f>
        <v>0</v>
      </c>
      <c r="U7797" s="22">
        <f t="shared" si="488"/>
        <v>0</v>
      </c>
      <c r="V7797">
        <f t="shared" si="489"/>
        <v>0</v>
      </c>
      <c r="W7797" s="22">
        <f t="shared" si="490"/>
        <v>0</v>
      </c>
    </row>
    <row r="7798" spans="1:23" hidden="1" x14ac:dyDescent="0.25">
      <c r="A7798" s="3">
        <v>46191</v>
      </c>
      <c r="B7798" s="46" t="s">
        <v>334</v>
      </c>
      <c r="C7798" s="4" t="s">
        <v>126</v>
      </c>
      <c r="D7798" s="4"/>
      <c r="E7798" s="4"/>
      <c r="F7798" s="4" t="s">
        <v>3713</v>
      </c>
      <c r="G7798" s="4" t="s">
        <v>336</v>
      </c>
      <c r="H7798" s="4" t="s">
        <v>289</v>
      </c>
      <c r="I7798" s="4">
        <v>0.15384615384615385</v>
      </c>
      <c r="J7798" s="21">
        <v>650</v>
      </c>
      <c r="K7798" s="21">
        <v>0</v>
      </c>
      <c r="L7798" s="5">
        <v>0</v>
      </c>
      <c r="M7798" s="4"/>
      <c r="N7798" s="4"/>
      <c r="O7798" s="5"/>
      <c r="P7798" s="5"/>
      <c r="Q7798" s="21">
        <v>100</v>
      </c>
      <c r="R7798" s="21">
        <v>0</v>
      </c>
      <c r="S7798" s="5">
        <f t="shared" si="487"/>
        <v>53281.514819307522</v>
      </c>
      <c r="T7798" cm="1">
        <f t="array" ref="T7798">IF(OR(B7798="MAL ALIMI", B7798="ÜRETİM GİRİŞ"), MIN(I7798, MAX(0, I7798 + SUM(SUMIFS($I$1:I7797, $C$1:C7797, C7798, $B$1:B7797, {"MAL ALIMI","ÜRETİM GİRİŞ"})) - VLOOKUP(C7798, 'STOK RAPORU'!$C$2:$I$1000, 4, 0))), 0)</f>
        <v>0</v>
      </c>
      <c r="U7798" s="22">
        <f t="shared" si="488"/>
        <v>0</v>
      </c>
      <c r="V7798">
        <f t="shared" si="489"/>
        <v>0</v>
      </c>
      <c r="W7798" s="22">
        <f t="shared" si="490"/>
        <v>0</v>
      </c>
    </row>
    <row r="7799" spans="1:23" hidden="1" x14ac:dyDescent="0.25">
      <c r="A7799" s="3">
        <v>46191</v>
      </c>
      <c r="B7799" s="46" t="s">
        <v>285</v>
      </c>
      <c r="C7799" s="4"/>
      <c r="D7799" s="4" t="s">
        <v>107</v>
      </c>
      <c r="E7799" s="4"/>
      <c r="F7799" s="4"/>
      <c r="G7799" s="4" t="s">
        <v>3740</v>
      </c>
      <c r="H7799" s="4" t="s">
        <v>289</v>
      </c>
      <c r="I7799" s="4">
        <v>1</v>
      </c>
      <c r="J7799" s="21">
        <v>1500</v>
      </c>
      <c r="K7799" s="21">
        <v>0</v>
      </c>
      <c r="L7799" s="5">
        <v>0</v>
      </c>
      <c r="M7799" s="4"/>
      <c r="N7799" s="4"/>
      <c r="O7799" s="5"/>
      <c r="P7799" s="5"/>
      <c r="Q7799" s="21">
        <v>0</v>
      </c>
      <c r="R7799" s="21">
        <v>1500</v>
      </c>
      <c r="S7799" s="5">
        <f t="shared" si="487"/>
        <v>51781.514819307522</v>
      </c>
      <c r="T7799" cm="1">
        <f t="array" ref="T7799">IF(OR(B7799="MAL ALIMI", B7799="ÜRETİM GİRİŞ"), MIN(I7799, MAX(0, I7799 + SUM(SUMIFS($I$1:I7798, $C$1:C7798, C7799, $B$1:B7798, {"MAL ALIMI","ÜRETİM GİRİŞ"})) - VLOOKUP(C7799, 'STOK RAPORU'!$C$2:$I$1000, 4, 0))), 0)</f>
        <v>0</v>
      </c>
      <c r="U7799" s="22">
        <f t="shared" si="488"/>
        <v>0</v>
      </c>
      <c r="V7799">
        <f t="shared" si="489"/>
        <v>0</v>
      </c>
      <c r="W7799" s="22">
        <f t="shared" si="490"/>
        <v>0</v>
      </c>
    </row>
    <row r="7800" spans="1:23" hidden="1" x14ac:dyDescent="0.25">
      <c r="A7800" s="3">
        <v>46191</v>
      </c>
      <c r="B7800" s="4" t="s">
        <v>946</v>
      </c>
      <c r="C7800" s="4"/>
      <c r="D7800" s="4"/>
      <c r="E7800" s="4" t="s">
        <v>921</v>
      </c>
      <c r="F7800" s="4"/>
      <c r="G7800" s="4" t="s">
        <v>946</v>
      </c>
      <c r="H7800" s="4" t="s">
        <v>380</v>
      </c>
      <c r="I7800" s="4">
        <v>1</v>
      </c>
      <c r="J7800" s="21">
        <v>1165</v>
      </c>
      <c r="K7800" s="21">
        <v>0</v>
      </c>
      <c r="L7800" s="115">
        <v>1165</v>
      </c>
      <c r="M7800" s="4"/>
      <c r="N7800" s="4"/>
      <c r="O7800" s="5"/>
      <c r="P7800" s="5"/>
      <c r="Q7800" s="21">
        <v>1165</v>
      </c>
      <c r="R7800" s="21">
        <v>0</v>
      </c>
      <c r="S7800" s="5">
        <f t="shared" si="487"/>
        <v>52946.514819307522</v>
      </c>
      <c r="T7800" cm="1">
        <f t="array" ref="T7800">IF(OR(B7800="MAL ALIMI", B7800="ÜRETİM GİRİŞ"), MIN(I7800, MAX(0, I7800 + SUM(SUMIFS($I$1:I7799, $C$1:C7799, C7800, $B$1:B7799, {"MAL ALIMI","ÜRETİM GİRİŞ"})) - VLOOKUP(C7800, 'STOK RAPORU'!$C$2:$I$1000, 4, 0))), 0)</f>
        <v>0</v>
      </c>
      <c r="U7800" s="22">
        <f t="shared" si="488"/>
        <v>0</v>
      </c>
      <c r="V7800">
        <f t="shared" si="489"/>
        <v>0</v>
      </c>
      <c r="W7800" s="22">
        <f t="shared" si="490"/>
        <v>0</v>
      </c>
    </row>
    <row r="7801" spans="1:23" hidden="1" x14ac:dyDescent="0.25">
      <c r="A7801" s="3">
        <v>46191</v>
      </c>
      <c r="B7801" s="4" t="s">
        <v>946</v>
      </c>
      <c r="C7801" s="4"/>
      <c r="D7801" s="4"/>
      <c r="E7801" s="4" t="s">
        <v>921</v>
      </c>
      <c r="F7801" s="4"/>
      <c r="G7801" s="4" t="s">
        <v>946</v>
      </c>
      <c r="H7801" s="4" t="s">
        <v>380</v>
      </c>
      <c r="I7801" s="4">
        <v>1</v>
      </c>
      <c r="J7801" s="21">
        <v>340</v>
      </c>
      <c r="K7801" s="21">
        <v>0</v>
      </c>
      <c r="L7801" s="115">
        <v>340</v>
      </c>
      <c r="M7801" s="4"/>
      <c r="N7801" s="4"/>
      <c r="O7801" s="5"/>
      <c r="P7801" s="5"/>
      <c r="Q7801" s="21">
        <v>340</v>
      </c>
      <c r="R7801" s="21">
        <v>0</v>
      </c>
      <c r="S7801" s="5">
        <f t="shared" si="487"/>
        <v>53286.514819307522</v>
      </c>
      <c r="T7801" cm="1">
        <f t="array" ref="T7801">IF(OR(B7801="MAL ALIMI", B7801="ÜRETİM GİRİŞ"), MIN(I7801, MAX(0, I7801 + SUM(SUMIFS($I$1:I7800, $C$1:C7800, C7801, $B$1:B7800, {"MAL ALIMI","ÜRETİM GİRİŞ"})) - VLOOKUP(C7801, 'STOK RAPORU'!$C$2:$I$1000, 4, 0))), 0)</f>
        <v>0</v>
      </c>
      <c r="U7801" s="22">
        <f t="shared" si="488"/>
        <v>0</v>
      </c>
      <c r="V7801">
        <f t="shared" si="489"/>
        <v>0</v>
      </c>
      <c r="W7801" s="22">
        <f t="shared" si="490"/>
        <v>0</v>
      </c>
    </row>
    <row r="7802" spans="1:23" hidden="1" x14ac:dyDescent="0.25">
      <c r="A7802" s="3">
        <v>46191</v>
      </c>
      <c r="B7802" s="4" t="s">
        <v>946</v>
      </c>
      <c r="C7802" s="4"/>
      <c r="D7802" s="4"/>
      <c r="E7802" s="4" t="s">
        <v>921</v>
      </c>
      <c r="F7802" s="4"/>
      <c r="G7802" s="4" t="s">
        <v>946</v>
      </c>
      <c r="H7802" s="4" t="s">
        <v>380</v>
      </c>
      <c r="I7802" s="4">
        <v>1</v>
      </c>
      <c r="J7802" s="21">
        <v>1461</v>
      </c>
      <c r="K7802" s="21">
        <v>0</v>
      </c>
      <c r="L7802" s="115">
        <v>1461</v>
      </c>
      <c r="M7802" s="4"/>
      <c r="N7802" s="4"/>
      <c r="O7802" s="5"/>
      <c r="P7802" s="5"/>
      <c r="Q7802" s="21">
        <v>1461</v>
      </c>
      <c r="R7802" s="21">
        <v>0</v>
      </c>
      <c r="S7802" s="5">
        <f t="shared" si="487"/>
        <v>54747.514819307522</v>
      </c>
      <c r="T7802" cm="1">
        <f t="array" ref="T7802">IF(OR(B7802="MAL ALIMI", B7802="ÜRETİM GİRİŞ"), MIN(I7802, MAX(0, I7802 + SUM(SUMIFS($I$1:I7801, $C$1:C7801, C7802, $B$1:B7801, {"MAL ALIMI","ÜRETİM GİRİŞ"})) - VLOOKUP(C7802, 'STOK RAPORU'!$C$2:$I$1000, 4, 0))), 0)</f>
        <v>0</v>
      </c>
      <c r="U7802" s="22">
        <f t="shared" si="488"/>
        <v>0</v>
      </c>
      <c r="V7802">
        <f t="shared" si="489"/>
        <v>0</v>
      </c>
      <c r="W7802" s="22">
        <f t="shared" si="490"/>
        <v>0</v>
      </c>
    </row>
    <row r="7803" spans="1:23" hidden="1" x14ac:dyDescent="0.25">
      <c r="A7803" s="3">
        <v>46192</v>
      </c>
      <c r="B7803" s="46" t="s">
        <v>334</v>
      </c>
      <c r="C7803" s="4" t="s">
        <v>463</v>
      </c>
      <c r="D7803" s="4"/>
      <c r="E7803" s="4" t="s">
        <v>921</v>
      </c>
      <c r="F7803" s="4" t="s">
        <v>3698</v>
      </c>
      <c r="G7803" s="4" t="s">
        <v>3699</v>
      </c>
      <c r="H7803" s="4" t="s">
        <v>380</v>
      </c>
      <c r="I7803" s="4">
        <v>0.92800000000000005</v>
      </c>
      <c r="J7803" s="21">
        <v>265</v>
      </c>
      <c r="K7803" s="21">
        <v>245.92000000000002</v>
      </c>
      <c r="L7803" s="5">
        <v>0</v>
      </c>
      <c r="M7803" s="4"/>
      <c r="N7803" s="4"/>
      <c r="O7803" s="5"/>
      <c r="P7803" s="5"/>
      <c r="Q7803" s="21">
        <v>0</v>
      </c>
      <c r="R7803" s="21">
        <v>0</v>
      </c>
      <c r="S7803" s="5">
        <f t="shared" si="487"/>
        <v>54747.514819307522</v>
      </c>
      <c r="T7803" cm="1">
        <f t="array" ref="T7803">IF(OR(B7803="MAL ALIMI", B7803="ÜRETİM GİRİŞ"), MIN(I7803, MAX(0, I7803 + SUM(SUMIFS($I$1:I7802, $C$1:C7802, C7803, $B$1:B7802, {"MAL ALIMI","ÜRETİM GİRİŞ"})) - VLOOKUP(C7803, 'STOK RAPORU'!$C$2:$I$1000, 4, 0))), 0)</f>
        <v>0</v>
      </c>
      <c r="U7803" s="22">
        <f t="shared" si="488"/>
        <v>0</v>
      </c>
      <c r="V7803">
        <f t="shared" si="489"/>
        <v>0</v>
      </c>
      <c r="W7803" s="22">
        <f t="shared" si="490"/>
        <v>0</v>
      </c>
    </row>
    <row r="7804" spans="1:23" hidden="1" x14ac:dyDescent="0.25">
      <c r="A7804" s="3">
        <v>46192</v>
      </c>
      <c r="B7804" s="46" t="s">
        <v>334</v>
      </c>
      <c r="C7804" s="4" t="s">
        <v>1151</v>
      </c>
      <c r="D7804" s="4"/>
      <c r="E7804" s="4" t="s">
        <v>921</v>
      </c>
      <c r="F7804" s="4" t="s">
        <v>3698</v>
      </c>
      <c r="G7804" s="4" t="s">
        <v>3699</v>
      </c>
      <c r="H7804" s="4" t="s">
        <v>380</v>
      </c>
      <c r="I7804" s="4">
        <v>2.23</v>
      </c>
      <c r="J7804" s="21">
        <v>265</v>
      </c>
      <c r="K7804" s="21">
        <v>590.95000000000005</v>
      </c>
      <c r="L7804" s="5">
        <v>0</v>
      </c>
      <c r="M7804" s="4"/>
      <c r="N7804" s="4"/>
      <c r="O7804" s="5"/>
      <c r="P7804" s="5"/>
      <c r="Q7804" s="21">
        <v>0</v>
      </c>
      <c r="R7804" s="21">
        <v>0</v>
      </c>
      <c r="S7804" s="5">
        <f t="shared" si="487"/>
        <v>54747.514819307522</v>
      </c>
      <c r="T7804" cm="1">
        <f t="array" ref="T7804">IF(OR(B7804="MAL ALIMI", B7804="ÜRETİM GİRİŞ"), MIN(I7804, MAX(0, I7804 + SUM(SUMIFS($I$1:I7803, $C$1:C7803, C7804, $B$1:B7803, {"MAL ALIMI","ÜRETİM GİRİŞ"})) - VLOOKUP(C7804, 'STOK RAPORU'!$C$2:$I$1000, 4, 0))), 0)</f>
        <v>0</v>
      </c>
      <c r="U7804" s="22">
        <f t="shared" si="488"/>
        <v>0</v>
      </c>
      <c r="V7804">
        <f t="shared" si="489"/>
        <v>0</v>
      </c>
      <c r="W7804" s="22">
        <f t="shared" si="490"/>
        <v>0</v>
      </c>
    </row>
    <row r="7805" spans="1:23" hidden="1" x14ac:dyDescent="0.25">
      <c r="A7805" s="3">
        <v>46192</v>
      </c>
      <c r="B7805" s="46" t="s">
        <v>334</v>
      </c>
      <c r="C7805" s="4" t="s">
        <v>1151</v>
      </c>
      <c r="D7805" s="4"/>
      <c r="E7805" s="4" t="s">
        <v>921</v>
      </c>
      <c r="F7805" s="4" t="s">
        <v>3698</v>
      </c>
      <c r="G7805" s="4" t="s">
        <v>3699</v>
      </c>
      <c r="H7805" s="4" t="s">
        <v>380</v>
      </c>
      <c r="I7805" s="4">
        <v>3.17</v>
      </c>
      <c r="J7805" s="21">
        <v>265</v>
      </c>
      <c r="K7805" s="21">
        <v>840.05</v>
      </c>
      <c r="L7805" s="5">
        <v>0</v>
      </c>
      <c r="M7805" s="4"/>
      <c r="N7805" s="4"/>
      <c r="O7805" s="5"/>
      <c r="P7805" s="5"/>
      <c r="Q7805" s="21">
        <v>0</v>
      </c>
      <c r="R7805" s="21">
        <v>0</v>
      </c>
      <c r="S7805" s="5">
        <f t="shared" si="487"/>
        <v>54747.514819307522</v>
      </c>
      <c r="T7805" cm="1">
        <f t="array" ref="T7805">IF(OR(B7805="MAL ALIMI", B7805="ÜRETİM GİRİŞ"), MIN(I7805, MAX(0, I7805 + SUM(SUMIFS($I$1:I7804, $C$1:C7804, C7805, $B$1:B7804, {"MAL ALIMI","ÜRETİM GİRİŞ"})) - VLOOKUP(C7805, 'STOK RAPORU'!$C$2:$I$1000, 4, 0))), 0)</f>
        <v>0</v>
      </c>
      <c r="U7805" s="22">
        <f t="shared" si="488"/>
        <v>0</v>
      </c>
      <c r="V7805">
        <f t="shared" si="489"/>
        <v>0</v>
      </c>
      <c r="W7805" s="22">
        <f t="shared" si="490"/>
        <v>0</v>
      </c>
    </row>
    <row r="7806" spans="1:23" hidden="1" x14ac:dyDescent="0.25">
      <c r="A7806" s="3">
        <v>46192</v>
      </c>
      <c r="B7806" s="46" t="s">
        <v>334</v>
      </c>
      <c r="C7806" s="4" t="s">
        <v>192</v>
      </c>
      <c r="D7806" s="4"/>
      <c r="E7806" s="4"/>
      <c r="F7806" s="4" t="s">
        <v>3700</v>
      </c>
      <c r="G7806" s="4" t="s">
        <v>336</v>
      </c>
      <c r="H7806" s="4" t="s">
        <v>289</v>
      </c>
      <c r="I7806" s="4">
        <v>0.12</v>
      </c>
      <c r="J7806" s="21">
        <v>417</v>
      </c>
      <c r="K7806" s="21">
        <v>0</v>
      </c>
      <c r="L7806" s="5">
        <v>0</v>
      </c>
      <c r="M7806" s="4"/>
      <c r="N7806" s="4"/>
      <c r="O7806" s="5"/>
      <c r="P7806" s="5"/>
      <c r="Q7806" s="21">
        <v>50.04</v>
      </c>
      <c r="R7806" s="21">
        <v>0</v>
      </c>
      <c r="S7806" s="5">
        <f t="shared" si="487"/>
        <v>54797.554819307523</v>
      </c>
      <c r="T7806" cm="1">
        <f t="array" ref="T7806">IF(OR(B7806="MAL ALIMI", B7806="ÜRETİM GİRİŞ"), MIN(I7806, MAX(0, I7806 + SUM(SUMIFS($I$1:I7805, $C$1:C7805, C7806, $B$1:B7805, {"MAL ALIMI","ÜRETİM GİRİŞ"})) - VLOOKUP(C7806, 'STOK RAPORU'!$C$2:$I$1000, 4, 0))), 0)</f>
        <v>0</v>
      </c>
      <c r="U7806" s="22">
        <f t="shared" si="488"/>
        <v>0</v>
      </c>
      <c r="V7806">
        <f t="shared" si="489"/>
        <v>0</v>
      </c>
      <c r="W7806" s="22">
        <f t="shared" si="490"/>
        <v>0</v>
      </c>
    </row>
    <row r="7807" spans="1:23" hidden="1" x14ac:dyDescent="0.25">
      <c r="A7807" s="3">
        <v>46192</v>
      </c>
      <c r="B7807" s="46" t="s">
        <v>334</v>
      </c>
      <c r="C7807" s="4" t="s">
        <v>157</v>
      </c>
      <c r="D7807" s="4"/>
      <c r="E7807" s="4"/>
      <c r="F7807" s="4" t="s">
        <v>3701</v>
      </c>
      <c r="G7807" s="4" t="s">
        <v>336</v>
      </c>
      <c r="H7807" s="4" t="s">
        <v>289</v>
      </c>
      <c r="I7807" s="4">
        <v>1</v>
      </c>
      <c r="J7807" s="21">
        <v>200</v>
      </c>
      <c r="K7807" s="21">
        <v>0</v>
      </c>
      <c r="L7807" s="5">
        <v>0</v>
      </c>
      <c r="M7807" s="4"/>
      <c r="N7807" s="4"/>
      <c r="O7807" s="5"/>
      <c r="P7807" s="5"/>
      <c r="Q7807" s="21">
        <v>200</v>
      </c>
      <c r="R7807" s="21">
        <v>0</v>
      </c>
      <c r="S7807" s="5">
        <f t="shared" si="487"/>
        <v>54997.554819307523</v>
      </c>
      <c r="T7807" cm="1">
        <f t="array" ref="T7807">IF(OR(B7807="MAL ALIMI", B7807="ÜRETİM GİRİŞ"), MIN(I7807, MAX(0, I7807 + SUM(SUMIFS($I$1:I7806, $C$1:C7806, C7807, $B$1:B7806, {"MAL ALIMI","ÜRETİM GİRİŞ"})) - VLOOKUP(C7807, 'STOK RAPORU'!$C$2:$I$1000, 4, 0))), 0)</f>
        <v>0</v>
      </c>
      <c r="U7807" s="22">
        <f t="shared" si="488"/>
        <v>0</v>
      </c>
      <c r="V7807">
        <f t="shared" si="489"/>
        <v>0</v>
      </c>
      <c r="W7807" s="22">
        <f t="shared" si="490"/>
        <v>0</v>
      </c>
    </row>
    <row r="7808" spans="1:23" hidden="1" x14ac:dyDescent="0.25">
      <c r="A7808" s="3">
        <v>46192</v>
      </c>
      <c r="B7808" s="46" t="s">
        <v>334</v>
      </c>
      <c r="C7808" s="4" t="s">
        <v>89</v>
      </c>
      <c r="D7808" s="4"/>
      <c r="E7808" s="4"/>
      <c r="F7808" s="4" t="s">
        <v>3702</v>
      </c>
      <c r="G7808" s="4" t="s">
        <v>336</v>
      </c>
      <c r="H7808" s="4" t="s">
        <v>289</v>
      </c>
      <c r="I7808" s="4">
        <v>0.1</v>
      </c>
      <c r="J7808" s="21">
        <v>500</v>
      </c>
      <c r="K7808" s="21">
        <v>0</v>
      </c>
      <c r="L7808" s="5">
        <v>0</v>
      </c>
      <c r="M7808" s="4"/>
      <c r="N7808" s="4"/>
      <c r="O7808" s="5"/>
      <c r="P7808" s="5"/>
      <c r="Q7808" s="21">
        <v>50</v>
      </c>
      <c r="R7808" s="21">
        <v>0</v>
      </c>
      <c r="S7808" s="5">
        <f t="shared" si="487"/>
        <v>55047.554819307523</v>
      </c>
      <c r="T7808" cm="1">
        <f t="array" ref="T7808">IF(OR(B7808="MAL ALIMI", B7808="ÜRETİM GİRİŞ"), MIN(I7808, MAX(0, I7808 + SUM(SUMIFS($I$1:I7807, $C$1:C7807, C7808, $B$1:B7807, {"MAL ALIMI","ÜRETİM GİRİŞ"})) - VLOOKUP(C7808, 'STOK RAPORU'!$C$2:$I$1000, 4, 0))), 0)</f>
        <v>0</v>
      </c>
      <c r="U7808" s="22">
        <f t="shared" si="488"/>
        <v>0</v>
      </c>
      <c r="V7808">
        <f t="shared" si="489"/>
        <v>0</v>
      </c>
      <c r="W7808" s="22">
        <f t="shared" si="490"/>
        <v>0</v>
      </c>
    </row>
    <row r="7809" spans="1:23" hidden="1" x14ac:dyDescent="0.25">
      <c r="A7809" s="3">
        <v>46192</v>
      </c>
      <c r="B7809" s="46" t="s">
        <v>334</v>
      </c>
      <c r="C7809" s="4" t="s">
        <v>160</v>
      </c>
      <c r="D7809" s="4"/>
      <c r="E7809" s="4"/>
      <c r="F7809" s="4" t="s">
        <v>3703</v>
      </c>
      <c r="G7809" s="4" t="s">
        <v>336</v>
      </c>
      <c r="H7809" s="4" t="s">
        <v>289</v>
      </c>
      <c r="I7809" s="4">
        <v>0.2</v>
      </c>
      <c r="J7809" s="21">
        <v>270</v>
      </c>
      <c r="K7809" s="21">
        <v>0</v>
      </c>
      <c r="L7809" s="5">
        <v>0</v>
      </c>
      <c r="M7809" s="4"/>
      <c r="N7809" s="4"/>
      <c r="O7809" s="5"/>
      <c r="P7809" s="5"/>
      <c r="Q7809" s="21">
        <v>54</v>
      </c>
      <c r="R7809" s="21">
        <v>0</v>
      </c>
      <c r="S7809" s="5">
        <f t="shared" si="487"/>
        <v>55101.554819307523</v>
      </c>
      <c r="T7809" cm="1">
        <f t="array" ref="T7809">IF(OR(B7809="MAL ALIMI", B7809="ÜRETİM GİRİŞ"), MIN(I7809, MAX(0, I7809 + SUM(SUMIFS($I$1:I7808, $C$1:C7808, C7809, $B$1:B7808, {"MAL ALIMI","ÜRETİM GİRİŞ"})) - VLOOKUP(C7809, 'STOK RAPORU'!$C$2:$I$1000, 4, 0))), 0)</f>
        <v>0</v>
      </c>
      <c r="U7809" s="22">
        <f t="shared" si="488"/>
        <v>0</v>
      </c>
      <c r="V7809">
        <f t="shared" si="489"/>
        <v>0</v>
      </c>
      <c r="W7809" s="22">
        <f t="shared" si="490"/>
        <v>0</v>
      </c>
    </row>
    <row r="7810" spans="1:23" hidden="1" x14ac:dyDescent="0.25">
      <c r="A7810" s="3">
        <v>46192</v>
      </c>
      <c r="B7810" s="46" t="s">
        <v>917</v>
      </c>
      <c r="C7810" s="4"/>
      <c r="D7810" s="4"/>
      <c r="E7810" s="4" t="s">
        <v>855</v>
      </c>
      <c r="F7810" s="4"/>
      <c r="G7810" s="4" t="s">
        <v>3742</v>
      </c>
      <c r="H7810" s="4" t="s">
        <v>289</v>
      </c>
      <c r="I7810" s="4">
        <v>1</v>
      </c>
      <c r="J7810" s="21">
        <v>8500</v>
      </c>
      <c r="K7810" s="21">
        <v>8500</v>
      </c>
      <c r="L7810" s="5">
        <v>0</v>
      </c>
      <c r="M7810" s="4"/>
      <c r="N7810" s="4"/>
      <c r="O7810" s="5"/>
      <c r="P7810" s="5"/>
      <c r="Q7810" s="21">
        <v>0</v>
      </c>
      <c r="R7810" s="21">
        <v>8500</v>
      </c>
      <c r="S7810" s="5">
        <f t="shared" si="487"/>
        <v>46601.554819307523</v>
      </c>
      <c r="T7810" cm="1">
        <f t="array" ref="T7810">IF(OR(B7810="MAL ALIMI", B7810="ÜRETİM GİRİŞ"), MIN(I7810, MAX(0, I7810 + SUM(SUMIFS($I$1:I7809, $C$1:C7809, C7810, $B$1:B7809, {"MAL ALIMI","ÜRETİM GİRİŞ"})) - VLOOKUP(C7810, 'STOK RAPORU'!$C$2:$I$1000, 4, 0))), 0)</f>
        <v>0</v>
      </c>
      <c r="U7810" s="22">
        <f t="shared" si="488"/>
        <v>0</v>
      </c>
      <c r="V7810">
        <f t="shared" si="489"/>
        <v>0</v>
      </c>
      <c r="W7810" s="22">
        <f t="shared" si="490"/>
        <v>0</v>
      </c>
    </row>
    <row r="7811" spans="1:23" hidden="1" x14ac:dyDescent="0.25">
      <c r="A7811" s="3">
        <v>46192</v>
      </c>
      <c r="B7811" s="4" t="s">
        <v>946</v>
      </c>
      <c r="C7811" s="4"/>
      <c r="D7811" s="4"/>
      <c r="E7811" s="4" t="s">
        <v>921</v>
      </c>
      <c r="F7811" s="4"/>
      <c r="G7811" s="4" t="s">
        <v>946</v>
      </c>
      <c r="H7811" s="4" t="s">
        <v>380</v>
      </c>
      <c r="I7811" s="4">
        <v>1</v>
      </c>
      <c r="J7811" s="21">
        <v>898</v>
      </c>
      <c r="K7811" s="21">
        <v>0</v>
      </c>
      <c r="L7811" s="115">
        <v>898</v>
      </c>
      <c r="M7811" s="4"/>
      <c r="N7811" s="4"/>
      <c r="O7811" s="5"/>
      <c r="P7811" s="5"/>
      <c r="Q7811" s="21">
        <v>898</v>
      </c>
      <c r="R7811" s="21">
        <v>0</v>
      </c>
      <c r="S7811" s="5">
        <f t="shared" si="487"/>
        <v>47499.554819307523</v>
      </c>
      <c r="T7811" cm="1">
        <f t="array" ref="T7811">IF(OR(B7811="MAL ALIMI", B7811="ÜRETİM GİRİŞ"), MIN(I7811, MAX(0, I7811 + SUM(SUMIFS($I$1:I7810, $C$1:C7810, C7811, $B$1:B7810, {"MAL ALIMI","ÜRETİM GİRİŞ"})) - VLOOKUP(C7811, 'STOK RAPORU'!$C$2:$I$1000, 4, 0))), 0)</f>
        <v>0</v>
      </c>
      <c r="U7811" s="22">
        <f t="shared" si="488"/>
        <v>0</v>
      </c>
      <c r="V7811">
        <f t="shared" si="489"/>
        <v>0</v>
      </c>
      <c r="W7811" s="22">
        <f t="shared" si="490"/>
        <v>0</v>
      </c>
    </row>
    <row r="7812" spans="1:23" hidden="1" x14ac:dyDescent="0.25">
      <c r="A7812" s="3">
        <v>46192</v>
      </c>
      <c r="B7812" s="4" t="s">
        <v>946</v>
      </c>
      <c r="C7812" s="4"/>
      <c r="D7812" s="4"/>
      <c r="E7812" s="4" t="s">
        <v>921</v>
      </c>
      <c r="F7812" s="4"/>
      <c r="G7812" s="4" t="s">
        <v>946</v>
      </c>
      <c r="H7812" s="4" t="s">
        <v>380</v>
      </c>
      <c r="I7812" s="4">
        <v>1</v>
      </c>
      <c r="J7812" s="21">
        <v>1903</v>
      </c>
      <c r="K7812" s="21">
        <v>0</v>
      </c>
      <c r="L7812" s="115">
        <v>1903</v>
      </c>
      <c r="M7812" s="4"/>
      <c r="N7812" s="4"/>
      <c r="O7812" s="5"/>
      <c r="P7812" s="5"/>
      <c r="Q7812" s="21">
        <v>1903</v>
      </c>
      <c r="R7812" s="21">
        <v>0</v>
      </c>
      <c r="S7812" s="5">
        <f t="shared" si="487"/>
        <v>49402.554819307523</v>
      </c>
      <c r="T7812" cm="1">
        <f t="array" ref="T7812">IF(OR(B7812="MAL ALIMI", B7812="ÜRETİM GİRİŞ"), MIN(I7812, MAX(0, I7812 + SUM(SUMIFS($I$1:I7811, $C$1:C7811, C7812, $B$1:B7811, {"MAL ALIMI","ÜRETİM GİRİŞ"})) - VLOOKUP(C7812, 'STOK RAPORU'!$C$2:$I$1000, 4, 0))), 0)</f>
        <v>0</v>
      </c>
      <c r="U7812" s="22">
        <f t="shared" si="488"/>
        <v>0</v>
      </c>
      <c r="V7812">
        <f t="shared" si="489"/>
        <v>0</v>
      </c>
      <c r="W7812" s="22">
        <f t="shared" si="490"/>
        <v>0</v>
      </c>
    </row>
    <row r="7813" spans="1:23" hidden="1" x14ac:dyDescent="0.25">
      <c r="A7813" s="3">
        <v>46192</v>
      </c>
      <c r="B7813" s="4" t="s">
        <v>946</v>
      </c>
      <c r="C7813" s="4"/>
      <c r="D7813" s="4" t="s">
        <v>943</v>
      </c>
      <c r="E7813" s="4" t="s">
        <v>921</v>
      </c>
      <c r="F7813" s="4"/>
      <c r="G7813" s="4" t="s">
        <v>3546</v>
      </c>
      <c r="H7813" s="4" t="s">
        <v>380</v>
      </c>
      <c r="I7813" s="4">
        <v>1</v>
      </c>
      <c r="J7813" s="21">
        <v>330</v>
      </c>
      <c r="K7813" s="21">
        <v>0</v>
      </c>
      <c r="L7813" s="115">
        <v>330</v>
      </c>
      <c r="M7813" s="4"/>
      <c r="N7813" s="4"/>
      <c r="O7813" s="5"/>
      <c r="P7813" s="5"/>
      <c r="Q7813" s="21">
        <v>330</v>
      </c>
      <c r="R7813" s="21">
        <v>0</v>
      </c>
      <c r="S7813" s="5">
        <f t="shared" ref="S7813:S7876" si="491">S7812+Q7813-R7813</f>
        <v>49732.554819307523</v>
      </c>
      <c r="T7813" cm="1">
        <f t="array" ref="T7813">IF(OR(B7813="MAL ALIMI", B7813="ÜRETİM GİRİŞ"), MIN(I7813, MAX(0, I7813 + SUM(SUMIFS($I$1:I7812, $C$1:C7812, C7813, $B$1:B7812, {"MAL ALIMI","ÜRETİM GİRİŞ"})) - VLOOKUP(C7813, 'STOK RAPORU'!$C$2:$I$1000, 4, 0))), 0)</f>
        <v>0</v>
      </c>
      <c r="U7813" s="22">
        <f t="shared" si="488"/>
        <v>0</v>
      </c>
      <c r="V7813">
        <f t="shared" si="489"/>
        <v>0</v>
      </c>
      <c r="W7813" s="22">
        <f t="shared" si="490"/>
        <v>0</v>
      </c>
    </row>
    <row r="7814" spans="1:23" hidden="1" x14ac:dyDescent="0.25">
      <c r="A7814" s="3">
        <v>46192</v>
      </c>
      <c r="B7814" s="4" t="s">
        <v>285</v>
      </c>
      <c r="C7814" s="4"/>
      <c r="D7814" s="4" t="s">
        <v>943</v>
      </c>
      <c r="E7814" s="4"/>
      <c r="F7814" s="4"/>
      <c r="G7814" s="4" t="s">
        <v>3546</v>
      </c>
      <c r="H7814" s="4" t="s">
        <v>289</v>
      </c>
      <c r="I7814" s="4">
        <v>1</v>
      </c>
      <c r="J7814" s="21">
        <v>330</v>
      </c>
      <c r="K7814" s="21">
        <v>0</v>
      </c>
      <c r="L7814" s="5">
        <v>0</v>
      </c>
      <c r="M7814" s="4"/>
      <c r="N7814" s="4"/>
      <c r="O7814" s="5"/>
      <c r="P7814" s="5"/>
      <c r="Q7814" s="21">
        <v>0</v>
      </c>
      <c r="R7814" s="21">
        <v>330</v>
      </c>
      <c r="S7814" s="5">
        <f t="shared" si="491"/>
        <v>49402.554819307523</v>
      </c>
      <c r="T7814" cm="1">
        <f t="array" ref="T7814">IF(OR(B7814="MAL ALIMI", B7814="ÜRETİM GİRİŞ"), MIN(I7814, MAX(0, I7814 + SUM(SUMIFS($I$1:I7813, $C$1:C7813, C7814, $B$1:B7813, {"MAL ALIMI","ÜRETİM GİRİŞ"})) - VLOOKUP(C7814, 'STOK RAPORU'!$C$2:$I$1000, 4, 0))), 0)</f>
        <v>0</v>
      </c>
      <c r="U7814" s="22">
        <f t="shared" si="488"/>
        <v>0</v>
      </c>
      <c r="V7814">
        <f t="shared" si="489"/>
        <v>0</v>
      </c>
      <c r="W7814" s="22">
        <f t="shared" si="490"/>
        <v>0</v>
      </c>
    </row>
    <row r="7815" spans="1:23" hidden="1" x14ac:dyDescent="0.25">
      <c r="A7815" s="3">
        <v>46193</v>
      </c>
      <c r="B7815" s="46" t="s">
        <v>334</v>
      </c>
      <c r="C7815" s="4" t="s">
        <v>2125</v>
      </c>
      <c r="D7815" s="4"/>
      <c r="E7815" s="4"/>
      <c r="F7815" s="4" t="s">
        <v>3704</v>
      </c>
      <c r="G7815" s="4" t="s">
        <v>336</v>
      </c>
      <c r="H7815" s="4" t="s">
        <v>289</v>
      </c>
      <c r="I7815" s="4">
        <v>0.1891891891891892</v>
      </c>
      <c r="J7815" s="21">
        <v>370</v>
      </c>
      <c r="K7815" s="21">
        <v>0</v>
      </c>
      <c r="L7815" s="5">
        <v>0</v>
      </c>
      <c r="M7815" s="4"/>
      <c r="N7815" s="4"/>
      <c r="O7815" s="5"/>
      <c r="P7815" s="5"/>
      <c r="Q7815" s="21">
        <v>70</v>
      </c>
      <c r="R7815" s="21">
        <v>0</v>
      </c>
      <c r="S7815" s="5">
        <f t="shared" si="491"/>
        <v>49472.554819307523</v>
      </c>
      <c r="T7815" cm="1">
        <f t="array" ref="T7815">IF(OR(B7815="MAL ALIMI", B7815="ÜRETİM GİRİŞ"), MIN(I7815, MAX(0, I7815 + SUM(SUMIFS($I$1:I7814, $C$1:C7814, C7815, $B$1:B7814, {"MAL ALIMI","ÜRETİM GİRİŞ"})) - VLOOKUP(C7815, 'STOK RAPORU'!$C$2:$I$1000, 4, 0))), 0)</f>
        <v>0</v>
      </c>
      <c r="U7815" s="22">
        <f t="shared" si="488"/>
        <v>0</v>
      </c>
      <c r="V7815">
        <f t="shared" si="489"/>
        <v>0</v>
      </c>
      <c r="W7815" s="22">
        <f t="shared" si="490"/>
        <v>0</v>
      </c>
    </row>
    <row r="7816" spans="1:23" hidden="1" x14ac:dyDescent="0.25">
      <c r="A7816" s="3">
        <v>46193</v>
      </c>
      <c r="B7816" s="46" t="s">
        <v>334</v>
      </c>
      <c r="C7816" s="4" t="s">
        <v>1357</v>
      </c>
      <c r="D7816" s="4"/>
      <c r="E7816" s="4"/>
      <c r="F7816" s="4" t="s">
        <v>3704</v>
      </c>
      <c r="G7816" s="4" t="s">
        <v>336</v>
      </c>
      <c r="H7816" s="4" t="s">
        <v>289</v>
      </c>
      <c r="I7816" s="4">
        <v>0.2257142857142857</v>
      </c>
      <c r="J7816" s="21">
        <v>700</v>
      </c>
      <c r="K7816" s="21">
        <v>0</v>
      </c>
      <c r="L7816" s="5">
        <v>0</v>
      </c>
      <c r="M7816" s="4"/>
      <c r="N7816" s="4"/>
      <c r="O7816" s="5"/>
      <c r="P7816" s="5"/>
      <c r="Q7816" s="21">
        <v>158</v>
      </c>
      <c r="R7816" s="21">
        <v>0</v>
      </c>
      <c r="S7816" s="5">
        <f t="shared" si="491"/>
        <v>49630.554819307523</v>
      </c>
      <c r="T7816" cm="1">
        <f t="array" ref="T7816">IF(OR(B7816="MAL ALIMI", B7816="ÜRETİM GİRİŞ"), MIN(I7816, MAX(0, I7816 + SUM(SUMIFS($I$1:I7815, $C$1:C7815, C7816, $B$1:B7815, {"MAL ALIMI","ÜRETİM GİRİŞ"})) - VLOOKUP(C7816, 'STOK RAPORU'!$C$2:$I$1000, 4, 0))), 0)</f>
        <v>0</v>
      </c>
      <c r="U7816" s="22">
        <f t="shared" si="488"/>
        <v>0</v>
      </c>
      <c r="V7816">
        <f t="shared" si="489"/>
        <v>0</v>
      </c>
      <c r="W7816" s="22">
        <f t="shared" si="490"/>
        <v>0</v>
      </c>
    </row>
    <row r="7817" spans="1:23" hidden="1" x14ac:dyDescent="0.25">
      <c r="A7817" s="3">
        <v>46193</v>
      </c>
      <c r="B7817" s="46" t="s">
        <v>334</v>
      </c>
      <c r="C7817" s="4" t="s">
        <v>728</v>
      </c>
      <c r="D7817" s="4"/>
      <c r="E7817" s="4"/>
      <c r="F7817" s="4" t="s">
        <v>3704</v>
      </c>
      <c r="G7817" s="4" t="s">
        <v>336</v>
      </c>
      <c r="H7817" s="4" t="s">
        <v>289</v>
      </c>
      <c r="I7817" s="4">
        <v>0.23538461538461539</v>
      </c>
      <c r="J7817" s="21">
        <v>650</v>
      </c>
      <c r="K7817" s="21">
        <v>0</v>
      </c>
      <c r="L7817" s="5">
        <v>0</v>
      </c>
      <c r="M7817" s="4"/>
      <c r="N7817" s="4"/>
      <c r="O7817" s="5"/>
      <c r="P7817" s="5"/>
      <c r="Q7817" s="21">
        <v>153</v>
      </c>
      <c r="R7817" s="21">
        <v>0</v>
      </c>
      <c r="S7817" s="5">
        <f t="shared" si="491"/>
        <v>49783.554819307523</v>
      </c>
      <c r="T7817" cm="1">
        <f t="array" ref="T7817">IF(OR(B7817="MAL ALIMI", B7817="ÜRETİM GİRİŞ"), MIN(I7817, MAX(0, I7817 + SUM(SUMIFS($I$1:I7816, $C$1:C7816, C7817, $B$1:B7816, {"MAL ALIMI","ÜRETİM GİRİŞ"})) - VLOOKUP(C7817, 'STOK RAPORU'!$C$2:$I$1000, 4, 0))), 0)</f>
        <v>0</v>
      </c>
      <c r="U7817" s="22">
        <f t="shared" si="488"/>
        <v>0</v>
      </c>
      <c r="V7817">
        <f t="shared" si="489"/>
        <v>0</v>
      </c>
      <c r="W7817" s="22">
        <f t="shared" si="490"/>
        <v>0</v>
      </c>
    </row>
    <row r="7818" spans="1:23" hidden="1" x14ac:dyDescent="0.25">
      <c r="A7818" s="3">
        <v>46193</v>
      </c>
      <c r="B7818" s="46" t="s">
        <v>334</v>
      </c>
      <c r="C7818" s="4" t="s">
        <v>2121</v>
      </c>
      <c r="D7818" s="4"/>
      <c r="E7818" s="4"/>
      <c r="F7818" s="4" t="s">
        <v>3704</v>
      </c>
      <c r="G7818" s="4" t="s">
        <v>336</v>
      </c>
      <c r="H7818" s="4" t="s">
        <v>289</v>
      </c>
      <c r="I7818" s="4">
        <v>1.8461538461538463</v>
      </c>
      <c r="J7818" s="21">
        <v>65</v>
      </c>
      <c r="K7818" s="21">
        <v>0</v>
      </c>
      <c r="L7818" s="5">
        <v>0</v>
      </c>
      <c r="M7818" s="4"/>
      <c r="N7818" s="4"/>
      <c r="O7818" s="5"/>
      <c r="P7818" s="5"/>
      <c r="Q7818" s="21">
        <v>120</v>
      </c>
      <c r="R7818" s="21">
        <v>0</v>
      </c>
      <c r="S7818" s="5">
        <f t="shared" si="491"/>
        <v>49903.554819307523</v>
      </c>
      <c r="T7818" cm="1">
        <f t="array" ref="T7818">IF(OR(B7818="MAL ALIMI", B7818="ÜRETİM GİRİŞ"), MIN(I7818, MAX(0, I7818 + SUM(SUMIFS($I$1:I7817, $C$1:C7817, C7818, $B$1:B7817, {"MAL ALIMI","ÜRETİM GİRİŞ"})) - VLOOKUP(C7818, 'STOK RAPORU'!$C$2:$I$1000, 4, 0))), 0)</f>
        <v>0</v>
      </c>
      <c r="U7818" s="22">
        <f t="shared" si="488"/>
        <v>0</v>
      </c>
      <c r="V7818">
        <f t="shared" si="489"/>
        <v>0</v>
      </c>
      <c r="W7818" s="22">
        <f t="shared" si="490"/>
        <v>0</v>
      </c>
    </row>
    <row r="7819" spans="1:23" hidden="1" x14ac:dyDescent="0.25">
      <c r="A7819" s="3">
        <v>46193</v>
      </c>
      <c r="B7819" s="46" t="s">
        <v>334</v>
      </c>
      <c r="C7819" s="4" t="s">
        <v>1023</v>
      </c>
      <c r="D7819" s="4"/>
      <c r="E7819" s="4"/>
      <c r="F7819" s="4" t="s">
        <v>3704</v>
      </c>
      <c r="G7819" s="4" t="s">
        <v>336</v>
      </c>
      <c r="H7819" s="4" t="s">
        <v>289</v>
      </c>
      <c r="I7819" s="4">
        <v>1.0769230769230769</v>
      </c>
      <c r="J7819" s="21">
        <v>65</v>
      </c>
      <c r="K7819" s="21">
        <v>0</v>
      </c>
      <c r="L7819" s="5">
        <v>0</v>
      </c>
      <c r="M7819" s="4"/>
      <c r="N7819" s="4"/>
      <c r="O7819" s="5"/>
      <c r="P7819" s="5"/>
      <c r="Q7819" s="21">
        <v>70</v>
      </c>
      <c r="R7819" s="21">
        <v>0</v>
      </c>
      <c r="S7819" s="5">
        <f t="shared" si="491"/>
        <v>49973.554819307523</v>
      </c>
      <c r="T7819" cm="1">
        <f t="array" ref="T7819">IF(OR(B7819="MAL ALIMI", B7819="ÜRETİM GİRİŞ"), MIN(I7819, MAX(0, I7819 + SUM(SUMIFS($I$1:I7818, $C$1:C7818, C7819, $B$1:B7818, {"MAL ALIMI","ÜRETİM GİRİŞ"})) - VLOOKUP(C7819, 'STOK RAPORU'!$C$2:$I$1000, 4, 0))), 0)</f>
        <v>0</v>
      </c>
      <c r="U7819" s="22">
        <f t="shared" si="488"/>
        <v>0</v>
      </c>
      <c r="V7819">
        <f t="shared" si="489"/>
        <v>0</v>
      </c>
      <c r="W7819" s="22">
        <f t="shared" si="490"/>
        <v>0</v>
      </c>
    </row>
    <row r="7820" spans="1:23" hidden="1" x14ac:dyDescent="0.25">
      <c r="A7820" s="3">
        <v>46193</v>
      </c>
      <c r="B7820" s="46" t="s">
        <v>334</v>
      </c>
      <c r="C7820" s="4" t="s">
        <v>690</v>
      </c>
      <c r="D7820" s="4"/>
      <c r="E7820" s="4" t="s">
        <v>921</v>
      </c>
      <c r="F7820" s="4" t="s">
        <v>3705</v>
      </c>
      <c r="G7820" s="4" t="s">
        <v>336</v>
      </c>
      <c r="H7820" s="4" t="s">
        <v>380</v>
      </c>
      <c r="I7820" s="4">
        <v>0.13142857142857142</v>
      </c>
      <c r="J7820" s="21">
        <v>350</v>
      </c>
      <c r="K7820" s="21">
        <v>46</v>
      </c>
      <c r="L7820" s="5">
        <v>0</v>
      </c>
      <c r="M7820" s="4"/>
      <c r="N7820" s="4"/>
      <c r="O7820" s="5"/>
      <c r="P7820" s="5"/>
      <c r="Q7820" s="21">
        <v>0</v>
      </c>
      <c r="R7820" s="21">
        <v>0</v>
      </c>
      <c r="S7820" s="5">
        <f t="shared" si="491"/>
        <v>49973.554819307523</v>
      </c>
      <c r="T7820" cm="1">
        <f t="array" ref="T7820">IF(OR(B7820="MAL ALIMI", B7820="ÜRETİM GİRİŞ"), MIN(I7820, MAX(0, I7820 + SUM(SUMIFS($I$1:I7819, $C$1:C7819, C7820, $B$1:B7819, {"MAL ALIMI","ÜRETİM GİRİŞ"})) - VLOOKUP(C7820, 'STOK RAPORU'!$C$2:$I$1000, 4, 0))), 0)</f>
        <v>0</v>
      </c>
      <c r="U7820" s="22">
        <f t="shared" si="488"/>
        <v>0</v>
      </c>
      <c r="V7820">
        <f t="shared" si="489"/>
        <v>0</v>
      </c>
      <c r="W7820" s="22">
        <f t="shared" si="490"/>
        <v>0</v>
      </c>
    </row>
    <row r="7821" spans="1:23" hidden="1" x14ac:dyDescent="0.25">
      <c r="A7821" s="3">
        <v>46193</v>
      </c>
      <c r="B7821" s="46" t="s">
        <v>334</v>
      </c>
      <c r="C7821" s="4" t="s">
        <v>1637</v>
      </c>
      <c r="D7821" s="4"/>
      <c r="E7821" s="4" t="s">
        <v>921</v>
      </c>
      <c r="F7821" s="4" t="s">
        <v>3706</v>
      </c>
      <c r="G7821" s="4" t="s">
        <v>336</v>
      </c>
      <c r="H7821" s="4" t="s">
        <v>380</v>
      </c>
      <c r="I7821" s="4">
        <v>1</v>
      </c>
      <c r="J7821" s="21">
        <v>150</v>
      </c>
      <c r="K7821" s="21">
        <v>150</v>
      </c>
      <c r="L7821" s="5">
        <v>0</v>
      </c>
      <c r="M7821" s="4"/>
      <c r="N7821" s="4"/>
      <c r="O7821" s="5"/>
      <c r="P7821" s="5"/>
      <c r="Q7821" s="21">
        <v>0</v>
      </c>
      <c r="R7821" s="21">
        <v>0</v>
      </c>
      <c r="S7821" s="5">
        <f t="shared" si="491"/>
        <v>49973.554819307523</v>
      </c>
      <c r="T7821" cm="1">
        <f t="array" ref="T7821">IF(OR(B7821="MAL ALIMI", B7821="ÜRETİM GİRİŞ"), MIN(I7821, MAX(0, I7821 + SUM(SUMIFS($I$1:I7820, $C$1:C7820, C7821, $B$1:B7820, {"MAL ALIMI","ÜRETİM GİRİŞ"})) - VLOOKUP(C7821, 'STOK RAPORU'!$C$2:$I$1000, 4, 0))), 0)</f>
        <v>0</v>
      </c>
      <c r="U7821" s="22">
        <f t="shared" si="488"/>
        <v>0</v>
      </c>
      <c r="V7821">
        <f t="shared" si="489"/>
        <v>0</v>
      </c>
      <c r="W7821" s="22">
        <f t="shared" si="490"/>
        <v>0</v>
      </c>
    </row>
    <row r="7822" spans="1:23" hidden="1" x14ac:dyDescent="0.25">
      <c r="A7822" s="3">
        <v>46193</v>
      </c>
      <c r="B7822" s="46" t="s">
        <v>334</v>
      </c>
      <c r="C7822" s="4" t="s">
        <v>530</v>
      </c>
      <c r="D7822" s="4"/>
      <c r="E7822" s="4"/>
      <c r="F7822" s="4" t="s">
        <v>3707</v>
      </c>
      <c r="G7822" s="4" t="s">
        <v>336</v>
      </c>
      <c r="H7822" s="4" t="s">
        <v>289</v>
      </c>
      <c r="I7822" s="4">
        <v>0.5</v>
      </c>
      <c r="J7822" s="21">
        <v>300</v>
      </c>
      <c r="K7822" s="21">
        <v>0</v>
      </c>
      <c r="L7822" s="5">
        <v>0</v>
      </c>
      <c r="M7822" s="4"/>
      <c r="N7822" s="4"/>
      <c r="O7822" s="5"/>
      <c r="P7822" s="5"/>
      <c r="Q7822" s="21">
        <v>150</v>
      </c>
      <c r="R7822" s="21">
        <v>0</v>
      </c>
      <c r="S7822" s="5">
        <f t="shared" si="491"/>
        <v>50123.554819307523</v>
      </c>
      <c r="T7822" cm="1">
        <f t="array" ref="T7822">IF(OR(B7822="MAL ALIMI", B7822="ÜRETİM GİRİŞ"), MIN(I7822, MAX(0, I7822 + SUM(SUMIFS($I$1:I7821, $C$1:C7821, C7822, $B$1:B7821, {"MAL ALIMI","ÜRETİM GİRİŞ"})) - VLOOKUP(C7822, 'STOK RAPORU'!$C$2:$I$1000, 4, 0))), 0)</f>
        <v>0</v>
      </c>
      <c r="U7822" s="22">
        <f t="shared" si="488"/>
        <v>0</v>
      </c>
      <c r="V7822">
        <f t="shared" si="489"/>
        <v>0</v>
      </c>
      <c r="W7822" s="22">
        <f t="shared" si="490"/>
        <v>0</v>
      </c>
    </row>
    <row r="7823" spans="1:23" hidden="1" x14ac:dyDescent="0.25">
      <c r="A7823" s="3">
        <v>46193</v>
      </c>
      <c r="B7823" s="46" t="s">
        <v>334</v>
      </c>
      <c r="C7823" s="4" t="s">
        <v>131</v>
      </c>
      <c r="D7823" s="4"/>
      <c r="E7823" s="4"/>
      <c r="F7823" s="4" t="s">
        <v>3707</v>
      </c>
      <c r="G7823" s="4" t="s">
        <v>336</v>
      </c>
      <c r="H7823" s="4" t="s">
        <v>289</v>
      </c>
      <c r="I7823" s="4">
        <v>0.11</v>
      </c>
      <c r="J7823" s="21">
        <v>400</v>
      </c>
      <c r="K7823" s="21">
        <v>0</v>
      </c>
      <c r="L7823" s="5">
        <v>0</v>
      </c>
      <c r="M7823" s="4"/>
      <c r="N7823" s="4"/>
      <c r="O7823" s="5"/>
      <c r="P7823" s="5"/>
      <c r="Q7823" s="21">
        <v>44</v>
      </c>
      <c r="R7823" s="21">
        <v>0</v>
      </c>
      <c r="S7823" s="5">
        <f t="shared" si="491"/>
        <v>50167.554819307523</v>
      </c>
      <c r="T7823" cm="1">
        <f t="array" ref="T7823">IF(OR(B7823="MAL ALIMI", B7823="ÜRETİM GİRİŞ"), MIN(I7823, MAX(0, I7823 + SUM(SUMIFS($I$1:I7822, $C$1:C7822, C7823, $B$1:B7822, {"MAL ALIMI","ÜRETİM GİRİŞ"})) - VLOOKUP(C7823, 'STOK RAPORU'!$C$2:$I$1000, 4, 0))), 0)</f>
        <v>0</v>
      </c>
      <c r="U7823" s="22">
        <f t="shared" si="488"/>
        <v>0</v>
      </c>
      <c r="V7823">
        <f t="shared" si="489"/>
        <v>0</v>
      </c>
      <c r="W7823" s="22">
        <f t="shared" si="490"/>
        <v>0</v>
      </c>
    </row>
    <row r="7824" spans="1:23" hidden="1" x14ac:dyDescent="0.25">
      <c r="A7824" s="3">
        <v>46193</v>
      </c>
      <c r="B7824" s="46" t="s">
        <v>334</v>
      </c>
      <c r="C7824" s="4" t="s">
        <v>459</v>
      </c>
      <c r="D7824" s="4"/>
      <c r="E7824" s="4"/>
      <c r="F7824" s="4" t="s">
        <v>3707</v>
      </c>
      <c r="G7824" s="4" t="s">
        <v>336</v>
      </c>
      <c r="H7824" s="4" t="s">
        <v>289</v>
      </c>
      <c r="I7824" s="4">
        <v>0.5</v>
      </c>
      <c r="J7824" s="21">
        <v>140</v>
      </c>
      <c r="K7824" s="21">
        <v>0</v>
      </c>
      <c r="L7824" s="5">
        <v>0</v>
      </c>
      <c r="M7824" s="4"/>
      <c r="N7824" s="4"/>
      <c r="O7824" s="5"/>
      <c r="P7824" s="5"/>
      <c r="Q7824" s="21">
        <v>70</v>
      </c>
      <c r="R7824" s="21">
        <v>0</v>
      </c>
      <c r="S7824" s="5">
        <f t="shared" si="491"/>
        <v>50237.554819307523</v>
      </c>
      <c r="T7824" cm="1">
        <f t="array" ref="T7824">IF(OR(B7824="MAL ALIMI", B7824="ÜRETİM GİRİŞ"), MIN(I7824, MAX(0, I7824 + SUM(SUMIFS($I$1:I7823, $C$1:C7823, C7824, $B$1:B7823, {"MAL ALIMI","ÜRETİM GİRİŞ"})) - VLOOKUP(C7824, 'STOK RAPORU'!$C$2:$I$1000, 4, 0))), 0)</f>
        <v>0</v>
      </c>
      <c r="U7824" s="22">
        <f t="shared" si="488"/>
        <v>0</v>
      </c>
      <c r="V7824">
        <f t="shared" si="489"/>
        <v>0</v>
      </c>
      <c r="W7824" s="22">
        <f t="shared" si="490"/>
        <v>0</v>
      </c>
    </row>
    <row r="7825" spans="1:23" hidden="1" x14ac:dyDescent="0.25">
      <c r="A7825" s="3">
        <v>46193</v>
      </c>
      <c r="B7825" s="46" t="s">
        <v>334</v>
      </c>
      <c r="C7825" s="4" t="s">
        <v>1428</v>
      </c>
      <c r="D7825" s="4"/>
      <c r="E7825" s="4"/>
      <c r="F7825" s="4" t="s">
        <v>3708</v>
      </c>
      <c r="G7825" s="4" t="s">
        <v>336</v>
      </c>
      <c r="H7825" s="4" t="s">
        <v>289</v>
      </c>
      <c r="I7825" s="4">
        <v>0.1</v>
      </c>
      <c r="J7825" s="21">
        <v>800</v>
      </c>
      <c r="K7825" s="21">
        <v>0</v>
      </c>
      <c r="L7825" s="5">
        <v>0</v>
      </c>
      <c r="M7825" s="4"/>
      <c r="N7825" s="4"/>
      <c r="O7825" s="5"/>
      <c r="P7825" s="5"/>
      <c r="Q7825" s="21">
        <v>80</v>
      </c>
      <c r="R7825" s="21">
        <v>0</v>
      </c>
      <c r="S7825" s="5">
        <f t="shared" si="491"/>
        <v>50317.554819307523</v>
      </c>
      <c r="T7825" cm="1">
        <f t="array" ref="T7825">IF(OR(B7825="MAL ALIMI", B7825="ÜRETİM GİRİŞ"), MIN(I7825, MAX(0, I7825 + SUM(SUMIFS($I$1:I7824, $C$1:C7824, C7825, $B$1:B7824, {"MAL ALIMI","ÜRETİM GİRİŞ"})) - VLOOKUP(C7825, 'STOK RAPORU'!$C$2:$I$1000, 4, 0))), 0)</f>
        <v>0</v>
      </c>
      <c r="U7825" s="22">
        <f t="shared" si="488"/>
        <v>0</v>
      </c>
      <c r="V7825">
        <f t="shared" si="489"/>
        <v>0</v>
      </c>
      <c r="W7825" s="22">
        <f t="shared" si="490"/>
        <v>0</v>
      </c>
    </row>
    <row r="7826" spans="1:23" hidden="1" x14ac:dyDescent="0.25">
      <c r="A7826" s="3">
        <v>46193</v>
      </c>
      <c r="B7826" s="46" t="s">
        <v>334</v>
      </c>
      <c r="C7826" s="4" t="s">
        <v>130</v>
      </c>
      <c r="D7826" s="4"/>
      <c r="E7826" s="4"/>
      <c r="F7826" s="4" t="s">
        <v>3708</v>
      </c>
      <c r="G7826" s="4" t="s">
        <v>336</v>
      </c>
      <c r="H7826" s="4" t="s">
        <v>289</v>
      </c>
      <c r="I7826" s="4">
        <v>8.8888888888888892E-2</v>
      </c>
      <c r="J7826" s="21">
        <v>450</v>
      </c>
      <c r="K7826" s="21">
        <v>0</v>
      </c>
      <c r="L7826" s="5">
        <v>0</v>
      </c>
      <c r="M7826" s="4"/>
      <c r="N7826" s="4"/>
      <c r="O7826" s="5"/>
      <c r="P7826" s="5"/>
      <c r="Q7826" s="21">
        <v>40</v>
      </c>
      <c r="R7826" s="21">
        <v>0</v>
      </c>
      <c r="S7826" s="5">
        <f t="shared" si="491"/>
        <v>50357.554819307523</v>
      </c>
      <c r="T7826" cm="1">
        <f t="array" ref="T7826">IF(OR(B7826="MAL ALIMI", B7826="ÜRETİM GİRİŞ"), MIN(I7826, MAX(0, I7826 + SUM(SUMIFS($I$1:I7825, $C$1:C7825, C7826, $B$1:B7825, {"MAL ALIMI","ÜRETİM GİRİŞ"})) - VLOOKUP(C7826, 'STOK RAPORU'!$C$2:$I$1000, 4, 0))), 0)</f>
        <v>0</v>
      </c>
      <c r="U7826" s="22">
        <f t="shared" si="488"/>
        <v>0</v>
      </c>
      <c r="V7826">
        <f t="shared" si="489"/>
        <v>0</v>
      </c>
      <c r="W7826" s="22">
        <f t="shared" si="490"/>
        <v>0</v>
      </c>
    </row>
    <row r="7827" spans="1:23" hidden="1" x14ac:dyDescent="0.25">
      <c r="A7827" s="3">
        <v>46193</v>
      </c>
      <c r="B7827" s="46" t="s">
        <v>334</v>
      </c>
      <c r="C7827" s="4" t="s">
        <v>470</v>
      </c>
      <c r="D7827" s="4"/>
      <c r="E7827" s="4"/>
      <c r="F7827" s="4" t="s">
        <v>3709</v>
      </c>
      <c r="G7827" s="4" t="s">
        <v>336</v>
      </c>
      <c r="H7827" s="4" t="s">
        <v>289</v>
      </c>
      <c r="I7827" s="4">
        <v>1</v>
      </c>
      <c r="J7827" s="21">
        <v>60</v>
      </c>
      <c r="K7827" s="21">
        <v>0</v>
      </c>
      <c r="L7827" s="5">
        <v>0</v>
      </c>
      <c r="M7827" s="4"/>
      <c r="N7827" s="4"/>
      <c r="O7827" s="5"/>
      <c r="P7827" s="5"/>
      <c r="Q7827" s="21">
        <v>60</v>
      </c>
      <c r="R7827" s="21">
        <v>0</v>
      </c>
      <c r="S7827" s="5">
        <f t="shared" si="491"/>
        <v>50417.554819307523</v>
      </c>
      <c r="T7827" cm="1">
        <f t="array" ref="T7827">IF(OR(B7827="MAL ALIMI", B7827="ÜRETİM GİRİŞ"), MIN(I7827, MAX(0, I7827 + SUM(SUMIFS($I$1:I7826, $C$1:C7826, C7827, $B$1:B7826, {"MAL ALIMI","ÜRETİM GİRİŞ"})) - VLOOKUP(C7827, 'STOK RAPORU'!$C$2:$I$1000, 4, 0))), 0)</f>
        <v>0</v>
      </c>
      <c r="U7827" s="22">
        <f t="shared" si="488"/>
        <v>0</v>
      </c>
      <c r="V7827">
        <f t="shared" si="489"/>
        <v>0</v>
      </c>
      <c r="W7827" s="22">
        <f t="shared" si="490"/>
        <v>0</v>
      </c>
    </row>
    <row r="7828" spans="1:23" hidden="1" x14ac:dyDescent="0.25">
      <c r="A7828" s="3">
        <v>46193</v>
      </c>
      <c r="B7828" s="4" t="s">
        <v>946</v>
      </c>
      <c r="C7828" s="4"/>
      <c r="D7828" s="4"/>
      <c r="E7828" s="4" t="s">
        <v>921</v>
      </c>
      <c r="F7828" s="4"/>
      <c r="G7828" s="4" t="s">
        <v>946</v>
      </c>
      <c r="H7828" s="4" t="s">
        <v>380</v>
      </c>
      <c r="I7828" s="4">
        <v>1</v>
      </c>
      <c r="J7828" s="21">
        <v>333</v>
      </c>
      <c r="K7828" s="21">
        <v>0</v>
      </c>
      <c r="L7828" s="115">
        <v>333</v>
      </c>
      <c r="M7828" s="4"/>
      <c r="N7828" s="4"/>
      <c r="O7828" s="5"/>
      <c r="P7828" s="5"/>
      <c r="Q7828" s="21">
        <v>333</v>
      </c>
      <c r="R7828" s="21">
        <v>0</v>
      </c>
      <c r="S7828" s="5">
        <f t="shared" si="491"/>
        <v>50750.554819307523</v>
      </c>
      <c r="T7828" cm="1">
        <f t="array" ref="T7828">IF(OR(B7828="MAL ALIMI", B7828="ÜRETİM GİRİŞ"), MIN(I7828, MAX(0, I7828 + SUM(SUMIFS($I$1:I7827, $C$1:C7827, C7828, $B$1:B7827, {"MAL ALIMI","ÜRETİM GİRİŞ"})) - VLOOKUP(C7828, 'STOK RAPORU'!$C$2:$I$1000, 4, 0))), 0)</f>
        <v>0</v>
      </c>
      <c r="U7828" s="22">
        <f t="shared" si="488"/>
        <v>0</v>
      </c>
      <c r="V7828">
        <f t="shared" si="489"/>
        <v>0</v>
      </c>
      <c r="W7828" s="22">
        <f t="shared" si="490"/>
        <v>0</v>
      </c>
    </row>
    <row r="7829" spans="1:23" hidden="1" x14ac:dyDescent="0.25">
      <c r="A7829" s="3">
        <v>46193</v>
      </c>
      <c r="B7829" s="4" t="s">
        <v>946</v>
      </c>
      <c r="C7829" s="4"/>
      <c r="D7829" s="4"/>
      <c r="E7829" s="4" t="s">
        <v>921</v>
      </c>
      <c r="F7829" s="4"/>
      <c r="G7829" s="4" t="s">
        <v>946</v>
      </c>
      <c r="H7829" s="4" t="s">
        <v>380</v>
      </c>
      <c r="I7829" s="4">
        <v>1</v>
      </c>
      <c r="J7829" s="21">
        <v>840</v>
      </c>
      <c r="K7829" s="21">
        <v>0</v>
      </c>
      <c r="L7829" s="115">
        <v>840</v>
      </c>
      <c r="M7829" s="4"/>
      <c r="N7829" s="4"/>
      <c r="O7829" s="5"/>
      <c r="P7829" s="5"/>
      <c r="Q7829" s="21">
        <v>840</v>
      </c>
      <c r="R7829" s="21">
        <v>0</v>
      </c>
      <c r="S7829" s="5">
        <f t="shared" si="491"/>
        <v>51590.554819307523</v>
      </c>
      <c r="T7829" cm="1">
        <f t="array" ref="T7829">IF(OR(B7829="MAL ALIMI", B7829="ÜRETİM GİRİŞ"), MIN(I7829, MAX(0, I7829 + SUM(SUMIFS($I$1:I7828, $C$1:C7828, C7829, $B$1:B7828, {"MAL ALIMI","ÜRETİM GİRİŞ"})) - VLOOKUP(C7829, 'STOK RAPORU'!$C$2:$I$1000, 4, 0))), 0)</f>
        <v>0</v>
      </c>
      <c r="U7829" s="22">
        <f t="shared" si="488"/>
        <v>0</v>
      </c>
      <c r="V7829">
        <f t="shared" si="489"/>
        <v>0</v>
      </c>
      <c r="W7829" s="22">
        <f t="shared" si="490"/>
        <v>0</v>
      </c>
    </row>
    <row r="7830" spans="1:23" hidden="1" x14ac:dyDescent="0.25">
      <c r="A7830" s="3">
        <v>46195</v>
      </c>
      <c r="B7830" s="46" t="s">
        <v>298</v>
      </c>
      <c r="C7830" s="4" t="s">
        <v>247</v>
      </c>
      <c r="D7830" s="4"/>
      <c r="E7830" s="4" t="s">
        <v>856</v>
      </c>
      <c r="F7830" s="4">
        <v>1605</v>
      </c>
      <c r="G7830" s="4" t="s">
        <v>3670</v>
      </c>
      <c r="H7830" s="4" t="s">
        <v>304</v>
      </c>
      <c r="I7830" s="4">
        <v>0.5</v>
      </c>
      <c r="J7830" s="21">
        <v>780</v>
      </c>
      <c r="K7830" s="21">
        <v>0</v>
      </c>
      <c r="L7830" s="5">
        <v>390</v>
      </c>
      <c r="M7830" s="4"/>
      <c r="N7830" s="4"/>
      <c r="O7830" s="5"/>
      <c r="P7830" s="5"/>
      <c r="Q7830" s="21">
        <v>0</v>
      </c>
      <c r="R7830" s="21">
        <v>0</v>
      </c>
      <c r="S7830" s="5">
        <f t="shared" si="491"/>
        <v>51590.554819307523</v>
      </c>
      <c r="T7830" cm="1">
        <f t="array" ref="T7830">IF(OR(B7830="MAL ALIMI", B7830="ÜRETİM GİRİŞ"), MIN(I7830, MAX(0, I7830 + SUM(SUMIFS($I$1:I7829, $C$1:C7829, C7830, $B$1:B7829, {"MAL ALIMI","ÜRETİM GİRİŞ"})) - VLOOKUP(C7830, 'STOK RAPORU'!$C$2:$I$1000, 4, 0))), 0)</f>
        <v>0</v>
      </c>
      <c r="U7830" s="22">
        <f t="shared" si="488"/>
        <v>0</v>
      </c>
      <c r="V7830">
        <f t="shared" si="489"/>
        <v>390</v>
      </c>
      <c r="W7830" s="22">
        <f t="shared" si="490"/>
        <v>390</v>
      </c>
    </row>
    <row r="7831" spans="1:23" hidden="1" x14ac:dyDescent="0.25">
      <c r="A7831" s="3">
        <v>46195</v>
      </c>
      <c r="B7831" s="46" t="s">
        <v>334</v>
      </c>
      <c r="C7831" s="4" t="s">
        <v>463</v>
      </c>
      <c r="D7831" s="4"/>
      <c r="E7831" s="4" t="s">
        <v>921</v>
      </c>
      <c r="F7831" s="4" t="s">
        <v>3710</v>
      </c>
      <c r="G7831" s="4" t="s">
        <v>336</v>
      </c>
      <c r="H7831" s="4" t="s">
        <v>380</v>
      </c>
      <c r="I7831" s="4">
        <v>0.28249999999999997</v>
      </c>
      <c r="J7831" s="21">
        <v>355</v>
      </c>
      <c r="K7831" s="21">
        <v>100.28749999999999</v>
      </c>
      <c r="L7831" s="5">
        <v>0</v>
      </c>
      <c r="M7831" s="4"/>
      <c r="N7831" s="4"/>
      <c r="O7831" s="5"/>
      <c r="P7831" s="5"/>
      <c r="Q7831" s="21">
        <v>0</v>
      </c>
      <c r="R7831" s="21">
        <v>0</v>
      </c>
      <c r="S7831" s="5">
        <f t="shared" si="491"/>
        <v>51590.554819307523</v>
      </c>
      <c r="T7831" cm="1">
        <f t="array" ref="T7831">IF(OR(B7831="MAL ALIMI", B7831="ÜRETİM GİRİŞ"), MIN(I7831, MAX(0, I7831 + SUM(SUMIFS($I$1:I7830, $C$1:C7830, C7831, $B$1:B7830, {"MAL ALIMI","ÜRETİM GİRİŞ"})) - VLOOKUP(C7831, 'STOK RAPORU'!$C$2:$I$1000, 4, 0))), 0)</f>
        <v>0</v>
      </c>
      <c r="U7831" s="22">
        <f t="shared" si="488"/>
        <v>0</v>
      </c>
      <c r="V7831">
        <f t="shared" si="489"/>
        <v>0</v>
      </c>
      <c r="W7831" s="22">
        <f t="shared" si="490"/>
        <v>0</v>
      </c>
    </row>
    <row r="7832" spans="1:23" hidden="1" x14ac:dyDescent="0.25">
      <c r="A7832" s="3">
        <v>46195</v>
      </c>
      <c r="B7832" s="46" t="s">
        <v>334</v>
      </c>
      <c r="C7832" s="4" t="s">
        <v>126</v>
      </c>
      <c r="D7832" s="4"/>
      <c r="E7832" s="4" t="s">
        <v>921</v>
      </c>
      <c r="F7832" s="4" t="s">
        <v>3710</v>
      </c>
      <c r="G7832" s="4" t="s">
        <v>336</v>
      </c>
      <c r="H7832" s="4" t="s">
        <v>380</v>
      </c>
      <c r="I7832" s="4">
        <v>0.16923076923076924</v>
      </c>
      <c r="J7832" s="21">
        <v>590</v>
      </c>
      <c r="K7832" s="21">
        <v>99.846153846153854</v>
      </c>
      <c r="L7832" s="5">
        <v>0</v>
      </c>
      <c r="M7832" s="4"/>
      <c r="N7832" s="4"/>
      <c r="O7832" s="5"/>
      <c r="P7832" s="5"/>
      <c r="Q7832" s="21">
        <v>0</v>
      </c>
      <c r="R7832" s="21">
        <v>0</v>
      </c>
      <c r="S7832" s="5">
        <f t="shared" si="491"/>
        <v>51590.554819307523</v>
      </c>
      <c r="T7832" cm="1">
        <f t="array" ref="T7832">IF(OR(B7832="MAL ALIMI", B7832="ÜRETİM GİRİŞ"), MIN(I7832, MAX(0, I7832 + SUM(SUMIFS($I$1:I7831, $C$1:C7831, C7832, $B$1:B7831, {"MAL ALIMI","ÜRETİM GİRİŞ"})) - VLOOKUP(C7832, 'STOK RAPORU'!$C$2:$I$1000, 4, 0))), 0)</f>
        <v>0</v>
      </c>
      <c r="U7832" s="22">
        <f t="shared" si="488"/>
        <v>0</v>
      </c>
      <c r="V7832">
        <f t="shared" si="489"/>
        <v>0</v>
      </c>
      <c r="W7832" s="22">
        <f t="shared" si="490"/>
        <v>0</v>
      </c>
    </row>
    <row r="7833" spans="1:23" hidden="1" x14ac:dyDescent="0.25">
      <c r="A7833" s="3">
        <v>46195</v>
      </c>
      <c r="B7833" s="46" t="s">
        <v>334</v>
      </c>
      <c r="C7833" s="4" t="s">
        <v>463</v>
      </c>
      <c r="D7833" s="4"/>
      <c r="E7833" s="4"/>
      <c r="F7833" s="4" t="s">
        <v>3711</v>
      </c>
      <c r="G7833" s="4" t="s">
        <v>336</v>
      </c>
      <c r="H7833" s="4" t="s">
        <v>289</v>
      </c>
      <c r="I7833" s="4">
        <v>0.8867924528301887</v>
      </c>
      <c r="J7833" s="21">
        <v>265</v>
      </c>
      <c r="K7833" s="21">
        <v>0</v>
      </c>
      <c r="L7833" s="5">
        <v>0</v>
      </c>
      <c r="M7833" s="4"/>
      <c r="N7833" s="4"/>
      <c r="O7833" s="5"/>
      <c r="P7833" s="5"/>
      <c r="Q7833" s="21">
        <v>235</v>
      </c>
      <c r="R7833" s="21">
        <v>0</v>
      </c>
      <c r="S7833" s="5">
        <f t="shared" si="491"/>
        <v>51825.554819307523</v>
      </c>
      <c r="T7833" cm="1">
        <f t="array" ref="T7833">IF(OR(B7833="MAL ALIMI", B7833="ÜRETİM GİRİŞ"), MIN(I7833, MAX(0, I7833 + SUM(SUMIFS($I$1:I7832, $C$1:C7832, C7833, $B$1:B7832, {"MAL ALIMI","ÜRETİM GİRİŞ"})) - VLOOKUP(C7833, 'STOK RAPORU'!$C$2:$I$1000, 4, 0))), 0)</f>
        <v>0</v>
      </c>
      <c r="U7833" s="22">
        <f t="shared" si="488"/>
        <v>0</v>
      </c>
      <c r="V7833">
        <f t="shared" si="489"/>
        <v>0</v>
      </c>
      <c r="W7833" s="22">
        <f t="shared" si="490"/>
        <v>0</v>
      </c>
    </row>
    <row r="7834" spans="1:23" hidden="1" x14ac:dyDescent="0.25">
      <c r="A7834" s="3">
        <v>46195</v>
      </c>
      <c r="B7834" s="46" t="s">
        <v>334</v>
      </c>
      <c r="C7834" s="4" t="s">
        <v>157</v>
      </c>
      <c r="D7834" s="4"/>
      <c r="E7834" s="4"/>
      <c r="F7834" s="4" t="s">
        <v>3712</v>
      </c>
      <c r="G7834" s="4" t="s">
        <v>336</v>
      </c>
      <c r="H7834" s="4" t="s">
        <v>289</v>
      </c>
      <c r="I7834" s="4">
        <v>1</v>
      </c>
      <c r="J7834" s="21">
        <v>200</v>
      </c>
      <c r="K7834" s="21">
        <v>0</v>
      </c>
      <c r="L7834" s="5">
        <v>0</v>
      </c>
      <c r="M7834" s="4"/>
      <c r="N7834" s="4"/>
      <c r="O7834" s="5"/>
      <c r="P7834" s="5"/>
      <c r="Q7834" s="21">
        <v>200</v>
      </c>
      <c r="R7834" s="21">
        <v>0</v>
      </c>
      <c r="S7834" s="5">
        <f t="shared" si="491"/>
        <v>52025.554819307523</v>
      </c>
      <c r="T7834" cm="1">
        <f t="array" ref="T7834">IF(OR(B7834="MAL ALIMI", B7834="ÜRETİM GİRİŞ"), MIN(I7834, MAX(0, I7834 + SUM(SUMIFS($I$1:I7833, $C$1:C7833, C7834, $B$1:B7833, {"MAL ALIMI","ÜRETİM GİRİŞ"})) - VLOOKUP(C7834, 'STOK RAPORU'!$C$2:$I$1000, 4, 0))), 0)</f>
        <v>0</v>
      </c>
      <c r="U7834" s="22">
        <f t="shared" si="488"/>
        <v>0</v>
      </c>
      <c r="V7834">
        <f t="shared" si="489"/>
        <v>0</v>
      </c>
      <c r="W7834" s="22">
        <f t="shared" si="490"/>
        <v>0</v>
      </c>
    </row>
    <row r="7835" spans="1:23" hidden="1" x14ac:dyDescent="0.25">
      <c r="A7835" s="3">
        <v>46195</v>
      </c>
      <c r="B7835" s="46" t="s">
        <v>334</v>
      </c>
      <c r="C7835" s="4" t="s">
        <v>204</v>
      </c>
      <c r="D7835" s="4"/>
      <c r="E7835" s="4"/>
      <c r="F7835" s="4" t="s">
        <v>3713</v>
      </c>
      <c r="G7835" s="4" t="s">
        <v>336</v>
      </c>
      <c r="H7835" s="4" t="s">
        <v>289</v>
      </c>
      <c r="I7835" s="4">
        <v>0.05</v>
      </c>
      <c r="J7835" s="21">
        <v>1400</v>
      </c>
      <c r="K7835" s="21">
        <v>0</v>
      </c>
      <c r="L7835" s="5">
        <v>0</v>
      </c>
      <c r="M7835" s="4"/>
      <c r="N7835" s="4"/>
      <c r="O7835" s="5"/>
      <c r="P7835" s="5"/>
      <c r="Q7835" s="21">
        <v>70</v>
      </c>
      <c r="R7835" s="21">
        <v>0</v>
      </c>
      <c r="S7835" s="5">
        <f t="shared" si="491"/>
        <v>52095.554819307523</v>
      </c>
      <c r="T7835" cm="1">
        <f t="array" ref="T7835">IF(OR(B7835="MAL ALIMI", B7835="ÜRETİM GİRİŞ"), MIN(I7835, MAX(0, I7835 + SUM(SUMIFS($I$1:I7834, $C$1:C7834, C7835, $B$1:B7834, {"MAL ALIMI","ÜRETİM GİRİŞ"})) - VLOOKUP(C7835, 'STOK RAPORU'!$C$2:$I$1000, 4, 0))), 0)</f>
        <v>0</v>
      </c>
      <c r="U7835" s="22">
        <f t="shared" si="488"/>
        <v>0</v>
      </c>
      <c r="V7835">
        <f t="shared" si="489"/>
        <v>0</v>
      </c>
      <c r="W7835" s="22">
        <f t="shared" si="490"/>
        <v>0</v>
      </c>
    </row>
    <row r="7836" spans="1:23" hidden="1" x14ac:dyDescent="0.25">
      <c r="A7836" s="3">
        <v>46195</v>
      </c>
      <c r="B7836" s="46" t="s">
        <v>334</v>
      </c>
      <c r="C7836" s="4" t="s">
        <v>1357</v>
      </c>
      <c r="D7836" s="4"/>
      <c r="E7836" s="4"/>
      <c r="F7836" s="4" t="s">
        <v>3714</v>
      </c>
      <c r="G7836" s="4" t="s">
        <v>336</v>
      </c>
      <c r="H7836" s="4" t="s">
        <v>289</v>
      </c>
      <c r="I7836" s="4">
        <v>0.25</v>
      </c>
      <c r="J7836" s="21">
        <v>700</v>
      </c>
      <c r="K7836" s="21">
        <v>0</v>
      </c>
      <c r="L7836" s="5">
        <v>0</v>
      </c>
      <c r="M7836" s="4"/>
      <c r="N7836" s="4"/>
      <c r="O7836" s="5"/>
      <c r="P7836" s="5"/>
      <c r="Q7836" s="21">
        <v>175</v>
      </c>
      <c r="R7836" s="21">
        <v>0</v>
      </c>
      <c r="S7836" s="5">
        <f t="shared" si="491"/>
        <v>52270.554819307523</v>
      </c>
      <c r="T7836" cm="1">
        <f t="array" ref="T7836">IF(OR(B7836="MAL ALIMI", B7836="ÜRETİM GİRİŞ"), MIN(I7836, MAX(0, I7836 + SUM(SUMIFS($I$1:I7835, $C$1:C7835, C7836, $B$1:B7835, {"MAL ALIMI","ÜRETİM GİRİŞ"})) - VLOOKUP(C7836, 'STOK RAPORU'!$C$2:$I$1000, 4, 0))), 0)</f>
        <v>0</v>
      </c>
      <c r="U7836" s="22">
        <f t="shared" si="488"/>
        <v>0</v>
      </c>
      <c r="V7836">
        <f t="shared" si="489"/>
        <v>0</v>
      </c>
      <c r="W7836" s="22">
        <f t="shared" si="490"/>
        <v>0</v>
      </c>
    </row>
    <row r="7837" spans="1:23" hidden="1" x14ac:dyDescent="0.25">
      <c r="A7837" s="3">
        <v>46195</v>
      </c>
      <c r="B7837" s="46" t="s">
        <v>334</v>
      </c>
      <c r="C7837" s="4" t="s">
        <v>728</v>
      </c>
      <c r="D7837" s="4"/>
      <c r="E7837" s="4"/>
      <c r="F7837" s="4" t="s">
        <v>3714</v>
      </c>
      <c r="G7837" s="4" t="s">
        <v>336</v>
      </c>
      <c r="H7837" s="4" t="s">
        <v>289</v>
      </c>
      <c r="I7837" s="4">
        <v>0.25384615384615383</v>
      </c>
      <c r="J7837" s="21">
        <v>650</v>
      </c>
      <c r="K7837" s="21">
        <v>0</v>
      </c>
      <c r="L7837" s="5">
        <v>0</v>
      </c>
      <c r="M7837" s="4"/>
      <c r="N7837" s="4"/>
      <c r="O7837" s="5"/>
      <c r="P7837" s="5"/>
      <c r="Q7837" s="21">
        <v>165</v>
      </c>
      <c r="R7837" s="21">
        <v>0</v>
      </c>
      <c r="S7837" s="5">
        <f t="shared" si="491"/>
        <v>52435.554819307523</v>
      </c>
      <c r="T7837" cm="1">
        <f t="array" ref="T7837">IF(OR(B7837="MAL ALIMI", B7837="ÜRETİM GİRİŞ"), MIN(I7837, MAX(0, I7837 + SUM(SUMIFS($I$1:I7836, $C$1:C7836, C7837, $B$1:B7836, {"MAL ALIMI","ÜRETİM GİRİŞ"})) - VLOOKUP(C7837, 'STOK RAPORU'!$C$2:$I$1000, 4, 0))), 0)</f>
        <v>0</v>
      </c>
      <c r="U7837" s="22">
        <f t="shared" si="488"/>
        <v>0</v>
      </c>
      <c r="V7837">
        <f t="shared" si="489"/>
        <v>0</v>
      </c>
      <c r="W7837" s="22">
        <f t="shared" si="490"/>
        <v>0</v>
      </c>
    </row>
    <row r="7838" spans="1:23" hidden="1" x14ac:dyDescent="0.25">
      <c r="A7838" s="3">
        <v>46195</v>
      </c>
      <c r="B7838" s="46" t="s">
        <v>334</v>
      </c>
      <c r="C7838" s="4" t="s">
        <v>1428</v>
      </c>
      <c r="D7838" s="4"/>
      <c r="E7838" s="4"/>
      <c r="F7838" s="4" t="s">
        <v>3714</v>
      </c>
      <c r="G7838" s="4" t="s">
        <v>336</v>
      </c>
      <c r="H7838" s="4" t="s">
        <v>289</v>
      </c>
      <c r="I7838" s="4">
        <v>0.2</v>
      </c>
      <c r="J7838" s="21">
        <v>800</v>
      </c>
      <c r="K7838" s="21">
        <v>0</v>
      </c>
      <c r="L7838" s="5">
        <v>0</v>
      </c>
      <c r="M7838" s="4"/>
      <c r="N7838" s="4"/>
      <c r="O7838" s="5"/>
      <c r="P7838" s="5"/>
      <c r="Q7838" s="21">
        <v>160</v>
      </c>
      <c r="R7838" s="21">
        <v>0</v>
      </c>
      <c r="S7838" s="5">
        <f t="shared" si="491"/>
        <v>52595.554819307523</v>
      </c>
      <c r="T7838" cm="1">
        <f t="array" ref="T7838">IF(OR(B7838="MAL ALIMI", B7838="ÜRETİM GİRİŞ"), MIN(I7838, MAX(0, I7838 + SUM(SUMIFS($I$1:I7837, $C$1:C7837, C7838, $B$1:B7837, {"MAL ALIMI","ÜRETİM GİRİŞ"})) - VLOOKUP(C7838, 'STOK RAPORU'!$C$2:$I$1000, 4, 0))), 0)</f>
        <v>0</v>
      </c>
      <c r="U7838" s="22">
        <f t="shared" si="488"/>
        <v>0</v>
      </c>
      <c r="V7838">
        <f t="shared" si="489"/>
        <v>0</v>
      </c>
      <c r="W7838" s="22">
        <f t="shared" si="490"/>
        <v>0</v>
      </c>
    </row>
    <row r="7839" spans="1:23" hidden="1" x14ac:dyDescent="0.25">
      <c r="A7839" s="3">
        <v>46195</v>
      </c>
      <c r="B7839" s="46" t="s">
        <v>334</v>
      </c>
      <c r="C7839" s="4" t="s">
        <v>247</v>
      </c>
      <c r="D7839" s="4"/>
      <c r="E7839" s="4"/>
      <c r="F7839" s="4" t="s">
        <v>3714</v>
      </c>
      <c r="G7839" s="4" t="s">
        <v>336</v>
      </c>
      <c r="H7839" s="4" t="s">
        <v>289</v>
      </c>
      <c r="I7839" s="4">
        <v>0.25</v>
      </c>
      <c r="J7839" s="21">
        <v>1200</v>
      </c>
      <c r="K7839" s="21">
        <v>0</v>
      </c>
      <c r="L7839" s="5">
        <v>0</v>
      </c>
      <c r="M7839" s="4"/>
      <c r="N7839" s="4"/>
      <c r="O7839" s="5"/>
      <c r="P7839" s="5"/>
      <c r="Q7839" s="21">
        <v>300</v>
      </c>
      <c r="R7839" s="21">
        <v>0</v>
      </c>
      <c r="S7839" s="5">
        <f t="shared" si="491"/>
        <v>52895.554819307523</v>
      </c>
      <c r="T7839" cm="1">
        <f t="array" ref="T7839">IF(OR(B7839="MAL ALIMI", B7839="ÜRETİM GİRİŞ"), MIN(I7839, MAX(0, I7839 + SUM(SUMIFS($I$1:I7838, $C$1:C7838, C7839, $B$1:B7838, {"MAL ALIMI","ÜRETİM GİRİŞ"})) - VLOOKUP(C7839, 'STOK RAPORU'!$C$2:$I$1000, 4, 0))), 0)</f>
        <v>0</v>
      </c>
      <c r="U7839" s="22">
        <f t="shared" si="488"/>
        <v>0</v>
      </c>
      <c r="V7839">
        <f t="shared" si="489"/>
        <v>0</v>
      </c>
      <c r="W7839" s="22">
        <f t="shared" si="490"/>
        <v>0</v>
      </c>
    </row>
    <row r="7840" spans="1:23" hidden="1" x14ac:dyDescent="0.25">
      <c r="A7840" s="3">
        <v>46195</v>
      </c>
      <c r="B7840" s="4" t="s">
        <v>946</v>
      </c>
      <c r="C7840" s="4"/>
      <c r="D7840" s="4"/>
      <c r="E7840" s="4" t="s">
        <v>921</v>
      </c>
      <c r="F7840" s="4"/>
      <c r="G7840" s="4" t="s">
        <v>946</v>
      </c>
      <c r="H7840" s="4" t="s">
        <v>380</v>
      </c>
      <c r="I7840" s="4">
        <v>1</v>
      </c>
      <c r="J7840" s="21">
        <v>670</v>
      </c>
      <c r="K7840" s="21">
        <v>0</v>
      </c>
      <c r="L7840" s="115">
        <v>670</v>
      </c>
      <c r="M7840" s="4"/>
      <c r="N7840" s="4"/>
      <c r="O7840" s="5"/>
      <c r="P7840" s="5"/>
      <c r="Q7840" s="21">
        <v>670</v>
      </c>
      <c r="R7840" s="21">
        <v>0</v>
      </c>
      <c r="S7840" s="5">
        <f t="shared" si="491"/>
        <v>53565.554819307523</v>
      </c>
      <c r="T7840" cm="1">
        <f t="array" ref="T7840">IF(OR(B7840="MAL ALIMI", B7840="ÜRETİM GİRİŞ"), MIN(I7840, MAX(0, I7840 + SUM(SUMIFS($I$1:I7839, $C$1:C7839, C7840, $B$1:B7839, {"MAL ALIMI","ÜRETİM GİRİŞ"})) - VLOOKUP(C7840, 'STOK RAPORU'!$C$2:$I$1000, 4, 0))), 0)</f>
        <v>0</v>
      </c>
      <c r="U7840" s="22">
        <f t="shared" si="488"/>
        <v>0</v>
      </c>
      <c r="V7840">
        <f t="shared" si="489"/>
        <v>0</v>
      </c>
      <c r="W7840" s="22">
        <f t="shared" si="490"/>
        <v>0</v>
      </c>
    </row>
    <row r="7841" spans="1:23" hidden="1" x14ac:dyDescent="0.25">
      <c r="A7841" s="3">
        <v>46195</v>
      </c>
      <c r="B7841" s="4" t="s">
        <v>946</v>
      </c>
      <c r="C7841" s="4"/>
      <c r="D7841" s="4"/>
      <c r="E7841" s="4" t="s">
        <v>921</v>
      </c>
      <c r="F7841" s="4"/>
      <c r="G7841" s="4" t="s">
        <v>946</v>
      </c>
      <c r="H7841" s="4" t="s">
        <v>380</v>
      </c>
      <c r="I7841" s="4">
        <v>1</v>
      </c>
      <c r="J7841" s="21">
        <v>400</v>
      </c>
      <c r="K7841" s="21">
        <v>0</v>
      </c>
      <c r="L7841" s="32">
        <v>400</v>
      </c>
      <c r="M7841" s="4"/>
      <c r="N7841" s="4"/>
      <c r="O7841" s="5"/>
      <c r="P7841" s="5"/>
      <c r="Q7841" s="21">
        <v>400</v>
      </c>
      <c r="R7841" s="21">
        <v>0</v>
      </c>
      <c r="S7841" s="5">
        <f t="shared" si="491"/>
        <v>53965.554819307523</v>
      </c>
      <c r="T7841" cm="1">
        <f t="array" ref="T7841">IF(OR(B7841="MAL ALIMI", B7841="ÜRETİM GİRİŞ"), MIN(I7841, MAX(0, I7841 + SUM(SUMIFS($I$1:I7840, $C$1:C7840, C7841, $B$1:B7840, {"MAL ALIMI","ÜRETİM GİRİŞ"})) - VLOOKUP(C7841, 'STOK RAPORU'!$C$2:$I$1000, 4, 0))), 0)</f>
        <v>0</v>
      </c>
      <c r="U7841" s="22">
        <f t="shared" si="488"/>
        <v>0</v>
      </c>
      <c r="V7841">
        <f t="shared" si="489"/>
        <v>0</v>
      </c>
      <c r="W7841" s="22">
        <f t="shared" si="490"/>
        <v>0</v>
      </c>
    </row>
    <row r="7842" spans="1:23" hidden="1" x14ac:dyDescent="0.25">
      <c r="A7842" s="3">
        <v>46195</v>
      </c>
      <c r="B7842" s="4" t="s">
        <v>285</v>
      </c>
      <c r="C7842" s="4"/>
      <c r="D7842" s="4" t="s">
        <v>112</v>
      </c>
      <c r="E7842" s="4"/>
      <c r="F7842" s="4"/>
      <c r="G7842" s="4" t="s">
        <v>3744</v>
      </c>
      <c r="H7842" s="4" t="s">
        <v>289</v>
      </c>
      <c r="I7842" s="4">
        <v>1</v>
      </c>
      <c r="J7842" s="21">
        <v>375</v>
      </c>
      <c r="K7842" s="21">
        <v>0</v>
      </c>
      <c r="L7842" s="5">
        <v>0</v>
      </c>
      <c r="M7842" s="4"/>
      <c r="N7842" s="4"/>
      <c r="O7842" s="5"/>
      <c r="P7842" s="5"/>
      <c r="Q7842" s="21">
        <v>0</v>
      </c>
      <c r="R7842" s="21">
        <v>375</v>
      </c>
      <c r="S7842" s="5">
        <f t="shared" si="491"/>
        <v>53590.554819307523</v>
      </c>
      <c r="T7842" cm="1">
        <f t="array" ref="T7842">IF(OR(B7842="MAL ALIMI", B7842="ÜRETİM GİRİŞ"), MIN(I7842, MAX(0, I7842 + SUM(SUMIFS($I$1:I7841, $C$1:C7841, C7842, $B$1:B7841, {"MAL ALIMI","ÜRETİM GİRİŞ"})) - VLOOKUP(C7842, 'STOK RAPORU'!$C$2:$I$1000, 4, 0))), 0)</f>
        <v>0</v>
      </c>
      <c r="U7842" s="22">
        <f t="shared" si="488"/>
        <v>0</v>
      </c>
      <c r="V7842">
        <f t="shared" si="489"/>
        <v>0</v>
      </c>
      <c r="W7842" s="22">
        <f t="shared" si="490"/>
        <v>0</v>
      </c>
    </row>
    <row r="7843" spans="1:23" hidden="1" x14ac:dyDescent="0.25">
      <c r="A7843" s="3">
        <v>46196</v>
      </c>
      <c r="B7843" s="46" t="s">
        <v>334</v>
      </c>
      <c r="C7843" s="4" t="s">
        <v>160</v>
      </c>
      <c r="D7843" s="4"/>
      <c r="E7843" s="4"/>
      <c r="F7843" s="4" t="s">
        <v>3715</v>
      </c>
      <c r="G7843" s="4" t="s">
        <v>336</v>
      </c>
      <c r="H7843" s="4" t="s">
        <v>289</v>
      </c>
      <c r="I7843" s="4">
        <v>1</v>
      </c>
      <c r="J7843" s="21">
        <v>270</v>
      </c>
      <c r="K7843" s="21">
        <v>0</v>
      </c>
      <c r="L7843" s="5">
        <v>0</v>
      </c>
      <c r="M7843" s="4"/>
      <c r="N7843" s="4"/>
      <c r="O7843" s="5"/>
      <c r="P7843" s="5"/>
      <c r="Q7843" s="21">
        <v>270</v>
      </c>
      <c r="R7843" s="21">
        <v>0</v>
      </c>
      <c r="S7843" s="5">
        <f t="shared" si="491"/>
        <v>53860.554819307523</v>
      </c>
      <c r="T7843" cm="1">
        <f t="array" ref="T7843">IF(OR(B7843="MAL ALIMI", B7843="ÜRETİM GİRİŞ"), MIN(I7843, MAX(0, I7843 + SUM(SUMIFS($I$1:I7842, $C$1:C7842, C7843, $B$1:B7842, {"MAL ALIMI","ÜRETİM GİRİŞ"})) - VLOOKUP(C7843, 'STOK RAPORU'!$C$2:$I$1000, 4, 0))), 0)</f>
        <v>0</v>
      </c>
      <c r="U7843" s="22">
        <f t="shared" si="488"/>
        <v>0</v>
      </c>
      <c r="V7843">
        <f t="shared" si="489"/>
        <v>0</v>
      </c>
      <c r="W7843" s="22">
        <f t="shared" si="490"/>
        <v>0</v>
      </c>
    </row>
    <row r="7844" spans="1:23" hidden="1" x14ac:dyDescent="0.25">
      <c r="A7844" s="3">
        <v>46196</v>
      </c>
      <c r="B7844" s="46" t="s">
        <v>334</v>
      </c>
      <c r="C7844" s="4" t="s">
        <v>463</v>
      </c>
      <c r="D7844" s="4"/>
      <c r="E7844" s="4" t="s">
        <v>921</v>
      </c>
      <c r="F7844" s="4" t="s">
        <v>3716</v>
      </c>
      <c r="G7844" s="4" t="s">
        <v>336</v>
      </c>
      <c r="H7844" s="4" t="s">
        <v>380</v>
      </c>
      <c r="I7844" s="4">
        <v>0.5</v>
      </c>
      <c r="J7844" s="21">
        <v>400</v>
      </c>
      <c r="K7844" s="21">
        <v>200</v>
      </c>
      <c r="L7844" s="5">
        <v>0</v>
      </c>
      <c r="M7844" s="4"/>
      <c r="N7844" s="4"/>
      <c r="O7844" s="5"/>
      <c r="P7844" s="5"/>
      <c r="Q7844" s="21">
        <v>0</v>
      </c>
      <c r="R7844" s="21">
        <v>0</v>
      </c>
      <c r="S7844" s="5">
        <f t="shared" si="491"/>
        <v>53860.554819307523</v>
      </c>
      <c r="T7844" cm="1">
        <f t="array" ref="T7844">IF(OR(B7844="MAL ALIMI", B7844="ÜRETİM GİRİŞ"), MIN(I7844, MAX(0, I7844 + SUM(SUMIFS($I$1:I7843, $C$1:C7843, C7844, $B$1:B7843, {"MAL ALIMI","ÜRETİM GİRİŞ"})) - VLOOKUP(C7844, 'STOK RAPORU'!$C$2:$I$1000, 4, 0))), 0)</f>
        <v>0</v>
      </c>
      <c r="U7844" s="22">
        <f t="shared" si="488"/>
        <v>0</v>
      </c>
      <c r="V7844">
        <f t="shared" si="489"/>
        <v>0</v>
      </c>
      <c r="W7844" s="22">
        <f t="shared" si="490"/>
        <v>0</v>
      </c>
    </row>
    <row r="7845" spans="1:23" hidden="1" x14ac:dyDescent="0.25">
      <c r="A7845" s="3">
        <v>46196</v>
      </c>
      <c r="B7845" s="46" t="s">
        <v>334</v>
      </c>
      <c r="C7845" s="4" t="s">
        <v>2243</v>
      </c>
      <c r="D7845" s="4"/>
      <c r="E7845" s="4" t="s">
        <v>921</v>
      </c>
      <c r="F7845" s="4" t="s">
        <v>3716</v>
      </c>
      <c r="G7845" s="4" t="s">
        <v>336</v>
      </c>
      <c r="H7845" s="4" t="s">
        <v>380</v>
      </c>
      <c r="I7845" s="4">
        <v>0.23076923076923078</v>
      </c>
      <c r="J7845" s="21">
        <v>520</v>
      </c>
      <c r="K7845" s="21">
        <v>120</v>
      </c>
      <c r="L7845" s="5">
        <v>0</v>
      </c>
      <c r="M7845" s="4"/>
      <c r="N7845" s="4"/>
      <c r="O7845" s="5"/>
      <c r="P7845" s="5"/>
      <c r="Q7845" s="21">
        <v>0</v>
      </c>
      <c r="R7845" s="21">
        <v>0</v>
      </c>
      <c r="S7845" s="5">
        <f t="shared" si="491"/>
        <v>53860.554819307523</v>
      </c>
      <c r="T7845" cm="1">
        <f t="array" ref="T7845">IF(OR(B7845="MAL ALIMI", B7845="ÜRETİM GİRİŞ"), MIN(I7845, MAX(0, I7845 + SUM(SUMIFS($I$1:I7844, $C$1:C7844, C7845, $B$1:B7844, {"MAL ALIMI","ÜRETİM GİRİŞ"})) - VLOOKUP(C7845, 'STOK RAPORU'!$C$2:$I$1000, 4, 0))), 0)</f>
        <v>0</v>
      </c>
      <c r="U7845" s="22">
        <f t="shared" si="488"/>
        <v>0</v>
      </c>
      <c r="V7845">
        <f t="shared" si="489"/>
        <v>0</v>
      </c>
      <c r="W7845" s="22">
        <f t="shared" si="490"/>
        <v>0</v>
      </c>
    </row>
    <row r="7846" spans="1:23" hidden="1" x14ac:dyDescent="0.25">
      <c r="A7846" s="3">
        <v>46196</v>
      </c>
      <c r="B7846" s="46" t="s">
        <v>334</v>
      </c>
      <c r="C7846" s="4" t="s">
        <v>2562</v>
      </c>
      <c r="D7846" s="4"/>
      <c r="E7846" s="4" t="s">
        <v>921</v>
      </c>
      <c r="F7846" s="4" t="s">
        <v>3716</v>
      </c>
      <c r="G7846" s="4" t="s">
        <v>336</v>
      </c>
      <c r="H7846" s="4" t="s">
        <v>380</v>
      </c>
      <c r="I7846" s="4">
        <v>1</v>
      </c>
      <c r="J7846" s="21">
        <v>90</v>
      </c>
      <c r="K7846" s="21">
        <v>90</v>
      </c>
      <c r="L7846" s="5">
        <v>0</v>
      </c>
      <c r="M7846" s="4"/>
      <c r="N7846" s="4"/>
      <c r="O7846" s="5"/>
      <c r="P7846" s="5"/>
      <c r="Q7846" s="21">
        <v>0</v>
      </c>
      <c r="R7846" s="21">
        <v>0</v>
      </c>
      <c r="S7846" s="5">
        <f t="shared" si="491"/>
        <v>53860.554819307523</v>
      </c>
      <c r="T7846" cm="1">
        <f t="array" ref="T7846">IF(OR(B7846="MAL ALIMI", B7846="ÜRETİM GİRİŞ"), MIN(I7846, MAX(0, I7846 + SUM(SUMIFS($I$1:I7845, $C$1:C7845, C7846, $B$1:B7845, {"MAL ALIMI","ÜRETİM GİRİŞ"})) - VLOOKUP(C7846, 'STOK RAPORU'!$C$2:$I$1000, 4, 0))), 0)</f>
        <v>0</v>
      </c>
      <c r="U7846" s="22">
        <f t="shared" si="488"/>
        <v>0</v>
      </c>
      <c r="V7846">
        <f t="shared" si="489"/>
        <v>0</v>
      </c>
      <c r="W7846" s="22">
        <f t="shared" si="490"/>
        <v>0</v>
      </c>
    </row>
    <row r="7847" spans="1:23" hidden="1" x14ac:dyDescent="0.25">
      <c r="A7847" s="3">
        <v>46196</v>
      </c>
      <c r="B7847" s="46" t="s">
        <v>334</v>
      </c>
      <c r="C7847" s="4" t="s">
        <v>3381</v>
      </c>
      <c r="D7847" s="4"/>
      <c r="E7847" s="4" t="s">
        <v>921</v>
      </c>
      <c r="F7847" s="4" t="s">
        <v>3716</v>
      </c>
      <c r="G7847" s="4" t="s">
        <v>336</v>
      </c>
      <c r="H7847" s="4" t="s">
        <v>380</v>
      </c>
      <c r="I7847" s="4">
        <v>0.34</v>
      </c>
      <c r="J7847" s="21">
        <v>250</v>
      </c>
      <c r="K7847" s="21">
        <v>85</v>
      </c>
      <c r="L7847" s="5">
        <v>0</v>
      </c>
      <c r="M7847" s="4"/>
      <c r="N7847" s="4"/>
      <c r="O7847" s="5"/>
      <c r="P7847" s="5"/>
      <c r="Q7847" s="21">
        <v>0</v>
      </c>
      <c r="R7847" s="21">
        <v>0</v>
      </c>
      <c r="S7847" s="5">
        <f t="shared" si="491"/>
        <v>53860.554819307523</v>
      </c>
      <c r="T7847" cm="1">
        <f t="array" ref="T7847">IF(OR(B7847="MAL ALIMI", B7847="ÜRETİM GİRİŞ"), MIN(I7847, MAX(0, I7847 + SUM(SUMIFS($I$1:I7846, $C$1:C7846, C7847, $B$1:B7846, {"MAL ALIMI","ÜRETİM GİRİŞ"})) - VLOOKUP(C7847, 'STOK RAPORU'!$C$2:$I$1000, 4, 0))), 0)</f>
        <v>0</v>
      </c>
      <c r="U7847" s="22">
        <f t="shared" si="488"/>
        <v>0</v>
      </c>
      <c r="V7847">
        <f t="shared" si="489"/>
        <v>0</v>
      </c>
      <c r="W7847" s="22">
        <f t="shared" si="490"/>
        <v>0</v>
      </c>
    </row>
    <row r="7848" spans="1:23" hidden="1" x14ac:dyDescent="0.25">
      <c r="A7848" s="3">
        <v>46196</v>
      </c>
      <c r="B7848" s="46" t="s">
        <v>334</v>
      </c>
      <c r="C7848" s="4" t="s">
        <v>267</v>
      </c>
      <c r="D7848" s="4"/>
      <c r="E7848" s="4"/>
      <c r="F7848" s="4" t="s">
        <v>3717</v>
      </c>
      <c r="G7848" s="4" t="s">
        <v>336</v>
      </c>
      <c r="H7848" s="4" t="s">
        <v>289</v>
      </c>
      <c r="I7848" s="4">
        <v>1</v>
      </c>
      <c r="J7848" s="21">
        <v>190</v>
      </c>
      <c r="K7848" s="21">
        <v>0</v>
      </c>
      <c r="L7848" s="5">
        <v>0</v>
      </c>
      <c r="M7848" s="4"/>
      <c r="N7848" s="4"/>
      <c r="O7848" s="5"/>
      <c r="P7848" s="5"/>
      <c r="Q7848" s="21">
        <v>190</v>
      </c>
      <c r="R7848" s="21">
        <v>0</v>
      </c>
      <c r="S7848" s="5">
        <f t="shared" si="491"/>
        <v>54050.554819307523</v>
      </c>
      <c r="T7848" cm="1">
        <f t="array" ref="T7848">IF(OR(B7848="MAL ALIMI", B7848="ÜRETİM GİRİŞ"), MIN(I7848, MAX(0, I7848 + SUM(SUMIFS($I$1:I7847, $C$1:C7847, C7848, $B$1:B7847, {"MAL ALIMI","ÜRETİM GİRİŞ"})) - VLOOKUP(C7848, 'STOK RAPORU'!$C$2:$I$1000, 4, 0))), 0)</f>
        <v>0</v>
      </c>
      <c r="U7848" s="22">
        <f t="shared" si="488"/>
        <v>0</v>
      </c>
      <c r="V7848">
        <f t="shared" si="489"/>
        <v>0</v>
      </c>
      <c r="W7848" s="22">
        <f t="shared" si="490"/>
        <v>0</v>
      </c>
    </row>
    <row r="7849" spans="1:23" hidden="1" x14ac:dyDescent="0.25">
      <c r="A7849" s="3">
        <v>46196</v>
      </c>
      <c r="B7849" s="46" t="s">
        <v>334</v>
      </c>
      <c r="C7849" s="4" t="s">
        <v>160</v>
      </c>
      <c r="D7849" s="4"/>
      <c r="E7849" s="4" t="s">
        <v>921</v>
      </c>
      <c r="F7849" s="4" t="s">
        <v>3718</v>
      </c>
      <c r="G7849" s="4" t="s">
        <v>3654</v>
      </c>
      <c r="H7849" s="4" t="s">
        <v>380</v>
      </c>
      <c r="I7849" s="4">
        <v>6</v>
      </c>
      <c r="J7849" s="21">
        <v>210</v>
      </c>
      <c r="K7849" s="21">
        <v>1260</v>
      </c>
      <c r="L7849" s="5">
        <v>0</v>
      </c>
      <c r="M7849" s="4"/>
      <c r="N7849" s="4"/>
      <c r="O7849" s="5"/>
      <c r="P7849" s="5"/>
      <c r="Q7849" s="21">
        <v>0</v>
      </c>
      <c r="R7849" s="21">
        <v>0</v>
      </c>
      <c r="S7849" s="5">
        <f t="shared" si="491"/>
        <v>54050.554819307523</v>
      </c>
      <c r="T7849" cm="1">
        <f t="array" ref="T7849">IF(OR(B7849="MAL ALIMI", B7849="ÜRETİM GİRİŞ"), MIN(I7849, MAX(0, I7849 + SUM(SUMIFS($I$1:I7848, $C$1:C7848, C7849, $B$1:B7848, {"MAL ALIMI","ÜRETİM GİRİŞ"})) - VLOOKUP(C7849, 'STOK RAPORU'!$C$2:$I$1000, 4, 0))), 0)</f>
        <v>0</v>
      </c>
      <c r="U7849" s="22">
        <f t="shared" si="488"/>
        <v>0</v>
      </c>
      <c r="V7849">
        <f t="shared" si="489"/>
        <v>0</v>
      </c>
      <c r="W7849" s="22">
        <f t="shared" si="490"/>
        <v>0</v>
      </c>
    </row>
    <row r="7850" spans="1:23" hidden="1" x14ac:dyDescent="0.25">
      <c r="A7850" s="3">
        <v>46196</v>
      </c>
      <c r="B7850" s="46" t="s">
        <v>334</v>
      </c>
      <c r="C7850" s="4" t="s">
        <v>1143</v>
      </c>
      <c r="D7850" s="4"/>
      <c r="E7850" s="4" t="s">
        <v>921</v>
      </c>
      <c r="F7850" s="4" t="s">
        <v>3719</v>
      </c>
      <c r="G7850" s="4" t="s">
        <v>336</v>
      </c>
      <c r="H7850" s="4" t="s">
        <v>380</v>
      </c>
      <c r="I7850" s="4">
        <v>1</v>
      </c>
      <c r="J7850" s="21">
        <v>135</v>
      </c>
      <c r="K7850" s="21">
        <v>135</v>
      </c>
      <c r="L7850" s="5">
        <v>0</v>
      </c>
      <c r="M7850" s="4"/>
      <c r="N7850" s="4"/>
      <c r="O7850" s="5"/>
      <c r="P7850" s="5"/>
      <c r="Q7850" s="21">
        <v>0</v>
      </c>
      <c r="R7850" s="21">
        <v>0</v>
      </c>
      <c r="S7850" s="5">
        <f t="shared" si="491"/>
        <v>54050.554819307523</v>
      </c>
      <c r="T7850" cm="1">
        <f t="array" ref="T7850">IF(OR(B7850="MAL ALIMI", B7850="ÜRETİM GİRİŞ"), MIN(I7850, MAX(0, I7850 + SUM(SUMIFS($I$1:I7849, $C$1:C7849, C7850, $B$1:B7849, {"MAL ALIMI","ÜRETİM GİRİŞ"})) - VLOOKUP(C7850, 'STOK RAPORU'!$C$2:$I$1000, 4, 0))), 0)</f>
        <v>0</v>
      </c>
      <c r="U7850" s="22">
        <f t="shared" si="488"/>
        <v>0</v>
      </c>
      <c r="V7850">
        <f t="shared" si="489"/>
        <v>0</v>
      </c>
      <c r="W7850" s="22">
        <f t="shared" si="490"/>
        <v>0</v>
      </c>
    </row>
    <row r="7851" spans="1:23" hidden="1" x14ac:dyDescent="0.25">
      <c r="A7851" s="3">
        <v>46196</v>
      </c>
      <c r="B7851" s="46" t="s">
        <v>334</v>
      </c>
      <c r="C7851" s="4" t="s">
        <v>597</v>
      </c>
      <c r="D7851" s="4"/>
      <c r="E7851" s="4" t="s">
        <v>921</v>
      </c>
      <c r="F7851" s="4" t="s">
        <v>3720</v>
      </c>
      <c r="G7851" s="4" t="s">
        <v>336</v>
      </c>
      <c r="H7851" s="4" t="s">
        <v>380</v>
      </c>
      <c r="I7851" s="4">
        <v>2</v>
      </c>
      <c r="J7851" s="21">
        <v>375</v>
      </c>
      <c r="K7851" s="21">
        <v>750</v>
      </c>
      <c r="L7851" s="5">
        <v>0</v>
      </c>
      <c r="M7851" s="4"/>
      <c r="N7851" s="4"/>
      <c r="O7851" s="5"/>
      <c r="P7851" s="5"/>
      <c r="Q7851" s="21">
        <v>0</v>
      </c>
      <c r="R7851" s="21">
        <v>0</v>
      </c>
      <c r="S7851" s="5">
        <f t="shared" si="491"/>
        <v>54050.554819307523</v>
      </c>
      <c r="T7851" cm="1">
        <f t="array" ref="T7851">IF(OR(B7851="MAL ALIMI", B7851="ÜRETİM GİRİŞ"), MIN(I7851, MAX(0, I7851 + SUM(SUMIFS($I$1:I7850, $C$1:C7850, C7851, $B$1:B7850, {"MAL ALIMI","ÜRETİM GİRİŞ"})) - VLOOKUP(C7851, 'STOK RAPORU'!$C$2:$I$1000, 4, 0))), 0)</f>
        <v>0</v>
      </c>
      <c r="U7851" s="22">
        <f t="shared" si="488"/>
        <v>0</v>
      </c>
      <c r="V7851">
        <f t="shared" si="489"/>
        <v>0</v>
      </c>
      <c r="W7851" s="22">
        <f t="shared" si="490"/>
        <v>0</v>
      </c>
    </row>
    <row r="7852" spans="1:23" hidden="1" x14ac:dyDescent="0.25">
      <c r="A7852" s="3">
        <v>46196</v>
      </c>
      <c r="B7852" s="46" t="s">
        <v>334</v>
      </c>
      <c r="C7852" s="4" t="s">
        <v>679</v>
      </c>
      <c r="D7852" s="4"/>
      <c r="E7852" s="4"/>
      <c r="F7852" s="4" t="s">
        <v>3721</v>
      </c>
      <c r="G7852" s="4" t="s">
        <v>336</v>
      </c>
      <c r="H7852" s="4" t="s">
        <v>289</v>
      </c>
      <c r="I7852" s="4">
        <v>0.25</v>
      </c>
      <c r="J7852" s="21">
        <v>400</v>
      </c>
      <c r="K7852" s="21">
        <v>0</v>
      </c>
      <c r="L7852" s="5">
        <v>0</v>
      </c>
      <c r="M7852" s="4"/>
      <c r="N7852" s="4"/>
      <c r="O7852" s="5"/>
      <c r="P7852" s="5"/>
      <c r="Q7852" s="21">
        <v>100</v>
      </c>
      <c r="R7852" s="21">
        <v>0</v>
      </c>
      <c r="S7852" s="5">
        <f t="shared" si="491"/>
        <v>54150.554819307523</v>
      </c>
      <c r="T7852" cm="1">
        <f t="array" ref="T7852">IF(OR(B7852="MAL ALIMI", B7852="ÜRETİM GİRİŞ"), MIN(I7852, MAX(0, I7852 + SUM(SUMIFS($I$1:I7851, $C$1:C7851, C7852, $B$1:B7851, {"MAL ALIMI","ÜRETİM GİRİŞ"})) - VLOOKUP(C7852, 'STOK RAPORU'!$C$2:$I$1000, 4, 0))), 0)</f>
        <v>0</v>
      </c>
      <c r="U7852" s="22">
        <f t="shared" si="488"/>
        <v>0</v>
      </c>
      <c r="V7852">
        <f t="shared" si="489"/>
        <v>0</v>
      </c>
      <c r="W7852" s="22">
        <f t="shared" si="490"/>
        <v>0</v>
      </c>
    </row>
    <row r="7853" spans="1:23" hidden="1" x14ac:dyDescent="0.25">
      <c r="A7853" s="3">
        <v>46196</v>
      </c>
      <c r="B7853" s="46" t="s">
        <v>334</v>
      </c>
      <c r="C7853" s="4" t="s">
        <v>165</v>
      </c>
      <c r="D7853" s="4"/>
      <c r="E7853" s="4"/>
      <c r="F7853" s="4" t="s">
        <v>3722</v>
      </c>
      <c r="G7853" s="4" t="s">
        <v>336</v>
      </c>
      <c r="H7853" s="4" t="s">
        <v>289</v>
      </c>
      <c r="I7853" s="4">
        <v>0.2</v>
      </c>
      <c r="J7853" s="21">
        <v>250</v>
      </c>
      <c r="K7853" s="21">
        <v>0</v>
      </c>
      <c r="L7853" s="5">
        <v>0</v>
      </c>
      <c r="M7853" s="4"/>
      <c r="N7853" s="4"/>
      <c r="O7853" s="5"/>
      <c r="P7853" s="5"/>
      <c r="Q7853" s="21">
        <v>50</v>
      </c>
      <c r="R7853" s="21">
        <v>0</v>
      </c>
      <c r="S7853" s="5">
        <f t="shared" si="491"/>
        <v>54200.554819307523</v>
      </c>
      <c r="T7853" cm="1">
        <f t="array" ref="T7853">IF(OR(B7853="MAL ALIMI", B7853="ÜRETİM GİRİŞ"), MIN(I7853, MAX(0, I7853 + SUM(SUMIFS($I$1:I7852, $C$1:C7852, C7853, $B$1:B7852, {"MAL ALIMI","ÜRETİM GİRİŞ"})) - VLOOKUP(C7853, 'STOK RAPORU'!$C$2:$I$1000, 4, 0))), 0)</f>
        <v>0</v>
      </c>
      <c r="U7853" s="22">
        <f t="shared" si="488"/>
        <v>0</v>
      </c>
      <c r="V7853">
        <f t="shared" si="489"/>
        <v>0</v>
      </c>
      <c r="W7853" s="22">
        <f t="shared" si="490"/>
        <v>0</v>
      </c>
    </row>
    <row r="7854" spans="1:23" hidden="1" x14ac:dyDescent="0.25">
      <c r="A7854" s="3">
        <v>46196</v>
      </c>
      <c r="B7854" s="46" t="s">
        <v>334</v>
      </c>
      <c r="C7854" s="4" t="s">
        <v>679</v>
      </c>
      <c r="D7854" s="4"/>
      <c r="E7854" s="4"/>
      <c r="F7854" s="4" t="s">
        <v>3723</v>
      </c>
      <c r="G7854" s="4" t="s">
        <v>336</v>
      </c>
      <c r="H7854" s="4" t="s">
        <v>289</v>
      </c>
      <c r="I7854" s="4">
        <v>0.125</v>
      </c>
      <c r="J7854" s="21">
        <v>400</v>
      </c>
      <c r="K7854" s="21">
        <v>0</v>
      </c>
      <c r="L7854" s="5">
        <v>0</v>
      </c>
      <c r="M7854" s="4"/>
      <c r="N7854" s="4"/>
      <c r="O7854" s="5"/>
      <c r="P7854" s="5"/>
      <c r="Q7854" s="21">
        <v>50</v>
      </c>
      <c r="R7854" s="21">
        <v>0</v>
      </c>
      <c r="S7854" s="5">
        <f t="shared" si="491"/>
        <v>54250.554819307523</v>
      </c>
      <c r="T7854" cm="1">
        <f t="array" ref="T7854">IF(OR(B7854="MAL ALIMI", B7854="ÜRETİM GİRİŞ"), MIN(I7854, MAX(0, I7854 + SUM(SUMIFS($I$1:I7853, $C$1:C7853, C7854, $B$1:B7853, {"MAL ALIMI","ÜRETİM GİRİŞ"})) - VLOOKUP(C7854, 'STOK RAPORU'!$C$2:$I$1000, 4, 0))), 0)</f>
        <v>0</v>
      </c>
      <c r="U7854" s="22">
        <f t="shared" si="488"/>
        <v>0</v>
      </c>
      <c r="V7854">
        <f t="shared" si="489"/>
        <v>0</v>
      </c>
      <c r="W7854" s="22">
        <f t="shared" si="490"/>
        <v>0</v>
      </c>
    </row>
    <row r="7855" spans="1:23" hidden="1" x14ac:dyDescent="0.25">
      <c r="A7855" s="3">
        <v>46196</v>
      </c>
      <c r="B7855" s="46" t="s">
        <v>334</v>
      </c>
      <c r="C7855" s="4" t="s">
        <v>89</v>
      </c>
      <c r="D7855" s="4"/>
      <c r="E7855" s="4"/>
      <c r="F7855" s="4" t="s">
        <v>3724</v>
      </c>
      <c r="G7855" s="4" t="s">
        <v>336</v>
      </c>
      <c r="H7855" s="4" t="s">
        <v>289</v>
      </c>
      <c r="I7855" s="4">
        <v>0.1</v>
      </c>
      <c r="J7855" s="21">
        <v>750</v>
      </c>
      <c r="K7855" s="21">
        <v>0</v>
      </c>
      <c r="L7855" s="5">
        <v>0</v>
      </c>
      <c r="M7855" s="4"/>
      <c r="N7855" s="4"/>
      <c r="O7855" s="5"/>
      <c r="P7855" s="5"/>
      <c r="Q7855" s="21">
        <v>75</v>
      </c>
      <c r="R7855" s="21">
        <v>0</v>
      </c>
      <c r="S7855" s="5">
        <f t="shared" si="491"/>
        <v>54325.554819307523</v>
      </c>
      <c r="T7855" cm="1">
        <f t="array" ref="T7855">IF(OR(B7855="MAL ALIMI", B7855="ÜRETİM GİRİŞ"), MIN(I7855, MAX(0, I7855 + SUM(SUMIFS($I$1:I7854, $C$1:C7854, C7855, $B$1:B7854, {"MAL ALIMI","ÜRETİM GİRİŞ"})) - VLOOKUP(C7855, 'STOK RAPORU'!$C$2:$I$1000, 4, 0))), 0)</f>
        <v>0</v>
      </c>
      <c r="U7855" s="22">
        <f t="shared" si="488"/>
        <v>0</v>
      </c>
      <c r="V7855">
        <f t="shared" si="489"/>
        <v>0</v>
      </c>
      <c r="W7855" s="22">
        <f t="shared" si="490"/>
        <v>0</v>
      </c>
    </row>
    <row r="7856" spans="1:23" hidden="1" x14ac:dyDescent="0.25">
      <c r="A7856" s="3">
        <v>46196</v>
      </c>
      <c r="B7856" s="46" t="s">
        <v>334</v>
      </c>
      <c r="C7856" s="4" t="s">
        <v>160</v>
      </c>
      <c r="D7856" s="4"/>
      <c r="E7856" s="4" t="s">
        <v>921</v>
      </c>
      <c r="F7856" s="4" t="s">
        <v>3725</v>
      </c>
      <c r="G7856" s="4" t="s">
        <v>336</v>
      </c>
      <c r="H7856" s="4" t="s">
        <v>380</v>
      </c>
      <c r="I7856" s="4">
        <v>1</v>
      </c>
      <c r="J7856" s="21">
        <v>270</v>
      </c>
      <c r="K7856" s="21">
        <v>270</v>
      </c>
      <c r="L7856" s="5">
        <v>0</v>
      </c>
      <c r="M7856" s="4"/>
      <c r="N7856" s="4"/>
      <c r="O7856" s="5"/>
      <c r="P7856" s="5"/>
      <c r="Q7856" s="21">
        <v>0</v>
      </c>
      <c r="R7856" s="21">
        <v>0</v>
      </c>
      <c r="S7856" s="5">
        <f t="shared" si="491"/>
        <v>54325.554819307523</v>
      </c>
      <c r="T7856" cm="1">
        <f t="array" ref="T7856">IF(OR(B7856="MAL ALIMI", B7856="ÜRETİM GİRİŞ"), MIN(I7856, MAX(0, I7856 + SUM(SUMIFS($I$1:I7855, $C$1:C7855, C7856, $B$1:B7855, {"MAL ALIMI","ÜRETİM GİRİŞ"})) - VLOOKUP(C7856, 'STOK RAPORU'!$C$2:$I$1000, 4, 0))), 0)</f>
        <v>0</v>
      </c>
      <c r="U7856" s="22">
        <f t="shared" si="488"/>
        <v>0</v>
      </c>
      <c r="V7856">
        <f t="shared" si="489"/>
        <v>0</v>
      </c>
      <c r="W7856" s="22">
        <f t="shared" si="490"/>
        <v>0</v>
      </c>
    </row>
    <row r="7857" spans="1:23" hidden="1" x14ac:dyDescent="0.25">
      <c r="A7857" s="3">
        <v>46196</v>
      </c>
      <c r="B7857" s="46" t="s">
        <v>334</v>
      </c>
      <c r="C7857" s="4" t="s">
        <v>157</v>
      </c>
      <c r="D7857" s="4"/>
      <c r="E7857" s="4" t="s">
        <v>921</v>
      </c>
      <c r="F7857" s="4" t="s">
        <v>3726</v>
      </c>
      <c r="G7857" s="4" t="s">
        <v>336</v>
      </c>
      <c r="H7857" s="4" t="s">
        <v>380</v>
      </c>
      <c r="I7857" s="4">
        <v>1</v>
      </c>
      <c r="J7857" s="21">
        <v>200</v>
      </c>
      <c r="K7857" s="21">
        <v>200</v>
      </c>
      <c r="L7857" s="5">
        <v>0</v>
      </c>
      <c r="M7857" s="4"/>
      <c r="N7857" s="4"/>
      <c r="O7857" s="5"/>
      <c r="P7857" s="5"/>
      <c r="Q7857" s="21">
        <v>0</v>
      </c>
      <c r="R7857" s="21">
        <v>0</v>
      </c>
      <c r="S7857" s="5">
        <f t="shared" si="491"/>
        <v>54325.554819307523</v>
      </c>
      <c r="T7857" cm="1">
        <f t="array" ref="T7857">IF(OR(B7857="MAL ALIMI", B7857="ÜRETİM GİRİŞ"), MIN(I7857, MAX(0, I7857 + SUM(SUMIFS($I$1:I7856, $C$1:C7856, C7857, $B$1:B7856, {"MAL ALIMI","ÜRETİM GİRİŞ"})) - VLOOKUP(C7857, 'STOK RAPORU'!$C$2:$I$1000, 4, 0))), 0)</f>
        <v>0</v>
      </c>
      <c r="U7857" s="22">
        <f t="shared" ref="U7857:U7920" si="492">T7857*J7857</f>
        <v>0</v>
      </c>
      <c r="V7857">
        <f t="shared" ref="V7857:V7920" si="493">IF(OR(B7857="MAL ALIMI", B7857="ÜRETİM GİRİŞ"), I7857 * J7857, 0)</f>
        <v>0</v>
      </c>
      <c r="W7857" s="22">
        <f t="shared" ref="W7857:W7920" si="494">V7857-U7857</f>
        <v>0</v>
      </c>
    </row>
    <row r="7858" spans="1:23" hidden="1" x14ac:dyDescent="0.25">
      <c r="A7858" s="3">
        <v>46196</v>
      </c>
      <c r="B7858" s="46" t="s">
        <v>334</v>
      </c>
      <c r="C7858" s="4" t="s">
        <v>3167</v>
      </c>
      <c r="D7858" s="4"/>
      <c r="E7858" s="4" t="s">
        <v>921</v>
      </c>
      <c r="F7858" s="4" t="s">
        <v>3727</v>
      </c>
      <c r="G7858" s="4" t="s">
        <v>336</v>
      </c>
      <c r="H7858" s="4" t="s">
        <v>380</v>
      </c>
      <c r="I7858" s="4">
        <v>0.18</v>
      </c>
      <c r="J7858" s="21">
        <v>400</v>
      </c>
      <c r="K7858" s="21">
        <v>72</v>
      </c>
      <c r="L7858" s="5">
        <v>0</v>
      </c>
      <c r="M7858" s="4"/>
      <c r="N7858" s="4"/>
      <c r="O7858" s="5"/>
      <c r="P7858" s="5"/>
      <c r="Q7858" s="21">
        <v>0</v>
      </c>
      <c r="R7858" s="21">
        <v>0</v>
      </c>
      <c r="S7858" s="5">
        <f t="shared" si="491"/>
        <v>54325.554819307523</v>
      </c>
      <c r="T7858" cm="1">
        <f t="array" ref="T7858">IF(OR(B7858="MAL ALIMI", B7858="ÜRETİM GİRİŞ"), MIN(I7858, MAX(0, I7858 + SUM(SUMIFS($I$1:I7857, $C$1:C7857, C7858, $B$1:B7857, {"MAL ALIMI","ÜRETİM GİRİŞ"})) - VLOOKUP(C7858, 'STOK RAPORU'!$C$2:$I$1000, 4, 0))), 0)</f>
        <v>0</v>
      </c>
      <c r="U7858" s="22">
        <f t="shared" si="492"/>
        <v>0</v>
      </c>
      <c r="V7858">
        <f t="shared" si="493"/>
        <v>0</v>
      </c>
      <c r="W7858" s="22">
        <f t="shared" si="494"/>
        <v>0</v>
      </c>
    </row>
    <row r="7859" spans="1:23" hidden="1" x14ac:dyDescent="0.25">
      <c r="A7859" s="3">
        <v>46196</v>
      </c>
      <c r="B7859" s="46" t="s">
        <v>334</v>
      </c>
      <c r="C7859" s="4" t="s">
        <v>133</v>
      </c>
      <c r="D7859" s="4"/>
      <c r="E7859" s="4" t="s">
        <v>921</v>
      </c>
      <c r="F7859" s="4" t="s">
        <v>3727</v>
      </c>
      <c r="G7859" s="4" t="s">
        <v>336</v>
      </c>
      <c r="H7859" s="4" t="s">
        <v>380</v>
      </c>
      <c r="I7859" s="4">
        <v>0.46250000000000002</v>
      </c>
      <c r="J7859" s="21">
        <v>400</v>
      </c>
      <c r="K7859" s="21">
        <v>185</v>
      </c>
      <c r="L7859" s="5">
        <v>0</v>
      </c>
      <c r="M7859" s="4"/>
      <c r="N7859" s="4"/>
      <c r="O7859" s="5"/>
      <c r="P7859" s="5"/>
      <c r="Q7859" s="21">
        <v>0</v>
      </c>
      <c r="R7859" s="21">
        <v>0</v>
      </c>
      <c r="S7859" s="5">
        <f t="shared" si="491"/>
        <v>54325.554819307523</v>
      </c>
      <c r="T7859" cm="1">
        <f t="array" ref="T7859">IF(OR(B7859="MAL ALIMI", B7859="ÜRETİM GİRİŞ"), MIN(I7859, MAX(0, I7859 + SUM(SUMIFS($I$1:I7858, $C$1:C7858, C7859, $B$1:B7858, {"MAL ALIMI","ÜRETİM GİRİŞ"})) - VLOOKUP(C7859, 'STOK RAPORU'!$C$2:$I$1000, 4, 0))), 0)</f>
        <v>0</v>
      </c>
      <c r="U7859" s="22">
        <f t="shared" si="492"/>
        <v>0</v>
      </c>
      <c r="V7859">
        <f t="shared" si="493"/>
        <v>0</v>
      </c>
      <c r="W7859" s="22">
        <f t="shared" si="494"/>
        <v>0</v>
      </c>
    </row>
    <row r="7860" spans="1:23" hidden="1" x14ac:dyDescent="0.25">
      <c r="A7860" s="3">
        <v>46196</v>
      </c>
      <c r="B7860" s="46" t="s">
        <v>334</v>
      </c>
      <c r="C7860" s="4" t="s">
        <v>91</v>
      </c>
      <c r="D7860" s="4"/>
      <c r="E7860" s="4" t="s">
        <v>921</v>
      </c>
      <c r="F7860" s="4" t="s">
        <v>3727</v>
      </c>
      <c r="G7860" s="4" t="s">
        <v>336</v>
      </c>
      <c r="H7860" s="4" t="s">
        <v>380</v>
      </c>
      <c r="I7860" s="4">
        <v>6.3529411764705876E-2</v>
      </c>
      <c r="J7860" s="21">
        <v>850</v>
      </c>
      <c r="K7860" s="21">
        <v>53.999999999999993</v>
      </c>
      <c r="L7860" s="5">
        <v>0</v>
      </c>
      <c r="M7860" s="4"/>
      <c r="N7860" s="4"/>
      <c r="O7860" s="5"/>
      <c r="P7860" s="5"/>
      <c r="Q7860" s="21">
        <v>0</v>
      </c>
      <c r="R7860" s="21">
        <v>0</v>
      </c>
      <c r="S7860" s="5">
        <f t="shared" si="491"/>
        <v>54325.554819307523</v>
      </c>
      <c r="T7860" cm="1">
        <f t="array" ref="T7860">IF(OR(B7860="MAL ALIMI", B7860="ÜRETİM GİRİŞ"), MIN(I7860, MAX(0, I7860 + SUM(SUMIFS($I$1:I7859, $C$1:C7859, C7860, $B$1:B7859, {"MAL ALIMI","ÜRETİM GİRİŞ"})) - VLOOKUP(C7860, 'STOK RAPORU'!$C$2:$I$1000, 4, 0))), 0)</f>
        <v>0</v>
      </c>
      <c r="U7860" s="22">
        <f t="shared" si="492"/>
        <v>0</v>
      </c>
      <c r="V7860">
        <f t="shared" si="493"/>
        <v>0</v>
      </c>
      <c r="W7860" s="22">
        <f t="shared" si="494"/>
        <v>0</v>
      </c>
    </row>
    <row r="7861" spans="1:23" hidden="1" x14ac:dyDescent="0.25">
      <c r="A7861" s="3">
        <v>46196</v>
      </c>
      <c r="B7861" s="46" t="s">
        <v>334</v>
      </c>
      <c r="C7861" s="4" t="s">
        <v>131</v>
      </c>
      <c r="D7861" s="4"/>
      <c r="E7861" s="4" t="s">
        <v>921</v>
      </c>
      <c r="F7861" s="4" t="s">
        <v>3727</v>
      </c>
      <c r="G7861" s="4" t="s">
        <v>336</v>
      </c>
      <c r="H7861" s="4" t="s">
        <v>380</v>
      </c>
      <c r="I7861" s="4">
        <v>0.12</v>
      </c>
      <c r="J7861" s="21">
        <v>400</v>
      </c>
      <c r="K7861" s="21">
        <v>48</v>
      </c>
      <c r="L7861" s="5">
        <v>0</v>
      </c>
      <c r="M7861" s="4"/>
      <c r="N7861" s="4"/>
      <c r="O7861" s="5"/>
      <c r="P7861" s="5"/>
      <c r="Q7861" s="21">
        <v>0</v>
      </c>
      <c r="R7861" s="21">
        <v>0</v>
      </c>
      <c r="S7861" s="5">
        <f t="shared" si="491"/>
        <v>54325.554819307523</v>
      </c>
      <c r="T7861" cm="1">
        <f t="array" ref="T7861">IF(OR(B7861="MAL ALIMI", B7861="ÜRETİM GİRİŞ"), MIN(I7861, MAX(0, I7861 + SUM(SUMIFS($I$1:I7860, $C$1:C7860, C7861, $B$1:B7860, {"MAL ALIMI","ÜRETİM GİRİŞ"})) - VLOOKUP(C7861, 'STOK RAPORU'!$C$2:$I$1000, 4, 0))), 0)</f>
        <v>0</v>
      </c>
      <c r="U7861" s="22">
        <f t="shared" si="492"/>
        <v>0</v>
      </c>
      <c r="V7861">
        <f t="shared" si="493"/>
        <v>0</v>
      </c>
      <c r="W7861" s="22">
        <f t="shared" si="494"/>
        <v>0</v>
      </c>
    </row>
    <row r="7862" spans="1:23" hidden="1" x14ac:dyDescent="0.25">
      <c r="A7862" s="3">
        <v>46196</v>
      </c>
      <c r="B7862" s="46" t="s">
        <v>334</v>
      </c>
      <c r="C7862" s="4" t="s">
        <v>126</v>
      </c>
      <c r="D7862" s="4"/>
      <c r="E7862" s="4" t="s">
        <v>921</v>
      </c>
      <c r="F7862" s="4" t="s">
        <v>3727</v>
      </c>
      <c r="G7862" s="4" t="s">
        <v>336</v>
      </c>
      <c r="H7862" s="4" t="s">
        <v>380</v>
      </c>
      <c r="I7862" s="4">
        <v>0.15230769230769231</v>
      </c>
      <c r="J7862" s="21">
        <v>650</v>
      </c>
      <c r="K7862" s="21">
        <v>99</v>
      </c>
      <c r="L7862" s="5">
        <v>0</v>
      </c>
      <c r="M7862" s="4"/>
      <c r="N7862" s="4"/>
      <c r="O7862" s="5"/>
      <c r="P7862" s="5"/>
      <c r="Q7862" s="21">
        <v>0</v>
      </c>
      <c r="R7862" s="21">
        <v>0</v>
      </c>
      <c r="S7862" s="5">
        <f t="shared" si="491"/>
        <v>54325.554819307523</v>
      </c>
      <c r="T7862" cm="1">
        <f t="array" ref="T7862">IF(OR(B7862="MAL ALIMI", B7862="ÜRETİM GİRİŞ"), MIN(I7862, MAX(0, I7862 + SUM(SUMIFS($I$1:I7861, $C$1:C7861, C7862, $B$1:B7861, {"MAL ALIMI","ÜRETİM GİRİŞ"})) - VLOOKUP(C7862, 'STOK RAPORU'!$C$2:$I$1000, 4, 0))), 0)</f>
        <v>0</v>
      </c>
      <c r="U7862" s="22">
        <f t="shared" si="492"/>
        <v>0</v>
      </c>
      <c r="V7862">
        <f t="shared" si="493"/>
        <v>0</v>
      </c>
      <c r="W7862" s="22">
        <f t="shared" si="494"/>
        <v>0</v>
      </c>
    </row>
    <row r="7863" spans="1:23" hidden="1" x14ac:dyDescent="0.25">
      <c r="A7863" s="3">
        <v>46196</v>
      </c>
      <c r="B7863" s="46" t="s">
        <v>334</v>
      </c>
      <c r="C7863" s="4" t="s">
        <v>92</v>
      </c>
      <c r="D7863" s="4"/>
      <c r="E7863" s="4" t="s">
        <v>921</v>
      </c>
      <c r="F7863" s="4" t="s">
        <v>3727</v>
      </c>
      <c r="G7863" s="4" t="s">
        <v>336</v>
      </c>
      <c r="H7863" s="4" t="s">
        <v>380</v>
      </c>
      <c r="I7863" s="4">
        <v>0.28199999999999997</v>
      </c>
      <c r="J7863" s="21">
        <v>500</v>
      </c>
      <c r="K7863" s="21">
        <v>141</v>
      </c>
      <c r="L7863" s="5">
        <v>0</v>
      </c>
      <c r="M7863" s="4"/>
      <c r="N7863" s="4"/>
      <c r="O7863" s="5"/>
      <c r="P7863" s="5"/>
      <c r="Q7863" s="21">
        <v>0</v>
      </c>
      <c r="R7863" s="21">
        <v>0</v>
      </c>
      <c r="S7863" s="5">
        <f t="shared" si="491"/>
        <v>54325.554819307523</v>
      </c>
      <c r="T7863" cm="1">
        <f t="array" ref="T7863">IF(OR(B7863="MAL ALIMI", B7863="ÜRETİM GİRİŞ"), MIN(I7863, MAX(0, I7863 + SUM(SUMIFS($I$1:I7862, $C$1:C7862, C7863, $B$1:B7862, {"MAL ALIMI","ÜRETİM GİRİŞ"})) - VLOOKUP(C7863, 'STOK RAPORU'!$C$2:$I$1000, 4, 0))), 0)</f>
        <v>0</v>
      </c>
      <c r="U7863" s="22">
        <f t="shared" si="492"/>
        <v>0</v>
      </c>
      <c r="V7863">
        <f t="shared" si="493"/>
        <v>0</v>
      </c>
      <c r="W7863" s="22">
        <f t="shared" si="494"/>
        <v>0</v>
      </c>
    </row>
    <row r="7864" spans="1:23" hidden="1" x14ac:dyDescent="0.25">
      <c r="A7864" s="3">
        <v>46196</v>
      </c>
      <c r="B7864" s="46" t="s">
        <v>334</v>
      </c>
      <c r="C7864" s="4" t="s">
        <v>96</v>
      </c>
      <c r="D7864" s="4"/>
      <c r="E7864" s="4" t="s">
        <v>921</v>
      </c>
      <c r="F7864" s="4" t="s">
        <v>3727</v>
      </c>
      <c r="G7864" s="4" t="s">
        <v>336</v>
      </c>
      <c r="H7864" s="4" t="s">
        <v>380</v>
      </c>
      <c r="I7864" s="4">
        <v>0.2225</v>
      </c>
      <c r="J7864" s="21">
        <v>390</v>
      </c>
      <c r="K7864" s="21">
        <v>86.775000000000006</v>
      </c>
      <c r="L7864" s="5">
        <v>0</v>
      </c>
      <c r="M7864" s="4"/>
      <c r="N7864" s="4"/>
      <c r="O7864" s="5"/>
      <c r="P7864" s="5"/>
      <c r="Q7864" s="21">
        <v>0</v>
      </c>
      <c r="R7864" s="21">
        <v>0</v>
      </c>
      <c r="S7864" s="5">
        <f t="shared" si="491"/>
        <v>54325.554819307523</v>
      </c>
      <c r="T7864" cm="1">
        <f t="array" ref="T7864">IF(OR(B7864="MAL ALIMI", B7864="ÜRETİM GİRİŞ"), MIN(I7864, MAX(0, I7864 + SUM(SUMIFS($I$1:I7863, $C$1:C7863, C7864, $B$1:B7863, {"MAL ALIMI","ÜRETİM GİRİŞ"})) - VLOOKUP(C7864, 'STOK RAPORU'!$C$2:$I$1000, 4, 0))), 0)</f>
        <v>0</v>
      </c>
      <c r="U7864" s="22">
        <f t="shared" si="492"/>
        <v>0</v>
      </c>
      <c r="V7864">
        <f t="shared" si="493"/>
        <v>0</v>
      </c>
      <c r="W7864" s="22">
        <f t="shared" si="494"/>
        <v>0</v>
      </c>
    </row>
    <row r="7865" spans="1:23" hidden="1" x14ac:dyDescent="0.25">
      <c r="A7865" s="3">
        <v>46196</v>
      </c>
      <c r="B7865" s="46" t="s">
        <v>334</v>
      </c>
      <c r="C7865" s="4" t="s">
        <v>129</v>
      </c>
      <c r="D7865" s="4"/>
      <c r="E7865" s="4" t="s">
        <v>921</v>
      </c>
      <c r="F7865" s="4" t="s">
        <v>3727</v>
      </c>
      <c r="G7865" s="4" t="s">
        <v>336</v>
      </c>
      <c r="H7865" s="4" t="s">
        <v>380</v>
      </c>
      <c r="I7865" s="4">
        <v>0.185</v>
      </c>
      <c r="J7865" s="21">
        <v>350</v>
      </c>
      <c r="K7865" s="21">
        <v>64.75</v>
      </c>
      <c r="L7865" s="5">
        <v>0</v>
      </c>
      <c r="M7865" s="4"/>
      <c r="N7865" s="4"/>
      <c r="O7865" s="5"/>
      <c r="P7865" s="5"/>
      <c r="Q7865" s="21">
        <v>0</v>
      </c>
      <c r="R7865" s="21">
        <v>0</v>
      </c>
      <c r="S7865" s="5">
        <f t="shared" si="491"/>
        <v>54325.554819307523</v>
      </c>
      <c r="T7865" cm="1">
        <f t="array" ref="T7865">IF(OR(B7865="MAL ALIMI", B7865="ÜRETİM GİRİŞ"), MIN(I7865, MAX(0, I7865 + SUM(SUMIFS($I$1:I7864, $C$1:C7864, C7865, $B$1:B7864, {"MAL ALIMI","ÜRETİM GİRİŞ"})) - VLOOKUP(C7865, 'STOK RAPORU'!$C$2:$I$1000, 4, 0))), 0)</f>
        <v>0</v>
      </c>
      <c r="U7865" s="22">
        <f t="shared" si="492"/>
        <v>0</v>
      </c>
      <c r="V7865">
        <f t="shared" si="493"/>
        <v>0</v>
      </c>
      <c r="W7865" s="22">
        <f t="shared" si="494"/>
        <v>0</v>
      </c>
    </row>
    <row r="7866" spans="1:23" hidden="1" x14ac:dyDescent="0.25">
      <c r="A7866" s="3">
        <v>46196</v>
      </c>
      <c r="B7866" s="46" t="s">
        <v>334</v>
      </c>
      <c r="C7866" s="4" t="s">
        <v>157</v>
      </c>
      <c r="D7866" s="4"/>
      <c r="E7866" s="4"/>
      <c r="F7866" s="4" t="s">
        <v>3728</v>
      </c>
      <c r="G7866" s="4" t="s">
        <v>336</v>
      </c>
      <c r="H7866" s="4" t="s">
        <v>289</v>
      </c>
      <c r="I7866" s="4">
        <v>1</v>
      </c>
      <c r="J7866" s="21">
        <v>200</v>
      </c>
      <c r="K7866" s="21">
        <v>0</v>
      </c>
      <c r="L7866" s="5">
        <v>0</v>
      </c>
      <c r="M7866" s="4"/>
      <c r="N7866" s="4"/>
      <c r="O7866" s="5"/>
      <c r="P7866" s="5"/>
      <c r="Q7866" s="21">
        <v>200</v>
      </c>
      <c r="R7866" s="21">
        <v>0</v>
      </c>
      <c r="S7866" s="5">
        <f t="shared" si="491"/>
        <v>54525.554819307523</v>
      </c>
      <c r="T7866" cm="1">
        <f t="array" ref="T7866">IF(OR(B7866="MAL ALIMI", B7866="ÜRETİM GİRİŞ"), MIN(I7866, MAX(0, I7866 + SUM(SUMIFS($I$1:I7865, $C$1:C7865, C7866, $B$1:B7865, {"MAL ALIMI","ÜRETİM GİRİŞ"})) - VLOOKUP(C7866, 'STOK RAPORU'!$C$2:$I$1000, 4, 0))), 0)</f>
        <v>0</v>
      </c>
      <c r="U7866" s="22">
        <f t="shared" si="492"/>
        <v>0</v>
      </c>
      <c r="V7866">
        <f t="shared" si="493"/>
        <v>0</v>
      </c>
      <c r="W7866" s="22">
        <f t="shared" si="494"/>
        <v>0</v>
      </c>
    </row>
    <row r="7867" spans="1:23" hidden="1" x14ac:dyDescent="0.25">
      <c r="A7867" s="3">
        <v>46196</v>
      </c>
      <c r="B7867" s="46" t="s">
        <v>334</v>
      </c>
      <c r="C7867" s="4" t="s">
        <v>156</v>
      </c>
      <c r="D7867" s="4"/>
      <c r="E7867" s="4"/>
      <c r="F7867" s="4" t="s">
        <v>3728</v>
      </c>
      <c r="G7867" s="4" t="s">
        <v>336</v>
      </c>
      <c r="H7867" s="4" t="s">
        <v>289</v>
      </c>
      <c r="I7867" s="4">
        <v>1</v>
      </c>
      <c r="J7867" s="21">
        <v>200</v>
      </c>
      <c r="K7867" s="21">
        <v>0</v>
      </c>
      <c r="L7867" s="5">
        <v>0</v>
      </c>
      <c r="M7867" s="4"/>
      <c r="N7867" s="4"/>
      <c r="O7867" s="5"/>
      <c r="P7867" s="5"/>
      <c r="Q7867" s="21">
        <v>200</v>
      </c>
      <c r="R7867" s="21">
        <v>0</v>
      </c>
      <c r="S7867" s="5">
        <f t="shared" si="491"/>
        <v>54725.554819307523</v>
      </c>
      <c r="T7867" cm="1">
        <f t="array" ref="T7867">IF(OR(B7867="MAL ALIMI", B7867="ÜRETİM GİRİŞ"), MIN(I7867, MAX(0, I7867 + SUM(SUMIFS($I$1:I7866, $C$1:C7866, C7867, $B$1:B7866, {"MAL ALIMI","ÜRETİM GİRİŞ"})) - VLOOKUP(C7867, 'STOK RAPORU'!$C$2:$I$1000, 4, 0))), 0)</f>
        <v>0</v>
      </c>
      <c r="U7867" s="22">
        <f t="shared" si="492"/>
        <v>0</v>
      </c>
      <c r="V7867">
        <f t="shared" si="493"/>
        <v>0</v>
      </c>
      <c r="W7867" s="22">
        <f t="shared" si="494"/>
        <v>0</v>
      </c>
    </row>
    <row r="7868" spans="1:23" hidden="1" x14ac:dyDescent="0.25">
      <c r="A7868" s="3">
        <v>46196</v>
      </c>
      <c r="B7868" s="46" t="s">
        <v>334</v>
      </c>
      <c r="C7868" s="4" t="s">
        <v>1897</v>
      </c>
      <c r="D7868" s="4"/>
      <c r="E7868" s="4" t="s">
        <v>921</v>
      </c>
      <c r="F7868" s="4" t="s">
        <v>3728</v>
      </c>
      <c r="G7868" s="4" t="s">
        <v>336</v>
      </c>
      <c r="H7868" s="4" t="s">
        <v>380</v>
      </c>
      <c r="I7868" s="4">
        <v>1</v>
      </c>
      <c r="J7868" s="21">
        <v>295</v>
      </c>
      <c r="K7868" s="21">
        <v>295</v>
      </c>
      <c r="L7868" s="5">
        <v>0</v>
      </c>
      <c r="M7868" s="4"/>
      <c r="N7868" s="4"/>
      <c r="O7868" s="5"/>
      <c r="P7868" s="5"/>
      <c r="Q7868" s="21">
        <v>0</v>
      </c>
      <c r="R7868" s="21">
        <v>0</v>
      </c>
      <c r="S7868" s="5">
        <f t="shared" si="491"/>
        <v>54725.554819307523</v>
      </c>
      <c r="T7868" cm="1">
        <f t="array" ref="T7868">IF(OR(B7868="MAL ALIMI", B7868="ÜRETİM GİRİŞ"), MIN(I7868, MAX(0, I7868 + SUM(SUMIFS($I$1:I7867, $C$1:C7867, C7868, $B$1:B7867, {"MAL ALIMI","ÜRETİM GİRİŞ"})) - VLOOKUP(C7868, 'STOK RAPORU'!$C$2:$I$1000, 4, 0))), 0)</f>
        <v>0</v>
      </c>
      <c r="U7868" s="22">
        <f t="shared" si="492"/>
        <v>0</v>
      </c>
      <c r="V7868">
        <f t="shared" si="493"/>
        <v>0</v>
      </c>
      <c r="W7868" s="22">
        <f t="shared" si="494"/>
        <v>0</v>
      </c>
    </row>
    <row r="7869" spans="1:23" hidden="1" x14ac:dyDescent="0.25">
      <c r="A7869" s="3">
        <v>46196</v>
      </c>
      <c r="B7869" s="46" t="s">
        <v>334</v>
      </c>
      <c r="C7869" s="4" t="s">
        <v>156</v>
      </c>
      <c r="D7869" s="4"/>
      <c r="E7869" s="4" t="s">
        <v>921</v>
      </c>
      <c r="F7869" s="4" t="s">
        <v>3729</v>
      </c>
      <c r="G7869" s="4" t="s">
        <v>336</v>
      </c>
      <c r="H7869" s="4" t="s">
        <v>380</v>
      </c>
      <c r="I7869" s="4">
        <v>1</v>
      </c>
      <c r="J7869" s="21">
        <v>200</v>
      </c>
      <c r="K7869" s="21">
        <v>200</v>
      </c>
      <c r="L7869" s="5">
        <v>0</v>
      </c>
      <c r="M7869" s="4"/>
      <c r="N7869" s="4"/>
      <c r="O7869" s="5"/>
      <c r="P7869" s="5"/>
      <c r="Q7869" s="21">
        <v>0</v>
      </c>
      <c r="R7869" s="21">
        <v>0</v>
      </c>
      <c r="S7869" s="5">
        <f t="shared" si="491"/>
        <v>54725.554819307523</v>
      </c>
      <c r="T7869" cm="1">
        <f t="array" ref="T7869">IF(OR(B7869="MAL ALIMI", B7869="ÜRETİM GİRİŞ"), MIN(I7869, MAX(0, I7869 + SUM(SUMIFS($I$1:I7868, $C$1:C7868, C7869, $B$1:B7868, {"MAL ALIMI","ÜRETİM GİRİŞ"})) - VLOOKUP(C7869, 'STOK RAPORU'!$C$2:$I$1000, 4, 0))), 0)</f>
        <v>0</v>
      </c>
      <c r="U7869" s="22">
        <f t="shared" si="492"/>
        <v>0</v>
      </c>
      <c r="V7869">
        <f t="shared" si="493"/>
        <v>0</v>
      </c>
      <c r="W7869" s="22">
        <f t="shared" si="494"/>
        <v>0</v>
      </c>
    </row>
    <row r="7870" spans="1:23" hidden="1" x14ac:dyDescent="0.25">
      <c r="A7870" s="3">
        <v>46196</v>
      </c>
      <c r="B7870" s="46" t="s">
        <v>334</v>
      </c>
      <c r="C7870" s="4" t="s">
        <v>158</v>
      </c>
      <c r="D7870" s="4"/>
      <c r="E7870" s="4" t="s">
        <v>921</v>
      </c>
      <c r="F7870" s="4" t="s">
        <v>3729</v>
      </c>
      <c r="G7870" s="4" t="s">
        <v>336</v>
      </c>
      <c r="H7870" s="4" t="s">
        <v>380</v>
      </c>
      <c r="I7870" s="4">
        <v>1</v>
      </c>
      <c r="J7870" s="21">
        <v>150</v>
      </c>
      <c r="K7870" s="21">
        <v>150</v>
      </c>
      <c r="L7870" s="5">
        <v>0</v>
      </c>
      <c r="M7870" s="4"/>
      <c r="N7870" s="4"/>
      <c r="O7870" s="5"/>
      <c r="P7870" s="5"/>
      <c r="Q7870" s="21">
        <v>0</v>
      </c>
      <c r="R7870" s="21">
        <v>0</v>
      </c>
      <c r="S7870" s="5">
        <f t="shared" si="491"/>
        <v>54725.554819307523</v>
      </c>
      <c r="T7870" cm="1">
        <f t="array" ref="T7870">IF(OR(B7870="MAL ALIMI", B7870="ÜRETİM GİRİŞ"), MIN(I7870, MAX(0, I7870 + SUM(SUMIFS($I$1:I7869, $C$1:C7869, C7870, $B$1:B7869, {"MAL ALIMI","ÜRETİM GİRİŞ"})) - VLOOKUP(C7870, 'STOK RAPORU'!$C$2:$I$1000, 4, 0))), 0)</f>
        <v>0</v>
      </c>
      <c r="U7870" s="22">
        <f t="shared" si="492"/>
        <v>0</v>
      </c>
      <c r="V7870">
        <f t="shared" si="493"/>
        <v>0</v>
      </c>
      <c r="W7870" s="22">
        <f t="shared" si="494"/>
        <v>0</v>
      </c>
    </row>
    <row r="7871" spans="1:23" hidden="1" x14ac:dyDescent="0.25">
      <c r="A7871" s="3">
        <v>46196</v>
      </c>
      <c r="B7871" s="4" t="s">
        <v>946</v>
      </c>
      <c r="C7871" s="4"/>
      <c r="D7871" s="4"/>
      <c r="E7871" s="4" t="s">
        <v>921</v>
      </c>
      <c r="F7871" s="4"/>
      <c r="G7871" s="4" t="s">
        <v>946</v>
      </c>
      <c r="H7871" s="4" t="s">
        <v>380</v>
      </c>
      <c r="I7871" s="4">
        <v>1</v>
      </c>
      <c r="J7871" s="21">
        <v>385</v>
      </c>
      <c r="K7871" s="21">
        <v>0</v>
      </c>
      <c r="L7871" s="115">
        <v>385</v>
      </c>
      <c r="M7871" s="4"/>
      <c r="N7871" s="4"/>
      <c r="O7871" s="5"/>
      <c r="P7871" s="5"/>
      <c r="Q7871" s="21">
        <v>385</v>
      </c>
      <c r="R7871" s="21">
        <v>0</v>
      </c>
      <c r="S7871" s="5">
        <f t="shared" si="491"/>
        <v>55110.554819307523</v>
      </c>
      <c r="T7871" cm="1">
        <f t="array" ref="T7871">IF(OR(B7871="MAL ALIMI", B7871="ÜRETİM GİRİŞ"), MIN(I7871, MAX(0, I7871 + SUM(SUMIFS($I$1:I7870, $C$1:C7870, C7871, $B$1:B7870, {"MAL ALIMI","ÜRETİM GİRİŞ"})) - VLOOKUP(C7871, 'STOK RAPORU'!$C$2:$I$1000, 4, 0))), 0)</f>
        <v>0</v>
      </c>
      <c r="U7871" s="22">
        <f t="shared" si="492"/>
        <v>0</v>
      </c>
      <c r="V7871">
        <f t="shared" si="493"/>
        <v>0</v>
      </c>
      <c r="W7871" s="22">
        <f t="shared" si="494"/>
        <v>0</v>
      </c>
    </row>
    <row r="7872" spans="1:23" hidden="1" x14ac:dyDescent="0.25">
      <c r="A7872" s="3">
        <v>46196</v>
      </c>
      <c r="B7872" s="4" t="s">
        <v>946</v>
      </c>
      <c r="C7872" s="4"/>
      <c r="D7872" s="4"/>
      <c r="E7872" s="4" t="s">
        <v>921</v>
      </c>
      <c r="F7872" s="4"/>
      <c r="G7872" s="4" t="s">
        <v>946</v>
      </c>
      <c r="H7872" s="4" t="s">
        <v>380</v>
      </c>
      <c r="I7872" s="4">
        <v>1</v>
      </c>
      <c r="J7872" s="21">
        <v>2826</v>
      </c>
      <c r="K7872" s="21">
        <v>0</v>
      </c>
      <c r="L7872" s="115">
        <v>2826</v>
      </c>
      <c r="M7872" s="4"/>
      <c r="N7872" s="4"/>
      <c r="O7872" s="5"/>
      <c r="P7872" s="5"/>
      <c r="Q7872" s="21">
        <v>2826</v>
      </c>
      <c r="R7872" s="21">
        <v>0</v>
      </c>
      <c r="S7872" s="5">
        <f t="shared" si="491"/>
        <v>57936.554819307523</v>
      </c>
      <c r="T7872" cm="1">
        <f t="array" ref="T7872">IF(OR(B7872="MAL ALIMI", B7872="ÜRETİM GİRİŞ"), MIN(I7872, MAX(0, I7872 + SUM(SUMIFS($I$1:I7871, $C$1:C7871, C7872, $B$1:B7871, {"MAL ALIMI","ÜRETİM GİRİŞ"})) - VLOOKUP(C7872, 'STOK RAPORU'!$C$2:$I$1000, 4, 0))), 0)</f>
        <v>0</v>
      </c>
      <c r="U7872" s="22">
        <f t="shared" si="492"/>
        <v>0</v>
      </c>
      <c r="V7872">
        <f t="shared" si="493"/>
        <v>0</v>
      </c>
      <c r="W7872" s="22">
        <f t="shared" si="494"/>
        <v>0</v>
      </c>
    </row>
    <row r="7873" spans="1:23" hidden="1" x14ac:dyDescent="0.25">
      <c r="A7873" s="3">
        <v>46197</v>
      </c>
      <c r="B7873" s="46" t="s">
        <v>298</v>
      </c>
      <c r="C7873" s="4" t="s">
        <v>196</v>
      </c>
      <c r="D7873" s="4"/>
      <c r="E7873" s="4" t="s">
        <v>2381</v>
      </c>
      <c r="F7873" s="4" t="s">
        <v>3671</v>
      </c>
      <c r="G7873" s="4" t="s">
        <v>2381</v>
      </c>
      <c r="H7873" s="4" t="s">
        <v>304</v>
      </c>
      <c r="I7873" s="4">
        <v>5</v>
      </c>
      <c r="J7873" s="21">
        <v>100.7475</v>
      </c>
      <c r="K7873" s="21">
        <v>0</v>
      </c>
      <c r="L7873" s="5">
        <v>503.73750000000001</v>
      </c>
      <c r="M7873" s="4"/>
      <c r="N7873" s="4"/>
      <c r="O7873" s="5"/>
      <c r="P7873" s="5"/>
      <c r="Q7873" s="21">
        <v>0</v>
      </c>
      <c r="R7873" s="21">
        <v>0</v>
      </c>
      <c r="S7873" s="5">
        <f t="shared" si="491"/>
        <v>57936.554819307523</v>
      </c>
      <c r="T7873" cm="1">
        <f t="array" ref="T7873">IF(OR(B7873="MAL ALIMI", B7873="ÜRETİM GİRİŞ"), MIN(I7873, MAX(0, I7873 + SUM(SUMIFS($I$1:I7872, $C$1:C7872, C7873, $B$1:B7872, {"MAL ALIMI","ÜRETİM GİRİŞ"})) - VLOOKUP(C7873, 'STOK RAPORU'!$C$2:$I$1000, 4, 0))), 0)</f>
        <v>5</v>
      </c>
      <c r="U7873" s="22">
        <f t="shared" si="492"/>
        <v>503.73750000000001</v>
      </c>
      <c r="V7873">
        <f t="shared" si="493"/>
        <v>503.73750000000001</v>
      </c>
      <c r="W7873" s="22">
        <f t="shared" si="494"/>
        <v>0</v>
      </c>
    </row>
    <row r="7874" spans="1:23" hidden="1" x14ac:dyDescent="0.25">
      <c r="A7874" s="3">
        <v>46197</v>
      </c>
      <c r="B7874" s="46" t="s">
        <v>298</v>
      </c>
      <c r="C7874" s="4" t="s">
        <v>693</v>
      </c>
      <c r="D7874" s="4"/>
      <c r="E7874" s="4" t="s">
        <v>2381</v>
      </c>
      <c r="F7874" s="4" t="s">
        <v>3671</v>
      </c>
      <c r="G7874" s="4" t="s">
        <v>2381</v>
      </c>
      <c r="H7874" s="4" t="s">
        <v>304</v>
      </c>
      <c r="I7874" s="4">
        <v>5</v>
      </c>
      <c r="J7874" s="21">
        <v>254.26750000000001</v>
      </c>
      <c r="K7874" s="21">
        <v>0</v>
      </c>
      <c r="L7874" s="5">
        <v>1271.3375000000001</v>
      </c>
      <c r="M7874" s="4"/>
      <c r="N7874" s="4"/>
      <c r="O7874" s="5"/>
      <c r="P7874" s="5"/>
      <c r="Q7874" s="21">
        <v>0</v>
      </c>
      <c r="R7874" s="21">
        <v>0</v>
      </c>
      <c r="S7874" s="5">
        <f t="shared" si="491"/>
        <v>57936.554819307523</v>
      </c>
      <c r="T7874" cm="1">
        <f t="array" ref="T7874">IF(OR(B7874="MAL ALIMI", B7874="ÜRETİM GİRİŞ"), MIN(I7874, MAX(0, I7874 + SUM(SUMIFS($I$1:I7873, $C$1:C7873, C7874, $B$1:B7873, {"MAL ALIMI","ÜRETİM GİRİŞ"})) - VLOOKUP(C7874, 'STOK RAPORU'!$C$2:$I$1000, 4, 0))), 0)</f>
        <v>5</v>
      </c>
      <c r="U7874" s="22">
        <f t="shared" si="492"/>
        <v>1271.3375000000001</v>
      </c>
      <c r="V7874">
        <f t="shared" si="493"/>
        <v>1271.3375000000001</v>
      </c>
      <c r="W7874" s="22">
        <f t="shared" si="494"/>
        <v>0</v>
      </c>
    </row>
    <row r="7875" spans="1:23" hidden="1" x14ac:dyDescent="0.25">
      <c r="A7875" s="3">
        <v>46197</v>
      </c>
      <c r="B7875" s="46" t="s">
        <v>298</v>
      </c>
      <c r="C7875" s="4" t="s">
        <v>244</v>
      </c>
      <c r="D7875" s="4"/>
      <c r="E7875" s="4" t="s">
        <v>2381</v>
      </c>
      <c r="F7875" s="4" t="s">
        <v>3671</v>
      </c>
      <c r="G7875" s="4" t="s">
        <v>2381</v>
      </c>
      <c r="H7875" s="4" t="s">
        <v>304</v>
      </c>
      <c r="I7875" s="4">
        <v>5</v>
      </c>
      <c r="J7875" s="21">
        <v>575.70000000000005</v>
      </c>
      <c r="K7875" s="21">
        <v>0</v>
      </c>
      <c r="L7875" s="5">
        <v>2878.5</v>
      </c>
      <c r="M7875" s="4"/>
      <c r="N7875" s="4"/>
      <c r="O7875" s="5"/>
      <c r="P7875" s="5"/>
      <c r="Q7875" s="21">
        <v>0</v>
      </c>
      <c r="R7875" s="21">
        <v>0</v>
      </c>
      <c r="S7875" s="5">
        <f t="shared" si="491"/>
        <v>57936.554819307523</v>
      </c>
      <c r="T7875" cm="1">
        <f t="array" ref="T7875">IF(OR(B7875="MAL ALIMI", B7875="ÜRETİM GİRİŞ"), MIN(I7875, MAX(0, I7875 + SUM(SUMIFS($I$1:I7874, $C$1:C7874, C7875, $B$1:B7874, {"MAL ALIMI","ÜRETİM GİRİŞ"})) - VLOOKUP(C7875, 'STOK RAPORU'!$C$2:$I$1000, 4, 0))), 0)</f>
        <v>1.7801538461538442</v>
      </c>
      <c r="U7875" s="22">
        <f t="shared" si="492"/>
        <v>1024.8345692307682</v>
      </c>
      <c r="V7875">
        <f t="shared" si="493"/>
        <v>2878.5</v>
      </c>
      <c r="W7875" s="22">
        <f t="shared" si="494"/>
        <v>1853.6654307692318</v>
      </c>
    </row>
    <row r="7876" spans="1:23" hidden="1" x14ac:dyDescent="0.25">
      <c r="A7876" s="3">
        <v>46197</v>
      </c>
      <c r="B7876" s="46" t="s">
        <v>298</v>
      </c>
      <c r="C7876" s="4" t="s">
        <v>226</v>
      </c>
      <c r="D7876" s="4"/>
      <c r="E7876" s="4" t="s">
        <v>2381</v>
      </c>
      <c r="F7876" s="4" t="s">
        <v>3671</v>
      </c>
      <c r="G7876" s="4" t="s">
        <v>2381</v>
      </c>
      <c r="H7876" s="4" t="s">
        <v>304</v>
      </c>
      <c r="I7876" s="4">
        <v>5</v>
      </c>
      <c r="J7876" s="21">
        <v>105.545</v>
      </c>
      <c r="K7876" s="21">
        <v>0</v>
      </c>
      <c r="L7876" s="5">
        <v>527.72500000000002</v>
      </c>
      <c r="M7876" s="4"/>
      <c r="N7876" s="4"/>
      <c r="O7876" s="5"/>
      <c r="P7876" s="5"/>
      <c r="Q7876" s="21">
        <v>0</v>
      </c>
      <c r="R7876" s="21">
        <v>0</v>
      </c>
      <c r="S7876" s="5">
        <f t="shared" si="491"/>
        <v>57936.554819307523</v>
      </c>
      <c r="T7876" cm="1">
        <f t="array" ref="T7876">IF(OR(B7876="MAL ALIMI", B7876="ÜRETİM GİRİŞ"), MIN(I7876, MAX(0, I7876 + SUM(SUMIFS($I$1:I7875, $C$1:C7875, C7876, $B$1:B7875, {"MAL ALIMI","ÜRETİM GİRİŞ"})) - VLOOKUP(C7876, 'STOK RAPORU'!$C$2:$I$1000, 4, 0))), 0)</f>
        <v>3.5707272727272787</v>
      </c>
      <c r="U7876" s="22">
        <f t="shared" si="492"/>
        <v>376.87241000000063</v>
      </c>
      <c r="V7876">
        <f t="shared" si="493"/>
        <v>527.72500000000002</v>
      </c>
      <c r="W7876" s="22">
        <f t="shared" si="494"/>
        <v>150.8525899999994</v>
      </c>
    </row>
    <row r="7877" spans="1:23" hidden="1" x14ac:dyDescent="0.25">
      <c r="A7877" s="3">
        <v>46197</v>
      </c>
      <c r="B7877" s="46" t="s">
        <v>298</v>
      </c>
      <c r="C7877" s="4" t="s">
        <v>728</v>
      </c>
      <c r="D7877" s="4"/>
      <c r="E7877" s="4" t="s">
        <v>2381</v>
      </c>
      <c r="F7877" s="4" t="s">
        <v>3671</v>
      </c>
      <c r="G7877" s="4" t="s">
        <v>2381</v>
      </c>
      <c r="H7877" s="4" t="s">
        <v>304</v>
      </c>
      <c r="I7877" s="4">
        <v>5</v>
      </c>
      <c r="J7877" s="21">
        <v>527.72500000000002</v>
      </c>
      <c r="K7877" s="21">
        <v>0</v>
      </c>
      <c r="L7877" s="5">
        <v>2638.625</v>
      </c>
      <c r="M7877" s="4"/>
      <c r="N7877" s="4"/>
      <c r="O7877" s="5"/>
      <c r="P7877" s="5"/>
      <c r="Q7877" s="21">
        <v>0</v>
      </c>
      <c r="R7877" s="21">
        <v>0</v>
      </c>
      <c r="S7877" s="5">
        <f t="shared" ref="S7877:S7940" si="495">S7876+Q7877-R7877</f>
        <v>57936.554819307523</v>
      </c>
      <c r="T7877" cm="1">
        <f t="array" ref="T7877">IF(OR(B7877="MAL ALIMI", B7877="ÜRETİM GİRİŞ"), MIN(I7877, MAX(0, I7877 + SUM(SUMIFS($I$1:I7876, $C$1:C7876, C7877, $B$1:B7876, {"MAL ALIMI","ÜRETİM GİRİŞ"})) - VLOOKUP(C7877, 'STOK RAPORU'!$C$2:$I$1000, 4, 0))), 0)</f>
        <v>0.49302787068004505</v>
      </c>
      <c r="U7877" s="22">
        <f t="shared" si="492"/>
        <v>260.18313305462681</v>
      </c>
      <c r="V7877">
        <f t="shared" si="493"/>
        <v>2638.625</v>
      </c>
      <c r="W7877" s="22">
        <f t="shared" si="494"/>
        <v>2378.441866945373</v>
      </c>
    </row>
    <row r="7878" spans="1:23" hidden="1" x14ac:dyDescent="0.25">
      <c r="A7878" s="3">
        <v>46197</v>
      </c>
      <c r="B7878" s="46" t="s">
        <v>334</v>
      </c>
      <c r="C7878" s="4" t="s">
        <v>133</v>
      </c>
      <c r="D7878" s="4"/>
      <c r="E7878" s="4"/>
      <c r="F7878" s="4" t="s">
        <v>3730</v>
      </c>
      <c r="G7878" s="4" t="s">
        <v>2708</v>
      </c>
      <c r="H7878" s="4" t="s">
        <v>289</v>
      </c>
      <c r="I7878" s="4">
        <v>0.13</v>
      </c>
      <c r="J7878" s="21">
        <v>400</v>
      </c>
      <c r="K7878" s="21">
        <v>0</v>
      </c>
      <c r="L7878" s="5">
        <v>0</v>
      </c>
      <c r="M7878" s="4"/>
      <c r="N7878" s="4"/>
      <c r="O7878" s="5"/>
      <c r="P7878" s="5"/>
      <c r="Q7878" s="21">
        <v>52</v>
      </c>
      <c r="R7878" s="21">
        <v>0</v>
      </c>
      <c r="S7878" s="5">
        <f t="shared" si="495"/>
        <v>57988.554819307523</v>
      </c>
      <c r="T7878" cm="1">
        <f t="array" ref="T7878">IF(OR(B7878="MAL ALIMI", B7878="ÜRETİM GİRİŞ"), MIN(I7878, MAX(0, I7878 + SUM(SUMIFS($I$1:I7877, $C$1:C7877, C7878, $B$1:B7877, {"MAL ALIMI","ÜRETİM GİRİŞ"})) - VLOOKUP(C7878, 'STOK RAPORU'!$C$2:$I$1000, 4, 0))), 0)</f>
        <v>0</v>
      </c>
      <c r="U7878" s="22">
        <f t="shared" si="492"/>
        <v>0</v>
      </c>
      <c r="V7878">
        <f t="shared" si="493"/>
        <v>0</v>
      </c>
      <c r="W7878" s="22">
        <f t="shared" si="494"/>
        <v>0</v>
      </c>
    </row>
    <row r="7879" spans="1:23" hidden="1" x14ac:dyDescent="0.25">
      <c r="A7879" s="3">
        <v>46197</v>
      </c>
      <c r="B7879" s="46" t="s">
        <v>334</v>
      </c>
      <c r="C7879" s="4" t="s">
        <v>131</v>
      </c>
      <c r="D7879" s="4"/>
      <c r="E7879" s="4"/>
      <c r="F7879" s="4" t="s">
        <v>3730</v>
      </c>
      <c r="G7879" s="4" t="s">
        <v>2708</v>
      </c>
      <c r="H7879" s="4" t="s">
        <v>289</v>
      </c>
      <c r="I7879" s="4">
        <v>0.27</v>
      </c>
      <c r="J7879" s="21">
        <v>400</v>
      </c>
      <c r="K7879" s="21">
        <v>0</v>
      </c>
      <c r="L7879" s="5">
        <v>0</v>
      </c>
      <c r="M7879" s="4"/>
      <c r="N7879" s="4"/>
      <c r="O7879" s="5"/>
      <c r="P7879" s="5"/>
      <c r="Q7879" s="21">
        <v>108</v>
      </c>
      <c r="R7879" s="21">
        <v>0</v>
      </c>
      <c r="S7879" s="5">
        <f t="shared" si="495"/>
        <v>58096.554819307523</v>
      </c>
      <c r="T7879" cm="1">
        <f t="array" ref="T7879">IF(OR(B7879="MAL ALIMI", B7879="ÜRETİM GİRİŞ"), MIN(I7879, MAX(0, I7879 + SUM(SUMIFS($I$1:I7878, $C$1:C7878, C7879, $B$1:B7878, {"MAL ALIMI","ÜRETİM GİRİŞ"})) - VLOOKUP(C7879, 'STOK RAPORU'!$C$2:$I$1000, 4, 0))), 0)</f>
        <v>0</v>
      </c>
      <c r="U7879" s="22">
        <f t="shared" si="492"/>
        <v>0</v>
      </c>
      <c r="V7879">
        <f t="shared" si="493"/>
        <v>0</v>
      </c>
      <c r="W7879" s="22">
        <f t="shared" si="494"/>
        <v>0</v>
      </c>
    </row>
    <row r="7880" spans="1:23" hidden="1" x14ac:dyDescent="0.25">
      <c r="A7880" s="3">
        <v>46197</v>
      </c>
      <c r="B7880" s="46" t="s">
        <v>334</v>
      </c>
      <c r="C7880" s="4" t="s">
        <v>1634</v>
      </c>
      <c r="D7880" s="4"/>
      <c r="E7880" s="4"/>
      <c r="F7880" s="4" t="s">
        <v>3730</v>
      </c>
      <c r="G7880" s="4" t="s">
        <v>2708</v>
      </c>
      <c r="H7880" s="4" t="s">
        <v>289</v>
      </c>
      <c r="I7880" s="4">
        <v>0.5</v>
      </c>
      <c r="J7880" s="21">
        <v>350</v>
      </c>
      <c r="K7880" s="21">
        <v>0</v>
      </c>
      <c r="L7880" s="5">
        <v>0</v>
      </c>
      <c r="M7880" s="4"/>
      <c r="N7880" s="4"/>
      <c r="O7880" s="5"/>
      <c r="P7880" s="5"/>
      <c r="Q7880" s="21">
        <v>175</v>
      </c>
      <c r="R7880" s="21">
        <v>0</v>
      </c>
      <c r="S7880" s="5">
        <f t="shared" si="495"/>
        <v>58271.554819307523</v>
      </c>
      <c r="T7880" cm="1">
        <f t="array" ref="T7880">IF(OR(B7880="MAL ALIMI", B7880="ÜRETİM GİRİŞ"), MIN(I7880, MAX(0, I7880 + SUM(SUMIFS($I$1:I7879, $C$1:C7879, C7880, $B$1:B7879, {"MAL ALIMI","ÜRETİM GİRİŞ"})) - VLOOKUP(C7880, 'STOK RAPORU'!$C$2:$I$1000, 4, 0))), 0)</f>
        <v>0</v>
      </c>
      <c r="U7880" s="22">
        <f t="shared" si="492"/>
        <v>0</v>
      </c>
      <c r="V7880">
        <f t="shared" si="493"/>
        <v>0</v>
      </c>
      <c r="W7880" s="22">
        <f t="shared" si="494"/>
        <v>0</v>
      </c>
    </row>
    <row r="7881" spans="1:23" hidden="1" x14ac:dyDescent="0.25">
      <c r="A7881" s="3">
        <v>46197</v>
      </c>
      <c r="B7881" s="46" t="s">
        <v>334</v>
      </c>
      <c r="C7881" s="4" t="s">
        <v>524</v>
      </c>
      <c r="D7881" s="4"/>
      <c r="E7881" s="4"/>
      <c r="F7881" s="4" t="s">
        <v>3731</v>
      </c>
      <c r="G7881" s="4" t="s">
        <v>336</v>
      </c>
      <c r="H7881" s="4" t="s">
        <v>289</v>
      </c>
      <c r="I7881" s="4">
        <v>0.1</v>
      </c>
      <c r="J7881" s="21">
        <v>400</v>
      </c>
      <c r="K7881" s="21">
        <v>0</v>
      </c>
      <c r="L7881" s="5">
        <v>0</v>
      </c>
      <c r="M7881" s="4"/>
      <c r="N7881" s="4"/>
      <c r="O7881" s="5"/>
      <c r="P7881" s="5"/>
      <c r="Q7881" s="21">
        <v>40</v>
      </c>
      <c r="R7881" s="21">
        <v>0</v>
      </c>
      <c r="S7881" s="5">
        <f t="shared" si="495"/>
        <v>58311.554819307523</v>
      </c>
      <c r="T7881" cm="1">
        <f t="array" ref="T7881">IF(OR(B7881="MAL ALIMI", B7881="ÜRETİM GİRİŞ"), MIN(I7881, MAX(0, I7881 + SUM(SUMIFS($I$1:I7880, $C$1:C7880, C7881, $B$1:B7880, {"MAL ALIMI","ÜRETİM GİRİŞ"})) - VLOOKUP(C7881, 'STOK RAPORU'!$C$2:$I$1000, 4, 0))), 0)</f>
        <v>0</v>
      </c>
      <c r="U7881" s="22">
        <f t="shared" si="492"/>
        <v>0</v>
      </c>
      <c r="V7881">
        <f t="shared" si="493"/>
        <v>0</v>
      </c>
      <c r="W7881" s="22">
        <f t="shared" si="494"/>
        <v>0</v>
      </c>
    </row>
    <row r="7882" spans="1:23" hidden="1" x14ac:dyDescent="0.25">
      <c r="A7882" s="3">
        <v>46197</v>
      </c>
      <c r="B7882" s="46" t="s">
        <v>334</v>
      </c>
      <c r="C7882" s="4" t="s">
        <v>160</v>
      </c>
      <c r="D7882" s="4"/>
      <c r="E7882" s="4" t="s">
        <v>921</v>
      </c>
      <c r="F7882" s="4" t="s">
        <v>3732</v>
      </c>
      <c r="G7882" s="4" t="s">
        <v>336</v>
      </c>
      <c r="H7882" s="4" t="s">
        <v>380</v>
      </c>
      <c r="I7882" s="4">
        <v>2</v>
      </c>
      <c r="J7882" s="21">
        <v>270</v>
      </c>
      <c r="K7882" s="21">
        <v>540</v>
      </c>
      <c r="L7882" s="5">
        <v>0</v>
      </c>
      <c r="M7882" s="4"/>
      <c r="N7882" s="4"/>
      <c r="O7882" s="5"/>
      <c r="P7882" s="5"/>
      <c r="Q7882" s="21">
        <v>0</v>
      </c>
      <c r="R7882" s="21">
        <v>0</v>
      </c>
      <c r="S7882" s="5">
        <f t="shared" si="495"/>
        <v>58311.554819307523</v>
      </c>
      <c r="T7882" cm="1">
        <f t="array" ref="T7882">IF(OR(B7882="MAL ALIMI", B7882="ÜRETİM GİRİŞ"), MIN(I7882, MAX(0, I7882 + SUM(SUMIFS($I$1:I7881, $C$1:C7881, C7882, $B$1:B7881, {"MAL ALIMI","ÜRETİM GİRİŞ"})) - VLOOKUP(C7882, 'STOK RAPORU'!$C$2:$I$1000, 4, 0))), 0)</f>
        <v>0</v>
      </c>
      <c r="U7882" s="22">
        <f t="shared" si="492"/>
        <v>0</v>
      </c>
      <c r="V7882">
        <f t="shared" si="493"/>
        <v>0</v>
      </c>
      <c r="W7882" s="22">
        <f t="shared" si="494"/>
        <v>0</v>
      </c>
    </row>
    <row r="7883" spans="1:23" hidden="1" x14ac:dyDescent="0.25">
      <c r="A7883" s="3">
        <v>46197</v>
      </c>
      <c r="B7883" s="46" t="s">
        <v>334</v>
      </c>
      <c r="C7883" s="4" t="s">
        <v>167</v>
      </c>
      <c r="D7883" s="4"/>
      <c r="E7883" s="4" t="s">
        <v>921</v>
      </c>
      <c r="F7883" s="4" t="s">
        <v>3732</v>
      </c>
      <c r="G7883" s="4" t="s">
        <v>336</v>
      </c>
      <c r="H7883" s="4" t="s">
        <v>380</v>
      </c>
      <c r="I7883" s="4">
        <v>1</v>
      </c>
      <c r="J7883" s="21">
        <v>250</v>
      </c>
      <c r="K7883" s="21">
        <v>250</v>
      </c>
      <c r="L7883" s="5">
        <v>0</v>
      </c>
      <c r="M7883" s="4"/>
      <c r="N7883" s="4"/>
      <c r="O7883" s="5"/>
      <c r="P7883" s="5"/>
      <c r="Q7883" s="21">
        <v>0</v>
      </c>
      <c r="R7883" s="21">
        <v>0</v>
      </c>
      <c r="S7883" s="5">
        <f t="shared" si="495"/>
        <v>58311.554819307523</v>
      </c>
      <c r="T7883" cm="1">
        <f t="array" ref="T7883">IF(OR(B7883="MAL ALIMI", B7883="ÜRETİM GİRİŞ"), MIN(I7883, MAX(0, I7883 + SUM(SUMIFS($I$1:I7882, $C$1:C7882, C7883, $B$1:B7882, {"MAL ALIMI","ÜRETİM GİRİŞ"})) - VLOOKUP(C7883, 'STOK RAPORU'!$C$2:$I$1000, 4, 0))), 0)</f>
        <v>0</v>
      </c>
      <c r="U7883" s="22">
        <f t="shared" si="492"/>
        <v>0</v>
      </c>
      <c r="V7883">
        <f t="shared" si="493"/>
        <v>0</v>
      </c>
      <c r="W7883" s="22">
        <f t="shared" si="494"/>
        <v>0</v>
      </c>
    </row>
    <row r="7884" spans="1:23" hidden="1" x14ac:dyDescent="0.25">
      <c r="A7884" s="3">
        <v>46197</v>
      </c>
      <c r="B7884" s="46" t="s">
        <v>334</v>
      </c>
      <c r="C7884" s="4" t="s">
        <v>126</v>
      </c>
      <c r="D7884" s="4"/>
      <c r="E7884" s="4"/>
      <c r="F7884" s="4" t="s">
        <v>3733</v>
      </c>
      <c r="G7884" s="4" t="s">
        <v>336</v>
      </c>
      <c r="H7884" s="4" t="s">
        <v>289</v>
      </c>
      <c r="I7884" s="4">
        <v>8.1538461538461532E-2</v>
      </c>
      <c r="J7884" s="21">
        <v>650</v>
      </c>
      <c r="K7884" s="21">
        <v>0</v>
      </c>
      <c r="L7884" s="5">
        <v>0</v>
      </c>
      <c r="M7884" s="4"/>
      <c r="N7884" s="4"/>
      <c r="O7884" s="5"/>
      <c r="P7884" s="5"/>
      <c r="Q7884" s="21">
        <v>52.999999999999993</v>
      </c>
      <c r="R7884" s="21">
        <v>0</v>
      </c>
      <c r="S7884" s="5">
        <f t="shared" si="495"/>
        <v>58364.554819307523</v>
      </c>
      <c r="T7884" cm="1">
        <f t="array" ref="T7884">IF(OR(B7884="MAL ALIMI", B7884="ÜRETİM GİRİŞ"), MIN(I7884, MAX(0, I7884 + SUM(SUMIFS($I$1:I7883, $C$1:C7883, C7884, $B$1:B7883, {"MAL ALIMI","ÜRETİM GİRİŞ"})) - VLOOKUP(C7884, 'STOK RAPORU'!$C$2:$I$1000, 4, 0))), 0)</f>
        <v>0</v>
      </c>
      <c r="U7884" s="22">
        <f t="shared" si="492"/>
        <v>0</v>
      </c>
      <c r="V7884">
        <f t="shared" si="493"/>
        <v>0</v>
      </c>
      <c r="W7884" s="22">
        <f t="shared" si="494"/>
        <v>0</v>
      </c>
    </row>
    <row r="7885" spans="1:23" hidden="1" x14ac:dyDescent="0.25">
      <c r="A7885" s="3">
        <v>46197</v>
      </c>
      <c r="B7885" s="46" t="s">
        <v>334</v>
      </c>
      <c r="C7885" s="4" t="s">
        <v>160</v>
      </c>
      <c r="D7885" s="4"/>
      <c r="E7885" s="4" t="s">
        <v>921</v>
      </c>
      <c r="F7885" s="4" t="s">
        <v>3734</v>
      </c>
      <c r="G7885" s="4" t="s">
        <v>336</v>
      </c>
      <c r="H7885" s="4" t="s">
        <v>380</v>
      </c>
      <c r="I7885" s="4">
        <v>1</v>
      </c>
      <c r="J7885" s="21">
        <v>270</v>
      </c>
      <c r="K7885" s="21">
        <v>270</v>
      </c>
      <c r="L7885" s="5">
        <v>0</v>
      </c>
      <c r="M7885" s="4"/>
      <c r="N7885" s="4"/>
      <c r="O7885" s="5"/>
      <c r="P7885" s="5"/>
      <c r="Q7885" s="21">
        <v>0</v>
      </c>
      <c r="R7885" s="21">
        <v>0</v>
      </c>
      <c r="S7885" s="5">
        <f t="shared" si="495"/>
        <v>58364.554819307523</v>
      </c>
      <c r="T7885" cm="1">
        <f t="array" ref="T7885">IF(OR(B7885="MAL ALIMI", B7885="ÜRETİM GİRİŞ"), MIN(I7885, MAX(0, I7885 + SUM(SUMIFS($I$1:I7884, $C$1:C7884, C7885, $B$1:B7884, {"MAL ALIMI","ÜRETİM GİRİŞ"})) - VLOOKUP(C7885, 'STOK RAPORU'!$C$2:$I$1000, 4, 0))), 0)</f>
        <v>0</v>
      </c>
      <c r="U7885" s="22">
        <f t="shared" si="492"/>
        <v>0</v>
      </c>
      <c r="V7885">
        <f t="shared" si="493"/>
        <v>0</v>
      </c>
      <c r="W7885" s="22">
        <f t="shared" si="494"/>
        <v>0</v>
      </c>
    </row>
    <row r="7886" spans="1:23" hidden="1" x14ac:dyDescent="0.25">
      <c r="A7886" s="3">
        <v>46197</v>
      </c>
      <c r="B7886" s="46" t="s">
        <v>334</v>
      </c>
      <c r="C7886" s="4" t="s">
        <v>89</v>
      </c>
      <c r="D7886" s="4"/>
      <c r="E7886" s="4" t="s">
        <v>921</v>
      </c>
      <c r="F7886" s="4" t="s">
        <v>3735</v>
      </c>
      <c r="G7886" s="4" t="s">
        <v>336</v>
      </c>
      <c r="H7886" s="4" t="s">
        <v>380</v>
      </c>
      <c r="I7886" s="4">
        <v>0.1</v>
      </c>
      <c r="J7886" s="21">
        <v>750</v>
      </c>
      <c r="K7886" s="21">
        <v>75</v>
      </c>
      <c r="L7886" s="5">
        <v>0</v>
      </c>
      <c r="M7886" s="4"/>
      <c r="N7886" s="4"/>
      <c r="O7886" s="5"/>
      <c r="P7886" s="5"/>
      <c r="Q7886" s="21">
        <v>0</v>
      </c>
      <c r="R7886" s="21">
        <v>0</v>
      </c>
      <c r="S7886" s="5">
        <f t="shared" si="495"/>
        <v>58364.554819307523</v>
      </c>
      <c r="T7886" cm="1">
        <f t="array" ref="T7886">IF(OR(B7886="MAL ALIMI", B7886="ÜRETİM GİRİŞ"), MIN(I7886, MAX(0, I7886 + SUM(SUMIFS($I$1:I7885, $C$1:C7885, C7886, $B$1:B7885, {"MAL ALIMI","ÜRETİM GİRİŞ"})) - VLOOKUP(C7886, 'STOK RAPORU'!$C$2:$I$1000, 4, 0))), 0)</f>
        <v>0</v>
      </c>
      <c r="U7886" s="22">
        <f t="shared" si="492"/>
        <v>0</v>
      </c>
      <c r="V7886">
        <f t="shared" si="493"/>
        <v>0</v>
      </c>
      <c r="W7886" s="22">
        <f t="shared" si="494"/>
        <v>0</v>
      </c>
    </row>
    <row r="7887" spans="1:23" hidden="1" x14ac:dyDescent="0.25">
      <c r="A7887" s="3">
        <v>46197</v>
      </c>
      <c r="B7887" s="46" t="s">
        <v>334</v>
      </c>
      <c r="C7887" s="4" t="s">
        <v>154</v>
      </c>
      <c r="D7887" s="4"/>
      <c r="E7887" s="4" t="s">
        <v>921</v>
      </c>
      <c r="F7887" s="4" t="s">
        <v>3735</v>
      </c>
      <c r="G7887" s="4" t="s">
        <v>336</v>
      </c>
      <c r="H7887" s="4" t="s">
        <v>380</v>
      </c>
      <c r="I7887" s="4">
        <v>0.1</v>
      </c>
      <c r="J7887" s="21">
        <v>400</v>
      </c>
      <c r="K7887" s="21">
        <v>40</v>
      </c>
      <c r="L7887" s="5">
        <v>0</v>
      </c>
      <c r="M7887" s="4"/>
      <c r="N7887" s="4"/>
      <c r="O7887" s="5"/>
      <c r="P7887" s="5"/>
      <c r="Q7887" s="21">
        <v>0</v>
      </c>
      <c r="R7887" s="21">
        <v>0</v>
      </c>
      <c r="S7887" s="5">
        <f t="shared" si="495"/>
        <v>58364.554819307523</v>
      </c>
      <c r="T7887" cm="1">
        <f t="array" ref="T7887">IF(OR(B7887="MAL ALIMI", B7887="ÜRETİM GİRİŞ"), MIN(I7887, MAX(0, I7887 + SUM(SUMIFS($I$1:I7886, $C$1:C7886, C7887, $B$1:B7886, {"MAL ALIMI","ÜRETİM GİRİŞ"})) - VLOOKUP(C7887, 'STOK RAPORU'!$C$2:$I$1000, 4, 0))), 0)</f>
        <v>0</v>
      </c>
      <c r="U7887" s="22">
        <f t="shared" si="492"/>
        <v>0</v>
      </c>
      <c r="V7887">
        <f t="shared" si="493"/>
        <v>0</v>
      </c>
      <c r="W7887" s="22">
        <f t="shared" si="494"/>
        <v>0</v>
      </c>
    </row>
    <row r="7888" spans="1:23" hidden="1" x14ac:dyDescent="0.25">
      <c r="A7888" s="3">
        <v>46197</v>
      </c>
      <c r="B7888" s="46" t="s">
        <v>334</v>
      </c>
      <c r="C7888" s="4" t="s">
        <v>91</v>
      </c>
      <c r="D7888" s="4"/>
      <c r="E7888" s="4"/>
      <c r="F7888" s="4" t="s">
        <v>3736</v>
      </c>
      <c r="G7888" s="4" t="s">
        <v>336</v>
      </c>
      <c r="H7888" s="4" t="s">
        <v>289</v>
      </c>
      <c r="I7888" s="4">
        <v>2.7058823529411764E-2</v>
      </c>
      <c r="J7888" s="21">
        <v>850</v>
      </c>
      <c r="K7888" s="21">
        <v>0</v>
      </c>
      <c r="L7888" s="5">
        <v>0</v>
      </c>
      <c r="M7888" s="4"/>
      <c r="N7888" s="4"/>
      <c r="O7888" s="5"/>
      <c r="P7888" s="5"/>
      <c r="Q7888" s="21">
        <v>23</v>
      </c>
      <c r="R7888" s="21">
        <v>0</v>
      </c>
      <c r="S7888" s="5">
        <f t="shared" si="495"/>
        <v>58387.554819307523</v>
      </c>
      <c r="T7888" cm="1">
        <f t="array" ref="T7888">IF(OR(B7888="MAL ALIMI", B7888="ÜRETİM GİRİŞ"), MIN(I7888, MAX(0, I7888 + SUM(SUMIFS($I$1:I7887, $C$1:C7887, C7888, $B$1:B7887, {"MAL ALIMI","ÜRETİM GİRİŞ"})) - VLOOKUP(C7888, 'STOK RAPORU'!$C$2:$I$1000, 4, 0))), 0)</f>
        <v>0</v>
      </c>
      <c r="U7888" s="22">
        <f t="shared" si="492"/>
        <v>0</v>
      </c>
      <c r="V7888">
        <f t="shared" si="493"/>
        <v>0</v>
      </c>
      <c r="W7888" s="22">
        <f t="shared" si="494"/>
        <v>0</v>
      </c>
    </row>
    <row r="7889" spans="1:23" hidden="1" x14ac:dyDescent="0.25">
      <c r="A7889" s="3">
        <v>46197</v>
      </c>
      <c r="B7889" s="46" t="s">
        <v>946</v>
      </c>
      <c r="C7889" s="4"/>
      <c r="D7889" s="4"/>
      <c r="E7889" s="4" t="s">
        <v>921</v>
      </c>
      <c r="F7889" s="4"/>
      <c r="G7889" s="4" t="s">
        <v>3594</v>
      </c>
      <c r="H7889" s="4" t="s">
        <v>380</v>
      </c>
      <c r="I7889" s="4">
        <v>1</v>
      </c>
      <c r="J7889" s="21">
        <v>7819.93</v>
      </c>
      <c r="K7889" s="21">
        <v>0</v>
      </c>
      <c r="L7889" s="115">
        <v>7819.93</v>
      </c>
      <c r="M7889" s="4"/>
      <c r="N7889" s="4"/>
      <c r="O7889" s="5"/>
      <c r="P7889" s="5"/>
      <c r="Q7889" s="21">
        <v>7819.93</v>
      </c>
      <c r="R7889" s="21">
        <v>0</v>
      </c>
      <c r="S7889" s="5">
        <f t="shared" si="495"/>
        <v>66207.484819307516</v>
      </c>
      <c r="T7889" cm="1">
        <f t="array" ref="T7889">IF(OR(B7889="MAL ALIMI", B7889="ÜRETİM GİRİŞ"), MIN(I7889, MAX(0, I7889 + SUM(SUMIFS($I$1:I7888, $C$1:C7888, C7889, $B$1:B7888, {"MAL ALIMI","ÜRETİM GİRİŞ"})) - VLOOKUP(C7889, 'STOK RAPORU'!$C$2:$I$1000, 4, 0))), 0)</f>
        <v>0</v>
      </c>
      <c r="U7889" s="22">
        <f t="shared" si="492"/>
        <v>0</v>
      </c>
      <c r="V7889">
        <f t="shared" si="493"/>
        <v>0</v>
      </c>
      <c r="W7889" s="22">
        <f t="shared" si="494"/>
        <v>0</v>
      </c>
    </row>
    <row r="7890" spans="1:23" hidden="1" x14ac:dyDescent="0.25">
      <c r="A7890" s="3">
        <v>46197</v>
      </c>
      <c r="B7890" s="46" t="s">
        <v>917</v>
      </c>
      <c r="C7890" s="4"/>
      <c r="D7890" s="4"/>
      <c r="E7890" s="4" t="s">
        <v>2381</v>
      </c>
      <c r="F7890" s="4"/>
      <c r="G7890" s="4" t="s">
        <v>3594</v>
      </c>
      <c r="H7890" s="4" t="s">
        <v>304</v>
      </c>
      <c r="I7890" s="4">
        <v>1</v>
      </c>
      <c r="J7890" s="21">
        <v>7819.93</v>
      </c>
      <c r="K7890" s="102">
        <v>7819.93</v>
      </c>
      <c r="L7890" s="5">
        <v>0</v>
      </c>
      <c r="M7890" s="4"/>
      <c r="N7890" s="4"/>
      <c r="O7890" s="5"/>
      <c r="P7890" s="5"/>
      <c r="Q7890" s="21">
        <v>0</v>
      </c>
      <c r="R7890" s="21">
        <v>7819.93</v>
      </c>
      <c r="S7890" s="5">
        <f t="shared" si="495"/>
        <v>58387.554819307516</v>
      </c>
      <c r="T7890" cm="1">
        <f t="array" ref="T7890">IF(OR(B7890="MAL ALIMI", B7890="ÜRETİM GİRİŞ"), MIN(I7890, MAX(0, I7890 + SUM(SUMIFS($I$1:I7889, $C$1:C7889, C7890, $B$1:B7889, {"MAL ALIMI","ÜRETİM GİRİŞ"})) - VLOOKUP(C7890, 'STOK RAPORU'!$C$2:$I$1000, 4, 0))), 0)</f>
        <v>0</v>
      </c>
      <c r="U7890" s="22">
        <f t="shared" si="492"/>
        <v>0</v>
      </c>
      <c r="V7890">
        <f t="shared" si="493"/>
        <v>0</v>
      </c>
      <c r="W7890" s="22">
        <f t="shared" si="494"/>
        <v>0</v>
      </c>
    </row>
    <row r="7891" spans="1:23" hidden="1" x14ac:dyDescent="0.25">
      <c r="A7891" s="3">
        <v>46197</v>
      </c>
      <c r="B7891" s="4" t="s">
        <v>946</v>
      </c>
      <c r="C7891" s="4"/>
      <c r="D7891" s="4"/>
      <c r="E7891" s="4" t="s">
        <v>921</v>
      </c>
      <c r="F7891" s="4"/>
      <c r="G7891" s="4" t="s">
        <v>946</v>
      </c>
      <c r="H7891" s="4" t="s">
        <v>380</v>
      </c>
      <c r="I7891" s="4">
        <v>1</v>
      </c>
      <c r="J7891" s="21">
        <v>145</v>
      </c>
      <c r="K7891" s="21">
        <v>0</v>
      </c>
      <c r="L7891" s="115">
        <v>145</v>
      </c>
      <c r="M7891" s="4"/>
      <c r="N7891" s="4"/>
      <c r="O7891" s="5"/>
      <c r="P7891" s="5"/>
      <c r="Q7891" s="21">
        <v>145</v>
      </c>
      <c r="R7891" s="21">
        <v>0</v>
      </c>
      <c r="S7891" s="5">
        <f t="shared" si="495"/>
        <v>58532.554819307516</v>
      </c>
      <c r="T7891" cm="1">
        <f t="array" ref="T7891">IF(OR(B7891="MAL ALIMI", B7891="ÜRETİM GİRİŞ"), MIN(I7891, MAX(0, I7891 + SUM(SUMIFS($I$1:I7890, $C$1:C7890, C7891, $B$1:B7890, {"MAL ALIMI","ÜRETİM GİRİŞ"})) - VLOOKUP(C7891, 'STOK RAPORU'!$C$2:$I$1000, 4, 0))), 0)</f>
        <v>0</v>
      </c>
      <c r="U7891" s="22">
        <f t="shared" si="492"/>
        <v>0</v>
      </c>
      <c r="V7891">
        <f t="shared" si="493"/>
        <v>0</v>
      </c>
      <c r="W7891" s="22">
        <f t="shared" si="494"/>
        <v>0</v>
      </c>
    </row>
    <row r="7892" spans="1:23" hidden="1" x14ac:dyDescent="0.25">
      <c r="A7892" s="3">
        <v>46198</v>
      </c>
      <c r="B7892" s="46" t="s">
        <v>298</v>
      </c>
      <c r="C7892" s="4" t="s">
        <v>247</v>
      </c>
      <c r="D7892" s="4"/>
      <c r="E7892" s="4" t="s">
        <v>856</v>
      </c>
      <c r="F7892" s="4">
        <v>1608</v>
      </c>
      <c r="G7892" s="4" t="s">
        <v>3670</v>
      </c>
      <c r="H7892" s="4" t="s">
        <v>304</v>
      </c>
      <c r="I7892" s="4">
        <v>0.5</v>
      </c>
      <c r="J7892" s="21">
        <v>780</v>
      </c>
      <c r="K7892" s="21">
        <v>0</v>
      </c>
      <c r="L7892" s="5">
        <v>390</v>
      </c>
      <c r="M7892" s="4"/>
      <c r="N7892" s="4"/>
      <c r="O7892" s="5"/>
      <c r="P7892" s="5"/>
      <c r="Q7892" s="21">
        <v>0</v>
      </c>
      <c r="R7892" s="21">
        <v>0</v>
      </c>
      <c r="S7892" s="5">
        <f t="shared" si="495"/>
        <v>58532.554819307516</v>
      </c>
      <c r="T7892" cm="1">
        <f t="array" ref="T7892">IF(OR(B7892="MAL ALIMI", B7892="ÜRETİM GİRİŞ"), MIN(I7892, MAX(0, I7892 + SUM(SUMIFS($I$1:I7891, $C$1:C7891, C7892, $B$1:B7891, {"MAL ALIMI","ÜRETİM GİRİŞ"})) - VLOOKUP(C7892, 'STOK RAPORU'!$C$2:$I$1000, 4, 0))), 0)</f>
        <v>0.13566666666666549</v>
      </c>
      <c r="U7892" s="22">
        <f t="shared" si="492"/>
        <v>105.81999999999908</v>
      </c>
      <c r="V7892">
        <f t="shared" si="493"/>
        <v>390</v>
      </c>
      <c r="W7892" s="22">
        <f t="shared" si="494"/>
        <v>284.18000000000092</v>
      </c>
    </row>
    <row r="7893" spans="1:23" hidden="1" x14ac:dyDescent="0.25">
      <c r="A7893" s="3">
        <v>46198</v>
      </c>
      <c r="B7893" s="46" t="s">
        <v>334</v>
      </c>
      <c r="C7893" s="4" t="s">
        <v>2284</v>
      </c>
      <c r="D7893" s="4"/>
      <c r="E7893" s="4" t="s">
        <v>921</v>
      </c>
      <c r="F7893" s="4" t="s">
        <v>3737</v>
      </c>
      <c r="G7893" s="4" t="s">
        <v>336</v>
      </c>
      <c r="H7893" s="4" t="s">
        <v>380</v>
      </c>
      <c r="I7893" s="4">
        <v>0.75</v>
      </c>
      <c r="J7893" s="21">
        <v>65</v>
      </c>
      <c r="K7893" s="21">
        <v>48.75</v>
      </c>
      <c r="L7893" s="5">
        <v>0</v>
      </c>
      <c r="M7893" s="4"/>
      <c r="N7893" s="4"/>
      <c r="O7893" s="5"/>
      <c r="P7893" s="5"/>
      <c r="Q7893" s="21">
        <v>0</v>
      </c>
      <c r="R7893" s="21">
        <v>0</v>
      </c>
      <c r="S7893" s="5">
        <f t="shared" si="495"/>
        <v>58532.554819307516</v>
      </c>
      <c r="T7893" cm="1">
        <f t="array" ref="T7893">IF(OR(B7893="MAL ALIMI", B7893="ÜRETİM GİRİŞ"), MIN(I7893, MAX(0, I7893 + SUM(SUMIFS($I$1:I7892, $C$1:C7892, C7893, $B$1:B7892, {"MAL ALIMI","ÜRETİM GİRİŞ"})) - VLOOKUP(C7893, 'STOK RAPORU'!$C$2:$I$1000, 4, 0))), 0)</f>
        <v>0</v>
      </c>
      <c r="U7893" s="22">
        <f t="shared" si="492"/>
        <v>0</v>
      </c>
      <c r="V7893">
        <f t="shared" si="493"/>
        <v>0</v>
      </c>
      <c r="W7893" s="22">
        <f t="shared" si="494"/>
        <v>0</v>
      </c>
    </row>
    <row r="7894" spans="1:23" hidden="1" x14ac:dyDescent="0.25">
      <c r="A7894" s="3">
        <v>46198</v>
      </c>
      <c r="B7894" s="46" t="s">
        <v>334</v>
      </c>
      <c r="C7894" s="4" t="s">
        <v>1024</v>
      </c>
      <c r="D7894" s="4"/>
      <c r="E7894" s="4" t="s">
        <v>921</v>
      </c>
      <c r="F7894" s="4" t="s">
        <v>3737</v>
      </c>
      <c r="G7894" s="4" t="s">
        <v>336</v>
      </c>
      <c r="H7894" s="4" t="s">
        <v>380</v>
      </c>
      <c r="I7894" s="4">
        <v>1.008</v>
      </c>
      <c r="J7894" s="21">
        <v>65</v>
      </c>
      <c r="K7894" s="21">
        <v>65.52</v>
      </c>
      <c r="L7894" s="5">
        <v>0</v>
      </c>
      <c r="M7894" s="4"/>
      <c r="N7894" s="4"/>
      <c r="O7894" s="5"/>
      <c r="P7894" s="5"/>
      <c r="Q7894" s="21">
        <v>0</v>
      </c>
      <c r="R7894" s="21">
        <v>0</v>
      </c>
      <c r="S7894" s="5">
        <f t="shared" si="495"/>
        <v>58532.554819307516</v>
      </c>
      <c r="T7894" cm="1">
        <f t="array" ref="T7894">IF(OR(B7894="MAL ALIMI", B7894="ÜRETİM GİRİŞ"), MIN(I7894, MAX(0, I7894 + SUM(SUMIFS($I$1:I7893, $C$1:C7893, C7894, $B$1:B7893, {"MAL ALIMI","ÜRETİM GİRİŞ"})) - VLOOKUP(C7894, 'STOK RAPORU'!$C$2:$I$1000, 4, 0))), 0)</f>
        <v>0</v>
      </c>
      <c r="U7894" s="22">
        <f t="shared" si="492"/>
        <v>0</v>
      </c>
      <c r="V7894">
        <f t="shared" si="493"/>
        <v>0</v>
      </c>
      <c r="W7894" s="22">
        <f t="shared" si="494"/>
        <v>0</v>
      </c>
    </row>
    <row r="7895" spans="1:23" hidden="1" x14ac:dyDescent="0.25">
      <c r="A7895" s="3">
        <v>46198</v>
      </c>
      <c r="B7895" s="46" t="s">
        <v>334</v>
      </c>
      <c r="C7895" s="4" t="s">
        <v>523</v>
      </c>
      <c r="D7895" s="4"/>
      <c r="E7895" s="4" t="s">
        <v>921</v>
      </c>
      <c r="F7895" s="4" t="s">
        <v>3737</v>
      </c>
      <c r="G7895" s="4" t="s">
        <v>336</v>
      </c>
      <c r="H7895" s="4" t="s">
        <v>380</v>
      </c>
      <c r="I7895" s="4">
        <v>0.08</v>
      </c>
      <c r="J7895" s="21">
        <v>750</v>
      </c>
      <c r="K7895" s="21">
        <v>60</v>
      </c>
      <c r="L7895" s="5">
        <v>0</v>
      </c>
      <c r="M7895" s="4"/>
      <c r="N7895" s="4"/>
      <c r="O7895" s="5"/>
      <c r="P7895" s="5"/>
      <c r="Q7895" s="21">
        <v>0</v>
      </c>
      <c r="R7895" s="21">
        <v>0</v>
      </c>
      <c r="S7895" s="5">
        <f t="shared" si="495"/>
        <v>58532.554819307516</v>
      </c>
      <c r="T7895" cm="1">
        <f t="array" ref="T7895">IF(OR(B7895="MAL ALIMI", B7895="ÜRETİM GİRİŞ"), MIN(I7895, MAX(0, I7895 + SUM(SUMIFS($I$1:I7894, $C$1:C7894, C7895, $B$1:B7894, {"MAL ALIMI","ÜRETİM GİRİŞ"})) - VLOOKUP(C7895, 'STOK RAPORU'!$C$2:$I$1000, 4, 0))), 0)</f>
        <v>0</v>
      </c>
      <c r="U7895" s="22">
        <f t="shared" si="492"/>
        <v>0</v>
      </c>
      <c r="V7895">
        <f t="shared" si="493"/>
        <v>0</v>
      </c>
      <c r="W7895" s="22">
        <f t="shared" si="494"/>
        <v>0</v>
      </c>
    </row>
    <row r="7896" spans="1:23" hidden="1" x14ac:dyDescent="0.25">
      <c r="A7896" s="3">
        <v>46198</v>
      </c>
      <c r="B7896" s="46" t="s">
        <v>334</v>
      </c>
      <c r="C7896" s="4" t="s">
        <v>60</v>
      </c>
      <c r="D7896" s="4"/>
      <c r="E7896" s="4" t="s">
        <v>921</v>
      </c>
      <c r="F7896" s="4" t="s">
        <v>3737</v>
      </c>
      <c r="G7896" s="4" t="s">
        <v>336</v>
      </c>
      <c r="H7896" s="4" t="s">
        <v>380</v>
      </c>
      <c r="I7896" s="4">
        <v>0.05</v>
      </c>
      <c r="J7896" s="21">
        <v>1200</v>
      </c>
      <c r="K7896" s="21">
        <v>60</v>
      </c>
      <c r="L7896" s="5">
        <v>0</v>
      </c>
      <c r="M7896" s="4"/>
      <c r="N7896" s="4"/>
      <c r="O7896" s="5"/>
      <c r="P7896" s="5"/>
      <c r="Q7896" s="21">
        <v>0</v>
      </c>
      <c r="R7896" s="21">
        <v>0</v>
      </c>
      <c r="S7896" s="5">
        <f t="shared" si="495"/>
        <v>58532.554819307516</v>
      </c>
      <c r="T7896" cm="1">
        <f t="array" ref="T7896">IF(OR(B7896="MAL ALIMI", B7896="ÜRETİM GİRİŞ"), MIN(I7896, MAX(0, I7896 + SUM(SUMIFS($I$1:I7895, $C$1:C7895, C7896, $B$1:B7895, {"MAL ALIMI","ÜRETİM GİRİŞ"})) - VLOOKUP(C7896, 'STOK RAPORU'!$C$2:$I$1000, 4, 0))), 0)</f>
        <v>0</v>
      </c>
      <c r="U7896" s="22">
        <f t="shared" si="492"/>
        <v>0</v>
      </c>
      <c r="V7896">
        <f t="shared" si="493"/>
        <v>0</v>
      </c>
      <c r="W7896" s="22">
        <f t="shared" si="494"/>
        <v>0</v>
      </c>
    </row>
    <row r="7897" spans="1:23" hidden="1" x14ac:dyDescent="0.25">
      <c r="A7897" s="3">
        <v>46198</v>
      </c>
      <c r="B7897" s="46" t="s">
        <v>334</v>
      </c>
      <c r="C7897" s="4" t="s">
        <v>524</v>
      </c>
      <c r="D7897" s="4"/>
      <c r="E7897" s="4" t="s">
        <v>921</v>
      </c>
      <c r="F7897" s="4" t="s">
        <v>3737</v>
      </c>
      <c r="G7897" s="4" t="s">
        <v>336</v>
      </c>
      <c r="H7897" s="4" t="s">
        <v>380</v>
      </c>
      <c r="I7897" s="4">
        <v>0.1</v>
      </c>
      <c r="J7897" s="21">
        <v>400</v>
      </c>
      <c r="K7897" s="21">
        <v>40</v>
      </c>
      <c r="L7897" s="5">
        <v>0</v>
      </c>
      <c r="M7897" s="4"/>
      <c r="N7897" s="4"/>
      <c r="O7897" s="5"/>
      <c r="P7897" s="5"/>
      <c r="Q7897" s="21">
        <v>0</v>
      </c>
      <c r="R7897" s="21">
        <v>0</v>
      </c>
      <c r="S7897" s="5">
        <f t="shared" si="495"/>
        <v>58532.554819307516</v>
      </c>
      <c r="T7897" cm="1">
        <f t="array" ref="T7897">IF(OR(B7897="MAL ALIMI", B7897="ÜRETİM GİRİŞ"), MIN(I7897, MAX(0, I7897 + SUM(SUMIFS($I$1:I7896, $C$1:C7896, C7897, $B$1:B7896, {"MAL ALIMI","ÜRETİM GİRİŞ"})) - VLOOKUP(C7897, 'STOK RAPORU'!$C$2:$I$1000, 4, 0))), 0)</f>
        <v>0</v>
      </c>
      <c r="U7897" s="22">
        <f t="shared" si="492"/>
        <v>0</v>
      </c>
      <c r="V7897">
        <f t="shared" si="493"/>
        <v>0</v>
      </c>
      <c r="W7897" s="22">
        <f t="shared" si="494"/>
        <v>0</v>
      </c>
    </row>
    <row r="7898" spans="1:23" hidden="1" x14ac:dyDescent="0.25">
      <c r="A7898" s="3">
        <v>46198</v>
      </c>
      <c r="B7898" s="46" t="s">
        <v>334</v>
      </c>
      <c r="C7898" s="4" t="s">
        <v>129</v>
      </c>
      <c r="D7898" s="4"/>
      <c r="E7898" s="4" t="s">
        <v>921</v>
      </c>
      <c r="F7898" s="4" t="s">
        <v>3737</v>
      </c>
      <c r="G7898" s="4" t="s">
        <v>336</v>
      </c>
      <c r="H7898" s="4" t="s">
        <v>380</v>
      </c>
      <c r="I7898" s="4">
        <v>0.08</v>
      </c>
      <c r="J7898" s="21">
        <v>400</v>
      </c>
      <c r="K7898" s="21">
        <v>32</v>
      </c>
      <c r="L7898" s="5">
        <v>0</v>
      </c>
      <c r="M7898" s="4"/>
      <c r="N7898" s="4"/>
      <c r="O7898" s="5"/>
      <c r="P7898" s="5"/>
      <c r="Q7898" s="21">
        <v>0</v>
      </c>
      <c r="R7898" s="21">
        <v>0</v>
      </c>
      <c r="S7898" s="5">
        <f t="shared" si="495"/>
        <v>58532.554819307516</v>
      </c>
      <c r="T7898" cm="1">
        <f t="array" ref="T7898">IF(OR(B7898="MAL ALIMI", B7898="ÜRETİM GİRİŞ"), MIN(I7898, MAX(0, I7898 + SUM(SUMIFS($I$1:I7897, $C$1:C7897, C7898, $B$1:B7897, {"MAL ALIMI","ÜRETİM GİRİŞ"})) - VLOOKUP(C7898, 'STOK RAPORU'!$C$2:$I$1000, 4, 0))), 0)</f>
        <v>0</v>
      </c>
      <c r="U7898" s="22">
        <f t="shared" si="492"/>
        <v>0</v>
      </c>
      <c r="V7898">
        <f t="shared" si="493"/>
        <v>0</v>
      </c>
      <c r="W7898" s="22">
        <f t="shared" si="494"/>
        <v>0</v>
      </c>
    </row>
    <row r="7899" spans="1:23" hidden="1" x14ac:dyDescent="0.25">
      <c r="A7899" s="3">
        <v>46198</v>
      </c>
      <c r="B7899" s="46" t="s">
        <v>334</v>
      </c>
      <c r="C7899" s="4" t="s">
        <v>1357</v>
      </c>
      <c r="D7899" s="4"/>
      <c r="E7899" s="4" t="s">
        <v>921</v>
      </c>
      <c r="F7899" s="4" t="s">
        <v>3738</v>
      </c>
      <c r="G7899" s="4" t="s">
        <v>336</v>
      </c>
      <c r="H7899" s="4" t="s">
        <v>380</v>
      </c>
      <c r="I7899" s="4">
        <v>0.14000000000000001</v>
      </c>
      <c r="J7899" s="21">
        <v>700</v>
      </c>
      <c r="K7899" s="21">
        <v>98.000000000000014</v>
      </c>
      <c r="L7899" s="5">
        <v>0</v>
      </c>
      <c r="M7899" s="4"/>
      <c r="N7899" s="4"/>
      <c r="O7899" s="5"/>
      <c r="P7899" s="5"/>
      <c r="Q7899" s="21">
        <v>0</v>
      </c>
      <c r="R7899" s="21">
        <v>0</v>
      </c>
      <c r="S7899" s="5">
        <f t="shared" si="495"/>
        <v>58532.554819307516</v>
      </c>
      <c r="T7899" cm="1">
        <f t="array" ref="T7899">IF(OR(B7899="MAL ALIMI", B7899="ÜRETİM GİRİŞ"), MIN(I7899, MAX(0, I7899 + SUM(SUMIFS($I$1:I7898, $C$1:C7898, C7899, $B$1:B7898, {"MAL ALIMI","ÜRETİM GİRİŞ"})) - VLOOKUP(C7899, 'STOK RAPORU'!$C$2:$I$1000, 4, 0))), 0)</f>
        <v>0</v>
      </c>
      <c r="U7899" s="22">
        <f t="shared" si="492"/>
        <v>0</v>
      </c>
      <c r="V7899">
        <f t="shared" si="493"/>
        <v>0</v>
      </c>
      <c r="W7899" s="22">
        <f t="shared" si="494"/>
        <v>0</v>
      </c>
    </row>
    <row r="7900" spans="1:23" hidden="1" x14ac:dyDescent="0.25">
      <c r="A7900" s="3">
        <v>46198</v>
      </c>
      <c r="B7900" s="46" t="s">
        <v>334</v>
      </c>
      <c r="C7900" s="4" t="s">
        <v>728</v>
      </c>
      <c r="D7900" s="4"/>
      <c r="E7900" s="4" t="s">
        <v>921</v>
      </c>
      <c r="F7900" s="4" t="s">
        <v>3738</v>
      </c>
      <c r="G7900" s="4" t="s">
        <v>336</v>
      </c>
      <c r="H7900" s="4" t="s">
        <v>380</v>
      </c>
      <c r="I7900" s="4">
        <v>0.16461538461538461</v>
      </c>
      <c r="J7900" s="21">
        <v>650</v>
      </c>
      <c r="K7900" s="21">
        <v>107</v>
      </c>
      <c r="L7900" s="5">
        <v>0</v>
      </c>
      <c r="M7900" s="4"/>
      <c r="N7900" s="4"/>
      <c r="O7900" s="5"/>
      <c r="P7900" s="5"/>
      <c r="Q7900" s="21">
        <v>0</v>
      </c>
      <c r="R7900" s="21">
        <v>0</v>
      </c>
      <c r="S7900" s="5">
        <f t="shared" si="495"/>
        <v>58532.554819307516</v>
      </c>
      <c r="T7900" cm="1">
        <f t="array" ref="T7900">IF(OR(B7900="MAL ALIMI", B7900="ÜRETİM GİRİŞ"), MIN(I7900, MAX(0, I7900 + SUM(SUMIFS($I$1:I7899, $C$1:C7899, C7900, $B$1:B7899, {"MAL ALIMI","ÜRETİM GİRİŞ"})) - VLOOKUP(C7900, 'STOK RAPORU'!$C$2:$I$1000, 4, 0))), 0)</f>
        <v>0</v>
      </c>
      <c r="U7900" s="22">
        <f t="shared" si="492"/>
        <v>0</v>
      </c>
      <c r="V7900">
        <f t="shared" si="493"/>
        <v>0</v>
      </c>
      <c r="W7900" s="22">
        <f t="shared" si="494"/>
        <v>0</v>
      </c>
    </row>
    <row r="7901" spans="1:23" hidden="1" x14ac:dyDescent="0.25">
      <c r="A7901" s="3">
        <v>46198</v>
      </c>
      <c r="B7901" s="46" t="s">
        <v>334</v>
      </c>
      <c r="C7901" s="4" t="s">
        <v>1359</v>
      </c>
      <c r="D7901" s="4"/>
      <c r="E7901" s="4" t="s">
        <v>921</v>
      </c>
      <c r="F7901" s="4" t="s">
        <v>3738</v>
      </c>
      <c r="G7901" s="4" t="s">
        <v>336</v>
      </c>
      <c r="H7901" s="4" t="s">
        <v>380</v>
      </c>
      <c r="I7901" s="4">
        <v>0.126</v>
      </c>
      <c r="J7901" s="21">
        <v>500</v>
      </c>
      <c r="K7901" s="21">
        <v>63</v>
      </c>
      <c r="L7901" s="5">
        <v>0</v>
      </c>
      <c r="M7901" s="4"/>
      <c r="N7901" s="4"/>
      <c r="O7901" s="5"/>
      <c r="P7901" s="5"/>
      <c r="Q7901" s="21">
        <v>0</v>
      </c>
      <c r="R7901" s="21">
        <v>0</v>
      </c>
      <c r="S7901" s="5">
        <f t="shared" si="495"/>
        <v>58532.554819307516</v>
      </c>
      <c r="T7901" cm="1">
        <f t="array" ref="T7901">IF(OR(B7901="MAL ALIMI", B7901="ÜRETİM GİRİŞ"), MIN(I7901, MAX(0, I7901 + SUM(SUMIFS($I$1:I7900, $C$1:C7900, C7901, $B$1:B7900, {"MAL ALIMI","ÜRETİM GİRİŞ"})) - VLOOKUP(C7901, 'STOK RAPORU'!$C$2:$I$1000, 4, 0))), 0)</f>
        <v>0</v>
      </c>
      <c r="U7901" s="22">
        <f t="shared" si="492"/>
        <v>0</v>
      </c>
      <c r="V7901">
        <f t="shared" si="493"/>
        <v>0</v>
      </c>
      <c r="W7901" s="22">
        <f t="shared" si="494"/>
        <v>0</v>
      </c>
    </row>
    <row r="7902" spans="1:23" hidden="1" x14ac:dyDescent="0.25">
      <c r="A7902" s="3">
        <v>46198</v>
      </c>
      <c r="B7902" s="46" t="s">
        <v>334</v>
      </c>
      <c r="C7902" s="4" t="s">
        <v>192</v>
      </c>
      <c r="D7902" s="4"/>
      <c r="E7902" s="4"/>
      <c r="F7902" s="4" t="s">
        <v>3739</v>
      </c>
      <c r="G7902" s="4" t="s">
        <v>336</v>
      </c>
      <c r="H7902" s="4" t="s">
        <v>289</v>
      </c>
      <c r="I7902" s="4">
        <v>0.12</v>
      </c>
      <c r="J7902" s="21">
        <v>417</v>
      </c>
      <c r="K7902" s="21">
        <v>0</v>
      </c>
      <c r="L7902" s="5">
        <v>0</v>
      </c>
      <c r="M7902" s="4"/>
      <c r="N7902" s="4"/>
      <c r="O7902" s="5"/>
      <c r="P7902" s="5"/>
      <c r="Q7902" s="21">
        <v>50.04</v>
      </c>
      <c r="R7902" s="21">
        <v>0</v>
      </c>
      <c r="S7902" s="5">
        <f t="shared" si="495"/>
        <v>58582.594819307516</v>
      </c>
      <c r="T7902" cm="1">
        <f t="array" ref="T7902">IF(OR(B7902="MAL ALIMI", B7902="ÜRETİM GİRİŞ"), MIN(I7902, MAX(0, I7902 + SUM(SUMIFS($I$1:I7901, $C$1:C7901, C7902, $B$1:B7901, {"MAL ALIMI","ÜRETİM GİRİŞ"})) - VLOOKUP(C7902, 'STOK RAPORU'!$C$2:$I$1000, 4, 0))), 0)</f>
        <v>0</v>
      </c>
      <c r="U7902" s="22">
        <f t="shared" si="492"/>
        <v>0</v>
      </c>
      <c r="V7902">
        <f t="shared" si="493"/>
        <v>0</v>
      </c>
      <c r="W7902" s="22">
        <f t="shared" si="494"/>
        <v>0</v>
      </c>
    </row>
    <row r="7903" spans="1:23" hidden="1" x14ac:dyDescent="0.25">
      <c r="A7903" s="3">
        <v>46198</v>
      </c>
      <c r="B7903" s="46" t="s">
        <v>334</v>
      </c>
      <c r="C7903" s="4" t="s">
        <v>1359</v>
      </c>
      <c r="D7903" s="4"/>
      <c r="E7903" s="4"/>
      <c r="F7903" s="4" t="s">
        <v>3745</v>
      </c>
      <c r="G7903" s="4" t="s">
        <v>336</v>
      </c>
      <c r="H7903" s="4" t="s">
        <v>289</v>
      </c>
      <c r="I7903" s="4">
        <v>0.4</v>
      </c>
      <c r="J7903" s="21">
        <v>450</v>
      </c>
      <c r="K7903" s="21">
        <v>0</v>
      </c>
      <c r="L7903" s="5">
        <v>0</v>
      </c>
      <c r="M7903" s="4"/>
      <c r="N7903" s="4"/>
      <c r="O7903" s="5"/>
      <c r="P7903" s="5"/>
      <c r="Q7903" s="21">
        <v>180</v>
      </c>
      <c r="R7903" s="21">
        <v>0</v>
      </c>
      <c r="S7903" s="5">
        <f t="shared" si="495"/>
        <v>58762.594819307516</v>
      </c>
      <c r="T7903" cm="1">
        <f t="array" ref="T7903">IF(OR(B7903="MAL ALIMI", B7903="ÜRETİM GİRİŞ"), MIN(I7903, MAX(0, I7903 + SUM(SUMIFS($I$1:I7902, $C$1:C7902, C7903, $B$1:B7902, {"MAL ALIMI","ÜRETİM GİRİŞ"})) - VLOOKUP(C7903, 'STOK RAPORU'!$C$2:$I$1000, 4, 0))), 0)</f>
        <v>0</v>
      </c>
      <c r="U7903" s="22">
        <f t="shared" si="492"/>
        <v>0</v>
      </c>
      <c r="V7903">
        <f t="shared" si="493"/>
        <v>0</v>
      </c>
      <c r="W7903" s="22">
        <f t="shared" si="494"/>
        <v>0</v>
      </c>
    </row>
    <row r="7904" spans="1:23" hidden="1" x14ac:dyDescent="0.25">
      <c r="A7904" s="3">
        <v>46198</v>
      </c>
      <c r="B7904" s="46" t="s">
        <v>334</v>
      </c>
      <c r="C7904" s="4" t="s">
        <v>728</v>
      </c>
      <c r="D7904" s="4"/>
      <c r="E7904" s="4"/>
      <c r="F7904" s="4" t="s">
        <v>3745</v>
      </c>
      <c r="G7904" s="4" t="s">
        <v>336</v>
      </c>
      <c r="H7904" s="4" t="s">
        <v>289</v>
      </c>
      <c r="I7904" s="4">
        <v>0.57692307692307687</v>
      </c>
      <c r="J7904" s="21">
        <v>650</v>
      </c>
      <c r="K7904" s="21">
        <v>0</v>
      </c>
      <c r="L7904" s="5">
        <v>0</v>
      </c>
      <c r="M7904" s="4"/>
      <c r="N7904" s="4"/>
      <c r="O7904" s="5"/>
      <c r="P7904" s="5"/>
      <c r="Q7904" s="21">
        <v>374.99999999999994</v>
      </c>
      <c r="R7904" s="21">
        <v>0</v>
      </c>
      <c r="S7904" s="5">
        <f t="shared" si="495"/>
        <v>59137.594819307516</v>
      </c>
      <c r="T7904" cm="1">
        <f t="array" ref="T7904">IF(OR(B7904="MAL ALIMI", B7904="ÜRETİM GİRİŞ"), MIN(I7904, MAX(0, I7904 + SUM(SUMIFS($I$1:I7903, $C$1:C7903, C7904, $B$1:B7903, {"MAL ALIMI","ÜRETİM GİRİŞ"})) - VLOOKUP(C7904, 'STOK RAPORU'!$C$2:$I$1000, 4, 0))), 0)</f>
        <v>0</v>
      </c>
      <c r="U7904" s="22">
        <f t="shared" si="492"/>
        <v>0</v>
      </c>
      <c r="V7904">
        <f t="shared" si="493"/>
        <v>0</v>
      </c>
      <c r="W7904" s="22">
        <f t="shared" si="494"/>
        <v>0</v>
      </c>
    </row>
    <row r="7905" spans="1:23" hidden="1" x14ac:dyDescent="0.25">
      <c r="A7905" s="3">
        <v>46198</v>
      </c>
      <c r="B7905" s="46" t="s">
        <v>334</v>
      </c>
      <c r="C7905" s="4" t="s">
        <v>1357</v>
      </c>
      <c r="D7905" s="4"/>
      <c r="E7905" s="4"/>
      <c r="F7905" s="4" t="s">
        <v>3745</v>
      </c>
      <c r="G7905" s="4" t="s">
        <v>336</v>
      </c>
      <c r="H7905" s="4" t="s">
        <v>289</v>
      </c>
      <c r="I7905" s="4">
        <v>0.5</v>
      </c>
      <c r="J7905" s="21">
        <v>680</v>
      </c>
      <c r="K7905" s="21">
        <v>0</v>
      </c>
      <c r="L7905" s="5">
        <v>0</v>
      </c>
      <c r="M7905" s="4"/>
      <c r="N7905" s="4"/>
      <c r="O7905" s="5"/>
      <c r="P7905" s="5"/>
      <c r="Q7905" s="21">
        <v>340</v>
      </c>
      <c r="R7905" s="21">
        <v>0</v>
      </c>
      <c r="S7905" s="5">
        <f t="shared" si="495"/>
        <v>59477.594819307516</v>
      </c>
      <c r="T7905" cm="1">
        <f t="array" ref="T7905">IF(OR(B7905="MAL ALIMI", B7905="ÜRETİM GİRİŞ"), MIN(I7905, MAX(0, I7905 + SUM(SUMIFS($I$1:I7904, $C$1:C7904, C7905, $B$1:B7904, {"MAL ALIMI","ÜRETİM GİRİŞ"})) - VLOOKUP(C7905, 'STOK RAPORU'!$C$2:$I$1000, 4, 0))), 0)</f>
        <v>0</v>
      </c>
      <c r="U7905" s="22">
        <f t="shared" si="492"/>
        <v>0</v>
      </c>
      <c r="V7905">
        <f t="shared" si="493"/>
        <v>0</v>
      </c>
      <c r="W7905" s="22">
        <f t="shared" si="494"/>
        <v>0</v>
      </c>
    </row>
    <row r="7906" spans="1:23" hidden="1" x14ac:dyDescent="0.25">
      <c r="A7906" s="3">
        <v>46198</v>
      </c>
      <c r="B7906" s="46" t="s">
        <v>334</v>
      </c>
      <c r="C7906" s="4" t="s">
        <v>266</v>
      </c>
      <c r="D7906" s="4"/>
      <c r="E7906" s="4"/>
      <c r="F7906" s="4" t="s">
        <v>3745</v>
      </c>
      <c r="G7906" s="4" t="s">
        <v>336</v>
      </c>
      <c r="H7906" s="4" t="s">
        <v>289</v>
      </c>
      <c r="I7906" s="4">
        <v>0.62</v>
      </c>
      <c r="J7906" s="21">
        <v>250</v>
      </c>
      <c r="K7906" s="21">
        <v>0</v>
      </c>
      <c r="L7906" s="5">
        <v>0</v>
      </c>
      <c r="M7906" s="4"/>
      <c r="N7906" s="4"/>
      <c r="O7906" s="5"/>
      <c r="P7906" s="5"/>
      <c r="Q7906" s="21">
        <v>155</v>
      </c>
      <c r="R7906" s="21">
        <v>0</v>
      </c>
      <c r="S7906" s="5">
        <f t="shared" si="495"/>
        <v>59632.594819307516</v>
      </c>
      <c r="T7906" cm="1">
        <f t="array" ref="T7906">IF(OR(B7906="MAL ALIMI", B7906="ÜRETİM GİRİŞ"), MIN(I7906, MAX(0, I7906 + SUM(SUMIFS($I$1:I7905, $C$1:C7905, C7906, $B$1:B7905, {"MAL ALIMI","ÜRETİM GİRİŞ"})) - VLOOKUP(C7906, 'STOK RAPORU'!$C$2:$I$1000, 4, 0))), 0)</f>
        <v>0</v>
      </c>
      <c r="U7906" s="22">
        <f t="shared" si="492"/>
        <v>0</v>
      </c>
      <c r="V7906">
        <f t="shared" si="493"/>
        <v>0</v>
      </c>
      <c r="W7906" s="22">
        <f t="shared" si="494"/>
        <v>0</v>
      </c>
    </row>
    <row r="7907" spans="1:23" hidden="1" x14ac:dyDescent="0.25">
      <c r="A7907" s="3">
        <v>46198</v>
      </c>
      <c r="B7907" s="46" t="s">
        <v>334</v>
      </c>
      <c r="C7907" s="4" t="s">
        <v>1428</v>
      </c>
      <c r="D7907" s="4"/>
      <c r="E7907" s="4"/>
      <c r="F7907" s="4" t="s">
        <v>3746</v>
      </c>
      <c r="G7907" s="4" t="s">
        <v>336</v>
      </c>
      <c r="H7907" s="4" t="s">
        <v>289</v>
      </c>
      <c r="I7907" s="4">
        <v>0.1</v>
      </c>
      <c r="J7907" s="21">
        <v>800</v>
      </c>
      <c r="K7907" s="21">
        <v>0</v>
      </c>
      <c r="L7907" s="5">
        <v>0</v>
      </c>
      <c r="M7907" s="4"/>
      <c r="N7907" s="4"/>
      <c r="O7907" s="5"/>
      <c r="P7907" s="5"/>
      <c r="Q7907" s="21">
        <v>80</v>
      </c>
      <c r="R7907" s="21">
        <v>0</v>
      </c>
      <c r="S7907" s="5">
        <f t="shared" si="495"/>
        <v>59712.594819307516</v>
      </c>
      <c r="T7907" cm="1">
        <f t="array" ref="T7907">IF(OR(B7907="MAL ALIMI", B7907="ÜRETİM GİRİŞ"), MIN(I7907, MAX(0, I7907 + SUM(SUMIFS($I$1:I7906, $C$1:C7906, C7907, $B$1:B7906, {"MAL ALIMI","ÜRETİM GİRİŞ"})) - VLOOKUP(C7907, 'STOK RAPORU'!$C$2:$I$1000, 4, 0))), 0)</f>
        <v>0</v>
      </c>
      <c r="U7907" s="22">
        <f t="shared" si="492"/>
        <v>0</v>
      </c>
      <c r="V7907">
        <f t="shared" si="493"/>
        <v>0</v>
      </c>
      <c r="W7907" s="22">
        <f t="shared" si="494"/>
        <v>0</v>
      </c>
    </row>
    <row r="7908" spans="1:23" hidden="1" x14ac:dyDescent="0.25">
      <c r="A7908" s="3">
        <v>46198</v>
      </c>
      <c r="B7908" s="46" t="s">
        <v>334</v>
      </c>
      <c r="C7908" s="4" t="s">
        <v>1359</v>
      </c>
      <c r="D7908" s="4"/>
      <c r="E7908" s="4"/>
      <c r="F7908" s="4" t="s">
        <v>3746</v>
      </c>
      <c r="G7908" s="4" t="s">
        <v>336</v>
      </c>
      <c r="H7908" s="4" t="s">
        <v>289</v>
      </c>
      <c r="I7908" s="4">
        <v>0.2</v>
      </c>
      <c r="J7908" s="21">
        <v>500</v>
      </c>
      <c r="K7908" s="21">
        <v>0</v>
      </c>
      <c r="L7908" s="5">
        <v>0</v>
      </c>
      <c r="M7908" s="4"/>
      <c r="N7908" s="4"/>
      <c r="O7908" s="5"/>
      <c r="P7908" s="5"/>
      <c r="Q7908" s="21">
        <v>100</v>
      </c>
      <c r="R7908" s="21">
        <v>0</v>
      </c>
      <c r="S7908" s="5">
        <f t="shared" si="495"/>
        <v>59812.594819307516</v>
      </c>
      <c r="T7908" cm="1">
        <f t="array" ref="T7908">IF(OR(B7908="MAL ALIMI", B7908="ÜRETİM GİRİŞ"), MIN(I7908, MAX(0, I7908 + SUM(SUMIFS($I$1:I7907, $C$1:C7907, C7908, $B$1:B7907, {"MAL ALIMI","ÜRETİM GİRİŞ"})) - VLOOKUP(C7908, 'STOK RAPORU'!$C$2:$I$1000, 4, 0))), 0)</f>
        <v>0</v>
      </c>
      <c r="U7908" s="22">
        <f t="shared" si="492"/>
        <v>0</v>
      </c>
      <c r="V7908">
        <f t="shared" si="493"/>
        <v>0</v>
      </c>
      <c r="W7908" s="22">
        <f t="shared" si="494"/>
        <v>0</v>
      </c>
    </row>
    <row r="7909" spans="1:23" hidden="1" x14ac:dyDescent="0.25">
      <c r="A7909" s="3">
        <v>46198</v>
      </c>
      <c r="B7909" s="46" t="s">
        <v>334</v>
      </c>
      <c r="C7909" s="4" t="s">
        <v>728</v>
      </c>
      <c r="D7909" s="4"/>
      <c r="E7909" s="4"/>
      <c r="F7909" s="4" t="s">
        <v>3746</v>
      </c>
      <c r="G7909" s="4" t="s">
        <v>336</v>
      </c>
      <c r="H7909" s="4" t="s">
        <v>289</v>
      </c>
      <c r="I7909" s="4">
        <v>0.16923076923076924</v>
      </c>
      <c r="J7909" s="21">
        <v>650</v>
      </c>
      <c r="K7909" s="21">
        <v>0</v>
      </c>
      <c r="L7909" s="5">
        <v>0</v>
      </c>
      <c r="M7909" s="4"/>
      <c r="N7909" s="4"/>
      <c r="O7909" s="5"/>
      <c r="P7909" s="5"/>
      <c r="Q7909" s="21">
        <v>110</v>
      </c>
      <c r="R7909" s="21">
        <v>0</v>
      </c>
      <c r="S7909" s="5">
        <f t="shared" si="495"/>
        <v>59922.594819307516</v>
      </c>
      <c r="T7909" cm="1">
        <f t="array" ref="T7909">IF(OR(B7909="MAL ALIMI", B7909="ÜRETİM GİRİŞ"), MIN(I7909, MAX(0, I7909 + SUM(SUMIFS($I$1:I7908, $C$1:C7908, C7909, $B$1:B7908, {"MAL ALIMI","ÜRETİM GİRİŞ"})) - VLOOKUP(C7909, 'STOK RAPORU'!$C$2:$I$1000, 4, 0))), 0)</f>
        <v>0</v>
      </c>
      <c r="U7909" s="22">
        <f t="shared" si="492"/>
        <v>0</v>
      </c>
      <c r="V7909">
        <f t="shared" si="493"/>
        <v>0</v>
      </c>
      <c r="W7909" s="22">
        <f t="shared" si="494"/>
        <v>0</v>
      </c>
    </row>
    <row r="7910" spans="1:23" hidden="1" x14ac:dyDescent="0.25">
      <c r="A7910" s="3">
        <v>46198</v>
      </c>
      <c r="B7910" s="46" t="s">
        <v>334</v>
      </c>
      <c r="C7910" s="4" t="s">
        <v>3383</v>
      </c>
      <c r="D7910" s="4"/>
      <c r="E7910" s="4"/>
      <c r="F7910" s="4" t="s">
        <v>3746</v>
      </c>
      <c r="G7910" s="4" t="s">
        <v>336</v>
      </c>
      <c r="H7910" s="4" t="s">
        <v>289</v>
      </c>
      <c r="I7910" s="4">
        <v>1.32</v>
      </c>
      <c r="J7910" s="21">
        <v>50</v>
      </c>
      <c r="K7910" s="21">
        <v>0</v>
      </c>
      <c r="L7910" s="5">
        <v>0</v>
      </c>
      <c r="M7910" s="4"/>
      <c r="N7910" s="4"/>
      <c r="O7910" s="5"/>
      <c r="P7910" s="5"/>
      <c r="Q7910" s="21">
        <v>66</v>
      </c>
      <c r="R7910" s="21">
        <v>0</v>
      </c>
      <c r="S7910" s="5">
        <f t="shared" si="495"/>
        <v>59988.594819307516</v>
      </c>
      <c r="T7910" cm="1">
        <f t="array" ref="T7910">IF(OR(B7910="MAL ALIMI", B7910="ÜRETİM GİRİŞ"), MIN(I7910, MAX(0, I7910 + SUM(SUMIFS($I$1:I7909, $C$1:C7909, C7910, $B$1:B7909, {"MAL ALIMI","ÜRETİM GİRİŞ"})) - VLOOKUP(C7910, 'STOK RAPORU'!$C$2:$I$1000, 4, 0))), 0)</f>
        <v>0</v>
      </c>
      <c r="U7910" s="22">
        <f t="shared" si="492"/>
        <v>0</v>
      </c>
      <c r="V7910">
        <f t="shared" si="493"/>
        <v>0</v>
      </c>
      <c r="W7910" s="22">
        <f t="shared" si="494"/>
        <v>0</v>
      </c>
    </row>
    <row r="7911" spans="1:23" hidden="1" x14ac:dyDescent="0.25">
      <c r="A7911" s="3">
        <v>46198</v>
      </c>
      <c r="B7911" s="46" t="s">
        <v>334</v>
      </c>
      <c r="C7911" s="4" t="s">
        <v>1024</v>
      </c>
      <c r="D7911" s="4"/>
      <c r="E7911" s="4"/>
      <c r="F7911" s="4" t="s">
        <v>3747</v>
      </c>
      <c r="G7911" s="4" t="s">
        <v>336</v>
      </c>
      <c r="H7911" s="4" t="s">
        <v>289</v>
      </c>
      <c r="I7911" s="4">
        <v>1.5384615384615385</v>
      </c>
      <c r="J7911" s="21">
        <v>65</v>
      </c>
      <c r="K7911" s="21">
        <v>0</v>
      </c>
      <c r="L7911" s="5">
        <v>0</v>
      </c>
      <c r="M7911" s="4"/>
      <c r="N7911" s="4"/>
      <c r="O7911" s="5"/>
      <c r="P7911" s="5"/>
      <c r="Q7911" s="21">
        <v>100</v>
      </c>
      <c r="R7911" s="21">
        <v>0</v>
      </c>
      <c r="S7911" s="5">
        <f t="shared" si="495"/>
        <v>60088.594819307516</v>
      </c>
      <c r="T7911" cm="1">
        <f t="array" ref="T7911">IF(OR(B7911="MAL ALIMI", B7911="ÜRETİM GİRİŞ"), MIN(I7911, MAX(0, I7911 + SUM(SUMIFS($I$1:I7910, $C$1:C7910, C7911, $B$1:B7910, {"MAL ALIMI","ÜRETİM GİRİŞ"})) - VLOOKUP(C7911, 'STOK RAPORU'!$C$2:$I$1000, 4, 0))), 0)</f>
        <v>0</v>
      </c>
      <c r="U7911" s="22">
        <f t="shared" si="492"/>
        <v>0</v>
      </c>
      <c r="V7911">
        <f t="shared" si="493"/>
        <v>0</v>
      </c>
      <c r="W7911" s="22">
        <f t="shared" si="494"/>
        <v>0</v>
      </c>
    </row>
    <row r="7912" spans="1:23" hidden="1" x14ac:dyDescent="0.25">
      <c r="A7912" s="3">
        <v>46198</v>
      </c>
      <c r="B7912" s="46" t="s">
        <v>334</v>
      </c>
      <c r="C7912" s="4" t="s">
        <v>1399</v>
      </c>
      <c r="D7912" s="4"/>
      <c r="E7912" s="4"/>
      <c r="F7912" s="4" t="s">
        <v>3748</v>
      </c>
      <c r="G7912" s="4" t="s">
        <v>336</v>
      </c>
      <c r="H7912" s="4" t="s">
        <v>289</v>
      </c>
      <c r="I7912" s="4">
        <v>1</v>
      </c>
      <c r="J7912" s="21">
        <v>170</v>
      </c>
      <c r="K7912" s="21">
        <v>0</v>
      </c>
      <c r="L7912" s="5">
        <v>0</v>
      </c>
      <c r="M7912" s="4"/>
      <c r="N7912" s="4"/>
      <c r="O7912" s="5"/>
      <c r="P7912" s="5"/>
      <c r="Q7912" s="21">
        <v>170</v>
      </c>
      <c r="R7912" s="21">
        <v>0</v>
      </c>
      <c r="S7912" s="5">
        <f t="shared" si="495"/>
        <v>60258.594819307516</v>
      </c>
      <c r="T7912" cm="1">
        <f t="array" ref="T7912">IF(OR(B7912="MAL ALIMI", B7912="ÜRETİM GİRİŞ"), MIN(I7912, MAX(0, I7912 + SUM(SUMIFS($I$1:I7911, $C$1:C7911, C7912, $B$1:B7911, {"MAL ALIMI","ÜRETİM GİRİŞ"})) - VLOOKUP(C7912, 'STOK RAPORU'!$C$2:$I$1000, 4, 0))), 0)</f>
        <v>0</v>
      </c>
      <c r="U7912" s="22">
        <f t="shared" si="492"/>
        <v>0</v>
      </c>
      <c r="V7912">
        <f t="shared" si="493"/>
        <v>0</v>
      </c>
      <c r="W7912" s="22">
        <f t="shared" si="494"/>
        <v>0</v>
      </c>
    </row>
    <row r="7913" spans="1:23" hidden="1" x14ac:dyDescent="0.25">
      <c r="A7913" s="3">
        <v>46198</v>
      </c>
      <c r="B7913" s="46" t="s">
        <v>334</v>
      </c>
      <c r="C7913" s="4" t="s">
        <v>266</v>
      </c>
      <c r="D7913" s="4"/>
      <c r="E7913" s="4"/>
      <c r="F7913" s="4" t="s">
        <v>3749</v>
      </c>
      <c r="G7913" s="4" t="s">
        <v>336</v>
      </c>
      <c r="H7913" s="4" t="s">
        <v>289</v>
      </c>
      <c r="I7913" s="4">
        <v>0.4</v>
      </c>
      <c r="J7913" s="21">
        <v>250</v>
      </c>
      <c r="K7913" s="21">
        <v>0</v>
      </c>
      <c r="L7913" s="5">
        <v>0</v>
      </c>
      <c r="M7913" s="4"/>
      <c r="N7913" s="4"/>
      <c r="O7913" s="5"/>
      <c r="P7913" s="5"/>
      <c r="Q7913" s="21">
        <v>100</v>
      </c>
      <c r="R7913" s="21">
        <v>0</v>
      </c>
      <c r="S7913" s="5">
        <f t="shared" si="495"/>
        <v>60358.594819307516</v>
      </c>
      <c r="T7913" cm="1">
        <f t="array" ref="T7913">IF(OR(B7913="MAL ALIMI", B7913="ÜRETİM GİRİŞ"), MIN(I7913, MAX(0, I7913 + SUM(SUMIFS($I$1:I7912, $C$1:C7912, C7913, $B$1:B7912, {"MAL ALIMI","ÜRETİM GİRİŞ"})) - VLOOKUP(C7913, 'STOK RAPORU'!$C$2:$I$1000, 4, 0))), 0)</f>
        <v>0</v>
      </c>
      <c r="U7913" s="22">
        <f t="shared" si="492"/>
        <v>0</v>
      </c>
      <c r="V7913">
        <f t="shared" si="493"/>
        <v>0</v>
      </c>
      <c r="W7913" s="22">
        <f t="shared" si="494"/>
        <v>0</v>
      </c>
    </row>
    <row r="7914" spans="1:23" hidden="1" x14ac:dyDescent="0.25">
      <c r="A7914" s="41">
        <v>46198</v>
      </c>
      <c r="B7914" s="42" t="s">
        <v>334</v>
      </c>
      <c r="C7914" s="42" t="s">
        <v>2562</v>
      </c>
      <c r="D7914" s="42"/>
      <c r="E7914" s="42"/>
      <c r="F7914" s="42" t="s">
        <v>3750</v>
      </c>
      <c r="G7914" s="42" t="s">
        <v>1911</v>
      </c>
      <c r="H7914" s="42" t="s">
        <v>289</v>
      </c>
      <c r="I7914" s="42">
        <v>1</v>
      </c>
      <c r="J7914" s="43">
        <v>90</v>
      </c>
      <c r="K7914" s="43">
        <v>0</v>
      </c>
      <c r="L7914" s="44">
        <v>0</v>
      </c>
      <c r="M7914" s="42"/>
      <c r="N7914" s="42"/>
      <c r="O7914" s="44"/>
      <c r="P7914" s="44"/>
      <c r="Q7914" s="43">
        <v>90</v>
      </c>
      <c r="R7914" s="43">
        <v>0</v>
      </c>
      <c r="S7914" s="5">
        <f t="shared" si="495"/>
        <v>60448.594819307516</v>
      </c>
      <c r="T7914" cm="1">
        <f t="array" ref="T7914">IF(OR(B7914="MAL ALIMI", B7914="ÜRETİM GİRİŞ"), MIN(I7914, MAX(0, I7914 + SUM(SUMIFS($I$1:I7913, $C$1:C7913, C7914, $B$1:B7913, {"MAL ALIMI","ÜRETİM GİRİŞ"})) - VLOOKUP(C7914, 'STOK RAPORU'!$C$2:$I$1000, 4, 0))), 0)</f>
        <v>0</v>
      </c>
      <c r="U7914" s="22">
        <f t="shared" si="492"/>
        <v>0</v>
      </c>
      <c r="V7914">
        <f t="shared" si="493"/>
        <v>0</v>
      </c>
      <c r="W7914" s="22">
        <f t="shared" si="494"/>
        <v>0</v>
      </c>
    </row>
    <row r="7915" spans="1:23" hidden="1" x14ac:dyDescent="0.25">
      <c r="A7915" s="41">
        <v>46198</v>
      </c>
      <c r="B7915" s="42" t="s">
        <v>334</v>
      </c>
      <c r="C7915" s="42" t="s">
        <v>253</v>
      </c>
      <c r="D7915" s="42"/>
      <c r="E7915" s="42"/>
      <c r="F7915" s="42" t="s">
        <v>3750</v>
      </c>
      <c r="G7915" s="42" t="s">
        <v>1911</v>
      </c>
      <c r="H7915" s="42" t="s">
        <v>289</v>
      </c>
      <c r="I7915" s="42">
        <v>0.2</v>
      </c>
      <c r="J7915" s="43">
        <v>250</v>
      </c>
      <c r="K7915" s="43">
        <v>0</v>
      </c>
      <c r="L7915" s="44">
        <v>0</v>
      </c>
      <c r="M7915" s="42"/>
      <c r="N7915" s="42"/>
      <c r="O7915" s="44"/>
      <c r="P7915" s="44"/>
      <c r="Q7915" s="43">
        <v>50</v>
      </c>
      <c r="R7915" s="43">
        <v>0</v>
      </c>
      <c r="S7915" s="5">
        <f t="shared" si="495"/>
        <v>60498.594819307516</v>
      </c>
      <c r="T7915" cm="1">
        <f t="array" ref="T7915">IF(OR(B7915="MAL ALIMI", B7915="ÜRETİM GİRİŞ"), MIN(I7915, MAX(0, I7915 + SUM(SUMIFS($I$1:I7914, $C$1:C7914, C7915, $B$1:B7914, {"MAL ALIMI","ÜRETİM GİRİŞ"})) - VLOOKUP(C7915, 'STOK RAPORU'!$C$2:$I$1000, 4, 0))), 0)</f>
        <v>0</v>
      </c>
      <c r="U7915" s="22">
        <f t="shared" si="492"/>
        <v>0</v>
      </c>
      <c r="V7915">
        <f t="shared" si="493"/>
        <v>0</v>
      </c>
      <c r="W7915" s="22">
        <f t="shared" si="494"/>
        <v>0</v>
      </c>
    </row>
    <row r="7916" spans="1:23" hidden="1" x14ac:dyDescent="0.25">
      <c r="A7916" s="41">
        <v>46198</v>
      </c>
      <c r="B7916" s="42" t="s">
        <v>334</v>
      </c>
      <c r="C7916" s="42" t="s">
        <v>3382</v>
      </c>
      <c r="D7916" s="42"/>
      <c r="E7916" s="42"/>
      <c r="F7916" s="42" t="s">
        <v>3750</v>
      </c>
      <c r="G7916" s="42" t="s">
        <v>1911</v>
      </c>
      <c r="H7916" s="42" t="s">
        <v>289</v>
      </c>
      <c r="I7916" s="42">
        <v>0.34</v>
      </c>
      <c r="J7916" s="43">
        <v>250</v>
      </c>
      <c r="K7916" s="43">
        <v>0</v>
      </c>
      <c r="L7916" s="44">
        <v>0</v>
      </c>
      <c r="M7916" s="42"/>
      <c r="N7916" s="42"/>
      <c r="O7916" s="44"/>
      <c r="P7916" s="44"/>
      <c r="Q7916" s="43">
        <v>85</v>
      </c>
      <c r="R7916" s="43">
        <v>0</v>
      </c>
      <c r="S7916" s="5">
        <f t="shared" si="495"/>
        <v>60583.594819307516</v>
      </c>
      <c r="T7916" cm="1">
        <f t="array" ref="T7916">IF(OR(B7916="MAL ALIMI", B7916="ÜRETİM GİRİŞ"), MIN(I7916, MAX(0, I7916 + SUM(SUMIFS($I$1:I7915, $C$1:C7915, C7916, $B$1:B7915, {"MAL ALIMI","ÜRETİM GİRİŞ"})) - VLOOKUP(C7916, 'STOK RAPORU'!$C$2:$I$1000, 4, 0))), 0)</f>
        <v>0</v>
      </c>
      <c r="U7916" s="22">
        <f t="shared" si="492"/>
        <v>0</v>
      </c>
      <c r="V7916">
        <f t="shared" si="493"/>
        <v>0</v>
      </c>
      <c r="W7916" s="22">
        <f t="shared" si="494"/>
        <v>0</v>
      </c>
    </row>
    <row r="7917" spans="1:23" hidden="1" x14ac:dyDescent="0.25">
      <c r="A7917" s="41">
        <v>46198</v>
      </c>
      <c r="B7917" s="42" t="s">
        <v>334</v>
      </c>
      <c r="C7917" s="42" t="s">
        <v>1359</v>
      </c>
      <c r="D7917" s="42"/>
      <c r="E7917" s="42"/>
      <c r="F7917" s="42" t="s">
        <v>3750</v>
      </c>
      <c r="G7917" s="42" t="s">
        <v>1911</v>
      </c>
      <c r="H7917" s="42" t="s">
        <v>289</v>
      </c>
      <c r="I7917" s="42">
        <v>0.156</v>
      </c>
      <c r="J7917" s="43">
        <v>500</v>
      </c>
      <c r="K7917" s="43">
        <v>0</v>
      </c>
      <c r="L7917" s="44">
        <v>0</v>
      </c>
      <c r="M7917" s="42"/>
      <c r="N7917" s="42"/>
      <c r="O7917" s="44"/>
      <c r="P7917" s="44"/>
      <c r="Q7917" s="43">
        <v>78</v>
      </c>
      <c r="R7917" s="43">
        <v>0</v>
      </c>
      <c r="S7917" s="5">
        <f t="shared" si="495"/>
        <v>60661.594819307516</v>
      </c>
      <c r="T7917" cm="1">
        <f t="array" ref="T7917">IF(OR(B7917="MAL ALIMI", B7917="ÜRETİM GİRİŞ"), MIN(I7917, MAX(0, I7917 + SUM(SUMIFS($I$1:I7916, $C$1:C7916, C7917, $B$1:B7916, {"MAL ALIMI","ÜRETİM GİRİŞ"})) - VLOOKUP(C7917, 'STOK RAPORU'!$C$2:$I$1000, 4, 0))), 0)</f>
        <v>0</v>
      </c>
      <c r="U7917" s="22">
        <f t="shared" si="492"/>
        <v>0</v>
      </c>
      <c r="V7917">
        <f t="shared" si="493"/>
        <v>0</v>
      </c>
      <c r="W7917" s="22">
        <f t="shared" si="494"/>
        <v>0</v>
      </c>
    </row>
    <row r="7918" spans="1:23" hidden="1" x14ac:dyDescent="0.25">
      <c r="A7918" s="41">
        <v>46198</v>
      </c>
      <c r="B7918" s="42" t="s">
        <v>334</v>
      </c>
      <c r="C7918" s="42" t="s">
        <v>2126</v>
      </c>
      <c r="D7918" s="42"/>
      <c r="E7918" s="42"/>
      <c r="F7918" s="42" t="s">
        <v>3750</v>
      </c>
      <c r="G7918" s="42" t="s">
        <v>1911</v>
      </c>
      <c r="H7918" s="42" t="s">
        <v>289</v>
      </c>
      <c r="I7918" s="42">
        <v>0.48</v>
      </c>
      <c r="J7918" s="43">
        <v>370</v>
      </c>
      <c r="K7918" s="43">
        <v>0</v>
      </c>
      <c r="L7918" s="44">
        <v>0</v>
      </c>
      <c r="M7918" s="42"/>
      <c r="N7918" s="42"/>
      <c r="O7918" s="44"/>
      <c r="P7918" s="44"/>
      <c r="Q7918" s="43">
        <v>177.6</v>
      </c>
      <c r="R7918" s="43">
        <v>0</v>
      </c>
      <c r="S7918" s="5">
        <f t="shared" si="495"/>
        <v>60839.194819307515</v>
      </c>
      <c r="T7918" cm="1">
        <f t="array" ref="T7918">IF(OR(B7918="MAL ALIMI", B7918="ÜRETİM GİRİŞ"), MIN(I7918, MAX(0, I7918 + SUM(SUMIFS($I$1:I7917, $C$1:C7917, C7918, $B$1:B7917, {"MAL ALIMI","ÜRETİM GİRİŞ"})) - VLOOKUP(C7918, 'STOK RAPORU'!$C$2:$I$1000, 4, 0))), 0)</f>
        <v>0</v>
      </c>
      <c r="U7918" s="22">
        <f t="shared" si="492"/>
        <v>0</v>
      </c>
      <c r="V7918">
        <f t="shared" si="493"/>
        <v>0</v>
      </c>
      <c r="W7918" s="22">
        <f t="shared" si="494"/>
        <v>0</v>
      </c>
    </row>
    <row r="7919" spans="1:23" hidden="1" x14ac:dyDescent="0.25">
      <c r="A7919" s="41">
        <v>46198</v>
      </c>
      <c r="B7919" s="42" t="s">
        <v>334</v>
      </c>
      <c r="C7919" s="42" t="s">
        <v>199</v>
      </c>
      <c r="D7919" s="42"/>
      <c r="E7919" s="42"/>
      <c r="F7919" s="42" t="s">
        <v>3750</v>
      </c>
      <c r="G7919" s="42" t="s">
        <v>1911</v>
      </c>
      <c r="H7919" s="42" t="s">
        <v>289</v>
      </c>
      <c r="I7919" s="42">
        <v>0.46400000000000002</v>
      </c>
      <c r="J7919" s="43">
        <v>750</v>
      </c>
      <c r="K7919" s="43">
        <v>0</v>
      </c>
      <c r="L7919" s="44">
        <v>0</v>
      </c>
      <c r="M7919" s="42"/>
      <c r="N7919" s="42"/>
      <c r="O7919" s="44"/>
      <c r="P7919" s="44"/>
      <c r="Q7919" s="43">
        <v>348</v>
      </c>
      <c r="R7919" s="43">
        <v>0</v>
      </c>
      <c r="S7919" s="5">
        <f t="shared" si="495"/>
        <v>61187.194819307515</v>
      </c>
      <c r="T7919" cm="1">
        <f t="array" ref="T7919">IF(OR(B7919="MAL ALIMI", B7919="ÜRETİM GİRİŞ"), MIN(I7919, MAX(0, I7919 + SUM(SUMIFS($I$1:I7918, $C$1:C7918, C7919, $B$1:B7918, {"MAL ALIMI","ÜRETİM GİRİŞ"})) - VLOOKUP(C7919, 'STOK RAPORU'!$C$2:$I$1000, 4, 0))), 0)</f>
        <v>0</v>
      </c>
      <c r="U7919" s="22">
        <f t="shared" si="492"/>
        <v>0</v>
      </c>
      <c r="V7919">
        <f t="shared" si="493"/>
        <v>0</v>
      </c>
      <c r="W7919" s="22">
        <f t="shared" si="494"/>
        <v>0</v>
      </c>
    </row>
    <row r="7920" spans="1:23" hidden="1" x14ac:dyDescent="0.25">
      <c r="A7920" s="3">
        <v>46198</v>
      </c>
      <c r="B7920" s="46" t="s">
        <v>334</v>
      </c>
      <c r="C7920" s="4" t="s">
        <v>3383</v>
      </c>
      <c r="D7920" s="4"/>
      <c r="E7920" s="4"/>
      <c r="F7920" s="4" t="s">
        <v>3751</v>
      </c>
      <c r="G7920" s="4" t="s">
        <v>336</v>
      </c>
      <c r="H7920" s="4" t="s">
        <v>289</v>
      </c>
      <c r="I7920" s="4">
        <v>0.24600000000000002</v>
      </c>
      <c r="J7920" s="21">
        <v>50</v>
      </c>
      <c r="K7920" s="21">
        <v>0</v>
      </c>
      <c r="L7920" s="5">
        <v>0</v>
      </c>
      <c r="M7920" s="4"/>
      <c r="N7920" s="4"/>
      <c r="O7920" s="5"/>
      <c r="P7920" s="5"/>
      <c r="Q7920" s="21">
        <v>12.3</v>
      </c>
      <c r="R7920" s="21">
        <v>0</v>
      </c>
      <c r="S7920" s="5">
        <f t="shared" si="495"/>
        <v>61199.494819307518</v>
      </c>
      <c r="T7920" cm="1">
        <f t="array" ref="T7920">IF(OR(B7920="MAL ALIMI", B7920="ÜRETİM GİRİŞ"), MIN(I7920, MAX(0, I7920 + SUM(SUMIFS($I$1:I7919, $C$1:C7919, C7920, $B$1:B7919, {"MAL ALIMI","ÜRETİM GİRİŞ"})) - VLOOKUP(C7920, 'STOK RAPORU'!$C$2:$I$1000, 4, 0))), 0)</f>
        <v>0</v>
      </c>
      <c r="U7920" s="22">
        <f t="shared" si="492"/>
        <v>0</v>
      </c>
      <c r="V7920">
        <f t="shared" si="493"/>
        <v>0</v>
      </c>
      <c r="W7920" s="22">
        <f t="shared" si="494"/>
        <v>0</v>
      </c>
    </row>
    <row r="7921" spans="1:23" hidden="1" x14ac:dyDescent="0.25">
      <c r="A7921" s="3">
        <v>46198</v>
      </c>
      <c r="B7921" s="46" t="s">
        <v>334</v>
      </c>
      <c r="C7921" s="4" t="s">
        <v>1024</v>
      </c>
      <c r="D7921" s="4"/>
      <c r="E7921" s="4"/>
      <c r="F7921" s="4" t="s">
        <v>3751</v>
      </c>
      <c r="G7921" s="4" t="s">
        <v>336</v>
      </c>
      <c r="H7921" s="4" t="s">
        <v>289</v>
      </c>
      <c r="I7921" s="4">
        <v>0.46599999999999997</v>
      </c>
      <c r="J7921" s="21">
        <v>50</v>
      </c>
      <c r="K7921" s="21">
        <v>0</v>
      </c>
      <c r="L7921" s="5">
        <v>0</v>
      </c>
      <c r="M7921" s="4"/>
      <c r="N7921" s="4"/>
      <c r="O7921" s="5"/>
      <c r="P7921" s="5"/>
      <c r="Q7921" s="21">
        <v>23.299999999999997</v>
      </c>
      <c r="R7921" s="21">
        <v>0</v>
      </c>
      <c r="S7921" s="5">
        <f t="shared" si="495"/>
        <v>61222.794819307521</v>
      </c>
      <c r="T7921" cm="1">
        <f t="array" ref="T7921">IF(OR(B7921="MAL ALIMI", B7921="ÜRETİM GİRİŞ"), MIN(I7921, MAX(0, I7921 + SUM(SUMIFS($I$1:I7920, $C$1:C7920, C7921, $B$1:B7920, {"MAL ALIMI","ÜRETİM GİRİŞ"})) - VLOOKUP(C7921, 'STOK RAPORU'!$C$2:$I$1000, 4, 0))), 0)</f>
        <v>0</v>
      </c>
      <c r="U7921" s="22">
        <f t="shared" ref="U7921:U7984" si="496">T7921*J7921</f>
        <v>0</v>
      </c>
      <c r="V7921">
        <f t="shared" ref="V7921:V7984" si="497">IF(OR(B7921="MAL ALIMI", B7921="ÜRETİM GİRİŞ"), I7921 * J7921, 0)</f>
        <v>0</v>
      </c>
      <c r="W7921" s="22">
        <f t="shared" ref="W7921:W7984" si="498">V7921-U7921</f>
        <v>0</v>
      </c>
    </row>
    <row r="7922" spans="1:23" hidden="1" x14ac:dyDescent="0.25">
      <c r="A7922" s="3">
        <v>46198</v>
      </c>
      <c r="B7922" s="46" t="s">
        <v>334</v>
      </c>
      <c r="C7922" s="4" t="s">
        <v>1023</v>
      </c>
      <c r="D7922" s="4"/>
      <c r="E7922" s="4"/>
      <c r="F7922" s="4" t="s">
        <v>3751</v>
      </c>
      <c r="G7922" s="4" t="s">
        <v>336</v>
      </c>
      <c r="H7922" s="4" t="s">
        <v>289</v>
      </c>
      <c r="I7922" s="4">
        <v>0.26600000000000001</v>
      </c>
      <c r="J7922" s="21">
        <v>50</v>
      </c>
      <c r="K7922" s="21">
        <v>0</v>
      </c>
      <c r="L7922" s="5">
        <v>0</v>
      </c>
      <c r="M7922" s="4"/>
      <c r="N7922" s="4"/>
      <c r="O7922" s="5"/>
      <c r="P7922" s="5"/>
      <c r="Q7922" s="21">
        <v>13.3</v>
      </c>
      <c r="R7922" s="21">
        <v>0</v>
      </c>
      <c r="S7922" s="5">
        <f t="shared" si="495"/>
        <v>61236.094819307524</v>
      </c>
      <c r="T7922" cm="1">
        <f t="array" ref="T7922">IF(OR(B7922="MAL ALIMI", B7922="ÜRETİM GİRİŞ"), MIN(I7922, MAX(0, I7922 + SUM(SUMIFS($I$1:I7921, $C$1:C7921, C7922, $B$1:B7921, {"MAL ALIMI","ÜRETİM GİRİŞ"})) - VLOOKUP(C7922, 'STOK RAPORU'!$C$2:$I$1000, 4, 0))), 0)</f>
        <v>0</v>
      </c>
      <c r="U7922" s="22">
        <f t="shared" si="496"/>
        <v>0</v>
      </c>
      <c r="V7922">
        <f t="shared" si="497"/>
        <v>0</v>
      </c>
      <c r="W7922" s="22">
        <f t="shared" si="498"/>
        <v>0</v>
      </c>
    </row>
    <row r="7923" spans="1:23" hidden="1" x14ac:dyDescent="0.25">
      <c r="A7923" s="3">
        <v>46198</v>
      </c>
      <c r="B7923" s="46" t="s">
        <v>334</v>
      </c>
      <c r="C7923" s="4" t="s">
        <v>196</v>
      </c>
      <c r="D7923" s="4"/>
      <c r="E7923" s="4"/>
      <c r="F7923" s="4" t="s">
        <v>3751</v>
      </c>
      <c r="G7923" s="4" t="s">
        <v>336</v>
      </c>
      <c r="H7923" s="4" t="s">
        <v>289</v>
      </c>
      <c r="I7923" s="4">
        <v>0.2608695652173913</v>
      </c>
      <c r="J7923" s="21">
        <v>200</v>
      </c>
      <c r="K7923" s="21">
        <v>0</v>
      </c>
      <c r="L7923" s="5">
        <v>0</v>
      </c>
      <c r="M7923" s="4"/>
      <c r="N7923" s="4"/>
      <c r="O7923" s="5"/>
      <c r="P7923" s="5"/>
      <c r="Q7923" s="21">
        <v>52.173913043478258</v>
      </c>
      <c r="R7923" s="21">
        <v>0</v>
      </c>
      <c r="S7923" s="5">
        <f t="shared" si="495"/>
        <v>61288.268732351004</v>
      </c>
      <c r="T7923" cm="1">
        <f t="array" ref="T7923">IF(OR(B7923="MAL ALIMI", B7923="ÜRETİM GİRİŞ"), MIN(I7923, MAX(0, I7923 + SUM(SUMIFS($I$1:I7922, $C$1:C7922, C7923, $B$1:B7922, {"MAL ALIMI","ÜRETİM GİRİŞ"})) - VLOOKUP(C7923, 'STOK RAPORU'!$C$2:$I$1000, 4, 0))), 0)</f>
        <v>0</v>
      </c>
      <c r="U7923" s="22">
        <f t="shared" si="496"/>
        <v>0</v>
      </c>
      <c r="V7923">
        <f t="shared" si="497"/>
        <v>0</v>
      </c>
      <c r="W7923" s="22">
        <f t="shared" si="498"/>
        <v>0</v>
      </c>
    </row>
    <row r="7924" spans="1:23" hidden="1" x14ac:dyDescent="0.25">
      <c r="A7924" s="3">
        <v>46198</v>
      </c>
      <c r="B7924" s="46" t="s">
        <v>334</v>
      </c>
      <c r="C7924" s="4" t="s">
        <v>237</v>
      </c>
      <c r="D7924" s="4"/>
      <c r="E7924" s="4"/>
      <c r="F7924" s="4" t="s">
        <v>3751</v>
      </c>
      <c r="G7924" s="4" t="s">
        <v>336</v>
      </c>
      <c r="H7924" s="4" t="s">
        <v>289</v>
      </c>
      <c r="I7924" s="4">
        <v>4.4999999999999998E-2</v>
      </c>
      <c r="J7924" s="21">
        <v>1150</v>
      </c>
      <c r="K7924" s="21">
        <v>0</v>
      </c>
      <c r="L7924" s="5">
        <v>0</v>
      </c>
      <c r="M7924" s="4"/>
      <c r="N7924" s="4"/>
      <c r="O7924" s="5"/>
      <c r="P7924" s="5"/>
      <c r="Q7924" s="21">
        <v>51.75</v>
      </c>
      <c r="R7924" s="21">
        <v>0</v>
      </c>
      <c r="S7924" s="5">
        <f t="shared" si="495"/>
        <v>61340.018732351004</v>
      </c>
      <c r="T7924" cm="1">
        <f t="array" ref="T7924">IF(OR(B7924="MAL ALIMI", B7924="ÜRETİM GİRİŞ"), MIN(I7924, MAX(0, I7924 + SUM(SUMIFS($I$1:I7923, $C$1:C7923, C7924, $B$1:B7923, {"MAL ALIMI","ÜRETİM GİRİŞ"})) - VLOOKUP(C7924, 'STOK RAPORU'!$C$2:$I$1000, 4, 0))), 0)</f>
        <v>0</v>
      </c>
      <c r="U7924" s="22">
        <f t="shared" si="496"/>
        <v>0</v>
      </c>
      <c r="V7924">
        <f t="shared" si="497"/>
        <v>0</v>
      </c>
      <c r="W7924" s="22">
        <f t="shared" si="498"/>
        <v>0</v>
      </c>
    </row>
    <row r="7925" spans="1:23" hidden="1" x14ac:dyDescent="0.25">
      <c r="A7925" s="3">
        <v>46198</v>
      </c>
      <c r="B7925" s="46" t="s">
        <v>334</v>
      </c>
      <c r="C7925" s="4" t="s">
        <v>2565</v>
      </c>
      <c r="D7925" s="4"/>
      <c r="E7925" s="4" t="s">
        <v>921</v>
      </c>
      <c r="F7925" s="4" t="s">
        <v>3752</v>
      </c>
      <c r="G7925" s="4" t="s">
        <v>336</v>
      </c>
      <c r="H7925" s="4" t="s">
        <v>380</v>
      </c>
      <c r="I7925" s="4">
        <v>0.18153846153846154</v>
      </c>
      <c r="J7925" s="21">
        <v>650</v>
      </c>
      <c r="K7925" s="21">
        <v>118</v>
      </c>
      <c r="L7925" s="5">
        <v>0</v>
      </c>
      <c r="M7925" s="4"/>
      <c r="N7925" s="4"/>
      <c r="O7925" s="5"/>
      <c r="P7925" s="5"/>
      <c r="Q7925" s="21">
        <v>0</v>
      </c>
      <c r="R7925" s="21">
        <v>0</v>
      </c>
      <c r="S7925" s="5">
        <f t="shared" si="495"/>
        <v>61340.018732351004</v>
      </c>
      <c r="T7925" cm="1">
        <f t="array" ref="T7925">IF(OR(B7925="MAL ALIMI", B7925="ÜRETİM GİRİŞ"), MIN(I7925, MAX(0, I7925 + SUM(SUMIFS($I$1:I7924, $C$1:C7924, C7925, $B$1:B7924, {"MAL ALIMI","ÜRETİM GİRİŞ"})) - VLOOKUP(C7925, 'STOK RAPORU'!$C$2:$I$1000, 4, 0))), 0)</f>
        <v>0</v>
      </c>
      <c r="U7925" s="22">
        <f t="shared" si="496"/>
        <v>0</v>
      </c>
      <c r="V7925">
        <f t="shared" si="497"/>
        <v>0</v>
      </c>
      <c r="W7925" s="22">
        <f t="shared" si="498"/>
        <v>0</v>
      </c>
    </row>
    <row r="7926" spans="1:23" hidden="1" x14ac:dyDescent="0.25">
      <c r="A7926" s="3">
        <v>46198</v>
      </c>
      <c r="B7926" s="46" t="s">
        <v>334</v>
      </c>
      <c r="C7926" s="4" t="s">
        <v>1500</v>
      </c>
      <c r="D7926" s="4"/>
      <c r="E7926" s="4"/>
      <c r="F7926" s="4" t="s">
        <v>3753</v>
      </c>
      <c r="G7926" s="4" t="s">
        <v>336</v>
      </c>
      <c r="H7926" s="4" t="s">
        <v>289</v>
      </c>
      <c r="I7926" s="4">
        <v>1</v>
      </c>
      <c r="J7926" s="21">
        <v>275</v>
      </c>
      <c r="K7926" s="21">
        <v>0</v>
      </c>
      <c r="L7926" s="5">
        <v>0</v>
      </c>
      <c r="M7926" s="4"/>
      <c r="N7926" s="4"/>
      <c r="O7926" s="5"/>
      <c r="P7926" s="5"/>
      <c r="Q7926" s="21">
        <v>275</v>
      </c>
      <c r="R7926" s="21">
        <v>0</v>
      </c>
      <c r="S7926" s="5">
        <f t="shared" si="495"/>
        <v>61615.018732351004</v>
      </c>
      <c r="T7926" cm="1">
        <f t="array" ref="T7926">IF(OR(B7926="MAL ALIMI", B7926="ÜRETİM GİRİŞ"), MIN(I7926, MAX(0, I7926 + SUM(SUMIFS($I$1:I7925, $C$1:C7925, C7926, $B$1:B7925, {"MAL ALIMI","ÜRETİM GİRİŞ"})) - VLOOKUP(C7926, 'STOK RAPORU'!$C$2:$I$1000, 4, 0))), 0)</f>
        <v>0</v>
      </c>
      <c r="U7926" s="22">
        <f t="shared" si="496"/>
        <v>0</v>
      </c>
      <c r="V7926">
        <f t="shared" si="497"/>
        <v>0</v>
      </c>
      <c r="W7926" s="22">
        <f t="shared" si="498"/>
        <v>0</v>
      </c>
    </row>
    <row r="7927" spans="1:23" hidden="1" x14ac:dyDescent="0.25">
      <c r="A7927" s="3">
        <v>46198</v>
      </c>
      <c r="B7927" s="46" t="s">
        <v>334</v>
      </c>
      <c r="C7927" s="4" t="s">
        <v>3383</v>
      </c>
      <c r="D7927" s="4"/>
      <c r="E7927" s="4" t="s">
        <v>921</v>
      </c>
      <c r="F7927" s="4" t="s">
        <v>3754</v>
      </c>
      <c r="G7927" s="4" t="s">
        <v>336</v>
      </c>
      <c r="H7927" s="4" t="s">
        <v>380</v>
      </c>
      <c r="I7927" s="4">
        <v>0.93</v>
      </c>
      <c r="J7927" s="21">
        <v>50</v>
      </c>
      <c r="K7927" s="21">
        <v>46.5</v>
      </c>
      <c r="L7927" s="5">
        <v>0</v>
      </c>
      <c r="M7927" s="4"/>
      <c r="N7927" s="4"/>
      <c r="O7927" s="5"/>
      <c r="P7927" s="5"/>
      <c r="Q7927" s="21">
        <v>0</v>
      </c>
      <c r="R7927" s="21">
        <v>0</v>
      </c>
      <c r="S7927" s="5">
        <f t="shared" si="495"/>
        <v>61615.018732351004</v>
      </c>
      <c r="T7927" cm="1">
        <f t="array" ref="T7927">IF(OR(B7927="MAL ALIMI", B7927="ÜRETİM GİRİŞ"), MIN(I7927, MAX(0, I7927 + SUM(SUMIFS($I$1:I7926, $C$1:C7926, C7927, $B$1:B7926, {"MAL ALIMI","ÜRETİM GİRİŞ"})) - VLOOKUP(C7927, 'STOK RAPORU'!$C$2:$I$1000, 4, 0))), 0)</f>
        <v>0</v>
      </c>
      <c r="U7927" s="22">
        <f t="shared" si="496"/>
        <v>0</v>
      </c>
      <c r="V7927">
        <f t="shared" si="497"/>
        <v>0</v>
      </c>
      <c r="W7927" s="22">
        <f t="shared" si="498"/>
        <v>0</v>
      </c>
    </row>
    <row r="7928" spans="1:23" hidden="1" x14ac:dyDescent="0.25">
      <c r="A7928" s="3">
        <v>46198</v>
      </c>
      <c r="B7928" s="46" t="s">
        <v>334</v>
      </c>
      <c r="C7928" s="4" t="s">
        <v>133</v>
      </c>
      <c r="D7928" s="4"/>
      <c r="E7928" s="4" t="s">
        <v>921</v>
      </c>
      <c r="F7928" s="4" t="s">
        <v>3754</v>
      </c>
      <c r="G7928" s="4" t="s">
        <v>336</v>
      </c>
      <c r="H7928" s="4" t="s">
        <v>380</v>
      </c>
      <c r="I7928" s="4">
        <v>0.308</v>
      </c>
      <c r="J7928" s="21">
        <v>360</v>
      </c>
      <c r="K7928" s="21">
        <v>110.88</v>
      </c>
      <c r="L7928" s="5">
        <v>0</v>
      </c>
      <c r="M7928" s="4"/>
      <c r="N7928" s="4"/>
      <c r="O7928" s="5"/>
      <c r="P7928" s="5"/>
      <c r="Q7928" s="21">
        <v>0</v>
      </c>
      <c r="R7928" s="21">
        <v>0</v>
      </c>
      <c r="S7928" s="5">
        <f t="shared" si="495"/>
        <v>61615.018732351004</v>
      </c>
      <c r="T7928" cm="1">
        <f t="array" ref="T7928">IF(OR(B7928="MAL ALIMI", B7928="ÜRETİM GİRİŞ"), MIN(I7928, MAX(0, I7928 + SUM(SUMIFS($I$1:I7927, $C$1:C7927, C7928, $B$1:B7927, {"MAL ALIMI","ÜRETİM GİRİŞ"})) - VLOOKUP(C7928, 'STOK RAPORU'!$C$2:$I$1000, 4, 0))), 0)</f>
        <v>0</v>
      </c>
      <c r="U7928" s="22">
        <f t="shared" si="496"/>
        <v>0</v>
      </c>
      <c r="V7928">
        <f t="shared" si="497"/>
        <v>0</v>
      </c>
      <c r="W7928" s="22">
        <f t="shared" si="498"/>
        <v>0</v>
      </c>
    </row>
    <row r="7929" spans="1:23" hidden="1" x14ac:dyDescent="0.25">
      <c r="A7929" s="3">
        <v>46198</v>
      </c>
      <c r="B7929" s="46" t="s">
        <v>334</v>
      </c>
      <c r="C7929" s="4" t="s">
        <v>523</v>
      </c>
      <c r="D7929" s="4"/>
      <c r="E7929" s="4" t="s">
        <v>921</v>
      </c>
      <c r="F7929" s="4" t="s">
        <v>3754</v>
      </c>
      <c r="G7929" s="4" t="s">
        <v>336</v>
      </c>
      <c r="H7929" s="4" t="s">
        <v>380</v>
      </c>
      <c r="I7929" s="4">
        <v>0.08</v>
      </c>
      <c r="J7929" s="21">
        <v>750</v>
      </c>
      <c r="K7929" s="21">
        <v>60</v>
      </c>
      <c r="L7929" s="5">
        <v>0</v>
      </c>
      <c r="M7929" s="4"/>
      <c r="N7929" s="4"/>
      <c r="O7929" s="5"/>
      <c r="P7929" s="5"/>
      <c r="Q7929" s="21">
        <v>0</v>
      </c>
      <c r="R7929" s="21">
        <v>0</v>
      </c>
      <c r="S7929" s="5">
        <f t="shared" si="495"/>
        <v>61615.018732351004</v>
      </c>
      <c r="T7929" cm="1">
        <f t="array" ref="T7929">IF(OR(B7929="MAL ALIMI", B7929="ÜRETİM GİRİŞ"), MIN(I7929, MAX(0, I7929 + SUM(SUMIFS($I$1:I7928, $C$1:C7928, C7929, $B$1:B7928, {"MAL ALIMI","ÜRETİM GİRİŞ"})) - VLOOKUP(C7929, 'STOK RAPORU'!$C$2:$I$1000, 4, 0))), 0)</f>
        <v>0</v>
      </c>
      <c r="U7929" s="22">
        <f t="shared" si="496"/>
        <v>0</v>
      </c>
      <c r="V7929">
        <f t="shared" si="497"/>
        <v>0</v>
      </c>
      <c r="W7929" s="22">
        <f t="shared" si="498"/>
        <v>0</v>
      </c>
    </row>
    <row r="7930" spans="1:23" hidden="1" x14ac:dyDescent="0.25">
      <c r="A7930" s="3">
        <v>46198</v>
      </c>
      <c r="B7930" s="46" t="s">
        <v>334</v>
      </c>
      <c r="C7930" s="4" t="s">
        <v>728</v>
      </c>
      <c r="D7930" s="4"/>
      <c r="E7930" s="4" t="s">
        <v>921</v>
      </c>
      <c r="F7930" s="4" t="s">
        <v>3754</v>
      </c>
      <c r="G7930" s="4" t="s">
        <v>336</v>
      </c>
      <c r="H7930" s="4" t="s">
        <v>380</v>
      </c>
      <c r="I7930" s="4">
        <v>0.39</v>
      </c>
      <c r="J7930" s="21">
        <v>650</v>
      </c>
      <c r="K7930" s="21">
        <v>253.5</v>
      </c>
      <c r="L7930" s="5">
        <v>0</v>
      </c>
      <c r="M7930" s="4"/>
      <c r="N7930" s="4"/>
      <c r="O7930" s="5"/>
      <c r="P7930" s="5"/>
      <c r="Q7930" s="21">
        <v>0</v>
      </c>
      <c r="R7930" s="21">
        <v>0</v>
      </c>
      <c r="S7930" s="5">
        <f t="shared" si="495"/>
        <v>61615.018732351004</v>
      </c>
      <c r="T7930" cm="1">
        <f t="array" ref="T7930">IF(OR(B7930="MAL ALIMI", B7930="ÜRETİM GİRİŞ"), MIN(I7930, MAX(0, I7930 + SUM(SUMIFS($I$1:I7929, $C$1:C7929, C7930, $B$1:B7929, {"MAL ALIMI","ÜRETİM GİRİŞ"})) - VLOOKUP(C7930, 'STOK RAPORU'!$C$2:$I$1000, 4, 0))), 0)</f>
        <v>0</v>
      </c>
      <c r="U7930" s="22">
        <f t="shared" si="496"/>
        <v>0</v>
      </c>
      <c r="V7930">
        <f t="shared" si="497"/>
        <v>0</v>
      </c>
      <c r="W7930" s="22">
        <f t="shared" si="498"/>
        <v>0</v>
      </c>
    </row>
    <row r="7931" spans="1:23" hidden="1" x14ac:dyDescent="0.25">
      <c r="A7931" s="3">
        <v>46198</v>
      </c>
      <c r="B7931" s="46" t="s">
        <v>334</v>
      </c>
      <c r="C7931" s="4" t="s">
        <v>1428</v>
      </c>
      <c r="D7931" s="4"/>
      <c r="E7931" s="4" t="s">
        <v>921</v>
      </c>
      <c r="F7931" s="4" t="s">
        <v>3754</v>
      </c>
      <c r="G7931" s="4" t="s">
        <v>336</v>
      </c>
      <c r="H7931" s="4" t="s">
        <v>380</v>
      </c>
      <c r="I7931" s="4">
        <v>0.1</v>
      </c>
      <c r="J7931" s="21">
        <v>800</v>
      </c>
      <c r="K7931" s="21">
        <v>80</v>
      </c>
      <c r="L7931" s="5">
        <v>0</v>
      </c>
      <c r="M7931" s="4"/>
      <c r="N7931" s="4"/>
      <c r="O7931" s="5"/>
      <c r="P7931" s="5"/>
      <c r="Q7931" s="21">
        <v>0</v>
      </c>
      <c r="R7931" s="21">
        <v>0</v>
      </c>
      <c r="S7931" s="5">
        <f t="shared" si="495"/>
        <v>61615.018732351004</v>
      </c>
      <c r="T7931" cm="1">
        <f t="array" ref="T7931">IF(OR(B7931="MAL ALIMI", B7931="ÜRETİM GİRİŞ"), MIN(I7931, MAX(0, I7931 + SUM(SUMIFS($I$1:I7930, $C$1:C7930, C7931, $B$1:B7930, {"MAL ALIMI","ÜRETİM GİRİŞ"})) - VLOOKUP(C7931, 'STOK RAPORU'!$C$2:$I$1000, 4, 0))), 0)</f>
        <v>0</v>
      </c>
      <c r="U7931" s="22">
        <f t="shared" si="496"/>
        <v>0</v>
      </c>
      <c r="V7931">
        <f t="shared" si="497"/>
        <v>0</v>
      </c>
      <c r="W7931" s="22">
        <f t="shared" si="498"/>
        <v>0</v>
      </c>
    </row>
    <row r="7932" spans="1:23" hidden="1" x14ac:dyDescent="0.25">
      <c r="A7932" s="3">
        <v>46198</v>
      </c>
      <c r="B7932" s="46" t="s">
        <v>334</v>
      </c>
      <c r="C7932" s="4" t="s">
        <v>130</v>
      </c>
      <c r="D7932" s="4"/>
      <c r="E7932" s="4" t="s">
        <v>921</v>
      </c>
      <c r="F7932" s="4" t="s">
        <v>3754</v>
      </c>
      <c r="G7932" s="4" t="s">
        <v>336</v>
      </c>
      <c r="H7932" s="4" t="s">
        <v>380</v>
      </c>
      <c r="I7932" s="4">
        <v>0.1</v>
      </c>
      <c r="J7932" s="21">
        <v>500</v>
      </c>
      <c r="K7932" s="21">
        <v>50</v>
      </c>
      <c r="L7932" s="5">
        <v>0</v>
      </c>
      <c r="M7932" s="4"/>
      <c r="N7932" s="4"/>
      <c r="O7932" s="5"/>
      <c r="P7932" s="5"/>
      <c r="Q7932" s="21">
        <v>0</v>
      </c>
      <c r="R7932" s="21">
        <v>0</v>
      </c>
      <c r="S7932" s="5">
        <f t="shared" si="495"/>
        <v>61615.018732351004</v>
      </c>
      <c r="T7932" cm="1">
        <f t="array" ref="T7932">IF(OR(B7932="MAL ALIMI", B7932="ÜRETİM GİRİŞ"), MIN(I7932, MAX(0, I7932 + SUM(SUMIFS($I$1:I7931, $C$1:C7931, C7932, $B$1:B7931, {"MAL ALIMI","ÜRETİM GİRİŞ"})) - VLOOKUP(C7932, 'STOK RAPORU'!$C$2:$I$1000, 4, 0))), 0)</f>
        <v>0</v>
      </c>
      <c r="U7932" s="22">
        <f t="shared" si="496"/>
        <v>0</v>
      </c>
      <c r="V7932">
        <f t="shared" si="497"/>
        <v>0</v>
      </c>
      <c r="W7932" s="22">
        <f t="shared" si="498"/>
        <v>0</v>
      </c>
    </row>
    <row r="7933" spans="1:23" hidden="1" x14ac:dyDescent="0.25">
      <c r="A7933" s="3">
        <v>46198</v>
      </c>
      <c r="B7933" s="46" t="s">
        <v>334</v>
      </c>
      <c r="C7933" s="4" t="s">
        <v>697</v>
      </c>
      <c r="D7933" s="4"/>
      <c r="E7933" s="4" t="s">
        <v>921</v>
      </c>
      <c r="F7933" s="4" t="s">
        <v>3754</v>
      </c>
      <c r="G7933" s="4" t="s">
        <v>336</v>
      </c>
      <c r="H7933" s="4" t="s">
        <v>380</v>
      </c>
      <c r="I7933" s="4">
        <v>0.1</v>
      </c>
      <c r="J7933" s="21">
        <v>500</v>
      </c>
      <c r="K7933" s="21">
        <v>50</v>
      </c>
      <c r="L7933" s="5">
        <v>0</v>
      </c>
      <c r="M7933" s="4"/>
      <c r="N7933" s="4"/>
      <c r="O7933" s="5"/>
      <c r="P7933" s="5"/>
      <c r="Q7933" s="21">
        <v>0</v>
      </c>
      <c r="R7933" s="21">
        <v>0</v>
      </c>
      <c r="S7933" s="5">
        <f t="shared" si="495"/>
        <v>61615.018732351004</v>
      </c>
      <c r="T7933" cm="1">
        <f t="array" ref="T7933">IF(OR(B7933="MAL ALIMI", B7933="ÜRETİM GİRİŞ"), MIN(I7933, MAX(0, I7933 + SUM(SUMIFS($I$1:I7932, $C$1:C7932, C7933, $B$1:B7932, {"MAL ALIMI","ÜRETİM GİRİŞ"})) - VLOOKUP(C7933, 'STOK RAPORU'!$C$2:$I$1000, 4, 0))), 0)</f>
        <v>0</v>
      </c>
      <c r="U7933" s="22">
        <f t="shared" si="496"/>
        <v>0</v>
      </c>
      <c r="V7933">
        <f t="shared" si="497"/>
        <v>0</v>
      </c>
      <c r="W7933" s="22">
        <f t="shared" si="498"/>
        <v>0</v>
      </c>
    </row>
    <row r="7934" spans="1:23" hidden="1" x14ac:dyDescent="0.25">
      <c r="A7934" s="3">
        <v>46198</v>
      </c>
      <c r="B7934" s="4" t="s">
        <v>285</v>
      </c>
      <c r="C7934" s="4"/>
      <c r="D7934" s="4" t="s">
        <v>113</v>
      </c>
      <c r="E7934" s="4"/>
      <c r="F7934" s="4"/>
      <c r="G7934" s="4" t="s">
        <v>3743</v>
      </c>
      <c r="H7934" s="4" t="s">
        <v>289</v>
      </c>
      <c r="I7934" s="4">
        <v>1</v>
      </c>
      <c r="J7934" s="21">
        <v>2000</v>
      </c>
      <c r="K7934" s="21">
        <v>0</v>
      </c>
      <c r="L7934" s="5">
        <v>0</v>
      </c>
      <c r="M7934" s="4"/>
      <c r="N7934" s="4"/>
      <c r="O7934" s="5"/>
      <c r="P7934" s="5"/>
      <c r="Q7934" s="21">
        <v>0</v>
      </c>
      <c r="R7934" s="21">
        <v>2000</v>
      </c>
      <c r="S7934" s="5">
        <f t="shared" si="495"/>
        <v>59615.018732351004</v>
      </c>
      <c r="T7934" cm="1">
        <f t="array" ref="T7934">IF(OR(B7934="MAL ALIMI", B7934="ÜRETİM GİRİŞ"), MIN(I7934, MAX(0, I7934 + SUM(SUMIFS($I$1:I7933, $C$1:C7933, C7934, $B$1:B7933, {"MAL ALIMI","ÜRETİM GİRİŞ"})) - VLOOKUP(C7934, 'STOK RAPORU'!$C$2:$I$1000, 4, 0))), 0)</f>
        <v>0</v>
      </c>
      <c r="U7934" s="22">
        <f t="shared" si="496"/>
        <v>0</v>
      </c>
      <c r="V7934">
        <f t="shared" si="497"/>
        <v>0</v>
      </c>
      <c r="W7934" s="22">
        <f t="shared" si="498"/>
        <v>0</v>
      </c>
    </row>
    <row r="7935" spans="1:23" hidden="1" x14ac:dyDescent="0.25">
      <c r="A7935" s="3">
        <v>46199</v>
      </c>
      <c r="B7935" s="46" t="s">
        <v>334</v>
      </c>
      <c r="C7935" s="4" t="s">
        <v>977</v>
      </c>
      <c r="D7935" s="4"/>
      <c r="E7935" s="4" t="s">
        <v>921</v>
      </c>
      <c r="F7935" s="4" t="s">
        <v>3752</v>
      </c>
      <c r="G7935" s="4" t="s">
        <v>336</v>
      </c>
      <c r="H7935" s="4" t="s">
        <v>380</v>
      </c>
      <c r="I7935" s="4">
        <v>0.57187500000000002</v>
      </c>
      <c r="J7935" s="21">
        <v>298</v>
      </c>
      <c r="K7935" s="21">
        <v>170.41875000000002</v>
      </c>
      <c r="L7935" s="5">
        <v>0</v>
      </c>
      <c r="M7935" s="4"/>
      <c r="N7935" s="4"/>
      <c r="O7935" s="5"/>
      <c r="P7935" s="5"/>
      <c r="Q7935" s="21">
        <v>0</v>
      </c>
      <c r="R7935" s="21">
        <v>0</v>
      </c>
      <c r="S7935" s="5">
        <f t="shared" si="495"/>
        <v>59615.018732351004</v>
      </c>
      <c r="T7935" cm="1">
        <f t="array" ref="T7935">IF(OR(B7935="MAL ALIMI", B7935="ÜRETİM GİRİŞ"), MIN(I7935, MAX(0, I7935 + SUM(SUMIFS($I$1:I7934, $C$1:C7934, C7935, $B$1:B7934, {"MAL ALIMI","ÜRETİM GİRİŞ"})) - VLOOKUP(C7935, 'STOK RAPORU'!$C$2:$I$1000, 4, 0))), 0)</f>
        <v>0</v>
      </c>
      <c r="U7935" s="22">
        <f t="shared" si="496"/>
        <v>0</v>
      </c>
      <c r="V7935">
        <f t="shared" si="497"/>
        <v>0</v>
      </c>
      <c r="W7935" s="22">
        <f t="shared" si="498"/>
        <v>0</v>
      </c>
    </row>
    <row r="7936" spans="1:23" hidden="1" x14ac:dyDescent="0.25">
      <c r="A7936" s="3">
        <v>46199</v>
      </c>
      <c r="B7936" s="46" t="s">
        <v>334</v>
      </c>
      <c r="C7936" s="4" t="s">
        <v>157</v>
      </c>
      <c r="D7936" s="4"/>
      <c r="E7936" s="4"/>
      <c r="F7936" s="4" t="s">
        <v>3753</v>
      </c>
      <c r="G7936" s="4" t="s">
        <v>336</v>
      </c>
      <c r="H7936" s="4" t="s">
        <v>289</v>
      </c>
      <c r="I7936" s="4">
        <v>1</v>
      </c>
      <c r="J7936" s="21">
        <v>200</v>
      </c>
      <c r="K7936" s="21">
        <v>0</v>
      </c>
      <c r="L7936" s="5">
        <v>0</v>
      </c>
      <c r="M7936" s="4"/>
      <c r="N7936" s="4"/>
      <c r="O7936" s="5"/>
      <c r="P7936" s="5"/>
      <c r="Q7936" s="21">
        <v>200</v>
      </c>
      <c r="R7936" s="21">
        <v>0</v>
      </c>
      <c r="S7936" s="5">
        <f t="shared" si="495"/>
        <v>59815.018732351004</v>
      </c>
      <c r="T7936" cm="1">
        <f t="array" ref="T7936">IF(OR(B7936="MAL ALIMI", B7936="ÜRETİM GİRİŞ"), MIN(I7936, MAX(0, I7936 + SUM(SUMIFS($I$1:I7935, $C$1:C7935, C7936, $B$1:B7935, {"MAL ALIMI","ÜRETİM GİRİŞ"})) - VLOOKUP(C7936, 'STOK RAPORU'!$C$2:$I$1000, 4, 0))), 0)</f>
        <v>0</v>
      </c>
      <c r="U7936" s="22">
        <f t="shared" si="496"/>
        <v>0</v>
      </c>
      <c r="V7936">
        <f t="shared" si="497"/>
        <v>0</v>
      </c>
      <c r="W7936" s="22">
        <f t="shared" si="498"/>
        <v>0</v>
      </c>
    </row>
    <row r="7937" spans="1:23" hidden="1" x14ac:dyDescent="0.25">
      <c r="A7937" s="3">
        <v>46199</v>
      </c>
      <c r="B7937" s="46" t="s">
        <v>334</v>
      </c>
      <c r="C7937" s="4" t="s">
        <v>158</v>
      </c>
      <c r="D7937" s="4"/>
      <c r="E7937" s="4"/>
      <c r="F7937" s="4" t="s">
        <v>3754</v>
      </c>
      <c r="G7937" s="4" t="s">
        <v>336</v>
      </c>
      <c r="H7937" s="4" t="s">
        <v>289</v>
      </c>
      <c r="I7937" s="4">
        <v>1</v>
      </c>
      <c r="J7937" s="21">
        <v>150</v>
      </c>
      <c r="K7937" s="21">
        <v>0</v>
      </c>
      <c r="L7937" s="5">
        <v>0</v>
      </c>
      <c r="M7937" s="4"/>
      <c r="N7937" s="4"/>
      <c r="O7937" s="5"/>
      <c r="P7937" s="5"/>
      <c r="Q7937" s="21">
        <v>150</v>
      </c>
      <c r="R7937" s="21">
        <v>0</v>
      </c>
      <c r="S7937" s="5">
        <f t="shared" si="495"/>
        <v>59965.018732351004</v>
      </c>
      <c r="T7937" cm="1">
        <f t="array" ref="T7937">IF(OR(B7937="MAL ALIMI", B7937="ÜRETİM GİRİŞ"), MIN(I7937, MAX(0, I7937 + SUM(SUMIFS($I$1:I7936, $C$1:C7936, C7937, $B$1:B7936, {"MAL ALIMI","ÜRETİM GİRİŞ"})) - VLOOKUP(C7937, 'STOK RAPORU'!$C$2:$I$1000, 4, 0))), 0)</f>
        <v>0</v>
      </c>
      <c r="U7937" s="22">
        <f t="shared" si="496"/>
        <v>0</v>
      </c>
      <c r="V7937">
        <f t="shared" si="497"/>
        <v>0</v>
      </c>
      <c r="W7937" s="22">
        <f t="shared" si="498"/>
        <v>0</v>
      </c>
    </row>
    <row r="7938" spans="1:23" hidden="1" x14ac:dyDescent="0.25">
      <c r="A7938" s="3">
        <v>46199</v>
      </c>
      <c r="B7938" s="46" t="s">
        <v>334</v>
      </c>
      <c r="C7938" s="4" t="s">
        <v>167</v>
      </c>
      <c r="D7938" s="4"/>
      <c r="E7938" s="4" t="s">
        <v>921</v>
      </c>
      <c r="F7938" s="4" t="s">
        <v>3757</v>
      </c>
      <c r="G7938" s="4" t="s">
        <v>336</v>
      </c>
      <c r="H7938" s="4" t="s">
        <v>380</v>
      </c>
      <c r="I7938" s="4">
        <v>1</v>
      </c>
      <c r="J7938" s="21">
        <v>250</v>
      </c>
      <c r="K7938" s="21">
        <v>250</v>
      </c>
      <c r="L7938" s="5">
        <v>0</v>
      </c>
      <c r="M7938" s="4"/>
      <c r="N7938" s="4"/>
      <c r="O7938" s="5"/>
      <c r="P7938" s="5"/>
      <c r="Q7938" s="21">
        <v>0</v>
      </c>
      <c r="R7938" s="21">
        <v>0</v>
      </c>
      <c r="S7938" s="5">
        <f t="shared" si="495"/>
        <v>59965.018732351004</v>
      </c>
      <c r="T7938" cm="1">
        <f t="array" ref="T7938">IF(OR(B7938="MAL ALIMI", B7938="ÜRETİM GİRİŞ"), MIN(I7938, MAX(0, I7938 + SUM(SUMIFS($I$1:I7937, $C$1:C7937, C7938, $B$1:B7937, {"MAL ALIMI","ÜRETİM GİRİŞ"})) - VLOOKUP(C7938, 'STOK RAPORU'!$C$2:$I$1000, 4, 0))), 0)</f>
        <v>0</v>
      </c>
      <c r="U7938" s="22">
        <f t="shared" si="496"/>
        <v>0</v>
      </c>
      <c r="V7938">
        <f t="shared" si="497"/>
        <v>0</v>
      </c>
      <c r="W7938" s="22">
        <f t="shared" si="498"/>
        <v>0</v>
      </c>
    </row>
    <row r="7939" spans="1:23" hidden="1" x14ac:dyDescent="0.25">
      <c r="A7939" s="3">
        <v>46199</v>
      </c>
      <c r="B7939" s="46" t="s">
        <v>334</v>
      </c>
      <c r="C7939" s="4" t="s">
        <v>1896</v>
      </c>
      <c r="D7939" s="4"/>
      <c r="E7939" s="4" t="s">
        <v>921</v>
      </c>
      <c r="F7939" s="4" t="s">
        <v>3758</v>
      </c>
      <c r="G7939" s="4" t="s">
        <v>336</v>
      </c>
      <c r="H7939" s="4" t="s">
        <v>380</v>
      </c>
      <c r="I7939" s="4">
        <v>0.1</v>
      </c>
      <c r="J7939" s="21">
        <v>400</v>
      </c>
      <c r="K7939" s="21">
        <v>40</v>
      </c>
      <c r="L7939" s="5">
        <v>0</v>
      </c>
      <c r="M7939" s="4"/>
      <c r="N7939" s="4"/>
      <c r="O7939" s="5"/>
      <c r="P7939" s="5"/>
      <c r="Q7939" s="21">
        <v>0</v>
      </c>
      <c r="R7939" s="21">
        <v>0</v>
      </c>
      <c r="S7939" s="5">
        <f t="shared" si="495"/>
        <v>59965.018732351004</v>
      </c>
      <c r="T7939" cm="1">
        <f t="array" ref="T7939">IF(OR(B7939="MAL ALIMI", B7939="ÜRETİM GİRİŞ"), MIN(I7939, MAX(0, I7939 + SUM(SUMIFS($I$1:I7938, $C$1:C7938, C7939, $B$1:B7938, {"MAL ALIMI","ÜRETİM GİRİŞ"})) - VLOOKUP(C7939, 'STOK RAPORU'!$C$2:$I$1000, 4, 0))), 0)</f>
        <v>0</v>
      </c>
      <c r="U7939" s="22">
        <f t="shared" si="496"/>
        <v>0</v>
      </c>
      <c r="V7939">
        <f t="shared" si="497"/>
        <v>0</v>
      </c>
      <c r="W7939" s="22">
        <f t="shared" si="498"/>
        <v>0</v>
      </c>
    </row>
    <row r="7940" spans="1:23" hidden="1" x14ac:dyDescent="0.25">
      <c r="A7940" s="3">
        <v>46199</v>
      </c>
      <c r="B7940" s="46" t="s">
        <v>334</v>
      </c>
      <c r="C7940" s="4" t="s">
        <v>1501</v>
      </c>
      <c r="D7940" s="4"/>
      <c r="E7940" s="4"/>
      <c r="F7940" s="4" t="s">
        <v>3759</v>
      </c>
      <c r="G7940" s="4" t="s">
        <v>336</v>
      </c>
      <c r="H7940" s="4" t="s">
        <v>289</v>
      </c>
      <c r="I7940" s="4">
        <v>2</v>
      </c>
      <c r="J7940" s="21">
        <v>700</v>
      </c>
      <c r="K7940" s="21">
        <v>0</v>
      </c>
      <c r="L7940" s="5">
        <v>0</v>
      </c>
      <c r="M7940" s="4"/>
      <c r="N7940" s="4"/>
      <c r="O7940" s="5"/>
      <c r="P7940" s="5"/>
      <c r="Q7940" s="21">
        <v>1400</v>
      </c>
      <c r="R7940" s="21">
        <v>0</v>
      </c>
      <c r="S7940" s="5">
        <f t="shared" si="495"/>
        <v>61365.018732351004</v>
      </c>
      <c r="T7940" cm="1">
        <f t="array" ref="T7940">IF(OR(B7940="MAL ALIMI", B7940="ÜRETİM GİRİŞ"), MIN(I7940, MAX(0, I7940 + SUM(SUMIFS($I$1:I7939, $C$1:C7939, C7940, $B$1:B7939, {"MAL ALIMI","ÜRETİM GİRİŞ"})) - VLOOKUP(C7940, 'STOK RAPORU'!$C$2:$I$1000, 4, 0))), 0)</f>
        <v>0</v>
      </c>
      <c r="U7940" s="22">
        <f t="shared" si="496"/>
        <v>0</v>
      </c>
      <c r="V7940">
        <f t="shared" si="497"/>
        <v>0</v>
      </c>
      <c r="W7940" s="22">
        <f t="shared" si="498"/>
        <v>0</v>
      </c>
    </row>
    <row r="7941" spans="1:23" hidden="1" x14ac:dyDescent="0.25">
      <c r="A7941" s="3">
        <v>46199</v>
      </c>
      <c r="B7941" s="46" t="s">
        <v>334</v>
      </c>
      <c r="C7941" s="4" t="s">
        <v>1501</v>
      </c>
      <c r="D7941" s="4"/>
      <c r="E7941" s="4"/>
      <c r="F7941" s="4" t="s">
        <v>3759</v>
      </c>
      <c r="G7941" s="4" t="s">
        <v>1772</v>
      </c>
      <c r="H7941" s="42" t="s">
        <v>289</v>
      </c>
      <c r="I7941" s="4">
        <v>2</v>
      </c>
      <c r="J7941" s="21">
        <v>700</v>
      </c>
      <c r="K7941" s="5">
        <v>0</v>
      </c>
      <c r="L7941" s="5">
        <v>0</v>
      </c>
      <c r="M7941" s="4"/>
      <c r="N7941" s="4"/>
      <c r="O7941" s="5"/>
      <c r="P7941" s="5"/>
      <c r="Q7941" s="21">
        <v>1400</v>
      </c>
      <c r="R7941" s="21">
        <v>0</v>
      </c>
      <c r="S7941" s="5">
        <f t="shared" ref="S7941:S8004" si="499">S7940+Q7941-R7941</f>
        <v>62765.018732351004</v>
      </c>
      <c r="T7941" cm="1">
        <f t="array" ref="T7941">IF(OR(B7941="MAL ALIMI", B7941="ÜRETİM GİRİŞ"), MIN(I7941, MAX(0, I7941 + SUM(SUMIFS($I$1:I7940, $C$1:C7940, C7941, $B$1:B7940, {"MAL ALIMI","ÜRETİM GİRİŞ"})) - VLOOKUP(C7941, 'STOK RAPORU'!$C$2:$I$1000, 4, 0))), 0)</f>
        <v>0</v>
      </c>
      <c r="U7941" s="22">
        <f t="shared" si="496"/>
        <v>0</v>
      </c>
      <c r="V7941">
        <f t="shared" si="497"/>
        <v>0</v>
      </c>
      <c r="W7941" s="22">
        <f t="shared" si="498"/>
        <v>0</v>
      </c>
    </row>
    <row r="7942" spans="1:23" hidden="1" x14ac:dyDescent="0.25">
      <c r="A7942" s="3">
        <v>46200</v>
      </c>
      <c r="B7942" s="46" t="s">
        <v>334</v>
      </c>
      <c r="C7942" s="4" t="s">
        <v>2125</v>
      </c>
      <c r="D7942" s="4"/>
      <c r="E7942" s="4" t="s">
        <v>921</v>
      </c>
      <c r="F7942" s="4" t="s">
        <v>3760</v>
      </c>
      <c r="G7942" s="4" t="s">
        <v>336</v>
      </c>
      <c r="H7942" s="4" t="s">
        <v>380</v>
      </c>
      <c r="I7942" s="4">
        <v>0.15405405405405406</v>
      </c>
      <c r="J7942" s="21">
        <v>370</v>
      </c>
      <c r="K7942" s="21">
        <v>57</v>
      </c>
      <c r="L7942" s="5">
        <v>0</v>
      </c>
      <c r="M7942" s="4"/>
      <c r="N7942" s="4"/>
      <c r="O7942" s="5"/>
      <c r="P7942" s="5"/>
      <c r="Q7942" s="21">
        <v>0</v>
      </c>
      <c r="R7942" s="21">
        <v>0</v>
      </c>
      <c r="S7942" s="5">
        <f t="shared" si="499"/>
        <v>62765.018732351004</v>
      </c>
      <c r="T7942" cm="1">
        <f t="array" ref="T7942">IF(OR(B7942="MAL ALIMI", B7942="ÜRETİM GİRİŞ"), MIN(I7942, MAX(0, I7942 + SUM(SUMIFS($I$1:I7941, $C$1:C7941, C7942, $B$1:B7941, {"MAL ALIMI","ÜRETİM GİRİŞ"})) - VLOOKUP(C7942, 'STOK RAPORU'!$C$2:$I$1000, 4, 0))), 0)</f>
        <v>0</v>
      </c>
      <c r="U7942" s="22">
        <f t="shared" si="496"/>
        <v>0</v>
      </c>
      <c r="V7942">
        <f t="shared" si="497"/>
        <v>0</v>
      </c>
      <c r="W7942" s="22">
        <f t="shared" si="498"/>
        <v>0</v>
      </c>
    </row>
    <row r="7943" spans="1:23" hidden="1" x14ac:dyDescent="0.25">
      <c r="A7943" s="3">
        <v>46200</v>
      </c>
      <c r="B7943" s="46" t="s">
        <v>334</v>
      </c>
      <c r="C7943" s="4" t="s">
        <v>1359</v>
      </c>
      <c r="D7943" s="4"/>
      <c r="E7943" s="4" t="s">
        <v>921</v>
      </c>
      <c r="F7943" s="4" t="s">
        <v>3760</v>
      </c>
      <c r="G7943" s="4" t="s">
        <v>336</v>
      </c>
      <c r="H7943" s="4" t="s">
        <v>380</v>
      </c>
      <c r="I7943" s="4">
        <v>0.154</v>
      </c>
      <c r="J7943" s="21">
        <v>475</v>
      </c>
      <c r="K7943" s="21">
        <v>73.150000000000006</v>
      </c>
      <c r="L7943" s="5">
        <v>0</v>
      </c>
      <c r="M7943" s="4"/>
      <c r="N7943" s="4"/>
      <c r="O7943" s="5"/>
      <c r="P7943" s="5"/>
      <c r="Q7943" s="21">
        <v>0</v>
      </c>
      <c r="R7943" s="21">
        <v>0</v>
      </c>
      <c r="S7943" s="5">
        <f t="shared" si="499"/>
        <v>62765.018732351004</v>
      </c>
      <c r="T7943" cm="1">
        <f t="array" ref="T7943">IF(OR(B7943="MAL ALIMI", B7943="ÜRETİM GİRİŞ"), MIN(I7943, MAX(0, I7943 + SUM(SUMIFS($I$1:I7942, $C$1:C7942, C7943, $B$1:B7942, {"MAL ALIMI","ÜRETİM GİRİŞ"})) - VLOOKUP(C7943, 'STOK RAPORU'!$C$2:$I$1000, 4, 0))), 0)</f>
        <v>0</v>
      </c>
      <c r="U7943" s="22">
        <f t="shared" si="496"/>
        <v>0</v>
      </c>
      <c r="V7943">
        <f t="shared" si="497"/>
        <v>0</v>
      </c>
      <c r="W7943" s="22">
        <f t="shared" si="498"/>
        <v>0</v>
      </c>
    </row>
    <row r="7944" spans="1:23" hidden="1" x14ac:dyDescent="0.25">
      <c r="A7944" s="3">
        <v>46200</v>
      </c>
      <c r="B7944" s="46" t="s">
        <v>334</v>
      </c>
      <c r="C7944" s="4" t="s">
        <v>132</v>
      </c>
      <c r="D7944" s="4"/>
      <c r="E7944" s="4" t="s">
        <v>921</v>
      </c>
      <c r="F7944" s="4" t="s">
        <v>3761</v>
      </c>
      <c r="G7944" s="4" t="s">
        <v>336</v>
      </c>
      <c r="H7944" s="4" t="s">
        <v>380</v>
      </c>
      <c r="I7944" s="4">
        <v>0.11</v>
      </c>
      <c r="J7944" s="21">
        <v>500</v>
      </c>
      <c r="K7944" s="21">
        <v>55</v>
      </c>
      <c r="L7944" s="5">
        <v>0</v>
      </c>
      <c r="M7944" s="4"/>
      <c r="N7944" s="4"/>
      <c r="O7944" s="5"/>
      <c r="P7944" s="5"/>
      <c r="Q7944" s="21">
        <v>0</v>
      </c>
      <c r="R7944" s="21">
        <v>0</v>
      </c>
      <c r="S7944" s="5">
        <f t="shared" si="499"/>
        <v>62765.018732351004</v>
      </c>
      <c r="T7944" cm="1">
        <f t="array" ref="T7944">IF(OR(B7944="MAL ALIMI", B7944="ÜRETİM GİRİŞ"), MIN(I7944, MAX(0, I7944 + SUM(SUMIFS($I$1:I7943, $C$1:C7943, C7944, $B$1:B7943, {"MAL ALIMI","ÜRETİM GİRİŞ"})) - VLOOKUP(C7944, 'STOK RAPORU'!$C$2:$I$1000, 4, 0))), 0)</f>
        <v>0</v>
      </c>
      <c r="U7944" s="22">
        <f t="shared" si="496"/>
        <v>0</v>
      </c>
      <c r="V7944">
        <f t="shared" si="497"/>
        <v>0</v>
      </c>
      <c r="W7944" s="22">
        <f t="shared" si="498"/>
        <v>0</v>
      </c>
    </row>
    <row r="7945" spans="1:23" hidden="1" x14ac:dyDescent="0.25">
      <c r="A7945" s="3">
        <v>46200</v>
      </c>
      <c r="B7945" s="46" t="s">
        <v>334</v>
      </c>
      <c r="C7945" s="4" t="s">
        <v>463</v>
      </c>
      <c r="D7945" s="4"/>
      <c r="E7945" s="4" t="s">
        <v>921</v>
      </c>
      <c r="F7945" s="4" t="s">
        <v>3761</v>
      </c>
      <c r="G7945" s="4" t="s">
        <v>336</v>
      </c>
      <c r="H7945" s="4" t="s">
        <v>380</v>
      </c>
      <c r="I7945" s="4">
        <v>0.16750000000000001</v>
      </c>
      <c r="J7945" s="21">
        <v>400</v>
      </c>
      <c r="K7945" s="21">
        <v>67</v>
      </c>
      <c r="L7945" s="5">
        <v>0</v>
      </c>
      <c r="M7945" s="4"/>
      <c r="N7945" s="4"/>
      <c r="O7945" s="5"/>
      <c r="P7945" s="5"/>
      <c r="Q7945" s="21">
        <v>0</v>
      </c>
      <c r="R7945" s="21">
        <v>0</v>
      </c>
      <c r="S7945" s="5">
        <f t="shared" si="499"/>
        <v>62765.018732351004</v>
      </c>
      <c r="T7945" cm="1">
        <f t="array" ref="T7945">IF(OR(B7945="MAL ALIMI", B7945="ÜRETİM GİRİŞ"), MIN(I7945, MAX(0, I7945 + SUM(SUMIFS($I$1:I7944, $C$1:C7944, C7945, $B$1:B7944, {"MAL ALIMI","ÜRETİM GİRİŞ"})) - VLOOKUP(C7945, 'STOK RAPORU'!$C$2:$I$1000, 4, 0))), 0)</f>
        <v>0</v>
      </c>
      <c r="U7945" s="22">
        <f t="shared" si="496"/>
        <v>0</v>
      </c>
      <c r="V7945">
        <f t="shared" si="497"/>
        <v>0</v>
      </c>
      <c r="W7945" s="22">
        <f t="shared" si="498"/>
        <v>0</v>
      </c>
    </row>
    <row r="7946" spans="1:23" hidden="1" x14ac:dyDescent="0.25">
      <c r="A7946" s="3">
        <v>46200</v>
      </c>
      <c r="B7946" s="46" t="s">
        <v>334</v>
      </c>
      <c r="C7946" s="4" t="s">
        <v>1357</v>
      </c>
      <c r="D7946" s="4"/>
      <c r="E7946" s="4" t="s">
        <v>921</v>
      </c>
      <c r="F7946" s="4" t="s">
        <v>3761</v>
      </c>
      <c r="G7946" s="4" t="s">
        <v>336</v>
      </c>
      <c r="H7946" s="4" t="s">
        <v>380</v>
      </c>
      <c r="I7946" s="4">
        <v>0.25142857142857145</v>
      </c>
      <c r="J7946" s="21">
        <v>700</v>
      </c>
      <c r="K7946" s="21">
        <v>176</v>
      </c>
      <c r="L7946" s="5">
        <v>0</v>
      </c>
      <c r="M7946" s="4"/>
      <c r="N7946" s="4"/>
      <c r="O7946" s="5"/>
      <c r="P7946" s="5"/>
      <c r="Q7946" s="21">
        <v>0</v>
      </c>
      <c r="R7946" s="21">
        <v>0</v>
      </c>
      <c r="S7946" s="5">
        <f t="shared" si="499"/>
        <v>62765.018732351004</v>
      </c>
      <c r="T7946" cm="1">
        <f t="array" ref="T7946">IF(OR(B7946="MAL ALIMI", B7946="ÜRETİM GİRİŞ"), MIN(I7946, MAX(0, I7946 + SUM(SUMIFS($I$1:I7945, $C$1:C7945, C7946, $B$1:B7945, {"MAL ALIMI","ÜRETİM GİRİŞ"})) - VLOOKUP(C7946, 'STOK RAPORU'!$C$2:$I$1000, 4, 0))), 0)</f>
        <v>0</v>
      </c>
      <c r="U7946" s="22">
        <f t="shared" si="496"/>
        <v>0</v>
      </c>
      <c r="V7946">
        <f t="shared" si="497"/>
        <v>0</v>
      </c>
      <c r="W7946" s="22">
        <f t="shared" si="498"/>
        <v>0</v>
      </c>
    </row>
    <row r="7947" spans="1:23" hidden="1" x14ac:dyDescent="0.25">
      <c r="A7947" s="3">
        <v>46200</v>
      </c>
      <c r="B7947" s="46" t="s">
        <v>334</v>
      </c>
      <c r="C7947" s="4" t="s">
        <v>131</v>
      </c>
      <c r="D7947" s="4"/>
      <c r="E7947" s="4"/>
      <c r="F7947" s="4" t="s">
        <v>3762</v>
      </c>
      <c r="G7947" s="4" t="s">
        <v>336</v>
      </c>
      <c r="H7947" s="4" t="s">
        <v>289</v>
      </c>
      <c r="I7947" s="4">
        <v>3.2500000000000001E-2</v>
      </c>
      <c r="J7947" s="21">
        <v>400</v>
      </c>
      <c r="K7947" s="21">
        <v>0</v>
      </c>
      <c r="L7947" s="5">
        <v>0</v>
      </c>
      <c r="M7947" s="4"/>
      <c r="N7947" s="4"/>
      <c r="O7947" s="5"/>
      <c r="P7947" s="5"/>
      <c r="Q7947" s="21">
        <v>13</v>
      </c>
      <c r="R7947" s="21">
        <v>0</v>
      </c>
      <c r="S7947" s="5">
        <f t="shared" si="499"/>
        <v>62778.018732351004</v>
      </c>
      <c r="T7947" cm="1">
        <f t="array" ref="T7947">IF(OR(B7947="MAL ALIMI", B7947="ÜRETİM GİRİŞ"), MIN(I7947, MAX(0, I7947 + SUM(SUMIFS($I$1:I7946, $C$1:C7946, C7947, $B$1:B7946, {"MAL ALIMI","ÜRETİM GİRİŞ"})) - VLOOKUP(C7947, 'STOK RAPORU'!$C$2:$I$1000, 4, 0))), 0)</f>
        <v>0</v>
      </c>
      <c r="U7947" s="22">
        <f t="shared" si="496"/>
        <v>0</v>
      </c>
      <c r="V7947">
        <f t="shared" si="497"/>
        <v>0</v>
      </c>
      <c r="W7947" s="22">
        <f t="shared" si="498"/>
        <v>0</v>
      </c>
    </row>
    <row r="7948" spans="1:23" hidden="1" x14ac:dyDescent="0.25">
      <c r="A7948" s="3">
        <v>46200</v>
      </c>
      <c r="B7948" s="46" t="s">
        <v>334</v>
      </c>
      <c r="C7948" s="4" t="s">
        <v>695</v>
      </c>
      <c r="D7948" s="4"/>
      <c r="E7948" s="4" t="s">
        <v>921</v>
      </c>
      <c r="F7948" s="4" t="s">
        <v>3763</v>
      </c>
      <c r="G7948" s="4" t="s">
        <v>336</v>
      </c>
      <c r="H7948" s="4" t="s">
        <v>380</v>
      </c>
      <c r="I7948" s="4">
        <v>1.5</v>
      </c>
      <c r="J7948" s="21">
        <v>60</v>
      </c>
      <c r="K7948" s="21">
        <v>90</v>
      </c>
      <c r="L7948" s="5">
        <v>0</v>
      </c>
      <c r="M7948" s="4"/>
      <c r="N7948" s="4"/>
      <c r="O7948" s="5"/>
      <c r="P7948" s="5"/>
      <c r="Q7948" s="21">
        <v>0</v>
      </c>
      <c r="R7948" s="21">
        <v>0</v>
      </c>
      <c r="S7948" s="5">
        <f t="shared" si="499"/>
        <v>62778.018732351004</v>
      </c>
      <c r="T7948" cm="1">
        <f t="array" ref="T7948">IF(OR(B7948="MAL ALIMI", B7948="ÜRETİM GİRİŞ"), MIN(I7948, MAX(0, I7948 + SUM(SUMIFS($I$1:I7947, $C$1:C7947, C7948, $B$1:B7947, {"MAL ALIMI","ÜRETİM GİRİŞ"})) - VLOOKUP(C7948, 'STOK RAPORU'!$C$2:$I$1000, 4, 0))), 0)</f>
        <v>0</v>
      </c>
      <c r="U7948" s="22">
        <f t="shared" si="496"/>
        <v>0</v>
      </c>
      <c r="V7948">
        <f t="shared" si="497"/>
        <v>0</v>
      </c>
      <c r="W7948" s="22">
        <f t="shared" si="498"/>
        <v>0</v>
      </c>
    </row>
    <row r="7949" spans="1:23" hidden="1" x14ac:dyDescent="0.25">
      <c r="A7949" s="3">
        <v>46200</v>
      </c>
      <c r="B7949" s="46" t="s">
        <v>285</v>
      </c>
      <c r="C7949" s="4"/>
      <c r="D7949" s="4" t="s">
        <v>1815</v>
      </c>
      <c r="E7949" s="4"/>
      <c r="F7949" s="4"/>
      <c r="G7949" s="4" t="s">
        <v>1986</v>
      </c>
      <c r="H7949" s="4" t="s">
        <v>289</v>
      </c>
      <c r="I7949" s="4">
        <v>1</v>
      </c>
      <c r="J7949" s="21">
        <v>921.37</v>
      </c>
      <c r="K7949" s="21">
        <v>0</v>
      </c>
      <c r="L7949" s="5">
        <v>0</v>
      </c>
      <c r="M7949" s="4"/>
      <c r="N7949" s="4"/>
      <c r="O7949" s="5"/>
      <c r="P7949" s="5"/>
      <c r="Q7949" s="21">
        <v>0</v>
      </c>
      <c r="R7949" s="21">
        <v>921.37</v>
      </c>
      <c r="S7949" s="5">
        <f t="shared" si="499"/>
        <v>61856.648732351001</v>
      </c>
      <c r="T7949" cm="1">
        <f t="array" ref="T7949">IF(OR(B7949="MAL ALIMI", B7949="ÜRETİM GİRİŞ"), MIN(I7949, MAX(0, I7949 + SUM(SUMIFS($I$1:I7948, $C$1:C7948, C7949, $B$1:B7948, {"MAL ALIMI","ÜRETİM GİRİŞ"})) - VLOOKUP(C7949, 'STOK RAPORU'!$C$2:$I$1000, 4, 0))), 0)</f>
        <v>0</v>
      </c>
      <c r="U7949" s="22">
        <f t="shared" si="496"/>
        <v>0</v>
      </c>
      <c r="V7949">
        <f t="shared" si="497"/>
        <v>0</v>
      </c>
      <c r="W7949" s="22">
        <f t="shared" si="498"/>
        <v>0</v>
      </c>
    </row>
    <row r="7950" spans="1:23" hidden="1" x14ac:dyDescent="0.25">
      <c r="A7950" s="3">
        <v>46200</v>
      </c>
      <c r="B7950" s="46" t="s">
        <v>946</v>
      </c>
      <c r="C7950" s="4"/>
      <c r="D7950" s="4"/>
      <c r="E7950" s="4" t="s">
        <v>921</v>
      </c>
      <c r="F7950" s="4"/>
      <c r="G7950" s="4" t="s">
        <v>3548</v>
      </c>
      <c r="H7950" s="4" t="s">
        <v>380</v>
      </c>
      <c r="I7950" s="4">
        <v>1</v>
      </c>
      <c r="J7950" s="21">
        <v>791</v>
      </c>
      <c r="K7950" s="21">
        <v>0</v>
      </c>
      <c r="L7950" s="32">
        <v>791</v>
      </c>
      <c r="M7950" s="4"/>
      <c r="N7950" s="4"/>
      <c r="O7950" s="5"/>
      <c r="P7950" s="5"/>
      <c r="Q7950" s="21">
        <v>791</v>
      </c>
      <c r="R7950" s="21">
        <v>0</v>
      </c>
      <c r="S7950" s="5">
        <f t="shared" si="499"/>
        <v>62647.648732351001</v>
      </c>
      <c r="T7950" cm="1">
        <f t="array" ref="T7950">IF(OR(B7950="MAL ALIMI", B7950="ÜRETİM GİRİŞ"), MIN(I7950, MAX(0, I7950 + SUM(SUMIFS($I$1:I7949, $C$1:C7949, C7950, $B$1:B7949, {"MAL ALIMI","ÜRETİM GİRİŞ"})) - VLOOKUP(C7950, 'STOK RAPORU'!$C$2:$I$1000, 4, 0))), 0)</f>
        <v>0</v>
      </c>
      <c r="U7950" s="22">
        <f t="shared" si="496"/>
        <v>0</v>
      </c>
      <c r="V7950">
        <f t="shared" si="497"/>
        <v>0</v>
      </c>
      <c r="W7950" s="22">
        <f t="shared" si="498"/>
        <v>0</v>
      </c>
    </row>
    <row r="7951" spans="1:23" hidden="1" x14ac:dyDescent="0.25">
      <c r="A7951" s="3">
        <v>46200</v>
      </c>
      <c r="B7951" s="46" t="s">
        <v>285</v>
      </c>
      <c r="C7951" s="4"/>
      <c r="D7951" s="4" t="s">
        <v>673</v>
      </c>
      <c r="E7951" s="4"/>
      <c r="F7951" s="4"/>
      <c r="G7951" s="4" t="s">
        <v>3548</v>
      </c>
      <c r="H7951" s="4" t="s">
        <v>289</v>
      </c>
      <c r="I7951" s="4">
        <v>1</v>
      </c>
      <c r="J7951" s="21">
        <v>791</v>
      </c>
      <c r="K7951" s="21">
        <v>0</v>
      </c>
      <c r="L7951" s="5">
        <v>0</v>
      </c>
      <c r="M7951" s="4"/>
      <c r="N7951" s="4"/>
      <c r="O7951" s="5"/>
      <c r="P7951" s="5"/>
      <c r="Q7951" s="21">
        <v>0</v>
      </c>
      <c r="R7951" s="21">
        <v>791</v>
      </c>
      <c r="S7951" s="5">
        <f t="shared" si="499"/>
        <v>61856.648732351001</v>
      </c>
      <c r="T7951" cm="1">
        <f t="array" ref="T7951">IF(OR(B7951="MAL ALIMI", B7951="ÜRETİM GİRİŞ"), MIN(I7951, MAX(0, I7951 + SUM(SUMIFS($I$1:I7950, $C$1:C7950, C7951, $B$1:B7950, {"MAL ALIMI","ÜRETİM GİRİŞ"})) - VLOOKUP(C7951, 'STOK RAPORU'!$C$2:$I$1000, 4, 0))), 0)</f>
        <v>0</v>
      </c>
      <c r="U7951" s="22">
        <f t="shared" si="496"/>
        <v>0</v>
      </c>
      <c r="V7951">
        <f t="shared" si="497"/>
        <v>0</v>
      </c>
      <c r="W7951" s="22">
        <f t="shared" si="498"/>
        <v>0</v>
      </c>
    </row>
    <row r="7952" spans="1:23" hidden="1" x14ac:dyDescent="0.25">
      <c r="A7952" s="3">
        <v>46201</v>
      </c>
      <c r="B7952" s="46" t="s">
        <v>334</v>
      </c>
      <c r="C7952" s="4" t="s">
        <v>1357</v>
      </c>
      <c r="D7952" s="4"/>
      <c r="E7952" s="4" t="s">
        <v>921</v>
      </c>
      <c r="F7952" s="4" t="s">
        <v>3764</v>
      </c>
      <c r="G7952" s="4" t="s">
        <v>336</v>
      </c>
      <c r="H7952" s="4" t="s">
        <v>380</v>
      </c>
      <c r="I7952" s="4">
        <v>0.19742857142857143</v>
      </c>
      <c r="J7952" s="21">
        <v>700</v>
      </c>
      <c r="K7952" s="21">
        <v>138.19999999999999</v>
      </c>
      <c r="L7952" s="5">
        <v>0</v>
      </c>
      <c r="M7952" s="4"/>
      <c r="N7952" s="4"/>
      <c r="O7952" s="5"/>
      <c r="P7952" s="5"/>
      <c r="Q7952" s="21">
        <v>0</v>
      </c>
      <c r="R7952" s="21">
        <v>0</v>
      </c>
      <c r="S7952" s="5">
        <f t="shared" si="499"/>
        <v>61856.648732351001</v>
      </c>
      <c r="T7952" cm="1">
        <f t="array" ref="T7952">IF(OR(B7952="MAL ALIMI", B7952="ÜRETİM GİRİŞ"), MIN(I7952, MAX(0, I7952 + SUM(SUMIFS($I$1:I7951, $C$1:C7951, C7952, $B$1:B7951, {"MAL ALIMI","ÜRETİM GİRİŞ"})) - VLOOKUP(C7952, 'STOK RAPORU'!$C$2:$I$1000, 4, 0))), 0)</f>
        <v>0</v>
      </c>
      <c r="U7952" s="22">
        <f t="shared" si="496"/>
        <v>0</v>
      </c>
      <c r="V7952">
        <f t="shared" si="497"/>
        <v>0</v>
      </c>
      <c r="W7952" s="22">
        <f t="shared" si="498"/>
        <v>0</v>
      </c>
    </row>
    <row r="7953" spans="1:23" hidden="1" x14ac:dyDescent="0.25">
      <c r="A7953" s="3">
        <v>46201</v>
      </c>
      <c r="B7953" s="46" t="s">
        <v>334</v>
      </c>
      <c r="C7953" s="4" t="s">
        <v>266</v>
      </c>
      <c r="D7953" s="4"/>
      <c r="E7953" s="4" t="s">
        <v>921</v>
      </c>
      <c r="F7953" s="4" t="s">
        <v>3764</v>
      </c>
      <c r="G7953" s="4" t="s">
        <v>336</v>
      </c>
      <c r="H7953" s="4" t="s">
        <v>380</v>
      </c>
      <c r="I7953" s="4">
        <v>0.26800000000000002</v>
      </c>
      <c r="J7953" s="21">
        <v>250</v>
      </c>
      <c r="K7953" s="21">
        <v>67</v>
      </c>
      <c r="L7953" s="5">
        <v>0</v>
      </c>
      <c r="M7953" s="4"/>
      <c r="N7953" s="4"/>
      <c r="O7953" s="5"/>
      <c r="P7953" s="5"/>
      <c r="Q7953" s="21">
        <v>0</v>
      </c>
      <c r="R7953" s="21">
        <v>0</v>
      </c>
      <c r="S7953" s="5">
        <f t="shared" si="499"/>
        <v>61856.648732351001</v>
      </c>
      <c r="T7953" cm="1">
        <f t="array" ref="T7953">IF(OR(B7953="MAL ALIMI", B7953="ÜRETİM GİRİŞ"), MIN(I7953, MAX(0, I7953 + SUM(SUMIFS($I$1:I7952, $C$1:C7952, C7953, $B$1:B7952, {"MAL ALIMI","ÜRETİM GİRİŞ"})) - VLOOKUP(C7953, 'STOK RAPORU'!$C$2:$I$1000, 4, 0))), 0)</f>
        <v>0</v>
      </c>
      <c r="U7953" s="22">
        <f t="shared" si="496"/>
        <v>0</v>
      </c>
      <c r="V7953">
        <f t="shared" si="497"/>
        <v>0</v>
      </c>
      <c r="W7953" s="22">
        <f t="shared" si="498"/>
        <v>0</v>
      </c>
    </row>
    <row r="7954" spans="1:23" hidden="1" x14ac:dyDescent="0.25">
      <c r="A7954" s="3">
        <v>46201</v>
      </c>
      <c r="B7954" s="46" t="s">
        <v>334</v>
      </c>
      <c r="C7954" s="4" t="s">
        <v>246</v>
      </c>
      <c r="D7954" s="4"/>
      <c r="E7954" s="4" t="s">
        <v>921</v>
      </c>
      <c r="F7954" s="4" t="s">
        <v>3764</v>
      </c>
      <c r="G7954" s="4" t="s">
        <v>336</v>
      </c>
      <c r="H7954" s="4" t="s">
        <v>380</v>
      </c>
      <c r="I7954" s="4">
        <v>0.1</v>
      </c>
      <c r="J7954" s="21">
        <v>1500</v>
      </c>
      <c r="K7954" s="21">
        <v>150</v>
      </c>
      <c r="L7954" s="5">
        <v>0</v>
      </c>
      <c r="M7954" s="4"/>
      <c r="N7954" s="4"/>
      <c r="O7954" s="5"/>
      <c r="P7954" s="5"/>
      <c r="Q7954" s="21">
        <v>0</v>
      </c>
      <c r="R7954" s="21">
        <v>0</v>
      </c>
      <c r="S7954" s="5">
        <f t="shared" si="499"/>
        <v>61856.648732351001</v>
      </c>
      <c r="T7954" cm="1">
        <f t="array" ref="T7954">IF(OR(B7954="MAL ALIMI", B7954="ÜRETİM GİRİŞ"), MIN(I7954, MAX(0, I7954 + SUM(SUMIFS($I$1:I7953, $C$1:C7953, C7954, $B$1:B7953, {"MAL ALIMI","ÜRETİM GİRİŞ"})) - VLOOKUP(C7954, 'STOK RAPORU'!$C$2:$I$1000, 4, 0))), 0)</f>
        <v>0</v>
      </c>
      <c r="U7954" s="22">
        <f t="shared" si="496"/>
        <v>0</v>
      </c>
      <c r="V7954">
        <f t="shared" si="497"/>
        <v>0</v>
      </c>
      <c r="W7954" s="22">
        <f t="shared" si="498"/>
        <v>0</v>
      </c>
    </row>
    <row r="7955" spans="1:23" hidden="1" x14ac:dyDescent="0.25">
      <c r="A7955" s="3">
        <v>46201</v>
      </c>
      <c r="B7955" s="46" t="s">
        <v>334</v>
      </c>
      <c r="C7955" s="4" t="s">
        <v>523</v>
      </c>
      <c r="D7955" s="4"/>
      <c r="E7955" s="4" t="s">
        <v>921</v>
      </c>
      <c r="F7955" s="4" t="s">
        <v>3764</v>
      </c>
      <c r="G7955" s="4" t="s">
        <v>336</v>
      </c>
      <c r="H7955" s="4" t="s">
        <v>380</v>
      </c>
      <c r="I7955" s="4">
        <v>0.08</v>
      </c>
      <c r="J7955" s="21">
        <v>750</v>
      </c>
      <c r="K7955" s="21">
        <v>60</v>
      </c>
      <c r="L7955" s="5">
        <v>0</v>
      </c>
      <c r="M7955" s="4"/>
      <c r="N7955" s="4"/>
      <c r="O7955" s="5"/>
      <c r="P7955" s="5"/>
      <c r="Q7955" s="21">
        <v>0</v>
      </c>
      <c r="R7955" s="21">
        <v>0</v>
      </c>
      <c r="S7955" s="5">
        <f t="shared" si="499"/>
        <v>61856.648732351001</v>
      </c>
      <c r="T7955" cm="1">
        <f t="array" ref="T7955">IF(OR(B7955="MAL ALIMI", B7955="ÜRETİM GİRİŞ"), MIN(I7955, MAX(0, I7955 + SUM(SUMIFS($I$1:I7954, $C$1:C7954, C7955, $B$1:B7954, {"MAL ALIMI","ÜRETİM GİRİŞ"})) - VLOOKUP(C7955, 'STOK RAPORU'!$C$2:$I$1000, 4, 0))), 0)</f>
        <v>0</v>
      </c>
      <c r="U7955" s="22">
        <f t="shared" si="496"/>
        <v>0</v>
      </c>
      <c r="V7955">
        <f t="shared" si="497"/>
        <v>0</v>
      </c>
      <c r="W7955" s="22">
        <f t="shared" si="498"/>
        <v>0</v>
      </c>
    </row>
    <row r="7956" spans="1:23" hidden="1" x14ac:dyDescent="0.25">
      <c r="A7956" s="3">
        <v>46201</v>
      </c>
      <c r="B7956" s="46" t="s">
        <v>334</v>
      </c>
      <c r="C7956" s="4" t="s">
        <v>1428</v>
      </c>
      <c r="D7956" s="4"/>
      <c r="E7956" s="4" t="s">
        <v>921</v>
      </c>
      <c r="F7956" s="4" t="s">
        <v>3764</v>
      </c>
      <c r="G7956" s="4" t="s">
        <v>336</v>
      </c>
      <c r="H7956" s="4" t="s">
        <v>380</v>
      </c>
      <c r="I7956" s="4">
        <v>0.1</v>
      </c>
      <c r="J7956" s="21">
        <v>800</v>
      </c>
      <c r="K7956" s="21">
        <v>80</v>
      </c>
      <c r="L7956" s="5">
        <v>0</v>
      </c>
      <c r="M7956" s="4"/>
      <c r="N7956" s="4"/>
      <c r="O7956" s="5"/>
      <c r="P7956" s="5"/>
      <c r="Q7956" s="21">
        <v>0</v>
      </c>
      <c r="R7956" s="21">
        <v>0</v>
      </c>
      <c r="S7956" s="5">
        <f t="shared" si="499"/>
        <v>61856.648732351001</v>
      </c>
      <c r="T7956" cm="1">
        <f t="array" ref="T7956">IF(OR(B7956="MAL ALIMI", B7956="ÜRETİM GİRİŞ"), MIN(I7956, MAX(0, I7956 + SUM(SUMIFS($I$1:I7955, $C$1:C7955, C7956, $B$1:B7955, {"MAL ALIMI","ÜRETİM GİRİŞ"})) - VLOOKUP(C7956, 'STOK RAPORU'!$C$2:$I$1000, 4, 0))), 0)</f>
        <v>0</v>
      </c>
      <c r="U7956" s="22">
        <f t="shared" si="496"/>
        <v>0</v>
      </c>
      <c r="V7956">
        <f t="shared" si="497"/>
        <v>0</v>
      </c>
      <c r="W7956" s="22">
        <f t="shared" si="498"/>
        <v>0</v>
      </c>
    </row>
    <row r="7957" spans="1:23" hidden="1" x14ac:dyDescent="0.25">
      <c r="A7957" s="3">
        <v>46201</v>
      </c>
      <c r="B7957" s="46" t="s">
        <v>334</v>
      </c>
      <c r="C7957" s="4" t="s">
        <v>192</v>
      </c>
      <c r="D7957" s="4"/>
      <c r="E7957" s="4" t="s">
        <v>921</v>
      </c>
      <c r="F7957" s="4" t="s">
        <v>3764</v>
      </c>
      <c r="G7957" s="4" t="s">
        <v>336</v>
      </c>
      <c r="H7957" s="4" t="s">
        <v>380</v>
      </c>
      <c r="I7957" s="4">
        <v>0.12</v>
      </c>
      <c r="J7957" s="21">
        <v>417</v>
      </c>
      <c r="K7957" s="21">
        <v>50.04</v>
      </c>
      <c r="L7957" s="5">
        <v>0</v>
      </c>
      <c r="M7957" s="4"/>
      <c r="N7957" s="4"/>
      <c r="O7957" s="5"/>
      <c r="P7957" s="5"/>
      <c r="Q7957" s="21">
        <v>0</v>
      </c>
      <c r="R7957" s="21">
        <v>0</v>
      </c>
      <c r="S7957" s="5">
        <f t="shared" si="499"/>
        <v>61856.648732351001</v>
      </c>
      <c r="T7957" cm="1">
        <f t="array" ref="T7957">IF(OR(B7957="MAL ALIMI", B7957="ÜRETİM GİRİŞ"), MIN(I7957, MAX(0, I7957 + SUM(SUMIFS($I$1:I7956, $C$1:C7956, C7957, $B$1:B7956, {"MAL ALIMI","ÜRETİM GİRİŞ"})) - VLOOKUP(C7957, 'STOK RAPORU'!$C$2:$I$1000, 4, 0))), 0)</f>
        <v>0</v>
      </c>
      <c r="U7957" s="22">
        <f t="shared" si="496"/>
        <v>0</v>
      </c>
      <c r="V7957">
        <f t="shared" si="497"/>
        <v>0</v>
      </c>
      <c r="W7957" s="22">
        <f t="shared" si="498"/>
        <v>0</v>
      </c>
    </row>
    <row r="7958" spans="1:23" hidden="1" x14ac:dyDescent="0.25">
      <c r="A7958" s="3">
        <v>46201</v>
      </c>
      <c r="B7958" s="46" t="s">
        <v>334</v>
      </c>
      <c r="C7958" s="4" t="s">
        <v>131</v>
      </c>
      <c r="D7958" s="4"/>
      <c r="E7958" s="4" t="s">
        <v>921</v>
      </c>
      <c r="F7958" s="4" t="s">
        <v>3764</v>
      </c>
      <c r="G7958" s="4" t="s">
        <v>336</v>
      </c>
      <c r="H7958" s="4" t="s">
        <v>380</v>
      </c>
      <c r="I7958" s="4">
        <v>4.2000000000000003E-2</v>
      </c>
      <c r="J7958" s="21">
        <v>400</v>
      </c>
      <c r="K7958" s="21">
        <v>16.8</v>
      </c>
      <c r="L7958" s="5">
        <v>0</v>
      </c>
      <c r="M7958" s="4"/>
      <c r="N7958" s="4"/>
      <c r="O7958" s="5"/>
      <c r="P7958" s="5"/>
      <c r="Q7958" s="21">
        <v>0</v>
      </c>
      <c r="R7958" s="21">
        <v>0</v>
      </c>
      <c r="S7958" s="5">
        <f t="shared" si="499"/>
        <v>61856.648732351001</v>
      </c>
      <c r="T7958" cm="1">
        <f t="array" ref="T7958">IF(OR(B7958="MAL ALIMI", B7958="ÜRETİM GİRİŞ"), MIN(I7958, MAX(0, I7958 + SUM(SUMIFS($I$1:I7957, $C$1:C7957, C7958, $B$1:B7957, {"MAL ALIMI","ÜRETİM GİRİŞ"})) - VLOOKUP(C7958, 'STOK RAPORU'!$C$2:$I$1000, 4, 0))), 0)</f>
        <v>0</v>
      </c>
      <c r="U7958" s="22">
        <f t="shared" si="496"/>
        <v>0</v>
      </c>
      <c r="V7958">
        <f t="shared" si="497"/>
        <v>0</v>
      </c>
      <c r="W7958" s="22">
        <f t="shared" si="498"/>
        <v>0</v>
      </c>
    </row>
    <row r="7959" spans="1:23" hidden="1" x14ac:dyDescent="0.25">
      <c r="A7959" s="3">
        <v>46201</v>
      </c>
      <c r="B7959" s="46" t="s">
        <v>334</v>
      </c>
      <c r="C7959" s="4" t="s">
        <v>89</v>
      </c>
      <c r="D7959" s="4"/>
      <c r="E7959" s="4"/>
      <c r="F7959" s="4" t="s">
        <v>3765</v>
      </c>
      <c r="G7959" s="4" t="s">
        <v>336</v>
      </c>
      <c r="H7959" s="4" t="s">
        <v>289</v>
      </c>
      <c r="I7959" s="4">
        <v>0.44285714285714284</v>
      </c>
      <c r="J7959" s="21">
        <v>700</v>
      </c>
      <c r="K7959" s="21">
        <v>0</v>
      </c>
      <c r="L7959" s="5">
        <v>0</v>
      </c>
      <c r="M7959" s="4"/>
      <c r="N7959" s="4"/>
      <c r="O7959" s="5"/>
      <c r="P7959" s="5"/>
      <c r="Q7959" s="21">
        <v>310</v>
      </c>
      <c r="R7959" s="21">
        <v>0</v>
      </c>
      <c r="S7959" s="5">
        <f t="shared" si="499"/>
        <v>62166.648732351001</v>
      </c>
      <c r="T7959" cm="1">
        <f t="array" ref="T7959">IF(OR(B7959="MAL ALIMI", B7959="ÜRETİM GİRİŞ"), MIN(I7959, MAX(0, I7959 + SUM(SUMIFS($I$1:I7958, $C$1:C7958, C7959, $B$1:B7958, {"MAL ALIMI","ÜRETİM GİRİŞ"})) - VLOOKUP(C7959, 'STOK RAPORU'!$C$2:$I$1000, 4, 0))), 0)</f>
        <v>0</v>
      </c>
      <c r="U7959" s="22">
        <f t="shared" si="496"/>
        <v>0</v>
      </c>
      <c r="V7959">
        <f t="shared" si="497"/>
        <v>0</v>
      </c>
      <c r="W7959" s="22">
        <f t="shared" si="498"/>
        <v>0</v>
      </c>
    </row>
    <row r="7960" spans="1:23" hidden="1" x14ac:dyDescent="0.25">
      <c r="A7960" s="3">
        <v>46201</v>
      </c>
      <c r="B7960" s="46" t="s">
        <v>334</v>
      </c>
      <c r="C7960" s="4" t="s">
        <v>207</v>
      </c>
      <c r="D7960" s="4"/>
      <c r="E7960" s="4"/>
      <c r="F7960" s="4" t="s">
        <v>3765</v>
      </c>
      <c r="G7960" s="4" t="s">
        <v>336</v>
      </c>
      <c r="H7960" s="4" t="s">
        <v>289</v>
      </c>
      <c r="I7960" s="4">
        <v>0.5</v>
      </c>
      <c r="J7960" s="21">
        <v>140</v>
      </c>
      <c r="K7960" s="21">
        <v>0</v>
      </c>
      <c r="L7960" s="5">
        <v>0</v>
      </c>
      <c r="M7960" s="4"/>
      <c r="N7960" s="4"/>
      <c r="O7960" s="5"/>
      <c r="P7960" s="5"/>
      <c r="Q7960" s="21">
        <v>70</v>
      </c>
      <c r="R7960" s="21">
        <v>0</v>
      </c>
      <c r="S7960" s="5">
        <f t="shared" si="499"/>
        <v>62236.648732351001</v>
      </c>
      <c r="T7960" cm="1">
        <f t="array" ref="T7960">IF(OR(B7960="MAL ALIMI", B7960="ÜRETİM GİRİŞ"), MIN(I7960, MAX(0, I7960 + SUM(SUMIFS($I$1:I7959, $C$1:C7959, C7960, $B$1:B7959, {"MAL ALIMI","ÜRETİM GİRİŞ"})) - VLOOKUP(C7960, 'STOK RAPORU'!$C$2:$I$1000, 4, 0))), 0)</f>
        <v>0</v>
      </c>
      <c r="U7960" s="22">
        <f t="shared" si="496"/>
        <v>0</v>
      </c>
      <c r="V7960">
        <f t="shared" si="497"/>
        <v>0</v>
      </c>
      <c r="W7960" s="22">
        <f t="shared" si="498"/>
        <v>0</v>
      </c>
    </row>
    <row r="7961" spans="1:23" hidden="1" x14ac:dyDescent="0.25">
      <c r="A7961" s="3">
        <v>46201</v>
      </c>
      <c r="B7961" s="46" t="s">
        <v>334</v>
      </c>
      <c r="C7961" s="4" t="s">
        <v>463</v>
      </c>
      <c r="D7961" s="4"/>
      <c r="E7961" s="4"/>
      <c r="F7961" s="4" t="s">
        <v>3766</v>
      </c>
      <c r="G7961" s="4" t="s">
        <v>336</v>
      </c>
      <c r="H7961" s="4" t="s">
        <v>289</v>
      </c>
      <c r="I7961" s="4">
        <v>0.1875</v>
      </c>
      <c r="J7961" s="21">
        <v>400</v>
      </c>
      <c r="K7961" s="21">
        <v>0</v>
      </c>
      <c r="L7961" s="5">
        <v>0</v>
      </c>
      <c r="M7961" s="4"/>
      <c r="N7961" s="4"/>
      <c r="O7961" s="5"/>
      <c r="P7961" s="5"/>
      <c r="Q7961" s="21">
        <v>75</v>
      </c>
      <c r="R7961" s="21">
        <v>0</v>
      </c>
      <c r="S7961" s="5">
        <f t="shared" si="499"/>
        <v>62311.648732351001</v>
      </c>
      <c r="T7961" cm="1">
        <f t="array" ref="T7961">IF(OR(B7961="MAL ALIMI", B7961="ÜRETİM GİRİŞ"), MIN(I7961, MAX(0, I7961 + SUM(SUMIFS($I$1:I7960, $C$1:C7960, C7961, $B$1:B7960, {"MAL ALIMI","ÜRETİM GİRİŞ"})) - VLOOKUP(C7961, 'STOK RAPORU'!$C$2:$I$1000, 4, 0))), 0)</f>
        <v>0</v>
      </c>
      <c r="U7961" s="22">
        <f t="shared" si="496"/>
        <v>0</v>
      </c>
      <c r="V7961">
        <f t="shared" si="497"/>
        <v>0</v>
      </c>
      <c r="W7961" s="22">
        <f t="shared" si="498"/>
        <v>0</v>
      </c>
    </row>
    <row r="7962" spans="1:23" hidden="1" x14ac:dyDescent="0.25">
      <c r="A7962" s="3">
        <v>46202</v>
      </c>
      <c r="B7962" s="46" t="s">
        <v>334</v>
      </c>
      <c r="C7962" s="4" t="s">
        <v>192</v>
      </c>
      <c r="D7962" s="4"/>
      <c r="E7962" s="4" t="s">
        <v>921</v>
      </c>
      <c r="F7962" s="4" t="s">
        <v>3767</v>
      </c>
      <c r="G7962" s="4" t="s">
        <v>336</v>
      </c>
      <c r="H7962" s="4" t="s">
        <v>380</v>
      </c>
      <c r="I7962" s="4">
        <v>0.11990407673860912</v>
      </c>
      <c r="J7962" s="21">
        <v>417</v>
      </c>
      <c r="K7962" s="21">
        <v>50</v>
      </c>
      <c r="L7962" s="5">
        <v>0</v>
      </c>
      <c r="M7962" s="4"/>
      <c r="N7962" s="4"/>
      <c r="O7962" s="5"/>
      <c r="P7962" s="5"/>
      <c r="Q7962" s="21">
        <v>0</v>
      </c>
      <c r="R7962" s="21">
        <v>0</v>
      </c>
      <c r="S7962" s="5">
        <f t="shared" si="499"/>
        <v>62311.648732351001</v>
      </c>
      <c r="T7962" cm="1">
        <f t="array" ref="T7962">IF(OR(B7962="MAL ALIMI", B7962="ÜRETİM GİRİŞ"), MIN(I7962, MAX(0, I7962 + SUM(SUMIFS($I$1:I7961, $C$1:C7961, C7962, $B$1:B7961, {"MAL ALIMI","ÜRETİM GİRİŞ"})) - VLOOKUP(C7962, 'STOK RAPORU'!$C$2:$I$1000, 4, 0))), 0)</f>
        <v>0</v>
      </c>
      <c r="U7962" s="22">
        <f t="shared" si="496"/>
        <v>0</v>
      </c>
      <c r="V7962">
        <f t="shared" si="497"/>
        <v>0</v>
      </c>
      <c r="W7962" s="22">
        <f t="shared" si="498"/>
        <v>0</v>
      </c>
    </row>
    <row r="7963" spans="1:23" hidden="1" x14ac:dyDescent="0.25">
      <c r="A7963" s="3">
        <v>46202</v>
      </c>
      <c r="B7963" s="46" t="s">
        <v>334</v>
      </c>
      <c r="C7963" s="4" t="s">
        <v>3381</v>
      </c>
      <c r="D7963" s="4"/>
      <c r="E7963" s="4"/>
      <c r="F7963" s="4" t="s">
        <v>3768</v>
      </c>
      <c r="G7963" s="4" t="s">
        <v>336</v>
      </c>
      <c r="H7963" s="4" t="s">
        <v>289</v>
      </c>
      <c r="I7963" s="4">
        <v>0.34</v>
      </c>
      <c r="J7963" s="21">
        <v>250</v>
      </c>
      <c r="K7963" s="21">
        <v>0</v>
      </c>
      <c r="L7963" s="5">
        <v>0</v>
      </c>
      <c r="M7963" s="4"/>
      <c r="N7963" s="4"/>
      <c r="O7963" s="5"/>
      <c r="P7963" s="5"/>
      <c r="Q7963" s="21">
        <v>85</v>
      </c>
      <c r="R7963" s="21">
        <v>0</v>
      </c>
      <c r="S7963" s="5">
        <f t="shared" si="499"/>
        <v>62396.648732351001</v>
      </c>
      <c r="T7963" cm="1">
        <f t="array" ref="T7963">IF(OR(B7963="MAL ALIMI", B7963="ÜRETİM GİRİŞ"), MIN(I7963, MAX(0, I7963 + SUM(SUMIFS($I$1:I7962, $C$1:C7962, C7963, $B$1:B7962, {"MAL ALIMI","ÜRETİM GİRİŞ"})) - VLOOKUP(C7963, 'STOK RAPORU'!$C$2:$I$1000, 4, 0))), 0)</f>
        <v>0</v>
      </c>
      <c r="U7963" s="22">
        <f t="shared" si="496"/>
        <v>0</v>
      </c>
      <c r="V7963">
        <f t="shared" si="497"/>
        <v>0</v>
      </c>
      <c r="W7963" s="22">
        <f t="shared" si="498"/>
        <v>0</v>
      </c>
    </row>
    <row r="7964" spans="1:23" hidden="1" x14ac:dyDescent="0.25">
      <c r="A7964" s="3">
        <v>46202</v>
      </c>
      <c r="B7964" s="46" t="s">
        <v>334</v>
      </c>
      <c r="C7964" s="4" t="s">
        <v>1357</v>
      </c>
      <c r="D7964" s="4"/>
      <c r="E7964" s="4"/>
      <c r="F7964" s="4" t="s">
        <v>3768</v>
      </c>
      <c r="G7964" s="4" t="s">
        <v>336</v>
      </c>
      <c r="H7964" s="4" t="s">
        <v>289</v>
      </c>
      <c r="I7964" s="4">
        <v>0.32142857142857145</v>
      </c>
      <c r="J7964" s="21">
        <v>700</v>
      </c>
      <c r="K7964" s="21">
        <v>0</v>
      </c>
      <c r="L7964" s="5">
        <v>0</v>
      </c>
      <c r="M7964" s="4"/>
      <c r="N7964" s="4"/>
      <c r="O7964" s="5"/>
      <c r="P7964" s="5"/>
      <c r="Q7964" s="21">
        <v>225.00000000000003</v>
      </c>
      <c r="R7964" s="21">
        <v>0</v>
      </c>
      <c r="S7964" s="5">
        <f t="shared" si="499"/>
        <v>62621.648732351001</v>
      </c>
      <c r="T7964" cm="1">
        <f t="array" ref="T7964">IF(OR(B7964="MAL ALIMI", B7964="ÜRETİM GİRİŞ"), MIN(I7964, MAX(0, I7964 + SUM(SUMIFS($I$1:I7963, $C$1:C7963, C7964, $B$1:B7963, {"MAL ALIMI","ÜRETİM GİRİŞ"})) - VLOOKUP(C7964, 'STOK RAPORU'!$C$2:$I$1000, 4, 0))), 0)</f>
        <v>0</v>
      </c>
      <c r="U7964" s="22">
        <f t="shared" si="496"/>
        <v>0</v>
      </c>
      <c r="V7964">
        <f t="shared" si="497"/>
        <v>0</v>
      </c>
      <c r="W7964" s="22">
        <f t="shared" si="498"/>
        <v>0</v>
      </c>
    </row>
    <row r="7965" spans="1:23" hidden="1" x14ac:dyDescent="0.25">
      <c r="A7965" s="3">
        <v>46202</v>
      </c>
      <c r="B7965" s="46" t="s">
        <v>334</v>
      </c>
      <c r="C7965" s="4" t="s">
        <v>2682</v>
      </c>
      <c r="D7965" s="4"/>
      <c r="E7965" s="4"/>
      <c r="F7965" s="4" t="s">
        <v>3768</v>
      </c>
      <c r="G7965" s="4" t="s">
        <v>336</v>
      </c>
      <c r="H7965" s="4" t="s">
        <v>289</v>
      </c>
      <c r="I7965" s="4">
        <v>1</v>
      </c>
      <c r="J7965" s="21">
        <v>500</v>
      </c>
      <c r="K7965" s="21">
        <v>0</v>
      </c>
      <c r="L7965" s="5">
        <v>0</v>
      </c>
      <c r="M7965" s="4"/>
      <c r="N7965" s="4"/>
      <c r="O7965" s="5"/>
      <c r="P7965" s="5"/>
      <c r="Q7965" s="21">
        <v>500</v>
      </c>
      <c r="R7965" s="21">
        <v>0</v>
      </c>
      <c r="S7965" s="5">
        <f t="shared" si="499"/>
        <v>63121.648732351001</v>
      </c>
      <c r="T7965" cm="1">
        <f t="array" ref="T7965">IF(OR(B7965="MAL ALIMI", B7965="ÜRETİM GİRİŞ"), MIN(I7965, MAX(0, I7965 + SUM(SUMIFS($I$1:I7964, $C$1:C7964, C7965, $B$1:B7964, {"MAL ALIMI","ÜRETİM GİRİŞ"})) - VLOOKUP(C7965, 'STOK RAPORU'!$C$2:$I$1000, 4, 0))), 0)</f>
        <v>0</v>
      </c>
      <c r="U7965" s="22">
        <f t="shared" si="496"/>
        <v>0</v>
      </c>
      <c r="V7965">
        <f t="shared" si="497"/>
        <v>0</v>
      </c>
      <c r="W7965" s="22">
        <f t="shared" si="498"/>
        <v>0</v>
      </c>
    </row>
    <row r="7966" spans="1:23" hidden="1" x14ac:dyDescent="0.25">
      <c r="A7966" s="3">
        <v>46202</v>
      </c>
      <c r="B7966" s="46" t="s">
        <v>334</v>
      </c>
      <c r="C7966" s="4" t="s">
        <v>465</v>
      </c>
      <c r="D7966" s="4"/>
      <c r="E7966" s="4" t="s">
        <v>921</v>
      </c>
      <c r="F7966" s="4" t="s">
        <v>3769</v>
      </c>
      <c r="G7966" s="4" t="s">
        <v>336</v>
      </c>
      <c r="H7966" s="4" t="s">
        <v>380</v>
      </c>
      <c r="I7966" s="4">
        <v>2</v>
      </c>
      <c r="J7966" s="21">
        <v>60</v>
      </c>
      <c r="K7966" s="21">
        <v>120</v>
      </c>
      <c r="L7966" s="5">
        <v>0</v>
      </c>
      <c r="M7966" s="4"/>
      <c r="N7966" s="4"/>
      <c r="O7966" s="5"/>
      <c r="P7966" s="5"/>
      <c r="Q7966" s="21">
        <v>0</v>
      </c>
      <c r="R7966" s="21">
        <v>0</v>
      </c>
      <c r="S7966" s="5">
        <f t="shared" si="499"/>
        <v>63121.648732351001</v>
      </c>
      <c r="T7966" cm="1">
        <f t="array" ref="T7966">IF(OR(B7966="MAL ALIMI", B7966="ÜRETİM GİRİŞ"), MIN(I7966, MAX(0, I7966 + SUM(SUMIFS($I$1:I7965, $C$1:C7965, C7966, $B$1:B7965, {"MAL ALIMI","ÜRETİM GİRİŞ"})) - VLOOKUP(C7966, 'STOK RAPORU'!$C$2:$I$1000, 4, 0))), 0)</f>
        <v>0</v>
      </c>
      <c r="U7966" s="22">
        <f t="shared" si="496"/>
        <v>0</v>
      </c>
      <c r="V7966">
        <f t="shared" si="497"/>
        <v>0</v>
      </c>
      <c r="W7966" s="22">
        <f t="shared" si="498"/>
        <v>0</v>
      </c>
    </row>
    <row r="7967" spans="1:23" hidden="1" x14ac:dyDescent="0.25">
      <c r="A7967" s="3">
        <v>46202</v>
      </c>
      <c r="B7967" s="46" t="s">
        <v>334</v>
      </c>
      <c r="C7967" s="4" t="s">
        <v>1024</v>
      </c>
      <c r="D7967" s="4"/>
      <c r="E7967" s="4" t="s">
        <v>921</v>
      </c>
      <c r="F7967" s="4" t="s">
        <v>3769</v>
      </c>
      <c r="G7967" s="4" t="s">
        <v>336</v>
      </c>
      <c r="H7967" s="4" t="s">
        <v>380</v>
      </c>
      <c r="I7967" s="4">
        <v>2.1076923076923078</v>
      </c>
      <c r="J7967" s="21">
        <v>65</v>
      </c>
      <c r="K7967" s="21">
        <v>137</v>
      </c>
      <c r="L7967" s="5">
        <v>0</v>
      </c>
      <c r="M7967" s="4"/>
      <c r="N7967" s="4"/>
      <c r="O7967" s="5"/>
      <c r="P7967" s="5"/>
      <c r="Q7967" s="21">
        <v>0</v>
      </c>
      <c r="R7967" s="21">
        <v>0</v>
      </c>
      <c r="S7967" s="5">
        <f t="shared" si="499"/>
        <v>63121.648732351001</v>
      </c>
      <c r="T7967" cm="1">
        <f t="array" ref="T7967">IF(OR(B7967="MAL ALIMI", B7967="ÜRETİM GİRİŞ"), MIN(I7967, MAX(0, I7967 + SUM(SUMIFS($I$1:I7966, $C$1:C7966, C7967, $B$1:B7966, {"MAL ALIMI","ÜRETİM GİRİŞ"})) - VLOOKUP(C7967, 'STOK RAPORU'!$C$2:$I$1000, 4, 0))), 0)</f>
        <v>0</v>
      </c>
      <c r="U7967" s="22">
        <f t="shared" si="496"/>
        <v>0</v>
      </c>
      <c r="V7967">
        <f t="shared" si="497"/>
        <v>0</v>
      </c>
      <c r="W7967" s="22">
        <f t="shared" si="498"/>
        <v>0</v>
      </c>
    </row>
    <row r="7968" spans="1:23" hidden="1" x14ac:dyDescent="0.25">
      <c r="A7968" s="3">
        <v>46202</v>
      </c>
      <c r="B7968" s="46" t="s">
        <v>334</v>
      </c>
      <c r="C7968" s="4" t="s">
        <v>133</v>
      </c>
      <c r="D7968" s="4"/>
      <c r="E7968" s="4" t="s">
        <v>921</v>
      </c>
      <c r="F7968" s="4" t="s">
        <v>3770</v>
      </c>
      <c r="G7968" s="4" t="s">
        <v>3655</v>
      </c>
      <c r="H7968" s="4" t="s">
        <v>380</v>
      </c>
      <c r="I7968" s="4">
        <v>1</v>
      </c>
      <c r="J7968" s="21">
        <v>250</v>
      </c>
      <c r="K7968" s="21">
        <v>250</v>
      </c>
      <c r="L7968" s="5">
        <v>0</v>
      </c>
      <c r="M7968" s="4"/>
      <c r="N7968" s="4"/>
      <c r="O7968" s="5"/>
      <c r="P7968" s="5"/>
      <c r="Q7968" s="21">
        <v>0</v>
      </c>
      <c r="R7968" s="21">
        <v>0</v>
      </c>
      <c r="S7968" s="5">
        <f t="shared" si="499"/>
        <v>63121.648732351001</v>
      </c>
      <c r="T7968" cm="1">
        <f t="array" ref="T7968">IF(OR(B7968="MAL ALIMI", B7968="ÜRETİM GİRİŞ"), MIN(I7968, MAX(0, I7968 + SUM(SUMIFS($I$1:I7967, $C$1:C7967, C7968, $B$1:B7967, {"MAL ALIMI","ÜRETİM GİRİŞ"})) - VLOOKUP(C7968, 'STOK RAPORU'!$C$2:$I$1000, 4, 0))), 0)</f>
        <v>0</v>
      </c>
      <c r="U7968" s="22">
        <f t="shared" si="496"/>
        <v>0</v>
      </c>
      <c r="V7968">
        <f t="shared" si="497"/>
        <v>0</v>
      </c>
      <c r="W7968" s="22">
        <f t="shared" si="498"/>
        <v>0</v>
      </c>
    </row>
    <row r="7969" spans="1:23" hidden="1" x14ac:dyDescent="0.25">
      <c r="A7969" s="3">
        <v>46202</v>
      </c>
      <c r="B7969" s="46" t="s">
        <v>334</v>
      </c>
      <c r="C7969" s="4" t="s">
        <v>2243</v>
      </c>
      <c r="D7969" s="4"/>
      <c r="E7969" s="4" t="s">
        <v>921</v>
      </c>
      <c r="F7969" s="4" t="s">
        <v>3770</v>
      </c>
      <c r="G7969" s="4" t="s">
        <v>3655</v>
      </c>
      <c r="H7969" s="4" t="s">
        <v>380</v>
      </c>
      <c r="I7969" s="4">
        <v>1</v>
      </c>
      <c r="J7969" s="21">
        <v>375</v>
      </c>
      <c r="K7969" s="21">
        <v>375</v>
      </c>
      <c r="L7969" s="5">
        <v>0</v>
      </c>
      <c r="M7969" s="4"/>
      <c r="N7969" s="4"/>
      <c r="O7969" s="5"/>
      <c r="P7969" s="5"/>
      <c r="Q7969" s="21">
        <v>0</v>
      </c>
      <c r="R7969" s="21">
        <v>0</v>
      </c>
      <c r="S7969" s="5">
        <f t="shared" si="499"/>
        <v>63121.648732351001</v>
      </c>
      <c r="T7969" cm="1">
        <f t="array" ref="T7969">IF(OR(B7969="MAL ALIMI", B7969="ÜRETİM GİRİŞ"), MIN(I7969, MAX(0, I7969 + SUM(SUMIFS($I$1:I7968, $C$1:C7968, C7969, $B$1:B7968, {"MAL ALIMI","ÜRETİM GİRİŞ"})) - VLOOKUP(C7969, 'STOK RAPORU'!$C$2:$I$1000, 4, 0))), 0)</f>
        <v>0</v>
      </c>
      <c r="U7969" s="22">
        <f t="shared" si="496"/>
        <v>0</v>
      </c>
      <c r="V7969">
        <f t="shared" si="497"/>
        <v>0</v>
      </c>
      <c r="W7969" s="22">
        <f t="shared" si="498"/>
        <v>0</v>
      </c>
    </row>
    <row r="7970" spans="1:23" hidden="1" x14ac:dyDescent="0.25">
      <c r="A7970" s="3">
        <v>46202</v>
      </c>
      <c r="B7970" s="46" t="s">
        <v>334</v>
      </c>
      <c r="C7970" s="4" t="s">
        <v>463</v>
      </c>
      <c r="D7970" s="4"/>
      <c r="E7970" s="4" t="s">
        <v>921</v>
      </c>
      <c r="F7970" s="4" t="s">
        <v>3770</v>
      </c>
      <c r="G7970" s="4" t="s">
        <v>3655</v>
      </c>
      <c r="H7970" s="4" t="s">
        <v>380</v>
      </c>
      <c r="I7970" s="4">
        <v>1</v>
      </c>
      <c r="J7970" s="21">
        <v>265</v>
      </c>
      <c r="K7970" s="21">
        <v>265</v>
      </c>
      <c r="L7970" s="5">
        <v>0</v>
      </c>
      <c r="M7970" s="4"/>
      <c r="N7970" s="4"/>
      <c r="O7970" s="5"/>
      <c r="P7970" s="5"/>
      <c r="Q7970" s="21">
        <v>0</v>
      </c>
      <c r="R7970" s="21">
        <v>0</v>
      </c>
      <c r="S7970" s="5">
        <f t="shared" si="499"/>
        <v>63121.648732351001</v>
      </c>
      <c r="T7970" cm="1">
        <f t="array" ref="T7970">IF(OR(B7970="MAL ALIMI", B7970="ÜRETİM GİRİŞ"), MIN(I7970, MAX(0, I7970 + SUM(SUMIFS($I$1:I7969, $C$1:C7969, C7970, $B$1:B7969, {"MAL ALIMI","ÜRETİM GİRİŞ"})) - VLOOKUP(C7970, 'STOK RAPORU'!$C$2:$I$1000, 4, 0))), 0)</f>
        <v>0</v>
      </c>
      <c r="U7970" s="22">
        <f t="shared" si="496"/>
        <v>0</v>
      </c>
      <c r="V7970">
        <f t="shared" si="497"/>
        <v>0</v>
      </c>
      <c r="W7970" s="22">
        <f t="shared" si="498"/>
        <v>0</v>
      </c>
    </row>
    <row r="7971" spans="1:23" hidden="1" x14ac:dyDescent="0.25">
      <c r="A7971" s="3">
        <v>46202</v>
      </c>
      <c r="B7971" s="46" t="s">
        <v>334</v>
      </c>
      <c r="C7971" s="4" t="s">
        <v>131</v>
      </c>
      <c r="D7971" s="4"/>
      <c r="E7971" s="4"/>
      <c r="F7971" s="4" t="s">
        <v>3771</v>
      </c>
      <c r="G7971" s="4" t="s">
        <v>336</v>
      </c>
      <c r="H7971" s="4" t="s">
        <v>289</v>
      </c>
      <c r="I7971" s="4">
        <v>5.2499999999999998E-2</v>
      </c>
      <c r="J7971" s="21">
        <v>400</v>
      </c>
      <c r="K7971" s="21">
        <v>0</v>
      </c>
      <c r="L7971" s="5">
        <v>0</v>
      </c>
      <c r="M7971" s="4"/>
      <c r="N7971" s="4"/>
      <c r="O7971" s="5"/>
      <c r="P7971" s="5"/>
      <c r="Q7971" s="21">
        <v>21</v>
      </c>
      <c r="R7971" s="21">
        <v>0</v>
      </c>
      <c r="S7971" s="5">
        <f t="shared" si="499"/>
        <v>63142.648732351001</v>
      </c>
      <c r="T7971" cm="1">
        <f t="array" ref="T7971">IF(OR(B7971="MAL ALIMI", B7971="ÜRETİM GİRİŞ"), MIN(I7971, MAX(0, I7971 + SUM(SUMIFS($I$1:I7970, $C$1:C7970, C7971, $B$1:B7970, {"MAL ALIMI","ÜRETİM GİRİŞ"})) - VLOOKUP(C7971, 'STOK RAPORU'!$C$2:$I$1000, 4, 0))), 0)</f>
        <v>0</v>
      </c>
      <c r="U7971" s="22">
        <f t="shared" si="496"/>
        <v>0</v>
      </c>
      <c r="V7971">
        <f t="shared" si="497"/>
        <v>0</v>
      </c>
      <c r="W7971" s="22">
        <f t="shared" si="498"/>
        <v>0</v>
      </c>
    </row>
    <row r="7972" spans="1:23" hidden="1" x14ac:dyDescent="0.25">
      <c r="A7972" s="3">
        <v>46202</v>
      </c>
      <c r="B7972" s="46" t="s">
        <v>334</v>
      </c>
      <c r="C7972" s="4" t="s">
        <v>140</v>
      </c>
      <c r="D7972" s="4"/>
      <c r="E7972" s="4"/>
      <c r="F7972" s="4" t="s">
        <v>3771</v>
      </c>
      <c r="G7972" s="4" t="s">
        <v>336</v>
      </c>
      <c r="H7972" s="4" t="s">
        <v>289</v>
      </c>
      <c r="I7972" s="4">
        <v>9.3333333333333338E-2</v>
      </c>
      <c r="J7972" s="21">
        <v>300</v>
      </c>
      <c r="K7972" s="21">
        <v>0</v>
      </c>
      <c r="L7972" s="5">
        <v>0</v>
      </c>
      <c r="M7972" s="4"/>
      <c r="N7972" s="4"/>
      <c r="O7972" s="5"/>
      <c r="P7972" s="5"/>
      <c r="Q7972" s="21">
        <v>28</v>
      </c>
      <c r="R7972" s="21">
        <v>0</v>
      </c>
      <c r="S7972" s="5">
        <f t="shared" si="499"/>
        <v>63170.648732351001</v>
      </c>
      <c r="T7972" cm="1">
        <f t="array" ref="T7972">IF(OR(B7972="MAL ALIMI", B7972="ÜRETİM GİRİŞ"), MIN(I7972, MAX(0, I7972 + SUM(SUMIFS($I$1:I7971, $C$1:C7971, C7972, $B$1:B7971, {"MAL ALIMI","ÜRETİM GİRİŞ"})) - VLOOKUP(C7972, 'STOK RAPORU'!$C$2:$I$1000, 4, 0))), 0)</f>
        <v>0</v>
      </c>
      <c r="U7972" s="22">
        <f t="shared" si="496"/>
        <v>0</v>
      </c>
      <c r="V7972">
        <f t="shared" si="497"/>
        <v>0</v>
      </c>
      <c r="W7972" s="22">
        <f t="shared" si="498"/>
        <v>0</v>
      </c>
    </row>
    <row r="7973" spans="1:23" hidden="1" x14ac:dyDescent="0.25">
      <c r="A7973" s="3">
        <v>46202</v>
      </c>
      <c r="B7973" s="46" t="s">
        <v>334</v>
      </c>
      <c r="C7973" s="4" t="s">
        <v>167</v>
      </c>
      <c r="D7973" s="4"/>
      <c r="E7973" s="4" t="s">
        <v>921</v>
      </c>
      <c r="F7973" s="4" t="s">
        <v>3772</v>
      </c>
      <c r="G7973" s="4" t="s">
        <v>336</v>
      </c>
      <c r="H7973" s="4" t="s">
        <v>380</v>
      </c>
      <c r="I7973" s="4">
        <v>1</v>
      </c>
      <c r="J7973" s="21">
        <v>230</v>
      </c>
      <c r="K7973" s="21">
        <v>230</v>
      </c>
      <c r="L7973" s="5">
        <v>0</v>
      </c>
      <c r="M7973" s="4"/>
      <c r="N7973" s="4"/>
      <c r="O7973" s="5"/>
      <c r="P7973" s="5"/>
      <c r="Q7973" s="21">
        <v>0</v>
      </c>
      <c r="R7973" s="21">
        <v>0</v>
      </c>
      <c r="S7973" s="5">
        <f t="shared" si="499"/>
        <v>63170.648732351001</v>
      </c>
      <c r="T7973" cm="1">
        <f t="array" ref="T7973">IF(OR(B7973="MAL ALIMI", B7973="ÜRETİM GİRİŞ"), MIN(I7973, MAX(0, I7973 + SUM(SUMIFS($I$1:I7972, $C$1:C7972, C7973, $B$1:B7972, {"MAL ALIMI","ÜRETİM GİRİŞ"})) - VLOOKUP(C7973, 'STOK RAPORU'!$C$2:$I$1000, 4, 0))), 0)</f>
        <v>0</v>
      </c>
      <c r="U7973" s="22">
        <f t="shared" si="496"/>
        <v>0</v>
      </c>
      <c r="V7973">
        <f t="shared" si="497"/>
        <v>0</v>
      </c>
      <c r="W7973" s="22">
        <f t="shared" si="498"/>
        <v>0</v>
      </c>
    </row>
    <row r="7974" spans="1:23" hidden="1" x14ac:dyDescent="0.25">
      <c r="A7974" s="3">
        <v>46202</v>
      </c>
      <c r="B7974" s="46" t="s">
        <v>334</v>
      </c>
      <c r="C7974" s="4" t="s">
        <v>160</v>
      </c>
      <c r="D7974" s="4"/>
      <c r="E7974" s="4" t="s">
        <v>921</v>
      </c>
      <c r="F7974" s="4" t="s">
        <v>3772</v>
      </c>
      <c r="G7974" s="4" t="s">
        <v>336</v>
      </c>
      <c r="H7974" s="4" t="s">
        <v>380</v>
      </c>
      <c r="I7974" s="4">
        <v>1</v>
      </c>
      <c r="J7974" s="21">
        <v>270</v>
      </c>
      <c r="K7974" s="21">
        <v>270</v>
      </c>
      <c r="L7974" s="5">
        <v>0</v>
      </c>
      <c r="M7974" s="4"/>
      <c r="N7974" s="4"/>
      <c r="O7974" s="5"/>
      <c r="P7974" s="5"/>
      <c r="Q7974" s="21">
        <v>0</v>
      </c>
      <c r="R7974" s="21">
        <v>0</v>
      </c>
      <c r="S7974" s="5">
        <f t="shared" si="499"/>
        <v>63170.648732351001</v>
      </c>
      <c r="T7974" cm="1">
        <f t="array" ref="T7974">IF(OR(B7974="MAL ALIMI", B7974="ÜRETİM GİRİŞ"), MIN(I7974, MAX(0, I7974 + SUM(SUMIFS($I$1:I7973, $C$1:C7973, C7974, $B$1:B7973, {"MAL ALIMI","ÜRETİM GİRİŞ"})) - VLOOKUP(C7974, 'STOK RAPORU'!$C$2:$I$1000, 4, 0))), 0)</f>
        <v>0</v>
      </c>
      <c r="U7974" s="22">
        <f t="shared" si="496"/>
        <v>0</v>
      </c>
      <c r="V7974">
        <f t="shared" si="497"/>
        <v>0</v>
      </c>
      <c r="W7974" s="22">
        <f t="shared" si="498"/>
        <v>0</v>
      </c>
    </row>
    <row r="7975" spans="1:23" hidden="1" x14ac:dyDescent="0.25">
      <c r="A7975" s="3">
        <v>46202</v>
      </c>
      <c r="B7975" s="46" t="s">
        <v>334</v>
      </c>
      <c r="C7975" s="4" t="s">
        <v>1499</v>
      </c>
      <c r="D7975" s="4"/>
      <c r="E7975" s="4" t="s">
        <v>921</v>
      </c>
      <c r="F7975" s="4" t="s">
        <v>3772</v>
      </c>
      <c r="G7975" s="4" t="s">
        <v>336</v>
      </c>
      <c r="H7975" s="4" t="s">
        <v>380</v>
      </c>
      <c r="I7975" s="4">
        <v>1</v>
      </c>
      <c r="J7975" s="21">
        <v>550</v>
      </c>
      <c r="K7975" s="21">
        <v>550</v>
      </c>
      <c r="L7975" s="5">
        <v>0</v>
      </c>
      <c r="M7975" s="4"/>
      <c r="N7975" s="4"/>
      <c r="O7975" s="5"/>
      <c r="P7975" s="5"/>
      <c r="Q7975" s="21">
        <v>0</v>
      </c>
      <c r="R7975" s="21">
        <v>0</v>
      </c>
      <c r="S7975" s="5">
        <f t="shared" si="499"/>
        <v>63170.648732351001</v>
      </c>
      <c r="T7975" cm="1">
        <f t="array" ref="T7975">IF(OR(B7975="MAL ALIMI", B7975="ÜRETİM GİRİŞ"), MIN(I7975, MAX(0, I7975 + SUM(SUMIFS($I$1:I7974, $C$1:C7974, C7975, $B$1:B7974, {"MAL ALIMI","ÜRETİM GİRİŞ"})) - VLOOKUP(C7975, 'STOK RAPORU'!$C$2:$I$1000, 4, 0))), 0)</f>
        <v>0</v>
      </c>
      <c r="U7975" s="22">
        <f t="shared" si="496"/>
        <v>0</v>
      </c>
      <c r="V7975">
        <f t="shared" si="497"/>
        <v>0</v>
      </c>
      <c r="W7975" s="22">
        <f t="shared" si="498"/>
        <v>0</v>
      </c>
    </row>
    <row r="7976" spans="1:23" hidden="1" x14ac:dyDescent="0.25">
      <c r="A7976" s="3">
        <v>46202</v>
      </c>
      <c r="B7976" s="46" t="s">
        <v>334</v>
      </c>
      <c r="C7976" s="4" t="s">
        <v>529</v>
      </c>
      <c r="D7976" s="4"/>
      <c r="E7976" s="4" t="s">
        <v>921</v>
      </c>
      <c r="F7976" s="4" t="s">
        <v>3773</v>
      </c>
      <c r="G7976" s="4" t="s">
        <v>336</v>
      </c>
      <c r="H7976" s="4" t="s">
        <v>380</v>
      </c>
      <c r="I7976" s="4">
        <v>0.15</v>
      </c>
      <c r="J7976" s="21">
        <v>670</v>
      </c>
      <c r="K7976" s="21">
        <v>100.5</v>
      </c>
      <c r="L7976" s="5">
        <v>0</v>
      </c>
      <c r="M7976" s="4"/>
      <c r="N7976" s="4"/>
      <c r="O7976" s="5"/>
      <c r="P7976" s="5"/>
      <c r="Q7976" s="21">
        <v>0</v>
      </c>
      <c r="R7976" s="21">
        <v>0</v>
      </c>
      <c r="S7976" s="5">
        <f t="shared" si="499"/>
        <v>63170.648732351001</v>
      </c>
      <c r="T7976" cm="1">
        <f t="array" ref="T7976">IF(OR(B7976="MAL ALIMI", B7976="ÜRETİM GİRİŞ"), MIN(I7976, MAX(0, I7976 + SUM(SUMIFS($I$1:I7975, $C$1:C7975, C7976, $B$1:B7975, {"MAL ALIMI","ÜRETİM GİRİŞ"})) - VLOOKUP(C7976, 'STOK RAPORU'!$C$2:$I$1000, 4, 0))), 0)</f>
        <v>0</v>
      </c>
      <c r="U7976" s="22">
        <f t="shared" si="496"/>
        <v>0</v>
      </c>
      <c r="V7976">
        <f t="shared" si="497"/>
        <v>0</v>
      </c>
      <c r="W7976" s="22">
        <f t="shared" si="498"/>
        <v>0</v>
      </c>
    </row>
    <row r="7977" spans="1:23" hidden="1" x14ac:dyDescent="0.25">
      <c r="A7977" s="3">
        <v>46202</v>
      </c>
      <c r="B7977" s="46" t="s">
        <v>334</v>
      </c>
      <c r="C7977" s="4" t="s">
        <v>238</v>
      </c>
      <c r="D7977" s="4"/>
      <c r="E7977" s="4"/>
      <c r="F7977" s="4" t="s">
        <v>3773</v>
      </c>
      <c r="G7977" s="4" t="s">
        <v>336</v>
      </c>
      <c r="H7977" s="4" t="s">
        <v>289</v>
      </c>
      <c r="I7977" s="4">
        <v>0.1</v>
      </c>
      <c r="J7977" s="21">
        <v>1250</v>
      </c>
      <c r="K7977" s="21">
        <v>0</v>
      </c>
      <c r="L7977" s="5">
        <v>0</v>
      </c>
      <c r="M7977" s="4"/>
      <c r="N7977" s="4"/>
      <c r="O7977" s="5"/>
      <c r="P7977" s="5"/>
      <c r="Q7977" s="21">
        <v>125</v>
      </c>
      <c r="R7977" s="21">
        <v>0</v>
      </c>
      <c r="S7977" s="5">
        <f t="shared" si="499"/>
        <v>63295.648732351001</v>
      </c>
      <c r="T7977" cm="1">
        <f t="array" ref="T7977">IF(OR(B7977="MAL ALIMI", B7977="ÜRETİM GİRİŞ"), MIN(I7977, MAX(0, I7977 + SUM(SUMIFS($I$1:I7976, $C$1:C7976, C7977, $B$1:B7976, {"MAL ALIMI","ÜRETİM GİRİŞ"})) - VLOOKUP(C7977, 'STOK RAPORU'!$C$2:$I$1000, 4, 0))), 0)</f>
        <v>0</v>
      </c>
      <c r="U7977" s="22">
        <f t="shared" si="496"/>
        <v>0</v>
      </c>
      <c r="V7977">
        <f t="shared" si="497"/>
        <v>0</v>
      </c>
      <c r="W7977" s="22">
        <f t="shared" si="498"/>
        <v>0</v>
      </c>
    </row>
    <row r="7978" spans="1:23" hidden="1" x14ac:dyDescent="0.25">
      <c r="A7978" s="3">
        <v>46202</v>
      </c>
      <c r="B7978" s="46" t="s">
        <v>334</v>
      </c>
      <c r="C7978" s="4" t="s">
        <v>193</v>
      </c>
      <c r="D7978" s="4"/>
      <c r="E7978" s="4"/>
      <c r="F7978" s="4" t="s">
        <v>3773</v>
      </c>
      <c r="G7978" s="4" t="s">
        <v>336</v>
      </c>
      <c r="H7978" s="4" t="s">
        <v>289</v>
      </c>
      <c r="I7978" s="4">
        <v>0.05</v>
      </c>
      <c r="J7978" s="21">
        <v>900</v>
      </c>
      <c r="K7978" s="21">
        <v>0</v>
      </c>
      <c r="L7978" s="5">
        <v>0</v>
      </c>
      <c r="M7978" s="4"/>
      <c r="N7978" s="4"/>
      <c r="O7978" s="5"/>
      <c r="P7978" s="5"/>
      <c r="Q7978" s="21">
        <v>45</v>
      </c>
      <c r="R7978" s="21">
        <v>0</v>
      </c>
      <c r="S7978" s="5">
        <f t="shared" si="499"/>
        <v>63340.648732351001</v>
      </c>
      <c r="T7978" cm="1">
        <f t="array" ref="T7978">IF(OR(B7978="MAL ALIMI", B7978="ÜRETİM GİRİŞ"), MIN(I7978, MAX(0, I7978 + SUM(SUMIFS($I$1:I7977, $C$1:C7977, C7978, $B$1:B7977, {"MAL ALIMI","ÜRETİM GİRİŞ"})) - VLOOKUP(C7978, 'STOK RAPORU'!$C$2:$I$1000, 4, 0))), 0)</f>
        <v>0</v>
      </c>
      <c r="U7978" s="22">
        <f t="shared" si="496"/>
        <v>0</v>
      </c>
      <c r="V7978">
        <f t="shared" si="497"/>
        <v>0</v>
      </c>
      <c r="W7978" s="22">
        <f t="shared" si="498"/>
        <v>0</v>
      </c>
    </row>
    <row r="7979" spans="1:23" hidden="1" x14ac:dyDescent="0.25">
      <c r="A7979" s="3">
        <v>46202</v>
      </c>
      <c r="B7979" s="46" t="s">
        <v>334</v>
      </c>
      <c r="C7979" s="4" t="s">
        <v>1443</v>
      </c>
      <c r="D7979" s="4"/>
      <c r="E7979" s="4"/>
      <c r="F7979" s="4" t="s">
        <v>3774</v>
      </c>
      <c r="G7979" s="4" t="s">
        <v>336</v>
      </c>
      <c r="H7979" s="4" t="s">
        <v>289</v>
      </c>
      <c r="I7979" s="4">
        <v>1</v>
      </c>
      <c r="J7979" s="21">
        <v>20</v>
      </c>
      <c r="K7979" s="21">
        <v>0</v>
      </c>
      <c r="L7979" s="5">
        <v>0</v>
      </c>
      <c r="M7979" s="4"/>
      <c r="N7979" s="4"/>
      <c r="O7979" s="5"/>
      <c r="P7979" s="5"/>
      <c r="Q7979" s="21">
        <v>20</v>
      </c>
      <c r="R7979" s="21">
        <v>0</v>
      </c>
      <c r="S7979" s="5">
        <f t="shared" si="499"/>
        <v>63360.648732351001</v>
      </c>
      <c r="T7979" cm="1">
        <f t="array" ref="T7979">IF(OR(B7979="MAL ALIMI", B7979="ÜRETİM GİRİŞ"), MIN(I7979, MAX(0, I7979 + SUM(SUMIFS($I$1:I7978, $C$1:C7978, C7979, $B$1:B7978, {"MAL ALIMI","ÜRETİM GİRİŞ"})) - VLOOKUP(C7979, 'STOK RAPORU'!$C$2:$I$1000, 4, 0))), 0)</f>
        <v>0</v>
      </c>
      <c r="U7979" s="22">
        <f t="shared" si="496"/>
        <v>0</v>
      </c>
      <c r="V7979">
        <f t="shared" si="497"/>
        <v>0</v>
      </c>
      <c r="W7979" s="22">
        <f t="shared" si="498"/>
        <v>0</v>
      </c>
    </row>
    <row r="7980" spans="1:23" hidden="1" x14ac:dyDescent="0.25">
      <c r="A7980" s="3">
        <v>46202</v>
      </c>
      <c r="B7980" s="46" t="s">
        <v>334</v>
      </c>
      <c r="C7980" s="4" t="s">
        <v>634</v>
      </c>
      <c r="D7980" s="4"/>
      <c r="E7980" s="4"/>
      <c r="F7980" s="4" t="s">
        <v>3775</v>
      </c>
      <c r="G7980" s="4" t="s">
        <v>336</v>
      </c>
      <c r="H7980" s="4" t="s">
        <v>289</v>
      </c>
      <c r="I7980" s="4">
        <v>0.23599999999999999</v>
      </c>
      <c r="J7980" s="21">
        <v>850</v>
      </c>
      <c r="K7980" s="21">
        <v>0</v>
      </c>
      <c r="L7980" s="5">
        <v>0</v>
      </c>
      <c r="M7980" s="4"/>
      <c r="N7980" s="4"/>
      <c r="O7980" s="5"/>
      <c r="P7980" s="5"/>
      <c r="Q7980" s="21">
        <v>200.6</v>
      </c>
      <c r="R7980" s="21">
        <v>0</v>
      </c>
      <c r="S7980" s="5">
        <f t="shared" si="499"/>
        <v>63561.248732350999</v>
      </c>
      <c r="T7980" cm="1">
        <f t="array" ref="T7980">IF(OR(B7980="MAL ALIMI", B7980="ÜRETİM GİRİŞ"), MIN(I7980, MAX(0, I7980 + SUM(SUMIFS($I$1:I7979, $C$1:C7979, C7980, $B$1:B7979, {"MAL ALIMI","ÜRETİM GİRİŞ"})) - VLOOKUP(C7980, 'STOK RAPORU'!$C$2:$I$1000, 4, 0))), 0)</f>
        <v>0</v>
      </c>
      <c r="U7980" s="22">
        <f t="shared" si="496"/>
        <v>0</v>
      </c>
      <c r="V7980">
        <f t="shared" si="497"/>
        <v>0</v>
      </c>
      <c r="W7980" s="22">
        <f t="shared" si="498"/>
        <v>0</v>
      </c>
    </row>
    <row r="7981" spans="1:23" hidden="1" x14ac:dyDescent="0.25">
      <c r="A7981" s="3">
        <v>46202</v>
      </c>
      <c r="B7981" s="46" t="s">
        <v>946</v>
      </c>
      <c r="C7981" s="4"/>
      <c r="D7981" s="4"/>
      <c r="E7981" s="4" t="s">
        <v>921</v>
      </c>
      <c r="F7981" s="4"/>
      <c r="G7981" s="4" t="s">
        <v>3839</v>
      </c>
      <c r="H7981" s="4" t="s">
        <v>380</v>
      </c>
      <c r="I7981" s="4">
        <v>1</v>
      </c>
      <c r="J7981" s="21">
        <v>491.6</v>
      </c>
      <c r="K7981" s="21">
        <v>0</v>
      </c>
      <c r="L7981" s="32">
        <v>491.6</v>
      </c>
      <c r="M7981" s="4"/>
      <c r="N7981" s="4"/>
      <c r="O7981" s="5"/>
      <c r="P7981" s="5"/>
      <c r="Q7981" s="21">
        <v>491.6</v>
      </c>
      <c r="R7981" s="21">
        <v>0</v>
      </c>
      <c r="S7981" s="5">
        <f t="shared" si="499"/>
        <v>64052.848732350998</v>
      </c>
      <c r="T7981" cm="1">
        <f t="array" ref="T7981">IF(OR(B7981="MAL ALIMI", B7981="ÜRETİM GİRİŞ"), MIN(I7981, MAX(0, I7981 + SUM(SUMIFS($I$1:I7980, $C$1:C7980, C7981, $B$1:B7980, {"MAL ALIMI","ÜRETİM GİRİŞ"})) - VLOOKUP(C7981, 'STOK RAPORU'!$C$2:$I$1000, 4, 0))), 0)</f>
        <v>0</v>
      </c>
      <c r="U7981" s="22">
        <f t="shared" si="496"/>
        <v>0</v>
      </c>
      <c r="V7981">
        <f t="shared" si="497"/>
        <v>0</v>
      </c>
      <c r="W7981" s="22">
        <f t="shared" si="498"/>
        <v>0</v>
      </c>
    </row>
    <row r="7982" spans="1:23" hidden="1" x14ac:dyDescent="0.25">
      <c r="A7982" s="3">
        <v>46202</v>
      </c>
      <c r="B7982" s="46" t="s">
        <v>285</v>
      </c>
      <c r="C7982" s="4"/>
      <c r="D7982" s="4" t="s">
        <v>673</v>
      </c>
      <c r="E7982" s="4"/>
      <c r="F7982" s="4"/>
      <c r="G7982" s="4" t="s">
        <v>3839</v>
      </c>
      <c r="H7982" s="4" t="s">
        <v>289</v>
      </c>
      <c r="I7982" s="4">
        <v>1</v>
      </c>
      <c r="J7982" s="21">
        <v>491.6</v>
      </c>
      <c r="K7982" s="21">
        <v>0</v>
      </c>
      <c r="L7982" s="5">
        <v>0</v>
      </c>
      <c r="M7982" s="4"/>
      <c r="N7982" s="4"/>
      <c r="O7982" s="5"/>
      <c r="P7982" s="5"/>
      <c r="Q7982" s="21">
        <v>0</v>
      </c>
      <c r="R7982" s="21">
        <v>491.6</v>
      </c>
      <c r="S7982" s="5">
        <f t="shared" si="499"/>
        <v>63561.248732350999</v>
      </c>
      <c r="T7982" cm="1">
        <f t="array" ref="T7982">IF(OR(B7982="MAL ALIMI", B7982="ÜRETİM GİRİŞ"), MIN(I7982, MAX(0, I7982 + SUM(SUMIFS($I$1:I7981, $C$1:C7981, C7982, $B$1:B7981, {"MAL ALIMI","ÜRETİM GİRİŞ"})) - VLOOKUP(C7982, 'STOK RAPORU'!$C$2:$I$1000, 4, 0))), 0)</f>
        <v>0</v>
      </c>
      <c r="U7982" s="22">
        <f t="shared" si="496"/>
        <v>0</v>
      </c>
      <c r="V7982">
        <f t="shared" si="497"/>
        <v>0</v>
      </c>
      <c r="W7982" s="22">
        <f t="shared" si="498"/>
        <v>0</v>
      </c>
    </row>
    <row r="7983" spans="1:23" hidden="1" x14ac:dyDescent="0.25">
      <c r="A7983" s="3">
        <v>46202</v>
      </c>
      <c r="B7983" s="46" t="s">
        <v>946</v>
      </c>
      <c r="C7983" s="4"/>
      <c r="D7983" s="4"/>
      <c r="E7983" s="4" t="s">
        <v>921</v>
      </c>
      <c r="F7983" s="4"/>
      <c r="G7983" s="4" t="s">
        <v>3839</v>
      </c>
      <c r="H7983" s="4" t="s">
        <v>380</v>
      </c>
      <c r="I7983" s="4">
        <v>1</v>
      </c>
      <c r="J7983" s="21">
        <v>1597.4</v>
      </c>
      <c r="K7983" s="21">
        <v>0</v>
      </c>
      <c r="L7983" s="32">
        <v>1597.4</v>
      </c>
      <c r="M7983" s="4"/>
      <c r="N7983" s="4"/>
      <c r="O7983" s="5"/>
      <c r="P7983" s="5"/>
      <c r="Q7983" s="5">
        <v>1597.4</v>
      </c>
      <c r="R7983" s="21">
        <v>0</v>
      </c>
      <c r="S7983" s="5">
        <f t="shared" si="499"/>
        <v>65158.648732351001</v>
      </c>
      <c r="T7983" cm="1">
        <f t="array" ref="T7983">IF(OR(B7983="MAL ALIMI", B7983="ÜRETİM GİRİŞ"), MIN(I7983, MAX(0, I7983 + SUM(SUMIFS($I$1:I7982, $C$1:C7982, C7983, $B$1:B7982, {"MAL ALIMI","ÜRETİM GİRİŞ"})) - VLOOKUP(C7983, 'STOK RAPORU'!$C$2:$I$1000, 4, 0))), 0)</f>
        <v>0</v>
      </c>
      <c r="U7983" s="22">
        <f t="shared" si="496"/>
        <v>0</v>
      </c>
      <c r="V7983">
        <f t="shared" si="497"/>
        <v>0</v>
      </c>
      <c r="W7983" s="22">
        <f t="shared" si="498"/>
        <v>0</v>
      </c>
    </row>
    <row r="7984" spans="1:23" hidden="1" x14ac:dyDescent="0.25">
      <c r="A7984" s="3">
        <v>46202</v>
      </c>
      <c r="B7984" s="46" t="s">
        <v>285</v>
      </c>
      <c r="C7984" s="4"/>
      <c r="D7984" s="4" t="s">
        <v>673</v>
      </c>
      <c r="E7984" s="4"/>
      <c r="F7984" s="4"/>
      <c r="G7984" s="4" t="s">
        <v>3839</v>
      </c>
      <c r="H7984" s="4" t="s">
        <v>289</v>
      </c>
      <c r="I7984" s="4">
        <v>1</v>
      </c>
      <c r="J7984" s="21">
        <v>1597.4</v>
      </c>
      <c r="K7984" s="21">
        <v>0</v>
      </c>
      <c r="L7984" s="5">
        <v>0</v>
      </c>
      <c r="M7984" s="4"/>
      <c r="N7984" s="4"/>
      <c r="O7984" s="5"/>
      <c r="P7984" s="5"/>
      <c r="Q7984" s="21">
        <v>0</v>
      </c>
      <c r="R7984" s="21">
        <v>1597.4</v>
      </c>
      <c r="S7984" s="5">
        <f t="shared" si="499"/>
        <v>63561.248732350999</v>
      </c>
      <c r="T7984" cm="1">
        <f t="array" ref="T7984">IF(OR(B7984="MAL ALIMI", B7984="ÜRETİM GİRİŞ"), MIN(I7984, MAX(0, I7984 + SUM(SUMIFS($I$1:I7983, $C$1:C7983, C7984, $B$1:B7983, {"MAL ALIMI","ÜRETİM GİRİŞ"})) - VLOOKUP(C7984, 'STOK RAPORU'!$C$2:$I$1000, 4, 0))), 0)</f>
        <v>0</v>
      </c>
      <c r="U7984" s="22">
        <f t="shared" si="496"/>
        <v>0</v>
      </c>
      <c r="V7984">
        <f t="shared" si="497"/>
        <v>0</v>
      </c>
      <c r="W7984" s="22">
        <f t="shared" si="498"/>
        <v>0</v>
      </c>
    </row>
    <row r="7985" spans="1:23" hidden="1" x14ac:dyDescent="0.25">
      <c r="A7985" s="3">
        <v>46203</v>
      </c>
      <c r="B7985" s="46" t="s">
        <v>334</v>
      </c>
      <c r="C7985" s="4" t="s">
        <v>1357</v>
      </c>
      <c r="D7985" s="4"/>
      <c r="E7985" s="4" t="s">
        <v>921</v>
      </c>
      <c r="F7985" s="4" t="s">
        <v>3778</v>
      </c>
      <c r="G7985" s="4" t="s">
        <v>336</v>
      </c>
      <c r="H7985" s="4" t="s">
        <v>380</v>
      </c>
      <c r="I7985" s="4">
        <v>0.2857142857142857</v>
      </c>
      <c r="J7985" s="21">
        <v>700</v>
      </c>
      <c r="K7985" s="21">
        <v>200</v>
      </c>
      <c r="L7985" s="5">
        <v>0</v>
      </c>
      <c r="M7985" s="4"/>
      <c r="N7985" s="4"/>
      <c r="O7985" s="5"/>
      <c r="P7985" s="5"/>
      <c r="Q7985" s="21">
        <v>0</v>
      </c>
      <c r="R7985" s="21">
        <v>0</v>
      </c>
      <c r="S7985" s="5">
        <f t="shared" si="499"/>
        <v>63561.248732350999</v>
      </c>
      <c r="T7985" cm="1">
        <f t="array" ref="T7985">IF(OR(B7985="MAL ALIMI", B7985="ÜRETİM GİRİŞ"), MIN(I7985, MAX(0, I7985 + SUM(SUMIFS($I$1:I7984, $C$1:C7984, C7985, $B$1:B7984, {"MAL ALIMI","ÜRETİM GİRİŞ"})) - VLOOKUP(C7985, 'STOK RAPORU'!$C$2:$I$1000, 4, 0))), 0)</f>
        <v>0</v>
      </c>
      <c r="U7985" s="22">
        <f t="shared" ref="U7985:U8048" si="500">T7985*J7985</f>
        <v>0</v>
      </c>
      <c r="V7985">
        <f t="shared" ref="V7985:V8048" si="501">IF(OR(B7985="MAL ALIMI", B7985="ÜRETİM GİRİŞ"), I7985 * J7985, 0)</f>
        <v>0</v>
      </c>
      <c r="W7985" s="22">
        <f t="shared" ref="W7985:W8048" si="502">V7985-U7985</f>
        <v>0</v>
      </c>
    </row>
    <row r="7986" spans="1:23" hidden="1" x14ac:dyDescent="0.25">
      <c r="A7986" s="3">
        <v>46203</v>
      </c>
      <c r="B7986" s="46" t="s">
        <v>334</v>
      </c>
      <c r="C7986" s="4" t="s">
        <v>728</v>
      </c>
      <c r="D7986" s="4"/>
      <c r="E7986" s="4" t="s">
        <v>921</v>
      </c>
      <c r="F7986" s="4" t="s">
        <v>3778</v>
      </c>
      <c r="G7986" s="4" t="s">
        <v>336</v>
      </c>
      <c r="H7986" s="4" t="s">
        <v>380</v>
      </c>
      <c r="I7986" s="4">
        <v>0.30769230769230771</v>
      </c>
      <c r="J7986" s="21">
        <v>650</v>
      </c>
      <c r="K7986" s="21">
        <v>200</v>
      </c>
      <c r="L7986" s="5">
        <v>0</v>
      </c>
      <c r="M7986" s="4"/>
      <c r="N7986" s="4"/>
      <c r="O7986" s="5"/>
      <c r="P7986" s="5"/>
      <c r="Q7986" s="21">
        <v>0</v>
      </c>
      <c r="R7986" s="21">
        <v>0</v>
      </c>
      <c r="S7986" s="5">
        <f t="shared" si="499"/>
        <v>63561.248732350999</v>
      </c>
      <c r="T7986" cm="1">
        <f t="array" ref="T7986">IF(OR(B7986="MAL ALIMI", B7986="ÜRETİM GİRİŞ"), MIN(I7986, MAX(0, I7986 + SUM(SUMIFS($I$1:I7985, $C$1:C7985, C7986, $B$1:B7985, {"MAL ALIMI","ÜRETİM GİRİŞ"})) - VLOOKUP(C7986, 'STOK RAPORU'!$C$2:$I$1000, 4, 0))), 0)</f>
        <v>0</v>
      </c>
      <c r="U7986" s="22">
        <f t="shared" si="500"/>
        <v>0</v>
      </c>
      <c r="V7986">
        <f t="shared" si="501"/>
        <v>0</v>
      </c>
      <c r="W7986" s="22">
        <f t="shared" si="502"/>
        <v>0</v>
      </c>
    </row>
    <row r="7987" spans="1:23" hidden="1" x14ac:dyDescent="0.25">
      <c r="A7987" s="3">
        <v>46203</v>
      </c>
      <c r="B7987" s="46" t="s">
        <v>334</v>
      </c>
      <c r="C7987" s="4" t="s">
        <v>60</v>
      </c>
      <c r="D7987" s="4"/>
      <c r="E7987" s="4" t="s">
        <v>921</v>
      </c>
      <c r="F7987" s="4" t="s">
        <v>3778</v>
      </c>
      <c r="G7987" s="4" t="s">
        <v>336</v>
      </c>
      <c r="H7987" s="4" t="s">
        <v>380</v>
      </c>
      <c r="I7987" s="4">
        <v>0.05</v>
      </c>
      <c r="J7987" s="21">
        <v>1200</v>
      </c>
      <c r="K7987" s="21">
        <v>60</v>
      </c>
      <c r="L7987" s="5">
        <v>0</v>
      </c>
      <c r="M7987" s="4"/>
      <c r="N7987" s="4"/>
      <c r="O7987" s="5"/>
      <c r="P7987" s="5"/>
      <c r="Q7987" s="21">
        <v>0</v>
      </c>
      <c r="R7987" s="21">
        <v>0</v>
      </c>
      <c r="S7987" s="5">
        <f t="shared" si="499"/>
        <v>63561.248732350999</v>
      </c>
      <c r="T7987" cm="1">
        <f t="array" ref="T7987">IF(OR(B7987="MAL ALIMI", B7987="ÜRETİM GİRİŞ"), MIN(I7987, MAX(0, I7987 + SUM(SUMIFS($I$1:I7986, $C$1:C7986, C7987, $B$1:B7986, {"MAL ALIMI","ÜRETİM GİRİŞ"})) - VLOOKUP(C7987, 'STOK RAPORU'!$C$2:$I$1000, 4, 0))), 0)</f>
        <v>0</v>
      </c>
      <c r="U7987" s="22">
        <f t="shared" si="500"/>
        <v>0</v>
      </c>
      <c r="V7987">
        <f t="shared" si="501"/>
        <v>0</v>
      </c>
      <c r="W7987" s="22">
        <f t="shared" si="502"/>
        <v>0</v>
      </c>
    </row>
    <row r="7988" spans="1:23" hidden="1" x14ac:dyDescent="0.25">
      <c r="A7988" s="3">
        <v>46203</v>
      </c>
      <c r="B7988" s="46" t="s">
        <v>334</v>
      </c>
      <c r="C7988" s="4" t="s">
        <v>158</v>
      </c>
      <c r="D7988" s="4"/>
      <c r="E7988" s="4" t="s">
        <v>921</v>
      </c>
      <c r="F7988" s="4" t="s">
        <v>3779</v>
      </c>
      <c r="G7988" s="4" t="s">
        <v>336</v>
      </c>
      <c r="H7988" s="4" t="s">
        <v>380</v>
      </c>
      <c r="I7988" s="4">
        <v>1</v>
      </c>
      <c r="J7988" s="21">
        <v>150</v>
      </c>
      <c r="K7988" s="21">
        <v>150</v>
      </c>
      <c r="L7988" s="5">
        <v>0</v>
      </c>
      <c r="M7988" s="4"/>
      <c r="N7988" s="4"/>
      <c r="O7988" s="5"/>
      <c r="P7988" s="5"/>
      <c r="Q7988" s="21">
        <v>0</v>
      </c>
      <c r="R7988" s="21">
        <v>0</v>
      </c>
      <c r="S7988" s="5">
        <f t="shared" si="499"/>
        <v>63561.248732350999</v>
      </c>
      <c r="T7988" cm="1">
        <f t="array" ref="T7988">IF(OR(B7988="MAL ALIMI", B7988="ÜRETİM GİRİŞ"), MIN(I7988, MAX(0, I7988 + SUM(SUMIFS($I$1:I7987, $C$1:C7987, C7988, $B$1:B7987, {"MAL ALIMI","ÜRETİM GİRİŞ"})) - VLOOKUP(C7988, 'STOK RAPORU'!$C$2:$I$1000, 4, 0))), 0)</f>
        <v>0</v>
      </c>
      <c r="U7988" s="22">
        <f t="shared" si="500"/>
        <v>0</v>
      </c>
      <c r="V7988">
        <f t="shared" si="501"/>
        <v>0</v>
      </c>
      <c r="W7988" s="22">
        <f t="shared" si="502"/>
        <v>0</v>
      </c>
    </row>
    <row r="7989" spans="1:23" hidden="1" x14ac:dyDescent="0.25">
      <c r="A7989" s="3">
        <v>46203</v>
      </c>
      <c r="B7989" s="46" t="s">
        <v>334</v>
      </c>
      <c r="C7989" s="4" t="s">
        <v>257</v>
      </c>
      <c r="D7989" s="4"/>
      <c r="E7989" s="4"/>
      <c r="F7989" s="4" t="s">
        <v>3780</v>
      </c>
      <c r="G7989" s="4" t="s">
        <v>336</v>
      </c>
      <c r="H7989" s="4" t="s">
        <v>289</v>
      </c>
      <c r="I7989" s="4">
        <v>1</v>
      </c>
      <c r="J7989" s="21">
        <v>220</v>
      </c>
      <c r="K7989" s="21">
        <v>0</v>
      </c>
      <c r="L7989" s="5">
        <v>0</v>
      </c>
      <c r="M7989" s="4"/>
      <c r="N7989" s="4"/>
      <c r="O7989" s="5"/>
      <c r="P7989" s="5"/>
      <c r="Q7989" s="21">
        <v>220</v>
      </c>
      <c r="R7989" s="21">
        <v>0</v>
      </c>
      <c r="S7989" s="5">
        <f t="shared" si="499"/>
        <v>63781.248732350999</v>
      </c>
      <c r="T7989" cm="1">
        <f t="array" ref="T7989">IF(OR(B7989="MAL ALIMI", B7989="ÜRETİM GİRİŞ"), MIN(I7989, MAX(0, I7989 + SUM(SUMIFS($I$1:I7988, $C$1:C7988, C7989, $B$1:B7988, {"MAL ALIMI","ÜRETİM GİRİŞ"})) - VLOOKUP(C7989, 'STOK RAPORU'!$C$2:$I$1000, 4, 0))), 0)</f>
        <v>0</v>
      </c>
      <c r="U7989" s="22">
        <f t="shared" si="500"/>
        <v>0</v>
      </c>
      <c r="V7989">
        <f t="shared" si="501"/>
        <v>0</v>
      </c>
      <c r="W7989" s="22">
        <f t="shared" si="502"/>
        <v>0</v>
      </c>
    </row>
    <row r="7990" spans="1:23" hidden="1" x14ac:dyDescent="0.25">
      <c r="A7990" s="3">
        <v>46203</v>
      </c>
      <c r="B7990" s="46" t="s">
        <v>334</v>
      </c>
      <c r="C7990" s="4" t="s">
        <v>459</v>
      </c>
      <c r="D7990" s="4"/>
      <c r="E7990" s="4"/>
      <c r="F7990" s="4" t="s">
        <v>3780</v>
      </c>
      <c r="G7990" s="4" t="s">
        <v>336</v>
      </c>
      <c r="H7990" s="4" t="s">
        <v>289</v>
      </c>
      <c r="I7990" s="4">
        <v>0.5</v>
      </c>
      <c r="J7990" s="21">
        <v>140</v>
      </c>
      <c r="K7990" s="21">
        <v>0</v>
      </c>
      <c r="L7990" s="5">
        <v>0</v>
      </c>
      <c r="M7990" s="4"/>
      <c r="N7990" s="4"/>
      <c r="O7990" s="5"/>
      <c r="P7990" s="5"/>
      <c r="Q7990" s="21">
        <v>70</v>
      </c>
      <c r="R7990" s="21">
        <v>0</v>
      </c>
      <c r="S7990" s="5">
        <f t="shared" si="499"/>
        <v>63851.248732350999</v>
      </c>
      <c r="T7990" cm="1">
        <f t="array" ref="T7990">IF(OR(B7990="MAL ALIMI", B7990="ÜRETİM GİRİŞ"), MIN(I7990, MAX(0, I7990 + SUM(SUMIFS($I$1:I7989, $C$1:C7989, C7990, $B$1:B7989, {"MAL ALIMI","ÜRETİM GİRİŞ"})) - VLOOKUP(C7990, 'STOK RAPORU'!$C$2:$I$1000, 4, 0))), 0)</f>
        <v>0</v>
      </c>
      <c r="U7990" s="22">
        <f t="shared" si="500"/>
        <v>0</v>
      </c>
      <c r="V7990">
        <f t="shared" si="501"/>
        <v>0</v>
      </c>
      <c r="W7990" s="22">
        <f t="shared" si="502"/>
        <v>0</v>
      </c>
    </row>
    <row r="7991" spans="1:23" hidden="1" x14ac:dyDescent="0.25">
      <c r="A7991" s="3">
        <v>46203</v>
      </c>
      <c r="B7991" s="46" t="s">
        <v>334</v>
      </c>
      <c r="C7991" s="4" t="s">
        <v>60</v>
      </c>
      <c r="D7991" s="4"/>
      <c r="E7991" s="4"/>
      <c r="F7991" s="4" t="s">
        <v>3780</v>
      </c>
      <c r="G7991" s="4" t="s">
        <v>336</v>
      </c>
      <c r="H7991" s="4" t="s">
        <v>289</v>
      </c>
      <c r="I7991" s="4">
        <v>0.05</v>
      </c>
      <c r="J7991" s="21">
        <v>1200</v>
      </c>
      <c r="K7991" s="21">
        <v>0</v>
      </c>
      <c r="L7991" s="5">
        <v>0</v>
      </c>
      <c r="M7991" s="4"/>
      <c r="N7991" s="4"/>
      <c r="O7991" s="5"/>
      <c r="P7991" s="5"/>
      <c r="Q7991" s="21">
        <v>60</v>
      </c>
      <c r="R7991" s="21">
        <v>0</v>
      </c>
      <c r="S7991" s="5">
        <f t="shared" si="499"/>
        <v>63911.248732350999</v>
      </c>
      <c r="T7991" cm="1">
        <f t="array" ref="T7991">IF(OR(B7991="MAL ALIMI", B7991="ÜRETİM GİRİŞ"), MIN(I7991, MAX(0, I7991 + SUM(SUMIFS($I$1:I7990, $C$1:C7990, C7991, $B$1:B7990, {"MAL ALIMI","ÜRETİM GİRİŞ"})) - VLOOKUP(C7991, 'STOK RAPORU'!$C$2:$I$1000, 4, 0))), 0)</f>
        <v>0</v>
      </c>
      <c r="U7991" s="22">
        <f t="shared" si="500"/>
        <v>0</v>
      </c>
      <c r="V7991">
        <f t="shared" si="501"/>
        <v>0</v>
      </c>
      <c r="W7991" s="22">
        <f t="shared" si="502"/>
        <v>0</v>
      </c>
    </row>
    <row r="7992" spans="1:23" hidden="1" x14ac:dyDescent="0.25">
      <c r="A7992" s="3">
        <v>46203</v>
      </c>
      <c r="B7992" s="46" t="s">
        <v>334</v>
      </c>
      <c r="C7992" s="4" t="s">
        <v>523</v>
      </c>
      <c r="D7992" s="4"/>
      <c r="E7992" s="4"/>
      <c r="F7992" s="4" t="s">
        <v>3780</v>
      </c>
      <c r="G7992" s="4" t="s">
        <v>336</v>
      </c>
      <c r="H7992" s="4" t="s">
        <v>289</v>
      </c>
      <c r="I7992" s="4">
        <v>0.08</v>
      </c>
      <c r="J7992" s="21">
        <v>750</v>
      </c>
      <c r="K7992" s="21">
        <v>0</v>
      </c>
      <c r="L7992" s="5">
        <v>0</v>
      </c>
      <c r="M7992" s="4"/>
      <c r="N7992" s="4"/>
      <c r="O7992" s="5"/>
      <c r="P7992" s="5"/>
      <c r="Q7992" s="21">
        <v>60</v>
      </c>
      <c r="R7992" s="21">
        <v>0</v>
      </c>
      <c r="S7992" s="5">
        <f t="shared" si="499"/>
        <v>63971.248732350999</v>
      </c>
      <c r="T7992" cm="1">
        <f t="array" ref="T7992">IF(OR(B7992="MAL ALIMI", B7992="ÜRETİM GİRİŞ"), MIN(I7992, MAX(0, I7992 + SUM(SUMIFS($I$1:I7991, $C$1:C7991, C7992, $B$1:B7991, {"MAL ALIMI","ÜRETİM GİRİŞ"})) - VLOOKUP(C7992, 'STOK RAPORU'!$C$2:$I$1000, 4, 0))), 0)</f>
        <v>0</v>
      </c>
      <c r="U7992" s="22">
        <f t="shared" si="500"/>
        <v>0</v>
      </c>
      <c r="V7992">
        <f t="shared" si="501"/>
        <v>0</v>
      </c>
      <c r="W7992" s="22">
        <f t="shared" si="502"/>
        <v>0</v>
      </c>
    </row>
    <row r="7993" spans="1:23" hidden="1" x14ac:dyDescent="0.25">
      <c r="A7993" s="3">
        <v>46203</v>
      </c>
      <c r="B7993" s="46" t="s">
        <v>334</v>
      </c>
      <c r="C7993" s="4" t="s">
        <v>160</v>
      </c>
      <c r="D7993" s="4"/>
      <c r="E7993" s="4" t="s">
        <v>921</v>
      </c>
      <c r="F7993" s="4" t="s">
        <v>3781</v>
      </c>
      <c r="G7993" s="4" t="s">
        <v>3654</v>
      </c>
      <c r="H7993" s="4" t="s">
        <v>380</v>
      </c>
      <c r="I7993" s="4">
        <v>6</v>
      </c>
      <c r="J7993" s="21">
        <v>230</v>
      </c>
      <c r="K7993" s="21">
        <v>1380</v>
      </c>
      <c r="L7993" s="5">
        <v>0</v>
      </c>
      <c r="M7993" s="4"/>
      <c r="N7993" s="4"/>
      <c r="O7993" s="5"/>
      <c r="P7993" s="5"/>
      <c r="Q7993" s="21">
        <v>0</v>
      </c>
      <c r="R7993" s="21">
        <v>0</v>
      </c>
      <c r="S7993" s="5">
        <f t="shared" si="499"/>
        <v>63971.248732350999</v>
      </c>
      <c r="T7993" cm="1">
        <f t="array" ref="T7993">IF(OR(B7993="MAL ALIMI", B7993="ÜRETİM GİRİŞ"), MIN(I7993, MAX(0, I7993 + SUM(SUMIFS($I$1:I7992, $C$1:C7992, C7993, $B$1:B7992, {"MAL ALIMI","ÜRETİM GİRİŞ"})) - VLOOKUP(C7993, 'STOK RAPORU'!$C$2:$I$1000, 4, 0))), 0)</f>
        <v>0</v>
      </c>
      <c r="U7993" s="22">
        <f t="shared" si="500"/>
        <v>0</v>
      </c>
      <c r="V7993">
        <f t="shared" si="501"/>
        <v>0</v>
      </c>
      <c r="W7993" s="22">
        <f t="shared" si="502"/>
        <v>0</v>
      </c>
    </row>
    <row r="7994" spans="1:23" hidden="1" x14ac:dyDescent="0.25">
      <c r="A7994" s="3">
        <v>46203</v>
      </c>
      <c r="B7994" s="46" t="s">
        <v>334</v>
      </c>
      <c r="C7994" s="4" t="s">
        <v>160</v>
      </c>
      <c r="D7994" s="4"/>
      <c r="E7994" s="4" t="s">
        <v>921</v>
      </c>
      <c r="F7994" s="4" t="s">
        <v>3782</v>
      </c>
      <c r="G7994" s="4" t="s">
        <v>336</v>
      </c>
      <c r="H7994" s="4" t="s">
        <v>380</v>
      </c>
      <c r="I7994" s="4">
        <v>1</v>
      </c>
      <c r="J7994" s="21">
        <v>270</v>
      </c>
      <c r="K7994" s="21">
        <v>270</v>
      </c>
      <c r="L7994" s="5">
        <v>0</v>
      </c>
      <c r="M7994" s="4"/>
      <c r="N7994" s="4"/>
      <c r="O7994" s="5"/>
      <c r="P7994" s="5"/>
      <c r="Q7994" s="21">
        <v>0</v>
      </c>
      <c r="R7994" s="21">
        <v>0</v>
      </c>
      <c r="S7994" s="5">
        <f t="shared" si="499"/>
        <v>63971.248732350999</v>
      </c>
      <c r="T7994" cm="1">
        <f t="array" ref="T7994">IF(OR(B7994="MAL ALIMI", B7994="ÜRETİM GİRİŞ"), MIN(I7994, MAX(0, I7994 + SUM(SUMIFS($I$1:I7993, $C$1:C7993, C7994, $B$1:B7993, {"MAL ALIMI","ÜRETİM GİRİŞ"})) - VLOOKUP(C7994, 'STOK RAPORU'!$C$2:$I$1000, 4, 0))), 0)</f>
        <v>0</v>
      </c>
      <c r="U7994" s="22">
        <f t="shared" si="500"/>
        <v>0</v>
      </c>
      <c r="V7994">
        <f t="shared" si="501"/>
        <v>0</v>
      </c>
      <c r="W7994" s="22">
        <f t="shared" si="502"/>
        <v>0</v>
      </c>
    </row>
    <row r="7995" spans="1:23" hidden="1" x14ac:dyDescent="0.25">
      <c r="A7995" s="3">
        <v>46203</v>
      </c>
      <c r="B7995" s="46" t="s">
        <v>334</v>
      </c>
      <c r="C7995" s="4" t="s">
        <v>750</v>
      </c>
      <c r="D7995" s="4"/>
      <c r="E7995" s="4" t="s">
        <v>921</v>
      </c>
      <c r="F7995" s="4" t="s">
        <v>3783</v>
      </c>
      <c r="G7995" s="4" t="s">
        <v>336</v>
      </c>
      <c r="H7995" s="4" t="s">
        <v>380</v>
      </c>
      <c r="I7995" s="4">
        <v>1</v>
      </c>
      <c r="J7995" s="21">
        <v>250</v>
      </c>
      <c r="K7995" s="21">
        <v>250</v>
      </c>
      <c r="L7995" s="5">
        <v>0</v>
      </c>
      <c r="M7995" s="4"/>
      <c r="N7995" s="4"/>
      <c r="O7995" s="5"/>
      <c r="P7995" s="5"/>
      <c r="Q7995" s="21">
        <v>0</v>
      </c>
      <c r="R7995" s="21">
        <v>0</v>
      </c>
      <c r="S7995" s="5">
        <f t="shared" si="499"/>
        <v>63971.248732350999</v>
      </c>
      <c r="T7995" cm="1">
        <f t="array" ref="T7995">IF(OR(B7995="MAL ALIMI", B7995="ÜRETİM GİRİŞ"), MIN(I7995, MAX(0, I7995 + SUM(SUMIFS($I$1:I7994, $C$1:C7994, C7995, $B$1:B7994, {"MAL ALIMI","ÜRETİM GİRİŞ"})) - VLOOKUP(C7995, 'STOK RAPORU'!$C$2:$I$1000, 4, 0))), 0)</f>
        <v>0</v>
      </c>
      <c r="U7995" s="22">
        <f t="shared" si="500"/>
        <v>0</v>
      </c>
      <c r="V7995">
        <f t="shared" si="501"/>
        <v>0</v>
      </c>
      <c r="W7995" s="22">
        <f t="shared" si="502"/>
        <v>0</v>
      </c>
    </row>
    <row r="7996" spans="1:23" hidden="1" x14ac:dyDescent="0.25">
      <c r="A7996" s="3">
        <v>46203</v>
      </c>
      <c r="B7996" s="46" t="s">
        <v>334</v>
      </c>
      <c r="C7996" s="4" t="s">
        <v>2144</v>
      </c>
      <c r="D7996" s="4"/>
      <c r="E7996" s="4"/>
      <c r="F7996" s="4" t="s">
        <v>3784</v>
      </c>
      <c r="G7996" s="4" t="s">
        <v>336</v>
      </c>
      <c r="H7996" s="4" t="s">
        <v>289</v>
      </c>
      <c r="I7996" s="4">
        <v>1</v>
      </c>
      <c r="J7996" s="21">
        <v>350</v>
      </c>
      <c r="K7996" s="21">
        <v>0</v>
      </c>
      <c r="L7996" s="5">
        <v>0</v>
      </c>
      <c r="M7996" s="4"/>
      <c r="N7996" s="4"/>
      <c r="O7996" s="5"/>
      <c r="P7996" s="5"/>
      <c r="Q7996" s="21">
        <v>350</v>
      </c>
      <c r="R7996" s="21">
        <v>0</v>
      </c>
      <c r="S7996" s="5">
        <f t="shared" si="499"/>
        <v>64321.248732350999</v>
      </c>
      <c r="T7996" cm="1">
        <f t="array" ref="T7996">IF(OR(B7996="MAL ALIMI", B7996="ÜRETİM GİRİŞ"), MIN(I7996, MAX(0, I7996 + SUM(SUMIFS($I$1:I7995, $C$1:C7995, C7996, $B$1:B7995, {"MAL ALIMI","ÜRETİM GİRİŞ"})) - VLOOKUP(C7996, 'STOK RAPORU'!$C$2:$I$1000, 4, 0))), 0)</f>
        <v>0</v>
      </c>
      <c r="U7996" s="22">
        <f t="shared" si="500"/>
        <v>0</v>
      </c>
      <c r="V7996">
        <f t="shared" si="501"/>
        <v>0</v>
      </c>
      <c r="W7996" s="22">
        <f t="shared" si="502"/>
        <v>0</v>
      </c>
    </row>
    <row r="7997" spans="1:23" hidden="1" x14ac:dyDescent="0.25">
      <c r="A7997" s="3">
        <v>46203</v>
      </c>
      <c r="B7997" s="46" t="s">
        <v>334</v>
      </c>
      <c r="C7997" s="4" t="s">
        <v>96</v>
      </c>
      <c r="D7997" s="4"/>
      <c r="E7997" s="4"/>
      <c r="F7997" s="4" t="s">
        <v>3785</v>
      </c>
      <c r="G7997" s="4" t="s">
        <v>336</v>
      </c>
      <c r="H7997" s="4" t="s">
        <v>289</v>
      </c>
      <c r="I7997" s="4">
        <v>0.125</v>
      </c>
      <c r="J7997" s="21">
        <v>400</v>
      </c>
      <c r="K7997" s="21">
        <v>0</v>
      </c>
      <c r="L7997" s="5">
        <v>0</v>
      </c>
      <c r="M7997" s="4"/>
      <c r="N7997" s="4"/>
      <c r="O7997" s="5"/>
      <c r="P7997" s="5"/>
      <c r="Q7997" s="21">
        <v>50</v>
      </c>
      <c r="R7997" s="21">
        <v>0</v>
      </c>
      <c r="S7997" s="5">
        <f t="shared" si="499"/>
        <v>64371.248732350999</v>
      </c>
      <c r="T7997" cm="1">
        <f t="array" ref="T7997">IF(OR(B7997="MAL ALIMI", B7997="ÜRETİM GİRİŞ"), MIN(I7997, MAX(0, I7997 + SUM(SUMIFS($I$1:I7996, $C$1:C7996, C7997, $B$1:B7996, {"MAL ALIMI","ÜRETİM GİRİŞ"})) - VLOOKUP(C7997, 'STOK RAPORU'!$C$2:$I$1000, 4, 0))), 0)</f>
        <v>0</v>
      </c>
      <c r="U7997" s="22">
        <f t="shared" si="500"/>
        <v>0</v>
      </c>
      <c r="V7997">
        <f t="shared" si="501"/>
        <v>0</v>
      </c>
      <c r="W7997" s="22">
        <f t="shared" si="502"/>
        <v>0</v>
      </c>
    </row>
    <row r="7998" spans="1:23" hidden="1" x14ac:dyDescent="0.25">
      <c r="A7998" s="3">
        <v>46203</v>
      </c>
      <c r="B7998" s="46" t="s">
        <v>334</v>
      </c>
      <c r="C7998" s="4" t="s">
        <v>1501</v>
      </c>
      <c r="D7998" s="4"/>
      <c r="E7998" s="4"/>
      <c r="F7998" s="4" t="s">
        <v>3786</v>
      </c>
      <c r="G7998" s="4" t="s">
        <v>1771</v>
      </c>
      <c r="H7998" s="42" t="s">
        <v>289</v>
      </c>
      <c r="I7998" s="4">
        <v>1</v>
      </c>
      <c r="J7998" s="21">
        <v>700</v>
      </c>
      <c r="K7998" s="5">
        <v>0</v>
      </c>
      <c r="L7998" s="5">
        <v>0</v>
      </c>
      <c r="M7998" s="4"/>
      <c r="N7998" s="4"/>
      <c r="O7998" s="5"/>
      <c r="P7998" s="5"/>
      <c r="Q7998" s="21">
        <v>700</v>
      </c>
      <c r="R7998" s="21">
        <v>0</v>
      </c>
      <c r="S7998" s="5">
        <f t="shared" si="499"/>
        <v>65071.248732350999</v>
      </c>
      <c r="T7998" cm="1">
        <f t="array" ref="T7998">IF(OR(B7998="MAL ALIMI", B7998="ÜRETİM GİRİŞ"), MIN(I7998, MAX(0, I7998 + SUM(SUMIFS($I$1:I7997, $C$1:C7997, C7998, $B$1:B7997, {"MAL ALIMI","ÜRETİM GİRİŞ"})) - VLOOKUP(C7998, 'STOK RAPORU'!$C$2:$I$1000, 4, 0))), 0)</f>
        <v>0</v>
      </c>
      <c r="U7998" s="22">
        <f t="shared" si="500"/>
        <v>0</v>
      </c>
      <c r="V7998">
        <f t="shared" si="501"/>
        <v>0</v>
      </c>
      <c r="W7998" s="22">
        <f t="shared" si="502"/>
        <v>0</v>
      </c>
    </row>
    <row r="7999" spans="1:23" hidden="1" x14ac:dyDescent="0.25">
      <c r="A7999" s="3">
        <v>46203</v>
      </c>
      <c r="B7999" s="46" t="s">
        <v>334</v>
      </c>
      <c r="C7999" s="4" t="s">
        <v>976</v>
      </c>
      <c r="D7999" s="4"/>
      <c r="E7999" s="4"/>
      <c r="F7999" s="4" t="s">
        <v>3786</v>
      </c>
      <c r="G7999" s="4" t="s">
        <v>1771</v>
      </c>
      <c r="H7999" s="42" t="s">
        <v>289</v>
      </c>
      <c r="I7999" s="4">
        <v>1</v>
      </c>
      <c r="J7999" s="21">
        <v>390</v>
      </c>
      <c r="K7999" s="5">
        <v>0</v>
      </c>
      <c r="L7999" s="5">
        <v>0</v>
      </c>
      <c r="M7999" s="4"/>
      <c r="N7999" s="4"/>
      <c r="O7999" s="5"/>
      <c r="P7999" s="5"/>
      <c r="Q7999" s="21">
        <v>390</v>
      </c>
      <c r="R7999" s="21">
        <v>0</v>
      </c>
      <c r="S7999" s="5">
        <f t="shared" si="499"/>
        <v>65461.248732350999</v>
      </c>
      <c r="T7999" cm="1">
        <f t="array" ref="T7999">IF(OR(B7999="MAL ALIMI", B7999="ÜRETİM GİRİŞ"), MIN(I7999, MAX(0, I7999 + SUM(SUMIFS($I$1:I7998, $C$1:C7998, C7999, $B$1:B7998, {"MAL ALIMI","ÜRETİM GİRİŞ"})) - VLOOKUP(C7999, 'STOK RAPORU'!$C$2:$I$1000, 4, 0))), 0)</f>
        <v>0</v>
      </c>
      <c r="U7999" s="22">
        <f t="shared" si="500"/>
        <v>0</v>
      </c>
      <c r="V7999">
        <f t="shared" si="501"/>
        <v>0</v>
      </c>
      <c r="W7999" s="22">
        <f t="shared" si="502"/>
        <v>0</v>
      </c>
    </row>
    <row r="8000" spans="1:23" hidden="1" x14ac:dyDescent="0.25">
      <c r="A8000" s="3">
        <v>46204</v>
      </c>
      <c r="B8000" s="46" t="s">
        <v>334</v>
      </c>
      <c r="C8000" s="4" t="s">
        <v>91</v>
      </c>
      <c r="D8000" s="4"/>
      <c r="E8000" s="4"/>
      <c r="F8000" s="4" t="s">
        <v>3787</v>
      </c>
      <c r="G8000" s="4" t="s">
        <v>336</v>
      </c>
      <c r="H8000" s="4" t="s">
        <v>289</v>
      </c>
      <c r="I8000" s="4">
        <v>5.8823529411764705E-2</v>
      </c>
      <c r="J8000" s="21">
        <v>850</v>
      </c>
      <c r="K8000" s="21">
        <v>0</v>
      </c>
      <c r="L8000" s="5">
        <v>0</v>
      </c>
      <c r="M8000" s="4"/>
      <c r="N8000" s="4"/>
      <c r="O8000" s="5"/>
      <c r="P8000" s="5"/>
      <c r="Q8000" s="21">
        <v>50</v>
      </c>
      <c r="R8000" s="21">
        <v>0</v>
      </c>
      <c r="S8000" s="5">
        <f t="shared" si="499"/>
        <v>65511.248732350999</v>
      </c>
      <c r="T8000" cm="1">
        <f t="array" ref="T8000">IF(OR(B8000="MAL ALIMI", B8000="ÜRETİM GİRİŞ"), MIN(I8000, MAX(0, I8000 + SUM(SUMIFS($I$1:I7999, $C$1:C7999, C8000, $B$1:B7999, {"MAL ALIMI","ÜRETİM GİRİŞ"})) - VLOOKUP(C8000, 'STOK RAPORU'!$C$2:$I$1000, 4, 0))), 0)</f>
        <v>0</v>
      </c>
      <c r="U8000" s="22">
        <f t="shared" si="500"/>
        <v>0</v>
      </c>
      <c r="V8000">
        <f t="shared" si="501"/>
        <v>0</v>
      </c>
      <c r="W8000" s="22">
        <f t="shared" si="502"/>
        <v>0</v>
      </c>
    </row>
    <row r="8001" spans="1:23" hidden="1" x14ac:dyDescent="0.25">
      <c r="A8001" s="3">
        <v>46204</v>
      </c>
      <c r="B8001" s="46" t="s">
        <v>334</v>
      </c>
      <c r="C8001" s="4" t="s">
        <v>266</v>
      </c>
      <c r="D8001" s="4"/>
      <c r="E8001" s="4"/>
      <c r="F8001" s="4" t="s">
        <v>3787</v>
      </c>
      <c r="G8001" s="4" t="s">
        <v>336</v>
      </c>
      <c r="H8001" s="4" t="s">
        <v>289</v>
      </c>
      <c r="I8001" s="4">
        <v>0.4</v>
      </c>
      <c r="J8001" s="21">
        <v>250</v>
      </c>
      <c r="K8001" s="21">
        <v>0</v>
      </c>
      <c r="L8001" s="5">
        <v>0</v>
      </c>
      <c r="M8001" s="4"/>
      <c r="N8001" s="4"/>
      <c r="O8001" s="5"/>
      <c r="P8001" s="5"/>
      <c r="Q8001" s="21">
        <v>100</v>
      </c>
      <c r="R8001" s="21">
        <v>0</v>
      </c>
      <c r="S8001" s="5">
        <f t="shared" si="499"/>
        <v>65611.248732350999</v>
      </c>
      <c r="T8001" cm="1">
        <f t="array" ref="T8001">IF(OR(B8001="MAL ALIMI", B8001="ÜRETİM GİRİŞ"), MIN(I8001, MAX(0, I8001 + SUM(SUMIFS($I$1:I8000, $C$1:C8000, C8001, $B$1:B8000, {"MAL ALIMI","ÜRETİM GİRİŞ"})) - VLOOKUP(C8001, 'STOK RAPORU'!$C$2:$I$1000, 4, 0))), 0)</f>
        <v>0</v>
      </c>
      <c r="U8001" s="22">
        <f t="shared" si="500"/>
        <v>0</v>
      </c>
      <c r="V8001">
        <f t="shared" si="501"/>
        <v>0</v>
      </c>
      <c r="W8001" s="22">
        <f t="shared" si="502"/>
        <v>0</v>
      </c>
    </row>
    <row r="8002" spans="1:23" hidden="1" x14ac:dyDescent="0.25">
      <c r="A8002" s="3">
        <v>46204</v>
      </c>
      <c r="B8002" s="46" t="s">
        <v>334</v>
      </c>
      <c r="C8002" s="4" t="s">
        <v>2125</v>
      </c>
      <c r="D8002" s="4"/>
      <c r="E8002" s="4"/>
      <c r="F8002" s="4" t="s">
        <v>3787</v>
      </c>
      <c r="G8002" s="4" t="s">
        <v>336</v>
      </c>
      <c r="H8002" s="4" t="s">
        <v>289</v>
      </c>
      <c r="I8002" s="4">
        <v>0.13513513513513514</v>
      </c>
      <c r="J8002" s="21">
        <v>370</v>
      </c>
      <c r="K8002" s="21">
        <v>0</v>
      </c>
      <c r="L8002" s="5">
        <v>0</v>
      </c>
      <c r="M8002" s="4"/>
      <c r="N8002" s="4"/>
      <c r="O8002" s="5"/>
      <c r="P8002" s="5"/>
      <c r="Q8002" s="21">
        <v>50</v>
      </c>
      <c r="R8002" s="21">
        <v>0</v>
      </c>
      <c r="S8002" s="5">
        <f t="shared" si="499"/>
        <v>65661.248732350999</v>
      </c>
      <c r="T8002" cm="1">
        <f t="array" ref="T8002">IF(OR(B8002="MAL ALIMI", B8002="ÜRETİM GİRİŞ"), MIN(I8002, MAX(0, I8002 + SUM(SUMIFS($I$1:I8001, $C$1:C8001, C8002, $B$1:B8001, {"MAL ALIMI","ÜRETİM GİRİŞ"})) - VLOOKUP(C8002, 'STOK RAPORU'!$C$2:$I$1000, 4, 0))), 0)</f>
        <v>0</v>
      </c>
      <c r="U8002" s="22">
        <f t="shared" si="500"/>
        <v>0</v>
      </c>
      <c r="V8002">
        <f t="shared" si="501"/>
        <v>0</v>
      </c>
      <c r="W8002" s="22">
        <f t="shared" si="502"/>
        <v>0</v>
      </c>
    </row>
    <row r="8003" spans="1:23" hidden="1" x14ac:dyDescent="0.25">
      <c r="A8003" s="3">
        <v>46204</v>
      </c>
      <c r="B8003" s="4" t="s">
        <v>1467</v>
      </c>
      <c r="C8003" s="4" t="s">
        <v>246</v>
      </c>
      <c r="D8003" s="4"/>
      <c r="E8003" s="4"/>
      <c r="F8003" s="4"/>
      <c r="G8003" s="4" t="s">
        <v>1468</v>
      </c>
      <c r="H8003" s="4" t="s">
        <v>1466</v>
      </c>
      <c r="I8003" s="4">
        <v>1</v>
      </c>
      <c r="J8003" s="21">
        <v>1260</v>
      </c>
      <c r="K8003" s="21">
        <v>0</v>
      </c>
      <c r="L8003" s="5">
        <v>0</v>
      </c>
      <c r="M8003" s="4"/>
      <c r="N8003" s="4"/>
      <c r="O8003" s="5"/>
      <c r="P8003" s="5"/>
      <c r="Q8003" s="21">
        <v>1260</v>
      </c>
      <c r="R8003" s="21">
        <v>0</v>
      </c>
      <c r="S8003" s="5">
        <f t="shared" si="499"/>
        <v>66921.248732350999</v>
      </c>
      <c r="T8003" cm="1">
        <f t="array" ref="T8003">IF(OR(B8003="MAL ALIMI", B8003="ÜRETİM GİRİŞ"), MIN(I8003, MAX(0, I8003 + SUM(SUMIFS($I$1:I8002, $C$1:C8002, C8003, $B$1:B8002, {"MAL ALIMI","ÜRETİM GİRİŞ"})) - VLOOKUP(C8003, 'STOK RAPORU'!$C$2:$I$1000, 4, 0))), 0)</f>
        <v>0</v>
      </c>
      <c r="U8003" s="22">
        <f t="shared" si="500"/>
        <v>0</v>
      </c>
      <c r="V8003">
        <f t="shared" si="501"/>
        <v>0</v>
      </c>
      <c r="W8003" s="22">
        <f t="shared" si="502"/>
        <v>0</v>
      </c>
    </row>
    <row r="8004" spans="1:23" hidden="1" x14ac:dyDescent="0.25">
      <c r="A8004" s="3">
        <v>46204</v>
      </c>
      <c r="B8004" s="4" t="s">
        <v>1467</v>
      </c>
      <c r="C8004" s="4" t="s">
        <v>247</v>
      </c>
      <c r="D8004" s="4"/>
      <c r="E8004" s="4"/>
      <c r="F8004" s="4"/>
      <c r="G8004" s="4" t="s">
        <v>1468</v>
      </c>
      <c r="H8004" s="4" t="s">
        <v>1466</v>
      </c>
      <c r="I8004" s="4">
        <v>1</v>
      </c>
      <c r="J8004" s="21">
        <v>780</v>
      </c>
      <c r="K8004" s="21">
        <v>0</v>
      </c>
      <c r="L8004" s="5">
        <v>0</v>
      </c>
      <c r="M8004" s="4"/>
      <c r="N8004" s="4"/>
      <c r="O8004" s="5"/>
      <c r="P8004" s="5"/>
      <c r="Q8004" s="21">
        <v>780</v>
      </c>
      <c r="R8004" s="21">
        <v>0</v>
      </c>
      <c r="S8004" s="5">
        <f t="shared" si="499"/>
        <v>67701.248732350999</v>
      </c>
      <c r="T8004" cm="1">
        <f t="array" ref="T8004">IF(OR(B8004="MAL ALIMI", B8004="ÜRETİM GİRİŞ"), MIN(I8004, MAX(0, I8004 + SUM(SUMIFS($I$1:I8003, $C$1:C8003, C8004, $B$1:B8003, {"MAL ALIMI","ÜRETİM GİRİŞ"})) - VLOOKUP(C8004, 'STOK RAPORU'!$C$2:$I$1000, 4, 0))), 0)</f>
        <v>0</v>
      </c>
      <c r="U8004" s="22">
        <f t="shared" si="500"/>
        <v>0</v>
      </c>
      <c r="V8004">
        <f t="shared" si="501"/>
        <v>0</v>
      </c>
      <c r="W8004" s="22">
        <f t="shared" si="502"/>
        <v>0</v>
      </c>
    </row>
    <row r="8005" spans="1:23" hidden="1" x14ac:dyDescent="0.25">
      <c r="A8005" s="3">
        <v>46204</v>
      </c>
      <c r="B8005" s="4" t="s">
        <v>1467</v>
      </c>
      <c r="C8005" s="4" t="s">
        <v>244</v>
      </c>
      <c r="D8005" s="4"/>
      <c r="E8005" s="4"/>
      <c r="F8005" s="4"/>
      <c r="G8005" s="4" t="s">
        <v>1468</v>
      </c>
      <c r="H8005" s="4" t="s">
        <v>1466</v>
      </c>
      <c r="I8005" s="4">
        <v>2</v>
      </c>
      <c r="J8005" s="21">
        <v>525</v>
      </c>
      <c r="K8005" s="21">
        <v>0</v>
      </c>
      <c r="L8005" s="5">
        <v>0</v>
      </c>
      <c r="M8005" s="4"/>
      <c r="N8005" s="4"/>
      <c r="O8005" s="5"/>
      <c r="P8005" s="5"/>
      <c r="Q8005" s="21">
        <v>1050</v>
      </c>
      <c r="R8005" s="21">
        <v>0</v>
      </c>
      <c r="S8005" s="5">
        <f t="shared" ref="S8005:S8068" si="503">S8004+Q8005-R8005</f>
        <v>68751.248732350999</v>
      </c>
      <c r="T8005" cm="1">
        <f t="array" ref="T8005">IF(OR(B8005="MAL ALIMI", B8005="ÜRETİM GİRİŞ"), MIN(I8005, MAX(0, I8005 + SUM(SUMIFS($I$1:I8004, $C$1:C8004, C8005, $B$1:B8004, {"MAL ALIMI","ÜRETİM GİRİŞ"})) - VLOOKUP(C8005, 'STOK RAPORU'!$C$2:$I$1000, 4, 0))), 0)</f>
        <v>0</v>
      </c>
      <c r="U8005" s="22">
        <f t="shared" si="500"/>
        <v>0</v>
      </c>
      <c r="V8005">
        <f t="shared" si="501"/>
        <v>0</v>
      </c>
      <c r="W8005" s="22">
        <f t="shared" si="502"/>
        <v>0</v>
      </c>
    </row>
    <row r="8006" spans="1:23" hidden="1" x14ac:dyDescent="0.25">
      <c r="A8006" s="3">
        <v>46204</v>
      </c>
      <c r="B8006" s="4" t="s">
        <v>1467</v>
      </c>
      <c r="C8006" s="4" t="s">
        <v>648</v>
      </c>
      <c r="D8006" s="4"/>
      <c r="E8006" s="4"/>
      <c r="F8006" s="4"/>
      <c r="G8006" s="4" t="s">
        <v>1468</v>
      </c>
      <c r="H8006" s="4" t="s">
        <v>1466</v>
      </c>
      <c r="I8006" s="4">
        <v>2</v>
      </c>
      <c r="J8006" s="21">
        <v>500</v>
      </c>
      <c r="K8006" s="21">
        <v>0</v>
      </c>
      <c r="L8006" s="5">
        <v>0</v>
      </c>
      <c r="M8006" s="4"/>
      <c r="N8006" s="4"/>
      <c r="O8006" s="5"/>
      <c r="P8006" s="5"/>
      <c r="Q8006" s="21">
        <v>1000</v>
      </c>
      <c r="R8006" s="21">
        <v>0</v>
      </c>
      <c r="S8006" s="5">
        <f t="shared" si="503"/>
        <v>69751.248732350999</v>
      </c>
      <c r="T8006" cm="1">
        <f t="array" ref="T8006">IF(OR(B8006="MAL ALIMI", B8006="ÜRETİM GİRİŞ"), MIN(I8006, MAX(0, I8006 + SUM(SUMIFS($I$1:I8005, $C$1:C8005, C8006, $B$1:B8005, {"MAL ALIMI","ÜRETİM GİRİŞ"})) - VLOOKUP(C8006, 'STOK RAPORU'!$C$2:$I$1000, 4, 0))), 0)</f>
        <v>0</v>
      </c>
      <c r="U8006" s="22">
        <f t="shared" si="500"/>
        <v>0</v>
      </c>
      <c r="V8006">
        <f t="shared" si="501"/>
        <v>0</v>
      </c>
      <c r="W8006" s="22">
        <f t="shared" si="502"/>
        <v>0</v>
      </c>
    </row>
    <row r="8007" spans="1:23" hidden="1" x14ac:dyDescent="0.25">
      <c r="A8007" s="3">
        <v>46204</v>
      </c>
      <c r="B8007" s="4" t="s">
        <v>1467</v>
      </c>
      <c r="C8007" s="4" t="s">
        <v>252</v>
      </c>
      <c r="D8007" s="4"/>
      <c r="E8007" s="4"/>
      <c r="F8007" s="4"/>
      <c r="G8007" s="4" t="s">
        <v>1468</v>
      </c>
      <c r="H8007" s="4" t="s">
        <v>1466</v>
      </c>
      <c r="I8007" s="4">
        <v>1</v>
      </c>
      <c r="J8007" s="21">
        <v>95</v>
      </c>
      <c r="K8007" s="21">
        <v>0</v>
      </c>
      <c r="L8007" s="5">
        <v>0</v>
      </c>
      <c r="M8007" s="4"/>
      <c r="N8007" s="4"/>
      <c r="O8007" s="5"/>
      <c r="P8007" s="5"/>
      <c r="Q8007" s="21">
        <v>95</v>
      </c>
      <c r="R8007" s="21">
        <v>0</v>
      </c>
      <c r="S8007" s="5">
        <f t="shared" si="503"/>
        <v>69846.248732350999</v>
      </c>
      <c r="T8007" cm="1">
        <f t="array" ref="T8007">IF(OR(B8007="MAL ALIMI", B8007="ÜRETİM GİRİŞ"), MIN(I8007, MAX(0, I8007 + SUM(SUMIFS($I$1:I8006, $C$1:C8006, C8007, $B$1:B8006, {"MAL ALIMI","ÜRETİM GİRİŞ"})) - VLOOKUP(C8007, 'STOK RAPORU'!$C$2:$I$1000, 4, 0))), 0)</f>
        <v>0</v>
      </c>
      <c r="U8007" s="22">
        <f t="shared" si="500"/>
        <v>0</v>
      </c>
      <c r="V8007">
        <f t="shared" si="501"/>
        <v>0</v>
      </c>
      <c r="W8007" s="22">
        <f t="shared" si="502"/>
        <v>0</v>
      </c>
    </row>
    <row r="8008" spans="1:23" hidden="1" x14ac:dyDescent="0.25">
      <c r="A8008" s="3">
        <v>46204</v>
      </c>
      <c r="B8008" s="4" t="s">
        <v>1469</v>
      </c>
      <c r="C8008" s="4" t="s">
        <v>3889</v>
      </c>
      <c r="D8008" s="4"/>
      <c r="E8008" s="4"/>
      <c r="F8008" s="4"/>
      <c r="G8008" s="4" t="s">
        <v>1468</v>
      </c>
      <c r="H8008" s="4" t="s">
        <v>1466</v>
      </c>
      <c r="I8008" s="4">
        <v>7</v>
      </c>
      <c r="J8008" s="21">
        <v>597.85714285714289</v>
      </c>
      <c r="K8008" s="21">
        <v>0</v>
      </c>
      <c r="L8008" s="5">
        <v>0</v>
      </c>
      <c r="M8008" s="4"/>
      <c r="N8008" s="4"/>
      <c r="O8008" s="5"/>
      <c r="P8008" s="5"/>
      <c r="Q8008" s="21">
        <v>0</v>
      </c>
      <c r="R8008" s="21">
        <v>4185</v>
      </c>
      <c r="S8008" s="5">
        <f t="shared" si="503"/>
        <v>65661.248732350999</v>
      </c>
      <c r="T8008" t="e" cm="1">
        <f t="array" ref="T8008">IF(OR(B8008="MAL ALIMI", B8008="ÜRETİM GİRİŞ"), MIN(I8008, MAX(0, I8008 + SUM(SUMIFS($I$1:I8007, $C$1:C8007, C8008, $B$1:B8007, {"MAL ALIMI","ÜRETİM GİRİŞ"})) - VLOOKUP(C8008, 'STOK RAPORU'!$C$2:$I$1000, 4, 0))), 0)</f>
        <v>#N/A</v>
      </c>
      <c r="U8008" s="22" t="e">
        <f t="shared" si="500"/>
        <v>#N/A</v>
      </c>
      <c r="V8008">
        <f t="shared" si="501"/>
        <v>4185</v>
      </c>
      <c r="W8008" s="22" t="e">
        <f t="shared" si="502"/>
        <v>#N/A</v>
      </c>
    </row>
    <row r="8009" spans="1:23" hidden="1" x14ac:dyDescent="0.25">
      <c r="A8009" s="3">
        <v>46205</v>
      </c>
      <c r="B8009" s="4" t="s">
        <v>298</v>
      </c>
      <c r="C8009" s="4" t="s">
        <v>1428</v>
      </c>
      <c r="D8009" s="4"/>
      <c r="E8009" s="4" t="s">
        <v>856</v>
      </c>
      <c r="F8009" s="4">
        <v>19</v>
      </c>
      <c r="G8009" s="4" t="s">
        <v>3756</v>
      </c>
      <c r="H8009" s="4" t="s">
        <v>1329</v>
      </c>
      <c r="I8009" s="4">
        <v>0.52400000000000002</v>
      </c>
      <c r="J8009" s="21">
        <v>445</v>
      </c>
      <c r="K8009" s="21">
        <v>0</v>
      </c>
      <c r="L8009" s="5">
        <v>233.18</v>
      </c>
      <c r="M8009" s="4"/>
      <c r="N8009" s="4"/>
      <c r="O8009" s="5"/>
      <c r="P8009" s="5"/>
      <c r="Q8009" s="21">
        <v>0</v>
      </c>
      <c r="R8009" s="21">
        <v>0</v>
      </c>
      <c r="S8009" s="5">
        <f t="shared" si="503"/>
        <v>65661.248732350999</v>
      </c>
      <c r="T8009" cm="1">
        <f t="array" ref="T8009">IF(OR(B8009="MAL ALIMI", B8009="ÜRETİM GİRİŞ"), MIN(I8009, MAX(0, I8009 + SUM(SUMIFS($I$1:I8008, $C$1:C8008, C8009, $B$1:B8008, {"MAL ALIMI","ÜRETİM GİRİŞ"})) - VLOOKUP(C8009, 'STOK RAPORU'!$C$2:$I$1000, 4, 0))), 0)</f>
        <v>0.12400000000000011</v>
      </c>
      <c r="U8009" s="22">
        <f t="shared" si="500"/>
        <v>55.180000000000049</v>
      </c>
      <c r="V8009">
        <f t="shared" si="501"/>
        <v>233.18</v>
      </c>
      <c r="W8009" s="22">
        <f t="shared" si="502"/>
        <v>177.99999999999994</v>
      </c>
    </row>
    <row r="8010" spans="1:23" hidden="1" x14ac:dyDescent="0.25">
      <c r="A8010" s="3">
        <v>46205</v>
      </c>
      <c r="B8010" s="4" t="s">
        <v>285</v>
      </c>
      <c r="C8010" s="4"/>
      <c r="D8010" s="4" t="s">
        <v>112</v>
      </c>
      <c r="E8010" s="4" t="s">
        <v>856</v>
      </c>
      <c r="F8010" s="4">
        <v>19</v>
      </c>
      <c r="G8010" s="4" t="s">
        <v>3756</v>
      </c>
      <c r="H8010" s="4" t="s">
        <v>1329</v>
      </c>
      <c r="I8010" s="4">
        <v>1</v>
      </c>
      <c r="J8010" s="21">
        <v>1</v>
      </c>
      <c r="K8010" s="21">
        <v>0</v>
      </c>
      <c r="L8010" s="5">
        <v>1</v>
      </c>
      <c r="M8010" s="4"/>
      <c r="N8010" s="4"/>
      <c r="O8010" s="5"/>
      <c r="P8010" s="5"/>
      <c r="Q8010" s="21">
        <v>0</v>
      </c>
      <c r="R8010" s="21">
        <v>0</v>
      </c>
      <c r="S8010" s="5">
        <f t="shared" si="503"/>
        <v>65661.248732350999</v>
      </c>
      <c r="T8010" cm="1">
        <f t="array" ref="T8010">IF(OR(B8010="MAL ALIMI", B8010="ÜRETİM GİRİŞ"), MIN(I8010, MAX(0, I8010 + SUM(SUMIFS($I$1:I8009, $C$1:C8009, C8010, $B$1:B8009, {"MAL ALIMI","ÜRETİM GİRİŞ"})) - VLOOKUP(C8010, 'STOK RAPORU'!$C$2:$I$1000, 4, 0))), 0)</f>
        <v>0</v>
      </c>
      <c r="U8010" s="22">
        <f t="shared" si="500"/>
        <v>0</v>
      </c>
      <c r="V8010">
        <f t="shared" si="501"/>
        <v>0</v>
      </c>
      <c r="W8010" s="22">
        <f t="shared" si="502"/>
        <v>0</v>
      </c>
    </row>
    <row r="8011" spans="1:23" hidden="1" x14ac:dyDescent="0.25">
      <c r="A8011" s="3">
        <v>46205</v>
      </c>
      <c r="B8011" s="46" t="s">
        <v>334</v>
      </c>
      <c r="C8011" s="4" t="s">
        <v>129</v>
      </c>
      <c r="D8011" s="4"/>
      <c r="E8011" s="4"/>
      <c r="F8011" s="4" t="s">
        <v>3788</v>
      </c>
      <c r="G8011" s="4" t="s">
        <v>3800</v>
      </c>
      <c r="H8011" s="4" t="s">
        <v>289</v>
      </c>
      <c r="I8011" s="4">
        <v>0.66666666666666663</v>
      </c>
      <c r="J8011" s="21">
        <v>300</v>
      </c>
      <c r="K8011" s="21">
        <v>0</v>
      </c>
      <c r="L8011" s="5">
        <v>0</v>
      </c>
      <c r="M8011" s="4"/>
      <c r="N8011" s="4"/>
      <c r="O8011" s="5"/>
      <c r="P8011" s="5"/>
      <c r="Q8011" s="21">
        <v>200</v>
      </c>
      <c r="R8011" s="21">
        <v>0</v>
      </c>
      <c r="S8011" s="5">
        <f t="shared" si="503"/>
        <v>65861.248732350999</v>
      </c>
      <c r="T8011" cm="1">
        <f t="array" ref="T8011">IF(OR(B8011="MAL ALIMI", B8011="ÜRETİM GİRİŞ"), MIN(I8011, MAX(0, I8011 + SUM(SUMIFS($I$1:I8010, $C$1:C8010, C8011, $B$1:B8010, {"MAL ALIMI","ÜRETİM GİRİŞ"})) - VLOOKUP(C8011, 'STOK RAPORU'!$C$2:$I$1000, 4, 0))), 0)</f>
        <v>0</v>
      </c>
      <c r="U8011" s="22">
        <f t="shared" si="500"/>
        <v>0</v>
      </c>
      <c r="V8011">
        <f t="shared" si="501"/>
        <v>0</v>
      </c>
      <c r="W8011" s="22">
        <f t="shared" si="502"/>
        <v>0</v>
      </c>
    </row>
    <row r="8012" spans="1:23" hidden="1" x14ac:dyDescent="0.25">
      <c r="A8012" s="3">
        <v>46205</v>
      </c>
      <c r="B8012" s="46" t="s">
        <v>334</v>
      </c>
      <c r="C8012" s="4" t="s">
        <v>91</v>
      </c>
      <c r="D8012" s="4"/>
      <c r="E8012" s="4"/>
      <c r="F8012" s="4" t="s">
        <v>3788</v>
      </c>
      <c r="G8012" s="4" t="s">
        <v>3800</v>
      </c>
      <c r="H8012" s="4" t="s">
        <v>289</v>
      </c>
      <c r="I8012" s="4">
        <v>0.25</v>
      </c>
      <c r="J8012" s="21">
        <v>800</v>
      </c>
      <c r="K8012" s="21">
        <v>0</v>
      </c>
      <c r="L8012" s="5">
        <v>0</v>
      </c>
      <c r="M8012" s="4"/>
      <c r="N8012" s="4"/>
      <c r="O8012" s="5"/>
      <c r="P8012" s="5"/>
      <c r="Q8012" s="21">
        <v>200</v>
      </c>
      <c r="R8012" s="21">
        <v>0</v>
      </c>
      <c r="S8012" s="5">
        <f t="shared" si="503"/>
        <v>66061.248732350999</v>
      </c>
      <c r="T8012" cm="1">
        <f t="array" ref="T8012">IF(OR(B8012="MAL ALIMI", B8012="ÜRETİM GİRİŞ"), MIN(I8012, MAX(0, I8012 + SUM(SUMIFS($I$1:I8011, $C$1:C8011, C8012, $B$1:B8011, {"MAL ALIMI","ÜRETİM GİRİŞ"})) - VLOOKUP(C8012, 'STOK RAPORU'!$C$2:$I$1000, 4, 0))), 0)</f>
        <v>0</v>
      </c>
      <c r="U8012" s="22">
        <f t="shared" si="500"/>
        <v>0</v>
      </c>
      <c r="V8012">
        <f t="shared" si="501"/>
        <v>0</v>
      </c>
      <c r="W8012" s="22">
        <f t="shared" si="502"/>
        <v>0</v>
      </c>
    </row>
    <row r="8013" spans="1:23" hidden="1" x14ac:dyDescent="0.25">
      <c r="A8013" s="3">
        <v>46205</v>
      </c>
      <c r="B8013" s="46" t="s">
        <v>334</v>
      </c>
      <c r="C8013" s="4" t="s">
        <v>266</v>
      </c>
      <c r="D8013" s="4"/>
      <c r="E8013" s="4" t="s">
        <v>921</v>
      </c>
      <c r="F8013" s="4" t="s">
        <v>3789</v>
      </c>
      <c r="G8013" s="4" t="s">
        <v>336</v>
      </c>
      <c r="H8013" s="4" t="s">
        <v>380</v>
      </c>
      <c r="I8013" s="4">
        <v>0.65200000000000002</v>
      </c>
      <c r="J8013" s="21">
        <v>248</v>
      </c>
      <c r="K8013" s="21">
        <v>161.696</v>
      </c>
      <c r="L8013" s="5">
        <v>0</v>
      </c>
      <c r="M8013" s="4"/>
      <c r="N8013" s="4"/>
      <c r="O8013" s="5"/>
      <c r="P8013" s="5"/>
      <c r="Q8013" s="21">
        <v>0</v>
      </c>
      <c r="R8013" s="21">
        <v>0</v>
      </c>
      <c r="S8013" s="5">
        <f t="shared" si="503"/>
        <v>66061.248732350999</v>
      </c>
      <c r="T8013" cm="1">
        <f t="array" ref="T8013">IF(OR(B8013="MAL ALIMI", B8013="ÜRETİM GİRİŞ"), MIN(I8013, MAX(0, I8013 + SUM(SUMIFS($I$1:I8012, $C$1:C8012, C8013, $B$1:B8012, {"MAL ALIMI","ÜRETİM GİRİŞ"})) - VLOOKUP(C8013, 'STOK RAPORU'!$C$2:$I$1000, 4, 0))), 0)</f>
        <v>0</v>
      </c>
      <c r="U8013" s="22">
        <f t="shared" si="500"/>
        <v>0</v>
      </c>
      <c r="V8013">
        <f t="shared" si="501"/>
        <v>0</v>
      </c>
      <c r="W8013" s="22">
        <f t="shared" si="502"/>
        <v>0</v>
      </c>
    </row>
    <row r="8014" spans="1:23" hidden="1" x14ac:dyDescent="0.25">
      <c r="A8014" s="3">
        <v>46205</v>
      </c>
      <c r="B8014" s="46" t="s">
        <v>334</v>
      </c>
      <c r="C8014" s="4" t="s">
        <v>728</v>
      </c>
      <c r="D8014" s="4"/>
      <c r="E8014" s="4" t="s">
        <v>921</v>
      </c>
      <c r="F8014" s="4" t="s">
        <v>3789</v>
      </c>
      <c r="G8014" s="4" t="s">
        <v>336</v>
      </c>
      <c r="H8014" s="4" t="s">
        <v>380</v>
      </c>
      <c r="I8014" s="4">
        <v>0.57692307692307687</v>
      </c>
      <c r="J8014" s="21">
        <v>650</v>
      </c>
      <c r="K8014" s="21">
        <v>374.99999999999994</v>
      </c>
      <c r="L8014" s="5">
        <v>0</v>
      </c>
      <c r="M8014" s="4"/>
      <c r="N8014" s="4"/>
      <c r="O8014" s="5"/>
      <c r="P8014" s="5"/>
      <c r="Q8014" s="21">
        <v>0</v>
      </c>
      <c r="R8014" s="21">
        <v>0</v>
      </c>
      <c r="S8014" s="5">
        <f t="shared" si="503"/>
        <v>66061.248732350999</v>
      </c>
      <c r="T8014" cm="1">
        <f t="array" ref="T8014">IF(OR(B8014="MAL ALIMI", B8014="ÜRETİM GİRİŞ"), MIN(I8014, MAX(0, I8014 + SUM(SUMIFS($I$1:I8013, $C$1:C8013, C8014, $B$1:B8013, {"MAL ALIMI","ÜRETİM GİRİŞ"})) - VLOOKUP(C8014, 'STOK RAPORU'!$C$2:$I$1000, 4, 0))), 0)</f>
        <v>0</v>
      </c>
      <c r="U8014" s="22">
        <f t="shared" si="500"/>
        <v>0</v>
      </c>
      <c r="V8014">
        <f t="shared" si="501"/>
        <v>0</v>
      </c>
      <c r="W8014" s="22">
        <f t="shared" si="502"/>
        <v>0</v>
      </c>
    </row>
    <row r="8015" spans="1:23" hidden="1" x14ac:dyDescent="0.25">
      <c r="A8015" s="3">
        <v>46205</v>
      </c>
      <c r="B8015" s="46" t="s">
        <v>334</v>
      </c>
      <c r="C8015" s="4" t="s">
        <v>247</v>
      </c>
      <c r="D8015" s="4"/>
      <c r="E8015" s="4" t="s">
        <v>921</v>
      </c>
      <c r="F8015" s="4" t="s">
        <v>3789</v>
      </c>
      <c r="G8015" s="4" t="s">
        <v>336</v>
      </c>
      <c r="H8015" s="4" t="s">
        <v>380</v>
      </c>
      <c r="I8015" s="4">
        <v>0.26666666666666666</v>
      </c>
      <c r="J8015" s="21">
        <v>1400</v>
      </c>
      <c r="K8015" s="21">
        <v>373.33333333333331</v>
      </c>
      <c r="L8015" s="5">
        <v>0</v>
      </c>
      <c r="M8015" s="4"/>
      <c r="N8015" s="4"/>
      <c r="O8015" s="5"/>
      <c r="P8015" s="5"/>
      <c r="Q8015" s="21">
        <v>0</v>
      </c>
      <c r="R8015" s="21">
        <v>0</v>
      </c>
      <c r="S8015" s="5">
        <f t="shared" si="503"/>
        <v>66061.248732350999</v>
      </c>
      <c r="T8015" cm="1">
        <f t="array" ref="T8015">IF(OR(B8015="MAL ALIMI", B8015="ÜRETİM GİRİŞ"), MIN(I8015, MAX(0, I8015 + SUM(SUMIFS($I$1:I8014, $C$1:C8014, C8015, $B$1:B8014, {"MAL ALIMI","ÜRETİM GİRİŞ"})) - VLOOKUP(C8015, 'STOK RAPORU'!$C$2:$I$1000, 4, 0))), 0)</f>
        <v>0</v>
      </c>
      <c r="U8015" s="22">
        <f t="shared" si="500"/>
        <v>0</v>
      </c>
      <c r="V8015">
        <f t="shared" si="501"/>
        <v>0</v>
      </c>
      <c r="W8015" s="22">
        <f t="shared" si="502"/>
        <v>0</v>
      </c>
    </row>
    <row r="8016" spans="1:23" hidden="1" x14ac:dyDescent="0.25">
      <c r="A8016" s="3">
        <v>46205</v>
      </c>
      <c r="B8016" s="46" t="s">
        <v>334</v>
      </c>
      <c r="C8016" s="4" t="s">
        <v>1897</v>
      </c>
      <c r="D8016" s="4"/>
      <c r="E8016" s="4" t="s">
        <v>921</v>
      </c>
      <c r="F8016" s="4" t="s">
        <v>3789</v>
      </c>
      <c r="G8016" s="4" t="s">
        <v>336</v>
      </c>
      <c r="H8016" s="4" t="s">
        <v>380</v>
      </c>
      <c r="I8016" s="4">
        <v>2</v>
      </c>
      <c r="J8016" s="21">
        <v>295</v>
      </c>
      <c r="K8016" s="21">
        <v>590</v>
      </c>
      <c r="L8016" s="5">
        <v>0</v>
      </c>
      <c r="M8016" s="4"/>
      <c r="N8016" s="4"/>
      <c r="O8016" s="5"/>
      <c r="P8016" s="5"/>
      <c r="Q8016" s="21">
        <v>0</v>
      </c>
      <c r="R8016" s="21">
        <v>0</v>
      </c>
      <c r="S8016" s="5">
        <f t="shared" si="503"/>
        <v>66061.248732350999</v>
      </c>
      <c r="T8016" cm="1">
        <f t="array" ref="T8016">IF(OR(B8016="MAL ALIMI", B8016="ÜRETİM GİRİŞ"), MIN(I8016, MAX(0, I8016 + SUM(SUMIFS($I$1:I8015, $C$1:C8015, C8016, $B$1:B8015, {"MAL ALIMI","ÜRETİM GİRİŞ"})) - VLOOKUP(C8016, 'STOK RAPORU'!$C$2:$I$1000, 4, 0))), 0)</f>
        <v>0</v>
      </c>
      <c r="U8016" s="22">
        <f t="shared" si="500"/>
        <v>0</v>
      </c>
      <c r="V8016">
        <f t="shared" si="501"/>
        <v>0</v>
      </c>
      <c r="W8016" s="22">
        <f t="shared" si="502"/>
        <v>0</v>
      </c>
    </row>
    <row r="8017" spans="1:23" hidden="1" x14ac:dyDescent="0.25">
      <c r="A8017" s="3">
        <v>46205</v>
      </c>
      <c r="B8017" s="46" t="s">
        <v>334</v>
      </c>
      <c r="C8017" s="4" t="s">
        <v>158</v>
      </c>
      <c r="D8017" s="4"/>
      <c r="E8017" s="4"/>
      <c r="F8017" s="4" t="s">
        <v>3790</v>
      </c>
      <c r="G8017" s="4" t="s">
        <v>336</v>
      </c>
      <c r="H8017" s="4" t="s">
        <v>289</v>
      </c>
      <c r="I8017" s="4">
        <v>1</v>
      </c>
      <c r="J8017" s="21">
        <v>150</v>
      </c>
      <c r="K8017" s="21">
        <v>0</v>
      </c>
      <c r="L8017" s="5">
        <v>0</v>
      </c>
      <c r="M8017" s="4"/>
      <c r="N8017" s="4"/>
      <c r="O8017" s="5"/>
      <c r="P8017" s="5"/>
      <c r="Q8017" s="21">
        <v>150</v>
      </c>
      <c r="R8017" s="21">
        <v>0</v>
      </c>
      <c r="S8017" s="5">
        <f t="shared" si="503"/>
        <v>66211.248732350999</v>
      </c>
      <c r="T8017" cm="1">
        <f t="array" ref="T8017">IF(OR(B8017="MAL ALIMI", B8017="ÜRETİM GİRİŞ"), MIN(I8017, MAX(0, I8017 + SUM(SUMIFS($I$1:I8016, $C$1:C8016, C8017, $B$1:B8016, {"MAL ALIMI","ÜRETİM GİRİŞ"})) - VLOOKUP(C8017, 'STOK RAPORU'!$C$2:$I$1000, 4, 0))), 0)</f>
        <v>0</v>
      </c>
      <c r="U8017" s="22">
        <f t="shared" si="500"/>
        <v>0</v>
      </c>
      <c r="V8017">
        <f t="shared" si="501"/>
        <v>0</v>
      </c>
      <c r="W8017" s="22">
        <f t="shared" si="502"/>
        <v>0</v>
      </c>
    </row>
    <row r="8018" spans="1:23" hidden="1" x14ac:dyDescent="0.25">
      <c r="A8018" s="3">
        <v>46205</v>
      </c>
      <c r="B8018" s="46" t="s">
        <v>334</v>
      </c>
      <c r="C8018" s="4" t="s">
        <v>189</v>
      </c>
      <c r="D8018" s="4"/>
      <c r="E8018" s="4" t="s">
        <v>921</v>
      </c>
      <c r="F8018" s="4" t="s">
        <v>3791</v>
      </c>
      <c r="G8018" s="4" t="s">
        <v>336</v>
      </c>
      <c r="H8018" s="4" t="s">
        <v>380</v>
      </c>
      <c r="I8018" s="4">
        <v>8.513513513513514E-2</v>
      </c>
      <c r="J8018" s="21">
        <v>740</v>
      </c>
      <c r="K8018" s="21">
        <v>63</v>
      </c>
      <c r="L8018" s="5">
        <v>0</v>
      </c>
      <c r="M8018" s="4"/>
      <c r="N8018" s="4"/>
      <c r="O8018" s="5"/>
      <c r="P8018" s="5"/>
      <c r="Q8018" s="21">
        <v>0</v>
      </c>
      <c r="R8018" s="21">
        <v>0</v>
      </c>
      <c r="S8018" s="5">
        <f t="shared" si="503"/>
        <v>66211.248732350999</v>
      </c>
      <c r="T8018" cm="1">
        <f t="array" ref="T8018">IF(OR(B8018="MAL ALIMI", B8018="ÜRETİM GİRİŞ"), MIN(I8018, MAX(0, I8018 + SUM(SUMIFS($I$1:I8017, $C$1:C8017, C8018, $B$1:B8017, {"MAL ALIMI","ÜRETİM GİRİŞ"})) - VLOOKUP(C8018, 'STOK RAPORU'!$C$2:$I$1000, 4, 0))), 0)</f>
        <v>0</v>
      </c>
      <c r="U8018" s="22">
        <f t="shared" si="500"/>
        <v>0</v>
      </c>
      <c r="V8018">
        <f t="shared" si="501"/>
        <v>0</v>
      </c>
      <c r="W8018" s="22">
        <f t="shared" si="502"/>
        <v>0</v>
      </c>
    </row>
    <row r="8019" spans="1:23" hidden="1" x14ac:dyDescent="0.25">
      <c r="A8019" s="3">
        <v>46205</v>
      </c>
      <c r="B8019" s="46" t="s">
        <v>334</v>
      </c>
      <c r="C8019" s="4" t="s">
        <v>464</v>
      </c>
      <c r="D8019" s="4"/>
      <c r="E8019" s="4"/>
      <c r="F8019" s="4" t="s">
        <v>3792</v>
      </c>
      <c r="G8019" s="4" t="s">
        <v>336</v>
      </c>
      <c r="H8019" s="4" t="s">
        <v>289</v>
      </c>
      <c r="I8019" s="4">
        <v>2</v>
      </c>
      <c r="J8019" s="21">
        <v>50</v>
      </c>
      <c r="K8019" s="21">
        <v>0</v>
      </c>
      <c r="L8019" s="5">
        <v>0</v>
      </c>
      <c r="M8019" s="4"/>
      <c r="N8019" s="4"/>
      <c r="O8019" s="5"/>
      <c r="P8019" s="5"/>
      <c r="Q8019" s="21">
        <v>100</v>
      </c>
      <c r="R8019" s="21">
        <v>0</v>
      </c>
      <c r="S8019" s="5">
        <f t="shared" si="503"/>
        <v>66311.248732350999</v>
      </c>
      <c r="T8019" cm="1">
        <f t="array" ref="T8019">IF(OR(B8019="MAL ALIMI", B8019="ÜRETİM GİRİŞ"), MIN(I8019, MAX(0, I8019 + SUM(SUMIFS($I$1:I8018, $C$1:C8018, C8019, $B$1:B8018, {"MAL ALIMI","ÜRETİM GİRİŞ"})) - VLOOKUP(C8019, 'STOK RAPORU'!$C$2:$I$1000, 4, 0))), 0)</f>
        <v>0</v>
      </c>
      <c r="U8019" s="22">
        <f t="shared" si="500"/>
        <v>0</v>
      </c>
      <c r="V8019">
        <f t="shared" si="501"/>
        <v>0</v>
      </c>
      <c r="W8019" s="22">
        <f t="shared" si="502"/>
        <v>0</v>
      </c>
    </row>
    <row r="8020" spans="1:23" hidden="1" x14ac:dyDescent="0.25">
      <c r="A8020" s="3">
        <v>46205</v>
      </c>
      <c r="B8020" s="46" t="s">
        <v>334</v>
      </c>
      <c r="C8020" s="4" t="s">
        <v>160</v>
      </c>
      <c r="D8020" s="4"/>
      <c r="E8020" s="4"/>
      <c r="F8020" s="4" t="s">
        <v>3793</v>
      </c>
      <c r="G8020" s="4" t="s">
        <v>336</v>
      </c>
      <c r="H8020" s="4" t="s">
        <v>289</v>
      </c>
      <c r="I8020" s="4">
        <v>2</v>
      </c>
      <c r="J8020" s="21">
        <v>270</v>
      </c>
      <c r="K8020" s="21">
        <v>0</v>
      </c>
      <c r="L8020" s="5">
        <v>0</v>
      </c>
      <c r="M8020" s="4"/>
      <c r="N8020" s="4"/>
      <c r="O8020" s="5"/>
      <c r="P8020" s="5"/>
      <c r="Q8020" s="21">
        <v>540</v>
      </c>
      <c r="R8020" s="21">
        <v>0</v>
      </c>
      <c r="S8020" s="5">
        <f t="shared" si="503"/>
        <v>66851.248732350999</v>
      </c>
      <c r="T8020" cm="1">
        <f t="array" ref="T8020">IF(OR(B8020="MAL ALIMI", B8020="ÜRETİM GİRİŞ"), MIN(I8020, MAX(0, I8020 + SUM(SUMIFS($I$1:I8019, $C$1:C8019, C8020, $B$1:B8019, {"MAL ALIMI","ÜRETİM GİRİŞ"})) - VLOOKUP(C8020, 'STOK RAPORU'!$C$2:$I$1000, 4, 0))), 0)</f>
        <v>0</v>
      </c>
      <c r="U8020" s="22">
        <f t="shared" si="500"/>
        <v>0</v>
      </c>
      <c r="V8020">
        <f t="shared" si="501"/>
        <v>0</v>
      </c>
      <c r="W8020" s="22">
        <f t="shared" si="502"/>
        <v>0</v>
      </c>
    </row>
    <row r="8021" spans="1:23" hidden="1" x14ac:dyDescent="0.25">
      <c r="A8021" s="3">
        <v>46205</v>
      </c>
      <c r="B8021" s="46" t="s">
        <v>334</v>
      </c>
      <c r="C8021" s="4" t="s">
        <v>224</v>
      </c>
      <c r="D8021" s="4"/>
      <c r="E8021" s="4" t="s">
        <v>921</v>
      </c>
      <c r="F8021" s="4" t="s">
        <v>3794</v>
      </c>
      <c r="G8021" s="4" t="s">
        <v>336</v>
      </c>
      <c r="H8021" s="4" t="s">
        <v>380</v>
      </c>
      <c r="I8021" s="4">
        <v>5.5555555555555552E-2</v>
      </c>
      <c r="J8021" s="21">
        <v>900</v>
      </c>
      <c r="K8021" s="21">
        <v>50</v>
      </c>
      <c r="L8021" s="5">
        <v>0</v>
      </c>
      <c r="M8021" s="4"/>
      <c r="N8021" s="4"/>
      <c r="O8021" s="5"/>
      <c r="P8021" s="5"/>
      <c r="Q8021" s="21">
        <v>0</v>
      </c>
      <c r="R8021" s="21">
        <v>0</v>
      </c>
      <c r="S8021" s="5">
        <f t="shared" si="503"/>
        <v>66851.248732350999</v>
      </c>
      <c r="T8021" cm="1">
        <f t="array" ref="T8021">IF(OR(B8021="MAL ALIMI", B8021="ÜRETİM GİRİŞ"), MIN(I8021, MAX(0, I8021 + SUM(SUMIFS($I$1:I8020, $C$1:C8020, C8021, $B$1:B8020, {"MAL ALIMI","ÜRETİM GİRİŞ"})) - VLOOKUP(C8021, 'STOK RAPORU'!$C$2:$I$1000, 4, 0))), 0)</f>
        <v>0</v>
      </c>
      <c r="U8021" s="22">
        <f t="shared" si="500"/>
        <v>0</v>
      </c>
      <c r="V8021">
        <f t="shared" si="501"/>
        <v>0</v>
      </c>
      <c r="W8021" s="22">
        <f t="shared" si="502"/>
        <v>0</v>
      </c>
    </row>
    <row r="8022" spans="1:23" hidden="1" x14ac:dyDescent="0.25">
      <c r="A8022" s="3">
        <v>46205</v>
      </c>
      <c r="B8022" s="46" t="s">
        <v>334</v>
      </c>
      <c r="C8022" s="4" t="s">
        <v>226</v>
      </c>
      <c r="D8022" s="4"/>
      <c r="E8022" s="4" t="s">
        <v>921</v>
      </c>
      <c r="F8022" s="4" t="s">
        <v>3795</v>
      </c>
      <c r="G8022" s="4" t="s">
        <v>336</v>
      </c>
      <c r="H8022" s="4" t="s">
        <v>380</v>
      </c>
      <c r="I8022" s="4">
        <v>0.29799999999999999</v>
      </c>
      <c r="J8022" s="21">
        <v>218.25</v>
      </c>
      <c r="K8022" s="21">
        <v>65.038499999999999</v>
      </c>
      <c r="L8022" s="5">
        <v>0</v>
      </c>
      <c r="M8022" s="4"/>
      <c r="N8022" s="4"/>
      <c r="O8022" s="5"/>
      <c r="P8022" s="5"/>
      <c r="Q8022" s="21">
        <v>0</v>
      </c>
      <c r="R8022" s="21">
        <v>0</v>
      </c>
      <c r="S8022" s="5">
        <f t="shared" si="503"/>
        <v>66851.248732350999</v>
      </c>
      <c r="T8022" cm="1">
        <f t="array" ref="T8022">IF(OR(B8022="MAL ALIMI", B8022="ÜRETİM GİRİŞ"), MIN(I8022, MAX(0, I8022 + SUM(SUMIFS($I$1:I8021, $C$1:C8021, C8022, $B$1:B8021, {"MAL ALIMI","ÜRETİM GİRİŞ"})) - VLOOKUP(C8022, 'STOK RAPORU'!$C$2:$I$1000, 4, 0))), 0)</f>
        <v>0</v>
      </c>
      <c r="U8022" s="22">
        <f t="shared" si="500"/>
        <v>0</v>
      </c>
      <c r="V8022">
        <f t="shared" si="501"/>
        <v>0</v>
      </c>
      <c r="W8022" s="22">
        <f t="shared" si="502"/>
        <v>0</v>
      </c>
    </row>
    <row r="8023" spans="1:23" hidden="1" x14ac:dyDescent="0.25">
      <c r="A8023" s="3">
        <v>46205</v>
      </c>
      <c r="B8023" s="46" t="s">
        <v>334</v>
      </c>
      <c r="C8023" s="4" t="s">
        <v>1425</v>
      </c>
      <c r="D8023" s="4"/>
      <c r="E8023" s="4" t="s">
        <v>921</v>
      </c>
      <c r="F8023" s="4" t="s">
        <v>3796</v>
      </c>
      <c r="G8023" s="4" t="s">
        <v>336</v>
      </c>
      <c r="H8023" s="4" t="s">
        <v>380</v>
      </c>
      <c r="I8023" s="4">
        <v>1</v>
      </c>
      <c r="J8023" s="21">
        <v>100</v>
      </c>
      <c r="K8023" s="21">
        <v>100</v>
      </c>
      <c r="L8023" s="5">
        <v>0</v>
      </c>
      <c r="M8023" s="4"/>
      <c r="N8023" s="4"/>
      <c r="O8023" s="5"/>
      <c r="P8023" s="5"/>
      <c r="Q8023" s="21">
        <v>0</v>
      </c>
      <c r="R8023" s="21">
        <v>0</v>
      </c>
      <c r="S8023" s="5">
        <f t="shared" si="503"/>
        <v>66851.248732350999</v>
      </c>
      <c r="T8023" cm="1">
        <f t="array" ref="T8023">IF(OR(B8023="MAL ALIMI", B8023="ÜRETİM GİRİŞ"), MIN(I8023, MAX(0, I8023 + SUM(SUMIFS($I$1:I8022, $C$1:C8022, C8023, $B$1:B8022, {"MAL ALIMI","ÜRETİM GİRİŞ"})) - VLOOKUP(C8023, 'STOK RAPORU'!$C$2:$I$1000, 4, 0))), 0)</f>
        <v>0</v>
      </c>
      <c r="U8023" s="22">
        <f t="shared" si="500"/>
        <v>0</v>
      </c>
      <c r="V8023">
        <f t="shared" si="501"/>
        <v>0</v>
      </c>
      <c r="W8023" s="22">
        <f t="shared" si="502"/>
        <v>0</v>
      </c>
    </row>
    <row r="8024" spans="1:23" hidden="1" x14ac:dyDescent="0.25">
      <c r="A8024" s="3">
        <v>46205</v>
      </c>
      <c r="B8024" s="46" t="s">
        <v>334</v>
      </c>
      <c r="C8024" s="4" t="s">
        <v>224</v>
      </c>
      <c r="D8024" s="4"/>
      <c r="E8024" s="4" t="s">
        <v>921</v>
      </c>
      <c r="F8024" s="4" t="s">
        <v>3797</v>
      </c>
      <c r="G8024" s="4" t="s">
        <v>3801</v>
      </c>
      <c r="H8024" s="4" t="s">
        <v>380</v>
      </c>
      <c r="I8024" s="4">
        <v>0.94444444444444442</v>
      </c>
      <c r="J8024" s="21">
        <v>476.5</v>
      </c>
      <c r="K8024" s="21">
        <v>450.02777777777777</v>
      </c>
      <c r="L8024" s="5">
        <v>0</v>
      </c>
      <c r="M8024" s="4"/>
      <c r="N8024" s="4"/>
      <c r="O8024" s="5"/>
      <c r="P8024" s="5"/>
      <c r="Q8024" s="21">
        <v>0</v>
      </c>
      <c r="R8024" s="21">
        <v>0</v>
      </c>
      <c r="S8024" s="5">
        <f t="shared" si="503"/>
        <v>66851.248732350999</v>
      </c>
      <c r="T8024" cm="1">
        <f t="array" ref="T8024">IF(OR(B8024="MAL ALIMI", B8024="ÜRETİM GİRİŞ"), MIN(I8024, MAX(0, I8024 + SUM(SUMIFS($I$1:I8023, $C$1:C8023, C8024, $B$1:B8023, {"MAL ALIMI","ÜRETİM GİRİŞ"})) - VLOOKUP(C8024, 'STOK RAPORU'!$C$2:$I$1000, 4, 0))), 0)</f>
        <v>0</v>
      </c>
      <c r="U8024" s="22">
        <f t="shared" si="500"/>
        <v>0</v>
      </c>
      <c r="V8024">
        <f t="shared" si="501"/>
        <v>0</v>
      </c>
      <c r="W8024" s="22">
        <f t="shared" si="502"/>
        <v>0</v>
      </c>
    </row>
    <row r="8025" spans="1:23" hidden="1" x14ac:dyDescent="0.25">
      <c r="A8025" s="3">
        <v>46205</v>
      </c>
      <c r="B8025" s="46" t="s">
        <v>334</v>
      </c>
      <c r="C8025" s="4" t="s">
        <v>461</v>
      </c>
      <c r="D8025" s="4"/>
      <c r="E8025" s="4"/>
      <c r="F8025" s="4" t="s">
        <v>3798</v>
      </c>
      <c r="G8025" s="4" t="s">
        <v>336</v>
      </c>
      <c r="H8025" s="4" t="s">
        <v>289</v>
      </c>
      <c r="I8025" s="4">
        <v>1</v>
      </c>
      <c r="J8025" s="21">
        <v>100</v>
      </c>
      <c r="K8025" s="21">
        <v>0</v>
      </c>
      <c r="L8025" s="5">
        <v>0</v>
      </c>
      <c r="M8025" s="4"/>
      <c r="N8025" s="4"/>
      <c r="O8025" s="5"/>
      <c r="P8025" s="5"/>
      <c r="Q8025" s="21">
        <v>100</v>
      </c>
      <c r="R8025" s="21">
        <v>0</v>
      </c>
      <c r="S8025" s="5">
        <f t="shared" si="503"/>
        <v>66951.248732350999</v>
      </c>
      <c r="T8025" cm="1">
        <f t="array" ref="T8025">IF(OR(B8025="MAL ALIMI", B8025="ÜRETİM GİRİŞ"), MIN(I8025, MAX(0, I8025 + SUM(SUMIFS($I$1:I8024, $C$1:C8024, C8025, $B$1:B8024, {"MAL ALIMI","ÜRETİM GİRİŞ"})) - VLOOKUP(C8025, 'STOK RAPORU'!$C$2:$I$1000, 4, 0))), 0)</f>
        <v>0</v>
      </c>
      <c r="U8025" s="22">
        <f t="shared" si="500"/>
        <v>0</v>
      </c>
      <c r="V8025">
        <f t="shared" si="501"/>
        <v>0</v>
      </c>
      <c r="W8025" s="22">
        <f t="shared" si="502"/>
        <v>0</v>
      </c>
    </row>
    <row r="8026" spans="1:23" hidden="1" x14ac:dyDescent="0.25">
      <c r="A8026" s="3">
        <v>46205</v>
      </c>
      <c r="B8026" s="46" t="s">
        <v>334</v>
      </c>
      <c r="C8026" s="4" t="s">
        <v>236</v>
      </c>
      <c r="D8026" s="4"/>
      <c r="E8026" s="4"/>
      <c r="F8026" s="4" t="s">
        <v>3799</v>
      </c>
      <c r="G8026" s="4" t="s">
        <v>336</v>
      </c>
      <c r="H8026" s="4" t="s">
        <v>289</v>
      </c>
      <c r="I8026" s="4">
        <v>0.23714285714285716</v>
      </c>
      <c r="J8026" s="21">
        <v>337.5</v>
      </c>
      <c r="K8026" s="21">
        <v>0</v>
      </c>
      <c r="L8026" s="5">
        <v>0</v>
      </c>
      <c r="M8026" s="4"/>
      <c r="N8026" s="4"/>
      <c r="O8026" s="5"/>
      <c r="P8026" s="5"/>
      <c r="Q8026" s="21">
        <v>80.035714285714292</v>
      </c>
      <c r="R8026" s="21">
        <v>0</v>
      </c>
      <c r="S8026" s="5">
        <f t="shared" si="503"/>
        <v>67031.28444663671</v>
      </c>
      <c r="T8026" cm="1">
        <f t="array" ref="T8026">IF(OR(B8026="MAL ALIMI", B8026="ÜRETİM GİRİŞ"), MIN(I8026, MAX(0, I8026 + SUM(SUMIFS($I$1:I8025, $C$1:C8025, C8026, $B$1:B8025, {"MAL ALIMI","ÜRETİM GİRİŞ"})) - VLOOKUP(C8026, 'STOK RAPORU'!$C$2:$I$1000, 4, 0))), 0)</f>
        <v>0</v>
      </c>
      <c r="U8026" s="22">
        <f t="shared" si="500"/>
        <v>0</v>
      </c>
      <c r="V8026">
        <f t="shared" si="501"/>
        <v>0</v>
      </c>
      <c r="W8026" s="22">
        <f t="shared" si="502"/>
        <v>0</v>
      </c>
    </row>
    <row r="8027" spans="1:23" hidden="1" x14ac:dyDescent="0.25">
      <c r="A8027" s="3">
        <v>46205</v>
      </c>
      <c r="B8027" s="46" t="s">
        <v>334</v>
      </c>
      <c r="C8027" s="4" t="s">
        <v>727</v>
      </c>
      <c r="D8027" s="4"/>
      <c r="E8027" s="4"/>
      <c r="F8027" s="4" t="s">
        <v>3799</v>
      </c>
      <c r="G8027" s="4" t="s">
        <v>336</v>
      </c>
      <c r="H8027" s="4" t="s">
        <v>289</v>
      </c>
      <c r="I8027" s="4">
        <v>1</v>
      </c>
      <c r="J8027" s="21">
        <v>360</v>
      </c>
      <c r="K8027" s="21">
        <v>0</v>
      </c>
      <c r="L8027" s="5">
        <v>0</v>
      </c>
      <c r="M8027" s="4"/>
      <c r="N8027" s="4"/>
      <c r="O8027" s="5"/>
      <c r="P8027" s="5"/>
      <c r="Q8027" s="21">
        <v>360</v>
      </c>
      <c r="R8027" s="21">
        <v>0</v>
      </c>
      <c r="S8027" s="5">
        <f t="shared" si="503"/>
        <v>67391.28444663671</v>
      </c>
      <c r="T8027" cm="1">
        <f t="array" ref="T8027">IF(OR(B8027="MAL ALIMI", B8027="ÜRETİM GİRİŞ"), MIN(I8027, MAX(0, I8027 + SUM(SUMIFS($I$1:I8026, $C$1:C8026, C8027, $B$1:B8026, {"MAL ALIMI","ÜRETİM GİRİŞ"})) - VLOOKUP(C8027, 'STOK RAPORU'!$C$2:$I$1000, 4, 0))), 0)</f>
        <v>0</v>
      </c>
      <c r="U8027" s="22">
        <f t="shared" si="500"/>
        <v>0</v>
      </c>
      <c r="V8027">
        <f t="shared" si="501"/>
        <v>0</v>
      </c>
      <c r="W8027" s="22">
        <f t="shared" si="502"/>
        <v>0</v>
      </c>
    </row>
    <row r="8028" spans="1:23" hidden="1" x14ac:dyDescent="0.25">
      <c r="A8028" s="3">
        <v>46205</v>
      </c>
      <c r="B8028" s="46" t="s">
        <v>334</v>
      </c>
      <c r="C8028" s="4" t="s">
        <v>826</v>
      </c>
      <c r="D8028" s="4"/>
      <c r="E8028" s="4"/>
      <c r="F8028" s="4" t="s">
        <v>3799</v>
      </c>
      <c r="G8028" s="4" t="s">
        <v>336</v>
      </c>
      <c r="H8028" s="4" t="s">
        <v>289</v>
      </c>
      <c r="I8028" s="4">
        <v>1</v>
      </c>
      <c r="J8028" s="21">
        <v>130</v>
      </c>
      <c r="K8028" s="21">
        <v>0</v>
      </c>
      <c r="L8028" s="5">
        <v>0</v>
      </c>
      <c r="M8028" s="4"/>
      <c r="N8028" s="4"/>
      <c r="O8028" s="5"/>
      <c r="P8028" s="5"/>
      <c r="Q8028" s="21">
        <v>130</v>
      </c>
      <c r="R8028" s="21">
        <v>0</v>
      </c>
      <c r="S8028" s="5">
        <f t="shared" si="503"/>
        <v>67521.28444663671</v>
      </c>
      <c r="T8028" cm="1">
        <f t="array" ref="T8028">IF(OR(B8028="MAL ALIMI", B8028="ÜRETİM GİRİŞ"), MIN(I8028, MAX(0, I8028 + SUM(SUMIFS($I$1:I8027, $C$1:C8027, C8028, $B$1:B8027, {"MAL ALIMI","ÜRETİM GİRİŞ"})) - VLOOKUP(C8028, 'STOK RAPORU'!$C$2:$I$1000, 4, 0))), 0)</f>
        <v>0</v>
      </c>
      <c r="U8028" s="22">
        <f t="shared" si="500"/>
        <v>0</v>
      </c>
      <c r="V8028">
        <f t="shared" si="501"/>
        <v>0</v>
      </c>
      <c r="W8028" s="22">
        <f t="shared" si="502"/>
        <v>0</v>
      </c>
    </row>
    <row r="8029" spans="1:23" hidden="1" x14ac:dyDescent="0.25">
      <c r="A8029" s="3">
        <v>46205</v>
      </c>
      <c r="B8029" s="46" t="s">
        <v>334</v>
      </c>
      <c r="C8029" s="4" t="s">
        <v>244</v>
      </c>
      <c r="D8029" s="4"/>
      <c r="E8029" s="4"/>
      <c r="F8029" s="4" t="s">
        <v>3799</v>
      </c>
      <c r="G8029" s="4" t="s">
        <v>336</v>
      </c>
      <c r="H8029" s="4" t="s">
        <v>289</v>
      </c>
      <c r="I8029" s="4">
        <v>0.2</v>
      </c>
      <c r="J8029" s="21">
        <v>750</v>
      </c>
      <c r="K8029" s="21">
        <v>0</v>
      </c>
      <c r="L8029" s="5">
        <v>0</v>
      </c>
      <c r="M8029" s="4"/>
      <c r="N8029" s="4"/>
      <c r="O8029" s="5"/>
      <c r="P8029" s="5"/>
      <c r="Q8029" s="21">
        <v>150</v>
      </c>
      <c r="R8029" s="21">
        <v>0</v>
      </c>
      <c r="S8029" s="5">
        <f t="shared" si="503"/>
        <v>67671.28444663671</v>
      </c>
      <c r="T8029" cm="1">
        <f t="array" ref="T8029">IF(OR(B8029="MAL ALIMI", B8029="ÜRETİM GİRİŞ"), MIN(I8029, MAX(0, I8029 + SUM(SUMIFS($I$1:I8028, $C$1:C8028, C8029, $B$1:B8028, {"MAL ALIMI","ÜRETİM GİRİŞ"})) - VLOOKUP(C8029, 'STOK RAPORU'!$C$2:$I$1000, 4, 0))), 0)</f>
        <v>0</v>
      </c>
      <c r="U8029" s="22">
        <f t="shared" si="500"/>
        <v>0</v>
      </c>
      <c r="V8029">
        <f t="shared" si="501"/>
        <v>0</v>
      </c>
      <c r="W8029" s="22">
        <f t="shared" si="502"/>
        <v>0</v>
      </c>
    </row>
    <row r="8030" spans="1:23" hidden="1" x14ac:dyDescent="0.25">
      <c r="A8030" s="3">
        <v>46205</v>
      </c>
      <c r="B8030" s="46" t="s">
        <v>285</v>
      </c>
      <c r="C8030" s="4"/>
      <c r="D8030" s="4" t="s">
        <v>108</v>
      </c>
      <c r="E8030" s="4"/>
      <c r="F8030" s="4"/>
      <c r="G8030" s="4" t="s">
        <v>3838</v>
      </c>
      <c r="H8030" s="4" t="s">
        <v>289</v>
      </c>
      <c r="I8030" s="4">
        <v>1</v>
      </c>
      <c r="J8030" s="21">
        <v>22000</v>
      </c>
      <c r="K8030" s="21">
        <v>0</v>
      </c>
      <c r="L8030" s="5">
        <v>0</v>
      </c>
      <c r="M8030" s="4"/>
      <c r="N8030" s="4"/>
      <c r="O8030" s="5"/>
      <c r="P8030" s="5"/>
      <c r="Q8030" s="21">
        <v>0</v>
      </c>
      <c r="R8030" s="21">
        <v>22000</v>
      </c>
      <c r="S8030" s="5">
        <f t="shared" si="503"/>
        <v>45671.28444663671</v>
      </c>
      <c r="T8030" cm="1">
        <f t="array" ref="T8030">IF(OR(B8030="MAL ALIMI", B8030="ÜRETİM GİRİŞ"), MIN(I8030, MAX(0, I8030 + SUM(SUMIFS($I$1:I8029, $C$1:C8029, C8030, $B$1:B8029, {"MAL ALIMI","ÜRETİM GİRİŞ"})) - VLOOKUP(C8030, 'STOK RAPORU'!$C$2:$I$1000, 4, 0))), 0)</f>
        <v>0</v>
      </c>
      <c r="U8030" s="22">
        <f t="shared" si="500"/>
        <v>0</v>
      </c>
      <c r="V8030">
        <f t="shared" si="501"/>
        <v>0</v>
      </c>
      <c r="W8030" s="22">
        <f t="shared" si="502"/>
        <v>0</v>
      </c>
    </row>
    <row r="8031" spans="1:23" hidden="1" x14ac:dyDescent="0.25">
      <c r="A8031" s="3">
        <v>46205</v>
      </c>
      <c r="B8031" s="46" t="s">
        <v>946</v>
      </c>
      <c r="C8031" s="4"/>
      <c r="D8031" s="4"/>
      <c r="E8031" s="4" t="s">
        <v>921</v>
      </c>
      <c r="F8031" s="4"/>
      <c r="G8031" s="4" t="s">
        <v>946</v>
      </c>
      <c r="H8031" s="4" t="s">
        <v>380</v>
      </c>
      <c r="I8031" s="4">
        <v>1</v>
      </c>
      <c r="J8031" s="21">
        <v>550</v>
      </c>
      <c r="K8031" s="21">
        <v>0</v>
      </c>
      <c r="L8031" s="32">
        <v>550</v>
      </c>
      <c r="M8031" s="4"/>
      <c r="N8031" s="4"/>
      <c r="O8031" s="5"/>
      <c r="P8031" s="5"/>
      <c r="Q8031" s="21">
        <v>550</v>
      </c>
      <c r="R8031" s="21">
        <v>0</v>
      </c>
      <c r="S8031" s="5">
        <f t="shared" si="503"/>
        <v>46221.28444663671</v>
      </c>
      <c r="T8031" cm="1">
        <f t="array" ref="T8031">IF(OR(B8031="MAL ALIMI", B8031="ÜRETİM GİRİŞ"), MIN(I8031, MAX(0, I8031 + SUM(SUMIFS($I$1:I8030, $C$1:C8030, C8031, $B$1:B8030, {"MAL ALIMI","ÜRETİM GİRİŞ"})) - VLOOKUP(C8031, 'STOK RAPORU'!$C$2:$I$1000, 4, 0))), 0)</f>
        <v>0</v>
      </c>
      <c r="U8031" s="22">
        <f t="shared" si="500"/>
        <v>0</v>
      </c>
      <c r="V8031">
        <f t="shared" si="501"/>
        <v>0</v>
      </c>
      <c r="W8031" s="22">
        <f t="shared" si="502"/>
        <v>0</v>
      </c>
    </row>
    <row r="8032" spans="1:23" hidden="1" x14ac:dyDescent="0.25">
      <c r="A8032" s="3">
        <v>46205</v>
      </c>
      <c r="B8032" s="46" t="s">
        <v>946</v>
      </c>
      <c r="C8032" s="4"/>
      <c r="D8032" s="4"/>
      <c r="E8032" s="4" t="s">
        <v>921</v>
      </c>
      <c r="F8032" s="4"/>
      <c r="G8032" s="4" t="s">
        <v>946</v>
      </c>
      <c r="H8032" s="4" t="s">
        <v>380</v>
      </c>
      <c r="I8032" s="4">
        <v>1</v>
      </c>
      <c r="J8032" s="21">
        <v>315.07</v>
      </c>
      <c r="K8032" s="21">
        <v>0</v>
      </c>
      <c r="L8032" s="115">
        <v>315.07</v>
      </c>
      <c r="M8032" s="4"/>
      <c r="N8032" s="4"/>
      <c r="O8032" s="5"/>
      <c r="P8032" s="5"/>
      <c r="Q8032" s="21">
        <v>315.07</v>
      </c>
      <c r="R8032" s="21">
        <v>0</v>
      </c>
      <c r="S8032" s="5">
        <f t="shared" si="503"/>
        <v>46536.354446636709</v>
      </c>
      <c r="T8032" cm="1">
        <f t="array" ref="T8032">IF(OR(B8032="MAL ALIMI", B8032="ÜRETİM GİRİŞ"), MIN(I8032, MAX(0, I8032 + SUM(SUMIFS($I$1:I8031, $C$1:C8031, C8032, $B$1:B8031, {"MAL ALIMI","ÜRETİM GİRİŞ"})) - VLOOKUP(C8032, 'STOK RAPORU'!$C$2:$I$1000, 4, 0))), 0)</f>
        <v>0</v>
      </c>
      <c r="U8032" s="22">
        <f t="shared" si="500"/>
        <v>0</v>
      </c>
      <c r="V8032">
        <f t="shared" si="501"/>
        <v>0</v>
      </c>
      <c r="W8032" s="22">
        <f t="shared" si="502"/>
        <v>0</v>
      </c>
    </row>
    <row r="8033" spans="1:23" hidden="1" x14ac:dyDescent="0.25">
      <c r="A8033" s="3">
        <v>46206</v>
      </c>
      <c r="B8033" s="46" t="s">
        <v>334</v>
      </c>
      <c r="C8033" s="4" t="s">
        <v>160</v>
      </c>
      <c r="D8033" s="4"/>
      <c r="E8033" s="4"/>
      <c r="F8033" s="4" t="s">
        <v>3802</v>
      </c>
      <c r="G8033" s="4" t="s">
        <v>336</v>
      </c>
      <c r="H8033" s="4" t="s">
        <v>289</v>
      </c>
      <c r="I8033" s="4">
        <v>0.5</v>
      </c>
      <c r="J8033" s="21">
        <v>270</v>
      </c>
      <c r="K8033" s="21">
        <v>0</v>
      </c>
      <c r="L8033" s="5">
        <v>0</v>
      </c>
      <c r="M8033" s="4"/>
      <c r="N8033" s="4"/>
      <c r="O8033" s="5"/>
      <c r="P8033" s="5"/>
      <c r="Q8033" s="21">
        <v>135</v>
      </c>
      <c r="R8033" s="21">
        <v>0</v>
      </c>
      <c r="S8033" s="5">
        <f t="shared" si="503"/>
        <v>46671.354446636709</v>
      </c>
      <c r="T8033" cm="1">
        <f t="array" ref="T8033">IF(OR(B8033="MAL ALIMI", B8033="ÜRETİM GİRİŞ"), MIN(I8033, MAX(0, I8033 + SUM(SUMIFS($I$1:I8032, $C$1:C8032, C8033, $B$1:B8032, {"MAL ALIMI","ÜRETİM GİRİŞ"})) - VLOOKUP(C8033, 'STOK RAPORU'!$C$2:$I$1000, 4, 0))), 0)</f>
        <v>0</v>
      </c>
      <c r="U8033" s="22">
        <f t="shared" si="500"/>
        <v>0</v>
      </c>
      <c r="V8033">
        <f t="shared" si="501"/>
        <v>0</v>
      </c>
      <c r="W8033" s="22">
        <f t="shared" si="502"/>
        <v>0</v>
      </c>
    </row>
    <row r="8034" spans="1:23" hidden="1" x14ac:dyDescent="0.25">
      <c r="A8034" s="3">
        <v>46206</v>
      </c>
      <c r="B8034" s="46" t="s">
        <v>334</v>
      </c>
      <c r="C8034" s="4" t="s">
        <v>161</v>
      </c>
      <c r="D8034" s="4"/>
      <c r="E8034" s="4"/>
      <c r="F8034" s="4" t="s">
        <v>3802</v>
      </c>
      <c r="G8034" s="4" t="s">
        <v>336</v>
      </c>
      <c r="H8034" s="4" t="s">
        <v>289</v>
      </c>
      <c r="I8034" s="4">
        <v>0.5</v>
      </c>
      <c r="J8034" s="21">
        <v>250</v>
      </c>
      <c r="K8034" s="21">
        <v>0</v>
      </c>
      <c r="L8034" s="5">
        <v>0</v>
      </c>
      <c r="M8034" s="4"/>
      <c r="N8034" s="4"/>
      <c r="O8034" s="5"/>
      <c r="P8034" s="5"/>
      <c r="Q8034" s="21">
        <v>125</v>
      </c>
      <c r="R8034" s="21">
        <v>0</v>
      </c>
      <c r="S8034" s="5">
        <f t="shared" si="503"/>
        <v>46796.354446636709</v>
      </c>
      <c r="T8034" cm="1">
        <f t="array" ref="T8034">IF(OR(B8034="MAL ALIMI", B8034="ÜRETİM GİRİŞ"), MIN(I8034, MAX(0, I8034 + SUM(SUMIFS($I$1:I8033, $C$1:C8033, C8034, $B$1:B8033, {"MAL ALIMI","ÜRETİM GİRİŞ"})) - VLOOKUP(C8034, 'STOK RAPORU'!$C$2:$I$1000, 4, 0))), 0)</f>
        <v>0</v>
      </c>
      <c r="U8034" s="22">
        <f t="shared" si="500"/>
        <v>0</v>
      </c>
      <c r="V8034">
        <f t="shared" si="501"/>
        <v>0</v>
      </c>
      <c r="W8034" s="22">
        <f t="shared" si="502"/>
        <v>0</v>
      </c>
    </row>
    <row r="8035" spans="1:23" hidden="1" x14ac:dyDescent="0.25">
      <c r="A8035" s="3">
        <v>46206</v>
      </c>
      <c r="B8035" s="46" t="s">
        <v>334</v>
      </c>
      <c r="C8035" s="4" t="s">
        <v>529</v>
      </c>
      <c r="D8035" s="4"/>
      <c r="E8035" s="4"/>
      <c r="F8035" s="4" t="s">
        <v>3802</v>
      </c>
      <c r="G8035" s="4" t="s">
        <v>336</v>
      </c>
      <c r="H8035" s="4" t="s">
        <v>289</v>
      </c>
      <c r="I8035" s="4">
        <v>8.3333333333333329E-2</v>
      </c>
      <c r="J8035" s="21">
        <v>600</v>
      </c>
      <c r="K8035" s="21">
        <v>0</v>
      </c>
      <c r="L8035" s="5">
        <v>0</v>
      </c>
      <c r="M8035" s="4"/>
      <c r="N8035" s="4"/>
      <c r="O8035" s="5"/>
      <c r="P8035" s="5"/>
      <c r="Q8035" s="21">
        <v>50</v>
      </c>
      <c r="R8035" s="21">
        <v>0</v>
      </c>
      <c r="S8035" s="5">
        <f t="shared" si="503"/>
        <v>46846.354446636709</v>
      </c>
      <c r="T8035" cm="1">
        <f t="array" ref="T8035">IF(OR(B8035="MAL ALIMI", B8035="ÜRETİM GİRİŞ"), MIN(I8035, MAX(0, I8035 + SUM(SUMIFS($I$1:I8034, $C$1:C8034, C8035, $B$1:B8034, {"MAL ALIMI","ÜRETİM GİRİŞ"})) - VLOOKUP(C8035, 'STOK RAPORU'!$C$2:$I$1000, 4, 0))), 0)</f>
        <v>0</v>
      </c>
      <c r="U8035" s="22">
        <f t="shared" si="500"/>
        <v>0</v>
      </c>
      <c r="V8035">
        <f t="shared" si="501"/>
        <v>0</v>
      </c>
      <c r="W8035" s="22">
        <f t="shared" si="502"/>
        <v>0</v>
      </c>
    </row>
    <row r="8036" spans="1:23" hidden="1" x14ac:dyDescent="0.25">
      <c r="A8036" s="3">
        <v>46206</v>
      </c>
      <c r="B8036" s="46" t="s">
        <v>334</v>
      </c>
      <c r="C8036" s="4" t="s">
        <v>74</v>
      </c>
      <c r="D8036" s="4"/>
      <c r="E8036" s="4"/>
      <c r="F8036" s="4" t="s">
        <v>3802</v>
      </c>
      <c r="G8036" s="4" t="s">
        <v>336</v>
      </c>
      <c r="H8036" s="4" t="s">
        <v>289</v>
      </c>
      <c r="I8036" s="4">
        <v>0.1</v>
      </c>
      <c r="J8036" s="21">
        <v>750</v>
      </c>
      <c r="K8036" s="21">
        <v>0</v>
      </c>
      <c r="L8036" s="5">
        <v>0</v>
      </c>
      <c r="M8036" s="4"/>
      <c r="N8036" s="4"/>
      <c r="O8036" s="5"/>
      <c r="P8036" s="5"/>
      <c r="Q8036" s="21">
        <v>75</v>
      </c>
      <c r="R8036" s="21">
        <v>0</v>
      </c>
      <c r="S8036" s="5">
        <f t="shared" si="503"/>
        <v>46921.354446636709</v>
      </c>
      <c r="T8036" cm="1">
        <f t="array" ref="T8036">IF(OR(B8036="MAL ALIMI", B8036="ÜRETİM GİRİŞ"), MIN(I8036, MAX(0, I8036 + SUM(SUMIFS($I$1:I8035, $C$1:C8035, C8036, $B$1:B8035, {"MAL ALIMI","ÜRETİM GİRİŞ"})) - VLOOKUP(C8036, 'STOK RAPORU'!$C$2:$I$1000, 4, 0))), 0)</f>
        <v>0</v>
      </c>
      <c r="U8036" s="22">
        <f t="shared" si="500"/>
        <v>0</v>
      </c>
      <c r="V8036">
        <f t="shared" si="501"/>
        <v>0</v>
      </c>
      <c r="W8036" s="22">
        <f t="shared" si="502"/>
        <v>0</v>
      </c>
    </row>
    <row r="8037" spans="1:23" hidden="1" x14ac:dyDescent="0.25">
      <c r="A8037" s="3">
        <v>46206</v>
      </c>
      <c r="B8037" s="46" t="s">
        <v>334</v>
      </c>
      <c r="C8037" s="4" t="s">
        <v>530</v>
      </c>
      <c r="D8037" s="4"/>
      <c r="E8037" s="4" t="s">
        <v>921</v>
      </c>
      <c r="F8037" s="4" t="s">
        <v>3803</v>
      </c>
      <c r="G8037" s="4" t="s">
        <v>336</v>
      </c>
      <c r="H8037" s="4" t="s">
        <v>380</v>
      </c>
      <c r="I8037" s="4">
        <v>0.5</v>
      </c>
      <c r="J8037" s="21">
        <v>280</v>
      </c>
      <c r="K8037" s="21">
        <v>140</v>
      </c>
      <c r="L8037" s="5">
        <v>0</v>
      </c>
      <c r="M8037" s="4"/>
      <c r="N8037" s="4"/>
      <c r="O8037" s="5"/>
      <c r="P8037" s="5"/>
      <c r="Q8037" s="21">
        <v>0</v>
      </c>
      <c r="R8037" s="21">
        <v>0</v>
      </c>
      <c r="S8037" s="5">
        <f t="shared" si="503"/>
        <v>46921.354446636709</v>
      </c>
      <c r="T8037" cm="1">
        <f t="array" ref="T8037">IF(OR(B8037="MAL ALIMI", B8037="ÜRETİM GİRİŞ"), MIN(I8037, MAX(0, I8037 + SUM(SUMIFS($I$1:I8036, $C$1:C8036, C8037, $B$1:B8036, {"MAL ALIMI","ÜRETİM GİRİŞ"})) - VLOOKUP(C8037, 'STOK RAPORU'!$C$2:$I$1000, 4, 0))), 0)</f>
        <v>0</v>
      </c>
      <c r="U8037" s="22">
        <f t="shared" si="500"/>
        <v>0</v>
      </c>
      <c r="V8037">
        <f t="shared" si="501"/>
        <v>0</v>
      </c>
      <c r="W8037" s="22">
        <f t="shared" si="502"/>
        <v>0</v>
      </c>
    </row>
    <row r="8038" spans="1:23" hidden="1" x14ac:dyDescent="0.25">
      <c r="A8038" s="3">
        <v>46206</v>
      </c>
      <c r="B8038" s="46" t="s">
        <v>334</v>
      </c>
      <c r="C8038" s="4" t="s">
        <v>1359</v>
      </c>
      <c r="D8038" s="4"/>
      <c r="E8038" s="4" t="s">
        <v>921</v>
      </c>
      <c r="F8038" s="4" t="s">
        <v>3804</v>
      </c>
      <c r="G8038" s="4" t="s">
        <v>336</v>
      </c>
      <c r="H8038" s="4" t="s">
        <v>380</v>
      </c>
      <c r="I8038" s="4">
        <v>0.41</v>
      </c>
      <c r="J8038" s="21">
        <v>500</v>
      </c>
      <c r="K8038" s="21">
        <v>205</v>
      </c>
      <c r="L8038" s="5">
        <v>0</v>
      </c>
      <c r="M8038" s="4"/>
      <c r="N8038" s="4"/>
      <c r="O8038" s="5"/>
      <c r="P8038" s="5"/>
      <c r="Q8038" s="21">
        <v>0</v>
      </c>
      <c r="R8038" s="21">
        <v>0</v>
      </c>
      <c r="S8038" s="5">
        <f t="shared" si="503"/>
        <v>46921.354446636709</v>
      </c>
      <c r="T8038" cm="1">
        <f t="array" ref="T8038">IF(OR(B8038="MAL ALIMI", B8038="ÜRETİM GİRİŞ"), MIN(I8038, MAX(0, I8038 + SUM(SUMIFS($I$1:I8037, $C$1:C8037, C8038, $B$1:B8037, {"MAL ALIMI","ÜRETİM GİRİŞ"})) - VLOOKUP(C8038, 'STOK RAPORU'!$C$2:$I$1000, 4, 0))), 0)</f>
        <v>0</v>
      </c>
      <c r="U8038" s="22">
        <f t="shared" si="500"/>
        <v>0</v>
      </c>
      <c r="V8038">
        <f t="shared" si="501"/>
        <v>0</v>
      </c>
      <c r="W8038" s="22">
        <f t="shared" si="502"/>
        <v>0</v>
      </c>
    </row>
    <row r="8039" spans="1:23" hidden="1" x14ac:dyDescent="0.25">
      <c r="A8039" s="3">
        <v>46206</v>
      </c>
      <c r="B8039" s="46" t="s">
        <v>334</v>
      </c>
      <c r="C8039" s="4" t="s">
        <v>976</v>
      </c>
      <c r="D8039" s="4"/>
      <c r="E8039" s="4" t="s">
        <v>921</v>
      </c>
      <c r="F8039" s="4" t="s">
        <v>3804</v>
      </c>
      <c r="G8039" s="4" t="s">
        <v>336</v>
      </c>
      <c r="H8039" s="4" t="s">
        <v>380</v>
      </c>
      <c r="I8039" s="4">
        <v>1</v>
      </c>
      <c r="J8039" s="21">
        <v>390</v>
      </c>
      <c r="K8039" s="21">
        <v>390</v>
      </c>
      <c r="L8039" s="5">
        <v>0</v>
      </c>
      <c r="M8039" s="4"/>
      <c r="N8039" s="4"/>
      <c r="O8039" s="5"/>
      <c r="P8039" s="5"/>
      <c r="Q8039" s="21">
        <v>0</v>
      </c>
      <c r="R8039" s="21">
        <v>0</v>
      </c>
      <c r="S8039" s="5">
        <f t="shared" si="503"/>
        <v>46921.354446636709</v>
      </c>
      <c r="T8039" cm="1">
        <f t="array" ref="T8039">IF(OR(B8039="MAL ALIMI", B8039="ÜRETİM GİRİŞ"), MIN(I8039, MAX(0, I8039 + SUM(SUMIFS($I$1:I8038, $C$1:C8038, C8039, $B$1:B8038, {"MAL ALIMI","ÜRETİM GİRİŞ"})) - VLOOKUP(C8039, 'STOK RAPORU'!$C$2:$I$1000, 4, 0))), 0)</f>
        <v>0</v>
      </c>
      <c r="U8039" s="22">
        <f t="shared" si="500"/>
        <v>0</v>
      </c>
      <c r="V8039">
        <f t="shared" si="501"/>
        <v>0</v>
      </c>
      <c r="W8039" s="22">
        <f t="shared" si="502"/>
        <v>0</v>
      </c>
    </row>
    <row r="8040" spans="1:23" hidden="1" x14ac:dyDescent="0.25">
      <c r="A8040" s="3">
        <v>46206</v>
      </c>
      <c r="B8040" s="46" t="s">
        <v>334</v>
      </c>
      <c r="C8040" s="4" t="s">
        <v>157</v>
      </c>
      <c r="D8040" s="4"/>
      <c r="E8040" s="4"/>
      <c r="F8040" s="4" t="s">
        <v>3805</v>
      </c>
      <c r="G8040" s="4" t="s">
        <v>336</v>
      </c>
      <c r="H8040" s="4" t="s">
        <v>289</v>
      </c>
      <c r="I8040" s="4">
        <v>1</v>
      </c>
      <c r="J8040" s="21">
        <v>200</v>
      </c>
      <c r="K8040" s="21">
        <v>0</v>
      </c>
      <c r="L8040" s="5">
        <v>0</v>
      </c>
      <c r="M8040" s="4"/>
      <c r="N8040" s="4"/>
      <c r="O8040" s="5"/>
      <c r="P8040" s="5"/>
      <c r="Q8040" s="21">
        <v>200</v>
      </c>
      <c r="R8040" s="21">
        <v>0</v>
      </c>
      <c r="S8040" s="5">
        <f t="shared" si="503"/>
        <v>47121.354446636709</v>
      </c>
      <c r="T8040" cm="1">
        <f t="array" ref="T8040">IF(OR(B8040="MAL ALIMI", B8040="ÜRETİM GİRİŞ"), MIN(I8040, MAX(0, I8040 + SUM(SUMIFS($I$1:I8039, $C$1:C8039, C8040, $B$1:B8039, {"MAL ALIMI","ÜRETİM GİRİŞ"})) - VLOOKUP(C8040, 'STOK RAPORU'!$C$2:$I$1000, 4, 0))), 0)</f>
        <v>0</v>
      </c>
      <c r="U8040" s="22">
        <f t="shared" si="500"/>
        <v>0</v>
      </c>
      <c r="V8040">
        <f t="shared" si="501"/>
        <v>0</v>
      </c>
      <c r="W8040" s="22">
        <f t="shared" si="502"/>
        <v>0</v>
      </c>
    </row>
    <row r="8041" spans="1:23" hidden="1" x14ac:dyDescent="0.25">
      <c r="A8041" s="3">
        <v>46206</v>
      </c>
      <c r="B8041" s="46" t="s">
        <v>334</v>
      </c>
      <c r="C8041" s="4" t="s">
        <v>158</v>
      </c>
      <c r="D8041" s="4"/>
      <c r="E8041" s="4"/>
      <c r="F8041" s="4" t="s">
        <v>3805</v>
      </c>
      <c r="G8041" s="4" t="s">
        <v>336</v>
      </c>
      <c r="H8041" s="4" t="s">
        <v>289</v>
      </c>
      <c r="I8041" s="4">
        <v>1</v>
      </c>
      <c r="J8041" s="21">
        <v>150</v>
      </c>
      <c r="K8041" s="21">
        <v>0</v>
      </c>
      <c r="L8041" s="5">
        <v>0</v>
      </c>
      <c r="M8041" s="4"/>
      <c r="N8041" s="4"/>
      <c r="O8041" s="5"/>
      <c r="P8041" s="5"/>
      <c r="Q8041" s="21">
        <v>150</v>
      </c>
      <c r="R8041" s="21">
        <v>0</v>
      </c>
      <c r="S8041" s="5">
        <f t="shared" si="503"/>
        <v>47271.354446636709</v>
      </c>
      <c r="T8041" cm="1">
        <f t="array" ref="T8041">IF(OR(B8041="MAL ALIMI", B8041="ÜRETİM GİRİŞ"), MIN(I8041, MAX(0, I8041 + SUM(SUMIFS($I$1:I8040, $C$1:C8040, C8041, $B$1:B8040, {"MAL ALIMI","ÜRETİM GİRİŞ"})) - VLOOKUP(C8041, 'STOK RAPORU'!$C$2:$I$1000, 4, 0))), 0)</f>
        <v>0</v>
      </c>
      <c r="U8041" s="22">
        <f t="shared" si="500"/>
        <v>0</v>
      </c>
      <c r="V8041">
        <f t="shared" si="501"/>
        <v>0</v>
      </c>
      <c r="W8041" s="22">
        <f t="shared" si="502"/>
        <v>0</v>
      </c>
    </row>
    <row r="8042" spans="1:23" hidden="1" x14ac:dyDescent="0.25">
      <c r="A8042" s="3">
        <v>46206</v>
      </c>
      <c r="B8042" s="46" t="s">
        <v>334</v>
      </c>
      <c r="C8042" s="4" t="s">
        <v>126</v>
      </c>
      <c r="D8042" s="4"/>
      <c r="E8042" s="4"/>
      <c r="F8042" s="4" t="s">
        <v>3805</v>
      </c>
      <c r="G8042" s="4" t="s">
        <v>336</v>
      </c>
      <c r="H8042" s="4" t="s">
        <v>289</v>
      </c>
      <c r="I8042" s="4">
        <v>7.6923076923076927E-2</v>
      </c>
      <c r="J8042" s="21">
        <v>650</v>
      </c>
      <c r="K8042" s="21">
        <v>0</v>
      </c>
      <c r="L8042" s="5">
        <v>0</v>
      </c>
      <c r="M8042" s="4"/>
      <c r="N8042" s="4"/>
      <c r="O8042" s="5"/>
      <c r="P8042" s="5"/>
      <c r="Q8042" s="21">
        <v>50</v>
      </c>
      <c r="R8042" s="21">
        <v>0</v>
      </c>
      <c r="S8042" s="5">
        <f t="shared" si="503"/>
        <v>47321.354446636709</v>
      </c>
      <c r="T8042" cm="1">
        <f t="array" ref="T8042">IF(OR(B8042="MAL ALIMI", B8042="ÜRETİM GİRİŞ"), MIN(I8042, MAX(0, I8042 + SUM(SUMIFS($I$1:I8041, $C$1:C8041, C8042, $B$1:B8041, {"MAL ALIMI","ÜRETİM GİRİŞ"})) - VLOOKUP(C8042, 'STOK RAPORU'!$C$2:$I$1000, 4, 0))), 0)</f>
        <v>0</v>
      </c>
      <c r="U8042" s="22">
        <f t="shared" si="500"/>
        <v>0</v>
      </c>
      <c r="V8042">
        <f t="shared" si="501"/>
        <v>0</v>
      </c>
      <c r="W8042" s="22">
        <f t="shared" si="502"/>
        <v>0</v>
      </c>
    </row>
    <row r="8043" spans="1:23" hidden="1" x14ac:dyDescent="0.25">
      <c r="A8043" s="3">
        <v>46206</v>
      </c>
      <c r="B8043" s="46" t="s">
        <v>334</v>
      </c>
      <c r="C8043" s="4" t="s">
        <v>463</v>
      </c>
      <c r="D8043" s="4"/>
      <c r="E8043" s="4"/>
      <c r="F8043" s="4" t="s">
        <v>3805</v>
      </c>
      <c r="G8043" s="4" t="s">
        <v>336</v>
      </c>
      <c r="H8043" s="4" t="s">
        <v>289</v>
      </c>
      <c r="I8043" s="4">
        <v>0.25</v>
      </c>
      <c r="J8043" s="21">
        <v>400</v>
      </c>
      <c r="K8043" s="21">
        <v>0</v>
      </c>
      <c r="L8043" s="5">
        <v>0</v>
      </c>
      <c r="M8043" s="4"/>
      <c r="N8043" s="4"/>
      <c r="O8043" s="5"/>
      <c r="P8043" s="5"/>
      <c r="Q8043" s="21">
        <v>100</v>
      </c>
      <c r="R8043" s="21">
        <v>0</v>
      </c>
      <c r="S8043" s="5">
        <f t="shared" si="503"/>
        <v>47421.354446636709</v>
      </c>
      <c r="T8043" cm="1">
        <f t="array" ref="T8043">IF(OR(B8043="MAL ALIMI", B8043="ÜRETİM GİRİŞ"), MIN(I8043, MAX(0, I8043 + SUM(SUMIFS($I$1:I8042, $C$1:C8042, C8043, $B$1:B8042, {"MAL ALIMI","ÜRETİM GİRİŞ"})) - VLOOKUP(C8043, 'STOK RAPORU'!$C$2:$I$1000, 4, 0))), 0)</f>
        <v>0</v>
      </c>
      <c r="U8043" s="22">
        <f t="shared" si="500"/>
        <v>0</v>
      </c>
      <c r="V8043">
        <f t="shared" si="501"/>
        <v>0</v>
      </c>
      <c r="W8043" s="22">
        <f t="shared" si="502"/>
        <v>0</v>
      </c>
    </row>
    <row r="8044" spans="1:23" hidden="1" x14ac:dyDescent="0.25">
      <c r="A8044" s="3">
        <v>46206</v>
      </c>
      <c r="B8044" s="46" t="s">
        <v>334</v>
      </c>
      <c r="C8044" s="4" t="s">
        <v>1024</v>
      </c>
      <c r="D8044" s="4"/>
      <c r="E8044" s="4"/>
      <c r="F8044" s="4" t="s">
        <v>3805</v>
      </c>
      <c r="G8044" s="4" t="s">
        <v>336</v>
      </c>
      <c r="H8044" s="4" t="s">
        <v>289</v>
      </c>
      <c r="I8044" s="4">
        <v>1.5384615384615385</v>
      </c>
      <c r="J8044" s="21">
        <v>65</v>
      </c>
      <c r="K8044" s="21">
        <v>0</v>
      </c>
      <c r="L8044" s="5">
        <v>0</v>
      </c>
      <c r="M8044" s="4"/>
      <c r="N8044" s="4"/>
      <c r="O8044" s="5"/>
      <c r="P8044" s="5"/>
      <c r="Q8044" s="21">
        <v>100</v>
      </c>
      <c r="R8044" s="21">
        <v>0</v>
      </c>
      <c r="S8044" s="5">
        <f t="shared" si="503"/>
        <v>47521.354446636709</v>
      </c>
      <c r="T8044" cm="1">
        <f t="array" ref="T8044">IF(OR(B8044="MAL ALIMI", B8044="ÜRETİM GİRİŞ"), MIN(I8044, MAX(0, I8044 + SUM(SUMIFS($I$1:I8043, $C$1:C8043, C8044, $B$1:B8043, {"MAL ALIMI","ÜRETİM GİRİŞ"})) - VLOOKUP(C8044, 'STOK RAPORU'!$C$2:$I$1000, 4, 0))), 0)</f>
        <v>0</v>
      </c>
      <c r="U8044" s="22">
        <f t="shared" si="500"/>
        <v>0</v>
      </c>
      <c r="V8044">
        <f t="shared" si="501"/>
        <v>0</v>
      </c>
      <c r="W8044" s="22">
        <f t="shared" si="502"/>
        <v>0</v>
      </c>
    </row>
    <row r="8045" spans="1:23" hidden="1" x14ac:dyDescent="0.25">
      <c r="A8045" s="3">
        <v>46206</v>
      </c>
      <c r="B8045" s="46" t="s">
        <v>334</v>
      </c>
      <c r="C8045" s="4" t="s">
        <v>1501</v>
      </c>
      <c r="D8045" s="4"/>
      <c r="E8045" s="4" t="s">
        <v>921</v>
      </c>
      <c r="F8045" s="4" t="s">
        <v>3806</v>
      </c>
      <c r="G8045" s="4" t="s">
        <v>336</v>
      </c>
      <c r="H8045" s="4" t="s">
        <v>380</v>
      </c>
      <c r="I8045" s="4">
        <v>0.25</v>
      </c>
      <c r="J8045" s="21">
        <v>700</v>
      </c>
      <c r="K8045" s="21">
        <v>175</v>
      </c>
      <c r="L8045" s="5">
        <v>0</v>
      </c>
      <c r="M8045" s="4"/>
      <c r="N8045" s="4"/>
      <c r="O8045" s="5"/>
      <c r="P8045" s="5"/>
      <c r="Q8045" s="21">
        <v>0</v>
      </c>
      <c r="R8045" s="21">
        <v>0</v>
      </c>
      <c r="S8045" s="5">
        <f t="shared" si="503"/>
        <v>47521.354446636709</v>
      </c>
      <c r="T8045" cm="1">
        <f t="array" ref="T8045">IF(OR(B8045="MAL ALIMI", B8045="ÜRETİM GİRİŞ"), MIN(I8045, MAX(0, I8045 + SUM(SUMIFS($I$1:I8044, $C$1:C8044, C8045, $B$1:B8044, {"MAL ALIMI","ÜRETİM GİRİŞ"})) - VLOOKUP(C8045, 'STOK RAPORU'!$C$2:$I$1000, 4, 0))), 0)</f>
        <v>0</v>
      </c>
      <c r="U8045" s="22">
        <f t="shared" si="500"/>
        <v>0</v>
      </c>
      <c r="V8045">
        <f t="shared" si="501"/>
        <v>0</v>
      </c>
      <c r="W8045" s="22">
        <f t="shared" si="502"/>
        <v>0</v>
      </c>
    </row>
    <row r="8046" spans="1:23" hidden="1" x14ac:dyDescent="0.25">
      <c r="A8046" s="3">
        <v>46206</v>
      </c>
      <c r="B8046" s="46" t="s">
        <v>334</v>
      </c>
      <c r="C8046" s="4" t="s">
        <v>463</v>
      </c>
      <c r="D8046" s="4"/>
      <c r="E8046" s="4" t="s">
        <v>921</v>
      </c>
      <c r="F8046" s="4" t="s">
        <v>3806</v>
      </c>
      <c r="G8046" s="4" t="s">
        <v>336</v>
      </c>
      <c r="H8046" s="4" t="s">
        <v>380</v>
      </c>
      <c r="I8046" s="4">
        <v>0.21249999999999999</v>
      </c>
      <c r="J8046" s="21">
        <v>400</v>
      </c>
      <c r="K8046" s="21">
        <v>85</v>
      </c>
      <c r="L8046" s="5">
        <v>0</v>
      </c>
      <c r="M8046" s="4"/>
      <c r="N8046" s="4"/>
      <c r="O8046" s="5"/>
      <c r="P8046" s="5"/>
      <c r="Q8046" s="21">
        <v>0</v>
      </c>
      <c r="R8046" s="21">
        <v>0</v>
      </c>
      <c r="S8046" s="5">
        <f t="shared" si="503"/>
        <v>47521.354446636709</v>
      </c>
      <c r="T8046" cm="1">
        <f t="array" ref="T8046">IF(OR(B8046="MAL ALIMI", B8046="ÜRETİM GİRİŞ"), MIN(I8046, MAX(0, I8046 + SUM(SUMIFS($I$1:I8045, $C$1:C8045, C8046, $B$1:B8045, {"MAL ALIMI","ÜRETİM GİRİŞ"})) - VLOOKUP(C8046, 'STOK RAPORU'!$C$2:$I$1000, 4, 0))), 0)</f>
        <v>0</v>
      </c>
      <c r="U8046" s="22">
        <f t="shared" si="500"/>
        <v>0</v>
      </c>
      <c r="V8046">
        <f t="shared" si="501"/>
        <v>0</v>
      </c>
      <c r="W8046" s="22">
        <f t="shared" si="502"/>
        <v>0</v>
      </c>
    </row>
    <row r="8047" spans="1:23" hidden="1" x14ac:dyDescent="0.25">
      <c r="A8047" s="3">
        <v>46206</v>
      </c>
      <c r="B8047" s="46" t="s">
        <v>946</v>
      </c>
      <c r="C8047" s="4"/>
      <c r="D8047" s="4"/>
      <c r="E8047" s="4" t="s">
        <v>921</v>
      </c>
      <c r="F8047" s="4"/>
      <c r="G8047" s="4" t="s">
        <v>946</v>
      </c>
      <c r="H8047" s="4" t="s">
        <v>380</v>
      </c>
      <c r="I8047" s="4">
        <v>1</v>
      </c>
      <c r="J8047" s="21">
        <v>1234</v>
      </c>
      <c r="K8047" s="21">
        <v>0</v>
      </c>
      <c r="L8047" s="115">
        <v>1234</v>
      </c>
      <c r="M8047" s="4"/>
      <c r="N8047" s="4"/>
      <c r="O8047" s="5"/>
      <c r="P8047" s="5"/>
      <c r="Q8047" s="21">
        <v>1234</v>
      </c>
      <c r="R8047" s="21">
        <v>0</v>
      </c>
      <c r="S8047" s="5">
        <f t="shared" si="503"/>
        <v>48755.354446636709</v>
      </c>
      <c r="T8047" cm="1">
        <f t="array" ref="T8047">IF(OR(B8047="MAL ALIMI", B8047="ÜRETİM GİRİŞ"), MIN(I8047, MAX(0, I8047 + SUM(SUMIFS($I$1:I8046, $C$1:C8046, C8047, $B$1:B8046, {"MAL ALIMI","ÜRETİM GİRİŞ"})) - VLOOKUP(C8047, 'STOK RAPORU'!$C$2:$I$1000, 4, 0))), 0)</f>
        <v>0</v>
      </c>
      <c r="U8047" s="22">
        <f t="shared" si="500"/>
        <v>0</v>
      </c>
      <c r="V8047">
        <f t="shared" si="501"/>
        <v>0</v>
      </c>
      <c r="W8047" s="22">
        <f t="shared" si="502"/>
        <v>0</v>
      </c>
    </row>
    <row r="8048" spans="1:23" hidden="1" x14ac:dyDescent="0.25">
      <c r="A8048" s="3">
        <v>46206</v>
      </c>
      <c r="B8048" s="46" t="s">
        <v>946</v>
      </c>
      <c r="C8048" s="4"/>
      <c r="D8048" s="4"/>
      <c r="E8048" s="4" t="s">
        <v>921</v>
      </c>
      <c r="F8048" s="4"/>
      <c r="G8048" s="4" t="s">
        <v>946</v>
      </c>
      <c r="H8048" s="4" t="s">
        <v>380</v>
      </c>
      <c r="I8048" s="4">
        <v>1</v>
      </c>
      <c r="J8048" s="21">
        <v>1275</v>
      </c>
      <c r="K8048" s="21">
        <v>0</v>
      </c>
      <c r="L8048" s="115">
        <v>1275</v>
      </c>
      <c r="M8048" s="4"/>
      <c r="N8048" s="4"/>
      <c r="O8048" s="5"/>
      <c r="P8048" s="5"/>
      <c r="Q8048" s="21">
        <v>1275</v>
      </c>
      <c r="R8048" s="21">
        <v>0</v>
      </c>
      <c r="S8048" s="5">
        <f t="shared" si="503"/>
        <v>50030.354446636709</v>
      </c>
      <c r="T8048" cm="1">
        <f t="array" ref="T8048">IF(OR(B8048="MAL ALIMI", B8048="ÜRETİM GİRİŞ"), MIN(I8048, MAX(0, I8048 + SUM(SUMIFS($I$1:I8047, $C$1:C8047, C8048, $B$1:B8047, {"MAL ALIMI","ÜRETİM GİRİŞ"})) - VLOOKUP(C8048, 'STOK RAPORU'!$C$2:$I$1000, 4, 0))), 0)</f>
        <v>0</v>
      </c>
      <c r="U8048" s="22">
        <f t="shared" si="500"/>
        <v>0</v>
      </c>
      <c r="V8048">
        <f t="shared" si="501"/>
        <v>0</v>
      </c>
      <c r="W8048" s="22">
        <f t="shared" si="502"/>
        <v>0</v>
      </c>
    </row>
    <row r="8049" spans="1:23" hidden="1" x14ac:dyDescent="0.25">
      <c r="A8049" s="3">
        <v>46207</v>
      </c>
      <c r="B8049" s="46" t="s">
        <v>334</v>
      </c>
      <c r="C8049" s="4" t="s">
        <v>1151</v>
      </c>
      <c r="D8049" s="4"/>
      <c r="E8049" s="4"/>
      <c r="F8049" s="4" t="s">
        <v>3807</v>
      </c>
      <c r="G8049" s="4" t="s">
        <v>336</v>
      </c>
      <c r="H8049" s="4" t="s">
        <v>289</v>
      </c>
      <c r="I8049" s="4">
        <v>0.25</v>
      </c>
      <c r="J8049" s="21">
        <v>400</v>
      </c>
      <c r="K8049" s="21">
        <v>0</v>
      </c>
      <c r="L8049" s="5">
        <v>0</v>
      </c>
      <c r="M8049" s="4"/>
      <c r="N8049" s="4"/>
      <c r="O8049" s="5"/>
      <c r="P8049" s="5"/>
      <c r="Q8049" s="21">
        <v>100</v>
      </c>
      <c r="R8049" s="21">
        <v>0</v>
      </c>
      <c r="S8049" s="5">
        <f t="shared" si="503"/>
        <v>50130.354446636709</v>
      </c>
      <c r="T8049" cm="1">
        <f t="array" ref="T8049">IF(OR(B8049="MAL ALIMI", B8049="ÜRETİM GİRİŞ"), MIN(I8049, MAX(0, I8049 + SUM(SUMIFS($I$1:I8048, $C$1:C8048, C8049, $B$1:B8048, {"MAL ALIMI","ÜRETİM GİRİŞ"})) - VLOOKUP(C8049, 'STOK RAPORU'!$C$2:$I$1000, 4, 0))), 0)</f>
        <v>0</v>
      </c>
      <c r="U8049" s="22">
        <f t="shared" ref="U8049:U8111" si="504">T8049*J8049</f>
        <v>0</v>
      </c>
      <c r="V8049">
        <f t="shared" ref="V8049:V8111" si="505">IF(OR(B8049="MAL ALIMI", B8049="ÜRETİM GİRİŞ"), I8049 * J8049, 0)</f>
        <v>0</v>
      </c>
      <c r="W8049" s="22">
        <f t="shared" ref="W8049:W8111" si="506">V8049-U8049</f>
        <v>0</v>
      </c>
    </row>
    <row r="8050" spans="1:23" hidden="1" x14ac:dyDescent="0.25">
      <c r="A8050" s="3">
        <v>46207</v>
      </c>
      <c r="B8050" s="46" t="s">
        <v>334</v>
      </c>
      <c r="C8050" s="4" t="s">
        <v>60</v>
      </c>
      <c r="D8050" s="4"/>
      <c r="E8050" s="4" t="s">
        <v>921</v>
      </c>
      <c r="F8050" s="4" t="s">
        <v>3808</v>
      </c>
      <c r="G8050" s="4" t="s">
        <v>336</v>
      </c>
      <c r="H8050" s="4" t="s">
        <v>380</v>
      </c>
      <c r="I8050" s="4">
        <v>0.05</v>
      </c>
      <c r="J8050" s="21">
        <v>1200</v>
      </c>
      <c r="K8050" s="21">
        <v>60</v>
      </c>
      <c r="L8050" s="5">
        <v>0</v>
      </c>
      <c r="M8050" s="4"/>
      <c r="N8050" s="4"/>
      <c r="O8050" s="5"/>
      <c r="P8050" s="5"/>
      <c r="Q8050" s="21">
        <v>0</v>
      </c>
      <c r="R8050" s="21">
        <v>0</v>
      </c>
      <c r="S8050" s="5">
        <f t="shared" si="503"/>
        <v>50130.354446636709</v>
      </c>
      <c r="T8050" cm="1">
        <f t="array" ref="T8050">IF(OR(B8050="MAL ALIMI", B8050="ÜRETİM GİRİŞ"), MIN(I8050, MAX(0, I8050 + SUM(SUMIFS($I$1:I8049, $C$1:C8049, C8050, $B$1:B8049, {"MAL ALIMI","ÜRETİM GİRİŞ"})) - VLOOKUP(C8050, 'STOK RAPORU'!$C$2:$I$1000, 4, 0))), 0)</f>
        <v>0</v>
      </c>
      <c r="U8050" s="22">
        <f t="shared" si="504"/>
        <v>0</v>
      </c>
      <c r="V8050">
        <f t="shared" si="505"/>
        <v>0</v>
      </c>
      <c r="W8050" s="22">
        <f t="shared" si="506"/>
        <v>0</v>
      </c>
    </row>
    <row r="8051" spans="1:23" hidden="1" x14ac:dyDescent="0.25">
      <c r="A8051" s="3">
        <v>46207</v>
      </c>
      <c r="B8051" s="46" t="s">
        <v>334</v>
      </c>
      <c r="C8051" s="4" t="s">
        <v>523</v>
      </c>
      <c r="D8051" s="4"/>
      <c r="E8051" s="4" t="s">
        <v>921</v>
      </c>
      <c r="F8051" s="4" t="s">
        <v>3808</v>
      </c>
      <c r="G8051" s="4" t="s">
        <v>336</v>
      </c>
      <c r="H8051" s="4" t="s">
        <v>380</v>
      </c>
      <c r="I8051" s="4">
        <v>0.08</v>
      </c>
      <c r="J8051" s="21">
        <v>750</v>
      </c>
      <c r="K8051" s="21">
        <v>60</v>
      </c>
      <c r="L8051" s="5">
        <v>0</v>
      </c>
      <c r="M8051" s="4"/>
      <c r="N8051" s="4"/>
      <c r="O8051" s="5"/>
      <c r="P8051" s="5"/>
      <c r="Q8051" s="21">
        <v>0</v>
      </c>
      <c r="R8051" s="21">
        <v>0</v>
      </c>
      <c r="S8051" s="5">
        <f t="shared" si="503"/>
        <v>50130.354446636709</v>
      </c>
      <c r="T8051" cm="1">
        <f t="array" ref="T8051">IF(OR(B8051="MAL ALIMI", B8051="ÜRETİM GİRİŞ"), MIN(I8051, MAX(0, I8051 + SUM(SUMIFS($I$1:I8050, $C$1:C8050, C8051, $B$1:B8050, {"MAL ALIMI","ÜRETİM GİRİŞ"})) - VLOOKUP(C8051, 'STOK RAPORU'!$C$2:$I$1000, 4, 0))), 0)</f>
        <v>0</v>
      </c>
      <c r="U8051" s="22">
        <f t="shared" si="504"/>
        <v>0</v>
      </c>
      <c r="V8051">
        <f t="shared" si="505"/>
        <v>0</v>
      </c>
      <c r="W8051" s="22">
        <f t="shared" si="506"/>
        <v>0</v>
      </c>
    </row>
    <row r="8052" spans="1:23" hidden="1" x14ac:dyDescent="0.25">
      <c r="A8052" s="3">
        <v>46207</v>
      </c>
      <c r="B8052" s="46" t="s">
        <v>334</v>
      </c>
      <c r="C8052" s="4" t="s">
        <v>1428</v>
      </c>
      <c r="D8052" s="4"/>
      <c r="E8052" s="4" t="s">
        <v>921</v>
      </c>
      <c r="F8052" s="4" t="s">
        <v>3809</v>
      </c>
      <c r="G8052" s="4" t="s">
        <v>336</v>
      </c>
      <c r="H8052" s="4" t="s">
        <v>380</v>
      </c>
      <c r="I8052" s="4">
        <v>0.1</v>
      </c>
      <c r="J8052" s="21">
        <v>800</v>
      </c>
      <c r="K8052" s="21">
        <v>80</v>
      </c>
      <c r="L8052" s="5">
        <v>0</v>
      </c>
      <c r="M8052" s="4"/>
      <c r="N8052" s="4"/>
      <c r="O8052" s="5"/>
      <c r="P8052" s="5"/>
      <c r="Q8052" s="21">
        <v>0</v>
      </c>
      <c r="R8052" s="21">
        <v>0</v>
      </c>
      <c r="S8052" s="5">
        <f t="shared" si="503"/>
        <v>50130.354446636709</v>
      </c>
      <c r="T8052" cm="1">
        <f t="array" ref="T8052">IF(OR(B8052="MAL ALIMI", B8052="ÜRETİM GİRİŞ"), MIN(I8052, MAX(0, I8052 + SUM(SUMIFS($I$1:I8051, $C$1:C8051, C8052, $B$1:B8051, {"MAL ALIMI","ÜRETİM GİRİŞ"})) - VLOOKUP(C8052, 'STOK RAPORU'!$C$2:$I$1000, 4, 0))), 0)</f>
        <v>0</v>
      </c>
      <c r="U8052" s="22">
        <f t="shared" si="504"/>
        <v>0</v>
      </c>
      <c r="V8052">
        <f t="shared" si="505"/>
        <v>0</v>
      </c>
      <c r="W8052" s="22">
        <f t="shared" si="506"/>
        <v>0</v>
      </c>
    </row>
    <row r="8053" spans="1:23" hidden="1" x14ac:dyDescent="0.25">
      <c r="A8053" s="3">
        <v>46207</v>
      </c>
      <c r="B8053" s="46" t="s">
        <v>334</v>
      </c>
      <c r="C8053" s="4" t="s">
        <v>1359</v>
      </c>
      <c r="D8053" s="4"/>
      <c r="E8053" s="4" t="s">
        <v>921</v>
      </c>
      <c r="F8053" s="4" t="s">
        <v>3809</v>
      </c>
      <c r="G8053" s="4" t="s">
        <v>336</v>
      </c>
      <c r="H8053" s="4" t="s">
        <v>380</v>
      </c>
      <c r="I8053" s="4">
        <v>0.24399999999999999</v>
      </c>
      <c r="J8053" s="21">
        <v>500</v>
      </c>
      <c r="K8053" s="21">
        <v>122</v>
      </c>
      <c r="L8053" s="5">
        <v>0</v>
      </c>
      <c r="M8053" s="4"/>
      <c r="N8053" s="4"/>
      <c r="O8053" s="5"/>
      <c r="P8053" s="5"/>
      <c r="Q8053" s="21">
        <v>0</v>
      </c>
      <c r="R8053" s="21">
        <v>0</v>
      </c>
      <c r="S8053" s="5">
        <f t="shared" si="503"/>
        <v>50130.354446636709</v>
      </c>
      <c r="T8053" cm="1">
        <f t="array" ref="T8053">IF(OR(B8053="MAL ALIMI", B8053="ÜRETİM GİRİŞ"), MIN(I8053, MAX(0, I8053 + SUM(SUMIFS($I$1:I8052, $C$1:C8052, C8053, $B$1:B8052, {"MAL ALIMI","ÜRETİM GİRİŞ"})) - VLOOKUP(C8053, 'STOK RAPORU'!$C$2:$I$1000, 4, 0))), 0)</f>
        <v>0</v>
      </c>
      <c r="U8053" s="22">
        <f t="shared" si="504"/>
        <v>0</v>
      </c>
      <c r="V8053">
        <f t="shared" si="505"/>
        <v>0</v>
      </c>
      <c r="W8053" s="22">
        <f t="shared" si="506"/>
        <v>0</v>
      </c>
    </row>
    <row r="8054" spans="1:23" hidden="1" x14ac:dyDescent="0.25">
      <c r="A8054" s="3">
        <v>46207</v>
      </c>
      <c r="B8054" s="46" t="s">
        <v>334</v>
      </c>
      <c r="C8054" s="4" t="s">
        <v>96</v>
      </c>
      <c r="D8054" s="4"/>
      <c r="E8054" s="4" t="s">
        <v>921</v>
      </c>
      <c r="F8054" s="4" t="s">
        <v>3809</v>
      </c>
      <c r="G8054" s="4" t="s">
        <v>336</v>
      </c>
      <c r="H8054" s="4" t="s">
        <v>380</v>
      </c>
      <c r="I8054" s="4">
        <v>0.13500000000000001</v>
      </c>
      <c r="J8054" s="21">
        <v>400</v>
      </c>
      <c r="K8054" s="21">
        <v>54</v>
      </c>
      <c r="L8054" s="5">
        <v>0</v>
      </c>
      <c r="M8054" s="4"/>
      <c r="N8054" s="4"/>
      <c r="O8054" s="5"/>
      <c r="P8054" s="5"/>
      <c r="Q8054" s="21">
        <v>0</v>
      </c>
      <c r="R8054" s="21">
        <v>0</v>
      </c>
      <c r="S8054" s="5">
        <f t="shared" si="503"/>
        <v>50130.354446636709</v>
      </c>
      <c r="T8054" cm="1">
        <f t="array" ref="T8054">IF(OR(B8054="MAL ALIMI", B8054="ÜRETİM GİRİŞ"), MIN(I8054, MAX(0, I8054 + SUM(SUMIFS($I$1:I8053, $C$1:C8053, C8054, $B$1:B8053, {"MAL ALIMI","ÜRETİM GİRİŞ"})) - VLOOKUP(C8054, 'STOK RAPORU'!$C$2:$I$1000, 4, 0))), 0)</f>
        <v>0</v>
      </c>
      <c r="U8054" s="22">
        <f t="shared" si="504"/>
        <v>0</v>
      </c>
      <c r="V8054">
        <f t="shared" si="505"/>
        <v>0</v>
      </c>
      <c r="W8054" s="22">
        <f t="shared" si="506"/>
        <v>0</v>
      </c>
    </row>
    <row r="8055" spans="1:23" hidden="1" x14ac:dyDescent="0.25">
      <c r="A8055" s="3">
        <v>46207</v>
      </c>
      <c r="B8055" s="46" t="s">
        <v>334</v>
      </c>
      <c r="C8055" s="4" t="s">
        <v>126</v>
      </c>
      <c r="D8055" s="4"/>
      <c r="E8055" s="4" t="s">
        <v>921</v>
      </c>
      <c r="F8055" s="4" t="s">
        <v>3809</v>
      </c>
      <c r="G8055" s="4" t="s">
        <v>336</v>
      </c>
      <c r="H8055" s="4" t="s">
        <v>380</v>
      </c>
      <c r="I8055" s="4">
        <v>9.5384615384615387E-2</v>
      </c>
      <c r="J8055" s="21">
        <v>650</v>
      </c>
      <c r="K8055" s="21">
        <v>62</v>
      </c>
      <c r="L8055" s="5">
        <v>0</v>
      </c>
      <c r="M8055" s="4"/>
      <c r="N8055" s="4"/>
      <c r="O8055" s="5"/>
      <c r="P8055" s="5"/>
      <c r="Q8055" s="21">
        <v>0</v>
      </c>
      <c r="R8055" s="21">
        <v>0</v>
      </c>
      <c r="S8055" s="5">
        <f t="shared" si="503"/>
        <v>50130.354446636709</v>
      </c>
      <c r="T8055" cm="1">
        <f t="array" ref="T8055">IF(OR(B8055="MAL ALIMI", B8055="ÜRETİM GİRİŞ"), MIN(I8055, MAX(0, I8055 + SUM(SUMIFS($I$1:I8054, $C$1:C8054, C8055, $B$1:B8054, {"MAL ALIMI","ÜRETİM GİRİŞ"})) - VLOOKUP(C8055, 'STOK RAPORU'!$C$2:$I$1000, 4, 0))), 0)</f>
        <v>0</v>
      </c>
      <c r="U8055" s="22">
        <f t="shared" si="504"/>
        <v>0</v>
      </c>
      <c r="V8055">
        <f t="shared" si="505"/>
        <v>0</v>
      </c>
      <c r="W8055" s="22">
        <f t="shared" si="506"/>
        <v>0</v>
      </c>
    </row>
    <row r="8056" spans="1:23" hidden="1" x14ac:dyDescent="0.25">
      <c r="A8056" s="3">
        <v>46207</v>
      </c>
      <c r="B8056" s="46" t="s">
        <v>334</v>
      </c>
      <c r="C8056" s="4" t="s">
        <v>697</v>
      </c>
      <c r="D8056" s="4"/>
      <c r="E8056" s="4" t="s">
        <v>921</v>
      </c>
      <c r="F8056" s="4" t="s">
        <v>3809</v>
      </c>
      <c r="G8056" s="4" t="s">
        <v>336</v>
      </c>
      <c r="H8056" s="4" t="s">
        <v>380</v>
      </c>
      <c r="I8056" s="4">
        <v>0.1</v>
      </c>
      <c r="J8056" s="21">
        <v>500</v>
      </c>
      <c r="K8056" s="21">
        <v>50</v>
      </c>
      <c r="L8056" s="5">
        <v>0</v>
      </c>
      <c r="M8056" s="4"/>
      <c r="N8056" s="4"/>
      <c r="O8056" s="5"/>
      <c r="P8056" s="5"/>
      <c r="Q8056" s="21">
        <v>0</v>
      </c>
      <c r="R8056" s="21">
        <v>0</v>
      </c>
      <c r="S8056" s="5">
        <f t="shared" si="503"/>
        <v>50130.354446636709</v>
      </c>
      <c r="T8056" cm="1">
        <f t="array" ref="T8056">IF(OR(B8056="MAL ALIMI", B8056="ÜRETİM GİRİŞ"), MIN(I8056, MAX(0, I8056 + SUM(SUMIFS($I$1:I8055, $C$1:C8055, C8056, $B$1:B8055, {"MAL ALIMI","ÜRETİM GİRİŞ"})) - VLOOKUP(C8056, 'STOK RAPORU'!$C$2:$I$1000, 4, 0))), 0)</f>
        <v>0</v>
      </c>
      <c r="U8056" s="22">
        <f t="shared" si="504"/>
        <v>0</v>
      </c>
      <c r="V8056">
        <f t="shared" si="505"/>
        <v>0</v>
      </c>
      <c r="W8056" s="22">
        <f t="shared" si="506"/>
        <v>0</v>
      </c>
    </row>
    <row r="8057" spans="1:23" hidden="1" x14ac:dyDescent="0.25">
      <c r="A8057" s="3">
        <v>46207</v>
      </c>
      <c r="B8057" s="46" t="s">
        <v>334</v>
      </c>
      <c r="C8057" s="4" t="s">
        <v>1359</v>
      </c>
      <c r="D8057" s="4"/>
      <c r="E8057" s="4" t="s">
        <v>921</v>
      </c>
      <c r="F8057" s="4" t="s">
        <v>3810</v>
      </c>
      <c r="G8057" s="4" t="s">
        <v>336</v>
      </c>
      <c r="H8057" s="4" t="s">
        <v>380</v>
      </c>
      <c r="I8057" s="4">
        <v>0.2</v>
      </c>
      <c r="J8057" s="21">
        <v>500</v>
      </c>
      <c r="K8057" s="21">
        <v>100</v>
      </c>
      <c r="L8057" s="5">
        <v>0</v>
      </c>
      <c r="M8057" s="4"/>
      <c r="N8057" s="4"/>
      <c r="O8057" s="5"/>
      <c r="P8057" s="5"/>
      <c r="Q8057" s="21">
        <v>0</v>
      </c>
      <c r="R8057" s="21">
        <v>0</v>
      </c>
      <c r="S8057" s="5">
        <f t="shared" si="503"/>
        <v>50130.354446636709</v>
      </c>
      <c r="T8057" cm="1">
        <f t="array" ref="T8057">IF(OR(B8057="MAL ALIMI", B8057="ÜRETİM GİRİŞ"), MIN(I8057, MAX(0, I8057 + SUM(SUMIFS($I$1:I8056, $C$1:C8056, C8057, $B$1:B8056, {"MAL ALIMI","ÜRETİM GİRİŞ"})) - VLOOKUP(C8057, 'STOK RAPORU'!$C$2:$I$1000, 4, 0))), 0)</f>
        <v>0</v>
      </c>
      <c r="U8057" s="22">
        <f t="shared" si="504"/>
        <v>0</v>
      </c>
      <c r="V8057">
        <f t="shared" si="505"/>
        <v>0</v>
      </c>
      <c r="W8057" s="22">
        <f t="shared" si="506"/>
        <v>0</v>
      </c>
    </row>
    <row r="8058" spans="1:23" hidden="1" x14ac:dyDescent="0.25">
      <c r="A8058" s="3">
        <v>46207</v>
      </c>
      <c r="B8058" s="46" t="s">
        <v>334</v>
      </c>
      <c r="C8058" s="4" t="s">
        <v>728</v>
      </c>
      <c r="D8058" s="4"/>
      <c r="E8058" s="4" t="s">
        <v>921</v>
      </c>
      <c r="F8058" s="4" t="s">
        <v>3810</v>
      </c>
      <c r="G8058" s="4" t="s">
        <v>336</v>
      </c>
      <c r="H8058" s="4" t="s">
        <v>380</v>
      </c>
      <c r="I8058" s="4">
        <v>0.23076923076923078</v>
      </c>
      <c r="J8058" s="21">
        <v>650</v>
      </c>
      <c r="K8058" s="21">
        <v>150</v>
      </c>
      <c r="L8058" s="5">
        <v>0</v>
      </c>
      <c r="M8058" s="4"/>
      <c r="N8058" s="4"/>
      <c r="O8058" s="5"/>
      <c r="P8058" s="5"/>
      <c r="Q8058" s="21">
        <v>0</v>
      </c>
      <c r="R8058" s="21">
        <v>0</v>
      </c>
      <c r="S8058" s="5">
        <f t="shared" si="503"/>
        <v>50130.354446636709</v>
      </c>
      <c r="T8058" cm="1">
        <f t="array" ref="T8058">IF(OR(B8058="MAL ALIMI", B8058="ÜRETİM GİRİŞ"), MIN(I8058, MAX(0, I8058 + SUM(SUMIFS($I$1:I8057, $C$1:C8057, C8058, $B$1:B8057, {"MAL ALIMI","ÜRETİM GİRİŞ"})) - VLOOKUP(C8058, 'STOK RAPORU'!$C$2:$I$1000, 4, 0))), 0)</f>
        <v>0</v>
      </c>
      <c r="U8058" s="22">
        <f t="shared" si="504"/>
        <v>0</v>
      </c>
      <c r="V8058">
        <f t="shared" si="505"/>
        <v>0</v>
      </c>
      <c r="W8058" s="22">
        <f t="shared" si="506"/>
        <v>0</v>
      </c>
    </row>
    <row r="8059" spans="1:23" hidden="1" x14ac:dyDescent="0.25">
      <c r="A8059" s="3">
        <v>46207</v>
      </c>
      <c r="B8059" s="46" t="s">
        <v>334</v>
      </c>
      <c r="C8059" s="4" t="s">
        <v>1357</v>
      </c>
      <c r="D8059" s="4"/>
      <c r="E8059" s="4" t="s">
        <v>921</v>
      </c>
      <c r="F8059" s="4" t="s">
        <v>3810</v>
      </c>
      <c r="G8059" s="4" t="s">
        <v>336</v>
      </c>
      <c r="H8059" s="4" t="s">
        <v>380</v>
      </c>
      <c r="I8059" s="4">
        <v>0.14285714285714285</v>
      </c>
      <c r="J8059" s="21">
        <v>700</v>
      </c>
      <c r="K8059" s="21">
        <v>100</v>
      </c>
      <c r="L8059" s="5">
        <v>0</v>
      </c>
      <c r="M8059" s="4"/>
      <c r="N8059" s="4"/>
      <c r="O8059" s="5"/>
      <c r="P8059" s="5"/>
      <c r="Q8059" s="21">
        <v>0</v>
      </c>
      <c r="R8059" s="21">
        <v>0</v>
      </c>
      <c r="S8059" s="5">
        <f t="shared" si="503"/>
        <v>50130.354446636709</v>
      </c>
      <c r="T8059" cm="1">
        <f t="array" ref="T8059">IF(OR(B8059="MAL ALIMI", B8059="ÜRETİM GİRİŞ"), MIN(I8059, MAX(0, I8059 + SUM(SUMIFS($I$1:I8058, $C$1:C8058, C8059, $B$1:B8058, {"MAL ALIMI","ÜRETİM GİRİŞ"})) - VLOOKUP(C8059, 'STOK RAPORU'!$C$2:$I$1000, 4, 0))), 0)</f>
        <v>0</v>
      </c>
      <c r="U8059" s="22">
        <f t="shared" si="504"/>
        <v>0</v>
      </c>
      <c r="V8059">
        <f t="shared" si="505"/>
        <v>0</v>
      </c>
      <c r="W8059" s="22">
        <f t="shared" si="506"/>
        <v>0</v>
      </c>
    </row>
    <row r="8060" spans="1:23" hidden="1" x14ac:dyDescent="0.25">
      <c r="A8060" s="3">
        <v>46207</v>
      </c>
      <c r="B8060" s="46" t="s">
        <v>334</v>
      </c>
      <c r="C8060" s="4" t="s">
        <v>679</v>
      </c>
      <c r="D8060" s="4"/>
      <c r="E8060" s="4" t="s">
        <v>921</v>
      </c>
      <c r="F8060" s="4" t="s">
        <v>3810</v>
      </c>
      <c r="G8060" s="4" t="s">
        <v>336</v>
      </c>
      <c r="H8060" s="4" t="s">
        <v>380</v>
      </c>
      <c r="I8060" s="4">
        <v>0.25</v>
      </c>
      <c r="J8060" s="21">
        <v>400</v>
      </c>
      <c r="K8060" s="21">
        <v>100</v>
      </c>
      <c r="L8060" s="5">
        <v>0</v>
      </c>
      <c r="M8060" s="4"/>
      <c r="N8060" s="4"/>
      <c r="O8060" s="5"/>
      <c r="P8060" s="5"/>
      <c r="Q8060" s="21">
        <v>0</v>
      </c>
      <c r="R8060" s="21">
        <v>0</v>
      </c>
      <c r="S8060" s="5">
        <f t="shared" si="503"/>
        <v>50130.354446636709</v>
      </c>
      <c r="T8060" cm="1">
        <f t="array" ref="T8060">IF(OR(B8060="MAL ALIMI", B8060="ÜRETİM GİRİŞ"), MIN(I8060, MAX(0, I8060 + SUM(SUMIFS($I$1:I8059, $C$1:C8059, C8060, $B$1:B8059, {"MAL ALIMI","ÜRETİM GİRİŞ"})) - VLOOKUP(C8060, 'STOK RAPORU'!$C$2:$I$1000, 4, 0))), 0)</f>
        <v>0</v>
      </c>
      <c r="U8060" s="22">
        <f t="shared" si="504"/>
        <v>0</v>
      </c>
      <c r="V8060">
        <f t="shared" si="505"/>
        <v>0</v>
      </c>
      <c r="W8060" s="22">
        <f t="shared" si="506"/>
        <v>0</v>
      </c>
    </row>
    <row r="8061" spans="1:23" hidden="1" x14ac:dyDescent="0.25">
      <c r="A8061" s="3">
        <v>46207</v>
      </c>
      <c r="B8061" s="46" t="s">
        <v>334</v>
      </c>
      <c r="C8061" s="4" t="s">
        <v>691</v>
      </c>
      <c r="D8061" s="4"/>
      <c r="E8061" s="4"/>
      <c r="F8061" s="4" t="s">
        <v>3811</v>
      </c>
      <c r="G8061" s="4" t="s">
        <v>336</v>
      </c>
      <c r="H8061" s="4" t="s">
        <v>289</v>
      </c>
      <c r="I8061" s="4">
        <v>0.3</v>
      </c>
      <c r="J8061" s="21">
        <v>250</v>
      </c>
      <c r="K8061" s="21">
        <v>0</v>
      </c>
      <c r="L8061" s="5">
        <v>0</v>
      </c>
      <c r="M8061" s="4"/>
      <c r="N8061" s="4"/>
      <c r="O8061" s="5"/>
      <c r="P8061" s="5"/>
      <c r="Q8061" s="21">
        <v>75</v>
      </c>
      <c r="R8061" s="21">
        <v>0</v>
      </c>
      <c r="S8061" s="5">
        <f t="shared" si="503"/>
        <v>50205.354446636709</v>
      </c>
      <c r="T8061" cm="1">
        <f t="array" ref="T8061">IF(OR(B8061="MAL ALIMI", B8061="ÜRETİM GİRİŞ"), MIN(I8061, MAX(0, I8061 + SUM(SUMIFS($I$1:I8060, $C$1:C8060, C8061, $B$1:B8060, {"MAL ALIMI","ÜRETİM GİRİŞ"})) - VLOOKUP(C8061, 'STOK RAPORU'!$C$2:$I$1000, 4, 0))), 0)</f>
        <v>0</v>
      </c>
      <c r="U8061" s="22">
        <f t="shared" si="504"/>
        <v>0</v>
      </c>
      <c r="V8061">
        <f t="shared" si="505"/>
        <v>0</v>
      </c>
      <c r="W8061" s="22">
        <f t="shared" si="506"/>
        <v>0</v>
      </c>
    </row>
    <row r="8062" spans="1:23" hidden="1" x14ac:dyDescent="0.25">
      <c r="A8062" s="3">
        <v>46207</v>
      </c>
      <c r="B8062" s="46" t="s">
        <v>334</v>
      </c>
      <c r="C8062" s="4" t="s">
        <v>60</v>
      </c>
      <c r="D8062" s="4"/>
      <c r="E8062" s="4"/>
      <c r="F8062" s="4" t="s">
        <v>3811</v>
      </c>
      <c r="G8062" s="4" t="s">
        <v>336</v>
      </c>
      <c r="H8062" s="4" t="s">
        <v>289</v>
      </c>
      <c r="I8062" s="4">
        <v>0.05</v>
      </c>
      <c r="J8062" s="21">
        <v>1200</v>
      </c>
      <c r="K8062" s="21">
        <v>0</v>
      </c>
      <c r="L8062" s="5">
        <v>0</v>
      </c>
      <c r="M8062" s="4"/>
      <c r="N8062" s="4"/>
      <c r="O8062" s="5"/>
      <c r="P8062" s="5"/>
      <c r="Q8062" s="21">
        <v>60</v>
      </c>
      <c r="R8062" s="21">
        <v>0</v>
      </c>
      <c r="S8062" s="5">
        <f t="shared" si="503"/>
        <v>50265.354446636709</v>
      </c>
      <c r="T8062" cm="1">
        <f t="array" ref="T8062">IF(OR(B8062="MAL ALIMI", B8062="ÜRETİM GİRİŞ"), MIN(I8062, MAX(0, I8062 + SUM(SUMIFS($I$1:I8061, $C$1:C8061, C8062, $B$1:B8061, {"MAL ALIMI","ÜRETİM GİRİŞ"})) - VLOOKUP(C8062, 'STOK RAPORU'!$C$2:$I$1000, 4, 0))), 0)</f>
        <v>0</v>
      </c>
      <c r="U8062" s="22">
        <f t="shared" si="504"/>
        <v>0</v>
      </c>
      <c r="V8062">
        <f t="shared" si="505"/>
        <v>0</v>
      </c>
      <c r="W8062" s="22">
        <f t="shared" si="506"/>
        <v>0</v>
      </c>
    </row>
    <row r="8063" spans="1:23" hidden="1" x14ac:dyDescent="0.25">
      <c r="A8063" s="3">
        <v>46207</v>
      </c>
      <c r="B8063" s="46" t="s">
        <v>334</v>
      </c>
      <c r="C8063" s="4" t="s">
        <v>1501</v>
      </c>
      <c r="D8063" s="4"/>
      <c r="E8063" s="4" t="s">
        <v>921</v>
      </c>
      <c r="F8063" s="4" t="s">
        <v>3812</v>
      </c>
      <c r="G8063" s="4" t="s">
        <v>336</v>
      </c>
      <c r="H8063" s="4" t="s">
        <v>380</v>
      </c>
      <c r="I8063" s="4">
        <v>1</v>
      </c>
      <c r="J8063" s="21">
        <v>700</v>
      </c>
      <c r="K8063" s="21">
        <v>700</v>
      </c>
      <c r="L8063" s="5">
        <v>0</v>
      </c>
      <c r="M8063" s="4"/>
      <c r="N8063" s="4"/>
      <c r="O8063" s="5"/>
      <c r="P8063" s="5"/>
      <c r="Q8063" s="21">
        <v>0</v>
      </c>
      <c r="R8063" s="21">
        <v>0</v>
      </c>
      <c r="S8063" s="5">
        <f t="shared" si="503"/>
        <v>50265.354446636709</v>
      </c>
      <c r="T8063" cm="1">
        <f t="array" ref="T8063">IF(OR(B8063="MAL ALIMI", B8063="ÜRETİM GİRİŞ"), MIN(I8063, MAX(0, I8063 + SUM(SUMIFS($I$1:I8062, $C$1:C8062, C8063, $B$1:B8062, {"MAL ALIMI","ÜRETİM GİRİŞ"})) - VLOOKUP(C8063, 'STOK RAPORU'!$C$2:$I$1000, 4, 0))), 0)</f>
        <v>0</v>
      </c>
      <c r="U8063" s="22">
        <f t="shared" si="504"/>
        <v>0</v>
      </c>
      <c r="V8063">
        <f t="shared" si="505"/>
        <v>0</v>
      </c>
      <c r="W8063" s="22">
        <f t="shared" si="506"/>
        <v>0</v>
      </c>
    </row>
    <row r="8064" spans="1:23" hidden="1" x14ac:dyDescent="0.25">
      <c r="A8064" s="3">
        <v>46207</v>
      </c>
      <c r="B8064" s="46" t="s">
        <v>334</v>
      </c>
      <c r="C8064" s="4" t="s">
        <v>226</v>
      </c>
      <c r="D8064" s="4"/>
      <c r="E8064" s="4" t="s">
        <v>921</v>
      </c>
      <c r="F8064" s="4" t="s">
        <v>3812</v>
      </c>
      <c r="G8064" s="4" t="s">
        <v>336</v>
      </c>
      <c r="H8064" s="4" t="s">
        <v>380</v>
      </c>
      <c r="I8064" s="4">
        <v>0.29799999999999999</v>
      </c>
      <c r="J8064" s="21">
        <v>220</v>
      </c>
      <c r="K8064" s="21">
        <v>65.56</v>
      </c>
      <c r="L8064" s="5">
        <v>0</v>
      </c>
      <c r="M8064" s="4"/>
      <c r="N8064" s="4"/>
      <c r="O8064" s="5"/>
      <c r="P8064" s="5"/>
      <c r="Q8064" s="21">
        <v>0</v>
      </c>
      <c r="R8064" s="21">
        <v>0</v>
      </c>
      <c r="S8064" s="5">
        <f t="shared" si="503"/>
        <v>50265.354446636709</v>
      </c>
      <c r="T8064" cm="1">
        <f t="array" ref="T8064">IF(OR(B8064="MAL ALIMI", B8064="ÜRETİM GİRİŞ"), MIN(I8064, MAX(0, I8064 + SUM(SUMIFS($I$1:I8063, $C$1:C8063, C8064, $B$1:B8063, {"MAL ALIMI","ÜRETİM GİRİŞ"})) - VLOOKUP(C8064, 'STOK RAPORU'!$C$2:$I$1000, 4, 0))), 0)</f>
        <v>0</v>
      </c>
      <c r="U8064" s="22">
        <f t="shared" si="504"/>
        <v>0</v>
      </c>
      <c r="V8064">
        <f t="shared" si="505"/>
        <v>0</v>
      </c>
      <c r="W8064" s="22">
        <f t="shared" si="506"/>
        <v>0</v>
      </c>
    </row>
    <row r="8065" spans="1:23" hidden="1" x14ac:dyDescent="0.25">
      <c r="A8065" s="3">
        <v>46207</v>
      </c>
      <c r="B8065" s="46" t="s">
        <v>334</v>
      </c>
      <c r="C8065" s="4" t="s">
        <v>236</v>
      </c>
      <c r="D8065" s="4"/>
      <c r="E8065" s="4" t="s">
        <v>921</v>
      </c>
      <c r="F8065" s="4" t="s">
        <v>3813</v>
      </c>
      <c r="G8065" s="4" t="s">
        <v>336</v>
      </c>
      <c r="H8065" s="4" t="s">
        <v>380</v>
      </c>
      <c r="I8065" s="4">
        <v>0.3457142857142857</v>
      </c>
      <c r="J8065" s="21">
        <v>350</v>
      </c>
      <c r="K8065" s="21">
        <v>121</v>
      </c>
      <c r="L8065" s="5">
        <v>0</v>
      </c>
      <c r="M8065" s="4"/>
      <c r="N8065" s="4"/>
      <c r="O8065" s="5"/>
      <c r="P8065" s="5"/>
      <c r="Q8065" s="21">
        <v>0</v>
      </c>
      <c r="R8065" s="21">
        <v>0</v>
      </c>
      <c r="S8065" s="5">
        <f t="shared" si="503"/>
        <v>50265.354446636709</v>
      </c>
      <c r="T8065" cm="1">
        <f t="array" ref="T8065">IF(OR(B8065="MAL ALIMI", B8065="ÜRETİM GİRİŞ"), MIN(I8065, MAX(0, I8065 + SUM(SUMIFS($I$1:I8064, $C$1:C8064, C8065, $B$1:B8064, {"MAL ALIMI","ÜRETİM GİRİŞ"})) - VLOOKUP(C8065, 'STOK RAPORU'!$C$2:$I$1000, 4, 0))), 0)</f>
        <v>0</v>
      </c>
      <c r="U8065" s="22">
        <f t="shared" si="504"/>
        <v>0</v>
      </c>
      <c r="V8065">
        <f t="shared" si="505"/>
        <v>0</v>
      </c>
      <c r="W8065" s="22">
        <f t="shared" si="506"/>
        <v>0</v>
      </c>
    </row>
    <row r="8066" spans="1:23" hidden="1" x14ac:dyDescent="0.25">
      <c r="A8066" s="3">
        <v>46207</v>
      </c>
      <c r="B8066" s="46" t="s">
        <v>946</v>
      </c>
      <c r="C8066" s="4"/>
      <c r="D8066" s="4"/>
      <c r="E8066" s="4" t="s">
        <v>921</v>
      </c>
      <c r="F8066" s="4"/>
      <c r="G8066" s="4" t="s">
        <v>946</v>
      </c>
      <c r="H8066" s="4" t="s">
        <v>380</v>
      </c>
      <c r="I8066" s="4">
        <v>1</v>
      </c>
      <c r="J8066" s="21">
        <v>800</v>
      </c>
      <c r="K8066" s="21">
        <v>0</v>
      </c>
      <c r="L8066" s="115">
        <v>800</v>
      </c>
      <c r="M8066" s="4"/>
      <c r="N8066" s="4"/>
      <c r="O8066" s="5"/>
      <c r="P8066" s="5"/>
      <c r="Q8066" s="21">
        <v>800</v>
      </c>
      <c r="R8066" s="21">
        <v>0</v>
      </c>
      <c r="S8066" s="5">
        <f t="shared" si="503"/>
        <v>51065.354446636709</v>
      </c>
      <c r="T8066" cm="1">
        <f t="array" ref="T8066">IF(OR(B8066="MAL ALIMI", B8066="ÜRETİM GİRİŞ"), MIN(I8066, MAX(0, I8066 + SUM(SUMIFS($I$1:I8065, $C$1:C8065, C8066, $B$1:B8065, {"MAL ALIMI","ÜRETİM GİRİŞ"})) - VLOOKUP(C8066, 'STOK RAPORU'!$C$2:$I$1000, 4, 0))), 0)</f>
        <v>0</v>
      </c>
      <c r="U8066" s="22">
        <f t="shared" si="504"/>
        <v>0</v>
      </c>
      <c r="V8066">
        <f t="shared" si="505"/>
        <v>0</v>
      </c>
      <c r="W8066" s="22">
        <f t="shared" si="506"/>
        <v>0</v>
      </c>
    </row>
    <row r="8067" spans="1:23" hidden="1" x14ac:dyDescent="0.25">
      <c r="A8067" s="3">
        <v>46208</v>
      </c>
      <c r="B8067" s="46" t="s">
        <v>334</v>
      </c>
      <c r="C8067" s="4" t="s">
        <v>728</v>
      </c>
      <c r="D8067" s="4"/>
      <c r="E8067" s="4" t="s">
        <v>921</v>
      </c>
      <c r="F8067" s="4" t="s">
        <v>3828</v>
      </c>
      <c r="G8067" s="4" t="s">
        <v>336</v>
      </c>
      <c r="H8067" s="4" t="s">
        <v>380</v>
      </c>
      <c r="I8067" s="4">
        <v>0.5</v>
      </c>
      <c r="J8067" s="21">
        <v>650</v>
      </c>
      <c r="K8067" s="21">
        <v>325</v>
      </c>
      <c r="L8067" s="5">
        <v>0</v>
      </c>
      <c r="M8067" s="4"/>
      <c r="N8067" s="4"/>
      <c r="O8067" s="5"/>
      <c r="P8067" s="5"/>
      <c r="Q8067" s="21">
        <v>0</v>
      </c>
      <c r="R8067" s="21">
        <v>0</v>
      </c>
      <c r="S8067" s="5">
        <f t="shared" si="503"/>
        <v>51065.354446636709</v>
      </c>
      <c r="T8067" cm="1">
        <f t="array" ref="T8067">IF(OR(B8067="MAL ALIMI", B8067="ÜRETİM GİRİŞ"), MIN(I8067, MAX(0, I8067 + SUM(SUMIFS($I$1:I8066, $C$1:C8066, C8067, $B$1:B8066, {"MAL ALIMI","ÜRETİM GİRİŞ"})) - VLOOKUP(C8067, 'STOK RAPORU'!$C$2:$I$1000, 4, 0))), 0)</f>
        <v>0</v>
      </c>
      <c r="U8067" s="22">
        <f t="shared" si="504"/>
        <v>0</v>
      </c>
      <c r="V8067">
        <f t="shared" si="505"/>
        <v>0</v>
      </c>
      <c r="W8067" s="22">
        <f t="shared" si="506"/>
        <v>0</v>
      </c>
    </row>
    <row r="8068" spans="1:23" hidden="1" x14ac:dyDescent="0.25">
      <c r="A8068" s="3">
        <v>46208</v>
      </c>
      <c r="B8068" s="46" t="s">
        <v>334</v>
      </c>
      <c r="C8068" s="4" t="s">
        <v>266</v>
      </c>
      <c r="D8068" s="4"/>
      <c r="E8068" s="4" t="s">
        <v>921</v>
      </c>
      <c r="F8068" s="4" t="s">
        <v>3828</v>
      </c>
      <c r="G8068" s="4" t="s">
        <v>336</v>
      </c>
      <c r="H8068" s="4" t="s">
        <v>380</v>
      </c>
      <c r="I8068" s="4">
        <v>0.32</v>
      </c>
      <c r="J8068" s="21">
        <v>250</v>
      </c>
      <c r="K8068" s="21">
        <v>80</v>
      </c>
      <c r="L8068" s="5">
        <v>0</v>
      </c>
      <c r="M8068" s="4"/>
      <c r="N8068" s="4"/>
      <c r="O8068" s="5"/>
      <c r="P8068" s="5"/>
      <c r="Q8068" s="21">
        <v>0</v>
      </c>
      <c r="R8068" s="21">
        <v>0</v>
      </c>
      <c r="S8068" s="5">
        <f t="shared" si="503"/>
        <v>51065.354446636709</v>
      </c>
      <c r="T8068" cm="1">
        <f t="array" ref="T8068">IF(OR(B8068="MAL ALIMI", B8068="ÜRETİM GİRİŞ"), MIN(I8068, MAX(0, I8068 + SUM(SUMIFS($I$1:I8067, $C$1:C8067, C8068, $B$1:B8067, {"MAL ALIMI","ÜRETİM GİRİŞ"})) - VLOOKUP(C8068, 'STOK RAPORU'!$C$2:$I$1000, 4, 0))), 0)</f>
        <v>0</v>
      </c>
      <c r="U8068" s="22">
        <f t="shared" si="504"/>
        <v>0</v>
      </c>
      <c r="V8068">
        <f t="shared" si="505"/>
        <v>0</v>
      </c>
      <c r="W8068" s="22">
        <f t="shared" si="506"/>
        <v>0</v>
      </c>
    </row>
    <row r="8069" spans="1:23" hidden="1" x14ac:dyDescent="0.25">
      <c r="A8069" s="3">
        <v>46208</v>
      </c>
      <c r="B8069" s="46" t="s">
        <v>334</v>
      </c>
      <c r="C8069" s="4" t="s">
        <v>529</v>
      </c>
      <c r="D8069" s="4"/>
      <c r="E8069" s="4" t="s">
        <v>921</v>
      </c>
      <c r="F8069" s="4" t="s">
        <v>3828</v>
      </c>
      <c r="G8069" s="4" t="s">
        <v>336</v>
      </c>
      <c r="H8069" s="4" t="s">
        <v>380</v>
      </c>
      <c r="I8069" s="4">
        <v>0.15</v>
      </c>
      <c r="J8069" s="21">
        <v>600</v>
      </c>
      <c r="K8069" s="21">
        <v>90</v>
      </c>
      <c r="L8069" s="5">
        <v>0</v>
      </c>
      <c r="M8069" s="4"/>
      <c r="N8069" s="4"/>
      <c r="O8069" s="5"/>
      <c r="P8069" s="5"/>
      <c r="Q8069" s="21">
        <v>0</v>
      </c>
      <c r="R8069" s="21">
        <v>0</v>
      </c>
      <c r="S8069" s="5">
        <f t="shared" ref="S8069:S8132" si="507">S8068+Q8069-R8069</f>
        <v>51065.354446636709</v>
      </c>
      <c r="T8069" cm="1">
        <f t="array" ref="T8069">IF(OR(B8069="MAL ALIMI", B8069="ÜRETİM GİRİŞ"), MIN(I8069, MAX(0, I8069 + SUM(SUMIFS($I$1:I8068, $C$1:C8068, C8069, $B$1:B8068, {"MAL ALIMI","ÜRETİM GİRİŞ"})) - VLOOKUP(C8069, 'STOK RAPORU'!$C$2:$I$1000, 4, 0))), 0)</f>
        <v>0</v>
      </c>
      <c r="U8069" s="22">
        <f t="shared" si="504"/>
        <v>0</v>
      </c>
      <c r="V8069">
        <f t="shared" si="505"/>
        <v>0</v>
      </c>
      <c r="W8069" s="22">
        <f t="shared" si="506"/>
        <v>0</v>
      </c>
    </row>
    <row r="8070" spans="1:23" hidden="1" x14ac:dyDescent="0.25">
      <c r="A8070" s="3">
        <v>46208</v>
      </c>
      <c r="B8070" s="46" t="s">
        <v>334</v>
      </c>
      <c r="C8070" s="4" t="s">
        <v>463</v>
      </c>
      <c r="D8070" s="4"/>
      <c r="E8070" s="4"/>
      <c r="F8070" s="4" t="s">
        <v>3829</v>
      </c>
      <c r="G8070" s="4" t="s">
        <v>336</v>
      </c>
      <c r="H8070" s="4" t="s">
        <v>289</v>
      </c>
      <c r="I8070" s="4">
        <v>0.13750000000000001</v>
      </c>
      <c r="J8070" s="21">
        <v>400</v>
      </c>
      <c r="K8070" s="21">
        <v>0</v>
      </c>
      <c r="L8070" s="5">
        <v>0</v>
      </c>
      <c r="M8070" s="4"/>
      <c r="N8070" s="4"/>
      <c r="O8070" s="5"/>
      <c r="P8070" s="5"/>
      <c r="Q8070" s="21">
        <v>55.000000000000007</v>
      </c>
      <c r="R8070" s="21">
        <v>0</v>
      </c>
      <c r="S8070" s="5">
        <f t="shared" si="507"/>
        <v>51120.354446636709</v>
      </c>
      <c r="T8070" cm="1">
        <f t="array" ref="T8070">IF(OR(B8070="MAL ALIMI", B8070="ÜRETİM GİRİŞ"), MIN(I8070, MAX(0, I8070 + SUM(SUMIFS($I$1:I8069, $C$1:C8069, C8070, $B$1:B8069, {"MAL ALIMI","ÜRETİM GİRİŞ"})) - VLOOKUP(C8070, 'STOK RAPORU'!$C$2:$I$1000, 4, 0))), 0)</f>
        <v>0</v>
      </c>
      <c r="U8070" s="22">
        <f t="shared" si="504"/>
        <v>0</v>
      </c>
      <c r="V8070">
        <f t="shared" si="505"/>
        <v>0</v>
      </c>
      <c r="W8070" s="22">
        <f t="shared" si="506"/>
        <v>0</v>
      </c>
    </row>
    <row r="8071" spans="1:23" hidden="1" x14ac:dyDescent="0.25">
      <c r="A8071" s="3">
        <v>46208</v>
      </c>
      <c r="B8071" s="46" t="s">
        <v>334</v>
      </c>
      <c r="C8071" s="4" t="s">
        <v>129</v>
      </c>
      <c r="D8071" s="4"/>
      <c r="E8071" s="4"/>
      <c r="F8071" s="4" t="s">
        <v>3829</v>
      </c>
      <c r="G8071" s="4" t="s">
        <v>336</v>
      </c>
      <c r="H8071" s="4" t="s">
        <v>289</v>
      </c>
      <c r="I8071" s="4">
        <v>9.7500000000000003E-2</v>
      </c>
      <c r="J8071" s="21">
        <v>400</v>
      </c>
      <c r="K8071" s="21">
        <v>0</v>
      </c>
      <c r="L8071" s="5">
        <v>0</v>
      </c>
      <c r="M8071" s="4"/>
      <c r="N8071" s="4"/>
      <c r="O8071" s="5"/>
      <c r="P8071" s="5"/>
      <c r="Q8071" s="21">
        <v>39</v>
      </c>
      <c r="R8071" s="21">
        <v>0</v>
      </c>
      <c r="S8071" s="5">
        <f t="shared" si="507"/>
        <v>51159.354446636709</v>
      </c>
      <c r="T8071" cm="1">
        <f t="array" ref="T8071">IF(OR(B8071="MAL ALIMI", B8071="ÜRETİM GİRİŞ"), MIN(I8071, MAX(0, I8071 + SUM(SUMIFS($I$1:I8070, $C$1:C8070, C8071, $B$1:B8070, {"MAL ALIMI","ÜRETİM GİRİŞ"})) - VLOOKUP(C8071, 'STOK RAPORU'!$C$2:$I$1000, 4, 0))), 0)</f>
        <v>0</v>
      </c>
      <c r="U8071" s="22">
        <f t="shared" si="504"/>
        <v>0</v>
      </c>
      <c r="V8071">
        <f t="shared" si="505"/>
        <v>0</v>
      </c>
      <c r="W8071" s="22">
        <f t="shared" si="506"/>
        <v>0</v>
      </c>
    </row>
    <row r="8072" spans="1:23" hidden="1" x14ac:dyDescent="0.25">
      <c r="A8072" s="3">
        <v>46208</v>
      </c>
      <c r="B8072" s="46" t="s">
        <v>334</v>
      </c>
      <c r="C8072" s="4" t="s">
        <v>463</v>
      </c>
      <c r="D8072" s="4"/>
      <c r="E8072" s="4"/>
      <c r="F8072" s="4" t="s">
        <v>3830</v>
      </c>
      <c r="G8072" s="4" t="s">
        <v>3835</v>
      </c>
      <c r="H8072" s="4" t="s">
        <v>289</v>
      </c>
      <c r="I8072" s="4">
        <v>1</v>
      </c>
      <c r="J8072" s="21">
        <v>258</v>
      </c>
      <c r="K8072" s="21">
        <v>0</v>
      </c>
      <c r="L8072" s="5">
        <v>0</v>
      </c>
      <c r="M8072" s="4"/>
      <c r="N8072" s="4"/>
      <c r="O8072" s="5"/>
      <c r="P8072" s="5"/>
      <c r="Q8072" s="21">
        <v>258</v>
      </c>
      <c r="R8072" s="21">
        <v>0</v>
      </c>
      <c r="S8072" s="5">
        <f t="shared" si="507"/>
        <v>51417.354446636709</v>
      </c>
      <c r="T8072" cm="1">
        <f t="array" ref="T8072">IF(OR(B8072="MAL ALIMI", B8072="ÜRETİM GİRİŞ"), MIN(I8072, MAX(0, I8072 + SUM(SUMIFS($I$1:I8071, $C$1:C8071, C8072, $B$1:B8071, {"MAL ALIMI","ÜRETİM GİRİŞ"})) - VLOOKUP(C8072, 'STOK RAPORU'!$C$2:$I$1000, 4, 0))), 0)</f>
        <v>0</v>
      </c>
      <c r="U8072" s="22">
        <f t="shared" si="504"/>
        <v>0</v>
      </c>
      <c r="V8072">
        <f t="shared" si="505"/>
        <v>0</v>
      </c>
      <c r="W8072" s="22">
        <f t="shared" si="506"/>
        <v>0</v>
      </c>
    </row>
    <row r="8073" spans="1:23" hidden="1" x14ac:dyDescent="0.25">
      <c r="A8073" s="3">
        <v>46208</v>
      </c>
      <c r="B8073" s="46" t="s">
        <v>334</v>
      </c>
      <c r="C8073" s="4" t="s">
        <v>133</v>
      </c>
      <c r="D8073" s="4"/>
      <c r="E8073" s="4"/>
      <c r="F8073" s="4" t="s">
        <v>3830</v>
      </c>
      <c r="G8073" s="4" t="s">
        <v>3835</v>
      </c>
      <c r="H8073" s="4" t="s">
        <v>289</v>
      </c>
      <c r="I8073" s="4">
        <v>0.55400000000000005</v>
      </c>
      <c r="J8073" s="21">
        <v>250</v>
      </c>
      <c r="K8073" s="21">
        <v>0</v>
      </c>
      <c r="L8073" s="5">
        <v>0</v>
      </c>
      <c r="M8073" s="4"/>
      <c r="N8073" s="4"/>
      <c r="O8073" s="5"/>
      <c r="P8073" s="5"/>
      <c r="Q8073" s="21">
        <v>138.5</v>
      </c>
      <c r="R8073" s="21">
        <v>0</v>
      </c>
      <c r="S8073" s="5">
        <f t="shared" si="507"/>
        <v>51555.854446636709</v>
      </c>
      <c r="T8073" cm="1">
        <f t="array" ref="T8073">IF(OR(B8073="MAL ALIMI", B8073="ÜRETİM GİRİŞ"), MIN(I8073, MAX(0, I8073 + SUM(SUMIFS($I$1:I8072, $C$1:C8072, C8073, $B$1:B8072, {"MAL ALIMI","ÜRETİM GİRİŞ"})) - VLOOKUP(C8073, 'STOK RAPORU'!$C$2:$I$1000, 4, 0))), 0)</f>
        <v>0</v>
      </c>
      <c r="U8073" s="22">
        <f t="shared" si="504"/>
        <v>0</v>
      </c>
      <c r="V8073">
        <f t="shared" si="505"/>
        <v>0</v>
      </c>
      <c r="W8073" s="22">
        <f t="shared" si="506"/>
        <v>0</v>
      </c>
    </row>
    <row r="8074" spans="1:23" hidden="1" x14ac:dyDescent="0.25">
      <c r="A8074" s="3">
        <v>46208</v>
      </c>
      <c r="B8074" s="46" t="s">
        <v>334</v>
      </c>
      <c r="C8074" s="4" t="s">
        <v>91</v>
      </c>
      <c r="D8074" s="4"/>
      <c r="E8074" s="4"/>
      <c r="F8074" s="4" t="s">
        <v>3830</v>
      </c>
      <c r="G8074" s="4" t="s">
        <v>3835</v>
      </c>
      <c r="H8074" s="4" t="s">
        <v>289</v>
      </c>
      <c r="I8074" s="4">
        <v>0.25600000000000001</v>
      </c>
      <c r="J8074" s="21">
        <v>750</v>
      </c>
      <c r="K8074" s="21">
        <v>0</v>
      </c>
      <c r="L8074" s="5">
        <v>0</v>
      </c>
      <c r="M8074" s="4"/>
      <c r="N8074" s="4"/>
      <c r="O8074" s="5"/>
      <c r="P8074" s="5"/>
      <c r="Q8074" s="21">
        <v>192</v>
      </c>
      <c r="R8074" s="21">
        <v>0</v>
      </c>
      <c r="S8074" s="5">
        <f t="shared" si="507"/>
        <v>51747.854446636709</v>
      </c>
      <c r="T8074" cm="1">
        <f t="array" ref="T8074">IF(OR(B8074="MAL ALIMI", B8074="ÜRETİM GİRİŞ"), MIN(I8074, MAX(0, I8074 + SUM(SUMIFS($I$1:I8073, $C$1:C8073, C8074, $B$1:B8073, {"MAL ALIMI","ÜRETİM GİRİŞ"})) - VLOOKUP(C8074, 'STOK RAPORU'!$C$2:$I$1000, 4, 0))), 0)</f>
        <v>0</v>
      </c>
      <c r="U8074" s="22">
        <f t="shared" si="504"/>
        <v>0</v>
      </c>
      <c r="V8074">
        <f t="shared" si="505"/>
        <v>0</v>
      </c>
      <c r="W8074" s="22">
        <f t="shared" si="506"/>
        <v>0</v>
      </c>
    </row>
    <row r="8075" spans="1:23" hidden="1" x14ac:dyDescent="0.25">
      <c r="A8075" s="3">
        <v>46208</v>
      </c>
      <c r="B8075" s="46" t="s">
        <v>334</v>
      </c>
      <c r="C8075" s="4" t="s">
        <v>130</v>
      </c>
      <c r="D8075" s="4"/>
      <c r="E8075" s="4"/>
      <c r="F8075" s="4" t="s">
        <v>3830</v>
      </c>
      <c r="G8075" s="4" t="s">
        <v>3835</v>
      </c>
      <c r="H8075" s="4" t="s">
        <v>289</v>
      </c>
      <c r="I8075" s="4">
        <v>0.44800000000000001</v>
      </c>
      <c r="J8075" s="21">
        <v>250</v>
      </c>
      <c r="K8075" s="21">
        <v>0</v>
      </c>
      <c r="L8075" s="5">
        <v>0</v>
      </c>
      <c r="M8075" s="4"/>
      <c r="N8075" s="4"/>
      <c r="O8075" s="5"/>
      <c r="P8075" s="5"/>
      <c r="Q8075" s="21">
        <v>112</v>
      </c>
      <c r="R8075" s="21">
        <v>0</v>
      </c>
      <c r="S8075" s="5">
        <f t="shared" si="507"/>
        <v>51859.854446636709</v>
      </c>
      <c r="T8075" cm="1">
        <f t="array" ref="T8075">IF(OR(B8075="MAL ALIMI", B8075="ÜRETİM GİRİŞ"), MIN(I8075, MAX(0, I8075 + SUM(SUMIFS($I$1:I8074, $C$1:C8074, C8075, $B$1:B8074, {"MAL ALIMI","ÜRETİM GİRİŞ"})) - VLOOKUP(C8075, 'STOK RAPORU'!$C$2:$I$1000, 4, 0))), 0)</f>
        <v>0</v>
      </c>
      <c r="U8075" s="22">
        <f t="shared" si="504"/>
        <v>0</v>
      </c>
      <c r="V8075">
        <f t="shared" si="505"/>
        <v>0</v>
      </c>
      <c r="W8075" s="22">
        <f t="shared" si="506"/>
        <v>0</v>
      </c>
    </row>
    <row r="8076" spans="1:23" hidden="1" x14ac:dyDescent="0.25">
      <c r="A8076" s="3">
        <v>46208</v>
      </c>
      <c r="B8076" s="46" t="s">
        <v>334</v>
      </c>
      <c r="C8076" s="4" t="s">
        <v>529</v>
      </c>
      <c r="D8076" s="4"/>
      <c r="E8076" s="4" t="s">
        <v>921</v>
      </c>
      <c r="F8076" s="4" t="s">
        <v>3831</v>
      </c>
      <c r="G8076" s="4" t="s">
        <v>336</v>
      </c>
      <c r="H8076" s="4" t="s">
        <v>380</v>
      </c>
      <c r="I8076" s="4">
        <v>0.15</v>
      </c>
      <c r="J8076" s="21">
        <v>600</v>
      </c>
      <c r="K8076" s="21">
        <v>90</v>
      </c>
      <c r="L8076" s="5">
        <v>0</v>
      </c>
      <c r="M8076" s="4"/>
      <c r="N8076" s="4"/>
      <c r="O8076" s="5"/>
      <c r="P8076" s="5"/>
      <c r="Q8076" s="21">
        <v>0</v>
      </c>
      <c r="R8076" s="21">
        <v>0</v>
      </c>
      <c r="S8076" s="5">
        <f t="shared" si="507"/>
        <v>51859.854446636709</v>
      </c>
      <c r="T8076" cm="1">
        <f t="array" ref="T8076">IF(OR(B8076="MAL ALIMI", B8076="ÜRETİM GİRİŞ"), MIN(I8076, MAX(0, I8076 + SUM(SUMIFS($I$1:I8075, $C$1:C8075, C8076, $B$1:B8075, {"MAL ALIMI","ÜRETİM GİRİŞ"})) - VLOOKUP(C8076, 'STOK RAPORU'!$C$2:$I$1000, 4, 0))), 0)</f>
        <v>0</v>
      </c>
      <c r="U8076" s="22">
        <f t="shared" si="504"/>
        <v>0</v>
      </c>
      <c r="V8076">
        <f t="shared" si="505"/>
        <v>0</v>
      </c>
      <c r="W8076" s="22">
        <f t="shared" si="506"/>
        <v>0</v>
      </c>
    </row>
    <row r="8077" spans="1:23" hidden="1" x14ac:dyDescent="0.25">
      <c r="A8077" s="3">
        <v>46208</v>
      </c>
      <c r="B8077" s="46" t="s">
        <v>334</v>
      </c>
      <c r="C8077" s="4" t="s">
        <v>133</v>
      </c>
      <c r="D8077" s="4"/>
      <c r="E8077" s="4"/>
      <c r="F8077" s="4" t="s">
        <v>3832</v>
      </c>
      <c r="G8077" s="4" t="s">
        <v>3836</v>
      </c>
      <c r="H8077" s="42" t="s">
        <v>289</v>
      </c>
      <c r="I8077" s="4">
        <v>0.25</v>
      </c>
      <c r="J8077" s="21">
        <v>400</v>
      </c>
      <c r="K8077" s="5">
        <v>0</v>
      </c>
      <c r="L8077" s="5">
        <v>0</v>
      </c>
      <c r="M8077" s="4"/>
      <c r="N8077" s="4"/>
      <c r="O8077" s="5"/>
      <c r="P8077" s="5"/>
      <c r="Q8077" s="21">
        <v>100</v>
      </c>
      <c r="R8077" s="21">
        <v>0</v>
      </c>
      <c r="S8077" s="5">
        <f t="shared" si="507"/>
        <v>51959.854446636709</v>
      </c>
      <c r="T8077" cm="1">
        <f t="array" ref="T8077">IF(OR(B8077="MAL ALIMI", B8077="ÜRETİM GİRİŞ"), MIN(I8077, MAX(0, I8077 + SUM(SUMIFS($I$1:I8076, $C$1:C8076, C8077, $B$1:B8076, {"MAL ALIMI","ÜRETİM GİRİŞ"})) - VLOOKUP(C8077, 'STOK RAPORU'!$C$2:$I$1000, 4, 0))), 0)</f>
        <v>0</v>
      </c>
      <c r="U8077" s="22">
        <f t="shared" si="504"/>
        <v>0</v>
      </c>
      <c r="V8077">
        <f t="shared" si="505"/>
        <v>0</v>
      </c>
      <c r="W8077" s="22">
        <f t="shared" si="506"/>
        <v>0</v>
      </c>
    </row>
    <row r="8078" spans="1:23" hidden="1" x14ac:dyDescent="0.25">
      <c r="A8078" s="3">
        <v>46208</v>
      </c>
      <c r="B8078" s="46" t="s">
        <v>334</v>
      </c>
      <c r="C8078" s="4" t="s">
        <v>1382</v>
      </c>
      <c r="D8078" s="4"/>
      <c r="E8078" s="4"/>
      <c r="F8078" s="4" t="s">
        <v>3832</v>
      </c>
      <c r="G8078" s="4" t="s">
        <v>3836</v>
      </c>
      <c r="H8078" s="42" t="s">
        <v>289</v>
      </c>
      <c r="I8078" s="4">
        <v>1</v>
      </c>
      <c r="J8078" s="21">
        <v>250</v>
      </c>
      <c r="K8078" s="5">
        <v>0</v>
      </c>
      <c r="L8078" s="5">
        <v>0</v>
      </c>
      <c r="M8078" s="4"/>
      <c r="N8078" s="4"/>
      <c r="O8078" s="5"/>
      <c r="P8078" s="5"/>
      <c r="Q8078" s="21">
        <v>250</v>
      </c>
      <c r="R8078" s="21">
        <v>0</v>
      </c>
      <c r="S8078" s="5">
        <f t="shared" si="507"/>
        <v>52209.854446636709</v>
      </c>
      <c r="T8078" cm="1">
        <f t="array" ref="T8078">IF(OR(B8078="MAL ALIMI", B8078="ÜRETİM GİRİŞ"), MIN(I8078, MAX(0, I8078 + SUM(SUMIFS($I$1:I8077, $C$1:C8077, C8078, $B$1:B8077, {"MAL ALIMI","ÜRETİM GİRİŞ"})) - VLOOKUP(C8078, 'STOK RAPORU'!$C$2:$I$1000, 4, 0))), 0)</f>
        <v>0</v>
      </c>
      <c r="U8078" s="22">
        <f t="shared" si="504"/>
        <v>0</v>
      </c>
      <c r="V8078">
        <f t="shared" si="505"/>
        <v>0</v>
      </c>
      <c r="W8078" s="22">
        <f t="shared" si="506"/>
        <v>0</v>
      </c>
    </row>
    <row r="8079" spans="1:23" hidden="1" x14ac:dyDescent="0.25">
      <c r="A8079" s="3">
        <v>46208</v>
      </c>
      <c r="B8079" s="46" t="s">
        <v>334</v>
      </c>
      <c r="C8079" s="4" t="s">
        <v>649</v>
      </c>
      <c r="D8079" s="4"/>
      <c r="E8079" s="4"/>
      <c r="F8079" s="4" t="s">
        <v>3833</v>
      </c>
      <c r="G8079" s="4" t="s">
        <v>3834</v>
      </c>
      <c r="H8079" s="4" t="s">
        <v>289</v>
      </c>
      <c r="I8079" s="4">
        <v>1</v>
      </c>
      <c r="J8079" s="21">
        <v>300</v>
      </c>
      <c r="K8079" s="21">
        <v>0</v>
      </c>
      <c r="L8079" s="5">
        <v>0</v>
      </c>
      <c r="M8079" s="4"/>
      <c r="N8079" s="4"/>
      <c r="O8079" s="5"/>
      <c r="P8079" s="5"/>
      <c r="Q8079" s="21">
        <v>300</v>
      </c>
      <c r="R8079" s="21">
        <v>0</v>
      </c>
      <c r="S8079" s="5">
        <f t="shared" si="507"/>
        <v>52509.854446636709</v>
      </c>
      <c r="T8079" cm="1">
        <f t="array" ref="T8079">IF(OR(B8079="MAL ALIMI", B8079="ÜRETİM GİRİŞ"), MIN(I8079, MAX(0, I8079 + SUM(SUMIFS($I$1:I8078, $C$1:C8078, C8079, $B$1:B8078, {"MAL ALIMI","ÜRETİM GİRİŞ"})) - VLOOKUP(C8079, 'STOK RAPORU'!$C$2:$I$1000, 4, 0))), 0)</f>
        <v>0</v>
      </c>
      <c r="U8079" s="22">
        <f t="shared" si="504"/>
        <v>0</v>
      </c>
      <c r="V8079">
        <f t="shared" si="505"/>
        <v>0</v>
      </c>
      <c r="W8079" s="22">
        <f t="shared" si="506"/>
        <v>0</v>
      </c>
    </row>
    <row r="8080" spans="1:23" hidden="1" x14ac:dyDescent="0.25">
      <c r="A8080" s="3">
        <v>46208</v>
      </c>
      <c r="B8080" s="46" t="s">
        <v>334</v>
      </c>
      <c r="C8080" s="4" t="s">
        <v>649</v>
      </c>
      <c r="D8080" s="4"/>
      <c r="E8080" s="4"/>
      <c r="F8080" s="4" t="s">
        <v>3842</v>
      </c>
      <c r="G8080" s="4" t="s">
        <v>3840</v>
      </c>
      <c r="H8080" s="4" t="s">
        <v>289</v>
      </c>
      <c r="I8080" s="4">
        <v>1</v>
      </c>
      <c r="J8080" s="21">
        <v>300</v>
      </c>
      <c r="K8080" s="21">
        <v>0</v>
      </c>
      <c r="L8080" s="5">
        <v>0</v>
      </c>
      <c r="M8080" s="4"/>
      <c r="N8080" s="4"/>
      <c r="O8080" s="5"/>
      <c r="P8080" s="5"/>
      <c r="Q8080" s="21">
        <v>300</v>
      </c>
      <c r="R8080" s="21">
        <v>0</v>
      </c>
      <c r="S8080" s="5">
        <f t="shared" si="507"/>
        <v>52809.854446636709</v>
      </c>
      <c r="T8080" cm="1">
        <f t="array" ref="T8080">IF(OR(B8080="MAL ALIMI", B8080="ÜRETİM GİRİŞ"), MIN(I8080, MAX(0, I8080 + SUM(SUMIFS($I$1:I8079, $C$1:C8079, C8080, $B$1:B8079, {"MAL ALIMI","ÜRETİM GİRİŞ"})) - VLOOKUP(C8080, 'STOK RAPORU'!$C$2:$I$1000, 4, 0))), 0)</f>
        <v>0</v>
      </c>
      <c r="U8080" s="22">
        <f t="shared" si="504"/>
        <v>0</v>
      </c>
      <c r="V8080">
        <f t="shared" si="505"/>
        <v>0</v>
      </c>
      <c r="W8080" s="22">
        <f t="shared" si="506"/>
        <v>0</v>
      </c>
    </row>
    <row r="8081" spans="1:23" hidden="1" x14ac:dyDescent="0.25">
      <c r="A8081" s="3">
        <v>46208</v>
      </c>
      <c r="B8081" s="46" t="s">
        <v>946</v>
      </c>
      <c r="C8081" s="4"/>
      <c r="D8081" s="4"/>
      <c r="E8081" s="4" t="s">
        <v>921</v>
      </c>
      <c r="F8081" s="4"/>
      <c r="G8081" s="4" t="s">
        <v>946</v>
      </c>
      <c r="H8081" s="4" t="s">
        <v>380</v>
      </c>
      <c r="I8081" s="4">
        <v>1</v>
      </c>
      <c r="J8081" s="21">
        <v>1710</v>
      </c>
      <c r="K8081" s="21">
        <v>0</v>
      </c>
      <c r="L8081" s="115">
        <v>1710</v>
      </c>
      <c r="M8081" s="4"/>
      <c r="N8081" s="4"/>
      <c r="O8081" s="5"/>
      <c r="P8081" s="5"/>
      <c r="Q8081" s="21">
        <v>1710</v>
      </c>
      <c r="R8081" s="21">
        <v>0</v>
      </c>
      <c r="S8081" s="5">
        <f t="shared" si="507"/>
        <v>54519.854446636709</v>
      </c>
      <c r="T8081" cm="1">
        <f t="array" ref="T8081">IF(OR(B8081="MAL ALIMI", B8081="ÜRETİM GİRİŞ"), MIN(I8081, MAX(0, I8081 + SUM(SUMIFS($I$1:I8080, $C$1:C8080, C8081, $B$1:B8080, {"MAL ALIMI","ÜRETİM GİRİŞ"})) - VLOOKUP(C8081, 'STOK RAPORU'!$C$2:$I$1000, 4, 0))), 0)</f>
        <v>0</v>
      </c>
      <c r="U8081" s="22">
        <f t="shared" si="504"/>
        <v>0</v>
      </c>
      <c r="V8081">
        <f t="shared" si="505"/>
        <v>0</v>
      </c>
      <c r="W8081" s="22">
        <f t="shared" si="506"/>
        <v>0</v>
      </c>
    </row>
    <row r="8082" spans="1:23" hidden="1" x14ac:dyDescent="0.25">
      <c r="A8082" s="3">
        <v>46209</v>
      </c>
      <c r="B8082" s="46" t="s">
        <v>334</v>
      </c>
      <c r="C8082" s="4" t="s">
        <v>91</v>
      </c>
      <c r="D8082" s="4"/>
      <c r="E8082" s="4" t="s">
        <v>921</v>
      </c>
      <c r="F8082" s="4" t="s">
        <v>3843</v>
      </c>
      <c r="G8082" s="4" t="s">
        <v>336</v>
      </c>
      <c r="H8082" s="4" t="s">
        <v>380</v>
      </c>
      <c r="I8082" s="4">
        <v>4.7058823529411764E-2</v>
      </c>
      <c r="J8082" s="21">
        <v>850</v>
      </c>
      <c r="K8082" s="21">
        <v>40</v>
      </c>
      <c r="L8082" s="5">
        <v>0</v>
      </c>
      <c r="M8082" s="4"/>
      <c r="N8082" s="4"/>
      <c r="O8082" s="5"/>
      <c r="P8082" s="5"/>
      <c r="Q8082" s="21">
        <v>0</v>
      </c>
      <c r="R8082" s="21">
        <v>0</v>
      </c>
      <c r="S8082" s="5">
        <f t="shared" si="507"/>
        <v>54519.854446636709</v>
      </c>
      <c r="T8082" cm="1">
        <f t="array" ref="T8082">IF(OR(B8082="MAL ALIMI", B8082="ÜRETİM GİRİŞ"), MIN(I8082, MAX(0, I8082 + SUM(SUMIFS($I$1:I8081, $C$1:C8081, C8082, $B$1:B8081, {"MAL ALIMI","ÜRETİM GİRİŞ"})) - VLOOKUP(C8082, 'STOK RAPORU'!$C$2:$I$1000, 4, 0))), 0)</f>
        <v>0</v>
      </c>
      <c r="U8082" s="22">
        <f t="shared" si="504"/>
        <v>0</v>
      </c>
      <c r="V8082">
        <f t="shared" si="505"/>
        <v>0</v>
      </c>
      <c r="W8082" s="22">
        <f t="shared" si="506"/>
        <v>0</v>
      </c>
    </row>
    <row r="8083" spans="1:23" hidden="1" x14ac:dyDescent="0.25">
      <c r="A8083" s="3">
        <v>46209</v>
      </c>
      <c r="B8083" s="46" t="s">
        <v>334</v>
      </c>
      <c r="C8083" s="4" t="s">
        <v>160</v>
      </c>
      <c r="D8083" s="4"/>
      <c r="E8083" s="4" t="s">
        <v>921</v>
      </c>
      <c r="F8083" s="4" t="s">
        <v>3844</v>
      </c>
      <c r="G8083" s="4" t="s">
        <v>336</v>
      </c>
      <c r="H8083" s="4" t="s">
        <v>380</v>
      </c>
      <c r="I8083" s="4">
        <v>1</v>
      </c>
      <c r="J8083" s="21">
        <v>270</v>
      </c>
      <c r="K8083" s="21">
        <v>270</v>
      </c>
      <c r="L8083" s="5">
        <v>0</v>
      </c>
      <c r="M8083" s="4"/>
      <c r="N8083" s="4"/>
      <c r="O8083" s="5"/>
      <c r="P8083" s="5"/>
      <c r="Q8083" s="21">
        <v>0</v>
      </c>
      <c r="R8083" s="21">
        <v>0</v>
      </c>
      <c r="S8083" s="5">
        <f t="shared" si="507"/>
        <v>54519.854446636709</v>
      </c>
      <c r="T8083" cm="1">
        <f t="array" ref="T8083">IF(OR(B8083="MAL ALIMI", B8083="ÜRETİM GİRİŞ"), MIN(I8083, MAX(0, I8083 + SUM(SUMIFS($I$1:I8082, $C$1:C8082, C8083, $B$1:B8082, {"MAL ALIMI","ÜRETİM GİRİŞ"})) - VLOOKUP(C8083, 'STOK RAPORU'!$C$2:$I$1000, 4, 0))), 0)</f>
        <v>0</v>
      </c>
      <c r="U8083" s="22">
        <f t="shared" si="504"/>
        <v>0</v>
      </c>
      <c r="V8083">
        <f t="shared" si="505"/>
        <v>0</v>
      </c>
      <c r="W8083" s="22">
        <f t="shared" si="506"/>
        <v>0</v>
      </c>
    </row>
    <row r="8084" spans="1:23" hidden="1" x14ac:dyDescent="0.25">
      <c r="A8084" s="3">
        <v>46209</v>
      </c>
      <c r="B8084" s="46" t="s">
        <v>334</v>
      </c>
      <c r="C8084" s="4" t="s">
        <v>161</v>
      </c>
      <c r="D8084" s="4"/>
      <c r="E8084" s="4" t="s">
        <v>921</v>
      </c>
      <c r="F8084" s="4" t="s">
        <v>3844</v>
      </c>
      <c r="G8084" s="4" t="s">
        <v>336</v>
      </c>
      <c r="H8084" s="4" t="s">
        <v>380</v>
      </c>
      <c r="I8084" s="4">
        <v>1</v>
      </c>
      <c r="J8084" s="21">
        <v>250</v>
      </c>
      <c r="K8084" s="21">
        <v>250</v>
      </c>
      <c r="L8084" s="5">
        <v>0</v>
      </c>
      <c r="M8084" s="4"/>
      <c r="N8084" s="4"/>
      <c r="O8084" s="5"/>
      <c r="P8084" s="5"/>
      <c r="Q8084" s="21">
        <v>0</v>
      </c>
      <c r="R8084" s="21">
        <v>0</v>
      </c>
      <c r="S8084" s="5">
        <f t="shared" si="507"/>
        <v>54519.854446636709</v>
      </c>
      <c r="T8084" cm="1">
        <f t="array" ref="T8084">IF(OR(B8084="MAL ALIMI", B8084="ÜRETİM GİRİŞ"), MIN(I8084, MAX(0, I8084 + SUM(SUMIFS($I$1:I8083, $C$1:C8083, C8084, $B$1:B8083, {"MAL ALIMI","ÜRETİM GİRİŞ"})) - VLOOKUP(C8084, 'STOK RAPORU'!$C$2:$I$1000, 4, 0))), 0)</f>
        <v>0</v>
      </c>
      <c r="U8084" s="22">
        <f t="shared" si="504"/>
        <v>0</v>
      </c>
      <c r="V8084">
        <f t="shared" si="505"/>
        <v>0</v>
      </c>
      <c r="W8084" s="22">
        <f t="shared" si="506"/>
        <v>0</v>
      </c>
    </row>
    <row r="8085" spans="1:23" hidden="1" x14ac:dyDescent="0.25">
      <c r="A8085" s="3">
        <v>46209</v>
      </c>
      <c r="B8085" s="46" t="s">
        <v>334</v>
      </c>
      <c r="C8085" s="4" t="s">
        <v>130</v>
      </c>
      <c r="D8085" s="4"/>
      <c r="E8085" s="4" t="s">
        <v>921</v>
      </c>
      <c r="F8085" s="4" t="s">
        <v>3845</v>
      </c>
      <c r="G8085" s="4" t="s">
        <v>336</v>
      </c>
      <c r="H8085" s="4" t="s">
        <v>380</v>
      </c>
      <c r="I8085" s="4">
        <v>0.27800000000000002</v>
      </c>
      <c r="J8085" s="21">
        <v>500</v>
      </c>
      <c r="K8085" s="21">
        <v>139</v>
      </c>
      <c r="L8085" s="5">
        <v>0</v>
      </c>
      <c r="M8085" s="4"/>
      <c r="N8085" s="4"/>
      <c r="O8085" s="5"/>
      <c r="P8085" s="5"/>
      <c r="Q8085" s="21">
        <v>0</v>
      </c>
      <c r="R8085" s="21">
        <v>0</v>
      </c>
      <c r="S8085" s="5">
        <f t="shared" si="507"/>
        <v>54519.854446636709</v>
      </c>
      <c r="T8085" cm="1">
        <f t="array" ref="T8085">IF(OR(B8085="MAL ALIMI", B8085="ÜRETİM GİRİŞ"), MIN(I8085, MAX(0, I8085 + SUM(SUMIFS($I$1:I8084, $C$1:C8084, C8085, $B$1:B8084, {"MAL ALIMI","ÜRETİM GİRİŞ"})) - VLOOKUP(C8085, 'STOK RAPORU'!$C$2:$I$1000, 4, 0))), 0)</f>
        <v>0</v>
      </c>
      <c r="U8085" s="22">
        <f t="shared" si="504"/>
        <v>0</v>
      </c>
      <c r="V8085">
        <f t="shared" si="505"/>
        <v>0</v>
      </c>
      <c r="W8085" s="22">
        <f t="shared" si="506"/>
        <v>0</v>
      </c>
    </row>
    <row r="8086" spans="1:23" hidden="1" x14ac:dyDescent="0.25">
      <c r="A8086" s="3">
        <v>46209</v>
      </c>
      <c r="B8086" s="46" t="s">
        <v>334</v>
      </c>
      <c r="C8086" s="4" t="s">
        <v>133</v>
      </c>
      <c r="D8086" s="4"/>
      <c r="E8086" s="4" t="s">
        <v>921</v>
      </c>
      <c r="F8086" s="4" t="s">
        <v>3845</v>
      </c>
      <c r="G8086" s="4" t="s">
        <v>3841</v>
      </c>
      <c r="H8086" s="4" t="s">
        <v>380</v>
      </c>
      <c r="I8086" s="4">
        <v>0.33</v>
      </c>
      <c r="J8086" s="21">
        <v>500</v>
      </c>
      <c r="K8086" s="21">
        <v>165</v>
      </c>
      <c r="L8086" s="5">
        <v>0</v>
      </c>
      <c r="M8086" s="4"/>
      <c r="N8086" s="4"/>
      <c r="O8086" s="5"/>
      <c r="P8086" s="5"/>
      <c r="Q8086" s="21">
        <v>0</v>
      </c>
      <c r="R8086" s="21">
        <v>0</v>
      </c>
      <c r="S8086" s="5">
        <f t="shared" si="507"/>
        <v>54519.854446636709</v>
      </c>
      <c r="T8086" cm="1">
        <f t="array" ref="T8086">IF(OR(B8086="MAL ALIMI", B8086="ÜRETİM GİRİŞ"), MIN(I8086, MAX(0, I8086 + SUM(SUMIFS($I$1:I8085, $C$1:C8085, C8086, $B$1:B8085, {"MAL ALIMI","ÜRETİM GİRİŞ"})) - VLOOKUP(C8086, 'STOK RAPORU'!$C$2:$I$1000, 4, 0))), 0)</f>
        <v>0</v>
      </c>
      <c r="U8086" s="22">
        <f t="shared" si="504"/>
        <v>0</v>
      </c>
      <c r="V8086">
        <f t="shared" si="505"/>
        <v>0</v>
      </c>
      <c r="W8086" s="22">
        <f t="shared" si="506"/>
        <v>0</v>
      </c>
    </row>
    <row r="8087" spans="1:23" hidden="1" x14ac:dyDescent="0.25">
      <c r="A8087" s="3">
        <v>46209</v>
      </c>
      <c r="B8087" s="46" t="s">
        <v>334</v>
      </c>
      <c r="C8087" s="4" t="s">
        <v>697</v>
      </c>
      <c r="D8087" s="4"/>
      <c r="E8087" s="4" t="s">
        <v>921</v>
      </c>
      <c r="F8087" s="4" t="s">
        <v>3845</v>
      </c>
      <c r="G8087" s="4" t="s">
        <v>336</v>
      </c>
      <c r="H8087" s="4" t="s">
        <v>380</v>
      </c>
      <c r="I8087" s="4">
        <v>0.1</v>
      </c>
      <c r="J8087" s="21">
        <v>500</v>
      </c>
      <c r="K8087" s="21">
        <v>50</v>
      </c>
      <c r="L8087" s="5">
        <v>0</v>
      </c>
      <c r="M8087" s="4"/>
      <c r="N8087" s="4"/>
      <c r="O8087" s="5"/>
      <c r="P8087" s="5"/>
      <c r="Q8087" s="21">
        <v>0</v>
      </c>
      <c r="R8087" s="21">
        <v>0</v>
      </c>
      <c r="S8087" s="5">
        <f t="shared" si="507"/>
        <v>54519.854446636709</v>
      </c>
      <c r="T8087" cm="1">
        <f t="array" ref="T8087">IF(OR(B8087="MAL ALIMI", B8087="ÜRETİM GİRİŞ"), MIN(I8087, MAX(0, I8087 + SUM(SUMIFS($I$1:I8086, $C$1:C8086, C8087, $B$1:B8086, {"MAL ALIMI","ÜRETİM GİRİŞ"})) - VLOOKUP(C8087, 'STOK RAPORU'!$C$2:$I$1000, 4, 0))), 0)</f>
        <v>0</v>
      </c>
      <c r="U8087" s="22">
        <f t="shared" si="504"/>
        <v>0</v>
      </c>
      <c r="V8087">
        <f t="shared" si="505"/>
        <v>0</v>
      </c>
      <c r="W8087" s="22">
        <f t="shared" si="506"/>
        <v>0</v>
      </c>
    </row>
    <row r="8088" spans="1:23" hidden="1" x14ac:dyDescent="0.25">
      <c r="A8088" s="3">
        <v>46209</v>
      </c>
      <c r="B8088" s="46" t="s">
        <v>334</v>
      </c>
      <c r="C8088" s="4" t="s">
        <v>126</v>
      </c>
      <c r="D8088" s="4"/>
      <c r="E8088" s="4" t="s">
        <v>921</v>
      </c>
      <c r="F8088" s="4" t="s">
        <v>3845</v>
      </c>
      <c r="G8088" s="4" t="s">
        <v>336</v>
      </c>
      <c r="H8088" s="4" t="s">
        <v>380</v>
      </c>
      <c r="I8088" s="4">
        <v>0.18153846153846154</v>
      </c>
      <c r="J8088" s="21">
        <v>650</v>
      </c>
      <c r="K8088" s="21">
        <v>118</v>
      </c>
      <c r="L8088" s="5">
        <v>0</v>
      </c>
      <c r="M8088" s="4"/>
      <c r="N8088" s="4"/>
      <c r="O8088" s="5"/>
      <c r="P8088" s="5"/>
      <c r="Q8088" s="21">
        <v>0</v>
      </c>
      <c r="R8088" s="21">
        <v>0</v>
      </c>
      <c r="S8088" s="5">
        <f t="shared" si="507"/>
        <v>54519.854446636709</v>
      </c>
      <c r="T8088" cm="1">
        <f t="array" ref="T8088">IF(OR(B8088="MAL ALIMI", B8088="ÜRETİM GİRİŞ"), MIN(I8088, MAX(0, I8088 + SUM(SUMIFS($I$1:I8087, $C$1:C8087, C8088, $B$1:B8087, {"MAL ALIMI","ÜRETİM GİRİŞ"})) - VLOOKUP(C8088, 'STOK RAPORU'!$C$2:$I$1000, 4, 0))), 0)</f>
        <v>0</v>
      </c>
      <c r="U8088" s="22">
        <f t="shared" si="504"/>
        <v>0</v>
      </c>
      <c r="V8088">
        <f t="shared" si="505"/>
        <v>0</v>
      </c>
      <c r="W8088" s="22">
        <f t="shared" si="506"/>
        <v>0</v>
      </c>
    </row>
    <row r="8089" spans="1:23" hidden="1" x14ac:dyDescent="0.25">
      <c r="A8089" s="3">
        <v>46209</v>
      </c>
      <c r="B8089" s="46" t="s">
        <v>334</v>
      </c>
      <c r="C8089" s="4" t="s">
        <v>91</v>
      </c>
      <c r="D8089" s="4"/>
      <c r="E8089" s="4" t="s">
        <v>921</v>
      </c>
      <c r="F8089" s="4" t="s">
        <v>3845</v>
      </c>
      <c r="G8089" s="4" t="s">
        <v>336</v>
      </c>
      <c r="H8089" s="4" t="s">
        <v>380</v>
      </c>
      <c r="I8089" s="4">
        <v>6.9411764705882353E-2</v>
      </c>
      <c r="J8089" s="21">
        <v>850</v>
      </c>
      <c r="K8089" s="21">
        <v>59</v>
      </c>
      <c r="L8089" s="5">
        <v>0</v>
      </c>
      <c r="M8089" s="4"/>
      <c r="N8089" s="4"/>
      <c r="O8089" s="5"/>
      <c r="P8089" s="5"/>
      <c r="Q8089" s="21">
        <v>0</v>
      </c>
      <c r="R8089" s="21">
        <v>0</v>
      </c>
      <c r="S8089" s="5">
        <f t="shared" si="507"/>
        <v>54519.854446636709</v>
      </c>
      <c r="T8089" cm="1">
        <f t="array" ref="T8089">IF(OR(B8089="MAL ALIMI", B8089="ÜRETİM GİRİŞ"), MIN(I8089, MAX(0, I8089 + SUM(SUMIFS($I$1:I8088, $C$1:C8088, C8089, $B$1:B8088, {"MAL ALIMI","ÜRETİM GİRİŞ"})) - VLOOKUP(C8089, 'STOK RAPORU'!$C$2:$I$1000, 4, 0))), 0)</f>
        <v>0</v>
      </c>
      <c r="U8089" s="22">
        <f t="shared" si="504"/>
        <v>0</v>
      </c>
      <c r="V8089">
        <f t="shared" si="505"/>
        <v>0</v>
      </c>
      <c r="W8089" s="22">
        <f t="shared" si="506"/>
        <v>0</v>
      </c>
    </row>
    <row r="8090" spans="1:23" hidden="1" x14ac:dyDescent="0.25">
      <c r="A8090" s="3">
        <v>46209</v>
      </c>
      <c r="B8090" s="46" t="s">
        <v>334</v>
      </c>
      <c r="C8090" s="4" t="s">
        <v>151</v>
      </c>
      <c r="D8090" s="4"/>
      <c r="E8090" s="4" t="s">
        <v>921</v>
      </c>
      <c r="F8090" s="4" t="s">
        <v>3845</v>
      </c>
      <c r="G8090" s="4" t="s">
        <v>336</v>
      </c>
      <c r="H8090" s="4" t="s">
        <v>380</v>
      </c>
      <c r="I8090" s="4">
        <v>6.7500000000000004E-2</v>
      </c>
      <c r="J8090" s="21">
        <v>400</v>
      </c>
      <c r="K8090" s="21">
        <v>27</v>
      </c>
      <c r="L8090" s="5">
        <v>0</v>
      </c>
      <c r="M8090" s="4"/>
      <c r="N8090" s="4"/>
      <c r="O8090" s="5"/>
      <c r="P8090" s="5"/>
      <c r="Q8090" s="21">
        <v>0</v>
      </c>
      <c r="R8090" s="21">
        <v>0</v>
      </c>
      <c r="S8090" s="5">
        <f t="shared" si="507"/>
        <v>54519.854446636709</v>
      </c>
      <c r="T8090" cm="1">
        <f t="array" ref="T8090">IF(OR(B8090="MAL ALIMI", B8090="ÜRETİM GİRİŞ"), MIN(I8090, MAX(0, I8090 + SUM(SUMIFS($I$1:I8089, $C$1:C8089, C8090, $B$1:B8089, {"MAL ALIMI","ÜRETİM GİRİŞ"})) - VLOOKUP(C8090, 'STOK RAPORU'!$C$2:$I$1000, 4, 0))), 0)</f>
        <v>0</v>
      </c>
      <c r="U8090" s="22">
        <f t="shared" si="504"/>
        <v>0</v>
      </c>
      <c r="V8090">
        <f t="shared" si="505"/>
        <v>0</v>
      </c>
      <c r="W8090" s="22">
        <f t="shared" si="506"/>
        <v>0</v>
      </c>
    </row>
    <row r="8091" spans="1:23" hidden="1" x14ac:dyDescent="0.25">
      <c r="A8091" s="3">
        <v>46209</v>
      </c>
      <c r="B8091" s="46" t="s">
        <v>334</v>
      </c>
      <c r="C8091" s="4" t="s">
        <v>158</v>
      </c>
      <c r="D8091" s="4"/>
      <c r="E8091" s="4" t="s">
        <v>921</v>
      </c>
      <c r="F8091" s="4" t="s">
        <v>3845</v>
      </c>
      <c r="G8091" s="4" t="s">
        <v>336</v>
      </c>
      <c r="H8091" s="4" t="s">
        <v>380</v>
      </c>
      <c r="I8091" s="4">
        <v>1</v>
      </c>
      <c r="J8091" s="21">
        <v>150</v>
      </c>
      <c r="K8091" s="21">
        <v>150</v>
      </c>
      <c r="L8091" s="5">
        <v>0</v>
      </c>
      <c r="M8091" s="4"/>
      <c r="N8091" s="4"/>
      <c r="O8091" s="5"/>
      <c r="P8091" s="5"/>
      <c r="Q8091" s="21">
        <v>0</v>
      </c>
      <c r="R8091" s="21">
        <v>0</v>
      </c>
      <c r="S8091" s="5">
        <f t="shared" si="507"/>
        <v>54519.854446636709</v>
      </c>
      <c r="T8091" cm="1">
        <f t="array" ref="T8091">IF(OR(B8091="MAL ALIMI", B8091="ÜRETİM GİRİŞ"), MIN(I8091, MAX(0, I8091 + SUM(SUMIFS($I$1:I8090, $C$1:C8090, C8091, $B$1:B8090, {"MAL ALIMI","ÜRETİM GİRİŞ"})) - VLOOKUP(C8091, 'STOK RAPORU'!$C$2:$I$1000, 4, 0))), 0)</f>
        <v>0</v>
      </c>
      <c r="U8091" s="22">
        <f t="shared" si="504"/>
        <v>0</v>
      </c>
      <c r="V8091">
        <f t="shared" si="505"/>
        <v>0</v>
      </c>
      <c r="W8091" s="22">
        <f t="shared" si="506"/>
        <v>0</v>
      </c>
    </row>
    <row r="8092" spans="1:23" hidden="1" x14ac:dyDescent="0.25">
      <c r="A8092" s="3">
        <v>46209</v>
      </c>
      <c r="B8092" s="46" t="s">
        <v>334</v>
      </c>
      <c r="C8092" s="4" t="s">
        <v>157</v>
      </c>
      <c r="D8092" s="4"/>
      <c r="E8092" s="4" t="s">
        <v>921</v>
      </c>
      <c r="F8092" s="4" t="s">
        <v>3845</v>
      </c>
      <c r="G8092" s="4" t="s">
        <v>336</v>
      </c>
      <c r="H8092" s="4" t="s">
        <v>380</v>
      </c>
      <c r="I8092" s="4">
        <v>1.01</v>
      </c>
      <c r="J8092" s="21">
        <v>200</v>
      </c>
      <c r="K8092" s="21">
        <v>202</v>
      </c>
      <c r="L8092" s="5">
        <v>0</v>
      </c>
      <c r="M8092" s="4"/>
      <c r="N8092" s="4"/>
      <c r="O8092" s="5"/>
      <c r="P8092" s="5"/>
      <c r="Q8092" s="21">
        <v>0</v>
      </c>
      <c r="R8092" s="21">
        <v>0</v>
      </c>
      <c r="S8092" s="5">
        <f t="shared" si="507"/>
        <v>54519.854446636709</v>
      </c>
      <c r="T8092" cm="1">
        <f t="array" ref="T8092">IF(OR(B8092="MAL ALIMI", B8092="ÜRETİM GİRİŞ"), MIN(I8092, MAX(0, I8092 + SUM(SUMIFS($I$1:I8091, $C$1:C8091, C8092, $B$1:B8091, {"MAL ALIMI","ÜRETİM GİRİŞ"})) - VLOOKUP(C8092, 'STOK RAPORU'!$C$2:$I$1000, 4, 0))), 0)</f>
        <v>0</v>
      </c>
      <c r="U8092" s="22">
        <f t="shared" si="504"/>
        <v>0</v>
      </c>
      <c r="V8092">
        <f t="shared" si="505"/>
        <v>0</v>
      </c>
      <c r="W8092" s="22">
        <f t="shared" si="506"/>
        <v>0</v>
      </c>
    </row>
    <row r="8093" spans="1:23" hidden="1" x14ac:dyDescent="0.25">
      <c r="A8093" s="3">
        <v>46209</v>
      </c>
      <c r="B8093" s="46" t="s">
        <v>334</v>
      </c>
      <c r="C8093" s="4" t="s">
        <v>60</v>
      </c>
      <c r="D8093" s="4"/>
      <c r="E8093" s="4" t="s">
        <v>921</v>
      </c>
      <c r="F8093" s="4" t="s">
        <v>3845</v>
      </c>
      <c r="G8093" s="4" t="s">
        <v>336</v>
      </c>
      <c r="H8093" s="4" t="s">
        <v>380</v>
      </c>
      <c r="I8093" s="4">
        <v>0.05</v>
      </c>
      <c r="J8093" s="21">
        <v>1200</v>
      </c>
      <c r="K8093" s="21">
        <v>60</v>
      </c>
      <c r="L8093" s="5">
        <v>0</v>
      </c>
      <c r="M8093" s="4"/>
      <c r="N8093" s="4"/>
      <c r="O8093" s="5"/>
      <c r="P8093" s="5"/>
      <c r="Q8093" s="21">
        <v>0</v>
      </c>
      <c r="R8093" s="21">
        <v>0</v>
      </c>
      <c r="S8093" s="5">
        <f t="shared" si="507"/>
        <v>54519.854446636709</v>
      </c>
      <c r="T8093" cm="1">
        <f t="array" ref="T8093">IF(OR(B8093="MAL ALIMI", B8093="ÜRETİM GİRİŞ"), MIN(I8093, MAX(0, I8093 + SUM(SUMIFS($I$1:I8092, $C$1:C8092, C8093, $B$1:B8092, {"MAL ALIMI","ÜRETİM GİRİŞ"})) - VLOOKUP(C8093, 'STOK RAPORU'!$C$2:$I$1000, 4, 0))), 0)</f>
        <v>0</v>
      </c>
      <c r="U8093" s="22">
        <f t="shared" si="504"/>
        <v>0</v>
      </c>
      <c r="V8093">
        <f t="shared" si="505"/>
        <v>0</v>
      </c>
      <c r="W8093" s="22">
        <f t="shared" si="506"/>
        <v>0</v>
      </c>
    </row>
    <row r="8094" spans="1:23" hidden="1" x14ac:dyDescent="0.25">
      <c r="A8094" s="3">
        <v>46209</v>
      </c>
      <c r="B8094" s="46" t="s">
        <v>334</v>
      </c>
      <c r="C8094" s="4" t="s">
        <v>523</v>
      </c>
      <c r="D8094" s="4"/>
      <c r="E8094" s="4" t="s">
        <v>921</v>
      </c>
      <c r="F8094" s="4" t="s">
        <v>3845</v>
      </c>
      <c r="G8094" s="4" t="s">
        <v>336</v>
      </c>
      <c r="H8094" s="4" t="s">
        <v>380</v>
      </c>
      <c r="I8094" s="4">
        <v>0.08</v>
      </c>
      <c r="J8094" s="21">
        <v>750</v>
      </c>
      <c r="K8094" s="21">
        <v>60</v>
      </c>
      <c r="L8094" s="5">
        <v>0</v>
      </c>
      <c r="M8094" s="4"/>
      <c r="N8094" s="4"/>
      <c r="O8094" s="5"/>
      <c r="P8094" s="5"/>
      <c r="Q8094" s="21">
        <v>0</v>
      </c>
      <c r="R8094" s="21">
        <v>0</v>
      </c>
      <c r="S8094" s="5">
        <f t="shared" si="507"/>
        <v>54519.854446636709</v>
      </c>
      <c r="T8094" cm="1">
        <f t="array" ref="T8094">IF(OR(B8094="MAL ALIMI", B8094="ÜRETİM GİRİŞ"), MIN(I8094, MAX(0, I8094 + SUM(SUMIFS($I$1:I8093, $C$1:C8093, C8094, $B$1:B8093, {"MAL ALIMI","ÜRETİM GİRİŞ"})) - VLOOKUP(C8094, 'STOK RAPORU'!$C$2:$I$1000, 4, 0))), 0)</f>
        <v>0</v>
      </c>
      <c r="U8094" s="22">
        <f t="shared" si="504"/>
        <v>0</v>
      </c>
      <c r="V8094">
        <f t="shared" si="505"/>
        <v>0</v>
      </c>
      <c r="W8094" s="22">
        <f t="shared" si="506"/>
        <v>0</v>
      </c>
    </row>
    <row r="8095" spans="1:23" hidden="1" x14ac:dyDescent="0.25">
      <c r="A8095" s="3">
        <v>46209</v>
      </c>
      <c r="B8095" s="46" t="s">
        <v>334</v>
      </c>
      <c r="C8095" s="4" t="s">
        <v>154</v>
      </c>
      <c r="D8095" s="4"/>
      <c r="E8095" s="4" t="s">
        <v>921</v>
      </c>
      <c r="F8095" s="4" t="s">
        <v>3845</v>
      </c>
      <c r="G8095" s="4" t="s">
        <v>336</v>
      </c>
      <c r="H8095" s="4" t="s">
        <v>380</v>
      </c>
      <c r="I8095" s="4">
        <v>0.1</v>
      </c>
      <c r="J8095" s="21">
        <v>400</v>
      </c>
      <c r="K8095" s="21">
        <v>40</v>
      </c>
      <c r="L8095" s="5">
        <v>0</v>
      </c>
      <c r="M8095" s="4"/>
      <c r="N8095" s="4"/>
      <c r="O8095" s="5"/>
      <c r="P8095" s="5"/>
      <c r="Q8095" s="21">
        <v>0</v>
      </c>
      <c r="R8095" s="21">
        <v>0</v>
      </c>
      <c r="S8095" s="5">
        <f t="shared" si="507"/>
        <v>54519.854446636709</v>
      </c>
      <c r="T8095" cm="1">
        <f t="array" ref="T8095">IF(OR(B8095="MAL ALIMI", B8095="ÜRETİM GİRİŞ"), MIN(I8095, MAX(0, I8095 + SUM(SUMIFS($I$1:I8094, $C$1:C8094, C8095, $B$1:B8094, {"MAL ALIMI","ÜRETİM GİRİŞ"})) - VLOOKUP(C8095, 'STOK RAPORU'!$C$2:$I$1000, 4, 0))), 0)</f>
        <v>0</v>
      </c>
      <c r="U8095" s="22">
        <f t="shared" si="504"/>
        <v>0</v>
      </c>
      <c r="V8095">
        <f t="shared" si="505"/>
        <v>0</v>
      </c>
      <c r="W8095" s="22">
        <f t="shared" si="506"/>
        <v>0</v>
      </c>
    </row>
    <row r="8096" spans="1:23" hidden="1" x14ac:dyDescent="0.25">
      <c r="A8096" s="3">
        <v>46209</v>
      </c>
      <c r="B8096" s="46" t="s">
        <v>334</v>
      </c>
      <c r="C8096" s="4" t="s">
        <v>133</v>
      </c>
      <c r="D8096" s="4"/>
      <c r="E8096" s="4"/>
      <c r="F8096" s="4" t="s">
        <v>3846</v>
      </c>
      <c r="G8096" s="4" t="s">
        <v>336</v>
      </c>
      <c r="H8096" s="4" t="s">
        <v>289</v>
      </c>
      <c r="I8096" s="4">
        <v>0.25</v>
      </c>
      <c r="J8096" s="21">
        <v>400</v>
      </c>
      <c r="K8096" s="21">
        <v>0</v>
      </c>
      <c r="L8096" s="5">
        <v>0</v>
      </c>
      <c r="M8096" s="4"/>
      <c r="N8096" s="4"/>
      <c r="O8096" s="5"/>
      <c r="P8096" s="5"/>
      <c r="Q8096" s="21">
        <v>100</v>
      </c>
      <c r="R8096" s="21">
        <v>0</v>
      </c>
      <c r="S8096" s="5">
        <f t="shared" si="507"/>
        <v>54619.854446636709</v>
      </c>
      <c r="T8096" cm="1">
        <f t="array" ref="T8096">IF(OR(B8096="MAL ALIMI", B8096="ÜRETİM GİRİŞ"), MIN(I8096, MAX(0, I8096 + SUM(SUMIFS($I$1:I8095, $C$1:C8095, C8096, $B$1:B8095, {"MAL ALIMI","ÜRETİM GİRİŞ"})) - VLOOKUP(C8096, 'STOK RAPORU'!$C$2:$I$1000, 4, 0))), 0)</f>
        <v>0</v>
      </c>
      <c r="U8096" s="22">
        <f t="shared" si="504"/>
        <v>0</v>
      </c>
      <c r="V8096">
        <f t="shared" si="505"/>
        <v>0</v>
      </c>
      <c r="W8096" s="22">
        <f t="shared" si="506"/>
        <v>0</v>
      </c>
    </row>
    <row r="8097" spans="1:23" hidden="1" x14ac:dyDescent="0.25">
      <c r="A8097" s="3">
        <v>46209</v>
      </c>
      <c r="B8097" s="46" t="s">
        <v>334</v>
      </c>
      <c r="C8097" s="4" t="s">
        <v>199</v>
      </c>
      <c r="D8097" s="4"/>
      <c r="E8097" s="4"/>
      <c r="F8097" s="4" t="s">
        <v>3847</v>
      </c>
      <c r="G8097" s="4" t="s">
        <v>336</v>
      </c>
      <c r="H8097" s="4" t="s">
        <v>289</v>
      </c>
      <c r="I8097" s="4">
        <v>0.188</v>
      </c>
      <c r="J8097" s="21">
        <v>750</v>
      </c>
      <c r="K8097" s="21">
        <v>0</v>
      </c>
      <c r="L8097" s="5">
        <v>0</v>
      </c>
      <c r="M8097" s="4"/>
      <c r="N8097" s="4"/>
      <c r="O8097" s="5"/>
      <c r="P8097" s="5"/>
      <c r="Q8097" s="21">
        <v>141</v>
      </c>
      <c r="R8097" s="21">
        <v>0</v>
      </c>
      <c r="S8097" s="5">
        <f t="shared" si="507"/>
        <v>54760.854446636709</v>
      </c>
      <c r="T8097" cm="1">
        <f t="array" ref="T8097">IF(OR(B8097="MAL ALIMI", B8097="ÜRETİM GİRİŞ"), MIN(I8097, MAX(0, I8097 + SUM(SUMIFS($I$1:I8096, $C$1:C8096, C8097, $B$1:B8096, {"MAL ALIMI","ÜRETİM GİRİŞ"})) - VLOOKUP(C8097, 'STOK RAPORU'!$C$2:$I$1000, 4, 0))), 0)</f>
        <v>0</v>
      </c>
      <c r="U8097" s="22">
        <f t="shared" si="504"/>
        <v>0</v>
      </c>
      <c r="V8097">
        <f t="shared" si="505"/>
        <v>0</v>
      </c>
      <c r="W8097" s="22">
        <f t="shared" si="506"/>
        <v>0</v>
      </c>
    </row>
    <row r="8098" spans="1:23" hidden="1" x14ac:dyDescent="0.25">
      <c r="A8098" s="3">
        <v>46209</v>
      </c>
      <c r="B8098" s="46" t="s">
        <v>334</v>
      </c>
      <c r="C8098" s="4" t="s">
        <v>1357</v>
      </c>
      <c r="D8098" s="4"/>
      <c r="E8098" s="4"/>
      <c r="F8098" s="4" t="s">
        <v>3847</v>
      </c>
      <c r="G8098" s="4" t="s">
        <v>336</v>
      </c>
      <c r="H8098" s="4" t="s">
        <v>289</v>
      </c>
      <c r="I8098" s="4">
        <v>0.16153846153846155</v>
      </c>
      <c r="J8098" s="21">
        <v>650</v>
      </c>
      <c r="K8098" s="21">
        <v>0</v>
      </c>
      <c r="L8098" s="5">
        <v>0</v>
      </c>
      <c r="M8098" s="4"/>
      <c r="N8098" s="4"/>
      <c r="O8098" s="5"/>
      <c r="P8098" s="5"/>
      <c r="Q8098" s="21">
        <v>105</v>
      </c>
      <c r="R8098" s="21">
        <v>0</v>
      </c>
      <c r="S8098" s="5">
        <f t="shared" si="507"/>
        <v>54865.854446636709</v>
      </c>
      <c r="T8098" cm="1">
        <f t="array" ref="T8098">IF(OR(B8098="MAL ALIMI", B8098="ÜRETİM GİRİŞ"), MIN(I8098, MAX(0, I8098 + SUM(SUMIFS($I$1:I8097, $C$1:C8097, C8098, $B$1:B8097, {"MAL ALIMI","ÜRETİM GİRİŞ"})) - VLOOKUP(C8098, 'STOK RAPORU'!$C$2:$I$1000, 4, 0))), 0)</f>
        <v>0</v>
      </c>
      <c r="U8098" s="22">
        <f t="shared" si="504"/>
        <v>0</v>
      </c>
      <c r="V8098">
        <f t="shared" si="505"/>
        <v>0</v>
      </c>
      <c r="W8098" s="22">
        <f t="shared" si="506"/>
        <v>0</v>
      </c>
    </row>
    <row r="8099" spans="1:23" hidden="1" x14ac:dyDescent="0.25">
      <c r="A8099" s="3">
        <v>46209</v>
      </c>
      <c r="B8099" s="46" t="s">
        <v>334</v>
      </c>
      <c r="C8099" s="4" t="s">
        <v>728</v>
      </c>
      <c r="D8099" s="4"/>
      <c r="E8099" s="4"/>
      <c r="F8099" s="4" t="s">
        <v>3847</v>
      </c>
      <c r="G8099" s="4" t="s">
        <v>336</v>
      </c>
      <c r="H8099" s="4" t="s">
        <v>289</v>
      </c>
      <c r="I8099" s="4">
        <v>0.15538461538461537</v>
      </c>
      <c r="J8099" s="21">
        <v>650</v>
      </c>
      <c r="K8099" s="21">
        <v>0</v>
      </c>
      <c r="L8099" s="5">
        <v>0</v>
      </c>
      <c r="M8099" s="4"/>
      <c r="N8099" s="4"/>
      <c r="O8099" s="5"/>
      <c r="P8099" s="5"/>
      <c r="Q8099" s="21">
        <v>100.99999999999999</v>
      </c>
      <c r="R8099" s="21">
        <v>0</v>
      </c>
      <c r="S8099" s="5">
        <f t="shared" si="507"/>
        <v>54966.854446636709</v>
      </c>
      <c r="T8099" cm="1">
        <f t="array" ref="T8099">IF(OR(B8099="MAL ALIMI", B8099="ÜRETİM GİRİŞ"), MIN(I8099, MAX(0, I8099 + SUM(SUMIFS($I$1:I8098, $C$1:C8098, C8099, $B$1:B8098, {"MAL ALIMI","ÜRETİM GİRİŞ"})) - VLOOKUP(C8099, 'STOK RAPORU'!$C$2:$I$1000, 4, 0))), 0)</f>
        <v>0</v>
      </c>
      <c r="U8099" s="22">
        <f t="shared" si="504"/>
        <v>0</v>
      </c>
      <c r="V8099">
        <f t="shared" si="505"/>
        <v>0</v>
      </c>
      <c r="W8099" s="22">
        <f t="shared" si="506"/>
        <v>0</v>
      </c>
    </row>
    <row r="8100" spans="1:23" hidden="1" x14ac:dyDescent="0.25">
      <c r="A8100" s="3">
        <v>46209</v>
      </c>
      <c r="B8100" s="46" t="s">
        <v>334</v>
      </c>
      <c r="C8100" s="4" t="s">
        <v>690</v>
      </c>
      <c r="D8100" s="4"/>
      <c r="E8100" s="4"/>
      <c r="F8100" s="4" t="s">
        <v>3847</v>
      </c>
      <c r="G8100" s="4" t="s">
        <v>336</v>
      </c>
      <c r="H8100" s="4" t="s">
        <v>289</v>
      </c>
      <c r="I8100" s="4">
        <v>0.26285714285714284</v>
      </c>
      <c r="J8100" s="21">
        <v>350</v>
      </c>
      <c r="K8100" s="21">
        <v>0</v>
      </c>
      <c r="L8100" s="5">
        <v>0</v>
      </c>
      <c r="M8100" s="4"/>
      <c r="N8100" s="4"/>
      <c r="O8100" s="5"/>
      <c r="P8100" s="5"/>
      <c r="Q8100" s="21">
        <v>92</v>
      </c>
      <c r="R8100" s="21">
        <v>0</v>
      </c>
      <c r="S8100" s="5">
        <f t="shared" si="507"/>
        <v>55058.854446636709</v>
      </c>
      <c r="T8100" cm="1">
        <f t="array" ref="T8100">IF(OR(B8100="MAL ALIMI", B8100="ÜRETİM GİRİŞ"), MIN(I8100, MAX(0, I8100 + SUM(SUMIFS($I$1:I8099, $C$1:C8099, C8100, $B$1:B8099, {"MAL ALIMI","ÜRETİM GİRİŞ"})) - VLOOKUP(C8100, 'STOK RAPORU'!$C$2:$I$1000, 4, 0))), 0)</f>
        <v>0</v>
      </c>
      <c r="U8100" s="22">
        <f t="shared" si="504"/>
        <v>0</v>
      </c>
      <c r="V8100">
        <f t="shared" si="505"/>
        <v>0</v>
      </c>
      <c r="W8100" s="22">
        <f t="shared" si="506"/>
        <v>0</v>
      </c>
    </row>
    <row r="8101" spans="1:23" hidden="1" x14ac:dyDescent="0.25">
      <c r="A8101" s="3">
        <v>46209</v>
      </c>
      <c r="B8101" s="46" t="s">
        <v>334</v>
      </c>
      <c r="C8101" s="4" t="s">
        <v>728</v>
      </c>
      <c r="D8101" s="4"/>
      <c r="E8101" s="4" t="s">
        <v>921</v>
      </c>
      <c r="F8101" s="4" t="s">
        <v>3848</v>
      </c>
      <c r="G8101" s="4" t="s">
        <v>336</v>
      </c>
      <c r="H8101" s="4" t="s">
        <v>380</v>
      </c>
      <c r="I8101" s="4">
        <v>0.41538461538461541</v>
      </c>
      <c r="J8101" s="21">
        <v>650</v>
      </c>
      <c r="K8101" s="21">
        <v>270</v>
      </c>
      <c r="L8101" s="5">
        <v>0</v>
      </c>
      <c r="M8101" s="4"/>
      <c r="N8101" s="4"/>
      <c r="O8101" s="5"/>
      <c r="P8101" s="5"/>
      <c r="Q8101" s="21">
        <v>0</v>
      </c>
      <c r="R8101" s="21">
        <v>0</v>
      </c>
      <c r="S8101" s="5">
        <f t="shared" si="507"/>
        <v>55058.854446636709</v>
      </c>
      <c r="T8101" cm="1">
        <f t="array" ref="T8101">IF(OR(B8101="MAL ALIMI", B8101="ÜRETİM GİRİŞ"), MIN(I8101, MAX(0, I8101 + SUM(SUMIFS($I$1:I8100, $C$1:C8100, C8101, $B$1:B8100, {"MAL ALIMI","ÜRETİM GİRİŞ"})) - VLOOKUP(C8101, 'STOK RAPORU'!$C$2:$I$1000, 4, 0))), 0)</f>
        <v>0</v>
      </c>
      <c r="U8101" s="22">
        <f t="shared" si="504"/>
        <v>0</v>
      </c>
      <c r="V8101">
        <f t="shared" si="505"/>
        <v>0</v>
      </c>
      <c r="W8101" s="22">
        <f t="shared" si="506"/>
        <v>0</v>
      </c>
    </row>
    <row r="8102" spans="1:23" hidden="1" x14ac:dyDescent="0.25">
      <c r="A8102" s="3">
        <v>46209</v>
      </c>
      <c r="B8102" s="46" t="s">
        <v>334</v>
      </c>
      <c r="C8102" s="4" t="s">
        <v>266</v>
      </c>
      <c r="D8102" s="4"/>
      <c r="E8102" s="4" t="s">
        <v>921</v>
      </c>
      <c r="F8102" s="4" t="s">
        <v>3848</v>
      </c>
      <c r="G8102" s="4" t="s">
        <v>336</v>
      </c>
      <c r="H8102" s="4" t="s">
        <v>380</v>
      </c>
      <c r="I8102" s="4">
        <v>0.14399999999999999</v>
      </c>
      <c r="J8102" s="21">
        <v>250</v>
      </c>
      <c r="K8102" s="21">
        <v>36</v>
      </c>
      <c r="L8102" s="5">
        <v>0</v>
      </c>
      <c r="M8102" s="4"/>
      <c r="N8102" s="4"/>
      <c r="O8102" s="5"/>
      <c r="P8102" s="5"/>
      <c r="Q8102" s="21">
        <v>0</v>
      </c>
      <c r="R8102" s="21">
        <v>0</v>
      </c>
      <c r="S8102" s="5">
        <f t="shared" si="507"/>
        <v>55058.854446636709</v>
      </c>
      <c r="T8102" cm="1">
        <f t="array" ref="T8102">IF(OR(B8102="MAL ALIMI", B8102="ÜRETİM GİRİŞ"), MIN(I8102, MAX(0, I8102 + SUM(SUMIFS($I$1:I8101, $C$1:C8101, C8102, $B$1:B8101, {"MAL ALIMI","ÜRETİM GİRİŞ"})) - VLOOKUP(C8102, 'STOK RAPORU'!$C$2:$I$1000, 4, 0))), 0)</f>
        <v>0</v>
      </c>
      <c r="U8102" s="22">
        <f t="shared" si="504"/>
        <v>0</v>
      </c>
      <c r="V8102">
        <f t="shared" si="505"/>
        <v>0</v>
      </c>
      <c r="W8102" s="22">
        <f t="shared" si="506"/>
        <v>0</v>
      </c>
    </row>
    <row r="8103" spans="1:23" hidden="1" x14ac:dyDescent="0.25">
      <c r="A8103" s="3">
        <v>46209</v>
      </c>
      <c r="B8103" s="46" t="s">
        <v>334</v>
      </c>
      <c r="C8103" s="4" t="s">
        <v>523</v>
      </c>
      <c r="D8103" s="4"/>
      <c r="E8103" s="4" t="s">
        <v>921</v>
      </c>
      <c r="F8103" s="4" t="s">
        <v>3848</v>
      </c>
      <c r="G8103" s="4" t="s">
        <v>336</v>
      </c>
      <c r="H8103" s="4" t="s">
        <v>380</v>
      </c>
      <c r="I8103" s="4">
        <v>0.08</v>
      </c>
      <c r="J8103" s="21">
        <v>750</v>
      </c>
      <c r="K8103" s="21">
        <v>60</v>
      </c>
      <c r="L8103" s="5">
        <v>0</v>
      </c>
      <c r="M8103" s="4"/>
      <c r="N8103" s="4"/>
      <c r="O8103" s="5"/>
      <c r="P8103" s="5"/>
      <c r="Q8103" s="21">
        <v>0</v>
      </c>
      <c r="R8103" s="21">
        <v>0</v>
      </c>
      <c r="S8103" s="5">
        <f t="shared" si="507"/>
        <v>55058.854446636709</v>
      </c>
      <c r="T8103" cm="1">
        <f t="array" ref="T8103">IF(OR(B8103="MAL ALIMI", B8103="ÜRETİM GİRİŞ"), MIN(I8103, MAX(0, I8103 + SUM(SUMIFS($I$1:I8102, $C$1:C8102, C8103, $B$1:B8102, {"MAL ALIMI","ÜRETİM GİRİŞ"})) - VLOOKUP(C8103, 'STOK RAPORU'!$C$2:$I$1000, 4, 0))), 0)</f>
        <v>0</v>
      </c>
      <c r="U8103" s="22">
        <f t="shared" si="504"/>
        <v>0</v>
      </c>
      <c r="V8103">
        <f t="shared" si="505"/>
        <v>0</v>
      </c>
      <c r="W8103" s="22">
        <f t="shared" si="506"/>
        <v>0</v>
      </c>
    </row>
    <row r="8104" spans="1:23" hidden="1" x14ac:dyDescent="0.25">
      <c r="A8104" s="3">
        <v>46209</v>
      </c>
      <c r="B8104" s="46" t="s">
        <v>334</v>
      </c>
      <c r="C8104" s="4" t="s">
        <v>1184</v>
      </c>
      <c r="D8104" s="4"/>
      <c r="E8104" s="4" t="s">
        <v>921</v>
      </c>
      <c r="F8104" s="4" t="s">
        <v>3848</v>
      </c>
      <c r="G8104" s="4" t="s">
        <v>336</v>
      </c>
      <c r="H8104" s="4" t="s">
        <v>380</v>
      </c>
      <c r="I8104" s="4">
        <v>0.1</v>
      </c>
      <c r="J8104" s="21">
        <v>900</v>
      </c>
      <c r="K8104" s="21">
        <v>90</v>
      </c>
      <c r="L8104" s="5">
        <v>0</v>
      </c>
      <c r="M8104" s="4"/>
      <c r="N8104" s="4"/>
      <c r="O8104" s="5"/>
      <c r="P8104" s="5"/>
      <c r="Q8104" s="21">
        <v>0</v>
      </c>
      <c r="R8104" s="21">
        <v>0</v>
      </c>
      <c r="S8104" s="5">
        <f t="shared" si="507"/>
        <v>55058.854446636709</v>
      </c>
      <c r="T8104" cm="1">
        <f t="array" ref="T8104">IF(OR(B8104="MAL ALIMI", B8104="ÜRETİM GİRİŞ"), MIN(I8104, MAX(0, I8104 + SUM(SUMIFS($I$1:I8103, $C$1:C8103, C8104, $B$1:B8103, {"MAL ALIMI","ÜRETİM GİRİŞ"})) - VLOOKUP(C8104, 'STOK RAPORU'!$C$2:$I$1000, 4, 0))), 0)</f>
        <v>0</v>
      </c>
      <c r="U8104" s="22">
        <f t="shared" si="504"/>
        <v>0</v>
      </c>
      <c r="V8104">
        <f t="shared" si="505"/>
        <v>0</v>
      </c>
      <c r="W8104" s="22">
        <f t="shared" si="506"/>
        <v>0</v>
      </c>
    </row>
    <row r="8105" spans="1:23" hidden="1" x14ac:dyDescent="0.25">
      <c r="A8105" s="3">
        <v>46209</v>
      </c>
      <c r="B8105" s="46" t="s">
        <v>334</v>
      </c>
      <c r="C8105" s="4" t="s">
        <v>757</v>
      </c>
      <c r="D8105" s="4"/>
      <c r="E8105" s="4" t="s">
        <v>921</v>
      </c>
      <c r="F8105" s="4" t="s">
        <v>3849</v>
      </c>
      <c r="G8105" s="4" t="s">
        <v>336</v>
      </c>
      <c r="H8105" s="4" t="s">
        <v>380</v>
      </c>
      <c r="I8105" s="4">
        <v>1</v>
      </c>
      <c r="J8105" s="21">
        <v>500</v>
      </c>
      <c r="K8105" s="21">
        <v>500</v>
      </c>
      <c r="L8105" s="5">
        <v>0</v>
      </c>
      <c r="M8105" s="4"/>
      <c r="N8105" s="4"/>
      <c r="O8105" s="5"/>
      <c r="P8105" s="5"/>
      <c r="Q8105" s="21">
        <v>0</v>
      </c>
      <c r="R8105" s="21">
        <v>0</v>
      </c>
      <c r="S8105" s="5">
        <f t="shared" si="507"/>
        <v>55058.854446636709</v>
      </c>
      <c r="T8105" cm="1">
        <f t="array" ref="T8105">IF(OR(B8105="MAL ALIMI", B8105="ÜRETİM GİRİŞ"), MIN(I8105, MAX(0, I8105 + SUM(SUMIFS($I$1:I8104, $C$1:C8104, C8105, $B$1:B8104, {"MAL ALIMI","ÜRETİM GİRİŞ"})) - VLOOKUP(C8105, 'STOK RAPORU'!$C$2:$I$1000, 4, 0))), 0)</f>
        <v>0</v>
      </c>
      <c r="U8105" s="22">
        <f t="shared" si="504"/>
        <v>0</v>
      </c>
      <c r="V8105">
        <f t="shared" si="505"/>
        <v>0</v>
      </c>
      <c r="W8105" s="22">
        <f t="shared" si="506"/>
        <v>0</v>
      </c>
    </row>
    <row r="8106" spans="1:23" hidden="1" x14ac:dyDescent="0.25">
      <c r="A8106" s="3">
        <v>46209</v>
      </c>
      <c r="B8106" s="46" t="s">
        <v>334</v>
      </c>
      <c r="C8106" s="4" t="s">
        <v>96</v>
      </c>
      <c r="D8106" s="4"/>
      <c r="E8106" s="4" t="s">
        <v>921</v>
      </c>
      <c r="F8106" s="4" t="s">
        <v>3850</v>
      </c>
      <c r="G8106" s="4" t="s">
        <v>336</v>
      </c>
      <c r="H8106" s="4" t="s">
        <v>380</v>
      </c>
      <c r="I8106" s="4">
        <v>9.7500000000000003E-2</v>
      </c>
      <c r="J8106" s="21">
        <v>400</v>
      </c>
      <c r="K8106" s="21">
        <v>39</v>
      </c>
      <c r="L8106" s="5">
        <v>0</v>
      </c>
      <c r="M8106" s="4"/>
      <c r="N8106" s="4"/>
      <c r="O8106" s="5"/>
      <c r="P8106" s="5"/>
      <c r="Q8106" s="21">
        <v>0</v>
      </c>
      <c r="R8106" s="21">
        <v>0</v>
      </c>
      <c r="S8106" s="5">
        <f t="shared" si="507"/>
        <v>55058.854446636709</v>
      </c>
      <c r="T8106" cm="1">
        <f t="array" ref="T8106">IF(OR(B8106="MAL ALIMI", B8106="ÜRETİM GİRİŞ"), MIN(I8106, MAX(0, I8106 + SUM(SUMIFS($I$1:I8105, $C$1:C8105, C8106, $B$1:B8105, {"MAL ALIMI","ÜRETİM GİRİŞ"})) - VLOOKUP(C8106, 'STOK RAPORU'!$C$2:$I$1000, 4, 0))), 0)</f>
        <v>0</v>
      </c>
      <c r="U8106" s="22">
        <f t="shared" si="504"/>
        <v>0</v>
      </c>
      <c r="V8106">
        <f t="shared" si="505"/>
        <v>0</v>
      </c>
      <c r="W8106" s="22">
        <f t="shared" si="506"/>
        <v>0</v>
      </c>
    </row>
    <row r="8107" spans="1:23" hidden="1" x14ac:dyDescent="0.25">
      <c r="A8107" s="3">
        <v>46209</v>
      </c>
      <c r="B8107" s="46" t="s">
        <v>334</v>
      </c>
      <c r="C8107" s="4" t="s">
        <v>1501</v>
      </c>
      <c r="D8107" s="4"/>
      <c r="E8107" s="4"/>
      <c r="F8107" s="4" t="s">
        <v>3851</v>
      </c>
      <c r="G8107" s="4" t="s">
        <v>336</v>
      </c>
      <c r="H8107" s="4" t="s">
        <v>289</v>
      </c>
      <c r="I8107" s="4">
        <v>0.25</v>
      </c>
      <c r="J8107" s="21">
        <v>700</v>
      </c>
      <c r="K8107" s="21">
        <v>0</v>
      </c>
      <c r="L8107" s="5">
        <v>0</v>
      </c>
      <c r="M8107" s="4"/>
      <c r="N8107" s="4"/>
      <c r="O8107" s="5"/>
      <c r="P8107" s="5"/>
      <c r="Q8107" s="21">
        <v>175</v>
      </c>
      <c r="R8107" s="21">
        <v>0</v>
      </c>
      <c r="S8107" s="5">
        <f t="shared" si="507"/>
        <v>55233.854446636709</v>
      </c>
      <c r="T8107" cm="1">
        <f t="array" ref="T8107">IF(OR(B8107="MAL ALIMI", B8107="ÜRETİM GİRİŞ"), MIN(I8107, MAX(0, I8107 + SUM(SUMIFS($I$1:I8106, $C$1:C8106, C8107, $B$1:B8106, {"MAL ALIMI","ÜRETİM GİRİŞ"})) - VLOOKUP(C8107, 'STOK RAPORU'!$C$2:$I$1000, 4, 0))), 0)</f>
        <v>0</v>
      </c>
      <c r="U8107" s="22">
        <f t="shared" si="504"/>
        <v>0</v>
      </c>
      <c r="V8107">
        <f t="shared" si="505"/>
        <v>0</v>
      </c>
      <c r="W8107" s="22">
        <f t="shared" si="506"/>
        <v>0</v>
      </c>
    </row>
    <row r="8108" spans="1:23" hidden="1" x14ac:dyDescent="0.25">
      <c r="A8108" s="3">
        <v>46209</v>
      </c>
      <c r="B8108" s="46" t="s">
        <v>946</v>
      </c>
      <c r="C8108" s="4"/>
      <c r="D8108" s="4"/>
      <c r="E8108" s="4" t="s">
        <v>921</v>
      </c>
      <c r="F8108" s="4"/>
      <c r="G8108" s="4" t="s">
        <v>946</v>
      </c>
      <c r="H8108" s="4" t="s">
        <v>380</v>
      </c>
      <c r="I8108" s="4">
        <v>1</v>
      </c>
      <c r="J8108" s="21">
        <v>1243</v>
      </c>
      <c r="K8108" s="21">
        <v>0</v>
      </c>
      <c r="L8108" s="115">
        <v>1243</v>
      </c>
      <c r="M8108" s="4"/>
      <c r="N8108" s="4"/>
      <c r="O8108" s="5"/>
      <c r="P8108" s="5"/>
      <c r="Q8108" s="21">
        <v>1243</v>
      </c>
      <c r="R8108" s="21">
        <v>0</v>
      </c>
      <c r="S8108" s="5">
        <f t="shared" si="507"/>
        <v>56476.854446636709</v>
      </c>
      <c r="T8108" cm="1">
        <f t="array" ref="T8108">IF(OR(B8108="MAL ALIMI", B8108="ÜRETİM GİRİŞ"), MIN(I8108, MAX(0, I8108 + SUM(SUMIFS($I$1:I8107, $C$1:C8107, C8108, $B$1:B8107, {"MAL ALIMI","ÜRETİM GİRİŞ"})) - VLOOKUP(C8108, 'STOK RAPORU'!$C$2:$I$1000, 4, 0))), 0)</f>
        <v>0</v>
      </c>
      <c r="U8108" s="22">
        <f t="shared" si="504"/>
        <v>0</v>
      </c>
      <c r="V8108">
        <f t="shared" si="505"/>
        <v>0</v>
      </c>
      <c r="W8108" s="22">
        <f t="shared" si="506"/>
        <v>0</v>
      </c>
    </row>
    <row r="8109" spans="1:23" hidden="1" x14ac:dyDescent="0.25">
      <c r="A8109" s="3">
        <v>46209</v>
      </c>
      <c r="B8109" s="46" t="s">
        <v>946</v>
      </c>
      <c r="C8109" s="4"/>
      <c r="D8109" s="4"/>
      <c r="E8109" s="4" t="s">
        <v>921</v>
      </c>
      <c r="F8109" s="4"/>
      <c r="G8109" s="4" t="s">
        <v>946</v>
      </c>
      <c r="H8109" s="4" t="s">
        <v>380</v>
      </c>
      <c r="I8109" s="4">
        <v>1</v>
      </c>
      <c r="J8109" s="21">
        <v>46</v>
      </c>
      <c r="K8109" s="21">
        <v>0</v>
      </c>
      <c r="L8109" s="115">
        <v>46</v>
      </c>
      <c r="M8109" s="4"/>
      <c r="N8109" s="4"/>
      <c r="O8109" s="5"/>
      <c r="P8109" s="5"/>
      <c r="Q8109" s="21">
        <v>46</v>
      </c>
      <c r="R8109" s="21">
        <v>0</v>
      </c>
      <c r="S8109" s="5">
        <f t="shared" si="507"/>
        <v>56522.854446636709</v>
      </c>
      <c r="T8109" cm="1">
        <f t="array" ref="T8109">IF(OR(B8109="MAL ALIMI", B8109="ÜRETİM GİRİŞ"), MIN(I8109, MAX(0, I8109 + SUM(SUMIFS($I$1:I8108, $C$1:C8108, C8109, $B$1:B8108, {"MAL ALIMI","ÜRETİM GİRİŞ"})) - VLOOKUP(C8109, 'STOK RAPORU'!$C$2:$I$1000, 4, 0))), 0)</f>
        <v>0</v>
      </c>
      <c r="U8109" s="22">
        <f t="shared" si="504"/>
        <v>0</v>
      </c>
      <c r="V8109">
        <f t="shared" si="505"/>
        <v>0</v>
      </c>
      <c r="W8109" s="22">
        <f t="shared" si="506"/>
        <v>0</v>
      </c>
    </row>
    <row r="8110" spans="1:23" hidden="1" x14ac:dyDescent="0.25">
      <c r="A8110" s="3">
        <v>46209</v>
      </c>
      <c r="B8110" s="46" t="s">
        <v>946</v>
      </c>
      <c r="C8110" s="4"/>
      <c r="D8110" s="4"/>
      <c r="E8110" s="4" t="s">
        <v>921</v>
      </c>
      <c r="F8110" s="4"/>
      <c r="G8110" s="4" t="s">
        <v>946</v>
      </c>
      <c r="H8110" s="4" t="s">
        <v>380</v>
      </c>
      <c r="I8110" s="4">
        <v>1</v>
      </c>
      <c r="J8110" s="116">
        <v>39</v>
      </c>
      <c r="K8110" s="21">
        <v>0</v>
      </c>
      <c r="L8110" s="114">
        <v>39</v>
      </c>
      <c r="M8110" s="4"/>
      <c r="N8110" s="4"/>
      <c r="O8110" s="5"/>
      <c r="P8110" s="5"/>
      <c r="Q8110" s="21">
        <v>39</v>
      </c>
      <c r="R8110" s="21">
        <v>0</v>
      </c>
      <c r="S8110" s="5">
        <f t="shared" si="507"/>
        <v>56561.854446636709</v>
      </c>
      <c r="T8110" cm="1">
        <f t="array" ref="T8110">IF(OR(B8110="MAL ALIMI", B8110="ÜRETİM GİRİŞ"), MIN(I8110, MAX(0, I8110 + SUM(SUMIFS($I$1:I8109, $C$1:C8109, C8110, $B$1:B8109, {"MAL ALIMI","ÜRETİM GİRİŞ"})) - VLOOKUP(C8110, 'STOK RAPORU'!$C$2:$I$1000, 4, 0))), 0)</f>
        <v>0</v>
      </c>
      <c r="U8110" s="22">
        <f t="shared" si="504"/>
        <v>0</v>
      </c>
      <c r="V8110">
        <f t="shared" si="505"/>
        <v>0</v>
      </c>
      <c r="W8110" s="22">
        <f t="shared" si="506"/>
        <v>0</v>
      </c>
    </row>
    <row r="8111" spans="1:23" hidden="1" x14ac:dyDescent="0.25">
      <c r="A8111" s="3">
        <v>46210</v>
      </c>
      <c r="B8111" s="46" t="s">
        <v>334</v>
      </c>
      <c r="C8111" s="4" t="s">
        <v>976</v>
      </c>
      <c r="D8111" s="4"/>
      <c r="E8111" s="4" t="s">
        <v>921</v>
      </c>
      <c r="F8111" s="4" t="s">
        <v>3852</v>
      </c>
      <c r="G8111" s="4" t="s">
        <v>336</v>
      </c>
      <c r="H8111" s="4" t="s">
        <v>380</v>
      </c>
      <c r="I8111" s="4">
        <v>1</v>
      </c>
      <c r="J8111" s="21">
        <v>390</v>
      </c>
      <c r="K8111" s="21">
        <v>390</v>
      </c>
      <c r="L8111" s="5">
        <v>0</v>
      </c>
      <c r="M8111" s="4"/>
      <c r="N8111" s="4"/>
      <c r="O8111" s="5"/>
      <c r="P8111" s="5"/>
      <c r="Q8111" s="21">
        <v>0</v>
      </c>
      <c r="R8111" s="21">
        <v>0</v>
      </c>
      <c r="S8111" s="5">
        <f t="shared" si="507"/>
        <v>56561.854446636709</v>
      </c>
      <c r="T8111" cm="1">
        <f t="array" ref="T8111">IF(OR(B8111="MAL ALIMI", B8111="ÜRETİM GİRİŞ"), MIN(I8111, MAX(0, I8111 + SUM(SUMIFS($I$1:I8110, $C$1:C8110, C8111, $B$1:B8110, {"MAL ALIMI","ÜRETİM GİRİŞ"})) - VLOOKUP(C8111, 'STOK RAPORU'!$C$2:$I$1000, 4, 0))), 0)</f>
        <v>0</v>
      </c>
      <c r="U8111" s="22">
        <f t="shared" si="504"/>
        <v>0</v>
      </c>
      <c r="V8111">
        <f t="shared" si="505"/>
        <v>0</v>
      </c>
      <c r="W8111" s="22">
        <f t="shared" si="506"/>
        <v>0</v>
      </c>
    </row>
    <row r="8112" spans="1:23" hidden="1" x14ac:dyDescent="0.25">
      <c r="A8112" s="3">
        <v>46210</v>
      </c>
      <c r="B8112" s="46" t="s">
        <v>334</v>
      </c>
      <c r="C8112" s="4" t="s">
        <v>157</v>
      </c>
      <c r="D8112" s="4"/>
      <c r="E8112" s="4"/>
      <c r="F8112" s="4" t="s">
        <v>3853</v>
      </c>
      <c r="G8112" s="4" t="s">
        <v>336</v>
      </c>
      <c r="H8112" s="4" t="s">
        <v>289</v>
      </c>
      <c r="I8112" s="4">
        <v>0.5</v>
      </c>
      <c r="J8112" s="21">
        <v>200</v>
      </c>
      <c r="K8112" s="21">
        <v>0</v>
      </c>
      <c r="L8112" s="5">
        <v>0</v>
      </c>
      <c r="M8112" s="4"/>
      <c r="N8112" s="4"/>
      <c r="O8112" s="5"/>
      <c r="P8112" s="5"/>
      <c r="Q8112" s="21">
        <v>100</v>
      </c>
      <c r="R8112" s="21">
        <v>0</v>
      </c>
      <c r="S8112" s="5">
        <f t="shared" si="507"/>
        <v>56661.854446636709</v>
      </c>
      <c r="T8112" cm="1">
        <f t="array" ref="T8112">IF(OR(B8112="MAL ALIMI", B8112="ÜRETİM GİRİŞ"), MIN(I8112, MAX(0, I8112 + SUM(SUMIFS($I$1:I8111, $C$1:C8111, C8112, $B$1:B8111, {"MAL ALIMI","ÜRETİM GİRİŞ"})) - VLOOKUP(C8112, 'STOK RAPORU'!$C$2:$I$1000, 4, 0))), 0)</f>
        <v>0</v>
      </c>
      <c r="U8112" s="22">
        <f t="shared" ref="U8112:U8175" si="508">T8112*J8112</f>
        <v>0</v>
      </c>
      <c r="V8112">
        <f t="shared" ref="V8112:V8175" si="509">IF(OR(B8112="MAL ALIMI", B8112="ÜRETİM GİRİŞ"), I8112 * J8112, 0)</f>
        <v>0</v>
      </c>
      <c r="W8112" s="22">
        <f t="shared" ref="W8112:W8175" si="510">V8112-U8112</f>
        <v>0</v>
      </c>
    </row>
    <row r="8113" spans="1:23" hidden="1" x14ac:dyDescent="0.25">
      <c r="A8113" s="3">
        <v>46210</v>
      </c>
      <c r="B8113" s="46" t="s">
        <v>334</v>
      </c>
      <c r="C8113" s="4" t="s">
        <v>516</v>
      </c>
      <c r="D8113" s="4"/>
      <c r="E8113" s="4" t="s">
        <v>921</v>
      </c>
      <c r="F8113" s="4" t="s">
        <v>3854</v>
      </c>
      <c r="G8113" s="4" t="s">
        <v>336</v>
      </c>
      <c r="H8113" s="4" t="s">
        <v>380</v>
      </c>
      <c r="I8113" s="4">
        <v>1</v>
      </c>
      <c r="J8113" s="21">
        <v>120</v>
      </c>
      <c r="K8113" s="21">
        <v>120</v>
      </c>
      <c r="L8113" s="5">
        <v>0</v>
      </c>
      <c r="M8113" s="4"/>
      <c r="N8113" s="4"/>
      <c r="O8113" s="5"/>
      <c r="P8113" s="5"/>
      <c r="Q8113" s="21">
        <v>0</v>
      </c>
      <c r="R8113" s="21">
        <v>0</v>
      </c>
      <c r="S8113" s="5">
        <f t="shared" si="507"/>
        <v>56661.854446636709</v>
      </c>
      <c r="T8113" cm="1">
        <f t="array" ref="T8113">IF(OR(B8113="MAL ALIMI", B8113="ÜRETİM GİRİŞ"), MIN(I8113, MAX(0, I8113 + SUM(SUMIFS($I$1:I8112, $C$1:C8112, C8113, $B$1:B8112, {"MAL ALIMI","ÜRETİM GİRİŞ"})) - VLOOKUP(C8113, 'STOK RAPORU'!$C$2:$I$1000, 4, 0))), 0)</f>
        <v>0</v>
      </c>
      <c r="U8113" s="22">
        <f t="shared" si="508"/>
        <v>0</v>
      </c>
      <c r="V8113">
        <f t="shared" si="509"/>
        <v>0</v>
      </c>
      <c r="W8113" s="22">
        <f t="shared" si="510"/>
        <v>0</v>
      </c>
    </row>
    <row r="8114" spans="1:23" hidden="1" x14ac:dyDescent="0.25">
      <c r="A8114" s="3">
        <v>46210</v>
      </c>
      <c r="B8114" s="46" t="s">
        <v>334</v>
      </c>
      <c r="C8114" s="4" t="s">
        <v>833</v>
      </c>
      <c r="D8114" s="4"/>
      <c r="E8114" s="4" t="s">
        <v>921</v>
      </c>
      <c r="F8114" s="4" t="s">
        <v>3854</v>
      </c>
      <c r="G8114" s="4" t="s">
        <v>336</v>
      </c>
      <c r="H8114" s="4" t="s">
        <v>380</v>
      </c>
      <c r="I8114" s="4">
        <v>1</v>
      </c>
      <c r="J8114" s="21">
        <v>175</v>
      </c>
      <c r="K8114" s="21">
        <v>175</v>
      </c>
      <c r="L8114" s="5">
        <v>0</v>
      </c>
      <c r="M8114" s="4"/>
      <c r="N8114" s="4"/>
      <c r="O8114" s="5"/>
      <c r="P8114" s="5"/>
      <c r="Q8114" s="21">
        <v>0</v>
      </c>
      <c r="R8114" s="21">
        <v>0</v>
      </c>
      <c r="S8114" s="5">
        <f t="shared" si="507"/>
        <v>56661.854446636709</v>
      </c>
      <c r="T8114" cm="1">
        <f t="array" ref="T8114">IF(OR(B8114="MAL ALIMI", B8114="ÜRETİM GİRİŞ"), MIN(I8114, MAX(0, I8114 + SUM(SUMIFS($I$1:I8113, $C$1:C8113, C8114, $B$1:B8113, {"MAL ALIMI","ÜRETİM GİRİŞ"})) - VLOOKUP(C8114, 'STOK RAPORU'!$C$2:$I$1000, 4, 0))), 0)</f>
        <v>0</v>
      </c>
      <c r="U8114" s="22">
        <f t="shared" si="508"/>
        <v>0</v>
      </c>
      <c r="V8114">
        <f t="shared" si="509"/>
        <v>0</v>
      </c>
      <c r="W8114" s="22">
        <f t="shared" si="510"/>
        <v>0</v>
      </c>
    </row>
    <row r="8115" spans="1:23" hidden="1" x14ac:dyDescent="0.25">
      <c r="A8115" s="3">
        <v>46210</v>
      </c>
      <c r="B8115" s="46" t="s">
        <v>334</v>
      </c>
      <c r="C8115" s="4" t="s">
        <v>826</v>
      </c>
      <c r="D8115" s="4"/>
      <c r="E8115" s="4" t="s">
        <v>921</v>
      </c>
      <c r="F8115" s="4" t="s">
        <v>3854</v>
      </c>
      <c r="G8115" s="4" t="s">
        <v>336</v>
      </c>
      <c r="H8115" s="4" t="s">
        <v>380</v>
      </c>
      <c r="I8115" s="4">
        <v>1</v>
      </c>
      <c r="J8115" s="21">
        <v>130</v>
      </c>
      <c r="K8115" s="21">
        <v>130</v>
      </c>
      <c r="L8115" s="5">
        <v>0</v>
      </c>
      <c r="M8115" s="4"/>
      <c r="N8115" s="4"/>
      <c r="O8115" s="5"/>
      <c r="P8115" s="5"/>
      <c r="Q8115" s="21">
        <v>0</v>
      </c>
      <c r="R8115" s="21">
        <v>0</v>
      </c>
      <c r="S8115" s="5">
        <f t="shared" si="507"/>
        <v>56661.854446636709</v>
      </c>
      <c r="T8115" cm="1">
        <f t="array" ref="T8115">IF(OR(B8115="MAL ALIMI", B8115="ÜRETİM GİRİŞ"), MIN(I8115, MAX(0, I8115 + SUM(SUMIFS($I$1:I8114, $C$1:C8114, C8115, $B$1:B8114, {"MAL ALIMI","ÜRETİM GİRİŞ"})) - VLOOKUP(C8115, 'STOK RAPORU'!$C$2:$I$1000, 4, 0))), 0)</f>
        <v>0</v>
      </c>
      <c r="U8115" s="22">
        <f t="shared" si="508"/>
        <v>0</v>
      </c>
      <c r="V8115">
        <f t="shared" si="509"/>
        <v>0</v>
      </c>
      <c r="W8115" s="22">
        <f t="shared" si="510"/>
        <v>0</v>
      </c>
    </row>
    <row r="8116" spans="1:23" hidden="1" x14ac:dyDescent="0.25">
      <c r="A8116" s="3">
        <v>46210</v>
      </c>
      <c r="B8116" s="46" t="s">
        <v>334</v>
      </c>
      <c r="C8116" s="4" t="s">
        <v>831</v>
      </c>
      <c r="D8116" s="4"/>
      <c r="E8116" s="4" t="s">
        <v>921</v>
      </c>
      <c r="F8116" s="4" t="s">
        <v>3854</v>
      </c>
      <c r="G8116" s="4" t="s">
        <v>336</v>
      </c>
      <c r="H8116" s="4" t="s">
        <v>380</v>
      </c>
      <c r="I8116" s="4">
        <v>1</v>
      </c>
      <c r="J8116" s="21">
        <v>145</v>
      </c>
      <c r="K8116" s="21">
        <v>145</v>
      </c>
      <c r="L8116" s="5">
        <v>0</v>
      </c>
      <c r="M8116" s="4"/>
      <c r="N8116" s="4"/>
      <c r="O8116" s="5"/>
      <c r="P8116" s="5"/>
      <c r="Q8116" s="21">
        <v>0</v>
      </c>
      <c r="R8116" s="21">
        <v>0</v>
      </c>
      <c r="S8116" s="5">
        <f t="shared" si="507"/>
        <v>56661.854446636709</v>
      </c>
      <c r="T8116" cm="1">
        <f t="array" ref="T8116">IF(OR(B8116="MAL ALIMI", B8116="ÜRETİM GİRİŞ"), MIN(I8116, MAX(0, I8116 + SUM(SUMIFS($I$1:I8115, $C$1:C8115, C8116, $B$1:B8115, {"MAL ALIMI","ÜRETİM GİRİŞ"})) - VLOOKUP(C8116, 'STOK RAPORU'!$C$2:$I$1000, 4, 0))), 0)</f>
        <v>0</v>
      </c>
      <c r="U8116" s="22">
        <f t="shared" si="508"/>
        <v>0</v>
      </c>
      <c r="V8116">
        <f t="shared" si="509"/>
        <v>0</v>
      </c>
      <c r="W8116" s="22">
        <f t="shared" si="510"/>
        <v>0</v>
      </c>
    </row>
    <row r="8117" spans="1:23" hidden="1" x14ac:dyDescent="0.25">
      <c r="A8117" s="3">
        <v>46210</v>
      </c>
      <c r="B8117" s="46" t="s">
        <v>334</v>
      </c>
      <c r="C8117" s="4" t="s">
        <v>96</v>
      </c>
      <c r="D8117" s="4"/>
      <c r="E8117" s="4" t="s">
        <v>921</v>
      </c>
      <c r="F8117" s="4" t="s">
        <v>3855</v>
      </c>
      <c r="G8117" s="4" t="s">
        <v>3629</v>
      </c>
      <c r="H8117" s="4" t="s">
        <v>380</v>
      </c>
      <c r="I8117" s="4">
        <v>0.42599999999999999</v>
      </c>
      <c r="J8117" s="21">
        <v>400</v>
      </c>
      <c r="K8117" s="21">
        <v>170.4</v>
      </c>
      <c r="L8117" s="5">
        <v>0</v>
      </c>
      <c r="M8117" s="4"/>
      <c r="N8117" s="4"/>
      <c r="O8117" s="5"/>
      <c r="P8117" s="5"/>
      <c r="Q8117" s="21">
        <v>0</v>
      </c>
      <c r="R8117" s="21">
        <v>0</v>
      </c>
      <c r="S8117" s="5">
        <f t="shared" si="507"/>
        <v>56661.854446636709</v>
      </c>
      <c r="T8117" cm="1">
        <f t="array" ref="T8117">IF(OR(B8117="MAL ALIMI", B8117="ÜRETİM GİRİŞ"), MIN(I8117, MAX(0, I8117 + SUM(SUMIFS($I$1:I8116, $C$1:C8116, C8117, $B$1:B8116, {"MAL ALIMI","ÜRETİM GİRİŞ"})) - VLOOKUP(C8117, 'STOK RAPORU'!$C$2:$I$1000, 4, 0))), 0)</f>
        <v>0</v>
      </c>
      <c r="U8117" s="22">
        <f t="shared" si="508"/>
        <v>0</v>
      </c>
      <c r="V8117">
        <f t="shared" si="509"/>
        <v>0</v>
      </c>
      <c r="W8117" s="22">
        <f t="shared" si="510"/>
        <v>0</v>
      </c>
    </row>
    <row r="8118" spans="1:23" hidden="1" x14ac:dyDescent="0.25">
      <c r="A8118" s="3">
        <v>46210</v>
      </c>
      <c r="B8118" s="46" t="s">
        <v>334</v>
      </c>
      <c r="C8118" s="4" t="s">
        <v>463</v>
      </c>
      <c r="D8118" s="4"/>
      <c r="E8118" s="4" t="s">
        <v>921</v>
      </c>
      <c r="F8118" s="4" t="s">
        <v>3855</v>
      </c>
      <c r="G8118" s="4" t="s">
        <v>3629</v>
      </c>
      <c r="H8118" s="4" t="s">
        <v>380</v>
      </c>
      <c r="I8118" s="4">
        <v>0.47199999999999998</v>
      </c>
      <c r="J8118" s="21">
        <v>400</v>
      </c>
      <c r="K8118" s="21">
        <v>188.79999999999998</v>
      </c>
      <c r="L8118" s="5">
        <v>0</v>
      </c>
      <c r="M8118" s="4"/>
      <c r="N8118" s="4"/>
      <c r="O8118" s="5"/>
      <c r="P8118" s="5"/>
      <c r="Q8118" s="21">
        <v>0</v>
      </c>
      <c r="R8118" s="21">
        <v>0</v>
      </c>
      <c r="S8118" s="5">
        <f t="shared" si="507"/>
        <v>56661.854446636709</v>
      </c>
      <c r="T8118" cm="1">
        <f t="array" ref="T8118">IF(OR(B8118="MAL ALIMI", B8118="ÜRETİM GİRİŞ"), MIN(I8118, MAX(0, I8118 + SUM(SUMIFS($I$1:I8117, $C$1:C8117, C8118, $B$1:B8117, {"MAL ALIMI","ÜRETİM GİRİŞ"})) - VLOOKUP(C8118, 'STOK RAPORU'!$C$2:$I$1000, 4, 0))), 0)</f>
        <v>0</v>
      </c>
      <c r="U8118" s="22">
        <f t="shared" si="508"/>
        <v>0</v>
      </c>
      <c r="V8118">
        <f t="shared" si="509"/>
        <v>0</v>
      </c>
      <c r="W8118" s="22">
        <f t="shared" si="510"/>
        <v>0</v>
      </c>
    </row>
    <row r="8119" spans="1:23" hidden="1" x14ac:dyDescent="0.25">
      <c r="A8119" s="3">
        <v>46210</v>
      </c>
      <c r="B8119" s="46" t="s">
        <v>334</v>
      </c>
      <c r="C8119" s="4" t="s">
        <v>92</v>
      </c>
      <c r="D8119" s="4"/>
      <c r="E8119" s="4" t="s">
        <v>921</v>
      </c>
      <c r="F8119" s="4" t="s">
        <v>3855</v>
      </c>
      <c r="G8119" s="4" t="s">
        <v>3629</v>
      </c>
      <c r="H8119" s="4" t="s">
        <v>380</v>
      </c>
      <c r="I8119" s="4">
        <v>0.27800000000000002</v>
      </c>
      <c r="J8119" s="21">
        <v>500</v>
      </c>
      <c r="K8119" s="21">
        <v>139</v>
      </c>
      <c r="L8119" s="5">
        <v>0</v>
      </c>
      <c r="M8119" s="4"/>
      <c r="N8119" s="4"/>
      <c r="O8119" s="5"/>
      <c r="P8119" s="5"/>
      <c r="Q8119" s="21">
        <v>0</v>
      </c>
      <c r="R8119" s="21">
        <v>0</v>
      </c>
      <c r="S8119" s="5">
        <f t="shared" si="507"/>
        <v>56661.854446636709</v>
      </c>
      <c r="T8119" cm="1">
        <f t="array" ref="T8119">IF(OR(B8119="MAL ALIMI", B8119="ÜRETİM GİRİŞ"), MIN(I8119, MAX(0, I8119 + SUM(SUMIFS($I$1:I8118, $C$1:C8118, C8119, $B$1:B8118, {"MAL ALIMI","ÜRETİM GİRİŞ"})) - VLOOKUP(C8119, 'STOK RAPORU'!$C$2:$I$1000, 4, 0))), 0)</f>
        <v>0</v>
      </c>
      <c r="U8119" s="22">
        <f t="shared" si="508"/>
        <v>0</v>
      </c>
      <c r="V8119">
        <f t="shared" si="509"/>
        <v>0</v>
      </c>
      <c r="W8119" s="22">
        <f t="shared" si="510"/>
        <v>0</v>
      </c>
    </row>
    <row r="8120" spans="1:23" hidden="1" x14ac:dyDescent="0.25">
      <c r="A8120" s="3">
        <v>46210</v>
      </c>
      <c r="B8120" s="46" t="s">
        <v>334</v>
      </c>
      <c r="C8120" s="4" t="s">
        <v>129</v>
      </c>
      <c r="D8120" s="4"/>
      <c r="E8120" s="4" t="s">
        <v>921</v>
      </c>
      <c r="F8120" s="4" t="s">
        <v>3855</v>
      </c>
      <c r="G8120" s="4" t="s">
        <v>3629</v>
      </c>
      <c r="H8120" s="4" t="s">
        <v>380</v>
      </c>
      <c r="I8120" s="4">
        <v>0.252</v>
      </c>
      <c r="J8120" s="21">
        <v>400</v>
      </c>
      <c r="K8120" s="21">
        <v>100.8</v>
      </c>
      <c r="L8120" s="5">
        <v>0</v>
      </c>
      <c r="M8120" s="4"/>
      <c r="N8120" s="4"/>
      <c r="O8120" s="5"/>
      <c r="P8120" s="5"/>
      <c r="Q8120" s="21">
        <v>0</v>
      </c>
      <c r="R8120" s="21">
        <v>0</v>
      </c>
      <c r="S8120" s="5">
        <f t="shared" si="507"/>
        <v>56661.854446636709</v>
      </c>
      <c r="T8120" cm="1">
        <f t="array" ref="T8120">IF(OR(B8120="MAL ALIMI", B8120="ÜRETİM GİRİŞ"), MIN(I8120, MAX(0, I8120 + SUM(SUMIFS($I$1:I8119, $C$1:C8119, C8120, $B$1:B8119, {"MAL ALIMI","ÜRETİM GİRİŞ"})) - VLOOKUP(C8120, 'STOK RAPORU'!$C$2:$I$1000, 4, 0))), 0)</f>
        <v>0</v>
      </c>
      <c r="U8120" s="22">
        <f t="shared" si="508"/>
        <v>0</v>
      </c>
      <c r="V8120">
        <f t="shared" si="509"/>
        <v>0</v>
      </c>
      <c r="W8120" s="22">
        <f t="shared" si="510"/>
        <v>0</v>
      </c>
    </row>
    <row r="8121" spans="1:23" hidden="1" x14ac:dyDescent="0.25">
      <c r="A8121" s="3">
        <v>46210</v>
      </c>
      <c r="B8121" s="46" t="s">
        <v>334</v>
      </c>
      <c r="C8121" s="4" t="s">
        <v>89</v>
      </c>
      <c r="D8121" s="4"/>
      <c r="E8121" s="4" t="s">
        <v>921</v>
      </c>
      <c r="F8121" s="4" t="s">
        <v>3855</v>
      </c>
      <c r="G8121" s="4" t="s">
        <v>336</v>
      </c>
      <c r="H8121" s="4" t="s">
        <v>380</v>
      </c>
      <c r="I8121" s="4">
        <v>0.1</v>
      </c>
      <c r="J8121" s="21">
        <v>750</v>
      </c>
      <c r="K8121" s="21">
        <v>75</v>
      </c>
      <c r="L8121" s="5">
        <v>0</v>
      </c>
      <c r="M8121" s="4"/>
      <c r="N8121" s="4"/>
      <c r="O8121" s="5"/>
      <c r="P8121" s="5"/>
      <c r="Q8121" s="21">
        <v>0</v>
      </c>
      <c r="R8121" s="21">
        <v>0</v>
      </c>
      <c r="S8121" s="5">
        <f t="shared" si="507"/>
        <v>56661.854446636709</v>
      </c>
      <c r="T8121" cm="1">
        <f t="array" ref="T8121">IF(OR(B8121="MAL ALIMI", B8121="ÜRETİM GİRİŞ"), MIN(I8121, MAX(0, I8121 + SUM(SUMIFS($I$1:I8120, $C$1:C8120, C8121, $B$1:B8120, {"MAL ALIMI","ÜRETİM GİRİŞ"})) - VLOOKUP(C8121, 'STOK RAPORU'!$C$2:$I$1000, 4, 0))), 0)</f>
        <v>0</v>
      </c>
      <c r="U8121" s="22">
        <f t="shared" si="508"/>
        <v>0</v>
      </c>
      <c r="V8121">
        <f t="shared" si="509"/>
        <v>0</v>
      </c>
      <c r="W8121" s="22">
        <f t="shared" si="510"/>
        <v>0</v>
      </c>
    </row>
    <row r="8122" spans="1:23" hidden="1" x14ac:dyDescent="0.25">
      <c r="A8122" s="3">
        <v>46210</v>
      </c>
      <c r="B8122" s="46" t="s">
        <v>334</v>
      </c>
      <c r="C8122" s="4" t="s">
        <v>192</v>
      </c>
      <c r="D8122" s="4"/>
      <c r="E8122" s="4" t="s">
        <v>921</v>
      </c>
      <c r="F8122" s="4" t="s">
        <v>3856</v>
      </c>
      <c r="G8122" s="4" t="s">
        <v>336</v>
      </c>
      <c r="H8122" s="4" t="s">
        <v>380</v>
      </c>
      <c r="I8122" s="4">
        <v>0.12</v>
      </c>
      <c r="J8122" s="21">
        <v>417</v>
      </c>
      <c r="K8122" s="21">
        <v>50.04</v>
      </c>
      <c r="L8122" s="5">
        <v>0</v>
      </c>
      <c r="M8122" s="4"/>
      <c r="N8122" s="4"/>
      <c r="O8122" s="5"/>
      <c r="P8122" s="5"/>
      <c r="Q8122" s="21">
        <v>0</v>
      </c>
      <c r="R8122" s="21">
        <v>0</v>
      </c>
      <c r="S8122" s="5">
        <f t="shared" si="507"/>
        <v>56661.854446636709</v>
      </c>
      <c r="T8122" cm="1">
        <f t="array" ref="T8122">IF(OR(B8122="MAL ALIMI", B8122="ÜRETİM GİRİŞ"), MIN(I8122, MAX(0, I8122 + SUM(SUMIFS($I$1:I8121, $C$1:C8121, C8122, $B$1:B8121, {"MAL ALIMI","ÜRETİM GİRİŞ"})) - VLOOKUP(C8122, 'STOK RAPORU'!$C$2:$I$1000, 4, 0))), 0)</f>
        <v>0</v>
      </c>
      <c r="U8122" s="22">
        <f t="shared" si="508"/>
        <v>0</v>
      </c>
      <c r="V8122">
        <f t="shared" si="509"/>
        <v>0</v>
      </c>
      <c r="W8122" s="22">
        <f t="shared" si="510"/>
        <v>0</v>
      </c>
    </row>
    <row r="8123" spans="1:23" hidden="1" x14ac:dyDescent="0.25">
      <c r="A8123" s="3">
        <v>46210</v>
      </c>
      <c r="B8123" s="46" t="s">
        <v>334</v>
      </c>
      <c r="C8123" s="4" t="s">
        <v>3889</v>
      </c>
      <c r="D8123" s="4"/>
      <c r="E8123" s="4"/>
      <c r="F8123" s="4" t="s">
        <v>3857</v>
      </c>
      <c r="G8123" s="4" t="s">
        <v>336</v>
      </c>
      <c r="H8123" s="4" t="s">
        <v>289</v>
      </c>
      <c r="I8123" s="4">
        <v>1</v>
      </c>
      <c r="J8123" s="21">
        <v>600</v>
      </c>
      <c r="K8123" s="21">
        <v>0</v>
      </c>
      <c r="L8123" s="5">
        <v>0</v>
      </c>
      <c r="M8123" s="4"/>
      <c r="N8123" s="4"/>
      <c r="O8123" s="5"/>
      <c r="P8123" s="5"/>
      <c r="Q8123" s="21">
        <v>600</v>
      </c>
      <c r="R8123" s="21">
        <v>0</v>
      </c>
      <c r="S8123" s="5">
        <f t="shared" si="507"/>
        <v>57261.854446636709</v>
      </c>
      <c r="T8123" cm="1">
        <f t="array" ref="T8123">IF(OR(B8123="MAL ALIMI", B8123="ÜRETİM GİRİŞ"), MIN(I8123, MAX(0, I8123 + SUM(SUMIFS($I$1:I8122, $C$1:C8122, C8123, $B$1:B8122, {"MAL ALIMI","ÜRETİM GİRİŞ"})) - VLOOKUP(C8123, 'STOK RAPORU'!$C$2:$I$1000, 4, 0))), 0)</f>
        <v>0</v>
      </c>
      <c r="U8123" s="22">
        <f t="shared" si="508"/>
        <v>0</v>
      </c>
      <c r="V8123">
        <f t="shared" si="509"/>
        <v>0</v>
      </c>
      <c r="W8123" s="22">
        <f t="shared" si="510"/>
        <v>0</v>
      </c>
    </row>
    <row r="8124" spans="1:23" hidden="1" x14ac:dyDescent="0.25">
      <c r="A8124" s="3">
        <v>46210</v>
      </c>
      <c r="B8124" s="46" t="s">
        <v>334</v>
      </c>
      <c r="C8124" s="4" t="s">
        <v>516</v>
      </c>
      <c r="D8124" s="4"/>
      <c r="E8124" s="4"/>
      <c r="F8124" s="4" t="s">
        <v>3857</v>
      </c>
      <c r="G8124" s="4" t="s">
        <v>336</v>
      </c>
      <c r="H8124" s="4" t="s">
        <v>289</v>
      </c>
      <c r="I8124" s="4">
        <v>1</v>
      </c>
      <c r="J8124" s="21">
        <v>100</v>
      </c>
      <c r="K8124" s="21">
        <v>0</v>
      </c>
      <c r="L8124" s="5">
        <v>0</v>
      </c>
      <c r="M8124" s="4"/>
      <c r="N8124" s="4"/>
      <c r="O8124" s="5"/>
      <c r="P8124" s="5"/>
      <c r="Q8124" s="21">
        <v>100</v>
      </c>
      <c r="R8124" s="21">
        <v>0</v>
      </c>
      <c r="S8124" s="5">
        <f t="shared" si="507"/>
        <v>57361.854446636709</v>
      </c>
      <c r="T8124" cm="1">
        <f t="array" ref="T8124">IF(OR(B8124="MAL ALIMI", B8124="ÜRETİM GİRİŞ"), MIN(I8124, MAX(0, I8124 + SUM(SUMIFS($I$1:I8123, $C$1:C8123, C8124, $B$1:B8123, {"MAL ALIMI","ÜRETİM GİRİŞ"})) - VLOOKUP(C8124, 'STOK RAPORU'!$C$2:$I$1000, 4, 0))), 0)</f>
        <v>0</v>
      </c>
      <c r="U8124" s="22">
        <f t="shared" si="508"/>
        <v>0</v>
      </c>
      <c r="V8124">
        <f t="shared" si="509"/>
        <v>0</v>
      </c>
      <c r="W8124" s="22">
        <f t="shared" si="510"/>
        <v>0</v>
      </c>
    </row>
    <row r="8125" spans="1:23" hidden="1" x14ac:dyDescent="0.25">
      <c r="A8125" s="3">
        <v>46210</v>
      </c>
      <c r="B8125" s="46" t="s">
        <v>334</v>
      </c>
      <c r="C8125" s="4" t="s">
        <v>1024</v>
      </c>
      <c r="D8125" s="4"/>
      <c r="E8125" s="4"/>
      <c r="F8125" s="4" t="s">
        <v>3858</v>
      </c>
      <c r="G8125" s="4" t="s">
        <v>336</v>
      </c>
      <c r="H8125" s="4" t="s">
        <v>289</v>
      </c>
      <c r="I8125" s="4">
        <v>0.61538461538461542</v>
      </c>
      <c r="J8125" s="21">
        <v>65</v>
      </c>
      <c r="K8125" s="21">
        <v>0</v>
      </c>
      <c r="L8125" s="5">
        <v>0</v>
      </c>
      <c r="M8125" s="4"/>
      <c r="N8125" s="4"/>
      <c r="O8125" s="5"/>
      <c r="P8125" s="5"/>
      <c r="Q8125" s="21">
        <v>40</v>
      </c>
      <c r="R8125" s="21">
        <v>0</v>
      </c>
      <c r="S8125" s="5">
        <f t="shared" si="507"/>
        <v>57401.854446636709</v>
      </c>
      <c r="T8125" cm="1">
        <f t="array" ref="T8125">IF(OR(B8125="MAL ALIMI", B8125="ÜRETİM GİRİŞ"), MIN(I8125, MAX(0, I8125 + SUM(SUMIFS($I$1:I8124, $C$1:C8124, C8125, $B$1:B8124, {"MAL ALIMI","ÜRETİM GİRİŞ"})) - VLOOKUP(C8125, 'STOK RAPORU'!$C$2:$I$1000, 4, 0))), 0)</f>
        <v>0</v>
      </c>
      <c r="U8125" s="22">
        <f t="shared" si="508"/>
        <v>0</v>
      </c>
      <c r="V8125">
        <f t="shared" si="509"/>
        <v>0</v>
      </c>
      <c r="W8125" s="22">
        <f t="shared" si="510"/>
        <v>0</v>
      </c>
    </row>
    <row r="8126" spans="1:23" hidden="1" x14ac:dyDescent="0.25">
      <c r="A8126" s="3">
        <v>46210</v>
      </c>
      <c r="B8126" s="46" t="s">
        <v>334</v>
      </c>
      <c r="C8126" s="4" t="s">
        <v>160</v>
      </c>
      <c r="D8126" s="4"/>
      <c r="E8126" s="4"/>
      <c r="F8126" s="4" t="s">
        <v>3859</v>
      </c>
      <c r="G8126" s="4" t="s">
        <v>336</v>
      </c>
      <c r="H8126" s="4" t="s">
        <v>289</v>
      </c>
      <c r="I8126" s="4">
        <v>0.5</v>
      </c>
      <c r="J8126" s="21">
        <v>270</v>
      </c>
      <c r="K8126" s="21">
        <v>0</v>
      </c>
      <c r="L8126" s="5">
        <v>0</v>
      </c>
      <c r="M8126" s="4"/>
      <c r="N8126" s="4"/>
      <c r="O8126" s="5"/>
      <c r="P8126" s="5"/>
      <c r="Q8126" s="21">
        <v>135</v>
      </c>
      <c r="R8126" s="21">
        <v>0</v>
      </c>
      <c r="S8126" s="5">
        <f t="shared" si="507"/>
        <v>57536.854446636709</v>
      </c>
      <c r="T8126" cm="1">
        <f t="array" ref="T8126">IF(OR(B8126="MAL ALIMI", B8126="ÜRETİM GİRİŞ"), MIN(I8126, MAX(0, I8126 + SUM(SUMIFS($I$1:I8125, $C$1:C8125, C8126, $B$1:B8125, {"MAL ALIMI","ÜRETİM GİRİŞ"})) - VLOOKUP(C8126, 'STOK RAPORU'!$C$2:$I$1000, 4, 0))), 0)</f>
        <v>0</v>
      </c>
      <c r="U8126" s="22">
        <f t="shared" si="508"/>
        <v>0</v>
      </c>
      <c r="V8126">
        <f t="shared" si="509"/>
        <v>0</v>
      </c>
      <c r="W8126" s="22">
        <f t="shared" si="510"/>
        <v>0</v>
      </c>
    </row>
    <row r="8127" spans="1:23" hidden="1" x14ac:dyDescent="0.25">
      <c r="A8127" s="3">
        <v>46210</v>
      </c>
      <c r="B8127" s="46" t="s">
        <v>334</v>
      </c>
      <c r="C8127" s="4" t="s">
        <v>238</v>
      </c>
      <c r="D8127" s="4"/>
      <c r="E8127" s="4"/>
      <c r="F8127" s="4" t="s">
        <v>3859</v>
      </c>
      <c r="G8127" s="4" t="s">
        <v>336</v>
      </c>
      <c r="H8127" s="4" t="s">
        <v>289</v>
      </c>
      <c r="I8127" s="4">
        <v>0.1</v>
      </c>
      <c r="J8127" s="21">
        <v>1000</v>
      </c>
      <c r="K8127" s="21">
        <v>0</v>
      </c>
      <c r="L8127" s="5">
        <v>0</v>
      </c>
      <c r="M8127" s="4"/>
      <c r="N8127" s="4"/>
      <c r="O8127" s="5"/>
      <c r="P8127" s="5"/>
      <c r="Q8127" s="21">
        <v>100</v>
      </c>
      <c r="R8127" s="21">
        <v>0</v>
      </c>
      <c r="S8127" s="5">
        <f t="shared" si="507"/>
        <v>57636.854446636709</v>
      </c>
      <c r="T8127" cm="1">
        <f t="array" ref="T8127">IF(OR(B8127="MAL ALIMI", B8127="ÜRETİM GİRİŞ"), MIN(I8127, MAX(0, I8127 + SUM(SUMIFS($I$1:I8126, $C$1:C8126, C8127, $B$1:B8126, {"MAL ALIMI","ÜRETİM GİRİŞ"})) - VLOOKUP(C8127, 'STOK RAPORU'!$C$2:$I$1000, 4, 0))), 0)</f>
        <v>0</v>
      </c>
      <c r="U8127" s="22">
        <f t="shared" si="508"/>
        <v>0</v>
      </c>
      <c r="V8127">
        <f t="shared" si="509"/>
        <v>0</v>
      </c>
      <c r="W8127" s="22">
        <f t="shared" si="510"/>
        <v>0</v>
      </c>
    </row>
    <row r="8128" spans="1:23" hidden="1" x14ac:dyDescent="0.25">
      <c r="A8128" s="3">
        <v>46211</v>
      </c>
      <c r="B8128" s="46" t="s">
        <v>334</v>
      </c>
      <c r="C8128" s="4" t="s">
        <v>126</v>
      </c>
      <c r="D8128" s="4"/>
      <c r="E8128" s="4" t="s">
        <v>921</v>
      </c>
      <c r="F8128" s="4" t="s">
        <v>3860</v>
      </c>
      <c r="G8128" s="4" t="s">
        <v>336</v>
      </c>
      <c r="H8128" s="4" t="s">
        <v>380</v>
      </c>
      <c r="I8128" s="4">
        <v>0.15384615384615385</v>
      </c>
      <c r="J8128" s="21">
        <v>650</v>
      </c>
      <c r="K8128" s="21">
        <v>100</v>
      </c>
      <c r="L8128" s="5">
        <v>0</v>
      </c>
      <c r="M8128" s="4"/>
      <c r="N8128" s="4"/>
      <c r="O8128" s="5"/>
      <c r="P8128" s="5"/>
      <c r="Q8128" s="21">
        <v>0</v>
      </c>
      <c r="R8128" s="21">
        <v>0</v>
      </c>
      <c r="S8128" s="5">
        <f t="shared" si="507"/>
        <v>57636.854446636709</v>
      </c>
      <c r="T8128" cm="1">
        <f t="array" ref="T8128">IF(OR(B8128="MAL ALIMI", B8128="ÜRETİM GİRİŞ"), MIN(I8128, MAX(0, I8128 + SUM(SUMIFS($I$1:I8127, $C$1:C8127, C8128, $B$1:B8127, {"MAL ALIMI","ÜRETİM GİRİŞ"})) - VLOOKUP(C8128, 'STOK RAPORU'!$C$2:$I$1000, 4, 0))), 0)</f>
        <v>0</v>
      </c>
      <c r="U8128" s="22">
        <f t="shared" si="508"/>
        <v>0</v>
      </c>
      <c r="V8128">
        <f t="shared" si="509"/>
        <v>0</v>
      </c>
      <c r="W8128" s="22">
        <f t="shared" si="510"/>
        <v>0</v>
      </c>
    </row>
    <row r="8129" spans="1:23" hidden="1" x14ac:dyDescent="0.25">
      <c r="A8129" s="3">
        <v>46211</v>
      </c>
      <c r="B8129" s="46" t="s">
        <v>334</v>
      </c>
      <c r="C8129" s="4" t="s">
        <v>158</v>
      </c>
      <c r="D8129" s="4"/>
      <c r="E8129" s="4" t="s">
        <v>921</v>
      </c>
      <c r="F8129" s="4" t="s">
        <v>3860</v>
      </c>
      <c r="G8129" s="4" t="s">
        <v>336</v>
      </c>
      <c r="H8129" s="4" t="s">
        <v>380</v>
      </c>
      <c r="I8129" s="4">
        <v>1</v>
      </c>
      <c r="J8129" s="21">
        <v>150</v>
      </c>
      <c r="K8129" s="21">
        <v>150</v>
      </c>
      <c r="L8129" s="5">
        <v>0</v>
      </c>
      <c r="M8129" s="4"/>
      <c r="N8129" s="4"/>
      <c r="O8129" s="5"/>
      <c r="P8129" s="5"/>
      <c r="Q8129" s="21">
        <v>0</v>
      </c>
      <c r="R8129" s="21">
        <v>0</v>
      </c>
      <c r="S8129" s="5">
        <f t="shared" si="507"/>
        <v>57636.854446636709</v>
      </c>
      <c r="T8129" cm="1">
        <f t="array" ref="T8129">IF(OR(B8129="MAL ALIMI", B8129="ÜRETİM GİRİŞ"), MIN(I8129, MAX(0, I8129 + SUM(SUMIFS($I$1:I8128, $C$1:C8128, C8129, $B$1:B8128, {"MAL ALIMI","ÜRETİM GİRİŞ"})) - VLOOKUP(C8129, 'STOK RAPORU'!$C$2:$I$1000, 4, 0))), 0)</f>
        <v>0</v>
      </c>
      <c r="U8129" s="22">
        <f t="shared" si="508"/>
        <v>0</v>
      </c>
      <c r="V8129">
        <f t="shared" si="509"/>
        <v>0</v>
      </c>
      <c r="W8129" s="22">
        <f t="shared" si="510"/>
        <v>0</v>
      </c>
    </row>
    <row r="8130" spans="1:23" hidden="1" x14ac:dyDescent="0.25">
      <c r="A8130" s="3">
        <v>46211</v>
      </c>
      <c r="B8130" s="46" t="s">
        <v>334</v>
      </c>
      <c r="C8130" s="4" t="s">
        <v>679</v>
      </c>
      <c r="D8130" s="4"/>
      <c r="E8130" s="4" t="s">
        <v>921</v>
      </c>
      <c r="F8130" s="4" t="s">
        <v>3860</v>
      </c>
      <c r="G8130" s="4" t="s">
        <v>336</v>
      </c>
      <c r="H8130" s="4" t="s">
        <v>380</v>
      </c>
      <c r="I8130" s="4">
        <v>0.25</v>
      </c>
      <c r="J8130" s="21">
        <v>400</v>
      </c>
      <c r="K8130" s="21">
        <v>100</v>
      </c>
      <c r="L8130" s="5">
        <v>0</v>
      </c>
      <c r="M8130" s="4"/>
      <c r="N8130" s="4"/>
      <c r="O8130" s="5"/>
      <c r="P8130" s="5"/>
      <c r="Q8130" s="21">
        <v>0</v>
      </c>
      <c r="R8130" s="21">
        <v>0</v>
      </c>
      <c r="S8130" s="5">
        <f t="shared" si="507"/>
        <v>57636.854446636709</v>
      </c>
      <c r="T8130" cm="1">
        <f t="array" ref="T8130">IF(OR(B8130="MAL ALIMI", B8130="ÜRETİM GİRİŞ"), MIN(I8130, MAX(0, I8130 + SUM(SUMIFS($I$1:I8129, $C$1:C8129, C8130, $B$1:B8129, {"MAL ALIMI","ÜRETİM GİRİŞ"})) - VLOOKUP(C8130, 'STOK RAPORU'!$C$2:$I$1000, 4, 0))), 0)</f>
        <v>0</v>
      </c>
      <c r="U8130" s="22">
        <f t="shared" si="508"/>
        <v>0</v>
      </c>
      <c r="V8130">
        <f t="shared" si="509"/>
        <v>0</v>
      </c>
      <c r="W8130" s="22">
        <f t="shared" si="510"/>
        <v>0</v>
      </c>
    </row>
    <row r="8131" spans="1:23" hidden="1" x14ac:dyDescent="0.25">
      <c r="A8131" s="3">
        <v>46211</v>
      </c>
      <c r="B8131" s="46" t="s">
        <v>334</v>
      </c>
      <c r="C8131" s="4" t="s">
        <v>1368</v>
      </c>
      <c r="D8131" s="4"/>
      <c r="E8131" s="4" t="s">
        <v>921</v>
      </c>
      <c r="F8131" s="4" t="s">
        <v>3860</v>
      </c>
      <c r="G8131" s="4" t="s">
        <v>336</v>
      </c>
      <c r="H8131" s="4" t="s">
        <v>380</v>
      </c>
      <c r="I8131" s="4">
        <v>1</v>
      </c>
      <c r="J8131" s="21">
        <v>180</v>
      </c>
      <c r="K8131" s="21">
        <v>180</v>
      </c>
      <c r="L8131" s="5">
        <v>0</v>
      </c>
      <c r="M8131" s="4"/>
      <c r="N8131" s="4"/>
      <c r="O8131" s="5"/>
      <c r="P8131" s="5"/>
      <c r="Q8131" s="21">
        <v>0</v>
      </c>
      <c r="R8131" s="21">
        <v>0</v>
      </c>
      <c r="S8131" s="5">
        <f t="shared" si="507"/>
        <v>57636.854446636709</v>
      </c>
      <c r="T8131" cm="1">
        <f t="array" ref="T8131">IF(OR(B8131="MAL ALIMI", B8131="ÜRETİM GİRİŞ"), MIN(I8131, MAX(0, I8131 + SUM(SUMIFS($I$1:I8130, $C$1:C8130, C8131, $B$1:B8130, {"MAL ALIMI","ÜRETİM GİRİŞ"})) - VLOOKUP(C8131, 'STOK RAPORU'!$C$2:$I$1000, 4, 0))), 0)</f>
        <v>0</v>
      </c>
      <c r="U8131" s="22">
        <f t="shared" si="508"/>
        <v>0</v>
      </c>
      <c r="V8131">
        <f t="shared" si="509"/>
        <v>0</v>
      </c>
      <c r="W8131" s="22">
        <f t="shared" si="510"/>
        <v>0</v>
      </c>
    </row>
    <row r="8132" spans="1:23" hidden="1" x14ac:dyDescent="0.25">
      <c r="A8132" s="3">
        <v>46211</v>
      </c>
      <c r="B8132" s="46" t="s">
        <v>334</v>
      </c>
      <c r="C8132" s="4" t="s">
        <v>2565</v>
      </c>
      <c r="D8132" s="4"/>
      <c r="E8132" s="4" t="s">
        <v>921</v>
      </c>
      <c r="F8132" s="4" t="s">
        <v>3860</v>
      </c>
      <c r="G8132" s="4" t="s">
        <v>336</v>
      </c>
      <c r="H8132" s="4" t="s">
        <v>380</v>
      </c>
      <c r="I8132" s="4">
        <v>0.30307692307692308</v>
      </c>
      <c r="J8132" s="21">
        <v>650</v>
      </c>
      <c r="K8132" s="21">
        <v>197</v>
      </c>
      <c r="L8132" s="5">
        <v>0</v>
      </c>
      <c r="M8132" s="4"/>
      <c r="N8132" s="4"/>
      <c r="O8132" s="5"/>
      <c r="P8132" s="5"/>
      <c r="Q8132" s="21">
        <v>0</v>
      </c>
      <c r="R8132" s="21">
        <v>0</v>
      </c>
      <c r="S8132" s="5">
        <f t="shared" si="507"/>
        <v>57636.854446636709</v>
      </c>
      <c r="T8132" cm="1">
        <f t="array" ref="T8132">IF(OR(B8132="MAL ALIMI", B8132="ÜRETİM GİRİŞ"), MIN(I8132, MAX(0, I8132 + SUM(SUMIFS($I$1:I8131, $C$1:C8131, C8132, $B$1:B8131, {"MAL ALIMI","ÜRETİM GİRİŞ"})) - VLOOKUP(C8132, 'STOK RAPORU'!$C$2:$I$1000, 4, 0))), 0)</f>
        <v>0</v>
      </c>
      <c r="U8132" s="22">
        <f t="shared" si="508"/>
        <v>0</v>
      </c>
      <c r="V8132">
        <f t="shared" si="509"/>
        <v>0</v>
      </c>
      <c r="W8132" s="22">
        <f t="shared" si="510"/>
        <v>0</v>
      </c>
    </row>
    <row r="8133" spans="1:23" hidden="1" x14ac:dyDescent="0.25">
      <c r="A8133" s="3">
        <v>46211</v>
      </c>
      <c r="B8133" s="46" t="s">
        <v>334</v>
      </c>
      <c r="C8133" s="4" t="s">
        <v>3084</v>
      </c>
      <c r="D8133" s="4"/>
      <c r="E8133" s="4"/>
      <c r="F8133" s="4" t="s">
        <v>3861</v>
      </c>
      <c r="G8133" s="4" t="s">
        <v>336</v>
      </c>
      <c r="H8133" s="4" t="s">
        <v>289</v>
      </c>
      <c r="I8133" s="4">
        <v>0.1</v>
      </c>
      <c r="J8133" s="21">
        <v>500</v>
      </c>
      <c r="K8133" s="21">
        <v>0</v>
      </c>
      <c r="L8133" s="5">
        <v>0</v>
      </c>
      <c r="M8133" s="4"/>
      <c r="N8133" s="4"/>
      <c r="O8133" s="5"/>
      <c r="P8133" s="5"/>
      <c r="Q8133" s="21">
        <v>50</v>
      </c>
      <c r="R8133" s="21">
        <v>0</v>
      </c>
      <c r="S8133" s="5">
        <f t="shared" ref="S8133:S8196" si="511">S8132+Q8133-R8133</f>
        <v>57686.854446636709</v>
      </c>
      <c r="T8133" cm="1">
        <f t="array" ref="T8133">IF(OR(B8133="MAL ALIMI", B8133="ÜRETİM GİRİŞ"), MIN(I8133, MAX(0, I8133 + SUM(SUMIFS($I$1:I8132, $C$1:C8132, C8133, $B$1:B8132, {"MAL ALIMI","ÜRETİM GİRİŞ"})) - VLOOKUP(C8133, 'STOK RAPORU'!$C$2:$I$1000, 4, 0))), 0)</f>
        <v>0</v>
      </c>
      <c r="U8133" s="22">
        <f t="shared" si="508"/>
        <v>0</v>
      </c>
      <c r="V8133">
        <f t="shared" si="509"/>
        <v>0</v>
      </c>
      <c r="W8133" s="22">
        <f t="shared" si="510"/>
        <v>0</v>
      </c>
    </row>
    <row r="8134" spans="1:23" hidden="1" x14ac:dyDescent="0.25">
      <c r="A8134" s="3">
        <v>46211</v>
      </c>
      <c r="B8134" s="46" t="s">
        <v>334</v>
      </c>
      <c r="C8134" s="4" t="s">
        <v>3383</v>
      </c>
      <c r="D8134" s="4"/>
      <c r="E8134" s="4"/>
      <c r="F8134" s="4" t="s">
        <v>3861</v>
      </c>
      <c r="G8134" s="4" t="s">
        <v>336</v>
      </c>
      <c r="H8134" s="4" t="s">
        <v>289</v>
      </c>
      <c r="I8134" s="4">
        <v>0.7</v>
      </c>
      <c r="J8134" s="21">
        <v>60</v>
      </c>
      <c r="K8134" s="21">
        <v>0</v>
      </c>
      <c r="L8134" s="5">
        <v>0</v>
      </c>
      <c r="M8134" s="4"/>
      <c r="N8134" s="4"/>
      <c r="O8134" s="5"/>
      <c r="P8134" s="5"/>
      <c r="Q8134" s="21">
        <v>42</v>
      </c>
      <c r="R8134" s="21">
        <v>0</v>
      </c>
      <c r="S8134" s="5">
        <f t="shared" si="511"/>
        <v>57728.854446636709</v>
      </c>
      <c r="T8134" cm="1">
        <f t="array" ref="T8134">IF(OR(B8134="MAL ALIMI", B8134="ÜRETİM GİRİŞ"), MIN(I8134, MAX(0, I8134 + SUM(SUMIFS($I$1:I8133, $C$1:C8133, C8134, $B$1:B8133, {"MAL ALIMI","ÜRETİM GİRİŞ"})) - VLOOKUP(C8134, 'STOK RAPORU'!$C$2:$I$1000, 4, 0))), 0)</f>
        <v>0</v>
      </c>
      <c r="U8134" s="22">
        <f t="shared" si="508"/>
        <v>0</v>
      </c>
      <c r="V8134">
        <f t="shared" si="509"/>
        <v>0</v>
      </c>
      <c r="W8134" s="22">
        <f t="shared" si="510"/>
        <v>0</v>
      </c>
    </row>
    <row r="8135" spans="1:23" hidden="1" x14ac:dyDescent="0.25">
      <c r="A8135" s="3">
        <v>46211</v>
      </c>
      <c r="B8135" s="46" t="s">
        <v>334</v>
      </c>
      <c r="C8135" s="4" t="s">
        <v>1373</v>
      </c>
      <c r="D8135" s="4"/>
      <c r="E8135" s="4" t="s">
        <v>921</v>
      </c>
      <c r="F8135" s="4" t="s">
        <v>3862</v>
      </c>
      <c r="G8135" s="4" t="s">
        <v>336</v>
      </c>
      <c r="H8135" s="4" t="s">
        <v>380</v>
      </c>
      <c r="I8135" s="4">
        <v>1</v>
      </c>
      <c r="J8135" s="21">
        <v>220</v>
      </c>
      <c r="K8135" s="21">
        <v>220</v>
      </c>
      <c r="L8135" s="5">
        <v>0</v>
      </c>
      <c r="M8135" s="4"/>
      <c r="N8135" s="4"/>
      <c r="O8135" s="5"/>
      <c r="P8135" s="5"/>
      <c r="Q8135" s="21">
        <v>0</v>
      </c>
      <c r="R8135" s="21">
        <v>0</v>
      </c>
      <c r="S8135" s="5">
        <f t="shared" si="511"/>
        <v>57728.854446636709</v>
      </c>
      <c r="T8135" cm="1">
        <f t="array" ref="T8135">IF(OR(B8135="MAL ALIMI", B8135="ÜRETİM GİRİŞ"), MIN(I8135, MAX(0, I8135 + SUM(SUMIFS($I$1:I8134, $C$1:C8134, C8135, $B$1:B8134, {"MAL ALIMI","ÜRETİM GİRİŞ"})) - VLOOKUP(C8135, 'STOK RAPORU'!$C$2:$I$1000, 4, 0))), 0)</f>
        <v>0</v>
      </c>
      <c r="U8135" s="22">
        <f t="shared" si="508"/>
        <v>0</v>
      </c>
      <c r="V8135">
        <f t="shared" si="509"/>
        <v>0</v>
      </c>
      <c r="W8135" s="22">
        <f t="shared" si="510"/>
        <v>0</v>
      </c>
    </row>
    <row r="8136" spans="1:23" hidden="1" x14ac:dyDescent="0.25">
      <c r="A8136" s="3">
        <v>46211</v>
      </c>
      <c r="B8136" s="46" t="s">
        <v>334</v>
      </c>
      <c r="C8136" s="4" t="s">
        <v>679</v>
      </c>
      <c r="D8136" s="4"/>
      <c r="E8136" s="4" t="s">
        <v>921</v>
      </c>
      <c r="F8136" s="4" t="s">
        <v>3862</v>
      </c>
      <c r="G8136" s="4" t="s">
        <v>336</v>
      </c>
      <c r="H8136" s="4" t="s">
        <v>380</v>
      </c>
      <c r="I8136" s="4">
        <v>0.25</v>
      </c>
      <c r="J8136" s="21">
        <v>400</v>
      </c>
      <c r="K8136" s="21">
        <v>100</v>
      </c>
      <c r="L8136" s="5">
        <v>0</v>
      </c>
      <c r="M8136" s="4"/>
      <c r="N8136" s="4"/>
      <c r="O8136" s="5"/>
      <c r="P8136" s="5"/>
      <c r="Q8136" s="21">
        <v>0</v>
      </c>
      <c r="R8136" s="21">
        <v>0</v>
      </c>
      <c r="S8136" s="5">
        <f t="shared" si="511"/>
        <v>57728.854446636709</v>
      </c>
      <c r="T8136" cm="1">
        <f t="array" ref="T8136">IF(OR(B8136="MAL ALIMI", B8136="ÜRETİM GİRİŞ"), MIN(I8136, MAX(0, I8136 + SUM(SUMIFS($I$1:I8135, $C$1:C8135, C8136, $B$1:B8135, {"MAL ALIMI","ÜRETİM GİRİŞ"})) - VLOOKUP(C8136, 'STOK RAPORU'!$C$2:$I$1000, 4, 0))), 0)</f>
        <v>0</v>
      </c>
      <c r="U8136" s="22">
        <f t="shared" si="508"/>
        <v>0</v>
      </c>
      <c r="V8136">
        <f t="shared" si="509"/>
        <v>0</v>
      </c>
      <c r="W8136" s="22">
        <f t="shared" si="510"/>
        <v>0</v>
      </c>
    </row>
    <row r="8137" spans="1:23" hidden="1" x14ac:dyDescent="0.25">
      <c r="A8137" s="3">
        <v>46212</v>
      </c>
      <c r="B8137" s="46" t="s">
        <v>334</v>
      </c>
      <c r="C8137" s="4" t="s">
        <v>470</v>
      </c>
      <c r="D8137" s="4"/>
      <c r="E8137" s="4"/>
      <c r="F8137" s="4" t="s">
        <v>3863</v>
      </c>
      <c r="G8137" s="4" t="s">
        <v>336</v>
      </c>
      <c r="H8137" s="4" t="s">
        <v>289</v>
      </c>
      <c r="I8137" s="4">
        <v>1</v>
      </c>
      <c r="J8137" s="21">
        <v>60</v>
      </c>
      <c r="K8137" s="21">
        <v>0</v>
      </c>
      <c r="L8137" s="5">
        <v>0</v>
      </c>
      <c r="M8137" s="4"/>
      <c r="N8137" s="4"/>
      <c r="O8137" s="5"/>
      <c r="P8137" s="5"/>
      <c r="Q8137" s="21">
        <v>60</v>
      </c>
      <c r="R8137" s="21">
        <v>0</v>
      </c>
      <c r="S8137" s="5">
        <f t="shared" si="511"/>
        <v>57788.854446636709</v>
      </c>
      <c r="T8137" cm="1">
        <f t="array" ref="T8137">IF(OR(B8137="MAL ALIMI", B8137="ÜRETİM GİRİŞ"), MIN(I8137, MAX(0, I8137 + SUM(SUMIFS($I$1:I8136, $C$1:C8136, C8137, $B$1:B8136, {"MAL ALIMI","ÜRETİM GİRİŞ"})) - VLOOKUP(C8137, 'STOK RAPORU'!$C$2:$I$1000, 4, 0))), 0)</f>
        <v>0</v>
      </c>
      <c r="U8137" s="22">
        <f t="shared" si="508"/>
        <v>0</v>
      </c>
      <c r="V8137">
        <f t="shared" si="509"/>
        <v>0</v>
      </c>
      <c r="W8137" s="22">
        <f t="shared" si="510"/>
        <v>0</v>
      </c>
    </row>
    <row r="8138" spans="1:23" hidden="1" x14ac:dyDescent="0.25">
      <c r="A8138" s="3">
        <v>46212</v>
      </c>
      <c r="B8138" s="46" t="s">
        <v>334</v>
      </c>
      <c r="C8138" s="4" t="s">
        <v>1501</v>
      </c>
      <c r="D8138" s="4"/>
      <c r="E8138" s="4" t="s">
        <v>921</v>
      </c>
      <c r="F8138" s="4" t="s">
        <v>3864</v>
      </c>
      <c r="G8138" s="4" t="s">
        <v>336</v>
      </c>
      <c r="H8138" s="4" t="s">
        <v>380</v>
      </c>
      <c r="I8138" s="4">
        <v>0.5</v>
      </c>
      <c r="J8138" s="21">
        <v>700</v>
      </c>
      <c r="K8138" s="21">
        <v>350</v>
      </c>
      <c r="L8138" s="5">
        <v>0</v>
      </c>
      <c r="M8138" s="4"/>
      <c r="N8138" s="4"/>
      <c r="O8138" s="5"/>
      <c r="P8138" s="5"/>
      <c r="Q8138" s="21">
        <v>0</v>
      </c>
      <c r="R8138" s="21">
        <v>0</v>
      </c>
      <c r="S8138" s="5">
        <f t="shared" si="511"/>
        <v>57788.854446636709</v>
      </c>
      <c r="T8138" cm="1">
        <f t="array" ref="T8138">IF(OR(B8138="MAL ALIMI", B8138="ÜRETİM GİRİŞ"), MIN(I8138, MAX(0, I8138 + SUM(SUMIFS($I$1:I8137, $C$1:C8137, C8138, $B$1:B8137, {"MAL ALIMI","ÜRETİM GİRİŞ"})) - VLOOKUP(C8138, 'STOK RAPORU'!$C$2:$I$1000, 4, 0))), 0)</f>
        <v>0</v>
      </c>
      <c r="U8138" s="22">
        <f t="shared" si="508"/>
        <v>0</v>
      </c>
      <c r="V8138">
        <f t="shared" si="509"/>
        <v>0</v>
      </c>
      <c r="W8138" s="22">
        <f t="shared" si="510"/>
        <v>0</v>
      </c>
    </row>
    <row r="8139" spans="1:23" hidden="1" x14ac:dyDescent="0.25">
      <c r="A8139" s="3">
        <v>46212</v>
      </c>
      <c r="B8139" s="46" t="s">
        <v>946</v>
      </c>
      <c r="C8139" s="4"/>
      <c r="D8139" s="4"/>
      <c r="E8139" s="4" t="s">
        <v>921</v>
      </c>
      <c r="F8139" s="4"/>
      <c r="G8139" s="4" t="s">
        <v>946</v>
      </c>
      <c r="H8139" s="4" t="s">
        <v>380</v>
      </c>
      <c r="I8139" s="4">
        <v>1</v>
      </c>
      <c r="J8139" s="21">
        <v>2040</v>
      </c>
      <c r="K8139" s="21">
        <v>0</v>
      </c>
      <c r="L8139" s="115">
        <v>2040</v>
      </c>
      <c r="M8139" s="4"/>
      <c r="N8139" s="4"/>
      <c r="O8139" s="5"/>
      <c r="P8139" s="5"/>
      <c r="Q8139" s="21">
        <v>2040</v>
      </c>
      <c r="R8139" s="21">
        <v>0</v>
      </c>
      <c r="S8139" s="5">
        <f t="shared" si="511"/>
        <v>59828.854446636709</v>
      </c>
      <c r="T8139" cm="1">
        <f t="array" ref="T8139">IF(OR(B8139="MAL ALIMI", B8139="ÜRETİM GİRİŞ"), MIN(I8139, MAX(0, I8139 + SUM(SUMIFS($I$1:I8138, $C$1:C8138, C8139, $B$1:B8138, {"MAL ALIMI","ÜRETİM GİRİŞ"})) - VLOOKUP(C8139, 'STOK RAPORU'!$C$2:$I$1000, 4, 0))), 0)</f>
        <v>0</v>
      </c>
      <c r="U8139" s="22">
        <f t="shared" si="508"/>
        <v>0</v>
      </c>
      <c r="V8139">
        <f t="shared" si="509"/>
        <v>0</v>
      </c>
      <c r="W8139" s="22">
        <f t="shared" si="510"/>
        <v>0</v>
      </c>
    </row>
    <row r="8140" spans="1:23" hidden="1" x14ac:dyDescent="0.25">
      <c r="A8140" s="3">
        <v>46212</v>
      </c>
      <c r="B8140" s="46" t="s">
        <v>946</v>
      </c>
      <c r="C8140" s="4"/>
      <c r="D8140" s="4"/>
      <c r="E8140" s="4" t="s">
        <v>921</v>
      </c>
      <c r="F8140" s="4"/>
      <c r="G8140" s="4" t="s">
        <v>946</v>
      </c>
      <c r="H8140" s="4" t="s">
        <v>380</v>
      </c>
      <c r="I8140" s="4">
        <v>1</v>
      </c>
      <c r="J8140" s="21">
        <v>100</v>
      </c>
      <c r="K8140" s="21">
        <v>0</v>
      </c>
      <c r="L8140" s="115">
        <v>100</v>
      </c>
      <c r="M8140" s="4"/>
      <c r="N8140" s="4"/>
      <c r="O8140" s="5"/>
      <c r="P8140" s="5"/>
      <c r="Q8140" s="21">
        <v>100</v>
      </c>
      <c r="R8140" s="21">
        <v>0</v>
      </c>
      <c r="S8140" s="5">
        <f t="shared" si="511"/>
        <v>59928.854446636709</v>
      </c>
      <c r="T8140" cm="1">
        <f t="array" ref="T8140">IF(OR(B8140="MAL ALIMI", B8140="ÜRETİM GİRİŞ"), MIN(I8140, MAX(0, I8140 + SUM(SUMIFS($I$1:I8139, $C$1:C8139, C8140, $B$1:B8139, {"MAL ALIMI","ÜRETİM GİRİŞ"})) - VLOOKUP(C8140, 'STOK RAPORU'!$C$2:$I$1000, 4, 0))), 0)</f>
        <v>0</v>
      </c>
      <c r="U8140" s="22">
        <f t="shared" si="508"/>
        <v>0</v>
      </c>
      <c r="V8140">
        <f t="shared" si="509"/>
        <v>0</v>
      </c>
      <c r="W8140" s="22">
        <f t="shared" si="510"/>
        <v>0</v>
      </c>
    </row>
    <row r="8141" spans="1:23" hidden="1" x14ac:dyDescent="0.25">
      <c r="A8141" s="3">
        <v>46212</v>
      </c>
      <c r="B8141" s="4" t="s">
        <v>917</v>
      </c>
      <c r="C8141" s="4"/>
      <c r="D8141" s="4"/>
      <c r="E8141" s="4" t="s">
        <v>1470</v>
      </c>
      <c r="F8141" s="4"/>
      <c r="G8141" s="4" t="s">
        <v>3867</v>
      </c>
      <c r="H8141" s="4" t="s">
        <v>304</v>
      </c>
      <c r="I8141" s="4">
        <v>1</v>
      </c>
      <c r="J8141" s="21">
        <v>3500</v>
      </c>
      <c r="K8141" s="21">
        <v>3500</v>
      </c>
      <c r="L8141" s="5">
        <v>0</v>
      </c>
      <c r="M8141" s="4"/>
      <c r="N8141" s="4"/>
      <c r="O8141" s="5"/>
      <c r="P8141" s="5"/>
      <c r="Q8141" s="21">
        <v>0</v>
      </c>
      <c r="R8141" s="21">
        <v>3500</v>
      </c>
      <c r="S8141" s="5">
        <f t="shared" si="511"/>
        <v>56428.854446636709</v>
      </c>
      <c r="T8141" cm="1">
        <f t="array" ref="T8141">IF(OR(B8141="MAL ALIMI", B8141="ÜRETİM GİRİŞ"), MIN(I8141, MAX(0, I8141 + SUM(SUMIFS($I$1:I8140, $C$1:C8140, C8141, $B$1:B8140, {"MAL ALIMI","ÜRETİM GİRİŞ"})) - VLOOKUP(C8141, 'STOK RAPORU'!$C$2:$I$1000, 4, 0))), 0)</f>
        <v>0</v>
      </c>
      <c r="U8141" s="22">
        <f t="shared" si="508"/>
        <v>0</v>
      </c>
      <c r="V8141">
        <f t="shared" si="509"/>
        <v>0</v>
      </c>
      <c r="W8141" s="22">
        <f t="shared" si="510"/>
        <v>0</v>
      </c>
    </row>
    <row r="8142" spans="1:23" hidden="1" x14ac:dyDescent="0.25">
      <c r="A8142" s="3">
        <v>46212</v>
      </c>
      <c r="B8142" s="4" t="s">
        <v>917</v>
      </c>
      <c r="C8142" s="4"/>
      <c r="D8142" s="4"/>
      <c r="E8142" s="4" t="s">
        <v>856</v>
      </c>
      <c r="F8142" s="4"/>
      <c r="G8142" s="4" t="s">
        <v>3933</v>
      </c>
      <c r="H8142" s="4" t="s">
        <v>289</v>
      </c>
      <c r="I8142" s="4">
        <v>1</v>
      </c>
      <c r="J8142" s="21">
        <f>390*2</f>
        <v>780</v>
      </c>
      <c r="K8142" s="21">
        <v>780</v>
      </c>
      <c r="L8142" s="5">
        <v>0</v>
      </c>
      <c r="M8142" s="4"/>
      <c r="N8142" s="4"/>
      <c r="O8142" s="5"/>
      <c r="P8142" s="5"/>
      <c r="Q8142" s="21">
        <f>IF(AND(E8142="", B8142="MAL SATIŞI", H8142="NAKİT"),I8142*J8142,0)</f>
        <v>0</v>
      </c>
      <c r="R8142" s="21">
        <v>780</v>
      </c>
      <c r="S8142" s="5">
        <f t="shared" si="511"/>
        <v>55648.854446636709</v>
      </c>
      <c r="T8142" cm="1">
        <f t="array" ref="T8142">IF(OR(B8142="MAL ALIMI", B8142="ÜRETİM GİRİŞ"), MIN(I8142, MAX(0, I8142 + SUM(SUMIFS($I$1:I8141, $C$1:C8141, C8142, $B$1:B8141, {"MAL ALIMI","ÜRETİM GİRİŞ"})) - VLOOKUP(C8142, 'STOK RAPORU'!$C$2:$I$1000, 4, 0))), 0)</f>
        <v>0</v>
      </c>
      <c r="U8142" s="22">
        <f t="shared" si="508"/>
        <v>0</v>
      </c>
      <c r="V8142">
        <f t="shared" si="509"/>
        <v>0</v>
      </c>
      <c r="W8142" s="22">
        <f t="shared" si="510"/>
        <v>0</v>
      </c>
    </row>
    <row r="8143" spans="1:23" hidden="1" x14ac:dyDescent="0.25">
      <c r="A8143" s="3">
        <v>46213</v>
      </c>
      <c r="B8143" s="46" t="s">
        <v>334</v>
      </c>
      <c r="C8143" s="4" t="s">
        <v>157</v>
      </c>
      <c r="D8143" s="4"/>
      <c r="E8143" s="4"/>
      <c r="F8143" s="4" t="s">
        <v>3868</v>
      </c>
      <c r="G8143" s="4" t="s">
        <v>336</v>
      </c>
      <c r="H8143" s="4" t="s">
        <v>289</v>
      </c>
      <c r="I8143" s="4">
        <v>1</v>
      </c>
      <c r="J8143" s="21">
        <v>200</v>
      </c>
      <c r="K8143" s="21">
        <v>0</v>
      </c>
      <c r="L8143" s="5">
        <v>0</v>
      </c>
      <c r="M8143" s="4"/>
      <c r="N8143" s="4"/>
      <c r="O8143" s="5"/>
      <c r="P8143" s="5"/>
      <c r="Q8143" s="21">
        <v>200</v>
      </c>
      <c r="R8143" s="21">
        <v>0</v>
      </c>
      <c r="S8143" s="5">
        <f t="shared" si="511"/>
        <v>55848.854446636709</v>
      </c>
      <c r="T8143" cm="1">
        <f t="array" ref="T8143">IF(OR(B8143="MAL ALIMI", B8143="ÜRETİM GİRİŞ"), MIN(I8143, MAX(0, I8143 + SUM(SUMIFS($I$1:I8142, $C$1:C8142, C8143, $B$1:B8142, {"MAL ALIMI","ÜRETİM GİRİŞ"})) - VLOOKUP(C8143, 'STOK RAPORU'!$C$2:$I$1000, 4, 0))), 0)</f>
        <v>0</v>
      </c>
      <c r="U8143" s="22">
        <f t="shared" si="508"/>
        <v>0</v>
      </c>
      <c r="V8143">
        <f t="shared" si="509"/>
        <v>0</v>
      </c>
      <c r="W8143" s="22">
        <f t="shared" si="510"/>
        <v>0</v>
      </c>
    </row>
    <row r="8144" spans="1:23" hidden="1" x14ac:dyDescent="0.25">
      <c r="A8144" s="3">
        <v>46213</v>
      </c>
      <c r="B8144" s="46" t="s">
        <v>334</v>
      </c>
      <c r="C8144" s="4" t="s">
        <v>256</v>
      </c>
      <c r="D8144" s="4"/>
      <c r="E8144" s="4"/>
      <c r="F8144" s="4" t="s">
        <v>3868</v>
      </c>
      <c r="G8144" s="4" t="s">
        <v>336</v>
      </c>
      <c r="H8144" s="4" t="s">
        <v>289</v>
      </c>
      <c r="I8144" s="4">
        <v>1</v>
      </c>
      <c r="J8144" s="21">
        <v>220</v>
      </c>
      <c r="K8144" s="21">
        <v>0</v>
      </c>
      <c r="L8144" s="5">
        <v>0</v>
      </c>
      <c r="M8144" s="4"/>
      <c r="N8144" s="4"/>
      <c r="O8144" s="5"/>
      <c r="P8144" s="5"/>
      <c r="Q8144" s="21">
        <v>220</v>
      </c>
      <c r="R8144" s="21">
        <v>0</v>
      </c>
      <c r="S8144" s="5">
        <f t="shared" si="511"/>
        <v>56068.854446636709</v>
      </c>
      <c r="T8144" cm="1">
        <f t="array" ref="T8144">IF(OR(B8144="MAL ALIMI", B8144="ÜRETİM GİRİŞ"), MIN(I8144, MAX(0, I8144 + SUM(SUMIFS($I$1:I8143, $C$1:C8143, C8144, $B$1:B8143, {"MAL ALIMI","ÜRETİM GİRİŞ"})) - VLOOKUP(C8144, 'STOK RAPORU'!$C$2:$I$1000, 4, 0))), 0)</f>
        <v>0</v>
      </c>
      <c r="U8144" s="22">
        <f t="shared" si="508"/>
        <v>0</v>
      </c>
      <c r="V8144">
        <f t="shared" si="509"/>
        <v>0</v>
      </c>
      <c r="W8144" s="22">
        <f t="shared" si="510"/>
        <v>0</v>
      </c>
    </row>
    <row r="8145" spans="1:23" hidden="1" x14ac:dyDescent="0.25">
      <c r="A8145" s="3">
        <v>46213</v>
      </c>
      <c r="B8145" s="46" t="s">
        <v>334</v>
      </c>
      <c r="C8145" s="4" t="s">
        <v>89</v>
      </c>
      <c r="D8145" s="4"/>
      <c r="E8145" s="4" t="s">
        <v>921</v>
      </c>
      <c r="F8145" s="4" t="s">
        <v>3868</v>
      </c>
      <c r="G8145" s="4" t="s">
        <v>336</v>
      </c>
      <c r="H8145" s="4" t="s">
        <v>380</v>
      </c>
      <c r="I8145" s="4">
        <v>0.3</v>
      </c>
      <c r="J8145" s="21">
        <v>750</v>
      </c>
      <c r="K8145" s="21">
        <v>225</v>
      </c>
      <c r="L8145" s="5">
        <v>0</v>
      </c>
      <c r="M8145" s="4"/>
      <c r="N8145" s="4"/>
      <c r="O8145" s="5"/>
      <c r="P8145" s="5"/>
      <c r="Q8145" s="21">
        <v>0</v>
      </c>
      <c r="R8145" s="21">
        <v>0</v>
      </c>
      <c r="S8145" s="5">
        <f t="shared" si="511"/>
        <v>56068.854446636709</v>
      </c>
      <c r="T8145" cm="1">
        <f t="array" ref="T8145">IF(OR(B8145="MAL ALIMI", B8145="ÜRETİM GİRİŞ"), MIN(I8145, MAX(0, I8145 + SUM(SUMIFS($I$1:I8144, $C$1:C8144, C8145, $B$1:B8144, {"MAL ALIMI","ÜRETİM GİRİŞ"})) - VLOOKUP(C8145, 'STOK RAPORU'!$C$2:$I$1000, 4, 0))), 0)</f>
        <v>0</v>
      </c>
      <c r="U8145" s="22">
        <f t="shared" si="508"/>
        <v>0</v>
      </c>
      <c r="V8145">
        <f t="shared" si="509"/>
        <v>0</v>
      </c>
      <c r="W8145" s="22">
        <f t="shared" si="510"/>
        <v>0</v>
      </c>
    </row>
    <row r="8146" spans="1:23" hidden="1" x14ac:dyDescent="0.25">
      <c r="A8146" s="3">
        <v>46213</v>
      </c>
      <c r="B8146" s="46" t="s">
        <v>334</v>
      </c>
      <c r="C8146" s="4" t="s">
        <v>253</v>
      </c>
      <c r="D8146" s="4"/>
      <c r="E8146" s="4" t="s">
        <v>921</v>
      </c>
      <c r="F8146" s="4" t="s">
        <v>3868</v>
      </c>
      <c r="G8146" s="4" t="s">
        <v>336</v>
      </c>
      <c r="H8146" s="4" t="s">
        <v>380</v>
      </c>
      <c r="I8146" s="4">
        <v>0.3</v>
      </c>
      <c r="J8146" s="21">
        <v>250</v>
      </c>
      <c r="K8146" s="21">
        <v>75</v>
      </c>
      <c r="L8146" s="5">
        <v>0</v>
      </c>
      <c r="M8146" s="4"/>
      <c r="N8146" s="4"/>
      <c r="O8146" s="5"/>
      <c r="P8146" s="5"/>
      <c r="Q8146" s="21">
        <v>0</v>
      </c>
      <c r="R8146" s="21">
        <v>0</v>
      </c>
      <c r="S8146" s="5">
        <f t="shared" si="511"/>
        <v>56068.854446636709</v>
      </c>
      <c r="T8146" cm="1">
        <f t="array" ref="T8146">IF(OR(B8146="MAL ALIMI", B8146="ÜRETİM GİRİŞ"), MIN(I8146, MAX(0, I8146 + SUM(SUMIFS($I$1:I8145, $C$1:C8145, C8146, $B$1:B8145, {"MAL ALIMI","ÜRETİM GİRİŞ"})) - VLOOKUP(C8146, 'STOK RAPORU'!$C$2:$I$1000, 4, 0))), 0)</f>
        <v>0</v>
      </c>
      <c r="U8146" s="22">
        <f t="shared" si="508"/>
        <v>0</v>
      </c>
      <c r="V8146">
        <f t="shared" si="509"/>
        <v>0</v>
      </c>
      <c r="W8146" s="22">
        <f t="shared" si="510"/>
        <v>0</v>
      </c>
    </row>
    <row r="8147" spans="1:23" hidden="1" x14ac:dyDescent="0.25">
      <c r="A8147" s="3">
        <v>46213</v>
      </c>
      <c r="B8147" s="46" t="s">
        <v>334</v>
      </c>
      <c r="C8147" s="4" t="s">
        <v>524</v>
      </c>
      <c r="D8147" s="4"/>
      <c r="E8147" s="4"/>
      <c r="F8147" s="4" t="s">
        <v>3869</v>
      </c>
      <c r="G8147" s="4" t="s">
        <v>336</v>
      </c>
      <c r="H8147" s="4" t="s">
        <v>289</v>
      </c>
      <c r="I8147" s="4">
        <v>0.1</v>
      </c>
      <c r="J8147" s="21">
        <v>400</v>
      </c>
      <c r="K8147" s="21">
        <v>0</v>
      </c>
      <c r="L8147" s="5">
        <v>0</v>
      </c>
      <c r="M8147" s="4"/>
      <c r="N8147" s="4"/>
      <c r="O8147" s="5"/>
      <c r="P8147" s="5"/>
      <c r="Q8147" s="21">
        <v>40</v>
      </c>
      <c r="R8147" s="21">
        <v>0</v>
      </c>
      <c r="S8147" s="5">
        <f t="shared" si="511"/>
        <v>56108.854446636709</v>
      </c>
      <c r="T8147" cm="1">
        <f t="array" ref="T8147">IF(OR(B8147="MAL ALIMI", B8147="ÜRETİM GİRİŞ"), MIN(I8147, MAX(0, I8147 + SUM(SUMIFS($I$1:I8146, $C$1:C8146, C8147, $B$1:B8146, {"MAL ALIMI","ÜRETİM GİRİŞ"})) - VLOOKUP(C8147, 'STOK RAPORU'!$C$2:$I$1000, 4, 0))), 0)</f>
        <v>0</v>
      </c>
      <c r="U8147" s="22">
        <f t="shared" si="508"/>
        <v>0</v>
      </c>
      <c r="V8147">
        <f t="shared" si="509"/>
        <v>0</v>
      </c>
      <c r="W8147" s="22">
        <f t="shared" si="510"/>
        <v>0</v>
      </c>
    </row>
    <row r="8148" spans="1:23" hidden="1" x14ac:dyDescent="0.25">
      <c r="A8148" s="3">
        <v>46213</v>
      </c>
      <c r="B8148" s="46" t="s">
        <v>334</v>
      </c>
      <c r="C8148" s="4" t="s">
        <v>91</v>
      </c>
      <c r="D8148" s="4"/>
      <c r="E8148" s="4"/>
      <c r="F8148" s="4" t="s">
        <v>3870</v>
      </c>
      <c r="G8148" s="4" t="s">
        <v>336</v>
      </c>
      <c r="H8148" s="4" t="s">
        <v>289</v>
      </c>
      <c r="I8148" s="4">
        <v>0.33333333333333331</v>
      </c>
      <c r="J8148" s="21">
        <v>750</v>
      </c>
      <c r="K8148" s="21">
        <v>0</v>
      </c>
      <c r="L8148" s="5">
        <v>0</v>
      </c>
      <c r="M8148" s="4"/>
      <c r="N8148" s="4"/>
      <c r="O8148" s="5"/>
      <c r="P8148" s="5"/>
      <c r="Q8148" s="21">
        <v>250</v>
      </c>
      <c r="R8148" s="21">
        <v>0</v>
      </c>
      <c r="S8148" s="5">
        <f t="shared" si="511"/>
        <v>56358.854446636709</v>
      </c>
      <c r="T8148" cm="1">
        <f t="array" ref="T8148">IF(OR(B8148="MAL ALIMI", B8148="ÜRETİM GİRİŞ"), MIN(I8148, MAX(0, I8148 + SUM(SUMIFS($I$1:I8147, $C$1:C8147, C8148, $B$1:B8147, {"MAL ALIMI","ÜRETİM GİRİŞ"})) - VLOOKUP(C8148, 'STOK RAPORU'!$C$2:$I$1000, 4, 0))), 0)</f>
        <v>0</v>
      </c>
      <c r="U8148" s="22">
        <f t="shared" si="508"/>
        <v>0</v>
      </c>
      <c r="V8148">
        <f t="shared" si="509"/>
        <v>0</v>
      </c>
      <c r="W8148" s="22">
        <f t="shared" si="510"/>
        <v>0</v>
      </c>
    </row>
    <row r="8149" spans="1:23" hidden="1" x14ac:dyDescent="0.25">
      <c r="A8149" s="3">
        <v>46213</v>
      </c>
      <c r="B8149" s="46" t="s">
        <v>334</v>
      </c>
      <c r="C8149" s="4" t="s">
        <v>826</v>
      </c>
      <c r="D8149" s="4"/>
      <c r="E8149" s="4"/>
      <c r="F8149" s="4" t="s">
        <v>3871</v>
      </c>
      <c r="G8149" s="4" t="s">
        <v>336</v>
      </c>
      <c r="H8149" s="4" t="s">
        <v>289</v>
      </c>
      <c r="I8149" s="4">
        <v>1</v>
      </c>
      <c r="J8149" s="21">
        <v>130</v>
      </c>
      <c r="K8149" s="21">
        <v>0</v>
      </c>
      <c r="L8149" s="5">
        <v>0</v>
      </c>
      <c r="M8149" s="4"/>
      <c r="N8149" s="4"/>
      <c r="O8149" s="5"/>
      <c r="P8149" s="5"/>
      <c r="Q8149" s="21">
        <v>130</v>
      </c>
      <c r="R8149" s="21">
        <v>0</v>
      </c>
      <c r="S8149" s="5">
        <f t="shared" si="511"/>
        <v>56488.854446636709</v>
      </c>
      <c r="T8149" cm="1">
        <f t="array" ref="T8149">IF(OR(B8149="MAL ALIMI", B8149="ÜRETİM GİRİŞ"), MIN(I8149, MAX(0, I8149 + SUM(SUMIFS($I$1:I8148, $C$1:C8148, C8149, $B$1:B8148, {"MAL ALIMI","ÜRETİM GİRİŞ"})) - VLOOKUP(C8149, 'STOK RAPORU'!$C$2:$I$1000, 4, 0))), 0)</f>
        <v>0</v>
      </c>
      <c r="U8149" s="22">
        <f t="shared" si="508"/>
        <v>0</v>
      </c>
      <c r="V8149">
        <f t="shared" si="509"/>
        <v>0</v>
      </c>
      <c r="W8149" s="22">
        <f t="shared" si="510"/>
        <v>0</v>
      </c>
    </row>
    <row r="8150" spans="1:23" hidden="1" x14ac:dyDescent="0.25">
      <c r="A8150" s="3">
        <v>46213</v>
      </c>
      <c r="B8150" s="46" t="s">
        <v>334</v>
      </c>
      <c r="C8150" s="4" t="s">
        <v>60</v>
      </c>
      <c r="D8150" s="4"/>
      <c r="E8150" s="4"/>
      <c r="F8150" s="4" t="s">
        <v>3871</v>
      </c>
      <c r="G8150" s="4" t="s">
        <v>336</v>
      </c>
      <c r="H8150" s="4" t="s">
        <v>289</v>
      </c>
      <c r="I8150" s="4">
        <v>0.05</v>
      </c>
      <c r="J8150" s="21">
        <v>1000</v>
      </c>
      <c r="K8150" s="21">
        <v>0</v>
      </c>
      <c r="L8150" s="5">
        <v>0</v>
      </c>
      <c r="M8150" s="4"/>
      <c r="N8150" s="4"/>
      <c r="O8150" s="5"/>
      <c r="P8150" s="5"/>
      <c r="Q8150" s="21">
        <v>50</v>
      </c>
      <c r="R8150" s="21">
        <v>0</v>
      </c>
      <c r="S8150" s="5">
        <f t="shared" si="511"/>
        <v>56538.854446636709</v>
      </c>
      <c r="T8150" cm="1">
        <f t="array" ref="T8150">IF(OR(B8150="MAL ALIMI", B8150="ÜRETİM GİRİŞ"), MIN(I8150, MAX(0, I8150 + SUM(SUMIFS($I$1:I8149, $C$1:C8149, C8150, $B$1:B8149, {"MAL ALIMI","ÜRETİM GİRİŞ"})) - VLOOKUP(C8150, 'STOK RAPORU'!$C$2:$I$1000, 4, 0))), 0)</f>
        <v>0</v>
      </c>
      <c r="U8150" s="22">
        <f t="shared" si="508"/>
        <v>0</v>
      </c>
      <c r="V8150">
        <f t="shared" si="509"/>
        <v>0</v>
      </c>
      <c r="W8150" s="22">
        <f t="shared" si="510"/>
        <v>0</v>
      </c>
    </row>
    <row r="8151" spans="1:23" hidden="1" x14ac:dyDescent="0.25">
      <c r="A8151" s="3">
        <v>46213</v>
      </c>
      <c r="B8151" s="46" t="s">
        <v>334</v>
      </c>
      <c r="C8151" s="4" t="s">
        <v>253</v>
      </c>
      <c r="D8151" s="4"/>
      <c r="E8151" s="4"/>
      <c r="F8151" s="4" t="s">
        <v>3871</v>
      </c>
      <c r="G8151" s="4" t="s">
        <v>336</v>
      </c>
      <c r="H8151" s="4" t="s">
        <v>289</v>
      </c>
      <c r="I8151" s="4">
        <v>0.3</v>
      </c>
      <c r="J8151" s="21">
        <v>233.5</v>
      </c>
      <c r="K8151" s="21">
        <v>0</v>
      </c>
      <c r="L8151" s="5">
        <v>0</v>
      </c>
      <c r="M8151" s="4"/>
      <c r="N8151" s="4"/>
      <c r="O8151" s="5"/>
      <c r="P8151" s="5"/>
      <c r="Q8151" s="21">
        <v>70.05</v>
      </c>
      <c r="R8151" s="21">
        <v>0</v>
      </c>
      <c r="S8151" s="5">
        <f t="shared" si="511"/>
        <v>56608.904446636712</v>
      </c>
      <c r="T8151" cm="1">
        <f t="array" ref="T8151">IF(OR(B8151="MAL ALIMI", B8151="ÜRETİM GİRİŞ"), MIN(I8151, MAX(0, I8151 + SUM(SUMIFS($I$1:I8150, $C$1:C8150, C8151, $B$1:B8150, {"MAL ALIMI","ÜRETİM GİRİŞ"})) - VLOOKUP(C8151, 'STOK RAPORU'!$C$2:$I$1000, 4, 0))), 0)</f>
        <v>0</v>
      </c>
      <c r="U8151" s="22">
        <f t="shared" si="508"/>
        <v>0</v>
      </c>
      <c r="V8151">
        <f t="shared" si="509"/>
        <v>0</v>
      </c>
      <c r="W8151" s="22">
        <f t="shared" si="510"/>
        <v>0</v>
      </c>
    </row>
    <row r="8152" spans="1:23" hidden="1" x14ac:dyDescent="0.25">
      <c r="A8152" s="3">
        <v>46213</v>
      </c>
      <c r="B8152" s="46" t="s">
        <v>334</v>
      </c>
      <c r="C8152" s="4" t="s">
        <v>247</v>
      </c>
      <c r="D8152" s="4"/>
      <c r="E8152" s="4" t="s">
        <v>921</v>
      </c>
      <c r="F8152" s="4" t="s">
        <v>3872</v>
      </c>
      <c r="G8152" s="4" t="s">
        <v>336</v>
      </c>
      <c r="H8152" s="4" t="s">
        <v>380</v>
      </c>
      <c r="I8152" s="4">
        <v>0.13333333333333333</v>
      </c>
      <c r="J8152" s="21">
        <v>1500</v>
      </c>
      <c r="K8152" s="21">
        <v>200</v>
      </c>
      <c r="L8152" s="5">
        <v>0</v>
      </c>
      <c r="M8152" s="4"/>
      <c r="N8152" s="4"/>
      <c r="O8152" s="5"/>
      <c r="P8152" s="5"/>
      <c r="Q8152" s="21">
        <v>0</v>
      </c>
      <c r="R8152" s="21">
        <v>0</v>
      </c>
      <c r="S8152" s="5">
        <f t="shared" si="511"/>
        <v>56608.904446636712</v>
      </c>
      <c r="T8152" cm="1">
        <f t="array" ref="T8152">IF(OR(B8152="MAL ALIMI", B8152="ÜRETİM GİRİŞ"), MIN(I8152, MAX(0, I8152 + SUM(SUMIFS($I$1:I8151, $C$1:C8151, C8152, $B$1:B8151, {"MAL ALIMI","ÜRETİM GİRİŞ"})) - VLOOKUP(C8152, 'STOK RAPORU'!$C$2:$I$1000, 4, 0))), 0)</f>
        <v>0</v>
      </c>
      <c r="U8152" s="22">
        <f t="shared" si="508"/>
        <v>0</v>
      </c>
      <c r="V8152">
        <f t="shared" si="509"/>
        <v>0</v>
      </c>
      <c r="W8152" s="22">
        <f t="shared" si="510"/>
        <v>0</v>
      </c>
    </row>
    <row r="8153" spans="1:23" hidden="1" x14ac:dyDescent="0.25">
      <c r="A8153" s="3">
        <v>46213</v>
      </c>
      <c r="B8153" s="46" t="s">
        <v>334</v>
      </c>
      <c r="C8153" s="4" t="s">
        <v>1428</v>
      </c>
      <c r="D8153" s="4"/>
      <c r="E8153" s="4" t="s">
        <v>921</v>
      </c>
      <c r="F8153" s="4" t="s">
        <v>3872</v>
      </c>
      <c r="G8153" s="4" t="s">
        <v>336</v>
      </c>
      <c r="H8153" s="4" t="s">
        <v>380</v>
      </c>
      <c r="I8153" s="4">
        <v>0.2</v>
      </c>
      <c r="J8153" s="21">
        <v>800</v>
      </c>
      <c r="K8153" s="21">
        <v>160</v>
      </c>
      <c r="L8153" s="5">
        <v>0</v>
      </c>
      <c r="M8153" s="4"/>
      <c r="N8153" s="4"/>
      <c r="O8153" s="5"/>
      <c r="P8153" s="5"/>
      <c r="Q8153" s="21">
        <v>0</v>
      </c>
      <c r="R8153" s="21">
        <v>0</v>
      </c>
      <c r="S8153" s="5">
        <f t="shared" si="511"/>
        <v>56608.904446636712</v>
      </c>
      <c r="T8153" cm="1">
        <f t="array" ref="T8153">IF(OR(B8153="MAL ALIMI", B8153="ÜRETİM GİRİŞ"), MIN(I8153, MAX(0, I8153 + SUM(SUMIFS($I$1:I8152, $C$1:C8152, C8153, $B$1:B8152, {"MAL ALIMI","ÜRETİM GİRİŞ"})) - VLOOKUP(C8153, 'STOK RAPORU'!$C$2:$I$1000, 4, 0))), 0)</f>
        <v>0</v>
      </c>
      <c r="U8153" s="22">
        <f t="shared" si="508"/>
        <v>0</v>
      </c>
      <c r="V8153">
        <f t="shared" si="509"/>
        <v>0</v>
      </c>
      <c r="W8153" s="22">
        <f t="shared" si="510"/>
        <v>0</v>
      </c>
    </row>
    <row r="8154" spans="1:23" hidden="1" x14ac:dyDescent="0.25">
      <c r="A8154" s="3">
        <v>46213</v>
      </c>
      <c r="B8154" s="46" t="s">
        <v>334</v>
      </c>
      <c r="C8154" s="4" t="s">
        <v>728</v>
      </c>
      <c r="D8154" s="4"/>
      <c r="E8154" s="4" t="s">
        <v>921</v>
      </c>
      <c r="F8154" s="4" t="s">
        <v>3872</v>
      </c>
      <c r="G8154" s="4" t="s">
        <v>336</v>
      </c>
      <c r="H8154" s="4" t="s">
        <v>380</v>
      </c>
      <c r="I8154" s="4">
        <v>0.77692307692307694</v>
      </c>
      <c r="J8154" s="21">
        <v>650</v>
      </c>
      <c r="K8154" s="21">
        <v>505</v>
      </c>
      <c r="L8154" s="5">
        <v>0</v>
      </c>
      <c r="M8154" s="4"/>
      <c r="N8154" s="4"/>
      <c r="O8154" s="5"/>
      <c r="P8154" s="5"/>
      <c r="Q8154" s="21">
        <v>0</v>
      </c>
      <c r="R8154" s="21">
        <v>0</v>
      </c>
      <c r="S8154" s="5">
        <f t="shared" si="511"/>
        <v>56608.904446636712</v>
      </c>
      <c r="T8154" cm="1">
        <f t="array" ref="T8154">IF(OR(B8154="MAL ALIMI", B8154="ÜRETİM GİRİŞ"), MIN(I8154, MAX(0, I8154 + SUM(SUMIFS($I$1:I8153, $C$1:C8153, C8154, $B$1:B8153, {"MAL ALIMI","ÜRETİM GİRİŞ"})) - VLOOKUP(C8154, 'STOK RAPORU'!$C$2:$I$1000, 4, 0))), 0)</f>
        <v>0</v>
      </c>
      <c r="U8154" s="22">
        <f t="shared" si="508"/>
        <v>0</v>
      </c>
      <c r="V8154">
        <f t="shared" si="509"/>
        <v>0</v>
      </c>
      <c r="W8154" s="22">
        <f t="shared" si="510"/>
        <v>0</v>
      </c>
    </row>
    <row r="8155" spans="1:23" hidden="1" x14ac:dyDescent="0.25">
      <c r="A8155" s="3">
        <v>46213</v>
      </c>
      <c r="B8155" s="46" t="s">
        <v>334</v>
      </c>
      <c r="C8155" s="4" t="s">
        <v>1359</v>
      </c>
      <c r="D8155" s="4"/>
      <c r="E8155" s="4" t="s">
        <v>921</v>
      </c>
      <c r="F8155" s="4" t="s">
        <v>3872</v>
      </c>
      <c r="G8155" s="4" t="s">
        <v>336</v>
      </c>
      <c r="H8155" s="4" t="s">
        <v>380</v>
      </c>
      <c r="I8155" s="4">
        <v>0.184</v>
      </c>
      <c r="J8155" s="21">
        <v>500</v>
      </c>
      <c r="K8155" s="21">
        <v>92</v>
      </c>
      <c r="L8155" s="5">
        <v>0</v>
      </c>
      <c r="M8155" s="4"/>
      <c r="N8155" s="4"/>
      <c r="O8155" s="5"/>
      <c r="P8155" s="5"/>
      <c r="Q8155" s="21">
        <v>0</v>
      </c>
      <c r="R8155" s="21">
        <v>0</v>
      </c>
      <c r="S8155" s="5">
        <f t="shared" si="511"/>
        <v>56608.904446636712</v>
      </c>
      <c r="T8155" cm="1">
        <f t="array" ref="T8155">IF(OR(B8155="MAL ALIMI", B8155="ÜRETİM GİRİŞ"), MIN(I8155, MAX(0, I8155 + SUM(SUMIFS($I$1:I8154, $C$1:C8154, C8155, $B$1:B8154, {"MAL ALIMI","ÜRETİM GİRİŞ"})) - VLOOKUP(C8155, 'STOK RAPORU'!$C$2:$I$1000, 4, 0))), 0)</f>
        <v>0</v>
      </c>
      <c r="U8155" s="22">
        <f t="shared" si="508"/>
        <v>0</v>
      </c>
      <c r="V8155">
        <f t="shared" si="509"/>
        <v>0</v>
      </c>
      <c r="W8155" s="22">
        <f t="shared" si="510"/>
        <v>0</v>
      </c>
    </row>
    <row r="8156" spans="1:23" hidden="1" x14ac:dyDescent="0.25">
      <c r="A8156" s="3">
        <v>46214</v>
      </c>
      <c r="B8156" s="46" t="s">
        <v>334</v>
      </c>
      <c r="C8156" s="4" t="s">
        <v>257</v>
      </c>
      <c r="D8156" s="4"/>
      <c r="E8156" s="4"/>
      <c r="F8156" s="4" t="s">
        <v>3873</v>
      </c>
      <c r="G8156" s="4" t="s">
        <v>336</v>
      </c>
      <c r="H8156" s="4" t="s">
        <v>289</v>
      </c>
      <c r="I8156" s="4">
        <v>1</v>
      </c>
      <c r="J8156" s="21">
        <v>210</v>
      </c>
      <c r="K8156" s="21">
        <v>0</v>
      </c>
      <c r="L8156" s="5">
        <v>0</v>
      </c>
      <c r="M8156" s="4"/>
      <c r="N8156" s="4"/>
      <c r="O8156" s="5"/>
      <c r="P8156" s="5"/>
      <c r="Q8156" s="21">
        <v>210</v>
      </c>
      <c r="R8156" s="21">
        <v>0</v>
      </c>
      <c r="S8156" s="5">
        <f t="shared" si="511"/>
        <v>56818.904446636712</v>
      </c>
      <c r="T8156" cm="1">
        <f t="array" ref="T8156">IF(OR(B8156="MAL ALIMI", B8156="ÜRETİM GİRİŞ"), MIN(I8156, MAX(0, I8156 + SUM(SUMIFS($I$1:I8155, $C$1:C8155, C8156, $B$1:B8155, {"MAL ALIMI","ÜRETİM GİRİŞ"})) - VLOOKUP(C8156, 'STOK RAPORU'!$C$2:$I$1000, 4, 0))), 0)</f>
        <v>0</v>
      </c>
      <c r="U8156" s="22">
        <f t="shared" si="508"/>
        <v>0</v>
      </c>
      <c r="V8156">
        <f t="shared" si="509"/>
        <v>0</v>
      </c>
      <c r="W8156" s="22">
        <f t="shared" si="510"/>
        <v>0</v>
      </c>
    </row>
    <row r="8157" spans="1:23" hidden="1" x14ac:dyDescent="0.25">
      <c r="A8157" s="3">
        <v>46214</v>
      </c>
      <c r="B8157" s="46" t="s">
        <v>334</v>
      </c>
      <c r="C8157" s="4" t="s">
        <v>589</v>
      </c>
      <c r="D8157" s="4"/>
      <c r="E8157" s="4"/>
      <c r="F8157" s="4" t="s">
        <v>3873</v>
      </c>
      <c r="G8157" s="4" t="s">
        <v>336</v>
      </c>
      <c r="H8157" s="4" t="s">
        <v>289</v>
      </c>
      <c r="I8157" s="4">
        <v>0.05</v>
      </c>
      <c r="J8157" s="21">
        <v>800</v>
      </c>
      <c r="K8157" s="21">
        <v>0</v>
      </c>
      <c r="L8157" s="5">
        <v>0</v>
      </c>
      <c r="M8157" s="4"/>
      <c r="N8157" s="4"/>
      <c r="O8157" s="5"/>
      <c r="P8157" s="5"/>
      <c r="Q8157" s="21">
        <v>40</v>
      </c>
      <c r="R8157" s="21">
        <v>0</v>
      </c>
      <c r="S8157" s="5">
        <f t="shared" si="511"/>
        <v>56858.904446636712</v>
      </c>
      <c r="T8157" cm="1">
        <f t="array" ref="T8157">IF(OR(B8157="MAL ALIMI", B8157="ÜRETİM GİRİŞ"), MIN(I8157, MAX(0, I8157 + SUM(SUMIFS($I$1:I8156, $C$1:C8156, C8157, $B$1:B8156, {"MAL ALIMI","ÜRETİM GİRİŞ"})) - VLOOKUP(C8157, 'STOK RAPORU'!$C$2:$I$1000, 4, 0))), 0)</f>
        <v>0</v>
      </c>
      <c r="U8157" s="22">
        <f t="shared" si="508"/>
        <v>0</v>
      </c>
      <c r="V8157">
        <f t="shared" si="509"/>
        <v>0</v>
      </c>
      <c r="W8157" s="22">
        <f t="shared" si="510"/>
        <v>0</v>
      </c>
    </row>
    <row r="8158" spans="1:23" hidden="1" x14ac:dyDescent="0.25">
      <c r="A8158" s="3">
        <v>46214</v>
      </c>
      <c r="B8158" s="46" t="s">
        <v>334</v>
      </c>
      <c r="C8158" s="4" t="s">
        <v>751</v>
      </c>
      <c r="D8158" s="4"/>
      <c r="E8158" s="4" t="s">
        <v>921</v>
      </c>
      <c r="F8158" s="4" t="s">
        <v>3874</v>
      </c>
      <c r="G8158" s="4" t="s">
        <v>336</v>
      </c>
      <c r="H8158" s="4" t="s">
        <v>380</v>
      </c>
      <c r="I8158" s="4">
        <v>1</v>
      </c>
      <c r="J8158" s="21">
        <v>260</v>
      </c>
      <c r="K8158" s="21">
        <v>260</v>
      </c>
      <c r="L8158" s="5">
        <v>0</v>
      </c>
      <c r="M8158" s="4"/>
      <c r="N8158" s="4"/>
      <c r="O8158" s="5"/>
      <c r="P8158" s="5"/>
      <c r="Q8158" s="21">
        <v>0</v>
      </c>
      <c r="R8158" s="21">
        <v>0</v>
      </c>
      <c r="S8158" s="5">
        <f t="shared" si="511"/>
        <v>56858.904446636712</v>
      </c>
      <c r="T8158" cm="1">
        <f t="array" ref="T8158">IF(OR(B8158="MAL ALIMI", B8158="ÜRETİM GİRİŞ"), MIN(I8158, MAX(0, I8158 + SUM(SUMIFS($I$1:I8157, $C$1:C8157, C8158, $B$1:B8157, {"MAL ALIMI","ÜRETİM GİRİŞ"})) - VLOOKUP(C8158, 'STOK RAPORU'!$C$2:$I$1000, 4, 0))), 0)</f>
        <v>0</v>
      </c>
      <c r="U8158" s="22">
        <f t="shared" si="508"/>
        <v>0</v>
      </c>
      <c r="V8158">
        <f t="shared" si="509"/>
        <v>0</v>
      </c>
      <c r="W8158" s="22">
        <f t="shared" si="510"/>
        <v>0</v>
      </c>
    </row>
    <row r="8159" spans="1:23" hidden="1" x14ac:dyDescent="0.25">
      <c r="A8159" s="3">
        <v>46214</v>
      </c>
      <c r="B8159" s="46" t="s">
        <v>334</v>
      </c>
      <c r="C8159" s="4" t="s">
        <v>470</v>
      </c>
      <c r="D8159" s="4"/>
      <c r="E8159" s="4"/>
      <c r="F8159" s="4" t="s">
        <v>3875</v>
      </c>
      <c r="G8159" s="4" t="s">
        <v>336</v>
      </c>
      <c r="H8159" s="4" t="s">
        <v>289</v>
      </c>
      <c r="I8159" s="4">
        <v>2</v>
      </c>
      <c r="J8159" s="21">
        <v>60</v>
      </c>
      <c r="K8159" s="21">
        <v>0</v>
      </c>
      <c r="L8159" s="5">
        <v>0</v>
      </c>
      <c r="M8159" s="4"/>
      <c r="N8159" s="4"/>
      <c r="O8159" s="5"/>
      <c r="P8159" s="5"/>
      <c r="Q8159" s="21">
        <v>120</v>
      </c>
      <c r="R8159" s="21">
        <v>0</v>
      </c>
      <c r="S8159" s="5">
        <f t="shared" si="511"/>
        <v>56978.904446636712</v>
      </c>
      <c r="T8159" cm="1">
        <f t="array" ref="T8159">IF(OR(B8159="MAL ALIMI", B8159="ÜRETİM GİRİŞ"), MIN(I8159, MAX(0, I8159 + SUM(SUMIFS($I$1:I8158, $C$1:C8158, C8159, $B$1:B8158, {"MAL ALIMI","ÜRETİM GİRİŞ"})) - VLOOKUP(C8159, 'STOK RAPORU'!$C$2:$I$1000, 4, 0))), 0)</f>
        <v>0</v>
      </c>
      <c r="U8159" s="22">
        <f t="shared" si="508"/>
        <v>0</v>
      </c>
      <c r="V8159">
        <f t="shared" si="509"/>
        <v>0</v>
      </c>
      <c r="W8159" s="22">
        <f t="shared" si="510"/>
        <v>0</v>
      </c>
    </row>
    <row r="8160" spans="1:23" hidden="1" x14ac:dyDescent="0.25">
      <c r="A8160" s="3">
        <v>46214</v>
      </c>
      <c r="B8160" s="46" t="s">
        <v>334</v>
      </c>
      <c r="C8160" s="4" t="s">
        <v>131</v>
      </c>
      <c r="D8160" s="4"/>
      <c r="E8160" s="4"/>
      <c r="F8160" s="4" t="s">
        <v>3875</v>
      </c>
      <c r="G8160" s="4" t="s">
        <v>336</v>
      </c>
      <c r="H8160" s="4" t="s">
        <v>289</v>
      </c>
      <c r="I8160" s="4">
        <v>0.125</v>
      </c>
      <c r="J8160" s="21">
        <v>400</v>
      </c>
      <c r="K8160" s="21">
        <v>0</v>
      </c>
      <c r="L8160" s="5">
        <v>0</v>
      </c>
      <c r="M8160" s="4"/>
      <c r="N8160" s="4"/>
      <c r="O8160" s="5"/>
      <c r="P8160" s="5"/>
      <c r="Q8160" s="21">
        <v>50</v>
      </c>
      <c r="R8160" s="21">
        <v>0</v>
      </c>
      <c r="S8160" s="5">
        <f t="shared" si="511"/>
        <v>57028.904446636712</v>
      </c>
      <c r="T8160" cm="1">
        <f t="array" ref="T8160">IF(OR(B8160="MAL ALIMI", B8160="ÜRETİM GİRİŞ"), MIN(I8160, MAX(0, I8160 + SUM(SUMIFS($I$1:I8159, $C$1:C8159, C8160, $B$1:B8159, {"MAL ALIMI","ÜRETİM GİRİŞ"})) - VLOOKUP(C8160, 'STOK RAPORU'!$C$2:$I$1000, 4, 0))), 0)</f>
        <v>0</v>
      </c>
      <c r="U8160" s="22">
        <f t="shared" si="508"/>
        <v>0</v>
      </c>
      <c r="V8160">
        <f t="shared" si="509"/>
        <v>0</v>
      </c>
      <c r="W8160" s="22">
        <f t="shared" si="510"/>
        <v>0</v>
      </c>
    </row>
    <row r="8161" spans="1:23" hidden="1" x14ac:dyDescent="0.25">
      <c r="A8161" s="3">
        <v>46214</v>
      </c>
      <c r="B8161" s="46" t="s">
        <v>334</v>
      </c>
      <c r="C8161" s="4" t="s">
        <v>463</v>
      </c>
      <c r="D8161" s="4"/>
      <c r="E8161" s="4" t="s">
        <v>921</v>
      </c>
      <c r="F8161" s="4" t="s">
        <v>3876</v>
      </c>
      <c r="G8161" s="4" t="s">
        <v>3655</v>
      </c>
      <c r="H8161" s="4" t="s">
        <v>380</v>
      </c>
      <c r="I8161" s="4">
        <v>1</v>
      </c>
      <c r="J8161" s="21">
        <v>265</v>
      </c>
      <c r="K8161" s="21">
        <v>265</v>
      </c>
      <c r="L8161" s="5">
        <v>0</v>
      </c>
      <c r="M8161" s="4"/>
      <c r="N8161" s="4"/>
      <c r="O8161" s="5"/>
      <c r="P8161" s="5"/>
      <c r="Q8161" s="21">
        <v>0</v>
      </c>
      <c r="R8161" s="21">
        <v>0</v>
      </c>
      <c r="S8161" s="5">
        <f t="shared" si="511"/>
        <v>57028.904446636712</v>
      </c>
      <c r="T8161" cm="1">
        <f t="array" ref="T8161">IF(OR(B8161="MAL ALIMI", B8161="ÜRETİM GİRİŞ"), MIN(I8161, MAX(0, I8161 + SUM(SUMIFS($I$1:I8160, $C$1:C8160, C8161, $B$1:B8160, {"MAL ALIMI","ÜRETİM GİRİŞ"})) - VLOOKUP(C8161, 'STOK RAPORU'!$C$2:$I$1000, 4, 0))), 0)</f>
        <v>0</v>
      </c>
      <c r="U8161" s="22">
        <f t="shared" si="508"/>
        <v>0</v>
      </c>
      <c r="V8161">
        <f t="shared" si="509"/>
        <v>0</v>
      </c>
      <c r="W8161" s="22">
        <f t="shared" si="510"/>
        <v>0</v>
      </c>
    </row>
    <row r="8162" spans="1:23" hidden="1" x14ac:dyDescent="0.25">
      <c r="A8162" s="3">
        <v>46214</v>
      </c>
      <c r="B8162" s="46" t="s">
        <v>334</v>
      </c>
      <c r="C8162" s="4" t="s">
        <v>133</v>
      </c>
      <c r="D8162" s="4"/>
      <c r="E8162" s="4" t="s">
        <v>921</v>
      </c>
      <c r="F8162" s="4" t="s">
        <v>3876</v>
      </c>
      <c r="G8162" s="4" t="s">
        <v>3655</v>
      </c>
      <c r="H8162" s="4" t="s">
        <v>380</v>
      </c>
      <c r="I8162" s="4">
        <v>2</v>
      </c>
      <c r="J8162" s="21">
        <v>250</v>
      </c>
      <c r="K8162" s="21">
        <v>500</v>
      </c>
      <c r="L8162" s="5">
        <v>0</v>
      </c>
      <c r="M8162" s="4"/>
      <c r="N8162" s="4"/>
      <c r="O8162" s="5"/>
      <c r="P8162" s="5"/>
      <c r="Q8162" s="21">
        <v>0</v>
      </c>
      <c r="R8162" s="21">
        <v>0</v>
      </c>
      <c r="S8162" s="5">
        <f t="shared" si="511"/>
        <v>57028.904446636712</v>
      </c>
      <c r="T8162" cm="1">
        <f t="array" ref="T8162">IF(OR(B8162="MAL ALIMI", B8162="ÜRETİM GİRİŞ"), MIN(I8162, MAX(0, I8162 + SUM(SUMIFS($I$1:I8161, $C$1:C8161, C8162, $B$1:B8161, {"MAL ALIMI","ÜRETİM GİRİŞ"})) - VLOOKUP(C8162, 'STOK RAPORU'!$C$2:$I$1000, 4, 0))), 0)</f>
        <v>0</v>
      </c>
      <c r="U8162" s="22">
        <f t="shared" si="508"/>
        <v>0</v>
      </c>
      <c r="V8162">
        <f t="shared" si="509"/>
        <v>0</v>
      </c>
      <c r="W8162" s="22">
        <f t="shared" si="510"/>
        <v>0</v>
      </c>
    </row>
    <row r="8163" spans="1:23" hidden="1" x14ac:dyDescent="0.25">
      <c r="A8163" s="3">
        <v>46214</v>
      </c>
      <c r="B8163" s="46" t="s">
        <v>334</v>
      </c>
      <c r="C8163" s="4" t="s">
        <v>96</v>
      </c>
      <c r="D8163" s="4"/>
      <c r="E8163" s="4" t="s">
        <v>921</v>
      </c>
      <c r="F8163" s="4" t="s">
        <v>3876</v>
      </c>
      <c r="G8163" s="4" t="s">
        <v>3655</v>
      </c>
      <c r="H8163" s="4" t="s">
        <v>380</v>
      </c>
      <c r="I8163" s="4">
        <v>1</v>
      </c>
      <c r="J8163" s="21">
        <v>260</v>
      </c>
      <c r="K8163" s="21">
        <v>260</v>
      </c>
      <c r="L8163" s="5">
        <v>0</v>
      </c>
      <c r="M8163" s="4"/>
      <c r="N8163" s="4"/>
      <c r="O8163" s="5"/>
      <c r="P8163" s="5"/>
      <c r="Q8163" s="21">
        <v>0</v>
      </c>
      <c r="R8163" s="21">
        <v>0</v>
      </c>
      <c r="S8163" s="5">
        <f t="shared" si="511"/>
        <v>57028.904446636712</v>
      </c>
      <c r="T8163" cm="1">
        <f t="array" ref="T8163">IF(OR(B8163="MAL ALIMI", B8163="ÜRETİM GİRİŞ"), MIN(I8163, MAX(0, I8163 + SUM(SUMIFS($I$1:I8162, $C$1:C8162, C8163, $B$1:B8162, {"MAL ALIMI","ÜRETİM GİRİŞ"})) - VLOOKUP(C8163, 'STOK RAPORU'!$C$2:$I$1000, 4, 0))), 0)</f>
        <v>0</v>
      </c>
      <c r="U8163" s="22">
        <f t="shared" si="508"/>
        <v>0</v>
      </c>
      <c r="V8163">
        <f t="shared" si="509"/>
        <v>0</v>
      </c>
      <c r="W8163" s="22">
        <f t="shared" si="510"/>
        <v>0</v>
      </c>
    </row>
    <row r="8164" spans="1:23" hidden="1" x14ac:dyDescent="0.25">
      <c r="A8164" s="3">
        <v>46214</v>
      </c>
      <c r="B8164" s="46" t="s">
        <v>334</v>
      </c>
      <c r="C8164" s="4" t="s">
        <v>529</v>
      </c>
      <c r="D8164" s="4"/>
      <c r="E8164" s="4" t="s">
        <v>921</v>
      </c>
      <c r="F8164" s="4" t="s">
        <v>3877</v>
      </c>
      <c r="G8164" s="4" t="s">
        <v>336</v>
      </c>
      <c r="H8164" s="4" t="s">
        <v>380</v>
      </c>
      <c r="I8164" s="4">
        <v>0.15</v>
      </c>
      <c r="J8164" s="21">
        <v>600</v>
      </c>
      <c r="K8164" s="21">
        <v>90</v>
      </c>
      <c r="L8164" s="5">
        <v>0</v>
      </c>
      <c r="M8164" s="4"/>
      <c r="N8164" s="4"/>
      <c r="O8164" s="5"/>
      <c r="P8164" s="5"/>
      <c r="Q8164" s="21">
        <v>0</v>
      </c>
      <c r="R8164" s="21">
        <v>0</v>
      </c>
      <c r="S8164" s="5">
        <f t="shared" si="511"/>
        <v>57028.904446636712</v>
      </c>
      <c r="T8164" cm="1">
        <f t="array" ref="T8164">IF(OR(B8164="MAL ALIMI", B8164="ÜRETİM GİRİŞ"), MIN(I8164, MAX(0, I8164 + SUM(SUMIFS($I$1:I8163, $C$1:C8163, C8164, $B$1:B8163, {"MAL ALIMI","ÜRETİM GİRİŞ"})) - VLOOKUP(C8164, 'STOK RAPORU'!$C$2:$I$1000, 4, 0))), 0)</f>
        <v>0</v>
      </c>
      <c r="U8164" s="22">
        <f t="shared" si="508"/>
        <v>0</v>
      </c>
      <c r="V8164">
        <f t="shared" si="509"/>
        <v>0</v>
      </c>
      <c r="W8164" s="22">
        <f t="shared" si="510"/>
        <v>0</v>
      </c>
    </row>
    <row r="8165" spans="1:23" hidden="1" x14ac:dyDescent="0.25">
      <c r="A8165" s="3">
        <v>46214</v>
      </c>
      <c r="B8165" s="46" t="s">
        <v>334</v>
      </c>
      <c r="C8165" s="4" t="s">
        <v>530</v>
      </c>
      <c r="D8165" s="4"/>
      <c r="E8165" s="4" t="s">
        <v>921</v>
      </c>
      <c r="F8165" s="4" t="s">
        <v>3878</v>
      </c>
      <c r="G8165" s="4" t="s">
        <v>336</v>
      </c>
      <c r="H8165" s="4" t="s">
        <v>380</v>
      </c>
      <c r="I8165" s="4">
        <v>0.5</v>
      </c>
      <c r="J8165" s="21">
        <v>300</v>
      </c>
      <c r="K8165" s="21">
        <v>150</v>
      </c>
      <c r="L8165" s="5">
        <v>0</v>
      </c>
      <c r="M8165" s="4"/>
      <c r="N8165" s="4"/>
      <c r="O8165" s="5"/>
      <c r="P8165" s="5"/>
      <c r="Q8165" s="21">
        <v>0</v>
      </c>
      <c r="R8165" s="21">
        <v>0</v>
      </c>
      <c r="S8165" s="5">
        <f t="shared" si="511"/>
        <v>57028.904446636712</v>
      </c>
      <c r="T8165" cm="1">
        <f t="array" ref="T8165">IF(OR(B8165="MAL ALIMI", B8165="ÜRETİM GİRİŞ"), MIN(I8165, MAX(0, I8165 + SUM(SUMIFS($I$1:I8164, $C$1:C8164, C8165, $B$1:B8164, {"MAL ALIMI","ÜRETİM GİRİŞ"})) - VLOOKUP(C8165, 'STOK RAPORU'!$C$2:$I$1000, 4, 0))), 0)</f>
        <v>0</v>
      </c>
      <c r="U8165" s="22">
        <f t="shared" si="508"/>
        <v>0</v>
      </c>
      <c r="V8165">
        <f t="shared" si="509"/>
        <v>0</v>
      </c>
      <c r="W8165" s="22">
        <f t="shared" si="510"/>
        <v>0</v>
      </c>
    </row>
    <row r="8166" spans="1:23" hidden="1" x14ac:dyDescent="0.25">
      <c r="A8166" s="3">
        <v>46214</v>
      </c>
      <c r="B8166" s="46" t="s">
        <v>334</v>
      </c>
      <c r="C8166" s="4" t="s">
        <v>248</v>
      </c>
      <c r="D8166" s="4"/>
      <c r="E8166" s="4"/>
      <c r="F8166" s="4" t="s">
        <v>3879</v>
      </c>
      <c r="G8166" s="4" t="s">
        <v>336</v>
      </c>
      <c r="H8166" s="4" t="s">
        <v>289</v>
      </c>
      <c r="I8166" s="4">
        <v>0.2</v>
      </c>
      <c r="J8166" s="21">
        <v>1000</v>
      </c>
      <c r="K8166" s="21">
        <v>0</v>
      </c>
      <c r="L8166" s="5">
        <v>0</v>
      </c>
      <c r="M8166" s="4"/>
      <c r="N8166" s="4"/>
      <c r="O8166" s="5"/>
      <c r="P8166" s="5"/>
      <c r="Q8166" s="21">
        <v>200</v>
      </c>
      <c r="R8166" s="21">
        <v>0</v>
      </c>
      <c r="S8166" s="5">
        <f t="shared" si="511"/>
        <v>57228.904446636712</v>
      </c>
      <c r="T8166" cm="1">
        <f t="array" ref="T8166">IF(OR(B8166="MAL ALIMI", B8166="ÜRETİM GİRİŞ"), MIN(I8166, MAX(0, I8166 + SUM(SUMIFS($I$1:I8165, $C$1:C8165, C8166, $B$1:B8165, {"MAL ALIMI","ÜRETİM GİRİŞ"})) - VLOOKUP(C8166, 'STOK RAPORU'!$C$2:$I$1000, 4, 0))), 0)</f>
        <v>0</v>
      </c>
      <c r="U8166" s="22">
        <f t="shared" si="508"/>
        <v>0</v>
      </c>
      <c r="V8166">
        <f t="shared" si="509"/>
        <v>0</v>
      </c>
      <c r="W8166" s="22">
        <f t="shared" si="510"/>
        <v>0</v>
      </c>
    </row>
    <row r="8167" spans="1:23" hidden="1" x14ac:dyDescent="0.25">
      <c r="A8167" s="3">
        <v>46214</v>
      </c>
      <c r="B8167" s="46" t="s">
        <v>334</v>
      </c>
      <c r="C8167" s="4" t="s">
        <v>246</v>
      </c>
      <c r="D8167" s="4"/>
      <c r="E8167" s="4"/>
      <c r="F8167" s="4" t="s">
        <v>3879</v>
      </c>
      <c r="G8167" s="4" t="s">
        <v>336</v>
      </c>
      <c r="H8167" s="4" t="s">
        <v>289</v>
      </c>
      <c r="I8167" s="4">
        <v>0.1</v>
      </c>
      <c r="J8167" s="21">
        <v>1500</v>
      </c>
      <c r="K8167" s="21">
        <v>0</v>
      </c>
      <c r="L8167" s="5">
        <v>0</v>
      </c>
      <c r="M8167" s="4"/>
      <c r="N8167" s="4"/>
      <c r="O8167" s="5"/>
      <c r="P8167" s="5"/>
      <c r="Q8167" s="21">
        <v>150</v>
      </c>
      <c r="R8167" s="21">
        <v>0</v>
      </c>
      <c r="S8167" s="5">
        <f t="shared" si="511"/>
        <v>57378.904446636712</v>
      </c>
      <c r="T8167" cm="1">
        <f t="array" ref="T8167">IF(OR(B8167="MAL ALIMI", B8167="ÜRETİM GİRİŞ"), MIN(I8167, MAX(0, I8167 + SUM(SUMIFS($I$1:I8166, $C$1:C8166, C8167, $B$1:B8166, {"MAL ALIMI","ÜRETİM GİRİŞ"})) - VLOOKUP(C8167, 'STOK RAPORU'!$C$2:$I$1000, 4, 0))), 0)</f>
        <v>0</v>
      </c>
      <c r="U8167" s="22">
        <f t="shared" si="508"/>
        <v>0</v>
      </c>
      <c r="V8167">
        <f t="shared" si="509"/>
        <v>0</v>
      </c>
      <c r="W8167" s="22">
        <f t="shared" si="510"/>
        <v>0</v>
      </c>
    </row>
    <row r="8168" spans="1:23" hidden="1" x14ac:dyDescent="0.25">
      <c r="A8168" s="3">
        <v>46214</v>
      </c>
      <c r="B8168" s="46" t="s">
        <v>334</v>
      </c>
      <c r="C8168" s="4" t="s">
        <v>648</v>
      </c>
      <c r="D8168" s="4"/>
      <c r="E8168" s="4"/>
      <c r="F8168" s="4" t="s">
        <v>3879</v>
      </c>
      <c r="G8168" s="4" t="s">
        <v>336</v>
      </c>
      <c r="H8168" s="4" t="s">
        <v>289</v>
      </c>
      <c r="I8168" s="4">
        <v>0.15384615384615385</v>
      </c>
      <c r="J8168" s="21">
        <v>650</v>
      </c>
      <c r="K8168" s="21">
        <v>0</v>
      </c>
      <c r="L8168" s="5">
        <v>0</v>
      </c>
      <c r="M8168" s="4"/>
      <c r="N8168" s="4"/>
      <c r="O8168" s="5"/>
      <c r="P8168" s="5"/>
      <c r="Q8168" s="21">
        <v>100</v>
      </c>
      <c r="R8168" s="21">
        <v>0</v>
      </c>
      <c r="S8168" s="5">
        <f t="shared" si="511"/>
        <v>57478.904446636712</v>
      </c>
      <c r="T8168" cm="1">
        <f t="array" ref="T8168">IF(OR(B8168="MAL ALIMI", B8168="ÜRETİM GİRİŞ"), MIN(I8168, MAX(0, I8168 + SUM(SUMIFS($I$1:I8167, $C$1:C8167, C8168, $B$1:B8167, {"MAL ALIMI","ÜRETİM GİRİŞ"})) - VLOOKUP(C8168, 'STOK RAPORU'!$C$2:$I$1000, 4, 0))), 0)</f>
        <v>0</v>
      </c>
      <c r="U8168" s="22">
        <f t="shared" si="508"/>
        <v>0</v>
      </c>
      <c r="V8168">
        <f t="shared" si="509"/>
        <v>0</v>
      </c>
      <c r="W8168" s="22">
        <f t="shared" si="510"/>
        <v>0</v>
      </c>
    </row>
    <row r="8169" spans="1:23" hidden="1" x14ac:dyDescent="0.25">
      <c r="A8169" s="3">
        <v>46214</v>
      </c>
      <c r="B8169" s="46" t="s">
        <v>334</v>
      </c>
      <c r="C8169" s="4" t="s">
        <v>2125</v>
      </c>
      <c r="D8169" s="4"/>
      <c r="E8169" s="4"/>
      <c r="F8169" s="4" t="s">
        <v>3879</v>
      </c>
      <c r="G8169" s="4" t="s">
        <v>336</v>
      </c>
      <c r="H8169" s="4" t="s">
        <v>289</v>
      </c>
      <c r="I8169" s="4">
        <v>0.28378378378378377</v>
      </c>
      <c r="J8169" s="21">
        <v>370</v>
      </c>
      <c r="K8169" s="21">
        <v>0</v>
      </c>
      <c r="L8169" s="5">
        <v>0</v>
      </c>
      <c r="M8169" s="4"/>
      <c r="N8169" s="4"/>
      <c r="O8169" s="5"/>
      <c r="P8169" s="5"/>
      <c r="Q8169" s="21">
        <v>105</v>
      </c>
      <c r="R8169" s="21">
        <v>0</v>
      </c>
      <c r="S8169" s="5">
        <f t="shared" si="511"/>
        <v>57583.904446636712</v>
      </c>
      <c r="T8169" cm="1">
        <f t="array" ref="T8169">IF(OR(B8169="MAL ALIMI", B8169="ÜRETİM GİRİŞ"), MIN(I8169, MAX(0, I8169 + SUM(SUMIFS($I$1:I8168, $C$1:C8168, C8169, $B$1:B8168, {"MAL ALIMI","ÜRETİM GİRİŞ"})) - VLOOKUP(C8169, 'STOK RAPORU'!$C$2:$I$1000, 4, 0))), 0)</f>
        <v>0</v>
      </c>
      <c r="U8169" s="22">
        <f t="shared" si="508"/>
        <v>0</v>
      </c>
      <c r="V8169">
        <f t="shared" si="509"/>
        <v>0</v>
      </c>
      <c r="W8169" s="22">
        <f t="shared" si="510"/>
        <v>0</v>
      </c>
    </row>
    <row r="8170" spans="1:23" hidden="1" x14ac:dyDescent="0.25">
      <c r="A8170" s="3">
        <v>46214</v>
      </c>
      <c r="B8170" s="46" t="s">
        <v>334</v>
      </c>
      <c r="C8170" s="4" t="s">
        <v>728</v>
      </c>
      <c r="D8170" s="4"/>
      <c r="E8170" s="4"/>
      <c r="F8170" s="4" t="s">
        <v>3879</v>
      </c>
      <c r="G8170" s="4" t="s">
        <v>336</v>
      </c>
      <c r="H8170" s="4" t="s">
        <v>289</v>
      </c>
      <c r="I8170" s="4">
        <v>0.25230769230769229</v>
      </c>
      <c r="J8170" s="21">
        <v>650</v>
      </c>
      <c r="K8170" s="21">
        <v>0</v>
      </c>
      <c r="L8170" s="5">
        <v>0</v>
      </c>
      <c r="M8170" s="4"/>
      <c r="N8170" s="4"/>
      <c r="O8170" s="5"/>
      <c r="P8170" s="5"/>
      <c r="Q8170" s="21">
        <v>164</v>
      </c>
      <c r="R8170" s="21">
        <v>0</v>
      </c>
      <c r="S8170" s="5">
        <f t="shared" si="511"/>
        <v>57747.904446636712</v>
      </c>
      <c r="T8170" cm="1">
        <f t="array" ref="T8170">IF(OR(B8170="MAL ALIMI", B8170="ÜRETİM GİRİŞ"), MIN(I8170, MAX(0, I8170 + SUM(SUMIFS($I$1:I8169, $C$1:C8169, C8170, $B$1:B8169, {"MAL ALIMI","ÜRETİM GİRİŞ"})) - VLOOKUP(C8170, 'STOK RAPORU'!$C$2:$I$1000, 4, 0))), 0)</f>
        <v>0</v>
      </c>
      <c r="U8170" s="22">
        <f t="shared" si="508"/>
        <v>0</v>
      </c>
      <c r="V8170">
        <f t="shared" si="509"/>
        <v>0</v>
      </c>
      <c r="W8170" s="22">
        <f t="shared" si="510"/>
        <v>0</v>
      </c>
    </row>
    <row r="8171" spans="1:23" hidden="1" x14ac:dyDescent="0.25">
      <c r="A8171" s="3">
        <v>46214</v>
      </c>
      <c r="B8171" s="46" t="s">
        <v>334</v>
      </c>
      <c r="C8171" s="4" t="s">
        <v>199</v>
      </c>
      <c r="D8171" s="4"/>
      <c r="E8171" s="4"/>
      <c r="F8171" s="4" t="s">
        <v>3879</v>
      </c>
      <c r="G8171" s="4" t="s">
        <v>336</v>
      </c>
      <c r="H8171" s="4" t="s">
        <v>289</v>
      </c>
      <c r="I8171" s="4">
        <v>0.30133333333333334</v>
      </c>
      <c r="J8171" s="21">
        <v>750</v>
      </c>
      <c r="K8171" s="21">
        <v>0</v>
      </c>
      <c r="L8171" s="5">
        <v>0</v>
      </c>
      <c r="M8171" s="4"/>
      <c r="N8171" s="4"/>
      <c r="O8171" s="5"/>
      <c r="P8171" s="5"/>
      <c r="Q8171" s="21">
        <v>226</v>
      </c>
      <c r="R8171" s="21">
        <v>0</v>
      </c>
      <c r="S8171" s="5">
        <f t="shared" si="511"/>
        <v>57973.904446636712</v>
      </c>
      <c r="T8171" cm="1">
        <f t="array" ref="T8171">IF(OR(B8171="MAL ALIMI", B8171="ÜRETİM GİRİŞ"), MIN(I8171, MAX(0, I8171 + SUM(SUMIFS($I$1:I8170, $C$1:C8170, C8171, $B$1:B8170, {"MAL ALIMI","ÜRETİM GİRİŞ"})) - VLOOKUP(C8171, 'STOK RAPORU'!$C$2:$I$1000, 4, 0))), 0)</f>
        <v>0</v>
      </c>
      <c r="U8171" s="22">
        <f t="shared" si="508"/>
        <v>0</v>
      </c>
      <c r="V8171">
        <f t="shared" si="509"/>
        <v>0</v>
      </c>
      <c r="W8171" s="22">
        <f t="shared" si="510"/>
        <v>0</v>
      </c>
    </row>
    <row r="8172" spans="1:23" hidden="1" x14ac:dyDescent="0.25">
      <c r="A8172" s="3">
        <v>46214</v>
      </c>
      <c r="B8172" s="46" t="s">
        <v>334</v>
      </c>
      <c r="C8172" s="4" t="s">
        <v>1500</v>
      </c>
      <c r="D8172" s="4"/>
      <c r="E8172" s="4" t="s">
        <v>921</v>
      </c>
      <c r="F8172" s="4" t="s">
        <v>3880</v>
      </c>
      <c r="G8172" s="4" t="s">
        <v>336</v>
      </c>
      <c r="H8172" s="4" t="s">
        <v>380</v>
      </c>
      <c r="I8172" s="4">
        <v>1</v>
      </c>
      <c r="J8172" s="21">
        <v>275</v>
      </c>
      <c r="K8172" s="21">
        <v>275</v>
      </c>
      <c r="L8172" s="5">
        <v>0</v>
      </c>
      <c r="M8172" s="4"/>
      <c r="N8172" s="4"/>
      <c r="O8172" s="5"/>
      <c r="P8172" s="5"/>
      <c r="Q8172" s="21">
        <v>0</v>
      </c>
      <c r="R8172" s="21">
        <v>0</v>
      </c>
      <c r="S8172" s="5">
        <f t="shared" si="511"/>
        <v>57973.904446636712</v>
      </c>
      <c r="T8172" cm="1">
        <f t="array" ref="T8172">IF(OR(B8172="MAL ALIMI", B8172="ÜRETİM GİRİŞ"), MIN(I8172, MAX(0, I8172 + SUM(SUMIFS($I$1:I8171, $C$1:C8171, C8172, $B$1:B8171, {"MAL ALIMI","ÜRETİM GİRİŞ"})) - VLOOKUP(C8172, 'STOK RAPORU'!$C$2:$I$1000, 4, 0))), 0)</f>
        <v>0</v>
      </c>
      <c r="U8172" s="22">
        <f t="shared" si="508"/>
        <v>0</v>
      </c>
      <c r="V8172">
        <f t="shared" si="509"/>
        <v>0</v>
      </c>
      <c r="W8172" s="22">
        <f t="shared" si="510"/>
        <v>0</v>
      </c>
    </row>
    <row r="8173" spans="1:23" hidden="1" x14ac:dyDescent="0.25">
      <c r="A8173" s="3">
        <v>46214</v>
      </c>
      <c r="B8173" s="46" t="s">
        <v>334</v>
      </c>
      <c r="C8173" s="4" t="s">
        <v>253</v>
      </c>
      <c r="D8173" s="4"/>
      <c r="E8173" s="4" t="s">
        <v>921</v>
      </c>
      <c r="F8173" s="4" t="s">
        <v>3880</v>
      </c>
      <c r="G8173" s="4" t="s">
        <v>336</v>
      </c>
      <c r="H8173" s="4" t="s">
        <v>380</v>
      </c>
      <c r="I8173" s="4">
        <v>0.3</v>
      </c>
      <c r="J8173" s="21">
        <v>250</v>
      </c>
      <c r="K8173" s="21">
        <v>75</v>
      </c>
      <c r="L8173" s="5">
        <v>0</v>
      </c>
      <c r="M8173" s="4"/>
      <c r="N8173" s="4"/>
      <c r="O8173" s="5"/>
      <c r="P8173" s="5"/>
      <c r="Q8173" s="21">
        <v>0</v>
      </c>
      <c r="R8173" s="21">
        <v>0</v>
      </c>
      <c r="S8173" s="5">
        <f t="shared" si="511"/>
        <v>57973.904446636712</v>
      </c>
      <c r="T8173" cm="1">
        <f t="array" ref="T8173">IF(OR(B8173="MAL ALIMI", B8173="ÜRETİM GİRİŞ"), MIN(I8173, MAX(0, I8173 + SUM(SUMIFS($I$1:I8172, $C$1:C8172, C8173, $B$1:B8172, {"MAL ALIMI","ÜRETİM GİRİŞ"})) - VLOOKUP(C8173, 'STOK RAPORU'!$C$2:$I$1000, 4, 0))), 0)</f>
        <v>0</v>
      </c>
      <c r="U8173" s="22">
        <f t="shared" si="508"/>
        <v>0</v>
      </c>
      <c r="V8173">
        <f t="shared" si="509"/>
        <v>0</v>
      </c>
      <c r="W8173" s="22">
        <f t="shared" si="510"/>
        <v>0</v>
      </c>
    </row>
    <row r="8174" spans="1:23" hidden="1" x14ac:dyDescent="0.25">
      <c r="A8174" s="3">
        <v>46214</v>
      </c>
      <c r="B8174" s="46" t="s">
        <v>334</v>
      </c>
      <c r="C8174" s="4" t="s">
        <v>60</v>
      </c>
      <c r="D8174" s="4"/>
      <c r="E8174" s="4" t="s">
        <v>921</v>
      </c>
      <c r="F8174" s="4" t="s">
        <v>3880</v>
      </c>
      <c r="G8174" s="4" t="s">
        <v>336</v>
      </c>
      <c r="H8174" s="4" t="s">
        <v>380</v>
      </c>
      <c r="I8174" s="4">
        <v>0.05</v>
      </c>
      <c r="J8174" s="21">
        <v>1200</v>
      </c>
      <c r="K8174" s="21">
        <v>60</v>
      </c>
      <c r="L8174" s="5">
        <v>0</v>
      </c>
      <c r="M8174" s="4"/>
      <c r="N8174" s="4"/>
      <c r="O8174" s="5"/>
      <c r="P8174" s="5"/>
      <c r="Q8174" s="21">
        <v>0</v>
      </c>
      <c r="R8174" s="21">
        <v>0</v>
      </c>
      <c r="S8174" s="5">
        <f t="shared" si="511"/>
        <v>57973.904446636712</v>
      </c>
      <c r="T8174" cm="1">
        <f t="array" ref="T8174">IF(OR(B8174="MAL ALIMI", B8174="ÜRETİM GİRİŞ"), MIN(I8174, MAX(0, I8174 + SUM(SUMIFS($I$1:I8173, $C$1:C8173, C8174, $B$1:B8173, {"MAL ALIMI","ÜRETİM GİRİŞ"})) - VLOOKUP(C8174, 'STOK RAPORU'!$C$2:$I$1000, 4, 0))), 0)</f>
        <v>0</v>
      </c>
      <c r="U8174" s="22">
        <f t="shared" si="508"/>
        <v>0</v>
      </c>
      <c r="V8174">
        <f t="shared" si="509"/>
        <v>0</v>
      </c>
      <c r="W8174" s="22">
        <f t="shared" si="510"/>
        <v>0</v>
      </c>
    </row>
    <row r="8175" spans="1:23" hidden="1" x14ac:dyDescent="0.25">
      <c r="A8175" s="3">
        <v>46214</v>
      </c>
      <c r="B8175" s="46" t="s">
        <v>334</v>
      </c>
      <c r="C8175" s="4" t="s">
        <v>463</v>
      </c>
      <c r="D8175" s="4"/>
      <c r="E8175" s="4"/>
      <c r="F8175" s="4" t="s">
        <v>3881</v>
      </c>
      <c r="G8175" s="4" t="s">
        <v>3835</v>
      </c>
      <c r="H8175" s="4" t="s">
        <v>289</v>
      </c>
      <c r="I8175" s="4">
        <v>1.5</v>
      </c>
      <c r="J8175" s="21">
        <v>290</v>
      </c>
      <c r="K8175" s="21">
        <v>0</v>
      </c>
      <c r="L8175" s="5">
        <v>0</v>
      </c>
      <c r="M8175" s="4"/>
      <c r="N8175" s="4"/>
      <c r="O8175" s="5"/>
      <c r="P8175" s="5"/>
      <c r="Q8175" s="21">
        <v>435</v>
      </c>
      <c r="R8175" s="21">
        <v>0</v>
      </c>
      <c r="S8175" s="5">
        <f t="shared" si="511"/>
        <v>58408.904446636712</v>
      </c>
      <c r="T8175" cm="1">
        <f t="array" ref="T8175">IF(OR(B8175="MAL ALIMI", B8175="ÜRETİM GİRİŞ"), MIN(I8175, MAX(0, I8175 + SUM(SUMIFS($I$1:I8174, $C$1:C8174, C8175, $B$1:B8174, {"MAL ALIMI","ÜRETİM GİRİŞ"})) - VLOOKUP(C8175, 'STOK RAPORU'!$C$2:$I$1000, 4, 0))), 0)</f>
        <v>0</v>
      </c>
      <c r="U8175" s="22">
        <f t="shared" si="508"/>
        <v>0</v>
      </c>
      <c r="V8175">
        <f t="shared" si="509"/>
        <v>0</v>
      </c>
      <c r="W8175" s="22">
        <f t="shared" si="510"/>
        <v>0</v>
      </c>
    </row>
    <row r="8176" spans="1:23" hidden="1" x14ac:dyDescent="0.25">
      <c r="A8176" s="3">
        <v>46214</v>
      </c>
      <c r="B8176" s="46" t="s">
        <v>334</v>
      </c>
      <c r="C8176" s="4" t="s">
        <v>133</v>
      </c>
      <c r="D8176" s="4"/>
      <c r="E8176" s="4"/>
      <c r="F8176" s="4" t="s">
        <v>3881</v>
      </c>
      <c r="G8176" s="4" t="s">
        <v>3835</v>
      </c>
      <c r="H8176" s="4" t="s">
        <v>289</v>
      </c>
      <c r="I8176" s="4">
        <v>1.8666666666666667</v>
      </c>
      <c r="J8176" s="21">
        <v>315</v>
      </c>
      <c r="K8176" s="21">
        <v>0</v>
      </c>
      <c r="L8176" s="5">
        <v>0</v>
      </c>
      <c r="M8176" s="4"/>
      <c r="N8176" s="4"/>
      <c r="O8176" s="5"/>
      <c r="P8176" s="5"/>
      <c r="Q8176" s="21">
        <v>588</v>
      </c>
      <c r="R8176" s="21">
        <v>0</v>
      </c>
      <c r="S8176" s="5">
        <f t="shared" si="511"/>
        <v>58996.904446636712</v>
      </c>
      <c r="T8176" cm="1">
        <f t="array" ref="T8176">IF(OR(B8176="MAL ALIMI", B8176="ÜRETİM GİRİŞ"), MIN(I8176, MAX(0, I8176 + SUM(SUMIFS($I$1:I8175, $C$1:C8175, C8176, $B$1:B8175, {"MAL ALIMI","ÜRETİM GİRİŞ"})) - VLOOKUP(C8176, 'STOK RAPORU'!$C$2:$I$1000, 4, 0))), 0)</f>
        <v>0</v>
      </c>
      <c r="U8176" s="22">
        <f t="shared" ref="U8176:U8239" si="512">T8176*J8176</f>
        <v>0</v>
      </c>
      <c r="V8176">
        <f t="shared" ref="V8176:V8239" si="513">IF(OR(B8176="MAL ALIMI", B8176="ÜRETİM GİRİŞ"), I8176 * J8176, 0)</f>
        <v>0</v>
      </c>
      <c r="W8176" s="22">
        <f t="shared" ref="W8176:W8239" si="514">V8176-U8176</f>
        <v>0</v>
      </c>
    </row>
    <row r="8177" spans="1:23" hidden="1" x14ac:dyDescent="0.25">
      <c r="A8177" s="3">
        <v>46214</v>
      </c>
      <c r="B8177" s="46" t="s">
        <v>334</v>
      </c>
      <c r="C8177" s="4" t="s">
        <v>2243</v>
      </c>
      <c r="D8177" s="4"/>
      <c r="E8177" s="4"/>
      <c r="F8177" s="4" t="s">
        <v>3881</v>
      </c>
      <c r="G8177" s="4" t="s">
        <v>3835</v>
      </c>
      <c r="H8177" s="4" t="s">
        <v>289</v>
      </c>
      <c r="I8177" s="4">
        <v>0.67532467532467533</v>
      </c>
      <c r="J8177" s="21">
        <v>380.57</v>
      </c>
      <c r="K8177" s="21">
        <v>0</v>
      </c>
      <c r="L8177" s="5">
        <v>0</v>
      </c>
      <c r="M8177" s="4"/>
      <c r="N8177" s="4"/>
      <c r="O8177" s="5"/>
      <c r="P8177" s="5"/>
      <c r="Q8177" s="21">
        <v>257.00831168831166</v>
      </c>
      <c r="R8177" s="21">
        <v>0</v>
      </c>
      <c r="S8177" s="5">
        <f t="shared" si="511"/>
        <v>59253.912758325023</v>
      </c>
      <c r="T8177" cm="1">
        <f t="array" ref="T8177">IF(OR(B8177="MAL ALIMI", B8177="ÜRETİM GİRİŞ"), MIN(I8177, MAX(0, I8177 + SUM(SUMIFS($I$1:I8176, $C$1:C8176, C8177, $B$1:B8176, {"MAL ALIMI","ÜRETİM GİRİŞ"})) - VLOOKUP(C8177, 'STOK RAPORU'!$C$2:$I$1000, 4, 0))), 0)</f>
        <v>0</v>
      </c>
      <c r="U8177" s="22">
        <f t="shared" si="512"/>
        <v>0</v>
      </c>
      <c r="V8177">
        <f t="shared" si="513"/>
        <v>0</v>
      </c>
      <c r="W8177" s="22">
        <f t="shared" si="514"/>
        <v>0</v>
      </c>
    </row>
    <row r="8178" spans="1:23" hidden="1" x14ac:dyDescent="0.25">
      <c r="A8178" s="3">
        <v>46214</v>
      </c>
      <c r="B8178" s="46" t="s">
        <v>334</v>
      </c>
      <c r="C8178" s="4" t="s">
        <v>160</v>
      </c>
      <c r="D8178" s="4"/>
      <c r="E8178" s="4" t="s">
        <v>921</v>
      </c>
      <c r="F8178" s="4" t="s">
        <v>3882</v>
      </c>
      <c r="G8178" s="4" t="s">
        <v>336</v>
      </c>
      <c r="H8178" s="4" t="s">
        <v>380</v>
      </c>
      <c r="I8178" s="4">
        <v>0.5</v>
      </c>
      <c r="J8178" s="21">
        <v>270</v>
      </c>
      <c r="K8178" s="21">
        <v>135</v>
      </c>
      <c r="L8178" s="5">
        <v>0</v>
      </c>
      <c r="M8178" s="4"/>
      <c r="N8178" s="4"/>
      <c r="O8178" s="5"/>
      <c r="P8178" s="5"/>
      <c r="Q8178" s="21">
        <v>0</v>
      </c>
      <c r="R8178" s="21">
        <v>0</v>
      </c>
      <c r="S8178" s="5">
        <f t="shared" si="511"/>
        <v>59253.912758325023</v>
      </c>
      <c r="T8178" cm="1">
        <f t="array" ref="T8178">IF(OR(B8178="MAL ALIMI", B8178="ÜRETİM GİRİŞ"), MIN(I8178, MAX(0, I8178 + SUM(SUMIFS($I$1:I8177, $C$1:C8177, C8178, $B$1:B8177, {"MAL ALIMI","ÜRETİM GİRİŞ"})) - VLOOKUP(C8178, 'STOK RAPORU'!$C$2:$I$1000, 4, 0))), 0)</f>
        <v>0</v>
      </c>
      <c r="U8178" s="22">
        <f t="shared" si="512"/>
        <v>0</v>
      </c>
      <c r="V8178">
        <f t="shared" si="513"/>
        <v>0</v>
      </c>
      <c r="W8178" s="22">
        <f t="shared" si="514"/>
        <v>0</v>
      </c>
    </row>
    <row r="8179" spans="1:23" hidden="1" x14ac:dyDescent="0.25">
      <c r="A8179" s="3">
        <v>46214</v>
      </c>
      <c r="B8179" s="46" t="s">
        <v>334</v>
      </c>
      <c r="C8179" s="4" t="s">
        <v>161</v>
      </c>
      <c r="D8179" s="4"/>
      <c r="E8179" s="4" t="s">
        <v>921</v>
      </c>
      <c r="F8179" s="4" t="s">
        <v>3882</v>
      </c>
      <c r="G8179" s="4" t="s">
        <v>336</v>
      </c>
      <c r="H8179" s="4" t="s">
        <v>380</v>
      </c>
      <c r="I8179" s="4">
        <v>0.2</v>
      </c>
      <c r="J8179" s="21">
        <v>250</v>
      </c>
      <c r="K8179" s="21">
        <v>50</v>
      </c>
      <c r="L8179" s="5">
        <v>0</v>
      </c>
      <c r="M8179" s="4"/>
      <c r="N8179" s="4"/>
      <c r="O8179" s="5"/>
      <c r="P8179" s="5"/>
      <c r="Q8179" s="21">
        <v>0</v>
      </c>
      <c r="R8179" s="21">
        <v>0</v>
      </c>
      <c r="S8179" s="5">
        <f t="shared" si="511"/>
        <v>59253.912758325023</v>
      </c>
      <c r="T8179" cm="1">
        <f t="array" ref="T8179">IF(OR(B8179="MAL ALIMI", B8179="ÜRETİM GİRİŞ"), MIN(I8179, MAX(0, I8179 + SUM(SUMIFS($I$1:I8178, $C$1:C8178, C8179, $B$1:B8178, {"MAL ALIMI","ÜRETİM GİRİŞ"})) - VLOOKUP(C8179, 'STOK RAPORU'!$C$2:$I$1000, 4, 0))), 0)</f>
        <v>0</v>
      </c>
      <c r="U8179" s="22">
        <f t="shared" si="512"/>
        <v>0</v>
      </c>
      <c r="V8179">
        <f t="shared" si="513"/>
        <v>0</v>
      </c>
      <c r="W8179" s="22">
        <f t="shared" si="514"/>
        <v>0</v>
      </c>
    </row>
    <row r="8180" spans="1:23" hidden="1" x14ac:dyDescent="0.25">
      <c r="A8180" s="3">
        <v>46214</v>
      </c>
      <c r="B8180" s="46" t="s">
        <v>334</v>
      </c>
      <c r="C8180" s="4" t="s">
        <v>167</v>
      </c>
      <c r="D8180" s="4"/>
      <c r="E8180" s="4" t="s">
        <v>921</v>
      </c>
      <c r="F8180" s="4" t="s">
        <v>3882</v>
      </c>
      <c r="G8180" s="4" t="s">
        <v>336</v>
      </c>
      <c r="H8180" s="4" t="s">
        <v>380</v>
      </c>
      <c r="I8180" s="4">
        <v>0.3</v>
      </c>
      <c r="J8180" s="21">
        <v>250</v>
      </c>
      <c r="K8180" s="21">
        <v>75</v>
      </c>
      <c r="L8180" s="5">
        <v>0</v>
      </c>
      <c r="M8180" s="4"/>
      <c r="N8180" s="4"/>
      <c r="O8180" s="5"/>
      <c r="P8180" s="5"/>
      <c r="Q8180" s="21">
        <v>0</v>
      </c>
      <c r="R8180" s="21">
        <v>0</v>
      </c>
      <c r="S8180" s="5">
        <f t="shared" si="511"/>
        <v>59253.912758325023</v>
      </c>
      <c r="T8180" cm="1">
        <f t="array" ref="T8180">IF(OR(B8180="MAL ALIMI", B8180="ÜRETİM GİRİŞ"), MIN(I8180, MAX(0, I8180 + SUM(SUMIFS($I$1:I8179, $C$1:C8179, C8180, $B$1:B8179, {"MAL ALIMI","ÜRETİM GİRİŞ"})) - VLOOKUP(C8180, 'STOK RAPORU'!$C$2:$I$1000, 4, 0))), 0)</f>
        <v>0</v>
      </c>
      <c r="U8180" s="22">
        <f t="shared" si="512"/>
        <v>0</v>
      </c>
      <c r="V8180">
        <f t="shared" si="513"/>
        <v>0</v>
      </c>
      <c r="W8180" s="22">
        <f t="shared" si="514"/>
        <v>0</v>
      </c>
    </row>
    <row r="8181" spans="1:23" hidden="1" x14ac:dyDescent="0.25">
      <c r="A8181" s="3">
        <v>46214</v>
      </c>
      <c r="B8181" s="46" t="s">
        <v>334</v>
      </c>
      <c r="C8181" s="4" t="s">
        <v>89</v>
      </c>
      <c r="D8181" s="4"/>
      <c r="E8181" s="4" t="s">
        <v>921</v>
      </c>
      <c r="F8181" s="4" t="s">
        <v>3882</v>
      </c>
      <c r="G8181" s="4" t="s">
        <v>336</v>
      </c>
      <c r="H8181" s="4" t="s">
        <v>380</v>
      </c>
      <c r="I8181" s="4">
        <v>0.1</v>
      </c>
      <c r="J8181" s="21">
        <v>750</v>
      </c>
      <c r="K8181" s="21">
        <v>75</v>
      </c>
      <c r="L8181" s="5">
        <v>0</v>
      </c>
      <c r="M8181" s="4"/>
      <c r="N8181" s="4"/>
      <c r="O8181" s="5"/>
      <c r="P8181" s="5"/>
      <c r="Q8181" s="21">
        <v>0</v>
      </c>
      <c r="R8181" s="21">
        <v>0</v>
      </c>
      <c r="S8181" s="5">
        <f t="shared" si="511"/>
        <v>59253.912758325023</v>
      </c>
      <c r="T8181" cm="1">
        <f t="array" ref="T8181">IF(OR(B8181="MAL ALIMI", B8181="ÜRETİM GİRİŞ"), MIN(I8181, MAX(0, I8181 + SUM(SUMIFS($I$1:I8180, $C$1:C8180, C8181, $B$1:B8180, {"MAL ALIMI","ÜRETİM GİRİŞ"})) - VLOOKUP(C8181, 'STOK RAPORU'!$C$2:$I$1000, 4, 0))), 0)</f>
        <v>0</v>
      </c>
      <c r="U8181" s="22">
        <f t="shared" si="512"/>
        <v>0</v>
      </c>
      <c r="V8181">
        <f t="shared" si="513"/>
        <v>0</v>
      </c>
      <c r="W8181" s="22">
        <f t="shared" si="514"/>
        <v>0</v>
      </c>
    </row>
    <row r="8182" spans="1:23" hidden="1" x14ac:dyDescent="0.25">
      <c r="A8182" s="3">
        <v>46214</v>
      </c>
      <c r="B8182" s="46" t="s">
        <v>946</v>
      </c>
      <c r="C8182" s="4"/>
      <c r="D8182" s="4"/>
      <c r="E8182" s="4" t="s">
        <v>921</v>
      </c>
      <c r="F8182" s="4"/>
      <c r="G8182" s="4" t="s">
        <v>946</v>
      </c>
      <c r="H8182" s="4" t="s">
        <v>380</v>
      </c>
      <c r="I8182" s="4">
        <v>1</v>
      </c>
      <c r="J8182" s="21">
        <v>768</v>
      </c>
      <c r="K8182" s="21">
        <f>IF(AND(B8182="MAL SATIŞI", H8182="POS"),I8182*J8182,0)</f>
        <v>0</v>
      </c>
      <c r="L8182" s="111">
        <v>768</v>
      </c>
      <c r="M8182" s="4"/>
      <c r="N8182" s="4"/>
      <c r="O8182" s="5"/>
      <c r="P8182" s="5"/>
      <c r="Q8182" s="21">
        <v>768</v>
      </c>
      <c r="R8182" s="21">
        <f>IF(AND(E8182="", B8182&lt;&gt;"MAL SATIŞI"),I8182*J8182,0)</f>
        <v>0</v>
      </c>
      <c r="S8182" s="5">
        <f t="shared" si="511"/>
        <v>60021.912758325023</v>
      </c>
      <c r="T8182" cm="1">
        <f t="array" ref="T8182">IF(OR(B8182="MAL ALIMI", B8182="ÜRETİM GİRİŞ"), MIN(I8182, MAX(0, I8182 + SUM(SUMIFS($I$1:I8181, $C$1:C8181, C8182, $B$1:B8181, {"MAL ALIMI","ÜRETİM GİRİŞ"})) - VLOOKUP(C8182, 'STOK RAPORU'!$C$2:$I$1000, 4, 0))), 0)</f>
        <v>0</v>
      </c>
      <c r="U8182" s="22">
        <f t="shared" si="512"/>
        <v>0</v>
      </c>
      <c r="V8182">
        <f t="shared" si="513"/>
        <v>0</v>
      </c>
      <c r="W8182" s="22">
        <f t="shared" si="514"/>
        <v>0</v>
      </c>
    </row>
    <row r="8183" spans="1:23" hidden="1" x14ac:dyDescent="0.25">
      <c r="A8183" s="3">
        <v>46215</v>
      </c>
      <c r="B8183" s="46" t="s">
        <v>334</v>
      </c>
      <c r="C8183" s="4" t="s">
        <v>202</v>
      </c>
      <c r="D8183" s="4"/>
      <c r="E8183" s="4"/>
      <c r="F8183" s="4" t="s">
        <v>3883</v>
      </c>
      <c r="G8183" s="4" t="s">
        <v>336</v>
      </c>
      <c r="H8183" s="4" t="s">
        <v>289</v>
      </c>
      <c r="I8183" s="4">
        <v>1</v>
      </c>
      <c r="J8183" s="21">
        <v>80</v>
      </c>
      <c r="K8183" s="21">
        <v>0</v>
      </c>
      <c r="L8183" s="5">
        <v>0</v>
      </c>
      <c r="M8183" s="4"/>
      <c r="N8183" s="4"/>
      <c r="O8183" s="5"/>
      <c r="P8183" s="5"/>
      <c r="Q8183" s="21">
        <v>80</v>
      </c>
      <c r="R8183" s="21">
        <v>0</v>
      </c>
      <c r="S8183" s="5">
        <f t="shared" si="511"/>
        <v>60101.912758325023</v>
      </c>
      <c r="T8183" cm="1">
        <f t="array" ref="T8183">IF(OR(B8183="MAL ALIMI", B8183="ÜRETİM GİRİŞ"), MIN(I8183, MAX(0, I8183 + SUM(SUMIFS($I$1:I8182, $C$1:C8182, C8183, $B$1:B8182, {"MAL ALIMI","ÜRETİM GİRİŞ"})) - VLOOKUP(C8183, 'STOK RAPORU'!$C$2:$I$1000, 4, 0))), 0)</f>
        <v>0</v>
      </c>
      <c r="U8183" s="22">
        <f t="shared" si="512"/>
        <v>0</v>
      </c>
      <c r="V8183">
        <f t="shared" si="513"/>
        <v>0</v>
      </c>
      <c r="W8183" s="22">
        <f t="shared" si="514"/>
        <v>0</v>
      </c>
    </row>
    <row r="8184" spans="1:23" hidden="1" x14ac:dyDescent="0.25">
      <c r="A8184" s="3">
        <v>46215</v>
      </c>
      <c r="B8184" s="46" t="s">
        <v>334</v>
      </c>
      <c r="C8184" s="4" t="s">
        <v>460</v>
      </c>
      <c r="D8184" s="4"/>
      <c r="E8184" s="4" t="s">
        <v>921</v>
      </c>
      <c r="F8184" s="4" t="s">
        <v>3884</v>
      </c>
      <c r="G8184" s="4" t="s">
        <v>336</v>
      </c>
      <c r="H8184" s="4" t="s">
        <v>380</v>
      </c>
      <c r="I8184" s="4">
        <v>2</v>
      </c>
      <c r="J8184" s="21">
        <v>15</v>
      </c>
      <c r="K8184" s="21">
        <v>30</v>
      </c>
      <c r="L8184" s="5">
        <v>0</v>
      </c>
      <c r="M8184" s="4"/>
      <c r="N8184" s="4"/>
      <c r="O8184" s="5"/>
      <c r="P8184" s="5"/>
      <c r="Q8184" s="21">
        <v>0</v>
      </c>
      <c r="R8184" s="21">
        <v>0</v>
      </c>
      <c r="S8184" s="5">
        <f t="shared" si="511"/>
        <v>60101.912758325023</v>
      </c>
      <c r="T8184" cm="1">
        <f t="array" ref="T8184">IF(OR(B8184="MAL ALIMI", B8184="ÜRETİM GİRİŞ"), MIN(I8184, MAX(0, I8184 + SUM(SUMIFS($I$1:I8183, $C$1:C8183, C8184, $B$1:B8183, {"MAL ALIMI","ÜRETİM GİRİŞ"})) - VLOOKUP(C8184, 'STOK RAPORU'!$C$2:$I$1000, 4, 0))), 0)</f>
        <v>0</v>
      </c>
      <c r="U8184" s="22">
        <f t="shared" si="512"/>
        <v>0</v>
      </c>
      <c r="V8184">
        <f t="shared" si="513"/>
        <v>0</v>
      </c>
      <c r="W8184" s="22">
        <f t="shared" si="514"/>
        <v>0</v>
      </c>
    </row>
    <row r="8185" spans="1:23" hidden="1" x14ac:dyDescent="0.25">
      <c r="A8185" s="3">
        <v>46215</v>
      </c>
      <c r="B8185" s="46" t="s">
        <v>334</v>
      </c>
      <c r="C8185" s="4" t="s">
        <v>468</v>
      </c>
      <c r="D8185" s="4"/>
      <c r="E8185" s="4"/>
      <c r="F8185" s="4" t="s">
        <v>3885</v>
      </c>
      <c r="G8185" s="4" t="s">
        <v>336</v>
      </c>
      <c r="H8185" s="4" t="s">
        <v>289</v>
      </c>
      <c r="I8185" s="4">
        <v>1</v>
      </c>
      <c r="J8185" s="21">
        <v>60</v>
      </c>
      <c r="K8185" s="21">
        <v>0</v>
      </c>
      <c r="L8185" s="5">
        <v>0</v>
      </c>
      <c r="M8185" s="4"/>
      <c r="N8185" s="4"/>
      <c r="O8185" s="5"/>
      <c r="P8185" s="5"/>
      <c r="Q8185" s="21">
        <v>60</v>
      </c>
      <c r="R8185" s="21">
        <v>0</v>
      </c>
      <c r="S8185" s="5">
        <f t="shared" si="511"/>
        <v>60161.912758325023</v>
      </c>
      <c r="T8185" cm="1">
        <f t="array" ref="T8185">IF(OR(B8185="MAL ALIMI", B8185="ÜRETİM GİRİŞ"), MIN(I8185, MAX(0, I8185 + SUM(SUMIFS($I$1:I8184, $C$1:C8184, C8185, $B$1:B8184, {"MAL ALIMI","ÜRETİM GİRİŞ"})) - VLOOKUP(C8185, 'STOK RAPORU'!$C$2:$I$1000, 4, 0))), 0)</f>
        <v>0</v>
      </c>
      <c r="U8185" s="22">
        <f t="shared" si="512"/>
        <v>0</v>
      </c>
      <c r="V8185">
        <f t="shared" si="513"/>
        <v>0</v>
      </c>
      <c r="W8185" s="22">
        <f t="shared" si="514"/>
        <v>0</v>
      </c>
    </row>
    <row r="8186" spans="1:23" hidden="1" x14ac:dyDescent="0.25">
      <c r="A8186" s="3">
        <v>46215</v>
      </c>
      <c r="B8186" s="46" t="s">
        <v>334</v>
      </c>
      <c r="C8186" s="4" t="s">
        <v>1024</v>
      </c>
      <c r="D8186" s="4"/>
      <c r="E8186" s="4"/>
      <c r="F8186" s="4" t="s">
        <v>3886</v>
      </c>
      <c r="G8186" s="4" t="s">
        <v>336</v>
      </c>
      <c r="H8186" s="4" t="s">
        <v>289</v>
      </c>
      <c r="I8186" s="4">
        <v>0.41538461538461541</v>
      </c>
      <c r="J8186" s="21">
        <v>65</v>
      </c>
      <c r="K8186" s="21">
        <v>0</v>
      </c>
      <c r="L8186" s="5">
        <v>0</v>
      </c>
      <c r="M8186" s="4"/>
      <c r="N8186" s="4"/>
      <c r="O8186" s="5"/>
      <c r="P8186" s="5"/>
      <c r="Q8186" s="21">
        <v>27</v>
      </c>
      <c r="R8186" s="21">
        <v>0</v>
      </c>
      <c r="S8186" s="5">
        <f t="shared" si="511"/>
        <v>60188.912758325023</v>
      </c>
      <c r="T8186" cm="1">
        <f t="array" ref="T8186">IF(OR(B8186="MAL ALIMI", B8186="ÜRETİM GİRİŞ"), MIN(I8186, MAX(0, I8186 + SUM(SUMIFS($I$1:I8185, $C$1:C8185, C8186, $B$1:B8185, {"MAL ALIMI","ÜRETİM GİRİŞ"})) - VLOOKUP(C8186, 'STOK RAPORU'!$C$2:$I$1000, 4, 0))), 0)</f>
        <v>0</v>
      </c>
      <c r="U8186" s="22">
        <f t="shared" si="512"/>
        <v>0</v>
      </c>
      <c r="V8186">
        <f t="shared" si="513"/>
        <v>0</v>
      </c>
      <c r="W8186" s="22">
        <f t="shared" si="514"/>
        <v>0</v>
      </c>
    </row>
    <row r="8187" spans="1:23" hidden="1" x14ac:dyDescent="0.25">
      <c r="A8187" s="3">
        <v>46215</v>
      </c>
      <c r="B8187" s="46" t="s">
        <v>334</v>
      </c>
      <c r="C8187" s="4" t="s">
        <v>133</v>
      </c>
      <c r="D8187" s="4"/>
      <c r="E8187" s="4" t="s">
        <v>921</v>
      </c>
      <c r="F8187" s="4" t="s">
        <v>3887</v>
      </c>
      <c r="G8187" s="4" t="s">
        <v>336</v>
      </c>
      <c r="H8187" s="4" t="s">
        <v>380</v>
      </c>
      <c r="I8187" s="4">
        <v>0.13250000000000001</v>
      </c>
      <c r="J8187" s="21">
        <v>400</v>
      </c>
      <c r="K8187" s="21">
        <v>53</v>
      </c>
      <c r="L8187" s="5">
        <v>0</v>
      </c>
      <c r="M8187" s="4"/>
      <c r="N8187" s="4"/>
      <c r="O8187" s="5"/>
      <c r="P8187" s="5"/>
      <c r="Q8187" s="21">
        <v>0</v>
      </c>
      <c r="R8187" s="21">
        <v>0</v>
      </c>
      <c r="S8187" s="5">
        <f t="shared" si="511"/>
        <v>60188.912758325023</v>
      </c>
      <c r="T8187" cm="1">
        <f t="array" ref="T8187">IF(OR(B8187="MAL ALIMI", B8187="ÜRETİM GİRİŞ"), MIN(I8187, MAX(0, I8187 + SUM(SUMIFS($I$1:I8186, $C$1:C8186, C8187, $B$1:B8186, {"MAL ALIMI","ÜRETİM GİRİŞ"})) - VLOOKUP(C8187, 'STOK RAPORU'!$C$2:$I$1000, 4, 0))), 0)</f>
        <v>0</v>
      </c>
      <c r="U8187" s="22">
        <f t="shared" si="512"/>
        <v>0</v>
      </c>
      <c r="V8187">
        <f t="shared" si="513"/>
        <v>0</v>
      </c>
      <c r="W8187" s="22">
        <f t="shared" si="514"/>
        <v>0</v>
      </c>
    </row>
    <row r="8188" spans="1:23" hidden="1" x14ac:dyDescent="0.25">
      <c r="A8188" s="3">
        <v>46215</v>
      </c>
      <c r="B8188" s="46" t="s">
        <v>334</v>
      </c>
      <c r="C8188" s="4" t="s">
        <v>464</v>
      </c>
      <c r="D8188" s="4"/>
      <c r="E8188" s="4" t="s">
        <v>921</v>
      </c>
      <c r="F8188" s="4" t="s">
        <v>3887</v>
      </c>
      <c r="G8188" s="4" t="s">
        <v>336</v>
      </c>
      <c r="H8188" s="4" t="s">
        <v>380</v>
      </c>
      <c r="I8188" s="4">
        <v>1</v>
      </c>
      <c r="J8188" s="21">
        <v>60</v>
      </c>
      <c r="K8188" s="21">
        <v>60</v>
      </c>
      <c r="L8188" s="5">
        <v>0</v>
      </c>
      <c r="M8188" s="4"/>
      <c r="N8188" s="4"/>
      <c r="O8188" s="5"/>
      <c r="P8188" s="5"/>
      <c r="Q8188" s="21">
        <v>0</v>
      </c>
      <c r="R8188" s="21">
        <v>0</v>
      </c>
      <c r="S8188" s="5">
        <f t="shared" si="511"/>
        <v>60188.912758325023</v>
      </c>
      <c r="T8188" cm="1">
        <f t="array" ref="T8188">IF(OR(B8188="MAL ALIMI", B8188="ÜRETİM GİRİŞ"), MIN(I8188, MAX(0, I8188 + SUM(SUMIFS($I$1:I8187, $C$1:C8187, C8188, $B$1:B8187, {"MAL ALIMI","ÜRETİM GİRİŞ"})) - VLOOKUP(C8188, 'STOK RAPORU'!$C$2:$I$1000, 4, 0))), 0)</f>
        <v>0</v>
      </c>
      <c r="U8188" s="22">
        <f t="shared" si="512"/>
        <v>0</v>
      </c>
      <c r="V8188">
        <f t="shared" si="513"/>
        <v>0</v>
      </c>
      <c r="W8188" s="22">
        <f t="shared" si="514"/>
        <v>0</v>
      </c>
    </row>
    <row r="8189" spans="1:23" hidden="1" x14ac:dyDescent="0.25">
      <c r="A8189" s="41">
        <v>46215</v>
      </c>
      <c r="B8189" s="42" t="s">
        <v>334</v>
      </c>
      <c r="C8189" s="42" t="s">
        <v>218</v>
      </c>
      <c r="D8189" s="42"/>
      <c r="E8189" s="42"/>
      <c r="F8189" s="42" t="s">
        <v>3888</v>
      </c>
      <c r="G8189" s="42" t="s">
        <v>1911</v>
      </c>
      <c r="H8189" s="42" t="s">
        <v>289</v>
      </c>
      <c r="I8189" s="42">
        <v>1</v>
      </c>
      <c r="J8189" s="43">
        <v>340</v>
      </c>
      <c r="K8189" s="43">
        <v>0</v>
      </c>
      <c r="L8189" s="44">
        <v>0</v>
      </c>
      <c r="M8189" s="42"/>
      <c r="N8189" s="42"/>
      <c r="O8189" s="44"/>
      <c r="P8189" s="44"/>
      <c r="Q8189" s="43">
        <v>340</v>
      </c>
      <c r="R8189" s="43">
        <v>0</v>
      </c>
      <c r="S8189" s="5">
        <f t="shared" si="511"/>
        <v>60528.912758325023</v>
      </c>
      <c r="T8189" cm="1">
        <f t="array" ref="T8189">IF(OR(B8189="MAL ALIMI", B8189="ÜRETİM GİRİŞ"), MIN(I8189, MAX(0, I8189 + SUM(SUMIFS($I$1:I8188, $C$1:C8188, C8189, $B$1:B8188, {"MAL ALIMI","ÜRETİM GİRİŞ"})) - VLOOKUP(C8189, 'STOK RAPORU'!$C$2:$I$1000, 4, 0))), 0)</f>
        <v>0</v>
      </c>
      <c r="U8189" s="22">
        <f t="shared" si="512"/>
        <v>0</v>
      </c>
      <c r="V8189">
        <f t="shared" si="513"/>
        <v>0</v>
      </c>
      <c r="W8189" s="22">
        <f t="shared" si="514"/>
        <v>0</v>
      </c>
    </row>
    <row r="8190" spans="1:23" hidden="1" x14ac:dyDescent="0.25">
      <c r="A8190" s="41">
        <v>46215</v>
      </c>
      <c r="B8190" s="42" t="s">
        <v>334</v>
      </c>
      <c r="C8190" s="42" t="s">
        <v>158</v>
      </c>
      <c r="D8190" s="42"/>
      <c r="E8190" s="42"/>
      <c r="F8190" s="42" t="s">
        <v>3888</v>
      </c>
      <c r="G8190" s="42" t="s">
        <v>1911</v>
      </c>
      <c r="H8190" s="42" t="s">
        <v>289</v>
      </c>
      <c r="I8190" s="42">
        <v>1</v>
      </c>
      <c r="J8190" s="43">
        <v>150</v>
      </c>
      <c r="K8190" s="43">
        <v>0</v>
      </c>
      <c r="L8190" s="44">
        <v>0</v>
      </c>
      <c r="M8190" s="42"/>
      <c r="N8190" s="42"/>
      <c r="O8190" s="44"/>
      <c r="P8190" s="44"/>
      <c r="Q8190" s="43">
        <v>150</v>
      </c>
      <c r="R8190" s="43">
        <v>0</v>
      </c>
      <c r="S8190" s="5">
        <f t="shared" si="511"/>
        <v>60678.912758325023</v>
      </c>
      <c r="T8190" cm="1">
        <f t="array" ref="T8190">IF(OR(B8190="MAL ALIMI", B8190="ÜRETİM GİRİŞ"), MIN(I8190, MAX(0, I8190 + SUM(SUMIFS($I$1:I8189, $C$1:C8189, C8190, $B$1:B8189, {"MAL ALIMI","ÜRETİM GİRİŞ"})) - VLOOKUP(C8190, 'STOK RAPORU'!$C$2:$I$1000, 4, 0))), 0)</f>
        <v>0</v>
      </c>
      <c r="U8190" s="22">
        <f t="shared" si="512"/>
        <v>0</v>
      </c>
      <c r="V8190">
        <f t="shared" si="513"/>
        <v>0</v>
      </c>
      <c r="W8190" s="22">
        <f t="shared" si="514"/>
        <v>0</v>
      </c>
    </row>
    <row r="8191" spans="1:23" hidden="1" x14ac:dyDescent="0.25">
      <c r="A8191" s="41">
        <v>46215</v>
      </c>
      <c r="B8191" s="42" t="s">
        <v>334</v>
      </c>
      <c r="C8191" s="42" t="s">
        <v>2087</v>
      </c>
      <c r="D8191" s="42"/>
      <c r="E8191" s="42"/>
      <c r="F8191" s="42" t="s">
        <v>3888</v>
      </c>
      <c r="G8191" s="42" t="s">
        <v>1911</v>
      </c>
      <c r="H8191" s="42" t="s">
        <v>289</v>
      </c>
      <c r="I8191" s="42">
        <v>0.19767441860465115</v>
      </c>
      <c r="J8191" s="43">
        <v>430</v>
      </c>
      <c r="K8191" s="43">
        <v>0</v>
      </c>
      <c r="L8191" s="44">
        <v>0</v>
      </c>
      <c r="M8191" s="42"/>
      <c r="N8191" s="42"/>
      <c r="O8191" s="44"/>
      <c r="P8191" s="44"/>
      <c r="Q8191" s="43">
        <v>85</v>
      </c>
      <c r="R8191" s="43">
        <v>0</v>
      </c>
      <c r="S8191" s="5">
        <f t="shared" si="511"/>
        <v>60763.912758325023</v>
      </c>
      <c r="T8191" cm="1">
        <f t="array" ref="T8191">IF(OR(B8191="MAL ALIMI", B8191="ÜRETİM GİRİŞ"), MIN(I8191, MAX(0, I8191 + SUM(SUMIFS($I$1:I8190, $C$1:C8190, C8191, $B$1:B8190, {"MAL ALIMI","ÜRETİM GİRİŞ"})) - VLOOKUP(C8191, 'STOK RAPORU'!$C$2:$I$1000, 4, 0))), 0)</f>
        <v>0</v>
      </c>
      <c r="U8191" s="22">
        <f t="shared" si="512"/>
        <v>0</v>
      </c>
      <c r="V8191">
        <f t="shared" si="513"/>
        <v>0</v>
      </c>
      <c r="W8191" s="22">
        <f t="shared" si="514"/>
        <v>0</v>
      </c>
    </row>
    <row r="8192" spans="1:23" hidden="1" x14ac:dyDescent="0.25">
      <c r="A8192" s="3">
        <v>46215</v>
      </c>
      <c r="B8192" s="46" t="s">
        <v>946</v>
      </c>
      <c r="C8192" s="4"/>
      <c r="D8192" s="4"/>
      <c r="E8192" s="4" t="s">
        <v>921</v>
      </c>
      <c r="F8192" s="4"/>
      <c r="G8192" s="4" t="s">
        <v>946</v>
      </c>
      <c r="H8192" s="4" t="s">
        <v>380</v>
      </c>
      <c r="I8192" s="4">
        <v>1</v>
      </c>
      <c r="J8192" s="21">
        <v>290</v>
      </c>
      <c r="K8192" s="21">
        <f>IF(AND(B8192="MAL SATIŞI", H8192="POS"),I8192*J8192,0)</f>
        <v>0</v>
      </c>
      <c r="L8192" s="111">
        <v>290</v>
      </c>
      <c r="M8192" s="4"/>
      <c r="N8192" s="4"/>
      <c r="O8192" s="5"/>
      <c r="P8192" s="5"/>
      <c r="Q8192" s="21">
        <v>290</v>
      </c>
      <c r="R8192" s="21">
        <f>IF(AND(E8192="", B8192&lt;&gt;"MAL SATIŞI"),I8192*J8192,0)</f>
        <v>0</v>
      </c>
      <c r="S8192" s="5">
        <f t="shared" si="511"/>
        <v>61053.912758325023</v>
      </c>
      <c r="T8192" cm="1">
        <f t="array" ref="T8192">IF(OR(B8192="MAL ALIMI", B8192="ÜRETİM GİRİŞ"), MIN(I8192, MAX(0, I8192 + SUM(SUMIFS($I$1:I8191, $C$1:C8191, C8192, $B$1:B8191, {"MAL ALIMI","ÜRETİM GİRİŞ"})) - VLOOKUP(C8192, 'STOK RAPORU'!$C$2:$I$1000, 4, 0))), 0)</f>
        <v>0</v>
      </c>
      <c r="U8192" s="22">
        <f t="shared" si="512"/>
        <v>0</v>
      </c>
      <c r="V8192">
        <f t="shared" si="513"/>
        <v>0</v>
      </c>
      <c r="W8192" s="22">
        <f t="shared" si="514"/>
        <v>0</v>
      </c>
    </row>
    <row r="8193" spans="1:23" hidden="1" x14ac:dyDescent="0.25">
      <c r="A8193" s="3">
        <v>46216</v>
      </c>
      <c r="B8193" s="4" t="s">
        <v>1467</v>
      </c>
      <c r="C8193" s="4" t="s">
        <v>246</v>
      </c>
      <c r="D8193" s="4"/>
      <c r="E8193" s="4"/>
      <c r="F8193" s="4">
        <v>0</v>
      </c>
      <c r="G8193" s="4" t="s">
        <v>1468</v>
      </c>
      <c r="H8193" s="4" t="s">
        <v>1466</v>
      </c>
      <c r="I8193" s="4">
        <v>1</v>
      </c>
      <c r="J8193" s="21">
        <v>1150</v>
      </c>
      <c r="K8193" s="21">
        <v>0</v>
      </c>
      <c r="L8193" s="5">
        <v>0</v>
      </c>
      <c r="M8193" s="4"/>
      <c r="N8193" s="4"/>
      <c r="O8193" s="5"/>
      <c r="P8193" s="5"/>
      <c r="Q8193" s="21">
        <v>1150</v>
      </c>
      <c r="R8193" s="21">
        <v>0</v>
      </c>
      <c r="S8193" s="5">
        <f t="shared" si="511"/>
        <v>62203.912758325023</v>
      </c>
      <c r="T8193" cm="1">
        <f t="array" ref="T8193">IF(OR(B8193="MAL ALIMI", B8193="ÜRETİM GİRİŞ"), MIN(I8193, MAX(0, I8193 + SUM(SUMIFS($I$1:I8192, $C$1:C8192, C8193, $B$1:B8192, {"MAL ALIMI","ÜRETİM GİRİŞ"})) - VLOOKUP(C8193, 'STOK RAPORU'!$C$2:$I$1000, 4, 0))), 0)</f>
        <v>0</v>
      </c>
      <c r="U8193" s="22">
        <f t="shared" si="512"/>
        <v>0</v>
      </c>
      <c r="V8193">
        <f t="shared" si="513"/>
        <v>0</v>
      </c>
      <c r="W8193" s="22">
        <f t="shared" si="514"/>
        <v>0</v>
      </c>
    </row>
    <row r="8194" spans="1:23" hidden="1" x14ac:dyDescent="0.25">
      <c r="A8194" s="3">
        <v>46216</v>
      </c>
      <c r="B8194" s="4" t="s">
        <v>1467</v>
      </c>
      <c r="C8194" s="4" t="s">
        <v>247</v>
      </c>
      <c r="D8194" s="4"/>
      <c r="E8194" s="4"/>
      <c r="F8194" s="4">
        <v>0</v>
      </c>
      <c r="G8194" s="4" t="s">
        <v>1468</v>
      </c>
      <c r="H8194" s="4" t="s">
        <v>1466</v>
      </c>
      <c r="I8194" s="4">
        <v>2</v>
      </c>
      <c r="J8194" s="21">
        <v>950</v>
      </c>
      <c r="K8194" s="21">
        <v>0</v>
      </c>
      <c r="L8194" s="5">
        <v>0</v>
      </c>
      <c r="M8194" s="4"/>
      <c r="N8194" s="4"/>
      <c r="O8194" s="5"/>
      <c r="P8194" s="5"/>
      <c r="Q8194" s="21">
        <v>1900</v>
      </c>
      <c r="R8194" s="21">
        <v>0</v>
      </c>
      <c r="S8194" s="5">
        <f t="shared" si="511"/>
        <v>64103.912758325023</v>
      </c>
      <c r="T8194" cm="1">
        <f t="array" ref="T8194">IF(OR(B8194="MAL ALIMI", B8194="ÜRETİM GİRİŞ"), MIN(I8194, MAX(0, I8194 + SUM(SUMIFS($I$1:I8193, $C$1:C8193, C8194, $B$1:B8193, {"MAL ALIMI","ÜRETİM GİRİŞ"})) - VLOOKUP(C8194, 'STOK RAPORU'!$C$2:$I$1000, 4, 0))), 0)</f>
        <v>0</v>
      </c>
      <c r="U8194" s="22">
        <f t="shared" si="512"/>
        <v>0</v>
      </c>
      <c r="V8194">
        <f t="shared" si="513"/>
        <v>0</v>
      </c>
      <c r="W8194" s="22">
        <f t="shared" si="514"/>
        <v>0</v>
      </c>
    </row>
    <row r="8195" spans="1:23" hidden="1" x14ac:dyDescent="0.25">
      <c r="A8195" s="3">
        <v>46216</v>
      </c>
      <c r="B8195" s="4" t="s">
        <v>1467</v>
      </c>
      <c r="C8195" s="4" t="s">
        <v>244</v>
      </c>
      <c r="D8195" s="4"/>
      <c r="E8195" s="4"/>
      <c r="F8195" s="4">
        <v>0</v>
      </c>
      <c r="G8195" s="4" t="s">
        <v>1468</v>
      </c>
      <c r="H8195" s="4" t="s">
        <v>1466</v>
      </c>
      <c r="I8195" s="4">
        <v>3</v>
      </c>
      <c r="J8195" s="21">
        <v>575.70000000000005</v>
      </c>
      <c r="K8195" s="21">
        <v>0</v>
      </c>
      <c r="L8195" s="5">
        <v>0</v>
      </c>
      <c r="M8195" s="4"/>
      <c r="N8195" s="4"/>
      <c r="O8195" s="5"/>
      <c r="P8195" s="5"/>
      <c r="Q8195" s="21">
        <v>1727.1000000000001</v>
      </c>
      <c r="R8195" s="21">
        <v>0</v>
      </c>
      <c r="S8195" s="5">
        <f t="shared" si="511"/>
        <v>65831.012758325029</v>
      </c>
      <c r="T8195" cm="1">
        <f t="array" ref="T8195">IF(OR(B8195="MAL ALIMI", B8195="ÜRETİM GİRİŞ"), MIN(I8195, MAX(0, I8195 + SUM(SUMIFS($I$1:I8194, $C$1:C8194, C8195, $B$1:B8194, {"MAL ALIMI","ÜRETİM GİRİŞ"})) - VLOOKUP(C8195, 'STOK RAPORU'!$C$2:$I$1000, 4, 0))), 0)</f>
        <v>0</v>
      </c>
      <c r="U8195" s="22">
        <f t="shared" si="512"/>
        <v>0</v>
      </c>
      <c r="V8195">
        <f t="shared" si="513"/>
        <v>0</v>
      </c>
      <c r="W8195" s="22">
        <f t="shared" si="514"/>
        <v>0</v>
      </c>
    </row>
    <row r="8196" spans="1:23" hidden="1" x14ac:dyDescent="0.25">
      <c r="A8196" s="3">
        <v>46216</v>
      </c>
      <c r="B8196" s="4" t="s">
        <v>1467</v>
      </c>
      <c r="C8196" s="4" t="s">
        <v>648</v>
      </c>
      <c r="D8196" s="4"/>
      <c r="E8196" s="4"/>
      <c r="F8196" s="4">
        <v>0</v>
      </c>
      <c r="G8196" s="4" t="s">
        <v>1468</v>
      </c>
      <c r="H8196" s="4" t="s">
        <v>1466</v>
      </c>
      <c r="I8196" s="4">
        <v>3</v>
      </c>
      <c r="J8196" s="21">
        <v>500</v>
      </c>
      <c r="K8196" s="21">
        <v>0</v>
      </c>
      <c r="L8196" s="5">
        <v>0</v>
      </c>
      <c r="M8196" s="4"/>
      <c r="N8196" s="4"/>
      <c r="O8196" s="5"/>
      <c r="P8196" s="5"/>
      <c r="Q8196" s="21">
        <v>1500</v>
      </c>
      <c r="R8196" s="21">
        <v>0</v>
      </c>
      <c r="S8196" s="5">
        <f t="shared" si="511"/>
        <v>67331.012758325029</v>
      </c>
      <c r="T8196" cm="1">
        <f t="array" ref="T8196">IF(OR(B8196="MAL ALIMI", B8196="ÜRETİM GİRİŞ"), MIN(I8196, MAX(0, I8196 + SUM(SUMIFS($I$1:I8195, $C$1:C8195, C8196, $B$1:B8195, {"MAL ALIMI","ÜRETİM GİRİŞ"})) - VLOOKUP(C8196, 'STOK RAPORU'!$C$2:$I$1000, 4, 0))), 0)</f>
        <v>0</v>
      </c>
      <c r="U8196" s="22">
        <f t="shared" si="512"/>
        <v>0</v>
      </c>
      <c r="V8196">
        <f t="shared" si="513"/>
        <v>0</v>
      </c>
      <c r="W8196" s="22">
        <f t="shared" si="514"/>
        <v>0</v>
      </c>
    </row>
    <row r="8197" spans="1:23" hidden="1" x14ac:dyDescent="0.25">
      <c r="A8197" s="3">
        <v>46216</v>
      </c>
      <c r="B8197" s="4" t="s">
        <v>1469</v>
      </c>
      <c r="C8197" s="4" t="s">
        <v>634</v>
      </c>
      <c r="D8197" s="4"/>
      <c r="E8197" s="4"/>
      <c r="F8197" s="4">
        <v>0</v>
      </c>
      <c r="G8197" s="4" t="s">
        <v>1468</v>
      </c>
      <c r="H8197" s="4" t="s">
        <v>1466</v>
      </c>
      <c r="I8197" s="4">
        <v>9</v>
      </c>
      <c r="J8197" s="21">
        <v>697.45555555555563</v>
      </c>
      <c r="K8197" s="21">
        <v>0</v>
      </c>
      <c r="L8197" s="5">
        <v>0</v>
      </c>
      <c r="M8197" s="4"/>
      <c r="N8197" s="4"/>
      <c r="O8197" s="5"/>
      <c r="P8197" s="5"/>
      <c r="Q8197" s="21">
        <v>0</v>
      </c>
      <c r="R8197" s="21">
        <v>6277.1</v>
      </c>
      <c r="S8197" s="5">
        <f t="shared" ref="S8197:S8260" si="515">S8196+Q8197-R8197</f>
        <v>61053.91275832503</v>
      </c>
      <c r="T8197" cm="1">
        <f t="array" ref="T8197">IF(OR(B8197="MAL ALIMI", B8197="ÜRETİM GİRİŞ"), MIN(I8197, MAX(0, I8197 + SUM(SUMIFS($I$1:I8196, $C$1:C8196, C8197, $B$1:B8196, {"MAL ALIMI","ÜRETİM GİRİŞ"})) - VLOOKUP(C8197, 'STOK RAPORU'!$C$2:$I$1000, 4, 0))), 0)</f>
        <v>0</v>
      </c>
      <c r="U8197" s="22">
        <f t="shared" si="512"/>
        <v>0</v>
      </c>
      <c r="V8197">
        <f t="shared" si="513"/>
        <v>6277.1</v>
      </c>
      <c r="W8197" s="22">
        <f t="shared" si="514"/>
        <v>6277.1</v>
      </c>
    </row>
    <row r="8198" spans="1:23" hidden="1" x14ac:dyDescent="0.25">
      <c r="A8198" s="3">
        <v>46216</v>
      </c>
      <c r="B8198" s="46" t="s">
        <v>946</v>
      </c>
      <c r="C8198" s="4"/>
      <c r="D8198" s="4"/>
      <c r="E8198" s="4" t="s">
        <v>921</v>
      </c>
      <c r="F8198" s="4">
        <v>0</v>
      </c>
      <c r="G8198" s="4" t="s">
        <v>3894</v>
      </c>
      <c r="H8198" s="4" t="s">
        <v>380</v>
      </c>
      <c r="I8198" s="4">
        <v>1</v>
      </c>
      <c r="J8198" s="21">
        <v>2300</v>
      </c>
      <c r="K8198" s="21">
        <v>0</v>
      </c>
      <c r="L8198" s="111">
        <v>2300</v>
      </c>
      <c r="M8198" s="4"/>
      <c r="N8198" s="4"/>
      <c r="O8198" s="5"/>
      <c r="P8198" s="5"/>
      <c r="Q8198" s="21">
        <v>2300</v>
      </c>
      <c r="R8198" s="21">
        <v>0</v>
      </c>
      <c r="S8198" s="5">
        <f t="shared" si="515"/>
        <v>63353.91275832503</v>
      </c>
      <c r="T8198" cm="1">
        <f t="array" ref="T8198">IF(OR(B8198="MAL ALIMI", B8198="ÜRETİM GİRİŞ"), MIN(I8198, MAX(0, I8198 + SUM(SUMIFS($I$1:I8197, $C$1:C8197, C8198, $B$1:B8197, {"MAL ALIMI","ÜRETİM GİRİŞ"})) - VLOOKUP(C8198, 'STOK RAPORU'!$C$2:$I$1000, 4, 0))), 0)</f>
        <v>0</v>
      </c>
      <c r="U8198" s="22">
        <f t="shared" si="512"/>
        <v>0</v>
      </c>
      <c r="V8198">
        <f t="shared" si="513"/>
        <v>0</v>
      </c>
      <c r="W8198" s="22">
        <f t="shared" si="514"/>
        <v>0</v>
      </c>
    </row>
    <row r="8199" spans="1:23" hidden="1" x14ac:dyDescent="0.25">
      <c r="A8199" s="3">
        <v>46216</v>
      </c>
      <c r="B8199" s="4" t="s">
        <v>298</v>
      </c>
      <c r="C8199" s="4" t="s">
        <v>246</v>
      </c>
      <c r="D8199" s="4"/>
      <c r="E8199" s="4"/>
      <c r="F8199" s="4">
        <v>0</v>
      </c>
      <c r="G8199" s="4" t="s">
        <v>3894</v>
      </c>
      <c r="H8199" s="4" t="s">
        <v>298</v>
      </c>
      <c r="I8199" s="4">
        <v>2</v>
      </c>
      <c r="J8199" s="21">
        <v>1150</v>
      </c>
      <c r="K8199" s="21">
        <v>0</v>
      </c>
      <c r="L8199" s="5">
        <v>0</v>
      </c>
      <c r="M8199" s="4"/>
      <c r="N8199" s="4"/>
      <c r="O8199" s="5"/>
      <c r="P8199" s="5"/>
      <c r="Q8199" s="21">
        <v>0</v>
      </c>
      <c r="R8199" s="21">
        <v>2300</v>
      </c>
      <c r="S8199" s="5">
        <f t="shared" si="515"/>
        <v>61053.91275832503</v>
      </c>
      <c r="T8199" cm="1">
        <f t="array" ref="T8199">IF(OR(B8199="MAL ALIMI", B8199="ÜRETİM GİRİŞ"), MIN(I8199, MAX(0, I8199 + SUM(SUMIFS($I$1:I8198, $C$1:C8198, C8199, $B$1:B8198, {"MAL ALIMI","ÜRETİM GİRİŞ"})) - VLOOKUP(C8199, 'STOK RAPORU'!$C$2:$I$1000, 4, 0))), 0)</f>
        <v>2</v>
      </c>
      <c r="U8199" s="22">
        <f t="shared" si="512"/>
        <v>2300</v>
      </c>
      <c r="V8199">
        <f t="shared" si="513"/>
        <v>2300</v>
      </c>
      <c r="W8199" s="22">
        <f t="shared" si="514"/>
        <v>0</v>
      </c>
    </row>
    <row r="8200" spans="1:23" hidden="1" x14ac:dyDescent="0.25">
      <c r="A8200" s="3">
        <v>46216</v>
      </c>
      <c r="B8200" s="46" t="s">
        <v>946</v>
      </c>
      <c r="C8200" s="4"/>
      <c r="D8200" s="4"/>
      <c r="E8200" s="4" t="s">
        <v>921</v>
      </c>
      <c r="F8200" s="4">
        <v>0</v>
      </c>
      <c r="G8200" s="4" t="s">
        <v>3895</v>
      </c>
      <c r="H8200" s="4" t="s">
        <v>380</v>
      </c>
      <c r="I8200" s="4">
        <v>1</v>
      </c>
      <c r="J8200" s="21">
        <v>565</v>
      </c>
      <c r="K8200" s="21">
        <v>0</v>
      </c>
      <c r="L8200" s="111">
        <v>565</v>
      </c>
      <c r="M8200" s="4"/>
      <c r="N8200" s="4"/>
      <c r="O8200" s="5"/>
      <c r="P8200" s="5"/>
      <c r="Q8200" s="21">
        <v>565</v>
      </c>
      <c r="R8200" s="21">
        <v>0</v>
      </c>
      <c r="S8200" s="5">
        <f t="shared" si="515"/>
        <v>61618.91275832503</v>
      </c>
      <c r="T8200" cm="1">
        <f t="array" ref="T8200">IF(OR(B8200="MAL ALIMI", B8200="ÜRETİM GİRİŞ"), MIN(I8200, MAX(0, I8200 + SUM(SUMIFS($I$1:I8199, $C$1:C8199, C8200, $B$1:B8199, {"MAL ALIMI","ÜRETİM GİRİŞ"})) - VLOOKUP(C8200, 'STOK RAPORU'!$C$2:$I$1000, 4, 0))), 0)</f>
        <v>0</v>
      </c>
      <c r="U8200" s="22">
        <f t="shared" si="512"/>
        <v>0</v>
      </c>
      <c r="V8200">
        <f t="shared" si="513"/>
        <v>0</v>
      </c>
      <c r="W8200" s="22">
        <f t="shared" si="514"/>
        <v>0</v>
      </c>
    </row>
    <row r="8201" spans="1:23" hidden="1" x14ac:dyDescent="0.25">
      <c r="A8201" s="3">
        <v>46216</v>
      </c>
      <c r="B8201" s="4" t="s">
        <v>285</v>
      </c>
      <c r="C8201" s="4"/>
      <c r="D8201" s="4" t="s">
        <v>112</v>
      </c>
      <c r="E8201" s="4"/>
      <c r="F8201" s="4">
        <v>0</v>
      </c>
      <c r="G8201" s="4" t="s">
        <v>3895</v>
      </c>
      <c r="H8201" s="4" t="s">
        <v>289</v>
      </c>
      <c r="I8201" s="4">
        <v>1</v>
      </c>
      <c r="J8201" s="21">
        <v>565</v>
      </c>
      <c r="K8201" s="21">
        <v>0</v>
      </c>
      <c r="L8201" s="5">
        <v>0</v>
      </c>
      <c r="M8201" s="4"/>
      <c r="N8201" s="4"/>
      <c r="O8201" s="5"/>
      <c r="P8201" s="5"/>
      <c r="Q8201" s="21">
        <v>0</v>
      </c>
      <c r="R8201" s="21">
        <v>565</v>
      </c>
      <c r="S8201" s="5">
        <f t="shared" si="515"/>
        <v>61053.91275832503</v>
      </c>
      <c r="T8201" cm="1">
        <f t="array" ref="T8201">IF(OR(B8201="MAL ALIMI", B8201="ÜRETİM GİRİŞ"), MIN(I8201, MAX(0, I8201 + SUM(SUMIFS($I$1:I8200, $C$1:C8200, C8201, $B$1:B8200, {"MAL ALIMI","ÜRETİM GİRİŞ"})) - VLOOKUP(C8201, 'STOK RAPORU'!$C$2:$I$1000, 4, 0))), 0)</f>
        <v>0</v>
      </c>
      <c r="U8201" s="22">
        <f t="shared" si="512"/>
        <v>0</v>
      </c>
      <c r="V8201">
        <f t="shared" si="513"/>
        <v>0</v>
      </c>
      <c r="W8201" s="22">
        <f t="shared" si="514"/>
        <v>0</v>
      </c>
    </row>
    <row r="8202" spans="1:23" hidden="1" x14ac:dyDescent="0.25">
      <c r="A8202" s="45">
        <v>46216</v>
      </c>
      <c r="B8202" s="46" t="s">
        <v>298</v>
      </c>
      <c r="C8202" s="4" t="s">
        <v>3889</v>
      </c>
      <c r="D8202" s="4"/>
      <c r="E8202" s="4" t="s">
        <v>2381</v>
      </c>
      <c r="F8202" s="4">
        <v>0</v>
      </c>
      <c r="G8202" s="4" t="s">
        <v>3593</v>
      </c>
      <c r="H8202" s="4" t="s">
        <v>304</v>
      </c>
      <c r="I8202" s="4">
        <v>30</v>
      </c>
      <c r="J8202" s="21">
        <v>550</v>
      </c>
      <c r="K8202" s="21">
        <v>0</v>
      </c>
      <c r="L8202" s="5">
        <v>16500</v>
      </c>
      <c r="M8202" s="4"/>
      <c r="N8202" s="4"/>
      <c r="O8202" s="5"/>
      <c r="P8202" s="5"/>
      <c r="Q8202" s="21">
        <v>0</v>
      </c>
      <c r="R8202" s="21">
        <v>0</v>
      </c>
      <c r="S8202" s="5">
        <f t="shared" si="515"/>
        <v>61053.91275832503</v>
      </c>
      <c r="T8202" t="e" cm="1">
        <f t="array" ref="T8202">IF(OR(B8202="MAL ALIMI", B8202="ÜRETİM GİRİŞ"), MIN(I8202, MAX(0, I8202 + SUM(SUMIFS($I$1:I8201, $C$1:C8201, C8202, $B$1:B8201, {"MAL ALIMI","ÜRETİM GİRİŞ"})) - VLOOKUP(C8202, 'STOK RAPORU'!$C$2:$I$1000, 4, 0))), 0)</f>
        <v>#N/A</v>
      </c>
      <c r="U8202" s="22" t="e">
        <f t="shared" si="512"/>
        <v>#N/A</v>
      </c>
      <c r="V8202">
        <f t="shared" si="513"/>
        <v>16500</v>
      </c>
      <c r="W8202" s="22" t="e">
        <f t="shared" si="514"/>
        <v>#N/A</v>
      </c>
    </row>
    <row r="8203" spans="1:23" hidden="1" x14ac:dyDescent="0.25">
      <c r="A8203" s="45">
        <v>46216</v>
      </c>
      <c r="B8203" s="46" t="s">
        <v>946</v>
      </c>
      <c r="C8203" s="4"/>
      <c r="D8203" s="4"/>
      <c r="E8203" s="4" t="s">
        <v>921</v>
      </c>
      <c r="F8203" s="4">
        <v>0</v>
      </c>
      <c r="G8203" s="4" t="s">
        <v>3905</v>
      </c>
      <c r="H8203" s="4" t="s">
        <v>380</v>
      </c>
      <c r="I8203" s="4">
        <v>1</v>
      </c>
      <c r="J8203" s="21">
        <v>16500</v>
      </c>
      <c r="K8203" s="21">
        <v>0</v>
      </c>
      <c r="L8203" s="111">
        <v>16500</v>
      </c>
      <c r="M8203" s="4"/>
      <c r="N8203" s="4"/>
      <c r="O8203" s="5"/>
      <c r="P8203" s="5"/>
      <c r="Q8203" s="21">
        <v>16500</v>
      </c>
      <c r="R8203" s="21">
        <v>0</v>
      </c>
      <c r="S8203" s="5">
        <f t="shared" si="515"/>
        <v>77553.912758325023</v>
      </c>
      <c r="T8203" cm="1">
        <f t="array" ref="T8203">IF(OR(B8203="MAL ALIMI", B8203="ÜRETİM GİRİŞ"), MIN(I8203, MAX(0, I8203 + SUM(SUMIFS($I$1:I8202, $C$1:C8202, C8203, $B$1:B8202, {"MAL ALIMI","ÜRETİM GİRİŞ"})) - VLOOKUP(C8203, 'STOK RAPORU'!$C$2:$I$1000, 4, 0))), 0)</f>
        <v>0</v>
      </c>
      <c r="U8203" s="22">
        <f t="shared" si="512"/>
        <v>0</v>
      </c>
      <c r="V8203">
        <f t="shared" si="513"/>
        <v>0</v>
      </c>
      <c r="W8203" s="22">
        <f t="shared" si="514"/>
        <v>0</v>
      </c>
    </row>
    <row r="8204" spans="1:23" hidden="1" x14ac:dyDescent="0.25">
      <c r="A8204" s="45">
        <v>46216</v>
      </c>
      <c r="B8204" s="46" t="s">
        <v>917</v>
      </c>
      <c r="C8204" s="4"/>
      <c r="D8204" s="4"/>
      <c r="E8204" s="4" t="s">
        <v>2381</v>
      </c>
      <c r="F8204" s="4">
        <v>0</v>
      </c>
      <c r="G8204" s="4" t="s">
        <v>3905</v>
      </c>
      <c r="H8204" s="4" t="s">
        <v>304</v>
      </c>
      <c r="I8204" s="4">
        <v>1</v>
      </c>
      <c r="J8204" s="21">
        <v>16500</v>
      </c>
      <c r="K8204" s="21">
        <v>16500</v>
      </c>
      <c r="L8204" s="5">
        <v>0</v>
      </c>
      <c r="M8204" s="4"/>
      <c r="N8204" s="4"/>
      <c r="O8204" s="5"/>
      <c r="P8204" s="5"/>
      <c r="Q8204" s="21">
        <v>0</v>
      </c>
      <c r="R8204" s="21">
        <v>16500</v>
      </c>
      <c r="S8204" s="5">
        <f t="shared" si="515"/>
        <v>61053.912758325023</v>
      </c>
      <c r="T8204" cm="1">
        <f t="array" ref="T8204">IF(OR(B8204="MAL ALIMI", B8204="ÜRETİM GİRİŞ"), MIN(I8204, MAX(0, I8204 + SUM(SUMIFS($I$1:I8203, $C$1:C8203, C8204, $B$1:B8203, {"MAL ALIMI","ÜRETİM GİRİŞ"})) - VLOOKUP(C8204, 'STOK RAPORU'!$C$2:$I$1000, 4, 0))), 0)</f>
        <v>0</v>
      </c>
      <c r="U8204" s="22">
        <f t="shared" si="512"/>
        <v>0</v>
      </c>
      <c r="V8204">
        <f t="shared" si="513"/>
        <v>0</v>
      </c>
      <c r="W8204" s="22">
        <f t="shared" si="514"/>
        <v>0</v>
      </c>
    </row>
    <row r="8205" spans="1:23" hidden="1" x14ac:dyDescent="0.25">
      <c r="A8205" s="45">
        <v>46216</v>
      </c>
      <c r="B8205" s="46" t="s">
        <v>334</v>
      </c>
      <c r="C8205" s="4" t="s">
        <v>96</v>
      </c>
      <c r="D8205" s="4"/>
      <c r="E8205" s="4" t="s">
        <v>921</v>
      </c>
      <c r="F8205" s="46" t="s">
        <v>3890</v>
      </c>
      <c r="G8205" s="4" t="s">
        <v>336</v>
      </c>
      <c r="H8205" s="4" t="s">
        <v>380</v>
      </c>
      <c r="I8205" s="4">
        <v>0.10249999999999999</v>
      </c>
      <c r="J8205" s="21">
        <v>400</v>
      </c>
      <c r="K8205" s="21">
        <v>41</v>
      </c>
      <c r="L8205" s="5">
        <v>0</v>
      </c>
      <c r="M8205" s="4"/>
      <c r="N8205" s="4"/>
      <c r="O8205" s="5"/>
      <c r="P8205" s="5"/>
      <c r="Q8205" s="21">
        <v>0</v>
      </c>
      <c r="R8205" s="21">
        <v>0</v>
      </c>
      <c r="S8205" s="5">
        <f t="shared" si="515"/>
        <v>61053.912758325023</v>
      </c>
      <c r="T8205" cm="1">
        <f t="array" ref="T8205">IF(OR(B8205="MAL ALIMI", B8205="ÜRETİM GİRİŞ"), MIN(I8205, MAX(0, I8205 + SUM(SUMIFS($I$1:I8204, $C$1:C8204, C8205, $B$1:B8204, {"MAL ALIMI","ÜRETİM GİRİŞ"})) - VLOOKUP(C8205, 'STOK RAPORU'!$C$2:$I$1000, 4, 0))), 0)</f>
        <v>0</v>
      </c>
      <c r="U8205" s="22">
        <f t="shared" si="512"/>
        <v>0</v>
      </c>
      <c r="V8205">
        <f t="shared" si="513"/>
        <v>0</v>
      </c>
      <c r="W8205" s="22">
        <f t="shared" si="514"/>
        <v>0</v>
      </c>
    </row>
    <row r="8206" spans="1:23" hidden="1" x14ac:dyDescent="0.25">
      <c r="A8206" s="45">
        <v>46216</v>
      </c>
      <c r="B8206" s="46" t="s">
        <v>334</v>
      </c>
      <c r="C8206" s="4" t="s">
        <v>3889</v>
      </c>
      <c r="D8206" s="4"/>
      <c r="E8206" s="4" t="s">
        <v>921</v>
      </c>
      <c r="F8206" s="46" t="s">
        <v>3891</v>
      </c>
      <c r="G8206" s="4" t="s">
        <v>336</v>
      </c>
      <c r="H8206" s="4" t="s">
        <v>380</v>
      </c>
      <c r="I8206" s="4">
        <v>25</v>
      </c>
      <c r="J8206" s="21">
        <v>650</v>
      </c>
      <c r="K8206" s="21">
        <v>16250</v>
      </c>
      <c r="L8206" s="5">
        <v>0</v>
      </c>
      <c r="M8206" s="4"/>
      <c r="N8206" s="4"/>
      <c r="O8206" s="5"/>
      <c r="P8206" s="5"/>
      <c r="Q8206" s="21">
        <v>0</v>
      </c>
      <c r="R8206" s="21">
        <v>0</v>
      </c>
      <c r="S8206" s="5">
        <f t="shared" si="515"/>
        <v>61053.912758325023</v>
      </c>
      <c r="T8206" cm="1">
        <f t="array" ref="T8206">IF(OR(B8206="MAL ALIMI", B8206="ÜRETİM GİRİŞ"), MIN(I8206, MAX(0, I8206 + SUM(SUMIFS($I$1:I8205, $C$1:C8205, C8206, $B$1:B8205, {"MAL ALIMI","ÜRETİM GİRİŞ"})) - VLOOKUP(C8206, 'STOK RAPORU'!$C$2:$I$1000, 4, 0))), 0)</f>
        <v>0</v>
      </c>
      <c r="U8206" s="22">
        <f t="shared" si="512"/>
        <v>0</v>
      </c>
      <c r="V8206">
        <f t="shared" si="513"/>
        <v>0</v>
      </c>
      <c r="W8206" s="22">
        <f t="shared" si="514"/>
        <v>0</v>
      </c>
    </row>
    <row r="8207" spans="1:23" hidden="1" x14ac:dyDescent="0.25">
      <c r="A8207" s="45">
        <v>46216</v>
      </c>
      <c r="B8207" s="46" t="s">
        <v>334</v>
      </c>
      <c r="C8207" s="4" t="s">
        <v>634</v>
      </c>
      <c r="D8207" s="4"/>
      <c r="E8207" s="4" t="s">
        <v>921</v>
      </c>
      <c r="F8207" s="46" t="s">
        <v>3891</v>
      </c>
      <c r="G8207" s="4" t="s">
        <v>336</v>
      </c>
      <c r="H8207" s="4" t="s">
        <v>380</v>
      </c>
      <c r="I8207" s="4">
        <v>10</v>
      </c>
      <c r="J8207" s="21">
        <v>750</v>
      </c>
      <c r="K8207" s="21">
        <v>7500</v>
      </c>
      <c r="L8207" s="5">
        <v>0</v>
      </c>
      <c r="M8207" s="4"/>
      <c r="N8207" s="4"/>
      <c r="O8207" s="5"/>
      <c r="P8207" s="5"/>
      <c r="Q8207" s="21">
        <v>0</v>
      </c>
      <c r="R8207" s="21">
        <v>0</v>
      </c>
      <c r="S8207" s="5">
        <f t="shared" si="515"/>
        <v>61053.912758325023</v>
      </c>
      <c r="T8207" cm="1">
        <f t="array" ref="T8207">IF(OR(B8207="MAL ALIMI", B8207="ÜRETİM GİRİŞ"), MIN(I8207, MAX(0, I8207 + SUM(SUMIFS($I$1:I8206, $C$1:C8206, C8207, $B$1:B8206, {"MAL ALIMI","ÜRETİM GİRİŞ"})) - VLOOKUP(C8207, 'STOK RAPORU'!$C$2:$I$1000, 4, 0))), 0)</f>
        <v>0</v>
      </c>
      <c r="U8207" s="22">
        <f t="shared" si="512"/>
        <v>0</v>
      </c>
      <c r="V8207">
        <f t="shared" si="513"/>
        <v>0</v>
      </c>
      <c r="W8207" s="22">
        <f t="shared" si="514"/>
        <v>0</v>
      </c>
    </row>
    <row r="8208" spans="1:23" hidden="1" x14ac:dyDescent="0.25">
      <c r="A8208" s="45">
        <v>46216</v>
      </c>
      <c r="B8208" s="46" t="s">
        <v>1027</v>
      </c>
      <c r="C8208" s="4"/>
      <c r="D8208" s="4" t="s">
        <v>2324</v>
      </c>
      <c r="E8208" s="4" t="s">
        <v>921</v>
      </c>
      <c r="F8208" s="46" t="s">
        <v>3891</v>
      </c>
      <c r="G8208" s="4" t="s">
        <v>3892</v>
      </c>
      <c r="H8208" s="4" t="s">
        <v>380</v>
      </c>
      <c r="I8208" s="4">
        <v>4</v>
      </c>
      <c r="J8208" s="21">
        <v>35</v>
      </c>
      <c r="K8208" s="21">
        <v>140</v>
      </c>
      <c r="L8208" s="5">
        <v>0</v>
      </c>
      <c r="M8208" s="4"/>
      <c r="N8208" s="4"/>
      <c r="O8208" s="5"/>
      <c r="P8208" s="5"/>
      <c r="Q8208" s="21">
        <v>0</v>
      </c>
      <c r="R8208" s="21">
        <v>0</v>
      </c>
      <c r="S8208" s="5">
        <f t="shared" si="515"/>
        <v>61053.912758325023</v>
      </c>
      <c r="T8208" cm="1">
        <f t="array" ref="T8208">IF(OR(B8208="MAL ALIMI", B8208="ÜRETİM GİRİŞ"), MIN(I8208, MAX(0, I8208 + SUM(SUMIFS($I$1:I8207, $C$1:C8207, C8208, $B$1:B8207, {"MAL ALIMI","ÜRETİM GİRİŞ"})) - VLOOKUP(C8208, 'STOK RAPORU'!$C$2:$I$1000, 4, 0))), 0)</f>
        <v>0</v>
      </c>
      <c r="U8208" s="22">
        <f t="shared" si="512"/>
        <v>0</v>
      </c>
      <c r="V8208">
        <f t="shared" si="513"/>
        <v>0</v>
      </c>
      <c r="W8208" s="22">
        <f t="shared" si="514"/>
        <v>0</v>
      </c>
    </row>
    <row r="8209" spans="1:23" hidden="1" x14ac:dyDescent="0.25">
      <c r="A8209" s="45">
        <v>46216</v>
      </c>
      <c r="B8209" s="46" t="s">
        <v>334</v>
      </c>
      <c r="C8209" s="4" t="s">
        <v>697</v>
      </c>
      <c r="D8209" s="4"/>
      <c r="E8209" s="4"/>
      <c r="F8209" s="46" t="s">
        <v>3893</v>
      </c>
      <c r="G8209" s="4" t="s">
        <v>336</v>
      </c>
      <c r="H8209" s="4" t="s">
        <v>289</v>
      </c>
      <c r="I8209" s="4">
        <v>0.2</v>
      </c>
      <c r="J8209" s="21">
        <v>500</v>
      </c>
      <c r="K8209" s="21">
        <v>0</v>
      </c>
      <c r="L8209" s="5">
        <v>0</v>
      </c>
      <c r="M8209" s="4"/>
      <c r="N8209" s="4"/>
      <c r="O8209" s="5"/>
      <c r="P8209" s="5"/>
      <c r="Q8209" s="21">
        <v>100</v>
      </c>
      <c r="R8209" s="21">
        <v>0</v>
      </c>
      <c r="S8209" s="5">
        <f t="shared" si="515"/>
        <v>61153.912758325023</v>
      </c>
      <c r="T8209" cm="1">
        <f t="array" ref="T8209">IF(OR(B8209="MAL ALIMI", B8209="ÜRETİM GİRİŞ"), MIN(I8209, MAX(0, I8209 + SUM(SUMIFS($I$1:I8208, $C$1:C8208, C8209, $B$1:B8208, {"MAL ALIMI","ÜRETİM GİRİŞ"})) - VLOOKUP(C8209, 'STOK RAPORU'!$C$2:$I$1000, 4, 0))), 0)</f>
        <v>0</v>
      </c>
      <c r="U8209" s="22">
        <f t="shared" si="512"/>
        <v>0</v>
      </c>
      <c r="V8209">
        <f t="shared" si="513"/>
        <v>0</v>
      </c>
      <c r="W8209" s="22">
        <f t="shared" si="514"/>
        <v>0</v>
      </c>
    </row>
    <row r="8210" spans="1:23" hidden="1" x14ac:dyDescent="0.25">
      <c r="A8210" s="45">
        <v>46216</v>
      </c>
      <c r="B8210" s="46" t="s">
        <v>334</v>
      </c>
      <c r="C8210" s="4" t="s">
        <v>2601</v>
      </c>
      <c r="D8210" s="4"/>
      <c r="E8210" s="4"/>
      <c r="F8210" s="46" t="s">
        <v>3893</v>
      </c>
      <c r="G8210" s="4" t="s">
        <v>336</v>
      </c>
      <c r="H8210" s="4" t="s">
        <v>289</v>
      </c>
      <c r="I8210" s="4">
        <v>0.05</v>
      </c>
      <c r="J8210" s="21">
        <v>500</v>
      </c>
      <c r="K8210" s="21">
        <v>0</v>
      </c>
      <c r="L8210" s="5">
        <v>0</v>
      </c>
      <c r="M8210" s="4"/>
      <c r="N8210" s="4"/>
      <c r="O8210" s="5"/>
      <c r="P8210" s="5"/>
      <c r="Q8210" s="21">
        <v>25</v>
      </c>
      <c r="R8210" s="21">
        <v>0</v>
      </c>
      <c r="S8210" s="5">
        <f t="shared" si="515"/>
        <v>61178.912758325023</v>
      </c>
      <c r="T8210" cm="1">
        <f t="array" ref="T8210">IF(OR(B8210="MAL ALIMI", B8210="ÜRETİM GİRİŞ"), MIN(I8210, MAX(0, I8210 + SUM(SUMIFS($I$1:I8209, $C$1:C8209, C8210, $B$1:B8209, {"MAL ALIMI","ÜRETİM GİRİŞ"})) - VLOOKUP(C8210, 'STOK RAPORU'!$C$2:$I$1000, 4, 0))), 0)</f>
        <v>0</v>
      </c>
      <c r="U8210" s="22">
        <f t="shared" si="512"/>
        <v>0</v>
      </c>
      <c r="V8210">
        <f t="shared" si="513"/>
        <v>0</v>
      </c>
      <c r="W8210" s="22">
        <f t="shared" si="514"/>
        <v>0</v>
      </c>
    </row>
    <row r="8211" spans="1:23" hidden="1" x14ac:dyDescent="0.25">
      <c r="A8211" s="3">
        <v>46216</v>
      </c>
      <c r="B8211" s="46" t="s">
        <v>946</v>
      </c>
      <c r="C8211" s="4"/>
      <c r="D8211" s="4"/>
      <c r="E8211" s="4" t="s">
        <v>921</v>
      </c>
      <c r="F8211" s="4"/>
      <c r="G8211" s="4" t="s">
        <v>946</v>
      </c>
      <c r="H8211" s="4" t="s">
        <v>380</v>
      </c>
      <c r="I8211" s="4">
        <v>1</v>
      </c>
      <c r="J8211" s="21">
        <v>298</v>
      </c>
      <c r="K8211" s="21">
        <f>IF(AND(B8211="MAL SATIŞI", H8211="POS"),I8211*J8211,0)</f>
        <v>0</v>
      </c>
      <c r="L8211" s="111">
        <v>298</v>
      </c>
      <c r="M8211" s="4"/>
      <c r="N8211" s="4"/>
      <c r="O8211" s="5"/>
      <c r="P8211" s="5"/>
      <c r="Q8211" s="21">
        <v>298</v>
      </c>
      <c r="R8211" s="21">
        <f>IF(AND(E8211="", B8211&lt;&gt;"MAL SATIŞI"),I8211*J8211,0)</f>
        <v>0</v>
      </c>
      <c r="S8211" s="5">
        <f t="shared" si="515"/>
        <v>61476.912758325023</v>
      </c>
      <c r="T8211" cm="1">
        <f t="array" ref="T8211">IF(OR(B8211="MAL ALIMI", B8211="ÜRETİM GİRİŞ"), MIN(I8211, MAX(0, I8211 + SUM(SUMIFS($I$1:I8210, $C$1:C8210, C8211, $B$1:B8210, {"MAL ALIMI","ÜRETİM GİRİŞ"})) - VLOOKUP(C8211, 'STOK RAPORU'!$C$2:$I$1000, 4, 0))), 0)</f>
        <v>0</v>
      </c>
      <c r="U8211" s="22">
        <f t="shared" si="512"/>
        <v>0</v>
      </c>
      <c r="V8211">
        <f t="shared" si="513"/>
        <v>0</v>
      </c>
      <c r="W8211" s="22">
        <f t="shared" si="514"/>
        <v>0</v>
      </c>
    </row>
    <row r="8212" spans="1:23" hidden="1" x14ac:dyDescent="0.25">
      <c r="A8212" s="3">
        <v>46216</v>
      </c>
      <c r="B8212" s="46" t="s">
        <v>946</v>
      </c>
      <c r="C8212" s="4"/>
      <c r="D8212" s="4"/>
      <c r="E8212" s="4" t="s">
        <v>921</v>
      </c>
      <c r="F8212" s="4"/>
      <c r="G8212" s="4" t="s">
        <v>946</v>
      </c>
      <c r="H8212" s="4" t="s">
        <v>380</v>
      </c>
      <c r="I8212" s="4">
        <v>1</v>
      </c>
      <c r="J8212" s="21">
        <v>320</v>
      </c>
      <c r="K8212" s="21">
        <f>IF(AND(B8212="MAL SATIŞI", H8212="POS"),I8212*J8212,0)</f>
        <v>0</v>
      </c>
      <c r="L8212" s="111">
        <v>320</v>
      </c>
      <c r="M8212" s="4"/>
      <c r="N8212" s="4"/>
      <c r="O8212" s="5"/>
      <c r="P8212" s="5"/>
      <c r="Q8212" s="21">
        <v>320</v>
      </c>
      <c r="R8212" s="21">
        <f>IF(AND(E8212="", B8212&lt;&gt;"MAL SATIŞI"),I8212*J8212,0)</f>
        <v>0</v>
      </c>
      <c r="S8212" s="5">
        <f t="shared" si="515"/>
        <v>61796.912758325023</v>
      </c>
      <c r="T8212" cm="1">
        <f t="array" ref="T8212">IF(OR(B8212="MAL ALIMI", B8212="ÜRETİM GİRİŞ"), MIN(I8212, MAX(0, I8212 + SUM(SUMIFS($I$1:I8211, $C$1:C8211, C8212, $B$1:B8211, {"MAL ALIMI","ÜRETİM GİRİŞ"})) - VLOOKUP(C8212, 'STOK RAPORU'!$C$2:$I$1000, 4, 0))), 0)</f>
        <v>0</v>
      </c>
      <c r="U8212" s="22">
        <f t="shared" si="512"/>
        <v>0</v>
      </c>
      <c r="V8212">
        <f t="shared" si="513"/>
        <v>0</v>
      </c>
      <c r="W8212" s="22">
        <f t="shared" si="514"/>
        <v>0</v>
      </c>
    </row>
    <row r="8213" spans="1:23" hidden="1" x14ac:dyDescent="0.25">
      <c r="A8213" s="45">
        <v>46217</v>
      </c>
      <c r="B8213" s="46" t="s">
        <v>334</v>
      </c>
      <c r="C8213" s="4" t="s">
        <v>96</v>
      </c>
      <c r="D8213" s="4"/>
      <c r="E8213" s="4"/>
      <c r="F8213" s="46" t="s">
        <v>3896</v>
      </c>
      <c r="G8213" s="4" t="s">
        <v>336</v>
      </c>
      <c r="H8213" s="4" t="s">
        <v>289</v>
      </c>
      <c r="I8213" s="4">
        <v>7.2499999999999995E-2</v>
      </c>
      <c r="J8213" s="21">
        <v>400</v>
      </c>
      <c r="K8213" s="21">
        <v>0</v>
      </c>
      <c r="L8213" s="5">
        <v>0</v>
      </c>
      <c r="M8213" s="4"/>
      <c r="N8213" s="4"/>
      <c r="O8213" s="5"/>
      <c r="P8213" s="5"/>
      <c r="Q8213" s="21">
        <v>28.999999999999996</v>
      </c>
      <c r="R8213" s="21">
        <v>0</v>
      </c>
      <c r="S8213" s="5">
        <f t="shared" si="515"/>
        <v>61825.912758325023</v>
      </c>
      <c r="T8213" cm="1">
        <f t="array" ref="T8213">IF(OR(B8213="MAL ALIMI", B8213="ÜRETİM GİRİŞ"), MIN(I8213, MAX(0, I8213 + SUM(SUMIFS($I$1:I8212, $C$1:C8212, C8213, $B$1:B8212, {"MAL ALIMI","ÜRETİM GİRİŞ"})) - VLOOKUP(C8213, 'STOK RAPORU'!$C$2:$I$1000, 4, 0))), 0)</f>
        <v>0</v>
      </c>
      <c r="U8213" s="22">
        <f t="shared" si="512"/>
        <v>0</v>
      </c>
      <c r="V8213">
        <f t="shared" si="513"/>
        <v>0</v>
      </c>
      <c r="W8213" s="22">
        <f t="shared" si="514"/>
        <v>0</v>
      </c>
    </row>
    <row r="8214" spans="1:23" hidden="1" x14ac:dyDescent="0.25">
      <c r="A8214" s="45">
        <v>46217</v>
      </c>
      <c r="B8214" s="46" t="s">
        <v>334</v>
      </c>
      <c r="C8214" s="4" t="s">
        <v>133</v>
      </c>
      <c r="D8214" s="4"/>
      <c r="E8214" s="4"/>
      <c r="F8214" s="46" t="s">
        <v>3896</v>
      </c>
      <c r="G8214" s="4" t="s">
        <v>336</v>
      </c>
      <c r="H8214" s="4" t="s">
        <v>289</v>
      </c>
      <c r="I8214" s="4">
        <v>0.11749999999999999</v>
      </c>
      <c r="J8214" s="21">
        <v>400</v>
      </c>
      <c r="K8214" s="21">
        <v>0</v>
      </c>
      <c r="L8214" s="5">
        <v>0</v>
      </c>
      <c r="M8214" s="4"/>
      <c r="N8214" s="4"/>
      <c r="O8214" s="5"/>
      <c r="P8214" s="5"/>
      <c r="Q8214" s="21">
        <v>47</v>
      </c>
      <c r="R8214" s="21">
        <v>0</v>
      </c>
      <c r="S8214" s="5">
        <f t="shared" si="515"/>
        <v>61872.912758325023</v>
      </c>
      <c r="T8214" cm="1">
        <f t="array" ref="T8214">IF(OR(B8214="MAL ALIMI", B8214="ÜRETİM GİRİŞ"), MIN(I8214, MAX(0, I8214 + SUM(SUMIFS($I$1:I8213, $C$1:C8213, C8214, $B$1:B8213, {"MAL ALIMI","ÜRETİM GİRİŞ"})) - VLOOKUP(C8214, 'STOK RAPORU'!$C$2:$I$1000, 4, 0))), 0)</f>
        <v>0</v>
      </c>
      <c r="U8214" s="22">
        <f t="shared" si="512"/>
        <v>0</v>
      </c>
      <c r="V8214">
        <f t="shared" si="513"/>
        <v>0</v>
      </c>
      <c r="W8214" s="22">
        <f t="shared" si="514"/>
        <v>0</v>
      </c>
    </row>
    <row r="8215" spans="1:23" hidden="1" x14ac:dyDescent="0.25">
      <c r="A8215" s="45">
        <v>46217</v>
      </c>
      <c r="B8215" s="46" t="s">
        <v>334</v>
      </c>
      <c r="C8215" s="4" t="s">
        <v>2120</v>
      </c>
      <c r="D8215" s="4"/>
      <c r="E8215" s="4"/>
      <c r="F8215" s="46" t="s">
        <v>3896</v>
      </c>
      <c r="G8215" s="4" t="s">
        <v>336</v>
      </c>
      <c r="H8215" s="4" t="s">
        <v>289</v>
      </c>
      <c r="I8215" s="4">
        <v>0.84615384615384615</v>
      </c>
      <c r="J8215" s="21">
        <v>65</v>
      </c>
      <c r="K8215" s="21">
        <v>0</v>
      </c>
      <c r="L8215" s="5">
        <v>0</v>
      </c>
      <c r="M8215" s="4"/>
      <c r="N8215" s="4"/>
      <c r="O8215" s="5"/>
      <c r="P8215" s="5"/>
      <c r="Q8215" s="21">
        <v>55</v>
      </c>
      <c r="R8215" s="21">
        <v>0</v>
      </c>
      <c r="S8215" s="5">
        <f t="shared" si="515"/>
        <v>61927.912758325023</v>
      </c>
      <c r="T8215" cm="1">
        <f t="array" ref="T8215">IF(OR(B8215="MAL ALIMI", B8215="ÜRETİM GİRİŞ"), MIN(I8215, MAX(0, I8215 + SUM(SUMIFS($I$1:I8214, $C$1:C8214, C8215, $B$1:B8214, {"MAL ALIMI","ÜRETİM GİRİŞ"})) - VLOOKUP(C8215, 'STOK RAPORU'!$C$2:$I$1000, 4, 0))), 0)</f>
        <v>0</v>
      </c>
      <c r="U8215" s="22">
        <f t="shared" si="512"/>
        <v>0</v>
      </c>
      <c r="V8215">
        <f t="shared" si="513"/>
        <v>0</v>
      </c>
      <c r="W8215" s="22">
        <f t="shared" si="514"/>
        <v>0</v>
      </c>
    </row>
    <row r="8216" spans="1:23" hidden="1" x14ac:dyDescent="0.25">
      <c r="A8216" s="41">
        <v>46217</v>
      </c>
      <c r="B8216" s="42" t="s">
        <v>334</v>
      </c>
      <c r="C8216" s="42" t="s">
        <v>91</v>
      </c>
      <c r="D8216" s="42"/>
      <c r="E8216" s="42"/>
      <c r="F8216" s="42" t="s">
        <v>3897</v>
      </c>
      <c r="G8216" s="42" t="s">
        <v>3899</v>
      </c>
      <c r="H8216" s="42" t="s">
        <v>289</v>
      </c>
      <c r="I8216" s="42">
        <v>2.5882352941176471E-2</v>
      </c>
      <c r="J8216" s="43">
        <v>850</v>
      </c>
      <c r="K8216" s="43">
        <v>0</v>
      </c>
      <c r="L8216" s="44">
        <v>0</v>
      </c>
      <c r="M8216" s="42"/>
      <c r="N8216" s="42"/>
      <c r="O8216" s="44"/>
      <c r="P8216" s="44"/>
      <c r="Q8216" s="43">
        <v>22</v>
      </c>
      <c r="R8216" s="21">
        <v>0</v>
      </c>
      <c r="S8216" s="5">
        <f t="shared" si="515"/>
        <v>61949.912758325023</v>
      </c>
      <c r="T8216" cm="1">
        <f t="array" ref="T8216">IF(OR(B8216="MAL ALIMI", B8216="ÜRETİM GİRİŞ"), MIN(I8216, MAX(0, I8216 + SUM(SUMIFS($I$1:I8215, $C$1:C8215, C8216, $B$1:B8215, {"MAL ALIMI","ÜRETİM GİRİŞ"})) - VLOOKUP(C8216, 'STOK RAPORU'!$C$2:$I$1000, 4, 0))), 0)</f>
        <v>0</v>
      </c>
      <c r="U8216" s="22">
        <f t="shared" si="512"/>
        <v>0</v>
      </c>
      <c r="V8216">
        <f t="shared" si="513"/>
        <v>0</v>
      </c>
      <c r="W8216" s="22">
        <f t="shared" si="514"/>
        <v>0</v>
      </c>
    </row>
    <row r="8217" spans="1:23" hidden="1" x14ac:dyDescent="0.25">
      <c r="A8217" s="41">
        <v>46217</v>
      </c>
      <c r="B8217" s="42" t="s">
        <v>334</v>
      </c>
      <c r="C8217" s="42" t="s">
        <v>126</v>
      </c>
      <c r="D8217" s="42"/>
      <c r="E8217" s="42"/>
      <c r="F8217" s="42" t="s">
        <v>3897</v>
      </c>
      <c r="G8217" s="42" t="s">
        <v>3899</v>
      </c>
      <c r="H8217" s="42" t="s">
        <v>289</v>
      </c>
      <c r="I8217" s="42">
        <v>0.1</v>
      </c>
      <c r="J8217" s="43">
        <v>650</v>
      </c>
      <c r="K8217" s="43">
        <v>0</v>
      </c>
      <c r="L8217" s="44">
        <v>0</v>
      </c>
      <c r="M8217" s="42"/>
      <c r="N8217" s="42"/>
      <c r="O8217" s="44"/>
      <c r="P8217" s="44"/>
      <c r="Q8217" s="43">
        <v>65</v>
      </c>
      <c r="R8217" s="21">
        <v>0</v>
      </c>
      <c r="S8217" s="5">
        <f t="shared" si="515"/>
        <v>62014.912758325023</v>
      </c>
      <c r="T8217" cm="1">
        <f t="array" ref="T8217">IF(OR(B8217="MAL ALIMI", B8217="ÜRETİM GİRİŞ"), MIN(I8217, MAX(0, I8217 + SUM(SUMIFS($I$1:I8216, $C$1:C8216, C8217, $B$1:B8216, {"MAL ALIMI","ÜRETİM GİRİŞ"})) - VLOOKUP(C8217, 'STOK RAPORU'!$C$2:$I$1000, 4, 0))), 0)</f>
        <v>0</v>
      </c>
      <c r="U8217" s="22">
        <f t="shared" si="512"/>
        <v>0</v>
      </c>
      <c r="V8217">
        <f t="shared" si="513"/>
        <v>0</v>
      </c>
      <c r="W8217" s="22">
        <f t="shared" si="514"/>
        <v>0</v>
      </c>
    </row>
    <row r="8218" spans="1:23" hidden="1" x14ac:dyDescent="0.25">
      <c r="A8218" s="41">
        <v>46217</v>
      </c>
      <c r="B8218" s="42" t="s">
        <v>334</v>
      </c>
      <c r="C8218" s="42" t="s">
        <v>133</v>
      </c>
      <c r="D8218" s="42"/>
      <c r="E8218" s="42"/>
      <c r="F8218" s="42" t="s">
        <v>3897</v>
      </c>
      <c r="G8218" s="42" t="s">
        <v>3899</v>
      </c>
      <c r="H8218" s="42" t="s">
        <v>289</v>
      </c>
      <c r="I8218" s="42">
        <v>0.19750000000000001</v>
      </c>
      <c r="J8218" s="43">
        <v>400</v>
      </c>
      <c r="K8218" s="43">
        <v>0</v>
      </c>
      <c r="L8218" s="44">
        <v>0</v>
      </c>
      <c r="M8218" s="42"/>
      <c r="N8218" s="42"/>
      <c r="O8218" s="44"/>
      <c r="P8218" s="44"/>
      <c r="Q8218" s="43">
        <v>79</v>
      </c>
      <c r="R8218" s="21">
        <v>0</v>
      </c>
      <c r="S8218" s="5">
        <f t="shared" si="515"/>
        <v>62093.912758325023</v>
      </c>
      <c r="T8218" cm="1">
        <f t="array" ref="T8218">IF(OR(B8218="MAL ALIMI", B8218="ÜRETİM GİRİŞ"), MIN(I8218, MAX(0, I8218 + SUM(SUMIFS($I$1:I8217, $C$1:C8217, C8218, $B$1:B8217, {"MAL ALIMI","ÜRETİM GİRİŞ"})) - VLOOKUP(C8218, 'STOK RAPORU'!$C$2:$I$1000, 4, 0))), 0)</f>
        <v>0</v>
      </c>
      <c r="U8218" s="22">
        <f t="shared" si="512"/>
        <v>0</v>
      </c>
      <c r="V8218">
        <f t="shared" si="513"/>
        <v>0</v>
      </c>
      <c r="W8218" s="22">
        <f t="shared" si="514"/>
        <v>0</v>
      </c>
    </row>
    <row r="8219" spans="1:23" hidden="1" x14ac:dyDescent="0.25">
      <c r="A8219" s="41">
        <v>46217</v>
      </c>
      <c r="B8219" s="42" t="s">
        <v>334</v>
      </c>
      <c r="C8219" s="42" t="s">
        <v>157</v>
      </c>
      <c r="D8219" s="42"/>
      <c r="E8219" s="42"/>
      <c r="F8219" s="42" t="s">
        <v>3897</v>
      </c>
      <c r="G8219" s="42" t="s">
        <v>3899</v>
      </c>
      <c r="H8219" s="42" t="s">
        <v>289</v>
      </c>
      <c r="I8219" s="42">
        <v>1</v>
      </c>
      <c r="J8219" s="43">
        <v>200</v>
      </c>
      <c r="K8219" s="43">
        <v>0</v>
      </c>
      <c r="L8219" s="44">
        <v>0</v>
      </c>
      <c r="M8219" s="42"/>
      <c r="N8219" s="42"/>
      <c r="O8219" s="44"/>
      <c r="P8219" s="44"/>
      <c r="Q8219" s="43">
        <v>200</v>
      </c>
      <c r="R8219" s="21">
        <v>0</v>
      </c>
      <c r="S8219" s="5">
        <f t="shared" si="515"/>
        <v>62293.912758325023</v>
      </c>
      <c r="T8219" cm="1">
        <f t="array" ref="T8219">IF(OR(B8219="MAL ALIMI", B8219="ÜRETİM GİRİŞ"), MIN(I8219, MAX(0, I8219 + SUM(SUMIFS($I$1:I8218, $C$1:C8218, C8219, $B$1:B8218, {"MAL ALIMI","ÜRETİM GİRİŞ"})) - VLOOKUP(C8219, 'STOK RAPORU'!$C$2:$I$1000, 4, 0))), 0)</f>
        <v>0</v>
      </c>
      <c r="U8219" s="22">
        <f t="shared" si="512"/>
        <v>0</v>
      </c>
      <c r="V8219">
        <f t="shared" si="513"/>
        <v>0</v>
      </c>
      <c r="W8219" s="22">
        <f t="shared" si="514"/>
        <v>0</v>
      </c>
    </row>
    <row r="8220" spans="1:23" hidden="1" x14ac:dyDescent="0.25">
      <c r="A8220" s="41">
        <v>46217</v>
      </c>
      <c r="B8220" s="42" t="s">
        <v>334</v>
      </c>
      <c r="C8220" s="42" t="s">
        <v>60</v>
      </c>
      <c r="D8220" s="42"/>
      <c r="E8220" s="42"/>
      <c r="F8220" s="42" t="s">
        <v>3897</v>
      </c>
      <c r="G8220" s="42" t="s">
        <v>3899</v>
      </c>
      <c r="H8220" s="42" t="s">
        <v>289</v>
      </c>
      <c r="I8220" s="42">
        <v>0.05</v>
      </c>
      <c r="J8220" s="43">
        <v>1200</v>
      </c>
      <c r="K8220" s="43">
        <v>0</v>
      </c>
      <c r="L8220" s="44">
        <v>0</v>
      </c>
      <c r="M8220" s="42"/>
      <c r="N8220" s="42"/>
      <c r="O8220" s="44"/>
      <c r="P8220" s="44"/>
      <c r="Q8220" s="43">
        <v>60</v>
      </c>
      <c r="R8220" s="21">
        <v>0</v>
      </c>
      <c r="S8220" s="5">
        <f t="shared" si="515"/>
        <v>62353.912758325023</v>
      </c>
      <c r="T8220" cm="1">
        <f t="array" ref="T8220">IF(OR(B8220="MAL ALIMI", B8220="ÜRETİM GİRİŞ"), MIN(I8220, MAX(0, I8220 + SUM(SUMIFS($I$1:I8219, $C$1:C8219, C8220, $B$1:B8219, {"MAL ALIMI","ÜRETİM GİRİŞ"})) - VLOOKUP(C8220, 'STOK RAPORU'!$C$2:$I$1000, 4, 0))), 0)</f>
        <v>0</v>
      </c>
      <c r="U8220" s="22">
        <f t="shared" si="512"/>
        <v>0</v>
      </c>
      <c r="V8220">
        <f t="shared" si="513"/>
        <v>0</v>
      </c>
      <c r="W8220" s="22">
        <f t="shared" si="514"/>
        <v>0</v>
      </c>
    </row>
    <row r="8221" spans="1:23" hidden="1" x14ac:dyDescent="0.25">
      <c r="A8221" s="41">
        <v>46217</v>
      </c>
      <c r="B8221" s="42" t="s">
        <v>334</v>
      </c>
      <c r="C8221" s="42" t="s">
        <v>523</v>
      </c>
      <c r="D8221" s="42"/>
      <c r="E8221" s="42"/>
      <c r="F8221" s="42" t="s">
        <v>3897</v>
      </c>
      <c r="G8221" s="42" t="s">
        <v>3899</v>
      </c>
      <c r="H8221" s="42" t="s">
        <v>289</v>
      </c>
      <c r="I8221" s="42">
        <v>0.08</v>
      </c>
      <c r="J8221" s="43">
        <v>750</v>
      </c>
      <c r="K8221" s="43">
        <v>0</v>
      </c>
      <c r="L8221" s="44">
        <v>0</v>
      </c>
      <c r="M8221" s="42"/>
      <c r="N8221" s="42"/>
      <c r="O8221" s="44"/>
      <c r="P8221" s="44"/>
      <c r="Q8221" s="43">
        <v>60</v>
      </c>
      <c r="R8221" s="21">
        <v>0</v>
      </c>
      <c r="S8221" s="5">
        <f t="shared" si="515"/>
        <v>62413.912758325023</v>
      </c>
      <c r="T8221" cm="1">
        <f t="array" ref="T8221">IF(OR(B8221="MAL ALIMI", B8221="ÜRETİM GİRİŞ"), MIN(I8221, MAX(0, I8221 + SUM(SUMIFS($I$1:I8220, $C$1:C8220, C8221, $B$1:B8220, {"MAL ALIMI","ÜRETİM GİRİŞ"})) - VLOOKUP(C8221, 'STOK RAPORU'!$C$2:$I$1000, 4, 0))), 0)</f>
        <v>0</v>
      </c>
      <c r="U8221" s="22">
        <f t="shared" si="512"/>
        <v>0</v>
      </c>
      <c r="V8221">
        <f t="shared" si="513"/>
        <v>0</v>
      </c>
      <c r="W8221" s="22">
        <f t="shared" si="514"/>
        <v>0</v>
      </c>
    </row>
    <row r="8222" spans="1:23" hidden="1" x14ac:dyDescent="0.25">
      <c r="A8222" s="41">
        <v>46217</v>
      </c>
      <c r="B8222" s="42" t="s">
        <v>334</v>
      </c>
      <c r="C8222" s="42" t="s">
        <v>523</v>
      </c>
      <c r="D8222" s="42"/>
      <c r="E8222" s="42"/>
      <c r="F8222" s="42" t="s">
        <v>3898</v>
      </c>
      <c r="G8222" s="42" t="s">
        <v>3900</v>
      </c>
      <c r="H8222" s="42" t="s">
        <v>289</v>
      </c>
      <c r="I8222" s="42">
        <v>0.08</v>
      </c>
      <c r="J8222" s="43">
        <v>750</v>
      </c>
      <c r="K8222" s="43">
        <v>0</v>
      </c>
      <c r="L8222" s="44">
        <v>0</v>
      </c>
      <c r="M8222" s="42"/>
      <c r="N8222" s="42"/>
      <c r="O8222" s="44"/>
      <c r="P8222" s="44"/>
      <c r="Q8222" s="43">
        <v>60</v>
      </c>
      <c r="R8222" s="21">
        <v>0</v>
      </c>
      <c r="S8222" s="5">
        <f t="shared" si="515"/>
        <v>62473.912758325023</v>
      </c>
      <c r="T8222" cm="1">
        <f t="array" ref="T8222">IF(OR(B8222="MAL ALIMI", B8222="ÜRETİM GİRİŞ"), MIN(I8222, MAX(0, I8222 + SUM(SUMIFS($I$1:I8221, $C$1:C8221, C8222, $B$1:B8221, {"MAL ALIMI","ÜRETİM GİRİŞ"})) - VLOOKUP(C8222, 'STOK RAPORU'!$C$2:$I$1000, 4, 0))), 0)</f>
        <v>0</v>
      </c>
      <c r="U8222" s="22">
        <f t="shared" si="512"/>
        <v>0</v>
      </c>
      <c r="V8222">
        <f t="shared" si="513"/>
        <v>0</v>
      </c>
      <c r="W8222" s="22">
        <f t="shared" si="514"/>
        <v>0</v>
      </c>
    </row>
    <row r="8223" spans="1:23" hidden="1" x14ac:dyDescent="0.25">
      <c r="A8223" s="41">
        <v>46217</v>
      </c>
      <c r="B8223" s="42" t="s">
        <v>334</v>
      </c>
      <c r="C8223" s="42" t="s">
        <v>60</v>
      </c>
      <c r="D8223" s="42"/>
      <c r="E8223" s="42"/>
      <c r="F8223" s="42" t="s">
        <v>3898</v>
      </c>
      <c r="G8223" s="42" t="s">
        <v>3900</v>
      </c>
      <c r="H8223" s="42" t="s">
        <v>289</v>
      </c>
      <c r="I8223" s="42">
        <v>0.05</v>
      </c>
      <c r="J8223" s="43">
        <v>1200</v>
      </c>
      <c r="K8223" s="43">
        <v>0</v>
      </c>
      <c r="L8223" s="44">
        <v>0</v>
      </c>
      <c r="M8223" s="42"/>
      <c r="N8223" s="42"/>
      <c r="O8223" s="44"/>
      <c r="P8223" s="44"/>
      <c r="Q8223" s="43">
        <v>60</v>
      </c>
      <c r="R8223" s="21">
        <v>0</v>
      </c>
      <c r="S8223" s="5">
        <f t="shared" si="515"/>
        <v>62533.912758325023</v>
      </c>
      <c r="T8223" cm="1">
        <f t="array" ref="T8223">IF(OR(B8223="MAL ALIMI", B8223="ÜRETİM GİRİŞ"), MIN(I8223, MAX(0, I8223 + SUM(SUMIFS($I$1:I8222, $C$1:C8222, C8223, $B$1:B8222, {"MAL ALIMI","ÜRETİM GİRİŞ"})) - VLOOKUP(C8223, 'STOK RAPORU'!$C$2:$I$1000, 4, 0))), 0)</f>
        <v>0</v>
      </c>
      <c r="U8223" s="22">
        <f t="shared" si="512"/>
        <v>0</v>
      </c>
      <c r="V8223">
        <f t="shared" si="513"/>
        <v>0</v>
      </c>
      <c r="W8223" s="22">
        <f t="shared" si="514"/>
        <v>0</v>
      </c>
    </row>
    <row r="8224" spans="1:23" hidden="1" x14ac:dyDescent="0.25">
      <c r="A8224" s="45">
        <v>46218</v>
      </c>
      <c r="B8224" s="46" t="s">
        <v>334</v>
      </c>
      <c r="C8224" s="4" t="s">
        <v>132</v>
      </c>
      <c r="D8224" s="4"/>
      <c r="E8224" s="4"/>
      <c r="F8224" s="46" t="s">
        <v>3901</v>
      </c>
      <c r="G8224" s="4" t="s">
        <v>336</v>
      </c>
      <c r="H8224" s="4" t="s">
        <v>289</v>
      </c>
      <c r="I8224" s="4">
        <v>8.4000000000000005E-2</v>
      </c>
      <c r="J8224" s="21">
        <v>500</v>
      </c>
      <c r="K8224" s="21">
        <v>0</v>
      </c>
      <c r="L8224" s="5">
        <v>0</v>
      </c>
      <c r="M8224" s="4"/>
      <c r="N8224" s="4"/>
      <c r="O8224" s="5"/>
      <c r="P8224" s="5"/>
      <c r="Q8224" s="21">
        <v>42</v>
      </c>
      <c r="R8224" s="21">
        <v>0</v>
      </c>
      <c r="S8224" s="5">
        <f t="shared" si="515"/>
        <v>62575.912758325023</v>
      </c>
      <c r="T8224" cm="1">
        <f t="array" ref="T8224">IF(OR(B8224="MAL ALIMI", B8224="ÜRETİM GİRİŞ"), MIN(I8224, MAX(0, I8224 + SUM(SUMIFS($I$1:I8223, $C$1:C8223, C8224, $B$1:B8223, {"MAL ALIMI","ÜRETİM GİRİŞ"})) - VLOOKUP(C8224, 'STOK RAPORU'!$C$2:$I$1000, 4, 0))), 0)</f>
        <v>0</v>
      </c>
      <c r="U8224" s="22">
        <f t="shared" si="512"/>
        <v>0</v>
      </c>
      <c r="V8224">
        <f t="shared" si="513"/>
        <v>0</v>
      </c>
      <c r="W8224" s="22">
        <f t="shared" si="514"/>
        <v>0</v>
      </c>
    </row>
    <row r="8225" spans="1:23" hidden="1" x14ac:dyDescent="0.25">
      <c r="A8225" s="45">
        <v>46218</v>
      </c>
      <c r="B8225" s="46" t="s">
        <v>334</v>
      </c>
      <c r="C8225" s="4" t="s">
        <v>96</v>
      </c>
      <c r="D8225" s="4"/>
      <c r="E8225" s="4"/>
      <c r="F8225" s="46" t="s">
        <v>3901</v>
      </c>
      <c r="G8225" s="4" t="s">
        <v>336</v>
      </c>
      <c r="H8225" s="4" t="s">
        <v>289</v>
      </c>
      <c r="I8225" s="4">
        <v>0.16399999999999998</v>
      </c>
      <c r="J8225" s="21">
        <v>400</v>
      </c>
      <c r="K8225" s="21">
        <v>0</v>
      </c>
      <c r="L8225" s="5">
        <v>0</v>
      </c>
      <c r="M8225" s="4"/>
      <c r="N8225" s="4"/>
      <c r="O8225" s="5"/>
      <c r="P8225" s="5"/>
      <c r="Q8225" s="21">
        <v>65.599999999999994</v>
      </c>
      <c r="R8225" s="21">
        <v>0</v>
      </c>
      <c r="S8225" s="5">
        <f t="shared" si="515"/>
        <v>62641.512758325021</v>
      </c>
      <c r="T8225" cm="1">
        <f t="array" ref="T8225">IF(OR(B8225="MAL ALIMI", B8225="ÜRETİM GİRİŞ"), MIN(I8225, MAX(0, I8225 + SUM(SUMIFS($I$1:I8224, $C$1:C8224, C8225, $B$1:B8224, {"MAL ALIMI","ÜRETİM GİRİŞ"})) - VLOOKUP(C8225, 'STOK RAPORU'!$C$2:$I$1000, 4, 0))), 0)</f>
        <v>0</v>
      </c>
      <c r="U8225" s="22">
        <f t="shared" si="512"/>
        <v>0</v>
      </c>
      <c r="V8225">
        <f t="shared" si="513"/>
        <v>0</v>
      </c>
      <c r="W8225" s="22">
        <f t="shared" si="514"/>
        <v>0</v>
      </c>
    </row>
    <row r="8226" spans="1:23" hidden="1" x14ac:dyDescent="0.25">
      <c r="A8226" s="45">
        <v>46218</v>
      </c>
      <c r="B8226" s="46" t="s">
        <v>334</v>
      </c>
      <c r="C8226" s="4" t="s">
        <v>3167</v>
      </c>
      <c r="D8226" s="4"/>
      <c r="E8226" s="4"/>
      <c r="F8226" s="46" t="s">
        <v>3901</v>
      </c>
      <c r="G8226" s="4" t="s">
        <v>336</v>
      </c>
      <c r="H8226" s="4" t="s">
        <v>289</v>
      </c>
      <c r="I8226" s="4">
        <v>9.6000000000000002E-2</v>
      </c>
      <c r="J8226" s="21">
        <v>400</v>
      </c>
      <c r="K8226" s="21">
        <v>0</v>
      </c>
      <c r="L8226" s="5">
        <v>0</v>
      </c>
      <c r="M8226" s="4"/>
      <c r="N8226" s="4"/>
      <c r="O8226" s="5"/>
      <c r="P8226" s="5"/>
      <c r="Q8226" s="21">
        <v>38.4</v>
      </c>
      <c r="R8226" s="21">
        <v>0</v>
      </c>
      <c r="S8226" s="5">
        <f t="shared" si="515"/>
        <v>62679.912758325023</v>
      </c>
      <c r="T8226" cm="1">
        <f t="array" ref="T8226">IF(OR(B8226="MAL ALIMI", B8226="ÜRETİM GİRİŞ"), MIN(I8226, MAX(0, I8226 + SUM(SUMIFS($I$1:I8225, $C$1:C8225, C8226, $B$1:B8225, {"MAL ALIMI","ÜRETİM GİRİŞ"})) - VLOOKUP(C8226, 'STOK RAPORU'!$C$2:$I$1000, 4, 0))), 0)</f>
        <v>0</v>
      </c>
      <c r="U8226" s="22">
        <f t="shared" si="512"/>
        <v>0</v>
      </c>
      <c r="V8226">
        <f t="shared" si="513"/>
        <v>0</v>
      </c>
      <c r="W8226" s="22">
        <f t="shared" si="514"/>
        <v>0</v>
      </c>
    </row>
    <row r="8227" spans="1:23" hidden="1" x14ac:dyDescent="0.25">
      <c r="A8227" s="45">
        <v>46218</v>
      </c>
      <c r="B8227" s="46" t="s">
        <v>334</v>
      </c>
      <c r="C8227" s="4" t="s">
        <v>129</v>
      </c>
      <c r="D8227" s="4"/>
      <c r="E8227" s="4"/>
      <c r="F8227" s="46" t="s">
        <v>3901</v>
      </c>
      <c r="G8227" s="4" t="s">
        <v>336</v>
      </c>
      <c r="H8227" s="4" t="s">
        <v>289</v>
      </c>
      <c r="I8227" s="4">
        <v>7.400000000000001E-2</v>
      </c>
      <c r="J8227" s="21">
        <v>400</v>
      </c>
      <c r="K8227" s="21">
        <v>0</v>
      </c>
      <c r="L8227" s="5">
        <v>0</v>
      </c>
      <c r="M8227" s="4"/>
      <c r="N8227" s="4"/>
      <c r="O8227" s="5"/>
      <c r="P8227" s="5"/>
      <c r="Q8227" s="21">
        <v>29.600000000000005</v>
      </c>
      <c r="R8227" s="21">
        <v>0</v>
      </c>
      <c r="S8227" s="5">
        <f t="shared" si="515"/>
        <v>62709.512758325021</v>
      </c>
      <c r="T8227" cm="1">
        <f t="array" ref="T8227">IF(OR(B8227="MAL ALIMI", B8227="ÜRETİM GİRİŞ"), MIN(I8227, MAX(0, I8227 + SUM(SUMIFS($I$1:I8226, $C$1:C8226, C8227, $B$1:B8226, {"MAL ALIMI","ÜRETİM GİRİŞ"})) - VLOOKUP(C8227, 'STOK RAPORU'!$C$2:$I$1000, 4, 0))), 0)</f>
        <v>0</v>
      </c>
      <c r="U8227" s="22">
        <f t="shared" si="512"/>
        <v>0</v>
      </c>
      <c r="V8227">
        <f t="shared" si="513"/>
        <v>0</v>
      </c>
      <c r="W8227" s="22">
        <f t="shared" si="514"/>
        <v>0</v>
      </c>
    </row>
    <row r="8228" spans="1:23" hidden="1" x14ac:dyDescent="0.25">
      <c r="A8228" s="45">
        <v>46218</v>
      </c>
      <c r="B8228" s="46" t="s">
        <v>334</v>
      </c>
      <c r="C8228" s="4" t="s">
        <v>126</v>
      </c>
      <c r="D8228" s="4"/>
      <c r="E8228" s="4"/>
      <c r="F8228" s="46" t="s">
        <v>3901</v>
      </c>
      <c r="G8228" s="4" t="s">
        <v>336</v>
      </c>
      <c r="H8228" s="4" t="s">
        <v>289</v>
      </c>
      <c r="I8228" s="4">
        <v>5.3999999999999999E-2</v>
      </c>
      <c r="J8228" s="21">
        <v>650</v>
      </c>
      <c r="K8228" s="21">
        <v>0</v>
      </c>
      <c r="L8228" s="5">
        <v>0</v>
      </c>
      <c r="M8228" s="4"/>
      <c r="N8228" s="4"/>
      <c r="O8228" s="5"/>
      <c r="P8228" s="5"/>
      <c r="Q8228" s="21">
        <v>35.1</v>
      </c>
      <c r="R8228" s="21">
        <v>0</v>
      </c>
      <c r="S8228" s="5">
        <f t="shared" si="515"/>
        <v>62744.61275832502</v>
      </c>
      <c r="T8228" cm="1">
        <f t="array" ref="T8228">IF(OR(B8228="MAL ALIMI", B8228="ÜRETİM GİRİŞ"), MIN(I8228, MAX(0, I8228 + SUM(SUMIFS($I$1:I8227, $C$1:C8227, C8228, $B$1:B8227, {"MAL ALIMI","ÜRETİM GİRİŞ"})) - VLOOKUP(C8228, 'STOK RAPORU'!$C$2:$I$1000, 4, 0))), 0)</f>
        <v>0</v>
      </c>
      <c r="U8228" s="22">
        <f t="shared" si="512"/>
        <v>0</v>
      </c>
      <c r="V8228">
        <f t="shared" si="513"/>
        <v>0</v>
      </c>
      <c r="W8228" s="22">
        <f t="shared" si="514"/>
        <v>0</v>
      </c>
    </row>
    <row r="8229" spans="1:23" hidden="1" x14ac:dyDescent="0.25">
      <c r="A8229" s="45">
        <v>46218</v>
      </c>
      <c r="B8229" s="46" t="s">
        <v>334</v>
      </c>
      <c r="C8229" s="4" t="s">
        <v>192</v>
      </c>
      <c r="D8229" s="4"/>
      <c r="E8229" s="4"/>
      <c r="F8229" s="46" t="s">
        <v>3902</v>
      </c>
      <c r="G8229" s="4" t="s">
        <v>336</v>
      </c>
      <c r="H8229" s="4" t="s">
        <v>289</v>
      </c>
      <c r="I8229" s="4">
        <v>0.12</v>
      </c>
      <c r="J8229" s="21">
        <v>417</v>
      </c>
      <c r="K8229" s="21">
        <v>0</v>
      </c>
      <c r="L8229" s="5">
        <v>0</v>
      </c>
      <c r="M8229" s="4"/>
      <c r="N8229" s="4"/>
      <c r="O8229" s="5"/>
      <c r="P8229" s="5"/>
      <c r="Q8229" s="21">
        <v>50.04</v>
      </c>
      <c r="R8229" s="21">
        <v>0</v>
      </c>
      <c r="S8229" s="5">
        <f t="shared" si="515"/>
        <v>62794.652758325021</v>
      </c>
      <c r="T8229" cm="1">
        <f t="array" ref="T8229">IF(OR(B8229="MAL ALIMI", B8229="ÜRETİM GİRİŞ"), MIN(I8229, MAX(0, I8229 + SUM(SUMIFS($I$1:I8228, $C$1:C8228, C8229, $B$1:B8228, {"MAL ALIMI","ÜRETİM GİRİŞ"})) - VLOOKUP(C8229, 'STOK RAPORU'!$C$2:$I$1000, 4, 0))), 0)</f>
        <v>0</v>
      </c>
      <c r="U8229" s="22">
        <f t="shared" si="512"/>
        <v>0</v>
      </c>
      <c r="V8229">
        <f t="shared" si="513"/>
        <v>0</v>
      </c>
      <c r="W8229" s="22">
        <f t="shared" si="514"/>
        <v>0</v>
      </c>
    </row>
    <row r="8230" spans="1:23" hidden="1" x14ac:dyDescent="0.25">
      <c r="A8230" s="45">
        <v>46218</v>
      </c>
      <c r="B8230" s="46" t="s">
        <v>334</v>
      </c>
      <c r="C8230" s="4" t="s">
        <v>2562</v>
      </c>
      <c r="D8230" s="4"/>
      <c r="E8230" s="4"/>
      <c r="F8230" s="46" t="s">
        <v>3902</v>
      </c>
      <c r="G8230" s="4" t="s">
        <v>336</v>
      </c>
      <c r="H8230" s="4" t="s">
        <v>289</v>
      </c>
      <c r="I8230" s="4">
        <v>1</v>
      </c>
      <c r="J8230" s="21">
        <v>90</v>
      </c>
      <c r="K8230" s="21">
        <v>0</v>
      </c>
      <c r="L8230" s="5">
        <v>0</v>
      </c>
      <c r="M8230" s="4"/>
      <c r="N8230" s="4"/>
      <c r="O8230" s="5"/>
      <c r="P8230" s="5"/>
      <c r="Q8230" s="21">
        <v>90</v>
      </c>
      <c r="R8230" s="21">
        <v>0</v>
      </c>
      <c r="S8230" s="5">
        <f t="shared" si="515"/>
        <v>62884.652758325021</v>
      </c>
      <c r="T8230" cm="1">
        <f t="array" ref="T8230">IF(OR(B8230="MAL ALIMI", B8230="ÜRETİM GİRİŞ"), MIN(I8230, MAX(0, I8230 + SUM(SUMIFS($I$1:I8229, $C$1:C8229, C8230, $B$1:B8229, {"MAL ALIMI","ÜRETİM GİRİŞ"})) - VLOOKUP(C8230, 'STOK RAPORU'!$C$2:$I$1000, 4, 0))), 0)</f>
        <v>0</v>
      </c>
      <c r="U8230" s="22">
        <f t="shared" si="512"/>
        <v>0</v>
      </c>
      <c r="V8230">
        <f t="shared" si="513"/>
        <v>0</v>
      </c>
      <c r="W8230" s="22">
        <f t="shared" si="514"/>
        <v>0</v>
      </c>
    </row>
    <row r="8231" spans="1:23" hidden="1" x14ac:dyDescent="0.25">
      <c r="A8231" s="45">
        <v>46218</v>
      </c>
      <c r="B8231" s="46" t="s">
        <v>334</v>
      </c>
      <c r="C8231" s="4" t="s">
        <v>690</v>
      </c>
      <c r="D8231" s="4"/>
      <c r="E8231" s="4"/>
      <c r="F8231" s="46" t="s">
        <v>3902</v>
      </c>
      <c r="G8231" s="4" t="s">
        <v>336</v>
      </c>
      <c r="H8231" s="4" t="s">
        <v>289</v>
      </c>
      <c r="I8231" s="4">
        <v>0.5714285714285714</v>
      </c>
      <c r="J8231" s="21">
        <v>350</v>
      </c>
      <c r="K8231" s="21">
        <v>0</v>
      </c>
      <c r="L8231" s="5">
        <v>0</v>
      </c>
      <c r="M8231" s="4"/>
      <c r="N8231" s="4"/>
      <c r="O8231" s="5"/>
      <c r="P8231" s="5"/>
      <c r="Q8231" s="21">
        <v>200</v>
      </c>
      <c r="R8231" s="21">
        <v>0</v>
      </c>
      <c r="S8231" s="5">
        <f t="shared" si="515"/>
        <v>63084.652758325021</v>
      </c>
      <c r="T8231" cm="1">
        <f t="array" ref="T8231">IF(OR(B8231="MAL ALIMI", B8231="ÜRETİM GİRİŞ"), MIN(I8231, MAX(0, I8231 + SUM(SUMIFS($I$1:I8230, $C$1:C8230, C8231, $B$1:B8230, {"MAL ALIMI","ÜRETİM GİRİŞ"})) - VLOOKUP(C8231, 'STOK RAPORU'!$C$2:$I$1000, 4, 0))), 0)</f>
        <v>0</v>
      </c>
      <c r="U8231" s="22">
        <f t="shared" si="512"/>
        <v>0</v>
      </c>
      <c r="V8231">
        <f t="shared" si="513"/>
        <v>0</v>
      </c>
      <c r="W8231" s="22">
        <f t="shared" si="514"/>
        <v>0</v>
      </c>
    </row>
    <row r="8232" spans="1:23" hidden="1" x14ac:dyDescent="0.25">
      <c r="A8232" s="45">
        <v>46218</v>
      </c>
      <c r="B8232" s="46" t="s">
        <v>334</v>
      </c>
      <c r="C8232" s="4" t="s">
        <v>253</v>
      </c>
      <c r="D8232" s="4"/>
      <c r="E8232" s="4"/>
      <c r="F8232" s="46" t="s">
        <v>3902</v>
      </c>
      <c r="G8232" s="4" t="s">
        <v>336</v>
      </c>
      <c r="H8232" s="4" t="s">
        <v>289</v>
      </c>
      <c r="I8232" s="4">
        <v>0.9</v>
      </c>
      <c r="J8232" s="21">
        <v>225</v>
      </c>
      <c r="K8232" s="21">
        <v>0</v>
      </c>
      <c r="L8232" s="5">
        <v>0</v>
      </c>
      <c r="M8232" s="4"/>
      <c r="N8232" s="4"/>
      <c r="O8232" s="5"/>
      <c r="P8232" s="5"/>
      <c r="Q8232" s="21">
        <v>202.5</v>
      </c>
      <c r="R8232" s="21">
        <v>0</v>
      </c>
      <c r="S8232" s="5">
        <f t="shared" si="515"/>
        <v>63287.152758325021</v>
      </c>
      <c r="T8232" cm="1">
        <f t="array" ref="T8232">IF(OR(B8232="MAL ALIMI", B8232="ÜRETİM GİRİŞ"), MIN(I8232, MAX(0, I8232 + SUM(SUMIFS($I$1:I8231, $C$1:C8231, C8232, $B$1:B8231, {"MAL ALIMI","ÜRETİM GİRİŞ"})) - VLOOKUP(C8232, 'STOK RAPORU'!$C$2:$I$1000, 4, 0))), 0)</f>
        <v>0</v>
      </c>
      <c r="U8232" s="22">
        <f t="shared" si="512"/>
        <v>0</v>
      </c>
      <c r="V8232">
        <f t="shared" si="513"/>
        <v>0</v>
      </c>
      <c r="W8232" s="22">
        <f t="shared" si="514"/>
        <v>0</v>
      </c>
    </row>
    <row r="8233" spans="1:23" hidden="1" x14ac:dyDescent="0.25">
      <c r="A8233" s="45">
        <v>46218</v>
      </c>
      <c r="B8233" s="46" t="s">
        <v>334</v>
      </c>
      <c r="C8233" s="4" t="s">
        <v>196</v>
      </c>
      <c r="D8233" s="4"/>
      <c r="E8233" s="4"/>
      <c r="F8233" s="46" t="s">
        <v>3902</v>
      </c>
      <c r="G8233" s="4" t="s">
        <v>336</v>
      </c>
      <c r="H8233" s="4" t="s">
        <v>289</v>
      </c>
      <c r="I8233" s="4">
        <v>0.2608695652173913</v>
      </c>
      <c r="J8233" s="21">
        <v>230</v>
      </c>
      <c r="K8233" s="21">
        <v>0</v>
      </c>
      <c r="L8233" s="5">
        <v>0</v>
      </c>
      <c r="M8233" s="4"/>
      <c r="N8233" s="4"/>
      <c r="O8233" s="5"/>
      <c r="P8233" s="5"/>
      <c r="Q8233" s="21">
        <v>60</v>
      </c>
      <c r="R8233" s="21">
        <v>0</v>
      </c>
      <c r="S8233" s="5">
        <f t="shared" si="515"/>
        <v>63347.152758325021</v>
      </c>
      <c r="T8233" cm="1">
        <f t="array" ref="T8233">IF(OR(B8233="MAL ALIMI", B8233="ÜRETİM GİRİŞ"), MIN(I8233, MAX(0, I8233 + SUM(SUMIFS($I$1:I8232, $C$1:C8232, C8233, $B$1:B8232, {"MAL ALIMI","ÜRETİM GİRİŞ"})) - VLOOKUP(C8233, 'STOK RAPORU'!$C$2:$I$1000, 4, 0))), 0)</f>
        <v>0</v>
      </c>
      <c r="U8233" s="22">
        <f t="shared" si="512"/>
        <v>0</v>
      </c>
      <c r="V8233">
        <f t="shared" si="513"/>
        <v>0</v>
      </c>
      <c r="W8233" s="22">
        <f t="shared" si="514"/>
        <v>0</v>
      </c>
    </row>
    <row r="8234" spans="1:23" hidden="1" x14ac:dyDescent="0.25">
      <c r="A8234" s="45">
        <v>46218</v>
      </c>
      <c r="B8234" s="46" t="s">
        <v>334</v>
      </c>
      <c r="C8234" s="4" t="s">
        <v>3381</v>
      </c>
      <c r="D8234" s="4"/>
      <c r="E8234" s="4"/>
      <c r="F8234" s="46" t="s">
        <v>3902</v>
      </c>
      <c r="G8234" s="4" t="s">
        <v>336</v>
      </c>
      <c r="H8234" s="4" t="s">
        <v>289</v>
      </c>
      <c r="I8234" s="4">
        <v>0.34</v>
      </c>
      <c r="J8234" s="21">
        <v>250</v>
      </c>
      <c r="K8234" s="21">
        <v>0</v>
      </c>
      <c r="L8234" s="5">
        <v>0</v>
      </c>
      <c r="M8234" s="4"/>
      <c r="N8234" s="4"/>
      <c r="O8234" s="5"/>
      <c r="P8234" s="5"/>
      <c r="Q8234" s="21">
        <v>85</v>
      </c>
      <c r="R8234" s="21">
        <v>0</v>
      </c>
      <c r="S8234" s="5">
        <f t="shared" si="515"/>
        <v>63432.152758325021</v>
      </c>
      <c r="T8234" cm="1">
        <f t="array" ref="T8234">IF(OR(B8234="MAL ALIMI", B8234="ÜRETİM GİRİŞ"), MIN(I8234, MAX(0, I8234 + SUM(SUMIFS($I$1:I8233, $C$1:C8233, C8234, $B$1:B8233, {"MAL ALIMI","ÜRETİM GİRİŞ"})) - VLOOKUP(C8234, 'STOK RAPORU'!$C$2:$I$1000, 4, 0))), 0)</f>
        <v>0</v>
      </c>
      <c r="U8234" s="22">
        <f t="shared" si="512"/>
        <v>0</v>
      </c>
      <c r="V8234">
        <f t="shared" si="513"/>
        <v>0</v>
      </c>
      <c r="W8234" s="22">
        <f t="shared" si="514"/>
        <v>0</v>
      </c>
    </row>
    <row r="8235" spans="1:23" hidden="1" x14ac:dyDescent="0.25">
      <c r="A8235" s="45">
        <v>46218</v>
      </c>
      <c r="B8235" s="46" t="s">
        <v>334</v>
      </c>
      <c r="C8235" s="4" t="s">
        <v>226</v>
      </c>
      <c r="D8235" s="4"/>
      <c r="E8235" s="4"/>
      <c r="F8235" s="46" t="s">
        <v>3902</v>
      </c>
      <c r="G8235" s="4" t="s">
        <v>336</v>
      </c>
      <c r="H8235" s="4" t="s">
        <v>289</v>
      </c>
      <c r="I8235" s="4">
        <v>0.29545454545454547</v>
      </c>
      <c r="J8235" s="21">
        <v>220</v>
      </c>
      <c r="K8235" s="21">
        <v>0</v>
      </c>
      <c r="L8235" s="5">
        <v>0</v>
      </c>
      <c r="M8235" s="4"/>
      <c r="N8235" s="4"/>
      <c r="O8235" s="5"/>
      <c r="P8235" s="5"/>
      <c r="Q8235" s="21">
        <v>65</v>
      </c>
      <c r="R8235" s="21">
        <v>0</v>
      </c>
      <c r="S8235" s="5">
        <f t="shared" si="515"/>
        <v>63497.152758325021</v>
      </c>
      <c r="T8235" cm="1">
        <f t="array" ref="T8235">IF(OR(B8235="MAL ALIMI", B8235="ÜRETİM GİRİŞ"), MIN(I8235, MAX(0, I8235 + SUM(SUMIFS($I$1:I8234, $C$1:C8234, C8235, $B$1:B8234, {"MAL ALIMI","ÜRETİM GİRİŞ"})) - VLOOKUP(C8235, 'STOK RAPORU'!$C$2:$I$1000, 4, 0))), 0)</f>
        <v>0</v>
      </c>
      <c r="U8235" s="22">
        <f t="shared" si="512"/>
        <v>0</v>
      </c>
      <c r="V8235">
        <f t="shared" si="513"/>
        <v>0</v>
      </c>
      <c r="W8235" s="22">
        <f t="shared" si="514"/>
        <v>0</v>
      </c>
    </row>
    <row r="8236" spans="1:23" hidden="1" x14ac:dyDescent="0.25">
      <c r="A8236" s="45">
        <v>46218</v>
      </c>
      <c r="B8236" s="46" t="s">
        <v>334</v>
      </c>
      <c r="C8236" s="4" t="s">
        <v>634</v>
      </c>
      <c r="D8236" s="4"/>
      <c r="E8236" s="4"/>
      <c r="F8236" s="46" t="s">
        <v>3903</v>
      </c>
      <c r="G8236" s="4" t="s">
        <v>336</v>
      </c>
      <c r="H8236" s="4" t="s">
        <v>289</v>
      </c>
      <c r="I8236" s="4">
        <v>0.47058823529411764</v>
      </c>
      <c r="J8236" s="21">
        <v>850</v>
      </c>
      <c r="K8236" s="21">
        <v>0</v>
      </c>
      <c r="L8236" s="5">
        <v>0</v>
      </c>
      <c r="M8236" s="4"/>
      <c r="N8236" s="4"/>
      <c r="O8236" s="5"/>
      <c r="P8236" s="5"/>
      <c r="Q8236" s="21">
        <v>400</v>
      </c>
      <c r="R8236" s="21">
        <v>0</v>
      </c>
      <c r="S8236" s="5">
        <f t="shared" si="515"/>
        <v>63897.152758325021</v>
      </c>
      <c r="T8236" cm="1">
        <f t="array" ref="T8236">IF(OR(B8236="MAL ALIMI", B8236="ÜRETİM GİRİŞ"), MIN(I8236, MAX(0, I8236 + SUM(SUMIFS($I$1:I8235, $C$1:C8235, C8236, $B$1:B8235, {"MAL ALIMI","ÜRETİM GİRİŞ"})) - VLOOKUP(C8236, 'STOK RAPORU'!$C$2:$I$1000, 4, 0))), 0)</f>
        <v>0</v>
      </c>
      <c r="U8236" s="22">
        <f t="shared" si="512"/>
        <v>0</v>
      </c>
      <c r="V8236">
        <f t="shared" si="513"/>
        <v>0</v>
      </c>
      <c r="W8236" s="22">
        <f t="shared" si="514"/>
        <v>0</v>
      </c>
    </row>
    <row r="8237" spans="1:23" hidden="1" x14ac:dyDescent="0.25">
      <c r="A8237" s="45">
        <v>46218</v>
      </c>
      <c r="B8237" s="46" t="s">
        <v>334</v>
      </c>
      <c r="C8237" s="4" t="s">
        <v>467</v>
      </c>
      <c r="D8237" s="4"/>
      <c r="E8237" s="4"/>
      <c r="F8237" s="46" t="s">
        <v>3903</v>
      </c>
      <c r="G8237" s="4" t="s">
        <v>336</v>
      </c>
      <c r="H8237" s="4" t="s">
        <v>289</v>
      </c>
      <c r="I8237" s="4">
        <v>1</v>
      </c>
      <c r="J8237" s="21">
        <v>60</v>
      </c>
      <c r="K8237" s="21">
        <v>0</v>
      </c>
      <c r="L8237" s="5">
        <v>0</v>
      </c>
      <c r="M8237" s="4"/>
      <c r="N8237" s="4"/>
      <c r="O8237" s="5"/>
      <c r="P8237" s="5"/>
      <c r="Q8237" s="21">
        <v>60</v>
      </c>
      <c r="R8237" s="21">
        <v>0</v>
      </c>
      <c r="S8237" s="5">
        <f t="shared" si="515"/>
        <v>63957.152758325021</v>
      </c>
      <c r="U8237" s="22"/>
      <c r="W8237" s="22"/>
    </row>
    <row r="8238" spans="1:23" hidden="1" x14ac:dyDescent="0.25">
      <c r="A8238" s="45">
        <v>46218</v>
      </c>
      <c r="B8238" s="46" t="s">
        <v>334</v>
      </c>
      <c r="C8238" s="4" t="s">
        <v>470</v>
      </c>
      <c r="D8238" s="4"/>
      <c r="E8238" s="4"/>
      <c r="F8238" s="46" t="s">
        <v>3903</v>
      </c>
      <c r="G8238" s="4" t="s">
        <v>336</v>
      </c>
      <c r="H8238" s="4" t="s">
        <v>289</v>
      </c>
      <c r="I8238" s="4">
        <v>1</v>
      </c>
      <c r="J8238" s="21">
        <v>60</v>
      </c>
      <c r="K8238" s="21">
        <v>0</v>
      </c>
      <c r="L8238" s="5">
        <v>0</v>
      </c>
      <c r="M8238" s="4"/>
      <c r="N8238" s="4"/>
      <c r="O8238" s="5"/>
      <c r="P8238" s="5"/>
      <c r="Q8238" s="21">
        <v>60</v>
      </c>
      <c r="R8238" s="21">
        <v>0</v>
      </c>
      <c r="S8238" s="5">
        <f t="shared" si="515"/>
        <v>64017.152758325021</v>
      </c>
      <c r="T8238" cm="1">
        <f t="array" ref="T8238">IF(OR(B8238="MAL ALIMI", B8238="ÜRETİM GİRİŞ"), MIN(I8238, MAX(0, I8238 + SUM(SUMIFS($I$1:I8236, $C$1:C8236, C8238, $B$1:B8236, {"MAL ALIMI","ÜRETİM GİRİŞ"})) - VLOOKUP(C8238, 'STOK RAPORU'!$C$2:$I$1000, 4, 0))), 0)</f>
        <v>0</v>
      </c>
      <c r="U8238" s="22">
        <f t="shared" si="512"/>
        <v>0</v>
      </c>
      <c r="V8238">
        <f t="shared" si="513"/>
        <v>0</v>
      </c>
      <c r="W8238" s="22">
        <f t="shared" si="514"/>
        <v>0</v>
      </c>
    </row>
    <row r="8239" spans="1:23" hidden="1" x14ac:dyDescent="0.25">
      <c r="A8239" s="45">
        <v>46218</v>
      </c>
      <c r="B8239" s="46" t="s">
        <v>334</v>
      </c>
      <c r="C8239" s="4" t="s">
        <v>1393</v>
      </c>
      <c r="D8239" s="4"/>
      <c r="E8239" s="4"/>
      <c r="F8239" s="46" t="s">
        <v>3903</v>
      </c>
      <c r="G8239" s="4" t="s">
        <v>336</v>
      </c>
      <c r="H8239" s="4" t="s">
        <v>289</v>
      </c>
      <c r="I8239" s="4">
        <v>1</v>
      </c>
      <c r="J8239" s="21">
        <v>130</v>
      </c>
      <c r="K8239" s="21">
        <v>0</v>
      </c>
      <c r="L8239" s="5">
        <v>0</v>
      </c>
      <c r="M8239" s="4"/>
      <c r="N8239" s="4"/>
      <c r="O8239" s="5"/>
      <c r="P8239" s="5"/>
      <c r="Q8239" s="21">
        <v>130</v>
      </c>
      <c r="R8239" s="21">
        <v>0</v>
      </c>
      <c r="S8239" s="5">
        <f t="shared" si="515"/>
        <v>64147.152758325021</v>
      </c>
      <c r="T8239" cm="1">
        <f t="array" ref="T8239">IF(OR(B8239="MAL ALIMI", B8239="ÜRETİM GİRİŞ"), MIN(I8239, MAX(0, I8239 + SUM(SUMIFS($I$1:I8238, $C$1:C8238, C8239, $B$1:B8238, {"MAL ALIMI","ÜRETİM GİRİŞ"})) - VLOOKUP(C8239, 'STOK RAPORU'!$C$2:$I$1000, 4, 0))), 0)</f>
        <v>0</v>
      </c>
      <c r="U8239" s="22">
        <f t="shared" si="512"/>
        <v>0</v>
      </c>
      <c r="V8239">
        <f t="shared" si="513"/>
        <v>0</v>
      </c>
      <c r="W8239" s="22">
        <f t="shared" si="514"/>
        <v>0</v>
      </c>
    </row>
    <row r="8240" spans="1:23" hidden="1" x14ac:dyDescent="0.25">
      <c r="A8240" s="45">
        <v>46218</v>
      </c>
      <c r="B8240" s="46" t="s">
        <v>334</v>
      </c>
      <c r="C8240" s="4" t="s">
        <v>260</v>
      </c>
      <c r="D8240" s="4"/>
      <c r="E8240" s="4"/>
      <c r="F8240" s="46" t="s">
        <v>3903</v>
      </c>
      <c r="G8240" s="4" t="s">
        <v>336</v>
      </c>
      <c r="H8240" s="4" t="s">
        <v>289</v>
      </c>
      <c r="I8240" s="4">
        <v>1</v>
      </c>
      <c r="J8240" s="21">
        <v>150</v>
      </c>
      <c r="K8240" s="21">
        <v>0</v>
      </c>
      <c r="L8240" s="5">
        <v>0</v>
      </c>
      <c r="M8240" s="4"/>
      <c r="N8240" s="4"/>
      <c r="O8240" s="5"/>
      <c r="P8240" s="5"/>
      <c r="Q8240" s="21">
        <v>150</v>
      </c>
      <c r="R8240" s="21">
        <v>0</v>
      </c>
      <c r="S8240" s="5">
        <f t="shared" si="515"/>
        <v>64297.152758325021</v>
      </c>
      <c r="T8240" cm="1">
        <f t="array" ref="T8240">IF(OR(B8240="MAL ALIMI", B8240="ÜRETİM GİRİŞ"), MIN(I8240, MAX(0, I8240 + SUM(SUMIFS($I$1:I8239, $C$1:C8239, C8240, $B$1:B8239, {"MAL ALIMI","ÜRETİM GİRİŞ"})) - VLOOKUP(C8240, 'STOK RAPORU'!$C$2:$I$1000, 4, 0))), 0)</f>
        <v>0</v>
      </c>
      <c r="U8240" s="22">
        <f t="shared" ref="U8240:U8302" si="516">T8240*J8240</f>
        <v>0</v>
      </c>
      <c r="V8240">
        <f t="shared" ref="V8240:V8302" si="517">IF(OR(B8240="MAL ALIMI", B8240="ÜRETİM GİRİŞ"), I8240 * J8240, 0)</f>
        <v>0</v>
      </c>
      <c r="W8240" s="22">
        <f t="shared" ref="W8240:W8302" si="518">V8240-U8240</f>
        <v>0</v>
      </c>
    </row>
    <row r="8241" spans="1:23" hidden="1" x14ac:dyDescent="0.25">
      <c r="A8241" s="45">
        <v>46218</v>
      </c>
      <c r="B8241" s="46" t="s">
        <v>334</v>
      </c>
      <c r="C8241" s="4" t="s">
        <v>1387</v>
      </c>
      <c r="D8241" s="4"/>
      <c r="E8241" s="4" t="s">
        <v>921</v>
      </c>
      <c r="F8241" s="46" t="s">
        <v>3904</v>
      </c>
      <c r="G8241" s="4" t="s">
        <v>336</v>
      </c>
      <c r="H8241" s="4" t="s">
        <v>380</v>
      </c>
      <c r="I8241" s="4">
        <v>1</v>
      </c>
      <c r="J8241" s="21">
        <v>150</v>
      </c>
      <c r="K8241" s="21">
        <v>150</v>
      </c>
      <c r="L8241" s="5">
        <v>0</v>
      </c>
      <c r="M8241" s="4"/>
      <c r="N8241" s="4"/>
      <c r="O8241" s="5"/>
      <c r="P8241" s="5"/>
      <c r="Q8241" s="21">
        <v>0</v>
      </c>
      <c r="R8241" s="21">
        <v>0</v>
      </c>
      <c r="S8241" s="5">
        <f t="shared" si="515"/>
        <v>64297.152758325021</v>
      </c>
      <c r="T8241" cm="1">
        <f t="array" ref="T8241">IF(OR(B8241="MAL ALIMI", B8241="ÜRETİM GİRİŞ"), MIN(I8241, MAX(0, I8241 + SUM(SUMIFS($I$1:I8240, $C$1:C8240, C8241, $B$1:B8240, {"MAL ALIMI","ÜRETİM GİRİŞ"})) - VLOOKUP(C8241, 'STOK RAPORU'!$C$2:$I$1000, 4, 0))), 0)</f>
        <v>0</v>
      </c>
      <c r="U8241" s="22">
        <f t="shared" si="516"/>
        <v>0</v>
      </c>
      <c r="V8241">
        <f t="shared" si="517"/>
        <v>0</v>
      </c>
      <c r="W8241" s="22">
        <f t="shared" si="518"/>
        <v>0</v>
      </c>
    </row>
    <row r="8242" spans="1:23" hidden="1" x14ac:dyDescent="0.25">
      <c r="A8242" s="45">
        <v>46218</v>
      </c>
      <c r="B8242" s="46" t="s">
        <v>334</v>
      </c>
      <c r="C8242" s="4" t="s">
        <v>1359</v>
      </c>
      <c r="D8242" s="4"/>
      <c r="E8242" s="4" t="s">
        <v>921</v>
      </c>
      <c r="F8242" s="46" t="s">
        <v>3904</v>
      </c>
      <c r="G8242" s="4" t="s">
        <v>336</v>
      </c>
      <c r="H8242" s="4" t="s">
        <v>380</v>
      </c>
      <c r="I8242" s="4">
        <v>0.3183673469387755</v>
      </c>
      <c r="J8242" s="21">
        <v>490</v>
      </c>
      <c r="K8242" s="21">
        <v>156</v>
      </c>
      <c r="L8242" s="5">
        <v>0</v>
      </c>
      <c r="M8242" s="4"/>
      <c r="N8242" s="4"/>
      <c r="O8242" s="5"/>
      <c r="P8242" s="5"/>
      <c r="Q8242" s="21">
        <v>0</v>
      </c>
      <c r="R8242" s="21">
        <v>0</v>
      </c>
      <c r="S8242" s="5">
        <f t="shared" si="515"/>
        <v>64297.152758325021</v>
      </c>
      <c r="T8242" cm="1">
        <f t="array" ref="T8242">IF(OR(B8242="MAL ALIMI", B8242="ÜRETİM GİRİŞ"), MIN(I8242, MAX(0, I8242 + SUM(SUMIFS($I$1:I8241, $C$1:C8241, C8242, $B$1:B8241, {"MAL ALIMI","ÜRETİM GİRİŞ"})) - VLOOKUP(C8242, 'STOK RAPORU'!$C$2:$I$1000, 4, 0))), 0)</f>
        <v>0</v>
      </c>
      <c r="U8242" s="22">
        <f t="shared" si="516"/>
        <v>0</v>
      </c>
      <c r="V8242">
        <f t="shared" si="517"/>
        <v>0</v>
      </c>
      <c r="W8242" s="22">
        <f t="shared" si="518"/>
        <v>0</v>
      </c>
    </row>
    <row r="8243" spans="1:23" hidden="1" x14ac:dyDescent="0.25">
      <c r="A8243" s="45">
        <v>46218</v>
      </c>
      <c r="B8243" s="46" t="s">
        <v>334</v>
      </c>
      <c r="C8243" s="4" t="s">
        <v>157</v>
      </c>
      <c r="D8243" s="4"/>
      <c r="E8243" s="4" t="s">
        <v>921</v>
      </c>
      <c r="F8243" s="46" t="s">
        <v>3904</v>
      </c>
      <c r="G8243" s="4" t="s">
        <v>336</v>
      </c>
      <c r="H8243" s="4" t="s">
        <v>380</v>
      </c>
      <c r="I8243" s="4">
        <v>1</v>
      </c>
      <c r="J8243" s="21">
        <v>200</v>
      </c>
      <c r="K8243" s="21">
        <v>200</v>
      </c>
      <c r="L8243" s="5">
        <v>0</v>
      </c>
      <c r="M8243" s="4"/>
      <c r="N8243" s="4"/>
      <c r="O8243" s="5"/>
      <c r="P8243" s="5"/>
      <c r="Q8243" s="21">
        <v>0</v>
      </c>
      <c r="R8243" s="21">
        <v>0</v>
      </c>
      <c r="S8243" s="5">
        <f t="shared" si="515"/>
        <v>64297.152758325021</v>
      </c>
      <c r="T8243" cm="1">
        <f t="array" ref="T8243">IF(OR(B8243="MAL ALIMI", B8243="ÜRETİM GİRİŞ"), MIN(I8243, MAX(0, I8243 + SUM(SUMIFS($I$1:I8242, $C$1:C8242, C8243, $B$1:B8242, {"MAL ALIMI","ÜRETİM GİRİŞ"})) - VLOOKUP(C8243, 'STOK RAPORU'!$C$2:$I$1000, 4, 0))), 0)</f>
        <v>0</v>
      </c>
      <c r="U8243" s="22">
        <f t="shared" si="516"/>
        <v>0</v>
      </c>
      <c r="V8243">
        <f t="shared" si="517"/>
        <v>0</v>
      </c>
      <c r="W8243" s="22">
        <f t="shared" si="518"/>
        <v>0</v>
      </c>
    </row>
    <row r="8244" spans="1:23" hidden="1" x14ac:dyDescent="0.25">
      <c r="A8244" s="45">
        <v>46219</v>
      </c>
      <c r="B8244" s="46" t="s">
        <v>334</v>
      </c>
      <c r="C8244" s="4" t="s">
        <v>3383</v>
      </c>
      <c r="D8244" s="4"/>
      <c r="E8244" s="4" t="s">
        <v>921</v>
      </c>
      <c r="F8244" s="46" t="s">
        <v>3906</v>
      </c>
      <c r="G8244" s="4" t="s">
        <v>336</v>
      </c>
      <c r="H8244" s="4" t="s">
        <v>380</v>
      </c>
      <c r="I8244" s="4">
        <v>0.6166666666666667</v>
      </c>
      <c r="J8244" s="21">
        <v>60</v>
      </c>
      <c r="K8244" s="21">
        <v>37</v>
      </c>
      <c r="L8244" s="5">
        <v>0</v>
      </c>
      <c r="M8244" s="4"/>
      <c r="N8244" s="4"/>
      <c r="O8244" s="5"/>
      <c r="P8244" s="5"/>
      <c r="Q8244" s="21">
        <v>0</v>
      </c>
      <c r="R8244" s="21">
        <v>0</v>
      </c>
      <c r="S8244" s="5">
        <f t="shared" si="515"/>
        <v>64297.152758325021</v>
      </c>
      <c r="T8244" cm="1">
        <f t="array" ref="T8244">IF(OR(B8244="MAL ALIMI", B8244="ÜRETİM GİRİŞ"), MIN(I8244, MAX(0, I8244 + SUM(SUMIFS($I$1:I8243, $C$1:C8243, C8244, $B$1:B8243, {"MAL ALIMI","ÜRETİM GİRİŞ"})) - VLOOKUP(C8244, 'STOK RAPORU'!$C$2:$I$1000, 4, 0))), 0)</f>
        <v>0</v>
      </c>
      <c r="U8244" s="22">
        <f t="shared" si="516"/>
        <v>0</v>
      </c>
      <c r="V8244">
        <f t="shared" si="517"/>
        <v>0</v>
      </c>
      <c r="W8244" s="22">
        <f t="shared" si="518"/>
        <v>0</v>
      </c>
    </row>
    <row r="8245" spans="1:23" hidden="1" x14ac:dyDescent="0.25">
      <c r="A8245" s="45">
        <v>46219</v>
      </c>
      <c r="B8245" s="46" t="s">
        <v>334</v>
      </c>
      <c r="C8245" s="4" t="s">
        <v>1357</v>
      </c>
      <c r="D8245" s="4"/>
      <c r="E8245" s="4" t="s">
        <v>921</v>
      </c>
      <c r="F8245" s="46" t="s">
        <v>3906</v>
      </c>
      <c r="G8245" s="4" t="s">
        <v>336</v>
      </c>
      <c r="H8245" s="4" t="s">
        <v>380</v>
      </c>
      <c r="I8245" s="4">
        <v>0.22428571428571428</v>
      </c>
      <c r="J8245" s="21">
        <v>600</v>
      </c>
      <c r="K8245" s="21">
        <v>134.57142857142858</v>
      </c>
      <c r="L8245" s="5">
        <v>0</v>
      </c>
      <c r="M8245" s="4"/>
      <c r="N8245" s="4"/>
      <c r="O8245" s="5"/>
      <c r="P8245" s="5"/>
      <c r="Q8245" s="21">
        <v>0</v>
      </c>
      <c r="R8245" s="21">
        <v>0</v>
      </c>
      <c r="S8245" s="5">
        <f t="shared" si="515"/>
        <v>64297.152758325021</v>
      </c>
      <c r="T8245" cm="1">
        <f t="array" ref="T8245">IF(OR(B8245="MAL ALIMI", B8245="ÜRETİM GİRİŞ"), MIN(I8245, MAX(0, I8245 + SUM(SUMIFS($I$1:I8244, $C$1:C8244, C8245, $B$1:B8244, {"MAL ALIMI","ÜRETİM GİRİŞ"})) - VLOOKUP(C8245, 'STOK RAPORU'!$C$2:$I$1000, 4, 0))), 0)</f>
        <v>0</v>
      </c>
      <c r="U8245" s="22">
        <f t="shared" si="516"/>
        <v>0</v>
      </c>
      <c r="V8245">
        <f t="shared" si="517"/>
        <v>0</v>
      </c>
      <c r="W8245" s="22">
        <f t="shared" si="518"/>
        <v>0</v>
      </c>
    </row>
    <row r="8246" spans="1:23" hidden="1" x14ac:dyDescent="0.25">
      <c r="A8246" s="45">
        <v>46219</v>
      </c>
      <c r="B8246" s="46" t="s">
        <v>334</v>
      </c>
      <c r="C8246" s="4" t="s">
        <v>1428</v>
      </c>
      <c r="D8246" s="4"/>
      <c r="E8246" s="4" t="s">
        <v>921</v>
      </c>
      <c r="F8246" s="46" t="s">
        <v>3906</v>
      </c>
      <c r="G8246" s="4" t="s">
        <v>336</v>
      </c>
      <c r="H8246" s="4" t="s">
        <v>380</v>
      </c>
      <c r="I8246" s="4">
        <v>0.1</v>
      </c>
      <c r="J8246" s="21">
        <v>725</v>
      </c>
      <c r="K8246" s="21">
        <v>72.5</v>
      </c>
      <c r="L8246" s="5">
        <v>0</v>
      </c>
      <c r="M8246" s="4"/>
      <c r="N8246" s="4"/>
      <c r="O8246" s="5"/>
      <c r="P8246" s="5"/>
      <c r="Q8246" s="21">
        <v>0</v>
      </c>
      <c r="R8246" s="21">
        <v>0</v>
      </c>
      <c r="S8246" s="5">
        <f t="shared" si="515"/>
        <v>64297.152758325021</v>
      </c>
      <c r="T8246" cm="1">
        <f t="array" ref="T8246">IF(OR(B8246="MAL ALIMI", B8246="ÜRETİM GİRİŞ"), MIN(I8246, MAX(0, I8246 + SUM(SUMIFS($I$1:I8245, $C$1:C8245, C8246, $B$1:B8245, {"MAL ALIMI","ÜRETİM GİRİŞ"})) - VLOOKUP(C8246, 'STOK RAPORU'!$C$2:$I$1000, 4, 0))), 0)</f>
        <v>0</v>
      </c>
      <c r="U8246" s="22">
        <f t="shared" si="516"/>
        <v>0</v>
      </c>
      <c r="V8246">
        <f t="shared" si="517"/>
        <v>0</v>
      </c>
      <c r="W8246" s="22">
        <f t="shared" si="518"/>
        <v>0</v>
      </c>
    </row>
    <row r="8247" spans="1:23" hidden="1" x14ac:dyDescent="0.25">
      <c r="A8247" s="45">
        <v>46219</v>
      </c>
      <c r="B8247" s="46" t="s">
        <v>334</v>
      </c>
      <c r="C8247" s="4" t="s">
        <v>728</v>
      </c>
      <c r="D8247" s="4"/>
      <c r="E8247" s="4" t="s">
        <v>921</v>
      </c>
      <c r="F8247" s="46" t="s">
        <v>3906</v>
      </c>
      <c r="G8247" s="4" t="s">
        <v>336</v>
      </c>
      <c r="H8247" s="4" t="s">
        <v>380</v>
      </c>
      <c r="I8247" s="4">
        <v>0.28923076923076924</v>
      </c>
      <c r="J8247" s="21">
        <v>600</v>
      </c>
      <c r="K8247" s="21">
        <v>173.53846153846155</v>
      </c>
      <c r="L8247" s="5">
        <v>0</v>
      </c>
      <c r="M8247" s="4"/>
      <c r="N8247" s="4"/>
      <c r="O8247" s="5"/>
      <c r="P8247" s="5"/>
      <c r="Q8247" s="21">
        <v>0</v>
      </c>
      <c r="R8247" s="21">
        <v>0</v>
      </c>
      <c r="S8247" s="5">
        <f t="shared" si="515"/>
        <v>64297.152758325021</v>
      </c>
      <c r="T8247" cm="1">
        <f t="array" ref="T8247">IF(OR(B8247="MAL ALIMI", B8247="ÜRETİM GİRİŞ"), MIN(I8247, MAX(0, I8247 + SUM(SUMIFS($I$1:I8246, $C$1:C8246, C8247, $B$1:B8246, {"MAL ALIMI","ÜRETİM GİRİŞ"})) - VLOOKUP(C8247, 'STOK RAPORU'!$C$2:$I$1000, 4, 0))), 0)</f>
        <v>0</v>
      </c>
      <c r="U8247" s="22">
        <f t="shared" si="516"/>
        <v>0</v>
      </c>
      <c r="V8247">
        <f t="shared" si="517"/>
        <v>0</v>
      </c>
      <c r="W8247" s="22">
        <f t="shared" si="518"/>
        <v>0</v>
      </c>
    </row>
    <row r="8248" spans="1:23" hidden="1" x14ac:dyDescent="0.25">
      <c r="A8248" s="45">
        <v>46219</v>
      </c>
      <c r="B8248" s="46" t="s">
        <v>334</v>
      </c>
      <c r="C8248" s="4" t="s">
        <v>266</v>
      </c>
      <c r="D8248" s="4"/>
      <c r="E8248" s="4" t="s">
        <v>921</v>
      </c>
      <c r="F8248" s="46" t="s">
        <v>3906</v>
      </c>
      <c r="G8248" s="4" t="s">
        <v>336</v>
      </c>
      <c r="H8248" s="4" t="s">
        <v>380</v>
      </c>
      <c r="I8248" s="4">
        <v>0.248</v>
      </c>
      <c r="J8248" s="21">
        <v>250</v>
      </c>
      <c r="K8248" s="21">
        <v>62</v>
      </c>
      <c r="L8248" s="5">
        <v>0</v>
      </c>
      <c r="M8248" s="4"/>
      <c r="N8248" s="4"/>
      <c r="O8248" s="5"/>
      <c r="P8248" s="5"/>
      <c r="Q8248" s="21">
        <v>0</v>
      </c>
      <c r="R8248" s="21">
        <v>0</v>
      </c>
      <c r="S8248" s="5">
        <f t="shared" si="515"/>
        <v>64297.152758325021</v>
      </c>
      <c r="T8248" cm="1">
        <f t="array" ref="T8248">IF(OR(B8248="MAL ALIMI", B8248="ÜRETİM GİRİŞ"), MIN(I8248, MAX(0, I8248 + SUM(SUMIFS($I$1:I8247, $C$1:C8247, C8248, $B$1:B8247, {"MAL ALIMI","ÜRETİM GİRİŞ"})) - VLOOKUP(C8248, 'STOK RAPORU'!$C$2:$I$1000, 4, 0))), 0)</f>
        <v>0</v>
      </c>
      <c r="U8248" s="22">
        <f t="shared" si="516"/>
        <v>0</v>
      </c>
      <c r="V8248">
        <f t="shared" si="517"/>
        <v>0</v>
      </c>
      <c r="W8248" s="22">
        <f t="shared" si="518"/>
        <v>0</v>
      </c>
    </row>
    <row r="8249" spans="1:23" hidden="1" x14ac:dyDescent="0.25">
      <c r="A8249" s="45">
        <v>46219</v>
      </c>
      <c r="B8249" s="46" t="s">
        <v>334</v>
      </c>
      <c r="C8249" s="4" t="s">
        <v>1359</v>
      </c>
      <c r="D8249" s="4"/>
      <c r="E8249" s="4" t="s">
        <v>921</v>
      </c>
      <c r="F8249" s="46" t="s">
        <v>3906</v>
      </c>
      <c r="G8249" s="4" t="s">
        <v>336</v>
      </c>
      <c r="H8249" s="4" t="s">
        <v>380</v>
      </c>
      <c r="I8249" s="4">
        <v>0.17755102040816326</v>
      </c>
      <c r="J8249" s="21">
        <v>400</v>
      </c>
      <c r="K8249" s="21">
        <v>71.020408163265301</v>
      </c>
      <c r="L8249" s="5">
        <v>0</v>
      </c>
      <c r="M8249" s="4"/>
      <c r="N8249" s="4"/>
      <c r="O8249" s="5"/>
      <c r="P8249" s="5"/>
      <c r="Q8249" s="21">
        <v>0</v>
      </c>
      <c r="R8249" s="21">
        <v>0</v>
      </c>
      <c r="S8249" s="5">
        <f t="shared" si="515"/>
        <v>64297.152758325021</v>
      </c>
      <c r="T8249" cm="1">
        <f t="array" ref="T8249">IF(OR(B8249="MAL ALIMI", B8249="ÜRETİM GİRİŞ"), MIN(I8249, MAX(0, I8249 + SUM(SUMIFS($I$1:I8248, $C$1:C8248, C8249, $B$1:B8248, {"MAL ALIMI","ÜRETİM GİRİŞ"})) - VLOOKUP(C8249, 'STOK RAPORU'!$C$2:$I$1000, 4, 0))), 0)</f>
        <v>0</v>
      </c>
      <c r="U8249" s="22">
        <f t="shared" si="516"/>
        <v>0</v>
      </c>
      <c r="V8249">
        <f t="shared" si="517"/>
        <v>0</v>
      </c>
      <c r="W8249" s="22">
        <f t="shared" si="518"/>
        <v>0</v>
      </c>
    </row>
    <row r="8250" spans="1:23" hidden="1" x14ac:dyDescent="0.25">
      <c r="A8250" s="45">
        <v>46219</v>
      </c>
      <c r="B8250" s="46" t="s">
        <v>334</v>
      </c>
      <c r="C8250" s="4" t="s">
        <v>160</v>
      </c>
      <c r="D8250" s="4"/>
      <c r="E8250" s="4"/>
      <c r="F8250" s="46" t="s">
        <v>3907</v>
      </c>
      <c r="G8250" s="4" t="s">
        <v>336</v>
      </c>
      <c r="H8250" s="4" t="s">
        <v>289</v>
      </c>
      <c r="I8250" s="4">
        <v>1</v>
      </c>
      <c r="J8250" s="21">
        <v>270</v>
      </c>
      <c r="K8250" s="21">
        <v>0</v>
      </c>
      <c r="L8250" s="5">
        <v>0</v>
      </c>
      <c r="M8250" s="4"/>
      <c r="N8250" s="4"/>
      <c r="O8250" s="5"/>
      <c r="P8250" s="5"/>
      <c r="Q8250" s="21">
        <v>270</v>
      </c>
      <c r="R8250" s="21">
        <v>0</v>
      </c>
      <c r="S8250" s="5">
        <f t="shared" si="515"/>
        <v>64567.152758325021</v>
      </c>
      <c r="T8250" cm="1">
        <f t="array" ref="T8250">IF(OR(B8250="MAL ALIMI", B8250="ÜRETİM GİRİŞ"), MIN(I8250, MAX(0, I8250 + SUM(SUMIFS($I$1:I8249, $C$1:C8249, C8250, $B$1:B8249, {"MAL ALIMI","ÜRETİM GİRİŞ"})) - VLOOKUP(C8250, 'STOK RAPORU'!$C$2:$I$1000, 4, 0))), 0)</f>
        <v>0</v>
      </c>
      <c r="U8250" s="22">
        <f t="shared" si="516"/>
        <v>0</v>
      </c>
      <c r="V8250">
        <f t="shared" si="517"/>
        <v>0</v>
      </c>
      <c r="W8250" s="22">
        <f t="shared" si="518"/>
        <v>0</v>
      </c>
    </row>
    <row r="8251" spans="1:23" hidden="1" x14ac:dyDescent="0.25">
      <c r="A8251" s="45">
        <v>46219</v>
      </c>
      <c r="B8251" s="46" t="s">
        <v>334</v>
      </c>
      <c r="C8251" s="4" t="s">
        <v>161</v>
      </c>
      <c r="D8251" s="4"/>
      <c r="E8251" s="4"/>
      <c r="F8251" s="46" t="s">
        <v>3907</v>
      </c>
      <c r="G8251" s="4" t="s">
        <v>336</v>
      </c>
      <c r="H8251" s="4" t="s">
        <v>289</v>
      </c>
      <c r="I8251" s="4">
        <v>1</v>
      </c>
      <c r="J8251" s="21">
        <v>230</v>
      </c>
      <c r="K8251" s="21">
        <v>0</v>
      </c>
      <c r="L8251" s="5">
        <v>0</v>
      </c>
      <c r="M8251" s="4"/>
      <c r="N8251" s="4"/>
      <c r="O8251" s="5"/>
      <c r="P8251" s="5"/>
      <c r="Q8251" s="21">
        <v>230</v>
      </c>
      <c r="R8251" s="21">
        <v>0</v>
      </c>
      <c r="S8251" s="5">
        <f t="shared" si="515"/>
        <v>64797.152758325021</v>
      </c>
      <c r="T8251" cm="1">
        <f t="array" ref="T8251">IF(OR(B8251="MAL ALIMI", B8251="ÜRETİM GİRİŞ"), MIN(I8251, MAX(0, I8251 + SUM(SUMIFS($I$1:I8250, $C$1:C8250, C8251, $B$1:B8250, {"MAL ALIMI","ÜRETİM GİRİŞ"})) - VLOOKUP(C8251, 'STOK RAPORU'!$C$2:$I$1000, 4, 0))), 0)</f>
        <v>0</v>
      </c>
      <c r="U8251" s="22">
        <f t="shared" si="516"/>
        <v>0</v>
      </c>
      <c r="V8251">
        <f t="shared" si="517"/>
        <v>0</v>
      </c>
      <c r="W8251" s="22">
        <f t="shared" si="518"/>
        <v>0</v>
      </c>
    </row>
    <row r="8252" spans="1:23" hidden="1" x14ac:dyDescent="0.25">
      <c r="A8252" s="45">
        <v>46219</v>
      </c>
      <c r="B8252" s="46" t="s">
        <v>334</v>
      </c>
      <c r="C8252" s="4" t="s">
        <v>1896</v>
      </c>
      <c r="D8252" s="4"/>
      <c r="E8252" s="4"/>
      <c r="F8252" s="46" t="s">
        <v>3908</v>
      </c>
      <c r="G8252" s="4" t="s">
        <v>336</v>
      </c>
      <c r="H8252" s="4" t="s">
        <v>289</v>
      </c>
      <c r="I8252" s="4">
        <v>0.2</v>
      </c>
      <c r="J8252" s="21">
        <v>400</v>
      </c>
      <c r="K8252" s="21">
        <v>0</v>
      </c>
      <c r="L8252" s="5">
        <v>0</v>
      </c>
      <c r="M8252" s="4"/>
      <c r="N8252" s="4"/>
      <c r="O8252" s="5"/>
      <c r="P8252" s="5"/>
      <c r="Q8252" s="21">
        <v>80</v>
      </c>
      <c r="R8252" s="21">
        <v>0</v>
      </c>
      <c r="S8252" s="5">
        <f t="shared" si="515"/>
        <v>64877.152758325021</v>
      </c>
      <c r="T8252" cm="1">
        <f t="array" ref="T8252">IF(OR(B8252="MAL ALIMI", B8252="ÜRETİM GİRİŞ"), MIN(I8252, MAX(0, I8252 + SUM(SUMIFS($I$1:I8251, $C$1:C8251, C8252, $B$1:B8251, {"MAL ALIMI","ÜRETİM GİRİŞ"})) - VLOOKUP(C8252, 'STOK RAPORU'!$C$2:$I$1000, 4, 0))), 0)</f>
        <v>0</v>
      </c>
      <c r="U8252" s="22">
        <f t="shared" si="516"/>
        <v>0</v>
      </c>
      <c r="V8252">
        <f t="shared" si="517"/>
        <v>0</v>
      </c>
      <c r="W8252" s="22">
        <f t="shared" si="518"/>
        <v>0</v>
      </c>
    </row>
    <row r="8253" spans="1:23" hidden="1" x14ac:dyDescent="0.25">
      <c r="A8253" s="45">
        <v>46219</v>
      </c>
      <c r="B8253" s="46" t="s">
        <v>334</v>
      </c>
      <c r="C8253" s="4" t="s">
        <v>530</v>
      </c>
      <c r="D8253" s="4"/>
      <c r="E8253" s="4" t="s">
        <v>921</v>
      </c>
      <c r="F8253" s="46" t="s">
        <v>3909</v>
      </c>
      <c r="G8253" s="4" t="s">
        <v>336</v>
      </c>
      <c r="H8253" s="4" t="s">
        <v>380</v>
      </c>
      <c r="I8253" s="4">
        <v>0.5</v>
      </c>
      <c r="J8253" s="21">
        <v>280</v>
      </c>
      <c r="K8253" s="21">
        <v>140</v>
      </c>
      <c r="L8253" s="5">
        <v>0</v>
      </c>
      <c r="M8253" s="4"/>
      <c r="N8253" s="4"/>
      <c r="O8253" s="5"/>
      <c r="P8253" s="5"/>
      <c r="Q8253" s="21">
        <v>0</v>
      </c>
      <c r="R8253" s="21">
        <v>0</v>
      </c>
      <c r="S8253" s="5">
        <f t="shared" si="515"/>
        <v>64877.152758325021</v>
      </c>
      <c r="T8253" cm="1">
        <f t="array" ref="T8253">IF(OR(B8253="MAL ALIMI", B8253="ÜRETİM GİRİŞ"), MIN(I8253, MAX(0, I8253 + SUM(SUMIFS($I$1:I8252, $C$1:C8252, C8253, $B$1:B8252, {"MAL ALIMI","ÜRETİM GİRİŞ"})) - VLOOKUP(C8253, 'STOK RAPORU'!$C$2:$I$1000, 4, 0))), 0)</f>
        <v>0</v>
      </c>
      <c r="U8253" s="22">
        <f t="shared" si="516"/>
        <v>0</v>
      </c>
      <c r="V8253">
        <f t="shared" si="517"/>
        <v>0</v>
      </c>
      <c r="W8253" s="22">
        <f t="shared" si="518"/>
        <v>0</v>
      </c>
    </row>
    <row r="8254" spans="1:23" hidden="1" x14ac:dyDescent="0.25">
      <c r="A8254" s="45">
        <v>46219</v>
      </c>
      <c r="B8254" s="46" t="s">
        <v>334</v>
      </c>
      <c r="C8254" s="4" t="s">
        <v>691</v>
      </c>
      <c r="D8254" s="4"/>
      <c r="E8254" s="4" t="s">
        <v>921</v>
      </c>
      <c r="F8254" s="46" t="s">
        <v>3910</v>
      </c>
      <c r="G8254" s="4" t="s">
        <v>336</v>
      </c>
      <c r="H8254" s="4" t="s">
        <v>380</v>
      </c>
      <c r="I8254" s="4">
        <v>0.3</v>
      </c>
      <c r="J8254" s="21">
        <v>250</v>
      </c>
      <c r="K8254" s="21">
        <v>75</v>
      </c>
      <c r="L8254" s="5">
        <v>0</v>
      </c>
      <c r="M8254" s="4"/>
      <c r="N8254" s="4"/>
      <c r="O8254" s="5"/>
      <c r="P8254" s="5"/>
      <c r="Q8254" s="21">
        <v>0</v>
      </c>
      <c r="R8254" s="21">
        <v>0</v>
      </c>
      <c r="S8254" s="5">
        <f t="shared" si="515"/>
        <v>64877.152758325021</v>
      </c>
      <c r="T8254" cm="1">
        <f t="array" ref="T8254">IF(OR(B8254="MAL ALIMI", B8254="ÜRETİM GİRİŞ"), MIN(I8254, MAX(0, I8254 + SUM(SUMIFS($I$1:I8253, $C$1:C8253, C8254, $B$1:B8253, {"MAL ALIMI","ÜRETİM GİRİŞ"})) - VLOOKUP(C8254, 'STOK RAPORU'!$C$2:$I$1000, 4, 0))), 0)</f>
        <v>0</v>
      </c>
      <c r="U8254" s="22">
        <f t="shared" si="516"/>
        <v>0</v>
      </c>
      <c r="V8254">
        <f t="shared" si="517"/>
        <v>0</v>
      </c>
      <c r="W8254" s="22">
        <f t="shared" si="518"/>
        <v>0</v>
      </c>
    </row>
    <row r="8255" spans="1:23" hidden="1" x14ac:dyDescent="0.25">
      <c r="A8255" s="45">
        <v>46219</v>
      </c>
      <c r="B8255" s="46" t="s">
        <v>334</v>
      </c>
      <c r="C8255" s="4" t="s">
        <v>529</v>
      </c>
      <c r="D8255" s="4"/>
      <c r="E8255" s="4" t="s">
        <v>921</v>
      </c>
      <c r="F8255" s="46" t="s">
        <v>3911</v>
      </c>
      <c r="G8255" s="4" t="s">
        <v>336</v>
      </c>
      <c r="H8255" s="4" t="s">
        <v>380</v>
      </c>
      <c r="I8255" s="4">
        <v>0.15</v>
      </c>
      <c r="J8255" s="21">
        <v>600</v>
      </c>
      <c r="K8255" s="21">
        <v>90</v>
      </c>
      <c r="L8255" s="5">
        <v>0</v>
      </c>
      <c r="M8255" s="4"/>
      <c r="N8255" s="4"/>
      <c r="O8255" s="5"/>
      <c r="P8255" s="5"/>
      <c r="Q8255" s="21">
        <v>0</v>
      </c>
      <c r="R8255" s="21">
        <v>0</v>
      </c>
      <c r="S8255" s="5">
        <f t="shared" si="515"/>
        <v>64877.152758325021</v>
      </c>
      <c r="T8255" cm="1">
        <f t="array" ref="T8255">IF(OR(B8255="MAL ALIMI", B8255="ÜRETİM GİRİŞ"), MIN(I8255, MAX(0, I8255 + SUM(SUMIFS($I$1:I8254, $C$1:C8254, C8255, $B$1:B8254, {"MAL ALIMI","ÜRETİM GİRİŞ"})) - VLOOKUP(C8255, 'STOK RAPORU'!$C$2:$I$1000, 4, 0))), 0)</f>
        <v>0</v>
      </c>
      <c r="U8255" s="22">
        <f t="shared" si="516"/>
        <v>0</v>
      </c>
      <c r="V8255">
        <f t="shared" si="517"/>
        <v>0</v>
      </c>
      <c r="W8255" s="22">
        <f t="shared" si="518"/>
        <v>0</v>
      </c>
    </row>
    <row r="8256" spans="1:23" hidden="1" x14ac:dyDescent="0.25">
      <c r="A8256" s="45">
        <v>46219</v>
      </c>
      <c r="B8256" s="46" t="s">
        <v>334</v>
      </c>
      <c r="C8256" s="4" t="s">
        <v>212</v>
      </c>
      <c r="D8256" s="4"/>
      <c r="E8256" s="4" t="s">
        <v>921</v>
      </c>
      <c r="F8256" s="46" t="s">
        <v>3911</v>
      </c>
      <c r="G8256" s="4" t="s">
        <v>336</v>
      </c>
      <c r="H8256" s="4" t="s">
        <v>380</v>
      </c>
      <c r="I8256" s="4">
        <v>0.1</v>
      </c>
      <c r="J8256" s="21">
        <v>700</v>
      </c>
      <c r="K8256" s="21">
        <v>70</v>
      </c>
      <c r="L8256" s="5">
        <v>0</v>
      </c>
      <c r="M8256" s="4"/>
      <c r="N8256" s="4"/>
      <c r="O8256" s="5"/>
      <c r="P8256" s="5"/>
      <c r="Q8256" s="21">
        <v>0</v>
      </c>
      <c r="R8256" s="21">
        <v>0</v>
      </c>
      <c r="S8256" s="5">
        <f t="shared" si="515"/>
        <v>64877.152758325021</v>
      </c>
      <c r="T8256" cm="1">
        <f t="array" ref="T8256">IF(OR(B8256="MAL ALIMI", B8256="ÜRETİM GİRİŞ"), MIN(I8256, MAX(0, I8256 + SUM(SUMIFS($I$1:I8255, $C$1:C8255, C8256, $B$1:B8255, {"MAL ALIMI","ÜRETİM GİRİŞ"})) - VLOOKUP(C8256, 'STOK RAPORU'!$C$2:$I$1000, 4, 0))), 0)</f>
        <v>0</v>
      </c>
      <c r="U8256" s="22">
        <f t="shared" si="516"/>
        <v>0</v>
      </c>
      <c r="V8256">
        <f t="shared" si="517"/>
        <v>0</v>
      </c>
      <c r="W8256" s="22">
        <f t="shared" si="518"/>
        <v>0</v>
      </c>
    </row>
    <row r="8257" spans="1:23" hidden="1" x14ac:dyDescent="0.25">
      <c r="A8257" s="45">
        <v>46219</v>
      </c>
      <c r="B8257" s="46" t="s">
        <v>334</v>
      </c>
      <c r="C8257" s="4" t="s">
        <v>530</v>
      </c>
      <c r="D8257" s="4"/>
      <c r="E8257" s="4" t="s">
        <v>921</v>
      </c>
      <c r="F8257" s="46" t="s">
        <v>3911</v>
      </c>
      <c r="G8257" s="4" t="s">
        <v>336</v>
      </c>
      <c r="H8257" s="4" t="s">
        <v>380</v>
      </c>
      <c r="I8257" s="4">
        <v>0.5</v>
      </c>
      <c r="J8257" s="21">
        <v>300</v>
      </c>
      <c r="K8257" s="21">
        <v>150</v>
      </c>
      <c r="L8257" s="5">
        <v>0</v>
      </c>
      <c r="M8257" s="4"/>
      <c r="N8257" s="4"/>
      <c r="O8257" s="5"/>
      <c r="P8257" s="5"/>
      <c r="Q8257" s="21">
        <v>0</v>
      </c>
      <c r="R8257" s="21">
        <v>0</v>
      </c>
      <c r="S8257" s="5">
        <f t="shared" si="515"/>
        <v>64877.152758325021</v>
      </c>
      <c r="T8257" cm="1">
        <f t="array" ref="T8257">IF(OR(B8257="MAL ALIMI", B8257="ÜRETİM GİRİŞ"), MIN(I8257, MAX(0, I8257 + SUM(SUMIFS($I$1:I8256, $C$1:C8256, C8257, $B$1:B8256, {"MAL ALIMI","ÜRETİM GİRİŞ"})) - VLOOKUP(C8257, 'STOK RAPORU'!$C$2:$I$1000, 4, 0))), 0)</f>
        <v>0</v>
      </c>
      <c r="U8257" s="22">
        <f t="shared" si="516"/>
        <v>0</v>
      </c>
      <c r="V8257">
        <f t="shared" si="517"/>
        <v>0</v>
      </c>
      <c r="W8257" s="22">
        <f t="shared" si="518"/>
        <v>0</v>
      </c>
    </row>
    <row r="8258" spans="1:23" hidden="1" x14ac:dyDescent="0.25">
      <c r="A8258" s="45">
        <v>46219</v>
      </c>
      <c r="B8258" s="46" t="s">
        <v>334</v>
      </c>
      <c r="C8258" s="4" t="s">
        <v>131</v>
      </c>
      <c r="D8258" s="4"/>
      <c r="E8258" s="4"/>
      <c r="F8258" s="46" t="s">
        <v>3912</v>
      </c>
      <c r="G8258" s="4" t="s">
        <v>336</v>
      </c>
      <c r="H8258" s="4" t="s">
        <v>289</v>
      </c>
      <c r="I8258" s="4">
        <v>0.125</v>
      </c>
      <c r="J8258" s="21">
        <v>400</v>
      </c>
      <c r="K8258" s="21">
        <v>0</v>
      </c>
      <c r="L8258" s="5">
        <v>0</v>
      </c>
      <c r="M8258" s="4"/>
      <c r="N8258" s="4"/>
      <c r="O8258" s="5"/>
      <c r="P8258" s="5"/>
      <c r="Q8258" s="21">
        <v>50</v>
      </c>
      <c r="R8258" s="21">
        <v>0</v>
      </c>
      <c r="S8258" s="5">
        <f t="shared" si="515"/>
        <v>64927.152758325021</v>
      </c>
      <c r="T8258" cm="1">
        <f t="array" ref="T8258">IF(OR(B8258="MAL ALIMI", B8258="ÜRETİM GİRİŞ"), MIN(I8258, MAX(0, I8258 + SUM(SUMIFS($I$1:I8257, $C$1:C8257, C8258, $B$1:B8257, {"MAL ALIMI","ÜRETİM GİRİŞ"})) - VLOOKUP(C8258, 'STOK RAPORU'!$C$2:$I$1000, 4, 0))), 0)</f>
        <v>0</v>
      </c>
      <c r="U8258" s="22">
        <f t="shared" si="516"/>
        <v>0</v>
      </c>
      <c r="V8258">
        <f t="shared" si="517"/>
        <v>0</v>
      </c>
      <c r="W8258" s="22">
        <f t="shared" si="518"/>
        <v>0</v>
      </c>
    </row>
    <row r="8259" spans="1:23" hidden="1" x14ac:dyDescent="0.25">
      <c r="A8259" s="45">
        <v>46219</v>
      </c>
      <c r="B8259" s="46" t="s">
        <v>334</v>
      </c>
      <c r="C8259" s="4" t="s">
        <v>2117</v>
      </c>
      <c r="D8259" s="4"/>
      <c r="E8259" s="4"/>
      <c r="F8259" s="46" t="s">
        <v>3913</v>
      </c>
      <c r="G8259" s="4" t="s">
        <v>336</v>
      </c>
      <c r="H8259" s="4" t="s">
        <v>289</v>
      </c>
      <c r="I8259" s="4">
        <v>1</v>
      </c>
      <c r="J8259" s="21">
        <v>20</v>
      </c>
      <c r="K8259" s="21">
        <v>0</v>
      </c>
      <c r="L8259" s="5">
        <v>0</v>
      </c>
      <c r="M8259" s="4"/>
      <c r="N8259" s="4"/>
      <c r="O8259" s="5"/>
      <c r="P8259" s="5"/>
      <c r="Q8259" s="21">
        <v>20</v>
      </c>
      <c r="R8259" s="21">
        <v>0</v>
      </c>
      <c r="S8259" s="5">
        <f t="shared" si="515"/>
        <v>64947.152758325021</v>
      </c>
      <c r="T8259" cm="1">
        <f t="array" ref="T8259">IF(OR(B8259="MAL ALIMI", B8259="ÜRETİM GİRİŞ"), MIN(I8259, MAX(0, I8259 + SUM(SUMIFS($I$1:I8258, $C$1:C8258, C8259, $B$1:B8258, {"MAL ALIMI","ÜRETİM GİRİŞ"})) - VLOOKUP(C8259, 'STOK RAPORU'!$C$2:$I$1000, 4, 0))), 0)</f>
        <v>0</v>
      </c>
      <c r="U8259" s="22">
        <f t="shared" si="516"/>
        <v>0</v>
      </c>
      <c r="V8259">
        <f t="shared" si="517"/>
        <v>0</v>
      </c>
      <c r="W8259" s="22">
        <f t="shared" si="518"/>
        <v>0</v>
      </c>
    </row>
    <row r="8260" spans="1:23" hidden="1" x14ac:dyDescent="0.25">
      <c r="A8260" s="45">
        <v>46219</v>
      </c>
      <c r="B8260" s="46" t="s">
        <v>334</v>
      </c>
      <c r="C8260" s="4" t="s">
        <v>157</v>
      </c>
      <c r="D8260" s="4"/>
      <c r="E8260" s="4"/>
      <c r="F8260" s="46" t="s">
        <v>3914</v>
      </c>
      <c r="G8260" s="4" t="s">
        <v>336</v>
      </c>
      <c r="H8260" s="4" t="s">
        <v>289</v>
      </c>
      <c r="I8260" s="4">
        <v>1</v>
      </c>
      <c r="J8260" s="21">
        <v>200</v>
      </c>
      <c r="K8260" s="21">
        <v>0</v>
      </c>
      <c r="L8260" s="5">
        <v>0</v>
      </c>
      <c r="M8260" s="4"/>
      <c r="N8260" s="4"/>
      <c r="O8260" s="5"/>
      <c r="P8260" s="5"/>
      <c r="Q8260" s="21">
        <v>200</v>
      </c>
      <c r="R8260" s="21">
        <v>0</v>
      </c>
      <c r="S8260" s="5">
        <f t="shared" si="515"/>
        <v>65147.152758325021</v>
      </c>
      <c r="T8260" cm="1">
        <f t="array" ref="T8260">IF(OR(B8260="MAL ALIMI", B8260="ÜRETİM GİRİŞ"), MIN(I8260, MAX(0, I8260 + SUM(SUMIFS($I$1:I8259, $C$1:C8259, C8260, $B$1:B8259, {"MAL ALIMI","ÜRETİM GİRİŞ"})) - VLOOKUP(C8260, 'STOK RAPORU'!$C$2:$I$1000, 4, 0))), 0)</f>
        <v>0</v>
      </c>
      <c r="U8260" s="22">
        <f t="shared" si="516"/>
        <v>0</v>
      </c>
      <c r="V8260">
        <f t="shared" si="517"/>
        <v>0</v>
      </c>
      <c r="W8260" s="22">
        <f t="shared" si="518"/>
        <v>0</v>
      </c>
    </row>
    <row r="8261" spans="1:23" hidden="1" x14ac:dyDescent="0.25">
      <c r="A8261" s="45">
        <v>46219</v>
      </c>
      <c r="B8261" s="46" t="s">
        <v>334</v>
      </c>
      <c r="C8261" s="4" t="s">
        <v>157</v>
      </c>
      <c r="D8261" s="4"/>
      <c r="E8261" s="4" t="s">
        <v>921</v>
      </c>
      <c r="F8261" s="46" t="s">
        <v>3915</v>
      </c>
      <c r="G8261" s="4" t="s">
        <v>336</v>
      </c>
      <c r="H8261" s="4" t="s">
        <v>380</v>
      </c>
      <c r="I8261" s="4">
        <v>0.5</v>
      </c>
      <c r="J8261" s="21">
        <v>200</v>
      </c>
      <c r="K8261" s="21">
        <v>100</v>
      </c>
      <c r="L8261" s="5">
        <v>0</v>
      </c>
      <c r="M8261" s="4"/>
      <c r="N8261" s="4"/>
      <c r="O8261" s="5"/>
      <c r="P8261" s="5"/>
      <c r="Q8261" s="21">
        <v>0</v>
      </c>
      <c r="R8261" s="21">
        <v>0</v>
      </c>
      <c r="S8261" s="5">
        <f t="shared" ref="S8261:S8324" si="519">S8260+Q8261-R8261</f>
        <v>65147.152758325021</v>
      </c>
      <c r="T8261" cm="1">
        <f t="array" ref="T8261">IF(OR(B8261="MAL ALIMI", B8261="ÜRETİM GİRİŞ"), MIN(I8261, MAX(0, I8261 + SUM(SUMIFS($I$1:I8260, $C$1:C8260, C8261, $B$1:B8260, {"MAL ALIMI","ÜRETİM GİRİŞ"})) - VLOOKUP(C8261, 'STOK RAPORU'!$C$2:$I$1000, 4, 0))), 0)</f>
        <v>0</v>
      </c>
      <c r="U8261" s="22">
        <f t="shared" si="516"/>
        <v>0</v>
      </c>
      <c r="V8261">
        <f t="shared" si="517"/>
        <v>0</v>
      </c>
      <c r="W8261" s="22">
        <f t="shared" si="518"/>
        <v>0</v>
      </c>
    </row>
    <row r="8262" spans="1:23" hidden="1" x14ac:dyDescent="0.25">
      <c r="A8262" s="45">
        <v>46219</v>
      </c>
      <c r="B8262" s="46" t="s">
        <v>334</v>
      </c>
      <c r="C8262" s="4" t="s">
        <v>1501</v>
      </c>
      <c r="D8262" s="4"/>
      <c r="E8262" s="4" t="s">
        <v>921</v>
      </c>
      <c r="F8262" s="46" t="s">
        <v>3915</v>
      </c>
      <c r="G8262" s="4" t="s">
        <v>336</v>
      </c>
      <c r="H8262" s="4" t="s">
        <v>380</v>
      </c>
      <c r="I8262" s="4">
        <v>0.25</v>
      </c>
      <c r="J8262" s="21">
        <v>700</v>
      </c>
      <c r="K8262" s="21">
        <v>175</v>
      </c>
      <c r="L8262" s="5">
        <v>0</v>
      </c>
      <c r="M8262" s="4"/>
      <c r="N8262" s="4"/>
      <c r="O8262" s="5"/>
      <c r="P8262" s="5"/>
      <c r="Q8262" s="21">
        <v>0</v>
      </c>
      <c r="R8262" s="21">
        <v>0</v>
      </c>
      <c r="S8262" s="5">
        <f t="shared" si="519"/>
        <v>65147.152758325021</v>
      </c>
      <c r="T8262" cm="1">
        <f t="array" ref="T8262">IF(OR(B8262="MAL ALIMI", B8262="ÜRETİM GİRİŞ"), MIN(I8262, MAX(0, I8262 + SUM(SUMIFS($I$1:I8261, $C$1:C8261, C8262, $B$1:B8261, {"MAL ALIMI","ÜRETİM GİRİŞ"})) - VLOOKUP(C8262, 'STOK RAPORU'!$C$2:$I$1000, 4, 0))), 0)</f>
        <v>0</v>
      </c>
      <c r="U8262" s="22">
        <f t="shared" si="516"/>
        <v>0</v>
      </c>
      <c r="V8262">
        <f t="shared" si="517"/>
        <v>0</v>
      </c>
      <c r="W8262" s="22">
        <f t="shared" si="518"/>
        <v>0</v>
      </c>
    </row>
    <row r="8263" spans="1:23" hidden="1" x14ac:dyDescent="0.25">
      <c r="A8263" s="45">
        <v>46219</v>
      </c>
      <c r="B8263" s="46" t="s">
        <v>334</v>
      </c>
      <c r="C8263" s="4" t="s">
        <v>156</v>
      </c>
      <c r="D8263" s="4"/>
      <c r="E8263" s="4"/>
      <c r="F8263" s="46" t="s">
        <v>3916</v>
      </c>
      <c r="G8263" s="4" t="s">
        <v>3917</v>
      </c>
      <c r="H8263" s="4" t="s">
        <v>289</v>
      </c>
      <c r="I8263" s="4">
        <v>1</v>
      </c>
      <c r="J8263" s="21">
        <v>100</v>
      </c>
      <c r="K8263" s="21">
        <v>0</v>
      </c>
      <c r="L8263" s="5">
        <v>0</v>
      </c>
      <c r="M8263" s="4"/>
      <c r="N8263" s="4"/>
      <c r="O8263" s="5"/>
      <c r="P8263" s="5"/>
      <c r="Q8263" s="21">
        <v>100</v>
      </c>
      <c r="R8263" s="21">
        <v>0</v>
      </c>
      <c r="S8263" s="5">
        <f t="shared" si="519"/>
        <v>65247.152758325021</v>
      </c>
      <c r="T8263" cm="1">
        <f t="array" ref="T8263">IF(OR(B8263="MAL ALIMI", B8263="ÜRETİM GİRİŞ"), MIN(I8263, MAX(0, I8263 + SUM(SUMIFS($I$1:I8262, $C$1:C8262, C8263, $B$1:B8262, {"MAL ALIMI","ÜRETİM GİRİŞ"})) - VLOOKUP(C8263, 'STOK RAPORU'!$C$2:$I$1000, 4, 0))), 0)</f>
        <v>0</v>
      </c>
      <c r="U8263" s="22">
        <f t="shared" si="516"/>
        <v>0</v>
      </c>
      <c r="V8263">
        <f t="shared" si="517"/>
        <v>0</v>
      </c>
      <c r="W8263" s="22">
        <f t="shared" si="518"/>
        <v>0</v>
      </c>
    </row>
    <row r="8264" spans="1:23" hidden="1" x14ac:dyDescent="0.25">
      <c r="A8264" s="45">
        <v>46220</v>
      </c>
      <c r="B8264" s="46" t="s">
        <v>334</v>
      </c>
      <c r="C8264" s="4" t="s">
        <v>156</v>
      </c>
      <c r="D8264" s="4"/>
      <c r="E8264" s="4"/>
      <c r="F8264" s="46" t="s">
        <v>3918</v>
      </c>
      <c r="G8264" s="4" t="s">
        <v>336</v>
      </c>
      <c r="H8264" s="4" t="s">
        <v>289</v>
      </c>
      <c r="I8264" s="4">
        <v>1.5</v>
      </c>
      <c r="J8264" s="21">
        <v>200</v>
      </c>
      <c r="K8264" s="21">
        <v>0</v>
      </c>
      <c r="L8264" s="5">
        <v>0</v>
      </c>
      <c r="M8264" s="4"/>
      <c r="N8264" s="4"/>
      <c r="O8264" s="5"/>
      <c r="P8264" s="5"/>
      <c r="Q8264" s="21">
        <v>300</v>
      </c>
      <c r="R8264" s="21">
        <v>0</v>
      </c>
      <c r="S8264" s="5">
        <f t="shared" si="519"/>
        <v>65547.152758325014</v>
      </c>
      <c r="T8264" cm="1">
        <f t="array" ref="T8264">IF(OR(B8264="MAL ALIMI", B8264="ÜRETİM GİRİŞ"), MIN(I8264, MAX(0, I8264 + SUM(SUMIFS($I$1:I8263, $C$1:C8263, C8264, $B$1:B8263, {"MAL ALIMI","ÜRETİM GİRİŞ"})) - VLOOKUP(C8264, 'STOK RAPORU'!$C$2:$I$1000, 4, 0))), 0)</f>
        <v>0</v>
      </c>
      <c r="U8264" s="22">
        <f t="shared" si="516"/>
        <v>0</v>
      </c>
      <c r="V8264">
        <f t="shared" si="517"/>
        <v>0</v>
      </c>
      <c r="W8264" s="22">
        <f t="shared" si="518"/>
        <v>0</v>
      </c>
    </row>
    <row r="8265" spans="1:23" hidden="1" x14ac:dyDescent="0.25">
      <c r="A8265" s="45">
        <v>46220</v>
      </c>
      <c r="B8265" s="46" t="s">
        <v>334</v>
      </c>
      <c r="C8265" s="4" t="s">
        <v>695</v>
      </c>
      <c r="D8265" s="4"/>
      <c r="E8265" s="4" t="s">
        <v>921</v>
      </c>
      <c r="F8265" s="46" t="s">
        <v>3919</v>
      </c>
      <c r="G8265" s="4" t="s">
        <v>336</v>
      </c>
      <c r="H8265" s="4" t="s">
        <v>380</v>
      </c>
      <c r="I8265" s="4">
        <v>1</v>
      </c>
      <c r="J8265" s="21">
        <v>90</v>
      </c>
      <c r="K8265" s="21">
        <v>90</v>
      </c>
      <c r="L8265" s="5">
        <v>0</v>
      </c>
      <c r="M8265" s="4"/>
      <c r="N8265" s="4"/>
      <c r="O8265" s="5"/>
      <c r="P8265" s="5"/>
      <c r="Q8265" s="21">
        <v>0</v>
      </c>
      <c r="R8265" s="21">
        <v>0</v>
      </c>
      <c r="S8265" s="5">
        <f t="shared" si="519"/>
        <v>65547.152758325014</v>
      </c>
      <c r="T8265" cm="1">
        <f t="array" ref="T8265">IF(OR(B8265="MAL ALIMI", B8265="ÜRETİM GİRİŞ"), MIN(I8265, MAX(0, I8265 + SUM(SUMIFS($I$1:I8264, $C$1:C8264, C8265, $B$1:B8264, {"MAL ALIMI","ÜRETİM GİRİŞ"})) - VLOOKUP(C8265, 'STOK RAPORU'!$C$2:$I$1000, 4, 0))), 0)</f>
        <v>0</v>
      </c>
      <c r="U8265" s="22">
        <f t="shared" si="516"/>
        <v>0</v>
      </c>
      <c r="V8265">
        <f t="shared" si="517"/>
        <v>0</v>
      </c>
      <c r="W8265" s="22">
        <f t="shared" si="518"/>
        <v>0</v>
      </c>
    </row>
    <row r="8266" spans="1:23" hidden="1" x14ac:dyDescent="0.25">
      <c r="A8266" s="45">
        <v>46220</v>
      </c>
      <c r="B8266" s="46" t="s">
        <v>334</v>
      </c>
      <c r="C8266" s="4" t="s">
        <v>270</v>
      </c>
      <c r="D8266" s="4"/>
      <c r="E8266" s="4" t="s">
        <v>921</v>
      </c>
      <c r="F8266" s="46" t="s">
        <v>3919</v>
      </c>
      <c r="G8266" s="4" t="s">
        <v>336</v>
      </c>
      <c r="H8266" s="4" t="s">
        <v>380</v>
      </c>
      <c r="I8266" s="4">
        <v>1</v>
      </c>
      <c r="J8266" s="21">
        <v>165</v>
      </c>
      <c r="K8266" s="21">
        <v>165</v>
      </c>
      <c r="L8266" s="5">
        <v>0</v>
      </c>
      <c r="M8266" s="4"/>
      <c r="N8266" s="4"/>
      <c r="O8266" s="5"/>
      <c r="P8266" s="5"/>
      <c r="Q8266" s="21">
        <v>0</v>
      </c>
      <c r="R8266" s="21">
        <v>0</v>
      </c>
      <c r="S8266" s="5">
        <f t="shared" si="519"/>
        <v>65547.152758325014</v>
      </c>
      <c r="T8266" cm="1">
        <f t="array" ref="T8266">IF(OR(B8266="MAL ALIMI", B8266="ÜRETİM GİRİŞ"), MIN(I8266, MAX(0, I8266 + SUM(SUMIFS($I$1:I8265, $C$1:C8265, C8266, $B$1:B8265, {"MAL ALIMI","ÜRETİM GİRİŞ"})) - VLOOKUP(C8266, 'STOK RAPORU'!$C$2:$I$1000, 4, 0))), 0)</f>
        <v>0</v>
      </c>
      <c r="U8266" s="22">
        <f t="shared" si="516"/>
        <v>0</v>
      </c>
      <c r="V8266">
        <f t="shared" si="517"/>
        <v>0</v>
      </c>
      <c r="W8266" s="22">
        <f t="shared" si="518"/>
        <v>0</v>
      </c>
    </row>
    <row r="8267" spans="1:23" hidden="1" x14ac:dyDescent="0.25">
      <c r="A8267" s="45">
        <v>46220</v>
      </c>
      <c r="B8267" s="46" t="s">
        <v>334</v>
      </c>
      <c r="C8267" s="4" t="s">
        <v>3381</v>
      </c>
      <c r="D8267" s="4"/>
      <c r="E8267" s="4" t="s">
        <v>921</v>
      </c>
      <c r="F8267" s="46" t="s">
        <v>3919</v>
      </c>
      <c r="G8267" s="4" t="s">
        <v>336</v>
      </c>
      <c r="H8267" s="4" t="s">
        <v>380</v>
      </c>
      <c r="I8267" s="4">
        <v>0.34</v>
      </c>
      <c r="J8267" s="21">
        <v>250</v>
      </c>
      <c r="K8267" s="21">
        <v>85</v>
      </c>
      <c r="L8267" s="5">
        <v>0</v>
      </c>
      <c r="M8267" s="4"/>
      <c r="N8267" s="4"/>
      <c r="O8267" s="5"/>
      <c r="P8267" s="5"/>
      <c r="Q8267" s="21">
        <v>0</v>
      </c>
      <c r="R8267" s="21">
        <v>0</v>
      </c>
      <c r="S8267" s="5">
        <f t="shared" si="519"/>
        <v>65547.152758325014</v>
      </c>
      <c r="T8267" cm="1">
        <f t="array" ref="T8267">IF(OR(B8267="MAL ALIMI", B8267="ÜRETİM GİRİŞ"), MIN(I8267, MAX(0, I8267 + SUM(SUMIFS($I$1:I8266, $C$1:C8266, C8267, $B$1:B8266, {"MAL ALIMI","ÜRETİM GİRİŞ"})) - VLOOKUP(C8267, 'STOK RAPORU'!$C$2:$I$1000, 4, 0))), 0)</f>
        <v>0</v>
      </c>
      <c r="U8267" s="22">
        <f t="shared" si="516"/>
        <v>0</v>
      </c>
      <c r="V8267">
        <f t="shared" si="517"/>
        <v>0</v>
      </c>
      <c r="W8267" s="22">
        <f t="shared" si="518"/>
        <v>0</v>
      </c>
    </row>
    <row r="8268" spans="1:23" hidden="1" x14ac:dyDescent="0.25">
      <c r="A8268" s="45">
        <v>46220</v>
      </c>
      <c r="B8268" s="46" t="s">
        <v>334</v>
      </c>
      <c r="C8268" s="4" t="s">
        <v>529</v>
      </c>
      <c r="D8268" s="4"/>
      <c r="E8268" s="4"/>
      <c r="F8268" s="46" t="s">
        <v>3920</v>
      </c>
      <c r="G8268" s="4" t="s">
        <v>336</v>
      </c>
      <c r="H8268" s="4" t="s">
        <v>289</v>
      </c>
      <c r="I8268" s="4">
        <v>0.15</v>
      </c>
      <c r="J8268" s="21">
        <v>600</v>
      </c>
      <c r="K8268" s="21">
        <v>0</v>
      </c>
      <c r="L8268" s="5">
        <v>0</v>
      </c>
      <c r="M8268" s="4"/>
      <c r="N8268" s="4"/>
      <c r="O8268" s="5"/>
      <c r="P8268" s="5"/>
      <c r="Q8268" s="21">
        <v>90</v>
      </c>
      <c r="R8268" s="21">
        <v>0</v>
      </c>
      <c r="S8268" s="5">
        <f t="shared" si="519"/>
        <v>65637.152758325014</v>
      </c>
      <c r="T8268" cm="1">
        <f t="array" ref="T8268">IF(OR(B8268="MAL ALIMI", B8268="ÜRETİM GİRİŞ"), MIN(I8268, MAX(0, I8268 + SUM(SUMIFS($I$1:I8267, $C$1:C8267, C8268, $B$1:B8267, {"MAL ALIMI","ÜRETİM GİRİŞ"})) - VLOOKUP(C8268, 'STOK RAPORU'!$C$2:$I$1000, 4, 0))), 0)</f>
        <v>0</v>
      </c>
      <c r="U8268" s="22">
        <f t="shared" si="516"/>
        <v>0</v>
      </c>
      <c r="V8268">
        <f t="shared" si="517"/>
        <v>0</v>
      </c>
      <c r="W8268" s="22">
        <f t="shared" si="518"/>
        <v>0</v>
      </c>
    </row>
    <row r="8269" spans="1:23" hidden="1" x14ac:dyDescent="0.25">
      <c r="A8269" s="45">
        <v>46220</v>
      </c>
      <c r="B8269" s="46" t="s">
        <v>334</v>
      </c>
      <c r="C8269" s="4" t="s">
        <v>156</v>
      </c>
      <c r="D8269" s="4"/>
      <c r="E8269" s="4"/>
      <c r="F8269" s="46" t="s">
        <v>3921</v>
      </c>
      <c r="G8269" s="4" t="s">
        <v>336</v>
      </c>
      <c r="H8269" s="4" t="s">
        <v>289</v>
      </c>
      <c r="I8269" s="4">
        <v>1</v>
      </c>
      <c r="J8269" s="21">
        <v>200</v>
      </c>
      <c r="K8269" s="21">
        <v>0</v>
      </c>
      <c r="L8269" s="5">
        <v>0</v>
      </c>
      <c r="M8269" s="4"/>
      <c r="N8269" s="4"/>
      <c r="O8269" s="5"/>
      <c r="P8269" s="5"/>
      <c r="Q8269" s="21">
        <v>200</v>
      </c>
      <c r="R8269" s="21">
        <v>0</v>
      </c>
      <c r="S8269" s="5">
        <f t="shared" si="519"/>
        <v>65837.152758325014</v>
      </c>
      <c r="T8269" cm="1">
        <f t="array" ref="T8269">IF(OR(B8269="MAL ALIMI", B8269="ÜRETİM GİRİŞ"), MIN(I8269, MAX(0, I8269 + SUM(SUMIFS($I$1:I8268, $C$1:C8268, C8269, $B$1:B8268, {"MAL ALIMI","ÜRETİM GİRİŞ"})) - VLOOKUP(C8269, 'STOK RAPORU'!$C$2:$I$1000, 4, 0))), 0)</f>
        <v>0</v>
      </c>
      <c r="U8269" s="22">
        <f t="shared" si="516"/>
        <v>0</v>
      </c>
      <c r="V8269">
        <f t="shared" si="517"/>
        <v>0</v>
      </c>
      <c r="W8269" s="22">
        <f t="shared" si="518"/>
        <v>0</v>
      </c>
    </row>
    <row r="8270" spans="1:23" hidden="1" x14ac:dyDescent="0.25">
      <c r="A8270" s="45">
        <v>46220</v>
      </c>
      <c r="B8270" s="46" t="s">
        <v>334</v>
      </c>
      <c r="C8270" s="4" t="s">
        <v>133</v>
      </c>
      <c r="D8270" s="4"/>
      <c r="E8270" s="4"/>
      <c r="F8270" s="46" t="s">
        <v>3921</v>
      </c>
      <c r="G8270" s="4" t="s">
        <v>336</v>
      </c>
      <c r="H8270" s="4" t="s">
        <v>289</v>
      </c>
      <c r="I8270" s="4">
        <v>0.3125</v>
      </c>
      <c r="J8270" s="21">
        <v>400</v>
      </c>
      <c r="K8270" s="21">
        <v>0</v>
      </c>
      <c r="L8270" s="5">
        <v>0</v>
      </c>
      <c r="M8270" s="4"/>
      <c r="N8270" s="4"/>
      <c r="O8270" s="5"/>
      <c r="P8270" s="5"/>
      <c r="Q8270" s="21">
        <v>125</v>
      </c>
      <c r="R8270" s="21">
        <v>0</v>
      </c>
      <c r="S8270" s="5">
        <f t="shared" si="519"/>
        <v>65962.152758325014</v>
      </c>
      <c r="T8270" cm="1">
        <f t="array" ref="T8270">IF(OR(B8270="MAL ALIMI", B8270="ÜRETİM GİRİŞ"), MIN(I8270, MAX(0, I8270 + SUM(SUMIFS($I$1:I8269, $C$1:C8269, C8270, $B$1:B8269, {"MAL ALIMI","ÜRETİM GİRİŞ"})) - VLOOKUP(C8270, 'STOK RAPORU'!$C$2:$I$1000, 4, 0))), 0)</f>
        <v>0</v>
      </c>
      <c r="U8270" s="22">
        <f t="shared" si="516"/>
        <v>0</v>
      </c>
      <c r="V8270">
        <f t="shared" si="517"/>
        <v>0</v>
      </c>
      <c r="W8270" s="22">
        <f t="shared" si="518"/>
        <v>0</v>
      </c>
    </row>
    <row r="8271" spans="1:23" hidden="1" x14ac:dyDescent="0.25">
      <c r="A8271" s="45">
        <v>46220</v>
      </c>
      <c r="B8271" s="46" t="s">
        <v>334</v>
      </c>
      <c r="C8271" s="4" t="s">
        <v>226</v>
      </c>
      <c r="D8271" s="4"/>
      <c r="E8271" s="4"/>
      <c r="F8271" s="46" t="s">
        <v>3921</v>
      </c>
      <c r="G8271" s="4" t="s">
        <v>336</v>
      </c>
      <c r="H8271" s="4" t="s">
        <v>289</v>
      </c>
      <c r="I8271" s="4">
        <v>0.29545454545454547</v>
      </c>
      <c r="J8271" s="21">
        <v>220</v>
      </c>
      <c r="K8271" s="21">
        <v>0</v>
      </c>
      <c r="L8271" s="5">
        <v>0</v>
      </c>
      <c r="M8271" s="4"/>
      <c r="N8271" s="4"/>
      <c r="O8271" s="5"/>
      <c r="P8271" s="5"/>
      <c r="Q8271" s="21">
        <v>65</v>
      </c>
      <c r="R8271" s="21">
        <v>0</v>
      </c>
      <c r="S8271" s="5">
        <f t="shared" si="519"/>
        <v>66027.152758325014</v>
      </c>
      <c r="T8271" cm="1">
        <f t="array" ref="T8271">IF(OR(B8271="MAL ALIMI", B8271="ÜRETİM GİRİŞ"), MIN(I8271, MAX(0, I8271 + SUM(SUMIFS($I$1:I8270, $C$1:C8270, C8271, $B$1:B8270, {"MAL ALIMI","ÜRETİM GİRİŞ"})) - VLOOKUP(C8271, 'STOK RAPORU'!$C$2:$I$1000, 4, 0))), 0)</f>
        <v>0</v>
      </c>
      <c r="U8271" s="22">
        <f t="shared" si="516"/>
        <v>0</v>
      </c>
      <c r="V8271">
        <f t="shared" si="517"/>
        <v>0</v>
      </c>
      <c r="W8271" s="22">
        <f t="shared" si="518"/>
        <v>0</v>
      </c>
    </row>
    <row r="8272" spans="1:23" hidden="1" x14ac:dyDescent="0.25">
      <c r="A8272" s="45">
        <v>46220</v>
      </c>
      <c r="B8272" s="46" t="s">
        <v>334</v>
      </c>
      <c r="C8272" s="4" t="s">
        <v>767</v>
      </c>
      <c r="D8272" s="4"/>
      <c r="E8272" s="4" t="s">
        <v>921</v>
      </c>
      <c r="F8272" s="46" t="s">
        <v>3922</v>
      </c>
      <c r="G8272" s="4" t="s">
        <v>336</v>
      </c>
      <c r="H8272" s="4" t="s">
        <v>380</v>
      </c>
      <c r="I8272" s="4">
        <v>1</v>
      </c>
      <c r="J8272" s="21">
        <v>220</v>
      </c>
      <c r="K8272" s="21">
        <v>220</v>
      </c>
      <c r="L8272" s="5">
        <v>0</v>
      </c>
      <c r="M8272" s="4"/>
      <c r="N8272" s="4"/>
      <c r="O8272" s="5"/>
      <c r="P8272" s="5"/>
      <c r="Q8272" s="21">
        <v>0</v>
      </c>
      <c r="R8272" s="21">
        <v>0</v>
      </c>
      <c r="S8272" s="5">
        <f t="shared" si="519"/>
        <v>66027.152758325014</v>
      </c>
      <c r="T8272" cm="1">
        <f t="array" ref="T8272">IF(OR(B8272="MAL ALIMI", B8272="ÜRETİM GİRİŞ"), MIN(I8272, MAX(0, I8272 + SUM(SUMIFS($I$1:I8271, $C$1:C8271, C8272, $B$1:B8271, {"MAL ALIMI","ÜRETİM GİRİŞ"})) - VLOOKUP(C8272, 'STOK RAPORU'!$C$2:$I$1000, 4, 0))), 0)</f>
        <v>0</v>
      </c>
      <c r="U8272" s="22">
        <f t="shared" si="516"/>
        <v>0</v>
      </c>
      <c r="V8272">
        <f t="shared" si="517"/>
        <v>0</v>
      </c>
      <c r="W8272" s="22">
        <f t="shared" si="518"/>
        <v>0</v>
      </c>
    </row>
    <row r="8273" spans="1:23" hidden="1" x14ac:dyDescent="0.25">
      <c r="A8273" s="45">
        <v>46220</v>
      </c>
      <c r="B8273" s="46" t="s">
        <v>334</v>
      </c>
      <c r="C8273" s="4" t="s">
        <v>1365</v>
      </c>
      <c r="D8273" s="4"/>
      <c r="E8273" s="4" t="s">
        <v>921</v>
      </c>
      <c r="F8273" s="46" t="s">
        <v>3923</v>
      </c>
      <c r="G8273" s="4" t="s">
        <v>336</v>
      </c>
      <c r="H8273" s="4" t="s">
        <v>380</v>
      </c>
      <c r="I8273" s="4">
        <v>1</v>
      </c>
      <c r="J8273" s="21">
        <v>150</v>
      </c>
      <c r="K8273" s="21">
        <v>150</v>
      </c>
      <c r="L8273" s="5">
        <v>0</v>
      </c>
      <c r="M8273" s="4"/>
      <c r="N8273" s="4"/>
      <c r="O8273" s="5"/>
      <c r="P8273" s="5"/>
      <c r="Q8273" s="21">
        <v>0</v>
      </c>
      <c r="R8273" s="21">
        <v>0</v>
      </c>
      <c r="S8273" s="5">
        <f t="shared" si="519"/>
        <v>66027.152758325014</v>
      </c>
      <c r="T8273" cm="1">
        <f t="array" ref="T8273">IF(OR(B8273="MAL ALIMI", B8273="ÜRETİM GİRİŞ"), MIN(I8273, MAX(0, I8273 + SUM(SUMIFS($I$1:I8272, $C$1:C8272, C8273, $B$1:B8272, {"MAL ALIMI","ÜRETİM GİRİŞ"})) - VLOOKUP(C8273, 'STOK RAPORU'!$C$2:$I$1000, 4, 0))), 0)</f>
        <v>0</v>
      </c>
      <c r="U8273" s="22">
        <f t="shared" si="516"/>
        <v>0</v>
      </c>
      <c r="V8273">
        <f t="shared" si="517"/>
        <v>0</v>
      </c>
      <c r="W8273" s="22">
        <f t="shared" si="518"/>
        <v>0</v>
      </c>
    </row>
    <row r="8274" spans="1:23" hidden="1" x14ac:dyDescent="0.25">
      <c r="A8274" s="45">
        <v>46220</v>
      </c>
      <c r="B8274" s="46" t="s">
        <v>334</v>
      </c>
      <c r="C8274" s="4" t="s">
        <v>1142</v>
      </c>
      <c r="D8274" s="4"/>
      <c r="E8274" s="4" t="s">
        <v>921</v>
      </c>
      <c r="F8274" s="46" t="s">
        <v>3923</v>
      </c>
      <c r="G8274" s="4" t="s">
        <v>336</v>
      </c>
      <c r="H8274" s="4" t="s">
        <v>380</v>
      </c>
      <c r="I8274" s="4">
        <v>0.1</v>
      </c>
      <c r="J8274" s="21">
        <v>490</v>
      </c>
      <c r="K8274" s="21">
        <v>49</v>
      </c>
      <c r="L8274" s="5">
        <v>0</v>
      </c>
      <c r="M8274" s="4"/>
      <c r="N8274" s="4"/>
      <c r="O8274" s="5"/>
      <c r="P8274" s="5"/>
      <c r="Q8274" s="21">
        <v>0</v>
      </c>
      <c r="R8274" s="21">
        <v>0</v>
      </c>
      <c r="S8274" s="5">
        <f t="shared" si="519"/>
        <v>66027.152758325014</v>
      </c>
      <c r="T8274" cm="1">
        <f t="array" ref="T8274">IF(OR(B8274="MAL ALIMI", B8274="ÜRETİM GİRİŞ"), MIN(I8274, MAX(0, I8274 + SUM(SUMIFS($I$1:I8273, $C$1:C8273, C8274, $B$1:B8273, {"MAL ALIMI","ÜRETİM GİRİŞ"})) - VLOOKUP(C8274, 'STOK RAPORU'!$C$2:$I$1000, 4, 0))), 0)</f>
        <v>0</v>
      </c>
      <c r="U8274" s="22">
        <f t="shared" si="516"/>
        <v>0</v>
      </c>
      <c r="V8274">
        <f t="shared" si="517"/>
        <v>0</v>
      </c>
      <c r="W8274" s="22">
        <f t="shared" si="518"/>
        <v>0</v>
      </c>
    </row>
    <row r="8275" spans="1:23" hidden="1" x14ac:dyDescent="0.25">
      <c r="A8275" s="45">
        <v>46220</v>
      </c>
      <c r="B8275" s="46" t="s">
        <v>334</v>
      </c>
      <c r="C8275" s="4" t="s">
        <v>463</v>
      </c>
      <c r="D8275" s="4"/>
      <c r="E8275" s="4"/>
      <c r="F8275" s="46" t="s">
        <v>3924</v>
      </c>
      <c r="G8275" s="4" t="s">
        <v>336</v>
      </c>
      <c r="H8275" s="4" t="s">
        <v>289</v>
      </c>
      <c r="I8275" s="4">
        <v>0.48200000000000004</v>
      </c>
      <c r="J8275" s="21">
        <v>400</v>
      </c>
      <c r="K8275" s="21">
        <v>0</v>
      </c>
      <c r="L8275" s="5">
        <v>0</v>
      </c>
      <c r="M8275" s="4"/>
      <c r="N8275" s="4"/>
      <c r="O8275" s="5"/>
      <c r="P8275" s="5"/>
      <c r="Q8275" s="21">
        <v>192.8</v>
      </c>
      <c r="R8275" s="21">
        <v>0</v>
      </c>
      <c r="S8275" s="5">
        <f t="shared" si="519"/>
        <v>66219.952758325016</v>
      </c>
      <c r="T8275" cm="1">
        <f t="array" ref="T8275">IF(OR(B8275="MAL ALIMI", B8275="ÜRETİM GİRİŞ"), MIN(I8275, MAX(0, I8275 + SUM(SUMIFS($I$1:I8274, $C$1:C8274, C8275, $B$1:B8274, {"MAL ALIMI","ÜRETİM GİRİŞ"})) - VLOOKUP(C8275, 'STOK RAPORU'!$C$2:$I$1000, 4, 0))), 0)</f>
        <v>0</v>
      </c>
      <c r="U8275" s="22">
        <f t="shared" si="516"/>
        <v>0</v>
      </c>
      <c r="V8275">
        <f t="shared" si="517"/>
        <v>0</v>
      </c>
      <c r="W8275" s="22">
        <f t="shared" si="518"/>
        <v>0</v>
      </c>
    </row>
    <row r="8276" spans="1:23" hidden="1" x14ac:dyDescent="0.25">
      <c r="A8276" s="45">
        <v>46220</v>
      </c>
      <c r="B8276" s="46" t="s">
        <v>334</v>
      </c>
      <c r="C8276" s="4" t="s">
        <v>1894</v>
      </c>
      <c r="D8276" s="4"/>
      <c r="E8276" s="4"/>
      <c r="F8276" s="46" t="s">
        <v>3924</v>
      </c>
      <c r="G8276" s="4" t="s">
        <v>336</v>
      </c>
      <c r="H8276" s="4" t="s">
        <v>289</v>
      </c>
      <c r="I8276" s="4">
        <v>1</v>
      </c>
      <c r="J8276" s="21">
        <v>70</v>
      </c>
      <c r="K8276" s="21">
        <v>0</v>
      </c>
      <c r="L8276" s="5">
        <v>0</v>
      </c>
      <c r="M8276" s="4"/>
      <c r="N8276" s="4"/>
      <c r="O8276" s="5"/>
      <c r="P8276" s="5"/>
      <c r="Q8276" s="21">
        <v>70</v>
      </c>
      <c r="R8276" s="21">
        <v>0</v>
      </c>
      <c r="S8276" s="5">
        <f t="shared" si="519"/>
        <v>66289.952758325016</v>
      </c>
      <c r="T8276" cm="1">
        <f t="array" ref="T8276">IF(OR(B8276="MAL ALIMI", B8276="ÜRETİM GİRİŞ"), MIN(I8276, MAX(0, I8276 + SUM(SUMIFS($I$1:I8275, $C$1:C8275, C8276, $B$1:B8275, {"MAL ALIMI","ÜRETİM GİRİŞ"})) - VLOOKUP(C8276, 'STOK RAPORU'!$C$2:$I$1000, 4, 0))), 0)</f>
        <v>0</v>
      </c>
      <c r="U8276" s="22">
        <f t="shared" si="516"/>
        <v>0</v>
      </c>
      <c r="V8276">
        <f t="shared" si="517"/>
        <v>0</v>
      </c>
      <c r="W8276" s="22">
        <f t="shared" si="518"/>
        <v>0</v>
      </c>
    </row>
    <row r="8277" spans="1:23" hidden="1" x14ac:dyDescent="0.25">
      <c r="A8277" s="45">
        <v>46220</v>
      </c>
      <c r="B8277" s="46" t="s">
        <v>334</v>
      </c>
      <c r="C8277" s="4" t="s">
        <v>96</v>
      </c>
      <c r="D8277" s="4"/>
      <c r="E8277" s="4"/>
      <c r="F8277" s="46" t="s">
        <v>3925</v>
      </c>
      <c r="G8277" s="4" t="s">
        <v>336</v>
      </c>
      <c r="H8277" s="4" t="s">
        <v>289</v>
      </c>
      <c r="I8277" s="4">
        <v>0.51</v>
      </c>
      <c r="J8277" s="21">
        <v>400</v>
      </c>
      <c r="K8277" s="21">
        <v>0</v>
      </c>
      <c r="L8277" s="5">
        <v>0</v>
      </c>
      <c r="M8277" s="4"/>
      <c r="N8277" s="4"/>
      <c r="O8277" s="5"/>
      <c r="P8277" s="5"/>
      <c r="Q8277" s="21">
        <v>204</v>
      </c>
      <c r="R8277" s="21">
        <v>0</v>
      </c>
      <c r="S8277" s="5">
        <f t="shared" si="519"/>
        <v>66493.952758325016</v>
      </c>
      <c r="T8277" cm="1">
        <f t="array" ref="T8277">IF(OR(B8277="MAL ALIMI", B8277="ÜRETİM GİRİŞ"), MIN(I8277, MAX(0, I8277 + SUM(SUMIFS($I$1:I8276, $C$1:C8276, C8277, $B$1:B8276, {"MAL ALIMI","ÜRETİM GİRİŞ"})) - VLOOKUP(C8277, 'STOK RAPORU'!$C$2:$I$1000, 4, 0))), 0)</f>
        <v>0</v>
      </c>
      <c r="U8277" s="22">
        <f t="shared" si="516"/>
        <v>0</v>
      </c>
      <c r="V8277">
        <f t="shared" si="517"/>
        <v>0</v>
      </c>
      <c r="W8277" s="22">
        <f t="shared" si="518"/>
        <v>0</v>
      </c>
    </row>
    <row r="8278" spans="1:23" hidden="1" x14ac:dyDescent="0.25">
      <c r="A8278" s="45">
        <v>46220</v>
      </c>
      <c r="B8278" s="46" t="s">
        <v>334</v>
      </c>
      <c r="C8278" s="4" t="s">
        <v>126</v>
      </c>
      <c r="D8278" s="4"/>
      <c r="E8278" s="4"/>
      <c r="F8278" s="46" t="s">
        <v>3925</v>
      </c>
      <c r="G8278" s="4" t="s">
        <v>336</v>
      </c>
      <c r="H8278" s="4" t="s">
        <v>289</v>
      </c>
      <c r="I8278" s="4">
        <v>7.8461538461538458E-2</v>
      </c>
      <c r="J8278" s="21">
        <v>650</v>
      </c>
      <c r="K8278" s="21">
        <v>0</v>
      </c>
      <c r="L8278" s="5">
        <v>0</v>
      </c>
      <c r="M8278" s="4"/>
      <c r="N8278" s="4"/>
      <c r="O8278" s="5"/>
      <c r="P8278" s="5"/>
      <c r="Q8278" s="21">
        <v>51</v>
      </c>
      <c r="R8278" s="21">
        <v>0</v>
      </c>
      <c r="S8278" s="5">
        <f t="shared" si="519"/>
        <v>66544.952758325016</v>
      </c>
      <c r="T8278" cm="1">
        <f t="array" ref="T8278">IF(OR(B8278="MAL ALIMI", B8278="ÜRETİM GİRİŞ"), MIN(I8278, MAX(0, I8278 + SUM(SUMIFS($I$1:I8277, $C$1:C8277, C8278, $B$1:B8277, {"MAL ALIMI","ÜRETİM GİRİŞ"})) - VLOOKUP(C8278, 'STOK RAPORU'!$C$2:$I$1000, 4, 0))), 0)</f>
        <v>0</v>
      </c>
      <c r="U8278" s="22">
        <f t="shared" si="516"/>
        <v>0</v>
      </c>
      <c r="V8278">
        <f t="shared" si="517"/>
        <v>0</v>
      </c>
      <c r="W8278" s="22">
        <f t="shared" si="518"/>
        <v>0</v>
      </c>
    </row>
    <row r="8279" spans="1:23" hidden="1" x14ac:dyDescent="0.25">
      <c r="A8279" s="45">
        <v>46220</v>
      </c>
      <c r="B8279" s="46" t="s">
        <v>334</v>
      </c>
      <c r="C8279" s="4" t="s">
        <v>3382</v>
      </c>
      <c r="D8279" s="4"/>
      <c r="E8279" s="4"/>
      <c r="F8279" s="46" t="s">
        <v>3926</v>
      </c>
      <c r="G8279" s="4" t="s">
        <v>3632</v>
      </c>
      <c r="H8279" s="4" t="s">
        <v>289</v>
      </c>
      <c r="I8279" s="4">
        <v>2.66</v>
      </c>
      <c r="J8279" s="21">
        <v>133.34</v>
      </c>
      <c r="K8279" s="21">
        <v>0</v>
      </c>
      <c r="L8279" s="5">
        <v>0</v>
      </c>
      <c r="M8279" s="4"/>
      <c r="N8279" s="4"/>
      <c r="O8279" s="5"/>
      <c r="P8279" s="5"/>
      <c r="Q8279" s="21">
        <v>354.68440000000004</v>
      </c>
      <c r="R8279" s="21"/>
      <c r="S8279" s="5">
        <f t="shared" si="519"/>
        <v>66899.637158325015</v>
      </c>
      <c r="T8279" cm="1">
        <f t="array" ref="T8279">IF(OR(B8279="MAL ALIMI", B8279="ÜRETİM GİRİŞ"), MIN(I8279, MAX(0, I8279 + SUM(SUMIFS($I$1:I8278, $C$1:C8278, C8279, $B$1:B8278, {"MAL ALIMI","ÜRETİM GİRİŞ"})) - VLOOKUP(C8279, 'STOK RAPORU'!$C$2:$I$1000, 4, 0))), 0)</f>
        <v>0</v>
      </c>
      <c r="U8279" s="22">
        <f t="shared" si="516"/>
        <v>0</v>
      </c>
      <c r="V8279">
        <f t="shared" si="517"/>
        <v>0</v>
      </c>
      <c r="W8279" s="22">
        <f t="shared" si="518"/>
        <v>0</v>
      </c>
    </row>
    <row r="8280" spans="1:23" hidden="1" x14ac:dyDescent="0.25">
      <c r="A8280" s="45">
        <v>46220</v>
      </c>
      <c r="B8280" s="46" t="s">
        <v>334</v>
      </c>
      <c r="C8280" s="4" t="s">
        <v>2282</v>
      </c>
      <c r="D8280" s="4"/>
      <c r="E8280" s="4"/>
      <c r="F8280" s="46" t="s">
        <v>3926</v>
      </c>
      <c r="G8280" s="4" t="s">
        <v>3632</v>
      </c>
      <c r="H8280" s="4" t="s">
        <v>289</v>
      </c>
      <c r="I8280" s="4">
        <v>0.28000000000000003</v>
      </c>
      <c r="J8280" s="21">
        <v>2250</v>
      </c>
      <c r="K8280" s="21">
        <v>0</v>
      </c>
      <c r="L8280" s="5">
        <v>0</v>
      </c>
      <c r="M8280" s="4"/>
      <c r="N8280" s="4"/>
      <c r="O8280" s="5"/>
      <c r="P8280" s="5"/>
      <c r="Q8280" s="21">
        <v>630.00000000000011</v>
      </c>
      <c r="R8280" s="21"/>
      <c r="S8280" s="5">
        <f t="shared" si="519"/>
        <v>67529.637158325015</v>
      </c>
      <c r="T8280" cm="1">
        <f t="array" ref="T8280">IF(OR(B8280="MAL ALIMI", B8280="ÜRETİM GİRİŞ"), MIN(I8280, MAX(0, I8280 + SUM(SUMIFS($I$1:I8279, $C$1:C8279, C8280, $B$1:B8279, {"MAL ALIMI","ÜRETİM GİRİŞ"})) - VLOOKUP(C8280, 'STOK RAPORU'!$C$2:$I$1000, 4, 0))), 0)</f>
        <v>0</v>
      </c>
      <c r="U8280" s="22">
        <f t="shared" si="516"/>
        <v>0</v>
      </c>
      <c r="V8280">
        <f t="shared" si="517"/>
        <v>0</v>
      </c>
      <c r="W8280" s="22">
        <f t="shared" si="518"/>
        <v>0</v>
      </c>
    </row>
    <row r="8281" spans="1:23" hidden="1" x14ac:dyDescent="0.25">
      <c r="A8281" s="45">
        <v>46220</v>
      </c>
      <c r="B8281" s="46" t="s">
        <v>3943</v>
      </c>
      <c r="C8281" s="4" t="s">
        <v>3382</v>
      </c>
      <c r="D8281" s="4" t="s">
        <v>3632</v>
      </c>
      <c r="E8281" s="4"/>
      <c r="F8281" s="46" t="s">
        <v>3926</v>
      </c>
      <c r="G8281" s="4" t="s">
        <v>3927</v>
      </c>
      <c r="H8281" s="4" t="s">
        <v>289</v>
      </c>
      <c r="I8281" s="4">
        <v>2.66</v>
      </c>
      <c r="J8281" s="21">
        <v>133.34</v>
      </c>
      <c r="K8281" s="21">
        <v>0</v>
      </c>
      <c r="L8281" s="5">
        <v>0</v>
      </c>
      <c r="M8281" s="4"/>
      <c r="N8281" s="4"/>
      <c r="O8281" s="5"/>
      <c r="P8281" s="5"/>
      <c r="Q8281" s="21">
        <v>0</v>
      </c>
      <c r="R8281" s="21">
        <v>354.68</v>
      </c>
      <c r="S8281" s="5">
        <f t="shared" si="519"/>
        <v>67174.957158325022</v>
      </c>
      <c r="T8281" cm="1">
        <f t="array" ref="T8281">IF(OR(B8281="MAL ALIMI", B8281="ÜRETİM GİRİŞ"), MIN(I8281, MAX(0, I8281 + SUM(SUMIFS($I$1:I8280, $C$1:C8280, C8281, $B$1:B8280, {"MAL ALIMI","ÜRETİM GİRİŞ"})) - VLOOKUP(C8281, 'STOK RAPORU'!$C$2:$I$1000, 4, 0))), 0)</f>
        <v>0</v>
      </c>
      <c r="U8281" s="22">
        <f t="shared" si="516"/>
        <v>0</v>
      </c>
      <c r="V8281">
        <f t="shared" si="517"/>
        <v>0</v>
      </c>
      <c r="W8281" s="22">
        <f t="shared" si="518"/>
        <v>0</v>
      </c>
    </row>
    <row r="8282" spans="1:23" hidden="1" x14ac:dyDescent="0.25">
      <c r="A8282" s="45">
        <v>46220</v>
      </c>
      <c r="B8282" s="46" t="s">
        <v>3943</v>
      </c>
      <c r="C8282" s="4" t="s">
        <v>2282</v>
      </c>
      <c r="D8282" s="4" t="s">
        <v>3632</v>
      </c>
      <c r="E8282" s="4"/>
      <c r="F8282" s="46" t="s">
        <v>3926</v>
      </c>
      <c r="G8282" s="4" t="s">
        <v>3928</v>
      </c>
      <c r="H8282" s="4" t="s">
        <v>289</v>
      </c>
      <c r="I8282" s="4">
        <v>0.28000000000000003</v>
      </c>
      <c r="J8282" s="21">
        <v>2250</v>
      </c>
      <c r="K8282" s="21">
        <v>0</v>
      </c>
      <c r="L8282" s="5">
        <v>0</v>
      </c>
      <c r="M8282" s="4"/>
      <c r="N8282" s="4"/>
      <c r="O8282" s="5"/>
      <c r="P8282" s="5"/>
      <c r="Q8282" s="21">
        <v>0</v>
      </c>
      <c r="R8282" s="21">
        <v>630</v>
      </c>
      <c r="S8282" s="5">
        <f t="shared" si="519"/>
        <v>66544.957158325022</v>
      </c>
      <c r="T8282" cm="1">
        <f t="array" ref="T8282">IF(OR(B8282="MAL ALIMI", B8282="ÜRETİM GİRİŞ"), MIN(I8282, MAX(0, I8282 + SUM(SUMIFS($I$1:I8281, $C$1:C8281, C8282, $B$1:B8281, {"MAL ALIMI","ÜRETİM GİRİŞ"})) - VLOOKUP(C8282, 'STOK RAPORU'!$C$2:$I$1000, 4, 0))), 0)</f>
        <v>0</v>
      </c>
      <c r="U8282" s="22">
        <f t="shared" si="516"/>
        <v>0</v>
      </c>
      <c r="V8282">
        <f t="shared" si="517"/>
        <v>0</v>
      </c>
      <c r="W8282" s="22">
        <f t="shared" si="518"/>
        <v>0</v>
      </c>
    </row>
    <row r="8283" spans="1:23" hidden="1" x14ac:dyDescent="0.25">
      <c r="A8283" s="45">
        <v>46221</v>
      </c>
      <c r="B8283" s="46" t="s">
        <v>334</v>
      </c>
      <c r="C8283" s="4" t="s">
        <v>209</v>
      </c>
      <c r="D8283" s="4"/>
      <c r="E8283" s="4"/>
      <c r="F8283" s="46" t="s">
        <v>3929</v>
      </c>
      <c r="G8283" s="4" t="s">
        <v>336</v>
      </c>
      <c r="H8283" s="4" t="s">
        <v>289</v>
      </c>
      <c r="I8283" s="4">
        <v>0.05</v>
      </c>
      <c r="J8283" s="21">
        <v>2600</v>
      </c>
      <c r="K8283" s="21">
        <v>0</v>
      </c>
      <c r="L8283" s="5">
        <v>0</v>
      </c>
      <c r="M8283" s="4"/>
      <c r="N8283" s="4"/>
      <c r="O8283" s="5"/>
      <c r="P8283" s="5"/>
      <c r="Q8283" s="21">
        <v>130</v>
      </c>
      <c r="R8283" s="21">
        <v>0</v>
      </c>
      <c r="S8283" s="5">
        <f t="shared" si="519"/>
        <v>66674.957158325022</v>
      </c>
      <c r="T8283" cm="1">
        <f t="array" ref="T8283">IF(OR(B8283="MAL ALIMI", B8283="ÜRETİM GİRİŞ"), MIN(I8283, MAX(0, I8283 + SUM(SUMIFS($I$1:I8282, $C$1:C8282, C8283, $B$1:B8282, {"MAL ALIMI","ÜRETİM GİRİŞ"})) - VLOOKUP(C8283, 'STOK RAPORU'!$C$2:$I$1000, 4, 0))), 0)</f>
        <v>0</v>
      </c>
      <c r="U8283" s="22">
        <f t="shared" si="516"/>
        <v>0</v>
      </c>
      <c r="V8283">
        <f t="shared" si="517"/>
        <v>0</v>
      </c>
      <c r="W8283" s="22">
        <f t="shared" si="518"/>
        <v>0</v>
      </c>
    </row>
    <row r="8284" spans="1:23" hidden="1" x14ac:dyDescent="0.25">
      <c r="A8284" s="45">
        <v>46221</v>
      </c>
      <c r="B8284" s="46" t="s">
        <v>334</v>
      </c>
      <c r="C8284" s="4" t="s">
        <v>133</v>
      </c>
      <c r="D8284" s="4"/>
      <c r="E8284" s="4"/>
      <c r="F8284" s="46" t="s">
        <v>3930</v>
      </c>
      <c r="G8284" s="4" t="s">
        <v>439</v>
      </c>
      <c r="H8284" s="4" t="s">
        <v>289</v>
      </c>
      <c r="I8284" s="4">
        <v>0.47600000000000003</v>
      </c>
      <c r="J8284" s="21">
        <v>270</v>
      </c>
      <c r="K8284" s="21">
        <v>0</v>
      </c>
      <c r="L8284" s="5">
        <v>0</v>
      </c>
      <c r="M8284" s="4"/>
      <c r="N8284" s="4"/>
      <c r="O8284" s="5"/>
      <c r="P8284" s="5"/>
      <c r="Q8284" s="21">
        <v>128.52000000000001</v>
      </c>
      <c r="R8284" s="21">
        <v>0</v>
      </c>
      <c r="S8284" s="5">
        <f t="shared" si="519"/>
        <v>66803.477158325026</v>
      </c>
      <c r="T8284" cm="1">
        <f t="array" ref="T8284">IF(OR(B8284="MAL ALIMI", B8284="ÜRETİM GİRİŞ"), MIN(I8284, MAX(0, I8284 + SUM(SUMIFS($I$1:I8283, $C$1:C8283, C8284, $B$1:B8283, {"MAL ALIMI","ÜRETİM GİRİŞ"})) - VLOOKUP(C8284, 'STOK RAPORU'!$C$2:$I$1000, 4, 0))), 0)</f>
        <v>0</v>
      </c>
      <c r="U8284" s="22">
        <f t="shared" si="516"/>
        <v>0</v>
      </c>
      <c r="V8284">
        <f t="shared" si="517"/>
        <v>0</v>
      </c>
      <c r="W8284" s="22">
        <f t="shared" si="518"/>
        <v>0</v>
      </c>
    </row>
    <row r="8285" spans="1:23" hidden="1" x14ac:dyDescent="0.25">
      <c r="A8285" s="45">
        <v>46221</v>
      </c>
      <c r="B8285" s="46" t="s">
        <v>334</v>
      </c>
      <c r="C8285" s="4" t="s">
        <v>163</v>
      </c>
      <c r="D8285" s="4"/>
      <c r="E8285" s="4"/>
      <c r="F8285" s="46" t="s">
        <v>3930</v>
      </c>
      <c r="G8285" s="4" t="s">
        <v>336</v>
      </c>
      <c r="H8285" s="4" t="s">
        <v>289</v>
      </c>
      <c r="I8285" s="4">
        <v>0.3896551724137931</v>
      </c>
      <c r="J8285" s="21">
        <v>290</v>
      </c>
      <c r="K8285" s="21">
        <v>0</v>
      </c>
      <c r="L8285" s="5">
        <v>0</v>
      </c>
      <c r="M8285" s="4"/>
      <c r="N8285" s="4"/>
      <c r="O8285" s="5"/>
      <c r="P8285" s="5"/>
      <c r="Q8285" s="21">
        <v>113</v>
      </c>
      <c r="R8285" s="21">
        <v>0</v>
      </c>
      <c r="S8285" s="5">
        <f t="shared" si="519"/>
        <v>66916.477158325026</v>
      </c>
      <c r="T8285" cm="1">
        <f t="array" ref="T8285">IF(OR(B8285="MAL ALIMI", B8285="ÜRETİM GİRİŞ"), MIN(I8285, MAX(0, I8285 + SUM(SUMIFS($I$1:I8284, $C$1:C8284, C8285, $B$1:B8284, {"MAL ALIMI","ÜRETİM GİRİŞ"})) - VLOOKUP(C8285, 'STOK RAPORU'!$C$2:$I$1000, 4, 0))), 0)</f>
        <v>0</v>
      </c>
      <c r="U8285" s="22">
        <f t="shared" si="516"/>
        <v>0</v>
      </c>
      <c r="V8285">
        <f t="shared" si="517"/>
        <v>0</v>
      </c>
      <c r="W8285" s="22">
        <f t="shared" si="518"/>
        <v>0</v>
      </c>
    </row>
    <row r="8286" spans="1:23" hidden="1" x14ac:dyDescent="0.25">
      <c r="A8286" s="45">
        <v>46221</v>
      </c>
      <c r="B8286" s="46" t="s">
        <v>334</v>
      </c>
      <c r="C8286" s="4" t="s">
        <v>463</v>
      </c>
      <c r="D8286" s="4"/>
      <c r="E8286" s="4"/>
      <c r="F8286" s="46" t="s">
        <v>3930</v>
      </c>
      <c r="G8286" s="4" t="s">
        <v>336</v>
      </c>
      <c r="H8286" s="4" t="s">
        <v>289</v>
      </c>
      <c r="I8286" s="4">
        <v>2</v>
      </c>
      <c r="J8286" s="21">
        <v>265</v>
      </c>
      <c r="K8286" s="21">
        <v>0</v>
      </c>
      <c r="L8286" s="5">
        <v>0</v>
      </c>
      <c r="M8286" s="4"/>
      <c r="N8286" s="4"/>
      <c r="O8286" s="5"/>
      <c r="P8286" s="5"/>
      <c r="Q8286" s="21">
        <v>530</v>
      </c>
      <c r="R8286" s="21">
        <v>0</v>
      </c>
      <c r="S8286" s="5">
        <f t="shared" si="519"/>
        <v>67446.477158325026</v>
      </c>
      <c r="T8286" cm="1">
        <f t="array" ref="T8286">IF(OR(B8286="MAL ALIMI", B8286="ÜRETİM GİRİŞ"), MIN(I8286, MAX(0, I8286 + SUM(SUMIFS($I$1:I8285, $C$1:C8285, C8286, $B$1:B8285, {"MAL ALIMI","ÜRETİM GİRİŞ"})) - VLOOKUP(C8286, 'STOK RAPORU'!$C$2:$I$1000, 4, 0))), 0)</f>
        <v>0</v>
      </c>
      <c r="U8286" s="22">
        <f t="shared" si="516"/>
        <v>0</v>
      </c>
      <c r="V8286">
        <f t="shared" si="517"/>
        <v>0</v>
      </c>
      <c r="W8286" s="22">
        <f t="shared" si="518"/>
        <v>0</v>
      </c>
    </row>
    <row r="8287" spans="1:23" hidden="1" x14ac:dyDescent="0.25">
      <c r="A8287" s="45">
        <v>46221</v>
      </c>
      <c r="B8287" s="46" t="s">
        <v>334</v>
      </c>
      <c r="C8287" s="4" t="s">
        <v>3167</v>
      </c>
      <c r="D8287" s="4"/>
      <c r="E8287" s="4"/>
      <c r="F8287" s="46" t="s">
        <v>3930</v>
      </c>
      <c r="G8287" s="4" t="s">
        <v>336</v>
      </c>
      <c r="H8287" s="4" t="s">
        <v>289</v>
      </c>
      <c r="I8287" s="4">
        <v>1</v>
      </c>
      <c r="J8287" s="21">
        <v>265</v>
      </c>
      <c r="K8287" s="21">
        <v>0</v>
      </c>
      <c r="L8287" s="5">
        <v>0</v>
      </c>
      <c r="M8287" s="4"/>
      <c r="N8287" s="4"/>
      <c r="O8287" s="5"/>
      <c r="P8287" s="5"/>
      <c r="Q8287" s="21">
        <v>265</v>
      </c>
      <c r="R8287" s="21">
        <v>0</v>
      </c>
      <c r="S8287" s="5">
        <f t="shared" si="519"/>
        <v>67711.477158325026</v>
      </c>
      <c r="T8287" cm="1">
        <f t="array" ref="T8287">IF(OR(B8287="MAL ALIMI", B8287="ÜRETİM GİRİŞ"), MIN(I8287, MAX(0, I8287 + SUM(SUMIFS($I$1:I8286, $C$1:C8286, C8287, $B$1:B8286, {"MAL ALIMI","ÜRETİM GİRİŞ"})) - VLOOKUP(C8287, 'STOK RAPORU'!$C$2:$I$1000, 4, 0))), 0)</f>
        <v>0</v>
      </c>
      <c r="U8287" s="22">
        <f t="shared" si="516"/>
        <v>0</v>
      </c>
      <c r="V8287">
        <f t="shared" si="517"/>
        <v>0</v>
      </c>
      <c r="W8287" s="22">
        <f t="shared" si="518"/>
        <v>0</v>
      </c>
    </row>
    <row r="8288" spans="1:23" hidden="1" x14ac:dyDescent="0.25">
      <c r="A8288" s="45">
        <v>46221</v>
      </c>
      <c r="B8288" s="46" t="s">
        <v>334</v>
      </c>
      <c r="C8288" s="4" t="s">
        <v>126</v>
      </c>
      <c r="D8288" s="4"/>
      <c r="E8288" s="4"/>
      <c r="F8288" s="46" t="s">
        <v>3931</v>
      </c>
      <c r="G8288" s="4" t="s">
        <v>336</v>
      </c>
      <c r="H8288" s="4" t="s">
        <v>289</v>
      </c>
      <c r="I8288" s="4">
        <v>0.112</v>
      </c>
      <c r="J8288" s="21">
        <v>750</v>
      </c>
      <c r="K8288" s="21">
        <v>0</v>
      </c>
      <c r="L8288" s="5">
        <v>0</v>
      </c>
      <c r="M8288" s="4"/>
      <c r="N8288" s="4"/>
      <c r="O8288" s="5"/>
      <c r="P8288" s="5"/>
      <c r="Q8288" s="21">
        <v>84</v>
      </c>
      <c r="R8288" s="21">
        <v>0</v>
      </c>
      <c r="S8288" s="5">
        <f t="shared" si="519"/>
        <v>67795.477158325026</v>
      </c>
      <c r="T8288" cm="1">
        <f t="array" ref="T8288">IF(OR(B8288="MAL ALIMI", B8288="ÜRETİM GİRİŞ"), MIN(I8288, MAX(0, I8288 + SUM(SUMIFS($I$1:I8287, $C$1:C8287, C8288, $B$1:B8287, {"MAL ALIMI","ÜRETİM GİRİŞ"})) - VLOOKUP(C8288, 'STOK RAPORU'!$C$2:$I$1000, 4, 0))), 0)</f>
        <v>0</v>
      </c>
      <c r="U8288" s="22">
        <f t="shared" si="516"/>
        <v>0</v>
      </c>
      <c r="V8288">
        <f t="shared" si="517"/>
        <v>0</v>
      </c>
      <c r="W8288" s="22">
        <f t="shared" si="518"/>
        <v>0</v>
      </c>
    </row>
    <row r="8289" spans="1:23" hidden="1" x14ac:dyDescent="0.25">
      <c r="A8289" s="45">
        <v>46221</v>
      </c>
      <c r="B8289" s="46" t="s">
        <v>334</v>
      </c>
      <c r="C8289" s="4" t="s">
        <v>1391</v>
      </c>
      <c r="D8289" s="4"/>
      <c r="E8289" s="4"/>
      <c r="F8289" s="46" t="s">
        <v>3931</v>
      </c>
      <c r="G8289" s="4" t="s">
        <v>336</v>
      </c>
      <c r="H8289" s="4" t="s">
        <v>289</v>
      </c>
      <c r="I8289" s="4">
        <v>1</v>
      </c>
      <c r="J8289" s="21">
        <v>190</v>
      </c>
      <c r="K8289" s="21">
        <v>0</v>
      </c>
      <c r="L8289" s="5">
        <v>0</v>
      </c>
      <c r="M8289" s="4"/>
      <c r="N8289" s="4"/>
      <c r="O8289" s="5"/>
      <c r="P8289" s="5"/>
      <c r="Q8289" s="21">
        <v>190</v>
      </c>
      <c r="R8289" s="21">
        <v>0</v>
      </c>
      <c r="S8289" s="5">
        <f t="shared" si="519"/>
        <v>67985.477158325026</v>
      </c>
      <c r="T8289" cm="1">
        <f t="array" ref="T8289">IF(OR(B8289="MAL ALIMI", B8289="ÜRETİM GİRİŞ"), MIN(I8289, MAX(0, I8289 + SUM(SUMIFS($I$1:I8288, $C$1:C8288, C8289, $B$1:B8288, {"MAL ALIMI","ÜRETİM GİRİŞ"})) - VLOOKUP(C8289, 'STOK RAPORU'!$C$2:$I$1000, 4, 0))), 0)</f>
        <v>0</v>
      </c>
      <c r="U8289" s="22">
        <f t="shared" si="516"/>
        <v>0</v>
      </c>
      <c r="V8289">
        <f t="shared" si="517"/>
        <v>0</v>
      </c>
      <c r="W8289" s="22">
        <f t="shared" si="518"/>
        <v>0</v>
      </c>
    </row>
    <row r="8290" spans="1:23" hidden="1" x14ac:dyDescent="0.25">
      <c r="A8290" s="45">
        <v>46221</v>
      </c>
      <c r="B8290" s="46" t="s">
        <v>334</v>
      </c>
      <c r="C8290" s="4" t="s">
        <v>265</v>
      </c>
      <c r="D8290" s="4"/>
      <c r="E8290" s="4" t="s">
        <v>921</v>
      </c>
      <c r="F8290" s="46" t="s">
        <v>3932</v>
      </c>
      <c r="G8290" s="4" t="s">
        <v>336</v>
      </c>
      <c r="H8290" s="4" t="s">
        <v>380</v>
      </c>
      <c r="I8290" s="4">
        <v>1</v>
      </c>
      <c r="J8290" s="21">
        <v>90</v>
      </c>
      <c r="K8290" s="21">
        <v>90</v>
      </c>
      <c r="L8290" s="5">
        <v>0</v>
      </c>
      <c r="M8290" s="4"/>
      <c r="N8290" s="4"/>
      <c r="O8290" s="5"/>
      <c r="P8290" s="5"/>
      <c r="Q8290" s="21">
        <v>0</v>
      </c>
      <c r="R8290" s="21">
        <v>0</v>
      </c>
      <c r="S8290" s="5">
        <f t="shared" si="519"/>
        <v>67985.477158325026</v>
      </c>
      <c r="T8290" cm="1">
        <f t="array" ref="T8290">IF(OR(B8290="MAL ALIMI", B8290="ÜRETİM GİRİŞ"), MIN(I8290, MAX(0, I8290 + SUM(SUMIFS($I$1:I8289, $C$1:C8289, C8290, $B$1:B8289, {"MAL ALIMI","ÜRETİM GİRİŞ"})) - VLOOKUP(C8290, 'STOK RAPORU'!$C$2:$I$1000, 4, 0))), 0)</f>
        <v>0</v>
      </c>
      <c r="U8290" s="22">
        <f t="shared" si="516"/>
        <v>0</v>
      </c>
      <c r="V8290">
        <f t="shared" si="517"/>
        <v>0</v>
      </c>
      <c r="W8290" s="22">
        <f t="shared" si="518"/>
        <v>0</v>
      </c>
    </row>
    <row r="8291" spans="1:23" hidden="1" x14ac:dyDescent="0.25">
      <c r="A8291" s="45">
        <v>46221</v>
      </c>
      <c r="B8291" s="46" t="s">
        <v>334</v>
      </c>
      <c r="C8291" s="4" t="s">
        <v>91</v>
      </c>
      <c r="D8291" s="4"/>
      <c r="E8291" s="4"/>
      <c r="F8291" s="46" t="s">
        <v>3934</v>
      </c>
      <c r="G8291" s="4" t="s">
        <v>3935</v>
      </c>
      <c r="H8291" s="4" t="s">
        <v>289</v>
      </c>
      <c r="I8291" s="4">
        <f>250/750</f>
        <v>0.33333333333333331</v>
      </c>
      <c r="J8291" s="21">
        <v>750</v>
      </c>
      <c r="K8291" s="21">
        <f>IF(AND(B8291="MAL SATIŞI", H8291="POS"),I8291*J8291,0)</f>
        <v>0</v>
      </c>
      <c r="L8291" s="5">
        <f>IF(OR(E8291="", H8291="POS"),0,I8291*J8291)</f>
        <v>0</v>
      </c>
      <c r="M8291" s="4"/>
      <c r="N8291" s="4"/>
      <c r="O8291" s="5"/>
      <c r="P8291" s="5"/>
      <c r="Q8291" s="21">
        <f>IF(AND(E8291="", B8291="MAL SATIŞI", H8291="NAKİT"),I8291*J8291,0)</f>
        <v>250</v>
      </c>
      <c r="R8291" s="21">
        <f>IF(AND(E8291="", B8291&lt;&gt;"MAL SATIŞI"),I8291*J8291,0)</f>
        <v>0</v>
      </c>
      <c r="S8291" s="5">
        <f t="shared" si="519"/>
        <v>68235.477158325026</v>
      </c>
      <c r="T8291" cm="1">
        <f t="array" ref="T8291">IF(OR(B8291="MAL ALIMI", B8291="ÜRETİM GİRİŞ"), MIN(I8291, MAX(0, I8291 + SUM(SUMIFS($I$1:I8290, $C$1:C8290, C8291, $B$1:B8290, {"MAL ALIMI","ÜRETİM GİRİŞ"})) - VLOOKUP(C8291, 'STOK RAPORU'!$C$2:$I$1000, 4, 0))), 0)</f>
        <v>0</v>
      </c>
      <c r="U8291" s="22">
        <f t="shared" si="516"/>
        <v>0</v>
      </c>
      <c r="V8291">
        <f t="shared" si="517"/>
        <v>0</v>
      </c>
      <c r="W8291" s="22">
        <f t="shared" si="518"/>
        <v>0</v>
      </c>
    </row>
    <row r="8292" spans="1:23" hidden="1" x14ac:dyDescent="0.25">
      <c r="A8292" s="3">
        <v>46222</v>
      </c>
      <c r="B8292" s="46" t="s">
        <v>334</v>
      </c>
      <c r="C8292" s="4" t="s">
        <v>200</v>
      </c>
      <c r="D8292" s="4"/>
      <c r="E8292" s="4"/>
      <c r="F8292" s="46" t="s">
        <v>3936</v>
      </c>
      <c r="G8292" s="4" t="s">
        <v>1945</v>
      </c>
      <c r="H8292" s="4" t="s">
        <v>289</v>
      </c>
      <c r="I8292" s="4">
        <v>1.5</v>
      </c>
      <c r="J8292" s="21">
        <f>IFERROR(VLOOKUP(C8292,'STOK KARTLARI'!$C$2:$K$2150,8,0),0)</f>
        <v>90</v>
      </c>
      <c r="K8292" s="21">
        <f t="shared" ref="K8292:K8306" si="520">IF(AND(B8292="MAL SATIŞI", H8292="POS"),I8292*J8292,0)</f>
        <v>0</v>
      </c>
      <c r="L8292" s="5">
        <f t="shared" ref="L8292:L8307" si="521">IF(OR(E8292="", H8292="POS"),0,I8292*J8292)</f>
        <v>0</v>
      </c>
      <c r="M8292" s="4"/>
      <c r="N8292" s="4"/>
      <c r="O8292" s="5"/>
      <c r="P8292" s="5"/>
      <c r="Q8292" s="21">
        <f t="shared" ref="Q8292:Q8307" si="522">IF(AND(E8292="", B8292="MAL SATIŞI", H8292="NAKİT"),I8292*J8292,0)</f>
        <v>135</v>
      </c>
      <c r="R8292" s="21">
        <f t="shared" ref="R8292:R8306" si="523">IF(AND(E8292="", B8292&lt;&gt;"MAL SATIŞI"),I8292*J8292,0)</f>
        <v>0</v>
      </c>
      <c r="S8292" s="5">
        <f t="shared" si="519"/>
        <v>68370.477158325026</v>
      </c>
      <c r="T8292" cm="1">
        <f t="array" ref="T8292">IF(OR(B8292="MAL ALIMI", B8292="ÜRETİM GİRİŞ"), MIN(I8292, MAX(0, I8292 + SUM(SUMIFS($I$1:I8291, $C$1:C8291, C8292, $B$1:B8291, {"MAL ALIMI","ÜRETİM GİRİŞ"})) - VLOOKUP(C8292, 'STOK RAPORU'!$C$2:$I$1000, 4, 0))), 0)</f>
        <v>0</v>
      </c>
      <c r="U8292" s="22">
        <f t="shared" si="516"/>
        <v>0</v>
      </c>
      <c r="V8292">
        <f t="shared" si="517"/>
        <v>0</v>
      </c>
      <c r="W8292" s="22">
        <f t="shared" si="518"/>
        <v>0</v>
      </c>
    </row>
    <row r="8293" spans="1:23" hidden="1" x14ac:dyDescent="0.25">
      <c r="A8293" s="3">
        <v>46222</v>
      </c>
      <c r="B8293" s="46" t="s">
        <v>334</v>
      </c>
      <c r="C8293" s="4" t="s">
        <v>588</v>
      </c>
      <c r="D8293" s="4"/>
      <c r="E8293" s="4"/>
      <c r="F8293" s="46" t="s">
        <v>3936</v>
      </c>
      <c r="G8293" s="4" t="s">
        <v>1945</v>
      </c>
      <c r="H8293" s="4" t="s">
        <v>289</v>
      </c>
      <c r="I8293" s="4">
        <v>2</v>
      </c>
      <c r="J8293" s="21">
        <v>200</v>
      </c>
      <c r="K8293" s="21">
        <f t="shared" si="520"/>
        <v>0</v>
      </c>
      <c r="L8293" s="5">
        <f t="shared" si="521"/>
        <v>0</v>
      </c>
      <c r="M8293" s="4"/>
      <c r="N8293" s="4"/>
      <c r="O8293" s="5"/>
      <c r="P8293" s="5"/>
      <c r="Q8293" s="21">
        <f t="shared" si="522"/>
        <v>400</v>
      </c>
      <c r="R8293" s="21">
        <f t="shared" si="523"/>
        <v>0</v>
      </c>
      <c r="S8293" s="5">
        <f t="shared" si="519"/>
        <v>68770.477158325026</v>
      </c>
      <c r="T8293" cm="1">
        <f t="array" ref="T8293">IF(OR(B8293="MAL ALIMI", B8293="ÜRETİM GİRİŞ"), MIN(I8293, MAX(0, I8293 + SUM(SUMIFS($I$1:I8292, $C$1:C8292, C8293, $B$1:B8292, {"MAL ALIMI","ÜRETİM GİRİŞ"})) - VLOOKUP(C8293, 'STOK RAPORU'!$C$2:$I$1000, 4, 0))), 0)</f>
        <v>0</v>
      </c>
      <c r="U8293" s="22">
        <f t="shared" si="516"/>
        <v>0</v>
      </c>
      <c r="V8293">
        <f t="shared" si="517"/>
        <v>0</v>
      </c>
      <c r="W8293" s="22">
        <f t="shared" si="518"/>
        <v>0</v>
      </c>
    </row>
    <row r="8294" spans="1:23" hidden="1" x14ac:dyDescent="0.25">
      <c r="A8294" s="3">
        <v>46222</v>
      </c>
      <c r="B8294" s="46" t="s">
        <v>334</v>
      </c>
      <c r="C8294" s="4" t="s">
        <v>649</v>
      </c>
      <c r="D8294" s="4"/>
      <c r="E8294" s="4"/>
      <c r="F8294" s="46" t="s">
        <v>3936</v>
      </c>
      <c r="G8294" s="4" t="s">
        <v>1945</v>
      </c>
      <c r="H8294" s="4" t="s">
        <v>289</v>
      </c>
      <c r="I8294" s="4">
        <v>2</v>
      </c>
      <c r="J8294" s="21">
        <v>200</v>
      </c>
      <c r="K8294" s="21">
        <f t="shared" si="520"/>
        <v>0</v>
      </c>
      <c r="L8294" s="5">
        <f t="shared" si="521"/>
        <v>0</v>
      </c>
      <c r="M8294" s="4"/>
      <c r="N8294" s="4"/>
      <c r="O8294" s="5"/>
      <c r="P8294" s="5"/>
      <c r="Q8294" s="21">
        <f t="shared" si="522"/>
        <v>400</v>
      </c>
      <c r="R8294" s="21">
        <f t="shared" si="523"/>
        <v>0</v>
      </c>
      <c r="S8294" s="5">
        <f t="shared" si="519"/>
        <v>69170.477158325026</v>
      </c>
      <c r="T8294" cm="1">
        <f t="array" ref="T8294">IF(OR(B8294="MAL ALIMI", B8294="ÜRETİM GİRİŞ"), MIN(I8294, MAX(0, I8294 + SUM(SUMIFS($I$1:I8293, $C$1:C8293, C8294, $B$1:B8293, {"MAL ALIMI","ÜRETİM GİRİŞ"})) - VLOOKUP(C8294, 'STOK RAPORU'!$C$2:$I$1000, 4, 0))), 0)</f>
        <v>0</v>
      </c>
      <c r="U8294" s="22">
        <f t="shared" si="516"/>
        <v>0</v>
      </c>
      <c r="V8294">
        <f t="shared" si="517"/>
        <v>0</v>
      </c>
      <c r="W8294" s="22">
        <f t="shared" si="518"/>
        <v>0</v>
      </c>
    </row>
    <row r="8295" spans="1:23" hidden="1" x14ac:dyDescent="0.25">
      <c r="A8295" s="3">
        <v>46222</v>
      </c>
      <c r="B8295" s="46" t="s">
        <v>334</v>
      </c>
      <c r="C8295" s="4" t="s">
        <v>2284</v>
      </c>
      <c r="D8295" s="4"/>
      <c r="E8295" s="4"/>
      <c r="F8295" s="46" t="s">
        <v>3936</v>
      </c>
      <c r="G8295" s="4" t="s">
        <v>1945</v>
      </c>
      <c r="H8295" s="4" t="s">
        <v>289</v>
      </c>
      <c r="I8295" s="4">
        <v>1</v>
      </c>
      <c r="J8295" s="21">
        <f>IFERROR(VLOOKUP(C8295,'STOK KARTLARI'!$C$2:$K$2150,8,0),0)</f>
        <v>65</v>
      </c>
      <c r="K8295" s="21">
        <f t="shared" si="520"/>
        <v>0</v>
      </c>
      <c r="L8295" s="5">
        <f t="shared" si="521"/>
        <v>0</v>
      </c>
      <c r="M8295" s="4"/>
      <c r="N8295" s="4"/>
      <c r="O8295" s="5"/>
      <c r="P8295" s="5"/>
      <c r="Q8295" s="21">
        <f t="shared" si="522"/>
        <v>65</v>
      </c>
      <c r="R8295" s="21">
        <f t="shared" si="523"/>
        <v>0</v>
      </c>
      <c r="S8295" s="5">
        <f t="shared" si="519"/>
        <v>69235.477158325026</v>
      </c>
      <c r="T8295" cm="1">
        <f t="array" ref="T8295">IF(OR(B8295="MAL ALIMI", B8295="ÜRETİM GİRİŞ"), MIN(I8295, MAX(0, I8295 + SUM(SUMIFS($I$1:I8294, $C$1:C8294, C8295, $B$1:B8294, {"MAL ALIMI","ÜRETİM GİRİŞ"})) - VLOOKUP(C8295, 'STOK RAPORU'!$C$2:$I$1000, 4, 0))), 0)</f>
        <v>0</v>
      </c>
      <c r="U8295" s="22">
        <f t="shared" si="516"/>
        <v>0</v>
      </c>
      <c r="V8295">
        <f t="shared" si="517"/>
        <v>0</v>
      </c>
      <c r="W8295" s="22">
        <f t="shared" si="518"/>
        <v>0</v>
      </c>
    </row>
    <row r="8296" spans="1:23" hidden="1" x14ac:dyDescent="0.25">
      <c r="A8296" s="3">
        <v>46222</v>
      </c>
      <c r="B8296" s="46" t="s">
        <v>334</v>
      </c>
      <c r="C8296" s="4" t="s">
        <v>247</v>
      </c>
      <c r="D8296" s="4"/>
      <c r="E8296" s="4"/>
      <c r="F8296" s="46" t="s">
        <v>3936</v>
      </c>
      <c r="G8296" s="4" t="s">
        <v>3937</v>
      </c>
      <c r="H8296" s="4" t="s">
        <v>289</v>
      </c>
      <c r="I8296" s="4">
        <v>0.248</v>
      </c>
      <c r="J8296" s="21">
        <v>950</v>
      </c>
      <c r="K8296" s="21">
        <f t="shared" si="520"/>
        <v>0</v>
      </c>
      <c r="L8296" s="5">
        <f t="shared" si="521"/>
        <v>0</v>
      </c>
      <c r="M8296" s="4"/>
      <c r="N8296" s="4"/>
      <c r="O8296" s="5"/>
      <c r="P8296" s="5"/>
      <c r="Q8296" s="21">
        <f t="shared" si="522"/>
        <v>235.6</v>
      </c>
      <c r="R8296" s="21">
        <f t="shared" si="523"/>
        <v>0</v>
      </c>
      <c r="S8296" s="5">
        <f t="shared" si="519"/>
        <v>69471.077158325032</v>
      </c>
      <c r="T8296" cm="1">
        <f t="array" ref="T8296">IF(OR(B8296="MAL ALIMI", B8296="ÜRETİM GİRİŞ"), MIN(I8296, MAX(0, I8296 + SUM(SUMIFS($I$1:I8295, $C$1:C8295, C8296, $B$1:B8295, {"MAL ALIMI","ÜRETİM GİRİŞ"})) - VLOOKUP(C8296, 'STOK RAPORU'!$C$2:$I$1000, 4, 0))), 0)</f>
        <v>0</v>
      </c>
      <c r="U8296" s="22">
        <f t="shared" si="516"/>
        <v>0</v>
      </c>
      <c r="V8296">
        <f t="shared" si="517"/>
        <v>0</v>
      </c>
      <c r="W8296" s="22">
        <f t="shared" si="518"/>
        <v>0</v>
      </c>
    </row>
    <row r="8297" spans="1:23" hidden="1" x14ac:dyDescent="0.25">
      <c r="A8297" s="3">
        <v>46222</v>
      </c>
      <c r="B8297" s="46" t="s">
        <v>334</v>
      </c>
      <c r="C8297" s="4" t="s">
        <v>648</v>
      </c>
      <c r="D8297" s="4"/>
      <c r="E8297" s="4"/>
      <c r="F8297" s="46" t="s">
        <v>3936</v>
      </c>
      <c r="G8297" s="4" t="s">
        <v>3937</v>
      </c>
      <c r="H8297" s="4" t="s">
        <v>289</v>
      </c>
      <c r="I8297" s="4">
        <v>0.42399999999999999</v>
      </c>
      <c r="J8297" s="21">
        <v>500</v>
      </c>
      <c r="K8297" s="21">
        <f t="shared" si="520"/>
        <v>0</v>
      </c>
      <c r="L8297" s="5">
        <f t="shared" si="521"/>
        <v>0</v>
      </c>
      <c r="M8297" s="4"/>
      <c r="N8297" s="4"/>
      <c r="O8297" s="5"/>
      <c r="P8297" s="5"/>
      <c r="Q8297" s="21">
        <f t="shared" si="522"/>
        <v>212</v>
      </c>
      <c r="R8297" s="21">
        <f t="shared" si="523"/>
        <v>0</v>
      </c>
      <c r="S8297" s="5">
        <f t="shared" si="519"/>
        <v>69683.077158325032</v>
      </c>
      <c r="T8297" cm="1">
        <f t="array" ref="T8297">IF(OR(B8297="MAL ALIMI", B8297="ÜRETİM GİRİŞ"), MIN(I8297, MAX(0, I8297 + SUM(SUMIFS($I$1:I8296, $C$1:C8296, C8297, $B$1:B8296, {"MAL ALIMI","ÜRETİM GİRİŞ"})) - VLOOKUP(C8297, 'STOK RAPORU'!$C$2:$I$1000, 4, 0))), 0)</f>
        <v>0</v>
      </c>
      <c r="U8297" s="22">
        <f t="shared" si="516"/>
        <v>0</v>
      </c>
      <c r="V8297">
        <f t="shared" si="517"/>
        <v>0</v>
      </c>
      <c r="W8297" s="22">
        <f t="shared" si="518"/>
        <v>0</v>
      </c>
    </row>
    <row r="8298" spans="1:23" hidden="1" x14ac:dyDescent="0.25">
      <c r="A8298" s="3">
        <v>46222</v>
      </c>
      <c r="B8298" s="46" t="s">
        <v>334</v>
      </c>
      <c r="C8298" s="4" t="s">
        <v>253</v>
      </c>
      <c r="D8298" s="4"/>
      <c r="E8298" s="4"/>
      <c r="F8298" s="46" t="s">
        <v>3936</v>
      </c>
      <c r="G8298" s="4" t="s">
        <v>3937</v>
      </c>
      <c r="H8298" s="4" t="s">
        <v>289</v>
      </c>
      <c r="I8298" s="4">
        <v>0.93</v>
      </c>
      <c r="J8298" s="21">
        <v>200</v>
      </c>
      <c r="K8298" s="21">
        <f t="shared" si="520"/>
        <v>0</v>
      </c>
      <c r="L8298" s="5">
        <f t="shared" si="521"/>
        <v>0</v>
      </c>
      <c r="M8298" s="4"/>
      <c r="N8298" s="4"/>
      <c r="O8298" s="5"/>
      <c r="P8298" s="5"/>
      <c r="Q8298" s="21">
        <f t="shared" si="522"/>
        <v>186</v>
      </c>
      <c r="R8298" s="21">
        <f t="shared" si="523"/>
        <v>0</v>
      </c>
      <c r="S8298" s="5">
        <f t="shared" si="519"/>
        <v>69869.077158325032</v>
      </c>
      <c r="T8298" cm="1">
        <f t="array" ref="T8298">IF(OR(B8298="MAL ALIMI", B8298="ÜRETİM GİRİŞ"), MIN(I8298, MAX(0, I8298 + SUM(SUMIFS($I$1:I8297, $C$1:C8297, C8298, $B$1:B8297, {"MAL ALIMI","ÜRETİM GİRİŞ"})) - VLOOKUP(C8298, 'STOK RAPORU'!$C$2:$I$1000, 4, 0))), 0)</f>
        <v>0</v>
      </c>
      <c r="U8298" s="22">
        <f t="shared" si="516"/>
        <v>0</v>
      </c>
      <c r="V8298">
        <f t="shared" si="517"/>
        <v>0</v>
      </c>
      <c r="W8298" s="22">
        <f t="shared" si="518"/>
        <v>0</v>
      </c>
    </row>
    <row r="8299" spans="1:23" hidden="1" x14ac:dyDescent="0.25">
      <c r="A8299" s="3">
        <v>46222</v>
      </c>
      <c r="B8299" s="46" t="s">
        <v>334</v>
      </c>
      <c r="C8299" s="4" t="s">
        <v>241</v>
      </c>
      <c r="D8299" s="4"/>
      <c r="E8299" s="4"/>
      <c r="F8299" s="46" t="s">
        <v>3936</v>
      </c>
      <c r="G8299" s="4" t="s">
        <v>3937</v>
      </c>
      <c r="H8299" s="4" t="s">
        <v>289</v>
      </c>
      <c r="I8299" s="4">
        <v>0.24</v>
      </c>
      <c r="J8299" s="21">
        <v>300</v>
      </c>
      <c r="K8299" s="21">
        <f t="shared" si="520"/>
        <v>0</v>
      </c>
      <c r="L8299" s="5">
        <f t="shared" si="521"/>
        <v>0</v>
      </c>
      <c r="M8299" s="4"/>
      <c r="N8299" s="4"/>
      <c r="O8299" s="5"/>
      <c r="P8299" s="5"/>
      <c r="Q8299" s="21">
        <f t="shared" si="522"/>
        <v>72</v>
      </c>
      <c r="R8299" s="21">
        <f t="shared" si="523"/>
        <v>0</v>
      </c>
      <c r="S8299" s="5">
        <f t="shared" si="519"/>
        <v>69941.077158325032</v>
      </c>
      <c r="T8299" cm="1">
        <f t="array" ref="T8299">IF(OR(B8299="MAL ALIMI", B8299="ÜRETİM GİRİŞ"), MIN(I8299, MAX(0, I8299 + SUM(SUMIFS($I$1:I8298, $C$1:C8298, C8299, $B$1:B8298, {"MAL ALIMI","ÜRETİM GİRİŞ"})) - VLOOKUP(C8299, 'STOK RAPORU'!$C$2:$I$1000, 4, 0))), 0)</f>
        <v>0</v>
      </c>
      <c r="U8299" s="22">
        <f t="shared" si="516"/>
        <v>0</v>
      </c>
      <c r="V8299">
        <f t="shared" si="517"/>
        <v>0</v>
      </c>
      <c r="W8299" s="22">
        <f t="shared" si="518"/>
        <v>0</v>
      </c>
    </row>
    <row r="8300" spans="1:23" hidden="1" x14ac:dyDescent="0.25">
      <c r="A8300" s="3">
        <v>46222</v>
      </c>
      <c r="B8300" s="46" t="s">
        <v>334</v>
      </c>
      <c r="C8300" s="4" t="s">
        <v>3381</v>
      </c>
      <c r="D8300" s="4"/>
      <c r="E8300" s="4"/>
      <c r="F8300" s="46" t="s">
        <v>3936</v>
      </c>
      <c r="G8300" s="4" t="s">
        <v>3937</v>
      </c>
      <c r="H8300" s="4" t="s">
        <v>289</v>
      </c>
      <c r="I8300" s="4">
        <v>0.44</v>
      </c>
      <c r="J8300" s="21">
        <v>150</v>
      </c>
      <c r="K8300" s="21">
        <f t="shared" si="520"/>
        <v>0</v>
      </c>
      <c r="L8300" s="5">
        <f t="shared" si="521"/>
        <v>0</v>
      </c>
      <c r="M8300" s="4"/>
      <c r="N8300" s="4"/>
      <c r="O8300" s="5"/>
      <c r="P8300" s="5"/>
      <c r="Q8300" s="21">
        <f t="shared" si="522"/>
        <v>66</v>
      </c>
      <c r="R8300" s="21">
        <f t="shared" si="523"/>
        <v>0</v>
      </c>
      <c r="S8300" s="5">
        <f t="shared" si="519"/>
        <v>70007.077158325032</v>
      </c>
      <c r="T8300" cm="1">
        <f t="array" ref="T8300">IF(OR(B8300="MAL ALIMI", B8300="ÜRETİM GİRİŞ"), MIN(I8300, MAX(0, I8300 + SUM(SUMIFS($I$1:I8299, $C$1:C8299, C8300, $B$1:B8299, {"MAL ALIMI","ÜRETİM GİRİŞ"})) - VLOOKUP(C8300, 'STOK RAPORU'!$C$2:$I$1000, 4, 0))), 0)</f>
        <v>0</v>
      </c>
      <c r="U8300" s="22">
        <f t="shared" si="516"/>
        <v>0</v>
      </c>
      <c r="V8300">
        <f t="shared" si="517"/>
        <v>0</v>
      </c>
      <c r="W8300" s="22">
        <f t="shared" si="518"/>
        <v>0</v>
      </c>
    </row>
    <row r="8301" spans="1:23" hidden="1" x14ac:dyDescent="0.25">
      <c r="A8301" s="3">
        <v>46219</v>
      </c>
      <c r="B8301" s="46" t="s">
        <v>298</v>
      </c>
      <c r="C8301" s="4" t="s">
        <v>197</v>
      </c>
      <c r="D8301" s="4"/>
      <c r="E8301" s="4" t="s">
        <v>2381</v>
      </c>
      <c r="F8301" s="4" t="s">
        <v>3938</v>
      </c>
      <c r="G8301" s="4" t="s">
        <v>3593</v>
      </c>
      <c r="H8301" s="4" t="s">
        <v>304</v>
      </c>
      <c r="I8301" s="4">
        <v>5</v>
      </c>
      <c r="J8301" s="21">
        <v>115.14</v>
      </c>
      <c r="K8301" s="21">
        <f t="shared" si="520"/>
        <v>0</v>
      </c>
      <c r="L8301" s="5">
        <f t="shared" si="521"/>
        <v>575.70000000000005</v>
      </c>
      <c r="M8301" s="4"/>
      <c r="N8301" s="4"/>
      <c r="O8301" s="5"/>
      <c r="P8301" s="5"/>
      <c r="Q8301" s="21">
        <f t="shared" si="522"/>
        <v>0</v>
      </c>
      <c r="R8301" s="21">
        <f t="shared" si="523"/>
        <v>0</v>
      </c>
      <c r="S8301" s="5">
        <f t="shared" si="519"/>
        <v>70007.077158325032</v>
      </c>
      <c r="T8301" cm="1">
        <f t="array" ref="T8301">IF(OR(B8301="MAL ALIMI", B8301="ÜRETİM GİRİŞ"), MIN(I8301, MAX(0, I8301 + SUM(SUMIFS($I$1:I8300, $C$1:C8300, C8301, $B$1:B8300, {"MAL ALIMI","ÜRETİM GİRİŞ"})) - VLOOKUP(C8301, 'STOK RAPORU'!$C$2:$I$1000, 4, 0))), 0)</f>
        <v>5</v>
      </c>
      <c r="U8301" s="22">
        <f t="shared" si="516"/>
        <v>575.70000000000005</v>
      </c>
      <c r="V8301">
        <f t="shared" si="517"/>
        <v>575.70000000000005</v>
      </c>
      <c r="W8301" s="22">
        <f t="shared" si="518"/>
        <v>0</v>
      </c>
    </row>
    <row r="8302" spans="1:23" hidden="1" x14ac:dyDescent="0.25">
      <c r="A8302" s="3">
        <v>46219</v>
      </c>
      <c r="B8302" s="46" t="s">
        <v>298</v>
      </c>
      <c r="C8302" s="4" t="s">
        <v>194</v>
      </c>
      <c r="D8302" s="4"/>
      <c r="E8302" s="4" t="s">
        <v>2381</v>
      </c>
      <c r="F8302" s="4" t="s">
        <v>3938</v>
      </c>
      <c r="G8302" s="4" t="s">
        <v>3593</v>
      </c>
      <c r="H8302" s="4" t="s">
        <v>304</v>
      </c>
      <c r="I8302" s="4">
        <v>2</v>
      </c>
      <c r="J8302" s="21">
        <v>494.14249999999998</v>
      </c>
      <c r="K8302" s="21">
        <f t="shared" si="520"/>
        <v>0</v>
      </c>
      <c r="L8302" s="5">
        <f t="shared" si="521"/>
        <v>988.28499999999997</v>
      </c>
      <c r="M8302" s="4"/>
      <c r="N8302" s="4"/>
      <c r="O8302" s="5"/>
      <c r="P8302" s="5"/>
      <c r="Q8302" s="21">
        <f t="shared" si="522"/>
        <v>0</v>
      </c>
      <c r="R8302" s="21">
        <f t="shared" si="523"/>
        <v>0</v>
      </c>
      <c r="S8302" s="5">
        <f t="shared" si="519"/>
        <v>70007.077158325032</v>
      </c>
      <c r="T8302" cm="1">
        <f t="array" ref="T8302">IF(OR(B8302="MAL ALIMI", B8302="ÜRETİM GİRİŞ"), MIN(I8302, MAX(0, I8302 + SUM(SUMIFS($I$1:I8301, $C$1:C8301, C8302, $B$1:B8301, {"MAL ALIMI","ÜRETİM GİRİŞ"})) - VLOOKUP(C8302, 'STOK RAPORU'!$C$2:$I$1000, 4, 0))), 0)</f>
        <v>2</v>
      </c>
      <c r="U8302" s="22">
        <f t="shared" si="516"/>
        <v>988.28499999999997</v>
      </c>
      <c r="V8302">
        <f t="shared" si="517"/>
        <v>988.28499999999997</v>
      </c>
      <c r="W8302" s="22">
        <f t="shared" si="518"/>
        <v>0</v>
      </c>
    </row>
    <row r="8303" spans="1:23" hidden="1" x14ac:dyDescent="0.25">
      <c r="A8303" s="3">
        <v>46219</v>
      </c>
      <c r="B8303" s="46" t="s">
        <v>298</v>
      </c>
      <c r="C8303" s="4" t="s">
        <v>245</v>
      </c>
      <c r="D8303" s="4"/>
      <c r="E8303" s="4" t="s">
        <v>2381</v>
      </c>
      <c r="F8303" s="4" t="s">
        <v>3938</v>
      </c>
      <c r="G8303" s="4" t="s">
        <v>3593</v>
      </c>
      <c r="H8303" s="4" t="s">
        <v>304</v>
      </c>
      <c r="I8303" s="4">
        <v>5</v>
      </c>
      <c r="J8303" s="21">
        <v>566.10500000000002</v>
      </c>
      <c r="K8303" s="21">
        <f t="shared" si="520"/>
        <v>0</v>
      </c>
      <c r="L8303" s="5">
        <f t="shared" si="521"/>
        <v>2830.5250000000001</v>
      </c>
      <c r="M8303" s="4"/>
      <c r="N8303" s="4"/>
      <c r="O8303" s="5"/>
      <c r="P8303" s="5"/>
      <c r="Q8303" s="21">
        <f t="shared" si="522"/>
        <v>0</v>
      </c>
      <c r="R8303" s="21">
        <f t="shared" si="523"/>
        <v>0</v>
      </c>
      <c r="S8303" s="5">
        <f t="shared" si="519"/>
        <v>70007.077158325032</v>
      </c>
      <c r="T8303" cm="1">
        <f t="array" ref="T8303">IF(OR(B8303="MAL ALIMI", B8303="ÜRETİM GİRİŞ"), MIN(I8303, MAX(0, I8303 + SUM(SUMIFS($I$1:I8302, $C$1:C8302, C8303, $B$1:B8302, {"MAL ALIMI","ÜRETİM GİRİŞ"})) - VLOOKUP(C8303, 'STOK RAPORU'!$C$2:$I$1000, 4, 0))), 0)</f>
        <v>5</v>
      </c>
      <c r="U8303" s="22">
        <f t="shared" ref="U8303:U8366" si="524">T8303*J8303</f>
        <v>2830.5250000000001</v>
      </c>
      <c r="V8303">
        <f t="shared" ref="V8303:V8366" si="525">IF(OR(B8303="MAL ALIMI", B8303="ÜRETİM GİRİŞ"), I8303 * J8303, 0)</f>
        <v>2830.5250000000001</v>
      </c>
      <c r="W8303" s="22">
        <f t="shared" ref="W8303:W8366" si="526">V8303-U8303</f>
        <v>0</v>
      </c>
    </row>
    <row r="8304" spans="1:23" hidden="1" x14ac:dyDescent="0.25">
      <c r="A8304" s="3">
        <v>46219</v>
      </c>
      <c r="B8304" s="46" t="s">
        <v>298</v>
      </c>
      <c r="C8304" s="4" t="s">
        <v>244</v>
      </c>
      <c r="D8304" s="4"/>
      <c r="E8304" s="4" t="s">
        <v>2381</v>
      </c>
      <c r="F8304" s="4" t="s">
        <v>3938</v>
      </c>
      <c r="G8304" s="4" t="s">
        <v>3593</v>
      </c>
      <c r="H8304" s="4" t="s">
        <v>304</v>
      </c>
      <c r="I8304" s="4">
        <v>5</v>
      </c>
      <c r="J8304" s="21">
        <v>575.70000000000005</v>
      </c>
      <c r="K8304" s="21">
        <f t="shared" si="520"/>
        <v>0</v>
      </c>
      <c r="L8304" s="5">
        <f t="shared" si="521"/>
        <v>2878.5</v>
      </c>
      <c r="M8304" s="4"/>
      <c r="N8304" s="4"/>
      <c r="O8304" s="5"/>
      <c r="P8304" s="5"/>
      <c r="Q8304" s="21">
        <f t="shared" si="522"/>
        <v>0</v>
      </c>
      <c r="R8304" s="21">
        <f t="shared" si="523"/>
        <v>0</v>
      </c>
      <c r="S8304" s="5">
        <f t="shared" si="519"/>
        <v>70007.077158325032</v>
      </c>
      <c r="T8304" cm="1">
        <f t="array" ref="T8304">IF(OR(B8304="MAL ALIMI", B8304="ÜRETİM GİRİŞ"), MIN(I8304, MAX(0, I8304 + SUM(SUMIFS($I$1:I8303, $C$1:C8303, C8304, $B$1:B8303, {"MAL ALIMI","ÜRETİM GİRİŞ"})) - VLOOKUP(C8304, 'STOK RAPORU'!$C$2:$I$1000, 4, 0))), 0)</f>
        <v>5</v>
      </c>
      <c r="U8304" s="22">
        <f t="shared" si="524"/>
        <v>2878.5</v>
      </c>
      <c r="V8304">
        <f t="shared" si="525"/>
        <v>2878.5</v>
      </c>
      <c r="W8304" s="22">
        <f t="shared" si="526"/>
        <v>0</v>
      </c>
    </row>
    <row r="8305" spans="1:23" hidden="1" x14ac:dyDescent="0.25">
      <c r="A8305" s="3">
        <v>46219</v>
      </c>
      <c r="B8305" s="46" t="s">
        <v>298</v>
      </c>
      <c r="C8305" s="4" t="s">
        <v>648</v>
      </c>
      <c r="D8305" s="4"/>
      <c r="E8305" s="4" t="s">
        <v>2381</v>
      </c>
      <c r="F8305" s="4" t="s">
        <v>3938</v>
      </c>
      <c r="G8305" s="4" t="s">
        <v>3593</v>
      </c>
      <c r="H8305" s="4" t="s">
        <v>304</v>
      </c>
      <c r="I8305" s="4">
        <v>5</v>
      </c>
      <c r="J8305" s="21">
        <v>479.75</v>
      </c>
      <c r="K8305" s="21">
        <f t="shared" si="520"/>
        <v>0</v>
      </c>
      <c r="L8305" s="5">
        <f t="shared" si="521"/>
        <v>2398.75</v>
      </c>
      <c r="M8305" s="4"/>
      <c r="N8305" s="4"/>
      <c r="O8305" s="5"/>
      <c r="P8305" s="5"/>
      <c r="Q8305" s="21">
        <f t="shared" si="522"/>
        <v>0</v>
      </c>
      <c r="R8305" s="21">
        <f t="shared" si="523"/>
        <v>0</v>
      </c>
      <c r="S8305" s="5">
        <f t="shared" si="519"/>
        <v>70007.077158325032</v>
      </c>
      <c r="T8305" cm="1">
        <f t="array" ref="T8305">IF(OR(B8305="MAL ALIMI", B8305="ÜRETİM GİRİŞ"), MIN(I8305, MAX(0, I8305 + SUM(SUMIFS($I$1:I8304, $C$1:C8304, C8305, $B$1:B8304, {"MAL ALIMI","ÜRETİM GİRİŞ"})) - VLOOKUP(C8305, 'STOK RAPORU'!$C$2:$I$1000, 4, 0))), 0)</f>
        <v>5</v>
      </c>
      <c r="U8305" s="22">
        <f t="shared" si="524"/>
        <v>2398.75</v>
      </c>
      <c r="V8305">
        <f t="shared" si="525"/>
        <v>2398.75</v>
      </c>
      <c r="W8305" s="22">
        <f t="shared" si="526"/>
        <v>0</v>
      </c>
    </row>
    <row r="8306" spans="1:23" hidden="1" x14ac:dyDescent="0.25">
      <c r="A8306" s="3">
        <v>46219</v>
      </c>
      <c r="B8306" s="46" t="s">
        <v>298</v>
      </c>
      <c r="C8306" s="4" t="s">
        <v>253</v>
      </c>
      <c r="D8306" s="4"/>
      <c r="E8306" s="4" t="s">
        <v>2381</v>
      </c>
      <c r="F8306" s="4" t="s">
        <v>3938</v>
      </c>
      <c r="G8306" s="4" t="s">
        <v>3593</v>
      </c>
      <c r="H8306" s="4" t="s">
        <v>304</v>
      </c>
      <c r="I8306" s="4">
        <v>10</v>
      </c>
      <c r="J8306" s="21">
        <v>172.71</v>
      </c>
      <c r="K8306" s="21">
        <f t="shared" si="520"/>
        <v>0</v>
      </c>
      <c r="L8306" s="5">
        <f t="shared" si="521"/>
        <v>1727.1000000000001</v>
      </c>
      <c r="M8306" s="4"/>
      <c r="N8306" s="4"/>
      <c r="O8306" s="5"/>
      <c r="P8306" s="5"/>
      <c r="Q8306" s="21">
        <f t="shared" si="522"/>
        <v>0</v>
      </c>
      <c r="R8306" s="21">
        <f t="shared" si="523"/>
        <v>0</v>
      </c>
      <c r="S8306" s="5">
        <f t="shared" si="519"/>
        <v>70007.077158325032</v>
      </c>
      <c r="T8306" cm="1">
        <f t="array" ref="T8306">IF(OR(B8306="MAL ALIMI", B8306="ÜRETİM GİRİŞ"), MIN(I8306, MAX(0, I8306 + SUM(SUMIFS($I$1:I8305, $C$1:C8305, C8306, $B$1:B8305, {"MAL ALIMI","ÜRETİM GİRİŞ"})) - VLOOKUP(C8306, 'STOK RAPORU'!$C$2:$I$1000, 4, 0))), 0)</f>
        <v>10</v>
      </c>
      <c r="U8306" s="22">
        <f t="shared" si="524"/>
        <v>1727.1000000000001</v>
      </c>
      <c r="V8306">
        <f t="shared" si="525"/>
        <v>1727.1000000000001</v>
      </c>
      <c r="W8306" s="22">
        <f t="shared" si="526"/>
        <v>0</v>
      </c>
    </row>
    <row r="8307" spans="1:23" hidden="1" x14ac:dyDescent="0.25">
      <c r="A8307" s="3">
        <v>46219</v>
      </c>
      <c r="B8307" s="46" t="s">
        <v>298</v>
      </c>
      <c r="C8307" s="4" t="s">
        <v>601</v>
      </c>
      <c r="D8307" s="4"/>
      <c r="E8307" s="4" t="s">
        <v>2381</v>
      </c>
      <c r="F8307" s="4" t="s">
        <v>3938</v>
      </c>
      <c r="G8307" s="4" t="s">
        <v>3593</v>
      </c>
      <c r="H8307" s="4" t="s">
        <v>304</v>
      </c>
      <c r="I8307" s="4">
        <v>5</v>
      </c>
      <c r="J8307" s="21">
        <v>355.01499999999999</v>
      </c>
      <c r="K8307" s="21">
        <f t="shared" ref="K8307:K8370" si="527">IF(AND(B8307="MAL SATIŞI", H8307="POS"),I8307*J8307,0)</f>
        <v>0</v>
      </c>
      <c r="L8307" s="5">
        <f t="shared" si="521"/>
        <v>1775.0749999999998</v>
      </c>
      <c r="M8307" s="4"/>
      <c r="N8307" s="4"/>
      <c r="O8307" s="5"/>
      <c r="P8307" s="5"/>
      <c r="Q8307" s="21">
        <f t="shared" si="522"/>
        <v>0</v>
      </c>
      <c r="R8307" s="21">
        <f t="shared" ref="R8307:R8370" si="528">IF(AND(E8307="", B8307&lt;&gt;"MAL SATIŞI"),I8307*J8307,0)</f>
        <v>0</v>
      </c>
      <c r="S8307" s="5">
        <f t="shared" si="519"/>
        <v>70007.077158325032</v>
      </c>
      <c r="T8307" cm="1">
        <f t="array" ref="T8307">IF(OR(B8307="MAL ALIMI", B8307="ÜRETİM GİRİŞ"), MIN(I8307, MAX(0, I8307 + SUM(SUMIFS($I$1:I8306, $C$1:C8306, C8307, $B$1:B8306, {"MAL ALIMI","ÜRETİM GİRİŞ"})) - VLOOKUP(C8307, 'STOK RAPORU'!$C$2:$I$1000, 4, 0))), 0)</f>
        <v>5</v>
      </c>
      <c r="U8307" s="22">
        <f t="shared" si="524"/>
        <v>1775.0749999999998</v>
      </c>
      <c r="V8307">
        <f t="shared" si="525"/>
        <v>1775.0749999999998</v>
      </c>
      <c r="W8307" s="22">
        <f t="shared" si="526"/>
        <v>0</v>
      </c>
    </row>
    <row r="8308" spans="1:23" hidden="1" x14ac:dyDescent="0.25">
      <c r="A8308" s="3">
        <v>46219</v>
      </c>
      <c r="B8308" s="46" t="s">
        <v>298</v>
      </c>
      <c r="C8308" s="4" t="s">
        <v>247</v>
      </c>
      <c r="D8308" s="4"/>
      <c r="E8308" s="4" t="s">
        <v>2381</v>
      </c>
      <c r="F8308" s="4" t="s">
        <v>3938</v>
      </c>
      <c r="G8308" s="4" t="s">
        <v>3593</v>
      </c>
      <c r="H8308" s="4" t="s">
        <v>304</v>
      </c>
      <c r="I8308" s="4">
        <v>5</v>
      </c>
      <c r="J8308" s="21">
        <f>950*1.01</f>
        <v>959.5</v>
      </c>
      <c r="K8308" s="21">
        <f t="shared" si="527"/>
        <v>0</v>
      </c>
      <c r="L8308" s="5">
        <f t="shared" ref="L8308:L8371" si="529">IF(OR(E8308="", H8308="POS"),0,I8308*J8308)</f>
        <v>4797.5</v>
      </c>
      <c r="M8308" s="4"/>
      <c r="N8308" s="4"/>
      <c r="O8308" s="5"/>
      <c r="P8308" s="5"/>
      <c r="Q8308" s="21">
        <f t="shared" ref="Q8308:Q8371" si="530">IF(AND(E8308="", B8308="MAL SATIŞI", H8308="NAKİT"),I8308*J8308,0)</f>
        <v>0</v>
      </c>
      <c r="R8308" s="21">
        <f t="shared" si="528"/>
        <v>0</v>
      </c>
      <c r="S8308" s="5">
        <f t="shared" si="519"/>
        <v>70007.077158325032</v>
      </c>
      <c r="T8308" cm="1">
        <f t="array" ref="T8308">IF(OR(B8308="MAL ALIMI", B8308="ÜRETİM GİRİŞ"), MIN(I8308, MAX(0, I8308 + SUM(SUMIFS($I$1:I8307, $C$1:C8307, C8308, $B$1:B8307, {"MAL ALIMI","ÜRETİM GİRİŞ"})) - VLOOKUP(C8308, 'STOK RAPORU'!$C$2:$I$1000, 4, 0))), 0)</f>
        <v>5</v>
      </c>
      <c r="U8308" s="22">
        <f t="shared" si="524"/>
        <v>4797.5</v>
      </c>
      <c r="V8308">
        <f t="shared" si="525"/>
        <v>4797.5</v>
      </c>
      <c r="W8308" s="22">
        <f t="shared" si="526"/>
        <v>0</v>
      </c>
    </row>
    <row r="8309" spans="1:23" hidden="1" x14ac:dyDescent="0.25">
      <c r="A8309" s="3">
        <v>46219</v>
      </c>
      <c r="B8309" s="46" t="s">
        <v>946</v>
      </c>
      <c r="C8309" s="4"/>
      <c r="D8309" s="4"/>
      <c r="E8309" s="4" t="s">
        <v>921</v>
      </c>
      <c r="F8309" s="4"/>
      <c r="G8309" s="4" t="s">
        <v>3939</v>
      </c>
      <c r="H8309" s="4" t="s">
        <v>380</v>
      </c>
      <c r="I8309" s="4">
        <v>1</v>
      </c>
      <c r="J8309" s="21">
        <v>17971.439999999999</v>
      </c>
      <c r="K8309" s="21">
        <f t="shared" si="527"/>
        <v>0</v>
      </c>
      <c r="L8309" s="21">
        <v>17971.439999999999</v>
      </c>
      <c r="M8309" s="4"/>
      <c r="N8309" s="4"/>
      <c r="O8309" s="5"/>
      <c r="P8309" s="5"/>
      <c r="Q8309" s="21">
        <v>17971.439999999999</v>
      </c>
      <c r="R8309" s="21">
        <f t="shared" si="528"/>
        <v>0</v>
      </c>
      <c r="S8309" s="5">
        <f t="shared" si="519"/>
        <v>87978.517158325034</v>
      </c>
      <c r="T8309" cm="1">
        <f t="array" ref="T8309">IF(OR(B8309="MAL ALIMI", B8309="ÜRETİM GİRİŞ"), MIN(I8309, MAX(0, I8309 + SUM(SUMIFS($I$1:I8308, $C$1:C8308, C8309, $B$1:B8308, {"MAL ALIMI","ÜRETİM GİRİŞ"})) - VLOOKUP(C8309, 'STOK RAPORU'!$C$2:$I$1000, 4, 0))), 0)</f>
        <v>0</v>
      </c>
      <c r="U8309" s="22">
        <f t="shared" si="524"/>
        <v>0</v>
      </c>
      <c r="V8309">
        <f t="shared" si="525"/>
        <v>0</v>
      </c>
      <c r="W8309" s="22">
        <f t="shared" si="526"/>
        <v>0</v>
      </c>
    </row>
    <row r="8310" spans="1:23" hidden="1" x14ac:dyDescent="0.25">
      <c r="A8310" s="3">
        <v>46219</v>
      </c>
      <c r="B8310" s="46" t="s">
        <v>917</v>
      </c>
      <c r="C8310" s="4"/>
      <c r="D8310" s="4"/>
      <c r="E8310" s="4" t="s">
        <v>2381</v>
      </c>
      <c r="F8310" s="4"/>
      <c r="G8310" s="4" t="s">
        <v>3939</v>
      </c>
      <c r="H8310" s="4" t="s">
        <v>304</v>
      </c>
      <c r="I8310" s="4">
        <v>1</v>
      </c>
      <c r="J8310" s="21">
        <v>17971.439999999999</v>
      </c>
      <c r="K8310" s="21">
        <v>17971.439999999999</v>
      </c>
      <c r="L8310" s="5">
        <v>0</v>
      </c>
      <c r="M8310" s="4"/>
      <c r="N8310" s="4"/>
      <c r="O8310" s="5"/>
      <c r="P8310" s="5"/>
      <c r="Q8310" s="21">
        <f t="shared" si="530"/>
        <v>0</v>
      </c>
      <c r="R8310" s="21">
        <v>17971.439999999999</v>
      </c>
      <c r="S8310" s="5">
        <f t="shared" si="519"/>
        <v>70007.077158325032</v>
      </c>
      <c r="T8310" cm="1">
        <f t="array" ref="T8310">IF(OR(B8310="MAL ALIMI", B8310="ÜRETİM GİRİŞ"), MIN(I8310, MAX(0, I8310 + SUM(SUMIFS($I$1:I8309, $C$1:C8309, C8310, $B$1:B8309, {"MAL ALIMI","ÜRETİM GİRİŞ"})) - VLOOKUP(C8310, 'STOK RAPORU'!$C$2:$I$1000, 4, 0))), 0)</f>
        <v>0</v>
      </c>
      <c r="U8310" s="22">
        <f t="shared" si="524"/>
        <v>0</v>
      </c>
      <c r="V8310">
        <f t="shared" si="525"/>
        <v>0</v>
      </c>
      <c r="W8310" s="22">
        <f t="shared" si="526"/>
        <v>0</v>
      </c>
    </row>
    <row r="8311" spans="1:23" hidden="1" x14ac:dyDescent="0.25">
      <c r="A8311" s="3"/>
      <c r="B8311" s="46"/>
      <c r="C8311" s="4"/>
      <c r="D8311" s="4"/>
      <c r="E8311" s="4"/>
      <c r="F8311" s="4"/>
      <c r="G8311" s="4"/>
      <c r="H8311" s="4"/>
      <c r="I8311" s="4"/>
      <c r="J8311" s="21">
        <f>IFERROR(VLOOKUP(C8311,'STOK KARTLARI'!$C$2:$K$2150,8,0),0)</f>
        <v>0</v>
      </c>
      <c r="K8311" s="21">
        <f t="shared" si="527"/>
        <v>0</v>
      </c>
      <c r="L8311" s="5">
        <f t="shared" si="529"/>
        <v>0</v>
      </c>
      <c r="M8311" s="4"/>
      <c r="N8311" s="4"/>
      <c r="O8311" s="5"/>
      <c r="P8311" s="5"/>
      <c r="Q8311" s="21">
        <f t="shared" si="530"/>
        <v>0</v>
      </c>
      <c r="R8311" s="21">
        <f t="shared" si="528"/>
        <v>0</v>
      </c>
      <c r="S8311" s="5">
        <f t="shared" si="519"/>
        <v>70007.077158325032</v>
      </c>
      <c r="T8311" cm="1">
        <f t="array" ref="T8311">IF(OR(B8311="MAL ALIMI", B8311="ÜRETİM GİRİŞ"), MIN(I8311, MAX(0, I8311 + SUM(SUMIFS($I$1:I8310, $C$1:C8310, C8311, $B$1:B8310, {"MAL ALIMI","ÜRETİM GİRİŞ"})) - VLOOKUP(C8311, 'STOK RAPORU'!$C$2:$I$1000, 4, 0))), 0)</f>
        <v>0</v>
      </c>
      <c r="U8311" s="22">
        <f t="shared" si="524"/>
        <v>0</v>
      </c>
      <c r="V8311">
        <f t="shared" si="525"/>
        <v>0</v>
      </c>
      <c r="W8311" s="22">
        <f t="shared" si="526"/>
        <v>0</v>
      </c>
    </row>
    <row r="8312" spans="1:23" hidden="1" x14ac:dyDescent="0.25">
      <c r="A8312" s="3"/>
      <c r="B8312" s="46"/>
      <c r="C8312" s="4"/>
      <c r="D8312" s="4"/>
      <c r="E8312" s="4"/>
      <c r="F8312" s="4"/>
      <c r="G8312" s="4"/>
      <c r="H8312" s="4"/>
      <c r="I8312" s="4"/>
      <c r="J8312" s="21">
        <f>IFERROR(VLOOKUP(C8312,'STOK KARTLARI'!$C$2:$K$2150,8,0),0)</f>
        <v>0</v>
      </c>
      <c r="K8312" s="21">
        <f t="shared" si="527"/>
        <v>0</v>
      </c>
      <c r="L8312" s="5">
        <f t="shared" si="529"/>
        <v>0</v>
      </c>
      <c r="M8312" s="4"/>
      <c r="N8312" s="4"/>
      <c r="O8312" s="5"/>
      <c r="P8312" s="5"/>
      <c r="Q8312" s="21">
        <f t="shared" si="530"/>
        <v>0</v>
      </c>
      <c r="R8312" s="21">
        <f t="shared" si="528"/>
        <v>0</v>
      </c>
      <c r="S8312" s="5">
        <f t="shared" si="519"/>
        <v>70007.077158325032</v>
      </c>
      <c r="T8312" cm="1">
        <f t="array" ref="T8312">IF(OR(B8312="MAL ALIMI", B8312="ÜRETİM GİRİŞ"), MIN(I8312, MAX(0, I8312 + SUM(SUMIFS($I$1:I8311, $C$1:C8311, C8312, $B$1:B8311, {"MAL ALIMI","ÜRETİM GİRİŞ"})) - VLOOKUP(C8312, 'STOK RAPORU'!$C$2:$I$1000, 4, 0))), 0)</f>
        <v>0</v>
      </c>
      <c r="U8312" s="22">
        <f t="shared" si="524"/>
        <v>0</v>
      </c>
      <c r="V8312">
        <f t="shared" si="525"/>
        <v>0</v>
      </c>
      <c r="W8312" s="22">
        <f t="shared" si="526"/>
        <v>0</v>
      </c>
    </row>
    <row r="8313" spans="1:23" hidden="1" x14ac:dyDescent="0.25">
      <c r="A8313" s="3"/>
      <c r="B8313" s="46"/>
      <c r="C8313" s="4"/>
      <c r="D8313" s="4"/>
      <c r="E8313" s="4"/>
      <c r="F8313" s="4"/>
      <c r="G8313" s="4"/>
      <c r="H8313" s="4"/>
      <c r="I8313" s="4"/>
      <c r="J8313" s="21">
        <f>IFERROR(VLOOKUP(C8313,'STOK KARTLARI'!$C$2:$K$2150,8,0),0)</f>
        <v>0</v>
      </c>
      <c r="K8313" s="21">
        <f t="shared" si="527"/>
        <v>0</v>
      </c>
      <c r="L8313" s="5">
        <f t="shared" si="529"/>
        <v>0</v>
      </c>
      <c r="M8313" s="4"/>
      <c r="N8313" s="4"/>
      <c r="O8313" s="5"/>
      <c r="P8313" s="5"/>
      <c r="Q8313" s="21">
        <f t="shared" si="530"/>
        <v>0</v>
      </c>
      <c r="R8313" s="21">
        <f t="shared" si="528"/>
        <v>0</v>
      </c>
      <c r="S8313" s="5">
        <f t="shared" si="519"/>
        <v>70007.077158325032</v>
      </c>
      <c r="T8313" cm="1">
        <f t="array" ref="T8313">IF(OR(B8313="MAL ALIMI", B8313="ÜRETİM GİRİŞ"), MIN(I8313, MAX(0, I8313 + SUM(SUMIFS($I$1:I8312, $C$1:C8312, C8313, $B$1:B8312, {"MAL ALIMI","ÜRETİM GİRİŞ"})) - VLOOKUP(C8313, 'STOK RAPORU'!$C$2:$I$1000, 4, 0))), 0)</f>
        <v>0</v>
      </c>
      <c r="U8313" s="22">
        <f t="shared" si="524"/>
        <v>0</v>
      </c>
      <c r="V8313">
        <f t="shared" si="525"/>
        <v>0</v>
      </c>
      <c r="W8313" s="22">
        <f t="shared" si="526"/>
        <v>0</v>
      </c>
    </row>
    <row r="8314" spans="1:23" hidden="1" x14ac:dyDescent="0.25">
      <c r="A8314" s="3"/>
      <c r="B8314" s="46"/>
      <c r="C8314" s="4"/>
      <c r="D8314" s="4"/>
      <c r="E8314" s="4"/>
      <c r="F8314" s="4"/>
      <c r="G8314" s="4"/>
      <c r="H8314" s="4"/>
      <c r="I8314" s="4"/>
      <c r="J8314" s="21">
        <f>IFERROR(VLOOKUP(C8314,'STOK KARTLARI'!$C$2:$K$2150,8,0),0)</f>
        <v>0</v>
      </c>
      <c r="K8314" s="21">
        <f t="shared" si="527"/>
        <v>0</v>
      </c>
      <c r="L8314" s="5">
        <f t="shared" si="529"/>
        <v>0</v>
      </c>
      <c r="M8314" s="4"/>
      <c r="N8314" s="4"/>
      <c r="O8314" s="5"/>
      <c r="P8314" s="5"/>
      <c r="Q8314" s="21">
        <f t="shared" si="530"/>
        <v>0</v>
      </c>
      <c r="R8314" s="21">
        <f t="shared" si="528"/>
        <v>0</v>
      </c>
      <c r="S8314" s="5">
        <f t="shared" si="519"/>
        <v>70007.077158325032</v>
      </c>
      <c r="T8314" cm="1">
        <f t="array" ref="T8314">IF(OR(B8314="MAL ALIMI", B8314="ÜRETİM GİRİŞ"), MIN(I8314, MAX(0, I8314 + SUM(SUMIFS($I$1:I8313, $C$1:C8313, C8314, $B$1:B8313, {"MAL ALIMI","ÜRETİM GİRİŞ"})) - VLOOKUP(C8314, 'STOK RAPORU'!$C$2:$I$1000, 4, 0))), 0)</f>
        <v>0</v>
      </c>
      <c r="U8314" s="22">
        <f t="shared" si="524"/>
        <v>0</v>
      </c>
      <c r="V8314">
        <f t="shared" si="525"/>
        <v>0</v>
      </c>
      <c r="W8314" s="22">
        <f t="shared" si="526"/>
        <v>0</v>
      </c>
    </row>
    <row r="8315" spans="1:23" hidden="1" x14ac:dyDescent="0.25">
      <c r="A8315" s="4"/>
      <c r="B8315" s="4"/>
      <c r="C8315" s="4"/>
      <c r="D8315" s="4"/>
      <c r="E8315" s="4"/>
      <c r="F8315" s="4"/>
      <c r="G8315" s="4"/>
      <c r="H8315" s="4"/>
      <c r="I8315" s="4"/>
      <c r="J8315" s="21">
        <f>IFERROR(VLOOKUP(C8315,'STOK KARTLARI'!$C$2:$K$2150,8,0),0)</f>
        <v>0</v>
      </c>
      <c r="K8315" s="21">
        <f t="shared" si="527"/>
        <v>0</v>
      </c>
      <c r="L8315" s="5">
        <f t="shared" si="529"/>
        <v>0</v>
      </c>
      <c r="M8315" s="4"/>
      <c r="N8315" s="4"/>
      <c r="O8315" s="5"/>
      <c r="P8315" s="5"/>
      <c r="Q8315" s="21">
        <f t="shared" si="530"/>
        <v>0</v>
      </c>
      <c r="R8315" s="21">
        <f t="shared" si="528"/>
        <v>0</v>
      </c>
      <c r="S8315" s="5">
        <f t="shared" si="519"/>
        <v>70007.077158325032</v>
      </c>
      <c r="T8315" cm="1">
        <f t="array" ref="T8315">IF(OR(B8315="MAL ALIMI", B8315="ÜRETİM GİRİŞ"), MIN(I8315, MAX(0, I8315 + SUM(SUMIFS($I$1:I8314, $C$1:C8314, C8315, $B$1:B8314, {"MAL ALIMI","ÜRETİM GİRİŞ"})) - VLOOKUP(C8315, 'STOK RAPORU'!$C$2:$I$1000, 4, 0))), 0)</f>
        <v>0</v>
      </c>
      <c r="U8315" s="22">
        <f t="shared" si="524"/>
        <v>0</v>
      </c>
      <c r="V8315">
        <f t="shared" si="525"/>
        <v>0</v>
      </c>
      <c r="W8315" s="22">
        <f t="shared" si="526"/>
        <v>0</v>
      </c>
    </row>
    <row r="8316" spans="1:23" hidden="1" x14ac:dyDescent="0.25">
      <c r="A8316" s="4"/>
      <c r="B8316" s="4"/>
      <c r="C8316" s="4"/>
      <c r="D8316" s="4"/>
      <c r="E8316" s="4"/>
      <c r="F8316" s="4"/>
      <c r="G8316" s="4"/>
      <c r="H8316" s="4"/>
      <c r="I8316" s="4"/>
      <c r="J8316" s="21">
        <f>IFERROR(VLOOKUP(C8316,'STOK KARTLARI'!$C$2:$K$2150,8,0),0)</f>
        <v>0</v>
      </c>
      <c r="K8316" s="21">
        <f t="shared" si="527"/>
        <v>0</v>
      </c>
      <c r="L8316" s="5">
        <f t="shared" si="529"/>
        <v>0</v>
      </c>
      <c r="M8316" s="4"/>
      <c r="N8316" s="4"/>
      <c r="O8316" s="5"/>
      <c r="P8316" s="5"/>
      <c r="Q8316" s="21">
        <f t="shared" si="530"/>
        <v>0</v>
      </c>
      <c r="R8316" s="21">
        <f t="shared" si="528"/>
        <v>0</v>
      </c>
      <c r="S8316" s="5">
        <f t="shared" si="519"/>
        <v>70007.077158325032</v>
      </c>
      <c r="T8316" cm="1">
        <f t="array" ref="T8316">IF(OR(B8316="MAL ALIMI", B8316="ÜRETİM GİRİŞ"), MIN(I8316, MAX(0, I8316 + SUM(SUMIFS($I$1:I8315, $C$1:C8315, C8316, $B$1:B8315, {"MAL ALIMI","ÜRETİM GİRİŞ"})) - VLOOKUP(C8316, 'STOK RAPORU'!$C$2:$I$1000, 4, 0))), 0)</f>
        <v>0</v>
      </c>
      <c r="U8316" s="22">
        <f t="shared" si="524"/>
        <v>0</v>
      </c>
      <c r="V8316">
        <f t="shared" si="525"/>
        <v>0</v>
      </c>
      <c r="W8316" s="22">
        <f t="shared" si="526"/>
        <v>0</v>
      </c>
    </row>
    <row r="8317" spans="1:23" hidden="1" x14ac:dyDescent="0.25">
      <c r="A8317" s="4"/>
      <c r="B8317" s="4"/>
      <c r="C8317" s="4"/>
      <c r="D8317" s="4"/>
      <c r="E8317" s="4"/>
      <c r="F8317" s="4"/>
      <c r="G8317" s="4"/>
      <c r="H8317" s="4"/>
      <c r="I8317" s="4"/>
      <c r="J8317" s="21">
        <f>IFERROR(VLOOKUP(C8317,'STOK KARTLARI'!$C$2:$K$2150,8,0),0)</f>
        <v>0</v>
      </c>
      <c r="K8317" s="21">
        <f t="shared" si="527"/>
        <v>0</v>
      </c>
      <c r="L8317" s="5">
        <f t="shared" si="529"/>
        <v>0</v>
      </c>
      <c r="M8317" s="4"/>
      <c r="N8317" s="4"/>
      <c r="O8317" s="5"/>
      <c r="P8317" s="5"/>
      <c r="Q8317" s="21">
        <f t="shared" si="530"/>
        <v>0</v>
      </c>
      <c r="R8317" s="21">
        <f t="shared" si="528"/>
        <v>0</v>
      </c>
      <c r="S8317" s="5">
        <f t="shared" si="519"/>
        <v>70007.077158325032</v>
      </c>
      <c r="T8317" cm="1">
        <f t="array" ref="T8317">IF(OR(B8317="MAL ALIMI", B8317="ÜRETİM GİRİŞ"), MIN(I8317, MAX(0, I8317 + SUM(SUMIFS($I$1:I8316, $C$1:C8316, C8317, $B$1:B8316, {"MAL ALIMI","ÜRETİM GİRİŞ"})) - VLOOKUP(C8317, 'STOK RAPORU'!$C$2:$I$1000, 4, 0))), 0)</f>
        <v>0</v>
      </c>
      <c r="U8317" s="22">
        <f t="shared" si="524"/>
        <v>0</v>
      </c>
      <c r="V8317">
        <f t="shared" si="525"/>
        <v>0</v>
      </c>
      <c r="W8317" s="22">
        <f t="shared" si="526"/>
        <v>0</v>
      </c>
    </row>
    <row r="8318" spans="1:23" hidden="1" x14ac:dyDescent="0.25">
      <c r="A8318" s="4"/>
      <c r="B8318" s="4"/>
      <c r="C8318" s="4"/>
      <c r="D8318" s="4"/>
      <c r="E8318" s="4"/>
      <c r="F8318" s="4"/>
      <c r="G8318" s="4"/>
      <c r="H8318" s="4"/>
      <c r="I8318" s="4"/>
      <c r="J8318" s="21">
        <f>IFERROR(VLOOKUP(C8318,'STOK KARTLARI'!$C$2:$K$2150,8,0),0)</f>
        <v>0</v>
      </c>
      <c r="K8318" s="21">
        <f t="shared" si="527"/>
        <v>0</v>
      </c>
      <c r="L8318" s="5">
        <f t="shared" si="529"/>
        <v>0</v>
      </c>
      <c r="M8318" s="4"/>
      <c r="N8318" s="4"/>
      <c r="O8318" s="5"/>
      <c r="P8318" s="5"/>
      <c r="Q8318" s="21">
        <f t="shared" si="530"/>
        <v>0</v>
      </c>
      <c r="R8318" s="21">
        <f t="shared" si="528"/>
        <v>0</v>
      </c>
      <c r="S8318" s="5">
        <f t="shared" si="519"/>
        <v>70007.077158325032</v>
      </c>
      <c r="T8318" cm="1">
        <f t="array" ref="T8318">IF(OR(B8318="MAL ALIMI", B8318="ÜRETİM GİRİŞ"), MIN(I8318, MAX(0, I8318 + SUM(SUMIFS($I$1:I8317, $C$1:C8317, C8318, $B$1:B8317, {"MAL ALIMI","ÜRETİM GİRİŞ"})) - VLOOKUP(C8318, 'STOK RAPORU'!$C$2:$I$1000, 4, 0))), 0)</f>
        <v>0</v>
      </c>
      <c r="U8318" s="22">
        <f t="shared" si="524"/>
        <v>0</v>
      </c>
      <c r="V8318">
        <f t="shared" si="525"/>
        <v>0</v>
      </c>
      <c r="W8318" s="22">
        <f t="shared" si="526"/>
        <v>0</v>
      </c>
    </row>
    <row r="8319" spans="1:23" hidden="1" x14ac:dyDescent="0.25">
      <c r="A8319" s="4"/>
      <c r="B8319" s="4"/>
      <c r="C8319" s="4"/>
      <c r="D8319" s="4"/>
      <c r="E8319" s="4"/>
      <c r="F8319" s="4"/>
      <c r="G8319" s="4"/>
      <c r="H8319" s="4"/>
      <c r="I8319" s="4"/>
      <c r="J8319" s="21">
        <f>IFERROR(VLOOKUP(C8319,'STOK KARTLARI'!$C$2:$K$2150,8,0),0)</f>
        <v>0</v>
      </c>
      <c r="K8319" s="21">
        <f t="shared" si="527"/>
        <v>0</v>
      </c>
      <c r="L8319" s="5">
        <f t="shared" si="529"/>
        <v>0</v>
      </c>
      <c r="M8319" s="4"/>
      <c r="N8319" s="4"/>
      <c r="O8319" s="5"/>
      <c r="P8319" s="5"/>
      <c r="Q8319" s="21">
        <f t="shared" si="530"/>
        <v>0</v>
      </c>
      <c r="R8319" s="21">
        <f t="shared" si="528"/>
        <v>0</v>
      </c>
      <c r="S8319" s="5">
        <f t="shared" si="519"/>
        <v>70007.077158325032</v>
      </c>
      <c r="T8319" cm="1">
        <f t="array" ref="T8319">IF(OR(B8319="MAL ALIMI", B8319="ÜRETİM GİRİŞ"), MIN(I8319, MAX(0, I8319 + SUM(SUMIFS($I$1:I8318, $C$1:C8318, C8319, $B$1:B8318, {"MAL ALIMI","ÜRETİM GİRİŞ"})) - VLOOKUP(C8319, 'STOK RAPORU'!$C$2:$I$1000, 4, 0))), 0)</f>
        <v>0</v>
      </c>
      <c r="U8319" s="22">
        <f t="shared" si="524"/>
        <v>0</v>
      </c>
      <c r="V8319">
        <f t="shared" si="525"/>
        <v>0</v>
      </c>
      <c r="W8319" s="22">
        <f t="shared" si="526"/>
        <v>0</v>
      </c>
    </row>
    <row r="8320" spans="1:23" hidden="1" x14ac:dyDescent="0.25">
      <c r="A8320" s="3"/>
      <c r="B8320" s="4"/>
      <c r="C8320" s="4"/>
      <c r="D8320" s="4"/>
      <c r="E8320" s="4"/>
      <c r="F8320" s="4"/>
      <c r="G8320" s="4"/>
      <c r="H8320" s="4"/>
      <c r="I8320" s="4"/>
      <c r="J8320" s="21">
        <f>IFERROR(VLOOKUP(C8320,'STOK KARTLARI'!$C$2:$K$2150,8,0),0)</f>
        <v>0</v>
      </c>
      <c r="K8320" s="21">
        <f t="shared" si="527"/>
        <v>0</v>
      </c>
      <c r="L8320" s="5">
        <f t="shared" si="529"/>
        <v>0</v>
      </c>
      <c r="M8320" s="4"/>
      <c r="N8320" s="4"/>
      <c r="O8320" s="5"/>
      <c r="P8320" s="5"/>
      <c r="Q8320" s="21">
        <f t="shared" si="530"/>
        <v>0</v>
      </c>
      <c r="R8320" s="21">
        <f t="shared" si="528"/>
        <v>0</v>
      </c>
      <c r="S8320" s="5">
        <f t="shared" si="519"/>
        <v>70007.077158325032</v>
      </c>
      <c r="T8320" cm="1">
        <f t="array" ref="T8320">IF(OR(B8320="MAL ALIMI", B8320="ÜRETİM GİRİŞ"), MIN(I8320, MAX(0, I8320 + SUM(SUMIFS($I$1:I8319, $C$1:C8319, C8320, $B$1:B8319, {"MAL ALIMI","ÜRETİM GİRİŞ"})) - VLOOKUP(C8320, 'STOK RAPORU'!$C$2:$I$1000, 4, 0))), 0)</f>
        <v>0</v>
      </c>
      <c r="U8320" s="22">
        <f t="shared" si="524"/>
        <v>0</v>
      </c>
      <c r="V8320">
        <f t="shared" si="525"/>
        <v>0</v>
      </c>
      <c r="W8320" s="22">
        <f t="shared" si="526"/>
        <v>0</v>
      </c>
    </row>
    <row r="8321" spans="1:23" hidden="1" x14ac:dyDescent="0.25">
      <c r="A8321" s="4"/>
      <c r="B8321" s="4"/>
      <c r="C8321" s="4"/>
      <c r="D8321" s="4"/>
      <c r="E8321" s="4"/>
      <c r="F8321" s="4"/>
      <c r="G8321" s="4"/>
      <c r="H8321" s="4"/>
      <c r="I8321" s="4"/>
      <c r="J8321" s="21">
        <f>IFERROR(VLOOKUP(C8321,'STOK KARTLARI'!$C$2:$K$2150,8,0),0)</f>
        <v>0</v>
      </c>
      <c r="K8321" s="21">
        <f t="shared" si="527"/>
        <v>0</v>
      </c>
      <c r="L8321" s="5">
        <f t="shared" si="529"/>
        <v>0</v>
      </c>
      <c r="M8321" s="4"/>
      <c r="N8321" s="4"/>
      <c r="O8321" s="5"/>
      <c r="P8321" s="5"/>
      <c r="Q8321" s="21">
        <f t="shared" si="530"/>
        <v>0</v>
      </c>
      <c r="R8321" s="21">
        <f t="shared" si="528"/>
        <v>0</v>
      </c>
      <c r="S8321" s="5">
        <f t="shared" si="519"/>
        <v>70007.077158325032</v>
      </c>
      <c r="T8321" cm="1">
        <f t="array" ref="T8321">IF(OR(B8321="MAL ALIMI", B8321="ÜRETİM GİRİŞ"), MIN(I8321, MAX(0, I8321 + SUM(SUMIFS($I$1:I8320, $C$1:C8320, C8321, $B$1:B8320, {"MAL ALIMI","ÜRETİM GİRİŞ"})) - VLOOKUP(C8321, 'STOK RAPORU'!$C$2:$I$1000, 4, 0))), 0)</f>
        <v>0</v>
      </c>
      <c r="U8321" s="22">
        <f t="shared" si="524"/>
        <v>0</v>
      </c>
      <c r="V8321">
        <f t="shared" si="525"/>
        <v>0</v>
      </c>
      <c r="W8321" s="22">
        <f t="shared" si="526"/>
        <v>0</v>
      </c>
    </row>
    <row r="8322" spans="1:23" hidden="1" x14ac:dyDescent="0.25">
      <c r="A8322" s="4"/>
      <c r="B8322" s="4"/>
      <c r="C8322" s="4"/>
      <c r="D8322" s="4"/>
      <c r="E8322" s="4"/>
      <c r="F8322" s="4"/>
      <c r="G8322" s="4"/>
      <c r="H8322" s="4"/>
      <c r="I8322" s="4"/>
      <c r="J8322" s="21">
        <f>IFERROR(VLOOKUP(C8322,'STOK KARTLARI'!$C$2:$K$2150,8,0),0)</f>
        <v>0</v>
      </c>
      <c r="K8322" s="21">
        <f t="shared" si="527"/>
        <v>0</v>
      </c>
      <c r="L8322" s="5">
        <f t="shared" si="529"/>
        <v>0</v>
      </c>
      <c r="M8322" s="4"/>
      <c r="N8322" s="4"/>
      <c r="O8322" s="5"/>
      <c r="P8322" s="5"/>
      <c r="Q8322" s="21">
        <f t="shared" si="530"/>
        <v>0</v>
      </c>
      <c r="R8322" s="21">
        <f t="shared" si="528"/>
        <v>0</v>
      </c>
      <c r="S8322" s="5">
        <f t="shared" si="519"/>
        <v>70007.077158325032</v>
      </c>
      <c r="T8322" cm="1">
        <f t="array" ref="T8322">IF(OR(B8322="MAL ALIMI", B8322="ÜRETİM GİRİŞ"), MIN(I8322, MAX(0, I8322 + SUM(SUMIFS($I$1:I8321, $C$1:C8321, C8322, $B$1:B8321, {"MAL ALIMI","ÜRETİM GİRİŞ"})) - VLOOKUP(C8322, 'STOK RAPORU'!$C$2:$I$1000, 4, 0))), 0)</f>
        <v>0</v>
      </c>
      <c r="U8322" s="22">
        <f t="shared" si="524"/>
        <v>0</v>
      </c>
      <c r="V8322">
        <f t="shared" si="525"/>
        <v>0</v>
      </c>
      <c r="W8322" s="22">
        <f t="shared" si="526"/>
        <v>0</v>
      </c>
    </row>
    <row r="8323" spans="1:23" hidden="1" x14ac:dyDescent="0.25">
      <c r="A8323" s="4"/>
      <c r="B8323" s="4"/>
      <c r="C8323" s="4"/>
      <c r="D8323" s="4"/>
      <c r="E8323" s="4"/>
      <c r="F8323" s="4"/>
      <c r="G8323" s="4"/>
      <c r="H8323" s="4"/>
      <c r="I8323" s="4"/>
      <c r="J8323" s="21">
        <f>IFERROR(VLOOKUP(C8323,'STOK KARTLARI'!$C$2:$K$2150,8,0),0)</f>
        <v>0</v>
      </c>
      <c r="K8323" s="21">
        <f t="shared" si="527"/>
        <v>0</v>
      </c>
      <c r="L8323" s="5">
        <f t="shared" si="529"/>
        <v>0</v>
      </c>
      <c r="M8323" s="4"/>
      <c r="N8323" s="4"/>
      <c r="O8323" s="5"/>
      <c r="P8323" s="5"/>
      <c r="Q8323" s="21">
        <f t="shared" si="530"/>
        <v>0</v>
      </c>
      <c r="R8323" s="21">
        <f t="shared" si="528"/>
        <v>0</v>
      </c>
      <c r="S8323" s="5">
        <f t="shared" si="519"/>
        <v>70007.077158325032</v>
      </c>
      <c r="T8323" cm="1">
        <f t="array" ref="T8323">IF(OR(B8323="MAL ALIMI", B8323="ÜRETİM GİRİŞ"), MIN(I8323, MAX(0, I8323 + SUM(SUMIFS($I$1:I8322, $C$1:C8322, C8323, $B$1:B8322, {"MAL ALIMI","ÜRETİM GİRİŞ"})) - VLOOKUP(C8323, 'STOK RAPORU'!$C$2:$I$1000, 4, 0))), 0)</f>
        <v>0</v>
      </c>
      <c r="U8323" s="22">
        <f t="shared" si="524"/>
        <v>0</v>
      </c>
      <c r="V8323">
        <f t="shared" si="525"/>
        <v>0</v>
      </c>
      <c r="W8323" s="22">
        <f t="shared" si="526"/>
        <v>0</v>
      </c>
    </row>
    <row r="8324" spans="1:23" hidden="1" x14ac:dyDescent="0.25">
      <c r="A8324" s="4"/>
      <c r="B8324" s="4"/>
      <c r="C8324" s="4"/>
      <c r="D8324" s="4"/>
      <c r="E8324" s="4"/>
      <c r="F8324" s="4"/>
      <c r="G8324" s="4"/>
      <c r="H8324" s="4"/>
      <c r="I8324" s="4"/>
      <c r="J8324" s="21">
        <f>IFERROR(VLOOKUP(C8324,'STOK KARTLARI'!$C$2:$K$2150,8,0),0)</f>
        <v>0</v>
      </c>
      <c r="K8324" s="21">
        <f t="shared" si="527"/>
        <v>0</v>
      </c>
      <c r="L8324" s="5">
        <f t="shared" si="529"/>
        <v>0</v>
      </c>
      <c r="M8324" s="4"/>
      <c r="N8324" s="4"/>
      <c r="O8324" s="5"/>
      <c r="P8324" s="5"/>
      <c r="Q8324" s="21">
        <f t="shared" si="530"/>
        <v>0</v>
      </c>
      <c r="R8324" s="21">
        <f t="shared" si="528"/>
        <v>0</v>
      </c>
      <c r="S8324" s="5">
        <f t="shared" si="519"/>
        <v>70007.077158325032</v>
      </c>
      <c r="T8324" cm="1">
        <f t="array" ref="T8324">IF(OR(B8324="MAL ALIMI", B8324="ÜRETİM GİRİŞ"), MIN(I8324, MAX(0, I8324 + SUM(SUMIFS($I$1:I8323, $C$1:C8323, C8324, $B$1:B8323, {"MAL ALIMI","ÜRETİM GİRİŞ"})) - VLOOKUP(C8324, 'STOK RAPORU'!$C$2:$I$1000, 4, 0))), 0)</f>
        <v>0</v>
      </c>
      <c r="U8324" s="22">
        <f t="shared" si="524"/>
        <v>0</v>
      </c>
      <c r="V8324">
        <f t="shared" si="525"/>
        <v>0</v>
      </c>
      <c r="W8324" s="22">
        <f t="shared" si="526"/>
        <v>0</v>
      </c>
    </row>
    <row r="8325" spans="1:23" hidden="1" x14ac:dyDescent="0.25">
      <c r="A8325" s="4"/>
      <c r="B8325" s="4"/>
      <c r="C8325" s="4"/>
      <c r="D8325" s="4"/>
      <c r="E8325" s="4"/>
      <c r="F8325" s="4"/>
      <c r="G8325" s="4"/>
      <c r="H8325" s="4"/>
      <c r="I8325" s="4"/>
      <c r="J8325" s="21">
        <f>IFERROR(VLOOKUP(C8325,'STOK KARTLARI'!$C$2:$K$2150,8,0),0)</f>
        <v>0</v>
      </c>
      <c r="K8325" s="21">
        <f t="shared" si="527"/>
        <v>0</v>
      </c>
      <c r="L8325" s="5">
        <f t="shared" si="529"/>
        <v>0</v>
      </c>
      <c r="M8325" s="4"/>
      <c r="N8325" s="4"/>
      <c r="O8325" s="5"/>
      <c r="P8325" s="5"/>
      <c r="Q8325" s="21">
        <f t="shared" si="530"/>
        <v>0</v>
      </c>
      <c r="R8325" s="21">
        <f t="shared" si="528"/>
        <v>0</v>
      </c>
      <c r="S8325" s="5">
        <f t="shared" ref="S8325:S8388" si="531">S8324+Q8325-R8325</f>
        <v>70007.077158325032</v>
      </c>
      <c r="T8325" cm="1">
        <f t="array" ref="T8325">IF(OR(B8325="MAL ALIMI", B8325="ÜRETİM GİRİŞ"), MIN(I8325, MAX(0, I8325 + SUM(SUMIFS($I$1:I8324, $C$1:C8324, C8325, $B$1:B8324, {"MAL ALIMI","ÜRETİM GİRİŞ"})) - VLOOKUP(C8325, 'STOK RAPORU'!$C$2:$I$1000, 4, 0))), 0)</f>
        <v>0</v>
      </c>
      <c r="U8325" s="22">
        <f t="shared" si="524"/>
        <v>0</v>
      </c>
      <c r="V8325">
        <f t="shared" si="525"/>
        <v>0</v>
      </c>
      <c r="W8325" s="22">
        <f t="shared" si="526"/>
        <v>0</v>
      </c>
    </row>
    <row r="8326" spans="1:23" hidden="1" x14ac:dyDescent="0.25">
      <c r="A8326" s="4"/>
      <c r="B8326" s="4"/>
      <c r="C8326" s="4"/>
      <c r="D8326" s="4"/>
      <c r="E8326" s="4"/>
      <c r="F8326" s="4"/>
      <c r="G8326" s="4"/>
      <c r="H8326" s="4"/>
      <c r="I8326" s="4"/>
      <c r="J8326" s="21">
        <f>IFERROR(VLOOKUP(C8326,'STOK KARTLARI'!$C$2:$K$2150,8,0),0)</f>
        <v>0</v>
      </c>
      <c r="K8326" s="21">
        <f t="shared" si="527"/>
        <v>0</v>
      </c>
      <c r="L8326" s="5">
        <f t="shared" si="529"/>
        <v>0</v>
      </c>
      <c r="M8326" s="4"/>
      <c r="N8326" s="4"/>
      <c r="O8326" s="5"/>
      <c r="P8326" s="5"/>
      <c r="Q8326" s="21">
        <f t="shared" si="530"/>
        <v>0</v>
      </c>
      <c r="R8326" s="21">
        <f t="shared" si="528"/>
        <v>0</v>
      </c>
      <c r="S8326" s="5">
        <f t="shared" si="531"/>
        <v>70007.077158325032</v>
      </c>
      <c r="T8326" cm="1">
        <f t="array" ref="T8326">IF(OR(B8326="MAL ALIMI", B8326="ÜRETİM GİRİŞ"), MIN(I8326, MAX(0, I8326 + SUM(SUMIFS($I$1:I8325, $C$1:C8325, C8326, $B$1:B8325, {"MAL ALIMI","ÜRETİM GİRİŞ"})) - VLOOKUP(C8326, 'STOK RAPORU'!$C$2:$I$1000, 4, 0))), 0)</f>
        <v>0</v>
      </c>
      <c r="U8326" s="22">
        <f t="shared" si="524"/>
        <v>0</v>
      </c>
      <c r="V8326">
        <f t="shared" si="525"/>
        <v>0</v>
      </c>
      <c r="W8326" s="22">
        <f t="shared" si="526"/>
        <v>0</v>
      </c>
    </row>
    <row r="8327" spans="1:23" hidden="1" x14ac:dyDescent="0.25">
      <c r="A8327" s="3"/>
      <c r="B8327" s="4"/>
      <c r="C8327" s="4"/>
      <c r="D8327" s="4"/>
      <c r="E8327" s="4"/>
      <c r="F8327" s="4"/>
      <c r="G8327" s="4"/>
      <c r="H8327" s="4"/>
      <c r="I8327" s="4"/>
      <c r="J8327" s="21">
        <f>IFERROR(VLOOKUP(C8327,'STOK KARTLARI'!$C$2:$K$2150,8,0),0)</f>
        <v>0</v>
      </c>
      <c r="K8327" s="21">
        <f t="shared" si="527"/>
        <v>0</v>
      </c>
      <c r="L8327" s="5">
        <f t="shared" si="529"/>
        <v>0</v>
      </c>
      <c r="M8327" s="4"/>
      <c r="N8327" s="4"/>
      <c r="O8327" s="5"/>
      <c r="P8327" s="5"/>
      <c r="Q8327" s="21">
        <f t="shared" si="530"/>
        <v>0</v>
      </c>
      <c r="R8327" s="21">
        <f t="shared" si="528"/>
        <v>0</v>
      </c>
      <c r="S8327" s="5">
        <f t="shared" si="531"/>
        <v>70007.077158325032</v>
      </c>
      <c r="T8327" cm="1">
        <f t="array" ref="T8327">IF(OR(B8327="MAL ALIMI", B8327="ÜRETİM GİRİŞ"), MIN(I8327, MAX(0, I8327 + SUM(SUMIFS($I$1:I8326, $C$1:C8326, C8327, $B$1:B8326, {"MAL ALIMI","ÜRETİM GİRİŞ"})) - VLOOKUP(C8327, 'STOK RAPORU'!$C$2:$I$1000, 4, 0))), 0)</f>
        <v>0</v>
      </c>
      <c r="U8327" s="22">
        <f t="shared" si="524"/>
        <v>0</v>
      </c>
      <c r="V8327">
        <f t="shared" si="525"/>
        <v>0</v>
      </c>
      <c r="W8327" s="22">
        <f t="shared" si="526"/>
        <v>0</v>
      </c>
    </row>
    <row r="8328" spans="1:23" hidden="1" x14ac:dyDescent="0.25">
      <c r="A8328" s="4"/>
      <c r="B8328" s="4"/>
      <c r="C8328" s="4"/>
      <c r="D8328" s="4"/>
      <c r="E8328" s="4"/>
      <c r="F8328" s="4"/>
      <c r="G8328" s="4"/>
      <c r="H8328" s="4"/>
      <c r="I8328" s="4"/>
      <c r="J8328" s="21">
        <f>IFERROR(VLOOKUP(C8328,'STOK KARTLARI'!$C$2:$K$2150,8,0),0)</f>
        <v>0</v>
      </c>
      <c r="K8328" s="21">
        <f t="shared" si="527"/>
        <v>0</v>
      </c>
      <c r="L8328" s="5">
        <f t="shared" si="529"/>
        <v>0</v>
      </c>
      <c r="M8328" s="4"/>
      <c r="N8328" s="4"/>
      <c r="O8328" s="5"/>
      <c r="P8328" s="5"/>
      <c r="Q8328" s="21">
        <f t="shared" si="530"/>
        <v>0</v>
      </c>
      <c r="R8328" s="21">
        <f t="shared" si="528"/>
        <v>0</v>
      </c>
      <c r="S8328" s="5">
        <f t="shared" si="531"/>
        <v>70007.077158325032</v>
      </c>
      <c r="T8328" cm="1">
        <f t="array" ref="T8328">IF(OR(B8328="MAL ALIMI", B8328="ÜRETİM GİRİŞ"), MIN(I8328, MAX(0, I8328 + SUM(SUMIFS($I$1:I8327, $C$1:C8327, C8328, $B$1:B8327, {"MAL ALIMI","ÜRETİM GİRİŞ"})) - VLOOKUP(C8328, 'STOK RAPORU'!$C$2:$I$1000, 4, 0))), 0)</f>
        <v>0</v>
      </c>
      <c r="U8328" s="22">
        <f t="shared" si="524"/>
        <v>0</v>
      </c>
      <c r="V8328">
        <f t="shared" si="525"/>
        <v>0</v>
      </c>
      <c r="W8328" s="22">
        <f t="shared" si="526"/>
        <v>0</v>
      </c>
    </row>
    <row r="8329" spans="1:23" hidden="1" x14ac:dyDescent="0.25">
      <c r="A8329" s="4"/>
      <c r="B8329" s="4"/>
      <c r="C8329" s="4"/>
      <c r="D8329" s="4"/>
      <c r="E8329" s="4"/>
      <c r="F8329" s="4"/>
      <c r="G8329" s="4"/>
      <c r="H8329" s="4"/>
      <c r="I8329" s="4"/>
      <c r="J8329" s="21">
        <f>IFERROR(VLOOKUP(C8329,'STOK KARTLARI'!$C$2:$K$2150,8,0),0)</f>
        <v>0</v>
      </c>
      <c r="K8329" s="21">
        <f t="shared" si="527"/>
        <v>0</v>
      </c>
      <c r="L8329" s="5">
        <f t="shared" si="529"/>
        <v>0</v>
      </c>
      <c r="M8329" s="4"/>
      <c r="N8329" s="4"/>
      <c r="O8329" s="5"/>
      <c r="P8329" s="5"/>
      <c r="Q8329" s="21">
        <f t="shared" si="530"/>
        <v>0</v>
      </c>
      <c r="R8329" s="21">
        <f t="shared" si="528"/>
        <v>0</v>
      </c>
      <c r="S8329" s="5">
        <f t="shared" si="531"/>
        <v>70007.077158325032</v>
      </c>
      <c r="T8329" cm="1">
        <f t="array" ref="T8329">IF(OR(B8329="MAL ALIMI", B8329="ÜRETİM GİRİŞ"), MIN(I8329, MAX(0, I8329 + SUM(SUMIFS($I$1:I8328, $C$1:C8328, C8329, $B$1:B8328, {"MAL ALIMI","ÜRETİM GİRİŞ"})) - VLOOKUP(C8329, 'STOK RAPORU'!$C$2:$I$1000, 4, 0))), 0)</f>
        <v>0</v>
      </c>
      <c r="U8329" s="22">
        <f t="shared" si="524"/>
        <v>0</v>
      </c>
      <c r="V8329">
        <f t="shared" si="525"/>
        <v>0</v>
      </c>
      <c r="W8329" s="22">
        <f t="shared" si="526"/>
        <v>0</v>
      </c>
    </row>
    <row r="8330" spans="1:23" hidden="1" x14ac:dyDescent="0.25">
      <c r="A8330" s="4"/>
      <c r="B8330" s="4"/>
      <c r="C8330" s="4"/>
      <c r="D8330" s="4"/>
      <c r="E8330" s="4"/>
      <c r="F8330" s="4"/>
      <c r="G8330" s="4"/>
      <c r="H8330" s="4"/>
      <c r="I8330" s="4"/>
      <c r="J8330" s="21">
        <f>IFERROR(VLOOKUP(C8330,'STOK KARTLARI'!$C$2:$K$2150,8,0),0)</f>
        <v>0</v>
      </c>
      <c r="K8330" s="21">
        <f t="shared" si="527"/>
        <v>0</v>
      </c>
      <c r="L8330" s="5">
        <f t="shared" si="529"/>
        <v>0</v>
      </c>
      <c r="M8330" s="4"/>
      <c r="N8330" s="4"/>
      <c r="O8330" s="5"/>
      <c r="P8330" s="5"/>
      <c r="Q8330" s="21">
        <f t="shared" si="530"/>
        <v>0</v>
      </c>
      <c r="R8330" s="21">
        <f t="shared" si="528"/>
        <v>0</v>
      </c>
      <c r="S8330" s="5">
        <f t="shared" si="531"/>
        <v>70007.077158325032</v>
      </c>
      <c r="T8330" cm="1">
        <f t="array" ref="T8330">IF(OR(B8330="MAL ALIMI", B8330="ÜRETİM GİRİŞ"), MIN(I8330, MAX(0, I8330 + SUM(SUMIFS($I$1:I8329, $C$1:C8329, C8330, $B$1:B8329, {"MAL ALIMI","ÜRETİM GİRİŞ"})) - VLOOKUP(C8330, 'STOK RAPORU'!$C$2:$I$1000, 4, 0))), 0)</f>
        <v>0</v>
      </c>
      <c r="U8330" s="22">
        <f t="shared" si="524"/>
        <v>0</v>
      </c>
      <c r="V8330">
        <f t="shared" si="525"/>
        <v>0</v>
      </c>
      <c r="W8330" s="22">
        <f t="shared" si="526"/>
        <v>0</v>
      </c>
    </row>
    <row r="8331" spans="1:23" hidden="1" x14ac:dyDescent="0.25">
      <c r="A8331" s="4"/>
      <c r="B8331" s="4"/>
      <c r="C8331" s="4"/>
      <c r="D8331" s="4"/>
      <c r="E8331" s="4"/>
      <c r="F8331" s="4"/>
      <c r="G8331" s="4"/>
      <c r="H8331" s="4"/>
      <c r="I8331" s="4"/>
      <c r="J8331" s="21">
        <f>IFERROR(VLOOKUP(C8331,'STOK KARTLARI'!$C$2:$K$2150,8,0),0)</f>
        <v>0</v>
      </c>
      <c r="K8331" s="21">
        <f t="shared" si="527"/>
        <v>0</v>
      </c>
      <c r="L8331" s="5">
        <f t="shared" si="529"/>
        <v>0</v>
      </c>
      <c r="M8331" s="4"/>
      <c r="N8331" s="4"/>
      <c r="O8331" s="5"/>
      <c r="P8331" s="5"/>
      <c r="Q8331" s="21">
        <f t="shared" si="530"/>
        <v>0</v>
      </c>
      <c r="R8331" s="21">
        <f t="shared" si="528"/>
        <v>0</v>
      </c>
      <c r="S8331" s="5">
        <f t="shared" si="531"/>
        <v>70007.077158325032</v>
      </c>
      <c r="T8331" cm="1">
        <f t="array" ref="T8331">IF(OR(B8331="MAL ALIMI", B8331="ÜRETİM GİRİŞ"), MIN(I8331, MAX(0, I8331 + SUM(SUMIFS($I$1:I8330, $C$1:C8330, C8331, $B$1:B8330, {"MAL ALIMI","ÜRETİM GİRİŞ"})) - VLOOKUP(C8331, 'STOK RAPORU'!$C$2:$I$1000, 4, 0))), 0)</f>
        <v>0</v>
      </c>
      <c r="U8331" s="22">
        <f t="shared" si="524"/>
        <v>0</v>
      </c>
      <c r="V8331">
        <f t="shared" si="525"/>
        <v>0</v>
      </c>
      <c r="W8331" s="22">
        <f t="shared" si="526"/>
        <v>0</v>
      </c>
    </row>
    <row r="8332" spans="1:23" hidden="1" x14ac:dyDescent="0.25">
      <c r="A8332" s="4"/>
      <c r="B8332" s="4"/>
      <c r="C8332" s="4"/>
      <c r="D8332" s="4"/>
      <c r="E8332" s="4"/>
      <c r="F8332" s="4"/>
      <c r="G8332" s="4"/>
      <c r="H8332" s="4"/>
      <c r="I8332" s="4"/>
      <c r="J8332" s="21">
        <f>IFERROR(VLOOKUP(C8332,'STOK KARTLARI'!$C$2:$K$2150,8,0),0)</f>
        <v>0</v>
      </c>
      <c r="K8332" s="21">
        <f t="shared" si="527"/>
        <v>0</v>
      </c>
      <c r="L8332" s="5">
        <f t="shared" si="529"/>
        <v>0</v>
      </c>
      <c r="M8332" s="4"/>
      <c r="N8332" s="4"/>
      <c r="O8332" s="5"/>
      <c r="P8332" s="5"/>
      <c r="Q8332" s="21">
        <f t="shared" si="530"/>
        <v>0</v>
      </c>
      <c r="R8332" s="21">
        <f t="shared" si="528"/>
        <v>0</v>
      </c>
      <c r="S8332" s="5">
        <f t="shared" si="531"/>
        <v>70007.077158325032</v>
      </c>
      <c r="T8332" cm="1">
        <f t="array" ref="T8332">IF(OR(B8332="MAL ALIMI", B8332="ÜRETİM GİRİŞ"), MIN(I8332, MAX(0, I8332 + SUM(SUMIFS($I$1:I8331, $C$1:C8331, C8332, $B$1:B8331, {"MAL ALIMI","ÜRETİM GİRİŞ"})) - VLOOKUP(C8332, 'STOK RAPORU'!$C$2:$I$1000, 4, 0))), 0)</f>
        <v>0</v>
      </c>
      <c r="U8332" s="22">
        <f t="shared" si="524"/>
        <v>0</v>
      </c>
      <c r="V8332">
        <f t="shared" si="525"/>
        <v>0</v>
      </c>
      <c r="W8332" s="22">
        <f t="shared" si="526"/>
        <v>0</v>
      </c>
    </row>
    <row r="8333" spans="1:23" hidden="1" x14ac:dyDescent="0.25">
      <c r="A8333" s="4"/>
      <c r="B8333" s="4"/>
      <c r="C8333" s="4"/>
      <c r="D8333" s="4"/>
      <c r="E8333" s="4"/>
      <c r="F8333" s="4"/>
      <c r="G8333" s="4"/>
      <c r="H8333" s="4"/>
      <c r="I8333" s="4"/>
      <c r="J8333" s="21">
        <f>IFERROR(VLOOKUP(C8333,'STOK KARTLARI'!$C$2:$K$2150,8,0),0)</f>
        <v>0</v>
      </c>
      <c r="K8333" s="21">
        <f t="shared" si="527"/>
        <v>0</v>
      </c>
      <c r="L8333" s="5">
        <f t="shared" si="529"/>
        <v>0</v>
      </c>
      <c r="M8333" s="4"/>
      <c r="N8333" s="4"/>
      <c r="O8333" s="5"/>
      <c r="P8333" s="5"/>
      <c r="Q8333" s="21">
        <f t="shared" si="530"/>
        <v>0</v>
      </c>
      <c r="R8333" s="21">
        <f t="shared" si="528"/>
        <v>0</v>
      </c>
      <c r="S8333" s="5">
        <f t="shared" si="531"/>
        <v>70007.077158325032</v>
      </c>
      <c r="T8333" cm="1">
        <f t="array" ref="T8333">IF(OR(B8333="MAL ALIMI", B8333="ÜRETİM GİRİŞ"), MIN(I8333, MAX(0, I8333 + SUM(SUMIFS($I$1:I8332, $C$1:C8332, C8333, $B$1:B8332, {"MAL ALIMI","ÜRETİM GİRİŞ"})) - VLOOKUP(C8333, 'STOK RAPORU'!$C$2:$I$1000, 4, 0))), 0)</f>
        <v>0</v>
      </c>
      <c r="U8333" s="22">
        <f t="shared" si="524"/>
        <v>0</v>
      </c>
      <c r="V8333">
        <f t="shared" si="525"/>
        <v>0</v>
      </c>
      <c r="W8333" s="22">
        <f t="shared" si="526"/>
        <v>0</v>
      </c>
    </row>
    <row r="8334" spans="1:23" hidden="1" x14ac:dyDescent="0.25">
      <c r="A8334" s="3"/>
      <c r="B8334" s="4"/>
      <c r="C8334" s="4"/>
      <c r="D8334" s="4"/>
      <c r="E8334" s="4"/>
      <c r="F8334" s="4"/>
      <c r="G8334" s="4"/>
      <c r="H8334" s="4"/>
      <c r="I8334" s="4"/>
      <c r="J8334" s="21">
        <f>IFERROR(VLOOKUP(C8334,'STOK KARTLARI'!$C$2:$K$2150,8,0),0)</f>
        <v>0</v>
      </c>
      <c r="K8334" s="21">
        <f t="shared" si="527"/>
        <v>0</v>
      </c>
      <c r="L8334" s="5">
        <f t="shared" si="529"/>
        <v>0</v>
      </c>
      <c r="M8334" s="4"/>
      <c r="N8334" s="4"/>
      <c r="O8334" s="5"/>
      <c r="P8334" s="5"/>
      <c r="Q8334" s="21">
        <f t="shared" si="530"/>
        <v>0</v>
      </c>
      <c r="R8334" s="21">
        <f t="shared" si="528"/>
        <v>0</v>
      </c>
      <c r="S8334" s="5">
        <f t="shared" si="531"/>
        <v>70007.077158325032</v>
      </c>
      <c r="T8334" cm="1">
        <f t="array" ref="T8334">IF(OR(B8334="MAL ALIMI", B8334="ÜRETİM GİRİŞ"), MIN(I8334, MAX(0, I8334 + SUM(SUMIFS($I$1:I8333, $C$1:C8333, C8334, $B$1:B8333, {"MAL ALIMI","ÜRETİM GİRİŞ"})) - VLOOKUP(C8334, 'STOK RAPORU'!$C$2:$I$1000, 4, 0))), 0)</f>
        <v>0</v>
      </c>
      <c r="U8334" s="22">
        <f t="shared" si="524"/>
        <v>0</v>
      </c>
      <c r="V8334">
        <f t="shared" si="525"/>
        <v>0</v>
      </c>
      <c r="W8334" s="22">
        <f t="shared" si="526"/>
        <v>0</v>
      </c>
    </row>
    <row r="8335" spans="1:23" hidden="1" x14ac:dyDescent="0.25">
      <c r="A8335" s="4"/>
      <c r="B8335" s="4"/>
      <c r="C8335" s="4"/>
      <c r="D8335" s="4"/>
      <c r="E8335" s="4"/>
      <c r="F8335" s="4"/>
      <c r="G8335" s="4"/>
      <c r="H8335" s="4"/>
      <c r="I8335" s="4"/>
      <c r="J8335" s="21">
        <f>IFERROR(VLOOKUP(C8335,'STOK KARTLARI'!$C$2:$K$2150,8,0),0)</f>
        <v>0</v>
      </c>
      <c r="K8335" s="21">
        <f t="shared" si="527"/>
        <v>0</v>
      </c>
      <c r="L8335" s="5">
        <f t="shared" si="529"/>
        <v>0</v>
      </c>
      <c r="M8335" s="4"/>
      <c r="N8335" s="4"/>
      <c r="O8335" s="5"/>
      <c r="P8335" s="5"/>
      <c r="Q8335" s="21">
        <f t="shared" si="530"/>
        <v>0</v>
      </c>
      <c r="R8335" s="21">
        <f t="shared" si="528"/>
        <v>0</v>
      </c>
      <c r="S8335" s="5">
        <f t="shared" si="531"/>
        <v>70007.077158325032</v>
      </c>
      <c r="T8335" cm="1">
        <f t="array" ref="T8335">IF(OR(B8335="MAL ALIMI", B8335="ÜRETİM GİRİŞ"), MIN(I8335, MAX(0, I8335 + SUM(SUMIFS($I$1:I8334, $C$1:C8334, C8335, $B$1:B8334, {"MAL ALIMI","ÜRETİM GİRİŞ"})) - VLOOKUP(C8335, 'STOK RAPORU'!$C$2:$I$1000, 4, 0))), 0)</f>
        <v>0</v>
      </c>
      <c r="U8335" s="22">
        <f t="shared" si="524"/>
        <v>0</v>
      </c>
      <c r="V8335">
        <f t="shared" si="525"/>
        <v>0</v>
      </c>
      <c r="W8335" s="22">
        <f t="shared" si="526"/>
        <v>0</v>
      </c>
    </row>
    <row r="8336" spans="1:23" hidden="1" x14ac:dyDescent="0.25">
      <c r="A8336" s="4"/>
      <c r="B8336" s="4"/>
      <c r="C8336" s="4"/>
      <c r="D8336" s="4"/>
      <c r="E8336" s="4"/>
      <c r="F8336" s="4"/>
      <c r="G8336" s="4"/>
      <c r="H8336" s="4"/>
      <c r="I8336" s="4"/>
      <c r="J8336" s="21">
        <f>IFERROR(VLOOKUP(C8336,'STOK KARTLARI'!$C$2:$K$2150,8,0),0)</f>
        <v>0</v>
      </c>
      <c r="K8336" s="21">
        <f t="shared" si="527"/>
        <v>0</v>
      </c>
      <c r="L8336" s="5">
        <f t="shared" si="529"/>
        <v>0</v>
      </c>
      <c r="M8336" s="4"/>
      <c r="N8336" s="4"/>
      <c r="O8336" s="5"/>
      <c r="P8336" s="5"/>
      <c r="Q8336" s="21">
        <f t="shared" si="530"/>
        <v>0</v>
      </c>
      <c r="R8336" s="21">
        <f t="shared" si="528"/>
        <v>0</v>
      </c>
      <c r="S8336" s="5">
        <f t="shared" si="531"/>
        <v>70007.077158325032</v>
      </c>
      <c r="T8336" cm="1">
        <f t="array" ref="T8336">IF(OR(B8336="MAL ALIMI", B8336="ÜRETİM GİRİŞ"), MIN(I8336, MAX(0, I8336 + SUM(SUMIFS($I$1:I8335, $C$1:C8335, C8336, $B$1:B8335, {"MAL ALIMI","ÜRETİM GİRİŞ"})) - VLOOKUP(C8336, 'STOK RAPORU'!$C$2:$I$1000, 4, 0))), 0)</f>
        <v>0</v>
      </c>
      <c r="U8336" s="22">
        <f t="shared" si="524"/>
        <v>0</v>
      </c>
      <c r="V8336">
        <f t="shared" si="525"/>
        <v>0</v>
      </c>
      <c r="W8336" s="22">
        <f t="shared" si="526"/>
        <v>0</v>
      </c>
    </row>
    <row r="8337" spans="1:23" hidden="1" x14ac:dyDescent="0.25">
      <c r="A8337" s="4"/>
      <c r="B8337" s="4"/>
      <c r="C8337" s="4"/>
      <c r="D8337" s="4"/>
      <c r="E8337" s="4"/>
      <c r="F8337" s="4"/>
      <c r="G8337" s="4"/>
      <c r="H8337" s="4"/>
      <c r="I8337" s="4"/>
      <c r="J8337" s="21">
        <f>IFERROR(VLOOKUP(C8337,'STOK KARTLARI'!$C$2:$K$2150,8,0),0)</f>
        <v>0</v>
      </c>
      <c r="K8337" s="21">
        <f t="shared" si="527"/>
        <v>0</v>
      </c>
      <c r="L8337" s="5">
        <f t="shared" si="529"/>
        <v>0</v>
      </c>
      <c r="M8337" s="4"/>
      <c r="N8337" s="4"/>
      <c r="O8337" s="5"/>
      <c r="P8337" s="5"/>
      <c r="Q8337" s="21">
        <f t="shared" si="530"/>
        <v>0</v>
      </c>
      <c r="R8337" s="21">
        <f t="shared" si="528"/>
        <v>0</v>
      </c>
      <c r="S8337" s="5">
        <f t="shared" si="531"/>
        <v>70007.077158325032</v>
      </c>
      <c r="T8337" cm="1">
        <f t="array" ref="T8337">IF(OR(B8337="MAL ALIMI", B8337="ÜRETİM GİRİŞ"), MIN(I8337, MAX(0, I8337 + SUM(SUMIFS($I$1:I8336, $C$1:C8336, C8337, $B$1:B8336, {"MAL ALIMI","ÜRETİM GİRİŞ"})) - VLOOKUP(C8337, 'STOK RAPORU'!$C$2:$I$1000, 4, 0))), 0)</f>
        <v>0</v>
      </c>
      <c r="U8337" s="22">
        <f t="shared" si="524"/>
        <v>0</v>
      </c>
      <c r="V8337">
        <f t="shared" si="525"/>
        <v>0</v>
      </c>
      <c r="W8337" s="22">
        <f t="shared" si="526"/>
        <v>0</v>
      </c>
    </row>
    <row r="8338" spans="1:23" hidden="1" x14ac:dyDescent="0.25">
      <c r="A8338" s="4"/>
      <c r="B8338" s="4"/>
      <c r="C8338" s="4"/>
      <c r="D8338" s="4"/>
      <c r="E8338" s="4"/>
      <c r="F8338" s="4"/>
      <c r="G8338" s="4"/>
      <c r="H8338" s="4"/>
      <c r="I8338" s="4"/>
      <c r="J8338" s="21">
        <f>IFERROR(VLOOKUP(C8338,'STOK KARTLARI'!$C$2:$K$2150,8,0),0)</f>
        <v>0</v>
      </c>
      <c r="K8338" s="21">
        <f t="shared" si="527"/>
        <v>0</v>
      </c>
      <c r="L8338" s="5">
        <f t="shared" si="529"/>
        <v>0</v>
      </c>
      <c r="M8338" s="4"/>
      <c r="N8338" s="4"/>
      <c r="O8338" s="5"/>
      <c r="P8338" s="5"/>
      <c r="Q8338" s="21">
        <f t="shared" si="530"/>
        <v>0</v>
      </c>
      <c r="R8338" s="21">
        <f t="shared" si="528"/>
        <v>0</v>
      </c>
      <c r="S8338" s="5">
        <f t="shared" si="531"/>
        <v>70007.077158325032</v>
      </c>
      <c r="T8338" cm="1">
        <f t="array" ref="T8338">IF(OR(B8338="MAL ALIMI", B8338="ÜRETİM GİRİŞ"), MIN(I8338, MAX(0, I8338 + SUM(SUMIFS($I$1:I8337, $C$1:C8337, C8338, $B$1:B8337, {"MAL ALIMI","ÜRETİM GİRİŞ"})) - VLOOKUP(C8338, 'STOK RAPORU'!$C$2:$I$1000, 4, 0))), 0)</f>
        <v>0</v>
      </c>
      <c r="U8338" s="22">
        <f t="shared" si="524"/>
        <v>0</v>
      </c>
      <c r="V8338">
        <f t="shared" si="525"/>
        <v>0</v>
      </c>
      <c r="W8338" s="22">
        <f t="shared" si="526"/>
        <v>0</v>
      </c>
    </row>
    <row r="8339" spans="1:23" hidden="1" x14ac:dyDescent="0.25">
      <c r="A8339" s="4"/>
      <c r="B8339" s="4"/>
      <c r="C8339" s="4"/>
      <c r="D8339" s="4"/>
      <c r="E8339" s="4"/>
      <c r="F8339" s="4"/>
      <c r="G8339" s="4"/>
      <c r="H8339" s="4"/>
      <c r="I8339" s="4"/>
      <c r="J8339" s="21">
        <f>IFERROR(VLOOKUP(C8339,'STOK KARTLARI'!$C$2:$K$2150,8,0),0)</f>
        <v>0</v>
      </c>
      <c r="K8339" s="21">
        <f t="shared" si="527"/>
        <v>0</v>
      </c>
      <c r="L8339" s="5">
        <f t="shared" si="529"/>
        <v>0</v>
      </c>
      <c r="M8339" s="4"/>
      <c r="N8339" s="4"/>
      <c r="O8339" s="5"/>
      <c r="P8339" s="5"/>
      <c r="Q8339" s="21">
        <f t="shared" si="530"/>
        <v>0</v>
      </c>
      <c r="R8339" s="21">
        <f t="shared" si="528"/>
        <v>0</v>
      </c>
      <c r="S8339" s="5">
        <f t="shared" si="531"/>
        <v>70007.077158325032</v>
      </c>
      <c r="T8339" cm="1">
        <f t="array" ref="T8339">IF(OR(B8339="MAL ALIMI", B8339="ÜRETİM GİRİŞ"), MIN(I8339, MAX(0, I8339 + SUM(SUMIFS($I$1:I8338, $C$1:C8338, C8339, $B$1:B8338, {"MAL ALIMI","ÜRETİM GİRİŞ"})) - VLOOKUP(C8339, 'STOK RAPORU'!$C$2:$I$1000, 4, 0))), 0)</f>
        <v>0</v>
      </c>
      <c r="U8339" s="22">
        <f t="shared" si="524"/>
        <v>0</v>
      </c>
      <c r="V8339">
        <f t="shared" si="525"/>
        <v>0</v>
      </c>
      <c r="W8339" s="22">
        <f t="shared" si="526"/>
        <v>0</v>
      </c>
    </row>
    <row r="8340" spans="1:23" hidden="1" x14ac:dyDescent="0.25">
      <c r="A8340" s="4"/>
      <c r="B8340" s="4"/>
      <c r="C8340" s="4"/>
      <c r="D8340" s="4"/>
      <c r="E8340" s="4"/>
      <c r="F8340" s="4"/>
      <c r="G8340" s="4"/>
      <c r="H8340" s="4"/>
      <c r="I8340" s="4"/>
      <c r="J8340" s="21">
        <f>IFERROR(VLOOKUP(C8340,'STOK KARTLARI'!$C$2:$K$2150,8,0),0)</f>
        <v>0</v>
      </c>
      <c r="K8340" s="21">
        <f t="shared" si="527"/>
        <v>0</v>
      </c>
      <c r="L8340" s="5">
        <f t="shared" si="529"/>
        <v>0</v>
      </c>
      <c r="M8340" s="4"/>
      <c r="N8340" s="4"/>
      <c r="O8340" s="5"/>
      <c r="P8340" s="5"/>
      <c r="Q8340" s="21">
        <f t="shared" si="530"/>
        <v>0</v>
      </c>
      <c r="R8340" s="21">
        <f t="shared" si="528"/>
        <v>0</v>
      </c>
      <c r="S8340" s="5">
        <f t="shared" si="531"/>
        <v>70007.077158325032</v>
      </c>
      <c r="T8340" cm="1">
        <f t="array" ref="T8340">IF(OR(B8340="MAL ALIMI", B8340="ÜRETİM GİRİŞ"), MIN(I8340, MAX(0, I8340 + SUM(SUMIFS($I$1:I8339, $C$1:C8339, C8340, $B$1:B8339, {"MAL ALIMI","ÜRETİM GİRİŞ"})) - VLOOKUP(C8340, 'STOK RAPORU'!$C$2:$I$1000, 4, 0))), 0)</f>
        <v>0</v>
      </c>
      <c r="U8340" s="22">
        <f t="shared" si="524"/>
        <v>0</v>
      </c>
      <c r="V8340">
        <f t="shared" si="525"/>
        <v>0</v>
      </c>
      <c r="W8340" s="22">
        <f t="shared" si="526"/>
        <v>0</v>
      </c>
    </row>
    <row r="8341" spans="1:23" hidden="1" x14ac:dyDescent="0.25">
      <c r="A8341" s="3"/>
      <c r="B8341" s="4"/>
      <c r="C8341" s="4"/>
      <c r="D8341" s="4"/>
      <c r="E8341" s="4"/>
      <c r="F8341" s="4"/>
      <c r="G8341" s="4"/>
      <c r="H8341" s="4"/>
      <c r="I8341" s="4"/>
      <c r="J8341" s="21">
        <f>IFERROR(VLOOKUP(C8341,'STOK KARTLARI'!$C$2:$K$2150,8,0),0)</f>
        <v>0</v>
      </c>
      <c r="K8341" s="21">
        <f t="shared" si="527"/>
        <v>0</v>
      </c>
      <c r="L8341" s="5">
        <f t="shared" si="529"/>
        <v>0</v>
      </c>
      <c r="M8341" s="4"/>
      <c r="N8341" s="4"/>
      <c r="O8341" s="5"/>
      <c r="P8341" s="5"/>
      <c r="Q8341" s="21">
        <f t="shared" si="530"/>
        <v>0</v>
      </c>
      <c r="R8341" s="21">
        <f t="shared" si="528"/>
        <v>0</v>
      </c>
      <c r="S8341" s="5">
        <f t="shared" si="531"/>
        <v>70007.077158325032</v>
      </c>
      <c r="T8341" cm="1">
        <f t="array" ref="T8341">IF(OR(B8341="MAL ALIMI", B8341="ÜRETİM GİRİŞ"), MIN(I8341, MAX(0, I8341 + SUM(SUMIFS($I$1:I8340, $C$1:C8340, C8341, $B$1:B8340, {"MAL ALIMI","ÜRETİM GİRİŞ"})) - VLOOKUP(C8341, 'STOK RAPORU'!$C$2:$I$1000, 4, 0))), 0)</f>
        <v>0</v>
      </c>
      <c r="U8341" s="22">
        <f t="shared" si="524"/>
        <v>0</v>
      </c>
      <c r="V8341">
        <f t="shared" si="525"/>
        <v>0</v>
      </c>
      <c r="W8341" s="22">
        <f t="shared" si="526"/>
        <v>0</v>
      </c>
    </row>
    <row r="8342" spans="1:23" hidden="1" x14ac:dyDescent="0.25">
      <c r="A8342" s="4"/>
      <c r="B8342" s="4"/>
      <c r="C8342" s="4"/>
      <c r="D8342" s="4"/>
      <c r="E8342" s="4"/>
      <c r="F8342" s="4"/>
      <c r="G8342" s="4"/>
      <c r="H8342" s="4"/>
      <c r="I8342" s="4"/>
      <c r="J8342" s="21">
        <f>IFERROR(VLOOKUP(C8342,'STOK KARTLARI'!$C$2:$K$2150,8,0),0)</f>
        <v>0</v>
      </c>
      <c r="K8342" s="21">
        <f t="shared" si="527"/>
        <v>0</v>
      </c>
      <c r="L8342" s="5">
        <f t="shared" si="529"/>
        <v>0</v>
      </c>
      <c r="M8342" s="4"/>
      <c r="N8342" s="4"/>
      <c r="O8342" s="5"/>
      <c r="P8342" s="5"/>
      <c r="Q8342" s="21">
        <f t="shared" si="530"/>
        <v>0</v>
      </c>
      <c r="R8342" s="21">
        <f t="shared" si="528"/>
        <v>0</v>
      </c>
      <c r="S8342" s="5">
        <f t="shared" si="531"/>
        <v>70007.077158325032</v>
      </c>
      <c r="T8342" cm="1">
        <f t="array" ref="T8342">IF(OR(B8342="MAL ALIMI", B8342="ÜRETİM GİRİŞ"), MIN(I8342, MAX(0, I8342 + SUM(SUMIFS($I$1:I8341, $C$1:C8341, C8342, $B$1:B8341, {"MAL ALIMI","ÜRETİM GİRİŞ"})) - VLOOKUP(C8342, 'STOK RAPORU'!$C$2:$I$1000, 4, 0))), 0)</f>
        <v>0</v>
      </c>
      <c r="U8342" s="22">
        <f t="shared" si="524"/>
        <v>0</v>
      </c>
      <c r="V8342">
        <f t="shared" si="525"/>
        <v>0</v>
      </c>
      <c r="W8342" s="22">
        <f t="shared" si="526"/>
        <v>0</v>
      </c>
    </row>
    <row r="8343" spans="1:23" hidden="1" x14ac:dyDescent="0.25">
      <c r="A8343" s="4"/>
      <c r="B8343" s="4"/>
      <c r="C8343" s="4"/>
      <c r="D8343" s="4"/>
      <c r="E8343" s="4"/>
      <c r="F8343" s="4"/>
      <c r="G8343" s="4"/>
      <c r="H8343" s="4"/>
      <c r="I8343" s="4"/>
      <c r="J8343" s="21">
        <f>IFERROR(VLOOKUP(C8343,'STOK KARTLARI'!$C$2:$K$2150,8,0),0)</f>
        <v>0</v>
      </c>
      <c r="K8343" s="21">
        <f t="shared" si="527"/>
        <v>0</v>
      </c>
      <c r="L8343" s="5">
        <f t="shared" si="529"/>
        <v>0</v>
      </c>
      <c r="M8343" s="4"/>
      <c r="N8343" s="4"/>
      <c r="O8343" s="5"/>
      <c r="P8343" s="5"/>
      <c r="Q8343" s="21">
        <f t="shared" si="530"/>
        <v>0</v>
      </c>
      <c r="R8343" s="21">
        <f t="shared" si="528"/>
        <v>0</v>
      </c>
      <c r="S8343" s="5">
        <f t="shared" si="531"/>
        <v>70007.077158325032</v>
      </c>
      <c r="T8343" cm="1">
        <f t="array" ref="T8343">IF(OR(B8343="MAL ALIMI", B8343="ÜRETİM GİRİŞ"), MIN(I8343, MAX(0, I8343 + SUM(SUMIFS($I$1:I8342, $C$1:C8342, C8343, $B$1:B8342, {"MAL ALIMI","ÜRETİM GİRİŞ"})) - VLOOKUP(C8343, 'STOK RAPORU'!$C$2:$I$1000, 4, 0))), 0)</f>
        <v>0</v>
      </c>
      <c r="U8343" s="22">
        <f t="shared" si="524"/>
        <v>0</v>
      </c>
      <c r="V8343">
        <f t="shared" si="525"/>
        <v>0</v>
      </c>
      <c r="W8343" s="22">
        <f t="shared" si="526"/>
        <v>0</v>
      </c>
    </row>
    <row r="8344" spans="1:23" hidden="1" x14ac:dyDescent="0.25">
      <c r="A8344" s="4"/>
      <c r="B8344" s="4"/>
      <c r="C8344" s="4"/>
      <c r="D8344" s="4"/>
      <c r="E8344" s="4"/>
      <c r="F8344" s="4"/>
      <c r="G8344" s="4"/>
      <c r="H8344" s="4"/>
      <c r="I8344" s="4"/>
      <c r="J8344" s="21">
        <f>IFERROR(VLOOKUP(C8344,'STOK KARTLARI'!$C$2:$K$2150,8,0),0)</f>
        <v>0</v>
      </c>
      <c r="K8344" s="21">
        <f t="shared" si="527"/>
        <v>0</v>
      </c>
      <c r="L8344" s="5">
        <f t="shared" si="529"/>
        <v>0</v>
      </c>
      <c r="M8344" s="4"/>
      <c r="N8344" s="4"/>
      <c r="O8344" s="5"/>
      <c r="P8344" s="5"/>
      <c r="Q8344" s="21">
        <f t="shared" si="530"/>
        <v>0</v>
      </c>
      <c r="R8344" s="21">
        <f t="shared" si="528"/>
        <v>0</v>
      </c>
      <c r="S8344" s="5">
        <f t="shared" si="531"/>
        <v>70007.077158325032</v>
      </c>
      <c r="T8344" cm="1">
        <f t="array" ref="T8344">IF(OR(B8344="MAL ALIMI", B8344="ÜRETİM GİRİŞ"), MIN(I8344, MAX(0, I8344 + SUM(SUMIFS($I$1:I8343, $C$1:C8343, C8344, $B$1:B8343, {"MAL ALIMI","ÜRETİM GİRİŞ"})) - VLOOKUP(C8344, 'STOK RAPORU'!$C$2:$I$1000, 4, 0))), 0)</f>
        <v>0</v>
      </c>
      <c r="U8344" s="22">
        <f t="shared" si="524"/>
        <v>0</v>
      </c>
      <c r="V8344">
        <f t="shared" si="525"/>
        <v>0</v>
      </c>
      <c r="W8344" s="22">
        <f t="shared" si="526"/>
        <v>0</v>
      </c>
    </row>
    <row r="8345" spans="1:23" hidden="1" x14ac:dyDescent="0.25">
      <c r="A8345" s="4"/>
      <c r="B8345" s="4"/>
      <c r="C8345" s="4"/>
      <c r="D8345" s="4"/>
      <c r="E8345" s="4"/>
      <c r="F8345" s="4"/>
      <c r="G8345" s="4"/>
      <c r="H8345" s="4"/>
      <c r="I8345" s="4"/>
      <c r="J8345" s="21">
        <f>IFERROR(VLOOKUP(C8345,'STOK KARTLARI'!$C$2:$K$2150,8,0),0)</f>
        <v>0</v>
      </c>
      <c r="K8345" s="21">
        <f t="shared" si="527"/>
        <v>0</v>
      </c>
      <c r="L8345" s="5">
        <f t="shared" si="529"/>
        <v>0</v>
      </c>
      <c r="M8345" s="4"/>
      <c r="N8345" s="4"/>
      <c r="O8345" s="5"/>
      <c r="P8345" s="5"/>
      <c r="Q8345" s="21">
        <f t="shared" si="530"/>
        <v>0</v>
      </c>
      <c r="R8345" s="21">
        <f t="shared" si="528"/>
        <v>0</v>
      </c>
      <c r="S8345" s="5">
        <f t="shared" si="531"/>
        <v>70007.077158325032</v>
      </c>
      <c r="T8345" cm="1">
        <f t="array" ref="T8345">IF(OR(B8345="MAL ALIMI", B8345="ÜRETİM GİRİŞ"), MIN(I8345, MAX(0, I8345 + SUM(SUMIFS($I$1:I8344, $C$1:C8344, C8345, $B$1:B8344, {"MAL ALIMI","ÜRETİM GİRİŞ"})) - VLOOKUP(C8345, 'STOK RAPORU'!$C$2:$I$1000, 4, 0))), 0)</f>
        <v>0</v>
      </c>
      <c r="U8345" s="22">
        <f t="shared" si="524"/>
        <v>0</v>
      </c>
      <c r="V8345">
        <f t="shared" si="525"/>
        <v>0</v>
      </c>
      <c r="W8345" s="22">
        <f t="shared" si="526"/>
        <v>0</v>
      </c>
    </row>
    <row r="8346" spans="1:23" hidden="1" x14ac:dyDescent="0.25">
      <c r="A8346" s="4"/>
      <c r="B8346" s="4"/>
      <c r="C8346" s="4"/>
      <c r="D8346" s="4"/>
      <c r="E8346" s="4"/>
      <c r="F8346" s="4"/>
      <c r="G8346" s="4"/>
      <c r="H8346" s="4"/>
      <c r="I8346" s="4"/>
      <c r="J8346" s="21">
        <f>IFERROR(VLOOKUP(C8346,'STOK KARTLARI'!$C$2:$K$2150,8,0),0)</f>
        <v>0</v>
      </c>
      <c r="K8346" s="21">
        <f t="shared" si="527"/>
        <v>0</v>
      </c>
      <c r="L8346" s="5">
        <f t="shared" si="529"/>
        <v>0</v>
      </c>
      <c r="M8346" s="4"/>
      <c r="N8346" s="4"/>
      <c r="O8346" s="5"/>
      <c r="P8346" s="5"/>
      <c r="Q8346" s="21">
        <f t="shared" si="530"/>
        <v>0</v>
      </c>
      <c r="R8346" s="21">
        <f t="shared" si="528"/>
        <v>0</v>
      </c>
      <c r="S8346" s="5">
        <f t="shared" si="531"/>
        <v>70007.077158325032</v>
      </c>
      <c r="T8346" cm="1">
        <f t="array" ref="T8346">IF(OR(B8346="MAL ALIMI", B8346="ÜRETİM GİRİŞ"), MIN(I8346, MAX(0, I8346 + SUM(SUMIFS($I$1:I8345, $C$1:C8345, C8346, $B$1:B8345, {"MAL ALIMI","ÜRETİM GİRİŞ"})) - VLOOKUP(C8346, 'STOK RAPORU'!$C$2:$I$1000, 4, 0))), 0)</f>
        <v>0</v>
      </c>
      <c r="U8346" s="22">
        <f t="shared" si="524"/>
        <v>0</v>
      </c>
      <c r="V8346">
        <f t="shared" si="525"/>
        <v>0</v>
      </c>
      <c r="W8346" s="22">
        <f t="shared" si="526"/>
        <v>0</v>
      </c>
    </row>
    <row r="8347" spans="1:23" hidden="1" x14ac:dyDescent="0.25">
      <c r="A8347" s="4"/>
      <c r="B8347" s="4"/>
      <c r="C8347" s="4"/>
      <c r="D8347" s="4"/>
      <c r="E8347" s="4"/>
      <c r="F8347" s="4"/>
      <c r="G8347" s="4"/>
      <c r="H8347" s="4"/>
      <c r="I8347" s="4"/>
      <c r="J8347" s="21">
        <f>IFERROR(VLOOKUP(C8347,'STOK KARTLARI'!$C$2:$K$2150,8,0),0)</f>
        <v>0</v>
      </c>
      <c r="K8347" s="21">
        <f t="shared" si="527"/>
        <v>0</v>
      </c>
      <c r="L8347" s="5">
        <f t="shared" si="529"/>
        <v>0</v>
      </c>
      <c r="M8347" s="4"/>
      <c r="N8347" s="4"/>
      <c r="O8347" s="5"/>
      <c r="P8347" s="5"/>
      <c r="Q8347" s="21">
        <f t="shared" si="530"/>
        <v>0</v>
      </c>
      <c r="R8347" s="21">
        <f t="shared" si="528"/>
        <v>0</v>
      </c>
      <c r="S8347" s="5">
        <f t="shared" si="531"/>
        <v>70007.077158325032</v>
      </c>
      <c r="T8347" cm="1">
        <f t="array" ref="T8347">IF(OR(B8347="MAL ALIMI", B8347="ÜRETİM GİRİŞ"), MIN(I8347, MAX(0, I8347 + SUM(SUMIFS($I$1:I8346, $C$1:C8346, C8347, $B$1:B8346, {"MAL ALIMI","ÜRETİM GİRİŞ"})) - VLOOKUP(C8347, 'STOK RAPORU'!$C$2:$I$1000, 4, 0))), 0)</f>
        <v>0</v>
      </c>
      <c r="U8347" s="22">
        <f t="shared" si="524"/>
        <v>0</v>
      </c>
      <c r="V8347">
        <f t="shared" si="525"/>
        <v>0</v>
      </c>
      <c r="W8347" s="22">
        <f t="shared" si="526"/>
        <v>0</v>
      </c>
    </row>
    <row r="8348" spans="1:23" hidden="1" x14ac:dyDescent="0.25">
      <c r="A8348" s="3"/>
      <c r="B8348" s="4"/>
      <c r="C8348" s="4"/>
      <c r="D8348" s="4"/>
      <c r="E8348" s="4"/>
      <c r="F8348" s="4"/>
      <c r="G8348" s="4"/>
      <c r="H8348" s="4"/>
      <c r="I8348" s="4"/>
      <c r="J8348" s="21">
        <f>IFERROR(VLOOKUP(C8348,'STOK KARTLARI'!$C$2:$K$2150,8,0),0)</f>
        <v>0</v>
      </c>
      <c r="K8348" s="21">
        <f t="shared" si="527"/>
        <v>0</v>
      </c>
      <c r="L8348" s="5">
        <f t="shared" si="529"/>
        <v>0</v>
      </c>
      <c r="M8348" s="4"/>
      <c r="N8348" s="4"/>
      <c r="O8348" s="5"/>
      <c r="P8348" s="5"/>
      <c r="Q8348" s="21">
        <f t="shared" si="530"/>
        <v>0</v>
      </c>
      <c r="R8348" s="21">
        <f t="shared" si="528"/>
        <v>0</v>
      </c>
      <c r="S8348" s="5">
        <f t="shared" si="531"/>
        <v>70007.077158325032</v>
      </c>
      <c r="T8348" cm="1">
        <f t="array" ref="T8348">IF(OR(B8348="MAL ALIMI", B8348="ÜRETİM GİRİŞ"), MIN(I8348, MAX(0, I8348 + SUM(SUMIFS($I$1:I8347, $C$1:C8347, C8348, $B$1:B8347, {"MAL ALIMI","ÜRETİM GİRİŞ"})) - VLOOKUP(C8348, 'STOK RAPORU'!$C$2:$I$1000, 4, 0))), 0)</f>
        <v>0</v>
      </c>
      <c r="U8348" s="22">
        <f t="shared" si="524"/>
        <v>0</v>
      </c>
      <c r="V8348">
        <f t="shared" si="525"/>
        <v>0</v>
      </c>
      <c r="W8348" s="22">
        <f t="shared" si="526"/>
        <v>0</v>
      </c>
    </row>
    <row r="8349" spans="1:23" hidden="1" x14ac:dyDescent="0.25">
      <c r="A8349" s="4"/>
      <c r="B8349" s="4"/>
      <c r="C8349" s="4"/>
      <c r="D8349" s="4"/>
      <c r="E8349" s="4"/>
      <c r="F8349" s="4"/>
      <c r="G8349" s="4"/>
      <c r="H8349" s="4"/>
      <c r="I8349" s="4"/>
      <c r="J8349" s="21">
        <f>IFERROR(VLOOKUP(C8349,'STOK KARTLARI'!$C$2:$K$2150,8,0),0)</f>
        <v>0</v>
      </c>
      <c r="K8349" s="21">
        <f t="shared" si="527"/>
        <v>0</v>
      </c>
      <c r="L8349" s="5">
        <f t="shared" si="529"/>
        <v>0</v>
      </c>
      <c r="M8349" s="4"/>
      <c r="N8349" s="4"/>
      <c r="O8349" s="5"/>
      <c r="P8349" s="5"/>
      <c r="Q8349" s="21">
        <f t="shared" si="530"/>
        <v>0</v>
      </c>
      <c r="R8349" s="21">
        <f t="shared" si="528"/>
        <v>0</v>
      </c>
      <c r="S8349" s="5">
        <f t="shared" si="531"/>
        <v>70007.077158325032</v>
      </c>
      <c r="T8349" cm="1">
        <f t="array" ref="T8349">IF(OR(B8349="MAL ALIMI", B8349="ÜRETİM GİRİŞ"), MIN(I8349, MAX(0, I8349 + SUM(SUMIFS($I$1:I8348, $C$1:C8348, C8349, $B$1:B8348, {"MAL ALIMI","ÜRETİM GİRİŞ"})) - VLOOKUP(C8349, 'STOK RAPORU'!$C$2:$I$1000, 4, 0))), 0)</f>
        <v>0</v>
      </c>
      <c r="U8349" s="22">
        <f t="shared" si="524"/>
        <v>0</v>
      </c>
      <c r="V8349">
        <f t="shared" si="525"/>
        <v>0</v>
      </c>
      <c r="W8349" s="22">
        <f t="shared" si="526"/>
        <v>0</v>
      </c>
    </row>
    <row r="8350" spans="1:23" hidden="1" x14ac:dyDescent="0.25">
      <c r="A8350" s="4"/>
      <c r="B8350" s="4"/>
      <c r="C8350" s="4"/>
      <c r="D8350" s="4"/>
      <c r="E8350" s="4"/>
      <c r="F8350" s="4"/>
      <c r="G8350" s="4"/>
      <c r="H8350" s="4"/>
      <c r="I8350" s="4"/>
      <c r="J8350" s="21">
        <f>IFERROR(VLOOKUP(C8350,'STOK KARTLARI'!$C$2:$K$2150,8,0),0)</f>
        <v>0</v>
      </c>
      <c r="K8350" s="21">
        <f t="shared" si="527"/>
        <v>0</v>
      </c>
      <c r="L8350" s="5">
        <f t="shared" si="529"/>
        <v>0</v>
      </c>
      <c r="M8350" s="4"/>
      <c r="N8350" s="4"/>
      <c r="O8350" s="5"/>
      <c r="P8350" s="5"/>
      <c r="Q8350" s="21">
        <f t="shared" si="530"/>
        <v>0</v>
      </c>
      <c r="R8350" s="21">
        <f t="shared" si="528"/>
        <v>0</v>
      </c>
      <c r="S8350" s="5">
        <f t="shared" si="531"/>
        <v>70007.077158325032</v>
      </c>
      <c r="T8350" cm="1">
        <f t="array" ref="T8350">IF(OR(B8350="MAL ALIMI", B8350="ÜRETİM GİRİŞ"), MIN(I8350, MAX(0, I8350 + SUM(SUMIFS($I$1:I8349, $C$1:C8349, C8350, $B$1:B8349, {"MAL ALIMI","ÜRETİM GİRİŞ"})) - VLOOKUP(C8350, 'STOK RAPORU'!$C$2:$I$1000, 4, 0))), 0)</f>
        <v>0</v>
      </c>
      <c r="U8350" s="22">
        <f t="shared" si="524"/>
        <v>0</v>
      </c>
      <c r="V8350">
        <f t="shared" si="525"/>
        <v>0</v>
      </c>
      <c r="W8350" s="22">
        <f t="shared" si="526"/>
        <v>0</v>
      </c>
    </row>
    <row r="8351" spans="1:23" hidden="1" x14ac:dyDescent="0.25">
      <c r="A8351" s="4"/>
      <c r="B8351" s="4"/>
      <c r="C8351" s="4"/>
      <c r="D8351" s="4"/>
      <c r="E8351" s="4"/>
      <c r="F8351" s="4"/>
      <c r="G8351" s="4"/>
      <c r="H8351" s="4"/>
      <c r="I8351" s="4"/>
      <c r="J8351" s="21">
        <f>IFERROR(VLOOKUP(C8351,'STOK KARTLARI'!$C$2:$K$2150,8,0),0)</f>
        <v>0</v>
      </c>
      <c r="K8351" s="21">
        <f t="shared" si="527"/>
        <v>0</v>
      </c>
      <c r="L8351" s="5">
        <f t="shared" si="529"/>
        <v>0</v>
      </c>
      <c r="M8351" s="4"/>
      <c r="N8351" s="4"/>
      <c r="O8351" s="5"/>
      <c r="P8351" s="5"/>
      <c r="Q8351" s="21">
        <f t="shared" si="530"/>
        <v>0</v>
      </c>
      <c r="R8351" s="21">
        <f t="shared" si="528"/>
        <v>0</v>
      </c>
      <c r="S8351" s="5">
        <f t="shared" si="531"/>
        <v>70007.077158325032</v>
      </c>
      <c r="T8351" cm="1">
        <f t="array" ref="T8351">IF(OR(B8351="MAL ALIMI", B8351="ÜRETİM GİRİŞ"), MIN(I8351, MAX(0, I8351 + SUM(SUMIFS($I$1:I8350, $C$1:C8350, C8351, $B$1:B8350, {"MAL ALIMI","ÜRETİM GİRİŞ"})) - VLOOKUP(C8351, 'STOK RAPORU'!$C$2:$I$1000, 4, 0))), 0)</f>
        <v>0</v>
      </c>
      <c r="U8351" s="22">
        <f t="shared" si="524"/>
        <v>0</v>
      </c>
      <c r="V8351">
        <f t="shared" si="525"/>
        <v>0</v>
      </c>
      <c r="W8351" s="22">
        <f t="shared" si="526"/>
        <v>0</v>
      </c>
    </row>
    <row r="8352" spans="1:23" hidden="1" x14ac:dyDescent="0.25">
      <c r="A8352" s="4"/>
      <c r="B8352" s="4"/>
      <c r="C8352" s="4"/>
      <c r="D8352" s="4"/>
      <c r="E8352" s="4"/>
      <c r="F8352" s="4"/>
      <c r="G8352" s="4"/>
      <c r="H8352" s="4"/>
      <c r="I8352" s="4"/>
      <c r="J8352" s="21">
        <f>IFERROR(VLOOKUP(C8352,'STOK KARTLARI'!$C$2:$K$2150,8,0),0)</f>
        <v>0</v>
      </c>
      <c r="K8352" s="21">
        <f t="shared" si="527"/>
        <v>0</v>
      </c>
      <c r="L8352" s="5">
        <f t="shared" si="529"/>
        <v>0</v>
      </c>
      <c r="M8352" s="4"/>
      <c r="N8352" s="4"/>
      <c r="O8352" s="5"/>
      <c r="P8352" s="5"/>
      <c r="Q8352" s="21">
        <f t="shared" si="530"/>
        <v>0</v>
      </c>
      <c r="R8352" s="21">
        <f t="shared" si="528"/>
        <v>0</v>
      </c>
      <c r="S8352" s="5">
        <f t="shared" si="531"/>
        <v>70007.077158325032</v>
      </c>
      <c r="T8352" cm="1">
        <f t="array" ref="T8352">IF(OR(B8352="MAL ALIMI", B8352="ÜRETİM GİRİŞ"), MIN(I8352, MAX(0, I8352 + SUM(SUMIFS($I$1:I8351, $C$1:C8351, C8352, $B$1:B8351, {"MAL ALIMI","ÜRETİM GİRİŞ"})) - VLOOKUP(C8352, 'STOK RAPORU'!$C$2:$I$1000, 4, 0))), 0)</f>
        <v>0</v>
      </c>
      <c r="U8352" s="22">
        <f t="shared" si="524"/>
        <v>0</v>
      </c>
      <c r="V8352">
        <f t="shared" si="525"/>
        <v>0</v>
      </c>
      <c r="W8352" s="22">
        <f t="shared" si="526"/>
        <v>0</v>
      </c>
    </row>
    <row r="8353" spans="1:23" hidden="1" x14ac:dyDescent="0.25">
      <c r="A8353" s="4"/>
      <c r="B8353" s="4"/>
      <c r="C8353" s="4"/>
      <c r="D8353" s="4"/>
      <c r="E8353" s="4"/>
      <c r="F8353" s="4"/>
      <c r="G8353" s="4"/>
      <c r="H8353" s="4"/>
      <c r="I8353" s="4"/>
      <c r="J8353" s="21">
        <f>IFERROR(VLOOKUP(C8353,'STOK KARTLARI'!$C$2:$K$2150,8,0),0)</f>
        <v>0</v>
      </c>
      <c r="K8353" s="21">
        <f t="shared" si="527"/>
        <v>0</v>
      </c>
      <c r="L8353" s="5">
        <f t="shared" si="529"/>
        <v>0</v>
      </c>
      <c r="M8353" s="4"/>
      <c r="N8353" s="4"/>
      <c r="O8353" s="5"/>
      <c r="P8353" s="5"/>
      <c r="Q8353" s="21">
        <f t="shared" si="530"/>
        <v>0</v>
      </c>
      <c r="R8353" s="21">
        <f t="shared" si="528"/>
        <v>0</v>
      </c>
      <c r="S8353" s="5">
        <f t="shared" si="531"/>
        <v>70007.077158325032</v>
      </c>
      <c r="T8353" cm="1">
        <f t="array" ref="T8353">IF(OR(B8353="MAL ALIMI", B8353="ÜRETİM GİRİŞ"), MIN(I8353, MAX(0, I8353 + SUM(SUMIFS($I$1:I8352, $C$1:C8352, C8353, $B$1:B8352, {"MAL ALIMI","ÜRETİM GİRİŞ"})) - VLOOKUP(C8353, 'STOK RAPORU'!$C$2:$I$1000, 4, 0))), 0)</f>
        <v>0</v>
      </c>
      <c r="U8353" s="22">
        <f t="shared" si="524"/>
        <v>0</v>
      </c>
      <c r="V8353">
        <f t="shared" si="525"/>
        <v>0</v>
      </c>
      <c r="W8353" s="22">
        <f t="shared" si="526"/>
        <v>0</v>
      </c>
    </row>
    <row r="8354" spans="1:23" hidden="1" x14ac:dyDescent="0.25">
      <c r="A8354" s="4"/>
      <c r="B8354" s="4"/>
      <c r="C8354" s="4"/>
      <c r="D8354" s="4"/>
      <c r="E8354" s="4"/>
      <c r="F8354" s="4"/>
      <c r="G8354" s="4"/>
      <c r="H8354" s="4"/>
      <c r="I8354" s="4"/>
      <c r="J8354" s="21">
        <f>IFERROR(VLOOKUP(C8354,'STOK KARTLARI'!$C$2:$K$2150,8,0),0)</f>
        <v>0</v>
      </c>
      <c r="K8354" s="21">
        <f t="shared" si="527"/>
        <v>0</v>
      </c>
      <c r="L8354" s="5">
        <f t="shared" si="529"/>
        <v>0</v>
      </c>
      <c r="M8354" s="4"/>
      <c r="N8354" s="4"/>
      <c r="O8354" s="5"/>
      <c r="P8354" s="5"/>
      <c r="Q8354" s="21">
        <f t="shared" si="530"/>
        <v>0</v>
      </c>
      <c r="R8354" s="21">
        <f t="shared" si="528"/>
        <v>0</v>
      </c>
      <c r="S8354" s="5">
        <f t="shared" si="531"/>
        <v>70007.077158325032</v>
      </c>
      <c r="T8354" cm="1">
        <f t="array" ref="T8354">IF(OR(B8354="MAL ALIMI", B8354="ÜRETİM GİRİŞ"), MIN(I8354, MAX(0, I8354 + SUM(SUMIFS($I$1:I8353, $C$1:C8353, C8354, $B$1:B8353, {"MAL ALIMI","ÜRETİM GİRİŞ"})) - VLOOKUP(C8354, 'STOK RAPORU'!$C$2:$I$1000, 4, 0))), 0)</f>
        <v>0</v>
      </c>
      <c r="U8354" s="22">
        <f t="shared" si="524"/>
        <v>0</v>
      </c>
      <c r="V8354">
        <f t="shared" si="525"/>
        <v>0</v>
      </c>
      <c r="W8354" s="22">
        <f t="shared" si="526"/>
        <v>0</v>
      </c>
    </row>
    <row r="8355" spans="1:23" hidden="1" x14ac:dyDescent="0.25">
      <c r="A8355" s="3"/>
      <c r="B8355" s="4"/>
      <c r="C8355" s="4"/>
      <c r="D8355" s="4"/>
      <c r="E8355" s="4"/>
      <c r="F8355" s="4"/>
      <c r="G8355" s="4"/>
      <c r="H8355" s="4"/>
      <c r="I8355" s="4"/>
      <c r="J8355" s="21">
        <f>IFERROR(VLOOKUP(C8355,'STOK KARTLARI'!$C$2:$K$2150,8,0),0)</f>
        <v>0</v>
      </c>
      <c r="K8355" s="21">
        <f t="shared" si="527"/>
        <v>0</v>
      </c>
      <c r="L8355" s="5">
        <f t="shared" si="529"/>
        <v>0</v>
      </c>
      <c r="M8355" s="4"/>
      <c r="N8355" s="4"/>
      <c r="O8355" s="5"/>
      <c r="P8355" s="5"/>
      <c r="Q8355" s="21">
        <f t="shared" si="530"/>
        <v>0</v>
      </c>
      <c r="R8355" s="21">
        <f t="shared" si="528"/>
        <v>0</v>
      </c>
      <c r="S8355" s="5">
        <f t="shared" si="531"/>
        <v>70007.077158325032</v>
      </c>
      <c r="T8355" cm="1">
        <f t="array" ref="T8355">IF(OR(B8355="MAL ALIMI", B8355="ÜRETİM GİRİŞ"), MIN(I8355, MAX(0, I8355 + SUM(SUMIFS($I$1:I8354, $C$1:C8354, C8355, $B$1:B8354, {"MAL ALIMI","ÜRETİM GİRİŞ"})) - VLOOKUP(C8355, 'STOK RAPORU'!$C$2:$I$1000, 4, 0))), 0)</f>
        <v>0</v>
      </c>
      <c r="U8355" s="22">
        <f t="shared" si="524"/>
        <v>0</v>
      </c>
      <c r="V8355">
        <f t="shared" si="525"/>
        <v>0</v>
      </c>
      <c r="W8355" s="22">
        <f t="shared" si="526"/>
        <v>0</v>
      </c>
    </row>
    <row r="8356" spans="1:23" hidden="1" x14ac:dyDescent="0.25">
      <c r="A8356" s="4"/>
      <c r="B8356" s="4"/>
      <c r="C8356" s="4"/>
      <c r="D8356" s="4"/>
      <c r="E8356" s="4"/>
      <c r="F8356" s="4"/>
      <c r="G8356" s="4"/>
      <c r="H8356" s="4"/>
      <c r="I8356" s="4"/>
      <c r="J8356" s="21">
        <f>IFERROR(VLOOKUP(C8356,'STOK KARTLARI'!$C$2:$K$2150,8,0),0)</f>
        <v>0</v>
      </c>
      <c r="K8356" s="21">
        <f t="shared" si="527"/>
        <v>0</v>
      </c>
      <c r="L8356" s="5">
        <f t="shared" si="529"/>
        <v>0</v>
      </c>
      <c r="M8356" s="4"/>
      <c r="N8356" s="4"/>
      <c r="O8356" s="5"/>
      <c r="P8356" s="5"/>
      <c r="Q8356" s="21">
        <f t="shared" si="530"/>
        <v>0</v>
      </c>
      <c r="R8356" s="21">
        <f t="shared" si="528"/>
        <v>0</v>
      </c>
      <c r="S8356" s="5">
        <f t="shared" si="531"/>
        <v>70007.077158325032</v>
      </c>
      <c r="T8356" cm="1">
        <f t="array" ref="T8356">IF(OR(B8356="MAL ALIMI", B8356="ÜRETİM GİRİŞ"), MIN(I8356, MAX(0, I8356 + SUM(SUMIFS($I$1:I8355, $C$1:C8355, C8356, $B$1:B8355, {"MAL ALIMI","ÜRETİM GİRİŞ"})) - VLOOKUP(C8356, 'STOK RAPORU'!$C$2:$I$1000, 4, 0))), 0)</f>
        <v>0</v>
      </c>
      <c r="U8356" s="22">
        <f t="shared" si="524"/>
        <v>0</v>
      </c>
      <c r="V8356">
        <f t="shared" si="525"/>
        <v>0</v>
      </c>
      <c r="W8356" s="22">
        <f t="shared" si="526"/>
        <v>0</v>
      </c>
    </row>
    <row r="8357" spans="1:23" hidden="1" x14ac:dyDescent="0.25">
      <c r="A8357" s="4"/>
      <c r="B8357" s="4"/>
      <c r="C8357" s="4"/>
      <c r="D8357" s="4"/>
      <c r="E8357" s="4"/>
      <c r="F8357" s="4"/>
      <c r="G8357" s="4"/>
      <c r="H8357" s="4"/>
      <c r="I8357" s="4"/>
      <c r="J8357" s="21">
        <f>IFERROR(VLOOKUP(C8357,'STOK KARTLARI'!$C$2:$K$2150,8,0),0)</f>
        <v>0</v>
      </c>
      <c r="K8357" s="21">
        <f t="shared" si="527"/>
        <v>0</v>
      </c>
      <c r="L8357" s="5">
        <f t="shared" si="529"/>
        <v>0</v>
      </c>
      <c r="M8357" s="4"/>
      <c r="N8357" s="4"/>
      <c r="O8357" s="5"/>
      <c r="P8357" s="5"/>
      <c r="Q8357" s="21">
        <f t="shared" si="530"/>
        <v>0</v>
      </c>
      <c r="R8357" s="21">
        <f t="shared" si="528"/>
        <v>0</v>
      </c>
      <c r="S8357" s="5">
        <f t="shared" si="531"/>
        <v>70007.077158325032</v>
      </c>
      <c r="T8357" cm="1">
        <f t="array" ref="T8357">IF(OR(B8357="MAL ALIMI", B8357="ÜRETİM GİRİŞ"), MIN(I8357, MAX(0, I8357 + SUM(SUMIFS($I$1:I8356, $C$1:C8356, C8357, $B$1:B8356, {"MAL ALIMI","ÜRETİM GİRİŞ"})) - VLOOKUP(C8357, 'STOK RAPORU'!$C$2:$I$1000, 4, 0))), 0)</f>
        <v>0</v>
      </c>
      <c r="U8357" s="22">
        <f t="shared" si="524"/>
        <v>0</v>
      </c>
      <c r="V8357">
        <f t="shared" si="525"/>
        <v>0</v>
      </c>
      <c r="W8357" s="22">
        <f t="shared" si="526"/>
        <v>0</v>
      </c>
    </row>
    <row r="8358" spans="1:23" hidden="1" x14ac:dyDescent="0.25">
      <c r="A8358" s="4"/>
      <c r="B8358" s="4"/>
      <c r="C8358" s="4"/>
      <c r="D8358" s="4"/>
      <c r="E8358" s="4"/>
      <c r="F8358" s="4"/>
      <c r="G8358" s="4"/>
      <c r="H8358" s="4"/>
      <c r="I8358" s="4"/>
      <c r="J8358" s="21">
        <f>IFERROR(VLOOKUP(C8358,'STOK KARTLARI'!$C$2:$K$2150,8,0),0)</f>
        <v>0</v>
      </c>
      <c r="K8358" s="21">
        <f t="shared" si="527"/>
        <v>0</v>
      </c>
      <c r="L8358" s="5">
        <f t="shared" si="529"/>
        <v>0</v>
      </c>
      <c r="M8358" s="4"/>
      <c r="N8358" s="4"/>
      <c r="O8358" s="5"/>
      <c r="P8358" s="5"/>
      <c r="Q8358" s="21">
        <f t="shared" si="530"/>
        <v>0</v>
      </c>
      <c r="R8358" s="21">
        <f t="shared" si="528"/>
        <v>0</v>
      </c>
      <c r="S8358" s="5">
        <f t="shared" si="531"/>
        <v>70007.077158325032</v>
      </c>
      <c r="T8358" cm="1">
        <f t="array" ref="T8358">IF(OR(B8358="MAL ALIMI", B8358="ÜRETİM GİRİŞ"), MIN(I8358, MAX(0, I8358 + SUM(SUMIFS($I$1:I8357, $C$1:C8357, C8358, $B$1:B8357, {"MAL ALIMI","ÜRETİM GİRİŞ"})) - VLOOKUP(C8358, 'STOK RAPORU'!$C$2:$I$1000, 4, 0))), 0)</f>
        <v>0</v>
      </c>
      <c r="U8358" s="22">
        <f t="shared" si="524"/>
        <v>0</v>
      </c>
      <c r="V8358">
        <f t="shared" si="525"/>
        <v>0</v>
      </c>
      <c r="W8358" s="22">
        <f t="shared" si="526"/>
        <v>0</v>
      </c>
    </row>
    <row r="8359" spans="1:23" hidden="1" x14ac:dyDescent="0.25">
      <c r="A8359" s="4"/>
      <c r="B8359" s="4"/>
      <c r="C8359" s="4"/>
      <c r="D8359" s="4"/>
      <c r="E8359" s="4"/>
      <c r="F8359" s="4"/>
      <c r="G8359" s="4"/>
      <c r="H8359" s="4"/>
      <c r="I8359" s="4"/>
      <c r="J8359" s="21">
        <f>IFERROR(VLOOKUP(C8359,'STOK KARTLARI'!$C$2:$K$2150,8,0),0)</f>
        <v>0</v>
      </c>
      <c r="K8359" s="21">
        <f t="shared" si="527"/>
        <v>0</v>
      </c>
      <c r="L8359" s="5">
        <f t="shared" si="529"/>
        <v>0</v>
      </c>
      <c r="M8359" s="4"/>
      <c r="N8359" s="4"/>
      <c r="O8359" s="5"/>
      <c r="P8359" s="5"/>
      <c r="Q8359" s="21">
        <f t="shared" si="530"/>
        <v>0</v>
      </c>
      <c r="R8359" s="21">
        <f t="shared" si="528"/>
        <v>0</v>
      </c>
      <c r="S8359" s="5">
        <f t="shared" si="531"/>
        <v>70007.077158325032</v>
      </c>
      <c r="T8359" cm="1">
        <f t="array" ref="T8359">IF(OR(B8359="MAL ALIMI", B8359="ÜRETİM GİRİŞ"), MIN(I8359, MAX(0, I8359 + SUM(SUMIFS($I$1:I8358, $C$1:C8358, C8359, $B$1:B8358, {"MAL ALIMI","ÜRETİM GİRİŞ"})) - VLOOKUP(C8359, 'STOK RAPORU'!$C$2:$I$1000, 4, 0))), 0)</f>
        <v>0</v>
      </c>
      <c r="U8359" s="22">
        <f t="shared" si="524"/>
        <v>0</v>
      </c>
      <c r="V8359">
        <f t="shared" si="525"/>
        <v>0</v>
      </c>
      <c r="W8359" s="22">
        <f t="shared" si="526"/>
        <v>0</v>
      </c>
    </row>
    <row r="8360" spans="1:23" hidden="1" x14ac:dyDescent="0.25">
      <c r="A8360" s="4"/>
      <c r="B8360" s="4"/>
      <c r="C8360" s="4"/>
      <c r="D8360" s="4"/>
      <c r="E8360" s="4"/>
      <c r="F8360" s="4"/>
      <c r="G8360" s="4"/>
      <c r="H8360" s="4"/>
      <c r="I8360" s="4"/>
      <c r="J8360" s="21">
        <f>IFERROR(VLOOKUP(C8360,'STOK KARTLARI'!$C$2:$K$2150,8,0),0)</f>
        <v>0</v>
      </c>
      <c r="K8360" s="21">
        <f t="shared" si="527"/>
        <v>0</v>
      </c>
      <c r="L8360" s="5">
        <f t="shared" si="529"/>
        <v>0</v>
      </c>
      <c r="M8360" s="4"/>
      <c r="N8360" s="4"/>
      <c r="O8360" s="5"/>
      <c r="P8360" s="5"/>
      <c r="Q8360" s="21">
        <f t="shared" si="530"/>
        <v>0</v>
      </c>
      <c r="R8360" s="21">
        <f t="shared" si="528"/>
        <v>0</v>
      </c>
      <c r="S8360" s="5">
        <f t="shared" si="531"/>
        <v>70007.077158325032</v>
      </c>
      <c r="T8360" cm="1">
        <f t="array" ref="T8360">IF(OR(B8360="MAL ALIMI", B8360="ÜRETİM GİRİŞ"), MIN(I8360, MAX(0, I8360 + SUM(SUMIFS($I$1:I8359, $C$1:C8359, C8360, $B$1:B8359, {"MAL ALIMI","ÜRETİM GİRİŞ"})) - VLOOKUP(C8360, 'STOK RAPORU'!$C$2:$I$1000, 4, 0))), 0)</f>
        <v>0</v>
      </c>
      <c r="U8360" s="22">
        <f t="shared" si="524"/>
        <v>0</v>
      </c>
      <c r="V8360">
        <f t="shared" si="525"/>
        <v>0</v>
      </c>
      <c r="W8360" s="22">
        <f t="shared" si="526"/>
        <v>0</v>
      </c>
    </row>
    <row r="8361" spans="1:23" hidden="1" x14ac:dyDescent="0.25">
      <c r="A8361" s="4"/>
      <c r="B8361" s="4"/>
      <c r="C8361" s="4"/>
      <c r="D8361" s="4"/>
      <c r="E8361" s="4"/>
      <c r="F8361" s="4"/>
      <c r="G8361" s="4"/>
      <c r="H8361" s="4"/>
      <c r="I8361" s="4"/>
      <c r="J8361" s="21">
        <f>IFERROR(VLOOKUP(C8361,'STOK KARTLARI'!$C$2:$K$2150,8,0),0)</f>
        <v>0</v>
      </c>
      <c r="K8361" s="21">
        <f t="shared" si="527"/>
        <v>0</v>
      </c>
      <c r="L8361" s="5">
        <f t="shared" si="529"/>
        <v>0</v>
      </c>
      <c r="M8361" s="4"/>
      <c r="N8361" s="4"/>
      <c r="O8361" s="5"/>
      <c r="P8361" s="5"/>
      <c r="Q8361" s="21">
        <f t="shared" si="530"/>
        <v>0</v>
      </c>
      <c r="R8361" s="21">
        <f t="shared" si="528"/>
        <v>0</v>
      </c>
      <c r="S8361" s="5">
        <f t="shared" si="531"/>
        <v>70007.077158325032</v>
      </c>
      <c r="T8361" cm="1">
        <f t="array" ref="T8361">IF(OR(B8361="MAL ALIMI", B8361="ÜRETİM GİRİŞ"), MIN(I8361, MAX(0, I8361 + SUM(SUMIFS($I$1:I8360, $C$1:C8360, C8361, $B$1:B8360, {"MAL ALIMI","ÜRETİM GİRİŞ"})) - VLOOKUP(C8361, 'STOK RAPORU'!$C$2:$I$1000, 4, 0))), 0)</f>
        <v>0</v>
      </c>
      <c r="U8361" s="22">
        <f t="shared" si="524"/>
        <v>0</v>
      </c>
      <c r="V8361">
        <f t="shared" si="525"/>
        <v>0</v>
      </c>
      <c r="W8361" s="22">
        <f t="shared" si="526"/>
        <v>0</v>
      </c>
    </row>
    <row r="8362" spans="1:23" hidden="1" x14ac:dyDescent="0.25">
      <c r="A8362" s="3"/>
      <c r="B8362" s="4"/>
      <c r="C8362" s="4"/>
      <c r="D8362" s="4"/>
      <c r="E8362" s="4"/>
      <c r="F8362" s="4"/>
      <c r="G8362" s="4"/>
      <c r="H8362" s="4"/>
      <c r="I8362" s="4"/>
      <c r="J8362" s="21">
        <f>IFERROR(VLOOKUP(C8362,'STOK KARTLARI'!$C$2:$K$2150,8,0),0)</f>
        <v>0</v>
      </c>
      <c r="K8362" s="21">
        <f t="shared" si="527"/>
        <v>0</v>
      </c>
      <c r="L8362" s="5">
        <f t="shared" si="529"/>
        <v>0</v>
      </c>
      <c r="M8362" s="4"/>
      <c r="N8362" s="4"/>
      <c r="O8362" s="5"/>
      <c r="P8362" s="5"/>
      <c r="Q8362" s="21">
        <f t="shared" si="530"/>
        <v>0</v>
      </c>
      <c r="R8362" s="21">
        <f t="shared" si="528"/>
        <v>0</v>
      </c>
      <c r="S8362" s="5">
        <f t="shared" si="531"/>
        <v>70007.077158325032</v>
      </c>
      <c r="T8362" cm="1">
        <f t="array" ref="T8362">IF(OR(B8362="MAL ALIMI", B8362="ÜRETİM GİRİŞ"), MIN(I8362, MAX(0, I8362 + SUM(SUMIFS($I$1:I8361, $C$1:C8361, C8362, $B$1:B8361, {"MAL ALIMI","ÜRETİM GİRİŞ"})) - VLOOKUP(C8362, 'STOK RAPORU'!$C$2:$I$1000, 4, 0))), 0)</f>
        <v>0</v>
      </c>
      <c r="U8362" s="22">
        <f t="shared" si="524"/>
        <v>0</v>
      </c>
      <c r="V8362">
        <f t="shared" si="525"/>
        <v>0</v>
      </c>
      <c r="W8362" s="22">
        <f t="shared" si="526"/>
        <v>0</v>
      </c>
    </row>
    <row r="8363" spans="1:23" hidden="1" x14ac:dyDescent="0.25">
      <c r="A8363" s="4"/>
      <c r="B8363" s="4"/>
      <c r="C8363" s="4"/>
      <c r="D8363" s="4"/>
      <c r="E8363" s="4"/>
      <c r="F8363" s="4"/>
      <c r="G8363" s="4"/>
      <c r="H8363" s="4"/>
      <c r="I8363" s="4"/>
      <c r="J8363" s="21">
        <f>IFERROR(VLOOKUP(C8363,'STOK KARTLARI'!$C$2:$K$2150,8,0),0)</f>
        <v>0</v>
      </c>
      <c r="K8363" s="21">
        <f t="shared" si="527"/>
        <v>0</v>
      </c>
      <c r="L8363" s="5">
        <f t="shared" si="529"/>
        <v>0</v>
      </c>
      <c r="M8363" s="4"/>
      <c r="N8363" s="4"/>
      <c r="O8363" s="5"/>
      <c r="P8363" s="5"/>
      <c r="Q8363" s="21">
        <f t="shared" si="530"/>
        <v>0</v>
      </c>
      <c r="R8363" s="21">
        <f t="shared" si="528"/>
        <v>0</v>
      </c>
      <c r="S8363" s="5">
        <f t="shared" si="531"/>
        <v>70007.077158325032</v>
      </c>
      <c r="T8363" cm="1">
        <f t="array" ref="T8363">IF(OR(B8363="MAL ALIMI", B8363="ÜRETİM GİRİŞ"), MIN(I8363, MAX(0, I8363 + SUM(SUMIFS($I$1:I8362, $C$1:C8362, C8363, $B$1:B8362, {"MAL ALIMI","ÜRETİM GİRİŞ"})) - VLOOKUP(C8363, 'STOK RAPORU'!$C$2:$I$1000, 4, 0))), 0)</f>
        <v>0</v>
      </c>
      <c r="U8363" s="22">
        <f t="shared" si="524"/>
        <v>0</v>
      </c>
      <c r="V8363">
        <f t="shared" si="525"/>
        <v>0</v>
      </c>
      <c r="W8363" s="22">
        <f t="shared" si="526"/>
        <v>0</v>
      </c>
    </row>
    <row r="8364" spans="1:23" hidden="1" x14ac:dyDescent="0.25">
      <c r="A8364" s="4"/>
      <c r="B8364" s="4"/>
      <c r="C8364" s="4"/>
      <c r="D8364" s="4"/>
      <c r="E8364" s="4"/>
      <c r="F8364" s="4"/>
      <c r="G8364" s="4"/>
      <c r="H8364" s="4"/>
      <c r="I8364" s="4"/>
      <c r="J8364" s="21">
        <f>IFERROR(VLOOKUP(C8364,'STOK KARTLARI'!$C$2:$K$2150,8,0),0)</f>
        <v>0</v>
      </c>
      <c r="K8364" s="21">
        <f t="shared" si="527"/>
        <v>0</v>
      </c>
      <c r="L8364" s="5">
        <f t="shared" si="529"/>
        <v>0</v>
      </c>
      <c r="M8364" s="4"/>
      <c r="N8364" s="4"/>
      <c r="O8364" s="5"/>
      <c r="P8364" s="5"/>
      <c r="Q8364" s="21">
        <f t="shared" si="530"/>
        <v>0</v>
      </c>
      <c r="R8364" s="21">
        <f t="shared" si="528"/>
        <v>0</v>
      </c>
      <c r="S8364" s="5">
        <f t="shared" si="531"/>
        <v>70007.077158325032</v>
      </c>
      <c r="T8364" cm="1">
        <f t="array" ref="T8364">IF(OR(B8364="MAL ALIMI", B8364="ÜRETİM GİRİŞ"), MIN(I8364, MAX(0, I8364 + SUM(SUMIFS($I$1:I8363, $C$1:C8363, C8364, $B$1:B8363, {"MAL ALIMI","ÜRETİM GİRİŞ"})) - VLOOKUP(C8364, 'STOK RAPORU'!$C$2:$I$1000, 4, 0))), 0)</f>
        <v>0</v>
      </c>
      <c r="U8364" s="22">
        <f t="shared" si="524"/>
        <v>0</v>
      </c>
      <c r="V8364">
        <f t="shared" si="525"/>
        <v>0</v>
      </c>
      <c r="W8364" s="22">
        <f t="shared" si="526"/>
        <v>0</v>
      </c>
    </row>
    <row r="8365" spans="1:23" hidden="1" x14ac:dyDescent="0.25">
      <c r="A8365" s="4"/>
      <c r="B8365" s="4"/>
      <c r="C8365" s="4"/>
      <c r="D8365" s="4"/>
      <c r="E8365" s="4"/>
      <c r="F8365" s="4"/>
      <c r="G8365" s="4"/>
      <c r="H8365" s="4"/>
      <c r="I8365" s="4"/>
      <c r="J8365" s="21">
        <f>IFERROR(VLOOKUP(C8365,'STOK KARTLARI'!$C$2:$K$2150,8,0),0)</f>
        <v>0</v>
      </c>
      <c r="K8365" s="21">
        <f t="shared" si="527"/>
        <v>0</v>
      </c>
      <c r="L8365" s="5">
        <f t="shared" si="529"/>
        <v>0</v>
      </c>
      <c r="M8365" s="4"/>
      <c r="N8365" s="4"/>
      <c r="O8365" s="5"/>
      <c r="P8365" s="5"/>
      <c r="Q8365" s="21">
        <f t="shared" si="530"/>
        <v>0</v>
      </c>
      <c r="R8365" s="21">
        <f t="shared" si="528"/>
        <v>0</v>
      </c>
      <c r="S8365" s="5">
        <f t="shared" si="531"/>
        <v>70007.077158325032</v>
      </c>
      <c r="T8365" cm="1">
        <f t="array" ref="T8365">IF(OR(B8365="MAL ALIMI", B8365="ÜRETİM GİRİŞ"), MIN(I8365, MAX(0, I8365 + SUM(SUMIFS($I$1:I8364, $C$1:C8364, C8365, $B$1:B8364, {"MAL ALIMI","ÜRETİM GİRİŞ"})) - VLOOKUP(C8365, 'STOK RAPORU'!$C$2:$I$1000, 4, 0))), 0)</f>
        <v>0</v>
      </c>
      <c r="U8365" s="22">
        <f t="shared" si="524"/>
        <v>0</v>
      </c>
      <c r="V8365">
        <f t="shared" si="525"/>
        <v>0</v>
      </c>
      <c r="W8365" s="22">
        <f t="shared" si="526"/>
        <v>0</v>
      </c>
    </row>
    <row r="8366" spans="1:23" hidden="1" x14ac:dyDescent="0.25">
      <c r="A8366" s="4"/>
      <c r="B8366" s="4"/>
      <c r="C8366" s="4"/>
      <c r="D8366" s="4"/>
      <c r="E8366" s="4"/>
      <c r="F8366" s="4"/>
      <c r="G8366" s="4"/>
      <c r="H8366" s="4"/>
      <c r="I8366" s="4"/>
      <c r="J8366" s="21">
        <f>IFERROR(VLOOKUP(C8366,'STOK KARTLARI'!$C$2:$K$2150,8,0),0)</f>
        <v>0</v>
      </c>
      <c r="K8366" s="21">
        <f t="shared" si="527"/>
        <v>0</v>
      </c>
      <c r="L8366" s="5">
        <f t="shared" si="529"/>
        <v>0</v>
      </c>
      <c r="M8366" s="4"/>
      <c r="N8366" s="4"/>
      <c r="O8366" s="5"/>
      <c r="P8366" s="5"/>
      <c r="Q8366" s="21">
        <f t="shared" si="530"/>
        <v>0</v>
      </c>
      <c r="R8366" s="21">
        <f t="shared" si="528"/>
        <v>0</v>
      </c>
      <c r="S8366" s="5">
        <f t="shared" si="531"/>
        <v>70007.077158325032</v>
      </c>
      <c r="T8366" cm="1">
        <f t="array" ref="T8366">IF(OR(B8366="MAL ALIMI", B8366="ÜRETİM GİRİŞ"), MIN(I8366, MAX(0, I8366 + SUM(SUMIFS($I$1:I8365, $C$1:C8365, C8366, $B$1:B8365, {"MAL ALIMI","ÜRETİM GİRİŞ"})) - VLOOKUP(C8366, 'STOK RAPORU'!$C$2:$I$1000, 4, 0))), 0)</f>
        <v>0</v>
      </c>
      <c r="U8366" s="22">
        <f t="shared" si="524"/>
        <v>0</v>
      </c>
      <c r="V8366">
        <f t="shared" si="525"/>
        <v>0</v>
      </c>
      <c r="W8366" s="22">
        <f t="shared" si="526"/>
        <v>0</v>
      </c>
    </row>
    <row r="8367" spans="1:23" hidden="1" x14ac:dyDescent="0.25">
      <c r="A8367" s="4"/>
      <c r="B8367" s="4"/>
      <c r="C8367" s="4"/>
      <c r="D8367" s="4"/>
      <c r="E8367" s="4"/>
      <c r="F8367" s="4"/>
      <c r="G8367" s="4"/>
      <c r="H8367" s="4"/>
      <c r="I8367" s="4"/>
      <c r="J8367" s="21">
        <f>IFERROR(VLOOKUP(C8367,'STOK KARTLARI'!$C$2:$K$2150,8,0),0)</f>
        <v>0</v>
      </c>
      <c r="K8367" s="21">
        <f t="shared" si="527"/>
        <v>0</v>
      </c>
      <c r="L8367" s="5">
        <f t="shared" si="529"/>
        <v>0</v>
      </c>
      <c r="M8367" s="4"/>
      <c r="N8367" s="4"/>
      <c r="O8367" s="5"/>
      <c r="P8367" s="5"/>
      <c r="Q8367" s="21">
        <f t="shared" si="530"/>
        <v>0</v>
      </c>
      <c r="R8367" s="21">
        <f t="shared" si="528"/>
        <v>0</v>
      </c>
      <c r="S8367" s="5">
        <f t="shared" si="531"/>
        <v>70007.077158325032</v>
      </c>
      <c r="T8367" cm="1">
        <f t="array" ref="T8367">IF(OR(B8367="MAL ALIMI", B8367="ÜRETİM GİRİŞ"), MIN(I8367, MAX(0, I8367 + SUM(SUMIFS($I$1:I8366, $C$1:C8366, C8367, $B$1:B8366, {"MAL ALIMI","ÜRETİM GİRİŞ"})) - VLOOKUP(C8367, 'STOK RAPORU'!$C$2:$I$1000, 4, 0))), 0)</f>
        <v>0</v>
      </c>
      <c r="U8367" s="22">
        <f t="shared" ref="U8367:U8430" si="532">T8367*J8367</f>
        <v>0</v>
      </c>
      <c r="V8367">
        <f t="shared" ref="V8367:V8430" si="533">IF(OR(B8367="MAL ALIMI", B8367="ÜRETİM GİRİŞ"), I8367 * J8367, 0)</f>
        <v>0</v>
      </c>
      <c r="W8367" s="22">
        <f t="shared" ref="W8367:W8430" si="534">V8367-U8367</f>
        <v>0</v>
      </c>
    </row>
    <row r="8368" spans="1:23" hidden="1" x14ac:dyDescent="0.25">
      <c r="A8368" s="4"/>
      <c r="B8368" s="4"/>
      <c r="C8368" s="4"/>
      <c r="D8368" s="4"/>
      <c r="E8368" s="4"/>
      <c r="F8368" s="4"/>
      <c r="G8368" s="4"/>
      <c r="H8368" s="4"/>
      <c r="I8368" s="4"/>
      <c r="J8368" s="21">
        <f>IFERROR(VLOOKUP(C8368,'STOK KARTLARI'!$C$2:$K$2150,8,0),0)</f>
        <v>0</v>
      </c>
      <c r="K8368" s="21">
        <f t="shared" si="527"/>
        <v>0</v>
      </c>
      <c r="L8368" s="5">
        <f t="shared" si="529"/>
        <v>0</v>
      </c>
      <c r="M8368" s="4"/>
      <c r="N8368" s="4"/>
      <c r="O8368" s="5"/>
      <c r="P8368" s="5"/>
      <c r="Q8368" s="21">
        <f t="shared" si="530"/>
        <v>0</v>
      </c>
      <c r="R8368" s="21">
        <f t="shared" si="528"/>
        <v>0</v>
      </c>
      <c r="S8368" s="5">
        <f t="shared" si="531"/>
        <v>70007.077158325032</v>
      </c>
      <c r="T8368" cm="1">
        <f t="array" ref="T8368">IF(OR(B8368="MAL ALIMI", B8368="ÜRETİM GİRİŞ"), MIN(I8368, MAX(0, I8368 + SUM(SUMIFS($I$1:I8367, $C$1:C8367, C8368, $B$1:B8367, {"MAL ALIMI","ÜRETİM GİRİŞ"})) - VLOOKUP(C8368, 'STOK RAPORU'!$C$2:$I$1000, 4, 0))), 0)</f>
        <v>0</v>
      </c>
      <c r="U8368" s="22">
        <f t="shared" si="532"/>
        <v>0</v>
      </c>
      <c r="V8368">
        <f t="shared" si="533"/>
        <v>0</v>
      </c>
      <c r="W8368" s="22">
        <f t="shared" si="534"/>
        <v>0</v>
      </c>
    </row>
    <row r="8369" spans="1:23" hidden="1" x14ac:dyDescent="0.25">
      <c r="A8369" s="3"/>
      <c r="B8369" s="4"/>
      <c r="C8369" s="4"/>
      <c r="D8369" s="4"/>
      <c r="E8369" s="4"/>
      <c r="F8369" s="4"/>
      <c r="G8369" s="4"/>
      <c r="H8369" s="4"/>
      <c r="I8369" s="4"/>
      <c r="J8369" s="21">
        <f>IFERROR(VLOOKUP(C8369,'STOK KARTLARI'!$C$2:$K$2150,8,0),0)</f>
        <v>0</v>
      </c>
      <c r="K8369" s="21">
        <f t="shared" si="527"/>
        <v>0</v>
      </c>
      <c r="L8369" s="5">
        <f t="shared" si="529"/>
        <v>0</v>
      </c>
      <c r="M8369" s="4"/>
      <c r="N8369" s="4"/>
      <c r="O8369" s="5"/>
      <c r="P8369" s="5"/>
      <c r="Q8369" s="21">
        <f t="shared" si="530"/>
        <v>0</v>
      </c>
      <c r="R8369" s="21">
        <f t="shared" si="528"/>
        <v>0</v>
      </c>
      <c r="S8369" s="5">
        <f t="shared" si="531"/>
        <v>70007.077158325032</v>
      </c>
      <c r="T8369" cm="1">
        <f t="array" ref="T8369">IF(OR(B8369="MAL ALIMI", B8369="ÜRETİM GİRİŞ"), MIN(I8369, MAX(0, I8369 + SUM(SUMIFS($I$1:I8368, $C$1:C8368, C8369, $B$1:B8368, {"MAL ALIMI","ÜRETİM GİRİŞ"})) - VLOOKUP(C8369, 'STOK RAPORU'!$C$2:$I$1000, 4, 0))), 0)</f>
        <v>0</v>
      </c>
      <c r="U8369" s="22">
        <f t="shared" si="532"/>
        <v>0</v>
      </c>
      <c r="V8369">
        <f t="shared" si="533"/>
        <v>0</v>
      </c>
      <c r="W8369" s="22">
        <f t="shared" si="534"/>
        <v>0</v>
      </c>
    </row>
    <row r="8370" spans="1:23" hidden="1" x14ac:dyDescent="0.25">
      <c r="A8370" s="3"/>
      <c r="B8370" s="4"/>
      <c r="C8370" s="4"/>
      <c r="D8370" s="4"/>
      <c r="E8370" s="4"/>
      <c r="F8370" s="4"/>
      <c r="G8370" s="4"/>
      <c r="H8370" s="4"/>
      <c r="I8370" s="4"/>
      <c r="J8370" s="21">
        <f>IFERROR(VLOOKUP(C8370,'STOK KARTLARI'!$C$2:$K$2150,8,0),0)</f>
        <v>0</v>
      </c>
      <c r="K8370" s="21">
        <f t="shared" si="527"/>
        <v>0</v>
      </c>
      <c r="L8370" s="5">
        <f t="shared" si="529"/>
        <v>0</v>
      </c>
      <c r="M8370" s="4"/>
      <c r="N8370" s="4"/>
      <c r="O8370" s="5"/>
      <c r="P8370" s="5"/>
      <c r="Q8370" s="21">
        <f t="shared" si="530"/>
        <v>0</v>
      </c>
      <c r="R8370" s="21">
        <f t="shared" si="528"/>
        <v>0</v>
      </c>
      <c r="S8370" s="5">
        <f t="shared" si="531"/>
        <v>70007.077158325032</v>
      </c>
      <c r="T8370" cm="1">
        <f t="array" ref="T8370">IF(OR(B8370="MAL ALIMI", B8370="ÜRETİM GİRİŞ"), MIN(I8370, MAX(0, I8370 + SUM(SUMIFS($I$1:I8369, $C$1:C8369, C8370, $B$1:B8369, {"MAL ALIMI","ÜRETİM GİRİŞ"})) - VLOOKUP(C8370, 'STOK RAPORU'!$C$2:$I$1000, 4, 0))), 0)</f>
        <v>0</v>
      </c>
      <c r="U8370" s="22">
        <f t="shared" si="532"/>
        <v>0</v>
      </c>
      <c r="V8370">
        <f t="shared" si="533"/>
        <v>0</v>
      </c>
      <c r="W8370" s="22">
        <f t="shared" si="534"/>
        <v>0</v>
      </c>
    </row>
    <row r="8371" spans="1:23" hidden="1" x14ac:dyDescent="0.25">
      <c r="A8371" s="4"/>
      <c r="B8371" s="4"/>
      <c r="C8371" s="4"/>
      <c r="D8371" s="4"/>
      <c r="E8371" s="4"/>
      <c r="F8371" s="4"/>
      <c r="G8371" s="4"/>
      <c r="H8371" s="4"/>
      <c r="I8371" s="4"/>
      <c r="J8371" s="21">
        <f>IFERROR(VLOOKUP(C8371,'STOK KARTLARI'!$C$2:$K$2150,8,0),0)</f>
        <v>0</v>
      </c>
      <c r="K8371" s="21">
        <f t="shared" ref="K8371:K8434" si="535">IF(AND(B8371="MAL SATIŞI", H8371="POS"),I8371*J8371,0)</f>
        <v>0</v>
      </c>
      <c r="L8371" s="5">
        <f t="shared" si="529"/>
        <v>0</v>
      </c>
      <c r="M8371" s="4"/>
      <c r="N8371" s="4"/>
      <c r="O8371" s="5"/>
      <c r="P8371" s="5"/>
      <c r="Q8371" s="21">
        <f t="shared" si="530"/>
        <v>0</v>
      </c>
      <c r="R8371" s="21">
        <f t="shared" ref="R8371:R8434" si="536">IF(AND(E8371="", B8371&lt;&gt;"MAL SATIŞI"),I8371*J8371,0)</f>
        <v>0</v>
      </c>
      <c r="S8371" s="5">
        <f t="shared" si="531"/>
        <v>70007.077158325032</v>
      </c>
      <c r="T8371" cm="1">
        <f t="array" ref="T8371">IF(OR(B8371="MAL ALIMI", B8371="ÜRETİM GİRİŞ"), MIN(I8371, MAX(0, I8371 + SUM(SUMIFS($I$1:I8370, $C$1:C8370, C8371, $B$1:B8370, {"MAL ALIMI","ÜRETİM GİRİŞ"})) - VLOOKUP(C8371, 'STOK RAPORU'!$C$2:$I$1000, 4, 0))), 0)</f>
        <v>0</v>
      </c>
      <c r="U8371" s="22">
        <f t="shared" si="532"/>
        <v>0</v>
      </c>
      <c r="V8371">
        <f t="shared" si="533"/>
        <v>0</v>
      </c>
      <c r="W8371" s="22">
        <f t="shared" si="534"/>
        <v>0</v>
      </c>
    </row>
    <row r="8372" spans="1:23" hidden="1" x14ac:dyDescent="0.25">
      <c r="A8372" s="4"/>
      <c r="B8372" s="4"/>
      <c r="C8372" s="4"/>
      <c r="D8372" s="4"/>
      <c r="E8372" s="4"/>
      <c r="F8372" s="4"/>
      <c r="G8372" s="4"/>
      <c r="H8372" s="4"/>
      <c r="I8372" s="4"/>
      <c r="J8372" s="21">
        <f>IFERROR(VLOOKUP(C8372,'STOK KARTLARI'!$C$2:$K$2150,8,0),0)</f>
        <v>0</v>
      </c>
      <c r="K8372" s="21">
        <f t="shared" si="535"/>
        <v>0</v>
      </c>
      <c r="L8372" s="5">
        <f t="shared" ref="L8372:L8435" si="537">IF(OR(E8372="", H8372="POS"),0,I8372*J8372)</f>
        <v>0</v>
      </c>
      <c r="M8372" s="4"/>
      <c r="N8372" s="4"/>
      <c r="O8372" s="5"/>
      <c r="P8372" s="5"/>
      <c r="Q8372" s="21">
        <f t="shared" ref="Q8372:Q8435" si="538">IF(AND(E8372="", B8372="MAL SATIŞI", H8372="NAKİT"),I8372*J8372,0)</f>
        <v>0</v>
      </c>
      <c r="R8372" s="21">
        <f t="shared" si="536"/>
        <v>0</v>
      </c>
      <c r="S8372" s="5">
        <f t="shared" si="531"/>
        <v>70007.077158325032</v>
      </c>
      <c r="T8372" cm="1">
        <f t="array" ref="T8372">IF(OR(B8372="MAL ALIMI", B8372="ÜRETİM GİRİŞ"), MIN(I8372, MAX(0, I8372 + SUM(SUMIFS($I$1:I8371, $C$1:C8371, C8372, $B$1:B8371, {"MAL ALIMI","ÜRETİM GİRİŞ"})) - VLOOKUP(C8372, 'STOK RAPORU'!$C$2:$I$1000, 4, 0))), 0)</f>
        <v>0</v>
      </c>
      <c r="U8372" s="22">
        <f t="shared" si="532"/>
        <v>0</v>
      </c>
      <c r="V8372">
        <f t="shared" si="533"/>
        <v>0</v>
      </c>
      <c r="W8372" s="22">
        <f t="shared" si="534"/>
        <v>0</v>
      </c>
    </row>
    <row r="8373" spans="1:23" hidden="1" x14ac:dyDescent="0.25">
      <c r="A8373" s="4"/>
      <c r="B8373" s="4"/>
      <c r="C8373" s="4"/>
      <c r="D8373" s="4"/>
      <c r="E8373" s="4"/>
      <c r="F8373" s="4"/>
      <c r="G8373" s="4"/>
      <c r="H8373" s="4"/>
      <c r="I8373" s="4"/>
      <c r="J8373" s="21">
        <f>IFERROR(VLOOKUP(C8373,'STOK KARTLARI'!$C$2:$K$2150,8,0),0)</f>
        <v>0</v>
      </c>
      <c r="K8373" s="21">
        <f t="shared" si="535"/>
        <v>0</v>
      </c>
      <c r="L8373" s="5">
        <f t="shared" si="537"/>
        <v>0</v>
      </c>
      <c r="M8373" s="4"/>
      <c r="N8373" s="4"/>
      <c r="O8373" s="5"/>
      <c r="P8373" s="5"/>
      <c r="Q8373" s="21">
        <f t="shared" si="538"/>
        <v>0</v>
      </c>
      <c r="R8373" s="21">
        <f t="shared" si="536"/>
        <v>0</v>
      </c>
      <c r="S8373" s="5">
        <f t="shared" si="531"/>
        <v>70007.077158325032</v>
      </c>
      <c r="T8373" cm="1">
        <f t="array" ref="T8373">IF(OR(B8373="MAL ALIMI", B8373="ÜRETİM GİRİŞ"), MIN(I8373, MAX(0, I8373 + SUM(SUMIFS($I$1:I8372, $C$1:C8372, C8373, $B$1:B8372, {"MAL ALIMI","ÜRETİM GİRİŞ"})) - VLOOKUP(C8373, 'STOK RAPORU'!$C$2:$I$1000, 4, 0))), 0)</f>
        <v>0</v>
      </c>
      <c r="U8373" s="22">
        <f t="shared" si="532"/>
        <v>0</v>
      </c>
      <c r="V8373">
        <f t="shared" si="533"/>
        <v>0</v>
      </c>
      <c r="W8373" s="22">
        <f t="shared" si="534"/>
        <v>0</v>
      </c>
    </row>
    <row r="8374" spans="1:23" hidden="1" x14ac:dyDescent="0.25">
      <c r="A8374" s="4"/>
      <c r="B8374" s="4"/>
      <c r="C8374" s="4"/>
      <c r="D8374" s="4"/>
      <c r="E8374" s="4"/>
      <c r="F8374" s="4"/>
      <c r="G8374" s="4"/>
      <c r="H8374" s="4"/>
      <c r="I8374" s="4"/>
      <c r="J8374" s="21">
        <f>IFERROR(VLOOKUP(C8374,'STOK KARTLARI'!$C$2:$K$2150,8,0),0)</f>
        <v>0</v>
      </c>
      <c r="K8374" s="21">
        <f t="shared" si="535"/>
        <v>0</v>
      </c>
      <c r="L8374" s="5">
        <f t="shared" si="537"/>
        <v>0</v>
      </c>
      <c r="M8374" s="4"/>
      <c r="N8374" s="4"/>
      <c r="O8374" s="5"/>
      <c r="P8374" s="5"/>
      <c r="Q8374" s="21">
        <f t="shared" si="538"/>
        <v>0</v>
      </c>
      <c r="R8374" s="21">
        <f t="shared" si="536"/>
        <v>0</v>
      </c>
      <c r="S8374" s="5">
        <f t="shared" si="531"/>
        <v>70007.077158325032</v>
      </c>
      <c r="T8374" cm="1">
        <f t="array" ref="T8374">IF(OR(B8374="MAL ALIMI", B8374="ÜRETİM GİRİŞ"), MIN(I8374, MAX(0, I8374 + SUM(SUMIFS($I$1:I8373, $C$1:C8373, C8374, $B$1:B8373, {"MAL ALIMI","ÜRETİM GİRİŞ"})) - VLOOKUP(C8374, 'STOK RAPORU'!$C$2:$I$1000, 4, 0))), 0)</f>
        <v>0</v>
      </c>
      <c r="U8374" s="22">
        <f t="shared" si="532"/>
        <v>0</v>
      </c>
      <c r="V8374">
        <f t="shared" si="533"/>
        <v>0</v>
      </c>
      <c r="W8374" s="22">
        <f t="shared" si="534"/>
        <v>0</v>
      </c>
    </row>
    <row r="8375" spans="1:23" hidden="1" x14ac:dyDescent="0.25">
      <c r="A8375" s="4"/>
      <c r="B8375" s="4"/>
      <c r="C8375" s="4"/>
      <c r="D8375" s="4"/>
      <c r="E8375" s="4"/>
      <c r="F8375" s="4"/>
      <c r="G8375" s="4"/>
      <c r="H8375" s="4"/>
      <c r="I8375" s="4"/>
      <c r="J8375" s="21">
        <f>IFERROR(VLOOKUP(C8375,'STOK KARTLARI'!$C$2:$K$2150,8,0),0)</f>
        <v>0</v>
      </c>
      <c r="K8375" s="21">
        <f t="shared" si="535"/>
        <v>0</v>
      </c>
      <c r="L8375" s="5">
        <f t="shared" si="537"/>
        <v>0</v>
      </c>
      <c r="M8375" s="4"/>
      <c r="N8375" s="4"/>
      <c r="O8375" s="5"/>
      <c r="P8375" s="5"/>
      <c r="Q8375" s="21">
        <f t="shared" si="538"/>
        <v>0</v>
      </c>
      <c r="R8375" s="21">
        <f t="shared" si="536"/>
        <v>0</v>
      </c>
      <c r="S8375" s="5">
        <f t="shared" si="531"/>
        <v>70007.077158325032</v>
      </c>
      <c r="T8375" cm="1">
        <f t="array" ref="T8375">IF(OR(B8375="MAL ALIMI", B8375="ÜRETİM GİRİŞ"), MIN(I8375, MAX(0, I8375 + SUM(SUMIFS($I$1:I8374, $C$1:C8374, C8375, $B$1:B8374, {"MAL ALIMI","ÜRETİM GİRİŞ"})) - VLOOKUP(C8375, 'STOK RAPORU'!$C$2:$I$1000, 4, 0))), 0)</f>
        <v>0</v>
      </c>
      <c r="U8375" s="22">
        <f t="shared" si="532"/>
        <v>0</v>
      </c>
      <c r="V8375">
        <f t="shared" si="533"/>
        <v>0</v>
      </c>
      <c r="W8375" s="22">
        <f t="shared" si="534"/>
        <v>0</v>
      </c>
    </row>
    <row r="8376" spans="1:23" hidden="1" x14ac:dyDescent="0.25">
      <c r="A8376" s="4"/>
      <c r="B8376" s="4"/>
      <c r="C8376" s="4"/>
      <c r="D8376" s="4"/>
      <c r="E8376" s="4"/>
      <c r="F8376" s="4"/>
      <c r="G8376" s="4"/>
      <c r="H8376" s="4"/>
      <c r="I8376" s="4"/>
      <c r="J8376" s="21">
        <f>IFERROR(VLOOKUP(C8376,'STOK KARTLARI'!$C$2:$K$2150,8,0),0)</f>
        <v>0</v>
      </c>
      <c r="K8376" s="21">
        <f t="shared" si="535"/>
        <v>0</v>
      </c>
      <c r="L8376" s="5">
        <f t="shared" si="537"/>
        <v>0</v>
      </c>
      <c r="M8376" s="4"/>
      <c r="N8376" s="4"/>
      <c r="O8376" s="5"/>
      <c r="P8376" s="5"/>
      <c r="Q8376" s="21">
        <f t="shared" si="538"/>
        <v>0</v>
      </c>
      <c r="R8376" s="21">
        <f t="shared" si="536"/>
        <v>0</v>
      </c>
      <c r="S8376" s="5">
        <f t="shared" si="531"/>
        <v>70007.077158325032</v>
      </c>
      <c r="T8376" cm="1">
        <f t="array" ref="T8376">IF(OR(B8376="MAL ALIMI", B8376="ÜRETİM GİRİŞ"), MIN(I8376, MAX(0, I8376 + SUM(SUMIFS($I$1:I8375, $C$1:C8375, C8376, $B$1:B8375, {"MAL ALIMI","ÜRETİM GİRİŞ"})) - VLOOKUP(C8376, 'STOK RAPORU'!$C$2:$I$1000, 4, 0))), 0)</f>
        <v>0</v>
      </c>
      <c r="U8376" s="22">
        <f t="shared" si="532"/>
        <v>0</v>
      </c>
      <c r="V8376">
        <f t="shared" si="533"/>
        <v>0</v>
      </c>
      <c r="W8376" s="22">
        <f t="shared" si="534"/>
        <v>0</v>
      </c>
    </row>
    <row r="8377" spans="1:23" hidden="1" x14ac:dyDescent="0.25">
      <c r="A8377" s="3"/>
      <c r="B8377" s="4"/>
      <c r="C8377" s="4"/>
      <c r="D8377" s="4"/>
      <c r="E8377" s="4"/>
      <c r="F8377" s="4"/>
      <c r="G8377" s="4"/>
      <c r="H8377" s="4"/>
      <c r="I8377" s="4"/>
      <c r="J8377" s="21">
        <f>IFERROR(VLOOKUP(C8377,'STOK KARTLARI'!$C$2:$K$2150,8,0),0)</f>
        <v>0</v>
      </c>
      <c r="K8377" s="21">
        <f t="shared" si="535"/>
        <v>0</v>
      </c>
      <c r="L8377" s="5">
        <f t="shared" si="537"/>
        <v>0</v>
      </c>
      <c r="M8377" s="4"/>
      <c r="N8377" s="4"/>
      <c r="O8377" s="5"/>
      <c r="P8377" s="5"/>
      <c r="Q8377" s="21">
        <f t="shared" si="538"/>
        <v>0</v>
      </c>
      <c r="R8377" s="21">
        <f t="shared" si="536"/>
        <v>0</v>
      </c>
      <c r="S8377" s="5">
        <f t="shared" si="531"/>
        <v>70007.077158325032</v>
      </c>
      <c r="T8377" cm="1">
        <f t="array" ref="T8377">IF(OR(B8377="MAL ALIMI", B8377="ÜRETİM GİRİŞ"), MIN(I8377, MAX(0, I8377 + SUM(SUMIFS($I$1:I8376, $C$1:C8376, C8377, $B$1:B8376, {"MAL ALIMI","ÜRETİM GİRİŞ"})) - VLOOKUP(C8377, 'STOK RAPORU'!$C$2:$I$1000, 4, 0))), 0)</f>
        <v>0</v>
      </c>
      <c r="U8377" s="22">
        <f t="shared" si="532"/>
        <v>0</v>
      </c>
      <c r="V8377">
        <f t="shared" si="533"/>
        <v>0</v>
      </c>
      <c r="W8377" s="22">
        <f t="shared" si="534"/>
        <v>0</v>
      </c>
    </row>
    <row r="8378" spans="1:23" hidden="1" x14ac:dyDescent="0.25">
      <c r="A8378" s="4"/>
      <c r="B8378" s="4"/>
      <c r="C8378" s="4"/>
      <c r="D8378" s="4"/>
      <c r="E8378" s="4"/>
      <c r="F8378" s="4"/>
      <c r="G8378" s="4"/>
      <c r="H8378" s="4"/>
      <c r="I8378" s="4"/>
      <c r="J8378" s="21">
        <f>IFERROR(VLOOKUP(C8378,'STOK KARTLARI'!$C$2:$K$2150,8,0),0)</f>
        <v>0</v>
      </c>
      <c r="K8378" s="21">
        <f t="shared" si="535"/>
        <v>0</v>
      </c>
      <c r="L8378" s="5">
        <f t="shared" si="537"/>
        <v>0</v>
      </c>
      <c r="M8378" s="4"/>
      <c r="N8378" s="4"/>
      <c r="O8378" s="5"/>
      <c r="P8378" s="5"/>
      <c r="Q8378" s="21">
        <f t="shared" si="538"/>
        <v>0</v>
      </c>
      <c r="R8378" s="21">
        <f t="shared" si="536"/>
        <v>0</v>
      </c>
      <c r="S8378" s="5">
        <f t="shared" si="531"/>
        <v>70007.077158325032</v>
      </c>
      <c r="T8378" cm="1">
        <f t="array" ref="T8378">IF(OR(B8378="MAL ALIMI", B8378="ÜRETİM GİRİŞ"), MIN(I8378, MAX(0, I8378 + SUM(SUMIFS($I$1:I8377, $C$1:C8377, C8378, $B$1:B8377, {"MAL ALIMI","ÜRETİM GİRİŞ"})) - VLOOKUP(C8378, 'STOK RAPORU'!$C$2:$I$1000, 4, 0))), 0)</f>
        <v>0</v>
      </c>
      <c r="U8378" s="22">
        <f t="shared" si="532"/>
        <v>0</v>
      </c>
      <c r="V8378">
        <f t="shared" si="533"/>
        <v>0</v>
      </c>
      <c r="W8378" s="22">
        <f t="shared" si="534"/>
        <v>0</v>
      </c>
    </row>
    <row r="8379" spans="1:23" hidden="1" x14ac:dyDescent="0.25">
      <c r="A8379" s="4"/>
      <c r="B8379" s="4"/>
      <c r="C8379" s="4"/>
      <c r="D8379" s="4"/>
      <c r="E8379" s="4"/>
      <c r="F8379" s="4"/>
      <c r="G8379" s="4"/>
      <c r="H8379" s="4"/>
      <c r="I8379" s="4"/>
      <c r="J8379" s="21">
        <f>IFERROR(VLOOKUP(C8379,'STOK KARTLARI'!$C$2:$K$2150,8,0),0)</f>
        <v>0</v>
      </c>
      <c r="K8379" s="21">
        <f t="shared" si="535"/>
        <v>0</v>
      </c>
      <c r="L8379" s="5">
        <f t="shared" si="537"/>
        <v>0</v>
      </c>
      <c r="M8379" s="4"/>
      <c r="N8379" s="4"/>
      <c r="O8379" s="5"/>
      <c r="P8379" s="5"/>
      <c r="Q8379" s="21">
        <f t="shared" si="538"/>
        <v>0</v>
      </c>
      <c r="R8379" s="21">
        <f t="shared" si="536"/>
        <v>0</v>
      </c>
      <c r="S8379" s="5">
        <f t="shared" si="531"/>
        <v>70007.077158325032</v>
      </c>
      <c r="T8379" cm="1">
        <f t="array" ref="T8379">IF(OR(B8379="MAL ALIMI", B8379="ÜRETİM GİRİŞ"), MIN(I8379, MAX(0, I8379 + SUM(SUMIFS($I$1:I8378, $C$1:C8378, C8379, $B$1:B8378, {"MAL ALIMI","ÜRETİM GİRİŞ"})) - VLOOKUP(C8379, 'STOK RAPORU'!$C$2:$I$1000, 4, 0))), 0)</f>
        <v>0</v>
      </c>
      <c r="U8379" s="22">
        <f t="shared" si="532"/>
        <v>0</v>
      </c>
      <c r="V8379">
        <f t="shared" si="533"/>
        <v>0</v>
      </c>
      <c r="W8379" s="22">
        <f t="shared" si="534"/>
        <v>0</v>
      </c>
    </row>
    <row r="8380" spans="1:23" hidden="1" x14ac:dyDescent="0.25">
      <c r="A8380" s="4"/>
      <c r="B8380" s="4"/>
      <c r="C8380" s="4"/>
      <c r="D8380" s="4"/>
      <c r="E8380" s="4"/>
      <c r="F8380" s="4"/>
      <c r="G8380" s="4"/>
      <c r="H8380" s="4"/>
      <c r="I8380" s="4"/>
      <c r="J8380" s="21">
        <f>IFERROR(VLOOKUP(C8380,'STOK KARTLARI'!$C$2:$K$2150,8,0),0)</f>
        <v>0</v>
      </c>
      <c r="K8380" s="21">
        <f t="shared" si="535"/>
        <v>0</v>
      </c>
      <c r="L8380" s="5">
        <f t="shared" si="537"/>
        <v>0</v>
      </c>
      <c r="M8380" s="4"/>
      <c r="N8380" s="4"/>
      <c r="O8380" s="5"/>
      <c r="P8380" s="5"/>
      <c r="Q8380" s="21">
        <f t="shared" si="538"/>
        <v>0</v>
      </c>
      <c r="R8380" s="21">
        <f t="shared" si="536"/>
        <v>0</v>
      </c>
      <c r="S8380" s="5">
        <f t="shared" si="531"/>
        <v>70007.077158325032</v>
      </c>
      <c r="T8380" cm="1">
        <f t="array" ref="T8380">IF(OR(B8380="MAL ALIMI", B8380="ÜRETİM GİRİŞ"), MIN(I8380, MAX(0, I8380 + SUM(SUMIFS($I$1:I8379, $C$1:C8379, C8380, $B$1:B8379, {"MAL ALIMI","ÜRETİM GİRİŞ"})) - VLOOKUP(C8380, 'STOK RAPORU'!$C$2:$I$1000, 4, 0))), 0)</f>
        <v>0</v>
      </c>
      <c r="U8380" s="22">
        <f t="shared" si="532"/>
        <v>0</v>
      </c>
      <c r="V8380">
        <f t="shared" si="533"/>
        <v>0</v>
      </c>
      <c r="W8380" s="22">
        <f t="shared" si="534"/>
        <v>0</v>
      </c>
    </row>
    <row r="8381" spans="1:23" hidden="1" x14ac:dyDescent="0.25">
      <c r="A8381" s="4"/>
      <c r="B8381" s="4"/>
      <c r="C8381" s="4"/>
      <c r="D8381" s="4"/>
      <c r="E8381" s="4"/>
      <c r="F8381" s="4"/>
      <c r="G8381" s="4"/>
      <c r="H8381" s="4"/>
      <c r="I8381" s="4"/>
      <c r="J8381" s="21">
        <f>IFERROR(VLOOKUP(C8381,'STOK KARTLARI'!$C$2:$K$2150,8,0),0)</f>
        <v>0</v>
      </c>
      <c r="K8381" s="21">
        <f t="shared" si="535"/>
        <v>0</v>
      </c>
      <c r="L8381" s="5">
        <f t="shared" si="537"/>
        <v>0</v>
      </c>
      <c r="M8381" s="4"/>
      <c r="N8381" s="4"/>
      <c r="O8381" s="5"/>
      <c r="P8381" s="5"/>
      <c r="Q8381" s="21">
        <f t="shared" si="538"/>
        <v>0</v>
      </c>
      <c r="R8381" s="21">
        <f t="shared" si="536"/>
        <v>0</v>
      </c>
      <c r="S8381" s="5">
        <f t="shared" si="531"/>
        <v>70007.077158325032</v>
      </c>
      <c r="T8381" cm="1">
        <f t="array" ref="T8381">IF(OR(B8381="MAL ALIMI", B8381="ÜRETİM GİRİŞ"), MIN(I8381, MAX(0, I8381 + SUM(SUMIFS($I$1:I8380, $C$1:C8380, C8381, $B$1:B8380, {"MAL ALIMI","ÜRETİM GİRİŞ"})) - VLOOKUP(C8381, 'STOK RAPORU'!$C$2:$I$1000, 4, 0))), 0)</f>
        <v>0</v>
      </c>
      <c r="U8381" s="22">
        <f t="shared" si="532"/>
        <v>0</v>
      </c>
      <c r="V8381">
        <f t="shared" si="533"/>
        <v>0</v>
      </c>
      <c r="W8381" s="22">
        <f t="shared" si="534"/>
        <v>0</v>
      </c>
    </row>
    <row r="8382" spans="1:23" hidden="1" x14ac:dyDescent="0.25">
      <c r="A8382" s="4"/>
      <c r="B8382" s="4"/>
      <c r="C8382" s="4"/>
      <c r="D8382" s="4"/>
      <c r="E8382" s="4"/>
      <c r="F8382" s="4"/>
      <c r="G8382" s="4"/>
      <c r="H8382" s="4"/>
      <c r="I8382" s="4"/>
      <c r="J8382" s="21">
        <f>IFERROR(VLOOKUP(C8382,'STOK KARTLARI'!$C$2:$K$2150,8,0),0)</f>
        <v>0</v>
      </c>
      <c r="K8382" s="21">
        <f t="shared" si="535"/>
        <v>0</v>
      </c>
      <c r="L8382" s="5">
        <f t="shared" si="537"/>
        <v>0</v>
      </c>
      <c r="M8382" s="4"/>
      <c r="N8382" s="4"/>
      <c r="O8382" s="5"/>
      <c r="P8382" s="5"/>
      <c r="Q8382" s="21">
        <f t="shared" si="538"/>
        <v>0</v>
      </c>
      <c r="R8382" s="21">
        <f t="shared" si="536"/>
        <v>0</v>
      </c>
      <c r="S8382" s="5">
        <f t="shared" si="531"/>
        <v>70007.077158325032</v>
      </c>
      <c r="T8382" cm="1">
        <f t="array" ref="T8382">IF(OR(B8382="MAL ALIMI", B8382="ÜRETİM GİRİŞ"), MIN(I8382, MAX(0, I8382 + SUM(SUMIFS($I$1:I8381, $C$1:C8381, C8382, $B$1:B8381, {"MAL ALIMI","ÜRETİM GİRİŞ"})) - VLOOKUP(C8382, 'STOK RAPORU'!$C$2:$I$1000, 4, 0))), 0)</f>
        <v>0</v>
      </c>
      <c r="U8382" s="22">
        <f t="shared" si="532"/>
        <v>0</v>
      </c>
      <c r="V8382">
        <f t="shared" si="533"/>
        <v>0</v>
      </c>
      <c r="W8382" s="22">
        <f t="shared" si="534"/>
        <v>0</v>
      </c>
    </row>
    <row r="8383" spans="1:23" hidden="1" x14ac:dyDescent="0.25">
      <c r="A8383" s="4"/>
      <c r="B8383" s="4"/>
      <c r="C8383" s="4"/>
      <c r="D8383" s="4"/>
      <c r="E8383" s="4"/>
      <c r="F8383" s="4"/>
      <c r="G8383" s="4"/>
      <c r="H8383" s="4"/>
      <c r="I8383" s="4"/>
      <c r="J8383" s="21">
        <f>IFERROR(VLOOKUP(C8383,'STOK KARTLARI'!$C$2:$K$2150,8,0),0)</f>
        <v>0</v>
      </c>
      <c r="K8383" s="21">
        <f t="shared" si="535"/>
        <v>0</v>
      </c>
      <c r="L8383" s="5">
        <f t="shared" si="537"/>
        <v>0</v>
      </c>
      <c r="M8383" s="4"/>
      <c r="N8383" s="4"/>
      <c r="O8383" s="5"/>
      <c r="P8383" s="5"/>
      <c r="Q8383" s="21">
        <f t="shared" si="538"/>
        <v>0</v>
      </c>
      <c r="R8383" s="21">
        <f t="shared" si="536"/>
        <v>0</v>
      </c>
      <c r="S8383" s="5">
        <f t="shared" si="531"/>
        <v>70007.077158325032</v>
      </c>
      <c r="T8383" cm="1">
        <f t="array" ref="T8383">IF(OR(B8383="MAL ALIMI", B8383="ÜRETİM GİRİŞ"), MIN(I8383, MAX(0, I8383 + SUM(SUMIFS($I$1:I8382, $C$1:C8382, C8383, $B$1:B8382, {"MAL ALIMI","ÜRETİM GİRİŞ"})) - VLOOKUP(C8383, 'STOK RAPORU'!$C$2:$I$1000, 4, 0))), 0)</f>
        <v>0</v>
      </c>
      <c r="U8383" s="22">
        <f t="shared" si="532"/>
        <v>0</v>
      </c>
      <c r="V8383">
        <f t="shared" si="533"/>
        <v>0</v>
      </c>
      <c r="W8383" s="22">
        <f t="shared" si="534"/>
        <v>0</v>
      </c>
    </row>
    <row r="8384" spans="1:23" hidden="1" x14ac:dyDescent="0.25">
      <c r="A8384" s="3"/>
      <c r="B8384" s="4"/>
      <c r="C8384" s="4"/>
      <c r="D8384" s="4"/>
      <c r="E8384" s="4"/>
      <c r="F8384" s="4"/>
      <c r="G8384" s="4"/>
      <c r="H8384" s="4"/>
      <c r="I8384" s="4"/>
      <c r="J8384" s="21">
        <f>IFERROR(VLOOKUP(C8384,'STOK KARTLARI'!$C$2:$K$2150,8,0),0)</f>
        <v>0</v>
      </c>
      <c r="K8384" s="21">
        <f t="shared" si="535"/>
        <v>0</v>
      </c>
      <c r="L8384" s="5">
        <f t="shared" si="537"/>
        <v>0</v>
      </c>
      <c r="M8384" s="4"/>
      <c r="N8384" s="4"/>
      <c r="O8384" s="5"/>
      <c r="P8384" s="5"/>
      <c r="Q8384" s="21">
        <f t="shared" si="538"/>
        <v>0</v>
      </c>
      <c r="R8384" s="21">
        <f t="shared" si="536"/>
        <v>0</v>
      </c>
      <c r="S8384" s="5">
        <f t="shared" si="531"/>
        <v>70007.077158325032</v>
      </c>
      <c r="T8384" cm="1">
        <f t="array" ref="T8384">IF(OR(B8384="MAL ALIMI", B8384="ÜRETİM GİRİŞ"), MIN(I8384, MAX(0, I8384 + SUM(SUMIFS($I$1:I8383, $C$1:C8383, C8384, $B$1:B8383, {"MAL ALIMI","ÜRETİM GİRİŞ"})) - VLOOKUP(C8384, 'STOK RAPORU'!$C$2:$I$1000, 4, 0))), 0)</f>
        <v>0</v>
      </c>
      <c r="U8384" s="22">
        <f t="shared" si="532"/>
        <v>0</v>
      </c>
      <c r="V8384">
        <f t="shared" si="533"/>
        <v>0</v>
      </c>
      <c r="W8384" s="22">
        <f t="shared" si="534"/>
        <v>0</v>
      </c>
    </row>
    <row r="8385" spans="1:23" hidden="1" x14ac:dyDescent="0.25">
      <c r="A8385" s="4"/>
      <c r="B8385" s="4"/>
      <c r="C8385" s="4"/>
      <c r="D8385" s="4"/>
      <c r="E8385" s="4"/>
      <c r="F8385" s="4"/>
      <c r="G8385" s="4"/>
      <c r="H8385" s="4"/>
      <c r="I8385" s="4"/>
      <c r="J8385" s="21">
        <f>IFERROR(VLOOKUP(C8385,'STOK KARTLARI'!$C$2:$K$2150,8,0),0)</f>
        <v>0</v>
      </c>
      <c r="K8385" s="21">
        <f t="shared" si="535"/>
        <v>0</v>
      </c>
      <c r="L8385" s="5">
        <f t="shared" si="537"/>
        <v>0</v>
      </c>
      <c r="M8385" s="4"/>
      <c r="N8385" s="4"/>
      <c r="O8385" s="5"/>
      <c r="P8385" s="5"/>
      <c r="Q8385" s="21">
        <f t="shared" si="538"/>
        <v>0</v>
      </c>
      <c r="R8385" s="21">
        <f t="shared" si="536"/>
        <v>0</v>
      </c>
      <c r="S8385" s="5">
        <f t="shared" si="531"/>
        <v>70007.077158325032</v>
      </c>
      <c r="T8385" cm="1">
        <f t="array" ref="T8385">IF(OR(B8385="MAL ALIMI", B8385="ÜRETİM GİRİŞ"), MIN(I8385, MAX(0, I8385 + SUM(SUMIFS($I$1:I8384, $C$1:C8384, C8385, $B$1:B8384, {"MAL ALIMI","ÜRETİM GİRİŞ"})) - VLOOKUP(C8385, 'STOK RAPORU'!$C$2:$I$1000, 4, 0))), 0)</f>
        <v>0</v>
      </c>
      <c r="U8385" s="22">
        <f t="shared" si="532"/>
        <v>0</v>
      </c>
      <c r="V8385">
        <f t="shared" si="533"/>
        <v>0</v>
      </c>
      <c r="W8385" s="22">
        <f t="shared" si="534"/>
        <v>0</v>
      </c>
    </row>
    <row r="8386" spans="1:23" hidden="1" x14ac:dyDescent="0.25">
      <c r="A8386" s="4"/>
      <c r="B8386" s="4"/>
      <c r="C8386" s="4"/>
      <c r="D8386" s="4"/>
      <c r="E8386" s="4"/>
      <c r="F8386" s="4"/>
      <c r="G8386" s="4"/>
      <c r="H8386" s="4"/>
      <c r="I8386" s="4"/>
      <c r="J8386" s="21">
        <f>IFERROR(VLOOKUP(C8386,'STOK KARTLARI'!$C$2:$K$2150,8,0),0)</f>
        <v>0</v>
      </c>
      <c r="K8386" s="21">
        <f t="shared" si="535"/>
        <v>0</v>
      </c>
      <c r="L8386" s="5">
        <f t="shared" si="537"/>
        <v>0</v>
      </c>
      <c r="M8386" s="4"/>
      <c r="N8386" s="4"/>
      <c r="O8386" s="5"/>
      <c r="P8386" s="5"/>
      <c r="Q8386" s="21">
        <f t="shared" si="538"/>
        <v>0</v>
      </c>
      <c r="R8386" s="21">
        <f t="shared" si="536"/>
        <v>0</v>
      </c>
      <c r="S8386" s="5">
        <f t="shared" si="531"/>
        <v>70007.077158325032</v>
      </c>
      <c r="T8386" cm="1">
        <f t="array" ref="T8386">IF(OR(B8386="MAL ALIMI", B8386="ÜRETİM GİRİŞ"), MIN(I8386, MAX(0, I8386 + SUM(SUMIFS($I$1:I8385, $C$1:C8385, C8386, $B$1:B8385, {"MAL ALIMI","ÜRETİM GİRİŞ"})) - VLOOKUP(C8386, 'STOK RAPORU'!$C$2:$I$1000, 4, 0))), 0)</f>
        <v>0</v>
      </c>
      <c r="U8386" s="22">
        <f t="shared" si="532"/>
        <v>0</v>
      </c>
      <c r="V8386">
        <f t="shared" si="533"/>
        <v>0</v>
      </c>
      <c r="W8386" s="22">
        <f t="shared" si="534"/>
        <v>0</v>
      </c>
    </row>
    <row r="8387" spans="1:23" hidden="1" x14ac:dyDescent="0.25">
      <c r="A8387" s="4"/>
      <c r="B8387" s="4"/>
      <c r="C8387" s="4"/>
      <c r="D8387" s="4"/>
      <c r="E8387" s="4"/>
      <c r="F8387" s="4"/>
      <c r="G8387" s="4"/>
      <c r="H8387" s="4"/>
      <c r="I8387" s="4"/>
      <c r="J8387" s="21">
        <f>IFERROR(VLOOKUP(C8387,'STOK KARTLARI'!$C$2:$K$2150,8,0),0)</f>
        <v>0</v>
      </c>
      <c r="K8387" s="21">
        <f t="shared" si="535"/>
        <v>0</v>
      </c>
      <c r="L8387" s="5">
        <f t="shared" si="537"/>
        <v>0</v>
      </c>
      <c r="M8387" s="4"/>
      <c r="N8387" s="4"/>
      <c r="O8387" s="5"/>
      <c r="P8387" s="5"/>
      <c r="Q8387" s="21">
        <f t="shared" si="538"/>
        <v>0</v>
      </c>
      <c r="R8387" s="21">
        <f t="shared" si="536"/>
        <v>0</v>
      </c>
      <c r="S8387" s="5">
        <f t="shared" si="531"/>
        <v>70007.077158325032</v>
      </c>
      <c r="T8387" cm="1">
        <f t="array" ref="T8387">IF(OR(B8387="MAL ALIMI", B8387="ÜRETİM GİRİŞ"), MIN(I8387, MAX(0, I8387 + SUM(SUMIFS($I$1:I8386, $C$1:C8386, C8387, $B$1:B8386, {"MAL ALIMI","ÜRETİM GİRİŞ"})) - VLOOKUP(C8387, 'STOK RAPORU'!$C$2:$I$1000, 4, 0))), 0)</f>
        <v>0</v>
      </c>
      <c r="U8387" s="22">
        <f t="shared" si="532"/>
        <v>0</v>
      </c>
      <c r="V8387">
        <f t="shared" si="533"/>
        <v>0</v>
      </c>
      <c r="W8387" s="22">
        <f t="shared" si="534"/>
        <v>0</v>
      </c>
    </row>
    <row r="8388" spans="1:23" hidden="1" x14ac:dyDescent="0.25">
      <c r="A8388" s="4"/>
      <c r="B8388" s="4"/>
      <c r="C8388" s="4"/>
      <c r="D8388" s="4"/>
      <c r="E8388" s="4"/>
      <c r="F8388" s="4"/>
      <c r="G8388" s="4"/>
      <c r="H8388" s="4"/>
      <c r="I8388" s="4"/>
      <c r="J8388" s="21">
        <f>IFERROR(VLOOKUP(C8388,'STOK KARTLARI'!$C$2:$K$2150,8,0),0)</f>
        <v>0</v>
      </c>
      <c r="K8388" s="21">
        <f t="shared" si="535"/>
        <v>0</v>
      </c>
      <c r="L8388" s="5">
        <f t="shared" si="537"/>
        <v>0</v>
      </c>
      <c r="M8388" s="4"/>
      <c r="N8388" s="4"/>
      <c r="O8388" s="5"/>
      <c r="P8388" s="5"/>
      <c r="Q8388" s="21">
        <f t="shared" si="538"/>
        <v>0</v>
      </c>
      <c r="R8388" s="21">
        <f t="shared" si="536"/>
        <v>0</v>
      </c>
      <c r="S8388" s="5">
        <f t="shared" si="531"/>
        <v>70007.077158325032</v>
      </c>
      <c r="T8388" cm="1">
        <f t="array" ref="T8388">IF(OR(B8388="MAL ALIMI", B8388="ÜRETİM GİRİŞ"), MIN(I8388, MAX(0, I8388 + SUM(SUMIFS($I$1:I8387, $C$1:C8387, C8388, $B$1:B8387, {"MAL ALIMI","ÜRETİM GİRİŞ"})) - VLOOKUP(C8388, 'STOK RAPORU'!$C$2:$I$1000, 4, 0))), 0)</f>
        <v>0</v>
      </c>
      <c r="U8388" s="22">
        <f t="shared" si="532"/>
        <v>0</v>
      </c>
      <c r="V8388">
        <f t="shared" si="533"/>
        <v>0</v>
      </c>
      <c r="W8388" s="22">
        <f t="shared" si="534"/>
        <v>0</v>
      </c>
    </row>
    <row r="8389" spans="1:23" hidden="1" x14ac:dyDescent="0.25">
      <c r="A8389" s="4"/>
      <c r="B8389" s="4"/>
      <c r="C8389" s="4"/>
      <c r="D8389" s="4"/>
      <c r="E8389" s="4"/>
      <c r="F8389" s="4"/>
      <c r="G8389" s="4"/>
      <c r="H8389" s="4"/>
      <c r="I8389" s="4"/>
      <c r="J8389" s="21">
        <f>IFERROR(VLOOKUP(C8389,'STOK KARTLARI'!$C$2:$K$2150,8,0),0)</f>
        <v>0</v>
      </c>
      <c r="K8389" s="21">
        <f t="shared" si="535"/>
        <v>0</v>
      </c>
      <c r="L8389" s="5">
        <f t="shared" si="537"/>
        <v>0</v>
      </c>
      <c r="M8389" s="4"/>
      <c r="N8389" s="4"/>
      <c r="O8389" s="5"/>
      <c r="P8389" s="5"/>
      <c r="Q8389" s="21">
        <f t="shared" si="538"/>
        <v>0</v>
      </c>
      <c r="R8389" s="21">
        <f t="shared" si="536"/>
        <v>0</v>
      </c>
      <c r="S8389" s="5">
        <f t="shared" ref="S8389:S8452" si="539">S8388+Q8389-R8389</f>
        <v>70007.077158325032</v>
      </c>
      <c r="T8389" cm="1">
        <f t="array" ref="T8389">IF(OR(B8389="MAL ALIMI", B8389="ÜRETİM GİRİŞ"), MIN(I8389, MAX(0, I8389 + SUM(SUMIFS($I$1:I8388, $C$1:C8388, C8389, $B$1:B8388, {"MAL ALIMI","ÜRETİM GİRİŞ"})) - VLOOKUP(C8389, 'STOK RAPORU'!$C$2:$I$1000, 4, 0))), 0)</f>
        <v>0</v>
      </c>
      <c r="U8389" s="22">
        <f t="shared" si="532"/>
        <v>0</v>
      </c>
      <c r="V8389">
        <f t="shared" si="533"/>
        <v>0</v>
      </c>
      <c r="W8389" s="22">
        <f t="shared" si="534"/>
        <v>0</v>
      </c>
    </row>
    <row r="8390" spans="1:23" hidden="1" x14ac:dyDescent="0.25">
      <c r="A8390" s="4"/>
      <c r="B8390" s="4"/>
      <c r="C8390" s="4"/>
      <c r="D8390" s="4"/>
      <c r="E8390" s="4"/>
      <c r="F8390" s="4"/>
      <c r="G8390" s="4"/>
      <c r="H8390" s="4"/>
      <c r="I8390" s="4"/>
      <c r="J8390" s="21">
        <f>IFERROR(VLOOKUP(C8390,'STOK KARTLARI'!$C$2:$K$2150,8,0),0)</f>
        <v>0</v>
      </c>
      <c r="K8390" s="21">
        <f t="shared" si="535"/>
        <v>0</v>
      </c>
      <c r="L8390" s="5">
        <f t="shared" si="537"/>
        <v>0</v>
      </c>
      <c r="M8390" s="4"/>
      <c r="N8390" s="4"/>
      <c r="O8390" s="5"/>
      <c r="P8390" s="5"/>
      <c r="Q8390" s="21">
        <f t="shared" si="538"/>
        <v>0</v>
      </c>
      <c r="R8390" s="21">
        <f t="shared" si="536"/>
        <v>0</v>
      </c>
      <c r="S8390" s="5">
        <f t="shared" si="539"/>
        <v>70007.077158325032</v>
      </c>
      <c r="T8390" cm="1">
        <f t="array" ref="T8390">IF(OR(B8390="MAL ALIMI", B8390="ÜRETİM GİRİŞ"), MIN(I8390, MAX(0, I8390 + SUM(SUMIFS($I$1:I8389, $C$1:C8389, C8390, $B$1:B8389, {"MAL ALIMI","ÜRETİM GİRİŞ"})) - VLOOKUP(C8390, 'STOK RAPORU'!$C$2:$I$1000, 4, 0))), 0)</f>
        <v>0</v>
      </c>
      <c r="U8390" s="22">
        <f t="shared" si="532"/>
        <v>0</v>
      </c>
      <c r="V8390">
        <f t="shared" si="533"/>
        <v>0</v>
      </c>
      <c r="W8390" s="22">
        <f t="shared" si="534"/>
        <v>0</v>
      </c>
    </row>
    <row r="8391" spans="1:23" hidden="1" x14ac:dyDescent="0.25">
      <c r="A8391" s="3"/>
      <c r="B8391" s="4"/>
      <c r="C8391" s="4"/>
      <c r="D8391" s="4"/>
      <c r="E8391" s="4"/>
      <c r="F8391" s="4"/>
      <c r="G8391" s="4"/>
      <c r="H8391" s="4"/>
      <c r="I8391" s="4"/>
      <c r="J8391" s="21">
        <f>IFERROR(VLOOKUP(C8391,'STOK KARTLARI'!$C$2:$K$2150,8,0),0)</f>
        <v>0</v>
      </c>
      <c r="K8391" s="21">
        <f t="shared" si="535"/>
        <v>0</v>
      </c>
      <c r="L8391" s="5">
        <f t="shared" si="537"/>
        <v>0</v>
      </c>
      <c r="M8391" s="4"/>
      <c r="N8391" s="4"/>
      <c r="O8391" s="5"/>
      <c r="P8391" s="5"/>
      <c r="Q8391" s="21">
        <f t="shared" si="538"/>
        <v>0</v>
      </c>
      <c r="R8391" s="21">
        <f t="shared" si="536"/>
        <v>0</v>
      </c>
      <c r="S8391" s="5">
        <f t="shared" si="539"/>
        <v>70007.077158325032</v>
      </c>
      <c r="T8391" cm="1">
        <f t="array" ref="T8391">IF(OR(B8391="MAL ALIMI", B8391="ÜRETİM GİRİŞ"), MIN(I8391, MAX(0, I8391 + SUM(SUMIFS($I$1:I8390, $C$1:C8390, C8391, $B$1:B8390, {"MAL ALIMI","ÜRETİM GİRİŞ"})) - VLOOKUP(C8391, 'STOK RAPORU'!$C$2:$I$1000, 4, 0))), 0)</f>
        <v>0</v>
      </c>
      <c r="U8391" s="22">
        <f t="shared" si="532"/>
        <v>0</v>
      </c>
      <c r="V8391">
        <f t="shared" si="533"/>
        <v>0</v>
      </c>
      <c r="W8391" s="22">
        <f t="shared" si="534"/>
        <v>0</v>
      </c>
    </row>
    <row r="8392" spans="1:23" hidden="1" x14ac:dyDescent="0.25">
      <c r="A8392" s="4"/>
      <c r="B8392" s="4"/>
      <c r="C8392" s="4"/>
      <c r="D8392" s="4"/>
      <c r="E8392" s="4"/>
      <c r="F8392" s="4"/>
      <c r="G8392" s="4"/>
      <c r="H8392" s="4"/>
      <c r="I8392" s="4"/>
      <c r="J8392" s="21">
        <f>IFERROR(VLOOKUP(C8392,'STOK KARTLARI'!$C$2:$K$2150,8,0),0)</f>
        <v>0</v>
      </c>
      <c r="K8392" s="21">
        <f t="shared" si="535"/>
        <v>0</v>
      </c>
      <c r="L8392" s="5">
        <f t="shared" si="537"/>
        <v>0</v>
      </c>
      <c r="M8392" s="4"/>
      <c r="N8392" s="4"/>
      <c r="O8392" s="5"/>
      <c r="P8392" s="5"/>
      <c r="Q8392" s="21">
        <f t="shared" si="538"/>
        <v>0</v>
      </c>
      <c r="R8392" s="21">
        <f t="shared" si="536"/>
        <v>0</v>
      </c>
      <c r="S8392" s="5">
        <f t="shared" si="539"/>
        <v>70007.077158325032</v>
      </c>
      <c r="T8392" cm="1">
        <f t="array" ref="T8392">IF(OR(B8392="MAL ALIMI", B8392="ÜRETİM GİRİŞ"), MIN(I8392, MAX(0, I8392 + SUM(SUMIFS($I$1:I8391, $C$1:C8391, C8392, $B$1:B8391, {"MAL ALIMI","ÜRETİM GİRİŞ"})) - VLOOKUP(C8392, 'STOK RAPORU'!$C$2:$I$1000, 4, 0))), 0)</f>
        <v>0</v>
      </c>
      <c r="U8392" s="22">
        <f t="shared" si="532"/>
        <v>0</v>
      </c>
      <c r="V8392">
        <f t="shared" si="533"/>
        <v>0</v>
      </c>
      <c r="W8392" s="22">
        <f t="shared" si="534"/>
        <v>0</v>
      </c>
    </row>
    <row r="8393" spans="1:23" hidden="1" x14ac:dyDescent="0.25">
      <c r="A8393" s="4"/>
      <c r="B8393" s="4"/>
      <c r="C8393" s="4"/>
      <c r="D8393" s="4"/>
      <c r="E8393" s="4"/>
      <c r="F8393" s="4"/>
      <c r="G8393" s="4"/>
      <c r="H8393" s="4"/>
      <c r="I8393" s="4"/>
      <c r="J8393" s="21">
        <f>IFERROR(VLOOKUP(C8393,'STOK KARTLARI'!$C$2:$K$2150,8,0),0)</f>
        <v>0</v>
      </c>
      <c r="K8393" s="21">
        <f t="shared" si="535"/>
        <v>0</v>
      </c>
      <c r="L8393" s="5">
        <f t="shared" si="537"/>
        <v>0</v>
      </c>
      <c r="M8393" s="4"/>
      <c r="N8393" s="4"/>
      <c r="O8393" s="5"/>
      <c r="P8393" s="5"/>
      <c r="Q8393" s="21">
        <f t="shared" si="538"/>
        <v>0</v>
      </c>
      <c r="R8393" s="21">
        <f t="shared" si="536"/>
        <v>0</v>
      </c>
      <c r="S8393" s="5">
        <f t="shared" si="539"/>
        <v>70007.077158325032</v>
      </c>
      <c r="T8393" cm="1">
        <f t="array" ref="T8393">IF(OR(B8393="MAL ALIMI", B8393="ÜRETİM GİRİŞ"), MIN(I8393, MAX(0, I8393 + SUM(SUMIFS($I$1:I8392, $C$1:C8392, C8393, $B$1:B8392, {"MAL ALIMI","ÜRETİM GİRİŞ"})) - VLOOKUP(C8393, 'STOK RAPORU'!$C$2:$I$1000, 4, 0))), 0)</f>
        <v>0</v>
      </c>
      <c r="U8393" s="22">
        <f t="shared" si="532"/>
        <v>0</v>
      </c>
      <c r="V8393">
        <f t="shared" si="533"/>
        <v>0</v>
      </c>
      <c r="W8393" s="22">
        <f t="shared" si="534"/>
        <v>0</v>
      </c>
    </row>
    <row r="8394" spans="1:23" hidden="1" x14ac:dyDescent="0.25">
      <c r="A8394" s="4"/>
      <c r="B8394" s="4"/>
      <c r="C8394" s="4"/>
      <c r="D8394" s="4"/>
      <c r="E8394" s="4"/>
      <c r="F8394" s="4"/>
      <c r="G8394" s="4"/>
      <c r="H8394" s="4"/>
      <c r="I8394" s="4"/>
      <c r="J8394" s="21">
        <f>IFERROR(VLOOKUP(C8394,'STOK KARTLARI'!$C$2:$K$2150,8,0),0)</f>
        <v>0</v>
      </c>
      <c r="K8394" s="21">
        <f t="shared" si="535"/>
        <v>0</v>
      </c>
      <c r="L8394" s="5">
        <f t="shared" si="537"/>
        <v>0</v>
      </c>
      <c r="M8394" s="4"/>
      <c r="N8394" s="4"/>
      <c r="O8394" s="5"/>
      <c r="P8394" s="5"/>
      <c r="Q8394" s="21">
        <f t="shared" si="538"/>
        <v>0</v>
      </c>
      <c r="R8394" s="21">
        <f t="shared" si="536"/>
        <v>0</v>
      </c>
      <c r="S8394" s="5">
        <f t="shared" si="539"/>
        <v>70007.077158325032</v>
      </c>
      <c r="T8394" cm="1">
        <f t="array" ref="T8394">IF(OR(B8394="MAL ALIMI", B8394="ÜRETİM GİRİŞ"), MIN(I8394, MAX(0, I8394 + SUM(SUMIFS($I$1:I8393, $C$1:C8393, C8394, $B$1:B8393, {"MAL ALIMI","ÜRETİM GİRİŞ"})) - VLOOKUP(C8394, 'STOK RAPORU'!$C$2:$I$1000, 4, 0))), 0)</f>
        <v>0</v>
      </c>
      <c r="U8394" s="22">
        <f t="shared" si="532"/>
        <v>0</v>
      </c>
      <c r="V8394">
        <f t="shared" si="533"/>
        <v>0</v>
      </c>
      <c r="W8394" s="22">
        <f t="shared" si="534"/>
        <v>0</v>
      </c>
    </row>
    <row r="8395" spans="1:23" hidden="1" x14ac:dyDescent="0.25">
      <c r="A8395" s="4"/>
      <c r="B8395" s="4"/>
      <c r="C8395" s="4"/>
      <c r="D8395" s="4"/>
      <c r="E8395" s="4"/>
      <c r="F8395" s="4"/>
      <c r="G8395" s="4"/>
      <c r="H8395" s="4"/>
      <c r="I8395" s="4"/>
      <c r="J8395" s="21">
        <f>IFERROR(VLOOKUP(C8395,'STOK KARTLARI'!$C$2:$K$2150,8,0),0)</f>
        <v>0</v>
      </c>
      <c r="K8395" s="21">
        <f t="shared" si="535"/>
        <v>0</v>
      </c>
      <c r="L8395" s="5">
        <f t="shared" si="537"/>
        <v>0</v>
      </c>
      <c r="M8395" s="4"/>
      <c r="N8395" s="4"/>
      <c r="O8395" s="5"/>
      <c r="P8395" s="5"/>
      <c r="Q8395" s="21">
        <f t="shared" si="538"/>
        <v>0</v>
      </c>
      <c r="R8395" s="21">
        <f t="shared" si="536"/>
        <v>0</v>
      </c>
      <c r="S8395" s="5">
        <f t="shared" si="539"/>
        <v>70007.077158325032</v>
      </c>
      <c r="T8395" cm="1">
        <f t="array" ref="T8395">IF(OR(B8395="MAL ALIMI", B8395="ÜRETİM GİRİŞ"), MIN(I8395, MAX(0, I8395 + SUM(SUMIFS($I$1:I8394, $C$1:C8394, C8395, $B$1:B8394, {"MAL ALIMI","ÜRETİM GİRİŞ"})) - VLOOKUP(C8395, 'STOK RAPORU'!$C$2:$I$1000, 4, 0))), 0)</f>
        <v>0</v>
      </c>
      <c r="U8395" s="22">
        <f t="shared" si="532"/>
        <v>0</v>
      </c>
      <c r="V8395">
        <f t="shared" si="533"/>
        <v>0</v>
      </c>
      <c r="W8395" s="22">
        <f t="shared" si="534"/>
        <v>0</v>
      </c>
    </row>
    <row r="8396" spans="1:23" hidden="1" x14ac:dyDescent="0.25">
      <c r="A8396" s="4"/>
      <c r="B8396" s="4"/>
      <c r="C8396" s="4"/>
      <c r="D8396" s="4"/>
      <c r="E8396" s="4"/>
      <c r="F8396" s="4"/>
      <c r="G8396" s="4"/>
      <c r="H8396" s="4"/>
      <c r="I8396" s="4"/>
      <c r="J8396" s="21">
        <f>IFERROR(VLOOKUP(C8396,'STOK KARTLARI'!$C$2:$K$2150,8,0),0)</f>
        <v>0</v>
      </c>
      <c r="K8396" s="21">
        <f t="shared" si="535"/>
        <v>0</v>
      </c>
      <c r="L8396" s="5">
        <f t="shared" si="537"/>
        <v>0</v>
      </c>
      <c r="M8396" s="4"/>
      <c r="N8396" s="4"/>
      <c r="O8396" s="5"/>
      <c r="P8396" s="5"/>
      <c r="Q8396" s="21">
        <f t="shared" si="538"/>
        <v>0</v>
      </c>
      <c r="R8396" s="21">
        <f t="shared" si="536"/>
        <v>0</v>
      </c>
      <c r="S8396" s="5">
        <f t="shared" si="539"/>
        <v>70007.077158325032</v>
      </c>
      <c r="T8396" cm="1">
        <f t="array" ref="T8396">IF(OR(B8396="MAL ALIMI", B8396="ÜRETİM GİRİŞ"), MIN(I8396, MAX(0, I8396 + SUM(SUMIFS($I$1:I8395, $C$1:C8395, C8396, $B$1:B8395, {"MAL ALIMI","ÜRETİM GİRİŞ"})) - VLOOKUP(C8396, 'STOK RAPORU'!$C$2:$I$1000, 4, 0))), 0)</f>
        <v>0</v>
      </c>
      <c r="U8396" s="22">
        <f t="shared" si="532"/>
        <v>0</v>
      </c>
      <c r="V8396">
        <f t="shared" si="533"/>
        <v>0</v>
      </c>
      <c r="W8396" s="22">
        <f t="shared" si="534"/>
        <v>0</v>
      </c>
    </row>
    <row r="8397" spans="1:23" hidden="1" x14ac:dyDescent="0.25">
      <c r="A8397" s="4"/>
      <c r="B8397" s="4"/>
      <c r="C8397" s="4"/>
      <c r="D8397" s="4"/>
      <c r="E8397" s="4"/>
      <c r="F8397" s="4"/>
      <c r="G8397" s="4"/>
      <c r="H8397" s="4"/>
      <c r="I8397" s="4"/>
      <c r="J8397" s="21">
        <f>IFERROR(VLOOKUP(C8397,'STOK KARTLARI'!$C$2:$K$2150,8,0),0)</f>
        <v>0</v>
      </c>
      <c r="K8397" s="21">
        <f t="shared" si="535"/>
        <v>0</v>
      </c>
      <c r="L8397" s="5">
        <f t="shared" si="537"/>
        <v>0</v>
      </c>
      <c r="M8397" s="4"/>
      <c r="N8397" s="4"/>
      <c r="O8397" s="5"/>
      <c r="P8397" s="5"/>
      <c r="Q8397" s="21">
        <f t="shared" si="538"/>
        <v>0</v>
      </c>
      <c r="R8397" s="21">
        <f t="shared" si="536"/>
        <v>0</v>
      </c>
      <c r="S8397" s="5">
        <f t="shared" si="539"/>
        <v>70007.077158325032</v>
      </c>
      <c r="T8397" cm="1">
        <f t="array" ref="T8397">IF(OR(B8397="MAL ALIMI", B8397="ÜRETİM GİRİŞ"), MIN(I8397, MAX(0, I8397 + SUM(SUMIFS($I$1:I8396, $C$1:C8396, C8397, $B$1:B8396, {"MAL ALIMI","ÜRETİM GİRİŞ"})) - VLOOKUP(C8397, 'STOK RAPORU'!$C$2:$I$1000, 4, 0))), 0)</f>
        <v>0</v>
      </c>
      <c r="U8397" s="22">
        <f t="shared" si="532"/>
        <v>0</v>
      </c>
      <c r="V8397">
        <f t="shared" si="533"/>
        <v>0</v>
      </c>
      <c r="W8397" s="22">
        <f t="shared" si="534"/>
        <v>0</v>
      </c>
    </row>
    <row r="8398" spans="1:23" hidden="1" x14ac:dyDescent="0.25">
      <c r="A8398" s="3"/>
      <c r="B8398" s="4"/>
      <c r="C8398" s="4"/>
      <c r="D8398" s="4"/>
      <c r="E8398" s="4"/>
      <c r="F8398" s="4"/>
      <c r="G8398" s="4"/>
      <c r="H8398" s="4"/>
      <c r="I8398" s="4"/>
      <c r="J8398" s="21">
        <f>IFERROR(VLOOKUP(C8398,'STOK KARTLARI'!$C$2:$K$2150,8,0),0)</f>
        <v>0</v>
      </c>
      <c r="K8398" s="21">
        <f t="shared" si="535"/>
        <v>0</v>
      </c>
      <c r="L8398" s="5">
        <f t="shared" si="537"/>
        <v>0</v>
      </c>
      <c r="M8398" s="4"/>
      <c r="N8398" s="4"/>
      <c r="O8398" s="5"/>
      <c r="P8398" s="5"/>
      <c r="Q8398" s="21">
        <f t="shared" si="538"/>
        <v>0</v>
      </c>
      <c r="R8398" s="21">
        <f t="shared" si="536"/>
        <v>0</v>
      </c>
      <c r="S8398" s="5">
        <f t="shared" si="539"/>
        <v>70007.077158325032</v>
      </c>
      <c r="T8398" cm="1">
        <f t="array" ref="T8398">IF(OR(B8398="MAL ALIMI", B8398="ÜRETİM GİRİŞ"), MIN(I8398, MAX(0, I8398 + SUM(SUMIFS($I$1:I8397, $C$1:C8397, C8398, $B$1:B8397, {"MAL ALIMI","ÜRETİM GİRİŞ"})) - VLOOKUP(C8398, 'STOK RAPORU'!$C$2:$I$1000, 4, 0))), 0)</f>
        <v>0</v>
      </c>
      <c r="U8398" s="22">
        <f t="shared" si="532"/>
        <v>0</v>
      </c>
      <c r="V8398">
        <f t="shared" si="533"/>
        <v>0</v>
      </c>
      <c r="W8398" s="22">
        <f t="shared" si="534"/>
        <v>0</v>
      </c>
    </row>
    <row r="8399" spans="1:23" hidden="1" x14ac:dyDescent="0.25">
      <c r="A8399" s="4"/>
      <c r="B8399" s="4"/>
      <c r="C8399" s="4"/>
      <c r="D8399" s="4"/>
      <c r="E8399" s="4"/>
      <c r="F8399" s="4"/>
      <c r="G8399" s="4"/>
      <c r="H8399" s="4"/>
      <c r="I8399" s="4"/>
      <c r="J8399" s="21">
        <f>IFERROR(VLOOKUP(C8399,'STOK KARTLARI'!$C$2:$K$2150,8,0),0)</f>
        <v>0</v>
      </c>
      <c r="K8399" s="21">
        <f t="shared" si="535"/>
        <v>0</v>
      </c>
      <c r="L8399" s="5">
        <f t="shared" si="537"/>
        <v>0</v>
      </c>
      <c r="M8399" s="4"/>
      <c r="N8399" s="4"/>
      <c r="O8399" s="5"/>
      <c r="P8399" s="5"/>
      <c r="Q8399" s="21">
        <f t="shared" si="538"/>
        <v>0</v>
      </c>
      <c r="R8399" s="21">
        <f t="shared" si="536"/>
        <v>0</v>
      </c>
      <c r="S8399" s="5">
        <f t="shared" si="539"/>
        <v>70007.077158325032</v>
      </c>
      <c r="T8399" cm="1">
        <f t="array" ref="T8399">IF(OR(B8399="MAL ALIMI", B8399="ÜRETİM GİRİŞ"), MIN(I8399, MAX(0, I8399 + SUM(SUMIFS($I$1:I8398, $C$1:C8398, C8399, $B$1:B8398, {"MAL ALIMI","ÜRETİM GİRİŞ"})) - VLOOKUP(C8399, 'STOK RAPORU'!$C$2:$I$1000, 4, 0))), 0)</f>
        <v>0</v>
      </c>
      <c r="U8399" s="22">
        <f t="shared" si="532"/>
        <v>0</v>
      </c>
      <c r="V8399">
        <f t="shared" si="533"/>
        <v>0</v>
      </c>
      <c r="W8399" s="22">
        <f t="shared" si="534"/>
        <v>0</v>
      </c>
    </row>
    <row r="8400" spans="1:23" hidden="1" x14ac:dyDescent="0.25">
      <c r="A8400" s="4"/>
      <c r="B8400" s="4"/>
      <c r="C8400" s="4"/>
      <c r="D8400" s="4"/>
      <c r="E8400" s="4"/>
      <c r="F8400" s="4"/>
      <c r="G8400" s="4"/>
      <c r="H8400" s="4"/>
      <c r="I8400" s="4"/>
      <c r="J8400" s="21">
        <f>IFERROR(VLOOKUP(C8400,'STOK KARTLARI'!$C$2:$K$2150,8,0),0)</f>
        <v>0</v>
      </c>
      <c r="K8400" s="21">
        <f t="shared" si="535"/>
        <v>0</v>
      </c>
      <c r="L8400" s="5">
        <f t="shared" si="537"/>
        <v>0</v>
      </c>
      <c r="M8400" s="4"/>
      <c r="N8400" s="4"/>
      <c r="O8400" s="5"/>
      <c r="P8400" s="5"/>
      <c r="Q8400" s="21">
        <f t="shared" si="538"/>
        <v>0</v>
      </c>
      <c r="R8400" s="21">
        <f t="shared" si="536"/>
        <v>0</v>
      </c>
      <c r="S8400" s="5">
        <f t="shared" si="539"/>
        <v>70007.077158325032</v>
      </c>
      <c r="T8400" cm="1">
        <f t="array" ref="T8400">IF(OR(B8400="MAL ALIMI", B8400="ÜRETİM GİRİŞ"), MIN(I8400, MAX(0, I8400 + SUM(SUMIFS($I$1:I8399, $C$1:C8399, C8400, $B$1:B8399, {"MAL ALIMI","ÜRETİM GİRİŞ"})) - VLOOKUP(C8400, 'STOK RAPORU'!$C$2:$I$1000, 4, 0))), 0)</f>
        <v>0</v>
      </c>
      <c r="U8400" s="22">
        <f t="shared" si="532"/>
        <v>0</v>
      </c>
      <c r="V8400">
        <f t="shared" si="533"/>
        <v>0</v>
      </c>
      <c r="W8400" s="22">
        <f t="shared" si="534"/>
        <v>0</v>
      </c>
    </row>
    <row r="8401" spans="1:23" hidden="1" x14ac:dyDescent="0.25">
      <c r="A8401" s="4"/>
      <c r="B8401" s="4"/>
      <c r="C8401" s="4"/>
      <c r="D8401" s="4"/>
      <c r="E8401" s="4"/>
      <c r="F8401" s="4"/>
      <c r="G8401" s="4"/>
      <c r="H8401" s="4"/>
      <c r="I8401" s="4"/>
      <c r="J8401" s="21">
        <f>IFERROR(VLOOKUP(C8401,'STOK KARTLARI'!$C$2:$K$2150,8,0),0)</f>
        <v>0</v>
      </c>
      <c r="K8401" s="21">
        <f t="shared" si="535"/>
        <v>0</v>
      </c>
      <c r="L8401" s="5">
        <f t="shared" si="537"/>
        <v>0</v>
      </c>
      <c r="M8401" s="4"/>
      <c r="N8401" s="4"/>
      <c r="O8401" s="5"/>
      <c r="P8401" s="5"/>
      <c r="Q8401" s="21">
        <f t="shared" si="538"/>
        <v>0</v>
      </c>
      <c r="R8401" s="21">
        <f t="shared" si="536"/>
        <v>0</v>
      </c>
      <c r="S8401" s="5">
        <f t="shared" si="539"/>
        <v>70007.077158325032</v>
      </c>
      <c r="T8401" cm="1">
        <f t="array" ref="T8401">IF(OR(B8401="MAL ALIMI", B8401="ÜRETİM GİRİŞ"), MIN(I8401, MAX(0, I8401 + SUM(SUMIFS($I$1:I8400, $C$1:C8400, C8401, $B$1:B8400, {"MAL ALIMI","ÜRETİM GİRİŞ"})) - VLOOKUP(C8401, 'STOK RAPORU'!$C$2:$I$1000, 4, 0))), 0)</f>
        <v>0</v>
      </c>
      <c r="U8401" s="22">
        <f t="shared" si="532"/>
        <v>0</v>
      </c>
      <c r="V8401">
        <f t="shared" si="533"/>
        <v>0</v>
      </c>
      <c r="W8401" s="22">
        <f t="shared" si="534"/>
        <v>0</v>
      </c>
    </row>
    <row r="8402" spans="1:23" hidden="1" x14ac:dyDescent="0.25">
      <c r="A8402" s="4"/>
      <c r="B8402" s="4"/>
      <c r="C8402" s="4"/>
      <c r="D8402" s="4"/>
      <c r="E8402" s="4"/>
      <c r="F8402" s="4"/>
      <c r="G8402" s="4"/>
      <c r="H8402" s="4"/>
      <c r="I8402" s="4"/>
      <c r="J8402" s="21">
        <f>IFERROR(VLOOKUP(C8402,'STOK KARTLARI'!$C$2:$K$2150,8,0),0)</f>
        <v>0</v>
      </c>
      <c r="K8402" s="21">
        <f t="shared" si="535"/>
        <v>0</v>
      </c>
      <c r="L8402" s="5">
        <f t="shared" si="537"/>
        <v>0</v>
      </c>
      <c r="M8402" s="4"/>
      <c r="N8402" s="4"/>
      <c r="O8402" s="5"/>
      <c r="P8402" s="5"/>
      <c r="Q8402" s="21">
        <f t="shared" si="538"/>
        <v>0</v>
      </c>
      <c r="R8402" s="21">
        <f t="shared" si="536"/>
        <v>0</v>
      </c>
      <c r="S8402" s="5">
        <f t="shared" si="539"/>
        <v>70007.077158325032</v>
      </c>
      <c r="T8402" cm="1">
        <f t="array" ref="T8402">IF(OR(B8402="MAL ALIMI", B8402="ÜRETİM GİRİŞ"), MIN(I8402, MAX(0, I8402 + SUM(SUMIFS($I$1:I8401, $C$1:C8401, C8402, $B$1:B8401, {"MAL ALIMI","ÜRETİM GİRİŞ"})) - VLOOKUP(C8402, 'STOK RAPORU'!$C$2:$I$1000, 4, 0))), 0)</f>
        <v>0</v>
      </c>
      <c r="U8402" s="22">
        <f t="shared" si="532"/>
        <v>0</v>
      </c>
      <c r="V8402">
        <f t="shared" si="533"/>
        <v>0</v>
      </c>
      <c r="W8402" s="22">
        <f t="shared" si="534"/>
        <v>0</v>
      </c>
    </row>
    <row r="8403" spans="1:23" hidden="1" x14ac:dyDescent="0.25">
      <c r="A8403" s="4"/>
      <c r="B8403" s="4"/>
      <c r="C8403" s="4"/>
      <c r="D8403" s="4"/>
      <c r="E8403" s="4"/>
      <c r="F8403" s="4"/>
      <c r="G8403" s="4"/>
      <c r="H8403" s="4"/>
      <c r="I8403" s="4"/>
      <c r="J8403" s="21">
        <f>IFERROR(VLOOKUP(C8403,'STOK KARTLARI'!$C$2:$K$2150,8,0),0)</f>
        <v>0</v>
      </c>
      <c r="K8403" s="21">
        <f t="shared" si="535"/>
        <v>0</v>
      </c>
      <c r="L8403" s="5">
        <f t="shared" si="537"/>
        <v>0</v>
      </c>
      <c r="M8403" s="4"/>
      <c r="N8403" s="4"/>
      <c r="O8403" s="5"/>
      <c r="P8403" s="5"/>
      <c r="Q8403" s="21">
        <f t="shared" si="538"/>
        <v>0</v>
      </c>
      <c r="R8403" s="21">
        <f t="shared" si="536"/>
        <v>0</v>
      </c>
      <c r="S8403" s="5">
        <f t="shared" si="539"/>
        <v>70007.077158325032</v>
      </c>
      <c r="T8403" cm="1">
        <f t="array" ref="T8403">IF(OR(B8403="MAL ALIMI", B8403="ÜRETİM GİRİŞ"), MIN(I8403, MAX(0, I8403 + SUM(SUMIFS($I$1:I8402, $C$1:C8402, C8403, $B$1:B8402, {"MAL ALIMI","ÜRETİM GİRİŞ"})) - VLOOKUP(C8403, 'STOK RAPORU'!$C$2:$I$1000, 4, 0))), 0)</f>
        <v>0</v>
      </c>
      <c r="U8403" s="22">
        <f t="shared" si="532"/>
        <v>0</v>
      </c>
      <c r="V8403">
        <f t="shared" si="533"/>
        <v>0</v>
      </c>
      <c r="W8403" s="22">
        <f t="shared" si="534"/>
        <v>0</v>
      </c>
    </row>
    <row r="8404" spans="1:23" hidden="1" x14ac:dyDescent="0.25">
      <c r="A8404" s="4"/>
      <c r="B8404" s="4"/>
      <c r="C8404" s="4"/>
      <c r="D8404" s="4"/>
      <c r="E8404" s="4"/>
      <c r="F8404" s="4"/>
      <c r="G8404" s="4"/>
      <c r="H8404" s="4"/>
      <c r="I8404" s="4"/>
      <c r="J8404" s="21">
        <f>IFERROR(VLOOKUP(C8404,'STOK KARTLARI'!$C$2:$K$2150,8,0),0)</f>
        <v>0</v>
      </c>
      <c r="K8404" s="21">
        <f t="shared" si="535"/>
        <v>0</v>
      </c>
      <c r="L8404" s="5">
        <f t="shared" si="537"/>
        <v>0</v>
      </c>
      <c r="M8404" s="4"/>
      <c r="N8404" s="4"/>
      <c r="O8404" s="5"/>
      <c r="P8404" s="5"/>
      <c r="Q8404" s="21">
        <f t="shared" si="538"/>
        <v>0</v>
      </c>
      <c r="R8404" s="21">
        <f t="shared" si="536"/>
        <v>0</v>
      </c>
      <c r="S8404" s="5">
        <f t="shared" si="539"/>
        <v>70007.077158325032</v>
      </c>
      <c r="T8404" cm="1">
        <f t="array" ref="T8404">IF(OR(B8404="MAL ALIMI", B8404="ÜRETİM GİRİŞ"), MIN(I8404, MAX(0, I8404 + SUM(SUMIFS($I$1:I8403, $C$1:C8403, C8404, $B$1:B8403, {"MAL ALIMI","ÜRETİM GİRİŞ"})) - VLOOKUP(C8404, 'STOK RAPORU'!$C$2:$I$1000, 4, 0))), 0)</f>
        <v>0</v>
      </c>
      <c r="U8404" s="22">
        <f t="shared" si="532"/>
        <v>0</v>
      </c>
      <c r="V8404">
        <f t="shared" si="533"/>
        <v>0</v>
      </c>
      <c r="W8404" s="22">
        <f t="shared" si="534"/>
        <v>0</v>
      </c>
    </row>
    <row r="8405" spans="1:23" hidden="1" x14ac:dyDescent="0.25">
      <c r="A8405" s="3"/>
      <c r="B8405" s="4"/>
      <c r="C8405" s="4"/>
      <c r="D8405" s="4"/>
      <c r="E8405" s="4"/>
      <c r="F8405" s="4"/>
      <c r="G8405" s="4"/>
      <c r="H8405" s="4"/>
      <c r="I8405" s="4"/>
      <c r="J8405" s="21">
        <f>IFERROR(VLOOKUP(C8405,'STOK KARTLARI'!$C$2:$K$2150,8,0),0)</f>
        <v>0</v>
      </c>
      <c r="K8405" s="21">
        <f t="shared" si="535"/>
        <v>0</v>
      </c>
      <c r="L8405" s="5">
        <f t="shared" si="537"/>
        <v>0</v>
      </c>
      <c r="M8405" s="4"/>
      <c r="N8405" s="4"/>
      <c r="O8405" s="5"/>
      <c r="P8405" s="5"/>
      <c r="Q8405" s="21">
        <f t="shared" si="538"/>
        <v>0</v>
      </c>
      <c r="R8405" s="21">
        <f t="shared" si="536"/>
        <v>0</v>
      </c>
      <c r="S8405" s="5">
        <f t="shared" si="539"/>
        <v>70007.077158325032</v>
      </c>
      <c r="T8405" cm="1">
        <f t="array" ref="T8405">IF(OR(B8405="MAL ALIMI", B8405="ÜRETİM GİRİŞ"), MIN(I8405, MAX(0, I8405 + SUM(SUMIFS($I$1:I8404, $C$1:C8404, C8405, $B$1:B8404, {"MAL ALIMI","ÜRETİM GİRİŞ"})) - VLOOKUP(C8405, 'STOK RAPORU'!$C$2:$I$1000, 4, 0))), 0)</f>
        <v>0</v>
      </c>
      <c r="U8405" s="22">
        <f t="shared" si="532"/>
        <v>0</v>
      </c>
      <c r="V8405">
        <f t="shared" si="533"/>
        <v>0</v>
      </c>
      <c r="W8405" s="22">
        <f t="shared" si="534"/>
        <v>0</v>
      </c>
    </row>
    <row r="8406" spans="1:23" hidden="1" x14ac:dyDescent="0.25">
      <c r="A8406" s="4"/>
      <c r="B8406" s="4"/>
      <c r="C8406" s="4"/>
      <c r="D8406" s="4"/>
      <c r="E8406" s="4"/>
      <c r="F8406" s="4"/>
      <c r="G8406" s="4"/>
      <c r="H8406" s="4"/>
      <c r="I8406" s="4"/>
      <c r="J8406" s="21">
        <f>IFERROR(VLOOKUP(C8406,'STOK KARTLARI'!$C$2:$K$2150,8,0),0)</f>
        <v>0</v>
      </c>
      <c r="K8406" s="21">
        <f t="shared" si="535"/>
        <v>0</v>
      </c>
      <c r="L8406" s="5">
        <f t="shared" si="537"/>
        <v>0</v>
      </c>
      <c r="M8406" s="4"/>
      <c r="N8406" s="4"/>
      <c r="O8406" s="5"/>
      <c r="P8406" s="5"/>
      <c r="Q8406" s="21">
        <f t="shared" si="538"/>
        <v>0</v>
      </c>
      <c r="R8406" s="21">
        <f t="shared" si="536"/>
        <v>0</v>
      </c>
      <c r="S8406" s="5">
        <f t="shared" si="539"/>
        <v>70007.077158325032</v>
      </c>
      <c r="T8406" cm="1">
        <f t="array" ref="T8406">IF(OR(B8406="MAL ALIMI", B8406="ÜRETİM GİRİŞ"), MIN(I8406, MAX(0, I8406 + SUM(SUMIFS($I$1:I8405, $C$1:C8405, C8406, $B$1:B8405, {"MAL ALIMI","ÜRETİM GİRİŞ"})) - VLOOKUP(C8406, 'STOK RAPORU'!$C$2:$I$1000, 4, 0))), 0)</f>
        <v>0</v>
      </c>
      <c r="U8406" s="22">
        <f t="shared" si="532"/>
        <v>0</v>
      </c>
      <c r="V8406">
        <f t="shared" si="533"/>
        <v>0</v>
      </c>
      <c r="W8406" s="22">
        <f t="shared" si="534"/>
        <v>0</v>
      </c>
    </row>
    <row r="8407" spans="1:23" hidden="1" x14ac:dyDescent="0.25">
      <c r="A8407" s="4"/>
      <c r="B8407" s="4"/>
      <c r="C8407" s="4"/>
      <c r="D8407" s="4"/>
      <c r="E8407" s="4"/>
      <c r="F8407" s="4"/>
      <c r="G8407" s="4"/>
      <c r="H8407" s="4"/>
      <c r="I8407" s="4"/>
      <c r="J8407" s="21">
        <f>IFERROR(VLOOKUP(C8407,'STOK KARTLARI'!$C$2:$K$2150,8,0),0)</f>
        <v>0</v>
      </c>
      <c r="K8407" s="21">
        <f t="shared" si="535"/>
        <v>0</v>
      </c>
      <c r="L8407" s="5">
        <f t="shared" si="537"/>
        <v>0</v>
      </c>
      <c r="M8407" s="4"/>
      <c r="N8407" s="4"/>
      <c r="O8407" s="5"/>
      <c r="P8407" s="5"/>
      <c r="Q8407" s="21">
        <f t="shared" si="538"/>
        <v>0</v>
      </c>
      <c r="R8407" s="21">
        <f t="shared" si="536"/>
        <v>0</v>
      </c>
      <c r="S8407" s="5">
        <f t="shared" si="539"/>
        <v>70007.077158325032</v>
      </c>
      <c r="T8407" cm="1">
        <f t="array" ref="T8407">IF(OR(B8407="MAL ALIMI", B8407="ÜRETİM GİRİŞ"), MIN(I8407, MAX(0, I8407 + SUM(SUMIFS($I$1:I8406, $C$1:C8406, C8407, $B$1:B8406, {"MAL ALIMI","ÜRETİM GİRİŞ"})) - VLOOKUP(C8407, 'STOK RAPORU'!$C$2:$I$1000, 4, 0))), 0)</f>
        <v>0</v>
      </c>
      <c r="U8407" s="22">
        <f t="shared" si="532"/>
        <v>0</v>
      </c>
      <c r="V8407">
        <f t="shared" si="533"/>
        <v>0</v>
      </c>
      <c r="W8407" s="22">
        <f t="shared" si="534"/>
        <v>0</v>
      </c>
    </row>
    <row r="8408" spans="1:23" hidden="1" x14ac:dyDescent="0.25">
      <c r="A8408" s="4"/>
      <c r="B8408" s="4"/>
      <c r="C8408" s="4"/>
      <c r="D8408" s="4"/>
      <c r="E8408" s="4"/>
      <c r="F8408" s="4"/>
      <c r="G8408" s="4"/>
      <c r="H8408" s="4"/>
      <c r="I8408" s="4"/>
      <c r="J8408" s="21">
        <f>IFERROR(VLOOKUP(C8408,'STOK KARTLARI'!$C$2:$K$2150,8,0),0)</f>
        <v>0</v>
      </c>
      <c r="K8408" s="21">
        <f t="shared" si="535"/>
        <v>0</v>
      </c>
      <c r="L8408" s="5">
        <f t="shared" si="537"/>
        <v>0</v>
      </c>
      <c r="M8408" s="4"/>
      <c r="N8408" s="4"/>
      <c r="O8408" s="5"/>
      <c r="P8408" s="5"/>
      <c r="Q8408" s="21">
        <f t="shared" si="538"/>
        <v>0</v>
      </c>
      <c r="R8408" s="21">
        <f t="shared" si="536"/>
        <v>0</v>
      </c>
      <c r="S8408" s="5">
        <f t="shared" si="539"/>
        <v>70007.077158325032</v>
      </c>
      <c r="T8408" cm="1">
        <f t="array" ref="T8408">IF(OR(B8408="MAL ALIMI", B8408="ÜRETİM GİRİŞ"), MIN(I8408, MAX(0, I8408 + SUM(SUMIFS($I$1:I8407, $C$1:C8407, C8408, $B$1:B8407, {"MAL ALIMI","ÜRETİM GİRİŞ"})) - VLOOKUP(C8408, 'STOK RAPORU'!$C$2:$I$1000, 4, 0))), 0)</f>
        <v>0</v>
      </c>
      <c r="U8408" s="22">
        <f t="shared" si="532"/>
        <v>0</v>
      </c>
      <c r="V8408">
        <f t="shared" si="533"/>
        <v>0</v>
      </c>
      <c r="W8408" s="22">
        <f t="shared" si="534"/>
        <v>0</v>
      </c>
    </row>
    <row r="8409" spans="1:23" hidden="1" x14ac:dyDescent="0.25">
      <c r="A8409" s="4"/>
      <c r="B8409" s="4"/>
      <c r="C8409" s="4"/>
      <c r="D8409" s="4"/>
      <c r="E8409" s="4"/>
      <c r="F8409" s="4"/>
      <c r="G8409" s="4"/>
      <c r="H8409" s="4"/>
      <c r="I8409" s="4"/>
      <c r="J8409" s="21">
        <f>IFERROR(VLOOKUP(C8409,'STOK KARTLARI'!$C$2:$K$2150,8,0),0)</f>
        <v>0</v>
      </c>
      <c r="K8409" s="21">
        <f t="shared" si="535"/>
        <v>0</v>
      </c>
      <c r="L8409" s="5">
        <f t="shared" si="537"/>
        <v>0</v>
      </c>
      <c r="M8409" s="4"/>
      <c r="N8409" s="4"/>
      <c r="O8409" s="5"/>
      <c r="P8409" s="5"/>
      <c r="Q8409" s="21">
        <f t="shared" si="538"/>
        <v>0</v>
      </c>
      <c r="R8409" s="21">
        <f t="shared" si="536"/>
        <v>0</v>
      </c>
      <c r="S8409" s="5">
        <f t="shared" si="539"/>
        <v>70007.077158325032</v>
      </c>
      <c r="T8409" cm="1">
        <f t="array" ref="T8409">IF(OR(B8409="MAL ALIMI", B8409="ÜRETİM GİRİŞ"), MIN(I8409, MAX(0, I8409 + SUM(SUMIFS($I$1:I8408, $C$1:C8408, C8409, $B$1:B8408, {"MAL ALIMI","ÜRETİM GİRİŞ"})) - VLOOKUP(C8409, 'STOK RAPORU'!$C$2:$I$1000, 4, 0))), 0)</f>
        <v>0</v>
      </c>
      <c r="U8409" s="22">
        <f t="shared" si="532"/>
        <v>0</v>
      </c>
      <c r="V8409">
        <f t="shared" si="533"/>
        <v>0</v>
      </c>
      <c r="W8409" s="22">
        <f t="shared" si="534"/>
        <v>0</v>
      </c>
    </row>
    <row r="8410" spans="1:23" hidden="1" x14ac:dyDescent="0.25">
      <c r="A8410" s="4"/>
      <c r="B8410" s="4"/>
      <c r="C8410" s="4"/>
      <c r="D8410" s="4"/>
      <c r="E8410" s="4"/>
      <c r="F8410" s="4"/>
      <c r="G8410" s="4"/>
      <c r="H8410" s="4"/>
      <c r="I8410" s="4"/>
      <c r="J8410" s="21">
        <f>IFERROR(VLOOKUP(C8410,'STOK KARTLARI'!$C$2:$K$2150,8,0),0)</f>
        <v>0</v>
      </c>
      <c r="K8410" s="21">
        <f t="shared" si="535"/>
        <v>0</v>
      </c>
      <c r="L8410" s="5">
        <f t="shared" si="537"/>
        <v>0</v>
      </c>
      <c r="M8410" s="4"/>
      <c r="N8410" s="4"/>
      <c r="O8410" s="5"/>
      <c r="P8410" s="5"/>
      <c r="Q8410" s="21">
        <f t="shared" si="538"/>
        <v>0</v>
      </c>
      <c r="R8410" s="21">
        <f t="shared" si="536"/>
        <v>0</v>
      </c>
      <c r="S8410" s="5">
        <f t="shared" si="539"/>
        <v>70007.077158325032</v>
      </c>
      <c r="T8410" cm="1">
        <f t="array" ref="T8410">IF(OR(B8410="MAL ALIMI", B8410="ÜRETİM GİRİŞ"), MIN(I8410, MAX(0, I8410 + SUM(SUMIFS($I$1:I8409, $C$1:C8409, C8410, $B$1:B8409, {"MAL ALIMI","ÜRETİM GİRİŞ"})) - VLOOKUP(C8410, 'STOK RAPORU'!$C$2:$I$1000, 4, 0))), 0)</f>
        <v>0</v>
      </c>
      <c r="U8410" s="22">
        <f t="shared" si="532"/>
        <v>0</v>
      </c>
      <c r="V8410">
        <f t="shared" si="533"/>
        <v>0</v>
      </c>
      <c r="W8410" s="22">
        <f t="shared" si="534"/>
        <v>0</v>
      </c>
    </row>
    <row r="8411" spans="1:23" hidden="1" x14ac:dyDescent="0.25">
      <c r="A8411" s="4"/>
      <c r="B8411" s="4"/>
      <c r="C8411" s="4"/>
      <c r="D8411" s="4"/>
      <c r="E8411" s="4"/>
      <c r="F8411" s="4"/>
      <c r="G8411" s="4"/>
      <c r="H8411" s="4"/>
      <c r="I8411" s="4"/>
      <c r="J8411" s="21">
        <f>IFERROR(VLOOKUP(C8411,'STOK KARTLARI'!$C$2:$K$2150,8,0),0)</f>
        <v>0</v>
      </c>
      <c r="K8411" s="21">
        <f t="shared" si="535"/>
        <v>0</v>
      </c>
      <c r="L8411" s="5">
        <f t="shared" si="537"/>
        <v>0</v>
      </c>
      <c r="M8411" s="4"/>
      <c r="N8411" s="4"/>
      <c r="O8411" s="5"/>
      <c r="P8411" s="5"/>
      <c r="Q8411" s="21">
        <f t="shared" si="538"/>
        <v>0</v>
      </c>
      <c r="R8411" s="21">
        <f t="shared" si="536"/>
        <v>0</v>
      </c>
      <c r="S8411" s="5">
        <f t="shared" si="539"/>
        <v>70007.077158325032</v>
      </c>
      <c r="T8411" cm="1">
        <f t="array" ref="T8411">IF(OR(B8411="MAL ALIMI", B8411="ÜRETİM GİRİŞ"), MIN(I8411, MAX(0, I8411 + SUM(SUMIFS($I$1:I8410, $C$1:C8410, C8411, $B$1:B8410, {"MAL ALIMI","ÜRETİM GİRİŞ"})) - VLOOKUP(C8411, 'STOK RAPORU'!$C$2:$I$1000, 4, 0))), 0)</f>
        <v>0</v>
      </c>
      <c r="U8411" s="22">
        <f t="shared" si="532"/>
        <v>0</v>
      </c>
      <c r="V8411">
        <f t="shared" si="533"/>
        <v>0</v>
      </c>
      <c r="W8411" s="22">
        <f t="shared" si="534"/>
        <v>0</v>
      </c>
    </row>
    <row r="8412" spans="1:23" hidden="1" x14ac:dyDescent="0.25">
      <c r="A8412" s="3"/>
      <c r="B8412" s="4"/>
      <c r="C8412" s="4"/>
      <c r="D8412" s="4"/>
      <c r="E8412" s="4"/>
      <c r="F8412" s="4"/>
      <c r="G8412" s="4"/>
      <c r="H8412" s="4"/>
      <c r="I8412" s="4"/>
      <c r="J8412" s="21">
        <f>IFERROR(VLOOKUP(C8412,'STOK KARTLARI'!$C$2:$K$2150,8,0),0)</f>
        <v>0</v>
      </c>
      <c r="K8412" s="21">
        <f t="shared" si="535"/>
        <v>0</v>
      </c>
      <c r="L8412" s="5">
        <f t="shared" si="537"/>
        <v>0</v>
      </c>
      <c r="M8412" s="4"/>
      <c r="N8412" s="4"/>
      <c r="O8412" s="5"/>
      <c r="P8412" s="5"/>
      <c r="Q8412" s="21">
        <f t="shared" si="538"/>
        <v>0</v>
      </c>
      <c r="R8412" s="21">
        <f t="shared" si="536"/>
        <v>0</v>
      </c>
      <c r="S8412" s="5">
        <f t="shared" si="539"/>
        <v>70007.077158325032</v>
      </c>
      <c r="T8412" cm="1">
        <f t="array" ref="T8412">IF(OR(B8412="MAL ALIMI", B8412="ÜRETİM GİRİŞ"), MIN(I8412, MAX(0, I8412 + SUM(SUMIFS($I$1:I8411, $C$1:C8411, C8412, $B$1:B8411, {"MAL ALIMI","ÜRETİM GİRİŞ"})) - VLOOKUP(C8412, 'STOK RAPORU'!$C$2:$I$1000, 4, 0))), 0)</f>
        <v>0</v>
      </c>
      <c r="U8412" s="22">
        <f t="shared" si="532"/>
        <v>0</v>
      </c>
      <c r="V8412">
        <f t="shared" si="533"/>
        <v>0</v>
      </c>
      <c r="W8412" s="22">
        <f t="shared" si="534"/>
        <v>0</v>
      </c>
    </row>
    <row r="8413" spans="1:23" hidden="1" x14ac:dyDescent="0.25">
      <c r="A8413" s="4"/>
      <c r="B8413" s="4"/>
      <c r="C8413" s="4"/>
      <c r="D8413" s="4"/>
      <c r="E8413" s="4"/>
      <c r="F8413" s="4"/>
      <c r="G8413" s="4"/>
      <c r="H8413" s="4"/>
      <c r="I8413" s="4"/>
      <c r="J8413" s="21">
        <f>IFERROR(VLOOKUP(C8413,'STOK KARTLARI'!$C$2:$K$2150,8,0),0)</f>
        <v>0</v>
      </c>
      <c r="K8413" s="21">
        <f t="shared" si="535"/>
        <v>0</v>
      </c>
      <c r="L8413" s="5">
        <f t="shared" si="537"/>
        <v>0</v>
      </c>
      <c r="M8413" s="4"/>
      <c r="N8413" s="4"/>
      <c r="O8413" s="5"/>
      <c r="P8413" s="5"/>
      <c r="Q8413" s="21">
        <f t="shared" si="538"/>
        <v>0</v>
      </c>
      <c r="R8413" s="21">
        <f t="shared" si="536"/>
        <v>0</v>
      </c>
      <c r="S8413" s="5">
        <f t="shared" si="539"/>
        <v>70007.077158325032</v>
      </c>
      <c r="T8413" cm="1">
        <f t="array" ref="T8413">IF(OR(B8413="MAL ALIMI", B8413="ÜRETİM GİRİŞ"), MIN(I8413, MAX(0, I8413 + SUM(SUMIFS($I$1:I8412, $C$1:C8412, C8413, $B$1:B8412, {"MAL ALIMI","ÜRETİM GİRİŞ"})) - VLOOKUP(C8413, 'STOK RAPORU'!$C$2:$I$1000, 4, 0))), 0)</f>
        <v>0</v>
      </c>
      <c r="U8413" s="22">
        <f t="shared" si="532"/>
        <v>0</v>
      </c>
      <c r="V8413">
        <f t="shared" si="533"/>
        <v>0</v>
      </c>
      <c r="W8413" s="22">
        <f t="shared" si="534"/>
        <v>0</v>
      </c>
    </row>
    <row r="8414" spans="1:23" hidden="1" x14ac:dyDescent="0.25">
      <c r="A8414" s="4"/>
      <c r="B8414" s="4"/>
      <c r="C8414" s="4"/>
      <c r="D8414" s="4"/>
      <c r="E8414" s="4"/>
      <c r="F8414" s="4"/>
      <c r="G8414" s="4"/>
      <c r="H8414" s="4"/>
      <c r="I8414" s="4"/>
      <c r="J8414" s="21">
        <f>IFERROR(VLOOKUP(C8414,'STOK KARTLARI'!$C$2:$K$2150,8,0),0)</f>
        <v>0</v>
      </c>
      <c r="K8414" s="21">
        <f t="shared" si="535"/>
        <v>0</v>
      </c>
      <c r="L8414" s="5">
        <f t="shared" si="537"/>
        <v>0</v>
      </c>
      <c r="M8414" s="4"/>
      <c r="N8414" s="4"/>
      <c r="O8414" s="5"/>
      <c r="P8414" s="5"/>
      <c r="Q8414" s="21">
        <f t="shared" si="538"/>
        <v>0</v>
      </c>
      <c r="R8414" s="21">
        <f t="shared" si="536"/>
        <v>0</v>
      </c>
      <c r="S8414" s="5">
        <f t="shared" si="539"/>
        <v>70007.077158325032</v>
      </c>
      <c r="T8414" cm="1">
        <f t="array" ref="T8414">IF(OR(B8414="MAL ALIMI", B8414="ÜRETİM GİRİŞ"), MIN(I8414, MAX(0, I8414 + SUM(SUMIFS($I$1:I8413, $C$1:C8413, C8414, $B$1:B8413, {"MAL ALIMI","ÜRETİM GİRİŞ"})) - VLOOKUP(C8414, 'STOK RAPORU'!$C$2:$I$1000, 4, 0))), 0)</f>
        <v>0</v>
      </c>
      <c r="U8414" s="22">
        <f t="shared" si="532"/>
        <v>0</v>
      </c>
      <c r="V8414">
        <f t="shared" si="533"/>
        <v>0</v>
      </c>
      <c r="W8414" s="22">
        <f t="shared" si="534"/>
        <v>0</v>
      </c>
    </row>
    <row r="8415" spans="1:23" hidden="1" x14ac:dyDescent="0.25">
      <c r="A8415" s="4"/>
      <c r="B8415" s="4"/>
      <c r="C8415" s="4"/>
      <c r="D8415" s="4"/>
      <c r="E8415" s="4"/>
      <c r="F8415" s="4"/>
      <c r="G8415" s="4"/>
      <c r="H8415" s="4"/>
      <c r="I8415" s="4"/>
      <c r="J8415" s="21">
        <f>IFERROR(VLOOKUP(C8415,'STOK KARTLARI'!$C$2:$K$2150,8,0),0)</f>
        <v>0</v>
      </c>
      <c r="K8415" s="21">
        <f t="shared" si="535"/>
        <v>0</v>
      </c>
      <c r="L8415" s="5">
        <f t="shared" si="537"/>
        <v>0</v>
      </c>
      <c r="M8415" s="4"/>
      <c r="N8415" s="4"/>
      <c r="O8415" s="5"/>
      <c r="P8415" s="5"/>
      <c r="Q8415" s="21">
        <f t="shared" si="538"/>
        <v>0</v>
      </c>
      <c r="R8415" s="21">
        <f t="shared" si="536"/>
        <v>0</v>
      </c>
      <c r="S8415" s="5">
        <f t="shared" si="539"/>
        <v>70007.077158325032</v>
      </c>
      <c r="T8415" cm="1">
        <f t="array" ref="T8415">IF(OR(B8415="MAL ALIMI", B8415="ÜRETİM GİRİŞ"), MIN(I8415, MAX(0, I8415 + SUM(SUMIFS($I$1:I8414, $C$1:C8414, C8415, $B$1:B8414, {"MAL ALIMI","ÜRETİM GİRİŞ"})) - VLOOKUP(C8415, 'STOK RAPORU'!$C$2:$I$1000, 4, 0))), 0)</f>
        <v>0</v>
      </c>
      <c r="U8415" s="22">
        <f t="shared" si="532"/>
        <v>0</v>
      </c>
      <c r="V8415">
        <f t="shared" si="533"/>
        <v>0</v>
      </c>
      <c r="W8415" s="22">
        <f t="shared" si="534"/>
        <v>0</v>
      </c>
    </row>
    <row r="8416" spans="1:23" hidden="1" x14ac:dyDescent="0.25">
      <c r="A8416" s="4"/>
      <c r="B8416" s="4"/>
      <c r="C8416" s="4"/>
      <c r="D8416" s="4"/>
      <c r="E8416" s="4"/>
      <c r="F8416" s="4"/>
      <c r="G8416" s="4"/>
      <c r="H8416" s="4"/>
      <c r="I8416" s="4"/>
      <c r="J8416" s="21">
        <f>IFERROR(VLOOKUP(C8416,'STOK KARTLARI'!$C$2:$K$2150,8,0),0)</f>
        <v>0</v>
      </c>
      <c r="K8416" s="21">
        <f t="shared" si="535"/>
        <v>0</v>
      </c>
      <c r="L8416" s="5">
        <f t="shared" si="537"/>
        <v>0</v>
      </c>
      <c r="M8416" s="4"/>
      <c r="N8416" s="4"/>
      <c r="O8416" s="5"/>
      <c r="P8416" s="5"/>
      <c r="Q8416" s="21">
        <f t="shared" si="538"/>
        <v>0</v>
      </c>
      <c r="R8416" s="21">
        <f t="shared" si="536"/>
        <v>0</v>
      </c>
      <c r="S8416" s="5">
        <f t="shared" si="539"/>
        <v>70007.077158325032</v>
      </c>
      <c r="T8416" cm="1">
        <f t="array" ref="T8416">IF(OR(B8416="MAL ALIMI", B8416="ÜRETİM GİRİŞ"), MIN(I8416, MAX(0, I8416 + SUM(SUMIFS($I$1:I8415, $C$1:C8415, C8416, $B$1:B8415, {"MAL ALIMI","ÜRETİM GİRİŞ"})) - VLOOKUP(C8416, 'STOK RAPORU'!$C$2:$I$1000, 4, 0))), 0)</f>
        <v>0</v>
      </c>
      <c r="U8416" s="22">
        <f t="shared" si="532"/>
        <v>0</v>
      </c>
      <c r="V8416">
        <f t="shared" si="533"/>
        <v>0</v>
      </c>
      <c r="W8416" s="22">
        <f t="shared" si="534"/>
        <v>0</v>
      </c>
    </row>
    <row r="8417" spans="1:23" hidden="1" x14ac:dyDescent="0.25">
      <c r="A8417" s="4"/>
      <c r="B8417" s="4"/>
      <c r="C8417" s="4"/>
      <c r="D8417" s="4"/>
      <c r="E8417" s="4"/>
      <c r="F8417" s="4"/>
      <c r="G8417" s="4"/>
      <c r="H8417" s="4"/>
      <c r="I8417" s="4"/>
      <c r="J8417" s="21">
        <f>IFERROR(VLOOKUP(C8417,'STOK KARTLARI'!$C$2:$K$2150,8,0),0)</f>
        <v>0</v>
      </c>
      <c r="K8417" s="21">
        <f t="shared" si="535"/>
        <v>0</v>
      </c>
      <c r="L8417" s="5">
        <f t="shared" si="537"/>
        <v>0</v>
      </c>
      <c r="M8417" s="4"/>
      <c r="N8417" s="4"/>
      <c r="O8417" s="5"/>
      <c r="P8417" s="5"/>
      <c r="Q8417" s="21">
        <f t="shared" si="538"/>
        <v>0</v>
      </c>
      <c r="R8417" s="21">
        <f t="shared" si="536"/>
        <v>0</v>
      </c>
      <c r="S8417" s="5">
        <f t="shared" si="539"/>
        <v>70007.077158325032</v>
      </c>
      <c r="T8417" cm="1">
        <f t="array" ref="T8417">IF(OR(B8417="MAL ALIMI", B8417="ÜRETİM GİRİŞ"), MIN(I8417, MAX(0, I8417 + SUM(SUMIFS($I$1:I8416, $C$1:C8416, C8417, $B$1:B8416, {"MAL ALIMI","ÜRETİM GİRİŞ"})) - VLOOKUP(C8417, 'STOK RAPORU'!$C$2:$I$1000, 4, 0))), 0)</f>
        <v>0</v>
      </c>
      <c r="U8417" s="22">
        <f t="shared" si="532"/>
        <v>0</v>
      </c>
      <c r="V8417">
        <f t="shared" si="533"/>
        <v>0</v>
      </c>
      <c r="W8417" s="22">
        <f t="shared" si="534"/>
        <v>0</v>
      </c>
    </row>
    <row r="8418" spans="1:23" hidden="1" x14ac:dyDescent="0.25">
      <c r="A8418" s="4"/>
      <c r="B8418" s="4"/>
      <c r="C8418" s="4"/>
      <c r="D8418" s="4"/>
      <c r="E8418" s="4"/>
      <c r="F8418" s="4"/>
      <c r="G8418" s="4"/>
      <c r="H8418" s="4"/>
      <c r="I8418" s="4"/>
      <c r="J8418" s="21">
        <f>IFERROR(VLOOKUP(C8418,'STOK KARTLARI'!$C$2:$K$2150,8,0),0)</f>
        <v>0</v>
      </c>
      <c r="K8418" s="21">
        <f t="shared" si="535"/>
        <v>0</v>
      </c>
      <c r="L8418" s="5">
        <f t="shared" si="537"/>
        <v>0</v>
      </c>
      <c r="M8418" s="4"/>
      <c r="N8418" s="4"/>
      <c r="O8418" s="5"/>
      <c r="P8418" s="5"/>
      <c r="Q8418" s="21">
        <f t="shared" si="538"/>
        <v>0</v>
      </c>
      <c r="R8418" s="21">
        <f t="shared" si="536"/>
        <v>0</v>
      </c>
      <c r="S8418" s="5">
        <f t="shared" si="539"/>
        <v>70007.077158325032</v>
      </c>
      <c r="T8418" cm="1">
        <f t="array" ref="T8418">IF(OR(B8418="MAL ALIMI", B8418="ÜRETİM GİRİŞ"), MIN(I8418, MAX(0, I8418 + SUM(SUMIFS($I$1:I8417, $C$1:C8417, C8418, $B$1:B8417, {"MAL ALIMI","ÜRETİM GİRİŞ"})) - VLOOKUP(C8418, 'STOK RAPORU'!$C$2:$I$1000, 4, 0))), 0)</f>
        <v>0</v>
      </c>
      <c r="U8418" s="22">
        <f t="shared" si="532"/>
        <v>0</v>
      </c>
      <c r="V8418">
        <f t="shared" si="533"/>
        <v>0</v>
      </c>
      <c r="W8418" s="22">
        <f t="shared" si="534"/>
        <v>0</v>
      </c>
    </row>
    <row r="8419" spans="1:23" hidden="1" x14ac:dyDescent="0.25">
      <c r="A8419" s="3"/>
      <c r="B8419" s="4"/>
      <c r="C8419" s="4"/>
      <c r="D8419" s="4"/>
      <c r="E8419" s="4"/>
      <c r="F8419" s="4"/>
      <c r="G8419" s="4"/>
      <c r="H8419" s="4"/>
      <c r="I8419" s="4"/>
      <c r="J8419" s="21">
        <f>IFERROR(VLOOKUP(C8419,'STOK KARTLARI'!$C$2:$K$2150,8,0),0)</f>
        <v>0</v>
      </c>
      <c r="K8419" s="21">
        <f t="shared" si="535"/>
        <v>0</v>
      </c>
      <c r="L8419" s="5">
        <f t="shared" si="537"/>
        <v>0</v>
      </c>
      <c r="M8419" s="4"/>
      <c r="N8419" s="4"/>
      <c r="O8419" s="5"/>
      <c r="P8419" s="5"/>
      <c r="Q8419" s="21">
        <f t="shared" si="538"/>
        <v>0</v>
      </c>
      <c r="R8419" s="21">
        <f t="shared" si="536"/>
        <v>0</v>
      </c>
      <c r="S8419" s="5">
        <f t="shared" si="539"/>
        <v>70007.077158325032</v>
      </c>
      <c r="T8419" cm="1">
        <f t="array" ref="T8419">IF(OR(B8419="MAL ALIMI", B8419="ÜRETİM GİRİŞ"), MIN(I8419, MAX(0, I8419 + SUM(SUMIFS($I$1:I8418, $C$1:C8418, C8419, $B$1:B8418, {"MAL ALIMI","ÜRETİM GİRİŞ"})) - VLOOKUP(C8419, 'STOK RAPORU'!$C$2:$I$1000, 4, 0))), 0)</f>
        <v>0</v>
      </c>
      <c r="U8419" s="22">
        <f t="shared" si="532"/>
        <v>0</v>
      </c>
      <c r="V8419">
        <f t="shared" si="533"/>
        <v>0</v>
      </c>
      <c r="W8419" s="22">
        <f t="shared" si="534"/>
        <v>0</v>
      </c>
    </row>
    <row r="8420" spans="1:23" hidden="1" x14ac:dyDescent="0.25">
      <c r="A8420" s="4"/>
      <c r="B8420" s="4"/>
      <c r="C8420" s="4"/>
      <c r="D8420" s="4"/>
      <c r="E8420" s="4"/>
      <c r="F8420" s="4"/>
      <c r="G8420" s="4"/>
      <c r="H8420" s="4"/>
      <c r="I8420" s="4"/>
      <c r="J8420" s="21">
        <f>IFERROR(VLOOKUP(C8420,'STOK KARTLARI'!$C$2:$K$2150,8,0),0)</f>
        <v>0</v>
      </c>
      <c r="K8420" s="21">
        <f t="shared" si="535"/>
        <v>0</v>
      </c>
      <c r="L8420" s="5">
        <f t="shared" si="537"/>
        <v>0</v>
      </c>
      <c r="M8420" s="4"/>
      <c r="N8420" s="4"/>
      <c r="O8420" s="5"/>
      <c r="P8420" s="5"/>
      <c r="Q8420" s="21">
        <f t="shared" si="538"/>
        <v>0</v>
      </c>
      <c r="R8420" s="21">
        <f t="shared" si="536"/>
        <v>0</v>
      </c>
      <c r="S8420" s="5">
        <f t="shared" si="539"/>
        <v>70007.077158325032</v>
      </c>
      <c r="T8420" cm="1">
        <f t="array" ref="T8420">IF(OR(B8420="MAL ALIMI", B8420="ÜRETİM GİRİŞ"), MIN(I8420, MAX(0, I8420 + SUM(SUMIFS($I$1:I8419, $C$1:C8419, C8420, $B$1:B8419, {"MAL ALIMI","ÜRETİM GİRİŞ"})) - VLOOKUP(C8420, 'STOK RAPORU'!$C$2:$I$1000, 4, 0))), 0)</f>
        <v>0</v>
      </c>
      <c r="U8420" s="22">
        <f t="shared" si="532"/>
        <v>0</v>
      </c>
      <c r="V8420">
        <f t="shared" si="533"/>
        <v>0</v>
      </c>
      <c r="W8420" s="22">
        <f t="shared" si="534"/>
        <v>0</v>
      </c>
    </row>
    <row r="8421" spans="1:23" hidden="1" x14ac:dyDescent="0.25">
      <c r="A8421" s="4"/>
      <c r="B8421" s="4"/>
      <c r="C8421" s="4"/>
      <c r="D8421" s="4"/>
      <c r="E8421" s="4"/>
      <c r="F8421" s="4"/>
      <c r="G8421" s="4"/>
      <c r="H8421" s="4"/>
      <c r="I8421" s="4"/>
      <c r="J8421" s="21">
        <f>IFERROR(VLOOKUP(C8421,'STOK KARTLARI'!$C$2:$K$2150,8,0),0)</f>
        <v>0</v>
      </c>
      <c r="K8421" s="21">
        <f t="shared" si="535"/>
        <v>0</v>
      </c>
      <c r="L8421" s="5">
        <f t="shared" si="537"/>
        <v>0</v>
      </c>
      <c r="M8421" s="4"/>
      <c r="N8421" s="4"/>
      <c r="O8421" s="5"/>
      <c r="P8421" s="5"/>
      <c r="Q8421" s="21">
        <f t="shared" si="538"/>
        <v>0</v>
      </c>
      <c r="R8421" s="21">
        <f t="shared" si="536"/>
        <v>0</v>
      </c>
      <c r="S8421" s="5">
        <f t="shared" si="539"/>
        <v>70007.077158325032</v>
      </c>
      <c r="T8421" cm="1">
        <f t="array" ref="T8421">IF(OR(B8421="MAL ALIMI", B8421="ÜRETİM GİRİŞ"), MIN(I8421, MAX(0, I8421 + SUM(SUMIFS($I$1:I8420, $C$1:C8420, C8421, $B$1:B8420, {"MAL ALIMI","ÜRETİM GİRİŞ"})) - VLOOKUP(C8421, 'STOK RAPORU'!$C$2:$I$1000, 4, 0))), 0)</f>
        <v>0</v>
      </c>
      <c r="U8421" s="22">
        <f t="shared" si="532"/>
        <v>0</v>
      </c>
      <c r="V8421">
        <f t="shared" si="533"/>
        <v>0</v>
      </c>
      <c r="W8421" s="22">
        <f t="shared" si="534"/>
        <v>0</v>
      </c>
    </row>
    <row r="8422" spans="1:23" hidden="1" x14ac:dyDescent="0.25">
      <c r="A8422" s="4"/>
      <c r="B8422" s="4"/>
      <c r="C8422" s="4"/>
      <c r="D8422" s="4"/>
      <c r="E8422" s="4"/>
      <c r="F8422" s="4"/>
      <c r="G8422" s="4"/>
      <c r="H8422" s="4"/>
      <c r="I8422" s="4"/>
      <c r="J8422" s="21">
        <f>IFERROR(VLOOKUP(C8422,'STOK KARTLARI'!$C$2:$K$2150,8,0),0)</f>
        <v>0</v>
      </c>
      <c r="K8422" s="21">
        <f t="shared" si="535"/>
        <v>0</v>
      </c>
      <c r="L8422" s="5">
        <f t="shared" si="537"/>
        <v>0</v>
      </c>
      <c r="M8422" s="4"/>
      <c r="N8422" s="4"/>
      <c r="O8422" s="5"/>
      <c r="P8422" s="5"/>
      <c r="Q8422" s="21">
        <f t="shared" si="538"/>
        <v>0</v>
      </c>
      <c r="R8422" s="21">
        <f t="shared" si="536"/>
        <v>0</v>
      </c>
      <c r="S8422" s="5">
        <f t="shared" si="539"/>
        <v>70007.077158325032</v>
      </c>
      <c r="T8422" cm="1">
        <f t="array" ref="T8422">IF(OR(B8422="MAL ALIMI", B8422="ÜRETİM GİRİŞ"), MIN(I8422, MAX(0, I8422 + SUM(SUMIFS($I$1:I8421, $C$1:C8421, C8422, $B$1:B8421, {"MAL ALIMI","ÜRETİM GİRİŞ"})) - VLOOKUP(C8422, 'STOK RAPORU'!$C$2:$I$1000, 4, 0))), 0)</f>
        <v>0</v>
      </c>
      <c r="U8422" s="22">
        <f t="shared" si="532"/>
        <v>0</v>
      </c>
      <c r="V8422">
        <f t="shared" si="533"/>
        <v>0</v>
      </c>
      <c r="W8422" s="22">
        <f t="shared" si="534"/>
        <v>0</v>
      </c>
    </row>
    <row r="8423" spans="1:23" hidden="1" x14ac:dyDescent="0.25">
      <c r="A8423" s="4"/>
      <c r="B8423" s="4"/>
      <c r="C8423" s="4"/>
      <c r="D8423" s="4"/>
      <c r="E8423" s="4"/>
      <c r="F8423" s="4"/>
      <c r="G8423" s="4"/>
      <c r="H8423" s="4"/>
      <c r="I8423" s="4"/>
      <c r="J8423" s="21">
        <f>IFERROR(VLOOKUP(C8423,'STOK KARTLARI'!$C$2:$K$2150,8,0),0)</f>
        <v>0</v>
      </c>
      <c r="K8423" s="21">
        <f t="shared" si="535"/>
        <v>0</v>
      </c>
      <c r="L8423" s="5">
        <f t="shared" si="537"/>
        <v>0</v>
      </c>
      <c r="M8423" s="4"/>
      <c r="N8423" s="4"/>
      <c r="O8423" s="5"/>
      <c r="P8423" s="5"/>
      <c r="Q8423" s="21">
        <f t="shared" si="538"/>
        <v>0</v>
      </c>
      <c r="R8423" s="21">
        <f t="shared" si="536"/>
        <v>0</v>
      </c>
      <c r="S8423" s="5">
        <f t="shared" si="539"/>
        <v>70007.077158325032</v>
      </c>
      <c r="T8423" cm="1">
        <f t="array" ref="T8423">IF(OR(B8423="MAL ALIMI", B8423="ÜRETİM GİRİŞ"), MIN(I8423, MAX(0, I8423 + SUM(SUMIFS($I$1:I8422, $C$1:C8422, C8423, $B$1:B8422, {"MAL ALIMI","ÜRETİM GİRİŞ"})) - VLOOKUP(C8423, 'STOK RAPORU'!$C$2:$I$1000, 4, 0))), 0)</f>
        <v>0</v>
      </c>
      <c r="U8423" s="22">
        <f t="shared" si="532"/>
        <v>0</v>
      </c>
      <c r="V8423">
        <f t="shared" si="533"/>
        <v>0</v>
      </c>
      <c r="W8423" s="22">
        <f t="shared" si="534"/>
        <v>0</v>
      </c>
    </row>
    <row r="8424" spans="1:23" hidden="1" x14ac:dyDescent="0.25">
      <c r="A8424" s="4"/>
      <c r="B8424" s="4"/>
      <c r="C8424" s="4"/>
      <c r="D8424" s="4"/>
      <c r="E8424" s="4"/>
      <c r="F8424" s="4"/>
      <c r="G8424" s="4"/>
      <c r="H8424" s="4"/>
      <c r="I8424" s="4"/>
      <c r="J8424" s="21">
        <f>IFERROR(VLOOKUP(C8424,'STOK KARTLARI'!$C$2:$K$2150,8,0),0)</f>
        <v>0</v>
      </c>
      <c r="K8424" s="21">
        <f t="shared" si="535"/>
        <v>0</v>
      </c>
      <c r="L8424" s="5">
        <f t="shared" si="537"/>
        <v>0</v>
      </c>
      <c r="M8424" s="4"/>
      <c r="N8424" s="4"/>
      <c r="O8424" s="5"/>
      <c r="P8424" s="5"/>
      <c r="Q8424" s="21">
        <f t="shared" si="538"/>
        <v>0</v>
      </c>
      <c r="R8424" s="21">
        <f t="shared" si="536"/>
        <v>0</v>
      </c>
      <c r="S8424" s="5">
        <f t="shared" si="539"/>
        <v>70007.077158325032</v>
      </c>
      <c r="T8424" cm="1">
        <f t="array" ref="T8424">IF(OR(B8424="MAL ALIMI", B8424="ÜRETİM GİRİŞ"), MIN(I8424, MAX(0, I8424 + SUM(SUMIFS($I$1:I8423, $C$1:C8423, C8424, $B$1:B8423, {"MAL ALIMI","ÜRETİM GİRİŞ"})) - VLOOKUP(C8424, 'STOK RAPORU'!$C$2:$I$1000, 4, 0))), 0)</f>
        <v>0</v>
      </c>
      <c r="U8424" s="22">
        <f t="shared" si="532"/>
        <v>0</v>
      </c>
      <c r="V8424">
        <f t="shared" si="533"/>
        <v>0</v>
      </c>
      <c r="W8424" s="22">
        <f t="shared" si="534"/>
        <v>0</v>
      </c>
    </row>
    <row r="8425" spans="1:23" hidden="1" x14ac:dyDescent="0.25">
      <c r="A8425" s="4"/>
      <c r="B8425" s="4"/>
      <c r="C8425" s="4"/>
      <c r="D8425" s="4"/>
      <c r="E8425" s="4"/>
      <c r="F8425" s="4"/>
      <c r="G8425" s="4"/>
      <c r="H8425" s="4"/>
      <c r="I8425" s="4"/>
      <c r="J8425" s="21">
        <f>IFERROR(VLOOKUP(C8425,'STOK KARTLARI'!$C$2:$K$2150,8,0),0)</f>
        <v>0</v>
      </c>
      <c r="K8425" s="21">
        <f t="shared" si="535"/>
        <v>0</v>
      </c>
      <c r="L8425" s="5">
        <f t="shared" si="537"/>
        <v>0</v>
      </c>
      <c r="M8425" s="4"/>
      <c r="N8425" s="4"/>
      <c r="O8425" s="5"/>
      <c r="P8425" s="5"/>
      <c r="Q8425" s="21">
        <f t="shared" si="538"/>
        <v>0</v>
      </c>
      <c r="R8425" s="21">
        <f t="shared" si="536"/>
        <v>0</v>
      </c>
      <c r="S8425" s="5">
        <f t="shared" si="539"/>
        <v>70007.077158325032</v>
      </c>
      <c r="T8425" cm="1">
        <f t="array" ref="T8425">IF(OR(B8425="MAL ALIMI", B8425="ÜRETİM GİRİŞ"), MIN(I8425, MAX(0, I8425 + SUM(SUMIFS($I$1:I8424, $C$1:C8424, C8425, $B$1:B8424, {"MAL ALIMI","ÜRETİM GİRİŞ"})) - VLOOKUP(C8425, 'STOK RAPORU'!$C$2:$I$1000, 4, 0))), 0)</f>
        <v>0</v>
      </c>
      <c r="U8425" s="22">
        <f t="shared" si="532"/>
        <v>0</v>
      </c>
      <c r="V8425">
        <f t="shared" si="533"/>
        <v>0</v>
      </c>
      <c r="W8425" s="22">
        <f t="shared" si="534"/>
        <v>0</v>
      </c>
    </row>
    <row r="8426" spans="1:23" hidden="1" x14ac:dyDescent="0.25">
      <c r="A8426" s="3"/>
      <c r="B8426" s="4"/>
      <c r="C8426" s="4"/>
      <c r="D8426" s="4"/>
      <c r="E8426" s="4"/>
      <c r="F8426" s="4"/>
      <c r="G8426" s="4"/>
      <c r="H8426" s="4"/>
      <c r="I8426" s="4"/>
      <c r="J8426" s="21">
        <f>IFERROR(VLOOKUP(C8426,'STOK KARTLARI'!$C$2:$K$2150,8,0),0)</f>
        <v>0</v>
      </c>
      <c r="K8426" s="21">
        <f t="shared" si="535"/>
        <v>0</v>
      </c>
      <c r="L8426" s="5">
        <f t="shared" si="537"/>
        <v>0</v>
      </c>
      <c r="M8426" s="4"/>
      <c r="N8426" s="4"/>
      <c r="O8426" s="5"/>
      <c r="P8426" s="5"/>
      <c r="Q8426" s="21">
        <f t="shared" si="538"/>
        <v>0</v>
      </c>
      <c r="R8426" s="21">
        <f t="shared" si="536"/>
        <v>0</v>
      </c>
      <c r="S8426" s="5">
        <f t="shared" si="539"/>
        <v>70007.077158325032</v>
      </c>
      <c r="T8426" cm="1">
        <f t="array" ref="T8426">IF(OR(B8426="MAL ALIMI", B8426="ÜRETİM GİRİŞ"), MIN(I8426, MAX(0, I8426 + SUM(SUMIFS($I$1:I8425, $C$1:C8425, C8426, $B$1:B8425, {"MAL ALIMI","ÜRETİM GİRİŞ"})) - VLOOKUP(C8426, 'STOK RAPORU'!$C$2:$I$1000, 4, 0))), 0)</f>
        <v>0</v>
      </c>
      <c r="U8426" s="22">
        <f t="shared" si="532"/>
        <v>0</v>
      </c>
      <c r="V8426">
        <f t="shared" si="533"/>
        <v>0</v>
      </c>
      <c r="W8426" s="22">
        <f t="shared" si="534"/>
        <v>0</v>
      </c>
    </row>
    <row r="8427" spans="1:23" hidden="1" x14ac:dyDescent="0.25">
      <c r="A8427" s="4"/>
      <c r="B8427" s="4"/>
      <c r="C8427" s="4"/>
      <c r="D8427" s="4"/>
      <c r="E8427" s="4"/>
      <c r="F8427" s="4"/>
      <c r="G8427" s="4"/>
      <c r="H8427" s="4"/>
      <c r="I8427" s="4"/>
      <c r="J8427" s="21">
        <f>IFERROR(VLOOKUP(C8427,'STOK KARTLARI'!$C$2:$K$2150,8,0),0)</f>
        <v>0</v>
      </c>
      <c r="K8427" s="21">
        <f t="shared" si="535"/>
        <v>0</v>
      </c>
      <c r="L8427" s="5">
        <f t="shared" si="537"/>
        <v>0</v>
      </c>
      <c r="M8427" s="4"/>
      <c r="N8427" s="4"/>
      <c r="O8427" s="5"/>
      <c r="P8427" s="5"/>
      <c r="Q8427" s="21">
        <f t="shared" si="538"/>
        <v>0</v>
      </c>
      <c r="R8427" s="21">
        <f t="shared" si="536"/>
        <v>0</v>
      </c>
      <c r="S8427" s="5">
        <f t="shared" si="539"/>
        <v>70007.077158325032</v>
      </c>
      <c r="T8427" cm="1">
        <f t="array" ref="T8427">IF(OR(B8427="MAL ALIMI", B8427="ÜRETİM GİRİŞ"), MIN(I8427, MAX(0, I8427 + SUM(SUMIFS($I$1:I8426, $C$1:C8426, C8427, $B$1:B8426, {"MAL ALIMI","ÜRETİM GİRİŞ"})) - VLOOKUP(C8427, 'STOK RAPORU'!$C$2:$I$1000, 4, 0))), 0)</f>
        <v>0</v>
      </c>
      <c r="U8427" s="22">
        <f t="shared" si="532"/>
        <v>0</v>
      </c>
      <c r="V8427">
        <f t="shared" si="533"/>
        <v>0</v>
      </c>
      <c r="W8427" s="22">
        <f t="shared" si="534"/>
        <v>0</v>
      </c>
    </row>
    <row r="8428" spans="1:23" hidden="1" x14ac:dyDescent="0.25">
      <c r="A8428" s="4"/>
      <c r="B8428" s="4"/>
      <c r="C8428" s="4"/>
      <c r="D8428" s="4"/>
      <c r="E8428" s="4"/>
      <c r="F8428" s="4"/>
      <c r="G8428" s="4"/>
      <c r="H8428" s="4"/>
      <c r="I8428" s="4"/>
      <c r="J8428" s="21">
        <f>IFERROR(VLOOKUP(C8428,'STOK KARTLARI'!$C$2:$K$2150,8,0),0)</f>
        <v>0</v>
      </c>
      <c r="K8428" s="21">
        <f t="shared" si="535"/>
        <v>0</v>
      </c>
      <c r="L8428" s="5">
        <f t="shared" si="537"/>
        <v>0</v>
      </c>
      <c r="M8428" s="4"/>
      <c r="N8428" s="4"/>
      <c r="O8428" s="5"/>
      <c r="P8428" s="5"/>
      <c r="Q8428" s="21">
        <f t="shared" si="538"/>
        <v>0</v>
      </c>
      <c r="R8428" s="21">
        <f t="shared" si="536"/>
        <v>0</v>
      </c>
      <c r="S8428" s="5">
        <f t="shared" si="539"/>
        <v>70007.077158325032</v>
      </c>
      <c r="T8428" cm="1">
        <f t="array" ref="T8428">IF(OR(B8428="MAL ALIMI", B8428="ÜRETİM GİRİŞ"), MIN(I8428, MAX(0, I8428 + SUM(SUMIFS($I$1:I8427, $C$1:C8427, C8428, $B$1:B8427, {"MAL ALIMI","ÜRETİM GİRİŞ"})) - VLOOKUP(C8428, 'STOK RAPORU'!$C$2:$I$1000, 4, 0))), 0)</f>
        <v>0</v>
      </c>
      <c r="U8428" s="22">
        <f t="shared" si="532"/>
        <v>0</v>
      </c>
      <c r="V8428">
        <f t="shared" si="533"/>
        <v>0</v>
      </c>
      <c r="W8428" s="22">
        <f t="shared" si="534"/>
        <v>0</v>
      </c>
    </row>
    <row r="8429" spans="1:23" hidden="1" x14ac:dyDescent="0.25">
      <c r="A8429" s="4"/>
      <c r="B8429" s="4"/>
      <c r="C8429" s="4"/>
      <c r="D8429" s="4"/>
      <c r="E8429" s="4"/>
      <c r="F8429" s="4"/>
      <c r="G8429" s="4"/>
      <c r="H8429" s="4"/>
      <c r="I8429" s="4"/>
      <c r="J8429" s="21">
        <f>IFERROR(VLOOKUP(C8429,'STOK KARTLARI'!$C$2:$K$2150,8,0),0)</f>
        <v>0</v>
      </c>
      <c r="K8429" s="21">
        <f t="shared" si="535"/>
        <v>0</v>
      </c>
      <c r="L8429" s="5">
        <f t="shared" si="537"/>
        <v>0</v>
      </c>
      <c r="M8429" s="4"/>
      <c r="N8429" s="4"/>
      <c r="O8429" s="5"/>
      <c r="P8429" s="5"/>
      <c r="Q8429" s="21">
        <f t="shared" si="538"/>
        <v>0</v>
      </c>
      <c r="R8429" s="21">
        <f t="shared" si="536"/>
        <v>0</v>
      </c>
      <c r="S8429" s="5">
        <f t="shared" si="539"/>
        <v>70007.077158325032</v>
      </c>
      <c r="T8429" cm="1">
        <f t="array" ref="T8429">IF(OR(B8429="MAL ALIMI", B8429="ÜRETİM GİRİŞ"), MIN(I8429, MAX(0, I8429 + SUM(SUMIFS($I$1:I8428, $C$1:C8428, C8429, $B$1:B8428, {"MAL ALIMI","ÜRETİM GİRİŞ"})) - VLOOKUP(C8429, 'STOK RAPORU'!$C$2:$I$1000, 4, 0))), 0)</f>
        <v>0</v>
      </c>
      <c r="U8429" s="22">
        <f t="shared" si="532"/>
        <v>0</v>
      </c>
      <c r="V8429">
        <f t="shared" si="533"/>
        <v>0</v>
      </c>
      <c r="W8429" s="22">
        <f t="shared" si="534"/>
        <v>0</v>
      </c>
    </row>
    <row r="8430" spans="1:23" hidden="1" x14ac:dyDescent="0.25">
      <c r="A8430" s="4"/>
      <c r="B8430" s="4"/>
      <c r="C8430" s="4"/>
      <c r="D8430" s="4"/>
      <c r="E8430" s="4"/>
      <c r="F8430" s="4"/>
      <c r="G8430" s="4"/>
      <c r="H8430" s="4"/>
      <c r="I8430" s="4"/>
      <c r="J8430" s="21">
        <f>IFERROR(VLOOKUP(C8430,'STOK KARTLARI'!$C$2:$K$2150,8,0),0)</f>
        <v>0</v>
      </c>
      <c r="K8430" s="21">
        <f t="shared" si="535"/>
        <v>0</v>
      </c>
      <c r="L8430" s="5">
        <f t="shared" si="537"/>
        <v>0</v>
      </c>
      <c r="M8430" s="4"/>
      <c r="N8430" s="4"/>
      <c r="O8430" s="5"/>
      <c r="P8430" s="5"/>
      <c r="Q8430" s="21">
        <f t="shared" si="538"/>
        <v>0</v>
      </c>
      <c r="R8430" s="21">
        <f t="shared" si="536"/>
        <v>0</v>
      </c>
      <c r="S8430" s="5">
        <f t="shared" si="539"/>
        <v>70007.077158325032</v>
      </c>
      <c r="T8430" cm="1">
        <f t="array" ref="T8430">IF(OR(B8430="MAL ALIMI", B8430="ÜRETİM GİRİŞ"), MIN(I8430, MAX(0, I8430 + SUM(SUMIFS($I$1:I8429, $C$1:C8429, C8430, $B$1:B8429, {"MAL ALIMI","ÜRETİM GİRİŞ"})) - VLOOKUP(C8430, 'STOK RAPORU'!$C$2:$I$1000, 4, 0))), 0)</f>
        <v>0</v>
      </c>
      <c r="U8430" s="22">
        <f t="shared" si="532"/>
        <v>0</v>
      </c>
      <c r="V8430">
        <f t="shared" si="533"/>
        <v>0</v>
      </c>
      <c r="W8430" s="22">
        <f t="shared" si="534"/>
        <v>0</v>
      </c>
    </row>
    <row r="8431" spans="1:23" hidden="1" x14ac:dyDescent="0.25">
      <c r="A8431" s="4"/>
      <c r="B8431" s="4"/>
      <c r="C8431" s="4"/>
      <c r="D8431" s="4"/>
      <c r="E8431" s="4"/>
      <c r="F8431" s="4"/>
      <c r="G8431" s="4"/>
      <c r="H8431" s="4"/>
      <c r="I8431" s="4"/>
      <c r="J8431" s="21">
        <f>IFERROR(VLOOKUP(C8431,'STOK KARTLARI'!$C$2:$K$2150,8,0),0)</f>
        <v>0</v>
      </c>
      <c r="K8431" s="21">
        <f t="shared" si="535"/>
        <v>0</v>
      </c>
      <c r="L8431" s="5">
        <f t="shared" si="537"/>
        <v>0</v>
      </c>
      <c r="M8431" s="4"/>
      <c r="N8431" s="4"/>
      <c r="O8431" s="5"/>
      <c r="P8431" s="5"/>
      <c r="Q8431" s="21">
        <f t="shared" si="538"/>
        <v>0</v>
      </c>
      <c r="R8431" s="21">
        <f t="shared" si="536"/>
        <v>0</v>
      </c>
      <c r="S8431" s="5">
        <f t="shared" si="539"/>
        <v>70007.077158325032</v>
      </c>
      <c r="T8431" cm="1">
        <f t="array" ref="T8431">IF(OR(B8431="MAL ALIMI", B8431="ÜRETİM GİRİŞ"), MIN(I8431, MAX(0, I8431 + SUM(SUMIFS($I$1:I8430, $C$1:C8430, C8431, $B$1:B8430, {"MAL ALIMI","ÜRETİM GİRİŞ"})) - VLOOKUP(C8431, 'STOK RAPORU'!$C$2:$I$1000, 4, 0))), 0)</f>
        <v>0</v>
      </c>
      <c r="U8431" s="22">
        <f t="shared" ref="U8431:U8494" si="540">T8431*J8431</f>
        <v>0</v>
      </c>
      <c r="V8431">
        <f t="shared" ref="V8431:V8494" si="541">IF(OR(B8431="MAL ALIMI", B8431="ÜRETİM GİRİŞ"), I8431 * J8431, 0)</f>
        <v>0</v>
      </c>
      <c r="W8431" s="22">
        <f t="shared" ref="W8431:W8494" si="542">V8431-U8431</f>
        <v>0</v>
      </c>
    </row>
    <row r="8432" spans="1:23" hidden="1" x14ac:dyDescent="0.25">
      <c r="A8432" s="4"/>
      <c r="B8432" s="4"/>
      <c r="C8432" s="4"/>
      <c r="D8432" s="4"/>
      <c r="E8432" s="4"/>
      <c r="F8432" s="4"/>
      <c r="G8432" s="4"/>
      <c r="H8432" s="4"/>
      <c r="I8432" s="4"/>
      <c r="J8432" s="21">
        <f>IFERROR(VLOOKUP(C8432,'STOK KARTLARI'!$C$2:$K$2150,8,0),0)</f>
        <v>0</v>
      </c>
      <c r="K8432" s="21">
        <f t="shared" si="535"/>
        <v>0</v>
      </c>
      <c r="L8432" s="5">
        <f t="shared" si="537"/>
        <v>0</v>
      </c>
      <c r="M8432" s="4"/>
      <c r="N8432" s="4"/>
      <c r="O8432" s="5"/>
      <c r="P8432" s="5"/>
      <c r="Q8432" s="21">
        <f t="shared" si="538"/>
        <v>0</v>
      </c>
      <c r="R8432" s="21">
        <f t="shared" si="536"/>
        <v>0</v>
      </c>
      <c r="S8432" s="5">
        <f t="shared" si="539"/>
        <v>70007.077158325032</v>
      </c>
      <c r="T8432" cm="1">
        <f t="array" ref="T8432">IF(OR(B8432="MAL ALIMI", B8432="ÜRETİM GİRİŞ"), MIN(I8432, MAX(0, I8432 + SUM(SUMIFS($I$1:I8431, $C$1:C8431, C8432, $B$1:B8431, {"MAL ALIMI","ÜRETİM GİRİŞ"})) - VLOOKUP(C8432, 'STOK RAPORU'!$C$2:$I$1000, 4, 0))), 0)</f>
        <v>0</v>
      </c>
      <c r="U8432" s="22">
        <f t="shared" si="540"/>
        <v>0</v>
      </c>
      <c r="V8432">
        <f t="shared" si="541"/>
        <v>0</v>
      </c>
      <c r="W8432" s="22">
        <f t="shared" si="542"/>
        <v>0</v>
      </c>
    </row>
    <row r="8433" spans="1:23" hidden="1" x14ac:dyDescent="0.25">
      <c r="A8433" s="3"/>
      <c r="B8433" s="4"/>
      <c r="C8433" s="4"/>
      <c r="D8433" s="4"/>
      <c r="E8433" s="4"/>
      <c r="F8433" s="4"/>
      <c r="G8433" s="4"/>
      <c r="H8433" s="4"/>
      <c r="I8433" s="4"/>
      <c r="J8433" s="21">
        <f>IFERROR(VLOOKUP(C8433,'STOK KARTLARI'!$C$2:$K$2150,8,0),0)</f>
        <v>0</v>
      </c>
      <c r="K8433" s="21">
        <f t="shared" si="535"/>
        <v>0</v>
      </c>
      <c r="L8433" s="5">
        <f t="shared" si="537"/>
        <v>0</v>
      </c>
      <c r="M8433" s="4"/>
      <c r="N8433" s="4"/>
      <c r="O8433" s="5"/>
      <c r="P8433" s="5"/>
      <c r="Q8433" s="21">
        <f t="shared" si="538"/>
        <v>0</v>
      </c>
      <c r="R8433" s="21">
        <f t="shared" si="536"/>
        <v>0</v>
      </c>
      <c r="S8433" s="5">
        <f t="shared" si="539"/>
        <v>70007.077158325032</v>
      </c>
      <c r="T8433" cm="1">
        <f t="array" ref="T8433">IF(OR(B8433="MAL ALIMI", B8433="ÜRETİM GİRİŞ"), MIN(I8433, MAX(0, I8433 + SUM(SUMIFS($I$1:I8432, $C$1:C8432, C8433, $B$1:B8432, {"MAL ALIMI","ÜRETİM GİRİŞ"})) - VLOOKUP(C8433, 'STOK RAPORU'!$C$2:$I$1000, 4, 0))), 0)</f>
        <v>0</v>
      </c>
      <c r="U8433" s="22">
        <f t="shared" si="540"/>
        <v>0</v>
      </c>
      <c r="V8433">
        <f t="shared" si="541"/>
        <v>0</v>
      </c>
      <c r="W8433" s="22">
        <f t="shared" si="542"/>
        <v>0</v>
      </c>
    </row>
    <row r="8434" spans="1:23" hidden="1" x14ac:dyDescent="0.25">
      <c r="A8434" s="4"/>
      <c r="B8434" s="4"/>
      <c r="C8434" s="4"/>
      <c r="D8434" s="4"/>
      <c r="E8434" s="4"/>
      <c r="F8434" s="4"/>
      <c r="G8434" s="4"/>
      <c r="H8434" s="4"/>
      <c r="I8434" s="4"/>
      <c r="J8434" s="21">
        <f>IFERROR(VLOOKUP(C8434,'STOK KARTLARI'!$C$2:$K$2150,8,0),0)</f>
        <v>0</v>
      </c>
      <c r="K8434" s="21">
        <f t="shared" si="535"/>
        <v>0</v>
      </c>
      <c r="L8434" s="5">
        <f t="shared" si="537"/>
        <v>0</v>
      </c>
      <c r="M8434" s="4"/>
      <c r="N8434" s="4"/>
      <c r="O8434" s="5"/>
      <c r="P8434" s="5"/>
      <c r="Q8434" s="21">
        <f t="shared" si="538"/>
        <v>0</v>
      </c>
      <c r="R8434" s="21">
        <f t="shared" si="536"/>
        <v>0</v>
      </c>
      <c r="S8434" s="5">
        <f t="shared" si="539"/>
        <v>70007.077158325032</v>
      </c>
      <c r="T8434" cm="1">
        <f t="array" ref="T8434">IF(OR(B8434="MAL ALIMI", B8434="ÜRETİM GİRİŞ"), MIN(I8434, MAX(0, I8434 + SUM(SUMIFS($I$1:I8433, $C$1:C8433, C8434, $B$1:B8433, {"MAL ALIMI","ÜRETİM GİRİŞ"})) - VLOOKUP(C8434, 'STOK RAPORU'!$C$2:$I$1000, 4, 0))), 0)</f>
        <v>0</v>
      </c>
      <c r="U8434" s="22">
        <f t="shared" si="540"/>
        <v>0</v>
      </c>
      <c r="V8434">
        <f t="shared" si="541"/>
        <v>0</v>
      </c>
      <c r="W8434" s="22">
        <f t="shared" si="542"/>
        <v>0</v>
      </c>
    </row>
    <row r="8435" spans="1:23" hidden="1" x14ac:dyDescent="0.25">
      <c r="A8435" s="4"/>
      <c r="B8435" s="4"/>
      <c r="C8435" s="4"/>
      <c r="D8435" s="4"/>
      <c r="E8435" s="4"/>
      <c r="F8435" s="4"/>
      <c r="G8435" s="4"/>
      <c r="H8435" s="4"/>
      <c r="I8435" s="4"/>
      <c r="J8435" s="21">
        <f>IFERROR(VLOOKUP(C8435,'STOK KARTLARI'!$C$2:$K$2150,8,0),0)</f>
        <v>0</v>
      </c>
      <c r="K8435" s="21">
        <f t="shared" ref="K8435:K8498" si="543">IF(AND(B8435="MAL SATIŞI", H8435="POS"),I8435*J8435,0)</f>
        <v>0</v>
      </c>
      <c r="L8435" s="5">
        <f t="shared" si="537"/>
        <v>0</v>
      </c>
      <c r="M8435" s="4"/>
      <c r="N8435" s="4"/>
      <c r="O8435" s="5"/>
      <c r="P8435" s="5"/>
      <c r="Q8435" s="21">
        <f t="shared" si="538"/>
        <v>0</v>
      </c>
      <c r="R8435" s="21">
        <f t="shared" ref="R8435:R8498" si="544">IF(AND(E8435="", B8435&lt;&gt;"MAL SATIŞI"),I8435*J8435,0)</f>
        <v>0</v>
      </c>
      <c r="S8435" s="5">
        <f t="shared" si="539"/>
        <v>70007.077158325032</v>
      </c>
      <c r="T8435" cm="1">
        <f t="array" ref="T8435">IF(OR(B8435="MAL ALIMI", B8435="ÜRETİM GİRİŞ"), MIN(I8435, MAX(0, I8435 + SUM(SUMIFS($I$1:I8434, $C$1:C8434, C8435, $B$1:B8434, {"MAL ALIMI","ÜRETİM GİRİŞ"})) - VLOOKUP(C8435, 'STOK RAPORU'!$C$2:$I$1000, 4, 0))), 0)</f>
        <v>0</v>
      </c>
      <c r="U8435" s="22">
        <f t="shared" si="540"/>
        <v>0</v>
      </c>
      <c r="V8435">
        <f t="shared" si="541"/>
        <v>0</v>
      </c>
      <c r="W8435" s="22">
        <f t="shared" si="542"/>
        <v>0</v>
      </c>
    </row>
    <row r="8436" spans="1:23" hidden="1" x14ac:dyDescent="0.25">
      <c r="A8436" s="4"/>
      <c r="B8436" s="4"/>
      <c r="C8436" s="4"/>
      <c r="D8436" s="4"/>
      <c r="E8436" s="4"/>
      <c r="F8436" s="4"/>
      <c r="G8436" s="4"/>
      <c r="H8436" s="4"/>
      <c r="I8436" s="4"/>
      <c r="J8436" s="21">
        <f>IFERROR(VLOOKUP(C8436,'STOK KARTLARI'!$C$2:$K$2150,8,0),0)</f>
        <v>0</v>
      </c>
      <c r="K8436" s="21">
        <f t="shared" si="543"/>
        <v>0</v>
      </c>
      <c r="L8436" s="5">
        <f t="shared" ref="L8436:L8499" si="545">IF(OR(E8436="", H8436="POS"),0,I8436*J8436)</f>
        <v>0</v>
      </c>
      <c r="M8436" s="4"/>
      <c r="N8436" s="4"/>
      <c r="O8436" s="5"/>
      <c r="P8436" s="5"/>
      <c r="Q8436" s="21">
        <f t="shared" ref="Q8436:Q8499" si="546">IF(AND(E8436="", B8436="MAL SATIŞI", H8436="NAKİT"),I8436*J8436,0)</f>
        <v>0</v>
      </c>
      <c r="R8436" s="21">
        <f t="shared" si="544"/>
        <v>0</v>
      </c>
      <c r="S8436" s="5">
        <f t="shared" si="539"/>
        <v>70007.077158325032</v>
      </c>
      <c r="T8436" cm="1">
        <f t="array" ref="T8436">IF(OR(B8436="MAL ALIMI", B8436="ÜRETİM GİRİŞ"), MIN(I8436, MAX(0, I8436 + SUM(SUMIFS($I$1:I8435, $C$1:C8435, C8436, $B$1:B8435, {"MAL ALIMI","ÜRETİM GİRİŞ"})) - VLOOKUP(C8436, 'STOK RAPORU'!$C$2:$I$1000, 4, 0))), 0)</f>
        <v>0</v>
      </c>
      <c r="U8436" s="22">
        <f t="shared" si="540"/>
        <v>0</v>
      </c>
      <c r="V8436">
        <f t="shared" si="541"/>
        <v>0</v>
      </c>
      <c r="W8436" s="22">
        <f t="shared" si="542"/>
        <v>0</v>
      </c>
    </row>
    <row r="8437" spans="1:23" hidden="1" x14ac:dyDescent="0.25">
      <c r="A8437" s="4"/>
      <c r="B8437" s="4"/>
      <c r="C8437" s="4"/>
      <c r="D8437" s="4"/>
      <c r="E8437" s="4"/>
      <c r="F8437" s="4"/>
      <c r="G8437" s="4"/>
      <c r="H8437" s="4"/>
      <c r="I8437" s="4"/>
      <c r="J8437" s="21">
        <f>IFERROR(VLOOKUP(C8437,'STOK KARTLARI'!$C$2:$K$2150,8,0),0)</f>
        <v>0</v>
      </c>
      <c r="K8437" s="21">
        <f t="shared" si="543"/>
        <v>0</v>
      </c>
      <c r="L8437" s="5">
        <f t="shared" si="545"/>
        <v>0</v>
      </c>
      <c r="M8437" s="4"/>
      <c r="N8437" s="4"/>
      <c r="O8437" s="5"/>
      <c r="P8437" s="5"/>
      <c r="Q8437" s="21">
        <f t="shared" si="546"/>
        <v>0</v>
      </c>
      <c r="R8437" s="21">
        <f t="shared" si="544"/>
        <v>0</v>
      </c>
      <c r="S8437" s="5">
        <f t="shared" si="539"/>
        <v>70007.077158325032</v>
      </c>
      <c r="T8437" cm="1">
        <f t="array" ref="T8437">IF(OR(B8437="MAL ALIMI", B8437="ÜRETİM GİRİŞ"), MIN(I8437, MAX(0, I8437 + SUM(SUMIFS($I$1:I8436, $C$1:C8436, C8437, $B$1:B8436, {"MAL ALIMI","ÜRETİM GİRİŞ"})) - VLOOKUP(C8437, 'STOK RAPORU'!$C$2:$I$1000, 4, 0))), 0)</f>
        <v>0</v>
      </c>
      <c r="U8437" s="22">
        <f t="shared" si="540"/>
        <v>0</v>
      </c>
      <c r="V8437">
        <f t="shared" si="541"/>
        <v>0</v>
      </c>
      <c r="W8437" s="22">
        <f t="shared" si="542"/>
        <v>0</v>
      </c>
    </row>
    <row r="8438" spans="1:23" hidden="1" x14ac:dyDescent="0.25">
      <c r="A8438" s="4"/>
      <c r="B8438" s="4"/>
      <c r="C8438" s="4"/>
      <c r="D8438" s="4"/>
      <c r="E8438" s="4"/>
      <c r="F8438" s="4"/>
      <c r="G8438" s="4"/>
      <c r="H8438" s="4"/>
      <c r="I8438" s="4"/>
      <c r="J8438" s="21">
        <f>IFERROR(VLOOKUP(C8438,'STOK KARTLARI'!$C$2:$K$2150,8,0),0)</f>
        <v>0</v>
      </c>
      <c r="K8438" s="21">
        <f t="shared" si="543"/>
        <v>0</v>
      </c>
      <c r="L8438" s="5">
        <f t="shared" si="545"/>
        <v>0</v>
      </c>
      <c r="M8438" s="4"/>
      <c r="N8438" s="4"/>
      <c r="O8438" s="5"/>
      <c r="P8438" s="5"/>
      <c r="Q8438" s="21">
        <f t="shared" si="546"/>
        <v>0</v>
      </c>
      <c r="R8438" s="21">
        <f t="shared" si="544"/>
        <v>0</v>
      </c>
      <c r="S8438" s="5">
        <f t="shared" si="539"/>
        <v>70007.077158325032</v>
      </c>
      <c r="T8438" cm="1">
        <f t="array" ref="T8438">IF(OR(B8438="MAL ALIMI", B8438="ÜRETİM GİRİŞ"), MIN(I8438, MAX(0, I8438 + SUM(SUMIFS($I$1:I8437, $C$1:C8437, C8438, $B$1:B8437, {"MAL ALIMI","ÜRETİM GİRİŞ"})) - VLOOKUP(C8438, 'STOK RAPORU'!$C$2:$I$1000, 4, 0))), 0)</f>
        <v>0</v>
      </c>
      <c r="U8438" s="22">
        <f t="shared" si="540"/>
        <v>0</v>
      </c>
      <c r="V8438">
        <f t="shared" si="541"/>
        <v>0</v>
      </c>
      <c r="W8438" s="22">
        <f t="shared" si="542"/>
        <v>0</v>
      </c>
    </row>
    <row r="8439" spans="1:23" hidden="1" x14ac:dyDescent="0.25">
      <c r="A8439" s="4"/>
      <c r="B8439" s="4"/>
      <c r="C8439" s="4"/>
      <c r="D8439" s="4"/>
      <c r="E8439" s="4"/>
      <c r="F8439" s="4"/>
      <c r="G8439" s="4"/>
      <c r="H8439" s="4"/>
      <c r="I8439" s="4"/>
      <c r="J8439" s="21">
        <f>IFERROR(VLOOKUP(C8439,'STOK KARTLARI'!$C$2:$K$2150,8,0),0)</f>
        <v>0</v>
      </c>
      <c r="K8439" s="21">
        <f t="shared" si="543"/>
        <v>0</v>
      </c>
      <c r="L8439" s="5">
        <f t="shared" si="545"/>
        <v>0</v>
      </c>
      <c r="M8439" s="4"/>
      <c r="N8439" s="4"/>
      <c r="O8439" s="5"/>
      <c r="P8439" s="5"/>
      <c r="Q8439" s="21">
        <f t="shared" si="546"/>
        <v>0</v>
      </c>
      <c r="R8439" s="21">
        <f t="shared" si="544"/>
        <v>0</v>
      </c>
      <c r="S8439" s="5">
        <f t="shared" si="539"/>
        <v>70007.077158325032</v>
      </c>
      <c r="T8439" cm="1">
        <f t="array" ref="T8439">IF(OR(B8439="MAL ALIMI", B8439="ÜRETİM GİRİŞ"), MIN(I8439, MAX(0, I8439 + SUM(SUMIFS($I$1:I8438, $C$1:C8438, C8439, $B$1:B8438, {"MAL ALIMI","ÜRETİM GİRİŞ"})) - VLOOKUP(C8439, 'STOK RAPORU'!$C$2:$I$1000, 4, 0))), 0)</f>
        <v>0</v>
      </c>
      <c r="U8439" s="22">
        <f t="shared" si="540"/>
        <v>0</v>
      </c>
      <c r="V8439">
        <f t="shared" si="541"/>
        <v>0</v>
      </c>
      <c r="W8439" s="22">
        <f t="shared" si="542"/>
        <v>0</v>
      </c>
    </row>
    <row r="8440" spans="1:23" hidden="1" x14ac:dyDescent="0.25">
      <c r="A8440" s="3"/>
      <c r="B8440" s="4"/>
      <c r="C8440" s="4"/>
      <c r="D8440" s="4"/>
      <c r="E8440" s="4"/>
      <c r="F8440" s="4"/>
      <c r="G8440" s="4"/>
      <c r="H8440" s="4"/>
      <c r="I8440" s="4"/>
      <c r="J8440" s="21">
        <f>IFERROR(VLOOKUP(C8440,'STOK KARTLARI'!$C$2:$K$2150,8,0),0)</f>
        <v>0</v>
      </c>
      <c r="K8440" s="21">
        <f t="shared" si="543"/>
        <v>0</v>
      </c>
      <c r="L8440" s="5">
        <f t="shared" si="545"/>
        <v>0</v>
      </c>
      <c r="M8440" s="4"/>
      <c r="N8440" s="4"/>
      <c r="O8440" s="5"/>
      <c r="P8440" s="5"/>
      <c r="Q8440" s="21">
        <f t="shared" si="546"/>
        <v>0</v>
      </c>
      <c r="R8440" s="21">
        <f t="shared" si="544"/>
        <v>0</v>
      </c>
      <c r="S8440" s="5">
        <f t="shared" si="539"/>
        <v>70007.077158325032</v>
      </c>
      <c r="T8440" cm="1">
        <f t="array" ref="T8440">IF(OR(B8440="MAL ALIMI", B8440="ÜRETİM GİRİŞ"), MIN(I8440, MAX(0, I8440 + SUM(SUMIFS($I$1:I8439, $C$1:C8439, C8440, $B$1:B8439, {"MAL ALIMI","ÜRETİM GİRİŞ"})) - VLOOKUP(C8440, 'STOK RAPORU'!$C$2:$I$1000, 4, 0))), 0)</f>
        <v>0</v>
      </c>
      <c r="U8440" s="22">
        <f t="shared" si="540"/>
        <v>0</v>
      </c>
      <c r="V8440">
        <f t="shared" si="541"/>
        <v>0</v>
      </c>
      <c r="W8440" s="22">
        <f t="shared" si="542"/>
        <v>0</v>
      </c>
    </row>
    <row r="8441" spans="1:23" hidden="1" x14ac:dyDescent="0.25">
      <c r="A8441" s="4"/>
      <c r="B8441" s="4"/>
      <c r="C8441" s="4"/>
      <c r="D8441" s="4"/>
      <c r="E8441" s="4"/>
      <c r="F8441" s="4"/>
      <c r="G8441" s="4"/>
      <c r="H8441" s="4"/>
      <c r="I8441" s="4"/>
      <c r="J8441" s="21">
        <f>IFERROR(VLOOKUP(C8441,'STOK KARTLARI'!$C$2:$K$2150,8,0),0)</f>
        <v>0</v>
      </c>
      <c r="K8441" s="21">
        <f t="shared" si="543"/>
        <v>0</v>
      </c>
      <c r="L8441" s="5">
        <f t="shared" si="545"/>
        <v>0</v>
      </c>
      <c r="M8441" s="4"/>
      <c r="N8441" s="4"/>
      <c r="O8441" s="5"/>
      <c r="P8441" s="5"/>
      <c r="Q8441" s="21">
        <f t="shared" si="546"/>
        <v>0</v>
      </c>
      <c r="R8441" s="21">
        <f t="shared" si="544"/>
        <v>0</v>
      </c>
      <c r="S8441" s="5">
        <f t="shared" si="539"/>
        <v>70007.077158325032</v>
      </c>
      <c r="T8441" cm="1">
        <f t="array" ref="T8441">IF(OR(B8441="MAL ALIMI", B8441="ÜRETİM GİRİŞ"), MIN(I8441, MAX(0, I8441 + SUM(SUMIFS($I$1:I8440, $C$1:C8440, C8441, $B$1:B8440, {"MAL ALIMI","ÜRETİM GİRİŞ"})) - VLOOKUP(C8441, 'STOK RAPORU'!$C$2:$I$1000, 4, 0))), 0)</f>
        <v>0</v>
      </c>
      <c r="U8441" s="22">
        <f t="shared" si="540"/>
        <v>0</v>
      </c>
      <c r="V8441">
        <f t="shared" si="541"/>
        <v>0</v>
      </c>
      <c r="W8441" s="22">
        <f t="shared" si="542"/>
        <v>0</v>
      </c>
    </row>
    <row r="8442" spans="1:23" hidden="1" x14ac:dyDescent="0.25">
      <c r="A8442" s="4"/>
      <c r="B8442" s="4"/>
      <c r="C8442" s="4"/>
      <c r="D8442" s="4"/>
      <c r="E8442" s="4"/>
      <c r="F8442" s="4"/>
      <c r="G8442" s="4"/>
      <c r="H8442" s="4"/>
      <c r="I8442" s="4"/>
      <c r="J8442" s="21">
        <f>IFERROR(VLOOKUP(C8442,'STOK KARTLARI'!$C$2:$K$2150,8,0),0)</f>
        <v>0</v>
      </c>
      <c r="K8442" s="21">
        <f t="shared" si="543"/>
        <v>0</v>
      </c>
      <c r="L8442" s="5">
        <f t="shared" si="545"/>
        <v>0</v>
      </c>
      <c r="M8442" s="4"/>
      <c r="N8442" s="4"/>
      <c r="O8442" s="5"/>
      <c r="P8442" s="5"/>
      <c r="Q8442" s="21">
        <f t="shared" si="546"/>
        <v>0</v>
      </c>
      <c r="R8442" s="21">
        <f t="shared" si="544"/>
        <v>0</v>
      </c>
      <c r="S8442" s="5">
        <f t="shared" si="539"/>
        <v>70007.077158325032</v>
      </c>
      <c r="T8442" cm="1">
        <f t="array" ref="T8442">IF(OR(B8442="MAL ALIMI", B8442="ÜRETİM GİRİŞ"), MIN(I8442, MAX(0, I8442 + SUM(SUMIFS($I$1:I8441, $C$1:C8441, C8442, $B$1:B8441, {"MAL ALIMI","ÜRETİM GİRİŞ"})) - VLOOKUP(C8442, 'STOK RAPORU'!$C$2:$I$1000, 4, 0))), 0)</f>
        <v>0</v>
      </c>
      <c r="U8442" s="22">
        <f t="shared" si="540"/>
        <v>0</v>
      </c>
      <c r="V8442">
        <f t="shared" si="541"/>
        <v>0</v>
      </c>
      <c r="W8442" s="22">
        <f t="shared" si="542"/>
        <v>0</v>
      </c>
    </row>
    <row r="8443" spans="1:23" hidden="1" x14ac:dyDescent="0.25">
      <c r="A8443" s="4"/>
      <c r="B8443" s="4"/>
      <c r="C8443" s="4"/>
      <c r="D8443" s="4"/>
      <c r="E8443" s="4"/>
      <c r="F8443" s="4"/>
      <c r="G8443" s="4"/>
      <c r="H8443" s="4"/>
      <c r="I8443" s="4"/>
      <c r="J8443" s="21">
        <f>IFERROR(VLOOKUP(C8443,'STOK KARTLARI'!$C$2:$K$2150,8,0),0)</f>
        <v>0</v>
      </c>
      <c r="K8443" s="21">
        <f t="shared" si="543"/>
        <v>0</v>
      </c>
      <c r="L8443" s="5">
        <f t="shared" si="545"/>
        <v>0</v>
      </c>
      <c r="M8443" s="4"/>
      <c r="N8443" s="4"/>
      <c r="O8443" s="5"/>
      <c r="P8443" s="5"/>
      <c r="Q8443" s="21">
        <f t="shared" si="546"/>
        <v>0</v>
      </c>
      <c r="R8443" s="21">
        <f t="shared" si="544"/>
        <v>0</v>
      </c>
      <c r="S8443" s="5">
        <f t="shared" si="539"/>
        <v>70007.077158325032</v>
      </c>
      <c r="T8443" cm="1">
        <f t="array" ref="T8443">IF(OR(B8443="MAL ALIMI", B8443="ÜRETİM GİRİŞ"), MIN(I8443, MAX(0, I8443 + SUM(SUMIFS($I$1:I8442, $C$1:C8442, C8443, $B$1:B8442, {"MAL ALIMI","ÜRETİM GİRİŞ"})) - VLOOKUP(C8443, 'STOK RAPORU'!$C$2:$I$1000, 4, 0))), 0)</f>
        <v>0</v>
      </c>
      <c r="U8443" s="22">
        <f t="shared" si="540"/>
        <v>0</v>
      </c>
      <c r="V8443">
        <f t="shared" si="541"/>
        <v>0</v>
      </c>
      <c r="W8443" s="22">
        <f t="shared" si="542"/>
        <v>0</v>
      </c>
    </row>
    <row r="8444" spans="1:23" hidden="1" x14ac:dyDescent="0.25">
      <c r="A8444" s="4"/>
      <c r="B8444" s="4"/>
      <c r="C8444" s="4"/>
      <c r="D8444" s="4"/>
      <c r="E8444" s="4"/>
      <c r="F8444" s="4"/>
      <c r="G8444" s="4"/>
      <c r="H8444" s="4"/>
      <c r="I8444" s="4"/>
      <c r="J8444" s="21">
        <f>IFERROR(VLOOKUP(C8444,'STOK KARTLARI'!$C$2:$K$2150,8,0),0)</f>
        <v>0</v>
      </c>
      <c r="K8444" s="21">
        <f t="shared" si="543"/>
        <v>0</v>
      </c>
      <c r="L8444" s="5">
        <f t="shared" si="545"/>
        <v>0</v>
      </c>
      <c r="M8444" s="4"/>
      <c r="N8444" s="4"/>
      <c r="O8444" s="5"/>
      <c r="P8444" s="5"/>
      <c r="Q8444" s="21">
        <f t="shared" si="546"/>
        <v>0</v>
      </c>
      <c r="R8444" s="21">
        <f t="shared" si="544"/>
        <v>0</v>
      </c>
      <c r="S8444" s="5">
        <f t="shared" si="539"/>
        <v>70007.077158325032</v>
      </c>
      <c r="T8444" cm="1">
        <f t="array" ref="T8444">IF(OR(B8444="MAL ALIMI", B8444="ÜRETİM GİRİŞ"), MIN(I8444, MAX(0, I8444 + SUM(SUMIFS($I$1:I8443, $C$1:C8443, C8444, $B$1:B8443, {"MAL ALIMI","ÜRETİM GİRİŞ"})) - VLOOKUP(C8444, 'STOK RAPORU'!$C$2:$I$1000, 4, 0))), 0)</f>
        <v>0</v>
      </c>
      <c r="U8444" s="22">
        <f t="shared" si="540"/>
        <v>0</v>
      </c>
      <c r="V8444">
        <f t="shared" si="541"/>
        <v>0</v>
      </c>
      <c r="W8444" s="22">
        <f t="shared" si="542"/>
        <v>0</v>
      </c>
    </row>
    <row r="8445" spans="1:23" hidden="1" x14ac:dyDescent="0.25">
      <c r="A8445" s="4"/>
      <c r="B8445" s="4"/>
      <c r="C8445" s="4"/>
      <c r="D8445" s="4"/>
      <c r="E8445" s="4"/>
      <c r="F8445" s="4"/>
      <c r="G8445" s="4"/>
      <c r="H8445" s="4"/>
      <c r="I8445" s="4"/>
      <c r="J8445" s="21">
        <f>IFERROR(VLOOKUP(C8445,'STOK KARTLARI'!$C$2:$K$2150,8,0),0)</f>
        <v>0</v>
      </c>
      <c r="K8445" s="21">
        <f t="shared" si="543"/>
        <v>0</v>
      </c>
      <c r="L8445" s="5">
        <f t="shared" si="545"/>
        <v>0</v>
      </c>
      <c r="M8445" s="4"/>
      <c r="N8445" s="4"/>
      <c r="O8445" s="5"/>
      <c r="P8445" s="5"/>
      <c r="Q8445" s="21">
        <f t="shared" si="546"/>
        <v>0</v>
      </c>
      <c r="R8445" s="21">
        <f t="shared" si="544"/>
        <v>0</v>
      </c>
      <c r="S8445" s="5">
        <f t="shared" si="539"/>
        <v>70007.077158325032</v>
      </c>
      <c r="T8445" cm="1">
        <f t="array" ref="T8445">IF(OR(B8445="MAL ALIMI", B8445="ÜRETİM GİRİŞ"), MIN(I8445, MAX(0, I8445 + SUM(SUMIFS($I$1:I8444, $C$1:C8444, C8445, $B$1:B8444, {"MAL ALIMI","ÜRETİM GİRİŞ"})) - VLOOKUP(C8445, 'STOK RAPORU'!$C$2:$I$1000, 4, 0))), 0)</f>
        <v>0</v>
      </c>
      <c r="U8445" s="22">
        <f t="shared" si="540"/>
        <v>0</v>
      </c>
      <c r="V8445">
        <f t="shared" si="541"/>
        <v>0</v>
      </c>
      <c r="W8445" s="22">
        <f t="shared" si="542"/>
        <v>0</v>
      </c>
    </row>
    <row r="8446" spans="1:23" hidden="1" x14ac:dyDescent="0.25">
      <c r="A8446" s="4"/>
      <c r="B8446" s="4"/>
      <c r="C8446" s="4"/>
      <c r="D8446" s="4"/>
      <c r="E8446" s="4"/>
      <c r="F8446" s="4"/>
      <c r="G8446" s="4"/>
      <c r="H8446" s="4"/>
      <c r="I8446" s="4"/>
      <c r="J8446" s="21">
        <f>IFERROR(VLOOKUP(C8446,'STOK KARTLARI'!$C$2:$K$2150,8,0),0)</f>
        <v>0</v>
      </c>
      <c r="K8446" s="21">
        <f t="shared" si="543"/>
        <v>0</v>
      </c>
      <c r="L8446" s="5">
        <f t="shared" si="545"/>
        <v>0</v>
      </c>
      <c r="M8446" s="4"/>
      <c r="N8446" s="4"/>
      <c r="O8446" s="5"/>
      <c r="P8446" s="5"/>
      <c r="Q8446" s="21">
        <f t="shared" si="546"/>
        <v>0</v>
      </c>
      <c r="R8446" s="21">
        <f t="shared" si="544"/>
        <v>0</v>
      </c>
      <c r="S8446" s="5">
        <f t="shared" si="539"/>
        <v>70007.077158325032</v>
      </c>
      <c r="T8446" cm="1">
        <f t="array" ref="T8446">IF(OR(B8446="MAL ALIMI", B8446="ÜRETİM GİRİŞ"), MIN(I8446, MAX(0, I8446 + SUM(SUMIFS($I$1:I8445, $C$1:C8445, C8446, $B$1:B8445, {"MAL ALIMI","ÜRETİM GİRİŞ"})) - VLOOKUP(C8446, 'STOK RAPORU'!$C$2:$I$1000, 4, 0))), 0)</f>
        <v>0</v>
      </c>
      <c r="U8446" s="22">
        <f t="shared" si="540"/>
        <v>0</v>
      </c>
      <c r="V8446">
        <f t="shared" si="541"/>
        <v>0</v>
      </c>
      <c r="W8446" s="22">
        <f t="shared" si="542"/>
        <v>0</v>
      </c>
    </row>
    <row r="8447" spans="1:23" hidden="1" x14ac:dyDescent="0.25">
      <c r="A8447" s="3"/>
      <c r="B8447" s="4"/>
      <c r="C8447" s="4"/>
      <c r="D8447" s="4"/>
      <c r="E8447" s="4"/>
      <c r="F8447" s="4"/>
      <c r="G8447" s="4"/>
      <c r="H8447" s="4"/>
      <c r="I8447" s="4"/>
      <c r="J8447" s="21">
        <f>IFERROR(VLOOKUP(C8447,'STOK KARTLARI'!$C$2:$K$2150,8,0),0)</f>
        <v>0</v>
      </c>
      <c r="K8447" s="21">
        <f t="shared" si="543"/>
        <v>0</v>
      </c>
      <c r="L8447" s="5">
        <f t="shared" si="545"/>
        <v>0</v>
      </c>
      <c r="M8447" s="4"/>
      <c r="N8447" s="4"/>
      <c r="O8447" s="5"/>
      <c r="P8447" s="5"/>
      <c r="Q8447" s="21">
        <f t="shared" si="546"/>
        <v>0</v>
      </c>
      <c r="R8447" s="21">
        <f t="shared" si="544"/>
        <v>0</v>
      </c>
      <c r="S8447" s="5">
        <f t="shared" si="539"/>
        <v>70007.077158325032</v>
      </c>
      <c r="T8447" cm="1">
        <f t="array" ref="T8447">IF(OR(B8447="MAL ALIMI", B8447="ÜRETİM GİRİŞ"), MIN(I8447, MAX(0, I8447 + SUM(SUMIFS($I$1:I8446, $C$1:C8446, C8447, $B$1:B8446, {"MAL ALIMI","ÜRETİM GİRİŞ"})) - VLOOKUP(C8447, 'STOK RAPORU'!$C$2:$I$1000, 4, 0))), 0)</f>
        <v>0</v>
      </c>
      <c r="U8447" s="22">
        <f t="shared" si="540"/>
        <v>0</v>
      </c>
      <c r="V8447">
        <f t="shared" si="541"/>
        <v>0</v>
      </c>
      <c r="W8447" s="22">
        <f t="shared" si="542"/>
        <v>0</v>
      </c>
    </row>
    <row r="8448" spans="1:23" hidden="1" x14ac:dyDescent="0.25">
      <c r="A8448" s="4"/>
      <c r="B8448" s="4"/>
      <c r="C8448" s="4"/>
      <c r="D8448" s="4"/>
      <c r="E8448" s="4"/>
      <c r="F8448" s="4"/>
      <c r="G8448" s="4"/>
      <c r="H8448" s="4"/>
      <c r="I8448" s="4"/>
      <c r="J8448" s="21">
        <f>IFERROR(VLOOKUP(C8448,'STOK KARTLARI'!$C$2:$K$2150,8,0),0)</f>
        <v>0</v>
      </c>
      <c r="K8448" s="21">
        <f t="shared" si="543"/>
        <v>0</v>
      </c>
      <c r="L8448" s="5">
        <f t="shared" si="545"/>
        <v>0</v>
      </c>
      <c r="M8448" s="4"/>
      <c r="N8448" s="4"/>
      <c r="O8448" s="5"/>
      <c r="P8448" s="5"/>
      <c r="Q8448" s="21">
        <f t="shared" si="546"/>
        <v>0</v>
      </c>
      <c r="R8448" s="21">
        <f t="shared" si="544"/>
        <v>0</v>
      </c>
      <c r="S8448" s="5">
        <f t="shared" si="539"/>
        <v>70007.077158325032</v>
      </c>
      <c r="T8448" cm="1">
        <f t="array" ref="T8448">IF(OR(B8448="MAL ALIMI", B8448="ÜRETİM GİRİŞ"), MIN(I8448, MAX(0, I8448 + SUM(SUMIFS($I$1:I8447, $C$1:C8447, C8448, $B$1:B8447, {"MAL ALIMI","ÜRETİM GİRİŞ"})) - VLOOKUP(C8448, 'STOK RAPORU'!$C$2:$I$1000, 4, 0))), 0)</f>
        <v>0</v>
      </c>
      <c r="U8448" s="22">
        <f t="shared" si="540"/>
        <v>0</v>
      </c>
      <c r="V8448">
        <f t="shared" si="541"/>
        <v>0</v>
      </c>
      <c r="W8448" s="22">
        <f t="shared" si="542"/>
        <v>0</v>
      </c>
    </row>
    <row r="8449" spans="1:23" hidden="1" x14ac:dyDescent="0.25">
      <c r="A8449" s="4"/>
      <c r="B8449" s="4"/>
      <c r="C8449" s="4"/>
      <c r="D8449" s="4"/>
      <c r="E8449" s="4"/>
      <c r="F8449" s="4"/>
      <c r="G8449" s="4"/>
      <c r="H8449" s="4"/>
      <c r="I8449" s="4"/>
      <c r="J8449" s="21">
        <f>IFERROR(VLOOKUP(C8449,'STOK KARTLARI'!$C$2:$K$2150,8,0),0)</f>
        <v>0</v>
      </c>
      <c r="K8449" s="21">
        <f t="shared" si="543"/>
        <v>0</v>
      </c>
      <c r="L8449" s="5">
        <f t="shared" si="545"/>
        <v>0</v>
      </c>
      <c r="M8449" s="4"/>
      <c r="N8449" s="4"/>
      <c r="O8449" s="5"/>
      <c r="P8449" s="5"/>
      <c r="Q8449" s="21">
        <f t="shared" si="546"/>
        <v>0</v>
      </c>
      <c r="R8449" s="21">
        <f t="shared" si="544"/>
        <v>0</v>
      </c>
      <c r="S8449" s="5">
        <f t="shared" si="539"/>
        <v>70007.077158325032</v>
      </c>
      <c r="T8449" cm="1">
        <f t="array" ref="T8449">IF(OR(B8449="MAL ALIMI", B8449="ÜRETİM GİRİŞ"), MIN(I8449, MAX(0, I8449 + SUM(SUMIFS($I$1:I8448, $C$1:C8448, C8449, $B$1:B8448, {"MAL ALIMI","ÜRETİM GİRİŞ"})) - VLOOKUP(C8449, 'STOK RAPORU'!$C$2:$I$1000, 4, 0))), 0)</f>
        <v>0</v>
      </c>
      <c r="U8449" s="22">
        <f t="shared" si="540"/>
        <v>0</v>
      </c>
      <c r="V8449">
        <f t="shared" si="541"/>
        <v>0</v>
      </c>
      <c r="W8449" s="22">
        <f t="shared" si="542"/>
        <v>0</v>
      </c>
    </row>
    <row r="8450" spans="1:23" hidden="1" x14ac:dyDescent="0.25">
      <c r="A8450" s="4"/>
      <c r="B8450" s="4"/>
      <c r="C8450" s="4"/>
      <c r="D8450" s="4"/>
      <c r="E8450" s="4"/>
      <c r="F8450" s="4"/>
      <c r="G8450" s="4"/>
      <c r="H8450" s="4"/>
      <c r="I8450" s="4"/>
      <c r="J8450" s="21">
        <f>IFERROR(VLOOKUP(C8450,'STOK KARTLARI'!$C$2:$K$2150,8,0),0)</f>
        <v>0</v>
      </c>
      <c r="K8450" s="21">
        <f t="shared" si="543"/>
        <v>0</v>
      </c>
      <c r="L8450" s="5">
        <f t="shared" si="545"/>
        <v>0</v>
      </c>
      <c r="M8450" s="4"/>
      <c r="N8450" s="4"/>
      <c r="O8450" s="5"/>
      <c r="P8450" s="5"/>
      <c r="Q8450" s="21">
        <f t="shared" si="546"/>
        <v>0</v>
      </c>
      <c r="R8450" s="21">
        <f t="shared" si="544"/>
        <v>0</v>
      </c>
      <c r="S8450" s="5">
        <f t="shared" si="539"/>
        <v>70007.077158325032</v>
      </c>
      <c r="T8450" cm="1">
        <f t="array" ref="T8450">IF(OR(B8450="MAL ALIMI", B8450="ÜRETİM GİRİŞ"), MIN(I8450, MAX(0, I8450 + SUM(SUMIFS($I$1:I8449, $C$1:C8449, C8450, $B$1:B8449, {"MAL ALIMI","ÜRETİM GİRİŞ"})) - VLOOKUP(C8450, 'STOK RAPORU'!$C$2:$I$1000, 4, 0))), 0)</f>
        <v>0</v>
      </c>
      <c r="U8450" s="22">
        <f t="shared" si="540"/>
        <v>0</v>
      </c>
      <c r="V8450">
        <f t="shared" si="541"/>
        <v>0</v>
      </c>
      <c r="W8450" s="22">
        <f t="shared" si="542"/>
        <v>0</v>
      </c>
    </row>
    <row r="8451" spans="1:23" hidden="1" x14ac:dyDescent="0.25">
      <c r="A8451" s="4"/>
      <c r="B8451" s="4"/>
      <c r="C8451" s="4"/>
      <c r="D8451" s="4"/>
      <c r="E8451" s="4"/>
      <c r="F8451" s="4"/>
      <c r="G8451" s="4"/>
      <c r="H8451" s="4"/>
      <c r="I8451" s="4"/>
      <c r="J8451" s="21">
        <f>IFERROR(VLOOKUP(C8451,'STOK KARTLARI'!$C$2:$K$2150,8,0),0)</f>
        <v>0</v>
      </c>
      <c r="K8451" s="21">
        <f t="shared" si="543"/>
        <v>0</v>
      </c>
      <c r="L8451" s="5">
        <f t="shared" si="545"/>
        <v>0</v>
      </c>
      <c r="M8451" s="4"/>
      <c r="N8451" s="4"/>
      <c r="O8451" s="5"/>
      <c r="P8451" s="5"/>
      <c r="Q8451" s="21">
        <f t="shared" si="546"/>
        <v>0</v>
      </c>
      <c r="R8451" s="21">
        <f t="shared" si="544"/>
        <v>0</v>
      </c>
      <c r="S8451" s="5">
        <f t="shared" si="539"/>
        <v>70007.077158325032</v>
      </c>
      <c r="T8451" cm="1">
        <f t="array" ref="T8451">IF(OR(B8451="MAL ALIMI", B8451="ÜRETİM GİRİŞ"), MIN(I8451, MAX(0, I8451 + SUM(SUMIFS($I$1:I8450, $C$1:C8450, C8451, $B$1:B8450, {"MAL ALIMI","ÜRETİM GİRİŞ"})) - VLOOKUP(C8451, 'STOK RAPORU'!$C$2:$I$1000, 4, 0))), 0)</f>
        <v>0</v>
      </c>
      <c r="U8451" s="22">
        <f t="shared" si="540"/>
        <v>0</v>
      </c>
      <c r="V8451">
        <f t="shared" si="541"/>
        <v>0</v>
      </c>
      <c r="W8451" s="22">
        <f t="shared" si="542"/>
        <v>0</v>
      </c>
    </row>
    <row r="8452" spans="1:23" hidden="1" x14ac:dyDescent="0.25">
      <c r="A8452" s="4"/>
      <c r="B8452" s="4"/>
      <c r="C8452" s="4"/>
      <c r="D8452" s="4"/>
      <c r="E8452" s="4"/>
      <c r="F8452" s="4"/>
      <c r="G8452" s="4"/>
      <c r="H8452" s="4"/>
      <c r="I8452" s="4"/>
      <c r="J8452" s="21">
        <f>IFERROR(VLOOKUP(C8452,'STOK KARTLARI'!$C$2:$K$2150,8,0),0)</f>
        <v>0</v>
      </c>
      <c r="K8452" s="21">
        <f t="shared" si="543"/>
        <v>0</v>
      </c>
      <c r="L8452" s="5">
        <f t="shared" si="545"/>
        <v>0</v>
      </c>
      <c r="M8452" s="4"/>
      <c r="N8452" s="4"/>
      <c r="O8452" s="5"/>
      <c r="P8452" s="5"/>
      <c r="Q8452" s="21">
        <f t="shared" si="546"/>
        <v>0</v>
      </c>
      <c r="R8452" s="21">
        <f t="shared" si="544"/>
        <v>0</v>
      </c>
      <c r="S8452" s="5">
        <f t="shared" si="539"/>
        <v>70007.077158325032</v>
      </c>
      <c r="T8452" cm="1">
        <f t="array" ref="T8452">IF(OR(B8452="MAL ALIMI", B8452="ÜRETİM GİRİŞ"), MIN(I8452, MAX(0, I8452 + SUM(SUMIFS($I$1:I8451, $C$1:C8451, C8452, $B$1:B8451, {"MAL ALIMI","ÜRETİM GİRİŞ"})) - VLOOKUP(C8452, 'STOK RAPORU'!$C$2:$I$1000, 4, 0))), 0)</f>
        <v>0</v>
      </c>
      <c r="U8452" s="22">
        <f t="shared" si="540"/>
        <v>0</v>
      </c>
      <c r="V8452">
        <f t="shared" si="541"/>
        <v>0</v>
      </c>
      <c r="W8452" s="22">
        <f t="shared" si="542"/>
        <v>0</v>
      </c>
    </row>
    <row r="8453" spans="1:23" hidden="1" x14ac:dyDescent="0.25">
      <c r="A8453" s="4"/>
      <c r="B8453" s="4"/>
      <c r="C8453" s="4"/>
      <c r="D8453" s="4"/>
      <c r="E8453" s="4"/>
      <c r="F8453" s="4"/>
      <c r="G8453" s="4"/>
      <c r="H8453" s="4"/>
      <c r="I8453" s="4"/>
      <c r="J8453" s="21">
        <f>IFERROR(VLOOKUP(C8453,'STOK KARTLARI'!$C$2:$K$2150,8,0),0)</f>
        <v>0</v>
      </c>
      <c r="K8453" s="21">
        <f t="shared" si="543"/>
        <v>0</v>
      </c>
      <c r="L8453" s="5">
        <f t="shared" si="545"/>
        <v>0</v>
      </c>
      <c r="M8453" s="4"/>
      <c r="N8453" s="4"/>
      <c r="O8453" s="5"/>
      <c r="P8453" s="5"/>
      <c r="Q8453" s="21">
        <f t="shared" si="546"/>
        <v>0</v>
      </c>
      <c r="R8453" s="21">
        <f t="shared" si="544"/>
        <v>0</v>
      </c>
      <c r="S8453" s="5">
        <f t="shared" ref="S8453:S8516" si="547">S8452+Q8453-R8453</f>
        <v>70007.077158325032</v>
      </c>
      <c r="T8453" cm="1">
        <f t="array" ref="T8453">IF(OR(B8453="MAL ALIMI", B8453="ÜRETİM GİRİŞ"), MIN(I8453, MAX(0, I8453 + SUM(SUMIFS($I$1:I8452, $C$1:C8452, C8453, $B$1:B8452, {"MAL ALIMI","ÜRETİM GİRİŞ"})) - VLOOKUP(C8453, 'STOK RAPORU'!$C$2:$I$1000, 4, 0))), 0)</f>
        <v>0</v>
      </c>
      <c r="U8453" s="22">
        <f t="shared" si="540"/>
        <v>0</v>
      </c>
      <c r="V8453">
        <f t="shared" si="541"/>
        <v>0</v>
      </c>
      <c r="W8453" s="22">
        <f t="shared" si="542"/>
        <v>0</v>
      </c>
    </row>
    <row r="8454" spans="1:23" hidden="1" x14ac:dyDescent="0.25">
      <c r="A8454" s="3"/>
      <c r="B8454" s="4"/>
      <c r="C8454" s="4"/>
      <c r="D8454" s="4"/>
      <c r="E8454" s="4"/>
      <c r="F8454" s="4"/>
      <c r="G8454" s="4"/>
      <c r="H8454" s="4"/>
      <c r="I8454" s="4"/>
      <c r="J8454" s="21">
        <f>IFERROR(VLOOKUP(C8454,'STOK KARTLARI'!$C$2:$K$2150,8,0),0)</f>
        <v>0</v>
      </c>
      <c r="K8454" s="21">
        <f t="shared" si="543"/>
        <v>0</v>
      </c>
      <c r="L8454" s="5">
        <f t="shared" si="545"/>
        <v>0</v>
      </c>
      <c r="M8454" s="4"/>
      <c r="N8454" s="4"/>
      <c r="O8454" s="5"/>
      <c r="P8454" s="5"/>
      <c r="Q8454" s="21">
        <f t="shared" si="546"/>
        <v>0</v>
      </c>
      <c r="R8454" s="21">
        <f t="shared" si="544"/>
        <v>0</v>
      </c>
      <c r="S8454" s="5">
        <f t="shared" si="547"/>
        <v>70007.077158325032</v>
      </c>
      <c r="T8454" cm="1">
        <f t="array" ref="T8454">IF(OR(B8454="MAL ALIMI", B8454="ÜRETİM GİRİŞ"), MIN(I8454, MAX(0, I8454 + SUM(SUMIFS($I$1:I8453, $C$1:C8453, C8454, $B$1:B8453, {"MAL ALIMI","ÜRETİM GİRİŞ"})) - VLOOKUP(C8454, 'STOK RAPORU'!$C$2:$I$1000, 4, 0))), 0)</f>
        <v>0</v>
      </c>
      <c r="U8454" s="22">
        <f t="shared" si="540"/>
        <v>0</v>
      </c>
      <c r="V8454">
        <f t="shared" si="541"/>
        <v>0</v>
      </c>
      <c r="W8454" s="22">
        <f t="shared" si="542"/>
        <v>0</v>
      </c>
    </row>
    <row r="8455" spans="1:23" hidden="1" x14ac:dyDescent="0.25">
      <c r="A8455" s="4"/>
      <c r="B8455" s="4"/>
      <c r="C8455" s="4"/>
      <c r="D8455" s="4"/>
      <c r="E8455" s="4"/>
      <c r="F8455" s="4"/>
      <c r="G8455" s="4"/>
      <c r="H8455" s="4"/>
      <c r="I8455" s="4"/>
      <c r="J8455" s="21">
        <f>IFERROR(VLOOKUP(C8455,'STOK KARTLARI'!$C$2:$K$2150,8,0),0)</f>
        <v>0</v>
      </c>
      <c r="K8455" s="21">
        <f t="shared" si="543"/>
        <v>0</v>
      </c>
      <c r="L8455" s="5">
        <f t="shared" si="545"/>
        <v>0</v>
      </c>
      <c r="M8455" s="4"/>
      <c r="N8455" s="4"/>
      <c r="O8455" s="5"/>
      <c r="P8455" s="5"/>
      <c r="Q8455" s="21">
        <f t="shared" si="546"/>
        <v>0</v>
      </c>
      <c r="R8455" s="21">
        <f t="shared" si="544"/>
        <v>0</v>
      </c>
      <c r="S8455" s="5">
        <f t="shared" si="547"/>
        <v>70007.077158325032</v>
      </c>
      <c r="T8455" cm="1">
        <f t="array" ref="T8455">IF(OR(B8455="MAL ALIMI", B8455="ÜRETİM GİRİŞ"), MIN(I8455, MAX(0, I8455 + SUM(SUMIFS($I$1:I8454, $C$1:C8454, C8455, $B$1:B8454, {"MAL ALIMI","ÜRETİM GİRİŞ"})) - VLOOKUP(C8455, 'STOK RAPORU'!$C$2:$I$1000, 4, 0))), 0)</f>
        <v>0</v>
      </c>
      <c r="U8455" s="22">
        <f t="shared" si="540"/>
        <v>0</v>
      </c>
      <c r="V8455">
        <f t="shared" si="541"/>
        <v>0</v>
      </c>
      <c r="W8455" s="22">
        <f t="shared" si="542"/>
        <v>0</v>
      </c>
    </row>
    <row r="8456" spans="1:23" hidden="1" x14ac:dyDescent="0.25">
      <c r="A8456" s="4"/>
      <c r="B8456" s="4"/>
      <c r="C8456" s="4"/>
      <c r="D8456" s="4"/>
      <c r="E8456" s="4"/>
      <c r="F8456" s="4"/>
      <c r="G8456" s="4"/>
      <c r="H8456" s="4"/>
      <c r="I8456" s="4"/>
      <c r="J8456" s="21">
        <f>IFERROR(VLOOKUP(C8456,'STOK KARTLARI'!$C$2:$K$2150,8,0),0)</f>
        <v>0</v>
      </c>
      <c r="K8456" s="21">
        <f t="shared" si="543"/>
        <v>0</v>
      </c>
      <c r="L8456" s="5">
        <f t="shared" si="545"/>
        <v>0</v>
      </c>
      <c r="M8456" s="4"/>
      <c r="N8456" s="4"/>
      <c r="O8456" s="5"/>
      <c r="P8456" s="5"/>
      <c r="Q8456" s="21">
        <f t="shared" si="546"/>
        <v>0</v>
      </c>
      <c r="R8456" s="21">
        <f t="shared" si="544"/>
        <v>0</v>
      </c>
      <c r="S8456" s="5">
        <f t="shared" si="547"/>
        <v>70007.077158325032</v>
      </c>
      <c r="T8456" cm="1">
        <f t="array" ref="T8456">IF(OR(B8456="MAL ALIMI", B8456="ÜRETİM GİRİŞ"), MIN(I8456, MAX(0, I8456 + SUM(SUMIFS($I$1:I8455, $C$1:C8455, C8456, $B$1:B8455, {"MAL ALIMI","ÜRETİM GİRİŞ"})) - VLOOKUP(C8456, 'STOK RAPORU'!$C$2:$I$1000, 4, 0))), 0)</f>
        <v>0</v>
      </c>
      <c r="U8456" s="22">
        <f t="shared" si="540"/>
        <v>0</v>
      </c>
      <c r="V8456">
        <f t="shared" si="541"/>
        <v>0</v>
      </c>
      <c r="W8456" s="22">
        <f t="shared" si="542"/>
        <v>0</v>
      </c>
    </row>
    <row r="8457" spans="1:23" hidden="1" x14ac:dyDescent="0.25">
      <c r="A8457" s="4"/>
      <c r="B8457" s="4"/>
      <c r="C8457" s="4"/>
      <c r="D8457" s="4"/>
      <c r="E8457" s="4"/>
      <c r="F8457" s="4"/>
      <c r="G8457" s="4"/>
      <c r="H8457" s="4"/>
      <c r="I8457" s="4"/>
      <c r="J8457" s="21">
        <f>IFERROR(VLOOKUP(C8457,'STOK KARTLARI'!$C$2:$K$2150,8,0),0)</f>
        <v>0</v>
      </c>
      <c r="K8457" s="21">
        <f t="shared" si="543"/>
        <v>0</v>
      </c>
      <c r="L8457" s="5">
        <f t="shared" si="545"/>
        <v>0</v>
      </c>
      <c r="M8457" s="4"/>
      <c r="N8457" s="4"/>
      <c r="O8457" s="5"/>
      <c r="P8457" s="5"/>
      <c r="Q8457" s="21">
        <f t="shared" si="546"/>
        <v>0</v>
      </c>
      <c r="R8457" s="21">
        <f t="shared" si="544"/>
        <v>0</v>
      </c>
      <c r="S8457" s="5">
        <f t="shared" si="547"/>
        <v>70007.077158325032</v>
      </c>
      <c r="T8457" cm="1">
        <f t="array" ref="T8457">IF(OR(B8457="MAL ALIMI", B8457="ÜRETİM GİRİŞ"), MIN(I8457, MAX(0, I8457 + SUM(SUMIFS($I$1:I8456, $C$1:C8456, C8457, $B$1:B8456, {"MAL ALIMI","ÜRETİM GİRİŞ"})) - VLOOKUP(C8457, 'STOK RAPORU'!$C$2:$I$1000, 4, 0))), 0)</f>
        <v>0</v>
      </c>
      <c r="U8457" s="22">
        <f t="shared" si="540"/>
        <v>0</v>
      </c>
      <c r="V8457">
        <f t="shared" si="541"/>
        <v>0</v>
      </c>
      <c r="W8457" s="22">
        <f t="shared" si="542"/>
        <v>0</v>
      </c>
    </row>
    <row r="8458" spans="1:23" hidden="1" x14ac:dyDescent="0.25">
      <c r="A8458" s="4"/>
      <c r="B8458" s="4"/>
      <c r="C8458" s="4"/>
      <c r="D8458" s="4"/>
      <c r="E8458" s="4"/>
      <c r="F8458" s="4"/>
      <c r="G8458" s="4"/>
      <c r="H8458" s="4"/>
      <c r="I8458" s="4"/>
      <c r="J8458" s="21">
        <f>IFERROR(VLOOKUP(C8458,'STOK KARTLARI'!$C$2:$K$2150,8,0),0)</f>
        <v>0</v>
      </c>
      <c r="K8458" s="21">
        <f t="shared" si="543"/>
        <v>0</v>
      </c>
      <c r="L8458" s="5">
        <f t="shared" si="545"/>
        <v>0</v>
      </c>
      <c r="M8458" s="4"/>
      <c r="N8458" s="4"/>
      <c r="O8458" s="5"/>
      <c r="P8458" s="5"/>
      <c r="Q8458" s="21">
        <f t="shared" si="546"/>
        <v>0</v>
      </c>
      <c r="R8458" s="21">
        <f t="shared" si="544"/>
        <v>0</v>
      </c>
      <c r="S8458" s="5">
        <f t="shared" si="547"/>
        <v>70007.077158325032</v>
      </c>
      <c r="T8458" cm="1">
        <f t="array" ref="T8458">IF(OR(B8458="MAL ALIMI", B8458="ÜRETİM GİRİŞ"), MIN(I8458, MAX(0, I8458 + SUM(SUMIFS($I$1:I8457, $C$1:C8457, C8458, $B$1:B8457, {"MAL ALIMI","ÜRETİM GİRİŞ"})) - VLOOKUP(C8458, 'STOK RAPORU'!$C$2:$I$1000, 4, 0))), 0)</f>
        <v>0</v>
      </c>
      <c r="U8458" s="22">
        <f t="shared" si="540"/>
        <v>0</v>
      </c>
      <c r="V8458">
        <f t="shared" si="541"/>
        <v>0</v>
      </c>
      <c r="W8458" s="22">
        <f t="shared" si="542"/>
        <v>0</v>
      </c>
    </row>
    <row r="8459" spans="1:23" hidden="1" x14ac:dyDescent="0.25">
      <c r="A8459" s="4"/>
      <c r="B8459" s="4"/>
      <c r="C8459" s="4"/>
      <c r="D8459" s="4"/>
      <c r="E8459" s="4"/>
      <c r="F8459" s="4"/>
      <c r="G8459" s="4"/>
      <c r="H8459" s="4"/>
      <c r="I8459" s="4"/>
      <c r="J8459" s="21">
        <f>IFERROR(VLOOKUP(C8459,'STOK KARTLARI'!$C$2:$K$2150,8,0),0)</f>
        <v>0</v>
      </c>
      <c r="K8459" s="21">
        <f t="shared" si="543"/>
        <v>0</v>
      </c>
      <c r="L8459" s="5">
        <f t="shared" si="545"/>
        <v>0</v>
      </c>
      <c r="M8459" s="4"/>
      <c r="N8459" s="4"/>
      <c r="O8459" s="5"/>
      <c r="P8459" s="5"/>
      <c r="Q8459" s="21">
        <f t="shared" si="546"/>
        <v>0</v>
      </c>
      <c r="R8459" s="21">
        <f t="shared" si="544"/>
        <v>0</v>
      </c>
      <c r="S8459" s="5">
        <f t="shared" si="547"/>
        <v>70007.077158325032</v>
      </c>
      <c r="T8459" cm="1">
        <f t="array" ref="T8459">IF(OR(B8459="MAL ALIMI", B8459="ÜRETİM GİRİŞ"), MIN(I8459, MAX(0, I8459 + SUM(SUMIFS($I$1:I8458, $C$1:C8458, C8459, $B$1:B8458, {"MAL ALIMI","ÜRETİM GİRİŞ"})) - VLOOKUP(C8459, 'STOK RAPORU'!$C$2:$I$1000, 4, 0))), 0)</f>
        <v>0</v>
      </c>
      <c r="U8459" s="22">
        <f t="shared" si="540"/>
        <v>0</v>
      </c>
      <c r="V8459">
        <f t="shared" si="541"/>
        <v>0</v>
      </c>
      <c r="W8459" s="22">
        <f t="shared" si="542"/>
        <v>0</v>
      </c>
    </row>
    <row r="8460" spans="1:23" hidden="1" x14ac:dyDescent="0.25">
      <c r="A8460" s="4"/>
      <c r="B8460" s="4"/>
      <c r="C8460" s="4"/>
      <c r="D8460" s="4"/>
      <c r="E8460" s="4"/>
      <c r="F8460" s="4"/>
      <c r="G8460" s="4"/>
      <c r="H8460" s="4"/>
      <c r="I8460" s="4"/>
      <c r="J8460" s="21">
        <f>IFERROR(VLOOKUP(C8460,'STOK KARTLARI'!$C$2:$K$2150,8,0),0)</f>
        <v>0</v>
      </c>
      <c r="K8460" s="21">
        <f t="shared" si="543"/>
        <v>0</v>
      </c>
      <c r="L8460" s="5">
        <f t="shared" si="545"/>
        <v>0</v>
      </c>
      <c r="M8460" s="4"/>
      <c r="N8460" s="4"/>
      <c r="O8460" s="5"/>
      <c r="P8460" s="5"/>
      <c r="Q8460" s="21">
        <f t="shared" si="546"/>
        <v>0</v>
      </c>
      <c r="R8460" s="21">
        <f t="shared" si="544"/>
        <v>0</v>
      </c>
      <c r="S8460" s="5">
        <f t="shared" si="547"/>
        <v>70007.077158325032</v>
      </c>
      <c r="T8460" cm="1">
        <f t="array" ref="T8460">IF(OR(B8460="MAL ALIMI", B8460="ÜRETİM GİRİŞ"), MIN(I8460, MAX(0, I8460 + SUM(SUMIFS($I$1:I8459, $C$1:C8459, C8460, $B$1:B8459, {"MAL ALIMI","ÜRETİM GİRİŞ"})) - VLOOKUP(C8460, 'STOK RAPORU'!$C$2:$I$1000, 4, 0))), 0)</f>
        <v>0</v>
      </c>
      <c r="U8460" s="22">
        <f t="shared" si="540"/>
        <v>0</v>
      </c>
      <c r="V8460">
        <f t="shared" si="541"/>
        <v>0</v>
      </c>
      <c r="W8460" s="22">
        <f t="shared" si="542"/>
        <v>0</v>
      </c>
    </row>
    <row r="8461" spans="1:23" hidden="1" x14ac:dyDescent="0.25">
      <c r="A8461" s="3"/>
      <c r="B8461" s="4"/>
      <c r="C8461" s="4"/>
      <c r="D8461" s="4"/>
      <c r="E8461" s="4"/>
      <c r="F8461" s="4"/>
      <c r="G8461" s="4"/>
      <c r="H8461" s="4"/>
      <c r="I8461" s="4"/>
      <c r="J8461" s="21">
        <f>IFERROR(VLOOKUP(C8461,'STOK KARTLARI'!$C$2:$K$2150,8,0),0)</f>
        <v>0</v>
      </c>
      <c r="K8461" s="21">
        <f t="shared" si="543"/>
        <v>0</v>
      </c>
      <c r="L8461" s="5">
        <f t="shared" si="545"/>
        <v>0</v>
      </c>
      <c r="M8461" s="4"/>
      <c r="N8461" s="4"/>
      <c r="O8461" s="5"/>
      <c r="P8461" s="5"/>
      <c r="Q8461" s="21">
        <f t="shared" si="546"/>
        <v>0</v>
      </c>
      <c r="R8461" s="21">
        <f t="shared" si="544"/>
        <v>0</v>
      </c>
      <c r="S8461" s="5">
        <f t="shared" si="547"/>
        <v>70007.077158325032</v>
      </c>
      <c r="T8461" cm="1">
        <f t="array" ref="T8461">IF(OR(B8461="MAL ALIMI", B8461="ÜRETİM GİRİŞ"), MIN(I8461, MAX(0, I8461 + SUM(SUMIFS($I$1:I8460, $C$1:C8460, C8461, $B$1:B8460, {"MAL ALIMI","ÜRETİM GİRİŞ"})) - VLOOKUP(C8461, 'STOK RAPORU'!$C$2:$I$1000, 4, 0))), 0)</f>
        <v>0</v>
      </c>
      <c r="U8461" s="22">
        <f t="shared" si="540"/>
        <v>0</v>
      </c>
      <c r="V8461">
        <f t="shared" si="541"/>
        <v>0</v>
      </c>
      <c r="W8461" s="22">
        <f t="shared" si="542"/>
        <v>0</v>
      </c>
    </row>
    <row r="8462" spans="1:23" hidden="1" x14ac:dyDescent="0.25">
      <c r="A8462" s="4"/>
      <c r="B8462" s="4"/>
      <c r="C8462" s="4"/>
      <c r="D8462" s="4"/>
      <c r="E8462" s="4"/>
      <c r="F8462" s="4"/>
      <c r="G8462" s="4"/>
      <c r="H8462" s="4"/>
      <c r="I8462" s="4"/>
      <c r="J8462" s="21">
        <f>IFERROR(VLOOKUP(C8462,'STOK KARTLARI'!$C$2:$K$2150,8,0),0)</f>
        <v>0</v>
      </c>
      <c r="K8462" s="21">
        <f t="shared" si="543"/>
        <v>0</v>
      </c>
      <c r="L8462" s="5">
        <f t="shared" si="545"/>
        <v>0</v>
      </c>
      <c r="M8462" s="4"/>
      <c r="N8462" s="4"/>
      <c r="O8462" s="5"/>
      <c r="P8462" s="5"/>
      <c r="Q8462" s="21">
        <f t="shared" si="546"/>
        <v>0</v>
      </c>
      <c r="R8462" s="21">
        <f t="shared" si="544"/>
        <v>0</v>
      </c>
      <c r="S8462" s="5">
        <f t="shared" si="547"/>
        <v>70007.077158325032</v>
      </c>
      <c r="T8462" cm="1">
        <f t="array" ref="T8462">IF(OR(B8462="MAL ALIMI", B8462="ÜRETİM GİRİŞ"), MIN(I8462, MAX(0, I8462 + SUM(SUMIFS($I$1:I8461, $C$1:C8461, C8462, $B$1:B8461, {"MAL ALIMI","ÜRETİM GİRİŞ"})) - VLOOKUP(C8462, 'STOK RAPORU'!$C$2:$I$1000, 4, 0))), 0)</f>
        <v>0</v>
      </c>
      <c r="U8462" s="22">
        <f t="shared" si="540"/>
        <v>0</v>
      </c>
      <c r="V8462">
        <f t="shared" si="541"/>
        <v>0</v>
      </c>
      <c r="W8462" s="22">
        <f t="shared" si="542"/>
        <v>0</v>
      </c>
    </row>
    <row r="8463" spans="1:23" hidden="1" x14ac:dyDescent="0.25">
      <c r="A8463" s="4"/>
      <c r="B8463" s="4"/>
      <c r="C8463" s="4"/>
      <c r="D8463" s="4"/>
      <c r="E8463" s="4"/>
      <c r="F8463" s="4"/>
      <c r="G8463" s="4"/>
      <c r="H8463" s="4"/>
      <c r="I8463" s="4"/>
      <c r="J8463" s="21">
        <f>IFERROR(VLOOKUP(C8463,'STOK KARTLARI'!$C$2:$K$2150,8,0),0)</f>
        <v>0</v>
      </c>
      <c r="K8463" s="21">
        <f t="shared" si="543"/>
        <v>0</v>
      </c>
      <c r="L8463" s="5">
        <f t="shared" si="545"/>
        <v>0</v>
      </c>
      <c r="M8463" s="4"/>
      <c r="N8463" s="4"/>
      <c r="O8463" s="5"/>
      <c r="P8463" s="5"/>
      <c r="Q8463" s="21">
        <f t="shared" si="546"/>
        <v>0</v>
      </c>
      <c r="R8463" s="21">
        <f t="shared" si="544"/>
        <v>0</v>
      </c>
      <c r="S8463" s="5">
        <f t="shared" si="547"/>
        <v>70007.077158325032</v>
      </c>
      <c r="T8463" cm="1">
        <f t="array" ref="T8463">IF(OR(B8463="MAL ALIMI", B8463="ÜRETİM GİRİŞ"), MIN(I8463, MAX(0, I8463 + SUM(SUMIFS($I$1:I8462, $C$1:C8462, C8463, $B$1:B8462, {"MAL ALIMI","ÜRETİM GİRİŞ"})) - VLOOKUP(C8463, 'STOK RAPORU'!$C$2:$I$1000, 4, 0))), 0)</f>
        <v>0</v>
      </c>
      <c r="U8463" s="22">
        <f t="shared" si="540"/>
        <v>0</v>
      </c>
      <c r="V8463">
        <f t="shared" si="541"/>
        <v>0</v>
      </c>
      <c r="W8463" s="22">
        <f t="shared" si="542"/>
        <v>0</v>
      </c>
    </row>
    <row r="8464" spans="1:23" hidden="1" x14ac:dyDescent="0.25">
      <c r="A8464" s="4"/>
      <c r="B8464" s="4"/>
      <c r="C8464" s="4"/>
      <c r="D8464" s="4"/>
      <c r="E8464" s="4"/>
      <c r="F8464" s="4"/>
      <c r="G8464" s="4"/>
      <c r="H8464" s="4"/>
      <c r="I8464" s="4"/>
      <c r="J8464" s="21">
        <f>IFERROR(VLOOKUP(C8464,'STOK KARTLARI'!$C$2:$K$2150,8,0),0)</f>
        <v>0</v>
      </c>
      <c r="K8464" s="21">
        <f t="shared" si="543"/>
        <v>0</v>
      </c>
      <c r="L8464" s="5">
        <f t="shared" si="545"/>
        <v>0</v>
      </c>
      <c r="M8464" s="4"/>
      <c r="N8464" s="4"/>
      <c r="O8464" s="5"/>
      <c r="P8464" s="5"/>
      <c r="Q8464" s="21">
        <f t="shared" si="546"/>
        <v>0</v>
      </c>
      <c r="R8464" s="21">
        <f t="shared" si="544"/>
        <v>0</v>
      </c>
      <c r="S8464" s="5">
        <f t="shared" si="547"/>
        <v>70007.077158325032</v>
      </c>
      <c r="T8464" cm="1">
        <f t="array" ref="T8464">IF(OR(B8464="MAL ALIMI", B8464="ÜRETİM GİRİŞ"), MIN(I8464, MAX(0, I8464 + SUM(SUMIFS($I$1:I8463, $C$1:C8463, C8464, $B$1:B8463, {"MAL ALIMI","ÜRETİM GİRİŞ"})) - VLOOKUP(C8464, 'STOK RAPORU'!$C$2:$I$1000, 4, 0))), 0)</f>
        <v>0</v>
      </c>
      <c r="U8464" s="22">
        <f t="shared" si="540"/>
        <v>0</v>
      </c>
      <c r="V8464">
        <f t="shared" si="541"/>
        <v>0</v>
      </c>
      <c r="W8464" s="22">
        <f t="shared" si="542"/>
        <v>0</v>
      </c>
    </row>
    <row r="8465" spans="1:23" hidden="1" x14ac:dyDescent="0.25">
      <c r="A8465" s="4"/>
      <c r="B8465" s="4"/>
      <c r="C8465" s="4"/>
      <c r="D8465" s="4"/>
      <c r="E8465" s="4"/>
      <c r="F8465" s="4"/>
      <c r="G8465" s="4"/>
      <c r="H8465" s="4"/>
      <c r="I8465" s="4"/>
      <c r="J8465" s="21">
        <f>IFERROR(VLOOKUP(C8465,'STOK KARTLARI'!$C$2:$K$2150,8,0),0)</f>
        <v>0</v>
      </c>
      <c r="K8465" s="21">
        <f t="shared" si="543"/>
        <v>0</v>
      </c>
      <c r="L8465" s="5">
        <f t="shared" si="545"/>
        <v>0</v>
      </c>
      <c r="M8465" s="4"/>
      <c r="N8465" s="4"/>
      <c r="O8465" s="5"/>
      <c r="P8465" s="5"/>
      <c r="Q8465" s="21">
        <f t="shared" si="546"/>
        <v>0</v>
      </c>
      <c r="R8465" s="21">
        <f t="shared" si="544"/>
        <v>0</v>
      </c>
      <c r="S8465" s="5">
        <f t="shared" si="547"/>
        <v>70007.077158325032</v>
      </c>
      <c r="T8465" cm="1">
        <f t="array" ref="T8465">IF(OR(B8465="MAL ALIMI", B8465="ÜRETİM GİRİŞ"), MIN(I8465, MAX(0, I8465 + SUM(SUMIFS($I$1:I8464, $C$1:C8464, C8465, $B$1:B8464, {"MAL ALIMI","ÜRETİM GİRİŞ"})) - VLOOKUP(C8465, 'STOK RAPORU'!$C$2:$I$1000, 4, 0))), 0)</f>
        <v>0</v>
      </c>
      <c r="U8465" s="22">
        <f t="shared" si="540"/>
        <v>0</v>
      </c>
      <c r="V8465">
        <f t="shared" si="541"/>
        <v>0</v>
      </c>
      <c r="W8465" s="22">
        <f t="shared" si="542"/>
        <v>0</v>
      </c>
    </row>
    <row r="8466" spans="1:23" hidden="1" x14ac:dyDescent="0.25">
      <c r="A8466" s="4"/>
      <c r="B8466" s="4"/>
      <c r="C8466" s="4"/>
      <c r="D8466" s="4"/>
      <c r="E8466" s="4"/>
      <c r="F8466" s="4"/>
      <c r="G8466" s="4"/>
      <c r="H8466" s="4"/>
      <c r="I8466" s="4"/>
      <c r="J8466" s="21">
        <f>IFERROR(VLOOKUP(C8466,'STOK KARTLARI'!$C$2:$K$2150,8,0),0)</f>
        <v>0</v>
      </c>
      <c r="K8466" s="21">
        <f t="shared" si="543"/>
        <v>0</v>
      </c>
      <c r="L8466" s="5">
        <f t="shared" si="545"/>
        <v>0</v>
      </c>
      <c r="M8466" s="4"/>
      <c r="N8466" s="4"/>
      <c r="O8466" s="5"/>
      <c r="P8466" s="5"/>
      <c r="Q8466" s="21">
        <f t="shared" si="546"/>
        <v>0</v>
      </c>
      <c r="R8466" s="21">
        <f t="shared" si="544"/>
        <v>0</v>
      </c>
      <c r="S8466" s="5">
        <f t="shared" si="547"/>
        <v>70007.077158325032</v>
      </c>
      <c r="T8466" cm="1">
        <f t="array" ref="T8466">IF(OR(B8466="MAL ALIMI", B8466="ÜRETİM GİRİŞ"), MIN(I8466, MAX(0, I8466 + SUM(SUMIFS($I$1:I8465, $C$1:C8465, C8466, $B$1:B8465, {"MAL ALIMI","ÜRETİM GİRİŞ"})) - VLOOKUP(C8466, 'STOK RAPORU'!$C$2:$I$1000, 4, 0))), 0)</f>
        <v>0</v>
      </c>
      <c r="U8466" s="22">
        <f t="shared" si="540"/>
        <v>0</v>
      </c>
      <c r="V8466">
        <f t="shared" si="541"/>
        <v>0</v>
      </c>
      <c r="W8466" s="22">
        <f t="shared" si="542"/>
        <v>0</v>
      </c>
    </row>
    <row r="8467" spans="1:23" hidden="1" x14ac:dyDescent="0.25">
      <c r="A8467" s="4"/>
      <c r="B8467" s="4"/>
      <c r="C8467" s="4"/>
      <c r="D8467" s="4"/>
      <c r="E8467" s="4"/>
      <c r="F8467" s="4"/>
      <c r="G8467" s="4"/>
      <c r="H8467" s="4"/>
      <c r="I8467" s="4"/>
      <c r="J8467" s="21">
        <f>IFERROR(VLOOKUP(C8467,'STOK KARTLARI'!$C$2:$K$2150,8,0),0)</f>
        <v>0</v>
      </c>
      <c r="K8467" s="21">
        <f t="shared" si="543"/>
        <v>0</v>
      </c>
      <c r="L8467" s="5">
        <f t="shared" si="545"/>
        <v>0</v>
      </c>
      <c r="M8467" s="4"/>
      <c r="N8467" s="4"/>
      <c r="O8467" s="5"/>
      <c r="P8467" s="5"/>
      <c r="Q8467" s="21">
        <f t="shared" si="546"/>
        <v>0</v>
      </c>
      <c r="R8467" s="21">
        <f t="shared" si="544"/>
        <v>0</v>
      </c>
      <c r="S8467" s="5">
        <f t="shared" si="547"/>
        <v>70007.077158325032</v>
      </c>
      <c r="T8467" cm="1">
        <f t="array" ref="T8467">IF(OR(B8467="MAL ALIMI", B8467="ÜRETİM GİRİŞ"), MIN(I8467, MAX(0, I8467 + SUM(SUMIFS($I$1:I8466, $C$1:C8466, C8467, $B$1:B8466, {"MAL ALIMI","ÜRETİM GİRİŞ"})) - VLOOKUP(C8467, 'STOK RAPORU'!$C$2:$I$1000, 4, 0))), 0)</f>
        <v>0</v>
      </c>
      <c r="U8467" s="22">
        <f t="shared" si="540"/>
        <v>0</v>
      </c>
      <c r="V8467">
        <f t="shared" si="541"/>
        <v>0</v>
      </c>
      <c r="W8467" s="22">
        <f t="shared" si="542"/>
        <v>0</v>
      </c>
    </row>
    <row r="8468" spans="1:23" hidden="1" x14ac:dyDescent="0.25">
      <c r="A8468" s="3"/>
      <c r="B8468" s="4"/>
      <c r="C8468" s="4"/>
      <c r="D8468" s="4"/>
      <c r="E8468" s="4"/>
      <c r="F8468" s="4"/>
      <c r="G8468" s="4"/>
      <c r="H8468" s="4"/>
      <c r="I8468" s="4"/>
      <c r="J8468" s="21">
        <f>IFERROR(VLOOKUP(C8468,'STOK KARTLARI'!$C$2:$K$2150,8,0),0)</f>
        <v>0</v>
      </c>
      <c r="K8468" s="21">
        <f t="shared" si="543"/>
        <v>0</v>
      </c>
      <c r="L8468" s="5">
        <f t="shared" si="545"/>
        <v>0</v>
      </c>
      <c r="M8468" s="4"/>
      <c r="N8468" s="4"/>
      <c r="O8468" s="5"/>
      <c r="P8468" s="5"/>
      <c r="Q8468" s="21">
        <f t="shared" si="546"/>
        <v>0</v>
      </c>
      <c r="R8468" s="21">
        <f t="shared" si="544"/>
        <v>0</v>
      </c>
      <c r="S8468" s="5">
        <f t="shared" si="547"/>
        <v>70007.077158325032</v>
      </c>
      <c r="T8468" cm="1">
        <f t="array" ref="T8468">IF(OR(B8468="MAL ALIMI", B8468="ÜRETİM GİRİŞ"), MIN(I8468, MAX(0, I8468 + SUM(SUMIFS($I$1:I8467, $C$1:C8467, C8468, $B$1:B8467, {"MAL ALIMI","ÜRETİM GİRİŞ"})) - VLOOKUP(C8468, 'STOK RAPORU'!$C$2:$I$1000, 4, 0))), 0)</f>
        <v>0</v>
      </c>
      <c r="U8468" s="22">
        <f t="shared" si="540"/>
        <v>0</v>
      </c>
      <c r="V8468">
        <f t="shared" si="541"/>
        <v>0</v>
      </c>
      <c r="W8468" s="22">
        <f t="shared" si="542"/>
        <v>0</v>
      </c>
    </row>
    <row r="8469" spans="1:23" hidden="1" x14ac:dyDescent="0.25">
      <c r="A8469" s="4"/>
      <c r="B8469" s="4"/>
      <c r="C8469" s="4"/>
      <c r="D8469" s="4"/>
      <c r="E8469" s="4"/>
      <c r="F8469" s="4"/>
      <c r="G8469" s="4"/>
      <c r="H8469" s="4"/>
      <c r="I8469" s="4"/>
      <c r="J8469" s="21">
        <f>IFERROR(VLOOKUP(C8469,'STOK KARTLARI'!$C$2:$K$2150,8,0),0)</f>
        <v>0</v>
      </c>
      <c r="K8469" s="21">
        <f t="shared" si="543"/>
        <v>0</v>
      </c>
      <c r="L8469" s="5">
        <f t="shared" si="545"/>
        <v>0</v>
      </c>
      <c r="M8469" s="4"/>
      <c r="N8469" s="4"/>
      <c r="O8469" s="5"/>
      <c r="P8469" s="5"/>
      <c r="Q8469" s="21">
        <f t="shared" si="546"/>
        <v>0</v>
      </c>
      <c r="R8469" s="21">
        <f t="shared" si="544"/>
        <v>0</v>
      </c>
      <c r="S8469" s="5">
        <f t="shared" si="547"/>
        <v>70007.077158325032</v>
      </c>
      <c r="T8469" cm="1">
        <f t="array" ref="T8469">IF(OR(B8469="MAL ALIMI", B8469="ÜRETİM GİRİŞ"), MIN(I8469, MAX(0, I8469 + SUM(SUMIFS($I$1:I8468, $C$1:C8468, C8469, $B$1:B8468, {"MAL ALIMI","ÜRETİM GİRİŞ"})) - VLOOKUP(C8469, 'STOK RAPORU'!$C$2:$I$1000, 4, 0))), 0)</f>
        <v>0</v>
      </c>
      <c r="U8469" s="22">
        <f t="shared" si="540"/>
        <v>0</v>
      </c>
      <c r="V8469">
        <f t="shared" si="541"/>
        <v>0</v>
      </c>
      <c r="W8469" s="22">
        <f t="shared" si="542"/>
        <v>0</v>
      </c>
    </row>
    <row r="8470" spans="1:23" hidden="1" x14ac:dyDescent="0.25">
      <c r="A8470" s="4"/>
      <c r="B8470" s="4"/>
      <c r="C8470" s="4"/>
      <c r="D8470" s="4"/>
      <c r="E8470" s="4"/>
      <c r="F8470" s="4"/>
      <c r="G8470" s="4"/>
      <c r="H8470" s="4"/>
      <c r="I8470" s="4"/>
      <c r="J8470" s="21">
        <f>IFERROR(VLOOKUP(C8470,'STOK KARTLARI'!$C$2:$K$2150,8,0),0)</f>
        <v>0</v>
      </c>
      <c r="K8470" s="21">
        <f t="shared" si="543"/>
        <v>0</v>
      </c>
      <c r="L8470" s="5">
        <f t="shared" si="545"/>
        <v>0</v>
      </c>
      <c r="M8470" s="4"/>
      <c r="N8470" s="4"/>
      <c r="O8470" s="5"/>
      <c r="P8470" s="5"/>
      <c r="Q8470" s="21">
        <f t="shared" si="546"/>
        <v>0</v>
      </c>
      <c r="R8470" s="21">
        <f t="shared" si="544"/>
        <v>0</v>
      </c>
      <c r="S8470" s="5">
        <f t="shared" si="547"/>
        <v>70007.077158325032</v>
      </c>
      <c r="T8470" cm="1">
        <f t="array" ref="T8470">IF(OR(B8470="MAL ALIMI", B8470="ÜRETİM GİRİŞ"), MIN(I8470, MAX(0, I8470 + SUM(SUMIFS($I$1:I8469, $C$1:C8469, C8470, $B$1:B8469, {"MAL ALIMI","ÜRETİM GİRİŞ"})) - VLOOKUP(C8470, 'STOK RAPORU'!$C$2:$I$1000, 4, 0))), 0)</f>
        <v>0</v>
      </c>
      <c r="U8470" s="22">
        <f t="shared" si="540"/>
        <v>0</v>
      </c>
      <c r="V8470">
        <f t="shared" si="541"/>
        <v>0</v>
      </c>
      <c r="W8470" s="22">
        <f t="shared" si="542"/>
        <v>0</v>
      </c>
    </row>
    <row r="8471" spans="1:23" hidden="1" x14ac:dyDescent="0.25">
      <c r="A8471" s="4"/>
      <c r="B8471" s="4"/>
      <c r="C8471" s="4"/>
      <c r="D8471" s="4"/>
      <c r="E8471" s="4"/>
      <c r="F8471" s="4"/>
      <c r="G8471" s="4"/>
      <c r="H8471" s="4"/>
      <c r="I8471" s="4"/>
      <c r="J8471" s="21">
        <f>IFERROR(VLOOKUP(C8471,'STOK KARTLARI'!$C$2:$K$2150,8,0),0)</f>
        <v>0</v>
      </c>
      <c r="K8471" s="21">
        <f t="shared" si="543"/>
        <v>0</v>
      </c>
      <c r="L8471" s="5">
        <f t="shared" si="545"/>
        <v>0</v>
      </c>
      <c r="M8471" s="4"/>
      <c r="N8471" s="4"/>
      <c r="O8471" s="5"/>
      <c r="P8471" s="5"/>
      <c r="Q8471" s="21">
        <f t="shared" si="546"/>
        <v>0</v>
      </c>
      <c r="R8471" s="21">
        <f t="shared" si="544"/>
        <v>0</v>
      </c>
      <c r="S8471" s="5">
        <f t="shared" si="547"/>
        <v>70007.077158325032</v>
      </c>
      <c r="T8471" cm="1">
        <f t="array" ref="T8471">IF(OR(B8471="MAL ALIMI", B8471="ÜRETİM GİRİŞ"), MIN(I8471, MAX(0, I8471 + SUM(SUMIFS($I$1:I8470, $C$1:C8470, C8471, $B$1:B8470, {"MAL ALIMI","ÜRETİM GİRİŞ"})) - VLOOKUP(C8471, 'STOK RAPORU'!$C$2:$I$1000, 4, 0))), 0)</f>
        <v>0</v>
      </c>
      <c r="U8471" s="22">
        <f t="shared" si="540"/>
        <v>0</v>
      </c>
      <c r="V8471">
        <f t="shared" si="541"/>
        <v>0</v>
      </c>
      <c r="W8471" s="22">
        <f t="shared" si="542"/>
        <v>0</v>
      </c>
    </row>
    <row r="8472" spans="1:23" hidden="1" x14ac:dyDescent="0.25">
      <c r="A8472" s="4"/>
      <c r="B8472" s="4"/>
      <c r="C8472" s="4"/>
      <c r="D8472" s="4"/>
      <c r="E8472" s="4"/>
      <c r="F8472" s="4"/>
      <c r="G8472" s="4"/>
      <c r="H8472" s="4"/>
      <c r="I8472" s="4"/>
      <c r="J8472" s="21">
        <f>IFERROR(VLOOKUP(C8472,'STOK KARTLARI'!$C$2:$K$2150,8,0),0)</f>
        <v>0</v>
      </c>
      <c r="K8472" s="21">
        <f t="shared" si="543"/>
        <v>0</v>
      </c>
      <c r="L8472" s="5">
        <f t="shared" si="545"/>
        <v>0</v>
      </c>
      <c r="M8472" s="4"/>
      <c r="N8472" s="4"/>
      <c r="O8472" s="5"/>
      <c r="P8472" s="5"/>
      <c r="Q8472" s="21">
        <f t="shared" si="546"/>
        <v>0</v>
      </c>
      <c r="R8472" s="21">
        <f t="shared" si="544"/>
        <v>0</v>
      </c>
      <c r="S8472" s="5">
        <f t="shared" si="547"/>
        <v>70007.077158325032</v>
      </c>
      <c r="T8472" cm="1">
        <f t="array" ref="T8472">IF(OR(B8472="MAL ALIMI", B8472="ÜRETİM GİRİŞ"), MIN(I8472, MAX(0, I8472 + SUM(SUMIFS($I$1:I8471, $C$1:C8471, C8472, $B$1:B8471, {"MAL ALIMI","ÜRETİM GİRİŞ"})) - VLOOKUP(C8472, 'STOK RAPORU'!$C$2:$I$1000, 4, 0))), 0)</f>
        <v>0</v>
      </c>
      <c r="U8472" s="22">
        <f t="shared" si="540"/>
        <v>0</v>
      </c>
      <c r="V8472">
        <f t="shared" si="541"/>
        <v>0</v>
      </c>
      <c r="W8472" s="22">
        <f t="shared" si="542"/>
        <v>0</v>
      </c>
    </row>
    <row r="8473" spans="1:23" hidden="1" x14ac:dyDescent="0.25">
      <c r="A8473" s="4"/>
      <c r="B8473" s="4"/>
      <c r="C8473" s="4"/>
      <c r="D8473" s="4"/>
      <c r="E8473" s="4"/>
      <c r="F8473" s="4"/>
      <c r="G8473" s="4"/>
      <c r="H8473" s="4"/>
      <c r="I8473" s="4"/>
      <c r="J8473" s="21">
        <f>IFERROR(VLOOKUP(C8473,'STOK KARTLARI'!$C$2:$K$2150,8,0),0)</f>
        <v>0</v>
      </c>
      <c r="K8473" s="21">
        <f t="shared" si="543"/>
        <v>0</v>
      </c>
      <c r="L8473" s="5">
        <f t="shared" si="545"/>
        <v>0</v>
      </c>
      <c r="M8473" s="4"/>
      <c r="N8473" s="4"/>
      <c r="O8473" s="5"/>
      <c r="P8473" s="5"/>
      <c r="Q8473" s="21">
        <f t="shared" si="546"/>
        <v>0</v>
      </c>
      <c r="R8473" s="21">
        <f t="shared" si="544"/>
        <v>0</v>
      </c>
      <c r="S8473" s="5">
        <f t="shared" si="547"/>
        <v>70007.077158325032</v>
      </c>
      <c r="T8473" cm="1">
        <f t="array" ref="T8473">IF(OR(B8473="MAL ALIMI", B8473="ÜRETİM GİRİŞ"), MIN(I8473, MAX(0, I8473 + SUM(SUMIFS($I$1:I8472, $C$1:C8472, C8473, $B$1:B8472, {"MAL ALIMI","ÜRETİM GİRİŞ"})) - VLOOKUP(C8473, 'STOK RAPORU'!$C$2:$I$1000, 4, 0))), 0)</f>
        <v>0</v>
      </c>
      <c r="U8473" s="22">
        <f t="shared" si="540"/>
        <v>0</v>
      </c>
      <c r="V8473">
        <f t="shared" si="541"/>
        <v>0</v>
      </c>
      <c r="W8473" s="22">
        <f t="shared" si="542"/>
        <v>0</v>
      </c>
    </row>
    <row r="8474" spans="1:23" hidden="1" x14ac:dyDescent="0.25">
      <c r="A8474" s="4"/>
      <c r="B8474" s="4"/>
      <c r="C8474" s="4"/>
      <c r="D8474" s="4"/>
      <c r="E8474" s="4"/>
      <c r="F8474" s="4"/>
      <c r="G8474" s="4"/>
      <c r="H8474" s="4"/>
      <c r="I8474" s="4"/>
      <c r="J8474" s="21">
        <f>IFERROR(VLOOKUP(C8474,'STOK KARTLARI'!$C$2:$K$2150,8,0),0)</f>
        <v>0</v>
      </c>
      <c r="K8474" s="21">
        <f t="shared" si="543"/>
        <v>0</v>
      </c>
      <c r="L8474" s="5">
        <f t="shared" si="545"/>
        <v>0</v>
      </c>
      <c r="M8474" s="4"/>
      <c r="N8474" s="4"/>
      <c r="O8474" s="5"/>
      <c r="P8474" s="5"/>
      <c r="Q8474" s="21">
        <f t="shared" si="546"/>
        <v>0</v>
      </c>
      <c r="R8474" s="21">
        <f t="shared" si="544"/>
        <v>0</v>
      </c>
      <c r="S8474" s="5">
        <f t="shared" si="547"/>
        <v>70007.077158325032</v>
      </c>
      <c r="T8474" cm="1">
        <f t="array" ref="T8474">IF(OR(B8474="MAL ALIMI", B8474="ÜRETİM GİRİŞ"), MIN(I8474, MAX(0, I8474 + SUM(SUMIFS($I$1:I8473, $C$1:C8473, C8474, $B$1:B8473, {"MAL ALIMI","ÜRETİM GİRİŞ"})) - VLOOKUP(C8474, 'STOK RAPORU'!$C$2:$I$1000, 4, 0))), 0)</f>
        <v>0</v>
      </c>
      <c r="U8474" s="22">
        <f t="shared" si="540"/>
        <v>0</v>
      </c>
      <c r="V8474">
        <f t="shared" si="541"/>
        <v>0</v>
      </c>
      <c r="W8474" s="22">
        <f t="shared" si="542"/>
        <v>0</v>
      </c>
    </row>
    <row r="8475" spans="1:23" hidden="1" x14ac:dyDescent="0.25">
      <c r="A8475" s="3"/>
      <c r="B8475" s="4"/>
      <c r="C8475" s="4"/>
      <c r="D8475" s="4"/>
      <c r="E8475" s="4"/>
      <c r="F8475" s="4"/>
      <c r="G8475" s="4"/>
      <c r="H8475" s="4"/>
      <c r="I8475" s="4"/>
      <c r="J8475" s="21">
        <f>IFERROR(VLOOKUP(C8475,'STOK KARTLARI'!$C$2:$K$2150,8,0),0)</f>
        <v>0</v>
      </c>
      <c r="K8475" s="21">
        <f t="shared" si="543"/>
        <v>0</v>
      </c>
      <c r="L8475" s="5">
        <f t="shared" si="545"/>
        <v>0</v>
      </c>
      <c r="M8475" s="4"/>
      <c r="N8475" s="4"/>
      <c r="O8475" s="5"/>
      <c r="P8475" s="5"/>
      <c r="Q8475" s="21">
        <f t="shared" si="546"/>
        <v>0</v>
      </c>
      <c r="R8475" s="21">
        <f t="shared" si="544"/>
        <v>0</v>
      </c>
      <c r="S8475" s="5">
        <f t="shared" si="547"/>
        <v>70007.077158325032</v>
      </c>
      <c r="T8475" cm="1">
        <f t="array" ref="T8475">IF(OR(B8475="MAL ALIMI", B8475="ÜRETİM GİRİŞ"), MIN(I8475, MAX(0, I8475 + SUM(SUMIFS($I$1:I8474, $C$1:C8474, C8475, $B$1:B8474, {"MAL ALIMI","ÜRETİM GİRİŞ"})) - VLOOKUP(C8475, 'STOK RAPORU'!$C$2:$I$1000, 4, 0))), 0)</f>
        <v>0</v>
      </c>
      <c r="U8475" s="22">
        <f t="shared" si="540"/>
        <v>0</v>
      </c>
      <c r="V8475">
        <f t="shared" si="541"/>
        <v>0</v>
      </c>
      <c r="W8475" s="22">
        <f t="shared" si="542"/>
        <v>0</v>
      </c>
    </row>
    <row r="8476" spans="1:23" hidden="1" x14ac:dyDescent="0.25">
      <c r="A8476" s="4"/>
      <c r="B8476" s="4"/>
      <c r="C8476" s="4"/>
      <c r="D8476" s="4"/>
      <c r="E8476" s="4"/>
      <c r="F8476" s="4"/>
      <c r="G8476" s="4"/>
      <c r="H8476" s="4"/>
      <c r="I8476" s="4"/>
      <c r="J8476" s="21">
        <f>IFERROR(VLOOKUP(C8476,'STOK KARTLARI'!$C$2:$K$2150,8,0),0)</f>
        <v>0</v>
      </c>
      <c r="K8476" s="21">
        <f t="shared" si="543"/>
        <v>0</v>
      </c>
      <c r="L8476" s="5">
        <f t="shared" si="545"/>
        <v>0</v>
      </c>
      <c r="M8476" s="4"/>
      <c r="N8476" s="4"/>
      <c r="O8476" s="5"/>
      <c r="P8476" s="5"/>
      <c r="Q8476" s="21">
        <f t="shared" si="546"/>
        <v>0</v>
      </c>
      <c r="R8476" s="21">
        <f t="shared" si="544"/>
        <v>0</v>
      </c>
      <c r="S8476" s="5">
        <f t="shared" si="547"/>
        <v>70007.077158325032</v>
      </c>
      <c r="T8476" cm="1">
        <f t="array" ref="T8476">IF(OR(B8476="MAL ALIMI", B8476="ÜRETİM GİRİŞ"), MIN(I8476, MAX(0, I8476 + SUM(SUMIFS($I$1:I8475, $C$1:C8475, C8476, $B$1:B8475, {"MAL ALIMI","ÜRETİM GİRİŞ"})) - VLOOKUP(C8476, 'STOK RAPORU'!$C$2:$I$1000, 4, 0))), 0)</f>
        <v>0</v>
      </c>
      <c r="U8476" s="22">
        <f t="shared" si="540"/>
        <v>0</v>
      </c>
      <c r="V8476">
        <f t="shared" si="541"/>
        <v>0</v>
      </c>
      <c r="W8476" s="22">
        <f t="shared" si="542"/>
        <v>0</v>
      </c>
    </row>
    <row r="8477" spans="1:23" hidden="1" x14ac:dyDescent="0.25">
      <c r="A8477" s="4"/>
      <c r="B8477" s="4"/>
      <c r="C8477" s="4"/>
      <c r="D8477" s="4"/>
      <c r="E8477" s="4"/>
      <c r="F8477" s="4"/>
      <c r="G8477" s="4"/>
      <c r="H8477" s="4"/>
      <c r="I8477" s="4"/>
      <c r="J8477" s="21">
        <f>IFERROR(VLOOKUP(C8477,'STOK KARTLARI'!$C$2:$K$2150,8,0),0)</f>
        <v>0</v>
      </c>
      <c r="K8477" s="21">
        <f t="shared" si="543"/>
        <v>0</v>
      </c>
      <c r="L8477" s="5">
        <f t="shared" si="545"/>
        <v>0</v>
      </c>
      <c r="M8477" s="4"/>
      <c r="N8477" s="4"/>
      <c r="O8477" s="5"/>
      <c r="P8477" s="5"/>
      <c r="Q8477" s="21">
        <f t="shared" si="546"/>
        <v>0</v>
      </c>
      <c r="R8477" s="21">
        <f t="shared" si="544"/>
        <v>0</v>
      </c>
      <c r="S8477" s="5">
        <f t="shared" si="547"/>
        <v>70007.077158325032</v>
      </c>
      <c r="T8477" cm="1">
        <f t="array" ref="T8477">IF(OR(B8477="MAL ALIMI", B8477="ÜRETİM GİRİŞ"), MIN(I8477, MAX(0, I8477 + SUM(SUMIFS($I$1:I8476, $C$1:C8476, C8477, $B$1:B8476, {"MAL ALIMI","ÜRETİM GİRİŞ"})) - VLOOKUP(C8477, 'STOK RAPORU'!$C$2:$I$1000, 4, 0))), 0)</f>
        <v>0</v>
      </c>
      <c r="U8477" s="22">
        <f t="shared" si="540"/>
        <v>0</v>
      </c>
      <c r="V8477">
        <f t="shared" si="541"/>
        <v>0</v>
      </c>
      <c r="W8477" s="22">
        <f t="shared" si="542"/>
        <v>0</v>
      </c>
    </row>
    <row r="8478" spans="1:23" hidden="1" x14ac:dyDescent="0.25">
      <c r="A8478" s="4"/>
      <c r="B8478" s="4"/>
      <c r="C8478" s="4"/>
      <c r="D8478" s="4"/>
      <c r="E8478" s="4"/>
      <c r="F8478" s="4"/>
      <c r="G8478" s="4"/>
      <c r="H8478" s="4"/>
      <c r="I8478" s="4"/>
      <c r="J8478" s="21">
        <f>IFERROR(VLOOKUP(C8478,'STOK KARTLARI'!$C$2:$K$2150,8,0),0)</f>
        <v>0</v>
      </c>
      <c r="K8478" s="21">
        <f t="shared" si="543"/>
        <v>0</v>
      </c>
      <c r="L8478" s="5">
        <f t="shared" si="545"/>
        <v>0</v>
      </c>
      <c r="M8478" s="4"/>
      <c r="N8478" s="4"/>
      <c r="O8478" s="5"/>
      <c r="P8478" s="5"/>
      <c r="Q8478" s="21">
        <f t="shared" si="546"/>
        <v>0</v>
      </c>
      <c r="R8478" s="21">
        <f t="shared" si="544"/>
        <v>0</v>
      </c>
      <c r="S8478" s="5">
        <f t="shared" si="547"/>
        <v>70007.077158325032</v>
      </c>
      <c r="T8478" cm="1">
        <f t="array" ref="T8478">IF(OR(B8478="MAL ALIMI", B8478="ÜRETİM GİRİŞ"), MIN(I8478, MAX(0, I8478 + SUM(SUMIFS($I$1:I8477, $C$1:C8477, C8478, $B$1:B8477, {"MAL ALIMI","ÜRETİM GİRİŞ"})) - VLOOKUP(C8478, 'STOK RAPORU'!$C$2:$I$1000, 4, 0))), 0)</f>
        <v>0</v>
      </c>
      <c r="U8478" s="22">
        <f t="shared" si="540"/>
        <v>0</v>
      </c>
      <c r="V8478">
        <f t="shared" si="541"/>
        <v>0</v>
      </c>
      <c r="W8478" s="22">
        <f t="shared" si="542"/>
        <v>0</v>
      </c>
    </row>
    <row r="8479" spans="1:23" hidden="1" x14ac:dyDescent="0.25">
      <c r="A8479" s="4"/>
      <c r="B8479" s="4"/>
      <c r="C8479" s="4"/>
      <c r="D8479" s="4"/>
      <c r="E8479" s="4"/>
      <c r="F8479" s="4"/>
      <c r="G8479" s="4"/>
      <c r="H8479" s="4"/>
      <c r="I8479" s="4"/>
      <c r="J8479" s="21">
        <f>IFERROR(VLOOKUP(C8479,'STOK KARTLARI'!$C$2:$K$2150,8,0),0)</f>
        <v>0</v>
      </c>
      <c r="K8479" s="21">
        <f t="shared" si="543"/>
        <v>0</v>
      </c>
      <c r="L8479" s="5">
        <f t="shared" si="545"/>
        <v>0</v>
      </c>
      <c r="M8479" s="4"/>
      <c r="N8479" s="4"/>
      <c r="O8479" s="5"/>
      <c r="P8479" s="5"/>
      <c r="Q8479" s="21">
        <f t="shared" si="546"/>
        <v>0</v>
      </c>
      <c r="R8479" s="21">
        <f t="shared" si="544"/>
        <v>0</v>
      </c>
      <c r="S8479" s="5">
        <f t="shared" si="547"/>
        <v>70007.077158325032</v>
      </c>
      <c r="T8479" cm="1">
        <f t="array" ref="T8479">IF(OR(B8479="MAL ALIMI", B8479="ÜRETİM GİRİŞ"), MIN(I8479, MAX(0, I8479 + SUM(SUMIFS($I$1:I8478, $C$1:C8478, C8479, $B$1:B8478, {"MAL ALIMI","ÜRETİM GİRİŞ"})) - VLOOKUP(C8479, 'STOK RAPORU'!$C$2:$I$1000, 4, 0))), 0)</f>
        <v>0</v>
      </c>
      <c r="U8479" s="22">
        <f t="shared" si="540"/>
        <v>0</v>
      </c>
      <c r="V8479">
        <f t="shared" si="541"/>
        <v>0</v>
      </c>
      <c r="W8479" s="22">
        <f t="shared" si="542"/>
        <v>0</v>
      </c>
    </row>
    <row r="8480" spans="1:23" hidden="1" x14ac:dyDescent="0.25">
      <c r="A8480" s="4"/>
      <c r="B8480" s="4"/>
      <c r="C8480" s="4"/>
      <c r="D8480" s="4"/>
      <c r="E8480" s="4"/>
      <c r="F8480" s="4"/>
      <c r="G8480" s="4"/>
      <c r="H8480" s="4"/>
      <c r="I8480" s="4"/>
      <c r="J8480" s="21">
        <f>IFERROR(VLOOKUP(C8480,'STOK KARTLARI'!$C$2:$K$2150,8,0),0)</f>
        <v>0</v>
      </c>
      <c r="K8480" s="21">
        <f t="shared" si="543"/>
        <v>0</v>
      </c>
      <c r="L8480" s="5">
        <f t="shared" si="545"/>
        <v>0</v>
      </c>
      <c r="M8480" s="4"/>
      <c r="N8480" s="4"/>
      <c r="O8480" s="5"/>
      <c r="P8480" s="5"/>
      <c r="Q8480" s="21">
        <f t="shared" si="546"/>
        <v>0</v>
      </c>
      <c r="R8480" s="21">
        <f t="shared" si="544"/>
        <v>0</v>
      </c>
      <c r="S8480" s="5">
        <f t="shared" si="547"/>
        <v>70007.077158325032</v>
      </c>
      <c r="T8480" cm="1">
        <f t="array" ref="T8480">IF(OR(B8480="MAL ALIMI", B8480="ÜRETİM GİRİŞ"), MIN(I8480, MAX(0, I8480 + SUM(SUMIFS($I$1:I8479, $C$1:C8479, C8480, $B$1:B8479, {"MAL ALIMI","ÜRETİM GİRİŞ"})) - VLOOKUP(C8480, 'STOK RAPORU'!$C$2:$I$1000, 4, 0))), 0)</f>
        <v>0</v>
      </c>
      <c r="U8480" s="22">
        <f t="shared" si="540"/>
        <v>0</v>
      </c>
      <c r="V8480">
        <f t="shared" si="541"/>
        <v>0</v>
      </c>
      <c r="W8480" s="22">
        <f t="shared" si="542"/>
        <v>0</v>
      </c>
    </row>
    <row r="8481" spans="1:23" hidden="1" x14ac:dyDescent="0.25">
      <c r="A8481" s="4"/>
      <c r="B8481" s="4"/>
      <c r="C8481" s="4"/>
      <c r="D8481" s="4"/>
      <c r="E8481" s="4"/>
      <c r="F8481" s="4"/>
      <c r="G8481" s="4"/>
      <c r="H8481" s="4"/>
      <c r="I8481" s="4"/>
      <c r="J8481" s="21">
        <f>IFERROR(VLOOKUP(C8481,'STOK KARTLARI'!$C$2:$K$2150,8,0),0)</f>
        <v>0</v>
      </c>
      <c r="K8481" s="21">
        <f t="shared" si="543"/>
        <v>0</v>
      </c>
      <c r="L8481" s="5">
        <f t="shared" si="545"/>
        <v>0</v>
      </c>
      <c r="M8481" s="4"/>
      <c r="N8481" s="4"/>
      <c r="O8481" s="5"/>
      <c r="P8481" s="5"/>
      <c r="Q8481" s="21">
        <f t="shared" si="546"/>
        <v>0</v>
      </c>
      <c r="R8481" s="21">
        <f t="shared" si="544"/>
        <v>0</v>
      </c>
      <c r="S8481" s="5">
        <f t="shared" si="547"/>
        <v>70007.077158325032</v>
      </c>
      <c r="T8481" cm="1">
        <f t="array" ref="T8481">IF(OR(B8481="MAL ALIMI", B8481="ÜRETİM GİRİŞ"), MIN(I8481, MAX(0, I8481 + SUM(SUMIFS($I$1:I8480, $C$1:C8480, C8481, $B$1:B8480, {"MAL ALIMI","ÜRETİM GİRİŞ"})) - VLOOKUP(C8481, 'STOK RAPORU'!$C$2:$I$1000, 4, 0))), 0)</f>
        <v>0</v>
      </c>
      <c r="U8481" s="22">
        <f t="shared" si="540"/>
        <v>0</v>
      </c>
      <c r="V8481">
        <f t="shared" si="541"/>
        <v>0</v>
      </c>
      <c r="W8481" s="22">
        <f t="shared" si="542"/>
        <v>0</v>
      </c>
    </row>
    <row r="8482" spans="1:23" hidden="1" x14ac:dyDescent="0.25">
      <c r="A8482" s="3"/>
      <c r="B8482" s="4"/>
      <c r="C8482" s="4"/>
      <c r="D8482" s="4"/>
      <c r="E8482" s="4"/>
      <c r="F8482" s="4"/>
      <c r="G8482" s="4"/>
      <c r="H8482" s="4"/>
      <c r="I8482" s="4"/>
      <c r="J8482" s="21">
        <f>IFERROR(VLOOKUP(C8482,'STOK KARTLARI'!$C$2:$K$2150,8,0),0)</f>
        <v>0</v>
      </c>
      <c r="K8482" s="21">
        <f t="shared" si="543"/>
        <v>0</v>
      </c>
      <c r="L8482" s="5">
        <f t="shared" si="545"/>
        <v>0</v>
      </c>
      <c r="M8482" s="4"/>
      <c r="N8482" s="4"/>
      <c r="O8482" s="5"/>
      <c r="P8482" s="5"/>
      <c r="Q8482" s="21">
        <f t="shared" si="546"/>
        <v>0</v>
      </c>
      <c r="R8482" s="21">
        <f t="shared" si="544"/>
        <v>0</v>
      </c>
      <c r="S8482" s="5">
        <f t="shared" si="547"/>
        <v>70007.077158325032</v>
      </c>
      <c r="T8482" cm="1">
        <f t="array" ref="T8482">IF(OR(B8482="MAL ALIMI", B8482="ÜRETİM GİRİŞ"), MIN(I8482, MAX(0, I8482 + SUM(SUMIFS($I$1:I8481, $C$1:C8481, C8482, $B$1:B8481, {"MAL ALIMI","ÜRETİM GİRİŞ"})) - VLOOKUP(C8482, 'STOK RAPORU'!$C$2:$I$1000, 4, 0))), 0)</f>
        <v>0</v>
      </c>
      <c r="U8482" s="22">
        <f t="shared" si="540"/>
        <v>0</v>
      </c>
      <c r="V8482">
        <f t="shared" si="541"/>
        <v>0</v>
      </c>
      <c r="W8482" s="22">
        <f t="shared" si="542"/>
        <v>0</v>
      </c>
    </row>
    <row r="8483" spans="1:23" hidden="1" x14ac:dyDescent="0.25">
      <c r="A8483" s="4"/>
      <c r="B8483" s="4"/>
      <c r="C8483" s="4"/>
      <c r="D8483" s="4"/>
      <c r="E8483" s="4"/>
      <c r="F8483" s="4"/>
      <c r="G8483" s="4"/>
      <c r="H8483" s="4"/>
      <c r="I8483" s="4"/>
      <c r="J8483" s="21">
        <f>IFERROR(VLOOKUP(C8483,'STOK KARTLARI'!$C$2:$K$2150,8,0),0)</f>
        <v>0</v>
      </c>
      <c r="K8483" s="21">
        <f t="shared" si="543"/>
        <v>0</v>
      </c>
      <c r="L8483" s="5">
        <f t="shared" si="545"/>
        <v>0</v>
      </c>
      <c r="M8483" s="4"/>
      <c r="N8483" s="4"/>
      <c r="O8483" s="5"/>
      <c r="P8483" s="5"/>
      <c r="Q8483" s="21">
        <f t="shared" si="546"/>
        <v>0</v>
      </c>
      <c r="R8483" s="21">
        <f t="shared" si="544"/>
        <v>0</v>
      </c>
      <c r="S8483" s="5">
        <f t="shared" si="547"/>
        <v>70007.077158325032</v>
      </c>
      <c r="T8483" cm="1">
        <f t="array" ref="T8483">IF(OR(B8483="MAL ALIMI", B8483="ÜRETİM GİRİŞ"), MIN(I8483, MAX(0, I8483 + SUM(SUMIFS($I$1:I8482, $C$1:C8482, C8483, $B$1:B8482, {"MAL ALIMI","ÜRETİM GİRİŞ"})) - VLOOKUP(C8483, 'STOK RAPORU'!$C$2:$I$1000, 4, 0))), 0)</f>
        <v>0</v>
      </c>
      <c r="U8483" s="22">
        <f t="shared" si="540"/>
        <v>0</v>
      </c>
      <c r="V8483">
        <f t="shared" si="541"/>
        <v>0</v>
      </c>
      <c r="W8483" s="22">
        <f t="shared" si="542"/>
        <v>0</v>
      </c>
    </row>
    <row r="8484" spans="1:23" hidden="1" x14ac:dyDescent="0.25">
      <c r="A8484" s="4"/>
      <c r="B8484" s="4"/>
      <c r="C8484" s="4"/>
      <c r="D8484" s="4"/>
      <c r="E8484" s="4"/>
      <c r="F8484" s="4"/>
      <c r="G8484" s="4"/>
      <c r="H8484" s="4"/>
      <c r="I8484" s="4"/>
      <c r="J8484" s="21">
        <f>IFERROR(VLOOKUP(C8484,'STOK KARTLARI'!$C$2:$K$2150,8,0),0)</f>
        <v>0</v>
      </c>
      <c r="K8484" s="21">
        <f t="shared" si="543"/>
        <v>0</v>
      </c>
      <c r="L8484" s="5">
        <f t="shared" si="545"/>
        <v>0</v>
      </c>
      <c r="M8484" s="4"/>
      <c r="N8484" s="4"/>
      <c r="O8484" s="5"/>
      <c r="P8484" s="5"/>
      <c r="Q8484" s="21">
        <f t="shared" si="546"/>
        <v>0</v>
      </c>
      <c r="R8484" s="21">
        <f t="shared" si="544"/>
        <v>0</v>
      </c>
      <c r="S8484" s="5">
        <f t="shared" si="547"/>
        <v>70007.077158325032</v>
      </c>
      <c r="T8484" cm="1">
        <f t="array" ref="T8484">IF(OR(B8484="MAL ALIMI", B8484="ÜRETİM GİRİŞ"), MIN(I8484, MAX(0, I8484 + SUM(SUMIFS($I$1:I8483, $C$1:C8483, C8484, $B$1:B8483, {"MAL ALIMI","ÜRETİM GİRİŞ"})) - VLOOKUP(C8484, 'STOK RAPORU'!$C$2:$I$1000, 4, 0))), 0)</f>
        <v>0</v>
      </c>
      <c r="U8484" s="22">
        <f t="shared" si="540"/>
        <v>0</v>
      </c>
      <c r="V8484">
        <f t="shared" si="541"/>
        <v>0</v>
      </c>
      <c r="W8484" s="22">
        <f t="shared" si="542"/>
        <v>0</v>
      </c>
    </row>
    <row r="8485" spans="1:23" hidden="1" x14ac:dyDescent="0.25">
      <c r="A8485" s="4"/>
      <c r="B8485" s="4"/>
      <c r="C8485" s="4"/>
      <c r="D8485" s="4"/>
      <c r="E8485" s="4"/>
      <c r="F8485" s="4"/>
      <c r="G8485" s="4"/>
      <c r="H8485" s="4"/>
      <c r="I8485" s="4"/>
      <c r="J8485" s="21">
        <f>IFERROR(VLOOKUP(C8485,'STOK KARTLARI'!$C$2:$K$2150,8,0),0)</f>
        <v>0</v>
      </c>
      <c r="K8485" s="21">
        <f t="shared" si="543"/>
        <v>0</v>
      </c>
      <c r="L8485" s="5">
        <f t="shared" si="545"/>
        <v>0</v>
      </c>
      <c r="M8485" s="4"/>
      <c r="N8485" s="4"/>
      <c r="O8485" s="5"/>
      <c r="P8485" s="5"/>
      <c r="Q8485" s="21">
        <f t="shared" si="546"/>
        <v>0</v>
      </c>
      <c r="R8485" s="21">
        <f t="shared" si="544"/>
        <v>0</v>
      </c>
      <c r="S8485" s="5">
        <f t="shared" si="547"/>
        <v>70007.077158325032</v>
      </c>
      <c r="T8485" cm="1">
        <f t="array" ref="T8485">IF(OR(B8485="MAL ALIMI", B8485="ÜRETİM GİRİŞ"), MIN(I8485, MAX(0, I8485 + SUM(SUMIFS($I$1:I8484, $C$1:C8484, C8485, $B$1:B8484, {"MAL ALIMI","ÜRETİM GİRİŞ"})) - VLOOKUP(C8485, 'STOK RAPORU'!$C$2:$I$1000, 4, 0))), 0)</f>
        <v>0</v>
      </c>
      <c r="U8485" s="22">
        <f t="shared" si="540"/>
        <v>0</v>
      </c>
      <c r="V8485">
        <f t="shared" si="541"/>
        <v>0</v>
      </c>
      <c r="W8485" s="22">
        <f t="shared" si="542"/>
        <v>0</v>
      </c>
    </row>
    <row r="8486" spans="1:23" hidden="1" x14ac:dyDescent="0.25">
      <c r="A8486" s="4"/>
      <c r="B8486" s="4"/>
      <c r="C8486" s="4"/>
      <c r="D8486" s="4"/>
      <c r="E8486" s="4"/>
      <c r="F8486" s="4"/>
      <c r="G8486" s="4"/>
      <c r="H8486" s="4"/>
      <c r="I8486" s="4"/>
      <c r="J8486" s="21">
        <f>IFERROR(VLOOKUP(C8486,'STOK KARTLARI'!$C$2:$K$2150,8,0),0)</f>
        <v>0</v>
      </c>
      <c r="K8486" s="21">
        <f t="shared" si="543"/>
        <v>0</v>
      </c>
      <c r="L8486" s="5">
        <f t="shared" si="545"/>
        <v>0</v>
      </c>
      <c r="M8486" s="4"/>
      <c r="N8486" s="4"/>
      <c r="O8486" s="5"/>
      <c r="P8486" s="5"/>
      <c r="Q8486" s="21">
        <f t="shared" si="546"/>
        <v>0</v>
      </c>
      <c r="R8486" s="21">
        <f t="shared" si="544"/>
        <v>0</v>
      </c>
      <c r="S8486" s="5">
        <f t="shared" si="547"/>
        <v>70007.077158325032</v>
      </c>
      <c r="T8486" cm="1">
        <f t="array" ref="T8486">IF(OR(B8486="MAL ALIMI", B8486="ÜRETİM GİRİŞ"), MIN(I8486, MAX(0, I8486 + SUM(SUMIFS($I$1:I8485, $C$1:C8485, C8486, $B$1:B8485, {"MAL ALIMI","ÜRETİM GİRİŞ"})) - VLOOKUP(C8486, 'STOK RAPORU'!$C$2:$I$1000, 4, 0))), 0)</f>
        <v>0</v>
      </c>
      <c r="U8486" s="22">
        <f t="shared" si="540"/>
        <v>0</v>
      </c>
      <c r="V8486">
        <f t="shared" si="541"/>
        <v>0</v>
      </c>
      <c r="W8486" s="22">
        <f t="shared" si="542"/>
        <v>0</v>
      </c>
    </row>
    <row r="8487" spans="1:23" hidden="1" x14ac:dyDescent="0.25">
      <c r="A8487" s="4"/>
      <c r="B8487" s="4"/>
      <c r="C8487" s="4"/>
      <c r="D8487" s="4"/>
      <c r="E8487" s="4"/>
      <c r="F8487" s="4"/>
      <c r="G8487" s="4"/>
      <c r="H8487" s="4"/>
      <c r="I8487" s="4"/>
      <c r="J8487" s="21">
        <f>IFERROR(VLOOKUP(C8487,'STOK KARTLARI'!$C$2:$K$2150,8,0),0)</f>
        <v>0</v>
      </c>
      <c r="K8487" s="21">
        <f t="shared" si="543"/>
        <v>0</v>
      </c>
      <c r="L8487" s="5">
        <f t="shared" si="545"/>
        <v>0</v>
      </c>
      <c r="M8487" s="4"/>
      <c r="N8487" s="4"/>
      <c r="O8487" s="5"/>
      <c r="P8487" s="5"/>
      <c r="Q8487" s="21">
        <f t="shared" si="546"/>
        <v>0</v>
      </c>
      <c r="R8487" s="21">
        <f t="shared" si="544"/>
        <v>0</v>
      </c>
      <c r="S8487" s="5">
        <f t="shared" si="547"/>
        <v>70007.077158325032</v>
      </c>
      <c r="T8487" cm="1">
        <f t="array" ref="T8487">IF(OR(B8487="MAL ALIMI", B8487="ÜRETİM GİRİŞ"), MIN(I8487, MAX(0, I8487 + SUM(SUMIFS($I$1:I8486, $C$1:C8486, C8487, $B$1:B8486, {"MAL ALIMI","ÜRETİM GİRİŞ"})) - VLOOKUP(C8487, 'STOK RAPORU'!$C$2:$I$1000, 4, 0))), 0)</f>
        <v>0</v>
      </c>
      <c r="U8487" s="22">
        <f t="shared" si="540"/>
        <v>0</v>
      </c>
      <c r="V8487">
        <f t="shared" si="541"/>
        <v>0</v>
      </c>
      <c r="W8487" s="22">
        <f t="shared" si="542"/>
        <v>0</v>
      </c>
    </row>
    <row r="8488" spans="1:23" hidden="1" x14ac:dyDescent="0.25">
      <c r="A8488" s="4"/>
      <c r="B8488" s="4"/>
      <c r="C8488" s="4"/>
      <c r="D8488" s="4"/>
      <c r="E8488" s="4"/>
      <c r="F8488" s="4"/>
      <c r="G8488" s="4"/>
      <c r="H8488" s="4"/>
      <c r="I8488" s="4"/>
      <c r="J8488" s="21">
        <f>IFERROR(VLOOKUP(C8488,'STOK KARTLARI'!$C$2:$K$2150,8,0),0)</f>
        <v>0</v>
      </c>
      <c r="K8488" s="21">
        <f t="shared" si="543"/>
        <v>0</v>
      </c>
      <c r="L8488" s="5">
        <f t="shared" si="545"/>
        <v>0</v>
      </c>
      <c r="M8488" s="4"/>
      <c r="N8488" s="4"/>
      <c r="O8488" s="5"/>
      <c r="P8488" s="5"/>
      <c r="Q8488" s="21">
        <f t="shared" si="546"/>
        <v>0</v>
      </c>
      <c r="R8488" s="21">
        <f t="shared" si="544"/>
        <v>0</v>
      </c>
      <c r="S8488" s="5">
        <f t="shared" si="547"/>
        <v>70007.077158325032</v>
      </c>
      <c r="T8488" cm="1">
        <f t="array" ref="T8488">IF(OR(B8488="MAL ALIMI", B8488="ÜRETİM GİRİŞ"), MIN(I8488, MAX(0, I8488 + SUM(SUMIFS($I$1:I8487, $C$1:C8487, C8488, $B$1:B8487, {"MAL ALIMI","ÜRETİM GİRİŞ"})) - VLOOKUP(C8488, 'STOK RAPORU'!$C$2:$I$1000, 4, 0))), 0)</f>
        <v>0</v>
      </c>
      <c r="U8488" s="22">
        <f t="shared" si="540"/>
        <v>0</v>
      </c>
      <c r="V8488">
        <f t="shared" si="541"/>
        <v>0</v>
      </c>
      <c r="W8488" s="22">
        <f t="shared" si="542"/>
        <v>0</v>
      </c>
    </row>
    <row r="8489" spans="1:23" hidden="1" x14ac:dyDescent="0.25">
      <c r="A8489" s="3"/>
      <c r="B8489" s="4"/>
      <c r="C8489" s="4"/>
      <c r="D8489" s="4"/>
      <c r="E8489" s="4"/>
      <c r="F8489" s="4"/>
      <c r="G8489" s="4"/>
      <c r="H8489" s="4"/>
      <c r="I8489" s="4"/>
      <c r="J8489" s="21">
        <f>IFERROR(VLOOKUP(C8489,'STOK KARTLARI'!$C$2:$K$2150,8,0),0)</f>
        <v>0</v>
      </c>
      <c r="K8489" s="21">
        <f t="shared" si="543"/>
        <v>0</v>
      </c>
      <c r="L8489" s="5">
        <f t="shared" si="545"/>
        <v>0</v>
      </c>
      <c r="M8489" s="4"/>
      <c r="N8489" s="4"/>
      <c r="O8489" s="5"/>
      <c r="P8489" s="5"/>
      <c r="Q8489" s="21">
        <f t="shared" si="546"/>
        <v>0</v>
      </c>
      <c r="R8489" s="21">
        <f t="shared" si="544"/>
        <v>0</v>
      </c>
      <c r="S8489" s="5">
        <f t="shared" si="547"/>
        <v>70007.077158325032</v>
      </c>
      <c r="T8489" cm="1">
        <f t="array" ref="T8489">IF(OR(B8489="MAL ALIMI", B8489="ÜRETİM GİRİŞ"), MIN(I8489, MAX(0, I8489 + SUM(SUMIFS($I$1:I8488, $C$1:C8488, C8489, $B$1:B8488, {"MAL ALIMI","ÜRETİM GİRİŞ"})) - VLOOKUP(C8489, 'STOK RAPORU'!$C$2:$I$1000, 4, 0))), 0)</f>
        <v>0</v>
      </c>
      <c r="U8489" s="22">
        <f t="shared" si="540"/>
        <v>0</v>
      </c>
      <c r="V8489">
        <f t="shared" si="541"/>
        <v>0</v>
      </c>
      <c r="W8489" s="22">
        <f t="shared" si="542"/>
        <v>0</v>
      </c>
    </row>
    <row r="8490" spans="1:23" hidden="1" x14ac:dyDescent="0.25">
      <c r="A8490" s="3"/>
      <c r="B8490" s="4"/>
      <c r="C8490" s="4"/>
      <c r="D8490" s="4"/>
      <c r="E8490" s="4"/>
      <c r="F8490" s="4"/>
      <c r="G8490" s="4"/>
      <c r="H8490" s="4"/>
      <c r="I8490" s="4"/>
      <c r="J8490" s="21">
        <f>IFERROR(VLOOKUP(C8490,'STOK KARTLARI'!$C$2:$K$2150,8,0),0)</f>
        <v>0</v>
      </c>
      <c r="K8490" s="21">
        <f t="shared" si="543"/>
        <v>0</v>
      </c>
      <c r="L8490" s="5">
        <f t="shared" si="545"/>
        <v>0</v>
      </c>
      <c r="M8490" s="4"/>
      <c r="N8490" s="4"/>
      <c r="O8490" s="5"/>
      <c r="P8490" s="5"/>
      <c r="Q8490" s="21">
        <f t="shared" si="546"/>
        <v>0</v>
      </c>
      <c r="R8490" s="21">
        <f t="shared" si="544"/>
        <v>0</v>
      </c>
      <c r="S8490" s="5">
        <f t="shared" si="547"/>
        <v>70007.077158325032</v>
      </c>
      <c r="T8490" cm="1">
        <f t="array" ref="T8490">IF(OR(B8490="MAL ALIMI", B8490="ÜRETİM GİRİŞ"), MIN(I8490, MAX(0, I8490 + SUM(SUMIFS($I$1:I8489, $C$1:C8489, C8490, $B$1:B8489, {"MAL ALIMI","ÜRETİM GİRİŞ"})) - VLOOKUP(C8490, 'STOK RAPORU'!$C$2:$I$1000, 4, 0))), 0)</f>
        <v>0</v>
      </c>
      <c r="U8490" s="22">
        <f t="shared" si="540"/>
        <v>0</v>
      </c>
      <c r="V8490">
        <f t="shared" si="541"/>
        <v>0</v>
      </c>
      <c r="W8490" s="22">
        <f t="shared" si="542"/>
        <v>0</v>
      </c>
    </row>
    <row r="8491" spans="1:23" hidden="1" x14ac:dyDescent="0.25">
      <c r="A8491" s="4"/>
      <c r="B8491" s="4"/>
      <c r="C8491" s="4"/>
      <c r="D8491" s="4"/>
      <c r="E8491" s="4"/>
      <c r="F8491" s="4"/>
      <c r="G8491" s="4"/>
      <c r="H8491" s="4"/>
      <c r="I8491" s="4"/>
      <c r="J8491" s="21">
        <f>IFERROR(VLOOKUP(C8491,'STOK KARTLARI'!$C$2:$K$2150,8,0),0)</f>
        <v>0</v>
      </c>
      <c r="K8491" s="21">
        <f t="shared" si="543"/>
        <v>0</v>
      </c>
      <c r="L8491" s="5">
        <f t="shared" si="545"/>
        <v>0</v>
      </c>
      <c r="M8491" s="4"/>
      <c r="N8491" s="4"/>
      <c r="O8491" s="5"/>
      <c r="P8491" s="5"/>
      <c r="Q8491" s="21">
        <f t="shared" si="546"/>
        <v>0</v>
      </c>
      <c r="R8491" s="21">
        <f t="shared" si="544"/>
        <v>0</v>
      </c>
      <c r="S8491" s="5">
        <f t="shared" si="547"/>
        <v>70007.077158325032</v>
      </c>
      <c r="T8491" cm="1">
        <f t="array" ref="T8491">IF(OR(B8491="MAL ALIMI", B8491="ÜRETİM GİRİŞ"), MIN(I8491, MAX(0, I8491 + SUM(SUMIFS($I$1:I8490, $C$1:C8490, C8491, $B$1:B8490, {"MAL ALIMI","ÜRETİM GİRİŞ"})) - VLOOKUP(C8491, 'STOK RAPORU'!$C$2:$I$1000, 4, 0))), 0)</f>
        <v>0</v>
      </c>
      <c r="U8491" s="22">
        <f t="shared" si="540"/>
        <v>0</v>
      </c>
      <c r="V8491">
        <f t="shared" si="541"/>
        <v>0</v>
      </c>
      <c r="W8491" s="22">
        <f t="shared" si="542"/>
        <v>0</v>
      </c>
    </row>
    <row r="8492" spans="1:23" hidden="1" x14ac:dyDescent="0.25">
      <c r="A8492" s="4"/>
      <c r="B8492" s="4"/>
      <c r="C8492" s="4"/>
      <c r="D8492" s="4"/>
      <c r="E8492" s="4"/>
      <c r="F8492" s="4"/>
      <c r="G8492" s="4"/>
      <c r="H8492" s="4"/>
      <c r="I8492" s="4"/>
      <c r="J8492" s="21">
        <f>IFERROR(VLOOKUP(C8492,'STOK KARTLARI'!$C$2:$K$2150,8,0),0)</f>
        <v>0</v>
      </c>
      <c r="K8492" s="21">
        <f t="shared" si="543"/>
        <v>0</v>
      </c>
      <c r="L8492" s="5">
        <f t="shared" si="545"/>
        <v>0</v>
      </c>
      <c r="M8492" s="4"/>
      <c r="N8492" s="4"/>
      <c r="O8492" s="5"/>
      <c r="P8492" s="5"/>
      <c r="Q8492" s="21">
        <f t="shared" si="546"/>
        <v>0</v>
      </c>
      <c r="R8492" s="21">
        <f t="shared" si="544"/>
        <v>0</v>
      </c>
      <c r="S8492" s="5">
        <f t="shared" si="547"/>
        <v>70007.077158325032</v>
      </c>
      <c r="T8492" cm="1">
        <f t="array" ref="T8492">IF(OR(B8492="MAL ALIMI", B8492="ÜRETİM GİRİŞ"), MIN(I8492, MAX(0, I8492 + SUM(SUMIFS($I$1:I8491, $C$1:C8491, C8492, $B$1:B8491, {"MAL ALIMI","ÜRETİM GİRİŞ"})) - VLOOKUP(C8492, 'STOK RAPORU'!$C$2:$I$1000, 4, 0))), 0)</f>
        <v>0</v>
      </c>
      <c r="U8492" s="22">
        <f t="shared" si="540"/>
        <v>0</v>
      </c>
      <c r="V8492">
        <f t="shared" si="541"/>
        <v>0</v>
      </c>
      <c r="W8492" s="22">
        <f t="shared" si="542"/>
        <v>0</v>
      </c>
    </row>
    <row r="8493" spans="1:23" hidden="1" x14ac:dyDescent="0.25">
      <c r="A8493" s="4"/>
      <c r="B8493" s="4"/>
      <c r="C8493" s="4"/>
      <c r="D8493" s="4"/>
      <c r="E8493" s="4"/>
      <c r="F8493" s="4"/>
      <c r="G8493" s="4"/>
      <c r="H8493" s="4"/>
      <c r="I8493" s="4"/>
      <c r="J8493" s="21">
        <f>IFERROR(VLOOKUP(C8493,'STOK KARTLARI'!$C$2:$K$2150,8,0),0)</f>
        <v>0</v>
      </c>
      <c r="K8493" s="21">
        <f t="shared" si="543"/>
        <v>0</v>
      </c>
      <c r="L8493" s="5">
        <f t="shared" si="545"/>
        <v>0</v>
      </c>
      <c r="M8493" s="4"/>
      <c r="N8493" s="4"/>
      <c r="O8493" s="5"/>
      <c r="P8493" s="5"/>
      <c r="Q8493" s="21">
        <f t="shared" si="546"/>
        <v>0</v>
      </c>
      <c r="R8493" s="21">
        <f t="shared" si="544"/>
        <v>0</v>
      </c>
      <c r="S8493" s="5">
        <f t="shared" si="547"/>
        <v>70007.077158325032</v>
      </c>
      <c r="T8493" cm="1">
        <f t="array" ref="T8493">IF(OR(B8493="MAL ALIMI", B8493="ÜRETİM GİRİŞ"), MIN(I8493, MAX(0, I8493 + SUM(SUMIFS($I$1:I8492, $C$1:C8492, C8493, $B$1:B8492, {"MAL ALIMI","ÜRETİM GİRİŞ"})) - VLOOKUP(C8493, 'STOK RAPORU'!$C$2:$I$1000, 4, 0))), 0)</f>
        <v>0</v>
      </c>
      <c r="U8493" s="22">
        <f t="shared" si="540"/>
        <v>0</v>
      </c>
      <c r="V8493">
        <f t="shared" si="541"/>
        <v>0</v>
      </c>
      <c r="W8493" s="22">
        <f t="shared" si="542"/>
        <v>0</v>
      </c>
    </row>
    <row r="8494" spans="1:23" hidden="1" x14ac:dyDescent="0.25">
      <c r="A8494" s="4"/>
      <c r="B8494" s="4"/>
      <c r="C8494" s="4"/>
      <c r="D8494" s="4"/>
      <c r="E8494" s="4"/>
      <c r="F8494" s="4"/>
      <c r="G8494" s="4"/>
      <c r="H8494" s="4"/>
      <c r="I8494" s="4"/>
      <c r="J8494" s="21">
        <f>IFERROR(VLOOKUP(C8494,'STOK KARTLARI'!$C$2:$K$2150,8,0),0)</f>
        <v>0</v>
      </c>
      <c r="K8494" s="21">
        <f t="shared" si="543"/>
        <v>0</v>
      </c>
      <c r="L8494" s="5">
        <f t="shared" si="545"/>
        <v>0</v>
      </c>
      <c r="M8494" s="4"/>
      <c r="N8494" s="4"/>
      <c r="O8494" s="5"/>
      <c r="P8494" s="5"/>
      <c r="Q8494" s="21">
        <f t="shared" si="546"/>
        <v>0</v>
      </c>
      <c r="R8494" s="21">
        <f t="shared" si="544"/>
        <v>0</v>
      </c>
      <c r="S8494" s="5">
        <f t="shared" si="547"/>
        <v>70007.077158325032</v>
      </c>
      <c r="T8494" cm="1">
        <f t="array" ref="T8494">IF(OR(B8494="MAL ALIMI", B8494="ÜRETİM GİRİŞ"), MIN(I8494, MAX(0, I8494 + SUM(SUMIFS($I$1:I8493, $C$1:C8493, C8494, $B$1:B8493, {"MAL ALIMI","ÜRETİM GİRİŞ"})) - VLOOKUP(C8494, 'STOK RAPORU'!$C$2:$I$1000, 4, 0))), 0)</f>
        <v>0</v>
      </c>
      <c r="U8494" s="22">
        <f t="shared" si="540"/>
        <v>0</v>
      </c>
      <c r="V8494">
        <f t="shared" si="541"/>
        <v>0</v>
      </c>
      <c r="W8494" s="22">
        <f t="shared" si="542"/>
        <v>0</v>
      </c>
    </row>
    <row r="8495" spans="1:23" hidden="1" x14ac:dyDescent="0.25">
      <c r="A8495" s="4"/>
      <c r="B8495" s="4"/>
      <c r="C8495" s="4"/>
      <c r="D8495" s="4"/>
      <c r="E8495" s="4"/>
      <c r="F8495" s="4"/>
      <c r="G8495" s="4"/>
      <c r="H8495" s="4"/>
      <c r="I8495" s="4"/>
      <c r="J8495" s="21">
        <f>IFERROR(VLOOKUP(C8495,'STOK KARTLARI'!$C$2:$K$2150,8,0),0)</f>
        <v>0</v>
      </c>
      <c r="K8495" s="21">
        <f t="shared" si="543"/>
        <v>0</v>
      </c>
      <c r="L8495" s="5">
        <f t="shared" si="545"/>
        <v>0</v>
      </c>
      <c r="M8495" s="4"/>
      <c r="N8495" s="4"/>
      <c r="O8495" s="5"/>
      <c r="P8495" s="5"/>
      <c r="Q8495" s="21">
        <f t="shared" si="546"/>
        <v>0</v>
      </c>
      <c r="R8495" s="21">
        <f t="shared" si="544"/>
        <v>0</v>
      </c>
      <c r="S8495" s="5">
        <f t="shared" si="547"/>
        <v>70007.077158325032</v>
      </c>
      <c r="T8495" cm="1">
        <f t="array" ref="T8495">IF(OR(B8495="MAL ALIMI", B8495="ÜRETİM GİRİŞ"), MIN(I8495, MAX(0, I8495 + SUM(SUMIFS($I$1:I8494, $C$1:C8494, C8495, $B$1:B8494, {"MAL ALIMI","ÜRETİM GİRİŞ"})) - VLOOKUP(C8495, 'STOK RAPORU'!$C$2:$I$1000, 4, 0))), 0)</f>
        <v>0</v>
      </c>
      <c r="U8495" s="22">
        <f t="shared" ref="U8495:U8558" si="548">T8495*J8495</f>
        <v>0</v>
      </c>
      <c r="V8495">
        <f t="shared" ref="V8495:V8558" si="549">IF(OR(B8495="MAL ALIMI", B8495="ÜRETİM GİRİŞ"), I8495 * J8495, 0)</f>
        <v>0</v>
      </c>
      <c r="W8495" s="22">
        <f t="shared" ref="W8495:W8558" si="550">V8495-U8495</f>
        <v>0</v>
      </c>
    </row>
    <row r="8496" spans="1:23" hidden="1" x14ac:dyDescent="0.25">
      <c r="A8496" s="4"/>
      <c r="B8496" s="4"/>
      <c r="C8496" s="4"/>
      <c r="D8496" s="4"/>
      <c r="E8496" s="4"/>
      <c r="F8496" s="4"/>
      <c r="G8496" s="4"/>
      <c r="H8496" s="4"/>
      <c r="I8496" s="4"/>
      <c r="J8496" s="21">
        <f>IFERROR(VLOOKUP(C8496,'STOK KARTLARI'!$C$2:$K$2150,8,0),0)</f>
        <v>0</v>
      </c>
      <c r="K8496" s="21">
        <f t="shared" si="543"/>
        <v>0</v>
      </c>
      <c r="L8496" s="5">
        <f t="shared" si="545"/>
        <v>0</v>
      </c>
      <c r="M8496" s="4"/>
      <c r="N8496" s="4"/>
      <c r="O8496" s="5"/>
      <c r="P8496" s="5"/>
      <c r="Q8496" s="21">
        <f t="shared" si="546"/>
        <v>0</v>
      </c>
      <c r="R8496" s="21">
        <f t="shared" si="544"/>
        <v>0</v>
      </c>
      <c r="S8496" s="5">
        <f t="shared" si="547"/>
        <v>70007.077158325032</v>
      </c>
      <c r="T8496" cm="1">
        <f t="array" ref="T8496">IF(OR(B8496="MAL ALIMI", B8496="ÜRETİM GİRİŞ"), MIN(I8496, MAX(0, I8496 + SUM(SUMIFS($I$1:I8495, $C$1:C8495, C8496, $B$1:B8495, {"MAL ALIMI","ÜRETİM GİRİŞ"})) - VLOOKUP(C8496, 'STOK RAPORU'!$C$2:$I$1000, 4, 0))), 0)</f>
        <v>0</v>
      </c>
      <c r="U8496" s="22">
        <f t="shared" si="548"/>
        <v>0</v>
      </c>
      <c r="V8496">
        <f t="shared" si="549"/>
        <v>0</v>
      </c>
      <c r="W8496" s="22">
        <f t="shared" si="550"/>
        <v>0</v>
      </c>
    </row>
    <row r="8497" spans="1:23" hidden="1" x14ac:dyDescent="0.25">
      <c r="A8497" s="3"/>
      <c r="B8497" s="4"/>
      <c r="C8497" s="4"/>
      <c r="D8497" s="4"/>
      <c r="E8497" s="4"/>
      <c r="F8497" s="4"/>
      <c r="G8497" s="4"/>
      <c r="H8497" s="4"/>
      <c r="I8497" s="4"/>
      <c r="J8497" s="21">
        <f>IFERROR(VLOOKUP(C8497,'STOK KARTLARI'!$C$2:$K$2150,8,0),0)</f>
        <v>0</v>
      </c>
      <c r="K8497" s="21">
        <f t="shared" si="543"/>
        <v>0</v>
      </c>
      <c r="L8497" s="5">
        <f t="shared" si="545"/>
        <v>0</v>
      </c>
      <c r="M8497" s="4"/>
      <c r="N8497" s="4"/>
      <c r="O8497" s="5"/>
      <c r="P8497" s="5"/>
      <c r="Q8497" s="21">
        <f t="shared" si="546"/>
        <v>0</v>
      </c>
      <c r="R8497" s="21">
        <f t="shared" si="544"/>
        <v>0</v>
      </c>
      <c r="S8497" s="5">
        <f t="shared" si="547"/>
        <v>70007.077158325032</v>
      </c>
      <c r="T8497" cm="1">
        <f t="array" ref="T8497">IF(OR(B8497="MAL ALIMI", B8497="ÜRETİM GİRİŞ"), MIN(I8497, MAX(0, I8497 + SUM(SUMIFS($I$1:I8496, $C$1:C8496, C8497, $B$1:B8496, {"MAL ALIMI","ÜRETİM GİRİŞ"})) - VLOOKUP(C8497, 'STOK RAPORU'!$C$2:$I$1000, 4, 0))), 0)</f>
        <v>0</v>
      </c>
      <c r="U8497" s="22">
        <f t="shared" si="548"/>
        <v>0</v>
      </c>
      <c r="V8497">
        <f t="shared" si="549"/>
        <v>0</v>
      </c>
      <c r="W8497" s="22">
        <f t="shared" si="550"/>
        <v>0</v>
      </c>
    </row>
    <row r="8498" spans="1:23" hidden="1" x14ac:dyDescent="0.25">
      <c r="A8498" s="4"/>
      <c r="B8498" s="4"/>
      <c r="C8498" s="4"/>
      <c r="D8498" s="4"/>
      <c r="E8498" s="4"/>
      <c r="F8498" s="4"/>
      <c r="G8498" s="4"/>
      <c r="H8498" s="4"/>
      <c r="I8498" s="4"/>
      <c r="J8498" s="21">
        <f>IFERROR(VLOOKUP(C8498,'STOK KARTLARI'!$C$2:$K$2150,8,0),0)</f>
        <v>0</v>
      </c>
      <c r="K8498" s="21">
        <f t="shared" si="543"/>
        <v>0</v>
      </c>
      <c r="L8498" s="5">
        <f t="shared" si="545"/>
        <v>0</v>
      </c>
      <c r="M8498" s="4"/>
      <c r="N8498" s="4"/>
      <c r="O8498" s="5"/>
      <c r="P8498" s="5"/>
      <c r="Q8498" s="21">
        <f t="shared" si="546"/>
        <v>0</v>
      </c>
      <c r="R8498" s="21">
        <f t="shared" si="544"/>
        <v>0</v>
      </c>
      <c r="S8498" s="5">
        <f t="shared" si="547"/>
        <v>70007.077158325032</v>
      </c>
      <c r="T8498" cm="1">
        <f t="array" ref="T8498">IF(OR(B8498="MAL ALIMI", B8498="ÜRETİM GİRİŞ"), MIN(I8498, MAX(0, I8498 + SUM(SUMIFS($I$1:I8497, $C$1:C8497, C8498, $B$1:B8497, {"MAL ALIMI","ÜRETİM GİRİŞ"})) - VLOOKUP(C8498, 'STOK RAPORU'!$C$2:$I$1000, 4, 0))), 0)</f>
        <v>0</v>
      </c>
      <c r="U8498" s="22">
        <f t="shared" si="548"/>
        <v>0</v>
      </c>
      <c r="V8498">
        <f t="shared" si="549"/>
        <v>0</v>
      </c>
      <c r="W8498" s="22">
        <f t="shared" si="550"/>
        <v>0</v>
      </c>
    </row>
    <row r="8499" spans="1:23" hidden="1" x14ac:dyDescent="0.25">
      <c r="A8499" s="4"/>
      <c r="B8499" s="4"/>
      <c r="C8499" s="4"/>
      <c r="D8499" s="4"/>
      <c r="E8499" s="4"/>
      <c r="F8499" s="4"/>
      <c r="G8499" s="4"/>
      <c r="H8499" s="4"/>
      <c r="I8499" s="4"/>
      <c r="J8499" s="21">
        <f>IFERROR(VLOOKUP(C8499,'STOK KARTLARI'!$C$2:$K$2150,8,0),0)</f>
        <v>0</v>
      </c>
      <c r="K8499" s="21">
        <f t="shared" ref="K8499:K8562" si="551">IF(AND(B8499="MAL SATIŞI", H8499="POS"),I8499*J8499,0)</f>
        <v>0</v>
      </c>
      <c r="L8499" s="5">
        <f t="shared" si="545"/>
        <v>0</v>
      </c>
      <c r="M8499" s="4"/>
      <c r="N8499" s="4"/>
      <c r="O8499" s="5"/>
      <c r="P8499" s="5"/>
      <c r="Q8499" s="21">
        <f t="shared" si="546"/>
        <v>0</v>
      </c>
      <c r="R8499" s="21">
        <f t="shared" ref="R8499:R8562" si="552">IF(AND(E8499="", B8499&lt;&gt;"MAL SATIŞI"),I8499*J8499,0)</f>
        <v>0</v>
      </c>
      <c r="S8499" s="5">
        <f t="shared" si="547"/>
        <v>70007.077158325032</v>
      </c>
      <c r="T8499" cm="1">
        <f t="array" ref="T8499">IF(OR(B8499="MAL ALIMI", B8499="ÜRETİM GİRİŞ"), MIN(I8499, MAX(0, I8499 + SUM(SUMIFS($I$1:I8498, $C$1:C8498, C8499, $B$1:B8498, {"MAL ALIMI","ÜRETİM GİRİŞ"})) - VLOOKUP(C8499, 'STOK RAPORU'!$C$2:$I$1000, 4, 0))), 0)</f>
        <v>0</v>
      </c>
      <c r="U8499" s="22">
        <f t="shared" si="548"/>
        <v>0</v>
      </c>
      <c r="V8499">
        <f t="shared" si="549"/>
        <v>0</v>
      </c>
      <c r="W8499" s="22">
        <f t="shared" si="550"/>
        <v>0</v>
      </c>
    </row>
    <row r="8500" spans="1:23" hidden="1" x14ac:dyDescent="0.25">
      <c r="A8500" s="4"/>
      <c r="B8500" s="4"/>
      <c r="C8500" s="4"/>
      <c r="D8500" s="4"/>
      <c r="E8500" s="4"/>
      <c r="F8500" s="4"/>
      <c r="G8500" s="4"/>
      <c r="H8500" s="4"/>
      <c r="I8500" s="4"/>
      <c r="J8500" s="21">
        <f>IFERROR(VLOOKUP(C8500,'STOK KARTLARI'!$C$2:$K$2150,8,0),0)</f>
        <v>0</v>
      </c>
      <c r="K8500" s="21">
        <f t="shared" si="551"/>
        <v>0</v>
      </c>
      <c r="L8500" s="5">
        <f t="shared" ref="L8500:L8563" si="553">IF(OR(E8500="", H8500="POS"),0,I8500*J8500)</f>
        <v>0</v>
      </c>
      <c r="M8500" s="4"/>
      <c r="N8500" s="4"/>
      <c r="O8500" s="5"/>
      <c r="P8500" s="5"/>
      <c r="Q8500" s="21">
        <f t="shared" ref="Q8500:Q8563" si="554">IF(AND(E8500="", B8500="MAL SATIŞI", H8500="NAKİT"),I8500*J8500,0)</f>
        <v>0</v>
      </c>
      <c r="R8500" s="21">
        <f t="shared" si="552"/>
        <v>0</v>
      </c>
      <c r="S8500" s="5">
        <f t="shared" si="547"/>
        <v>70007.077158325032</v>
      </c>
      <c r="T8500" cm="1">
        <f t="array" ref="T8500">IF(OR(B8500="MAL ALIMI", B8500="ÜRETİM GİRİŞ"), MIN(I8500, MAX(0, I8500 + SUM(SUMIFS($I$1:I8499, $C$1:C8499, C8500, $B$1:B8499, {"MAL ALIMI","ÜRETİM GİRİŞ"})) - VLOOKUP(C8500, 'STOK RAPORU'!$C$2:$I$1000, 4, 0))), 0)</f>
        <v>0</v>
      </c>
      <c r="U8500" s="22">
        <f t="shared" si="548"/>
        <v>0</v>
      </c>
      <c r="V8500">
        <f t="shared" si="549"/>
        <v>0</v>
      </c>
      <c r="W8500" s="22">
        <f t="shared" si="550"/>
        <v>0</v>
      </c>
    </row>
    <row r="8501" spans="1:23" hidden="1" x14ac:dyDescent="0.25">
      <c r="A8501" s="4"/>
      <c r="B8501" s="4"/>
      <c r="C8501" s="4"/>
      <c r="D8501" s="4"/>
      <c r="E8501" s="4"/>
      <c r="F8501" s="4"/>
      <c r="G8501" s="4"/>
      <c r="H8501" s="4"/>
      <c r="I8501" s="4"/>
      <c r="J8501" s="21">
        <f>IFERROR(VLOOKUP(C8501,'STOK KARTLARI'!$C$2:$K$2150,8,0),0)</f>
        <v>0</v>
      </c>
      <c r="K8501" s="21">
        <f t="shared" si="551"/>
        <v>0</v>
      </c>
      <c r="L8501" s="5">
        <f t="shared" si="553"/>
        <v>0</v>
      </c>
      <c r="M8501" s="4"/>
      <c r="N8501" s="4"/>
      <c r="O8501" s="5"/>
      <c r="P8501" s="5"/>
      <c r="Q8501" s="21">
        <f t="shared" si="554"/>
        <v>0</v>
      </c>
      <c r="R8501" s="21">
        <f t="shared" si="552"/>
        <v>0</v>
      </c>
      <c r="S8501" s="5">
        <f t="shared" si="547"/>
        <v>70007.077158325032</v>
      </c>
      <c r="T8501" cm="1">
        <f t="array" ref="T8501">IF(OR(B8501="MAL ALIMI", B8501="ÜRETİM GİRİŞ"), MIN(I8501, MAX(0, I8501 + SUM(SUMIFS($I$1:I8500, $C$1:C8500, C8501, $B$1:B8500, {"MAL ALIMI","ÜRETİM GİRİŞ"})) - VLOOKUP(C8501, 'STOK RAPORU'!$C$2:$I$1000, 4, 0))), 0)</f>
        <v>0</v>
      </c>
      <c r="U8501" s="22">
        <f t="shared" si="548"/>
        <v>0</v>
      </c>
      <c r="V8501">
        <f t="shared" si="549"/>
        <v>0</v>
      </c>
      <c r="W8501" s="22">
        <f t="shared" si="550"/>
        <v>0</v>
      </c>
    </row>
    <row r="8502" spans="1:23" hidden="1" x14ac:dyDescent="0.25">
      <c r="A8502" s="4"/>
      <c r="B8502" s="4"/>
      <c r="C8502" s="4"/>
      <c r="D8502" s="4"/>
      <c r="E8502" s="4"/>
      <c r="F8502" s="4"/>
      <c r="G8502" s="4"/>
      <c r="H8502" s="4"/>
      <c r="I8502" s="4"/>
      <c r="J8502" s="21">
        <f>IFERROR(VLOOKUP(C8502,'STOK KARTLARI'!$C$2:$K$2150,8,0),0)</f>
        <v>0</v>
      </c>
      <c r="K8502" s="21">
        <f t="shared" si="551"/>
        <v>0</v>
      </c>
      <c r="L8502" s="5">
        <f t="shared" si="553"/>
        <v>0</v>
      </c>
      <c r="M8502" s="4"/>
      <c r="N8502" s="4"/>
      <c r="O8502" s="5"/>
      <c r="P8502" s="5"/>
      <c r="Q8502" s="21">
        <f t="shared" si="554"/>
        <v>0</v>
      </c>
      <c r="R8502" s="21">
        <f t="shared" si="552"/>
        <v>0</v>
      </c>
      <c r="S8502" s="5">
        <f t="shared" si="547"/>
        <v>70007.077158325032</v>
      </c>
      <c r="T8502" cm="1">
        <f t="array" ref="T8502">IF(OR(B8502="MAL ALIMI", B8502="ÜRETİM GİRİŞ"), MIN(I8502, MAX(0, I8502 + SUM(SUMIFS($I$1:I8501, $C$1:C8501, C8502, $B$1:B8501, {"MAL ALIMI","ÜRETİM GİRİŞ"})) - VLOOKUP(C8502, 'STOK RAPORU'!$C$2:$I$1000, 4, 0))), 0)</f>
        <v>0</v>
      </c>
      <c r="U8502" s="22">
        <f t="shared" si="548"/>
        <v>0</v>
      </c>
      <c r="V8502">
        <f t="shared" si="549"/>
        <v>0</v>
      </c>
      <c r="W8502" s="22">
        <f t="shared" si="550"/>
        <v>0</v>
      </c>
    </row>
    <row r="8503" spans="1:23" hidden="1" x14ac:dyDescent="0.25">
      <c r="A8503" s="4"/>
      <c r="B8503" s="4"/>
      <c r="C8503" s="4"/>
      <c r="D8503" s="4"/>
      <c r="E8503" s="4"/>
      <c r="F8503" s="4"/>
      <c r="G8503" s="4"/>
      <c r="H8503" s="4"/>
      <c r="I8503" s="4"/>
      <c r="J8503" s="21">
        <f>IFERROR(VLOOKUP(C8503,'STOK KARTLARI'!$C$2:$K$2150,8,0),0)</f>
        <v>0</v>
      </c>
      <c r="K8503" s="21">
        <f t="shared" si="551"/>
        <v>0</v>
      </c>
      <c r="L8503" s="5">
        <f t="shared" si="553"/>
        <v>0</v>
      </c>
      <c r="M8503" s="4"/>
      <c r="N8503" s="4"/>
      <c r="O8503" s="5"/>
      <c r="P8503" s="5"/>
      <c r="Q8503" s="21">
        <f t="shared" si="554"/>
        <v>0</v>
      </c>
      <c r="R8503" s="21">
        <f t="shared" si="552"/>
        <v>0</v>
      </c>
      <c r="S8503" s="5">
        <f t="shared" si="547"/>
        <v>70007.077158325032</v>
      </c>
      <c r="T8503" cm="1">
        <f t="array" ref="T8503">IF(OR(B8503="MAL ALIMI", B8503="ÜRETİM GİRİŞ"), MIN(I8503, MAX(0, I8503 + SUM(SUMIFS($I$1:I8502, $C$1:C8502, C8503, $B$1:B8502, {"MAL ALIMI","ÜRETİM GİRİŞ"})) - VLOOKUP(C8503, 'STOK RAPORU'!$C$2:$I$1000, 4, 0))), 0)</f>
        <v>0</v>
      </c>
      <c r="U8503" s="22">
        <f t="shared" si="548"/>
        <v>0</v>
      </c>
      <c r="V8503">
        <f t="shared" si="549"/>
        <v>0</v>
      </c>
      <c r="W8503" s="22">
        <f t="shared" si="550"/>
        <v>0</v>
      </c>
    </row>
    <row r="8504" spans="1:23" hidden="1" x14ac:dyDescent="0.25">
      <c r="A8504" s="3"/>
      <c r="B8504" s="4"/>
      <c r="C8504" s="4"/>
      <c r="D8504" s="4"/>
      <c r="E8504" s="4"/>
      <c r="F8504" s="4"/>
      <c r="G8504" s="4"/>
      <c r="H8504" s="4"/>
      <c r="I8504" s="4"/>
      <c r="J8504" s="21">
        <f>IFERROR(VLOOKUP(C8504,'STOK KARTLARI'!$C$2:$K$2150,8,0),0)</f>
        <v>0</v>
      </c>
      <c r="K8504" s="21">
        <f t="shared" si="551"/>
        <v>0</v>
      </c>
      <c r="L8504" s="5">
        <f t="shared" si="553"/>
        <v>0</v>
      </c>
      <c r="M8504" s="4"/>
      <c r="N8504" s="4"/>
      <c r="O8504" s="5"/>
      <c r="P8504" s="5"/>
      <c r="Q8504" s="21">
        <f t="shared" si="554"/>
        <v>0</v>
      </c>
      <c r="R8504" s="21">
        <f t="shared" si="552"/>
        <v>0</v>
      </c>
      <c r="S8504" s="5">
        <f t="shared" si="547"/>
        <v>70007.077158325032</v>
      </c>
      <c r="T8504" cm="1">
        <f t="array" ref="T8504">IF(OR(B8504="MAL ALIMI", B8504="ÜRETİM GİRİŞ"), MIN(I8504, MAX(0, I8504 + SUM(SUMIFS($I$1:I8503, $C$1:C8503, C8504, $B$1:B8503, {"MAL ALIMI","ÜRETİM GİRİŞ"})) - VLOOKUP(C8504, 'STOK RAPORU'!$C$2:$I$1000, 4, 0))), 0)</f>
        <v>0</v>
      </c>
      <c r="U8504" s="22">
        <f t="shared" si="548"/>
        <v>0</v>
      </c>
      <c r="V8504">
        <f t="shared" si="549"/>
        <v>0</v>
      </c>
      <c r="W8504" s="22">
        <f t="shared" si="550"/>
        <v>0</v>
      </c>
    </row>
    <row r="8505" spans="1:23" hidden="1" x14ac:dyDescent="0.25">
      <c r="A8505" s="4"/>
      <c r="B8505" s="4"/>
      <c r="C8505" s="4"/>
      <c r="D8505" s="4"/>
      <c r="E8505" s="4"/>
      <c r="F8505" s="4"/>
      <c r="G8505" s="4"/>
      <c r="H8505" s="4"/>
      <c r="I8505" s="4"/>
      <c r="J8505" s="21">
        <f>IFERROR(VLOOKUP(C8505,'STOK KARTLARI'!$C$2:$K$2150,8,0),0)</f>
        <v>0</v>
      </c>
      <c r="K8505" s="21">
        <f t="shared" si="551"/>
        <v>0</v>
      </c>
      <c r="L8505" s="5">
        <f t="shared" si="553"/>
        <v>0</v>
      </c>
      <c r="M8505" s="4"/>
      <c r="N8505" s="4"/>
      <c r="O8505" s="5"/>
      <c r="P8505" s="5"/>
      <c r="Q8505" s="21">
        <f t="shared" si="554"/>
        <v>0</v>
      </c>
      <c r="R8505" s="21">
        <f t="shared" si="552"/>
        <v>0</v>
      </c>
      <c r="S8505" s="5">
        <f t="shared" si="547"/>
        <v>70007.077158325032</v>
      </c>
      <c r="T8505" cm="1">
        <f t="array" ref="T8505">IF(OR(B8505="MAL ALIMI", B8505="ÜRETİM GİRİŞ"), MIN(I8505, MAX(0, I8505 + SUM(SUMIFS($I$1:I8504, $C$1:C8504, C8505, $B$1:B8504, {"MAL ALIMI","ÜRETİM GİRİŞ"})) - VLOOKUP(C8505, 'STOK RAPORU'!$C$2:$I$1000, 4, 0))), 0)</f>
        <v>0</v>
      </c>
      <c r="U8505" s="22">
        <f t="shared" si="548"/>
        <v>0</v>
      </c>
      <c r="V8505">
        <f t="shared" si="549"/>
        <v>0</v>
      </c>
      <c r="W8505" s="22">
        <f t="shared" si="550"/>
        <v>0</v>
      </c>
    </row>
    <row r="8506" spans="1:23" hidden="1" x14ac:dyDescent="0.25">
      <c r="A8506" s="4"/>
      <c r="B8506" s="4"/>
      <c r="C8506" s="4"/>
      <c r="D8506" s="4"/>
      <c r="E8506" s="4"/>
      <c r="F8506" s="4"/>
      <c r="G8506" s="4"/>
      <c r="H8506" s="4"/>
      <c r="I8506" s="4"/>
      <c r="J8506" s="21">
        <f>IFERROR(VLOOKUP(C8506,'STOK KARTLARI'!$C$2:$K$2150,8,0),0)</f>
        <v>0</v>
      </c>
      <c r="K8506" s="21">
        <f t="shared" si="551"/>
        <v>0</v>
      </c>
      <c r="L8506" s="5">
        <f t="shared" si="553"/>
        <v>0</v>
      </c>
      <c r="M8506" s="4"/>
      <c r="N8506" s="4"/>
      <c r="O8506" s="5"/>
      <c r="P8506" s="5"/>
      <c r="Q8506" s="21">
        <f t="shared" si="554"/>
        <v>0</v>
      </c>
      <c r="R8506" s="21">
        <f t="shared" si="552"/>
        <v>0</v>
      </c>
      <c r="S8506" s="5">
        <f t="shared" si="547"/>
        <v>70007.077158325032</v>
      </c>
      <c r="T8506" cm="1">
        <f t="array" ref="T8506">IF(OR(B8506="MAL ALIMI", B8506="ÜRETİM GİRİŞ"), MIN(I8506, MAX(0, I8506 + SUM(SUMIFS($I$1:I8505, $C$1:C8505, C8506, $B$1:B8505, {"MAL ALIMI","ÜRETİM GİRİŞ"})) - VLOOKUP(C8506, 'STOK RAPORU'!$C$2:$I$1000, 4, 0))), 0)</f>
        <v>0</v>
      </c>
      <c r="U8506" s="22">
        <f t="shared" si="548"/>
        <v>0</v>
      </c>
      <c r="V8506">
        <f t="shared" si="549"/>
        <v>0</v>
      </c>
      <c r="W8506" s="22">
        <f t="shared" si="550"/>
        <v>0</v>
      </c>
    </row>
    <row r="8507" spans="1:23" hidden="1" x14ac:dyDescent="0.25">
      <c r="A8507" s="4"/>
      <c r="B8507" s="4"/>
      <c r="C8507" s="4"/>
      <c r="D8507" s="4"/>
      <c r="E8507" s="4"/>
      <c r="F8507" s="4"/>
      <c r="G8507" s="4"/>
      <c r="H8507" s="4"/>
      <c r="I8507" s="4"/>
      <c r="J8507" s="21">
        <f>IFERROR(VLOOKUP(C8507,'STOK KARTLARI'!$C$2:$K$2150,8,0),0)</f>
        <v>0</v>
      </c>
      <c r="K8507" s="21">
        <f t="shared" si="551"/>
        <v>0</v>
      </c>
      <c r="L8507" s="5">
        <f t="shared" si="553"/>
        <v>0</v>
      </c>
      <c r="M8507" s="4"/>
      <c r="N8507" s="4"/>
      <c r="O8507" s="5"/>
      <c r="P8507" s="5"/>
      <c r="Q8507" s="21">
        <f t="shared" si="554"/>
        <v>0</v>
      </c>
      <c r="R8507" s="21">
        <f t="shared" si="552"/>
        <v>0</v>
      </c>
      <c r="S8507" s="5">
        <f t="shared" si="547"/>
        <v>70007.077158325032</v>
      </c>
      <c r="T8507" cm="1">
        <f t="array" ref="T8507">IF(OR(B8507="MAL ALIMI", B8507="ÜRETİM GİRİŞ"), MIN(I8507, MAX(0, I8507 + SUM(SUMIFS($I$1:I8506, $C$1:C8506, C8507, $B$1:B8506, {"MAL ALIMI","ÜRETİM GİRİŞ"})) - VLOOKUP(C8507, 'STOK RAPORU'!$C$2:$I$1000, 4, 0))), 0)</f>
        <v>0</v>
      </c>
      <c r="U8507" s="22">
        <f t="shared" si="548"/>
        <v>0</v>
      </c>
      <c r="V8507">
        <f t="shared" si="549"/>
        <v>0</v>
      </c>
      <c r="W8507" s="22">
        <f t="shared" si="550"/>
        <v>0</v>
      </c>
    </row>
    <row r="8508" spans="1:23" hidden="1" x14ac:dyDescent="0.25">
      <c r="A8508" s="4"/>
      <c r="B8508" s="4"/>
      <c r="C8508" s="4"/>
      <c r="D8508" s="4"/>
      <c r="E8508" s="4"/>
      <c r="F8508" s="4"/>
      <c r="G8508" s="4"/>
      <c r="H8508" s="4"/>
      <c r="I8508" s="4"/>
      <c r="J8508" s="21">
        <f>IFERROR(VLOOKUP(C8508,'STOK KARTLARI'!$C$2:$K$2150,8,0),0)</f>
        <v>0</v>
      </c>
      <c r="K8508" s="21">
        <f t="shared" si="551"/>
        <v>0</v>
      </c>
      <c r="L8508" s="5">
        <f t="shared" si="553"/>
        <v>0</v>
      </c>
      <c r="M8508" s="4"/>
      <c r="N8508" s="4"/>
      <c r="O8508" s="5"/>
      <c r="P8508" s="5"/>
      <c r="Q8508" s="21">
        <f t="shared" si="554"/>
        <v>0</v>
      </c>
      <c r="R8508" s="21">
        <f t="shared" si="552"/>
        <v>0</v>
      </c>
      <c r="S8508" s="5">
        <f t="shared" si="547"/>
        <v>70007.077158325032</v>
      </c>
      <c r="T8508" cm="1">
        <f t="array" ref="T8508">IF(OR(B8508="MAL ALIMI", B8508="ÜRETİM GİRİŞ"), MIN(I8508, MAX(0, I8508 + SUM(SUMIFS($I$1:I8507, $C$1:C8507, C8508, $B$1:B8507, {"MAL ALIMI","ÜRETİM GİRİŞ"})) - VLOOKUP(C8508, 'STOK RAPORU'!$C$2:$I$1000, 4, 0))), 0)</f>
        <v>0</v>
      </c>
      <c r="U8508" s="22">
        <f t="shared" si="548"/>
        <v>0</v>
      </c>
      <c r="V8508">
        <f t="shared" si="549"/>
        <v>0</v>
      </c>
      <c r="W8508" s="22">
        <f t="shared" si="550"/>
        <v>0</v>
      </c>
    </row>
    <row r="8509" spans="1:23" hidden="1" x14ac:dyDescent="0.25">
      <c r="A8509" s="4"/>
      <c r="B8509" s="4"/>
      <c r="C8509" s="4"/>
      <c r="D8509" s="4"/>
      <c r="E8509" s="4"/>
      <c r="F8509" s="4"/>
      <c r="G8509" s="4"/>
      <c r="H8509" s="4"/>
      <c r="I8509" s="4"/>
      <c r="J8509" s="21">
        <f>IFERROR(VLOOKUP(C8509,'STOK KARTLARI'!$C$2:$K$2150,8,0),0)</f>
        <v>0</v>
      </c>
      <c r="K8509" s="21">
        <f t="shared" si="551"/>
        <v>0</v>
      </c>
      <c r="L8509" s="5">
        <f t="shared" si="553"/>
        <v>0</v>
      </c>
      <c r="M8509" s="4"/>
      <c r="N8509" s="4"/>
      <c r="O8509" s="5"/>
      <c r="P8509" s="5"/>
      <c r="Q8509" s="21">
        <f t="shared" si="554"/>
        <v>0</v>
      </c>
      <c r="R8509" s="21">
        <f t="shared" si="552"/>
        <v>0</v>
      </c>
      <c r="S8509" s="5">
        <f t="shared" si="547"/>
        <v>70007.077158325032</v>
      </c>
      <c r="T8509" cm="1">
        <f t="array" ref="T8509">IF(OR(B8509="MAL ALIMI", B8509="ÜRETİM GİRİŞ"), MIN(I8509, MAX(0, I8509 + SUM(SUMIFS($I$1:I8508, $C$1:C8508, C8509, $B$1:B8508, {"MAL ALIMI","ÜRETİM GİRİŞ"})) - VLOOKUP(C8509, 'STOK RAPORU'!$C$2:$I$1000, 4, 0))), 0)</f>
        <v>0</v>
      </c>
      <c r="U8509" s="22">
        <f t="shared" si="548"/>
        <v>0</v>
      </c>
      <c r="V8509">
        <f t="shared" si="549"/>
        <v>0</v>
      </c>
      <c r="W8509" s="22">
        <f t="shared" si="550"/>
        <v>0</v>
      </c>
    </row>
    <row r="8510" spans="1:23" hidden="1" x14ac:dyDescent="0.25">
      <c r="A8510" s="4"/>
      <c r="B8510" s="4"/>
      <c r="C8510" s="4"/>
      <c r="D8510" s="4"/>
      <c r="E8510" s="4"/>
      <c r="F8510" s="4"/>
      <c r="G8510" s="4"/>
      <c r="H8510" s="4"/>
      <c r="I8510" s="4"/>
      <c r="J8510" s="21">
        <f>IFERROR(VLOOKUP(C8510,'STOK KARTLARI'!$C$2:$K$2150,8,0),0)</f>
        <v>0</v>
      </c>
      <c r="K8510" s="21">
        <f t="shared" si="551"/>
        <v>0</v>
      </c>
      <c r="L8510" s="5">
        <f t="shared" si="553"/>
        <v>0</v>
      </c>
      <c r="M8510" s="4"/>
      <c r="N8510" s="4"/>
      <c r="O8510" s="5"/>
      <c r="P8510" s="5"/>
      <c r="Q8510" s="21">
        <f t="shared" si="554"/>
        <v>0</v>
      </c>
      <c r="R8510" s="21">
        <f t="shared" si="552"/>
        <v>0</v>
      </c>
      <c r="S8510" s="5">
        <f t="shared" si="547"/>
        <v>70007.077158325032</v>
      </c>
      <c r="T8510" cm="1">
        <f t="array" ref="T8510">IF(OR(B8510="MAL ALIMI", B8510="ÜRETİM GİRİŞ"), MIN(I8510, MAX(0, I8510 + SUM(SUMIFS($I$1:I8509, $C$1:C8509, C8510, $B$1:B8509, {"MAL ALIMI","ÜRETİM GİRİŞ"})) - VLOOKUP(C8510, 'STOK RAPORU'!$C$2:$I$1000, 4, 0))), 0)</f>
        <v>0</v>
      </c>
      <c r="U8510" s="22">
        <f t="shared" si="548"/>
        <v>0</v>
      </c>
      <c r="V8510">
        <f t="shared" si="549"/>
        <v>0</v>
      </c>
      <c r="W8510" s="22">
        <f t="shared" si="550"/>
        <v>0</v>
      </c>
    </row>
    <row r="8511" spans="1:23" hidden="1" x14ac:dyDescent="0.25">
      <c r="A8511" s="3"/>
      <c r="B8511" s="4"/>
      <c r="C8511" s="4"/>
      <c r="D8511" s="4"/>
      <c r="E8511" s="4"/>
      <c r="F8511" s="4"/>
      <c r="G8511" s="4"/>
      <c r="H8511" s="4"/>
      <c r="I8511" s="4"/>
      <c r="J8511" s="21">
        <f>IFERROR(VLOOKUP(C8511,'STOK KARTLARI'!$C$2:$K$2150,8,0),0)</f>
        <v>0</v>
      </c>
      <c r="K8511" s="21">
        <f t="shared" si="551"/>
        <v>0</v>
      </c>
      <c r="L8511" s="5">
        <f t="shared" si="553"/>
        <v>0</v>
      </c>
      <c r="M8511" s="4"/>
      <c r="N8511" s="4"/>
      <c r="O8511" s="5"/>
      <c r="P8511" s="5"/>
      <c r="Q8511" s="21">
        <f t="shared" si="554"/>
        <v>0</v>
      </c>
      <c r="R8511" s="21">
        <f t="shared" si="552"/>
        <v>0</v>
      </c>
      <c r="S8511" s="5">
        <f t="shared" si="547"/>
        <v>70007.077158325032</v>
      </c>
      <c r="T8511" cm="1">
        <f t="array" ref="T8511">IF(OR(B8511="MAL ALIMI", B8511="ÜRETİM GİRİŞ"), MIN(I8511, MAX(0, I8511 + SUM(SUMIFS($I$1:I8510, $C$1:C8510, C8511, $B$1:B8510, {"MAL ALIMI","ÜRETİM GİRİŞ"})) - VLOOKUP(C8511, 'STOK RAPORU'!$C$2:$I$1000, 4, 0))), 0)</f>
        <v>0</v>
      </c>
      <c r="U8511" s="22">
        <f t="shared" si="548"/>
        <v>0</v>
      </c>
      <c r="V8511">
        <f t="shared" si="549"/>
        <v>0</v>
      </c>
      <c r="W8511" s="22">
        <f t="shared" si="550"/>
        <v>0</v>
      </c>
    </row>
    <row r="8512" spans="1:23" hidden="1" x14ac:dyDescent="0.25">
      <c r="A8512" s="4"/>
      <c r="B8512" s="4"/>
      <c r="C8512" s="4"/>
      <c r="D8512" s="4"/>
      <c r="E8512" s="4"/>
      <c r="F8512" s="4"/>
      <c r="G8512" s="4"/>
      <c r="H8512" s="4"/>
      <c r="I8512" s="4"/>
      <c r="J8512" s="21">
        <f>IFERROR(VLOOKUP(C8512,'STOK KARTLARI'!$C$2:$K$2150,8,0),0)</f>
        <v>0</v>
      </c>
      <c r="K8512" s="21">
        <f t="shared" si="551"/>
        <v>0</v>
      </c>
      <c r="L8512" s="5">
        <f t="shared" si="553"/>
        <v>0</v>
      </c>
      <c r="M8512" s="4"/>
      <c r="N8512" s="4"/>
      <c r="O8512" s="5"/>
      <c r="P8512" s="5"/>
      <c r="Q8512" s="21">
        <f t="shared" si="554"/>
        <v>0</v>
      </c>
      <c r="R8512" s="21">
        <f t="shared" si="552"/>
        <v>0</v>
      </c>
      <c r="S8512" s="5">
        <f t="shared" si="547"/>
        <v>70007.077158325032</v>
      </c>
      <c r="T8512" cm="1">
        <f t="array" ref="T8512">IF(OR(B8512="MAL ALIMI", B8512="ÜRETİM GİRİŞ"), MIN(I8512, MAX(0, I8512 + SUM(SUMIFS($I$1:I8511, $C$1:C8511, C8512, $B$1:B8511, {"MAL ALIMI","ÜRETİM GİRİŞ"})) - VLOOKUP(C8512, 'STOK RAPORU'!$C$2:$I$1000, 4, 0))), 0)</f>
        <v>0</v>
      </c>
      <c r="U8512" s="22">
        <f t="shared" si="548"/>
        <v>0</v>
      </c>
      <c r="V8512">
        <f t="shared" si="549"/>
        <v>0</v>
      </c>
      <c r="W8512" s="22">
        <f t="shared" si="550"/>
        <v>0</v>
      </c>
    </row>
    <row r="8513" spans="1:23" hidden="1" x14ac:dyDescent="0.25">
      <c r="A8513" s="4"/>
      <c r="B8513" s="4"/>
      <c r="C8513" s="4"/>
      <c r="D8513" s="4"/>
      <c r="E8513" s="4"/>
      <c r="F8513" s="4"/>
      <c r="G8513" s="4"/>
      <c r="H8513" s="4"/>
      <c r="I8513" s="4"/>
      <c r="J8513" s="21">
        <f>IFERROR(VLOOKUP(C8513,'STOK KARTLARI'!$C$2:$K$2150,8,0),0)</f>
        <v>0</v>
      </c>
      <c r="K8513" s="21">
        <f t="shared" si="551"/>
        <v>0</v>
      </c>
      <c r="L8513" s="5">
        <f t="shared" si="553"/>
        <v>0</v>
      </c>
      <c r="M8513" s="4"/>
      <c r="N8513" s="4"/>
      <c r="O8513" s="5"/>
      <c r="P8513" s="5"/>
      <c r="Q8513" s="21">
        <f t="shared" si="554"/>
        <v>0</v>
      </c>
      <c r="R8513" s="21">
        <f t="shared" si="552"/>
        <v>0</v>
      </c>
      <c r="S8513" s="5">
        <f t="shared" si="547"/>
        <v>70007.077158325032</v>
      </c>
      <c r="T8513" cm="1">
        <f t="array" ref="T8513">IF(OR(B8513="MAL ALIMI", B8513="ÜRETİM GİRİŞ"), MIN(I8513, MAX(0, I8513 + SUM(SUMIFS($I$1:I8512, $C$1:C8512, C8513, $B$1:B8512, {"MAL ALIMI","ÜRETİM GİRİŞ"})) - VLOOKUP(C8513, 'STOK RAPORU'!$C$2:$I$1000, 4, 0))), 0)</f>
        <v>0</v>
      </c>
      <c r="U8513" s="22">
        <f t="shared" si="548"/>
        <v>0</v>
      </c>
      <c r="V8513">
        <f t="shared" si="549"/>
        <v>0</v>
      </c>
      <c r="W8513" s="22">
        <f t="shared" si="550"/>
        <v>0</v>
      </c>
    </row>
    <row r="8514" spans="1:23" hidden="1" x14ac:dyDescent="0.25">
      <c r="A8514" s="4"/>
      <c r="B8514" s="4"/>
      <c r="C8514" s="4"/>
      <c r="D8514" s="4"/>
      <c r="E8514" s="4"/>
      <c r="F8514" s="4"/>
      <c r="G8514" s="4"/>
      <c r="H8514" s="4"/>
      <c r="I8514" s="4"/>
      <c r="J8514" s="21">
        <f>IFERROR(VLOOKUP(C8514,'STOK KARTLARI'!$C$2:$K$2150,8,0),0)</f>
        <v>0</v>
      </c>
      <c r="K8514" s="21">
        <f t="shared" si="551"/>
        <v>0</v>
      </c>
      <c r="L8514" s="5">
        <f t="shared" si="553"/>
        <v>0</v>
      </c>
      <c r="M8514" s="4"/>
      <c r="N8514" s="4"/>
      <c r="O8514" s="5"/>
      <c r="P8514" s="5"/>
      <c r="Q8514" s="21">
        <f t="shared" si="554"/>
        <v>0</v>
      </c>
      <c r="R8514" s="21">
        <f t="shared" si="552"/>
        <v>0</v>
      </c>
      <c r="S8514" s="5">
        <f t="shared" si="547"/>
        <v>70007.077158325032</v>
      </c>
      <c r="T8514" cm="1">
        <f t="array" ref="T8514">IF(OR(B8514="MAL ALIMI", B8514="ÜRETİM GİRİŞ"), MIN(I8514, MAX(0, I8514 + SUM(SUMIFS($I$1:I8513, $C$1:C8513, C8514, $B$1:B8513, {"MAL ALIMI","ÜRETİM GİRİŞ"})) - VLOOKUP(C8514, 'STOK RAPORU'!$C$2:$I$1000, 4, 0))), 0)</f>
        <v>0</v>
      </c>
      <c r="U8514" s="22">
        <f t="shared" si="548"/>
        <v>0</v>
      </c>
      <c r="V8514">
        <f t="shared" si="549"/>
        <v>0</v>
      </c>
      <c r="W8514" s="22">
        <f t="shared" si="550"/>
        <v>0</v>
      </c>
    </row>
    <row r="8515" spans="1:23" hidden="1" x14ac:dyDescent="0.25">
      <c r="A8515" s="4"/>
      <c r="B8515" s="4"/>
      <c r="C8515" s="4"/>
      <c r="D8515" s="4"/>
      <c r="E8515" s="4"/>
      <c r="F8515" s="4"/>
      <c r="G8515" s="4"/>
      <c r="H8515" s="4"/>
      <c r="I8515" s="4"/>
      <c r="J8515" s="21">
        <f>IFERROR(VLOOKUP(C8515,'STOK KARTLARI'!$C$2:$K$2150,8,0),0)</f>
        <v>0</v>
      </c>
      <c r="K8515" s="21">
        <f t="shared" si="551"/>
        <v>0</v>
      </c>
      <c r="L8515" s="5">
        <f t="shared" si="553"/>
        <v>0</v>
      </c>
      <c r="M8515" s="4"/>
      <c r="N8515" s="4"/>
      <c r="O8515" s="5"/>
      <c r="P8515" s="5"/>
      <c r="Q8515" s="21">
        <f t="shared" si="554"/>
        <v>0</v>
      </c>
      <c r="R8515" s="21">
        <f t="shared" si="552"/>
        <v>0</v>
      </c>
      <c r="S8515" s="5">
        <f t="shared" si="547"/>
        <v>70007.077158325032</v>
      </c>
      <c r="T8515" cm="1">
        <f t="array" ref="T8515">IF(OR(B8515="MAL ALIMI", B8515="ÜRETİM GİRİŞ"), MIN(I8515, MAX(0, I8515 + SUM(SUMIFS($I$1:I8514, $C$1:C8514, C8515, $B$1:B8514, {"MAL ALIMI","ÜRETİM GİRİŞ"})) - VLOOKUP(C8515, 'STOK RAPORU'!$C$2:$I$1000, 4, 0))), 0)</f>
        <v>0</v>
      </c>
      <c r="U8515" s="22">
        <f t="shared" si="548"/>
        <v>0</v>
      </c>
      <c r="V8515">
        <f t="shared" si="549"/>
        <v>0</v>
      </c>
      <c r="W8515" s="22">
        <f t="shared" si="550"/>
        <v>0</v>
      </c>
    </row>
    <row r="8516" spans="1:23" hidden="1" x14ac:dyDescent="0.25">
      <c r="A8516" s="4"/>
      <c r="B8516" s="4"/>
      <c r="C8516" s="4"/>
      <c r="D8516" s="4"/>
      <c r="E8516" s="4"/>
      <c r="F8516" s="4"/>
      <c r="G8516" s="4"/>
      <c r="H8516" s="4"/>
      <c r="I8516" s="4"/>
      <c r="J8516" s="21">
        <f>IFERROR(VLOOKUP(C8516,'STOK KARTLARI'!$C$2:$K$2150,8,0),0)</f>
        <v>0</v>
      </c>
      <c r="K8516" s="21">
        <f t="shared" si="551"/>
        <v>0</v>
      </c>
      <c r="L8516" s="5">
        <f t="shared" si="553"/>
        <v>0</v>
      </c>
      <c r="M8516" s="4"/>
      <c r="N8516" s="4"/>
      <c r="O8516" s="5"/>
      <c r="P8516" s="5"/>
      <c r="Q8516" s="21">
        <f t="shared" si="554"/>
        <v>0</v>
      </c>
      <c r="R8516" s="21">
        <f t="shared" si="552"/>
        <v>0</v>
      </c>
      <c r="S8516" s="5">
        <f t="shared" si="547"/>
        <v>70007.077158325032</v>
      </c>
      <c r="T8516" cm="1">
        <f t="array" ref="T8516">IF(OR(B8516="MAL ALIMI", B8516="ÜRETİM GİRİŞ"), MIN(I8516, MAX(0, I8516 + SUM(SUMIFS($I$1:I8515, $C$1:C8515, C8516, $B$1:B8515, {"MAL ALIMI","ÜRETİM GİRİŞ"})) - VLOOKUP(C8516, 'STOK RAPORU'!$C$2:$I$1000, 4, 0))), 0)</f>
        <v>0</v>
      </c>
      <c r="U8516" s="22">
        <f t="shared" si="548"/>
        <v>0</v>
      </c>
      <c r="V8516">
        <f t="shared" si="549"/>
        <v>0</v>
      </c>
      <c r="W8516" s="22">
        <f t="shared" si="550"/>
        <v>0</v>
      </c>
    </row>
    <row r="8517" spans="1:23" hidden="1" x14ac:dyDescent="0.25">
      <c r="A8517" s="4"/>
      <c r="B8517" s="4"/>
      <c r="C8517" s="4"/>
      <c r="D8517" s="4"/>
      <c r="E8517" s="4"/>
      <c r="F8517" s="4"/>
      <c r="G8517" s="4"/>
      <c r="H8517" s="4"/>
      <c r="I8517" s="4"/>
      <c r="J8517" s="21">
        <f>IFERROR(VLOOKUP(C8517,'STOK KARTLARI'!$C$2:$K$2150,8,0),0)</f>
        <v>0</v>
      </c>
      <c r="K8517" s="21">
        <f t="shared" si="551"/>
        <v>0</v>
      </c>
      <c r="L8517" s="5">
        <f t="shared" si="553"/>
        <v>0</v>
      </c>
      <c r="M8517" s="4"/>
      <c r="N8517" s="4"/>
      <c r="O8517" s="5"/>
      <c r="P8517" s="5"/>
      <c r="Q8517" s="21">
        <f t="shared" si="554"/>
        <v>0</v>
      </c>
      <c r="R8517" s="21">
        <f t="shared" si="552"/>
        <v>0</v>
      </c>
      <c r="S8517" s="5">
        <f t="shared" ref="S8517:S8580" si="555">S8516+Q8517-R8517</f>
        <v>70007.077158325032</v>
      </c>
      <c r="T8517" cm="1">
        <f t="array" ref="T8517">IF(OR(B8517="MAL ALIMI", B8517="ÜRETİM GİRİŞ"), MIN(I8517, MAX(0, I8517 + SUM(SUMIFS($I$1:I8516, $C$1:C8516, C8517, $B$1:B8516, {"MAL ALIMI","ÜRETİM GİRİŞ"})) - VLOOKUP(C8517, 'STOK RAPORU'!$C$2:$I$1000, 4, 0))), 0)</f>
        <v>0</v>
      </c>
      <c r="U8517" s="22">
        <f t="shared" si="548"/>
        <v>0</v>
      </c>
      <c r="V8517">
        <f t="shared" si="549"/>
        <v>0</v>
      </c>
      <c r="W8517" s="22">
        <f t="shared" si="550"/>
        <v>0</v>
      </c>
    </row>
    <row r="8518" spans="1:23" hidden="1" x14ac:dyDescent="0.25">
      <c r="A8518" s="3"/>
      <c r="B8518" s="4"/>
      <c r="C8518" s="4"/>
      <c r="D8518" s="4"/>
      <c r="E8518" s="4"/>
      <c r="F8518" s="4"/>
      <c r="G8518" s="4"/>
      <c r="H8518" s="4"/>
      <c r="I8518" s="4"/>
      <c r="J8518" s="21">
        <f>IFERROR(VLOOKUP(C8518,'STOK KARTLARI'!$C$2:$K$2150,8,0),0)</f>
        <v>0</v>
      </c>
      <c r="K8518" s="21">
        <f t="shared" si="551"/>
        <v>0</v>
      </c>
      <c r="L8518" s="5">
        <f t="shared" si="553"/>
        <v>0</v>
      </c>
      <c r="M8518" s="4"/>
      <c r="N8518" s="4"/>
      <c r="O8518" s="5"/>
      <c r="P8518" s="5"/>
      <c r="Q8518" s="21">
        <f t="shared" si="554"/>
        <v>0</v>
      </c>
      <c r="R8518" s="21">
        <f t="shared" si="552"/>
        <v>0</v>
      </c>
      <c r="S8518" s="5">
        <f t="shared" si="555"/>
        <v>70007.077158325032</v>
      </c>
      <c r="T8518" cm="1">
        <f t="array" ref="T8518">IF(OR(B8518="MAL ALIMI", B8518="ÜRETİM GİRİŞ"), MIN(I8518, MAX(0, I8518 + SUM(SUMIFS($I$1:I8517, $C$1:C8517, C8518, $B$1:B8517, {"MAL ALIMI","ÜRETİM GİRİŞ"})) - VLOOKUP(C8518, 'STOK RAPORU'!$C$2:$I$1000, 4, 0))), 0)</f>
        <v>0</v>
      </c>
      <c r="U8518" s="22">
        <f t="shared" si="548"/>
        <v>0</v>
      </c>
      <c r="V8518">
        <f t="shared" si="549"/>
        <v>0</v>
      </c>
      <c r="W8518" s="22">
        <f t="shared" si="550"/>
        <v>0</v>
      </c>
    </row>
    <row r="8519" spans="1:23" hidden="1" x14ac:dyDescent="0.25">
      <c r="A8519" s="4"/>
      <c r="B8519" s="4"/>
      <c r="C8519" s="4"/>
      <c r="D8519" s="4"/>
      <c r="E8519" s="4"/>
      <c r="F8519" s="4"/>
      <c r="G8519" s="4"/>
      <c r="H8519" s="4"/>
      <c r="I8519" s="4"/>
      <c r="J8519" s="21">
        <f>IFERROR(VLOOKUP(C8519,'STOK KARTLARI'!$C$2:$K$2150,8,0),0)</f>
        <v>0</v>
      </c>
      <c r="K8519" s="21">
        <f t="shared" si="551"/>
        <v>0</v>
      </c>
      <c r="L8519" s="5">
        <f t="shared" si="553"/>
        <v>0</v>
      </c>
      <c r="M8519" s="4"/>
      <c r="N8519" s="4"/>
      <c r="O8519" s="5"/>
      <c r="P8519" s="5"/>
      <c r="Q8519" s="21">
        <f t="shared" si="554"/>
        <v>0</v>
      </c>
      <c r="R8519" s="21">
        <f t="shared" si="552"/>
        <v>0</v>
      </c>
      <c r="S8519" s="5">
        <f t="shared" si="555"/>
        <v>70007.077158325032</v>
      </c>
      <c r="T8519" cm="1">
        <f t="array" ref="T8519">IF(OR(B8519="MAL ALIMI", B8519="ÜRETİM GİRİŞ"), MIN(I8519, MAX(0, I8519 + SUM(SUMIFS($I$1:I8518, $C$1:C8518, C8519, $B$1:B8518, {"MAL ALIMI","ÜRETİM GİRİŞ"})) - VLOOKUP(C8519, 'STOK RAPORU'!$C$2:$I$1000, 4, 0))), 0)</f>
        <v>0</v>
      </c>
      <c r="U8519" s="22">
        <f t="shared" si="548"/>
        <v>0</v>
      </c>
      <c r="V8519">
        <f t="shared" si="549"/>
        <v>0</v>
      </c>
      <c r="W8519" s="22">
        <f t="shared" si="550"/>
        <v>0</v>
      </c>
    </row>
    <row r="8520" spans="1:23" hidden="1" x14ac:dyDescent="0.25">
      <c r="A8520" s="4"/>
      <c r="B8520" s="4"/>
      <c r="C8520" s="4"/>
      <c r="D8520" s="4"/>
      <c r="E8520" s="4"/>
      <c r="F8520" s="4"/>
      <c r="G8520" s="4"/>
      <c r="H8520" s="4"/>
      <c r="I8520" s="4"/>
      <c r="J8520" s="21">
        <f>IFERROR(VLOOKUP(C8520,'STOK KARTLARI'!$C$2:$K$2150,8,0),0)</f>
        <v>0</v>
      </c>
      <c r="K8520" s="21">
        <f t="shared" si="551"/>
        <v>0</v>
      </c>
      <c r="L8520" s="5">
        <f t="shared" si="553"/>
        <v>0</v>
      </c>
      <c r="M8520" s="4"/>
      <c r="N8520" s="4"/>
      <c r="O8520" s="5"/>
      <c r="P8520" s="5"/>
      <c r="Q8520" s="21">
        <f t="shared" si="554"/>
        <v>0</v>
      </c>
      <c r="R8520" s="21">
        <f t="shared" si="552"/>
        <v>0</v>
      </c>
      <c r="S8520" s="5">
        <f t="shared" si="555"/>
        <v>70007.077158325032</v>
      </c>
      <c r="T8520" cm="1">
        <f t="array" ref="T8520">IF(OR(B8520="MAL ALIMI", B8520="ÜRETİM GİRİŞ"), MIN(I8520, MAX(0, I8520 + SUM(SUMIFS($I$1:I8519, $C$1:C8519, C8520, $B$1:B8519, {"MAL ALIMI","ÜRETİM GİRİŞ"})) - VLOOKUP(C8520, 'STOK RAPORU'!$C$2:$I$1000, 4, 0))), 0)</f>
        <v>0</v>
      </c>
      <c r="U8520" s="22">
        <f t="shared" si="548"/>
        <v>0</v>
      </c>
      <c r="V8520">
        <f t="shared" si="549"/>
        <v>0</v>
      </c>
      <c r="W8520" s="22">
        <f t="shared" si="550"/>
        <v>0</v>
      </c>
    </row>
    <row r="8521" spans="1:23" hidden="1" x14ac:dyDescent="0.25">
      <c r="A8521" s="4"/>
      <c r="B8521" s="4"/>
      <c r="C8521" s="4"/>
      <c r="D8521" s="4"/>
      <c r="E8521" s="4"/>
      <c r="F8521" s="4"/>
      <c r="G8521" s="4"/>
      <c r="H8521" s="4"/>
      <c r="I8521" s="4"/>
      <c r="J8521" s="21">
        <f>IFERROR(VLOOKUP(C8521,'STOK KARTLARI'!$C$2:$K$2150,8,0),0)</f>
        <v>0</v>
      </c>
      <c r="K8521" s="21">
        <f t="shared" si="551"/>
        <v>0</v>
      </c>
      <c r="L8521" s="5">
        <f t="shared" si="553"/>
        <v>0</v>
      </c>
      <c r="M8521" s="4"/>
      <c r="N8521" s="4"/>
      <c r="O8521" s="5"/>
      <c r="P8521" s="5"/>
      <c r="Q8521" s="21">
        <f t="shared" si="554"/>
        <v>0</v>
      </c>
      <c r="R8521" s="21">
        <f t="shared" si="552"/>
        <v>0</v>
      </c>
      <c r="S8521" s="5">
        <f t="shared" si="555"/>
        <v>70007.077158325032</v>
      </c>
      <c r="T8521" cm="1">
        <f t="array" ref="T8521">IF(OR(B8521="MAL ALIMI", B8521="ÜRETİM GİRİŞ"), MIN(I8521, MAX(0, I8521 + SUM(SUMIFS($I$1:I8520, $C$1:C8520, C8521, $B$1:B8520, {"MAL ALIMI","ÜRETİM GİRİŞ"})) - VLOOKUP(C8521, 'STOK RAPORU'!$C$2:$I$1000, 4, 0))), 0)</f>
        <v>0</v>
      </c>
      <c r="U8521" s="22">
        <f t="shared" si="548"/>
        <v>0</v>
      </c>
      <c r="V8521">
        <f t="shared" si="549"/>
        <v>0</v>
      </c>
      <c r="W8521" s="22">
        <f t="shared" si="550"/>
        <v>0</v>
      </c>
    </row>
    <row r="8522" spans="1:23" hidden="1" x14ac:dyDescent="0.25">
      <c r="A8522" s="4"/>
      <c r="B8522" s="4"/>
      <c r="C8522" s="4"/>
      <c r="D8522" s="4"/>
      <c r="E8522" s="4"/>
      <c r="F8522" s="4"/>
      <c r="G8522" s="4"/>
      <c r="H8522" s="4"/>
      <c r="I8522" s="4"/>
      <c r="J8522" s="21">
        <f>IFERROR(VLOOKUP(C8522,'STOK KARTLARI'!$C$2:$K$2150,8,0),0)</f>
        <v>0</v>
      </c>
      <c r="K8522" s="21">
        <f t="shared" si="551"/>
        <v>0</v>
      </c>
      <c r="L8522" s="5">
        <f t="shared" si="553"/>
        <v>0</v>
      </c>
      <c r="M8522" s="4"/>
      <c r="N8522" s="4"/>
      <c r="O8522" s="5"/>
      <c r="P8522" s="5"/>
      <c r="Q8522" s="21">
        <f t="shared" si="554"/>
        <v>0</v>
      </c>
      <c r="R8522" s="21">
        <f t="shared" si="552"/>
        <v>0</v>
      </c>
      <c r="S8522" s="5">
        <f t="shared" si="555"/>
        <v>70007.077158325032</v>
      </c>
      <c r="T8522" cm="1">
        <f t="array" ref="T8522">IF(OR(B8522="MAL ALIMI", B8522="ÜRETİM GİRİŞ"), MIN(I8522, MAX(0, I8522 + SUM(SUMIFS($I$1:I8521, $C$1:C8521, C8522, $B$1:B8521, {"MAL ALIMI","ÜRETİM GİRİŞ"})) - VLOOKUP(C8522, 'STOK RAPORU'!$C$2:$I$1000, 4, 0))), 0)</f>
        <v>0</v>
      </c>
      <c r="U8522" s="22">
        <f t="shared" si="548"/>
        <v>0</v>
      </c>
      <c r="V8522">
        <f t="shared" si="549"/>
        <v>0</v>
      </c>
      <c r="W8522" s="22">
        <f t="shared" si="550"/>
        <v>0</v>
      </c>
    </row>
    <row r="8523" spans="1:23" hidden="1" x14ac:dyDescent="0.25">
      <c r="A8523" s="4"/>
      <c r="B8523" s="4"/>
      <c r="C8523" s="4"/>
      <c r="D8523" s="4"/>
      <c r="E8523" s="4"/>
      <c r="F8523" s="4"/>
      <c r="G8523" s="4"/>
      <c r="H8523" s="4"/>
      <c r="I8523" s="4"/>
      <c r="J8523" s="21">
        <f>IFERROR(VLOOKUP(C8523,'STOK KARTLARI'!$C$2:$K$2150,8,0),0)</f>
        <v>0</v>
      </c>
      <c r="K8523" s="21">
        <f t="shared" si="551"/>
        <v>0</v>
      </c>
      <c r="L8523" s="5">
        <f t="shared" si="553"/>
        <v>0</v>
      </c>
      <c r="M8523" s="4"/>
      <c r="N8523" s="4"/>
      <c r="O8523" s="5"/>
      <c r="P8523" s="5"/>
      <c r="Q8523" s="21">
        <f t="shared" si="554"/>
        <v>0</v>
      </c>
      <c r="R8523" s="21">
        <f t="shared" si="552"/>
        <v>0</v>
      </c>
      <c r="S8523" s="5">
        <f t="shared" si="555"/>
        <v>70007.077158325032</v>
      </c>
      <c r="T8523" cm="1">
        <f t="array" ref="T8523">IF(OR(B8523="MAL ALIMI", B8523="ÜRETİM GİRİŞ"), MIN(I8523, MAX(0, I8523 + SUM(SUMIFS($I$1:I8522, $C$1:C8522, C8523, $B$1:B8522, {"MAL ALIMI","ÜRETİM GİRİŞ"})) - VLOOKUP(C8523, 'STOK RAPORU'!$C$2:$I$1000, 4, 0))), 0)</f>
        <v>0</v>
      </c>
      <c r="U8523" s="22">
        <f t="shared" si="548"/>
        <v>0</v>
      </c>
      <c r="V8523">
        <f t="shared" si="549"/>
        <v>0</v>
      </c>
      <c r="W8523" s="22">
        <f t="shared" si="550"/>
        <v>0</v>
      </c>
    </row>
    <row r="8524" spans="1:23" hidden="1" x14ac:dyDescent="0.25">
      <c r="A8524" s="4"/>
      <c r="B8524" s="4"/>
      <c r="C8524" s="4"/>
      <c r="D8524" s="4"/>
      <c r="E8524" s="4"/>
      <c r="F8524" s="4"/>
      <c r="G8524" s="4"/>
      <c r="H8524" s="4"/>
      <c r="I8524" s="4"/>
      <c r="J8524" s="21">
        <f>IFERROR(VLOOKUP(C8524,'STOK KARTLARI'!$C$2:$K$2150,8,0),0)</f>
        <v>0</v>
      </c>
      <c r="K8524" s="21">
        <f t="shared" si="551"/>
        <v>0</v>
      </c>
      <c r="L8524" s="5">
        <f t="shared" si="553"/>
        <v>0</v>
      </c>
      <c r="M8524" s="4"/>
      <c r="N8524" s="4"/>
      <c r="O8524" s="5"/>
      <c r="P8524" s="5"/>
      <c r="Q8524" s="21">
        <f t="shared" si="554"/>
        <v>0</v>
      </c>
      <c r="R8524" s="21">
        <f t="shared" si="552"/>
        <v>0</v>
      </c>
      <c r="S8524" s="5">
        <f t="shared" si="555"/>
        <v>70007.077158325032</v>
      </c>
      <c r="T8524" cm="1">
        <f t="array" ref="T8524">IF(OR(B8524="MAL ALIMI", B8524="ÜRETİM GİRİŞ"), MIN(I8524, MAX(0, I8524 + SUM(SUMIFS($I$1:I8523, $C$1:C8523, C8524, $B$1:B8523, {"MAL ALIMI","ÜRETİM GİRİŞ"})) - VLOOKUP(C8524, 'STOK RAPORU'!$C$2:$I$1000, 4, 0))), 0)</f>
        <v>0</v>
      </c>
      <c r="U8524" s="22">
        <f t="shared" si="548"/>
        <v>0</v>
      </c>
      <c r="V8524">
        <f t="shared" si="549"/>
        <v>0</v>
      </c>
      <c r="W8524" s="22">
        <f t="shared" si="550"/>
        <v>0</v>
      </c>
    </row>
    <row r="8525" spans="1:23" hidden="1" x14ac:dyDescent="0.25">
      <c r="A8525" s="3"/>
      <c r="B8525" s="4"/>
      <c r="C8525" s="4"/>
      <c r="D8525" s="4"/>
      <c r="E8525" s="4"/>
      <c r="F8525" s="4"/>
      <c r="G8525" s="4"/>
      <c r="H8525" s="4"/>
      <c r="I8525" s="4"/>
      <c r="J8525" s="21">
        <f>IFERROR(VLOOKUP(C8525,'STOK KARTLARI'!$C$2:$K$2150,8,0),0)</f>
        <v>0</v>
      </c>
      <c r="K8525" s="21">
        <f t="shared" si="551"/>
        <v>0</v>
      </c>
      <c r="L8525" s="5">
        <f t="shared" si="553"/>
        <v>0</v>
      </c>
      <c r="M8525" s="4"/>
      <c r="N8525" s="4"/>
      <c r="O8525" s="5"/>
      <c r="P8525" s="5"/>
      <c r="Q8525" s="21">
        <f t="shared" si="554"/>
        <v>0</v>
      </c>
      <c r="R8525" s="21">
        <f t="shared" si="552"/>
        <v>0</v>
      </c>
      <c r="S8525" s="5">
        <f t="shared" si="555"/>
        <v>70007.077158325032</v>
      </c>
      <c r="T8525" cm="1">
        <f t="array" ref="T8525">IF(OR(B8525="MAL ALIMI", B8525="ÜRETİM GİRİŞ"), MIN(I8525, MAX(0, I8525 + SUM(SUMIFS($I$1:I8524, $C$1:C8524, C8525, $B$1:B8524, {"MAL ALIMI","ÜRETİM GİRİŞ"})) - VLOOKUP(C8525, 'STOK RAPORU'!$C$2:$I$1000, 4, 0))), 0)</f>
        <v>0</v>
      </c>
      <c r="U8525" s="22">
        <f t="shared" si="548"/>
        <v>0</v>
      </c>
      <c r="V8525">
        <f t="shared" si="549"/>
        <v>0</v>
      </c>
      <c r="W8525" s="22">
        <f t="shared" si="550"/>
        <v>0</v>
      </c>
    </row>
    <row r="8526" spans="1:23" hidden="1" x14ac:dyDescent="0.25">
      <c r="A8526" s="4"/>
      <c r="B8526" s="4"/>
      <c r="C8526" s="4"/>
      <c r="D8526" s="4"/>
      <c r="E8526" s="4"/>
      <c r="F8526" s="4"/>
      <c r="G8526" s="4"/>
      <c r="H8526" s="4"/>
      <c r="I8526" s="4"/>
      <c r="J8526" s="21">
        <f>IFERROR(VLOOKUP(C8526,'STOK KARTLARI'!$C$2:$K$2150,8,0),0)</f>
        <v>0</v>
      </c>
      <c r="K8526" s="21">
        <f t="shared" si="551"/>
        <v>0</v>
      </c>
      <c r="L8526" s="5">
        <f t="shared" si="553"/>
        <v>0</v>
      </c>
      <c r="M8526" s="4"/>
      <c r="N8526" s="4"/>
      <c r="O8526" s="5"/>
      <c r="P8526" s="5"/>
      <c r="Q8526" s="21">
        <f t="shared" si="554"/>
        <v>0</v>
      </c>
      <c r="R8526" s="21">
        <f t="shared" si="552"/>
        <v>0</v>
      </c>
      <c r="S8526" s="5">
        <f t="shared" si="555"/>
        <v>70007.077158325032</v>
      </c>
      <c r="T8526" cm="1">
        <f t="array" ref="T8526">IF(OR(B8526="MAL ALIMI", B8526="ÜRETİM GİRİŞ"), MIN(I8526, MAX(0, I8526 + SUM(SUMIFS($I$1:I8525, $C$1:C8525, C8526, $B$1:B8525, {"MAL ALIMI","ÜRETİM GİRİŞ"})) - VLOOKUP(C8526, 'STOK RAPORU'!$C$2:$I$1000, 4, 0))), 0)</f>
        <v>0</v>
      </c>
      <c r="U8526" s="22">
        <f t="shared" si="548"/>
        <v>0</v>
      </c>
      <c r="V8526">
        <f t="shared" si="549"/>
        <v>0</v>
      </c>
      <c r="W8526" s="22">
        <f t="shared" si="550"/>
        <v>0</v>
      </c>
    </row>
    <row r="8527" spans="1:23" hidden="1" x14ac:dyDescent="0.25">
      <c r="A8527" s="4"/>
      <c r="B8527" s="4"/>
      <c r="C8527" s="4"/>
      <c r="D8527" s="4"/>
      <c r="E8527" s="4"/>
      <c r="F8527" s="4"/>
      <c r="G8527" s="4"/>
      <c r="H8527" s="4"/>
      <c r="I8527" s="4"/>
      <c r="J8527" s="21">
        <f>IFERROR(VLOOKUP(C8527,'STOK KARTLARI'!$C$2:$K$2150,8,0),0)</f>
        <v>0</v>
      </c>
      <c r="K8527" s="21">
        <f t="shared" si="551"/>
        <v>0</v>
      </c>
      <c r="L8527" s="5">
        <f t="shared" si="553"/>
        <v>0</v>
      </c>
      <c r="M8527" s="4"/>
      <c r="N8527" s="4"/>
      <c r="O8527" s="5"/>
      <c r="P8527" s="5"/>
      <c r="Q8527" s="21">
        <f t="shared" si="554"/>
        <v>0</v>
      </c>
      <c r="R8527" s="21">
        <f t="shared" si="552"/>
        <v>0</v>
      </c>
      <c r="S8527" s="5">
        <f t="shared" si="555"/>
        <v>70007.077158325032</v>
      </c>
      <c r="T8527" cm="1">
        <f t="array" ref="T8527">IF(OR(B8527="MAL ALIMI", B8527="ÜRETİM GİRİŞ"), MIN(I8527, MAX(0, I8527 + SUM(SUMIFS($I$1:I8526, $C$1:C8526, C8527, $B$1:B8526, {"MAL ALIMI","ÜRETİM GİRİŞ"})) - VLOOKUP(C8527, 'STOK RAPORU'!$C$2:$I$1000, 4, 0))), 0)</f>
        <v>0</v>
      </c>
      <c r="U8527" s="22">
        <f t="shared" si="548"/>
        <v>0</v>
      </c>
      <c r="V8527">
        <f t="shared" si="549"/>
        <v>0</v>
      </c>
      <c r="W8527" s="22">
        <f t="shared" si="550"/>
        <v>0</v>
      </c>
    </row>
    <row r="8528" spans="1:23" hidden="1" x14ac:dyDescent="0.25">
      <c r="A8528" s="4"/>
      <c r="B8528" s="4"/>
      <c r="C8528" s="4"/>
      <c r="D8528" s="4"/>
      <c r="E8528" s="4"/>
      <c r="F8528" s="4"/>
      <c r="G8528" s="4"/>
      <c r="H8528" s="4"/>
      <c r="I8528" s="4"/>
      <c r="J8528" s="21">
        <f>IFERROR(VLOOKUP(C8528,'STOK KARTLARI'!$C$2:$K$2150,8,0),0)</f>
        <v>0</v>
      </c>
      <c r="K8528" s="21">
        <f t="shared" si="551"/>
        <v>0</v>
      </c>
      <c r="L8528" s="5">
        <f t="shared" si="553"/>
        <v>0</v>
      </c>
      <c r="M8528" s="4"/>
      <c r="N8528" s="4"/>
      <c r="O8528" s="5"/>
      <c r="P8528" s="5"/>
      <c r="Q8528" s="21">
        <f t="shared" si="554"/>
        <v>0</v>
      </c>
      <c r="R8528" s="21">
        <f t="shared" si="552"/>
        <v>0</v>
      </c>
      <c r="S8528" s="5">
        <f t="shared" si="555"/>
        <v>70007.077158325032</v>
      </c>
      <c r="T8528" cm="1">
        <f t="array" ref="T8528">IF(OR(B8528="MAL ALIMI", B8528="ÜRETİM GİRİŞ"), MIN(I8528, MAX(0, I8528 + SUM(SUMIFS($I$1:I8527, $C$1:C8527, C8528, $B$1:B8527, {"MAL ALIMI","ÜRETİM GİRİŞ"})) - VLOOKUP(C8528, 'STOK RAPORU'!$C$2:$I$1000, 4, 0))), 0)</f>
        <v>0</v>
      </c>
      <c r="U8528" s="22">
        <f t="shared" si="548"/>
        <v>0</v>
      </c>
      <c r="V8528">
        <f t="shared" si="549"/>
        <v>0</v>
      </c>
      <c r="W8528" s="22">
        <f t="shared" si="550"/>
        <v>0</v>
      </c>
    </row>
    <row r="8529" spans="1:23" hidden="1" x14ac:dyDescent="0.25">
      <c r="A8529" s="4"/>
      <c r="B8529" s="4"/>
      <c r="C8529" s="4"/>
      <c r="D8529" s="4"/>
      <c r="E8529" s="4"/>
      <c r="F8529" s="4"/>
      <c r="G8529" s="4"/>
      <c r="H8529" s="4"/>
      <c r="I8529" s="4"/>
      <c r="J8529" s="21">
        <f>IFERROR(VLOOKUP(C8529,'STOK KARTLARI'!$C$2:$K$2150,8,0),0)</f>
        <v>0</v>
      </c>
      <c r="K8529" s="21">
        <f t="shared" si="551"/>
        <v>0</v>
      </c>
      <c r="L8529" s="5">
        <f t="shared" si="553"/>
        <v>0</v>
      </c>
      <c r="M8529" s="4"/>
      <c r="N8529" s="4"/>
      <c r="O8529" s="5"/>
      <c r="P8529" s="5"/>
      <c r="Q8529" s="21">
        <f t="shared" si="554"/>
        <v>0</v>
      </c>
      <c r="R8529" s="21">
        <f t="shared" si="552"/>
        <v>0</v>
      </c>
      <c r="S8529" s="5">
        <f t="shared" si="555"/>
        <v>70007.077158325032</v>
      </c>
      <c r="T8529" cm="1">
        <f t="array" ref="T8529">IF(OR(B8529="MAL ALIMI", B8529="ÜRETİM GİRİŞ"), MIN(I8529, MAX(0, I8529 + SUM(SUMIFS($I$1:I8528, $C$1:C8528, C8529, $B$1:B8528, {"MAL ALIMI","ÜRETİM GİRİŞ"})) - VLOOKUP(C8529, 'STOK RAPORU'!$C$2:$I$1000, 4, 0))), 0)</f>
        <v>0</v>
      </c>
      <c r="U8529" s="22">
        <f t="shared" si="548"/>
        <v>0</v>
      </c>
      <c r="V8529">
        <f t="shared" si="549"/>
        <v>0</v>
      </c>
      <c r="W8529" s="22">
        <f t="shared" si="550"/>
        <v>0</v>
      </c>
    </row>
    <row r="8530" spans="1:23" hidden="1" x14ac:dyDescent="0.25">
      <c r="A8530" s="4"/>
      <c r="B8530" s="4"/>
      <c r="C8530" s="4"/>
      <c r="D8530" s="4"/>
      <c r="E8530" s="4"/>
      <c r="F8530" s="4"/>
      <c r="G8530" s="4"/>
      <c r="H8530" s="4"/>
      <c r="I8530" s="4"/>
      <c r="J8530" s="21">
        <f>IFERROR(VLOOKUP(C8530,'STOK KARTLARI'!$C$2:$K$2150,8,0),0)</f>
        <v>0</v>
      </c>
      <c r="K8530" s="21">
        <f t="shared" si="551"/>
        <v>0</v>
      </c>
      <c r="L8530" s="5">
        <f t="shared" si="553"/>
        <v>0</v>
      </c>
      <c r="M8530" s="4"/>
      <c r="N8530" s="4"/>
      <c r="O8530" s="5"/>
      <c r="P8530" s="5"/>
      <c r="Q8530" s="21">
        <f t="shared" si="554"/>
        <v>0</v>
      </c>
      <c r="R8530" s="21">
        <f t="shared" si="552"/>
        <v>0</v>
      </c>
      <c r="S8530" s="5">
        <f t="shared" si="555"/>
        <v>70007.077158325032</v>
      </c>
      <c r="T8530" cm="1">
        <f t="array" ref="T8530">IF(OR(B8530="MAL ALIMI", B8530="ÜRETİM GİRİŞ"), MIN(I8530, MAX(0, I8530 + SUM(SUMIFS($I$1:I8529, $C$1:C8529, C8530, $B$1:B8529, {"MAL ALIMI","ÜRETİM GİRİŞ"})) - VLOOKUP(C8530, 'STOK RAPORU'!$C$2:$I$1000, 4, 0))), 0)</f>
        <v>0</v>
      </c>
      <c r="U8530" s="22">
        <f t="shared" si="548"/>
        <v>0</v>
      </c>
      <c r="V8530">
        <f t="shared" si="549"/>
        <v>0</v>
      </c>
      <c r="W8530" s="22">
        <f t="shared" si="550"/>
        <v>0</v>
      </c>
    </row>
    <row r="8531" spans="1:23" hidden="1" x14ac:dyDescent="0.25">
      <c r="A8531" s="4"/>
      <c r="B8531" s="4"/>
      <c r="C8531" s="4"/>
      <c r="D8531" s="4"/>
      <c r="E8531" s="4"/>
      <c r="F8531" s="4"/>
      <c r="G8531" s="4"/>
      <c r="H8531" s="4"/>
      <c r="I8531" s="4"/>
      <c r="J8531" s="21">
        <f>IFERROR(VLOOKUP(C8531,'STOK KARTLARI'!$C$2:$K$2150,8,0),0)</f>
        <v>0</v>
      </c>
      <c r="K8531" s="21">
        <f t="shared" si="551"/>
        <v>0</v>
      </c>
      <c r="L8531" s="5">
        <f t="shared" si="553"/>
        <v>0</v>
      </c>
      <c r="M8531" s="4"/>
      <c r="N8531" s="4"/>
      <c r="O8531" s="5"/>
      <c r="P8531" s="5"/>
      <c r="Q8531" s="21">
        <f t="shared" si="554"/>
        <v>0</v>
      </c>
      <c r="R8531" s="21">
        <f t="shared" si="552"/>
        <v>0</v>
      </c>
      <c r="S8531" s="5">
        <f t="shared" si="555"/>
        <v>70007.077158325032</v>
      </c>
      <c r="T8531" cm="1">
        <f t="array" ref="T8531">IF(OR(B8531="MAL ALIMI", B8531="ÜRETİM GİRİŞ"), MIN(I8531, MAX(0, I8531 + SUM(SUMIFS($I$1:I8530, $C$1:C8530, C8531, $B$1:B8530, {"MAL ALIMI","ÜRETİM GİRİŞ"})) - VLOOKUP(C8531, 'STOK RAPORU'!$C$2:$I$1000, 4, 0))), 0)</f>
        <v>0</v>
      </c>
      <c r="U8531" s="22">
        <f t="shared" si="548"/>
        <v>0</v>
      </c>
      <c r="V8531">
        <f t="shared" si="549"/>
        <v>0</v>
      </c>
      <c r="W8531" s="22">
        <f t="shared" si="550"/>
        <v>0</v>
      </c>
    </row>
    <row r="8532" spans="1:23" hidden="1" x14ac:dyDescent="0.25">
      <c r="A8532" s="3"/>
      <c r="B8532" s="4"/>
      <c r="C8532" s="4"/>
      <c r="D8532" s="4"/>
      <c r="E8532" s="4"/>
      <c r="F8532" s="4"/>
      <c r="G8532" s="4"/>
      <c r="H8532" s="4"/>
      <c r="I8532" s="4"/>
      <c r="J8532" s="21">
        <f>IFERROR(VLOOKUP(C8532,'STOK KARTLARI'!$C$2:$K$2150,8,0),0)</f>
        <v>0</v>
      </c>
      <c r="K8532" s="21">
        <f t="shared" si="551"/>
        <v>0</v>
      </c>
      <c r="L8532" s="5">
        <f t="shared" si="553"/>
        <v>0</v>
      </c>
      <c r="M8532" s="4"/>
      <c r="N8532" s="4"/>
      <c r="O8532" s="5"/>
      <c r="P8532" s="5"/>
      <c r="Q8532" s="21">
        <f t="shared" si="554"/>
        <v>0</v>
      </c>
      <c r="R8532" s="21">
        <f t="shared" si="552"/>
        <v>0</v>
      </c>
      <c r="S8532" s="5">
        <f t="shared" si="555"/>
        <v>70007.077158325032</v>
      </c>
      <c r="T8532" cm="1">
        <f t="array" ref="T8532">IF(OR(B8532="MAL ALIMI", B8532="ÜRETİM GİRİŞ"), MIN(I8532, MAX(0, I8532 + SUM(SUMIFS($I$1:I8531, $C$1:C8531, C8532, $B$1:B8531, {"MAL ALIMI","ÜRETİM GİRİŞ"})) - VLOOKUP(C8532, 'STOK RAPORU'!$C$2:$I$1000, 4, 0))), 0)</f>
        <v>0</v>
      </c>
      <c r="U8532" s="22">
        <f t="shared" si="548"/>
        <v>0</v>
      </c>
      <c r="V8532">
        <f t="shared" si="549"/>
        <v>0</v>
      </c>
      <c r="W8532" s="22">
        <f t="shared" si="550"/>
        <v>0</v>
      </c>
    </row>
    <row r="8533" spans="1:23" hidden="1" x14ac:dyDescent="0.25">
      <c r="A8533" s="4"/>
      <c r="B8533" s="4"/>
      <c r="C8533" s="4"/>
      <c r="D8533" s="4"/>
      <c r="E8533" s="4"/>
      <c r="F8533" s="4"/>
      <c r="G8533" s="4"/>
      <c r="H8533" s="4"/>
      <c r="I8533" s="4"/>
      <c r="J8533" s="21">
        <f>IFERROR(VLOOKUP(C8533,'STOK KARTLARI'!$C$2:$K$2150,8,0),0)</f>
        <v>0</v>
      </c>
      <c r="K8533" s="21">
        <f t="shared" si="551"/>
        <v>0</v>
      </c>
      <c r="L8533" s="5">
        <f t="shared" si="553"/>
        <v>0</v>
      </c>
      <c r="M8533" s="4"/>
      <c r="N8533" s="4"/>
      <c r="O8533" s="5"/>
      <c r="P8533" s="5"/>
      <c r="Q8533" s="21">
        <f t="shared" si="554"/>
        <v>0</v>
      </c>
      <c r="R8533" s="21">
        <f t="shared" si="552"/>
        <v>0</v>
      </c>
      <c r="S8533" s="5">
        <f t="shared" si="555"/>
        <v>70007.077158325032</v>
      </c>
      <c r="T8533" cm="1">
        <f t="array" ref="T8533">IF(OR(B8533="MAL ALIMI", B8533="ÜRETİM GİRİŞ"), MIN(I8533, MAX(0, I8533 + SUM(SUMIFS($I$1:I8532, $C$1:C8532, C8533, $B$1:B8532, {"MAL ALIMI","ÜRETİM GİRİŞ"})) - VLOOKUP(C8533, 'STOK RAPORU'!$C$2:$I$1000, 4, 0))), 0)</f>
        <v>0</v>
      </c>
      <c r="U8533" s="22">
        <f t="shared" si="548"/>
        <v>0</v>
      </c>
      <c r="V8533">
        <f t="shared" si="549"/>
        <v>0</v>
      </c>
      <c r="W8533" s="22">
        <f t="shared" si="550"/>
        <v>0</v>
      </c>
    </row>
    <row r="8534" spans="1:23" hidden="1" x14ac:dyDescent="0.25">
      <c r="A8534" s="4"/>
      <c r="B8534" s="4"/>
      <c r="C8534" s="4"/>
      <c r="D8534" s="4"/>
      <c r="E8534" s="4"/>
      <c r="F8534" s="4"/>
      <c r="G8534" s="4"/>
      <c r="H8534" s="4"/>
      <c r="I8534" s="4"/>
      <c r="J8534" s="21">
        <f>IFERROR(VLOOKUP(C8534,'STOK KARTLARI'!$C$2:$K$2150,8,0),0)</f>
        <v>0</v>
      </c>
      <c r="K8534" s="21">
        <f t="shared" si="551"/>
        <v>0</v>
      </c>
      <c r="L8534" s="5">
        <f t="shared" si="553"/>
        <v>0</v>
      </c>
      <c r="M8534" s="4"/>
      <c r="N8534" s="4"/>
      <c r="O8534" s="5"/>
      <c r="P8534" s="5"/>
      <c r="Q8534" s="21">
        <f t="shared" si="554"/>
        <v>0</v>
      </c>
      <c r="R8534" s="21">
        <f t="shared" si="552"/>
        <v>0</v>
      </c>
      <c r="S8534" s="5">
        <f t="shared" si="555"/>
        <v>70007.077158325032</v>
      </c>
      <c r="T8534" cm="1">
        <f t="array" ref="T8534">IF(OR(B8534="MAL ALIMI", B8534="ÜRETİM GİRİŞ"), MIN(I8534, MAX(0, I8534 + SUM(SUMIFS($I$1:I8533, $C$1:C8533, C8534, $B$1:B8533, {"MAL ALIMI","ÜRETİM GİRİŞ"})) - VLOOKUP(C8534, 'STOK RAPORU'!$C$2:$I$1000, 4, 0))), 0)</f>
        <v>0</v>
      </c>
      <c r="U8534" s="22">
        <f t="shared" si="548"/>
        <v>0</v>
      </c>
      <c r="V8534">
        <f t="shared" si="549"/>
        <v>0</v>
      </c>
      <c r="W8534" s="22">
        <f t="shared" si="550"/>
        <v>0</v>
      </c>
    </row>
    <row r="8535" spans="1:23" hidden="1" x14ac:dyDescent="0.25">
      <c r="A8535" s="4"/>
      <c r="B8535" s="4"/>
      <c r="C8535" s="4"/>
      <c r="D8535" s="4"/>
      <c r="E8535" s="4"/>
      <c r="F8535" s="4"/>
      <c r="G8535" s="4"/>
      <c r="H8535" s="4"/>
      <c r="I8535" s="4"/>
      <c r="J8535" s="21">
        <f>IFERROR(VLOOKUP(C8535,'STOK KARTLARI'!$C$2:$K$2150,8,0),0)</f>
        <v>0</v>
      </c>
      <c r="K8535" s="21">
        <f t="shared" si="551"/>
        <v>0</v>
      </c>
      <c r="L8535" s="5">
        <f t="shared" si="553"/>
        <v>0</v>
      </c>
      <c r="M8535" s="4"/>
      <c r="N8535" s="4"/>
      <c r="O8535" s="5"/>
      <c r="P8535" s="5"/>
      <c r="Q8535" s="21">
        <f t="shared" si="554"/>
        <v>0</v>
      </c>
      <c r="R8535" s="21">
        <f t="shared" si="552"/>
        <v>0</v>
      </c>
      <c r="S8535" s="5">
        <f t="shared" si="555"/>
        <v>70007.077158325032</v>
      </c>
      <c r="T8535" cm="1">
        <f t="array" ref="T8535">IF(OR(B8535="MAL ALIMI", B8535="ÜRETİM GİRİŞ"), MIN(I8535, MAX(0, I8535 + SUM(SUMIFS($I$1:I8534, $C$1:C8534, C8535, $B$1:B8534, {"MAL ALIMI","ÜRETİM GİRİŞ"})) - VLOOKUP(C8535, 'STOK RAPORU'!$C$2:$I$1000, 4, 0))), 0)</f>
        <v>0</v>
      </c>
      <c r="U8535" s="22">
        <f t="shared" si="548"/>
        <v>0</v>
      </c>
      <c r="V8535">
        <f t="shared" si="549"/>
        <v>0</v>
      </c>
      <c r="W8535" s="22">
        <f t="shared" si="550"/>
        <v>0</v>
      </c>
    </row>
    <row r="8536" spans="1:23" hidden="1" x14ac:dyDescent="0.25">
      <c r="A8536" s="4"/>
      <c r="B8536" s="4"/>
      <c r="C8536" s="4"/>
      <c r="D8536" s="4"/>
      <c r="E8536" s="4"/>
      <c r="F8536" s="4"/>
      <c r="G8536" s="4"/>
      <c r="H8536" s="4"/>
      <c r="I8536" s="4"/>
      <c r="J8536" s="21">
        <f>IFERROR(VLOOKUP(C8536,'STOK KARTLARI'!$C$2:$K$2150,8,0),0)</f>
        <v>0</v>
      </c>
      <c r="K8536" s="21">
        <f t="shared" si="551"/>
        <v>0</v>
      </c>
      <c r="L8536" s="5">
        <f t="shared" si="553"/>
        <v>0</v>
      </c>
      <c r="M8536" s="4"/>
      <c r="N8536" s="4"/>
      <c r="O8536" s="5"/>
      <c r="P8536" s="5"/>
      <c r="Q8536" s="21">
        <f t="shared" si="554"/>
        <v>0</v>
      </c>
      <c r="R8536" s="21">
        <f t="shared" si="552"/>
        <v>0</v>
      </c>
      <c r="S8536" s="5">
        <f t="shared" si="555"/>
        <v>70007.077158325032</v>
      </c>
      <c r="T8536" cm="1">
        <f t="array" ref="T8536">IF(OR(B8536="MAL ALIMI", B8536="ÜRETİM GİRİŞ"), MIN(I8536, MAX(0, I8536 + SUM(SUMIFS($I$1:I8535, $C$1:C8535, C8536, $B$1:B8535, {"MAL ALIMI","ÜRETİM GİRİŞ"})) - VLOOKUP(C8536, 'STOK RAPORU'!$C$2:$I$1000, 4, 0))), 0)</f>
        <v>0</v>
      </c>
      <c r="U8536" s="22">
        <f t="shared" si="548"/>
        <v>0</v>
      </c>
      <c r="V8536">
        <f t="shared" si="549"/>
        <v>0</v>
      </c>
      <c r="W8536" s="22">
        <f t="shared" si="550"/>
        <v>0</v>
      </c>
    </row>
    <row r="8537" spans="1:23" hidden="1" x14ac:dyDescent="0.25">
      <c r="A8537" s="4"/>
      <c r="B8537" s="4"/>
      <c r="C8537" s="4"/>
      <c r="D8537" s="4"/>
      <c r="E8537" s="4"/>
      <c r="F8537" s="4"/>
      <c r="G8537" s="4"/>
      <c r="H8537" s="4"/>
      <c r="I8537" s="4"/>
      <c r="J8537" s="21">
        <f>IFERROR(VLOOKUP(C8537,'STOK KARTLARI'!$C$2:$K$2150,8,0),0)</f>
        <v>0</v>
      </c>
      <c r="K8537" s="21">
        <f t="shared" si="551"/>
        <v>0</v>
      </c>
      <c r="L8537" s="5">
        <f t="shared" si="553"/>
        <v>0</v>
      </c>
      <c r="M8537" s="4"/>
      <c r="N8537" s="4"/>
      <c r="O8537" s="5"/>
      <c r="P8537" s="5"/>
      <c r="Q8537" s="21">
        <f t="shared" si="554"/>
        <v>0</v>
      </c>
      <c r="R8537" s="21">
        <f t="shared" si="552"/>
        <v>0</v>
      </c>
      <c r="S8537" s="5">
        <f t="shared" si="555"/>
        <v>70007.077158325032</v>
      </c>
      <c r="T8537" cm="1">
        <f t="array" ref="T8537">IF(OR(B8537="MAL ALIMI", B8537="ÜRETİM GİRİŞ"), MIN(I8537, MAX(0, I8537 + SUM(SUMIFS($I$1:I8536, $C$1:C8536, C8537, $B$1:B8536, {"MAL ALIMI","ÜRETİM GİRİŞ"})) - VLOOKUP(C8537, 'STOK RAPORU'!$C$2:$I$1000, 4, 0))), 0)</f>
        <v>0</v>
      </c>
      <c r="U8537" s="22">
        <f t="shared" si="548"/>
        <v>0</v>
      </c>
      <c r="V8537">
        <f t="shared" si="549"/>
        <v>0</v>
      </c>
      <c r="W8537" s="22">
        <f t="shared" si="550"/>
        <v>0</v>
      </c>
    </row>
    <row r="8538" spans="1:23" hidden="1" x14ac:dyDescent="0.25">
      <c r="A8538" s="4"/>
      <c r="B8538" s="4"/>
      <c r="C8538" s="4"/>
      <c r="D8538" s="4"/>
      <c r="E8538" s="4"/>
      <c r="F8538" s="4"/>
      <c r="G8538" s="4"/>
      <c r="H8538" s="4"/>
      <c r="I8538" s="4"/>
      <c r="J8538" s="21">
        <f>IFERROR(VLOOKUP(C8538,'STOK KARTLARI'!$C$2:$K$2150,8,0),0)</f>
        <v>0</v>
      </c>
      <c r="K8538" s="21">
        <f t="shared" si="551"/>
        <v>0</v>
      </c>
      <c r="L8538" s="5">
        <f t="shared" si="553"/>
        <v>0</v>
      </c>
      <c r="M8538" s="4"/>
      <c r="N8538" s="4"/>
      <c r="O8538" s="5"/>
      <c r="P8538" s="5"/>
      <c r="Q8538" s="21">
        <f t="shared" si="554"/>
        <v>0</v>
      </c>
      <c r="R8538" s="21">
        <f t="shared" si="552"/>
        <v>0</v>
      </c>
      <c r="S8538" s="5">
        <f t="shared" si="555"/>
        <v>70007.077158325032</v>
      </c>
      <c r="T8538" cm="1">
        <f t="array" ref="T8538">IF(OR(B8538="MAL ALIMI", B8538="ÜRETİM GİRİŞ"), MIN(I8538, MAX(0, I8538 + SUM(SUMIFS($I$1:I8537, $C$1:C8537, C8538, $B$1:B8537, {"MAL ALIMI","ÜRETİM GİRİŞ"})) - VLOOKUP(C8538, 'STOK RAPORU'!$C$2:$I$1000, 4, 0))), 0)</f>
        <v>0</v>
      </c>
      <c r="U8538" s="22">
        <f t="shared" si="548"/>
        <v>0</v>
      </c>
      <c r="V8538">
        <f t="shared" si="549"/>
        <v>0</v>
      </c>
      <c r="W8538" s="22">
        <f t="shared" si="550"/>
        <v>0</v>
      </c>
    </row>
    <row r="8539" spans="1:23" hidden="1" x14ac:dyDescent="0.25">
      <c r="A8539" s="3"/>
      <c r="B8539" s="4"/>
      <c r="C8539" s="4"/>
      <c r="D8539" s="4"/>
      <c r="E8539" s="4"/>
      <c r="F8539" s="4"/>
      <c r="G8539" s="4"/>
      <c r="H8539" s="4"/>
      <c r="I8539" s="4"/>
      <c r="J8539" s="21">
        <f>IFERROR(VLOOKUP(C8539,'STOK KARTLARI'!$C$2:$K$2150,8,0),0)</f>
        <v>0</v>
      </c>
      <c r="K8539" s="21">
        <f t="shared" si="551"/>
        <v>0</v>
      </c>
      <c r="L8539" s="5">
        <f t="shared" si="553"/>
        <v>0</v>
      </c>
      <c r="M8539" s="4"/>
      <c r="N8539" s="4"/>
      <c r="O8539" s="5"/>
      <c r="P8539" s="5"/>
      <c r="Q8539" s="21">
        <f t="shared" si="554"/>
        <v>0</v>
      </c>
      <c r="R8539" s="21">
        <f t="shared" si="552"/>
        <v>0</v>
      </c>
      <c r="S8539" s="5">
        <f t="shared" si="555"/>
        <v>70007.077158325032</v>
      </c>
      <c r="T8539" cm="1">
        <f t="array" ref="T8539">IF(OR(B8539="MAL ALIMI", B8539="ÜRETİM GİRİŞ"), MIN(I8539, MAX(0, I8539 + SUM(SUMIFS($I$1:I8538, $C$1:C8538, C8539, $B$1:B8538, {"MAL ALIMI","ÜRETİM GİRİŞ"})) - VLOOKUP(C8539, 'STOK RAPORU'!$C$2:$I$1000, 4, 0))), 0)</f>
        <v>0</v>
      </c>
      <c r="U8539" s="22">
        <f t="shared" si="548"/>
        <v>0</v>
      </c>
      <c r="V8539">
        <f t="shared" si="549"/>
        <v>0</v>
      </c>
      <c r="W8539" s="22">
        <f t="shared" si="550"/>
        <v>0</v>
      </c>
    </row>
    <row r="8540" spans="1:23" hidden="1" x14ac:dyDescent="0.25">
      <c r="A8540" s="4"/>
      <c r="B8540" s="4"/>
      <c r="C8540" s="4"/>
      <c r="D8540" s="4"/>
      <c r="E8540" s="4"/>
      <c r="F8540" s="4"/>
      <c r="G8540" s="4"/>
      <c r="H8540" s="4"/>
      <c r="I8540" s="4"/>
      <c r="J8540" s="21">
        <f>IFERROR(VLOOKUP(C8540,'STOK KARTLARI'!$C$2:$K$2150,8,0),0)</f>
        <v>0</v>
      </c>
      <c r="K8540" s="21">
        <f t="shared" si="551"/>
        <v>0</v>
      </c>
      <c r="L8540" s="5">
        <f t="shared" si="553"/>
        <v>0</v>
      </c>
      <c r="M8540" s="4"/>
      <c r="N8540" s="4"/>
      <c r="O8540" s="5"/>
      <c r="P8540" s="5"/>
      <c r="Q8540" s="21">
        <f t="shared" si="554"/>
        <v>0</v>
      </c>
      <c r="R8540" s="21">
        <f t="shared" si="552"/>
        <v>0</v>
      </c>
      <c r="S8540" s="5">
        <f t="shared" si="555"/>
        <v>70007.077158325032</v>
      </c>
      <c r="T8540" cm="1">
        <f t="array" ref="T8540">IF(OR(B8540="MAL ALIMI", B8540="ÜRETİM GİRİŞ"), MIN(I8540, MAX(0, I8540 + SUM(SUMIFS($I$1:I8539, $C$1:C8539, C8540, $B$1:B8539, {"MAL ALIMI","ÜRETİM GİRİŞ"})) - VLOOKUP(C8540, 'STOK RAPORU'!$C$2:$I$1000, 4, 0))), 0)</f>
        <v>0</v>
      </c>
      <c r="U8540" s="22">
        <f t="shared" si="548"/>
        <v>0</v>
      </c>
      <c r="V8540">
        <f t="shared" si="549"/>
        <v>0</v>
      </c>
      <c r="W8540" s="22">
        <f t="shared" si="550"/>
        <v>0</v>
      </c>
    </row>
    <row r="8541" spans="1:23" hidden="1" x14ac:dyDescent="0.25">
      <c r="A8541" s="4"/>
      <c r="B8541" s="4"/>
      <c r="C8541" s="4"/>
      <c r="D8541" s="4"/>
      <c r="E8541" s="4"/>
      <c r="F8541" s="4"/>
      <c r="G8541" s="4"/>
      <c r="H8541" s="4"/>
      <c r="I8541" s="4"/>
      <c r="J8541" s="21">
        <f>IFERROR(VLOOKUP(C8541,'STOK KARTLARI'!$C$2:$K$2150,8,0),0)</f>
        <v>0</v>
      </c>
      <c r="K8541" s="21">
        <f t="shared" si="551"/>
        <v>0</v>
      </c>
      <c r="L8541" s="5">
        <f t="shared" si="553"/>
        <v>0</v>
      </c>
      <c r="M8541" s="4"/>
      <c r="N8541" s="4"/>
      <c r="O8541" s="5"/>
      <c r="P8541" s="5"/>
      <c r="Q8541" s="21">
        <f t="shared" si="554"/>
        <v>0</v>
      </c>
      <c r="R8541" s="21">
        <f t="shared" si="552"/>
        <v>0</v>
      </c>
      <c r="S8541" s="5">
        <f t="shared" si="555"/>
        <v>70007.077158325032</v>
      </c>
      <c r="T8541" cm="1">
        <f t="array" ref="T8541">IF(OR(B8541="MAL ALIMI", B8541="ÜRETİM GİRİŞ"), MIN(I8541, MAX(0, I8541 + SUM(SUMIFS($I$1:I8540, $C$1:C8540, C8541, $B$1:B8540, {"MAL ALIMI","ÜRETİM GİRİŞ"})) - VLOOKUP(C8541, 'STOK RAPORU'!$C$2:$I$1000, 4, 0))), 0)</f>
        <v>0</v>
      </c>
      <c r="U8541" s="22">
        <f t="shared" si="548"/>
        <v>0</v>
      </c>
      <c r="V8541">
        <f t="shared" si="549"/>
        <v>0</v>
      </c>
      <c r="W8541" s="22">
        <f t="shared" si="550"/>
        <v>0</v>
      </c>
    </row>
    <row r="8542" spans="1:23" hidden="1" x14ac:dyDescent="0.25">
      <c r="A8542" s="4"/>
      <c r="B8542" s="4"/>
      <c r="C8542" s="4"/>
      <c r="D8542" s="4"/>
      <c r="E8542" s="4"/>
      <c r="F8542" s="4"/>
      <c r="G8542" s="4"/>
      <c r="H8542" s="4"/>
      <c r="I8542" s="4"/>
      <c r="J8542" s="21">
        <f>IFERROR(VLOOKUP(C8542,'STOK KARTLARI'!$C$2:$K$2150,8,0),0)</f>
        <v>0</v>
      </c>
      <c r="K8542" s="21">
        <f t="shared" si="551"/>
        <v>0</v>
      </c>
      <c r="L8542" s="5">
        <f t="shared" si="553"/>
        <v>0</v>
      </c>
      <c r="M8542" s="4"/>
      <c r="N8542" s="4"/>
      <c r="O8542" s="5"/>
      <c r="P8542" s="5"/>
      <c r="Q8542" s="21">
        <f t="shared" si="554"/>
        <v>0</v>
      </c>
      <c r="R8542" s="21">
        <f t="shared" si="552"/>
        <v>0</v>
      </c>
      <c r="S8542" s="5">
        <f t="shared" si="555"/>
        <v>70007.077158325032</v>
      </c>
      <c r="T8542" cm="1">
        <f t="array" ref="T8542">IF(OR(B8542="MAL ALIMI", B8542="ÜRETİM GİRİŞ"), MIN(I8542, MAX(0, I8542 + SUM(SUMIFS($I$1:I8541, $C$1:C8541, C8542, $B$1:B8541, {"MAL ALIMI","ÜRETİM GİRİŞ"})) - VLOOKUP(C8542, 'STOK RAPORU'!$C$2:$I$1000, 4, 0))), 0)</f>
        <v>0</v>
      </c>
      <c r="U8542" s="22">
        <f t="shared" si="548"/>
        <v>0</v>
      </c>
      <c r="V8542">
        <f t="shared" si="549"/>
        <v>0</v>
      </c>
      <c r="W8542" s="22">
        <f t="shared" si="550"/>
        <v>0</v>
      </c>
    </row>
    <row r="8543" spans="1:23" hidden="1" x14ac:dyDescent="0.25">
      <c r="A8543" s="4"/>
      <c r="B8543" s="4"/>
      <c r="C8543" s="4"/>
      <c r="D8543" s="4"/>
      <c r="E8543" s="4"/>
      <c r="F8543" s="4"/>
      <c r="G8543" s="4"/>
      <c r="H8543" s="4"/>
      <c r="I8543" s="4"/>
      <c r="J8543" s="21">
        <f>IFERROR(VLOOKUP(C8543,'STOK KARTLARI'!$C$2:$K$2150,8,0),0)</f>
        <v>0</v>
      </c>
      <c r="K8543" s="21">
        <f t="shared" si="551"/>
        <v>0</v>
      </c>
      <c r="L8543" s="5">
        <f t="shared" si="553"/>
        <v>0</v>
      </c>
      <c r="M8543" s="4"/>
      <c r="N8543" s="4"/>
      <c r="O8543" s="5"/>
      <c r="P8543" s="5"/>
      <c r="Q8543" s="21">
        <f t="shared" si="554"/>
        <v>0</v>
      </c>
      <c r="R8543" s="21">
        <f t="shared" si="552"/>
        <v>0</v>
      </c>
      <c r="S8543" s="5">
        <f t="shared" si="555"/>
        <v>70007.077158325032</v>
      </c>
      <c r="T8543" cm="1">
        <f t="array" ref="T8543">IF(OR(B8543="MAL ALIMI", B8543="ÜRETİM GİRİŞ"), MIN(I8543, MAX(0, I8543 + SUM(SUMIFS($I$1:I8542, $C$1:C8542, C8543, $B$1:B8542, {"MAL ALIMI","ÜRETİM GİRİŞ"})) - VLOOKUP(C8543, 'STOK RAPORU'!$C$2:$I$1000, 4, 0))), 0)</f>
        <v>0</v>
      </c>
      <c r="U8543" s="22">
        <f t="shared" si="548"/>
        <v>0</v>
      </c>
      <c r="V8543">
        <f t="shared" si="549"/>
        <v>0</v>
      </c>
      <c r="W8543" s="22">
        <f t="shared" si="550"/>
        <v>0</v>
      </c>
    </row>
    <row r="8544" spans="1:23" hidden="1" x14ac:dyDescent="0.25">
      <c r="A8544" s="4"/>
      <c r="B8544" s="4"/>
      <c r="C8544" s="4"/>
      <c r="D8544" s="4"/>
      <c r="E8544" s="4"/>
      <c r="F8544" s="4"/>
      <c r="G8544" s="4"/>
      <c r="H8544" s="4"/>
      <c r="I8544" s="4"/>
      <c r="J8544" s="21">
        <f>IFERROR(VLOOKUP(C8544,'STOK KARTLARI'!$C$2:$K$2150,8,0),0)</f>
        <v>0</v>
      </c>
      <c r="K8544" s="21">
        <f t="shared" si="551"/>
        <v>0</v>
      </c>
      <c r="L8544" s="5">
        <f t="shared" si="553"/>
        <v>0</v>
      </c>
      <c r="M8544" s="4"/>
      <c r="N8544" s="4"/>
      <c r="O8544" s="5"/>
      <c r="P8544" s="5"/>
      <c r="Q8544" s="21">
        <f t="shared" si="554"/>
        <v>0</v>
      </c>
      <c r="R8544" s="21">
        <f t="shared" si="552"/>
        <v>0</v>
      </c>
      <c r="S8544" s="5">
        <f t="shared" si="555"/>
        <v>70007.077158325032</v>
      </c>
      <c r="T8544" cm="1">
        <f t="array" ref="T8544">IF(OR(B8544="MAL ALIMI", B8544="ÜRETİM GİRİŞ"), MIN(I8544, MAX(0, I8544 + SUM(SUMIFS($I$1:I8543, $C$1:C8543, C8544, $B$1:B8543, {"MAL ALIMI","ÜRETİM GİRİŞ"})) - VLOOKUP(C8544, 'STOK RAPORU'!$C$2:$I$1000, 4, 0))), 0)</f>
        <v>0</v>
      </c>
      <c r="U8544" s="22">
        <f t="shared" si="548"/>
        <v>0</v>
      </c>
      <c r="V8544">
        <f t="shared" si="549"/>
        <v>0</v>
      </c>
      <c r="W8544" s="22">
        <f t="shared" si="550"/>
        <v>0</v>
      </c>
    </row>
    <row r="8545" spans="1:23" hidden="1" x14ac:dyDescent="0.25">
      <c r="A8545" s="4"/>
      <c r="B8545" s="4"/>
      <c r="C8545" s="4"/>
      <c r="D8545" s="4"/>
      <c r="E8545" s="4"/>
      <c r="F8545" s="4"/>
      <c r="G8545" s="4"/>
      <c r="H8545" s="4"/>
      <c r="I8545" s="4"/>
      <c r="J8545" s="21">
        <f>IFERROR(VLOOKUP(C8545,'STOK KARTLARI'!$C$2:$K$2150,8,0),0)</f>
        <v>0</v>
      </c>
      <c r="K8545" s="21">
        <f t="shared" si="551"/>
        <v>0</v>
      </c>
      <c r="L8545" s="5">
        <f t="shared" si="553"/>
        <v>0</v>
      </c>
      <c r="M8545" s="4"/>
      <c r="N8545" s="4"/>
      <c r="O8545" s="5"/>
      <c r="P8545" s="5"/>
      <c r="Q8545" s="21">
        <f t="shared" si="554"/>
        <v>0</v>
      </c>
      <c r="R8545" s="21">
        <f t="shared" si="552"/>
        <v>0</v>
      </c>
      <c r="S8545" s="5">
        <f t="shared" si="555"/>
        <v>70007.077158325032</v>
      </c>
      <c r="T8545" cm="1">
        <f t="array" ref="T8545">IF(OR(B8545="MAL ALIMI", B8545="ÜRETİM GİRİŞ"), MIN(I8545, MAX(0, I8545 + SUM(SUMIFS($I$1:I8544, $C$1:C8544, C8545, $B$1:B8544, {"MAL ALIMI","ÜRETİM GİRİŞ"})) - VLOOKUP(C8545, 'STOK RAPORU'!$C$2:$I$1000, 4, 0))), 0)</f>
        <v>0</v>
      </c>
      <c r="U8545" s="22">
        <f t="shared" si="548"/>
        <v>0</v>
      </c>
      <c r="V8545">
        <f t="shared" si="549"/>
        <v>0</v>
      </c>
      <c r="W8545" s="22">
        <f t="shared" si="550"/>
        <v>0</v>
      </c>
    </row>
    <row r="8546" spans="1:23" hidden="1" x14ac:dyDescent="0.25">
      <c r="A8546" s="3"/>
      <c r="B8546" s="4"/>
      <c r="C8546" s="4"/>
      <c r="D8546" s="4"/>
      <c r="E8546" s="4"/>
      <c r="F8546" s="4"/>
      <c r="G8546" s="4"/>
      <c r="H8546" s="4"/>
      <c r="I8546" s="4"/>
      <c r="J8546" s="21">
        <f>IFERROR(VLOOKUP(C8546,'STOK KARTLARI'!$C$2:$K$2150,8,0),0)</f>
        <v>0</v>
      </c>
      <c r="K8546" s="21">
        <f t="shared" si="551"/>
        <v>0</v>
      </c>
      <c r="L8546" s="5">
        <f t="shared" si="553"/>
        <v>0</v>
      </c>
      <c r="M8546" s="4"/>
      <c r="N8546" s="4"/>
      <c r="O8546" s="5"/>
      <c r="P8546" s="5"/>
      <c r="Q8546" s="21">
        <f t="shared" si="554"/>
        <v>0</v>
      </c>
      <c r="R8546" s="21">
        <f t="shared" si="552"/>
        <v>0</v>
      </c>
      <c r="S8546" s="5">
        <f t="shared" si="555"/>
        <v>70007.077158325032</v>
      </c>
      <c r="T8546" cm="1">
        <f t="array" ref="T8546">IF(OR(B8546="MAL ALIMI", B8546="ÜRETİM GİRİŞ"), MIN(I8546, MAX(0, I8546 + SUM(SUMIFS($I$1:I8545, $C$1:C8545, C8546, $B$1:B8545, {"MAL ALIMI","ÜRETİM GİRİŞ"})) - VLOOKUP(C8546, 'STOK RAPORU'!$C$2:$I$1000, 4, 0))), 0)</f>
        <v>0</v>
      </c>
      <c r="U8546" s="22">
        <f t="shared" si="548"/>
        <v>0</v>
      </c>
      <c r="V8546">
        <f t="shared" si="549"/>
        <v>0</v>
      </c>
      <c r="W8546" s="22">
        <f t="shared" si="550"/>
        <v>0</v>
      </c>
    </row>
    <row r="8547" spans="1:23" hidden="1" x14ac:dyDescent="0.25">
      <c r="A8547" s="4"/>
      <c r="B8547" s="4"/>
      <c r="C8547" s="4"/>
      <c r="D8547" s="4"/>
      <c r="E8547" s="4"/>
      <c r="F8547" s="4"/>
      <c r="G8547" s="4"/>
      <c r="H8547" s="4"/>
      <c r="I8547" s="4"/>
      <c r="J8547" s="21">
        <f>IFERROR(VLOOKUP(C8547,'STOK KARTLARI'!$C$2:$K$2150,8,0),0)</f>
        <v>0</v>
      </c>
      <c r="K8547" s="21">
        <f t="shared" si="551"/>
        <v>0</v>
      </c>
      <c r="L8547" s="5">
        <f t="shared" si="553"/>
        <v>0</v>
      </c>
      <c r="M8547" s="4"/>
      <c r="N8547" s="4"/>
      <c r="O8547" s="5"/>
      <c r="P8547" s="5"/>
      <c r="Q8547" s="21">
        <f t="shared" si="554"/>
        <v>0</v>
      </c>
      <c r="R8547" s="21">
        <f t="shared" si="552"/>
        <v>0</v>
      </c>
      <c r="S8547" s="5">
        <f t="shared" si="555"/>
        <v>70007.077158325032</v>
      </c>
      <c r="T8547" cm="1">
        <f t="array" ref="T8547">IF(OR(B8547="MAL ALIMI", B8547="ÜRETİM GİRİŞ"), MIN(I8547, MAX(0, I8547 + SUM(SUMIFS($I$1:I8546, $C$1:C8546, C8547, $B$1:B8546, {"MAL ALIMI","ÜRETİM GİRİŞ"})) - VLOOKUP(C8547, 'STOK RAPORU'!$C$2:$I$1000, 4, 0))), 0)</f>
        <v>0</v>
      </c>
      <c r="U8547" s="22">
        <f t="shared" si="548"/>
        <v>0</v>
      </c>
      <c r="V8547">
        <f t="shared" si="549"/>
        <v>0</v>
      </c>
      <c r="W8547" s="22">
        <f t="shared" si="550"/>
        <v>0</v>
      </c>
    </row>
    <row r="8548" spans="1:23" hidden="1" x14ac:dyDescent="0.25">
      <c r="A8548" s="4"/>
      <c r="B8548" s="4"/>
      <c r="C8548" s="4"/>
      <c r="D8548" s="4"/>
      <c r="E8548" s="4"/>
      <c r="F8548" s="4"/>
      <c r="G8548" s="4"/>
      <c r="H8548" s="4"/>
      <c r="I8548" s="4"/>
      <c r="J8548" s="21">
        <f>IFERROR(VLOOKUP(C8548,'STOK KARTLARI'!$C$2:$K$2150,8,0),0)</f>
        <v>0</v>
      </c>
      <c r="K8548" s="21">
        <f t="shared" si="551"/>
        <v>0</v>
      </c>
      <c r="L8548" s="5">
        <f t="shared" si="553"/>
        <v>0</v>
      </c>
      <c r="M8548" s="4"/>
      <c r="N8548" s="4"/>
      <c r="O8548" s="5"/>
      <c r="P8548" s="5"/>
      <c r="Q8548" s="21">
        <f t="shared" si="554"/>
        <v>0</v>
      </c>
      <c r="R8548" s="21">
        <f t="shared" si="552"/>
        <v>0</v>
      </c>
      <c r="S8548" s="5">
        <f t="shared" si="555"/>
        <v>70007.077158325032</v>
      </c>
      <c r="T8548" cm="1">
        <f t="array" ref="T8548">IF(OR(B8548="MAL ALIMI", B8548="ÜRETİM GİRİŞ"), MIN(I8548, MAX(0, I8548 + SUM(SUMIFS($I$1:I8547, $C$1:C8547, C8548, $B$1:B8547, {"MAL ALIMI","ÜRETİM GİRİŞ"})) - VLOOKUP(C8548, 'STOK RAPORU'!$C$2:$I$1000, 4, 0))), 0)</f>
        <v>0</v>
      </c>
      <c r="U8548" s="22">
        <f t="shared" si="548"/>
        <v>0</v>
      </c>
      <c r="V8548">
        <f t="shared" si="549"/>
        <v>0</v>
      </c>
      <c r="W8548" s="22">
        <f t="shared" si="550"/>
        <v>0</v>
      </c>
    </row>
    <row r="8549" spans="1:23" hidden="1" x14ac:dyDescent="0.25">
      <c r="A8549" s="4"/>
      <c r="B8549" s="4"/>
      <c r="C8549" s="4"/>
      <c r="D8549" s="4"/>
      <c r="E8549" s="4"/>
      <c r="F8549" s="4"/>
      <c r="G8549" s="4"/>
      <c r="H8549" s="4"/>
      <c r="I8549" s="4"/>
      <c r="J8549" s="21">
        <f>IFERROR(VLOOKUP(C8549,'STOK KARTLARI'!$C$2:$K$2150,8,0),0)</f>
        <v>0</v>
      </c>
      <c r="K8549" s="21">
        <f t="shared" si="551"/>
        <v>0</v>
      </c>
      <c r="L8549" s="5">
        <f t="shared" si="553"/>
        <v>0</v>
      </c>
      <c r="M8549" s="4"/>
      <c r="N8549" s="4"/>
      <c r="O8549" s="5"/>
      <c r="P8549" s="5"/>
      <c r="Q8549" s="21">
        <f t="shared" si="554"/>
        <v>0</v>
      </c>
      <c r="R8549" s="21">
        <f t="shared" si="552"/>
        <v>0</v>
      </c>
      <c r="S8549" s="5">
        <f t="shared" si="555"/>
        <v>70007.077158325032</v>
      </c>
      <c r="T8549" cm="1">
        <f t="array" ref="T8549">IF(OR(B8549="MAL ALIMI", B8549="ÜRETİM GİRİŞ"), MIN(I8549, MAX(0, I8549 + SUM(SUMIFS($I$1:I8548, $C$1:C8548, C8549, $B$1:B8548, {"MAL ALIMI","ÜRETİM GİRİŞ"})) - VLOOKUP(C8549, 'STOK RAPORU'!$C$2:$I$1000, 4, 0))), 0)</f>
        <v>0</v>
      </c>
      <c r="U8549" s="22">
        <f t="shared" si="548"/>
        <v>0</v>
      </c>
      <c r="V8549">
        <f t="shared" si="549"/>
        <v>0</v>
      </c>
      <c r="W8549" s="22">
        <f t="shared" si="550"/>
        <v>0</v>
      </c>
    </row>
    <row r="8550" spans="1:23" hidden="1" x14ac:dyDescent="0.25">
      <c r="A8550" s="4"/>
      <c r="B8550" s="4"/>
      <c r="C8550" s="4"/>
      <c r="D8550" s="4"/>
      <c r="E8550" s="4"/>
      <c r="F8550" s="4"/>
      <c r="G8550" s="4"/>
      <c r="H8550" s="4"/>
      <c r="I8550" s="4"/>
      <c r="J8550" s="21">
        <f>IFERROR(VLOOKUP(C8550,'STOK KARTLARI'!$C$2:$K$2150,8,0),0)</f>
        <v>0</v>
      </c>
      <c r="K8550" s="21">
        <f t="shared" si="551"/>
        <v>0</v>
      </c>
      <c r="L8550" s="5">
        <f t="shared" si="553"/>
        <v>0</v>
      </c>
      <c r="M8550" s="4"/>
      <c r="N8550" s="4"/>
      <c r="O8550" s="5"/>
      <c r="P8550" s="5"/>
      <c r="Q8550" s="21">
        <f t="shared" si="554"/>
        <v>0</v>
      </c>
      <c r="R8550" s="21">
        <f t="shared" si="552"/>
        <v>0</v>
      </c>
      <c r="S8550" s="5">
        <f t="shared" si="555"/>
        <v>70007.077158325032</v>
      </c>
      <c r="T8550" cm="1">
        <f t="array" ref="T8550">IF(OR(B8550="MAL ALIMI", B8550="ÜRETİM GİRİŞ"), MIN(I8550, MAX(0, I8550 + SUM(SUMIFS($I$1:I8549, $C$1:C8549, C8550, $B$1:B8549, {"MAL ALIMI","ÜRETİM GİRİŞ"})) - VLOOKUP(C8550, 'STOK RAPORU'!$C$2:$I$1000, 4, 0))), 0)</f>
        <v>0</v>
      </c>
      <c r="U8550" s="22">
        <f t="shared" si="548"/>
        <v>0</v>
      </c>
      <c r="V8550">
        <f t="shared" si="549"/>
        <v>0</v>
      </c>
      <c r="W8550" s="22">
        <f t="shared" si="550"/>
        <v>0</v>
      </c>
    </row>
    <row r="8551" spans="1:23" hidden="1" x14ac:dyDescent="0.25">
      <c r="A8551" s="4"/>
      <c r="B8551" s="4"/>
      <c r="C8551" s="4"/>
      <c r="D8551" s="4"/>
      <c r="E8551" s="4"/>
      <c r="F8551" s="4"/>
      <c r="G8551" s="4"/>
      <c r="H8551" s="4"/>
      <c r="I8551" s="4"/>
      <c r="J8551" s="21">
        <f>IFERROR(VLOOKUP(C8551,'STOK KARTLARI'!$C$2:$K$2150,8,0),0)</f>
        <v>0</v>
      </c>
      <c r="K8551" s="21">
        <f t="shared" si="551"/>
        <v>0</v>
      </c>
      <c r="L8551" s="5">
        <f t="shared" si="553"/>
        <v>0</v>
      </c>
      <c r="M8551" s="4"/>
      <c r="N8551" s="4"/>
      <c r="O8551" s="5"/>
      <c r="P8551" s="5"/>
      <c r="Q8551" s="21">
        <f t="shared" si="554"/>
        <v>0</v>
      </c>
      <c r="R8551" s="21">
        <f t="shared" si="552"/>
        <v>0</v>
      </c>
      <c r="S8551" s="5">
        <f t="shared" si="555"/>
        <v>70007.077158325032</v>
      </c>
      <c r="T8551" cm="1">
        <f t="array" ref="T8551">IF(OR(B8551="MAL ALIMI", B8551="ÜRETİM GİRİŞ"), MIN(I8551, MAX(0, I8551 + SUM(SUMIFS($I$1:I8550, $C$1:C8550, C8551, $B$1:B8550, {"MAL ALIMI","ÜRETİM GİRİŞ"})) - VLOOKUP(C8551, 'STOK RAPORU'!$C$2:$I$1000, 4, 0))), 0)</f>
        <v>0</v>
      </c>
      <c r="U8551" s="22">
        <f t="shared" si="548"/>
        <v>0</v>
      </c>
      <c r="V8551">
        <f t="shared" si="549"/>
        <v>0</v>
      </c>
      <c r="W8551" s="22">
        <f t="shared" si="550"/>
        <v>0</v>
      </c>
    </row>
    <row r="8552" spans="1:23" hidden="1" x14ac:dyDescent="0.25">
      <c r="A8552" s="4"/>
      <c r="B8552" s="4"/>
      <c r="C8552" s="4"/>
      <c r="D8552" s="4"/>
      <c r="E8552" s="4"/>
      <c r="F8552" s="4"/>
      <c r="G8552" s="4"/>
      <c r="H8552" s="4"/>
      <c r="I8552" s="4"/>
      <c r="J8552" s="21">
        <f>IFERROR(VLOOKUP(C8552,'STOK KARTLARI'!$C$2:$K$2150,8,0),0)</f>
        <v>0</v>
      </c>
      <c r="K8552" s="21">
        <f t="shared" si="551"/>
        <v>0</v>
      </c>
      <c r="L8552" s="5">
        <f t="shared" si="553"/>
        <v>0</v>
      </c>
      <c r="M8552" s="4"/>
      <c r="N8552" s="4"/>
      <c r="O8552" s="5"/>
      <c r="P8552" s="5"/>
      <c r="Q8552" s="21">
        <f t="shared" si="554"/>
        <v>0</v>
      </c>
      <c r="R8552" s="21">
        <f t="shared" si="552"/>
        <v>0</v>
      </c>
      <c r="S8552" s="5">
        <f t="shared" si="555"/>
        <v>70007.077158325032</v>
      </c>
      <c r="T8552" cm="1">
        <f t="array" ref="T8552">IF(OR(B8552="MAL ALIMI", B8552="ÜRETİM GİRİŞ"), MIN(I8552, MAX(0, I8552 + SUM(SUMIFS($I$1:I8551, $C$1:C8551, C8552, $B$1:B8551, {"MAL ALIMI","ÜRETİM GİRİŞ"})) - VLOOKUP(C8552, 'STOK RAPORU'!$C$2:$I$1000, 4, 0))), 0)</f>
        <v>0</v>
      </c>
      <c r="U8552" s="22">
        <f t="shared" si="548"/>
        <v>0</v>
      </c>
      <c r="V8552">
        <f t="shared" si="549"/>
        <v>0</v>
      </c>
      <c r="W8552" s="22">
        <f t="shared" si="550"/>
        <v>0</v>
      </c>
    </row>
    <row r="8553" spans="1:23" hidden="1" x14ac:dyDescent="0.25">
      <c r="A8553" s="3"/>
      <c r="B8553" s="4"/>
      <c r="C8553" s="4"/>
      <c r="D8553" s="4"/>
      <c r="E8553" s="4"/>
      <c r="F8553" s="4"/>
      <c r="G8553" s="4"/>
      <c r="H8553" s="4"/>
      <c r="I8553" s="4"/>
      <c r="J8553" s="21">
        <f>IFERROR(VLOOKUP(C8553,'STOK KARTLARI'!$C$2:$K$2150,8,0),0)</f>
        <v>0</v>
      </c>
      <c r="K8553" s="21">
        <f t="shared" si="551"/>
        <v>0</v>
      </c>
      <c r="L8553" s="5">
        <f t="shared" si="553"/>
        <v>0</v>
      </c>
      <c r="M8553" s="4"/>
      <c r="N8553" s="4"/>
      <c r="O8553" s="5"/>
      <c r="P8553" s="5"/>
      <c r="Q8553" s="21">
        <f t="shared" si="554"/>
        <v>0</v>
      </c>
      <c r="R8553" s="21">
        <f t="shared" si="552"/>
        <v>0</v>
      </c>
      <c r="S8553" s="5">
        <f t="shared" si="555"/>
        <v>70007.077158325032</v>
      </c>
      <c r="T8553" cm="1">
        <f t="array" ref="T8553">IF(OR(B8553="MAL ALIMI", B8553="ÜRETİM GİRİŞ"), MIN(I8553, MAX(0, I8553 + SUM(SUMIFS($I$1:I8552, $C$1:C8552, C8553, $B$1:B8552, {"MAL ALIMI","ÜRETİM GİRİŞ"})) - VLOOKUP(C8553, 'STOK RAPORU'!$C$2:$I$1000, 4, 0))), 0)</f>
        <v>0</v>
      </c>
      <c r="U8553" s="22">
        <f t="shared" si="548"/>
        <v>0</v>
      </c>
      <c r="V8553">
        <f t="shared" si="549"/>
        <v>0</v>
      </c>
      <c r="W8553" s="22">
        <f t="shared" si="550"/>
        <v>0</v>
      </c>
    </row>
    <row r="8554" spans="1:23" hidden="1" x14ac:dyDescent="0.25">
      <c r="A8554" s="4"/>
      <c r="B8554" s="4"/>
      <c r="C8554" s="4"/>
      <c r="D8554" s="4"/>
      <c r="E8554" s="4"/>
      <c r="F8554" s="4"/>
      <c r="G8554" s="4"/>
      <c r="H8554" s="4"/>
      <c r="I8554" s="4"/>
      <c r="J8554" s="21">
        <f>IFERROR(VLOOKUP(C8554,'STOK KARTLARI'!$C$2:$K$2150,8,0),0)</f>
        <v>0</v>
      </c>
      <c r="K8554" s="21">
        <f t="shared" si="551"/>
        <v>0</v>
      </c>
      <c r="L8554" s="5">
        <f t="shared" si="553"/>
        <v>0</v>
      </c>
      <c r="M8554" s="4"/>
      <c r="N8554" s="4"/>
      <c r="O8554" s="5"/>
      <c r="P8554" s="5"/>
      <c r="Q8554" s="21">
        <f t="shared" si="554"/>
        <v>0</v>
      </c>
      <c r="R8554" s="21">
        <f t="shared" si="552"/>
        <v>0</v>
      </c>
      <c r="S8554" s="5">
        <f t="shared" si="555"/>
        <v>70007.077158325032</v>
      </c>
      <c r="T8554" cm="1">
        <f t="array" ref="T8554">IF(OR(B8554="MAL ALIMI", B8554="ÜRETİM GİRİŞ"), MIN(I8554, MAX(0, I8554 + SUM(SUMIFS($I$1:I8553, $C$1:C8553, C8554, $B$1:B8553, {"MAL ALIMI","ÜRETİM GİRİŞ"})) - VLOOKUP(C8554, 'STOK RAPORU'!$C$2:$I$1000, 4, 0))), 0)</f>
        <v>0</v>
      </c>
      <c r="U8554" s="22">
        <f t="shared" si="548"/>
        <v>0</v>
      </c>
      <c r="V8554">
        <f t="shared" si="549"/>
        <v>0</v>
      </c>
      <c r="W8554" s="22">
        <f t="shared" si="550"/>
        <v>0</v>
      </c>
    </row>
    <row r="8555" spans="1:23" hidden="1" x14ac:dyDescent="0.25">
      <c r="A8555" s="4"/>
      <c r="B8555" s="4"/>
      <c r="C8555" s="4"/>
      <c r="D8555" s="4"/>
      <c r="E8555" s="4"/>
      <c r="F8555" s="4"/>
      <c r="G8555" s="4"/>
      <c r="H8555" s="4"/>
      <c r="I8555" s="4"/>
      <c r="J8555" s="21">
        <f>IFERROR(VLOOKUP(C8555,'STOK KARTLARI'!$C$2:$K$2150,8,0),0)</f>
        <v>0</v>
      </c>
      <c r="K8555" s="21">
        <f t="shared" si="551"/>
        <v>0</v>
      </c>
      <c r="L8555" s="5">
        <f t="shared" si="553"/>
        <v>0</v>
      </c>
      <c r="M8555" s="4"/>
      <c r="N8555" s="4"/>
      <c r="O8555" s="5"/>
      <c r="P8555" s="5"/>
      <c r="Q8555" s="21">
        <f t="shared" si="554"/>
        <v>0</v>
      </c>
      <c r="R8555" s="21">
        <f t="shared" si="552"/>
        <v>0</v>
      </c>
      <c r="S8555" s="5">
        <f t="shared" si="555"/>
        <v>70007.077158325032</v>
      </c>
      <c r="T8555" cm="1">
        <f t="array" ref="T8555">IF(OR(B8555="MAL ALIMI", B8555="ÜRETİM GİRİŞ"), MIN(I8555, MAX(0, I8555 + SUM(SUMIFS($I$1:I8554, $C$1:C8554, C8555, $B$1:B8554, {"MAL ALIMI","ÜRETİM GİRİŞ"})) - VLOOKUP(C8555, 'STOK RAPORU'!$C$2:$I$1000, 4, 0))), 0)</f>
        <v>0</v>
      </c>
      <c r="U8555" s="22">
        <f t="shared" si="548"/>
        <v>0</v>
      </c>
      <c r="V8555">
        <f t="shared" si="549"/>
        <v>0</v>
      </c>
      <c r="W8555" s="22">
        <f t="shared" si="550"/>
        <v>0</v>
      </c>
    </row>
    <row r="8556" spans="1:23" hidden="1" x14ac:dyDescent="0.25">
      <c r="A8556" s="4"/>
      <c r="B8556" s="4"/>
      <c r="C8556" s="4"/>
      <c r="D8556" s="4"/>
      <c r="E8556" s="4"/>
      <c r="F8556" s="4"/>
      <c r="G8556" s="4"/>
      <c r="H8556" s="4"/>
      <c r="I8556" s="4"/>
      <c r="J8556" s="21">
        <f>IFERROR(VLOOKUP(C8556,'STOK KARTLARI'!$C$2:$K$2150,8,0),0)</f>
        <v>0</v>
      </c>
      <c r="K8556" s="21">
        <f t="shared" si="551"/>
        <v>0</v>
      </c>
      <c r="L8556" s="5">
        <f t="shared" si="553"/>
        <v>0</v>
      </c>
      <c r="M8556" s="4"/>
      <c r="N8556" s="4"/>
      <c r="O8556" s="5"/>
      <c r="P8556" s="5"/>
      <c r="Q8556" s="21">
        <f t="shared" si="554"/>
        <v>0</v>
      </c>
      <c r="R8556" s="21">
        <f t="shared" si="552"/>
        <v>0</v>
      </c>
      <c r="S8556" s="5">
        <f t="shared" si="555"/>
        <v>70007.077158325032</v>
      </c>
      <c r="T8556" cm="1">
        <f t="array" ref="T8556">IF(OR(B8556="MAL ALIMI", B8556="ÜRETİM GİRİŞ"), MIN(I8556, MAX(0, I8556 + SUM(SUMIFS($I$1:I8555, $C$1:C8555, C8556, $B$1:B8555, {"MAL ALIMI","ÜRETİM GİRİŞ"})) - VLOOKUP(C8556, 'STOK RAPORU'!$C$2:$I$1000, 4, 0))), 0)</f>
        <v>0</v>
      </c>
      <c r="U8556" s="22">
        <f t="shared" si="548"/>
        <v>0</v>
      </c>
      <c r="V8556">
        <f t="shared" si="549"/>
        <v>0</v>
      </c>
      <c r="W8556" s="22">
        <f t="shared" si="550"/>
        <v>0</v>
      </c>
    </row>
    <row r="8557" spans="1:23" hidden="1" x14ac:dyDescent="0.25">
      <c r="A8557" s="4"/>
      <c r="B8557" s="4"/>
      <c r="C8557" s="4"/>
      <c r="D8557" s="4"/>
      <c r="E8557" s="4"/>
      <c r="F8557" s="4"/>
      <c r="G8557" s="4"/>
      <c r="H8557" s="4"/>
      <c r="I8557" s="4"/>
      <c r="J8557" s="21">
        <f>IFERROR(VLOOKUP(C8557,'STOK KARTLARI'!$C$2:$K$2150,8,0),0)</f>
        <v>0</v>
      </c>
      <c r="K8557" s="21">
        <f t="shared" si="551"/>
        <v>0</v>
      </c>
      <c r="L8557" s="5">
        <f t="shared" si="553"/>
        <v>0</v>
      </c>
      <c r="M8557" s="4"/>
      <c r="N8557" s="4"/>
      <c r="O8557" s="5"/>
      <c r="P8557" s="5"/>
      <c r="Q8557" s="21">
        <f t="shared" si="554"/>
        <v>0</v>
      </c>
      <c r="R8557" s="21">
        <f t="shared" si="552"/>
        <v>0</v>
      </c>
      <c r="S8557" s="5">
        <f t="shared" si="555"/>
        <v>70007.077158325032</v>
      </c>
      <c r="T8557" cm="1">
        <f t="array" ref="T8557">IF(OR(B8557="MAL ALIMI", B8557="ÜRETİM GİRİŞ"), MIN(I8557, MAX(0, I8557 + SUM(SUMIFS($I$1:I8556, $C$1:C8556, C8557, $B$1:B8556, {"MAL ALIMI","ÜRETİM GİRİŞ"})) - VLOOKUP(C8557, 'STOK RAPORU'!$C$2:$I$1000, 4, 0))), 0)</f>
        <v>0</v>
      </c>
      <c r="U8557" s="22">
        <f t="shared" si="548"/>
        <v>0</v>
      </c>
      <c r="V8557">
        <f t="shared" si="549"/>
        <v>0</v>
      </c>
      <c r="W8557" s="22">
        <f t="shared" si="550"/>
        <v>0</v>
      </c>
    </row>
    <row r="8558" spans="1:23" hidden="1" x14ac:dyDescent="0.25">
      <c r="A8558" s="4"/>
      <c r="B8558" s="4"/>
      <c r="C8558" s="4"/>
      <c r="D8558" s="4"/>
      <c r="E8558" s="4"/>
      <c r="F8558" s="4"/>
      <c r="G8558" s="4"/>
      <c r="H8558" s="4"/>
      <c r="I8558" s="4"/>
      <c r="J8558" s="21">
        <f>IFERROR(VLOOKUP(C8558,'STOK KARTLARI'!$C$2:$K$2150,8,0),0)</f>
        <v>0</v>
      </c>
      <c r="K8558" s="21">
        <f t="shared" si="551"/>
        <v>0</v>
      </c>
      <c r="L8558" s="5">
        <f t="shared" si="553"/>
        <v>0</v>
      </c>
      <c r="M8558" s="4"/>
      <c r="N8558" s="4"/>
      <c r="O8558" s="5"/>
      <c r="P8558" s="5"/>
      <c r="Q8558" s="21">
        <f t="shared" si="554"/>
        <v>0</v>
      </c>
      <c r="R8558" s="21">
        <f t="shared" si="552"/>
        <v>0</v>
      </c>
      <c r="S8558" s="5">
        <f t="shared" si="555"/>
        <v>70007.077158325032</v>
      </c>
      <c r="T8558" cm="1">
        <f t="array" ref="T8558">IF(OR(B8558="MAL ALIMI", B8558="ÜRETİM GİRİŞ"), MIN(I8558, MAX(0, I8558 + SUM(SUMIFS($I$1:I8557, $C$1:C8557, C8558, $B$1:B8557, {"MAL ALIMI","ÜRETİM GİRİŞ"})) - VLOOKUP(C8558, 'STOK RAPORU'!$C$2:$I$1000, 4, 0))), 0)</f>
        <v>0</v>
      </c>
      <c r="U8558" s="22">
        <f t="shared" si="548"/>
        <v>0</v>
      </c>
      <c r="V8558">
        <f t="shared" si="549"/>
        <v>0</v>
      </c>
      <c r="W8558" s="22">
        <f t="shared" si="550"/>
        <v>0</v>
      </c>
    </row>
    <row r="8559" spans="1:23" hidden="1" x14ac:dyDescent="0.25">
      <c r="A8559" s="4"/>
      <c r="B8559" s="4"/>
      <c r="C8559" s="4"/>
      <c r="D8559" s="4"/>
      <c r="E8559" s="4"/>
      <c r="F8559" s="4"/>
      <c r="G8559" s="4"/>
      <c r="H8559" s="4"/>
      <c r="I8559" s="4"/>
      <c r="J8559" s="21">
        <f>IFERROR(VLOOKUP(C8559,'STOK KARTLARI'!$C$2:$K$2150,8,0),0)</f>
        <v>0</v>
      </c>
      <c r="K8559" s="21">
        <f t="shared" si="551"/>
        <v>0</v>
      </c>
      <c r="L8559" s="5">
        <f t="shared" si="553"/>
        <v>0</v>
      </c>
      <c r="M8559" s="4"/>
      <c r="N8559" s="4"/>
      <c r="O8559" s="5"/>
      <c r="P8559" s="5"/>
      <c r="Q8559" s="21">
        <f t="shared" si="554"/>
        <v>0</v>
      </c>
      <c r="R8559" s="21">
        <f t="shared" si="552"/>
        <v>0</v>
      </c>
      <c r="S8559" s="5">
        <f t="shared" si="555"/>
        <v>70007.077158325032</v>
      </c>
      <c r="T8559" cm="1">
        <f t="array" ref="T8559">IF(OR(B8559="MAL ALIMI", B8559="ÜRETİM GİRİŞ"), MIN(I8559, MAX(0, I8559 + SUM(SUMIFS($I$1:I8558, $C$1:C8558, C8559, $B$1:B8558, {"MAL ALIMI","ÜRETİM GİRİŞ"})) - VLOOKUP(C8559, 'STOK RAPORU'!$C$2:$I$1000, 4, 0))), 0)</f>
        <v>0</v>
      </c>
      <c r="U8559" s="22">
        <f t="shared" ref="U8559:U8622" si="556">T8559*J8559</f>
        <v>0</v>
      </c>
      <c r="V8559">
        <f t="shared" ref="V8559:V8622" si="557">IF(OR(B8559="MAL ALIMI", B8559="ÜRETİM GİRİŞ"), I8559 * J8559, 0)</f>
        <v>0</v>
      </c>
      <c r="W8559" s="22">
        <f t="shared" ref="W8559:W8622" si="558">V8559-U8559</f>
        <v>0</v>
      </c>
    </row>
    <row r="8560" spans="1:23" hidden="1" x14ac:dyDescent="0.25">
      <c r="A8560" s="3"/>
      <c r="B8560" s="4"/>
      <c r="C8560" s="4"/>
      <c r="D8560" s="4"/>
      <c r="E8560" s="4"/>
      <c r="F8560" s="4"/>
      <c r="G8560" s="4"/>
      <c r="H8560" s="4"/>
      <c r="I8560" s="4"/>
      <c r="J8560" s="21">
        <f>IFERROR(VLOOKUP(C8560,'STOK KARTLARI'!$C$2:$K$2150,8,0),0)</f>
        <v>0</v>
      </c>
      <c r="K8560" s="21">
        <f t="shared" si="551"/>
        <v>0</v>
      </c>
      <c r="L8560" s="5">
        <f t="shared" si="553"/>
        <v>0</v>
      </c>
      <c r="M8560" s="4"/>
      <c r="N8560" s="4"/>
      <c r="O8560" s="5"/>
      <c r="P8560" s="5"/>
      <c r="Q8560" s="21">
        <f t="shared" si="554"/>
        <v>0</v>
      </c>
      <c r="R8560" s="21">
        <f t="shared" si="552"/>
        <v>0</v>
      </c>
      <c r="S8560" s="5">
        <f t="shared" si="555"/>
        <v>70007.077158325032</v>
      </c>
      <c r="T8560" cm="1">
        <f t="array" ref="T8560">IF(OR(B8560="MAL ALIMI", B8560="ÜRETİM GİRİŞ"), MIN(I8560, MAX(0, I8560 + SUM(SUMIFS($I$1:I8559, $C$1:C8559, C8560, $B$1:B8559, {"MAL ALIMI","ÜRETİM GİRİŞ"})) - VLOOKUP(C8560, 'STOK RAPORU'!$C$2:$I$1000, 4, 0))), 0)</f>
        <v>0</v>
      </c>
      <c r="U8560" s="22">
        <f t="shared" si="556"/>
        <v>0</v>
      </c>
      <c r="V8560">
        <f t="shared" si="557"/>
        <v>0</v>
      </c>
      <c r="W8560" s="22">
        <f t="shared" si="558"/>
        <v>0</v>
      </c>
    </row>
    <row r="8561" spans="1:23" hidden="1" x14ac:dyDescent="0.25">
      <c r="A8561" s="4"/>
      <c r="B8561" s="4"/>
      <c r="C8561" s="4"/>
      <c r="D8561" s="4"/>
      <c r="E8561" s="4"/>
      <c r="F8561" s="4"/>
      <c r="G8561" s="4"/>
      <c r="H8561" s="4"/>
      <c r="I8561" s="4"/>
      <c r="J8561" s="21">
        <f>IFERROR(VLOOKUP(C8561,'STOK KARTLARI'!$C$2:$K$2150,8,0),0)</f>
        <v>0</v>
      </c>
      <c r="K8561" s="21">
        <f t="shared" si="551"/>
        <v>0</v>
      </c>
      <c r="L8561" s="5">
        <f t="shared" si="553"/>
        <v>0</v>
      </c>
      <c r="M8561" s="4"/>
      <c r="N8561" s="4"/>
      <c r="O8561" s="5"/>
      <c r="P8561" s="5"/>
      <c r="Q8561" s="21">
        <f t="shared" si="554"/>
        <v>0</v>
      </c>
      <c r="R8561" s="21">
        <f t="shared" si="552"/>
        <v>0</v>
      </c>
      <c r="S8561" s="5">
        <f t="shared" si="555"/>
        <v>70007.077158325032</v>
      </c>
      <c r="T8561" cm="1">
        <f t="array" ref="T8561">IF(OR(B8561="MAL ALIMI", B8561="ÜRETİM GİRİŞ"), MIN(I8561, MAX(0, I8561 + SUM(SUMIFS($I$1:I8560, $C$1:C8560, C8561, $B$1:B8560, {"MAL ALIMI","ÜRETİM GİRİŞ"})) - VLOOKUP(C8561, 'STOK RAPORU'!$C$2:$I$1000, 4, 0))), 0)</f>
        <v>0</v>
      </c>
      <c r="U8561" s="22">
        <f t="shared" si="556"/>
        <v>0</v>
      </c>
      <c r="V8561">
        <f t="shared" si="557"/>
        <v>0</v>
      </c>
      <c r="W8561" s="22">
        <f t="shared" si="558"/>
        <v>0</v>
      </c>
    </row>
    <row r="8562" spans="1:23" hidden="1" x14ac:dyDescent="0.25">
      <c r="A8562" s="4"/>
      <c r="B8562" s="4"/>
      <c r="C8562" s="4"/>
      <c r="D8562" s="4"/>
      <c r="E8562" s="4"/>
      <c r="F8562" s="4"/>
      <c r="G8562" s="4"/>
      <c r="H8562" s="4"/>
      <c r="I8562" s="4"/>
      <c r="J8562" s="21">
        <f>IFERROR(VLOOKUP(C8562,'STOK KARTLARI'!$C$2:$K$2150,8,0),0)</f>
        <v>0</v>
      </c>
      <c r="K8562" s="21">
        <f t="shared" si="551"/>
        <v>0</v>
      </c>
      <c r="L8562" s="5">
        <f t="shared" si="553"/>
        <v>0</v>
      </c>
      <c r="M8562" s="4"/>
      <c r="N8562" s="4"/>
      <c r="O8562" s="5"/>
      <c r="P8562" s="5"/>
      <c r="Q8562" s="21">
        <f t="shared" si="554"/>
        <v>0</v>
      </c>
      <c r="R8562" s="21">
        <f t="shared" si="552"/>
        <v>0</v>
      </c>
      <c r="S8562" s="5">
        <f t="shared" si="555"/>
        <v>70007.077158325032</v>
      </c>
      <c r="T8562" cm="1">
        <f t="array" ref="T8562">IF(OR(B8562="MAL ALIMI", B8562="ÜRETİM GİRİŞ"), MIN(I8562, MAX(0, I8562 + SUM(SUMIFS($I$1:I8561, $C$1:C8561, C8562, $B$1:B8561, {"MAL ALIMI","ÜRETİM GİRİŞ"})) - VLOOKUP(C8562, 'STOK RAPORU'!$C$2:$I$1000, 4, 0))), 0)</f>
        <v>0</v>
      </c>
      <c r="U8562" s="22">
        <f t="shared" si="556"/>
        <v>0</v>
      </c>
      <c r="V8562">
        <f t="shared" si="557"/>
        <v>0</v>
      </c>
      <c r="W8562" s="22">
        <f t="shared" si="558"/>
        <v>0</v>
      </c>
    </row>
    <row r="8563" spans="1:23" hidden="1" x14ac:dyDescent="0.25">
      <c r="A8563" s="4"/>
      <c r="B8563" s="4"/>
      <c r="C8563" s="4"/>
      <c r="D8563" s="4"/>
      <c r="E8563" s="4"/>
      <c r="F8563" s="4"/>
      <c r="G8563" s="4"/>
      <c r="H8563" s="4"/>
      <c r="I8563" s="4"/>
      <c r="J8563" s="21">
        <f>IFERROR(VLOOKUP(C8563,'STOK KARTLARI'!$C$2:$K$2150,8,0),0)</f>
        <v>0</v>
      </c>
      <c r="K8563" s="21">
        <f t="shared" ref="K8563:K8626" si="559">IF(AND(B8563="MAL SATIŞI", H8563="POS"),I8563*J8563,0)</f>
        <v>0</v>
      </c>
      <c r="L8563" s="5">
        <f t="shared" si="553"/>
        <v>0</v>
      </c>
      <c r="M8563" s="4"/>
      <c r="N8563" s="4"/>
      <c r="O8563" s="5"/>
      <c r="P8563" s="5"/>
      <c r="Q8563" s="21">
        <f t="shared" si="554"/>
        <v>0</v>
      </c>
      <c r="R8563" s="21">
        <f t="shared" ref="R8563:R8626" si="560">IF(AND(E8563="", B8563&lt;&gt;"MAL SATIŞI"),I8563*J8563,0)</f>
        <v>0</v>
      </c>
      <c r="S8563" s="5">
        <f t="shared" si="555"/>
        <v>70007.077158325032</v>
      </c>
      <c r="T8563" cm="1">
        <f t="array" ref="T8563">IF(OR(B8563="MAL ALIMI", B8563="ÜRETİM GİRİŞ"), MIN(I8563, MAX(0, I8563 + SUM(SUMIFS($I$1:I8562, $C$1:C8562, C8563, $B$1:B8562, {"MAL ALIMI","ÜRETİM GİRİŞ"})) - VLOOKUP(C8563, 'STOK RAPORU'!$C$2:$I$1000, 4, 0))), 0)</f>
        <v>0</v>
      </c>
      <c r="U8563" s="22">
        <f t="shared" si="556"/>
        <v>0</v>
      </c>
      <c r="V8563">
        <f t="shared" si="557"/>
        <v>0</v>
      </c>
      <c r="W8563" s="22">
        <f t="shared" si="558"/>
        <v>0</v>
      </c>
    </row>
    <row r="8564" spans="1:23" hidden="1" x14ac:dyDescent="0.25">
      <c r="A8564" s="4"/>
      <c r="B8564" s="4"/>
      <c r="C8564" s="4"/>
      <c r="D8564" s="4"/>
      <c r="E8564" s="4"/>
      <c r="F8564" s="4"/>
      <c r="G8564" s="4"/>
      <c r="H8564" s="4"/>
      <c r="I8564" s="4"/>
      <c r="J8564" s="21">
        <f>IFERROR(VLOOKUP(C8564,'STOK KARTLARI'!$C$2:$K$2150,8,0),0)</f>
        <v>0</v>
      </c>
      <c r="K8564" s="21">
        <f t="shared" si="559"/>
        <v>0</v>
      </c>
      <c r="L8564" s="5">
        <f t="shared" ref="L8564:L8627" si="561">IF(OR(E8564="", H8564="POS"),0,I8564*J8564)</f>
        <v>0</v>
      </c>
      <c r="M8564" s="4"/>
      <c r="N8564" s="4"/>
      <c r="O8564" s="5"/>
      <c r="P8564" s="5"/>
      <c r="Q8564" s="21">
        <f t="shared" ref="Q8564:Q8627" si="562">IF(AND(E8564="", B8564="MAL SATIŞI", H8564="NAKİT"),I8564*J8564,0)</f>
        <v>0</v>
      </c>
      <c r="R8564" s="21">
        <f t="shared" si="560"/>
        <v>0</v>
      </c>
      <c r="S8564" s="5">
        <f t="shared" si="555"/>
        <v>70007.077158325032</v>
      </c>
      <c r="T8564" cm="1">
        <f t="array" ref="T8564">IF(OR(B8564="MAL ALIMI", B8564="ÜRETİM GİRİŞ"), MIN(I8564, MAX(0, I8564 + SUM(SUMIFS($I$1:I8563, $C$1:C8563, C8564, $B$1:B8563, {"MAL ALIMI","ÜRETİM GİRİŞ"})) - VLOOKUP(C8564, 'STOK RAPORU'!$C$2:$I$1000, 4, 0))), 0)</f>
        <v>0</v>
      </c>
      <c r="U8564" s="22">
        <f t="shared" si="556"/>
        <v>0</v>
      </c>
      <c r="V8564">
        <f t="shared" si="557"/>
        <v>0</v>
      </c>
      <c r="W8564" s="22">
        <f t="shared" si="558"/>
        <v>0</v>
      </c>
    </row>
    <row r="8565" spans="1:23" hidden="1" x14ac:dyDescent="0.25">
      <c r="A8565" s="4"/>
      <c r="B8565" s="4"/>
      <c r="C8565" s="4"/>
      <c r="D8565" s="4"/>
      <c r="E8565" s="4"/>
      <c r="F8565" s="4"/>
      <c r="G8565" s="4"/>
      <c r="H8565" s="4"/>
      <c r="I8565" s="4"/>
      <c r="J8565" s="21">
        <f>IFERROR(VLOOKUP(C8565,'STOK KARTLARI'!$C$2:$K$2150,8,0),0)</f>
        <v>0</v>
      </c>
      <c r="K8565" s="21">
        <f t="shared" si="559"/>
        <v>0</v>
      </c>
      <c r="L8565" s="5">
        <f t="shared" si="561"/>
        <v>0</v>
      </c>
      <c r="M8565" s="4"/>
      <c r="N8565" s="4"/>
      <c r="O8565" s="5"/>
      <c r="P8565" s="5"/>
      <c r="Q8565" s="21">
        <f t="shared" si="562"/>
        <v>0</v>
      </c>
      <c r="R8565" s="21">
        <f t="shared" si="560"/>
        <v>0</v>
      </c>
      <c r="S8565" s="5">
        <f t="shared" si="555"/>
        <v>70007.077158325032</v>
      </c>
      <c r="T8565" cm="1">
        <f t="array" ref="T8565">IF(OR(B8565="MAL ALIMI", B8565="ÜRETİM GİRİŞ"), MIN(I8565, MAX(0, I8565 + SUM(SUMIFS($I$1:I8564, $C$1:C8564, C8565, $B$1:B8564, {"MAL ALIMI","ÜRETİM GİRİŞ"})) - VLOOKUP(C8565, 'STOK RAPORU'!$C$2:$I$1000, 4, 0))), 0)</f>
        <v>0</v>
      </c>
      <c r="U8565" s="22">
        <f t="shared" si="556"/>
        <v>0</v>
      </c>
      <c r="V8565">
        <f t="shared" si="557"/>
        <v>0</v>
      </c>
      <c r="W8565" s="22">
        <f t="shared" si="558"/>
        <v>0</v>
      </c>
    </row>
    <row r="8566" spans="1:23" hidden="1" x14ac:dyDescent="0.25">
      <c r="A8566" s="4"/>
      <c r="B8566" s="4"/>
      <c r="C8566" s="4"/>
      <c r="D8566" s="4"/>
      <c r="E8566" s="4"/>
      <c r="F8566" s="4"/>
      <c r="G8566" s="4"/>
      <c r="H8566" s="4"/>
      <c r="I8566" s="4"/>
      <c r="J8566" s="21">
        <f>IFERROR(VLOOKUP(C8566,'STOK KARTLARI'!$C$2:$K$2150,8,0),0)</f>
        <v>0</v>
      </c>
      <c r="K8566" s="21">
        <f t="shared" si="559"/>
        <v>0</v>
      </c>
      <c r="L8566" s="5">
        <f t="shared" si="561"/>
        <v>0</v>
      </c>
      <c r="M8566" s="4"/>
      <c r="N8566" s="4"/>
      <c r="O8566" s="5"/>
      <c r="P8566" s="5"/>
      <c r="Q8566" s="21">
        <f t="shared" si="562"/>
        <v>0</v>
      </c>
      <c r="R8566" s="21">
        <f t="shared" si="560"/>
        <v>0</v>
      </c>
      <c r="S8566" s="5">
        <f t="shared" si="555"/>
        <v>70007.077158325032</v>
      </c>
      <c r="T8566" cm="1">
        <f t="array" ref="T8566">IF(OR(B8566="MAL ALIMI", B8566="ÜRETİM GİRİŞ"), MIN(I8566, MAX(0, I8566 + SUM(SUMIFS($I$1:I8565, $C$1:C8565, C8566, $B$1:B8565, {"MAL ALIMI","ÜRETİM GİRİŞ"})) - VLOOKUP(C8566, 'STOK RAPORU'!$C$2:$I$1000, 4, 0))), 0)</f>
        <v>0</v>
      </c>
      <c r="U8566" s="22">
        <f t="shared" si="556"/>
        <v>0</v>
      </c>
      <c r="V8566">
        <f t="shared" si="557"/>
        <v>0</v>
      </c>
      <c r="W8566" s="22">
        <f t="shared" si="558"/>
        <v>0</v>
      </c>
    </row>
    <row r="8567" spans="1:23" hidden="1" x14ac:dyDescent="0.25">
      <c r="A8567" s="3"/>
      <c r="B8567" s="4"/>
      <c r="C8567" s="4"/>
      <c r="D8567" s="4"/>
      <c r="E8567" s="4"/>
      <c r="F8567" s="4"/>
      <c r="G8567" s="4"/>
      <c r="H8567" s="4"/>
      <c r="I8567" s="4"/>
      <c r="J8567" s="21">
        <f>IFERROR(VLOOKUP(C8567,'STOK KARTLARI'!$C$2:$K$2150,8,0),0)</f>
        <v>0</v>
      </c>
      <c r="K8567" s="21">
        <f t="shared" si="559"/>
        <v>0</v>
      </c>
      <c r="L8567" s="5">
        <f t="shared" si="561"/>
        <v>0</v>
      </c>
      <c r="M8567" s="4"/>
      <c r="N8567" s="4"/>
      <c r="O8567" s="5"/>
      <c r="P8567" s="5"/>
      <c r="Q8567" s="21">
        <f t="shared" si="562"/>
        <v>0</v>
      </c>
      <c r="R8567" s="21">
        <f t="shared" si="560"/>
        <v>0</v>
      </c>
      <c r="S8567" s="5">
        <f t="shared" si="555"/>
        <v>70007.077158325032</v>
      </c>
      <c r="T8567" cm="1">
        <f t="array" ref="T8567">IF(OR(B8567="MAL ALIMI", B8567="ÜRETİM GİRİŞ"), MIN(I8567, MAX(0, I8567 + SUM(SUMIFS($I$1:I8566, $C$1:C8566, C8567, $B$1:B8566, {"MAL ALIMI","ÜRETİM GİRİŞ"})) - VLOOKUP(C8567, 'STOK RAPORU'!$C$2:$I$1000, 4, 0))), 0)</f>
        <v>0</v>
      </c>
      <c r="U8567" s="22">
        <f t="shared" si="556"/>
        <v>0</v>
      </c>
      <c r="V8567">
        <f t="shared" si="557"/>
        <v>0</v>
      </c>
      <c r="W8567" s="22">
        <f t="shared" si="558"/>
        <v>0</v>
      </c>
    </row>
    <row r="8568" spans="1:23" hidden="1" x14ac:dyDescent="0.25">
      <c r="A8568" s="4"/>
      <c r="B8568" s="4"/>
      <c r="C8568" s="4"/>
      <c r="D8568" s="4"/>
      <c r="E8568" s="4"/>
      <c r="F8568" s="4"/>
      <c r="G8568" s="4"/>
      <c r="H8568" s="4"/>
      <c r="I8568" s="4"/>
      <c r="J8568" s="21">
        <f>IFERROR(VLOOKUP(C8568,'STOK KARTLARI'!$C$2:$K$2150,8,0),0)</f>
        <v>0</v>
      </c>
      <c r="K8568" s="21">
        <f t="shared" si="559"/>
        <v>0</v>
      </c>
      <c r="L8568" s="5">
        <f t="shared" si="561"/>
        <v>0</v>
      </c>
      <c r="M8568" s="4"/>
      <c r="N8568" s="4"/>
      <c r="O8568" s="5"/>
      <c r="P8568" s="5"/>
      <c r="Q8568" s="21">
        <f t="shared" si="562"/>
        <v>0</v>
      </c>
      <c r="R8568" s="21">
        <f t="shared" si="560"/>
        <v>0</v>
      </c>
      <c r="S8568" s="5">
        <f t="shared" si="555"/>
        <v>70007.077158325032</v>
      </c>
      <c r="T8568" cm="1">
        <f t="array" ref="T8568">IF(OR(B8568="MAL ALIMI", B8568="ÜRETİM GİRİŞ"), MIN(I8568, MAX(0, I8568 + SUM(SUMIFS($I$1:I8567, $C$1:C8567, C8568, $B$1:B8567, {"MAL ALIMI","ÜRETİM GİRİŞ"})) - VLOOKUP(C8568, 'STOK RAPORU'!$C$2:$I$1000, 4, 0))), 0)</f>
        <v>0</v>
      </c>
      <c r="U8568" s="22">
        <f t="shared" si="556"/>
        <v>0</v>
      </c>
      <c r="V8568">
        <f t="shared" si="557"/>
        <v>0</v>
      </c>
      <c r="W8568" s="22">
        <f t="shared" si="558"/>
        <v>0</v>
      </c>
    </row>
    <row r="8569" spans="1:23" hidden="1" x14ac:dyDescent="0.25">
      <c r="A8569" s="4"/>
      <c r="B8569" s="4"/>
      <c r="C8569" s="4"/>
      <c r="D8569" s="4"/>
      <c r="E8569" s="4"/>
      <c r="F8569" s="4"/>
      <c r="G8569" s="4"/>
      <c r="H8569" s="4"/>
      <c r="I8569" s="4"/>
      <c r="J8569" s="21">
        <f>IFERROR(VLOOKUP(C8569,'STOK KARTLARI'!$C$2:$K$2150,8,0),0)</f>
        <v>0</v>
      </c>
      <c r="K8569" s="21">
        <f t="shared" si="559"/>
        <v>0</v>
      </c>
      <c r="L8569" s="5">
        <f t="shared" si="561"/>
        <v>0</v>
      </c>
      <c r="M8569" s="4"/>
      <c r="N8569" s="4"/>
      <c r="O8569" s="5"/>
      <c r="P8569" s="5"/>
      <c r="Q8569" s="21">
        <f t="shared" si="562"/>
        <v>0</v>
      </c>
      <c r="R8569" s="21">
        <f t="shared" si="560"/>
        <v>0</v>
      </c>
      <c r="S8569" s="5">
        <f t="shared" si="555"/>
        <v>70007.077158325032</v>
      </c>
      <c r="T8569" cm="1">
        <f t="array" ref="T8569">IF(OR(B8569="MAL ALIMI", B8569="ÜRETİM GİRİŞ"), MIN(I8569, MAX(0, I8569 + SUM(SUMIFS($I$1:I8568, $C$1:C8568, C8569, $B$1:B8568, {"MAL ALIMI","ÜRETİM GİRİŞ"})) - VLOOKUP(C8569, 'STOK RAPORU'!$C$2:$I$1000, 4, 0))), 0)</f>
        <v>0</v>
      </c>
      <c r="U8569" s="22">
        <f t="shared" si="556"/>
        <v>0</v>
      </c>
      <c r="V8569">
        <f t="shared" si="557"/>
        <v>0</v>
      </c>
      <c r="W8569" s="22">
        <f t="shared" si="558"/>
        <v>0</v>
      </c>
    </row>
    <row r="8570" spans="1:23" hidden="1" x14ac:dyDescent="0.25">
      <c r="A8570" s="4"/>
      <c r="B8570" s="4"/>
      <c r="C8570" s="4"/>
      <c r="D8570" s="4"/>
      <c r="E8570" s="4"/>
      <c r="F8570" s="4"/>
      <c r="G8570" s="4"/>
      <c r="H8570" s="4"/>
      <c r="I8570" s="4"/>
      <c r="J8570" s="21">
        <f>IFERROR(VLOOKUP(C8570,'STOK KARTLARI'!$C$2:$K$2150,8,0),0)</f>
        <v>0</v>
      </c>
      <c r="K8570" s="21">
        <f t="shared" si="559"/>
        <v>0</v>
      </c>
      <c r="L8570" s="5">
        <f t="shared" si="561"/>
        <v>0</v>
      </c>
      <c r="M8570" s="4"/>
      <c r="N8570" s="4"/>
      <c r="O8570" s="5"/>
      <c r="P8570" s="5"/>
      <c r="Q8570" s="21">
        <f t="shared" si="562"/>
        <v>0</v>
      </c>
      <c r="R8570" s="21">
        <f t="shared" si="560"/>
        <v>0</v>
      </c>
      <c r="S8570" s="5">
        <f t="shared" si="555"/>
        <v>70007.077158325032</v>
      </c>
      <c r="T8570" cm="1">
        <f t="array" ref="T8570">IF(OR(B8570="MAL ALIMI", B8570="ÜRETİM GİRİŞ"), MIN(I8570, MAX(0, I8570 + SUM(SUMIFS($I$1:I8569, $C$1:C8569, C8570, $B$1:B8569, {"MAL ALIMI","ÜRETİM GİRİŞ"})) - VLOOKUP(C8570, 'STOK RAPORU'!$C$2:$I$1000, 4, 0))), 0)</f>
        <v>0</v>
      </c>
      <c r="U8570" s="22">
        <f t="shared" si="556"/>
        <v>0</v>
      </c>
      <c r="V8570">
        <f t="shared" si="557"/>
        <v>0</v>
      </c>
      <c r="W8570" s="22">
        <f t="shared" si="558"/>
        <v>0</v>
      </c>
    </row>
    <row r="8571" spans="1:23" hidden="1" x14ac:dyDescent="0.25">
      <c r="A8571" s="4"/>
      <c r="B8571" s="4"/>
      <c r="C8571" s="4"/>
      <c r="D8571" s="4"/>
      <c r="E8571" s="4"/>
      <c r="F8571" s="4"/>
      <c r="G8571" s="4"/>
      <c r="H8571" s="4"/>
      <c r="I8571" s="4"/>
      <c r="J8571" s="21">
        <f>IFERROR(VLOOKUP(C8571,'STOK KARTLARI'!$C$2:$K$2150,8,0),0)</f>
        <v>0</v>
      </c>
      <c r="K8571" s="21">
        <f t="shared" si="559"/>
        <v>0</v>
      </c>
      <c r="L8571" s="5">
        <f t="shared" si="561"/>
        <v>0</v>
      </c>
      <c r="M8571" s="4"/>
      <c r="N8571" s="4"/>
      <c r="O8571" s="5"/>
      <c r="P8571" s="5"/>
      <c r="Q8571" s="21">
        <f t="shared" si="562"/>
        <v>0</v>
      </c>
      <c r="R8571" s="21">
        <f t="shared" si="560"/>
        <v>0</v>
      </c>
      <c r="S8571" s="5">
        <f t="shared" si="555"/>
        <v>70007.077158325032</v>
      </c>
      <c r="T8571" cm="1">
        <f t="array" ref="T8571">IF(OR(B8571="MAL ALIMI", B8571="ÜRETİM GİRİŞ"), MIN(I8571, MAX(0, I8571 + SUM(SUMIFS($I$1:I8570, $C$1:C8570, C8571, $B$1:B8570, {"MAL ALIMI","ÜRETİM GİRİŞ"})) - VLOOKUP(C8571, 'STOK RAPORU'!$C$2:$I$1000, 4, 0))), 0)</f>
        <v>0</v>
      </c>
      <c r="U8571" s="22">
        <f t="shared" si="556"/>
        <v>0</v>
      </c>
      <c r="V8571">
        <f t="shared" si="557"/>
        <v>0</v>
      </c>
      <c r="W8571" s="22">
        <f t="shared" si="558"/>
        <v>0</v>
      </c>
    </row>
    <row r="8572" spans="1:23" hidden="1" x14ac:dyDescent="0.25">
      <c r="A8572" s="4"/>
      <c r="B8572" s="4"/>
      <c r="C8572" s="4"/>
      <c r="D8572" s="4"/>
      <c r="E8572" s="4"/>
      <c r="F8572" s="4"/>
      <c r="G8572" s="4"/>
      <c r="H8572" s="4"/>
      <c r="I8572" s="4"/>
      <c r="J8572" s="21">
        <f>IFERROR(VLOOKUP(C8572,'STOK KARTLARI'!$C$2:$K$2150,8,0),0)</f>
        <v>0</v>
      </c>
      <c r="K8572" s="21">
        <f t="shared" si="559"/>
        <v>0</v>
      </c>
      <c r="L8572" s="5">
        <f t="shared" si="561"/>
        <v>0</v>
      </c>
      <c r="M8572" s="4"/>
      <c r="N8572" s="4"/>
      <c r="O8572" s="5"/>
      <c r="P8572" s="5"/>
      <c r="Q8572" s="21">
        <f t="shared" si="562"/>
        <v>0</v>
      </c>
      <c r="R8572" s="21">
        <f t="shared" si="560"/>
        <v>0</v>
      </c>
      <c r="S8572" s="5">
        <f t="shared" si="555"/>
        <v>70007.077158325032</v>
      </c>
      <c r="T8572" cm="1">
        <f t="array" ref="T8572">IF(OR(B8572="MAL ALIMI", B8572="ÜRETİM GİRİŞ"), MIN(I8572, MAX(0, I8572 + SUM(SUMIFS($I$1:I8571, $C$1:C8571, C8572, $B$1:B8571, {"MAL ALIMI","ÜRETİM GİRİŞ"})) - VLOOKUP(C8572, 'STOK RAPORU'!$C$2:$I$1000, 4, 0))), 0)</f>
        <v>0</v>
      </c>
      <c r="U8572" s="22">
        <f t="shared" si="556"/>
        <v>0</v>
      </c>
      <c r="V8572">
        <f t="shared" si="557"/>
        <v>0</v>
      </c>
      <c r="W8572" s="22">
        <f t="shared" si="558"/>
        <v>0</v>
      </c>
    </row>
    <row r="8573" spans="1:23" hidden="1" x14ac:dyDescent="0.25">
      <c r="A8573" s="4"/>
      <c r="B8573" s="4"/>
      <c r="C8573" s="4"/>
      <c r="D8573" s="4"/>
      <c r="E8573" s="4"/>
      <c r="F8573" s="4"/>
      <c r="G8573" s="4"/>
      <c r="H8573" s="4"/>
      <c r="I8573" s="4"/>
      <c r="J8573" s="21">
        <f>IFERROR(VLOOKUP(C8573,'STOK KARTLARI'!$C$2:$K$2150,8,0),0)</f>
        <v>0</v>
      </c>
      <c r="K8573" s="21">
        <f t="shared" si="559"/>
        <v>0</v>
      </c>
      <c r="L8573" s="5">
        <f t="shared" si="561"/>
        <v>0</v>
      </c>
      <c r="M8573" s="4"/>
      <c r="N8573" s="4"/>
      <c r="O8573" s="5"/>
      <c r="P8573" s="5"/>
      <c r="Q8573" s="21">
        <f t="shared" si="562"/>
        <v>0</v>
      </c>
      <c r="R8573" s="21">
        <f t="shared" si="560"/>
        <v>0</v>
      </c>
      <c r="S8573" s="5">
        <f t="shared" si="555"/>
        <v>70007.077158325032</v>
      </c>
      <c r="T8573" cm="1">
        <f t="array" ref="T8573">IF(OR(B8573="MAL ALIMI", B8573="ÜRETİM GİRİŞ"), MIN(I8573, MAX(0, I8573 + SUM(SUMIFS($I$1:I8572, $C$1:C8572, C8573, $B$1:B8572, {"MAL ALIMI","ÜRETİM GİRİŞ"})) - VLOOKUP(C8573, 'STOK RAPORU'!$C$2:$I$1000, 4, 0))), 0)</f>
        <v>0</v>
      </c>
      <c r="U8573" s="22">
        <f t="shared" si="556"/>
        <v>0</v>
      </c>
      <c r="V8573">
        <f t="shared" si="557"/>
        <v>0</v>
      </c>
      <c r="W8573" s="22">
        <f t="shared" si="558"/>
        <v>0</v>
      </c>
    </row>
    <row r="8574" spans="1:23" hidden="1" x14ac:dyDescent="0.25">
      <c r="A8574" s="3"/>
      <c r="B8574" s="4"/>
      <c r="C8574" s="4"/>
      <c r="D8574" s="4"/>
      <c r="E8574" s="4"/>
      <c r="F8574" s="4"/>
      <c r="G8574" s="4"/>
      <c r="H8574" s="4"/>
      <c r="I8574" s="4"/>
      <c r="J8574" s="21">
        <f>IFERROR(VLOOKUP(C8574,'STOK KARTLARI'!$C$2:$K$2150,8,0),0)</f>
        <v>0</v>
      </c>
      <c r="K8574" s="21">
        <f t="shared" si="559"/>
        <v>0</v>
      </c>
      <c r="L8574" s="5">
        <f t="shared" si="561"/>
        <v>0</v>
      </c>
      <c r="M8574" s="4"/>
      <c r="N8574" s="4"/>
      <c r="O8574" s="5"/>
      <c r="P8574" s="5"/>
      <c r="Q8574" s="21">
        <f t="shared" si="562"/>
        <v>0</v>
      </c>
      <c r="R8574" s="21">
        <f t="shared" si="560"/>
        <v>0</v>
      </c>
      <c r="S8574" s="5">
        <f t="shared" si="555"/>
        <v>70007.077158325032</v>
      </c>
      <c r="T8574" cm="1">
        <f t="array" ref="T8574">IF(OR(B8574="MAL ALIMI", B8574="ÜRETİM GİRİŞ"), MIN(I8574, MAX(0, I8574 + SUM(SUMIFS($I$1:I8573, $C$1:C8573, C8574, $B$1:B8573, {"MAL ALIMI","ÜRETİM GİRİŞ"})) - VLOOKUP(C8574, 'STOK RAPORU'!$C$2:$I$1000, 4, 0))), 0)</f>
        <v>0</v>
      </c>
      <c r="U8574" s="22">
        <f t="shared" si="556"/>
        <v>0</v>
      </c>
      <c r="V8574">
        <f t="shared" si="557"/>
        <v>0</v>
      </c>
      <c r="W8574" s="22">
        <f t="shared" si="558"/>
        <v>0</v>
      </c>
    </row>
    <row r="8575" spans="1:23" hidden="1" x14ac:dyDescent="0.25">
      <c r="A8575" s="4"/>
      <c r="B8575" s="4"/>
      <c r="C8575" s="4"/>
      <c r="D8575" s="4"/>
      <c r="E8575" s="4"/>
      <c r="F8575" s="4"/>
      <c r="G8575" s="4"/>
      <c r="H8575" s="4"/>
      <c r="I8575" s="4"/>
      <c r="J8575" s="21">
        <f>IFERROR(VLOOKUP(C8575,'STOK KARTLARI'!$C$2:$K$2150,8,0),0)</f>
        <v>0</v>
      </c>
      <c r="K8575" s="21">
        <f t="shared" si="559"/>
        <v>0</v>
      </c>
      <c r="L8575" s="5">
        <f t="shared" si="561"/>
        <v>0</v>
      </c>
      <c r="M8575" s="4"/>
      <c r="N8575" s="4"/>
      <c r="O8575" s="5"/>
      <c r="P8575" s="5"/>
      <c r="Q8575" s="21">
        <f t="shared" si="562"/>
        <v>0</v>
      </c>
      <c r="R8575" s="21">
        <f t="shared" si="560"/>
        <v>0</v>
      </c>
      <c r="S8575" s="5">
        <f t="shared" si="555"/>
        <v>70007.077158325032</v>
      </c>
      <c r="T8575" cm="1">
        <f t="array" ref="T8575">IF(OR(B8575="MAL ALIMI", B8575="ÜRETİM GİRİŞ"), MIN(I8575, MAX(0, I8575 + SUM(SUMIFS($I$1:I8574, $C$1:C8574, C8575, $B$1:B8574, {"MAL ALIMI","ÜRETİM GİRİŞ"})) - VLOOKUP(C8575, 'STOK RAPORU'!$C$2:$I$1000, 4, 0))), 0)</f>
        <v>0</v>
      </c>
      <c r="U8575" s="22">
        <f t="shared" si="556"/>
        <v>0</v>
      </c>
      <c r="V8575">
        <f t="shared" si="557"/>
        <v>0</v>
      </c>
      <c r="W8575" s="22">
        <f t="shared" si="558"/>
        <v>0</v>
      </c>
    </row>
    <row r="8576" spans="1:23" hidden="1" x14ac:dyDescent="0.25">
      <c r="A8576" s="4"/>
      <c r="B8576" s="4"/>
      <c r="C8576" s="4"/>
      <c r="D8576" s="4"/>
      <c r="E8576" s="4"/>
      <c r="F8576" s="4"/>
      <c r="G8576" s="4"/>
      <c r="H8576" s="4"/>
      <c r="I8576" s="4"/>
      <c r="J8576" s="21">
        <f>IFERROR(VLOOKUP(C8576,'STOK KARTLARI'!$C$2:$K$2150,8,0),0)</f>
        <v>0</v>
      </c>
      <c r="K8576" s="21">
        <f t="shared" si="559"/>
        <v>0</v>
      </c>
      <c r="L8576" s="5">
        <f t="shared" si="561"/>
        <v>0</v>
      </c>
      <c r="M8576" s="4"/>
      <c r="N8576" s="4"/>
      <c r="O8576" s="5"/>
      <c r="P8576" s="5"/>
      <c r="Q8576" s="21">
        <f t="shared" si="562"/>
        <v>0</v>
      </c>
      <c r="R8576" s="21">
        <f t="shared" si="560"/>
        <v>0</v>
      </c>
      <c r="S8576" s="5">
        <f t="shared" si="555"/>
        <v>70007.077158325032</v>
      </c>
      <c r="T8576" cm="1">
        <f t="array" ref="T8576">IF(OR(B8576="MAL ALIMI", B8576="ÜRETİM GİRİŞ"), MIN(I8576, MAX(0, I8576 + SUM(SUMIFS($I$1:I8575, $C$1:C8575, C8576, $B$1:B8575, {"MAL ALIMI","ÜRETİM GİRİŞ"})) - VLOOKUP(C8576, 'STOK RAPORU'!$C$2:$I$1000, 4, 0))), 0)</f>
        <v>0</v>
      </c>
      <c r="U8576" s="22">
        <f t="shared" si="556"/>
        <v>0</v>
      </c>
      <c r="V8576">
        <f t="shared" si="557"/>
        <v>0</v>
      </c>
      <c r="W8576" s="22">
        <f t="shared" si="558"/>
        <v>0</v>
      </c>
    </row>
    <row r="8577" spans="1:23" hidden="1" x14ac:dyDescent="0.25">
      <c r="A8577" s="4"/>
      <c r="B8577" s="4"/>
      <c r="C8577" s="4"/>
      <c r="D8577" s="4"/>
      <c r="E8577" s="4"/>
      <c r="F8577" s="4"/>
      <c r="G8577" s="4"/>
      <c r="H8577" s="4"/>
      <c r="I8577" s="4"/>
      <c r="J8577" s="21">
        <f>IFERROR(VLOOKUP(C8577,'STOK KARTLARI'!$C$2:$K$2150,8,0),0)</f>
        <v>0</v>
      </c>
      <c r="K8577" s="21">
        <f t="shared" si="559"/>
        <v>0</v>
      </c>
      <c r="L8577" s="5">
        <f t="shared" si="561"/>
        <v>0</v>
      </c>
      <c r="M8577" s="4"/>
      <c r="N8577" s="4"/>
      <c r="O8577" s="5"/>
      <c r="P8577" s="5"/>
      <c r="Q8577" s="21">
        <f t="shared" si="562"/>
        <v>0</v>
      </c>
      <c r="R8577" s="21">
        <f t="shared" si="560"/>
        <v>0</v>
      </c>
      <c r="S8577" s="5">
        <f t="shared" si="555"/>
        <v>70007.077158325032</v>
      </c>
      <c r="T8577" cm="1">
        <f t="array" ref="T8577">IF(OR(B8577="MAL ALIMI", B8577="ÜRETİM GİRİŞ"), MIN(I8577, MAX(0, I8577 + SUM(SUMIFS($I$1:I8576, $C$1:C8576, C8577, $B$1:B8576, {"MAL ALIMI","ÜRETİM GİRİŞ"})) - VLOOKUP(C8577, 'STOK RAPORU'!$C$2:$I$1000, 4, 0))), 0)</f>
        <v>0</v>
      </c>
      <c r="U8577" s="22">
        <f t="shared" si="556"/>
        <v>0</v>
      </c>
      <c r="V8577">
        <f t="shared" si="557"/>
        <v>0</v>
      </c>
      <c r="W8577" s="22">
        <f t="shared" si="558"/>
        <v>0</v>
      </c>
    </row>
    <row r="8578" spans="1:23" hidden="1" x14ac:dyDescent="0.25">
      <c r="A8578" s="4"/>
      <c r="B8578" s="4"/>
      <c r="C8578" s="4"/>
      <c r="D8578" s="4"/>
      <c r="E8578" s="4"/>
      <c r="F8578" s="4"/>
      <c r="G8578" s="4"/>
      <c r="H8578" s="4"/>
      <c r="I8578" s="4"/>
      <c r="J8578" s="21">
        <f>IFERROR(VLOOKUP(C8578,'STOK KARTLARI'!$C$2:$K$2150,8,0),0)</f>
        <v>0</v>
      </c>
      <c r="K8578" s="21">
        <f t="shared" si="559"/>
        <v>0</v>
      </c>
      <c r="L8578" s="5">
        <f t="shared" si="561"/>
        <v>0</v>
      </c>
      <c r="M8578" s="4"/>
      <c r="N8578" s="4"/>
      <c r="O8578" s="5"/>
      <c r="P8578" s="5"/>
      <c r="Q8578" s="21">
        <f t="shared" si="562"/>
        <v>0</v>
      </c>
      <c r="R8578" s="21">
        <f t="shared" si="560"/>
        <v>0</v>
      </c>
      <c r="S8578" s="5">
        <f t="shared" si="555"/>
        <v>70007.077158325032</v>
      </c>
      <c r="T8578" cm="1">
        <f t="array" ref="T8578">IF(OR(B8578="MAL ALIMI", B8578="ÜRETİM GİRİŞ"), MIN(I8578, MAX(0, I8578 + SUM(SUMIFS($I$1:I8577, $C$1:C8577, C8578, $B$1:B8577, {"MAL ALIMI","ÜRETİM GİRİŞ"})) - VLOOKUP(C8578, 'STOK RAPORU'!$C$2:$I$1000, 4, 0))), 0)</f>
        <v>0</v>
      </c>
      <c r="U8578" s="22">
        <f t="shared" si="556"/>
        <v>0</v>
      </c>
      <c r="V8578">
        <f t="shared" si="557"/>
        <v>0</v>
      </c>
      <c r="W8578" s="22">
        <f t="shared" si="558"/>
        <v>0</v>
      </c>
    </row>
    <row r="8579" spans="1:23" hidden="1" x14ac:dyDescent="0.25">
      <c r="A8579" s="4"/>
      <c r="B8579" s="4"/>
      <c r="C8579" s="4"/>
      <c r="D8579" s="4"/>
      <c r="E8579" s="4"/>
      <c r="F8579" s="4"/>
      <c r="G8579" s="4"/>
      <c r="H8579" s="4"/>
      <c r="I8579" s="4"/>
      <c r="J8579" s="21">
        <f>IFERROR(VLOOKUP(C8579,'STOK KARTLARI'!$C$2:$K$2150,8,0),0)</f>
        <v>0</v>
      </c>
      <c r="K8579" s="21">
        <f t="shared" si="559"/>
        <v>0</v>
      </c>
      <c r="L8579" s="5">
        <f t="shared" si="561"/>
        <v>0</v>
      </c>
      <c r="M8579" s="4"/>
      <c r="N8579" s="4"/>
      <c r="O8579" s="5"/>
      <c r="P8579" s="5"/>
      <c r="Q8579" s="21">
        <f t="shared" si="562"/>
        <v>0</v>
      </c>
      <c r="R8579" s="21">
        <f t="shared" si="560"/>
        <v>0</v>
      </c>
      <c r="S8579" s="5">
        <f t="shared" si="555"/>
        <v>70007.077158325032</v>
      </c>
      <c r="T8579" cm="1">
        <f t="array" ref="T8579">IF(OR(B8579="MAL ALIMI", B8579="ÜRETİM GİRİŞ"), MIN(I8579, MAX(0, I8579 + SUM(SUMIFS($I$1:I8578, $C$1:C8578, C8579, $B$1:B8578, {"MAL ALIMI","ÜRETİM GİRİŞ"})) - VLOOKUP(C8579, 'STOK RAPORU'!$C$2:$I$1000, 4, 0))), 0)</f>
        <v>0</v>
      </c>
      <c r="U8579" s="22">
        <f t="shared" si="556"/>
        <v>0</v>
      </c>
      <c r="V8579">
        <f t="shared" si="557"/>
        <v>0</v>
      </c>
      <c r="W8579" s="22">
        <f t="shared" si="558"/>
        <v>0</v>
      </c>
    </row>
    <row r="8580" spans="1:23" hidden="1" x14ac:dyDescent="0.25">
      <c r="A8580" s="4"/>
      <c r="B8580" s="4"/>
      <c r="C8580" s="4"/>
      <c r="D8580" s="4"/>
      <c r="E8580" s="4"/>
      <c r="F8580" s="4"/>
      <c r="G8580" s="4"/>
      <c r="H8580" s="4"/>
      <c r="I8580" s="4"/>
      <c r="J8580" s="21">
        <f>IFERROR(VLOOKUP(C8580,'STOK KARTLARI'!$C$2:$K$2150,8,0),0)</f>
        <v>0</v>
      </c>
      <c r="K8580" s="21">
        <f t="shared" si="559"/>
        <v>0</v>
      </c>
      <c r="L8580" s="5">
        <f t="shared" si="561"/>
        <v>0</v>
      </c>
      <c r="M8580" s="4"/>
      <c r="N8580" s="4"/>
      <c r="O8580" s="5"/>
      <c r="P8580" s="5"/>
      <c r="Q8580" s="21">
        <f t="shared" si="562"/>
        <v>0</v>
      </c>
      <c r="R8580" s="21">
        <f t="shared" si="560"/>
        <v>0</v>
      </c>
      <c r="S8580" s="5">
        <f t="shared" si="555"/>
        <v>70007.077158325032</v>
      </c>
      <c r="T8580" cm="1">
        <f t="array" ref="T8580">IF(OR(B8580="MAL ALIMI", B8580="ÜRETİM GİRİŞ"), MIN(I8580, MAX(0, I8580 + SUM(SUMIFS($I$1:I8579, $C$1:C8579, C8580, $B$1:B8579, {"MAL ALIMI","ÜRETİM GİRİŞ"})) - VLOOKUP(C8580, 'STOK RAPORU'!$C$2:$I$1000, 4, 0))), 0)</f>
        <v>0</v>
      </c>
      <c r="U8580" s="22">
        <f t="shared" si="556"/>
        <v>0</v>
      </c>
      <c r="V8580">
        <f t="shared" si="557"/>
        <v>0</v>
      </c>
      <c r="W8580" s="22">
        <f t="shared" si="558"/>
        <v>0</v>
      </c>
    </row>
    <row r="8581" spans="1:23" hidden="1" x14ac:dyDescent="0.25">
      <c r="A8581" s="3"/>
      <c r="B8581" s="4"/>
      <c r="C8581" s="4"/>
      <c r="D8581" s="4"/>
      <c r="E8581" s="4"/>
      <c r="F8581" s="4"/>
      <c r="G8581" s="4"/>
      <c r="H8581" s="4"/>
      <c r="I8581" s="4"/>
      <c r="J8581" s="21">
        <f>IFERROR(VLOOKUP(C8581,'STOK KARTLARI'!$C$2:$K$2150,8,0),0)</f>
        <v>0</v>
      </c>
      <c r="K8581" s="21">
        <f t="shared" si="559"/>
        <v>0</v>
      </c>
      <c r="L8581" s="5">
        <f t="shared" si="561"/>
        <v>0</v>
      </c>
      <c r="M8581" s="4"/>
      <c r="N8581" s="4"/>
      <c r="O8581" s="5"/>
      <c r="P8581" s="5"/>
      <c r="Q8581" s="21">
        <f t="shared" si="562"/>
        <v>0</v>
      </c>
      <c r="R8581" s="21">
        <f t="shared" si="560"/>
        <v>0</v>
      </c>
      <c r="S8581" s="5">
        <f t="shared" ref="S8581:S8644" si="563">S8580+Q8581-R8581</f>
        <v>70007.077158325032</v>
      </c>
      <c r="T8581" cm="1">
        <f t="array" ref="T8581">IF(OR(B8581="MAL ALIMI", B8581="ÜRETİM GİRİŞ"), MIN(I8581, MAX(0, I8581 + SUM(SUMIFS($I$1:I8580, $C$1:C8580, C8581, $B$1:B8580, {"MAL ALIMI","ÜRETİM GİRİŞ"})) - VLOOKUP(C8581, 'STOK RAPORU'!$C$2:$I$1000, 4, 0))), 0)</f>
        <v>0</v>
      </c>
      <c r="U8581" s="22">
        <f t="shared" si="556"/>
        <v>0</v>
      </c>
      <c r="V8581">
        <f t="shared" si="557"/>
        <v>0</v>
      </c>
      <c r="W8581" s="22">
        <f t="shared" si="558"/>
        <v>0</v>
      </c>
    </row>
    <row r="8582" spans="1:23" hidden="1" x14ac:dyDescent="0.25">
      <c r="A8582" s="4"/>
      <c r="B8582" s="4"/>
      <c r="C8582" s="4"/>
      <c r="D8582" s="4"/>
      <c r="E8582" s="4"/>
      <c r="F8582" s="4"/>
      <c r="G8582" s="4"/>
      <c r="H8582" s="4"/>
      <c r="I8582" s="4"/>
      <c r="J8582" s="21">
        <f>IFERROR(VLOOKUP(C8582,'STOK KARTLARI'!$C$2:$K$2150,8,0),0)</f>
        <v>0</v>
      </c>
      <c r="K8582" s="21">
        <f t="shared" si="559"/>
        <v>0</v>
      </c>
      <c r="L8582" s="5">
        <f t="shared" si="561"/>
        <v>0</v>
      </c>
      <c r="M8582" s="4"/>
      <c r="N8582" s="4"/>
      <c r="O8582" s="5"/>
      <c r="P8582" s="5"/>
      <c r="Q8582" s="21">
        <f t="shared" si="562"/>
        <v>0</v>
      </c>
      <c r="R8582" s="21">
        <f t="shared" si="560"/>
        <v>0</v>
      </c>
      <c r="S8582" s="5">
        <f t="shared" si="563"/>
        <v>70007.077158325032</v>
      </c>
      <c r="T8582" cm="1">
        <f t="array" ref="T8582">IF(OR(B8582="MAL ALIMI", B8582="ÜRETİM GİRİŞ"), MIN(I8582, MAX(0, I8582 + SUM(SUMIFS($I$1:I8581, $C$1:C8581, C8582, $B$1:B8581, {"MAL ALIMI","ÜRETİM GİRİŞ"})) - VLOOKUP(C8582, 'STOK RAPORU'!$C$2:$I$1000, 4, 0))), 0)</f>
        <v>0</v>
      </c>
      <c r="U8582" s="22">
        <f t="shared" si="556"/>
        <v>0</v>
      </c>
      <c r="V8582">
        <f t="shared" si="557"/>
        <v>0</v>
      </c>
      <c r="W8582" s="22">
        <f t="shared" si="558"/>
        <v>0</v>
      </c>
    </row>
    <row r="8583" spans="1:23" hidden="1" x14ac:dyDescent="0.25">
      <c r="A8583" s="4"/>
      <c r="B8583" s="4"/>
      <c r="C8583" s="4"/>
      <c r="D8583" s="4"/>
      <c r="E8583" s="4"/>
      <c r="F8583" s="4"/>
      <c r="G8583" s="4"/>
      <c r="H8583" s="4"/>
      <c r="I8583" s="4"/>
      <c r="J8583" s="21">
        <f>IFERROR(VLOOKUP(C8583,'STOK KARTLARI'!$C$2:$K$2150,8,0),0)</f>
        <v>0</v>
      </c>
      <c r="K8583" s="21">
        <f t="shared" si="559"/>
        <v>0</v>
      </c>
      <c r="L8583" s="5">
        <f t="shared" si="561"/>
        <v>0</v>
      </c>
      <c r="M8583" s="4"/>
      <c r="N8583" s="4"/>
      <c r="O8583" s="5"/>
      <c r="P8583" s="5"/>
      <c r="Q8583" s="21">
        <f t="shared" si="562"/>
        <v>0</v>
      </c>
      <c r="R8583" s="21">
        <f t="shared" si="560"/>
        <v>0</v>
      </c>
      <c r="S8583" s="5">
        <f t="shared" si="563"/>
        <v>70007.077158325032</v>
      </c>
      <c r="T8583" cm="1">
        <f t="array" ref="T8583">IF(OR(B8583="MAL ALIMI", B8583="ÜRETİM GİRİŞ"), MIN(I8583, MAX(0, I8583 + SUM(SUMIFS($I$1:I8582, $C$1:C8582, C8583, $B$1:B8582, {"MAL ALIMI","ÜRETİM GİRİŞ"})) - VLOOKUP(C8583, 'STOK RAPORU'!$C$2:$I$1000, 4, 0))), 0)</f>
        <v>0</v>
      </c>
      <c r="U8583" s="22">
        <f t="shared" si="556"/>
        <v>0</v>
      </c>
      <c r="V8583">
        <f t="shared" si="557"/>
        <v>0</v>
      </c>
      <c r="W8583" s="22">
        <f t="shared" si="558"/>
        <v>0</v>
      </c>
    </row>
    <row r="8584" spans="1:23" hidden="1" x14ac:dyDescent="0.25">
      <c r="A8584" s="4"/>
      <c r="B8584" s="4"/>
      <c r="C8584" s="4"/>
      <c r="D8584" s="4"/>
      <c r="E8584" s="4"/>
      <c r="F8584" s="4"/>
      <c r="G8584" s="4"/>
      <c r="H8584" s="4"/>
      <c r="I8584" s="4"/>
      <c r="J8584" s="21">
        <f>IFERROR(VLOOKUP(C8584,'STOK KARTLARI'!$C$2:$K$2150,8,0),0)</f>
        <v>0</v>
      </c>
      <c r="K8584" s="21">
        <f t="shared" si="559"/>
        <v>0</v>
      </c>
      <c r="L8584" s="5">
        <f t="shared" si="561"/>
        <v>0</v>
      </c>
      <c r="M8584" s="4"/>
      <c r="N8584" s="4"/>
      <c r="O8584" s="5"/>
      <c r="P8584" s="5"/>
      <c r="Q8584" s="21">
        <f t="shared" si="562"/>
        <v>0</v>
      </c>
      <c r="R8584" s="21">
        <f t="shared" si="560"/>
        <v>0</v>
      </c>
      <c r="S8584" s="5">
        <f t="shared" si="563"/>
        <v>70007.077158325032</v>
      </c>
      <c r="T8584" cm="1">
        <f t="array" ref="T8584">IF(OR(B8584="MAL ALIMI", B8584="ÜRETİM GİRİŞ"), MIN(I8584, MAX(0, I8584 + SUM(SUMIFS($I$1:I8583, $C$1:C8583, C8584, $B$1:B8583, {"MAL ALIMI","ÜRETİM GİRİŞ"})) - VLOOKUP(C8584, 'STOK RAPORU'!$C$2:$I$1000, 4, 0))), 0)</f>
        <v>0</v>
      </c>
      <c r="U8584" s="22">
        <f t="shared" si="556"/>
        <v>0</v>
      </c>
      <c r="V8584">
        <f t="shared" si="557"/>
        <v>0</v>
      </c>
      <c r="W8584" s="22">
        <f t="shared" si="558"/>
        <v>0</v>
      </c>
    </row>
    <row r="8585" spans="1:23" hidden="1" x14ac:dyDescent="0.25">
      <c r="A8585" s="4"/>
      <c r="B8585" s="4"/>
      <c r="C8585" s="4"/>
      <c r="D8585" s="4"/>
      <c r="E8585" s="4"/>
      <c r="F8585" s="4"/>
      <c r="G8585" s="4"/>
      <c r="H8585" s="4"/>
      <c r="I8585" s="4"/>
      <c r="J8585" s="21">
        <f>IFERROR(VLOOKUP(C8585,'STOK KARTLARI'!$C$2:$K$2150,8,0),0)</f>
        <v>0</v>
      </c>
      <c r="K8585" s="21">
        <f t="shared" si="559"/>
        <v>0</v>
      </c>
      <c r="L8585" s="5">
        <f t="shared" si="561"/>
        <v>0</v>
      </c>
      <c r="M8585" s="4"/>
      <c r="N8585" s="4"/>
      <c r="O8585" s="5"/>
      <c r="P8585" s="5"/>
      <c r="Q8585" s="21">
        <f t="shared" si="562"/>
        <v>0</v>
      </c>
      <c r="R8585" s="21">
        <f t="shared" si="560"/>
        <v>0</v>
      </c>
      <c r="S8585" s="5">
        <f t="shared" si="563"/>
        <v>70007.077158325032</v>
      </c>
      <c r="T8585" cm="1">
        <f t="array" ref="T8585">IF(OR(B8585="MAL ALIMI", B8585="ÜRETİM GİRİŞ"), MIN(I8585, MAX(0, I8585 + SUM(SUMIFS($I$1:I8584, $C$1:C8584, C8585, $B$1:B8584, {"MAL ALIMI","ÜRETİM GİRİŞ"})) - VLOOKUP(C8585, 'STOK RAPORU'!$C$2:$I$1000, 4, 0))), 0)</f>
        <v>0</v>
      </c>
      <c r="U8585" s="22">
        <f t="shared" si="556"/>
        <v>0</v>
      </c>
      <c r="V8585">
        <f t="shared" si="557"/>
        <v>0</v>
      </c>
      <c r="W8585" s="22">
        <f t="shared" si="558"/>
        <v>0</v>
      </c>
    </row>
    <row r="8586" spans="1:23" hidden="1" x14ac:dyDescent="0.25">
      <c r="A8586" s="4"/>
      <c r="B8586" s="4"/>
      <c r="C8586" s="4"/>
      <c r="D8586" s="4"/>
      <c r="E8586" s="4"/>
      <c r="F8586" s="4"/>
      <c r="G8586" s="4"/>
      <c r="H8586" s="4"/>
      <c r="I8586" s="4"/>
      <c r="J8586" s="21">
        <f>IFERROR(VLOOKUP(C8586,'STOK KARTLARI'!$C$2:$K$2150,8,0),0)</f>
        <v>0</v>
      </c>
      <c r="K8586" s="21">
        <f t="shared" si="559"/>
        <v>0</v>
      </c>
      <c r="L8586" s="5">
        <f t="shared" si="561"/>
        <v>0</v>
      </c>
      <c r="M8586" s="4"/>
      <c r="N8586" s="4"/>
      <c r="O8586" s="5"/>
      <c r="P8586" s="5"/>
      <c r="Q8586" s="21">
        <f t="shared" si="562"/>
        <v>0</v>
      </c>
      <c r="R8586" s="21">
        <f t="shared" si="560"/>
        <v>0</v>
      </c>
      <c r="S8586" s="5">
        <f t="shared" si="563"/>
        <v>70007.077158325032</v>
      </c>
      <c r="T8586" cm="1">
        <f t="array" ref="T8586">IF(OR(B8586="MAL ALIMI", B8586="ÜRETİM GİRİŞ"), MIN(I8586, MAX(0, I8586 + SUM(SUMIFS($I$1:I8585, $C$1:C8585, C8586, $B$1:B8585, {"MAL ALIMI","ÜRETİM GİRİŞ"})) - VLOOKUP(C8586, 'STOK RAPORU'!$C$2:$I$1000, 4, 0))), 0)</f>
        <v>0</v>
      </c>
      <c r="U8586" s="22">
        <f t="shared" si="556"/>
        <v>0</v>
      </c>
      <c r="V8586">
        <f t="shared" si="557"/>
        <v>0</v>
      </c>
      <c r="W8586" s="22">
        <f t="shared" si="558"/>
        <v>0</v>
      </c>
    </row>
    <row r="8587" spans="1:23" hidden="1" x14ac:dyDescent="0.25">
      <c r="A8587" s="4"/>
      <c r="B8587" s="4"/>
      <c r="C8587" s="4"/>
      <c r="D8587" s="4"/>
      <c r="E8587" s="4"/>
      <c r="F8587" s="4"/>
      <c r="G8587" s="4"/>
      <c r="H8587" s="4"/>
      <c r="I8587" s="4"/>
      <c r="J8587" s="21">
        <f>IFERROR(VLOOKUP(C8587,'STOK KARTLARI'!$C$2:$K$2150,8,0),0)</f>
        <v>0</v>
      </c>
      <c r="K8587" s="21">
        <f t="shared" si="559"/>
        <v>0</v>
      </c>
      <c r="L8587" s="5">
        <f t="shared" si="561"/>
        <v>0</v>
      </c>
      <c r="M8587" s="4"/>
      <c r="N8587" s="4"/>
      <c r="O8587" s="5"/>
      <c r="P8587" s="5"/>
      <c r="Q8587" s="21">
        <f t="shared" si="562"/>
        <v>0</v>
      </c>
      <c r="R8587" s="21">
        <f t="shared" si="560"/>
        <v>0</v>
      </c>
      <c r="S8587" s="5">
        <f t="shared" si="563"/>
        <v>70007.077158325032</v>
      </c>
      <c r="T8587" cm="1">
        <f t="array" ref="T8587">IF(OR(B8587="MAL ALIMI", B8587="ÜRETİM GİRİŞ"), MIN(I8587, MAX(0, I8587 + SUM(SUMIFS($I$1:I8586, $C$1:C8586, C8587, $B$1:B8586, {"MAL ALIMI","ÜRETİM GİRİŞ"})) - VLOOKUP(C8587, 'STOK RAPORU'!$C$2:$I$1000, 4, 0))), 0)</f>
        <v>0</v>
      </c>
      <c r="U8587" s="22">
        <f t="shared" si="556"/>
        <v>0</v>
      </c>
      <c r="V8587">
        <f t="shared" si="557"/>
        <v>0</v>
      </c>
      <c r="W8587" s="22">
        <f t="shared" si="558"/>
        <v>0</v>
      </c>
    </row>
    <row r="8588" spans="1:23" hidden="1" x14ac:dyDescent="0.25">
      <c r="A8588" s="3"/>
      <c r="B8588" s="4"/>
      <c r="C8588" s="4"/>
      <c r="D8588" s="4"/>
      <c r="E8588" s="4"/>
      <c r="F8588" s="4"/>
      <c r="G8588" s="4"/>
      <c r="H8588" s="4"/>
      <c r="I8588" s="4"/>
      <c r="J8588" s="21">
        <f>IFERROR(VLOOKUP(C8588,'STOK KARTLARI'!$C$2:$K$2150,8,0),0)</f>
        <v>0</v>
      </c>
      <c r="K8588" s="21">
        <f t="shared" si="559"/>
        <v>0</v>
      </c>
      <c r="L8588" s="5">
        <f t="shared" si="561"/>
        <v>0</v>
      </c>
      <c r="M8588" s="4"/>
      <c r="N8588" s="4"/>
      <c r="O8588" s="5"/>
      <c r="P8588" s="5"/>
      <c r="Q8588" s="21">
        <f t="shared" si="562"/>
        <v>0</v>
      </c>
      <c r="R8588" s="21">
        <f t="shared" si="560"/>
        <v>0</v>
      </c>
      <c r="S8588" s="5">
        <f t="shared" si="563"/>
        <v>70007.077158325032</v>
      </c>
      <c r="T8588" cm="1">
        <f t="array" ref="T8588">IF(OR(B8588="MAL ALIMI", B8588="ÜRETİM GİRİŞ"), MIN(I8588, MAX(0, I8588 + SUM(SUMIFS($I$1:I8587, $C$1:C8587, C8588, $B$1:B8587, {"MAL ALIMI","ÜRETİM GİRİŞ"})) - VLOOKUP(C8588, 'STOK RAPORU'!$C$2:$I$1000, 4, 0))), 0)</f>
        <v>0</v>
      </c>
      <c r="U8588" s="22">
        <f t="shared" si="556"/>
        <v>0</v>
      </c>
      <c r="V8588">
        <f t="shared" si="557"/>
        <v>0</v>
      </c>
      <c r="W8588" s="22">
        <f t="shared" si="558"/>
        <v>0</v>
      </c>
    </row>
    <row r="8589" spans="1:23" hidden="1" x14ac:dyDescent="0.25">
      <c r="A8589" s="4"/>
      <c r="B8589" s="4"/>
      <c r="C8589" s="4"/>
      <c r="D8589" s="4"/>
      <c r="E8589" s="4"/>
      <c r="F8589" s="4"/>
      <c r="G8589" s="4"/>
      <c r="H8589" s="4"/>
      <c r="I8589" s="4"/>
      <c r="J8589" s="21">
        <f>IFERROR(VLOOKUP(C8589,'STOK KARTLARI'!$C$2:$K$2150,8,0),0)</f>
        <v>0</v>
      </c>
      <c r="K8589" s="21">
        <f t="shared" si="559"/>
        <v>0</v>
      </c>
      <c r="L8589" s="5">
        <f t="shared" si="561"/>
        <v>0</v>
      </c>
      <c r="M8589" s="4"/>
      <c r="N8589" s="4"/>
      <c r="O8589" s="5"/>
      <c r="P8589" s="5"/>
      <c r="Q8589" s="21">
        <f t="shared" si="562"/>
        <v>0</v>
      </c>
      <c r="R8589" s="21">
        <f t="shared" si="560"/>
        <v>0</v>
      </c>
      <c r="S8589" s="5">
        <f t="shared" si="563"/>
        <v>70007.077158325032</v>
      </c>
      <c r="T8589" cm="1">
        <f t="array" ref="T8589">IF(OR(B8589="MAL ALIMI", B8589="ÜRETİM GİRİŞ"), MIN(I8589, MAX(0, I8589 + SUM(SUMIFS($I$1:I8588, $C$1:C8588, C8589, $B$1:B8588, {"MAL ALIMI","ÜRETİM GİRİŞ"})) - VLOOKUP(C8589, 'STOK RAPORU'!$C$2:$I$1000, 4, 0))), 0)</f>
        <v>0</v>
      </c>
      <c r="U8589" s="22">
        <f t="shared" si="556"/>
        <v>0</v>
      </c>
      <c r="V8589">
        <f t="shared" si="557"/>
        <v>0</v>
      </c>
      <c r="W8589" s="22">
        <f t="shared" si="558"/>
        <v>0</v>
      </c>
    </row>
    <row r="8590" spans="1:23" hidden="1" x14ac:dyDescent="0.25">
      <c r="A8590" s="4"/>
      <c r="B8590" s="4"/>
      <c r="C8590" s="4"/>
      <c r="D8590" s="4"/>
      <c r="E8590" s="4"/>
      <c r="F8590" s="4"/>
      <c r="G8590" s="4"/>
      <c r="H8590" s="4"/>
      <c r="I8590" s="4"/>
      <c r="J8590" s="21">
        <f>IFERROR(VLOOKUP(C8590,'STOK KARTLARI'!$C$2:$K$2150,8,0),0)</f>
        <v>0</v>
      </c>
      <c r="K8590" s="21">
        <f t="shared" si="559"/>
        <v>0</v>
      </c>
      <c r="L8590" s="5">
        <f t="shared" si="561"/>
        <v>0</v>
      </c>
      <c r="M8590" s="4"/>
      <c r="N8590" s="4"/>
      <c r="O8590" s="5"/>
      <c r="P8590" s="5"/>
      <c r="Q8590" s="21">
        <f t="shared" si="562"/>
        <v>0</v>
      </c>
      <c r="R8590" s="21">
        <f t="shared" si="560"/>
        <v>0</v>
      </c>
      <c r="S8590" s="5">
        <f t="shared" si="563"/>
        <v>70007.077158325032</v>
      </c>
      <c r="T8590" cm="1">
        <f t="array" ref="T8590">IF(OR(B8590="MAL ALIMI", B8590="ÜRETİM GİRİŞ"), MIN(I8590, MAX(0, I8590 + SUM(SUMIFS($I$1:I8589, $C$1:C8589, C8590, $B$1:B8589, {"MAL ALIMI","ÜRETİM GİRİŞ"})) - VLOOKUP(C8590, 'STOK RAPORU'!$C$2:$I$1000, 4, 0))), 0)</f>
        <v>0</v>
      </c>
      <c r="U8590" s="22">
        <f t="shared" si="556"/>
        <v>0</v>
      </c>
      <c r="V8590">
        <f t="shared" si="557"/>
        <v>0</v>
      </c>
      <c r="W8590" s="22">
        <f t="shared" si="558"/>
        <v>0</v>
      </c>
    </row>
    <row r="8591" spans="1:23" hidden="1" x14ac:dyDescent="0.25">
      <c r="A8591" s="4"/>
      <c r="B8591" s="4"/>
      <c r="C8591" s="4"/>
      <c r="D8591" s="4"/>
      <c r="E8591" s="4"/>
      <c r="F8591" s="4"/>
      <c r="G8591" s="4"/>
      <c r="H8591" s="4"/>
      <c r="I8591" s="4"/>
      <c r="J8591" s="21">
        <f>IFERROR(VLOOKUP(C8591,'STOK KARTLARI'!$C$2:$K$2150,8,0),0)</f>
        <v>0</v>
      </c>
      <c r="K8591" s="21">
        <f t="shared" si="559"/>
        <v>0</v>
      </c>
      <c r="L8591" s="5">
        <f t="shared" si="561"/>
        <v>0</v>
      </c>
      <c r="M8591" s="4"/>
      <c r="N8591" s="4"/>
      <c r="O8591" s="5"/>
      <c r="P8591" s="5"/>
      <c r="Q8591" s="21">
        <f t="shared" si="562"/>
        <v>0</v>
      </c>
      <c r="R8591" s="21">
        <f t="shared" si="560"/>
        <v>0</v>
      </c>
      <c r="S8591" s="5">
        <f t="shared" si="563"/>
        <v>70007.077158325032</v>
      </c>
      <c r="T8591" cm="1">
        <f t="array" ref="T8591">IF(OR(B8591="MAL ALIMI", B8591="ÜRETİM GİRİŞ"), MIN(I8591, MAX(0, I8591 + SUM(SUMIFS($I$1:I8590, $C$1:C8590, C8591, $B$1:B8590, {"MAL ALIMI","ÜRETİM GİRİŞ"})) - VLOOKUP(C8591, 'STOK RAPORU'!$C$2:$I$1000, 4, 0))), 0)</f>
        <v>0</v>
      </c>
      <c r="U8591" s="22">
        <f t="shared" si="556"/>
        <v>0</v>
      </c>
      <c r="V8591">
        <f t="shared" si="557"/>
        <v>0</v>
      </c>
      <c r="W8591" s="22">
        <f t="shared" si="558"/>
        <v>0</v>
      </c>
    </row>
    <row r="8592" spans="1:23" hidden="1" x14ac:dyDescent="0.25">
      <c r="A8592" s="4"/>
      <c r="B8592" s="4"/>
      <c r="C8592" s="4"/>
      <c r="D8592" s="4"/>
      <c r="E8592" s="4"/>
      <c r="F8592" s="4"/>
      <c r="G8592" s="4"/>
      <c r="H8592" s="4"/>
      <c r="I8592" s="4"/>
      <c r="J8592" s="21">
        <f>IFERROR(VLOOKUP(C8592,'STOK KARTLARI'!$C$2:$K$2150,8,0),0)</f>
        <v>0</v>
      </c>
      <c r="K8592" s="21">
        <f t="shared" si="559"/>
        <v>0</v>
      </c>
      <c r="L8592" s="5">
        <f t="shared" si="561"/>
        <v>0</v>
      </c>
      <c r="M8592" s="4"/>
      <c r="N8592" s="4"/>
      <c r="O8592" s="5"/>
      <c r="P8592" s="5"/>
      <c r="Q8592" s="21">
        <f t="shared" si="562"/>
        <v>0</v>
      </c>
      <c r="R8592" s="21">
        <f t="shared" si="560"/>
        <v>0</v>
      </c>
      <c r="S8592" s="5">
        <f t="shared" si="563"/>
        <v>70007.077158325032</v>
      </c>
      <c r="T8592" cm="1">
        <f t="array" ref="T8592">IF(OR(B8592="MAL ALIMI", B8592="ÜRETİM GİRİŞ"), MIN(I8592, MAX(0, I8592 + SUM(SUMIFS($I$1:I8591, $C$1:C8591, C8592, $B$1:B8591, {"MAL ALIMI","ÜRETİM GİRİŞ"})) - VLOOKUP(C8592, 'STOK RAPORU'!$C$2:$I$1000, 4, 0))), 0)</f>
        <v>0</v>
      </c>
      <c r="U8592" s="22">
        <f t="shared" si="556"/>
        <v>0</v>
      </c>
      <c r="V8592">
        <f t="shared" si="557"/>
        <v>0</v>
      </c>
      <c r="W8592" s="22">
        <f t="shared" si="558"/>
        <v>0</v>
      </c>
    </row>
    <row r="8593" spans="1:23" hidden="1" x14ac:dyDescent="0.25">
      <c r="A8593" s="4"/>
      <c r="B8593" s="4"/>
      <c r="C8593" s="4"/>
      <c r="D8593" s="4"/>
      <c r="E8593" s="4"/>
      <c r="F8593" s="4"/>
      <c r="G8593" s="4"/>
      <c r="H8593" s="4"/>
      <c r="I8593" s="4"/>
      <c r="J8593" s="21">
        <f>IFERROR(VLOOKUP(C8593,'STOK KARTLARI'!$C$2:$K$2150,8,0),0)</f>
        <v>0</v>
      </c>
      <c r="K8593" s="21">
        <f t="shared" si="559"/>
        <v>0</v>
      </c>
      <c r="L8593" s="5">
        <f t="shared" si="561"/>
        <v>0</v>
      </c>
      <c r="M8593" s="4"/>
      <c r="N8593" s="4"/>
      <c r="O8593" s="5"/>
      <c r="P8593" s="5"/>
      <c r="Q8593" s="21">
        <f t="shared" si="562"/>
        <v>0</v>
      </c>
      <c r="R8593" s="21">
        <f t="shared" si="560"/>
        <v>0</v>
      </c>
      <c r="S8593" s="5">
        <f t="shared" si="563"/>
        <v>70007.077158325032</v>
      </c>
      <c r="T8593" cm="1">
        <f t="array" ref="T8593">IF(OR(B8593="MAL ALIMI", B8593="ÜRETİM GİRİŞ"), MIN(I8593, MAX(0, I8593 + SUM(SUMIFS($I$1:I8592, $C$1:C8592, C8593, $B$1:B8592, {"MAL ALIMI","ÜRETİM GİRİŞ"})) - VLOOKUP(C8593, 'STOK RAPORU'!$C$2:$I$1000, 4, 0))), 0)</f>
        <v>0</v>
      </c>
      <c r="U8593" s="22">
        <f t="shared" si="556"/>
        <v>0</v>
      </c>
      <c r="V8593">
        <f t="shared" si="557"/>
        <v>0</v>
      </c>
      <c r="W8593" s="22">
        <f t="shared" si="558"/>
        <v>0</v>
      </c>
    </row>
    <row r="8594" spans="1:23" hidden="1" x14ac:dyDescent="0.25">
      <c r="A8594" s="4"/>
      <c r="B8594" s="4"/>
      <c r="C8594" s="4"/>
      <c r="D8594" s="4"/>
      <c r="E8594" s="4"/>
      <c r="F8594" s="4"/>
      <c r="G8594" s="4"/>
      <c r="H8594" s="4"/>
      <c r="I8594" s="4"/>
      <c r="J8594" s="21">
        <f>IFERROR(VLOOKUP(C8594,'STOK KARTLARI'!$C$2:$K$2150,8,0),0)</f>
        <v>0</v>
      </c>
      <c r="K8594" s="21">
        <f t="shared" si="559"/>
        <v>0</v>
      </c>
      <c r="L8594" s="5">
        <f t="shared" si="561"/>
        <v>0</v>
      </c>
      <c r="M8594" s="4"/>
      <c r="N8594" s="4"/>
      <c r="O8594" s="5"/>
      <c r="P8594" s="5"/>
      <c r="Q8594" s="21">
        <f t="shared" si="562"/>
        <v>0</v>
      </c>
      <c r="R8594" s="21">
        <f t="shared" si="560"/>
        <v>0</v>
      </c>
      <c r="S8594" s="5">
        <f t="shared" si="563"/>
        <v>70007.077158325032</v>
      </c>
      <c r="T8594" cm="1">
        <f t="array" ref="T8594">IF(OR(B8594="MAL ALIMI", B8594="ÜRETİM GİRİŞ"), MIN(I8594, MAX(0, I8594 + SUM(SUMIFS($I$1:I8593, $C$1:C8593, C8594, $B$1:B8593, {"MAL ALIMI","ÜRETİM GİRİŞ"})) - VLOOKUP(C8594, 'STOK RAPORU'!$C$2:$I$1000, 4, 0))), 0)</f>
        <v>0</v>
      </c>
      <c r="U8594" s="22">
        <f t="shared" si="556"/>
        <v>0</v>
      </c>
      <c r="V8594">
        <f t="shared" si="557"/>
        <v>0</v>
      </c>
      <c r="W8594" s="22">
        <f t="shared" si="558"/>
        <v>0</v>
      </c>
    </row>
    <row r="8595" spans="1:23" hidden="1" x14ac:dyDescent="0.25">
      <c r="A8595" s="3"/>
      <c r="B8595" s="4"/>
      <c r="C8595" s="4"/>
      <c r="D8595" s="4"/>
      <c r="E8595" s="4"/>
      <c r="F8595" s="4"/>
      <c r="G8595" s="4"/>
      <c r="H8595" s="4"/>
      <c r="I8595" s="4"/>
      <c r="J8595" s="21">
        <f>IFERROR(VLOOKUP(C8595,'STOK KARTLARI'!$C$2:$K$2150,8,0),0)</f>
        <v>0</v>
      </c>
      <c r="K8595" s="21">
        <f t="shared" si="559"/>
        <v>0</v>
      </c>
      <c r="L8595" s="5">
        <f t="shared" si="561"/>
        <v>0</v>
      </c>
      <c r="M8595" s="4"/>
      <c r="N8595" s="4"/>
      <c r="O8595" s="5"/>
      <c r="P8595" s="5"/>
      <c r="Q8595" s="21">
        <f t="shared" si="562"/>
        <v>0</v>
      </c>
      <c r="R8595" s="21">
        <f t="shared" si="560"/>
        <v>0</v>
      </c>
      <c r="S8595" s="5">
        <f t="shared" si="563"/>
        <v>70007.077158325032</v>
      </c>
      <c r="T8595" cm="1">
        <f t="array" ref="T8595">IF(OR(B8595="MAL ALIMI", B8595="ÜRETİM GİRİŞ"), MIN(I8595, MAX(0, I8595 + SUM(SUMIFS($I$1:I8594, $C$1:C8594, C8595, $B$1:B8594, {"MAL ALIMI","ÜRETİM GİRİŞ"})) - VLOOKUP(C8595, 'STOK RAPORU'!$C$2:$I$1000, 4, 0))), 0)</f>
        <v>0</v>
      </c>
      <c r="U8595" s="22">
        <f t="shared" si="556"/>
        <v>0</v>
      </c>
      <c r="V8595">
        <f t="shared" si="557"/>
        <v>0</v>
      </c>
      <c r="W8595" s="22">
        <f t="shared" si="558"/>
        <v>0</v>
      </c>
    </row>
    <row r="8596" spans="1:23" hidden="1" x14ac:dyDescent="0.25">
      <c r="A8596" s="4"/>
      <c r="B8596" s="4"/>
      <c r="C8596" s="4"/>
      <c r="D8596" s="4"/>
      <c r="E8596" s="4"/>
      <c r="F8596" s="4"/>
      <c r="G8596" s="4"/>
      <c r="H8596" s="4"/>
      <c r="I8596" s="4"/>
      <c r="J8596" s="21">
        <f>IFERROR(VLOOKUP(C8596,'STOK KARTLARI'!$C$2:$K$2150,8,0),0)</f>
        <v>0</v>
      </c>
      <c r="K8596" s="21">
        <f t="shared" si="559"/>
        <v>0</v>
      </c>
      <c r="L8596" s="5">
        <f t="shared" si="561"/>
        <v>0</v>
      </c>
      <c r="M8596" s="4"/>
      <c r="N8596" s="4"/>
      <c r="O8596" s="5"/>
      <c r="P8596" s="5"/>
      <c r="Q8596" s="21">
        <f t="shared" si="562"/>
        <v>0</v>
      </c>
      <c r="R8596" s="21">
        <f t="shared" si="560"/>
        <v>0</v>
      </c>
      <c r="S8596" s="5">
        <f t="shared" si="563"/>
        <v>70007.077158325032</v>
      </c>
      <c r="T8596" cm="1">
        <f t="array" ref="T8596">IF(OR(B8596="MAL ALIMI", B8596="ÜRETİM GİRİŞ"), MIN(I8596, MAX(0, I8596 + SUM(SUMIFS($I$1:I8595, $C$1:C8595, C8596, $B$1:B8595, {"MAL ALIMI","ÜRETİM GİRİŞ"})) - VLOOKUP(C8596, 'STOK RAPORU'!$C$2:$I$1000, 4, 0))), 0)</f>
        <v>0</v>
      </c>
      <c r="U8596" s="22">
        <f t="shared" si="556"/>
        <v>0</v>
      </c>
      <c r="V8596">
        <f t="shared" si="557"/>
        <v>0</v>
      </c>
      <c r="W8596" s="22">
        <f t="shared" si="558"/>
        <v>0</v>
      </c>
    </row>
    <row r="8597" spans="1:23" hidden="1" x14ac:dyDescent="0.25">
      <c r="A8597" s="4"/>
      <c r="B8597" s="4"/>
      <c r="C8597" s="4"/>
      <c r="D8597" s="4"/>
      <c r="E8597" s="4"/>
      <c r="F8597" s="4"/>
      <c r="G8597" s="4"/>
      <c r="H8597" s="4"/>
      <c r="I8597" s="4"/>
      <c r="J8597" s="21">
        <f>IFERROR(VLOOKUP(C8597,'STOK KARTLARI'!$C$2:$K$2150,8,0),0)</f>
        <v>0</v>
      </c>
      <c r="K8597" s="21">
        <f t="shared" si="559"/>
        <v>0</v>
      </c>
      <c r="L8597" s="5">
        <f t="shared" si="561"/>
        <v>0</v>
      </c>
      <c r="M8597" s="4"/>
      <c r="N8597" s="4"/>
      <c r="O8597" s="5"/>
      <c r="P8597" s="5"/>
      <c r="Q8597" s="21">
        <f t="shared" si="562"/>
        <v>0</v>
      </c>
      <c r="R8597" s="21">
        <f t="shared" si="560"/>
        <v>0</v>
      </c>
      <c r="S8597" s="5">
        <f t="shared" si="563"/>
        <v>70007.077158325032</v>
      </c>
      <c r="T8597" cm="1">
        <f t="array" ref="T8597">IF(OR(B8597="MAL ALIMI", B8597="ÜRETİM GİRİŞ"), MIN(I8597, MAX(0, I8597 + SUM(SUMIFS($I$1:I8596, $C$1:C8596, C8597, $B$1:B8596, {"MAL ALIMI","ÜRETİM GİRİŞ"})) - VLOOKUP(C8597, 'STOK RAPORU'!$C$2:$I$1000, 4, 0))), 0)</f>
        <v>0</v>
      </c>
      <c r="U8597" s="22">
        <f t="shared" si="556"/>
        <v>0</v>
      </c>
      <c r="V8597">
        <f t="shared" si="557"/>
        <v>0</v>
      </c>
      <c r="W8597" s="22">
        <f t="shared" si="558"/>
        <v>0</v>
      </c>
    </row>
    <row r="8598" spans="1:23" hidden="1" x14ac:dyDescent="0.25">
      <c r="A8598" s="4"/>
      <c r="B8598" s="4"/>
      <c r="C8598" s="4"/>
      <c r="D8598" s="4"/>
      <c r="E8598" s="4"/>
      <c r="F8598" s="4"/>
      <c r="G8598" s="4"/>
      <c r="H8598" s="4"/>
      <c r="I8598" s="4"/>
      <c r="J8598" s="21">
        <f>IFERROR(VLOOKUP(C8598,'STOK KARTLARI'!$C$2:$K$2150,8,0),0)</f>
        <v>0</v>
      </c>
      <c r="K8598" s="21">
        <f t="shared" si="559"/>
        <v>0</v>
      </c>
      <c r="L8598" s="5">
        <f t="shared" si="561"/>
        <v>0</v>
      </c>
      <c r="M8598" s="4"/>
      <c r="N8598" s="4"/>
      <c r="O8598" s="5"/>
      <c r="P8598" s="5"/>
      <c r="Q8598" s="21">
        <f t="shared" si="562"/>
        <v>0</v>
      </c>
      <c r="R8598" s="21">
        <f t="shared" si="560"/>
        <v>0</v>
      </c>
      <c r="S8598" s="5">
        <f t="shared" si="563"/>
        <v>70007.077158325032</v>
      </c>
      <c r="T8598" cm="1">
        <f t="array" ref="T8598">IF(OR(B8598="MAL ALIMI", B8598="ÜRETİM GİRİŞ"), MIN(I8598, MAX(0, I8598 + SUM(SUMIFS($I$1:I8597, $C$1:C8597, C8598, $B$1:B8597, {"MAL ALIMI","ÜRETİM GİRİŞ"})) - VLOOKUP(C8598, 'STOK RAPORU'!$C$2:$I$1000, 4, 0))), 0)</f>
        <v>0</v>
      </c>
      <c r="U8598" s="22">
        <f t="shared" si="556"/>
        <v>0</v>
      </c>
      <c r="V8598">
        <f t="shared" si="557"/>
        <v>0</v>
      </c>
      <c r="W8598" s="22">
        <f t="shared" si="558"/>
        <v>0</v>
      </c>
    </row>
    <row r="8599" spans="1:23" hidden="1" x14ac:dyDescent="0.25">
      <c r="A8599" s="4"/>
      <c r="B8599" s="4"/>
      <c r="C8599" s="4"/>
      <c r="D8599" s="4"/>
      <c r="E8599" s="4"/>
      <c r="F8599" s="4"/>
      <c r="G8599" s="4"/>
      <c r="H8599" s="4"/>
      <c r="I8599" s="4"/>
      <c r="J8599" s="21">
        <f>IFERROR(VLOOKUP(C8599,'STOK KARTLARI'!$C$2:$K$2150,8,0),0)</f>
        <v>0</v>
      </c>
      <c r="K8599" s="21">
        <f t="shared" si="559"/>
        <v>0</v>
      </c>
      <c r="L8599" s="5">
        <f t="shared" si="561"/>
        <v>0</v>
      </c>
      <c r="M8599" s="4"/>
      <c r="N8599" s="4"/>
      <c r="O8599" s="5"/>
      <c r="P8599" s="5"/>
      <c r="Q8599" s="21">
        <f t="shared" si="562"/>
        <v>0</v>
      </c>
      <c r="R8599" s="21">
        <f t="shared" si="560"/>
        <v>0</v>
      </c>
      <c r="S8599" s="5">
        <f t="shared" si="563"/>
        <v>70007.077158325032</v>
      </c>
      <c r="T8599" cm="1">
        <f t="array" ref="T8599">IF(OR(B8599="MAL ALIMI", B8599="ÜRETİM GİRİŞ"), MIN(I8599, MAX(0, I8599 + SUM(SUMIFS($I$1:I8598, $C$1:C8598, C8599, $B$1:B8598, {"MAL ALIMI","ÜRETİM GİRİŞ"})) - VLOOKUP(C8599, 'STOK RAPORU'!$C$2:$I$1000, 4, 0))), 0)</f>
        <v>0</v>
      </c>
      <c r="U8599" s="22">
        <f t="shared" si="556"/>
        <v>0</v>
      </c>
      <c r="V8599">
        <f t="shared" si="557"/>
        <v>0</v>
      </c>
      <c r="W8599" s="22">
        <f t="shared" si="558"/>
        <v>0</v>
      </c>
    </row>
    <row r="8600" spans="1:23" hidden="1" x14ac:dyDescent="0.25">
      <c r="A8600" s="4"/>
      <c r="B8600" s="4"/>
      <c r="C8600" s="4"/>
      <c r="D8600" s="4"/>
      <c r="E8600" s="4"/>
      <c r="F8600" s="4"/>
      <c r="G8600" s="4"/>
      <c r="H8600" s="4"/>
      <c r="I8600" s="4"/>
      <c r="J8600" s="21">
        <f>IFERROR(VLOOKUP(C8600,'STOK KARTLARI'!$C$2:$K$2150,8,0),0)</f>
        <v>0</v>
      </c>
      <c r="K8600" s="21">
        <f t="shared" si="559"/>
        <v>0</v>
      </c>
      <c r="L8600" s="5">
        <f t="shared" si="561"/>
        <v>0</v>
      </c>
      <c r="M8600" s="4"/>
      <c r="N8600" s="4"/>
      <c r="O8600" s="5"/>
      <c r="P8600" s="5"/>
      <c r="Q8600" s="21">
        <f t="shared" si="562"/>
        <v>0</v>
      </c>
      <c r="R8600" s="21">
        <f t="shared" si="560"/>
        <v>0</v>
      </c>
      <c r="S8600" s="5">
        <f t="shared" si="563"/>
        <v>70007.077158325032</v>
      </c>
      <c r="T8600" cm="1">
        <f t="array" ref="T8600">IF(OR(B8600="MAL ALIMI", B8600="ÜRETİM GİRİŞ"), MIN(I8600, MAX(0, I8600 + SUM(SUMIFS($I$1:I8599, $C$1:C8599, C8600, $B$1:B8599, {"MAL ALIMI","ÜRETİM GİRİŞ"})) - VLOOKUP(C8600, 'STOK RAPORU'!$C$2:$I$1000, 4, 0))), 0)</f>
        <v>0</v>
      </c>
      <c r="U8600" s="22">
        <f t="shared" si="556"/>
        <v>0</v>
      </c>
      <c r="V8600">
        <f t="shared" si="557"/>
        <v>0</v>
      </c>
      <c r="W8600" s="22">
        <f t="shared" si="558"/>
        <v>0</v>
      </c>
    </row>
    <row r="8601" spans="1:23" hidden="1" x14ac:dyDescent="0.25">
      <c r="A8601" s="4"/>
      <c r="B8601" s="4"/>
      <c r="C8601" s="4"/>
      <c r="D8601" s="4"/>
      <c r="E8601" s="4"/>
      <c r="F8601" s="4"/>
      <c r="G8601" s="4"/>
      <c r="H8601" s="4"/>
      <c r="I8601" s="4"/>
      <c r="J8601" s="21">
        <f>IFERROR(VLOOKUP(C8601,'STOK KARTLARI'!$C$2:$K$2150,8,0),0)</f>
        <v>0</v>
      </c>
      <c r="K8601" s="21">
        <f t="shared" si="559"/>
        <v>0</v>
      </c>
      <c r="L8601" s="5">
        <f t="shared" si="561"/>
        <v>0</v>
      </c>
      <c r="M8601" s="4"/>
      <c r="N8601" s="4"/>
      <c r="O8601" s="5"/>
      <c r="P8601" s="5"/>
      <c r="Q8601" s="21">
        <f t="shared" si="562"/>
        <v>0</v>
      </c>
      <c r="R8601" s="21">
        <f t="shared" si="560"/>
        <v>0</v>
      </c>
      <c r="S8601" s="5">
        <f t="shared" si="563"/>
        <v>70007.077158325032</v>
      </c>
      <c r="T8601" cm="1">
        <f t="array" ref="T8601">IF(OR(B8601="MAL ALIMI", B8601="ÜRETİM GİRİŞ"), MIN(I8601, MAX(0, I8601 + SUM(SUMIFS($I$1:I8600, $C$1:C8600, C8601, $B$1:B8600, {"MAL ALIMI","ÜRETİM GİRİŞ"})) - VLOOKUP(C8601, 'STOK RAPORU'!$C$2:$I$1000, 4, 0))), 0)</f>
        <v>0</v>
      </c>
      <c r="U8601" s="22">
        <f t="shared" si="556"/>
        <v>0</v>
      </c>
      <c r="V8601">
        <f t="shared" si="557"/>
        <v>0</v>
      </c>
      <c r="W8601" s="22">
        <f t="shared" si="558"/>
        <v>0</v>
      </c>
    </row>
    <row r="8602" spans="1:23" hidden="1" x14ac:dyDescent="0.25">
      <c r="A8602" s="3"/>
      <c r="B8602" s="4"/>
      <c r="C8602" s="4"/>
      <c r="D8602" s="4"/>
      <c r="E8602" s="4"/>
      <c r="F8602" s="4"/>
      <c r="G8602" s="4"/>
      <c r="H8602" s="4"/>
      <c r="I8602" s="4"/>
      <c r="J8602" s="21">
        <f>IFERROR(VLOOKUP(C8602,'STOK KARTLARI'!$C$2:$K$2150,8,0),0)</f>
        <v>0</v>
      </c>
      <c r="K8602" s="21">
        <f t="shared" si="559"/>
        <v>0</v>
      </c>
      <c r="L8602" s="5">
        <f t="shared" si="561"/>
        <v>0</v>
      </c>
      <c r="M8602" s="4"/>
      <c r="N8602" s="4"/>
      <c r="O8602" s="5"/>
      <c r="P8602" s="5"/>
      <c r="Q8602" s="21">
        <f t="shared" si="562"/>
        <v>0</v>
      </c>
      <c r="R8602" s="21">
        <f t="shared" si="560"/>
        <v>0</v>
      </c>
      <c r="S8602" s="5">
        <f t="shared" si="563"/>
        <v>70007.077158325032</v>
      </c>
      <c r="T8602" cm="1">
        <f t="array" ref="T8602">IF(OR(B8602="MAL ALIMI", B8602="ÜRETİM GİRİŞ"), MIN(I8602, MAX(0, I8602 + SUM(SUMIFS($I$1:I8601, $C$1:C8601, C8602, $B$1:B8601, {"MAL ALIMI","ÜRETİM GİRİŞ"})) - VLOOKUP(C8602, 'STOK RAPORU'!$C$2:$I$1000, 4, 0))), 0)</f>
        <v>0</v>
      </c>
      <c r="U8602" s="22">
        <f t="shared" si="556"/>
        <v>0</v>
      </c>
      <c r="V8602">
        <f t="shared" si="557"/>
        <v>0</v>
      </c>
      <c r="W8602" s="22">
        <f t="shared" si="558"/>
        <v>0</v>
      </c>
    </row>
    <row r="8603" spans="1:23" hidden="1" x14ac:dyDescent="0.25">
      <c r="A8603" s="4"/>
      <c r="B8603" s="4"/>
      <c r="C8603" s="4"/>
      <c r="D8603" s="4"/>
      <c r="E8603" s="4"/>
      <c r="F8603" s="4"/>
      <c r="G8603" s="4"/>
      <c r="H8603" s="4"/>
      <c r="I8603" s="4"/>
      <c r="J8603" s="21">
        <f>IFERROR(VLOOKUP(C8603,'STOK KARTLARI'!$C$2:$K$2150,8,0),0)</f>
        <v>0</v>
      </c>
      <c r="K8603" s="21">
        <f t="shared" si="559"/>
        <v>0</v>
      </c>
      <c r="L8603" s="5">
        <f t="shared" si="561"/>
        <v>0</v>
      </c>
      <c r="M8603" s="4"/>
      <c r="N8603" s="4"/>
      <c r="O8603" s="5"/>
      <c r="P8603" s="5"/>
      <c r="Q8603" s="21">
        <f t="shared" si="562"/>
        <v>0</v>
      </c>
      <c r="R8603" s="21">
        <f t="shared" si="560"/>
        <v>0</v>
      </c>
      <c r="S8603" s="5">
        <f t="shared" si="563"/>
        <v>70007.077158325032</v>
      </c>
      <c r="T8603" cm="1">
        <f t="array" ref="T8603">IF(OR(B8603="MAL ALIMI", B8603="ÜRETİM GİRİŞ"), MIN(I8603, MAX(0, I8603 + SUM(SUMIFS($I$1:I8602, $C$1:C8602, C8603, $B$1:B8602, {"MAL ALIMI","ÜRETİM GİRİŞ"})) - VLOOKUP(C8603, 'STOK RAPORU'!$C$2:$I$1000, 4, 0))), 0)</f>
        <v>0</v>
      </c>
      <c r="U8603" s="22">
        <f t="shared" si="556"/>
        <v>0</v>
      </c>
      <c r="V8603">
        <f t="shared" si="557"/>
        <v>0</v>
      </c>
      <c r="W8603" s="22">
        <f t="shared" si="558"/>
        <v>0</v>
      </c>
    </row>
    <row r="8604" spans="1:23" hidden="1" x14ac:dyDescent="0.25">
      <c r="A8604" s="4"/>
      <c r="B8604" s="4"/>
      <c r="C8604" s="4"/>
      <c r="D8604" s="4"/>
      <c r="E8604" s="4"/>
      <c r="F8604" s="4"/>
      <c r="G8604" s="4"/>
      <c r="H8604" s="4"/>
      <c r="I8604" s="4"/>
      <c r="J8604" s="21">
        <f>IFERROR(VLOOKUP(C8604,'STOK KARTLARI'!$C$2:$K$2150,8,0),0)</f>
        <v>0</v>
      </c>
      <c r="K8604" s="21">
        <f t="shared" si="559"/>
        <v>0</v>
      </c>
      <c r="L8604" s="5">
        <f t="shared" si="561"/>
        <v>0</v>
      </c>
      <c r="M8604" s="4"/>
      <c r="N8604" s="4"/>
      <c r="O8604" s="5"/>
      <c r="P8604" s="5"/>
      <c r="Q8604" s="21">
        <f t="shared" si="562"/>
        <v>0</v>
      </c>
      <c r="R8604" s="21">
        <f t="shared" si="560"/>
        <v>0</v>
      </c>
      <c r="S8604" s="5">
        <f t="shared" si="563"/>
        <v>70007.077158325032</v>
      </c>
      <c r="T8604" cm="1">
        <f t="array" ref="T8604">IF(OR(B8604="MAL ALIMI", B8604="ÜRETİM GİRİŞ"), MIN(I8604, MAX(0, I8604 + SUM(SUMIFS($I$1:I8603, $C$1:C8603, C8604, $B$1:B8603, {"MAL ALIMI","ÜRETİM GİRİŞ"})) - VLOOKUP(C8604, 'STOK RAPORU'!$C$2:$I$1000, 4, 0))), 0)</f>
        <v>0</v>
      </c>
      <c r="U8604" s="22">
        <f t="shared" si="556"/>
        <v>0</v>
      </c>
      <c r="V8604">
        <f t="shared" si="557"/>
        <v>0</v>
      </c>
      <c r="W8604" s="22">
        <f t="shared" si="558"/>
        <v>0</v>
      </c>
    </row>
    <row r="8605" spans="1:23" hidden="1" x14ac:dyDescent="0.25">
      <c r="A8605" s="4"/>
      <c r="B8605" s="4"/>
      <c r="C8605" s="4"/>
      <c r="D8605" s="4"/>
      <c r="E8605" s="4"/>
      <c r="F8605" s="4"/>
      <c r="G8605" s="4"/>
      <c r="H8605" s="4"/>
      <c r="I8605" s="4"/>
      <c r="J8605" s="21">
        <f>IFERROR(VLOOKUP(C8605,'STOK KARTLARI'!$C$2:$K$2150,8,0),0)</f>
        <v>0</v>
      </c>
      <c r="K8605" s="21">
        <f t="shared" si="559"/>
        <v>0</v>
      </c>
      <c r="L8605" s="5">
        <f t="shared" si="561"/>
        <v>0</v>
      </c>
      <c r="M8605" s="4"/>
      <c r="N8605" s="4"/>
      <c r="O8605" s="5"/>
      <c r="P8605" s="5"/>
      <c r="Q8605" s="21">
        <f t="shared" si="562"/>
        <v>0</v>
      </c>
      <c r="R8605" s="21">
        <f t="shared" si="560"/>
        <v>0</v>
      </c>
      <c r="S8605" s="5">
        <f t="shared" si="563"/>
        <v>70007.077158325032</v>
      </c>
      <c r="T8605" cm="1">
        <f t="array" ref="T8605">IF(OR(B8605="MAL ALIMI", B8605="ÜRETİM GİRİŞ"), MIN(I8605, MAX(0, I8605 + SUM(SUMIFS($I$1:I8604, $C$1:C8604, C8605, $B$1:B8604, {"MAL ALIMI","ÜRETİM GİRİŞ"})) - VLOOKUP(C8605, 'STOK RAPORU'!$C$2:$I$1000, 4, 0))), 0)</f>
        <v>0</v>
      </c>
      <c r="U8605" s="22">
        <f t="shared" si="556"/>
        <v>0</v>
      </c>
      <c r="V8605">
        <f t="shared" si="557"/>
        <v>0</v>
      </c>
      <c r="W8605" s="22">
        <f t="shared" si="558"/>
        <v>0</v>
      </c>
    </row>
    <row r="8606" spans="1:23" hidden="1" x14ac:dyDescent="0.25">
      <c r="A8606" s="4"/>
      <c r="B8606" s="4"/>
      <c r="C8606" s="4"/>
      <c r="D8606" s="4"/>
      <c r="E8606" s="4"/>
      <c r="F8606" s="4"/>
      <c r="G8606" s="4"/>
      <c r="H8606" s="4"/>
      <c r="I8606" s="4"/>
      <c r="J8606" s="21">
        <f>IFERROR(VLOOKUP(C8606,'STOK KARTLARI'!$C$2:$K$2150,8,0),0)</f>
        <v>0</v>
      </c>
      <c r="K8606" s="21">
        <f t="shared" si="559"/>
        <v>0</v>
      </c>
      <c r="L8606" s="5">
        <f t="shared" si="561"/>
        <v>0</v>
      </c>
      <c r="M8606" s="4"/>
      <c r="N8606" s="4"/>
      <c r="O8606" s="5"/>
      <c r="P8606" s="5"/>
      <c r="Q8606" s="21">
        <f t="shared" si="562"/>
        <v>0</v>
      </c>
      <c r="R8606" s="21">
        <f t="shared" si="560"/>
        <v>0</v>
      </c>
      <c r="S8606" s="5">
        <f t="shared" si="563"/>
        <v>70007.077158325032</v>
      </c>
      <c r="T8606" cm="1">
        <f t="array" ref="T8606">IF(OR(B8606="MAL ALIMI", B8606="ÜRETİM GİRİŞ"), MIN(I8606, MAX(0, I8606 + SUM(SUMIFS($I$1:I8605, $C$1:C8605, C8606, $B$1:B8605, {"MAL ALIMI","ÜRETİM GİRİŞ"})) - VLOOKUP(C8606, 'STOK RAPORU'!$C$2:$I$1000, 4, 0))), 0)</f>
        <v>0</v>
      </c>
      <c r="U8606" s="22">
        <f t="shared" si="556"/>
        <v>0</v>
      </c>
      <c r="V8606">
        <f t="shared" si="557"/>
        <v>0</v>
      </c>
      <c r="W8606" s="22">
        <f t="shared" si="558"/>
        <v>0</v>
      </c>
    </row>
    <row r="8607" spans="1:23" hidden="1" x14ac:dyDescent="0.25">
      <c r="A8607" s="4"/>
      <c r="B8607" s="4"/>
      <c r="C8607" s="4"/>
      <c r="D8607" s="4"/>
      <c r="E8607" s="4"/>
      <c r="F8607" s="4"/>
      <c r="G8607" s="4"/>
      <c r="H8607" s="4"/>
      <c r="I8607" s="4"/>
      <c r="J8607" s="21">
        <f>IFERROR(VLOOKUP(C8607,'STOK KARTLARI'!$C$2:$K$2150,8,0),0)</f>
        <v>0</v>
      </c>
      <c r="K8607" s="21">
        <f t="shared" si="559"/>
        <v>0</v>
      </c>
      <c r="L8607" s="5">
        <f t="shared" si="561"/>
        <v>0</v>
      </c>
      <c r="M8607" s="4"/>
      <c r="N8607" s="4"/>
      <c r="O8607" s="5"/>
      <c r="P8607" s="5"/>
      <c r="Q8607" s="21">
        <f t="shared" si="562"/>
        <v>0</v>
      </c>
      <c r="R8607" s="21">
        <f t="shared" si="560"/>
        <v>0</v>
      </c>
      <c r="S8607" s="5">
        <f t="shared" si="563"/>
        <v>70007.077158325032</v>
      </c>
      <c r="T8607" cm="1">
        <f t="array" ref="T8607">IF(OR(B8607="MAL ALIMI", B8607="ÜRETİM GİRİŞ"), MIN(I8607, MAX(0, I8607 + SUM(SUMIFS($I$1:I8606, $C$1:C8606, C8607, $B$1:B8606, {"MAL ALIMI","ÜRETİM GİRİŞ"})) - VLOOKUP(C8607, 'STOK RAPORU'!$C$2:$I$1000, 4, 0))), 0)</f>
        <v>0</v>
      </c>
      <c r="U8607" s="22">
        <f t="shared" si="556"/>
        <v>0</v>
      </c>
      <c r="V8607">
        <f t="shared" si="557"/>
        <v>0</v>
      </c>
      <c r="W8607" s="22">
        <f t="shared" si="558"/>
        <v>0</v>
      </c>
    </row>
    <row r="8608" spans="1:23" hidden="1" x14ac:dyDescent="0.25">
      <c r="A8608" s="4"/>
      <c r="B8608" s="4"/>
      <c r="C8608" s="4"/>
      <c r="D8608" s="4"/>
      <c r="E8608" s="4"/>
      <c r="F8608" s="4"/>
      <c r="G8608" s="4"/>
      <c r="H8608" s="4"/>
      <c r="I8608" s="4"/>
      <c r="J8608" s="21">
        <f>IFERROR(VLOOKUP(C8608,'STOK KARTLARI'!$C$2:$K$2150,8,0),0)</f>
        <v>0</v>
      </c>
      <c r="K8608" s="21">
        <f t="shared" si="559"/>
        <v>0</v>
      </c>
      <c r="L8608" s="5">
        <f t="shared" si="561"/>
        <v>0</v>
      </c>
      <c r="M8608" s="4"/>
      <c r="N8608" s="4"/>
      <c r="O8608" s="5"/>
      <c r="P8608" s="5"/>
      <c r="Q8608" s="21">
        <f t="shared" si="562"/>
        <v>0</v>
      </c>
      <c r="R8608" s="21">
        <f t="shared" si="560"/>
        <v>0</v>
      </c>
      <c r="S8608" s="5">
        <f t="shared" si="563"/>
        <v>70007.077158325032</v>
      </c>
      <c r="T8608" cm="1">
        <f t="array" ref="T8608">IF(OR(B8608="MAL ALIMI", B8608="ÜRETİM GİRİŞ"), MIN(I8608, MAX(0, I8608 + SUM(SUMIFS($I$1:I8607, $C$1:C8607, C8608, $B$1:B8607, {"MAL ALIMI","ÜRETİM GİRİŞ"})) - VLOOKUP(C8608, 'STOK RAPORU'!$C$2:$I$1000, 4, 0))), 0)</f>
        <v>0</v>
      </c>
      <c r="U8608" s="22">
        <f t="shared" si="556"/>
        <v>0</v>
      </c>
      <c r="V8608">
        <f t="shared" si="557"/>
        <v>0</v>
      </c>
      <c r="W8608" s="22">
        <f t="shared" si="558"/>
        <v>0</v>
      </c>
    </row>
    <row r="8609" spans="1:23" hidden="1" x14ac:dyDescent="0.25">
      <c r="A8609" s="3"/>
      <c r="B8609" s="4"/>
      <c r="C8609" s="4"/>
      <c r="D8609" s="4"/>
      <c r="E8609" s="4"/>
      <c r="F8609" s="4"/>
      <c r="G8609" s="4"/>
      <c r="H8609" s="4"/>
      <c r="I8609" s="4"/>
      <c r="J8609" s="21">
        <f>IFERROR(VLOOKUP(C8609,'STOK KARTLARI'!$C$2:$K$2150,8,0),0)</f>
        <v>0</v>
      </c>
      <c r="K8609" s="21">
        <f t="shared" si="559"/>
        <v>0</v>
      </c>
      <c r="L8609" s="5">
        <f t="shared" si="561"/>
        <v>0</v>
      </c>
      <c r="M8609" s="4"/>
      <c r="N8609" s="4"/>
      <c r="O8609" s="5"/>
      <c r="P8609" s="5"/>
      <c r="Q8609" s="21">
        <f t="shared" si="562"/>
        <v>0</v>
      </c>
      <c r="R8609" s="21">
        <f t="shared" si="560"/>
        <v>0</v>
      </c>
      <c r="S8609" s="5">
        <f t="shared" si="563"/>
        <v>70007.077158325032</v>
      </c>
      <c r="T8609" cm="1">
        <f t="array" ref="T8609">IF(OR(B8609="MAL ALIMI", B8609="ÜRETİM GİRİŞ"), MIN(I8609, MAX(0, I8609 + SUM(SUMIFS($I$1:I8608, $C$1:C8608, C8609, $B$1:B8608, {"MAL ALIMI","ÜRETİM GİRİŞ"})) - VLOOKUP(C8609, 'STOK RAPORU'!$C$2:$I$1000, 4, 0))), 0)</f>
        <v>0</v>
      </c>
      <c r="U8609" s="22">
        <f t="shared" si="556"/>
        <v>0</v>
      </c>
      <c r="V8609">
        <f t="shared" si="557"/>
        <v>0</v>
      </c>
      <c r="W8609" s="22">
        <f t="shared" si="558"/>
        <v>0</v>
      </c>
    </row>
    <row r="8610" spans="1:23" hidden="1" x14ac:dyDescent="0.25">
      <c r="A8610" s="3"/>
      <c r="B8610" s="4"/>
      <c r="C8610" s="4"/>
      <c r="D8610" s="4"/>
      <c r="E8610" s="4"/>
      <c r="F8610" s="4"/>
      <c r="G8610" s="4"/>
      <c r="H8610" s="4"/>
      <c r="I8610" s="4"/>
      <c r="J8610" s="21">
        <f>IFERROR(VLOOKUP(C8610,'STOK KARTLARI'!$C$2:$K$2150,8,0),0)</f>
        <v>0</v>
      </c>
      <c r="K8610" s="21">
        <f t="shared" si="559"/>
        <v>0</v>
      </c>
      <c r="L8610" s="5">
        <f t="shared" si="561"/>
        <v>0</v>
      </c>
      <c r="M8610" s="4"/>
      <c r="N8610" s="4"/>
      <c r="O8610" s="5"/>
      <c r="P8610" s="5"/>
      <c r="Q8610" s="21">
        <f t="shared" si="562"/>
        <v>0</v>
      </c>
      <c r="R8610" s="21">
        <f t="shared" si="560"/>
        <v>0</v>
      </c>
      <c r="S8610" s="5">
        <f t="shared" si="563"/>
        <v>70007.077158325032</v>
      </c>
      <c r="T8610" cm="1">
        <f t="array" ref="T8610">IF(OR(B8610="MAL ALIMI", B8610="ÜRETİM GİRİŞ"), MIN(I8610, MAX(0, I8610 + SUM(SUMIFS($I$1:I8609, $C$1:C8609, C8610, $B$1:B8609, {"MAL ALIMI","ÜRETİM GİRİŞ"})) - VLOOKUP(C8610, 'STOK RAPORU'!$C$2:$I$1000, 4, 0))), 0)</f>
        <v>0</v>
      </c>
      <c r="U8610" s="22">
        <f t="shared" si="556"/>
        <v>0</v>
      </c>
      <c r="V8610">
        <f t="shared" si="557"/>
        <v>0</v>
      </c>
      <c r="W8610" s="22">
        <f t="shared" si="558"/>
        <v>0</v>
      </c>
    </row>
    <row r="8611" spans="1:23" hidden="1" x14ac:dyDescent="0.25">
      <c r="A8611" s="4"/>
      <c r="B8611" s="4"/>
      <c r="C8611" s="4"/>
      <c r="D8611" s="4"/>
      <c r="E8611" s="4"/>
      <c r="F8611" s="4"/>
      <c r="G8611" s="4"/>
      <c r="H8611" s="4"/>
      <c r="I8611" s="4"/>
      <c r="J8611" s="21">
        <f>IFERROR(VLOOKUP(C8611,'STOK KARTLARI'!$C$2:$K$2150,8,0),0)</f>
        <v>0</v>
      </c>
      <c r="K8611" s="21">
        <f t="shared" si="559"/>
        <v>0</v>
      </c>
      <c r="L8611" s="5">
        <f t="shared" si="561"/>
        <v>0</v>
      </c>
      <c r="M8611" s="4"/>
      <c r="N8611" s="4"/>
      <c r="O8611" s="5"/>
      <c r="P8611" s="5"/>
      <c r="Q8611" s="21">
        <f t="shared" si="562"/>
        <v>0</v>
      </c>
      <c r="R8611" s="21">
        <f t="shared" si="560"/>
        <v>0</v>
      </c>
      <c r="S8611" s="5">
        <f t="shared" si="563"/>
        <v>70007.077158325032</v>
      </c>
      <c r="T8611" cm="1">
        <f t="array" ref="T8611">IF(OR(B8611="MAL ALIMI", B8611="ÜRETİM GİRİŞ"), MIN(I8611, MAX(0, I8611 + SUM(SUMIFS($I$1:I8610, $C$1:C8610, C8611, $B$1:B8610, {"MAL ALIMI","ÜRETİM GİRİŞ"})) - VLOOKUP(C8611, 'STOK RAPORU'!$C$2:$I$1000, 4, 0))), 0)</f>
        <v>0</v>
      </c>
      <c r="U8611" s="22">
        <f t="shared" si="556"/>
        <v>0</v>
      </c>
      <c r="V8611">
        <f t="shared" si="557"/>
        <v>0</v>
      </c>
      <c r="W8611" s="22">
        <f t="shared" si="558"/>
        <v>0</v>
      </c>
    </row>
    <row r="8612" spans="1:23" hidden="1" x14ac:dyDescent="0.25">
      <c r="A8612" s="4"/>
      <c r="B8612" s="4"/>
      <c r="C8612" s="4"/>
      <c r="D8612" s="4"/>
      <c r="E8612" s="4"/>
      <c r="F8612" s="4"/>
      <c r="G8612" s="4"/>
      <c r="H8612" s="4"/>
      <c r="I8612" s="4"/>
      <c r="J8612" s="21">
        <f>IFERROR(VLOOKUP(C8612,'STOK KARTLARI'!$C$2:$K$2150,8,0),0)</f>
        <v>0</v>
      </c>
      <c r="K8612" s="21">
        <f t="shared" si="559"/>
        <v>0</v>
      </c>
      <c r="L8612" s="5">
        <f t="shared" si="561"/>
        <v>0</v>
      </c>
      <c r="M8612" s="4"/>
      <c r="N8612" s="4"/>
      <c r="O8612" s="5"/>
      <c r="P8612" s="5"/>
      <c r="Q8612" s="21">
        <f t="shared" si="562"/>
        <v>0</v>
      </c>
      <c r="R8612" s="21">
        <f t="shared" si="560"/>
        <v>0</v>
      </c>
      <c r="S8612" s="5">
        <f t="shared" si="563"/>
        <v>70007.077158325032</v>
      </c>
      <c r="T8612" cm="1">
        <f t="array" ref="T8612">IF(OR(B8612="MAL ALIMI", B8612="ÜRETİM GİRİŞ"), MIN(I8612, MAX(0, I8612 + SUM(SUMIFS($I$1:I8611, $C$1:C8611, C8612, $B$1:B8611, {"MAL ALIMI","ÜRETİM GİRİŞ"})) - VLOOKUP(C8612, 'STOK RAPORU'!$C$2:$I$1000, 4, 0))), 0)</f>
        <v>0</v>
      </c>
      <c r="U8612" s="22">
        <f t="shared" si="556"/>
        <v>0</v>
      </c>
      <c r="V8612">
        <f t="shared" si="557"/>
        <v>0</v>
      </c>
      <c r="W8612" s="22">
        <f t="shared" si="558"/>
        <v>0</v>
      </c>
    </row>
    <row r="8613" spans="1:23" hidden="1" x14ac:dyDescent="0.25">
      <c r="A8613" s="4"/>
      <c r="B8613" s="4"/>
      <c r="C8613" s="4"/>
      <c r="D8613" s="4"/>
      <c r="E8613" s="4"/>
      <c r="F8613" s="4"/>
      <c r="G8613" s="4"/>
      <c r="H8613" s="4"/>
      <c r="I8613" s="4"/>
      <c r="J8613" s="21">
        <f>IFERROR(VLOOKUP(C8613,'STOK KARTLARI'!$C$2:$K$2150,8,0),0)</f>
        <v>0</v>
      </c>
      <c r="K8613" s="21">
        <f t="shared" si="559"/>
        <v>0</v>
      </c>
      <c r="L8613" s="5">
        <f t="shared" si="561"/>
        <v>0</v>
      </c>
      <c r="M8613" s="4"/>
      <c r="N8613" s="4"/>
      <c r="O8613" s="5"/>
      <c r="P8613" s="5"/>
      <c r="Q8613" s="21">
        <f t="shared" si="562"/>
        <v>0</v>
      </c>
      <c r="R8613" s="21">
        <f t="shared" si="560"/>
        <v>0</v>
      </c>
      <c r="S8613" s="5">
        <f t="shared" si="563"/>
        <v>70007.077158325032</v>
      </c>
      <c r="T8613" cm="1">
        <f t="array" ref="T8613">IF(OR(B8613="MAL ALIMI", B8613="ÜRETİM GİRİŞ"), MIN(I8613, MAX(0, I8613 + SUM(SUMIFS($I$1:I8612, $C$1:C8612, C8613, $B$1:B8612, {"MAL ALIMI","ÜRETİM GİRİŞ"})) - VLOOKUP(C8613, 'STOK RAPORU'!$C$2:$I$1000, 4, 0))), 0)</f>
        <v>0</v>
      </c>
      <c r="U8613" s="22">
        <f t="shared" si="556"/>
        <v>0</v>
      </c>
      <c r="V8613">
        <f t="shared" si="557"/>
        <v>0</v>
      </c>
      <c r="W8613" s="22">
        <f t="shared" si="558"/>
        <v>0</v>
      </c>
    </row>
    <row r="8614" spans="1:23" hidden="1" x14ac:dyDescent="0.25">
      <c r="A8614" s="4"/>
      <c r="B8614" s="4"/>
      <c r="C8614" s="4"/>
      <c r="D8614" s="4"/>
      <c r="E8614" s="4"/>
      <c r="F8614" s="4"/>
      <c r="G8614" s="4"/>
      <c r="H8614" s="4"/>
      <c r="I8614" s="4"/>
      <c r="J8614" s="21">
        <f>IFERROR(VLOOKUP(C8614,'STOK KARTLARI'!$C$2:$K$2150,8,0),0)</f>
        <v>0</v>
      </c>
      <c r="K8614" s="21">
        <f t="shared" si="559"/>
        <v>0</v>
      </c>
      <c r="L8614" s="5">
        <f t="shared" si="561"/>
        <v>0</v>
      </c>
      <c r="M8614" s="4"/>
      <c r="N8614" s="4"/>
      <c r="O8614" s="5"/>
      <c r="P8614" s="5"/>
      <c r="Q8614" s="21">
        <f t="shared" si="562"/>
        <v>0</v>
      </c>
      <c r="R8614" s="21">
        <f t="shared" si="560"/>
        <v>0</v>
      </c>
      <c r="S8614" s="5">
        <f t="shared" si="563"/>
        <v>70007.077158325032</v>
      </c>
      <c r="T8614" cm="1">
        <f t="array" ref="T8614">IF(OR(B8614="MAL ALIMI", B8614="ÜRETİM GİRİŞ"), MIN(I8614, MAX(0, I8614 + SUM(SUMIFS($I$1:I8613, $C$1:C8613, C8614, $B$1:B8613, {"MAL ALIMI","ÜRETİM GİRİŞ"})) - VLOOKUP(C8614, 'STOK RAPORU'!$C$2:$I$1000, 4, 0))), 0)</f>
        <v>0</v>
      </c>
      <c r="U8614" s="22">
        <f t="shared" si="556"/>
        <v>0</v>
      </c>
      <c r="V8614">
        <f t="shared" si="557"/>
        <v>0</v>
      </c>
      <c r="W8614" s="22">
        <f t="shared" si="558"/>
        <v>0</v>
      </c>
    </row>
    <row r="8615" spans="1:23" hidden="1" x14ac:dyDescent="0.25">
      <c r="A8615" s="4"/>
      <c r="B8615" s="4"/>
      <c r="C8615" s="4"/>
      <c r="D8615" s="4"/>
      <c r="E8615" s="4"/>
      <c r="F8615" s="4"/>
      <c r="G8615" s="4"/>
      <c r="H8615" s="4"/>
      <c r="I8615" s="4"/>
      <c r="J8615" s="21">
        <f>IFERROR(VLOOKUP(C8615,'STOK KARTLARI'!$C$2:$K$2150,8,0),0)</f>
        <v>0</v>
      </c>
      <c r="K8615" s="21">
        <f t="shared" si="559"/>
        <v>0</v>
      </c>
      <c r="L8615" s="5">
        <f t="shared" si="561"/>
        <v>0</v>
      </c>
      <c r="M8615" s="4"/>
      <c r="N8615" s="4"/>
      <c r="O8615" s="5"/>
      <c r="P8615" s="5"/>
      <c r="Q8615" s="21">
        <f t="shared" si="562"/>
        <v>0</v>
      </c>
      <c r="R8615" s="21">
        <f t="shared" si="560"/>
        <v>0</v>
      </c>
      <c r="S8615" s="5">
        <f t="shared" si="563"/>
        <v>70007.077158325032</v>
      </c>
      <c r="T8615" cm="1">
        <f t="array" ref="T8615">IF(OR(B8615="MAL ALIMI", B8615="ÜRETİM GİRİŞ"), MIN(I8615, MAX(0, I8615 + SUM(SUMIFS($I$1:I8614, $C$1:C8614, C8615, $B$1:B8614, {"MAL ALIMI","ÜRETİM GİRİŞ"})) - VLOOKUP(C8615, 'STOK RAPORU'!$C$2:$I$1000, 4, 0))), 0)</f>
        <v>0</v>
      </c>
      <c r="U8615" s="22">
        <f t="shared" si="556"/>
        <v>0</v>
      </c>
      <c r="V8615">
        <f t="shared" si="557"/>
        <v>0</v>
      </c>
      <c r="W8615" s="22">
        <f t="shared" si="558"/>
        <v>0</v>
      </c>
    </row>
    <row r="8616" spans="1:23" hidden="1" x14ac:dyDescent="0.25">
      <c r="A8616" s="4"/>
      <c r="B8616" s="4"/>
      <c r="C8616" s="4"/>
      <c r="D8616" s="4"/>
      <c r="E8616" s="4"/>
      <c r="F8616" s="4"/>
      <c r="G8616" s="4"/>
      <c r="H8616" s="4"/>
      <c r="I8616" s="4"/>
      <c r="J8616" s="21">
        <f>IFERROR(VLOOKUP(C8616,'STOK KARTLARI'!$C$2:$K$2150,8,0),0)</f>
        <v>0</v>
      </c>
      <c r="K8616" s="21">
        <f t="shared" si="559"/>
        <v>0</v>
      </c>
      <c r="L8616" s="5">
        <f t="shared" si="561"/>
        <v>0</v>
      </c>
      <c r="M8616" s="4"/>
      <c r="N8616" s="4"/>
      <c r="O8616" s="5"/>
      <c r="P8616" s="5"/>
      <c r="Q8616" s="21">
        <f t="shared" si="562"/>
        <v>0</v>
      </c>
      <c r="R8616" s="21">
        <f t="shared" si="560"/>
        <v>0</v>
      </c>
      <c r="S8616" s="5">
        <f t="shared" si="563"/>
        <v>70007.077158325032</v>
      </c>
      <c r="T8616" cm="1">
        <f t="array" ref="T8616">IF(OR(B8616="MAL ALIMI", B8616="ÜRETİM GİRİŞ"), MIN(I8616, MAX(0, I8616 + SUM(SUMIFS($I$1:I8615, $C$1:C8615, C8616, $B$1:B8615, {"MAL ALIMI","ÜRETİM GİRİŞ"})) - VLOOKUP(C8616, 'STOK RAPORU'!$C$2:$I$1000, 4, 0))), 0)</f>
        <v>0</v>
      </c>
      <c r="U8616" s="22">
        <f t="shared" si="556"/>
        <v>0</v>
      </c>
      <c r="V8616">
        <f t="shared" si="557"/>
        <v>0</v>
      </c>
      <c r="W8616" s="22">
        <f t="shared" si="558"/>
        <v>0</v>
      </c>
    </row>
    <row r="8617" spans="1:23" hidden="1" x14ac:dyDescent="0.25">
      <c r="A8617" s="3"/>
      <c r="B8617" s="4"/>
      <c r="C8617" s="4"/>
      <c r="D8617" s="4"/>
      <c r="E8617" s="4"/>
      <c r="F8617" s="4"/>
      <c r="G8617" s="4"/>
      <c r="H8617" s="4"/>
      <c r="I8617" s="4"/>
      <c r="J8617" s="21">
        <f>IFERROR(VLOOKUP(C8617,'STOK KARTLARI'!$C$2:$K$2150,8,0),0)</f>
        <v>0</v>
      </c>
      <c r="K8617" s="21">
        <f t="shared" si="559"/>
        <v>0</v>
      </c>
      <c r="L8617" s="5">
        <f t="shared" si="561"/>
        <v>0</v>
      </c>
      <c r="M8617" s="4"/>
      <c r="N8617" s="4"/>
      <c r="O8617" s="5"/>
      <c r="P8617" s="5"/>
      <c r="Q8617" s="21">
        <f t="shared" si="562"/>
        <v>0</v>
      </c>
      <c r="R8617" s="21">
        <f t="shared" si="560"/>
        <v>0</v>
      </c>
      <c r="S8617" s="5">
        <f t="shared" si="563"/>
        <v>70007.077158325032</v>
      </c>
      <c r="T8617" cm="1">
        <f t="array" ref="T8617">IF(OR(B8617="MAL ALIMI", B8617="ÜRETİM GİRİŞ"), MIN(I8617, MAX(0, I8617 + SUM(SUMIFS($I$1:I8616, $C$1:C8616, C8617, $B$1:B8616, {"MAL ALIMI","ÜRETİM GİRİŞ"})) - VLOOKUP(C8617, 'STOK RAPORU'!$C$2:$I$1000, 4, 0))), 0)</f>
        <v>0</v>
      </c>
      <c r="U8617" s="22">
        <f t="shared" si="556"/>
        <v>0</v>
      </c>
      <c r="V8617">
        <f t="shared" si="557"/>
        <v>0</v>
      </c>
      <c r="W8617" s="22">
        <f t="shared" si="558"/>
        <v>0</v>
      </c>
    </row>
    <row r="8618" spans="1:23" hidden="1" x14ac:dyDescent="0.25">
      <c r="A8618" s="4"/>
      <c r="B8618" s="4"/>
      <c r="C8618" s="4"/>
      <c r="D8618" s="4"/>
      <c r="E8618" s="4"/>
      <c r="F8618" s="4"/>
      <c r="G8618" s="4"/>
      <c r="H8618" s="4"/>
      <c r="I8618" s="4"/>
      <c r="J8618" s="21">
        <f>IFERROR(VLOOKUP(C8618,'STOK KARTLARI'!$C$2:$K$2150,8,0),0)</f>
        <v>0</v>
      </c>
      <c r="K8618" s="21">
        <f t="shared" si="559"/>
        <v>0</v>
      </c>
      <c r="L8618" s="5">
        <f t="shared" si="561"/>
        <v>0</v>
      </c>
      <c r="M8618" s="4"/>
      <c r="N8618" s="4"/>
      <c r="O8618" s="5"/>
      <c r="P8618" s="5"/>
      <c r="Q8618" s="21">
        <f t="shared" si="562"/>
        <v>0</v>
      </c>
      <c r="R8618" s="21">
        <f t="shared" si="560"/>
        <v>0</v>
      </c>
      <c r="S8618" s="5">
        <f t="shared" si="563"/>
        <v>70007.077158325032</v>
      </c>
      <c r="T8618" cm="1">
        <f t="array" ref="T8618">IF(OR(B8618="MAL ALIMI", B8618="ÜRETİM GİRİŞ"), MIN(I8618, MAX(0, I8618 + SUM(SUMIFS($I$1:I8617, $C$1:C8617, C8618, $B$1:B8617, {"MAL ALIMI","ÜRETİM GİRİŞ"})) - VLOOKUP(C8618, 'STOK RAPORU'!$C$2:$I$1000, 4, 0))), 0)</f>
        <v>0</v>
      </c>
      <c r="U8618" s="22">
        <f t="shared" si="556"/>
        <v>0</v>
      </c>
      <c r="V8618">
        <f t="shared" si="557"/>
        <v>0</v>
      </c>
      <c r="W8618" s="22">
        <f t="shared" si="558"/>
        <v>0</v>
      </c>
    </row>
    <row r="8619" spans="1:23" hidden="1" x14ac:dyDescent="0.25">
      <c r="A8619" s="4"/>
      <c r="B8619" s="4"/>
      <c r="C8619" s="4"/>
      <c r="D8619" s="4"/>
      <c r="E8619" s="4"/>
      <c r="F8619" s="4"/>
      <c r="G8619" s="4"/>
      <c r="H8619" s="4"/>
      <c r="I8619" s="4"/>
      <c r="J8619" s="21">
        <f>IFERROR(VLOOKUP(C8619,'STOK KARTLARI'!$C$2:$K$2150,8,0),0)</f>
        <v>0</v>
      </c>
      <c r="K8619" s="21">
        <f t="shared" si="559"/>
        <v>0</v>
      </c>
      <c r="L8619" s="5">
        <f t="shared" si="561"/>
        <v>0</v>
      </c>
      <c r="M8619" s="4"/>
      <c r="N8619" s="4"/>
      <c r="O8619" s="5"/>
      <c r="P8619" s="5"/>
      <c r="Q8619" s="21">
        <f t="shared" si="562"/>
        <v>0</v>
      </c>
      <c r="R8619" s="21">
        <f t="shared" si="560"/>
        <v>0</v>
      </c>
      <c r="S8619" s="5">
        <f t="shared" si="563"/>
        <v>70007.077158325032</v>
      </c>
      <c r="T8619" cm="1">
        <f t="array" ref="T8619">IF(OR(B8619="MAL ALIMI", B8619="ÜRETİM GİRİŞ"), MIN(I8619, MAX(0, I8619 + SUM(SUMIFS($I$1:I8618, $C$1:C8618, C8619, $B$1:B8618, {"MAL ALIMI","ÜRETİM GİRİŞ"})) - VLOOKUP(C8619, 'STOK RAPORU'!$C$2:$I$1000, 4, 0))), 0)</f>
        <v>0</v>
      </c>
      <c r="U8619" s="22">
        <f t="shared" si="556"/>
        <v>0</v>
      </c>
      <c r="V8619">
        <f t="shared" si="557"/>
        <v>0</v>
      </c>
      <c r="W8619" s="22">
        <f t="shared" si="558"/>
        <v>0</v>
      </c>
    </row>
    <row r="8620" spans="1:23" hidden="1" x14ac:dyDescent="0.25">
      <c r="A8620" s="4"/>
      <c r="B8620" s="4"/>
      <c r="C8620" s="4"/>
      <c r="D8620" s="4"/>
      <c r="E8620" s="4"/>
      <c r="F8620" s="4"/>
      <c r="G8620" s="4"/>
      <c r="H8620" s="4"/>
      <c r="I8620" s="4"/>
      <c r="J8620" s="21">
        <f>IFERROR(VLOOKUP(C8620,'STOK KARTLARI'!$C$2:$K$2150,8,0),0)</f>
        <v>0</v>
      </c>
      <c r="K8620" s="21">
        <f t="shared" si="559"/>
        <v>0</v>
      </c>
      <c r="L8620" s="5">
        <f t="shared" si="561"/>
        <v>0</v>
      </c>
      <c r="M8620" s="4"/>
      <c r="N8620" s="4"/>
      <c r="O8620" s="5"/>
      <c r="P8620" s="5"/>
      <c r="Q8620" s="21">
        <f t="shared" si="562"/>
        <v>0</v>
      </c>
      <c r="R8620" s="21">
        <f t="shared" si="560"/>
        <v>0</v>
      </c>
      <c r="S8620" s="5">
        <f t="shared" si="563"/>
        <v>70007.077158325032</v>
      </c>
      <c r="T8620" cm="1">
        <f t="array" ref="T8620">IF(OR(B8620="MAL ALIMI", B8620="ÜRETİM GİRİŞ"), MIN(I8620, MAX(0, I8620 + SUM(SUMIFS($I$1:I8619, $C$1:C8619, C8620, $B$1:B8619, {"MAL ALIMI","ÜRETİM GİRİŞ"})) - VLOOKUP(C8620, 'STOK RAPORU'!$C$2:$I$1000, 4, 0))), 0)</f>
        <v>0</v>
      </c>
      <c r="U8620" s="22">
        <f t="shared" si="556"/>
        <v>0</v>
      </c>
      <c r="V8620">
        <f t="shared" si="557"/>
        <v>0</v>
      </c>
      <c r="W8620" s="22">
        <f t="shared" si="558"/>
        <v>0</v>
      </c>
    </row>
    <row r="8621" spans="1:23" hidden="1" x14ac:dyDescent="0.25">
      <c r="A8621" s="4"/>
      <c r="B8621" s="4"/>
      <c r="C8621" s="4"/>
      <c r="D8621" s="4"/>
      <c r="E8621" s="4"/>
      <c r="F8621" s="4"/>
      <c r="G8621" s="4"/>
      <c r="H8621" s="4"/>
      <c r="I8621" s="4"/>
      <c r="J8621" s="21">
        <f>IFERROR(VLOOKUP(C8621,'STOK KARTLARI'!$C$2:$K$2150,8,0),0)</f>
        <v>0</v>
      </c>
      <c r="K8621" s="21">
        <f t="shared" si="559"/>
        <v>0</v>
      </c>
      <c r="L8621" s="5">
        <f t="shared" si="561"/>
        <v>0</v>
      </c>
      <c r="M8621" s="4"/>
      <c r="N8621" s="4"/>
      <c r="O8621" s="5"/>
      <c r="P8621" s="5"/>
      <c r="Q8621" s="21">
        <f t="shared" si="562"/>
        <v>0</v>
      </c>
      <c r="R8621" s="21">
        <f t="shared" si="560"/>
        <v>0</v>
      </c>
      <c r="S8621" s="5">
        <f t="shared" si="563"/>
        <v>70007.077158325032</v>
      </c>
      <c r="T8621" cm="1">
        <f t="array" ref="T8621">IF(OR(B8621="MAL ALIMI", B8621="ÜRETİM GİRİŞ"), MIN(I8621, MAX(0, I8621 + SUM(SUMIFS($I$1:I8620, $C$1:C8620, C8621, $B$1:B8620, {"MAL ALIMI","ÜRETİM GİRİŞ"})) - VLOOKUP(C8621, 'STOK RAPORU'!$C$2:$I$1000, 4, 0))), 0)</f>
        <v>0</v>
      </c>
      <c r="U8621" s="22">
        <f t="shared" si="556"/>
        <v>0</v>
      </c>
      <c r="V8621">
        <f t="shared" si="557"/>
        <v>0</v>
      </c>
      <c r="W8621" s="22">
        <f t="shared" si="558"/>
        <v>0</v>
      </c>
    </row>
    <row r="8622" spans="1:23" hidden="1" x14ac:dyDescent="0.25">
      <c r="A8622" s="4"/>
      <c r="B8622" s="4"/>
      <c r="C8622" s="4"/>
      <c r="D8622" s="4"/>
      <c r="E8622" s="4"/>
      <c r="F8622" s="4"/>
      <c r="G8622" s="4"/>
      <c r="H8622" s="4"/>
      <c r="I8622" s="4"/>
      <c r="J8622" s="21">
        <f>IFERROR(VLOOKUP(C8622,'STOK KARTLARI'!$C$2:$K$2150,8,0),0)</f>
        <v>0</v>
      </c>
      <c r="K8622" s="21">
        <f t="shared" si="559"/>
        <v>0</v>
      </c>
      <c r="L8622" s="5">
        <f t="shared" si="561"/>
        <v>0</v>
      </c>
      <c r="M8622" s="4"/>
      <c r="N8622" s="4"/>
      <c r="O8622" s="5"/>
      <c r="P8622" s="5"/>
      <c r="Q8622" s="21">
        <f t="shared" si="562"/>
        <v>0</v>
      </c>
      <c r="R8622" s="21">
        <f t="shared" si="560"/>
        <v>0</v>
      </c>
      <c r="S8622" s="5">
        <f t="shared" si="563"/>
        <v>70007.077158325032</v>
      </c>
      <c r="T8622" cm="1">
        <f t="array" ref="T8622">IF(OR(B8622="MAL ALIMI", B8622="ÜRETİM GİRİŞ"), MIN(I8622, MAX(0, I8622 + SUM(SUMIFS($I$1:I8621, $C$1:C8621, C8622, $B$1:B8621, {"MAL ALIMI","ÜRETİM GİRİŞ"})) - VLOOKUP(C8622, 'STOK RAPORU'!$C$2:$I$1000, 4, 0))), 0)</f>
        <v>0</v>
      </c>
      <c r="U8622" s="22">
        <f t="shared" si="556"/>
        <v>0</v>
      </c>
      <c r="V8622">
        <f t="shared" si="557"/>
        <v>0</v>
      </c>
      <c r="W8622" s="22">
        <f t="shared" si="558"/>
        <v>0</v>
      </c>
    </row>
    <row r="8623" spans="1:23" hidden="1" x14ac:dyDescent="0.25">
      <c r="A8623" s="4"/>
      <c r="B8623" s="4"/>
      <c r="C8623" s="4"/>
      <c r="D8623" s="4"/>
      <c r="E8623" s="4"/>
      <c r="F8623" s="4"/>
      <c r="G8623" s="4"/>
      <c r="H8623" s="4"/>
      <c r="I8623" s="4"/>
      <c r="J8623" s="21">
        <f>IFERROR(VLOOKUP(C8623,'STOK KARTLARI'!$C$2:$K$2150,8,0),0)</f>
        <v>0</v>
      </c>
      <c r="K8623" s="21">
        <f t="shared" si="559"/>
        <v>0</v>
      </c>
      <c r="L8623" s="5">
        <f t="shared" si="561"/>
        <v>0</v>
      </c>
      <c r="M8623" s="4"/>
      <c r="N8623" s="4"/>
      <c r="O8623" s="5"/>
      <c r="P8623" s="5"/>
      <c r="Q8623" s="21">
        <f t="shared" si="562"/>
        <v>0</v>
      </c>
      <c r="R8623" s="21">
        <f t="shared" si="560"/>
        <v>0</v>
      </c>
      <c r="S8623" s="5">
        <f t="shared" si="563"/>
        <v>70007.077158325032</v>
      </c>
      <c r="T8623" cm="1">
        <f t="array" ref="T8623">IF(OR(B8623="MAL ALIMI", B8623="ÜRETİM GİRİŞ"), MIN(I8623, MAX(0, I8623 + SUM(SUMIFS($I$1:I8622, $C$1:C8622, C8623, $B$1:B8622, {"MAL ALIMI","ÜRETİM GİRİŞ"})) - VLOOKUP(C8623, 'STOK RAPORU'!$C$2:$I$1000, 4, 0))), 0)</f>
        <v>0</v>
      </c>
      <c r="U8623" s="22">
        <f t="shared" ref="U8623:U8686" si="564">T8623*J8623</f>
        <v>0</v>
      </c>
      <c r="V8623">
        <f t="shared" ref="V8623:V8686" si="565">IF(OR(B8623="MAL ALIMI", B8623="ÜRETİM GİRİŞ"), I8623 * J8623, 0)</f>
        <v>0</v>
      </c>
      <c r="W8623" s="22">
        <f t="shared" ref="W8623:W8686" si="566">V8623-U8623</f>
        <v>0</v>
      </c>
    </row>
    <row r="8624" spans="1:23" hidden="1" x14ac:dyDescent="0.25">
      <c r="A8624" s="3"/>
      <c r="B8624" s="4"/>
      <c r="C8624" s="4"/>
      <c r="D8624" s="4"/>
      <c r="E8624" s="4"/>
      <c r="F8624" s="4"/>
      <c r="G8624" s="4"/>
      <c r="H8624" s="4"/>
      <c r="I8624" s="4"/>
      <c r="J8624" s="21">
        <f>IFERROR(VLOOKUP(C8624,'STOK KARTLARI'!$C$2:$K$2150,8,0),0)</f>
        <v>0</v>
      </c>
      <c r="K8624" s="21">
        <f t="shared" si="559"/>
        <v>0</v>
      </c>
      <c r="L8624" s="5">
        <f t="shared" si="561"/>
        <v>0</v>
      </c>
      <c r="M8624" s="4"/>
      <c r="N8624" s="4"/>
      <c r="O8624" s="5"/>
      <c r="P8624" s="5"/>
      <c r="Q8624" s="21">
        <f t="shared" si="562"/>
        <v>0</v>
      </c>
      <c r="R8624" s="21">
        <f t="shared" si="560"/>
        <v>0</v>
      </c>
      <c r="S8624" s="5">
        <f t="shared" si="563"/>
        <v>70007.077158325032</v>
      </c>
      <c r="T8624" cm="1">
        <f t="array" ref="T8624">IF(OR(B8624="MAL ALIMI", B8624="ÜRETİM GİRİŞ"), MIN(I8624, MAX(0, I8624 + SUM(SUMIFS($I$1:I8623, $C$1:C8623, C8624, $B$1:B8623, {"MAL ALIMI","ÜRETİM GİRİŞ"})) - VLOOKUP(C8624, 'STOK RAPORU'!$C$2:$I$1000, 4, 0))), 0)</f>
        <v>0</v>
      </c>
      <c r="U8624" s="22">
        <f t="shared" si="564"/>
        <v>0</v>
      </c>
      <c r="V8624">
        <f t="shared" si="565"/>
        <v>0</v>
      </c>
      <c r="W8624" s="22">
        <f t="shared" si="566"/>
        <v>0</v>
      </c>
    </row>
    <row r="8625" spans="1:23" hidden="1" x14ac:dyDescent="0.25">
      <c r="A8625" s="4"/>
      <c r="B8625" s="4"/>
      <c r="C8625" s="4"/>
      <c r="D8625" s="4"/>
      <c r="E8625" s="4"/>
      <c r="F8625" s="4"/>
      <c r="G8625" s="4"/>
      <c r="H8625" s="4"/>
      <c r="I8625" s="4"/>
      <c r="J8625" s="21">
        <f>IFERROR(VLOOKUP(C8625,'STOK KARTLARI'!$C$2:$K$2150,8,0),0)</f>
        <v>0</v>
      </c>
      <c r="K8625" s="21">
        <f t="shared" si="559"/>
        <v>0</v>
      </c>
      <c r="L8625" s="5">
        <f t="shared" si="561"/>
        <v>0</v>
      </c>
      <c r="M8625" s="4"/>
      <c r="N8625" s="4"/>
      <c r="O8625" s="5"/>
      <c r="P8625" s="5"/>
      <c r="Q8625" s="21">
        <f t="shared" si="562"/>
        <v>0</v>
      </c>
      <c r="R8625" s="21">
        <f t="shared" si="560"/>
        <v>0</v>
      </c>
      <c r="S8625" s="5">
        <f t="shared" si="563"/>
        <v>70007.077158325032</v>
      </c>
      <c r="T8625" cm="1">
        <f t="array" ref="T8625">IF(OR(B8625="MAL ALIMI", B8625="ÜRETİM GİRİŞ"), MIN(I8625, MAX(0, I8625 + SUM(SUMIFS($I$1:I8624, $C$1:C8624, C8625, $B$1:B8624, {"MAL ALIMI","ÜRETİM GİRİŞ"})) - VLOOKUP(C8625, 'STOK RAPORU'!$C$2:$I$1000, 4, 0))), 0)</f>
        <v>0</v>
      </c>
      <c r="U8625" s="22">
        <f t="shared" si="564"/>
        <v>0</v>
      </c>
      <c r="V8625">
        <f t="shared" si="565"/>
        <v>0</v>
      </c>
      <c r="W8625" s="22">
        <f t="shared" si="566"/>
        <v>0</v>
      </c>
    </row>
    <row r="8626" spans="1:23" hidden="1" x14ac:dyDescent="0.25">
      <c r="A8626" s="4"/>
      <c r="B8626" s="4"/>
      <c r="C8626" s="4"/>
      <c r="D8626" s="4"/>
      <c r="E8626" s="4"/>
      <c r="F8626" s="4"/>
      <c r="G8626" s="4"/>
      <c r="H8626" s="4"/>
      <c r="I8626" s="4"/>
      <c r="J8626" s="21">
        <f>IFERROR(VLOOKUP(C8626,'STOK KARTLARI'!$C$2:$K$2150,8,0),0)</f>
        <v>0</v>
      </c>
      <c r="K8626" s="21">
        <f t="shared" si="559"/>
        <v>0</v>
      </c>
      <c r="L8626" s="5">
        <f t="shared" si="561"/>
        <v>0</v>
      </c>
      <c r="M8626" s="4"/>
      <c r="N8626" s="4"/>
      <c r="O8626" s="5"/>
      <c r="P8626" s="5"/>
      <c r="Q8626" s="21">
        <f t="shared" si="562"/>
        <v>0</v>
      </c>
      <c r="R8626" s="21">
        <f t="shared" si="560"/>
        <v>0</v>
      </c>
      <c r="S8626" s="5">
        <f t="shared" si="563"/>
        <v>70007.077158325032</v>
      </c>
      <c r="T8626" cm="1">
        <f t="array" ref="T8626">IF(OR(B8626="MAL ALIMI", B8626="ÜRETİM GİRİŞ"), MIN(I8626, MAX(0, I8626 + SUM(SUMIFS($I$1:I8625, $C$1:C8625, C8626, $B$1:B8625, {"MAL ALIMI","ÜRETİM GİRİŞ"})) - VLOOKUP(C8626, 'STOK RAPORU'!$C$2:$I$1000, 4, 0))), 0)</f>
        <v>0</v>
      </c>
      <c r="U8626" s="22">
        <f t="shared" si="564"/>
        <v>0</v>
      </c>
      <c r="V8626">
        <f t="shared" si="565"/>
        <v>0</v>
      </c>
      <c r="W8626" s="22">
        <f t="shared" si="566"/>
        <v>0</v>
      </c>
    </row>
    <row r="8627" spans="1:23" hidden="1" x14ac:dyDescent="0.25">
      <c r="A8627" s="4"/>
      <c r="B8627" s="4"/>
      <c r="C8627" s="4"/>
      <c r="D8627" s="4"/>
      <c r="E8627" s="4"/>
      <c r="F8627" s="4"/>
      <c r="G8627" s="4"/>
      <c r="H8627" s="4"/>
      <c r="I8627" s="4"/>
      <c r="J8627" s="21">
        <f>IFERROR(VLOOKUP(C8627,'STOK KARTLARI'!$C$2:$K$2150,8,0),0)</f>
        <v>0</v>
      </c>
      <c r="K8627" s="21">
        <f t="shared" ref="K8627:K8690" si="567">IF(AND(B8627="MAL SATIŞI", H8627="POS"),I8627*J8627,0)</f>
        <v>0</v>
      </c>
      <c r="L8627" s="5">
        <f t="shared" si="561"/>
        <v>0</v>
      </c>
      <c r="M8627" s="4"/>
      <c r="N8627" s="4"/>
      <c r="O8627" s="5"/>
      <c r="P8627" s="5"/>
      <c r="Q8627" s="21">
        <f t="shared" si="562"/>
        <v>0</v>
      </c>
      <c r="R8627" s="21">
        <f t="shared" ref="R8627:R8690" si="568">IF(AND(E8627="", B8627&lt;&gt;"MAL SATIŞI"),I8627*J8627,0)</f>
        <v>0</v>
      </c>
      <c r="S8627" s="5">
        <f t="shared" si="563"/>
        <v>70007.077158325032</v>
      </c>
      <c r="T8627" cm="1">
        <f t="array" ref="T8627">IF(OR(B8627="MAL ALIMI", B8627="ÜRETİM GİRİŞ"), MIN(I8627, MAX(0, I8627 + SUM(SUMIFS($I$1:I8626, $C$1:C8626, C8627, $B$1:B8626, {"MAL ALIMI","ÜRETİM GİRİŞ"})) - VLOOKUP(C8627, 'STOK RAPORU'!$C$2:$I$1000, 4, 0))), 0)</f>
        <v>0</v>
      </c>
      <c r="U8627" s="22">
        <f t="shared" si="564"/>
        <v>0</v>
      </c>
      <c r="V8627">
        <f t="shared" si="565"/>
        <v>0</v>
      </c>
      <c r="W8627" s="22">
        <f t="shared" si="566"/>
        <v>0</v>
      </c>
    </row>
    <row r="8628" spans="1:23" hidden="1" x14ac:dyDescent="0.25">
      <c r="A8628" s="4"/>
      <c r="B8628" s="4"/>
      <c r="C8628" s="4"/>
      <c r="D8628" s="4"/>
      <c r="E8628" s="4"/>
      <c r="F8628" s="4"/>
      <c r="G8628" s="4"/>
      <c r="H8628" s="4"/>
      <c r="I8628" s="4"/>
      <c r="J8628" s="21">
        <f>IFERROR(VLOOKUP(C8628,'STOK KARTLARI'!$C$2:$K$2150,8,0),0)</f>
        <v>0</v>
      </c>
      <c r="K8628" s="21">
        <f t="shared" si="567"/>
        <v>0</v>
      </c>
      <c r="L8628" s="5">
        <f t="shared" ref="L8628:L8691" si="569">IF(OR(E8628="", H8628="POS"),0,I8628*J8628)</f>
        <v>0</v>
      </c>
      <c r="M8628" s="4"/>
      <c r="N8628" s="4"/>
      <c r="O8628" s="5"/>
      <c r="P8628" s="5"/>
      <c r="Q8628" s="21">
        <f t="shared" ref="Q8628:Q8691" si="570">IF(AND(E8628="", B8628="MAL SATIŞI", H8628="NAKİT"),I8628*J8628,0)</f>
        <v>0</v>
      </c>
      <c r="R8628" s="21">
        <f t="shared" si="568"/>
        <v>0</v>
      </c>
      <c r="S8628" s="5">
        <f t="shared" si="563"/>
        <v>70007.077158325032</v>
      </c>
      <c r="T8628" cm="1">
        <f t="array" ref="T8628">IF(OR(B8628="MAL ALIMI", B8628="ÜRETİM GİRİŞ"), MIN(I8628, MAX(0, I8628 + SUM(SUMIFS($I$1:I8627, $C$1:C8627, C8628, $B$1:B8627, {"MAL ALIMI","ÜRETİM GİRİŞ"})) - VLOOKUP(C8628, 'STOK RAPORU'!$C$2:$I$1000, 4, 0))), 0)</f>
        <v>0</v>
      </c>
      <c r="U8628" s="22">
        <f t="shared" si="564"/>
        <v>0</v>
      </c>
      <c r="V8628">
        <f t="shared" si="565"/>
        <v>0</v>
      </c>
      <c r="W8628" s="22">
        <f t="shared" si="566"/>
        <v>0</v>
      </c>
    </row>
    <row r="8629" spans="1:23" hidden="1" x14ac:dyDescent="0.25">
      <c r="A8629" s="4"/>
      <c r="B8629" s="4"/>
      <c r="C8629" s="4"/>
      <c r="D8629" s="4"/>
      <c r="E8629" s="4"/>
      <c r="F8629" s="4"/>
      <c r="G8629" s="4"/>
      <c r="H8629" s="4"/>
      <c r="I8629" s="4"/>
      <c r="J8629" s="21">
        <f>IFERROR(VLOOKUP(C8629,'STOK KARTLARI'!$C$2:$K$2150,8,0),0)</f>
        <v>0</v>
      </c>
      <c r="K8629" s="21">
        <f t="shared" si="567"/>
        <v>0</v>
      </c>
      <c r="L8629" s="5">
        <f t="shared" si="569"/>
        <v>0</v>
      </c>
      <c r="M8629" s="4"/>
      <c r="N8629" s="4"/>
      <c r="O8629" s="5"/>
      <c r="P8629" s="5"/>
      <c r="Q8629" s="21">
        <f t="shared" si="570"/>
        <v>0</v>
      </c>
      <c r="R8629" s="21">
        <f t="shared" si="568"/>
        <v>0</v>
      </c>
      <c r="S8629" s="5">
        <f t="shared" si="563"/>
        <v>70007.077158325032</v>
      </c>
      <c r="T8629" cm="1">
        <f t="array" ref="T8629">IF(OR(B8629="MAL ALIMI", B8629="ÜRETİM GİRİŞ"), MIN(I8629, MAX(0, I8629 + SUM(SUMIFS($I$1:I8628, $C$1:C8628, C8629, $B$1:B8628, {"MAL ALIMI","ÜRETİM GİRİŞ"})) - VLOOKUP(C8629, 'STOK RAPORU'!$C$2:$I$1000, 4, 0))), 0)</f>
        <v>0</v>
      </c>
      <c r="U8629" s="22">
        <f t="shared" si="564"/>
        <v>0</v>
      </c>
      <c r="V8629">
        <f t="shared" si="565"/>
        <v>0</v>
      </c>
      <c r="W8629" s="22">
        <f t="shared" si="566"/>
        <v>0</v>
      </c>
    </row>
    <row r="8630" spans="1:23" hidden="1" x14ac:dyDescent="0.25">
      <c r="A8630" s="4"/>
      <c r="B8630" s="4"/>
      <c r="C8630" s="4"/>
      <c r="D8630" s="4"/>
      <c r="E8630" s="4"/>
      <c r="F8630" s="4"/>
      <c r="G8630" s="4"/>
      <c r="H8630" s="4"/>
      <c r="I8630" s="4"/>
      <c r="J8630" s="21">
        <f>IFERROR(VLOOKUP(C8630,'STOK KARTLARI'!$C$2:$K$2150,8,0),0)</f>
        <v>0</v>
      </c>
      <c r="K8630" s="21">
        <f t="shared" si="567"/>
        <v>0</v>
      </c>
      <c r="L8630" s="5">
        <f t="shared" si="569"/>
        <v>0</v>
      </c>
      <c r="M8630" s="4"/>
      <c r="N8630" s="4"/>
      <c r="O8630" s="5"/>
      <c r="P8630" s="5"/>
      <c r="Q8630" s="21">
        <f t="shared" si="570"/>
        <v>0</v>
      </c>
      <c r="R8630" s="21">
        <f t="shared" si="568"/>
        <v>0</v>
      </c>
      <c r="S8630" s="5">
        <f t="shared" si="563"/>
        <v>70007.077158325032</v>
      </c>
      <c r="T8630" cm="1">
        <f t="array" ref="T8630">IF(OR(B8630="MAL ALIMI", B8630="ÜRETİM GİRİŞ"), MIN(I8630, MAX(0, I8630 + SUM(SUMIFS($I$1:I8629, $C$1:C8629, C8630, $B$1:B8629, {"MAL ALIMI","ÜRETİM GİRİŞ"})) - VLOOKUP(C8630, 'STOK RAPORU'!$C$2:$I$1000, 4, 0))), 0)</f>
        <v>0</v>
      </c>
      <c r="U8630" s="22">
        <f t="shared" si="564"/>
        <v>0</v>
      </c>
      <c r="V8630">
        <f t="shared" si="565"/>
        <v>0</v>
      </c>
      <c r="W8630" s="22">
        <f t="shared" si="566"/>
        <v>0</v>
      </c>
    </row>
    <row r="8631" spans="1:23" hidden="1" x14ac:dyDescent="0.25">
      <c r="A8631" s="3"/>
      <c r="B8631" s="4"/>
      <c r="C8631" s="4"/>
      <c r="D8631" s="4"/>
      <c r="E8631" s="4"/>
      <c r="F8631" s="4"/>
      <c r="G8631" s="4"/>
      <c r="H8631" s="4"/>
      <c r="I8631" s="4"/>
      <c r="J8631" s="21">
        <f>IFERROR(VLOOKUP(C8631,'STOK KARTLARI'!$C$2:$K$2150,8,0),0)</f>
        <v>0</v>
      </c>
      <c r="K8631" s="21">
        <f t="shared" si="567"/>
        <v>0</v>
      </c>
      <c r="L8631" s="5">
        <f t="shared" si="569"/>
        <v>0</v>
      </c>
      <c r="M8631" s="4"/>
      <c r="N8631" s="4"/>
      <c r="O8631" s="5"/>
      <c r="P8631" s="5"/>
      <c r="Q8631" s="21">
        <f t="shared" si="570"/>
        <v>0</v>
      </c>
      <c r="R8631" s="21">
        <f t="shared" si="568"/>
        <v>0</v>
      </c>
      <c r="S8631" s="5">
        <f t="shared" si="563"/>
        <v>70007.077158325032</v>
      </c>
      <c r="T8631" cm="1">
        <f t="array" ref="T8631">IF(OR(B8631="MAL ALIMI", B8631="ÜRETİM GİRİŞ"), MIN(I8631, MAX(0, I8631 + SUM(SUMIFS($I$1:I8630, $C$1:C8630, C8631, $B$1:B8630, {"MAL ALIMI","ÜRETİM GİRİŞ"})) - VLOOKUP(C8631, 'STOK RAPORU'!$C$2:$I$1000, 4, 0))), 0)</f>
        <v>0</v>
      </c>
      <c r="U8631" s="22">
        <f t="shared" si="564"/>
        <v>0</v>
      </c>
      <c r="V8631">
        <f t="shared" si="565"/>
        <v>0</v>
      </c>
      <c r="W8631" s="22">
        <f t="shared" si="566"/>
        <v>0</v>
      </c>
    </row>
    <row r="8632" spans="1:23" hidden="1" x14ac:dyDescent="0.25">
      <c r="A8632" s="4"/>
      <c r="B8632" s="4"/>
      <c r="C8632" s="4"/>
      <c r="D8632" s="4"/>
      <c r="E8632" s="4"/>
      <c r="F8632" s="4"/>
      <c r="G8632" s="4"/>
      <c r="H8632" s="4"/>
      <c r="I8632" s="4"/>
      <c r="J8632" s="21">
        <f>IFERROR(VLOOKUP(C8632,'STOK KARTLARI'!$C$2:$K$2150,8,0),0)</f>
        <v>0</v>
      </c>
      <c r="K8632" s="21">
        <f t="shared" si="567"/>
        <v>0</v>
      </c>
      <c r="L8632" s="5">
        <f t="shared" si="569"/>
        <v>0</v>
      </c>
      <c r="M8632" s="4"/>
      <c r="N8632" s="4"/>
      <c r="O8632" s="5"/>
      <c r="P8632" s="5"/>
      <c r="Q8632" s="21">
        <f t="shared" si="570"/>
        <v>0</v>
      </c>
      <c r="R8632" s="21">
        <f t="shared" si="568"/>
        <v>0</v>
      </c>
      <c r="S8632" s="5">
        <f t="shared" si="563"/>
        <v>70007.077158325032</v>
      </c>
      <c r="T8632" cm="1">
        <f t="array" ref="T8632">IF(OR(B8632="MAL ALIMI", B8632="ÜRETİM GİRİŞ"), MIN(I8632, MAX(0, I8632 + SUM(SUMIFS($I$1:I8631, $C$1:C8631, C8632, $B$1:B8631, {"MAL ALIMI","ÜRETİM GİRİŞ"})) - VLOOKUP(C8632, 'STOK RAPORU'!$C$2:$I$1000, 4, 0))), 0)</f>
        <v>0</v>
      </c>
      <c r="U8632" s="22">
        <f t="shared" si="564"/>
        <v>0</v>
      </c>
      <c r="V8632">
        <f t="shared" si="565"/>
        <v>0</v>
      </c>
      <c r="W8632" s="22">
        <f t="shared" si="566"/>
        <v>0</v>
      </c>
    </row>
    <row r="8633" spans="1:23" hidden="1" x14ac:dyDescent="0.25">
      <c r="A8633" s="4"/>
      <c r="B8633" s="4"/>
      <c r="C8633" s="4"/>
      <c r="D8633" s="4"/>
      <c r="E8633" s="4"/>
      <c r="F8633" s="4"/>
      <c r="G8633" s="4"/>
      <c r="H8633" s="4"/>
      <c r="I8633" s="4"/>
      <c r="J8633" s="21">
        <f>IFERROR(VLOOKUP(C8633,'STOK KARTLARI'!$C$2:$K$2150,8,0),0)</f>
        <v>0</v>
      </c>
      <c r="K8633" s="21">
        <f t="shared" si="567"/>
        <v>0</v>
      </c>
      <c r="L8633" s="5">
        <f t="shared" si="569"/>
        <v>0</v>
      </c>
      <c r="M8633" s="4"/>
      <c r="N8633" s="4"/>
      <c r="O8633" s="5"/>
      <c r="P8633" s="5"/>
      <c r="Q8633" s="21">
        <f t="shared" si="570"/>
        <v>0</v>
      </c>
      <c r="R8633" s="21">
        <f t="shared" si="568"/>
        <v>0</v>
      </c>
      <c r="S8633" s="5">
        <f t="shared" si="563"/>
        <v>70007.077158325032</v>
      </c>
      <c r="T8633" cm="1">
        <f t="array" ref="T8633">IF(OR(B8633="MAL ALIMI", B8633="ÜRETİM GİRİŞ"), MIN(I8633, MAX(0, I8633 + SUM(SUMIFS($I$1:I8632, $C$1:C8632, C8633, $B$1:B8632, {"MAL ALIMI","ÜRETİM GİRİŞ"})) - VLOOKUP(C8633, 'STOK RAPORU'!$C$2:$I$1000, 4, 0))), 0)</f>
        <v>0</v>
      </c>
      <c r="U8633" s="22">
        <f t="shared" si="564"/>
        <v>0</v>
      </c>
      <c r="V8633">
        <f t="shared" si="565"/>
        <v>0</v>
      </c>
      <c r="W8633" s="22">
        <f t="shared" si="566"/>
        <v>0</v>
      </c>
    </row>
    <row r="8634" spans="1:23" hidden="1" x14ac:dyDescent="0.25">
      <c r="A8634" s="4"/>
      <c r="B8634" s="4"/>
      <c r="C8634" s="4"/>
      <c r="D8634" s="4"/>
      <c r="E8634" s="4"/>
      <c r="F8634" s="4"/>
      <c r="G8634" s="4"/>
      <c r="H8634" s="4"/>
      <c r="I8634" s="4"/>
      <c r="J8634" s="21">
        <f>IFERROR(VLOOKUP(C8634,'STOK KARTLARI'!$C$2:$K$2150,8,0),0)</f>
        <v>0</v>
      </c>
      <c r="K8634" s="21">
        <f t="shared" si="567"/>
        <v>0</v>
      </c>
      <c r="L8634" s="5">
        <f t="shared" si="569"/>
        <v>0</v>
      </c>
      <c r="M8634" s="4"/>
      <c r="N8634" s="4"/>
      <c r="O8634" s="5"/>
      <c r="P8634" s="5"/>
      <c r="Q8634" s="21">
        <f t="shared" si="570"/>
        <v>0</v>
      </c>
      <c r="R8634" s="21">
        <f t="shared" si="568"/>
        <v>0</v>
      </c>
      <c r="S8634" s="5">
        <f t="shared" si="563"/>
        <v>70007.077158325032</v>
      </c>
      <c r="T8634" cm="1">
        <f t="array" ref="T8634">IF(OR(B8634="MAL ALIMI", B8634="ÜRETİM GİRİŞ"), MIN(I8634, MAX(0, I8634 + SUM(SUMIFS($I$1:I8633, $C$1:C8633, C8634, $B$1:B8633, {"MAL ALIMI","ÜRETİM GİRİŞ"})) - VLOOKUP(C8634, 'STOK RAPORU'!$C$2:$I$1000, 4, 0))), 0)</f>
        <v>0</v>
      </c>
      <c r="U8634" s="22">
        <f t="shared" si="564"/>
        <v>0</v>
      </c>
      <c r="V8634">
        <f t="shared" si="565"/>
        <v>0</v>
      </c>
      <c r="W8634" s="22">
        <f t="shared" si="566"/>
        <v>0</v>
      </c>
    </row>
    <row r="8635" spans="1:23" hidden="1" x14ac:dyDescent="0.25">
      <c r="A8635" s="4"/>
      <c r="B8635" s="4"/>
      <c r="C8635" s="4"/>
      <c r="D8635" s="4"/>
      <c r="E8635" s="4"/>
      <c r="F8635" s="4"/>
      <c r="G8635" s="4"/>
      <c r="H8635" s="4"/>
      <c r="I8635" s="4"/>
      <c r="J8635" s="21">
        <f>IFERROR(VLOOKUP(C8635,'STOK KARTLARI'!$C$2:$K$2150,8,0),0)</f>
        <v>0</v>
      </c>
      <c r="K8635" s="21">
        <f t="shared" si="567"/>
        <v>0</v>
      </c>
      <c r="L8635" s="5">
        <f t="shared" si="569"/>
        <v>0</v>
      </c>
      <c r="M8635" s="4"/>
      <c r="N8635" s="4"/>
      <c r="O8635" s="5"/>
      <c r="P8635" s="5"/>
      <c r="Q8635" s="21">
        <f t="shared" si="570"/>
        <v>0</v>
      </c>
      <c r="R8635" s="21">
        <f t="shared" si="568"/>
        <v>0</v>
      </c>
      <c r="S8635" s="5">
        <f t="shared" si="563"/>
        <v>70007.077158325032</v>
      </c>
      <c r="T8635" cm="1">
        <f t="array" ref="T8635">IF(OR(B8635="MAL ALIMI", B8635="ÜRETİM GİRİŞ"), MIN(I8635, MAX(0, I8635 + SUM(SUMIFS($I$1:I8634, $C$1:C8634, C8635, $B$1:B8634, {"MAL ALIMI","ÜRETİM GİRİŞ"})) - VLOOKUP(C8635, 'STOK RAPORU'!$C$2:$I$1000, 4, 0))), 0)</f>
        <v>0</v>
      </c>
      <c r="U8635" s="22">
        <f t="shared" si="564"/>
        <v>0</v>
      </c>
      <c r="V8635">
        <f t="shared" si="565"/>
        <v>0</v>
      </c>
      <c r="W8635" s="22">
        <f t="shared" si="566"/>
        <v>0</v>
      </c>
    </row>
    <row r="8636" spans="1:23" hidden="1" x14ac:dyDescent="0.25">
      <c r="A8636" s="4"/>
      <c r="B8636" s="4"/>
      <c r="C8636" s="4"/>
      <c r="D8636" s="4"/>
      <c r="E8636" s="4"/>
      <c r="F8636" s="4"/>
      <c r="G8636" s="4"/>
      <c r="H8636" s="4"/>
      <c r="I8636" s="4"/>
      <c r="J8636" s="21">
        <f>IFERROR(VLOOKUP(C8636,'STOK KARTLARI'!$C$2:$K$2150,8,0),0)</f>
        <v>0</v>
      </c>
      <c r="K8636" s="21">
        <f t="shared" si="567"/>
        <v>0</v>
      </c>
      <c r="L8636" s="5">
        <f t="shared" si="569"/>
        <v>0</v>
      </c>
      <c r="M8636" s="4"/>
      <c r="N8636" s="4"/>
      <c r="O8636" s="5"/>
      <c r="P8636" s="5"/>
      <c r="Q8636" s="21">
        <f t="shared" si="570"/>
        <v>0</v>
      </c>
      <c r="R8636" s="21">
        <f t="shared" si="568"/>
        <v>0</v>
      </c>
      <c r="S8636" s="5">
        <f t="shared" si="563"/>
        <v>70007.077158325032</v>
      </c>
      <c r="T8636" cm="1">
        <f t="array" ref="T8636">IF(OR(B8636="MAL ALIMI", B8636="ÜRETİM GİRİŞ"), MIN(I8636, MAX(0, I8636 + SUM(SUMIFS($I$1:I8635, $C$1:C8635, C8636, $B$1:B8635, {"MAL ALIMI","ÜRETİM GİRİŞ"})) - VLOOKUP(C8636, 'STOK RAPORU'!$C$2:$I$1000, 4, 0))), 0)</f>
        <v>0</v>
      </c>
      <c r="U8636" s="22">
        <f t="shared" si="564"/>
        <v>0</v>
      </c>
      <c r="V8636">
        <f t="shared" si="565"/>
        <v>0</v>
      </c>
      <c r="W8636" s="22">
        <f t="shared" si="566"/>
        <v>0</v>
      </c>
    </row>
    <row r="8637" spans="1:23" hidden="1" x14ac:dyDescent="0.25">
      <c r="A8637" s="4"/>
      <c r="B8637" s="4"/>
      <c r="C8637" s="4"/>
      <c r="D8637" s="4"/>
      <c r="E8637" s="4"/>
      <c r="F8637" s="4"/>
      <c r="G8637" s="4"/>
      <c r="H8637" s="4"/>
      <c r="I8637" s="4"/>
      <c r="J8637" s="21">
        <f>IFERROR(VLOOKUP(C8637,'STOK KARTLARI'!$C$2:$K$2150,8,0),0)</f>
        <v>0</v>
      </c>
      <c r="K8637" s="21">
        <f t="shared" si="567"/>
        <v>0</v>
      </c>
      <c r="L8637" s="5">
        <f t="shared" si="569"/>
        <v>0</v>
      </c>
      <c r="M8637" s="4"/>
      <c r="N8637" s="4"/>
      <c r="O8637" s="5"/>
      <c r="P8637" s="5"/>
      <c r="Q8637" s="21">
        <f t="shared" si="570"/>
        <v>0</v>
      </c>
      <c r="R8637" s="21">
        <f t="shared" si="568"/>
        <v>0</v>
      </c>
      <c r="S8637" s="5">
        <f t="shared" si="563"/>
        <v>70007.077158325032</v>
      </c>
      <c r="T8637" cm="1">
        <f t="array" ref="T8637">IF(OR(B8637="MAL ALIMI", B8637="ÜRETİM GİRİŞ"), MIN(I8637, MAX(0, I8637 + SUM(SUMIFS($I$1:I8636, $C$1:C8636, C8637, $B$1:B8636, {"MAL ALIMI","ÜRETİM GİRİŞ"})) - VLOOKUP(C8637, 'STOK RAPORU'!$C$2:$I$1000, 4, 0))), 0)</f>
        <v>0</v>
      </c>
      <c r="U8637" s="22">
        <f t="shared" si="564"/>
        <v>0</v>
      </c>
      <c r="V8637">
        <f t="shared" si="565"/>
        <v>0</v>
      </c>
      <c r="W8637" s="22">
        <f t="shared" si="566"/>
        <v>0</v>
      </c>
    </row>
    <row r="8638" spans="1:23" hidden="1" x14ac:dyDescent="0.25">
      <c r="A8638" s="3"/>
      <c r="B8638" s="4"/>
      <c r="C8638" s="4"/>
      <c r="D8638" s="4"/>
      <c r="E8638" s="4"/>
      <c r="F8638" s="4"/>
      <c r="G8638" s="4"/>
      <c r="H8638" s="4"/>
      <c r="I8638" s="4"/>
      <c r="J8638" s="21">
        <f>IFERROR(VLOOKUP(C8638,'STOK KARTLARI'!$C$2:$K$2150,8,0),0)</f>
        <v>0</v>
      </c>
      <c r="K8638" s="21">
        <f t="shared" si="567"/>
        <v>0</v>
      </c>
      <c r="L8638" s="5">
        <f t="shared" si="569"/>
        <v>0</v>
      </c>
      <c r="M8638" s="4"/>
      <c r="N8638" s="4"/>
      <c r="O8638" s="5"/>
      <c r="P8638" s="5"/>
      <c r="Q8638" s="21">
        <f t="shared" si="570"/>
        <v>0</v>
      </c>
      <c r="R8638" s="21">
        <f t="shared" si="568"/>
        <v>0</v>
      </c>
      <c r="S8638" s="5">
        <f t="shared" si="563"/>
        <v>70007.077158325032</v>
      </c>
      <c r="T8638" cm="1">
        <f t="array" ref="T8638">IF(OR(B8638="MAL ALIMI", B8638="ÜRETİM GİRİŞ"), MIN(I8638, MAX(0, I8638 + SUM(SUMIFS($I$1:I8637, $C$1:C8637, C8638, $B$1:B8637, {"MAL ALIMI","ÜRETİM GİRİŞ"})) - VLOOKUP(C8638, 'STOK RAPORU'!$C$2:$I$1000, 4, 0))), 0)</f>
        <v>0</v>
      </c>
      <c r="U8638" s="22">
        <f t="shared" si="564"/>
        <v>0</v>
      </c>
      <c r="V8638">
        <f t="shared" si="565"/>
        <v>0</v>
      </c>
      <c r="W8638" s="22">
        <f t="shared" si="566"/>
        <v>0</v>
      </c>
    </row>
    <row r="8639" spans="1:23" hidden="1" x14ac:dyDescent="0.25">
      <c r="A8639" s="4"/>
      <c r="B8639" s="4"/>
      <c r="C8639" s="4"/>
      <c r="D8639" s="4"/>
      <c r="E8639" s="4"/>
      <c r="F8639" s="4"/>
      <c r="G8639" s="4"/>
      <c r="H8639" s="4"/>
      <c r="I8639" s="4"/>
      <c r="J8639" s="21">
        <f>IFERROR(VLOOKUP(C8639,'STOK KARTLARI'!$C$2:$K$2150,8,0),0)</f>
        <v>0</v>
      </c>
      <c r="K8639" s="21">
        <f t="shared" si="567"/>
        <v>0</v>
      </c>
      <c r="L8639" s="5">
        <f t="shared" si="569"/>
        <v>0</v>
      </c>
      <c r="M8639" s="4"/>
      <c r="N8639" s="4"/>
      <c r="O8639" s="5"/>
      <c r="P8639" s="5"/>
      <c r="Q8639" s="21">
        <f t="shared" si="570"/>
        <v>0</v>
      </c>
      <c r="R8639" s="21">
        <f t="shared" si="568"/>
        <v>0</v>
      </c>
      <c r="S8639" s="5">
        <f t="shared" si="563"/>
        <v>70007.077158325032</v>
      </c>
      <c r="T8639" cm="1">
        <f t="array" ref="T8639">IF(OR(B8639="MAL ALIMI", B8639="ÜRETİM GİRİŞ"), MIN(I8639, MAX(0, I8639 + SUM(SUMIFS($I$1:I8638, $C$1:C8638, C8639, $B$1:B8638, {"MAL ALIMI","ÜRETİM GİRİŞ"})) - VLOOKUP(C8639, 'STOK RAPORU'!$C$2:$I$1000, 4, 0))), 0)</f>
        <v>0</v>
      </c>
      <c r="U8639" s="22">
        <f t="shared" si="564"/>
        <v>0</v>
      </c>
      <c r="V8639">
        <f t="shared" si="565"/>
        <v>0</v>
      </c>
      <c r="W8639" s="22">
        <f t="shared" si="566"/>
        <v>0</v>
      </c>
    </row>
    <row r="8640" spans="1:23" hidden="1" x14ac:dyDescent="0.25">
      <c r="A8640" s="4"/>
      <c r="B8640" s="4"/>
      <c r="C8640" s="4"/>
      <c r="D8640" s="4"/>
      <c r="E8640" s="4"/>
      <c r="F8640" s="4"/>
      <c r="G8640" s="4"/>
      <c r="H8640" s="4"/>
      <c r="I8640" s="4"/>
      <c r="J8640" s="21">
        <f>IFERROR(VLOOKUP(C8640,'STOK KARTLARI'!$C$2:$K$2150,8,0),0)</f>
        <v>0</v>
      </c>
      <c r="K8640" s="21">
        <f t="shared" si="567"/>
        <v>0</v>
      </c>
      <c r="L8640" s="5">
        <f t="shared" si="569"/>
        <v>0</v>
      </c>
      <c r="M8640" s="4"/>
      <c r="N8640" s="4"/>
      <c r="O8640" s="5"/>
      <c r="P8640" s="5"/>
      <c r="Q8640" s="21">
        <f t="shared" si="570"/>
        <v>0</v>
      </c>
      <c r="R8640" s="21">
        <f t="shared" si="568"/>
        <v>0</v>
      </c>
      <c r="S8640" s="5">
        <f t="shared" si="563"/>
        <v>70007.077158325032</v>
      </c>
      <c r="T8640" cm="1">
        <f t="array" ref="T8640">IF(OR(B8640="MAL ALIMI", B8640="ÜRETİM GİRİŞ"), MIN(I8640, MAX(0, I8640 + SUM(SUMIFS($I$1:I8639, $C$1:C8639, C8640, $B$1:B8639, {"MAL ALIMI","ÜRETİM GİRİŞ"})) - VLOOKUP(C8640, 'STOK RAPORU'!$C$2:$I$1000, 4, 0))), 0)</f>
        <v>0</v>
      </c>
      <c r="U8640" s="22">
        <f t="shared" si="564"/>
        <v>0</v>
      </c>
      <c r="V8640">
        <f t="shared" si="565"/>
        <v>0</v>
      </c>
      <c r="W8640" s="22">
        <f t="shared" si="566"/>
        <v>0</v>
      </c>
    </row>
    <row r="8641" spans="1:23" hidden="1" x14ac:dyDescent="0.25">
      <c r="A8641" s="4"/>
      <c r="B8641" s="4"/>
      <c r="C8641" s="4"/>
      <c r="D8641" s="4"/>
      <c r="E8641" s="4"/>
      <c r="F8641" s="4"/>
      <c r="G8641" s="4"/>
      <c r="H8641" s="4"/>
      <c r="I8641" s="4"/>
      <c r="J8641" s="21">
        <f>IFERROR(VLOOKUP(C8641,'STOK KARTLARI'!$C$2:$K$2150,8,0),0)</f>
        <v>0</v>
      </c>
      <c r="K8641" s="21">
        <f t="shared" si="567"/>
        <v>0</v>
      </c>
      <c r="L8641" s="5">
        <f t="shared" si="569"/>
        <v>0</v>
      </c>
      <c r="M8641" s="4"/>
      <c r="N8641" s="4"/>
      <c r="O8641" s="5"/>
      <c r="P8641" s="5"/>
      <c r="Q8641" s="21">
        <f t="shared" si="570"/>
        <v>0</v>
      </c>
      <c r="R8641" s="21">
        <f t="shared" si="568"/>
        <v>0</v>
      </c>
      <c r="S8641" s="5">
        <f t="shared" si="563"/>
        <v>70007.077158325032</v>
      </c>
      <c r="T8641" cm="1">
        <f t="array" ref="T8641">IF(OR(B8641="MAL ALIMI", B8641="ÜRETİM GİRİŞ"), MIN(I8641, MAX(0, I8641 + SUM(SUMIFS($I$1:I8640, $C$1:C8640, C8641, $B$1:B8640, {"MAL ALIMI","ÜRETİM GİRİŞ"})) - VLOOKUP(C8641, 'STOK RAPORU'!$C$2:$I$1000, 4, 0))), 0)</f>
        <v>0</v>
      </c>
      <c r="U8641" s="22">
        <f t="shared" si="564"/>
        <v>0</v>
      </c>
      <c r="V8641">
        <f t="shared" si="565"/>
        <v>0</v>
      </c>
      <c r="W8641" s="22">
        <f t="shared" si="566"/>
        <v>0</v>
      </c>
    </row>
    <row r="8642" spans="1:23" hidden="1" x14ac:dyDescent="0.25">
      <c r="A8642" s="4"/>
      <c r="B8642" s="4"/>
      <c r="C8642" s="4"/>
      <c r="D8642" s="4"/>
      <c r="E8642" s="4"/>
      <c r="F8642" s="4"/>
      <c r="G8642" s="4"/>
      <c r="H8642" s="4"/>
      <c r="I8642" s="4"/>
      <c r="J8642" s="21">
        <f>IFERROR(VLOOKUP(C8642,'STOK KARTLARI'!$C$2:$K$2150,8,0),0)</f>
        <v>0</v>
      </c>
      <c r="K8642" s="21">
        <f t="shared" si="567"/>
        <v>0</v>
      </c>
      <c r="L8642" s="5">
        <f t="shared" si="569"/>
        <v>0</v>
      </c>
      <c r="M8642" s="4"/>
      <c r="N8642" s="4"/>
      <c r="O8642" s="5"/>
      <c r="P8642" s="5"/>
      <c r="Q8642" s="21">
        <f t="shared" si="570"/>
        <v>0</v>
      </c>
      <c r="R8642" s="21">
        <f t="shared" si="568"/>
        <v>0</v>
      </c>
      <c r="S8642" s="5">
        <f t="shared" si="563"/>
        <v>70007.077158325032</v>
      </c>
      <c r="T8642" cm="1">
        <f t="array" ref="T8642">IF(OR(B8642="MAL ALIMI", B8642="ÜRETİM GİRİŞ"), MIN(I8642, MAX(0, I8642 + SUM(SUMIFS($I$1:I8641, $C$1:C8641, C8642, $B$1:B8641, {"MAL ALIMI","ÜRETİM GİRİŞ"})) - VLOOKUP(C8642, 'STOK RAPORU'!$C$2:$I$1000, 4, 0))), 0)</f>
        <v>0</v>
      </c>
      <c r="U8642" s="22">
        <f t="shared" si="564"/>
        <v>0</v>
      </c>
      <c r="V8642">
        <f t="shared" si="565"/>
        <v>0</v>
      </c>
      <c r="W8642" s="22">
        <f t="shared" si="566"/>
        <v>0</v>
      </c>
    </row>
    <row r="8643" spans="1:23" hidden="1" x14ac:dyDescent="0.25">
      <c r="A8643" s="4"/>
      <c r="B8643" s="4"/>
      <c r="C8643" s="4"/>
      <c r="D8643" s="4"/>
      <c r="E8643" s="4"/>
      <c r="F8643" s="4"/>
      <c r="G8643" s="4"/>
      <c r="H8643" s="4"/>
      <c r="I8643" s="4"/>
      <c r="J8643" s="21">
        <f>IFERROR(VLOOKUP(C8643,'STOK KARTLARI'!$C$2:$K$2150,8,0),0)</f>
        <v>0</v>
      </c>
      <c r="K8643" s="21">
        <f t="shared" si="567"/>
        <v>0</v>
      </c>
      <c r="L8643" s="5">
        <f t="shared" si="569"/>
        <v>0</v>
      </c>
      <c r="M8643" s="4"/>
      <c r="N8643" s="4"/>
      <c r="O8643" s="5"/>
      <c r="P8643" s="5"/>
      <c r="Q8643" s="21">
        <f t="shared" si="570"/>
        <v>0</v>
      </c>
      <c r="R8643" s="21">
        <f t="shared" si="568"/>
        <v>0</v>
      </c>
      <c r="S8643" s="5">
        <f t="shared" si="563"/>
        <v>70007.077158325032</v>
      </c>
      <c r="T8643" cm="1">
        <f t="array" ref="T8643">IF(OR(B8643="MAL ALIMI", B8643="ÜRETİM GİRİŞ"), MIN(I8643, MAX(0, I8643 + SUM(SUMIFS($I$1:I8642, $C$1:C8642, C8643, $B$1:B8642, {"MAL ALIMI","ÜRETİM GİRİŞ"})) - VLOOKUP(C8643, 'STOK RAPORU'!$C$2:$I$1000, 4, 0))), 0)</f>
        <v>0</v>
      </c>
      <c r="U8643" s="22">
        <f t="shared" si="564"/>
        <v>0</v>
      </c>
      <c r="V8643">
        <f t="shared" si="565"/>
        <v>0</v>
      </c>
      <c r="W8643" s="22">
        <f t="shared" si="566"/>
        <v>0</v>
      </c>
    </row>
    <row r="8644" spans="1:23" hidden="1" x14ac:dyDescent="0.25">
      <c r="A8644" s="4"/>
      <c r="B8644" s="4"/>
      <c r="C8644" s="4"/>
      <c r="D8644" s="4"/>
      <c r="E8644" s="4"/>
      <c r="F8644" s="4"/>
      <c r="G8644" s="4"/>
      <c r="H8644" s="4"/>
      <c r="I8644" s="4"/>
      <c r="J8644" s="21">
        <f>IFERROR(VLOOKUP(C8644,'STOK KARTLARI'!$C$2:$K$2150,8,0),0)</f>
        <v>0</v>
      </c>
      <c r="K8644" s="21">
        <f t="shared" si="567"/>
        <v>0</v>
      </c>
      <c r="L8644" s="5">
        <f t="shared" si="569"/>
        <v>0</v>
      </c>
      <c r="M8644" s="4"/>
      <c r="N8644" s="4"/>
      <c r="O8644" s="5"/>
      <c r="P8644" s="5"/>
      <c r="Q8644" s="21">
        <f t="shared" si="570"/>
        <v>0</v>
      </c>
      <c r="R8644" s="21">
        <f t="shared" si="568"/>
        <v>0</v>
      </c>
      <c r="S8644" s="5">
        <f t="shared" si="563"/>
        <v>70007.077158325032</v>
      </c>
      <c r="T8644" cm="1">
        <f t="array" ref="T8644">IF(OR(B8644="MAL ALIMI", B8644="ÜRETİM GİRİŞ"), MIN(I8644, MAX(0, I8644 + SUM(SUMIFS($I$1:I8643, $C$1:C8643, C8644, $B$1:B8643, {"MAL ALIMI","ÜRETİM GİRİŞ"})) - VLOOKUP(C8644, 'STOK RAPORU'!$C$2:$I$1000, 4, 0))), 0)</f>
        <v>0</v>
      </c>
      <c r="U8644" s="22">
        <f t="shared" si="564"/>
        <v>0</v>
      </c>
      <c r="V8644">
        <f t="shared" si="565"/>
        <v>0</v>
      </c>
      <c r="W8644" s="22">
        <f t="shared" si="566"/>
        <v>0</v>
      </c>
    </row>
    <row r="8645" spans="1:23" hidden="1" x14ac:dyDescent="0.25">
      <c r="A8645" s="3"/>
      <c r="B8645" s="4"/>
      <c r="C8645" s="4"/>
      <c r="D8645" s="4"/>
      <c r="E8645" s="4"/>
      <c r="F8645" s="4"/>
      <c r="G8645" s="4"/>
      <c r="H8645" s="4"/>
      <c r="I8645" s="4"/>
      <c r="J8645" s="21">
        <f>IFERROR(VLOOKUP(C8645,'STOK KARTLARI'!$C$2:$K$2150,8,0),0)</f>
        <v>0</v>
      </c>
      <c r="K8645" s="21">
        <f t="shared" si="567"/>
        <v>0</v>
      </c>
      <c r="L8645" s="5">
        <f t="shared" si="569"/>
        <v>0</v>
      </c>
      <c r="M8645" s="4"/>
      <c r="N8645" s="4"/>
      <c r="O8645" s="5"/>
      <c r="P8645" s="5"/>
      <c r="Q8645" s="21">
        <f t="shared" si="570"/>
        <v>0</v>
      </c>
      <c r="R8645" s="21">
        <f t="shared" si="568"/>
        <v>0</v>
      </c>
      <c r="S8645" s="5">
        <f t="shared" ref="S8645:S8708" si="571">S8644+Q8645-R8645</f>
        <v>70007.077158325032</v>
      </c>
      <c r="T8645" cm="1">
        <f t="array" ref="T8645">IF(OR(B8645="MAL ALIMI", B8645="ÜRETİM GİRİŞ"), MIN(I8645, MAX(0, I8645 + SUM(SUMIFS($I$1:I8644, $C$1:C8644, C8645, $B$1:B8644, {"MAL ALIMI","ÜRETİM GİRİŞ"})) - VLOOKUP(C8645, 'STOK RAPORU'!$C$2:$I$1000, 4, 0))), 0)</f>
        <v>0</v>
      </c>
      <c r="U8645" s="22">
        <f t="shared" si="564"/>
        <v>0</v>
      </c>
      <c r="V8645">
        <f t="shared" si="565"/>
        <v>0</v>
      </c>
      <c r="W8645" s="22">
        <f t="shared" si="566"/>
        <v>0</v>
      </c>
    </row>
    <row r="8646" spans="1:23" hidden="1" x14ac:dyDescent="0.25">
      <c r="A8646" s="4"/>
      <c r="B8646" s="4"/>
      <c r="C8646" s="4"/>
      <c r="D8646" s="4"/>
      <c r="E8646" s="4"/>
      <c r="F8646" s="4"/>
      <c r="G8646" s="4"/>
      <c r="H8646" s="4"/>
      <c r="I8646" s="4"/>
      <c r="J8646" s="21">
        <f>IFERROR(VLOOKUP(C8646,'STOK KARTLARI'!$C$2:$K$2150,8,0),0)</f>
        <v>0</v>
      </c>
      <c r="K8646" s="21">
        <f t="shared" si="567"/>
        <v>0</v>
      </c>
      <c r="L8646" s="5">
        <f t="shared" si="569"/>
        <v>0</v>
      </c>
      <c r="M8646" s="4"/>
      <c r="N8646" s="4"/>
      <c r="O8646" s="5"/>
      <c r="P8646" s="5"/>
      <c r="Q8646" s="21">
        <f t="shared" si="570"/>
        <v>0</v>
      </c>
      <c r="R8646" s="21">
        <f t="shared" si="568"/>
        <v>0</v>
      </c>
      <c r="S8646" s="5">
        <f t="shared" si="571"/>
        <v>70007.077158325032</v>
      </c>
      <c r="T8646" cm="1">
        <f t="array" ref="T8646">IF(OR(B8646="MAL ALIMI", B8646="ÜRETİM GİRİŞ"), MIN(I8646, MAX(0, I8646 + SUM(SUMIFS($I$1:I8645, $C$1:C8645, C8646, $B$1:B8645, {"MAL ALIMI","ÜRETİM GİRİŞ"})) - VLOOKUP(C8646, 'STOK RAPORU'!$C$2:$I$1000, 4, 0))), 0)</f>
        <v>0</v>
      </c>
      <c r="U8646" s="22">
        <f t="shared" si="564"/>
        <v>0</v>
      </c>
      <c r="V8646">
        <f t="shared" si="565"/>
        <v>0</v>
      </c>
      <c r="W8646" s="22">
        <f t="shared" si="566"/>
        <v>0</v>
      </c>
    </row>
    <row r="8647" spans="1:23" hidden="1" x14ac:dyDescent="0.25">
      <c r="A8647" s="4"/>
      <c r="B8647" s="4"/>
      <c r="C8647" s="4"/>
      <c r="D8647" s="4"/>
      <c r="E8647" s="4"/>
      <c r="F8647" s="4"/>
      <c r="G8647" s="4"/>
      <c r="H8647" s="4"/>
      <c r="I8647" s="4"/>
      <c r="J8647" s="21">
        <f>IFERROR(VLOOKUP(C8647,'STOK KARTLARI'!$C$2:$K$2150,8,0),0)</f>
        <v>0</v>
      </c>
      <c r="K8647" s="21">
        <f t="shared" si="567"/>
        <v>0</v>
      </c>
      <c r="L8647" s="5">
        <f t="shared" si="569"/>
        <v>0</v>
      </c>
      <c r="M8647" s="4"/>
      <c r="N8647" s="4"/>
      <c r="O8647" s="5"/>
      <c r="P8647" s="5"/>
      <c r="Q8647" s="21">
        <f t="shared" si="570"/>
        <v>0</v>
      </c>
      <c r="R8647" s="21">
        <f t="shared" si="568"/>
        <v>0</v>
      </c>
      <c r="S8647" s="5">
        <f t="shared" si="571"/>
        <v>70007.077158325032</v>
      </c>
      <c r="T8647" cm="1">
        <f t="array" ref="T8647">IF(OR(B8647="MAL ALIMI", B8647="ÜRETİM GİRİŞ"), MIN(I8647, MAX(0, I8647 + SUM(SUMIFS($I$1:I8646, $C$1:C8646, C8647, $B$1:B8646, {"MAL ALIMI","ÜRETİM GİRİŞ"})) - VLOOKUP(C8647, 'STOK RAPORU'!$C$2:$I$1000, 4, 0))), 0)</f>
        <v>0</v>
      </c>
      <c r="U8647" s="22">
        <f t="shared" si="564"/>
        <v>0</v>
      </c>
      <c r="V8647">
        <f t="shared" si="565"/>
        <v>0</v>
      </c>
      <c r="W8647" s="22">
        <f t="shared" si="566"/>
        <v>0</v>
      </c>
    </row>
    <row r="8648" spans="1:23" hidden="1" x14ac:dyDescent="0.25">
      <c r="A8648" s="4"/>
      <c r="B8648" s="4"/>
      <c r="C8648" s="4"/>
      <c r="D8648" s="4"/>
      <c r="E8648" s="4"/>
      <c r="F8648" s="4"/>
      <c r="G8648" s="4"/>
      <c r="H8648" s="4"/>
      <c r="I8648" s="4"/>
      <c r="J8648" s="21">
        <f>IFERROR(VLOOKUP(C8648,'STOK KARTLARI'!$C$2:$K$2150,8,0),0)</f>
        <v>0</v>
      </c>
      <c r="K8648" s="21">
        <f t="shared" si="567"/>
        <v>0</v>
      </c>
      <c r="L8648" s="5">
        <f t="shared" si="569"/>
        <v>0</v>
      </c>
      <c r="M8648" s="4"/>
      <c r="N8648" s="4"/>
      <c r="O8648" s="5"/>
      <c r="P8648" s="5"/>
      <c r="Q8648" s="21">
        <f t="shared" si="570"/>
        <v>0</v>
      </c>
      <c r="R8648" s="21">
        <f t="shared" si="568"/>
        <v>0</v>
      </c>
      <c r="S8648" s="5">
        <f t="shared" si="571"/>
        <v>70007.077158325032</v>
      </c>
      <c r="T8648" cm="1">
        <f t="array" ref="T8648">IF(OR(B8648="MAL ALIMI", B8648="ÜRETİM GİRİŞ"), MIN(I8648, MAX(0, I8648 + SUM(SUMIFS($I$1:I8647, $C$1:C8647, C8648, $B$1:B8647, {"MAL ALIMI","ÜRETİM GİRİŞ"})) - VLOOKUP(C8648, 'STOK RAPORU'!$C$2:$I$1000, 4, 0))), 0)</f>
        <v>0</v>
      </c>
      <c r="U8648" s="22">
        <f t="shared" si="564"/>
        <v>0</v>
      </c>
      <c r="V8648">
        <f t="shared" si="565"/>
        <v>0</v>
      </c>
      <c r="W8648" s="22">
        <f t="shared" si="566"/>
        <v>0</v>
      </c>
    </row>
    <row r="8649" spans="1:23" hidden="1" x14ac:dyDescent="0.25">
      <c r="A8649" s="4"/>
      <c r="B8649" s="4"/>
      <c r="C8649" s="4"/>
      <c r="D8649" s="4"/>
      <c r="E8649" s="4"/>
      <c r="F8649" s="4"/>
      <c r="G8649" s="4"/>
      <c r="H8649" s="4"/>
      <c r="I8649" s="4"/>
      <c r="J8649" s="21">
        <f>IFERROR(VLOOKUP(C8649,'STOK KARTLARI'!$C$2:$K$2150,8,0),0)</f>
        <v>0</v>
      </c>
      <c r="K8649" s="21">
        <f t="shared" si="567"/>
        <v>0</v>
      </c>
      <c r="L8649" s="5">
        <f t="shared" si="569"/>
        <v>0</v>
      </c>
      <c r="M8649" s="4"/>
      <c r="N8649" s="4"/>
      <c r="O8649" s="5"/>
      <c r="P8649" s="5"/>
      <c r="Q8649" s="21">
        <f t="shared" si="570"/>
        <v>0</v>
      </c>
      <c r="R8649" s="21">
        <f t="shared" si="568"/>
        <v>0</v>
      </c>
      <c r="S8649" s="5">
        <f t="shared" si="571"/>
        <v>70007.077158325032</v>
      </c>
      <c r="T8649" cm="1">
        <f t="array" ref="T8649">IF(OR(B8649="MAL ALIMI", B8649="ÜRETİM GİRİŞ"), MIN(I8649, MAX(0, I8649 + SUM(SUMIFS($I$1:I8648, $C$1:C8648, C8649, $B$1:B8648, {"MAL ALIMI","ÜRETİM GİRİŞ"})) - VLOOKUP(C8649, 'STOK RAPORU'!$C$2:$I$1000, 4, 0))), 0)</f>
        <v>0</v>
      </c>
      <c r="U8649" s="22">
        <f t="shared" si="564"/>
        <v>0</v>
      </c>
      <c r="V8649">
        <f t="shared" si="565"/>
        <v>0</v>
      </c>
      <c r="W8649" s="22">
        <f t="shared" si="566"/>
        <v>0</v>
      </c>
    </row>
    <row r="8650" spans="1:23" hidden="1" x14ac:dyDescent="0.25">
      <c r="A8650" s="4"/>
      <c r="B8650" s="4"/>
      <c r="C8650" s="4"/>
      <c r="D8650" s="4"/>
      <c r="E8650" s="4"/>
      <c r="F8650" s="4"/>
      <c r="G8650" s="4"/>
      <c r="H8650" s="4"/>
      <c r="I8650" s="4"/>
      <c r="J8650" s="21">
        <f>IFERROR(VLOOKUP(C8650,'STOK KARTLARI'!$C$2:$K$2150,8,0),0)</f>
        <v>0</v>
      </c>
      <c r="K8650" s="21">
        <f t="shared" si="567"/>
        <v>0</v>
      </c>
      <c r="L8650" s="5">
        <f t="shared" si="569"/>
        <v>0</v>
      </c>
      <c r="M8650" s="4"/>
      <c r="N8650" s="4"/>
      <c r="O8650" s="5"/>
      <c r="P8650" s="5"/>
      <c r="Q8650" s="21">
        <f t="shared" si="570"/>
        <v>0</v>
      </c>
      <c r="R8650" s="21">
        <f t="shared" si="568"/>
        <v>0</v>
      </c>
      <c r="S8650" s="5">
        <f t="shared" si="571"/>
        <v>70007.077158325032</v>
      </c>
      <c r="T8650" cm="1">
        <f t="array" ref="T8650">IF(OR(B8650="MAL ALIMI", B8650="ÜRETİM GİRİŞ"), MIN(I8650, MAX(0, I8650 + SUM(SUMIFS($I$1:I8649, $C$1:C8649, C8650, $B$1:B8649, {"MAL ALIMI","ÜRETİM GİRİŞ"})) - VLOOKUP(C8650, 'STOK RAPORU'!$C$2:$I$1000, 4, 0))), 0)</f>
        <v>0</v>
      </c>
      <c r="U8650" s="22">
        <f t="shared" si="564"/>
        <v>0</v>
      </c>
      <c r="V8650">
        <f t="shared" si="565"/>
        <v>0</v>
      </c>
      <c r="W8650" s="22">
        <f t="shared" si="566"/>
        <v>0</v>
      </c>
    </row>
    <row r="8651" spans="1:23" hidden="1" x14ac:dyDescent="0.25">
      <c r="A8651" s="4"/>
      <c r="B8651" s="4"/>
      <c r="C8651" s="4"/>
      <c r="D8651" s="4"/>
      <c r="E8651" s="4"/>
      <c r="F8651" s="4"/>
      <c r="G8651" s="4"/>
      <c r="H8651" s="4"/>
      <c r="I8651" s="4"/>
      <c r="J8651" s="21">
        <f>IFERROR(VLOOKUP(C8651,'STOK KARTLARI'!$C$2:$K$2150,8,0),0)</f>
        <v>0</v>
      </c>
      <c r="K8651" s="21">
        <f t="shared" si="567"/>
        <v>0</v>
      </c>
      <c r="L8651" s="5">
        <f t="shared" si="569"/>
        <v>0</v>
      </c>
      <c r="M8651" s="4"/>
      <c r="N8651" s="4"/>
      <c r="O8651" s="5"/>
      <c r="P8651" s="5"/>
      <c r="Q8651" s="21">
        <f t="shared" si="570"/>
        <v>0</v>
      </c>
      <c r="R8651" s="21">
        <f t="shared" si="568"/>
        <v>0</v>
      </c>
      <c r="S8651" s="5">
        <f t="shared" si="571"/>
        <v>70007.077158325032</v>
      </c>
      <c r="T8651" cm="1">
        <f t="array" ref="T8651">IF(OR(B8651="MAL ALIMI", B8651="ÜRETİM GİRİŞ"), MIN(I8651, MAX(0, I8651 + SUM(SUMIFS($I$1:I8650, $C$1:C8650, C8651, $B$1:B8650, {"MAL ALIMI","ÜRETİM GİRİŞ"})) - VLOOKUP(C8651, 'STOK RAPORU'!$C$2:$I$1000, 4, 0))), 0)</f>
        <v>0</v>
      </c>
      <c r="U8651" s="22">
        <f t="shared" si="564"/>
        <v>0</v>
      </c>
      <c r="V8651">
        <f t="shared" si="565"/>
        <v>0</v>
      </c>
      <c r="W8651" s="22">
        <f t="shared" si="566"/>
        <v>0</v>
      </c>
    </row>
    <row r="8652" spans="1:23" hidden="1" x14ac:dyDescent="0.25">
      <c r="A8652" s="3"/>
      <c r="B8652" s="4"/>
      <c r="C8652" s="4"/>
      <c r="D8652" s="4"/>
      <c r="E8652" s="4"/>
      <c r="F8652" s="4"/>
      <c r="G8652" s="4"/>
      <c r="H8652" s="4"/>
      <c r="I8652" s="4"/>
      <c r="J8652" s="21">
        <f>IFERROR(VLOOKUP(C8652,'STOK KARTLARI'!$C$2:$K$2150,8,0),0)</f>
        <v>0</v>
      </c>
      <c r="K8652" s="21">
        <f t="shared" si="567"/>
        <v>0</v>
      </c>
      <c r="L8652" s="5">
        <f t="shared" si="569"/>
        <v>0</v>
      </c>
      <c r="M8652" s="4"/>
      <c r="N8652" s="4"/>
      <c r="O8652" s="5"/>
      <c r="P8652" s="5"/>
      <c r="Q8652" s="21">
        <f t="shared" si="570"/>
        <v>0</v>
      </c>
      <c r="R8652" s="21">
        <f t="shared" si="568"/>
        <v>0</v>
      </c>
      <c r="S8652" s="5">
        <f t="shared" si="571"/>
        <v>70007.077158325032</v>
      </c>
      <c r="T8652" cm="1">
        <f t="array" ref="T8652">IF(OR(B8652="MAL ALIMI", B8652="ÜRETİM GİRİŞ"), MIN(I8652, MAX(0, I8652 + SUM(SUMIFS($I$1:I8651, $C$1:C8651, C8652, $B$1:B8651, {"MAL ALIMI","ÜRETİM GİRİŞ"})) - VLOOKUP(C8652, 'STOK RAPORU'!$C$2:$I$1000, 4, 0))), 0)</f>
        <v>0</v>
      </c>
      <c r="U8652" s="22">
        <f t="shared" si="564"/>
        <v>0</v>
      </c>
      <c r="V8652">
        <f t="shared" si="565"/>
        <v>0</v>
      </c>
      <c r="W8652" s="22">
        <f t="shared" si="566"/>
        <v>0</v>
      </c>
    </row>
    <row r="8653" spans="1:23" hidden="1" x14ac:dyDescent="0.25">
      <c r="A8653" s="4"/>
      <c r="B8653" s="4"/>
      <c r="C8653" s="4"/>
      <c r="D8653" s="4"/>
      <c r="E8653" s="4"/>
      <c r="F8653" s="4"/>
      <c r="G8653" s="4"/>
      <c r="H8653" s="4"/>
      <c r="I8653" s="4"/>
      <c r="J8653" s="21">
        <f>IFERROR(VLOOKUP(C8653,'STOK KARTLARI'!$C$2:$K$2150,8,0),0)</f>
        <v>0</v>
      </c>
      <c r="K8653" s="21">
        <f t="shared" si="567"/>
        <v>0</v>
      </c>
      <c r="L8653" s="5">
        <f t="shared" si="569"/>
        <v>0</v>
      </c>
      <c r="M8653" s="4"/>
      <c r="N8653" s="4"/>
      <c r="O8653" s="5"/>
      <c r="P8653" s="5"/>
      <c r="Q8653" s="21">
        <f t="shared" si="570"/>
        <v>0</v>
      </c>
      <c r="R8653" s="21">
        <f t="shared" si="568"/>
        <v>0</v>
      </c>
      <c r="S8653" s="5">
        <f t="shared" si="571"/>
        <v>70007.077158325032</v>
      </c>
      <c r="T8653" cm="1">
        <f t="array" ref="T8653">IF(OR(B8653="MAL ALIMI", B8653="ÜRETİM GİRİŞ"), MIN(I8653, MAX(0, I8653 + SUM(SUMIFS($I$1:I8652, $C$1:C8652, C8653, $B$1:B8652, {"MAL ALIMI","ÜRETİM GİRİŞ"})) - VLOOKUP(C8653, 'STOK RAPORU'!$C$2:$I$1000, 4, 0))), 0)</f>
        <v>0</v>
      </c>
      <c r="U8653" s="22">
        <f t="shared" si="564"/>
        <v>0</v>
      </c>
      <c r="V8653">
        <f t="shared" si="565"/>
        <v>0</v>
      </c>
      <c r="W8653" s="22">
        <f t="shared" si="566"/>
        <v>0</v>
      </c>
    </row>
    <row r="8654" spans="1:23" hidden="1" x14ac:dyDescent="0.25">
      <c r="A8654" s="4"/>
      <c r="B8654" s="4"/>
      <c r="C8654" s="4"/>
      <c r="D8654" s="4"/>
      <c r="E8654" s="4"/>
      <c r="F8654" s="4"/>
      <c r="G8654" s="4"/>
      <c r="H8654" s="4"/>
      <c r="I8654" s="4"/>
      <c r="J8654" s="21">
        <f>IFERROR(VLOOKUP(C8654,'STOK KARTLARI'!$C$2:$K$2150,8,0),0)</f>
        <v>0</v>
      </c>
      <c r="K8654" s="21">
        <f t="shared" si="567"/>
        <v>0</v>
      </c>
      <c r="L8654" s="5">
        <f t="shared" si="569"/>
        <v>0</v>
      </c>
      <c r="M8654" s="4"/>
      <c r="N8654" s="4"/>
      <c r="O8654" s="5"/>
      <c r="P8654" s="5"/>
      <c r="Q8654" s="21">
        <f t="shared" si="570"/>
        <v>0</v>
      </c>
      <c r="R8654" s="21">
        <f t="shared" si="568"/>
        <v>0</v>
      </c>
      <c r="S8654" s="5">
        <f t="shared" si="571"/>
        <v>70007.077158325032</v>
      </c>
      <c r="T8654" cm="1">
        <f t="array" ref="T8654">IF(OR(B8654="MAL ALIMI", B8654="ÜRETİM GİRİŞ"), MIN(I8654, MAX(0, I8654 + SUM(SUMIFS($I$1:I8653, $C$1:C8653, C8654, $B$1:B8653, {"MAL ALIMI","ÜRETİM GİRİŞ"})) - VLOOKUP(C8654, 'STOK RAPORU'!$C$2:$I$1000, 4, 0))), 0)</f>
        <v>0</v>
      </c>
      <c r="U8654" s="22">
        <f t="shared" si="564"/>
        <v>0</v>
      </c>
      <c r="V8654">
        <f t="shared" si="565"/>
        <v>0</v>
      </c>
      <c r="W8654" s="22">
        <f t="shared" si="566"/>
        <v>0</v>
      </c>
    </row>
    <row r="8655" spans="1:23" hidden="1" x14ac:dyDescent="0.25">
      <c r="A8655" s="4"/>
      <c r="B8655" s="4"/>
      <c r="C8655" s="4"/>
      <c r="D8655" s="4"/>
      <c r="E8655" s="4"/>
      <c r="F8655" s="4"/>
      <c r="G8655" s="4"/>
      <c r="H8655" s="4"/>
      <c r="I8655" s="4"/>
      <c r="J8655" s="21">
        <f>IFERROR(VLOOKUP(C8655,'STOK KARTLARI'!$C$2:$K$2150,8,0),0)</f>
        <v>0</v>
      </c>
      <c r="K8655" s="21">
        <f t="shared" si="567"/>
        <v>0</v>
      </c>
      <c r="L8655" s="5">
        <f t="shared" si="569"/>
        <v>0</v>
      </c>
      <c r="M8655" s="4"/>
      <c r="N8655" s="4"/>
      <c r="O8655" s="5"/>
      <c r="P8655" s="5"/>
      <c r="Q8655" s="21">
        <f t="shared" si="570"/>
        <v>0</v>
      </c>
      <c r="R8655" s="21">
        <f t="shared" si="568"/>
        <v>0</v>
      </c>
      <c r="S8655" s="5">
        <f t="shared" si="571"/>
        <v>70007.077158325032</v>
      </c>
      <c r="T8655" cm="1">
        <f t="array" ref="T8655">IF(OR(B8655="MAL ALIMI", B8655="ÜRETİM GİRİŞ"), MIN(I8655, MAX(0, I8655 + SUM(SUMIFS($I$1:I8654, $C$1:C8654, C8655, $B$1:B8654, {"MAL ALIMI","ÜRETİM GİRİŞ"})) - VLOOKUP(C8655, 'STOK RAPORU'!$C$2:$I$1000, 4, 0))), 0)</f>
        <v>0</v>
      </c>
      <c r="U8655" s="22">
        <f t="shared" si="564"/>
        <v>0</v>
      </c>
      <c r="V8655">
        <f t="shared" si="565"/>
        <v>0</v>
      </c>
      <c r="W8655" s="22">
        <f t="shared" si="566"/>
        <v>0</v>
      </c>
    </row>
    <row r="8656" spans="1:23" hidden="1" x14ac:dyDescent="0.25">
      <c r="A8656" s="4"/>
      <c r="B8656" s="4"/>
      <c r="C8656" s="4"/>
      <c r="D8656" s="4"/>
      <c r="E8656" s="4"/>
      <c r="F8656" s="4"/>
      <c r="G8656" s="4"/>
      <c r="H8656" s="4"/>
      <c r="I8656" s="4"/>
      <c r="J8656" s="21">
        <f>IFERROR(VLOOKUP(C8656,'STOK KARTLARI'!$C$2:$K$2150,8,0),0)</f>
        <v>0</v>
      </c>
      <c r="K8656" s="21">
        <f t="shared" si="567"/>
        <v>0</v>
      </c>
      <c r="L8656" s="5">
        <f t="shared" si="569"/>
        <v>0</v>
      </c>
      <c r="M8656" s="4"/>
      <c r="N8656" s="4"/>
      <c r="O8656" s="5"/>
      <c r="P8656" s="5"/>
      <c r="Q8656" s="21">
        <f t="shared" si="570"/>
        <v>0</v>
      </c>
      <c r="R8656" s="21">
        <f t="shared" si="568"/>
        <v>0</v>
      </c>
      <c r="S8656" s="5">
        <f t="shared" si="571"/>
        <v>70007.077158325032</v>
      </c>
      <c r="T8656" cm="1">
        <f t="array" ref="T8656">IF(OR(B8656="MAL ALIMI", B8656="ÜRETİM GİRİŞ"), MIN(I8656, MAX(0, I8656 + SUM(SUMIFS($I$1:I8655, $C$1:C8655, C8656, $B$1:B8655, {"MAL ALIMI","ÜRETİM GİRİŞ"})) - VLOOKUP(C8656, 'STOK RAPORU'!$C$2:$I$1000, 4, 0))), 0)</f>
        <v>0</v>
      </c>
      <c r="U8656" s="22">
        <f t="shared" si="564"/>
        <v>0</v>
      </c>
      <c r="V8656">
        <f t="shared" si="565"/>
        <v>0</v>
      </c>
      <c r="W8656" s="22">
        <f t="shared" si="566"/>
        <v>0</v>
      </c>
    </row>
    <row r="8657" spans="1:23" hidden="1" x14ac:dyDescent="0.25">
      <c r="A8657" s="4"/>
      <c r="B8657" s="4"/>
      <c r="C8657" s="4"/>
      <c r="D8657" s="4"/>
      <c r="E8657" s="4"/>
      <c r="F8657" s="4"/>
      <c r="G8657" s="4"/>
      <c r="H8657" s="4"/>
      <c r="I8657" s="4"/>
      <c r="J8657" s="21">
        <f>IFERROR(VLOOKUP(C8657,'STOK KARTLARI'!$C$2:$K$2150,8,0),0)</f>
        <v>0</v>
      </c>
      <c r="K8657" s="21">
        <f t="shared" si="567"/>
        <v>0</v>
      </c>
      <c r="L8657" s="5">
        <f t="shared" si="569"/>
        <v>0</v>
      </c>
      <c r="M8657" s="4"/>
      <c r="N8657" s="4"/>
      <c r="O8657" s="5"/>
      <c r="P8657" s="5"/>
      <c r="Q8657" s="21">
        <f t="shared" si="570"/>
        <v>0</v>
      </c>
      <c r="R8657" s="21">
        <f t="shared" si="568"/>
        <v>0</v>
      </c>
      <c r="S8657" s="5">
        <f t="shared" si="571"/>
        <v>70007.077158325032</v>
      </c>
      <c r="T8657" cm="1">
        <f t="array" ref="T8657">IF(OR(B8657="MAL ALIMI", B8657="ÜRETİM GİRİŞ"), MIN(I8657, MAX(0, I8657 + SUM(SUMIFS($I$1:I8656, $C$1:C8656, C8657, $B$1:B8656, {"MAL ALIMI","ÜRETİM GİRİŞ"})) - VLOOKUP(C8657, 'STOK RAPORU'!$C$2:$I$1000, 4, 0))), 0)</f>
        <v>0</v>
      </c>
      <c r="U8657" s="22">
        <f t="shared" si="564"/>
        <v>0</v>
      </c>
      <c r="V8657">
        <f t="shared" si="565"/>
        <v>0</v>
      </c>
      <c r="W8657" s="22">
        <f t="shared" si="566"/>
        <v>0</v>
      </c>
    </row>
    <row r="8658" spans="1:23" hidden="1" x14ac:dyDescent="0.25">
      <c r="A8658" s="4"/>
      <c r="B8658" s="4"/>
      <c r="C8658" s="4"/>
      <c r="D8658" s="4"/>
      <c r="E8658" s="4"/>
      <c r="F8658" s="4"/>
      <c r="G8658" s="4"/>
      <c r="H8658" s="4"/>
      <c r="I8658" s="4"/>
      <c r="J8658" s="21">
        <f>IFERROR(VLOOKUP(C8658,'STOK KARTLARI'!$C$2:$K$2150,8,0),0)</f>
        <v>0</v>
      </c>
      <c r="K8658" s="21">
        <f t="shared" si="567"/>
        <v>0</v>
      </c>
      <c r="L8658" s="5">
        <f t="shared" si="569"/>
        <v>0</v>
      </c>
      <c r="M8658" s="4"/>
      <c r="N8658" s="4"/>
      <c r="O8658" s="5"/>
      <c r="P8658" s="5"/>
      <c r="Q8658" s="21">
        <f t="shared" si="570"/>
        <v>0</v>
      </c>
      <c r="R8658" s="21">
        <f t="shared" si="568"/>
        <v>0</v>
      </c>
      <c r="S8658" s="5">
        <f t="shared" si="571"/>
        <v>70007.077158325032</v>
      </c>
      <c r="T8658" cm="1">
        <f t="array" ref="T8658">IF(OR(B8658="MAL ALIMI", B8658="ÜRETİM GİRİŞ"), MIN(I8658, MAX(0, I8658 + SUM(SUMIFS($I$1:I8657, $C$1:C8657, C8658, $B$1:B8657, {"MAL ALIMI","ÜRETİM GİRİŞ"})) - VLOOKUP(C8658, 'STOK RAPORU'!$C$2:$I$1000, 4, 0))), 0)</f>
        <v>0</v>
      </c>
      <c r="U8658" s="22">
        <f t="shared" si="564"/>
        <v>0</v>
      </c>
      <c r="V8658">
        <f t="shared" si="565"/>
        <v>0</v>
      </c>
      <c r="W8658" s="22">
        <f t="shared" si="566"/>
        <v>0</v>
      </c>
    </row>
    <row r="8659" spans="1:23" hidden="1" x14ac:dyDescent="0.25">
      <c r="A8659" s="3"/>
      <c r="B8659" s="4"/>
      <c r="C8659" s="4"/>
      <c r="D8659" s="4"/>
      <c r="E8659" s="4"/>
      <c r="F8659" s="4"/>
      <c r="G8659" s="4"/>
      <c r="H8659" s="4"/>
      <c r="I8659" s="4"/>
      <c r="J8659" s="21">
        <f>IFERROR(VLOOKUP(C8659,'STOK KARTLARI'!$C$2:$K$2150,8,0),0)</f>
        <v>0</v>
      </c>
      <c r="K8659" s="21">
        <f t="shared" si="567"/>
        <v>0</v>
      </c>
      <c r="L8659" s="5">
        <f t="shared" si="569"/>
        <v>0</v>
      </c>
      <c r="M8659" s="4"/>
      <c r="N8659" s="4"/>
      <c r="O8659" s="5"/>
      <c r="P8659" s="5"/>
      <c r="Q8659" s="21">
        <f t="shared" si="570"/>
        <v>0</v>
      </c>
      <c r="R8659" s="21">
        <f t="shared" si="568"/>
        <v>0</v>
      </c>
      <c r="S8659" s="5">
        <f t="shared" si="571"/>
        <v>70007.077158325032</v>
      </c>
      <c r="T8659" cm="1">
        <f t="array" ref="T8659">IF(OR(B8659="MAL ALIMI", B8659="ÜRETİM GİRİŞ"), MIN(I8659, MAX(0, I8659 + SUM(SUMIFS($I$1:I8658, $C$1:C8658, C8659, $B$1:B8658, {"MAL ALIMI","ÜRETİM GİRİŞ"})) - VLOOKUP(C8659, 'STOK RAPORU'!$C$2:$I$1000, 4, 0))), 0)</f>
        <v>0</v>
      </c>
      <c r="U8659" s="22">
        <f t="shared" si="564"/>
        <v>0</v>
      </c>
      <c r="V8659">
        <f t="shared" si="565"/>
        <v>0</v>
      </c>
      <c r="W8659" s="22">
        <f t="shared" si="566"/>
        <v>0</v>
      </c>
    </row>
    <row r="8660" spans="1:23" hidden="1" x14ac:dyDescent="0.25">
      <c r="A8660" s="4"/>
      <c r="B8660" s="4"/>
      <c r="C8660" s="4"/>
      <c r="D8660" s="4"/>
      <c r="E8660" s="4"/>
      <c r="F8660" s="4"/>
      <c r="G8660" s="4"/>
      <c r="H8660" s="4"/>
      <c r="I8660" s="4"/>
      <c r="J8660" s="21">
        <f>IFERROR(VLOOKUP(C8660,'STOK KARTLARI'!$C$2:$K$2150,8,0),0)</f>
        <v>0</v>
      </c>
      <c r="K8660" s="21">
        <f t="shared" si="567"/>
        <v>0</v>
      </c>
      <c r="L8660" s="5">
        <f t="shared" si="569"/>
        <v>0</v>
      </c>
      <c r="M8660" s="4"/>
      <c r="N8660" s="4"/>
      <c r="O8660" s="5"/>
      <c r="P8660" s="5"/>
      <c r="Q8660" s="21">
        <f t="shared" si="570"/>
        <v>0</v>
      </c>
      <c r="R8660" s="21">
        <f t="shared" si="568"/>
        <v>0</v>
      </c>
      <c r="S8660" s="5">
        <f t="shared" si="571"/>
        <v>70007.077158325032</v>
      </c>
      <c r="T8660" cm="1">
        <f t="array" ref="T8660">IF(OR(B8660="MAL ALIMI", B8660="ÜRETİM GİRİŞ"), MIN(I8660, MAX(0, I8660 + SUM(SUMIFS($I$1:I8659, $C$1:C8659, C8660, $B$1:B8659, {"MAL ALIMI","ÜRETİM GİRİŞ"})) - VLOOKUP(C8660, 'STOK RAPORU'!$C$2:$I$1000, 4, 0))), 0)</f>
        <v>0</v>
      </c>
      <c r="U8660" s="22">
        <f t="shared" si="564"/>
        <v>0</v>
      </c>
      <c r="V8660">
        <f t="shared" si="565"/>
        <v>0</v>
      </c>
      <c r="W8660" s="22">
        <f t="shared" si="566"/>
        <v>0</v>
      </c>
    </row>
    <row r="8661" spans="1:23" hidden="1" x14ac:dyDescent="0.25">
      <c r="A8661" s="4"/>
      <c r="B8661" s="4"/>
      <c r="C8661" s="4"/>
      <c r="D8661" s="4"/>
      <c r="E8661" s="4"/>
      <c r="F8661" s="4"/>
      <c r="G8661" s="4"/>
      <c r="H8661" s="4"/>
      <c r="I8661" s="4"/>
      <c r="J8661" s="21">
        <f>IFERROR(VLOOKUP(C8661,'STOK KARTLARI'!$C$2:$K$2150,8,0),0)</f>
        <v>0</v>
      </c>
      <c r="K8661" s="21">
        <f t="shared" si="567"/>
        <v>0</v>
      </c>
      <c r="L8661" s="5">
        <f t="shared" si="569"/>
        <v>0</v>
      </c>
      <c r="M8661" s="4"/>
      <c r="N8661" s="4"/>
      <c r="O8661" s="5"/>
      <c r="P8661" s="5"/>
      <c r="Q8661" s="21">
        <f t="shared" si="570"/>
        <v>0</v>
      </c>
      <c r="R8661" s="21">
        <f t="shared" si="568"/>
        <v>0</v>
      </c>
      <c r="S8661" s="5">
        <f t="shared" si="571"/>
        <v>70007.077158325032</v>
      </c>
      <c r="T8661" cm="1">
        <f t="array" ref="T8661">IF(OR(B8661="MAL ALIMI", B8661="ÜRETİM GİRİŞ"), MIN(I8661, MAX(0, I8661 + SUM(SUMIFS($I$1:I8660, $C$1:C8660, C8661, $B$1:B8660, {"MAL ALIMI","ÜRETİM GİRİŞ"})) - VLOOKUP(C8661, 'STOK RAPORU'!$C$2:$I$1000, 4, 0))), 0)</f>
        <v>0</v>
      </c>
      <c r="U8661" s="22">
        <f t="shared" si="564"/>
        <v>0</v>
      </c>
      <c r="V8661">
        <f t="shared" si="565"/>
        <v>0</v>
      </c>
      <c r="W8661" s="22">
        <f t="shared" si="566"/>
        <v>0</v>
      </c>
    </row>
    <row r="8662" spans="1:23" hidden="1" x14ac:dyDescent="0.25">
      <c r="A8662" s="4"/>
      <c r="B8662" s="4"/>
      <c r="C8662" s="4"/>
      <c r="D8662" s="4"/>
      <c r="E8662" s="4"/>
      <c r="F8662" s="4"/>
      <c r="G8662" s="4"/>
      <c r="H8662" s="4"/>
      <c r="I8662" s="4"/>
      <c r="J8662" s="21">
        <f>IFERROR(VLOOKUP(C8662,'STOK KARTLARI'!$C$2:$K$2150,8,0),0)</f>
        <v>0</v>
      </c>
      <c r="K8662" s="21">
        <f t="shared" si="567"/>
        <v>0</v>
      </c>
      <c r="L8662" s="5">
        <f t="shared" si="569"/>
        <v>0</v>
      </c>
      <c r="M8662" s="4"/>
      <c r="N8662" s="4"/>
      <c r="O8662" s="5"/>
      <c r="P8662" s="5"/>
      <c r="Q8662" s="21">
        <f t="shared" si="570"/>
        <v>0</v>
      </c>
      <c r="R8662" s="21">
        <f t="shared" si="568"/>
        <v>0</v>
      </c>
      <c r="S8662" s="5">
        <f t="shared" si="571"/>
        <v>70007.077158325032</v>
      </c>
      <c r="T8662" cm="1">
        <f t="array" ref="T8662">IF(OR(B8662="MAL ALIMI", B8662="ÜRETİM GİRİŞ"), MIN(I8662, MAX(0, I8662 + SUM(SUMIFS($I$1:I8661, $C$1:C8661, C8662, $B$1:B8661, {"MAL ALIMI","ÜRETİM GİRİŞ"})) - VLOOKUP(C8662, 'STOK RAPORU'!$C$2:$I$1000, 4, 0))), 0)</f>
        <v>0</v>
      </c>
      <c r="U8662" s="22">
        <f t="shared" si="564"/>
        <v>0</v>
      </c>
      <c r="V8662">
        <f t="shared" si="565"/>
        <v>0</v>
      </c>
      <c r="W8662" s="22">
        <f t="shared" si="566"/>
        <v>0</v>
      </c>
    </row>
    <row r="8663" spans="1:23" hidden="1" x14ac:dyDescent="0.25">
      <c r="A8663" s="4"/>
      <c r="B8663" s="4"/>
      <c r="C8663" s="4"/>
      <c r="D8663" s="4"/>
      <c r="E8663" s="4"/>
      <c r="F8663" s="4"/>
      <c r="G8663" s="4"/>
      <c r="H8663" s="4"/>
      <c r="I8663" s="4"/>
      <c r="J8663" s="21">
        <f>IFERROR(VLOOKUP(C8663,'STOK KARTLARI'!$C$2:$K$2150,8,0),0)</f>
        <v>0</v>
      </c>
      <c r="K8663" s="21">
        <f t="shared" si="567"/>
        <v>0</v>
      </c>
      <c r="L8663" s="5">
        <f t="shared" si="569"/>
        <v>0</v>
      </c>
      <c r="M8663" s="4"/>
      <c r="N8663" s="4"/>
      <c r="O8663" s="5"/>
      <c r="P8663" s="5"/>
      <c r="Q8663" s="21">
        <f t="shared" si="570"/>
        <v>0</v>
      </c>
      <c r="R8663" s="21">
        <f t="shared" si="568"/>
        <v>0</v>
      </c>
      <c r="S8663" s="5">
        <f t="shared" si="571"/>
        <v>70007.077158325032</v>
      </c>
      <c r="T8663" cm="1">
        <f t="array" ref="T8663">IF(OR(B8663="MAL ALIMI", B8663="ÜRETİM GİRİŞ"), MIN(I8663, MAX(0, I8663 + SUM(SUMIFS($I$1:I8662, $C$1:C8662, C8663, $B$1:B8662, {"MAL ALIMI","ÜRETİM GİRİŞ"})) - VLOOKUP(C8663, 'STOK RAPORU'!$C$2:$I$1000, 4, 0))), 0)</f>
        <v>0</v>
      </c>
      <c r="U8663" s="22">
        <f t="shared" si="564"/>
        <v>0</v>
      </c>
      <c r="V8663">
        <f t="shared" si="565"/>
        <v>0</v>
      </c>
      <c r="W8663" s="22">
        <f t="shared" si="566"/>
        <v>0</v>
      </c>
    </row>
    <row r="8664" spans="1:23" hidden="1" x14ac:dyDescent="0.25">
      <c r="A8664" s="4"/>
      <c r="B8664" s="4"/>
      <c r="C8664" s="4"/>
      <c r="D8664" s="4"/>
      <c r="E8664" s="4"/>
      <c r="F8664" s="4"/>
      <c r="G8664" s="4"/>
      <c r="H8664" s="4"/>
      <c r="I8664" s="4"/>
      <c r="J8664" s="21">
        <f>IFERROR(VLOOKUP(C8664,'STOK KARTLARI'!$C$2:$K$2150,8,0),0)</f>
        <v>0</v>
      </c>
      <c r="K8664" s="21">
        <f t="shared" si="567"/>
        <v>0</v>
      </c>
      <c r="L8664" s="5">
        <f t="shared" si="569"/>
        <v>0</v>
      </c>
      <c r="M8664" s="4"/>
      <c r="N8664" s="4"/>
      <c r="O8664" s="5"/>
      <c r="P8664" s="5"/>
      <c r="Q8664" s="21">
        <f t="shared" si="570"/>
        <v>0</v>
      </c>
      <c r="R8664" s="21">
        <f t="shared" si="568"/>
        <v>0</v>
      </c>
      <c r="S8664" s="5">
        <f t="shared" si="571"/>
        <v>70007.077158325032</v>
      </c>
      <c r="T8664" cm="1">
        <f t="array" ref="T8664">IF(OR(B8664="MAL ALIMI", B8664="ÜRETİM GİRİŞ"), MIN(I8664, MAX(0, I8664 + SUM(SUMIFS($I$1:I8663, $C$1:C8663, C8664, $B$1:B8663, {"MAL ALIMI","ÜRETİM GİRİŞ"})) - VLOOKUP(C8664, 'STOK RAPORU'!$C$2:$I$1000, 4, 0))), 0)</f>
        <v>0</v>
      </c>
      <c r="U8664" s="22">
        <f t="shared" si="564"/>
        <v>0</v>
      </c>
      <c r="V8664">
        <f t="shared" si="565"/>
        <v>0</v>
      </c>
      <c r="W8664" s="22">
        <f t="shared" si="566"/>
        <v>0</v>
      </c>
    </row>
    <row r="8665" spans="1:23" hidden="1" x14ac:dyDescent="0.25">
      <c r="A8665" s="4"/>
      <c r="B8665" s="4"/>
      <c r="C8665" s="4"/>
      <c r="D8665" s="4"/>
      <c r="E8665" s="4"/>
      <c r="F8665" s="4"/>
      <c r="G8665" s="4"/>
      <c r="H8665" s="4"/>
      <c r="I8665" s="4"/>
      <c r="J8665" s="21">
        <f>IFERROR(VLOOKUP(C8665,'STOK KARTLARI'!$C$2:$K$2150,8,0),0)</f>
        <v>0</v>
      </c>
      <c r="K8665" s="21">
        <f t="shared" si="567"/>
        <v>0</v>
      </c>
      <c r="L8665" s="5">
        <f t="shared" si="569"/>
        <v>0</v>
      </c>
      <c r="M8665" s="4"/>
      <c r="N8665" s="4"/>
      <c r="O8665" s="5"/>
      <c r="P8665" s="5"/>
      <c r="Q8665" s="21">
        <f t="shared" si="570"/>
        <v>0</v>
      </c>
      <c r="R8665" s="21">
        <f t="shared" si="568"/>
        <v>0</v>
      </c>
      <c r="S8665" s="5">
        <f t="shared" si="571"/>
        <v>70007.077158325032</v>
      </c>
      <c r="T8665" cm="1">
        <f t="array" ref="T8665">IF(OR(B8665="MAL ALIMI", B8665="ÜRETİM GİRİŞ"), MIN(I8665, MAX(0, I8665 + SUM(SUMIFS($I$1:I8664, $C$1:C8664, C8665, $B$1:B8664, {"MAL ALIMI","ÜRETİM GİRİŞ"})) - VLOOKUP(C8665, 'STOK RAPORU'!$C$2:$I$1000, 4, 0))), 0)</f>
        <v>0</v>
      </c>
      <c r="U8665" s="22">
        <f t="shared" si="564"/>
        <v>0</v>
      </c>
      <c r="V8665">
        <f t="shared" si="565"/>
        <v>0</v>
      </c>
      <c r="W8665" s="22">
        <f t="shared" si="566"/>
        <v>0</v>
      </c>
    </row>
    <row r="8666" spans="1:23" hidden="1" x14ac:dyDescent="0.25">
      <c r="A8666" s="3"/>
      <c r="B8666" s="4"/>
      <c r="C8666" s="4"/>
      <c r="D8666" s="4"/>
      <c r="E8666" s="4"/>
      <c r="F8666" s="4"/>
      <c r="G8666" s="4"/>
      <c r="H8666" s="4"/>
      <c r="I8666" s="4"/>
      <c r="J8666" s="21">
        <f>IFERROR(VLOOKUP(C8666,'STOK KARTLARI'!$C$2:$K$2150,8,0),0)</f>
        <v>0</v>
      </c>
      <c r="K8666" s="21">
        <f t="shared" si="567"/>
        <v>0</v>
      </c>
      <c r="L8666" s="5">
        <f t="shared" si="569"/>
        <v>0</v>
      </c>
      <c r="M8666" s="4"/>
      <c r="N8666" s="4"/>
      <c r="O8666" s="5"/>
      <c r="P8666" s="5"/>
      <c r="Q8666" s="21">
        <f t="shared" si="570"/>
        <v>0</v>
      </c>
      <c r="R8666" s="21">
        <f t="shared" si="568"/>
        <v>0</v>
      </c>
      <c r="S8666" s="5">
        <f t="shared" si="571"/>
        <v>70007.077158325032</v>
      </c>
      <c r="T8666" cm="1">
        <f t="array" ref="T8666">IF(OR(B8666="MAL ALIMI", B8666="ÜRETİM GİRİŞ"), MIN(I8666, MAX(0, I8666 + SUM(SUMIFS($I$1:I8665, $C$1:C8665, C8666, $B$1:B8665, {"MAL ALIMI","ÜRETİM GİRİŞ"})) - VLOOKUP(C8666, 'STOK RAPORU'!$C$2:$I$1000, 4, 0))), 0)</f>
        <v>0</v>
      </c>
      <c r="U8666" s="22">
        <f t="shared" si="564"/>
        <v>0</v>
      </c>
      <c r="V8666">
        <f t="shared" si="565"/>
        <v>0</v>
      </c>
      <c r="W8666" s="22">
        <f t="shared" si="566"/>
        <v>0</v>
      </c>
    </row>
    <row r="8667" spans="1:23" hidden="1" x14ac:dyDescent="0.25">
      <c r="A8667" s="4"/>
      <c r="B8667" s="4"/>
      <c r="C8667" s="4"/>
      <c r="D8667" s="4"/>
      <c r="E8667" s="4"/>
      <c r="F8667" s="4"/>
      <c r="G8667" s="4"/>
      <c r="H8667" s="4"/>
      <c r="I8667" s="4"/>
      <c r="J8667" s="21">
        <f>IFERROR(VLOOKUP(C8667,'STOK KARTLARI'!$C$2:$K$2150,8,0),0)</f>
        <v>0</v>
      </c>
      <c r="K8667" s="21">
        <f t="shared" si="567"/>
        <v>0</v>
      </c>
      <c r="L8667" s="5">
        <f t="shared" si="569"/>
        <v>0</v>
      </c>
      <c r="M8667" s="4"/>
      <c r="N8667" s="4"/>
      <c r="O8667" s="5"/>
      <c r="P8667" s="5"/>
      <c r="Q8667" s="21">
        <f t="shared" si="570"/>
        <v>0</v>
      </c>
      <c r="R8667" s="21">
        <f t="shared" si="568"/>
        <v>0</v>
      </c>
      <c r="S8667" s="5">
        <f t="shared" si="571"/>
        <v>70007.077158325032</v>
      </c>
      <c r="T8667" cm="1">
        <f t="array" ref="T8667">IF(OR(B8667="MAL ALIMI", B8667="ÜRETİM GİRİŞ"), MIN(I8667, MAX(0, I8667 + SUM(SUMIFS($I$1:I8666, $C$1:C8666, C8667, $B$1:B8666, {"MAL ALIMI","ÜRETİM GİRİŞ"})) - VLOOKUP(C8667, 'STOK RAPORU'!$C$2:$I$1000, 4, 0))), 0)</f>
        <v>0</v>
      </c>
      <c r="U8667" s="22">
        <f t="shared" si="564"/>
        <v>0</v>
      </c>
      <c r="V8667">
        <f t="shared" si="565"/>
        <v>0</v>
      </c>
      <c r="W8667" s="22">
        <f t="shared" si="566"/>
        <v>0</v>
      </c>
    </row>
    <row r="8668" spans="1:23" hidden="1" x14ac:dyDescent="0.25">
      <c r="A8668" s="4"/>
      <c r="B8668" s="4"/>
      <c r="C8668" s="4"/>
      <c r="D8668" s="4"/>
      <c r="E8668" s="4"/>
      <c r="F8668" s="4"/>
      <c r="G8668" s="4"/>
      <c r="H8668" s="4"/>
      <c r="I8668" s="4"/>
      <c r="J8668" s="21">
        <f>IFERROR(VLOOKUP(C8668,'STOK KARTLARI'!$C$2:$K$2150,8,0),0)</f>
        <v>0</v>
      </c>
      <c r="K8668" s="21">
        <f t="shared" si="567"/>
        <v>0</v>
      </c>
      <c r="L8668" s="5">
        <f t="shared" si="569"/>
        <v>0</v>
      </c>
      <c r="M8668" s="4"/>
      <c r="N8668" s="4"/>
      <c r="O8668" s="5"/>
      <c r="P8668" s="5"/>
      <c r="Q8668" s="21">
        <f t="shared" si="570"/>
        <v>0</v>
      </c>
      <c r="R8668" s="21">
        <f t="shared" si="568"/>
        <v>0</v>
      </c>
      <c r="S8668" s="5">
        <f t="shared" si="571"/>
        <v>70007.077158325032</v>
      </c>
      <c r="T8668" cm="1">
        <f t="array" ref="T8668">IF(OR(B8668="MAL ALIMI", B8668="ÜRETİM GİRİŞ"), MIN(I8668, MAX(0, I8668 + SUM(SUMIFS($I$1:I8667, $C$1:C8667, C8668, $B$1:B8667, {"MAL ALIMI","ÜRETİM GİRİŞ"})) - VLOOKUP(C8668, 'STOK RAPORU'!$C$2:$I$1000, 4, 0))), 0)</f>
        <v>0</v>
      </c>
      <c r="U8668" s="22">
        <f t="shared" si="564"/>
        <v>0</v>
      </c>
      <c r="V8668">
        <f t="shared" si="565"/>
        <v>0</v>
      </c>
      <c r="W8668" s="22">
        <f t="shared" si="566"/>
        <v>0</v>
      </c>
    </row>
    <row r="8669" spans="1:23" hidden="1" x14ac:dyDescent="0.25">
      <c r="A8669" s="4"/>
      <c r="B8669" s="4"/>
      <c r="C8669" s="4"/>
      <c r="D8669" s="4"/>
      <c r="E8669" s="4"/>
      <c r="F8669" s="4"/>
      <c r="G8669" s="4"/>
      <c r="H8669" s="4"/>
      <c r="I8669" s="4"/>
      <c r="J8669" s="21">
        <f>IFERROR(VLOOKUP(C8669,'STOK KARTLARI'!$C$2:$K$2150,8,0),0)</f>
        <v>0</v>
      </c>
      <c r="K8669" s="21">
        <f t="shared" si="567"/>
        <v>0</v>
      </c>
      <c r="L8669" s="5">
        <f t="shared" si="569"/>
        <v>0</v>
      </c>
      <c r="M8669" s="4"/>
      <c r="N8669" s="4"/>
      <c r="O8669" s="5"/>
      <c r="P8669" s="5"/>
      <c r="Q8669" s="21">
        <f t="shared" si="570"/>
        <v>0</v>
      </c>
      <c r="R8669" s="21">
        <f t="shared" si="568"/>
        <v>0</v>
      </c>
      <c r="S8669" s="5">
        <f t="shared" si="571"/>
        <v>70007.077158325032</v>
      </c>
      <c r="T8669" cm="1">
        <f t="array" ref="T8669">IF(OR(B8669="MAL ALIMI", B8669="ÜRETİM GİRİŞ"), MIN(I8669, MAX(0, I8669 + SUM(SUMIFS($I$1:I8668, $C$1:C8668, C8669, $B$1:B8668, {"MAL ALIMI","ÜRETİM GİRİŞ"})) - VLOOKUP(C8669, 'STOK RAPORU'!$C$2:$I$1000, 4, 0))), 0)</f>
        <v>0</v>
      </c>
      <c r="U8669" s="22">
        <f t="shared" si="564"/>
        <v>0</v>
      </c>
      <c r="V8669">
        <f t="shared" si="565"/>
        <v>0</v>
      </c>
      <c r="W8669" s="22">
        <f t="shared" si="566"/>
        <v>0</v>
      </c>
    </row>
    <row r="8670" spans="1:23" hidden="1" x14ac:dyDescent="0.25">
      <c r="A8670" s="4"/>
      <c r="B8670" s="4"/>
      <c r="C8670" s="4"/>
      <c r="D8670" s="4"/>
      <c r="E8670" s="4"/>
      <c r="F8670" s="4"/>
      <c r="G8670" s="4"/>
      <c r="H8670" s="4"/>
      <c r="I8670" s="4"/>
      <c r="J8670" s="21">
        <f>IFERROR(VLOOKUP(C8670,'STOK KARTLARI'!$C$2:$K$2150,8,0),0)</f>
        <v>0</v>
      </c>
      <c r="K8670" s="21">
        <f t="shared" si="567"/>
        <v>0</v>
      </c>
      <c r="L8670" s="5">
        <f t="shared" si="569"/>
        <v>0</v>
      </c>
      <c r="M8670" s="4"/>
      <c r="N8670" s="4"/>
      <c r="O8670" s="5"/>
      <c r="P8670" s="5"/>
      <c r="Q8670" s="21">
        <f t="shared" si="570"/>
        <v>0</v>
      </c>
      <c r="R8670" s="21">
        <f t="shared" si="568"/>
        <v>0</v>
      </c>
      <c r="S8670" s="5">
        <f t="shared" si="571"/>
        <v>70007.077158325032</v>
      </c>
      <c r="T8670" cm="1">
        <f t="array" ref="T8670">IF(OR(B8670="MAL ALIMI", B8670="ÜRETİM GİRİŞ"), MIN(I8670, MAX(0, I8670 + SUM(SUMIFS($I$1:I8669, $C$1:C8669, C8670, $B$1:B8669, {"MAL ALIMI","ÜRETİM GİRİŞ"})) - VLOOKUP(C8670, 'STOK RAPORU'!$C$2:$I$1000, 4, 0))), 0)</f>
        <v>0</v>
      </c>
      <c r="U8670" s="22">
        <f t="shared" si="564"/>
        <v>0</v>
      </c>
      <c r="V8670">
        <f t="shared" si="565"/>
        <v>0</v>
      </c>
      <c r="W8670" s="22">
        <f t="shared" si="566"/>
        <v>0</v>
      </c>
    </row>
    <row r="8671" spans="1:23" hidden="1" x14ac:dyDescent="0.25">
      <c r="A8671" s="4"/>
      <c r="B8671" s="4"/>
      <c r="C8671" s="4"/>
      <c r="D8671" s="4"/>
      <c r="E8671" s="4"/>
      <c r="F8671" s="4"/>
      <c r="G8671" s="4"/>
      <c r="H8671" s="4"/>
      <c r="I8671" s="4"/>
      <c r="J8671" s="21">
        <f>IFERROR(VLOOKUP(C8671,'STOK KARTLARI'!$C$2:$K$2150,8,0),0)</f>
        <v>0</v>
      </c>
      <c r="K8671" s="21">
        <f t="shared" si="567"/>
        <v>0</v>
      </c>
      <c r="L8671" s="5">
        <f t="shared" si="569"/>
        <v>0</v>
      </c>
      <c r="M8671" s="4"/>
      <c r="N8671" s="4"/>
      <c r="O8671" s="5"/>
      <c r="P8671" s="5"/>
      <c r="Q8671" s="21">
        <f t="shared" si="570"/>
        <v>0</v>
      </c>
      <c r="R8671" s="21">
        <f t="shared" si="568"/>
        <v>0</v>
      </c>
      <c r="S8671" s="5">
        <f t="shared" si="571"/>
        <v>70007.077158325032</v>
      </c>
      <c r="T8671" cm="1">
        <f t="array" ref="T8671">IF(OR(B8671="MAL ALIMI", B8671="ÜRETİM GİRİŞ"), MIN(I8671, MAX(0, I8671 + SUM(SUMIFS($I$1:I8670, $C$1:C8670, C8671, $B$1:B8670, {"MAL ALIMI","ÜRETİM GİRİŞ"})) - VLOOKUP(C8671, 'STOK RAPORU'!$C$2:$I$1000, 4, 0))), 0)</f>
        <v>0</v>
      </c>
      <c r="U8671" s="22">
        <f t="shared" si="564"/>
        <v>0</v>
      </c>
      <c r="V8671">
        <f t="shared" si="565"/>
        <v>0</v>
      </c>
      <c r="W8671" s="22">
        <f t="shared" si="566"/>
        <v>0</v>
      </c>
    </row>
    <row r="8672" spans="1:23" hidden="1" x14ac:dyDescent="0.25">
      <c r="A8672" s="4"/>
      <c r="B8672" s="4"/>
      <c r="C8672" s="4"/>
      <c r="D8672" s="4"/>
      <c r="E8672" s="4"/>
      <c r="F8672" s="4"/>
      <c r="G8672" s="4"/>
      <c r="H8672" s="4"/>
      <c r="I8672" s="4"/>
      <c r="J8672" s="21">
        <f>IFERROR(VLOOKUP(C8672,'STOK KARTLARI'!$C$2:$K$2150,8,0),0)</f>
        <v>0</v>
      </c>
      <c r="K8672" s="21">
        <f t="shared" si="567"/>
        <v>0</v>
      </c>
      <c r="L8672" s="5">
        <f t="shared" si="569"/>
        <v>0</v>
      </c>
      <c r="M8672" s="4"/>
      <c r="N8672" s="4"/>
      <c r="O8672" s="5"/>
      <c r="P8672" s="5"/>
      <c r="Q8672" s="21">
        <f t="shared" si="570"/>
        <v>0</v>
      </c>
      <c r="R8672" s="21">
        <f t="shared" si="568"/>
        <v>0</v>
      </c>
      <c r="S8672" s="5">
        <f t="shared" si="571"/>
        <v>70007.077158325032</v>
      </c>
      <c r="T8672" cm="1">
        <f t="array" ref="T8672">IF(OR(B8672="MAL ALIMI", B8672="ÜRETİM GİRİŞ"), MIN(I8672, MAX(0, I8672 + SUM(SUMIFS($I$1:I8671, $C$1:C8671, C8672, $B$1:B8671, {"MAL ALIMI","ÜRETİM GİRİŞ"})) - VLOOKUP(C8672, 'STOK RAPORU'!$C$2:$I$1000, 4, 0))), 0)</f>
        <v>0</v>
      </c>
      <c r="U8672" s="22">
        <f t="shared" si="564"/>
        <v>0</v>
      </c>
      <c r="V8672">
        <f t="shared" si="565"/>
        <v>0</v>
      </c>
      <c r="W8672" s="22">
        <f t="shared" si="566"/>
        <v>0</v>
      </c>
    </row>
    <row r="8673" spans="1:23" hidden="1" x14ac:dyDescent="0.25">
      <c r="A8673" s="3"/>
      <c r="B8673" s="4"/>
      <c r="C8673" s="4"/>
      <c r="D8673" s="4"/>
      <c r="E8673" s="4"/>
      <c r="F8673" s="4"/>
      <c r="G8673" s="4"/>
      <c r="H8673" s="4"/>
      <c r="I8673" s="4"/>
      <c r="J8673" s="21">
        <f>IFERROR(VLOOKUP(C8673,'STOK KARTLARI'!$C$2:$K$2150,8,0),0)</f>
        <v>0</v>
      </c>
      <c r="K8673" s="21">
        <f t="shared" si="567"/>
        <v>0</v>
      </c>
      <c r="L8673" s="5">
        <f t="shared" si="569"/>
        <v>0</v>
      </c>
      <c r="M8673" s="4"/>
      <c r="N8673" s="4"/>
      <c r="O8673" s="5"/>
      <c r="P8673" s="5"/>
      <c r="Q8673" s="21">
        <f t="shared" si="570"/>
        <v>0</v>
      </c>
      <c r="R8673" s="21">
        <f t="shared" si="568"/>
        <v>0</v>
      </c>
      <c r="S8673" s="5">
        <f t="shared" si="571"/>
        <v>70007.077158325032</v>
      </c>
      <c r="T8673" cm="1">
        <f t="array" ref="T8673">IF(OR(B8673="MAL ALIMI", B8673="ÜRETİM GİRİŞ"), MIN(I8673, MAX(0, I8673 + SUM(SUMIFS($I$1:I8672, $C$1:C8672, C8673, $B$1:B8672, {"MAL ALIMI","ÜRETİM GİRİŞ"})) - VLOOKUP(C8673, 'STOK RAPORU'!$C$2:$I$1000, 4, 0))), 0)</f>
        <v>0</v>
      </c>
      <c r="U8673" s="22">
        <f t="shared" si="564"/>
        <v>0</v>
      </c>
      <c r="V8673">
        <f t="shared" si="565"/>
        <v>0</v>
      </c>
      <c r="W8673" s="22">
        <f t="shared" si="566"/>
        <v>0</v>
      </c>
    </row>
    <row r="8674" spans="1:23" hidden="1" x14ac:dyDescent="0.25">
      <c r="A8674" s="4"/>
      <c r="B8674" s="4"/>
      <c r="C8674" s="4"/>
      <c r="D8674" s="4"/>
      <c r="E8674" s="4"/>
      <c r="F8674" s="4"/>
      <c r="G8674" s="4"/>
      <c r="H8674" s="4"/>
      <c r="I8674" s="4"/>
      <c r="J8674" s="21">
        <f>IFERROR(VLOOKUP(C8674,'STOK KARTLARI'!$C$2:$K$2150,8,0),0)</f>
        <v>0</v>
      </c>
      <c r="K8674" s="21">
        <f t="shared" si="567"/>
        <v>0</v>
      </c>
      <c r="L8674" s="5">
        <f t="shared" si="569"/>
        <v>0</v>
      </c>
      <c r="M8674" s="4"/>
      <c r="N8674" s="4"/>
      <c r="O8674" s="5"/>
      <c r="P8674" s="5"/>
      <c r="Q8674" s="21">
        <f t="shared" si="570"/>
        <v>0</v>
      </c>
      <c r="R8674" s="21">
        <f t="shared" si="568"/>
        <v>0</v>
      </c>
      <c r="S8674" s="5">
        <f t="shared" si="571"/>
        <v>70007.077158325032</v>
      </c>
      <c r="T8674" cm="1">
        <f t="array" ref="T8674">IF(OR(B8674="MAL ALIMI", B8674="ÜRETİM GİRİŞ"), MIN(I8674, MAX(0, I8674 + SUM(SUMIFS($I$1:I8673, $C$1:C8673, C8674, $B$1:B8673, {"MAL ALIMI","ÜRETİM GİRİŞ"})) - VLOOKUP(C8674, 'STOK RAPORU'!$C$2:$I$1000, 4, 0))), 0)</f>
        <v>0</v>
      </c>
      <c r="U8674" s="22">
        <f t="shared" si="564"/>
        <v>0</v>
      </c>
      <c r="V8674">
        <f t="shared" si="565"/>
        <v>0</v>
      </c>
      <c r="W8674" s="22">
        <f t="shared" si="566"/>
        <v>0</v>
      </c>
    </row>
    <row r="8675" spans="1:23" hidden="1" x14ac:dyDescent="0.25">
      <c r="A8675" s="4"/>
      <c r="B8675" s="4"/>
      <c r="C8675" s="4"/>
      <c r="D8675" s="4"/>
      <c r="E8675" s="4"/>
      <c r="F8675" s="4"/>
      <c r="G8675" s="4"/>
      <c r="H8675" s="4"/>
      <c r="I8675" s="4"/>
      <c r="J8675" s="21">
        <f>IFERROR(VLOOKUP(C8675,'STOK KARTLARI'!$C$2:$K$2150,8,0),0)</f>
        <v>0</v>
      </c>
      <c r="K8675" s="21">
        <f t="shared" si="567"/>
        <v>0</v>
      </c>
      <c r="L8675" s="5">
        <f t="shared" si="569"/>
        <v>0</v>
      </c>
      <c r="M8675" s="4"/>
      <c r="N8675" s="4"/>
      <c r="O8675" s="5"/>
      <c r="P8675" s="5"/>
      <c r="Q8675" s="21">
        <f t="shared" si="570"/>
        <v>0</v>
      </c>
      <c r="R8675" s="21">
        <f t="shared" si="568"/>
        <v>0</v>
      </c>
      <c r="S8675" s="5">
        <f t="shared" si="571"/>
        <v>70007.077158325032</v>
      </c>
      <c r="T8675" cm="1">
        <f t="array" ref="T8675">IF(OR(B8675="MAL ALIMI", B8675="ÜRETİM GİRİŞ"), MIN(I8675, MAX(0, I8675 + SUM(SUMIFS($I$1:I8674, $C$1:C8674, C8675, $B$1:B8674, {"MAL ALIMI","ÜRETİM GİRİŞ"})) - VLOOKUP(C8675, 'STOK RAPORU'!$C$2:$I$1000, 4, 0))), 0)</f>
        <v>0</v>
      </c>
      <c r="U8675" s="22">
        <f t="shared" si="564"/>
        <v>0</v>
      </c>
      <c r="V8675">
        <f t="shared" si="565"/>
        <v>0</v>
      </c>
      <c r="W8675" s="22">
        <f t="shared" si="566"/>
        <v>0</v>
      </c>
    </row>
    <row r="8676" spans="1:23" hidden="1" x14ac:dyDescent="0.25">
      <c r="A8676" s="4"/>
      <c r="B8676" s="4"/>
      <c r="C8676" s="4"/>
      <c r="D8676" s="4"/>
      <c r="E8676" s="4"/>
      <c r="F8676" s="4"/>
      <c r="G8676" s="4"/>
      <c r="H8676" s="4"/>
      <c r="I8676" s="4"/>
      <c r="J8676" s="21">
        <f>IFERROR(VLOOKUP(C8676,'STOK KARTLARI'!$C$2:$K$2150,8,0),0)</f>
        <v>0</v>
      </c>
      <c r="K8676" s="21">
        <f t="shared" si="567"/>
        <v>0</v>
      </c>
      <c r="L8676" s="5">
        <f t="shared" si="569"/>
        <v>0</v>
      </c>
      <c r="M8676" s="4"/>
      <c r="N8676" s="4"/>
      <c r="O8676" s="5"/>
      <c r="P8676" s="5"/>
      <c r="Q8676" s="21">
        <f t="shared" si="570"/>
        <v>0</v>
      </c>
      <c r="R8676" s="21">
        <f t="shared" si="568"/>
        <v>0</v>
      </c>
      <c r="S8676" s="5">
        <f t="shared" si="571"/>
        <v>70007.077158325032</v>
      </c>
      <c r="T8676" cm="1">
        <f t="array" ref="T8676">IF(OR(B8676="MAL ALIMI", B8676="ÜRETİM GİRİŞ"), MIN(I8676, MAX(0, I8676 + SUM(SUMIFS($I$1:I8675, $C$1:C8675, C8676, $B$1:B8675, {"MAL ALIMI","ÜRETİM GİRİŞ"})) - VLOOKUP(C8676, 'STOK RAPORU'!$C$2:$I$1000, 4, 0))), 0)</f>
        <v>0</v>
      </c>
      <c r="U8676" s="22">
        <f t="shared" si="564"/>
        <v>0</v>
      </c>
      <c r="V8676">
        <f t="shared" si="565"/>
        <v>0</v>
      </c>
      <c r="W8676" s="22">
        <f t="shared" si="566"/>
        <v>0</v>
      </c>
    </row>
    <row r="8677" spans="1:23" hidden="1" x14ac:dyDescent="0.25">
      <c r="A8677" s="4"/>
      <c r="B8677" s="4"/>
      <c r="C8677" s="4"/>
      <c r="D8677" s="4"/>
      <c r="E8677" s="4"/>
      <c r="F8677" s="4"/>
      <c r="G8677" s="4"/>
      <c r="H8677" s="4"/>
      <c r="I8677" s="4"/>
      <c r="J8677" s="21">
        <f>IFERROR(VLOOKUP(C8677,'STOK KARTLARI'!$C$2:$K$2150,8,0),0)</f>
        <v>0</v>
      </c>
      <c r="K8677" s="21">
        <f t="shared" si="567"/>
        <v>0</v>
      </c>
      <c r="L8677" s="5">
        <f t="shared" si="569"/>
        <v>0</v>
      </c>
      <c r="M8677" s="4"/>
      <c r="N8677" s="4"/>
      <c r="O8677" s="5"/>
      <c r="P8677" s="5"/>
      <c r="Q8677" s="21">
        <f t="shared" si="570"/>
        <v>0</v>
      </c>
      <c r="R8677" s="21">
        <f t="shared" si="568"/>
        <v>0</v>
      </c>
      <c r="S8677" s="5">
        <f t="shared" si="571"/>
        <v>70007.077158325032</v>
      </c>
      <c r="T8677" cm="1">
        <f t="array" ref="T8677">IF(OR(B8677="MAL ALIMI", B8677="ÜRETİM GİRİŞ"), MIN(I8677, MAX(0, I8677 + SUM(SUMIFS($I$1:I8676, $C$1:C8676, C8677, $B$1:B8676, {"MAL ALIMI","ÜRETİM GİRİŞ"})) - VLOOKUP(C8677, 'STOK RAPORU'!$C$2:$I$1000, 4, 0))), 0)</f>
        <v>0</v>
      </c>
      <c r="U8677" s="22">
        <f t="shared" si="564"/>
        <v>0</v>
      </c>
      <c r="V8677">
        <f t="shared" si="565"/>
        <v>0</v>
      </c>
      <c r="W8677" s="22">
        <f t="shared" si="566"/>
        <v>0</v>
      </c>
    </row>
    <row r="8678" spans="1:23" hidden="1" x14ac:dyDescent="0.25">
      <c r="A8678" s="4"/>
      <c r="B8678" s="4"/>
      <c r="C8678" s="4"/>
      <c r="D8678" s="4"/>
      <c r="E8678" s="4"/>
      <c r="F8678" s="4"/>
      <c r="G8678" s="4"/>
      <c r="H8678" s="4"/>
      <c r="I8678" s="4"/>
      <c r="J8678" s="21">
        <f>IFERROR(VLOOKUP(C8678,'STOK KARTLARI'!$C$2:$K$2150,8,0),0)</f>
        <v>0</v>
      </c>
      <c r="K8678" s="21">
        <f t="shared" si="567"/>
        <v>0</v>
      </c>
      <c r="L8678" s="5">
        <f t="shared" si="569"/>
        <v>0</v>
      </c>
      <c r="M8678" s="4"/>
      <c r="N8678" s="4"/>
      <c r="O8678" s="5"/>
      <c r="P8678" s="5"/>
      <c r="Q8678" s="21">
        <f t="shared" si="570"/>
        <v>0</v>
      </c>
      <c r="R8678" s="21">
        <f t="shared" si="568"/>
        <v>0</v>
      </c>
      <c r="S8678" s="5">
        <f t="shared" si="571"/>
        <v>70007.077158325032</v>
      </c>
      <c r="T8678" cm="1">
        <f t="array" ref="T8678">IF(OR(B8678="MAL ALIMI", B8678="ÜRETİM GİRİŞ"), MIN(I8678, MAX(0, I8678 + SUM(SUMIFS($I$1:I8677, $C$1:C8677, C8678, $B$1:B8677, {"MAL ALIMI","ÜRETİM GİRİŞ"})) - VLOOKUP(C8678, 'STOK RAPORU'!$C$2:$I$1000, 4, 0))), 0)</f>
        <v>0</v>
      </c>
      <c r="U8678" s="22">
        <f t="shared" si="564"/>
        <v>0</v>
      </c>
      <c r="V8678">
        <f t="shared" si="565"/>
        <v>0</v>
      </c>
      <c r="W8678" s="22">
        <f t="shared" si="566"/>
        <v>0</v>
      </c>
    </row>
    <row r="8679" spans="1:23" hidden="1" x14ac:dyDescent="0.25">
      <c r="A8679" s="4"/>
      <c r="B8679" s="4"/>
      <c r="C8679" s="4"/>
      <c r="D8679" s="4"/>
      <c r="E8679" s="4"/>
      <c r="F8679" s="4"/>
      <c r="G8679" s="4"/>
      <c r="H8679" s="4"/>
      <c r="I8679" s="4"/>
      <c r="J8679" s="21">
        <f>IFERROR(VLOOKUP(C8679,'STOK KARTLARI'!$C$2:$K$2150,8,0),0)</f>
        <v>0</v>
      </c>
      <c r="K8679" s="21">
        <f t="shared" si="567"/>
        <v>0</v>
      </c>
      <c r="L8679" s="5">
        <f t="shared" si="569"/>
        <v>0</v>
      </c>
      <c r="M8679" s="4"/>
      <c r="N8679" s="4"/>
      <c r="O8679" s="5"/>
      <c r="P8679" s="5"/>
      <c r="Q8679" s="21">
        <f t="shared" si="570"/>
        <v>0</v>
      </c>
      <c r="R8679" s="21">
        <f t="shared" si="568"/>
        <v>0</v>
      </c>
      <c r="S8679" s="5">
        <f t="shared" si="571"/>
        <v>70007.077158325032</v>
      </c>
      <c r="T8679" cm="1">
        <f t="array" ref="T8679">IF(OR(B8679="MAL ALIMI", B8679="ÜRETİM GİRİŞ"), MIN(I8679, MAX(0, I8679 + SUM(SUMIFS($I$1:I8678, $C$1:C8678, C8679, $B$1:B8678, {"MAL ALIMI","ÜRETİM GİRİŞ"})) - VLOOKUP(C8679, 'STOK RAPORU'!$C$2:$I$1000, 4, 0))), 0)</f>
        <v>0</v>
      </c>
      <c r="U8679" s="22">
        <f t="shared" si="564"/>
        <v>0</v>
      </c>
      <c r="V8679">
        <f t="shared" si="565"/>
        <v>0</v>
      </c>
      <c r="W8679" s="22">
        <f t="shared" si="566"/>
        <v>0</v>
      </c>
    </row>
    <row r="8680" spans="1:23" hidden="1" x14ac:dyDescent="0.25">
      <c r="A8680" s="3"/>
      <c r="B8680" s="4"/>
      <c r="C8680" s="4"/>
      <c r="D8680" s="4"/>
      <c r="E8680" s="4"/>
      <c r="F8680" s="4"/>
      <c r="G8680" s="4"/>
      <c r="H8680" s="4"/>
      <c r="I8680" s="4"/>
      <c r="J8680" s="21">
        <f>IFERROR(VLOOKUP(C8680,'STOK KARTLARI'!$C$2:$K$2150,8,0),0)</f>
        <v>0</v>
      </c>
      <c r="K8680" s="21">
        <f t="shared" si="567"/>
        <v>0</v>
      </c>
      <c r="L8680" s="5">
        <f t="shared" si="569"/>
        <v>0</v>
      </c>
      <c r="M8680" s="4"/>
      <c r="N8680" s="4"/>
      <c r="O8680" s="5"/>
      <c r="P8680" s="5"/>
      <c r="Q8680" s="21">
        <f t="shared" si="570"/>
        <v>0</v>
      </c>
      <c r="R8680" s="21">
        <f t="shared" si="568"/>
        <v>0</v>
      </c>
      <c r="S8680" s="5">
        <f t="shared" si="571"/>
        <v>70007.077158325032</v>
      </c>
      <c r="T8680" cm="1">
        <f t="array" ref="T8680">IF(OR(B8680="MAL ALIMI", B8680="ÜRETİM GİRİŞ"), MIN(I8680, MAX(0, I8680 + SUM(SUMIFS($I$1:I8679, $C$1:C8679, C8680, $B$1:B8679, {"MAL ALIMI","ÜRETİM GİRİŞ"})) - VLOOKUP(C8680, 'STOK RAPORU'!$C$2:$I$1000, 4, 0))), 0)</f>
        <v>0</v>
      </c>
      <c r="U8680" s="22">
        <f t="shared" si="564"/>
        <v>0</v>
      </c>
      <c r="V8680">
        <f t="shared" si="565"/>
        <v>0</v>
      </c>
      <c r="W8680" s="22">
        <f t="shared" si="566"/>
        <v>0</v>
      </c>
    </row>
    <row r="8681" spans="1:23" hidden="1" x14ac:dyDescent="0.25">
      <c r="A8681" s="4"/>
      <c r="B8681" s="4"/>
      <c r="C8681" s="4"/>
      <c r="D8681" s="4"/>
      <c r="E8681" s="4"/>
      <c r="F8681" s="4"/>
      <c r="G8681" s="4"/>
      <c r="H8681" s="4"/>
      <c r="I8681" s="4"/>
      <c r="J8681" s="21">
        <f>IFERROR(VLOOKUP(C8681,'STOK KARTLARI'!$C$2:$K$2150,8,0),0)</f>
        <v>0</v>
      </c>
      <c r="K8681" s="21">
        <f t="shared" si="567"/>
        <v>0</v>
      </c>
      <c r="L8681" s="5">
        <f t="shared" si="569"/>
        <v>0</v>
      </c>
      <c r="M8681" s="4"/>
      <c r="N8681" s="4"/>
      <c r="O8681" s="5"/>
      <c r="P8681" s="5"/>
      <c r="Q8681" s="21">
        <f t="shared" si="570"/>
        <v>0</v>
      </c>
      <c r="R8681" s="21">
        <f t="shared" si="568"/>
        <v>0</v>
      </c>
      <c r="S8681" s="5">
        <f t="shared" si="571"/>
        <v>70007.077158325032</v>
      </c>
      <c r="T8681" cm="1">
        <f t="array" ref="T8681">IF(OR(B8681="MAL ALIMI", B8681="ÜRETİM GİRİŞ"), MIN(I8681, MAX(0, I8681 + SUM(SUMIFS($I$1:I8680, $C$1:C8680, C8681, $B$1:B8680, {"MAL ALIMI","ÜRETİM GİRİŞ"})) - VLOOKUP(C8681, 'STOK RAPORU'!$C$2:$I$1000, 4, 0))), 0)</f>
        <v>0</v>
      </c>
      <c r="U8681" s="22">
        <f t="shared" si="564"/>
        <v>0</v>
      </c>
      <c r="V8681">
        <f t="shared" si="565"/>
        <v>0</v>
      </c>
      <c r="W8681" s="22">
        <f t="shared" si="566"/>
        <v>0</v>
      </c>
    </row>
    <row r="8682" spans="1:23" hidden="1" x14ac:dyDescent="0.25">
      <c r="A8682" s="4"/>
      <c r="B8682" s="4"/>
      <c r="C8682" s="4"/>
      <c r="D8682" s="4"/>
      <c r="E8682" s="4"/>
      <c r="F8682" s="4"/>
      <c r="G8682" s="4"/>
      <c r="H8682" s="4"/>
      <c r="I8682" s="4"/>
      <c r="J8682" s="21">
        <f>IFERROR(VLOOKUP(C8682,'STOK KARTLARI'!$C$2:$K$2150,8,0),0)</f>
        <v>0</v>
      </c>
      <c r="K8682" s="21">
        <f t="shared" si="567"/>
        <v>0</v>
      </c>
      <c r="L8682" s="5">
        <f t="shared" si="569"/>
        <v>0</v>
      </c>
      <c r="M8682" s="4"/>
      <c r="N8682" s="4"/>
      <c r="O8682" s="5"/>
      <c r="P8682" s="5"/>
      <c r="Q8682" s="21">
        <f t="shared" si="570"/>
        <v>0</v>
      </c>
      <c r="R8682" s="21">
        <f t="shared" si="568"/>
        <v>0</v>
      </c>
      <c r="S8682" s="5">
        <f t="shared" si="571"/>
        <v>70007.077158325032</v>
      </c>
      <c r="T8682" cm="1">
        <f t="array" ref="T8682">IF(OR(B8682="MAL ALIMI", B8682="ÜRETİM GİRİŞ"), MIN(I8682, MAX(0, I8682 + SUM(SUMIFS($I$1:I8681, $C$1:C8681, C8682, $B$1:B8681, {"MAL ALIMI","ÜRETİM GİRİŞ"})) - VLOOKUP(C8682, 'STOK RAPORU'!$C$2:$I$1000, 4, 0))), 0)</f>
        <v>0</v>
      </c>
      <c r="U8682" s="22">
        <f t="shared" si="564"/>
        <v>0</v>
      </c>
      <c r="V8682">
        <f t="shared" si="565"/>
        <v>0</v>
      </c>
      <c r="W8682" s="22">
        <f t="shared" si="566"/>
        <v>0</v>
      </c>
    </row>
    <row r="8683" spans="1:23" hidden="1" x14ac:dyDescent="0.25">
      <c r="A8683" s="4"/>
      <c r="B8683" s="4"/>
      <c r="C8683" s="4"/>
      <c r="D8683" s="4"/>
      <c r="E8683" s="4"/>
      <c r="F8683" s="4"/>
      <c r="G8683" s="4"/>
      <c r="H8683" s="4"/>
      <c r="I8683" s="4"/>
      <c r="J8683" s="21">
        <f>IFERROR(VLOOKUP(C8683,'STOK KARTLARI'!$C$2:$K$2150,8,0),0)</f>
        <v>0</v>
      </c>
      <c r="K8683" s="21">
        <f t="shared" si="567"/>
        <v>0</v>
      </c>
      <c r="L8683" s="5">
        <f t="shared" si="569"/>
        <v>0</v>
      </c>
      <c r="M8683" s="4"/>
      <c r="N8683" s="4"/>
      <c r="O8683" s="5"/>
      <c r="P8683" s="5"/>
      <c r="Q8683" s="21">
        <f t="shared" si="570"/>
        <v>0</v>
      </c>
      <c r="R8683" s="21">
        <f t="shared" si="568"/>
        <v>0</v>
      </c>
      <c r="S8683" s="5">
        <f t="shared" si="571"/>
        <v>70007.077158325032</v>
      </c>
      <c r="T8683" cm="1">
        <f t="array" ref="T8683">IF(OR(B8683="MAL ALIMI", B8683="ÜRETİM GİRİŞ"), MIN(I8683, MAX(0, I8683 + SUM(SUMIFS($I$1:I8682, $C$1:C8682, C8683, $B$1:B8682, {"MAL ALIMI","ÜRETİM GİRİŞ"})) - VLOOKUP(C8683, 'STOK RAPORU'!$C$2:$I$1000, 4, 0))), 0)</f>
        <v>0</v>
      </c>
      <c r="U8683" s="22">
        <f t="shared" si="564"/>
        <v>0</v>
      </c>
      <c r="V8683">
        <f t="shared" si="565"/>
        <v>0</v>
      </c>
      <c r="W8683" s="22">
        <f t="shared" si="566"/>
        <v>0</v>
      </c>
    </row>
    <row r="8684" spans="1:23" hidden="1" x14ac:dyDescent="0.25">
      <c r="A8684" s="4"/>
      <c r="B8684" s="4"/>
      <c r="C8684" s="4"/>
      <c r="D8684" s="4"/>
      <c r="E8684" s="4"/>
      <c r="F8684" s="4"/>
      <c r="G8684" s="4"/>
      <c r="H8684" s="4"/>
      <c r="I8684" s="4"/>
      <c r="J8684" s="21">
        <f>IFERROR(VLOOKUP(C8684,'STOK KARTLARI'!$C$2:$K$2150,8,0),0)</f>
        <v>0</v>
      </c>
      <c r="K8684" s="21">
        <f t="shared" si="567"/>
        <v>0</v>
      </c>
      <c r="L8684" s="5">
        <f t="shared" si="569"/>
        <v>0</v>
      </c>
      <c r="M8684" s="4"/>
      <c r="N8684" s="4"/>
      <c r="O8684" s="5"/>
      <c r="P8684" s="5"/>
      <c r="Q8684" s="21">
        <f t="shared" si="570"/>
        <v>0</v>
      </c>
      <c r="R8684" s="21">
        <f t="shared" si="568"/>
        <v>0</v>
      </c>
      <c r="S8684" s="5">
        <f t="shared" si="571"/>
        <v>70007.077158325032</v>
      </c>
      <c r="T8684" cm="1">
        <f t="array" ref="T8684">IF(OR(B8684="MAL ALIMI", B8684="ÜRETİM GİRİŞ"), MIN(I8684, MAX(0, I8684 + SUM(SUMIFS($I$1:I8683, $C$1:C8683, C8684, $B$1:B8683, {"MAL ALIMI","ÜRETİM GİRİŞ"})) - VLOOKUP(C8684, 'STOK RAPORU'!$C$2:$I$1000, 4, 0))), 0)</f>
        <v>0</v>
      </c>
      <c r="U8684" s="22">
        <f t="shared" si="564"/>
        <v>0</v>
      </c>
      <c r="V8684">
        <f t="shared" si="565"/>
        <v>0</v>
      </c>
      <c r="W8684" s="22">
        <f t="shared" si="566"/>
        <v>0</v>
      </c>
    </row>
    <row r="8685" spans="1:23" hidden="1" x14ac:dyDescent="0.25">
      <c r="A8685" s="4"/>
      <c r="B8685" s="4"/>
      <c r="C8685" s="4"/>
      <c r="D8685" s="4"/>
      <c r="E8685" s="4"/>
      <c r="F8685" s="4"/>
      <c r="G8685" s="4"/>
      <c r="H8685" s="4"/>
      <c r="I8685" s="4"/>
      <c r="J8685" s="21">
        <f>IFERROR(VLOOKUP(C8685,'STOK KARTLARI'!$C$2:$K$2150,8,0),0)</f>
        <v>0</v>
      </c>
      <c r="K8685" s="21">
        <f t="shared" si="567"/>
        <v>0</v>
      </c>
      <c r="L8685" s="5">
        <f t="shared" si="569"/>
        <v>0</v>
      </c>
      <c r="M8685" s="4"/>
      <c r="N8685" s="4"/>
      <c r="O8685" s="5"/>
      <c r="P8685" s="5"/>
      <c r="Q8685" s="21">
        <f t="shared" si="570"/>
        <v>0</v>
      </c>
      <c r="R8685" s="21">
        <f t="shared" si="568"/>
        <v>0</v>
      </c>
      <c r="S8685" s="5">
        <f t="shared" si="571"/>
        <v>70007.077158325032</v>
      </c>
      <c r="T8685" cm="1">
        <f t="array" ref="T8685">IF(OR(B8685="MAL ALIMI", B8685="ÜRETİM GİRİŞ"), MIN(I8685, MAX(0, I8685 + SUM(SUMIFS($I$1:I8684, $C$1:C8684, C8685, $B$1:B8684, {"MAL ALIMI","ÜRETİM GİRİŞ"})) - VLOOKUP(C8685, 'STOK RAPORU'!$C$2:$I$1000, 4, 0))), 0)</f>
        <v>0</v>
      </c>
      <c r="U8685" s="22">
        <f t="shared" si="564"/>
        <v>0</v>
      </c>
      <c r="V8685">
        <f t="shared" si="565"/>
        <v>0</v>
      </c>
      <c r="W8685" s="22">
        <f t="shared" si="566"/>
        <v>0</v>
      </c>
    </row>
    <row r="8686" spans="1:23" hidden="1" x14ac:dyDescent="0.25">
      <c r="A8686" s="4"/>
      <c r="B8686" s="4"/>
      <c r="C8686" s="4"/>
      <c r="D8686" s="4"/>
      <c r="E8686" s="4"/>
      <c r="F8686" s="4"/>
      <c r="G8686" s="4"/>
      <c r="H8686" s="4"/>
      <c r="I8686" s="4"/>
      <c r="J8686" s="21">
        <f>IFERROR(VLOOKUP(C8686,'STOK KARTLARI'!$C$2:$K$2150,8,0),0)</f>
        <v>0</v>
      </c>
      <c r="K8686" s="21">
        <f t="shared" si="567"/>
        <v>0</v>
      </c>
      <c r="L8686" s="5">
        <f t="shared" si="569"/>
        <v>0</v>
      </c>
      <c r="M8686" s="4"/>
      <c r="N8686" s="4"/>
      <c r="O8686" s="5"/>
      <c r="P8686" s="5"/>
      <c r="Q8686" s="21">
        <f t="shared" si="570"/>
        <v>0</v>
      </c>
      <c r="R8686" s="21">
        <f t="shared" si="568"/>
        <v>0</v>
      </c>
      <c r="S8686" s="5">
        <f t="shared" si="571"/>
        <v>70007.077158325032</v>
      </c>
      <c r="T8686" cm="1">
        <f t="array" ref="T8686">IF(OR(B8686="MAL ALIMI", B8686="ÜRETİM GİRİŞ"), MIN(I8686, MAX(0, I8686 + SUM(SUMIFS($I$1:I8685, $C$1:C8685, C8686, $B$1:B8685, {"MAL ALIMI","ÜRETİM GİRİŞ"})) - VLOOKUP(C8686, 'STOK RAPORU'!$C$2:$I$1000, 4, 0))), 0)</f>
        <v>0</v>
      </c>
      <c r="U8686" s="22">
        <f t="shared" si="564"/>
        <v>0</v>
      </c>
      <c r="V8686">
        <f t="shared" si="565"/>
        <v>0</v>
      </c>
      <c r="W8686" s="22">
        <f t="shared" si="566"/>
        <v>0</v>
      </c>
    </row>
    <row r="8687" spans="1:23" hidden="1" x14ac:dyDescent="0.25">
      <c r="A8687" s="3"/>
      <c r="B8687" s="4"/>
      <c r="C8687" s="4"/>
      <c r="D8687" s="4"/>
      <c r="E8687" s="4"/>
      <c r="F8687" s="4"/>
      <c r="G8687" s="4"/>
      <c r="H8687" s="4"/>
      <c r="I8687" s="4"/>
      <c r="J8687" s="21">
        <f>IFERROR(VLOOKUP(C8687,'STOK KARTLARI'!$C$2:$K$2150,8,0),0)</f>
        <v>0</v>
      </c>
      <c r="K8687" s="21">
        <f t="shared" si="567"/>
        <v>0</v>
      </c>
      <c r="L8687" s="5">
        <f t="shared" si="569"/>
        <v>0</v>
      </c>
      <c r="M8687" s="4"/>
      <c r="N8687" s="4"/>
      <c r="O8687" s="5"/>
      <c r="P8687" s="5"/>
      <c r="Q8687" s="21">
        <f t="shared" si="570"/>
        <v>0</v>
      </c>
      <c r="R8687" s="21">
        <f t="shared" si="568"/>
        <v>0</v>
      </c>
      <c r="S8687" s="5">
        <f t="shared" si="571"/>
        <v>70007.077158325032</v>
      </c>
      <c r="T8687" cm="1">
        <f t="array" ref="T8687">IF(OR(B8687="MAL ALIMI", B8687="ÜRETİM GİRİŞ"), MIN(I8687, MAX(0, I8687 + SUM(SUMIFS($I$1:I8686, $C$1:C8686, C8687, $B$1:B8686, {"MAL ALIMI","ÜRETİM GİRİŞ"})) - VLOOKUP(C8687, 'STOK RAPORU'!$C$2:$I$1000, 4, 0))), 0)</f>
        <v>0</v>
      </c>
      <c r="U8687" s="22">
        <f t="shared" ref="U8687:U8750" si="572">T8687*J8687</f>
        <v>0</v>
      </c>
      <c r="V8687">
        <f t="shared" ref="V8687:V8750" si="573">IF(OR(B8687="MAL ALIMI", B8687="ÜRETİM GİRİŞ"), I8687 * J8687, 0)</f>
        <v>0</v>
      </c>
      <c r="W8687" s="22">
        <f t="shared" ref="W8687:W8750" si="574">V8687-U8687</f>
        <v>0</v>
      </c>
    </row>
    <row r="8688" spans="1:23" hidden="1" x14ac:dyDescent="0.25">
      <c r="A8688" s="4"/>
      <c r="B8688" s="4"/>
      <c r="C8688" s="4"/>
      <c r="D8688" s="4"/>
      <c r="E8688" s="4"/>
      <c r="F8688" s="4"/>
      <c r="G8688" s="4"/>
      <c r="H8688" s="4"/>
      <c r="I8688" s="4"/>
      <c r="J8688" s="21">
        <f>IFERROR(VLOOKUP(C8688,'STOK KARTLARI'!$C$2:$K$2150,8,0),0)</f>
        <v>0</v>
      </c>
      <c r="K8688" s="21">
        <f t="shared" si="567"/>
        <v>0</v>
      </c>
      <c r="L8688" s="5">
        <f t="shared" si="569"/>
        <v>0</v>
      </c>
      <c r="M8688" s="4"/>
      <c r="N8688" s="4"/>
      <c r="O8688" s="5"/>
      <c r="P8688" s="5"/>
      <c r="Q8688" s="21">
        <f t="shared" si="570"/>
        <v>0</v>
      </c>
      <c r="R8688" s="21">
        <f t="shared" si="568"/>
        <v>0</v>
      </c>
      <c r="S8688" s="5">
        <f t="shared" si="571"/>
        <v>70007.077158325032</v>
      </c>
      <c r="T8688" cm="1">
        <f t="array" ref="T8688">IF(OR(B8688="MAL ALIMI", B8688="ÜRETİM GİRİŞ"), MIN(I8688, MAX(0, I8688 + SUM(SUMIFS($I$1:I8687, $C$1:C8687, C8688, $B$1:B8687, {"MAL ALIMI","ÜRETİM GİRİŞ"})) - VLOOKUP(C8688, 'STOK RAPORU'!$C$2:$I$1000, 4, 0))), 0)</f>
        <v>0</v>
      </c>
      <c r="U8688" s="22">
        <f t="shared" si="572"/>
        <v>0</v>
      </c>
      <c r="V8688">
        <f t="shared" si="573"/>
        <v>0</v>
      </c>
      <c r="W8688" s="22">
        <f t="shared" si="574"/>
        <v>0</v>
      </c>
    </row>
    <row r="8689" spans="1:23" hidden="1" x14ac:dyDescent="0.25">
      <c r="A8689" s="4"/>
      <c r="B8689" s="4"/>
      <c r="C8689" s="4"/>
      <c r="D8689" s="4"/>
      <c r="E8689" s="4"/>
      <c r="F8689" s="4"/>
      <c r="G8689" s="4"/>
      <c r="H8689" s="4"/>
      <c r="I8689" s="4"/>
      <c r="J8689" s="21">
        <f>IFERROR(VLOOKUP(C8689,'STOK KARTLARI'!$C$2:$K$2150,8,0),0)</f>
        <v>0</v>
      </c>
      <c r="K8689" s="21">
        <f t="shared" si="567"/>
        <v>0</v>
      </c>
      <c r="L8689" s="5">
        <f t="shared" si="569"/>
        <v>0</v>
      </c>
      <c r="M8689" s="4"/>
      <c r="N8689" s="4"/>
      <c r="O8689" s="5"/>
      <c r="P8689" s="5"/>
      <c r="Q8689" s="21">
        <f t="shared" si="570"/>
        <v>0</v>
      </c>
      <c r="R8689" s="21">
        <f t="shared" si="568"/>
        <v>0</v>
      </c>
      <c r="S8689" s="5">
        <f t="shared" si="571"/>
        <v>70007.077158325032</v>
      </c>
      <c r="T8689" cm="1">
        <f t="array" ref="T8689">IF(OR(B8689="MAL ALIMI", B8689="ÜRETİM GİRİŞ"), MIN(I8689, MAX(0, I8689 + SUM(SUMIFS($I$1:I8688, $C$1:C8688, C8689, $B$1:B8688, {"MAL ALIMI","ÜRETİM GİRİŞ"})) - VLOOKUP(C8689, 'STOK RAPORU'!$C$2:$I$1000, 4, 0))), 0)</f>
        <v>0</v>
      </c>
      <c r="U8689" s="22">
        <f t="shared" si="572"/>
        <v>0</v>
      </c>
      <c r="V8689">
        <f t="shared" si="573"/>
        <v>0</v>
      </c>
      <c r="W8689" s="22">
        <f t="shared" si="574"/>
        <v>0</v>
      </c>
    </row>
    <row r="8690" spans="1:23" hidden="1" x14ac:dyDescent="0.25">
      <c r="A8690" s="4"/>
      <c r="B8690" s="4"/>
      <c r="C8690" s="4"/>
      <c r="D8690" s="4"/>
      <c r="E8690" s="4"/>
      <c r="F8690" s="4"/>
      <c r="G8690" s="4"/>
      <c r="H8690" s="4"/>
      <c r="I8690" s="4"/>
      <c r="J8690" s="21">
        <f>IFERROR(VLOOKUP(C8690,'STOK KARTLARI'!$C$2:$K$2150,8,0),0)</f>
        <v>0</v>
      </c>
      <c r="K8690" s="21">
        <f t="shared" si="567"/>
        <v>0</v>
      </c>
      <c r="L8690" s="5">
        <f t="shared" si="569"/>
        <v>0</v>
      </c>
      <c r="M8690" s="4"/>
      <c r="N8690" s="4"/>
      <c r="O8690" s="5"/>
      <c r="P8690" s="5"/>
      <c r="Q8690" s="21">
        <f t="shared" si="570"/>
        <v>0</v>
      </c>
      <c r="R8690" s="21">
        <f t="shared" si="568"/>
        <v>0</v>
      </c>
      <c r="S8690" s="5">
        <f t="shared" si="571"/>
        <v>70007.077158325032</v>
      </c>
      <c r="T8690" cm="1">
        <f t="array" ref="T8690">IF(OR(B8690="MAL ALIMI", B8690="ÜRETİM GİRİŞ"), MIN(I8690, MAX(0, I8690 + SUM(SUMIFS($I$1:I8689, $C$1:C8689, C8690, $B$1:B8689, {"MAL ALIMI","ÜRETİM GİRİŞ"})) - VLOOKUP(C8690, 'STOK RAPORU'!$C$2:$I$1000, 4, 0))), 0)</f>
        <v>0</v>
      </c>
      <c r="U8690" s="22">
        <f t="shared" si="572"/>
        <v>0</v>
      </c>
      <c r="V8690">
        <f t="shared" si="573"/>
        <v>0</v>
      </c>
      <c r="W8690" s="22">
        <f t="shared" si="574"/>
        <v>0</v>
      </c>
    </row>
    <row r="8691" spans="1:23" hidden="1" x14ac:dyDescent="0.25">
      <c r="A8691" s="4"/>
      <c r="B8691" s="4"/>
      <c r="C8691" s="4"/>
      <c r="D8691" s="4"/>
      <c r="E8691" s="4"/>
      <c r="F8691" s="4"/>
      <c r="G8691" s="4"/>
      <c r="H8691" s="4"/>
      <c r="I8691" s="4"/>
      <c r="J8691" s="21">
        <f>IFERROR(VLOOKUP(C8691,'STOK KARTLARI'!$C$2:$K$2150,8,0),0)</f>
        <v>0</v>
      </c>
      <c r="K8691" s="21">
        <f t="shared" ref="K8691:K8754" si="575">IF(AND(B8691="MAL SATIŞI", H8691="POS"),I8691*J8691,0)</f>
        <v>0</v>
      </c>
      <c r="L8691" s="5">
        <f t="shared" si="569"/>
        <v>0</v>
      </c>
      <c r="M8691" s="4"/>
      <c r="N8691" s="4"/>
      <c r="O8691" s="5"/>
      <c r="P8691" s="5"/>
      <c r="Q8691" s="21">
        <f t="shared" si="570"/>
        <v>0</v>
      </c>
      <c r="R8691" s="21">
        <f t="shared" ref="R8691:R8754" si="576">IF(AND(E8691="", B8691&lt;&gt;"MAL SATIŞI"),I8691*J8691,0)</f>
        <v>0</v>
      </c>
      <c r="S8691" s="5">
        <f t="shared" si="571"/>
        <v>70007.077158325032</v>
      </c>
      <c r="T8691" cm="1">
        <f t="array" ref="T8691">IF(OR(B8691="MAL ALIMI", B8691="ÜRETİM GİRİŞ"), MIN(I8691, MAX(0, I8691 + SUM(SUMIFS($I$1:I8690, $C$1:C8690, C8691, $B$1:B8690, {"MAL ALIMI","ÜRETİM GİRİŞ"})) - VLOOKUP(C8691, 'STOK RAPORU'!$C$2:$I$1000, 4, 0))), 0)</f>
        <v>0</v>
      </c>
      <c r="U8691" s="22">
        <f t="shared" si="572"/>
        <v>0</v>
      </c>
      <c r="V8691">
        <f t="shared" si="573"/>
        <v>0</v>
      </c>
      <c r="W8691" s="22">
        <f t="shared" si="574"/>
        <v>0</v>
      </c>
    </row>
    <row r="8692" spans="1:23" hidden="1" x14ac:dyDescent="0.25">
      <c r="A8692" s="4"/>
      <c r="B8692" s="4"/>
      <c r="C8692" s="4"/>
      <c r="D8692" s="4"/>
      <c r="E8692" s="4"/>
      <c r="F8692" s="4"/>
      <c r="G8692" s="4"/>
      <c r="H8692" s="4"/>
      <c r="I8692" s="4"/>
      <c r="J8692" s="21">
        <f>IFERROR(VLOOKUP(C8692,'STOK KARTLARI'!$C$2:$K$2150,8,0),0)</f>
        <v>0</v>
      </c>
      <c r="K8692" s="21">
        <f t="shared" si="575"/>
        <v>0</v>
      </c>
      <c r="L8692" s="5">
        <f t="shared" ref="L8692:L8755" si="577">IF(OR(E8692="", H8692="POS"),0,I8692*J8692)</f>
        <v>0</v>
      </c>
      <c r="M8692" s="4"/>
      <c r="N8692" s="4"/>
      <c r="O8692" s="5"/>
      <c r="P8692" s="5"/>
      <c r="Q8692" s="21">
        <f t="shared" ref="Q8692:Q8755" si="578">IF(AND(E8692="", B8692="MAL SATIŞI", H8692="NAKİT"),I8692*J8692,0)</f>
        <v>0</v>
      </c>
      <c r="R8692" s="21">
        <f t="shared" si="576"/>
        <v>0</v>
      </c>
      <c r="S8692" s="5">
        <f t="shared" si="571"/>
        <v>70007.077158325032</v>
      </c>
      <c r="T8692" cm="1">
        <f t="array" ref="T8692">IF(OR(B8692="MAL ALIMI", B8692="ÜRETİM GİRİŞ"), MIN(I8692, MAX(0, I8692 + SUM(SUMIFS($I$1:I8691, $C$1:C8691, C8692, $B$1:B8691, {"MAL ALIMI","ÜRETİM GİRİŞ"})) - VLOOKUP(C8692, 'STOK RAPORU'!$C$2:$I$1000, 4, 0))), 0)</f>
        <v>0</v>
      </c>
      <c r="U8692" s="22">
        <f t="shared" si="572"/>
        <v>0</v>
      </c>
      <c r="V8692">
        <f t="shared" si="573"/>
        <v>0</v>
      </c>
      <c r="W8692" s="22">
        <f t="shared" si="574"/>
        <v>0</v>
      </c>
    </row>
    <row r="8693" spans="1:23" hidden="1" x14ac:dyDescent="0.25">
      <c r="A8693" s="4"/>
      <c r="B8693" s="4"/>
      <c r="C8693" s="4"/>
      <c r="D8693" s="4"/>
      <c r="E8693" s="4"/>
      <c r="F8693" s="4"/>
      <c r="G8693" s="4"/>
      <c r="H8693" s="4"/>
      <c r="I8693" s="4"/>
      <c r="J8693" s="21">
        <f>IFERROR(VLOOKUP(C8693,'STOK KARTLARI'!$C$2:$K$2150,8,0),0)</f>
        <v>0</v>
      </c>
      <c r="K8693" s="21">
        <f t="shared" si="575"/>
        <v>0</v>
      </c>
      <c r="L8693" s="5">
        <f t="shared" si="577"/>
        <v>0</v>
      </c>
      <c r="M8693" s="4"/>
      <c r="N8693" s="4"/>
      <c r="O8693" s="5"/>
      <c r="P8693" s="5"/>
      <c r="Q8693" s="21">
        <f t="shared" si="578"/>
        <v>0</v>
      </c>
      <c r="R8693" s="21">
        <f t="shared" si="576"/>
        <v>0</v>
      </c>
      <c r="S8693" s="5">
        <f t="shared" si="571"/>
        <v>70007.077158325032</v>
      </c>
      <c r="T8693" cm="1">
        <f t="array" ref="T8693">IF(OR(B8693="MAL ALIMI", B8693="ÜRETİM GİRİŞ"), MIN(I8693, MAX(0, I8693 + SUM(SUMIFS($I$1:I8692, $C$1:C8692, C8693, $B$1:B8692, {"MAL ALIMI","ÜRETİM GİRİŞ"})) - VLOOKUP(C8693, 'STOK RAPORU'!$C$2:$I$1000, 4, 0))), 0)</f>
        <v>0</v>
      </c>
      <c r="U8693" s="22">
        <f t="shared" si="572"/>
        <v>0</v>
      </c>
      <c r="V8693">
        <f t="shared" si="573"/>
        <v>0</v>
      </c>
      <c r="W8693" s="22">
        <f t="shared" si="574"/>
        <v>0</v>
      </c>
    </row>
    <row r="8694" spans="1:23" hidden="1" x14ac:dyDescent="0.25">
      <c r="A8694" s="3"/>
      <c r="B8694" s="4"/>
      <c r="C8694" s="4"/>
      <c r="D8694" s="4"/>
      <c r="E8694" s="4"/>
      <c r="F8694" s="4"/>
      <c r="G8694" s="4"/>
      <c r="H8694" s="4"/>
      <c r="I8694" s="4"/>
      <c r="J8694" s="21">
        <f>IFERROR(VLOOKUP(C8694,'STOK KARTLARI'!$C$2:$K$2150,8,0),0)</f>
        <v>0</v>
      </c>
      <c r="K8694" s="21">
        <f t="shared" si="575"/>
        <v>0</v>
      </c>
      <c r="L8694" s="5">
        <f t="shared" si="577"/>
        <v>0</v>
      </c>
      <c r="M8694" s="4"/>
      <c r="N8694" s="4"/>
      <c r="O8694" s="5"/>
      <c r="P8694" s="5"/>
      <c r="Q8694" s="21">
        <f t="shared" si="578"/>
        <v>0</v>
      </c>
      <c r="R8694" s="21">
        <f t="shared" si="576"/>
        <v>0</v>
      </c>
      <c r="S8694" s="5">
        <f t="shared" si="571"/>
        <v>70007.077158325032</v>
      </c>
      <c r="T8694" cm="1">
        <f t="array" ref="T8694">IF(OR(B8694="MAL ALIMI", B8694="ÜRETİM GİRİŞ"), MIN(I8694, MAX(0, I8694 + SUM(SUMIFS($I$1:I8693, $C$1:C8693, C8694, $B$1:B8693, {"MAL ALIMI","ÜRETİM GİRİŞ"})) - VLOOKUP(C8694, 'STOK RAPORU'!$C$2:$I$1000, 4, 0))), 0)</f>
        <v>0</v>
      </c>
      <c r="U8694" s="22">
        <f t="shared" si="572"/>
        <v>0</v>
      </c>
      <c r="V8694">
        <f t="shared" si="573"/>
        <v>0</v>
      </c>
      <c r="W8694" s="22">
        <f t="shared" si="574"/>
        <v>0</v>
      </c>
    </row>
    <row r="8695" spans="1:23" hidden="1" x14ac:dyDescent="0.25">
      <c r="A8695" s="4"/>
      <c r="B8695" s="4"/>
      <c r="C8695" s="4"/>
      <c r="D8695" s="4"/>
      <c r="E8695" s="4"/>
      <c r="F8695" s="4"/>
      <c r="G8695" s="4"/>
      <c r="H8695" s="4"/>
      <c r="I8695" s="4"/>
      <c r="J8695" s="21">
        <f>IFERROR(VLOOKUP(C8695,'STOK KARTLARI'!$C$2:$K$2150,8,0),0)</f>
        <v>0</v>
      </c>
      <c r="K8695" s="21">
        <f t="shared" si="575"/>
        <v>0</v>
      </c>
      <c r="L8695" s="5">
        <f t="shared" si="577"/>
        <v>0</v>
      </c>
      <c r="M8695" s="4"/>
      <c r="N8695" s="4"/>
      <c r="O8695" s="5"/>
      <c r="P8695" s="5"/>
      <c r="Q8695" s="21">
        <f t="shared" si="578"/>
        <v>0</v>
      </c>
      <c r="R8695" s="21">
        <f t="shared" si="576"/>
        <v>0</v>
      </c>
      <c r="S8695" s="5">
        <f t="shared" si="571"/>
        <v>70007.077158325032</v>
      </c>
      <c r="T8695" cm="1">
        <f t="array" ref="T8695">IF(OR(B8695="MAL ALIMI", B8695="ÜRETİM GİRİŞ"), MIN(I8695, MAX(0, I8695 + SUM(SUMIFS($I$1:I8694, $C$1:C8694, C8695, $B$1:B8694, {"MAL ALIMI","ÜRETİM GİRİŞ"})) - VLOOKUP(C8695, 'STOK RAPORU'!$C$2:$I$1000, 4, 0))), 0)</f>
        <v>0</v>
      </c>
      <c r="U8695" s="22">
        <f t="shared" si="572"/>
        <v>0</v>
      </c>
      <c r="V8695">
        <f t="shared" si="573"/>
        <v>0</v>
      </c>
      <c r="W8695" s="22">
        <f t="shared" si="574"/>
        <v>0</v>
      </c>
    </row>
    <row r="8696" spans="1:23" hidden="1" x14ac:dyDescent="0.25">
      <c r="A8696" s="4"/>
      <c r="B8696" s="4"/>
      <c r="C8696" s="4"/>
      <c r="D8696" s="4"/>
      <c r="E8696" s="4"/>
      <c r="F8696" s="4"/>
      <c r="G8696" s="4"/>
      <c r="H8696" s="4"/>
      <c r="I8696" s="4"/>
      <c r="J8696" s="21">
        <f>IFERROR(VLOOKUP(C8696,'STOK KARTLARI'!$C$2:$K$2150,8,0),0)</f>
        <v>0</v>
      </c>
      <c r="K8696" s="21">
        <f t="shared" si="575"/>
        <v>0</v>
      </c>
      <c r="L8696" s="5">
        <f t="shared" si="577"/>
        <v>0</v>
      </c>
      <c r="M8696" s="4"/>
      <c r="N8696" s="4"/>
      <c r="O8696" s="5"/>
      <c r="P8696" s="5"/>
      <c r="Q8696" s="21">
        <f t="shared" si="578"/>
        <v>0</v>
      </c>
      <c r="R8696" s="21">
        <f t="shared" si="576"/>
        <v>0</v>
      </c>
      <c r="S8696" s="5">
        <f t="shared" si="571"/>
        <v>70007.077158325032</v>
      </c>
      <c r="T8696" cm="1">
        <f t="array" ref="T8696">IF(OR(B8696="MAL ALIMI", B8696="ÜRETİM GİRİŞ"), MIN(I8696, MAX(0, I8696 + SUM(SUMIFS($I$1:I8695, $C$1:C8695, C8696, $B$1:B8695, {"MAL ALIMI","ÜRETİM GİRİŞ"})) - VLOOKUP(C8696, 'STOK RAPORU'!$C$2:$I$1000, 4, 0))), 0)</f>
        <v>0</v>
      </c>
      <c r="U8696" s="22">
        <f t="shared" si="572"/>
        <v>0</v>
      </c>
      <c r="V8696">
        <f t="shared" si="573"/>
        <v>0</v>
      </c>
      <c r="W8696" s="22">
        <f t="shared" si="574"/>
        <v>0</v>
      </c>
    </row>
    <row r="8697" spans="1:23" hidden="1" x14ac:dyDescent="0.25">
      <c r="A8697" s="4"/>
      <c r="B8697" s="4"/>
      <c r="C8697" s="4"/>
      <c r="D8697" s="4"/>
      <c r="E8697" s="4"/>
      <c r="F8697" s="4"/>
      <c r="G8697" s="4"/>
      <c r="H8697" s="4"/>
      <c r="I8697" s="4"/>
      <c r="J8697" s="21">
        <f>IFERROR(VLOOKUP(C8697,'STOK KARTLARI'!$C$2:$K$2150,8,0),0)</f>
        <v>0</v>
      </c>
      <c r="K8697" s="21">
        <f t="shared" si="575"/>
        <v>0</v>
      </c>
      <c r="L8697" s="5">
        <f t="shared" si="577"/>
        <v>0</v>
      </c>
      <c r="M8697" s="4"/>
      <c r="N8697" s="4"/>
      <c r="O8697" s="5"/>
      <c r="P8697" s="5"/>
      <c r="Q8697" s="21">
        <f t="shared" si="578"/>
        <v>0</v>
      </c>
      <c r="R8697" s="21">
        <f t="shared" si="576"/>
        <v>0</v>
      </c>
      <c r="S8697" s="5">
        <f t="shared" si="571"/>
        <v>70007.077158325032</v>
      </c>
      <c r="T8697" cm="1">
        <f t="array" ref="T8697">IF(OR(B8697="MAL ALIMI", B8697="ÜRETİM GİRİŞ"), MIN(I8697, MAX(0, I8697 + SUM(SUMIFS($I$1:I8696, $C$1:C8696, C8697, $B$1:B8696, {"MAL ALIMI","ÜRETİM GİRİŞ"})) - VLOOKUP(C8697, 'STOK RAPORU'!$C$2:$I$1000, 4, 0))), 0)</f>
        <v>0</v>
      </c>
      <c r="U8697" s="22">
        <f t="shared" si="572"/>
        <v>0</v>
      </c>
      <c r="V8697">
        <f t="shared" si="573"/>
        <v>0</v>
      </c>
      <c r="W8697" s="22">
        <f t="shared" si="574"/>
        <v>0</v>
      </c>
    </row>
    <row r="8698" spans="1:23" hidden="1" x14ac:dyDescent="0.25">
      <c r="A8698" s="4"/>
      <c r="B8698" s="4"/>
      <c r="C8698" s="4"/>
      <c r="D8698" s="4"/>
      <c r="E8698" s="4"/>
      <c r="F8698" s="4"/>
      <c r="G8698" s="4"/>
      <c r="H8698" s="4"/>
      <c r="I8698" s="4"/>
      <c r="J8698" s="21">
        <f>IFERROR(VLOOKUP(C8698,'STOK KARTLARI'!$C$2:$K$2150,8,0),0)</f>
        <v>0</v>
      </c>
      <c r="K8698" s="21">
        <f t="shared" si="575"/>
        <v>0</v>
      </c>
      <c r="L8698" s="5">
        <f t="shared" si="577"/>
        <v>0</v>
      </c>
      <c r="M8698" s="4"/>
      <c r="N8698" s="4"/>
      <c r="O8698" s="5"/>
      <c r="P8698" s="5"/>
      <c r="Q8698" s="21">
        <f t="shared" si="578"/>
        <v>0</v>
      </c>
      <c r="R8698" s="21">
        <f t="shared" si="576"/>
        <v>0</v>
      </c>
      <c r="S8698" s="5">
        <f t="shared" si="571"/>
        <v>70007.077158325032</v>
      </c>
      <c r="T8698" cm="1">
        <f t="array" ref="T8698">IF(OR(B8698="MAL ALIMI", B8698="ÜRETİM GİRİŞ"), MIN(I8698, MAX(0, I8698 + SUM(SUMIFS($I$1:I8697, $C$1:C8697, C8698, $B$1:B8697, {"MAL ALIMI","ÜRETİM GİRİŞ"})) - VLOOKUP(C8698, 'STOK RAPORU'!$C$2:$I$1000, 4, 0))), 0)</f>
        <v>0</v>
      </c>
      <c r="U8698" s="22">
        <f t="shared" si="572"/>
        <v>0</v>
      </c>
      <c r="V8698">
        <f t="shared" si="573"/>
        <v>0</v>
      </c>
      <c r="W8698" s="22">
        <f t="shared" si="574"/>
        <v>0</v>
      </c>
    </row>
    <row r="8699" spans="1:23" hidden="1" x14ac:dyDescent="0.25">
      <c r="A8699" s="4"/>
      <c r="B8699" s="4"/>
      <c r="C8699" s="4"/>
      <c r="D8699" s="4"/>
      <c r="E8699" s="4"/>
      <c r="F8699" s="4"/>
      <c r="G8699" s="4"/>
      <c r="H8699" s="4"/>
      <c r="I8699" s="4"/>
      <c r="J8699" s="21">
        <f>IFERROR(VLOOKUP(C8699,'STOK KARTLARI'!$C$2:$K$2150,8,0),0)</f>
        <v>0</v>
      </c>
      <c r="K8699" s="21">
        <f t="shared" si="575"/>
        <v>0</v>
      </c>
      <c r="L8699" s="5">
        <f t="shared" si="577"/>
        <v>0</v>
      </c>
      <c r="M8699" s="4"/>
      <c r="N8699" s="4"/>
      <c r="O8699" s="5"/>
      <c r="P8699" s="5"/>
      <c r="Q8699" s="21">
        <f t="shared" si="578"/>
        <v>0</v>
      </c>
      <c r="R8699" s="21">
        <f t="shared" si="576"/>
        <v>0</v>
      </c>
      <c r="S8699" s="5">
        <f t="shared" si="571"/>
        <v>70007.077158325032</v>
      </c>
      <c r="T8699" cm="1">
        <f t="array" ref="T8699">IF(OR(B8699="MAL ALIMI", B8699="ÜRETİM GİRİŞ"), MIN(I8699, MAX(0, I8699 + SUM(SUMIFS($I$1:I8698, $C$1:C8698, C8699, $B$1:B8698, {"MAL ALIMI","ÜRETİM GİRİŞ"})) - VLOOKUP(C8699, 'STOK RAPORU'!$C$2:$I$1000, 4, 0))), 0)</f>
        <v>0</v>
      </c>
      <c r="U8699" s="22">
        <f t="shared" si="572"/>
        <v>0</v>
      </c>
      <c r="V8699">
        <f t="shared" si="573"/>
        <v>0</v>
      </c>
      <c r="W8699" s="22">
        <f t="shared" si="574"/>
        <v>0</v>
      </c>
    </row>
    <row r="8700" spans="1:23" hidden="1" x14ac:dyDescent="0.25">
      <c r="A8700" s="4"/>
      <c r="B8700" s="4"/>
      <c r="C8700" s="4"/>
      <c r="D8700" s="4"/>
      <c r="E8700" s="4"/>
      <c r="F8700" s="4"/>
      <c r="G8700" s="4"/>
      <c r="H8700" s="4"/>
      <c r="I8700" s="4"/>
      <c r="J8700" s="21">
        <f>IFERROR(VLOOKUP(C8700,'STOK KARTLARI'!$C$2:$K$2150,8,0),0)</f>
        <v>0</v>
      </c>
      <c r="K8700" s="21">
        <f t="shared" si="575"/>
        <v>0</v>
      </c>
      <c r="L8700" s="5">
        <f t="shared" si="577"/>
        <v>0</v>
      </c>
      <c r="M8700" s="4"/>
      <c r="N8700" s="4"/>
      <c r="O8700" s="5"/>
      <c r="P8700" s="5"/>
      <c r="Q8700" s="21">
        <f t="shared" si="578"/>
        <v>0</v>
      </c>
      <c r="R8700" s="21">
        <f t="shared" si="576"/>
        <v>0</v>
      </c>
      <c r="S8700" s="5">
        <f t="shared" si="571"/>
        <v>70007.077158325032</v>
      </c>
      <c r="T8700" cm="1">
        <f t="array" ref="T8700">IF(OR(B8700="MAL ALIMI", B8700="ÜRETİM GİRİŞ"), MIN(I8700, MAX(0, I8700 + SUM(SUMIFS($I$1:I8699, $C$1:C8699, C8700, $B$1:B8699, {"MAL ALIMI","ÜRETİM GİRİŞ"})) - VLOOKUP(C8700, 'STOK RAPORU'!$C$2:$I$1000, 4, 0))), 0)</f>
        <v>0</v>
      </c>
      <c r="U8700" s="22">
        <f t="shared" si="572"/>
        <v>0</v>
      </c>
      <c r="V8700">
        <f t="shared" si="573"/>
        <v>0</v>
      </c>
      <c r="W8700" s="22">
        <f t="shared" si="574"/>
        <v>0</v>
      </c>
    </row>
    <row r="8701" spans="1:23" hidden="1" x14ac:dyDescent="0.25">
      <c r="A8701" s="3"/>
      <c r="B8701" s="4"/>
      <c r="C8701" s="4"/>
      <c r="D8701" s="4"/>
      <c r="E8701" s="4"/>
      <c r="F8701" s="4"/>
      <c r="G8701" s="4"/>
      <c r="H8701" s="4"/>
      <c r="I8701" s="4"/>
      <c r="J8701" s="21">
        <f>IFERROR(VLOOKUP(C8701,'STOK KARTLARI'!$C$2:$K$2150,8,0),0)</f>
        <v>0</v>
      </c>
      <c r="K8701" s="21">
        <f t="shared" si="575"/>
        <v>0</v>
      </c>
      <c r="L8701" s="5">
        <f t="shared" si="577"/>
        <v>0</v>
      </c>
      <c r="M8701" s="4"/>
      <c r="N8701" s="4"/>
      <c r="O8701" s="5"/>
      <c r="P8701" s="5"/>
      <c r="Q8701" s="21">
        <f t="shared" si="578"/>
        <v>0</v>
      </c>
      <c r="R8701" s="21">
        <f t="shared" si="576"/>
        <v>0</v>
      </c>
      <c r="S8701" s="5">
        <f t="shared" si="571"/>
        <v>70007.077158325032</v>
      </c>
      <c r="T8701" cm="1">
        <f t="array" ref="T8701">IF(OR(B8701="MAL ALIMI", B8701="ÜRETİM GİRİŞ"), MIN(I8701, MAX(0, I8701 + SUM(SUMIFS($I$1:I8700, $C$1:C8700, C8701, $B$1:B8700, {"MAL ALIMI","ÜRETİM GİRİŞ"})) - VLOOKUP(C8701, 'STOK RAPORU'!$C$2:$I$1000, 4, 0))), 0)</f>
        <v>0</v>
      </c>
      <c r="U8701" s="22">
        <f t="shared" si="572"/>
        <v>0</v>
      </c>
      <c r="V8701">
        <f t="shared" si="573"/>
        <v>0</v>
      </c>
      <c r="W8701" s="22">
        <f t="shared" si="574"/>
        <v>0</v>
      </c>
    </row>
    <row r="8702" spans="1:23" hidden="1" x14ac:dyDescent="0.25">
      <c r="A8702" s="4"/>
      <c r="B8702" s="4"/>
      <c r="C8702" s="4"/>
      <c r="D8702" s="4"/>
      <c r="E8702" s="4"/>
      <c r="F8702" s="4"/>
      <c r="G8702" s="4"/>
      <c r="H8702" s="4"/>
      <c r="I8702" s="4"/>
      <c r="J8702" s="21">
        <f>IFERROR(VLOOKUP(C8702,'STOK KARTLARI'!$C$2:$K$2150,8,0),0)</f>
        <v>0</v>
      </c>
      <c r="K8702" s="21">
        <f t="shared" si="575"/>
        <v>0</v>
      </c>
      <c r="L8702" s="5">
        <f t="shared" si="577"/>
        <v>0</v>
      </c>
      <c r="M8702" s="4"/>
      <c r="N8702" s="4"/>
      <c r="O8702" s="5"/>
      <c r="P8702" s="5"/>
      <c r="Q8702" s="21">
        <f t="shared" si="578"/>
        <v>0</v>
      </c>
      <c r="R8702" s="21">
        <f t="shared" si="576"/>
        <v>0</v>
      </c>
      <c r="S8702" s="5">
        <f t="shared" si="571"/>
        <v>70007.077158325032</v>
      </c>
      <c r="T8702" cm="1">
        <f t="array" ref="T8702">IF(OR(B8702="MAL ALIMI", B8702="ÜRETİM GİRİŞ"), MIN(I8702, MAX(0, I8702 + SUM(SUMIFS($I$1:I8701, $C$1:C8701, C8702, $B$1:B8701, {"MAL ALIMI","ÜRETİM GİRİŞ"})) - VLOOKUP(C8702, 'STOK RAPORU'!$C$2:$I$1000, 4, 0))), 0)</f>
        <v>0</v>
      </c>
      <c r="U8702" s="22">
        <f t="shared" si="572"/>
        <v>0</v>
      </c>
      <c r="V8702">
        <f t="shared" si="573"/>
        <v>0</v>
      </c>
      <c r="W8702" s="22">
        <f t="shared" si="574"/>
        <v>0</v>
      </c>
    </row>
    <row r="8703" spans="1:23" hidden="1" x14ac:dyDescent="0.25">
      <c r="A8703" s="4"/>
      <c r="B8703" s="4"/>
      <c r="C8703" s="4"/>
      <c r="D8703" s="4"/>
      <c r="E8703" s="4"/>
      <c r="F8703" s="4"/>
      <c r="G8703" s="4"/>
      <c r="H8703" s="4"/>
      <c r="I8703" s="4"/>
      <c r="J8703" s="21">
        <f>IFERROR(VLOOKUP(C8703,'STOK KARTLARI'!$C$2:$K$2150,8,0),0)</f>
        <v>0</v>
      </c>
      <c r="K8703" s="21">
        <f t="shared" si="575"/>
        <v>0</v>
      </c>
      <c r="L8703" s="5">
        <f t="shared" si="577"/>
        <v>0</v>
      </c>
      <c r="M8703" s="4"/>
      <c r="N8703" s="4"/>
      <c r="O8703" s="5"/>
      <c r="P8703" s="5"/>
      <c r="Q8703" s="21">
        <f t="shared" si="578"/>
        <v>0</v>
      </c>
      <c r="R8703" s="21">
        <f t="shared" si="576"/>
        <v>0</v>
      </c>
      <c r="S8703" s="5">
        <f t="shared" si="571"/>
        <v>70007.077158325032</v>
      </c>
      <c r="T8703" cm="1">
        <f t="array" ref="T8703">IF(OR(B8703="MAL ALIMI", B8703="ÜRETİM GİRİŞ"), MIN(I8703, MAX(0, I8703 + SUM(SUMIFS($I$1:I8702, $C$1:C8702, C8703, $B$1:B8702, {"MAL ALIMI","ÜRETİM GİRİŞ"})) - VLOOKUP(C8703, 'STOK RAPORU'!$C$2:$I$1000, 4, 0))), 0)</f>
        <v>0</v>
      </c>
      <c r="U8703" s="22">
        <f t="shared" si="572"/>
        <v>0</v>
      </c>
      <c r="V8703">
        <f t="shared" si="573"/>
        <v>0</v>
      </c>
      <c r="W8703" s="22">
        <f t="shared" si="574"/>
        <v>0</v>
      </c>
    </row>
    <row r="8704" spans="1:23" hidden="1" x14ac:dyDescent="0.25">
      <c r="A8704" s="4"/>
      <c r="B8704" s="4"/>
      <c r="C8704" s="4"/>
      <c r="D8704" s="4"/>
      <c r="E8704" s="4"/>
      <c r="F8704" s="4"/>
      <c r="G8704" s="4"/>
      <c r="H8704" s="4"/>
      <c r="I8704" s="4"/>
      <c r="J8704" s="21">
        <f>IFERROR(VLOOKUP(C8704,'STOK KARTLARI'!$C$2:$K$2150,8,0),0)</f>
        <v>0</v>
      </c>
      <c r="K8704" s="21">
        <f t="shared" si="575"/>
        <v>0</v>
      </c>
      <c r="L8704" s="5">
        <f t="shared" si="577"/>
        <v>0</v>
      </c>
      <c r="M8704" s="4"/>
      <c r="N8704" s="4"/>
      <c r="O8704" s="5"/>
      <c r="P8704" s="5"/>
      <c r="Q8704" s="21">
        <f t="shared" si="578"/>
        <v>0</v>
      </c>
      <c r="R8704" s="21">
        <f t="shared" si="576"/>
        <v>0</v>
      </c>
      <c r="S8704" s="5">
        <f t="shared" si="571"/>
        <v>70007.077158325032</v>
      </c>
      <c r="T8704" cm="1">
        <f t="array" ref="T8704">IF(OR(B8704="MAL ALIMI", B8704="ÜRETİM GİRİŞ"), MIN(I8704, MAX(0, I8704 + SUM(SUMIFS($I$1:I8703, $C$1:C8703, C8704, $B$1:B8703, {"MAL ALIMI","ÜRETİM GİRİŞ"})) - VLOOKUP(C8704, 'STOK RAPORU'!$C$2:$I$1000, 4, 0))), 0)</f>
        <v>0</v>
      </c>
      <c r="U8704" s="22">
        <f t="shared" si="572"/>
        <v>0</v>
      </c>
      <c r="V8704">
        <f t="shared" si="573"/>
        <v>0</v>
      </c>
      <c r="W8704" s="22">
        <f t="shared" si="574"/>
        <v>0</v>
      </c>
    </row>
    <row r="8705" spans="1:23" hidden="1" x14ac:dyDescent="0.25">
      <c r="A8705" s="4"/>
      <c r="B8705" s="4"/>
      <c r="C8705" s="4"/>
      <c r="D8705" s="4"/>
      <c r="E8705" s="4"/>
      <c r="F8705" s="4"/>
      <c r="G8705" s="4"/>
      <c r="H8705" s="4"/>
      <c r="I8705" s="4"/>
      <c r="J8705" s="21">
        <f>IFERROR(VLOOKUP(C8705,'STOK KARTLARI'!$C$2:$K$2150,8,0),0)</f>
        <v>0</v>
      </c>
      <c r="K8705" s="21">
        <f t="shared" si="575"/>
        <v>0</v>
      </c>
      <c r="L8705" s="5">
        <f t="shared" si="577"/>
        <v>0</v>
      </c>
      <c r="M8705" s="4"/>
      <c r="N8705" s="4"/>
      <c r="O8705" s="5"/>
      <c r="P8705" s="5"/>
      <c r="Q8705" s="21">
        <f t="shared" si="578"/>
        <v>0</v>
      </c>
      <c r="R8705" s="21">
        <f t="shared" si="576"/>
        <v>0</v>
      </c>
      <c r="S8705" s="5">
        <f t="shared" si="571"/>
        <v>70007.077158325032</v>
      </c>
      <c r="T8705" cm="1">
        <f t="array" ref="T8705">IF(OR(B8705="MAL ALIMI", B8705="ÜRETİM GİRİŞ"), MIN(I8705, MAX(0, I8705 + SUM(SUMIFS($I$1:I8704, $C$1:C8704, C8705, $B$1:B8704, {"MAL ALIMI","ÜRETİM GİRİŞ"})) - VLOOKUP(C8705, 'STOK RAPORU'!$C$2:$I$1000, 4, 0))), 0)</f>
        <v>0</v>
      </c>
      <c r="U8705" s="22">
        <f t="shared" si="572"/>
        <v>0</v>
      </c>
      <c r="V8705">
        <f t="shared" si="573"/>
        <v>0</v>
      </c>
      <c r="W8705" s="22">
        <f t="shared" si="574"/>
        <v>0</v>
      </c>
    </row>
    <row r="8706" spans="1:23" hidden="1" x14ac:dyDescent="0.25">
      <c r="A8706" s="4"/>
      <c r="B8706" s="4"/>
      <c r="C8706" s="4"/>
      <c r="D8706" s="4"/>
      <c r="E8706" s="4"/>
      <c r="F8706" s="4"/>
      <c r="G8706" s="4"/>
      <c r="H8706" s="4"/>
      <c r="I8706" s="4"/>
      <c r="J8706" s="21">
        <f>IFERROR(VLOOKUP(C8706,'STOK KARTLARI'!$C$2:$K$2150,8,0),0)</f>
        <v>0</v>
      </c>
      <c r="K8706" s="21">
        <f t="shared" si="575"/>
        <v>0</v>
      </c>
      <c r="L8706" s="5">
        <f t="shared" si="577"/>
        <v>0</v>
      </c>
      <c r="M8706" s="4"/>
      <c r="N8706" s="4"/>
      <c r="O8706" s="5"/>
      <c r="P8706" s="5"/>
      <c r="Q8706" s="21">
        <f t="shared" si="578"/>
        <v>0</v>
      </c>
      <c r="R8706" s="21">
        <f t="shared" si="576"/>
        <v>0</v>
      </c>
      <c r="S8706" s="5">
        <f t="shared" si="571"/>
        <v>70007.077158325032</v>
      </c>
      <c r="T8706" cm="1">
        <f t="array" ref="T8706">IF(OR(B8706="MAL ALIMI", B8706="ÜRETİM GİRİŞ"), MIN(I8706, MAX(0, I8706 + SUM(SUMIFS($I$1:I8705, $C$1:C8705, C8706, $B$1:B8705, {"MAL ALIMI","ÜRETİM GİRİŞ"})) - VLOOKUP(C8706, 'STOK RAPORU'!$C$2:$I$1000, 4, 0))), 0)</f>
        <v>0</v>
      </c>
      <c r="U8706" s="22">
        <f t="shared" si="572"/>
        <v>0</v>
      </c>
      <c r="V8706">
        <f t="shared" si="573"/>
        <v>0</v>
      </c>
      <c r="W8706" s="22">
        <f t="shared" si="574"/>
        <v>0</v>
      </c>
    </row>
    <row r="8707" spans="1:23" hidden="1" x14ac:dyDescent="0.25">
      <c r="A8707" s="4"/>
      <c r="B8707" s="4"/>
      <c r="C8707" s="4"/>
      <c r="D8707" s="4"/>
      <c r="E8707" s="4"/>
      <c r="F8707" s="4"/>
      <c r="G8707" s="4"/>
      <c r="H8707" s="4"/>
      <c r="I8707" s="4"/>
      <c r="J8707" s="21">
        <f>IFERROR(VLOOKUP(C8707,'STOK KARTLARI'!$C$2:$K$2150,8,0),0)</f>
        <v>0</v>
      </c>
      <c r="K8707" s="21">
        <f t="shared" si="575"/>
        <v>0</v>
      </c>
      <c r="L8707" s="5">
        <f t="shared" si="577"/>
        <v>0</v>
      </c>
      <c r="M8707" s="4"/>
      <c r="N8707" s="4"/>
      <c r="O8707" s="5"/>
      <c r="P8707" s="5"/>
      <c r="Q8707" s="21">
        <f t="shared" si="578"/>
        <v>0</v>
      </c>
      <c r="R8707" s="21">
        <f t="shared" si="576"/>
        <v>0</v>
      </c>
      <c r="S8707" s="5">
        <f t="shared" si="571"/>
        <v>70007.077158325032</v>
      </c>
      <c r="T8707" cm="1">
        <f t="array" ref="T8707">IF(OR(B8707="MAL ALIMI", B8707="ÜRETİM GİRİŞ"), MIN(I8707, MAX(0, I8707 + SUM(SUMIFS($I$1:I8706, $C$1:C8706, C8707, $B$1:B8706, {"MAL ALIMI","ÜRETİM GİRİŞ"})) - VLOOKUP(C8707, 'STOK RAPORU'!$C$2:$I$1000, 4, 0))), 0)</f>
        <v>0</v>
      </c>
      <c r="U8707" s="22">
        <f t="shared" si="572"/>
        <v>0</v>
      </c>
      <c r="V8707">
        <f t="shared" si="573"/>
        <v>0</v>
      </c>
      <c r="W8707" s="22">
        <f t="shared" si="574"/>
        <v>0</v>
      </c>
    </row>
    <row r="8708" spans="1:23" hidden="1" x14ac:dyDescent="0.25">
      <c r="A8708" s="3"/>
      <c r="B8708" s="4"/>
      <c r="C8708" s="4"/>
      <c r="D8708" s="4"/>
      <c r="E8708" s="4"/>
      <c r="F8708" s="4"/>
      <c r="G8708" s="4"/>
      <c r="H8708" s="4"/>
      <c r="I8708" s="4"/>
      <c r="J8708" s="21">
        <f>IFERROR(VLOOKUP(C8708,'STOK KARTLARI'!$C$2:$K$2150,8,0),0)</f>
        <v>0</v>
      </c>
      <c r="K8708" s="21">
        <f t="shared" si="575"/>
        <v>0</v>
      </c>
      <c r="L8708" s="5">
        <f t="shared" si="577"/>
        <v>0</v>
      </c>
      <c r="M8708" s="4"/>
      <c r="N8708" s="4"/>
      <c r="O8708" s="5"/>
      <c r="P8708" s="5"/>
      <c r="Q8708" s="21">
        <f t="shared" si="578"/>
        <v>0</v>
      </c>
      <c r="R8708" s="21">
        <f t="shared" si="576"/>
        <v>0</v>
      </c>
      <c r="S8708" s="5">
        <f t="shared" si="571"/>
        <v>70007.077158325032</v>
      </c>
      <c r="T8708" cm="1">
        <f t="array" ref="T8708">IF(OR(B8708="MAL ALIMI", B8708="ÜRETİM GİRİŞ"), MIN(I8708, MAX(0, I8708 + SUM(SUMIFS($I$1:I8707, $C$1:C8707, C8708, $B$1:B8707, {"MAL ALIMI","ÜRETİM GİRİŞ"})) - VLOOKUP(C8708, 'STOK RAPORU'!$C$2:$I$1000, 4, 0))), 0)</f>
        <v>0</v>
      </c>
      <c r="U8708" s="22">
        <f t="shared" si="572"/>
        <v>0</v>
      </c>
      <c r="V8708">
        <f t="shared" si="573"/>
        <v>0</v>
      </c>
      <c r="W8708" s="22">
        <f t="shared" si="574"/>
        <v>0</v>
      </c>
    </row>
    <row r="8709" spans="1:23" hidden="1" x14ac:dyDescent="0.25">
      <c r="A8709" s="4"/>
      <c r="B8709" s="4"/>
      <c r="C8709" s="4"/>
      <c r="D8709" s="4"/>
      <c r="E8709" s="4"/>
      <c r="F8709" s="4"/>
      <c r="G8709" s="4"/>
      <c r="H8709" s="4"/>
      <c r="I8709" s="4"/>
      <c r="J8709" s="21">
        <f>IFERROR(VLOOKUP(C8709,'STOK KARTLARI'!$C$2:$K$2150,8,0),0)</f>
        <v>0</v>
      </c>
      <c r="K8709" s="21">
        <f t="shared" si="575"/>
        <v>0</v>
      </c>
      <c r="L8709" s="5">
        <f t="shared" si="577"/>
        <v>0</v>
      </c>
      <c r="M8709" s="4"/>
      <c r="N8709" s="4"/>
      <c r="O8709" s="5"/>
      <c r="P8709" s="5"/>
      <c r="Q8709" s="21">
        <f t="shared" si="578"/>
        <v>0</v>
      </c>
      <c r="R8709" s="21">
        <f t="shared" si="576"/>
        <v>0</v>
      </c>
      <c r="S8709" s="5">
        <f t="shared" ref="S8709:S8772" si="579">S8708+Q8709-R8709</f>
        <v>70007.077158325032</v>
      </c>
      <c r="T8709" cm="1">
        <f t="array" ref="T8709">IF(OR(B8709="MAL ALIMI", B8709="ÜRETİM GİRİŞ"), MIN(I8709, MAX(0, I8709 + SUM(SUMIFS($I$1:I8708, $C$1:C8708, C8709, $B$1:B8708, {"MAL ALIMI","ÜRETİM GİRİŞ"})) - VLOOKUP(C8709, 'STOK RAPORU'!$C$2:$I$1000, 4, 0))), 0)</f>
        <v>0</v>
      </c>
      <c r="U8709" s="22">
        <f t="shared" si="572"/>
        <v>0</v>
      </c>
      <c r="V8709">
        <f t="shared" si="573"/>
        <v>0</v>
      </c>
      <c r="W8709" s="22">
        <f t="shared" si="574"/>
        <v>0</v>
      </c>
    </row>
    <row r="8710" spans="1:23" hidden="1" x14ac:dyDescent="0.25">
      <c r="A8710" s="4"/>
      <c r="B8710" s="4"/>
      <c r="C8710" s="4"/>
      <c r="D8710" s="4"/>
      <c r="E8710" s="4"/>
      <c r="F8710" s="4"/>
      <c r="G8710" s="4"/>
      <c r="H8710" s="4"/>
      <c r="I8710" s="4"/>
      <c r="J8710" s="21">
        <f>IFERROR(VLOOKUP(C8710,'STOK KARTLARI'!$C$2:$K$2150,8,0),0)</f>
        <v>0</v>
      </c>
      <c r="K8710" s="21">
        <f t="shared" si="575"/>
        <v>0</v>
      </c>
      <c r="L8710" s="5">
        <f t="shared" si="577"/>
        <v>0</v>
      </c>
      <c r="M8710" s="4"/>
      <c r="N8710" s="4"/>
      <c r="O8710" s="5"/>
      <c r="P8710" s="5"/>
      <c r="Q8710" s="21">
        <f t="shared" si="578"/>
        <v>0</v>
      </c>
      <c r="R8710" s="21">
        <f t="shared" si="576"/>
        <v>0</v>
      </c>
      <c r="S8710" s="5">
        <f t="shared" si="579"/>
        <v>70007.077158325032</v>
      </c>
      <c r="T8710" cm="1">
        <f t="array" ref="T8710">IF(OR(B8710="MAL ALIMI", B8710="ÜRETİM GİRİŞ"), MIN(I8710, MAX(0, I8710 + SUM(SUMIFS($I$1:I8709, $C$1:C8709, C8710, $B$1:B8709, {"MAL ALIMI","ÜRETİM GİRİŞ"})) - VLOOKUP(C8710, 'STOK RAPORU'!$C$2:$I$1000, 4, 0))), 0)</f>
        <v>0</v>
      </c>
      <c r="U8710" s="22">
        <f t="shared" si="572"/>
        <v>0</v>
      </c>
      <c r="V8710">
        <f t="shared" si="573"/>
        <v>0</v>
      </c>
      <c r="W8710" s="22">
        <f t="shared" si="574"/>
        <v>0</v>
      </c>
    </row>
    <row r="8711" spans="1:23" hidden="1" x14ac:dyDescent="0.25">
      <c r="A8711" s="4"/>
      <c r="B8711" s="4"/>
      <c r="C8711" s="4"/>
      <c r="D8711" s="4"/>
      <c r="E8711" s="4"/>
      <c r="F8711" s="4"/>
      <c r="G8711" s="4"/>
      <c r="H8711" s="4"/>
      <c r="I8711" s="4"/>
      <c r="J8711" s="21">
        <f>IFERROR(VLOOKUP(C8711,'STOK KARTLARI'!$C$2:$K$2150,8,0),0)</f>
        <v>0</v>
      </c>
      <c r="K8711" s="21">
        <f t="shared" si="575"/>
        <v>0</v>
      </c>
      <c r="L8711" s="5">
        <f t="shared" si="577"/>
        <v>0</v>
      </c>
      <c r="M8711" s="4"/>
      <c r="N8711" s="4"/>
      <c r="O8711" s="5"/>
      <c r="P8711" s="5"/>
      <c r="Q8711" s="21">
        <f t="shared" si="578"/>
        <v>0</v>
      </c>
      <c r="R8711" s="21">
        <f t="shared" si="576"/>
        <v>0</v>
      </c>
      <c r="S8711" s="5">
        <f t="shared" si="579"/>
        <v>70007.077158325032</v>
      </c>
      <c r="T8711" cm="1">
        <f t="array" ref="T8711">IF(OR(B8711="MAL ALIMI", B8711="ÜRETİM GİRİŞ"), MIN(I8711, MAX(0, I8711 + SUM(SUMIFS($I$1:I8710, $C$1:C8710, C8711, $B$1:B8710, {"MAL ALIMI","ÜRETİM GİRİŞ"})) - VLOOKUP(C8711, 'STOK RAPORU'!$C$2:$I$1000, 4, 0))), 0)</f>
        <v>0</v>
      </c>
      <c r="U8711" s="22">
        <f t="shared" si="572"/>
        <v>0</v>
      </c>
      <c r="V8711">
        <f t="shared" si="573"/>
        <v>0</v>
      </c>
      <c r="W8711" s="22">
        <f t="shared" si="574"/>
        <v>0</v>
      </c>
    </row>
    <row r="8712" spans="1:23" hidden="1" x14ac:dyDescent="0.25">
      <c r="A8712" s="4"/>
      <c r="B8712" s="4"/>
      <c r="C8712" s="4"/>
      <c r="D8712" s="4"/>
      <c r="E8712" s="4"/>
      <c r="F8712" s="4"/>
      <c r="G8712" s="4"/>
      <c r="H8712" s="4"/>
      <c r="I8712" s="4"/>
      <c r="J8712" s="21">
        <f>IFERROR(VLOOKUP(C8712,'STOK KARTLARI'!$C$2:$K$2150,8,0),0)</f>
        <v>0</v>
      </c>
      <c r="K8712" s="21">
        <f t="shared" si="575"/>
        <v>0</v>
      </c>
      <c r="L8712" s="5">
        <f t="shared" si="577"/>
        <v>0</v>
      </c>
      <c r="M8712" s="4"/>
      <c r="N8712" s="4"/>
      <c r="O8712" s="5"/>
      <c r="P8712" s="5"/>
      <c r="Q8712" s="21">
        <f t="shared" si="578"/>
        <v>0</v>
      </c>
      <c r="R8712" s="21">
        <f t="shared" si="576"/>
        <v>0</v>
      </c>
      <c r="S8712" s="5">
        <f t="shared" si="579"/>
        <v>70007.077158325032</v>
      </c>
      <c r="T8712" cm="1">
        <f t="array" ref="T8712">IF(OR(B8712="MAL ALIMI", B8712="ÜRETİM GİRİŞ"), MIN(I8712, MAX(0, I8712 + SUM(SUMIFS($I$1:I8711, $C$1:C8711, C8712, $B$1:B8711, {"MAL ALIMI","ÜRETİM GİRİŞ"})) - VLOOKUP(C8712, 'STOK RAPORU'!$C$2:$I$1000, 4, 0))), 0)</f>
        <v>0</v>
      </c>
      <c r="U8712" s="22">
        <f t="shared" si="572"/>
        <v>0</v>
      </c>
      <c r="V8712">
        <f t="shared" si="573"/>
        <v>0</v>
      </c>
      <c r="W8712" s="22">
        <f t="shared" si="574"/>
        <v>0</v>
      </c>
    </row>
    <row r="8713" spans="1:23" hidden="1" x14ac:dyDescent="0.25">
      <c r="A8713" s="4"/>
      <c r="B8713" s="4"/>
      <c r="C8713" s="4"/>
      <c r="D8713" s="4"/>
      <c r="E8713" s="4"/>
      <c r="F8713" s="4"/>
      <c r="G8713" s="4"/>
      <c r="H8713" s="4"/>
      <c r="I8713" s="4"/>
      <c r="J8713" s="21">
        <f>IFERROR(VLOOKUP(C8713,'STOK KARTLARI'!$C$2:$K$2150,8,0),0)</f>
        <v>0</v>
      </c>
      <c r="K8713" s="21">
        <f t="shared" si="575"/>
        <v>0</v>
      </c>
      <c r="L8713" s="5">
        <f t="shared" si="577"/>
        <v>0</v>
      </c>
      <c r="M8713" s="4"/>
      <c r="N8713" s="4"/>
      <c r="O8713" s="5"/>
      <c r="P8713" s="5"/>
      <c r="Q8713" s="21">
        <f t="shared" si="578"/>
        <v>0</v>
      </c>
      <c r="R8713" s="21">
        <f t="shared" si="576"/>
        <v>0</v>
      </c>
      <c r="S8713" s="5">
        <f t="shared" si="579"/>
        <v>70007.077158325032</v>
      </c>
      <c r="T8713" cm="1">
        <f t="array" ref="T8713">IF(OR(B8713="MAL ALIMI", B8713="ÜRETİM GİRİŞ"), MIN(I8713, MAX(0, I8713 + SUM(SUMIFS($I$1:I8712, $C$1:C8712, C8713, $B$1:B8712, {"MAL ALIMI","ÜRETİM GİRİŞ"})) - VLOOKUP(C8713, 'STOK RAPORU'!$C$2:$I$1000, 4, 0))), 0)</f>
        <v>0</v>
      </c>
      <c r="U8713" s="22">
        <f t="shared" si="572"/>
        <v>0</v>
      </c>
      <c r="V8713">
        <f t="shared" si="573"/>
        <v>0</v>
      </c>
      <c r="W8713" s="22">
        <f t="shared" si="574"/>
        <v>0</v>
      </c>
    </row>
    <row r="8714" spans="1:23" hidden="1" x14ac:dyDescent="0.25">
      <c r="A8714" s="4"/>
      <c r="B8714" s="4"/>
      <c r="C8714" s="4"/>
      <c r="D8714" s="4"/>
      <c r="E8714" s="4"/>
      <c r="F8714" s="4"/>
      <c r="G8714" s="4"/>
      <c r="H8714" s="4"/>
      <c r="I8714" s="4"/>
      <c r="J8714" s="21">
        <f>IFERROR(VLOOKUP(C8714,'STOK KARTLARI'!$C$2:$K$2150,8,0),0)</f>
        <v>0</v>
      </c>
      <c r="K8714" s="21">
        <f t="shared" si="575"/>
        <v>0</v>
      </c>
      <c r="L8714" s="5">
        <f t="shared" si="577"/>
        <v>0</v>
      </c>
      <c r="M8714" s="4"/>
      <c r="N8714" s="4"/>
      <c r="O8714" s="5"/>
      <c r="P8714" s="5"/>
      <c r="Q8714" s="21">
        <f t="shared" si="578"/>
        <v>0</v>
      </c>
      <c r="R8714" s="21">
        <f t="shared" si="576"/>
        <v>0</v>
      </c>
      <c r="S8714" s="5">
        <f t="shared" si="579"/>
        <v>70007.077158325032</v>
      </c>
      <c r="T8714" cm="1">
        <f t="array" ref="T8714">IF(OR(B8714="MAL ALIMI", B8714="ÜRETİM GİRİŞ"), MIN(I8714, MAX(0, I8714 + SUM(SUMIFS($I$1:I8713, $C$1:C8713, C8714, $B$1:B8713, {"MAL ALIMI","ÜRETİM GİRİŞ"})) - VLOOKUP(C8714, 'STOK RAPORU'!$C$2:$I$1000, 4, 0))), 0)</f>
        <v>0</v>
      </c>
      <c r="U8714" s="22">
        <f t="shared" si="572"/>
        <v>0</v>
      </c>
      <c r="V8714">
        <f t="shared" si="573"/>
        <v>0</v>
      </c>
      <c r="W8714" s="22">
        <f t="shared" si="574"/>
        <v>0</v>
      </c>
    </row>
    <row r="8715" spans="1:23" hidden="1" x14ac:dyDescent="0.25">
      <c r="A8715" s="3"/>
      <c r="B8715" s="4"/>
      <c r="C8715" s="4"/>
      <c r="D8715" s="4"/>
      <c r="E8715" s="4"/>
      <c r="F8715" s="4"/>
      <c r="G8715" s="4"/>
      <c r="H8715" s="4"/>
      <c r="I8715" s="4"/>
      <c r="J8715" s="21">
        <f>IFERROR(VLOOKUP(C8715,'STOK KARTLARI'!$C$2:$K$2150,8,0),0)</f>
        <v>0</v>
      </c>
      <c r="K8715" s="21">
        <f t="shared" si="575"/>
        <v>0</v>
      </c>
      <c r="L8715" s="5">
        <f t="shared" si="577"/>
        <v>0</v>
      </c>
      <c r="M8715" s="4"/>
      <c r="N8715" s="4"/>
      <c r="O8715" s="5"/>
      <c r="P8715" s="5"/>
      <c r="Q8715" s="21">
        <f t="shared" si="578"/>
        <v>0</v>
      </c>
      <c r="R8715" s="21">
        <f t="shared" si="576"/>
        <v>0</v>
      </c>
      <c r="S8715" s="5">
        <f t="shared" si="579"/>
        <v>70007.077158325032</v>
      </c>
      <c r="T8715" cm="1">
        <f t="array" ref="T8715">IF(OR(B8715="MAL ALIMI", B8715="ÜRETİM GİRİŞ"), MIN(I8715, MAX(0, I8715 + SUM(SUMIFS($I$1:I8714, $C$1:C8714, C8715, $B$1:B8714, {"MAL ALIMI","ÜRETİM GİRİŞ"})) - VLOOKUP(C8715, 'STOK RAPORU'!$C$2:$I$1000, 4, 0))), 0)</f>
        <v>0</v>
      </c>
      <c r="U8715" s="22">
        <f t="shared" si="572"/>
        <v>0</v>
      </c>
      <c r="V8715">
        <f t="shared" si="573"/>
        <v>0</v>
      </c>
      <c r="W8715" s="22">
        <f t="shared" si="574"/>
        <v>0</v>
      </c>
    </row>
    <row r="8716" spans="1:23" hidden="1" x14ac:dyDescent="0.25">
      <c r="A8716" s="4"/>
      <c r="B8716" s="4"/>
      <c r="C8716" s="4"/>
      <c r="D8716" s="4"/>
      <c r="E8716" s="4"/>
      <c r="F8716" s="4"/>
      <c r="G8716" s="4"/>
      <c r="H8716" s="4"/>
      <c r="I8716" s="4"/>
      <c r="J8716" s="21">
        <f>IFERROR(VLOOKUP(C8716,'STOK KARTLARI'!$C$2:$K$2150,8,0),0)</f>
        <v>0</v>
      </c>
      <c r="K8716" s="21">
        <f t="shared" si="575"/>
        <v>0</v>
      </c>
      <c r="L8716" s="5">
        <f t="shared" si="577"/>
        <v>0</v>
      </c>
      <c r="M8716" s="4"/>
      <c r="N8716" s="4"/>
      <c r="O8716" s="5"/>
      <c r="P8716" s="5"/>
      <c r="Q8716" s="21">
        <f t="shared" si="578"/>
        <v>0</v>
      </c>
      <c r="R8716" s="21">
        <f t="shared" si="576"/>
        <v>0</v>
      </c>
      <c r="S8716" s="5">
        <f t="shared" si="579"/>
        <v>70007.077158325032</v>
      </c>
      <c r="T8716" cm="1">
        <f t="array" ref="T8716">IF(OR(B8716="MAL ALIMI", B8716="ÜRETİM GİRİŞ"), MIN(I8716, MAX(0, I8716 + SUM(SUMIFS($I$1:I8715, $C$1:C8715, C8716, $B$1:B8715, {"MAL ALIMI","ÜRETİM GİRİŞ"})) - VLOOKUP(C8716, 'STOK RAPORU'!$C$2:$I$1000, 4, 0))), 0)</f>
        <v>0</v>
      </c>
      <c r="U8716" s="22">
        <f t="shared" si="572"/>
        <v>0</v>
      </c>
      <c r="V8716">
        <f t="shared" si="573"/>
        <v>0</v>
      </c>
      <c r="W8716" s="22">
        <f t="shared" si="574"/>
        <v>0</v>
      </c>
    </row>
    <row r="8717" spans="1:23" hidden="1" x14ac:dyDescent="0.25">
      <c r="A8717" s="4"/>
      <c r="B8717" s="4"/>
      <c r="C8717" s="4"/>
      <c r="D8717" s="4"/>
      <c r="E8717" s="4"/>
      <c r="F8717" s="4"/>
      <c r="G8717" s="4"/>
      <c r="H8717" s="4"/>
      <c r="I8717" s="4"/>
      <c r="J8717" s="21">
        <f>IFERROR(VLOOKUP(C8717,'STOK KARTLARI'!$C$2:$K$2150,8,0),0)</f>
        <v>0</v>
      </c>
      <c r="K8717" s="21">
        <f t="shared" si="575"/>
        <v>0</v>
      </c>
      <c r="L8717" s="5">
        <f t="shared" si="577"/>
        <v>0</v>
      </c>
      <c r="M8717" s="4"/>
      <c r="N8717" s="4"/>
      <c r="O8717" s="5"/>
      <c r="P8717" s="5"/>
      <c r="Q8717" s="21">
        <f t="shared" si="578"/>
        <v>0</v>
      </c>
      <c r="R8717" s="21">
        <f t="shared" si="576"/>
        <v>0</v>
      </c>
      <c r="S8717" s="5">
        <f t="shared" si="579"/>
        <v>70007.077158325032</v>
      </c>
      <c r="T8717" cm="1">
        <f t="array" ref="T8717">IF(OR(B8717="MAL ALIMI", B8717="ÜRETİM GİRİŞ"), MIN(I8717, MAX(0, I8717 + SUM(SUMIFS($I$1:I8716, $C$1:C8716, C8717, $B$1:B8716, {"MAL ALIMI","ÜRETİM GİRİŞ"})) - VLOOKUP(C8717, 'STOK RAPORU'!$C$2:$I$1000, 4, 0))), 0)</f>
        <v>0</v>
      </c>
      <c r="U8717" s="22">
        <f t="shared" si="572"/>
        <v>0</v>
      </c>
      <c r="V8717">
        <f t="shared" si="573"/>
        <v>0</v>
      </c>
      <c r="W8717" s="22">
        <f t="shared" si="574"/>
        <v>0</v>
      </c>
    </row>
    <row r="8718" spans="1:23" hidden="1" x14ac:dyDescent="0.25">
      <c r="A8718" s="4"/>
      <c r="B8718" s="4"/>
      <c r="C8718" s="4"/>
      <c r="D8718" s="4"/>
      <c r="E8718" s="4"/>
      <c r="F8718" s="4"/>
      <c r="G8718" s="4"/>
      <c r="H8718" s="4"/>
      <c r="I8718" s="4"/>
      <c r="J8718" s="21">
        <f>IFERROR(VLOOKUP(C8718,'STOK KARTLARI'!$C$2:$K$2150,8,0),0)</f>
        <v>0</v>
      </c>
      <c r="K8718" s="21">
        <f t="shared" si="575"/>
        <v>0</v>
      </c>
      <c r="L8718" s="5">
        <f t="shared" si="577"/>
        <v>0</v>
      </c>
      <c r="M8718" s="4"/>
      <c r="N8718" s="4"/>
      <c r="O8718" s="5"/>
      <c r="P8718" s="5"/>
      <c r="Q8718" s="21">
        <f t="shared" si="578"/>
        <v>0</v>
      </c>
      <c r="R8718" s="21">
        <f t="shared" si="576"/>
        <v>0</v>
      </c>
      <c r="S8718" s="5">
        <f t="shared" si="579"/>
        <v>70007.077158325032</v>
      </c>
      <c r="T8718" cm="1">
        <f t="array" ref="T8718">IF(OR(B8718="MAL ALIMI", B8718="ÜRETİM GİRİŞ"), MIN(I8718, MAX(0, I8718 + SUM(SUMIFS($I$1:I8717, $C$1:C8717, C8718, $B$1:B8717, {"MAL ALIMI","ÜRETİM GİRİŞ"})) - VLOOKUP(C8718, 'STOK RAPORU'!$C$2:$I$1000, 4, 0))), 0)</f>
        <v>0</v>
      </c>
      <c r="U8718" s="22">
        <f t="shared" si="572"/>
        <v>0</v>
      </c>
      <c r="V8718">
        <f t="shared" si="573"/>
        <v>0</v>
      </c>
      <c r="W8718" s="22">
        <f t="shared" si="574"/>
        <v>0</v>
      </c>
    </row>
    <row r="8719" spans="1:23" hidden="1" x14ac:dyDescent="0.25">
      <c r="A8719" s="4"/>
      <c r="B8719" s="4"/>
      <c r="C8719" s="4"/>
      <c r="D8719" s="4"/>
      <c r="E8719" s="4"/>
      <c r="F8719" s="4"/>
      <c r="G8719" s="4"/>
      <c r="H8719" s="4"/>
      <c r="I8719" s="4"/>
      <c r="J8719" s="21">
        <f>IFERROR(VLOOKUP(C8719,'STOK KARTLARI'!$C$2:$K$2150,8,0),0)</f>
        <v>0</v>
      </c>
      <c r="K8719" s="21">
        <f t="shared" si="575"/>
        <v>0</v>
      </c>
      <c r="L8719" s="5">
        <f t="shared" si="577"/>
        <v>0</v>
      </c>
      <c r="M8719" s="4"/>
      <c r="N8719" s="4"/>
      <c r="O8719" s="5"/>
      <c r="P8719" s="5"/>
      <c r="Q8719" s="21">
        <f t="shared" si="578"/>
        <v>0</v>
      </c>
      <c r="R8719" s="21">
        <f t="shared" si="576"/>
        <v>0</v>
      </c>
      <c r="S8719" s="5">
        <f t="shared" si="579"/>
        <v>70007.077158325032</v>
      </c>
      <c r="T8719" cm="1">
        <f t="array" ref="T8719">IF(OR(B8719="MAL ALIMI", B8719="ÜRETİM GİRİŞ"), MIN(I8719, MAX(0, I8719 + SUM(SUMIFS($I$1:I8718, $C$1:C8718, C8719, $B$1:B8718, {"MAL ALIMI","ÜRETİM GİRİŞ"})) - VLOOKUP(C8719, 'STOK RAPORU'!$C$2:$I$1000, 4, 0))), 0)</f>
        <v>0</v>
      </c>
      <c r="U8719" s="22">
        <f t="shared" si="572"/>
        <v>0</v>
      </c>
      <c r="V8719">
        <f t="shared" si="573"/>
        <v>0</v>
      </c>
      <c r="W8719" s="22">
        <f t="shared" si="574"/>
        <v>0</v>
      </c>
    </row>
    <row r="8720" spans="1:23" hidden="1" x14ac:dyDescent="0.25">
      <c r="A8720" s="4"/>
      <c r="B8720" s="4"/>
      <c r="C8720" s="4"/>
      <c r="D8720" s="4"/>
      <c r="E8720" s="4"/>
      <c r="F8720" s="4"/>
      <c r="G8720" s="4"/>
      <c r="H8720" s="4"/>
      <c r="I8720" s="4"/>
      <c r="J8720" s="21">
        <f>IFERROR(VLOOKUP(C8720,'STOK KARTLARI'!$C$2:$K$2150,8,0),0)</f>
        <v>0</v>
      </c>
      <c r="K8720" s="21">
        <f t="shared" si="575"/>
        <v>0</v>
      </c>
      <c r="L8720" s="5">
        <f t="shared" si="577"/>
        <v>0</v>
      </c>
      <c r="M8720" s="4"/>
      <c r="N8720" s="4"/>
      <c r="O8720" s="5"/>
      <c r="P8720" s="5"/>
      <c r="Q8720" s="21">
        <f t="shared" si="578"/>
        <v>0</v>
      </c>
      <c r="R8720" s="21">
        <f t="shared" si="576"/>
        <v>0</v>
      </c>
      <c r="S8720" s="5">
        <f t="shared" si="579"/>
        <v>70007.077158325032</v>
      </c>
      <c r="T8720" cm="1">
        <f t="array" ref="T8720">IF(OR(B8720="MAL ALIMI", B8720="ÜRETİM GİRİŞ"), MIN(I8720, MAX(0, I8720 + SUM(SUMIFS($I$1:I8719, $C$1:C8719, C8720, $B$1:B8719, {"MAL ALIMI","ÜRETİM GİRİŞ"})) - VLOOKUP(C8720, 'STOK RAPORU'!$C$2:$I$1000, 4, 0))), 0)</f>
        <v>0</v>
      </c>
      <c r="U8720" s="22">
        <f t="shared" si="572"/>
        <v>0</v>
      </c>
      <c r="V8720">
        <f t="shared" si="573"/>
        <v>0</v>
      </c>
      <c r="W8720" s="22">
        <f t="shared" si="574"/>
        <v>0</v>
      </c>
    </row>
    <row r="8721" spans="1:23" hidden="1" x14ac:dyDescent="0.25">
      <c r="A8721" s="4"/>
      <c r="B8721" s="4"/>
      <c r="C8721" s="4"/>
      <c r="D8721" s="4"/>
      <c r="E8721" s="4"/>
      <c r="F8721" s="4"/>
      <c r="G8721" s="4"/>
      <c r="H8721" s="4"/>
      <c r="I8721" s="4"/>
      <c r="J8721" s="21">
        <f>IFERROR(VLOOKUP(C8721,'STOK KARTLARI'!$C$2:$K$2150,8,0),0)</f>
        <v>0</v>
      </c>
      <c r="K8721" s="21">
        <f t="shared" si="575"/>
        <v>0</v>
      </c>
      <c r="L8721" s="5">
        <f t="shared" si="577"/>
        <v>0</v>
      </c>
      <c r="M8721" s="4"/>
      <c r="N8721" s="4"/>
      <c r="O8721" s="5"/>
      <c r="P8721" s="5"/>
      <c r="Q8721" s="21">
        <f t="shared" si="578"/>
        <v>0</v>
      </c>
      <c r="R8721" s="21">
        <f t="shared" si="576"/>
        <v>0</v>
      </c>
      <c r="S8721" s="5">
        <f t="shared" si="579"/>
        <v>70007.077158325032</v>
      </c>
      <c r="T8721" cm="1">
        <f t="array" ref="T8721">IF(OR(B8721="MAL ALIMI", B8721="ÜRETİM GİRİŞ"), MIN(I8721, MAX(0, I8721 + SUM(SUMIFS($I$1:I8720, $C$1:C8720, C8721, $B$1:B8720, {"MAL ALIMI","ÜRETİM GİRİŞ"})) - VLOOKUP(C8721, 'STOK RAPORU'!$C$2:$I$1000, 4, 0))), 0)</f>
        <v>0</v>
      </c>
      <c r="U8721" s="22">
        <f t="shared" si="572"/>
        <v>0</v>
      </c>
      <c r="V8721">
        <f t="shared" si="573"/>
        <v>0</v>
      </c>
      <c r="W8721" s="22">
        <f t="shared" si="574"/>
        <v>0</v>
      </c>
    </row>
    <row r="8722" spans="1:23" hidden="1" x14ac:dyDescent="0.25">
      <c r="A8722" s="3"/>
      <c r="B8722" s="4"/>
      <c r="C8722" s="4"/>
      <c r="D8722" s="4"/>
      <c r="E8722" s="4"/>
      <c r="F8722" s="4"/>
      <c r="G8722" s="4"/>
      <c r="H8722" s="4"/>
      <c r="I8722" s="4"/>
      <c r="J8722" s="21">
        <f>IFERROR(VLOOKUP(C8722,'STOK KARTLARI'!$C$2:$K$2150,8,0),0)</f>
        <v>0</v>
      </c>
      <c r="K8722" s="21">
        <f t="shared" si="575"/>
        <v>0</v>
      </c>
      <c r="L8722" s="5">
        <f t="shared" si="577"/>
        <v>0</v>
      </c>
      <c r="M8722" s="4"/>
      <c r="N8722" s="4"/>
      <c r="O8722" s="5"/>
      <c r="P8722" s="5"/>
      <c r="Q8722" s="21">
        <f t="shared" si="578"/>
        <v>0</v>
      </c>
      <c r="R8722" s="21">
        <f t="shared" si="576"/>
        <v>0</v>
      </c>
      <c r="S8722" s="5">
        <f t="shared" si="579"/>
        <v>70007.077158325032</v>
      </c>
      <c r="T8722" cm="1">
        <f t="array" ref="T8722">IF(OR(B8722="MAL ALIMI", B8722="ÜRETİM GİRİŞ"), MIN(I8722, MAX(0, I8722 + SUM(SUMIFS($I$1:I8721, $C$1:C8721, C8722, $B$1:B8721, {"MAL ALIMI","ÜRETİM GİRİŞ"})) - VLOOKUP(C8722, 'STOK RAPORU'!$C$2:$I$1000, 4, 0))), 0)</f>
        <v>0</v>
      </c>
      <c r="U8722" s="22">
        <f t="shared" si="572"/>
        <v>0</v>
      </c>
      <c r="V8722">
        <f t="shared" si="573"/>
        <v>0</v>
      </c>
      <c r="W8722" s="22">
        <f t="shared" si="574"/>
        <v>0</v>
      </c>
    </row>
    <row r="8723" spans="1:23" hidden="1" x14ac:dyDescent="0.25">
      <c r="A8723" s="4"/>
      <c r="B8723" s="4"/>
      <c r="C8723" s="4"/>
      <c r="D8723" s="4"/>
      <c r="E8723" s="4"/>
      <c r="F8723" s="4"/>
      <c r="G8723" s="4"/>
      <c r="H8723" s="4"/>
      <c r="I8723" s="4"/>
      <c r="J8723" s="21">
        <f>IFERROR(VLOOKUP(C8723,'STOK KARTLARI'!$C$2:$K$2150,8,0),0)</f>
        <v>0</v>
      </c>
      <c r="K8723" s="21">
        <f t="shared" si="575"/>
        <v>0</v>
      </c>
      <c r="L8723" s="5">
        <f t="shared" si="577"/>
        <v>0</v>
      </c>
      <c r="M8723" s="4"/>
      <c r="N8723" s="4"/>
      <c r="O8723" s="5"/>
      <c r="P8723" s="5"/>
      <c r="Q8723" s="21">
        <f t="shared" si="578"/>
        <v>0</v>
      </c>
      <c r="R8723" s="21">
        <f t="shared" si="576"/>
        <v>0</v>
      </c>
      <c r="S8723" s="5">
        <f t="shared" si="579"/>
        <v>70007.077158325032</v>
      </c>
      <c r="T8723" cm="1">
        <f t="array" ref="T8723">IF(OR(B8723="MAL ALIMI", B8723="ÜRETİM GİRİŞ"), MIN(I8723, MAX(0, I8723 + SUM(SUMIFS($I$1:I8722, $C$1:C8722, C8723, $B$1:B8722, {"MAL ALIMI","ÜRETİM GİRİŞ"})) - VLOOKUP(C8723, 'STOK RAPORU'!$C$2:$I$1000, 4, 0))), 0)</f>
        <v>0</v>
      </c>
      <c r="U8723" s="22">
        <f t="shared" si="572"/>
        <v>0</v>
      </c>
      <c r="V8723">
        <f t="shared" si="573"/>
        <v>0</v>
      </c>
      <c r="W8723" s="22">
        <f t="shared" si="574"/>
        <v>0</v>
      </c>
    </row>
    <row r="8724" spans="1:23" hidden="1" x14ac:dyDescent="0.25">
      <c r="A8724" s="4"/>
      <c r="B8724" s="4"/>
      <c r="C8724" s="4"/>
      <c r="D8724" s="4"/>
      <c r="E8724" s="4"/>
      <c r="F8724" s="4"/>
      <c r="G8724" s="4"/>
      <c r="H8724" s="4"/>
      <c r="I8724" s="4"/>
      <c r="J8724" s="21">
        <f>IFERROR(VLOOKUP(C8724,'STOK KARTLARI'!$C$2:$K$2150,8,0),0)</f>
        <v>0</v>
      </c>
      <c r="K8724" s="21">
        <f t="shared" si="575"/>
        <v>0</v>
      </c>
      <c r="L8724" s="5">
        <f t="shared" si="577"/>
        <v>0</v>
      </c>
      <c r="M8724" s="4"/>
      <c r="N8724" s="4"/>
      <c r="O8724" s="5"/>
      <c r="P8724" s="5"/>
      <c r="Q8724" s="21">
        <f t="shared" si="578"/>
        <v>0</v>
      </c>
      <c r="R8724" s="21">
        <f t="shared" si="576"/>
        <v>0</v>
      </c>
      <c r="S8724" s="5">
        <f t="shared" si="579"/>
        <v>70007.077158325032</v>
      </c>
      <c r="T8724" cm="1">
        <f t="array" ref="T8724">IF(OR(B8724="MAL ALIMI", B8724="ÜRETİM GİRİŞ"), MIN(I8724, MAX(0, I8724 + SUM(SUMIFS($I$1:I8723, $C$1:C8723, C8724, $B$1:B8723, {"MAL ALIMI","ÜRETİM GİRİŞ"})) - VLOOKUP(C8724, 'STOK RAPORU'!$C$2:$I$1000, 4, 0))), 0)</f>
        <v>0</v>
      </c>
      <c r="U8724" s="22">
        <f t="shared" si="572"/>
        <v>0</v>
      </c>
      <c r="V8724">
        <f t="shared" si="573"/>
        <v>0</v>
      </c>
      <c r="W8724" s="22">
        <f t="shared" si="574"/>
        <v>0</v>
      </c>
    </row>
    <row r="8725" spans="1:23" hidden="1" x14ac:dyDescent="0.25">
      <c r="A8725" s="4"/>
      <c r="B8725" s="4"/>
      <c r="C8725" s="4"/>
      <c r="D8725" s="4"/>
      <c r="E8725" s="4"/>
      <c r="F8725" s="4"/>
      <c r="G8725" s="4"/>
      <c r="H8725" s="4"/>
      <c r="I8725" s="4"/>
      <c r="J8725" s="21">
        <f>IFERROR(VLOOKUP(C8725,'STOK KARTLARI'!$C$2:$K$2150,8,0),0)</f>
        <v>0</v>
      </c>
      <c r="K8725" s="21">
        <f t="shared" si="575"/>
        <v>0</v>
      </c>
      <c r="L8725" s="5">
        <f t="shared" si="577"/>
        <v>0</v>
      </c>
      <c r="M8725" s="4"/>
      <c r="N8725" s="4"/>
      <c r="O8725" s="5"/>
      <c r="P8725" s="5"/>
      <c r="Q8725" s="21">
        <f t="shared" si="578"/>
        <v>0</v>
      </c>
      <c r="R8725" s="21">
        <f t="shared" si="576"/>
        <v>0</v>
      </c>
      <c r="S8725" s="5">
        <f t="shared" si="579"/>
        <v>70007.077158325032</v>
      </c>
      <c r="T8725" cm="1">
        <f t="array" ref="T8725">IF(OR(B8725="MAL ALIMI", B8725="ÜRETİM GİRİŞ"), MIN(I8725, MAX(0, I8725 + SUM(SUMIFS($I$1:I8724, $C$1:C8724, C8725, $B$1:B8724, {"MAL ALIMI","ÜRETİM GİRİŞ"})) - VLOOKUP(C8725, 'STOK RAPORU'!$C$2:$I$1000, 4, 0))), 0)</f>
        <v>0</v>
      </c>
      <c r="U8725" s="22">
        <f t="shared" si="572"/>
        <v>0</v>
      </c>
      <c r="V8725">
        <f t="shared" si="573"/>
        <v>0</v>
      </c>
      <c r="W8725" s="22">
        <f t="shared" si="574"/>
        <v>0</v>
      </c>
    </row>
    <row r="8726" spans="1:23" hidden="1" x14ac:dyDescent="0.25">
      <c r="A8726" s="4"/>
      <c r="B8726" s="4"/>
      <c r="C8726" s="4"/>
      <c r="D8726" s="4"/>
      <c r="E8726" s="4"/>
      <c r="F8726" s="4"/>
      <c r="G8726" s="4"/>
      <c r="H8726" s="4"/>
      <c r="I8726" s="4"/>
      <c r="J8726" s="21">
        <f>IFERROR(VLOOKUP(C8726,'STOK KARTLARI'!$C$2:$K$2150,8,0),0)</f>
        <v>0</v>
      </c>
      <c r="K8726" s="21">
        <f t="shared" si="575"/>
        <v>0</v>
      </c>
      <c r="L8726" s="5">
        <f t="shared" si="577"/>
        <v>0</v>
      </c>
      <c r="M8726" s="4"/>
      <c r="N8726" s="4"/>
      <c r="O8726" s="5"/>
      <c r="P8726" s="5"/>
      <c r="Q8726" s="21">
        <f t="shared" si="578"/>
        <v>0</v>
      </c>
      <c r="R8726" s="21">
        <f t="shared" si="576"/>
        <v>0</v>
      </c>
      <c r="S8726" s="5">
        <f t="shared" si="579"/>
        <v>70007.077158325032</v>
      </c>
      <c r="T8726" cm="1">
        <f t="array" ref="T8726">IF(OR(B8726="MAL ALIMI", B8726="ÜRETİM GİRİŞ"), MIN(I8726, MAX(0, I8726 + SUM(SUMIFS($I$1:I8725, $C$1:C8725, C8726, $B$1:B8725, {"MAL ALIMI","ÜRETİM GİRİŞ"})) - VLOOKUP(C8726, 'STOK RAPORU'!$C$2:$I$1000, 4, 0))), 0)</f>
        <v>0</v>
      </c>
      <c r="U8726" s="22">
        <f t="shared" si="572"/>
        <v>0</v>
      </c>
      <c r="V8726">
        <f t="shared" si="573"/>
        <v>0</v>
      </c>
      <c r="W8726" s="22">
        <f t="shared" si="574"/>
        <v>0</v>
      </c>
    </row>
    <row r="8727" spans="1:23" hidden="1" x14ac:dyDescent="0.25">
      <c r="A8727" s="4"/>
      <c r="B8727" s="4"/>
      <c r="C8727" s="4"/>
      <c r="D8727" s="4"/>
      <c r="E8727" s="4"/>
      <c r="F8727" s="4"/>
      <c r="G8727" s="4"/>
      <c r="H8727" s="4"/>
      <c r="I8727" s="4"/>
      <c r="J8727" s="21">
        <f>IFERROR(VLOOKUP(C8727,'STOK KARTLARI'!$C$2:$K$2150,8,0),0)</f>
        <v>0</v>
      </c>
      <c r="K8727" s="21">
        <f t="shared" si="575"/>
        <v>0</v>
      </c>
      <c r="L8727" s="5">
        <f t="shared" si="577"/>
        <v>0</v>
      </c>
      <c r="M8727" s="4"/>
      <c r="N8727" s="4"/>
      <c r="O8727" s="5"/>
      <c r="P8727" s="5"/>
      <c r="Q8727" s="21">
        <f t="shared" si="578"/>
        <v>0</v>
      </c>
      <c r="R8727" s="21">
        <f t="shared" si="576"/>
        <v>0</v>
      </c>
      <c r="S8727" s="5">
        <f t="shared" si="579"/>
        <v>70007.077158325032</v>
      </c>
      <c r="T8727" cm="1">
        <f t="array" ref="T8727">IF(OR(B8727="MAL ALIMI", B8727="ÜRETİM GİRİŞ"), MIN(I8727, MAX(0, I8727 + SUM(SUMIFS($I$1:I8726, $C$1:C8726, C8727, $B$1:B8726, {"MAL ALIMI","ÜRETİM GİRİŞ"})) - VLOOKUP(C8727, 'STOK RAPORU'!$C$2:$I$1000, 4, 0))), 0)</f>
        <v>0</v>
      </c>
      <c r="U8727" s="22">
        <f t="shared" si="572"/>
        <v>0</v>
      </c>
      <c r="V8727">
        <f t="shared" si="573"/>
        <v>0</v>
      </c>
      <c r="W8727" s="22">
        <f t="shared" si="574"/>
        <v>0</v>
      </c>
    </row>
    <row r="8728" spans="1:23" hidden="1" x14ac:dyDescent="0.25">
      <c r="A8728" s="4"/>
      <c r="B8728" s="4"/>
      <c r="C8728" s="4"/>
      <c r="D8728" s="4"/>
      <c r="E8728" s="4"/>
      <c r="F8728" s="4"/>
      <c r="G8728" s="4"/>
      <c r="H8728" s="4"/>
      <c r="I8728" s="4"/>
      <c r="J8728" s="21">
        <f>IFERROR(VLOOKUP(C8728,'STOK KARTLARI'!$C$2:$K$2150,8,0),0)</f>
        <v>0</v>
      </c>
      <c r="K8728" s="21">
        <f t="shared" si="575"/>
        <v>0</v>
      </c>
      <c r="L8728" s="5">
        <f t="shared" si="577"/>
        <v>0</v>
      </c>
      <c r="M8728" s="4"/>
      <c r="N8728" s="4"/>
      <c r="O8728" s="5"/>
      <c r="P8728" s="5"/>
      <c r="Q8728" s="21">
        <f t="shared" si="578"/>
        <v>0</v>
      </c>
      <c r="R8728" s="21">
        <f t="shared" si="576"/>
        <v>0</v>
      </c>
      <c r="S8728" s="5">
        <f t="shared" si="579"/>
        <v>70007.077158325032</v>
      </c>
      <c r="T8728" cm="1">
        <f t="array" ref="T8728">IF(OR(B8728="MAL ALIMI", B8728="ÜRETİM GİRİŞ"), MIN(I8728, MAX(0, I8728 + SUM(SUMIFS($I$1:I8727, $C$1:C8727, C8728, $B$1:B8727, {"MAL ALIMI","ÜRETİM GİRİŞ"})) - VLOOKUP(C8728, 'STOK RAPORU'!$C$2:$I$1000, 4, 0))), 0)</f>
        <v>0</v>
      </c>
      <c r="U8728" s="22">
        <f t="shared" si="572"/>
        <v>0</v>
      </c>
      <c r="V8728">
        <f t="shared" si="573"/>
        <v>0</v>
      </c>
      <c r="W8728" s="22">
        <f t="shared" si="574"/>
        <v>0</v>
      </c>
    </row>
    <row r="8729" spans="1:23" hidden="1" x14ac:dyDescent="0.25">
      <c r="A8729" s="3"/>
      <c r="B8729" s="4"/>
      <c r="C8729" s="4"/>
      <c r="D8729" s="4"/>
      <c r="E8729" s="4"/>
      <c r="F8729" s="4"/>
      <c r="G8729" s="4"/>
      <c r="H8729" s="4"/>
      <c r="I8729" s="4"/>
      <c r="J8729" s="21">
        <f>IFERROR(VLOOKUP(C8729,'STOK KARTLARI'!$C$2:$K$2150,8,0),0)</f>
        <v>0</v>
      </c>
      <c r="K8729" s="21">
        <f t="shared" si="575"/>
        <v>0</v>
      </c>
      <c r="L8729" s="5">
        <f t="shared" si="577"/>
        <v>0</v>
      </c>
      <c r="M8729" s="4"/>
      <c r="N8729" s="4"/>
      <c r="O8729" s="5"/>
      <c r="P8729" s="5"/>
      <c r="Q8729" s="21">
        <f t="shared" si="578"/>
        <v>0</v>
      </c>
      <c r="R8729" s="21">
        <f t="shared" si="576"/>
        <v>0</v>
      </c>
      <c r="S8729" s="5">
        <f t="shared" si="579"/>
        <v>70007.077158325032</v>
      </c>
      <c r="T8729" cm="1">
        <f t="array" ref="T8729">IF(OR(B8729="MAL ALIMI", B8729="ÜRETİM GİRİŞ"), MIN(I8729, MAX(0, I8729 + SUM(SUMIFS($I$1:I8728, $C$1:C8728, C8729, $B$1:B8728, {"MAL ALIMI","ÜRETİM GİRİŞ"})) - VLOOKUP(C8729, 'STOK RAPORU'!$C$2:$I$1000, 4, 0))), 0)</f>
        <v>0</v>
      </c>
      <c r="U8729" s="22">
        <f t="shared" si="572"/>
        <v>0</v>
      </c>
      <c r="V8729">
        <f t="shared" si="573"/>
        <v>0</v>
      </c>
      <c r="W8729" s="22">
        <f t="shared" si="574"/>
        <v>0</v>
      </c>
    </row>
    <row r="8730" spans="1:23" hidden="1" x14ac:dyDescent="0.25">
      <c r="A8730" s="3"/>
      <c r="B8730" s="4"/>
      <c r="C8730" s="4"/>
      <c r="D8730" s="4"/>
      <c r="E8730" s="4"/>
      <c r="F8730" s="4"/>
      <c r="G8730" s="4"/>
      <c r="H8730" s="4"/>
      <c r="I8730" s="4"/>
      <c r="J8730" s="21">
        <f>IFERROR(VLOOKUP(C8730,'STOK KARTLARI'!$C$2:$K$2150,8,0),0)</f>
        <v>0</v>
      </c>
      <c r="K8730" s="21">
        <f t="shared" si="575"/>
        <v>0</v>
      </c>
      <c r="L8730" s="5">
        <f t="shared" si="577"/>
        <v>0</v>
      </c>
      <c r="M8730" s="4"/>
      <c r="N8730" s="4"/>
      <c r="O8730" s="5"/>
      <c r="P8730" s="5"/>
      <c r="Q8730" s="21">
        <f t="shared" si="578"/>
        <v>0</v>
      </c>
      <c r="R8730" s="21">
        <f t="shared" si="576"/>
        <v>0</v>
      </c>
      <c r="S8730" s="5">
        <f t="shared" si="579"/>
        <v>70007.077158325032</v>
      </c>
      <c r="T8730" cm="1">
        <f t="array" ref="T8730">IF(OR(B8730="MAL ALIMI", B8730="ÜRETİM GİRİŞ"), MIN(I8730, MAX(0, I8730 + SUM(SUMIFS($I$1:I8729, $C$1:C8729, C8730, $B$1:B8729, {"MAL ALIMI","ÜRETİM GİRİŞ"})) - VLOOKUP(C8730, 'STOK RAPORU'!$C$2:$I$1000, 4, 0))), 0)</f>
        <v>0</v>
      </c>
      <c r="U8730" s="22">
        <f t="shared" si="572"/>
        <v>0</v>
      </c>
      <c r="V8730">
        <f t="shared" si="573"/>
        <v>0</v>
      </c>
      <c r="W8730" s="22">
        <f t="shared" si="574"/>
        <v>0</v>
      </c>
    </row>
    <row r="8731" spans="1:23" hidden="1" x14ac:dyDescent="0.25">
      <c r="A8731" s="4"/>
      <c r="B8731" s="4"/>
      <c r="C8731" s="4"/>
      <c r="D8731" s="4"/>
      <c r="E8731" s="4"/>
      <c r="F8731" s="4"/>
      <c r="G8731" s="4"/>
      <c r="H8731" s="4"/>
      <c r="I8731" s="4"/>
      <c r="J8731" s="21">
        <f>IFERROR(VLOOKUP(C8731,'STOK KARTLARI'!$C$2:$K$2150,8,0),0)</f>
        <v>0</v>
      </c>
      <c r="K8731" s="21">
        <f t="shared" si="575"/>
        <v>0</v>
      </c>
      <c r="L8731" s="5">
        <f t="shared" si="577"/>
        <v>0</v>
      </c>
      <c r="M8731" s="4"/>
      <c r="N8731" s="4"/>
      <c r="O8731" s="5"/>
      <c r="P8731" s="5"/>
      <c r="Q8731" s="21">
        <f t="shared" si="578"/>
        <v>0</v>
      </c>
      <c r="R8731" s="21">
        <f t="shared" si="576"/>
        <v>0</v>
      </c>
      <c r="S8731" s="5">
        <f t="shared" si="579"/>
        <v>70007.077158325032</v>
      </c>
      <c r="T8731" cm="1">
        <f t="array" ref="T8731">IF(OR(B8731="MAL ALIMI", B8731="ÜRETİM GİRİŞ"), MIN(I8731, MAX(0, I8731 + SUM(SUMIFS($I$1:I8730, $C$1:C8730, C8731, $B$1:B8730, {"MAL ALIMI","ÜRETİM GİRİŞ"})) - VLOOKUP(C8731, 'STOK RAPORU'!$C$2:$I$1000, 4, 0))), 0)</f>
        <v>0</v>
      </c>
      <c r="U8731" s="22">
        <f t="shared" si="572"/>
        <v>0</v>
      </c>
      <c r="V8731">
        <f t="shared" si="573"/>
        <v>0</v>
      </c>
      <c r="W8731" s="22">
        <f t="shared" si="574"/>
        <v>0</v>
      </c>
    </row>
    <row r="8732" spans="1:23" hidden="1" x14ac:dyDescent="0.25">
      <c r="A8732" s="4"/>
      <c r="B8732" s="4"/>
      <c r="C8732" s="4"/>
      <c r="D8732" s="4"/>
      <c r="E8732" s="4"/>
      <c r="F8732" s="4"/>
      <c r="G8732" s="4"/>
      <c r="H8732" s="4"/>
      <c r="I8732" s="4"/>
      <c r="J8732" s="21">
        <f>IFERROR(VLOOKUP(C8732,'STOK KARTLARI'!$C$2:$K$2150,8,0),0)</f>
        <v>0</v>
      </c>
      <c r="K8732" s="21">
        <f t="shared" si="575"/>
        <v>0</v>
      </c>
      <c r="L8732" s="5">
        <f t="shared" si="577"/>
        <v>0</v>
      </c>
      <c r="M8732" s="4"/>
      <c r="N8732" s="4"/>
      <c r="O8732" s="5"/>
      <c r="P8732" s="5"/>
      <c r="Q8732" s="21">
        <f t="shared" si="578"/>
        <v>0</v>
      </c>
      <c r="R8732" s="21">
        <f t="shared" si="576"/>
        <v>0</v>
      </c>
      <c r="S8732" s="5">
        <f t="shared" si="579"/>
        <v>70007.077158325032</v>
      </c>
      <c r="T8732" cm="1">
        <f t="array" ref="T8732">IF(OR(B8732="MAL ALIMI", B8732="ÜRETİM GİRİŞ"), MIN(I8732, MAX(0, I8732 + SUM(SUMIFS($I$1:I8731, $C$1:C8731, C8732, $B$1:B8731, {"MAL ALIMI","ÜRETİM GİRİŞ"})) - VLOOKUP(C8732, 'STOK RAPORU'!$C$2:$I$1000, 4, 0))), 0)</f>
        <v>0</v>
      </c>
      <c r="U8732" s="22">
        <f t="shared" si="572"/>
        <v>0</v>
      </c>
      <c r="V8732">
        <f t="shared" si="573"/>
        <v>0</v>
      </c>
      <c r="W8732" s="22">
        <f t="shared" si="574"/>
        <v>0</v>
      </c>
    </row>
    <row r="8733" spans="1:23" hidden="1" x14ac:dyDescent="0.25">
      <c r="A8733" s="4"/>
      <c r="B8733" s="4"/>
      <c r="C8733" s="4"/>
      <c r="D8733" s="4"/>
      <c r="E8733" s="4"/>
      <c r="F8733" s="4"/>
      <c r="G8733" s="4"/>
      <c r="H8733" s="4"/>
      <c r="I8733" s="4"/>
      <c r="J8733" s="21">
        <f>IFERROR(VLOOKUP(C8733,'STOK KARTLARI'!$C$2:$K$2150,8,0),0)</f>
        <v>0</v>
      </c>
      <c r="K8733" s="21">
        <f t="shared" si="575"/>
        <v>0</v>
      </c>
      <c r="L8733" s="5">
        <f t="shared" si="577"/>
        <v>0</v>
      </c>
      <c r="M8733" s="4"/>
      <c r="N8733" s="4"/>
      <c r="O8733" s="5"/>
      <c r="P8733" s="5"/>
      <c r="Q8733" s="21">
        <f t="shared" si="578"/>
        <v>0</v>
      </c>
      <c r="R8733" s="21">
        <f t="shared" si="576"/>
        <v>0</v>
      </c>
      <c r="S8733" s="5">
        <f t="shared" si="579"/>
        <v>70007.077158325032</v>
      </c>
      <c r="T8733" cm="1">
        <f t="array" ref="T8733">IF(OR(B8733="MAL ALIMI", B8733="ÜRETİM GİRİŞ"), MIN(I8733, MAX(0, I8733 + SUM(SUMIFS($I$1:I8732, $C$1:C8732, C8733, $B$1:B8732, {"MAL ALIMI","ÜRETİM GİRİŞ"})) - VLOOKUP(C8733, 'STOK RAPORU'!$C$2:$I$1000, 4, 0))), 0)</f>
        <v>0</v>
      </c>
      <c r="U8733" s="22">
        <f t="shared" si="572"/>
        <v>0</v>
      </c>
      <c r="V8733">
        <f t="shared" si="573"/>
        <v>0</v>
      </c>
      <c r="W8733" s="22">
        <f t="shared" si="574"/>
        <v>0</v>
      </c>
    </row>
    <row r="8734" spans="1:23" hidden="1" x14ac:dyDescent="0.25">
      <c r="A8734" s="4"/>
      <c r="B8734" s="4"/>
      <c r="C8734" s="4"/>
      <c r="D8734" s="4"/>
      <c r="E8734" s="4"/>
      <c r="F8734" s="4"/>
      <c r="G8734" s="4"/>
      <c r="H8734" s="4"/>
      <c r="I8734" s="4"/>
      <c r="J8734" s="21">
        <f>IFERROR(VLOOKUP(C8734,'STOK KARTLARI'!$C$2:$K$2150,8,0),0)</f>
        <v>0</v>
      </c>
      <c r="K8734" s="21">
        <f t="shared" si="575"/>
        <v>0</v>
      </c>
      <c r="L8734" s="5">
        <f t="shared" si="577"/>
        <v>0</v>
      </c>
      <c r="M8734" s="4"/>
      <c r="N8734" s="4"/>
      <c r="O8734" s="5"/>
      <c r="P8734" s="5"/>
      <c r="Q8734" s="21">
        <f t="shared" si="578"/>
        <v>0</v>
      </c>
      <c r="R8734" s="21">
        <f t="shared" si="576"/>
        <v>0</v>
      </c>
      <c r="S8734" s="5">
        <f t="shared" si="579"/>
        <v>70007.077158325032</v>
      </c>
      <c r="T8734" cm="1">
        <f t="array" ref="T8734">IF(OR(B8734="MAL ALIMI", B8734="ÜRETİM GİRİŞ"), MIN(I8734, MAX(0, I8734 + SUM(SUMIFS($I$1:I8733, $C$1:C8733, C8734, $B$1:B8733, {"MAL ALIMI","ÜRETİM GİRİŞ"})) - VLOOKUP(C8734, 'STOK RAPORU'!$C$2:$I$1000, 4, 0))), 0)</f>
        <v>0</v>
      </c>
      <c r="U8734" s="22">
        <f t="shared" si="572"/>
        <v>0</v>
      </c>
      <c r="V8734">
        <f t="shared" si="573"/>
        <v>0</v>
      </c>
      <c r="W8734" s="22">
        <f t="shared" si="574"/>
        <v>0</v>
      </c>
    </row>
    <row r="8735" spans="1:23" hidden="1" x14ac:dyDescent="0.25">
      <c r="A8735" s="4"/>
      <c r="B8735" s="4"/>
      <c r="C8735" s="4"/>
      <c r="D8735" s="4"/>
      <c r="E8735" s="4"/>
      <c r="F8735" s="4"/>
      <c r="G8735" s="4"/>
      <c r="H8735" s="4"/>
      <c r="I8735" s="4"/>
      <c r="J8735" s="21">
        <f>IFERROR(VLOOKUP(C8735,'STOK KARTLARI'!$C$2:$K$2150,8,0),0)</f>
        <v>0</v>
      </c>
      <c r="K8735" s="21">
        <f t="shared" si="575"/>
        <v>0</v>
      </c>
      <c r="L8735" s="5">
        <f t="shared" si="577"/>
        <v>0</v>
      </c>
      <c r="M8735" s="4"/>
      <c r="N8735" s="4"/>
      <c r="O8735" s="5"/>
      <c r="P8735" s="5"/>
      <c r="Q8735" s="21">
        <f t="shared" si="578"/>
        <v>0</v>
      </c>
      <c r="R8735" s="21">
        <f t="shared" si="576"/>
        <v>0</v>
      </c>
      <c r="S8735" s="5">
        <f t="shared" si="579"/>
        <v>70007.077158325032</v>
      </c>
      <c r="T8735" cm="1">
        <f t="array" ref="T8735">IF(OR(B8735="MAL ALIMI", B8735="ÜRETİM GİRİŞ"), MIN(I8735, MAX(0, I8735 + SUM(SUMIFS($I$1:I8734, $C$1:C8734, C8735, $B$1:B8734, {"MAL ALIMI","ÜRETİM GİRİŞ"})) - VLOOKUP(C8735, 'STOK RAPORU'!$C$2:$I$1000, 4, 0))), 0)</f>
        <v>0</v>
      </c>
      <c r="U8735" s="22">
        <f t="shared" si="572"/>
        <v>0</v>
      </c>
      <c r="V8735">
        <f t="shared" si="573"/>
        <v>0</v>
      </c>
      <c r="W8735" s="22">
        <f t="shared" si="574"/>
        <v>0</v>
      </c>
    </row>
    <row r="8736" spans="1:23" hidden="1" x14ac:dyDescent="0.25">
      <c r="A8736" s="4"/>
      <c r="B8736" s="4"/>
      <c r="C8736" s="4"/>
      <c r="D8736" s="4"/>
      <c r="E8736" s="4"/>
      <c r="F8736" s="4"/>
      <c r="G8736" s="4"/>
      <c r="H8736" s="4"/>
      <c r="I8736" s="4"/>
      <c r="J8736" s="21">
        <f>IFERROR(VLOOKUP(C8736,'STOK KARTLARI'!$C$2:$K$2150,8,0),0)</f>
        <v>0</v>
      </c>
      <c r="K8736" s="21">
        <f t="shared" si="575"/>
        <v>0</v>
      </c>
      <c r="L8736" s="5">
        <f t="shared" si="577"/>
        <v>0</v>
      </c>
      <c r="M8736" s="4"/>
      <c r="N8736" s="4"/>
      <c r="O8736" s="5"/>
      <c r="P8736" s="5"/>
      <c r="Q8736" s="21">
        <f t="shared" si="578"/>
        <v>0</v>
      </c>
      <c r="R8736" s="21">
        <f t="shared" si="576"/>
        <v>0</v>
      </c>
      <c r="S8736" s="5">
        <f t="shared" si="579"/>
        <v>70007.077158325032</v>
      </c>
      <c r="T8736" cm="1">
        <f t="array" ref="T8736">IF(OR(B8736="MAL ALIMI", B8736="ÜRETİM GİRİŞ"), MIN(I8736, MAX(0, I8736 + SUM(SUMIFS($I$1:I8735, $C$1:C8735, C8736, $B$1:B8735, {"MAL ALIMI","ÜRETİM GİRİŞ"})) - VLOOKUP(C8736, 'STOK RAPORU'!$C$2:$I$1000, 4, 0))), 0)</f>
        <v>0</v>
      </c>
      <c r="U8736" s="22">
        <f t="shared" si="572"/>
        <v>0</v>
      </c>
      <c r="V8736">
        <f t="shared" si="573"/>
        <v>0</v>
      </c>
      <c r="W8736" s="22">
        <f t="shared" si="574"/>
        <v>0</v>
      </c>
    </row>
    <row r="8737" spans="1:23" hidden="1" x14ac:dyDescent="0.25">
      <c r="A8737" s="3"/>
      <c r="B8737" s="4"/>
      <c r="C8737" s="4"/>
      <c r="D8737" s="4"/>
      <c r="E8737" s="4"/>
      <c r="F8737" s="4"/>
      <c r="G8737" s="4"/>
      <c r="H8737" s="4"/>
      <c r="I8737" s="4"/>
      <c r="J8737" s="21">
        <f>IFERROR(VLOOKUP(C8737,'STOK KARTLARI'!$C$2:$K$2150,8,0),0)</f>
        <v>0</v>
      </c>
      <c r="K8737" s="21">
        <f t="shared" si="575"/>
        <v>0</v>
      </c>
      <c r="L8737" s="5">
        <f t="shared" si="577"/>
        <v>0</v>
      </c>
      <c r="M8737" s="4"/>
      <c r="N8737" s="4"/>
      <c r="O8737" s="5"/>
      <c r="P8737" s="5"/>
      <c r="Q8737" s="21">
        <f t="shared" si="578"/>
        <v>0</v>
      </c>
      <c r="R8737" s="21">
        <f t="shared" si="576"/>
        <v>0</v>
      </c>
      <c r="S8737" s="5">
        <f t="shared" si="579"/>
        <v>70007.077158325032</v>
      </c>
      <c r="T8737" cm="1">
        <f t="array" ref="T8737">IF(OR(B8737="MAL ALIMI", B8737="ÜRETİM GİRİŞ"), MIN(I8737, MAX(0, I8737 + SUM(SUMIFS($I$1:I8736, $C$1:C8736, C8737, $B$1:B8736, {"MAL ALIMI","ÜRETİM GİRİŞ"})) - VLOOKUP(C8737, 'STOK RAPORU'!$C$2:$I$1000, 4, 0))), 0)</f>
        <v>0</v>
      </c>
      <c r="U8737" s="22">
        <f t="shared" si="572"/>
        <v>0</v>
      </c>
      <c r="V8737">
        <f t="shared" si="573"/>
        <v>0</v>
      </c>
      <c r="W8737" s="22">
        <f t="shared" si="574"/>
        <v>0</v>
      </c>
    </row>
    <row r="8738" spans="1:23" hidden="1" x14ac:dyDescent="0.25">
      <c r="A8738" s="4"/>
      <c r="B8738" s="4"/>
      <c r="C8738" s="4"/>
      <c r="D8738" s="4"/>
      <c r="E8738" s="4"/>
      <c r="F8738" s="4"/>
      <c r="G8738" s="4"/>
      <c r="H8738" s="4"/>
      <c r="I8738" s="4"/>
      <c r="J8738" s="21">
        <f>IFERROR(VLOOKUP(C8738,'STOK KARTLARI'!$C$2:$K$2150,8,0),0)</f>
        <v>0</v>
      </c>
      <c r="K8738" s="21">
        <f t="shared" si="575"/>
        <v>0</v>
      </c>
      <c r="L8738" s="5">
        <f t="shared" si="577"/>
        <v>0</v>
      </c>
      <c r="M8738" s="4"/>
      <c r="N8738" s="4"/>
      <c r="O8738" s="5"/>
      <c r="P8738" s="5"/>
      <c r="Q8738" s="21">
        <f t="shared" si="578"/>
        <v>0</v>
      </c>
      <c r="R8738" s="21">
        <f t="shared" si="576"/>
        <v>0</v>
      </c>
      <c r="S8738" s="5">
        <f t="shared" si="579"/>
        <v>70007.077158325032</v>
      </c>
      <c r="T8738" cm="1">
        <f t="array" ref="T8738">IF(OR(B8738="MAL ALIMI", B8738="ÜRETİM GİRİŞ"), MIN(I8738, MAX(0, I8738 + SUM(SUMIFS($I$1:I8737, $C$1:C8737, C8738, $B$1:B8737, {"MAL ALIMI","ÜRETİM GİRİŞ"})) - VLOOKUP(C8738, 'STOK RAPORU'!$C$2:$I$1000, 4, 0))), 0)</f>
        <v>0</v>
      </c>
      <c r="U8738" s="22">
        <f t="shared" si="572"/>
        <v>0</v>
      </c>
      <c r="V8738">
        <f t="shared" si="573"/>
        <v>0</v>
      </c>
      <c r="W8738" s="22">
        <f t="shared" si="574"/>
        <v>0</v>
      </c>
    </row>
    <row r="8739" spans="1:23" hidden="1" x14ac:dyDescent="0.25">
      <c r="A8739" s="4"/>
      <c r="B8739" s="4"/>
      <c r="C8739" s="4"/>
      <c r="D8739" s="4"/>
      <c r="E8739" s="4"/>
      <c r="F8739" s="4"/>
      <c r="G8739" s="4"/>
      <c r="H8739" s="4"/>
      <c r="I8739" s="4"/>
      <c r="J8739" s="21">
        <f>IFERROR(VLOOKUP(C8739,'STOK KARTLARI'!$C$2:$K$2150,8,0),0)</f>
        <v>0</v>
      </c>
      <c r="K8739" s="21">
        <f t="shared" si="575"/>
        <v>0</v>
      </c>
      <c r="L8739" s="5">
        <f t="shared" si="577"/>
        <v>0</v>
      </c>
      <c r="M8739" s="4"/>
      <c r="N8739" s="4"/>
      <c r="O8739" s="5"/>
      <c r="P8739" s="5"/>
      <c r="Q8739" s="21">
        <f t="shared" si="578"/>
        <v>0</v>
      </c>
      <c r="R8739" s="21">
        <f t="shared" si="576"/>
        <v>0</v>
      </c>
      <c r="S8739" s="5">
        <f t="shared" si="579"/>
        <v>70007.077158325032</v>
      </c>
      <c r="T8739" cm="1">
        <f t="array" ref="T8739">IF(OR(B8739="MAL ALIMI", B8739="ÜRETİM GİRİŞ"), MIN(I8739, MAX(0, I8739 + SUM(SUMIFS($I$1:I8738, $C$1:C8738, C8739, $B$1:B8738, {"MAL ALIMI","ÜRETİM GİRİŞ"})) - VLOOKUP(C8739, 'STOK RAPORU'!$C$2:$I$1000, 4, 0))), 0)</f>
        <v>0</v>
      </c>
      <c r="U8739" s="22">
        <f t="shared" si="572"/>
        <v>0</v>
      </c>
      <c r="V8739">
        <f t="shared" si="573"/>
        <v>0</v>
      </c>
      <c r="W8739" s="22">
        <f t="shared" si="574"/>
        <v>0</v>
      </c>
    </row>
    <row r="8740" spans="1:23" hidden="1" x14ac:dyDescent="0.25">
      <c r="A8740" s="4"/>
      <c r="B8740" s="4"/>
      <c r="C8740" s="4"/>
      <c r="D8740" s="4"/>
      <c r="E8740" s="4"/>
      <c r="F8740" s="4"/>
      <c r="G8740" s="4"/>
      <c r="H8740" s="4"/>
      <c r="I8740" s="4"/>
      <c r="J8740" s="21">
        <f>IFERROR(VLOOKUP(C8740,'STOK KARTLARI'!$C$2:$K$2150,8,0),0)</f>
        <v>0</v>
      </c>
      <c r="K8740" s="21">
        <f t="shared" si="575"/>
        <v>0</v>
      </c>
      <c r="L8740" s="5">
        <f t="shared" si="577"/>
        <v>0</v>
      </c>
      <c r="M8740" s="4"/>
      <c r="N8740" s="4"/>
      <c r="O8740" s="5"/>
      <c r="P8740" s="5"/>
      <c r="Q8740" s="21">
        <f t="shared" si="578"/>
        <v>0</v>
      </c>
      <c r="R8740" s="21">
        <f t="shared" si="576"/>
        <v>0</v>
      </c>
      <c r="S8740" s="5">
        <f t="shared" si="579"/>
        <v>70007.077158325032</v>
      </c>
      <c r="T8740" cm="1">
        <f t="array" ref="T8740">IF(OR(B8740="MAL ALIMI", B8740="ÜRETİM GİRİŞ"), MIN(I8740, MAX(0, I8740 + SUM(SUMIFS($I$1:I8739, $C$1:C8739, C8740, $B$1:B8739, {"MAL ALIMI","ÜRETİM GİRİŞ"})) - VLOOKUP(C8740, 'STOK RAPORU'!$C$2:$I$1000, 4, 0))), 0)</f>
        <v>0</v>
      </c>
      <c r="U8740" s="22">
        <f t="shared" si="572"/>
        <v>0</v>
      </c>
      <c r="V8740">
        <f t="shared" si="573"/>
        <v>0</v>
      </c>
      <c r="W8740" s="22">
        <f t="shared" si="574"/>
        <v>0</v>
      </c>
    </row>
    <row r="8741" spans="1:23" hidden="1" x14ac:dyDescent="0.25">
      <c r="A8741" s="4"/>
      <c r="B8741" s="4"/>
      <c r="C8741" s="4"/>
      <c r="D8741" s="4"/>
      <c r="E8741" s="4"/>
      <c r="F8741" s="4"/>
      <c r="G8741" s="4"/>
      <c r="H8741" s="4"/>
      <c r="I8741" s="4"/>
      <c r="J8741" s="21">
        <f>IFERROR(VLOOKUP(C8741,'STOK KARTLARI'!$C$2:$K$2150,8,0),0)</f>
        <v>0</v>
      </c>
      <c r="K8741" s="21">
        <f t="shared" si="575"/>
        <v>0</v>
      </c>
      <c r="L8741" s="5">
        <f t="shared" si="577"/>
        <v>0</v>
      </c>
      <c r="M8741" s="4"/>
      <c r="N8741" s="4"/>
      <c r="O8741" s="5"/>
      <c r="P8741" s="5"/>
      <c r="Q8741" s="21">
        <f t="shared" si="578"/>
        <v>0</v>
      </c>
      <c r="R8741" s="21">
        <f t="shared" si="576"/>
        <v>0</v>
      </c>
      <c r="S8741" s="5">
        <f t="shared" si="579"/>
        <v>70007.077158325032</v>
      </c>
      <c r="T8741" cm="1">
        <f t="array" ref="T8741">IF(OR(B8741="MAL ALIMI", B8741="ÜRETİM GİRİŞ"), MIN(I8741, MAX(0, I8741 + SUM(SUMIFS($I$1:I8740, $C$1:C8740, C8741, $B$1:B8740, {"MAL ALIMI","ÜRETİM GİRİŞ"})) - VLOOKUP(C8741, 'STOK RAPORU'!$C$2:$I$1000, 4, 0))), 0)</f>
        <v>0</v>
      </c>
      <c r="U8741" s="22">
        <f t="shared" si="572"/>
        <v>0</v>
      </c>
      <c r="V8741">
        <f t="shared" si="573"/>
        <v>0</v>
      </c>
      <c r="W8741" s="22">
        <f t="shared" si="574"/>
        <v>0</v>
      </c>
    </row>
    <row r="8742" spans="1:23" hidden="1" x14ac:dyDescent="0.25">
      <c r="A8742" s="4"/>
      <c r="B8742" s="4"/>
      <c r="C8742" s="4"/>
      <c r="D8742" s="4"/>
      <c r="E8742" s="4"/>
      <c r="F8742" s="4"/>
      <c r="G8742" s="4"/>
      <c r="H8742" s="4"/>
      <c r="I8742" s="4"/>
      <c r="J8742" s="21">
        <f>IFERROR(VLOOKUP(C8742,'STOK KARTLARI'!$C$2:$K$2150,8,0),0)</f>
        <v>0</v>
      </c>
      <c r="K8742" s="21">
        <f t="shared" si="575"/>
        <v>0</v>
      </c>
      <c r="L8742" s="5">
        <f t="shared" si="577"/>
        <v>0</v>
      </c>
      <c r="M8742" s="4"/>
      <c r="N8742" s="4"/>
      <c r="O8742" s="5"/>
      <c r="P8742" s="5"/>
      <c r="Q8742" s="21">
        <f t="shared" si="578"/>
        <v>0</v>
      </c>
      <c r="R8742" s="21">
        <f t="shared" si="576"/>
        <v>0</v>
      </c>
      <c r="S8742" s="5">
        <f t="shared" si="579"/>
        <v>70007.077158325032</v>
      </c>
      <c r="T8742" cm="1">
        <f t="array" ref="T8742">IF(OR(B8742="MAL ALIMI", B8742="ÜRETİM GİRİŞ"), MIN(I8742, MAX(0, I8742 + SUM(SUMIFS($I$1:I8741, $C$1:C8741, C8742, $B$1:B8741, {"MAL ALIMI","ÜRETİM GİRİŞ"})) - VLOOKUP(C8742, 'STOK RAPORU'!$C$2:$I$1000, 4, 0))), 0)</f>
        <v>0</v>
      </c>
      <c r="U8742" s="22">
        <f t="shared" si="572"/>
        <v>0</v>
      </c>
      <c r="V8742">
        <f t="shared" si="573"/>
        <v>0</v>
      </c>
      <c r="W8742" s="22">
        <f t="shared" si="574"/>
        <v>0</v>
      </c>
    </row>
    <row r="8743" spans="1:23" hidden="1" x14ac:dyDescent="0.25">
      <c r="A8743" s="4"/>
      <c r="B8743" s="4"/>
      <c r="C8743" s="4"/>
      <c r="D8743" s="4"/>
      <c r="E8743" s="4"/>
      <c r="F8743" s="4"/>
      <c r="G8743" s="4"/>
      <c r="H8743" s="4"/>
      <c r="I8743" s="4"/>
      <c r="J8743" s="21">
        <f>IFERROR(VLOOKUP(C8743,'STOK KARTLARI'!$C$2:$K$2150,8,0),0)</f>
        <v>0</v>
      </c>
      <c r="K8743" s="21">
        <f t="shared" si="575"/>
        <v>0</v>
      </c>
      <c r="L8743" s="5">
        <f t="shared" si="577"/>
        <v>0</v>
      </c>
      <c r="M8743" s="4"/>
      <c r="N8743" s="4"/>
      <c r="O8743" s="5"/>
      <c r="P8743" s="5"/>
      <c r="Q8743" s="21">
        <f t="shared" si="578"/>
        <v>0</v>
      </c>
      <c r="R8743" s="21">
        <f t="shared" si="576"/>
        <v>0</v>
      </c>
      <c r="S8743" s="5">
        <f t="shared" si="579"/>
        <v>70007.077158325032</v>
      </c>
      <c r="T8743" cm="1">
        <f t="array" ref="T8743">IF(OR(B8743="MAL ALIMI", B8743="ÜRETİM GİRİŞ"), MIN(I8743, MAX(0, I8743 + SUM(SUMIFS($I$1:I8742, $C$1:C8742, C8743, $B$1:B8742, {"MAL ALIMI","ÜRETİM GİRİŞ"})) - VLOOKUP(C8743, 'STOK RAPORU'!$C$2:$I$1000, 4, 0))), 0)</f>
        <v>0</v>
      </c>
      <c r="U8743" s="22">
        <f t="shared" si="572"/>
        <v>0</v>
      </c>
      <c r="V8743">
        <f t="shared" si="573"/>
        <v>0</v>
      </c>
      <c r="W8743" s="22">
        <f t="shared" si="574"/>
        <v>0</v>
      </c>
    </row>
    <row r="8744" spans="1:23" hidden="1" x14ac:dyDescent="0.25">
      <c r="A8744" s="3"/>
      <c r="B8744" s="4"/>
      <c r="C8744" s="4"/>
      <c r="D8744" s="4"/>
      <c r="E8744" s="4"/>
      <c r="F8744" s="4"/>
      <c r="G8744" s="4"/>
      <c r="H8744" s="4"/>
      <c r="I8744" s="4"/>
      <c r="J8744" s="21">
        <f>IFERROR(VLOOKUP(C8744,'STOK KARTLARI'!$C$2:$K$2150,8,0),0)</f>
        <v>0</v>
      </c>
      <c r="K8744" s="21">
        <f t="shared" si="575"/>
        <v>0</v>
      </c>
      <c r="L8744" s="5">
        <f t="shared" si="577"/>
        <v>0</v>
      </c>
      <c r="M8744" s="4"/>
      <c r="N8744" s="4"/>
      <c r="O8744" s="5"/>
      <c r="P8744" s="5"/>
      <c r="Q8744" s="21">
        <f t="shared" si="578"/>
        <v>0</v>
      </c>
      <c r="R8744" s="21">
        <f t="shared" si="576"/>
        <v>0</v>
      </c>
      <c r="S8744" s="5">
        <f t="shared" si="579"/>
        <v>70007.077158325032</v>
      </c>
      <c r="T8744" cm="1">
        <f t="array" ref="T8744">IF(OR(B8744="MAL ALIMI", B8744="ÜRETİM GİRİŞ"), MIN(I8744, MAX(0, I8744 + SUM(SUMIFS($I$1:I8743, $C$1:C8743, C8744, $B$1:B8743, {"MAL ALIMI","ÜRETİM GİRİŞ"})) - VLOOKUP(C8744, 'STOK RAPORU'!$C$2:$I$1000, 4, 0))), 0)</f>
        <v>0</v>
      </c>
      <c r="U8744" s="22">
        <f t="shared" si="572"/>
        <v>0</v>
      </c>
      <c r="V8744">
        <f t="shared" si="573"/>
        <v>0</v>
      </c>
      <c r="W8744" s="22">
        <f t="shared" si="574"/>
        <v>0</v>
      </c>
    </row>
    <row r="8745" spans="1:23" hidden="1" x14ac:dyDescent="0.25">
      <c r="A8745" s="4"/>
      <c r="B8745" s="4"/>
      <c r="C8745" s="4"/>
      <c r="D8745" s="4"/>
      <c r="E8745" s="4"/>
      <c r="F8745" s="4"/>
      <c r="G8745" s="4"/>
      <c r="H8745" s="4"/>
      <c r="I8745" s="4"/>
      <c r="J8745" s="21">
        <f>IFERROR(VLOOKUP(C8745,'STOK KARTLARI'!$C$2:$K$2150,8,0),0)</f>
        <v>0</v>
      </c>
      <c r="K8745" s="21">
        <f t="shared" si="575"/>
        <v>0</v>
      </c>
      <c r="L8745" s="5">
        <f t="shared" si="577"/>
        <v>0</v>
      </c>
      <c r="M8745" s="4"/>
      <c r="N8745" s="4"/>
      <c r="O8745" s="5"/>
      <c r="P8745" s="5"/>
      <c r="Q8745" s="21">
        <f t="shared" si="578"/>
        <v>0</v>
      </c>
      <c r="R8745" s="21">
        <f t="shared" si="576"/>
        <v>0</v>
      </c>
      <c r="S8745" s="5">
        <f t="shared" si="579"/>
        <v>70007.077158325032</v>
      </c>
      <c r="T8745" cm="1">
        <f t="array" ref="T8745">IF(OR(B8745="MAL ALIMI", B8745="ÜRETİM GİRİŞ"), MIN(I8745, MAX(0, I8745 + SUM(SUMIFS($I$1:I8744, $C$1:C8744, C8745, $B$1:B8744, {"MAL ALIMI","ÜRETİM GİRİŞ"})) - VLOOKUP(C8745, 'STOK RAPORU'!$C$2:$I$1000, 4, 0))), 0)</f>
        <v>0</v>
      </c>
      <c r="U8745" s="22">
        <f t="shared" si="572"/>
        <v>0</v>
      </c>
      <c r="V8745">
        <f t="shared" si="573"/>
        <v>0</v>
      </c>
      <c r="W8745" s="22">
        <f t="shared" si="574"/>
        <v>0</v>
      </c>
    </row>
    <row r="8746" spans="1:23" hidden="1" x14ac:dyDescent="0.25">
      <c r="A8746" s="4"/>
      <c r="B8746" s="4"/>
      <c r="C8746" s="4"/>
      <c r="D8746" s="4"/>
      <c r="E8746" s="4"/>
      <c r="F8746" s="4"/>
      <c r="G8746" s="4"/>
      <c r="H8746" s="4"/>
      <c r="I8746" s="4"/>
      <c r="J8746" s="21">
        <f>IFERROR(VLOOKUP(C8746,'STOK KARTLARI'!$C$2:$K$2150,8,0),0)</f>
        <v>0</v>
      </c>
      <c r="K8746" s="21">
        <f t="shared" si="575"/>
        <v>0</v>
      </c>
      <c r="L8746" s="5">
        <f t="shared" si="577"/>
        <v>0</v>
      </c>
      <c r="M8746" s="4"/>
      <c r="N8746" s="4"/>
      <c r="O8746" s="5"/>
      <c r="P8746" s="5"/>
      <c r="Q8746" s="21">
        <f t="shared" si="578"/>
        <v>0</v>
      </c>
      <c r="R8746" s="21">
        <f t="shared" si="576"/>
        <v>0</v>
      </c>
      <c r="S8746" s="5">
        <f t="shared" si="579"/>
        <v>70007.077158325032</v>
      </c>
      <c r="T8746" cm="1">
        <f t="array" ref="T8746">IF(OR(B8746="MAL ALIMI", B8746="ÜRETİM GİRİŞ"), MIN(I8746, MAX(0, I8746 + SUM(SUMIFS($I$1:I8745, $C$1:C8745, C8746, $B$1:B8745, {"MAL ALIMI","ÜRETİM GİRİŞ"})) - VLOOKUP(C8746, 'STOK RAPORU'!$C$2:$I$1000, 4, 0))), 0)</f>
        <v>0</v>
      </c>
      <c r="U8746" s="22">
        <f t="shared" si="572"/>
        <v>0</v>
      </c>
      <c r="V8746">
        <f t="shared" si="573"/>
        <v>0</v>
      </c>
      <c r="W8746" s="22">
        <f t="shared" si="574"/>
        <v>0</v>
      </c>
    </row>
    <row r="8747" spans="1:23" hidden="1" x14ac:dyDescent="0.25">
      <c r="A8747" s="4"/>
      <c r="B8747" s="4"/>
      <c r="C8747" s="4"/>
      <c r="D8747" s="4"/>
      <c r="E8747" s="4"/>
      <c r="F8747" s="4"/>
      <c r="G8747" s="4"/>
      <c r="H8747" s="4"/>
      <c r="I8747" s="4"/>
      <c r="J8747" s="21">
        <f>IFERROR(VLOOKUP(C8747,'STOK KARTLARI'!$C$2:$K$2150,8,0),0)</f>
        <v>0</v>
      </c>
      <c r="K8747" s="21">
        <f t="shared" si="575"/>
        <v>0</v>
      </c>
      <c r="L8747" s="5">
        <f t="shared" si="577"/>
        <v>0</v>
      </c>
      <c r="M8747" s="4"/>
      <c r="N8747" s="4"/>
      <c r="O8747" s="5"/>
      <c r="P8747" s="5"/>
      <c r="Q8747" s="21">
        <f t="shared" si="578"/>
        <v>0</v>
      </c>
      <c r="R8747" s="21">
        <f t="shared" si="576"/>
        <v>0</v>
      </c>
      <c r="S8747" s="5">
        <f t="shared" si="579"/>
        <v>70007.077158325032</v>
      </c>
      <c r="T8747" cm="1">
        <f t="array" ref="T8747">IF(OR(B8747="MAL ALIMI", B8747="ÜRETİM GİRİŞ"), MIN(I8747, MAX(0, I8747 + SUM(SUMIFS($I$1:I8746, $C$1:C8746, C8747, $B$1:B8746, {"MAL ALIMI","ÜRETİM GİRİŞ"})) - VLOOKUP(C8747, 'STOK RAPORU'!$C$2:$I$1000, 4, 0))), 0)</f>
        <v>0</v>
      </c>
      <c r="U8747" s="22">
        <f t="shared" si="572"/>
        <v>0</v>
      </c>
      <c r="V8747">
        <f t="shared" si="573"/>
        <v>0</v>
      </c>
      <c r="W8747" s="22">
        <f t="shared" si="574"/>
        <v>0</v>
      </c>
    </row>
    <row r="8748" spans="1:23" hidden="1" x14ac:dyDescent="0.25">
      <c r="A8748" s="4"/>
      <c r="B8748" s="4"/>
      <c r="C8748" s="4"/>
      <c r="D8748" s="4"/>
      <c r="E8748" s="4"/>
      <c r="F8748" s="4"/>
      <c r="G8748" s="4"/>
      <c r="H8748" s="4"/>
      <c r="I8748" s="4"/>
      <c r="J8748" s="21">
        <f>IFERROR(VLOOKUP(C8748,'STOK KARTLARI'!$C$2:$K$2150,8,0),0)</f>
        <v>0</v>
      </c>
      <c r="K8748" s="21">
        <f t="shared" si="575"/>
        <v>0</v>
      </c>
      <c r="L8748" s="5">
        <f t="shared" si="577"/>
        <v>0</v>
      </c>
      <c r="M8748" s="4"/>
      <c r="N8748" s="4"/>
      <c r="O8748" s="5"/>
      <c r="P8748" s="5"/>
      <c r="Q8748" s="21">
        <f t="shared" si="578"/>
        <v>0</v>
      </c>
      <c r="R8748" s="21">
        <f t="shared" si="576"/>
        <v>0</v>
      </c>
      <c r="S8748" s="5">
        <f t="shared" si="579"/>
        <v>70007.077158325032</v>
      </c>
      <c r="T8748" cm="1">
        <f t="array" ref="T8748">IF(OR(B8748="MAL ALIMI", B8748="ÜRETİM GİRİŞ"), MIN(I8748, MAX(0, I8748 + SUM(SUMIFS($I$1:I8747, $C$1:C8747, C8748, $B$1:B8747, {"MAL ALIMI","ÜRETİM GİRİŞ"})) - VLOOKUP(C8748, 'STOK RAPORU'!$C$2:$I$1000, 4, 0))), 0)</f>
        <v>0</v>
      </c>
      <c r="U8748" s="22">
        <f t="shared" si="572"/>
        <v>0</v>
      </c>
      <c r="V8748">
        <f t="shared" si="573"/>
        <v>0</v>
      </c>
      <c r="W8748" s="22">
        <f t="shared" si="574"/>
        <v>0</v>
      </c>
    </row>
    <row r="8749" spans="1:23" hidden="1" x14ac:dyDescent="0.25">
      <c r="A8749" s="4"/>
      <c r="B8749" s="4"/>
      <c r="C8749" s="4"/>
      <c r="D8749" s="4"/>
      <c r="E8749" s="4"/>
      <c r="F8749" s="4"/>
      <c r="G8749" s="4"/>
      <c r="H8749" s="4"/>
      <c r="I8749" s="4"/>
      <c r="J8749" s="21">
        <f>IFERROR(VLOOKUP(C8749,'STOK KARTLARI'!$C$2:$K$2150,8,0),0)</f>
        <v>0</v>
      </c>
      <c r="K8749" s="21">
        <f t="shared" si="575"/>
        <v>0</v>
      </c>
      <c r="L8749" s="5">
        <f t="shared" si="577"/>
        <v>0</v>
      </c>
      <c r="M8749" s="4"/>
      <c r="N8749" s="4"/>
      <c r="O8749" s="5"/>
      <c r="P8749" s="5"/>
      <c r="Q8749" s="21">
        <f t="shared" si="578"/>
        <v>0</v>
      </c>
      <c r="R8749" s="21">
        <f t="shared" si="576"/>
        <v>0</v>
      </c>
      <c r="S8749" s="5">
        <f t="shared" si="579"/>
        <v>70007.077158325032</v>
      </c>
      <c r="T8749" cm="1">
        <f t="array" ref="T8749">IF(OR(B8749="MAL ALIMI", B8749="ÜRETİM GİRİŞ"), MIN(I8749, MAX(0, I8749 + SUM(SUMIFS($I$1:I8748, $C$1:C8748, C8749, $B$1:B8748, {"MAL ALIMI","ÜRETİM GİRİŞ"})) - VLOOKUP(C8749, 'STOK RAPORU'!$C$2:$I$1000, 4, 0))), 0)</f>
        <v>0</v>
      </c>
      <c r="U8749" s="22">
        <f t="shared" si="572"/>
        <v>0</v>
      </c>
      <c r="V8749">
        <f t="shared" si="573"/>
        <v>0</v>
      </c>
      <c r="W8749" s="22">
        <f t="shared" si="574"/>
        <v>0</v>
      </c>
    </row>
    <row r="8750" spans="1:23" hidden="1" x14ac:dyDescent="0.25">
      <c r="A8750" s="4"/>
      <c r="B8750" s="4"/>
      <c r="C8750" s="4"/>
      <c r="D8750" s="4"/>
      <c r="E8750" s="4"/>
      <c r="F8750" s="4"/>
      <c r="G8750" s="4"/>
      <c r="H8750" s="4"/>
      <c r="I8750" s="4"/>
      <c r="J8750" s="21">
        <f>IFERROR(VLOOKUP(C8750,'STOK KARTLARI'!$C$2:$K$2150,8,0),0)</f>
        <v>0</v>
      </c>
      <c r="K8750" s="21">
        <f t="shared" si="575"/>
        <v>0</v>
      </c>
      <c r="L8750" s="5">
        <f t="shared" si="577"/>
        <v>0</v>
      </c>
      <c r="M8750" s="4"/>
      <c r="N8750" s="4"/>
      <c r="O8750" s="5"/>
      <c r="P8750" s="5"/>
      <c r="Q8750" s="21">
        <f t="shared" si="578"/>
        <v>0</v>
      </c>
      <c r="R8750" s="21">
        <f t="shared" si="576"/>
        <v>0</v>
      </c>
      <c r="S8750" s="5">
        <f t="shared" si="579"/>
        <v>70007.077158325032</v>
      </c>
      <c r="T8750" cm="1">
        <f t="array" ref="T8750">IF(OR(B8750="MAL ALIMI", B8750="ÜRETİM GİRİŞ"), MIN(I8750, MAX(0, I8750 + SUM(SUMIFS($I$1:I8749, $C$1:C8749, C8750, $B$1:B8749, {"MAL ALIMI","ÜRETİM GİRİŞ"})) - VLOOKUP(C8750, 'STOK RAPORU'!$C$2:$I$1000, 4, 0))), 0)</f>
        <v>0</v>
      </c>
      <c r="U8750" s="22">
        <f t="shared" si="572"/>
        <v>0</v>
      </c>
      <c r="V8750">
        <f t="shared" si="573"/>
        <v>0</v>
      </c>
      <c r="W8750" s="22">
        <f t="shared" si="574"/>
        <v>0</v>
      </c>
    </row>
    <row r="8751" spans="1:23" hidden="1" x14ac:dyDescent="0.25">
      <c r="A8751" s="3"/>
      <c r="B8751" s="4"/>
      <c r="C8751" s="4"/>
      <c r="D8751" s="4"/>
      <c r="E8751" s="4"/>
      <c r="F8751" s="4"/>
      <c r="G8751" s="4"/>
      <c r="H8751" s="4"/>
      <c r="I8751" s="4"/>
      <c r="J8751" s="21">
        <f>IFERROR(VLOOKUP(C8751,'STOK KARTLARI'!$C$2:$K$2150,8,0),0)</f>
        <v>0</v>
      </c>
      <c r="K8751" s="21">
        <f t="shared" si="575"/>
        <v>0</v>
      </c>
      <c r="L8751" s="5">
        <f t="shared" si="577"/>
        <v>0</v>
      </c>
      <c r="M8751" s="4"/>
      <c r="N8751" s="4"/>
      <c r="O8751" s="5"/>
      <c r="P8751" s="5"/>
      <c r="Q8751" s="21">
        <f t="shared" si="578"/>
        <v>0</v>
      </c>
      <c r="R8751" s="21">
        <f t="shared" si="576"/>
        <v>0</v>
      </c>
      <c r="S8751" s="5">
        <f t="shared" si="579"/>
        <v>70007.077158325032</v>
      </c>
      <c r="T8751" cm="1">
        <f t="array" ref="T8751">IF(OR(B8751="MAL ALIMI", B8751="ÜRETİM GİRİŞ"), MIN(I8751, MAX(0, I8751 + SUM(SUMIFS($I$1:I8750, $C$1:C8750, C8751, $B$1:B8750, {"MAL ALIMI","ÜRETİM GİRİŞ"})) - VLOOKUP(C8751, 'STOK RAPORU'!$C$2:$I$1000, 4, 0))), 0)</f>
        <v>0</v>
      </c>
      <c r="U8751" s="22">
        <f t="shared" ref="U8751:U8814" si="580">T8751*J8751</f>
        <v>0</v>
      </c>
      <c r="V8751">
        <f t="shared" ref="V8751:V8814" si="581">IF(OR(B8751="MAL ALIMI", B8751="ÜRETİM GİRİŞ"), I8751 * J8751, 0)</f>
        <v>0</v>
      </c>
      <c r="W8751" s="22">
        <f t="shared" ref="W8751:W8814" si="582">V8751-U8751</f>
        <v>0</v>
      </c>
    </row>
    <row r="8752" spans="1:23" hidden="1" x14ac:dyDescent="0.25">
      <c r="A8752" s="4"/>
      <c r="B8752" s="4"/>
      <c r="C8752" s="4"/>
      <c r="D8752" s="4"/>
      <c r="E8752" s="4"/>
      <c r="F8752" s="4"/>
      <c r="G8752" s="4"/>
      <c r="H8752" s="4"/>
      <c r="I8752" s="4"/>
      <c r="J8752" s="21">
        <f>IFERROR(VLOOKUP(C8752,'STOK KARTLARI'!$C$2:$K$2150,8,0),0)</f>
        <v>0</v>
      </c>
      <c r="K8752" s="21">
        <f t="shared" si="575"/>
        <v>0</v>
      </c>
      <c r="L8752" s="5">
        <f t="shared" si="577"/>
        <v>0</v>
      </c>
      <c r="M8752" s="4"/>
      <c r="N8752" s="4"/>
      <c r="O8752" s="5"/>
      <c r="P8752" s="5"/>
      <c r="Q8752" s="21">
        <f t="shared" si="578"/>
        <v>0</v>
      </c>
      <c r="R8752" s="21">
        <f t="shared" si="576"/>
        <v>0</v>
      </c>
      <c r="S8752" s="5">
        <f t="shared" si="579"/>
        <v>70007.077158325032</v>
      </c>
      <c r="T8752" cm="1">
        <f t="array" ref="T8752">IF(OR(B8752="MAL ALIMI", B8752="ÜRETİM GİRİŞ"), MIN(I8752, MAX(0, I8752 + SUM(SUMIFS($I$1:I8751, $C$1:C8751, C8752, $B$1:B8751, {"MAL ALIMI","ÜRETİM GİRİŞ"})) - VLOOKUP(C8752, 'STOK RAPORU'!$C$2:$I$1000, 4, 0))), 0)</f>
        <v>0</v>
      </c>
      <c r="U8752" s="22">
        <f t="shared" si="580"/>
        <v>0</v>
      </c>
      <c r="V8752">
        <f t="shared" si="581"/>
        <v>0</v>
      </c>
      <c r="W8752" s="22">
        <f t="shared" si="582"/>
        <v>0</v>
      </c>
    </row>
    <row r="8753" spans="1:23" hidden="1" x14ac:dyDescent="0.25">
      <c r="A8753" s="4"/>
      <c r="B8753" s="4"/>
      <c r="C8753" s="4"/>
      <c r="D8753" s="4"/>
      <c r="E8753" s="4"/>
      <c r="F8753" s="4"/>
      <c r="G8753" s="4"/>
      <c r="H8753" s="4"/>
      <c r="I8753" s="4"/>
      <c r="J8753" s="21">
        <f>IFERROR(VLOOKUP(C8753,'STOK KARTLARI'!$C$2:$K$2150,8,0),0)</f>
        <v>0</v>
      </c>
      <c r="K8753" s="21">
        <f t="shared" si="575"/>
        <v>0</v>
      </c>
      <c r="L8753" s="5">
        <f t="shared" si="577"/>
        <v>0</v>
      </c>
      <c r="M8753" s="4"/>
      <c r="N8753" s="4"/>
      <c r="O8753" s="5"/>
      <c r="P8753" s="5"/>
      <c r="Q8753" s="21">
        <f t="shared" si="578"/>
        <v>0</v>
      </c>
      <c r="R8753" s="21">
        <f t="shared" si="576"/>
        <v>0</v>
      </c>
      <c r="S8753" s="5">
        <f t="shared" si="579"/>
        <v>70007.077158325032</v>
      </c>
      <c r="T8753" cm="1">
        <f t="array" ref="T8753">IF(OR(B8753="MAL ALIMI", B8753="ÜRETİM GİRİŞ"), MIN(I8753, MAX(0, I8753 + SUM(SUMIFS($I$1:I8752, $C$1:C8752, C8753, $B$1:B8752, {"MAL ALIMI","ÜRETİM GİRİŞ"})) - VLOOKUP(C8753, 'STOK RAPORU'!$C$2:$I$1000, 4, 0))), 0)</f>
        <v>0</v>
      </c>
      <c r="U8753" s="22">
        <f t="shared" si="580"/>
        <v>0</v>
      </c>
      <c r="V8753">
        <f t="shared" si="581"/>
        <v>0</v>
      </c>
      <c r="W8753" s="22">
        <f t="shared" si="582"/>
        <v>0</v>
      </c>
    </row>
    <row r="8754" spans="1:23" hidden="1" x14ac:dyDescent="0.25">
      <c r="A8754" s="4"/>
      <c r="B8754" s="4"/>
      <c r="C8754" s="4"/>
      <c r="D8754" s="4"/>
      <c r="E8754" s="4"/>
      <c r="F8754" s="4"/>
      <c r="G8754" s="4"/>
      <c r="H8754" s="4"/>
      <c r="I8754" s="4"/>
      <c r="J8754" s="21">
        <f>IFERROR(VLOOKUP(C8754,'STOK KARTLARI'!$C$2:$K$2150,8,0),0)</f>
        <v>0</v>
      </c>
      <c r="K8754" s="21">
        <f t="shared" si="575"/>
        <v>0</v>
      </c>
      <c r="L8754" s="5">
        <f t="shared" si="577"/>
        <v>0</v>
      </c>
      <c r="M8754" s="4"/>
      <c r="N8754" s="4"/>
      <c r="O8754" s="5"/>
      <c r="P8754" s="5"/>
      <c r="Q8754" s="21">
        <f t="shared" si="578"/>
        <v>0</v>
      </c>
      <c r="R8754" s="21">
        <f t="shared" si="576"/>
        <v>0</v>
      </c>
      <c r="S8754" s="5">
        <f t="shared" si="579"/>
        <v>70007.077158325032</v>
      </c>
      <c r="T8754" cm="1">
        <f t="array" ref="T8754">IF(OR(B8754="MAL ALIMI", B8754="ÜRETİM GİRİŞ"), MIN(I8754, MAX(0, I8754 + SUM(SUMIFS($I$1:I8753, $C$1:C8753, C8754, $B$1:B8753, {"MAL ALIMI","ÜRETİM GİRİŞ"})) - VLOOKUP(C8754, 'STOK RAPORU'!$C$2:$I$1000, 4, 0))), 0)</f>
        <v>0</v>
      </c>
      <c r="U8754" s="22">
        <f t="shared" si="580"/>
        <v>0</v>
      </c>
      <c r="V8754">
        <f t="shared" si="581"/>
        <v>0</v>
      </c>
      <c r="W8754" s="22">
        <f t="shared" si="582"/>
        <v>0</v>
      </c>
    </row>
    <row r="8755" spans="1:23" hidden="1" x14ac:dyDescent="0.25">
      <c r="A8755" s="4"/>
      <c r="B8755" s="4"/>
      <c r="C8755" s="4"/>
      <c r="D8755" s="4"/>
      <c r="E8755" s="4"/>
      <c r="F8755" s="4"/>
      <c r="G8755" s="4"/>
      <c r="H8755" s="4"/>
      <c r="I8755" s="4"/>
      <c r="J8755" s="21">
        <f>IFERROR(VLOOKUP(C8755,'STOK KARTLARI'!$C$2:$K$2150,8,0),0)</f>
        <v>0</v>
      </c>
      <c r="K8755" s="21">
        <f t="shared" ref="K8755:K8818" si="583">IF(AND(B8755="MAL SATIŞI", H8755="POS"),I8755*J8755,0)</f>
        <v>0</v>
      </c>
      <c r="L8755" s="5">
        <f t="shared" si="577"/>
        <v>0</v>
      </c>
      <c r="M8755" s="4"/>
      <c r="N8755" s="4"/>
      <c r="O8755" s="5"/>
      <c r="P8755" s="5"/>
      <c r="Q8755" s="21">
        <f t="shared" si="578"/>
        <v>0</v>
      </c>
      <c r="R8755" s="21">
        <f t="shared" ref="R8755:R8818" si="584">IF(AND(E8755="", B8755&lt;&gt;"MAL SATIŞI"),I8755*J8755,0)</f>
        <v>0</v>
      </c>
      <c r="S8755" s="5">
        <f t="shared" si="579"/>
        <v>70007.077158325032</v>
      </c>
      <c r="T8755" cm="1">
        <f t="array" ref="T8755">IF(OR(B8755="MAL ALIMI", B8755="ÜRETİM GİRİŞ"), MIN(I8755, MAX(0, I8755 + SUM(SUMIFS($I$1:I8754, $C$1:C8754, C8755, $B$1:B8754, {"MAL ALIMI","ÜRETİM GİRİŞ"})) - VLOOKUP(C8755, 'STOK RAPORU'!$C$2:$I$1000, 4, 0))), 0)</f>
        <v>0</v>
      </c>
      <c r="U8755" s="22">
        <f t="shared" si="580"/>
        <v>0</v>
      </c>
      <c r="V8755">
        <f t="shared" si="581"/>
        <v>0</v>
      </c>
      <c r="W8755" s="22">
        <f t="shared" si="582"/>
        <v>0</v>
      </c>
    </row>
    <row r="8756" spans="1:23" hidden="1" x14ac:dyDescent="0.25">
      <c r="A8756" s="4"/>
      <c r="B8756" s="4"/>
      <c r="C8756" s="4"/>
      <c r="D8756" s="4"/>
      <c r="E8756" s="4"/>
      <c r="F8756" s="4"/>
      <c r="G8756" s="4"/>
      <c r="H8756" s="4"/>
      <c r="I8756" s="4"/>
      <c r="J8756" s="21">
        <f>IFERROR(VLOOKUP(C8756,'STOK KARTLARI'!$C$2:$K$2150,8,0),0)</f>
        <v>0</v>
      </c>
      <c r="K8756" s="21">
        <f t="shared" si="583"/>
        <v>0</v>
      </c>
      <c r="L8756" s="5">
        <f t="shared" ref="L8756:L8819" si="585">IF(OR(E8756="", H8756="POS"),0,I8756*J8756)</f>
        <v>0</v>
      </c>
      <c r="M8756" s="4"/>
      <c r="N8756" s="4"/>
      <c r="O8756" s="5"/>
      <c r="P8756" s="5"/>
      <c r="Q8756" s="21">
        <f t="shared" ref="Q8756:Q8819" si="586">IF(AND(E8756="", B8756="MAL SATIŞI", H8756="NAKİT"),I8756*J8756,0)</f>
        <v>0</v>
      </c>
      <c r="R8756" s="21">
        <f t="shared" si="584"/>
        <v>0</v>
      </c>
      <c r="S8756" s="5">
        <f t="shared" si="579"/>
        <v>70007.077158325032</v>
      </c>
      <c r="T8756" cm="1">
        <f t="array" ref="T8756">IF(OR(B8756="MAL ALIMI", B8756="ÜRETİM GİRİŞ"), MIN(I8756, MAX(0, I8756 + SUM(SUMIFS($I$1:I8755, $C$1:C8755, C8756, $B$1:B8755, {"MAL ALIMI","ÜRETİM GİRİŞ"})) - VLOOKUP(C8756, 'STOK RAPORU'!$C$2:$I$1000, 4, 0))), 0)</f>
        <v>0</v>
      </c>
      <c r="U8756" s="22">
        <f t="shared" si="580"/>
        <v>0</v>
      </c>
      <c r="V8756">
        <f t="shared" si="581"/>
        <v>0</v>
      </c>
      <c r="W8756" s="22">
        <f t="shared" si="582"/>
        <v>0</v>
      </c>
    </row>
    <row r="8757" spans="1:23" hidden="1" x14ac:dyDescent="0.25">
      <c r="A8757" s="4"/>
      <c r="B8757" s="4"/>
      <c r="C8757" s="4"/>
      <c r="D8757" s="4"/>
      <c r="E8757" s="4"/>
      <c r="F8757" s="4"/>
      <c r="G8757" s="4"/>
      <c r="H8757" s="4"/>
      <c r="I8757" s="4"/>
      <c r="J8757" s="21">
        <f>IFERROR(VLOOKUP(C8757,'STOK KARTLARI'!$C$2:$K$2150,8,0),0)</f>
        <v>0</v>
      </c>
      <c r="K8757" s="21">
        <f t="shared" si="583"/>
        <v>0</v>
      </c>
      <c r="L8757" s="5">
        <f t="shared" si="585"/>
        <v>0</v>
      </c>
      <c r="M8757" s="4"/>
      <c r="N8757" s="4"/>
      <c r="O8757" s="5"/>
      <c r="P8757" s="5"/>
      <c r="Q8757" s="21">
        <f t="shared" si="586"/>
        <v>0</v>
      </c>
      <c r="R8757" s="21">
        <f t="shared" si="584"/>
        <v>0</v>
      </c>
      <c r="S8757" s="5">
        <f t="shared" si="579"/>
        <v>70007.077158325032</v>
      </c>
      <c r="T8757" cm="1">
        <f t="array" ref="T8757">IF(OR(B8757="MAL ALIMI", B8757="ÜRETİM GİRİŞ"), MIN(I8757, MAX(0, I8757 + SUM(SUMIFS($I$1:I8756, $C$1:C8756, C8757, $B$1:B8756, {"MAL ALIMI","ÜRETİM GİRİŞ"})) - VLOOKUP(C8757, 'STOK RAPORU'!$C$2:$I$1000, 4, 0))), 0)</f>
        <v>0</v>
      </c>
      <c r="U8757" s="22">
        <f t="shared" si="580"/>
        <v>0</v>
      </c>
      <c r="V8757">
        <f t="shared" si="581"/>
        <v>0</v>
      </c>
      <c r="W8757" s="22">
        <f t="shared" si="582"/>
        <v>0</v>
      </c>
    </row>
    <row r="8758" spans="1:23" hidden="1" x14ac:dyDescent="0.25">
      <c r="A8758" s="3"/>
      <c r="B8758" s="4"/>
      <c r="C8758" s="4"/>
      <c r="D8758" s="4"/>
      <c r="E8758" s="4"/>
      <c r="F8758" s="4"/>
      <c r="G8758" s="4"/>
      <c r="H8758" s="4"/>
      <c r="I8758" s="4"/>
      <c r="J8758" s="21">
        <f>IFERROR(VLOOKUP(C8758,'STOK KARTLARI'!$C$2:$K$2150,8,0),0)</f>
        <v>0</v>
      </c>
      <c r="K8758" s="21">
        <f t="shared" si="583"/>
        <v>0</v>
      </c>
      <c r="L8758" s="5">
        <f t="shared" si="585"/>
        <v>0</v>
      </c>
      <c r="M8758" s="4"/>
      <c r="N8758" s="4"/>
      <c r="O8758" s="5"/>
      <c r="P8758" s="5"/>
      <c r="Q8758" s="21">
        <f t="shared" si="586"/>
        <v>0</v>
      </c>
      <c r="R8758" s="21">
        <f t="shared" si="584"/>
        <v>0</v>
      </c>
      <c r="S8758" s="5">
        <f t="shared" si="579"/>
        <v>70007.077158325032</v>
      </c>
      <c r="T8758" cm="1">
        <f t="array" ref="T8758">IF(OR(B8758="MAL ALIMI", B8758="ÜRETİM GİRİŞ"), MIN(I8758, MAX(0, I8758 + SUM(SUMIFS($I$1:I8757, $C$1:C8757, C8758, $B$1:B8757, {"MAL ALIMI","ÜRETİM GİRİŞ"})) - VLOOKUP(C8758, 'STOK RAPORU'!$C$2:$I$1000, 4, 0))), 0)</f>
        <v>0</v>
      </c>
      <c r="U8758" s="22">
        <f t="shared" si="580"/>
        <v>0</v>
      </c>
      <c r="V8758">
        <f t="shared" si="581"/>
        <v>0</v>
      </c>
      <c r="W8758" s="22">
        <f t="shared" si="582"/>
        <v>0</v>
      </c>
    </row>
    <row r="8759" spans="1:23" hidden="1" x14ac:dyDescent="0.25">
      <c r="A8759" s="4"/>
      <c r="B8759" s="4"/>
      <c r="C8759" s="4"/>
      <c r="D8759" s="4"/>
      <c r="E8759" s="4"/>
      <c r="F8759" s="4"/>
      <c r="G8759" s="4"/>
      <c r="H8759" s="4"/>
      <c r="I8759" s="4"/>
      <c r="J8759" s="21">
        <f>IFERROR(VLOOKUP(C8759,'STOK KARTLARI'!$C$2:$K$2150,8,0),0)</f>
        <v>0</v>
      </c>
      <c r="K8759" s="21">
        <f t="shared" si="583"/>
        <v>0</v>
      </c>
      <c r="L8759" s="5">
        <f t="shared" si="585"/>
        <v>0</v>
      </c>
      <c r="M8759" s="4"/>
      <c r="N8759" s="4"/>
      <c r="O8759" s="5"/>
      <c r="P8759" s="5"/>
      <c r="Q8759" s="21">
        <f t="shared" si="586"/>
        <v>0</v>
      </c>
      <c r="R8759" s="21">
        <f t="shared" si="584"/>
        <v>0</v>
      </c>
      <c r="S8759" s="5">
        <f t="shared" si="579"/>
        <v>70007.077158325032</v>
      </c>
      <c r="T8759" cm="1">
        <f t="array" ref="T8759">IF(OR(B8759="MAL ALIMI", B8759="ÜRETİM GİRİŞ"), MIN(I8759, MAX(0, I8759 + SUM(SUMIFS($I$1:I8758, $C$1:C8758, C8759, $B$1:B8758, {"MAL ALIMI","ÜRETİM GİRİŞ"})) - VLOOKUP(C8759, 'STOK RAPORU'!$C$2:$I$1000, 4, 0))), 0)</f>
        <v>0</v>
      </c>
      <c r="U8759" s="22">
        <f t="shared" si="580"/>
        <v>0</v>
      </c>
      <c r="V8759">
        <f t="shared" si="581"/>
        <v>0</v>
      </c>
      <c r="W8759" s="22">
        <f t="shared" si="582"/>
        <v>0</v>
      </c>
    </row>
    <row r="8760" spans="1:23" hidden="1" x14ac:dyDescent="0.25">
      <c r="A8760" s="4"/>
      <c r="B8760" s="4"/>
      <c r="C8760" s="4"/>
      <c r="D8760" s="4"/>
      <c r="E8760" s="4"/>
      <c r="F8760" s="4"/>
      <c r="G8760" s="4"/>
      <c r="H8760" s="4"/>
      <c r="I8760" s="4"/>
      <c r="J8760" s="21">
        <f>IFERROR(VLOOKUP(C8760,'STOK KARTLARI'!$C$2:$K$2150,8,0),0)</f>
        <v>0</v>
      </c>
      <c r="K8760" s="21">
        <f t="shared" si="583"/>
        <v>0</v>
      </c>
      <c r="L8760" s="5">
        <f t="shared" si="585"/>
        <v>0</v>
      </c>
      <c r="M8760" s="4"/>
      <c r="N8760" s="4"/>
      <c r="O8760" s="5"/>
      <c r="P8760" s="5"/>
      <c r="Q8760" s="21">
        <f t="shared" si="586"/>
        <v>0</v>
      </c>
      <c r="R8760" s="21">
        <f t="shared" si="584"/>
        <v>0</v>
      </c>
      <c r="S8760" s="5">
        <f t="shared" si="579"/>
        <v>70007.077158325032</v>
      </c>
      <c r="T8760" cm="1">
        <f t="array" ref="T8760">IF(OR(B8760="MAL ALIMI", B8760="ÜRETİM GİRİŞ"), MIN(I8760, MAX(0, I8760 + SUM(SUMIFS($I$1:I8759, $C$1:C8759, C8760, $B$1:B8759, {"MAL ALIMI","ÜRETİM GİRİŞ"})) - VLOOKUP(C8760, 'STOK RAPORU'!$C$2:$I$1000, 4, 0))), 0)</f>
        <v>0</v>
      </c>
      <c r="U8760" s="22">
        <f t="shared" si="580"/>
        <v>0</v>
      </c>
      <c r="V8760">
        <f t="shared" si="581"/>
        <v>0</v>
      </c>
      <c r="W8760" s="22">
        <f t="shared" si="582"/>
        <v>0</v>
      </c>
    </row>
    <row r="8761" spans="1:23" hidden="1" x14ac:dyDescent="0.25">
      <c r="A8761" s="4"/>
      <c r="B8761" s="4"/>
      <c r="C8761" s="4"/>
      <c r="D8761" s="4"/>
      <c r="E8761" s="4"/>
      <c r="F8761" s="4"/>
      <c r="G8761" s="4"/>
      <c r="H8761" s="4"/>
      <c r="I8761" s="4"/>
      <c r="J8761" s="21">
        <f>IFERROR(VLOOKUP(C8761,'STOK KARTLARI'!$C$2:$K$2150,8,0),0)</f>
        <v>0</v>
      </c>
      <c r="K8761" s="21">
        <f t="shared" si="583"/>
        <v>0</v>
      </c>
      <c r="L8761" s="5">
        <f t="shared" si="585"/>
        <v>0</v>
      </c>
      <c r="M8761" s="4"/>
      <c r="N8761" s="4"/>
      <c r="O8761" s="5"/>
      <c r="P8761" s="5"/>
      <c r="Q8761" s="21">
        <f t="shared" si="586"/>
        <v>0</v>
      </c>
      <c r="R8761" s="21">
        <f t="shared" si="584"/>
        <v>0</v>
      </c>
      <c r="S8761" s="5">
        <f t="shared" si="579"/>
        <v>70007.077158325032</v>
      </c>
      <c r="T8761" cm="1">
        <f t="array" ref="T8761">IF(OR(B8761="MAL ALIMI", B8761="ÜRETİM GİRİŞ"), MIN(I8761, MAX(0, I8761 + SUM(SUMIFS($I$1:I8760, $C$1:C8760, C8761, $B$1:B8760, {"MAL ALIMI","ÜRETİM GİRİŞ"})) - VLOOKUP(C8761, 'STOK RAPORU'!$C$2:$I$1000, 4, 0))), 0)</f>
        <v>0</v>
      </c>
      <c r="U8761" s="22">
        <f t="shared" si="580"/>
        <v>0</v>
      </c>
      <c r="V8761">
        <f t="shared" si="581"/>
        <v>0</v>
      </c>
      <c r="W8761" s="22">
        <f t="shared" si="582"/>
        <v>0</v>
      </c>
    </row>
    <row r="8762" spans="1:23" hidden="1" x14ac:dyDescent="0.25">
      <c r="A8762" s="4"/>
      <c r="B8762" s="4"/>
      <c r="C8762" s="4"/>
      <c r="D8762" s="4"/>
      <c r="E8762" s="4"/>
      <c r="F8762" s="4"/>
      <c r="G8762" s="4"/>
      <c r="H8762" s="4"/>
      <c r="I8762" s="4"/>
      <c r="J8762" s="21">
        <f>IFERROR(VLOOKUP(C8762,'STOK KARTLARI'!$C$2:$K$2150,8,0),0)</f>
        <v>0</v>
      </c>
      <c r="K8762" s="21">
        <f t="shared" si="583"/>
        <v>0</v>
      </c>
      <c r="L8762" s="5">
        <f t="shared" si="585"/>
        <v>0</v>
      </c>
      <c r="M8762" s="4"/>
      <c r="N8762" s="4"/>
      <c r="O8762" s="5"/>
      <c r="P8762" s="5"/>
      <c r="Q8762" s="21">
        <f t="shared" si="586"/>
        <v>0</v>
      </c>
      <c r="R8762" s="21">
        <f t="shared" si="584"/>
        <v>0</v>
      </c>
      <c r="S8762" s="5">
        <f t="shared" si="579"/>
        <v>70007.077158325032</v>
      </c>
      <c r="T8762" cm="1">
        <f t="array" ref="T8762">IF(OR(B8762="MAL ALIMI", B8762="ÜRETİM GİRİŞ"), MIN(I8762, MAX(0, I8762 + SUM(SUMIFS($I$1:I8761, $C$1:C8761, C8762, $B$1:B8761, {"MAL ALIMI","ÜRETİM GİRİŞ"})) - VLOOKUP(C8762, 'STOK RAPORU'!$C$2:$I$1000, 4, 0))), 0)</f>
        <v>0</v>
      </c>
      <c r="U8762" s="22">
        <f t="shared" si="580"/>
        <v>0</v>
      </c>
      <c r="V8762">
        <f t="shared" si="581"/>
        <v>0</v>
      </c>
      <c r="W8762" s="22">
        <f t="shared" si="582"/>
        <v>0</v>
      </c>
    </row>
    <row r="8763" spans="1:23" hidden="1" x14ac:dyDescent="0.25">
      <c r="A8763" s="4"/>
      <c r="B8763" s="4"/>
      <c r="C8763" s="4"/>
      <c r="D8763" s="4"/>
      <c r="E8763" s="4"/>
      <c r="F8763" s="4"/>
      <c r="G8763" s="4"/>
      <c r="H8763" s="4"/>
      <c r="I8763" s="4"/>
      <c r="J8763" s="21">
        <f>IFERROR(VLOOKUP(C8763,'STOK KARTLARI'!$C$2:$K$2150,8,0),0)</f>
        <v>0</v>
      </c>
      <c r="K8763" s="21">
        <f t="shared" si="583"/>
        <v>0</v>
      </c>
      <c r="L8763" s="5">
        <f t="shared" si="585"/>
        <v>0</v>
      </c>
      <c r="M8763" s="4"/>
      <c r="N8763" s="4"/>
      <c r="O8763" s="5"/>
      <c r="P8763" s="5"/>
      <c r="Q8763" s="21">
        <f t="shared" si="586"/>
        <v>0</v>
      </c>
      <c r="R8763" s="21">
        <f t="shared" si="584"/>
        <v>0</v>
      </c>
      <c r="S8763" s="5">
        <f t="shared" si="579"/>
        <v>70007.077158325032</v>
      </c>
      <c r="T8763" cm="1">
        <f t="array" ref="T8763">IF(OR(B8763="MAL ALIMI", B8763="ÜRETİM GİRİŞ"), MIN(I8763, MAX(0, I8763 + SUM(SUMIFS($I$1:I8762, $C$1:C8762, C8763, $B$1:B8762, {"MAL ALIMI","ÜRETİM GİRİŞ"})) - VLOOKUP(C8763, 'STOK RAPORU'!$C$2:$I$1000, 4, 0))), 0)</f>
        <v>0</v>
      </c>
      <c r="U8763" s="22">
        <f t="shared" si="580"/>
        <v>0</v>
      </c>
      <c r="V8763">
        <f t="shared" si="581"/>
        <v>0</v>
      </c>
      <c r="W8763" s="22">
        <f t="shared" si="582"/>
        <v>0</v>
      </c>
    </row>
    <row r="8764" spans="1:23" hidden="1" x14ac:dyDescent="0.25">
      <c r="A8764" s="4"/>
      <c r="B8764" s="4"/>
      <c r="C8764" s="4"/>
      <c r="D8764" s="4"/>
      <c r="E8764" s="4"/>
      <c r="F8764" s="4"/>
      <c r="G8764" s="4"/>
      <c r="H8764" s="4"/>
      <c r="I8764" s="4"/>
      <c r="J8764" s="21">
        <f>IFERROR(VLOOKUP(C8764,'STOK KARTLARI'!$C$2:$K$2150,8,0),0)</f>
        <v>0</v>
      </c>
      <c r="K8764" s="21">
        <f t="shared" si="583"/>
        <v>0</v>
      </c>
      <c r="L8764" s="5">
        <f t="shared" si="585"/>
        <v>0</v>
      </c>
      <c r="M8764" s="4"/>
      <c r="N8764" s="4"/>
      <c r="O8764" s="5"/>
      <c r="P8764" s="5"/>
      <c r="Q8764" s="21">
        <f t="shared" si="586"/>
        <v>0</v>
      </c>
      <c r="R8764" s="21">
        <f t="shared" si="584"/>
        <v>0</v>
      </c>
      <c r="S8764" s="5">
        <f t="shared" si="579"/>
        <v>70007.077158325032</v>
      </c>
      <c r="T8764" cm="1">
        <f t="array" ref="T8764">IF(OR(B8764="MAL ALIMI", B8764="ÜRETİM GİRİŞ"), MIN(I8764, MAX(0, I8764 + SUM(SUMIFS($I$1:I8763, $C$1:C8763, C8764, $B$1:B8763, {"MAL ALIMI","ÜRETİM GİRİŞ"})) - VLOOKUP(C8764, 'STOK RAPORU'!$C$2:$I$1000, 4, 0))), 0)</f>
        <v>0</v>
      </c>
      <c r="U8764" s="22">
        <f t="shared" si="580"/>
        <v>0</v>
      </c>
      <c r="V8764">
        <f t="shared" si="581"/>
        <v>0</v>
      </c>
      <c r="W8764" s="22">
        <f t="shared" si="582"/>
        <v>0</v>
      </c>
    </row>
    <row r="8765" spans="1:23" hidden="1" x14ac:dyDescent="0.25">
      <c r="A8765" s="3"/>
      <c r="B8765" s="4"/>
      <c r="C8765" s="4"/>
      <c r="D8765" s="4"/>
      <c r="E8765" s="4"/>
      <c r="F8765" s="4"/>
      <c r="G8765" s="4"/>
      <c r="H8765" s="4"/>
      <c r="I8765" s="4"/>
      <c r="J8765" s="21">
        <f>IFERROR(VLOOKUP(C8765,'STOK KARTLARI'!$C$2:$K$2150,8,0),0)</f>
        <v>0</v>
      </c>
      <c r="K8765" s="21">
        <f t="shared" si="583"/>
        <v>0</v>
      </c>
      <c r="L8765" s="5">
        <f t="shared" si="585"/>
        <v>0</v>
      </c>
      <c r="M8765" s="4"/>
      <c r="N8765" s="4"/>
      <c r="O8765" s="5"/>
      <c r="P8765" s="5"/>
      <c r="Q8765" s="21">
        <f t="shared" si="586"/>
        <v>0</v>
      </c>
      <c r="R8765" s="21">
        <f t="shared" si="584"/>
        <v>0</v>
      </c>
      <c r="S8765" s="5">
        <f t="shared" si="579"/>
        <v>70007.077158325032</v>
      </c>
      <c r="T8765" cm="1">
        <f t="array" ref="T8765">IF(OR(B8765="MAL ALIMI", B8765="ÜRETİM GİRİŞ"), MIN(I8765, MAX(0, I8765 + SUM(SUMIFS($I$1:I8764, $C$1:C8764, C8765, $B$1:B8764, {"MAL ALIMI","ÜRETİM GİRİŞ"})) - VLOOKUP(C8765, 'STOK RAPORU'!$C$2:$I$1000, 4, 0))), 0)</f>
        <v>0</v>
      </c>
      <c r="U8765" s="22">
        <f t="shared" si="580"/>
        <v>0</v>
      </c>
      <c r="V8765">
        <f t="shared" si="581"/>
        <v>0</v>
      </c>
      <c r="W8765" s="22">
        <f t="shared" si="582"/>
        <v>0</v>
      </c>
    </row>
    <row r="8766" spans="1:23" hidden="1" x14ac:dyDescent="0.25">
      <c r="A8766" s="4"/>
      <c r="B8766" s="4"/>
      <c r="C8766" s="4"/>
      <c r="D8766" s="4"/>
      <c r="E8766" s="4"/>
      <c r="F8766" s="4"/>
      <c r="G8766" s="4"/>
      <c r="H8766" s="4"/>
      <c r="I8766" s="4"/>
      <c r="J8766" s="21">
        <f>IFERROR(VLOOKUP(C8766,'STOK KARTLARI'!$C$2:$K$2150,8,0),0)</f>
        <v>0</v>
      </c>
      <c r="K8766" s="21">
        <f t="shared" si="583"/>
        <v>0</v>
      </c>
      <c r="L8766" s="5">
        <f t="shared" si="585"/>
        <v>0</v>
      </c>
      <c r="M8766" s="4"/>
      <c r="N8766" s="4"/>
      <c r="O8766" s="5"/>
      <c r="P8766" s="5"/>
      <c r="Q8766" s="21">
        <f t="shared" si="586"/>
        <v>0</v>
      </c>
      <c r="R8766" s="21">
        <f t="shared" si="584"/>
        <v>0</v>
      </c>
      <c r="S8766" s="5">
        <f t="shared" si="579"/>
        <v>70007.077158325032</v>
      </c>
      <c r="T8766" cm="1">
        <f t="array" ref="T8766">IF(OR(B8766="MAL ALIMI", B8766="ÜRETİM GİRİŞ"), MIN(I8766, MAX(0, I8766 + SUM(SUMIFS($I$1:I8765, $C$1:C8765, C8766, $B$1:B8765, {"MAL ALIMI","ÜRETİM GİRİŞ"})) - VLOOKUP(C8766, 'STOK RAPORU'!$C$2:$I$1000, 4, 0))), 0)</f>
        <v>0</v>
      </c>
      <c r="U8766" s="22">
        <f t="shared" si="580"/>
        <v>0</v>
      </c>
      <c r="V8766">
        <f t="shared" si="581"/>
        <v>0</v>
      </c>
      <c r="W8766" s="22">
        <f t="shared" si="582"/>
        <v>0</v>
      </c>
    </row>
    <row r="8767" spans="1:23" hidden="1" x14ac:dyDescent="0.25">
      <c r="A8767" s="4"/>
      <c r="B8767" s="4"/>
      <c r="C8767" s="4"/>
      <c r="D8767" s="4"/>
      <c r="E8767" s="4"/>
      <c r="F8767" s="4"/>
      <c r="G8767" s="4"/>
      <c r="H8767" s="4"/>
      <c r="I8767" s="4"/>
      <c r="J8767" s="21">
        <f>IFERROR(VLOOKUP(C8767,'STOK KARTLARI'!$C$2:$K$2150,8,0),0)</f>
        <v>0</v>
      </c>
      <c r="K8767" s="21">
        <f t="shared" si="583"/>
        <v>0</v>
      </c>
      <c r="L8767" s="5">
        <f t="shared" si="585"/>
        <v>0</v>
      </c>
      <c r="M8767" s="4"/>
      <c r="N8767" s="4"/>
      <c r="O8767" s="5"/>
      <c r="P8767" s="5"/>
      <c r="Q8767" s="21">
        <f t="shared" si="586"/>
        <v>0</v>
      </c>
      <c r="R8767" s="21">
        <f t="shared" si="584"/>
        <v>0</v>
      </c>
      <c r="S8767" s="5">
        <f t="shared" si="579"/>
        <v>70007.077158325032</v>
      </c>
      <c r="T8767" cm="1">
        <f t="array" ref="T8767">IF(OR(B8767="MAL ALIMI", B8767="ÜRETİM GİRİŞ"), MIN(I8767, MAX(0, I8767 + SUM(SUMIFS($I$1:I8766, $C$1:C8766, C8767, $B$1:B8766, {"MAL ALIMI","ÜRETİM GİRİŞ"})) - VLOOKUP(C8767, 'STOK RAPORU'!$C$2:$I$1000, 4, 0))), 0)</f>
        <v>0</v>
      </c>
      <c r="U8767" s="22">
        <f t="shared" si="580"/>
        <v>0</v>
      </c>
      <c r="V8767">
        <f t="shared" si="581"/>
        <v>0</v>
      </c>
      <c r="W8767" s="22">
        <f t="shared" si="582"/>
        <v>0</v>
      </c>
    </row>
    <row r="8768" spans="1:23" hidden="1" x14ac:dyDescent="0.25">
      <c r="A8768" s="4"/>
      <c r="B8768" s="4"/>
      <c r="C8768" s="4"/>
      <c r="D8768" s="4"/>
      <c r="E8768" s="4"/>
      <c r="F8768" s="4"/>
      <c r="G8768" s="4"/>
      <c r="H8768" s="4"/>
      <c r="I8768" s="4"/>
      <c r="J8768" s="21">
        <f>IFERROR(VLOOKUP(C8768,'STOK KARTLARI'!$C$2:$K$2150,8,0),0)</f>
        <v>0</v>
      </c>
      <c r="K8768" s="21">
        <f t="shared" si="583"/>
        <v>0</v>
      </c>
      <c r="L8768" s="5">
        <f t="shared" si="585"/>
        <v>0</v>
      </c>
      <c r="M8768" s="4"/>
      <c r="N8768" s="4"/>
      <c r="O8768" s="5"/>
      <c r="P8768" s="5"/>
      <c r="Q8768" s="21">
        <f t="shared" si="586"/>
        <v>0</v>
      </c>
      <c r="R8768" s="21">
        <f t="shared" si="584"/>
        <v>0</v>
      </c>
      <c r="S8768" s="5">
        <f t="shared" si="579"/>
        <v>70007.077158325032</v>
      </c>
      <c r="T8768" cm="1">
        <f t="array" ref="T8768">IF(OR(B8768="MAL ALIMI", B8768="ÜRETİM GİRİŞ"), MIN(I8768, MAX(0, I8768 + SUM(SUMIFS($I$1:I8767, $C$1:C8767, C8768, $B$1:B8767, {"MAL ALIMI","ÜRETİM GİRİŞ"})) - VLOOKUP(C8768, 'STOK RAPORU'!$C$2:$I$1000, 4, 0))), 0)</f>
        <v>0</v>
      </c>
      <c r="U8768" s="22">
        <f t="shared" si="580"/>
        <v>0</v>
      </c>
      <c r="V8768">
        <f t="shared" si="581"/>
        <v>0</v>
      </c>
      <c r="W8768" s="22">
        <f t="shared" si="582"/>
        <v>0</v>
      </c>
    </row>
    <row r="8769" spans="1:23" hidden="1" x14ac:dyDescent="0.25">
      <c r="A8769" s="4"/>
      <c r="B8769" s="4"/>
      <c r="C8769" s="4"/>
      <c r="D8769" s="4"/>
      <c r="E8769" s="4"/>
      <c r="F8769" s="4"/>
      <c r="G8769" s="4"/>
      <c r="H8769" s="4"/>
      <c r="I8769" s="4"/>
      <c r="J8769" s="21">
        <f>IFERROR(VLOOKUP(C8769,'STOK KARTLARI'!$C$2:$K$2150,8,0),0)</f>
        <v>0</v>
      </c>
      <c r="K8769" s="21">
        <f t="shared" si="583"/>
        <v>0</v>
      </c>
      <c r="L8769" s="5">
        <f t="shared" si="585"/>
        <v>0</v>
      </c>
      <c r="M8769" s="4"/>
      <c r="N8769" s="4"/>
      <c r="O8769" s="5"/>
      <c r="P8769" s="5"/>
      <c r="Q8769" s="21">
        <f t="shared" si="586"/>
        <v>0</v>
      </c>
      <c r="R8769" s="21">
        <f t="shared" si="584"/>
        <v>0</v>
      </c>
      <c r="S8769" s="5">
        <f t="shared" si="579"/>
        <v>70007.077158325032</v>
      </c>
      <c r="T8769" cm="1">
        <f t="array" ref="T8769">IF(OR(B8769="MAL ALIMI", B8769="ÜRETİM GİRİŞ"), MIN(I8769, MAX(0, I8769 + SUM(SUMIFS($I$1:I8768, $C$1:C8768, C8769, $B$1:B8768, {"MAL ALIMI","ÜRETİM GİRİŞ"})) - VLOOKUP(C8769, 'STOK RAPORU'!$C$2:$I$1000, 4, 0))), 0)</f>
        <v>0</v>
      </c>
      <c r="U8769" s="22">
        <f t="shared" si="580"/>
        <v>0</v>
      </c>
      <c r="V8769">
        <f t="shared" si="581"/>
        <v>0</v>
      </c>
      <c r="W8769" s="22">
        <f t="shared" si="582"/>
        <v>0</v>
      </c>
    </row>
    <row r="8770" spans="1:23" hidden="1" x14ac:dyDescent="0.25">
      <c r="A8770" s="4"/>
      <c r="B8770" s="4"/>
      <c r="C8770" s="4"/>
      <c r="D8770" s="4"/>
      <c r="E8770" s="4"/>
      <c r="F8770" s="4"/>
      <c r="G8770" s="4"/>
      <c r="H8770" s="4"/>
      <c r="I8770" s="4"/>
      <c r="J8770" s="21">
        <f>IFERROR(VLOOKUP(C8770,'STOK KARTLARI'!$C$2:$K$2150,8,0),0)</f>
        <v>0</v>
      </c>
      <c r="K8770" s="21">
        <f t="shared" si="583"/>
        <v>0</v>
      </c>
      <c r="L8770" s="5">
        <f t="shared" si="585"/>
        <v>0</v>
      </c>
      <c r="M8770" s="4"/>
      <c r="N8770" s="4"/>
      <c r="O8770" s="5"/>
      <c r="P8770" s="5"/>
      <c r="Q8770" s="21">
        <f t="shared" si="586"/>
        <v>0</v>
      </c>
      <c r="R8770" s="21">
        <f t="shared" si="584"/>
        <v>0</v>
      </c>
      <c r="S8770" s="5">
        <f t="shared" si="579"/>
        <v>70007.077158325032</v>
      </c>
      <c r="T8770" cm="1">
        <f t="array" ref="T8770">IF(OR(B8770="MAL ALIMI", B8770="ÜRETİM GİRİŞ"), MIN(I8770, MAX(0, I8770 + SUM(SUMIFS($I$1:I8769, $C$1:C8769, C8770, $B$1:B8769, {"MAL ALIMI","ÜRETİM GİRİŞ"})) - VLOOKUP(C8770, 'STOK RAPORU'!$C$2:$I$1000, 4, 0))), 0)</f>
        <v>0</v>
      </c>
      <c r="U8770" s="22">
        <f t="shared" si="580"/>
        <v>0</v>
      </c>
      <c r="V8770">
        <f t="shared" si="581"/>
        <v>0</v>
      </c>
      <c r="W8770" s="22">
        <f t="shared" si="582"/>
        <v>0</v>
      </c>
    </row>
    <row r="8771" spans="1:23" hidden="1" x14ac:dyDescent="0.25">
      <c r="A8771" s="4"/>
      <c r="B8771" s="4"/>
      <c r="C8771" s="4"/>
      <c r="D8771" s="4"/>
      <c r="E8771" s="4"/>
      <c r="F8771" s="4"/>
      <c r="G8771" s="4"/>
      <c r="H8771" s="4"/>
      <c r="I8771" s="4"/>
      <c r="J8771" s="21">
        <f>IFERROR(VLOOKUP(C8771,'STOK KARTLARI'!$C$2:$K$2150,8,0),0)</f>
        <v>0</v>
      </c>
      <c r="K8771" s="21">
        <f t="shared" si="583"/>
        <v>0</v>
      </c>
      <c r="L8771" s="5">
        <f t="shared" si="585"/>
        <v>0</v>
      </c>
      <c r="M8771" s="4"/>
      <c r="N8771" s="4"/>
      <c r="O8771" s="5"/>
      <c r="P8771" s="5"/>
      <c r="Q8771" s="21">
        <f t="shared" si="586"/>
        <v>0</v>
      </c>
      <c r="R8771" s="21">
        <f t="shared" si="584"/>
        <v>0</v>
      </c>
      <c r="S8771" s="5">
        <f t="shared" si="579"/>
        <v>70007.077158325032</v>
      </c>
      <c r="T8771" cm="1">
        <f t="array" ref="T8771">IF(OR(B8771="MAL ALIMI", B8771="ÜRETİM GİRİŞ"), MIN(I8771, MAX(0, I8771 + SUM(SUMIFS($I$1:I8770, $C$1:C8770, C8771, $B$1:B8770, {"MAL ALIMI","ÜRETİM GİRİŞ"})) - VLOOKUP(C8771, 'STOK RAPORU'!$C$2:$I$1000, 4, 0))), 0)</f>
        <v>0</v>
      </c>
      <c r="U8771" s="22">
        <f t="shared" si="580"/>
        <v>0</v>
      </c>
      <c r="V8771">
        <f t="shared" si="581"/>
        <v>0</v>
      </c>
      <c r="W8771" s="22">
        <f t="shared" si="582"/>
        <v>0</v>
      </c>
    </row>
    <row r="8772" spans="1:23" hidden="1" x14ac:dyDescent="0.25">
      <c r="A8772" s="3"/>
      <c r="B8772" s="4"/>
      <c r="C8772" s="4"/>
      <c r="D8772" s="4"/>
      <c r="E8772" s="4"/>
      <c r="F8772" s="4"/>
      <c r="G8772" s="4"/>
      <c r="H8772" s="4"/>
      <c r="I8772" s="4"/>
      <c r="J8772" s="21">
        <f>IFERROR(VLOOKUP(C8772,'STOK KARTLARI'!$C$2:$K$2150,8,0),0)</f>
        <v>0</v>
      </c>
      <c r="K8772" s="21">
        <f t="shared" si="583"/>
        <v>0</v>
      </c>
      <c r="L8772" s="5">
        <f t="shared" si="585"/>
        <v>0</v>
      </c>
      <c r="M8772" s="4"/>
      <c r="N8772" s="4"/>
      <c r="O8772" s="5"/>
      <c r="P8772" s="5"/>
      <c r="Q8772" s="21">
        <f t="shared" si="586"/>
        <v>0</v>
      </c>
      <c r="R8772" s="21">
        <f t="shared" si="584"/>
        <v>0</v>
      </c>
      <c r="S8772" s="5">
        <f t="shared" si="579"/>
        <v>70007.077158325032</v>
      </c>
      <c r="T8772" cm="1">
        <f t="array" ref="T8772">IF(OR(B8772="MAL ALIMI", B8772="ÜRETİM GİRİŞ"), MIN(I8772, MAX(0, I8772 + SUM(SUMIFS($I$1:I8771, $C$1:C8771, C8772, $B$1:B8771, {"MAL ALIMI","ÜRETİM GİRİŞ"})) - VLOOKUP(C8772, 'STOK RAPORU'!$C$2:$I$1000, 4, 0))), 0)</f>
        <v>0</v>
      </c>
      <c r="U8772" s="22">
        <f t="shared" si="580"/>
        <v>0</v>
      </c>
      <c r="V8772">
        <f t="shared" si="581"/>
        <v>0</v>
      </c>
      <c r="W8772" s="22">
        <f t="shared" si="582"/>
        <v>0</v>
      </c>
    </row>
    <row r="8773" spans="1:23" hidden="1" x14ac:dyDescent="0.25">
      <c r="A8773" s="4"/>
      <c r="B8773" s="4"/>
      <c r="C8773" s="4"/>
      <c r="D8773" s="4"/>
      <c r="E8773" s="4"/>
      <c r="F8773" s="4"/>
      <c r="G8773" s="4"/>
      <c r="H8773" s="4"/>
      <c r="I8773" s="4"/>
      <c r="J8773" s="21">
        <f>IFERROR(VLOOKUP(C8773,'STOK KARTLARI'!$C$2:$K$2150,8,0),0)</f>
        <v>0</v>
      </c>
      <c r="K8773" s="21">
        <f t="shared" si="583"/>
        <v>0</v>
      </c>
      <c r="L8773" s="5">
        <f t="shared" si="585"/>
        <v>0</v>
      </c>
      <c r="M8773" s="4"/>
      <c r="N8773" s="4"/>
      <c r="O8773" s="5"/>
      <c r="P8773" s="5"/>
      <c r="Q8773" s="21">
        <f t="shared" si="586"/>
        <v>0</v>
      </c>
      <c r="R8773" s="21">
        <f t="shared" si="584"/>
        <v>0</v>
      </c>
      <c r="S8773" s="5">
        <f t="shared" ref="S8773:S8836" si="587">S8772+Q8773-R8773</f>
        <v>70007.077158325032</v>
      </c>
      <c r="T8773" cm="1">
        <f t="array" ref="T8773">IF(OR(B8773="MAL ALIMI", B8773="ÜRETİM GİRİŞ"), MIN(I8773, MAX(0, I8773 + SUM(SUMIFS($I$1:I8772, $C$1:C8772, C8773, $B$1:B8772, {"MAL ALIMI","ÜRETİM GİRİŞ"})) - VLOOKUP(C8773, 'STOK RAPORU'!$C$2:$I$1000, 4, 0))), 0)</f>
        <v>0</v>
      </c>
      <c r="U8773" s="22">
        <f t="shared" si="580"/>
        <v>0</v>
      </c>
      <c r="V8773">
        <f t="shared" si="581"/>
        <v>0</v>
      </c>
      <c r="W8773" s="22">
        <f t="shared" si="582"/>
        <v>0</v>
      </c>
    </row>
    <row r="8774" spans="1:23" hidden="1" x14ac:dyDescent="0.25">
      <c r="A8774" s="4"/>
      <c r="B8774" s="4"/>
      <c r="C8774" s="4"/>
      <c r="D8774" s="4"/>
      <c r="E8774" s="4"/>
      <c r="F8774" s="4"/>
      <c r="G8774" s="4"/>
      <c r="H8774" s="4"/>
      <c r="I8774" s="4"/>
      <c r="J8774" s="21">
        <f>IFERROR(VLOOKUP(C8774,'STOK KARTLARI'!$C$2:$K$2150,8,0),0)</f>
        <v>0</v>
      </c>
      <c r="K8774" s="21">
        <f t="shared" si="583"/>
        <v>0</v>
      </c>
      <c r="L8774" s="5">
        <f t="shared" si="585"/>
        <v>0</v>
      </c>
      <c r="M8774" s="4"/>
      <c r="N8774" s="4"/>
      <c r="O8774" s="5"/>
      <c r="P8774" s="5"/>
      <c r="Q8774" s="21">
        <f t="shared" si="586"/>
        <v>0</v>
      </c>
      <c r="R8774" s="21">
        <f t="shared" si="584"/>
        <v>0</v>
      </c>
      <c r="S8774" s="5">
        <f t="shared" si="587"/>
        <v>70007.077158325032</v>
      </c>
      <c r="T8774" cm="1">
        <f t="array" ref="T8774">IF(OR(B8774="MAL ALIMI", B8774="ÜRETİM GİRİŞ"), MIN(I8774, MAX(0, I8774 + SUM(SUMIFS($I$1:I8773, $C$1:C8773, C8774, $B$1:B8773, {"MAL ALIMI","ÜRETİM GİRİŞ"})) - VLOOKUP(C8774, 'STOK RAPORU'!$C$2:$I$1000, 4, 0))), 0)</f>
        <v>0</v>
      </c>
      <c r="U8774" s="22">
        <f t="shared" si="580"/>
        <v>0</v>
      </c>
      <c r="V8774">
        <f t="shared" si="581"/>
        <v>0</v>
      </c>
      <c r="W8774" s="22">
        <f t="shared" si="582"/>
        <v>0</v>
      </c>
    </row>
    <row r="8775" spans="1:23" hidden="1" x14ac:dyDescent="0.25">
      <c r="A8775" s="4"/>
      <c r="B8775" s="4"/>
      <c r="C8775" s="4"/>
      <c r="D8775" s="4"/>
      <c r="E8775" s="4"/>
      <c r="F8775" s="4"/>
      <c r="G8775" s="4"/>
      <c r="H8775" s="4"/>
      <c r="I8775" s="4"/>
      <c r="J8775" s="21">
        <f>IFERROR(VLOOKUP(C8775,'STOK KARTLARI'!$C$2:$K$2150,8,0),0)</f>
        <v>0</v>
      </c>
      <c r="K8775" s="21">
        <f t="shared" si="583"/>
        <v>0</v>
      </c>
      <c r="L8775" s="5">
        <f t="shared" si="585"/>
        <v>0</v>
      </c>
      <c r="M8775" s="4"/>
      <c r="N8775" s="4"/>
      <c r="O8775" s="5"/>
      <c r="P8775" s="5"/>
      <c r="Q8775" s="21">
        <f t="shared" si="586"/>
        <v>0</v>
      </c>
      <c r="R8775" s="21">
        <f t="shared" si="584"/>
        <v>0</v>
      </c>
      <c r="S8775" s="5">
        <f t="shared" si="587"/>
        <v>70007.077158325032</v>
      </c>
      <c r="T8775" cm="1">
        <f t="array" ref="T8775">IF(OR(B8775="MAL ALIMI", B8775="ÜRETİM GİRİŞ"), MIN(I8775, MAX(0, I8775 + SUM(SUMIFS($I$1:I8774, $C$1:C8774, C8775, $B$1:B8774, {"MAL ALIMI","ÜRETİM GİRİŞ"})) - VLOOKUP(C8775, 'STOK RAPORU'!$C$2:$I$1000, 4, 0))), 0)</f>
        <v>0</v>
      </c>
      <c r="U8775" s="22">
        <f t="shared" si="580"/>
        <v>0</v>
      </c>
      <c r="V8775">
        <f t="shared" si="581"/>
        <v>0</v>
      </c>
      <c r="W8775" s="22">
        <f t="shared" si="582"/>
        <v>0</v>
      </c>
    </row>
    <row r="8776" spans="1:23" hidden="1" x14ac:dyDescent="0.25">
      <c r="A8776" s="4"/>
      <c r="B8776" s="4"/>
      <c r="C8776" s="4"/>
      <c r="D8776" s="4"/>
      <c r="E8776" s="4"/>
      <c r="F8776" s="4"/>
      <c r="G8776" s="4"/>
      <c r="H8776" s="4"/>
      <c r="I8776" s="4"/>
      <c r="J8776" s="21">
        <f>IFERROR(VLOOKUP(C8776,'STOK KARTLARI'!$C$2:$K$2150,8,0),0)</f>
        <v>0</v>
      </c>
      <c r="K8776" s="21">
        <f t="shared" si="583"/>
        <v>0</v>
      </c>
      <c r="L8776" s="5">
        <f t="shared" si="585"/>
        <v>0</v>
      </c>
      <c r="M8776" s="4"/>
      <c r="N8776" s="4"/>
      <c r="O8776" s="5"/>
      <c r="P8776" s="5"/>
      <c r="Q8776" s="21">
        <f t="shared" si="586"/>
        <v>0</v>
      </c>
      <c r="R8776" s="21">
        <f t="shared" si="584"/>
        <v>0</v>
      </c>
      <c r="S8776" s="5">
        <f t="shared" si="587"/>
        <v>70007.077158325032</v>
      </c>
      <c r="T8776" cm="1">
        <f t="array" ref="T8776">IF(OR(B8776="MAL ALIMI", B8776="ÜRETİM GİRİŞ"), MIN(I8776, MAX(0, I8776 + SUM(SUMIFS($I$1:I8775, $C$1:C8775, C8776, $B$1:B8775, {"MAL ALIMI","ÜRETİM GİRİŞ"})) - VLOOKUP(C8776, 'STOK RAPORU'!$C$2:$I$1000, 4, 0))), 0)</f>
        <v>0</v>
      </c>
      <c r="U8776" s="22">
        <f t="shared" si="580"/>
        <v>0</v>
      </c>
      <c r="V8776">
        <f t="shared" si="581"/>
        <v>0</v>
      </c>
      <c r="W8776" s="22">
        <f t="shared" si="582"/>
        <v>0</v>
      </c>
    </row>
    <row r="8777" spans="1:23" hidden="1" x14ac:dyDescent="0.25">
      <c r="A8777" s="4"/>
      <c r="B8777" s="4"/>
      <c r="C8777" s="4"/>
      <c r="D8777" s="4"/>
      <c r="E8777" s="4"/>
      <c r="F8777" s="4"/>
      <c r="G8777" s="4"/>
      <c r="H8777" s="4"/>
      <c r="I8777" s="4"/>
      <c r="J8777" s="21">
        <f>IFERROR(VLOOKUP(C8777,'STOK KARTLARI'!$C$2:$K$2150,8,0),0)</f>
        <v>0</v>
      </c>
      <c r="K8777" s="21">
        <f t="shared" si="583"/>
        <v>0</v>
      </c>
      <c r="L8777" s="5">
        <f t="shared" si="585"/>
        <v>0</v>
      </c>
      <c r="M8777" s="4"/>
      <c r="N8777" s="4"/>
      <c r="O8777" s="5"/>
      <c r="P8777" s="5"/>
      <c r="Q8777" s="21">
        <f t="shared" si="586"/>
        <v>0</v>
      </c>
      <c r="R8777" s="21">
        <f t="shared" si="584"/>
        <v>0</v>
      </c>
      <c r="S8777" s="5">
        <f t="shared" si="587"/>
        <v>70007.077158325032</v>
      </c>
      <c r="T8777" cm="1">
        <f t="array" ref="T8777">IF(OR(B8777="MAL ALIMI", B8777="ÜRETİM GİRİŞ"), MIN(I8777, MAX(0, I8777 + SUM(SUMIFS($I$1:I8776, $C$1:C8776, C8777, $B$1:B8776, {"MAL ALIMI","ÜRETİM GİRİŞ"})) - VLOOKUP(C8777, 'STOK RAPORU'!$C$2:$I$1000, 4, 0))), 0)</f>
        <v>0</v>
      </c>
      <c r="U8777" s="22">
        <f t="shared" si="580"/>
        <v>0</v>
      </c>
      <c r="V8777">
        <f t="shared" si="581"/>
        <v>0</v>
      </c>
      <c r="W8777" s="22">
        <f t="shared" si="582"/>
        <v>0</v>
      </c>
    </row>
    <row r="8778" spans="1:23" hidden="1" x14ac:dyDescent="0.25">
      <c r="A8778" s="4"/>
      <c r="B8778" s="4"/>
      <c r="C8778" s="4"/>
      <c r="D8778" s="4"/>
      <c r="E8778" s="4"/>
      <c r="F8778" s="4"/>
      <c r="G8778" s="4"/>
      <c r="H8778" s="4"/>
      <c r="I8778" s="4"/>
      <c r="J8778" s="21">
        <f>IFERROR(VLOOKUP(C8778,'STOK KARTLARI'!$C$2:$K$2150,8,0),0)</f>
        <v>0</v>
      </c>
      <c r="K8778" s="21">
        <f t="shared" si="583"/>
        <v>0</v>
      </c>
      <c r="L8778" s="5">
        <f t="shared" si="585"/>
        <v>0</v>
      </c>
      <c r="M8778" s="4"/>
      <c r="N8778" s="4"/>
      <c r="O8778" s="5"/>
      <c r="P8778" s="5"/>
      <c r="Q8778" s="21">
        <f t="shared" si="586"/>
        <v>0</v>
      </c>
      <c r="R8778" s="21">
        <f t="shared" si="584"/>
        <v>0</v>
      </c>
      <c r="S8778" s="5">
        <f t="shared" si="587"/>
        <v>70007.077158325032</v>
      </c>
      <c r="T8778" cm="1">
        <f t="array" ref="T8778">IF(OR(B8778="MAL ALIMI", B8778="ÜRETİM GİRİŞ"), MIN(I8778, MAX(0, I8778 + SUM(SUMIFS($I$1:I8777, $C$1:C8777, C8778, $B$1:B8777, {"MAL ALIMI","ÜRETİM GİRİŞ"})) - VLOOKUP(C8778, 'STOK RAPORU'!$C$2:$I$1000, 4, 0))), 0)</f>
        <v>0</v>
      </c>
      <c r="U8778" s="22">
        <f t="shared" si="580"/>
        <v>0</v>
      </c>
      <c r="V8778">
        <f t="shared" si="581"/>
        <v>0</v>
      </c>
      <c r="W8778" s="22">
        <f t="shared" si="582"/>
        <v>0</v>
      </c>
    </row>
    <row r="8779" spans="1:23" hidden="1" x14ac:dyDescent="0.25">
      <c r="A8779" s="3"/>
      <c r="B8779" s="4"/>
      <c r="C8779" s="4"/>
      <c r="D8779" s="4"/>
      <c r="E8779" s="4"/>
      <c r="F8779" s="4"/>
      <c r="G8779" s="4"/>
      <c r="H8779" s="4"/>
      <c r="I8779" s="4"/>
      <c r="J8779" s="21">
        <f>IFERROR(VLOOKUP(C8779,'STOK KARTLARI'!$C$2:$K$2150,8,0),0)</f>
        <v>0</v>
      </c>
      <c r="K8779" s="21">
        <f t="shared" si="583"/>
        <v>0</v>
      </c>
      <c r="L8779" s="5">
        <f t="shared" si="585"/>
        <v>0</v>
      </c>
      <c r="M8779" s="4"/>
      <c r="N8779" s="4"/>
      <c r="O8779" s="5"/>
      <c r="P8779" s="5"/>
      <c r="Q8779" s="21">
        <f t="shared" si="586"/>
        <v>0</v>
      </c>
      <c r="R8779" s="21">
        <f t="shared" si="584"/>
        <v>0</v>
      </c>
      <c r="S8779" s="5">
        <f t="shared" si="587"/>
        <v>70007.077158325032</v>
      </c>
      <c r="T8779" cm="1">
        <f t="array" ref="T8779">IF(OR(B8779="MAL ALIMI", B8779="ÜRETİM GİRİŞ"), MIN(I8779, MAX(0, I8779 + SUM(SUMIFS($I$1:I8778, $C$1:C8778, C8779, $B$1:B8778, {"MAL ALIMI","ÜRETİM GİRİŞ"})) - VLOOKUP(C8779, 'STOK RAPORU'!$C$2:$I$1000, 4, 0))), 0)</f>
        <v>0</v>
      </c>
      <c r="U8779" s="22">
        <f t="shared" si="580"/>
        <v>0</v>
      </c>
      <c r="V8779">
        <f t="shared" si="581"/>
        <v>0</v>
      </c>
      <c r="W8779" s="22">
        <f t="shared" si="582"/>
        <v>0</v>
      </c>
    </row>
    <row r="8780" spans="1:23" hidden="1" x14ac:dyDescent="0.25">
      <c r="A8780" s="4"/>
      <c r="B8780" s="4"/>
      <c r="C8780" s="4"/>
      <c r="D8780" s="4"/>
      <c r="E8780" s="4"/>
      <c r="F8780" s="4"/>
      <c r="G8780" s="4"/>
      <c r="H8780" s="4"/>
      <c r="I8780" s="4"/>
      <c r="J8780" s="21">
        <f>IFERROR(VLOOKUP(C8780,'STOK KARTLARI'!$C$2:$K$2150,8,0),0)</f>
        <v>0</v>
      </c>
      <c r="K8780" s="21">
        <f t="shared" si="583"/>
        <v>0</v>
      </c>
      <c r="L8780" s="5">
        <f t="shared" si="585"/>
        <v>0</v>
      </c>
      <c r="M8780" s="4"/>
      <c r="N8780" s="4"/>
      <c r="O8780" s="5"/>
      <c r="P8780" s="5"/>
      <c r="Q8780" s="21">
        <f t="shared" si="586"/>
        <v>0</v>
      </c>
      <c r="R8780" s="21">
        <f t="shared" si="584"/>
        <v>0</v>
      </c>
      <c r="S8780" s="5">
        <f t="shared" si="587"/>
        <v>70007.077158325032</v>
      </c>
      <c r="T8780" cm="1">
        <f t="array" ref="T8780">IF(OR(B8780="MAL ALIMI", B8780="ÜRETİM GİRİŞ"), MIN(I8780, MAX(0, I8780 + SUM(SUMIFS($I$1:I8779, $C$1:C8779, C8780, $B$1:B8779, {"MAL ALIMI","ÜRETİM GİRİŞ"})) - VLOOKUP(C8780, 'STOK RAPORU'!$C$2:$I$1000, 4, 0))), 0)</f>
        <v>0</v>
      </c>
      <c r="U8780" s="22">
        <f t="shared" si="580"/>
        <v>0</v>
      </c>
      <c r="V8780">
        <f t="shared" si="581"/>
        <v>0</v>
      </c>
      <c r="W8780" s="22">
        <f t="shared" si="582"/>
        <v>0</v>
      </c>
    </row>
    <row r="8781" spans="1:23" hidden="1" x14ac:dyDescent="0.25">
      <c r="A8781" s="4"/>
      <c r="B8781" s="4"/>
      <c r="C8781" s="4"/>
      <c r="D8781" s="4"/>
      <c r="E8781" s="4"/>
      <c r="F8781" s="4"/>
      <c r="G8781" s="4"/>
      <c r="H8781" s="4"/>
      <c r="I8781" s="4"/>
      <c r="J8781" s="21">
        <f>IFERROR(VLOOKUP(C8781,'STOK KARTLARI'!$C$2:$K$2150,8,0),0)</f>
        <v>0</v>
      </c>
      <c r="K8781" s="21">
        <f t="shared" si="583"/>
        <v>0</v>
      </c>
      <c r="L8781" s="5">
        <f t="shared" si="585"/>
        <v>0</v>
      </c>
      <c r="M8781" s="4"/>
      <c r="N8781" s="4"/>
      <c r="O8781" s="5"/>
      <c r="P8781" s="5"/>
      <c r="Q8781" s="21">
        <f t="shared" si="586"/>
        <v>0</v>
      </c>
      <c r="R8781" s="21">
        <f t="shared" si="584"/>
        <v>0</v>
      </c>
      <c r="S8781" s="5">
        <f t="shared" si="587"/>
        <v>70007.077158325032</v>
      </c>
      <c r="T8781" cm="1">
        <f t="array" ref="T8781">IF(OR(B8781="MAL ALIMI", B8781="ÜRETİM GİRİŞ"), MIN(I8781, MAX(0, I8781 + SUM(SUMIFS($I$1:I8780, $C$1:C8780, C8781, $B$1:B8780, {"MAL ALIMI","ÜRETİM GİRİŞ"})) - VLOOKUP(C8781, 'STOK RAPORU'!$C$2:$I$1000, 4, 0))), 0)</f>
        <v>0</v>
      </c>
      <c r="U8781" s="22">
        <f t="shared" si="580"/>
        <v>0</v>
      </c>
      <c r="V8781">
        <f t="shared" si="581"/>
        <v>0</v>
      </c>
      <c r="W8781" s="22">
        <f t="shared" si="582"/>
        <v>0</v>
      </c>
    </row>
    <row r="8782" spans="1:23" hidden="1" x14ac:dyDescent="0.25">
      <c r="A8782" s="4"/>
      <c r="B8782" s="4"/>
      <c r="C8782" s="4"/>
      <c r="D8782" s="4"/>
      <c r="E8782" s="4"/>
      <c r="F8782" s="4"/>
      <c r="G8782" s="4"/>
      <c r="H8782" s="4"/>
      <c r="I8782" s="4"/>
      <c r="J8782" s="21">
        <f>IFERROR(VLOOKUP(C8782,'STOK KARTLARI'!$C$2:$K$2150,8,0),0)</f>
        <v>0</v>
      </c>
      <c r="K8782" s="21">
        <f t="shared" si="583"/>
        <v>0</v>
      </c>
      <c r="L8782" s="5">
        <f t="shared" si="585"/>
        <v>0</v>
      </c>
      <c r="M8782" s="4"/>
      <c r="N8782" s="4"/>
      <c r="O8782" s="5"/>
      <c r="P8782" s="5"/>
      <c r="Q8782" s="21">
        <f t="shared" si="586"/>
        <v>0</v>
      </c>
      <c r="R8782" s="21">
        <f t="shared" si="584"/>
        <v>0</v>
      </c>
      <c r="S8782" s="5">
        <f t="shared" si="587"/>
        <v>70007.077158325032</v>
      </c>
      <c r="T8782" cm="1">
        <f t="array" ref="T8782">IF(OR(B8782="MAL ALIMI", B8782="ÜRETİM GİRİŞ"), MIN(I8782, MAX(0, I8782 + SUM(SUMIFS($I$1:I8781, $C$1:C8781, C8782, $B$1:B8781, {"MAL ALIMI","ÜRETİM GİRİŞ"})) - VLOOKUP(C8782, 'STOK RAPORU'!$C$2:$I$1000, 4, 0))), 0)</f>
        <v>0</v>
      </c>
      <c r="U8782" s="22">
        <f t="shared" si="580"/>
        <v>0</v>
      </c>
      <c r="V8782">
        <f t="shared" si="581"/>
        <v>0</v>
      </c>
      <c r="W8782" s="22">
        <f t="shared" si="582"/>
        <v>0</v>
      </c>
    </row>
    <row r="8783" spans="1:23" hidden="1" x14ac:dyDescent="0.25">
      <c r="A8783" s="4"/>
      <c r="B8783" s="4"/>
      <c r="C8783" s="4"/>
      <c r="D8783" s="4"/>
      <c r="E8783" s="4"/>
      <c r="F8783" s="4"/>
      <c r="G8783" s="4"/>
      <c r="H8783" s="4"/>
      <c r="I8783" s="4"/>
      <c r="J8783" s="21">
        <f>IFERROR(VLOOKUP(C8783,'STOK KARTLARI'!$C$2:$K$2150,8,0),0)</f>
        <v>0</v>
      </c>
      <c r="K8783" s="21">
        <f t="shared" si="583"/>
        <v>0</v>
      </c>
      <c r="L8783" s="5">
        <f t="shared" si="585"/>
        <v>0</v>
      </c>
      <c r="M8783" s="4"/>
      <c r="N8783" s="4"/>
      <c r="O8783" s="5"/>
      <c r="P8783" s="5"/>
      <c r="Q8783" s="21">
        <f t="shared" si="586"/>
        <v>0</v>
      </c>
      <c r="R8783" s="21">
        <f t="shared" si="584"/>
        <v>0</v>
      </c>
      <c r="S8783" s="5">
        <f t="shared" si="587"/>
        <v>70007.077158325032</v>
      </c>
      <c r="T8783" cm="1">
        <f t="array" ref="T8783">IF(OR(B8783="MAL ALIMI", B8783="ÜRETİM GİRİŞ"), MIN(I8783, MAX(0, I8783 + SUM(SUMIFS($I$1:I8782, $C$1:C8782, C8783, $B$1:B8782, {"MAL ALIMI","ÜRETİM GİRİŞ"})) - VLOOKUP(C8783, 'STOK RAPORU'!$C$2:$I$1000, 4, 0))), 0)</f>
        <v>0</v>
      </c>
      <c r="U8783" s="22">
        <f t="shared" si="580"/>
        <v>0</v>
      </c>
      <c r="V8783">
        <f t="shared" si="581"/>
        <v>0</v>
      </c>
      <c r="W8783" s="22">
        <f t="shared" si="582"/>
        <v>0</v>
      </c>
    </row>
    <row r="8784" spans="1:23" hidden="1" x14ac:dyDescent="0.25">
      <c r="A8784" s="4"/>
      <c r="B8784" s="4"/>
      <c r="C8784" s="4"/>
      <c r="D8784" s="4"/>
      <c r="E8784" s="4"/>
      <c r="F8784" s="4"/>
      <c r="G8784" s="4"/>
      <c r="H8784" s="4"/>
      <c r="I8784" s="4"/>
      <c r="J8784" s="21">
        <f>IFERROR(VLOOKUP(C8784,'STOK KARTLARI'!$C$2:$K$2150,8,0),0)</f>
        <v>0</v>
      </c>
      <c r="K8784" s="21">
        <f t="shared" si="583"/>
        <v>0</v>
      </c>
      <c r="L8784" s="5">
        <f t="shared" si="585"/>
        <v>0</v>
      </c>
      <c r="M8784" s="4"/>
      <c r="N8784" s="4"/>
      <c r="O8784" s="5"/>
      <c r="P8784" s="5"/>
      <c r="Q8784" s="21">
        <f t="shared" si="586"/>
        <v>0</v>
      </c>
      <c r="R8784" s="21">
        <f t="shared" si="584"/>
        <v>0</v>
      </c>
      <c r="S8784" s="5">
        <f t="shared" si="587"/>
        <v>70007.077158325032</v>
      </c>
      <c r="T8784" cm="1">
        <f t="array" ref="T8784">IF(OR(B8784="MAL ALIMI", B8784="ÜRETİM GİRİŞ"), MIN(I8784, MAX(0, I8784 + SUM(SUMIFS($I$1:I8783, $C$1:C8783, C8784, $B$1:B8783, {"MAL ALIMI","ÜRETİM GİRİŞ"})) - VLOOKUP(C8784, 'STOK RAPORU'!$C$2:$I$1000, 4, 0))), 0)</f>
        <v>0</v>
      </c>
      <c r="U8784" s="22">
        <f t="shared" si="580"/>
        <v>0</v>
      </c>
      <c r="V8784">
        <f t="shared" si="581"/>
        <v>0</v>
      </c>
      <c r="W8784" s="22">
        <f t="shared" si="582"/>
        <v>0</v>
      </c>
    </row>
    <row r="8785" spans="1:23" hidden="1" x14ac:dyDescent="0.25">
      <c r="A8785" s="4"/>
      <c r="B8785" s="4"/>
      <c r="C8785" s="4"/>
      <c r="D8785" s="4"/>
      <c r="E8785" s="4"/>
      <c r="F8785" s="4"/>
      <c r="G8785" s="4"/>
      <c r="H8785" s="4"/>
      <c r="I8785" s="4"/>
      <c r="J8785" s="21">
        <f>IFERROR(VLOOKUP(C8785,'STOK KARTLARI'!$C$2:$K$2150,8,0),0)</f>
        <v>0</v>
      </c>
      <c r="K8785" s="21">
        <f t="shared" si="583"/>
        <v>0</v>
      </c>
      <c r="L8785" s="5">
        <f t="shared" si="585"/>
        <v>0</v>
      </c>
      <c r="M8785" s="4"/>
      <c r="N8785" s="4"/>
      <c r="O8785" s="5"/>
      <c r="P8785" s="5"/>
      <c r="Q8785" s="21">
        <f t="shared" si="586"/>
        <v>0</v>
      </c>
      <c r="R8785" s="21">
        <f t="shared" si="584"/>
        <v>0</v>
      </c>
      <c r="S8785" s="5">
        <f t="shared" si="587"/>
        <v>70007.077158325032</v>
      </c>
      <c r="T8785" cm="1">
        <f t="array" ref="T8785">IF(OR(B8785="MAL ALIMI", B8785="ÜRETİM GİRİŞ"), MIN(I8785, MAX(0, I8785 + SUM(SUMIFS($I$1:I8784, $C$1:C8784, C8785, $B$1:B8784, {"MAL ALIMI","ÜRETİM GİRİŞ"})) - VLOOKUP(C8785, 'STOK RAPORU'!$C$2:$I$1000, 4, 0))), 0)</f>
        <v>0</v>
      </c>
      <c r="U8785" s="22">
        <f t="shared" si="580"/>
        <v>0</v>
      </c>
      <c r="V8785">
        <f t="shared" si="581"/>
        <v>0</v>
      </c>
      <c r="W8785" s="22">
        <f t="shared" si="582"/>
        <v>0</v>
      </c>
    </row>
    <row r="8786" spans="1:23" hidden="1" x14ac:dyDescent="0.25">
      <c r="A8786" s="3"/>
      <c r="B8786" s="4"/>
      <c r="C8786" s="4"/>
      <c r="D8786" s="4"/>
      <c r="E8786" s="4"/>
      <c r="F8786" s="4"/>
      <c r="G8786" s="4"/>
      <c r="H8786" s="4"/>
      <c r="I8786" s="4"/>
      <c r="J8786" s="21">
        <f>IFERROR(VLOOKUP(C8786,'STOK KARTLARI'!$C$2:$K$2150,8,0),0)</f>
        <v>0</v>
      </c>
      <c r="K8786" s="21">
        <f t="shared" si="583"/>
        <v>0</v>
      </c>
      <c r="L8786" s="5">
        <f t="shared" si="585"/>
        <v>0</v>
      </c>
      <c r="M8786" s="4"/>
      <c r="N8786" s="4"/>
      <c r="O8786" s="5"/>
      <c r="P8786" s="5"/>
      <c r="Q8786" s="21">
        <f t="shared" si="586"/>
        <v>0</v>
      </c>
      <c r="R8786" s="21">
        <f t="shared" si="584"/>
        <v>0</v>
      </c>
      <c r="S8786" s="5">
        <f t="shared" si="587"/>
        <v>70007.077158325032</v>
      </c>
      <c r="T8786" cm="1">
        <f t="array" ref="T8786">IF(OR(B8786="MAL ALIMI", B8786="ÜRETİM GİRİŞ"), MIN(I8786, MAX(0, I8786 + SUM(SUMIFS($I$1:I8785, $C$1:C8785, C8786, $B$1:B8785, {"MAL ALIMI","ÜRETİM GİRİŞ"})) - VLOOKUP(C8786, 'STOK RAPORU'!$C$2:$I$1000, 4, 0))), 0)</f>
        <v>0</v>
      </c>
      <c r="U8786" s="22">
        <f t="shared" si="580"/>
        <v>0</v>
      </c>
      <c r="V8786">
        <f t="shared" si="581"/>
        <v>0</v>
      </c>
      <c r="W8786" s="22">
        <f t="shared" si="582"/>
        <v>0</v>
      </c>
    </row>
    <row r="8787" spans="1:23" hidden="1" x14ac:dyDescent="0.25">
      <c r="A8787" s="4"/>
      <c r="B8787" s="4"/>
      <c r="C8787" s="4"/>
      <c r="D8787" s="4"/>
      <c r="E8787" s="4"/>
      <c r="F8787" s="4"/>
      <c r="G8787" s="4"/>
      <c r="H8787" s="4"/>
      <c r="I8787" s="4"/>
      <c r="J8787" s="21">
        <f>IFERROR(VLOOKUP(C8787,'STOK KARTLARI'!$C$2:$K$2150,8,0),0)</f>
        <v>0</v>
      </c>
      <c r="K8787" s="21">
        <f t="shared" si="583"/>
        <v>0</v>
      </c>
      <c r="L8787" s="5">
        <f t="shared" si="585"/>
        <v>0</v>
      </c>
      <c r="M8787" s="4"/>
      <c r="N8787" s="4"/>
      <c r="O8787" s="5"/>
      <c r="P8787" s="5"/>
      <c r="Q8787" s="21">
        <f t="shared" si="586"/>
        <v>0</v>
      </c>
      <c r="R8787" s="21">
        <f t="shared" si="584"/>
        <v>0</v>
      </c>
      <c r="S8787" s="5">
        <f t="shared" si="587"/>
        <v>70007.077158325032</v>
      </c>
      <c r="T8787" cm="1">
        <f t="array" ref="T8787">IF(OR(B8787="MAL ALIMI", B8787="ÜRETİM GİRİŞ"), MIN(I8787, MAX(0, I8787 + SUM(SUMIFS($I$1:I8786, $C$1:C8786, C8787, $B$1:B8786, {"MAL ALIMI","ÜRETİM GİRİŞ"})) - VLOOKUP(C8787, 'STOK RAPORU'!$C$2:$I$1000, 4, 0))), 0)</f>
        <v>0</v>
      </c>
      <c r="U8787" s="22">
        <f t="shared" si="580"/>
        <v>0</v>
      </c>
      <c r="V8787">
        <f t="shared" si="581"/>
        <v>0</v>
      </c>
      <c r="W8787" s="22">
        <f t="shared" si="582"/>
        <v>0</v>
      </c>
    </row>
    <row r="8788" spans="1:23" hidden="1" x14ac:dyDescent="0.25">
      <c r="A8788" s="4"/>
      <c r="B8788" s="4"/>
      <c r="C8788" s="4"/>
      <c r="D8788" s="4"/>
      <c r="E8788" s="4"/>
      <c r="F8788" s="4"/>
      <c r="G8788" s="4"/>
      <c r="H8788" s="4"/>
      <c r="I8788" s="4"/>
      <c r="J8788" s="21">
        <f>IFERROR(VLOOKUP(C8788,'STOK KARTLARI'!$C$2:$K$2150,8,0),0)</f>
        <v>0</v>
      </c>
      <c r="K8788" s="21">
        <f t="shared" si="583"/>
        <v>0</v>
      </c>
      <c r="L8788" s="5">
        <f t="shared" si="585"/>
        <v>0</v>
      </c>
      <c r="M8788" s="4"/>
      <c r="N8788" s="4"/>
      <c r="O8788" s="5"/>
      <c r="P8788" s="5"/>
      <c r="Q8788" s="21">
        <f t="shared" si="586"/>
        <v>0</v>
      </c>
      <c r="R8788" s="21">
        <f t="shared" si="584"/>
        <v>0</v>
      </c>
      <c r="S8788" s="5">
        <f t="shared" si="587"/>
        <v>70007.077158325032</v>
      </c>
      <c r="T8788" cm="1">
        <f t="array" ref="T8788">IF(OR(B8788="MAL ALIMI", B8788="ÜRETİM GİRİŞ"), MIN(I8788, MAX(0, I8788 + SUM(SUMIFS($I$1:I8787, $C$1:C8787, C8788, $B$1:B8787, {"MAL ALIMI","ÜRETİM GİRİŞ"})) - VLOOKUP(C8788, 'STOK RAPORU'!$C$2:$I$1000, 4, 0))), 0)</f>
        <v>0</v>
      </c>
      <c r="U8788" s="22">
        <f t="shared" si="580"/>
        <v>0</v>
      </c>
      <c r="V8788">
        <f t="shared" si="581"/>
        <v>0</v>
      </c>
      <c r="W8788" s="22">
        <f t="shared" si="582"/>
        <v>0</v>
      </c>
    </row>
    <row r="8789" spans="1:23" hidden="1" x14ac:dyDescent="0.25">
      <c r="A8789" s="4"/>
      <c r="B8789" s="4"/>
      <c r="C8789" s="4"/>
      <c r="D8789" s="4"/>
      <c r="E8789" s="4"/>
      <c r="F8789" s="4"/>
      <c r="G8789" s="4"/>
      <c r="H8789" s="4"/>
      <c r="I8789" s="4"/>
      <c r="J8789" s="21">
        <f>IFERROR(VLOOKUP(C8789,'STOK KARTLARI'!$C$2:$K$2150,8,0),0)</f>
        <v>0</v>
      </c>
      <c r="K8789" s="21">
        <f t="shared" si="583"/>
        <v>0</v>
      </c>
      <c r="L8789" s="5">
        <f t="shared" si="585"/>
        <v>0</v>
      </c>
      <c r="M8789" s="4"/>
      <c r="N8789" s="4"/>
      <c r="O8789" s="5"/>
      <c r="P8789" s="5"/>
      <c r="Q8789" s="21">
        <f t="shared" si="586"/>
        <v>0</v>
      </c>
      <c r="R8789" s="21">
        <f t="shared" si="584"/>
        <v>0</v>
      </c>
      <c r="S8789" s="5">
        <f t="shared" si="587"/>
        <v>70007.077158325032</v>
      </c>
      <c r="T8789" cm="1">
        <f t="array" ref="T8789">IF(OR(B8789="MAL ALIMI", B8789="ÜRETİM GİRİŞ"), MIN(I8789, MAX(0, I8789 + SUM(SUMIFS($I$1:I8788, $C$1:C8788, C8789, $B$1:B8788, {"MAL ALIMI","ÜRETİM GİRİŞ"})) - VLOOKUP(C8789, 'STOK RAPORU'!$C$2:$I$1000, 4, 0))), 0)</f>
        <v>0</v>
      </c>
      <c r="U8789" s="22">
        <f t="shared" si="580"/>
        <v>0</v>
      </c>
      <c r="V8789">
        <f t="shared" si="581"/>
        <v>0</v>
      </c>
      <c r="W8789" s="22">
        <f t="shared" si="582"/>
        <v>0</v>
      </c>
    </row>
    <row r="8790" spans="1:23" hidden="1" x14ac:dyDescent="0.25">
      <c r="A8790" s="4"/>
      <c r="B8790" s="4"/>
      <c r="C8790" s="4"/>
      <c r="D8790" s="4"/>
      <c r="E8790" s="4"/>
      <c r="F8790" s="4"/>
      <c r="G8790" s="4"/>
      <c r="H8790" s="4"/>
      <c r="I8790" s="4"/>
      <c r="J8790" s="21">
        <f>IFERROR(VLOOKUP(C8790,'STOK KARTLARI'!$C$2:$K$2150,8,0),0)</f>
        <v>0</v>
      </c>
      <c r="K8790" s="21">
        <f t="shared" si="583"/>
        <v>0</v>
      </c>
      <c r="L8790" s="5">
        <f t="shared" si="585"/>
        <v>0</v>
      </c>
      <c r="M8790" s="4"/>
      <c r="N8790" s="4"/>
      <c r="O8790" s="5"/>
      <c r="P8790" s="5"/>
      <c r="Q8790" s="21">
        <f t="shared" si="586"/>
        <v>0</v>
      </c>
      <c r="R8790" s="21">
        <f t="shared" si="584"/>
        <v>0</v>
      </c>
      <c r="S8790" s="5">
        <f t="shared" si="587"/>
        <v>70007.077158325032</v>
      </c>
      <c r="T8790" cm="1">
        <f t="array" ref="T8790">IF(OR(B8790="MAL ALIMI", B8790="ÜRETİM GİRİŞ"), MIN(I8790, MAX(0, I8790 + SUM(SUMIFS($I$1:I8789, $C$1:C8789, C8790, $B$1:B8789, {"MAL ALIMI","ÜRETİM GİRİŞ"})) - VLOOKUP(C8790, 'STOK RAPORU'!$C$2:$I$1000, 4, 0))), 0)</f>
        <v>0</v>
      </c>
      <c r="U8790" s="22">
        <f t="shared" si="580"/>
        <v>0</v>
      </c>
      <c r="V8790">
        <f t="shared" si="581"/>
        <v>0</v>
      </c>
      <c r="W8790" s="22">
        <f t="shared" si="582"/>
        <v>0</v>
      </c>
    </row>
    <row r="8791" spans="1:23" hidden="1" x14ac:dyDescent="0.25">
      <c r="A8791" s="4"/>
      <c r="B8791" s="4"/>
      <c r="C8791" s="4"/>
      <c r="D8791" s="4"/>
      <c r="E8791" s="4"/>
      <c r="F8791" s="4"/>
      <c r="G8791" s="4"/>
      <c r="H8791" s="4"/>
      <c r="I8791" s="4"/>
      <c r="J8791" s="21">
        <f>IFERROR(VLOOKUP(C8791,'STOK KARTLARI'!$C$2:$K$2150,8,0),0)</f>
        <v>0</v>
      </c>
      <c r="K8791" s="21">
        <f t="shared" si="583"/>
        <v>0</v>
      </c>
      <c r="L8791" s="5">
        <f t="shared" si="585"/>
        <v>0</v>
      </c>
      <c r="M8791" s="4"/>
      <c r="N8791" s="4"/>
      <c r="O8791" s="5"/>
      <c r="P8791" s="5"/>
      <c r="Q8791" s="21">
        <f t="shared" si="586"/>
        <v>0</v>
      </c>
      <c r="R8791" s="21">
        <f t="shared" si="584"/>
        <v>0</v>
      </c>
      <c r="S8791" s="5">
        <f t="shared" si="587"/>
        <v>70007.077158325032</v>
      </c>
      <c r="T8791" cm="1">
        <f t="array" ref="T8791">IF(OR(B8791="MAL ALIMI", B8791="ÜRETİM GİRİŞ"), MIN(I8791, MAX(0, I8791 + SUM(SUMIFS($I$1:I8790, $C$1:C8790, C8791, $B$1:B8790, {"MAL ALIMI","ÜRETİM GİRİŞ"})) - VLOOKUP(C8791, 'STOK RAPORU'!$C$2:$I$1000, 4, 0))), 0)</f>
        <v>0</v>
      </c>
      <c r="U8791" s="22">
        <f t="shared" si="580"/>
        <v>0</v>
      </c>
      <c r="V8791">
        <f t="shared" si="581"/>
        <v>0</v>
      </c>
      <c r="W8791" s="22">
        <f t="shared" si="582"/>
        <v>0</v>
      </c>
    </row>
    <row r="8792" spans="1:23" hidden="1" x14ac:dyDescent="0.25">
      <c r="A8792" s="4"/>
      <c r="B8792" s="4"/>
      <c r="C8792" s="4"/>
      <c r="D8792" s="4"/>
      <c r="E8792" s="4"/>
      <c r="F8792" s="4"/>
      <c r="G8792" s="4"/>
      <c r="H8792" s="4"/>
      <c r="I8792" s="4"/>
      <c r="J8792" s="21">
        <f>IFERROR(VLOOKUP(C8792,'STOK KARTLARI'!$C$2:$K$2150,8,0),0)</f>
        <v>0</v>
      </c>
      <c r="K8792" s="21">
        <f t="shared" si="583"/>
        <v>0</v>
      </c>
      <c r="L8792" s="5">
        <f t="shared" si="585"/>
        <v>0</v>
      </c>
      <c r="M8792" s="4"/>
      <c r="N8792" s="4"/>
      <c r="O8792" s="5"/>
      <c r="P8792" s="5"/>
      <c r="Q8792" s="21">
        <f t="shared" si="586"/>
        <v>0</v>
      </c>
      <c r="R8792" s="21">
        <f t="shared" si="584"/>
        <v>0</v>
      </c>
      <c r="S8792" s="5">
        <f t="shared" si="587"/>
        <v>70007.077158325032</v>
      </c>
      <c r="T8792" cm="1">
        <f t="array" ref="T8792">IF(OR(B8792="MAL ALIMI", B8792="ÜRETİM GİRİŞ"), MIN(I8792, MAX(0, I8792 + SUM(SUMIFS($I$1:I8791, $C$1:C8791, C8792, $B$1:B8791, {"MAL ALIMI","ÜRETİM GİRİŞ"})) - VLOOKUP(C8792, 'STOK RAPORU'!$C$2:$I$1000, 4, 0))), 0)</f>
        <v>0</v>
      </c>
      <c r="U8792" s="22">
        <f t="shared" si="580"/>
        <v>0</v>
      </c>
      <c r="V8792">
        <f t="shared" si="581"/>
        <v>0</v>
      </c>
      <c r="W8792" s="22">
        <f t="shared" si="582"/>
        <v>0</v>
      </c>
    </row>
    <row r="8793" spans="1:23" hidden="1" x14ac:dyDescent="0.25">
      <c r="A8793" s="3"/>
      <c r="B8793" s="4"/>
      <c r="C8793" s="4"/>
      <c r="D8793" s="4"/>
      <c r="E8793" s="4"/>
      <c r="F8793" s="4"/>
      <c r="G8793" s="4"/>
      <c r="H8793" s="4"/>
      <c r="I8793" s="4"/>
      <c r="J8793" s="21">
        <f>IFERROR(VLOOKUP(C8793,'STOK KARTLARI'!$C$2:$K$2150,8,0),0)</f>
        <v>0</v>
      </c>
      <c r="K8793" s="21">
        <f t="shared" si="583"/>
        <v>0</v>
      </c>
      <c r="L8793" s="5">
        <f t="shared" si="585"/>
        <v>0</v>
      </c>
      <c r="M8793" s="4"/>
      <c r="N8793" s="4"/>
      <c r="O8793" s="5"/>
      <c r="P8793" s="5"/>
      <c r="Q8793" s="21">
        <f t="shared" si="586"/>
        <v>0</v>
      </c>
      <c r="R8793" s="21">
        <f t="shared" si="584"/>
        <v>0</v>
      </c>
      <c r="S8793" s="5">
        <f t="shared" si="587"/>
        <v>70007.077158325032</v>
      </c>
      <c r="T8793" cm="1">
        <f t="array" ref="T8793">IF(OR(B8793="MAL ALIMI", B8793="ÜRETİM GİRİŞ"), MIN(I8793, MAX(0, I8793 + SUM(SUMIFS($I$1:I8792, $C$1:C8792, C8793, $B$1:B8792, {"MAL ALIMI","ÜRETİM GİRİŞ"})) - VLOOKUP(C8793, 'STOK RAPORU'!$C$2:$I$1000, 4, 0))), 0)</f>
        <v>0</v>
      </c>
      <c r="U8793" s="22">
        <f t="shared" si="580"/>
        <v>0</v>
      </c>
      <c r="V8793">
        <f t="shared" si="581"/>
        <v>0</v>
      </c>
      <c r="W8793" s="22">
        <f t="shared" si="582"/>
        <v>0</v>
      </c>
    </row>
    <row r="8794" spans="1:23" hidden="1" x14ac:dyDescent="0.25">
      <c r="A8794" s="4"/>
      <c r="B8794" s="4"/>
      <c r="C8794" s="4"/>
      <c r="D8794" s="4"/>
      <c r="E8794" s="4"/>
      <c r="F8794" s="4"/>
      <c r="G8794" s="4"/>
      <c r="H8794" s="4"/>
      <c r="I8794" s="4"/>
      <c r="J8794" s="21">
        <f>IFERROR(VLOOKUP(C8794,'STOK KARTLARI'!$C$2:$K$2150,8,0),0)</f>
        <v>0</v>
      </c>
      <c r="K8794" s="21">
        <f t="shared" si="583"/>
        <v>0</v>
      </c>
      <c r="L8794" s="5">
        <f t="shared" si="585"/>
        <v>0</v>
      </c>
      <c r="M8794" s="4"/>
      <c r="N8794" s="4"/>
      <c r="O8794" s="5"/>
      <c r="P8794" s="5"/>
      <c r="Q8794" s="21">
        <f t="shared" si="586"/>
        <v>0</v>
      </c>
      <c r="R8794" s="21">
        <f t="shared" si="584"/>
        <v>0</v>
      </c>
      <c r="S8794" s="5">
        <f t="shared" si="587"/>
        <v>70007.077158325032</v>
      </c>
      <c r="T8794" cm="1">
        <f t="array" ref="T8794">IF(OR(B8794="MAL ALIMI", B8794="ÜRETİM GİRİŞ"), MIN(I8794, MAX(0, I8794 + SUM(SUMIFS($I$1:I8793, $C$1:C8793, C8794, $B$1:B8793, {"MAL ALIMI","ÜRETİM GİRİŞ"})) - VLOOKUP(C8794, 'STOK RAPORU'!$C$2:$I$1000, 4, 0))), 0)</f>
        <v>0</v>
      </c>
      <c r="U8794" s="22">
        <f t="shared" si="580"/>
        <v>0</v>
      </c>
      <c r="V8794">
        <f t="shared" si="581"/>
        <v>0</v>
      </c>
      <c r="W8794" s="22">
        <f t="shared" si="582"/>
        <v>0</v>
      </c>
    </row>
    <row r="8795" spans="1:23" hidden="1" x14ac:dyDescent="0.25">
      <c r="A8795" s="4"/>
      <c r="B8795" s="4"/>
      <c r="C8795" s="4"/>
      <c r="D8795" s="4"/>
      <c r="E8795" s="4"/>
      <c r="F8795" s="4"/>
      <c r="G8795" s="4"/>
      <c r="H8795" s="4"/>
      <c r="I8795" s="4"/>
      <c r="J8795" s="21">
        <f>IFERROR(VLOOKUP(C8795,'STOK KARTLARI'!$C$2:$K$2150,8,0),0)</f>
        <v>0</v>
      </c>
      <c r="K8795" s="21">
        <f t="shared" si="583"/>
        <v>0</v>
      </c>
      <c r="L8795" s="5">
        <f t="shared" si="585"/>
        <v>0</v>
      </c>
      <c r="M8795" s="4"/>
      <c r="N8795" s="4"/>
      <c r="O8795" s="5"/>
      <c r="P8795" s="5"/>
      <c r="Q8795" s="21">
        <f t="shared" si="586"/>
        <v>0</v>
      </c>
      <c r="R8795" s="21">
        <f t="shared" si="584"/>
        <v>0</v>
      </c>
      <c r="S8795" s="5">
        <f t="shared" si="587"/>
        <v>70007.077158325032</v>
      </c>
      <c r="T8795" cm="1">
        <f t="array" ref="T8795">IF(OR(B8795="MAL ALIMI", B8795="ÜRETİM GİRİŞ"), MIN(I8795, MAX(0, I8795 + SUM(SUMIFS($I$1:I8794, $C$1:C8794, C8795, $B$1:B8794, {"MAL ALIMI","ÜRETİM GİRİŞ"})) - VLOOKUP(C8795, 'STOK RAPORU'!$C$2:$I$1000, 4, 0))), 0)</f>
        <v>0</v>
      </c>
      <c r="U8795" s="22">
        <f t="shared" si="580"/>
        <v>0</v>
      </c>
      <c r="V8795">
        <f t="shared" si="581"/>
        <v>0</v>
      </c>
      <c r="W8795" s="22">
        <f t="shared" si="582"/>
        <v>0</v>
      </c>
    </row>
    <row r="8796" spans="1:23" hidden="1" x14ac:dyDescent="0.25">
      <c r="A8796" s="4"/>
      <c r="B8796" s="4"/>
      <c r="C8796" s="4"/>
      <c r="D8796" s="4"/>
      <c r="E8796" s="4"/>
      <c r="F8796" s="4"/>
      <c r="G8796" s="4"/>
      <c r="H8796" s="4"/>
      <c r="I8796" s="4"/>
      <c r="J8796" s="21">
        <f>IFERROR(VLOOKUP(C8796,'STOK KARTLARI'!$C$2:$K$2150,8,0),0)</f>
        <v>0</v>
      </c>
      <c r="K8796" s="21">
        <f t="shared" si="583"/>
        <v>0</v>
      </c>
      <c r="L8796" s="5">
        <f t="shared" si="585"/>
        <v>0</v>
      </c>
      <c r="M8796" s="4"/>
      <c r="N8796" s="4"/>
      <c r="O8796" s="5"/>
      <c r="P8796" s="5"/>
      <c r="Q8796" s="21">
        <f t="shared" si="586"/>
        <v>0</v>
      </c>
      <c r="R8796" s="21">
        <f t="shared" si="584"/>
        <v>0</v>
      </c>
      <c r="S8796" s="5">
        <f t="shared" si="587"/>
        <v>70007.077158325032</v>
      </c>
      <c r="T8796" cm="1">
        <f t="array" ref="T8796">IF(OR(B8796="MAL ALIMI", B8796="ÜRETİM GİRİŞ"), MIN(I8796, MAX(0, I8796 + SUM(SUMIFS($I$1:I8795, $C$1:C8795, C8796, $B$1:B8795, {"MAL ALIMI","ÜRETİM GİRİŞ"})) - VLOOKUP(C8796, 'STOK RAPORU'!$C$2:$I$1000, 4, 0))), 0)</f>
        <v>0</v>
      </c>
      <c r="U8796" s="22">
        <f t="shared" si="580"/>
        <v>0</v>
      </c>
      <c r="V8796">
        <f t="shared" si="581"/>
        <v>0</v>
      </c>
      <c r="W8796" s="22">
        <f t="shared" si="582"/>
        <v>0</v>
      </c>
    </row>
    <row r="8797" spans="1:23" hidden="1" x14ac:dyDescent="0.25">
      <c r="A8797" s="4"/>
      <c r="B8797" s="4"/>
      <c r="C8797" s="4"/>
      <c r="D8797" s="4"/>
      <c r="E8797" s="4"/>
      <c r="F8797" s="4"/>
      <c r="G8797" s="4"/>
      <c r="H8797" s="4"/>
      <c r="I8797" s="4"/>
      <c r="J8797" s="21">
        <f>IFERROR(VLOOKUP(C8797,'STOK KARTLARI'!$C$2:$K$2150,8,0),0)</f>
        <v>0</v>
      </c>
      <c r="K8797" s="21">
        <f t="shared" si="583"/>
        <v>0</v>
      </c>
      <c r="L8797" s="5">
        <f t="shared" si="585"/>
        <v>0</v>
      </c>
      <c r="M8797" s="4"/>
      <c r="N8797" s="4"/>
      <c r="O8797" s="5"/>
      <c r="P8797" s="5"/>
      <c r="Q8797" s="21">
        <f t="shared" si="586"/>
        <v>0</v>
      </c>
      <c r="R8797" s="21">
        <f t="shared" si="584"/>
        <v>0</v>
      </c>
      <c r="S8797" s="5">
        <f t="shared" si="587"/>
        <v>70007.077158325032</v>
      </c>
      <c r="T8797" cm="1">
        <f t="array" ref="T8797">IF(OR(B8797="MAL ALIMI", B8797="ÜRETİM GİRİŞ"), MIN(I8797, MAX(0, I8797 + SUM(SUMIFS($I$1:I8796, $C$1:C8796, C8797, $B$1:B8796, {"MAL ALIMI","ÜRETİM GİRİŞ"})) - VLOOKUP(C8797, 'STOK RAPORU'!$C$2:$I$1000, 4, 0))), 0)</f>
        <v>0</v>
      </c>
      <c r="U8797" s="22">
        <f t="shared" si="580"/>
        <v>0</v>
      </c>
      <c r="V8797">
        <f t="shared" si="581"/>
        <v>0</v>
      </c>
      <c r="W8797" s="22">
        <f t="shared" si="582"/>
        <v>0</v>
      </c>
    </row>
    <row r="8798" spans="1:23" hidden="1" x14ac:dyDescent="0.25">
      <c r="A8798" s="4"/>
      <c r="B8798" s="4"/>
      <c r="C8798" s="4"/>
      <c r="D8798" s="4"/>
      <c r="E8798" s="4"/>
      <c r="F8798" s="4"/>
      <c r="G8798" s="4"/>
      <c r="H8798" s="4"/>
      <c r="I8798" s="4"/>
      <c r="J8798" s="21">
        <f>IFERROR(VLOOKUP(C8798,'STOK KARTLARI'!$C$2:$K$2150,8,0),0)</f>
        <v>0</v>
      </c>
      <c r="K8798" s="21">
        <f t="shared" si="583"/>
        <v>0</v>
      </c>
      <c r="L8798" s="5">
        <f t="shared" si="585"/>
        <v>0</v>
      </c>
      <c r="M8798" s="4"/>
      <c r="N8798" s="4"/>
      <c r="O8798" s="5"/>
      <c r="P8798" s="5"/>
      <c r="Q8798" s="21">
        <f t="shared" si="586"/>
        <v>0</v>
      </c>
      <c r="R8798" s="21">
        <f t="shared" si="584"/>
        <v>0</v>
      </c>
      <c r="S8798" s="5">
        <f t="shared" si="587"/>
        <v>70007.077158325032</v>
      </c>
      <c r="T8798" cm="1">
        <f t="array" ref="T8798">IF(OR(B8798="MAL ALIMI", B8798="ÜRETİM GİRİŞ"), MIN(I8798, MAX(0, I8798 + SUM(SUMIFS($I$1:I8797, $C$1:C8797, C8798, $B$1:B8797, {"MAL ALIMI","ÜRETİM GİRİŞ"})) - VLOOKUP(C8798, 'STOK RAPORU'!$C$2:$I$1000, 4, 0))), 0)</f>
        <v>0</v>
      </c>
      <c r="U8798" s="22">
        <f t="shared" si="580"/>
        <v>0</v>
      </c>
      <c r="V8798">
        <f t="shared" si="581"/>
        <v>0</v>
      </c>
      <c r="W8798" s="22">
        <f t="shared" si="582"/>
        <v>0</v>
      </c>
    </row>
    <row r="8799" spans="1:23" hidden="1" x14ac:dyDescent="0.25">
      <c r="A8799" s="4"/>
      <c r="B8799" s="4"/>
      <c r="C8799" s="4"/>
      <c r="D8799" s="4"/>
      <c r="E8799" s="4"/>
      <c r="F8799" s="4"/>
      <c r="G8799" s="4"/>
      <c r="H8799" s="4"/>
      <c r="I8799" s="4"/>
      <c r="J8799" s="21">
        <f>IFERROR(VLOOKUP(C8799,'STOK KARTLARI'!$C$2:$K$2150,8,0),0)</f>
        <v>0</v>
      </c>
      <c r="K8799" s="21">
        <f t="shared" si="583"/>
        <v>0</v>
      </c>
      <c r="L8799" s="5">
        <f t="shared" si="585"/>
        <v>0</v>
      </c>
      <c r="M8799" s="4"/>
      <c r="N8799" s="4"/>
      <c r="O8799" s="5"/>
      <c r="P8799" s="5"/>
      <c r="Q8799" s="21">
        <f t="shared" si="586"/>
        <v>0</v>
      </c>
      <c r="R8799" s="21">
        <f t="shared" si="584"/>
        <v>0</v>
      </c>
      <c r="S8799" s="5">
        <f t="shared" si="587"/>
        <v>70007.077158325032</v>
      </c>
      <c r="T8799" cm="1">
        <f t="array" ref="T8799">IF(OR(B8799="MAL ALIMI", B8799="ÜRETİM GİRİŞ"), MIN(I8799, MAX(0, I8799 + SUM(SUMIFS($I$1:I8798, $C$1:C8798, C8799, $B$1:B8798, {"MAL ALIMI","ÜRETİM GİRİŞ"})) - VLOOKUP(C8799, 'STOK RAPORU'!$C$2:$I$1000, 4, 0))), 0)</f>
        <v>0</v>
      </c>
      <c r="U8799" s="22">
        <f t="shared" si="580"/>
        <v>0</v>
      </c>
      <c r="V8799">
        <f t="shared" si="581"/>
        <v>0</v>
      </c>
      <c r="W8799" s="22">
        <f t="shared" si="582"/>
        <v>0</v>
      </c>
    </row>
    <row r="8800" spans="1:23" hidden="1" x14ac:dyDescent="0.25">
      <c r="A8800" s="3"/>
      <c r="B8800" s="4"/>
      <c r="C8800" s="4"/>
      <c r="D8800" s="4"/>
      <c r="E8800" s="4"/>
      <c r="F8800" s="4"/>
      <c r="G8800" s="4"/>
      <c r="H8800" s="4"/>
      <c r="I8800" s="4"/>
      <c r="J8800" s="21">
        <f>IFERROR(VLOOKUP(C8800,'STOK KARTLARI'!$C$2:$K$2150,8,0),0)</f>
        <v>0</v>
      </c>
      <c r="K8800" s="21">
        <f t="shared" si="583"/>
        <v>0</v>
      </c>
      <c r="L8800" s="5">
        <f t="shared" si="585"/>
        <v>0</v>
      </c>
      <c r="M8800" s="4"/>
      <c r="N8800" s="4"/>
      <c r="O8800" s="5"/>
      <c r="P8800" s="5"/>
      <c r="Q8800" s="21">
        <f t="shared" si="586"/>
        <v>0</v>
      </c>
      <c r="R8800" s="21">
        <f t="shared" si="584"/>
        <v>0</v>
      </c>
      <c r="S8800" s="5">
        <f t="shared" si="587"/>
        <v>70007.077158325032</v>
      </c>
      <c r="T8800" cm="1">
        <f t="array" ref="T8800">IF(OR(B8800="MAL ALIMI", B8800="ÜRETİM GİRİŞ"), MIN(I8800, MAX(0, I8800 + SUM(SUMIFS($I$1:I8799, $C$1:C8799, C8800, $B$1:B8799, {"MAL ALIMI","ÜRETİM GİRİŞ"})) - VLOOKUP(C8800, 'STOK RAPORU'!$C$2:$I$1000, 4, 0))), 0)</f>
        <v>0</v>
      </c>
      <c r="U8800" s="22">
        <f t="shared" si="580"/>
        <v>0</v>
      </c>
      <c r="V8800">
        <f t="shared" si="581"/>
        <v>0</v>
      </c>
      <c r="W8800" s="22">
        <f t="shared" si="582"/>
        <v>0</v>
      </c>
    </row>
    <row r="8801" spans="1:23" hidden="1" x14ac:dyDescent="0.25">
      <c r="A8801" s="4"/>
      <c r="B8801" s="4"/>
      <c r="C8801" s="4"/>
      <c r="D8801" s="4"/>
      <c r="E8801" s="4"/>
      <c r="F8801" s="4"/>
      <c r="G8801" s="4"/>
      <c r="H8801" s="4"/>
      <c r="I8801" s="4"/>
      <c r="J8801" s="21">
        <f>IFERROR(VLOOKUP(C8801,'STOK KARTLARI'!$C$2:$K$2150,8,0),0)</f>
        <v>0</v>
      </c>
      <c r="K8801" s="21">
        <f t="shared" si="583"/>
        <v>0</v>
      </c>
      <c r="L8801" s="5">
        <f t="shared" si="585"/>
        <v>0</v>
      </c>
      <c r="M8801" s="4"/>
      <c r="N8801" s="4"/>
      <c r="O8801" s="5"/>
      <c r="P8801" s="5"/>
      <c r="Q8801" s="21">
        <f t="shared" si="586"/>
        <v>0</v>
      </c>
      <c r="R8801" s="21">
        <f t="shared" si="584"/>
        <v>0</v>
      </c>
      <c r="S8801" s="5">
        <f t="shared" si="587"/>
        <v>70007.077158325032</v>
      </c>
      <c r="T8801" cm="1">
        <f t="array" ref="T8801">IF(OR(B8801="MAL ALIMI", B8801="ÜRETİM GİRİŞ"), MIN(I8801, MAX(0, I8801 + SUM(SUMIFS($I$1:I8800, $C$1:C8800, C8801, $B$1:B8800, {"MAL ALIMI","ÜRETİM GİRİŞ"})) - VLOOKUP(C8801, 'STOK RAPORU'!$C$2:$I$1000, 4, 0))), 0)</f>
        <v>0</v>
      </c>
      <c r="U8801" s="22">
        <f t="shared" si="580"/>
        <v>0</v>
      </c>
      <c r="V8801">
        <f t="shared" si="581"/>
        <v>0</v>
      </c>
      <c r="W8801" s="22">
        <f t="shared" si="582"/>
        <v>0</v>
      </c>
    </row>
    <row r="8802" spans="1:23" hidden="1" x14ac:dyDescent="0.25">
      <c r="A8802" s="4"/>
      <c r="B8802" s="4"/>
      <c r="C8802" s="4"/>
      <c r="D8802" s="4"/>
      <c r="E8802" s="4"/>
      <c r="F8802" s="4"/>
      <c r="G8802" s="4"/>
      <c r="H8802" s="4"/>
      <c r="I8802" s="4"/>
      <c r="J8802" s="21">
        <f>IFERROR(VLOOKUP(C8802,'STOK KARTLARI'!$C$2:$K$2150,8,0),0)</f>
        <v>0</v>
      </c>
      <c r="K8802" s="21">
        <f t="shared" si="583"/>
        <v>0</v>
      </c>
      <c r="L8802" s="5">
        <f t="shared" si="585"/>
        <v>0</v>
      </c>
      <c r="M8802" s="4"/>
      <c r="N8802" s="4"/>
      <c r="O8802" s="5"/>
      <c r="P8802" s="5"/>
      <c r="Q8802" s="21">
        <f t="shared" si="586"/>
        <v>0</v>
      </c>
      <c r="R8802" s="21">
        <f t="shared" si="584"/>
        <v>0</v>
      </c>
      <c r="S8802" s="5">
        <f t="shared" si="587"/>
        <v>70007.077158325032</v>
      </c>
      <c r="T8802" cm="1">
        <f t="array" ref="T8802">IF(OR(B8802="MAL ALIMI", B8802="ÜRETİM GİRİŞ"), MIN(I8802, MAX(0, I8802 + SUM(SUMIFS($I$1:I8801, $C$1:C8801, C8802, $B$1:B8801, {"MAL ALIMI","ÜRETİM GİRİŞ"})) - VLOOKUP(C8802, 'STOK RAPORU'!$C$2:$I$1000, 4, 0))), 0)</f>
        <v>0</v>
      </c>
      <c r="U8802" s="22">
        <f t="shared" si="580"/>
        <v>0</v>
      </c>
      <c r="V8802">
        <f t="shared" si="581"/>
        <v>0</v>
      </c>
      <c r="W8802" s="22">
        <f t="shared" si="582"/>
        <v>0</v>
      </c>
    </row>
    <row r="8803" spans="1:23" hidden="1" x14ac:dyDescent="0.25">
      <c r="A8803" s="4"/>
      <c r="B8803" s="4"/>
      <c r="C8803" s="4"/>
      <c r="D8803" s="4"/>
      <c r="E8803" s="4"/>
      <c r="F8803" s="4"/>
      <c r="G8803" s="4"/>
      <c r="H8803" s="4"/>
      <c r="I8803" s="4"/>
      <c r="J8803" s="21">
        <f>IFERROR(VLOOKUP(C8803,'STOK KARTLARI'!$C$2:$K$2150,8,0),0)</f>
        <v>0</v>
      </c>
      <c r="K8803" s="21">
        <f t="shared" si="583"/>
        <v>0</v>
      </c>
      <c r="L8803" s="5">
        <f t="shared" si="585"/>
        <v>0</v>
      </c>
      <c r="M8803" s="4"/>
      <c r="N8803" s="4"/>
      <c r="O8803" s="5"/>
      <c r="P8803" s="5"/>
      <c r="Q8803" s="21">
        <f t="shared" si="586"/>
        <v>0</v>
      </c>
      <c r="R8803" s="21">
        <f t="shared" si="584"/>
        <v>0</v>
      </c>
      <c r="S8803" s="5">
        <f t="shared" si="587"/>
        <v>70007.077158325032</v>
      </c>
      <c r="T8803" cm="1">
        <f t="array" ref="T8803">IF(OR(B8803="MAL ALIMI", B8803="ÜRETİM GİRİŞ"), MIN(I8803, MAX(0, I8803 + SUM(SUMIFS($I$1:I8802, $C$1:C8802, C8803, $B$1:B8802, {"MAL ALIMI","ÜRETİM GİRİŞ"})) - VLOOKUP(C8803, 'STOK RAPORU'!$C$2:$I$1000, 4, 0))), 0)</f>
        <v>0</v>
      </c>
      <c r="U8803" s="22">
        <f t="shared" si="580"/>
        <v>0</v>
      </c>
      <c r="V8803">
        <f t="shared" si="581"/>
        <v>0</v>
      </c>
      <c r="W8803" s="22">
        <f t="shared" si="582"/>
        <v>0</v>
      </c>
    </row>
    <row r="8804" spans="1:23" hidden="1" x14ac:dyDescent="0.25">
      <c r="A8804" s="4"/>
      <c r="B8804" s="4"/>
      <c r="C8804" s="4"/>
      <c r="D8804" s="4"/>
      <c r="E8804" s="4"/>
      <c r="F8804" s="4"/>
      <c r="G8804" s="4"/>
      <c r="H8804" s="4"/>
      <c r="I8804" s="4"/>
      <c r="J8804" s="21">
        <f>IFERROR(VLOOKUP(C8804,'STOK KARTLARI'!$C$2:$K$2150,8,0),0)</f>
        <v>0</v>
      </c>
      <c r="K8804" s="21">
        <f t="shared" si="583"/>
        <v>0</v>
      </c>
      <c r="L8804" s="5">
        <f t="shared" si="585"/>
        <v>0</v>
      </c>
      <c r="M8804" s="4"/>
      <c r="N8804" s="4"/>
      <c r="O8804" s="5"/>
      <c r="P8804" s="5"/>
      <c r="Q8804" s="21">
        <f t="shared" si="586"/>
        <v>0</v>
      </c>
      <c r="R8804" s="21">
        <f t="shared" si="584"/>
        <v>0</v>
      </c>
      <c r="S8804" s="5">
        <f t="shared" si="587"/>
        <v>70007.077158325032</v>
      </c>
      <c r="T8804" cm="1">
        <f t="array" ref="T8804">IF(OR(B8804="MAL ALIMI", B8804="ÜRETİM GİRİŞ"), MIN(I8804, MAX(0, I8804 + SUM(SUMIFS($I$1:I8803, $C$1:C8803, C8804, $B$1:B8803, {"MAL ALIMI","ÜRETİM GİRİŞ"})) - VLOOKUP(C8804, 'STOK RAPORU'!$C$2:$I$1000, 4, 0))), 0)</f>
        <v>0</v>
      </c>
      <c r="U8804" s="22">
        <f t="shared" si="580"/>
        <v>0</v>
      </c>
      <c r="V8804">
        <f t="shared" si="581"/>
        <v>0</v>
      </c>
      <c r="W8804" s="22">
        <f t="shared" si="582"/>
        <v>0</v>
      </c>
    </row>
    <row r="8805" spans="1:23" hidden="1" x14ac:dyDescent="0.25">
      <c r="A8805" s="4"/>
      <c r="B8805" s="4"/>
      <c r="C8805" s="4"/>
      <c r="D8805" s="4"/>
      <c r="E8805" s="4"/>
      <c r="F8805" s="4"/>
      <c r="G8805" s="4"/>
      <c r="H8805" s="4"/>
      <c r="I8805" s="4"/>
      <c r="J8805" s="21">
        <f>IFERROR(VLOOKUP(C8805,'STOK KARTLARI'!$C$2:$K$2150,8,0),0)</f>
        <v>0</v>
      </c>
      <c r="K8805" s="21">
        <f t="shared" si="583"/>
        <v>0</v>
      </c>
      <c r="L8805" s="5">
        <f t="shared" si="585"/>
        <v>0</v>
      </c>
      <c r="M8805" s="4"/>
      <c r="N8805" s="4"/>
      <c r="O8805" s="5"/>
      <c r="P8805" s="5"/>
      <c r="Q8805" s="21">
        <f t="shared" si="586"/>
        <v>0</v>
      </c>
      <c r="R8805" s="21">
        <f t="shared" si="584"/>
        <v>0</v>
      </c>
      <c r="S8805" s="5">
        <f t="shared" si="587"/>
        <v>70007.077158325032</v>
      </c>
      <c r="T8805" cm="1">
        <f t="array" ref="T8805">IF(OR(B8805="MAL ALIMI", B8805="ÜRETİM GİRİŞ"), MIN(I8805, MAX(0, I8805 + SUM(SUMIFS($I$1:I8804, $C$1:C8804, C8805, $B$1:B8804, {"MAL ALIMI","ÜRETİM GİRİŞ"})) - VLOOKUP(C8805, 'STOK RAPORU'!$C$2:$I$1000, 4, 0))), 0)</f>
        <v>0</v>
      </c>
      <c r="U8805" s="22">
        <f t="shared" si="580"/>
        <v>0</v>
      </c>
      <c r="V8805">
        <f t="shared" si="581"/>
        <v>0</v>
      </c>
      <c r="W8805" s="22">
        <f t="shared" si="582"/>
        <v>0</v>
      </c>
    </row>
    <row r="8806" spans="1:23" hidden="1" x14ac:dyDescent="0.25">
      <c r="A8806" s="4"/>
      <c r="B8806" s="4"/>
      <c r="C8806" s="4"/>
      <c r="D8806" s="4"/>
      <c r="E8806" s="4"/>
      <c r="F8806" s="4"/>
      <c r="G8806" s="4"/>
      <c r="H8806" s="4"/>
      <c r="I8806" s="4"/>
      <c r="J8806" s="21">
        <f>IFERROR(VLOOKUP(C8806,'STOK KARTLARI'!$C$2:$K$2150,8,0),0)</f>
        <v>0</v>
      </c>
      <c r="K8806" s="21">
        <f t="shared" si="583"/>
        <v>0</v>
      </c>
      <c r="L8806" s="5">
        <f t="shared" si="585"/>
        <v>0</v>
      </c>
      <c r="M8806" s="4"/>
      <c r="N8806" s="4"/>
      <c r="O8806" s="5"/>
      <c r="P8806" s="5"/>
      <c r="Q8806" s="21">
        <f t="shared" si="586"/>
        <v>0</v>
      </c>
      <c r="R8806" s="21">
        <f t="shared" si="584"/>
        <v>0</v>
      </c>
      <c r="S8806" s="5">
        <f t="shared" si="587"/>
        <v>70007.077158325032</v>
      </c>
      <c r="T8806" cm="1">
        <f t="array" ref="T8806">IF(OR(B8806="MAL ALIMI", B8806="ÜRETİM GİRİŞ"), MIN(I8806, MAX(0, I8806 + SUM(SUMIFS($I$1:I8805, $C$1:C8805, C8806, $B$1:B8805, {"MAL ALIMI","ÜRETİM GİRİŞ"})) - VLOOKUP(C8806, 'STOK RAPORU'!$C$2:$I$1000, 4, 0))), 0)</f>
        <v>0</v>
      </c>
      <c r="U8806" s="22">
        <f t="shared" si="580"/>
        <v>0</v>
      </c>
      <c r="V8806">
        <f t="shared" si="581"/>
        <v>0</v>
      </c>
      <c r="W8806" s="22">
        <f t="shared" si="582"/>
        <v>0</v>
      </c>
    </row>
    <row r="8807" spans="1:23" hidden="1" x14ac:dyDescent="0.25">
      <c r="A8807" s="3"/>
      <c r="B8807" s="4"/>
      <c r="C8807" s="4"/>
      <c r="D8807" s="4"/>
      <c r="E8807" s="4"/>
      <c r="F8807" s="4"/>
      <c r="G8807" s="4"/>
      <c r="H8807" s="4"/>
      <c r="I8807" s="4"/>
      <c r="J8807" s="21">
        <f>IFERROR(VLOOKUP(C8807,'STOK KARTLARI'!$C$2:$K$2150,8,0),0)</f>
        <v>0</v>
      </c>
      <c r="K8807" s="21">
        <f t="shared" si="583"/>
        <v>0</v>
      </c>
      <c r="L8807" s="5">
        <f t="shared" si="585"/>
        <v>0</v>
      </c>
      <c r="M8807" s="4"/>
      <c r="N8807" s="4"/>
      <c r="O8807" s="5"/>
      <c r="P8807" s="5"/>
      <c r="Q8807" s="21">
        <f t="shared" si="586"/>
        <v>0</v>
      </c>
      <c r="R8807" s="21">
        <f t="shared" si="584"/>
        <v>0</v>
      </c>
      <c r="S8807" s="5">
        <f t="shared" si="587"/>
        <v>70007.077158325032</v>
      </c>
      <c r="T8807" cm="1">
        <f t="array" ref="T8807">IF(OR(B8807="MAL ALIMI", B8807="ÜRETİM GİRİŞ"), MIN(I8807, MAX(0, I8807 + SUM(SUMIFS($I$1:I8806, $C$1:C8806, C8807, $B$1:B8806, {"MAL ALIMI","ÜRETİM GİRİŞ"})) - VLOOKUP(C8807, 'STOK RAPORU'!$C$2:$I$1000, 4, 0))), 0)</f>
        <v>0</v>
      </c>
      <c r="U8807" s="22">
        <f t="shared" si="580"/>
        <v>0</v>
      </c>
      <c r="V8807">
        <f t="shared" si="581"/>
        <v>0</v>
      </c>
      <c r="W8807" s="22">
        <f t="shared" si="582"/>
        <v>0</v>
      </c>
    </row>
    <row r="8808" spans="1:23" hidden="1" x14ac:dyDescent="0.25">
      <c r="A8808" s="4"/>
      <c r="B8808" s="4"/>
      <c r="C8808" s="4"/>
      <c r="D8808" s="4"/>
      <c r="E8808" s="4"/>
      <c r="F8808" s="4"/>
      <c r="G8808" s="4"/>
      <c r="H8808" s="4"/>
      <c r="I8808" s="4"/>
      <c r="J8808" s="21">
        <f>IFERROR(VLOOKUP(C8808,'STOK KARTLARI'!$C$2:$K$2150,8,0),0)</f>
        <v>0</v>
      </c>
      <c r="K8808" s="21">
        <f t="shared" si="583"/>
        <v>0</v>
      </c>
      <c r="L8808" s="5">
        <f t="shared" si="585"/>
        <v>0</v>
      </c>
      <c r="M8808" s="4"/>
      <c r="N8808" s="4"/>
      <c r="O8808" s="5"/>
      <c r="P8808" s="5"/>
      <c r="Q8808" s="21">
        <f t="shared" si="586"/>
        <v>0</v>
      </c>
      <c r="R8808" s="21">
        <f t="shared" si="584"/>
        <v>0</v>
      </c>
      <c r="S8808" s="5">
        <f t="shared" si="587"/>
        <v>70007.077158325032</v>
      </c>
      <c r="T8808" cm="1">
        <f t="array" ref="T8808">IF(OR(B8808="MAL ALIMI", B8808="ÜRETİM GİRİŞ"), MIN(I8808, MAX(0, I8808 + SUM(SUMIFS($I$1:I8807, $C$1:C8807, C8808, $B$1:B8807, {"MAL ALIMI","ÜRETİM GİRİŞ"})) - VLOOKUP(C8808, 'STOK RAPORU'!$C$2:$I$1000, 4, 0))), 0)</f>
        <v>0</v>
      </c>
      <c r="U8808" s="22">
        <f t="shared" si="580"/>
        <v>0</v>
      </c>
      <c r="V8808">
        <f t="shared" si="581"/>
        <v>0</v>
      </c>
      <c r="W8808" s="22">
        <f t="shared" si="582"/>
        <v>0</v>
      </c>
    </row>
    <row r="8809" spans="1:23" hidden="1" x14ac:dyDescent="0.25">
      <c r="A8809" s="4"/>
      <c r="B8809" s="4"/>
      <c r="C8809" s="4"/>
      <c r="D8809" s="4"/>
      <c r="E8809" s="4"/>
      <c r="F8809" s="4"/>
      <c r="G8809" s="4"/>
      <c r="H8809" s="4"/>
      <c r="I8809" s="4"/>
      <c r="J8809" s="21">
        <f>IFERROR(VLOOKUP(C8809,'STOK KARTLARI'!$C$2:$K$2150,8,0),0)</f>
        <v>0</v>
      </c>
      <c r="K8809" s="21">
        <f t="shared" si="583"/>
        <v>0</v>
      </c>
      <c r="L8809" s="5">
        <f t="shared" si="585"/>
        <v>0</v>
      </c>
      <c r="M8809" s="4"/>
      <c r="N8809" s="4"/>
      <c r="O8809" s="5"/>
      <c r="P8809" s="5"/>
      <c r="Q8809" s="21">
        <f t="shared" si="586"/>
        <v>0</v>
      </c>
      <c r="R8809" s="21">
        <f t="shared" si="584"/>
        <v>0</v>
      </c>
      <c r="S8809" s="5">
        <f t="shared" si="587"/>
        <v>70007.077158325032</v>
      </c>
      <c r="T8809" cm="1">
        <f t="array" ref="T8809">IF(OR(B8809="MAL ALIMI", B8809="ÜRETİM GİRİŞ"), MIN(I8809, MAX(0, I8809 + SUM(SUMIFS($I$1:I8808, $C$1:C8808, C8809, $B$1:B8808, {"MAL ALIMI","ÜRETİM GİRİŞ"})) - VLOOKUP(C8809, 'STOK RAPORU'!$C$2:$I$1000, 4, 0))), 0)</f>
        <v>0</v>
      </c>
      <c r="U8809" s="22">
        <f t="shared" si="580"/>
        <v>0</v>
      </c>
      <c r="V8809">
        <f t="shared" si="581"/>
        <v>0</v>
      </c>
      <c r="W8809" s="22">
        <f t="shared" si="582"/>
        <v>0</v>
      </c>
    </row>
    <row r="8810" spans="1:23" hidden="1" x14ac:dyDescent="0.25">
      <c r="A8810" s="4"/>
      <c r="B8810" s="4"/>
      <c r="C8810" s="4"/>
      <c r="D8810" s="4"/>
      <c r="E8810" s="4"/>
      <c r="F8810" s="4"/>
      <c r="G8810" s="4"/>
      <c r="H8810" s="4"/>
      <c r="I8810" s="4"/>
      <c r="J8810" s="21">
        <f>IFERROR(VLOOKUP(C8810,'STOK KARTLARI'!$C$2:$K$2150,8,0),0)</f>
        <v>0</v>
      </c>
      <c r="K8810" s="21">
        <f t="shared" si="583"/>
        <v>0</v>
      </c>
      <c r="L8810" s="5">
        <f t="shared" si="585"/>
        <v>0</v>
      </c>
      <c r="M8810" s="4"/>
      <c r="N8810" s="4"/>
      <c r="O8810" s="5"/>
      <c r="P8810" s="5"/>
      <c r="Q8810" s="21">
        <f t="shared" si="586"/>
        <v>0</v>
      </c>
      <c r="R8810" s="21">
        <f t="shared" si="584"/>
        <v>0</v>
      </c>
      <c r="S8810" s="5">
        <f t="shared" si="587"/>
        <v>70007.077158325032</v>
      </c>
      <c r="T8810" cm="1">
        <f t="array" ref="T8810">IF(OR(B8810="MAL ALIMI", B8810="ÜRETİM GİRİŞ"), MIN(I8810, MAX(0, I8810 + SUM(SUMIFS($I$1:I8809, $C$1:C8809, C8810, $B$1:B8809, {"MAL ALIMI","ÜRETİM GİRİŞ"})) - VLOOKUP(C8810, 'STOK RAPORU'!$C$2:$I$1000, 4, 0))), 0)</f>
        <v>0</v>
      </c>
      <c r="U8810" s="22">
        <f t="shared" si="580"/>
        <v>0</v>
      </c>
      <c r="V8810">
        <f t="shared" si="581"/>
        <v>0</v>
      </c>
      <c r="W8810" s="22">
        <f t="shared" si="582"/>
        <v>0</v>
      </c>
    </row>
    <row r="8811" spans="1:23" hidden="1" x14ac:dyDescent="0.25">
      <c r="A8811" s="4"/>
      <c r="B8811" s="4"/>
      <c r="C8811" s="4"/>
      <c r="D8811" s="4"/>
      <c r="E8811" s="4"/>
      <c r="F8811" s="4"/>
      <c r="G8811" s="4"/>
      <c r="H8811" s="4"/>
      <c r="I8811" s="4"/>
      <c r="J8811" s="21">
        <f>IFERROR(VLOOKUP(C8811,'STOK KARTLARI'!$C$2:$K$2150,8,0),0)</f>
        <v>0</v>
      </c>
      <c r="K8811" s="21">
        <f t="shared" si="583"/>
        <v>0</v>
      </c>
      <c r="L8811" s="5">
        <f t="shared" si="585"/>
        <v>0</v>
      </c>
      <c r="M8811" s="4"/>
      <c r="N8811" s="4"/>
      <c r="O8811" s="5"/>
      <c r="P8811" s="5"/>
      <c r="Q8811" s="21">
        <f t="shared" si="586"/>
        <v>0</v>
      </c>
      <c r="R8811" s="21">
        <f t="shared" si="584"/>
        <v>0</v>
      </c>
      <c r="S8811" s="5">
        <f t="shared" si="587"/>
        <v>70007.077158325032</v>
      </c>
      <c r="T8811" cm="1">
        <f t="array" ref="T8811">IF(OR(B8811="MAL ALIMI", B8811="ÜRETİM GİRİŞ"), MIN(I8811, MAX(0, I8811 + SUM(SUMIFS($I$1:I8810, $C$1:C8810, C8811, $B$1:B8810, {"MAL ALIMI","ÜRETİM GİRİŞ"})) - VLOOKUP(C8811, 'STOK RAPORU'!$C$2:$I$1000, 4, 0))), 0)</f>
        <v>0</v>
      </c>
      <c r="U8811" s="22">
        <f t="shared" si="580"/>
        <v>0</v>
      </c>
      <c r="V8811">
        <f t="shared" si="581"/>
        <v>0</v>
      </c>
      <c r="W8811" s="22">
        <f t="shared" si="582"/>
        <v>0</v>
      </c>
    </row>
    <row r="8812" spans="1:23" hidden="1" x14ac:dyDescent="0.25">
      <c r="A8812" s="4"/>
      <c r="B8812" s="4"/>
      <c r="C8812" s="4"/>
      <c r="D8812" s="4"/>
      <c r="E8812" s="4"/>
      <c r="F8812" s="4"/>
      <c r="G8812" s="4"/>
      <c r="H8812" s="4"/>
      <c r="I8812" s="4"/>
      <c r="J8812" s="21">
        <f>IFERROR(VLOOKUP(C8812,'STOK KARTLARI'!$C$2:$K$2150,8,0),0)</f>
        <v>0</v>
      </c>
      <c r="K8812" s="21">
        <f t="shared" si="583"/>
        <v>0</v>
      </c>
      <c r="L8812" s="5">
        <f t="shared" si="585"/>
        <v>0</v>
      </c>
      <c r="M8812" s="4"/>
      <c r="N8812" s="4"/>
      <c r="O8812" s="5"/>
      <c r="P8812" s="5"/>
      <c r="Q8812" s="21">
        <f t="shared" si="586"/>
        <v>0</v>
      </c>
      <c r="R8812" s="21">
        <f t="shared" si="584"/>
        <v>0</v>
      </c>
      <c r="S8812" s="5">
        <f t="shared" si="587"/>
        <v>70007.077158325032</v>
      </c>
      <c r="T8812" cm="1">
        <f t="array" ref="T8812">IF(OR(B8812="MAL ALIMI", B8812="ÜRETİM GİRİŞ"), MIN(I8812, MAX(0, I8812 + SUM(SUMIFS($I$1:I8811, $C$1:C8811, C8812, $B$1:B8811, {"MAL ALIMI","ÜRETİM GİRİŞ"})) - VLOOKUP(C8812, 'STOK RAPORU'!$C$2:$I$1000, 4, 0))), 0)</f>
        <v>0</v>
      </c>
      <c r="U8812" s="22">
        <f t="shared" si="580"/>
        <v>0</v>
      </c>
      <c r="V8812">
        <f t="shared" si="581"/>
        <v>0</v>
      </c>
      <c r="W8812" s="22">
        <f t="shared" si="582"/>
        <v>0</v>
      </c>
    </row>
    <row r="8813" spans="1:23" hidden="1" x14ac:dyDescent="0.25">
      <c r="A8813" s="4"/>
      <c r="B8813" s="4"/>
      <c r="C8813" s="4"/>
      <c r="D8813" s="4"/>
      <c r="E8813" s="4"/>
      <c r="F8813" s="4"/>
      <c r="G8813" s="4"/>
      <c r="H8813" s="4"/>
      <c r="I8813" s="4"/>
      <c r="J8813" s="21">
        <f>IFERROR(VLOOKUP(C8813,'STOK KARTLARI'!$C$2:$K$2150,8,0),0)</f>
        <v>0</v>
      </c>
      <c r="K8813" s="21">
        <f t="shared" si="583"/>
        <v>0</v>
      </c>
      <c r="L8813" s="5">
        <f t="shared" si="585"/>
        <v>0</v>
      </c>
      <c r="M8813" s="4"/>
      <c r="N8813" s="4"/>
      <c r="O8813" s="5"/>
      <c r="P8813" s="5"/>
      <c r="Q8813" s="21">
        <f t="shared" si="586"/>
        <v>0</v>
      </c>
      <c r="R8813" s="21">
        <f t="shared" si="584"/>
        <v>0</v>
      </c>
      <c r="S8813" s="5">
        <f t="shared" si="587"/>
        <v>70007.077158325032</v>
      </c>
      <c r="T8813" cm="1">
        <f t="array" ref="T8813">IF(OR(B8813="MAL ALIMI", B8813="ÜRETİM GİRİŞ"), MIN(I8813, MAX(0, I8813 + SUM(SUMIFS($I$1:I8812, $C$1:C8812, C8813, $B$1:B8812, {"MAL ALIMI","ÜRETİM GİRİŞ"})) - VLOOKUP(C8813, 'STOK RAPORU'!$C$2:$I$1000, 4, 0))), 0)</f>
        <v>0</v>
      </c>
      <c r="U8813" s="22">
        <f t="shared" si="580"/>
        <v>0</v>
      </c>
      <c r="V8813">
        <f t="shared" si="581"/>
        <v>0</v>
      </c>
      <c r="W8813" s="22">
        <f t="shared" si="582"/>
        <v>0</v>
      </c>
    </row>
    <row r="8814" spans="1:23" hidden="1" x14ac:dyDescent="0.25">
      <c r="A8814" s="3"/>
      <c r="B8814" s="4"/>
      <c r="C8814" s="4"/>
      <c r="D8814" s="4"/>
      <c r="E8814" s="4"/>
      <c r="F8814" s="4"/>
      <c r="G8814" s="4"/>
      <c r="H8814" s="4"/>
      <c r="I8814" s="4"/>
      <c r="J8814" s="21">
        <f>IFERROR(VLOOKUP(C8814,'STOK KARTLARI'!$C$2:$K$2150,8,0),0)</f>
        <v>0</v>
      </c>
      <c r="K8814" s="21">
        <f t="shared" si="583"/>
        <v>0</v>
      </c>
      <c r="L8814" s="5">
        <f t="shared" si="585"/>
        <v>0</v>
      </c>
      <c r="M8814" s="4"/>
      <c r="N8814" s="4"/>
      <c r="O8814" s="5"/>
      <c r="P8814" s="5"/>
      <c r="Q8814" s="21">
        <f t="shared" si="586"/>
        <v>0</v>
      </c>
      <c r="R8814" s="21">
        <f t="shared" si="584"/>
        <v>0</v>
      </c>
      <c r="S8814" s="5">
        <f t="shared" si="587"/>
        <v>70007.077158325032</v>
      </c>
      <c r="T8814" cm="1">
        <f t="array" ref="T8814">IF(OR(B8814="MAL ALIMI", B8814="ÜRETİM GİRİŞ"), MIN(I8814, MAX(0, I8814 + SUM(SUMIFS($I$1:I8813, $C$1:C8813, C8814, $B$1:B8813, {"MAL ALIMI","ÜRETİM GİRİŞ"})) - VLOOKUP(C8814, 'STOK RAPORU'!$C$2:$I$1000, 4, 0))), 0)</f>
        <v>0</v>
      </c>
      <c r="U8814" s="22">
        <f t="shared" si="580"/>
        <v>0</v>
      </c>
      <c r="V8814">
        <f t="shared" si="581"/>
        <v>0</v>
      </c>
      <c r="W8814" s="22">
        <f t="shared" si="582"/>
        <v>0</v>
      </c>
    </row>
    <row r="8815" spans="1:23" hidden="1" x14ac:dyDescent="0.25">
      <c r="A8815" s="4"/>
      <c r="B8815" s="4"/>
      <c r="C8815" s="4"/>
      <c r="D8815" s="4"/>
      <c r="E8815" s="4"/>
      <c r="F8815" s="4"/>
      <c r="G8815" s="4"/>
      <c r="H8815" s="4"/>
      <c r="I8815" s="4"/>
      <c r="J8815" s="21">
        <f>IFERROR(VLOOKUP(C8815,'STOK KARTLARI'!$C$2:$K$2150,8,0),0)</f>
        <v>0</v>
      </c>
      <c r="K8815" s="21">
        <f t="shared" si="583"/>
        <v>0</v>
      </c>
      <c r="L8815" s="5">
        <f t="shared" si="585"/>
        <v>0</v>
      </c>
      <c r="M8815" s="4"/>
      <c r="N8815" s="4"/>
      <c r="O8815" s="5"/>
      <c r="P8815" s="5"/>
      <c r="Q8815" s="21">
        <f t="shared" si="586"/>
        <v>0</v>
      </c>
      <c r="R8815" s="21">
        <f t="shared" si="584"/>
        <v>0</v>
      </c>
      <c r="S8815" s="5">
        <f t="shared" si="587"/>
        <v>70007.077158325032</v>
      </c>
      <c r="T8815" cm="1">
        <f t="array" ref="T8815">IF(OR(B8815="MAL ALIMI", B8815="ÜRETİM GİRİŞ"), MIN(I8815, MAX(0, I8815 + SUM(SUMIFS($I$1:I8814, $C$1:C8814, C8815, $B$1:B8814, {"MAL ALIMI","ÜRETİM GİRİŞ"})) - VLOOKUP(C8815, 'STOK RAPORU'!$C$2:$I$1000, 4, 0))), 0)</f>
        <v>0</v>
      </c>
      <c r="U8815" s="22">
        <f t="shared" ref="U8815:U8878" si="588">T8815*J8815</f>
        <v>0</v>
      </c>
      <c r="V8815">
        <f t="shared" ref="V8815:V8878" si="589">IF(OR(B8815="MAL ALIMI", B8815="ÜRETİM GİRİŞ"), I8815 * J8815, 0)</f>
        <v>0</v>
      </c>
      <c r="W8815" s="22">
        <f t="shared" ref="W8815:W8878" si="590">V8815-U8815</f>
        <v>0</v>
      </c>
    </row>
    <row r="8816" spans="1:23" hidden="1" x14ac:dyDescent="0.25">
      <c r="A8816" s="4"/>
      <c r="B8816" s="4"/>
      <c r="C8816" s="4"/>
      <c r="D8816" s="4"/>
      <c r="E8816" s="4"/>
      <c r="F8816" s="4"/>
      <c r="G8816" s="4"/>
      <c r="H8816" s="4"/>
      <c r="I8816" s="4"/>
      <c r="J8816" s="21">
        <f>IFERROR(VLOOKUP(C8816,'STOK KARTLARI'!$C$2:$K$2150,8,0),0)</f>
        <v>0</v>
      </c>
      <c r="K8816" s="21">
        <f t="shared" si="583"/>
        <v>0</v>
      </c>
      <c r="L8816" s="5">
        <f t="shared" si="585"/>
        <v>0</v>
      </c>
      <c r="M8816" s="4"/>
      <c r="N8816" s="4"/>
      <c r="O8816" s="5"/>
      <c r="P8816" s="5"/>
      <c r="Q8816" s="21">
        <f t="shared" si="586"/>
        <v>0</v>
      </c>
      <c r="R8816" s="21">
        <f t="shared" si="584"/>
        <v>0</v>
      </c>
      <c r="S8816" s="5">
        <f t="shared" si="587"/>
        <v>70007.077158325032</v>
      </c>
      <c r="T8816" cm="1">
        <f t="array" ref="T8816">IF(OR(B8816="MAL ALIMI", B8816="ÜRETİM GİRİŞ"), MIN(I8816, MAX(0, I8816 + SUM(SUMIFS($I$1:I8815, $C$1:C8815, C8816, $B$1:B8815, {"MAL ALIMI","ÜRETİM GİRİŞ"})) - VLOOKUP(C8816, 'STOK RAPORU'!$C$2:$I$1000, 4, 0))), 0)</f>
        <v>0</v>
      </c>
      <c r="U8816" s="22">
        <f t="shared" si="588"/>
        <v>0</v>
      </c>
      <c r="V8816">
        <f t="shared" si="589"/>
        <v>0</v>
      </c>
      <c r="W8816" s="22">
        <f t="shared" si="590"/>
        <v>0</v>
      </c>
    </row>
    <row r="8817" spans="1:23" hidden="1" x14ac:dyDescent="0.25">
      <c r="A8817" s="4"/>
      <c r="B8817" s="4"/>
      <c r="C8817" s="4"/>
      <c r="D8817" s="4"/>
      <c r="E8817" s="4"/>
      <c r="F8817" s="4"/>
      <c r="G8817" s="4"/>
      <c r="H8817" s="4"/>
      <c r="I8817" s="4"/>
      <c r="J8817" s="21">
        <f>IFERROR(VLOOKUP(C8817,'STOK KARTLARI'!$C$2:$K$2150,8,0),0)</f>
        <v>0</v>
      </c>
      <c r="K8817" s="21">
        <f t="shared" si="583"/>
        <v>0</v>
      </c>
      <c r="L8817" s="5">
        <f t="shared" si="585"/>
        <v>0</v>
      </c>
      <c r="M8817" s="4"/>
      <c r="N8817" s="4"/>
      <c r="O8817" s="5"/>
      <c r="P8817" s="5"/>
      <c r="Q8817" s="21">
        <f t="shared" si="586"/>
        <v>0</v>
      </c>
      <c r="R8817" s="21">
        <f t="shared" si="584"/>
        <v>0</v>
      </c>
      <c r="S8817" s="5">
        <f t="shared" si="587"/>
        <v>70007.077158325032</v>
      </c>
      <c r="T8817" cm="1">
        <f t="array" ref="T8817">IF(OR(B8817="MAL ALIMI", B8817="ÜRETİM GİRİŞ"), MIN(I8817, MAX(0, I8817 + SUM(SUMIFS($I$1:I8816, $C$1:C8816, C8817, $B$1:B8816, {"MAL ALIMI","ÜRETİM GİRİŞ"})) - VLOOKUP(C8817, 'STOK RAPORU'!$C$2:$I$1000, 4, 0))), 0)</f>
        <v>0</v>
      </c>
      <c r="U8817" s="22">
        <f t="shared" si="588"/>
        <v>0</v>
      </c>
      <c r="V8817">
        <f t="shared" si="589"/>
        <v>0</v>
      </c>
      <c r="W8817" s="22">
        <f t="shared" si="590"/>
        <v>0</v>
      </c>
    </row>
    <row r="8818" spans="1:23" hidden="1" x14ac:dyDescent="0.25">
      <c r="A8818" s="4"/>
      <c r="B8818" s="4"/>
      <c r="C8818" s="4"/>
      <c r="D8818" s="4"/>
      <c r="E8818" s="4"/>
      <c r="F8818" s="4"/>
      <c r="G8818" s="4"/>
      <c r="H8818" s="4"/>
      <c r="I8818" s="4"/>
      <c r="J8818" s="21">
        <f>IFERROR(VLOOKUP(C8818,'STOK KARTLARI'!$C$2:$K$2150,8,0),0)</f>
        <v>0</v>
      </c>
      <c r="K8818" s="21">
        <f t="shared" si="583"/>
        <v>0</v>
      </c>
      <c r="L8818" s="5">
        <f t="shared" si="585"/>
        <v>0</v>
      </c>
      <c r="M8818" s="4"/>
      <c r="N8818" s="4"/>
      <c r="O8818" s="5"/>
      <c r="P8818" s="5"/>
      <c r="Q8818" s="21">
        <f t="shared" si="586"/>
        <v>0</v>
      </c>
      <c r="R8818" s="21">
        <f t="shared" si="584"/>
        <v>0</v>
      </c>
      <c r="S8818" s="5">
        <f t="shared" si="587"/>
        <v>70007.077158325032</v>
      </c>
      <c r="T8818" cm="1">
        <f t="array" ref="T8818">IF(OR(B8818="MAL ALIMI", B8818="ÜRETİM GİRİŞ"), MIN(I8818, MAX(0, I8818 + SUM(SUMIFS($I$1:I8817, $C$1:C8817, C8818, $B$1:B8817, {"MAL ALIMI","ÜRETİM GİRİŞ"})) - VLOOKUP(C8818, 'STOK RAPORU'!$C$2:$I$1000, 4, 0))), 0)</f>
        <v>0</v>
      </c>
      <c r="U8818" s="22">
        <f t="shared" si="588"/>
        <v>0</v>
      </c>
      <c r="V8818">
        <f t="shared" si="589"/>
        <v>0</v>
      </c>
      <c r="W8818" s="22">
        <f t="shared" si="590"/>
        <v>0</v>
      </c>
    </row>
    <row r="8819" spans="1:23" hidden="1" x14ac:dyDescent="0.25">
      <c r="A8819" s="4"/>
      <c r="B8819" s="4"/>
      <c r="C8819" s="4"/>
      <c r="D8819" s="4"/>
      <c r="E8819" s="4"/>
      <c r="F8819" s="4"/>
      <c r="G8819" s="4"/>
      <c r="H8819" s="4"/>
      <c r="I8819" s="4"/>
      <c r="J8819" s="21">
        <f>IFERROR(VLOOKUP(C8819,'STOK KARTLARI'!$C$2:$K$2150,8,0),0)</f>
        <v>0</v>
      </c>
      <c r="K8819" s="21">
        <f t="shared" ref="K8819:K8882" si="591">IF(AND(B8819="MAL SATIŞI", H8819="POS"),I8819*J8819,0)</f>
        <v>0</v>
      </c>
      <c r="L8819" s="5">
        <f t="shared" si="585"/>
        <v>0</v>
      </c>
      <c r="M8819" s="4"/>
      <c r="N8819" s="4"/>
      <c r="O8819" s="5"/>
      <c r="P8819" s="5"/>
      <c r="Q8819" s="21">
        <f t="shared" si="586"/>
        <v>0</v>
      </c>
      <c r="R8819" s="21">
        <f t="shared" ref="R8819:R8882" si="592">IF(AND(E8819="", B8819&lt;&gt;"MAL SATIŞI"),I8819*J8819,0)</f>
        <v>0</v>
      </c>
      <c r="S8819" s="5">
        <f t="shared" si="587"/>
        <v>70007.077158325032</v>
      </c>
      <c r="T8819" cm="1">
        <f t="array" ref="T8819">IF(OR(B8819="MAL ALIMI", B8819="ÜRETİM GİRİŞ"), MIN(I8819, MAX(0, I8819 + SUM(SUMIFS($I$1:I8818, $C$1:C8818, C8819, $B$1:B8818, {"MAL ALIMI","ÜRETİM GİRİŞ"})) - VLOOKUP(C8819, 'STOK RAPORU'!$C$2:$I$1000, 4, 0))), 0)</f>
        <v>0</v>
      </c>
      <c r="U8819" s="22">
        <f t="shared" si="588"/>
        <v>0</v>
      </c>
      <c r="V8819">
        <f t="shared" si="589"/>
        <v>0</v>
      </c>
      <c r="W8819" s="22">
        <f t="shared" si="590"/>
        <v>0</v>
      </c>
    </row>
    <row r="8820" spans="1:23" hidden="1" x14ac:dyDescent="0.25">
      <c r="A8820" s="4"/>
      <c r="B8820" s="4"/>
      <c r="C8820" s="4"/>
      <c r="D8820" s="4"/>
      <c r="E8820" s="4"/>
      <c r="F8820" s="4"/>
      <c r="G8820" s="4"/>
      <c r="H8820" s="4"/>
      <c r="I8820" s="4"/>
      <c r="J8820" s="21">
        <f>IFERROR(VLOOKUP(C8820,'STOK KARTLARI'!$C$2:$K$2150,8,0),0)</f>
        <v>0</v>
      </c>
      <c r="K8820" s="21">
        <f t="shared" si="591"/>
        <v>0</v>
      </c>
      <c r="L8820" s="5">
        <f t="shared" ref="L8820:L8883" si="593">IF(OR(E8820="", H8820="POS"),0,I8820*J8820)</f>
        <v>0</v>
      </c>
      <c r="M8820" s="4"/>
      <c r="N8820" s="4"/>
      <c r="O8820" s="5"/>
      <c r="P8820" s="5"/>
      <c r="Q8820" s="21">
        <f t="shared" ref="Q8820:Q8883" si="594">IF(AND(E8820="", B8820="MAL SATIŞI", H8820="NAKİT"),I8820*J8820,0)</f>
        <v>0</v>
      </c>
      <c r="R8820" s="21">
        <f t="shared" si="592"/>
        <v>0</v>
      </c>
      <c r="S8820" s="5">
        <f t="shared" si="587"/>
        <v>70007.077158325032</v>
      </c>
      <c r="T8820" cm="1">
        <f t="array" ref="T8820">IF(OR(B8820="MAL ALIMI", B8820="ÜRETİM GİRİŞ"), MIN(I8820, MAX(0, I8820 + SUM(SUMIFS($I$1:I8819, $C$1:C8819, C8820, $B$1:B8819, {"MAL ALIMI","ÜRETİM GİRİŞ"})) - VLOOKUP(C8820, 'STOK RAPORU'!$C$2:$I$1000, 4, 0))), 0)</f>
        <v>0</v>
      </c>
      <c r="U8820" s="22">
        <f t="shared" si="588"/>
        <v>0</v>
      </c>
      <c r="V8820">
        <f t="shared" si="589"/>
        <v>0</v>
      </c>
      <c r="W8820" s="22">
        <f t="shared" si="590"/>
        <v>0</v>
      </c>
    </row>
    <row r="8821" spans="1:23" hidden="1" x14ac:dyDescent="0.25">
      <c r="A8821" s="3"/>
      <c r="B8821" s="4"/>
      <c r="C8821" s="4"/>
      <c r="D8821" s="4"/>
      <c r="E8821" s="4"/>
      <c r="F8821" s="4"/>
      <c r="G8821" s="4"/>
      <c r="H8821" s="4"/>
      <c r="I8821" s="4"/>
      <c r="J8821" s="21">
        <f>IFERROR(VLOOKUP(C8821,'STOK KARTLARI'!$C$2:$K$2150,8,0),0)</f>
        <v>0</v>
      </c>
      <c r="K8821" s="21">
        <f t="shared" si="591"/>
        <v>0</v>
      </c>
      <c r="L8821" s="5">
        <f t="shared" si="593"/>
        <v>0</v>
      </c>
      <c r="M8821" s="4"/>
      <c r="N8821" s="4"/>
      <c r="O8821" s="5"/>
      <c r="P8821" s="5"/>
      <c r="Q8821" s="21">
        <f t="shared" si="594"/>
        <v>0</v>
      </c>
      <c r="R8821" s="21">
        <f t="shared" si="592"/>
        <v>0</v>
      </c>
      <c r="S8821" s="5">
        <f t="shared" si="587"/>
        <v>70007.077158325032</v>
      </c>
      <c r="T8821" cm="1">
        <f t="array" ref="T8821">IF(OR(B8821="MAL ALIMI", B8821="ÜRETİM GİRİŞ"), MIN(I8821, MAX(0, I8821 + SUM(SUMIFS($I$1:I8820, $C$1:C8820, C8821, $B$1:B8820, {"MAL ALIMI","ÜRETİM GİRİŞ"})) - VLOOKUP(C8821, 'STOK RAPORU'!$C$2:$I$1000, 4, 0))), 0)</f>
        <v>0</v>
      </c>
      <c r="U8821" s="22">
        <f t="shared" si="588"/>
        <v>0</v>
      </c>
      <c r="V8821">
        <f t="shared" si="589"/>
        <v>0</v>
      </c>
      <c r="W8821" s="22">
        <f t="shared" si="590"/>
        <v>0</v>
      </c>
    </row>
    <row r="8822" spans="1:23" hidden="1" x14ac:dyDescent="0.25">
      <c r="A8822" s="4"/>
      <c r="B8822" s="4"/>
      <c r="C8822" s="4"/>
      <c r="D8822" s="4"/>
      <c r="E8822" s="4"/>
      <c r="F8822" s="4"/>
      <c r="G8822" s="4"/>
      <c r="H8822" s="4"/>
      <c r="I8822" s="4"/>
      <c r="J8822" s="21">
        <f>IFERROR(VLOOKUP(C8822,'STOK KARTLARI'!$C$2:$K$2150,8,0),0)</f>
        <v>0</v>
      </c>
      <c r="K8822" s="21">
        <f t="shared" si="591"/>
        <v>0</v>
      </c>
      <c r="L8822" s="5">
        <f t="shared" si="593"/>
        <v>0</v>
      </c>
      <c r="M8822" s="4"/>
      <c r="N8822" s="4"/>
      <c r="O8822" s="5"/>
      <c r="P8822" s="5"/>
      <c r="Q8822" s="21">
        <f t="shared" si="594"/>
        <v>0</v>
      </c>
      <c r="R8822" s="21">
        <f t="shared" si="592"/>
        <v>0</v>
      </c>
      <c r="S8822" s="5">
        <f t="shared" si="587"/>
        <v>70007.077158325032</v>
      </c>
      <c r="T8822" cm="1">
        <f t="array" ref="T8822">IF(OR(B8822="MAL ALIMI", B8822="ÜRETİM GİRİŞ"), MIN(I8822, MAX(0, I8822 + SUM(SUMIFS($I$1:I8821, $C$1:C8821, C8822, $B$1:B8821, {"MAL ALIMI","ÜRETİM GİRİŞ"})) - VLOOKUP(C8822, 'STOK RAPORU'!$C$2:$I$1000, 4, 0))), 0)</f>
        <v>0</v>
      </c>
      <c r="U8822" s="22">
        <f t="shared" si="588"/>
        <v>0</v>
      </c>
      <c r="V8822">
        <f t="shared" si="589"/>
        <v>0</v>
      </c>
      <c r="W8822" s="22">
        <f t="shared" si="590"/>
        <v>0</v>
      </c>
    </row>
    <row r="8823" spans="1:23" hidden="1" x14ac:dyDescent="0.25">
      <c r="A8823" s="4"/>
      <c r="B8823" s="4"/>
      <c r="C8823" s="4"/>
      <c r="D8823" s="4"/>
      <c r="E8823" s="4"/>
      <c r="F8823" s="4"/>
      <c r="G8823" s="4"/>
      <c r="H8823" s="4"/>
      <c r="I8823" s="4"/>
      <c r="J8823" s="21">
        <f>IFERROR(VLOOKUP(C8823,'STOK KARTLARI'!$C$2:$K$2150,8,0),0)</f>
        <v>0</v>
      </c>
      <c r="K8823" s="21">
        <f t="shared" si="591"/>
        <v>0</v>
      </c>
      <c r="L8823" s="5">
        <f t="shared" si="593"/>
        <v>0</v>
      </c>
      <c r="M8823" s="4"/>
      <c r="N8823" s="4"/>
      <c r="O8823" s="5"/>
      <c r="P8823" s="5"/>
      <c r="Q8823" s="21">
        <f t="shared" si="594"/>
        <v>0</v>
      </c>
      <c r="R8823" s="21">
        <f t="shared" si="592"/>
        <v>0</v>
      </c>
      <c r="S8823" s="5">
        <f t="shared" si="587"/>
        <v>70007.077158325032</v>
      </c>
      <c r="T8823" cm="1">
        <f t="array" ref="T8823">IF(OR(B8823="MAL ALIMI", B8823="ÜRETİM GİRİŞ"), MIN(I8823, MAX(0, I8823 + SUM(SUMIFS($I$1:I8822, $C$1:C8822, C8823, $B$1:B8822, {"MAL ALIMI","ÜRETİM GİRİŞ"})) - VLOOKUP(C8823, 'STOK RAPORU'!$C$2:$I$1000, 4, 0))), 0)</f>
        <v>0</v>
      </c>
      <c r="U8823" s="22">
        <f t="shared" si="588"/>
        <v>0</v>
      </c>
      <c r="V8823">
        <f t="shared" si="589"/>
        <v>0</v>
      </c>
      <c r="W8823" s="22">
        <f t="shared" si="590"/>
        <v>0</v>
      </c>
    </row>
    <row r="8824" spans="1:23" hidden="1" x14ac:dyDescent="0.25">
      <c r="A8824" s="4"/>
      <c r="B8824" s="4"/>
      <c r="C8824" s="4"/>
      <c r="D8824" s="4"/>
      <c r="E8824" s="4"/>
      <c r="F8824" s="4"/>
      <c r="G8824" s="4"/>
      <c r="H8824" s="4"/>
      <c r="I8824" s="4"/>
      <c r="J8824" s="21">
        <f>IFERROR(VLOOKUP(C8824,'STOK KARTLARI'!$C$2:$K$2150,8,0),0)</f>
        <v>0</v>
      </c>
      <c r="K8824" s="21">
        <f t="shared" si="591"/>
        <v>0</v>
      </c>
      <c r="L8824" s="5">
        <f t="shared" si="593"/>
        <v>0</v>
      </c>
      <c r="M8824" s="4"/>
      <c r="N8824" s="4"/>
      <c r="O8824" s="5"/>
      <c r="P8824" s="5"/>
      <c r="Q8824" s="21">
        <f t="shared" si="594"/>
        <v>0</v>
      </c>
      <c r="R8824" s="21">
        <f t="shared" si="592"/>
        <v>0</v>
      </c>
      <c r="S8824" s="5">
        <f t="shared" si="587"/>
        <v>70007.077158325032</v>
      </c>
      <c r="T8824" cm="1">
        <f t="array" ref="T8824">IF(OR(B8824="MAL ALIMI", B8824="ÜRETİM GİRİŞ"), MIN(I8824, MAX(0, I8824 + SUM(SUMIFS($I$1:I8823, $C$1:C8823, C8824, $B$1:B8823, {"MAL ALIMI","ÜRETİM GİRİŞ"})) - VLOOKUP(C8824, 'STOK RAPORU'!$C$2:$I$1000, 4, 0))), 0)</f>
        <v>0</v>
      </c>
      <c r="U8824" s="22">
        <f t="shared" si="588"/>
        <v>0</v>
      </c>
      <c r="V8824">
        <f t="shared" si="589"/>
        <v>0</v>
      </c>
      <c r="W8824" s="22">
        <f t="shared" si="590"/>
        <v>0</v>
      </c>
    </row>
    <row r="8825" spans="1:23" hidden="1" x14ac:dyDescent="0.25">
      <c r="A8825" s="4"/>
      <c r="B8825" s="4"/>
      <c r="C8825" s="4"/>
      <c r="D8825" s="4"/>
      <c r="E8825" s="4"/>
      <c r="F8825" s="4"/>
      <c r="G8825" s="4"/>
      <c r="H8825" s="4"/>
      <c r="I8825" s="4"/>
      <c r="J8825" s="21">
        <f>IFERROR(VLOOKUP(C8825,'STOK KARTLARI'!$C$2:$K$2150,8,0),0)</f>
        <v>0</v>
      </c>
      <c r="K8825" s="21">
        <f t="shared" si="591"/>
        <v>0</v>
      </c>
      <c r="L8825" s="5">
        <f t="shared" si="593"/>
        <v>0</v>
      </c>
      <c r="M8825" s="4"/>
      <c r="N8825" s="4"/>
      <c r="O8825" s="5"/>
      <c r="P8825" s="5"/>
      <c r="Q8825" s="21">
        <f t="shared" si="594"/>
        <v>0</v>
      </c>
      <c r="R8825" s="21">
        <f t="shared" si="592"/>
        <v>0</v>
      </c>
      <c r="S8825" s="5">
        <f t="shared" si="587"/>
        <v>70007.077158325032</v>
      </c>
      <c r="T8825" cm="1">
        <f t="array" ref="T8825">IF(OR(B8825="MAL ALIMI", B8825="ÜRETİM GİRİŞ"), MIN(I8825, MAX(0, I8825 + SUM(SUMIFS($I$1:I8824, $C$1:C8824, C8825, $B$1:B8824, {"MAL ALIMI","ÜRETİM GİRİŞ"})) - VLOOKUP(C8825, 'STOK RAPORU'!$C$2:$I$1000, 4, 0))), 0)</f>
        <v>0</v>
      </c>
      <c r="U8825" s="22">
        <f t="shared" si="588"/>
        <v>0</v>
      </c>
      <c r="V8825">
        <f t="shared" si="589"/>
        <v>0</v>
      </c>
      <c r="W8825" s="22">
        <f t="shared" si="590"/>
        <v>0</v>
      </c>
    </row>
    <row r="8826" spans="1:23" hidden="1" x14ac:dyDescent="0.25">
      <c r="A8826" s="4"/>
      <c r="B8826" s="4"/>
      <c r="C8826" s="4"/>
      <c r="D8826" s="4"/>
      <c r="E8826" s="4"/>
      <c r="F8826" s="4"/>
      <c r="G8826" s="4"/>
      <c r="H8826" s="4"/>
      <c r="I8826" s="4"/>
      <c r="J8826" s="21">
        <f>IFERROR(VLOOKUP(C8826,'STOK KARTLARI'!$C$2:$K$2150,8,0),0)</f>
        <v>0</v>
      </c>
      <c r="K8826" s="21">
        <f t="shared" si="591"/>
        <v>0</v>
      </c>
      <c r="L8826" s="5">
        <f t="shared" si="593"/>
        <v>0</v>
      </c>
      <c r="M8826" s="4"/>
      <c r="N8826" s="4"/>
      <c r="O8826" s="5"/>
      <c r="P8826" s="5"/>
      <c r="Q8826" s="21">
        <f t="shared" si="594"/>
        <v>0</v>
      </c>
      <c r="R8826" s="21">
        <f t="shared" si="592"/>
        <v>0</v>
      </c>
      <c r="S8826" s="5">
        <f t="shared" si="587"/>
        <v>70007.077158325032</v>
      </c>
      <c r="T8826" cm="1">
        <f t="array" ref="T8826">IF(OR(B8826="MAL ALIMI", B8826="ÜRETİM GİRİŞ"), MIN(I8826, MAX(0, I8826 + SUM(SUMIFS($I$1:I8825, $C$1:C8825, C8826, $B$1:B8825, {"MAL ALIMI","ÜRETİM GİRİŞ"})) - VLOOKUP(C8826, 'STOK RAPORU'!$C$2:$I$1000, 4, 0))), 0)</f>
        <v>0</v>
      </c>
      <c r="U8826" s="22">
        <f t="shared" si="588"/>
        <v>0</v>
      </c>
      <c r="V8826">
        <f t="shared" si="589"/>
        <v>0</v>
      </c>
      <c r="W8826" s="22">
        <f t="shared" si="590"/>
        <v>0</v>
      </c>
    </row>
    <row r="8827" spans="1:23" hidden="1" x14ac:dyDescent="0.25">
      <c r="A8827" s="4"/>
      <c r="B8827" s="4"/>
      <c r="C8827" s="4"/>
      <c r="D8827" s="4"/>
      <c r="E8827" s="4"/>
      <c r="F8827" s="4"/>
      <c r="G8827" s="4"/>
      <c r="H8827" s="4"/>
      <c r="I8827" s="4"/>
      <c r="J8827" s="21">
        <f>IFERROR(VLOOKUP(C8827,'STOK KARTLARI'!$C$2:$K$2150,8,0),0)</f>
        <v>0</v>
      </c>
      <c r="K8827" s="21">
        <f t="shared" si="591"/>
        <v>0</v>
      </c>
      <c r="L8827" s="5">
        <f t="shared" si="593"/>
        <v>0</v>
      </c>
      <c r="M8827" s="4"/>
      <c r="N8827" s="4"/>
      <c r="O8827" s="5"/>
      <c r="P8827" s="5"/>
      <c r="Q8827" s="21">
        <f t="shared" si="594"/>
        <v>0</v>
      </c>
      <c r="R8827" s="21">
        <f t="shared" si="592"/>
        <v>0</v>
      </c>
      <c r="S8827" s="5">
        <f t="shared" si="587"/>
        <v>70007.077158325032</v>
      </c>
      <c r="T8827" cm="1">
        <f t="array" ref="T8827">IF(OR(B8827="MAL ALIMI", B8827="ÜRETİM GİRİŞ"), MIN(I8827, MAX(0, I8827 + SUM(SUMIFS($I$1:I8826, $C$1:C8826, C8827, $B$1:B8826, {"MAL ALIMI","ÜRETİM GİRİŞ"})) - VLOOKUP(C8827, 'STOK RAPORU'!$C$2:$I$1000, 4, 0))), 0)</f>
        <v>0</v>
      </c>
      <c r="U8827" s="22">
        <f t="shared" si="588"/>
        <v>0</v>
      </c>
      <c r="V8827">
        <f t="shared" si="589"/>
        <v>0</v>
      </c>
      <c r="W8827" s="22">
        <f t="shared" si="590"/>
        <v>0</v>
      </c>
    </row>
    <row r="8828" spans="1:23" hidden="1" x14ac:dyDescent="0.25">
      <c r="A8828" s="3"/>
      <c r="B8828" s="4"/>
      <c r="C8828" s="4"/>
      <c r="D8828" s="4"/>
      <c r="E8828" s="4"/>
      <c r="F8828" s="4"/>
      <c r="G8828" s="4"/>
      <c r="H8828" s="4"/>
      <c r="I8828" s="4"/>
      <c r="J8828" s="21">
        <f>IFERROR(VLOOKUP(C8828,'STOK KARTLARI'!$C$2:$K$2150,8,0),0)</f>
        <v>0</v>
      </c>
      <c r="K8828" s="21">
        <f t="shared" si="591"/>
        <v>0</v>
      </c>
      <c r="L8828" s="5">
        <f t="shared" si="593"/>
        <v>0</v>
      </c>
      <c r="M8828" s="4"/>
      <c r="N8828" s="4"/>
      <c r="O8828" s="5"/>
      <c r="P8828" s="5"/>
      <c r="Q8828" s="21">
        <f t="shared" si="594"/>
        <v>0</v>
      </c>
      <c r="R8828" s="21">
        <f t="shared" si="592"/>
        <v>0</v>
      </c>
      <c r="S8828" s="5">
        <f t="shared" si="587"/>
        <v>70007.077158325032</v>
      </c>
      <c r="T8828" cm="1">
        <f t="array" ref="T8828">IF(OR(B8828="MAL ALIMI", B8828="ÜRETİM GİRİŞ"), MIN(I8828, MAX(0, I8828 + SUM(SUMIFS($I$1:I8827, $C$1:C8827, C8828, $B$1:B8827, {"MAL ALIMI","ÜRETİM GİRİŞ"})) - VLOOKUP(C8828, 'STOK RAPORU'!$C$2:$I$1000, 4, 0))), 0)</f>
        <v>0</v>
      </c>
      <c r="U8828" s="22">
        <f t="shared" si="588"/>
        <v>0</v>
      </c>
      <c r="V8828">
        <f t="shared" si="589"/>
        <v>0</v>
      </c>
      <c r="W8828" s="22">
        <f t="shared" si="590"/>
        <v>0</v>
      </c>
    </row>
    <row r="8829" spans="1:23" hidden="1" x14ac:dyDescent="0.25">
      <c r="A8829" s="4"/>
      <c r="B8829" s="4"/>
      <c r="C8829" s="4"/>
      <c r="D8829" s="4"/>
      <c r="E8829" s="4"/>
      <c r="F8829" s="4"/>
      <c r="G8829" s="4"/>
      <c r="H8829" s="4"/>
      <c r="I8829" s="4"/>
      <c r="J8829" s="21">
        <f>IFERROR(VLOOKUP(C8829,'STOK KARTLARI'!$C$2:$K$2150,8,0),0)</f>
        <v>0</v>
      </c>
      <c r="K8829" s="21">
        <f t="shared" si="591"/>
        <v>0</v>
      </c>
      <c r="L8829" s="5">
        <f t="shared" si="593"/>
        <v>0</v>
      </c>
      <c r="M8829" s="4"/>
      <c r="N8829" s="4"/>
      <c r="O8829" s="5"/>
      <c r="P8829" s="5"/>
      <c r="Q8829" s="21">
        <f t="shared" si="594"/>
        <v>0</v>
      </c>
      <c r="R8829" s="21">
        <f t="shared" si="592"/>
        <v>0</v>
      </c>
      <c r="S8829" s="5">
        <f t="shared" si="587"/>
        <v>70007.077158325032</v>
      </c>
      <c r="T8829" cm="1">
        <f t="array" ref="T8829">IF(OR(B8829="MAL ALIMI", B8829="ÜRETİM GİRİŞ"), MIN(I8829, MAX(0, I8829 + SUM(SUMIFS($I$1:I8828, $C$1:C8828, C8829, $B$1:B8828, {"MAL ALIMI","ÜRETİM GİRİŞ"})) - VLOOKUP(C8829, 'STOK RAPORU'!$C$2:$I$1000, 4, 0))), 0)</f>
        <v>0</v>
      </c>
      <c r="U8829" s="22">
        <f t="shared" si="588"/>
        <v>0</v>
      </c>
      <c r="V8829">
        <f t="shared" si="589"/>
        <v>0</v>
      </c>
      <c r="W8829" s="22">
        <f t="shared" si="590"/>
        <v>0</v>
      </c>
    </row>
    <row r="8830" spans="1:23" hidden="1" x14ac:dyDescent="0.25">
      <c r="A8830" s="4"/>
      <c r="B8830" s="4"/>
      <c r="C8830" s="4"/>
      <c r="D8830" s="4"/>
      <c r="E8830" s="4"/>
      <c r="F8830" s="4"/>
      <c r="G8830" s="4"/>
      <c r="H8830" s="4"/>
      <c r="I8830" s="4"/>
      <c r="J8830" s="21">
        <f>IFERROR(VLOOKUP(C8830,'STOK KARTLARI'!$C$2:$K$2150,8,0),0)</f>
        <v>0</v>
      </c>
      <c r="K8830" s="21">
        <f t="shared" si="591"/>
        <v>0</v>
      </c>
      <c r="L8830" s="5">
        <f t="shared" si="593"/>
        <v>0</v>
      </c>
      <c r="M8830" s="4"/>
      <c r="N8830" s="4"/>
      <c r="O8830" s="5"/>
      <c r="P8830" s="5"/>
      <c r="Q8830" s="21">
        <f t="shared" si="594"/>
        <v>0</v>
      </c>
      <c r="R8830" s="21">
        <f t="shared" si="592"/>
        <v>0</v>
      </c>
      <c r="S8830" s="5">
        <f t="shared" si="587"/>
        <v>70007.077158325032</v>
      </c>
      <c r="T8830" cm="1">
        <f t="array" ref="T8830">IF(OR(B8830="MAL ALIMI", B8830="ÜRETİM GİRİŞ"), MIN(I8830, MAX(0, I8830 + SUM(SUMIFS($I$1:I8829, $C$1:C8829, C8830, $B$1:B8829, {"MAL ALIMI","ÜRETİM GİRİŞ"})) - VLOOKUP(C8830, 'STOK RAPORU'!$C$2:$I$1000, 4, 0))), 0)</f>
        <v>0</v>
      </c>
      <c r="U8830" s="22">
        <f t="shared" si="588"/>
        <v>0</v>
      </c>
      <c r="V8830">
        <f t="shared" si="589"/>
        <v>0</v>
      </c>
      <c r="W8830" s="22">
        <f t="shared" si="590"/>
        <v>0</v>
      </c>
    </row>
    <row r="8831" spans="1:23" hidden="1" x14ac:dyDescent="0.25">
      <c r="A8831" s="4"/>
      <c r="B8831" s="4"/>
      <c r="C8831" s="4"/>
      <c r="D8831" s="4"/>
      <c r="E8831" s="4"/>
      <c r="F8831" s="4"/>
      <c r="G8831" s="4"/>
      <c r="H8831" s="4"/>
      <c r="I8831" s="4"/>
      <c r="J8831" s="21">
        <f>IFERROR(VLOOKUP(C8831,'STOK KARTLARI'!$C$2:$K$2150,8,0),0)</f>
        <v>0</v>
      </c>
      <c r="K8831" s="21">
        <f t="shared" si="591"/>
        <v>0</v>
      </c>
      <c r="L8831" s="5">
        <f t="shared" si="593"/>
        <v>0</v>
      </c>
      <c r="M8831" s="4"/>
      <c r="N8831" s="4"/>
      <c r="O8831" s="5"/>
      <c r="P8831" s="5"/>
      <c r="Q8831" s="21">
        <f t="shared" si="594"/>
        <v>0</v>
      </c>
      <c r="R8831" s="21">
        <f t="shared" si="592"/>
        <v>0</v>
      </c>
      <c r="S8831" s="5">
        <f t="shared" si="587"/>
        <v>70007.077158325032</v>
      </c>
      <c r="T8831" cm="1">
        <f t="array" ref="T8831">IF(OR(B8831="MAL ALIMI", B8831="ÜRETİM GİRİŞ"), MIN(I8831, MAX(0, I8831 + SUM(SUMIFS($I$1:I8830, $C$1:C8830, C8831, $B$1:B8830, {"MAL ALIMI","ÜRETİM GİRİŞ"})) - VLOOKUP(C8831, 'STOK RAPORU'!$C$2:$I$1000, 4, 0))), 0)</f>
        <v>0</v>
      </c>
      <c r="U8831" s="22">
        <f t="shared" si="588"/>
        <v>0</v>
      </c>
      <c r="V8831">
        <f t="shared" si="589"/>
        <v>0</v>
      </c>
      <c r="W8831" s="22">
        <f t="shared" si="590"/>
        <v>0</v>
      </c>
    </row>
    <row r="8832" spans="1:23" hidden="1" x14ac:dyDescent="0.25">
      <c r="A8832" s="4"/>
      <c r="B8832" s="4"/>
      <c r="C8832" s="4"/>
      <c r="D8832" s="4"/>
      <c r="E8832" s="4"/>
      <c r="F8832" s="4"/>
      <c r="G8832" s="4"/>
      <c r="H8832" s="4"/>
      <c r="I8832" s="4"/>
      <c r="J8832" s="21">
        <f>IFERROR(VLOOKUP(C8832,'STOK KARTLARI'!$C$2:$K$2150,8,0),0)</f>
        <v>0</v>
      </c>
      <c r="K8832" s="21">
        <f t="shared" si="591"/>
        <v>0</v>
      </c>
      <c r="L8832" s="5">
        <f t="shared" si="593"/>
        <v>0</v>
      </c>
      <c r="M8832" s="4"/>
      <c r="N8832" s="4"/>
      <c r="O8832" s="5"/>
      <c r="P8832" s="5"/>
      <c r="Q8832" s="21">
        <f t="shared" si="594"/>
        <v>0</v>
      </c>
      <c r="R8832" s="21">
        <f t="shared" si="592"/>
        <v>0</v>
      </c>
      <c r="S8832" s="5">
        <f t="shared" si="587"/>
        <v>70007.077158325032</v>
      </c>
      <c r="T8832" cm="1">
        <f t="array" ref="T8832">IF(OR(B8832="MAL ALIMI", B8832="ÜRETİM GİRİŞ"), MIN(I8832, MAX(0, I8832 + SUM(SUMIFS($I$1:I8831, $C$1:C8831, C8832, $B$1:B8831, {"MAL ALIMI","ÜRETİM GİRİŞ"})) - VLOOKUP(C8832, 'STOK RAPORU'!$C$2:$I$1000, 4, 0))), 0)</f>
        <v>0</v>
      </c>
      <c r="U8832" s="22">
        <f t="shared" si="588"/>
        <v>0</v>
      </c>
      <c r="V8832">
        <f t="shared" si="589"/>
        <v>0</v>
      </c>
      <c r="W8832" s="22">
        <f t="shared" si="590"/>
        <v>0</v>
      </c>
    </row>
    <row r="8833" spans="1:23" hidden="1" x14ac:dyDescent="0.25">
      <c r="A8833" s="4"/>
      <c r="B8833" s="4"/>
      <c r="C8833" s="4"/>
      <c r="D8833" s="4"/>
      <c r="E8833" s="4"/>
      <c r="F8833" s="4"/>
      <c r="G8833" s="4"/>
      <c r="H8833" s="4"/>
      <c r="I8833" s="4"/>
      <c r="J8833" s="21">
        <f>IFERROR(VLOOKUP(C8833,'STOK KARTLARI'!$C$2:$K$2150,8,0),0)</f>
        <v>0</v>
      </c>
      <c r="K8833" s="21">
        <f t="shared" si="591"/>
        <v>0</v>
      </c>
      <c r="L8833" s="5">
        <f t="shared" si="593"/>
        <v>0</v>
      </c>
      <c r="M8833" s="4"/>
      <c r="N8833" s="4"/>
      <c r="O8833" s="5"/>
      <c r="P8833" s="5"/>
      <c r="Q8833" s="21">
        <f t="shared" si="594"/>
        <v>0</v>
      </c>
      <c r="R8833" s="21">
        <f t="shared" si="592"/>
        <v>0</v>
      </c>
      <c r="S8833" s="5">
        <f t="shared" si="587"/>
        <v>70007.077158325032</v>
      </c>
      <c r="T8833" cm="1">
        <f t="array" ref="T8833">IF(OR(B8833="MAL ALIMI", B8833="ÜRETİM GİRİŞ"), MIN(I8833, MAX(0, I8833 + SUM(SUMIFS($I$1:I8832, $C$1:C8832, C8833, $B$1:B8832, {"MAL ALIMI","ÜRETİM GİRİŞ"})) - VLOOKUP(C8833, 'STOK RAPORU'!$C$2:$I$1000, 4, 0))), 0)</f>
        <v>0</v>
      </c>
      <c r="U8833" s="22">
        <f t="shared" si="588"/>
        <v>0</v>
      </c>
      <c r="V8833">
        <f t="shared" si="589"/>
        <v>0</v>
      </c>
      <c r="W8833" s="22">
        <f t="shared" si="590"/>
        <v>0</v>
      </c>
    </row>
    <row r="8834" spans="1:23" hidden="1" x14ac:dyDescent="0.25">
      <c r="A8834" s="4"/>
      <c r="B8834" s="4"/>
      <c r="C8834" s="4"/>
      <c r="D8834" s="4"/>
      <c r="E8834" s="4"/>
      <c r="F8834" s="4"/>
      <c r="G8834" s="4"/>
      <c r="H8834" s="4"/>
      <c r="I8834" s="4"/>
      <c r="J8834" s="21">
        <f>IFERROR(VLOOKUP(C8834,'STOK KARTLARI'!$C$2:$K$2150,8,0),0)</f>
        <v>0</v>
      </c>
      <c r="K8834" s="21">
        <f t="shared" si="591"/>
        <v>0</v>
      </c>
      <c r="L8834" s="5">
        <f t="shared" si="593"/>
        <v>0</v>
      </c>
      <c r="M8834" s="4"/>
      <c r="N8834" s="4"/>
      <c r="O8834" s="5"/>
      <c r="P8834" s="5"/>
      <c r="Q8834" s="21">
        <f t="shared" si="594"/>
        <v>0</v>
      </c>
      <c r="R8834" s="21">
        <f t="shared" si="592"/>
        <v>0</v>
      </c>
      <c r="S8834" s="5">
        <f t="shared" si="587"/>
        <v>70007.077158325032</v>
      </c>
      <c r="T8834" cm="1">
        <f t="array" ref="T8834">IF(OR(B8834="MAL ALIMI", B8834="ÜRETİM GİRİŞ"), MIN(I8834, MAX(0, I8834 + SUM(SUMIFS($I$1:I8833, $C$1:C8833, C8834, $B$1:B8833, {"MAL ALIMI","ÜRETİM GİRİŞ"})) - VLOOKUP(C8834, 'STOK RAPORU'!$C$2:$I$1000, 4, 0))), 0)</f>
        <v>0</v>
      </c>
      <c r="U8834" s="22">
        <f t="shared" si="588"/>
        <v>0</v>
      </c>
      <c r="V8834">
        <f t="shared" si="589"/>
        <v>0</v>
      </c>
      <c r="W8834" s="22">
        <f t="shared" si="590"/>
        <v>0</v>
      </c>
    </row>
    <row r="8835" spans="1:23" hidden="1" x14ac:dyDescent="0.25">
      <c r="A8835" s="3"/>
      <c r="B8835" s="4"/>
      <c r="C8835" s="4"/>
      <c r="D8835" s="4"/>
      <c r="E8835" s="4"/>
      <c r="F8835" s="4"/>
      <c r="G8835" s="4"/>
      <c r="H8835" s="4"/>
      <c r="I8835" s="4"/>
      <c r="J8835" s="21">
        <f>IFERROR(VLOOKUP(C8835,'STOK KARTLARI'!$C$2:$K$2150,8,0),0)</f>
        <v>0</v>
      </c>
      <c r="K8835" s="21">
        <f t="shared" si="591"/>
        <v>0</v>
      </c>
      <c r="L8835" s="5">
        <f t="shared" si="593"/>
        <v>0</v>
      </c>
      <c r="M8835" s="4"/>
      <c r="N8835" s="4"/>
      <c r="O8835" s="5"/>
      <c r="P8835" s="5"/>
      <c r="Q8835" s="21">
        <f t="shared" si="594"/>
        <v>0</v>
      </c>
      <c r="R8835" s="21">
        <f t="shared" si="592"/>
        <v>0</v>
      </c>
      <c r="S8835" s="5">
        <f t="shared" si="587"/>
        <v>70007.077158325032</v>
      </c>
      <c r="T8835" cm="1">
        <f t="array" ref="T8835">IF(OR(B8835="MAL ALIMI", B8835="ÜRETİM GİRİŞ"), MIN(I8835, MAX(0, I8835 + SUM(SUMIFS($I$1:I8834, $C$1:C8834, C8835, $B$1:B8834, {"MAL ALIMI","ÜRETİM GİRİŞ"})) - VLOOKUP(C8835, 'STOK RAPORU'!$C$2:$I$1000, 4, 0))), 0)</f>
        <v>0</v>
      </c>
      <c r="U8835" s="22">
        <f t="shared" si="588"/>
        <v>0</v>
      </c>
      <c r="V8835">
        <f t="shared" si="589"/>
        <v>0</v>
      </c>
      <c r="W8835" s="22">
        <f t="shared" si="590"/>
        <v>0</v>
      </c>
    </row>
    <row r="8836" spans="1:23" hidden="1" x14ac:dyDescent="0.25">
      <c r="A8836" s="4"/>
      <c r="B8836" s="4"/>
      <c r="C8836" s="4"/>
      <c r="D8836" s="4"/>
      <c r="E8836" s="4"/>
      <c r="F8836" s="4"/>
      <c r="G8836" s="4"/>
      <c r="H8836" s="4"/>
      <c r="I8836" s="4"/>
      <c r="J8836" s="21">
        <f>IFERROR(VLOOKUP(C8836,'STOK KARTLARI'!$C$2:$K$2150,8,0),0)</f>
        <v>0</v>
      </c>
      <c r="K8836" s="21">
        <f t="shared" si="591"/>
        <v>0</v>
      </c>
      <c r="L8836" s="5">
        <f t="shared" si="593"/>
        <v>0</v>
      </c>
      <c r="M8836" s="4"/>
      <c r="N8836" s="4"/>
      <c r="O8836" s="5"/>
      <c r="P8836" s="5"/>
      <c r="Q8836" s="21">
        <f t="shared" si="594"/>
        <v>0</v>
      </c>
      <c r="R8836" s="21">
        <f t="shared" si="592"/>
        <v>0</v>
      </c>
      <c r="S8836" s="5">
        <f t="shared" si="587"/>
        <v>70007.077158325032</v>
      </c>
      <c r="T8836" cm="1">
        <f t="array" ref="T8836">IF(OR(B8836="MAL ALIMI", B8836="ÜRETİM GİRİŞ"), MIN(I8836, MAX(0, I8836 + SUM(SUMIFS($I$1:I8835, $C$1:C8835, C8836, $B$1:B8835, {"MAL ALIMI","ÜRETİM GİRİŞ"})) - VLOOKUP(C8836, 'STOK RAPORU'!$C$2:$I$1000, 4, 0))), 0)</f>
        <v>0</v>
      </c>
      <c r="U8836" s="22">
        <f t="shared" si="588"/>
        <v>0</v>
      </c>
      <c r="V8836">
        <f t="shared" si="589"/>
        <v>0</v>
      </c>
      <c r="W8836" s="22">
        <f t="shared" si="590"/>
        <v>0</v>
      </c>
    </row>
    <row r="8837" spans="1:23" hidden="1" x14ac:dyDescent="0.25">
      <c r="A8837" s="4"/>
      <c r="B8837" s="4"/>
      <c r="C8837" s="4"/>
      <c r="D8837" s="4"/>
      <c r="E8837" s="4"/>
      <c r="F8837" s="4"/>
      <c r="G8837" s="4"/>
      <c r="H8837" s="4"/>
      <c r="I8837" s="4"/>
      <c r="J8837" s="21">
        <f>IFERROR(VLOOKUP(C8837,'STOK KARTLARI'!$C$2:$K$2150,8,0),0)</f>
        <v>0</v>
      </c>
      <c r="K8837" s="21">
        <f t="shared" si="591"/>
        <v>0</v>
      </c>
      <c r="L8837" s="5">
        <f t="shared" si="593"/>
        <v>0</v>
      </c>
      <c r="M8837" s="4"/>
      <c r="N8837" s="4"/>
      <c r="O8837" s="5"/>
      <c r="P8837" s="5"/>
      <c r="Q8837" s="21">
        <f t="shared" si="594"/>
        <v>0</v>
      </c>
      <c r="R8837" s="21">
        <f t="shared" si="592"/>
        <v>0</v>
      </c>
      <c r="S8837" s="5">
        <f t="shared" ref="S8837:S8900" si="595">S8836+Q8837-R8837</f>
        <v>70007.077158325032</v>
      </c>
      <c r="T8837" cm="1">
        <f t="array" ref="T8837">IF(OR(B8837="MAL ALIMI", B8837="ÜRETİM GİRİŞ"), MIN(I8837, MAX(0, I8837 + SUM(SUMIFS($I$1:I8836, $C$1:C8836, C8837, $B$1:B8836, {"MAL ALIMI","ÜRETİM GİRİŞ"})) - VLOOKUP(C8837, 'STOK RAPORU'!$C$2:$I$1000, 4, 0))), 0)</f>
        <v>0</v>
      </c>
      <c r="U8837" s="22">
        <f t="shared" si="588"/>
        <v>0</v>
      </c>
      <c r="V8837">
        <f t="shared" si="589"/>
        <v>0</v>
      </c>
      <c r="W8837" s="22">
        <f t="shared" si="590"/>
        <v>0</v>
      </c>
    </row>
    <row r="8838" spans="1:23" hidden="1" x14ac:dyDescent="0.25">
      <c r="A8838" s="4"/>
      <c r="B8838" s="4"/>
      <c r="C8838" s="4"/>
      <c r="D8838" s="4"/>
      <c r="E8838" s="4"/>
      <c r="F8838" s="4"/>
      <c r="G8838" s="4"/>
      <c r="H8838" s="4"/>
      <c r="I8838" s="4"/>
      <c r="J8838" s="21">
        <f>IFERROR(VLOOKUP(C8838,'STOK KARTLARI'!$C$2:$K$2150,8,0),0)</f>
        <v>0</v>
      </c>
      <c r="K8838" s="21">
        <f t="shared" si="591"/>
        <v>0</v>
      </c>
      <c r="L8838" s="5">
        <f t="shared" si="593"/>
        <v>0</v>
      </c>
      <c r="M8838" s="4"/>
      <c r="N8838" s="4"/>
      <c r="O8838" s="5"/>
      <c r="P8838" s="5"/>
      <c r="Q8838" s="21">
        <f t="shared" si="594"/>
        <v>0</v>
      </c>
      <c r="R8838" s="21">
        <f t="shared" si="592"/>
        <v>0</v>
      </c>
      <c r="S8838" s="5">
        <f t="shared" si="595"/>
        <v>70007.077158325032</v>
      </c>
      <c r="T8838" cm="1">
        <f t="array" ref="T8838">IF(OR(B8838="MAL ALIMI", B8838="ÜRETİM GİRİŞ"), MIN(I8838, MAX(0, I8838 + SUM(SUMIFS($I$1:I8837, $C$1:C8837, C8838, $B$1:B8837, {"MAL ALIMI","ÜRETİM GİRİŞ"})) - VLOOKUP(C8838, 'STOK RAPORU'!$C$2:$I$1000, 4, 0))), 0)</f>
        <v>0</v>
      </c>
      <c r="U8838" s="22">
        <f t="shared" si="588"/>
        <v>0</v>
      </c>
      <c r="V8838">
        <f t="shared" si="589"/>
        <v>0</v>
      </c>
      <c r="W8838" s="22">
        <f t="shared" si="590"/>
        <v>0</v>
      </c>
    </row>
    <row r="8839" spans="1:23" hidden="1" x14ac:dyDescent="0.25">
      <c r="A8839" s="4"/>
      <c r="B8839" s="4"/>
      <c r="C8839" s="4"/>
      <c r="D8839" s="4"/>
      <c r="E8839" s="4"/>
      <c r="F8839" s="4"/>
      <c r="G8839" s="4"/>
      <c r="H8839" s="4"/>
      <c r="I8839" s="4"/>
      <c r="J8839" s="21">
        <f>IFERROR(VLOOKUP(C8839,'STOK KARTLARI'!$C$2:$K$2150,8,0),0)</f>
        <v>0</v>
      </c>
      <c r="K8839" s="21">
        <f t="shared" si="591"/>
        <v>0</v>
      </c>
      <c r="L8839" s="5">
        <f t="shared" si="593"/>
        <v>0</v>
      </c>
      <c r="M8839" s="4"/>
      <c r="N8839" s="4"/>
      <c r="O8839" s="5"/>
      <c r="P8839" s="5"/>
      <c r="Q8839" s="21">
        <f t="shared" si="594"/>
        <v>0</v>
      </c>
      <c r="R8839" s="21">
        <f t="shared" si="592"/>
        <v>0</v>
      </c>
      <c r="S8839" s="5">
        <f t="shared" si="595"/>
        <v>70007.077158325032</v>
      </c>
      <c r="T8839" cm="1">
        <f t="array" ref="T8839">IF(OR(B8839="MAL ALIMI", B8839="ÜRETİM GİRİŞ"), MIN(I8839, MAX(0, I8839 + SUM(SUMIFS($I$1:I8838, $C$1:C8838, C8839, $B$1:B8838, {"MAL ALIMI","ÜRETİM GİRİŞ"})) - VLOOKUP(C8839, 'STOK RAPORU'!$C$2:$I$1000, 4, 0))), 0)</f>
        <v>0</v>
      </c>
      <c r="U8839" s="22">
        <f t="shared" si="588"/>
        <v>0</v>
      </c>
      <c r="V8839">
        <f t="shared" si="589"/>
        <v>0</v>
      </c>
      <c r="W8839" s="22">
        <f t="shared" si="590"/>
        <v>0</v>
      </c>
    </row>
    <row r="8840" spans="1:23" hidden="1" x14ac:dyDescent="0.25">
      <c r="A8840" s="4"/>
      <c r="B8840" s="4"/>
      <c r="C8840" s="4"/>
      <c r="D8840" s="4"/>
      <c r="E8840" s="4"/>
      <c r="F8840" s="4"/>
      <c r="G8840" s="4"/>
      <c r="H8840" s="4"/>
      <c r="I8840" s="4"/>
      <c r="J8840" s="21">
        <f>IFERROR(VLOOKUP(C8840,'STOK KARTLARI'!$C$2:$K$2150,8,0),0)</f>
        <v>0</v>
      </c>
      <c r="K8840" s="21">
        <f t="shared" si="591"/>
        <v>0</v>
      </c>
      <c r="L8840" s="5">
        <f t="shared" si="593"/>
        <v>0</v>
      </c>
      <c r="M8840" s="4"/>
      <c r="N8840" s="4"/>
      <c r="O8840" s="5"/>
      <c r="P8840" s="5"/>
      <c r="Q8840" s="21">
        <f t="shared" si="594"/>
        <v>0</v>
      </c>
      <c r="R8840" s="21">
        <f t="shared" si="592"/>
        <v>0</v>
      </c>
      <c r="S8840" s="5">
        <f t="shared" si="595"/>
        <v>70007.077158325032</v>
      </c>
      <c r="T8840" cm="1">
        <f t="array" ref="T8840">IF(OR(B8840="MAL ALIMI", B8840="ÜRETİM GİRİŞ"), MIN(I8840, MAX(0, I8840 + SUM(SUMIFS($I$1:I8839, $C$1:C8839, C8840, $B$1:B8839, {"MAL ALIMI","ÜRETİM GİRİŞ"})) - VLOOKUP(C8840, 'STOK RAPORU'!$C$2:$I$1000, 4, 0))), 0)</f>
        <v>0</v>
      </c>
      <c r="U8840" s="22">
        <f t="shared" si="588"/>
        <v>0</v>
      </c>
      <c r="V8840">
        <f t="shared" si="589"/>
        <v>0</v>
      </c>
      <c r="W8840" s="22">
        <f t="shared" si="590"/>
        <v>0</v>
      </c>
    </row>
    <row r="8841" spans="1:23" hidden="1" x14ac:dyDescent="0.25">
      <c r="A8841" s="4"/>
      <c r="B8841" s="4"/>
      <c r="C8841" s="4"/>
      <c r="D8841" s="4"/>
      <c r="E8841" s="4"/>
      <c r="F8841" s="4"/>
      <c r="G8841" s="4"/>
      <c r="H8841" s="4"/>
      <c r="I8841" s="4"/>
      <c r="J8841" s="21">
        <f>IFERROR(VLOOKUP(C8841,'STOK KARTLARI'!$C$2:$K$2150,8,0),0)</f>
        <v>0</v>
      </c>
      <c r="K8841" s="21">
        <f t="shared" si="591"/>
        <v>0</v>
      </c>
      <c r="L8841" s="5">
        <f t="shared" si="593"/>
        <v>0</v>
      </c>
      <c r="M8841" s="4"/>
      <c r="N8841" s="4"/>
      <c r="O8841" s="5"/>
      <c r="P8841" s="5"/>
      <c r="Q8841" s="21">
        <f t="shared" si="594"/>
        <v>0</v>
      </c>
      <c r="R8841" s="21">
        <f t="shared" si="592"/>
        <v>0</v>
      </c>
      <c r="S8841" s="5">
        <f t="shared" si="595"/>
        <v>70007.077158325032</v>
      </c>
      <c r="T8841" cm="1">
        <f t="array" ref="T8841">IF(OR(B8841="MAL ALIMI", B8841="ÜRETİM GİRİŞ"), MIN(I8841, MAX(0, I8841 + SUM(SUMIFS($I$1:I8840, $C$1:C8840, C8841, $B$1:B8840, {"MAL ALIMI","ÜRETİM GİRİŞ"})) - VLOOKUP(C8841, 'STOK RAPORU'!$C$2:$I$1000, 4, 0))), 0)</f>
        <v>0</v>
      </c>
      <c r="U8841" s="22">
        <f t="shared" si="588"/>
        <v>0</v>
      </c>
      <c r="V8841">
        <f t="shared" si="589"/>
        <v>0</v>
      </c>
      <c r="W8841" s="22">
        <f t="shared" si="590"/>
        <v>0</v>
      </c>
    </row>
    <row r="8842" spans="1:23" hidden="1" x14ac:dyDescent="0.25">
      <c r="A8842" s="3"/>
      <c r="B8842" s="4"/>
      <c r="C8842" s="4"/>
      <c r="D8842" s="4"/>
      <c r="E8842" s="4"/>
      <c r="F8842" s="4"/>
      <c r="G8842" s="4"/>
      <c r="H8842" s="4"/>
      <c r="I8842" s="4"/>
      <c r="J8842" s="21">
        <f>IFERROR(VLOOKUP(C8842,'STOK KARTLARI'!$C$2:$K$2150,8,0),0)</f>
        <v>0</v>
      </c>
      <c r="K8842" s="21">
        <f t="shared" si="591"/>
        <v>0</v>
      </c>
      <c r="L8842" s="5">
        <f t="shared" si="593"/>
        <v>0</v>
      </c>
      <c r="M8842" s="4"/>
      <c r="N8842" s="4"/>
      <c r="O8842" s="5"/>
      <c r="P8842" s="5"/>
      <c r="Q8842" s="21">
        <f t="shared" si="594"/>
        <v>0</v>
      </c>
      <c r="R8842" s="21">
        <f t="shared" si="592"/>
        <v>0</v>
      </c>
      <c r="S8842" s="5">
        <f t="shared" si="595"/>
        <v>70007.077158325032</v>
      </c>
      <c r="T8842" cm="1">
        <f t="array" ref="T8842">IF(OR(B8842="MAL ALIMI", B8842="ÜRETİM GİRİŞ"), MIN(I8842, MAX(0, I8842 + SUM(SUMIFS($I$1:I8841, $C$1:C8841, C8842, $B$1:B8841, {"MAL ALIMI","ÜRETİM GİRİŞ"})) - VLOOKUP(C8842, 'STOK RAPORU'!$C$2:$I$1000, 4, 0))), 0)</f>
        <v>0</v>
      </c>
      <c r="U8842" s="22">
        <f t="shared" si="588"/>
        <v>0</v>
      </c>
      <c r="V8842">
        <f t="shared" si="589"/>
        <v>0</v>
      </c>
      <c r="W8842" s="22">
        <f t="shared" si="590"/>
        <v>0</v>
      </c>
    </row>
    <row r="8843" spans="1:23" hidden="1" x14ac:dyDescent="0.25">
      <c r="A8843" s="4"/>
      <c r="B8843" s="4"/>
      <c r="C8843" s="4"/>
      <c r="D8843" s="4"/>
      <c r="E8843" s="4"/>
      <c r="F8843" s="4"/>
      <c r="G8843" s="4"/>
      <c r="H8843" s="4"/>
      <c r="I8843" s="4"/>
      <c r="J8843" s="21">
        <f>IFERROR(VLOOKUP(C8843,'STOK KARTLARI'!$C$2:$K$2150,8,0),0)</f>
        <v>0</v>
      </c>
      <c r="K8843" s="21">
        <f t="shared" si="591"/>
        <v>0</v>
      </c>
      <c r="L8843" s="5">
        <f t="shared" si="593"/>
        <v>0</v>
      </c>
      <c r="M8843" s="4"/>
      <c r="N8843" s="4"/>
      <c r="O8843" s="5"/>
      <c r="P8843" s="5"/>
      <c r="Q8843" s="21">
        <f t="shared" si="594"/>
        <v>0</v>
      </c>
      <c r="R8843" s="21">
        <f t="shared" si="592"/>
        <v>0</v>
      </c>
      <c r="S8843" s="5">
        <f t="shared" si="595"/>
        <v>70007.077158325032</v>
      </c>
      <c r="T8843" cm="1">
        <f t="array" ref="T8843">IF(OR(B8843="MAL ALIMI", B8843="ÜRETİM GİRİŞ"), MIN(I8843, MAX(0, I8843 + SUM(SUMIFS($I$1:I8842, $C$1:C8842, C8843, $B$1:B8842, {"MAL ALIMI","ÜRETİM GİRİŞ"})) - VLOOKUP(C8843, 'STOK RAPORU'!$C$2:$I$1000, 4, 0))), 0)</f>
        <v>0</v>
      </c>
      <c r="U8843" s="22">
        <f t="shared" si="588"/>
        <v>0</v>
      </c>
      <c r="V8843">
        <f t="shared" si="589"/>
        <v>0</v>
      </c>
      <c r="W8843" s="22">
        <f t="shared" si="590"/>
        <v>0</v>
      </c>
    </row>
    <row r="8844" spans="1:23" hidden="1" x14ac:dyDescent="0.25">
      <c r="A8844" s="4"/>
      <c r="B8844" s="4"/>
      <c r="C8844" s="4"/>
      <c r="D8844" s="4"/>
      <c r="E8844" s="4"/>
      <c r="F8844" s="4"/>
      <c r="G8844" s="4"/>
      <c r="H8844" s="4"/>
      <c r="I8844" s="4"/>
      <c r="J8844" s="21">
        <f>IFERROR(VLOOKUP(C8844,'STOK KARTLARI'!$C$2:$K$2150,8,0),0)</f>
        <v>0</v>
      </c>
      <c r="K8844" s="21">
        <f t="shared" si="591"/>
        <v>0</v>
      </c>
      <c r="L8844" s="5">
        <f t="shared" si="593"/>
        <v>0</v>
      </c>
      <c r="M8844" s="4"/>
      <c r="N8844" s="4"/>
      <c r="O8844" s="5"/>
      <c r="P8844" s="5"/>
      <c r="Q8844" s="21">
        <f t="shared" si="594"/>
        <v>0</v>
      </c>
      <c r="R8844" s="21">
        <f t="shared" si="592"/>
        <v>0</v>
      </c>
      <c r="S8844" s="5">
        <f t="shared" si="595"/>
        <v>70007.077158325032</v>
      </c>
      <c r="T8844" cm="1">
        <f t="array" ref="T8844">IF(OR(B8844="MAL ALIMI", B8844="ÜRETİM GİRİŞ"), MIN(I8844, MAX(0, I8844 + SUM(SUMIFS($I$1:I8843, $C$1:C8843, C8844, $B$1:B8843, {"MAL ALIMI","ÜRETİM GİRİŞ"})) - VLOOKUP(C8844, 'STOK RAPORU'!$C$2:$I$1000, 4, 0))), 0)</f>
        <v>0</v>
      </c>
      <c r="U8844" s="22">
        <f t="shared" si="588"/>
        <v>0</v>
      </c>
      <c r="V8844">
        <f t="shared" si="589"/>
        <v>0</v>
      </c>
      <c r="W8844" s="22">
        <f t="shared" si="590"/>
        <v>0</v>
      </c>
    </row>
    <row r="8845" spans="1:23" hidden="1" x14ac:dyDescent="0.25">
      <c r="A8845" s="4"/>
      <c r="B8845" s="4"/>
      <c r="C8845" s="4"/>
      <c r="D8845" s="4"/>
      <c r="E8845" s="4"/>
      <c r="F8845" s="4"/>
      <c r="G8845" s="4"/>
      <c r="H8845" s="4"/>
      <c r="I8845" s="4"/>
      <c r="J8845" s="21">
        <f>IFERROR(VLOOKUP(C8845,'STOK KARTLARI'!$C$2:$K$2150,8,0),0)</f>
        <v>0</v>
      </c>
      <c r="K8845" s="21">
        <f t="shared" si="591"/>
        <v>0</v>
      </c>
      <c r="L8845" s="5">
        <f t="shared" si="593"/>
        <v>0</v>
      </c>
      <c r="M8845" s="4"/>
      <c r="N8845" s="4"/>
      <c r="O8845" s="5"/>
      <c r="P8845" s="5"/>
      <c r="Q8845" s="21">
        <f t="shared" si="594"/>
        <v>0</v>
      </c>
      <c r="R8845" s="21">
        <f t="shared" si="592"/>
        <v>0</v>
      </c>
      <c r="S8845" s="5">
        <f t="shared" si="595"/>
        <v>70007.077158325032</v>
      </c>
      <c r="T8845" cm="1">
        <f t="array" ref="T8845">IF(OR(B8845="MAL ALIMI", B8845="ÜRETİM GİRİŞ"), MIN(I8845, MAX(0, I8845 + SUM(SUMIFS($I$1:I8844, $C$1:C8844, C8845, $B$1:B8844, {"MAL ALIMI","ÜRETİM GİRİŞ"})) - VLOOKUP(C8845, 'STOK RAPORU'!$C$2:$I$1000, 4, 0))), 0)</f>
        <v>0</v>
      </c>
      <c r="U8845" s="22">
        <f t="shared" si="588"/>
        <v>0</v>
      </c>
      <c r="V8845">
        <f t="shared" si="589"/>
        <v>0</v>
      </c>
      <c r="W8845" s="22">
        <f t="shared" si="590"/>
        <v>0</v>
      </c>
    </row>
    <row r="8846" spans="1:23" hidden="1" x14ac:dyDescent="0.25">
      <c r="A8846" s="4"/>
      <c r="B8846" s="4"/>
      <c r="C8846" s="4"/>
      <c r="D8846" s="4"/>
      <c r="E8846" s="4"/>
      <c r="F8846" s="4"/>
      <c r="G8846" s="4"/>
      <c r="H8846" s="4"/>
      <c r="I8846" s="4"/>
      <c r="J8846" s="21">
        <f>IFERROR(VLOOKUP(C8846,'STOK KARTLARI'!$C$2:$K$2150,8,0),0)</f>
        <v>0</v>
      </c>
      <c r="K8846" s="21">
        <f t="shared" si="591"/>
        <v>0</v>
      </c>
      <c r="L8846" s="5">
        <f t="shared" si="593"/>
        <v>0</v>
      </c>
      <c r="M8846" s="4"/>
      <c r="N8846" s="4"/>
      <c r="O8846" s="5"/>
      <c r="P8846" s="5"/>
      <c r="Q8846" s="21">
        <f t="shared" si="594"/>
        <v>0</v>
      </c>
      <c r="R8846" s="21">
        <f t="shared" si="592"/>
        <v>0</v>
      </c>
      <c r="S8846" s="5">
        <f t="shared" si="595"/>
        <v>70007.077158325032</v>
      </c>
      <c r="T8846" cm="1">
        <f t="array" ref="T8846">IF(OR(B8846="MAL ALIMI", B8846="ÜRETİM GİRİŞ"), MIN(I8846, MAX(0, I8846 + SUM(SUMIFS($I$1:I8845, $C$1:C8845, C8846, $B$1:B8845, {"MAL ALIMI","ÜRETİM GİRİŞ"})) - VLOOKUP(C8846, 'STOK RAPORU'!$C$2:$I$1000, 4, 0))), 0)</f>
        <v>0</v>
      </c>
      <c r="U8846" s="22">
        <f t="shared" si="588"/>
        <v>0</v>
      </c>
      <c r="V8846">
        <f t="shared" si="589"/>
        <v>0</v>
      </c>
      <c r="W8846" s="22">
        <f t="shared" si="590"/>
        <v>0</v>
      </c>
    </row>
    <row r="8847" spans="1:23" hidden="1" x14ac:dyDescent="0.25">
      <c r="A8847" s="4"/>
      <c r="B8847" s="4"/>
      <c r="C8847" s="4"/>
      <c r="D8847" s="4"/>
      <c r="E8847" s="4"/>
      <c r="F8847" s="4"/>
      <c r="G8847" s="4"/>
      <c r="H8847" s="4"/>
      <c r="I8847" s="4"/>
      <c r="J8847" s="21">
        <f>IFERROR(VLOOKUP(C8847,'STOK KARTLARI'!$C$2:$K$2150,8,0),0)</f>
        <v>0</v>
      </c>
      <c r="K8847" s="21">
        <f t="shared" si="591"/>
        <v>0</v>
      </c>
      <c r="L8847" s="5">
        <f t="shared" si="593"/>
        <v>0</v>
      </c>
      <c r="M8847" s="4"/>
      <c r="N8847" s="4"/>
      <c r="O8847" s="5"/>
      <c r="P8847" s="5"/>
      <c r="Q8847" s="21">
        <f t="shared" si="594"/>
        <v>0</v>
      </c>
      <c r="R8847" s="21">
        <f t="shared" si="592"/>
        <v>0</v>
      </c>
      <c r="S8847" s="5">
        <f t="shared" si="595"/>
        <v>70007.077158325032</v>
      </c>
      <c r="T8847" cm="1">
        <f t="array" ref="T8847">IF(OR(B8847="MAL ALIMI", B8847="ÜRETİM GİRİŞ"), MIN(I8847, MAX(0, I8847 + SUM(SUMIFS($I$1:I8846, $C$1:C8846, C8847, $B$1:B8846, {"MAL ALIMI","ÜRETİM GİRİŞ"})) - VLOOKUP(C8847, 'STOK RAPORU'!$C$2:$I$1000, 4, 0))), 0)</f>
        <v>0</v>
      </c>
      <c r="U8847" s="22">
        <f t="shared" si="588"/>
        <v>0</v>
      </c>
      <c r="V8847">
        <f t="shared" si="589"/>
        <v>0</v>
      </c>
      <c r="W8847" s="22">
        <f t="shared" si="590"/>
        <v>0</v>
      </c>
    </row>
    <row r="8848" spans="1:23" hidden="1" x14ac:dyDescent="0.25">
      <c r="A8848" s="4"/>
      <c r="B8848" s="4"/>
      <c r="C8848" s="4"/>
      <c r="D8848" s="4"/>
      <c r="E8848" s="4"/>
      <c r="F8848" s="4"/>
      <c r="G8848" s="4"/>
      <c r="H8848" s="4"/>
      <c r="I8848" s="4"/>
      <c r="J8848" s="21">
        <f>IFERROR(VLOOKUP(C8848,'STOK KARTLARI'!$C$2:$K$2150,8,0),0)</f>
        <v>0</v>
      </c>
      <c r="K8848" s="21">
        <f t="shared" si="591"/>
        <v>0</v>
      </c>
      <c r="L8848" s="5">
        <f t="shared" si="593"/>
        <v>0</v>
      </c>
      <c r="M8848" s="4"/>
      <c r="N8848" s="4"/>
      <c r="O8848" s="5"/>
      <c r="P8848" s="5"/>
      <c r="Q8848" s="21">
        <f t="shared" si="594"/>
        <v>0</v>
      </c>
      <c r="R8848" s="21">
        <f t="shared" si="592"/>
        <v>0</v>
      </c>
      <c r="S8848" s="5">
        <f t="shared" si="595"/>
        <v>70007.077158325032</v>
      </c>
      <c r="T8848" cm="1">
        <f t="array" ref="T8848">IF(OR(B8848="MAL ALIMI", B8848="ÜRETİM GİRİŞ"), MIN(I8848, MAX(0, I8848 + SUM(SUMIFS($I$1:I8847, $C$1:C8847, C8848, $B$1:B8847, {"MAL ALIMI","ÜRETİM GİRİŞ"})) - VLOOKUP(C8848, 'STOK RAPORU'!$C$2:$I$1000, 4, 0))), 0)</f>
        <v>0</v>
      </c>
      <c r="U8848" s="22">
        <f t="shared" si="588"/>
        <v>0</v>
      </c>
      <c r="V8848">
        <f t="shared" si="589"/>
        <v>0</v>
      </c>
      <c r="W8848" s="22">
        <f t="shared" si="590"/>
        <v>0</v>
      </c>
    </row>
    <row r="8849" spans="1:23" hidden="1" x14ac:dyDescent="0.25">
      <c r="A8849" s="3"/>
      <c r="B8849" s="4"/>
      <c r="C8849" s="4"/>
      <c r="D8849" s="4"/>
      <c r="E8849" s="4"/>
      <c r="F8849" s="4"/>
      <c r="G8849" s="4"/>
      <c r="H8849" s="4"/>
      <c r="I8849" s="4"/>
      <c r="J8849" s="21">
        <f>IFERROR(VLOOKUP(C8849,'STOK KARTLARI'!$C$2:$K$2150,8,0),0)</f>
        <v>0</v>
      </c>
      <c r="K8849" s="21">
        <f t="shared" si="591"/>
        <v>0</v>
      </c>
      <c r="L8849" s="5">
        <f t="shared" si="593"/>
        <v>0</v>
      </c>
      <c r="M8849" s="4"/>
      <c r="N8849" s="4"/>
      <c r="O8849" s="5"/>
      <c r="P8849" s="5"/>
      <c r="Q8849" s="21">
        <f t="shared" si="594"/>
        <v>0</v>
      </c>
      <c r="R8849" s="21">
        <f t="shared" si="592"/>
        <v>0</v>
      </c>
      <c r="S8849" s="5">
        <f t="shared" si="595"/>
        <v>70007.077158325032</v>
      </c>
      <c r="T8849" cm="1">
        <f t="array" ref="T8849">IF(OR(B8849="MAL ALIMI", B8849="ÜRETİM GİRİŞ"), MIN(I8849, MAX(0, I8849 + SUM(SUMIFS($I$1:I8848, $C$1:C8848, C8849, $B$1:B8848, {"MAL ALIMI","ÜRETİM GİRİŞ"})) - VLOOKUP(C8849, 'STOK RAPORU'!$C$2:$I$1000, 4, 0))), 0)</f>
        <v>0</v>
      </c>
      <c r="U8849" s="22">
        <f t="shared" si="588"/>
        <v>0</v>
      </c>
      <c r="V8849">
        <f t="shared" si="589"/>
        <v>0</v>
      </c>
      <c r="W8849" s="22">
        <f t="shared" si="590"/>
        <v>0</v>
      </c>
    </row>
    <row r="8850" spans="1:23" hidden="1" x14ac:dyDescent="0.25">
      <c r="A8850" s="3"/>
      <c r="B8850" s="4"/>
      <c r="C8850" s="4"/>
      <c r="D8850" s="4"/>
      <c r="E8850" s="4"/>
      <c r="F8850" s="4"/>
      <c r="G8850" s="4"/>
      <c r="H8850" s="4"/>
      <c r="I8850" s="4"/>
      <c r="J8850" s="21">
        <f>IFERROR(VLOOKUP(C8850,'STOK KARTLARI'!$C$2:$K$2150,8,0),0)</f>
        <v>0</v>
      </c>
      <c r="K8850" s="21">
        <f t="shared" si="591"/>
        <v>0</v>
      </c>
      <c r="L8850" s="5">
        <f t="shared" si="593"/>
        <v>0</v>
      </c>
      <c r="M8850" s="4"/>
      <c r="N8850" s="4"/>
      <c r="O8850" s="5"/>
      <c r="P8850" s="5"/>
      <c r="Q8850" s="21">
        <f t="shared" si="594"/>
        <v>0</v>
      </c>
      <c r="R8850" s="21">
        <f t="shared" si="592"/>
        <v>0</v>
      </c>
      <c r="S8850" s="5">
        <f t="shared" si="595"/>
        <v>70007.077158325032</v>
      </c>
      <c r="T8850" cm="1">
        <f t="array" ref="T8850">IF(OR(B8850="MAL ALIMI", B8850="ÜRETİM GİRİŞ"), MIN(I8850, MAX(0, I8850 + SUM(SUMIFS($I$1:I8849, $C$1:C8849, C8850, $B$1:B8849, {"MAL ALIMI","ÜRETİM GİRİŞ"})) - VLOOKUP(C8850, 'STOK RAPORU'!$C$2:$I$1000, 4, 0))), 0)</f>
        <v>0</v>
      </c>
      <c r="U8850" s="22">
        <f t="shared" si="588"/>
        <v>0</v>
      </c>
      <c r="V8850">
        <f t="shared" si="589"/>
        <v>0</v>
      </c>
      <c r="W8850" s="22">
        <f t="shared" si="590"/>
        <v>0</v>
      </c>
    </row>
    <row r="8851" spans="1:23" hidden="1" x14ac:dyDescent="0.25">
      <c r="A8851" s="4"/>
      <c r="B8851" s="4"/>
      <c r="C8851" s="4"/>
      <c r="D8851" s="4"/>
      <c r="E8851" s="4"/>
      <c r="F8851" s="4"/>
      <c r="G8851" s="4"/>
      <c r="H8851" s="4"/>
      <c r="I8851" s="4"/>
      <c r="J8851" s="21">
        <f>IFERROR(VLOOKUP(C8851,'STOK KARTLARI'!$C$2:$K$2150,8,0),0)</f>
        <v>0</v>
      </c>
      <c r="K8851" s="21">
        <f t="shared" si="591"/>
        <v>0</v>
      </c>
      <c r="L8851" s="5">
        <f t="shared" si="593"/>
        <v>0</v>
      </c>
      <c r="M8851" s="4"/>
      <c r="N8851" s="4"/>
      <c r="O8851" s="5"/>
      <c r="P8851" s="5"/>
      <c r="Q8851" s="21">
        <f t="shared" si="594"/>
        <v>0</v>
      </c>
      <c r="R8851" s="21">
        <f t="shared" si="592"/>
        <v>0</v>
      </c>
      <c r="S8851" s="5">
        <f t="shared" si="595"/>
        <v>70007.077158325032</v>
      </c>
      <c r="T8851" cm="1">
        <f t="array" ref="T8851">IF(OR(B8851="MAL ALIMI", B8851="ÜRETİM GİRİŞ"), MIN(I8851, MAX(0, I8851 + SUM(SUMIFS($I$1:I8850, $C$1:C8850, C8851, $B$1:B8850, {"MAL ALIMI","ÜRETİM GİRİŞ"})) - VLOOKUP(C8851, 'STOK RAPORU'!$C$2:$I$1000, 4, 0))), 0)</f>
        <v>0</v>
      </c>
      <c r="U8851" s="22">
        <f t="shared" si="588"/>
        <v>0</v>
      </c>
      <c r="V8851">
        <f t="shared" si="589"/>
        <v>0</v>
      </c>
      <c r="W8851" s="22">
        <f t="shared" si="590"/>
        <v>0</v>
      </c>
    </row>
    <row r="8852" spans="1:23" hidden="1" x14ac:dyDescent="0.25">
      <c r="A8852" s="4"/>
      <c r="B8852" s="4"/>
      <c r="C8852" s="4"/>
      <c r="D8852" s="4"/>
      <c r="E8852" s="4"/>
      <c r="F8852" s="4"/>
      <c r="G8852" s="4"/>
      <c r="H8852" s="4"/>
      <c r="I8852" s="4"/>
      <c r="J8852" s="21">
        <f>IFERROR(VLOOKUP(C8852,'STOK KARTLARI'!$C$2:$K$2150,8,0),0)</f>
        <v>0</v>
      </c>
      <c r="K8852" s="21">
        <f t="shared" si="591"/>
        <v>0</v>
      </c>
      <c r="L8852" s="5">
        <f t="shared" si="593"/>
        <v>0</v>
      </c>
      <c r="M8852" s="4"/>
      <c r="N8852" s="4"/>
      <c r="O8852" s="5"/>
      <c r="P8852" s="5"/>
      <c r="Q8852" s="21">
        <f t="shared" si="594"/>
        <v>0</v>
      </c>
      <c r="R8852" s="21">
        <f t="shared" si="592"/>
        <v>0</v>
      </c>
      <c r="S8852" s="5">
        <f t="shared" si="595"/>
        <v>70007.077158325032</v>
      </c>
      <c r="T8852" cm="1">
        <f t="array" ref="T8852">IF(OR(B8852="MAL ALIMI", B8852="ÜRETİM GİRİŞ"), MIN(I8852, MAX(0, I8852 + SUM(SUMIFS($I$1:I8851, $C$1:C8851, C8852, $B$1:B8851, {"MAL ALIMI","ÜRETİM GİRİŞ"})) - VLOOKUP(C8852, 'STOK RAPORU'!$C$2:$I$1000, 4, 0))), 0)</f>
        <v>0</v>
      </c>
      <c r="U8852" s="22">
        <f t="shared" si="588"/>
        <v>0</v>
      </c>
      <c r="V8852">
        <f t="shared" si="589"/>
        <v>0</v>
      </c>
      <c r="W8852" s="22">
        <f t="shared" si="590"/>
        <v>0</v>
      </c>
    </row>
    <row r="8853" spans="1:23" hidden="1" x14ac:dyDescent="0.25">
      <c r="A8853" s="4"/>
      <c r="B8853" s="4"/>
      <c r="C8853" s="4"/>
      <c r="D8853" s="4"/>
      <c r="E8853" s="4"/>
      <c r="F8853" s="4"/>
      <c r="G8853" s="4"/>
      <c r="H8853" s="4"/>
      <c r="I8853" s="4"/>
      <c r="J8853" s="21">
        <f>IFERROR(VLOOKUP(C8853,'STOK KARTLARI'!$C$2:$K$2150,8,0),0)</f>
        <v>0</v>
      </c>
      <c r="K8853" s="21">
        <f t="shared" si="591"/>
        <v>0</v>
      </c>
      <c r="L8853" s="5">
        <f t="shared" si="593"/>
        <v>0</v>
      </c>
      <c r="M8853" s="4"/>
      <c r="N8853" s="4"/>
      <c r="O8853" s="5"/>
      <c r="P8853" s="5"/>
      <c r="Q8853" s="21">
        <f t="shared" si="594"/>
        <v>0</v>
      </c>
      <c r="R8853" s="21">
        <f t="shared" si="592"/>
        <v>0</v>
      </c>
      <c r="S8853" s="5">
        <f t="shared" si="595"/>
        <v>70007.077158325032</v>
      </c>
      <c r="T8853" cm="1">
        <f t="array" ref="T8853">IF(OR(B8853="MAL ALIMI", B8853="ÜRETİM GİRİŞ"), MIN(I8853, MAX(0, I8853 + SUM(SUMIFS($I$1:I8852, $C$1:C8852, C8853, $B$1:B8852, {"MAL ALIMI","ÜRETİM GİRİŞ"})) - VLOOKUP(C8853, 'STOK RAPORU'!$C$2:$I$1000, 4, 0))), 0)</f>
        <v>0</v>
      </c>
      <c r="U8853" s="22">
        <f t="shared" si="588"/>
        <v>0</v>
      </c>
      <c r="V8853">
        <f t="shared" si="589"/>
        <v>0</v>
      </c>
      <c r="W8853" s="22">
        <f t="shared" si="590"/>
        <v>0</v>
      </c>
    </row>
    <row r="8854" spans="1:23" hidden="1" x14ac:dyDescent="0.25">
      <c r="A8854" s="4"/>
      <c r="B8854" s="4"/>
      <c r="C8854" s="4"/>
      <c r="D8854" s="4"/>
      <c r="E8854" s="4"/>
      <c r="F8854" s="4"/>
      <c r="G8854" s="4"/>
      <c r="H8854" s="4"/>
      <c r="I8854" s="4"/>
      <c r="J8854" s="21">
        <f>IFERROR(VLOOKUP(C8854,'STOK KARTLARI'!$C$2:$K$2150,8,0),0)</f>
        <v>0</v>
      </c>
      <c r="K8854" s="21">
        <f t="shared" si="591"/>
        <v>0</v>
      </c>
      <c r="L8854" s="5">
        <f t="shared" si="593"/>
        <v>0</v>
      </c>
      <c r="M8854" s="4"/>
      <c r="N8854" s="4"/>
      <c r="O8854" s="5"/>
      <c r="P8854" s="5"/>
      <c r="Q8854" s="21">
        <f t="shared" si="594"/>
        <v>0</v>
      </c>
      <c r="R8854" s="21">
        <f t="shared" si="592"/>
        <v>0</v>
      </c>
      <c r="S8854" s="5">
        <f t="shared" si="595"/>
        <v>70007.077158325032</v>
      </c>
      <c r="T8854" cm="1">
        <f t="array" ref="T8854">IF(OR(B8854="MAL ALIMI", B8854="ÜRETİM GİRİŞ"), MIN(I8854, MAX(0, I8854 + SUM(SUMIFS($I$1:I8853, $C$1:C8853, C8854, $B$1:B8853, {"MAL ALIMI","ÜRETİM GİRİŞ"})) - VLOOKUP(C8854, 'STOK RAPORU'!$C$2:$I$1000, 4, 0))), 0)</f>
        <v>0</v>
      </c>
      <c r="U8854" s="22">
        <f t="shared" si="588"/>
        <v>0</v>
      </c>
      <c r="V8854">
        <f t="shared" si="589"/>
        <v>0</v>
      </c>
      <c r="W8854" s="22">
        <f t="shared" si="590"/>
        <v>0</v>
      </c>
    </row>
    <row r="8855" spans="1:23" hidden="1" x14ac:dyDescent="0.25">
      <c r="A8855" s="4"/>
      <c r="B8855" s="4"/>
      <c r="C8855" s="4"/>
      <c r="D8855" s="4"/>
      <c r="E8855" s="4"/>
      <c r="F8855" s="4"/>
      <c r="G8855" s="4"/>
      <c r="H8855" s="4"/>
      <c r="I8855" s="4"/>
      <c r="J8855" s="21">
        <f>IFERROR(VLOOKUP(C8855,'STOK KARTLARI'!$C$2:$K$2150,8,0),0)</f>
        <v>0</v>
      </c>
      <c r="K8855" s="21">
        <f t="shared" si="591"/>
        <v>0</v>
      </c>
      <c r="L8855" s="5">
        <f t="shared" si="593"/>
        <v>0</v>
      </c>
      <c r="M8855" s="4"/>
      <c r="N8855" s="4"/>
      <c r="O8855" s="5"/>
      <c r="P8855" s="5"/>
      <c r="Q8855" s="21">
        <f t="shared" si="594"/>
        <v>0</v>
      </c>
      <c r="R8855" s="21">
        <f t="shared" si="592"/>
        <v>0</v>
      </c>
      <c r="S8855" s="5">
        <f t="shared" si="595"/>
        <v>70007.077158325032</v>
      </c>
      <c r="T8855" cm="1">
        <f t="array" ref="T8855">IF(OR(B8855="MAL ALIMI", B8855="ÜRETİM GİRİŞ"), MIN(I8855, MAX(0, I8855 + SUM(SUMIFS($I$1:I8854, $C$1:C8854, C8855, $B$1:B8854, {"MAL ALIMI","ÜRETİM GİRİŞ"})) - VLOOKUP(C8855, 'STOK RAPORU'!$C$2:$I$1000, 4, 0))), 0)</f>
        <v>0</v>
      </c>
      <c r="U8855" s="22">
        <f t="shared" si="588"/>
        <v>0</v>
      </c>
      <c r="V8855">
        <f t="shared" si="589"/>
        <v>0</v>
      </c>
      <c r="W8855" s="22">
        <f t="shared" si="590"/>
        <v>0</v>
      </c>
    </row>
    <row r="8856" spans="1:23" hidden="1" x14ac:dyDescent="0.25">
      <c r="A8856" s="4"/>
      <c r="B8856" s="4"/>
      <c r="C8856" s="4"/>
      <c r="D8856" s="4"/>
      <c r="E8856" s="4"/>
      <c r="F8856" s="4"/>
      <c r="G8856" s="4"/>
      <c r="H8856" s="4"/>
      <c r="I8856" s="4"/>
      <c r="J8856" s="21">
        <f>IFERROR(VLOOKUP(C8856,'STOK KARTLARI'!$C$2:$K$2150,8,0),0)</f>
        <v>0</v>
      </c>
      <c r="K8856" s="21">
        <f t="shared" si="591"/>
        <v>0</v>
      </c>
      <c r="L8856" s="5">
        <f t="shared" si="593"/>
        <v>0</v>
      </c>
      <c r="M8856" s="4"/>
      <c r="N8856" s="4"/>
      <c r="O8856" s="5"/>
      <c r="P8856" s="5"/>
      <c r="Q8856" s="21">
        <f t="shared" si="594"/>
        <v>0</v>
      </c>
      <c r="R8856" s="21">
        <f t="shared" si="592"/>
        <v>0</v>
      </c>
      <c r="S8856" s="5">
        <f t="shared" si="595"/>
        <v>70007.077158325032</v>
      </c>
      <c r="T8856" cm="1">
        <f t="array" ref="T8856">IF(OR(B8856="MAL ALIMI", B8856="ÜRETİM GİRİŞ"), MIN(I8856, MAX(0, I8856 + SUM(SUMIFS($I$1:I8855, $C$1:C8855, C8856, $B$1:B8855, {"MAL ALIMI","ÜRETİM GİRİŞ"})) - VLOOKUP(C8856, 'STOK RAPORU'!$C$2:$I$1000, 4, 0))), 0)</f>
        <v>0</v>
      </c>
      <c r="U8856" s="22">
        <f t="shared" si="588"/>
        <v>0</v>
      </c>
      <c r="V8856">
        <f t="shared" si="589"/>
        <v>0</v>
      </c>
      <c r="W8856" s="22">
        <f t="shared" si="590"/>
        <v>0</v>
      </c>
    </row>
    <row r="8857" spans="1:23" hidden="1" x14ac:dyDescent="0.25">
      <c r="A8857" s="3"/>
      <c r="B8857" s="4"/>
      <c r="C8857" s="4"/>
      <c r="D8857" s="4"/>
      <c r="E8857" s="4"/>
      <c r="F8857" s="4"/>
      <c r="G8857" s="4"/>
      <c r="H8857" s="4"/>
      <c r="I8857" s="4"/>
      <c r="J8857" s="21">
        <f>IFERROR(VLOOKUP(C8857,'STOK KARTLARI'!$C$2:$K$2150,8,0),0)</f>
        <v>0</v>
      </c>
      <c r="K8857" s="21">
        <f t="shared" si="591"/>
        <v>0</v>
      </c>
      <c r="L8857" s="5">
        <f t="shared" si="593"/>
        <v>0</v>
      </c>
      <c r="M8857" s="4"/>
      <c r="N8857" s="4"/>
      <c r="O8857" s="5"/>
      <c r="P8857" s="5"/>
      <c r="Q8857" s="21">
        <f t="shared" si="594"/>
        <v>0</v>
      </c>
      <c r="R8857" s="21">
        <f t="shared" si="592"/>
        <v>0</v>
      </c>
      <c r="S8857" s="5">
        <f t="shared" si="595"/>
        <v>70007.077158325032</v>
      </c>
      <c r="T8857" cm="1">
        <f t="array" ref="T8857">IF(OR(B8857="MAL ALIMI", B8857="ÜRETİM GİRİŞ"), MIN(I8857, MAX(0, I8857 + SUM(SUMIFS($I$1:I8856, $C$1:C8856, C8857, $B$1:B8856, {"MAL ALIMI","ÜRETİM GİRİŞ"})) - VLOOKUP(C8857, 'STOK RAPORU'!$C$2:$I$1000, 4, 0))), 0)</f>
        <v>0</v>
      </c>
      <c r="U8857" s="22">
        <f t="shared" si="588"/>
        <v>0</v>
      </c>
      <c r="V8857">
        <f t="shared" si="589"/>
        <v>0</v>
      </c>
      <c r="W8857" s="22">
        <f t="shared" si="590"/>
        <v>0</v>
      </c>
    </row>
    <row r="8858" spans="1:23" hidden="1" x14ac:dyDescent="0.25">
      <c r="A8858" s="4"/>
      <c r="B8858" s="4"/>
      <c r="C8858" s="4"/>
      <c r="D8858" s="4"/>
      <c r="E8858" s="4"/>
      <c r="F8858" s="4"/>
      <c r="G8858" s="4"/>
      <c r="H8858" s="4"/>
      <c r="I8858" s="4"/>
      <c r="J8858" s="21">
        <f>IFERROR(VLOOKUP(C8858,'STOK KARTLARI'!$C$2:$K$2150,8,0),0)</f>
        <v>0</v>
      </c>
      <c r="K8858" s="21">
        <f t="shared" si="591"/>
        <v>0</v>
      </c>
      <c r="L8858" s="5">
        <f t="shared" si="593"/>
        <v>0</v>
      </c>
      <c r="M8858" s="4"/>
      <c r="N8858" s="4"/>
      <c r="O8858" s="5"/>
      <c r="P8858" s="5"/>
      <c r="Q8858" s="21">
        <f t="shared" si="594"/>
        <v>0</v>
      </c>
      <c r="R8858" s="21">
        <f t="shared" si="592"/>
        <v>0</v>
      </c>
      <c r="S8858" s="5">
        <f t="shared" si="595"/>
        <v>70007.077158325032</v>
      </c>
      <c r="T8858" cm="1">
        <f t="array" ref="T8858">IF(OR(B8858="MAL ALIMI", B8858="ÜRETİM GİRİŞ"), MIN(I8858, MAX(0, I8858 + SUM(SUMIFS($I$1:I8857, $C$1:C8857, C8858, $B$1:B8857, {"MAL ALIMI","ÜRETİM GİRİŞ"})) - VLOOKUP(C8858, 'STOK RAPORU'!$C$2:$I$1000, 4, 0))), 0)</f>
        <v>0</v>
      </c>
      <c r="U8858" s="22">
        <f t="shared" si="588"/>
        <v>0</v>
      </c>
      <c r="V8858">
        <f t="shared" si="589"/>
        <v>0</v>
      </c>
      <c r="W8858" s="22">
        <f t="shared" si="590"/>
        <v>0</v>
      </c>
    </row>
    <row r="8859" spans="1:23" hidden="1" x14ac:dyDescent="0.25">
      <c r="A8859" s="4"/>
      <c r="B8859" s="4"/>
      <c r="C8859" s="4"/>
      <c r="D8859" s="4"/>
      <c r="E8859" s="4"/>
      <c r="F8859" s="4"/>
      <c r="G8859" s="4"/>
      <c r="H8859" s="4"/>
      <c r="I8859" s="4"/>
      <c r="J8859" s="21">
        <f>IFERROR(VLOOKUP(C8859,'STOK KARTLARI'!$C$2:$K$2150,8,0),0)</f>
        <v>0</v>
      </c>
      <c r="K8859" s="21">
        <f t="shared" si="591"/>
        <v>0</v>
      </c>
      <c r="L8859" s="5">
        <f t="shared" si="593"/>
        <v>0</v>
      </c>
      <c r="M8859" s="4"/>
      <c r="N8859" s="4"/>
      <c r="O8859" s="5"/>
      <c r="P8859" s="5"/>
      <c r="Q8859" s="21">
        <f t="shared" si="594"/>
        <v>0</v>
      </c>
      <c r="R8859" s="21">
        <f t="shared" si="592"/>
        <v>0</v>
      </c>
      <c r="S8859" s="5">
        <f t="shared" si="595"/>
        <v>70007.077158325032</v>
      </c>
      <c r="T8859" cm="1">
        <f t="array" ref="T8859">IF(OR(B8859="MAL ALIMI", B8859="ÜRETİM GİRİŞ"), MIN(I8859, MAX(0, I8859 + SUM(SUMIFS($I$1:I8858, $C$1:C8858, C8859, $B$1:B8858, {"MAL ALIMI","ÜRETİM GİRİŞ"})) - VLOOKUP(C8859, 'STOK RAPORU'!$C$2:$I$1000, 4, 0))), 0)</f>
        <v>0</v>
      </c>
      <c r="U8859" s="22">
        <f t="shared" si="588"/>
        <v>0</v>
      </c>
      <c r="V8859">
        <f t="shared" si="589"/>
        <v>0</v>
      </c>
      <c r="W8859" s="22">
        <f t="shared" si="590"/>
        <v>0</v>
      </c>
    </row>
    <row r="8860" spans="1:23" hidden="1" x14ac:dyDescent="0.25">
      <c r="A8860" s="4"/>
      <c r="B8860" s="4"/>
      <c r="C8860" s="4"/>
      <c r="D8860" s="4"/>
      <c r="E8860" s="4"/>
      <c r="F8860" s="4"/>
      <c r="G8860" s="4"/>
      <c r="H8860" s="4"/>
      <c r="I8860" s="4"/>
      <c r="J8860" s="21">
        <f>IFERROR(VLOOKUP(C8860,'STOK KARTLARI'!$C$2:$K$2150,8,0),0)</f>
        <v>0</v>
      </c>
      <c r="K8860" s="21">
        <f t="shared" si="591"/>
        <v>0</v>
      </c>
      <c r="L8860" s="5">
        <f t="shared" si="593"/>
        <v>0</v>
      </c>
      <c r="M8860" s="4"/>
      <c r="N8860" s="4"/>
      <c r="O8860" s="5"/>
      <c r="P8860" s="5"/>
      <c r="Q8860" s="21">
        <f t="shared" si="594"/>
        <v>0</v>
      </c>
      <c r="R8860" s="21">
        <f t="shared" si="592"/>
        <v>0</v>
      </c>
      <c r="S8860" s="5">
        <f t="shared" si="595"/>
        <v>70007.077158325032</v>
      </c>
      <c r="T8860" cm="1">
        <f t="array" ref="T8860">IF(OR(B8860="MAL ALIMI", B8860="ÜRETİM GİRİŞ"), MIN(I8860, MAX(0, I8860 + SUM(SUMIFS($I$1:I8859, $C$1:C8859, C8860, $B$1:B8859, {"MAL ALIMI","ÜRETİM GİRİŞ"})) - VLOOKUP(C8860, 'STOK RAPORU'!$C$2:$I$1000, 4, 0))), 0)</f>
        <v>0</v>
      </c>
      <c r="U8860" s="22">
        <f t="shared" si="588"/>
        <v>0</v>
      </c>
      <c r="V8860">
        <f t="shared" si="589"/>
        <v>0</v>
      </c>
      <c r="W8860" s="22">
        <f t="shared" si="590"/>
        <v>0</v>
      </c>
    </row>
    <row r="8861" spans="1:23" hidden="1" x14ac:dyDescent="0.25">
      <c r="A8861" s="4"/>
      <c r="B8861" s="4"/>
      <c r="C8861" s="4"/>
      <c r="D8861" s="4"/>
      <c r="E8861" s="4"/>
      <c r="F8861" s="4"/>
      <c r="G8861" s="4"/>
      <c r="H8861" s="4"/>
      <c r="I8861" s="4"/>
      <c r="J8861" s="21">
        <f>IFERROR(VLOOKUP(C8861,'STOK KARTLARI'!$C$2:$K$2150,8,0),0)</f>
        <v>0</v>
      </c>
      <c r="K8861" s="21">
        <f t="shared" si="591"/>
        <v>0</v>
      </c>
      <c r="L8861" s="5">
        <f t="shared" si="593"/>
        <v>0</v>
      </c>
      <c r="M8861" s="4"/>
      <c r="N8861" s="4"/>
      <c r="O8861" s="5"/>
      <c r="P8861" s="5"/>
      <c r="Q8861" s="21">
        <f t="shared" si="594"/>
        <v>0</v>
      </c>
      <c r="R8861" s="21">
        <f t="shared" si="592"/>
        <v>0</v>
      </c>
      <c r="S8861" s="5">
        <f t="shared" si="595"/>
        <v>70007.077158325032</v>
      </c>
      <c r="T8861" cm="1">
        <f t="array" ref="T8861">IF(OR(B8861="MAL ALIMI", B8861="ÜRETİM GİRİŞ"), MIN(I8861, MAX(0, I8861 + SUM(SUMIFS($I$1:I8860, $C$1:C8860, C8861, $B$1:B8860, {"MAL ALIMI","ÜRETİM GİRİŞ"})) - VLOOKUP(C8861, 'STOK RAPORU'!$C$2:$I$1000, 4, 0))), 0)</f>
        <v>0</v>
      </c>
      <c r="U8861" s="22">
        <f t="shared" si="588"/>
        <v>0</v>
      </c>
      <c r="V8861">
        <f t="shared" si="589"/>
        <v>0</v>
      </c>
      <c r="W8861" s="22">
        <f t="shared" si="590"/>
        <v>0</v>
      </c>
    </row>
    <row r="8862" spans="1:23" hidden="1" x14ac:dyDescent="0.25">
      <c r="A8862" s="4"/>
      <c r="B8862" s="4"/>
      <c r="C8862" s="4"/>
      <c r="D8862" s="4"/>
      <c r="E8862" s="4"/>
      <c r="F8862" s="4"/>
      <c r="G8862" s="4"/>
      <c r="H8862" s="4"/>
      <c r="I8862" s="4"/>
      <c r="J8862" s="21">
        <f>IFERROR(VLOOKUP(C8862,'STOK KARTLARI'!$C$2:$K$2150,8,0),0)</f>
        <v>0</v>
      </c>
      <c r="K8862" s="21">
        <f t="shared" si="591"/>
        <v>0</v>
      </c>
      <c r="L8862" s="5">
        <f t="shared" si="593"/>
        <v>0</v>
      </c>
      <c r="M8862" s="4"/>
      <c r="N8862" s="4"/>
      <c r="O8862" s="5"/>
      <c r="P8862" s="5"/>
      <c r="Q8862" s="21">
        <f t="shared" si="594"/>
        <v>0</v>
      </c>
      <c r="R8862" s="21">
        <f t="shared" si="592"/>
        <v>0</v>
      </c>
      <c r="S8862" s="5">
        <f t="shared" si="595"/>
        <v>70007.077158325032</v>
      </c>
      <c r="T8862" cm="1">
        <f t="array" ref="T8862">IF(OR(B8862="MAL ALIMI", B8862="ÜRETİM GİRİŞ"), MIN(I8862, MAX(0, I8862 + SUM(SUMIFS($I$1:I8861, $C$1:C8861, C8862, $B$1:B8861, {"MAL ALIMI","ÜRETİM GİRİŞ"})) - VLOOKUP(C8862, 'STOK RAPORU'!$C$2:$I$1000, 4, 0))), 0)</f>
        <v>0</v>
      </c>
      <c r="U8862" s="22">
        <f t="shared" si="588"/>
        <v>0</v>
      </c>
      <c r="V8862">
        <f t="shared" si="589"/>
        <v>0</v>
      </c>
      <c r="W8862" s="22">
        <f t="shared" si="590"/>
        <v>0</v>
      </c>
    </row>
    <row r="8863" spans="1:23" hidden="1" x14ac:dyDescent="0.25">
      <c r="A8863" s="4"/>
      <c r="B8863" s="4"/>
      <c r="C8863" s="4"/>
      <c r="D8863" s="4"/>
      <c r="E8863" s="4"/>
      <c r="F8863" s="4"/>
      <c r="G8863" s="4"/>
      <c r="H8863" s="4"/>
      <c r="I8863" s="4"/>
      <c r="J8863" s="21">
        <f>IFERROR(VLOOKUP(C8863,'STOK KARTLARI'!$C$2:$K$2150,8,0),0)</f>
        <v>0</v>
      </c>
      <c r="K8863" s="21">
        <f t="shared" si="591"/>
        <v>0</v>
      </c>
      <c r="L8863" s="5">
        <f t="shared" si="593"/>
        <v>0</v>
      </c>
      <c r="M8863" s="4"/>
      <c r="N8863" s="4"/>
      <c r="O8863" s="5"/>
      <c r="P8863" s="5"/>
      <c r="Q8863" s="21">
        <f t="shared" si="594"/>
        <v>0</v>
      </c>
      <c r="R8863" s="21">
        <f t="shared" si="592"/>
        <v>0</v>
      </c>
      <c r="S8863" s="5">
        <f t="shared" si="595"/>
        <v>70007.077158325032</v>
      </c>
      <c r="T8863" cm="1">
        <f t="array" ref="T8863">IF(OR(B8863="MAL ALIMI", B8863="ÜRETİM GİRİŞ"), MIN(I8863, MAX(0, I8863 + SUM(SUMIFS($I$1:I8862, $C$1:C8862, C8863, $B$1:B8862, {"MAL ALIMI","ÜRETİM GİRİŞ"})) - VLOOKUP(C8863, 'STOK RAPORU'!$C$2:$I$1000, 4, 0))), 0)</f>
        <v>0</v>
      </c>
      <c r="U8863" s="22">
        <f t="shared" si="588"/>
        <v>0</v>
      </c>
      <c r="V8863">
        <f t="shared" si="589"/>
        <v>0</v>
      </c>
      <c r="W8863" s="22">
        <f t="shared" si="590"/>
        <v>0</v>
      </c>
    </row>
    <row r="8864" spans="1:23" hidden="1" x14ac:dyDescent="0.25">
      <c r="A8864" s="3"/>
      <c r="B8864" s="4"/>
      <c r="C8864" s="4"/>
      <c r="D8864" s="4"/>
      <c r="E8864" s="4"/>
      <c r="F8864" s="4"/>
      <c r="G8864" s="4"/>
      <c r="H8864" s="4"/>
      <c r="I8864" s="4"/>
      <c r="J8864" s="21">
        <f>IFERROR(VLOOKUP(C8864,'STOK KARTLARI'!$C$2:$K$2150,8,0),0)</f>
        <v>0</v>
      </c>
      <c r="K8864" s="21">
        <f t="shared" si="591"/>
        <v>0</v>
      </c>
      <c r="L8864" s="5">
        <f t="shared" si="593"/>
        <v>0</v>
      </c>
      <c r="M8864" s="4"/>
      <c r="N8864" s="4"/>
      <c r="O8864" s="5"/>
      <c r="P8864" s="5"/>
      <c r="Q8864" s="21">
        <f t="shared" si="594"/>
        <v>0</v>
      </c>
      <c r="R8864" s="21">
        <f t="shared" si="592"/>
        <v>0</v>
      </c>
      <c r="S8864" s="5">
        <f t="shared" si="595"/>
        <v>70007.077158325032</v>
      </c>
      <c r="T8864" cm="1">
        <f t="array" ref="T8864">IF(OR(B8864="MAL ALIMI", B8864="ÜRETİM GİRİŞ"), MIN(I8864, MAX(0, I8864 + SUM(SUMIFS($I$1:I8863, $C$1:C8863, C8864, $B$1:B8863, {"MAL ALIMI","ÜRETİM GİRİŞ"})) - VLOOKUP(C8864, 'STOK RAPORU'!$C$2:$I$1000, 4, 0))), 0)</f>
        <v>0</v>
      </c>
      <c r="U8864" s="22">
        <f t="shared" si="588"/>
        <v>0</v>
      </c>
      <c r="V8864">
        <f t="shared" si="589"/>
        <v>0</v>
      </c>
      <c r="W8864" s="22">
        <f t="shared" si="590"/>
        <v>0</v>
      </c>
    </row>
    <row r="8865" spans="1:23" hidden="1" x14ac:dyDescent="0.25">
      <c r="A8865" s="4"/>
      <c r="B8865" s="4"/>
      <c r="C8865" s="4"/>
      <c r="D8865" s="4"/>
      <c r="E8865" s="4"/>
      <c r="F8865" s="4"/>
      <c r="G8865" s="4"/>
      <c r="H8865" s="4"/>
      <c r="I8865" s="4"/>
      <c r="J8865" s="21">
        <f>IFERROR(VLOOKUP(C8865,'STOK KARTLARI'!$C$2:$K$2150,8,0),0)</f>
        <v>0</v>
      </c>
      <c r="K8865" s="21">
        <f t="shared" si="591"/>
        <v>0</v>
      </c>
      <c r="L8865" s="5">
        <f t="shared" si="593"/>
        <v>0</v>
      </c>
      <c r="M8865" s="4"/>
      <c r="N8865" s="4"/>
      <c r="O8865" s="5"/>
      <c r="P8865" s="5"/>
      <c r="Q8865" s="21">
        <f t="shared" si="594"/>
        <v>0</v>
      </c>
      <c r="R8865" s="21">
        <f t="shared" si="592"/>
        <v>0</v>
      </c>
      <c r="S8865" s="5">
        <f t="shared" si="595"/>
        <v>70007.077158325032</v>
      </c>
      <c r="T8865" cm="1">
        <f t="array" ref="T8865">IF(OR(B8865="MAL ALIMI", B8865="ÜRETİM GİRİŞ"), MIN(I8865, MAX(0, I8865 + SUM(SUMIFS($I$1:I8864, $C$1:C8864, C8865, $B$1:B8864, {"MAL ALIMI","ÜRETİM GİRİŞ"})) - VLOOKUP(C8865, 'STOK RAPORU'!$C$2:$I$1000, 4, 0))), 0)</f>
        <v>0</v>
      </c>
      <c r="U8865" s="22">
        <f t="shared" si="588"/>
        <v>0</v>
      </c>
      <c r="V8865">
        <f t="shared" si="589"/>
        <v>0</v>
      </c>
      <c r="W8865" s="22">
        <f t="shared" si="590"/>
        <v>0</v>
      </c>
    </row>
    <row r="8866" spans="1:23" hidden="1" x14ac:dyDescent="0.25">
      <c r="A8866" s="4"/>
      <c r="B8866" s="4"/>
      <c r="C8866" s="4"/>
      <c r="D8866" s="4"/>
      <c r="E8866" s="4"/>
      <c r="F8866" s="4"/>
      <c r="G8866" s="4"/>
      <c r="H8866" s="4"/>
      <c r="I8866" s="4"/>
      <c r="J8866" s="21">
        <f>IFERROR(VLOOKUP(C8866,'STOK KARTLARI'!$C$2:$K$2150,8,0),0)</f>
        <v>0</v>
      </c>
      <c r="K8866" s="21">
        <f t="shared" si="591"/>
        <v>0</v>
      </c>
      <c r="L8866" s="5">
        <f t="shared" si="593"/>
        <v>0</v>
      </c>
      <c r="M8866" s="4"/>
      <c r="N8866" s="4"/>
      <c r="O8866" s="5"/>
      <c r="P8866" s="5"/>
      <c r="Q8866" s="21">
        <f t="shared" si="594"/>
        <v>0</v>
      </c>
      <c r="R8866" s="21">
        <f t="shared" si="592"/>
        <v>0</v>
      </c>
      <c r="S8866" s="5">
        <f t="shared" si="595"/>
        <v>70007.077158325032</v>
      </c>
      <c r="T8866" cm="1">
        <f t="array" ref="T8866">IF(OR(B8866="MAL ALIMI", B8866="ÜRETİM GİRİŞ"), MIN(I8866, MAX(0, I8866 + SUM(SUMIFS($I$1:I8865, $C$1:C8865, C8866, $B$1:B8865, {"MAL ALIMI","ÜRETİM GİRİŞ"})) - VLOOKUP(C8866, 'STOK RAPORU'!$C$2:$I$1000, 4, 0))), 0)</f>
        <v>0</v>
      </c>
      <c r="U8866" s="22">
        <f t="shared" si="588"/>
        <v>0</v>
      </c>
      <c r="V8866">
        <f t="shared" si="589"/>
        <v>0</v>
      </c>
      <c r="W8866" s="22">
        <f t="shared" si="590"/>
        <v>0</v>
      </c>
    </row>
    <row r="8867" spans="1:23" hidden="1" x14ac:dyDescent="0.25">
      <c r="A8867" s="4"/>
      <c r="B8867" s="4"/>
      <c r="C8867" s="4"/>
      <c r="D8867" s="4"/>
      <c r="E8867" s="4"/>
      <c r="F8867" s="4"/>
      <c r="G8867" s="4"/>
      <c r="H8867" s="4"/>
      <c r="I8867" s="4"/>
      <c r="J8867" s="21">
        <f>IFERROR(VLOOKUP(C8867,'STOK KARTLARI'!$C$2:$K$2150,8,0),0)</f>
        <v>0</v>
      </c>
      <c r="K8867" s="21">
        <f t="shared" si="591"/>
        <v>0</v>
      </c>
      <c r="L8867" s="5">
        <f t="shared" si="593"/>
        <v>0</v>
      </c>
      <c r="M8867" s="4"/>
      <c r="N8867" s="4"/>
      <c r="O8867" s="5"/>
      <c r="P8867" s="5"/>
      <c r="Q8867" s="21">
        <f t="shared" si="594"/>
        <v>0</v>
      </c>
      <c r="R8867" s="21">
        <f t="shared" si="592"/>
        <v>0</v>
      </c>
      <c r="S8867" s="5">
        <f t="shared" si="595"/>
        <v>70007.077158325032</v>
      </c>
      <c r="T8867" cm="1">
        <f t="array" ref="T8867">IF(OR(B8867="MAL ALIMI", B8867="ÜRETİM GİRİŞ"), MIN(I8867, MAX(0, I8867 + SUM(SUMIFS($I$1:I8866, $C$1:C8866, C8867, $B$1:B8866, {"MAL ALIMI","ÜRETİM GİRİŞ"})) - VLOOKUP(C8867, 'STOK RAPORU'!$C$2:$I$1000, 4, 0))), 0)</f>
        <v>0</v>
      </c>
      <c r="U8867" s="22">
        <f t="shared" si="588"/>
        <v>0</v>
      </c>
      <c r="V8867">
        <f t="shared" si="589"/>
        <v>0</v>
      </c>
      <c r="W8867" s="22">
        <f t="shared" si="590"/>
        <v>0</v>
      </c>
    </row>
    <row r="8868" spans="1:23" hidden="1" x14ac:dyDescent="0.25">
      <c r="A8868" s="4"/>
      <c r="B8868" s="4"/>
      <c r="C8868" s="4"/>
      <c r="D8868" s="4"/>
      <c r="E8868" s="4"/>
      <c r="F8868" s="4"/>
      <c r="G8868" s="4"/>
      <c r="H8868" s="4"/>
      <c r="I8868" s="4"/>
      <c r="J8868" s="21">
        <f>IFERROR(VLOOKUP(C8868,'STOK KARTLARI'!$C$2:$K$2150,8,0),0)</f>
        <v>0</v>
      </c>
      <c r="K8868" s="21">
        <f t="shared" si="591"/>
        <v>0</v>
      </c>
      <c r="L8868" s="5">
        <f t="shared" si="593"/>
        <v>0</v>
      </c>
      <c r="M8868" s="4"/>
      <c r="N8868" s="4"/>
      <c r="O8868" s="5"/>
      <c r="P8868" s="5"/>
      <c r="Q8868" s="21">
        <f t="shared" si="594"/>
        <v>0</v>
      </c>
      <c r="R8868" s="21">
        <f t="shared" si="592"/>
        <v>0</v>
      </c>
      <c r="S8868" s="5">
        <f t="shared" si="595"/>
        <v>70007.077158325032</v>
      </c>
      <c r="T8868" cm="1">
        <f t="array" ref="T8868">IF(OR(B8868="MAL ALIMI", B8868="ÜRETİM GİRİŞ"), MIN(I8868, MAX(0, I8868 + SUM(SUMIFS($I$1:I8867, $C$1:C8867, C8868, $B$1:B8867, {"MAL ALIMI","ÜRETİM GİRİŞ"})) - VLOOKUP(C8868, 'STOK RAPORU'!$C$2:$I$1000, 4, 0))), 0)</f>
        <v>0</v>
      </c>
      <c r="U8868" s="22">
        <f t="shared" si="588"/>
        <v>0</v>
      </c>
      <c r="V8868">
        <f t="shared" si="589"/>
        <v>0</v>
      </c>
      <c r="W8868" s="22">
        <f t="shared" si="590"/>
        <v>0</v>
      </c>
    </row>
    <row r="8869" spans="1:23" hidden="1" x14ac:dyDescent="0.25">
      <c r="A8869" s="4"/>
      <c r="B8869" s="4"/>
      <c r="C8869" s="4"/>
      <c r="D8869" s="4"/>
      <c r="E8869" s="4"/>
      <c r="F8869" s="4"/>
      <c r="G8869" s="4"/>
      <c r="H8869" s="4"/>
      <c r="I8869" s="4"/>
      <c r="J8869" s="21">
        <f>IFERROR(VLOOKUP(C8869,'STOK KARTLARI'!$C$2:$K$2150,8,0),0)</f>
        <v>0</v>
      </c>
      <c r="K8869" s="21">
        <f t="shared" si="591"/>
        <v>0</v>
      </c>
      <c r="L8869" s="5">
        <f t="shared" si="593"/>
        <v>0</v>
      </c>
      <c r="M8869" s="4"/>
      <c r="N8869" s="4"/>
      <c r="O8869" s="5"/>
      <c r="P8869" s="5"/>
      <c r="Q8869" s="21">
        <f t="shared" si="594"/>
        <v>0</v>
      </c>
      <c r="R8869" s="21">
        <f t="shared" si="592"/>
        <v>0</v>
      </c>
      <c r="S8869" s="5">
        <f t="shared" si="595"/>
        <v>70007.077158325032</v>
      </c>
      <c r="T8869" cm="1">
        <f t="array" ref="T8869">IF(OR(B8869="MAL ALIMI", B8869="ÜRETİM GİRİŞ"), MIN(I8869, MAX(0, I8869 + SUM(SUMIFS($I$1:I8868, $C$1:C8868, C8869, $B$1:B8868, {"MAL ALIMI","ÜRETİM GİRİŞ"})) - VLOOKUP(C8869, 'STOK RAPORU'!$C$2:$I$1000, 4, 0))), 0)</f>
        <v>0</v>
      </c>
      <c r="U8869" s="22">
        <f t="shared" si="588"/>
        <v>0</v>
      </c>
      <c r="V8869">
        <f t="shared" si="589"/>
        <v>0</v>
      </c>
      <c r="W8869" s="22">
        <f t="shared" si="590"/>
        <v>0</v>
      </c>
    </row>
    <row r="8870" spans="1:23" hidden="1" x14ac:dyDescent="0.25">
      <c r="A8870" s="4"/>
      <c r="B8870" s="4"/>
      <c r="C8870" s="4"/>
      <c r="D8870" s="4"/>
      <c r="E8870" s="4"/>
      <c r="F8870" s="4"/>
      <c r="G8870" s="4"/>
      <c r="H8870" s="4"/>
      <c r="I8870" s="4"/>
      <c r="J8870" s="21">
        <f>IFERROR(VLOOKUP(C8870,'STOK KARTLARI'!$C$2:$K$2150,8,0),0)</f>
        <v>0</v>
      </c>
      <c r="K8870" s="21">
        <f t="shared" si="591"/>
        <v>0</v>
      </c>
      <c r="L8870" s="5">
        <f t="shared" si="593"/>
        <v>0</v>
      </c>
      <c r="M8870" s="4"/>
      <c r="N8870" s="4"/>
      <c r="O8870" s="5"/>
      <c r="P8870" s="5"/>
      <c r="Q8870" s="21">
        <f t="shared" si="594"/>
        <v>0</v>
      </c>
      <c r="R8870" s="21">
        <f t="shared" si="592"/>
        <v>0</v>
      </c>
      <c r="S8870" s="5">
        <f t="shared" si="595"/>
        <v>70007.077158325032</v>
      </c>
      <c r="T8870" cm="1">
        <f t="array" ref="T8870">IF(OR(B8870="MAL ALIMI", B8870="ÜRETİM GİRİŞ"), MIN(I8870, MAX(0, I8870 + SUM(SUMIFS($I$1:I8869, $C$1:C8869, C8870, $B$1:B8869, {"MAL ALIMI","ÜRETİM GİRİŞ"})) - VLOOKUP(C8870, 'STOK RAPORU'!$C$2:$I$1000, 4, 0))), 0)</f>
        <v>0</v>
      </c>
      <c r="U8870" s="22">
        <f t="shared" si="588"/>
        <v>0</v>
      </c>
      <c r="V8870">
        <f t="shared" si="589"/>
        <v>0</v>
      </c>
      <c r="W8870" s="22">
        <f t="shared" si="590"/>
        <v>0</v>
      </c>
    </row>
    <row r="8871" spans="1:23" hidden="1" x14ac:dyDescent="0.25">
      <c r="A8871" s="3"/>
      <c r="B8871" s="4"/>
      <c r="C8871" s="4"/>
      <c r="D8871" s="4"/>
      <c r="E8871" s="4"/>
      <c r="F8871" s="4"/>
      <c r="G8871" s="4"/>
      <c r="H8871" s="4"/>
      <c r="I8871" s="4"/>
      <c r="J8871" s="21">
        <f>IFERROR(VLOOKUP(C8871,'STOK KARTLARI'!$C$2:$K$2150,8,0),0)</f>
        <v>0</v>
      </c>
      <c r="K8871" s="21">
        <f t="shared" si="591"/>
        <v>0</v>
      </c>
      <c r="L8871" s="5">
        <f t="shared" si="593"/>
        <v>0</v>
      </c>
      <c r="M8871" s="4"/>
      <c r="N8871" s="4"/>
      <c r="O8871" s="5"/>
      <c r="P8871" s="5"/>
      <c r="Q8871" s="21">
        <f t="shared" si="594"/>
        <v>0</v>
      </c>
      <c r="R8871" s="21">
        <f t="shared" si="592"/>
        <v>0</v>
      </c>
      <c r="S8871" s="5">
        <f t="shared" si="595"/>
        <v>70007.077158325032</v>
      </c>
      <c r="T8871" cm="1">
        <f t="array" ref="T8871">IF(OR(B8871="MAL ALIMI", B8871="ÜRETİM GİRİŞ"), MIN(I8871, MAX(0, I8871 + SUM(SUMIFS($I$1:I8870, $C$1:C8870, C8871, $B$1:B8870, {"MAL ALIMI","ÜRETİM GİRİŞ"})) - VLOOKUP(C8871, 'STOK RAPORU'!$C$2:$I$1000, 4, 0))), 0)</f>
        <v>0</v>
      </c>
      <c r="U8871" s="22">
        <f t="shared" si="588"/>
        <v>0</v>
      </c>
      <c r="V8871">
        <f t="shared" si="589"/>
        <v>0</v>
      </c>
      <c r="W8871" s="22">
        <f t="shared" si="590"/>
        <v>0</v>
      </c>
    </row>
    <row r="8872" spans="1:23" hidden="1" x14ac:dyDescent="0.25">
      <c r="A8872" s="4"/>
      <c r="B8872" s="4"/>
      <c r="C8872" s="4"/>
      <c r="D8872" s="4"/>
      <c r="E8872" s="4"/>
      <c r="F8872" s="4"/>
      <c r="G8872" s="4"/>
      <c r="H8872" s="4"/>
      <c r="I8872" s="4"/>
      <c r="J8872" s="21">
        <f>IFERROR(VLOOKUP(C8872,'STOK KARTLARI'!$C$2:$K$2150,8,0),0)</f>
        <v>0</v>
      </c>
      <c r="K8872" s="21">
        <f t="shared" si="591"/>
        <v>0</v>
      </c>
      <c r="L8872" s="5">
        <f t="shared" si="593"/>
        <v>0</v>
      </c>
      <c r="M8872" s="4"/>
      <c r="N8872" s="4"/>
      <c r="O8872" s="5"/>
      <c r="P8872" s="5"/>
      <c r="Q8872" s="21">
        <f t="shared" si="594"/>
        <v>0</v>
      </c>
      <c r="R8872" s="21">
        <f t="shared" si="592"/>
        <v>0</v>
      </c>
      <c r="S8872" s="5">
        <f t="shared" si="595"/>
        <v>70007.077158325032</v>
      </c>
      <c r="T8872" cm="1">
        <f t="array" ref="T8872">IF(OR(B8872="MAL ALIMI", B8872="ÜRETİM GİRİŞ"), MIN(I8872, MAX(0, I8872 + SUM(SUMIFS($I$1:I8871, $C$1:C8871, C8872, $B$1:B8871, {"MAL ALIMI","ÜRETİM GİRİŞ"})) - VLOOKUP(C8872, 'STOK RAPORU'!$C$2:$I$1000, 4, 0))), 0)</f>
        <v>0</v>
      </c>
      <c r="U8872" s="22">
        <f t="shared" si="588"/>
        <v>0</v>
      </c>
      <c r="V8872">
        <f t="shared" si="589"/>
        <v>0</v>
      </c>
      <c r="W8872" s="22">
        <f t="shared" si="590"/>
        <v>0</v>
      </c>
    </row>
    <row r="8873" spans="1:23" hidden="1" x14ac:dyDescent="0.25">
      <c r="A8873" s="4"/>
      <c r="B8873" s="4"/>
      <c r="C8873" s="4"/>
      <c r="D8873" s="4"/>
      <c r="E8873" s="4"/>
      <c r="F8873" s="4"/>
      <c r="G8873" s="4"/>
      <c r="H8873" s="4"/>
      <c r="I8873" s="4"/>
      <c r="J8873" s="21">
        <f>IFERROR(VLOOKUP(C8873,'STOK KARTLARI'!$C$2:$K$2150,8,0),0)</f>
        <v>0</v>
      </c>
      <c r="K8873" s="21">
        <f t="shared" si="591"/>
        <v>0</v>
      </c>
      <c r="L8873" s="5">
        <f t="shared" si="593"/>
        <v>0</v>
      </c>
      <c r="M8873" s="4"/>
      <c r="N8873" s="4"/>
      <c r="O8873" s="5"/>
      <c r="P8873" s="5"/>
      <c r="Q8873" s="21">
        <f t="shared" si="594"/>
        <v>0</v>
      </c>
      <c r="R8873" s="21">
        <f t="shared" si="592"/>
        <v>0</v>
      </c>
      <c r="S8873" s="5">
        <f t="shared" si="595"/>
        <v>70007.077158325032</v>
      </c>
      <c r="T8873" cm="1">
        <f t="array" ref="T8873">IF(OR(B8873="MAL ALIMI", B8873="ÜRETİM GİRİŞ"), MIN(I8873, MAX(0, I8873 + SUM(SUMIFS($I$1:I8872, $C$1:C8872, C8873, $B$1:B8872, {"MAL ALIMI","ÜRETİM GİRİŞ"})) - VLOOKUP(C8873, 'STOK RAPORU'!$C$2:$I$1000, 4, 0))), 0)</f>
        <v>0</v>
      </c>
      <c r="U8873" s="22">
        <f t="shared" si="588"/>
        <v>0</v>
      </c>
      <c r="V8873">
        <f t="shared" si="589"/>
        <v>0</v>
      </c>
      <c r="W8873" s="22">
        <f t="shared" si="590"/>
        <v>0</v>
      </c>
    </row>
    <row r="8874" spans="1:23" hidden="1" x14ac:dyDescent="0.25">
      <c r="A8874" s="4"/>
      <c r="B8874" s="4"/>
      <c r="C8874" s="4"/>
      <c r="D8874" s="4"/>
      <c r="E8874" s="4"/>
      <c r="F8874" s="4"/>
      <c r="G8874" s="4"/>
      <c r="H8874" s="4"/>
      <c r="I8874" s="4"/>
      <c r="J8874" s="21">
        <f>IFERROR(VLOOKUP(C8874,'STOK KARTLARI'!$C$2:$K$2150,8,0),0)</f>
        <v>0</v>
      </c>
      <c r="K8874" s="21">
        <f t="shared" si="591"/>
        <v>0</v>
      </c>
      <c r="L8874" s="5">
        <f t="shared" si="593"/>
        <v>0</v>
      </c>
      <c r="M8874" s="4"/>
      <c r="N8874" s="4"/>
      <c r="O8874" s="5"/>
      <c r="P8874" s="5"/>
      <c r="Q8874" s="21">
        <f t="shared" si="594"/>
        <v>0</v>
      </c>
      <c r="R8874" s="21">
        <f t="shared" si="592"/>
        <v>0</v>
      </c>
      <c r="S8874" s="5">
        <f t="shared" si="595"/>
        <v>70007.077158325032</v>
      </c>
      <c r="T8874" cm="1">
        <f t="array" ref="T8874">IF(OR(B8874="MAL ALIMI", B8874="ÜRETİM GİRİŞ"), MIN(I8874, MAX(0, I8874 + SUM(SUMIFS($I$1:I8873, $C$1:C8873, C8874, $B$1:B8873, {"MAL ALIMI","ÜRETİM GİRİŞ"})) - VLOOKUP(C8874, 'STOK RAPORU'!$C$2:$I$1000, 4, 0))), 0)</f>
        <v>0</v>
      </c>
      <c r="U8874" s="22">
        <f t="shared" si="588"/>
        <v>0</v>
      </c>
      <c r="V8874">
        <f t="shared" si="589"/>
        <v>0</v>
      </c>
      <c r="W8874" s="22">
        <f t="shared" si="590"/>
        <v>0</v>
      </c>
    </row>
    <row r="8875" spans="1:23" hidden="1" x14ac:dyDescent="0.25">
      <c r="A8875" s="4"/>
      <c r="B8875" s="4"/>
      <c r="C8875" s="4"/>
      <c r="D8875" s="4"/>
      <c r="E8875" s="4"/>
      <c r="F8875" s="4"/>
      <c r="G8875" s="4"/>
      <c r="H8875" s="4"/>
      <c r="I8875" s="4"/>
      <c r="J8875" s="21">
        <f>IFERROR(VLOOKUP(C8875,'STOK KARTLARI'!$C$2:$K$2150,8,0),0)</f>
        <v>0</v>
      </c>
      <c r="K8875" s="21">
        <f t="shared" si="591"/>
        <v>0</v>
      </c>
      <c r="L8875" s="5">
        <f t="shared" si="593"/>
        <v>0</v>
      </c>
      <c r="M8875" s="4"/>
      <c r="N8875" s="4"/>
      <c r="O8875" s="5"/>
      <c r="P8875" s="5"/>
      <c r="Q8875" s="21">
        <f t="shared" si="594"/>
        <v>0</v>
      </c>
      <c r="R8875" s="21">
        <f t="shared" si="592"/>
        <v>0</v>
      </c>
      <c r="S8875" s="5">
        <f t="shared" si="595"/>
        <v>70007.077158325032</v>
      </c>
      <c r="T8875" cm="1">
        <f t="array" ref="T8875">IF(OR(B8875="MAL ALIMI", B8875="ÜRETİM GİRİŞ"), MIN(I8875, MAX(0, I8875 + SUM(SUMIFS($I$1:I8874, $C$1:C8874, C8875, $B$1:B8874, {"MAL ALIMI","ÜRETİM GİRİŞ"})) - VLOOKUP(C8875, 'STOK RAPORU'!$C$2:$I$1000, 4, 0))), 0)</f>
        <v>0</v>
      </c>
      <c r="U8875" s="22">
        <f t="shared" si="588"/>
        <v>0</v>
      </c>
      <c r="V8875">
        <f t="shared" si="589"/>
        <v>0</v>
      </c>
      <c r="W8875" s="22">
        <f t="shared" si="590"/>
        <v>0</v>
      </c>
    </row>
    <row r="8876" spans="1:23" hidden="1" x14ac:dyDescent="0.25">
      <c r="A8876" s="4"/>
      <c r="B8876" s="4"/>
      <c r="C8876" s="4"/>
      <c r="D8876" s="4"/>
      <c r="E8876" s="4"/>
      <c r="F8876" s="4"/>
      <c r="G8876" s="4"/>
      <c r="H8876" s="4"/>
      <c r="I8876" s="4"/>
      <c r="J8876" s="21">
        <f>IFERROR(VLOOKUP(C8876,'STOK KARTLARI'!$C$2:$K$2150,8,0),0)</f>
        <v>0</v>
      </c>
      <c r="K8876" s="21">
        <f t="shared" si="591"/>
        <v>0</v>
      </c>
      <c r="L8876" s="5">
        <f t="shared" si="593"/>
        <v>0</v>
      </c>
      <c r="M8876" s="4"/>
      <c r="N8876" s="4"/>
      <c r="O8876" s="5"/>
      <c r="P8876" s="5"/>
      <c r="Q8876" s="21">
        <f t="shared" si="594"/>
        <v>0</v>
      </c>
      <c r="R8876" s="21">
        <f t="shared" si="592"/>
        <v>0</v>
      </c>
      <c r="S8876" s="5">
        <f t="shared" si="595"/>
        <v>70007.077158325032</v>
      </c>
      <c r="T8876" cm="1">
        <f t="array" ref="T8876">IF(OR(B8876="MAL ALIMI", B8876="ÜRETİM GİRİŞ"), MIN(I8876, MAX(0, I8876 + SUM(SUMIFS($I$1:I8875, $C$1:C8875, C8876, $B$1:B8875, {"MAL ALIMI","ÜRETİM GİRİŞ"})) - VLOOKUP(C8876, 'STOK RAPORU'!$C$2:$I$1000, 4, 0))), 0)</f>
        <v>0</v>
      </c>
      <c r="U8876" s="22">
        <f t="shared" si="588"/>
        <v>0</v>
      </c>
      <c r="V8876">
        <f t="shared" si="589"/>
        <v>0</v>
      </c>
      <c r="W8876" s="22">
        <f t="shared" si="590"/>
        <v>0</v>
      </c>
    </row>
    <row r="8877" spans="1:23" hidden="1" x14ac:dyDescent="0.25">
      <c r="A8877" s="4"/>
      <c r="B8877" s="4"/>
      <c r="C8877" s="4"/>
      <c r="D8877" s="4"/>
      <c r="E8877" s="4"/>
      <c r="F8877" s="4"/>
      <c r="G8877" s="4"/>
      <c r="H8877" s="4"/>
      <c r="I8877" s="4"/>
      <c r="J8877" s="21">
        <f>IFERROR(VLOOKUP(C8877,'STOK KARTLARI'!$C$2:$K$2150,8,0),0)</f>
        <v>0</v>
      </c>
      <c r="K8877" s="21">
        <f t="shared" si="591"/>
        <v>0</v>
      </c>
      <c r="L8877" s="5">
        <f t="shared" si="593"/>
        <v>0</v>
      </c>
      <c r="M8877" s="4"/>
      <c r="N8877" s="4"/>
      <c r="O8877" s="5"/>
      <c r="P8877" s="5"/>
      <c r="Q8877" s="21">
        <f t="shared" si="594"/>
        <v>0</v>
      </c>
      <c r="R8877" s="21">
        <f t="shared" si="592"/>
        <v>0</v>
      </c>
      <c r="S8877" s="5">
        <f t="shared" si="595"/>
        <v>70007.077158325032</v>
      </c>
      <c r="T8877" cm="1">
        <f t="array" ref="T8877">IF(OR(B8877="MAL ALIMI", B8877="ÜRETİM GİRİŞ"), MIN(I8877, MAX(0, I8877 + SUM(SUMIFS($I$1:I8876, $C$1:C8876, C8877, $B$1:B8876, {"MAL ALIMI","ÜRETİM GİRİŞ"})) - VLOOKUP(C8877, 'STOK RAPORU'!$C$2:$I$1000, 4, 0))), 0)</f>
        <v>0</v>
      </c>
      <c r="U8877" s="22">
        <f t="shared" si="588"/>
        <v>0</v>
      </c>
      <c r="V8877">
        <f t="shared" si="589"/>
        <v>0</v>
      </c>
      <c r="W8877" s="22">
        <f t="shared" si="590"/>
        <v>0</v>
      </c>
    </row>
    <row r="8878" spans="1:23" hidden="1" x14ac:dyDescent="0.25">
      <c r="A8878" s="3"/>
      <c r="B8878" s="4"/>
      <c r="C8878" s="4"/>
      <c r="D8878" s="4"/>
      <c r="E8878" s="4"/>
      <c r="F8878" s="4"/>
      <c r="G8878" s="4"/>
      <c r="H8878" s="4"/>
      <c r="I8878" s="4"/>
      <c r="J8878" s="21">
        <f>IFERROR(VLOOKUP(C8878,'STOK KARTLARI'!$C$2:$K$2150,8,0),0)</f>
        <v>0</v>
      </c>
      <c r="K8878" s="21">
        <f t="shared" si="591"/>
        <v>0</v>
      </c>
      <c r="L8878" s="5">
        <f t="shared" si="593"/>
        <v>0</v>
      </c>
      <c r="M8878" s="4"/>
      <c r="N8878" s="4"/>
      <c r="O8878" s="5"/>
      <c r="P8878" s="5"/>
      <c r="Q8878" s="21">
        <f t="shared" si="594"/>
        <v>0</v>
      </c>
      <c r="R8878" s="21">
        <f t="shared" si="592"/>
        <v>0</v>
      </c>
      <c r="S8878" s="5">
        <f t="shared" si="595"/>
        <v>70007.077158325032</v>
      </c>
      <c r="T8878" cm="1">
        <f t="array" ref="T8878">IF(OR(B8878="MAL ALIMI", B8878="ÜRETİM GİRİŞ"), MIN(I8878, MAX(0, I8878 + SUM(SUMIFS($I$1:I8877, $C$1:C8877, C8878, $B$1:B8877, {"MAL ALIMI","ÜRETİM GİRİŞ"})) - VLOOKUP(C8878, 'STOK RAPORU'!$C$2:$I$1000, 4, 0))), 0)</f>
        <v>0</v>
      </c>
      <c r="U8878" s="22">
        <f t="shared" si="588"/>
        <v>0</v>
      </c>
      <c r="V8878">
        <f t="shared" si="589"/>
        <v>0</v>
      </c>
      <c r="W8878" s="22">
        <f t="shared" si="590"/>
        <v>0</v>
      </c>
    </row>
    <row r="8879" spans="1:23" hidden="1" x14ac:dyDescent="0.25">
      <c r="A8879" s="4"/>
      <c r="B8879" s="4"/>
      <c r="C8879" s="4"/>
      <c r="D8879" s="4"/>
      <c r="E8879" s="4"/>
      <c r="F8879" s="4"/>
      <c r="G8879" s="4"/>
      <c r="H8879" s="4"/>
      <c r="I8879" s="4"/>
      <c r="J8879" s="21">
        <f>IFERROR(VLOOKUP(C8879,'STOK KARTLARI'!$C$2:$K$2150,8,0),0)</f>
        <v>0</v>
      </c>
      <c r="K8879" s="21">
        <f t="shared" si="591"/>
        <v>0</v>
      </c>
      <c r="L8879" s="5">
        <f t="shared" si="593"/>
        <v>0</v>
      </c>
      <c r="M8879" s="4"/>
      <c r="N8879" s="4"/>
      <c r="O8879" s="5"/>
      <c r="P8879" s="5"/>
      <c r="Q8879" s="21">
        <f t="shared" si="594"/>
        <v>0</v>
      </c>
      <c r="R8879" s="21">
        <f t="shared" si="592"/>
        <v>0</v>
      </c>
      <c r="S8879" s="5">
        <f t="shared" si="595"/>
        <v>70007.077158325032</v>
      </c>
      <c r="T8879" cm="1">
        <f t="array" ref="T8879">IF(OR(B8879="MAL ALIMI", B8879="ÜRETİM GİRİŞ"), MIN(I8879, MAX(0, I8879 + SUM(SUMIFS($I$1:I8878, $C$1:C8878, C8879, $B$1:B8878, {"MAL ALIMI","ÜRETİM GİRİŞ"})) - VLOOKUP(C8879, 'STOK RAPORU'!$C$2:$I$1000, 4, 0))), 0)</f>
        <v>0</v>
      </c>
      <c r="U8879" s="22">
        <f t="shared" ref="U8879:U8942" si="596">T8879*J8879</f>
        <v>0</v>
      </c>
      <c r="V8879">
        <f t="shared" ref="V8879:V8942" si="597">IF(OR(B8879="MAL ALIMI", B8879="ÜRETİM GİRİŞ"), I8879 * J8879, 0)</f>
        <v>0</v>
      </c>
      <c r="W8879" s="22">
        <f t="shared" ref="W8879:W8942" si="598">V8879-U8879</f>
        <v>0</v>
      </c>
    </row>
    <row r="8880" spans="1:23" hidden="1" x14ac:dyDescent="0.25">
      <c r="A8880" s="4"/>
      <c r="B8880" s="4"/>
      <c r="C8880" s="4"/>
      <c r="D8880" s="4"/>
      <c r="E8880" s="4"/>
      <c r="F8880" s="4"/>
      <c r="G8880" s="4"/>
      <c r="H8880" s="4"/>
      <c r="I8880" s="4"/>
      <c r="J8880" s="21">
        <f>IFERROR(VLOOKUP(C8880,'STOK KARTLARI'!$C$2:$K$2150,8,0),0)</f>
        <v>0</v>
      </c>
      <c r="K8880" s="21">
        <f t="shared" si="591"/>
        <v>0</v>
      </c>
      <c r="L8880" s="5">
        <f t="shared" si="593"/>
        <v>0</v>
      </c>
      <c r="M8880" s="4"/>
      <c r="N8880" s="4"/>
      <c r="O8880" s="5"/>
      <c r="P8880" s="5"/>
      <c r="Q8880" s="21">
        <f t="shared" si="594"/>
        <v>0</v>
      </c>
      <c r="R8880" s="21">
        <f t="shared" si="592"/>
        <v>0</v>
      </c>
      <c r="S8880" s="5">
        <f t="shared" si="595"/>
        <v>70007.077158325032</v>
      </c>
      <c r="T8880" cm="1">
        <f t="array" ref="T8880">IF(OR(B8880="MAL ALIMI", B8880="ÜRETİM GİRİŞ"), MIN(I8880, MAX(0, I8880 + SUM(SUMIFS($I$1:I8879, $C$1:C8879, C8880, $B$1:B8879, {"MAL ALIMI","ÜRETİM GİRİŞ"})) - VLOOKUP(C8880, 'STOK RAPORU'!$C$2:$I$1000, 4, 0))), 0)</f>
        <v>0</v>
      </c>
      <c r="U8880" s="22">
        <f t="shared" si="596"/>
        <v>0</v>
      </c>
      <c r="V8880">
        <f t="shared" si="597"/>
        <v>0</v>
      </c>
      <c r="W8880" s="22">
        <f t="shared" si="598"/>
        <v>0</v>
      </c>
    </row>
    <row r="8881" spans="1:23" hidden="1" x14ac:dyDescent="0.25">
      <c r="A8881" s="4"/>
      <c r="B8881" s="4"/>
      <c r="C8881" s="4"/>
      <c r="D8881" s="4"/>
      <c r="E8881" s="4"/>
      <c r="F8881" s="4"/>
      <c r="G8881" s="4"/>
      <c r="H8881" s="4"/>
      <c r="I8881" s="4"/>
      <c r="J8881" s="21">
        <f>IFERROR(VLOOKUP(C8881,'STOK KARTLARI'!$C$2:$K$2150,8,0),0)</f>
        <v>0</v>
      </c>
      <c r="K8881" s="21">
        <f t="shared" si="591"/>
        <v>0</v>
      </c>
      <c r="L8881" s="5">
        <f t="shared" si="593"/>
        <v>0</v>
      </c>
      <c r="M8881" s="4"/>
      <c r="N8881" s="4"/>
      <c r="O8881" s="5"/>
      <c r="P8881" s="5"/>
      <c r="Q8881" s="21">
        <f t="shared" si="594"/>
        <v>0</v>
      </c>
      <c r="R8881" s="21">
        <f t="shared" si="592"/>
        <v>0</v>
      </c>
      <c r="S8881" s="5">
        <f t="shared" si="595"/>
        <v>70007.077158325032</v>
      </c>
      <c r="T8881" cm="1">
        <f t="array" ref="T8881">IF(OR(B8881="MAL ALIMI", B8881="ÜRETİM GİRİŞ"), MIN(I8881, MAX(0, I8881 + SUM(SUMIFS($I$1:I8880, $C$1:C8880, C8881, $B$1:B8880, {"MAL ALIMI","ÜRETİM GİRİŞ"})) - VLOOKUP(C8881, 'STOK RAPORU'!$C$2:$I$1000, 4, 0))), 0)</f>
        <v>0</v>
      </c>
      <c r="U8881" s="22">
        <f t="shared" si="596"/>
        <v>0</v>
      </c>
      <c r="V8881">
        <f t="shared" si="597"/>
        <v>0</v>
      </c>
      <c r="W8881" s="22">
        <f t="shared" si="598"/>
        <v>0</v>
      </c>
    </row>
    <row r="8882" spans="1:23" hidden="1" x14ac:dyDescent="0.25">
      <c r="A8882" s="4"/>
      <c r="B8882" s="4"/>
      <c r="C8882" s="4"/>
      <c r="D8882" s="4"/>
      <c r="E8882" s="4"/>
      <c r="F8882" s="4"/>
      <c r="G8882" s="4"/>
      <c r="H8882" s="4"/>
      <c r="I8882" s="4"/>
      <c r="J8882" s="21">
        <f>IFERROR(VLOOKUP(C8882,'STOK KARTLARI'!$C$2:$K$2150,8,0),0)</f>
        <v>0</v>
      </c>
      <c r="K8882" s="21">
        <f t="shared" si="591"/>
        <v>0</v>
      </c>
      <c r="L8882" s="5">
        <f t="shared" si="593"/>
        <v>0</v>
      </c>
      <c r="M8882" s="4"/>
      <c r="N8882" s="4"/>
      <c r="O8882" s="5"/>
      <c r="P8882" s="5"/>
      <c r="Q8882" s="21">
        <f t="shared" si="594"/>
        <v>0</v>
      </c>
      <c r="R8882" s="21">
        <f t="shared" si="592"/>
        <v>0</v>
      </c>
      <c r="S8882" s="5">
        <f t="shared" si="595"/>
        <v>70007.077158325032</v>
      </c>
      <c r="T8882" cm="1">
        <f t="array" ref="T8882">IF(OR(B8882="MAL ALIMI", B8882="ÜRETİM GİRİŞ"), MIN(I8882, MAX(0, I8882 + SUM(SUMIFS($I$1:I8881, $C$1:C8881, C8882, $B$1:B8881, {"MAL ALIMI","ÜRETİM GİRİŞ"})) - VLOOKUP(C8882, 'STOK RAPORU'!$C$2:$I$1000, 4, 0))), 0)</f>
        <v>0</v>
      </c>
      <c r="U8882" s="22">
        <f t="shared" si="596"/>
        <v>0</v>
      </c>
      <c r="V8882">
        <f t="shared" si="597"/>
        <v>0</v>
      </c>
      <c r="W8882" s="22">
        <f t="shared" si="598"/>
        <v>0</v>
      </c>
    </row>
    <row r="8883" spans="1:23" hidden="1" x14ac:dyDescent="0.25">
      <c r="A8883" s="4"/>
      <c r="B8883" s="4"/>
      <c r="C8883" s="4"/>
      <c r="D8883" s="4"/>
      <c r="E8883" s="4"/>
      <c r="F8883" s="4"/>
      <c r="G8883" s="4"/>
      <c r="H8883" s="4"/>
      <c r="I8883" s="4"/>
      <c r="J8883" s="21">
        <f>IFERROR(VLOOKUP(C8883,'STOK KARTLARI'!$C$2:$K$2150,8,0),0)</f>
        <v>0</v>
      </c>
      <c r="K8883" s="21">
        <f t="shared" ref="K8883:K8946" si="599">IF(AND(B8883="MAL SATIŞI", H8883="POS"),I8883*J8883,0)</f>
        <v>0</v>
      </c>
      <c r="L8883" s="5">
        <f t="shared" si="593"/>
        <v>0</v>
      </c>
      <c r="M8883" s="4"/>
      <c r="N8883" s="4"/>
      <c r="O8883" s="5"/>
      <c r="P8883" s="5"/>
      <c r="Q8883" s="21">
        <f t="shared" si="594"/>
        <v>0</v>
      </c>
      <c r="R8883" s="21">
        <f t="shared" ref="R8883:R8946" si="600">IF(AND(E8883="", B8883&lt;&gt;"MAL SATIŞI"),I8883*J8883,0)</f>
        <v>0</v>
      </c>
      <c r="S8883" s="5">
        <f t="shared" si="595"/>
        <v>70007.077158325032</v>
      </c>
      <c r="T8883" cm="1">
        <f t="array" ref="T8883">IF(OR(B8883="MAL ALIMI", B8883="ÜRETİM GİRİŞ"), MIN(I8883, MAX(0, I8883 + SUM(SUMIFS($I$1:I8882, $C$1:C8882, C8883, $B$1:B8882, {"MAL ALIMI","ÜRETİM GİRİŞ"})) - VLOOKUP(C8883, 'STOK RAPORU'!$C$2:$I$1000, 4, 0))), 0)</f>
        <v>0</v>
      </c>
      <c r="U8883" s="22">
        <f t="shared" si="596"/>
        <v>0</v>
      </c>
      <c r="V8883">
        <f t="shared" si="597"/>
        <v>0</v>
      </c>
      <c r="W8883" s="22">
        <f t="shared" si="598"/>
        <v>0</v>
      </c>
    </row>
    <row r="8884" spans="1:23" hidden="1" x14ac:dyDescent="0.25">
      <c r="A8884" s="4"/>
      <c r="B8884" s="4"/>
      <c r="C8884" s="4"/>
      <c r="D8884" s="4"/>
      <c r="E8884" s="4"/>
      <c r="F8884" s="4"/>
      <c r="G8884" s="4"/>
      <c r="H8884" s="4"/>
      <c r="I8884" s="4"/>
      <c r="J8884" s="21">
        <f>IFERROR(VLOOKUP(C8884,'STOK KARTLARI'!$C$2:$K$2150,8,0),0)</f>
        <v>0</v>
      </c>
      <c r="K8884" s="21">
        <f t="shared" si="599"/>
        <v>0</v>
      </c>
      <c r="L8884" s="5">
        <f t="shared" ref="L8884:L8947" si="601">IF(OR(E8884="", H8884="POS"),0,I8884*J8884)</f>
        <v>0</v>
      </c>
      <c r="M8884" s="4"/>
      <c r="N8884" s="4"/>
      <c r="O8884" s="5"/>
      <c r="P8884" s="5"/>
      <c r="Q8884" s="21">
        <f t="shared" ref="Q8884:Q8947" si="602">IF(AND(E8884="", B8884="MAL SATIŞI", H8884="NAKİT"),I8884*J8884,0)</f>
        <v>0</v>
      </c>
      <c r="R8884" s="21">
        <f t="shared" si="600"/>
        <v>0</v>
      </c>
      <c r="S8884" s="5">
        <f t="shared" si="595"/>
        <v>70007.077158325032</v>
      </c>
      <c r="T8884" cm="1">
        <f t="array" ref="T8884">IF(OR(B8884="MAL ALIMI", B8884="ÜRETİM GİRİŞ"), MIN(I8884, MAX(0, I8884 + SUM(SUMIFS($I$1:I8883, $C$1:C8883, C8884, $B$1:B8883, {"MAL ALIMI","ÜRETİM GİRİŞ"})) - VLOOKUP(C8884, 'STOK RAPORU'!$C$2:$I$1000, 4, 0))), 0)</f>
        <v>0</v>
      </c>
      <c r="U8884" s="22">
        <f t="shared" si="596"/>
        <v>0</v>
      </c>
      <c r="V8884">
        <f t="shared" si="597"/>
        <v>0</v>
      </c>
      <c r="W8884" s="22">
        <f t="shared" si="598"/>
        <v>0</v>
      </c>
    </row>
    <row r="8885" spans="1:23" hidden="1" x14ac:dyDescent="0.25">
      <c r="A8885" s="3"/>
      <c r="B8885" s="4"/>
      <c r="C8885" s="4"/>
      <c r="D8885" s="4"/>
      <c r="E8885" s="4"/>
      <c r="F8885" s="4"/>
      <c r="G8885" s="4"/>
      <c r="H8885" s="4"/>
      <c r="I8885" s="4"/>
      <c r="J8885" s="21">
        <f>IFERROR(VLOOKUP(C8885,'STOK KARTLARI'!$C$2:$K$2150,8,0),0)</f>
        <v>0</v>
      </c>
      <c r="K8885" s="21">
        <f t="shared" si="599"/>
        <v>0</v>
      </c>
      <c r="L8885" s="5">
        <f t="shared" si="601"/>
        <v>0</v>
      </c>
      <c r="M8885" s="4"/>
      <c r="N8885" s="4"/>
      <c r="O8885" s="5"/>
      <c r="P8885" s="5"/>
      <c r="Q8885" s="21">
        <f t="shared" si="602"/>
        <v>0</v>
      </c>
      <c r="R8885" s="21">
        <f t="shared" si="600"/>
        <v>0</v>
      </c>
      <c r="S8885" s="5">
        <f t="shared" si="595"/>
        <v>70007.077158325032</v>
      </c>
      <c r="T8885" cm="1">
        <f t="array" ref="T8885">IF(OR(B8885="MAL ALIMI", B8885="ÜRETİM GİRİŞ"), MIN(I8885, MAX(0, I8885 + SUM(SUMIFS($I$1:I8884, $C$1:C8884, C8885, $B$1:B8884, {"MAL ALIMI","ÜRETİM GİRİŞ"})) - VLOOKUP(C8885, 'STOK RAPORU'!$C$2:$I$1000, 4, 0))), 0)</f>
        <v>0</v>
      </c>
      <c r="U8885" s="22">
        <f t="shared" si="596"/>
        <v>0</v>
      </c>
      <c r="V8885">
        <f t="shared" si="597"/>
        <v>0</v>
      </c>
      <c r="W8885" s="22">
        <f t="shared" si="598"/>
        <v>0</v>
      </c>
    </row>
    <row r="8886" spans="1:23" hidden="1" x14ac:dyDescent="0.25">
      <c r="A8886" s="4"/>
      <c r="B8886" s="4"/>
      <c r="C8886" s="4"/>
      <c r="D8886" s="4"/>
      <c r="E8886" s="4"/>
      <c r="F8886" s="4"/>
      <c r="G8886" s="4"/>
      <c r="H8886" s="4"/>
      <c r="I8886" s="4"/>
      <c r="J8886" s="21">
        <f>IFERROR(VLOOKUP(C8886,'STOK KARTLARI'!$C$2:$K$2150,8,0),0)</f>
        <v>0</v>
      </c>
      <c r="K8886" s="21">
        <f t="shared" si="599"/>
        <v>0</v>
      </c>
      <c r="L8886" s="5">
        <f t="shared" si="601"/>
        <v>0</v>
      </c>
      <c r="M8886" s="4"/>
      <c r="N8886" s="4"/>
      <c r="O8886" s="5"/>
      <c r="P8886" s="5"/>
      <c r="Q8886" s="21">
        <f t="shared" si="602"/>
        <v>0</v>
      </c>
      <c r="R8886" s="21">
        <f t="shared" si="600"/>
        <v>0</v>
      </c>
      <c r="S8886" s="5">
        <f t="shared" si="595"/>
        <v>70007.077158325032</v>
      </c>
      <c r="T8886" cm="1">
        <f t="array" ref="T8886">IF(OR(B8886="MAL ALIMI", B8886="ÜRETİM GİRİŞ"), MIN(I8886, MAX(0, I8886 + SUM(SUMIFS($I$1:I8885, $C$1:C8885, C8886, $B$1:B8885, {"MAL ALIMI","ÜRETİM GİRİŞ"})) - VLOOKUP(C8886, 'STOK RAPORU'!$C$2:$I$1000, 4, 0))), 0)</f>
        <v>0</v>
      </c>
      <c r="U8886" s="22">
        <f t="shared" si="596"/>
        <v>0</v>
      </c>
      <c r="V8886">
        <f t="shared" si="597"/>
        <v>0</v>
      </c>
      <c r="W8886" s="22">
        <f t="shared" si="598"/>
        <v>0</v>
      </c>
    </row>
    <row r="8887" spans="1:23" hidden="1" x14ac:dyDescent="0.25">
      <c r="A8887" s="4"/>
      <c r="B8887" s="4"/>
      <c r="C8887" s="4"/>
      <c r="D8887" s="4"/>
      <c r="E8887" s="4"/>
      <c r="F8887" s="4"/>
      <c r="G8887" s="4"/>
      <c r="H8887" s="4"/>
      <c r="I8887" s="4"/>
      <c r="J8887" s="21">
        <f>IFERROR(VLOOKUP(C8887,'STOK KARTLARI'!$C$2:$K$2150,8,0),0)</f>
        <v>0</v>
      </c>
      <c r="K8887" s="21">
        <f t="shared" si="599"/>
        <v>0</v>
      </c>
      <c r="L8887" s="5">
        <f t="shared" si="601"/>
        <v>0</v>
      </c>
      <c r="M8887" s="4"/>
      <c r="N8887" s="4"/>
      <c r="O8887" s="5"/>
      <c r="P8887" s="5"/>
      <c r="Q8887" s="21">
        <f t="shared" si="602"/>
        <v>0</v>
      </c>
      <c r="R8887" s="21">
        <f t="shared" si="600"/>
        <v>0</v>
      </c>
      <c r="S8887" s="5">
        <f t="shared" si="595"/>
        <v>70007.077158325032</v>
      </c>
      <c r="T8887" cm="1">
        <f t="array" ref="T8887">IF(OR(B8887="MAL ALIMI", B8887="ÜRETİM GİRİŞ"), MIN(I8887, MAX(0, I8887 + SUM(SUMIFS($I$1:I8886, $C$1:C8886, C8887, $B$1:B8886, {"MAL ALIMI","ÜRETİM GİRİŞ"})) - VLOOKUP(C8887, 'STOK RAPORU'!$C$2:$I$1000, 4, 0))), 0)</f>
        <v>0</v>
      </c>
      <c r="U8887" s="22">
        <f t="shared" si="596"/>
        <v>0</v>
      </c>
      <c r="V8887">
        <f t="shared" si="597"/>
        <v>0</v>
      </c>
      <c r="W8887" s="22">
        <f t="shared" si="598"/>
        <v>0</v>
      </c>
    </row>
    <row r="8888" spans="1:23" hidden="1" x14ac:dyDescent="0.25">
      <c r="A8888" s="4"/>
      <c r="B8888" s="4"/>
      <c r="C8888" s="4"/>
      <c r="D8888" s="4"/>
      <c r="E8888" s="4"/>
      <c r="F8888" s="4"/>
      <c r="G8888" s="4"/>
      <c r="H8888" s="4"/>
      <c r="I8888" s="4"/>
      <c r="J8888" s="21">
        <f>IFERROR(VLOOKUP(C8888,'STOK KARTLARI'!$C$2:$K$2150,8,0),0)</f>
        <v>0</v>
      </c>
      <c r="K8888" s="21">
        <f t="shared" si="599"/>
        <v>0</v>
      </c>
      <c r="L8888" s="5">
        <f t="shared" si="601"/>
        <v>0</v>
      </c>
      <c r="M8888" s="4"/>
      <c r="N8888" s="4"/>
      <c r="O8888" s="5"/>
      <c r="P8888" s="5"/>
      <c r="Q8888" s="21">
        <f t="shared" si="602"/>
        <v>0</v>
      </c>
      <c r="R8888" s="21">
        <f t="shared" si="600"/>
        <v>0</v>
      </c>
      <c r="S8888" s="5">
        <f t="shared" si="595"/>
        <v>70007.077158325032</v>
      </c>
      <c r="T8888" cm="1">
        <f t="array" ref="T8888">IF(OR(B8888="MAL ALIMI", B8888="ÜRETİM GİRİŞ"), MIN(I8888, MAX(0, I8888 + SUM(SUMIFS($I$1:I8887, $C$1:C8887, C8888, $B$1:B8887, {"MAL ALIMI","ÜRETİM GİRİŞ"})) - VLOOKUP(C8888, 'STOK RAPORU'!$C$2:$I$1000, 4, 0))), 0)</f>
        <v>0</v>
      </c>
      <c r="U8888" s="22">
        <f t="shared" si="596"/>
        <v>0</v>
      </c>
      <c r="V8888">
        <f t="shared" si="597"/>
        <v>0</v>
      </c>
      <c r="W8888" s="22">
        <f t="shared" si="598"/>
        <v>0</v>
      </c>
    </row>
    <row r="8889" spans="1:23" hidden="1" x14ac:dyDescent="0.25">
      <c r="A8889" s="4"/>
      <c r="B8889" s="4"/>
      <c r="C8889" s="4"/>
      <c r="D8889" s="4"/>
      <c r="E8889" s="4"/>
      <c r="F8889" s="4"/>
      <c r="G8889" s="4"/>
      <c r="H8889" s="4"/>
      <c r="I8889" s="4"/>
      <c r="J8889" s="21">
        <f>IFERROR(VLOOKUP(C8889,'STOK KARTLARI'!$C$2:$K$2150,8,0),0)</f>
        <v>0</v>
      </c>
      <c r="K8889" s="21">
        <f t="shared" si="599"/>
        <v>0</v>
      </c>
      <c r="L8889" s="5">
        <f t="shared" si="601"/>
        <v>0</v>
      </c>
      <c r="M8889" s="4"/>
      <c r="N8889" s="4"/>
      <c r="O8889" s="5"/>
      <c r="P8889" s="5"/>
      <c r="Q8889" s="21">
        <f t="shared" si="602"/>
        <v>0</v>
      </c>
      <c r="R8889" s="21">
        <f t="shared" si="600"/>
        <v>0</v>
      </c>
      <c r="S8889" s="5">
        <f t="shared" si="595"/>
        <v>70007.077158325032</v>
      </c>
      <c r="T8889" cm="1">
        <f t="array" ref="T8889">IF(OR(B8889="MAL ALIMI", B8889="ÜRETİM GİRİŞ"), MIN(I8889, MAX(0, I8889 + SUM(SUMIFS($I$1:I8888, $C$1:C8888, C8889, $B$1:B8888, {"MAL ALIMI","ÜRETİM GİRİŞ"})) - VLOOKUP(C8889, 'STOK RAPORU'!$C$2:$I$1000, 4, 0))), 0)</f>
        <v>0</v>
      </c>
      <c r="U8889" s="22">
        <f t="shared" si="596"/>
        <v>0</v>
      </c>
      <c r="V8889">
        <f t="shared" si="597"/>
        <v>0</v>
      </c>
      <c r="W8889" s="22">
        <f t="shared" si="598"/>
        <v>0</v>
      </c>
    </row>
    <row r="8890" spans="1:23" hidden="1" x14ac:dyDescent="0.25">
      <c r="A8890" s="4"/>
      <c r="B8890" s="4"/>
      <c r="C8890" s="4"/>
      <c r="D8890" s="4"/>
      <c r="E8890" s="4"/>
      <c r="F8890" s="4"/>
      <c r="G8890" s="4"/>
      <c r="H8890" s="4"/>
      <c r="I8890" s="4"/>
      <c r="J8890" s="21">
        <f>IFERROR(VLOOKUP(C8890,'STOK KARTLARI'!$C$2:$K$2150,8,0),0)</f>
        <v>0</v>
      </c>
      <c r="K8890" s="21">
        <f t="shared" si="599"/>
        <v>0</v>
      </c>
      <c r="L8890" s="5">
        <f t="shared" si="601"/>
        <v>0</v>
      </c>
      <c r="M8890" s="4"/>
      <c r="N8890" s="4"/>
      <c r="O8890" s="5"/>
      <c r="P8890" s="5"/>
      <c r="Q8890" s="21">
        <f t="shared" si="602"/>
        <v>0</v>
      </c>
      <c r="R8890" s="21">
        <f t="shared" si="600"/>
        <v>0</v>
      </c>
      <c r="S8890" s="5">
        <f t="shared" si="595"/>
        <v>70007.077158325032</v>
      </c>
      <c r="T8890" cm="1">
        <f t="array" ref="T8890">IF(OR(B8890="MAL ALIMI", B8890="ÜRETİM GİRİŞ"), MIN(I8890, MAX(0, I8890 + SUM(SUMIFS($I$1:I8889, $C$1:C8889, C8890, $B$1:B8889, {"MAL ALIMI","ÜRETİM GİRİŞ"})) - VLOOKUP(C8890, 'STOK RAPORU'!$C$2:$I$1000, 4, 0))), 0)</f>
        <v>0</v>
      </c>
      <c r="U8890" s="22">
        <f t="shared" si="596"/>
        <v>0</v>
      </c>
      <c r="V8890">
        <f t="shared" si="597"/>
        <v>0</v>
      </c>
      <c r="W8890" s="22">
        <f t="shared" si="598"/>
        <v>0</v>
      </c>
    </row>
    <row r="8891" spans="1:23" hidden="1" x14ac:dyDescent="0.25">
      <c r="A8891" s="4"/>
      <c r="B8891" s="4"/>
      <c r="C8891" s="4"/>
      <c r="D8891" s="4"/>
      <c r="E8891" s="4"/>
      <c r="F8891" s="4"/>
      <c r="G8891" s="4"/>
      <c r="H8891" s="4"/>
      <c r="I8891" s="4"/>
      <c r="J8891" s="21">
        <f>IFERROR(VLOOKUP(C8891,'STOK KARTLARI'!$C$2:$K$2150,8,0),0)</f>
        <v>0</v>
      </c>
      <c r="K8891" s="21">
        <f t="shared" si="599"/>
        <v>0</v>
      </c>
      <c r="L8891" s="5">
        <f t="shared" si="601"/>
        <v>0</v>
      </c>
      <c r="M8891" s="4"/>
      <c r="N8891" s="4"/>
      <c r="O8891" s="5"/>
      <c r="P8891" s="5"/>
      <c r="Q8891" s="21">
        <f t="shared" si="602"/>
        <v>0</v>
      </c>
      <c r="R8891" s="21">
        <f t="shared" si="600"/>
        <v>0</v>
      </c>
      <c r="S8891" s="5">
        <f t="shared" si="595"/>
        <v>70007.077158325032</v>
      </c>
      <c r="T8891" cm="1">
        <f t="array" ref="T8891">IF(OR(B8891="MAL ALIMI", B8891="ÜRETİM GİRİŞ"), MIN(I8891, MAX(0, I8891 + SUM(SUMIFS($I$1:I8890, $C$1:C8890, C8891, $B$1:B8890, {"MAL ALIMI","ÜRETİM GİRİŞ"})) - VLOOKUP(C8891, 'STOK RAPORU'!$C$2:$I$1000, 4, 0))), 0)</f>
        <v>0</v>
      </c>
      <c r="U8891" s="22">
        <f t="shared" si="596"/>
        <v>0</v>
      </c>
      <c r="V8891">
        <f t="shared" si="597"/>
        <v>0</v>
      </c>
      <c r="W8891" s="22">
        <f t="shared" si="598"/>
        <v>0</v>
      </c>
    </row>
    <row r="8892" spans="1:23" hidden="1" x14ac:dyDescent="0.25">
      <c r="A8892" s="3"/>
      <c r="B8892" s="4"/>
      <c r="C8892" s="4"/>
      <c r="D8892" s="4"/>
      <c r="E8892" s="4"/>
      <c r="F8892" s="4"/>
      <c r="G8892" s="4"/>
      <c r="H8892" s="4"/>
      <c r="I8892" s="4"/>
      <c r="J8892" s="21">
        <f>IFERROR(VLOOKUP(C8892,'STOK KARTLARI'!$C$2:$K$2150,8,0),0)</f>
        <v>0</v>
      </c>
      <c r="K8892" s="21">
        <f t="shared" si="599"/>
        <v>0</v>
      </c>
      <c r="L8892" s="5">
        <f t="shared" si="601"/>
        <v>0</v>
      </c>
      <c r="M8892" s="4"/>
      <c r="N8892" s="4"/>
      <c r="O8892" s="5"/>
      <c r="P8892" s="5"/>
      <c r="Q8892" s="21">
        <f t="shared" si="602"/>
        <v>0</v>
      </c>
      <c r="R8892" s="21">
        <f t="shared" si="600"/>
        <v>0</v>
      </c>
      <c r="S8892" s="5">
        <f t="shared" si="595"/>
        <v>70007.077158325032</v>
      </c>
      <c r="T8892" cm="1">
        <f t="array" ref="T8892">IF(OR(B8892="MAL ALIMI", B8892="ÜRETİM GİRİŞ"), MIN(I8892, MAX(0, I8892 + SUM(SUMIFS($I$1:I8891, $C$1:C8891, C8892, $B$1:B8891, {"MAL ALIMI","ÜRETİM GİRİŞ"})) - VLOOKUP(C8892, 'STOK RAPORU'!$C$2:$I$1000, 4, 0))), 0)</f>
        <v>0</v>
      </c>
      <c r="U8892" s="22">
        <f t="shared" si="596"/>
        <v>0</v>
      </c>
      <c r="V8892">
        <f t="shared" si="597"/>
        <v>0</v>
      </c>
      <c r="W8892" s="22">
        <f t="shared" si="598"/>
        <v>0</v>
      </c>
    </row>
    <row r="8893" spans="1:23" hidden="1" x14ac:dyDescent="0.25">
      <c r="A8893" s="4"/>
      <c r="B8893" s="4"/>
      <c r="C8893" s="4"/>
      <c r="D8893" s="4"/>
      <c r="E8893" s="4"/>
      <c r="F8893" s="4"/>
      <c r="G8893" s="4"/>
      <c r="H8893" s="4"/>
      <c r="I8893" s="4"/>
      <c r="J8893" s="21">
        <f>IFERROR(VLOOKUP(C8893,'STOK KARTLARI'!$C$2:$K$2150,8,0),0)</f>
        <v>0</v>
      </c>
      <c r="K8893" s="21">
        <f t="shared" si="599"/>
        <v>0</v>
      </c>
      <c r="L8893" s="5">
        <f t="shared" si="601"/>
        <v>0</v>
      </c>
      <c r="M8893" s="4"/>
      <c r="N8893" s="4"/>
      <c r="O8893" s="5"/>
      <c r="P8893" s="5"/>
      <c r="Q8893" s="21">
        <f t="shared" si="602"/>
        <v>0</v>
      </c>
      <c r="R8893" s="21">
        <f t="shared" si="600"/>
        <v>0</v>
      </c>
      <c r="S8893" s="5">
        <f t="shared" si="595"/>
        <v>70007.077158325032</v>
      </c>
      <c r="T8893" cm="1">
        <f t="array" ref="T8893">IF(OR(B8893="MAL ALIMI", B8893="ÜRETİM GİRİŞ"), MIN(I8893, MAX(0, I8893 + SUM(SUMIFS($I$1:I8892, $C$1:C8892, C8893, $B$1:B8892, {"MAL ALIMI","ÜRETİM GİRİŞ"})) - VLOOKUP(C8893, 'STOK RAPORU'!$C$2:$I$1000, 4, 0))), 0)</f>
        <v>0</v>
      </c>
      <c r="U8893" s="22">
        <f t="shared" si="596"/>
        <v>0</v>
      </c>
      <c r="V8893">
        <f t="shared" si="597"/>
        <v>0</v>
      </c>
      <c r="W8893" s="22">
        <f t="shared" si="598"/>
        <v>0</v>
      </c>
    </row>
    <row r="8894" spans="1:23" hidden="1" x14ac:dyDescent="0.25">
      <c r="A8894" s="4"/>
      <c r="B8894" s="4"/>
      <c r="C8894" s="4"/>
      <c r="D8894" s="4"/>
      <c r="E8894" s="4"/>
      <c r="F8894" s="4"/>
      <c r="G8894" s="4"/>
      <c r="H8894" s="4"/>
      <c r="I8894" s="4"/>
      <c r="J8894" s="21">
        <f>IFERROR(VLOOKUP(C8894,'STOK KARTLARI'!$C$2:$K$2150,8,0),0)</f>
        <v>0</v>
      </c>
      <c r="K8894" s="21">
        <f t="shared" si="599"/>
        <v>0</v>
      </c>
      <c r="L8894" s="5">
        <f t="shared" si="601"/>
        <v>0</v>
      </c>
      <c r="M8894" s="4"/>
      <c r="N8894" s="4"/>
      <c r="O8894" s="5"/>
      <c r="P8894" s="5"/>
      <c r="Q8894" s="21">
        <f t="shared" si="602"/>
        <v>0</v>
      </c>
      <c r="R8894" s="21">
        <f t="shared" si="600"/>
        <v>0</v>
      </c>
      <c r="S8894" s="5">
        <f t="shared" si="595"/>
        <v>70007.077158325032</v>
      </c>
      <c r="T8894" cm="1">
        <f t="array" ref="T8894">IF(OR(B8894="MAL ALIMI", B8894="ÜRETİM GİRİŞ"), MIN(I8894, MAX(0, I8894 + SUM(SUMIFS($I$1:I8893, $C$1:C8893, C8894, $B$1:B8893, {"MAL ALIMI","ÜRETİM GİRİŞ"})) - VLOOKUP(C8894, 'STOK RAPORU'!$C$2:$I$1000, 4, 0))), 0)</f>
        <v>0</v>
      </c>
      <c r="U8894" s="22">
        <f t="shared" si="596"/>
        <v>0</v>
      </c>
      <c r="V8894">
        <f t="shared" si="597"/>
        <v>0</v>
      </c>
      <c r="W8894" s="22">
        <f t="shared" si="598"/>
        <v>0</v>
      </c>
    </row>
    <row r="8895" spans="1:23" hidden="1" x14ac:dyDescent="0.25">
      <c r="A8895" s="4"/>
      <c r="B8895" s="4"/>
      <c r="C8895" s="4"/>
      <c r="D8895" s="4"/>
      <c r="E8895" s="4"/>
      <c r="F8895" s="4"/>
      <c r="G8895" s="4"/>
      <c r="H8895" s="4"/>
      <c r="I8895" s="4"/>
      <c r="J8895" s="21">
        <f>IFERROR(VLOOKUP(C8895,'STOK KARTLARI'!$C$2:$K$2150,8,0),0)</f>
        <v>0</v>
      </c>
      <c r="K8895" s="21">
        <f t="shared" si="599"/>
        <v>0</v>
      </c>
      <c r="L8895" s="5">
        <f t="shared" si="601"/>
        <v>0</v>
      </c>
      <c r="M8895" s="4"/>
      <c r="N8895" s="4"/>
      <c r="O8895" s="5"/>
      <c r="P8895" s="5"/>
      <c r="Q8895" s="21">
        <f t="shared" si="602"/>
        <v>0</v>
      </c>
      <c r="R8895" s="21">
        <f t="shared" si="600"/>
        <v>0</v>
      </c>
      <c r="S8895" s="5">
        <f t="shared" si="595"/>
        <v>70007.077158325032</v>
      </c>
      <c r="T8895" cm="1">
        <f t="array" ref="T8895">IF(OR(B8895="MAL ALIMI", B8895="ÜRETİM GİRİŞ"), MIN(I8895, MAX(0, I8895 + SUM(SUMIFS($I$1:I8894, $C$1:C8894, C8895, $B$1:B8894, {"MAL ALIMI","ÜRETİM GİRİŞ"})) - VLOOKUP(C8895, 'STOK RAPORU'!$C$2:$I$1000, 4, 0))), 0)</f>
        <v>0</v>
      </c>
      <c r="U8895" s="22">
        <f t="shared" si="596"/>
        <v>0</v>
      </c>
      <c r="V8895">
        <f t="shared" si="597"/>
        <v>0</v>
      </c>
      <c r="W8895" s="22">
        <f t="shared" si="598"/>
        <v>0</v>
      </c>
    </row>
    <row r="8896" spans="1:23" hidden="1" x14ac:dyDescent="0.25">
      <c r="A8896" s="4"/>
      <c r="B8896" s="4"/>
      <c r="C8896" s="4"/>
      <c r="D8896" s="4"/>
      <c r="E8896" s="4"/>
      <c r="F8896" s="4"/>
      <c r="G8896" s="4"/>
      <c r="H8896" s="4"/>
      <c r="I8896" s="4"/>
      <c r="J8896" s="21">
        <f>IFERROR(VLOOKUP(C8896,'STOK KARTLARI'!$C$2:$K$2150,8,0),0)</f>
        <v>0</v>
      </c>
      <c r="K8896" s="21">
        <f t="shared" si="599"/>
        <v>0</v>
      </c>
      <c r="L8896" s="5">
        <f t="shared" si="601"/>
        <v>0</v>
      </c>
      <c r="M8896" s="4"/>
      <c r="N8896" s="4"/>
      <c r="O8896" s="5"/>
      <c r="P8896" s="5"/>
      <c r="Q8896" s="21">
        <f t="shared" si="602"/>
        <v>0</v>
      </c>
      <c r="R8896" s="21">
        <f t="shared" si="600"/>
        <v>0</v>
      </c>
      <c r="S8896" s="5">
        <f t="shared" si="595"/>
        <v>70007.077158325032</v>
      </c>
      <c r="T8896" cm="1">
        <f t="array" ref="T8896">IF(OR(B8896="MAL ALIMI", B8896="ÜRETİM GİRİŞ"), MIN(I8896, MAX(0, I8896 + SUM(SUMIFS($I$1:I8895, $C$1:C8895, C8896, $B$1:B8895, {"MAL ALIMI","ÜRETİM GİRİŞ"})) - VLOOKUP(C8896, 'STOK RAPORU'!$C$2:$I$1000, 4, 0))), 0)</f>
        <v>0</v>
      </c>
      <c r="U8896" s="22">
        <f t="shared" si="596"/>
        <v>0</v>
      </c>
      <c r="V8896">
        <f t="shared" si="597"/>
        <v>0</v>
      </c>
      <c r="W8896" s="22">
        <f t="shared" si="598"/>
        <v>0</v>
      </c>
    </row>
    <row r="8897" spans="1:23" hidden="1" x14ac:dyDescent="0.25">
      <c r="A8897" s="4"/>
      <c r="B8897" s="4"/>
      <c r="C8897" s="4"/>
      <c r="D8897" s="4"/>
      <c r="E8897" s="4"/>
      <c r="F8897" s="4"/>
      <c r="G8897" s="4"/>
      <c r="H8897" s="4"/>
      <c r="I8897" s="4"/>
      <c r="J8897" s="21">
        <f>IFERROR(VLOOKUP(C8897,'STOK KARTLARI'!$C$2:$K$2150,8,0),0)</f>
        <v>0</v>
      </c>
      <c r="K8897" s="21">
        <f t="shared" si="599"/>
        <v>0</v>
      </c>
      <c r="L8897" s="5">
        <f t="shared" si="601"/>
        <v>0</v>
      </c>
      <c r="M8897" s="4"/>
      <c r="N8897" s="4"/>
      <c r="O8897" s="5"/>
      <c r="P8897" s="5"/>
      <c r="Q8897" s="21">
        <f t="shared" si="602"/>
        <v>0</v>
      </c>
      <c r="R8897" s="21">
        <f t="shared" si="600"/>
        <v>0</v>
      </c>
      <c r="S8897" s="5">
        <f t="shared" si="595"/>
        <v>70007.077158325032</v>
      </c>
      <c r="T8897" cm="1">
        <f t="array" ref="T8897">IF(OR(B8897="MAL ALIMI", B8897="ÜRETİM GİRİŞ"), MIN(I8897, MAX(0, I8897 + SUM(SUMIFS($I$1:I8896, $C$1:C8896, C8897, $B$1:B8896, {"MAL ALIMI","ÜRETİM GİRİŞ"})) - VLOOKUP(C8897, 'STOK RAPORU'!$C$2:$I$1000, 4, 0))), 0)</f>
        <v>0</v>
      </c>
      <c r="U8897" s="22">
        <f t="shared" si="596"/>
        <v>0</v>
      </c>
      <c r="V8897">
        <f t="shared" si="597"/>
        <v>0</v>
      </c>
      <c r="W8897" s="22">
        <f t="shared" si="598"/>
        <v>0</v>
      </c>
    </row>
    <row r="8898" spans="1:23" hidden="1" x14ac:dyDescent="0.25">
      <c r="A8898" s="4"/>
      <c r="B8898" s="4"/>
      <c r="C8898" s="4"/>
      <c r="D8898" s="4"/>
      <c r="E8898" s="4"/>
      <c r="F8898" s="4"/>
      <c r="G8898" s="4"/>
      <c r="H8898" s="4"/>
      <c r="I8898" s="4"/>
      <c r="J8898" s="21">
        <f>IFERROR(VLOOKUP(C8898,'STOK KARTLARI'!$C$2:$K$2150,8,0),0)</f>
        <v>0</v>
      </c>
      <c r="K8898" s="21">
        <f t="shared" si="599"/>
        <v>0</v>
      </c>
      <c r="L8898" s="5">
        <f t="shared" si="601"/>
        <v>0</v>
      </c>
      <c r="M8898" s="4"/>
      <c r="N8898" s="4"/>
      <c r="O8898" s="5"/>
      <c r="P8898" s="5"/>
      <c r="Q8898" s="21">
        <f t="shared" si="602"/>
        <v>0</v>
      </c>
      <c r="R8898" s="21">
        <f t="shared" si="600"/>
        <v>0</v>
      </c>
      <c r="S8898" s="5">
        <f t="shared" si="595"/>
        <v>70007.077158325032</v>
      </c>
      <c r="T8898" cm="1">
        <f t="array" ref="T8898">IF(OR(B8898="MAL ALIMI", B8898="ÜRETİM GİRİŞ"), MIN(I8898, MAX(0, I8898 + SUM(SUMIFS($I$1:I8897, $C$1:C8897, C8898, $B$1:B8897, {"MAL ALIMI","ÜRETİM GİRİŞ"})) - VLOOKUP(C8898, 'STOK RAPORU'!$C$2:$I$1000, 4, 0))), 0)</f>
        <v>0</v>
      </c>
      <c r="U8898" s="22">
        <f t="shared" si="596"/>
        <v>0</v>
      </c>
      <c r="V8898">
        <f t="shared" si="597"/>
        <v>0</v>
      </c>
      <c r="W8898" s="22">
        <f t="shared" si="598"/>
        <v>0</v>
      </c>
    </row>
    <row r="8899" spans="1:23" hidden="1" x14ac:dyDescent="0.25">
      <c r="A8899" s="3"/>
      <c r="B8899" s="4"/>
      <c r="C8899" s="4"/>
      <c r="D8899" s="4"/>
      <c r="E8899" s="4"/>
      <c r="F8899" s="4"/>
      <c r="G8899" s="4"/>
      <c r="H8899" s="4"/>
      <c r="I8899" s="4"/>
      <c r="J8899" s="21">
        <f>IFERROR(VLOOKUP(C8899,'STOK KARTLARI'!$C$2:$K$2150,8,0),0)</f>
        <v>0</v>
      </c>
      <c r="K8899" s="21">
        <f t="shared" si="599"/>
        <v>0</v>
      </c>
      <c r="L8899" s="5">
        <f t="shared" si="601"/>
        <v>0</v>
      </c>
      <c r="M8899" s="4"/>
      <c r="N8899" s="4"/>
      <c r="O8899" s="5"/>
      <c r="P8899" s="5"/>
      <c r="Q8899" s="21">
        <f t="shared" si="602"/>
        <v>0</v>
      </c>
      <c r="R8899" s="21">
        <f t="shared" si="600"/>
        <v>0</v>
      </c>
      <c r="S8899" s="5">
        <f t="shared" si="595"/>
        <v>70007.077158325032</v>
      </c>
      <c r="T8899" cm="1">
        <f t="array" ref="T8899">IF(OR(B8899="MAL ALIMI", B8899="ÜRETİM GİRİŞ"), MIN(I8899, MAX(0, I8899 + SUM(SUMIFS($I$1:I8898, $C$1:C8898, C8899, $B$1:B8898, {"MAL ALIMI","ÜRETİM GİRİŞ"})) - VLOOKUP(C8899, 'STOK RAPORU'!$C$2:$I$1000, 4, 0))), 0)</f>
        <v>0</v>
      </c>
      <c r="U8899" s="22">
        <f t="shared" si="596"/>
        <v>0</v>
      </c>
      <c r="V8899">
        <f t="shared" si="597"/>
        <v>0</v>
      </c>
      <c r="W8899" s="22">
        <f t="shared" si="598"/>
        <v>0</v>
      </c>
    </row>
    <row r="8900" spans="1:23" hidden="1" x14ac:dyDescent="0.25">
      <c r="A8900" s="4"/>
      <c r="B8900" s="4"/>
      <c r="C8900" s="4"/>
      <c r="D8900" s="4"/>
      <c r="E8900" s="4"/>
      <c r="F8900" s="4"/>
      <c r="G8900" s="4"/>
      <c r="H8900" s="4"/>
      <c r="I8900" s="4"/>
      <c r="J8900" s="21">
        <f>IFERROR(VLOOKUP(C8900,'STOK KARTLARI'!$C$2:$K$2150,8,0),0)</f>
        <v>0</v>
      </c>
      <c r="K8900" s="21">
        <f t="shared" si="599"/>
        <v>0</v>
      </c>
      <c r="L8900" s="5">
        <f t="shared" si="601"/>
        <v>0</v>
      </c>
      <c r="M8900" s="4"/>
      <c r="N8900" s="4"/>
      <c r="O8900" s="5"/>
      <c r="P8900" s="5"/>
      <c r="Q8900" s="21">
        <f t="shared" si="602"/>
        <v>0</v>
      </c>
      <c r="R8900" s="21">
        <f t="shared" si="600"/>
        <v>0</v>
      </c>
      <c r="S8900" s="5">
        <f t="shared" si="595"/>
        <v>70007.077158325032</v>
      </c>
      <c r="T8900" cm="1">
        <f t="array" ref="T8900">IF(OR(B8900="MAL ALIMI", B8900="ÜRETİM GİRİŞ"), MIN(I8900, MAX(0, I8900 + SUM(SUMIFS($I$1:I8899, $C$1:C8899, C8900, $B$1:B8899, {"MAL ALIMI","ÜRETİM GİRİŞ"})) - VLOOKUP(C8900, 'STOK RAPORU'!$C$2:$I$1000, 4, 0))), 0)</f>
        <v>0</v>
      </c>
      <c r="U8900" s="22">
        <f t="shared" si="596"/>
        <v>0</v>
      </c>
      <c r="V8900">
        <f t="shared" si="597"/>
        <v>0</v>
      </c>
      <c r="W8900" s="22">
        <f t="shared" si="598"/>
        <v>0</v>
      </c>
    </row>
    <row r="8901" spans="1:23" hidden="1" x14ac:dyDescent="0.25">
      <c r="A8901" s="4"/>
      <c r="B8901" s="4"/>
      <c r="C8901" s="4"/>
      <c r="D8901" s="4"/>
      <c r="E8901" s="4"/>
      <c r="F8901" s="4"/>
      <c r="G8901" s="4"/>
      <c r="H8901" s="4"/>
      <c r="I8901" s="4"/>
      <c r="J8901" s="21">
        <f>IFERROR(VLOOKUP(C8901,'STOK KARTLARI'!$C$2:$K$2150,8,0),0)</f>
        <v>0</v>
      </c>
      <c r="K8901" s="21">
        <f t="shared" si="599"/>
        <v>0</v>
      </c>
      <c r="L8901" s="5">
        <f t="shared" si="601"/>
        <v>0</v>
      </c>
      <c r="M8901" s="4"/>
      <c r="N8901" s="4"/>
      <c r="O8901" s="5"/>
      <c r="P8901" s="5"/>
      <c r="Q8901" s="21">
        <f t="shared" si="602"/>
        <v>0</v>
      </c>
      <c r="R8901" s="21">
        <f t="shared" si="600"/>
        <v>0</v>
      </c>
      <c r="S8901" s="5">
        <f t="shared" ref="S8901:S8964" si="603">S8900+Q8901-R8901</f>
        <v>70007.077158325032</v>
      </c>
      <c r="T8901" cm="1">
        <f t="array" ref="T8901">IF(OR(B8901="MAL ALIMI", B8901="ÜRETİM GİRİŞ"), MIN(I8901, MAX(0, I8901 + SUM(SUMIFS($I$1:I8900, $C$1:C8900, C8901, $B$1:B8900, {"MAL ALIMI","ÜRETİM GİRİŞ"})) - VLOOKUP(C8901, 'STOK RAPORU'!$C$2:$I$1000, 4, 0))), 0)</f>
        <v>0</v>
      </c>
      <c r="U8901" s="22">
        <f t="shared" si="596"/>
        <v>0</v>
      </c>
      <c r="V8901">
        <f t="shared" si="597"/>
        <v>0</v>
      </c>
      <c r="W8901" s="22">
        <f t="shared" si="598"/>
        <v>0</v>
      </c>
    </row>
    <row r="8902" spans="1:23" hidden="1" x14ac:dyDescent="0.25">
      <c r="A8902" s="4"/>
      <c r="B8902" s="4"/>
      <c r="C8902" s="4"/>
      <c r="D8902" s="4"/>
      <c r="E8902" s="4"/>
      <c r="F8902" s="4"/>
      <c r="G8902" s="4"/>
      <c r="H8902" s="4"/>
      <c r="I8902" s="4"/>
      <c r="J8902" s="21">
        <f>IFERROR(VLOOKUP(C8902,'STOK KARTLARI'!$C$2:$K$2150,8,0),0)</f>
        <v>0</v>
      </c>
      <c r="K8902" s="21">
        <f t="shared" si="599"/>
        <v>0</v>
      </c>
      <c r="L8902" s="5">
        <f t="shared" si="601"/>
        <v>0</v>
      </c>
      <c r="M8902" s="4"/>
      <c r="N8902" s="4"/>
      <c r="O8902" s="5"/>
      <c r="P8902" s="5"/>
      <c r="Q8902" s="21">
        <f t="shared" si="602"/>
        <v>0</v>
      </c>
      <c r="R8902" s="21">
        <f t="shared" si="600"/>
        <v>0</v>
      </c>
      <c r="S8902" s="5">
        <f t="shared" si="603"/>
        <v>70007.077158325032</v>
      </c>
      <c r="T8902" cm="1">
        <f t="array" ref="T8902">IF(OR(B8902="MAL ALIMI", B8902="ÜRETİM GİRİŞ"), MIN(I8902, MAX(0, I8902 + SUM(SUMIFS($I$1:I8901, $C$1:C8901, C8902, $B$1:B8901, {"MAL ALIMI","ÜRETİM GİRİŞ"})) - VLOOKUP(C8902, 'STOK RAPORU'!$C$2:$I$1000, 4, 0))), 0)</f>
        <v>0</v>
      </c>
      <c r="U8902" s="22">
        <f t="shared" si="596"/>
        <v>0</v>
      </c>
      <c r="V8902">
        <f t="shared" si="597"/>
        <v>0</v>
      </c>
      <c r="W8902" s="22">
        <f t="shared" si="598"/>
        <v>0</v>
      </c>
    </row>
    <row r="8903" spans="1:23" hidden="1" x14ac:dyDescent="0.25">
      <c r="A8903" s="4"/>
      <c r="B8903" s="4"/>
      <c r="C8903" s="4"/>
      <c r="D8903" s="4"/>
      <c r="E8903" s="4"/>
      <c r="F8903" s="4"/>
      <c r="G8903" s="4"/>
      <c r="H8903" s="4"/>
      <c r="I8903" s="4"/>
      <c r="J8903" s="21">
        <f>IFERROR(VLOOKUP(C8903,'STOK KARTLARI'!$C$2:$K$2150,8,0),0)</f>
        <v>0</v>
      </c>
      <c r="K8903" s="21">
        <f t="shared" si="599"/>
        <v>0</v>
      </c>
      <c r="L8903" s="5">
        <f t="shared" si="601"/>
        <v>0</v>
      </c>
      <c r="M8903" s="4"/>
      <c r="N8903" s="4"/>
      <c r="O8903" s="5"/>
      <c r="P8903" s="5"/>
      <c r="Q8903" s="21">
        <f t="shared" si="602"/>
        <v>0</v>
      </c>
      <c r="R8903" s="21">
        <f t="shared" si="600"/>
        <v>0</v>
      </c>
      <c r="S8903" s="5">
        <f t="shared" si="603"/>
        <v>70007.077158325032</v>
      </c>
      <c r="T8903" cm="1">
        <f t="array" ref="T8903">IF(OR(B8903="MAL ALIMI", B8903="ÜRETİM GİRİŞ"), MIN(I8903, MAX(0, I8903 + SUM(SUMIFS($I$1:I8902, $C$1:C8902, C8903, $B$1:B8902, {"MAL ALIMI","ÜRETİM GİRİŞ"})) - VLOOKUP(C8903, 'STOK RAPORU'!$C$2:$I$1000, 4, 0))), 0)</f>
        <v>0</v>
      </c>
      <c r="U8903" s="22">
        <f t="shared" si="596"/>
        <v>0</v>
      </c>
      <c r="V8903">
        <f t="shared" si="597"/>
        <v>0</v>
      </c>
      <c r="W8903" s="22">
        <f t="shared" si="598"/>
        <v>0</v>
      </c>
    </row>
    <row r="8904" spans="1:23" hidden="1" x14ac:dyDescent="0.25">
      <c r="A8904" s="4"/>
      <c r="B8904" s="4"/>
      <c r="C8904" s="4"/>
      <c r="D8904" s="4"/>
      <c r="E8904" s="4"/>
      <c r="F8904" s="4"/>
      <c r="G8904" s="4"/>
      <c r="H8904" s="4"/>
      <c r="I8904" s="4"/>
      <c r="J8904" s="21">
        <f>IFERROR(VLOOKUP(C8904,'STOK KARTLARI'!$C$2:$K$2150,8,0),0)</f>
        <v>0</v>
      </c>
      <c r="K8904" s="21">
        <f t="shared" si="599"/>
        <v>0</v>
      </c>
      <c r="L8904" s="5">
        <f t="shared" si="601"/>
        <v>0</v>
      </c>
      <c r="M8904" s="4"/>
      <c r="N8904" s="4"/>
      <c r="O8904" s="5"/>
      <c r="P8904" s="5"/>
      <c r="Q8904" s="21">
        <f t="shared" si="602"/>
        <v>0</v>
      </c>
      <c r="R8904" s="21">
        <f t="shared" si="600"/>
        <v>0</v>
      </c>
      <c r="S8904" s="5">
        <f t="shared" si="603"/>
        <v>70007.077158325032</v>
      </c>
      <c r="T8904" cm="1">
        <f t="array" ref="T8904">IF(OR(B8904="MAL ALIMI", B8904="ÜRETİM GİRİŞ"), MIN(I8904, MAX(0, I8904 + SUM(SUMIFS($I$1:I8903, $C$1:C8903, C8904, $B$1:B8903, {"MAL ALIMI","ÜRETİM GİRİŞ"})) - VLOOKUP(C8904, 'STOK RAPORU'!$C$2:$I$1000, 4, 0))), 0)</f>
        <v>0</v>
      </c>
      <c r="U8904" s="22">
        <f t="shared" si="596"/>
        <v>0</v>
      </c>
      <c r="V8904">
        <f t="shared" si="597"/>
        <v>0</v>
      </c>
      <c r="W8904" s="22">
        <f t="shared" si="598"/>
        <v>0</v>
      </c>
    </row>
    <row r="8905" spans="1:23" hidden="1" x14ac:dyDescent="0.25">
      <c r="A8905" s="4"/>
      <c r="B8905" s="4"/>
      <c r="C8905" s="4"/>
      <c r="D8905" s="4"/>
      <c r="E8905" s="4"/>
      <c r="F8905" s="4"/>
      <c r="G8905" s="4"/>
      <c r="H8905" s="4"/>
      <c r="I8905" s="4"/>
      <c r="J8905" s="21">
        <f>IFERROR(VLOOKUP(C8905,'STOK KARTLARI'!$C$2:$K$2150,8,0),0)</f>
        <v>0</v>
      </c>
      <c r="K8905" s="21">
        <f t="shared" si="599"/>
        <v>0</v>
      </c>
      <c r="L8905" s="5">
        <f t="shared" si="601"/>
        <v>0</v>
      </c>
      <c r="M8905" s="4"/>
      <c r="N8905" s="4"/>
      <c r="O8905" s="5"/>
      <c r="P8905" s="5"/>
      <c r="Q8905" s="21">
        <f t="shared" si="602"/>
        <v>0</v>
      </c>
      <c r="R8905" s="21">
        <f t="shared" si="600"/>
        <v>0</v>
      </c>
      <c r="S8905" s="5">
        <f t="shared" si="603"/>
        <v>70007.077158325032</v>
      </c>
      <c r="T8905" cm="1">
        <f t="array" ref="T8905">IF(OR(B8905="MAL ALIMI", B8905="ÜRETİM GİRİŞ"), MIN(I8905, MAX(0, I8905 + SUM(SUMIFS($I$1:I8904, $C$1:C8904, C8905, $B$1:B8904, {"MAL ALIMI","ÜRETİM GİRİŞ"})) - VLOOKUP(C8905, 'STOK RAPORU'!$C$2:$I$1000, 4, 0))), 0)</f>
        <v>0</v>
      </c>
      <c r="U8905" s="22">
        <f t="shared" si="596"/>
        <v>0</v>
      </c>
      <c r="V8905">
        <f t="shared" si="597"/>
        <v>0</v>
      </c>
      <c r="W8905" s="22">
        <f t="shared" si="598"/>
        <v>0</v>
      </c>
    </row>
    <row r="8906" spans="1:23" hidden="1" x14ac:dyDescent="0.25">
      <c r="A8906" s="3"/>
      <c r="B8906" s="4"/>
      <c r="C8906" s="4"/>
      <c r="D8906" s="4"/>
      <c r="E8906" s="4"/>
      <c r="F8906" s="4"/>
      <c r="G8906" s="4"/>
      <c r="H8906" s="4"/>
      <c r="I8906" s="4"/>
      <c r="J8906" s="21">
        <f>IFERROR(VLOOKUP(C8906,'STOK KARTLARI'!$C$2:$K$2150,8,0),0)</f>
        <v>0</v>
      </c>
      <c r="K8906" s="21">
        <f t="shared" si="599"/>
        <v>0</v>
      </c>
      <c r="L8906" s="5">
        <f t="shared" si="601"/>
        <v>0</v>
      </c>
      <c r="M8906" s="4"/>
      <c r="N8906" s="4"/>
      <c r="O8906" s="5"/>
      <c r="P8906" s="5"/>
      <c r="Q8906" s="21">
        <f t="shared" si="602"/>
        <v>0</v>
      </c>
      <c r="R8906" s="21">
        <f t="shared" si="600"/>
        <v>0</v>
      </c>
      <c r="S8906" s="5">
        <f t="shared" si="603"/>
        <v>70007.077158325032</v>
      </c>
      <c r="T8906" cm="1">
        <f t="array" ref="T8906">IF(OR(B8906="MAL ALIMI", B8906="ÜRETİM GİRİŞ"), MIN(I8906, MAX(0, I8906 + SUM(SUMIFS($I$1:I8905, $C$1:C8905, C8906, $B$1:B8905, {"MAL ALIMI","ÜRETİM GİRİŞ"})) - VLOOKUP(C8906, 'STOK RAPORU'!$C$2:$I$1000, 4, 0))), 0)</f>
        <v>0</v>
      </c>
      <c r="U8906" s="22">
        <f t="shared" si="596"/>
        <v>0</v>
      </c>
      <c r="V8906">
        <f t="shared" si="597"/>
        <v>0</v>
      </c>
      <c r="W8906" s="22">
        <f t="shared" si="598"/>
        <v>0</v>
      </c>
    </row>
    <row r="8907" spans="1:23" hidden="1" x14ac:dyDescent="0.25">
      <c r="A8907" s="4"/>
      <c r="B8907" s="4"/>
      <c r="C8907" s="4"/>
      <c r="D8907" s="4"/>
      <c r="E8907" s="4"/>
      <c r="F8907" s="4"/>
      <c r="G8907" s="4"/>
      <c r="H8907" s="4"/>
      <c r="I8907" s="4"/>
      <c r="J8907" s="21">
        <f>IFERROR(VLOOKUP(C8907,'STOK KARTLARI'!$C$2:$K$2150,8,0),0)</f>
        <v>0</v>
      </c>
      <c r="K8907" s="21">
        <f t="shared" si="599"/>
        <v>0</v>
      </c>
      <c r="L8907" s="5">
        <f t="shared" si="601"/>
        <v>0</v>
      </c>
      <c r="M8907" s="4"/>
      <c r="N8907" s="4"/>
      <c r="O8907" s="5"/>
      <c r="P8907" s="5"/>
      <c r="Q8907" s="21">
        <f t="shared" si="602"/>
        <v>0</v>
      </c>
      <c r="R8907" s="21">
        <f t="shared" si="600"/>
        <v>0</v>
      </c>
      <c r="S8907" s="5">
        <f t="shared" si="603"/>
        <v>70007.077158325032</v>
      </c>
      <c r="T8907" cm="1">
        <f t="array" ref="T8907">IF(OR(B8907="MAL ALIMI", B8907="ÜRETİM GİRİŞ"), MIN(I8907, MAX(0, I8907 + SUM(SUMIFS($I$1:I8906, $C$1:C8906, C8907, $B$1:B8906, {"MAL ALIMI","ÜRETİM GİRİŞ"})) - VLOOKUP(C8907, 'STOK RAPORU'!$C$2:$I$1000, 4, 0))), 0)</f>
        <v>0</v>
      </c>
      <c r="U8907" s="22">
        <f t="shared" si="596"/>
        <v>0</v>
      </c>
      <c r="V8907">
        <f t="shared" si="597"/>
        <v>0</v>
      </c>
      <c r="W8907" s="22">
        <f t="shared" si="598"/>
        <v>0</v>
      </c>
    </row>
    <row r="8908" spans="1:23" hidden="1" x14ac:dyDescent="0.25">
      <c r="A8908" s="4"/>
      <c r="B8908" s="4"/>
      <c r="C8908" s="4"/>
      <c r="D8908" s="4"/>
      <c r="E8908" s="4"/>
      <c r="F8908" s="4"/>
      <c r="G8908" s="4"/>
      <c r="H8908" s="4"/>
      <c r="I8908" s="4"/>
      <c r="J8908" s="21">
        <f>IFERROR(VLOOKUP(C8908,'STOK KARTLARI'!$C$2:$K$2150,8,0),0)</f>
        <v>0</v>
      </c>
      <c r="K8908" s="21">
        <f t="shared" si="599"/>
        <v>0</v>
      </c>
      <c r="L8908" s="5">
        <f t="shared" si="601"/>
        <v>0</v>
      </c>
      <c r="M8908" s="4"/>
      <c r="N8908" s="4"/>
      <c r="O8908" s="5"/>
      <c r="P8908" s="5"/>
      <c r="Q8908" s="21">
        <f t="shared" si="602"/>
        <v>0</v>
      </c>
      <c r="R8908" s="21">
        <f t="shared" si="600"/>
        <v>0</v>
      </c>
      <c r="S8908" s="5">
        <f t="shared" si="603"/>
        <v>70007.077158325032</v>
      </c>
      <c r="T8908" cm="1">
        <f t="array" ref="T8908">IF(OR(B8908="MAL ALIMI", B8908="ÜRETİM GİRİŞ"), MIN(I8908, MAX(0, I8908 + SUM(SUMIFS($I$1:I8907, $C$1:C8907, C8908, $B$1:B8907, {"MAL ALIMI","ÜRETİM GİRİŞ"})) - VLOOKUP(C8908, 'STOK RAPORU'!$C$2:$I$1000, 4, 0))), 0)</f>
        <v>0</v>
      </c>
      <c r="U8908" s="22">
        <f t="shared" si="596"/>
        <v>0</v>
      </c>
      <c r="V8908">
        <f t="shared" si="597"/>
        <v>0</v>
      </c>
      <c r="W8908" s="22">
        <f t="shared" si="598"/>
        <v>0</v>
      </c>
    </row>
    <row r="8909" spans="1:23" hidden="1" x14ac:dyDescent="0.25">
      <c r="A8909" s="4"/>
      <c r="B8909" s="4"/>
      <c r="C8909" s="4"/>
      <c r="D8909" s="4"/>
      <c r="E8909" s="4"/>
      <c r="F8909" s="4"/>
      <c r="G8909" s="4"/>
      <c r="H8909" s="4"/>
      <c r="I8909" s="4"/>
      <c r="J8909" s="21">
        <f>IFERROR(VLOOKUP(C8909,'STOK KARTLARI'!$C$2:$K$2150,8,0),0)</f>
        <v>0</v>
      </c>
      <c r="K8909" s="21">
        <f t="shared" si="599"/>
        <v>0</v>
      </c>
      <c r="L8909" s="5">
        <f t="shared" si="601"/>
        <v>0</v>
      </c>
      <c r="M8909" s="4"/>
      <c r="N8909" s="4"/>
      <c r="O8909" s="5"/>
      <c r="P8909" s="5"/>
      <c r="Q8909" s="21">
        <f t="shared" si="602"/>
        <v>0</v>
      </c>
      <c r="R8909" s="21">
        <f t="shared" si="600"/>
        <v>0</v>
      </c>
      <c r="S8909" s="5">
        <f t="shared" si="603"/>
        <v>70007.077158325032</v>
      </c>
      <c r="T8909" cm="1">
        <f t="array" ref="T8909">IF(OR(B8909="MAL ALIMI", B8909="ÜRETİM GİRİŞ"), MIN(I8909, MAX(0, I8909 + SUM(SUMIFS($I$1:I8908, $C$1:C8908, C8909, $B$1:B8908, {"MAL ALIMI","ÜRETİM GİRİŞ"})) - VLOOKUP(C8909, 'STOK RAPORU'!$C$2:$I$1000, 4, 0))), 0)</f>
        <v>0</v>
      </c>
      <c r="U8909" s="22">
        <f t="shared" si="596"/>
        <v>0</v>
      </c>
      <c r="V8909">
        <f t="shared" si="597"/>
        <v>0</v>
      </c>
      <c r="W8909" s="22">
        <f t="shared" si="598"/>
        <v>0</v>
      </c>
    </row>
    <row r="8910" spans="1:23" hidden="1" x14ac:dyDescent="0.25">
      <c r="A8910" s="4"/>
      <c r="B8910" s="4"/>
      <c r="C8910" s="4"/>
      <c r="D8910" s="4"/>
      <c r="E8910" s="4"/>
      <c r="F8910" s="4"/>
      <c r="G8910" s="4"/>
      <c r="H8910" s="4"/>
      <c r="I8910" s="4"/>
      <c r="J8910" s="21">
        <f>IFERROR(VLOOKUP(C8910,'STOK KARTLARI'!$C$2:$K$2150,8,0),0)</f>
        <v>0</v>
      </c>
      <c r="K8910" s="21">
        <f t="shared" si="599"/>
        <v>0</v>
      </c>
      <c r="L8910" s="5">
        <f t="shared" si="601"/>
        <v>0</v>
      </c>
      <c r="M8910" s="4"/>
      <c r="N8910" s="4"/>
      <c r="O8910" s="5"/>
      <c r="P8910" s="5"/>
      <c r="Q8910" s="21">
        <f t="shared" si="602"/>
        <v>0</v>
      </c>
      <c r="R8910" s="21">
        <f t="shared" si="600"/>
        <v>0</v>
      </c>
      <c r="S8910" s="5">
        <f t="shared" si="603"/>
        <v>70007.077158325032</v>
      </c>
      <c r="T8910" cm="1">
        <f t="array" ref="T8910">IF(OR(B8910="MAL ALIMI", B8910="ÜRETİM GİRİŞ"), MIN(I8910, MAX(0, I8910 + SUM(SUMIFS($I$1:I8909, $C$1:C8909, C8910, $B$1:B8909, {"MAL ALIMI","ÜRETİM GİRİŞ"})) - VLOOKUP(C8910, 'STOK RAPORU'!$C$2:$I$1000, 4, 0))), 0)</f>
        <v>0</v>
      </c>
      <c r="U8910" s="22">
        <f t="shared" si="596"/>
        <v>0</v>
      </c>
      <c r="V8910">
        <f t="shared" si="597"/>
        <v>0</v>
      </c>
      <c r="W8910" s="22">
        <f t="shared" si="598"/>
        <v>0</v>
      </c>
    </row>
    <row r="8911" spans="1:23" hidden="1" x14ac:dyDescent="0.25">
      <c r="A8911" s="4"/>
      <c r="B8911" s="4"/>
      <c r="C8911" s="4"/>
      <c r="D8911" s="4"/>
      <c r="E8911" s="4"/>
      <c r="F8911" s="4"/>
      <c r="G8911" s="4"/>
      <c r="H8911" s="4"/>
      <c r="I8911" s="4"/>
      <c r="J8911" s="21">
        <f>IFERROR(VLOOKUP(C8911,'STOK KARTLARI'!$C$2:$K$2150,8,0),0)</f>
        <v>0</v>
      </c>
      <c r="K8911" s="21">
        <f t="shared" si="599"/>
        <v>0</v>
      </c>
      <c r="L8911" s="5">
        <f t="shared" si="601"/>
        <v>0</v>
      </c>
      <c r="M8911" s="4"/>
      <c r="N8911" s="4"/>
      <c r="O8911" s="5"/>
      <c r="P8911" s="5"/>
      <c r="Q8911" s="21">
        <f t="shared" si="602"/>
        <v>0</v>
      </c>
      <c r="R8911" s="21">
        <f t="shared" si="600"/>
        <v>0</v>
      </c>
      <c r="S8911" s="5">
        <f t="shared" si="603"/>
        <v>70007.077158325032</v>
      </c>
      <c r="T8911" cm="1">
        <f t="array" ref="T8911">IF(OR(B8911="MAL ALIMI", B8911="ÜRETİM GİRİŞ"), MIN(I8911, MAX(0, I8911 + SUM(SUMIFS($I$1:I8910, $C$1:C8910, C8911, $B$1:B8910, {"MAL ALIMI","ÜRETİM GİRİŞ"})) - VLOOKUP(C8911, 'STOK RAPORU'!$C$2:$I$1000, 4, 0))), 0)</f>
        <v>0</v>
      </c>
      <c r="U8911" s="22">
        <f t="shared" si="596"/>
        <v>0</v>
      </c>
      <c r="V8911">
        <f t="shared" si="597"/>
        <v>0</v>
      </c>
      <c r="W8911" s="22">
        <f t="shared" si="598"/>
        <v>0</v>
      </c>
    </row>
    <row r="8912" spans="1:23" hidden="1" x14ac:dyDescent="0.25">
      <c r="A8912" s="4"/>
      <c r="B8912" s="4"/>
      <c r="C8912" s="4"/>
      <c r="D8912" s="4"/>
      <c r="E8912" s="4"/>
      <c r="F8912" s="4"/>
      <c r="G8912" s="4"/>
      <c r="H8912" s="4"/>
      <c r="I8912" s="4"/>
      <c r="J8912" s="21">
        <f>IFERROR(VLOOKUP(C8912,'STOK KARTLARI'!$C$2:$K$2150,8,0),0)</f>
        <v>0</v>
      </c>
      <c r="K8912" s="21">
        <f t="shared" si="599"/>
        <v>0</v>
      </c>
      <c r="L8912" s="5">
        <f t="shared" si="601"/>
        <v>0</v>
      </c>
      <c r="M8912" s="4"/>
      <c r="N8912" s="4"/>
      <c r="O8912" s="5"/>
      <c r="P8912" s="5"/>
      <c r="Q8912" s="21">
        <f t="shared" si="602"/>
        <v>0</v>
      </c>
      <c r="R8912" s="21">
        <f t="shared" si="600"/>
        <v>0</v>
      </c>
      <c r="S8912" s="5">
        <f t="shared" si="603"/>
        <v>70007.077158325032</v>
      </c>
      <c r="T8912" cm="1">
        <f t="array" ref="T8912">IF(OR(B8912="MAL ALIMI", B8912="ÜRETİM GİRİŞ"), MIN(I8912, MAX(0, I8912 + SUM(SUMIFS($I$1:I8911, $C$1:C8911, C8912, $B$1:B8911, {"MAL ALIMI","ÜRETİM GİRİŞ"})) - VLOOKUP(C8912, 'STOK RAPORU'!$C$2:$I$1000, 4, 0))), 0)</f>
        <v>0</v>
      </c>
      <c r="U8912" s="22">
        <f t="shared" si="596"/>
        <v>0</v>
      </c>
      <c r="V8912">
        <f t="shared" si="597"/>
        <v>0</v>
      </c>
      <c r="W8912" s="22">
        <f t="shared" si="598"/>
        <v>0</v>
      </c>
    </row>
    <row r="8913" spans="1:23" hidden="1" x14ac:dyDescent="0.25">
      <c r="A8913" s="3"/>
      <c r="B8913" s="4"/>
      <c r="C8913" s="4"/>
      <c r="D8913" s="4"/>
      <c r="E8913" s="4"/>
      <c r="F8913" s="4"/>
      <c r="G8913" s="4"/>
      <c r="H8913" s="4"/>
      <c r="I8913" s="4"/>
      <c r="J8913" s="21">
        <f>IFERROR(VLOOKUP(C8913,'STOK KARTLARI'!$C$2:$K$2150,8,0),0)</f>
        <v>0</v>
      </c>
      <c r="K8913" s="21">
        <f t="shared" si="599"/>
        <v>0</v>
      </c>
      <c r="L8913" s="5">
        <f t="shared" si="601"/>
        <v>0</v>
      </c>
      <c r="M8913" s="4"/>
      <c r="N8913" s="4"/>
      <c r="O8913" s="5"/>
      <c r="P8913" s="5"/>
      <c r="Q8913" s="21">
        <f t="shared" si="602"/>
        <v>0</v>
      </c>
      <c r="R8913" s="21">
        <f t="shared" si="600"/>
        <v>0</v>
      </c>
      <c r="S8913" s="5">
        <f t="shared" si="603"/>
        <v>70007.077158325032</v>
      </c>
      <c r="T8913" cm="1">
        <f t="array" ref="T8913">IF(OR(B8913="MAL ALIMI", B8913="ÜRETİM GİRİŞ"), MIN(I8913, MAX(0, I8913 + SUM(SUMIFS($I$1:I8912, $C$1:C8912, C8913, $B$1:B8912, {"MAL ALIMI","ÜRETİM GİRİŞ"})) - VLOOKUP(C8913, 'STOK RAPORU'!$C$2:$I$1000, 4, 0))), 0)</f>
        <v>0</v>
      </c>
      <c r="U8913" s="22">
        <f t="shared" si="596"/>
        <v>0</v>
      </c>
      <c r="V8913">
        <f t="shared" si="597"/>
        <v>0</v>
      </c>
      <c r="W8913" s="22">
        <f t="shared" si="598"/>
        <v>0</v>
      </c>
    </row>
    <row r="8914" spans="1:23" hidden="1" x14ac:dyDescent="0.25">
      <c r="A8914" s="4"/>
      <c r="B8914" s="4"/>
      <c r="C8914" s="4"/>
      <c r="D8914" s="4"/>
      <c r="E8914" s="4"/>
      <c r="F8914" s="4"/>
      <c r="G8914" s="4"/>
      <c r="H8914" s="4"/>
      <c r="I8914" s="4"/>
      <c r="J8914" s="21">
        <f>IFERROR(VLOOKUP(C8914,'STOK KARTLARI'!$C$2:$K$2150,8,0),0)</f>
        <v>0</v>
      </c>
      <c r="K8914" s="21">
        <f t="shared" si="599"/>
        <v>0</v>
      </c>
      <c r="L8914" s="5">
        <f t="shared" si="601"/>
        <v>0</v>
      </c>
      <c r="M8914" s="4"/>
      <c r="N8914" s="4"/>
      <c r="O8914" s="5"/>
      <c r="P8914" s="5"/>
      <c r="Q8914" s="21">
        <f t="shared" si="602"/>
        <v>0</v>
      </c>
      <c r="R8914" s="21">
        <f t="shared" si="600"/>
        <v>0</v>
      </c>
      <c r="S8914" s="5">
        <f t="shared" si="603"/>
        <v>70007.077158325032</v>
      </c>
      <c r="T8914" cm="1">
        <f t="array" ref="T8914">IF(OR(B8914="MAL ALIMI", B8914="ÜRETİM GİRİŞ"), MIN(I8914, MAX(0, I8914 + SUM(SUMIFS($I$1:I8913, $C$1:C8913, C8914, $B$1:B8913, {"MAL ALIMI","ÜRETİM GİRİŞ"})) - VLOOKUP(C8914, 'STOK RAPORU'!$C$2:$I$1000, 4, 0))), 0)</f>
        <v>0</v>
      </c>
      <c r="U8914" s="22">
        <f t="shared" si="596"/>
        <v>0</v>
      </c>
      <c r="V8914">
        <f t="shared" si="597"/>
        <v>0</v>
      </c>
      <c r="W8914" s="22">
        <f t="shared" si="598"/>
        <v>0</v>
      </c>
    </row>
    <row r="8915" spans="1:23" hidden="1" x14ac:dyDescent="0.25">
      <c r="A8915" s="4"/>
      <c r="B8915" s="4"/>
      <c r="C8915" s="4"/>
      <c r="D8915" s="4"/>
      <c r="E8915" s="4"/>
      <c r="F8915" s="4"/>
      <c r="G8915" s="4"/>
      <c r="H8915" s="4"/>
      <c r="I8915" s="4"/>
      <c r="J8915" s="21">
        <f>IFERROR(VLOOKUP(C8915,'STOK KARTLARI'!$C$2:$K$2150,8,0),0)</f>
        <v>0</v>
      </c>
      <c r="K8915" s="21">
        <f t="shared" si="599"/>
        <v>0</v>
      </c>
      <c r="L8915" s="5">
        <f t="shared" si="601"/>
        <v>0</v>
      </c>
      <c r="M8915" s="4"/>
      <c r="N8915" s="4"/>
      <c r="O8915" s="5"/>
      <c r="P8915" s="5"/>
      <c r="Q8915" s="21">
        <f t="shared" si="602"/>
        <v>0</v>
      </c>
      <c r="R8915" s="21">
        <f t="shared" si="600"/>
        <v>0</v>
      </c>
      <c r="S8915" s="5">
        <f t="shared" si="603"/>
        <v>70007.077158325032</v>
      </c>
      <c r="T8915" cm="1">
        <f t="array" ref="T8915">IF(OR(B8915="MAL ALIMI", B8915="ÜRETİM GİRİŞ"), MIN(I8915, MAX(0, I8915 + SUM(SUMIFS($I$1:I8914, $C$1:C8914, C8915, $B$1:B8914, {"MAL ALIMI","ÜRETİM GİRİŞ"})) - VLOOKUP(C8915, 'STOK RAPORU'!$C$2:$I$1000, 4, 0))), 0)</f>
        <v>0</v>
      </c>
      <c r="U8915" s="22">
        <f t="shared" si="596"/>
        <v>0</v>
      </c>
      <c r="V8915">
        <f t="shared" si="597"/>
        <v>0</v>
      </c>
      <c r="W8915" s="22">
        <f t="shared" si="598"/>
        <v>0</v>
      </c>
    </row>
    <row r="8916" spans="1:23" hidden="1" x14ac:dyDescent="0.25">
      <c r="A8916" s="4"/>
      <c r="B8916" s="4"/>
      <c r="C8916" s="4"/>
      <c r="D8916" s="4"/>
      <c r="E8916" s="4"/>
      <c r="F8916" s="4"/>
      <c r="G8916" s="4"/>
      <c r="H8916" s="4"/>
      <c r="I8916" s="4"/>
      <c r="J8916" s="21">
        <f>IFERROR(VLOOKUP(C8916,'STOK KARTLARI'!$C$2:$K$2150,8,0),0)</f>
        <v>0</v>
      </c>
      <c r="K8916" s="21">
        <f t="shared" si="599"/>
        <v>0</v>
      </c>
      <c r="L8916" s="5">
        <f t="shared" si="601"/>
        <v>0</v>
      </c>
      <c r="M8916" s="4"/>
      <c r="N8916" s="4"/>
      <c r="O8916" s="5"/>
      <c r="P8916" s="5"/>
      <c r="Q8916" s="21">
        <f t="shared" si="602"/>
        <v>0</v>
      </c>
      <c r="R8916" s="21">
        <f t="shared" si="600"/>
        <v>0</v>
      </c>
      <c r="S8916" s="5">
        <f t="shared" si="603"/>
        <v>70007.077158325032</v>
      </c>
      <c r="T8916" cm="1">
        <f t="array" ref="T8916">IF(OR(B8916="MAL ALIMI", B8916="ÜRETİM GİRİŞ"), MIN(I8916, MAX(0, I8916 + SUM(SUMIFS($I$1:I8915, $C$1:C8915, C8916, $B$1:B8915, {"MAL ALIMI","ÜRETİM GİRİŞ"})) - VLOOKUP(C8916, 'STOK RAPORU'!$C$2:$I$1000, 4, 0))), 0)</f>
        <v>0</v>
      </c>
      <c r="U8916" s="22">
        <f t="shared" si="596"/>
        <v>0</v>
      </c>
      <c r="V8916">
        <f t="shared" si="597"/>
        <v>0</v>
      </c>
      <c r="W8916" s="22">
        <f t="shared" si="598"/>
        <v>0</v>
      </c>
    </row>
    <row r="8917" spans="1:23" hidden="1" x14ac:dyDescent="0.25">
      <c r="A8917" s="4"/>
      <c r="B8917" s="4"/>
      <c r="C8917" s="4"/>
      <c r="D8917" s="4"/>
      <c r="E8917" s="4"/>
      <c r="F8917" s="4"/>
      <c r="G8917" s="4"/>
      <c r="H8917" s="4"/>
      <c r="I8917" s="4"/>
      <c r="J8917" s="21">
        <f>IFERROR(VLOOKUP(C8917,'STOK KARTLARI'!$C$2:$K$2150,8,0),0)</f>
        <v>0</v>
      </c>
      <c r="K8917" s="21">
        <f t="shared" si="599"/>
        <v>0</v>
      </c>
      <c r="L8917" s="5">
        <f t="shared" si="601"/>
        <v>0</v>
      </c>
      <c r="M8917" s="4"/>
      <c r="N8917" s="4"/>
      <c r="O8917" s="5"/>
      <c r="P8917" s="5"/>
      <c r="Q8917" s="21">
        <f t="shared" si="602"/>
        <v>0</v>
      </c>
      <c r="R8917" s="21">
        <f t="shared" si="600"/>
        <v>0</v>
      </c>
      <c r="S8917" s="5">
        <f t="shared" si="603"/>
        <v>70007.077158325032</v>
      </c>
      <c r="T8917" cm="1">
        <f t="array" ref="T8917">IF(OR(B8917="MAL ALIMI", B8917="ÜRETİM GİRİŞ"), MIN(I8917, MAX(0, I8917 + SUM(SUMIFS($I$1:I8916, $C$1:C8916, C8917, $B$1:B8916, {"MAL ALIMI","ÜRETİM GİRİŞ"})) - VLOOKUP(C8917, 'STOK RAPORU'!$C$2:$I$1000, 4, 0))), 0)</f>
        <v>0</v>
      </c>
      <c r="U8917" s="22">
        <f t="shared" si="596"/>
        <v>0</v>
      </c>
      <c r="V8917">
        <f t="shared" si="597"/>
        <v>0</v>
      </c>
      <c r="W8917" s="22">
        <f t="shared" si="598"/>
        <v>0</v>
      </c>
    </row>
    <row r="8918" spans="1:23" hidden="1" x14ac:dyDescent="0.25">
      <c r="A8918" s="4"/>
      <c r="B8918" s="4"/>
      <c r="C8918" s="4"/>
      <c r="D8918" s="4"/>
      <c r="E8918" s="4"/>
      <c r="F8918" s="4"/>
      <c r="G8918" s="4"/>
      <c r="H8918" s="4"/>
      <c r="I8918" s="4"/>
      <c r="J8918" s="21">
        <f>IFERROR(VLOOKUP(C8918,'STOK KARTLARI'!$C$2:$K$2150,8,0),0)</f>
        <v>0</v>
      </c>
      <c r="K8918" s="21">
        <f t="shared" si="599"/>
        <v>0</v>
      </c>
      <c r="L8918" s="5">
        <f t="shared" si="601"/>
        <v>0</v>
      </c>
      <c r="M8918" s="4"/>
      <c r="N8918" s="4"/>
      <c r="O8918" s="5"/>
      <c r="P8918" s="5"/>
      <c r="Q8918" s="21">
        <f t="shared" si="602"/>
        <v>0</v>
      </c>
      <c r="R8918" s="21">
        <f t="shared" si="600"/>
        <v>0</v>
      </c>
      <c r="S8918" s="5">
        <f t="shared" si="603"/>
        <v>70007.077158325032</v>
      </c>
      <c r="T8918" cm="1">
        <f t="array" ref="T8918">IF(OR(B8918="MAL ALIMI", B8918="ÜRETİM GİRİŞ"), MIN(I8918, MAX(0, I8918 + SUM(SUMIFS($I$1:I8917, $C$1:C8917, C8918, $B$1:B8917, {"MAL ALIMI","ÜRETİM GİRİŞ"})) - VLOOKUP(C8918, 'STOK RAPORU'!$C$2:$I$1000, 4, 0))), 0)</f>
        <v>0</v>
      </c>
      <c r="U8918" s="22">
        <f t="shared" si="596"/>
        <v>0</v>
      </c>
      <c r="V8918">
        <f t="shared" si="597"/>
        <v>0</v>
      </c>
      <c r="W8918" s="22">
        <f t="shared" si="598"/>
        <v>0</v>
      </c>
    </row>
    <row r="8919" spans="1:23" hidden="1" x14ac:dyDescent="0.25">
      <c r="A8919" s="4"/>
      <c r="B8919" s="4"/>
      <c r="C8919" s="4"/>
      <c r="D8919" s="4"/>
      <c r="E8919" s="4"/>
      <c r="F8919" s="4"/>
      <c r="G8919" s="4"/>
      <c r="H8919" s="4"/>
      <c r="I8919" s="4"/>
      <c r="J8919" s="21">
        <f>IFERROR(VLOOKUP(C8919,'STOK KARTLARI'!$C$2:$K$2150,8,0),0)</f>
        <v>0</v>
      </c>
      <c r="K8919" s="21">
        <f t="shared" si="599"/>
        <v>0</v>
      </c>
      <c r="L8919" s="5">
        <f t="shared" si="601"/>
        <v>0</v>
      </c>
      <c r="M8919" s="4"/>
      <c r="N8919" s="4"/>
      <c r="O8919" s="5"/>
      <c r="P8919" s="5"/>
      <c r="Q8919" s="21">
        <f t="shared" si="602"/>
        <v>0</v>
      </c>
      <c r="R8919" s="21">
        <f t="shared" si="600"/>
        <v>0</v>
      </c>
      <c r="S8919" s="5">
        <f t="shared" si="603"/>
        <v>70007.077158325032</v>
      </c>
      <c r="T8919" cm="1">
        <f t="array" ref="T8919">IF(OR(B8919="MAL ALIMI", B8919="ÜRETİM GİRİŞ"), MIN(I8919, MAX(0, I8919 + SUM(SUMIFS($I$1:I8918, $C$1:C8918, C8919, $B$1:B8918, {"MAL ALIMI","ÜRETİM GİRİŞ"})) - VLOOKUP(C8919, 'STOK RAPORU'!$C$2:$I$1000, 4, 0))), 0)</f>
        <v>0</v>
      </c>
      <c r="U8919" s="22">
        <f t="shared" si="596"/>
        <v>0</v>
      </c>
      <c r="V8919">
        <f t="shared" si="597"/>
        <v>0</v>
      </c>
      <c r="W8919" s="22">
        <f t="shared" si="598"/>
        <v>0</v>
      </c>
    </row>
    <row r="8920" spans="1:23" hidden="1" x14ac:dyDescent="0.25">
      <c r="A8920" s="3"/>
      <c r="B8920" s="4"/>
      <c r="C8920" s="4"/>
      <c r="D8920" s="4"/>
      <c r="E8920" s="4"/>
      <c r="F8920" s="4"/>
      <c r="G8920" s="4"/>
      <c r="H8920" s="4"/>
      <c r="I8920" s="4"/>
      <c r="J8920" s="21">
        <f>IFERROR(VLOOKUP(C8920,'STOK KARTLARI'!$C$2:$K$2150,8,0),0)</f>
        <v>0</v>
      </c>
      <c r="K8920" s="21">
        <f t="shared" si="599"/>
        <v>0</v>
      </c>
      <c r="L8920" s="5">
        <f t="shared" si="601"/>
        <v>0</v>
      </c>
      <c r="M8920" s="4"/>
      <c r="N8920" s="4"/>
      <c r="O8920" s="5"/>
      <c r="P8920" s="5"/>
      <c r="Q8920" s="21">
        <f t="shared" si="602"/>
        <v>0</v>
      </c>
      <c r="R8920" s="21">
        <f t="shared" si="600"/>
        <v>0</v>
      </c>
      <c r="S8920" s="5">
        <f t="shared" si="603"/>
        <v>70007.077158325032</v>
      </c>
      <c r="T8920" cm="1">
        <f t="array" ref="T8920">IF(OR(B8920="MAL ALIMI", B8920="ÜRETİM GİRİŞ"), MIN(I8920, MAX(0, I8920 + SUM(SUMIFS($I$1:I8919, $C$1:C8919, C8920, $B$1:B8919, {"MAL ALIMI","ÜRETİM GİRİŞ"})) - VLOOKUP(C8920, 'STOK RAPORU'!$C$2:$I$1000, 4, 0))), 0)</f>
        <v>0</v>
      </c>
      <c r="U8920" s="22">
        <f t="shared" si="596"/>
        <v>0</v>
      </c>
      <c r="V8920">
        <f t="shared" si="597"/>
        <v>0</v>
      </c>
      <c r="W8920" s="22">
        <f t="shared" si="598"/>
        <v>0</v>
      </c>
    </row>
    <row r="8921" spans="1:23" hidden="1" x14ac:dyDescent="0.25">
      <c r="A8921" s="4"/>
      <c r="B8921" s="4"/>
      <c r="C8921" s="4"/>
      <c r="D8921" s="4"/>
      <c r="E8921" s="4"/>
      <c r="F8921" s="4"/>
      <c r="G8921" s="4"/>
      <c r="H8921" s="4"/>
      <c r="I8921" s="4"/>
      <c r="J8921" s="21">
        <f>IFERROR(VLOOKUP(C8921,'STOK KARTLARI'!$C$2:$K$2150,8,0),0)</f>
        <v>0</v>
      </c>
      <c r="K8921" s="21">
        <f t="shared" si="599"/>
        <v>0</v>
      </c>
      <c r="L8921" s="5">
        <f t="shared" si="601"/>
        <v>0</v>
      </c>
      <c r="M8921" s="4"/>
      <c r="N8921" s="4"/>
      <c r="O8921" s="5"/>
      <c r="P8921" s="5"/>
      <c r="Q8921" s="21">
        <f t="shared" si="602"/>
        <v>0</v>
      </c>
      <c r="R8921" s="21">
        <f t="shared" si="600"/>
        <v>0</v>
      </c>
      <c r="S8921" s="5">
        <f t="shared" si="603"/>
        <v>70007.077158325032</v>
      </c>
      <c r="T8921" cm="1">
        <f t="array" ref="T8921">IF(OR(B8921="MAL ALIMI", B8921="ÜRETİM GİRİŞ"), MIN(I8921, MAX(0, I8921 + SUM(SUMIFS($I$1:I8920, $C$1:C8920, C8921, $B$1:B8920, {"MAL ALIMI","ÜRETİM GİRİŞ"})) - VLOOKUP(C8921, 'STOK RAPORU'!$C$2:$I$1000, 4, 0))), 0)</f>
        <v>0</v>
      </c>
      <c r="U8921" s="22">
        <f t="shared" si="596"/>
        <v>0</v>
      </c>
      <c r="V8921">
        <f t="shared" si="597"/>
        <v>0</v>
      </c>
      <c r="W8921" s="22">
        <f t="shared" si="598"/>
        <v>0</v>
      </c>
    </row>
    <row r="8922" spans="1:23" hidden="1" x14ac:dyDescent="0.25">
      <c r="A8922" s="4"/>
      <c r="B8922" s="4"/>
      <c r="C8922" s="4"/>
      <c r="D8922" s="4"/>
      <c r="E8922" s="4"/>
      <c r="F8922" s="4"/>
      <c r="G8922" s="4"/>
      <c r="H8922" s="4"/>
      <c r="I8922" s="4"/>
      <c r="J8922" s="21">
        <f>IFERROR(VLOOKUP(C8922,'STOK KARTLARI'!$C$2:$K$2150,8,0),0)</f>
        <v>0</v>
      </c>
      <c r="K8922" s="21">
        <f t="shared" si="599"/>
        <v>0</v>
      </c>
      <c r="L8922" s="5">
        <f t="shared" si="601"/>
        <v>0</v>
      </c>
      <c r="M8922" s="4"/>
      <c r="N8922" s="4"/>
      <c r="O8922" s="5"/>
      <c r="P8922" s="5"/>
      <c r="Q8922" s="21">
        <f t="shared" si="602"/>
        <v>0</v>
      </c>
      <c r="R8922" s="21">
        <f t="shared" si="600"/>
        <v>0</v>
      </c>
      <c r="S8922" s="5">
        <f t="shared" si="603"/>
        <v>70007.077158325032</v>
      </c>
      <c r="T8922" cm="1">
        <f t="array" ref="T8922">IF(OR(B8922="MAL ALIMI", B8922="ÜRETİM GİRİŞ"), MIN(I8922, MAX(0, I8922 + SUM(SUMIFS($I$1:I8921, $C$1:C8921, C8922, $B$1:B8921, {"MAL ALIMI","ÜRETİM GİRİŞ"})) - VLOOKUP(C8922, 'STOK RAPORU'!$C$2:$I$1000, 4, 0))), 0)</f>
        <v>0</v>
      </c>
      <c r="U8922" s="22">
        <f t="shared" si="596"/>
        <v>0</v>
      </c>
      <c r="V8922">
        <f t="shared" si="597"/>
        <v>0</v>
      </c>
      <c r="W8922" s="22">
        <f t="shared" si="598"/>
        <v>0</v>
      </c>
    </row>
    <row r="8923" spans="1:23" hidden="1" x14ac:dyDescent="0.25">
      <c r="A8923" s="4"/>
      <c r="B8923" s="4"/>
      <c r="C8923" s="4"/>
      <c r="D8923" s="4"/>
      <c r="E8923" s="4"/>
      <c r="F8923" s="4"/>
      <c r="G8923" s="4"/>
      <c r="H8923" s="4"/>
      <c r="I8923" s="4"/>
      <c r="J8923" s="21">
        <f>IFERROR(VLOOKUP(C8923,'STOK KARTLARI'!$C$2:$K$2150,8,0),0)</f>
        <v>0</v>
      </c>
      <c r="K8923" s="21">
        <f t="shared" si="599"/>
        <v>0</v>
      </c>
      <c r="L8923" s="5">
        <f t="shared" si="601"/>
        <v>0</v>
      </c>
      <c r="M8923" s="4"/>
      <c r="N8923" s="4"/>
      <c r="O8923" s="5"/>
      <c r="P8923" s="5"/>
      <c r="Q8923" s="21">
        <f t="shared" si="602"/>
        <v>0</v>
      </c>
      <c r="R8923" s="21">
        <f t="shared" si="600"/>
        <v>0</v>
      </c>
      <c r="S8923" s="5">
        <f t="shared" si="603"/>
        <v>70007.077158325032</v>
      </c>
      <c r="T8923" cm="1">
        <f t="array" ref="T8923">IF(OR(B8923="MAL ALIMI", B8923="ÜRETİM GİRİŞ"), MIN(I8923, MAX(0, I8923 + SUM(SUMIFS($I$1:I8922, $C$1:C8922, C8923, $B$1:B8922, {"MAL ALIMI","ÜRETİM GİRİŞ"})) - VLOOKUP(C8923, 'STOK RAPORU'!$C$2:$I$1000, 4, 0))), 0)</f>
        <v>0</v>
      </c>
      <c r="U8923" s="22">
        <f t="shared" si="596"/>
        <v>0</v>
      </c>
      <c r="V8923">
        <f t="shared" si="597"/>
        <v>0</v>
      </c>
      <c r="W8923" s="22">
        <f t="shared" si="598"/>
        <v>0</v>
      </c>
    </row>
    <row r="8924" spans="1:23" hidden="1" x14ac:dyDescent="0.25">
      <c r="A8924" s="4"/>
      <c r="B8924" s="4"/>
      <c r="C8924" s="4"/>
      <c r="D8924" s="4"/>
      <c r="E8924" s="4"/>
      <c r="F8924" s="4"/>
      <c r="G8924" s="4"/>
      <c r="H8924" s="4"/>
      <c r="I8924" s="4"/>
      <c r="J8924" s="21">
        <f>IFERROR(VLOOKUP(C8924,'STOK KARTLARI'!$C$2:$K$2150,8,0),0)</f>
        <v>0</v>
      </c>
      <c r="K8924" s="21">
        <f t="shared" si="599"/>
        <v>0</v>
      </c>
      <c r="L8924" s="5">
        <f t="shared" si="601"/>
        <v>0</v>
      </c>
      <c r="M8924" s="4"/>
      <c r="N8924" s="4"/>
      <c r="O8924" s="5"/>
      <c r="P8924" s="5"/>
      <c r="Q8924" s="21">
        <f t="shared" si="602"/>
        <v>0</v>
      </c>
      <c r="R8924" s="21">
        <f t="shared" si="600"/>
        <v>0</v>
      </c>
      <c r="S8924" s="5">
        <f t="shared" si="603"/>
        <v>70007.077158325032</v>
      </c>
      <c r="T8924" cm="1">
        <f t="array" ref="T8924">IF(OR(B8924="MAL ALIMI", B8924="ÜRETİM GİRİŞ"), MIN(I8924, MAX(0, I8924 + SUM(SUMIFS($I$1:I8923, $C$1:C8923, C8924, $B$1:B8923, {"MAL ALIMI","ÜRETİM GİRİŞ"})) - VLOOKUP(C8924, 'STOK RAPORU'!$C$2:$I$1000, 4, 0))), 0)</f>
        <v>0</v>
      </c>
      <c r="U8924" s="22">
        <f t="shared" si="596"/>
        <v>0</v>
      </c>
      <c r="V8924">
        <f t="shared" si="597"/>
        <v>0</v>
      </c>
      <c r="W8924" s="22">
        <f t="shared" si="598"/>
        <v>0</v>
      </c>
    </row>
    <row r="8925" spans="1:23" hidden="1" x14ac:dyDescent="0.25">
      <c r="A8925" s="4"/>
      <c r="B8925" s="4"/>
      <c r="C8925" s="4"/>
      <c r="D8925" s="4"/>
      <c r="E8925" s="4"/>
      <c r="F8925" s="4"/>
      <c r="G8925" s="4"/>
      <c r="H8925" s="4"/>
      <c r="I8925" s="4"/>
      <c r="J8925" s="21">
        <f>IFERROR(VLOOKUP(C8925,'STOK KARTLARI'!$C$2:$K$2150,8,0),0)</f>
        <v>0</v>
      </c>
      <c r="K8925" s="21">
        <f t="shared" si="599"/>
        <v>0</v>
      </c>
      <c r="L8925" s="5">
        <f t="shared" si="601"/>
        <v>0</v>
      </c>
      <c r="M8925" s="4"/>
      <c r="N8925" s="4"/>
      <c r="O8925" s="5"/>
      <c r="P8925" s="5"/>
      <c r="Q8925" s="21">
        <f t="shared" si="602"/>
        <v>0</v>
      </c>
      <c r="R8925" s="21">
        <f t="shared" si="600"/>
        <v>0</v>
      </c>
      <c r="S8925" s="5">
        <f t="shared" si="603"/>
        <v>70007.077158325032</v>
      </c>
      <c r="T8925" cm="1">
        <f t="array" ref="T8925">IF(OR(B8925="MAL ALIMI", B8925="ÜRETİM GİRİŞ"), MIN(I8925, MAX(0, I8925 + SUM(SUMIFS($I$1:I8924, $C$1:C8924, C8925, $B$1:B8924, {"MAL ALIMI","ÜRETİM GİRİŞ"})) - VLOOKUP(C8925, 'STOK RAPORU'!$C$2:$I$1000, 4, 0))), 0)</f>
        <v>0</v>
      </c>
      <c r="U8925" s="22">
        <f t="shared" si="596"/>
        <v>0</v>
      </c>
      <c r="V8925">
        <f t="shared" si="597"/>
        <v>0</v>
      </c>
      <c r="W8925" s="22">
        <f t="shared" si="598"/>
        <v>0</v>
      </c>
    </row>
    <row r="8926" spans="1:23" hidden="1" x14ac:dyDescent="0.25">
      <c r="A8926" s="4"/>
      <c r="B8926" s="4"/>
      <c r="C8926" s="4"/>
      <c r="D8926" s="4"/>
      <c r="E8926" s="4"/>
      <c r="F8926" s="4"/>
      <c r="G8926" s="4"/>
      <c r="H8926" s="4"/>
      <c r="I8926" s="4"/>
      <c r="J8926" s="21">
        <f>IFERROR(VLOOKUP(C8926,'STOK KARTLARI'!$C$2:$K$2150,8,0),0)</f>
        <v>0</v>
      </c>
      <c r="K8926" s="21">
        <f t="shared" si="599"/>
        <v>0</v>
      </c>
      <c r="L8926" s="5">
        <f t="shared" si="601"/>
        <v>0</v>
      </c>
      <c r="M8926" s="4"/>
      <c r="N8926" s="4"/>
      <c r="O8926" s="5"/>
      <c r="P8926" s="5"/>
      <c r="Q8926" s="21">
        <f t="shared" si="602"/>
        <v>0</v>
      </c>
      <c r="R8926" s="21">
        <f t="shared" si="600"/>
        <v>0</v>
      </c>
      <c r="S8926" s="5">
        <f t="shared" si="603"/>
        <v>70007.077158325032</v>
      </c>
      <c r="T8926" cm="1">
        <f t="array" ref="T8926">IF(OR(B8926="MAL ALIMI", B8926="ÜRETİM GİRİŞ"), MIN(I8926, MAX(0, I8926 + SUM(SUMIFS($I$1:I8925, $C$1:C8925, C8926, $B$1:B8925, {"MAL ALIMI","ÜRETİM GİRİŞ"})) - VLOOKUP(C8926, 'STOK RAPORU'!$C$2:$I$1000, 4, 0))), 0)</f>
        <v>0</v>
      </c>
      <c r="U8926" s="22">
        <f t="shared" si="596"/>
        <v>0</v>
      </c>
      <c r="V8926">
        <f t="shared" si="597"/>
        <v>0</v>
      </c>
      <c r="W8926" s="22">
        <f t="shared" si="598"/>
        <v>0</v>
      </c>
    </row>
    <row r="8927" spans="1:23" hidden="1" x14ac:dyDescent="0.25">
      <c r="A8927" s="3"/>
      <c r="B8927" s="4"/>
      <c r="C8927" s="4"/>
      <c r="D8927" s="4"/>
      <c r="E8927" s="4"/>
      <c r="F8927" s="4"/>
      <c r="G8927" s="4"/>
      <c r="H8927" s="4"/>
      <c r="I8927" s="4"/>
      <c r="J8927" s="21">
        <f>IFERROR(VLOOKUP(C8927,'STOK KARTLARI'!$C$2:$K$2150,8,0),0)</f>
        <v>0</v>
      </c>
      <c r="K8927" s="21">
        <f t="shared" si="599"/>
        <v>0</v>
      </c>
      <c r="L8927" s="5">
        <f t="shared" si="601"/>
        <v>0</v>
      </c>
      <c r="M8927" s="4"/>
      <c r="N8927" s="4"/>
      <c r="O8927" s="5"/>
      <c r="P8927" s="5"/>
      <c r="Q8927" s="21">
        <f t="shared" si="602"/>
        <v>0</v>
      </c>
      <c r="R8927" s="21">
        <f t="shared" si="600"/>
        <v>0</v>
      </c>
      <c r="S8927" s="5">
        <f t="shared" si="603"/>
        <v>70007.077158325032</v>
      </c>
      <c r="T8927" cm="1">
        <f t="array" ref="T8927">IF(OR(B8927="MAL ALIMI", B8927="ÜRETİM GİRİŞ"), MIN(I8927, MAX(0, I8927 + SUM(SUMIFS($I$1:I8926, $C$1:C8926, C8927, $B$1:B8926, {"MAL ALIMI","ÜRETİM GİRİŞ"})) - VLOOKUP(C8927, 'STOK RAPORU'!$C$2:$I$1000, 4, 0))), 0)</f>
        <v>0</v>
      </c>
      <c r="U8927" s="22">
        <f t="shared" si="596"/>
        <v>0</v>
      </c>
      <c r="V8927">
        <f t="shared" si="597"/>
        <v>0</v>
      </c>
      <c r="W8927" s="22">
        <f t="shared" si="598"/>
        <v>0</v>
      </c>
    </row>
    <row r="8928" spans="1:23" hidden="1" x14ac:dyDescent="0.25">
      <c r="A8928" s="4"/>
      <c r="B8928" s="4"/>
      <c r="C8928" s="4"/>
      <c r="D8928" s="4"/>
      <c r="E8928" s="4"/>
      <c r="F8928" s="4"/>
      <c r="G8928" s="4"/>
      <c r="H8928" s="4"/>
      <c r="I8928" s="4"/>
      <c r="J8928" s="21">
        <f>IFERROR(VLOOKUP(C8928,'STOK KARTLARI'!$C$2:$K$2150,8,0),0)</f>
        <v>0</v>
      </c>
      <c r="K8928" s="21">
        <f t="shared" si="599"/>
        <v>0</v>
      </c>
      <c r="L8928" s="5">
        <f t="shared" si="601"/>
        <v>0</v>
      </c>
      <c r="M8928" s="4"/>
      <c r="N8928" s="4"/>
      <c r="O8928" s="5"/>
      <c r="P8928" s="5"/>
      <c r="Q8928" s="21">
        <f t="shared" si="602"/>
        <v>0</v>
      </c>
      <c r="R8928" s="21">
        <f t="shared" si="600"/>
        <v>0</v>
      </c>
      <c r="S8928" s="5">
        <f t="shared" si="603"/>
        <v>70007.077158325032</v>
      </c>
      <c r="T8928" cm="1">
        <f t="array" ref="T8928">IF(OR(B8928="MAL ALIMI", B8928="ÜRETİM GİRİŞ"), MIN(I8928, MAX(0, I8928 + SUM(SUMIFS($I$1:I8927, $C$1:C8927, C8928, $B$1:B8927, {"MAL ALIMI","ÜRETİM GİRİŞ"})) - VLOOKUP(C8928, 'STOK RAPORU'!$C$2:$I$1000, 4, 0))), 0)</f>
        <v>0</v>
      </c>
      <c r="U8928" s="22">
        <f t="shared" si="596"/>
        <v>0</v>
      </c>
      <c r="V8928">
        <f t="shared" si="597"/>
        <v>0</v>
      </c>
      <c r="W8928" s="22">
        <f t="shared" si="598"/>
        <v>0</v>
      </c>
    </row>
    <row r="8929" spans="1:23" hidden="1" x14ac:dyDescent="0.25">
      <c r="A8929" s="4"/>
      <c r="B8929" s="4"/>
      <c r="C8929" s="4"/>
      <c r="D8929" s="4"/>
      <c r="E8929" s="4"/>
      <c r="F8929" s="4"/>
      <c r="G8929" s="4"/>
      <c r="H8929" s="4"/>
      <c r="I8929" s="4"/>
      <c r="J8929" s="21">
        <f>IFERROR(VLOOKUP(C8929,'STOK KARTLARI'!$C$2:$K$2150,8,0),0)</f>
        <v>0</v>
      </c>
      <c r="K8929" s="21">
        <f t="shared" si="599"/>
        <v>0</v>
      </c>
      <c r="L8929" s="5">
        <f t="shared" si="601"/>
        <v>0</v>
      </c>
      <c r="M8929" s="4"/>
      <c r="N8929" s="4"/>
      <c r="O8929" s="5"/>
      <c r="P8929" s="5"/>
      <c r="Q8929" s="21">
        <f t="shared" si="602"/>
        <v>0</v>
      </c>
      <c r="R8929" s="21">
        <f t="shared" si="600"/>
        <v>0</v>
      </c>
      <c r="S8929" s="5">
        <f t="shared" si="603"/>
        <v>70007.077158325032</v>
      </c>
      <c r="T8929" cm="1">
        <f t="array" ref="T8929">IF(OR(B8929="MAL ALIMI", B8929="ÜRETİM GİRİŞ"), MIN(I8929, MAX(0, I8929 + SUM(SUMIFS($I$1:I8928, $C$1:C8928, C8929, $B$1:B8928, {"MAL ALIMI","ÜRETİM GİRİŞ"})) - VLOOKUP(C8929, 'STOK RAPORU'!$C$2:$I$1000, 4, 0))), 0)</f>
        <v>0</v>
      </c>
      <c r="U8929" s="22">
        <f t="shared" si="596"/>
        <v>0</v>
      </c>
      <c r="V8929">
        <f t="shared" si="597"/>
        <v>0</v>
      </c>
      <c r="W8929" s="22">
        <f t="shared" si="598"/>
        <v>0</v>
      </c>
    </row>
    <row r="8930" spans="1:23" hidden="1" x14ac:dyDescent="0.25">
      <c r="A8930" s="4"/>
      <c r="B8930" s="4"/>
      <c r="C8930" s="4"/>
      <c r="D8930" s="4"/>
      <c r="E8930" s="4"/>
      <c r="F8930" s="4"/>
      <c r="G8930" s="4"/>
      <c r="H8930" s="4"/>
      <c r="I8930" s="4"/>
      <c r="J8930" s="21">
        <f>IFERROR(VLOOKUP(C8930,'STOK KARTLARI'!$C$2:$K$2150,8,0),0)</f>
        <v>0</v>
      </c>
      <c r="K8930" s="21">
        <f t="shared" si="599"/>
        <v>0</v>
      </c>
      <c r="L8930" s="5">
        <f t="shared" si="601"/>
        <v>0</v>
      </c>
      <c r="M8930" s="4"/>
      <c r="N8930" s="4"/>
      <c r="O8930" s="5"/>
      <c r="P8930" s="5"/>
      <c r="Q8930" s="21">
        <f t="shared" si="602"/>
        <v>0</v>
      </c>
      <c r="R8930" s="21">
        <f t="shared" si="600"/>
        <v>0</v>
      </c>
      <c r="S8930" s="5">
        <f t="shared" si="603"/>
        <v>70007.077158325032</v>
      </c>
      <c r="T8930" cm="1">
        <f t="array" ref="T8930">IF(OR(B8930="MAL ALIMI", B8930="ÜRETİM GİRİŞ"), MIN(I8930, MAX(0, I8930 + SUM(SUMIFS($I$1:I8929, $C$1:C8929, C8930, $B$1:B8929, {"MAL ALIMI","ÜRETİM GİRİŞ"})) - VLOOKUP(C8930, 'STOK RAPORU'!$C$2:$I$1000, 4, 0))), 0)</f>
        <v>0</v>
      </c>
      <c r="U8930" s="22">
        <f t="shared" si="596"/>
        <v>0</v>
      </c>
      <c r="V8930">
        <f t="shared" si="597"/>
        <v>0</v>
      </c>
      <c r="W8930" s="22">
        <f t="shared" si="598"/>
        <v>0</v>
      </c>
    </row>
    <row r="8931" spans="1:23" hidden="1" x14ac:dyDescent="0.25">
      <c r="A8931" s="4"/>
      <c r="B8931" s="4"/>
      <c r="C8931" s="4"/>
      <c r="D8931" s="4"/>
      <c r="E8931" s="4"/>
      <c r="F8931" s="4"/>
      <c r="G8931" s="4"/>
      <c r="H8931" s="4"/>
      <c r="I8931" s="4"/>
      <c r="J8931" s="21">
        <f>IFERROR(VLOOKUP(C8931,'STOK KARTLARI'!$C$2:$K$2150,8,0),0)</f>
        <v>0</v>
      </c>
      <c r="K8931" s="21">
        <f t="shared" si="599"/>
        <v>0</v>
      </c>
      <c r="L8931" s="5">
        <f t="shared" si="601"/>
        <v>0</v>
      </c>
      <c r="M8931" s="4"/>
      <c r="N8931" s="4"/>
      <c r="O8931" s="5"/>
      <c r="P8931" s="5"/>
      <c r="Q8931" s="21">
        <f t="shared" si="602"/>
        <v>0</v>
      </c>
      <c r="R8931" s="21">
        <f t="shared" si="600"/>
        <v>0</v>
      </c>
      <c r="S8931" s="5">
        <f t="shared" si="603"/>
        <v>70007.077158325032</v>
      </c>
      <c r="T8931" cm="1">
        <f t="array" ref="T8931">IF(OR(B8931="MAL ALIMI", B8931="ÜRETİM GİRİŞ"), MIN(I8931, MAX(0, I8931 + SUM(SUMIFS($I$1:I8930, $C$1:C8930, C8931, $B$1:B8930, {"MAL ALIMI","ÜRETİM GİRİŞ"})) - VLOOKUP(C8931, 'STOK RAPORU'!$C$2:$I$1000, 4, 0))), 0)</f>
        <v>0</v>
      </c>
      <c r="U8931" s="22">
        <f t="shared" si="596"/>
        <v>0</v>
      </c>
      <c r="V8931">
        <f t="shared" si="597"/>
        <v>0</v>
      </c>
      <c r="W8931" s="22">
        <f t="shared" si="598"/>
        <v>0</v>
      </c>
    </row>
    <row r="8932" spans="1:23" hidden="1" x14ac:dyDescent="0.25">
      <c r="A8932" s="4"/>
      <c r="B8932" s="4"/>
      <c r="C8932" s="4"/>
      <c r="D8932" s="4"/>
      <c r="E8932" s="4"/>
      <c r="F8932" s="4"/>
      <c r="G8932" s="4"/>
      <c r="H8932" s="4"/>
      <c r="I8932" s="4"/>
      <c r="J8932" s="21">
        <f>IFERROR(VLOOKUP(C8932,'STOK KARTLARI'!$C$2:$K$2150,8,0),0)</f>
        <v>0</v>
      </c>
      <c r="K8932" s="21">
        <f t="shared" si="599"/>
        <v>0</v>
      </c>
      <c r="L8932" s="5">
        <f t="shared" si="601"/>
        <v>0</v>
      </c>
      <c r="M8932" s="4"/>
      <c r="N8932" s="4"/>
      <c r="O8932" s="5"/>
      <c r="P8932" s="5"/>
      <c r="Q8932" s="21">
        <f t="shared" si="602"/>
        <v>0</v>
      </c>
      <c r="R8932" s="21">
        <f t="shared" si="600"/>
        <v>0</v>
      </c>
      <c r="S8932" s="5">
        <f t="shared" si="603"/>
        <v>70007.077158325032</v>
      </c>
      <c r="T8932" cm="1">
        <f t="array" ref="T8932">IF(OR(B8932="MAL ALIMI", B8932="ÜRETİM GİRİŞ"), MIN(I8932, MAX(0, I8932 + SUM(SUMIFS($I$1:I8931, $C$1:C8931, C8932, $B$1:B8931, {"MAL ALIMI","ÜRETİM GİRİŞ"})) - VLOOKUP(C8932, 'STOK RAPORU'!$C$2:$I$1000, 4, 0))), 0)</f>
        <v>0</v>
      </c>
      <c r="U8932" s="22">
        <f t="shared" si="596"/>
        <v>0</v>
      </c>
      <c r="V8932">
        <f t="shared" si="597"/>
        <v>0</v>
      </c>
      <c r="W8932" s="22">
        <f t="shared" si="598"/>
        <v>0</v>
      </c>
    </row>
    <row r="8933" spans="1:23" hidden="1" x14ac:dyDescent="0.25">
      <c r="A8933" s="4"/>
      <c r="B8933" s="4"/>
      <c r="C8933" s="4"/>
      <c r="D8933" s="4"/>
      <c r="E8933" s="4"/>
      <c r="F8933" s="4"/>
      <c r="G8933" s="4"/>
      <c r="H8933" s="4"/>
      <c r="I8933" s="4"/>
      <c r="J8933" s="21">
        <f>IFERROR(VLOOKUP(C8933,'STOK KARTLARI'!$C$2:$K$2150,8,0),0)</f>
        <v>0</v>
      </c>
      <c r="K8933" s="21">
        <f t="shared" si="599"/>
        <v>0</v>
      </c>
      <c r="L8933" s="5">
        <f t="shared" si="601"/>
        <v>0</v>
      </c>
      <c r="M8933" s="4"/>
      <c r="N8933" s="4"/>
      <c r="O8933" s="5"/>
      <c r="P8933" s="5"/>
      <c r="Q8933" s="21">
        <f t="shared" si="602"/>
        <v>0</v>
      </c>
      <c r="R8933" s="21">
        <f t="shared" si="600"/>
        <v>0</v>
      </c>
      <c r="S8933" s="5">
        <f t="shared" si="603"/>
        <v>70007.077158325032</v>
      </c>
      <c r="T8933" cm="1">
        <f t="array" ref="T8933">IF(OR(B8933="MAL ALIMI", B8933="ÜRETİM GİRİŞ"), MIN(I8933, MAX(0, I8933 + SUM(SUMIFS($I$1:I8932, $C$1:C8932, C8933, $B$1:B8932, {"MAL ALIMI","ÜRETİM GİRİŞ"})) - VLOOKUP(C8933, 'STOK RAPORU'!$C$2:$I$1000, 4, 0))), 0)</f>
        <v>0</v>
      </c>
      <c r="U8933" s="22">
        <f t="shared" si="596"/>
        <v>0</v>
      </c>
      <c r="V8933">
        <f t="shared" si="597"/>
        <v>0</v>
      </c>
      <c r="W8933" s="22">
        <f t="shared" si="598"/>
        <v>0</v>
      </c>
    </row>
    <row r="8934" spans="1:23" hidden="1" x14ac:dyDescent="0.25">
      <c r="A8934" s="3"/>
      <c r="B8934" s="4"/>
      <c r="C8934" s="4"/>
      <c r="D8934" s="4"/>
      <c r="E8934" s="4"/>
      <c r="F8934" s="4"/>
      <c r="G8934" s="4"/>
      <c r="H8934" s="4"/>
      <c r="I8934" s="4"/>
      <c r="J8934" s="21">
        <f>IFERROR(VLOOKUP(C8934,'STOK KARTLARI'!$C$2:$K$2150,8,0),0)</f>
        <v>0</v>
      </c>
      <c r="K8934" s="21">
        <f t="shared" si="599"/>
        <v>0</v>
      </c>
      <c r="L8934" s="5">
        <f t="shared" si="601"/>
        <v>0</v>
      </c>
      <c r="M8934" s="4"/>
      <c r="N8934" s="4"/>
      <c r="O8934" s="5"/>
      <c r="P8934" s="5"/>
      <c r="Q8934" s="21">
        <f t="shared" si="602"/>
        <v>0</v>
      </c>
      <c r="R8934" s="21">
        <f t="shared" si="600"/>
        <v>0</v>
      </c>
      <c r="S8934" s="5">
        <f t="shared" si="603"/>
        <v>70007.077158325032</v>
      </c>
      <c r="T8934" cm="1">
        <f t="array" ref="T8934">IF(OR(B8934="MAL ALIMI", B8934="ÜRETİM GİRİŞ"), MIN(I8934, MAX(0, I8934 + SUM(SUMIFS($I$1:I8933, $C$1:C8933, C8934, $B$1:B8933, {"MAL ALIMI","ÜRETİM GİRİŞ"})) - VLOOKUP(C8934, 'STOK RAPORU'!$C$2:$I$1000, 4, 0))), 0)</f>
        <v>0</v>
      </c>
      <c r="U8934" s="22">
        <f t="shared" si="596"/>
        <v>0</v>
      </c>
      <c r="V8934">
        <f t="shared" si="597"/>
        <v>0</v>
      </c>
      <c r="W8934" s="22">
        <f t="shared" si="598"/>
        <v>0</v>
      </c>
    </row>
    <row r="8935" spans="1:23" hidden="1" x14ac:dyDescent="0.25">
      <c r="A8935" s="4"/>
      <c r="B8935" s="4"/>
      <c r="C8935" s="4"/>
      <c r="D8935" s="4"/>
      <c r="E8935" s="4"/>
      <c r="F8935" s="4"/>
      <c r="G8935" s="4"/>
      <c r="H8935" s="4"/>
      <c r="I8935" s="4"/>
      <c r="J8935" s="21">
        <f>IFERROR(VLOOKUP(C8935,'STOK KARTLARI'!$C$2:$K$2150,8,0),0)</f>
        <v>0</v>
      </c>
      <c r="K8935" s="21">
        <f t="shared" si="599"/>
        <v>0</v>
      </c>
      <c r="L8935" s="5">
        <f t="shared" si="601"/>
        <v>0</v>
      </c>
      <c r="M8935" s="4"/>
      <c r="N8935" s="4"/>
      <c r="O8935" s="5"/>
      <c r="P8935" s="5"/>
      <c r="Q8935" s="21">
        <f t="shared" si="602"/>
        <v>0</v>
      </c>
      <c r="R8935" s="21">
        <f t="shared" si="600"/>
        <v>0</v>
      </c>
      <c r="S8935" s="5">
        <f t="shared" si="603"/>
        <v>70007.077158325032</v>
      </c>
      <c r="T8935" cm="1">
        <f t="array" ref="T8935">IF(OR(B8935="MAL ALIMI", B8935="ÜRETİM GİRİŞ"), MIN(I8935, MAX(0, I8935 + SUM(SUMIFS($I$1:I8934, $C$1:C8934, C8935, $B$1:B8934, {"MAL ALIMI","ÜRETİM GİRİŞ"})) - VLOOKUP(C8935, 'STOK RAPORU'!$C$2:$I$1000, 4, 0))), 0)</f>
        <v>0</v>
      </c>
      <c r="U8935" s="22">
        <f t="shared" si="596"/>
        <v>0</v>
      </c>
      <c r="V8935">
        <f t="shared" si="597"/>
        <v>0</v>
      </c>
      <c r="W8935" s="22">
        <f t="shared" si="598"/>
        <v>0</v>
      </c>
    </row>
    <row r="8936" spans="1:23" hidden="1" x14ac:dyDescent="0.25">
      <c r="A8936" s="4"/>
      <c r="B8936" s="4"/>
      <c r="C8936" s="4"/>
      <c r="D8936" s="4"/>
      <c r="E8936" s="4"/>
      <c r="F8936" s="4"/>
      <c r="G8936" s="4"/>
      <c r="H8936" s="4"/>
      <c r="I8936" s="4"/>
      <c r="J8936" s="21">
        <f>IFERROR(VLOOKUP(C8936,'STOK KARTLARI'!$C$2:$K$2150,8,0),0)</f>
        <v>0</v>
      </c>
      <c r="K8936" s="21">
        <f t="shared" si="599"/>
        <v>0</v>
      </c>
      <c r="L8936" s="5">
        <f t="shared" si="601"/>
        <v>0</v>
      </c>
      <c r="M8936" s="4"/>
      <c r="N8936" s="4"/>
      <c r="O8936" s="5"/>
      <c r="P8936" s="5"/>
      <c r="Q8936" s="21">
        <f t="shared" si="602"/>
        <v>0</v>
      </c>
      <c r="R8936" s="21">
        <f t="shared" si="600"/>
        <v>0</v>
      </c>
      <c r="S8936" s="5">
        <f t="shared" si="603"/>
        <v>70007.077158325032</v>
      </c>
      <c r="T8936" cm="1">
        <f t="array" ref="T8936">IF(OR(B8936="MAL ALIMI", B8936="ÜRETİM GİRİŞ"), MIN(I8936, MAX(0, I8936 + SUM(SUMIFS($I$1:I8935, $C$1:C8935, C8936, $B$1:B8935, {"MAL ALIMI","ÜRETİM GİRİŞ"})) - VLOOKUP(C8936, 'STOK RAPORU'!$C$2:$I$1000, 4, 0))), 0)</f>
        <v>0</v>
      </c>
      <c r="U8936" s="22">
        <f t="shared" si="596"/>
        <v>0</v>
      </c>
      <c r="V8936">
        <f t="shared" si="597"/>
        <v>0</v>
      </c>
      <c r="W8936" s="22">
        <f t="shared" si="598"/>
        <v>0</v>
      </c>
    </row>
    <row r="8937" spans="1:23" hidden="1" x14ac:dyDescent="0.25">
      <c r="A8937" s="4"/>
      <c r="B8937" s="4"/>
      <c r="C8937" s="4"/>
      <c r="D8937" s="4"/>
      <c r="E8937" s="4"/>
      <c r="F8937" s="4"/>
      <c r="G8937" s="4"/>
      <c r="H8937" s="4"/>
      <c r="I8937" s="4"/>
      <c r="J8937" s="21">
        <f>IFERROR(VLOOKUP(C8937,'STOK KARTLARI'!$C$2:$K$2150,8,0),0)</f>
        <v>0</v>
      </c>
      <c r="K8937" s="21">
        <f t="shared" si="599"/>
        <v>0</v>
      </c>
      <c r="L8937" s="5">
        <f t="shared" si="601"/>
        <v>0</v>
      </c>
      <c r="M8937" s="4"/>
      <c r="N8937" s="4"/>
      <c r="O8937" s="5"/>
      <c r="P8937" s="5"/>
      <c r="Q8937" s="21">
        <f t="shared" si="602"/>
        <v>0</v>
      </c>
      <c r="R8937" s="21">
        <f t="shared" si="600"/>
        <v>0</v>
      </c>
      <c r="S8937" s="5">
        <f t="shared" si="603"/>
        <v>70007.077158325032</v>
      </c>
      <c r="T8937" cm="1">
        <f t="array" ref="T8937">IF(OR(B8937="MAL ALIMI", B8937="ÜRETİM GİRİŞ"), MIN(I8937, MAX(0, I8937 + SUM(SUMIFS($I$1:I8936, $C$1:C8936, C8937, $B$1:B8936, {"MAL ALIMI","ÜRETİM GİRİŞ"})) - VLOOKUP(C8937, 'STOK RAPORU'!$C$2:$I$1000, 4, 0))), 0)</f>
        <v>0</v>
      </c>
      <c r="U8937" s="22">
        <f t="shared" si="596"/>
        <v>0</v>
      </c>
      <c r="V8937">
        <f t="shared" si="597"/>
        <v>0</v>
      </c>
      <c r="W8937" s="22">
        <f t="shared" si="598"/>
        <v>0</v>
      </c>
    </row>
    <row r="8938" spans="1:23" hidden="1" x14ac:dyDescent="0.25">
      <c r="A8938" s="4"/>
      <c r="B8938" s="4"/>
      <c r="C8938" s="4"/>
      <c r="D8938" s="4"/>
      <c r="E8938" s="4"/>
      <c r="F8938" s="4"/>
      <c r="G8938" s="4"/>
      <c r="H8938" s="4"/>
      <c r="I8938" s="4"/>
      <c r="J8938" s="21">
        <f>IFERROR(VLOOKUP(C8938,'STOK KARTLARI'!$C$2:$K$2150,8,0),0)</f>
        <v>0</v>
      </c>
      <c r="K8938" s="21">
        <f t="shared" si="599"/>
        <v>0</v>
      </c>
      <c r="L8938" s="5">
        <f t="shared" si="601"/>
        <v>0</v>
      </c>
      <c r="M8938" s="4"/>
      <c r="N8938" s="4"/>
      <c r="O8938" s="5"/>
      <c r="P8938" s="5"/>
      <c r="Q8938" s="21">
        <f t="shared" si="602"/>
        <v>0</v>
      </c>
      <c r="R8938" s="21">
        <f t="shared" si="600"/>
        <v>0</v>
      </c>
      <c r="S8938" s="5">
        <f t="shared" si="603"/>
        <v>70007.077158325032</v>
      </c>
      <c r="T8938" cm="1">
        <f t="array" ref="T8938">IF(OR(B8938="MAL ALIMI", B8938="ÜRETİM GİRİŞ"), MIN(I8938, MAX(0, I8938 + SUM(SUMIFS($I$1:I8937, $C$1:C8937, C8938, $B$1:B8937, {"MAL ALIMI","ÜRETİM GİRİŞ"})) - VLOOKUP(C8938, 'STOK RAPORU'!$C$2:$I$1000, 4, 0))), 0)</f>
        <v>0</v>
      </c>
      <c r="U8938" s="22">
        <f t="shared" si="596"/>
        <v>0</v>
      </c>
      <c r="V8938">
        <f t="shared" si="597"/>
        <v>0</v>
      </c>
      <c r="W8938" s="22">
        <f t="shared" si="598"/>
        <v>0</v>
      </c>
    </row>
    <row r="8939" spans="1:23" hidden="1" x14ac:dyDescent="0.25">
      <c r="A8939" s="4"/>
      <c r="B8939" s="4"/>
      <c r="C8939" s="4"/>
      <c r="D8939" s="4"/>
      <c r="E8939" s="4"/>
      <c r="F8939" s="4"/>
      <c r="G8939" s="4"/>
      <c r="H8939" s="4"/>
      <c r="I8939" s="4"/>
      <c r="J8939" s="21">
        <f>IFERROR(VLOOKUP(C8939,'STOK KARTLARI'!$C$2:$K$2150,8,0),0)</f>
        <v>0</v>
      </c>
      <c r="K8939" s="21">
        <f t="shared" si="599"/>
        <v>0</v>
      </c>
      <c r="L8939" s="5">
        <f t="shared" si="601"/>
        <v>0</v>
      </c>
      <c r="M8939" s="4"/>
      <c r="N8939" s="4"/>
      <c r="O8939" s="5"/>
      <c r="P8939" s="5"/>
      <c r="Q8939" s="21">
        <f t="shared" si="602"/>
        <v>0</v>
      </c>
      <c r="R8939" s="21">
        <f t="shared" si="600"/>
        <v>0</v>
      </c>
      <c r="S8939" s="5">
        <f t="shared" si="603"/>
        <v>70007.077158325032</v>
      </c>
      <c r="T8939" cm="1">
        <f t="array" ref="T8939">IF(OR(B8939="MAL ALIMI", B8939="ÜRETİM GİRİŞ"), MIN(I8939, MAX(0, I8939 + SUM(SUMIFS($I$1:I8938, $C$1:C8938, C8939, $B$1:B8938, {"MAL ALIMI","ÜRETİM GİRİŞ"})) - VLOOKUP(C8939, 'STOK RAPORU'!$C$2:$I$1000, 4, 0))), 0)</f>
        <v>0</v>
      </c>
      <c r="U8939" s="22">
        <f t="shared" si="596"/>
        <v>0</v>
      </c>
      <c r="V8939">
        <f t="shared" si="597"/>
        <v>0</v>
      </c>
      <c r="W8939" s="22">
        <f t="shared" si="598"/>
        <v>0</v>
      </c>
    </row>
    <row r="8940" spans="1:23" hidden="1" x14ac:dyDescent="0.25">
      <c r="A8940" s="4"/>
      <c r="B8940" s="4"/>
      <c r="C8940" s="4"/>
      <c r="D8940" s="4"/>
      <c r="E8940" s="4"/>
      <c r="F8940" s="4"/>
      <c r="G8940" s="4"/>
      <c r="H8940" s="4"/>
      <c r="I8940" s="4"/>
      <c r="J8940" s="21">
        <f>IFERROR(VLOOKUP(C8940,'STOK KARTLARI'!$C$2:$K$2150,8,0),0)</f>
        <v>0</v>
      </c>
      <c r="K8940" s="21">
        <f t="shared" si="599"/>
        <v>0</v>
      </c>
      <c r="L8940" s="5">
        <f t="shared" si="601"/>
        <v>0</v>
      </c>
      <c r="M8940" s="4"/>
      <c r="N8940" s="4"/>
      <c r="O8940" s="5"/>
      <c r="P8940" s="5"/>
      <c r="Q8940" s="21">
        <f t="shared" si="602"/>
        <v>0</v>
      </c>
      <c r="R8940" s="21">
        <f t="shared" si="600"/>
        <v>0</v>
      </c>
      <c r="S8940" s="5">
        <f t="shared" si="603"/>
        <v>70007.077158325032</v>
      </c>
      <c r="T8940" cm="1">
        <f t="array" ref="T8940">IF(OR(B8940="MAL ALIMI", B8940="ÜRETİM GİRİŞ"), MIN(I8940, MAX(0, I8940 + SUM(SUMIFS($I$1:I8939, $C$1:C8939, C8940, $B$1:B8939, {"MAL ALIMI","ÜRETİM GİRİŞ"})) - VLOOKUP(C8940, 'STOK RAPORU'!$C$2:$I$1000, 4, 0))), 0)</f>
        <v>0</v>
      </c>
      <c r="U8940" s="22">
        <f t="shared" si="596"/>
        <v>0</v>
      </c>
      <c r="V8940">
        <f t="shared" si="597"/>
        <v>0</v>
      </c>
      <c r="W8940" s="22">
        <f t="shared" si="598"/>
        <v>0</v>
      </c>
    </row>
    <row r="8941" spans="1:23" hidden="1" x14ac:dyDescent="0.25">
      <c r="A8941" s="3"/>
      <c r="B8941" s="4"/>
      <c r="C8941" s="4"/>
      <c r="D8941" s="4"/>
      <c r="E8941" s="4"/>
      <c r="F8941" s="4"/>
      <c r="G8941" s="4"/>
      <c r="H8941" s="4"/>
      <c r="I8941" s="4"/>
      <c r="J8941" s="21">
        <f>IFERROR(VLOOKUP(C8941,'STOK KARTLARI'!$C$2:$K$2150,8,0),0)</f>
        <v>0</v>
      </c>
      <c r="K8941" s="21">
        <f t="shared" si="599"/>
        <v>0</v>
      </c>
      <c r="L8941" s="5">
        <f t="shared" si="601"/>
        <v>0</v>
      </c>
      <c r="M8941" s="4"/>
      <c r="N8941" s="4"/>
      <c r="O8941" s="5"/>
      <c r="P8941" s="5"/>
      <c r="Q8941" s="21">
        <f t="shared" si="602"/>
        <v>0</v>
      </c>
      <c r="R8941" s="21">
        <f t="shared" si="600"/>
        <v>0</v>
      </c>
      <c r="S8941" s="5">
        <f t="shared" si="603"/>
        <v>70007.077158325032</v>
      </c>
      <c r="T8941" cm="1">
        <f t="array" ref="T8941">IF(OR(B8941="MAL ALIMI", B8941="ÜRETİM GİRİŞ"), MIN(I8941, MAX(0, I8941 + SUM(SUMIFS($I$1:I8940, $C$1:C8940, C8941, $B$1:B8940, {"MAL ALIMI","ÜRETİM GİRİŞ"})) - VLOOKUP(C8941, 'STOK RAPORU'!$C$2:$I$1000, 4, 0))), 0)</f>
        <v>0</v>
      </c>
      <c r="U8941" s="22">
        <f t="shared" si="596"/>
        <v>0</v>
      </c>
      <c r="V8941">
        <f t="shared" si="597"/>
        <v>0</v>
      </c>
      <c r="W8941" s="22">
        <f t="shared" si="598"/>
        <v>0</v>
      </c>
    </row>
    <row r="8942" spans="1:23" hidden="1" x14ac:dyDescent="0.25">
      <c r="A8942" s="4"/>
      <c r="B8942" s="4"/>
      <c r="C8942" s="4"/>
      <c r="D8942" s="4"/>
      <c r="E8942" s="4"/>
      <c r="F8942" s="4"/>
      <c r="G8942" s="4"/>
      <c r="H8942" s="4"/>
      <c r="I8942" s="4"/>
      <c r="J8942" s="21">
        <f>IFERROR(VLOOKUP(C8942,'STOK KARTLARI'!$C$2:$K$2150,8,0),0)</f>
        <v>0</v>
      </c>
      <c r="K8942" s="21">
        <f t="shared" si="599"/>
        <v>0</v>
      </c>
      <c r="L8942" s="5">
        <f t="shared" si="601"/>
        <v>0</v>
      </c>
      <c r="M8942" s="4"/>
      <c r="N8942" s="4"/>
      <c r="O8942" s="5"/>
      <c r="P8942" s="5"/>
      <c r="Q8942" s="21">
        <f t="shared" si="602"/>
        <v>0</v>
      </c>
      <c r="R8942" s="21">
        <f t="shared" si="600"/>
        <v>0</v>
      </c>
      <c r="S8942" s="5">
        <f t="shared" si="603"/>
        <v>70007.077158325032</v>
      </c>
      <c r="T8942" cm="1">
        <f t="array" ref="T8942">IF(OR(B8942="MAL ALIMI", B8942="ÜRETİM GİRİŞ"), MIN(I8942, MAX(0, I8942 + SUM(SUMIFS($I$1:I8941, $C$1:C8941, C8942, $B$1:B8941, {"MAL ALIMI","ÜRETİM GİRİŞ"})) - VLOOKUP(C8942, 'STOK RAPORU'!$C$2:$I$1000, 4, 0))), 0)</f>
        <v>0</v>
      </c>
      <c r="U8942" s="22">
        <f t="shared" si="596"/>
        <v>0</v>
      </c>
      <c r="V8942">
        <f t="shared" si="597"/>
        <v>0</v>
      </c>
      <c r="W8942" s="22">
        <f t="shared" si="598"/>
        <v>0</v>
      </c>
    </row>
    <row r="8943" spans="1:23" hidden="1" x14ac:dyDescent="0.25">
      <c r="A8943" s="4"/>
      <c r="B8943" s="4"/>
      <c r="C8943" s="4"/>
      <c r="D8943" s="4"/>
      <c r="E8943" s="4"/>
      <c r="F8943" s="4"/>
      <c r="G8943" s="4"/>
      <c r="H8943" s="4"/>
      <c r="I8943" s="4"/>
      <c r="J8943" s="21">
        <f>IFERROR(VLOOKUP(C8943,'STOK KARTLARI'!$C$2:$K$2150,8,0),0)</f>
        <v>0</v>
      </c>
      <c r="K8943" s="21">
        <f t="shared" si="599"/>
        <v>0</v>
      </c>
      <c r="L8943" s="5">
        <f t="shared" si="601"/>
        <v>0</v>
      </c>
      <c r="M8943" s="4"/>
      <c r="N8943" s="4"/>
      <c r="O8943" s="5"/>
      <c r="P8943" s="5"/>
      <c r="Q8943" s="21">
        <f t="shared" si="602"/>
        <v>0</v>
      </c>
      <c r="R8943" s="21">
        <f t="shared" si="600"/>
        <v>0</v>
      </c>
      <c r="S8943" s="5">
        <f t="shared" si="603"/>
        <v>70007.077158325032</v>
      </c>
      <c r="T8943" cm="1">
        <f t="array" ref="T8943">IF(OR(B8943="MAL ALIMI", B8943="ÜRETİM GİRİŞ"), MIN(I8943, MAX(0, I8943 + SUM(SUMIFS($I$1:I8942, $C$1:C8942, C8943, $B$1:B8942, {"MAL ALIMI","ÜRETİM GİRİŞ"})) - VLOOKUP(C8943, 'STOK RAPORU'!$C$2:$I$1000, 4, 0))), 0)</f>
        <v>0</v>
      </c>
      <c r="U8943" s="22">
        <f t="shared" ref="U8943:U9006" si="604">T8943*J8943</f>
        <v>0</v>
      </c>
      <c r="V8943">
        <f t="shared" ref="V8943:V9006" si="605">IF(OR(B8943="MAL ALIMI", B8943="ÜRETİM GİRİŞ"), I8943 * J8943, 0)</f>
        <v>0</v>
      </c>
      <c r="W8943" s="22">
        <f t="shared" ref="W8943:W9006" si="606">V8943-U8943</f>
        <v>0</v>
      </c>
    </row>
    <row r="8944" spans="1:23" hidden="1" x14ac:dyDescent="0.25">
      <c r="A8944" s="4"/>
      <c r="B8944" s="4"/>
      <c r="C8944" s="4"/>
      <c r="D8944" s="4"/>
      <c r="E8944" s="4"/>
      <c r="F8944" s="4"/>
      <c r="G8944" s="4"/>
      <c r="H8944" s="4"/>
      <c r="I8944" s="4"/>
      <c r="J8944" s="21">
        <f>IFERROR(VLOOKUP(C8944,'STOK KARTLARI'!$C$2:$K$2150,8,0),0)</f>
        <v>0</v>
      </c>
      <c r="K8944" s="21">
        <f t="shared" si="599"/>
        <v>0</v>
      </c>
      <c r="L8944" s="5">
        <f t="shared" si="601"/>
        <v>0</v>
      </c>
      <c r="M8944" s="4"/>
      <c r="N8944" s="4"/>
      <c r="O8944" s="5"/>
      <c r="P8944" s="5"/>
      <c r="Q8944" s="21">
        <f t="shared" si="602"/>
        <v>0</v>
      </c>
      <c r="R8944" s="21">
        <f t="shared" si="600"/>
        <v>0</v>
      </c>
      <c r="S8944" s="5">
        <f t="shared" si="603"/>
        <v>70007.077158325032</v>
      </c>
      <c r="T8944" cm="1">
        <f t="array" ref="T8944">IF(OR(B8944="MAL ALIMI", B8944="ÜRETİM GİRİŞ"), MIN(I8944, MAX(0, I8944 + SUM(SUMIFS($I$1:I8943, $C$1:C8943, C8944, $B$1:B8943, {"MAL ALIMI","ÜRETİM GİRİŞ"})) - VLOOKUP(C8944, 'STOK RAPORU'!$C$2:$I$1000, 4, 0))), 0)</f>
        <v>0</v>
      </c>
      <c r="U8944" s="22">
        <f t="shared" si="604"/>
        <v>0</v>
      </c>
      <c r="V8944">
        <f t="shared" si="605"/>
        <v>0</v>
      </c>
      <c r="W8944" s="22">
        <f t="shared" si="606"/>
        <v>0</v>
      </c>
    </row>
    <row r="8945" spans="1:23" hidden="1" x14ac:dyDescent="0.25">
      <c r="A8945" s="4"/>
      <c r="B8945" s="4"/>
      <c r="C8945" s="4"/>
      <c r="D8945" s="4"/>
      <c r="E8945" s="4"/>
      <c r="F8945" s="4"/>
      <c r="G8945" s="4"/>
      <c r="H8945" s="4"/>
      <c r="I8945" s="4"/>
      <c r="J8945" s="21">
        <f>IFERROR(VLOOKUP(C8945,'STOK KARTLARI'!$C$2:$K$2150,8,0),0)</f>
        <v>0</v>
      </c>
      <c r="K8945" s="21">
        <f t="shared" si="599"/>
        <v>0</v>
      </c>
      <c r="L8945" s="5">
        <f t="shared" si="601"/>
        <v>0</v>
      </c>
      <c r="M8945" s="4"/>
      <c r="N8945" s="4"/>
      <c r="O8945" s="5"/>
      <c r="P8945" s="5"/>
      <c r="Q8945" s="21">
        <f t="shared" si="602"/>
        <v>0</v>
      </c>
      <c r="R8945" s="21">
        <f t="shared" si="600"/>
        <v>0</v>
      </c>
      <c r="S8945" s="5">
        <f t="shared" si="603"/>
        <v>70007.077158325032</v>
      </c>
      <c r="T8945" cm="1">
        <f t="array" ref="T8945">IF(OR(B8945="MAL ALIMI", B8945="ÜRETİM GİRİŞ"), MIN(I8945, MAX(0, I8945 + SUM(SUMIFS($I$1:I8944, $C$1:C8944, C8945, $B$1:B8944, {"MAL ALIMI","ÜRETİM GİRİŞ"})) - VLOOKUP(C8945, 'STOK RAPORU'!$C$2:$I$1000, 4, 0))), 0)</f>
        <v>0</v>
      </c>
      <c r="U8945" s="22">
        <f t="shared" si="604"/>
        <v>0</v>
      </c>
      <c r="V8945">
        <f t="shared" si="605"/>
        <v>0</v>
      </c>
      <c r="W8945" s="22">
        <f t="shared" si="606"/>
        <v>0</v>
      </c>
    </row>
    <row r="8946" spans="1:23" hidden="1" x14ac:dyDescent="0.25">
      <c r="A8946" s="4"/>
      <c r="B8946" s="4"/>
      <c r="C8946" s="4"/>
      <c r="D8946" s="4"/>
      <c r="E8946" s="4"/>
      <c r="F8946" s="4"/>
      <c r="G8946" s="4"/>
      <c r="H8946" s="4"/>
      <c r="I8946" s="4"/>
      <c r="J8946" s="21">
        <f>IFERROR(VLOOKUP(C8946,'STOK KARTLARI'!$C$2:$K$2150,8,0),0)</f>
        <v>0</v>
      </c>
      <c r="K8946" s="21">
        <f t="shared" si="599"/>
        <v>0</v>
      </c>
      <c r="L8946" s="5">
        <f t="shared" si="601"/>
        <v>0</v>
      </c>
      <c r="M8946" s="4"/>
      <c r="N8946" s="4"/>
      <c r="O8946" s="5"/>
      <c r="P8946" s="5"/>
      <c r="Q8946" s="21">
        <f t="shared" si="602"/>
        <v>0</v>
      </c>
      <c r="R8946" s="21">
        <f t="shared" si="600"/>
        <v>0</v>
      </c>
      <c r="S8946" s="5">
        <f t="shared" si="603"/>
        <v>70007.077158325032</v>
      </c>
      <c r="T8946" cm="1">
        <f t="array" ref="T8946">IF(OR(B8946="MAL ALIMI", B8946="ÜRETİM GİRİŞ"), MIN(I8946, MAX(0, I8946 + SUM(SUMIFS($I$1:I8945, $C$1:C8945, C8946, $B$1:B8945, {"MAL ALIMI","ÜRETİM GİRİŞ"})) - VLOOKUP(C8946, 'STOK RAPORU'!$C$2:$I$1000, 4, 0))), 0)</f>
        <v>0</v>
      </c>
      <c r="U8946" s="22">
        <f t="shared" si="604"/>
        <v>0</v>
      </c>
      <c r="V8946">
        <f t="shared" si="605"/>
        <v>0</v>
      </c>
      <c r="W8946" s="22">
        <f t="shared" si="606"/>
        <v>0</v>
      </c>
    </row>
    <row r="8947" spans="1:23" hidden="1" x14ac:dyDescent="0.25">
      <c r="A8947" s="4"/>
      <c r="B8947" s="4"/>
      <c r="C8947" s="4"/>
      <c r="D8947" s="4"/>
      <c r="E8947" s="4"/>
      <c r="F8947" s="4"/>
      <c r="G8947" s="4"/>
      <c r="H8947" s="4"/>
      <c r="I8947" s="4"/>
      <c r="J8947" s="21">
        <f>IFERROR(VLOOKUP(C8947,'STOK KARTLARI'!$C$2:$K$2150,8,0),0)</f>
        <v>0</v>
      </c>
      <c r="K8947" s="21">
        <f t="shared" ref="K8947:K9010" si="607">IF(AND(B8947="MAL SATIŞI", H8947="POS"),I8947*J8947,0)</f>
        <v>0</v>
      </c>
      <c r="L8947" s="5">
        <f t="shared" si="601"/>
        <v>0</v>
      </c>
      <c r="M8947" s="4"/>
      <c r="N8947" s="4"/>
      <c r="O8947" s="5"/>
      <c r="P8947" s="5"/>
      <c r="Q8947" s="21">
        <f t="shared" si="602"/>
        <v>0</v>
      </c>
      <c r="R8947" s="21">
        <f t="shared" ref="R8947:R9010" si="608">IF(AND(E8947="", B8947&lt;&gt;"MAL SATIŞI"),I8947*J8947,0)</f>
        <v>0</v>
      </c>
      <c r="S8947" s="5">
        <f t="shared" si="603"/>
        <v>70007.077158325032</v>
      </c>
      <c r="T8947" cm="1">
        <f t="array" ref="T8947">IF(OR(B8947="MAL ALIMI", B8947="ÜRETİM GİRİŞ"), MIN(I8947, MAX(0, I8947 + SUM(SUMIFS($I$1:I8946, $C$1:C8946, C8947, $B$1:B8946, {"MAL ALIMI","ÜRETİM GİRİŞ"})) - VLOOKUP(C8947, 'STOK RAPORU'!$C$2:$I$1000, 4, 0))), 0)</f>
        <v>0</v>
      </c>
      <c r="U8947" s="22">
        <f t="shared" si="604"/>
        <v>0</v>
      </c>
      <c r="V8947">
        <f t="shared" si="605"/>
        <v>0</v>
      </c>
      <c r="W8947" s="22">
        <f t="shared" si="606"/>
        <v>0</v>
      </c>
    </row>
    <row r="8948" spans="1:23" hidden="1" x14ac:dyDescent="0.25">
      <c r="A8948" s="3"/>
      <c r="B8948" s="4"/>
      <c r="C8948" s="4"/>
      <c r="D8948" s="4"/>
      <c r="E8948" s="4"/>
      <c r="F8948" s="4"/>
      <c r="G8948" s="4"/>
      <c r="H8948" s="4"/>
      <c r="I8948" s="4"/>
      <c r="J8948" s="21">
        <f>IFERROR(VLOOKUP(C8948,'STOK KARTLARI'!$C$2:$K$2150,8,0),0)</f>
        <v>0</v>
      </c>
      <c r="K8948" s="21">
        <f t="shared" si="607"/>
        <v>0</v>
      </c>
      <c r="L8948" s="5">
        <f t="shared" ref="L8948:L9011" si="609">IF(OR(E8948="", H8948="POS"),0,I8948*J8948)</f>
        <v>0</v>
      </c>
      <c r="M8948" s="4"/>
      <c r="N8948" s="4"/>
      <c r="O8948" s="5"/>
      <c r="P8948" s="5"/>
      <c r="Q8948" s="21">
        <f t="shared" ref="Q8948:Q9011" si="610">IF(AND(E8948="", B8948="MAL SATIŞI", H8948="NAKİT"),I8948*J8948,0)</f>
        <v>0</v>
      </c>
      <c r="R8948" s="21">
        <f t="shared" si="608"/>
        <v>0</v>
      </c>
      <c r="S8948" s="5">
        <f t="shared" si="603"/>
        <v>70007.077158325032</v>
      </c>
      <c r="T8948" cm="1">
        <f t="array" ref="T8948">IF(OR(B8948="MAL ALIMI", B8948="ÜRETİM GİRİŞ"), MIN(I8948, MAX(0, I8948 + SUM(SUMIFS($I$1:I8947, $C$1:C8947, C8948, $B$1:B8947, {"MAL ALIMI","ÜRETİM GİRİŞ"})) - VLOOKUP(C8948, 'STOK RAPORU'!$C$2:$I$1000, 4, 0))), 0)</f>
        <v>0</v>
      </c>
      <c r="U8948" s="22">
        <f t="shared" si="604"/>
        <v>0</v>
      </c>
      <c r="V8948">
        <f t="shared" si="605"/>
        <v>0</v>
      </c>
      <c r="W8948" s="22">
        <f t="shared" si="606"/>
        <v>0</v>
      </c>
    </row>
    <row r="8949" spans="1:23" hidden="1" x14ac:dyDescent="0.25">
      <c r="A8949" s="4"/>
      <c r="B8949" s="4"/>
      <c r="C8949" s="4"/>
      <c r="D8949" s="4"/>
      <c r="E8949" s="4"/>
      <c r="F8949" s="4"/>
      <c r="G8949" s="4"/>
      <c r="H8949" s="4"/>
      <c r="I8949" s="4"/>
      <c r="J8949" s="21">
        <f>IFERROR(VLOOKUP(C8949,'STOK KARTLARI'!$C$2:$K$2150,8,0),0)</f>
        <v>0</v>
      </c>
      <c r="K8949" s="21">
        <f t="shared" si="607"/>
        <v>0</v>
      </c>
      <c r="L8949" s="5">
        <f t="shared" si="609"/>
        <v>0</v>
      </c>
      <c r="M8949" s="4"/>
      <c r="N8949" s="4"/>
      <c r="O8949" s="5"/>
      <c r="P8949" s="5"/>
      <c r="Q8949" s="21">
        <f t="shared" si="610"/>
        <v>0</v>
      </c>
      <c r="R8949" s="21">
        <f t="shared" si="608"/>
        <v>0</v>
      </c>
      <c r="S8949" s="5">
        <f t="shared" si="603"/>
        <v>70007.077158325032</v>
      </c>
      <c r="T8949" cm="1">
        <f t="array" ref="T8949">IF(OR(B8949="MAL ALIMI", B8949="ÜRETİM GİRİŞ"), MIN(I8949, MAX(0, I8949 + SUM(SUMIFS($I$1:I8948, $C$1:C8948, C8949, $B$1:B8948, {"MAL ALIMI","ÜRETİM GİRİŞ"})) - VLOOKUP(C8949, 'STOK RAPORU'!$C$2:$I$1000, 4, 0))), 0)</f>
        <v>0</v>
      </c>
      <c r="U8949" s="22">
        <f t="shared" si="604"/>
        <v>0</v>
      </c>
      <c r="V8949">
        <f t="shared" si="605"/>
        <v>0</v>
      </c>
      <c r="W8949" s="22">
        <f t="shared" si="606"/>
        <v>0</v>
      </c>
    </row>
    <row r="8950" spans="1:23" hidden="1" x14ac:dyDescent="0.25">
      <c r="A8950" s="4"/>
      <c r="B8950" s="4"/>
      <c r="C8950" s="4"/>
      <c r="D8950" s="4"/>
      <c r="E8950" s="4"/>
      <c r="F8950" s="4"/>
      <c r="G8950" s="4"/>
      <c r="H8950" s="4"/>
      <c r="I8950" s="4"/>
      <c r="J8950" s="21">
        <f>IFERROR(VLOOKUP(C8950,'STOK KARTLARI'!$C$2:$K$2150,8,0),0)</f>
        <v>0</v>
      </c>
      <c r="K8950" s="21">
        <f t="shared" si="607"/>
        <v>0</v>
      </c>
      <c r="L8950" s="5">
        <f t="shared" si="609"/>
        <v>0</v>
      </c>
      <c r="M8950" s="4"/>
      <c r="N8950" s="4"/>
      <c r="O8950" s="5"/>
      <c r="P8950" s="5"/>
      <c r="Q8950" s="21">
        <f t="shared" si="610"/>
        <v>0</v>
      </c>
      <c r="R8950" s="21">
        <f t="shared" si="608"/>
        <v>0</v>
      </c>
      <c r="S8950" s="5">
        <f t="shared" si="603"/>
        <v>70007.077158325032</v>
      </c>
      <c r="T8950" cm="1">
        <f t="array" ref="T8950">IF(OR(B8950="MAL ALIMI", B8950="ÜRETİM GİRİŞ"), MIN(I8950, MAX(0, I8950 + SUM(SUMIFS($I$1:I8949, $C$1:C8949, C8950, $B$1:B8949, {"MAL ALIMI","ÜRETİM GİRİŞ"})) - VLOOKUP(C8950, 'STOK RAPORU'!$C$2:$I$1000, 4, 0))), 0)</f>
        <v>0</v>
      </c>
      <c r="U8950" s="22">
        <f t="shared" si="604"/>
        <v>0</v>
      </c>
      <c r="V8950">
        <f t="shared" si="605"/>
        <v>0</v>
      </c>
      <c r="W8950" s="22">
        <f t="shared" si="606"/>
        <v>0</v>
      </c>
    </row>
    <row r="8951" spans="1:23" hidden="1" x14ac:dyDescent="0.25">
      <c r="A8951" s="4"/>
      <c r="B8951" s="4"/>
      <c r="C8951" s="4"/>
      <c r="D8951" s="4"/>
      <c r="E8951" s="4"/>
      <c r="F8951" s="4"/>
      <c r="G8951" s="4"/>
      <c r="H8951" s="4"/>
      <c r="I8951" s="4"/>
      <c r="J8951" s="21">
        <f>IFERROR(VLOOKUP(C8951,'STOK KARTLARI'!$C$2:$K$2150,8,0),0)</f>
        <v>0</v>
      </c>
      <c r="K8951" s="21">
        <f t="shared" si="607"/>
        <v>0</v>
      </c>
      <c r="L8951" s="5">
        <f t="shared" si="609"/>
        <v>0</v>
      </c>
      <c r="M8951" s="4"/>
      <c r="N8951" s="4"/>
      <c r="O8951" s="5"/>
      <c r="P8951" s="5"/>
      <c r="Q8951" s="21">
        <f t="shared" si="610"/>
        <v>0</v>
      </c>
      <c r="R8951" s="21">
        <f t="shared" si="608"/>
        <v>0</v>
      </c>
      <c r="S8951" s="5">
        <f t="shared" si="603"/>
        <v>70007.077158325032</v>
      </c>
      <c r="T8951" cm="1">
        <f t="array" ref="T8951">IF(OR(B8951="MAL ALIMI", B8951="ÜRETİM GİRİŞ"), MIN(I8951, MAX(0, I8951 + SUM(SUMIFS($I$1:I8950, $C$1:C8950, C8951, $B$1:B8950, {"MAL ALIMI","ÜRETİM GİRİŞ"})) - VLOOKUP(C8951, 'STOK RAPORU'!$C$2:$I$1000, 4, 0))), 0)</f>
        <v>0</v>
      </c>
      <c r="U8951" s="22">
        <f t="shared" si="604"/>
        <v>0</v>
      </c>
      <c r="V8951">
        <f t="shared" si="605"/>
        <v>0</v>
      </c>
      <c r="W8951" s="22">
        <f t="shared" si="606"/>
        <v>0</v>
      </c>
    </row>
    <row r="8952" spans="1:23" hidden="1" x14ac:dyDescent="0.25">
      <c r="A8952" s="4"/>
      <c r="B8952" s="4"/>
      <c r="C8952" s="4"/>
      <c r="D8952" s="4"/>
      <c r="E8952" s="4"/>
      <c r="F8952" s="4"/>
      <c r="G8952" s="4"/>
      <c r="H8952" s="4"/>
      <c r="I8952" s="4"/>
      <c r="J8952" s="21">
        <f>IFERROR(VLOOKUP(C8952,'STOK KARTLARI'!$C$2:$K$2150,8,0),0)</f>
        <v>0</v>
      </c>
      <c r="K8952" s="21">
        <f t="shared" si="607"/>
        <v>0</v>
      </c>
      <c r="L8952" s="5">
        <f t="shared" si="609"/>
        <v>0</v>
      </c>
      <c r="M8952" s="4"/>
      <c r="N8952" s="4"/>
      <c r="O8952" s="5"/>
      <c r="P8952" s="5"/>
      <c r="Q8952" s="21">
        <f t="shared" si="610"/>
        <v>0</v>
      </c>
      <c r="R8952" s="21">
        <f t="shared" si="608"/>
        <v>0</v>
      </c>
      <c r="S8952" s="5">
        <f t="shared" si="603"/>
        <v>70007.077158325032</v>
      </c>
      <c r="T8952" cm="1">
        <f t="array" ref="T8952">IF(OR(B8952="MAL ALIMI", B8952="ÜRETİM GİRİŞ"), MIN(I8952, MAX(0, I8952 + SUM(SUMIFS($I$1:I8951, $C$1:C8951, C8952, $B$1:B8951, {"MAL ALIMI","ÜRETİM GİRİŞ"})) - VLOOKUP(C8952, 'STOK RAPORU'!$C$2:$I$1000, 4, 0))), 0)</f>
        <v>0</v>
      </c>
      <c r="U8952" s="22">
        <f t="shared" si="604"/>
        <v>0</v>
      </c>
      <c r="V8952">
        <f t="shared" si="605"/>
        <v>0</v>
      </c>
      <c r="W8952" s="22">
        <f t="shared" si="606"/>
        <v>0</v>
      </c>
    </row>
    <row r="8953" spans="1:23" hidden="1" x14ac:dyDescent="0.25">
      <c r="A8953" s="4"/>
      <c r="B8953" s="4"/>
      <c r="C8953" s="4"/>
      <c r="D8953" s="4"/>
      <c r="E8953" s="4"/>
      <c r="F8953" s="4"/>
      <c r="G8953" s="4"/>
      <c r="H8953" s="4"/>
      <c r="I8953" s="4"/>
      <c r="J8953" s="21">
        <f>IFERROR(VLOOKUP(C8953,'STOK KARTLARI'!$C$2:$K$2150,8,0),0)</f>
        <v>0</v>
      </c>
      <c r="K8953" s="21">
        <f t="shared" si="607"/>
        <v>0</v>
      </c>
      <c r="L8953" s="5">
        <f t="shared" si="609"/>
        <v>0</v>
      </c>
      <c r="M8953" s="4"/>
      <c r="N8953" s="4"/>
      <c r="O8953" s="5"/>
      <c r="P8953" s="5"/>
      <c r="Q8953" s="21">
        <f t="shared" si="610"/>
        <v>0</v>
      </c>
      <c r="R8953" s="21">
        <f t="shared" si="608"/>
        <v>0</v>
      </c>
      <c r="S8953" s="5">
        <f t="shared" si="603"/>
        <v>70007.077158325032</v>
      </c>
      <c r="T8953" cm="1">
        <f t="array" ref="T8953">IF(OR(B8953="MAL ALIMI", B8953="ÜRETİM GİRİŞ"), MIN(I8953, MAX(0, I8953 + SUM(SUMIFS($I$1:I8952, $C$1:C8952, C8953, $B$1:B8952, {"MAL ALIMI","ÜRETİM GİRİŞ"})) - VLOOKUP(C8953, 'STOK RAPORU'!$C$2:$I$1000, 4, 0))), 0)</f>
        <v>0</v>
      </c>
      <c r="U8953" s="22">
        <f t="shared" si="604"/>
        <v>0</v>
      </c>
      <c r="V8953">
        <f t="shared" si="605"/>
        <v>0</v>
      </c>
      <c r="W8953" s="22">
        <f t="shared" si="606"/>
        <v>0</v>
      </c>
    </row>
    <row r="8954" spans="1:23" hidden="1" x14ac:dyDescent="0.25">
      <c r="A8954" s="4"/>
      <c r="B8954" s="4"/>
      <c r="C8954" s="4"/>
      <c r="D8954" s="4"/>
      <c r="E8954" s="4"/>
      <c r="F8954" s="4"/>
      <c r="G8954" s="4"/>
      <c r="H8954" s="4"/>
      <c r="I8954" s="4"/>
      <c r="J8954" s="21">
        <f>IFERROR(VLOOKUP(C8954,'STOK KARTLARI'!$C$2:$K$2150,8,0),0)</f>
        <v>0</v>
      </c>
      <c r="K8954" s="21">
        <f t="shared" si="607"/>
        <v>0</v>
      </c>
      <c r="L8954" s="5">
        <f t="shared" si="609"/>
        <v>0</v>
      </c>
      <c r="M8954" s="4"/>
      <c r="N8954" s="4"/>
      <c r="O8954" s="5"/>
      <c r="P8954" s="5"/>
      <c r="Q8954" s="21">
        <f t="shared" si="610"/>
        <v>0</v>
      </c>
      <c r="R8954" s="21">
        <f t="shared" si="608"/>
        <v>0</v>
      </c>
      <c r="S8954" s="5">
        <f t="shared" si="603"/>
        <v>70007.077158325032</v>
      </c>
      <c r="T8954" cm="1">
        <f t="array" ref="T8954">IF(OR(B8954="MAL ALIMI", B8954="ÜRETİM GİRİŞ"), MIN(I8954, MAX(0, I8954 + SUM(SUMIFS($I$1:I8953, $C$1:C8953, C8954, $B$1:B8953, {"MAL ALIMI","ÜRETİM GİRİŞ"})) - VLOOKUP(C8954, 'STOK RAPORU'!$C$2:$I$1000, 4, 0))), 0)</f>
        <v>0</v>
      </c>
      <c r="U8954" s="22">
        <f t="shared" si="604"/>
        <v>0</v>
      </c>
      <c r="V8954">
        <f t="shared" si="605"/>
        <v>0</v>
      </c>
      <c r="W8954" s="22">
        <f t="shared" si="606"/>
        <v>0</v>
      </c>
    </row>
    <row r="8955" spans="1:23" hidden="1" x14ac:dyDescent="0.25">
      <c r="A8955" s="3"/>
      <c r="B8955" s="4"/>
      <c r="C8955" s="4"/>
      <c r="D8955" s="4"/>
      <c r="E8955" s="4"/>
      <c r="F8955" s="4"/>
      <c r="G8955" s="4"/>
      <c r="H8955" s="4"/>
      <c r="I8955" s="4"/>
      <c r="J8955" s="21">
        <f>IFERROR(VLOOKUP(C8955,'STOK KARTLARI'!$C$2:$K$2150,8,0),0)</f>
        <v>0</v>
      </c>
      <c r="K8955" s="21">
        <f t="shared" si="607"/>
        <v>0</v>
      </c>
      <c r="L8955" s="5">
        <f t="shared" si="609"/>
        <v>0</v>
      </c>
      <c r="M8955" s="4"/>
      <c r="N8955" s="4"/>
      <c r="O8955" s="5"/>
      <c r="P8955" s="5"/>
      <c r="Q8955" s="21">
        <f t="shared" si="610"/>
        <v>0</v>
      </c>
      <c r="R8955" s="21">
        <f t="shared" si="608"/>
        <v>0</v>
      </c>
      <c r="S8955" s="5">
        <f t="shared" si="603"/>
        <v>70007.077158325032</v>
      </c>
      <c r="T8955" cm="1">
        <f t="array" ref="T8955">IF(OR(B8955="MAL ALIMI", B8955="ÜRETİM GİRİŞ"), MIN(I8955, MAX(0, I8955 + SUM(SUMIFS($I$1:I8954, $C$1:C8954, C8955, $B$1:B8954, {"MAL ALIMI","ÜRETİM GİRİŞ"})) - VLOOKUP(C8955, 'STOK RAPORU'!$C$2:$I$1000, 4, 0))), 0)</f>
        <v>0</v>
      </c>
      <c r="U8955" s="22">
        <f t="shared" si="604"/>
        <v>0</v>
      </c>
      <c r="V8955">
        <f t="shared" si="605"/>
        <v>0</v>
      </c>
      <c r="W8955" s="22">
        <f t="shared" si="606"/>
        <v>0</v>
      </c>
    </row>
    <row r="8956" spans="1:23" hidden="1" x14ac:dyDescent="0.25">
      <c r="A8956" s="4"/>
      <c r="B8956" s="4"/>
      <c r="C8956" s="4"/>
      <c r="D8956" s="4"/>
      <c r="E8956" s="4"/>
      <c r="F8956" s="4"/>
      <c r="G8956" s="4"/>
      <c r="H8956" s="4"/>
      <c r="I8956" s="4"/>
      <c r="J8956" s="21">
        <f>IFERROR(VLOOKUP(C8956,'STOK KARTLARI'!$C$2:$K$2150,8,0),0)</f>
        <v>0</v>
      </c>
      <c r="K8956" s="21">
        <f t="shared" si="607"/>
        <v>0</v>
      </c>
      <c r="L8956" s="5">
        <f t="shared" si="609"/>
        <v>0</v>
      </c>
      <c r="M8956" s="4"/>
      <c r="N8956" s="4"/>
      <c r="O8956" s="5"/>
      <c r="P8956" s="5"/>
      <c r="Q8956" s="21">
        <f t="shared" si="610"/>
        <v>0</v>
      </c>
      <c r="R8956" s="21">
        <f t="shared" si="608"/>
        <v>0</v>
      </c>
      <c r="S8956" s="5">
        <f t="shared" si="603"/>
        <v>70007.077158325032</v>
      </c>
      <c r="T8956" cm="1">
        <f t="array" ref="T8956">IF(OR(B8956="MAL ALIMI", B8956="ÜRETİM GİRİŞ"), MIN(I8956, MAX(0, I8956 + SUM(SUMIFS($I$1:I8955, $C$1:C8955, C8956, $B$1:B8955, {"MAL ALIMI","ÜRETİM GİRİŞ"})) - VLOOKUP(C8956, 'STOK RAPORU'!$C$2:$I$1000, 4, 0))), 0)</f>
        <v>0</v>
      </c>
      <c r="U8956" s="22">
        <f t="shared" si="604"/>
        <v>0</v>
      </c>
      <c r="V8956">
        <f t="shared" si="605"/>
        <v>0</v>
      </c>
      <c r="W8956" s="22">
        <f t="shared" si="606"/>
        <v>0</v>
      </c>
    </row>
    <row r="8957" spans="1:23" hidden="1" x14ac:dyDescent="0.25">
      <c r="A8957" s="4"/>
      <c r="B8957" s="4"/>
      <c r="C8957" s="4"/>
      <c r="D8957" s="4"/>
      <c r="E8957" s="4"/>
      <c r="F8957" s="4"/>
      <c r="G8957" s="4"/>
      <c r="H8957" s="4"/>
      <c r="I8957" s="4"/>
      <c r="J8957" s="21">
        <f>IFERROR(VLOOKUP(C8957,'STOK KARTLARI'!$C$2:$K$2150,8,0),0)</f>
        <v>0</v>
      </c>
      <c r="K8957" s="21">
        <f t="shared" si="607"/>
        <v>0</v>
      </c>
      <c r="L8957" s="5">
        <f t="shared" si="609"/>
        <v>0</v>
      </c>
      <c r="M8957" s="4"/>
      <c r="N8957" s="4"/>
      <c r="O8957" s="5"/>
      <c r="P8957" s="5"/>
      <c r="Q8957" s="21">
        <f t="shared" si="610"/>
        <v>0</v>
      </c>
      <c r="R8957" s="21">
        <f t="shared" si="608"/>
        <v>0</v>
      </c>
      <c r="S8957" s="5">
        <f t="shared" si="603"/>
        <v>70007.077158325032</v>
      </c>
      <c r="T8957" cm="1">
        <f t="array" ref="T8957">IF(OR(B8957="MAL ALIMI", B8957="ÜRETİM GİRİŞ"), MIN(I8957, MAX(0, I8957 + SUM(SUMIFS($I$1:I8956, $C$1:C8956, C8957, $B$1:B8956, {"MAL ALIMI","ÜRETİM GİRİŞ"})) - VLOOKUP(C8957, 'STOK RAPORU'!$C$2:$I$1000, 4, 0))), 0)</f>
        <v>0</v>
      </c>
      <c r="U8957" s="22">
        <f t="shared" si="604"/>
        <v>0</v>
      </c>
      <c r="V8957">
        <f t="shared" si="605"/>
        <v>0</v>
      </c>
      <c r="W8957" s="22">
        <f t="shared" si="606"/>
        <v>0</v>
      </c>
    </row>
    <row r="8958" spans="1:23" hidden="1" x14ac:dyDescent="0.25">
      <c r="A8958" s="4"/>
      <c r="B8958" s="4"/>
      <c r="C8958" s="4"/>
      <c r="D8958" s="4"/>
      <c r="E8958" s="4"/>
      <c r="F8958" s="4"/>
      <c r="G8958" s="4"/>
      <c r="H8958" s="4"/>
      <c r="I8958" s="4"/>
      <c r="J8958" s="21">
        <f>IFERROR(VLOOKUP(C8958,'STOK KARTLARI'!$C$2:$K$2150,8,0),0)</f>
        <v>0</v>
      </c>
      <c r="K8958" s="21">
        <f t="shared" si="607"/>
        <v>0</v>
      </c>
      <c r="L8958" s="5">
        <f t="shared" si="609"/>
        <v>0</v>
      </c>
      <c r="M8958" s="4"/>
      <c r="N8958" s="4"/>
      <c r="O8958" s="5"/>
      <c r="P8958" s="5"/>
      <c r="Q8958" s="21">
        <f t="shared" si="610"/>
        <v>0</v>
      </c>
      <c r="R8958" s="21">
        <f t="shared" si="608"/>
        <v>0</v>
      </c>
      <c r="S8958" s="5">
        <f t="shared" si="603"/>
        <v>70007.077158325032</v>
      </c>
      <c r="T8958" cm="1">
        <f t="array" ref="T8958">IF(OR(B8958="MAL ALIMI", B8958="ÜRETİM GİRİŞ"), MIN(I8958, MAX(0, I8958 + SUM(SUMIFS($I$1:I8957, $C$1:C8957, C8958, $B$1:B8957, {"MAL ALIMI","ÜRETİM GİRİŞ"})) - VLOOKUP(C8958, 'STOK RAPORU'!$C$2:$I$1000, 4, 0))), 0)</f>
        <v>0</v>
      </c>
      <c r="U8958" s="22">
        <f t="shared" si="604"/>
        <v>0</v>
      </c>
      <c r="V8958">
        <f t="shared" si="605"/>
        <v>0</v>
      </c>
      <c r="W8958" s="22">
        <f t="shared" si="606"/>
        <v>0</v>
      </c>
    </row>
    <row r="8959" spans="1:23" hidden="1" x14ac:dyDescent="0.25">
      <c r="A8959" s="4"/>
      <c r="B8959" s="4"/>
      <c r="C8959" s="4"/>
      <c r="D8959" s="4"/>
      <c r="E8959" s="4"/>
      <c r="F8959" s="4"/>
      <c r="G8959" s="4"/>
      <c r="H8959" s="4"/>
      <c r="I8959" s="4"/>
      <c r="J8959" s="21">
        <f>IFERROR(VLOOKUP(C8959,'STOK KARTLARI'!$C$2:$K$2150,8,0),0)</f>
        <v>0</v>
      </c>
      <c r="K8959" s="21">
        <f t="shared" si="607"/>
        <v>0</v>
      </c>
      <c r="L8959" s="5">
        <f t="shared" si="609"/>
        <v>0</v>
      </c>
      <c r="M8959" s="4"/>
      <c r="N8959" s="4"/>
      <c r="O8959" s="5"/>
      <c r="P8959" s="5"/>
      <c r="Q8959" s="21">
        <f t="shared" si="610"/>
        <v>0</v>
      </c>
      <c r="R8959" s="21">
        <f t="shared" si="608"/>
        <v>0</v>
      </c>
      <c r="S8959" s="5">
        <f t="shared" si="603"/>
        <v>70007.077158325032</v>
      </c>
      <c r="T8959" cm="1">
        <f t="array" ref="T8959">IF(OR(B8959="MAL ALIMI", B8959="ÜRETİM GİRİŞ"), MIN(I8959, MAX(0, I8959 + SUM(SUMIFS($I$1:I8958, $C$1:C8958, C8959, $B$1:B8958, {"MAL ALIMI","ÜRETİM GİRİŞ"})) - VLOOKUP(C8959, 'STOK RAPORU'!$C$2:$I$1000, 4, 0))), 0)</f>
        <v>0</v>
      </c>
      <c r="U8959" s="22">
        <f t="shared" si="604"/>
        <v>0</v>
      </c>
      <c r="V8959">
        <f t="shared" si="605"/>
        <v>0</v>
      </c>
      <c r="W8959" s="22">
        <f t="shared" si="606"/>
        <v>0</v>
      </c>
    </row>
    <row r="8960" spans="1:23" hidden="1" x14ac:dyDescent="0.25">
      <c r="A8960" s="4"/>
      <c r="B8960" s="4"/>
      <c r="C8960" s="4"/>
      <c r="D8960" s="4"/>
      <c r="E8960" s="4"/>
      <c r="F8960" s="4"/>
      <c r="G8960" s="4"/>
      <c r="H8960" s="4"/>
      <c r="I8960" s="4"/>
      <c r="J8960" s="21">
        <f>IFERROR(VLOOKUP(C8960,'STOK KARTLARI'!$C$2:$K$2150,8,0),0)</f>
        <v>0</v>
      </c>
      <c r="K8960" s="21">
        <f t="shared" si="607"/>
        <v>0</v>
      </c>
      <c r="L8960" s="5">
        <f t="shared" si="609"/>
        <v>0</v>
      </c>
      <c r="M8960" s="4"/>
      <c r="N8960" s="4"/>
      <c r="O8960" s="5"/>
      <c r="P8960" s="5"/>
      <c r="Q8960" s="21">
        <f t="shared" si="610"/>
        <v>0</v>
      </c>
      <c r="R8960" s="21">
        <f t="shared" si="608"/>
        <v>0</v>
      </c>
      <c r="S8960" s="5">
        <f t="shared" si="603"/>
        <v>70007.077158325032</v>
      </c>
      <c r="T8960" cm="1">
        <f t="array" ref="T8960">IF(OR(B8960="MAL ALIMI", B8960="ÜRETİM GİRİŞ"), MIN(I8960, MAX(0, I8960 + SUM(SUMIFS($I$1:I8959, $C$1:C8959, C8960, $B$1:B8959, {"MAL ALIMI","ÜRETİM GİRİŞ"})) - VLOOKUP(C8960, 'STOK RAPORU'!$C$2:$I$1000, 4, 0))), 0)</f>
        <v>0</v>
      </c>
      <c r="U8960" s="22">
        <f t="shared" si="604"/>
        <v>0</v>
      </c>
      <c r="V8960">
        <f t="shared" si="605"/>
        <v>0</v>
      </c>
      <c r="W8960" s="22">
        <f t="shared" si="606"/>
        <v>0</v>
      </c>
    </row>
    <row r="8961" spans="1:23" hidden="1" x14ac:dyDescent="0.25">
      <c r="A8961" s="4"/>
      <c r="B8961" s="4"/>
      <c r="C8961" s="4"/>
      <c r="D8961" s="4"/>
      <c r="E8961" s="4"/>
      <c r="F8961" s="4"/>
      <c r="G8961" s="4"/>
      <c r="H8961" s="4"/>
      <c r="I8961" s="4"/>
      <c r="J8961" s="21">
        <f>IFERROR(VLOOKUP(C8961,'STOK KARTLARI'!$C$2:$K$2150,8,0),0)</f>
        <v>0</v>
      </c>
      <c r="K8961" s="21">
        <f t="shared" si="607"/>
        <v>0</v>
      </c>
      <c r="L8961" s="5">
        <f t="shared" si="609"/>
        <v>0</v>
      </c>
      <c r="M8961" s="4"/>
      <c r="N8961" s="4"/>
      <c r="O8961" s="5"/>
      <c r="P8961" s="5"/>
      <c r="Q8961" s="21">
        <f t="shared" si="610"/>
        <v>0</v>
      </c>
      <c r="R8961" s="21">
        <f t="shared" si="608"/>
        <v>0</v>
      </c>
      <c r="S8961" s="5">
        <f t="shared" si="603"/>
        <v>70007.077158325032</v>
      </c>
      <c r="T8961" cm="1">
        <f t="array" ref="T8961">IF(OR(B8961="MAL ALIMI", B8961="ÜRETİM GİRİŞ"), MIN(I8961, MAX(0, I8961 + SUM(SUMIFS($I$1:I8960, $C$1:C8960, C8961, $B$1:B8960, {"MAL ALIMI","ÜRETİM GİRİŞ"})) - VLOOKUP(C8961, 'STOK RAPORU'!$C$2:$I$1000, 4, 0))), 0)</f>
        <v>0</v>
      </c>
      <c r="U8961" s="22">
        <f t="shared" si="604"/>
        <v>0</v>
      </c>
      <c r="V8961">
        <f t="shared" si="605"/>
        <v>0</v>
      </c>
      <c r="W8961" s="22">
        <f t="shared" si="606"/>
        <v>0</v>
      </c>
    </row>
    <row r="8962" spans="1:23" hidden="1" x14ac:dyDescent="0.25">
      <c r="A8962" s="3"/>
      <c r="B8962" s="4"/>
      <c r="C8962" s="4"/>
      <c r="D8962" s="4"/>
      <c r="E8962" s="4"/>
      <c r="F8962" s="4"/>
      <c r="G8962" s="4"/>
      <c r="H8962" s="4"/>
      <c r="I8962" s="4"/>
      <c r="J8962" s="21">
        <f>IFERROR(VLOOKUP(C8962,'STOK KARTLARI'!$C$2:$K$2150,8,0),0)</f>
        <v>0</v>
      </c>
      <c r="K8962" s="21">
        <f t="shared" si="607"/>
        <v>0</v>
      </c>
      <c r="L8962" s="5">
        <f t="shared" si="609"/>
        <v>0</v>
      </c>
      <c r="M8962" s="4"/>
      <c r="N8962" s="4"/>
      <c r="O8962" s="5"/>
      <c r="P8962" s="5"/>
      <c r="Q8962" s="21">
        <f t="shared" si="610"/>
        <v>0</v>
      </c>
      <c r="R8962" s="21">
        <f t="shared" si="608"/>
        <v>0</v>
      </c>
      <c r="S8962" s="5">
        <f t="shared" si="603"/>
        <v>70007.077158325032</v>
      </c>
      <c r="T8962" cm="1">
        <f t="array" ref="T8962">IF(OR(B8962="MAL ALIMI", B8962="ÜRETİM GİRİŞ"), MIN(I8962, MAX(0, I8962 + SUM(SUMIFS($I$1:I8961, $C$1:C8961, C8962, $B$1:B8961, {"MAL ALIMI","ÜRETİM GİRİŞ"})) - VLOOKUP(C8962, 'STOK RAPORU'!$C$2:$I$1000, 4, 0))), 0)</f>
        <v>0</v>
      </c>
      <c r="U8962" s="22">
        <f t="shared" si="604"/>
        <v>0</v>
      </c>
      <c r="V8962">
        <f t="shared" si="605"/>
        <v>0</v>
      </c>
      <c r="W8962" s="22">
        <f t="shared" si="606"/>
        <v>0</v>
      </c>
    </row>
    <row r="8963" spans="1:23" hidden="1" x14ac:dyDescent="0.25">
      <c r="A8963" s="4"/>
      <c r="B8963" s="4"/>
      <c r="C8963" s="4"/>
      <c r="D8963" s="4"/>
      <c r="E8963" s="4"/>
      <c r="F8963" s="4"/>
      <c r="G8963" s="4"/>
      <c r="H8963" s="4"/>
      <c r="I8963" s="4"/>
      <c r="J8963" s="21">
        <f>IFERROR(VLOOKUP(C8963,'STOK KARTLARI'!$C$2:$K$2150,8,0),0)</f>
        <v>0</v>
      </c>
      <c r="K8963" s="21">
        <f t="shared" si="607"/>
        <v>0</v>
      </c>
      <c r="L8963" s="5">
        <f t="shared" si="609"/>
        <v>0</v>
      </c>
      <c r="M8963" s="4"/>
      <c r="N8963" s="4"/>
      <c r="O8963" s="5"/>
      <c r="P8963" s="5"/>
      <c r="Q8963" s="21">
        <f t="shared" si="610"/>
        <v>0</v>
      </c>
      <c r="R8963" s="21">
        <f t="shared" si="608"/>
        <v>0</v>
      </c>
      <c r="S8963" s="5">
        <f t="shared" si="603"/>
        <v>70007.077158325032</v>
      </c>
      <c r="T8963" cm="1">
        <f t="array" ref="T8963">IF(OR(B8963="MAL ALIMI", B8963="ÜRETİM GİRİŞ"), MIN(I8963, MAX(0, I8963 + SUM(SUMIFS($I$1:I8962, $C$1:C8962, C8963, $B$1:B8962, {"MAL ALIMI","ÜRETİM GİRİŞ"})) - VLOOKUP(C8963, 'STOK RAPORU'!$C$2:$I$1000, 4, 0))), 0)</f>
        <v>0</v>
      </c>
      <c r="U8963" s="22">
        <f t="shared" si="604"/>
        <v>0</v>
      </c>
      <c r="V8963">
        <f t="shared" si="605"/>
        <v>0</v>
      </c>
      <c r="W8963" s="22">
        <f t="shared" si="606"/>
        <v>0</v>
      </c>
    </row>
    <row r="8964" spans="1:23" hidden="1" x14ac:dyDescent="0.25">
      <c r="A8964" s="4"/>
      <c r="B8964" s="4"/>
      <c r="C8964" s="4"/>
      <c r="D8964" s="4"/>
      <c r="E8964" s="4"/>
      <c r="F8964" s="4"/>
      <c r="G8964" s="4"/>
      <c r="H8964" s="4"/>
      <c r="I8964" s="4"/>
      <c r="J8964" s="21">
        <f>IFERROR(VLOOKUP(C8964,'STOK KARTLARI'!$C$2:$K$2150,8,0),0)</f>
        <v>0</v>
      </c>
      <c r="K8964" s="21">
        <f t="shared" si="607"/>
        <v>0</v>
      </c>
      <c r="L8964" s="5">
        <f t="shared" si="609"/>
        <v>0</v>
      </c>
      <c r="M8964" s="4"/>
      <c r="N8964" s="4"/>
      <c r="O8964" s="5"/>
      <c r="P8964" s="5"/>
      <c r="Q8964" s="21">
        <f t="shared" si="610"/>
        <v>0</v>
      </c>
      <c r="R8964" s="21">
        <f t="shared" si="608"/>
        <v>0</v>
      </c>
      <c r="S8964" s="5">
        <f t="shared" si="603"/>
        <v>70007.077158325032</v>
      </c>
      <c r="T8964" cm="1">
        <f t="array" ref="T8964">IF(OR(B8964="MAL ALIMI", B8964="ÜRETİM GİRİŞ"), MIN(I8964, MAX(0, I8964 + SUM(SUMIFS($I$1:I8963, $C$1:C8963, C8964, $B$1:B8963, {"MAL ALIMI","ÜRETİM GİRİŞ"})) - VLOOKUP(C8964, 'STOK RAPORU'!$C$2:$I$1000, 4, 0))), 0)</f>
        <v>0</v>
      </c>
      <c r="U8964" s="22">
        <f t="shared" si="604"/>
        <v>0</v>
      </c>
      <c r="V8964">
        <f t="shared" si="605"/>
        <v>0</v>
      </c>
      <c r="W8964" s="22">
        <f t="shared" si="606"/>
        <v>0</v>
      </c>
    </row>
    <row r="8965" spans="1:23" hidden="1" x14ac:dyDescent="0.25">
      <c r="A8965" s="4"/>
      <c r="B8965" s="4"/>
      <c r="C8965" s="4"/>
      <c r="D8965" s="4"/>
      <c r="E8965" s="4"/>
      <c r="F8965" s="4"/>
      <c r="G8965" s="4"/>
      <c r="H8965" s="4"/>
      <c r="I8965" s="4"/>
      <c r="J8965" s="21">
        <f>IFERROR(VLOOKUP(C8965,'STOK KARTLARI'!$C$2:$K$2150,8,0),0)</f>
        <v>0</v>
      </c>
      <c r="K8965" s="21">
        <f t="shared" si="607"/>
        <v>0</v>
      </c>
      <c r="L8965" s="5">
        <f t="shared" si="609"/>
        <v>0</v>
      </c>
      <c r="M8965" s="4"/>
      <c r="N8965" s="4"/>
      <c r="O8965" s="5"/>
      <c r="P8965" s="5"/>
      <c r="Q8965" s="21">
        <f t="shared" si="610"/>
        <v>0</v>
      </c>
      <c r="R8965" s="21">
        <f t="shared" si="608"/>
        <v>0</v>
      </c>
      <c r="S8965" s="5">
        <f t="shared" ref="S8965:S9028" si="611">S8964+Q8965-R8965</f>
        <v>70007.077158325032</v>
      </c>
      <c r="T8965" cm="1">
        <f t="array" ref="T8965">IF(OR(B8965="MAL ALIMI", B8965="ÜRETİM GİRİŞ"), MIN(I8965, MAX(0, I8965 + SUM(SUMIFS($I$1:I8964, $C$1:C8964, C8965, $B$1:B8964, {"MAL ALIMI","ÜRETİM GİRİŞ"})) - VLOOKUP(C8965, 'STOK RAPORU'!$C$2:$I$1000, 4, 0))), 0)</f>
        <v>0</v>
      </c>
      <c r="U8965" s="22">
        <f t="shared" si="604"/>
        <v>0</v>
      </c>
      <c r="V8965">
        <f t="shared" si="605"/>
        <v>0</v>
      </c>
      <c r="W8965" s="22">
        <f t="shared" si="606"/>
        <v>0</v>
      </c>
    </row>
    <row r="8966" spans="1:23" hidden="1" x14ac:dyDescent="0.25">
      <c r="A8966" s="4"/>
      <c r="B8966" s="4"/>
      <c r="C8966" s="4"/>
      <c r="D8966" s="4"/>
      <c r="E8966" s="4"/>
      <c r="F8966" s="4"/>
      <c r="G8966" s="4"/>
      <c r="H8966" s="4"/>
      <c r="I8966" s="4"/>
      <c r="J8966" s="21">
        <f>IFERROR(VLOOKUP(C8966,'STOK KARTLARI'!$C$2:$K$2150,8,0),0)</f>
        <v>0</v>
      </c>
      <c r="K8966" s="21">
        <f t="shared" si="607"/>
        <v>0</v>
      </c>
      <c r="L8966" s="5">
        <f t="shared" si="609"/>
        <v>0</v>
      </c>
      <c r="M8966" s="4"/>
      <c r="N8966" s="4"/>
      <c r="O8966" s="5"/>
      <c r="P8966" s="5"/>
      <c r="Q8966" s="21">
        <f t="shared" si="610"/>
        <v>0</v>
      </c>
      <c r="R8966" s="21">
        <f t="shared" si="608"/>
        <v>0</v>
      </c>
      <c r="S8966" s="5">
        <f t="shared" si="611"/>
        <v>70007.077158325032</v>
      </c>
      <c r="T8966" cm="1">
        <f t="array" ref="T8966">IF(OR(B8966="MAL ALIMI", B8966="ÜRETİM GİRİŞ"), MIN(I8966, MAX(0, I8966 + SUM(SUMIFS($I$1:I8965, $C$1:C8965, C8966, $B$1:B8965, {"MAL ALIMI","ÜRETİM GİRİŞ"})) - VLOOKUP(C8966, 'STOK RAPORU'!$C$2:$I$1000, 4, 0))), 0)</f>
        <v>0</v>
      </c>
      <c r="U8966" s="22">
        <f t="shared" si="604"/>
        <v>0</v>
      </c>
      <c r="V8966">
        <f t="shared" si="605"/>
        <v>0</v>
      </c>
      <c r="W8966" s="22">
        <f t="shared" si="606"/>
        <v>0</v>
      </c>
    </row>
    <row r="8967" spans="1:23" hidden="1" x14ac:dyDescent="0.25">
      <c r="A8967" s="4"/>
      <c r="B8967" s="4"/>
      <c r="C8967" s="4"/>
      <c r="D8967" s="4"/>
      <c r="E8967" s="4"/>
      <c r="F8967" s="4"/>
      <c r="G8967" s="4"/>
      <c r="H8967" s="4"/>
      <c r="I8967" s="4"/>
      <c r="J8967" s="21">
        <f>IFERROR(VLOOKUP(C8967,'STOK KARTLARI'!$C$2:$K$2150,8,0),0)</f>
        <v>0</v>
      </c>
      <c r="K8967" s="21">
        <f t="shared" si="607"/>
        <v>0</v>
      </c>
      <c r="L8967" s="5">
        <f t="shared" si="609"/>
        <v>0</v>
      </c>
      <c r="M8967" s="4"/>
      <c r="N8967" s="4"/>
      <c r="O8967" s="5"/>
      <c r="P8967" s="5"/>
      <c r="Q8967" s="21">
        <f t="shared" si="610"/>
        <v>0</v>
      </c>
      <c r="R8967" s="21">
        <f t="shared" si="608"/>
        <v>0</v>
      </c>
      <c r="S8967" s="5">
        <f t="shared" si="611"/>
        <v>70007.077158325032</v>
      </c>
      <c r="T8967" cm="1">
        <f t="array" ref="T8967">IF(OR(B8967="MAL ALIMI", B8967="ÜRETİM GİRİŞ"), MIN(I8967, MAX(0, I8967 + SUM(SUMIFS($I$1:I8966, $C$1:C8966, C8967, $B$1:B8966, {"MAL ALIMI","ÜRETİM GİRİŞ"})) - VLOOKUP(C8967, 'STOK RAPORU'!$C$2:$I$1000, 4, 0))), 0)</f>
        <v>0</v>
      </c>
      <c r="U8967" s="22">
        <f t="shared" si="604"/>
        <v>0</v>
      </c>
      <c r="V8967">
        <f t="shared" si="605"/>
        <v>0</v>
      </c>
      <c r="W8967" s="22">
        <f t="shared" si="606"/>
        <v>0</v>
      </c>
    </row>
    <row r="8968" spans="1:23" hidden="1" x14ac:dyDescent="0.25">
      <c r="A8968" s="4"/>
      <c r="B8968" s="4"/>
      <c r="C8968" s="4"/>
      <c r="D8968" s="4"/>
      <c r="E8968" s="4"/>
      <c r="F8968" s="4"/>
      <c r="G8968" s="4"/>
      <c r="H8968" s="4"/>
      <c r="I8968" s="4"/>
      <c r="J8968" s="21">
        <f>IFERROR(VLOOKUP(C8968,'STOK KARTLARI'!$C$2:$K$2150,8,0),0)</f>
        <v>0</v>
      </c>
      <c r="K8968" s="21">
        <f t="shared" si="607"/>
        <v>0</v>
      </c>
      <c r="L8968" s="5">
        <f t="shared" si="609"/>
        <v>0</v>
      </c>
      <c r="M8968" s="4"/>
      <c r="N8968" s="4"/>
      <c r="O8968" s="5"/>
      <c r="P8968" s="5"/>
      <c r="Q8968" s="21">
        <f t="shared" si="610"/>
        <v>0</v>
      </c>
      <c r="R8968" s="21">
        <f t="shared" si="608"/>
        <v>0</v>
      </c>
      <c r="S8968" s="5">
        <f t="shared" si="611"/>
        <v>70007.077158325032</v>
      </c>
      <c r="T8968" cm="1">
        <f t="array" ref="T8968">IF(OR(B8968="MAL ALIMI", B8968="ÜRETİM GİRİŞ"), MIN(I8968, MAX(0, I8968 + SUM(SUMIFS($I$1:I8967, $C$1:C8967, C8968, $B$1:B8967, {"MAL ALIMI","ÜRETİM GİRİŞ"})) - VLOOKUP(C8968, 'STOK RAPORU'!$C$2:$I$1000, 4, 0))), 0)</f>
        <v>0</v>
      </c>
      <c r="U8968" s="22">
        <f t="shared" si="604"/>
        <v>0</v>
      </c>
      <c r="V8968">
        <f t="shared" si="605"/>
        <v>0</v>
      </c>
      <c r="W8968" s="22">
        <f t="shared" si="606"/>
        <v>0</v>
      </c>
    </row>
    <row r="8969" spans="1:23" hidden="1" x14ac:dyDescent="0.25">
      <c r="A8969" s="3"/>
      <c r="B8969" s="4"/>
      <c r="C8969" s="4"/>
      <c r="D8969" s="4"/>
      <c r="E8969" s="4"/>
      <c r="F8969" s="4"/>
      <c r="G8969" s="4"/>
      <c r="H8969" s="4"/>
      <c r="I8969" s="4"/>
      <c r="J8969" s="21">
        <f>IFERROR(VLOOKUP(C8969,'STOK KARTLARI'!$C$2:$K$2150,8,0),0)</f>
        <v>0</v>
      </c>
      <c r="K8969" s="21">
        <f t="shared" si="607"/>
        <v>0</v>
      </c>
      <c r="L8969" s="5">
        <f t="shared" si="609"/>
        <v>0</v>
      </c>
      <c r="M8969" s="4"/>
      <c r="N8969" s="4"/>
      <c r="O8969" s="5"/>
      <c r="P8969" s="5"/>
      <c r="Q8969" s="21">
        <f t="shared" si="610"/>
        <v>0</v>
      </c>
      <c r="R8969" s="21">
        <f t="shared" si="608"/>
        <v>0</v>
      </c>
      <c r="S8969" s="5">
        <f t="shared" si="611"/>
        <v>70007.077158325032</v>
      </c>
      <c r="T8969" cm="1">
        <f t="array" ref="T8969">IF(OR(B8969="MAL ALIMI", B8969="ÜRETİM GİRİŞ"), MIN(I8969, MAX(0, I8969 + SUM(SUMIFS($I$1:I8968, $C$1:C8968, C8969, $B$1:B8968, {"MAL ALIMI","ÜRETİM GİRİŞ"})) - VLOOKUP(C8969, 'STOK RAPORU'!$C$2:$I$1000, 4, 0))), 0)</f>
        <v>0</v>
      </c>
      <c r="U8969" s="22">
        <f t="shared" si="604"/>
        <v>0</v>
      </c>
      <c r="V8969">
        <f t="shared" si="605"/>
        <v>0</v>
      </c>
      <c r="W8969" s="22">
        <f t="shared" si="606"/>
        <v>0</v>
      </c>
    </row>
    <row r="8970" spans="1:23" hidden="1" x14ac:dyDescent="0.25">
      <c r="A8970" s="3"/>
      <c r="B8970" s="4"/>
      <c r="C8970" s="4"/>
      <c r="D8970" s="4"/>
      <c r="E8970" s="4"/>
      <c r="F8970" s="4"/>
      <c r="G8970" s="4"/>
      <c r="H8970" s="4"/>
      <c r="I8970" s="4"/>
      <c r="J8970" s="21">
        <f>IFERROR(VLOOKUP(C8970,'STOK KARTLARI'!$C$2:$K$2150,8,0),0)</f>
        <v>0</v>
      </c>
      <c r="K8970" s="21">
        <f t="shared" si="607"/>
        <v>0</v>
      </c>
      <c r="L8970" s="5">
        <f t="shared" si="609"/>
        <v>0</v>
      </c>
      <c r="M8970" s="4"/>
      <c r="N8970" s="4"/>
      <c r="O8970" s="5"/>
      <c r="P8970" s="5"/>
      <c r="Q8970" s="21">
        <f t="shared" si="610"/>
        <v>0</v>
      </c>
      <c r="R8970" s="21">
        <f t="shared" si="608"/>
        <v>0</v>
      </c>
      <c r="S8970" s="5">
        <f t="shared" si="611"/>
        <v>70007.077158325032</v>
      </c>
      <c r="T8970" cm="1">
        <f t="array" ref="T8970">IF(OR(B8970="MAL ALIMI", B8970="ÜRETİM GİRİŞ"), MIN(I8970, MAX(0, I8970 + SUM(SUMIFS($I$1:I8969, $C$1:C8969, C8970, $B$1:B8969, {"MAL ALIMI","ÜRETİM GİRİŞ"})) - VLOOKUP(C8970, 'STOK RAPORU'!$C$2:$I$1000, 4, 0))), 0)</f>
        <v>0</v>
      </c>
      <c r="U8970" s="22">
        <f t="shared" si="604"/>
        <v>0</v>
      </c>
      <c r="V8970">
        <f t="shared" si="605"/>
        <v>0</v>
      </c>
      <c r="W8970" s="22">
        <f t="shared" si="606"/>
        <v>0</v>
      </c>
    </row>
    <row r="8971" spans="1:23" hidden="1" x14ac:dyDescent="0.25">
      <c r="A8971" s="4"/>
      <c r="B8971" s="4"/>
      <c r="C8971" s="4"/>
      <c r="D8971" s="4"/>
      <c r="E8971" s="4"/>
      <c r="F8971" s="4"/>
      <c r="G8971" s="4"/>
      <c r="H8971" s="4"/>
      <c r="I8971" s="4"/>
      <c r="J8971" s="21">
        <f>IFERROR(VLOOKUP(C8971,'STOK KARTLARI'!$C$2:$K$2150,8,0),0)</f>
        <v>0</v>
      </c>
      <c r="K8971" s="21">
        <f t="shared" si="607"/>
        <v>0</v>
      </c>
      <c r="L8971" s="5">
        <f t="shared" si="609"/>
        <v>0</v>
      </c>
      <c r="M8971" s="4"/>
      <c r="N8971" s="4"/>
      <c r="O8971" s="5"/>
      <c r="P8971" s="5"/>
      <c r="Q8971" s="21">
        <f t="shared" si="610"/>
        <v>0</v>
      </c>
      <c r="R8971" s="21">
        <f t="shared" si="608"/>
        <v>0</v>
      </c>
      <c r="S8971" s="5">
        <f t="shared" si="611"/>
        <v>70007.077158325032</v>
      </c>
      <c r="T8971" cm="1">
        <f t="array" ref="T8971">IF(OR(B8971="MAL ALIMI", B8971="ÜRETİM GİRİŞ"), MIN(I8971, MAX(0, I8971 + SUM(SUMIFS($I$1:I8970, $C$1:C8970, C8971, $B$1:B8970, {"MAL ALIMI","ÜRETİM GİRİŞ"})) - VLOOKUP(C8971, 'STOK RAPORU'!$C$2:$I$1000, 4, 0))), 0)</f>
        <v>0</v>
      </c>
      <c r="U8971" s="22">
        <f t="shared" si="604"/>
        <v>0</v>
      </c>
      <c r="V8971">
        <f t="shared" si="605"/>
        <v>0</v>
      </c>
      <c r="W8971" s="22">
        <f t="shared" si="606"/>
        <v>0</v>
      </c>
    </row>
    <row r="8972" spans="1:23" hidden="1" x14ac:dyDescent="0.25">
      <c r="A8972" s="4"/>
      <c r="B8972" s="4"/>
      <c r="C8972" s="4"/>
      <c r="D8972" s="4"/>
      <c r="E8972" s="4"/>
      <c r="F8972" s="4"/>
      <c r="G8972" s="4"/>
      <c r="H8972" s="4"/>
      <c r="I8972" s="4"/>
      <c r="J8972" s="21">
        <f>IFERROR(VLOOKUP(C8972,'STOK KARTLARI'!$C$2:$K$2150,8,0),0)</f>
        <v>0</v>
      </c>
      <c r="K8972" s="21">
        <f t="shared" si="607"/>
        <v>0</v>
      </c>
      <c r="L8972" s="5">
        <f t="shared" si="609"/>
        <v>0</v>
      </c>
      <c r="M8972" s="4"/>
      <c r="N8972" s="4"/>
      <c r="O8972" s="5"/>
      <c r="P8972" s="5"/>
      <c r="Q8972" s="21">
        <f t="shared" si="610"/>
        <v>0</v>
      </c>
      <c r="R8972" s="21">
        <f t="shared" si="608"/>
        <v>0</v>
      </c>
      <c r="S8972" s="5">
        <f t="shared" si="611"/>
        <v>70007.077158325032</v>
      </c>
      <c r="T8972" cm="1">
        <f t="array" ref="T8972">IF(OR(B8972="MAL ALIMI", B8972="ÜRETİM GİRİŞ"), MIN(I8972, MAX(0, I8972 + SUM(SUMIFS($I$1:I8971, $C$1:C8971, C8972, $B$1:B8971, {"MAL ALIMI","ÜRETİM GİRİŞ"})) - VLOOKUP(C8972, 'STOK RAPORU'!$C$2:$I$1000, 4, 0))), 0)</f>
        <v>0</v>
      </c>
      <c r="U8972" s="22">
        <f t="shared" si="604"/>
        <v>0</v>
      </c>
      <c r="V8972">
        <f t="shared" si="605"/>
        <v>0</v>
      </c>
      <c r="W8972" s="22">
        <f t="shared" si="606"/>
        <v>0</v>
      </c>
    </row>
    <row r="8973" spans="1:23" hidden="1" x14ac:dyDescent="0.25">
      <c r="A8973" s="4"/>
      <c r="B8973" s="4"/>
      <c r="C8973" s="4"/>
      <c r="D8973" s="4"/>
      <c r="E8973" s="4"/>
      <c r="F8973" s="4"/>
      <c r="G8973" s="4"/>
      <c r="H8973" s="4"/>
      <c r="I8973" s="4"/>
      <c r="J8973" s="21">
        <f>IFERROR(VLOOKUP(C8973,'STOK KARTLARI'!$C$2:$K$2150,8,0),0)</f>
        <v>0</v>
      </c>
      <c r="K8973" s="21">
        <f t="shared" si="607"/>
        <v>0</v>
      </c>
      <c r="L8973" s="5">
        <f t="shared" si="609"/>
        <v>0</v>
      </c>
      <c r="M8973" s="4"/>
      <c r="N8973" s="4"/>
      <c r="O8973" s="5"/>
      <c r="P8973" s="5"/>
      <c r="Q8973" s="21">
        <f t="shared" si="610"/>
        <v>0</v>
      </c>
      <c r="R8973" s="21">
        <f t="shared" si="608"/>
        <v>0</v>
      </c>
      <c r="S8973" s="5">
        <f t="shared" si="611"/>
        <v>70007.077158325032</v>
      </c>
      <c r="T8973" cm="1">
        <f t="array" ref="T8973">IF(OR(B8973="MAL ALIMI", B8973="ÜRETİM GİRİŞ"), MIN(I8973, MAX(0, I8973 + SUM(SUMIFS($I$1:I8972, $C$1:C8972, C8973, $B$1:B8972, {"MAL ALIMI","ÜRETİM GİRİŞ"})) - VLOOKUP(C8973, 'STOK RAPORU'!$C$2:$I$1000, 4, 0))), 0)</f>
        <v>0</v>
      </c>
      <c r="U8973" s="22">
        <f t="shared" si="604"/>
        <v>0</v>
      </c>
      <c r="V8973">
        <f t="shared" si="605"/>
        <v>0</v>
      </c>
      <c r="W8973" s="22">
        <f t="shared" si="606"/>
        <v>0</v>
      </c>
    </row>
    <row r="8974" spans="1:23" hidden="1" x14ac:dyDescent="0.25">
      <c r="A8974" s="4"/>
      <c r="B8974" s="4"/>
      <c r="C8974" s="4"/>
      <c r="D8974" s="4"/>
      <c r="E8974" s="4"/>
      <c r="F8974" s="4"/>
      <c r="G8974" s="4"/>
      <c r="H8974" s="4"/>
      <c r="I8974" s="4"/>
      <c r="J8974" s="21">
        <f>IFERROR(VLOOKUP(C8974,'STOK KARTLARI'!$C$2:$K$2150,8,0),0)</f>
        <v>0</v>
      </c>
      <c r="K8974" s="21">
        <f t="shared" si="607"/>
        <v>0</v>
      </c>
      <c r="L8974" s="5">
        <f t="shared" si="609"/>
        <v>0</v>
      </c>
      <c r="M8974" s="4"/>
      <c r="N8974" s="4"/>
      <c r="O8974" s="5"/>
      <c r="P8974" s="5"/>
      <c r="Q8974" s="21">
        <f t="shared" si="610"/>
        <v>0</v>
      </c>
      <c r="R8974" s="21">
        <f t="shared" si="608"/>
        <v>0</v>
      </c>
      <c r="S8974" s="5">
        <f t="shared" si="611"/>
        <v>70007.077158325032</v>
      </c>
      <c r="T8974" cm="1">
        <f t="array" ref="T8974">IF(OR(B8974="MAL ALIMI", B8974="ÜRETİM GİRİŞ"), MIN(I8974, MAX(0, I8974 + SUM(SUMIFS($I$1:I8973, $C$1:C8973, C8974, $B$1:B8973, {"MAL ALIMI","ÜRETİM GİRİŞ"})) - VLOOKUP(C8974, 'STOK RAPORU'!$C$2:$I$1000, 4, 0))), 0)</f>
        <v>0</v>
      </c>
      <c r="U8974" s="22">
        <f t="shared" si="604"/>
        <v>0</v>
      </c>
      <c r="V8974">
        <f t="shared" si="605"/>
        <v>0</v>
      </c>
      <c r="W8974" s="22">
        <f t="shared" si="606"/>
        <v>0</v>
      </c>
    </row>
    <row r="8975" spans="1:23" hidden="1" x14ac:dyDescent="0.25">
      <c r="A8975" s="4"/>
      <c r="B8975" s="4"/>
      <c r="C8975" s="4"/>
      <c r="D8975" s="4"/>
      <c r="E8975" s="4"/>
      <c r="F8975" s="4"/>
      <c r="G8975" s="4"/>
      <c r="H8975" s="4"/>
      <c r="I8975" s="4"/>
      <c r="J8975" s="21">
        <f>IFERROR(VLOOKUP(C8975,'STOK KARTLARI'!$C$2:$K$2150,8,0),0)</f>
        <v>0</v>
      </c>
      <c r="K8975" s="21">
        <f t="shared" si="607"/>
        <v>0</v>
      </c>
      <c r="L8975" s="5">
        <f t="shared" si="609"/>
        <v>0</v>
      </c>
      <c r="M8975" s="4"/>
      <c r="N8975" s="4"/>
      <c r="O8975" s="5"/>
      <c r="P8975" s="5"/>
      <c r="Q8975" s="21">
        <f t="shared" si="610"/>
        <v>0</v>
      </c>
      <c r="R8975" s="21">
        <f t="shared" si="608"/>
        <v>0</v>
      </c>
      <c r="S8975" s="5">
        <f t="shared" si="611"/>
        <v>70007.077158325032</v>
      </c>
      <c r="T8975" cm="1">
        <f t="array" ref="T8975">IF(OR(B8975="MAL ALIMI", B8975="ÜRETİM GİRİŞ"), MIN(I8975, MAX(0, I8975 + SUM(SUMIFS($I$1:I8974, $C$1:C8974, C8975, $B$1:B8974, {"MAL ALIMI","ÜRETİM GİRİŞ"})) - VLOOKUP(C8975, 'STOK RAPORU'!$C$2:$I$1000, 4, 0))), 0)</f>
        <v>0</v>
      </c>
      <c r="U8975" s="22">
        <f t="shared" si="604"/>
        <v>0</v>
      </c>
      <c r="V8975">
        <f t="shared" si="605"/>
        <v>0</v>
      </c>
      <c r="W8975" s="22">
        <f t="shared" si="606"/>
        <v>0</v>
      </c>
    </row>
    <row r="8976" spans="1:23" hidden="1" x14ac:dyDescent="0.25">
      <c r="A8976" s="4"/>
      <c r="B8976" s="4"/>
      <c r="C8976" s="4"/>
      <c r="D8976" s="4"/>
      <c r="E8976" s="4"/>
      <c r="F8976" s="4"/>
      <c r="G8976" s="4"/>
      <c r="H8976" s="4"/>
      <c r="I8976" s="4"/>
      <c r="J8976" s="21">
        <f>IFERROR(VLOOKUP(C8976,'STOK KARTLARI'!$C$2:$K$2150,8,0),0)</f>
        <v>0</v>
      </c>
      <c r="K8976" s="21">
        <f t="shared" si="607"/>
        <v>0</v>
      </c>
      <c r="L8976" s="5">
        <f t="shared" si="609"/>
        <v>0</v>
      </c>
      <c r="M8976" s="4"/>
      <c r="N8976" s="4"/>
      <c r="O8976" s="5"/>
      <c r="P8976" s="5"/>
      <c r="Q8976" s="21">
        <f t="shared" si="610"/>
        <v>0</v>
      </c>
      <c r="R8976" s="21">
        <f t="shared" si="608"/>
        <v>0</v>
      </c>
      <c r="S8976" s="5">
        <f t="shared" si="611"/>
        <v>70007.077158325032</v>
      </c>
      <c r="T8976" cm="1">
        <f t="array" ref="T8976">IF(OR(B8976="MAL ALIMI", B8976="ÜRETİM GİRİŞ"), MIN(I8976, MAX(0, I8976 + SUM(SUMIFS($I$1:I8975, $C$1:C8975, C8976, $B$1:B8975, {"MAL ALIMI","ÜRETİM GİRİŞ"})) - VLOOKUP(C8976, 'STOK RAPORU'!$C$2:$I$1000, 4, 0))), 0)</f>
        <v>0</v>
      </c>
      <c r="U8976" s="22">
        <f t="shared" si="604"/>
        <v>0</v>
      </c>
      <c r="V8976">
        <f t="shared" si="605"/>
        <v>0</v>
      </c>
      <c r="W8976" s="22">
        <f t="shared" si="606"/>
        <v>0</v>
      </c>
    </row>
    <row r="8977" spans="1:23" hidden="1" x14ac:dyDescent="0.25">
      <c r="A8977" s="3"/>
      <c r="B8977" s="4"/>
      <c r="C8977" s="4"/>
      <c r="D8977" s="4"/>
      <c r="E8977" s="4"/>
      <c r="F8977" s="4"/>
      <c r="G8977" s="4"/>
      <c r="H8977" s="4"/>
      <c r="I8977" s="4"/>
      <c r="J8977" s="21">
        <f>IFERROR(VLOOKUP(C8977,'STOK KARTLARI'!$C$2:$K$2150,8,0),0)</f>
        <v>0</v>
      </c>
      <c r="K8977" s="21">
        <f t="shared" si="607"/>
        <v>0</v>
      </c>
      <c r="L8977" s="5">
        <f t="shared" si="609"/>
        <v>0</v>
      </c>
      <c r="M8977" s="4"/>
      <c r="N8977" s="4"/>
      <c r="O8977" s="5"/>
      <c r="P8977" s="5"/>
      <c r="Q8977" s="21">
        <f t="shared" si="610"/>
        <v>0</v>
      </c>
      <c r="R8977" s="21">
        <f t="shared" si="608"/>
        <v>0</v>
      </c>
      <c r="S8977" s="5">
        <f t="shared" si="611"/>
        <v>70007.077158325032</v>
      </c>
      <c r="T8977" cm="1">
        <f t="array" ref="T8977">IF(OR(B8977="MAL ALIMI", B8977="ÜRETİM GİRİŞ"), MIN(I8977, MAX(0, I8977 + SUM(SUMIFS($I$1:I8976, $C$1:C8976, C8977, $B$1:B8976, {"MAL ALIMI","ÜRETİM GİRİŞ"})) - VLOOKUP(C8977, 'STOK RAPORU'!$C$2:$I$1000, 4, 0))), 0)</f>
        <v>0</v>
      </c>
      <c r="U8977" s="22">
        <f t="shared" si="604"/>
        <v>0</v>
      </c>
      <c r="V8977">
        <f t="shared" si="605"/>
        <v>0</v>
      </c>
      <c r="W8977" s="22">
        <f t="shared" si="606"/>
        <v>0</v>
      </c>
    </row>
    <row r="8978" spans="1:23" hidden="1" x14ac:dyDescent="0.25">
      <c r="A8978" s="4"/>
      <c r="B8978" s="4"/>
      <c r="C8978" s="4"/>
      <c r="D8978" s="4"/>
      <c r="E8978" s="4"/>
      <c r="F8978" s="4"/>
      <c r="G8978" s="4"/>
      <c r="H8978" s="4"/>
      <c r="I8978" s="4"/>
      <c r="J8978" s="21">
        <f>IFERROR(VLOOKUP(C8978,'STOK KARTLARI'!$C$2:$K$2150,8,0),0)</f>
        <v>0</v>
      </c>
      <c r="K8978" s="21">
        <f t="shared" si="607"/>
        <v>0</v>
      </c>
      <c r="L8978" s="5">
        <f t="shared" si="609"/>
        <v>0</v>
      </c>
      <c r="M8978" s="4"/>
      <c r="N8978" s="4"/>
      <c r="O8978" s="5"/>
      <c r="P8978" s="5"/>
      <c r="Q8978" s="21">
        <f t="shared" si="610"/>
        <v>0</v>
      </c>
      <c r="R8978" s="21">
        <f t="shared" si="608"/>
        <v>0</v>
      </c>
      <c r="S8978" s="5">
        <f t="shared" si="611"/>
        <v>70007.077158325032</v>
      </c>
      <c r="T8978" cm="1">
        <f t="array" ref="T8978">IF(OR(B8978="MAL ALIMI", B8978="ÜRETİM GİRİŞ"), MIN(I8978, MAX(0, I8978 + SUM(SUMIFS($I$1:I8977, $C$1:C8977, C8978, $B$1:B8977, {"MAL ALIMI","ÜRETİM GİRİŞ"})) - VLOOKUP(C8978, 'STOK RAPORU'!$C$2:$I$1000, 4, 0))), 0)</f>
        <v>0</v>
      </c>
      <c r="U8978" s="22">
        <f t="shared" si="604"/>
        <v>0</v>
      </c>
      <c r="V8978">
        <f t="shared" si="605"/>
        <v>0</v>
      </c>
      <c r="W8978" s="22">
        <f t="shared" si="606"/>
        <v>0</v>
      </c>
    </row>
    <row r="8979" spans="1:23" hidden="1" x14ac:dyDescent="0.25">
      <c r="A8979" s="4"/>
      <c r="B8979" s="4"/>
      <c r="C8979" s="4"/>
      <c r="D8979" s="4"/>
      <c r="E8979" s="4"/>
      <c r="F8979" s="4"/>
      <c r="G8979" s="4"/>
      <c r="H8979" s="4"/>
      <c r="I8979" s="4"/>
      <c r="J8979" s="21">
        <f>IFERROR(VLOOKUP(C8979,'STOK KARTLARI'!$C$2:$K$2150,8,0),0)</f>
        <v>0</v>
      </c>
      <c r="K8979" s="21">
        <f t="shared" si="607"/>
        <v>0</v>
      </c>
      <c r="L8979" s="5">
        <f t="shared" si="609"/>
        <v>0</v>
      </c>
      <c r="M8979" s="4"/>
      <c r="N8979" s="4"/>
      <c r="O8979" s="5"/>
      <c r="P8979" s="5"/>
      <c r="Q8979" s="21">
        <f t="shared" si="610"/>
        <v>0</v>
      </c>
      <c r="R8979" s="21">
        <f t="shared" si="608"/>
        <v>0</v>
      </c>
      <c r="S8979" s="5">
        <f t="shared" si="611"/>
        <v>70007.077158325032</v>
      </c>
      <c r="T8979" cm="1">
        <f t="array" ref="T8979">IF(OR(B8979="MAL ALIMI", B8979="ÜRETİM GİRİŞ"), MIN(I8979, MAX(0, I8979 + SUM(SUMIFS($I$1:I8978, $C$1:C8978, C8979, $B$1:B8978, {"MAL ALIMI","ÜRETİM GİRİŞ"})) - VLOOKUP(C8979, 'STOK RAPORU'!$C$2:$I$1000, 4, 0))), 0)</f>
        <v>0</v>
      </c>
      <c r="U8979" s="22">
        <f t="shared" si="604"/>
        <v>0</v>
      </c>
      <c r="V8979">
        <f t="shared" si="605"/>
        <v>0</v>
      </c>
      <c r="W8979" s="22">
        <f t="shared" si="606"/>
        <v>0</v>
      </c>
    </row>
    <row r="8980" spans="1:23" hidden="1" x14ac:dyDescent="0.25">
      <c r="A8980" s="4"/>
      <c r="B8980" s="4"/>
      <c r="C8980" s="4"/>
      <c r="D8980" s="4"/>
      <c r="E8980" s="4"/>
      <c r="F8980" s="4"/>
      <c r="G8980" s="4"/>
      <c r="H8980" s="4"/>
      <c r="I8980" s="4"/>
      <c r="J8980" s="21">
        <f>IFERROR(VLOOKUP(C8980,'STOK KARTLARI'!$C$2:$K$2150,8,0),0)</f>
        <v>0</v>
      </c>
      <c r="K8980" s="21">
        <f t="shared" si="607"/>
        <v>0</v>
      </c>
      <c r="L8980" s="5">
        <f t="shared" si="609"/>
        <v>0</v>
      </c>
      <c r="M8980" s="4"/>
      <c r="N8980" s="4"/>
      <c r="O8980" s="5"/>
      <c r="P8980" s="5"/>
      <c r="Q8980" s="21">
        <f t="shared" si="610"/>
        <v>0</v>
      </c>
      <c r="R8980" s="21">
        <f t="shared" si="608"/>
        <v>0</v>
      </c>
      <c r="S8980" s="5">
        <f t="shared" si="611"/>
        <v>70007.077158325032</v>
      </c>
      <c r="T8980" cm="1">
        <f t="array" ref="T8980">IF(OR(B8980="MAL ALIMI", B8980="ÜRETİM GİRİŞ"), MIN(I8980, MAX(0, I8980 + SUM(SUMIFS($I$1:I8979, $C$1:C8979, C8980, $B$1:B8979, {"MAL ALIMI","ÜRETİM GİRİŞ"})) - VLOOKUP(C8980, 'STOK RAPORU'!$C$2:$I$1000, 4, 0))), 0)</f>
        <v>0</v>
      </c>
      <c r="U8980" s="22">
        <f t="shared" si="604"/>
        <v>0</v>
      </c>
      <c r="V8980">
        <f t="shared" si="605"/>
        <v>0</v>
      </c>
      <c r="W8980" s="22">
        <f t="shared" si="606"/>
        <v>0</v>
      </c>
    </row>
    <row r="8981" spans="1:23" hidden="1" x14ac:dyDescent="0.25">
      <c r="A8981" s="4"/>
      <c r="B8981" s="4"/>
      <c r="C8981" s="4"/>
      <c r="D8981" s="4"/>
      <c r="E8981" s="4"/>
      <c r="F8981" s="4"/>
      <c r="G8981" s="4"/>
      <c r="H8981" s="4"/>
      <c r="I8981" s="4"/>
      <c r="J8981" s="21">
        <f>IFERROR(VLOOKUP(C8981,'STOK KARTLARI'!$C$2:$K$2150,8,0),0)</f>
        <v>0</v>
      </c>
      <c r="K8981" s="21">
        <f t="shared" si="607"/>
        <v>0</v>
      </c>
      <c r="L8981" s="5">
        <f t="shared" si="609"/>
        <v>0</v>
      </c>
      <c r="M8981" s="4"/>
      <c r="N8981" s="4"/>
      <c r="O8981" s="5"/>
      <c r="P8981" s="5"/>
      <c r="Q8981" s="21">
        <f t="shared" si="610"/>
        <v>0</v>
      </c>
      <c r="R8981" s="21">
        <f t="shared" si="608"/>
        <v>0</v>
      </c>
      <c r="S8981" s="5">
        <f t="shared" si="611"/>
        <v>70007.077158325032</v>
      </c>
      <c r="T8981" cm="1">
        <f t="array" ref="T8981">IF(OR(B8981="MAL ALIMI", B8981="ÜRETİM GİRİŞ"), MIN(I8981, MAX(0, I8981 + SUM(SUMIFS($I$1:I8980, $C$1:C8980, C8981, $B$1:B8980, {"MAL ALIMI","ÜRETİM GİRİŞ"})) - VLOOKUP(C8981, 'STOK RAPORU'!$C$2:$I$1000, 4, 0))), 0)</f>
        <v>0</v>
      </c>
      <c r="U8981" s="22">
        <f t="shared" si="604"/>
        <v>0</v>
      </c>
      <c r="V8981">
        <f t="shared" si="605"/>
        <v>0</v>
      </c>
      <c r="W8981" s="22">
        <f t="shared" si="606"/>
        <v>0</v>
      </c>
    </row>
    <row r="8982" spans="1:23" hidden="1" x14ac:dyDescent="0.25">
      <c r="A8982" s="4"/>
      <c r="B8982" s="4"/>
      <c r="C8982" s="4"/>
      <c r="D8982" s="4"/>
      <c r="E8982" s="4"/>
      <c r="F8982" s="4"/>
      <c r="G8982" s="4"/>
      <c r="H8982" s="4"/>
      <c r="I8982" s="4"/>
      <c r="J8982" s="21">
        <f>IFERROR(VLOOKUP(C8982,'STOK KARTLARI'!$C$2:$K$2150,8,0),0)</f>
        <v>0</v>
      </c>
      <c r="K8982" s="21">
        <f t="shared" si="607"/>
        <v>0</v>
      </c>
      <c r="L8982" s="5">
        <f t="shared" si="609"/>
        <v>0</v>
      </c>
      <c r="M8982" s="4"/>
      <c r="N8982" s="4"/>
      <c r="O8982" s="5"/>
      <c r="P8982" s="5"/>
      <c r="Q8982" s="21">
        <f t="shared" si="610"/>
        <v>0</v>
      </c>
      <c r="R8982" s="21">
        <f t="shared" si="608"/>
        <v>0</v>
      </c>
      <c r="S8982" s="5">
        <f t="shared" si="611"/>
        <v>70007.077158325032</v>
      </c>
      <c r="T8982" cm="1">
        <f t="array" ref="T8982">IF(OR(B8982="MAL ALIMI", B8982="ÜRETİM GİRİŞ"), MIN(I8982, MAX(0, I8982 + SUM(SUMIFS($I$1:I8981, $C$1:C8981, C8982, $B$1:B8981, {"MAL ALIMI","ÜRETİM GİRİŞ"})) - VLOOKUP(C8982, 'STOK RAPORU'!$C$2:$I$1000, 4, 0))), 0)</f>
        <v>0</v>
      </c>
      <c r="U8982" s="22">
        <f t="shared" si="604"/>
        <v>0</v>
      </c>
      <c r="V8982">
        <f t="shared" si="605"/>
        <v>0</v>
      </c>
      <c r="W8982" s="22">
        <f t="shared" si="606"/>
        <v>0</v>
      </c>
    </row>
    <row r="8983" spans="1:23" hidden="1" x14ac:dyDescent="0.25">
      <c r="A8983" s="4"/>
      <c r="B8983" s="4"/>
      <c r="C8983" s="4"/>
      <c r="D8983" s="4"/>
      <c r="E8983" s="4"/>
      <c r="F8983" s="4"/>
      <c r="G8983" s="4"/>
      <c r="H8983" s="4"/>
      <c r="I8983" s="4"/>
      <c r="J8983" s="21">
        <f>IFERROR(VLOOKUP(C8983,'STOK KARTLARI'!$C$2:$K$2150,8,0),0)</f>
        <v>0</v>
      </c>
      <c r="K8983" s="21">
        <f t="shared" si="607"/>
        <v>0</v>
      </c>
      <c r="L8983" s="5">
        <f t="shared" si="609"/>
        <v>0</v>
      </c>
      <c r="M8983" s="4"/>
      <c r="N8983" s="4"/>
      <c r="O8983" s="5"/>
      <c r="P8983" s="5"/>
      <c r="Q8983" s="21">
        <f t="shared" si="610"/>
        <v>0</v>
      </c>
      <c r="R8983" s="21">
        <f t="shared" si="608"/>
        <v>0</v>
      </c>
      <c r="S8983" s="5">
        <f t="shared" si="611"/>
        <v>70007.077158325032</v>
      </c>
      <c r="T8983" cm="1">
        <f t="array" ref="T8983">IF(OR(B8983="MAL ALIMI", B8983="ÜRETİM GİRİŞ"), MIN(I8983, MAX(0, I8983 + SUM(SUMIFS($I$1:I8982, $C$1:C8982, C8983, $B$1:B8982, {"MAL ALIMI","ÜRETİM GİRİŞ"})) - VLOOKUP(C8983, 'STOK RAPORU'!$C$2:$I$1000, 4, 0))), 0)</f>
        <v>0</v>
      </c>
      <c r="U8983" s="22">
        <f t="shared" si="604"/>
        <v>0</v>
      </c>
      <c r="V8983">
        <f t="shared" si="605"/>
        <v>0</v>
      </c>
      <c r="W8983" s="22">
        <f t="shared" si="606"/>
        <v>0</v>
      </c>
    </row>
    <row r="8984" spans="1:23" hidden="1" x14ac:dyDescent="0.25">
      <c r="A8984" s="3"/>
      <c r="B8984" s="4"/>
      <c r="C8984" s="4"/>
      <c r="D8984" s="4"/>
      <c r="E8984" s="4"/>
      <c r="F8984" s="4"/>
      <c r="G8984" s="4"/>
      <c r="H8984" s="4"/>
      <c r="I8984" s="4"/>
      <c r="J8984" s="21">
        <f>IFERROR(VLOOKUP(C8984,'STOK KARTLARI'!$C$2:$K$2150,8,0),0)</f>
        <v>0</v>
      </c>
      <c r="K8984" s="21">
        <f t="shared" si="607"/>
        <v>0</v>
      </c>
      <c r="L8984" s="5">
        <f t="shared" si="609"/>
        <v>0</v>
      </c>
      <c r="M8984" s="4"/>
      <c r="N8984" s="4"/>
      <c r="O8984" s="5"/>
      <c r="P8984" s="5"/>
      <c r="Q8984" s="21">
        <f t="shared" si="610"/>
        <v>0</v>
      </c>
      <c r="R8984" s="21">
        <f t="shared" si="608"/>
        <v>0</v>
      </c>
      <c r="S8984" s="5">
        <f t="shared" si="611"/>
        <v>70007.077158325032</v>
      </c>
      <c r="T8984" cm="1">
        <f t="array" ref="T8984">IF(OR(B8984="MAL ALIMI", B8984="ÜRETİM GİRİŞ"), MIN(I8984, MAX(0, I8984 + SUM(SUMIFS($I$1:I8983, $C$1:C8983, C8984, $B$1:B8983, {"MAL ALIMI","ÜRETİM GİRİŞ"})) - VLOOKUP(C8984, 'STOK RAPORU'!$C$2:$I$1000, 4, 0))), 0)</f>
        <v>0</v>
      </c>
      <c r="U8984" s="22">
        <f t="shared" si="604"/>
        <v>0</v>
      </c>
      <c r="V8984">
        <f t="shared" si="605"/>
        <v>0</v>
      </c>
      <c r="W8984" s="22">
        <f t="shared" si="606"/>
        <v>0</v>
      </c>
    </row>
    <row r="8985" spans="1:23" hidden="1" x14ac:dyDescent="0.25">
      <c r="A8985" s="4"/>
      <c r="B8985" s="4"/>
      <c r="C8985" s="4"/>
      <c r="D8985" s="4"/>
      <c r="E8985" s="4"/>
      <c r="F8985" s="4"/>
      <c r="G8985" s="4"/>
      <c r="H8985" s="4"/>
      <c r="I8985" s="4"/>
      <c r="J8985" s="21">
        <f>IFERROR(VLOOKUP(C8985,'STOK KARTLARI'!$C$2:$K$2150,8,0),0)</f>
        <v>0</v>
      </c>
      <c r="K8985" s="21">
        <f t="shared" si="607"/>
        <v>0</v>
      </c>
      <c r="L8985" s="5">
        <f t="shared" si="609"/>
        <v>0</v>
      </c>
      <c r="M8985" s="4"/>
      <c r="N8985" s="4"/>
      <c r="O8985" s="5"/>
      <c r="P8985" s="5"/>
      <c r="Q8985" s="21">
        <f t="shared" si="610"/>
        <v>0</v>
      </c>
      <c r="R8985" s="21">
        <f t="shared" si="608"/>
        <v>0</v>
      </c>
      <c r="S8985" s="5">
        <f t="shared" si="611"/>
        <v>70007.077158325032</v>
      </c>
      <c r="T8985" cm="1">
        <f t="array" ref="T8985">IF(OR(B8985="MAL ALIMI", B8985="ÜRETİM GİRİŞ"), MIN(I8985, MAX(0, I8985 + SUM(SUMIFS($I$1:I8984, $C$1:C8984, C8985, $B$1:B8984, {"MAL ALIMI","ÜRETİM GİRİŞ"})) - VLOOKUP(C8985, 'STOK RAPORU'!$C$2:$I$1000, 4, 0))), 0)</f>
        <v>0</v>
      </c>
      <c r="U8985" s="22">
        <f t="shared" si="604"/>
        <v>0</v>
      </c>
      <c r="V8985">
        <f t="shared" si="605"/>
        <v>0</v>
      </c>
      <c r="W8985" s="22">
        <f t="shared" si="606"/>
        <v>0</v>
      </c>
    </row>
    <row r="8986" spans="1:23" hidden="1" x14ac:dyDescent="0.25">
      <c r="A8986" s="4"/>
      <c r="B8986" s="4"/>
      <c r="C8986" s="4"/>
      <c r="D8986" s="4"/>
      <c r="E8986" s="4"/>
      <c r="F8986" s="4"/>
      <c r="G8986" s="4"/>
      <c r="H8986" s="4"/>
      <c r="I8986" s="4"/>
      <c r="J8986" s="21">
        <f>IFERROR(VLOOKUP(C8986,'STOK KARTLARI'!$C$2:$K$2150,8,0),0)</f>
        <v>0</v>
      </c>
      <c r="K8986" s="21">
        <f t="shared" si="607"/>
        <v>0</v>
      </c>
      <c r="L8986" s="5">
        <f t="shared" si="609"/>
        <v>0</v>
      </c>
      <c r="M8986" s="4"/>
      <c r="N8986" s="4"/>
      <c r="O8986" s="5"/>
      <c r="P8986" s="5"/>
      <c r="Q8986" s="21">
        <f t="shared" si="610"/>
        <v>0</v>
      </c>
      <c r="R8986" s="21">
        <f t="shared" si="608"/>
        <v>0</v>
      </c>
      <c r="S8986" s="5">
        <f t="shared" si="611"/>
        <v>70007.077158325032</v>
      </c>
      <c r="T8986" cm="1">
        <f t="array" ref="T8986">IF(OR(B8986="MAL ALIMI", B8986="ÜRETİM GİRİŞ"), MIN(I8986, MAX(0, I8986 + SUM(SUMIFS($I$1:I8985, $C$1:C8985, C8986, $B$1:B8985, {"MAL ALIMI","ÜRETİM GİRİŞ"})) - VLOOKUP(C8986, 'STOK RAPORU'!$C$2:$I$1000, 4, 0))), 0)</f>
        <v>0</v>
      </c>
      <c r="U8986" s="22">
        <f t="shared" si="604"/>
        <v>0</v>
      </c>
      <c r="V8986">
        <f t="shared" si="605"/>
        <v>0</v>
      </c>
      <c r="W8986" s="22">
        <f t="shared" si="606"/>
        <v>0</v>
      </c>
    </row>
    <row r="8987" spans="1:23" hidden="1" x14ac:dyDescent="0.25">
      <c r="A8987" s="4"/>
      <c r="B8987" s="4"/>
      <c r="C8987" s="4"/>
      <c r="D8987" s="4"/>
      <c r="E8987" s="4"/>
      <c r="F8987" s="4"/>
      <c r="G8987" s="4"/>
      <c r="H8987" s="4"/>
      <c r="I8987" s="4"/>
      <c r="J8987" s="21">
        <f>IFERROR(VLOOKUP(C8987,'STOK KARTLARI'!$C$2:$K$2150,8,0),0)</f>
        <v>0</v>
      </c>
      <c r="K8987" s="21">
        <f t="shared" si="607"/>
        <v>0</v>
      </c>
      <c r="L8987" s="5">
        <f t="shared" si="609"/>
        <v>0</v>
      </c>
      <c r="M8987" s="4"/>
      <c r="N8987" s="4"/>
      <c r="O8987" s="5"/>
      <c r="P8987" s="5"/>
      <c r="Q8987" s="21">
        <f t="shared" si="610"/>
        <v>0</v>
      </c>
      <c r="R8987" s="21">
        <f t="shared" si="608"/>
        <v>0</v>
      </c>
      <c r="S8987" s="5">
        <f t="shared" si="611"/>
        <v>70007.077158325032</v>
      </c>
      <c r="T8987" cm="1">
        <f t="array" ref="T8987">IF(OR(B8987="MAL ALIMI", B8987="ÜRETİM GİRİŞ"), MIN(I8987, MAX(0, I8987 + SUM(SUMIFS($I$1:I8986, $C$1:C8986, C8987, $B$1:B8986, {"MAL ALIMI","ÜRETİM GİRİŞ"})) - VLOOKUP(C8987, 'STOK RAPORU'!$C$2:$I$1000, 4, 0))), 0)</f>
        <v>0</v>
      </c>
      <c r="U8987" s="22">
        <f t="shared" si="604"/>
        <v>0</v>
      </c>
      <c r="V8987">
        <f t="shared" si="605"/>
        <v>0</v>
      </c>
      <c r="W8987" s="22">
        <f t="shared" si="606"/>
        <v>0</v>
      </c>
    </row>
    <row r="8988" spans="1:23" hidden="1" x14ac:dyDescent="0.25">
      <c r="A8988" s="4"/>
      <c r="B8988" s="4"/>
      <c r="C8988" s="4"/>
      <c r="D8988" s="4"/>
      <c r="E8988" s="4"/>
      <c r="F8988" s="4"/>
      <c r="G8988" s="4"/>
      <c r="H8988" s="4"/>
      <c r="I8988" s="4"/>
      <c r="J8988" s="21">
        <f>IFERROR(VLOOKUP(C8988,'STOK KARTLARI'!$C$2:$K$2150,8,0),0)</f>
        <v>0</v>
      </c>
      <c r="K8988" s="21">
        <f t="shared" si="607"/>
        <v>0</v>
      </c>
      <c r="L8988" s="5">
        <f t="shared" si="609"/>
        <v>0</v>
      </c>
      <c r="M8988" s="4"/>
      <c r="N8988" s="4"/>
      <c r="O8988" s="5"/>
      <c r="P8988" s="5"/>
      <c r="Q8988" s="21">
        <f t="shared" si="610"/>
        <v>0</v>
      </c>
      <c r="R8988" s="21">
        <f t="shared" si="608"/>
        <v>0</v>
      </c>
      <c r="S8988" s="5">
        <f t="shared" si="611"/>
        <v>70007.077158325032</v>
      </c>
      <c r="T8988" cm="1">
        <f t="array" ref="T8988">IF(OR(B8988="MAL ALIMI", B8988="ÜRETİM GİRİŞ"), MIN(I8988, MAX(0, I8988 + SUM(SUMIFS($I$1:I8987, $C$1:C8987, C8988, $B$1:B8987, {"MAL ALIMI","ÜRETİM GİRİŞ"})) - VLOOKUP(C8988, 'STOK RAPORU'!$C$2:$I$1000, 4, 0))), 0)</f>
        <v>0</v>
      </c>
      <c r="U8988" s="22">
        <f t="shared" si="604"/>
        <v>0</v>
      </c>
      <c r="V8988">
        <f t="shared" si="605"/>
        <v>0</v>
      </c>
      <c r="W8988" s="22">
        <f t="shared" si="606"/>
        <v>0</v>
      </c>
    </row>
    <row r="8989" spans="1:23" hidden="1" x14ac:dyDescent="0.25">
      <c r="A8989" s="4"/>
      <c r="B8989" s="4"/>
      <c r="C8989" s="4"/>
      <c r="D8989" s="4"/>
      <c r="E8989" s="4"/>
      <c r="F8989" s="4"/>
      <c r="G8989" s="4"/>
      <c r="H8989" s="4"/>
      <c r="I8989" s="4"/>
      <c r="J8989" s="21">
        <f>IFERROR(VLOOKUP(C8989,'STOK KARTLARI'!$C$2:$K$2150,8,0),0)</f>
        <v>0</v>
      </c>
      <c r="K8989" s="21">
        <f t="shared" si="607"/>
        <v>0</v>
      </c>
      <c r="L8989" s="5">
        <f t="shared" si="609"/>
        <v>0</v>
      </c>
      <c r="M8989" s="4"/>
      <c r="N8989" s="4"/>
      <c r="O8989" s="5"/>
      <c r="P8989" s="5"/>
      <c r="Q8989" s="21">
        <f t="shared" si="610"/>
        <v>0</v>
      </c>
      <c r="R8989" s="21">
        <f t="shared" si="608"/>
        <v>0</v>
      </c>
      <c r="S8989" s="5">
        <f t="shared" si="611"/>
        <v>70007.077158325032</v>
      </c>
      <c r="T8989" cm="1">
        <f t="array" ref="T8989">IF(OR(B8989="MAL ALIMI", B8989="ÜRETİM GİRİŞ"), MIN(I8989, MAX(0, I8989 + SUM(SUMIFS($I$1:I8988, $C$1:C8988, C8989, $B$1:B8988, {"MAL ALIMI","ÜRETİM GİRİŞ"})) - VLOOKUP(C8989, 'STOK RAPORU'!$C$2:$I$1000, 4, 0))), 0)</f>
        <v>0</v>
      </c>
      <c r="U8989" s="22">
        <f t="shared" si="604"/>
        <v>0</v>
      </c>
      <c r="V8989">
        <f t="shared" si="605"/>
        <v>0</v>
      </c>
      <c r="W8989" s="22">
        <f t="shared" si="606"/>
        <v>0</v>
      </c>
    </row>
    <row r="8990" spans="1:23" hidden="1" x14ac:dyDescent="0.25">
      <c r="A8990" s="4"/>
      <c r="B8990" s="4"/>
      <c r="C8990" s="4"/>
      <c r="D8990" s="4"/>
      <c r="E8990" s="4"/>
      <c r="F8990" s="4"/>
      <c r="G8990" s="4"/>
      <c r="H8990" s="4"/>
      <c r="I8990" s="4"/>
      <c r="J8990" s="21">
        <f>IFERROR(VLOOKUP(C8990,'STOK KARTLARI'!$C$2:$K$2150,8,0),0)</f>
        <v>0</v>
      </c>
      <c r="K8990" s="21">
        <f t="shared" si="607"/>
        <v>0</v>
      </c>
      <c r="L8990" s="5">
        <f t="shared" si="609"/>
        <v>0</v>
      </c>
      <c r="M8990" s="4"/>
      <c r="N8990" s="4"/>
      <c r="O8990" s="5"/>
      <c r="P8990" s="5"/>
      <c r="Q8990" s="21">
        <f t="shared" si="610"/>
        <v>0</v>
      </c>
      <c r="R8990" s="21">
        <f t="shared" si="608"/>
        <v>0</v>
      </c>
      <c r="S8990" s="5">
        <f t="shared" si="611"/>
        <v>70007.077158325032</v>
      </c>
      <c r="T8990" cm="1">
        <f t="array" ref="T8990">IF(OR(B8990="MAL ALIMI", B8990="ÜRETİM GİRİŞ"), MIN(I8990, MAX(0, I8990 + SUM(SUMIFS($I$1:I8989, $C$1:C8989, C8990, $B$1:B8989, {"MAL ALIMI","ÜRETİM GİRİŞ"})) - VLOOKUP(C8990, 'STOK RAPORU'!$C$2:$I$1000, 4, 0))), 0)</f>
        <v>0</v>
      </c>
      <c r="U8990" s="22">
        <f t="shared" si="604"/>
        <v>0</v>
      </c>
      <c r="V8990">
        <f t="shared" si="605"/>
        <v>0</v>
      </c>
      <c r="W8990" s="22">
        <f t="shared" si="606"/>
        <v>0</v>
      </c>
    </row>
    <row r="8991" spans="1:23" hidden="1" x14ac:dyDescent="0.25">
      <c r="A8991" s="3"/>
      <c r="B8991" s="4"/>
      <c r="C8991" s="4"/>
      <c r="D8991" s="4"/>
      <c r="E8991" s="4"/>
      <c r="F8991" s="4"/>
      <c r="G8991" s="4"/>
      <c r="H8991" s="4"/>
      <c r="I8991" s="4"/>
      <c r="J8991" s="21">
        <f>IFERROR(VLOOKUP(C8991,'STOK KARTLARI'!$C$2:$K$2150,8,0),0)</f>
        <v>0</v>
      </c>
      <c r="K8991" s="21">
        <f t="shared" si="607"/>
        <v>0</v>
      </c>
      <c r="L8991" s="5">
        <f t="shared" si="609"/>
        <v>0</v>
      </c>
      <c r="M8991" s="4"/>
      <c r="N8991" s="4"/>
      <c r="O8991" s="5"/>
      <c r="P8991" s="5"/>
      <c r="Q8991" s="21">
        <f t="shared" si="610"/>
        <v>0</v>
      </c>
      <c r="R8991" s="21">
        <f t="shared" si="608"/>
        <v>0</v>
      </c>
      <c r="S8991" s="5">
        <f t="shared" si="611"/>
        <v>70007.077158325032</v>
      </c>
      <c r="T8991" cm="1">
        <f t="array" ref="T8991">IF(OR(B8991="MAL ALIMI", B8991="ÜRETİM GİRİŞ"), MIN(I8991, MAX(0, I8991 + SUM(SUMIFS($I$1:I8990, $C$1:C8990, C8991, $B$1:B8990, {"MAL ALIMI","ÜRETİM GİRİŞ"})) - VLOOKUP(C8991, 'STOK RAPORU'!$C$2:$I$1000, 4, 0))), 0)</f>
        <v>0</v>
      </c>
      <c r="U8991" s="22">
        <f t="shared" si="604"/>
        <v>0</v>
      </c>
      <c r="V8991">
        <f t="shared" si="605"/>
        <v>0</v>
      </c>
      <c r="W8991" s="22">
        <f t="shared" si="606"/>
        <v>0</v>
      </c>
    </row>
    <row r="8992" spans="1:23" hidden="1" x14ac:dyDescent="0.25">
      <c r="A8992" s="4"/>
      <c r="B8992" s="4"/>
      <c r="C8992" s="4"/>
      <c r="D8992" s="4"/>
      <c r="E8992" s="4"/>
      <c r="F8992" s="4"/>
      <c r="G8992" s="4"/>
      <c r="H8992" s="4"/>
      <c r="I8992" s="4"/>
      <c r="J8992" s="21">
        <f>IFERROR(VLOOKUP(C8992,'STOK KARTLARI'!$C$2:$K$2150,8,0),0)</f>
        <v>0</v>
      </c>
      <c r="K8992" s="21">
        <f t="shared" si="607"/>
        <v>0</v>
      </c>
      <c r="L8992" s="5">
        <f t="shared" si="609"/>
        <v>0</v>
      </c>
      <c r="M8992" s="4"/>
      <c r="N8992" s="4"/>
      <c r="O8992" s="5"/>
      <c r="P8992" s="5"/>
      <c r="Q8992" s="21">
        <f t="shared" si="610"/>
        <v>0</v>
      </c>
      <c r="R8992" s="21">
        <f t="shared" si="608"/>
        <v>0</v>
      </c>
      <c r="S8992" s="5">
        <f t="shared" si="611"/>
        <v>70007.077158325032</v>
      </c>
      <c r="T8992" cm="1">
        <f t="array" ref="T8992">IF(OR(B8992="MAL ALIMI", B8992="ÜRETİM GİRİŞ"), MIN(I8992, MAX(0, I8992 + SUM(SUMIFS($I$1:I8991, $C$1:C8991, C8992, $B$1:B8991, {"MAL ALIMI","ÜRETİM GİRİŞ"})) - VLOOKUP(C8992, 'STOK RAPORU'!$C$2:$I$1000, 4, 0))), 0)</f>
        <v>0</v>
      </c>
      <c r="U8992" s="22">
        <f t="shared" si="604"/>
        <v>0</v>
      </c>
      <c r="V8992">
        <f t="shared" si="605"/>
        <v>0</v>
      </c>
      <c r="W8992" s="22">
        <f t="shared" si="606"/>
        <v>0</v>
      </c>
    </row>
    <row r="8993" spans="1:23" hidden="1" x14ac:dyDescent="0.25">
      <c r="A8993" s="4"/>
      <c r="B8993" s="4"/>
      <c r="C8993" s="4"/>
      <c r="D8993" s="4"/>
      <c r="E8993" s="4"/>
      <c r="F8993" s="4"/>
      <c r="G8993" s="4"/>
      <c r="H8993" s="4"/>
      <c r="I8993" s="4"/>
      <c r="J8993" s="21">
        <f>IFERROR(VLOOKUP(C8993,'STOK KARTLARI'!$C$2:$K$2150,8,0),0)</f>
        <v>0</v>
      </c>
      <c r="K8993" s="21">
        <f t="shared" si="607"/>
        <v>0</v>
      </c>
      <c r="L8993" s="5">
        <f t="shared" si="609"/>
        <v>0</v>
      </c>
      <c r="M8993" s="4"/>
      <c r="N8993" s="4"/>
      <c r="O8993" s="5"/>
      <c r="P8993" s="5"/>
      <c r="Q8993" s="21">
        <f t="shared" si="610"/>
        <v>0</v>
      </c>
      <c r="R8993" s="21">
        <f t="shared" si="608"/>
        <v>0</v>
      </c>
      <c r="S8993" s="5">
        <f t="shared" si="611"/>
        <v>70007.077158325032</v>
      </c>
      <c r="T8993" cm="1">
        <f t="array" ref="T8993">IF(OR(B8993="MAL ALIMI", B8993="ÜRETİM GİRİŞ"), MIN(I8993, MAX(0, I8993 + SUM(SUMIFS($I$1:I8992, $C$1:C8992, C8993, $B$1:B8992, {"MAL ALIMI","ÜRETİM GİRİŞ"})) - VLOOKUP(C8993, 'STOK RAPORU'!$C$2:$I$1000, 4, 0))), 0)</f>
        <v>0</v>
      </c>
      <c r="U8993" s="22">
        <f t="shared" si="604"/>
        <v>0</v>
      </c>
      <c r="V8993">
        <f t="shared" si="605"/>
        <v>0</v>
      </c>
      <c r="W8993" s="22">
        <f t="shared" si="606"/>
        <v>0</v>
      </c>
    </row>
    <row r="8994" spans="1:23" hidden="1" x14ac:dyDescent="0.25">
      <c r="A8994" s="4"/>
      <c r="B8994" s="4"/>
      <c r="C8994" s="4"/>
      <c r="D8994" s="4"/>
      <c r="E8994" s="4"/>
      <c r="F8994" s="4"/>
      <c r="G8994" s="4"/>
      <c r="H8994" s="4"/>
      <c r="I8994" s="4"/>
      <c r="J8994" s="21">
        <f>IFERROR(VLOOKUP(C8994,'STOK KARTLARI'!$C$2:$K$2150,8,0),0)</f>
        <v>0</v>
      </c>
      <c r="K8994" s="21">
        <f t="shared" si="607"/>
        <v>0</v>
      </c>
      <c r="L8994" s="5">
        <f t="shared" si="609"/>
        <v>0</v>
      </c>
      <c r="M8994" s="4"/>
      <c r="N8994" s="4"/>
      <c r="O8994" s="5"/>
      <c r="P8994" s="5"/>
      <c r="Q8994" s="21">
        <f t="shared" si="610"/>
        <v>0</v>
      </c>
      <c r="R8994" s="21">
        <f t="shared" si="608"/>
        <v>0</v>
      </c>
      <c r="S8994" s="5">
        <f t="shared" si="611"/>
        <v>70007.077158325032</v>
      </c>
      <c r="T8994" cm="1">
        <f t="array" ref="T8994">IF(OR(B8994="MAL ALIMI", B8994="ÜRETİM GİRİŞ"), MIN(I8994, MAX(0, I8994 + SUM(SUMIFS($I$1:I8993, $C$1:C8993, C8994, $B$1:B8993, {"MAL ALIMI","ÜRETİM GİRİŞ"})) - VLOOKUP(C8994, 'STOK RAPORU'!$C$2:$I$1000, 4, 0))), 0)</f>
        <v>0</v>
      </c>
      <c r="U8994" s="22">
        <f t="shared" si="604"/>
        <v>0</v>
      </c>
      <c r="V8994">
        <f t="shared" si="605"/>
        <v>0</v>
      </c>
      <c r="W8994" s="22">
        <f t="shared" si="606"/>
        <v>0</v>
      </c>
    </row>
    <row r="8995" spans="1:23" hidden="1" x14ac:dyDescent="0.25">
      <c r="A8995" s="4"/>
      <c r="B8995" s="4"/>
      <c r="C8995" s="4"/>
      <c r="D8995" s="4"/>
      <c r="E8995" s="4"/>
      <c r="F8995" s="4"/>
      <c r="G8995" s="4"/>
      <c r="H8995" s="4"/>
      <c r="I8995" s="4"/>
      <c r="J8995" s="21">
        <f>IFERROR(VLOOKUP(C8995,'STOK KARTLARI'!$C$2:$K$2150,8,0),0)</f>
        <v>0</v>
      </c>
      <c r="K8995" s="21">
        <f t="shared" si="607"/>
        <v>0</v>
      </c>
      <c r="L8995" s="5">
        <f t="shared" si="609"/>
        <v>0</v>
      </c>
      <c r="M8995" s="4"/>
      <c r="N8995" s="4"/>
      <c r="O8995" s="5"/>
      <c r="P8995" s="5"/>
      <c r="Q8995" s="21">
        <f t="shared" si="610"/>
        <v>0</v>
      </c>
      <c r="R8995" s="21">
        <f t="shared" si="608"/>
        <v>0</v>
      </c>
      <c r="S8995" s="5">
        <f t="shared" si="611"/>
        <v>70007.077158325032</v>
      </c>
      <c r="T8995" cm="1">
        <f t="array" ref="T8995">IF(OR(B8995="MAL ALIMI", B8995="ÜRETİM GİRİŞ"), MIN(I8995, MAX(0, I8995 + SUM(SUMIFS($I$1:I8994, $C$1:C8994, C8995, $B$1:B8994, {"MAL ALIMI","ÜRETİM GİRİŞ"})) - VLOOKUP(C8995, 'STOK RAPORU'!$C$2:$I$1000, 4, 0))), 0)</f>
        <v>0</v>
      </c>
      <c r="U8995" s="22">
        <f t="shared" si="604"/>
        <v>0</v>
      </c>
      <c r="V8995">
        <f t="shared" si="605"/>
        <v>0</v>
      </c>
      <c r="W8995" s="22">
        <f t="shared" si="606"/>
        <v>0</v>
      </c>
    </row>
    <row r="8996" spans="1:23" hidden="1" x14ac:dyDescent="0.25">
      <c r="A8996" s="4"/>
      <c r="B8996" s="4"/>
      <c r="C8996" s="4"/>
      <c r="D8996" s="4"/>
      <c r="E8996" s="4"/>
      <c r="F8996" s="4"/>
      <c r="G8996" s="4"/>
      <c r="H8996" s="4"/>
      <c r="I8996" s="4"/>
      <c r="J8996" s="21">
        <f>IFERROR(VLOOKUP(C8996,'STOK KARTLARI'!$C$2:$K$2150,8,0),0)</f>
        <v>0</v>
      </c>
      <c r="K8996" s="21">
        <f t="shared" si="607"/>
        <v>0</v>
      </c>
      <c r="L8996" s="5">
        <f t="shared" si="609"/>
        <v>0</v>
      </c>
      <c r="M8996" s="4"/>
      <c r="N8996" s="4"/>
      <c r="O8996" s="5"/>
      <c r="P8996" s="5"/>
      <c r="Q8996" s="21">
        <f t="shared" si="610"/>
        <v>0</v>
      </c>
      <c r="R8996" s="21">
        <f t="shared" si="608"/>
        <v>0</v>
      </c>
      <c r="S8996" s="5">
        <f t="shared" si="611"/>
        <v>70007.077158325032</v>
      </c>
      <c r="T8996" cm="1">
        <f t="array" ref="T8996">IF(OR(B8996="MAL ALIMI", B8996="ÜRETİM GİRİŞ"), MIN(I8996, MAX(0, I8996 + SUM(SUMIFS($I$1:I8995, $C$1:C8995, C8996, $B$1:B8995, {"MAL ALIMI","ÜRETİM GİRİŞ"})) - VLOOKUP(C8996, 'STOK RAPORU'!$C$2:$I$1000, 4, 0))), 0)</f>
        <v>0</v>
      </c>
      <c r="U8996" s="22">
        <f t="shared" si="604"/>
        <v>0</v>
      </c>
      <c r="V8996">
        <f t="shared" si="605"/>
        <v>0</v>
      </c>
      <c r="W8996" s="22">
        <f t="shared" si="606"/>
        <v>0</v>
      </c>
    </row>
    <row r="8997" spans="1:23" hidden="1" x14ac:dyDescent="0.25">
      <c r="A8997" s="4"/>
      <c r="B8997" s="4"/>
      <c r="C8997" s="4"/>
      <c r="D8997" s="4"/>
      <c r="E8997" s="4"/>
      <c r="F8997" s="4"/>
      <c r="G8997" s="4"/>
      <c r="H8997" s="4"/>
      <c r="I8997" s="4"/>
      <c r="J8997" s="21">
        <f>IFERROR(VLOOKUP(C8997,'STOK KARTLARI'!$C$2:$K$2150,8,0),0)</f>
        <v>0</v>
      </c>
      <c r="K8997" s="21">
        <f t="shared" si="607"/>
        <v>0</v>
      </c>
      <c r="L8997" s="5">
        <f t="shared" si="609"/>
        <v>0</v>
      </c>
      <c r="M8997" s="4"/>
      <c r="N8997" s="4"/>
      <c r="O8997" s="5"/>
      <c r="P8997" s="5"/>
      <c r="Q8997" s="21">
        <f t="shared" si="610"/>
        <v>0</v>
      </c>
      <c r="R8997" s="21">
        <f t="shared" si="608"/>
        <v>0</v>
      </c>
      <c r="S8997" s="5">
        <f t="shared" si="611"/>
        <v>70007.077158325032</v>
      </c>
      <c r="T8997" cm="1">
        <f t="array" ref="T8997">IF(OR(B8997="MAL ALIMI", B8997="ÜRETİM GİRİŞ"), MIN(I8997, MAX(0, I8997 + SUM(SUMIFS($I$1:I8996, $C$1:C8996, C8997, $B$1:B8996, {"MAL ALIMI","ÜRETİM GİRİŞ"})) - VLOOKUP(C8997, 'STOK RAPORU'!$C$2:$I$1000, 4, 0))), 0)</f>
        <v>0</v>
      </c>
      <c r="U8997" s="22">
        <f t="shared" si="604"/>
        <v>0</v>
      </c>
      <c r="V8997">
        <f t="shared" si="605"/>
        <v>0</v>
      </c>
      <c r="W8997" s="22">
        <f t="shared" si="606"/>
        <v>0</v>
      </c>
    </row>
    <row r="8998" spans="1:23" hidden="1" x14ac:dyDescent="0.25">
      <c r="A8998" s="3"/>
      <c r="B8998" s="4"/>
      <c r="C8998" s="4"/>
      <c r="D8998" s="4"/>
      <c r="E8998" s="4"/>
      <c r="F8998" s="4"/>
      <c r="G8998" s="4"/>
      <c r="H8998" s="4"/>
      <c r="I8998" s="4"/>
      <c r="J8998" s="21">
        <f>IFERROR(VLOOKUP(C8998,'STOK KARTLARI'!$C$2:$K$2150,8,0),0)</f>
        <v>0</v>
      </c>
      <c r="K8998" s="21">
        <f t="shared" si="607"/>
        <v>0</v>
      </c>
      <c r="L8998" s="5">
        <f t="shared" si="609"/>
        <v>0</v>
      </c>
      <c r="M8998" s="4"/>
      <c r="N8998" s="4"/>
      <c r="O8998" s="5"/>
      <c r="P8998" s="5"/>
      <c r="Q8998" s="21">
        <f t="shared" si="610"/>
        <v>0</v>
      </c>
      <c r="R8998" s="21">
        <f t="shared" si="608"/>
        <v>0</v>
      </c>
      <c r="S8998" s="5">
        <f t="shared" si="611"/>
        <v>70007.077158325032</v>
      </c>
      <c r="T8998" cm="1">
        <f t="array" ref="T8998">IF(OR(B8998="MAL ALIMI", B8998="ÜRETİM GİRİŞ"), MIN(I8998, MAX(0, I8998 + SUM(SUMIFS($I$1:I8997, $C$1:C8997, C8998, $B$1:B8997, {"MAL ALIMI","ÜRETİM GİRİŞ"})) - VLOOKUP(C8998, 'STOK RAPORU'!$C$2:$I$1000, 4, 0))), 0)</f>
        <v>0</v>
      </c>
      <c r="U8998" s="22">
        <f t="shared" si="604"/>
        <v>0</v>
      </c>
      <c r="V8998">
        <f t="shared" si="605"/>
        <v>0</v>
      </c>
      <c r="W8998" s="22">
        <f t="shared" si="606"/>
        <v>0</v>
      </c>
    </row>
    <row r="8999" spans="1:23" hidden="1" x14ac:dyDescent="0.25">
      <c r="A8999" s="4"/>
      <c r="B8999" s="4"/>
      <c r="C8999" s="4"/>
      <c r="D8999" s="4"/>
      <c r="E8999" s="4"/>
      <c r="F8999" s="4"/>
      <c r="G8999" s="4"/>
      <c r="H8999" s="4"/>
      <c r="I8999" s="4"/>
      <c r="J8999" s="21">
        <f>IFERROR(VLOOKUP(C8999,'STOK KARTLARI'!$C$2:$K$2150,8,0),0)</f>
        <v>0</v>
      </c>
      <c r="K8999" s="21">
        <f t="shared" si="607"/>
        <v>0</v>
      </c>
      <c r="L8999" s="5">
        <f t="shared" si="609"/>
        <v>0</v>
      </c>
      <c r="M8999" s="4"/>
      <c r="N8999" s="4"/>
      <c r="O8999" s="5"/>
      <c r="P8999" s="5"/>
      <c r="Q8999" s="21">
        <f t="shared" si="610"/>
        <v>0</v>
      </c>
      <c r="R8999" s="21">
        <f t="shared" si="608"/>
        <v>0</v>
      </c>
      <c r="S8999" s="5">
        <f t="shared" si="611"/>
        <v>70007.077158325032</v>
      </c>
      <c r="T8999" cm="1">
        <f t="array" ref="T8999">IF(OR(B8999="MAL ALIMI", B8999="ÜRETİM GİRİŞ"), MIN(I8999, MAX(0, I8999 + SUM(SUMIFS($I$1:I8998, $C$1:C8998, C8999, $B$1:B8998, {"MAL ALIMI","ÜRETİM GİRİŞ"})) - VLOOKUP(C8999, 'STOK RAPORU'!$C$2:$I$1000, 4, 0))), 0)</f>
        <v>0</v>
      </c>
      <c r="U8999" s="22">
        <f t="shared" si="604"/>
        <v>0</v>
      </c>
      <c r="V8999">
        <f t="shared" si="605"/>
        <v>0</v>
      </c>
      <c r="W8999" s="22">
        <f t="shared" si="606"/>
        <v>0</v>
      </c>
    </row>
    <row r="9000" spans="1:23" hidden="1" x14ac:dyDescent="0.25">
      <c r="A9000" s="4"/>
      <c r="B9000" s="4"/>
      <c r="C9000" s="4"/>
      <c r="D9000" s="4"/>
      <c r="E9000" s="4"/>
      <c r="F9000" s="4"/>
      <c r="G9000" s="4"/>
      <c r="H9000" s="4"/>
      <c r="I9000" s="4"/>
      <c r="J9000" s="21">
        <f>IFERROR(VLOOKUP(C9000,'STOK KARTLARI'!$C$2:$K$2150,8,0),0)</f>
        <v>0</v>
      </c>
      <c r="K9000" s="21">
        <f t="shared" si="607"/>
        <v>0</v>
      </c>
      <c r="L9000" s="5">
        <f t="shared" si="609"/>
        <v>0</v>
      </c>
      <c r="M9000" s="4"/>
      <c r="N9000" s="4"/>
      <c r="O9000" s="5"/>
      <c r="P9000" s="5"/>
      <c r="Q9000" s="21">
        <f t="shared" si="610"/>
        <v>0</v>
      </c>
      <c r="R9000" s="21">
        <f t="shared" si="608"/>
        <v>0</v>
      </c>
      <c r="S9000" s="5">
        <f t="shared" si="611"/>
        <v>70007.077158325032</v>
      </c>
      <c r="T9000" cm="1">
        <f t="array" ref="T9000">IF(OR(B9000="MAL ALIMI", B9000="ÜRETİM GİRİŞ"), MIN(I9000, MAX(0, I9000 + SUM(SUMIFS($I$1:I8999, $C$1:C8999, C9000, $B$1:B8999, {"MAL ALIMI","ÜRETİM GİRİŞ"})) - VLOOKUP(C9000, 'STOK RAPORU'!$C$2:$I$1000, 4, 0))), 0)</f>
        <v>0</v>
      </c>
      <c r="U9000" s="22">
        <f t="shared" si="604"/>
        <v>0</v>
      </c>
      <c r="V9000">
        <f t="shared" si="605"/>
        <v>0</v>
      </c>
      <c r="W9000" s="22">
        <f t="shared" si="606"/>
        <v>0</v>
      </c>
    </row>
    <row r="9001" spans="1:23" hidden="1" x14ac:dyDescent="0.25">
      <c r="A9001" s="4"/>
      <c r="B9001" s="4"/>
      <c r="C9001" s="4"/>
      <c r="D9001" s="4"/>
      <c r="E9001" s="4"/>
      <c r="F9001" s="4"/>
      <c r="G9001" s="4"/>
      <c r="H9001" s="4"/>
      <c r="I9001" s="4"/>
      <c r="J9001" s="21">
        <f>IFERROR(VLOOKUP(C9001,'STOK KARTLARI'!$C$2:$K$2150,8,0),0)</f>
        <v>0</v>
      </c>
      <c r="K9001" s="21">
        <f t="shared" si="607"/>
        <v>0</v>
      </c>
      <c r="L9001" s="5">
        <f t="shared" si="609"/>
        <v>0</v>
      </c>
      <c r="M9001" s="4"/>
      <c r="N9001" s="4"/>
      <c r="O9001" s="5"/>
      <c r="P9001" s="5"/>
      <c r="Q9001" s="21">
        <f t="shared" si="610"/>
        <v>0</v>
      </c>
      <c r="R9001" s="21">
        <f t="shared" si="608"/>
        <v>0</v>
      </c>
      <c r="S9001" s="5">
        <f t="shared" si="611"/>
        <v>70007.077158325032</v>
      </c>
      <c r="T9001" cm="1">
        <f t="array" ref="T9001">IF(OR(B9001="MAL ALIMI", B9001="ÜRETİM GİRİŞ"), MIN(I9001, MAX(0, I9001 + SUM(SUMIFS($I$1:I9000, $C$1:C9000, C9001, $B$1:B9000, {"MAL ALIMI","ÜRETİM GİRİŞ"})) - VLOOKUP(C9001, 'STOK RAPORU'!$C$2:$I$1000, 4, 0))), 0)</f>
        <v>0</v>
      </c>
      <c r="U9001" s="22">
        <f t="shared" si="604"/>
        <v>0</v>
      </c>
      <c r="V9001">
        <f t="shared" si="605"/>
        <v>0</v>
      </c>
      <c r="W9001" s="22">
        <f t="shared" si="606"/>
        <v>0</v>
      </c>
    </row>
    <row r="9002" spans="1:23" hidden="1" x14ac:dyDescent="0.25">
      <c r="A9002" s="4"/>
      <c r="B9002" s="4"/>
      <c r="C9002" s="4"/>
      <c r="D9002" s="4"/>
      <c r="E9002" s="4"/>
      <c r="F9002" s="4"/>
      <c r="G9002" s="4"/>
      <c r="H9002" s="4"/>
      <c r="I9002" s="4"/>
      <c r="J9002" s="21">
        <f>IFERROR(VLOOKUP(C9002,'STOK KARTLARI'!$C$2:$K$2150,8,0),0)</f>
        <v>0</v>
      </c>
      <c r="K9002" s="21">
        <f t="shared" si="607"/>
        <v>0</v>
      </c>
      <c r="L9002" s="5">
        <f t="shared" si="609"/>
        <v>0</v>
      </c>
      <c r="M9002" s="4"/>
      <c r="N9002" s="4"/>
      <c r="O9002" s="5"/>
      <c r="P9002" s="5"/>
      <c r="Q9002" s="21">
        <f t="shared" si="610"/>
        <v>0</v>
      </c>
      <c r="R9002" s="21">
        <f t="shared" si="608"/>
        <v>0</v>
      </c>
      <c r="S9002" s="5">
        <f t="shared" si="611"/>
        <v>70007.077158325032</v>
      </c>
      <c r="T9002" cm="1">
        <f t="array" ref="T9002">IF(OR(B9002="MAL ALIMI", B9002="ÜRETİM GİRİŞ"), MIN(I9002, MAX(0, I9002 + SUM(SUMIFS($I$1:I9001, $C$1:C9001, C9002, $B$1:B9001, {"MAL ALIMI","ÜRETİM GİRİŞ"})) - VLOOKUP(C9002, 'STOK RAPORU'!$C$2:$I$1000, 4, 0))), 0)</f>
        <v>0</v>
      </c>
      <c r="U9002" s="22">
        <f t="shared" si="604"/>
        <v>0</v>
      </c>
      <c r="V9002">
        <f t="shared" si="605"/>
        <v>0</v>
      </c>
      <c r="W9002" s="22">
        <f t="shared" si="606"/>
        <v>0</v>
      </c>
    </row>
    <row r="9003" spans="1:23" hidden="1" x14ac:dyDescent="0.25">
      <c r="A9003" s="4"/>
      <c r="B9003" s="4"/>
      <c r="C9003" s="4"/>
      <c r="D9003" s="4"/>
      <c r="E9003" s="4"/>
      <c r="F9003" s="4"/>
      <c r="G9003" s="4"/>
      <c r="H9003" s="4"/>
      <c r="I9003" s="4"/>
      <c r="J9003" s="21">
        <f>IFERROR(VLOOKUP(C9003,'STOK KARTLARI'!$C$2:$K$2150,8,0),0)</f>
        <v>0</v>
      </c>
      <c r="K9003" s="21">
        <f t="shared" si="607"/>
        <v>0</v>
      </c>
      <c r="L9003" s="5">
        <f t="shared" si="609"/>
        <v>0</v>
      </c>
      <c r="M9003" s="4"/>
      <c r="N9003" s="4"/>
      <c r="O9003" s="5"/>
      <c r="P9003" s="5"/>
      <c r="Q9003" s="21">
        <f t="shared" si="610"/>
        <v>0</v>
      </c>
      <c r="R9003" s="21">
        <f t="shared" si="608"/>
        <v>0</v>
      </c>
      <c r="S9003" s="5">
        <f t="shared" si="611"/>
        <v>70007.077158325032</v>
      </c>
      <c r="T9003" cm="1">
        <f t="array" ref="T9003">IF(OR(B9003="MAL ALIMI", B9003="ÜRETİM GİRİŞ"), MIN(I9003, MAX(0, I9003 + SUM(SUMIFS($I$1:I9002, $C$1:C9002, C9003, $B$1:B9002, {"MAL ALIMI","ÜRETİM GİRİŞ"})) - VLOOKUP(C9003, 'STOK RAPORU'!$C$2:$I$1000, 4, 0))), 0)</f>
        <v>0</v>
      </c>
      <c r="U9003" s="22">
        <f t="shared" si="604"/>
        <v>0</v>
      </c>
      <c r="V9003">
        <f t="shared" si="605"/>
        <v>0</v>
      </c>
      <c r="W9003" s="22">
        <f t="shared" si="606"/>
        <v>0</v>
      </c>
    </row>
    <row r="9004" spans="1:23" hidden="1" x14ac:dyDescent="0.25">
      <c r="A9004" s="4"/>
      <c r="B9004" s="4"/>
      <c r="C9004" s="4"/>
      <c r="D9004" s="4"/>
      <c r="E9004" s="4"/>
      <c r="F9004" s="4"/>
      <c r="G9004" s="4"/>
      <c r="H9004" s="4"/>
      <c r="I9004" s="4"/>
      <c r="J9004" s="21">
        <f>IFERROR(VLOOKUP(C9004,'STOK KARTLARI'!$C$2:$K$2150,8,0),0)</f>
        <v>0</v>
      </c>
      <c r="K9004" s="21">
        <f t="shared" si="607"/>
        <v>0</v>
      </c>
      <c r="L9004" s="5">
        <f t="shared" si="609"/>
        <v>0</v>
      </c>
      <c r="M9004" s="4"/>
      <c r="N9004" s="4"/>
      <c r="O9004" s="5"/>
      <c r="P9004" s="5"/>
      <c r="Q9004" s="21">
        <f t="shared" si="610"/>
        <v>0</v>
      </c>
      <c r="R9004" s="21">
        <f t="shared" si="608"/>
        <v>0</v>
      </c>
      <c r="S9004" s="5">
        <f t="shared" si="611"/>
        <v>70007.077158325032</v>
      </c>
      <c r="T9004" cm="1">
        <f t="array" ref="T9004">IF(OR(B9004="MAL ALIMI", B9004="ÜRETİM GİRİŞ"), MIN(I9004, MAX(0, I9004 + SUM(SUMIFS($I$1:I9003, $C$1:C9003, C9004, $B$1:B9003, {"MAL ALIMI","ÜRETİM GİRİŞ"})) - VLOOKUP(C9004, 'STOK RAPORU'!$C$2:$I$1000, 4, 0))), 0)</f>
        <v>0</v>
      </c>
      <c r="U9004" s="22">
        <f t="shared" si="604"/>
        <v>0</v>
      </c>
      <c r="V9004">
        <f t="shared" si="605"/>
        <v>0</v>
      </c>
      <c r="W9004" s="22">
        <f t="shared" si="606"/>
        <v>0</v>
      </c>
    </row>
    <row r="9005" spans="1:23" hidden="1" x14ac:dyDescent="0.25">
      <c r="A9005" s="3"/>
      <c r="B9005" s="4"/>
      <c r="C9005" s="4"/>
      <c r="D9005" s="4"/>
      <c r="E9005" s="4"/>
      <c r="F9005" s="4"/>
      <c r="G9005" s="4"/>
      <c r="H9005" s="4"/>
      <c r="I9005" s="4"/>
      <c r="J9005" s="21">
        <f>IFERROR(VLOOKUP(C9005,'STOK KARTLARI'!$C$2:$K$2150,8,0),0)</f>
        <v>0</v>
      </c>
      <c r="K9005" s="21">
        <f t="shared" si="607"/>
        <v>0</v>
      </c>
      <c r="L9005" s="5">
        <f t="shared" si="609"/>
        <v>0</v>
      </c>
      <c r="M9005" s="4"/>
      <c r="N9005" s="4"/>
      <c r="O9005" s="5"/>
      <c r="P9005" s="5"/>
      <c r="Q9005" s="21">
        <f t="shared" si="610"/>
        <v>0</v>
      </c>
      <c r="R9005" s="21">
        <f t="shared" si="608"/>
        <v>0</v>
      </c>
      <c r="S9005" s="5">
        <f t="shared" si="611"/>
        <v>70007.077158325032</v>
      </c>
      <c r="T9005" cm="1">
        <f t="array" ref="T9005">IF(OR(B9005="MAL ALIMI", B9005="ÜRETİM GİRİŞ"), MIN(I9005, MAX(0, I9005 + SUM(SUMIFS($I$1:I9004, $C$1:C9004, C9005, $B$1:B9004, {"MAL ALIMI","ÜRETİM GİRİŞ"})) - VLOOKUP(C9005, 'STOK RAPORU'!$C$2:$I$1000, 4, 0))), 0)</f>
        <v>0</v>
      </c>
      <c r="U9005" s="22">
        <f t="shared" si="604"/>
        <v>0</v>
      </c>
      <c r="V9005">
        <f t="shared" si="605"/>
        <v>0</v>
      </c>
      <c r="W9005" s="22">
        <f t="shared" si="606"/>
        <v>0</v>
      </c>
    </row>
    <row r="9006" spans="1:23" hidden="1" x14ac:dyDescent="0.25">
      <c r="A9006" s="4"/>
      <c r="B9006" s="4"/>
      <c r="C9006" s="4"/>
      <c r="D9006" s="4"/>
      <c r="E9006" s="4"/>
      <c r="F9006" s="4"/>
      <c r="G9006" s="4"/>
      <c r="H9006" s="4"/>
      <c r="I9006" s="4"/>
      <c r="J9006" s="21">
        <f>IFERROR(VLOOKUP(C9006,'STOK KARTLARI'!$C$2:$K$2150,8,0),0)</f>
        <v>0</v>
      </c>
      <c r="K9006" s="21">
        <f t="shared" si="607"/>
        <v>0</v>
      </c>
      <c r="L9006" s="5">
        <f t="shared" si="609"/>
        <v>0</v>
      </c>
      <c r="M9006" s="4"/>
      <c r="N9006" s="4"/>
      <c r="O9006" s="5"/>
      <c r="P9006" s="5"/>
      <c r="Q9006" s="21">
        <f t="shared" si="610"/>
        <v>0</v>
      </c>
      <c r="R9006" s="21">
        <f t="shared" si="608"/>
        <v>0</v>
      </c>
      <c r="S9006" s="5">
        <f t="shared" si="611"/>
        <v>70007.077158325032</v>
      </c>
      <c r="T9006" cm="1">
        <f t="array" ref="T9006">IF(OR(B9006="MAL ALIMI", B9006="ÜRETİM GİRİŞ"), MIN(I9006, MAX(0, I9006 + SUM(SUMIFS($I$1:I9005, $C$1:C9005, C9006, $B$1:B9005, {"MAL ALIMI","ÜRETİM GİRİŞ"})) - VLOOKUP(C9006, 'STOK RAPORU'!$C$2:$I$1000, 4, 0))), 0)</f>
        <v>0</v>
      </c>
      <c r="U9006" s="22">
        <f t="shared" si="604"/>
        <v>0</v>
      </c>
      <c r="V9006">
        <f t="shared" si="605"/>
        <v>0</v>
      </c>
      <c r="W9006" s="22">
        <f t="shared" si="606"/>
        <v>0</v>
      </c>
    </row>
    <row r="9007" spans="1:23" hidden="1" x14ac:dyDescent="0.25">
      <c r="A9007" s="4"/>
      <c r="B9007" s="4"/>
      <c r="C9007" s="4"/>
      <c r="D9007" s="4"/>
      <c r="E9007" s="4"/>
      <c r="F9007" s="4"/>
      <c r="G9007" s="4"/>
      <c r="H9007" s="4"/>
      <c r="I9007" s="4"/>
      <c r="J9007" s="21">
        <f>IFERROR(VLOOKUP(C9007,'STOK KARTLARI'!$C$2:$K$2150,8,0),0)</f>
        <v>0</v>
      </c>
      <c r="K9007" s="21">
        <f t="shared" si="607"/>
        <v>0</v>
      </c>
      <c r="L9007" s="5">
        <f t="shared" si="609"/>
        <v>0</v>
      </c>
      <c r="M9007" s="4"/>
      <c r="N9007" s="4"/>
      <c r="O9007" s="5"/>
      <c r="P9007" s="5"/>
      <c r="Q9007" s="21">
        <f t="shared" si="610"/>
        <v>0</v>
      </c>
      <c r="R9007" s="21">
        <f t="shared" si="608"/>
        <v>0</v>
      </c>
      <c r="S9007" s="5">
        <f t="shared" si="611"/>
        <v>70007.077158325032</v>
      </c>
      <c r="T9007" cm="1">
        <f t="array" ref="T9007">IF(OR(B9007="MAL ALIMI", B9007="ÜRETİM GİRİŞ"), MIN(I9007, MAX(0, I9007 + SUM(SUMIFS($I$1:I9006, $C$1:C9006, C9007, $B$1:B9006, {"MAL ALIMI","ÜRETİM GİRİŞ"})) - VLOOKUP(C9007, 'STOK RAPORU'!$C$2:$I$1000, 4, 0))), 0)</f>
        <v>0</v>
      </c>
      <c r="U9007" s="22">
        <f t="shared" ref="U9007:U9070" si="612">T9007*J9007</f>
        <v>0</v>
      </c>
      <c r="V9007">
        <f t="shared" ref="V9007:V9070" si="613">IF(OR(B9007="MAL ALIMI", B9007="ÜRETİM GİRİŞ"), I9007 * J9007, 0)</f>
        <v>0</v>
      </c>
      <c r="W9007" s="22">
        <f t="shared" ref="W9007:W9070" si="614">V9007-U9007</f>
        <v>0</v>
      </c>
    </row>
    <row r="9008" spans="1:23" hidden="1" x14ac:dyDescent="0.25">
      <c r="A9008" s="4"/>
      <c r="B9008" s="4"/>
      <c r="C9008" s="4"/>
      <c r="D9008" s="4"/>
      <c r="E9008" s="4"/>
      <c r="F9008" s="4"/>
      <c r="G9008" s="4"/>
      <c r="H9008" s="4"/>
      <c r="I9008" s="4"/>
      <c r="J9008" s="21">
        <f>IFERROR(VLOOKUP(C9008,'STOK KARTLARI'!$C$2:$K$2150,8,0),0)</f>
        <v>0</v>
      </c>
      <c r="K9008" s="21">
        <f t="shared" si="607"/>
        <v>0</v>
      </c>
      <c r="L9008" s="5">
        <f t="shared" si="609"/>
        <v>0</v>
      </c>
      <c r="M9008" s="4"/>
      <c r="N9008" s="4"/>
      <c r="O9008" s="5"/>
      <c r="P9008" s="5"/>
      <c r="Q9008" s="21">
        <f t="shared" si="610"/>
        <v>0</v>
      </c>
      <c r="R9008" s="21">
        <f t="shared" si="608"/>
        <v>0</v>
      </c>
      <c r="S9008" s="5">
        <f t="shared" si="611"/>
        <v>70007.077158325032</v>
      </c>
      <c r="T9008" cm="1">
        <f t="array" ref="T9008">IF(OR(B9008="MAL ALIMI", B9008="ÜRETİM GİRİŞ"), MIN(I9008, MAX(0, I9008 + SUM(SUMIFS($I$1:I9007, $C$1:C9007, C9008, $B$1:B9007, {"MAL ALIMI","ÜRETİM GİRİŞ"})) - VLOOKUP(C9008, 'STOK RAPORU'!$C$2:$I$1000, 4, 0))), 0)</f>
        <v>0</v>
      </c>
      <c r="U9008" s="22">
        <f t="shared" si="612"/>
        <v>0</v>
      </c>
      <c r="V9008">
        <f t="shared" si="613"/>
        <v>0</v>
      </c>
      <c r="W9008" s="22">
        <f t="shared" si="614"/>
        <v>0</v>
      </c>
    </row>
    <row r="9009" spans="1:23" hidden="1" x14ac:dyDescent="0.25">
      <c r="A9009" s="4"/>
      <c r="B9009" s="4"/>
      <c r="C9009" s="4"/>
      <c r="D9009" s="4"/>
      <c r="E9009" s="4"/>
      <c r="F9009" s="4"/>
      <c r="G9009" s="4"/>
      <c r="H9009" s="4"/>
      <c r="I9009" s="4"/>
      <c r="J9009" s="21">
        <f>IFERROR(VLOOKUP(C9009,'STOK KARTLARI'!$C$2:$K$2150,8,0),0)</f>
        <v>0</v>
      </c>
      <c r="K9009" s="21">
        <f t="shared" si="607"/>
        <v>0</v>
      </c>
      <c r="L9009" s="5">
        <f t="shared" si="609"/>
        <v>0</v>
      </c>
      <c r="M9009" s="4"/>
      <c r="N9009" s="4"/>
      <c r="O9009" s="5"/>
      <c r="P9009" s="5"/>
      <c r="Q9009" s="21">
        <f t="shared" si="610"/>
        <v>0</v>
      </c>
      <c r="R9009" s="21">
        <f t="shared" si="608"/>
        <v>0</v>
      </c>
      <c r="S9009" s="5">
        <f t="shared" si="611"/>
        <v>70007.077158325032</v>
      </c>
      <c r="T9009" cm="1">
        <f t="array" ref="T9009">IF(OR(B9009="MAL ALIMI", B9009="ÜRETİM GİRİŞ"), MIN(I9009, MAX(0, I9009 + SUM(SUMIFS($I$1:I9008, $C$1:C9008, C9009, $B$1:B9008, {"MAL ALIMI","ÜRETİM GİRİŞ"})) - VLOOKUP(C9009, 'STOK RAPORU'!$C$2:$I$1000, 4, 0))), 0)</f>
        <v>0</v>
      </c>
      <c r="U9009" s="22">
        <f t="shared" si="612"/>
        <v>0</v>
      </c>
      <c r="V9009">
        <f t="shared" si="613"/>
        <v>0</v>
      </c>
      <c r="W9009" s="22">
        <f t="shared" si="614"/>
        <v>0</v>
      </c>
    </row>
    <row r="9010" spans="1:23" hidden="1" x14ac:dyDescent="0.25">
      <c r="A9010" s="4"/>
      <c r="B9010" s="4"/>
      <c r="C9010" s="4"/>
      <c r="D9010" s="4"/>
      <c r="E9010" s="4"/>
      <c r="F9010" s="4"/>
      <c r="G9010" s="4"/>
      <c r="H9010" s="4"/>
      <c r="I9010" s="4"/>
      <c r="J9010" s="21">
        <f>IFERROR(VLOOKUP(C9010,'STOK KARTLARI'!$C$2:$K$2150,8,0),0)</f>
        <v>0</v>
      </c>
      <c r="K9010" s="21">
        <f t="shared" si="607"/>
        <v>0</v>
      </c>
      <c r="L9010" s="5">
        <f t="shared" si="609"/>
        <v>0</v>
      </c>
      <c r="M9010" s="4"/>
      <c r="N9010" s="4"/>
      <c r="O9010" s="5"/>
      <c r="P9010" s="5"/>
      <c r="Q9010" s="21">
        <f t="shared" si="610"/>
        <v>0</v>
      </c>
      <c r="R9010" s="21">
        <f t="shared" si="608"/>
        <v>0</v>
      </c>
      <c r="S9010" s="5">
        <f t="shared" si="611"/>
        <v>70007.077158325032</v>
      </c>
      <c r="T9010" cm="1">
        <f t="array" ref="T9010">IF(OR(B9010="MAL ALIMI", B9010="ÜRETİM GİRİŞ"), MIN(I9010, MAX(0, I9010 + SUM(SUMIFS($I$1:I9009, $C$1:C9009, C9010, $B$1:B9009, {"MAL ALIMI","ÜRETİM GİRİŞ"})) - VLOOKUP(C9010, 'STOK RAPORU'!$C$2:$I$1000, 4, 0))), 0)</f>
        <v>0</v>
      </c>
      <c r="U9010" s="22">
        <f t="shared" si="612"/>
        <v>0</v>
      </c>
      <c r="V9010">
        <f t="shared" si="613"/>
        <v>0</v>
      </c>
      <c r="W9010" s="22">
        <f t="shared" si="614"/>
        <v>0</v>
      </c>
    </row>
    <row r="9011" spans="1:23" hidden="1" x14ac:dyDescent="0.25">
      <c r="A9011" s="4"/>
      <c r="B9011" s="4"/>
      <c r="C9011" s="4"/>
      <c r="D9011" s="4"/>
      <c r="E9011" s="4"/>
      <c r="F9011" s="4"/>
      <c r="G9011" s="4"/>
      <c r="H9011" s="4"/>
      <c r="I9011" s="4"/>
      <c r="J9011" s="21">
        <f>IFERROR(VLOOKUP(C9011,'STOK KARTLARI'!$C$2:$K$2150,8,0),0)</f>
        <v>0</v>
      </c>
      <c r="K9011" s="21">
        <f t="shared" ref="K9011:K9074" si="615">IF(AND(B9011="MAL SATIŞI", H9011="POS"),I9011*J9011,0)</f>
        <v>0</v>
      </c>
      <c r="L9011" s="5">
        <f t="shared" si="609"/>
        <v>0</v>
      </c>
      <c r="M9011" s="4"/>
      <c r="N9011" s="4"/>
      <c r="O9011" s="5"/>
      <c r="P9011" s="5"/>
      <c r="Q9011" s="21">
        <f t="shared" si="610"/>
        <v>0</v>
      </c>
      <c r="R9011" s="21">
        <f t="shared" ref="R9011:R9074" si="616">IF(AND(E9011="", B9011&lt;&gt;"MAL SATIŞI"),I9011*J9011,0)</f>
        <v>0</v>
      </c>
      <c r="S9011" s="5">
        <f t="shared" si="611"/>
        <v>70007.077158325032</v>
      </c>
      <c r="T9011" cm="1">
        <f t="array" ref="T9011">IF(OR(B9011="MAL ALIMI", B9011="ÜRETİM GİRİŞ"), MIN(I9011, MAX(0, I9011 + SUM(SUMIFS($I$1:I9010, $C$1:C9010, C9011, $B$1:B9010, {"MAL ALIMI","ÜRETİM GİRİŞ"})) - VLOOKUP(C9011, 'STOK RAPORU'!$C$2:$I$1000, 4, 0))), 0)</f>
        <v>0</v>
      </c>
      <c r="U9011" s="22">
        <f t="shared" si="612"/>
        <v>0</v>
      </c>
      <c r="V9011">
        <f t="shared" si="613"/>
        <v>0</v>
      </c>
      <c r="W9011" s="22">
        <f t="shared" si="614"/>
        <v>0</v>
      </c>
    </row>
    <row r="9012" spans="1:23" hidden="1" x14ac:dyDescent="0.25">
      <c r="A9012" s="3"/>
      <c r="B9012" s="4"/>
      <c r="C9012" s="4"/>
      <c r="D9012" s="4"/>
      <c r="E9012" s="4"/>
      <c r="F9012" s="4"/>
      <c r="G9012" s="4"/>
      <c r="H9012" s="4"/>
      <c r="I9012" s="4"/>
      <c r="J9012" s="21">
        <f>IFERROR(VLOOKUP(C9012,'STOK KARTLARI'!$C$2:$K$2150,8,0),0)</f>
        <v>0</v>
      </c>
      <c r="K9012" s="21">
        <f t="shared" si="615"/>
        <v>0</v>
      </c>
      <c r="L9012" s="5">
        <f t="shared" ref="L9012:L9075" si="617">IF(OR(E9012="", H9012="POS"),0,I9012*J9012)</f>
        <v>0</v>
      </c>
      <c r="M9012" s="4"/>
      <c r="N9012" s="4"/>
      <c r="O9012" s="5"/>
      <c r="P9012" s="5"/>
      <c r="Q9012" s="21">
        <f t="shared" ref="Q9012:Q9075" si="618">IF(AND(E9012="", B9012="MAL SATIŞI", H9012="NAKİT"),I9012*J9012,0)</f>
        <v>0</v>
      </c>
      <c r="R9012" s="21">
        <f t="shared" si="616"/>
        <v>0</v>
      </c>
      <c r="S9012" s="5">
        <f t="shared" si="611"/>
        <v>70007.077158325032</v>
      </c>
      <c r="T9012" cm="1">
        <f t="array" ref="T9012">IF(OR(B9012="MAL ALIMI", B9012="ÜRETİM GİRİŞ"), MIN(I9012, MAX(0, I9012 + SUM(SUMIFS($I$1:I9011, $C$1:C9011, C9012, $B$1:B9011, {"MAL ALIMI","ÜRETİM GİRİŞ"})) - VLOOKUP(C9012, 'STOK RAPORU'!$C$2:$I$1000, 4, 0))), 0)</f>
        <v>0</v>
      </c>
      <c r="U9012" s="22">
        <f t="shared" si="612"/>
        <v>0</v>
      </c>
      <c r="V9012">
        <f t="shared" si="613"/>
        <v>0</v>
      </c>
      <c r="W9012" s="22">
        <f t="shared" si="614"/>
        <v>0</v>
      </c>
    </row>
    <row r="9013" spans="1:23" hidden="1" x14ac:dyDescent="0.25">
      <c r="A9013" s="4"/>
      <c r="B9013" s="4"/>
      <c r="C9013" s="4"/>
      <c r="D9013" s="4"/>
      <c r="E9013" s="4"/>
      <c r="F9013" s="4"/>
      <c r="G9013" s="4"/>
      <c r="H9013" s="4"/>
      <c r="I9013" s="4"/>
      <c r="J9013" s="21">
        <f>IFERROR(VLOOKUP(C9013,'STOK KARTLARI'!$C$2:$K$2150,8,0),0)</f>
        <v>0</v>
      </c>
      <c r="K9013" s="21">
        <f t="shared" si="615"/>
        <v>0</v>
      </c>
      <c r="L9013" s="5">
        <f t="shared" si="617"/>
        <v>0</v>
      </c>
      <c r="M9013" s="4"/>
      <c r="N9013" s="4"/>
      <c r="O9013" s="5"/>
      <c r="P9013" s="5"/>
      <c r="Q9013" s="21">
        <f t="shared" si="618"/>
        <v>0</v>
      </c>
      <c r="R9013" s="21">
        <f t="shared" si="616"/>
        <v>0</v>
      </c>
      <c r="S9013" s="5">
        <f t="shared" si="611"/>
        <v>70007.077158325032</v>
      </c>
      <c r="T9013" cm="1">
        <f t="array" ref="T9013">IF(OR(B9013="MAL ALIMI", B9013="ÜRETİM GİRİŞ"), MIN(I9013, MAX(0, I9013 + SUM(SUMIFS($I$1:I9012, $C$1:C9012, C9013, $B$1:B9012, {"MAL ALIMI","ÜRETİM GİRİŞ"})) - VLOOKUP(C9013, 'STOK RAPORU'!$C$2:$I$1000, 4, 0))), 0)</f>
        <v>0</v>
      </c>
      <c r="U9013" s="22">
        <f t="shared" si="612"/>
        <v>0</v>
      </c>
      <c r="V9013">
        <f t="shared" si="613"/>
        <v>0</v>
      </c>
      <c r="W9013" s="22">
        <f t="shared" si="614"/>
        <v>0</v>
      </c>
    </row>
    <row r="9014" spans="1:23" hidden="1" x14ac:dyDescent="0.25">
      <c r="A9014" s="4"/>
      <c r="B9014" s="4"/>
      <c r="C9014" s="4"/>
      <c r="D9014" s="4"/>
      <c r="E9014" s="4"/>
      <c r="F9014" s="4"/>
      <c r="G9014" s="4"/>
      <c r="H9014" s="4"/>
      <c r="I9014" s="4"/>
      <c r="J9014" s="21">
        <f>IFERROR(VLOOKUP(C9014,'STOK KARTLARI'!$C$2:$K$2150,8,0),0)</f>
        <v>0</v>
      </c>
      <c r="K9014" s="21">
        <f t="shared" si="615"/>
        <v>0</v>
      </c>
      <c r="L9014" s="5">
        <f t="shared" si="617"/>
        <v>0</v>
      </c>
      <c r="M9014" s="4"/>
      <c r="N9014" s="4"/>
      <c r="O9014" s="5"/>
      <c r="P9014" s="5"/>
      <c r="Q9014" s="21">
        <f t="shared" si="618"/>
        <v>0</v>
      </c>
      <c r="R9014" s="21">
        <f t="shared" si="616"/>
        <v>0</v>
      </c>
      <c r="S9014" s="5">
        <f t="shared" si="611"/>
        <v>70007.077158325032</v>
      </c>
      <c r="T9014" cm="1">
        <f t="array" ref="T9014">IF(OR(B9014="MAL ALIMI", B9014="ÜRETİM GİRİŞ"), MIN(I9014, MAX(0, I9014 + SUM(SUMIFS($I$1:I9013, $C$1:C9013, C9014, $B$1:B9013, {"MAL ALIMI","ÜRETİM GİRİŞ"})) - VLOOKUP(C9014, 'STOK RAPORU'!$C$2:$I$1000, 4, 0))), 0)</f>
        <v>0</v>
      </c>
      <c r="U9014" s="22">
        <f t="shared" si="612"/>
        <v>0</v>
      </c>
      <c r="V9014">
        <f t="shared" si="613"/>
        <v>0</v>
      </c>
      <c r="W9014" s="22">
        <f t="shared" si="614"/>
        <v>0</v>
      </c>
    </row>
    <row r="9015" spans="1:23" hidden="1" x14ac:dyDescent="0.25">
      <c r="A9015" s="4"/>
      <c r="B9015" s="4"/>
      <c r="C9015" s="4"/>
      <c r="D9015" s="4"/>
      <c r="E9015" s="4"/>
      <c r="F9015" s="4"/>
      <c r="G9015" s="4"/>
      <c r="H9015" s="4"/>
      <c r="I9015" s="4"/>
      <c r="J9015" s="21">
        <f>IFERROR(VLOOKUP(C9015,'STOK KARTLARI'!$C$2:$K$2150,8,0),0)</f>
        <v>0</v>
      </c>
      <c r="K9015" s="21">
        <f t="shared" si="615"/>
        <v>0</v>
      </c>
      <c r="L9015" s="5">
        <f t="shared" si="617"/>
        <v>0</v>
      </c>
      <c r="M9015" s="4"/>
      <c r="N9015" s="4"/>
      <c r="O9015" s="5"/>
      <c r="P9015" s="5"/>
      <c r="Q9015" s="21">
        <f t="shared" si="618"/>
        <v>0</v>
      </c>
      <c r="R9015" s="21">
        <f t="shared" si="616"/>
        <v>0</v>
      </c>
      <c r="S9015" s="5">
        <f t="shared" si="611"/>
        <v>70007.077158325032</v>
      </c>
      <c r="T9015" cm="1">
        <f t="array" ref="T9015">IF(OR(B9015="MAL ALIMI", B9015="ÜRETİM GİRİŞ"), MIN(I9015, MAX(0, I9015 + SUM(SUMIFS($I$1:I9014, $C$1:C9014, C9015, $B$1:B9014, {"MAL ALIMI","ÜRETİM GİRİŞ"})) - VLOOKUP(C9015, 'STOK RAPORU'!$C$2:$I$1000, 4, 0))), 0)</f>
        <v>0</v>
      </c>
      <c r="U9015" s="22">
        <f t="shared" si="612"/>
        <v>0</v>
      </c>
      <c r="V9015">
        <f t="shared" si="613"/>
        <v>0</v>
      </c>
      <c r="W9015" s="22">
        <f t="shared" si="614"/>
        <v>0</v>
      </c>
    </row>
    <row r="9016" spans="1:23" hidden="1" x14ac:dyDescent="0.25">
      <c r="A9016" s="4"/>
      <c r="B9016" s="4"/>
      <c r="C9016" s="4"/>
      <c r="D9016" s="4"/>
      <c r="E9016" s="4"/>
      <c r="F9016" s="4"/>
      <c r="G9016" s="4"/>
      <c r="H9016" s="4"/>
      <c r="I9016" s="4"/>
      <c r="J9016" s="21">
        <f>IFERROR(VLOOKUP(C9016,'STOK KARTLARI'!$C$2:$K$2150,8,0),0)</f>
        <v>0</v>
      </c>
      <c r="K9016" s="21">
        <f t="shared" si="615"/>
        <v>0</v>
      </c>
      <c r="L9016" s="5">
        <f t="shared" si="617"/>
        <v>0</v>
      </c>
      <c r="M9016" s="4"/>
      <c r="N9016" s="4"/>
      <c r="O9016" s="5"/>
      <c r="P9016" s="5"/>
      <c r="Q9016" s="21">
        <f t="shared" si="618"/>
        <v>0</v>
      </c>
      <c r="R9016" s="21">
        <f t="shared" si="616"/>
        <v>0</v>
      </c>
      <c r="S9016" s="5">
        <f t="shared" si="611"/>
        <v>70007.077158325032</v>
      </c>
      <c r="T9016" cm="1">
        <f t="array" ref="T9016">IF(OR(B9016="MAL ALIMI", B9016="ÜRETİM GİRİŞ"), MIN(I9016, MAX(0, I9016 + SUM(SUMIFS($I$1:I9015, $C$1:C9015, C9016, $B$1:B9015, {"MAL ALIMI","ÜRETİM GİRİŞ"})) - VLOOKUP(C9016, 'STOK RAPORU'!$C$2:$I$1000, 4, 0))), 0)</f>
        <v>0</v>
      </c>
      <c r="U9016" s="22">
        <f t="shared" si="612"/>
        <v>0</v>
      </c>
      <c r="V9016">
        <f t="shared" si="613"/>
        <v>0</v>
      </c>
      <c r="W9016" s="22">
        <f t="shared" si="614"/>
        <v>0</v>
      </c>
    </row>
    <row r="9017" spans="1:23" hidden="1" x14ac:dyDescent="0.25">
      <c r="A9017" s="4"/>
      <c r="B9017" s="4"/>
      <c r="C9017" s="4"/>
      <c r="D9017" s="4"/>
      <c r="E9017" s="4"/>
      <c r="F9017" s="4"/>
      <c r="G9017" s="4"/>
      <c r="H9017" s="4"/>
      <c r="I9017" s="4"/>
      <c r="J9017" s="21">
        <f>IFERROR(VLOOKUP(C9017,'STOK KARTLARI'!$C$2:$K$2150,8,0),0)</f>
        <v>0</v>
      </c>
      <c r="K9017" s="21">
        <f t="shared" si="615"/>
        <v>0</v>
      </c>
      <c r="L9017" s="5">
        <f t="shared" si="617"/>
        <v>0</v>
      </c>
      <c r="M9017" s="4"/>
      <c r="N9017" s="4"/>
      <c r="O9017" s="5"/>
      <c r="P9017" s="5"/>
      <c r="Q9017" s="21">
        <f t="shared" si="618"/>
        <v>0</v>
      </c>
      <c r="R9017" s="21">
        <f t="shared" si="616"/>
        <v>0</v>
      </c>
      <c r="S9017" s="5">
        <f t="shared" si="611"/>
        <v>70007.077158325032</v>
      </c>
      <c r="T9017" cm="1">
        <f t="array" ref="T9017">IF(OR(B9017="MAL ALIMI", B9017="ÜRETİM GİRİŞ"), MIN(I9017, MAX(0, I9017 + SUM(SUMIFS($I$1:I9016, $C$1:C9016, C9017, $B$1:B9016, {"MAL ALIMI","ÜRETİM GİRİŞ"})) - VLOOKUP(C9017, 'STOK RAPORU'!$C$2:$I$1000, 4, 0))), 0)</f>
        <v>0</v>
      </c>
      <c r="U9017" s="22">
        <f t="shared" si="612"/>
        <v>0</v>
      </c>
      <c r="V9017">
        <f t="shared" si="613"/>
        <v>0</v>
      </c>
      <c r="W9017" s="22">
        <f t="shared" si="614"/>
        <v>0</v>
      </c>
    </row>
    <row r="9018" spans="1:23" hidden="1" x14ac:dyDescent="0.25">
      <c r="A9018" s="4"/>
      <c r="B9018" s="4"/>
      <c r="C9018" s="4"/>
      <c r="D9018" s="4"/>
      <c r="E9018" s="4"/>
      <c r="F9018" s="4"/>
      <c r="G9018" s="4"/>
      <c r="H9018" s="4"/>
      <c r="I9018" s="4"/>
      <c r="J9018" s="21">
        <f>IFERROR(VLOOKUP(C9018,'STOK KARTLARI'!$C$2:$K$2150,8,0),0)</f>
        <v>0</v>
      </c>
      <c r="K9018" s="21">
        <f t="shared" si="615"/>
        <v>0</v>
      </c>
      <c r="L9018" s="5">
        <f t="shared" si="617"/>
        <v>0</v>
      </c>
      <c r="M9018" s="4"/>
      <c r="N9018" s="4"/>
      <c r="O9018" s="5"/>
      <c r="P9018" s="5"/>
      <c r="Q9018" s="21">
        <f t="shared" si="618"/>
        <v>0</v>
      </c>
      <c r="R9018" s="21">
        <f t="shared" si="616"/>
        <v>0</v>
      </c>
      <c r="S9018" s="5">
        <f t="shared" si="611"/>
        <v>70007.077158325032</v>
      </c>
      <c r="T9018" cm="1">
        <f t="array" ref="T9018">IF(OR(B9018="MAL ALIMI", B9018="ÜRETİM GİRİŞ"), MIN(I9018, MAX(0, I9018 + SUM(SUMIFS($I$1:I9017, $C$1:C9017, C9018, $B$1:B9017, {"MAL ALIMI","ÜRETİM GİRİŞ"})) - VLOOKUP(C9018, 'STOK RAPORU'!$C$2:$I$1000, 4, 0))), 0)</f>
        <v>0</v>
      </c>
      <c r="U9018" s="22">
        <f t="shared" si="612"/>
        <v>0</v>
      </c>
      <c r="V9018">
        <f t="shared" si="613"/>
        <v>0</v>
      </c>
      <c r="W9018" s="22">
        <f t="shared" si="614"/>
        <v>0</v>
      </c>
    </row>
    <row r="9019" spans="1:23" hidden="1" x14ac:dyDescent="0.25">
      <c r="A9019" s="3"/>
      <c r="B9019" s="4"/>
      <c r="C9019" s="4"/>
      <c r="D9019" s="4"/>
      <c r="E9019" s="4"/>
      <c r="F9019" s="4"/>
      <c r="G9019" s="4"/>
      <c r="H9019" s="4"/>
      <c r="I9019" s="4"/>
      <c r="J9019" s="21">
        <f>IFERROR(VLOOKUP(C9019,'STOK KARTLARI'!$C$2:$K$2150,8,0),0)</f>
        <v>0</v>
      </c>
      <c r="K9019" s="21">
        <f t="shared" si="615"/>
        <v>0</v>
      </c>
      <c r="L9019" s="5">
        <f t="shared" si="617"/>
        <v>0</v>
      </c>
      <c r="M9019" s="4"/>
      <c r="N9019" s="4"/>
      <c r="O9019" s="5"/>
      <c r="P9019" s="5"/>
      <c r="Q9019" s="21">
        <f t="shared" si="618"/>
        <v>0</v>
      </c>
      <c r="R9019" s="21">
        <f t="shared" si="616"/>
        <v>0</v>
      </c>
      <c r="S9019" s="5">
        <f t="shared" si="611"/>
        <v>70007.077158325032</v>
      </c>
      <c r="T9019" cm="1">
        <f t="array" ref="T9019">IF(OR(B9019="MAL ALIMI", B9019="ÜRETİM GİRİŞ"), MIN(I9019, MAX(0, I9019 + SUM(SUMIFS($I$1:I9018, $C$1:C9018, C9019, $B$1:B9018, {"MAL ALIMI","ÜRETİM GİRİŞ"})) - VLOOKUP(C9019, 'STOK RAPORU'!$C$2:$I$1000, 4, 0))), 0)</f>
        <v>0</v>
      </c>
      <c r="U9019" s="22">
        <f t="shared" si="612"/>
        <v>0</v>
      </c>
      <c r="V9019">
        <f t="shared" si="613"/>
        <v>0</v>
      </c>
      <c r="W9019" s="22">
        <f t="shared" si="614"/>
        <v>0</v>
      </c>
    </row>
    <row r="9020" spans="1:23" hidden="1" x14ac:dyDescent="0.25">
      <c r="A9020" s="4"/>
      <c r="B9020" s="4"/>
      <c r="C9020" s="4"/>
      <c r="D9020" s="4"/>
      <c r="E9020" s="4"/>
      <c r="F9020" s="4"/>
      <c r="G9020" s="4"/>
      <c r="H9020" s="4"/>
      <c r="I9020" s="4"/>
      <c r="J9020" s="21">
        <f>IFERROR(VLOOKUP(C9020,'STOK KARTLARI'!$C$2:$K$2150,8,0),0)</f>
        <v>0</v>
      </c>
      <c r="K9020" s="21">
        <f t="shared" si="615"/>
        <v>0</v>
      </c>
      <c r="L9020" s="5">
        <f t="shared" si="617"/>
        <v>0</v>
      </c>
      <c r="M9020" s="4"/>
      <c r="N9020" s="4"/>
      <c r="O9020" s="5"/>
      <c r="P9020" s="5"/>
      <c r="Q9020" s="21">
        <f t="shared" si="618"/>
        <v>0</v>
      </c>
      <c r="R9020" s="21">
        <f t="shared" si="616"/>
        <v>0</v>
      </c>
      <c r="S9020" s="5">
        <f t="shared" si="611"/>
        <v>70007.077158325032</v>
      </c>
      <c r="T9020" cm="1">
        <f t="array" ref="T9020">IF(OR(B9020="MAL ALIMI", B9020="ÜRETİM GİRİŞ"), MIN(I9020, MAX(0, I9020 + SUM(SUMIFS($I$1:I9019, $C$1:C9019, C9020, $B$1:B9019, {"MAL ALIMI","ÜRETİM GİRİŞ"})) - VLOOKUP(C9020, 'STOK RAPORU'!$C$2:$I$1000, 4, 0))), 0)</f>
        <v>0</v>
      </c>
      <c r="U9020" s="22">
        <f t="shared" si="612"/>
        <v>0</v>
      </c>
      <c r="V9020">
        <f t="shared" si="613"/>
        <v>0</v>
      </c>
      <c r="W9020" s="22">
        <f t="shared" si="614"/>
        <v>0</v>
      </c>
    </row>
    <row r="9021" spans="1:23" hidden="1" x14ac:dyDescent="0.25">
      <c r="A9021" s="4"/>
      <c r="B9021" s="4"/>
      <c r="C9021" s="4"/>
      <c r="D9021" s="4"/>
      <c r="E9021" s="4"/>
      <c r="F9021" s="4"/>
      <c r="G9021" s="4"/>
      <c r="H9021" s="4"/>
      <c r="I9021" s="4"/>
      <c r="J9021" s="21">
        <f>IFERROR(VLOOKUP(C9021,'STOK KARTLARI'!$C$2:$K$2150,8,0),0)</f>
        <v>0</v>
      </c>
      <c r="K9021" s="21">
        <f t="shared" si="615"/>
        <v>0</v>
      </c>
      <c r="L9021" s="5">
        <f t="shared" si="617"/>
        <v>0</v>
      </c>
      <c r="M9021" s="4"/>
      <c r="N9021" s="4"/>
      <c r="O9021" s="5"/>
      <c r="P9021" s="5"/>
      <c r="Q9021" s="21">
        <f t="shared" si="618"/>
        <v>0</v>
      </c>
      <c r="R9021" s="21">
        <f t="shared" si="616"/>
        <v>0</v>
      </c>
      <c r="S9021" s="5">
        <f t="shared" si="611"/>
        <v>70007.077158325032</v>
      </c>
      <c r="T9021" cm="1">
        <f t="array" ref="T9021">IF(OR(B9021="MAL ALIMI", B9021="ÜRETİM GİRİŞ"), MIN(I9021, MAX(0, I9021 + SUM(SUMIFS($I$1:I9020, $C$1:C9020, C9021, $B$1:B9020, {"MAL ALIMI","ÜRETİM GİRİŞ"})) - VLOOKUP(C9021, 'STOK RAPORU'!$C$2:$I$1000, 4, 0))), 0)</f>
        <v>0</v>
      </c>
      <c r="U9021" s="22">
        <f t="shared" si="612"/>
        <v>0</v>
      </c>
      <c r="V9021">
        <f t="shared" si="613"/>
        <v>0</v>
      </c>
      <c r="W9021" s="22">
        <f t="shared" si="614"/>
        <v>0</v>
      </c>
    </row>
    <row r="9022" spans="1:23" hidden="1" x14ac:dyDescent="0.25">
      <c r="A9022" s="4"/>
      <c r="B9022" s="4"/>
      <c r="C9022" s="4"/>
      <c r="D9022" s="4"/>
      <c r="E9022" s="4"/>
      <c r="F9022" s="4"/>
      <c r="G9022" s="4"/>
      <c r="H9022" s="4"/>
      <c r="I9022" s="4"/>
      <c r="J9022" s="21">
        <f>IFERROR(VLOOKUP(C9022,'STOK KARTLARI'!$C$2:$K$2150,8,0),0)</f>
        <v>0</v>
      </c>
      <c r="K9022" s="21">
        <f t="shared" si="615"/>
        <v>0</v>
      </c>
      <c r="L9022" s="5">
        <f t="shared" si="617"/>
        <v>0</v>
      </c>
      <c r="M9022" s="4"/>
      <c r="N9022" s="4"/>
      <c r="O9022" s="5"/>
      <c r="P9022" s="5"/>
      <c r="Q9022" s="21">
        <f t="shared" si="618"/>
        <v>0</v>
      </c>
      <c r="R9022" s="21">
        <f t="shared" si="616"/>
        <v>0</v>
      </c>
      <c r="S9022" s="5">
        <f t="shared" si="611"/>
        <v>70007.077158325032</v>
      </c>
      <c r="T9022" cm="1">
        <f t="array" ref="T9022">IF(OR(B9022="MAL ALIMI", B9022="ÜRETİM GİRİŞ"), MIN(I9022, MAX(0, I9022 + SUM(SUMIFS($I$1:I9021, $C$1:C9021, C9022, $B$1:B9021, {"MAL ALIMI","ÜRETİM GİRİŞ"})) - VLOOKUP(C9022, 'STOK RAPORU'!$C$2:$I$1000, 4, 0))), 0)</f>
        <v>0</v>
      </c>
      <c r="U9022" s="22">
        <f t="shared" si="612"/>
        <v>0</v>
      </c>
      <c r="V9022">
        <f t="shared" si="613"/>
        <v>0</v>
      </c>
      <c r="W9022" s="22">
        <f t="shared" si="614"/>
        <v>0</v>
      </c>
    </row>
    <row r="9023" spans="1:23" hidden="1" x14ac:dyDescent="0.25">
      <c r="A9023" s="4"/>
      <c r="B9023" s="4"/>
      <c r="C9023" s="4"/>
      <c r="D9023" s="4"/>
      <c r="E9023" s="4"/>
      <c r="F9023" s="4"/>
      <c r="G9023" s="4"/>
      <c r="H9023" s="4"/>
      <c r="I9023" s="4"/>
      <c r="J9023" s="21">
        <f>IFERROR(VLOOKUP(C9023,'STOK KARTLARI'!$C$2:$K$2150,8,0),0)</f>
        <v>0</v>
      </c>
      <c r="K9023" s="21">
        <f t="shared" si="615"/>
        <v>0</v>
      </c>
      <c r="L9023" s="5">
        <f t="shared" si="617"/>
        <v>0</v>
      </c>
      <c r="M9023" s="4"/>
      <c r="N9023" s="4"/>
      <c r="O9023" s="5"/>
      <c r="P9023" s="5"/>
      <c r="Q9023" s="21">
        <f t="shared" si="618"/>
        <v>0</v>
      </c>
      <c r="R9023" s="21">
        <f t="shared" si="616"/>
        <v>0</v>
      </c>
      <c r="S9023" s="5">
        <f t="shared" si="611"/>
        <v>70007.077158325032</v>
      </c>
      <c r="T9023" cm="1">
        <f t="array" ref="T9023">IF(OR(B9023="MAL ALIMI", B9023="ÜRETİM GİRİŞ"), MIN(I9023, MAX(0, I9023 + SUM(SUMIFS($I$1:I9022, $C$1:C9022, C9023, $B$1:B9022, {"MAL ALIMI","ÜRETİM GİRİŞ"})) - VLOOKUP(C9023, 'STOK RAPORU'!$C$2:$I$1000, 4, 0))), 0)</f>
        <v>0</v>
      </c>
      <c r="U9023" s="22">
        <f t="shared" si="612"/>
        <v>0</v>
      </c>
      <c r="V9023">
        <f t="shared" si="613"/>
        <v>0</v>
      </c>
      <c r="W9023" s="22">
        <f t="shared" si="614"/>
        <v>0</v>
      </c>
    </row>
    <row r="9024" spans="1:23" hidden="1" x14ac:dyDescent="0.25">
      <c r="A9024" s="4"/>
      <c r="B9024" s="4"/>
      <c r="C9024" s="4"/>
      <c r="D9024" s="4"/>
      <c r="E9024" s="4"/>
      <c r="F9024" s="4"/>
      <c r="G9024" s="4"/>
      <c r="H9024" s="4"/>
      <c r="I9024" s="4"/>
      <c r="J9024" s="21">
        <f>IFERROR(VLOOKUP(C9024,'STOK KARTLARI'!$C$2:$K$2150,8,0),0)</f>
        <v>0</v>
      </c>
      <c r="K9024" s="21">
        <f t="shared" si="615"/>
        <v>0</v>
      </c>
      <c r="L9024" s="5">
        <f t="shared" si="617"/>
        <v>0</v>
      </c>
      <c r="M9024" s="4"/>
      <c r="N9024" s="4"/>
      <c r="O9024" s="5"/>
      <c r="P9024" s="5"/>
      <c r="Q9024" s="21">
        <f t="shared" si="618"/>
        <v>0</v>
      </c>
      <c r="R9024" s="21">
        <f t="shared" si="616"/>
        <v>0</v>
      </c>
      <c r="S9024" s="5">
        <f t="shared" si="611"/>
        <v>70007.077158325032</v>
      </c>
      <c r="T9024" cm="1">
        <f t="array" ref="T9024">IF(OR(B9024="MAL ALIMI", B9024="ÜRETİM GİRİŞ"), MIN(I9024, MAX(0, I9024 + SUM(SUMIFS($I$1:I9023, $C$1:C9023, C9024, $B$1:B9023, {"MAL ALIMI","ÜRETİM GİRİŞ"})) - VLOOKUP(C9024, 'STOK RAPORU'!$C$2:$I$1000, 4, 0))), 0)</f>
        <v>0</v>
      </c>
      <c r="U9024" s="22">
        <f t="shared" si="612"/>
        <v>0</v>
      </c>
      <c r="V9024">
        <f t="shared" si="613"/>
        <v>0</v>
      </c>
      <c r="W9024" s="22">
        <f t="shared" si="614"/>
        <v>0</v>
      </c>
    </row>
    <row r="9025" spans="1:23" hidden="1" x14ac:dyDescent="0.25">
      <c r="A9025" s="4"/>
      <c r="B9025" s="4"/>
      <c r="C9025" s="4"/>
      <c r="D9025" s="4"/>
      <c r="E9025" s="4"/>
      <c r="F9025" s="4"/>
      <c r="G9025" s="4"/>
      <c r="H9025" s="4"/>
      <c r="I9025" s="4"/>
      <c r="J9025" s="21">
        <f>IFERROR(VLOOKUP(C9025,'STOK KARTLARI'!$C$2:$K$2150,8,0),0)</f>
        <v>0</v>
      </c>
      <c r="K9025" s="21">
        <f t="shared" si="615"/>
        <v>0</v>
      </c>
      <c r="L9025" s="5">
        <f t="shared" si="617"/>
        <v>0</v>
      </c>
      <c r="M9025" s="4"/>
      <c r="N9025" s="4"/>
      <c r="O9025" s="5"/>
      <c r="P9025" s="5"/>
      <c r="Q9025" s="21">
        <f t="shared" si="618"/>
        <v>0</v>
      </c>
      <c r="R9025" s="21">
        <f t="shared" si="616"/>
        <v>0</v>
      </c>
      <c r="S9025" s="5">
        <f t="shared" si="611"/>
        <v>70007.077158325032</v>
      </c>
      <c r="T9025" cm="1">
        <f t="array" ref="T9025">IF(OR(B9025="MAL ALIMI", B9025="ÜRETİM GİRİŞ"), MIN(I9025, MAX(0, I9025 + SUM(SUMIFS($I$1:I9024, $C$1:C9024, C9025, $B$1:B9024, {"MAL ALIMI","ÜRETİM GİRİŞ"})) - VLOOKUP(C9025, 'STOK RAPORU'!$C$2:$I$1000, 4, 0))), 0)</f>
        <v>0</v>
      </c>
      <c r="U9025" s="22">
        <f t="shared" si="612"/>
        <v>0</v>
      </c>
      <c r="V9025">
        <f t="shared" si="613"/>
        <v>0</v>
      </c>
      <c r="W9025" s="22">
        <f t="shared" si="614"/>
        <v>0</v>
      </c>
    </row>
    <row r="9026" spans="1:23" hidden="1" x14ac:dyDescent="0.25">
      <c r="A9026" s="3"/>
      <c r="B9026" s="4"/>
      <c r="C9026" s="4"/>
      <c r="D9026" s="4"/>
      <c r="E9026" s="4"/>
      <c r="F9026" s="4"/>
      <c r="G9026" s="4"/>
      <c r="H9026" s="4"/>
      <c r="I9026" s="4"/>
      <c r="J9026" s="21">
        <f>IFERROR(VLOOKUP(C9026,'STOK KARTLARI'!$C$2:$K$2150,8,0),0)</f>
        <v>0</v>
      </c>
      <c r="K9026" s="21">
        <f t="shared" si="615"/>
        <v>0</v>
      </c>
      <c r="L9026" s="5">
        <f t="shared" si="617"/>
        <v>0</v>
      </c>
      <c r="M9026" s="4"/>
      <c r="N9026" s="4"/>
      <c r="O9026" s="5"/>
      <c r="P9026" s="5"/>
      <c r="Q9026" s="21">
        <f t="shared" si="618"/>
        <v>0</v>
      </c>
      <c r="R9026" s="21">
        <f t="shared" si="616"/>
        <v>0</v>
      </c>
      <c r="S9026" s="5">
        <f t="shared" si="611"/>
        <v>70007.077158325032</v>
      </c>
      <c r="T9026" cm="1">
        <f t="array" ref="T9026">IF(OR(B9026="MAL ALIMI", B9026="ÜRETİM GİRİŞ"), MIN(I9026, MAX(0, I9026 + SUM(SUMIFS($I$1:I9025, $C$1:C9025, C9026, $B$1:B9025, {"MAL ALIMI","ÜRETİM GİRİŞ"})) - VLOOKUP(C9026, 'STOK RAPORU'!$C$2:$I$1000, 4, 0))), 0)</f>
        <v>0</v>
      </c>
      <c r="U9026" s="22">
        <f t="shared" si="612"/>
        <v>0</v>
      </c>
      <c r="V9026">
        <f t="shared" si="613"/>
        <v>0</v>
      </c>
      <c r="W9026" s="22">
        <f t="shared" si="614"/>
        <v>0</v>
      </c>
    </row>
    <row r="9027" spans="1:23" hidden="1" x14ac:dyDescent="0.25">
      <c r="A9027" s="4"/>
      <c r="B9027" s="4"/>
      <c r="C9027" s="4"/>
      <c r="D9027" s="4"/>
      <c r="E9027" s="4"/>
      <c r="F9027" s="4"/>
      <c r="G9027" s="4"/>
      <c r="H9027" s="4"/>
      <c r="I9027" s="4"/>
      <c r="J9027" s="21">
        <f>IFERROR(VLOOKUP(C9027,'STOK KARTLARI'!$C$2:$K$2150,8,0),0)</f>
        <v>0</v>
      </c>
      <c r="K9027" s="21">
        <f t="shared" si="615"/>
        <v>0</v>
      </c>
      <c r="L9027" s="5">
        <f t="shared" si="617"/>
        <v>0</v>
      </c>
      <c r="M9027" s="4"/>
      <c r="N9027" s="4"/>
      <c r="O9027" s="5"/>
      <c r="P9027" s="5"/>
      <c r="Q9027" s="21">
        <f t="shared" si="618"/>
        <v>0</v>
      </c>
      <c r="R9027" s="21">
        <f t="shared" si="616"/>
        <v>0</v>
      </c>
      <c r="S9027" s="5">
        <f t="shared" si="611"/>
        <v>70007.077158325032</v>
      </c>
      <c r="T9027" cm="1">
        <f t="array" ref="T9027">IF(OR(B9027="MAL ALIMI", B9027="ÜRETİM GİRİŞ"), MIN(I9027, MAX(0, I9027 + SUM(SUMIFS($I$1:I9026, $C$1:C9026, C9027, $B$1:B9026, {"MAL ALIMI","ÜRETİM GİRİŞ"})) - VLOOKUP(C9027, 'STOK RAPORU'!$C$2:$I$1000, 4, 0))), 0)</f>
        <v>0</v>
      </c>
      <c r="U9027" s="22">
        <f t="shared" si="612"/>
        <v>0</v>
      </c>
      <c r="V9027">
        <f t="shared" si="613"/>
        <v>0</v>
      </c>
      <c r="W9027" s="22">
        <f t="shared" si="614"/>
        <v>0</v>
      </c>
    </row>
    <row r="9028" spans="1:23" hidden="1" x14ac:dyDescent="0.25">
      <c r="A9028" s="4"/>
      <c r="B9028" s="4"/>
      <c r="C9028" s="4"/>
      <c r="D9028" s="4"/>
      <c r="E9028" s="4"/>
      <c r="F9028" s="4"/>
      <c r="G9028" s="4"/>
      <c r="H9028" s="4"/>
      <c r="I9028" s="4"/>
      <c r="J9028" s="21">
        <f>IFERROR(VLOOKUP(C9028,'STOK KARTLARI'!$C$2:$K$2150,8,0),0)</f>
        <v>0</v>
      </c>
      <c r="K9028" s="21">
        <f t="shared" si="615"/>
        <v>0</v>
      </c>
      <c r="L9028" s="5">
        <f t="shared" si="617"/>
        <v>0</v>
      </c>
      <c r="M9028" s="4"/>
      <c r="N9028" s="4"/>
      <c r="O9028" s="5"/>
      <c r="P9028" s="5"/>
      <c r="Q9028" s="21">
        <f t="shared" si="618"/>
        <v>0</v>
      </c>
      <c r="R9028" s="21">
        <f t="shared" si="616"/>
        <v>0</v>
      </c>
      <c r="S9028" s="5">
        <f t="shared" si="611"/>
        <v>70007.077158325032</v>
      </c>
      <c r="T9028" cm="1">
        <f t="array" ref="T9028">IF(OR(B9028="MAL ALIMI", B9028="ÜRETİM GİRİŞ"), MIN(I9028, MAX(0, I9028 + SUM(SUMIFS($I$1:I9027, $C$1:C9027, C9028, $B$1:B9027, {"MAL ALIMI","ÜRETİM GİRİŞ"})) - VLOOKUP(C9028, 'STOK RAPORU'!$C$2:$I$1000, 4, 0))), 0)</f>
        <v>0</v>
      </c>
      <c r="U9028" s="22">
        <f t="shared" si="612"/>
        <v>0</v>
      </c>
      <c r="V9028">
        <f t="shared" si="613"/>
        <v>0</v>
      </c>
      <c r="W9028" s="22">
        <f t="shared" si="614"/>
        <v>0</v>
      </c>
    </row>
    <row r="9029" spans="1:23" hidden="1" x14ac:dyDescent="0.25">
      <c r="A9029" s="4"/>
      <c r="B9029" s="4"/>
      <c r="C9029" s="4"/>
      <c r="D9029" s="4"/>
      <c r="E9029" s="4"/>
      <c r="F9029" s="4"/>
      <c r="G9029" s="4"/>
      <c r="H9029" s="4"/>
      <c r="I9029" s="4"/>
      <c r="J9029" s="21">
        <f>IFERROR(VLOOKUP(C9029,'STOK KARTLARI'!$C$2:$K$2150,8,0),0)</f>
        <v>0</v>
      </c>
      <c r="K9029" s="21">
        <f t="shared" si="615"/>
        <v>0</v>
      </c>
      <c r="L9029" s="5">
        <f t="shared" si="617"/>
        <v>0</v>
      </c>
      <c r="M9029" s="4"/>
      <c r="N9029" s="4"/>
      <c r="O9029" s="5"/>
      <c r="P9029" s="5"/>
      <c r="Q9029" s="21">
        <f t="shared" si="618"/>
        <v>0</v>
      </c>
      <c r="R9029" s="21">
        <f t="shared" si="616"/>
        <v>0</v>
      </c>
      <c r="S9029" s="5">
        <f t="shared" ref="S9029:S9092" si="619">S9028+Q9029-R9029</f>
        <v>70007.077158325032</v>
      </c>
      <c r="T9029" cm="1">
        <f t="array" ref="T9029">IF(OR(B9029="MAL ALIMI", B9029="ÜRETİM GİRİŞ"), MIN(I9029, MAX(0, I9029 + SUM(SUMIFS($I$1:I9028, $C$1:C9028, C9029, $B$1:B9028, {"MAL ALIMI","ÜRETİM GİRİŞ"})) - VLOOKUP(C9029, 'STOK RAPORU'!$C$2:$I$1000, 4, 0))), 0)</f>
        <v>0</v>
      </c>
      <c r="U9029" s="22">
        <f t="shared" si="612"/>
        <v>0</v>
      </c>
      <c r="V9029">
        <f t="shared" si="613"/>
        <v>0</v>
      </c>
      <c r="W9029" s="22">
        <f t="shared" si="614"/>
        <v>0</v>
      </c>
    </row>
    <row r="9030" spans="1:23" hidden="1" x14ac:dyDescent="0.25">
      <c r="A9030" s="4"/>
      <c r="B9030" s="4"/>
      <c r="C9030" s="4"/>
      <c r="D9030" s="4"/>
      <c r="E9030" s="4"/>
      <c r="F9030" s="4"/>
      <c r="G9030" s="4"/>
      <c r="H9030" s="4"/>
      <c r="I9030" s="4"/>
      <c r="J9030" s="21">
        <f>IFERROR(VLOOKUP(C9030,'STOK KARTLARI'!$C$2:$K$2150,8,0),0)</f>
        <v>0</v>
      </c>
      <c r="K9030" s="21">
        <f t="shared" si="615"/>
        <v>0</v>
      </c>
      <c r="L9030" s="5">
        <f t="shared" si="617"/>
        <v>0</v>
      </c>
      <c r="M9030" s="4"/>
      <c r="N9030" s="4"/>
      <c r="O9030" s="5"/>
      <c r="P9030" s="5"/>
      <c r="Q9030" s="21">
        <f t="shared" si="618"/>
        <v>0</v>
      </c>
      <c r="R9030" s="21">
        <f t="shared" si="616"/>
        <v>0</v>
      </c>
      <c r="S9030" s="5">
        <f t="shared" si="619"/>
        <v>70007.077158325032</v>
      </c>
      <c r="T9030" cm="1">
        <f t="array" ref="T9030">IF(OR(B9030="MAL ALIMI", B9030="ÜRETİM GİRİŞ"), MIN(I9030, MAX(0, I9030 + SUM(SUMIFS($I$1:I9029, $C$1:C9029, C9030, $B$1:B9029, {"MAL ALIMI","ÜRETİM GİRİŞ"})) - VLOOKUP(C9030, 'STOK RAPORU'!$C$2:$I$1000, 4, 0))), 0)</f>
        <v>0</v>
      </c>
      <c r="U9030" s="22">
        <f t="shared" si="612"/>
        <v>0</v>
      </c>
      <c r="V9030">
        <f t="shared" si="613"/>
        <v>0</v>
      </c>
      <c r="W9030" s="22">
        <f t="shared" si="614"/>
        <v>0</v>
      </c>
    </row>
    <row r="9031" spans="1:23" hidden="1" x14ac:dyDescent="0.25">
      <c r="A9031" s="4"/>
      <c r="B9031" s="4"/>
      <c r="C9031" s="4"/>
      <c r="D9031" s="4"/>
      <c r="E9031" s="4"/>
      <c r="F9031" s="4"/>
      <c r="G9031" s="4"/>
      <c r="H9031" s="4"/>
      <c r="I9031" s="4"/>
      <c r="J9031" s="21">
        <f>IFERROR(VLOOKUP(C9031,'STOK KARTLARI'!$C$2:$K$2150,8,0),0)</f>
        <v>0</v>
      </c>
      <c r="K9031" s="21">
        <f t="shared" si="615"/>
        <v>0</v>
      </c>
      <c r="L9031" s="5">
        <f t="shared" si="617"/>
        <v>0</v>
      </c>
      <c r="M9031" s="4"/>
      <c r="N9031" s="4"/>
      <c r="O9031" s="5"/>
      <c r="P9031" s="5"/>
      <c r="Q9031" s="21">
        <f t="shared" si="618"/>
        <v>0</v>
      </c>
      <c r="R9031" s="21">
        <f t="shared" si="616"/>
        <v>0</v>
      </c>
      <c r="S9031" s="5">
        <f t="shared" si="619"/>
        <v>70007.077158325032</v>
      </c>
      <c r="T9031" cm="1">
        <f t="array" ref="T9031">IF(OR(B9031="MAL ALIMI", B9031="ÜRETİM GİRİŞ"), MIN(I9031, MAX(0, I9031 + SUM(SUMIFS($I$1:I9030, $C$1:C9030, C9031, $B$1:B9030, {"MAL ALIMI","ÜRETİM GİRİŞ"})) - VLOOKUP(C9031, 'STOK RAPORU'!$C$2:$I$1000, 4, 0))), 0)</f>
        <v>0</v>
      </c>
      <c r="U9031" s="22">
        <f t="shared" si="612"/>
        <v>0</v>
      </c>
      <c r="V9031">
        <f t="shared" si="613"/>
        <v>0</v>
      </c>
      <c r="W9031" s="22">
        <f t="shared" si="614"/>
        <v>0</v>
      </c>
    </row>
    <row r="9032" spans="1:23" hidden="1" x14ac:dyDescent="0.25">
      <c r="A9032" s="4"/>
      <c r="B9032" s="4"/>
      <c r="C9032" s="4"/>
      <c r="D9032" s="4"/>
      <c r="E9032" s="4"/>
      <c r="F9032" s="4"/>
      <c r="G9032" s="4"/>
      <c r="H9032" s="4"/>
      <c r="I9032" s="4"/>
      <c r="J9032" s="21">
        <f>IFERROR(VLOOKUP(C9032,'STOK KARTLARI'!$C$2:$K$2150,8,0),0)</f>
        <v>0</v>
      </c>
      <c r="K9032" s="21">
        <f t="shared" si="615"/>
        <v>0</v>
      </c>
      <c r="L9032" s="5">
        <f t="shared" si="617"/>
        <v>0</v>
      </c>
      <c r="M9032" s="4"/>
      <c r="N9032" s="4"/>
      <c r="O9032" s="5"/>
      <c r="P9032" s="5"/>
      <c r="Q9032" s="21">
        <f t="shared" si="618"/>
        <v>0</v>
      </c>
      <c r="R9032" s="21">
        <f t="shared" si="616"/>
        <v>0</v>
      </c>
      <c r="S9032" s="5">
        <f t="shared" si="619"/>
        <v>70007.077158325032</v>
      </c>
      <c r="T9032" cm="1">
        <f t="array" ref="T9032">IF(OR(B9032="MAL ALIMI", B9032="ÜRETİM GİRİŞ"), MIN(I9032, MAX(0, I9032 + SUM(SUMIFS($I$1:I9031, $C$1:C9031, C9032, $B$1:B9031, {"MAL ALIMI","ÜRETİM GİRİŞ"})) - VLOOKUP(C9032, 'STOK RAPORU'!$C$2:$I$1000, 4, 0))), 0)</f>
        <v>0</v>
      </c>
      <c r="U9032" s="22">
        <f t="shared" si="612"/>
        <v>0</v>
      </c>
      <c r="V9032">
        <f t="shared" si="613"/>
        <v>0</v>
      </c>
      <c r="W9032" s="22">
        <f t="shared" si="614"/>
        <v>0</v>
      </c>
    </row>
    <row r="9033" spans="1:23" hidden="1" x14ac:dyDescent="0.25">
      <c r="A9033" s="3"/>
      <c r="B9033" s="4"/>
      <c r="C9033" s="4"/>
      <c r="D9033" s="4"/>
      <c r="E9033" s="4"/>
      <c r="F9033" s="4"/>
      <c r="G9033" s="4"/>
      <c r="H9033" s="4"/>
      <c r="I9033" s="4"/>
      <c r="J9033" s="21">
        <f>IFERROR(VLOOKUP(C9033,'STOK KARTLARI'!$C$2:$K$2150,8,0),0)</f>
        <v>0</v>
      </c>
      <c r="K9033" s="21">
        <f t="shared" si="615"/>
        <v>0</v>
      </c>
      <c r="L9033" s="5">
        <f t="shared" si="617"/>
        <v>0</v>
      </c>
      <c r="M9033" s="4"/>
      <c r="N9033" s="4"/>
      <c r="O9033" s="5"/>
      <c r="P9033" s="5"/>
      <c r="Q9033" s="21">
        <f t="shared" si="618"/>
        <v>0</v>
      </c>
      <c r="R9033" s="21">
        <f t="shared" si="616"/>
        <v>0</v>
      </c>
      <c r="S9033" s="5">
        <f t="shared" si="619"/>
        <v>70007.077158325032</v>
      </c>
      <c r="T9033" cm="1">
        <f t="array" ref="T9033">IF(OR(B9033="MAL ALIMI", B9033="ÜRETİM GİRİŞ"), MIN(I9033, MAX(0, I9033 + SUM(SUMIFS($I$1:I9032, $C$1:C9032, C9033, $B$1:B9032, {"MAL ALIMI","ÜRETİM GİRİŞ"})) - VLOOKUP(C9033, 'STOK RAPORU'!$C$2:$I$1000, 4, 0))), 0)</f>
        <v>0</v>
      </c>
      <c r="U9033" s="22">
        <f t="shared" si="612"/>
        <v>0</v>
      </c>
      <c r="V9033">
        <f t="shared" si="613"/>
        <v>0</v>
      </c>
      <c r="W9033" s="22">
        <f t="shared" si="614"/>
        <v>0</v>
      </c>
    </row>
    <row r="9034" spans="1:23" hidden="1" x14ac:dyDescent="0.25">
      <c r="A9034" s="4"/>
      <c r="B9034" s="4"/>
      <c r="C9034" s="4"/>
      <c r="D9034" s="4"/>
      <c r="E9034" s="4"/>
      <c r="F9034" s="4"/>
      <c r="G9034" s="4"/>
      <c r="H9034" s="4"/>
      <c r="I9034" s="4"/>
      <c r="J9034" s="21">
        <f>IFERROR(VLOOKUP(C9034,'STOK KARTLARI'!$C$2:$K$2150,8,0),0)</f>
        <v>0</v>
      </c>
      <c r="K9034" s="21">
        <f t="shared" si="615"/>
        <v>0</v>
      </c>
      <c r="L9034" s="5">
        <f t="shared" si="617"/>
        <v>0</v>
      </c>
      <c r="M9034" s="4"/>
      <c r="N9034" s="4"/>
      <c r="O9034" s="5"/>
      <c r="P9034" s="5"/>
      <c r="Q9034" s="21">
        <f t="shared" si="618"/>
        <v>0</v>
      </c>
      <c r="R9034" s="21">
        <f t="shared" si="616"/>
        <v>0</v>
      </c>
      <c r="S9034" s="5">
        <f t="shared" si="619"/>
        <v>70007.077158325032</v>
      </c>
      <c r="T9034" cm="1">
        <f t="array" ref="T9034">IF(OR(B9034="MAL ALIMI", B9034="ÜRETİM GİRİŞ"), MIN(I9034, MAX(0, I9034 + SUM(SUMIFS($I$1:I9033, $C$1:C9033, C9034, $B$1:B9033, {"MAL ALIMI","ÜRETİM GİRİŞ"})) - VLOOKUP(C9034, 'STOK RAPORU'!$C$2:$I$1000, 4, 0))), 0)</f>
        <v>0</v>
      </c>
      <c r="U9034" s="22">
        <f t="shared" si="612"/>
        <v>0</v>
      </c>
      <c r="V9034">
        <f t="shared" si="613"/>
        <v>0</v>
      </c>
      <c r="W9034" s="22">
        <f t="shared" si="614"/>
        <v>0</v>
      </c>
    </row>
    <row r="9035" spans="1:23" hidden="1" x14ac:dyDescent="0.25">
      <c r="A9035" s="4"/>
      <c r="B9035" s="4"/>
      <c r="C9035" s="4"/>
      <c r="D9035" s="4"/>
      <c r="E9035" s="4"/>
      <c r="F9035" s="4"/>
      <c r="G9035" s="4"/>
      <c r="H9035" s="4"/>
      <c r="I9035" s="4"/>
      <c r="J9035" s="21">
        <f>IFERROR(VLOOKUP(C9035,'STOK KARTLARI'!$C$2:$K$2150,8,0),0)</f>
        <v>0</v>
      </c>
      <c r="K9035" s="21">
        <f t="shared" si="615"/>
        <v>0</v>
      </c>
      <c r="L9035" s="5">
        <f t="shared" si="617"/>
        <v>0</v>
      </c>
      <c r="M9035" s="4"/>
      <c r="N9035" s="4"/>
      <c r="O9035" s="5"/>
      <c r="P9035" s="5"/>
      <c r="Q9035" s="21">
        <f t="shared" si="618"/>
        <v>0</v>
      </c>
      <c r="R9035" s="21">
        <f t="shared" si="616"/>
        <v>0</v>
      </c>
      <c r="S9035" s="5">
        <f t="shared" si="619"/>
        <v>70007.077158325032</v>
      </c>
      <c r="T9035" cm="1">
        <f t="array" ref="T9035">IF(OR(B9035="MAL ALIMI", B9035="ÜRETİM GİRİŞ"), MIN(I9035, MAX(0, I9035 + SUM(SUMIFS($I$1:I9034, $C$1:C9034, C9035, $B$1:B9034, {"MAL ALIMI","ÜRETİM GİRİŞ"})) - VLOOKUP(C9035, 'STOK RAPORU'!$C$2:$I$1000, 4, 0))), 0)</f>
        <v>0</v>
      </c>
      <c r="U9035" s="22">
        <f t="shared" si="612"/>
        <v>0</v>
      </c>
      <c r="V9035">
        <f t="shared" si="613"/>
        <v>0</v>
      </c>
      <c r="W9035" s="22">
        <f t="shared" si="614"/>
        <v>0</v>
      </c>
    </row>
    <row r="9036" spans="1:23" hidden="1" x14ac:dyDescent="0.25">
      <c r="A9036" s="4"/>
      <c r="B9036" s="4"/>
      <c r="C9036" s="4"/>
      <c r="D9036" s="4"/>
      <c r="E9036" s="4"/>
      <c r="F9036" s="4"/>
      <c r="G9036" s="4"/>
      <c r="H9036" s="4"/>
      <c r="I9036" s="4"/>
      <c r="J9036" s="21">
        <f>IFERROR(VLOOKUP(C9036,'STOK KARTLARI'!$C$2:$K$2150,8,0),0)</f>
        <v>0</v>
      </c>
      <c r="K9036" s="21">
        <f t="shared" si="615"/>
        <v>0</v>
      </c>
      <c r="L9036" s="5">
        <f t="shared" si="617"/>
        <v>0</v>
      </c>
      <c r="M9036" s="4"/>
      <c r="N9036" s="4"/>
      <c r="O9036" s="5"/>
      <c r="P9036" s="5"/>
      <c r="Q9036" s="21">
        <f t="shared" si="618"/>
        <v>0</v>
      </c>
      <c r="R9036" s="21">
        <f t="shared" si="616"/>
        <v>0</v>
      </c>
      <c r="S9036" s="5">
        <f t="shared" si="619"/>
        <v>70007.077158325032</v>
      </c>
      <c r="T9036" cm="1">
        <f t="array" ref="T9036">IF(OR(B9036="MAL ALIMI", B9036="ÜRETİM GİRİŞ"), MIN(I9036, MAX(0, I9036 + SUM(SUMIFS($I$1:I9035, $C$1:C9035, C9036, $B$1:B9035, {"MAL ALIMI","ÜRETİM GİRİŞ"})) - VLOOKUP(C9036, 'STOK RAPORU'!$C$2:$I$1000, 4, 0))), 0)</f>
        <v>0</v>
      </c>
      <c r="U9036" s="22">
        <f t="shared" si="612"/>
        <v>0</v>
      </c>
      <c r="V9036">
        <f t="shared" si="613"/>
        <v>0</v>
      </c>
      <c r="W9036" s="22">
        <f t="shared" si="614"/>
        <v>0</v>
      </c>
    </row>
    <row r="9037" spans="1:23" hidden="1" x14ac:dyDescent="0.25">
      <c r="A9037" s="4"/>
      <c r="B9037" s="4"/>
      <c r="C9037" s="4"/>
      <c r="D9037" s="4"/>
      <c r="E9037" s="4"/>
      <c r="F9037" s="4"/>
      <c r="G9037" s="4"/>
      <c r="H9037" s="4"/>
      <c r="I9037" s="4"/>
      <c r="J9037" s="21">
        <f>IFERROR(VLOOKUP(C9037,'STOK KARTLARI'!$C$2:$K$2150,8,0),0)</f>
        <v>0</v>
      </c>
      <c r="K9037" s="21">
        <f t="shared" si="615"/>
        <v>0</v>
      </c>
      <c r="L9037" s="5">
        <f t="shared" si="617"/>
        <v>0</v>
      </c>
      <c r="M9037" s="4"/>
      <c r="N9037" s="4"/>
      <c r="O9037" s="5"/>
      <c r="P9037" s="5"/>
      <c r="Q9037" s="21">
        <f t="shared" si="618"/>
        <v>0</v>
      </c>
      <c r="R9037" s="21">
        <f t="shared" si="616"/>
        <v>0</v>
      </c>
      <c r="S9037" s="5">
        <f t="shared" si="619"/>
        <v>70007.077158325032</v>
      </c>
      <c r="T9037" cm="1">
        <f t="array" ref="T9037">IF(OR(B9037="MAL ALIMI", B9037="ÜRETİM GİRİŞ"), MIN(I9037, MAX(0, I9037 + SUM(SUMIFS($I$1:I9036, $C$1:C9036, C9037, $B$1:B9036, {"MAL ALIMI","ÜRETİM GİRİŞ"})) - VLOOKUP(C9037, 'STOK RAPORU'!$C$2:$I$1000, 4, 0))), 0)</f>
        <v>0</v>
      </c>
      <c r="U9037" s="22">
        <f t="shared" si="612"/>
        <v>0</v>
      </c>
      <c r="V9037">
        <f t="shared" si="613"/>
        <v>0</v>
      </c>
      <c r="W9037" s="22">
        <f t="shared" si="614"/>
        <v>0</v>
      </c>
    </row>
    <row r="9038" spans="1:23" hidden="1" x14ac:dyDescent="0.25">
      <c r="A9038" s="4"/>
      <c r="B9038" s="4"/>
      <c r="C9038" s="4"/>
      <c r="D9038" s="4"/>
      <c r="E9038" s="4"/>
      <c r="F9038" s="4"/>
      <c r="G9038" s="4"/>
      <c r="H9038" s="4"/>
      <c r="I9038" s="4"/>
      <c r="J9038" s="21">
        <f>IFERROR(VLOOKUP(C9038,'STOK KARTLARI'!$C$2:$K$2150,8,0),0)</f>
        <v>0</v>
      </c>
      <c r="K9038" s="21">
        <f t="shared" si="615"/>
        <v>0</v>
      </c>
      <c r="L9038" s="5">
        <f t="shared" si="617"/>
        <v>0</v>
      </c>
      <c r="M9038" s="4"/>
      <c r="N9038" s="4"/>
      <c r="O9038" s="5"/>
      <c r="P9038" s="5"/>
      <c r="Q9038" s="21">
        <f t="shared" si="618"/>
        <v>0</v>
      </c>
      <c r="R9038" s="21">
        <f t="shared" si="616"/>
        <v>0</v>
      </c>
      <c r="S9038" s="5">
        <f t="shared" si="619"/>
        <v>70007.077158325032</v>
      </c>
      <c r="T9038" cm="1">
        <f t="array" ref="T9038">IF(OR(B9038="MAL ALIMI", B9038="ÜRETİM GİRİŞ"), MIN(I9038, MAX(0, I9038 + SUM(SUMIFS($I$1:I9037, $C$1:C9037, C9038, $B$1:B9037, {"MAL ALIMI","ÜRETİM GİRİŞ"})) - VLOOKUP(C9038, 'STOK RAPORU'!$C$2:$I$1000, 4, 0))), 0)</f>
        <v>0</v>
      </c>
      <c r="U9038" s="22">
        <f t="shared" si="612"/>
        <v>0</v>
      </c>
      <c r="V9038">
        <f t="shared" si="613"/>
        <v>0</v>
      </c>
      <c r="W9038" s="22">
        <f t="shared" si="614"/>
        <v>0</v>
      </c>
    </row>
    <row r="9039" spans="1:23" hidden="1" x14ac:dyDescent="0.25">
      <c r="A9039" s="4"/>
      <c r="B9039" s="4"/>
      <c r="C9039" s="4"/>
      <c r="D9039" s="4"/>
      <c r="E9039" s="4"/>
      <c r="F9039" s="4"/>
      <c r="G9039" s="4"/>
      <c r="H9039" s="4"/>
      <c r="I9039" s="4"/>
      <c r="J9039" s="21">
        <f>IFERROR(VLOOKUP(C9039,'STOK KARTLARI'!$C$2:$K$2150,8,0),0)</f>
        <v>0</v>
      </c>
      <c r="K9039" s="21">
        <f t="shared" si="615"/>
        <v>0</v>
      </c>
      <c r="L9039" s="5">
        <f t="shared" si="617"/>
        <v>0</v>
      </c>
      <c r="M9039" s="4"/>
      <c r="N9039" s="4"/>
      <c r="O9039" s="5"/>
      <c r="P9039" s="5"/>
      <c r="Q9039" s="21">
        <f t="shared" si="618"/>
        <v>0</v>
      </c>
      <c r="R9039" s="21">
        <f t="shared" si="616"/>
        <v>0</v>
      </c>
      <c r="S9039" s="5">
        <f t="shared" si="619"/>
        <v>70007.077158325032</v>
      </c>
      <c r="T9039" cm="1">
        <f t="array" ref="T9039">IF(OR(B9039="MAL ALIMI", B9039="ÜRETİM GİRİŞ"), MIN(I9039, MAX(0, I9039 + SUM(SUMIFS($I$1:I9038, $C$1:C9038, C9039, $B$1:B9038, {"MAL ALIMI","ÜRETİM GİRİŞ"})) - VLOOKUP(C9039, 'STOK RAPORU'!$C$2:$I$1000, 4, 0))), 0)</f>
        <v>0</v>
      </c>
      <c r="U9039" s="22">
        <f t="shared" si="612"/>
        <v>0</v>
      </c>
      <c r="V9039">
        <f t="shared" si="613"/>
        <v>0</v>
      </c>
      <c r="W9039" s="22">
        <f t="shared" si="614"/>
        <v>0</v>
      </c>
    </row>
    <row r="9040" spans="1:23" hidden="1" x14ac:dyDescent="0.25">
      <c r="A9040" s="3"/>
      <c r="B9040" s="4"/>
      <c r="C9040" s="4"/>
      <c r="D9040" s="4"/>
      <c r="E9040" s="4"/>
      <c r="F9040" s="4"/>
      <c r="G9040" s="4"/>
      <c r="H9040" s="4"/>
      <c r="I9040" s="4"/>
      <c r="J9040" s="21">
        <f>IFERROR(VLOOKUP(C9040,'STOK KARTLARI'!$C$2:$K$2150,8,0),0)</f>
        <v>0</v>
      </c>
      <c r="K9040" s="21">
        <f t="shared" si="615"/>
        <v>0</v>
      </c>
      <c r="L9040" s="5">
        <f t="shared" si="617"/>
        <v>0</v>
      </c>
      <c r="M9040" s="4"/>
      <c r="N9040" s="4"/>
      <c r="O9040" s="5"/>
      <c r="P9040" s="5"/>
      <c r="Q9040" s="21">
        <f t="shared" si="618"/>
        <v>0</v>
      </c>
      <c r="R9040" s="21">
        <f t="shared" si="616"/>
        <v>0</v>
      </c>
      <c r="S9040" s="5">
        <f t="shared" si="619"/>
        <v>70007.077158325032</v>
      </c>
      <c r="T9040" cm="1">
        <f t="array" ref="T9040">IF(OR(B9040="MAL ALIMI", B9040="ÜRETİM GİRİŞ"), MIN(I9040, MAX(0, I9040 + SUM(SUMIFS($I$1:I9039, $C$1:C9039, C9040, $B$1:B9039, {"MAL ALIMI","ÜRETİM GİRİŞ"})) - VLOOKUP(C9040, 'STOK RAPORU'!$C$2:$I$1000, 4, 0))), 0)</f>
        <v>0</v>
      </c>
      <c r="U9040" s="22">
        <f t="shared" si="612"/>
        <v>0</v>
      </c>
      <c r="V9040">
        <f t="shared" si="613"/>
        <v>0</v>
      </c>
      <c r="W9040" s="22">
        <f t="shared" si="614"/>
        <v>0</v>
      </c>
    </row>
    <row r="9041" spans="1:23" hidden="1" x14ac:dyDescent="0.25">
      <c r="A9041" s="4"/>
      <c r="B9041" s="4"/>
      <c r="C9041" s="4"/>
      <c r="D9041" s="4"/>
      <c r="E9041" s="4"/>
      <c r="F9041" s="4"/>
      <c r="G9041" s="4"/>
      <c r="H9041" s="4"/>
      <c r="I9041" s="4"/>
      <c r="J9041" s="21">
        <f>IFERROR(VLOOKUP(C9041,'STOK KARTLARI'!$C$2:$K$2150,8,0),0)</f>
        <v>0</v>
      </c>
      <c r="K9041" s="21">
        <f t="shared" si="615"/>
        <v>0</v>
      </c>
      <c r="L9041" s="5">
        <f t="shared" si="617"/>
        <v>0</v>
      </c>
      <c r="M9041" s="4"/>
      <c r="N9041" s="4"/>
      <c r="O9041" s="5"/>
      <c r="P9041" s="5"/>
      <c r="Q9041" s="21">
        <f t="shared" si="618"/>
        <v>0</v>
      </c>
      <c r="R9041" s="21">
        <f t="shared" si="616"/>
        <v>0</v>
      </c>
      <c r="S9041" s="5">
        <f t="shared" si="619"/>
        <v>70007.077158325032</v>
      </c>
      <c r="T9041" cm="1">
        <f t="array" ref="T9041">IF(OR(B9041="MAL ALIMI", B9041="ÜRETİM GİRİŞ"), MIN(I9041, MAX(0, I9041 + SUM(SUMIFS($I$1:I9040, $C$1:C9040, C9041, $B$1:B9040, {"MAL ALIMI","ÜRETİM GİRİŞ"})) - VLOOKUP(C9041, 'STOK RAPORU'!$C$2:$I$1000, 4, 0))), 0)</f>
        <v>0</v>
      </c>
      <c r="U9041" s="22">
        <f t="shared" si="612"/>
        <v>0</v>
      </c>
      <c r="V9041">
        <f t="shared" si="613"/>
        <v>0</v>
      </c>
      <c r="W9041" s="22">
        <f t="shared" si="614"/>
        <v>0</v>
      </c>
    </row>
    <row r="9042" spans="1:23" hidden="1" x14ac:dyDescent="0.25">
      <c r="A9042" s="4"/>
      <c r="B9042" s="4"/>
      <c r="C9042" s="4"/>
      <c r="D9042" s="4"/>
      <c r="E9042" s="4"/>
      <c r="F9042" s="4"/>
      <c r="G9042" s="4"/>
      <c r="H9042" s="4"/>
      <c r="I9042" s="4"/>
      <c r="J9042" s="21">
        <f>IFERROR(VLOOKUP(C9042,'STOK KARTLARI'!$C$2:$K$2150,8,0),0)</f>
        <v>0</v>
      </c>
      <c r="K9042" s="21">
        <f t="shared" si="615"/>
        <v>0</v>
      </c>
      <c r="L9042" s="5">
        <f t="shared" si="617"/>
        <v>0</v>
      </c>
      <c r="M9042" s="4"/>
      <c r="N9042" s="4"/>
      <c r="O9042" s="5"/>
      <c r="P9042" s="5"/>
      <c r="Q9042" s="21">
        <f t="shared" si="618"/>
        <v>0</v>
      </c>
      <c r="R9042" s="21">
        <f t="shared" si="616"/>
        <v>0</v>
      </c>
      <c r="S9042" s="5">
        <f t="shared" si="619"/>
        <v>70007.077158325032</v>
      </c>
      <c r="T9042" cm="1">
        <f t="array" ref="T9042">IF(OR(B9042="MAL ALIMI", B9042="ÜRETİM GİRİŞ"), MIN(I9042, MAX(0, I9042 + SUM(SUMIFS($I$1:I9041, $C$1:C9041, C9042, $B$1:B9041, {"MAL ALIMI","ÜRETİM GİRİŞ"})) - VLOOKUP(C9042, 'STOK RAPORU'!$C$2:$I$1000, 4, 0))), 0)</f>
        <v>0</v>
      </c>
      <c r="U9042" s="22">
        <f t="shared" si="612"/>
        <v>0</v>
      </c>
      <c r="V9042">
        <f t="shared" si="613"/>
        <v>0</v>
      </c>
      <c r="W9042" s="22">
        <f t="shared" si="614"/>
        <v>0</v>
      </c>
    </row>
    <row r="9043" spans="1:23" hidden="1" x14ac:dyDescent="0.25">
      <c r="A9043" s="4"/>
      <c r="B9043" s="4"/>
      <c r="C9043" s="4"/>
      <c r="D9043" s="4"/>
      <c r="E9043" s="4"/>
      <c r="F9043" s="4"/>
      <c r="G9043" s="4"/>
      <c r="H9043" s="4"/>
      <c r="I9043" s="4"/>
      <c r="J9043" s="21">
        <f>IFERROR(VLOOKUP(C9043,'STOK KARTLARI'!$C$2:$K$2150,8,0),0)</f>
        <v>0</v>
      </c>
      <c r="K9043" s="21">
        <f t="shared" si="615"/>
        <v>0</v>
      </c>
      <c r="L9043" s="5">
        <f t="shared" si="617"/>
        <v>0</v>
      </c>
      <c r="M9043" s="4"/>
      <c r="N9043" s="4"/>
      <c r="O9043" s="5"/>
      <c r="P9043" s="5"/>
      <c r="Q9043" s="21">
        <f t="shared" si="618"/>
        <v>0</v>
      </c>
      <c r="R9043" s="21">
        <f t="shared" si="616"/>
        <v>0</v>
      </c>
      <c r="S9043" s="5">
        <f t="shared" si="619"/>
        <v>70007.077158325032</v>
      </c>
      <c r="T9043" cm="1">
        <f t="array" ref="T9043">IF(OR(B9043="MAL ALIMI", B9043="ÜRETİM GİRİŞ"), MIN(I9043, MAX(0, I9043 + SUM(SUMIFS($I$1:I9042, $C$1:C9042, C9043, $B$1:B9042, {"MAL ALIMI","ÜRETİM GİRİŞ"})) - VLOOKUP(C9043, 'STOK RAPORU'!$C$2:$I$1000, 4, 0))), 0)</f>
        <v>0</v>
      </c>
      <c r="U9043" s="22">
        <f t="shared" si="612"/>
        <v>0</v>
      </c>
      <c r="V9043">
        <f t="shared" si="613"/>
        <v>0</v>
      </c>
      <c r="W9043" s="22">
        <f t="shared" si="614"/>
        <v>0</v>
      </c>
    </row>
    <row r="9044" spans="1:23" hidden="1" x14ac:dyDescent="0.25">
      <c r="A9044" s="4"/>
      <c r="B9044" s="4"/>
      <c r="C9044" s="4"/>
      <c r="D9044" s="4"/>
      <c r="E9044" s="4"/>
      <c r="F9044" s="4"/>
      <c r="G9044" s="4"/>
      <c r="H9044" s="4"/>
      <c r="I9044" s="4"/>
      <c r="J9044" s="21">
        <f>IFERROR(VLOOKUP(C9044,'STOK KARTLARI'!$C$2:$K$2150,8,0),0)</f>
        <v>0</v>
      </c>
      <c r="K9044" s="21">
        <f t="shared" si="615"/>
        <v>0</v>
      </c>
      <c r="L9044" s="5">
        <f t="shared" si="617"/>
        <v>0</v>
      </c>
      <c r="M9044" s="4"/>
      <c r="N9044" s="4"/>
      <c r="O9044" s="5"/>
      <c r="P9044" s="5"/>
      <c r="Q9044" s="21">
        <f t="shared" si="618"/>
        <v>0</v>
      </c>
      <c r="R9044" s="21">
        <f t="shared" si="616"/>
        <v>0</v>
      </c>
      <c r="S9044" s="5">
        <f t="shared" si="619"/>
        <v>70007.077158325032</v>
      </c>
      <c r="T9044" cm="1">
        <f t="array" ref="T9044">IF(OR(B9044="MAL ALIMI", B9044="ÜRETİM GİRİŞ"), MIN(I9044, MAX(0, I9044 + SUM(SUMIFS($I$1:I9043, $C$1:C9043, C9044, $B$1:B9043, {"MAL ALIMI","ÜRETİM GİRİŞ"})) - VLOOKUP(C9044, 'STOK RAPORU'!$C$2:$I$1000, 4, 0))), 0)</f>
        <v>0</v>
      </c>
      <c r="U9044" s="22">
        <f t="shared" si="612"/>
        <v>0</v>
      </c>
      <c r="V9044">
        <f t="shared" si="613"/>
        <v>0</v>
      </c>
      <c r="W9044" s="22">
        <f t="shared" si="614"/>
        <v>0</v>
      </c>
    </row>
    <row r="9045" spans="1:23" hidden="1" x14ac:dyDescent="0.25">
      <c r="A9045" s="4"/>
      <c r="B9045" s="4"/>
      <c r="C9045" s="4"/>
      <c r="D9045" s="4"/>
      <c r="E9045" s="4"/>
      <c r="F9045" s="4"/>
      <c r="G9045" s="4"/>
      <c r="H9045" s="4"/>
      <c r="I9045" s="4"/>
      <c r="J9045" s="21">
        <f>IFERROR(VLOOKUP(C9045,'STOK KARTLARI'!$C$2:$K$2150,8,0),0)</f>
        <v>0</v>
      </c>
      <c r="K9045" s="21">
        <f t="shared" si="615"/>
        <v>0</v>
      </c>
      <c r="L9045" s="5">
        <f t="shared" si="617"/>
        <v>0</v>
      </c>
      <c r="M9045" s="4"/>
      <c r="N9045" s="4"/>
      <c r="O9045" s="5"/>
      <c r="P9045" s="5"/>
      <c r="Q9045" s="21">
        <f t="shared" si="618"/>
        <v>0</v>
      </c>
      <c r="R9045" s="21">
        <f t="shared" si="616"/>
        <v>0</v>
      </c>
      <c r="S9045" s="5">
        <f t="shared" si="619"/>
        <v>70007.077158325032</v>
      </c>
      <c r="T9045" cm="1">
        <f t="array" ref="T9045">IF(OR(B9045="MAL ALIMI", B9045="ÜRETİM GİRİŞ"), MIN(I9045, MAX(0, I9045 + SUM(SUMIFS($I$1:I9044, $C$1:C9044, C9045, $B$1:B9044, {"MAL ALIMI","ÜRETİM GİRİŞ"})) - VLOOKUP(C9045, 'STOK RAPORU'!$C$2:$I$1000, 4, 0))), 0)</f>
        <v>0</v>
      </c>
      <c r="U9045" s="22">
        <f t="shared" si="612"/>
        <v>0</v>
      </c>
      <c r="V9045">
        <f t="shared" si="613"/>
        <v>0</v>
      </c>
      <c r="W9045" s="22">
        <f t="shared" si="614"/>
        <v>0</v>
      </c>
    </row>
    <row r="9046" spans="1:23" hidden="1" x14ac:dyDescent="0.25">
      <c r="A9046" s="4"/>
      <c r="B9046" s="4"/>
      <c r="C9046" s="4"/>
      <c r="D9046" s="4"/>
      <c r="E9046" s="4"/>
      <c r="F9046" s="4"/>
      <c r="G9046" s="4"/>
      <c r="H9046" s="4"/>
      <c r="I9046" s="4"/>
      <c r="J9046" s="21">
        <f>IFERROR(VLOOKUP(C9046,'STOK KARTLARI'!$C$2:$K$2150,8,0),0)</f>
        <v>0</v>
      </c>
      <c r="K9046" s="21">
        <f t="shared" si="615"/>
        <v>0</v>
      </c>
      <c r="L9046" s="5">
        <f t="shared" si="617"/>
        <v>0</v>
      </c>
      <c r="M9046" s="4"/>
      <c r="N9046" s="4"/>
      <c r="O9046" s="5"/>
      <c r="P9046" s="5"/>
      <c r="Q9046" s="21">
        <f t="shared" si="618"/>
        <v>0</v>
      </c>
      <c r="R9046" s="21">
        <f t="shared" si="616"/>
        <v>0</v>
      </c>
      <c r="S9046" s="5">
        <f t="shared" si="619"/>
        <v>70007.077158325032</v>
      </c>
      <c r="T9046" cm="1">
        <f t="array" ref="T9046">IF(OR(B9046="MAL ALIMI", B9046="ÜRETİM GİRİŞ"), MIN(I9046, MAX(0, I9046 + SUM(SUMIFS($I$1:I9045, $C$1:C9045, C9046, $B$1:B9045, {"MAL ALIMI","ÜRETİM GİRİŞ"})) - VLOOKUP(C9046, 'STOK RAPORU'!$C$2:$I$1000, 4, 0))), 0)</f>
        <v>0</v>
      </c>
      <c r="U9046" s="22">
        <f t="shared" si="612"/>
        <v>0</v>
      </c>
      <c r="V9046">
        <f t="shared" si="613"/>
        <v>0</v>
      </c>
      <c r="W9046" s="22">
        <f t="shared" si="614"/>
        <v>0</v>
      </c>
    </row>
    <row r="9047" spans="1:23" hidden="1" x14ac:dyDescent="0.25">
      <c r="A9047" s="3"/>
      <c r="B9047" s="4"/>
      <c r="C9047" s="4"/>
      <c r="D9047" s="4"/>
      <c r="E9047" s="4"/>
      <c r="F9047" s="4"/>
      <c r="G9047" s="4"/>
      <c r="H9047" s="4"/>
      <c r="I9047" s="4"/>
      <c r="J9047" s="21">
        <f>IFERROR(VLOOKUP(C9047,'STOK KARTLARI'!$C$2:$K$2150,8,0),0)</f>
        <v>0</v>
      </c>
      <c r="K9047" s="21">
        <f t="shared" si="615"/>
        <v>0</v>
      </c>
      <c r="L9047" s="5">
        <f t="shared" si="617"/>
        <v>0</v>
      </c>
      <c r="M9047" s="4"/>
      <c r="N9047" s="4"/>
      <c r="O9047" s="5"/>
      <c r="P9047" s="5"/>
      <c r="Q9047" s="21">
        <f t="shared" si="618"/>
        <v>0</v>
      </c>
      <c r="R9047" s="21">
        <f t="shared" si="616"/>
        <v>0</v>
      </c>
      <c r="S9047" s="5">
        <f t="shared" si="619"/>
        <v>70007.077158325032</v>
      </c>
      <c r="T9047" cm="1">
        <f t="array" ref="T9047">IF(OR(B9047="MAL ALIMI", B9047="ÜRETİM GİRİŞ"), MIN(I9047, MAX(0, I9047 + SUM(SUMIFS($I$1:I9046, $C$1:C9046, C9047, $B$1:B9046, {"MAL ALIMI","ÜRETİM GİRİŞ"})) - VLOOKUP(C9047, 'STOK RAPORU'!$C$2:$I$1000, 4, 0))), 0)</f>
        <v>0</v>
      </c>
      <c r="U9047" s="22">
        <f t="shared" si="612"/>
        <v>0</v>
      </c>
      <c r="V9047">
        <f t="shared" si="613"/>
        <v>0</v>
      </c>
      <c r="W9047" s="22">
        <f t="shared" si="614"/>
        <v>0</v>
      </c>
    </row>
    <row r="9048" spans="1:23" hidden="1" x14ac:dyDescent="0.25">
      <c r="A9048" s="4"/>
      <c r="B9048" s="4"/>
      <c r="C9048" s="4"/>
      <c r="D9048" s="4"/>
      <c r="E9048" s="4"/>
      <c r="F9048" s="4"/>
      <c r="G9048" s="4"/>
      <c r="H9048" s="4"/>
      <c r="I9048" s="4"/>
      <c r="J9048" s="21">
        <f>IFERROR(VLOOKUP(C9048,'STOK KARTLARI'!$C$2:$K$2150,8,0),0)</f>
        <v>0</v>
      </c>
      <c r="K9048" s="21">
        <f t="shared" si="615"/>
        <v>0</v>
      </c>
      <c r="L9048" s="5">
        <f t="shared" si="617"/>
        <v>0</v>
      </c>
      <c r="M9048" s="4"/>
      <c r="N9048" s="4"/>
      <c r="O9048" s="5"/>
      <c r="P9048" s="5"/>
      <c r="Q9048" s="21">
        <f t="shared" si="618"/>
        <v>0</v>
      </c>
      <c r="R9048" s="21">
        <f t="shared" si="616"/>
        <v>0</v>
      </c>
      <c r="S9048" s="5">
        <f t="shared" si="619"/>
        <v>70007.077158325032</v>
      </c>
      <c r="T9048" cm="1">
        <f t="array" ref="T9048">IF(OR(B9048="MAL ALIMI", B9048="ÜRETİM GİRİŞ"), MIN(I9048, MAX(0, I9048 + SUM(SUMIFS($I$1:I9047, $C$1:C9047, C9048, $B$1:B9047, {"MAL ALIMI","ÜRETİM GİRİŞ"})) - VLOOKUP(C9048, 'STOK RAPORU'!$C$2:$I$1000, 4, 0))), 0)</f>
        <v>0</v>
      </c>
      <c r="U9048" s="22">
        <f t="shared" si="612"/>
        <v>0</v>
      </c>
      <c r="V9048">
        <f t="shared" si="613"/>
        <v>0</v>
      </c>
      <c r="W9048" s="22">
        <f t="shared" si="614"/>
        <v>0</v>
      </c>
    </row>
    <row r="9049" spans="1:23" hidden="1" x14ac:dyDescent="0.25">
      <c r="A9049" s="4"/>
      <c r="B9049" s="4"/>
      <c r="C9049" s="4"/>
      <c r="D9049" s="4"/>
      <c r="E9049" s="4"/>
      <c r="F9049" s="4"/>
      <c r="G9049" s="4"/>
      <c r="H9049" s="4"/>
      <c r="I9049" s="4"/>
      <c r="J9049" s="21">
        <f>IFERROR(VLOOKUP(C9049,'STOK KARTLARI'!$C$2:$K$2150,8,0),0)</f>
        <v>0</v>
      </c>
      <c r="K9049" s="21">
        <f t="shared" si="615"/>
        <v>0</v>
      </c>
      <c r="L9049" s="5">
        <f t="shared" si="617"/>
        <v>0</v>
      </c>
      <c r="M9049" s="4"/>
      <c r="N9049" s="4"/>
      <c r="O9049" s="5"/>
      <c r="P9049" s="5"/>
      <c r="Q9049" s="21">
        <f t="shared" si="618"/>
        <v>0</v>
      </c>
      <c r="R9049" s="21">
        <f t="shared" si="616"/>
        <v>0</v>
      </c>
      <c r="S9049" s="5">
        <f t="shared" si="619"/>
        <v>70007.077158325032</v>
      </c>
      <c r="T9049" cm="1">
        <f t="array" ref="T9049">IF(OR(B9049="MAL ALIMI", B9049="ÜRETİM GİRİŞ"), MIN(I9049, MAX(0, I9049 + SUM(SUMIFS($I$1:I9048, $C$1:C9048, C9049, $B$1:B9048, {"MAL ALIMI","ÜRETİM GİRİŞ"})) - VLOOKUP(C9049, 'STOK RAPORU'!$C$2:$I$1000, 4, 0))), 0)</f>
        <v>0</v>
      </c>
      <c r="U9049" s="22">
        <f t="shared" si="612"/>
        <v>0</v>
      </c>
      <c r="V9049">
        <f t="shared" si="613"/>
        <v>0</v>
      </c>
      <c r="W9049" s="22">
        <f t="shared" si="614"/>
        <v>0</v>
      </c>
    </row>
    <row r="9050" spans="1:23" hidden="1" x14ac:dyDescent="0.25">
      <c r="A9050" s="4"/>
      <c r="B9050" s="4"/>
      <c r="C9050" s="4"/>
      <c r="D9050" s="4"/>
      <c r="E9050" s="4"/>
      <c r="F9050" s="4"/>
      <c r="G9050" s="4"/>
      <c r="H9050" s="4"/>
      <c r="I9050" s="4"/>
      <c r="J9050" s="21">
        <f>IFERROR(VLOOKUP(C9050,'STOK KARTLARI'!$C$2:$K$2150,8,0),0)</f>
        <v>0</v>
      </c>
      <c r="K9050" s="21">
        <f t="shared" si="615"/>
        <v>0</v>
      </c>
      <c r="L9050" s="5">
        <f t="shared" si="617"/>
        <v>0</v>
      </c>
      <c r="M9050" s="4"/>
      <c r="N9050" s="4"/>
      <c r="O9050" s="5"/>
      <c r="P9050" s="5"/>
      <c r="Q9050" s="21">
        <f t="shared" si="618"/>
        <v>0</v>
      </c>
      <c r="R9050" s="21">
        <f t="shared" si="616"/>
        <v>0</v>
      </c>
      <c r="S9050" s="5">
        <f t="shared" si="619"/>
        <v>70007.077158325032</v>
      </c>
      <c r="T9050" cm="1">
        <f t="array" ref="T9050">IF(OR(B9050="MAL ALIMI", B9050="ÜRETİM GİRİŞ"), MIN(I9050, MAX(0, I9050 + SUM(SUMIFS($I$1:I9049, $C$1:C9049, C9050, $B$1:B9049, {"MAL ALIMI","ÜRETİM GİRİŞ"})) - VLOOKUP(C9050, 'STOK RAPORU'!$C$2:$I$1000, 4, 0))), 0)</f>
        <v>0</v>
      </c>
      <c r="U9050" s="22">
        <f t="shared" si="612"/>
        <v>0</v>
      </c>
      <c r="V9050">
        <f t="shared" si="613"/>
        <v>0</v>
      </c>
      <c r="W9050" s="22">
        <f t="shared" si="614"/>
        <v>0</v>
      </c>
    </row>
    <row r="9051" spans="1:23" hidden="1" x14ac:dyDescent="0.25">
      <c r="A9051" s="4"/>
      <c r="B9051" s="4"/>
      <c r="C9051" s="4"/>
      <c r="D9051" s="4"/>
      <c r="E9051" s="4"/>
      <c r="F9051" s="4"/>
      <c r="G9051" s="4"/>
      <c r="H9051" s="4"/>
      <c r="I9051" s="4"/>
      <c r="J9051" s="21">
        <f>IFERROR(VLOOKUP(C9051,'STOK KARTLARI'!$C$2:$K$2150,8,0),0)</f>
        <v>0</v>
      </c>
      <c r="K9051" s="21">
        <f t="shared" si="615"/>
        <v>0</v>
      </c>
      <c r="L9051" s="5">
        <f t="shared" si="617"/>
        <v>0</v>
      </c>
      <c r="M9051" s="4"/>
      <c r="N9051" s="4"/>
      <c r="O9051" s="5"/>
      <c r="P9051" s="5"/>
      <c r="Q9051" s="21">
        <f t="shared" si="618"/>
        <v>0</v>
      </c>
      <c r="R9051" s="21">
        <f t="shared" si="616"/>
        <v>0</v>
      </c>
      <c r="S9051" s="5">
        <f t="shared" si="619"/>
        <v>70007.077158325032</v>
      </c>
      <c r="T9051" cm="1">
        <f t="array" ref="T9051">IF(OR(B9051="MAL ALIMI", B9051="ÜRETİM GİRİŞ"), MIN(I9051, MAX(0, I9051 + SUM(SUMIFS($I$1:I9050, $C$1:C9050, C9051, $B$1:B9050, {"MAL ALIMI","ÜRETİM GİRİŞ"})) - VLOOKUP(C9051, 'STOK RAPORU'!$C$2:$I$1000, 4, 0))), 0)</f>
        <v>0</v>
      </c>
      <c r="U9051" s="22">
        <f t="shared" si="612"/>
        <v>0</v>
      </c>
      <c r="V9051">
        <f t="shared" si="613"/>
        <v>0</v>
      </c>
      <c r="W9051" s="22">
        <f t="shared" si="614"/>
        <v>0</v>
      </c>
    </row>
    <row r="9052" spans="1:23" hidden="1" x14ac:dyDescent="0.25">
      <c r="A9052" s="4"/>
      <c r="B9052" s="4"/>
      <c r="C9052" s="4"/>
      <c r="D9052" s="4"/>
      <c r="E9052" s="4"/>
      <c r="F9052" s="4"/>
      <c r="G9052" s="4"/>
      <c r="H9052" s="4"/>
      <c r="I9052" s="4"/>
      <c r="J9052" s="21">
        <f>IFERROR(VLOOKUP(C9052,'STOK KARTLARI'!$C$2:$K$2150,8,0),0)</f>
        <v>0</v>
      </c>
      <c r="K9052" s="21">
        <f t="shared" si="615"/>
        <v>0</v>
      </c>
      <c r="L9052" s="5">
        <f t="shared" si="617"/>
        <v>0</v>
      </c>
      <c r="M9052" s="4"/>
      <c r="N9052" s="4"/>
      <c r="O9052" s="5"/>
      <c r="P9052" s="5"/>
      <c r="Q9052" s="21">
        <f t="shared" si="618"/>
        <v>0</v>
      </c>
      <c r="R9052" s="21">
        <f t="shared" si="616"/>
        <v>0</v>
      </c>
      <c r="S9052" s="5">
        <f t="shared" si="619"/>
        <v>70007.077158325032</v>
      </c>
      <c r="T9052" cm="1">
        <f t="array" ref="T9052">IF(OR(B9052="MAL ALIMI", B9052="ÜRETİM GİRİŞ"), MIN(I9052, MAX(0, I9052 + SUM(SUMIFS($I$1:I9051, $C$1:C9051, C9052, $B$1:B9051, {"MAL ALIMI","ÜRETİM GİRİŞ"})) - VLOOKUP(C9052, 'STOK RAPORU'!$C$2:$I$1000, 4, 0))), 0)</f>
        <v>0</v>
      </c>
      <c r="U9052" s="22">
        <f t="shared" si="612"/>
        <v>0</v>
      </c>
      <c r="V9052">
        <f t="shared" si="613"/>
        <v>0</v>
      </c>
      <c r="W9052" s="22">
        <f t="shared" si="614"/>
        <v>0</v>
      </c>
    </row>
    <row r="9053" spans="1:23" hidden="1" x14ac:dyDescent="0.25">
      <c r="A9053" s="4"/>
      <c r="B9053" s="4"/>
      <c r="C9053" s="4"/>
      <c r="D9053" s="4"/>
      <c r="E9053" s="4"/>
      <c r="F9053" s="4"/>
      <c r="G9053" s="4"/>
      <c r="H9053" s="4"/>
      <c r="I9053" s="4"/>
      <c r="J9053" s="21">
        <f>IFERROR(VLOOKUP(C9053,'STOK KARTLARI'!$C$2:$K$2150,8,0),0)</f>
        <v>0</v>
      </c>
      <c r="K9053" s="21">
        <f t="shared" si="615"/>
        <v>0</v>
      </c>
      <c r="L9053" s="5">
        <f t="shared" si="617"/>
        <v>0</v>
      </c>
      <c r="M9053" s="4"/>
      <c r="N9053" s="4"/>
      <c r="O9053" s="5"/>
      <c r="P9053" s="5"/>
      <c r="Q9053" s="21">
        <f t="shared" si="618"/>
        <v>0</v>
      </c>
      <c r="R9053" s="21">
        <f t="shared" si="616"/>
        <v>0</v>
      </c>
      <c r="S9053" s="5">
        <f t="shared" si="619"/>
        <v>70007.077158325032</v>
      </c>
      <c r="T9053" cm="1">
        <f t="array" ref="T9053">IF(OR(B9053="MAL ALIMI", B9053="ÜRETİM GİRİŞ"), MIN(I9053, MAX(0, I9053 + SUM(SUMIFS($I$1:I9052, $C$1:C9052, C9053, $B$1:B9052, {"MAL ALIMI","ÜRETİM GİRİŞ"})) - VLOOKUP(C9053, 'STOK RAPORU'!$C$2:$I$1000, 4, 0))), 0)</f>
        <v>0</v>
      </c>
      <c r="U9053" s="22">
        <f t="shared" si="612"/>
        <v>0</v>
      </c>
      <c r="V9053">
        <f t="shared" si="613"/>
        <v>0</v>
      </c>
      <c r="W9053" s="22">
        <f t="shared" si="614"/>
        <v>0</v>
      </c>
    </row>
    <row r="9054" spans="1:23" hidden="1" x14ac:dyDescent="0.25">
      <c r="A9054" s="3"/>
      <c r="B9054" s="4"/>
      <c r="C9054" s="4"/>
      <c r="D9054" s="4"/>
      <c r="E9054" s="4"/>
      <c r="F9054" s="4"/>
      <c r="G9054" s="4"/>
      <c r="H9054" s="4"/>
      <c r="I9054" s="4"/>
      <c r="J9054" s="21">
        <f>IFERROR(VLOOKUP(C9054,'STOK KARTLARI'!$C$2:$K$2150,8,0),0)</f>
        <v>0</v>
      </c>
      <c r="K9054" s="21">
        <f t="shared" si="615"/>
        <v>0</v>
      </c>
      <c r="L9054" s="5">
        <f t="shared" si="617"/>
        <v>0</v>
      </c>
      <c r="M9054" s="4"/>
      <c r="N9054" s="4"/>
      <c r="O9054" s="5"/>
      <c r="P9054" s="5"/>
      <c r="Q9054" s="21">
        <f t="shared" si="618"/>
        <v>0</v>
      </c>
      <c r="R9054" s="21">
        <f t="shared" si="616"/>
        <v>0</v>
      </c>
      <c r="S9054" s="5">
        <f t="shared" si="619"/>
        <v>70007.077158325032</v>
      </c>
      <c r="T9054" cm="1">
        <f t="array" ref="T9054">IF(OR(B9054="MAL ALIMI", B9054="ÜRETİM GİRİŞ"), MIN(I9054, MAX(0, I9054 + SUM(SUMIFS($I$1:I9053, $C$1:C9053, C9054, $B$1:B9053, {"MAL ALIMI","ÜRETİM GİRİŞ"})) - VLOOKUP(C9054, 'STOK RAPORU'!$C$2:$I$1000, 4, 0))), 0)</f>
        <v>0</v>
      </c>
      <c r="U9054" s="22">
        <f t="shared" si="612"/>
        <v>0</v>
      </c>
      <c r="V9054">
        <f t="shared" si="613"/>
        <v>0</v>
      </c>
      <c r="W9054" s="22">
        <f t="shared" si="614"/>
        <v>0</v>
      </c>
    </row>
    <row r="9055" spans="1:23" hidden="1" x14ac:dyDescent="0.25">
      <c r="A9055" s="4"/>
      <c r="B9055" s="4"/>
      <c r="C9055" s="4"/>
      <c r="D9055" s="4"/>
      <c r="E9055" s="4"/>
      <c r="F9055" s="4"/>
      <c r="G9055" s="4"/>
      <c r="H9055" s="4"/>
      <c r="I9055" s="4"/>
      <c r="J9055" s="21">
        <f>IFERROR(VLOOKUP(C9055,'STOK KARTLARI'!$C$2:$K$2150,8,0),0)</f>
        <v>0</v>
      </c>
      <c r="K9055" s="21">
        <f t="shared" si="615"/>
        <v>0</v>
      </c>
      <c r="L9055" s="5">
        <f t="shared" si="617"/>
        <v>0</v>
      </c>
      <c r="M9055" s="4"/>
      <c r="N9055" s="4"/>
      <c r="O9055" s="5"/>
      <c r="P9055" s="5"/>
      <c r="Q9055" s="21">
        <f t="shared" si="618"/>
        <v>0</v>
      </c>
      <c r="R9055" s="21">
        <f t="shared" si="616"/>
        <v>0</v>
      </c>
      <c r="S9055" s="5">
        <f t="shared" si="619"/>
        <v>70007.077158325032</v>
      </c>
      <c r="T9055" cm="1">
        <f t="array" ref="T9055">IF(OR(B9055="MAL ALIMI", B9055="ÜRETİM GİRİŞ"), MIN(I9055, MAX(0, I9055 + SUM(SUMIFS($I$1:I9054, $C$1:C9054, C9055, $B$1:B9054, {"MAL ALIMI","ÜRETİM GİRİŞ"})) - VLOOKUP(C9055, 'STOK RAPORU'!$C$2:$I$1000, 4, 0))), 0)</f>
        <v>0</v>
      </c>
      <c r="U9055" s="22">
        <f t="shared" si="612"/>
        <v>0</v>
      </c>
      <c r="V9055">
        <f t="shared" si="613"/>
        <v>0</v>
      </c>
      <c r="W9055" s="22">
        <f t="shared" si="614"/>
        <v>0</v>
      </c>
    </row>
    <row r="9056" spans="1:23" hidden="1" x14ac:dyDescent="0.25">
      <c r="A9056" s="4"/>
      <c r="B9056" s="4"/>
      <c r="C9056" s="4"/>
      <c r="D9056" s="4"/>
      <c r="E9056" s="4"/>
      <c r="F9056" s="4"/>
      <c r="G9056" s="4"/>
      <c r="H9056" s="4"/>
      <c r="I9056" s="4"/>
      <c r="J9056" s="21">
        <f>IFERROR(VLOOKUP(C9056,'STOK KARTLARI'!$C$2:$K$2150,8,0),0)</f>
        <v>0</v>
      </c>
      <c r="K9056" s="21">
        <f t="shared" si="615"/>
        <v>0</v>
      </c>
      <c r="L9056" s="5">
        <f t="shared" si="617"/>
        <v>0</v>
      </c>
      <c r="M9056" s="4"/>
      <c r="N9056" s="4"/>
      <c r="O9056" s="5"/>
      <c r="P9056" s="5"/>
      <c r="Q9056" s="21">
        <f t="shared" si="618"/>
        <v>0</v>
      </c>
      <c r="R9056" s="21">
        <f t="shared" si="616"/>
        <v>0</v>
      </c>
      <c r="S9056" s="5">
        <f t="shared" si="619"/>
        <v>70007.077158325032</v>
      </c>
      <c r="T9056" cm="1">
        <f t="array" ref="T9056">IF(OR(B9056="MAL ALIMI", B9056="ÜRETİM GİRİŞ"), MIN(I9056, MAX(0, I9056 + SUM(SUMIFS($I$1:I9055, $C$1:C9055, C9056, $B$1:B9055, {"MAL ALIMI","ÜRETİM GİRİŞ"})) - VLOOKUP(C9056, 'STOK RAPORU'!$C$2:$I$1000, 4, 0))), 0)</f>
        <v>0</v>
      </c>
      <c r="U9056" s="22">
        <f t="shared" si="612"/>
        <v>0</v>
      </c>
      <c r="V9056">
        <f t="shared" si="613"/>
        <v>0</v>
      </c>
      <c r="W9056" s="22">
        <f t="shared" si="614"/>
        <v>0</v>
      </c>
    </row>
    <row r="9057" spans="1:23" hidden="1" x14ac:dyDescent="0.25">
      <c r="A9057" s="4"/>
      <c r="B9057" s="4"/>
      <c r="C9057" s="4"/>
      <c r="D9057" s="4"/>
      <c r="E9057" s="4"/>
      <c r="F9057" s="4"/>
      <c r="G9057" s="4"/>
      <c r="H9057" s="4"/>
      <c r="I9057" s="4"/>
      <c r="J9057" s="21">
        <f>IFERROR(VLOOKUP(C9057,'STOK KARTLARI'!$C$2:$K$2150,8,0),0)</f>
        <v>0</v>
      </c>
      <c r="K9057" s="21">
        <f t="shared" si="615"/>
        <v>0</v>
      </c>
      <c r="L9057" s="5">
        <f t="shared" si="617"/>
        <v>0</v>
      </c>
      <c r="M9057" s="4"/>
      <c r="N9057" s="4"/>
      <c r="O9057" s="5"/>
      <c r="P9057" s="5"/>
      <c r="Q9057" s="21">
        <f t="shared" si="618"/>
        <v>0</v>
      </c>
      <c r="R9057" s="21">
        <f t="shared" si="616"/>
        <v>0</v>
      </c>
      <c r="S9057" s="5">
        <f t="shared" si="619"/>
        <v>70007.077158325032</v>
      </c>
      <c r="T9057" cm="1">
        <f t="array" ref="T9057">IF(OR(B9057="MAL ALIMI", B9057="ÜRETİM GİRİŞ"), MIN(I9057, MAX(0, I9057 + SUM(SUMIFS($I$1:I9056, $C$1:C9056, C9057, $B$1:B9056, {"MAL ALIMI","ÜRETİM GİRİŞ"})) - VLOOKUP(C9057, 'STOK RAPORU'!$C$2:$I$1000, 4, 0))), 0)</f>
        <v>0</v>
      </c>
      <c r="U9057" s="22">
        <f t="shared" si="612"/>
        <v>0</v>
      </c>
      <c r="V9057">
        <f t="shared" si="613"/>
        <v>0</v>
      </c>
      <c r="W9057" s="22">
        <f t="shared" si="614"/>
        <v>0</v>
      </c>
    </row>
    <row r="9058" spans="1:23" hidden="1" x14ac:dyDescent="0.25">
      <c r="A9058" s="4"/>
      <c r="B9058" s="4"/>
      <c r="C9058" s="4"/>
      <c r="D9058" s="4"/>
      <c r="E9058" s="4"/>
      <c r="F9058" s="4"/>
      <c r="G9058" s="4"/>
      <c r="H9058" s="4"/>
      <c r="I9058" s="4"/>
      <c r="J9058" s="21">
        <f>IFERROR(VLOOKUP(C9058,'STOK KARTLARI'!$C$2:$K$2150,8,0),0)</f>
        <v>0</v>
      </c>
      <c r="K9058" s="21">
        <f t="shared" si="615"/>
        <v>0</v>
      </c>
      <c r="L9058" s="5">
        <f t="shared" si="617"/>
        <v>0</v>
      </c>
      <c r="M9058" s="4"/>
      <c r="N9058" s="4"/>
      <c r="O9058" s="5"/>
      <c r="P9058" s="5"/>
      <c r="Q9058" s="21">
        <f t="shared" si="618"/>
        <v>0</v>
      </c>
      <c r="R9058" s="21">
        <f t="shared" si="616"/>
        <v>0</v>
      </c>
      <c r="S9058" s="5">
        <f t="shared" si="619"/>
        <v>70007.077158325032</v>
      </c>
      <c r="T9058" cm="1">
        <f t="array" ref="T9058">IF(OR(B9058="MAL ALIMI", B9058="ÜRETİM GİRİŞ"), MIN(I9058, MAX(0, I9058 + SUM(SUMIFS($I$1:I9057, $C$1:C9057, C9058, $B$1:B9057, {"MAL ALIMI","ÜRETİM GİRİŞ"})) - VLOOKUP(C9058, 'STOK RAPORU'!$C$2:$I$1000, 4, 0))), 0)</f>
        <v>0</v>
      </c>
      <c r="U9058" s="22">
        <f t="shared" si="612"/>
        <v>0</v>
      </c>
      <c r="V9058">
        <f t="shared" si="613"/>
        <v>0</v>
      </c>
      <c r="W9058" s="22">
        <f t="shared" si="614"/>
        <v>0</v>
      </c>
    </row>
    <row r="9059" spans="1:23" hidden="1" x14ac:dyDescent="0.25">
      <c r="A9059" s="4"/>
      <c r="B9059" s="4"/>
      <c r="C9059" s="4"/>
      <c r="D9059" s="4"/>
      <c r="E9059" s="4"/>
      <c r="F9059" s="4"/>
      <c r="G9059" s="4"/>
      <c r="H9059" s="4"/>
      <c r="I9059" s="4"/>
      <c r="J9059" s="21">
        <f>IFERROR(VLOOKUP(C9059,'STOK KARTLARI'!$C$2:$K$2150,8,0),0)</f>
        <v>0</v>
      </c>
      <c r="K9059" s="21">
        <f t="shared" si="615"/>
        <v>0</v>
      </c>
      <c r="L9059" s="5">
        <f t="shared" si="617"/>
        <v>0</v>
      </c>
      <c r="M9059" s="4"/>
      <c r="N9059" s="4"/>
      <c r="O9059" s="5"/>
      <c r="P9059" s="5"/>
      <c r="Q9059" s="21">
        <f t="shared" si="618"/>
        <v>0</v>
      </c>
      <c r="R9059" s="21">
        <f t="shared" si="616"/>
        <v>0</v>
      </c>
      <c r="S9059" s="5">
        <f t="shared" si="619"/>
        <v>70007.077158325032</v>
      </c>
      <c r="T9059" cm="1">
        <f t="array" ref="T9059">IF(OR(B9059="MAL ALIMI", B9059="ÜRETİM GİRİŞ"), MIN(I9059, MAX(0, I9059 + SUM(SUMIFS($I$1:I9058, $C$1:C9058, C9059, $B$1:B9058, {"MAL ALIMI","ÜRETİM GİRİŞ"})) - VLOOKUP(C9059, 'STOK RAPORU'!$C$2:$I$1000, 4, 0))), 0)</f>
        <v>0</v>
      </c>
      <c r="U9059" s="22">
        <f t="shared" si="612"/>
        <v>0</v>
      </c>
      <c r="V9059">
        <f t="shared" si="613"/>
        <v>0</v>
      </c>
      <c r="W9059" s="22">
        <f t="shared" si="614"/>
        <v>0</v>
      </c>
    </row>
    <row r="9060" spans="1:23" hidden="1" x14ac:dyDescent="0.25">
      <c r="A9060" s="4"/>
      <c r="B9060" s="4"/>
      <c r="C9060" s="4"/>
      <c r="D9060" s="4"/>
      <c r="E9060" s="4"/>
      <c r="F9060" s="4"/>
      <c r="G9060" s="4"/>
      <c r="H9060" s="4"/>
      <c r="I9060" s="4"/>
      <c r="J9060" s="21">
        <f>IFERROR(VLOOKUP(C9060,'STOK KARTLARI'!$C$2:$K$2150,8,0),0)</f>
        <v>0</v>
      </c>
      <c r="K9060" s="21">
        <f t="shared" si="615"/>
        <v>0</v>
      </c>
      <c r="L9060" s="5">
        <f t="shared" si="617"/>
        <v>0</v>
      </c>
      <c r="M9060" s="4"/>
      <c r="N9060" s="4"/>
      <c r="O9060" s="5"/>
      <c r="P9060" s="5"/>
      <c r="Q9060" s="21">
        <f t="shared" si="618"/>
        <v>0</v>
      </c>
      <c r="R9060" s="21">
        <f t="shared" si="616"/>
        <v>0</v>
      </c>
      <c r="S9060" s="5">
        <f t="shared" si="619"/>
        <v>70007.077158325032</v>
      </c>
      <c r="T9060" cm="1">
        <f t="array" ref="T9060">IF(OR(B9060="MAL ALIMI", B9060="ÜRETİM GİRİŞ"), MIN(I9060, MAX(0, I9060 + SUM(SUMIFS($I$1:I9059, $C$1:C9059, C9060, $B$1:B9059, {"MAL ALIMI","ÜRETİM GİRİŞ"})) - VLOOKUP(C9060, 'STOK RAPORU'!$C$2:$I$1000, 4, 0))), 0)</f>
        <v>0</v>
      </c>
      <c r="U9060" s="22">
        <f t="shared" si="612"/>
        <v>0</v>
      </c>
      <c r="V9060">
        <f t="shared" si="613"/>
        <v>0</v>
      </c>
      <c r="W9060" s="22">
        <f t="shared" si="614"/>
        <v>0</v>
      </c>
    </row>
    <row r="9061" spans="1:23" hidden="1" x14ac:dyDescent="0.25">
      <c r="A9061" s="3"/>
      <c r="B9061" s="4"/>
      <c r="C9061" s="4"/>
      <c r="D9061" s="4"/>
      <c r="E9061" s="4"/>
      <c r="F9061" s="4"/>
      <c r="G9061" s="4"/>
      <c r="H9061" s="4"/>
      <c r="I9061" s="4"/>
      <c r="J9061" s="21">
        <f>IFERROR(VLOOKUP(C9061,'STOK KARTLARI'!$C$2:$K$2150,8,0),0)</f>
        <v>0</v>
      </c>
      <c r="K9061" s="21">
        <f t="shared" si="615"/>
        <v>0</v>
      </c>
      <c r="L9061" s="5">
        <f t="shared" si="617"/>
        <v>0</v>
      </c>
      <c r="M9061" s="4"/>
      <c r="N9061" s="4"/>
      <c r="O9061" s="5"/>
      <c r="P9061" s="5"/>
      <c r="Q9061" s="21">
        <f t="shared" si="618"/>
        <v>0</v>
      </c>
      <c r="R9061" s="21">
        <f t="shared" si="616"/>
        <v>0</v>
      </c>
      <c r="S9061" s="5">
        <f t="shared" si="619"/>
        <v>70007.077158325032</v>
      </c>
      <c r="T9061" cm="1">
        <f t="array" ref="T9061">IF(OR(B9061="MAL ALIMI", B9061="ÜRETİM GİRİŞ"), MIN(I9061, MAX(0, I9061 + SUM(SUMIFS($I$1:I9060, $C$1:C9060, C9061, $B$1:B9060, {"MAL ALIMI","ÜRETİM GİRİŞ"})) - VLOOKUP(C9061, 'STOK RAPORU'!$C$2:$I$1000, 4, 0))), 0)</f>
        <v>0</v>
      </c>
      <c r="U9061" s="22">
        <f t="shared" si="612"/>
        <v>0</v>
      </c>
      <c r="V9061">
        <f t="shared" si="613"/>
        <v>0</v>
      </c>
      <c r="W9061" s="22">
        <f t="shared" si="614"/>
        <v>0</v>
      </c>
    </row>
    <row r="9062" spans="1:23" hidden="1" x14ac:dyDescent="0.25">
      <c r="A9062" s="4"/>
      <c r="B9062" s="4"/>
      <c r="C9062" s="4"/>
      <c r="D9062" s="4"/>
      <c r="E9062" s="4"/>
      <c r="F9062" s="4"/>
      <c r="G9062" s="4"/>
      <c r="H9062" s="4"/>
      <c r="I9062" s="4"/>
      <c r="J9062" s="21">
        <f>IFERROR(VLOOKUP(C9062,'STOK KARTLARI'!$C$2:$K$2150,8,0),0)</f>
        <v>0</v>
      </c>
      <c r="K9062" s="21">
        <f t="shared" si="615"/>
        <v>0</v>
      </c>
      <c r="L9062" s="5">
        <f t="shared" si="617"/>
        <v>0</v>
      </c>
      <c r="M9062" s="4"/>
      <c r="N9062" s="4"/>
      <c r="O9062" s="5"/>
      <c r="P9062" s="5"/>
      <c r="Q9062" s="21">
        <f t="shared" si="618"/>
        <v>0</v>
      </c>
      <c r="R9062" s="21">
        <f t="shared" si="616"/>
        <v>0</v>
      </c>
      <c r="S9062" s="5">
        <f t="shared" si="619"/>
        <v>70007.077158325032</v>
      </c>
      <c r="T9062" cm="1">
        <f t="array" ref="T9062">IF(OR(B9062="MAL ALIMI", B9062="ÜRETİM GİRİŞ"), MIN(I9062, MAX(0, I9062 + SUM(SUMIFS($I$1:I9061, $C$1:C9061, C9062, $B$1:B9061, {"MAL ALIMI","ÜRETİM GİRİŞ"})) - VLOOKUP(C9062, 'STOK RAPORU'!$C$2:$I$1000, 4, 0))), 0)</f>
        <v>0</v>
      </c>
      <c r="U9062" s="22">
        <f t="shared" si="612"/>
        <v>0</v>
      </c>
      <c r="V9062">
        <f t="shared" si="613"/>
        <v>0</v>
      </c>
      <c r="W9062" s="22">
        <f t="shared" si="614"/>
        <v>0</v>
      </c>
    </row>
    <row r="9063" spans="1:23" hidden="1" x14ac:dyDescent="0.25">
      <c r="A9063" s="4"/>
      <c r="B9063" s="4"/>
      <c r="C9063" s="4"/>
      <c r="D9063" s="4"/>
      <c r="E9063" s="4"/>
      <c r="F9063" s="4"/>
      <c r="G9063" s="4"/>
      <c r="H9063" s="4"/>
      <c r="I9063" s="4"/>
      <c r="J9063" s="21">
        <f>IFERROR(VLOOKUP(C9063,'STOK KARTLARI'!$C$2:$K$2150,8,0),0)</f>
        <v>0</v>
      </c>
      <c r="K9063" s="21">
        <f t="shared" si="615"/>
        <v>0</v>
      </c>
      <c r="L9063" s="5">
        <f t="shared" si="617"/>
        <v>0</v>
      </c>
      <c r="M9063" s="4"/>
      <c r="N9063" s="4"/>
      <c r="O9063" s="5"/>
      <c r="P9063" s="5"/>
      <c r="Q9063" s="21">
        <f t="shared" si="618"/>
        <v>0</v>
      </c>
      <c r="R9063" s="21">
        <f t="shared" si="616"/>
        <v>0</v>
      </c>
      <c r="S9063" s="5">
        <f t="shared" si="619"/>
        <v>70007.077158325032</v>
      </c>
      <c r="T9063" cm="1">
        <f t="array" ref="T9063">IF(OR(B9063="MAL ALIMI", B9063="ÜRETİM GİRİŞ"), MIN(I9063, MAX(0, I9063 + SUM(SUMIFS($I$1:I9062, $C$1:C9062, C9063, $B$1:B9062, {"MAL ALIMI","ÜRETİM GİRİŞ"})) - VLOOKUP(C9063, 'STOK RAPORU'!$C$2:$I$1000, 4, 0))), 0)</f>
        <v>0</v>
      </c>
      <c r="U9063" s="22">
        <f t="shared" si="612"/>
        <v>0</v>
      </c>
      <c r="V9063">
        <f t="shared" si="613"/>
        <v>0</v>
      </c>
      <c r="W9063" s="22">
        <f t="shared" si="614"/>
        <v>0</v>
      </c>
    </row>
    <row r="9064" spans="1:23" hidden="1" x14ac:dyDescent="0.25">
      <c r="A9064" s="4"/>
      <c r="B9064" s="4"/>
      <c r="C9064" s="4"/>
      <c r="D9064" s="4"/>
      <c r="E9064" s="4"/>
      <c r="F9064" s="4"/>
      <c r="G9064" s="4"/>
      <c r="H9064" s="4"/>
      <c r="I9064" s="4"/>
      <c r="J9064" s="21">
        <f>IFERROR(VLOOKUP(C9064,'STOK KARTLARI'!$C$2:$K$2150,8,0),0)</f>
        <v>0</v>
      </c>
      <c r="K9064" s="21">
        <f t="shared" si="615"/>
        <v>0</v>
      </c>
      <c r="L9064" s="5">
        <f t="shared" si="617"/>
        <v>0</v>
      </c>
      <c r="M9064" s="4"/>
      <c r="N9064" s="4"/>
      <c r="O9064" s="5"/>
      <c r="P9064" s="5"/>
      <c r="Q9064" s="21">
        <f t="shared" si="618"/>
        <v>0</v>
      </c>
      <c r="R9064" s="21">
        <f t="shared" si="616"/>
        <v>0</v>
      </c>
      <c r="S9064" s="5">
        <f t="shared" si="619"/>
        <v>70007.077158325032</v>
      </c>
      <c r="T9064" cm="1">
        <f t="array" ref="T9064">IF(OR(B9064="MAL ALIMI", B9064="ÜRETİM GİRİŞ"), MIN(I9064, MAX(0, I9064 + SUM(SUMIFS($I$1:I9063, $C$1:C9063, C9064, $B$1:B9063, {"MAL ALIMI","ÜRETİM GİRİŞ"})) - VLOOKUP(C9064, 'STOK RAPORU'!$C$2:$I$1000, 4, 0))), 0)</f>
        <v>0</v>
      </c>
      <c r="U9064" s="22">
        <f t="shared" si="612"/>
        <v>0</v>
      </c>
      <c r="V9064">
        <f t="shared" si="613"/>
        <v>0</v>
      </c>
      <c r="W9064" s="22">
        <f t="shared" si="614"/>
        <v>0</v>
      </c>
    </row>
    <row r="9065" spans="1:23" hidden="1" x14ac:dyDescent="0.25">
      <c r="A9065" s="4"/>
      <c r="B9065" s="4"/>
      <c r="C9065" s="4"/>
      <c r="D9065" s="4"/>
      <c r="E9065" s="4"/>
      <c r="F9065" s="4"/>
      <c r="G9065" s="4"/>
      <c r="H9065" s="4"/>
      <c r="I9065" s="4"/>
      <c r="J9065" s="21">
        <f>IFERROR(VLOOKUP(C9065,'STOK KARTLARI'!$C$2:$K$2150,8,0),0)</f>
        <v>0</v>
      </c>
      <c r="K9065" s="21">
        <f t="shared" si="615"/>
        <v>0</v>
      </c>
      <c r="L9065" s="5">
        <f t="shared" si="617"/>
        <v>0</v>
      </c>
      <c r="M9065" s="4"/>
      <c r="N9065" s="4"/>
      <c r="O9065" s="5"/>
      <c r="P9065" s="5"/>
      <c r="Q9065" s="21">
        <f t="shared" si="618"/>
        <v>0</v>
      </c>
      <c r="R9065" s="21">
        <f t="shared" si="616"/>
        <v>0</v>
      </c>
      <c r="S9065" s="5">
        <f t="shared" si="619"/>
        <v>70007.077158325032</v>
      </c>
      <c r="T9065" cm="1">
        <f t="array" ref="T9065">IF(OR(B9065="MAL ALIMI", B9065="ÜRETİM GİRİŞ"), MIN(I9065, MAX(0, I9065 + SUM(SUMIFS($I$1:I9064, $C$1:C9064, C9065, $B$1:B9064, {"MAL ALIMI","ÜRETİM GİRİŞ"})) - VLOOKUP(C9065, 'STOK RAPORU'!$C$2:$I$1000, 4, 0))), 0)</f>
        <v>0</v>
      </c>
      <c r="U9065" s="22">
        <f t="shared" si="612"/>
        <v>0</v>
      </c>
      <c r="V9065">
        <f t="shared" si="613"/>
        <v>0</v>
      </c>
      <c r="W9065" s="22">
        <f t="shared" si="614"/>
        <v>0</v>
      </c>
    </row>
    <row r="9066" spans="1:23" hidden="1" x14ac:dyDescent="0.25">
      <c r="A9066" s="4"/>
      <c r="B9066" s="4"/>
      <c r="C9066" s="4"/>
      <c r="D9066" s="4"/>
      <c r="E9066" s="4"/>
      <c r="F9066" s="4"/>
      <c r="G9066" s="4"/>
      <c r="H9066" s="4"/>
      <c r="I9066" s="4"/>
      <c r="J9066" s="21">
        <f>IFERROR(VLOOKUP(C9066,'STOK KARTLARI'!$C$2:$K$2150,8,0),0)</f>
        <v>0</v>
      </c>
      <c r="K9066" s="21">
        <f t="shared" si="615"/>
        <v>0</v>
      </c>
      <c r="L9066" s="5">
        <f t="shared" si="617"/>
        <v>0</v>
      </c>
      <c r="M9066" s="4"/>
      <c r="N9066" s="4"/>
      <c r="O9066" s="5"/>
      <c r="P9066" s="5"/>
      <c r="Q9066" s="21">
        <f t="shared" si="618"/>
        <v>0</v>
      </c>
      <c r="R9066" s="21">
        <f t="shared" si="616"/>
        <v>0</v>
      </c>
      <c r="S9066" s="5">
        <f t="shared" si="619"/>
        <v>70007.077158325032</v>
      </c>
      <c r="T9066" cm="1">
        <f t="array" ref="T9066">IF(OR(B9066="MAL ALIMI", B9066="ÜRETİM GİRİŞ"), MIN(I9066, MAX(0, I9066 + SUM(SUMIFS($I$1:I9065, $C$1:C9065, C9066, $B$1:B9065, {"MAL ALIMI","ÜRETİM GİRİŞ"})) - VLOOKUP(C9066, 'STOK RAPORU'!$C$2:$I$1000, 4, 0))), 0)</f>
        <v>0</v>
      </c>
      <c r="U9066" s="22">
        <f t="shared" si="612"/>
        <v>0</v>
      </c>
      <c r="V9066">
        <f t="shared" si="613"/>
        <v>0</v>
      </c>
      <c r="W9066" s="22">
        <f t="shared" si="614"/>
        <v>0</v>
      </c>
    </row>
    <row r="9067" spans="1:23" hidden="1" x14ac:dyDescent="0.25">
      <c r="A9067" s="4"/>
      <c r="B9067" s="4"/>
      <c r="C9067" s="4"/>
      <c r="D9067" s="4"/>
      <c r="E9067" s="4"/>
      <c r="F9067" s="4"/>
      <c r="G9067" s="4"/>
      <c r="H9067" s="4"/>
      <c r="I9067" s="4"/>
      <c r="J9067" s="21">
        <f>IFERROR(VLOOKUP(C9067,'STOK KARTLARI'!$C$2:$K$2150,8,0),0)</f>
        <v>0</v>
      </c>
      <c r="K9067" s="21">
        <f t="shared" si="615"/>
        <v>0</v>
      </c>
      <c r="L9067" s="5">
        <f t="shared" si="617"/>
        <v>0</v>
      </c>
      <c r="M9067" s="4"/>
      <c r="N9067" s="4"/>
      <c r="O9067" s="5"/>
      <c r="P9067" s="5"/>
      <c r="Q9067" s="21">
        <f t="shared" si="618"/>
        <v>0</v>
      </c>
      <c r="R9067" s="21">
        <f t="shared" si="616"/>
        <v>0</v>
      </c>
      <c r="S9067" s="5">
        <f t="shared" si="619"/>
        <v>70007.077158325032</v>
      </c>
      <c r="T9067" cm="1">
        <f t="array" ref="T9067">IF(OR(B9067="MAL ALIMI", B9067="ÜRETİM GİRİŞ"), MIN(I9067, MAX(0, I9067 + SUM(SUMIFS($I$1:I9066, $C$1:C9066, C9067, $B$1:B9066, {"MAL ALIMI","ÜRETİM GİRİŞ"})) - VLOOKUP(C9067, 'STOK RAPORU'!$C$2:$I$1000, 4, 0))), 0)</f>
        <v>0</v>
      </c>
      <c r="U9067" s="22">
        <f t="shared" si="612"/>
        <v>0</v>
      </c>
      <c r="V9067">
        <f t="shared" si="613"/>
        <v>0</v>
      </c>
      <c r="W9067" s="22">
        <f t="shared" si="614"/>
        <v>0</v>
      </c>
    </row>
    <row r="9068" spans="1:23" hidden="1" x14ac:dyDescent="0.25">
      <c r="A9068" s="3"/>
      <c r="B9068" s="4"/>
      <c r="C9068" s="4"/>
      <c r="D9068" s="4"/>
      <c r="E9068" s="4"/>
      <c r="F9068" s="4"/>
      <c r="G9068" s="4"/>
      <c r="H9068" s="4"/>
      <c r="I9068" s="4"/>
      <c r="J9068" s="21">
        <f>IFERROR(VLOOKUP(C9068,'STOK KARTLARI'!$C$2:$K$2150,8,0),0)</f>
        <v>0</v>
      </c>
      <c r="K9068" s="21">
        <f t="shared" si="615"/>
        <v>0</v>
      </c>
      <c r="L9068" s="5">
        <f t="shared" si="617"/>
        <v>0</v>
      </c>
      <c r="M9068" s="4"/>
      <c r="N9068" s="4"/>
      <c r="O9068" s="5"/>
      <c r="P9068" s="5"/>
      <c r="Q9068" s="21">
        <f t="shared" si="618"/>
        <v>0</v>
      </c>
      <c r="R9068" s="21">
        <f t="shared" si="616"/>
        <v>0</v>
      </c>
      <c r="S9068" s="5">
        <f t="shared" si="619"/>
        <v>70007.077158325032</v>
      </c>
      <c r="T9068" cm="1">
        <f t="array" ref="T9068">IF(OR(B9068="MAL ALIMI", B9068="ÜRETİM GİRİŞ"), MIN(I9068, MAX(0, I9068 + SUM(SUMIFS($I$1:I9067, $C$1:C9067, C9068, $B$1:B9067, {"MAL ALIMI","ÜRETİM GİRİŞ"})) - VLOOKUP(C9068, 'STOK RAPORU'!$C$2:$I$1000, 4, 0))), 0)</f>
        <v>0</v>
      </c>
      <c r="U9068" s="22">
        <f t="shared" si="612"/>
        <v>0</v>
      </c>
      <c r="V9068">
        <f t="shared" si="613"/>
        <v>0</v>
      </c>
      <c r="W9068" s="22">
        <f t="shared" si="614"/>
        <v>0</v>
      </c>
    </row>
    <row r="9069" spans="1:23" hidden="1" x14ac:dyDescent="0.25">
      <c r="A9069" s="4"/>
      <c r="B9069" s="4"/>
      <c r="C9069" s="4"/>
      <c r="D9069" s="4"/>
      <c r="E9069" s="4"/>
      <c r="F9069" s="4"/>
      <c r="G9069" s="4"/>
      <c r="H9069" s="4"/>
      <c r="I9069" s="4"/>
      <c r="J9069" s="21">
        <f>IFERROR(VLOOKUP(C9069,'STOK KARTLARI'!$C$2:$K$2150,8,0),0)</f>
        <v>0</v>
      </c>
      <c r="K9069" s="21">
        <f t="shared" si="615"/>
        <v>0</v>
      </c>
      <c r="L9069" s="5">
        <f t="shared" si="617"/>
        <v>0</v>
      </c>
      <c r="M9069" s="4"/>
      <c r="N9069" s="4"/>
      <c r="O9069" s="5"/>
      <c r="P9069" s="5"/>
      <c r="Q9069" s="21">
        <f t="shared" si="618"/>
        <v>0</v>
      </c>
      <c r="R9069" s="21">
        <f t="shared" si="616"/>
        <v>0</v>
      </c>
      <c r="S9069" s="5">
        <f t="shared" si="619"/>
        <v>70007.077158325032</v>
      </c>
      <c r="T9069" cm="1">
        <f t="array" ref="T9069">IF(OR(B9069="MAL ALIMI", B9069="ÜRETİM GİRİŞ"), MIN(I9069, MAX(0, I9069 + SUM(SUMIFS($I$1:I9068, $C$1:C9068, C9069, $B$1:B9068, {"MAL ALIMI","ÜRETİM GİRİŞ"})) - VLOOKUP(C9069, 'STOK RAPORU'!$C$2:$I$1000, 4, 0))), 0)</f>
        <v>0</v>
      </c>
      <c r="U9069" s="22">
        <f t="shared" si="612"/>
        <v>0</v>
      </c>
      <c r="V9069">
        <f t="shared" si="613"/>
        <v>0</v>
      </c>
      <c r="W9069" s="22">
        <f t="shared" si="614"/>
        <v>0</v>
      </c>
    </row>
    <row r="9070" spans="1:23" hidden="1" x14ac:dyDescent="0.25">
      <c r="A9070" s="4"/>
      <c r="B9070" s="4"/>
      <c r="C9070" s="4"/>
      <c r="D9070" s="4"/>
      <c r="E9070" s="4"/>
      <c r="F9070" s="4"/>
      <c r="G9070" s="4"/>
      <c r="H9070" s="4"/>
      <c r="I9070" s="4"/>
      <c r="J9070" s="21">
        <f>IFERROR(VLOOKUP(C9070,'STOK KARTLARI'!$C$2:$K$2150,8,0),0)</f>
        <v>0</v>
      </c>
      <c r="K9070" s="21">
        <f t="shared" si="615"/>
        <v>0</v>
      </c>
      <c r="L9070" s="5">
        <f t="shared" si="617"/>
        <v>0</v>
      </c>
      <c r="M9070" s="4"/>
      <c r="N9070" s="4"/>
      <c r="O9070" s="5"/>
      <c r="P9070" s="5"/>
      <c r="Q9070" s="21">
        <f t="shared" si="618"/>
        <v>0</v>
      </c>
      <c r="R9070" s="21">
        <f t="shared" si="616"/>
        <v>0</v>
      </c>
      <c r="S9070" s="5">
        <f t="shared" si="619"/>
        <v>70007.077158325032</v>
      </c>
      <c r="T9070" cm="1">
        <f t="array" ref="T9070">IF(OR(B9070="MAL ALIMI", B9070="ÜRETİM GİRİŞ"), MIN(I9070, MAX(0, I9070 + SUM(SUMIFS($I$1:I9069, $C$1:C9069, C9070, $B$1:B9069, {"MAL ALIMI","ÜRETİM GİRİŞ"})) - VLOOKUP(C9070, 'STOK RAPORU'!$C$2:$I$1000, 4, 0))), 0)</f>
        <v>0</v>
      </c>
      <c r="U9070" s="22">
        <f t="shared" si="612"/>
        <v>0</v>
      </c>
      <c r="V9070">
        <f t="shared" si="613"/>
        <v>0</v>
      </c>
      <c r="W9070" s="22">
        <f t="shared" si="614"/>
        <v>0</v>
      </c>
    </row>
    <row r="9071" spans="1:23" hidden="1" x14ac:dyDescent="0.25">
      <c r="A9071" s="4"/>
      <c r="B9071" s="4"/>
      <c r="C9071" s="4"/>
      <c r="D9071" s="4"/>
      <c r="E9071" s="4"/>
      <c r="F9071" s="4"/>
      <c r="G9071" s="4"/>
      <c r="H9071" s="4"/>
      <c r="I9071" s="4"/>
      <c r="J9071" s="21">
        <f>IFERROR(VLOOKUP(C9071,'STOK KARTLARI'!$C$2:$K$2150,8,0),0)</f>
        <v>0</v>
      </c>
      <c r="K9071" s="21">
        <f t="shared" si="615"/>
        <v>0</v>
      </c>
      <c r="L9071" s="5">
        <f t="shared" si="617"/>
        <v>0</v>
      </c>
      <c r="M9071" s="4"/>
      <c r="N9071" s="4"/>
      <c r="O9071" s="5"/>
      <c r="P9071" s="5"/>
      <c r="Q9071" s="21">
        <f t="shared" si="618"/>
        <v>0</v>
      </c>
      <c r="R9071" s="21">
        <f t="shared" si="616"/>
        <v>0</v>
      </c>
      <c r="S9071" s="5">
        <f t="shared" si="619"/>
        <v>70007.077158325032</v>
      </c>
      <c r="T9071" cm="1">
        <f t="array" ref="T9071">IF(OR(B9071="MAL ALIMI", B9071="ÜRETİM GİRİŞ"), MIN(I9071, MAX(0, I9071 + SUM(SUMIFS($I$1:I9070, $C$1:C9070, C9071, $B$1:B9070, {"MAL ALIMI","ÜRETİM GİRİŞ"})) - VLOOKUP(C9071, 'STOK RAPORU'!$C$2:$I$1000, 4, 0))), 0)</f>
        <v>0</v>
      </c>
      <c r="U9071" s="22">
        <f t="shared" ref="U9071:U9134" si="620">T9071*J9071</f>
        <v>0</v>
      </c>
      <c r="V9071">
        <f t="shared" ref="V9071:V9134" si="621">IF(OR(B9071="MAL ALIMI", B9071="ÜRETİM GİRİŞ"), I9071 * J9071, 0)</f>
        <v>0</v>
      </c>
      <c r="W9071" s="22">
        <f t="shared" ref="W9071:W9134" si="622">V9071-U9071</f>
        <v>0</v>
      </c>
    </row>
    <row r="9072" spans="1:23" hidden="1" x14ac:dyDescent="0.25">
      <c r="A9072" s="4"/>
      <c r="B9072" s="4"/>
      <c r="C9072" s="4"/>
      <c r="D9072" s="4"/>
      <c r="E9072" s="4"/>
      <c r="F9072" s="4"/>
      <c r="G9072" s="4"/>
      <c r="H9072" s="4"/>
      <c r="I9072" s="4"/>
      <c r="J9072" s="21">
        <f>IFERROR(VLOOKUP(C9072,'STOK KARTLARI'!$C$2:$K$2150,8,0),0)</f>
        <v>0</v>
      </c>
      <c r="K9072" s="21">
        <f t="shared" si="615"/>
        <v>0</v>
      </c>
      <c r="L9072" s="5">
        <f t="shared" si="617"/>
        <v>0</v>
      </c>
      <c r="M9072" s="4"/>
      <c r="N9072" s="4"/>
      <c r="O9072" s="5"/>
      <c r="P9072" s="5"/>
      <c r="Q9072" s="21">
        <f t="shared" si="618"/>
        <v>0</v>
      </c>
      <c r="R9072" s="21">
        <f t="shared" si="616"/>
        <v>0</v>
      </c>
      <c r="S9072" s="5">
        <f t="shared" si="619"/>
        <v>70007.077158325032</v>
      </c>
      <c r="T9072" cm="1">
        <f t="array" ref="T9072">IF(OR(B9072="MAL ALIMI", B9072="ÜRETİM GİRİŞ"), MIN(I9072, MAX(0, I9072 + SUM(SUMIFS($I$1:I9071, $C$1:C9071, C9072, $B$1:B9071, {"MAL ALIMI","ÜRETİM GİRİŞ"})) - VLOOKUP(C9072, 'STOK RAPORU'!$C$2:$I$1000, 4, 0))), 0)</f>
        <v>0</v>
      </c>
      <c r="U9072" s="22">
        <f t="shared" si="620"/>
        <v>0</v>
      </c>
      <c r="V9072">
        <f t="shared" si="621"/>
        <v>0</v>
      </c>
      <c r="W9072" s="22">
        <f t="shared" si="622"/>
        <v>0</v>
      </c>
    </row>
    <row r="9073" spans="1:23" hidden="1" x14ac:dyDescent="0.25">
      <c r="A9073" s="4"/>
      <c r="B9073" s="4"/>
      <c r="C9073" s="4"/>
      <c r="D9073" s="4"/>
      <c r="E9073" s="4"/>
      <c r="F9073" s="4"/>
      <c r="G9073" s="4"/>
      <c r="H9073" s="4"/>
      <c r="I9073" s="4"/>
      <c r="J9073" s="21">
        <f>IFERROR(VLOOKUP(C9073,'STOK KARTLARI'!$C$2:$K$2150,8,0),0)</f>
        <v>0</v>
      </c>
      <c r="K9073" s="21">
        <f t="shared" si="615"/>
        <v>0</v>
      </c>
      <c r="L9073" s="5">
        <f t="shared" si="617"/>
        <v>0</v>
      </c>
      <c r="M9073" s="4"/>
      <c r="N9073" s="4"/>
      <c r="O9073" s="5"/>
      <c r="P9073" s="5"/>
      <c r="Q9073" s="21">
        <f t="shared" si="618"/>
        <v>0</v>
      </c>
      <c r="R9073" s="21">
        <f t="shared" si="616"/>
        <v>0</v>
      </c>
      <c r="S9073" s="5">
        <f t="shared" si="619"/>
        <v>70007.077158325032</v>
      </c>
      <c r="T9073" cm="1">
        <f t="array" ref="T9073">IF(OR(B9073="MAL ALIMI", B9073="ÜRETİM GİRİŞ"), MIN(I9073, MAX(0, I9073 + SUM(SUMIFS($I$1:I9072, $C$1:C9072, C9073, $B$1:B9072, {"MAL ALIMI","ÜRETİM GİRİŞ"})) - VLOOKUP(C9073, 'STOK RAPORU'!$C$2:$I$1000, 4, 0))), 0)</f>
        <v>0</v>
      </c>
      <c r="U9073" s="22">
        <f t="shared" si="620"/>
        <v>0</v>
      </c>
      <c r="V9073">
        <f t="shared" si="621"/>
        <v>0</v>
      </c>
      <c r="W9073" s="22">
        <f t="shared" si="622"/>
        <v>0</v>
      </c>
    </row>
    <row r="9074" spans="1:23" hidden="1" x14ac:dyDescent="0.25">
      <c r="A9074" s="4"/>
      <c r="B9074" s="4"/>
      <c r="C9074" s="4"/>
      <c r="D9074" s="4"/>
      <c r="E9074" s="4"/>
      <c r="F9074" s="4"/>
      <c r="G9074" s="4"/>
      <c r="H9074" s="4"/>
      <c r="I9074" s="4"/>
      <c r="J9074" s="21">
        <f>IFERROR(VLOOKUP(C9074,'STOK KARTLARI'!$C$2:$K$2150,8,0),0)</f>
        <v>0</v>
      </c>
      <c r="K9074" s="21">
        <f t="shared" si="615"/>
        <v>0</v>
      </c>
      <c r="L9074" s="5">
        <f t="shared" si="617"/>
        <v>0</v>
      </c>
      <c r="M9074" s="4"/>
      <c r="N9074" s="4"/>
      <c r="O9074" s="5"/>
      <c r="P9074" s="5"/>
      <c r="Q9074" s="21">
        <f t="shared" si="618"/>
        <v>0</v>
      </c>
      <c r="R9074" s="21">
        <f t="shared" si="616"/>
        <v>0</v>
      </c>
      <c r="S9074" s="5">
        <f t="shared" si="619"/>
        <v>70007.077158325032</v>
      </c>
      <c r="T9074" cm="1">
        <f t="array" ref="T9074">IF(OR(B9074="MAL ALIMI", B9074="ÜRETİM GİRİŞ"), MIN(I9074, MAX(0, I9074 + SUM(SUMIFS($I$1:I9073, $C$1:C9073, C9074, $B$1:B9073, {"MAL ALIMI","ÜRETİM GİRİŞ"})) - VLOOKUP(C9074, 'STOK RAPORU'!$C$2:$I$1000, 4, 0))), 0)</f>
        <v>0</v>
      </c>
      <c r="U9074" s="22">
        <f t="shared" si="620"/>
        <v>0</v>
      </c>
      <c r="V9074">
        <f t="shared" si="621"/>
        <v>0</v>
      </c>
      <c r="W9074" s="22">
        <f t="shared" si="622"/>
        <v>0</v>
      </c>
    </row>
    <row r="9075" spans="1:23" hidden="1" x14ac:dyDescent="0.25">
      <c r="A9075" s="3"/>
      <c r="B9075" s="4"/>
      <c r="C9075" s="4"/>
      <c r="D9075" s="4"/>
      <c r="E9075" s="4"/>
      <c r="F9075" s="4"/>
      <c r="G9075" s="4"/>
      <c r="H9075" s="4"/>
      <c r="I9075" s="4"/>
      <c r="J9075" s="21">
        <f>IFERROR(VLOOKUP(C9075,'STOK KARTLARI'!$C$2:$K$2150,8,0),0)</f>
        <v>0</v>
      </c>
      <c r="K9075" s="21">
        <f t="shared" ref="K9075:K9138" si="623">IF(AND(B9075="MAL SATIŞI", H9075="POS"),I9075*J9075,0)</f>
        <v>0</v>
      </c>
      <c r="L9075" s="5">
        <f t="shared" si="617"/>
        <v>0</v>
      </c>
      <c r="M9075" s="4"/>
      <c r="N9075" s="4"/>
      <c r="O9075" s="5"/>
      <c r="P9075" s="5"/>
      <c r="Q9075" s="21">
        <f t="shared" si="618"/>
        <v>0</v>
      </c>
      <c r="R9075" s="21">
        <f t="shared" ref="R9075:R9138" si="624">IF(AND(E9075="", B9075&lt;&gt;"MAL SATIŞI"),I9075*J9075,0)</f>
        <v>0</v>
      </c>
      <c r="S9075" s="5">
        <f t="shared" si="619"/>
        <v>70007.077158325032</v>
      </c>
      <c r="T9075" cm="1">
        <f t="array" ref="T9075">IF(OR(B9075="MAL ALIMI", B9075="ÜRETİM GİRİŞ"), MIN(I9075, MAX(0, I9075 + SUM(SUMIFS($I$1:I9074, $C$1:C9074, C9075, $B$1:B9074, {"MAL ALIMI","ÜRETİM GİRİŞ"})) - VLOOKUP(C9075, 'STOK RAPORU'!$C$2:$I$1000, 4, 0))), 0)</f>
        <v>0</v>
      </c>
      <c r="U9075" s="22">
        <f t="shared" si="620"/>
        <v>0</v>
      </c>
      <c r="V9075">
        <f t="shared" si="621"/>
        <v>0</v>
      </c>
      <c r="W9075" s="22">
        <f t="shared" si="622"/>
        <v>0</v>
      </c>
    </row>
    <row r="9076" spans="1:23" hidden="1" x14ac:dyDescent="0.25">
      <c r="A9076" s="4"/>
      <c r="B9076" s="4"/>
      <c r="C9076" s="4"/>
      <c r="D9076" s="4"/>
      <c r="E9076" s="4"/>
      <c r="F9076" s="4"/>
      <c r="G9076" s="4"/>
      <c r="H9076" s="4"/>
      <c r="I9076" s="4"/>
      <c r="J9076" s="21">
        <f>IFERROR(VLOOKUP(C9076,'STOK KARTLARI'!$C$2:$K$2150,8,0),0)</f>
        <v>0</v>
      </c>
      <c r="K9076" s="21">
        <f t="shared" si="623"/>
        <v>0</v>
      </c>
      <c r="L9076" s="5">
        <f t="shared" ref="L9076:L9139" si="625">IF(OR(E9076="", H9076="POS"),0,I9076*J9076)</f>
        <v>0</v>
      </c>
      <c r="M9076" s="4"/>
      <c r="N9076" s="4"/>
      <c r="O9076" s="5"/>
      <c r="P9076" s="5"/>
      <c r="Q9076" s="21">
        <f t="shared" ref="Q9076:Q9139" si="626">IF(AND(E9076="", B9076="MAL SATIŞI", H9076="NAKİT"),I9076*J9076,0)</f>
        <v>0</v>
      </c>
      <c r="R9076" s="21">
        <f t="shared" si="624"/>
        <v>0</v>
      </c>
      <c r="S9076" s="5">
        <f t="shared" si="619"/>
        <v>70007.077158325032</v>
      </c>
      <c r="T9076" cm="1">
        <f t="array" ref="T9076">IF(OR(B9076="MAL ALIMI", B9076="ÜRETİM GİRİŞ"), MIN(I9076, MAX(0, I9076 + SUM(SUMIFS($I$1:I9075, $C$1:C9075, C9076, $B$1:B9075, {"MAL ALIMI","ÜRETİM GİRİŞ"})) - VLOOKUP(C9076, 'STOK RAPORU'!$C$2:$I$1000, 4, 0))), 0)</f>
        <v>0</v>
      </c>
      <c r="U9076" s="22">
        <f t="shared" si="620"/>
        <v>0</v>
      </c>
      <c r="V9076">
        <f t="shared" si="621"/>
        <v>0</v>
      </c>
      <c r="W9076" s="22">
        <f t="shared" si="622"/>
        <v>0</v>
      </c>
    </row>
    <row r="9077" spans="1:23" hidden="1" x14ac:dyDescent="0.25">
      <c r="A9077" s="4"/>
      <c r="B9077" s="4"/>
      <c r="C9077" s="4"/>
      <c r="D9077" s="4"/>
      <c r="E9077" s="4"/>
      <c r="F9077" s="4"/>
      <c r="G9077" s="4"/>
      <c r="H9077" s="4"/>
      <c r="I9077" s="4"/>
      <c r="J9077" s="21">
        <f>IFERROR(VLOOKUP(C9077,'STOK KARTLARI'!$C$2:$K$2150,8,0),0)</f>
        <v>0</v>
      </c>
      <c r="K9077" s="21">
        <f t="shared" si="623"/>
        <v>0</v>
      </c>
      <c r="L9077" s="5">
        <f t="shared" si="625"/>
        <v>0</v>
      </c>
      <c r="M9077" s="4"/>
      <c r="N9077" s="4"/>
      <c r="O9077" s="5"/>
      <c r="P9077" s="5"/>
      <c r="Q9077" s="21">
        <f t="shared" si="626"/>
        <v>0</v>
      </c>
      <c r="R9077" s="21">
        <f t="shared" si="624"/>
        <v>0</v>
      </c>
      <c r="S9077" s="5">
        <f t="shared" si="619"/>
        <v>70007.077158325032</v>
      </c>
      <c r="T9077" cm="1">
        <f t="array" ref="T9077">IF(OR(B9077="MAL ALIMI", B9077="ÜRETİM GİRİŞ"), MIN(I9077, MAX(0, I9077 + SUM(SUMIFS($I$1:I9076, $C$1:C9076, C9077, $B$1:B9076, {"MAL ALIMI","ÜRETİM GİRİŞ"})) - VLOOKUP(C9077, 'STOK RAPORU'!$C$2:$I$1000, 4, 0))), 0)</f>
        <v>0</v>
      </c>
      <c r="U9077" s="22">
        <f t="shared" si="620"/>
        <v>0</v>
      </c>
      <c r="V9077">
        <f t="shared" si="621"/>
        <v>0</v>
      </c>
      <c r="W9077" s="22">
        <f t="shared" si="622"/>
        <v>0</v>
      </c>
    </row>
    <row r="9078" spans="1:23" hidden="1" x14ac:dyDescent="0.25">
      <c r="A9078" s="4"/>
      <c r="B9078" s="4"/>
      <c r="C9078" s="4"/>
      <c r="D9078" s="4"/>
      <c r="E9078" s="4"/>
      <c r="F9078" s="4"/>
      <c r="G9078" s="4"/>
      <c r="H9078" s="4"/>
      <c r="I9078" s="4"/>
      <c r="J9078" s="21">
        <f>IFERROR(VLOOKUP(C9078,'STOK KARTLARI'!$C$2:$K$2150,8,0),0)</f>
        <v>0</v>
      </c>
      <c r="K9078" s="21">
        <f t="shared" si="623"/>
        <v>0</v>
      </c>
      <c r="L9078" s="5">
        <f t="shared" si="625"/>
        <v>0</v>
      </c>
      <c r="M9078" s="4"/>
      <c r="N9078" s="4"/>
      <c r="O9078" s="5"/>
      <c r="P9078" s="5"/>
      <c r="Q9078" s="21">
        <f t="shared" si="626"/>
        <v>0</v>
      </c>
      <c r="R9078" s="21">
        <f t="shared" si="624"/>
        <v>0</v>
      </c>
      <c r="S9078" s="5">
        <f t="shared" si="619"/>
        <v>70007.077158325032</v>
      </c>
      <c r="T9078" cm="1">
        <f t="array" ref="T9078">IF(OR(B9078="MAL ALIMI", B9078="ÜRETİM GİRİŞ"), MIN(I9078, MAX(0, I9078 + SUM(SUMIFS($I$1:I9077, $C$1:C9077, C9078, $B$1:B9077, {"MAL ALIMI","ÜRETİM GİRİŞ"})) - VLOOKUP(C9078, 'STOK RAPORU'!$C$2:$I$1000, 4, 0))), 0)</f>
        <v>0</v>
      </c>
      <c r="U9078" s="22">
        <f t="shared" si="620"/>
        <v>0</v>
      </c>
      <c r="V9078">
        <f t="shared" si="621"/>
        <v>0</v>
      </c>
      <c r="W9078" s="22">
        <f t="shared" si="622"/>
        <v>0</v>
      </c>
    </row>
    <row r="9079" spans="1:23" hidden="1" x14ac:dyDescent="0.25">
      <c r="A9079" s="4"/>
      <c r="B9079" s="4"/>
      <c r="C9079" s="4"/>
      <c r="D9079" s="4"/>
      <c r="E9079" s="4"/>
      <c r="F9079" s="4"/>
      <c r="G9079" s="4"/>
      <c r="H9079" s="4"/>
      <c r="I9079" s="4"/>
      <c r="J9079" s="21">
        <f>IFERROR(VLOOKUP(C9079,'STOK KARTLARI'!$C$2:$K$2150,8,0),0)</f>
        <v>0</v>
      </c>
      <c r="K9079" s="21">
        <f t="shared" si="623"/>
        <v>0</v>
      </c>
      <c r="L9079" s="5">
        <f t="shared" si="625"/>
        <v>0</v>
      </c>
      <c r="M9079" s="4"/>
      <c r="N9079" s="4"/>
      <c r="O9079" s="5"/>
      <c r="P9079" s="5"/>
      <c r="Q9079" s="21">
        <f t="shared" si="626"/>
        <v>0</v>
      </c>
      <c r="R9079" s="21">
        <f t="shared" si="624"/>
        <v>0</v>
      </c>
      <c r="S9079" s="5">
        <f t="shared" si="619"/>
        <v>70007.077158325032</v>
      </c>
      <c r="T9079" cm="1">
        <f t="array" ref="T9079">IF(OR(B9079="MAL ALIMI", B9079="ÜRETİM GİRİŞ"), MIN(I9079, MAX(0, I9079 + SUM(SUMIFS($I$1:I9078, $C$1:C9078, C9079, $B$1:B9078, {"MAL ALIMI","ÜRETİM GİRİŞ"})) - VLOOKUP(C9079, 'STOK RAPORU'!$C$2:$I$1000, 4, 0))), 0)</f>
        <v>0</v>
      </c>
      <c r="U9079" s="22">
        <f t="shared" si="620"/>
        <v>0</v>
      </c>
      <c r="V9079">
        <f t="shared" si="621"/>
        <v>0</v>
      </c>
      <c r="W9079" s="22">
        <f t="shared" si="622"/>
        <v>0</v>
      </c>
    </row>
    <row r="9080" spans="1:23" hidden="1" x14ac:dyDescent="0.25">
      <c r="A9080" s="4"/>
      <c r="B9080" s="4"/>
      <c r="C9080" s="4"/>
      <c r="D9080" s="4"/>
      <c r="E9080" s="4"/>
      <c r="F9080" s="4"/>
      <c r="G9080" s="4"/>
      <c r="H9080" s="4"/>
      <c r="I9080" s="4"/>
      <c r="J9080" s="21">
        <f>IFERROR(VLOOKUP(C9080,'STOK KARTLARI'!$C$2:$K$2150,8,0),0)</f>
        <v>0</v>
      </c>
      <c r="K9080" s="21">
        <f t="shared" si="623"/>
        <v>0</v>
      </c>
      <c r="L9080" s="5">
        <f t="shared" si="625"/>
        <v>0</v>
      </c>
      <c r="M9080" s="4"/>
      <c r="N9080" s="4"/>
      <c r="O9080" s="5"/>
      <c r="P9080" s="5"/>
      <c r="Q9080" s="21">
        <f t="shared" si="626"/>
        <v>0</v>
      </c>
      <c r="R9080" s="21">
        <f t="shared" si="624"/>
        <v>0</v>
      </c>
      <c r="S9080" s="5">
        <f t="shared" si="619"/>
        <v>70007.077158325032</v>
      </c>
      <c r="T9080" cm="1">
        <f t="array" ref="T9080">IF(OR(B9080="MAL ALIMI", B9080="ÜRETİM GİRİŞ"), MIN(I9080, MAX(0, I9080 + SUM(SUMIFS($I$1:I9079, $C$1:C9079, C9080, $B$1:B9079, {"MAL ALIMI","ÜRETİM GİRİŞ"})) - VLOOKUP(C9080, 'STOK RAPORU'!$C$2:$I$1000, 4, 0))), 0)</f>
        <v>0</v>
      </c>
      <c r="U9080" s="22">
        <f t="shared" si="620"/>
        <v>0</v>
      </c>
      <c r="V9080">
        <f t="shared" si="621"/>
        <v>0</v>
      </c>
      <c r="W9080" s="22">
        <f t="shared" si="622"/>
        <v>0</v>
      </c>
    </row>
    <row r="9081" spans="1:23" hidden="1" x14ac:dyDescent="0.25">
      <c r="A9081" s="4"/>
      <c r="B9081" s="4"/>
      <c r="C9081" s="4"/>
      <c r="D9081" s="4"/>
      <c r="E9081" s="4"/>
      <c r="F9081" s="4"/>
      <c r="G9081" s="4"/>
      <c r="H9081" s="4"/>
      <c r="I9081" s="4"/>
      <c r="J9081" s="21">
        <f>IFERROR(VLOOKUP(C9081,'STOK KARTLARI'!$C$2:$K$2150,8,0),0)</f>
        <v>0</v>
      </c>
      <c r="K9081" s="21">
        <f t="shared" si="623"/>
        <v>0</v>
      </c>
      <c r="L9081" s="5">
        <f t="shared" si="625"/>
        <v>0</v>
      </c>
      <c r="M9081" s="4"/>
      <c r="N9081" s="4"/>
      <c r="O9081" s="5"/>
      <c r="P9081" s="5"/>
      <c r="Q9081" s="21">
        <f t="shared" si="626"/>
        <v>0</v>
      </c>
      <c r="R9081" s="21">
        <f t="shared" si="624"/>
        <v>0</v>
      </c>
      <c r="S9081" s="5">
        <f t="shared" si="619"/>
        <v>70007.077158325032</v>
      </c>
      <c r="T9081" cm="1">
        <f t="array" ref="T9081">IF(OR(B9081="MAL ALIMI", B9081="ÜRETİM GİRİŞ"), MIN(I9081, MAX(0, I9081 + SUM(SUMIFS($I$1:I9080, $C$1:C9080, C9081, $B$1:B9080, {"MAL ALIMI","ÜRETİM GİRİŞ"})) - VLOOKUP(C9081, 'STOK RAPORU'!$C$2:$I$1000, 4, 0))), 0)</f>
        <v>0</v>
      </c>
      <c r="U9081" s="22">
        <f t="shared" si="620"/>
        <v>0</v>
      </c>
      <c r="V9081">
        <f t="shared" si="621"/>
        <v>0</v>
      </c>
      <c r="W9081" s="22">
        <f t="shared" si="622"/>
        <v>0</v>
      </c>
    </row>
    <row r="9082" spans="1:23" hidden="1" x14ac:dyDescent="0.25">
      <c r="A9082" s="3"/>
      <c r="B9082" s="4"/>
      <c r="C9082" s="4"/>
      <c r="D9082" s="4"/>
      <c r="E9082" s="4"/>
      <c r="F9082" s="4"/>
      <c r="G9082" s="4"/>
      <c r="H9082" s="4"/>
      <c r="I9082" s="4"/>
      <c r="J9082" s="21">
        <f>IFERROR(VLOOKUP(C9082,'STOK KARTLARI'!$C$2:$K$2150,8,0),0)</f>
        <v>0</v>
      </c>
      <c r="K9082" s="21">
        <f t="shared" si="623"/>
        <v>0</v>
      </c>
      <c r="L9082" s="5">
        <f t="shared" si="625"/>
        <v>0</v>
      </c>
      <c r="M9082" s="4"/>
      <c r="N9082" s="4"/>
      <c r="O9082" s="5"/>
      <c r="P9082" s="5"/>
      <c r="Q9082" s="21">
        <f t="shared" si="626"/>
        <v>0</v>
      </c>
      <c r="R9082" s="21">
        <f t="shared" si="624"/>
        <v>0</v>
      </c>
      <c r="S9082" s="5">
        <f t="shared" si="619"/>
        <v>70007.077158325032</v>
      </c>
      <c r="T9082" cm="1">
        <f t="array" ref="T9082">IF(OR(B9082="MAL ALIMI", B9082="ÜRETİM GİRİŞ"), MIN(I9082, MAX(0, I9082 + SUM(SUMIFS($I$1:I9081, $C$1:C9081, C9082, $B$1:B9081, {"MAL ALIMI","ÜRETİM GİRİŞ"})) - VLOOKUP(C9082, 'STOK RAPORU'!$C$2:$I$1000, 4, 0))), 0)</f>
        <v>0</v>
      </c>
      <c r="U9082" s="22">
        <f t="shared" si="620"/>
        <v>0</v>
      </c>
      <c r="V9082">
        <f t="shared" si="621"/>
        <v>0</v>
      </c>
      <c r="W9082" s="22">
        <f t="shared" si="622"/>
        <v>0</v>
      </c>
    </row>
    <row r="9083" spans="1:23" hidden="1" x14ac:dyDescent="0.25">
      <c r="A9083" s="4"/>
      <c r="B9083" s="4"/>
      <c r="C9083" s="4"/>
      <c r="D9083" s="4"/>
      <c r="E9083" s="4"/>
      <c r="F9083" s="4"/>
      <c r="G9083" s="4"/>
      <c r="H9083" s="4"/>
      <c r="I9083" s="4"/>
      <c r="J9083" s="21">
        <f>IFERROR(VLOOKUP(C9083,'STOK KARTLARI'!$C$2:$K$2150,8,0),0)</f>
        <v>0</v>
      </c>
      <c r="K9083" s="21">
        <f t="shared" si="623"/>
        <v>0</v>
      </c>
      <c r="L9083" s="5">
        <f t="shared" si="625"/>
        <v>0</v>
      </c>
      <c r="M9083" s="4"/>
      <c r="N9083" s="4"/>
      <c r="O9083" s="5"/>
      <c r="P9083" s="5"/>
      <c r="Q9083" s="21">
        <f t="shared" si="626"/>
        <v>0</v>
      </c>
      <c r="R9083" s="21">
        <f t="shared" si="624"/>
        <v>0</v>
      </c>
      <c r="S9083" s="5">
        <f t="shared" si="619"/>
        <v>70007.077158325032</v>
      </c>
      <c r="T9083" cm="1">
        <f t="array" ref="T9083">IF(OR(B9083="MAL ALIMI", B9083="ÜRETİM GİRİŞ"), MIN(I9083, MAX(0, I9083 + SUM(SUMIFS($I$1:I9082, $C$1:C9082, C9083, $B$1:B9082, {"MAL ALIMI","ÜRETİM GİRİŞ"})) - VLOOKUP(C9083, 'STOK RAPORU'!$C$2:$I$1000, 4, 0))), 0)</f>
        <v>0</v>
      </c>
      <c r="U9083" s="22">
        <f t="shared" si="620"/>
        <v>0</v>
      </c>
      <c r="V9083">
        <f t="shared" si="621"/>
        <v>0</v>
      </c>
      <c r="W9083" s="22">
        <f t="shared" si="622"/>
        <v>0</v>
      </c>
    </row>
    <row r="9084" spans="1:23" hidden="1" x14ac:dyDescent="0.25">
      <c r="A9084" s="4"/>
      <c r="B9084" s="4"/>
      <c r="C9084" s="4"/>
      <c r="D9084" s="4"/>
      <c r="E9084" s="4"/>
      <c r="F9084" s="4"/>
      <c r="G9084" s="4"/>
      <c r="H9084" s="4"/>
      <c r="I9084" s="4"/>
      <c r="J9084" s="21">
        <f>IFERROR(VLOOKUP(C9084,'STOK KARTLARI'!$C$2:$K$2150,8,0),0)</f>
        <v>0</v>
      </c>
      <c r="K9084" s="21">
        <f t="shared" si="623"/>
        <v>0</v>
      </c>
      <c r="L9084" s="5">
        <f t="shared" si="625"/>
        <v>0</v>
      </c>
      <c r="M9084" s="4"/>
      <c r="N9084" s="4"/>
      <c r="O9084" s="5"/>
      <c r="P9084" s="5"/>
      <c r="Q9084" s="21">
        <f t="shared" si="626"/>
        <v>0</v>
      </c>
      <c r="R9084" s="21">
        <f t="shared" si="624"/>
        <v>0</v>
      </c>
      <c r="S9084" s="5">
        <f t="shared" si="619"/>
        <v>70007.077158325032</v>
      </c>
      <c r="T9084" cm="1">
        <f t="array" ref="T9084">IF(OR(B9084="MAL ALIMI", B9084="ÜRETİM GİRİŞ"), MIN(I9084, MAX(0, I9084 + SUM(SUMIFS($I$1:I9083, $C$1:C9083, C9084, $B$1:B9083, {"MAL ALIMI","ÜRETİM GİRİŞ"})) - VLOOKUP(C9084, 'STOK RAPORU'!$C$2:$I$1000, 4, 0))), 0)</f>
        <v>0</v>
      </c>
      <c r="U9084" s="22">
        <f t="shared" si="620"/>
        <v>0</v>
      </c>
      <c r="V9084">
        <f t="shared" si="621"/>
        <v>0</v>
      </c>
      <c r="W9084" s="22">
        <f t="shared" si="622"/>
        <v>0</v>
      </c>
    </row>
    <row r="9085" spans="1:23" hidden="1" x14ac:dyDescent="0.25">
      <c r="A9085" s="4"/>
      <c r="B9085" s="4"/>
      <c r="C9085" s="4"/>
      <c r="D9085" s="4"/>
      <c r="E9085" s="4"/>
      <c r="F9085" s="4"/>
      <c r="G9085" s="4"/>
      <c r="H9085" s="4"/>
      <c r="I9085" s="4"/>
      <c r="J9085" s="21">
        <f>IFERROR(VLOOKUP(C9085,'STOK KARTLARI'!$C$2:$K$2150,8,0),0)</f>
        <v>0</v>
      </c>
      <c r="K9085" s="21">
        <f t="shared" si="623"/>
        <v>0</v>
      </c>
      <c r="L9085" s="5">
        <f t="shared" si="625"/>
        <v>0</v>
      </c>
      <c r="M9085" s="4"/>
      <c r="N9085" s="4"/>
      <c r="O9085" s="5"/>
      <c r="P9085" s="5"/>
      <c r="Q9085" s="21">
        <f t="shared" si="626"/>
        <v>0</v>
      </c>
      <c r="R9085" s="21">
        <f t="shared" si="624"/>
        <v>0</v>
      </c>
      <c r="S9085" s="5">
        <f t="shared" si="619"/>
        <v>70007.077158325032</v>
      </c>
      <c r="T9085" cm="1">
        <f t="array" ref="T9085">IF(OR(B9085="MAL ALIMI", B9085="ÜRETİM GİRİŞ"), MIN(I9085, MAX(0, I9085 + SUM(SUMIFS($I$1:I9084, $C$1:C9084, C9085, $B$1:B9084, {"MAL ALIMI","ÜRETİM GİRİŞ"})) - VLOOKUP(C9085, 'STOK RAPORU'!$C$2:$I$1000, 4, 0))), 0)</f>
        <v>0</v>
      </c>
      <c r="U9085" s="22">
        <f t="shared" si="620"/>
        <v>0</v>
      </c>
      <c r="V9085">
        <f t="shared" si="621"/>
        <v>0</v>
      </c>
      <c r="W9085" s="22">
        <f t="shared" si="622"/>
        <v>0</v>
      </c>
    </row>
    <row r="9086" spans="1:23" hidden="1" x14ac:dyDescent="0.25">
      <c r="A9086" s="4"/>
      <c r="B9086" s="4"/>
      <c r="C9086" s="4"/>
      <c r="D9086" s="4"/>
      <c r="E9086" s="4"/>
      <c r="F9086" s="4"/>
      <c r="G9086" s="4"/>
      <c r="H9086" s="4"/>
      <c r="I9086" s="4"/>
      <c r="J9086" s="21">
        <f>IFERROR(VLOOKUP(C9086,'STOK KARTLARI'!$C$2:$K$2150,8,0),0)</f>
        <v>0</v>
      </c>
      <c r="K9086" s="21">
        <f t="shared" si="623"/>
        <v>0</v>
      </c>
      <c r="L9086" s="5">
        <f t="shared" si="625"/>
        <v>0</v>
      </c>
      <c r="M9086" s="4"/>
      <c r="N9086" s="4"/>
      <c r="O9086" s="5"/>
      <c r="P9086" s="5"/>
      <c r="Q9086" s="21">
        <f t="shared" si="626"/>
        <v>0</v>
      </c>
      <c r="R9086" s="21">
        <f t="shared" si="624"/>
        <v>0</v>
      </c>
      <c r="S9086" s="5">
        <f t="shared" si="619"/>
        <v>70007.077158325032</v>
      </c>
      <c r="T9086" cm="1">
        <f t="array" ref="T9086">IF(OR(B9086="MAL ALIMI", B9086="ÜRETİM GİRİŞ"), MIN(I9086, MAX(0, I9086 + SUM(SUMIFS($I$1:I9085, $C$1:C9085, C9086, $B$1:B9085, {"MAL ALIMI","ÜRETİM GİRİŞ"})) - VLOOKUP(C9086, 'STOK RAPORU'!$C$2:$I$1000, 4, 0))), 0)</f>
        <v>0</v>
      </c>
      <c r="U9086" s="22">
        <f t="shared" si="620"/>
        <v>0</v>
      </c>
      <c r="V9086">
        <f t="shared" si="621"/>
        <v>0</v>
      </c>
      <c r="W9086" s="22">
        <f t="shared" si="622"/>
        <v>0</v>
      </c>
    </row>
    <row r="9087" spans="1:23" hidden="1" x14ac:dyDescent="0.25">
      <c r="A9087" s="4"/>
      <c r="B9087" s="4"/>
      <c r="C9087" s="4"/>
      <c r="D9087" s="4"/>
      <c r="E9087" s="4"/>
      <c r="F9087" s="4"/>
      <c r="G9087" s="4"/>
      <c r="H9087" s="4"/>
      <c r="I9087" s="4"/>
      <c r="J9087" s="21">
        <f>IFERROR(VLOOKUP(C9087,'STOK KARTLARI'!$C$2:$K$2150,8,0),0)</f>
        <v>0</v>
      </c>
      <c r="K9087" s="21">
        <f t="shared" si="623"/>
        <v>0</v>
      </c>
      <c r="L9087" s="5">
        <f t="shared" si="625"/>
        <v>0</v>
      </c>
      <c r="M9087" s="4"/>
      <c r="N9087" s="4"/>
      <c r="O9087" s="5"/>
      <c r="P9087" s="5"/>
      <c r="Q9087" s="21">
        <f t="shared" si="626"/>
        <v>0</v>
      </c>
      <c r="R9087" s="21">
        <f t="shared" si="624"/>
        <v>0</v>
      </c>
      <c r="S9087" s="5">
        <f t="shared" si="619"/>
        <v>70007.077158325032</v>
      </c>
      <c r="T9087" cm="1">
        <f t="array" ref="T9087">IF(OR(B9087="MAL ALIMI", B9087="ÜRETİM GİRİŞ"), MIN(I9087, MAX(0, I9087 + SUM(SUMIFS($I$1:I9086, $C$1:C9086, C9087, $B$1:B9086, {"MAL ALIMI","ÜRETİM GİRİŞ"})) - VLOOKUP(C9087, 'STOK RAPORU'!$C$2:$I$1000, 4, 0))), 0)</f>
        <v>0</v>
      </c>
      <c r="U9087" s="22">
        <f t="shared" si="620"/>
        <v>0</v>
      </c>
      <c r="V9087">
        <f t="shared" si="621"/>
        <v>0</v>
      </c>
      <c r="W9087" s="22">
        <f t="shared" si="622"/>
        <v>0</v>
      </c>
    </row>
    <row r="9088" spans="1:23" hidden="1" x14ac:dyDescent="0.25">
      <c r="A9088" s="4"/>
      <c r="B9088" s="4"/>
      <c r="C9088" s="4"/>
      <c r="D9088" s="4"/>
      <c r="E9088" s="4"/>
      <c r="F9088" s="4"/>
      <c r="G9088" s="4"/>
      <c r="H9088" s="4"/>
      <c r="I9088" s="4"/>
      <c r="J9088" s="21">
        <f>IFERROR(VLOOKUP(C9088,'STOK KARTLARI'!$C$2:$K$2150,8,0),0)</f>
        <v>0</v>
      </c>
      <c r="K9088" s="21">
        <f t="shared" si="623"/>
        <v>0</v>
      </c>
      <c r="L9088" s="5">
        <f t="shared" si="625"/>
        <v>0</v>
      </c>
      <c r="M9088" s="4"/>
      <c r="N9088" s="4"/>
      <c r="O9088" s="5"/>
      <c r="P9088" s="5"/>
      <c r="Q9088" s="21">
        <f t="shared" si="626"/>
        <v>0</v>
      </c>
      <c r="R9088" s="21">
        <f t="shared" si="624"/>
        <v>0</v>
      </c>
      <c r="S9088" s="5">
        <f t="shared" si="619"/>
        <v>70007.077158325032</v>
      </c>
      <c r="T9088" cm="1">
        <f t="array" ref="T9088">IF(OR(B9088="MAL ALIMI", B9088="ÜRETİM GİRİŞ"), MIN(I9088, MAX(0, I9088 + SUM(SUMIFS($I$1:I9087, $C$1:C9087, C9088, $B$1:B9087, {"MAL ALIMI","ÜRETİM GİRİŞ"})) - VLOOKUP(C9088, 'STOK RAPORU'!$C$2:$I$1000, 4, 0))), 0)</f>
        <v>0</v>
      </c>
      <c r="U9088" s="22">
        <f t="shared" si="620"/>
        <v>0</v>
      </c>
      <c r="V9088">
        <f t="shared" si="621"/>
        <v>0</v>
      </c>
      <c r="W9088" s="22">
        <f t="shared" si="622"/>
        <v>0</v>
      </c>
    </row>
    <row r="9089" spans="1:23" hidden="1" x14ac:dyDescent="0.25">
      <c r="A9089" s="3"/>
      <c r="B9089" s="4"/>
      <c r="C9089" s="4"/>
      <c r="D9089" s="4"/>
      <c r="E9089" s="4"/>
      <c r="F9089" s="4"/>
      <c r="G9089" s="4"/>
      <c r="H9089" s="4"/>
      <c r="I9089" s="4"/>
      <c r="J9089" s="21">
        <f>IFERROR(VLOOKUP(C9089,'STOK KARTLARI'!$C$2:$K$2150,8,0),0)</f>
        <v>0</v>
      </c>
      <c r="K9089" s="21">
        <f t="shared" si="623"/>
        <v>0</v>
      </c>
      <c r="L9089" s="5">
        <f t="shared" si="625"/>
        <v>0</v>
      </c>
      <c r="M9089" s="4"/>
      <c r="N9089" s="4"/>
      <c r="O9089" s="5"/>
      <c r="P9089" s="5"/>
      <c r="Q9089" s="21">
        <f t="shared" si="626"/>
        <v>0</v>
      </c>
      <c r="R9089" s="21">
        <f t="shared" si="624"/>
        <v>0</v>
      </c>
      <c r="S9089" s="5">
        <f t="shared" si="619"/>
        <v>70007.077158325032</v>
      </c>
      <c r="T9089" cm="1">
        <f t="array" ref="T9089">IF(OR(B9089="MAL ALIMI", B9089="ÜRETİM GİRİŞ"), MIN(I9089, MAX(0, I9089 + SUM(SUMIFS($I$1:I9088, $C$1:C9088, C9089, $B$1:B9088, {"MAL ALIMI","ÜRETİM GİRİŞ"})) - VLOOKUP(C9089, 'STOK RAPORU'!$C$2:$I$1000, 4, 0))), 0)</f>
        <v>0</v>
      </c>
      <c r="U9089" s="22">
        <f t="shared" si="620"/>
        <v>0</v>
      </c>
      <c r="V9089">
        <f t="shared" si="621"/>
        <v>0</v>
      </c>
      <c r="W9089" s="22">
        <f t="shared" si="622"/>
        <v>0</v>
      </c>
    </row>
    <row r="9090" spans="1:23" hidden="1" x14ac:dyDescent="0.25">
      <c r="A9090" s="3"/>
      <c r="B9090" s="4"/>
      <c r="C9090" s="4"/>
      <c r="D9090" s="4"/>
      <c r="E9090" s="4"/>
      <c r="F9090" s="4"/>
      <c r="G9090" s="4"/>
      <c r="H9090" s="4"/>
      <c r="I9090" s="4"/>
      <c r="J9090" s="21">
        <f>IFERROR(VLOOKUP(C9090,'STOK KARTLARI'!$C$2:$K$2150,8,0),0)</f>
        <v>0</v>
      </c>
      <c r="K9090" s="21">
        <f t="shared" si="623"/>
        <v>0</v>
      </c>
      <c r="L9090" s="5">
        <f t="shared" si="625"/>
        <v>0</v>
      </c>
      <c r="M9090" s="4"/>
      <c r="N9090" s="4"/>
      <c r="O9090" s="5"/>
      <c r="P9090" s="5"/>
      <c r="Q9090" s="21">
        <f t="shared" si="626"/>
        <v>0</v>
      </c>
      <c r="R9090" s="21">
        <f t="shared" si="624"/>
        <v>0</v>
      </c>
      <c r="S9090" s="5">
        <f t="shared" si="619"/>
        <v>70007.077158325032</v>
      </c>
      <c r="T9090" cm="1">
        <f t="array" ref="T9090">IF(OR(B9090="MAL ALIMI", B9090="ÜRETİM GİRİŞ"), MIN(I9090, MAX(0, I9090 + SUM(SUMIFS($I$1:I9089, $C$1:C9089, C9090, $B$1:B9089, {"MAL ALIMI","ÜRETİM GİRİŞ"})) - VLOOKUP(C9090, 'STOK RAPORU'!$C$2:$I$1000, 4, 0))), 0)</f>
        <v>0</v>
      </c>
      <c r="U9090" s="22">
        <f t="shared" si="620"/>
        <v>0</v>
      </c>
      <c r="V9090">
        <f t="shared" si="621"/>
        <v>0</v>
      </c>
      <c r="W9090" s="22">
        <f t="shared" si="622"/>
        <v>0</v>
      </c>
    </row>
    <row r="9091" spans="1:23" hidden="1" x14ac:dyDescent="0.25">
      <c r="A9091" s="4"/>
      <c r="B9091" s="4"/>
      <c r="C9091" s="4"/>
      <c r="D9091" s="4"/>
      <c r="E9091" s="4"/>
      <c r="F9091" s="4"/>
      <c r="G9091" s="4"/>
      <c r="H9091" s="4"/>
      <c r="I9091" s="4"/>
      <c r="J9091" s="21">
        <f>IFERROR(VLOOKUP(C9091,'STOK KARTLARI'!$C$2:$K$2150,8,0),0)</f>
        <v>0</v>
      </c>
      <c r="K9091" s="21">
        <f t="shared" si="623"/>
        <v>0</v>
      </c>
      <c r="L9091" s="5">
        <f t="shared" si="625"/>
        <v>0</v>
      </c>
      <c r="M9091" s="4"/>
      <c r="N9091" s="4"/>
      <c r="O9091" s="5"/>
      <c r="P9091" s="5"/>
      <c r="Q9091" s="21">
        <f t="shared" si="626"/>
        <v>0</v>
      </c>
      <c r="R9091" s="21">
        <f t="shared" si="624"/>
        <v>0</v>
      </c>
      <c r="S9091" s="5">
        <f t="shared" si="619"/>
        <v>70007.077158325032</v>
      </c>
      <c r="T9091" cm="1">
        <f t="array" ref="T9091">IF(OR(B9091="MAL ALIMI", B9091="ÜRETİM GİRİŞ"), MIN(I9091, MAX(0, I9091 + SUM(SUMIFS($I$1:I9090, $C$1:C9090, C9091, $B$1:B9090, {"MAL ALIMI","ÜRETİM GİRİŞ"})) - VLOOKUP(C9091, 'STOK RAPORU'!$C$2:$I$1000, 4, 0))), 0)</f>
        <v>0</v>
      </c>
      <c r="U9091" s="22">
        <f t="shared" si="620"/>
        <v>0</v>
      </c>
      <c r="V9091">
        <f t="shared" si="621"/>
        <v>0</v>
      </c>
      <c r="W9091" s="22">
        <f t="shared" si="622"/>
        <v>0</v>
      </c>
    </row>
    <row r="9092" spans="1:23" hidden="1" x14ac:dyDescent="0.25">
      <c r="A9092" s="4"/>
      <c r="B9092" s="4"/>
      <c r="C9092" s="4"/>
      <c r="D9092" s="4"/>
      <c r="E9092" s="4"/>
      <c r="F9092" s="4"/>
      <c r="G9092" s="4"/>
      <c r="H9092" s="4"/>
      <c r="I9092" s="4"/>
      <c r="J9092" s="21">
        <f>IFERROR(VLOOKUP(C9092,'STOK KARTLARI'!$C$2:$K$2150,8,0),0)</f>
        <v>0</v>
      </c>
      <c r="K9092" s="21">
        <f t="shared" si="623"/>
        <v>0</v>
      </c>
      <c r="L9092" s="5">
        <f t="shared" si="625"/>
        <v>0</v>
      </c>
      <c r="M9092" s="4"/>
      <c r="N9092" s="4"/>
      <c r="O9092" s="5"/>
      <c r="P9092" s="5"/>
      <c r="Q9092" s="21">
        <f t="shared" si="626"/>
        <v>0</v>
      </c>
      <c r="R9092" s="21">
        <f t="shared" si="624"/>
        <v>0</v>
      </c>
      <c r="S9092" s="5">
        <f t="shared" si="619"/>
        <v>70007.077158325032</v>
      </c>
      <c r="T9092" cm="1">
        <f t="array" ref="T9092">IF(OR(B9092="MAL ALIMI", B9092="ÜRETİM GİRİŞ"), MIN(I9092, MAX(0, I9092 + SUM(SUMIFS($I$1:I9091, $C$1:C9091, C9092, $B$1:B9091, {"MAL ALIMI","ÜRETİM GİRİŞ"})) - VLOOKUP(C9092, 'STOK RAPORU'!$C$2:$I$1000, 4, 0))), 0)</f>
        <v>0</v>
      </c>
      <c r="U9092" s="22">
        <f t="shared" si="620"/>
        <v>0</v>
      </c>
      <c r="V9092">
        <f t="shared" si="621"/>
        <v>0</v>
      </c>
      <c r="W9092" s="22">
        <f t="shared" si="622"/>
        <v>0</v>
      </c>
    </row>
    <row r="9093" spans="1:23" hidden="1" x14ac:dyDescent="0.25">
      <c r="A9093" s="4"/>
      <c r="B9093" s="4"/>
      <c r="C9093" s="4"/>
      <c r="D9093" s="4"/>
      <c r="E9093" s="4"/>
      <c r="F9093" s="4"/>
      <c r="G9093" s="4"/>
      <c r="H9093" s="4"/>
      <c r="I9093" s="4"/>
      <c r="J9093" s="21">
        <f>IFERROR(VLOOKUP(C9093,'STOK KARTLARI'!$C$2:$K$2150,8,0),0)</f>
        <v>0</v>
      </c>
      <c r="K9093" s="21">
        <f t="shared" si="623"/>
        <v>0</v>
      </c>
      <c r="L9093" s="5">
        <f t="shared" si="625"/>
        <v>0</v>
      </c>
      <c r="M9093" s="4"/>
      <c r="N9093" s="4"/>
      <c r="O9093" s="5"/>
      <c r="P9093" s="5"/>
      <c r="Q9093" s="21">
        <f t="shared" si="626"/>
        <v>0</v>
      </c>
      <c r="R9093" s="21">
        <f t="shared" si="624"/>
        <v>0</v>
      </c>
      <c r="S9093" s="5">
        <f t="shared" ref="S9093:S9156" si="627">S9092+Q9093-R9093</f>
        <v>70007.077158325032</v>
      </c>
      <c r="T9093" cm="1">
        <f t="array" ref="T9093">IF(OR(B9093="MAL ALIMI", B9093="ÜRETİM GİRİŞ"), MIN(I9093, MAX(0, I9093 + SUM(SUMIFS($I$1:I9092, $C$1:C9092, C9093, $B$1:B9092, {"MAL ALIMI","ÜRETİM GİRİŞ"})) - VLOOKUP(C9093, 'STOK RAPORU'!$C$2:$I$1000, 4, 0))), 0)</f>
        <v>0</v>
      </c>
      <c r="U9093" s="22">
        <f t="shared" si="620"/>
        <v>0</v>
      </c>
      <c r="V9093">
        <f t="shared" si="621"/>
        <v>0</v>
      </c>
      <c r="W9093" s="22">
        <f t="shared" si="622"/>
        <v>0</v>
      </c>
    </row>
    <row r="9094" spans="1:23" hidden="1" x14ac:dyDescent="0.25">
      <c r="A9094" s="4"/>
      <c r="B9094" s="4"/>
      <c r="C9094" s="4"/>
      <c r="D9094" s="4"/>
      <c r="E9094" s="4"/>
      <c r="F9094" s="4"/>
      <c r="G9094" s="4"/>
      <c r="H9094" s="4"/>
      <c r="I9094" s="4"/>
      <c r="J9094" s="21">
        <f>IFERROR(VLOOKUP(C9094,'STOK KARTLARI'!$C$2:$K$2150,8,0),0)</f>
        <v>0</v>
      </c>
      <c r="K9094" s="21">
        <f t="shared" si="623"/>
        <v>0</v>
      </c>
      <c r="L9094" s="5">
        <f t="shared" si="625"/>
        <v>0</v>
      </c>
      <c r="M9094" s="4"/>
      <c r="N9094" s="4"/>
      <c r="O9094" s="5"/>
      <c r="P9094" s="5"/>
      <c r="Q9094" s="21">
        <f t="shared" si="626"/>
        <v>0</v>
      </c>
      <c r="R9094" s="21">
        <f t="shared" si="624"/>
        <v>0</v>
      </c>
      <c r="S9094" s="5">
        <f t="shared" si="627"/>
        <v>70007.077158325032</v>
      </c>
      <c r="T9094" cm="1">
        <f t="array" ref="T9094">IF(OR(B9094="MAL ALIMI", B9094="ÜRETİM GİRİŞ"), MIN(I9094, MAX(0, I9094 + SUM(SUMIFS($I$1:I9093, $C$1:C9093, C9094, $B$1:B9093, {"MAL ALIMI","ÜRETİM GİRİŞ"})) - VLOOKUP(C9094, 'STOK RAPORU'!$C$2:$I$1000, 4, 0))), 0)</f>
        <v>0</v>
      </c>
      <c r="U9094" s="22">
        <f t="shared" si="620"/>
        <v>0</v>
      </c>
      <c r="V9094">
        <f t="shared" si="621"/>
        <v>0</v>
      </c>
      <c r="W9094" s="22">
        <f t="shared" si="622"/>
        <v>0</v>
      </c>
    </row>
    <row r="9095" spans="1:23" hidden="1" x14ac:dyDescent="0.25">
      <c r="A9095" s="4"/>
      <c r="B9095" s="4"/>
      <c r="C9095" s="4"/>
      <c r="D9095" s="4"/>
      <c r="E9095" s="4"/>
      <c r="F9095" s="4"/>
      <c r="G9095" s="4"/>
      <c r="H9095" s="4"/>
      <c r="I9095" s="4"/>
      <c r="J9095" s="21">
        <f>IFERROR(VLOOKUP(C9095,'STOK KARTLARI'!$C$2:$K$2150,8,0),0)</f>
        <v>0</v>
      </c>
      <c r="K9095" s="21">
        <f t="shared" si="623"/>
        <v>0</v>
      </c>
      <c r="L9095" s="5">
        <f t="shared" si="625"/>
        <v>0</v>
      </c>
      <c r="M9095" s="4"/>
      <c r="N9095" s="4"/>
      <c r="O9095" s="5"/>
      <c r="P9095" s="5"/>
      <c r="Q9095" s="21">
        <f t="shared" si="626"/>
        <v>0</v>
      </c>
      <c r="R9095" s="21">
        <f t="shared" si="624"/>
        <v>0</v>
      </c>
      <c r="S9095" s="5">
        <f t="shared" si="627"/>
        <v>70007.077158325032</v>
      </c>
      <c r="T9095" cm="1">
        <f t="array" ref="T9095">IF(OR(B9095="MAL ALIMI", B9095="ÜRETİM GİRİŞ"), MIN(I9095, MAX(0, I9095 + SUM(SUMIFS($I$1:I9094, $C$1:C9094, C9095, $B$1:B9094, {"MAL ALIMI","ÜRETİM GİRİŞ"})) - VLOOKUP(C9095, 'STOK RAPORU'!$C$2:$I$1000, 4, 0))), 0)</f>
        <v>0</v>
      </c>
      <c r="U9095" s="22">
        <f t="shared" si="620"/>
        <v>0</v>
      </c>
      <c r="V9095">
        <f t="shared" si="621"/>
        <v>0</v>
      </c>
      <c r="W9095" s="22">
        <f t="shared" si="622"/>
        <v>0</v>
      </c>
    </row>
    <row r="9096" spans="1:23" hidden="1" x14ac:dyDescent="0.25">
      <c r="A9096" s="4"/>
      <c r="B9096" s="4"/>
      <c r="C9096" s="4"/>
      <c r="D9096" s="4"/>
      <c r="E9096" s="4"/>
      <c r="F9096" s="4"/>
      <c r="G9096" s="4"/>
      <c r="H9096" s="4"/>
      <c r="I9096" s="4"/>
      <c r="J9096" s="21">
        <f>IFERROR(VLOOKUP(C9096,'STOK KARTLARI'!$C$2:$K$2150,8,0),0)</f>
        <v>0</v>
      </c>
      <c r="K9096" s="21">
        <f t="shared" si="623"/>
        <v>0</v>
      </c>
      <c r="L9096" s="5">
        <f t="shared" si="625"/>
        <v>0</v>
      </c>
      <c r="M9096" s="4"/>
      <c r="N9096" s="4"/>
      <c r="O9096" s="5"/>
      <c r="P9096" s="5"/>
      <c r="Q9096" s="21">
        <f t="shared" si="626"/>
        <v>0</v>
      </c>
      <c r="R9096" s="21">
        <f t="shared" si="624"/>
        <v>0</v>
      </c>
      <c r="S9096" s="5">
        <f t="shared" si="627"/>
        <v>70007.077158325032</v>
      </c>
      <c r="T9096" cm="1">
        <f t="array" ref="T9096">IF(OR(B9096="MAL ALIMI", B9096="ÜRETİM GİRİŞ"), MIN(I9096, MAX(0, I9096 + SUM(SUMIFS($I$1:I9095, $C$1:C9095, C9096, $B$1:B9095, {"MAL ALIMI","ÜRETİM GİRİŞ"})) - VLOOKUP(C9096, 'STOK RAPORU'!$C$2:$I$1000, 4, 0))), 0)</f>
        <v>0</v>
      </c>
      <c r="U9096" s="22">
        <f t="shared" si="620"/>
        <v>0</v>
      </c>
      <c r="V9096">
        <f t="shared" si="621"/>
        <v>0</v>
      </c>
      <c r="W9096" s="22">
        <f t="shared" si="622"/>
        <v>0</v>
      </c>
    </row>
    <row r="9097" spans="1:23" hidden="1" x14ac:dyDescent="0.25">
      <c r="A9097" s="3"/>
      <c r="B9097" s="4"/>
      <c r="C9097" s="4"/>
      <c r="D9097" s="4"/>
      <c r="E9097" s="4"/>
      <c r="F9097" s="4"/>
      <c r="G9097" s="4"/>
      <c r="H9097" s="4"/>
      <c r="I9097" s="4"/>
      <c r="J9097" s="21">
        <f>IFERROR(VLOOKUP(C9097,'STOK KARTLARI'!$C$2:$K$2150,8,0),0)</f>
        <v>0</v>
      </c>
      <c r="K9097" s="21">
        <f t="shared" si="623"/>
        <v>0</v>
      </c>
      <c r="L9097" s="5">
        <f t="shared" si="625"/>
        <v>0</v>
      </c>
      <c r="M9097" s="4"/>
      <c r="N9097" s="4"/>
      <c r="O9097" s="5"/>
      <c r="P9097" s="5"/>
      <c r="Q9097" s="21">
        <f t="shared" si="626"/>
        <v>0</v>
      </c>
      <c r="R9097" s="21">
        <f t="shared" si="624"/>
        <v>0</v>
      </c>
      <c r="S9097" s="5">
        <f t="shared" si="627"/>
        <v>70007.077158325032</v>
      </c>
      <c r="T9097" cm="1">
        <f t="array" ref="T9097">IF(OR(B9097="MAL ALIMI", B9097="ÜRETİM GİRİŞ"), MIN(I9097, MAX(0, I9097 + SUM(SUMIFS($I$1:I9096, $C$1:C9096, C9097, $B$1:B9096, {"MAL ALIMI","ÜRETİM GİRİŞ"})) - VLOOKUP(C9097, 'STOK RAPORU'!$C$2:$I$1000, 4, 0))), 0)</f>
        <v>0</v>
      </c>
      <c r="U9097" s="22">
        <f t="shared" si="620"/>
        <v>0</v>
      </c>
      <c r="V9097">
        <f t="shared" si="621"/>
        <v>0</v>
      </c>
      <c r="W9097" s="22">
        <f t="shared" si="622"/>
        <v>0</v>
      </c>
    </row>
    <row r="9098" spans="1:23" hidden="1" x14ac:dyDescent="0.25">
      <c r="A9098" s="4"/>
      <c r="B9098" s="4"/>
      <c r="C9098" s="4"/>
      <c r="D9098" s="4"/>
      <c r="E9098" s="4"/>
      <c r="F9098" s="4"/>
      <c r="G9098" s="4"/>
      <c r="H9098" s="4"/>
      <c r="I9098" s="4"/>
      <c r="J9098" s="21">
        <f>IFERROR(VLOOKUP(C9098,'STOK KARTLARI'!$C$2:$K$2150,8,0),0)</f>
        <v>0</v>
      </c>
      <c r="K9098" s="21">
        <f t="shared" si="623"/>
        <v>0</v>
      </c>
      <c r="L9098" s="5">
        <f t="shared" si="625"/>
        <v>0</v>
      </c>
      <c r="M9098" s="4"/>
      <c r="N9098" s="4"/>
      <c r="O9098" s="5"/>
      <c r="P9098" s="5"/>
      <c r="Q9098" s="21">
        <f t="shared" si="626"/>
        <v>0</v>
      </c>
      <c r="R9098" s="21">
        <f t="shared" si="624"/>
        <v>0</v>
      </c>
      <c r="S9098" s="5">
        <f t="shared" si="627"/>
        <v>70007.077158325032</v>
      </c>
      <c r="T9098" cm="1">
        <f t="array" ref="T9098">IF(OR(B9098="MAL ALIMI", B9098="ÜRETİM GİRİŞ"), MIN(I9098, MAX(0, I9098 + SUM(SUMIFS($I$1:I9097, $C$1:C9097, C9098, $B$1:B9097, {"MAL ALIMI","ÜRETİM GİRİŞ"})) - VLOOKUP(C9098, 'STOK RAPORU'!$C$2:$I$1000, 4, 0))), 0)</f>
        <v>0</v>
      </c>
      <c r="U9098" s="22">
        <f t="shared" si="620"/>
        <v>0</v>
      </c>
      <c r="V9098">
        <f t="shared" si="621"/>
        <v>0</v>
      </c>
      <c r="W9098" s="22">
        <f t="shared" si="622"/>
        <v>0</v>
      </c>
    </row>
    <row r="9099" spans="1:23" hidden="1" x14ac:dyDescent="0.25">
      <c r="A9099" s="4"/>
      <c r="B9099" s="4"/>
      <c r="C9099" s="4"/>
      <c r="D9099" s="4"/>
      <c r="E9099" s="4"/>
      <c r="F9099" s="4"/>
      <c r="G9099" s="4"/>
      <c r="H9099" s="4"/>
      <c r="I9099" s="4"/>
      <c r="J9099" s="21">
        <f>IFERROR(VLOOKUP(C9099,'STOK KARTLARI'!$C$2:$K$2150,8,0),0)</f>
        <v>0</v>
      </c>
      <c r="K9099" s="21">
        <f t="shared" si="623"/>
        <v>0</v>
      </c>
      <c r="L9099" s="5">
        <f t="shared" si="625"/>
        <v>0</v>
      </c>
      <c r="M9099" s="4"/>
      <c r="N9099" s="4"/>
      <c r="O9099" s="5"/>
      <c r="P9099" s="5"/>
      <c r="Q9099" s="21">
        <f t="shared" si="626"/>
        <v>0</v>
      </c>
      <c r="R9099" s="21">
        <f t="shared" si="624"/>
        <v>0</v>
      </c>
      <c r="S9099" s="5">
        <f t="shared" si="627"/>
        <v>70007.077158325032</v>
      </c>
      <c r="T9099" cm="1">
        <f t="array" ref="T9099">IF(OR(B9099="MAL ALIMI", B9099="ÜRETİM GİRİŞ"), MIN(I9099, MAX(0, I9099 + SUM(SUMIFS($I$1:I9098, $C$1:C9098, C9099, $B$1:B9098, {"MAL ALIMI","ÜRETİM GİRİŞ"})) - VLOOKUP(C9099, 'STOK RAPORU'!$C$2:$I$1000, 4, 0))), 0)</f>
        <v>0</v>
      </c>
      <c r="U9099" s="22">
        <f t="shared" si="620"/>
        <v>0</v>
      </c>
      <c r="V9099">
        <f t="shared" si="621"/>
        <v>0</v>
      </c>
      <c r="W9099" s="22">
        <f t="shared" si="622"/>
        <v>0</v>
      </c>
    </row>
    <row r="9100" spans="1:23" hidden="1" x14ac:dyDescent="0.25">
      <c r="A9100" s="4"/>
      <c r="B9100" s="4"/>
      <c r="C9100" s="4"/>
      <c r="D9100" s="4"/>
      <c r="E9100" s="4"/>
      <c r="F9100" s="4"/>
      <c r="G9100" s="4"/>
      <c r="H9100" s="4"/>
      <c r="I9100" s="4"/>
      <c r="J9100" s="21">
        <f>IFERROR(VLOOKUP(C9100,'STOK KARTLARI'!$C$2:$K$2150,8,0),0)</f>
        <v>0</v>
      </c>
      <c r="K9100" s="21">
        <f t="shared" si="623"/>
        <v>0</v>
      </c>
      <c r="L9100" s="5">
        <f t="shared" si="625"/>
        <v>0</v>
      </c>
      <c r="M9100" s="4"/>
      <c r="N9100" s="4"/>
      <c r="O9100" s="5"/>
      <c r="P9100" s="5"/>
      <c r="Q9100" s="21">
        <f t="shared" si="626"/>
        <v>0</v>
      </c>
      <c r="R9100" s="21">
        <f t="shared" si="624"/>
        <v>0</v>
      </c>
      <c r="S9100" s="5">
        <f t="shared" si="627"/>
        <v>70007.077158325032</v>
      </c>
      <c r="T9100" cm="1">
        <f t="array" ref="T9100">IF(OR(B9100="MAL ALIMI", B9100="ÜRETİM GİRİŞ"), MIN(I9100, MAX(0, I9100 + SUM(SUMIFS($I$1:I9099, $C$1:C9099, C9100, $B$1:B9099, {"MAL ALIMI","ÜRETİM GİRİŞ"})) - VLOOKUP(C9100, 'STOK RAPORU'!$C$2:$I$1000, 4, 0))), 0)</f>
        <v>0</v>
      </c>
      <c r="U9100" s="22">
        <f t="shared" si="620"/>
        <v>0</v>
      </c>
      <c r="V9100">
        <f t="shared" si="621"/>
        <v>0</v>
      </c>
      <c r="W9100" s="22">
        <f t="shared" si="622"/>
        <v>0</v>
      </c>
    </row>
    <row r="9101" spans="1:23" hidden="1" x14ac:dyDescent="0.25">
      <c r="A9101" s="4"/>
      <c r="B9101" s="4"/>
      <c r="C9101" s="4"/>
      <c r="D9101" s="4"/>
      <c r="E9101" s="4"/>
      <c r="F9101" s="4"/>
      <c r="G9101" s="4"/>
      <c r="H9101" s="4"/>
      <c r="I9101" s="4"/>
      <c r="J9101" s="21">
        <f>IFERROR(VLOOKUP(C9101,'STOK KARTLARI'!$C$2:$K$2150,8,0),0)</f>
        <v>0</v>
      </c>
      <c r="K9101" s="21">
        <f t="shared" si="623"/>
        <v>0</v>
      </c>
      <c r="L9101" s="5">
        <f t="shared" si="625"/>
        <v>0</v>
      </c>
      <c r="M9101" s="4"/>
      <c r="N9101" s="4"/>
      <c r="O9101" s="5"/>
      <c r="P9101" s="5"/>
      <c r="Q9101" s="21">
        <f t="shared" si="626"/>
        <v>0</v>
      </c>
      <c r="R9101" s="21">
        <f t="shared" si="624"/>
        <v>0</v>
      </c>
      <c r="S9101" s="5">
        <f t="shared" si="627"/>
        <v>70007.077158325032</v>
      </c>
      <c r="T9101" cm="1">
        <f t="array" ref="T9101">IF(OR(B9101="MAL ALIMI", B9101="ÜRETİM GİRİŞ"), MIN(I9101, MAX(0, I9101 + SUM(SUMIFS($I$1:I9100, $C$1:C9100, C9101, $B$1:B9100, {"MAL ALIMI","ÜRETİM GİRİŞ"})) - VLOOKUP(C9101, 'STOK RAPORU'!$C$2:$I$1000, 4, 0))), 0)</f>
        <v>0</v>
      </c>
      <c r="U9101" s="22">
        <f t="shared" si="620"/>
        <v>0</v>
      </c>
      <c r="V9101">
        <f t="shared" si="621"/>
        <v>0</v>
      </c>
      <c r="W9101" s="22">
        <f t="shared" si="622"/>
        <v>0</v>
      </c>
    </row>
    <row r="9102" spans="1:23" hidden="1" x14ac:dyDescent="0.25">
      <c r="A9102" s="4"/>
      <c r="B9102" s="4"/>
      <c r="C9102" s="4"/>
      <c r="D9102" s="4"/>
      <c r="E9102" s="4"/>
      <c r="F9102" s="4"/>
      <c r="G9102" s="4"/>
      <c r="H9102" s="4"/>
      <c r="I9102" s="4"/>
      <c r="J9102" s="21">
        <f>IFERROR(VLOOKUP(C9102,'STOK KARTLARI'!$C$2:$K$2150,8,0),0)</f>
        <v>0</v>
      </c>
      <c r="K9102" s="21">
        <f t="shared" si="623"/>
        <v>0</v>
      </c>
      <c r="L9102" s="5">
        <f t="shared" si="625"/>
        <v>0</v>
      </c>
      <c r="M9102" s="4"/>
      <c r="N9102" s="4"/>
      <c r="O9102" s="5"/>
      <c r="P9102" s="5"/>
      <c r="Q9102" s="21">
        <f t="shared" si="626"/>
        <v>0</v>
      </c>
      <c r="R9102" s="21">
        <f t="shared" si="624"/>
        <v>0</v>
      </c>
      <c r="S9102" s="5">
        <f t="shared" si="627"/>
        <v>70007.077158325032</v>
      </c>
      <c r="T9102" cm="1">
        <f t="array" ref="T9102">IF(OR(B9102="MAL ALIMI", B9102="ÜRETİM GİRİŞ"), MIN(I9102, MAX(0, I9102 + SUM(SUMIFS($I$1:I9101, $C$1:C9101, C9102, $B$1:B9101, {"MAL ALIMI","ÜRETİM GİRİŞ"})) - VLOOKUP(C9102, 'STOK RAPORU'!$C$2:$I$1000, 4, 0))), 0)</f>
        <v>0</v>
      </c>
      <c r="U9102" s="22">
        <f t="shared" si="620"/>
        <v>0</v>
      </c>
      <c r="V9102">
        <f t="shared" si="621"/>
        <v>0</v>
      </c>
      <c r="W9102" s="22">
        <f t="shared" si="622"/>
        <v>0</v>
      </c>
    </row>
    <row r="9103" spans="1:23" hidden="1" x14ac:dyDescent="0.25">
      <c r="A9103" s="4"/>
      <c r="B9103" s="4"/>
      <c r="C9103" s="4"/>
      <c r="D9103" s="4"/>
      <c r="E9103" s="4"/>
      <c r="F9103" s="4"/>
      <c r="G9103" s="4"/>
      <c r="H9103" s="4"/>
      <c r="I9103" s="4"/>
      <c r="J9103" s="21">
        <f>IFERROR(VLOOKUP(C9103,'STOK KARTLARI'!$C$2:$K$2150,8,0),0)</f>
        <v>0</v>
      </c>
      <c r="K9103" s="21">
        <f t="shared" si="623"/>
        <v>0</v>
      </c>
      <c r="L9103" s="5">
        <f t="shared" si="625"/>
        <v>0</v>
      </c>
      <c r="M9103" s="4"/>
      <c r="N9103" s="4"/>
      <c r="O9103" s="5"/>
      <c r="P9103" s="5"/>
      <c r="Q9103" s="21">
        <f t="shared" si="626"/>
        <v>0</v>
      </c>
      <c r="R9103" s="21">
        <f t="shared" si="624"/>
        <v>0</v>
      </c>
      <c r="S9103" s="5">
        <f t="shared" si="627"/>
        <v>70007.077158325032</v>
      </c>
      <c r="T9103" cm="1">
        <f t="array" ref="T9103">IF(OR(B9103="MAL ALIMI", B9103="ÜRETİM GİRİŞ"), MIN(I9103, MAX(0, I9103 + SUM(SUMIFS($I$1:I9102, $C$1:C9102, C9103, $B$1:B9102, {"MAL ALIMI","ÜRETİM GİRİŞ"})) - VLOOKUP(C9103, 'STOK RAPORU'!$C$2:$I$1000, 4, 0))), 0)</f>
        <v>0</v>
      </c>
      <c r="U9103" s="22">
        <f t="shared" si="620"/>
        <v>0</v>
      </c>
      <c r="V9103">
        <f t="shared" si="621"/>
        <v>0</v>
      </c>
      <c r="W9103" s="22">
        <f t="shared" si="622"/>
        <v>0</v>
      </c>
    </row>
    <row r="9104" spans="1:23" hidden="1" x14ac:dyDescent="0.25">
      <c r="A9104" s="3"/>
      <c r="B9104" s="4"/>
      <c r="C9104" s="4"/>
      <c r="D9104" s="4"/>
      <c r="E9104" s="4"/>
      <c r="F9104" s="4"/>
      <c r="G9104" s="4"/>
      <c r="H9104" s="4"/>
      <c r="I9104" s="4"/>
      <c r="J9104" s="21">
        <f>IFERROR(VLOOKUP(C9104,'STOK KARTLARI'!$C$2:$K$2150,8,0),0)</f>
        <v>0</v>
      </c>
      <c r="K9104" s="21">
        <f t="shared" si="623"/>
        <v>0</v>
      </c>
      <c r="L9104" s="5">
        <f t="shared" si="625"/>
        <v>0</v>
      </c>
      <c r="M9104" s="4"/>
      <c r="N9104" s="4"/>
      <c r="O9104" s="5"/>
      <c r="P9104" s="5"/>
      <c r="Q9104" s="21">
        <f t="shared" si="626"/>
        <v>0</v>
      </c>
      <c r="R9104" s="21">
        <f t="shared" si="624"/>
        <v>0</v>
      </c>
      <c r="S9104" s="5">
        <f t="shared" si="627"/>
        <v>70007.077158325032</v>
      </c>
      <c r="T9104" cm="1">
        <f t="array" ref="T9104">IF(OR(B9104="MAL ALIMI", B9104="ÜRETİM GİRİŞ"), MIN(I9104, MAX(0, I9104 + SUM(SUMIFS($I$1:I9103, $C$1:C9103, C9104, $B$1:B9103, {"MAL ALIMI","ÜRETİM GİRİŞ"})) - VLOOKUP(C9104, 'STOK RAPORU'!$C$2:$I$1000, 4, 0))), 0)</f>
        <v>0</v>
      </c>
      <c r="U9104" s="22">
        <f t="shared" si="620"/>
        <v>0</v>
      </c>
      <c r="V9104">
        <f t="shared" si="621"/>
        <v>0</v>
      </c>
      <c r="W9104" s="22">
        <f t="shared" si="622"/>
        <v>0</v>
      </c>
    </row>
    <row r="9105" spans="1:23" hidden="1" x14ac:dyDescent="0.25">
      <c r="A9105" s="4"/>
      <c r="B9105" s="4"/>
      <c r="C9105" s="4"/>
      <c r="D9105" s="4"/>
      <c r="E9105" s="4"/>
      <c r="F9105" s="4"/>
      <c r="G9105" s="4"/>
      <c r="H9105" s="4"/>
      <c r="I9105" s="4"/>
      <c r="J9105" s="21">
        <f>IFERROR(VLOOKUP(C9105,'STOK KARTLARI'!$C$2:$K$2150,8,0),0)</f>
        <v>0</v>
      </c>
      <c r="K9105" s="21">
        <f t="shared" si="623"/>
        <v>0</v>
      </c>
      <c r="L9105" s="5">
        <f t="shared" si="625"/>
        <v>0</v>
      </c>
      <c r="M9105" s="4"/>
      <c r="N9105" s="4"/>
      <c r="O9105" s="5"/>
      <c r="P9105" s="5"/>
      <c r="Q9105" s="21">
        <f t="shared" si="626"/>
        <v>0</v>
      </c>
      <c r="R9105" s="21">
        <f t="shared" si="624"/>
        <v>0</v>
      </c>
      <c r="S9105" s="5">
        <f t="shared" si="627"/>
        <v>70007.077158325032</v>
      </c>
      <c r="T9105" cm="1">
        <f t="array" ref="T9105">IF(OR(B9105="MAL ALIMI", B9105="ÜRETİM GİRİŞ"), MIN(I9105, MAX(0, I9105 + SUM(SUMIFS($I$1:I9104, $C$1:C9104, C9105, $B$1:B9104, {"MAL ALIMI","ÜRETİM GİRİŞ"})) - VLOOKUP(C9105, 'STOK RAPORU'!$C$2:$I$1000, 4, 0))), 0)</f>
        <v>0</v>
      </c>
      <c r="U9105" s="22">
        <f t="shared" si="620"/>
        <v>0</v>
      </c>
      <c r="V9105">
        <f t="shared" si="621"/>
        <v>0</v>
      </c>
      <c r="W9105" s="22">
        <f t="shared" si="622"/>
        <v>0</v>
      </c>
    </row>
    <row r="9106" spans="1:23" hidden="1" x14ac:dyDescent="0.25">
      <c r="A9106" s="4"/>
      <c r="B9106" s="4"/>
      <c r="C9106" s="4"/>
      <c r="D9106" s="4"/>
      <c r="E9106" s="4"/>
      <c r="F9106" s="4"/>
      <c r="G9106" s="4"/>
      <c r="H9106" s="4"/>
      <c r="I9106" s="4"/>
      <c r="J9106" s="21">
        <f>IFERROR(VLOOKUP(C9106,'STOK KARTLARI'!$C$2:$K$2150,8,0),0)</f>
        <v>0</v>
      </c>
      <c r="K9106" s="21">
        <f t="shared" si="623"/>
        <v>0</v>
      </c>
      <c r="L9106" s="5">
        <f t="shared" si="625"/>
        <v>0</v>
      </c>
      <c r="M9106" s="4"/>
      <c r="N9106" s="4"/>
      <c r="O9106" s="5"/>
      <c r="P9106" s="5"/>
      <c r="Q9106" s="21">
        <f t="shared" si="626"/>
        <v>0</v>
      </c>
      <c r="R9106" s="21">
        <f t="shared" si="624"/>
        <v>0</v>
      </c>
      <c r="S9106" s="5">
        <f t="shared" si="627"/>
        <v>70007.077158325032</v>
      </c>
      <c r="T9106" cm="1">
        <f t="array" ref="T9106">IF(OR(B9106="MAL ALIMI", B9106="ÜRETİM GİRİŞ"), MIN(I9106, MAX(0, I9106 + SUM(SUMIFS($I$1:I9105, $C$1:C9105, C9106, $B$1:B9105, {"MAL ALIMI","ÜRETİM GİRİŞ"})) - VLOOKUP(C9106, 'STOK RAPORU'!$C$2:$I$1000, 4, 0))), 0)</f>
        <v>0</v>
      </c>
      <c r="U9106" s="22">
        <f t="shared" si="620"/>
        <v>0</v>
      </c>
      <c r="V9106">
        <f t="shared" si="621"/>
        <v>0</v>
      </c>
      <c r="W9106" s="22">
        <f t="shared" si="622"/>
        <v>0</v>
      </c>
    </row>
    <row r="9107" spans="1:23" hidden="1" x14ac:dyDescent="0.25">
      <c r="A9107" s="4"/>
      <c r="B9107" s="4"/>
      <c r="C9107" s="4"/>
      <c r="D9107" s="4"/>
      <c r="E9107" s="4"/>
      <c r="F9107" s="4"/>
      <c r="G9107" s="4"/>
      <c r="H9107" s="4"/>
      <c r="I9107" s="4"/>
      <c r="J9107" s="21">
        <f>IFERROR(VLOOKUP(C9107,'STOK KARTLARI'!$C$2:$K$2150,8,0),0)</f>
        <v>0</v>
      </c>
      <c r="K9107" s="21">
        <f t="shared" si="623"/>
        <v>0</v>
      </c>
      <c r="L9107" s="5">
        <f t="shared" si="625"/>
        <v>0</v>
      </c>
      <c r="M9107" s="4"/>
      <c r="N9107" s="4"/>
      <c r="O9107" s="5"/>
      <c r="P9107" s="5"/>
      <c r="Q9107" s="21">
        <f t="shared" si="626"/>
        <v>0</v>
      </c>
      <c r="R9107" s="21">
        <f t="shared" si="624"/>
        <v>0</v>
      </c>
      <c r="S9107" s="5">
        <f t="shared" si="627"/>
        <v>70007.077158325032</v>
      </c>
      <c r="T9107" cm="1">
        <f t="array" ref="T9107">IF(OR(B9107="MAL ALIMI", B9107="ÜRETİM GİRİŞ"), MIN(I9107, MAX(0, I9107 + SUM(SUMIFS($I$1:I9106, $C$1:C9106, C9107, $B$1:B9106, {"MAL ALIMI","ÜRETİM GİRİŞ"})) - VLOOKUP(C9107, 'STOK RAPORU'!$C$2:$I$1000, 4, 0))), 0)</f>
        <v>0</v>
      </c>
      <c r="U9107" s="22">
        <f t="shared" si="620"/>
        <v>0</v>
      </c>
      <c r="V9107">
        <f t="shared" si="621"/>
        <v>0</v>
      </c>
      <c r="W9107" s="22">
        <f t="shared" si="622"/>
        <v>0</v>
      </c>
    </row>
    <row r="9108" spans="1:23" hidden="1" x14ac:dyDescent="0.25">
      <c r="A9108" s="4"/>
      <c r="B9108" s="4"/>
      <c r="C9108" s="4"/>
      <c r="D9108" s="4"/>
      <c r="E9108" s="4"/>
      <c r="F9108" s="4"/>
      <c r="G9108" s="4"/>
      <c r="H9108" s="4"/>
      <c r="I9108" s="4"/>
      <c r="J9108" s="21">
        <f>IFERROR(VLOOKUP(C9108,'STOK KARTLARI'!$C$2:$K$2150,8,0),0)</f>
        <v>0</v>
      </c>
      <c r="K9108" s="21">
        <f t="shared" si="623"/>
        <v>0</v>
      </c>
      <c r="L9108" s="5">
        <f t="shared" si="625"/>
        <v>0</v>
      </c>
      <c r="M9108" s="4"/>
      <c r="N9108" s="4"/>
      <c r="O9108" s="5"/>
      <c r="P9108" s="5"/>
      <c r="Q9108" s="21">
        <f t="shared" si="626"/>
        <v>0</v>
      </c>
      <c r="R9108" s="21">
        <f t="shared" si="624"/>
        <v>0</v>
      </c>
      <c r="S9108" s="5">
        <f t="shared" si="627"/>
        <v>70007.077158325032</v>
      </c>
      <c r="T9108" cm="1">
        <f t="array" ref="T9108">IF(OR(B9108="MAL ALIMI", B9108="ÜRETİM GİRİŞ"), MIN(I9108, MAX(0, I9108 + SUM(SUMIFS($I$1:I9107, $C$1:C9107, C9108, $B$1:B9107, {"MAL ALIMI","ÜRETİM GİRİŞ"})) - VLOOKUP(C9108, 'STOK RAPORU'!$C$2:$I$1000, 4, 0))), 0)</f>
        <v>0</v>
      </c>
      <c r="U9108" s="22">
        <f t="shared" si="620"/>
        <v>0</v>
      </c>
      <c r="V9108">
        <f t="shared" si="621"/>
        <v>0</v>
      </c>
      <c r="W9108" s="22">
        <f t="shared" si="622"/>
        <v>0</v>
      </c>
    </row>
    <row r="9109" spans="1:23" hidden="1" x14ac:dyDescent="0.25">
      <c r="A9109" s="4"/>
      <c r="B9109" s="4"/>
      <c r="C9109" s="4"/>
      <c r="D9109" s="4"/>
      <c r="E9109" s="4"/>
      <c r="F9109" s="4"/>
      <c r="G9109" s="4"/>
      <c r="H9109" s="4"/>
      <c r="I9109" s="4"/>
      <c r="J9109" s="21">
        <f>IFERROR(VLOOKUP(C9109,'STOK KARTLARI'!$C$2:$K$2150,8,0),0)</f>
        <v>0</v>
      </c>
      <c r="K9109" s="21">
        <f t="shared" si="623"/>
        <v>0</v>
      </c>
      <c r="L9109" s="5">
        <f t="shared" si="625"/>
        <v>0</v>
      </c>
      <c r="M9109" s="4"/>
      <c r="N9109" s="4"/>
      <c r="O9109" s="5"/>
      <c r="P9109" s="5"/>
      <c r="Q9109" s="21">
        <f t="shared" si="626"/>
        <v>0</v>
      </c>
      <c r="R9109" s="21">
        <f t="shared" si="624"/>
        <v>0</v>
      </c>
      <c r="S9109" s="5">
        <f t="shared" si="627"/>
        <v>70007.077158325032</v>
      </c>
      <c r="T9109" cm="1">
        <f t="array" ref="T9109">IF(OR(B9109="MAL ALIMI", B9109="ÜRETİM GİRİŞ"), MIN(I9109, MAX(0, I9109 + SUM(SUMIFS($I$1:I9108, $C$1:C9108, C9109, $B$1:B9108, {"MAL ALIMI","ÜRETİM GİRİŞ"})) - VLOOKUP(C9109, 'STOK RAPORU'!$C$2:$I$1000, 4, 0))), 0)</f>
        <v>0</v>
      </c>
      <c r="U9109" s="22">
        <f t="shared" si="620"/>
        <v>0</v>
      </c>
      <c r="V9109">
        <f t="shared" si="621"/>
        <v>0</v>
      </c>
      <c r="W9109" s="22">
        <f t="shared" si="622"/>
        <v>0</v>
      </c>
    </row>
    <row r="9110" spans="1:23" hidden="1" x14ac:dyDescent="0.25">
      <c r="A9110" s="4"/>
      <c r="B9110" s="4"/>
      <c r="C9110" s="4"/>
      <c r="D9110" s="4"/>
      <c r="E9110" s="4"/>
      <c r="F9110" s="4"/>
      <c r="G9110" s="4"/>
      <c r="H9110" s="4"/>
      <c r="I9110" s="4"/>
      <c r="J9110" s="21">
        <f>IFERROR(VLOOKUP(C9110,'STOK KARTLARI'!$C$2:$K$2150,8,0),0)</f>
        <v>0</v>
      </c>
      <c r="K9110" s="21">
        <f t="shared" si="623"/>
        <v>0</v>
      </c>
      <c r="L9110" s="5">
        <f t="shared" si="625"/>
        <v>0</v>
      </c>
      <c r="M9110" s="4"/>
      <c r="N9110" s="4"/>
      <c r="O9110" s="5"/>
      <c r="P9110" s="5"/>
      <c r="Q9110" s="21">
        <f t="shared" si="626"/>
        <v>0</v>
      </c>
      <c r="R9110" s="21">
        <f t="shared" si="624"/>
        <v>0</v>
      </c>
      <c r="S9110" s="5">
        <f t="shared" si="627"/>
        <v>70007.077158325032</v>
      </c>
      <c r="T9110" cm="1">
        <f t="array" ref="T9110">IF(OR(B9110="MAL ALIMI", B9110="ÜRETİM GİRİŞ"), MIN(I9110, MAX(0, I9110 + SUM(SUMIFS($I$1:I9109, $C$1:C9109, C9110, $B$1:B9109, {"MAL ALIMI","ÜRETİM GİRİŞ"})) - VLOOKUP(C9110, 'STOK RAPORU'!$C$2:$I$1000, 4, 0))), 0)</f>
        <v>0</v>
      </c>
      <c r="U9110" s="22">
        <f t="shared" si="620"/>
        <v>0</v>
      </c>
      <c r="V9110">
        <f t="shared" si="621"/>
        <v>0</v>
      </c>
      <c r="W9110" s="22">
        <f t="shared" si="622"/>
        <v>0</v>
      </c>
    </row>
    <row r="9111" spans="1:23" hidden="1" x14ac:dyDescent="0.25">
      <c r="A9111" s="3"/>
      <c r="B9111" s="4"/>
      <c r="C9111" s="4"/>
      <c r="D9111" s="4"/>
      <c r="E9111" s="4"/>
      <c r="F9111" s="4"/>
      <c r="G9111" s="4"/>
      <c r="H9111" s="4"/>
      <c r="I9111" s="4"/>
      <c r="J9111" s="21">
        <f>IFERROR(VLOOKUP(C9111,'STOK KARTLARI'!$C$2:$K$2150,8,0),0)</f>
        <v>0</v>
      </c>
      <c r="K9111" s="21">
        <f t="shared" si="623"/>
        <v>0</v>
      </c>
      <c r="L9111" s="5">
        <f t="shared" si="625"/>
        <v>0</v>
      </c>
      <c r="M9111" s="4"/>
      <c r="N9111" s="4"/>
      <c r="O9111" s="5"/>
      <c r="P9111" s="5"/>
      <c r="Q9111" s="21">
        <f t="shared" si="626"/>
        <v>0</v>
      </c>
      <c r="R9111" s="21">
        <f t="shared" si="624"/>
        <v>0</v>
      </c>
      <c r="S9111" s="5">
        <f t="shared" si="627"/>
        <v>70007.077158325032</v>
      </c>
      <c r="T9111" cm="1">
        <f t="array" ref="T9111">IF(OR(B9111="MAL ALIMI", B9111="ÜRETİM GİRİŞ"), MIN(I9111, MAX(0, I9111 + SUM(SUMIFS($I$1:I9110, $C$1:C9110, C9111, $B$1:B9110, {"MAL ALIMI","ÜRETİM GİRİŞ"})) - VLOOKUP(C9111, 'STOK RAPORU'!$C$2:$I$1000, 4, 0))), 0)</f>
        <v>0</v>
      </c>
      <c r="U9111" s="22">
        <f t="shared" si="620"/>
        <v>0</v>
      </c>
      <c r="V9111">
        <f t="shared" si="621"/>
        <v>0</v>
      </c>
      <c r="W9111" s="22">
        <f t="shared" si="622"/>
        <v>0</v>
      </c>
    </row>
    <row r="9112" spans="1:23" hidden="1" x14ac:dyDescent="0.25">
      <c r="A9112" s="4"/>
      <c r="B9112" s="4"/>
      <c r="C9112" s="4"/>
      <c r="D9112" s="4"/>
      <c r="E9112" s="4"/>
      <c r="F9112" s="4"/>
      <c r="G9112" s="4"/>
      <c r="H9112" s="4"/>
      <c r="I9112" s="4"/>
      <c r="J9112" s="21">
        <f>IFERROR(VLOOKUP(C9112,'STOK KARTLARI'!$C$2:$K$2150,8,0),0)</f>
        <v>0</v>
      </c>
      <c r="K9112" s="21">
        <f t="shared" si="623"/>
        <v>0</v>
      </c>
      <c r="L9112" s="5">
        <f t="shared" si="625"/>
        <v>0</v>
      </c>
      <c r="M9112" s="4"/>
      <c r="N9112" s="4"/>
      <c r="O9112" s="5"/>
      <c r="P9112" s="5"/>
      <c r="Q9112" s="21">
        <f t="shared" si="626"/>
        <v>0</v>
      </c>
      <c r="R9112" s="21">
        <f t="shared" si="624"/>
        <v>0</v>
      </c>
      <c r="S9112" s="5">
        <f t="shared" si="627"/>
        <v>70007.077158325032</v>
      </c>
      <c r="T9112" cm="1">
        <f t="array" ref="T9112">IF(OR(B9112="MAL ALIMI", B9112="ÜRETİM GİRİŞ"), MIN(I9112, MAX(0, I9112 + SUM(SUMIFS($I$1:I9111, $C$1:C9111, C9112, $B$1:B9111, {"MAL ALIMI","ÜRETİM GİRİŞ"})) - VLOOKUP(C9112, 'STOK RAPORU'!$C$2:$I$1000, 4, 0))), 0)</f>
        <v>0</v>
      </c>
      <c r="U9112" s="22">
        <f t="shared" si="620"/>
        <v>0</v>
      </c>
      <c r="V9112">
        <f t="shared" si="621"/>
        <v>0</v>
      </c>
      <c r="W9112" s="22">
        <f t="shared" si="622"/>
        <v>0</v>
      </c>
    </row>
    <row r="9113" spans="1:23" hidden="1" x14ac:dyDescent="0.25">
      <c r="A9113" s="4"/>
      <c r="B9113" s="4"/>
      <c r="C9113" s="4"/>
      <c r="D9113" s="4"/>
      <c r="E9113" s="4"/>
      <c r="F9113" s="4"/>
      <c r="G9113" s="4"/>
      <c r="H9113" s="4"/>
      <c r="I9113" s="4"/>
      <c r="J9113" s="21">
        <f>IFERROR(VLOOKUP(C9113,'STOK KARTLARI'!$C$2:$K$2150,8,0),0)</f>
        <v>0</v>
      </c>
      <c r="K9113" s="21">
        <f t="shared" si="623"/>
        <v>0</v>
      </c>
      <c r="L9113" s="5">
        <f t="shared" si="625"/>
        <v>0</v>
      </c>
      <c r="M9113" s="4"/>
      <c r="N9113" s="4"/>
      <c r="O9113" s="5"/>
      <c r="P9113" s="5"/>
      <c r="Q9113" s="21">
        <f t="shared" si="626"/>
        <v>0</v>
      </c>
      <c r="R9113" s="21">
        <f t="shared" si="624"/>
        <v>0</v>
      </c>
      <c r="S9113" s="5">
        <f t="shared" si="627"/>
        <v>70007.077158325032</v>
      </c>
      <c r="T9113" cm="1">
        <f t="array" ref="T9113">IF(OR(B9113="MAL ALIMI", B9113="ÜRETİM GİRİŞ"), MIN(I9113, MAX(0, I9113 + SUM(SUMIFS($I$1:I9112, $C$1:C9112, C9113, $B$1:B9112, {"MAL ALIMI","ÜRETİM GİRİŞ"})) - VLOOKUP(C9113, 'STOK RAPORU'!$C$2:$I$1000, 4, 0))), 0)</f>
        <v>0</v>
      </c>
      <c r="U9113" s="22">
        <f t="shared" si="620"/>
        <v>0</v>
      </c>
      <c r="V9113">
        <f t="shared" si="621"/>
        <v>0</v>
      </c>
      <c r="W9113" s="22">
        <f t="shared" si="622"/>
        <v>0</v>
      </c>
    </row>
    <row r="9114" spans="1:23" hidden="1" x14ac:dyDescent="0.25">
      <c r="A9114" s="4"/>
      <c r="B9114" s="4"/>
      <c r="C9114" s="4"/>
      <c r="D9114" s="4"/>
      <c r="E9114" s="4"/>
      <c r="F9114" s="4"/>
      <c r="G9114" s="4"/>
      <c r="H9114" s="4"/>
      <c r="I9114" s="4"/>
      <c r="J9114" s="21">
        <f>IFERROR(VLOOKUP(C9114,'STOK KARTLARI'!$C$2:$K$2150,8,0),0)</f>
        <v>0</v>
      </c>
      <c r="K9114" s="21">
        <f t="shared" si="623"/>
        <v>0</v>
      </c>
      <c r="L9114" s="5">
        <f t="shared" si="625"/>
        <v>0</v>
      </c>
      <c r="M9114" s="4"/>
      <c r="N9114" s="4"/>
      <c r="O9114" s="5"/>
      <c r="P9114" s="5"/>
      <c r="Q9114" s="21">
        <f t="shared" si="626"/>
        <v>0</v>
      </c>
      <c r="R9114" s="21">
        <f t="shared" si="624"/>
        <v>0</v>
      </c>
      <c r="S9114" s="5">
        <f t="shared" si="627"/>
        <v>70007.077158325032</v>
      </c>
      <c r="T9114" cm="1">
        <f t="array" ref="T9114">IF(OR(B9114="MAL ALIMI", B9114="ÜRETİM GİRİŞ"), MIN(I9114, MAX(0, I9114 + SUM(SUMIFS($I$1:I9113, $C$1:C9113, C9114, $B$1:B9113, {"MAL ALIMI","ÜRETİM GİRİŞ"})) - VLOOKUP(C9114, 'STOK RAPORU'!$C$2:$I$1000, 4, 0))), 0)</f>
        <v>0</v>
      </c>
      <c r="U9114" s="22">
        <f t="shared" si="620"/>
        <v>0</v>
      </c>
      <c r="V9114">
        <f t="shared" si="621"/>
        <v>0</v>
      </c>
      <c r="W9114" s="22">
        <f t="shared" si="622"/>
        <v>0</v>
      </c>
    </row>
    <row r="9115" spans="1:23" hidden="1" x14ac:dyDescent="0.25">
      <c r="A9115" s="4"/>
      <c r="B9115" s="4"/>
      <c r="C9115" s="4"/>
      <c r="D9115" s="4"/>
      <c r="E9115" s="4"/>
      <c r="F9115" s="4"/>
      <c r="G9115" s="4"/>
      <c r="H9115" s="4"/>
      <c r="I9115" s="4"/>
      <c r="J9115" s="21">
        <f>IFERROR(VLOOKUP(C9115,'STOK KARTLARI'!$C$2:$K$2150,8,0),0)</f>
        <v>0</v>
      </c>
      <c r="K9115" s="21">
        <f t="shared" si="623"/>
        <v>0</v>
      </c>
      <c r="L9115" s="5">
        <f t="shared" si="625"/>
        <v>0</v>
      </c>
      <c r="M9115" s="4"/>
      <c r="N9115" s="4"/>
      <c r="O9115" s="5"/>
      <c r="P9115" s="5"/>
      <c r="Q9115" s="21">
        <f t="shared" si="626"/>
        <v>0</v>
      </c>
      <c r="R9115" s="21">
        <f t="shared" si="624"/>
        <v>0</v>
      </c>
      <c r="S9115" s="5">
        <f t="shared" si="627"/>
        <v>70007.077158325032</v>
      </c>
      <c r="T9115" cm="1">
        <f t="array" ref="T9115">IF(OR(B9115="MAL ALIMI", B9115="ÜRETİM GİRİŞ"), MIN(I9115, MAX(0, I9115 + SUM(SUMIFS($I$1:I9114, $C$1:C9114, C9115, $B$1:B9114, {"MAL ALIMI","ÜRETİM GİRİŞ"})) - VLOOKUP(C9115, 'STOK RAPORU'!$C$2:$I$1000, 4, 0))), 0)</f>
        <v>0</v>
      </c>
      <c r="U9115" s="22">
        <f t="shared" si="620"/>
        <v>0</v>
      </c>
      <c r="V9115">
        <f t="shared" si="621"/>
        <v>0</v>
      </c>
      <c r="W9115" s="22">
        <f t="shared" si="622"/>
        <v>0</v>
      </c>
    </row>
    <row r="9116" spans="1:23" hidden="1" x14ac:dyDescent="0.25">
      <c r="A9116" s="4"/>
      <c r="B9116" s="4"/>
      <c r="C9116" s="4"/>
      <c r="D9116" s="4"/>
      <c r="E9116" s="4"/>
      <c r="F9116" s="4"/>
      <c r="G9116" s="4"/>
      <c r="H9116" s="4"/>
      <c r="I9116" s="4"/>
      <c r="J9116" s="21">
        <f>IFERROR(VLOOKUP(C9116,'STOK KARTLARI'!$C$2:$K$2150,8,0),0)</f>
        <v>0</v>
      </c>
      <c r="K9116" s="21">
        <f t="shared" si="623"/>
        <v>0</v>
      </c>
      <c r="L9116" s="5">
        <f t="shared" si="625"/>
        <v>0</v>
      </c>
      <c r="M9116" s="4"/>
      <c r="N9116" s="4"/>
      <c r="O9116" s="5"/>
      <c r="P9116" s="5"/>
      <c r="Q9116" s="21">
        <f t="shared" si="626"/>
        <v>0</v>
      </c>
      <c r="R9116" s="21">
        <f t="shared" si="624"/>
        <v>0</v>
      </c>
      <c r="S9116" s="5">
        <f t="shared" si="627"/>
        <v>70007.077158325032</v>
      </c>
      <c r="T9116" cm="1">
        <f t="array" ref="T9116">IF(OR(B9116="MAL ALIMI", B9116="ÜRETİM GİRİŞ"), MIN(I9116, MAX(0, I9116 + SUM(SUMIFS($I$1:I9115, $C$1:C9115, C9116, $B$1:B9115, {"MAL ALIMI","ÜRETİM GİRİŞ"})) - VLOOKUP(C9116, 'STOK RAPORU'!$C$2:$I$1000, 4, 0))), 0)</f>
        <v>0</v>
      </c>
      <c r="U9116" s="22">
        <f t="shared" si="620"/>
        <v>0</v>
      </c>
      <c r="V9116">
        <f t="shared" si="621"/>
        <v>0</v>
      </c>
      <c r="W9116" s="22">
        <f t="shared" si="622"/>
        <v>0</v>
      </c>
    </row>
    <row r="9117" spans="1:23" hidden="1" x14ac:dyDescent="0.25">
      <c r="A9117" s="4"/>
      <c r="B9117" s="4"/>
      <c r="C9117" s="4"/>
      <c r="D9117" s="4"/>
      <c r="E9117" s="4"/>
      <c r="F9117" s="4"/>
      <c r="G9117" s="4"/>
      <c r="H9117" s="4"/>
      <c r="I9117" s="4"/>
      <c r="J9117" s="21">
        <f>IFERROR(VLOOKUP(C9117,'STOK KARTLARI'!$C$2:$K$2150,8,0),0)</f>
        <v>0</v>
      </c>
      <c r="K9117" s="21">
        <f t="shared" si="623"/>
        <v>0</v>
      </c>
      <c r="L9117" s="5">
        <f t="shared" si="625"/>
        <v>0</v>
      </c>
      <c r="M9117" s="4"/>
      <c r="N9117" s="4"/>
      <c r="O9117" s="5"/>
      <c r="P9117" s="5"/>
      <c r="Q9117" s="21">
        <f t="shared" si="626"/>
        <v>0</v>
      </c>
      <c r="R9117" s="21">
        <f t="shared" si="624"/>
        <v>0</v>
      </c>
      <c r="S9117" s="5">
        <f t="shared" si="627"/>
        <v>70007.077158325032</v>
      </c>
      <c r="T9117" cm="1">
        <f t="array" ref="T9117">IF(OR(B9117="MAL ALIMI", B9117="ÜRETİM GİRİŞ"), MIN(I9117, MAX(0, I9117 + SUM(SUMIFS($I$1:I9116, $C$1:C9116, C9117, $B$1:B9116, {"MAL ALIMI","ÜRETİM GİRİŞ"})) - VLOOKUP(C9117, 'STOK RAPORU'!$C$2:$I$1000, 4, 0))), 0)</f>
        <v>0</v>
      </c>
      <c r="U9117" s="22">
        <f t="shared" si="620"/>
        <v>0</v>
      </c>
      <c r="V9117">
        <f t="shared" si="621"/>
        <v>0</v>
      </c>
      <c r="W9117" s="22">
        <f t="shared" si="622"/>
        <v>0</v>
      </c>
    </row>
    <row r="9118" spans="1:23" hidden="1" x14ac:dyDescent="0.25">
      <c r="A9118" s="3"/>
      <c r="B9118" s="4"/>
      <c r="C9118" s="4"/>
      <c r="D9118" s="4"/>
      <c r="E9118" s="4"/>
      <c r="F9118" s="4"/>
      <c r="G9118" s="4"/>
      <c r="H9118" s="4"/>
      <c r="I9118" s="4"/>
      <c r="J9118" s="21">
        <f>IFERROR(VLOOKUP(C9118,'STOK KARTLARI'!$C$2:$K$2150,8,0),0)</f>
        <v>0</v>
      </c>
      <c r="K9118" s="21">
        <f t="shared" si="623"/>
        <v>0</v>
      </c>
      <c r="L9118" s="5">
        <f t="shared" si="625"/>
        <v>0</v>
      </c>
      <c r="M9118" s="4"/>
      <c r="N9118" s="4"/>
      <c r="O9118" s="5"/>
      <c r="P9118" s="5"/>
      <c r="Q9118" s="21">
        <f t="shared" si="626"/>
        <v>0</v>
      </c>
      <c r="R9118" s="21">
        <f t="shared" si="624"/>
        <v>0</v>
      </c>
      <c r="S9118" s="5">
        <f t="shared" si="627"/>
        <v>70007.077158325032</v>
      </c>
      <c r="T9118" cm="1">
        <f t="array" ref="T9118">IF(OR(B9118="MAL ALIMI", B9118="ÜRETİM GİRİŞ"), MIN(I9118, MAX(0, I9118 + SUM(SUMIFS($I$1:I9117, $C$1:C9117, C9118, $B$1:B9117, {"MAL ALIMI","ÜRETİM GİRİŞ"})) - VLOOKUP(C9118, 'STOK RAPORU'!$C$2:$I$1000, 4, 0))), 0)</f>
        <v>0</v>
      </c>
      <c r="U9118" s="22">
        <f t="shared" si="620"/>
        <v>0</v>
      </c>
      <c r="V9118">
        <f t="shared" si="621"/>
        <v>0</v>
      </c>
      <c r="W9118" s="22">
        <f t="shared" si="622"/>
        <v>0</v>
      </c>
    </row>
    <row r="9119" spans="1:23" hidden="1" x14ac:dyDescent="0.25">
      <c r="A9119" s="4"/>
      <c r="B9119" s="4"/>
      <c r="C9119" s="4"/>
      <c r="D9119" s="4"/>
      <c r="E9119" s="4"/>
      <c r="F9119" s="4"/>
      <c r="G9119" s="4"/>
      <c r="H9119" s="4"/>
      <c r="I9119" s="4"/>
      <c r="J9119" s="21">
        <f>IFERROR(VLOOKUP(C9119,'STOK KARTLARI'!$C$2:$K$2150,8,0),0)</f>
        <v>0</v>
      </c>
      <c r="K9119" s="21">
        <f t="shared" si="623"/>
        <v>0</v>
      </c>
      <c r="L9119" s="5">
        <f t="shared" si="625"/>
        <v>0</v>
      </c>
      <c r="M9119" s="4"/>
      <c r="N9119" s="4"/>
      <c r="O9119" s="5"/>
      <c r="P9119" s="5"/>
      <c r="Q9119" s="21">
        <f t="shared" si="626"/>
        <v>0</v>
      </c>
      <c r="R9119" s="21">
        <f t="shared" si="624"/>
        <v>0</v>
      </c>
      <c r="S9119" s="5">
        <f t="shared" si="627"/>
        <v>70007.077158325032</v>
      </c>
      <c r="T9119" cm="1">
        <f t="array" ref="T9119">IF(OR(B9119="MAL ALIMI", B9119="ÜRETİM GİRİŞ"), MIN(I9119, MAX(0, I9119 + SUM(SUMIFS($I$1:I9118, $C$1:C9118, C9119, $B$1:B9118, {"MAL ALIMI","ÜRETİM GİRİŞ"})) - VLOOKUP(C9119, 'STOK RAPORU'!$C$2:$I$1000, 4, 0))), 0)</f>
        <v>0</v>
      </c>
      <c r="U9119" s="22">
        <f t="shared" si="620"/>
        <v>0</v>
      </c>
      <c r="V9119">
        <f t="shared" si="621"/>
        <v>0</v>
      </c>
      <c r="W9119" s="22">
        <f t="shared" si="622"/>
        <v>0</v>
      </c>
    </row>
    <row r="9120" spans="1:23" hidden="1" x14ac:dyDescent="0.25">
      <c r="A9120" s="4"/>
      <c r="B9120" s="4"/>
      <c r="C9120" s="4"/>
      <c r="D9120" s="4"/>
      <c r="E9120" s="4"/>
      <c r="F9120" s="4"/>
      <c r="G9120" s="4"/>
      <c r="H9120" s="4"/>
      <c r="I9120" s="4"/>
      <c r="J9120" s="21">
        <f>IFERROR(VLOOKUP(C9120,'STOK KARTLARI'!$C$2:$K$2150,8,0),0)</f>
        <v>0</v>
      </c>
      <c r="K9120" s="21">
        <f t="shared" si="623"/>
        <v>0</v>
      </c>
      <c r="L9120" s="5">
        <f t="shared" si="625"/>
        <v>0</v>
      </c>
      <c r="M9120" s="4"/>
      <c r="N9120" s="4"/>
      <c r="O9120" s="5"/>
      <c r="P9120" s="5"/>
      <c r="Q9120" s="21">
        <f t="shared" si="626"/>
        <v>0</v>
      </c>
      <c r="R9120" s="21">
        <f t="shared" si="624"/>
        <v>0</v>
      </c>
      <c r="S9120" s="5">
        <f t="shared" si="627"/>
        <v>70007.077158325032</v>
      </c>
      <c r="T9120" cm="1">
        <f t="array" ref="T9120">IF(OR(B9120="MAL ALIMI", B9120="ÜRETİM GİRİŞ"), MIN(I9120, MAX(0, I9120 + SUM(SUMIFS($I$1:I9119, $C$1:C9119, C9120, $B$1:B9119, {"MAL ALIMI","ÜRETİM GİRİŞ"})) - VLOOKUP(C9120, 'STOK RAPORU'!$C$2:$I$1000, 4, 0))), 0)</f>
        <v>0</v>
      </c>
      <c r="U9120" s="22">
        <f t="shared" si="620"/>
        <v>0</v>
      </c>
      <c r="V9120">
        <f t="shared" si="621"/>
        <v>0</v>
      </c>
      <c r="W9120" s="22">
        <f t="shared" si="622"/>
        <v>0</v>
      </c>
    </row>
    <row r="9121" spans="1:23" hidden="1" x14ac:dyDescent="0.25">
      <c r="A9121" s="4"/>
      <c r="B9121" s="4"/>
      <c r="C9121" s="4"/>
      <c r="D9121" s="4"/>
      <c r="E9121" s="4"/>
      <c r="F9121" s="4"/>
      <c r="G9121" s="4"/>
      <c r="H9121" s="4"/>
      <c r="I9121" s="4"/>
      <c r="J9121" s="21">
        <f>IFERROR(VLOOKUP(C9121,'STOK KARTLARI'!$C$2:$K$2150,8,0),0)</f>
        <v>0</v>
      </c>
      <c r="K9121" s="21">
        <f t="shared" si="623"/>
        <v>0</v>
      </c>
      <c r="L9121" s="5">
        <f t="shared" si="625"/>
        <v>0</v>
      </c>
      <c r="M9121" s="4"/>
      <c r="N9121" s="4"/>
      <c r="O9121" s="5"/>
      <c r="P9121" s="5"/>
      <c r="Q9121" s="21">
        <f t="shared" si="626"/>
        <v>0</v>
      </c>
      <c r="R9121" s="21">
        <f t="shared" si="624"/>
        <v>0</v>
      </c>
      <c r="S9121" s="5">
        <f t="shared" si="627"/>
        <v>70007.077158325032</v>
      </c>
      <c r="T9121" cm="1">
        <f t="array" ref="T9121">IF(OR(B9121="MAL ALIMI", B9121="ÜRETİM GİRİŞ"), MIN(I9121, MAX(0, I9121 + SUM(SUMIFS($I$1:I9120, $C$1:C9120, C9121, $B$1:B9120, {"MAL ALIMI","ÜRETİM GİRİŞ"})) - VLOOKUP(C9121, 'STOK RAPORU'!$C$2:$I$1000, 4, 0))), 0)</f>
        <v>0</v>
      </c>
      <c r="U9121" s="22">
        <f t="shared" si="620"/>
        <v>0</v>
      </c>
      <c r="V9121">
        <f t="shared" si="621"/>
        <v>0</v>
      </c>
      <c r="W9121" s="22">
        <f t="shared" si="622"/>
        <v>0</v>
      </c>
    </row>
    <row r="9122" spans="1:23" hidden="1" x14ac:dyDescent="0.25">
      <c r="A9122" s="4"/>
      <c r="B9122" s="4"/>
      <c r="C9122" s="4"/>
      <c r="D9122" s="4"/>
      <c r="E9122" s="4"/>
      <c r="F9122" s="4"/>
      <c r="G9122" s="4"/>
      <c r="H9122" s="4"/>
      <c r="I9122" s="4"/>
      <c r="J9122" s="21">
        <f>IFERROR(VLOOKUP(C9122,'STOK KARTLARI'!$C$2:$K$2150,8,0),0)</f>
        <v>0</v>
      </c>
      <c r="K9122" s="21">
        <f t="shared" si="623"/>
        <v>0</v>
      </c>
      <c r="L9122" s="5">
        <f t="shared" si="625"/>
        <v>0</v>
      </c>
      <c r="M9122" s="4"/>
      <c r="N9122" s="4"/>
      <c r="O9122" s="5"/>
      <c r="P9122" s="5"/>
      <c r="Q9122" s="21">
        <f t="shared" si="626"/>
        <v>0</v>
      </c>
      <c r="R9122" s="21">
        <f t="shared" si="624"/>
        <v>0</v>
      </c>
      <c r="S9122" s="5">
        <f t="shared" si="627"/>
        <v>70007.077158325032</v>
      </c>
      <c r="T9122" cm="1">
        <f t="array" ref="T9122">IF(OR(B9122="MAL ALIMI", B9122="ÜRETİM GİRİŞ"), MIN(I9122, MAX(0, I9122 + SUM(SUMIFS($I$1:I9121, $C$1:C9121, C9122, $B$1:B9121, {"MAL ALIMI","ÜRETİM GİRİŞ"})) - VLOOKUP(C9122, 'STOK RAPORU'!$C$2:$I$1000, 4, 0))), 0)</f>
        <v>0</v>
      </c>
      <c r="U9122" s="22">
        <f t="shared" si="620"/>
        <v>0</v>
      </c>
      <c r="V9122">
        <f t="shared" si="621"/>
        <v>0</v>
      </c>
      <c r="W9122" s="22">
        <f t="shared" si="622"/>
        <v>0</v>
      </c>
    </row>
    <row r="9123" spans="1:23" hidden="1" x14ac:dyDescent="0.25">
      <c r="A9123" s="4"/>
      <c r="B9123" s="4"/>
      <c r="C9123" s="4"/>
      <c r="D9123" s="4"/>
      <c r="E9123" s="4"/>
      <c r="F9123" s="4"/>
      <c r="G9123" s="4"/>
      <c r="H9123" s="4"/>
      <c r="I9123" s="4"/>
      <c r="J9123" s="21">
        <f>IFERROR(VLOOKUP(C9123,'STOK KARTLARI'!$C$2:$K$2150,8,0),0)</f>
        <v>0</v>
      </c>
      <c r="K9123" s="21">
        <f t="shared" si="623"/>
        <v>0</v>
      </c>
      <c r="L9123" s="5">
        <f t="shared" si="625"/>
        <v>0</v>
      </c>
      <c r="M9123" s="4"/>
      <c r="N9123" s="4"/>
      <c r="O9123" s="5"/>
      <c r="P9123" s="5"/>
      <c r="Q9123" s="21">
        <f t="shared" si="626"/>
        <v>0</v>
      </c>
      <c r="R9123" s="21">
        <f t="shared" si="624"/>
        <v>0</v>
      </c>
      <c r="S9123" s="5">
        <f t="shared" si="627"/>
        <v>70007.077158325032</v>
      </c>
      <c r="T9123" cm="1">
        <f t="array" ref="T9123">IF(OR(B9123="MAL ALIMI", B9123="ÜRETİM GİRİŞ"), MIN(I9123, MAX(0, I9123 + SUM(SUMIFS($I$1:I9122, $C$1:C9122, C9123, $B$1:B9122, {"MAL ALIMI","ÜRETİM GİRİŞ"})) - VLOOKUP(C9123, 'STOK RAPORU'!$C$2:$I$1000, 4, 0))), 0)</f>
        <v>0</v>
      </c>
      <c r="U9123" s="22">
        <f t="shared" si="620"/>
        <v>0</v>
      </c>
      <c r="V9123">
        <f t="shared" si="621"/>
        <v>0</v>
      </c>
      <c r="W9123" s="22">
        <f t="shared" si="622"/>
        <v>0</v>
      </c>
    </row>
    <row r="9124" spans="1:23" hidden="1" x14ac:dyDescent="0.25">
      <c r="A9124" s="4"/>
      <c r="B9124" s="4"/>
      <c r="C9124" s="4"/>
      <c r="D9124" s="4"/>
      <c r="E9124" s="4"/>
      <c r="F9124" s="4"/>
      <c r="G9124" s="4"/>
      <c r="H9124" s="4"/>
      <c r="I9124" s="4"/>
      <c r="J9124" s="21">
        <f>IFERROR(VLOOKUP(C9124,'STOK KARTLARI'!$C$2:$K$2150,8,0),0)</f>
        <v>0</v>
      </c>
      <c r="K9124" s="21">
        <f t="shared" si="623"/>
        <v>0</v>
      </c>
      <c r="L9124" s="5">
        <f t="shared" si="625"/>
        <v>0</v>
      </c>
      <c r="M9124" s="4"/>
      <c r="N9124" s="4"/>
      <c r="O9124" s="5"/>
      <c r="P9124" s="5"/>
      <c r="Q9124" s="21">
        <f t="shared" si="626"/>
        <v>0</v>
      </c>
      <c r="R9124" s="21">
        <f t="shared" si="624"/>
        <v>0</v>
      </c>
      <c r="S9124" s="5">
        <f t="shared" si="627"/>
        <v>70007.077158325032</v>
      </c>
      <c r="T9124" cm="1">
        <f t="array" ref="T9124">IF(OR(B9124="MAL ALIMI", B9124="ÜRETİM GİRİŞ"), MIN(I9124, MAX(0, I9124 + SUM(SUMIFS($I$1:I9123, $C$1:C9123, C9124, $B$1:B9123, {"MAL ALIMI","ÜRETİM GİRİŞ"})) - VLOOKUP(C9124, 'STOK RAPORU'!$C$2:$I$1000, 4, 0))), 0)</f>
        <v>0</v>
      </c>
      <c r="U9124" s="22">
        <f t="shared" si="620"/>
        <v>0</v>
      </c>
      <c r="V9124">
        <f t="shared" si="621"/>
        <v>0</v>
      </c>
      <c r="W9124" s="22">
        <f t="shared" si="622"/>
        <v>0</v>
      </c>
    </row>
    <row r="9125" spans="1:23" hidden="1" x14ac:dyDescent="0.25">
      <c r="A9125" s="3"/>
      <c r="B9125" s="4"/>
      <c r="C9125" s="4"/>
      <c r="D9125" s="4"/>
      <c r="E9125" s="4"/>
      <c r="F9125" s="4"/>
      <c r="G9125" s="4"/>
      <c r="H9125" s="4"/>
      <c r="I9125" s="4"/>
      <c r="J9125" s="21">
        <f>IFERROR(VLOOKUP(C9125,'STOK KARTLARI'!$C$2:$K$2150,8,0),0)</f>
        <v>0</v>
      </c>
      <c r="K9125" s="21">
        <f t="shared" si="623"/>
        <v>0</v>
      </c>
      <c r="L9125" s="5">
        <f t="shared" si="625"/>
        <v>0</v>
      </c>
      <c r="M9125" s="4"/>
      <c r="N9125" s="4"/>
      <c r="O9125" s="5"/>
      <c r="P9125" s="5"/>
      <c r="Q9125" s="21">
        <f t="shared" si="626"/>
        <v>0</v>
      </c>
      <c r="R9125" s="21">
        <f t="shared" si="624"/>
        <v>0</v>
      </c>
      <c r="S9125" s="5">
        <f t="shared" si="627"/>
        <v>70007.077158325032</v>
      </c>
      <c r="T9125" cm="1">
        <f t="array" ref="T9125">IF(OR(B9125="MAL ALIMI", B9125="ÜRETİM GİRİŞ"), MIN(I9125, MAX(0, I9125 + SUM(SUMIFS($I$1:I9124, $C$1:C9124, C9125, $B$1:B9124, {"MAL ALIMI","ÜRETİM GİRİŞ"})) - VLOOKUP(C9125, 'STOK RAPORU'!$C$2:$I$1000, 4, 0))), 0)</f>
        <v>0</v>
      </c>
      <c r="U9125" s="22">
        <f t="shared" si="620"/>
        <v>0</v>
      </c>
      <c r="V9125">
        <f t="shared" si="621"/>
        <v>0</v>
      </c>
      <c r="W9125" s="22">
        <f t="shared" si="622"/>
        <v>0</v>
      </c>
    </row>
    <row r="9126" spans="1:23" hidden="1" x14ac:dyDescent="0.25">
      <c r="A9126" s="4"/>
      <c r="B9126" s="4"/>
      <c r="C9126" s="4"/>
      <c r="D9126" s="4"/>
      <c r="E9126" s="4"/>
      <c r="F9126" s="4"/>
      <c r="G9126" s="4"/>
      <c r="H9126" s="4"/>
      <c r="I9126" s="4"/>
      <c r="J9126" s="21">
        <f>IFERROR(VLOOKUP(C9126,'STOK KARTLARI'!$C$2:$K$2150,8,0),0)</f>
        <v>0</v>
      </c>
      <c r="K9126" s="21">
        <f t="shared" si="623"/>
        <v>0</v>
      </c>
      <c r="L9126" s="5">
        <f t="shared" si="625"/>
        <v>0</v>
      </c>
      <c r="M9126" s="4"/>
      <c r="N9126" s="4"/>
      <c r="O9126" s="5"/>
      <c r="P9126" s="5"/>
      <c r="Q9126" s="21">
        <f t="shared" si="626"/>
        <v>0</v>
      </c>
      <c r="R9126" s="21">
        <f t="shared" si="624"/>
        <v>0</v>
      </c>
      <c r="S9126" s="5">
        <f t="shared" si="627"/>
        <v>70007.077158325032</v>
      </c>
      <c r="T9126" cm="1">
        <f t="array" ref="T9126">IF(OR(B9126="MAL ALIMI", B9126="ÜRETİM GİRİŞ"), MIN(I9126, MAX(0, I9126 + SUM(SUMIFS($I$1:I9125, $C$1:C9125, C9126, $B$1:B9125, {"MAL ALIMI","ÜRETİM GİRİŞ"})) - VLOOKUP(C9126, 'STOK RAPORU'!$C$2:$I$1000, 4, 0))), 0)</f>
        <v>0</v>
      </c>
      <c r="U9126" s="22">
        <f t="shared" si="620"/>
        <v>0</v>
      </c>
      <c r="V9126">
        <f t="shared" si="621"/>
        <v>0</v>
      </c>
      <c r="W9126" s="22">
        <f t="shared" si="622"/>
        <v>0</v>
      </c>
    </row>
    <row r="9127" spans="1:23" hidden="1" x14ac:dyDescent="0.25">
      <c r="A9127" s="4"/>
      <c r="B9127" s="4"/>
      <c r="C9127" s="4"/>
      <c r="D9127" s="4"/>
      <c r="E9127" s="4"/>
      <c r="F9127" s="4"/>
      <c r="G9127" s="4"/>
      <c r="H9127" s="4"/>
      <c r="I9127" s="4"/>
      <c r="J9127" s="21">
        <f>IFERROR(VLOOKUP(C9127,'STOK KARTLARI'!$C$2:$K$2150,8,0),0)</f>
        <v>0</v>
      </c>
      <c r="K9127" s="21">
        <f t="shared" si="623"/>
        <v>0</v>
      </c>
      <c r="L9127" s="5">
        <f t="shared" si="625"/>
        <v>0</v>
      </c>
      <c r="M9127" s="4"/>
      <c r="N9127" s="4"/>
      <c r="O9127" s="5"/>
      <c r="P9127" s="5"/>
      <c r="Q9127" s="21">
        <f t="shared" si="626"/>
        <v>0</v>
      </c>
      <c r="R9127" s="21">
        <f t="shared" si="624"/>
        <v>0</v>
      </c>
      <c r="S9127" s="5">
        <f t="shared" si="627"/>
        <v>70007.077158325032</v>
      </c>
      <c r="T9127" cm="1">
        <f t="array" ref="T9127">IF(OR(B9127="MAL ALIMI", B9127="ÜRETİM GİRİŞ"), MIN(I9127, MAX(0, I9127 + SUM(SUMIFS($I$1:I9126, $C$1:C9126, C9127, $B$1:B9126, {"MAL ALIMI","ÜRETİM GİRİŞ"})) - VLOOKUP(C9127, 'STOK RAPORU'!$C$2:$I$1000, 4, 0))), 0)</f>
        <v>0</v>
      </c>
      <c r="U9127" s="22">
        <f t="shared" si="620"/>
        <v>0</v>
      </c>
      <c r="V9127">
        <f t="shared" si="621"/>
        <v>0</v>
      </c>
      <c r="W9127" s="22">
        <f t="shared" si="622"/>
        <v>0</v>
      </c>
    </row>
    <row r="9128" spans="1:23" hidden="1" x14ac:dyDescent="0.25">
      <c r="A9128" s="4"/>
      <c r="B9128" s="4"/>
      <c r="C9128" s="4"/>
      <c r="D9128" s="4"/>
      <c r="E9128" s="4"/>
      <c r="F9128" s="4"/>
      <c r="G9128" s="4"/>
      <c r="H9128" s="4"/>
      <c r="I9128" s="4"/>
      <c r="J9128" s="21">
        <f>IFERROR(VLOOKUP(C9128,'STOK KARTLARI'!$C$2:$K$2150,8,0),0)</f>
        <v>0</v>
      </c>
      <c r="K9128" s="21">
        <f t="shared" si="623"/>
        <v>0</v>
      </c>
      <c r="L9128" s="5">
        <f t="shared" si="625"/>
        <v>0</v>
      </c>
      <c r="M9128" s="4"/>
      <c r="N9128" s="4"/>
      <c r="O9128" s="5"/>
      <c r="P9128" s="5"/>
      <c r="Q9128" s="21">
        <f t="shared" si="626"/>
        <v>0</v>
      </c>
      <c r="R9128" s="21">
        <f t="shared" si="624"/>
        <v>0</v>
      </c>
      <c r="S9128" s="5">
        <f t="shared" si="627"/>
        <v>70007.077158325032</v>
      </c>
      <c r="T9128" cm="1">
        <f t="array" ref="T9128">IF(OR(B9128="MAL ALIMI", B9128="ÜRETİM GİRİŞ"), MIN(I9128, MAX(0, I9128 + SUM(SUMIFS($I$1:I9127, $C$1:C9127, C9128, $B$1:B9127, {"MAL ALIMI","ÜRETİM GİRİŞ"})) - VLOOKUP(C9128, 'STOK RAPORU'!$C$2:$I$1000, 4, 0))), 0)</f>
        <v>0</v>
      </c>
      <c r="U9128" s="22">
        <f t="shared" si="620"/>
        <v>0</v>
      </c>
      <c r="V9128">
        <f t="shared" si="621"/>
        <v>0</v>
      </c>
      <c r="W9128" s="22">
        <f t="shared" si="622"/>
        <v>0</v>
      </c>
    </row>
    <row r="9129" spans="1:23" hidden="1" x14ac:dyDescent="0.25">
      <c r="A9129" s="4"/>
      <c r="B9129" s="4"/>
      <c r="C9129" s="4"/>
      <c r="D9129" s="4"/>
      <c r="E9129" s="4"/>
      <c r="F9129" s="4"/>
      <c r="G9129" s="4"/>
      <c r="H9129" s="4"/>
      <c r="I9129" s="4"/>
      <c r="J9129" s="21">
        <f>IFERROR(VLOOKUP(C9129,'STOK KARTLARI'!$C$2:$K$2150,8,0),0)</f>
        <v>0</v>
      </c>
      <c r="K9129" s="21">
        <f t="shared" si="623"/>
        <v>0</v>
      </c>
      <c r="L9129" s="5">
        <f t="shared" si="625"/>
        <v>0</v>
      </c>
      <c r="M9129" s="4"/>
      <c r="N9129" s="4"/>
      <c r="O9129" s="5"/>
      <c r="P9129" s="5"/>
      <c r="Q9129" s="21">
        <f t="shared" si="626"/>
        <v>0</v>
      </c>
      <c r="R9129" s="21">
        <f t="shared" si="624"/>
        <v>0</v>
      </c>
      <c r="S9129" s="5">
        <f t="shared" si="627"/>
        <v>70007.077158325032</v>
      </c>
      <c r="T9129" cm="1">
        <f t="array" ref="T9129">IF(OR(B9129="MAL ALIMI", B9129="ÜRETİM GİRİŞ"), MIN(I9129, MAX(0, I9129 + SUM(SUMIFS($I$1:I9128, $C$1:C9128, C9129, $B$1:B9128, {"MAL ALIMI","ÜRETİM GİRİŞ"})) - VLOOKUP(C9129, 'STOK RAPORU'!$C$2:$I$1000, 4, 0))), 0)</f>
        <v>0</v>
      </c>
      <c r="U9129" s="22">
        <f t="shared" si="620"/>
        <v>0</v>
      </c>
      <c r="V9129">
        <f t="shared" si="621"/>
        <v>0</v>
      </c>
      <c r="W9129" s="22">
        <f t="shared" si="622"/>
        <v>0</v>
      </c>
    </row>
    <row r="9130" spans="1:23" hidden="1" x14ac:dyDescent="0.25">
      <c r="A9130" s="4"/>
      <c r="B9130" s="4"/>
      <c r="C9130" s="4"/>
      <c r="D9130" s="4"/>
      <c r="E9130" s="4"/>
      <c r="F9130" s="4"/>
      <c r="G9130" s="4"/>
      <c r="H9130" s="4"/>
      <c r="I9130" s="4"/>
      <c r="J9130" s="21">
        <f>IFERROR(VLOOKUP(C9130,'STOK KARTLARI'!$C$2:$K$2150,8,0),0)</f>
        <v>0</v>
      </c>
      <c r="K9130" s="21">
        <f t="shared" si="623"/>
        <v>0</v>
      </c>
      <c r="L9130" s="5">
        <f t="shared" si="625"/>
        <v>0</v>
      </c>
      <c r="M9130" s="4"/>
      <c r="N9130" s="4"/>
      <c r="O9130" s="5"/>
      <c r="P9130" s="5"/>
      <c r="Q9130" s="21">
        <f t="shared" si="626"/>
        <v>0</v>
      </c>
      <c r="R9130" s="21">
        <f t="shared" si="624"/>
        <v>0</v>
      </c>
      <c r="S9130" s="5">
        <f t="shared" si="627"/>
        <v>70007.077158325032</v>
      </c>
      <c r="T9130" cm="1">
        <f t="array" ref="T9130">IF(OR(B9130="MAL ALIMI", B9130="ÜRETİM GİRİŞ"), MIN(I9130, MAX(0, I9130 + SUM(SUMIFS($I$1:I9129, $C$1:C9129, C9130, $B$1:B9129, {"MAL ALIMI","ÜRETİM GİRİŞ"})) - VLOOKUP(C9130, 'STOK RAPORU'!$C$2:$I$1000, 4, 0))), 0)</f>
        <v>0</v>
      </c>
      <c r="U9130" s="22">
        <f t="shared" si="620"/>
        <v>0</v>
      </c>
      <c r="V9130">
        <f t="shared" si="621"/>
        <v>0</v>
      </c>
      <c r="W9130" s="22">
        <f t="shared" si="622"/>
        <v>0</v>
      </c>
    </row>
    <row r="9131" spans="1:23" hidden="1" x14ac:dyDescent="0.25">
      <c r="A9131" s="4"/>
      <c r="B9131" s="4"/>
      <c r="C9131" s="4"/>
      <c r="D9131" s="4"/>
      <c r="E9131" s="4"/>
      <c r="F9131" s="4"/>
      <c r="G9131" s="4"/>
      <c r="H9131" s="4"/>
      <c r="I9131" s="4"/>
      <c r="J9131" s="21">
        <f>IFERROR(VLOOKUP(C9131,'STOK KARTLARI'!$C$2:$K$2150,8,0),0)</f>
        <v>0</v>
      </c>
      <c r="K9131" s="21">
        <f t="shared" si="623"/>
        <v>0</v>
      </c>
      <c r="L9131" s="5">
        <f t="shared" si="625"/>
        <v>0</v>
      </c>
      <c r="M9131" s="4"/>
      <c r="N9131" s="4"/>
      <c r="O9131" s="5"/>
      <c r="P9131" s="5"/>
      <c r="Q9131" s="21">
        <f t="shared" si="626"/>
        <v>0</v>
      </c>
      <c r="R9131" s="21">
        <f t="shared" si="624"/>
        <v>0</v>
      </c>
      <c r="S9131" s="5">
        <f t="shared" si="627"/>
        <v>70007.077158325032</v>
      </c>
      <c r="T9131" cm="1">
        <f t="array" ref="T9131">IF(OR(B9131="MAL ALIMI", B9131="ÜRETİM GİRİŞ"), MIN(I9131, MAX(0, I9131 + SUM(SUMIFS($I$1:I9130, $C$1:C9130, C9131, $B$1:B9130, {"MAL ALIMI","ÜRETİM GİRİŞ"})) - VLOOKUP(C9131, 'STOK RAPORU'!$C$2:$I$1000, 4, 0))), 0)</f>
        <v>0</v>
      </c>
      <c r="U9131" s="22">
        <f t="shared" si="620"/>
        <v>0</v>
      </c>
      <c r="V9131">
        <f t="shared" si="621"/>
        <v>0</v>
      </c>
      <c r="W9131" s="22">
        <f t="shared" si="622"/>
        <v>0</v>
      </c>
    </row>
    <row r="9132" spans="1:23" hidden="1" x14ac:dyDescent="0.25">
      <c r="A9132" s="3"/>
      <c r="B9132" s="4"/>
      <c r="C9132" s="4"/>
      <c r="D9132" s="4"/>
      <c r="E9132" s="4"/>
      <c r="F9132" s="4"/>
      <c r="G9132" s="4"/>
      <c r="H9132" s="4"/>
      <c r="I9132" s="4"/>
      <c r="J9132" s="21">
        <f>IFERROR(VLOOKUP(C9132,'STOK KARTLARI'!$C$2:$K$2150,8,0),0)</f>
        <v>0</v>
      </c>
      <c r="K9132" s="21">
        <f t="shared" si="623"/>
        <v>0</v>
      </c>
      <c r="L9132" s="5">
        <f t="shared" si="625"/>
        <v>0</v>
      </c>
      <c r="M9132" s="4"/>
      <c r="N9132" s="4"/>
      <c r="O9132" s="5"/>
      <c r="P9132" s="5"/>
      <c r="Q9132" s="21">
        <f t="shared" si="626"/>
        <v>0</v>
      </c>
      <c r="R9132" s="21">
        <f t="shared" si="624"/>
        <v>0</v>
      </c>
      <c r="S9132" s="5">
        <f t="shared" si="627"/>
        <v>70007.077158325032</v>
      </c>
      <c r="T9132" cm="1">
        <f t="array" ref="T9132">IF(OR(B9132="MAL ALIMI", B9132="ÜRETİM GİRİŞ"), MIN(I9132, MAX(0, I9132 + SUM(SUMIFS($I$1:I9131, $C$1:C9131, C9132, $B$1:B9131, {"MAL ALIMI","ÜRETİM GİRİŞ"})) - VLOOKUP(C9132, 'STOK RAPORU'!$C$2:$I$1000, 4, 0))), 0)</f>
        <v>0</v>
      </c>
      <c r="U9132" s="22">
        <f t="shared" si="620"/>
        <v>0</v>
      </c>
      <c r="V9132">
        <f t="shared" si="621"/>
        <v>0</v>
      </c>
      <c r="W9132" s="22">
        <f t="shared" si="622"/>
        <v>0</v>
      </c>
    </row>
    <row r="9133" spans="1:23" hidden="1" x14ac:dyDescent="0.25">
      <c r="A9133" s="4"/>
      <c r="B9133" s="4"/>
      <c r="C9133" s="4"/>
      <c r="D9133" s="4"/>
      <c r="E9133" s="4"/>
      <c r="F9133" s="4"/>
      <c r="G9133" s="4"/>
      <c r="H9133" s="4"/>
      <c r="I9133" s="4"/>
      <c r="J9133" s="21">
        <f>IFERROR(VLOOKUP(C9133,'STOK KARTLARI'!$C$2:$K$2150,8,0),0)</f>
        <v>0</v>
      </c>
      <c r="K9133" s="21">
        <f t="shared" si="623"/>
        <v>0</v>
      </c>
      <c r="L9133" s="5">
        <f t="shared" si="625"/>
        <v>0</v>
      </c>
      <c r="M9133" s="4"/>
      <c r="N9133" s="4"/>
      <c r="O9133" s="5"/>
      <c r="P9133" s="5"/>
      <c r="Q9133" s="21">
        <f t="shared" si="626"/>
        <v>0</v>
      </c>
      <c r="R9133" s="21">
        <f t="shared" si="624"/>
        <v>0</v>
      </c>
      <c r="S9133" s="5">
        <f t="shared" si="627"/>
        <v>70007.077158325032</v>
      </c>
      <c r="T9133" cm="1">
        <f t="array" ref="T9133">IF(OR(B9133="MAL ALIMI", B9133="ÜRETİM GİRİŞ"), MIN(I9133, MAX(0, I9133 + SUM(SUMIFS($I$1:I9132, $C$1:C9132, C9133, $B$1:B9132, {"MAL ALIMI","ÜRETİM GİRİŞ"})) - VLOOKUP(C9133, 'STOK RAPORU'!$C$2:$I$1000, 4, 0))), 0)</f>
        <v>0</v>
      </c>
      <c r="U9133" s="22">
        <f t="shared" si="620"/>
        <v>0</v>
      </c>
      <c r="V9133">
        <f t="shared" si="621"/>
        <v>0</v>
      </c>
      <c r="W9133" s="22">
        <f t="shared" si="622"/>
        <v>0</v>
      </c>
    </row>
    <row r="9134" spans="1:23" hidden="1" x14ac:dyDescent="0.25">
      <c r="A9134" s="4"/>
      <c r="B9134" s="4"/>
      <c r="C9134" s="4"/>
      <c r="D9134" s="4"/>
      <c r="E9134" s="4"/>
      <c r="F9134" s="4"/>
      <c r="G9134" s="4"/>
      <c r="H9134" s="4"/>
      <c r="I9134" s="4"/>
      <c r="J9134" s="21">
        <f>IFERROR(VLOOKUP(C9134,'STOK KARTLARI'!$C$2:$K$2150,8,0),0)</f>
        <v>0</v>
      </c>
      <c r="K9134" s="21">
        <f t="shared" si="623"/>
        <v>0</v>
      </c>
      <c r="L9134" s="5">
        <f t="shared" si="625"/>
        <v>0</v>
      </c>
      <c r="M9134" s="4"/>
      <c r="N9134" s="4"/>
      <c r="O9134" s="5"/>
      <c r="P9134" s="5"/>
      <c r="Q9134" s="21">
        <f t="shared" si="626"/>
        <v>0</v>
      </c>
      <c r="R9134" s="21">
        <f t="shared" si="624"/>
        <v>0</v>
      </c>
      <c r="S9134" s="5">
        <f t="shared" si="627"/>
        <v>70007.077158325032</v>
      </c>
      <c r="T9134" cm="1">
        <f t="array" ref="T9134">IF(OR(B9134="MAL ALIMI", B9134="ÜRETİM GİRİŞ"), MIN(I9134, MAX(0, I9134 + SUM(SUMIFS($I$1:I9133, $C$1:C9133, C9134, $B$1:B9133, {"MAL ALIMI","ÜRETİM GİRİŞ"})) - VLOOKUP(C9134, 'STOK RAPORU'!$C$2:$I$1000, 4, 0))), 0)</f>
        <v>0</v>
      </c>
      <c r="U9134" s="22">
        <f t="shared" si="620"/>
        <v>0</v>
      </c>
      <c r="V9134">
        <f t="shared" si="621"/>
        <v>0</v>
      </c>
      <c r="W9134" s="22">
        <f t="shared" si="622"/>
        <v>0</v>
      </c>
    </row>
    <row r="9135" spans="1:23" hidden="1" x14ac:dyDescent="0.25">
      <c r="A9135" s="4"/>
      <c r="B9135" s="4"/>
      <c r="C9135" s="4"/>
      <c r="D9135" s="4"/>
      <c r="E9135" s="4"/>
      <c r="F9135" s="4"/>
      <c r="G9135" s="4"/>
      <c r="H9135" s="4"/>
      <c r="I9135" s="4"/>
      <c r="J9135" s="21">
        <f>IFERROR(VLOOKUP(C9135,'STOK KARTLARI'!$C$2:$K$2150,8,0),0)</f>
        <v>0</v>
      </c>
      <c r="K9135" s="21">
        <f t="shared" si="623"/>
        <v>0</v>
      </c>
      <c r="L9135" s="5">
        <f t="shared" si="625"/>
        <v>0</v>
      </c>
      <c r="M9135" s="4"/>
      <c r="N9135" s="4"/>
      <c r="O9135" s="5"/>
      <c r="P9135" s="5"/>
      <c r="Q9135" s="21">
        <f t="shared" si="626"/>
        <v>0</v>
      </c>
      <c r="R9135" s="21">
        <f t="shared" si="624"/>
        <v>0</v>
      </c>
      <c r="S9135" s="5">
        <f t="shared" si="627"/>
        <v>70007.077158325032</v>
      </c>
      <c r="T9135" cm="1">
        <f t="array" ref="T9135">IF(OR(B9135="MAL ALIMI", B9135="ÜRETİM GİRİŞ"), MIN(I9135, MAX(0, I9135 + SUM(SUMIFS($I$1:I9134, $C$1:C9134, C9135, $B$1:B9134, {"MAL ALIMI","ÜRETİM GİRİŞ"})) - VLOOKUP(C9135, 'STOK RAPORU'!$C$2:$I$1000, 4, 0))), 0)</f>
        <v>0</v>
      </c>
      <c r="U9135" s="22">
        <f t="shared" ref="U9135:U9198" si="628">T9135*J9135</f>
        <v>0</v>
      </c>
      <c r="V9135">
        <f t="shared" ref="V9135:V9198" si="629">IF(OR(B9135="MAL ALIMI", B9135="ÜRETİM GİRİŞ"), I9135 * J9135, 0)</f>
        <v>0</v>
      </c>
      <c r="W9135" s="22">
        <f t="shared" ref="W9135:W9198" si="630">V9135-U9135</f>
        <v>0</v>
      </c>
    </row>
    <row r="9136" spans="1:23" hidden="1" x14ac:dyDescent="0.25">
      <c r="A9136" s="4"/>
      <c r="B9136" s="4"/>
      <c r="C9136" s="4"/>
      <c r="D9136" s="4"/>
      <c r="E9136" s="4"/>
      <c r="F9136" s="4"/>
      <c r="G9136" s="4"/>
      <c r="H9136" s="4"/>
      <c r="I9136" s="4"/>
      <c r="J9136" s="21">
        <f>IFERROR(VLOOKUP(C9136,'STOK KARTLARI'!$C$2:$K$2150,8,0),0)</f>
        <v>0</v>
      </c>
      <c r="K9136" s="21">
        <f t="shared" si="623"/>
        <v>0</v>
      </c>
      <c r="L9136" s="5">
        <f t="shared" si="625"/>
        <v>0</v>
      </c>
      <c r="M9136" s="4"/>
      <c r="N9136" s="4"/>
      <c r="O9136" s="5"/>
      <c r="P9136" s="5"/>
      <c r="Q9136" s="21">
        <f t="shared" si="626"/>
        <v>0</v>
      </c>
      <c r="R9136" s="21">
        <f t="shared" si="624"/>
        <v>0</v>
      </c>
      <c r="S9136" s="5">
        <f t="shared" si="627"/>
        <v>70007.077158325032</v>
      </c>
      <c r="T9136" cm="1">
        <f t="array" ref="T9136">IF(OR(B9136="MAL ALIMI", B9136="ÜRETİM GİRİŞ"), MIN(I9136, MAX(0, I9136 + SUM(SUMIFS($I$1:I9135, $C$1:C9135, C9136, $B$1:B9135, {"MAL ALIMI","ÜRETİM GİRİŞ"})) - VLOOKUP(C9136, 'STOK RAPORU'!$C$2:$I$1000, 4, 0))), 0)</f>
        <v>0</v>
      </c>
      <c r="U9136" s="22">
        <f t="shared" si="628"/>
        <v>0</v>
      </c>
      <c r="V9136">
        <f t="shared" si="629"/>
        <v>0</v>
      </c>
      <c r="W9136" s="22">
        <f t="shared" si="630"/>
        <v>0</v>
      </c>
    </row>
    <row r="9137" spans="1:23" hidden="1" x14ac:dyDescent="0.25">
      <c r="A9137" s="4"/>
      <c r="B9137" s="4"/>
      <c r="C9137" s="4"/>
      <c r="D9137" s="4"/>
      <c r="E9137" s="4"/>
      <c r="F9137" s="4"/>
      <c r="G9137" s="4"/>
      <c r="H9137" s="4"/>
      <c r="I9137" s="4"/>
      <c r="J9137" s="21">
        <f>IFERROR(VLOOKUP(C9137,'STOK KARTLARI'!$C$2:$K$2150,8,0),0)</f>
        <v>0</v>
      </c>
      <c r="K9137" s="21">
        <f t="shared" si="623"/>
        <v>0</v>
      </c>
      <c r="L9137" s="5">
        <f t="shared" si="625"/>
        <v>0</v>
      </c>
      <c r="M9137" s="4"/>
      <c r="N9137" s="4"/>
      <c r="O9137" s="5"/>
      <c r="P9137" s="5"/>
      <c r="Q9137" s="21">
        <f t="shared" si="626"/>
        <v>0</v>
      </c>
      <c r="R9137" s="21">
        <f t="shared" si="624"/>
        <v>0</v>
      </c>
      <c r="S9137" s="5">
        <f t="shared" si="627"/>
        <v>70007.077158325032</v>
      </c>
      <c r="T9137" cm="1">
        <f t="array" ref="T9137">IF(OR(B9137="MAL ALIMI", B9137="ÜRETİM GİRİŞ"), MIN(I9137, MAX(0, I9137 + SUM(SUMIFS($I$1:I9136, $C$1:C9136, C9137, $B$1:B9136, {"MAL ALIMI","ÜRETİM GİRİŞ"})) - VLOOKUP(C9137, 'STOK RAPORU'!$C$2:$I$1000, 4, 0))), 0)</f>
        <v>0</v>
      </c>
      <c r="U9137" s="22">
        <f t="shared" si="628"/>
        <v>0</v>
      </c>
      <c r="V9137">
        <f t="shared" si="629"/>
        <v>0</v>
      </c>
      <c r="W9137" s="22">
        <f t="shared" si="630"/>
        <v>0</v>
      </c>
    </row>
    <row r="9138" spans="1:23" hidden="1" x14ac:dyDescent="0.25">
      <c r="A9138" s="4"/>
      <c r="B9138" s="4"/>
      <c r="C9138" s="4"/>
      <c r="D9138" s="4"/>
      <c r="E9138" s="4"/>
      <c r="F9138" s="4"/>
      <c r="G9138" s="4"/>
      <c r="H9138" s="4"/>
      <c r="I9138" s="4"/>
      <c r="J9138" s="21">
        <f>IFERROR(VLOOKUP(C9138,'STOK KARTLARI'!$C$2:$K$2150,8,0),0)</f>
        <v>0</v>
      </c>
      <c r="K9138" s="21">
        <f t="shared" si="623"/>
        <v>0</v>
      </c>
      <c r="L9138" s="5">
        <f t="shared" si="625"/>
        <v>0</v>
      </c>
      <c r="M9138" s="4"/>
      <c r="N9138" s="4"/>
      <c r="O9138" s="5"/>
      <c r="P9138" s="5"/>
      <c r="Q9138" s="21">
        <f t="shared" si="626"/>
        <v>0</v>
      </c>
      <c r="R9138" s="21">
        <f t="shared" si="624"/>
        <v>0</v>
      </c>
      <c r="S9138" s="5">
        <f t="shared" si="627"/>
        <v>70007.077158325032</v>
      </c>
      <c r="T9138" cm="1">
        <f t="array" ref="T9138">IF(OR(B9138="MAL ALIMI", B9138="ÜRETİM GİRİŞ"), MIN(I9138, MAX(0, I9138 + SUM(SUMIFS($I$1:I9137, $C$1:C9137, C9138, $B$1:B9137, {"MAL ALIMI","ÜRETİM GİRİŞ"})) - VLOOKUP(C9138, 'STOK RAPORU'!$C$2:$I$1000, 4, 0))), 0)</f>
        <v>0</v>
      </c>
      <c r="U9138" s="22">
        <f t="shared" si="628"/>
        <v>0</v>
      </c>
      <c r="V9138">
        <f t="shared" si="629"/>
        <v>0</v>
      </c>
      <c r="W9138" s="22">
        <f t="shared" si="630"/>
        <v>0</v>
      </c>
    </row>
    <row r="9139" spans="1:23" hidden="1" x14ac:dyDescent="0.25">
      <c r="A9139" s="3"/>
      <c r="B9139" s="4"/>
      <c r="C9139" s="4"/>
      <c r="D9139" s="4"/>
      <c r="E9139" s="4"/>
      <c r="F9139" s="4"/>
      <c r="G9139" s="4"/>
      <c r="H9139" s="4"/>
      <c r="I9139" s="4"/>
      <c r="J9139" s="21">
        <f>IFERROR(VLOOKUP(C9139,'STOK KARTLARI'!$C$2:$K$2150,8,0),0)</f>
        <v>0</v>
      </c>
      <c r="K9139" s="21">
        <f t="shared" ref="K9139:K9202" si="631">IF(AND(B9139="MAL SATIŞI", H9139="POS"),I9139*J9139,0)</f>
        <v>0</v>
      </c>
      <c r="L9139" s="5">
        <f t="shared" si="625"/>
        <v>0</v>
      </c>
      <c r="M9139" s="4"/>
      <c r="N9139" s="4"/>
      <c r="O9139" s="5"/>
      <c r="P9139" s="5"/>
      <c r="Q9139" s="21">
        <f t="shared" si="626"/>
        <v>0</v>
      </c>
      <c r="R9139" s="21">
        <f t="shared" ref="R9139:R9202" si="632">IF(AND(E9139="", B9139&lt;&gt;"MAL SATIŞI"),I9139*J9139,0)</f>
        <v>0</v>
      </c>
      <c r="S9139" s="5">
        <f t="shared" si="627"/>
        <v>70007.077158325032</v>
      </c>
      <c r="T9139" cm="1">
        <f t="array" ref="T9139">IF(OR(B9139="MAL ALIMI", B9139="ÜRETİM GİRİŞ"), MIN(I9139, MAX(0, I9139 + SUM(SUMIFS($I$1:I9138, $C$1:C9138, C9139, $B$1:B9138, {"MAL ALIMI","ÜRETİM GİRİŞ"})) - VLOOKUP(C9139, 'STOK RAPORU'!$C$2:$I$1000, 4, 0))), 0)</f>
        <v>0</v>
      </c>
      <c r="U9139" s="22">
        <f t="shared" si="628"/>
        <v>0</v>
      </c>
      <c r="V9139">
        <f t="shared" si="629"/>
        <v>0</v>
      </c>
      <c r="W9139" s="22">
        <f t="shared" si="630"/>
        <v>0</v>
      </c>
    </row>
    <row r="9140" spans="1:23" hidden="1" x14ac:dyDescent="0.25">
      <c r="A9140" s="4"/>
      <c r="B9140" s="4"/>
      <c r="C9140" s="4"/>
      <c r="D9140" s="4"/>
      <c r="E9140" s="4"/>
      <c r="F9140" s="4"/>
      <c r="G9140" s="4"/>
      <c r="H9140" s="4"/>
      <c r="I9140" s="4"/>
      <c r="J9140" s="21">
        <f>IFERROR(VLOOKUP(C9140,'STOK KARTLARI'!$C$2:$K$2150,8,0),0)</f>
        <v>0</v>
      </c>
      <c r="K9140" s="21">
        <f t="shared" si="631"/>
        <v>0</v>
      </c>
      <c r="L9140" s="5">
        <f t="shared" ref="L9140:L9203" si="633">IF(OR(E9140="", H9140="POS"),0,I9140*J9140)</f>
        <v>0</v>
      </c>
      <c r="M9140" s="4"/>
      <c r="N9140" s="4"/>
      <c r="O9140" s="5"/>
      <c r="P9140" s="5"/>
      <c r="Q9140" s="21">
        <f t="shared" ref="Q9140:Q9203" si="634">IF(AND(E9140="", B9140="MAL SATIŞI", H9140="NAKİT"),I9140*J9140,0)</f>
        <v>0</v>
      </c>
      <c r="R9140" s="21">
        <f t="shared" si="632"/>
        <v>0</v>
      </c>
      <c r="S9140" s="5">
        <f t="shared" si="627"/>
        <v>70007.077158325032</v>
      </c>
      <c r="T9140" cm="1">
        <f t="array" ref="T9140">IF(OR(B9140="MAL ALIMI", B9140="ÜRETİM GİRİŞ"), MIN(I9140, MAX(0, I9140 + SUM(SUMIFS($I$1:I9139, $C$1:C9139, C9140, $B$1:B9139, {"MAL ALIMI","ÜRETİM GİRİŞ"})) - VLOOKUP(C9140, 'STOK RAPORU'!$C$2:$I$1000, 4, 0))), 0)</f>
        <v>0</v>
      </c>
      <c r="U9140" s="22">
        <f t="shared" si="628"/>
        <v>0</v>
      </c>
      <c r="V9140">
        <f t="shared" si="629"/>
        <v>0</v>
      </c>
      <c r="W9140" s="22">
        <f t="shared" si="630"/>
        <v>0</v>
      </c>
    </row>
    <row r="9141" spans="1:23" hidden="1" x14ac:dyDescent="0.25">
      <c r="A9141" s="4"/>
      <c r="B9141" s="4"/>
      <c r="C9141" s="4"/>
      <c r="D9141" s="4"/>
      <c r="E9141" s="4"/>
      <c r="F9141" s="4"/>
      <c r="G9141" s="4"/>
      <c r="H9141" s="4"/>
      <c r="I9141" s="4"/>
      <c r="J9141" s="21">
        <f>IFERROR(VLOOKUP(C9141,'STOK KARTLARI'!$C$2:$K$2150,8,0),0)</f>
        <v>0</v>
      </c>
      <c r="K9141" s="21">
        <f t="shared" si="631"/>
        <v>0</v>
      </c>
      <c r="L9141" s="5">
        <f t="shared" si="633"/>
        <v>0</v>
      </c>
      <c r="M9141" s="4"/>
      <c r="N9141" s="4"/>
      <c r="O9141" s="5"/>
      <c r="P9141" s="5"/>
      <c r="Q9141" s="21">
        <f t="shared" si="634"/>
        <v>0</v>
      </c>
      <c r="R9141" s="21">
        <f t="shared" si="632"/>
        <v>0</v>
      </c>
      <c r="S9141" s="5">
        <f t="shared" si="627"/>
        <v>70007.077158325032</v>
      </c>
      <c r="T9141" cm="1">
        <f t="array" ref="T9141">IF(OR(B9141="MAL ALIMI", B9141="ÜRETİM GİRİŞ"), MIN(I9141, MAX(0, I9141 + SUM(SUMIFS($I$1:I9140, $C$1:C9140, C9141, $B$1:B9140, {"MAL ALIMI","ÜRETİM GİRİŞ"})) - VLOOKUP(C9141, 'STOK RAPORU'!$C$2:$I$1000, 4, 0))), 0)</f>
        <v>0</v>
      </c>
      <c r="U9141" s="22">
        <f t="shared" si="628"/>
        <v>0</v>
      </c>
      <c r="V9141">
        <f t="shared" si="629"/>
        <v>0</v>
      </c>
      <c r="W9141" s="22">
        <f t="shared" si="630"/>
        <v>0</v>
      </c>
    </row>
    <row r="9142" spans="1:23" hidden="1" x14ac:dyDescent="0.25">
      <c r="A9142" s="4"/>
      <c r="B9142" s="4"/>
      <c r="C9142" s="4"/>
      <c r="D9142" s="4"/>
      <c r="E9142" s="4"/>
      <c r="F9142" s="4"/>
      <c r="G9142" s="4"/>
      <c r="H9142" s="4"/>
      <c r="I9142" s="4"/>
      <c r="J9142" s="21">
        <f>IFERROR(VLOOKUP(C9142,'STOK KARTLARI'!$C$2:$K$2150,8,0),0)</f>
        <v>0</v>
      </c>
      <c r="K9142" s="21">
        <f t="shared" si="631"/>
        <v>0</v>
      </c>
      <c r="L9142" s="5">
        <f t="shared" si="633"/>
        <v>0</v>
      </c>
      <c r="M9142" s="4"/>
      <c r="N9142" s="4"/>
      <c r="O9142" s="5"/>
      <c r="P9142" s="5"/>
      <c r="Q9142" s="21">
        <f t="shared" si="634"/>
        <v>0</v>
      </c>
      <c r="R9142" s="21">
        <f t="shared" si="632"/>
        <v>0</v>
      </c>
      <c r="S9142" s="5">
        <f t="shared" si="627"/>
        <v>70007.077158325032</v>
      </c>
      <c r="T9142" cm="1">
        <f t="array" ref="T9142">IF(OR(B9142="MAL ALIMI", B9142="ÜRETİM GİRİŞ"), MIN(I9142, MAX(0, I9142 + SUM(SUMIFS($I$1:I9141, $C$1:C9141, C9142, $B$1:B9141, {"MAL ALIMI","ÜRETİM GİRİŞ"})) - VLOOKUP(C9142, 'STOK RAPORU'!$C$2:$I$1000, 4, 0))), 0)</f>
        <v>0</v>
      </c>
      <c r="U9142" s="22">
        <f t="shared" si="628"/>
        <v>0</v>
      </c>
      <c r="V9142">
        <f t="shared" si="629"/>
        <v>0</v>
      </c>
      <c r="W9142" s="22">
        <f t="shared" si="630"/>
        <v>0</v>
      </c>
    </row>
    <row r="9143" spans="1:23" hidden="1" x14ac:dyDescent="0.25">
      <c r="A9143" s="4"/>
      <c r="B9143" s="4"/>
      <c r="C9143" s="4"/>
      <c r="D9143" s="4"/>
      <c r="E9143" s="4"/>
      <c r="F9143" s="4"/>
      <c r="G9143" s="4"/>
      <c r="H9143" s="4"/>
      <c r="I9143" s="4"/>
      <c r="J9143" s="21">
        <f>IFERROR(VLOOKUP(C9143,'STOK KARTLARI'!$C$2:$K$2150,8,0),0)</f>
        <v>0</v>
      </c>
      <c r="K9143" s="21">
        <f t="shared" si="631"/>
        <v>0</v>
      </c>
      <c r="L9143" s="5">
        <f t="shared" si="633"/>
        <v>0</v>
      </c>
      <c r="M9143" s="4"/>
      <c r="N9143" s="4"/>
      <c r="O9143" s="5"/>
      <c r="P9143" s="5"/>
      <c r="Q9143" s="21">
        <f t="shared" si="634"/>
        <v>0</v>
      </c>
      <c r="R9143" s="21">
        <f t="shared" si="632"/>
        <v>0</v>
      </c>
      <c r="S9143" s="5">
        <f t="shared" si="627"/>
        <v>70007.077158325032</v>
      </c>
      <c r="T9143" cm="1">
        <f t="array" ref="T9143">IF(OR(B9143="MAL ALIMI", B9143="ÜRETİM GİRİŞ"), MIN(I9143, MAX(0, I9143 + SUM(SUMIFS($I$1:I9142, $C$1:C9142, C9143, $B$1:B9142, {"MAL ALIMI","ÜRETİM GİRİŞ"})) - VLOOKUP(C9143, 'STOK RAPORU'!$C$2:$I$1000, 4, 0))), 0)</f>
        <v>0</v>
      </c>
      <c r="U9143" s="22">
        <f t="shared" si="628"/>
        <v>0</v>
      </c>
      <c r="V9143">
        <f t="shared" si="629"/>
        <v>0</v>
      </c>
      <c r="W9143" s="22">
        <f t="shared" si="630"/>
        <v>0</v>
      </c>
    </row>
    <row r="9144" spans="1:23" hidden="1" x14ac:dyDescent="0.25">
      <c r="A9144" s="4"/>
      <c r="B9144" s="4"/>
      <c r="C9144" s="4"/>
      <c r="D9144" s="4"/>
      <c r="E9144" s="4"/>
      <c r="F9144" s="4"/>
      <c r="G9144" s="4"/>
      <c r="H9144" s="4"/>
      <c r="I9144" s="4"/>
      <c r="J9144" s="21">
        <f>IFERROR(VLOOKUP(C9144,'STOK KARTLARI'!$C$2:$K$2150,8,0),0)</f>
        <v>0</v>
      </c>
      <c r="K9144" s="21">
        <f t="shared" si="631"/>
        <v>0</v>
      </c>
      <c r="L9144" s="5">
        <f t="shared" si="633"/>
        <v>0</v>
      </c>
      <c r="M9144" s="4"/>
      <c r="N9144" s="4"/>
      <c r="O9144" s="5"/>
      <c r="P9144" s="5"/>
      <c r="Q9144" s="21">
        <f t="shared" si="634"/>
        <v>0</v>
      </c>
      <c r="R9144" s="21">
        <f t="shared" si="632"/>
        <v>0</v>
      </c>
      <c r="S9144" s="5">
        <f t="shared" si="627"/>
        <v>70007.077158325032</v>
      </c>
      <c r="T9144" cm="1">
        <f t="array" ref="T9144">IF(OR(B9144="MAL ALIMI", B9144="ÜRETİM GİRİŞ"), MIN(I9144, MAX(0, I9144 + SUM(SUMIFS($I$1:I9143, $C$1:C9143, C9144, $B$1:B9143, {"MAL ALIMI","ÜRETİM GİRİŞ"})) - VLOOKUP(C9144, 'STOK RAPORU'!$C$2:$I$1000, 4, 0))), 0)</f>
        <v>0</v>
      </c>
      <c r="U9144" s="22">
        <f t="shared" si="628"/>
        <v>0</v>
      </c>
      <c r="V9144">
        <f t="shared" si="629"/>
        <v>0</v>
      </c>
      <c r="W9144" s="22">
        <f t="shared" si="630"/>
        <v>0</v>
      </c>
    </row>
    <row r="9145" spans="1:23" hidden="1" x14ac:dyDescent="0.25">
      <c r="A9145" s="4"/>
      <c r="B9145" s="4"/>
      <c r="C9145" s="4"/>
      <c r="D9145" s="4"/>
      <c r="E9145" s="4"/>
      <c r="F9145" s="4"/>
      <c r="G9145" s="4"/>
      <c r="H9145" s="4"/>
      <c r="I9145" s="4"/>
      <c r="J9145" s="21">
        <f>IFERROR(VLOOKUP(C9145,'STOK KARTLARI'!$C$2:$K$2150,8,0),0)</f>
        <v>0</v>
      </c>
      <c r="K9145" s="21">
        <f t="shared" si="631"/>
        <v>0</v>
      </c>
      <c r="L9145" s="5">
        <f t="shared" si="633"/>
        <v>0</v>
      </c>
      <c r="M9145" s="4"/>
      <c r="N9145" s="4"/>
      <c r="O9145" s="5"/>
      <c r="P9145" s="5"/>
      <c r="Q9145" s="21">
        <f t="shared" si="634"/>
        <v>0</v>
      </c>
      <c r="R9145" s="21">
        <f t="shared" si="632"/>
        <v>0</v>
      </c>
      <c r="S9145" s="5">
        <f t="shared" si="627"/>
        <v>70007.077158325032</v>
      </c>
      <c r="T9145" cm="1">
        <f t="array" ref="T9145">IF(OR(B9145="MAL ALIMI", B9145="ÜRETİM GİRİŞ"), MIN(I9145, MAX(0, I9145 + SUM(SUMIFS($I$1:I9144, $C$1:C9144, C9145, $B$1:B9144, {"MAL ALIMI","ÜRETİM GİRİŞ"})) - VLOOKUP(C9145, 'STOK RAPORU'!$C$2:$I$1000, 4, 0))), 0)</f>
        <v>0</v>
      </c>
      <c r="U9145" s="22">
        <f t="shared" si="628"/>
        <v>0</v>
      </c>
      <c r="V9145">
        <f t="shared" si="629"/>
        <v>0</v>
      </c>
      <c r="W9145" s="22">
        <f t="shared" si="630"/>
        <v>0</v>
      </c>
    </row>
    <row r="9146" spans="1:23" hidden="1" x14ac:dyDescent="0.25">
      <c r="A9146" s="3"/>
      <c r="B9146" s="4"/>
      <c r="C9146" s="4"/>
      <c r="D9146" s="4"/>
      <c r="E9146" s="4"/>
      <c r="F9146" s="4"/>
      <c r="G9146" s="4"/>
      <c r="H9146" s="4"/>
      <c r="I9146" s="4"/>
      <c r="J9146" s="21">
        <f>IFERROR(VLOOKUP(C9146,'STOK KARTLARI'!$C$2:$K$2150,8,0),0)</f>
        <v>0</v>
      </c>
      <c r="K9146" s="21">
        <f t="shared" si="631"/>
        <v>0</v>
      </c>
      <c r="L9146" s="5">
        <f t="shared" si="633"/>
        <v>0</v>
      </c>
      <c r="M9146" s="4"/>
      <c r="N9146" s="4"/>
      <c r="O9146" s="5"/>
      <c r="P9146" s="5"/>
      <c r="Q9146" s="21">
        <f t="shared" si="634"/>
        <v>0</v>
      </c>
      <c r="R9146" s="21">
        <f t="shared" si="632"/>
        <v>0</v>
      </c>
      <c r="S9146" s="5">
        <f t="shared" si="627"/>
        <v>70007.077158325032</v>
      </c>
      <c r="T9146" cm="1">
        <f t="array" ref="T9146">IF(OR(B9146="MAL ALIMI", B9146="ÜRETİM GİRİŞ"), MIN(I9146, MAX(0, I9146 + SUM(SUMIFS($I$1:I9145, $C$1:C9145, C9146, $B$1:B9145, {"MAL ALIMI","ÜRETİM GİRİŞ"})) - VLOOKUP(C9146, 'STOK RAPORU'!$C$2:$I$1000, 4, 0))), 0)</f>
        <v>0</v>
      </c>
      <c r="U9146" s="22">
        <f t="shared" si="628"/>
        <v>0</v>
      </c>
      <c r="V9146">
        <f t="shared" si="629"/>
        <v>0</v>
      </c>
      <c r="W9146" s="22">
        <f t="shared" si="630"/>
        <v>0</v>
      </c>
    </row>
    <row r="9147" spans="1:23" hidden="1" x14ac:dyDescent="0.25">
      <c r="A9147" s="4"/>
      <c r="B9147" s="4"/>
      <c r="C9147" s="4"/>
      <c r="D9147" s="4"/>
      <c r="E9147" s="4"/>
      <c r="F9147" s="4"/>
      <c r="G9147" s="4"/>
      <c r="H9147" s="4"/>
      <c r="I9147" s="4"/>
      <c r="J9147" s="21">
        <f>IFERROR(VLOOKUP(C9147,'STOK KARTLARI'!$C$2:$K$2150,8,0),0)</f>
        <v>0</v>
      </c>
      <c r="K9147" s="21">
        <f t="shared" si="631"/>
        <v>0</v>
      </c>
      <c r="L9147" s="5">
        <f t="shared" si="633"/>
        <v>0</v>
      </c>
      <c r="M9147" s="4"/>
      <c r="N9147" s="4"/>
      <c r="O9147" s="5"/>
      <c r="P9147" s="5"/>
      <c r="Q9147" s="21">
        <f t="shared" si="634"/>
        <v>0</v>
      </c>
      <c r="R9147" s="21">
        <f t="shared" si="632"/>
        <v>0</v>
      </c>
      <c r="S9147" s="5">
        <f t="shared" si="627"/>
        <v>70007.077158325032</v>
      </c>
      <c r="T9147" cm="1">
        <f t="array" ref="T9147">IF(OR(B9147="MAL ALIMI", B9147="ÜRETİM GİRİŞ"), MIN(I9147, MAX(0, I9147 + SUM(SUMIFS($I$1:I9146, $C$1:C9146, C9147, $B$1:B9146, {"MAL ALIMI","ÜRETİM GİRİŞ"})) - VLOOKUP(C9147, 'STOK RAPORU'!$C$2:$I$1000, 4, 0))), 0)</f>
        <v>0</v>
      </c>
      <c r="U9147" s="22">
        <f t="shared" si="628"/>
        <v>0</v>
      </c>
      <c r="V9147">
        <f t="shared" si="629"/>
        <v>0</v>
      </c>
      <c r="W9147" s="22">
        <f t="shared" si="630"/>
        <v>0</v>
      </c>
    </row>
    <row r="9148" spans="1:23" hidden="1" x14ac:dyDescent="0.25">
      <c r="A9148" s="4"/>
      <c r="B9148" s="4"/>
      <c r="C9148" s="4"/>
      <c r="D9148" s="4"/>
      <c r="E9148" s="4"/>
      <c r="F9148" s="4"/>
      <c r="G9148" s="4"/>
      <c r="H9148" s="4"/>
      <c r="I9148" s="4"/>
      <c r="J9148" s="21">
        <f>IFERROR(VLOOKUP(C9148,'STOK KARTLARI'!$C$2:$K$2150,8,0),0)</f>
        <v>0</v>
      </c>
      <c r="K9148" s="21">
        <f t="shared" si="631"/>
        <v>0</v>
      </c>
      <c r="L9148" s="5">
        <f t="shared" si="633"/>
        <v>0</v>
      </c>
      <c r="M9148" s="4"/>
      <c r="N9148" s="4"/>
      <c r="O9148" s="5"/>
      <c r="P9148" s="5"/>
      <c r="Q9148" s="21">
        <f t="shared" si="634"/>
        <v>0</v>
      </c>
      <c r="R9148" s="21">
        <f t="shared" si="632"/>
        <v>0</v>
      </c>
      <c r="S9148" s="5">
        <f t="shared" si="627"/>
        <v>70007.077158325032</v>
      </c>
      <c r="T9148" cm="1">
        <f t="array" ref="T9148">IF(OR(B9148="MAL ALIMI", B9148="ÜRETİM GİRİŞ"), MIN(I9148, MAX(0, I9148 + SUM(SUMIFS($I$1:I9147, $C$1:C9147, C9148, $B$1:B9147, {"MAL ALIMI","ÜRETİM GİRİŞ"})) - VLOOKUP(C9148, 'STOK RAPORU'!$C$2:$I$1000, 4, 0))), 0)</f>
        <v>0</v>
      </c>
      <c r="U9148" s="22">
        <f t="shared" si="628"/>
        <v>0</v>
      </c>
      <c r="V9148">
        <f t="shared" si="629"/>
        <v>0</v>
      </c>
      <c r="W9148" s="22">
        <f t="shared" si="630"/>
        <v>0</v>
      </c>
    </row>
    <row r="9149" spans="1:23" hidden="1" x14ac:dyDescent="0.25">
      <c r="A9149" s="4"/>
      <c r="B9149" s="4"/>
      <c r="C9149" s="4"/>
      <c r="D9149" s="4"/>
      <c r="E9149" s="4"/>
      <c r="F9149" s="4"/>
      <c r="G9149" s="4"/>
      <c r="H9149" s="4"/>
      <c r="I9149" s="4"/>
      <c r="J9149" s="21">
        <f>IFERROR(VLOOKUP(C9149,'STOK KARTLARI'!$C$2:$K$2150,8,0),0)</f>
        <v>0</v>
      </c>
      <c r="K9149" s="21">
        <f t="shared" si="631"/>
        <v>0</v>
      </c>
      <c r="L9149" s="5">
        <f t="shared" si="633"/>
        <v>0</v>
      </c>
      <c r="M9149" s="4"/>
      <c r="N9149" s="4"/>
      <c r="O9149" s="5"/>
      <c r="P9149" s="5"/>
      <c r="Q9149" s="21">
        <f t="shared" si="634"/>
        <v>0</v>
      </c>
      <c r="R9149" s="21">
        <f t="shared" si="632"/>
        <v>0</v>
      </c>
      <c r="S9149" s="5">
        <f t="shared" si="627"/>
        <v>70007.077158325032</v>
      </c>
      <c r="T9149" cm="1">
        <f t="array" ref="T9149">IF(OR(B9149="MAL ALIMI", B9149="ÜRETİM GİRİŞ"), MIN(I9149, MAX(0, I9149 + SUM(SUMIFS($I$1:I9148, $C$1:C9148, C9149, $B$1:B9148, {"MAL ALIMI","ÜRETİM GİRİŞ"})) - VLOOKUP(C9149, 'STOK RAPORU'!$C$2:$I$1000, 4, 0))), 0)</f>
        <v>0</v>
      </c>
      <c r="U9149" s="22">
        <f t="shared" si="628"/>
        <v>0</v>
      </c>
      <c r="V9149">
        <f t="shared" si="629"/>
        <v>0</v>
      </c>
      <c r="W9149" s="22">
        <f t="shared" si="630"/>
        <v>0</v>
      </c>
    </row>
    <row r="9150" spans="1:23" hidden="1" x14ac:dyDescent="0.25">
      <c r="A9150" s="4"/>
      <c r="B9150" s="4"/>
      <c r="C9150" s="4"/>
      <c r="D9150" s="4"/>
      <c r="E9150" s="4"/>
      <c r="F9150" s="4"/>
      <c r="G9150" s="4"/>
      <c r="H9150" s="4"/>
      <c r="I9150" s="4"/>
      <c r="J9150" s="21">
        <f>IFERROR(VLOOKUP(C9150,'STOK KARTLARI'!$C$2:$K$2150,8,0),0)</f>
        <v>0</v>
      </c>
      <c r="K9150" s="21">
        <f t="shared" si="631"/>
        <v>0</v>
      </c>
      <c r="L9150" s="5">
        <f t="shared" si="633"/>
        <v>0</v>
      </c>
      <c r="M9150" s="4"/>
      <c r="N9150" s="4"/>
      <c r="O9150" s="5"/>
      <c r="P9150" s="5"/>
      <c r="Q9150" s="21">
        <f t="shared" si="634"/>
        <v>0</v>
      </c>
      <c r="R9150" s="21">
        <f t="shared" si="632"/>
        <v>0</v>
      </c>
      <c r="S9150" s="5">
        <f t="shared" si="627"/>
        <v>70007.077158325032</v>
      </c>
      <c r="T9150" cm="1">
        <f t="array" ref="T9150">IF(OR(B9150="MAL ALIMI", B9150="ÜRETİM GİRİŞ"), MIN(I9150, MAX(0, I9150 + SUM(SUMIFS($I$1:I9149, $C$1:C9149, C9150, $B$1:B9149, {"MAL ALIMI","ÜRETİM GİRİŞ"})) - VLOOKUP(C9150, 'STOK RAPORU'!$C$2:$I$1000, 4, 0))), 0)</f>
        <v>0</v>
      </c>
      <c r="U9150" s="22">
        <f t="shared" si="628"/>
        <v>0</v>
      </c>
      <c r="V9150">
        <f t="shared" si="629"/>
        <v>0</v>
      </c>
      <c r="W9150" s="22">
        <f t="shared" si="630"/>
        <v>0</v>
      </c>
    </row>
    <row r="9151" spans="1:23" hidden="1" x14ac:dyDescent="0.25">
      <c r="A9151" s="4"/>
      <c r="B9151" s="4"/>
      <c r="C9151" s="4"/>
      <c r="D9151" s="4"/>
      <c r="E9151" s="4"/>
      <c r="F9151" s="4"/>
      <c r="G9151" s="4"/>
      <c r="H9151" s="4"/>
      <c r="I9151" s="4"/>
      <c r="J9151" s="21">
        <f>IFERROR(VLOOKUP(C9151,'STOK KARTLARI'!$C$2:$K$2150,8,0),0)</f>
        <v>0</v>
      </c>
      <c r="K9151" s="21">
        <f t="shared" si="631"/>
        <v>0</v>
      </c>
      <c r="L9151" s="5">
        <f t="shared" si="633"/>
        <v>0</v>
      </c>
      <c r="M9151" s="4"/>
      <c r="N9151" s="4"/>
      <c r="O9151" s="5"/>
      <c r="P9151" s="5"/>
      <c r="Q9151" s="21">
        <f t="shared" si="634"/>
        <v>0</v>
      </c>
      <c r="R9151" s="21">
        <f t="shared" si="632"/>
        <v>0</v>
      </c>
      <c r="S9151" s="5">
        <f t="shared" si="627"/>
        <v>70007.077158325032</v>
      </c>
      <c r="T9151" cm="1">
        <f t="array" ref="T9151">IF(OR(B9151="MAL ALIMI", B9151="ÜRETİM GİRİŞ"), MIN(I9151, MAX(0, I9151 + SUM(SUMIFS($I$1:I9150, $C$1:C9150, C9151, $B$1:B9150, {"MAL ALIMI","ÜRETİM GİRİŞ"})) - VLOOKUP(C9151, 'STOK RAPORU'!$C$2:$I$1000, 4, 0))), 0)</f>
        <v>0</v>
      </c>
      <c r="U9151" s="22">
        <f t="shared" si="628"/>
        <v>0</v>
      </c>
      <c r="V9151">
        <f t="shared" si="629"/>
        <v>0</v>
      </c>
      <c r="W9151" s="22">
        <f t="shared" si="630"/>
        <v>0</v>
      </c>
    </row>
    <row r="9152" spans="1:23" hidden="1" x14ac:dyDescent="0.25">
      <c r="A9152" s="4"/>
      <c r="B9152" s="4"/>
      <c r="C9152" s="4"/>
      <c r="D9152" s="4"/>
      <c r="E9152" s="4"/>
      <c r="F9152" s="4"/>
      <c r="G9152" s="4"/>
      <c r="H9152" s="4"/>
      <c r="I9152" s="4"/>
      <c r="J9152" s="21">
        <f>IFERROR(VLOOKUP(C9152,'STOK KARTLARI'!$C$2:$K$2150,8,0),0)</f>
        <v>0</v>
      </c>
      <c r="K9152" s="21">
        <f t="shared" si="631"/>
        <v>0</v>
      </c>
      <c r="L9152" s="5">
        <f t="shared" si="633"/>
        <v>0</v>
      </c>
      <c r="M9152" s="4"/>
      <c r="N9152" s="4"/>
      <c r="O9152" s="5"/>
      <c r="P9152" s="5"/>
      <c r="Q9152" s="21">
        <f t="shared" si="634"/>
        <v>0</v>
      </c>
      <c r="R9152" s="21">
        <f t="shared" si="632"/>
        <v>0</v>
      </c>
      <c r="S9152" s="5">
        <f t="shared" si="627"/>
        <v>70007.077158325032</v>
      </c>
      <c r="T9152" cm="1">
        <f t="array" ref="T9152">IF(OR(B9152="MAL ALIMI", B9152="ÜRETİM GİRİŞ"), MIN(I9152, MAX(0, I9152 + SUM(SUMIFS($I$1:I9151, $C$1:C9151, C9152, $B$1:B9151, {"MAL ALIMI","ÜRETİM GİRİŞ"})) - VLOOKUP(C9152, 'STOK RAPORU'!$C$2:$I$1000, 4, 0))), 0)</f>
        <v>0</v>
      </c>
      <c r="U9152" s="22">
        <f t="shared" si="628"/>
        <v>0</v>
      </c>
      <c r="V9152">
        <f t="shared" si="629"/>
        <v>0</v>
      </c>
      <c r="W9152" s="22">
        <f t="shared" si="630"/>
        <v>0</v>
      </c>
    </row>
    <row r="9153" spans="1:23" hidden="1" x14ac:dyDescent="0.25">
      <c r="A9153" s="3"/>
      <c r="B9153" s="4"/>
      <c r="C9153" s="4"/>
      <c r="D9153" s="4"/>
      <c r="E9153" s="4"/>
      <c r="F9153" s="4"/>
      <c r="G9153" s="4"/>
      <c r="H9153" s="4"/>
      <c r="I9153" s="4"/>
      <c r="J9153" s="21">
        <f>IFERROR(VLOOKUP(C9153,'STOK KARTLARI'!$C$2:$K$2150,8,0),0)</f>
        <v>0</v>
      </c>
      <c r="K9153" s="21">
        <f t="shared" si="631"/>
        <v>0</v>
      </c>
      <c r="L9153" s="5">
        <f t="shared" si="633"/>
        <v>0</v>
      </c>
      <c r="M9153" s="4"/>
      <c r="N9153" s="4"/>
      <c r="O9153" s="5"/>
      <c r="P9153" s="5"/>
      <c r="Q9153" s="21">
        <f t="shared" si="634"/>
        <v>0</v>
      </c>
      <c r="R9153" s="21">
        <f t="shared" si="632"/>
        <v>0</v>
      </c>
      <c r="S9153" s="5">
        <f t="shared" si="627"/>
        <v>70007.077158325032</v>
      </c>
      <c r="T9153" cm="1">
        <f t="array" ref="T9153">IF(OR(B9153="MAL ALIMI", B9153="ÜRETİM GİRİŞ"), MIN(I9153, MAX(0, I9153 + SUM(SUMIFS($I$1:I9152, $C$1:C9152, C9153, $B$1:B9152, {"MAL ALIMI","ÜRETİM GİRİŞ"})) - VLOOKUP(C9153, 'STOK RAPORU'!$C$2:$I$1000, 4, 0))), 0)</f>
        <v>0</v>
      </c>
      <c r="U9153" s="22">
        <f t="shared" si="628"/>
        <v>0</v>
      </c>
      <c r="V9153">
        <f t="shared" si="629"/>
        <v>0</v>
      </c>
      <c r="W9153" s="22">
        <f t="shared" si="630"/>
        <v>0</v>
      </c>
    </row>
    <row r="9154" spans="1:23" hidden="1" x14ac:dyDescent="0.25">
      <c r="A9154" s="4"/>
      <c r="B9154" s="4"/>
      <c r="C9154" s="4"/>
      <c r="D9154" s="4"/>
      <c r="E9154" s="4"/>
      <c r="F9154" s="4"/>
      <c r="G9154" s="4"/>
      <c r="H9154" s="4"/>
      <c r="I9154" s="4"/>
      <c r="J9154" s="21">
        <f>IFERROR(VLOOKUP(C9154,'STOK KARTLARI'!$C$2:$K$2150,8,0),0)</f>
        <v>0</v>
      </c>
      <c r="K9154" s="21">
        <f t="shared" si="631"/>
        <v>0</v>
      </c>
      <c r="L9154" s="5">
        <f t="shared" si="633"/>
        <v>0</v>
      </c>
      <c r="M9154" s="4"/>
      <c r="N9154" s="4"/>
      <c r="O9154" s="5"/>
      <c r="P9154" s="5"/>
      <c r="Q9154" s="21">
        <f t="shared" si="634"/>
        <v>0</v>
      </c>
      <c r="R9154" s="21">
        <f t="shared" si="632"/>
        <v>0</v>
      </c>
      <c r="S9154" s="5">
        <f t="shared" si="627"/>
        <v>70007.077158325032</v>
      </c>
      <c r="T9154" cm="1">
        <f t="array" ref="T9154">IF(OR(B9154="MAL ALIMI", B9154="ÜRETİM GİRİŞ"), MIN(I9154, MAX(0, I9154 + SUM(SUMIFS($I$1:I9153, $C$1:C9153, C9154, $B$1:B9153, {"MAL ALIMI","ÜRETİM GİRİŞ"})) - VLOOKUP(C9154, 'STOK RAPORU'!$C$2:$I$1000, 4, 0))), 0)</f>
        <v>0</v>
      </c>
      <c r="U9154" s="22">
        <f t="shared" si="628"/>
        <v>0</v>
      </c>
      <c r="V9154">
        <f t="shared" si="629"/>
        <v>0</v>
      </c>
      <c r="W9154" s="22">
        <f t="shared" si="630"/>
        <v>0</v>
      </c>
    </row>
    <row r="9155" spans="1:23" hidden="1" x14ac:dyDescent="0.25">
      <c r="A9155" s="4"/>
      <c r="B9155" s="4"/>
      <c r="C9155" s="4"/>
      <c r="D9155" s="4"/>
      <c r="E9155" s="4"/>
      <c r="F9155" s="4"/>
      <c r="G9155" s="4"/>
      <c r="H9155" s="4"/>
      <c r="I9155" s="4"/>
      <c r="J9155" s="21">
        <f>IFERROR(VLOOKUP(C9155,'STOK KARTLARI'!$C$2:$K$2150,8,0),0)</f>
        <v>0</v>
      </c>
      <c r="K9155" s="21">
        <f t="shared" si="631"/>
        <v>0</v>
      </c>
      <c r="L9155" s="5">
        <f t="shared" si="633"/>
        <v>0</v>
      </c>
      <c r="M9155" s="4"/>
      <c r="N9155" s="4"/>
      <c r="O9155" s="5"/>
      <c r="P9155" s="5"/>
      <c r="Q9155" s="21">
        <f t="shared" si="634"/>
        <v>0</v>
      </c>
      <c r="R9155" s="21">
        <f t="shared" si="632"/>
        <v>0</v>
      </c>
      <c r="S9155" s="5">
        <f t="shared" si="627"/>
        <v>70007.077158325032</v>
      </c>
      <c r="T9155" cm="1">
        <f t="array" ref="T9155">IF(OR(B9155="MAL ALIMI", B9155="ÜRETİM GİRİŞ"), MIN(I9155, MAX(0, I9155 + SUM(SUMIFS($I$1:I9154, $C$1:C9154, C9155, $B$1:B9154, {"MAL ALIMI","ÜRETİM GİRİŞ"})) - VLOOKUP(C9155, 'STOK RAPORU'!$C$2:$I$1000, 4, 0))), 0)</f>
        <v>0</v>
      </c>
      <c r="U9155" s="22">
        <f t="shared" si="628"/>
        <v>0</v>
      </c>
      <c r="V9155">
        <f t="shared" si="629"/>
        <v>0</v>
      </c>
      <c r="W9155" s="22">
        <f t="shared" si="630"/>
        <v>0</v>
      </c>
    </row>
    <row r="9156" spans="1:23" hidden="1" x14ac:dyDescent="0.25">
      <c r="A9156" s="4"/>
      <c r="B9156" s="4"/>
      <c r="C9156" s="4"/>
      <c r="D9156" s="4"/>
      <c r="E9156" s="4"/>
      <c r="F9156" s="4"/>
      <c r="G9156" s="4"/>
      <c r="H9156" s="4"/>
      <c r="I9156" s="4"/>
      <c r="J9156" s="21">
        <f>IFERROR(VLOOKUP(C9156,'STOK KARTLARI'!$C$2:$K$2150,8,0),0)</f>
        <v>0</v>
      </c>
      <c r="K9156" s="21">
        <f t="shared" si="631"/>
        <v>0</v>
      </c>
      <c r="L9156" s="5">
        <f t="shared" si="633"/>
        <v>0</v>
      </c>
      <c r="M9156" s="4"/>
      <c r="N9156" s="4"/>
      <c r="O9156" s="5"/>
      <c r="P9156" s="5"/>
      <c r="Q9156" s="21">
        <f t="shared" si="634"/>
        <v>0</v>
      </c>
      <c r="R9156" s="21">
        <f t="shared" si="632"/>
        <v>0</v>
      </c>
      <c r="S9156" s="5">
        <f t="shared" si="627"/>
        <v>70007.077158325032</v>
      </c>
      <c r="T9156" cm="1">
        <f t="array" ref="T9156">IF(OR(B9156="MAL ALIMI", B9156="ÜRETİM GİRİŞ"), MIN(I9156, MAX(0, I9156 + SUM(SUMIFS($I$1:I9155, $C$1:C9155, C9156, $B$1:B9155, {"MAL ALIMI","ÜRETİM GİRİŞ"})) - VLOOKUP(C9156, 'STOK RAPORU'!$C$2:$I$1000, 4, 0))), 0)</f>
        <v>0</v>
      </c>
      <c r="U9156" s="22">
        <f t="shared" si="628"/>
        <v>0</v>
      </c>
      <c r="V9156">
        <f t="shared" si="629"/>
        <v>0</v>
      </c>
      <c r="W9156" s="22">
        <f t="shared" si="630"/>
        <v>0</v>
      </c>
    </row>
    <row r="9157" spans="1:23" hidden="1" x14ac:dyDescent="0.25">
      <c r="A9157" s="4"/>
      <c r="B9157" s="4"/>
      <c r="C9157" s="4"/>
      <c r="D9157" s="4"/>
      <c r="E9157" s="4"/>
      <c r="F9157" s="4"/>
      <c r="G9157" s="4"/>
      <c r="H9157" s="4"/>
      <c r="I9157" s="4"/>
      <c r="J9157" s="21">
        <f>IFERROR(VLOOKUP(C9157,'STOK KARTLARI'!$C$2:$K$2150,8,0),0)</f>
        <v>0</v>
      </c>
      <c r="K9157" s="21">
        <f t="shared" si="631"/>
        <v>0</v>
      </c>
      <c r="L9157" s="5">
        <f t="shared" si="633"/>
        <v>0</v>
      </c>
      <c r="M9157" s="4"/>
      <c r="N9157" s="4"/>
      <c r="O9157" s="5"/>
      <c r="P9157" s="5"/>
      <c r="Q9157" s="21">
        <f t="shared" si="634"/>
        <v>0</v>
      </c>
      <c r="R9157" s="21">
        <f t="shared" si="632"/>
        <v>0</v>
      </c>
      <c r="S9157" s="5">
        <f t="shared" ref="S9157:S9220" si="635">S9156+Q9157-R9157</f>
        <v>70007.077158325032</v>
      </c>
      <c r="T9157" cm="1">
        <f t="array" ref="T9157">IF(OR(B9157="MAL ALIMI", B9157="ÜRETİM GİRİŞ"), MIN(I9157, MAX(0, I9157 + SUM(SUMIFS($I$1:I9156, $C$1:C9156, C9157, $B$1:B9156, {"MAL ALIMI","ÜRETİM GİRİŞ"})) - VLOOKUP(C9157, 'STOK RAPORU'!$C$2:$I$1000, 4, 0))), 0)</f>
        <v>0</v>
      </c>
      <c r="U9157" s="22">
        <f t="shared" si="628"/>
        <v>0</v>
      </c>
      <c r="V9157">
        <f t="shared" si="629"/>
        <v>0</v>
      </c>
      <c r="W9157" s="22">
        <f t="shared" si="630"/>
        <v>0</v>
      </c>
    </row>
    <row r="9158" spans="1:23" hidden="1" x14ac:dyDescent="0.25">
      <c r="A9158" s="4"/>
      <c r="B9158" s="4"/>
      <c r="C9158" s="4"/>
      <c r="D9158" s="4"/>
      <c r="E9158" s="4"/>
      <c r="F9158" s="4"/>
      <c r="G9158" s="4"/>
      <c r="H9158" s="4"/>
      <c r="I9158" s="4"/>
      <c r="J9158" s="21">
        <f>IFERROR(VLOOKUP(C9158,'STOK KARTLARI'!$C$2:$K$2150,8,0),0)</f>
        <v>0</v>
      </c>
      <c r="K9158" s="21">
        <f t="shared" si="631"/>
        <v>0</v>
      </c>
      <c r="L9158" s="5">
        <f t="shared" si="633"/>
        <v>0</v>
      </c>
      <c r="M9158" s="4"/>
      <c r="N9158" s="4"/>
      <c r="O9158" s="5"/>
      <c r="P9158" s="5"/>
      <c r="Q9158" s="21">
        <f t="shared" si="634"/>
        <v>0</v>
      </c>
      <c r="R9158" s="21">
        <f t="shared" si="632"/>
        <v>0</v>
      </c>
      <c r="S9158" s="5">
        <f t="shared" si="635"/>
        <v>70007.077158325032</v>
      </c>
      <c r="T9158" cm="1">
        <f t="array" ref="T9158">IF(OR(B9158="MAL ALIMI", B9158="ÜRETİM GİRİŞ"), MIN(I9158, MAX(0, I9158 + SUM(SUMIFS($I$1:I9157, $C$1:C9157, C9158, $B$1:B9157, {"MAL ALIMI","ÜRETİM GİRİŞ"})) - VLOOKUP(C9158, 'STOK RAPORU'!$C$2:$I$1000, 4, 0))), 0)</f>
        <v>0</v>
      </c>
      <c r="U9158" s="22">
        <f t="shared" si="628"/>
        <v>0</v>
      </c>
      <c r="V9158">
        <f t="shared" si="629"/>
        <v>0</v>
      </c>
      <c r="W9158" s="22">
        <f t="shared" si="630"/>
        <v>0</v>
      </c>
    </row>
    <row r="9159" spans="1:23" hidden="1" x14ac:dyDescent="0.25">
      <c r="A9159" s="4"/>
      <c r="B9159" s="4"/>
      <c r="C9159" s="4"/>
      <c r="D9159" s="4"/>
      <c r="E9159" s="4"/>
      <c r="F9159" s="4"/>
      <c r="G9159" s="4"/>
      <c r="H9159" s="4"/>
      <c r="I9159" s="4"/>
      <c r="J9159" s="21">
        <f>IFERROR(VLOOKUP(C9159,'STOK KARTLARI'!$C$2:$K$2150,8,0),0)</f>
        <v>0</v>
      </c>
      <c r="K9159" s="21">
        <f t="shared" si="631"/>
        <v>0</v>
      </c>
      <c r="L9159" s="5">
        <f t="shared" si="633"/>
        <v>0</v>
      </c>
      <c r="M9159" s="4"/>
      <c r="N9159" s="4"/>
      <c r="O9159" s="5"/>
      <c r="P9159" s="5"/>
      <c r="Q9159" s="21">
        <f t="shared" si="634"/>
        <v>0</v>
      </c>
      <c r="R9159" s="21">
        <f t="shared" si="632"/>
        <v>0</v>
      </c>
      <c r="S9159" s="5">
        <f t="shared" si="635"/>
        <v>70007.077158325032</v>
      </c>
      <c r="T9159" cm="1">
        <f t="array" ref="T9159">IF(OR(B9159="MAL ALIMI", B9159="ÜRETİM GİRİŞ"), MIN(I9159, MAX(0, I9159 + SUM(SUMIFS($I$1:I9158, $C$1:C9158, C9159, $B$1:B9158, {"MAL ALIMI","ÜRETİM GİRİŞ"})) - VLOOKUP(C9159, 'STOK RAPORU'!$C$2:$I$1000, 4, 0))), 0)</f>
        <v>0</v>
      </c>
      <c r="U9159" s="22">
        <f t="shared" si="628"/>
        <v>0</v>
      </c>
      <c r="V9159">
        <f t="shared" si="629"/>
        <v>0</v>
      </c>
      <c r="W9159" s="22">
        <f t="shared" si="630"/>
        <v>0</v>
      </c>
    </row>
    <row r="9160" spans="1:23" hidden="1" x14ac:dyDescent="0.25">
      <c r="A9160" s="3"/>
      <c r="B9160" s="4"/>
      <c r="C9160" s="4"/>
      <c r="D9160" s="4"/>
      <c r="E9160" s="4"/>
      <c r="F9160" s="4"/>
      <c r="G9160" s="4"/>
      <c r="H9160" s="4"/>
      <c r="I9160" s="4"/>
      <c r="J9160" s="21">
        <f>IFERROR(VLOOKUP(C9160,'STOK KARTLARI'!$C$2:$K$2150,8,0),0)</f>
        <v>0</v>
      </c>
      <c r="K9160" s="21">
        <f t="shared" si="631"/>
        <v>0</v>
      </c>
      <c r="L9160" s="5">
        <f t="shared" si="633"/>
        <v>0</v>
      </c>
      <c r="M9160" s="4"/>
      <c r="N9160" s="4"/>
      <c r="O9160" s="5"/>
      <c r="P9160" s="5"/>
      <c r="Q9160" s="21">
        <f t="shared" si="634"/>
        <v>0</v>
      </c>
      <c r="R9160" s="21">
        <f t="shared" si="632"/>
        <v>0</v>
      </c>
      <c r="S9160" s="5">
        <f t="shared" si="635"/>
        <v>70007.077158325032</v>
      </c>
      <c r="T9160" cm="1">
        <f t="array" ref="T9160">IF(OR(B9160="MAL ALIMI", B9160="ÜRETİM GİRİŞ"), MIN(I9160, MAX(0, I9160 + SUM(SUMIFS($I$1:I9159, $C$1:C9159, C9160, $B$1:B9159, {"MAL ALIMI","ÜRETİM GİRİŞ"})) - VLOOKUP(C9160, 'STOK RAPORU'!$C$2:$I$1000, 4, 0))), 0)</f>
        <v>0</v>
      </c>
      <c r="U9160" s="22">
        <f t="shared" si="628"/>
        <v>0</v>
      </c>
      <c r="V9160">
        <f t="shared" si="629"/>
        <v>0</v>
      </c>
      <c r="W9160" s="22">
        <f t="shared" si="630"/>
        <v>0</v>
      </c>
    </row>
    <row r="9161" spans="1:23" hidden="1" x14ac:dyDescent="0.25">
      <c r="A9161" s="4"/>
      <c r="B9161" s="4"/>
      <c r="C9161" s="4"/>
      <c r="D9161" s="4"/>
      <c r="E9161" s="4"/>
      <c r="F9161" s="4"/>
      <c r="G9161" s="4"/>
      <c r="H9161" s="4"/>
      <c r="I9161" s="4"/>
      <c r="J9161" s="21">
        <f>IFERROR(VLOOKUP(C9161,'STOK KARTLARI'!$C$2:$K$2150,8,0),0)</f>
        <v>0</v>
      </c>
      <c r="K9161" s="21">
        <f t="shared" si="631"/>
        <v>0</v>
      </c>
      <c r="L9161" s="5">
        <f t="shared" si="633"/>
        <v>0</v>
      </c>
      <c r="M9161" s="4"/>
      <c r="N9161" s="4"/>
      <c r="O9161" s="5"/>
      <c r="P9161" s="5"/>
      <c r="Q9161" s="21">
        <f t="shared" si="634"/>
        <v>0</v>
      </c>
      <c r="R9161" s="21">
        <f t="shared" si="632"/>
        <v>0</v>
      </c>
      <c r="S9161" s="5">
        <f t="shared" si="635"/>
        <v>70007.077158325032</v>
      </c>
      <c r="T9161" cm="1">
        <f t="array" ref="T9161">IF(OR(B9161="MAL ALIMI", B9161="ÜRETİM GİRİŞ"), MIN(I9161, MAX(0, I9161 + SUM(SUMIFS($I$1:I9160, $C$1:C9160, C9161, $B$1:B9160, {"MAL ALIMI","ÜRETİM GİRİŞ"})) - VLOOKUP(C9161, 'STOK RAPORU'!$C$2:$I$1000, 4, 0))), 0)</f>
        <v>0</v>
      </c>
      <c r="U9161" s="22">
        <f t="shared" si="628"/>
        <v>0</v>
      </c>
      <c r="V9161">
        <f t="shared" si="629"/>
        <v>0</v>
      </c>
      <c r="W9161" s="22">
        <f t="shared" si="630"/>
        <v>0</v>
      </c>
    </row>
    <row r="9162" spans="1:23" hidden="1" x14ac:dyDescent="0.25">
      <c r="A9162" s="4"/>
      <c r="B9162" s="4"/>
      <c r="C9162" s="4"/>
      <c r="D9162" s="4"/>
      <c r="E9162" s="4"/>
      <c r="F9162" s="4"/>
      <c r="G9162" s="4"/>
      <c r="H9162" s="4"/>
      <c r="I9162" s="4"/>
      <c r="J9162" s="21">
        <f>IFERROR(VLOOKUP(C9162,'STOK KARTLARI'!$C$2:$K$2150,8,0),0)</f>
        <v>0</v>
      </c>
      <c r="K9162" s="21">
        <f t="shared" si="631"/>
        <v>0</v>
      </c>
      <c r="L9162" s="5">
        <f t="shared" si="633"/>
        <v>0</v>
      </c>
      <c r="M9162" s="4"/>
      <c r="N9162" s="4"/>
      <c r="O9162" s="5"/>
      <c r="P9162" s="5"/>
      <c r="Q9162" s="21">
        <f t="shared" si="634"/>
        <v>0</v>
      </c>
      <c r="R9162" s="21">
        <f t="shared" si="632"/>
        <v>0</v>
      </c>
      <c r="S9162" s="5">
        <f t="shared" si="635"/>
        <v>70007.077158325032</v>
      </c>
      <c r="T9162" cm="1">
        <f t="array" ref="T9162">IF(OR(B9162="MAL ALIMI", B9162="ÜRETİM GİRİŞ"), MIN(I9162, MAX(0, I9162 + SUM(SUMIFS($I$1:I9161, $C$1:C9161, C9162, $B$1:B9161, {"MAL ALIMI","ÜRETİM GİRİŞ"})) - VLOOKUP(C9162, 'STOK RAPORU'!$C$2:$I$1000, 4, 0))), 0)</f>
        <v>0</v>
      </c>
      <c r="U9162" s="22">
        <f t="shared" si="628"/>
        <v>0</v>
      </c>
      <c r="V9162">
        <f t="shared" si="629"/>
        <v>0</v>
      </c>
      <c r="W9162" s="22">
        <f t="shared" si="630"/>
        <v>0</v>
      </c>
    </row>
    <row r="9163" spans="1:23" hidden="1" x14ac:dyDescent="0.25">
      <c r="A9163" s="4"/>
      <c r="B9163" s="4"/>
      <c r="C9163" s="4"/>
      <c r="D9163" s="4"/>
      <c r="E9163" s="4"/>
      <c r="F9163" s="4"/>
      <c r="G9163" s="4"/>
      <c r="H9163" s="4"/>
      <c r="I9163" s="4"/>
      <c r="J9163" s="21">
        <f>IFERROR(VLOOKUP(C9163,'STOK KARTLARI'!$C$2:$K$2150,8,0),0)</f>
        <v>0</v>
      </c>
      <c r="K9163" s="21">
        <f t="shared" si="631"/>
        <v>0</v>
      </c>
      <c r="L9163" s="5">
        <f t="shared" si="633"/>
        <v>0</v>
      </c>
      <c r="M9163" s="4"/>
      <c r="N9163" s="4"/>
      <c r="O9163" s="5"/>
      <c r="P9163" s="5"/>
      <c r="Q9163" s="21">
        <f t="shared" si="634"/>
        <v>0</v>
      </c>
      <c r="R9163" s="21">
        <f t="shared" si="632"/>
        <v>0</v>
      </c>
      <c r="S9163" s="5">
        <f t="shared" si="635"/>
        <v>70007.077158325032</v>
      </c>
      <c r="T9163" cm="1">
        <f t="array" ref="T9163">IF(OR(B9163="MAL ALIMI", B9163="ÜRETİM GİRİŞ"), MIN(I9163, MAX(0, I9163 + SUM(SUMIFS($I$1:I9162, $C$1:C9162, C9163, $B$1:B9162, {"MAL ALIMI","ÜRETİM GİRİŞ"})) - VLOOKUP(C9163, 'STOK RAPORU'!$C$2:$I$1000, 4, 0))), 0)</f>
        <v>0</v>
      </c>
      <c r="U9163" s="22">
        <f t="shared" si="628"/>
        <v>0</v>
      </c>
      <c r="V9163">
        <f t="shared" si="629"/>
        <v>0</v>
      </c>
      <c r="W9163" s="22">
        <f t="shared" si="630"/>
        <v>0</v>
      </c>
    </row>
    <row r="9164" spans="1:23" hidden="1" x14ac:dyDescent="0.25">
      <c r="A9164" s="4"/>
      <c r="B9164" s="4"/>
      <c r="C9164" s="4"/>
      <c r="D9164" s="4"/>
      <c r="E9164" s="4"/>
      <c r="F9164" s="4"/>
      <c r="G9164" s="4"/>
      <c r="H9164" s="4"/>
      <c r="I9164" s="4"/>
      <c r="J9164" s="21">
        <f>IFERROR(VLOOKUP(C9164,'STOK KARTLARI'!$C$2:$K$2150,8,0),0)</f>
        <v>0</v>
      </c>
      <c r="K9164" s="21">
        <f t="shared" si="631"/>
        <v>0</v>
      </c>
      <c r="L9164" s="5">
        <f t="shared" si="633"/>
        <v>0</v>
      </c>
      <c r="M9164" s="4"/>
      <c r="N9164" s="4"/>
      <c r="O9164" s="5"/>
      <c r="P9164" s="5"/>
      <c r="Q9164" s="21">
        <f t="shared" si="634"/>
        <v>0</v>
      </c>
      <c r="R9164" s="21">
        <f t="shared" si="632"/>
        <v>0</v>
      </c>
      <c r="S9164" s="5">
        <f t="shared" si="635"/>
        <v>70007.077158325032</v>
      </c>
      <c r="T9164" cm="1">
        <f t="array" ref="T9164">IF(OR(B9164="MAL ALIMI", B9164="ÜRETİM GİRİŞ"), MIN(I9164, MAX(0, I9164 + SUM(SUMIFS($I$1:I9163, $C$1:C9163, C9164, $B$1:B9163, {"MAL ALIMI","ÜRETİM GİRİŞ"})) - VLOOKUP(C9164, 'STOK RAPORU'!$C$2:$I$1000, 4, 0))), 0)</f>
        <v>0</v>
      </c>
      <c r="U9164" s="22">
        <f t="shared" si="628"/>
        <v>0</v>
      </c>
      <c r="V9164">
        <f t="shared" si="629"/>
        <v>0</v>
      </c>
      <c r="W9164" s="22">
        <f t="shared" si="630"/>
        <v>0</v>
      </c>
    </row>
    <row r="9165" spans="1:23" hidden="1" x14ac:dyDescent="0.25">
      <c r="A9165" s="4"/>
      <c r="B9165" s="4"/>
      <c r="C9165" s="4"/>
      <c r="D9165" s="4"/>
      <c r="E9165" s="4"/>
      <c r="F9165" s="4"/>
      <c r="G9165" s="4"/>
      <c r="H9165" s="4"/>
      <c r="I9165" s="4"/>
      <c r="J9165" s="21">
        <f>IFERROR(VLOOKUP(C9165,'STOK KARTLARI'!$C$2:$K$2150,8,0),0)</f>
        <v>0</v>
      </c>
      <c r="K9165" s="21">
        <f t="shared" si="631"/>
        <v>0</v>
      </c>
      <c r="L9165" s="5">
        <f t="shared" si="633"/>
        <v>0</v>
      </c>
      <c r="M9165" s="4"/>
      <c r="N9165" s="4"/>
      <c r="O9165" s="5"/>
      <c r="P9165" s="5"/>
      <c r="Q9165" s="21">
        <f t="shared" si="634"/>
        <v>0</v>
      </c>
      <c r="R9165" s="21">
        <f t="shared" si="632"/>
        <v>0</v>
      </c>
      <c r="S9165" s="5">
        <f t="shared" si="635"/>
        <v>70007.077158325032</v>
      </c>
      <c r="T9165" cm="1">
        <f t="array" ref="T9165">IF(OR(B9165="MAL ALIMI", B9165="ÜRETİM GİRİŞ"), MIN(I9165, MAX(0, I9165 + SUM(SUMIFS($I$1:I9164, $C$1:C9164, C9165, $B$1:B9164, {"MAL ALIMI","ÜRETİM GİRİŞ"})) - VLOOKUP(C9165, 'STOK RAPORU'!$C$2:$I$1000, 4, 0))), 0)</f>
        <v>0</v>
      </c>
      <c r="U9165" s="22">
        <f t="shared" si="628"/>
        <v>0</v>
      </c>
      <c r="V9165">
        <f t="shared" si="629"/>
        <v>0</v>
      </c>
      <c r="W9165" s="22">
        <f t="shared" si="630"/>
        <v>0</v>
      </c>
    </row>
    <row r="9166" spans="1:23" hidden="1" x14ac:dyDescent="0.25">
      <c r="A9166" s="4"/>
      <c r="B9166" s="4"/>
      <c r="C9166" s="4"/>
      <c r="D9166" s="4"/>
      <c r="E9166" s="4"/>
      <c r="F9166" s="4"/>
      <c r="G9166" s="4"/>
      <c r="H9166" s="4"/>
      <c r="I9166" s="4"/>
      <c r="J9166" s="21">
        <f>IFERROR(VLOOKUP(C9166,'STOK KARTLARI'!$C$2:$K$2150,8,0),0)</f>
        <v>0</v>
      </c>
      <c r="K9166" s="21">
        <f t="shared" si="631"/>
        <v>0</v>
      </c>
      <c r="L9166" s="5">
        <f t="shared" si="633"/>
        <v>0</v>
      </c>
      <c r="M9166" s="4"/>
      <c r="N9166" s="4"/>
      <c r="O9166" s="5"/>
      <c r="P9166" s="5"/>
      <c r="Q9166" s="21">
        <f t="shared" si="634"/>
        <v>0</v>
      </c>
      <c r="R9166" s="21">
        <f t="shared" si="632"/>
        <v>0</v>
      </c>
      <c r="S9166" s="5">
        <f t="shared" si="635"/>
        <v>70007.077158325032</v>
      </c>
      <c r="T9166" cm="1">
        <f t="array" ref="T9166">IF(OR(B9166="MAL ALIMI", B9166="ÜRETİM GİRİŞ"), MIN(I9166, MAX(0, I9166 + SUM(SUMIFS($I$1:I9165, $C$1:C9165, C9166, $B$1:B9165, {"MAL ALIMI","ÜRETİM GİRİŞ"})) - VLOOKUP(C9166, 'STOK RAPORU'!$C$2:$I$1000, 4, 0))), 0)</f>
        <v>0</v>
      </c>
      <c r="U9166" s="22">
        <f t="shared" si="628"/>
        <v>0</v>
      </c>
      <c r="V9166">
        <f t="shared" si="629"/>
        <v>0</v>
      </c>
      <c r="W9166" s="22">
        <f t="shared" si="630"/>
        <v>0</v>
      </c>
    </row>
    <row r="9167" spans="1:23" hidden="1" x14ac:dyDescent="0.25">
      <c r="A9167" s="3"/>
      <c r="B9167" s="4"/>
      <c r="C9167" s="4"/>
      <c r="D9167" s="4"/>
      <c r="E9167" s="4"/>
      <c r="F9167" s="4"/>
      <c r="G9167" s="4"/>
      <c r="H9167" s="4"/>
      <c r="I9167" s="4"/>
      <c r="J9167" s="21">
        <f>IFERROR(VLOOKUP(C9167,'STOK KARTLARI'!$C$2:$K$2150,8,0),0)</f>
        <v>0</v>
      </c>
      <c r="K9167" s="21">
        <f t="shared" si="631"/>
        <v>0</v>
      </c>
      <c r="L9167" s="5">
        <f t="shared" si="633"/>
        <v>0</v>
      </c>
      <c r="M9167" s="4"/>
      <c r="N9167" s="4"/>
      <c r="O9167" s="5"/>
      <c r="P9167" s="5"/>
      <c r="Q9167" s="21">
        <f t="shared" si="634"/>
        <v>0</v>
      </c>
      <c r="R9167" s="21">
        <f t="shared" si="632"/>
        <v>0</v>
      </c>
      <c r="S9167" s="5">
        <f t="shared" si="635"/>
        <v>70007.077158325032</v>
      </c>
      <c r="T9167" cm="1">
        <f t="array" ref="T9167">IF(OR(B9167="MAL ALIMI", B9167="ÜRETİM GİRİŞ"), MIN(I9167, MAX(0, I9167 + SUM(SUMIFS($I$1:I9166, $C$1:C9166, C9167, $B$1:B9166, {"MAL ALIMI","ÜRETİM GİRİŞ"})) - VLOOKUP(C9167, 'STOK RAPORU'!$C$2:$I$1000, 4, 0))), 0)</f>
        <v>0</v>
      </c>
      <c r="U9167" s="22">
        <f t="shared" si="628"/>
        <v>0</v>
      </c>
      <c r="V9167">
        <f t="shared" si="629"/>
        <v>0</v>
      </c>
      <c r="W9167" s="22">
        <f t="shared" si="630"/>
        <v>0</v>
      </c>
    </row>
    <row r="9168" spans="1:23" hidden="1" x14ac:dyDescent="0.25">
      <c r="A9168" s="4"/>
      <c r="B9168" s="4"/>
      <c r="C9168" s="4"/>
      <c r="D9168" s="4"/>
      <c r="E9168" s="4"/>
      <c r="F9168" s="4"/>
      <c r="G9168" s="4"/>
      <c r="H9168" s="4"/>
      <c r="I9168" s="4"/>
      <c r="J9168" s="21">
        <f>IFERROR(VLOOKUP(C9168,'STOK KARTLARI'!$C$2:$K$2150,8,0),0)</f>
        <v>0</v>
      </c>
      <c r="K9168" s="21">
        <f t="shared" si="631"/>
        <v>0</v>
      </c>
      <c r="L9168" s="5">
        <f t="shared" si="633"/>
        <v>0</v>
      </c>
      <c r="M9168" s="4"/>
      <c r="N9168" s="4"/>
      <c r="O9168" s="5"/>
      <c r="P9168" s="5"/>
      <c r="Q9168" s="21">
        <f t="shared" si="634"/>
        <v>0</v>
      </c>
      <c r="R9168" s="21">
        <f t="shared" si="632"/>
        <v>0</v>
      </c>
      <c r="S9168" s="5">
        <f t="shared" si="635"/>
        <v>70007.077158325032</v>
      </c>
      <c r="T9168" cm="1">
        <f t="array" ref="T9168">IF(OR(B9168="MAL ALIMI", B9168="ÜRETİM GİRİŞ"), MIN(I9168, MAX(0, I9168 + SUM(SUMIFS($I$1:I9167, $C$1:C9167, C9168, $B$1:B9167, {"MAL ALIMI","ÜRETİM GİRİŞ"})) - VLOOKUP(C9168, 'STOK RAPORU'!$C$2:$I$1000, 4, 0))), 0)</f>
        <v>0</v>
      </c>
      <c r="U9168" s="22">
        <f t="shared" si="628"/>
        <v>0</v>
      </c>
      <c r="V9168">
        <f t="shared" si="629"/>
        <v>0</v>
      </c>
      <c r="W9168" s="22">
        <f t="shared" si="630"/>
        <v>0</v>
      </c>
    </row>
    <row r="9169" spans="1:23" hidden="1" x14ac:dyDescent="0.25">
      <c r="A9169" s="4"/>
      <c r="B9169" s="4"/>
      <c r="C9169" s="4"/>
      <c r="D9169" s="4"/>
      <c r="E9169" s="4"/>
      <c r="F9169" s="4"/>
      <c r="G9169" s="4"/>
      <c r="H9169" s="4"/>
      <c r="I9169" s="4"/>
      <c r="J9169" s="21">
        <f>IFERROR(VLOOKUP(C9169,'STOK KARTLARI'!$C$2:$K$2150,8,0),0)</f>
        <v>0</v>
      </c>
      <c r="K9169" s="21">
        <f t="shared" si="631"/>
        <v>0</v>
      </c>
      <c r="L9169" s="5">
        <f t="shared" si="633"/>
        <v>0</v>
      </c>
      <c r="M9169" s="4"/>
      <c r="N9169" s="4"/>
      <c r="O9169" s="5"/>
      <c r="P9169" s="5"/>
      <c r="Q9169" s="21">
        <f t="shared" si="634"/>
        <v>0</v>
      </c>
      <c r="R9169" s="21">
        <f t="shared" si="632"/>
        <v>0</v>
      </c>
      <c r="S9169" s="5">
        <f t="shared" si="635"/>
        <v>70007.077158325032</v>
      </c>
      <c r="T9169" cm="1">
        <f t="array" ref="T9169">IF(OR(B9169="MAL ALIMI", B9169="ÜRETİM GİRİŞ"), MIN(I9169, MAX(0, I9169 + SUM(SUMIFS($I$1:I9168, $C$1:C9168, C9169, $B$1:B9168, {"MAL ALIMI","ÜRETİM GİRİŞ"})) - VLOOKUP(C9169, 'STOK RAPORU'!$C$2:$I$1000, 4, 0))), 0)</f>
        <v>0</v>
      </c>
      <c r="U9169" s="22">
        <f t="shared" si="628"/>
        <v>0</v>
      </c>
      <c r="V9169">
        <f t="shared" si="629"/>
        <v>0</v>
      </c>
      <c r="W9169" s="22">
        <f t="shared" si="630"/>
        <v>0</v>
      </c>
    </row>
    <row r="9170" spans="1:23" hidden="1" x14ac:dyDescent="0.25">
      <c r="A9170" s="4"/>
      <c r="B9170" s="4"/>
      <c r="C9170" s="4"/>
      <c r="D9170" s="4"/>
      <c r="E9170" s="4"/>
      <c r="F9170" s="4"/>
      <c r="G9170" s="4"/>
      <c r="H9170" s="4"/>
      <c r="I9170" s="4"/>
      <c r="J9170" s="21">
        <f>IFERROR(VLOOKUP(C9170,'STOK KARTLARI'!$C$2:$K$2150,8,0),0)</f>
        <v>0</v>
      </c>
      <c r="K9170" s="21">
        <f t="shared" si="631"/>
        <v>0</v>
      </c>
      <c r="L9170" s="5">
        <f t="shared" si="633"/>
        <v>0</v>
      </c>
      <c r="M9170" s="4"/>
      <c r="N9170" s="4"/>
      <c r="O9170" s="5"/>
      <c r="P9170" s="5"/>
      <c r="Q9170" s="21">
        <f t="shared" si="634"/>
        <v>0</v>
      </c>
      <c r="R9170" s="21">
        <f t="shared" si="632"/>
        <v>0</v>
      </c>
      <c r="S9170" s="5">
        <f t="shared" si="635"/>
        <v>70007.077158325032</v>
      </c>
      <c r="T9170" cm="1">
        <f t="array" ref="T9170">IF(OR(B9170="MAL ALIMI", B9170="ÜRETİM GİRİŞ"), MIN(I9170, MAX(0, I9170 + SUM(SUMIFS($I$1:I9169, $C$1:C9169, C9170, $B$1:B9169, {"MAL ALIMI","ÜRETİM GİRİŞ"})) - VLOOKUP(C9170, 'STOK RAPORU'!$C$2:$I$1000, 4, 0))), 0)</f>
        <v>0</v>
      </c>
      <c r="U9170" s="22">
        <f t="shared" si="628"/>
        <v>0</v>
      </c>
      <c r="V9170">
        <f t="shared" si="629"/>
        <v>0</v>
      </c>
      <c r="W9170" s="22">
        <f t="shared" si="630"/>
        <v>0</v>
      </c>
    </row>
    <row r="9171" spans="1:23" hidden="1" x14ac:dyDescent="0.25">
      <c r="A9171" s="4"/>
      <c r="B9171" s="4"/>
      <c r="C9171" s="4"/>
      <c r="D9171" s="4"/>
      <c r="E9171" s="4"/>
      <c r="F9171" s="4"/>
      <c r="G9171" s="4"/>
      <c r="H9171" s="4"/>
      <c r="I9171" s="4"/>
      <c r="J9171" s="21">
        <f>IFERROR(VLOOKUP(C9171,'STOK KARTLARI'!$C$2:$K$2150,8,0),0)</f>
        <v>0</v>
      </c>
      <c r="K9171" s="21">
        <f t="shared" si="631"/>
        <v>0</v>
      </c>
      <c r="L9171" s="5">
        <f t="shared" si="633"/>
        <v>0</v>
      </c>
      <c r="M9171" s="4"/>
      <c r="N9171" s="4"/>
      <c r="O9171" s="5"/>
      <c r="P9171" s="5"/>
      <c r="Q9171" s="21">
        <f t="shared" si="634"/>
        <v>0</v>
      </c>
      <c r="R9171" s="21">
        <f t="shared" si="632"/>
        <v>0</v>
      </c>
      <c r="S9171" s="5">
        <f t="shared" si="635"/>
        <v>70007.077158325032</v>
      </c>
      <c r="T9171" cm="1">
        <f t="array" ref="T9171">IF(OR(B9171="MAL ALIMI", B9171="ÜRETİM GİRİŞ"), MIN(I9171, MAX(0, I9171 + SUM(SUMIFS($I$1:I9170, $C$1:C9170, C9171, $B$1:B9170, {"MAL ALIMI","ÜRETİM GİRİŞ"})) - VLOOKUP(C9171, 'STOK RAPORU'!$C$2:$I$1000, 4, 0))), 0)</f>
        <v>0</v>
      </c>
      <c r="U9171" s="22">
        <f t="shared" si="628"/>
        <v>0</v>
      </c>
      <c r="V9171">
        <f t="shared" si="629"/>
        <v>0</v>
      </c>
      <c r="W9171" s="22">
        <f t="shared" si="630"/>
        <v>0</v>
      </c>
    </row>
    <row r="9172" spans="1:23" hidden="1" x14ac:dyDescent="0.25">
      <c r="A9172" s="4"/>
      <c r="B9172" s="4"/>
      <c r="C9172" s="4"/>
      <c r="D9172" s="4"/>
      <c r="E9172" s="4"/>
      <c r="F9172" s="4"/>
      <c r="G9172" s="4"/>
      <c r="H9172" s="4"/>
      <c r="I9172" s="4"/>
      <c r="J9172" s="21">
        <f>IFERROR(VLOOKUP(C9172,'STOK KARTLARI'!$C$2:$K$2150,8,0),0)</f>
        <v>0</v>
      </c>
      <c r="K9172" s="21">
        <f t="shared" si="631"/>
        <v>0</v>
      </c>
      <c r="L9172" s="5">
        <f t="shared" si="633"/>
        <v>0</v>
      </c>
      <c r="M9172" s="4"/>
      <c r="N9172" s="4"/>
      <c r="O9172" s="5"/>
      <c r="P9172" s="5"/>
      <c r="Q9172" s="21">
        <f t="shared" si="634"/>
        <v>0</v>
      </c>
      <c r="R9172" s="21">
        <f t="shared" si="632"/>
        <v>0</v>
      </c>
      <c r="S9172" s="5">
        <f t="shared" si="635"/>
        <v>70007.077158325032</v>
      </c>
      <c r="T9172" cm="1">
        <f t="array" ref="T9172">IF(OR(B9172="MAL ALIMI", B9172="ÜRETİM GİRİŞ"), MIN(I9172, MAX(0, I9172 + SUM(SUMIFS($I$1:I9171, $C$1:C9171, C9172, $B$1:B9171, {"MAL ALIMI","ÜRETİM GİRİŞ"})) - VLOOKUP(C9172, 'STOK RAPORU'!$C$2:$I$1000, 4, 0))), 0)</f>
        <v>0</v>
      </c>
      <c r="U9172" s="22">
        <f t="shared" si="628"/>
        <v>0</v>
      </c>
      <c r="V9172">
        <f t="shared" si="629"/>
        <v>0</v>
      </c>
      <c r="W9172" s="22">
        <f t="shared" si="630"/>
        <v>0</v>
      </c>
    </row>
    <row r="9173" spans="1:23" hidden="1" x14ac:dyDescent="0.25">
      <c r="A9173" s="4"/>
      <c r="B9173" s="4"/>
      <c r="C9173" s="4"/>
      <c r="D9173" s="4"/>
      <c r="E9173" s="4"/>
      <c r="F9173" s="4"/>
      <c r="G9173" s="4"/>
      <c r="H9173" s="4"/>
      <c r="I9173" s="4"/>
      <c r="J9173" s="21">
        <f>IFERROR(VLOOKUP(C9173,'STOK KARTLARI'!$C$2:$K$2150,8,0),0)</f>
        <v>0</v>
      </c>
      <c r="K9173" s="21">
        <f t="shared" si="631"/>
        <v>0</v>
      </c>
      <c r="L9173" s="5">
        <f t="shared" si="633"/>
        <v>0</v>
      </c>
      <c r="M9173" s="4"/>
      <c r="N9173" s="4"/>
      <c r="O9173" s="5"/>
      <c r="P9173" s="5"/>
      <c r="Q9173" s="21">
        <f t="shared" si="634"/>
        <v>0</v>
      </c>
      <c r="R9173" s="21">
        <f t="shared" si="632"/>
        <v>0</v>
      </c>
      <c r="S9173" s="5">
        <f t="shared" si="635"/>
        <v>70007.077158325032</v>
      </c>
      <c r="T9173" cm="1">
        <f t="array" ref="T9173">IF(OR(B9173="MAL ALIMI", B9173="ÜRETİM GİRİŞ"), MIN(I9173, MAX(0, I9173 + SUM(SUMIFS($I$1:I9172, $C$1:C9172, C9173, $B$1:B9172, {"MAL ALIMI","ÜRETİM GİRİŞ"})) - VLOOKUP(C9173, 'STOK RAPORU'!$C$2:$I$1000, 4, 0))), 0)</f>
        <v>0</v>
      </c>
      <c r="U9173" s="22">
        <f t="shared" si="628"/>
        <v>0</v>
      </c>
      <c r="V9173">
        <f t="shared" si="629"/>
        <v>0</v>
      </c>
      <c r="W9173" s="22">
        <f t="shared" si="630"/>
        <v>0</v>
      </c>
    </row>
    <row r="9174" spans="1:23" hidden="1" x14ac:dyDescent="0.25">
      <c r="A9174" s="3"/>
      <c r="B9174" s="4"/>
      <c r="C9174" s="4"/>
      <c r="D9174" s="4"/>
      <c r="E9174" s="4"/>
      <c r="F9174" s="4"/>
      <c r="G9174" s="4"/>
      <c r="H9174" s="4"/>
      <c r="I9174" s="4"/>
      <c r="J9174" s="21">
        <f>IFERROR(VLOOKUP(C9174,'STOK KARTLARI'!$C$2:$K$2150,8,0),0)</f>
        <v>0</v>
      </c>
      <c r="K9174" s="21">
        <f t="shared" si="631"/>
        <v>0</v>
      </c>
      <c r="L9174" s="5">
        <f t="shared" si="633"/>
        <v>0</v>
      </c>
      <c r="M9174" s="4"/>
      <c r="N9174" s="4"/>
      <c r="O9174" s="5"/>
      <c r="P9174" s="5"/>
      <c r="Q9174" s="21">
        <f t="shared" si="634"/>
        <v>0</v>
      </c>
      <c r="R9174" s="21">
        <f t="shared" si="632"/>
        <v>0</v>
      </c>
      <c r="S9174" s="5">
        <f t="shared" si="635"/>
        <v>70007.077158325032</v>
      </c>
      <c r="T9174" cm="1">
        <f t="array" ref="T9174">IF(OR(B9174="MAL ALIMI", B9174="ÜRETİM GİRİŞ"), MIN(I9174, MAX(0, I9174 + SUM(SUMIFS($I$1:I9173, $C$1:C9173, C9174, $B$1:B9173, {"MAL ALIMI","ÜRETİM GİRİŞ"})) - VLOOKUP(C9174, 'STOK RAPORU'!$C$2:$I$1000, 4, 0))), 0)</f>
        <v>0</v>
      </c>
      <c r="U9174" s="22">
        <f t="shared" si="628"/>
        <v>0</v>
      </c>
      <c r="V9174">
        <f t="shared" si="629"/>
        <v>0</v>
      </c>
      <c r="W9174" s="22">
        <f t="shared" si="630"/>
        <v>0</v>
      </c>
    </row>
    <row r="9175" spans="1:23" hidden="1" x14ac:dyDescent="0.25">
      <c r="A9175" s="4"/>
      <c r="B9175" s="4"/>
      <c r="C9175" s="4"/>
      <c r="D9175" s="4"/>
      <c r="E9175" s="4"/>
      <c r="F9175" s="4"/>
      <c r="G9175" s="4"/>
      <c r="H9175" s="4"/>
      <c r="I9175" s="4"/>
      <c r="J9175" s="21">
        <f>IFERROR(VLOOKUP(C9175,'STOK KARTLARI'!$C$2:$K$2150,8,0),0)</f>
        <v>0</v>
      </c>
      <c r="K9175" s="21">
        <f t="shared" si="631"/>
        <v>0</v>
      </c>
      <c r="L9175" s="5">
        <f t="shared" si="633"/>
        <v>0</v>
      </c>
      <c r="M9175" s="4"/>
      <c r="N9175" s="4"/>
      <c r="O9175" s="5"/>
      <c r="P9175" s="5"/>
      <c r="Q9175" s="21">
        <f t="shared" si="634"/>
        <v>0</v>
      </c>
      <c r="R9175" s="21">
        <f t="shared" si="632"/>
        <v>0</v>
      </c>
      <c r="S9175" s="5">
        <f t="shared" si="635"/>
        <v>70007.077158325032</v>
      </c>
      <c r="T9175" cm="1">
        <f t="array" ref="T9175">IF(OR(B9175="MAL ALIMI", B9175="ÜRETİM GİRİŞ"), MIN(I9175, MAX(0, I9175 + SUM(SUMIFS($I$1:I9174, $C$1:C9174, C9175, $B$1:B9174, {"MAL ALIMI","ÜRETİM GİRİŞ"})) - VLOOKUP(C9175, 'STOK RAPORU'!$C$2:$I$1000, 4, 0))), 0)</f>
        <v>0</v>
      </c>
      <c r="U9175" s="22">
        <f t="shared" si="628"/>
        <v>0</v>
      </c>
      <c r="V9175">
        <f t="shared" si="629"/>
        <v>0</v>
      </c>
      <c r="W9175" s="22">
        <f t="shared" si="630"/>
        <v>0</v>
      </c>
    </row>
    <row r="9176" spans="1:23" hidden="1" x14ac:dyDescent="0.25">
      <c r="A9176" s="4"/>
      <c r="B9176" s="4"/>
      <c r="C9176" s="4"/>
      <c r="D9176" s="4"/>
      <c r="E9176" s="4"/>
      <c r="F9176" s="4"/>
      <c r="G9176" s="4"/>
      <c r="H9176" s="4"/>
      <c r="I9176" s="4"/>
      <c r="J9176" s="21">
        <f>IFERROR(VLOOKUP(C9176,'STOK KARTLARI'!$C$2:$K$2150,8,0),0)</f>
        <v>0</v>
      </c>
      <c r="K9176" s="21">
        <f t="shared" si="631"/>
        <v>0</v>
      </c>
      <c r="L9176" s="5">
        <f t="shared" si="633"/>
        <v>0</v>
      </c>
      <c r="M9176" s="4"/>
      <c r="N9176" s="4"/>
      <c r="O9176" s="5"/>
      <c r="P9176" s="5"/>
      <c r="Q9176" s="21">
        <f t="shared" si="634"/>
        <v>0</v>
      </c>
      <c r="R9176" s="21">
        <f t="shared" si="632"/>
        <v>0</v>
      </c>
      <c r="S9176" s="5">
        <f t="shared" si="635"/>
        <v>70007.077158325032</v>
      </c>
      <c r="T9176" cm="1">
        <f t="array" ref="T9176">IF(OR(B9176="MAL ALIMI", B9176="ÜRETİM GİRİŞ"), MIN(I9176, MAX(0, I9176 + SUM(SUMIFS($I$1:I9175, $C$1:C9175, C9176, $B$1:B9175, {"MAL ALIMI","ÜRETİM GİRİŞ"})) - VLOOKUP(C9176, 'STOK RAPORU'!$C$2:$I$1000, 4, 0))), 0)</f>
        <v>0</v>
      </c>
      <c r="U9176" s="22">
        <f t="shared" si="628"/>
        <v>0</v>
      </c>
      <c r="V9176">
        <f t="shared" si="629"/>
        <v>0</v>
      </c>
      <c r="W9176" s="22">
        <f t="shared" si="630"/>
        <v>0</v>
      </c>
    </row>
    <row r="9177" spans="1:23" hidden="1" x14ac:dyDescent="0.25">
      <c r="A9177" s="4"/>
      <c r="B9177" s="4"/>
      <c r="C9177" s="4"/>
      <c r="D9177" s="4"/>
      <c r="E9177" s="4"/>
      <c r="F9177" s="4"/>
      <c r="G9177" s="4"/>
      <c r="H9177" s="4"/>
      <c r="I9177" s="4"/>
      <c r="J9177" s="21">
        <f>IFERROR(VLOOKUP(C9177,'STOK KARTLARI'!$C$2:$K$2150,8,0),0)</f>
        <v>0</v>
      </c>
      <c r="K9177" s="21">
        <f t="shared" si="631"/>
        <v>0</v>
      </c>
      <c r="L9177" s="5">
        <f t="shared" si="633"/>
        <v>0</v>
      </c>
      <c r="M9177" s="4"/>
      <c r="N9177" s="4"/>
      <c r="O9177" s="5"/>
      <c r="P9177" s="5"/>
      <c r="Q9177" s="21">
        <f t="shared" si="634"/>
        <v>0</v>
      </c>
      <c r="R9177" s="21">
        <f t="shared" si="632"/>
        <v>0</v>
      </c>
      <c r="S9177" s="5">
        <f t="shared" si="635"/>
        <v>70007.077158325032</v>
      </c>
      <c r="T9177" cm="1">
        <f t="array" ref="T9177">IF(OR(B9177="MAL ALIMI", B9177="ÜRETİM GİRİŞ"), MIN(I9177, MAX(0, I9177 + SUM(SUMIFS($I$1:I9176, $C$1:C9176, C9177, $B$1:B9176, {"MAL ALIMI","ÜRETİM GİRİŞ"})) - VLOOKUP(C9177, 'STOK RAPORU'!$C$2:$I$1000, 4, 0))), 0)</f>
        <v>0</v>
      </c>
      <c r="U9177" s="22">
        <f t="shared" si="628"/>
        <v>0</v>
      </c>
      <c r="V9177">
        <f t="shared" si="629"/>
        <v>0</v>
      </c>
      <c r="W9177" s="22">
        <f t="shared" si="630"/>
        <v>0</v>
      </c>
    </row>
    <row r="9178" spans="1:23" hidden="1" x14ac:dyDescent="0.25">
      <c r="A9178" s="4"/>
      <c r="B9178" s="4"/>
      <c r="C9178" s="4"/>
      <c r="D9178" s="4"/>
      <c r="E9178" s="4"/>
      <c r="F9178" s="4"/>
      <c r="G9178" s="4"/>
      <c r="H9178" s="4"/>
      <c r="I9178" s="4"/>
      <c r="J9178" s="21">
        <f>IFERROR(VLOOKUP(C9178,'STOK KARTLARI'!$C$2:$K$2150,8,0),0)</f>
        <v>0</v>
      </c>
      <c r="K9178" s="21">
        <f t="shared" si="631"/>
        <v>0</v>
      </c>
      <c r="L9178" s="5">
        <f t="shared" si="633"/>
        <v>0</v>
      </c>
      <c r="M9178" s="4"/>
      <c r="N9178" s="4"/>
      <c r="O9178" s="5"/>
      <c r="P9178" s="5"/>
      <c r="Q9178" s="21">
        <f t="shared" si="634"/>
        <v>0</v>
      </c>
      <c r="R9178" s="21">
        <f t="shared" si="632"/>
        <v>0</v>
      </c>
      <c r="S9178" s="5">
        <f t="shared" si="635"/>
        <v>70007.077158325032</v>
      </c>
      <c r="T9178" cm="1">
        <f t="array" ref="T9178">IF(OR(B9178="MAL ALIMI", B9178="ÜRETİM GİRİŞ"), MIN(I9178, MAX(0, I9178 + SUM(SUMIFS($I$1:I9177, $C$1:C9177, C9178, $B$1:B9177, {"MAL ALIMI","ÜRETİM GİRİŞ"})) - VLOOKUP(C9178, 'STOK RAPORU'!$C$2:$I$1000, 4, 0))), 0)</f>
        <v>0</v>
      </c>
      <c r="U9178" s="22">
        <f t="shared" si="628"/>
        <v>0</v>
      </c>
      <c r="V9178">
        <f t="shared" si="629"/>
        <v>0</v>
      </c>
      <c r="W9178" s="22">
        <f t="shared" si="630"/>
        <v>0</v>
      </c>
    </row>
    <row r="9179" spans="1:23" hidden="1" x14ac:dyDescent="0.25">
      <c r="A9179" s="4"/>
      <c r="B9179" s="4"/>
      <c r="C9179" s="4"/>
      <c r="D9179" s="4"/>
      <c r="E9179" s="4"/>
      <c r="F9179" s="4"/>
      <c r="G9179" s="4"/>
      <c r="H9179" s="4"/>
      <c r="I9179" s="4"/>
      <c r="J9179" s="21">
        <f>IFERROR(VLOOKUP(C9179,'STOK KARTLARI'!$C$2:$K$2150,8,0),0)</f>
        <v>0</v>
      </c>
      <c r="K9179" s="21">
        <f t="shared" si="631"/>
        <v>0</v>
      </c>
      <c r="L9179" s="5">
        <f t="shared" si="633"/>
        <v>0</v>
      </c>
      <c r="M9179" s="4"/>
      <c r="N9179" s="4"/>
      <c r="O9179" s="5"/>
      <c r="P9179" s="5"/>
      <c r="Q9179" s="21">
        <f t="shared" si="634"/>
        <v>0</v>
      </c>
      <c r="R9179" s="21">
        <f t="shared" si="632"/>
        <v>0</v>
      </c>
      <c r="S9179" s="5">
        <f t="shared" si="635"/>
        <v>70007.077158325032</v>
      </c>
      <c r="T9179" cm="1">
        <f t="array" ref="T9179">IF(OR(B9179="MAL ALIMI", B9179="ÜRETİM GİRİŞ"), MIN(I9179, MAX(0, I9179 + SUM(SUMIFS($I$1:I9178, $C$1:C9178, C9179, $B$1:B9178, {"MAL ALIMI","ÜRETİM GİRİŞ"})) - VLOOKUP(C9179, 'STOK RAPORU'!$C$2:$I$1000, 4, 0))), 0)</f>
        <v>0</v>
      </c>
      <c r="U9179" s="22">
        <f t="shared" si="628"/>
        <v>0</v>
      </c>
      <c r="V9179">
        <f t="shared" si="629"/>
        <v>0</v>
      </c>
      <c r="W9179" s="22">
        <f t="shared" si="630"/>
        <v>0</v>
      </c>
    </row>
    <row r="9180" spans="1:23" hidden="1" x14ac:dyDescent="0.25">
      <c r="A9180" s="4"/>
      <c r="B9180" s="4"/>
      <c r="C9180" s="4"/>
      <c r="D9180" s="4"/>
      <c r="E9180" s="4"/>
      <c r="F9180" s="4"/>
      <c r="G9180" s="4"/>
      <c r="H9180" s="4"/>
      <c r="I9180" s="4"/>
      <c r="J9180" s="21">
        <f>IFERROR(VLOOKUP(C9180,'STOK KARTLARI'!$C$2:$K$2150,8,0),0)</f>
        <v>0</v>
      </c>
      <c r="K9180" s="21">
        <f t="shared" si="631"/>
        <v>0</v>
      </c>
      <c r="L9180" s="5">
        <f t="shared" si="633"/>
        <v>0</v>
      </c>
      <c r="M9180" s="4"/>
      <c r="N9180" s="4"/>
      <c r="O9180" s="5"/>
      <c r="P9180" s="5"/>
      <c r="Q9180" s="21">
        <f t="shared" si="634"/>
        <v>0</v>
      </c>
      <c r="R9180" s="21">
        <f t="shared" si="632"/>
        <v>0</v>
      </c>
      <c r="S9180" s="5">
        <f t="shared" si="635"/>
        <v>70007.077158325032</v>
      </c>
      <c r="T9180" cm="1">
        <f t="array" ref="T9180">IF(OR(B9180="MAL ALIMI", B9180="ÜRETİM GİRİŞ"), MIN(I9180, MAX(0, I9180 + SUM(SUMIFS($I$1:I9179, $C$1:C9179, C9180, $B$1:B9179, {"MAL ALIMI","ÜRETİM GİRİŞ"})) - VLOOKUP(C9180, 'STOK RAPORU'!$C$2:$I$1000, 4, 0))), 0)</f>
        <v>0</v>
      </c>
      <c r="U9180" s="22">
        <f t="shared" si="628"/>
        <v>0</v>
      </c>
      <c r="V9180">
        <f t="shared" si="629"/>
        <v>0</v>
      </c>
      <c r="W9180" s="22">
        <f t="shared" si="630"/>
        <v>0</v>
      </c>
    </row>
    <row r="9181" spans="1:23" hidden="1" x14ac:dyDescent="0.25">
      <c r="A9181" s="3"/>
      <c r="B9181" s="4"/>
      <c r="C9181" s="4"/>
      <c r="D9181" s="4"/>
      <c r="E9181" s="4"/>
      <c r="F9181" s="4"/>
      <c r="G9181" s="4"/>
      <c r="H9181" s="4"/>
      <c r="I9181" s="4"/>
      <c r="J9181" s="21">
        <f>IFERROR(VLOOKUP(C9181,'STOK KARTLARI'!$C$2:$K$2150,8,0),0)</f>
        <v>0</v>
      </c>
      <c r="K9181" s="21">
        <f t="shared" si="631"/>
        <v>0</v>
      </c>
      <c r="L9181" s="5">
        <f t="shared" si="633"/>
        <v>0</v>
      </c>
      <c r="M9181" s="4"/>
      <c r="N9181" s="4"/>
      <c r="O9181" s="5"/>
      <c r="P9181" s="5"/>
      <c r="Q9181" s="21">
        <f t="shared" si="634"/>
        <v>0</v>
      </c>
      <c r="R9181" s="21">
        <f t="shared" si="632"/>
        <v>0</v>
      </c>
      <c r="S9181" s="5">
        <f t="shared" si="635"/>
        <v>70007.077158325032</v>
      </c>
      <c r="T9181" cm="1">
        <f t="array" ref="T9181">IF(OR(B9181="MAL ALIMI", B9181="ÜRETİM GİRİŞ"), MIN(I9181, MAX(0, I9181 + SUM(SUMIFS($I$1:I9180, $C$1:C9180, C9181, $B$1:B9180, {"MAL ALIMI","ÜRETİM GİRİŞ"})) - VLOOKUP(C9181, 'STOK RAPORU'!$C$2:$I$1000, 4, 0))), 0)</f>
        <v>0</v>
      </c>
      <c r="U9181" s="22">
        <f t="shared" si="628"/>
        <v>0</v>
      </c>
      <c r="V9181">
        <f t="shared" si="629"/>
        <v>0</v>
      </c>
      <c r="W9181" s="22">
        <f t="shared" si="630"/>
        <v>0</v>
      </c>
    </row>
    <row r="9182" spans="1:23" hidden="1" x14ac:dyDescent="0.25">
      <c r="A9182" s="4"/>
      <c r="B9182" s="4"/>
      <c r="C9182" s="4"/>
      <c r="D9182" s="4"/>
      <c r="E9182" s="4"/>
      <c r="F9182" s="4"/>
      <c r="G9182" s="4"/>
      <c r="H9182" s="4"/>
      <c r="I9182" s="4"/>
      <c r="J9182" s="21">
        <f>IFERROR(VLOOKUP(C9182,'STOK KARTLARI'!$C$2:$K$2150,8,0),0)</f>
        <v>0</v>
      </c>
      <c r="K9182" s="21">
        <f t="shared" si="631"/>
        <v>0</v>
      </c>
      <c r="L9182" s="5">
        <f t="shared" si="633"/>
        <v>0</v>
      </c>
      <c r="M9182" s="4"/>
      <c r="N9182" s="4"/>
      <c r="O9182" s="5"/>
      <c r="P9182" s="5"/>
      <c r="Q9182" s="21">
        <f t="shared" si="634"/>
        <v>0</v>
      </c>
      <c r="R9182" s="21">
        <f t="shared" si="632"/>
        <v>0</v>
      </c>
      <c r="S9182" s="5">
        <f t="shared" si="635"/>
        <v>70007.077158325032</v>
      </c>
      <c r="T9182" cm="1">
        <f t="array" ref="T9182">IF(OR(B9182="MAL ALIMI", B9182="ÜRETİM GİRİŞ"), MIN(I9182, MAX(0, I9182 + SUM(SUMIFS($I$1:I9181, $C$1:C9181, C9182, $B$1:B9181, {"MAL ALIMI","ÜRETİM GİRİŞ"})) - VLOOKUP(C9182, 'STOK RAPORU'!$C$2:$I$1000, 4, 0))), 0)</f>
        <v>0</v>
      </c>
      <c r="U9182" s="22">
        <f t="shared" si="628"/>
        <v>0</v>
      </c>
      <c r="V9182">
        <f t="shared" si="629"/>
        <v>0</v>
      </c>
      <c r="W9182" s="22">
        <f t="shared" si="630"/>
        <v>0</v>
      </c>
    </row>
    <row r="9183" spans="1:23" hidden="1" x14ac:dyDescent="0.25">
      <c r="A9183" s="4"/>
      <c r="B9183" s="4"/>
      <c r="C9183" s="4"/>
      <c r="D9183" s="4"/>
      <c r="E9183" s="4"/>
      <c r="F9183" s="4"/>
      <c r="G9183" s="4"/>
      <c r="H9183" s="4"/>
      <c r="I9183" s="4"/>
      <c r="J9183" s="21">
        <f>IFERROR(VLOOKUP(C9183,'STOK KARTLARI'!$C$2:$K$2150,8,0),0)</f>
        <v>0</v>
      </c>
      <c r="K9183" s="21">
        <f t="shared" si="631"/>
        <v>0</v>
      </c>
      <c r="L9183" s="5">
        <f t="shared" si="633"/>
        <v>0</v>
      </c>
      <c r="M9183" s="4"/>
      <c r="N9183" s="4"/>
      <c r="O9183" s="5"/>
      <c r="P9183" s="5"/>
      <c r="Q9183" s="21">
        <f t="shared" si="634"/>
        <v>0</v>
      </c>
      <c r="R9183" s="21">
        <f t="shared" si="632"/>
        <v>0</v>
      </c>
      <c r="S9183" s="5">
        <f t="shared" si="635"/>
        <v>70007.077158325032</v>
      </c>
      <c r="T9183" cm="1">
        <f t="array" ref="T9183">IF(OR(B9183="MAL ALIMI", B9183="ÜRETİM GİRİŞ"), MIN(I9183, MAX(0, I9183 + SUM(SUMIFS($I$1:I9182, $C$1:C9182, C9183, $B$1:B9182, {"MAL ALIMI","ÜRETİM GİRİŞ"})) - VLOOKUP(C9183, 'STOK RAPORU'!$C$2:$I$1000, 4, 0))), 0)</f>
        <v>0</v>
      </c>
      <c r="U9183" s="22">
        <f t="shared" si="628"/>
        <v>0</v>
      </c>
      <c r="V9183">
        <f t="shared" si="629"/>
        <v>0</v>
      </c>
      <c r="W9183" s="22">
        <f t="shared" si="630"/>
        <v>0</v>
      </c>
    </row>
    <row r="9184" spans="1:23" hidden="1" x14ac:dyDescent="0.25">
      <c r="A9184" s="4"/>
      <c r="B9184" s="4"/>
      <c r="C9184" s="4"/>
      <c r="D9184" s="4"/>
      <c r="E9184" s="4"/>
      <c r="F9184" s="4"/>
      <c r="G9184" s="4"/>
      <c r="H9184" s="4"/>
      <c r="I9184" s="4"/>
      <c r="J9184" s="21">
        <f>IFERROR(VLOOKUP(C9184,'STOK KARTLARI'!$C$2:$K$2150,8,0),0)</f>
        <v>0</v>
      </c>
      <c r="K9184" s="21">
        <f t="shared" si="631"/>
        <v>0</v>
      </c>
      <c r="L9184" s="5">
        <f t="shared" si="633"/>
        <v>0</v>
      </c>
      <c r="M9184" s="4"/>
      <c r="N9184" s="4"/>
      <c r="O9184" s="5"/>
      <c r="P9184" s="5"/>
      <c r="Q9184" s="21">
        <f t="shared" si="634"/>
        <v>0</v>
      </c>
      <c r="R9184" s="21">
        <f t="shared" si="632"/>
        <v>0</v>
      </c>
      <c r="S9184" s="5">
        <f t="shared" si="635"/>
        <v>70007.077158325032</v>
      </c>
      <c r="T9184" cm="1">
        <f t="array" ref="T9184">IF(OR(B9184="MAL ALIMI", B9184="ÜRETİM GİRİŞ"), MIN(I9184, MAX(0, I9184 + SUM(SUMIFS($I$1:I9183, $C$1:C9183, C9184, $B$1:B9183, {"MAL ALIMI","ÜRETİM GİRİŞ"})) - VLOOKUP(C9184, 'STOK RAPORU'!$C$2:$I$1000, 4, 0))), 0)</f>
        <v>0</v>
      </c>
      <c r="U9184" s="22">
        <f t="shared" si="628"/>
        <v>0</v>
      </c>
      <c r="V9184">
        <f t="shared" si="629"/>
        <v>0</v>
      </c>
      <c r="W9184" s="22">
        <f t="shared" si="630"/>
        <v>0</v>
      </c>
    </row>
    <row r="9185" spans="1:23" hidden="1" x14ac:dyDescent="0.25">
      <c r="A9185" s="4"/>
      <c r="B9185" s="4"/>
      <c r="C9185" s="4"/>
      <c r="D9185" s="4"/>
      <c r="E9185" s="4"/>
      <c r="F9185" s="4"/>
      <c r="G9185" s="4"/>
      <c r="H9185" s="4"/>
      <c r="I9185" s="4"/>
      <c r="J9185" s="21">
        <f>IFERROR(VLOOKUP(C9185,'STOK KARTLARI'!$C$2:$K$2150,8,0),0)</f>
        <v>0</v>
      </c>
      <c r="K9185" s="21">
        <f t="shared" si="631"/>
        <v>0</v>
      </c>
      <c r="L9185" s="5">
        <f t="shared" si="633"/>
        <v>0</v>
      </c>
      <c r="M9185" s="4"/>
      <c r="N9185" s="4"/>
      <c r="O9185" s="5"/>
      <c r="P9185" s="5"/>
      <c r="Q9185" s="21">
        <f t="shared" si="634"/>
        <v>0</v>
      </c>
      <c r="R9185" s="21">
        <f t="shared" si="632"/>
        <v>0</v>
      </c>
      <c r="S9185" s="5">
        <f t="shared" si="635"/>
        <v>70007.077158325032</v>
      </c>
      <c r="T9185" cm="1">
        <f t="array" ref="T9185">IF(OR(B9185="MAL ALIMI", B9185="ÜRETİM GİRİŞ"), MIN(I9185, MAX(0, I9185 + SUM(SUMIFS($I$1:I9184, $C$1:C9184, C9185, $B$1:B9184, {"MAL ALIMI","ÜRETİM GİRİŞ"})) - VLOOKUP(C9185, 'STOK RAPORU'!$C$2:$I$1000, 4, 0))), 0)</f>
        <v>0</v>
      </c>
      <c r="U9185" s="22">
        <f t="shared" si="628"/>
        <v>0</v>
      </c>
      <c r="V9185">
        <f t="shared" si="629"/>
        <v>0</v>
      </c>
      <c r="W9185" s="22">
        <f t="shared" si="630"/>
        <v>0</v>
      </c>
    </row>
    <row r="9186" spans="1:23" hidden="1" x14ac:dyDescent="0.25">
      <c r="A9186" s="4"/>
      <c r="B9186" s="4"/>
      <c r="C9186" s="4"/>
      <c r="D9186" s="4"/>
      <c r="E9186" s="4"/>
      <c r="F9186" s="4"/>
      <c r="G9186" s="4"/>
      <c r="H9186" s="4"/>
      <c r="I9186" s="4"/>
      <c r="J9186" s="21">
        <f>IFERROR(VLOOKUP(C9186,'STOK KARTLARI'!$C$2:$K$2150,8,0),0)</f>
        <v>0</v>
      </c>
      <c r="K9186" s="21">
        <f t="shared" si="631"/>
        <v>0</v>
      </c>
      <c r="L9186" s="5">
        <f t="shared" si="633"/>
        <v>0</v>
      </c>
      <c r="M9186" s="4"/>
      <c r="N9186" s="4"/>
      <c r="O9186" s="5"/>
      <c r="P9186" s="5"/>
      <c r="Q9186" s="21">
        <f t="shared" si="634"/>
        <v>0</v>
      </c>
      <c r="R9186" s="21">
        <f t="shared" si="632"/>
        <v>0</v>
      </c>
      <c r="S9186" s="5">
        <f t="shared" si="635"/>
        <v>70007.077158325032</v>
      </c>
      <c r="T9186" cm="1">
        <f t="array" ref="T9186">IF(OR(B9186="MAL ALIMI", B9186="ÜRETİM GİRİŞ"), MIN(I9186, MAX(0, I9186 + SUM(SUMIFS($I$1:I9185, $C$1:C9185, C9186, $B$1:B9185, {"MAL ALIMI","ÜRETİM GİRİŞ"})) - VLOOKUP(C9186, 'STOK RAPORU'!$C$2:$I$1000, 4, 0))), 0)</f>
        <v>0</v>
      </c>
      <c r="U9186" s="22">
        <f t="shared" si="628"/>
        <v>0</v>
      </c>
      <c r="V9186">
        <f t="shared" si="629"/>
        <v>0</v>
      </c>
      <c r="W9186" s="22">
        <f t="shared" si="630"/>
        <v>0</v>
      </c>
    </row>
    <row r="9187" spans="1:23" hidden="1" x14ac:dyDescent="0.25">
      <c r="A9187" s="4"/>
      <c r="B9187" s="4"/>
      <c r="C9187" s="4"/>
      <c r="D9187" s="4"/>
      <c r="E9187" s="4"/>
      <c r="F9187" s="4"/>
      <c r="G9187" s="4"/>
      <c r="H9187" s="4"/>
      <c r="I9187" s="4"/>
      <c r="J9187" s="21">
        <f>IFERROR(VLOOKUP(C9187,'STOK KARTLARI'!$C$2:$K$2150,8,0),0)</f>
        <v>0</v>
      </c>
      <c r="K9187" s="21">
        <f t="shared" si="631"/>
        <v>0</v>
      </c>
      <c r="L9187" s="5">
        <f t="shared" si="633"/>
        <v>0</v>
      </c>
      <c r="M9187" s="4"/>
      <c r="N9187" s="4"/>
      <c r="O9187" s="5"/>
      <c r="P9187" s="5"/>
      <c r="Q9187" s="21">
        <f t="shared" si="634"/>
        <v>0</v>
      </c>
      <c r="R9187" s="21">
        <f t="shared" si="632"/>
        <v>0</v>
      </c>
      <c r="S9187" s="5">
        <f t="shared" si="635"/>
        <v>70007.077158325032</v>
      </c>
      <c r="T9187" cm="1">
        <f t="array" ref="T9187">IF(OR(B9187="MAL ALIMI", B9187="ÜRETİM GİRİŞ"), MIN(I9187, MAX(0, I9187 + SUM(SUMIFS($I$1:I9186, $C$1:C9186, C9187, $B$1:B9186, {"MAL ALIMI","ÜRETİM GİRİŞ"})) - VLOOKUP(C9187, 'STOK RAPORU'!$C$2:$I$1000, 4, 0))), 0)</f>
        <v>0</v>
      </c>
      <c r="U9187" s="22">
        <f t="shared" si="628"/>
        <v>0</v>
      </c>
      <c r="V9187">
        <f t="shared" si="629"/>
        <v>0</v>
      </c>
      <c r="W9187" s="22">
        <f t="shared" si="630"/>
        <v>0</v>
      </c>
    </row>
    <row r="9188" spans="1:23" hidden="1" x14ac:dyDescent="0.25">
      <c r="A9188" s="3"/>
      <c r="B9188" s="4"/>
      <c r="C9188" s="4"/>
      <c r="D9188" s="4"/>
      <c r="E9188" s="4"/>
      <c r="F9188" s="4"/>
      <c r="G9188" s="4"/>
      <c r="H9188" s="4"/>
      <c r="I9188" s="4"/>
      <c r="J9188" s="21">
        <f>IFERROR(VLOOKUP(C9188,'STOK KARTLARI'!$C$2:$K$2150,8,0),0)</f>
        <v>0</v>
      </c>
      <c r="K9188" s="21">
        <f t="shared" si="631"/>
        <v>0</v>
      </c>
      <c r="L9188" s="5">
        <f t="shared" si="633"/>
        <v>0</v>
      </c>
      <c r="M9188" s="4"/>
      <c r="N9188" s="4"/>
      <c r="O9188" s="5"/>
      <c r="P9188" s="5"/>
      <c r="Q9188" s="21">
        <f t="shared" si="634"/>
        <v>0</v>
      </c>
      <c r="R9188" s="21">
        <f t="shared" si="632"/>
        <v>0</v>
      </c>
      <c r="S9188" s="5">
        <f t="shared" si="635"/>
        <v>70007.077158325032</v>
      </c>
      <c r="T9188" cm="1">
        <f t="array" ref="T9188">IF(OR(B9188="MAL ALIMI", B9188="ÜRETİM GİRİŞ"), MIN(I9188, MAX(0, I9188 + SUM(SUMIFS($I$1:I9187, $C$1:C9187, C9188, $B$1:B9187, {"MAL ALIMI","ÜRETİM GİRİŞ"})) - VLOOKUP(C9188, 'STOK RAPORU'!$C$2:$I$1000, 4, 0))), 0)</f>
        <v>0</v>
      </c>
      <c r="U9188" s="22">
        <f t="shared" si="628"/>
        <v>0</v>
      </c>
      <c r="V9188">
        <f t="shared" si="629"/>
        <v>0</v>
      </c>
      <c r="W9188" s="22">
        <f t="shared" si="630"/>
        <v>0</v>
      </c>
    </row>
    <row r="9189" spans="1:23" hidden="1" x14ac:dyDescent="0.25">
      <c r="A9189" s="4"/>
      <c r="B9189" s="4"/>
      <c r="C9189" s="4"/>
      <c r="D9189" s="4"/>
      <c r="E9189" s="4"/>
      <c r="F9189" s="4"/>
      <c r="G9189" s="4"/>
      <c r="H9189" s="4"/>
      <c r="I9189" s="4"/>
      <c r="J9189" s="21">
        <f>IFERROR(VLOOKUP(C9189,'STOK KARTLARI'!$C$2:$K$2150,8,0),0)</f>
        <v>0</v>
      </c>
      <c r="K9189" s="21">
        <f t="shared" si="631"/>
        <v>0</v>
      </c>
      <c r="L9189" s="5">
        <f t="shared" si="633"/>
        <v>0</v>
      </c>
      <c r="M9189" s="4"/>
      <c r="N9189" s="4"/>
      <c r="O9189" s="5"/>
      <c r="P9189" s="5"/>
      <c r="Q9189" s="21">
        <f t="shared" si="634"/>
        <v>0</v>
      </c>
      <c r="R9189" s="21">
        <f t="shared" si="632"/>
        <v>0</v>
      </c>
      <c r="S9189" s="5">
        <f t="shared" si="635"/>
        <v>70007.077158325032</v>
      </c>
      <c r="T9189" cm="1">
        <f t="array" ref="T9189">IF(OR(B9189="MAL ALIMI", B9189="ÜRETİM GİRİŞ"), MIN(I9189, MAX(0, I9189 + SUM(SUMIFS($I$1:I9188, $C$1:C9188, C9189, $B$1:B9188, {"MAL ALIMI","ÜRETİM GİRİŞ"})) - VLOOKUP(C9189, 'STOK RAPORU'!$C$2:$I$1000, 4, 0))), 0)</f>
        <v>0</v>
      </c>
      <c r="U9189" s="22">
        <f t="shared" si="628"/>
        <v>0</v>
      </c>
      <c r="V9189">
        <f t="shared" si="629"/>
        <v>0</v>
      </c>
      <c r="W9189" s="22">
        <f t="shared" si="630"/>
        <v>0</v>
      </c>
    </row>
    <row r="9190" spans="1:23" hidden="1" x14ac:dyDescent="0.25">
      <c r="A9190" s="4"/>
      <c r="B9190" s="4"/>
      <c r="C9190" s="4"/>
      <c r="D9190" s="4"/>
      <c r="E9190" s="4"/>
      <c r="F9190" s="4"/>
      <c r="G9190" s="4"/>
      <c r="H9190" s="4"/>
      <c r="I9190" s="4"/>
      <c r="J9190" s="21">
        <f>IFERROR(VLOOKUP(C9190,'STOK KARTLARI'!$C$2:$K$2150,8,0),0)</f>
        <v>0</v>
      </c>
      <c r="K9190" s="21">
        <f t="shared" si="631"/>
        <v>0</v>
      </c>
      <c r="L9190" s="5">
        <f t="shared" si="633"/>
        <v>0</v>
      </c>
      <c r="M9190" s="4"/>
      <c r="N9190" s="4"/>
      <c r="O9190" s="5"/>
      <c r="P9190" s="5"/>
      <c r="Q9190" s="21">
        <f t="shared" si="634"/>
        <v>0</v>
      </c>
      <c r="R9190" s="21">
        <f t="shared" si="632"/>
        <v>0</v>
      </c>
      <c r="S9190" s="5">
        <f t="shared" si="635"/>
        <v>70007.077158325032</v>
      </c>
      <c r="T9190" cm="1">
        <f t="array" ref="T9190">IF(OR(B9190="MAL ALIMI", B9190="ÜRETİM GİRİŞ"), MIN(I9190, MAX(0, I9190 + SUM(SUMIFS($I$1:I9189, $C$1:C9189, C9190, $B$1:B9189, {"MAL ALIMI","ÜRETİM GİRİŞ"})) - VLOOKUP(C9190, 'STOK RAPORU'!$C$2:$I$1000, 4, 0))), 0)</f>
        <v>0</v>
      </c>
      <c r="U9190" s="22">
        <f t="shared" si="628"/>
        <v>0</v>
      </c>
      <c r="V9190">
        <f t="shared" si="629"/>
        <v>0</v>
      </c>
      <c r="W9190" s="22">
        <f t="shared" si="630"/>
        <v>0</v>
      </c>
    </row>
    <row r="9191" spans="1:23" hidden="1" x14ac:dyDescent="0.25">
      <c r="A9191" s="4"/>
      <c r="B9191" s="4"/>
      <c r="C9191" s="4"/>
      <c r="D9191" s="4"/>
      <c r="E9191" s="4"/>
      <c r="F9191" s="4"/>
      <c r="G9191" s="4"/>
      <c r="H9191" s="4"/>
      <c r="I9191" s="4"/>
      <c r="J9191" s="21">
        <f>IFERROR(VLOOKUP(C9191,'STOK KARTLARI'!$C$2:$K$2150,8,0),0)</f>
        <v>0</v>
      </c>
      <c r="K9191" s="21">
        <f t="shared" si="631"/>
        <v>0</v>
      </c>
      <c r="L9191" s="5">
        <f t="shared" si="633"/>
        <v>0</v>
      </c>
      <c r="M9191" s="4"/>
      <c r="N9191" s="4"/>
      <c r="O9191" s="5"/>
      <c r="P9191" s="5"/>
      <c r="Q9191" s="21">
        <f t="shared" si="634"/>
        <v>0</v>
      </c>
      <c r="R9191" s="21">
        <f t="shared" si="632"/>
        <v>0</v>
      </c>
      <c r="S9191" s="5">
        <f t="shared" si="635"/>
        <v>70007.077158325032</v>
      </c>
      <c r="T9191" cm="1">
        <f t="array" ref="T9191">IF(OR(B9191="MAL ALIMI", B9191="ÜRETİM GİRİŞ"), MIN(I9191, MAX(0, I9191 + SUM(SUMIFS($I$1:I9190, $C$1:C9190, C9191, $B$1:B9190, {"MAL ALIMI","ÜRETİM GİRİŞ"})) - VLOOKUP(C9191, 'STOK RAPORU'!$C$2:$I$1000, 4, 0))), 0)</f>
        <v>0</v>
      </c>
      <c r="U9191" s="22">
        <f t="shared" si="628"/>
        <v>0</v>
      </c>
      <c r="V9191">
        <f t="shared" si="629"/>
        <v>0</v>
      </c>
      <c r="W9191" s="22">
        <f t="shared" si="630"/>
        <v>0</v>
      </c>
    </row>
    <row r="9192" spans="1:23" hidden="1" x14ac:dyDescent="0.25">
      <c r="A9192" s="4"/>
      <c r="B9192" s="4"/>
      <c r="C9192" s="4"/>
      <c r="D9192" s="4"/>
      <c r="E9192" s="4"/>
      <c r="F9192" s="4"/>
      <c r="G9192" s="4"/>
      <c r="H9192" s="4"/>
      <c r="I9192" s="4"/>
      <c r="J9192" s="21">
        <f>IFERROR(VLOOKUP(C9192,'STOK KARTLARI'!$C$2:$K$2150,8,0),0)</f>
        <v>0</v>
      </c>
      <c r="K9192" s="21">
        <f t="shared" si="631"/>
        <v>0</v>
      </c>
      <c r="L9192" s="5">
        <f t="shared" si="633"/>
        <v>0</v>
      </c>
      <c r="M9192" s="4"/>
      <c r="N9192" s="4"/>
      <c r="O9192" s="5"/>
      <c r="P9192" s="5"/>
      <c r="Q9192" s="21">
        <f t="shared" si="634"/>
        <v>0</v>
      </c>
      <c r="R9192" s="21">
        <f t="shared" si="632"/>
        <v>0</v>
      </c>
      <c r="S9192" s="5">
        <f t="shared" si="635"/>
        <v>70007.077158325032</v>
      </c>
      <c r="T9192" cm="1">
        <f t="array" ref="T9192">IF(OR(B9192="MAL ALIMI", B9192="ÜRETİM GİRİŞ"), MIN(I9192, MAX(0, I9192 + SUM(SUMIFS($I$1:I9191, $C$1:C9191, C9192, $B$1:B9191, {"MAL ALIMI","ÜRETİM GİRİŞ"})) - VLOOKUP(C9192, 'STOK RAPORU'!$C$2:$I$1000, 4, 0))), 0)</f>
        <v>0</v>
      </c>
      <c r="U9192" s="22">
        <f t="shared" si="628"/>
        <v>0</v>
      </c>
      <c r="V9192">
        <f t="shared" si="629"/>
        <v>0</v>
      </c>
      <c r="W9192" s="22">
        <f t="shared" si="630"/>
        <v>0</v>
      </c>
    </row>
    <row r="9193" spans="1:23" hidden="1" x14ac:dyDescent="0.25">
      <c r="A9193" s="4"/>
      <c r="B9193" s="4"/>
      <c r="C9193" s="4"/>
      <c r="D9193" s="4"/>
      <c r="E9193" s="4"/>
      <c r="F9193" s="4"/>
      <c r="G9193" s="4"/>
      <c r="H9193" s="4"/>
      <c r="I9193" s="4"/>
      <c r="J9193" s="21">
        <f>IFERROR(VLOOKUP(C9193,'STOK KARTLARI'!$C$2:$K$2150,8,0),0)</f>
        <v>0</v>
      </c>
      <c r="K9193" s="21">
        <f t="shared" si="631"/>
        <v>0</v>
      </c>
      <c r="L9193" s="5">
        <f t="shared" si="633"/>
        <v>0</v>
      </c>
      <c r="M9193" s="4"/>
      <c r="N9193" s="4"/>
      <c r="O9193" s="5"/>
      <c r="P9193" s="5"/>
      <c r="Q9193" s="21">
        <f t="shared" si="634"/>
        <v>0</v>
      </c>
      <c r="R9193" s="21">
        <f t="shared" si="632"/>
        <v>0</v>
      </c>
      <c r="S9193" s="5">
        <f t="shared" si="635"/>
        <v>70007.077158325032</v>
      </c>
      <c r="T9193" cm="1">
        <f t="array" ref="T9193">IF(OR(B9193="MAL ALIMI", B9193="ÜRETİM GİRİŞ"), MIN(I9193, MAX(0, I9193 + SUM(SUMIFS($I$1:I9192, $C$1:C9192, C9193, $B$1:B9192, {"MAL ALIMI","ÜRETİM GİRİŞ"})) - VLOOKUP(C9193, 'STOK RAPORU'!$C$2:$I$1000, 4, 0))), 0)</f>
        <v>0</v>
      </c>
      <c r="U9193" s="22">
        <f t="shared" si="628"/>
        <v>0</v>
      </c>
      <c r="V9193">
        <f t="shared" si="629"/>
        <v>0</v>
      </c>
      <c r="W9193" s="22">
        <f t="shared" si="630"/>
        <v>0</v>
      </c>
    </row>
    <row r="9194" spans="1:23" hidden="1" x14ac:dyDescent="0.25">
      <c r="A9194" s="4"/>
      <c r="B9194" s="4"/>
      <c r="C9194" s="4"/>
      <c r="D9194" s="4"/>
      <c r="E9194" s="4"/>
      <c r="F9194" s="4"/>
      <c r="G9194" s="4"/>
      <c r="H9194" s="4"/>
      <c r="I9194" s="4"/>
      <c r="J9194" s="21">
        <f>IFERROR(VLOOKUP(C9194,'STOK KARTLARI'!$C$2:$K$2150,8,0),0)</f>
        <v>0</v>
      </c>
      <c r="K9194" s="21">
        <f t="shared" si="631"/>
        <v>0</v>
      </c>
      <c r="L9194" s="5">
        <f t="shared" si="633"/>
        <v>0</v>
      </c>
      <c r="M9194" s="4"/>
      <c r="N9194" s="4"/>
      <c r="O9194" s="5"/>
      <c r="P9194" s="5"/>
      <c r="Q9194" s="21">
        <f t="shared" si="634"/>
        <v>0</v>
      </c>
      <c r="R9194" s="21">
        <f t="shared" si="632"/>
        <v>0</v>
      </c>
      <c r="S9194" s="5">
        <f t="shared" si="635"/>
        <v>70007.077158325032</v>
      </c>
      <c r="T9194" cm="1">
        <f t="array" ref="T9194">IF(OR(B9194="MAL ALIMI", B9194="ÜRETİM GİRİŞ"), MIN(I9194, MAX(0, I9194 + SUM(SUMIFS($I$1:I9193, $C$1:C9193, C9194, $B$1:B9193, {"MAL ALIMI","ÜRETİM GİRİŞ"})) - VLOOKUP(C9194, 'STOK RAPORU'!$C$2:$I$1000, 4, 0))), 0)</f>
        <v>0</v>
      </c>
      <c r="U9194" s="22">
        <f t="shared" si="628"/>
        <v>0</v>
      </c>
      <c r="V9194">
        <f t="shared" si="629"/>
        <v>0</v>
      </c>
      <c r="W9194" s="22">
        <f t="shared" si="630"/>
        <v>0</v>
      </c>
    </row>
    <row r="9195" spans="1:23" hidden="1" x14ac:dyDescent="0.25">
      <c r="A9195" s="3"/>
      <c r="B9195" s="4"/>
      <c r="C9195" s="4"/>
      <c r="D9195" s="4"/>
      <c r="E9195" s="4"/>
      <c r="F9195" s="4"/>
      <c r="G9195" s="4"/>
      <c r="H9195" s="4"/>
      <c r="I9195" s="4"/>
      <c r="J9195" s="21">
        <f>IFERROR(VLOOKUP(C9195,'STOK KARTLARI'!$C$2:$K$2150,8,0),0)</f>
        <v>0</v>
      </c>
      <c r="K9195" s="21">
        <f t="shared" si="631"/>
        <v>0</v>
      </c>
      <c r="L9195" s="5">
        <f t="shared" si="633"/>
        <v>0</v>
      </c>
      <c r="M9195" s="4"/>
      <c r="N9195" s="4"/>
      <c r="O9195" s="5"/>
      <c r="P9195" s="5"/>
      <c r="Q9195" s="21">
        <f t="shared" si="634"/>
        <v>0</v>
      </c>
      <c r="R9195" s="21">
        <f t="shared" si="632"/>
        <v>0</v>
      </c>
      <c r="S9195" s="5">
        <f t="shared" si="635"/>
        <v>70007.077158325032</v>
      </c>
      <c r="T9195" cm="1">
        <f t="array" ref="T9195">IF(OR(B9195="MAL ALIMI", B9195="ÜRETİM GİRİŞ"), MIN(I9195, MAX(0, I9195 + SUM(SUMIFS($I$1:I9194, $C$1:C9194, C9195, $B$1:B9194, {"MAL ALIMI","ÜRETİM GİRİŞ"})) - VLOOKUP(C9195, 'STOK RAPORU'!$C$2:$I$1000, 4, 0))), 0)</f>
        <v>0</v>
      </c>
      <c r="U9195" s="22">
        <f t="shared" si="628"/>
        <v>0</v>
      </c>
      <c r="V9195">
        <f t="shared" si="629"/>
        <v>0</v>
      </c>
      <c r="W9195" s="22">
        <f t="shared" si="630"/>
        <v>0</v>
      </c>
    </row>
    <row r="9196" spans="1:23" hidden="1" x14ac:dyDescent="0.25">
      <c r="A9196" s="4"/>
      <c r="B9196" s="4"/>
      <c r="C9196" s="4"/>
      <c r="D9196" s="4"/>
      <c r="E9196" s="4"/>
      <c r="F9196" s="4"/>
      <c r="G9196" s="4"/>
      <c r="H9196" s="4"/>
      <c r="I9196" s="4"/>
      <c r="J9196" s="21">
        <f>IFERROR(VLOOKUP(C9196,'STOK KARTLARI'!$C$2:$K$2150,8,0),0)</f>
        <v>0</v>
      </c>
      <c r="K9196" s="21">
        <f t="shared" si="631"/>
        <v>0</v>
      </c>
      <c r="L9196" s="5">
        <f t="shared" si="633"/>
        <v>0</v>
      </c>
      <c r="M9196" s="4"/>
      <c r="N9196" s="4"/>
      <c r="O9196" s="5"/>
      <c r="P9196" s="5"/>
      <c r="Q9196" s="21">
        <f t="shared" si="634"/>
        <v>0</v>
      </c>
      <c r="R9196" s="21">
        <f t="shared" si="632"/>
        <v>0</v>
      </c>
      <c r="S9196" s="5">
        <f t="shared" si="635"/>
        <v>70007.077158325032</v>
      </c>
      <c r="T9196" cm="1">
        <f t="array" ref="T9196">IF(OR(B9196="MAL ALIMI", B9196="ÜRETİM GİRİŞ"), MIN(I9196, MAX(0, I9196 + SUM(SUMIFS($I$1:I9195, $C$1:C9195, C9196, $B$1:B9195, {"MAL ALIMI","ÜRETİM GİRİŞ"})) - VLOOKUP(C9196, 'STOK RAPORU'!$C$2:$I$1000, 4, 0))), 0)</f>
        <v>0</v>
      </c>
      <c r="U9196" s="22">
        <f t="shared" si="628"/>
        <v>0</v>
      </c>
      <c r="V9196">
        <f t="shared" si="629"/>
        <v>0</v>
      </c>
      <c r="W9196" s="22">
        <f t="shared" si="630"/>
        <v>0</v>
      </c>
    </row>
    <row r="9197" spans="1:23" hidden="1" x14ac:dyDescent="0.25">
      <c r="A9197" s="4"/>
      <c r="B9197" s="4"/>
      <c r="C9197" s="4"/>
      <c r="D9197" s="4"/>
      <c r="E9197" s="4"/>
      <c r="F9197" s="4"/>
      <c r="G9197" s="4"/>
      <c r="H9197" s="4"/>
      <c r="I9197" s="4"/>
      <c r="J9197" s="21">
        <f>IFERROR(VLOOKUP(C9197,'STOK KARTLARI'!$C$2:$K$2150,8,0),0)</f>
        <v>0</v>
      </c>
      <c r="K9197" s="21">
        <f t="shared" si="631"/>
        <v>0</v>
      </c>
      <c r="L9197" s="5">
        <f t="shared" si="633"/>
        <v>0</v>
      </c>
      <c r="M9197" s="4"/>
      <c r="N9197" s="4"/>
      <c r="O9197" s="5"/>
      <c r="P9197" s="5"/>
      <c r="Q9197" s="21">
        <f t="shared" si="634"/>
        <v>0</v>
      </c>
      <c r="R9197" s="21">
        <f t="shared" si="632"/>
        <v>0</v>
      </c>
      <c r="S9197" s="5">
        <f t="shared" si="635"/>
        <v>70007.077158325032</v>
      </c>
      <c r="T9197" cm="1">
        <f t="array" ref="T9197">IF(OR(B9197="MAL ALIMI", B9197="ÜRETİM GİRİŞ"), MIN(I9197, MAX(0, I9197 + SUM(SUMIFS($I$1:I9196, $C$1:C9196, C9197, $B$1:B9196, {"MAL ALIMI","ÜRETİM GİRİŞ"})) - VLOOKUP(C9197, 'STOK RAPORU'!$C$2:$I$1000, 4, 0))), 0)</f>
        <v>0</v>
      </c>
      <c r="U9197" s="22">
        <f t="shared" si="628"/>
        <v>0</v>
      </c>
      <c r="V9197">
        <f t="shared" si="629"/>
        <v>0</v>
      </c>
      <c r="W9197" s="22">
        <f t="shared" si="630"/>
        <v>0</v>
      </c>
    </row>
    <row r="9198" spans="1:23" hidden="1" x14ac:dyDescent="0.25">
      <c r="A9198" s="4"/>
      <c r="B9198" s="4"/>
      <c r="C9198" s="4"/>
      <c r="D9198" s="4"/>
      <c r="E9198" s="4"/>
      <c r="F9198" s="4"/>
      <c r="G9198" s="4"/>
      <c r="H9198" s="4"/>
      <c r="I9198" s="4"/>
      <c r="J9198" s="21">
        <f>IFERROR(VLOOKUP(C9198,'STOK KARTLARI'!$C$2:$K$2150,8,0),0)</f>
        <v>0</v>
      </c>
      <c r="K9198" s="21">
        <f t="shared" si="631"/>
        <v>0</v>
      </c>
      <c r="L9198" s="5">
        <f t="shared" si="633"/>
        <v>0</v>
      </c>
      <c r="M9198" s="4"/>
      <c r="N9198" s="4"/>
      <c r="O9198" s="5"/>
      <c r="P9198" s="5"/>
      <c r="Q9198" s="21">
        <f t="shared" si="634"/>
        <v>0</v>
      </c>
      <c r="R9198" s="21">
        <f t="shared" si="632"/>
        <v>0</v>
      </c>
      <c r="S9198" s="5">
        <f t="shared" si="635"/>
        <v>70007.077158325032</v>
      </c>
      <c r="T9198" cm="1">
        <f t="array" ref="T9198">IF(OR(B9198="MAL ALIMI", B9198="ÜRETİM GİRİŞ"), MIN(I9198, MAX(0, I9198 + SUM(SUMIFS($I$1:I9197, $C$1:C9197, C9198, $B$1:B9197, {"MAL ALIMI","ÜRETİM GİRİŞ"})) - VLOOKUP(C9198, 'STOK RAPORU'!$C$2:$I$1000, 4, 0))), 0)</f>
        <v>0</v>
      </c>
      <c r="U9198" s="22">
        <f t="shared" si="628"/>
        <v>0</v>
      </c>
      <c r="V9198">
        <f t="shared" si="629"/>
        <v>0</v>
      </c>
      <c r="W9198" s="22">
        <f t="shared" si="630"/>
        <v>0</v>
      </c>
    </row>
    <row r="9199" spans="1:23" hidden="1" x14ac:dyDescent="0.25">
      <c r="A9199" s="4"/>
      <c r="B9199" s="4"/>
      <c r="C9199" s="4"/>
      <c r="D9199" s="4"/>
      <c r="E9199" s="4"/>
      <c r="F9199" s="4"/>
      <c r="G9199" s="4"/>
      <c r="H9199" s="4"/>
      <c r="I9199" s="4"/>
      <c r="J9199" s="21">
        <f>IFERROR(VLOOKUP(C9199,'STOK KARTLARI'!$C$2:$K$2150,8,0),0)</f>
        <v>0</v>
      </c>
      <c r="K9199" s="21">
        <f t="shared" si="631"/>
        <v>0</v>
      </c>
      <c r="L9199" s="5">
        <f t="shared" si="633"/>
        <v>0</v>
      </c>
      <c r="M9199" s="4"/>
      <c r="N9199" s="4"/>
      <c r="O9199" s="5"/>
      <c r="P9199" s="5"/>
      <c r="Q9199" s="21">
        <f t="shared" si="634"/>
        <v>0</v>
      </c>
      <c r="R9199" s="21">
        <f t="shared" si="632"/>
        <v>0</v>
      </c>
      <c r="S9199" s="5">
        <f t="shared" si="635"/>
        <v>70007.077158325032</v>
      </c>
      <c r="T9199" cm="1">
        <f t="array" ref="T9199">IF(OR(B9199="MAL ALIMI", B9199="ÜRETİM GİRİŞ"), MIN(I9199, MAX(0, I9199 + SUM(SUMIFS($I$1:I9198, $C$1:C9198, C9199, $B$1:B9198, {"MAL ALIMI","ÜRETİM GİRİŞ"})) - VLOOKUP(C9199, 'STOK RAPORU'!$C$2:$I$1000, 4, 0))), 0)</f>
        <v>0</v>
      </c>
      <c r="U9199" s="22">
        <f t="shared" ref="U9199:U9262" si="636">T9199*J9199</f>
        <v>0</v>
      </c>
      <c r="V9199">
        <f t="shared" ref="V9199:V9262" si="637">IF(OR(B9199="MAL ALIMI", B9199="ÜRETİM GİRİŞ"), I9199 * J9199, 0)</f>
        <v>0</v>
      </c>
      <c r="W9199" s="22">
        <f t="shared" ref="W9199:W9262" si="638">V9199-U9199</f>
        <v>0</v>
      </c>
    </row>
    <row r="9200" spans="1:23" hidden="1" x14ac:dyDescent="0.25">
      <c r="A9200" s="4"/>
      <c r="B9200" s="4"/>
      <c r="C9200" s="4"/>
      <c r="D9200" s="4"/>
      <c r="E9200" s="4"/>
      <c r="F9200" s="4"/>
      <c r="G9200" s="4"/>
      <c r="H9200" s="4"/>
      <c r="I9200" s="4"/>
      <c r="J9200" s="21">
        <f>IFERROR(VLOOKUP(C9200,'STOK KARTLARI'!$C$2:$K$2150,8,0),0)</f>
        <v>0</v>
      </c>
      <c r="K9200" s="21">
        <f t="shared" si="631"/>
        <v>0</v>
      </c>
      <c r="L9200" s="5">
        <f t="shared" si="633"/>
        <v>0</v>
      </c>
      <c r="M9200" s="4"/>
      <c r="N9200" s="4"/>
      <c r="O9200" s="5"/>
      <c r="P9200" s="5"/>
      <c r="Q9200" s="21">
        <f t="shared" si="634"/>
        <v>0</v>
      </c>
      <c r="R9200" s="21">
        <f t="shared" si="632"/>
        <v>0</v>
      </c>
      <c r="S9200" s="5">
        <f t="shared" si="635"/>
        <v>70007.077158325032</v>
      </c>
      <c r="T9200" cm="1">
        <f t="array" ref="T9200">IF(OR(B9200="MAL ALIMI", B9200="ÜRETİM GİRİŞ"), MIN(I9200, MAX(0, I9200 + SUM(SUMIFS($I$1:I9199, $C$1:C9199, C9200, $B$1:B9199, {"MAL ALIMI","ÜRETİM GİRİŞ"})) - VLOOKUP(C9200, 'STOK RAPORU'!$C$2:$I$1000, 4, 0))), 0)</f>
        <v>0</v>
      </c>
      <c r="U9200" s="22">
        <f t="shared" si="636"/>
        <v>0</v>
      </c>
      <c r="V9200">
        <f t="shared" si="637"/>
        <v>0</v>
      </c>
      <c r="W9200" s="22">
        <f t="shared" si="638"/>
        <v>0</v>
      </c>
    </row>
    <row r="9201" spans="1:23" hidden="1" x14ac:dyDescent="0.25">
      <c r="A9201" s="4"/>
      <c r="B9201" s="4"/>
      <c r="C9201" s="4"/>
      <c r="D9201" s="4"/>
      <c r="E9201" s="4"/>
      <c r="F9201" s="4"/>
      <c r="G9201" s="4"/>
      <c r="H9201" s="4"/>
      <c r="I9201" s="4"/>
      <c r="J9201" s="21">
        <f>IFERROR(VLOOKUP(C9201,'STOK KARTLARI'!$C$2:$K$2150,8,0),0)</f>
        <v>0</v>
      </c>
      <c r="K9201" s="21">
        <f t="shared" si="631"/>
        <v>0</v>
      </c>
      <c r="L9201" s="5">
        <f t="shared" si="633"/>
        <v>0</v>
      </c>
      <c r="M9201" s="4"/>
      <c r="N9201" s="4"/>
      <c r="O9201" s="5"/>
      <c r="P9201" s="5"/>
      <c r="Q9201" s="21">
        <f t="shared" si="634"/>
        <v>0</v>
      </c>
      <c r="R9201" s="21">
        <f t="shared" si="632"/>
        <v>0</v>
      </c>
      <c r="S9201" s="5">
        <f t="shared" si="635"/>
        <v>70007.077158325032</v>
      </c>
      <c r="T9201" cm="1">
        <f t="array" ref="T9201">IF(OR(B9201="MAL ALIMI", B9201="ÜRETİM GİRİŞ"), MIN(I9201, MAX(0, I9201 + SUM(SUMIFS($I$1:I9200, $C$1:C9200, C9201, $B$1:B9200, {"MAL ALIMI","ÜRETİM GİRİŞ"})) - VLOOKUP(C9201, 'STOK RAPORU'!$C$2:$I$1000, 4, 0))), 0)</f>
        <v>0</v>
      </c>
      <c r="U9201" s="22">
        <f t="shared" si="636"/>
        <v>0</v>
      </c>
      <c r="V9201">
        <f t="shared" si="637"/>
        <v>0</v>
      </c>
      <c r="W9201" s="22">
        <f t="shared" si="638"/>
        <v>0</v>
      </c>
    </row>
    <row r="9202" spans="1:23" hidden="1" x14ac:dyDescent="0.25">
      <c r="A9202" s="3"/>
      <c r="B9202" s="4"/>
      <c r="C9202" s="4"/>
      <c r="D9202" s="4"/>
      <c r="E9202" s="4"/>
      <c r="F9202" s="4"/>
      <c r="G9202" s="4"/>
      <c r="H9202" s="4"/>
      <c r="I9202" s="4"/>
      <c r="J9202" s="21">
        <f>IFERROR(VLOOKUP(C9202,'STOK KARTLARI'!$C$2:$K$2150,8,0),0)</f>
        <v>0</v>
      </c>
      <c r="K9202" s="21">
        <f t="shared" si="631"/>
        <v>0</v>
      </c>
      <c r="L9202" s="5">
        <f t="shared" si="633"/>
        <v>0</v>
      </c>
      <c r="M9202" s="4"/>
      <c r="N9202" s="4"/>
      <c r="O9202" s="5"/>
      <c r="P9202" s="5"/>
      <c r="Q9202" s="21">
        <f t="shared" si="634"/>
        <v>0</v>
      </c>
      <c r="R9202" s="21">
        <f t="shared" si="632"/>
        <v>0</v>
      </c>
      <c r="S9202" s="5">
        <f t="shared" si="635"/>
        <v>70007.077158325032</v>
      </c>
      <c r="T9202" cm="1">
        <f t="array" ref="T9202">IF(OR(B9202="MAL ALIMI", B9202="ÜRETİM GİRİŞ"), MIN(I9202, MAX(0, I9202 + SUM(SUMIFS($I$1:I9201, $C$1:C9201, C9202, $B$1:B9201, {"MAL ALIMI","ÜRETİM GİRİŞ"})) - VLOOKUP(C9202, 'STOK RAPORU'!$C$2:$I$1000, 4, 0))), 0)</f>
        <v>0</v>
      </c>
      <c r="U9202" s="22">
        <f t="shared" si="636"/>
        <v>0</v>
      </c>
      <c r="V9202">
        <f t="shared" si="637"/>
        <v>0</v>
      </c>
      <c r="W9202" s="22">
        <f t="shared" si="638"/>
        <v>0</v>
      </c>
    </row>
    <row r="9203" spans="1:23" hidden="1" x14ac:dyDescent="0.25">
      <c r="A9203" s="4"/>
      <c r="B9203" s="4"/>
      <c r="C9203" s="4"/>
      <c r="D9203" s="4"/>
      <c r="E9203" s="4"/>
      <c r="F9203" s="4"/>
      <c r="G9203" s="4"/>
      <c r="H9203" s="4"/>
      <c r="I9203" s="4"/>
      <c r="J9203" s="21">
        <f>IFERROR(VLOOKUP(C9203,'STOK KARTLARI'!$C$2:$K$2150,8,0),0)</f>
        <v>0</v>
      </c>
      <c r="K9203" s="21">
        <f t="shared" ref="K9203:K9266" si="639">IF(AND(B9203="MAL SATIŞI", H9203="POS"),I9203*J9203,0)</f>
        <v>0</v>
      </c>
      <c r="L9203" s="5">
        <f t="shared" si="633"/>
        <v>0</v>
      </c>
      <c r="M9203" s="4"/>
      <c r="N9203" s="4"/>
      <c r="O9203" s="5"/>
      <c r="P9203" s="5"/>
      <c r="Q9203" s="21">
        <f t="shared" si="634"/>
        <v>0</v>
      </c>
      <c r="R9203" s="21">
        <f t="shared" ref="R9203:R9266" si="640">IF(AND(E9203="", B9203&lt;&gt;"MAL SATIŞI"),I9203*J9203,0)</f>
        <v>0</v>
      </c>
      <c r="S9203" s="5">
        <f t="shared" si="635"/>
        <v>70007.077158325032</v>
      </c>
      <c r="T9203" cm="1">
        <f t="array" ref="T9203">IF(OR(B9203="MAL ALIMI", B9203="ÜRETİM GİRİŞ"), MIN(I9203, MAX(0, I9203 + SUM(SUMIFS($I$1:I9202, $C$1:C9202, C9203, $B$1:B9202, {"MAL ALIMI","ÜRETİM GİRİŞ"})) - VLOOKUP(C9203, 'STOK RAPORU'!$C$2:$I$1000, 4, 0))), 0)</f>
        <v>0</v>
      </c>
      <c r="U9203" s="22">
        <f t="shared" si="636"/>
        <v>0</v>
      </c>
      <c r="V9203">
        <f t="shared" si="637"/>
        <v>0</v>
      </c>
      <c r="W9203" s="22">
        <f t="shared" si="638"/>
        <v>0</v>
      </c>
    </row>
    <row r="9204" spans="1:23" hidden="1" x14ac:dyDescent="0.25">
      <c r="A9204" s="4"/>
      <c r="B9204" s="4"/>
      <c r="C9204" s="4"/>
      <c r="D9204" s="4"/>
      <c r="E9204" s="4"/>
      <c r="F9204" s="4"/>
      <c r="G9204" s="4"/>
      <c r="H9204" s="4"/>
      <c r="I9204" s="4"/>
      <c r="J9204" s="21">
        <f>IFERROR(VLOOKUP(C9204,'STOK KARTLARI'!$C$2:$K$2150,8,0),0)</f>
        <v>0</v>
      </c>
      <c r="K9204" s="21">
        <f t="shared" si="639"/>
        <v>0</v>
      </c>
      <c r="L9204" s="5">
        <f t="shared" ref="L9204:L9267" si="641">IF(OR(E9204="", H9204="POS"),0,I9204*J9204)</f>
        <v>0</v>
      </c>
      <c r="M9204" s="4"/>
      <c r="N9204" s="4"/>
      <c r="O9204" s="5"/>
      <c r="P9204" s="5"/>
      <c r="Q9204" s="21">
        <f t="shared" ref="Q9204:Q9267" si="642">IF(AND(E9204="", B9204="MAL SATIŞI", H9204="NAKİT"),I9204*J9204,0)</f>
        <v>0</v>
      </c>
      <c r="R9204" s="21">
        <f t="shared" si="640"/>
        <v>0</v>
      </c>
      <c r="S9204" s="5">
        <f t="shared" si="635"/>
        <v>70007.077158325032</v>
      </c>
      <c r="T9204" cm="1">
        <f t="array" ref="T9204">IF(OR(B9204="MAL ALIMI", B9204="ÜRETİM GİRİŞ"), MIN(I9204, MAX(0, I9204 + SUM(SUMIFS($I$1:I9203, $C$1:C9203, C9204, $B$1:B9203, {"MAL ALIMI","ÜRETİM GİRİŞ"})) - VLOOKUP(C9204, 'STOK RAPORU'!$C$2:$I$1000, 4, 0))), 0)</f>
        <v>0</v>
      </c>
      <c r="U9204" s="22">
        <f t="shared" si="636"/>
        <v>0</v>
      </c>
      <c r="V9204">
        <f t="shared" si="637"/>
        <v>0</v>
      </c>
      <c r="W9204" s="22">
        <f t="shared" si="638"/>
        <v>0</v>
      </c>
    </row>
    <row r="9205" spans="1:23" hidden="1" x14ac:dyDescent="0.25">
      <c r="A9205" s="4"/>
      <c r="B9205" s="4"/>
      <c r="C9205" s="4"/>
      <c r="D9205" s="4"/>
      <c r="E9205" s="4"/>
      <c r="F9205" s="4"/>
      <c r="G9205" s="4"/>
      <c r="H9205" s="4"/>
      <c r="I9205" s="4"/>
      <c r="J9205" s="21">
        <f>IFERROR(VLOOKUP(C9205,'STOK KARTLARI'!$C$2:$K$2150,8,0),0)</f>
        <v>0</v>
      </c>
      <c r="K9205" s="21">
        <f t="shared" si="639"/>
        <v>0</v>
      </c>
      <c r="L9205" s="5">
        <f t="shared" si="641"/>
        <v>0</v>
      </c>
      <c r="M9205" s="4"/>
      <c r="N9205" s="4"/>
      <c r="O9205" s="5"/>
      <c r="P9205" s="5"/>
      <c r="Q9205" s="21">
        <f t="shared" si="642"/>
        <v>0</v>
      </c>
      <c r="R9205" s="21">
        <f t="shared" si="640"/>
        <v>0</v>
      </c>
      <c r="S9205" s="5">
        <f t="shared" si="635"/>
        <v>70007.077158325032</v>
      </c>
      <c r="T9205" cm="1">
        <f t="array" ref="T9205">IF(OR(B9205="MAL ALIMI", B9205="ÜRETİM GİRİŞ"), MIN(I9205, MAX(0, I9205 + SUM(SUMIFS($I$1:I9204, $C$1:C9204, C9205, $B$1:B9204, {"MAL ALIMI","ÜRETİM GİRİŞ"})) - VLOOKUP(C9205, 'STOK RAPORU'!$C$2:$I$1000, 4, 0))), 0)</f>
        <v>0</v>
      </c>
      <c r="U9205" s="22">
        <f t="shared" si="636"/>
        <v>0</v>
      </c>
      <c r="V9205">
        <f t="shared" si="637"/>
        <v>0</v>
      </c>
      <c r="W9205" s="22">
        <f t="shared" si="638"/>
        <v>0</v>
      </c>
    </row>
    <row r="9206" spans="1:23" hidden="1" x14ac:dyDescent="0.25">
      <c r="A9206" s="4"/>
      <c r="B9206" s="4"/>
      <c r="C9206" s="4"/>
      <c r="D9206" s="4"/>
      <c r="E9206" s="4"/>
      <c r="F9206" s="4"/>
      <c r="G9206" s="4"/>
      <c r="H9206" s="4"/>
      <c r="I9206" s="4"/>
      <c r="J9206" s="21">
        <f>IFERROR(VLOOKUP(C9206,'STOK KARTLARI'!$C$2:$K$2150,8,0),0)</f>
        <v>0</v>
      </c>
      <c r="K9206" s="21">
        <f t="shared" si="639"/>
        <v>0</v>
      </c>
      <c r="L9206" s="5">
        <f t="shared" si="641"/>
        <v>0</v>
      </c>
      <c r="M9206" s="4"/>
      <c r="N9206" s="4"/>
      <c r="O9206" s="5"/>
      <c r="P9206" s="5"/>
      <c r="Q9206" s="21">
        <f t="shared" si="642"/>
        <v>0</v>
      </c>
      <c r="R9206" s="21">
        <f t="shared" si="640"/>
        <v>0</v>
      </c>
      <c r="S9206" s="5">
        <f t="shared" si="635"/>
        <v>70007.077158325032</v>
      </c>
      <c r="T9206" cm="1">
        <f t="array" ref="T9206">IF(OR(B9206="MAL ALIMI", B9206="ÜRETİM GİRİŞ"), MIN(I9206, MAX(0, I9206 + SUM(SUMIFS($I$1:I9205, $C$1:C9205, C9206, $B$1:B9205, {"MAL ALIMI","ÜRETİM GİRİŞ"})) - VLOOKUP(C9206, 'STOK RAPORU'!$C$2:$I$1000, 4, 0))), 0)</f>
        <v>0</v>
      </c>
      <c r="U9206" s="22">
        <f t="shared" si="636"/>
        <v>0</v>
      </c>
      <c r="V9206">
        <f t="shared" si="637"/>
        <v>0</v>
      </c>
      <c r="W9206" s="22">
        <f t="shared" si="638"/>
        <v>0</v>
      </c>
    </row>
    <row r="9207" spans="1:23" hidden="1" x14ac:dyDescent="0.25">
      <c r="A9207" s="4"/>
      <c r="B9207" s="4"/>
      <c r="C9207" s="4"/>
      <c r="D9207" s="4"/>
      <c r="E9207" s="4"/>
      <c r="F9207" s="4"/>
      <c r="G9207" s="4"/>
      <c r="H9207" s="4"/>
      <c r="I9207" s="4"/>
      <c r="J9207" s="21">
        <f>IFERROR(VLOOKUP(C9207,'STOK KARTLARI'!$C$2:$K$2150,8,0),0)</f>
        <v>0</v>
      </c>
      <c r="K9207" s="21">
        <f t="shared" si="639"/>
        <v>0</v>
      </c>
      <c r="L9207" s="5">
        <f t="shared" si="641"/>
        <v>0</v>
      </c>
      <c r="M9207" s="4"/>
      <c r="N9207" s="4"/>
      <c r="O9207" s="5"/>
      <c r="P9207" s="5"/>
      <c r="Q9207" s="21">
        <f t="shared" si="642"/>
        <v>0</v>
      </c>
      <c r="R9207" s="21">
        <f t="shared" si="640"/>
        <v>0</v>
      </c>
      <c r="S9207" s="5">
        <f t="shared" si="635"/>
        <v>70007.077158325032</v>
      </c>
      <c r="T9207" cm="1">
        <f t="array" ref="T9207">IF(OR(B9207="MAL ALIMI", B9207="ÜRETİM GİRİŞ"), MIN(I9207, MAX(0, I9207 + SUM(SUMIFS($I$1:I9206, $C$1:C9206, C9207, $B$1:B9206, {"MAL ALIMI","ÜRETİM GİRİŞ"})) - VLOOKUP(C9207, 'STOK RAPORU'!$C$2:$I$1000, 4, 0))), 0)</f>
        <v>0</v>
      </c>
      <c r="U9207" s="22">
        <f t="shared" si="636"/>
        <v>0</v>
      </c>
      <c r="V9207">
        <f t="shared" si="637"/>
        <v>0</v>
      </c>
      <c r="W9207" s="22">
        <f t="shared" si="638"/>
        <v>0</v>
      </c>
    </row>
    <row r="9208" spans="1:23" hidden="1" x14ac:dyDescent="0.25">
      <c r="A9208" s="4"/>
      <c r="B9208" s="4"/>
      <c r="C9208" s="4"/>
      <c r="D9208" s="4"/>
      <c r="E9208" s="4"/>
      <c r="F9208" s="4"/>
      <c r="G9208" s="4"/>
      <c r="H9208" s="4"/>
      <c r="I9208" s="4"/>
      <c r="J9208" s="21">
        <f>IFERROR(VLOOKUP(C9208,'STOK KARTLARI'!$C$2:$K$2150,8,0),0)</f>
        <v>0</v>
      </c>
      <c r="K9208" s="21">
        <f t="shared" si="639"/>
        <v>0</v>
      </c>
      <c r="L9208" s="5">
        <f t="shared" si="641"/>
        <v>0</v>
      </c>
      <c r="M9208" s="4"/>
      <c r="N9208" s="4"/>
      <c r="O9208" s="5"/>
      <c r="P9208" s="5"/>
      <c r="Q9208" s="21">
        <f t="shared" si="642"/>
        <v>0</v>
      </c>
      <c r="R9208" s="21">
        <f t="shared" si="640"/>
        <v>0</v>
      </c>
      <c r="S9208" s="5">
        <f t="shared" si="635"/>
        <v>70007.077158325032</v>
      </c>
      <c r="T9208" cm="1">
        <f t="array" ref="T9208">IF(OR(B9208="MAL ALIMI", B9208="ÜRETİM GİRİŞ"), MIN(I9208, MAX(0, I9208 + SUM(SUMIFS($I$1:I9207, $C$1:C9207, C9208, $B$1:B9207, {"MAL ALIMI","ÜRETİM GİRİŞ"})) - VLOOKUP(C9208, 'STOK RAPORU'!$C$2:$I$1000, 4, 0))), 0)</f>
        <v>0</v>
      </c>
      <c r="U9208" s="22">
        <f t="shared" si="636"/>
        <v>0</v>
      </c>
      <c r="V9208">
        <f t="shared" si="637"/>
        <v>0</v>
      </c>
      <c r="W9208" s="22">
        <f t="shared" si="638"/>
        <v>0</v>
      </c>
    </row>
    <row r="9209" spans="1:23" hidden="1" x14ac:dyDescent="0.25">
      <c r="A9209" s="3"/>
      <c r="B9209" s="4"/>
      <c r="C9209" s="4"/>
      <c r="D9209" s="4"/>
      <c r="E9209" s="4"/>
      <c r="F9209" s="4"/>
      <c r="G9209" s="4"/>
      <c r="H9209" s="4"/>
      <c r="I9209" s="4"/>
      <c r="J9209" s="21">
        <f>IFERROR(VLOOKUP(C9209,'STOK KARTLARI'!$C$2:$K$2150,8,0),0)</f>
        <v>0</v>
      </c>
      <c r="K9209" s="21">
        <f t="shared" si="639"/>
        <v>0</v>
      </c>
      <c r="L9209" s="5">
        <f t="shared" si="641"/>
        <v>0</v>
      </c>
      <c r="M9209" s="4"/>
      <c r="N9209" s="4"/>
      <c r="O9209" s="5"/>
      <c r="P9209" s="5"/>
      <c r="Q9209" s="21">
        <f t="shared" si="642"/>
        <v>0</v>
      </c>
      <c r="R9209" s="21">
        <f t="shared" si="640"/>
        <v>0</v>
      </c>
      <c r="S9209" s="5">
        <f t="shared" si="635"/>
        <v>70007.077158325032</v>
      </c>
      <c r="T9209" cm="1">
        <f t="array" ref="T9209">IF(OR(B9209="MAL ALIMI", B9209="ÜRETİM GİRİŞ"), MIN(I9209, MAX(0, I9209 + SUM(SUMIFS($I$1:I9208, $C$1:C9208, C9209, $B$1:B9208, {"MAL ALIMI","ÜRETİM GİRİŞ"})) - VLOOKUP(C9209, 'STOK RAPORU'!$C$2:$I$1000, 4, 0))), 0)</f>
        <v>0</v>
      </c>
      <c r="U9209" s="22">
        <f t="shared" si="636"/>
        <v>0</v>
      </c>
      <c r="V9209">
        <f t="shared" si="637"/>
        <v>0</v>
      </c>
      <c r="W9209" s="22">
        <f t="shared" si="638"/>
        <v>0</v>
      </c>
    </row>
    <row r="9210" spans="1:23" hidden="1" x14ac:dyDescent="0.25">
      <c r="A9210" s="3"/>
      <c r="B9210" s="4"/>
      <c r="C9210" s="4"/>
      <c r="D9210" s="4"/>
      <c r="E9210" s="4"/>
      <c r="F9210" s="4"/>
      <c r="G9210" s="4"/>
      <c r="H9210" s="4"/>
      <c r="I9210" s="4"/>
      <c r="J9210" s="21">
        <f>IFERROR(VLOOKUP(C9210,'STOK KARTLARI'!$C$2:$K$2150,8,0),0)</f>
        <v>0</v>
      </c>
      <c r="K9210" s="21">
        <f t="shared" si="639"/>
        <v>0</v>
      </c>
      <c r="L9210" s="5">
        <f t="shared" si="641"/>
        <v>0</v>
      </c>
      <c r="M9210" s="4"/>
      <c r="N9210" s="4"/>
      <c r="O9210" s="5"/>
      <c r="P9210" s="5"/>
      <c r="Q9210" s="21">
        <f t="shared" si="642"/>
        <v>0</v>
      </c>
      <c r="R9210" s="21">
        <f t="shared" si="640"/>
        <v>0</v>
      </c>
      <c r="S9210" s="5">
        <f t="shared" si="635"/>
        <v>70007.077158325032</v>
      </c>
      <c r="T9210" cm="1">
        <f t="array" ref="T9210">IF(OR(B9210="MAL ALIMI", B9210="ÜRETİM GİRİŞ"), MIN(I9210, MAX(0, I9210 + SUM(SUMIFS($I$1:I9209, $C$1:C9209, C9210, $B$1:B9209, {"MAL ALIMI","ÜRETİM GİRİŞ"})) - VLOOKUP(C9210, 'STOK RAPORU'!$C$2:$I$1000, 4, 0))), 0)</f>
        <v>0</v>
      </c>
      <c r="U9210" s="22">
        <f t="shared" si="636"/>
        <v>0</v>
      </c>
      <c r="V9210">
        <f t="shared" si="637"/>
        <v>0</v>
      </c>
      <c r="W9210" s="22">
        <f t="shared" si="638"/>
        <v>0</v>
      </c>
    </row>
    <row r="9211" spans="1:23" hidden="1" x14ac:dyDescent="0.25">
      <c r="A9211" s="4"/>
      <c r="B9211" s="4"/>
      <c r="C9211" s="4"/>
      <c r="D9211" s="4"/>
      <c r="E9211" s="4"/>
      <c r="F9211" s="4"/>
      <c r="G9211" s="4"/>
      <c r="H9211" s="4"/>
      <c r="I9211" s="4"/>
      <c r="J9211" s="21">
        <f>IFERROR(VLOOKUP(C9211,'STOK KARTLARI'!$C$2:$K$2150,8,0),0)</f>
        <v>0</v>
      </c>
      <c r="K9211" s="21">
        <f t="shared" si="639"/>
        <v>0</v>
      </c>
      <c r="L9211" s="5">
        <f t="shared" si="641"/>
        <v>0</v>
      </c>
      <c r="M9211" s="4"/>
      <c r="N9211" s="4"/>
      <c r="O9211" s="5"/>
      <c r="P9211" s="5"/>
      <c r="Q9211" s="21">
        <f t="shared" si="642"/>
        <v>0</v>
      </c>
      <c r="R9211" s="21">
        <f t="shared" si="640"/>
        <v>0</v>
      </c>
      <c r="S9211" s="5">
        <f t="shared" si="635"/>
        <v>70007.077158325032</v>
      </c>
      <c r="T9211" cm="1">
        <f t="array" ref="T9211">IF(OR(B9211="MAL ALIMI", B9211="ÜRETİM GİRİŞ"), MIN(I9211, MAX(0, I9211 + SUM(SUMIFS($I$1:I9210, $C$1:C9210, C9211, $B$1:B9210, {"MAL ALIMI","ÜRETİM GİRİŞ"})) - VLOOKUP(C9211, 'STOK RAPORU'!$C$2:$I$1000, 4, 0))), 0)</f>
        <v>0</v>
      </c>
      <c r="U9211" s="22">
        <f t="shared" si="636"/>
        <v>0</v>
      </c>
      <c r="V9211">
        <f t="shared" si="637"/>
        <v>0</v>
      </c>
      <c r="W9211" s="22">
        <f t="shared" si="638"/>
        <v>0</v>
      </c>
    </row>
    <row r="9212" spans="1:23" hidden="1" x14ac:dyDescent="0.25">
      <c r="A9212" s="4"/>
      <c r="B9212" s="4"/>
      <c r="C9212" s="4"/>
      <c r="D9212" s="4"/>
      <c r="E9212" s="4"/>
      <c r="F9212" s="4"/>
      <c r="G9212" s="4"/>
      <c r="H9212" s="4"/>
      <c r="I9212" s="4"/>
      <c r="J9212" s="21">
        <f>IFERROR(VLOOKUP(C9212,'STOK KARTLARI'!$C$2:$K$2150,8,0),0)</f>
        <v>0</v>
      </c>
      <c r="K9212" s="21">
        <f t="shared" si="639"/>
        <v>0</v>
      </c>
      <c r="L9212" s="5">
        <f t="shared" si="641"/>
        <v>0</v>
      </c>
      <c r="M9212" s="4"/>
      <c r="N9212" s="4"/>
      <c r="O9212" s="5"/>
      <c r="P9212" s="5"/>
      <c r="Q9212" s="21">
        <f t="shared" si="642"/>
        <v>0</v>
      </c>
      <c r="R9212" s="21">
        <f t="shared" si="640"/>
        <v>0</v>
      </c>
      <c r="S9212" s="5">
        <f t="shared" si="635"/>
        <v>70007.077158325032</v>
      </c>
      <c r="T9212" cm="1">
        <f t="array" ref="T9212">IF(OR(B9212="MAL ALIMI", B9212="ÜRETİM GİRİŞ"), MIN(I9212, MAX(0, I9212 + SUM(SUMIFS($I$1:I9211, $C$1:C9211, C9212, $B$1:B9211, {"MAL ALIMI","ÜRETİM GİRİŞ"})) - VLOOKUP(C9212, 'STOK RAPORU'!$C$2:$I$1000, 4, 0))), 0)</f>
        <v>0</v>
      </c>
      <c r="U9212" s="22">
        <f t="shared" si="636"/>
        <v>0</v>
      </c>
      <c r="V9212">
        <f t="shared" si="637"/>
        <v>0</v>
      </c>
      <c r="W9212" s="22">
        <f t="shared" si="638"/>
        <v>0</v>
      </c>
    </row>
    <row r="9213" spans="1:23" hidden="1" x14ac:dyDescent="0.25">
      <c r="A9213" s="4"/>
      <c r="B9213" s="4"/>
      <c r="C9213" s="4"/>
      <c r="D9213" s="4"/>
      <c r="E9213" s="4"/>
      <c r="F9213" s="4"/>
      <c r="G9213" s="4"/>
      <c r="H9213" s="4"/>
      <c r="I9213" s="4"/>
      <c r="J9213" s="21">
        <f>IFERROR(VLOOKUP(C9213,'STOK KARTLARI'!$C$2:$K$2150,8,0),0)</f>
        <v>0</v>
      </c>
      <c r="K9213" s="21">
        <f t="shared" si="639"/>
        <v>0</v>
      </c>
      <c r="L9213" s="5">
        <f t="shared" si="641"/>
        <v>0</v>
      </c>
      <c r="M9213" s="4"/>
      <c r="N9213" s="4"/>
      <c r="O9213" s="5"/>
      <c r="P9213" s="5"/>
      <c r="Q9213" s="21">
        <f t="shared" si="642"/>
        <v>0</v>
      </c>
      <c r="R9213" s="21">
        <f t="shared" si="640"/>
        <v>0</v>
      </c>
      <c r="S9213" s="5">
        <f t="shared" si="635"/>
        <v>70007.077158325032</v>
      </c>
      <c r="T9213" cm="1">
        <f t="array" ref="T9213">IF(OR(B9213="MAL ALIMI", B9213="ÜRETİM GİRİŞ"), MIN(I9213, MAX(0, I9213 + SUM(SUMIFS($I$1:I9212, $C$1:C9212, C9213, $B$1:B9212, {"MAL ALIMI","ÜRETİM GİRİŞ"})) - VLOOKUP(C9213, 'STOK RAPORU'!$C$2:$I$1000, 4, 0))), 0)</f>
        <v>0</v>
      </c>
      <c r="U9213" s="22">
        <f t="shared" si="636"/>
        <v>0</v>
      </c>
      <c r="V9213">
        <f t="shared" si="637"/>
        <v>0</v>
      </c>
      <c r="W9213" s="22">
        <f t="shared" si="638"/>
        <v>0</v>
      </c>
    </row>
    <row r="9214" spans="1:23" hidden="1" x14ac:dyDescent="0.25">
      <c r="A9214" s="4"/>
      <c r="B9214" s="4"/>
      <c r="C9214" s="4"/>
      <c r="D9214" s="4"/>
      <c r="E9214" s="4"/>
      <c r="F9214" s="4"/>
      <c r="G9214" s="4"/>
      <c r="H9214" s="4"/>
      <c r="I9214" s="4"/>
      <c r="J9214" s="21">
        <f>IFERROR(VLOOKUP(C9214,'STOK KARTLARI'!$C$2:$K$2150,8,0),0)</f>
        <v>0</v>
      </c>
      <c r="K9214" s="21">
        <f t="shared" si="639"/>
        <v>0</v>
      </c>
      <c r="L9214" s="5">
        <f t="shared" si="641"/>
        <v>0</v>
      </c>
      <c r="M9214" s="4"/>
      <c r="N9214" s="4"/>
      <c r="O9214" s="5"/>
      <c r="P9214" s="5"/>
      <c r="Q9214" s="21">
        <f t="shared" si="642"/>
        <v>0</v>
      </c>
      <c r="R9214" s="21">
        <f t="shared" si="640"/>
        <v>0</v>
      </c>
      <c r="S9214" s="5">
        <f t="shared" si="635"/>
        <v>70007.077158325032</v>
      </c>
      <c r="T9214" cm="1">
        <f t="array" ref="T9214">IF(OR(B9214="MAL ALIMI", B9214="ÜRETİM GİRİŞ"), MIN(I9214, MAX(0, I9214 + SUM(SUMIFS($I$1:I9213, $C$1:C9213, C9214, $B$1:B9213, {"MAL ALIMI","ÜRETİM GİRİŞ"})) - VLOOKUP(C9214, 'STOK RAPORU'!$C$2:$I$1000, 4, 0))), 0)</f>
        <v>0</v>
      </c>
      <c r="U9214" s="22">
        <f t="shared" si="636"/>
        <v>0</v>
      </c>
      <c r="V9214">
        <f t="shared" si="637"/>
        <v>0</v>
      </c>
      <c r="W9214" s="22">
        <f t="shared" si="638"/>
        <v>0</v>
      </c>
    </row>
    <row r="9215" spans="1:23" hidden="1" x14ac:dyDescent="0.25">
      <c r="A9215" s="4"/>
      <c r="B9215" s="4"/>
      <c r="C9215" s="4"/>
      <c r="D9215" s="4"/>
      <c r="E9215" s="4"/>
      <c r="F9215" s="4"/>
      <c r="G9215" s="4"/>
      <c r="H9215" s="4"/>
      <c r="I9215" s="4"/>
      <c r="J9215" s="21">
        <f>IFERROR(VLOOKUP(C9215,'STOK KARTLARI'!$C$2:$K$2150,8,0),0)</f>
        <v>0</v>
      </c>
      <c r="K9215" s="21">
        <f t="shared" si="639"/>
        <v>0</v>
      </c>
      <c r="L9215" s="5">
        <f t="shared" si="641"/>
        <v>0</v>
      </c>
      <c r="M9215" s="4"/>
      <c r="N9215" s="4"/>
      <c r="O9215" s="5"/>
      <c r="P9215" s="5"/>
      <c r="Q9215" s="21">
        <f t="shared" si="642"/>
        <v>0</v>
      </c>
      <c r="R9215" s="21">
        <f t="shared" si="640"/>
        <v>0</v>
      </c>
      <c r="S9215" s="5">
        <f t="shared" si="635"/>
        <v>70007.077158325032</v>
      </c>
      <c r="T9215" cm="1">
        <f t="array" ref="T9215">IF(OR(B9215="MAL ALIMI", B9215="ÜRETİM GİRİŞ"), MIN(I9215, MAX(0, I9215 + SUM(SUMIFS($I$1:I9214, $C$1:C9214, C9215, $B$1:B9214, {"MAL ALIMI","ÜRETİM GİRİŞ"})) - VLOOKUP(C9215, 'STOK RAPORU'!$C$2:$I$1000, 4, 0))), 0)</f>
        <v>0</v>
      </c>
      <c r="U9215" s="22">
        <f t="shared" si="636"/>
        <v>0</v>
      </c>
      <c r="V9215">
        <f t="shared" si="637"/>
        <v>0</v>
      </c>
      <c r="W9215" s="22">
        <f t="shared" si="638"/>
        <v>0</v>
      </c>
    </row>
    <row r="9216" spans="1:23" hidden="1" x14ac:dyDescent="0.25">
      <c r="A9216" s="4"/>
      <c r="B9216" s="4"/>
      <c r="C9216" s="4"/>
      <c r="D9216" s="4"/>
      <c r="E9216" s="4"/>
      <c r="F9216" s="4"/>
      <c r="G9216" s="4"/>
      <c r="H9216" s="4"/>
      <c r="I9216" s="4"/>
      <c r="J9216" s="21">
        <f>IFERROR(VLOOKUP(C9216,'STOK KARTLARI'!$C$2:$K$2150,8,0),0)</f>
        <v>0</v>
      </c>
      <c r="K9216" s="21">
        <f t="shared" si="639"/>
        <v>0</v>
      </c>
      <c r="L9216" s="5">
        <f t="shared" si="641"/>
        <v>0</v>
      </c>
      <c r="M9216" s="4"/>
      <c r="N9216" s="4"/>
      <c r="O9216" s="5"/>
      <c r="P9216" s="5"/>
      <c r="Q9216" s="21">
        <f t="shared" si="642"/>
        <v>0</v>
      </c>
      <c r="R9216" s="21">
        <f t="shared" si="640"/>
        <v>0</v>
      </c>
      <c r="S9216" s="5">
        <f t="shared" si="635"/>
        <v>70007.077158325032</v>
      </c>
      <c r="T9216" cm="1">
        <f t="array" ref="T9216">IF(OR(B9216="MAL ALIMI", B9216="ÜRETİM GİRİŞ"), MIN(I9216, MAX(0, I9216 + SUM(SUMIFS($I$1:I9215, $C$1:C9215, C9216, $B$1:B9215, {"MAL ALIMI","ÜRETİM GİRİŞ"})) - VLOOKUP(C9216, 'STOK RAPORU'!$C$2:$I$1000, 4, 0))), 0)</f>
        <v>0</v>
      </c>
      <c r="U9216" s="22">
        <f t="shared" si="636"/>
        <v>0</v>
      </c>
      <c r="V9216">
        <f t="shared" si="637"/>
        <v>0</v>
      </c>
      <c r="W9216" s="22">
        <f t="shared" si="638"/>
        <v>0</v>
      </c>
    </row>
    <row r="9217" spans="1:23" hidden="1" x14ac:dyDescent="0.25">
      <c r="A9217" s="3"/>
      <c r="B9217" s="4"/>
      <c r="C9217" s="4"/>
      <c r="D9217" s="4"/>
      <c r="E9217" s="4"/>
      <c r="F9217" s="4"/>
      <c r="G9217" s="4"/>
      <c r="H9217" s="4"/>
      <c r="I9217" s="4"/>
      <c r="J9217" s="21">
        <f>IFERROR(VLOOKUP(C9217,'STOK KARTLARI'!$C$2:$K$2150,8,0),0)</f>
        <v>0</v>
      </c>
      <c r="K9217" s="21">
        <f t="shared" si="639"/>
        <v>0</v>
      </c>
      <c r="L9217" s="5">
        <f t="shared" si="641"/>
        <v>0</v>
      </c>
      <c r="M9217" s="4"/>
      <c r="N9217" s="4"/>
      <c r="O9217" s="5"/>
      <c r="P9217" s="5"/>
      <c r="Q9217" s="21">
        <f t="shared" si="642"/>
        <v>0</v>
      </c>
      <c r="R9217" s="21">
        <f t="shared" si="640"/>
        <v>0</v>
      </c>
      <c r="S9217" s="5">
        <f t="shared" si="635"/>
        <v>70007.077158325032</v>
      </c>
      <c r="T9217" cm="1">
        <f t="array" ref="T9217">IF(OR(B9217="MAL ALIMI", B9217="ÜRETİM GİRİŞ"), MIN(I9217, MAX(0, I9217 + SUM(SUMIFS($I$1:I9216, $C$1:C9216, C9217, $B$1:B9216, {"MAL ALIMI","ÜRETİM GİRİŞ"})) - VLOOKUP(C9217, 'STOK RAPORU'!$C$2:$I$1000, 4, 0))), 0)</f>
        <v>0</v>
      </c>
      <c r="U9217" s="22">
        <f t="shared" si="636"/>
        <v>0</v>
      </c>
      <c r="V9217">
        <f t="shared" si="637"/>
        <v>0</v>
      </c>
      <c r="W9217" s="22">
        <f t="shared" si="638"/>
        <v>0</v>
      </c>
    </row>
    <row r="9218" spans="1:23" hidden="1" x14ac:dyDescent="0.25">
      <c r="A9218" s="4"/>
      <c r="B9218" s="4"/>
      <c r="C9218" s="4"/>
      <c r="D9218" s="4"/>
      <c r="E9218" s="4"/>
      <c r="F9218" s="4"/>
      <c r="G9218" s="4"/>
      <c r="H9218" s="4"/>
      <c r="I9218" s="4"/>
      <c r="J9218" s="21">
        <f>IFERROR(VLOOKUP(C9218,'STOK KARTLARI'!$C$2:$K$2150,8,0),0)</f>
        <v>0</v>
      </c>
      <c r="K9218" s="21">
        <f t="shared" si="639"/>
        <v>0</v>
      </c>
      <c r="L9218" s="5">
        <f t="shared" si="641"/>
        <v>0</v>
      </c>
      <c r="M9218" s="4"/>
      <c r="N9218" s="4"/>
      <c r="O9218" s="5"/>
      <c r="P9218" s="5"/>
      <c r="Q9218" s="21">
        <f t="shared" si="642"/>
        <v>0</v>
      </c>
      <c r="R9218" s="21">
        <f t="shared" si="640"/>
        <v>0</v>
      </c>
      <c r="S9218" s="5">
        <f t="shared" si="635"/>
        <v>70007.077158325032</v>
      </c>
      <c r="T9218" cm="1">
        <f t="array" ref="T9218">IF(OR(B9218="MAL ALIMI", B9218="ÜRETİM GİRİŞ"), MIN(I9218, MAX(0, I9218 + SUM(SUMIFS($I$1:I9217, $C$1:C9217, C9218, $B$1:B9217, {"MAL ALIMI","ÜRETİM GİRİŞ"})) - VLOOKUP(C9218, 'STOK RAPORU'!$C$2:$I$1000, 4, 0))), 0)</f>
        <v>0</v>
      </c>
      <c r="U9218" s="22">
        <f t="shared" si="636"/>
        <v>0</v>
      </c>
      <c r="V9218">
        <f t="shared" si="637"/>
        <v>0</v>
      </c>
      <c r="W9218" s="22">
        <f t="shared" si="638"/>
        <v>0</v>
      </c>
    </row>
    <row r="9219" spans="1:23" hidden="1" x14ac:dyDescent="0.25">
      <c r="A9219" s="4"/>
      <c r="B9219" s="4"/>
      <c r="C9219" s="4"/>
      <c r="D9219" s="4"/>
      <c r="E9219" s="4"/>
      <c r="F9219" s="4"/>
      <c r="G9219" s="4"/>
      <c r="H9219" s="4"/>
      <c r="I9219" s="4"/>
      <c r="J9219" s="21">
        <f>IFERROR(VLOOKUP(C9219,'STOK KARTLARI'!$C$2:$K$2150,8,0),0)</f>
        <v>0</v>
      </c>
      <c r="K9219" s="21">
        <f t="shared" si="639"/>
        <v>0</v>
      </c>
      <c r="L9219" s="5">
        <f t="shared" si="641"/>
        <v>0</v>
      </c>
      <c r="M9219" s="4"/>
      <c r="N9219" s="4"/>
      <c r="O9219" s="5"/>
      <c r="P9219" s="5"/>
      <c r="Q9219" s="21">
        <f t="shared" si="642"/>
        <v>0</v>
      </c>
      <c r="R9219" s="21">
        <f t="shared" si="640"/>
        <v>0</v>
      </c>
      <c r="S9219" s="5">
        <f t="shared" si="635"/>
        <v>70007.077158325032</v>
      </c>
      <c r="T9219" cm="1">
        <f t="array" ref="T9219">IF(OR(B9219="MAL ALIMI", B9219="ÜRETİM GİRİŞ"), MIN(I9219, MAX(0, I9219 + SUM(SUMIFS($I$1:I9218, $C$1:C9218, C9219, $B$1:B9218, {"MAL ALIMI","ÜRETİM GİRİŞ"})) - VLOOKUP(C9219, 'STOK RAPORU'!$C$2:$I$1000, 4, 0))), 0)</f>
        <v>0</v>
      </c>
      <c r="U9219" s="22">
        <f t="shared" si="636"/>
        <v>0</v>
      </c>
      <c r="V9219">
        <f t="shared" si="637"/>
        <v>0</v>
      </c>
      <c r="W9219" s="22">
        <f t="shared" si="638"/>
        <v>0</v>
      </c>
    </row>
    <row r="9220" spans="1:23" hidden="1" x14ac:dyDescent="0.25">
      <c r="A9220" s="4"/>
      <c r="B9220" s="4"/>
      <c r="C9220" s="4"/>
      <c r="D9220" s="4"/>
      <c r="E9220" s="4"/>
      <c r="F9220" s="4"/>
      <c r="G9220" s="4"/>
      <c r="H9220" s="4"/>
      <c r="I9220" s="4"/>
      <c r="J9220" s="21">
        <f>IFERROR(VLOOKUP(C9220,'STOK KARTLARI'!$C$2:$K$2150,8,0),0)</f>
        <v>0</v>
      </c>
      <c r="K9220" s="21">
        <f t="shared" si="639"/>
        <v>0</v>
      </c>
      <c r="L9220" s="5">
        <f t="shared" si="641"/>
        <v>0</v>
      </c>
      <c r="M9220" s="4"/>
      <c r="N9220" s="4"/>
      <c r="O9220" s="5"/>
      <c r="P9220" s="5"/>
      <c r="Q9220" s="21">
        <f t="shared" si="642"/>
        <v>0</v>
      </c>
      <c r="R9220" s="21">
        <f t="shared" si="640"/>
        <v>0</v>
      </c>
      <c r="S9220" s="5">
        <f t="shared" si="635"/>
        <v>70007.077158325032</v>
      </c>
      <c r="T9220" cm="1">
        <f t="array" ref="T9220">IF(OR(B9220="MAL ALIMI", B9220="ÜRETİM GİRİŞ"), MIN(I9220, MAX(0, I9220 + SUM(SUMIFS($I$1:I9219, $C$1:C9219, C9220, $B$1:B9219, {"MAL ALIMI","ÜRETİM GİRİŞ"})) - VLOOKUP(C9220, 'STOK RAPORU'!$C$2:$I$1000, 4, 0))), 0)</f>
        <v>0</v>
      </c>
      <c r="U9220" s="22">
        <f t="shared" si="636"/>
        <v>0</v>
      </c>
      <c r="V9220">
        <f t="shared" si="637"/>
        <v>0</v>
      </c>
      <c r="W9220" s="22">
        <f t="shared" si="638"/>
        <v>0</v>
      </c>
    </row>
    <row r="9221" spans="1:23" hidden="1" x14ac:dyDescent="0.25">
      <c r="A9221" s="4"/>
      <c r="B9221" s="4"/>
      <c r="C9221" s="4"/>
      <c r="D9221" s="4"/>
      <c r="E9221" s="4"/>
      <c r="F9221" s="4"/>
      <c r="G9221" s="4"/>
      <c r="H9221" s="4"/>
      <c r="I9221" s="4"/>
      <c r="J9221" s="21">
        <f>IFERROR(VLOOKUP(C9221,'STOK KARTLARI'!$C$2:$K$2150,8,0),0)</f>
        <v>0</v>
      </c>
      <c r="K9221" s="21">
        <f t="shared" si="639"/>
        <v>0</v>
      </c>
      <c r="L9221" s="5">
        <f t="shared" si="641"/>
        <v>0</v>
      </c>
      <c r="M9221" s="4"/>
      <c r="N9221" s="4"/>
      <c r="O9221" s="5"/>
      <c r="P9221" s="5"/>
      <c r="Q9221" s="21">
        <f t="shared" si="642"/>
        <v>0</v>
      </c>
      <c r="R9221" s="21">
        <f t="shared" si="640"/>
        <v>0</v>
      </c>
      <c r="S9221" s="5">
        <f t="shared" ref="S9221:S9284" si="643">S9220+Q9221-R9221</f>
        <v>70007.077158325032</v>
      </c>
      <c r="T9221" cm="1">
        <f t="array" ref="T9221">IF(OR(B9221="MAL ALIMI", B9221="ÜRETİM GİRİŞ"), MIN(I9221, MAX(0, I9221 + SUM(SUMIFS($I$1:I9220, $C$1:C9220, C9221, $B$1:B9220, {"MAL ALIMI","ÜRETİM GİRİŞ"})) - VLOOKUP(C9221, 'STOK RAPORU'!$C$2:$I$1000, 4, 0))), 0)</f>
        <v>0</v>
      </c>
      <c r="U9221" s="22">
        <f t="shared" si="636"/>
        <v>0</v>
      </c>
      <c r="V9221">
        <f t="shared" si="637"/>
        <v>0</v>
      </c>
      <c r="W9221" s="22">
        <f t="shared" si="638"/>
        <v>0</v>
      </c>
    </row>
    <row r="9222" spans="1:23" hidden="1" x14ac:dyDescent="0.25">
      <c r="A9222" s="4"/>
      <c r="B9222" s="4"/>
      <c r="C9222" s="4"/>
      <c r="D9222" s="4"/>
      <c r="E9222" s="4"/>
      <c r="F9222" s="4"/>
      <c r="G9222" s="4"/>
      <c r="H9222" s="4"/>
      <c r="I9222" s="4"/>
      <c r="J9222" s="21">
        <f>IFERROR(VLOOKUP(C9222,'STOK KARTLARI'!$C$2:$K$2150,8,0),0)</f>
        <v>0</v>
      </c>
      <c r="K9222" s="21">
        <f t="shared" si="639"/>
        <v>0</v>
      </c>
      <c r="L9222" s="5">
        <f t="shared" si="641"/>
        <v>0</v>
      </c>
      <c r="M9222" s="4"/>
      <c r="N9222" s="4"/>
      <c r="O9222" s="5"/>
      <c r="P9222" s="5"/>
      <c r="Q9222" s="21">
        <f t="shared" si="642"/>
        <v>0</v>
      </c>
      <c r="R9222" s="21">
        <f t="shared" si="640"/>
        <v>0</v>
      </c>
      <c r="S9222" s="5">
        <f t="shared" si="643"/>
        <v>70007.077158325032</v>
      </c>
      <c r="T9222" cm="1">
        <f t="array" ref="T9222">IF(OR(B9222="MAL ALIMI", B9222="ÜRETİM GİRİŞ"), MIN(I9222, MAX(0, I9222 + SUM(SUMIFS($I$1:I9221, $C$1:C9221, C9222, $B$1:B9221, {"MAL ALIMI","ÜRETİM GİRİŞ"})) - VLOOKUP(C9222, 'STOK RAPORU'!$C$2:$I$1000, 4, 0))), 0)</f>
        <v>0</v>
      </c>
      <c r="U9222" s="22">
        <f t="shared" si="636"/>
        <v>0</v>
      </c>
      <c r="V9222">
        <f t="shared" si="637"/>
        <v>0</v>
      </c>
      <c r="W9222" s="22">
        <f t="shared" si="638"/>
        <v>0</v>
      </c>
    </row>
    <row r="9223" spans="1:23" hidden="1" x14ac:dyDescent="0.25">
      <c r="A9223" s="4"/>
      <c r="B9223" s="4"/>
      <c r="C9223" s="4"/>
      <c r="D9223" s="4"/>
      <c r="E9223" s="4"/>
      <c r="F9223" s="4"/>
      <c r="G9223" s="4"/>
      <c r="H9223" s="4"/>
      <c r="I9223" s="4"/>
      <c r="J9223" s="21">
        <f>IFERROR(VLOOKUP(C9223,'STOK KARTLARI'!$C$2:$K$2150,8,0),0)</f>
        <v>0</v>
      </c>
      <c r="K9223" s="21">
        <f t="shared" si="639"/>
        <v>0</v>
      </c>
      <c r="L9223" s="5">
        <f t="shared" si="641"/>
        <v>0</v>
      </c>
      <c r="M9223" s="4"/>
      <c r="N9223" s="4"/>
      <c r="O9223" s="5"/>
      <c r="P9223" s="5"/>
      <c r="Q9223" s="21">
        <f t="shared" si="642"/>
        <v>0</v>
      </c>
      <c r="R9223" s="21">
        <f t="shared" si="640"/>
        <v>0</v>
      </c>
      <c r="S9223" s="5">
        <f t="shared" si="643"/>
        <v>70007.077158325032</v>
      </c>
      <c r="T9223" cm="1">
        <f t="array" ref="T9223">IF(OR(B9223="MAL ALIMI", B9223="ÜRETİM GİRİŞ"), MIN(I9223, MAX(0, I9223 + SUM(SUMIFS($I$1:I9222, $C$1:C9222, C9223, $B$1:B9222, {"MAL ALIMI","ÜRETİM GİRİŞ"})) - VLOOKUP(C9223, 'STOK RAPORU'!$C$2:$I$1000, 4, 0))), 0)</f>
        <v>0</v>
      </c>
      <c r="U9223" s="22">
        <f t="shared" si="636"/>
        <v>0</v>
      </c>
      <c r="V9223">
        <f t="shared" si="637"/>
        <v>0</v>
      </c>
      <c r="W9223" s="22">
        <f t="shared" si="638"/>
        <v>0</v>
      </c>
    </row>
    <row r="9224" spans="1:23" hidden="1" x14ac:dyDescent="0.25">
      <c r="A9224" s="3"/>
      <c r="B9224" s="4"/>
      <c r="C9224" s="4"/>
      <c r="D9224" s="4"/>
      <c r="E9224" s="4"/>
      <c r="F9224" s="4"/>
      <c r="G9224" s="4"/>
      <c r="H9224" s="4"/>
      <c r="I9224" s="4"/>
      <c r="J9224" s="21">
        <f>IFERROR(VLOOKUP(C9224,'STOK KARTLARI'!$C$2:$K$2150,8,0),0)</f>
        <v>0</v>
      </c>
      <c r="K9224" s="21">
        <f t="shared" si="639"/>
        <v>0</v>
      </c>
      <c r="L9224" s="5">
        <f t="shared" si="641"/>
        <v>0</v>
      </c>
      <c r="M9224" s="4"/>
      <c r="N9224" s="4"/>
      <c r="O9224" s="5"/>
      <c r="P9224" s="5"/>
      <c r="Q9224" s="21">
        <f t="shared" si="642"/>
        <v>0</v>
      </c>
      <c r="R9224" s="21">
        <f t="shared" si="640"/>
        <v>0</v>
      </c>
      <c r="S9224" s="5">
        <f t="shared" si="643"/>
        <v>70007.077158325032</v>
      </c>
      <c r="T9224" cm="1">
        <f t="array" ref="T9224">IF(OR(B9224="MAL ALIMI", B9224="ÜRETİM GİRİŞ"), MIN(I9224, MAX(0, I9224 + SUM(SUMIFS($I$1:I9223, $C$1:C9223, C9224, $B$1:B9223, {"MAL ALIMI","ÜRETİM GİRİŞ"})) - VLOOKUP(C9224, 'STOK RAPORU'!$C$2:$I$1000, 4, 0))), 0)</f>
        <v>0</v>
      </c>
      <c r="U9224" s="22">
        <f t="shared" si="636"/>
        <v>0</v>
      </c>
      <c r="V9224">
        <f t="shared" si="637"/>
        <v>0</v>
      </c>
      <c r="W9224" s="22">
        <f t="shared" si="638"/>
        <v>0</v>
      </c>
    </row>
    <row r="9225" spans="1:23" hidden="1" x14ac:dyDescent="0.25">
      <c r="A9225" s="4"/>
      <c r="B9225" s="4"/>
      <c r="C9225" s="4"/>
      <c r="D9225" s="4"/>
      <c r="E9225" s="4"/>
      <c r="F9225" s="4"/>
      <c r="G9225" s="4"/>
      <c r="H9225" s="4"/>
      <c r="I9225" s="4"/>
      <c r="J9225" s="21">
        <f>IFERROR(VLOOKUP(C9225,'STOK KARTLARI'!$C$2:$K$2150,8,0),0)</f>
        <v>0</v>
      </c>
      <c r="K9225" s="21">
        <f t="shared" si="639"/>
        <v>0</v>
      </c>
      <c r="L9225" s="5">
        <f t="shared" si="641"/>
        <v>0</v>
      </c>
      <c r="M9225" s="4"/>
      <c r="N9225" s="4"/>
      <c r="O9225" s="5"/>
      <c r="P9225" s="5"/>
      <c r="Q9225" s="21">
        <f t="shared" si="642"/>
        <v>0</v>
      </c>
      <c r="R9225" s="21">
        <f t="shared" si="640"/>
        <v>0</v>
      </c>
      <c r="S9225" s="5">
        <f t="shared" si="643"/>
        <v>70007.077158325032</v>
      </c>
      <c r="T9225" cm="1">
        <f t="array" ref="T9225">IF(OR(B9225="MAL ALIMI", B9225="ÜRETİM GİRİŞ"), MIN(I9225, MAX(0, I9225 + SUM(SUMIFS($I$1:I9224, $C$1:C9224, C9225, $B$1:B9224, {"MAL ALIMI","ÜRETİM GİRİŞ"})) - VLOOKUP(C9225, 'STOK RAPORU'!$C$2:$I$1000, 4, 0))), 0)</f>
        <v>0</v>
      </c>
      <c r="U9225" s="22">
        <f t="shared" si="636"/>
        <v>0</v>
      </c>
      <c r="V9225">
        <f t="shared" si="637"/>
        <v>0</v>
      </c>
      <c r="W9225" s="22">
        <f t="shared" si="638"/>
        <v>0</v>
      </c>
    </row>
    <row r="9226" spans="1:23" hidden="1" x14ac:dyDescent="0.25">
      <c r="A9226" s="4"/>
      <c r="B9226" s="4"/>
      <c r="C9226" s="4"/>
      <c r="D9226" s="4"/>
      <c r="E9226" s="4"/>
      <c r="F9226" s="4"/>
      <c r="G9226" s="4"/>
      <c r="H9226" s="4"/>
      <c r="I9226" s="4"/>
      <c r="J9226" s="21">
        <f>IFERROR(VLOOKUP(C9226,'STOK KARTLARI'!$C$2:$K$2150,8,0),0)</f>
        <v>0</v>
      </c>
      <c r="K9226" s="21">
        <f t="shared" si="639"/>
        <v>0</v>
      </c>
      <c r="L9226" s="5">
        <f t="shared" si="641"/>
        <v>0</v>
      </c>
      <c r="M9226" s="4"/>
      <c r="N9226" s="4"/>
      <c r="O9226" s="5"/>
      <c r="P9226" s="5"/>
      <c r="Q9226" s="21">
        <f t="shared" si="642"/>
        <v>0</v>
      </c>
      <c r="R9226" s="21">
        <f t="shared" si="640"/>
        <v>0</v>
      </c>
      <c r="S9226" s="5">
        <f t="shared" si="643"/>
        <v>70007.077158325032</v>
      </c>
      <c r="T9226" cm="1">
        <f t="array" ref="T9226">IF(OR(B9226="MAL ALIMI", B9226="ÜRETİM GİRİŞ"), MIN(I9226, MAX(0, I9226 + SUM(SUMIFS($I$1:I9225, $C$1:C9225, C9226, $B$1:B9225, {"MAL ALIMI","ÜRETİM GİRİŞ"})) - VLOOKUP(C9226, 'STOK RAPORU'!$C$2:$I$1000, 4, 0))), 0)</f>
        <v>0</v>
      </c>
      <c r="U9226" s="22">
        <f t="shared" si="636"/>
        <v>0</v>
      </c>
      <c r="V9226">
        <f t="shared" si="637"/>
        <v>0</v>
      </c>
      <c r="W9226" s="22">
        <f t="shared" si="638"/>
        <v>0</v>
      </c>
    </row>
    <row r="9227" spans="1:23" hidden="1" x14ac:dyDescent="0.25">
      <c r="A9227" s="4"/>
      <c r="B9227" s="4"/>
      <c r="C9227" s="4"/>
      <c r="D9227" s="4"/>
      <c r="E9227" s="4"/>
      <c r="F9227" s="4"/>
      <c r="G9227" s="4"/>
      <c r="H9227" s="4"/>
      <c r="I9227" s="4"/>
      <c r="J9227" s="21">
        <f>IFERROR(VLOOKUP(C9227,'STOK KARTLARI'!$C$2:$K$2150,8,0),0)</f>
        <v>0</v>
      </c>
      <c r="K9227" s="21">
        <f t="shared" si="639"/>
        <v>0</v>
      </c>
      <c r="L9227" s="5">
        <f t="shared" si="641"/>
        <v>0</v>
      </c>
      <c r="M9227" s="4"/>
      <c r="N9227" s="4"/>
      <c r="O9227" s="5"/>
      <c r="P9227" s="5"/>
      <c r="Q9227" s="21">
        <f t="shared" si="642"/>
        <v>0</v>
      </c>
      <c r="R9227" s="21">
        <f t="shared" si="640"/>
        <v>0</v>
      </c>
      <c r="S9227" s="5">
        <f t="shared" si="643"/>
        <v>70007.077158325032</v>
      </c>
      <c r="T9227" cm="1">
        <f t="array" ref="T9227">IF(OR(B9227="MAL ALIMI", B9227="ÜRETİM GİRİŞ"), MIN(I9227, MAX(0, I9227 + SUM(SUMIFS($I$1:I9226, $C$1:C9226, C9227, $B$1:B9226, {"MAL ALIMI","ÜRETİM GİRİŞ"})) - VLOOKUP(C9227, 'STOK RAPORU'!$C$2:$I$1000, 4, 0))), 0)</f>
        <v>0</v>
      </c>
      <c r="U9227" s="22">
        <f t="shared" si="636"/>
        <v>0</v>
      </c>
      <c r="V9227">
        <f t="shared" si="637"/>
        <v>0</v>
      </c>
      <c r="W9227" s="22">
        <f t="shared" si="638"/>
        <v>0</v>
      </c>
    </row>
    <row r="9228" spans="1:23" hidden="1" x14ac:dyDescent="0.25">
      <c r="A9228" s="4"/>
      <c r="B9228" s="4"/>
      <c r="C9228" s="4"/>
      <c r="D9228" s="4"/>
      <c r="E9228" s="4"/>
      <c r="F9228" s="4"/>
      <c r="G9228" s="4"/>
      <c r="H9228" s="4"/>
      <c r="I9228" s="4"/>
      <c r="J9228" s="21">
        <f>IFERROR(VLOOKUP(C9228,'STOK KARTLARI'!$C$2:$K$2150,8,0),0)</f>
        <v>0</v>
      </c>
      <c r="K9228" s="21">
        <f t="shared" si="639"/>
        <v>0</v>
      </c>
      <c r="L9228" s="5">
        <f t="shared" si="641"/>
        <v>0</v>
      </c>
      <c r="M9228" s="4"/>
      <c r="N9228" s="4"/>
      <c r="O9228" s="5"/>
      <c r="P9228" s="5"/>
      <c r="Q9228" s="21">
        <f t="shared" si="642"/>
        <v>0</v>
      </c>
      <c r="R9228" s="21">
        <f t="shared" si="640"/>
        <v>0</v>
      </c>
      <c r="S9228" s="5">
        <f t="shared" si="643"/>
        <v>70007.077158325032</v>
      </c>
      <c r="T9228" cm="1">
        <f t="array" ref="T9228">IF(OR(B9228="MAL ALIMI", B9228="ÜRETİM GİRİŞ"), MIN(I9228, MAX(0, I9228 + SUM(SUMIFS($I$1:I9227, $C$1:C9227, C9228, $B$1:B9227, {"MAL ALIMI","ÜRETİM GİRİŞ"})) - VLOOKUP(C9228, 'STOK RAPORU'!$C$2:$I$1000, 4, 0))), 0)</f>
        <v>0</v>
      </c>
      <c r="U9228" s="22">
        <f t="shared" si="636"/>
        <v>0</v>
      </c>
      <c r="V9228">
        <f t="shared" si="637"/>
        <v>0</v>
      </c>
      <c r="W9228" s="22">
        <f t="shared" si="638"/>
        <v>0</v>
      </c>
    </row>
    <row r="9229" spans="1:23" hidden="1" x14ac:dyDescent="0.25">
      <c r="A9229" s="4"/>
      <c r="B9229" s="4"/>
      <c r="C9229" s="4"/>
      <c r="D9229" s="4"/>
      <c r="E9229" s="4"/>
      <c r="F9229" s="4"/>
      <c r="G9229" s="4"/>
      <c r="H9229" s="4"/>
      <c r="I9229" s="4"/>
      <c r="J9229" s="21">
        <f>IFERROR(VLOOKUP(C9229,'STOK KARTLARI'!$C$2:$K$2150,8,0),0)</f>
        <v>0</v>
      </c>
      <c r="K9229" s="21">
        <f t="shared" si="639"/>
        <v>0</v>
      </c>
      <c r="L9229" s="5">
        <f t="shared" si="641"/>
        <v>0</v>
      </c>
      <c r="M9229" s="4"/>
      <c r="N9229" s="4"/>
      <c r="O9229" s="5"/>
      <c r="P9229" s="5"/>
      <c r="Q9229" s="21">
        <f t="shared" si="642"/>
        <v>0</v>
      </c>
      <c r="R9229" s="21">
        <f t="shared" si="640"/>
        <v>0</v>
      </c>
      <c r="S9229" s="5">
        <f t="shared" si="643"/>
        <v>70007.077158325032</v>
      </c>
      <c r="T9229" cm="1">
        <f t="array" ref="T9229">IF(OR(B9229="MAL ALIMI", B9229="ÜRETİM GİRİŞ"), MIN(I9229, MAX(0, I9229 + SUM(SUMIFS($I$1:I9228, $C$1:C9228, C9229, $B$1:B9228, {"MAL ALIMI","ÜRETİM GİRİŞ"})) - VLOOKUP(C9229, 'STOK RAPORU'!$C$2:$I$1000, 4, 0))), 0)</f>
        <v>0</v>
      </c>
      <c r="U9229" s="22">
        <f t="shared" si="636"/>
        <v>0</v>
      </c>
      <c r="V9229">
        <f t="shared" si="637"/>
        <v>0</v>
      </c>
      <c r="W9229" s="22">
        <f t="shared" si="638"/>
        <v>0</v>
      </c>
    </row>
    <row r="9230" spans="1:23" hidden="1" x14ac:dyDescent="0.25">
      <c r="A9230" s="4"/>
      <c r="B9230" s="4"/>
      <c r="C9230" s="4"/>
      <c r="D9230" s="4"/>
      <c r="E9230" s="4"/>
      <c r="F9230" s="4"/>
      <c r="G9230" s="4"/>
      <c r="H9230" s="4"/>
      <c r="I9230" s="4"/>
      <c r="J9230" s="21">
        <f>IFERROR(VLOOKUP(C9230,'STOK KARTLARI'!$C$2:$K$2150,8,0),0)</f>
        <v>0</v>
      </c>
      <c r="K9230" s="21">
        <f t="shared" si="639"/>
        <v>0</v>
      </c>
      <c r="L9230" s="5">
        <f t="shared" si="641"/>
        <v>0</v>
      </c>
      <c r="M9230" s="4"/>
      <c r="N9230" s="4"/>
      <c r="O9230" s="5"/>
      <c r="P9230" s="5"/>
      <c r="Q9230" s="21">
        <f t="shared" si="642"/>
        <v>0</v>
      </c>
      <c r="R9230" s="21">
        <f t="shared" si="640"/>
        <v>0</v>
      </c>
      <c r="S9230" s="5">
        <f t="shared" si="643"/>
        <v>70007.077158325032</v>
      </c>
      <c r="T9230" cm="1">
        <f t="array" ref="T9230">IF(OR(B9230="MAL ALIMI", B9230="ÜRETİM GİRİŞ"), MIN(I9230, MAX(0, I9230 + SUM(SUMIFS($I$1:I9229, $C$1:C9229, C9230, $B$1:B9229, {"MAL ALIMI","ÜRETİM GİRİŞ"})) - VLOOKUP(C9230, 'STOK RAPORU'!$C$2:$I$1000, 4, 0))), 0)</f>
        <v>0</v>
      </c>
      <c r="U9230" s="22">
        <f t="shared" si="636"/>
        <v>0</v>
      </c>
      <c r="V9230">
        <f t="shared" si="637"/>
        <v>0</v>
      </c>
      <c r="W9230" s="22">
        <f t="shared" si="638"/>
        <v>0</v>
      </c>
    </row>
    <row r="9231" spans="1:23" hidden="1" x14ac:dyDescent="0.25">
      <c r="A9231" s="3"/>
      <c r="B9231" s="4"/>
      <c r="C9231" s="4"/>
      <c r="D9231" s="4"/>
      <c r="E9231" s="4"/>
      <c r="F9231" s="4"/>
      <c r="G9231" s="4"/>
      <c r="H9231" s="4"/>
      <c r="I9231" s="4"/>
      <c r="J9231" s="21">
        <f>IFERROR(VLOOKUP(C9231,'STOK KARTLARI'!$C$2:$K$2150,8,0),0)</f>
        <v>0</v>
      </c>
      <c r="K9231" s="21">
        <f t="shared" si="639"/>
        <v>0</v>
      </c>
      <c r="L9231" s="5">
        <f t="shared" si="641"/>
        <v>0</v>
      </c>
      <c r="M9231" s="4"/>
      <c r="N9231" s="4"/>
      <c r="O9231" s="5"/>
      <c r="P9231" s="5"/>
      <c r="Q9231" s="21">
        <f t="shared" si="642"/>
        <v>0</v>
      </c>
      <c r="R9231" s="21">
        <f t="shared" si="640"/>
        <v>0</v>
      </c>
      <c r="S9231" s="5">
        <f t="shared" si="643"/>
        <v>70007.077158325032</v>
      </c>
      <c r="T9231" cm="1">
        <f t="array" ref="T9231">IF(OR(B9231="MAL ALIMI", B9231="ÜRETİM GİRİŞ"), MIN(I9231, MAX(0, I9231 + SUM(SUMIFS($I$1:I9230, $C$1:C9230, C9231, $B$1:B9230, {"MAL ALIMI","ÜRETİM GİRİŞ"})) - VLOOKUP(C9231, 'STOK RAPORU'!$C$2:$I$1000, 4, 0))), 0)</f>
        <v>0</v>
      </c>
      <c r="U9231" s="22">
        <f t="shared" si="636"/>
        <v>0</v>
      </c>
      <c r="V9231">
        <f t="shared" si="637"/>
        <v>0</v>
      </c>
      <c r="W9231" s="22">
        <f t="shared" si="638"/>
        <v>0</v>
      </c>
    </row>
    <row r="9232" spans="1:23" hidden="1" x14ac:dyDescent="0.25">
      <c r="A9232" s="4"/>
      <c r="B9232" s="4"/>
      <c r="C9232" s="4"/>
      <c r="D9232" s="4"/>
      <c r="E9232" s="4"/>
      <c r="F9232" s="4"/>
      <c r="G9232" s="4"/>
      <c r="H9232" s="4"/>
      <c r="I9232" s="4"/>
      <c r="J9232" s="21">
        <f>IFERROR(VLOOKUP(C9232,'STOK KARTLARI'!$C$2:$K$2150,8,0),0)</f>
        <v>0</v>
      </c>
      <c r="K9232" s="21">
        <f t="shared" si="639"/>
        <v>0</v>
      </c>
      <c r="L9232" s="5">
        <f t="shared" si="641"/>
        <v>0</v>
      </c>
      <c r="M9232" s="4"/>
      <c r="N9232" s="4"/>
      <c r="O9232" s="5"/>
      <c r="P9232" s="5"/>
      <c r="Q9232" s="21">
        <f t="shared" si="642"/>
        <v>0</v>
      </c>
      <c r="R9232" s="21">
        <f t="shared" si="640"/>
        <v>0</v>
      </c>
      <c r="S9232" s="5">
        <f t="shared" si="643"/>
        <v>70007.077158325032</v>
      </c>
      <c r="T9232" cm="1">
        <f t="array" ref="T9232">IF(OR(B9232="MAL ALIMI", B9232="ÜRETİM GİRİŞ"), MIN(I9232, MAX(0, I9232 + SUM(SUMIFS($I$1:I9231, $C$1:C9231, C9232, $B$1:B9231, {"MAL ALIMI","ÜRETİM GİRİŞ"})) - VLOOKUP(C9232, 'STOK RAPORU'!$C$2:$I$1000, 4, 0))), 0)</f>
        <v>0</v>
      </c>
      <c r="U9232" s="22">
        <f t="shared" si="636"/>
        <v>0</v>
      </c>
      <c r="V9232">
        <f t="shared" si="637"/>
        <v>0</v>
      </c>
      <c r="W9232" s="22">
        <f t="shared" si="638"/>
        <v>0</v>
      </c>
    </row>
    <row r="9233" spans="1:23" hidden="1" x14ac:dyDescent="0.25">
      <c r="A9233" s="4"/>
      <c r="B9233" s="4"/>
      <c r="C9233" s="4"/>
      <c r="D9233" s="4"/>
      <c r="E9233" s="4"/>
      <c r="F9233" s="4"/>
      <c r="G9233" s="4"/>
      <c r="H9233" s="4"/>
      <c r="I9233" s="4"/>
      <c r="J9233" s="21">
        <f>IFERROR(VLOOKUP(C9233,'STOK KARTLARI'!$C$2:$K$2150,8,0),0)</f>
        <v>0</v>
      </c>
      <c r="K9233" s="21">
        <f t="shared" si="639"/>
        <v>0</v>
      </c>
      <c r="L9233" s="5">
        <f t="shared" si="641"/>
        <v>0</v>
      </c>
      <c r="M9233" s="4"/>
      <c r="N9233" s="4"/>
      <c r="O9233" s="5"/>
      <c r="P9233" s="5"/>
      <c r="Q9233" s="21">
        <f t="shared" si="642"/>
        <v>0</v>
      </c>
      <c r="R9233" s="21">
        <f t="shared" si="640"/>
        <v>0</v>
      </c>
      <c r="S9233" s="5">
        <f t="shared" si="643"/>
        <v>70007.077158325032</v>
      </c>
      <c r="T9233" cm="1">
        <f t="array" ref="T9233">IF(OR(B9233="MAL ALIMI", B9233="ÜRETİM GİRİŞ"), MIN(I9233, MAX(0, I9233 + SUM(SUMIFS($I$1:I9232, $C$1:C9232, C9233, $B$1:B9232, {"MAL ALIMI","ÜRETİM GİRİŞ"})) - VLOOKUP(C9233, 'STOK RAPORU'!$C$2:$I$1000, 4, 0))), 0)</f>
        <v>0</v>
      </c>
      <c r="U9233" s="22">
        <f t="shared" si="636"/>
        <v>0</v>
      </c>
      <c r="V9233">
        <f t="shared" si="637"/>
        <v>0</v>
      </c>
      <c r="W9233" s="22">
        <f t="shared" si="638"/>
        <v>0</v>
      </c>
    </row>
    <row r="9234" spans="1:23" hidden="1" x14ac:dyDescent="0.25">
      <c r="A9234" s="4"/>
      <c r="B9234" s="4"/>
      <c r="C9234" s="4"/>
      <c r="D9234" s="4"/>
      <c r="E9234" s="4"/>
      <c r="F9234" s="4"/>
      <c r="G9234" s="4"/>
      <c r="H9234" s="4"/>
      <c r="I9234" s="4"/>
      <c r="J9234" s="21">
        <f>IFERROR(VLOOKUP(C9234,'STOK KARTLARI'!$C$2:$K$2150,8,0),0)</f>
        <v>0</v>
      </c>
      <c r="K9234" s="21">
        <f t="shared" si="639"/>
        <v>0</v>
      </c>
      <c r="L9234" s="5">
        <f t="shared" si="641"/>
        <v>0</v>
      </c>
      <c r="M9234" s="4"/>
      <c r="N9234" s="4"/>
      <c r="O9234" s="5"/>
      <c r="P9234" s="5"/>
      <c r="Q9234" s="21">
        <f t="shared" si="642"/>
        <v>0</v>
      </c>
      <c r="R9234" s="21">
        <f t="shared" si="640"/>
        <v>0</v>
      </c>
      <c r="S9234" s="5">
        <f t="shared" si="643"/>
        <v>70007.077158325032</v>
      </c>
      <c r="T9234" cm="1">
        <f t="array" ref="T9234">IF(OR(B9234="MAL ALIMI", B9234="ÜRETİM GİRİŞ"), MIN(I9234, MAX(0, I9234 + SUM(SUMIFS($I$1:I9233, $C$1:C9233, C9234, $B$1:B9233, {"MAL ALIMI","ÜRETİM GİRİŞ"})) - VLOOKUP(C9234, 'STOK RAPORU'!$C$2:$I$1000, 4, 0))), 0)</f>
        <v>0</v>
      </c>
      <c r="U9234" s="22">
        <f t="shared" si="636"/>
        <v>0</v>
      </c>
      <c r="V9234">
        <f t="shared" si="637"/>
        <v>0</v>
      </c>
      <c r="W9234" s="22">
        <f t="shared" si="638"/>
        <v>0</v>
      </c>
    </row>
    <row r="9235" spans="1:23" hidden="1" x14ac:dyDescent="0.25">
      <c r="A9235" s="4"/>
      <c r="B9235" s="4"/>
      <c r="C9235" s="4"/>
      <c r="D9235" s="4"/>
      <c r="E9235" s="4"/>
      <c r="F9235" s="4"/>
      <c r="G9235" s="4"/>
      <c r="H9235" s="4"/>
      <c r="I9235" s="4"/>
      <c r="J9235" s="21">
        <f>IFERROR(VLOOKUP(C9235,'STOK KARTLARI'!$C$2:$K$2150,8,0),0)</f>
        <v>0</v>
      </c>
      <c r="K9235" s="21">
        <f t="shared" si="639"/>
        <v>0</v>
      </c>
      <c r="L9235" s="5">
        <f t="shared" si="641"/>
        <v>0</v>
      </c>
      <c r="M9235" s="4"/>
      <c r="N9235" s="4"/>
      <c r="O9235" s="5"/>
      <c r="P9235" s="5"/>
      <c r="Q9235" s="21">
        <f t="shared" si="642"/>
        <v>0</v>
      </c>
      <c r="R9235" s="21">
        <f t="shared" si="640"/>
        <v>0</v>
      </c>
      <c r="S9235" s="5">
        <f t="shared" si="643"/>
        <v>70007.077158325032</v>
      </c>
      <c r="T9235" cm="1">
        <f t="array" ref="T9235">IF(OR(B9235="MAL ALIMI", B9235="ÜRETİM GİRİŞ"), MIN(I9235, MAX(0, I9235 + SUM(SUMIFS($I$1:I9234, $C$1:C9234, C9235, $B$1:B9234, {"MAL ALIMI","ÜRETİM GİRİŞ"})) - VLOOKUP(C9235, 'STOK RAPORU'!$C$2:$I$1000, 4, 0))), 0)</f>
        <v>0</v>
      </c>
      <c r="U9235" s="22">
        <f t="shared" si="636"/>
        <v>0</v>
      </c>
      <c r="V9235">
        <f t="shared" si="637"/>
        <v>0</v>
      </c>
      <c r="W9235" s="22">
        <f t="shared" si="638"/>
        <v>0</v>
      </c>
    </row>
    <row r="9236" spans="1:23" hidden="1" x14ac:dyDescent="0.25">
      <c r="A9236" s="4"/>
      <c r="B9236" s="4"/>
      <c r="C9236" s="4"/>
      <c r="D9236" s="4"/>
      <c r="E9236" s="4"/>
      <c r="F9236" s="4"/>
      <c r="G9236" s="4"/>
      <c r="H9236" s="4"/>
      <c r="I9236" s="4"/>
      <c r="J9236" s="21">
        <f>IFERROR(VLOOKUP(C9236,'STOK KARTLARI'!$C$2:$K$2150,8,0),0)</f>
        <v>0</v>
      </c>
      <c r="K9236" s="21">
        <f t="shared" si="639"/>
        <v>0</v>
      </c>
      <c r="L9236" s="5">
        <f t="shared" si="641"/>
        <v>0</v>
      </c>
      <c r="M9236" s="4"/>
      <c r="N9236" s="4"/>
      <c r="O9236" s="5"/>
      <c r="P9236" s="5"/>
      <c r="Q9236" s="21">
        <f t="shared" si="642"/>
        <v>0</v>
      </c>
      <c r="R9236" s="21">
        <f t="shared" si="640"/>
        <v>0</v>
      </c>
      <c r="S9236" s="5">
        <f t="shared" si="643"/>
        <v>70007.077158325032</v>
      </c>
      <c r="T9236" cm="1">
        <f t="array" ref="T9236">IF(OR(B9236="MAL ALIMI", B9236="ÜRETİM GİRİŞ"), MIN(I9236, MAX(0, I9236 + SUM(SUMIFS($I$1:I9235, $C$1:C9235, C9236, $B$1:B9235, {"MAL ALIMI","ÜRETİM GİRİŞ"})) - VLOOKUP(C9236, 'STOK RAPORU'!$C$2:$I$1000, 4, 0))), 0)</f>
        <v>0</v>
      </c>
      <c r="U9236" s="22">
        <f t="shared" si="636"/>
        <v>0</v>
      </c>
      <c r="V9236">
        <f t="shared" si="637"/>
        <v>0</v>
      </c>
      <c r="W9236" s="22">
        <f t="shared" si="638"/>
        <v>0</v>
      </c>
    </row>
    <row r="9237" spans="1:23" hidden="1" x14ac:dyDescent="0.25">
      <c r="A9237" s="4"/>
      <c r="B9237" s="4"/>
      <c r="C9237" s="4"/>
      <c r="D9237" s="4"/>
      <c r="E9237" s="4"/>
      <c r="F9237" s="4"/>
      <c r="G9237" s="4"/>
      <c r="H9237" s="4"/>
      <c r="I9237" s="4"/>
      <c r="J9237" s="21">
        <f>IFERROR(VLOOKUP(C9237,'STOK KARTLARI'!$C$2:$K$2150,8,0),0)</f>
        <v>0</v>
      </c>
      <c r="K9237" s="21">
        <f t="shared" si="639"/>
        <v>0</v>
      </c>
      <c r="L9237" s="5">
        <f t="shared" si="641"/>
        <v>0</v>
      </c>
      <c r="M9237" s="4"/>
      <c r="N9237" s="4"/>
      <c r="O9237" s="5"/>
      <c r="P9237" s="5"/>
      <c r="Q9237" s="21">
        <f t="shared" si="642"/>
        <v>0</v>
      </c>
      <c r="R9237" s="21">
        <f t="shared" si="640"/>
        <v>0</v>
      </c>
      <c r="S9237" s="5">
        <f t="shared" si="643"/>
        <v>70007.077158325032</v>
      </c>
      <c r="T9237" cm="1">
        <f t="array" ref="T9237">IF(OR(B9237="MAL ALIMI", B9237="ÜRETİM GİRİŞ"), MIN(I9237, MAX(0, I9237 + SUM(SUMIFS($I$1:I9236, $C$1:C9236, C9237, $B$1:B9236, {"MAL ALIMI","ÜRETİM GİRİŞ"})) - VLOOKUP(C9237, 'STOK RAPORU'!$C$2:$I$1000, 4, 0))), 0)</f>
        <v>0</v>
      </c>
      <c r="U9237" s="22">
        <f t="shared" si="636"/>
        <v>0</v>
      </c>
      <c r="V9237">
        <f t="shared" si="637"/>
        <v>0</v>
      </c>
      <c r="W9237" s="22">
        <f t="shared" si="638"/>
        <v>0</v>
      </c>
    </row>
    <row r="9238" spans="1:23" hidden="1" x14ac:dyDescent="0.25">
      <c r="A9238" s="3"/>
      <c r="B9238" s="4"/>
      <c r="C9238" s="4"/>
      <c r="D9238" s="4"/>
      <c r="E9238" s="4"/>
      <c r="F9238" s="4"/>
      <c r="G9238" s="4"/>
      <c r="H9238" s="4"/>
      <c r="I9238" s="4"/>
      <c r="J9238" s="21">
        <f>IFERROR(VLOOKUP(C9238,'STOK KARTLARI'!$C$2:$K$2150,8,0),0)</f>
        <v>0</v>
      </c>
      <c r="K9238" s="21">
        <f t="shared" si="639"/>
        <v>0</v>
      </c>
      <c r="L9238" s="5">
        <f t="shared" si="641"/>
        <v>0</v>
      </c>
      <c r="M9238" s="4"/>
      <c r="N9238" s="4"/>
      <c r="O9238" s="5"/>
      <c r="P9238" s="5"/>
      <c r="Q9238" s="21">
        <f t="shared" si="642"/>
        <v>0</v>
      </c>
      <c r="R9238" s="21">
        <f t="shared" si="640"/>
        <v>0</v>
      </c>
      <c r="S9238" s="5">
        <f t="shared" si="643"/>
        <v>70007.077158325032</v>
      </c>
      <c r="T9238" cm="1">
        <f t="array" ref="T9238">IF(OR(B9238="MAL ALIMI", B9238="ÜRETİM GİRİŞ"), MIN(I9238, MAX(0, I9238 + SUM(SUMIFS($I$1:I9237, $C$1:C9237, C9238, $B$1:B9237, {"MAL ALIMI","ÜRETİM GİRİŞ"})) - VLOOKUP(C9238, 'STOK RAPORU'!$C$2:$I$1000, 4, 0))), 0)</f>
        <v>0</v>
      </c>
      <c r="U9238" s="22">
        <f t="shared" si="636"/>
        <v>0</v>
      </c>
      <c r="V9238">
        <f t="shared" si="637"/>
        <v>0</v>
      </c>
      <c r="W9238" s="22">
        <f t="shared" si="638"/>
        <v>0</v>
      </c>
    </row>
    <row r="9239" spans="1:23" hidden="1" x14ac:dyDescent="0.25">
      <c r="A9239" s="4"/>
      <c r="B9239" s="4"/>
      <c r="C9239" s="4"/>
      <c r="D9239" s="4"/>
      <c r="E9239" s="4"/>
      <c r="F9239" s="4"/>
      <c r="G9239" s="4"/>
      <c r="H9239" s="4"/>
      <c r="I9239" s="4"/>
      <c r="J9239" s="21">
        <f>IFERROR(VLOOKUP(C9239,'STOK KARTLARI'!$C$2:$K$2150,8,0),0)</f>
        <v>0</v>
      </c>
      <c r="K9239" s="21">
        <f t="shared" si="639"/>
        <v>0</v>
      </c>
      <c r="L9239" s="5">
        <f t="shared" si="641"/>
        <v>0</v>
      </c>
      <c r="M9239" s="4"/>
      <c r="N9239" s="4"/>
      <c r="O9239" s="5"/>
      <c r="P9239" s="5"/>
      <c r="Q9239" s="21">
        <f t="shared" si="642"/>
        <v>0</v>
      </c>
      <c r="R9239" s="21">
        <f t="shared" si="640"/>
        <v>0</v>
      </c>
      <c r="S9239" s="5">
        <f t="shared" si="643"/>
        <v>70007.077158325032</v>
      </c>
      <c r="T9239" cm="1">
        <f t="array" ref="T9239">IF(OR(B9239="MAL ALIMI", B9239="ÜRETİM GİRİŞ"), MIN(I9239, MAX(0, I9239 + SUM(SUMIFS($I$1:I9238, $C$1:C9238, C9239, $B$1:B9238, {"MAL ALIMI","ÜRETİM GİRİŞ"})) - VLOOKUP(C9239, 'STOK RAPORU'!$C$2:$I$1000, 4, 0))), 0)</f>
        <v>0</v>
      </c>
      <c r="U9239" s="22">
        <f t="shared" si="636"/>
        <v>0</v>
      </c>
      <c r="V9239">
        <f t="shared" si="637"/>
        <v>0</v>
      </c>
      <c r="W9239" s="22">
        <f t="shared" si="638"/>
        <v>0</v>
      </c>
    </row>
    <row r="9240" spans="1:23" hidden="1" x14ac:dyDescent="0.25">
      <c r="A9240" s="4"/>
      <c r="B9240" s="4"/>
      <c r="C9240" s="4"/>
      <c r="D9240" s="4"/>
      <c r="E9240" s="4"/>
      <c r="F9240" s="4"/>
      <c r="G9240" s="4"/>
      <c r="H9240" s="4"/>
      <c r="I9240" s="4"/>
      <c r="J9240" s="21">
        <f>IFERROR(VLOOKUP(C9240,'STOK KARTLARI'!$C$2:$K$2150,8,0),0)</f>
        <v>0</v>
      </c>
      <c r="K9240" s="21">
        <f t="shared" si="639"/>
        <v>0</v>
      </c>
      <c r="L9240" s="5">
        <f t="shared" si="641"/>
        <v>0</v>
      </c>
      <c r="M9240" s="4"/>
      <c r="N9240" s="4"/>
      <c r="O9240" s="5"/>
      <c r="P9240" s="5"/>
      <c r="Q9240" s="21">
        <f t="shared" si="642"/>
        <v>0</v>
      </c>
      <c r="R9240" s="21">
        <f t="shared" si="640"/>
        <v>0</v>
      </c>
      <c r="S9240" s="5">
        <f t="shared" si="643"/>
        <v>70007.077158325032</v>
      </c>
      <c r="T9240" cm="1">
        <f t="array" ref="T9240">IF(OR(B9240="MAL ALIMI", B9240="ÜRETİM GİRİŞ"), MIN(I9240, MAX(0, I9240 + SUM(SUMIFS($I$1:I9239, $C$1:C9239, C9240, $B$1:B9239, {"MAL ALIMI","ÜRETİM GİRİŞ"})) - VLOOKUP(C9240, 'STOK RAPORU'!$C$2:$I$1000, 4, 0))), 0)</f>
        <v>0</v>
      </c>
      <c r="U9240" s="22">
        <f t="shared" si="636"/>
        <v>0</v>
      </c>
      <c r="V9240">
        <f t="shared" si="637"/>
        <v>0</v>
      </c>
      <c r="W9240" s="22">
        <f t="shared" si="638"/>
        <v>0</v>
      </c>
    </row>
    <row r="9241" spans="1:23" hidden="1" x14ac:dyDescent="0.25">
      <c r="A9241" s="4"/>
      <c r="B9241" s="4"/>
      <c r="C9241" s="4"/>
      <c r="D9241" s="4"/>
      <c r="E9241" s="4"/>
      <c r="F9241" s="4"/>
      <c r="G9241" s="4"/>
      <c r="H9241" s="4"/>
      <c r="I9241" s="4"/>
      <c r="J9241" s="21">
        <f>IFERROR(VLOOKUP(C9241,'STOK KARTLARI'!$C$2:$K$2150,8,0),0)</f>
        <v>0</v>
      </c>
      <c r="K9241" s="21">
        <f t="shared" si="639"/>
        <v>0</v>
      </c>
      <c r="L9241" s="5">
        <f t="shared" si="641"/>
        <v>0</v>
      </c>
      <c r="M9241" s="4"/>
      <c r="N9241" s="4"/>
      <c r="O9241" s="5"/>
      <c r="P9241" s="5"/>
      <c r="Q9241" s="21">
        <f t="shared" si="642"/>
        <v>0</v>
      </c>
      <c r="R9241" s="21">
        <f t="shared" si="640"/>
        <v>0</v>
      </c>
      <c r="S9241" s="5">
        <f t="shared" si="643"/>
        <v>70007.077158325032</v>
      </c>
      <c r="T9241" cm="1">
        <f t="array" ref="T9241">IF(OR(B9241="MAL ALIMI", B9241="ÜRETİM GİRİŞ"), MIN(I9241, MAX(0, I9241 + SUM(SUMIFS($I$1:I9240, $C$1:C9240, C9241, $B$1:B9240, {"MAL ALIMI","ÜRETİM GİRİŞ"})) - VLOOKUP(C9241, 'STOK RAPORU'!$C$2:$I$1000, 4, 0))), 0)</f>
        <v>0</v>
      </c>
      <c r="U9241" s="22">
        <f t="shared" si="636"/>
        <v>0</v>
      </c>
      <c r="V9241">
        <f t="shared" si="637"/>
        <v>0</v>
      </c>
      <c r="W9241" s="22">
        <f t="shared" si="638"/>
        <v>0</v>
      </c>
    </row>
    <row r="9242" spans="1:23" hidden="1" x14ac:dyDescent="0.25">
      <c r="A9242" s="4"/>
      <c r="B9242" s="4"/>
      <c r="C9242" s="4"/>
      <c r="D9242" s="4"/>
      <c r="E9242" s="4"/>
      <c r="F9242" s="4"/>
      <c r="G9242" s="4"/>
      <c r="H9242" s="4"/>
      <c r="I9242" s="4"/>
      <c r="J9242" s="21">
        <f>IFERROR(VLOOKUP(C9242,'STOK KARTLARI'!$C$2:$K$2150,8,0),0)</f>
        <v>0</v>
      </c>
      <c r="K9242" s="21">
        <f t="shared" si="639"/>
        <v>0</v>
      </c>
      <c r="L9242" s="5">
        <f t="shared" si="641"/>
        <v>0</v>
      </c>
      <c r="M9242" s="4"/>
      <c r="N9242" s="4"/>
      <c r="O9242" s="5"/>
      <c r="P9242" s="5"/>
      <c r="Q9242" s="21">
        <f t="shared" si="642"/>
        <v>0</v>
      </c>
      <c r="R9242" s="21">
        <f t="shared" si="640"/>
        <v>0</v>
      </c>
      <c r="S9242" s="5">
        <f t="shared" si="643"/>
        <v>70007.077158325032</v>
      </c>
      <c r="T9242" cm="1">
        <f t="array" ref="T9242">IF(OR(B9242="MAL ALIMI", B9242="ÜRETİM GİRİŞ"), MIN(I9242, MAX(0, I9242 + SUM(SUMIFS($I$1:I9241, $C$1:C9241, C9242, $B$1:B9241, {"MAL ALIMI","ÜRETİM GİRİŞ"})) - VLOOKUP(C9242, 'STOK RAPORU'!$C$2:$I$1000, 4, 0))), 0)</f>
        <v>0</v>
      </c>
      <c r="U9242" s="22">
        <f t="shared" si="636"/>
        <v>0</v>
      </c>
      <c r="V9242">
        <f t="shared" si="637"/>
        <v>0</v>
      </c>
      <c r="W9242" s="22">
        <f t="shared" si="638"/>
        <v>0</v>
      </c>
    </row>
    <row r="9243" spans="1:23" hidden="1" x14ac:dyDescent="0.25">
      <c r="A9243" s="4"/>
      <c r="B9243" s="4"/>
      <c r="C9243" s="4"/>
      <c r="D9243" s="4"/>
      <c r="E9243" s="4"/>
      <c r="F9243" s="4"/>
      <c r="G9243" s="4"/>
      <c r="H9243" s="4"/>
      <c r="I9243" s="4"/>
      <c r="J9243" s="21">
        <f>IFERROR(VLOOKUP(C9243,'STOK KARTLARI'!$C$2:$K$2150,8,0),0)</f>
        <v>0</v>
      </c>
      <c r="K9243" s="21">
        <f t="shared" si="639"/>
        <v>0</v>
      </c>
      <c r="L9243" s="5">
        <f t="shared" si="641"/>
        <v>0</v>
      </c>
      <c r="M9243" s="4"/>
      <c r="N9243" s="4"/>
      <c r="O9243" s="5"/>
      <c r="P9243" s="5"/>
      <c r="Q9243" s="21">
        <f t="shared" si="642"/>
        <v>0</v>
      </c>
      <c r="R9243" s="21">
        <f t="shared" si="640"/>
        <v>0</v>
      </c>
      <c r="S9243" s="5">
        <f t="shared" si="643"/>
        <v>70007.077158325032</v>
      </c>
      <c r="T9243" cm="1">
        <f t="array" ref="T9243">IF(OR(B9243="MAL ALIMI", B9243="ÜRETİM GİRİŞ"), MIN(I9243, MAX(0, I9243 + SUM(SUMIFS($I$1:I9242, $C$1:C9242, C9243, $B$1:B9242, {"MAL ALIMI","ÜRETİM GİRİŞ"})) - VLOOKUP(C9243, 'STOK RAPORU'!$C$2:$I$1000, 4, 0))), 0)</f>
        <v>0</v>
      </c>
      <c r="U9243" s="22">
        <f t="shared" si="636"/>
        <v>0</v>
      </c>
      <c r="V9243">
        <f t="shared" si="637"/>
        <v>0</v>
      </c>
      <c r="W9243" s="22">
        <f t="shared" si="638"/>
        <v>0</v>
      </c>
    </row>
    <row r="9244" spans="1:23" hidden="1" x14ac:dyDescent="0.25">
      <c r="A9244" s="4"/>
      <c r="B9244" s="4"/>
      <c r="C9244" s="4"/>
      <c r="D9244" s="4"/>
      <c r="E9244" s="4"/>
      <c r="F9244" s="4"/>
      <c r="G9244" s="4"/>
      <c r="H9244" s="4"/>
      <c r="I9244" s="4"/>
      <c r="J9244" s="21">
        <f>IFERROR(VLOOKUP(C9244,'STOK KARTLARI'!$C$2:$K$2150,8,0),0)</f>
        <v>0</v>
      </c>
      <c r="K9244" s="21">
        <f t="shared" si="639"/>
        <v>0</v>
      </c>
      <c r="L9244" s="5">
        <f t="shared" si="641"/>
        <v>0</v>
      </c>
      <c r="M9244" s="4"/>
      <c r="N9244" s="4"/>
      <c r="O9244" s="5"/>
      <c r="P9244" s="5"/>
      <c r="Q9244" s="21">
        <f t="shared" si="642"/>
        <v>0</v>
      </c>
      <c r="R9244" s="21">
        <f t="shared" si="640"/>
        <v>0</v>
      </c>
      <c r="S9244" s="5">
        <f t="shared" si="643"/>
        <v>70007.077158325032</v>
      </c>
      <c r="T9244" cm="1">
        <f t="array" ref="T9244">IF(OR(B9244="MAL ALIMI", B9244="ÜRETİM GİRİŞ"), MIN(I9244, MAX(0, I9244 + SUM(SUMIFS($I$1:I9243, $C$1:C9243, C9244, $B$1:B9243, {"MAL ALIMI","ÜRETİM GİRİŞ"})) - VLOOKUP(C9244, 'STOK RAPORU'!$C$2:$I$1000, 4, 0))), 0)</f>
        <v>0</v>
      </c>
      <c r="U9244" s="22">
        <f t="shared" si="636"/>
        <v>0</v>
      </c>
      <c r="V9244">
        <f t="shared" si="637"/>
        <v>0</v>
      </c>
      <c r="W9244" s="22">
        <f t="shared" si="638"/>
        <v>0</v>
      </c>
    </row>
    <row r="9245" spans="1:23" hidden="1" x14ac:dyDescent="0.25">
      <c r="A9245" s="3"/>
      <c r="B9245" s="4"/>
      <c r="C9245" s="4"/>
      <c r="D9245" s="4"/>
      <c r="E9245" s="4"/>
      <c r="F9245" s="4"/>
      <c r="G9245" s="4"/>
      <c r="H9245" s="4"/>
      <c r="I9245" s="4"/>
      <c r="J9245" s="21">
        <f>IFERROR(VLOOKUP(C9245,'STOK KARTLARI'!$C$2:$K$2150,8,0),0)</f>
        <v>0</v>
      </c>
      <c r="K9245" s="21">
        <f t="shared" si="639"/>
        <v>0</v>
      </c>
      <c r="L9245" s="5">
        <f t="shared" si="641"/>
        <v>0</v>
      </c>
      <c r="M9245" s="4"/>
      <c r="N9245" s="4"/>
      <c r="O9245" s="5"/>
      <c r="P9245" s="5"/>
      <c r="Q9245" s="21">
        <f t="shared" si="642"/>
        <v>0</v>
      </c>
      <c r="R9245" s="21">
        <f t="shared" si="640"/>
        <v>0</v>
      </c>
      <c r="S9245" s="5">
        <f t="shared" si="643"/>
        <v>70007.077158325032</v>
      </c>
      <c r="T9245" cm="1">
        <f t="array" ref="T9245">IF(OR(B9245="MAL ALIMI", B9245="ÜRETİM GİRİŞ"), MIN(I9245, MAX(0, I9245 + SUM(SUMIFS($I$1:I9244, $C$1:C9244, C9245, $B$1:B9244, {"MAL ALIMI","ÜRETİM GİRİŞ"})) - VLOOKUP(C9245, 'STOK RAPORU'!$C$2:$I$1000, 4, 0))), 0)</f>
        <v>0</v>
      </c>
      <c r="U9245" s="22">
        <f t="shared" si="636"/>
        <v>0</v>
      </c>
      <c r="V9245">
        <f t="shared" si="637"/>
        <v>0</v>
      </c>
      <c r="W9245" s="22">
        <f t="shared" si="638"/>
        <v>0</v>
      </c>
    </row>
    <row r="9246" spans="1:23" hidden="1" x14ac:dyDescent="0.25">
      <c r="A9246" s="4"/>
      <c r="B9246" s="4"/>
      <c r="C9246" s="4"/>
      <c r="D9246" s="4"/>
      <c r="E9246" s="4"/>
      <c r="F9246" s="4"/>
      <c r="G9246" s="4"/>
      <c r="H9246" s="4"/>
      <c r="I9246" s="4"/>
      <c r="J9246" s="21">
        <f>IFERROR(VLOOKUP(C9246,'STOK KARTLARI'!$C$2:$K$2150,8,0),0)</f>
        <v>0</v>
      </c>
      <c r="K9246" s="21">
        <f t="shared" si="639"/>
        <v>0</v>
      </c>
      <c r="L9246" s="5">
        <f t="shared" si="641"/>
        <v>0</v>
      </c>
      <c r="M9246" s="4"/>
      <c r="N9246" s="4"/>
      <c r="O9246" s="5"/>
      <c r="P9246" s="5"/>
      <c r="Q9246" s="21">
        <f t="shared" si="642"/>
        <v>0</v>
      </c>
      <c r="R9246" s="21">
        <f t="shared" si="640"/>
        <v>0</v>
      </c>
      <c r="S9246" s="5">
        <f t="shared" si="643"/>
        <v>70007.077158325032</v>
      </c>
      <c r="T9246" cm="1">
        <f t="array" ref="T9246">IF(OR(B9246="MAL ALIMI", B9246="ÜRETİM GİRİŞ"), MIN(I9246, MAX(0, I9246 + SUM(SUMIFS($I$1:I9245, $C$1:C9245, C9246, $B$1:B9245, {"MAL ALIMI","ÜRETİM GİRİŞ"})) - VLOOKUP(C9246, 'STOK RAPORU'!$C$2:$I$1000, 4, 0))), 0)</f>
        <v>0</v>
      </c>
      <c r="U9246" s="22">
        <f t="shared" si="636"/>
        <v>0</v>
      </c>
      <c r="V9246">
        <f t="shared" si="637"/>
        <v>0</v>
      </c>
      <c r="W9246" s="22">
        <f t="shared" si="638"/>
        <v>0</v>
      </c>
    </row>
    <row r="9247" spans="1:23" hidden="1" x14ac:dyDescent="0.25">
      <c r="A9247" s="4"/>
      <c r="B9247" s="4"/>
      <c r="C9247" s="4"/>
      <c r="D9247" s="4"/>
      <c r="E9247" s="4"/>
      <c r="F9247" s="4"/>
      <c r="G9247" s="4"/>
      <c r="H9247" s="4"/>
      <c r="I9247" s="4"/>
      <c r="J9247" s="21">
        <f>IFERROR(VLOOKUP(C9247,'STOK KARTLARI'!$C$2:$K$2150,8,0),0)</f>
        <v>0</v>
      </c>
      <c r="K9247" s="21">
        <f t="shared" si="639"/>
        <v>0</v>
      </c>
      <c r="L9247" s="5">
        <f t="shared" si="641"/>
        <v>0</v>
      </c>
      <c r="M9247" s="4"/>
      <c r="N9247" s="4"/>
      <c r="O9247" s="5"/>
      <c r="P9247" s="5"/>
      <c r="Q9247" s="21">
        <f t="shared" si="642"/>
        <v>0</v>
      </c>
      <c r="R9247" s="21">
        <f t="shared" si="640"/>
        <v>0</v>
      </c>
      <c r="S9247" s="5">
        <f t="shared" si="643"/>
        <v>70007.077158325032</v>
      </c>
      <c r="T9247" cm="1">
        <f t="array" ref="T9247">IF(OR(B9247="MAL ALIMI", B9247="ÜRETİM GİRİŞ"), MIN(I9247, MAX(0, I9247 + SUM(SUMIFS($I$1:I9246, $C$1:C9246, C9247, $B$1:B9246, {"MAL ALIMI","ÜRETİM GİRİŞ"})) - VLOOKUP(C9247, 'STOK RAPORU'!$C$2:$I$1000, 4, 0))), 0)</f>
        <v>0</v>
      </c>
      <c r="U9247" s="22">
        <f t="shared" si="636"/>
        <v>0</v>
      </c>
      <c r="V9247">
        <f t="shared" si="637"/>
        <v>0</v>
      </c>
      <c r="W9247" s="22">
        <f t="shared" si="638"/>
        <v>0</v>
      </c>
    </row>
    <row r="9248" spans="1:23" hidden="1" x14ac:dyDescent="0.25">
      <c r="A9248" s="4"/>
      <c r="B9248" s="4"/>
      <c r="C9248" s="4"/>
      <c r="D9248" s="4"/>
      <c r="E9248" s="4"/>
      <c r="F9248" s="4"/>
      <c r="G9248" s="4"/>
      <c r="H9248" s="4"/>
      <c r="I9248" s="4"/>
      <c r="J9248" s="21">
        <f>IFERROR(VLOOKUP(C9248,'STOK KARTLARI'!$C$2:$K$2150,8,0),0)</f>
        <v>0</v>
      </c>
      <c r="K9248" s="21">
        <f t="shared" si="639"/>
        <v>0</v>
      </c>
      <c r="L9248" s="5">
        <f t="shared" si="641"/>
        <v>0</v>
      </c>
      <c r="M9248" s="4"/>
      <c r="N9248" s="4"/>
      <c r="O9248" s="5"/>
      <c r="P9248" s="5"/>
      <c r="Q9248" s="21">
        <f t="shared" si="642"/>
        <v>0</v>
      </c>
      <c r="R9248" s="21">
        <f t="shared" si="640"/>
        <v>0</v>
      </c>
      <c r="S9248" s="5">
        <f t="shared" si="643"/>
        <v>70007.077158325032</v>
      </c>
      <c r="T9248" cm="1">
        <f t="array" ref="T9248">IF(OR(B9248="MAL ALIMI", B9248="ÜRETİM GİRİŞ"), MIN(I9248, MAX(0, I9248 + SUM(SUMIFS($I$1:I9247, $C$1:C9247, C9248, $B$1:B9247, {"MAL ALIMI","ÜRETİM GİRİŞ"})) - VLOOKUP(C9248, 'STOK RAPORU'!$C$2:$I$1000, 4, 0))), 0)</f>
        <v>0</v>
      </c>
      <c r="U9248" s="22">
        <f t="shared" si="636"/>
        <v>0</v>
      </c>
      <c r="V9248">
        <f t="shared" si="637"/>
        <v>0</v>
      </c>
      <c r="W9248" s="22">
        <f t="shared" si="638"/>
        <v>0</v>
      </c>
    </row>
    <row r="9249" spans="1:23" hidden="1" x14ac:dyDescent="0.25">
      <c r="A9249" s="4"/>
      <c r="B9249" s="4"/>
      <c r="C9249" s="4"/>
      <c r="D9249" s="4"/>
      <c r="E9249" s="4"/>
      <c r="F9249" s="4"/>
      <c r="G9249" s="4"/>
      <c r="H9249" s="4"/>
      <c r="I9249" s="4"/>
      <c r="J9249" s="21">
        <f>IFERROR(VLOOKUP(C9249,'STOK KARTLARI'!$C$2:$K$2150,8,0),0)</f>
        <v>0</v>
      </c>
      <c r="K9249" s="21">
        <f t="shared" si="639"/>
        <v>0</v>
      </c>
      <c r="L9249" s="5">
        <f t="shared" si="641"/>
        <v>0</v>
      </c>
      <c r="M9249" s="4"/>
      <c r="N9249" s="4"/>
      <c r="O9249" s="5"/>
      <c r="P9249" s="5"/>
      <c r="Q9249" s="21">
        <f t="shared" si="642"/>
        <v>0</v>
      </c>
      <c r="R9249" s="21">
        <f t="shared" si="640"/>
        <v>0</v>
      </c>
      <c r="S9249" s="5">
        <f t="shared" si="643"/>
        <v>70007.077158325032</v>
      </c>
      <c r="T9249" cm="1">
        <f t="array" ref="T9249">IF(OR(B9249="MAL ALIMI", B9249="ÜRETİM GİRİŞ"), MIN(I9249, MAX(0, I9249 + SUM(SUMIFS($I$1:I9248, $C$1:C9248, C9249, $B$1:B9248, {"MAL ALIMI","ÜRETİM GİRİŞ"})) - VLOOKUP(C9249, 'STOK RAPORU'!$C$2:$I$1000, 4, 0))), 0)</f>
        <v>0</v>
      </c>
      <c r="U9249" s="22">
        <f t="shared" si="636"/>
        <v>0</v>
      </c>
      <c r="V9249">
        <f t="shared" si="637"/>
        <v>0</v>
      </c>
      <c r="W9249" s="22">
        <f t="shared" si="638"/>
        <v>0</v>
      </c>
    </row>
    <row r="9250" spans="1:23" hidden="1" x14ac:dyDescent="0.25">
      <c r="A9250" s="4"/>
      <c r="B9250" s="4"/>
      <c r="C9250" s="4"/>
      <c r="D9250" s="4"/>
      <c r="E9250" s="4"/>
      <c r="F9250" s="4"/>
      <c r="G9250" s="4"/>
      <c r="H9250" s="4"/>
      <c r="I9250" s="4"/>
      <c r="J9250" s="21">
        <f>IFERROR(VLOOKUP(C9250,'STOK KARTLARI'!$C$2:$K$2150,8,0),0)</f>
        <v>0</v>
      </c>
      <c r="K9250" s="21">
        <f t="shared" si="639"/>
        <v>0</v>
      </c>
      <c r="L9250" s="5">
        <f t="shared" si="641"/>
        <v>0</v>
      </c>
      <c r="M9250" s="4"/>
      <c r="N9250" s="4"/>
      <c r="O9250" s="5"/>
      <c r="P9250" s="5"/>
      <c r="Q9250" s="21">
        <f t="shared" si="642"/>
        <v>0</v>
      </c>
      <c r="R9250" s="21">
        <f t="shared" si="640"/>
        <v>0</v>
      </c>
      <c r="S9250" s="5">
        <f t="shared" si="643"/>
        <v>70007.077158325032</v>
      </c>
      <c r="T9250" cm="1">
        <f t="array" ref="T9250">IF(OR(B9250="MAL ALIMI", B9250="ÜRETİM GİRİŞ"), MIN(I9250, MAX(0, I9250 + SUM(SUMIFS($I$1:I9249, $C$1:C9249, C9250, $B$1:B9249, {"MAL ALIMI","ÜRETİM GİRİŞ"})) - VLOOKUP(C9250, 'STOK RAPORU'!$C$2:$I$1000, 4, 0))), 0)</f>
        <v>0</v>
      </c>
      <c r="U9250" s="22">
        <f t="shared" si="636"/>
        <v>0</v>
      </c>
      <c r="V9250">
        <f t="shared" si="637"/>
        <v>0</v>
      </c>
      <c r="W9250" s="22">
        <f t="shared" si="638"/>
        <v>0</v>
      </c>
    </row>
    <row r="9251" spans="1:23" hidden="1" x14ac:dyDescent="0.25">
      <c r="A9251" s="4"/>
      <c r="B9251" s="4"/>
      <c r="C9251" s="4"/>
      <c r="D9251" s="4"/>
      <c r="E9251" s="4"/>
      <c r="F9251" s="4"/>
      <c r="G9251" s="4"/>
      <c r="H9251" s="4"/>
      <c r="I9251" s="4"/>
      <c r="J9251" s="21">
        <f>IFERROR(VLOOKUP(C9251,'STOK KARTLARI'!$C$2:$K$2150,8,0),0)</f>
        <v>0</v>
      </c>
      <c r="K9251" s="21">
        <f t="shared" si="639"/>
        <v>0</v>
      </c>
      <c r="L9251" s="5">
        <f t="shared" si="641"/>
        <v>0</v>
      </c>
      <c r="M9251" s="4"/>
      <c r="N9251" s="4"/>
      <c r="O9251" s="5"/>
      <c r="P9251" s="5"/>
      <c r="Q9251" s="21">
        <f t="shared" si="642"/>
        <v>0</v>
      </c>
      <c r="R9251" s="21">
        <f t="shared" si="640"/>
        <v>0</v>
      </c>
      <c r="S9251" s="5">
        <f t="shared" si="643"/>
        <v>70007.077158325032</v>
      </c>
      <c r="T9251" cm="1">
        <f t="array" ref="T9251">IF(OR(B9251="MAL ALIMI", B9251="ÜRETİM GİRİŞ"), MIN(I9251, MAX(0, I9251 + SUM(SUMIFS($I$1:I9250, $C$1:C9250, C9251, $B$1:B9250, {"MAL ALIMI","ÜRETİM GİRİŞ"})) - VLOOKUP(C9251, 'STOK RAPORU'!$C$2:$I$1000, 4, 0))), 0)</f>
        <v>0</v>
      </c>
      <c r="U9251" s="22">
        <f t="shared" si="636"/>
        <v>0</v>
      </c>
      <c r="V9251">
        <f t="shared" si="637"/>
        <v>0</v>
      </c>
      <c r="W9251" s="22">
        <f t="shared" si="638"/>
        <v>0</v>
      </c>
    </row>
    <row r="9252" spans="1:23" hidden="1" x14ac:dyDescent="0.25">
      <c r="A9252" s="3"/>
      <c r="B9252" s="4"/>
      <c r="C9252" s="4"/>
      <c r="D9252" s="4"/>
      <c r="E9252" s="4"/>
      <c r="F9252" s="4"/>
      <c r="G9252" s="4"/>
      <c r="H9252" s="4"/>
      <c r="I9252" s="4"/>
      <c r="J9252" s="21">
        <f>IFERROR(VLOOKUP(C9252,'STOK KARTLARI'!$C$2:$K$2150,8,0),0)</f>
        <v>0</v>
      </c>
      <c r="K9252" s="21">
        <f t="shared" si="639"/>
        <v>0</v>
      </c>
      <c r="L9252" s="5">
        <f t="shared" si="641"/>
        <v>0</v>
      </c>
      <c r="M9252" s="4"/>
      <c r="N9252" s="4"/>
      <c r="O9252" s="5"/>
      <c r="P9252" s="5"/>
      <c r="Q9252" s="21">
        <f t="shared" si="642"/>
        <v>0</v>
      </c>
      <c r="R9252" s="21">
        <f t="shared" si="640"/>
        <v>0</v>
      </c>
      <c r="S9252" s="5">
        <f t="shared" si="643"/>
        <v>70007.077158325032</v>
      </c>
      <c r="T9252" cm="1">
        <f t="array" ref="T9252">IF(OR(B9252="MAL ALIMI", B9252="ÜRETİM GİRİŞ"), MIN(I9252, MAX(0, I9252 + SUM(SUMIFS($I$1:I9251, $C$1:C9251, C9252, $B$1:B9251, {"MAL ALIMI","ÜRETİM GİRİŞ"})) - VLOOKUP(C9252, 'STOK RAPORU'!$C$2:$I$1000, 4, 0))), 0)</f>
        <v>0</v>
      </c>
      <c r="U9252" s="22">
        <f t="shared" si="636"/>
        <v>0</v>
      </c>
      <c r="V9252">
        <f t="shared" si="637"/>
        <v>0</v>
      </c>
      <c r="W9252" s="22">
        <f t="shared" si="638"/>
        <v>0</v>
      </c>
    </row>
    <row r="9253" spans="1:23" hidden="1" x14ac:dyDescent="0.25">
      <c r="A9253" s="4"/>
      <c r="B9253" s="4"/>
      <c r="C9253" s="4"/>
      <c r="D9253" s="4"/>
      <c r="E9253" s="4"/>
      <c r="F9253" s="4"/>
      <c r="G9253" s="4"/>
      <c r="H9253" s="4"/>
      <c r="I9253" s="4"/>
      <c r="J9253" s="21">
        <f>IFERROR(VLOOKUP(C9253,'STOK KARTLARI'!$C$2:$K$2150,8,0),0)</f>
        <v>0</v>
      </c>
      <c r="K9253" s="21">
        <f t="shared" si="639"/>
        <v>0</v>
      </c>
      <c r="L9253" s="5">
        <f t="shared" si="641"/>
        <v>0</v>
      </c>
      <c r="M9253" s="4"/>
      <c r="N9253" s="4"/>
      <c r="O9253" s="5"/>
      <c r="P9253" s="5"/>
      <c r="Q9253" s="21">
        <f t="shared" si="642"/>
        <v>0</v>
      </c>
      <c r="R9253" s="21">
        <f t="shared" si="640"/>
        <v>0</v>
      </c>
      <c r="S9253" s="5">
        <f t="shared" si="643"/>
        <v>70007.077158325032</v>
      </c>
      <c r="T9253" cm="1">
        <f t="array" ref="T9253">IF(OR(B9253="MAL ALIMI", B9253="ÜRETİM GİRİŞ"), MIN(I9253, MAX(0, I9253 + SUM(SUMIFS($I$1:I9252, $C$1:C9252, C9253, $B$1:B9252, {"MAL ALIMI","ÜRETİM GİRİŞ"})) - VLOOKUP(C9253, 'STOK RAPORU'!$C$2:$I$1000, 4, 0))), 0)</f>
        <v>0</v>
      </c>
      <c r="U9253" s="22">
        <f t="shared" si="636"/>
        <v>0</v>
      </c>
      <c r="V9253">
        <f t="shared" si="637"/>
        <v>0</v>
      </c>
      <c r="W9253" s="22">
        <f t="shared" si="638"/>
        <v>0</v>
      </c>
    </row>
    <row r="9254" spans="1:23" hidden="1" x14ac:dyDescent="0.25">
      <c r="A9254" s="4"/>
      <c r="B9254" s="4"/>
      <c r="C9254" s="4"/>
      <c r="D9254" s="4"/>
      <c r="E9254" s="4"/>
      <c r="F9254" s="4"/>
      <c r="G9254" s="4"/>
      <c r="H9254" s="4"/>
      <c r="I9254" s="4"/>
      <c r="J9254" s="21">
        <f>IFERROR(VLOOKUP(C9254,'STOK KARTLARI'!$C$2:$K$2150,8,0),0)</f>
        <v>0</v>
      </c>
      <c r="K9254" s="21">
        <f t="shared" si="639"/>
        <v>0</v>
      </c>
      <c r="L9254" s="5">
        <f t="shared" si="641"/>
        <v>0</v>
      </c>
      <c r="M9254" s="4"/>
      <c r="N9254" s="4"/>
      <c r="O9254" s="5"/>
      <c r="P9254" s="5"/>
      <c r="Q9254" s="21">
        <f t="shared" si="642"/>
        <v>0</v>
      </c>
      <c r="R9254" s="21">
        <f t="shared" si="640"/>
        <v>0</v>
      </c>
      <c r="S9254" s="5">
        <f t="shared" si="643"/>
        <v>70007.077158325032</v>
      </c>
      <c r="T9254" cm="1">
        <f t="array" ref="T9254">IF(OR(B9254="MAL ALIMI", B9254="ÜRETİM GİRİŞ"), MIN(I9254, MAX(0, I9254 + SUM(SUMIFS($I$1:I9253, $C$1:C9253, C9254, $B$1:B9253, {"MAL ALIMI","ÜRETİM GİRİŞ"})) - VLOOKUP(C9254, 'STOK RAPORU'!$C$2:$I$1000, 4, 0))), 0)</f>
        <v>0</v>
      </c>
      <c r="U9254" s="22">
        <f t="shared" si="636"/>
        <v>0</v>
      </c>
      <c r="V9254">
        <f t="shared" si="637"/>
        <v>0</v>
      </c>
      <c r="W9254" s="22">
        <f t="shared" si="638"/>
        <v>0</v>
      </c>
    </row>
    <row r="9255" spans="1:23" hidden="1" x14ac:dyDescent="0.25">
      <c r="A9255" s="4"/>
      <c r="B9255" s="4"/>
      <c r="C9255" s="4"/>
      <c r="D9255" s="4"/>
      <c r="E9255" s="4"/>
      <c r="F9255" s="4"/>
      <c r="G9255" s="4"/>
      <c r="H9255" s="4"/>
      <c r="I9255" s="4"/>
      <c r="J9255" s="21">
        <f>IFERROR(VLOOKUP(C9255,'STOK KARTLARI'!$C$2:$K$2150,8,0),0)</f>
        <v>0</v>
      </c>
      <c r="K9255" s="21">
        <f t="shared" si="639"/>
        <v>0</v>
      </c>
      <c r="L9255" s="5">
        <f t="shared" si="641"/>
        <v>0</v>
      </c>
      <c r="M9255" s="4"/>
      <c r="N9255" s="4"/>
      <c r="O9255" s="5"/>
      <c r="P9255" s="5"/>
      <c r="Q9255" s="21">
        <f t="shared" si="642"/>
        <v>0</v>
      </c>
      <c r="R9255" s="21">
        <f t="shared" si="640"/>
        <v>0</v>
      </c>
      <c r="S9255" s="5">
        <f t="shared" si="643"/>
        <v>70007.077158325032</v>
      </c>
      <c r="T9255" cm="1">
        <f t="array" ref="T9255">IF(OR(B9255="MAL ALIMI", B9255="ÜRETİM GİRİŞ"), MIN(I9255, MAX(0, I9255 + SUM(SUMIFS($I$1:I9254, $C$1:C9254, C9255, $B$1:B9254, {"MAL ALIMI","ÜRETİM GİRİŞ"})) - VLOOKUP(C9255, 'STOK RAPORU'!$C$2:$I$1000, 4, 0))), 0)</f>
        <v>0</v>
      </c>
      <c r="U9255" s="22">
        <f t="shared" si="636"/>
        <v>0</v>
      </c>
      <c r="V9255">
        <f t="shared" si="637"/>
        <v>0</v>
      </c>
      <c r="W9255" s="22">
        <f t="shared" si="638"/>
        <v>0</v>
      </c>
    </row>
    <row r="9256" spans="1:23" hidden="1" x14ac:dyDescent="0.25">
      <c r="A9256" s="4"/>
      <c r="B9256" s="4"/>
      <c r="C9256" s="4"/>
      <c r="D9256" s="4"/>
      <c r="E9256" s="4"/>
      <c r="F9256" s="4"/>
      <c r="G9256" s="4"/>
      <c r="H9256" s="4"/>
      <c r="I9256" s="4"/>
      <c r="J9256" s="21">
        <f>IFERROR(VLOOKUP(C9256,'STOK KARTLARI'!$C$2:$K$2150,8,0),0)</f>
        <v>0</v>
      </c>
      <c r="K9256" s="21">
        <f t="shared" si="639"/>
        <v>0</v>
      </c>
      <c r="L9256" s="5">
        <f t="shared" si="641"/>
        <v>0</v>
      </c>
      <c r="M9256" s="4"/>
      <c r="N9256" s="4"/>
      <c r="O9256" s="5"/>
      <c r="P9256" s="5"/>
      <c r="Q9256" s="21">
        <f t="shared" si="642"/>
        <v>0</v>
      </c>
      <c r="R9256" s="21">
        <f t="shared" si="640"/>
        <v>0</v>
      </c>
      <c r="S9256" s="5">
        <f t="shared" si="643"/>
        <v>70007.077158325032</v>
      </c>
      <c r="T9256" cm="1">
        <f t="array" ref="T9256">IF(OR(B9256="MAL ALIMI", B9256="ÜRETİM GİRİŞ"), MIN(I9256, MAX(0, I9256 + SUM(SUMIFS($I$1:I9255, $C$1:C9255, C9256, $B$1:B9255, {"MAL ALIMI","ÜRETİM GİRİŞ"})) - VLOOKUP(C9256, 'STOK RAPORU'!$C$2:$I$1000, 4, 0))), 0)</f>
        <v>0</v>
      </c>
      <c r="U9256" s="22">
        <f t="shared" si="636"/>
        <v>0</v>
      </c>
      <c r="V9256">
        <f t="shared" si="637"/>
        <v>0</v>
      </c>
      <c r="W9256" s="22">
        <f t="shared" si="638"/>
        <v>0</v>
      </c>
    </row>
    <row r="9257" spans="1:23" hidden="1" x14ac:dyDescent="0.25">
      <c r="A9257" s="4"/>
      <c r="B9257" s="4"/>
      <c r="C9257" s="4"/>
      <c r="D9257" s="4"/>
      <c r="E9257" s="4"/>
      <c r="F9257" s="4"/>
      <c r="G9257" s="4"/>
      <c r="H9257" s="4"/>
      <c r="I9257" s="4"/>
      <c r="J9257" s="21">
        <f>IFERROR(VLOOKUP(C9257,'STOK KARTLARI'!$C$2:$K$2150,8,0),0)</f>
        <v>0</v>
      </c>
      <c r="K9257" s="21">
        <f t="shared" si="639"/>
        <v>0</v>
      </c>
      <c r="L9257" s="5">
        <f t="shared" si="641"/>
        <v>0</v>
      </c>
      <c r="M9257" s="4"/>
      <c r="N9257" s="4"/>
      <c r="O9257" s="5"/>
      <c r="P9257" s="5"/>
      <c r="Q9257" s="21">
        <f t="shared" si="642"/>
        <v>0</v>
      </c>
      <c r="R9257" s="21">
        <f t="shared" si="640"/>
        <v>0</v>
      </c>
      <c r="S9257" s="5">
        <f t="shared" si="643"/>
        <v>70007.077158325032</v>
      </c>
      <c r="T9257" cm="1">
        <f t="array" ref="T9257">IF(OR(B9257="MAL ALIMI", B9257="ÜRETİM GİRİŞ"), MIN(I9257, MAX(0, I9257 + SUM(SUMIFS($I$1:I9256, $C$1:C9256, C9257, $B$1:B9256, {"MAL ALIMI","ÜRETİM GİRİŞ"})) - VLOOKUP(C9257, 'STOK RAPORU'!$C$2:$I$1000, 4, 0))), 0)</f>
        <v>0</v>
      </c>
      <c r="U9257" s="22">
        <f t="shared" si="636"/>
        <v>0</v>
      </c>
      <c r="V9257">
        <f t="shared" si="637"/>
        <v>0</v>
      </c>
      <c r="W9257" s="22">
        <f t="shared" si="638"/>
        <v>0</v>
      </c>
    </row>
    <row r="9258" spans="1:23" hidden="1" x14ac:dyDescent="0.25">
      <c r="A9258" s="4"/>
      <c r="B9258" s="4"/>
      <c r="C9258" s="4"/>
      <c r="D9258" s="4"/>
      <c r="E9258" s="4"/>
      <c r="F9258" s="4"/>
      <c r="G9258" s="4"/>
      <c r="H9258" s="4"/>
      <c r="I9258" s="4"/>
      <c r="J9258" s="21">
        <f>IFERROR(VLOOKUP(C9258,'STOK KARTLARI'!$C$2:$K$2150,8,0),0)</f>
        <v>0</v>
      </c>
      <c r="K9258" s="21">
        <f t="shared" si="639"/>
        <v>0</v>
      </c>
      <c r="L9258" s="5">
        <f t="shared" si="641"/>
        <v>0</v>
      </c>
      <c r="M9258" s="4"/>
      <c r="N9258" s="4"/>
      <c r="O9258" s="5"/>
      <c r="P9258" s="5"/>
      <c r="Q9258" s="21">
        <f t="shared" si="642"/>
        <v>0</v>
      </c>
      <c r="R9258" s="21">
        <f t="shared" si="640"/>
        <v>0</v>
      </c>
      <c r="S9258" s="5">
        <f t="shared" si="643"/>
        <v>70007.077158325032</v>
      </c>
      <c r="T9258" cm="1">
        <f t="array" ref="T9258">IF(OR(B9258="MAL ALIMI", B9258="ÜRETİM GİRİŞ"), MIN(I9258, MAX(0, I9258 + SUM(SUMIFS($I$1:I9257, $C$1:C9257, C9258, $B$1:B9257, {"MAL ALIMI","ÜRETİM GİRİŞ"})) - VLOOKUP(C9258, 'STOK RAPORU'!$C$2:$I$1000, 4, 0))), 0)</f>
        <v>0</v>
      </c>
      <c r="U9258" s="22">
        <f t="shared" si="636"/>
        <v>0</v>
      </c>
      <c r="V9258">
        <f t="shared" si="637"/>
        <v>0</v>
      </c>
      <c r="W9258" s="22">
        <f t="shared" si="638"/>
        <v>0</v>
      </c>
    </row>
    <row r="9259" spans="1:23" hidden="1" x14ac:dyDescent="0.25">
      <c r="A9259" s="3"/>
      <c r="B9259" s="4"/>
      <c r="C9259" s="4"/>
      <c r="D9259" s="4"/>
      <c r="E9259" s="4"/>
      <c r="F9259" s="4"/>
      <c r="G9259" s="4"/>
      <c r="H9259" s="4"/>
      <c r="I9259" s="4"/>
      <c r="J9259" s="21">
        <f>IFERROR(VLOOKUP(C9259,'STOK KARTLARI'!$C$2:$K$2150,8,0),0)</f>
        <v>0</v>
      </c>
      <c r="K9259" s="21">
        <f t="shared" si="639"/>
        <v>0</v>
      </c>
      <c r="L9259" s="5">
        <f t="shared" si="641"/>
        <v>0</v>
      </c>
      <c r="M9259" s="4"/>
      <c r="N9259" s="4"/>
      <c r="O9259" s="5"/>
      <c r="P9259" s="5"/>
      <c r="Q9259" s="21">
        <f t="shared" si="642"/>
        <v>0</v>
      </c>
      <c r="R9259" s="21">
        <f t="shared" si="640"/>
        <v>0</v>
      </c>
      <c r="S9259" s="5">
        <f t="shared" si="643"/>
        <v>70007.077158325032</v>
      </c>
      <c r="T9259" cm="1">
        <f t="array" ref="T9259">IF(OR(B9259="MAL ALIMI", B9259="ÜRETİM GİRİŞ"), MIN(I9259, MAX(0, I9259 + SUM(SUMIFS($I$1:I9258, $C$1:C9258, C9259, $B$1:B9258, {"MAL ALIMI","ÜRETİM GİRİŞ"})) - VLOOKUP(C9259, 'STOK RAPORU'!$C$2:$I$1000, 4, 0))), 0)</f>
        <v>0</v>
      </c>
      <c r="U9259" s="22">
        <f t="shared" si="636"/>
        <v>0</v>
      </c>
      <c r="V9259">
        <f t="shared" si="637"/>
        <v>0</v>
      </c>
      <c r="W9259" s="22">
        <f t="shared" si="638"/>
        <v>0</v>
      </c>
    </row>
    <row r="9260" spans="1:23" hidden="1" x14ac:dyDescent="0.25">
      <c r="A9260" s="4"/>
      <c r="B9260" s="4"/>
      <c r="C9260" s="4"/>
      <c r="D9260" s="4"/>
      <c r="E9260" s="4"/>
      <c r="F9260" s="4"/>
      <c r="G9260" s="4"/>
      <c r="H9260" s="4"/>
      <c r="I9260" s="4"/>
      <c r="J9260" s="21">
        <f>IFERROR(VLOOKUP(C9260,'STOK KARTLARI'!$C$2:$K$2150,8,0),0)</f>
        <v>0</v>
      </c>
      <c r="K9260" s="21">
        <f t="shared" si="639"/>
        <v>0</v>
      </c>
      <c r="L9260" s="5">
        <f t="shared" si="641"/>
        <v>0</v>
      </c>
      <c r="M9260" s="4"/>
      <c r="N9260" s="4"/>
      <c r="O9260" s="5"/>
      <c r="P9260" s="5"/>
      <c r="Q9260" s="21">
        <f t="shared" si="642"/>
        <v>0</v>
      </c>
      <c r="R9260" s="21">
        <f t="shared" si="640"/>
        <v>0</v>
      </c>
      <c r="S9260" s="5">
        <f t="shared" si="643"/>
        <v>70007.077158325032</v>
      </c>
      <c r="T9260" cm="1">
        <f t="array" ref="T9260">IF(OR(B9260="MAL ALIMI", B9260="ÜRETİM GİRİŞ"), MIN(I9260, MAX(0, I9260 + SUM(SUMIFS($I$1:I9259, $C$1:C9259, C9260, $B$1:B9259, {"MAL ALIMI","ÜRETİM GİRİŞ"})) - VLOOKUP(C9260, 'STOK RAPORU'!$C$2:$I$1000, 4, 0))), 0)</f>
        <v>0</v>
      </c>
      <c r="U9260" s="22">
        <f t="shared" si="636"/>
        <v>0</v>
      </c>
      <c r="V9260">
        <f t="shared" si="637"/>
        <v>0</v>
      </c>
      <c r="W9260" s="22">
        <f t="shared" si="638"/>
        <v>0</v>
      </c>
    </row>
    <row r="9261" spans="1:23" hidden="1" x14ac:dyDescent="0.25">
      <c r="A9261" s="4"/>
      <c r="B9261" s="4"/>
      <c r="C9261" s="4"/>
      <c r="D9261" s="4"/>
      <c r="E9261" s="4"/>
      <c r="F9261" s="4"/>
      <c r="G9261" s="4"/>
      <c r="H9261" s="4"/>
      <c r="I9261" s="4"/>
      <c r="J9261" s="21">
        <f>IFERROR(VLOOKUP(C9261,'STOK KARTLARI'!$C$2:$K$2150,8,0),0)</f>
        <v>0</v>
      </c>
      <c r="K9261" s="21">
        <f t="shared" si="639"/>
        <v>0</v>
      </c>
      <c r="L9261" s="5">
        <f t="shared" si="641"/>
        <v>0</v>
      </c>
      <c r="M9261" s="4"/>
      <c r="N9261" s="4"/>
      <c r="O9261" s="5"/>
      <c r="P9261" s="5"/>
      <c r="Q9261" s="21">
        <f t="shared" si="642"/>
        <v>0</v>
      </c>
      <c r="R9261" s="21">
        <f t="shared" si="640"/>
        <v>0</v>
      </c>
      <c r="S9261" s="5">
        <f t="shared" si="643"/>
        <v>70007.077158325032</v>
      </c>
      <c r="T9261" cm="1">
        <f t="array" ref="T9261">IF(OR(B9261="MAL ALIMI", B9261="ÜRETİM GİRİŞ"), MIN(I9261, MAX(0, I9261 + SUM(SUMIFS($I$1:I9260, $C$1:C9260, C9261, $B$1:B9260, {"MAL ALIMI","ÜRETİM GİRİŞ"})) - VLOOKUP(C9261, 'STOK RAPORU'!$C$2:$I$1000, 4, 0))), 0)</f>
        <v>0</v>
      </c>
      <c r="U9261" s="22">
        <f t="shared" si="636"/>
        <v>0</v>
      </c>
      <c r="V9261">
        <f t="shared" si="637"/>
        <v>0</v>
      </c>
      <c r="W9261" s="22">
        <f t="shared" si="638"/>
        <v>0</v>
      </c>
    </row>
    <row r="9262" spans="1:23" hidden="1" x14ac:dyDescent="0.25">
      <c r="A9262" s="4"/>
      <c r="B9262" s="4"/>
      <c r="C9262" s="4"/>
      <c r="D9262" s="4"/>
      <c r="E9262" s="4"/>
      <c r="F9262" s="4"/>
      <c r="G9262" s="4"/>
      <c r="H9262" s="4"/>
      <c r="I9262" s="4"/>
      <c r="J9262" s="21">
        <f>IFERROR(VLOOKUP(C9262,'STOK KARTLARI'!$C$2:$K$2150,8,0),0)</f>
        <v>0</v>
      </c>
      <c r="K9262" s="21">
        <f t="shared" si="639"/>
        <v>0</v>
      </c>
      <c r="L9262" s="5">
        <f t="shared" si="641"/>
        <v>0</v>
      </c>
      <c r="M9262" s="4"/>
      <c r="N9262" s="4"/>
      <c r="O9262" s="5"/>
      <c r="P9262" s="5"/>
      <c r="Q9262" s="21">
        <f t="shared" si="642"/>
        <v>0</v>
      </c>
      <c r="R9262" s="21">
        <f t="shared" si="640"/>
        <v>0</v>
      </c>
      <c r="S9262" s="5">
        <f t="shared" si="643"/>
        <v>70007.077158325032</v>
      </c>
      <c r="T9262" cm="1">
        <f t="array" ref="T9262">IF(OR(B9262="MAL ALIMI", B9262="ÜRETİM GİRİŞ"), MIN(I9262, MAX(0, I9262 + SUM(SUMIFS($I$1:I9261, $C$1:C9261, C9262, $B$1:B9261, {"MAL ALIMI","ÜRETİM GİRİŞ"})) - VLOOKUP(C9262, 'STOK RAPORU'!$C$2:$I$1000, 4, 0))), 0)</f>
        <v>0</v>
      </c>
      <c r="U9262" s="22">
        <f t="shared" si="636"/>
        <v>0</v>
      </c>
      <c r="V9262">
        <f t="shared" si="637"/>
        <v>0</v>
      </c>
      <c r="W9262" s="22">
        <f t="shared" si="638"/>
        <v>0</v>
      </c>
    </row>
    <row r="9263" spans="1:23" hidden="1" x14ac:dyDescent="0.25">
      <c r="A9263" s="4"/>
      <c r="B9263" s="4"/>
      <c r="C9263" s="4"/>
      <c r="D9263" s="4"/>
      <c r="E9263" s="4"/>
      <c r="F9263" s="4"/>
      <c r="G9263" s="4"/>
      <c r="H9263" s="4"/>
      <c r="I9263" s="4"/>
      <c r="J9263" s="21">
        <f>IFERROR(VLOOKUP(C9263,'STOK KARTLARI'!$C$2:$K$2150,8,0),0)</f>
        <v>0</v>
      </c>
      <c r="K9263" s="21">
        <f t="shared" si="639"/>
        <v>0</v>
      </c>
      <c r="L9263" s="5">
        <f t="shared" si="641"/>
        <v>0</v>
      </c>
      <c r="M9263" s="4"/>
      <c r="N9263" s="4"/>
      <c r="O9263" s="5"/>
      <c r="P9263" s="5"/>
      <c r="Q9263" s="21">
        <f t="shared" si="642"/>
        <v>0</v>
      </c>
      <c r="R9263" s="21">
        <f t="shared" si="640"/>
        <v>0</v>
      </c>
      <c r="S9263" s="5">
        <f t="shared" si="643"/>
        <v>70007.077158325032</v>
      </c>
      <c r="T9263" cm="1">
        <f t="array" ref="T9263">IF(OR(B9263="MAL ALIMI", B9263="ÜRETİM GİRİŞ"), MIN(I9263, MAX(0, I9263 + SUM(SUMIFS($I$1:I9262, $C$1:C9262, C9263, $B$1:B9262, {"MAL ALIMI","ÜRETİM GİRİŞ"})) - VLOOKUP(C9263, 'STOK RAPORU'!$C$2:$I$1000, 4, 0))), 0)</f>
        <v>0</v>
      </c>
      <c r="U9263" s="22">
        <f t="shared" ref="U9263:U9326" si="644">T9263*J9263</f>
        <v>0</v>
      </c>
      <c r="V9263">
        <f t="shared" ref="V9263:V9326" si="645">IF(OR(B9263="MAL ALIMI", B9263="ÜRETİM GİRİŞ"), I9263 * J9263, 0)</f>
        <v>0</v>
      </c>
      <c r="W9263" s="22">
        <f t="shared" ref="W9263:W9326" si="646">V9263-U9263</f>
        <v>0</v>
      </c>
    </row>
    <row r="9264" spans="1:23" hidden="1" x14ac:dyDescent="0.25">
      <c r="A9264" s="4"/>
      <c r="B9264" s="4"/>
      <c r="C9264" s="4"/>
      <c r="D9264" s="4"/>
      <c r="E9264" s="4"/>
      <c r="F9264" s="4"/>
      <c r="G9264" s="4"/>
      <c r="H9264" s="4"/>
      <c r="I9264" s="4"/>
      <c r="J9264" s="21">
        <f>IFERROR(VLOOKUP(C9264,'STOK KARTLARI'!$C$2:$K$2150,8,0),0)</f>
        <v>0</v>
      </c>
      <c r="K9264" s="21">
        <f t="shared" si="639"/>
        <v>0</v>
      </c>
      <c r="L9264" s="5">
        <f t="shared" si="641"/>
        <v>0</v>
      </c>
      <c r="M9264" s="4"/>
      <c r="N9264" s="4"/>
      <c r="O9264" s="5"/>
      <c r="P9264" s="5"/>
      <c r="Q9264" s="21">
        <f t="shared" si="642"/>
        <v>0</v>
      </c>
      <c r="R9264" s="21">
        <f t="shared" si="640"/>
        <v>0</v>
      </c>
      <c r="S9264" s="5">
        <f t="shared" si="643"/>
        <v>70007.077158325032</v>
      </c>
      <c r="T9264" cm="1">
        <f t="array" ref="T9264">IF(OR(B9264="MAL ALIMI", B9264="ÜRETİM GİRİŞ"), MIN(I9264, MAX(0, I9264 + SUM(SUMIFS($I$1:I9263, $C$1:C9263, C9264, $B$1:B9263, {"MAL ALIMI","ÜRETİM GİRİŞ"})) - VLOOKUP(C9264, 'STOK RAPORU'!$C$2:$I$1000, 4, 0))), 0)</f>
        <v>0</v>
      </c>
      <c r="U9264" s="22">
        <f t="shared" si="644"/>
        <v>0</v>
      </c>
      <c r="V9264">
        <f t="shared" si="645"/>
        <v>0</v>
      </c>
      <c r="W9264" s="22">
        <f t="shared" si="646"/>
        <v>0</v>
      </c>
    </row>
    <row r="9265" spans="1:23" hidden="1" x14ac:dyDescent="0.25">
      <c r="A9265" s="4"/>
      <c r="B9265" s="4"/>
      <c r="C9265" s="4"/>
      <c r="D9265" s="4"/>
      <c r="E9265" s="4"/>
      <c r="F9265" s="4"/>
      <c r="G9265" s="4"/>
      <c r="H9265" s="4"/>
      <c r="I9265" s="4"/>
      <c r="J9265" s="21">
        <f>IFERROR(VLOOKUP(C9265,'STOK KARTLARI'!$C$2:$K$2150,8,0),0)</f>
        <v>0</v>
      </c>
      <c r="K9265" s="21">
        <f t="shared" si="639"/>
        <v>0</v>
      </c>
      <c r="L9265" s="5">
        <f t="shared" si="641"/>
        <v>0</v>
      </c>
      <c r="M9265" s="4"/>
      <c r="N9265" s="4"/>
      <c r="O9265" s="5"/>
      <c r="P9265" s="5"/>
      <c r="Q9265" s="21">
        <f t="shared" si="642"/>
        <v>0</v>
      </c>
      <c r="R9265" s="21">
        <f t="shared" si="640"/>
        <v>0</v>
      </c>
      <c r="S9265" s="5">
        <f t="shared" si="643"/>
        <v>70007.077158325032</v>
      </c>
      <c r="T9265" cm="1">
        <f t="array" ref="T9265">IF(OR(B9265="MAL ALIMI", B9265="ÜRETİM GİRİŞ"), MIN(I9265, MAX(0, I9265 + SUM(SUMIFS($I$1:I9264, $C$1:C9264, C9265, $B$1:B9264, {"MAL ALIMI","ÜRETİM GİRİŞ"})) - VLOOKUP(C9265, 'STOK RAPORU'!$C$2:$I$1000, 4, 0))), 0)</f>
        <v>0</v>
      </c>
      <c r="U9265" s="22">
        <f t="shared" si="644"/>
        <v>0</v>
      </c>
      <c r="V9265">
        <f t="shared" si="645"/>
        <v>0</v>
      </c>
      <c r="W9265" s="22">
        <f t="shared" si="646"/>
        <v>0</v>
      </c>
    </row>
    <row r="9266" spans="1:23" hidden="1" x14ac:dyDescent="0.25">
      <c r="A9266" s="3"/>
      <c r="B9266" s="4"/>
      <c r="C9266" s="4"/>
      <c r="D9266" s="4"/>
      <c r="E9266" s="4"/>
      <c r="F9266" s="4"/>
      <c r="G9266" s="4"/>
      <c r="H9266" s="4"/>
      <c r="I9266" s="4"/>
      <c r="J9266" s="21">
        <f>IFERROR(VLOOKUP(C9266,'STOK KARTLARI'!$C$2:$K$2150,8,0),0)</f>
        <v>0</v>
      </c>
      <c r="K9266" s="21">
        <f t="shared" si="639"/>
        <v>0</v>
      </c>
      <c r="L9266" s="5">
        <f t="shared" si="641"/>
        <v>0</v>
      </c>
      <c r="M9266" s="4"/>
      <c r="N9266" s="4"/>
      <c r="O9266" s="5"/>
      <c r="P9266" s="5"/>
      <c r="Q9266" s="21">
        <f t="shared" si="642"/>
        <v>0</v>
      </c>
      <c r="R9266" s="21">
        <f t="shared" si="640"/>
        <v>0</v>
      </c>
      <c r="S9266" s="5">
        <f t="shared" si="643"/>
        <v>70007.077158325032</v>
      </c>
      <c r="T9266" cm="1">
        <f t="array" ref="T9266">IF(OR(B9266="MAL ALIMI", B9266="ÜRETİM GİRİŞ"), MIN(I9266, MAX(0, I9266 + SUM(SUMIFS($I$1:I9265, $C$1:C9265, C9266, $B$1:B9265, {"MAL ALIMI","ÜRETİM GİRİŞ"})) - VLOOKUP(C9266, 'STOK RAPORU'!$C$2:$I$1000, 4, 0))), 0)</f>
        <v>0</v>
      </c>
      <c r="U9266" s="22">
        <f t="shared" si="644"/>
        <v>0</v>
      </c>
      <c r="V9266">
        <f t="shared" si="645"/>
        <v>0</v>
      </c>
      <c r="W9266" s="22">
        <f t="shared" si="646"/>
        <v>0</v>
      </c>
    </row>
    <row r="9267" spans="1:23" hidden="1" x14ac:dyDescent="0.25">
      <c r="A9267" s="4"/>
      <c r="B9267" s="4"/>
      <c r="C9267" s="4"/>
      <c r="D9267" s="4"/>
      <c r="E9267" s="4"/>
      <c r="F9267" s="4"/>
      <c r="G9267" s="4"/>
      <c r="H9267" s="4"/>
      <c r="I9267" s="4"/>
      <c r="J9267" s="21">
        <f>IFERROR(VLOOKUP(C9267,'STOK KARTLARI'!$C$2:$K$2150,8,0),0)</f>
        <v>0</v>
      </c>
      <c r="K9267" s="21">
        <f t="shared" ref="K9267:K9330" si="647">IF(AND(B9267="MAL SATIŞI", H9267="POS"),I9267*J9267,0)</f>
        <v>0</v>
      </c>
      <c r="L9267" s="5">
        <f t="shared" si="641"/>
        <v>0</v>
      </c>
      <c r="M9267" s="4"/>
      <c r="N9267" s="4"/>
      <c r="O9267" s="5"/>
      <c r="P9267" s="5"/>
      <c r="Q9267" s="21">
        <f t="shared" si="642"/>
        <v>0</v>
      </c>
      <c r="R9267" s="21">
        <f t="shared" ref="R9267:R9330" si="648">IF(AND(E9267="", B9267&lt;&gt;"MAL SATIŞI"),I9267*J9267,0)</f>
        <v>0</v>
      </c>
      <c r="S9267" s="5">
        <f t="shared" si="643"/>
        <v>70007.077158325032</v>
      </c>
      <c r="T9267" cm="1">
        <f t="array" ref="T9267">IF(OR(B9267="MAL ALIMI", B9267="ÜRETİM GİRİŞ"), MIN(I9267, MAX(0, I9267 + SUM(SUMIFS($I$1:I9266, $C$1:C9266, C9267, $B$1:B9266, {"MAL ALIMI","ÜRETİM GİRİŞ"})) - VLOOKUP(C9267, 'STOK RAPORU'!$C$2:$I$1000, 4, 0))), 0)</f>
        <v>0</v>
      </c>
      <c r="U9267" s="22">
        <f t="shared" si="644"/>
        <v>0</v>
      </c>
      <c r="V9267">
        <f t="shared" si="645"/>
        <v>0</v>
      </c>
      <c r="W9267" s="22">
        <f t="shared" si="646"/>
        <v>0</v>
      </c>
    </row>
    <row r="9268" spans="1:23" hidden="1" x14ac:dyDescent="0.25">
      <c r="A9268" s="4"/>
      <c r="B9268" s="4"/>
      <c r="C9268" s="4"/>
      <c r="D9268" s="4"/>
      <c r="E9268" s="4"/>
      <c r="F9268" s="4"/>
      <c r="G9268" s="4"/>
      <c r="H9268" s="4"/>
      <c r="I9268" s="4"/>
      <c r="J9268" s="21">
        <f>IFERROR(VLOOKUP(C9268,'STOK KARTLARI'!$C$2:$K$2150,8,0),0)</f>
        <v>0</v>
      </c>
      <c r="K9268" s="21">
        <f t="shared" si="647"/>
        <v>0</v>
      </c>
      <c r="L9268" s="5">
        <f t="shared" ref="L9268:L9331" si="649">IF(OR(E9268="", H9268="POS"),0,I9268*J9268)</f>
        <v>0</v>
      </c>
      <c r="M9268" s="4"/>
      <c r="N9268" s="4"/>
      <c r="O9268" s="5"/>
      <c r="P9268" s="5"/>
      <c r="Q9268" s="21">
        <f t="shared" ref="Q9268:Q9331" si="650">IF(AND(E9268="", B9268="MAL SATIŞI", H9268="NAKİT"),I9268*J9268,0)</f>
        <v>0</v>
      </c>
      <c r="R9268" s="21">
        <f t="shared" si="648"/>
        <v>0</v>
      </c>
      <c r="S9268" s="5">
        <f t="shared" si="643"/>
        <v>70007.077158325032</v>
      </c>
      <c r="T9268" cm="1">
        <f t="array" ref="T9268">IF(OR(B9268="MAL ALIMI", B9268="ÜRETİM GİRİŞ"), MIN(I9268, MAX(0, I9268 + SUM(SUMIFS($I$1:I9267, $C$1:C9267, C9268, $B$1:B9267, {"MAL ALIMI","ÜRETİM GİRİŞ"})) - VLOOKUP(C9268, 'STOK RAPORU'!$C$2:$I$1000, 4, 0))), 0)</f>
        <v>0</v>
      </c>
      <c r="U9268" s="22">
        <f t="shared" si="644"/>
        <v>0</v>
      </c>
      <c r="V9268">
        <f t="shared" si="645"/>
        <v>0</v>
      </c>
      <c r="W9268" s="22">
        <f t="shared" si="646"/>
        <v>0</v>
      </c>
    </row>
    <row r="9269" spans="1:23" hidden="1" x14ac:dyDescent="0.25">
      <c r="A9269" s="4"/>
      <c r="B9269" s="4"/>
      <c r="C9269" s="4"/>
      <c r="D9269" s="4"/>
      <c r="E9269" s="4"/>
      <c r="F9269" s="4"/>
      <c r="G9269" s="4"/>
      <c r="H9269" s="4"/>
      <c r="I9269" s="4"/>
      <c r="J9269" s="21">
        <f>IFERROR(VLOOKUP(C9269,'STOK KARTLARI'!$C$2:$K$2150,8,0),0)</f>
        <v>0</v>
      </c>
      <c r="K9269" s="21">
        <f t="shared" si="647"/>
        <v>0</v>
      </c>
      <c r="L9269" s="5">
        <f t="shared" si="649"/>
        <v>0</v>
      </c>
      <c r="M9269" s="4"/>
      <c r="N9269" s="4"/>
      <c r="O9269" s="5"/>
      <c r="P9269" s="5"/>
      <c r="Q9269" s="21">
        <f t="shared" si="650"/>
        <v>0</v>
      </c>
      <c r="R9269" s="21">
        <f t="shared" si="648"/>
        <v>0</v>
      </c>
      <c r="S9269" s="5">
        <f t="shared" si="643"/>
        <v>70007.077158325032</v>
      </c>
      <c r="T9269" cm="1">
        <f t="array" ref="T9269">IF(OR(B9269="MAL ALIMI", B9269="ÜRETİM GİRİŞ"), MIN(I9269, MAX(0, I9269 + SUM(SUMIFS($I$1:I9268, $C$1:C9268, C9269, $B$1:B9268, {"MAL ALIMI","ÜRETİM GİRİŞ"})) - VLOOKUP(C9269, 'STOK RAPORU'!$C$2:$I$1000, 4, 0))), 0)</f>
        <v>0</v>
      </c>
      <c r="U9269" s="22">
        <f t="shared" si="644"/>
        <v>0</v>
      </c>
      <c r="V9269">
        <f t="shared" si="645"/>
        <v>0</v>
      </c>
      <c r="W9269" s="22">
        <f t="shared" si="646"/>
        <v>0</v>
      </c>
    </row>
    <row r="9270" spans="1:23" hidden="1" x14ac:dyDescent="0.25">
      <c r="A9270" s="4"/>
      <c r="B9270" s="4"/>
      <c r="C9270" s="4"/>
      <c r="D9270" s="4"/>
      <c r="E9270" s="4"/>
      <c r="F9270" s="4"/>
      <c r="G9270" s="4"/>
      <c r="H9270" s="4"/>
      <c r="I9270" s="4"/>
      <c r="J9270" s="21">
        <f>IFERROR(VLOOKUP(C9270,'STOK KARTLARI'!$C$2:$K$2150,8,0),0)</f>
        <v>0</v>
      </c>
      <c r="K9270" s="21">
        <f t="shared" si="647"/>
        <v>0</v>
      </c>
      <c r="L9270" s="5">
        <f t="shared" si="649"/>
        <v>0</v>
      </c>
      <c r="M9270" s="4"/>
      <c r="N9270" s="4"/>
      <c r="O9270" s="5"/>
      <c r="P9270" s="5"/>
      <c r="Q9270" s="21">
        <f t="shared" si="650"/>
        <v>0</v>
      </c>
      <c r="R9270" s="21">
        <f t="shared" si="648"/>
        <v>0</v>
      </c>
      <c r="S9270" s="5">
        <f t="shared" si="643"/>
        <v>70007.077158325032</v>
      </c>
      <c r="T9270" cm="1">
        <f t="array" ref="T9270">IF(OR(B9270="MAL ALIMI", B9270="ÜRETİM GİRİŞ"), MIN(I9270, MAX(0, I9270 + SUM(SUMIFS($I$1:I9269, $C$1:C9269, C9270, $B$1:B9269, {"MAL ALIMI","ÜRETİM GİRİŞ"})) - VLOOKUP(C9270, 'STOK RAPORU'!$C$2:$I$1000, 4, 0))), 0)</f>
        <v>0</v>
      </c>
      <c r="U9270" s="22">
        <f t="shared" si="644"/>
        <v>0</v>
      </c>
      <c r="V9270">
        <f t="shared" si="645"/>
        <v>0</v>
      </c>
      <c r="W9270" s="22">
        <f t="shared" si="646"/>
        <v>0</v>
      </c>
    </row>
    <row r="9271" spans="1:23" hidden="1" x14ac:dyDescent="0.25">
      <c r="A9271" s="4"/>
      <c r="B9271" s="4"/>
      <c r="C9271" s="4"/>
      <c r="D9271" s="4"/>
      <c r="E9271" s="4"/>
      <c r="F9271" s="4"/>
      <c r="G9271" s="4"/>
      <c r="H9271" s="4"/>
      <c r="I9271" s="4"/>
      <c r="J9271" s="21">
        <f>IFERROR(VLOOKUP(C9271,'STOK KARTLARI'!$C$2:$K$2150,8,0),0)</f>
        <v>0</v>
      </c>
      <c r="K9271" s="21">
        <f t="shared" si="647"/>
        <v>0</v>
      </c>
      <c r="L9271" s="5">
        <f t="shared" si="649"/>
        <v>0</v>
      </c>
      <c r="M9271" s="4"/>
      <c r="N9271" s="4"/>
      <c r="O9271" s="5"/>
      <c r="P9271" s="5"/>
      <c r="Q9271" s="21">
        <f t="shared" si="650"/>
        <v>0</v>
      </c>
      <c r="R9271" s="21">
        <f t="shared" si="648"/>
        <v>0</v>
      </c>
      <c r="S9271" s="5">
        <f t="shared" si="643"/>
        <v>70007.077158325032</v>
      </c>
      <c r="T9271" cm="1">
        <f t="array" ref="T9271">IF(OR(B9271="MAL ALIMI", B9271="ÜRETİM GİRİŞ"), MIN(I9271, MAX(0, I9271 + SUM(SUMIFS($I$1:I9270, $C$1:C9270, C9271, $B$1:B9270, {"MAL ALIMI","ÜRETİM GİRİŞ"})) - VLOOKUP(C9271, 'STOK RAPORU'!$C$2:$I$1000, 4, 0))), 0)</f>
        <v>0</v>
      </c>
      <c r="U9271" s="22">
        <f t="shared" si="644"/>
        <v>0</v>
      </c>
      <c r="V9271">
        <f t="shared" si="645"/>
        <v>0</v>
      </c>
      <c r="W9271" s="22">
        <f t="shared" si="646"/>
        <v>0</v>
      </c>
    </row>
    <row r="9272" spans="1:23" hidden="1" x14ac:dyDescent="0.25">
      <c r="A9272" s="4"/>
      <c r="B9272" s="4"/>
      <c r="C9272" s="4"/>
      <c r="D9272" s="4"/>
      <c r="E9272" s="4"/>
      <c r="F9272" s="4"/>
      <c r="G9272" s="4"/>
      <c r="H9272" s="4"/>
      <c r="I9272" s="4"/>
      <c r="J9272" s="21">
        <f>IFERROR(VLOOKUP(C9272,'STOK KARTLARI'!$C$2:$K$2150,8,0),0)</f>
        <v>0</v>
      </c>
      <c r="K9272" s="21">
        <f t="shared" si="647"/>
        <v>0</v>
      </c>
      <c r="L9272" s="5">
        <f t="shared" si="649"/>
        <v>0</v>
      </c>
      <c r="M9272" s="4"/>
      <c r="N9272" s="4"/>
      <c r="O9272" s="5"/>
      <c r="P9272" s="5"/>
      <c r="Q9272" s="21">
        <f t="shared" si="650"/>
        <v>0</v>
      </c>
      <c r="R9272" s="21">
        <f t="shared" si="648"/>
        <v>0</v>
      </c>
      <c r="S9272" s="5">
        <f t="shared" si="643"/>
        <v>70007.077158325032</v>
      </c>
      <c r="T9272" cm="1">
        <f t="array" ref="T9272">IF(OR(B9272="MAL ALIMI", B9272="ÜRETİM GİRİŞ"), MIN(I9272, MAX(0, I9272 + SUM(SUMIFS($I$1:I9271, $C$1:C9271, C9272, $B$1:B9271, {"MAL ALIMI","ÜRETİM GİRİŞ"})) - VLOOKUP(C9272, 'STOK RAPORU'!$C$2:$I$1000, 4, 0))), 0)</f>
        <v>0</v>
      </c>
      <c r="U9272" s="22">
        <f t="shared" si="644"/>
        <v>0</v>
      </c>
      <c r="V9272">
        <f t="shared" si="645"/>
        <v>0</v>
      </c>
      <c r="W9272" s="22">
        <f t="shared" si="646"/>
        <v>0</v>
      </c>
    </row>
    <row r="9273" spans="1:23" hidden="1" x14ac:dyDescent="0.25">
      <c r="A9273" s="3"/>
      <c r="B9273" s="4"/>
      <c r="C9273" s="4"/>
      <c r="D9273" s="4"/>
      <c r="E9273" s="4"/>
      <c r="F9273" s="4"/>
      <c r="G9273" s="4"/>
      <c r="H9273" s="4"/>
      <c r="I9273" s="4"/>
      <c r="J9273" s="21">
        <f>IFERROR(VLOOKUP(C9273,'STOK KARTLARI'!$C$2:$K$2150,8,0),0)</f>
        <v>0</v>
      </c>
      <c r="K9273" s="21">
        <f t="shared" si="647"/>
        <v>0</v>
      </c>
      <c r="L9273" s="5">
        <f t="shared" si="649"/>
        <v>0</v>
      </c>
      <c r="M9273" s="4"/>
      <c r="N9273" s="4"/>
      <c r="O9273" s="5"/>
      <c r="P9273" s="5"/>
      <c r="Q9273" s="21">
        <f t="shared" si="650"/>
        <v>0</v>
      </c>
      <c r="R9273" s="21">
        <f t="shared" si="648"/>
        <v>0</v>
      </c>
      <c r="S9273" s="5">
        <f t="shared" si="643"/>
        <v>70007.077158325032</v>
      </c>
      <c r="T9273" cm="1">
        <f t="array" ref="T9273">IF(OR(B9273="MAL ALIMI", B9273="ÜRETİM GİRİŞ"), MIN(I9273, MAX(0, I9273 + SUM(SUMIFS($I$1:I9272, $C$1:C9272, C9273, $B$1:B9272, {"MAL ALIMI","ÜRETİM GİRİŞ"})) - VLOOKUP(C9273, 'STOK RAPORU'!$C$2:$I$1000, 4, 0))), 0)</f>
        <v>0</v>
      </c>
      <c r="U9273" s="22">
        <f t="shared" si="644"/>
        <v>0</v>
      </c>
      <c r="V9273">
        <f t="shared" si="645"/>
        <v>0</v>
      </c>
      <c r="W9273" s="22">
        <f t="shared" si="646"/>
        <v>0</v>
      </c>
    </row>
    <row r="9274" spans="1:23" hidden="1" x14ac:dyDescent="0.25">
      <c r="A9274" s="4"/>
      <c r="B9274" s="4"/>
      <c r="C9274" s="4"/>
      <c r="D9274" s="4"/>
      <c r="E9274" s="4"/>
      <c r="F9274" s="4"/>
      <c r="G9274" s="4"/>
      <c r="H9274" s="4"/>
      <c r="I9274" s="4"/>
      <c r="J9274" s="21">
        <f>IFERROR(VLOOKUP(C9274,'STOK KARTLARI'!$C$2:$K$2150,8,0),0)</f>
        <v>0</v>
      </c>
      <c r="K9274" s="21">
        <f t="shared" si="647"/>
        <v>0</v>
      </c>
      <c r="L9274" s="5">
        <f t="shared" si="649"/>
        <v>0</v>
      </c>
      <c r="M9274" s="4"/>
      <c r="N9274" s="4"/>
      <c r="O9274" s="5"/>
      <c r="P9274" s="5"/>
      <c r="Q9274" s="21">
        <f t="shared" si="650"/>
        <v>0</v>
      </c>
      <c r="R9274" s="21">
        <f t="shared" si="648"/>
        <v>0</v>
      </c>
      <c r="S9274" s="5">
        <f t="shared" si="643"/>
        <v>70007.077158325032</v>
      </c>
      <c r="T9274" cm="1">
        <f t="array" ref="T9274">IF(OR(B9274="MAL ALIMI", B9274="ÜRETİM GİRİŞ"), MIN(I9274, MAX(0, I9274 + SUM(SUMIFS($I$1:I9273, $C$1:C9273, C9274, $B$1:B9273, {"MAL ALIMI","ÜRETİM GİRİŞ"})) - VLOOKUP(C9274, 'STOK RAPORU'!$C$2:$I$1000, 4, 0))), 0)</f>
        <v>0</v>
      </c>
      <c r="U9274" s="22">
        <f t="shared" si="644"/>
        <v>0</v>
      </c>
      <c r="V9274">
        <f t="shared" si="645"/>
        <v>0</v>
      </c>
      <c r="W9274" s="22">
        <f t="shared" si="646"/>
        <v>0</v>
      </c>
    </row>
    <row r="9275" spans="1:23" hidden="1" x14ac:dyDescent="0.25">
      <c r="A9275" s="4"/>
      <c r="B9275" s="4"/>
      <c r="C9275" s="4"/>
      <c r="D9275" s="4"/>
      <c r="E9275" s="4"/>
      <c r="F9275" s="4"/>
      <c r="G9275" s="4"/>
      <c r="H9275" s="4"/>
      <c r="I9275" s="4"/>
      <c r="J9275" s="21">
        <f>IFERROR(VLOOKUP(C9275,'STOK KARTLARI'!$C$2:$K$2150,8,0),0)</f>
        <v>0</v>
      </c>
      <c r="K9275" s="21">
        <f t="shared" si="647"/>
        <v>0</v>
      </c>
      <c r="L9275" s="5">
        <f t="shared" si="649"/>
        <v>0</v>
      </c>
      <c r="M9275" s="4"/>
      <c r="N9275" s="4"/>
      <c r="O9275" s="5"/>
      <c r="P9275" s="5"/>
      <c r="Q9275" s="21">
        <f t="shared" si="650"/>
        <v>0</v>
      </c>
      <c r="R9275" s="21">
        <f t="shared" si="648"/>
        <v>0</v>
      </c>
      <c r="S9275" s="5">
        <f t="shared" si="643"/>
        <v>70007.077158325032</v>
      </c>
      <c r="T9275" cm="1">
        <f t="array" ref="T9275">IF(OR(B9275="MAL ALIMI", B9275="ÜRETİM GİRİŞ"), MIN(I9275, MAX(0, I9275 + SUM(SUMIFS($I$1:I9274, $C$1:C9274, C9275, $B$1:B9274, {"MAL ALIMI","ÜRETİM GİRİŞ"})) - VLOOKUP(C9275, 'STOK RAPORU'!$C$2:$I$1000, 4, 0))), 0)</f>
        <v>0</v>
      </c>
      <c r="U9275" s="22">
        <f t="shared" si="644"/>
        <v>0</v>
      </c>
      <c r="V9275">
        <f t="shared" si="645"/>
        <v>0</v>
      </c>
      <c r="W9275" s="22">
        <f t="shared" si="646"/>
        <v>0</v>
      </c>
    </row>
    <row r="9276" spans="1:23" hidden="1" x14ac:dyDescent="0.25">
      <c r="A9276" s="4"/>
      <c r="B9276" s="4"/>
      <c r="C9276" s="4"/>
      <c r="D9276" s="4"/>
      <c r="E9276" s="4"/>
      <c r="F9276" s="4"/>
      <c r="G9276" s="4"/>
      <c r="H9276" s="4"/>
      <c r="I9276" s="4"/>
      <c r="J9276" s="21">
        <f>IFERROR(VLOOKUP(C9276,'STOK KARTLARI'!$C$2:$K$2150,8,0),0)</f>
        <v>0</v>
      </c>
      <c r="K9276" s="21">
        <f t="shared" si="647"/>
        <v>0</v>
      </c>
      <c r="L9276" s="5">
        <f t="shared" si="649"/>
        <v>0</v>
      </c>
      <c r="M9276" s="4"/>
      <c r="N9276" s="4"/>
      <c r="O9276" s="5"/>
      <c r="P9276" s="5"/>
      <c r="Q9276" s="21">
        <f t="shared" si="650"/>
        <v>0</v>
      </c>
      <c r="R9276" s="21">
        <f t="shared" si="648"/>
        <v>0</v>
      </c>
      <c r="S9276" s="5">
        <f t="shared" si="643"/>
        <v>70007.077158325032</v>
      </c>
      <c r="T9276" cm="1">
        <f t="array" ref="T9276">IF(OR(B9276="MAL ALIMI", B9276="ÜRETİM GİRİŞ"), MIN(I9276, MAX(0, I9276 + SUM(SUMIFS($I$1:I9275, $C$1:C9275, C9276, $B$1:B9275, {"MAL ALIMI","ÜRETİM GİRİŞ"})) - VLOOKUP(C9276, 'STOK RAPORU'!$C$2:$I$1000, 4, 0))), 0)</f>
        <v>0</v>
      </c>
      <c r="U9276" s="22">
        <f t="shared" si="644"/>
        <v>0</v>
      </c>
      <c r="V9276">
        <f t="shared" si="645"/>
        <v>0</v>
      </c>
      <c r="W9276" s="22">
        <f t="shared" si="646"/>
        <v>0</v>
      </c>
    </row>
    <row r="9277" spans="1:23" hidden="1" x14ac:dyDescent="0.25">
      <c r="A9277" s="4"/>
      <c r="B9277" s="4"/>
      <c r="C9277" s="4"/>
      <c r="D9277" s="4"/>
      <c r="E9277" s="4"/>
      <c r="F9277" s="4"/>
      <c r="G9277" s="4"/>
      <c r="H9277" s="4"/>
      <c r="I9277" s="4"/>
      <c r="J9277" s="21">
        <f>IFERROR(VLOOKUP(C9277,'STOK KARTLARI'!$C$2:$K$2150,8,0),0)</f>
        <v>0</v>
      </c>
      <c r="K9277" s="21">
        <f t="shared" si="647"/>
        <v>0</v>
      </c>
      <c r="L9277" s="5">
        <f t="shared" si="649"/>
        <v>0</v>
      </c>
      <c r="M9277" s="4"/>
      <c r="N9277" s="4"/>
      <c r="O9277" s="5"/>
      <c r="P9277" s="5"/>
      <c r="Q9277" s="21">
        <f t="shared" si="650"/>
        <v>0</v>
      </c>
      <c r="R9277" s="21">
        <f t="shared" si="648"/>
        <v>0</v>
      </c>
      <c r="S9277" s="5">
        <f t="shared" si="643"/>
        <v>70007.077158325032</v>
      </c>
      <c r="T9277" cm="1">
        <f t="array" ref="T9277">IF(OR(B9277="MAL ALIMI", B9277="ÜRETİM GİRİŞ"), MIN(I9277, MAX(0, I9277 + SUM(SUMIFS($I$1:I9276, $C$1:C9276, C9277, $B$1:B9276, {"MAL ALIMI","ÜRETİM GİRİŞ"})) - VLOOKUP(C9277, 'STOK RAPORU'!$C$2:$I$1000, 4, 0))), 0)</f>
        <v>0</v>
      </c>
      <c r="U9277" s="22">
        <f t="shared" si="644"/>
        <v>0</v>
      </c>
      <c r="V9277">
        <f t="shared" si="645"/>
        <v>0</v>
      </c>
      <c r="W9277" s="22">
        <f t="shared" si="646"/>
        <v>0</v>
      </c>
    </row>
    <row r="9278" spans="1:23" hidden="1" x14ac:dyDescent="0.25">
      <c r="A9278" s="4"/>
      <c r="B9278" s="4"/>
      <c r="C9278" s="4"/>
      <c r="D9278" s="4"/>
      <c r="E9278" s="4"/>
      <c r="F9278" s="4"/>
      <c r="G9278" s="4"/>
      <c r="H9278" s="4"/>
      <c r="I9278" s="4"/>
      <c r="J9278" s="21">
        <f>IFERROR(VLOOKUP(C9278,'STOK KARTLARI'!$C$2:$K$2150,8,0),0)</f>
        <v>0</v>
      </c>
      <c r="K9278" s="21">
        <f t="shared" si="647"/>
        <v>0</v>
      </c>
      <c r="L9278" s="5">
        <f t="shared" si="649"/>
        <v>0</v>
      </c>
      <c r="M9278" s="4"/>
      <c r="N9278" s="4"/>
      <c r="O9278" s="5"/>
      <c r="P9278" s="5"/>
      <c r="Q9278" s="21">
        <f t="shared" si="650"/>
        <v>0</v>
      </c>
      <c r="R9278" s="21">
        <f t="shared" si="648"/>
        <v>0</v>
      </c>
      <c r="S9278" s="5">
        <f t="shared" si="643"/>
        <v>70007.077158325032</v>
      </c>
      <c r="T9278" cm="1">
        <f t="array" ref="T9278">IF(OR(B9278="MAL ALIMI", B9278="ÜRETİM GİRİŞ"), MIN(I9278, MAX(0, I9278 + SUM(SUMIFS($I$1:I9277, $C$1:C9277, C9278, $B$1:B9277, {"MAL ALIMI","ÜRETİM GİRİŞ"})) - VLOOKUP(C9278, 'STOK RAPORU'!$C$2:$I$1000, 4, 0))), 0)</f>
        <v>0</v>
      </c>
      <c r="U9278" s="22">
        <f t="shared" si="644"/>
        <v>0</v>
      </c>
      <c r="V9278">
        <f t="shared" si="645"/>
        <v>0</v>
      </c>
      <c r="W9278" s="22">
        <f t="shared" si="646"/>
        <v>0</v>
      </c>
    </row>
    <row r="9279" spans="1:23" hidden="1" x14ac:dyDescent="0.25">
      <c r="A9279" s="4"/>
      <c r="B9279" s="4"/>
      <c r="C9279" s="4"/>
      <c r="D9279" s="4"/>
      <c r="E9279" s="4"/>
      <c r="F9279" s="4"/>
      <c r="G9279" s="4"/>
      <c r="H9279" s="4"/>
      <c r="I9279" s="4"/>
      <c r="J9279" s="21">
        <f>IFERROR(VLOOKUP(C9279,'STOK KARTLARI'!$C$2:$K$2150,8,0),0)</f>
        <v>0</v>
      </c>
      <c r="K9279" s="21">
        <f t="shared" si="647"/>
        <v>0</v>
      </c>
      <c r="L9279" s="5">
        <f t="shared" si="649"/>
        <v>0</v>
      </c>
      <c r="M9279" s="4"/>
      <c r="N9279" s="4"/>
      <c r="O9279" s="5"/>
      <c r="P9279" s="5"/>
      <c r="Q9279" s="21">
        <f t="shared" si="650"/>
        <v>0</v>
      </c>
      <c r="R9279" s="21">
        <f t="shared" si="648"/>
        <v>0</v>
      </c>
      <c r="S9279" s="5">
        <f t="shared" si="643"/>
        <v>70007.077158325032</v>
      </c>
      <c r="T9279" cm="1">
        <f t="array" ref="T9279">IF(OR(B9279="MAL ALIMI", B9279="ÜRETİM GİRİŞ"), MIN(I9279, MAX(0, I9279 + SUM(SUMIFS($I$1:I9278, $C$1:C9278, C9279, $B$1:B9278, {"MAL ALIMI","ÜRETİM GİRİŞ"})) - VLOOKUP(C9279, 'STOK RAPORU'!$C$2:$I$1000, 4, 0))), 0)</f>
        <v>0</v>
      </c>
      <c r="U9279" s="22">
        <f t="shared" si="644"/>
        <v>0</v>
      </c>
      <c r="V9279">
        <f t="shared" si="645"/>
        <v>0</v>
      </c>
      <c r="W9279" s="22">
        <f t="shared" si="646"/>
        <v>0</v>
      </c>
    </row>
    <row r="9280" spans="1:23" hidden="1" x14ac:dyDescent="0.25">
      <c r="A9280" s="3"/>
      <c r="B9280" s="4"/>
      <c r="C9280" s="4"/>
      <c r="D9280" s="4"/>
      <c r="E9280" s="4"/>
      <c r="F9280" s="4"/>
      <c r="G9280" s="4"/>
      <c r="H9280" s="4"/>
      <c r="I9280" s="4"/>
      <c r="J9280" s="21">
        <f>IFERROR(VLOOKUP(C9280,'STOK KARTLARI'!$C$2:$K$2150,8,0),0)</f>
        <v>0</v>
      </c>
      <c r="K9280" s="21">
        <f t="shared" si="647"/>
        <v>0</v>
      </c>
      <c r="L9280" s="5">
        <f t="shared" si="649"/>
        <v>0</v>
      </c>
      <c r="M9280" s="4"/>
      <c r="N9280" s="4"/>
      <c r="O9280" s="5"/>
      <c r="P9280" s="5"/>
      <c r="Q9280" s="21">
        <f t="shared" si="650"/>
        <v>0</v>
      </c>
      <c r="R9280" s="21">
        <f t="shared" si="648"/>
        <v>0</v>
      </c>
      <c r="S9280" s="5">
        <f t="shared" si="643"/>
        <v>70007.077158325032</v>
      </c>
      <c r="T9280" cm="1">
        <f t="array" ref="T9280">IF(OR(B9280="MAL ALIMI", B9280="ÜRETİM GİRİŞ"), MIN(I9280, MAX(0, I9280 + SUM(SUMIFS($I$1:I9279, $C$1:C9279, C9280, $B$1:B9279, {"MAL ALIMI","ÜRETİM GİRİŞ"})) - VLOOKUP(C9280, 'STOK RAPORU'!$C$2:$I$1000, 4, 0))), 0)</f>
        <v>0</v>
      </c>
      <c r="U9280" s="22">
        <f t="shared" si="644"/>
        <v>0</v>
      </c>
      <c r="V9280">
        <f t="shared" si="645"/>
        <v>0</v>
      </c>
      <c r="W9280" s="22">
        <f t="shared" si="646"/>
        <v>0</v>
      </c>
    </row>
    <row r="9281" spans="1:23" hidden="1" x14ac:dyDescent="0.25">
      <c r="A9281" s="4"/>
      <c r="B9281" s="4"/>
      <c r="C9281" s="4"/>
      <c r="D9281" s="4"/>
      <c r="E9281" s="4"/>
      <c r="F9281" s="4"/>
      <c r="G9281" s="4"/>
      <c r="H9281" s="4"/>
      <c r="I9281" s="4"/>
      <c r="J9281" s="21">
        <f>IFERROR(VLOOKUP(C9281,'STOK KARTLARI'!$C$2:$K$2150,8,0),0)</f>
        <v>0</v>
      </c>
      <c r="K9281" s="21">
        <f t="shared" si="647"/>
        <v>0</v>
      </c>
      <c r="L9281" s="5">
        <f t="shared" si="649"/>
        <v>0</v>
      </c>
      <c r="M9281" s="4"/>
      <c r="N9281" s="4"/>
      <c r="O9281" s="5"/>
      <c r="P9281" s="5"/>
      <c r="Q9281" s="21">
        <f t="shared" si="650"/>
        <v>0</v>
      </c>
      <c r="R9281" s="21">
        <f t="shared" si="648"/>
        <v>0</v>
      </c>
      <c r="S9281" s="5">
        <f t="shared" si="643"/>
        <v>70007.077158325032</v>
      </c>
      <c r="T9281" cm="1">
        <f t="array" ref="T9281">IF(OR(B9281="MAL ALIMI", B9281="ÜRETİM GİRİŞ"), MIN(I9281, MAX(0, I9281 + SUM(SUMIFS($I$1:I9280, $C$1:C9280, C9281, $B$1:B9280, {"MAL ALIMI","ÜRETİM GİRİŞ"})) - VLOOKUP(C9281, 'STOK RAPORU'!$C$2:$I$1000, 4, 0))), 0)</f>
        <v>0</v>
      </c>
      <c r="U9281" s="22">
        <f t="shared" si="644"/>
        <v>0</v>
      </c>
      <c r="V9281">
        <f t="shared" si="645"/>
        <v>0</v>
      </c>
      <c r="W9281" s="22">
        <f t="shared" si="646"/>
        <v>0</v>
      </c>
    </row>
    <row r="9282" spans="1:23" hidden="1" x14ac:dyDescent="0.25">
      <c r="A9282" s="4"/>
      <c r="B9282" s="4"/>
      <c r="C9282" s="4"/>
      <c r="D9282" s="4"/>
      <c r="E9282" s="4"/>
      <c r="F9282" s="4"/>
      <c r="G9282" s="4"/>
      <c r="H9282" s="4"/>
      <c r="I9282" s="4"/>
      <c r="J9282" s="21">
        <f>IFERROR(VLOOKUP(C9282,'STOK KARTLARI'!$C$2:$K$2150,8,0),0)</f>
        <v>0</v>
      </c>
      <c r="K9282" s="21">
        <f t="shared" si="647"/>
        <v>0</v>
      </c>
      <c r="L9282" s="5">
        <f t="shared" si="649"/>
        <v>0</v>
      </c>
      <c r="M9282" s="4"/>
      <c r="N9282" s="4"/>
      <c r="O9282" s="5"/>
      <c r="P9282" s="5"/>
      <c r="Q9282" s="21">
        <f t="shared" si="650"/>
        <v>0</v>
      </c>
      <c r="R9282" s="21">
        <f t="shared" si="648"/>
        <v>0</v>
      </c>
      <c r="S9282" s="5">
        <f t="shared" si="643"/>
        <v>70007.077158325032</v>
      </c>
      <c r="T9282" cm="1">
        <f t="array" ref="T9282">IF(OR(B9282="MAL ALIMI", B9282="ÜRETİM GİRİŞ"), MIN(I9282, MAX(0, I9282 + SUM(SUMIFS($I$1:I9281, $C$1:C9281, C9282, $B$1:B9281, {"MAL ALIMI","ÜRETİM GİRİŞ"})) - VLOOKUP(C9282, 'STOK RAPORU'!$C$2:$I$1000, 4, 0))), 0)</f>
        <v>0</v>
      </c>
      <c r="U9282" s="22">
        <f t="shared" si="644"/>
        <v>0</v>
      </c>
      <c r="V9282">
        <f t="shared" si="645"/>
        <v>0</v>
      </c>
      <c r="W9282" s="22">
        <f t="shared" si="646"/>
        <v>0</v>
      </c>
    </row>
    <row r="9283" spans="1:23" hidden="1" x14ac:dyDescent="0.25">
      <c r="A9283" s="4"/>
      <c r="B9283" s="4"/>
      <c r="C9283" s="4"/>
      <c r="D9283" s="4"/>
      <c r="E9283" s="4"/>
      <c r="F9283" s="4"/>
      <c r="G9283" s="4"/>
      <c r="H9283" s="4"/>
      <c r="I9283" s="4"/>
      <c r="J9283" s="21">
        <f>IFERROR(VLOOKUP(C9283,'STOK KARTLARI'!$C$2:$K$2150,8,0),0)</f>
        <v>0</v>
      </c>
      <c r="K9283" s="21">
        <f t="shared" si="647"/>
        <v>0</v>
      </c>
      <c r="L9283" s="5">
        <f t="shared" si="649"/>
        <v>0</v>
      </c>
      <c r="M9283" s="4"/>
      <c r="N9283" s="4"/>
      <c r="O9283" s="5"/>
      <c r="P9283" s="5"/>
      <c r="Q9283" s="21">
        <f t="shared" si="650"/>
        <v>0</v>
      </c>
      <c r="R9283" s="21">
        <f t="shared" si="648"/>
        <v>0</v>
      </c>
      <c r="S9283" s="5">
        <f t="shared" si="643"/>
        <v>70007.077158325032</v>
      </c>
      <c r="T9283" cm="1">
        <f t="array" ref="T9283">IF(OR(B9283="MAL ALIMI", B9283="ÜRETİM GİRİŞ"), MIN(I9283, MAX(0, I9283 + SUM(SUMIFS($I$1:I9282, $C$1:C9282, C9283, $B$1:B9282, {"MAL ALIMI","ÜRETİM GİRİŞ"})) - VLOOKUP(C9283, 'STOK RAPORU'!$C$2:$I$1000, 4, 0))), 0)</f>
        <v>0</v>
      </c>
      <c r="U9283" s="22">
        <f t="shared" si="644"/>
        <v>0</v>
      </c>
      <c r="V9283">
        <f t="shared" si="645"/>
        <v>0</v>
      </c>
      <c r="W9283" s="22">
        <f t="shared" si="646"/>
        <v>0</v>
      </c>
    </row>
    <row r="9284" spans="1:23" hidden="1" x14ac:dyDescent="0.25">
      <c r="A9284" s="4"/>
      <c r="B9284" s="4"/>
      <c r="C9284" s="4"/>
      <c r="D9284" s="4"/>
      <c r="E9284" s="4"/>
      <c r="F9284" s="4"/>
      <c r="G9284" s="4"/>
      <c r="H9284" s="4"/>
      <c r="I9284" s="4"/>
      <c r="J9284" s="21">
        <f>IFERROR(VLOOKUP(C9284,'STOK KARTLARI'!$C$2:$K$2150,8,0),0)</f>
        <v>0</v>
      </c>
      <c r="K9284" s="21">
        <f t="shared" si="647"/>
        <v>0</v>
      </c>
      <c r="L9284" s="5">
        <f t="shared" si="649"/>
        <v>0</v>
      </c>
      <c r="M9284" s="4"/>
      <c r="N9284" s="4"/>
      <c r="O9284" s="5"/>
      <c r="P9284" s="5"/>
      <c r="Q9284" s="21">
        <f t="shared" si="650"/>
        <v>0</v>
      </c>
      <c r="R9284" s="21">
        <f t="shared" si="648"/>
        <v>0</v>
      </c>
      <c r="S9284" s="5">
        <f t="shared" si="643"/>
        <v>70007.077158325032</v>
      </c>
      <c r="T9284" cm="1">
        <f t="array" ref="T9284">IF(OR(B9284="MAL ALIMI", B9284="ÜRETİM GİRİŞ"), MIN(I9284, MAX(0, I9284 + SUM(SUMIFS($I$1:I9283, $C$1:C9283, C9284, $B$1:B9283, {"MAL ALIMI","ÜRETİM GİRİŞ"})) - VLOOKUP(C9284, 'STOK RAPORU'!$C$2:$I$1000, 4, 0))), 0)</f>
        <v>0</v>
      </c>
      <c r="U9284" s="22">
        <f t="shared" si="644"/>
        <v>0</v>
      </c>
      <c r="V9284">
        <f t="shared" si="645"/>
        <v>0</v>
      </c>
      <c r="W9284" s="22">
        <f t="shared" si="646"/>
        <v>0</v>
      </c>
    </row>
    <row r="9285" spans="1:23" hidden="1" x14ac:dyDescent="0.25">
      <c r="A9285" s="4"/>
      <c r="B9285" s="4"/>
      <c r="C9285" s="4"/>
      <c r="D9285" s="4"/>
      <c r="E9285" s="4"/>
      <c r="F9285" s="4"/>
      <c r="G9285" s="4"/>
      <c r="H9285" s="4"/>
      <c r="I9285" s="4"/>
      <c r="J9285" s="21">
        <f>IFERROR(VLOOKUP(C9285,'STOK KARTLARI'!$C$2:$K$2150,8,0),0)</f>
        <v>0</v>
      </c>
      <c r="K9285" s="21">
        <f t="shared" si="647"/>
        <v>0</v>
      </c>
      <c r="L9285" s="5">
        <f t="shared" si="649"/>
        <v>0</v>
      </c>
      <c r="M9285" s="4"/>
      <c r="N9285" s="4"/>
      <c r="O9285" s="5"/>
      <c r="P9285" s="5"/>
      <c r="Q9285" s="21">
        <f t="shared" si="650"/>
        <v>0</v>
      </c>
      <c r="R9285" s="21">
        <f t="shared" si="648"/>
        <v>0</v>
      </c>
      <c r="S9285" s="5">
        <f t="shared" ref="S9285:S9348" si="651">S9284+Q9285-R9285</f>
        <v>70007.077158325032</v>
      </c>
      <c r="T9285" cm="1">
        <f t="array" ref="T9285">IF(OR(B9285="MAL ALIMI", B9285="ÜRETİM GİRİŞ"), MIN(I9285, MAX(0, I9285 + SUM(SUMIFS($I$1:I9284, $C$1:C9284, C9285, $B$1:B9284, {"MAL ALIMI","ÜRETİM GİRİŞ"})) - VLOOKUP(C9285, 'STOK RAPORU'!$C$2:$I$1000, 4, 0))), 0)</f>
        <v>0</v>
      </c>
      <c r="U9285" s="22">
        <f t="shared" si="644"/>
        <v>0</v>
      </c>
      <c r="V9285">
        <f t="shared" si="645"/>
        <v>0</v>
      </c>
      <c r="W9285" s="22">
        <f t="shared" si="646"/>
        <v>0</v>
      </c>
    </row>
    <row r="9286" spans="1:23" hidden="1" x14ac:dyDescent="0.25">
      <c r="A9286" s="4"/>
      <c r="B9286" s="4"/>
      <c r="C9286" s="4"/>
      <c r="D9286" s="4"/>
      <c r="E9286" s="4"/>
      <c r="F9286" s="4"/>
      <c r="G9286" s="4"/>
      <c r="H9286" s="4"/>
      <c r="I9286" s="4"/>
      <c r="J9286" s="21">
        <f>IFERROR(VLOOKUP(C9286,'STOK KARTLARI'!$C$2:$K$2150,8,0),0)</f>
        <v>0</v>
      </c>
      <c r="K9286" s="21">
        <f t="shared" si="647"/>
        <v>0</v>
      </c>
      <c r="L9286" s="5">
        <f t="shared" si="649"/>
        <v>0</v>
      </c>
      <c r="M9286" s="4"/>
      <c r="N9286" s="4"/>
      <c r="O9286" s="5"/>
      <c r="P9286" s="5"/>
      <c r="Q9286" s="21">
        <f t="shared" si="650"/>
        <v>0</v>
      </c>
      <c r="R9286" s="21">
        <f t="shared" si="648"/>
        <v>0</v>
      </c>
      <c r="S9286" s="5">
        <f t="shared" si="651"/>
        <v>70007.077158325032</v>
      </c>
      <c r="T9286" cm="1">
        <f t="array" ref="T9286">IF(OR(B9286="MAL ALIMI", B9286="ÜRETİM GİRİŞ"), MIN(I9286, MAX(0, I9286 + SUM(SUMIFS($I$1:I9285, $C$1:C9285, C9286, $B$1:B9285, {"MAL ALIMI","ÜRETİM GİRİŞ"})) - VLOOKUP(C9286, 'STOK RAPORU'!$C$2:$I$1000, 4, 0))), 0)</f>
        <v>0</v>
      </c>
      <c r="U9286" s="22">
        <f t="shared" si="644"/>
        <v>0</v>
      </c>
      <c r="V9286">
        <f t="shared" si="645"/>
        <v>0</v>
      </c>
      <c r="W9286" s="22">
        <f t="shared" si="646"/>
        <v>0</v>
      </c>
    </row>
    <row r="9287" spans="1:23" hidden="1" x14ac:dyDescent="0.25">
      <c r="A9287" s="3"/>
      <c r="B9287" s="4"/>
      <c r="C9287" s="4"/>
      <c r="D9287" s="4"/>
      <c r="E9287" s="4"/>
      <c r="F9287" s="4"/>
      <c r="G9287" s="4"/>
      <c r="H9287" s="4"/>
      <c r="I9287" s="4"/>
      <c r="J9287" s="21">
        <f>IFERROR(VLOOKUP(C9287,'STOK KARTLARI'!$C$2:$K$2150,8,0),0)</f>
        <v>0</v>
      </c>
      <c r="K9287" s="21">
        <f t="shared" si="647"/>
        <v>0</v>
      </c>
      <c r="L9287" s="5">
        <f t="shared" si="649"/>
        <v>0</v>
      </c>
      <c r="M9287" s="4"/>
      <c r="N9287" s="4"/>
      <c r="O9287" s="5"/>
      <c r="P9287" s="5"/>
      <c r="Q9287" s="21">
        <f t="shared" si="650"/>
        <v>0</v>
      </c>
      <c r="R9287" s="21">
        <f t="shared" si="648"/>
        <v>0</v>
      </c>
      <c r="S9287" s="5">
        <f t="shared" si="651"/>
        <v>70007.077158325032</v>
      </c>
      <c r="T9287" cm="1">
        <f t="array" ref="T9287">IF(OR(B9287="MAL ALIMI", B9287="ÜRETİM GİRİŞ"), MIN(I9287, MAX(0, I9287 + SUM(SUMIFS($I$1:I9286, $C$1:C9286, C9287, $B$1:B9286, {"MAL ALIMI","ÜRETİM GİRİŞ"})) - VLOOKUP(C9287, 'STOK RAPORU'!$C$2:$I$1000, 4, 0))), 0)</f>
        <v>0</v>
      </c>
      <c r="U9287" s="22">
        <f t="shared" si="644"/>
        <v>0</v>
      </c>
      <c r="V9287">
        <f t="shared" si="645"/>
        <v>0</v>
      </c>
      <c r="W9287" s="22">
        <f t="shared" si="646"/>
        <v>0</v>
      </c>
    </row>
    <row r="9288" spans="1:23" hidden="1" x14ac:dyDescent="0.25">
      <c r="A9288" s="4"/>
      <c r="B9288" s="4"/>
      <c r="C9288" s="4"/>
      <c r="D9288" s="4"/>
      <c r="E9288" s="4"/>
      <c r="F9288" s="4"/>
      <c r="G9288" s="4"/>
      <c r="H9288" s="4"/>
      <c r="I9288" s="4"/>
      <c r="J9288" s="21">
        <f>IFERROR(VLOOKUP(C9288,'STOK KARTLARI'!$C$2:$K$2150,8,0),0)</f>
        <v>0</v>
      </c>
      <c r="K9288" s="21">
        <f t="shared" si="647"/>
        <v>0</v>
      </c>
      <c r="L9288" s="5">
        <f t="shared" si="649"/>
        <v>0</v>
      </c>
      <c r="M9288" s="4"/>
      <c r="N9288" s="4"/>
      <c r="O9288" s="5"/>
      <c r="P9288" s="5"/>
      <c r="Q9288" s="21">
        <f t="shared" si="650"/>
        <v>0</v>
      </c>
      <c r="R9288" s="21">
        <f t="shared" si="648"/>
        <v>0</v>
      </c>
      <c r="S9288" s="5">
        <f t="shared" si="651"/>
        <v>70007.077158325032</v>
      </c>
      <c r="T9288" cm="1">
        <f t="array" ref="T9288">IF(OR(B9288="MAL ALIMI", B9288="ÜRETİM GİRİŞ"), MIN(I9288, MAX(0, I9288 + SUM(SUMIFS($I$1:I9287, $C$1:C9287, C9288, $B$1:B9287, {"MAL ALIMI","ÜRETİM GİRİŞ"})) - VLOOKUP(C9288, 'STOK RAPORU'!$C$2:$I$1000, 4, 0))), 0)</f>
        <v>0</v>
      </c>
      <c r="U9288" s="22">
        <f t="shared" si="644"/>
        <v>0</v>
      </c>
      <c r="V9288">
        <f t="shared" si="645"/>
        <v>0</v>
      </c>
      <c r="W9288" s="22">
        <f t="shared" si="646"/>
        <v>0</v>
      </c>
    </row>
    <row r="9289" spans="1:23" hidden="1" x14ac:dyDescent="0.25">
      <c r="A9289" s="4"/>
      <c r="B9289" s="4"/>
      <c r="C9289" s="4"/>
      <c r="D9289" s="4"/>
      <c r="E9289" s="4"/>
      <c r="F9289" s="4"/>
      <c r="G9289" s="4"/>
      <c r="H9289" s="4"/>
      <c r="I9289" s="4"/>
      <c r="J9289" s="21">
        <f>IFERROR(VLOOKUP(C9289,'STOK KARTLARI'!$C$2:$K$2150,8,0),0)</f>
        <v>0</v>
      </c>
      <c r="K9289" s="21">
        <f t="shared" si="647"/>
        <v>0</v>
      </c>
      <c r="L9289" s="5">
        <f t="shared" si="649"/>
        <v>0</v>
      </c>
      <c r="M9289" s="4"/>
      <c r="N9289" s="4"/>
      <c r="O9289" s="5"/>
      <c r="P9289" s="5"/>
      <c r="Q9289" s="21">
        <f t="shared" si="650"/>
        <v>0</v>
      </c>
      <c r="R9289" s="21">
        <f t="shared" si="648"/>
        <v>0</v>
      </c>
      <c r="S9289" s="5">
        <f t="shared" si="651"/>
        <v>70007.077158325032</v>
      </c>
      <c r="T9289" cm="1">
        <f t="array" ref="T9289">IF(OR(B9289="MAL ALIMI", B9289="ÜRETİM GİRİŞ"), MIN(I9289, MAX(0, I9289 + SUM(SUMIFS($I$1:I9288, $C$1:C9288, C9289, $B$1:B9288, {"MAL ALIMI","ÜRETİM GİRİŞ"})) - VLOOKUP(C9289, 'STOK RAPORU'!$C$2:$I$1000, 4, 0))), 0)</f>
        <v>0</v>
      </c>
      <c r="U9289" s="22">
        <f t="shared" si="644"/>
        <v>0</v>
      </c>
      <c r="V9289">
        <f t="shared" si="645"/>
        <v>0</v>
      </c>
      <c r="W9289" s="22">
        <f t="shared" si="646"/>
        <v>0</v>
      </c>
    </row>
    <row r="9290" spans="1:23" hidden="1" x14ac:dyDescent="0.25">
      <c r="A9290" s="4"/>
      <c r="B9290" s="4"/>
      <c r="C9290" s="4"/>
      <c r="D9290" s="4"/>
      <c r="E9290" s="4"/>
      <c r="F9290" s="4"/>
      <c r="G9290" s="4"/>
      <c r="H9290" s="4"/>
      <c r="I9290" s="4"/>
      <c r="J9290" s="21">
        <f>IFERROR(VLOOKUP(C9290,'STOK KARTLARI'!$C$2:$K$2150,8,0),0)</f>
        <v>0</v>
      </c>
      <c r="K9290" s="21">
        <f t="shared" si="647"/>
        <v>0</v>
      </c>
      <c r="L9290" s="5">
        <f t="shared" si="649"/>
        <v>0</v>
      </c>
      <c r="M9290" s="4"/>
      <c r="N9290" s="4"/>
      <c r="O9290" s="5"/>
      <c r="P9290" s="5"/>
      <c r="Q9290" s="21">
        <f t="shared" si="650"/>
        <v>0</v>
      </c>
      <c r="R9290" s="21">
        <f t="shared" si="648"/>
        <v>0</v>
      </c>
      <c r="S9290" s="5">
        <f t="shared" si="651"/>
        <v>70007.077158325032</v>
      </c>
      <c r="T9290" cm="1">
        <f t="array" ref="T9290">IF(OR(B9290="MAL ALIMI", B9290="ÜRETİM GİRİŞ"), MIN(I9290, MAX(0, I9290 + SUM(SUMIFS($I$1:I9289, $C$1:C9289, C9290, $B$1:B9289, {"MAL ALIMI","ÜRETİM GİRİŞ"})) - VLOOKUP(C9290, 'STOK RAPORU'!$C$2:$I$1000, 4, 0))), 0)</f>
        <v>0</v>
      </c>
      <c r="U9290" s="22">
        <f t="shared" si="644"/>
        <v>0</v>
      </c>
      <c r="V9290">
        <f t="shared" si="645"/>
        <v>0</v>
      </c>
      <c r="W9290" s="22">
        <f t="shared" si="646"/>
        <v>0</v>
      </c>
    </row>
    <row r="9291" spans="1:23" hidden="1" x14ac:dyDescent="0.25">
      <c r="A9291" s="4"/>
      <c r="B9291" s="4"/>
      <c r="C9291" s="4"/>
      <c r="D9291" s="4"/>
      <c r="E9291" s="4"/>
      <c r="F9291" s="4"/>
      <c r="G9291" s="4"/>
      <c r="H9291" s="4"/>
      <c r="I9291" s="4"/>
      <c r="J9291" s="21">
        <f>IFERROR(VLOOKUP(C9291,'STOK KARTLARI'!$C$2:$K$2150,8,0),0)</f>
        <v>0</v>
      </c>
      <c r="K9291" s="21">
        <f t="shared" si="647"/>
        <v>0</v>
      </c>
      <c r="L9291" s="5">
        <f t="shared" si="649"/>
        <v>0</v>
      </c>
      <c r="M9291" s="4"/>
      <c r="N9291" s="4"/>
      <c r="O9291" s="5"/>
      <c r="P9291" s="5"/>
      <c r="Q9291" s="21">
        <f t="shared" si="650"/>
        <v>0</v>
      </c>
      <c r="R9291" s="21">
        <f t="shared" si="648"/>
        <v>0</v>
      </c>
      <c r="S9291" s="5">
        <f t="shared" si="651"/>
        <v>70007.077158325032</v>
      </c>
      <c r="T9291" cm="1">
        <f t="array" ref="T9291">IF(OR(B9291="MAL ALIMI", B9291="ÜRETİM GİRİŞ"), MIN(I9291, MAX(0, I9291 + SUM(SUMIFS($I$1:I9290, $C$1:C9290, C9291, $B$1:B9290, {"MAL ALIMI","ÜRETİM GİRİŞ"})) - VLOOKUP(C9291, 'STOK RAPORU'!$C$2:$I$1000, 4, 0))), 0)</f>
        <v>0</v>
      </c>
      <c r="U9291" s="22">
        <f t="shared" si="644"/>
        <v>0</v>
      </c>
      <c r="V9291">
        <f t="shared" si="645"/>
        <v>0</v>
      </c>
      <c r="W9291" s="22">
        <f t="shared" si="646"/>
        <v>0</v>
      </c>
    </row>
    <row r="9292" spans="1:23" hidden="1" x14ac:dyDescent="0.25">
      <c r="A9292" s="4"/>
      <c r="B9292" s="4"/>
      <c r="C9292" s="4"/>
      <c r="D9292" s="4"/>
      <c r="E9292" s="4"/>
      <c r="F9292" s="4"/>
      <c r="G9292" s="4"/>
      <c r="H9292" s="4"/>
      <c r="I9292" s="4"/>
      <c r="J9292" s="21">
        <f>IFERROR(VLOOKUP(C9292,'STOK KARTLARI'!$C$2:$K$2150,8,0),0)</f>
        <v>0</v>
      </c>
      <c r="K9292" s="21">
        <f t="shared" si="647"/>
        <v>0</v>
      </c>
      <c r="L9292" s="5">
        <f t="shared" si="649"/>
        <v>0</v>
      </c>
      <c r="M9292" s="4"/>
      <c r="N9292" s="4"/>
      <c r="O9292" s="5"/>
      <c r="P9292" s="5"/>
      <c r="Q9292" s="21">
        <f t="shared" si="650"/>
        <v>0</v>
      </c>
      <c r="R9292" s="21">
        <f t="shared" si="648"/>
        <v>0</v>
      </c>
      <c r="S9292" s="5">
        <f t="shared" si="651"/>
        <v>70007.077158325032</v>
      </c>
      <c r="T9292" cm="1">
        <f t="array" ref="T9292">IF(OR(B9292="MAL ALIMI", B9292="ÜRETİM GİRİŞ"), MIN(I9292, MAX(0, I9292 + SUM(SUMIFS($I$1:I9291, $C$1:C9291, C9292, $B$1:B9291, {"MAL ALIMI","ÜRETİM GİRİŞ"})) - VLOOKUP(C9292, 'STOK RAPORU'!$C$2:$I$1000, 4, 0))), 0)</f>
        <v>0</v>
      </c>
      <c r="U9292" s="22">
        <f t="shared" si="644"/>
        <v>0</v>
      </c>
      <c r="V9292">
        <f t="shared" si="645"/>
        <v>0</v>
      </c>
      <c r="W9292" s="22">
        <f t="shared" si="646"/>
        <v>0</v>
      </c>
    </row>
    <row r="9293" spans="1:23" hidden="1" x14ac:dyDescent="0.25">
      <c r="A9293" s="4"/>
      <c r="B9293" s="4"/>
      <c r="C9293" s="4"/>
      <c r="D9293" s="4"/>
      <c r="E9293" s="4"/>
      <c r="F9293" s="4"/>
      <c r="G9293" s="4"/>
      <c r="H9293" s="4"/>
      <c r="I9293" s="4"/>
      <c r="J9293" s="21">
        <f>IFERROR(VLOOKUP(C9293,'STOK KARTLARI'!$C$2:$K$2150,8,0),0)</f>
        <v>0</v>
      </c>
      <c r="K9293" s="21">
        <f t="shared" si="647"/>
        <v>0</v>
      </c>
      <c r="L9293" s="5">
        <f t="shared" si="649"/>
        <v>0</v>
      </c>
      <c r="M9293" s="4"/>
      <c r="N9293" s="4"/>
      <c r="O9293" s="5"/>
      <c r="P9293" s="5"/>
      <c r="Q9293" s="21">
        <f t="shared" si="650"/>
        <v>0</v>
      </c>
      <c r="R9293" s="21">
        <f t="shared" si="648"/>
        <v>0</v>
      </c>
      <c r="S9293" s="5">
        <f t="shared" si="651"/>
        <v>70007.077158325032</v>
      </c>
      <c r="T9293" cm="1">
        <f t="array" ref="T9293">IF(OR(B9293="MAL ALIMI", B9293="ÜRETİM GİRİŞ"), MIN(I9293, MAX(0, I9293 + SUM(SUMIFS($I$1:I9292, $C$1:C9292, C9293, $B$1:B9292, {"MAL ALIMI","ÜRETİM GİRİŞ"})) - VLOOKUP(C9293, 'STOK RAPORU'!$C$2:$I$1000, 4, 0))), 0)</f>
        <v>0</v>
      </c>
      <c r="U9293" s="22">
        <f t="shared" si="644"/>
        <v>0</v>
      </c>
      <c r="V9293">
        <f t="shared" si="645"/>
        <v>0</v>
      </c>
      <c r="W9293" s="22">
        <f t="shared" si="646"/>
        <v>0</v>
      </c>
    </row>
    <row r="9294" spans="1:23" hidden="1" x14ac:dyDescent="0.25">
      <c r="A9294" s="3"/>
      <c r="B9294" s="4"/>
      <c r="C9294" s="4"/>
      <c r="D9294" s="4"/>
      <c r="E9294" s="4"/>
      <c r="F9294" s="4"/>
      <c r="G9294" s="4"/>
      <c r="H9294" s="4"/>
      <c r="I9294" s="4"/>
      <c r="J9294" s="21">
        <f>IFERROR(VLOOKUP(C9294,'STOK KARTLARI'!$C$2:$K$2150,8,0),0)</f>
        <v>0</v>
      </c>
      <c r="K9294" s="21">
        <f t="shared" si="647"/>
        <v>0</v>
      </c>
      <c r="L9294" s="5">
        <f t="shared" si="649"/>
        <v>0</v>
      </c>
      <c r="M9294" s="4"/>
      <c r="N9294" s="4"/>
      <c r="O9294" s="5"/>
      <c r="P9294" s="5"/>
      <c r="Q9294" s="21">
        <f t="shared" si="650"/>
        <v>0</v>
      </c>
      <c r="R9294" s="21">
        <f t="shared" si="648"/>
        <v>0</v>
      </c>
      <c r="S9294" s="5">
        <f t="shared" si="651"/>
        <v>70007.077158325032</v>
      </c>
      <c r="T9294" cm="1">
        <f t="array" ref="T9294">IF(OR(B9294="MAL ALIMI", B9294="ÜRETİM GİRİŞ"), MIN(I9294, MAX(0, I9294 + SUM(SUMIFS($I$1:I9293, $C$1:C9293, C9294, $B$1:B9293, {"MAL ALIMI","ÜRETİM GİRİŞ"})) - VLOOKUP(C9294, 'STOK RAPORU'!$C$2:$I$1000, 4, 0))), 0)</f>
        <v>0</v>
      </c>
      <c r="U9294" s="22">
        <f t="shared" si="644"/>
        <v>0</v>
      </c>
      <c r="V9294">
        <f t="shared" si="645"/>
        <v>0</v>
      </c>
      <c r="W9294" s="22">
        <f t="shared" si="646"/>
        <v>0</v>
      </c>
    </row>
    <row r="9295" spans="1:23" hidden="1" x14ac:dyDescent="0.25">
      <c r="A9295" s="4"/>
      <c r="B9295" s="4"/>
      <c r="C9295" s="4"/>
      <c r="D9295" s="4"/>
      <c r="E9295" s="4"/>
      <c r="F9295" s="4"/>
      <c r="G9295" s="4"/>
      <c r="H9295" s="4"/>
      <c r="I9295" s="4"/>
      <c r="J9295" s="21">
        <f>IFERROR(VLOOKUP(C9295,'STOK KARTLARI'!$C$2:$K$2150,8,0),0)</f>
        <v>0</v>
      </c>
      <c r="K9295" s="21">
        <f t="shared" si="647"/>
        <v>0</v>
      </c>
      <c r="L9295" s="5">
        <f t="shared" si="649"/>
        <v>0</v>
      </c>
      <c r="M9295" s="4"/>
      <c r="N9295" s="4"/>
      <c r="O9295" s="5"/>
      <c r="P9295" s="5"/>
      <c r="Q9295" s="21">
        <f t="shared" si="650"/>
        <v>0</v>
      </c>
      <c r="R9295" s="21">
        <f t="shared" si="648"/>
        <v>0</v>
      </c>
      <c r="S9295" s="5">
        <f t="shared" si="651"/>
        <v>70007.077158325032</v>
      </c>
      <c r="T9295" cm="1">
        <f t="array" ref="T9295">IF(OR(B9295="MAL ALIMI", B9295="ÜRETİM GİRİŞ"), MIN(I9295, MAX(0, I9295 + SUM(SUMIFS($I$1:I9294, $C$1:C9294, C9295, $B$1:B9294, {"MAL ALIMI","ÜRETİM GİRİŞ"})) - VLOOKUP(C9295, 'STOK RAPORU'!$C$2:$I$1000, 4, 0))), 0)</f>
        <v>0</v>
      </c>
      <c r="U9295" s="22">
        <f t="shared" si="644"/>
        <v>0</v>
      </c>
      <c r="V9295">
        <f t="shared" si="645"/>
        <v>0</v>
      </c>
      <c r="W9295" s="22">
        <f t="shared" si="646"/>
        <v>0</v>
      </c>
    </row>
    <row r="9296" spans="1:23" hidden="1" x14ac:dyDescent="0.25">
      <c r="A9296" s="4"/>
      <c r="B9296" s="4"/>
      <c r="C9296" s="4"/>
      <c r="D9296" s="4"/>
      <c r="E9296" s="4"/>
      <c r="F9296" s="4"/>
      <c r="G9296" s="4"/>
      <c r="H9296" s="4"/>
      <c r="I9296" s="4"/>
      <c r="J9296" s="21">
        <f>IFERROR(VLOOKUP(C9296,'STOK KARTLARI'!$C$2:$K$2150,8,0),0)</f>
        <v>0</v>
      </c>
      <c r="K9296" s="21">
        <f t="shared" si="647"/>
        <v>0</v>
      </c>
      <c r="L9296" s="5">
        <f t="shared" si="649"/>
        <v>0</v>
      </c>
      <c r="M9296" s="4"/>
      <c r="N9296" s="4"/>
      <c r="O9296" s="5"/>
      <c r="P9296" s="5"/>
      <c r="Q9296" s="21">
        <f t="shared" si="650"/>
        <v>0</v>
      </c>
      <c r="R9296" s="21">
        <f t="shared" si="648"/>
        <v>0</v>
      </c>
      <c r="S9296" s="5">
        <f t="shared" si="651"/>
        <v>70007.077158325032</v>
      </c>
      <c r="T9296" cm="1">
        <f t="array" ref="T9296">IF(OR(B9296="MAL ALIMI", B9296="ÜRETİM GİRİŞ"), MIN(I9296, MAX(0, I9296 + SUM(SUMIFS($I$1:I9295, $C$1:C9295, C9296, $B$1:B9295, {"MAL ALIMI","ÜRETİM GİRİŞ"})) - VLOOKUP(C9296, 'STOK RAPORU'!$C$2:$I$1000, 4, 0))), 0)</f>
        <v>0</v>
      </c>
      <c r="U9296" s="22">
        <f t="shared" si="644"/>
        <v>0</v>
      </c>
      <c r="V9296">
        <f t="shared" si="645"/>
        <v>0</v>
      </c>
      <c r="W9296" s="22">
        <f t="shared" si="646"/>
        <v>0</v>
      </c>
    </row>
    <row r="9297" spans="1:23" hidden="1" x14ac:dyDescent="0.25">
      <c r="A9297" s="4"/>
      <c r="B9297" s="4"/>
      <c r="C9297" s="4"/>
      <c r="D9297" s="4"/>
      <c r="E9297" s="4"/>
      <c r="F9297" s="4"/>
      <c r="G9297" s="4"/>
      <c r="H9297" s="4"/>
      <c r="I9297" s="4"/>
      <c r="J9297" s="21">
        <f>IFERROR(VLOOKUP(C9297,'STOK KARTLARI'!$C$2:$K$2150,8,0),0)</f>
        <v>0</v>
      </c>
      <c r="K9297" s="21">
        <f t="shared" si="647"/>
        <v>0</v>
      </c>
      <c r="L9297" s="5">
        <f t="shared" si="649"/>
        <v>0</v>
      </c>
      <c r="M9297" s="4"/>
      <c r="N9297" s="4"/>
      <c r="O9297" s="5"/>
      <c r="P9297" s="5"/>
      <c r="Q9297" s="21">
        <f t="shared" si="650"/>
        <v>0</v>
      </c>
      <c r="R9297" s="21">
        <f t="shared" si="648"/>
        <v>0</v>
      </c>
      <c r="S9297" s="5">
        <f t="shared" si="651"/>
        <v>70007.077158325032</v>
      </c>
      <c r="T9297" cm="1">
        <f t="array" ref="T9297">IF(OR(B9297="MAL ALIMI", B9297="ÜRETİM GİRİŞ"), MIN(I9297, MAX(0, I9297 + SUM(SUMIFS($I$1:I9296, $C$1:C9296, C9297, $B$1:B9296, {"MAL ALIMI","ÜRETİM GİRİŞ"})) - VLOOKUP(C9297, 'STOK RAPORU'!$C$2:$I$1000, 4, 0))), 0)</f>
        <v>0</v>
      </c>
      <c r="U9297" s="22">
        <f t="shared" si="644"/>
        <v>0</v>
      </c>
      <c r="V9297">
        <f t="shared" si="645"/>
        <v>0</v>
      </c>
      <c r="W9297" s="22">
        <f t="shared" si="646"/>
        <v>0</v>
      </c>
    </row>
    <row r="9298" spans="1:23" hidden="1" x14ac:dyDescent="0.25">
      <c r="A9298" s="4"/>
      <c r="B9298" s="4"/>
      <c r="C9298" s="4"/>
      <c r="D9298" s="4"/>
      <c r="E9298" s="4"/>
      <c r="F9298" s="4"/>
      <c r="G9298" s="4"/>
      <c r="H9298" s="4"/>
      <c r="I9298" s="4"/>
      <c r="J9298" s="21">
        <f>IFERROR(VLOOKUP(C9298,'STOK KARTLARI'!$C$2:$K$2150,8,0),0)</f>
        <v>0</v>
      </c>
      <c r="K9298" s="21">
        <f t="shared" si="647"/>
        <v>0</v>
      </c>
      <c r="L9298" s="5">
        <f t="shared" si="649"/>
        <v>0</v>
      </c>
      <c r="M9298" s="4"/>
      <c r="N9298" s="4"/>
      <c r="O9298" s="5"/>
      <c r="P9298" s="5"/>
      <c r="Q9298" s="21">
        <f t="shared" si="650"/>
        <v>0</v>
      </c>
      <c r="R9298" s="21">
        <f t="shared" si="648"/>
        <v>0</v>
      </c>
      <c r="S9298" s="5">
        <f t="shared" si="651"/>
        <v>70007.077158325032</v>
      </c>
      <c r="T9298" cm="1">
        <f t="array" ref="T9298">IF(OR(B9298="MAL ALIMI", B9298="ÜRETİM GİRİŞ"), MIN(I9298, MAX(0, I9298 + SUM(SUMIFS($I$1:I9297, $C$1:C9297, C9298, $B$1:B9297, {"MAL ALIMI","ÜRETİM GİRİŞ"})) - VLOOKUP(C9298, 'STOK RAPORU'!$C$2:$I$1000, 4, 0))), 0)</f>
        <v>0</v>
      </c>
      <c r="U9298" s="22">
        <f t="shared" si="644"/>
        <v>0</v>
      </c>
      <c r="V9298">
        <f t="shared" si="645"/>
        <v>0</v>
      </c>
      <c r="W9298" s="22">
        <f t="shared" si="646"/>
        <v>0</v>
      </c>
    </row>
    <row r="9299" spans="1:23" hidden="1" x14ac:dyDescent="0.25">
      <c r="A9299" s="4"/>
      <c r="B9299" s="4"/>
      <c r="C9299" s="4"/>
      <c r="D9299" s="4"/>
      <c r="E9299" s="4"/>
      <c r="F9299" s="4"/>
      <c r="G9299" s="4"/>
      <c r="H9299" s="4"/>
      <c r="I9299" s="4"/>
      <c r="J9299" s="21">
        <f>IFERROR(VLOOKUP(C9299,'STOK KARTLARI'!$C$2:$K$2150,8,0),0)</f>
        <v>0</v>
      </c>
      <c r="K9299" s="21">
        <f t="shared" si="647"/>
        <v>0</v>
      </c>
      <c r="L9299" s="5">
        <f t="shared" si="649"/>
        <v>0</v>
      </c>
      <c r="M9299" s="4"/>
      <c r="N9299" s="4"/>
      <c r="O9299" s="5"/>
      <c r="P9299" s="5"/>
      <c r="Q9299" s="21">
        <f t="shared" si="650"/>
        <v>0</v>
      </c>
      <c r="R9299" s="21">
        <f t="shared" si="648"/>
        <v>0</v>
      </c>
      <c r="S9299" s="5">
        <f t="shared" si="651"/>
        <v>70007.077158325032</v>
      </c>
      <c r="T9299" cm="1">
        <f t="array" ref="T9299">IF(OR(B9299="MAL ALIMI", B9299="ÜRETİM GİRİŞ"), MIN(I9299, MAX(0, I9299 + SUM(SUMIFS($I$1:I9298, $C$1:C9298, C9299, $B$1:B9298, {"MAL ALIMI","ÜRETİM GİRİŞ"})) - VLOOKUP(C9299, 'STOK RAPORU'!$C$2:$I$1000, 4, 0))), 0)</f>
        <v>0</v>
      </c>
      <c r="U9299" s="22">
        <f t="shared" si="644"/>
        <v>0</v>
      </c>
      <c r="V9299">
        <f t="shared" si="645"/>
        <v>0</v>
      </c>
      <c r="W9299" s="22">
        <f t="shared" si="646"/>
        <v>0</v>
      </c>
    </row>
    <row r="9300" spans="1:23" hidden="1" x14ac:dyDescent="0.25">
      <c r="A9300" s="4"/>
      <c r="B9300" s="4"/>
      <c r="C9300" s="4"/>
      <c r="D9300" s="4"/>
      <c r="E9300" s="4"/>
      <c r="F9300" s="4"/>
      <c r="G9300" s="4"/>
      <c r="H9300" s="4"/>
      <c r="I9300" s="4"/>
      <c r="J9300" s="21">
        <f>IFERROR(VLOOKUP(C9300,'STOK KARTLARI'!$C$2:$K$2150,8,0),0)</f>
        <v>0</v>
      </c>
      <c r="K9300" s="21">
        <f t="shared" si="647"/>
        <v>0</v>
      </c>
      <c r="L9300" s="5">
        <f t="shared" si="649"/>
        <v>0</v>
      </c>
      <c r="M9300" s="4"/>
      <c r="N9300" s="4"/>
      <c r="O9300" s="5"/>
      <c r="P9300" s="5"/>
      <c r="Q9300" s="21">
        <f t="shared" si="650"/>
        <v>0</v>
      </c>
      <c r="R9300" s="21">
        <f t="shared" si="648"/>
        <v>0</v>
      </c>
      <c r="S9300" s="5">
        <f t="shared" si="651"/>
        <v>70007.077158325032</v>
      </c>
      <c r="T9300" cm="1">
        <f t="array" ref="T9300">IF(OR(B9300="MAL ALIMI", B9300="ÜRETİM GİRİŞ"), MIN(I9300, MAX(0, I9300 + SUM(SUMIFS($I$1:I9299, $C$1:C9299, C9300, $B$1:B9299, {"MAL ALIMI","ÜRETİM GİRİŞ"})) - VLOOKUP(C9300, 'STOK RAPORU'!$C$2:$I$1000, 4, 0))), 0)</f>
        <v>0</v>
      </c>
      <c r="U9300" s="22">
        <f t="shared" si="644"/>
        <v>0</v>
      </c>
      <c r="V9300">
        <f t="shared" si="645"/>
        <v>0</v>
      </c>
      <c r="W9300" s="22">
        <f t="shared" si="646"/>
        <v>0</v>
      </c>
    </row>
    <row r="9301" spans="1:23" hidden="1" x14ac:dyDescent="0.25">
      <c r="A9301" s="3"/>
      <c r="B9301" s="4"/>
      <c r="C9301" s="4"/>
      <c r="D9301" s="4"/>
      <c r="E9301" s="4"/>
      <c r="F9301" s="4"/>
      <c r="G9301" s="4"/>
      <c r="H9301" s="4"/>
      <c r="I9301" s="4"/>
      <c r="J9301" s="21">
        <f>IFERROR(VLOOKUP(C9301,'STOK KARTLARI'!$C$2:$K$2150,8,0),0)</f>
        <v>0</v>
      </c>
      <c r="K9301" s="21">
        <f t="shared" si="647"/>
        <v>0</v>
      </c>
      <c r="L9301" s="5">
        <f t="shared" si="649"/>
        <v>0</v>
      </c>
      <c r="M9301" s="4"/>
      <c r="N9301" s="4"/>
      <c r="O9301" s="5"/>
      <c r="P9301" s="5"/>
      <c r="Q9301" s="21">
        <f t="shared" si="650"/>
        <v>0</v>
      </c>
      <c r="R9301" s="21">
        <f t="shared" si="648"/>
        <v>0</v>
      </c>
      <c r="S9301" s="5">
        <f t="shared" si="651"/>
        <v>70007.077158325032</v>
      </c>
      <c r="T9301" cm="1">
        <f t="array" ref="T9301">IF(OR(B9301="MAL ALIMI", B9301="ÜRETİM GİRİŞ"), MIN(I9301, MAX(0, I9301 + SUM(SUMIFS($I$1:I9300, $C$1:C9300, C9301, $B$1:B9300, {"MAL ALIMI","ÜRETİM GİRİŞ"})) - VLOOKUP(C9301, 'STOK RAPORU'!$C$2:$I$1000, 4, 0))), 0)</f>
        <v>0</v>
      </c>
      <c r="U9301" s="22">
        <f t="shared" si="644"/>
        <v>0</v>
      </c>
      <c r="V9301">
        <f t="shared" si="645"/>
        <v>0</v>
      </c>
      <c r="W9301" s="22">
        <f t="shared" si="646"/>
        <v>0</v>
      </c>
    </row>
    <row r="9302" spans="1:23" hidden="1" x14ac:dyDescent="0.25">
      <c r="A9302" s="4"/>
      <c r="B9302" s="4"/>
      <c r="C9302" s="4"/>
      <c r="D9302" s="4"/>
      <c r="E9302" s="4"/>
      <c r="F9302" s="4"/>
      <c r="G9302" s="4"/>
      <c r="H9302" s="4"/>
      <c r="I9302" s="4"/>
      <c r="J9302" s="21">
        <f>IFERROR(VLOOKUP(C9302,'STOK KARTLARI'!$C$2:$K$2150,8,0),0)</f>
        <v>0</v>
      </c>
      <c r="K9302" s="21">
        <f t="shared" si="647"/>
        <v>0</v>
      </c>
      <c r="L9302" s="5">
        <f t="shared" si="649"/>
        <v>0</v>
      </c>
      <c r="M9302" s="4"/>
      <c r="N9302" s="4"/>
      <c r="O9302" s="5"/>
      <c r="P9302" s="5"/>
      <c r="Q9302" s="21">
        <f t="shared" si="650"/>
        <v>0</v>
      </c>
      <c r="R9302" s="21">
        <f t="shared" si="648"/>
        <v>0</v>
      </c>
      <c r="S9302" s="5">
        <f t="shared" si="651"/>
        <v>70007.077158325032</v>
      </c>
      <c r="T9302" cm="1">
        <f t="array" ref="T9302">IF(OR(B9302="MAL ALIMI", B9302="ÜRETİM GİRİŞ"), MIN(I9302, MAX(0, I9302 + SUM(SUMIFS($I$1:I9301, $C$1:C9301, C9302, $B$1:B9301, {"MAL ALIMI","ÜRETİM GİRİŞ"})) - VLOOKUP(C9302, 'STOK RAPORU'!$C$2:$I$1000, 4, 0))), 0)</f>
        <v>0</v>
      </c>
      <c r="U9302" s="22">
        <f t="shared" si="644"/>
        <v>0</v>
      </c>
      <c r="V9302">
        <f t="shared" si="645"/>
        <v>0</v>
      </c>
      <c r="W9302" s="22">
        <f t="shared" si="646"/>
        <v>0</v>
      </c>
    </row>
    <row r="9303" spans="1:23" hidden="1" x14ac:dyDescent="0.25">
      <c r="A9303" s="4"/>
      <c r="B9303" s="4"/>
      <c r="C9303" s="4"/>
      <c r="D9303" s="4"/>
      <c r="E9303" s="4"/>
      <c r="F9303" s="4"/>
      <c r="G9303" s="4"/>
      <c r="H9303" s="4"/>
      <c r="I9303" s="4"/>
      <c r="J9303" s="21">
        <f>IFERROR(VLOOKUP(C9303,'STOK KARTLARI'!$C$2:$K$2150,8,0),0)</f>
        <v>0</v>
      </c>
      <c r="K9303" s="21">
        <f t="shared" si="647"/>
        <v>0</v>
      </c>
      <c r="L9303" s="5">
        <f t="shared" si="649"/>
        <v>0</v>
      </c>
      <c r="M9303" s="4"/>
      <c r="N9303" s="4"/>
      <c r="O9303" s="5"/>
      <c r="P9303" s="5"/>
      <c r="Q9303" s="21">
        <f t="shared" si="650"/>
        <v>0</v>
      </c>
      <c r="R9303" s="21">
        <f t="shared" si="648"/>
        <v>0</v>
      </c>
      <c r="S9303" s="5">
        <f t="shared" si="651"/>
        <v>70007.077158325032</v>
      </c>
      <c r="T9303" cm="1">
        <f t="array" ref="T9303">IF(OR(B9303="MAL ALIMI", B9303="ÜRETİM GİRİŞ"), MIN(I9303, MAX(0, I9303 + SUM(SUMIFS($I$1:I9302, $C$1:C9302, C9303, $B$1:B9302, {"MAL ALIMI","ÜRETİM GİRİŞ"})) - VLOOKUP(C9303, 'STOK RAPORU'!$C$2:$I$1000, 4, 0))), 0)</f>
        <v>0</v>
      </c>
      <c r="U9303" s="22">
        <f t="shared" si="644"/>
        <v>0</v>
      </c>
      <c r="V9303">
        <f t="shared" si="645"/>
        <v>0</v>
      </c>
      <c r="W9303" s="22">
        <f t="shared" si="646"/>
        <v>0</v>
      </c>
    </row>
    <row r="9304" spans="1:23" hidden="1" x14ac:dyDescent="0.25">
      <c r="A9304" s="4"/>
      <c r="B9304" s="4"/>
      <c r="C9304" s="4"/>
      <c r="D9304" s="4"/>
      <c r="E9304" s="4"/>
      <c r="F9304" s="4"/>
      <c r="G9304" s="4"/>
      <c r="H9304" s="4"/>
      <c r="I9304" s="4"/>
      <c r="J9304" s="21">
        <f>IFERROR(VLOOKUP(C9304,'STOK KARTLARI'!$C$2:$K$2150,8,0),0)</f>
        <v>0</v>
      </c>
      <c r="K9304" s="21">
        <f t="shared" si="647"/>
        <v>0</v>
      </c>
      <c r="L9304" s="5">
        <f t="shared" si="649"/>
        <v>0</v>
      </c>
      <c r="M9304" s="4"/>
      <c r="N9304" s="4"/>
      <c r="O9304" s="5"/>
      <c r="P9304" s="5"/>
      <c r="Q9304" s="21">
        <f t="shared" si="650"/>
        <v>0</v>
      </c>
      <c r="R9304" s="21">
        <f t="shared" si="648"/>
        <v>0</v>
      </c>
      <c r="S9304" s="5">
        <f t="shared" si="651"/>
        <v>70007.077158325032</v>
      </c>
      <c r="T9304" cm="1">
        <f t="array" ref="T9304">IF(OR(B9304="MAL ALIMI", B9304="ÜRETİM GİRİŞ"), MIN(I9304, MAX(0, I9304 + SUM(SUMIFS($I$1:I9303, $C$1:C9303, C9304, $B$1:B9303, {"MAL ALIMI","ÜRETİM GİRİŞ"})) - VLOOKUP(C9304, 'STOK RAPORU'!$C$2:$I$1000, 4, 0))), 0)</f>
        <v>0</v>
      </c>
      <c r="U9304" s="22">
        <f t="shared" si="644"/>
        <v>0</v>
      </c>
      <c r="V9304">
        <f t="shared" si="645"/>
        <v>0</v>
      </c>
      <c r="W9304" s="22">
        <f t="shared" si="646"/>
        <v>0</v>
      </c>
    </row>
    <row r="9305" spans="1:23" hidden="1" x14ac:dyDescent="0.25">
      <c r="A9305" s="4"/>
      <c r="B9305" s="4"/>
      <c r="C9305" s="4"/>
      <c r="D9305" s="4"/>
      <c r="E9305" s="4"/>
      <c r="F9305" s="4"/>
      <c r="G9305" s="4"/>
      <c r="H9305" s="4"/>
      <c r="I9305" s="4"/>
      <c r="J9305" s="21">
        <f>IFERROR(VLOOKUP(C9305,'STOK KARTLARI'!$C$2:$K$2150,8,0),0)</f>
        <v>0</v>
      </c>
      <c r="K9305" s="21">
        <f t="shared" si="647"/>
        <v>0</v>
      </c>
      <c r="L9305" s="5">
        <f t="shared" si="649"/>
        <v>0</v>
      </c>
      <c r="M9305" s="4"/>
      <c r="N9305" s="4"/>
      <c r="O9305" s="5"/>
      <c r="P9305" s="5"/>
      <c r="Q9305" s="21">
        <f t="shared" si="650"/>
        <v>0</v>
      </c>
      <c r="R9305" s="21">
        <f t="shared" si="648"/>
        <v>0</v>
      </c>
      <c r="S9305" s="5">
        <f t="shared" si="651"/>
        <v>70007.077158325032</v>
      </c>
      <c r="T9305" cm="1">
        <f t="array" ref="T9305">IF(OR(B9305="MAL ALIMI", B9305="ÜRETİM GİRİŞ"), MIN(I9305, MAX(0, I9305 + SUM(SUMIFS($I$1:I9304, $C$1:C9304, C9305, $B$1:B9304, {"MAL ALIMI","ÜRETİM GİRİŞ"})) - VLOOKUP(C9305, 'STOK RAPORU'!$C$2:$I$1000, 4, 0))), 0)</f>
        <v>0</v>
      </c>
      <c r="U9305" s="22">
        <f t="shared" si="644"/>
        <v>0</v>
      </c>
      <c r="V9305">
        <f t="shared" si="645"/>
        <v>0</v>
      </c>
      <c r="W9305" s="22">
        <f t="shared" si="646"/>
        <v>0</v>
      </c>
    </row>
    <row r="9306" spans="1:23" hidden="1" x14ac:dyDescent="0.25">
      <c r="A9306" s="4"/>
      <c r="B9306" s="4"/>
      <c r="C9306" s="4"/>
      <c r="D9306" s="4"/>
      <c r="E9306" s="4"/>
      <c r="F9306" s="4"/>
      <c r="G9306" s="4"/>
      <c r="H9306" s="4"/>
      <c r="I9306" s="4"/>
      <c r="J9306" s="21">
        <f>IFERROR(VLOOKUP(C9306,'STOK KARTLARI'!$C$2:$K$2150,8,0),0)</f>
        <v>0</v>
      </c>
      <c r="K9306" s="21">
        <f t="shared" si="647"/>
        <v>0</v>
      </c>
      <c r="L9306" s="5">
        <f t="shared" si="649"/>
        <v>0</v>
      </c>
      <c r="M9306" s="4"/>
      <c r="N9306" s="4"/>
      <c r="O9306" s="5"/>
      <c r="P9306" s="5"/>
      <c r="Q9306" s="21">
        <f t="shared" si="650"/>
        <v>0</v>
      </c>
      <c r="R9306" s="21">
        <f t="shared" si="648"/>
        <v>0</v>
      </c>
      <c r="S9306" s="5">
        <f t="shared" si="651"/>
        <v>70007.077158325032</v>
      </c>
      <c r="T9306" cm="1">
        <f t="array" ref="T9306">IF(OR(B9306="MAL ALIMI", B9306="ÜRETİM GİRİŞ"), MIN(I9306, MAX(0, I9306 + SUM(SUMIFS($I$1:I9305, $C$1:C9305, C9306, $B$1:B9305, {"MAL ALIMI","ÜRETİM GİRİŞ"})) - VLOOKUP(C9306, 'STOK RAPORU'!$C$2:$I$1000, 4, 0))), 0)</f>
        <v>0</v>
      </c>
      <c r="U9306" s="22">
        <f t="shared" si="644"/>
        <v>0</v>
      </c>
      <c r="V9306">
        <f t="shared" si="645"/>
        <v>0</v>
      </c>
      <c r="W9306" s="22">
        <f t="shared" si="646"/>
        <v>0</v>
      </c>
    </row>
    <row r="9307" spans="1:23" hidden="1" x14ac:dyDescent="0.25">
      <c r="A9307" s="4"/>
      <c r="B9307" s="4"/>
      <c r="C9307" s="4"/>
      <c r="D9307" s="4"/>
      <c r="E9307" s="4"/>
      <c r="F9307" s="4"/>
      <c r="G9307" s="4"/>
      <c r="H9307" s="4"/>
      <c r="I9307" s="4"/>
      <c r="J9307" s="21">
        <f>IFERROR(VLOOKUP(C9307,'STOK KARTLARI'!$C$2:$K$2150,8,0),0)</f>
        <v>0</v>
      </c>
      <c r="K9307" s="21">
        <f t="shared" si="647"/>
        <v>0</v>
      </c>
      <c r="L9307" s="5">
        <f t="shared" si="649"/>
        <v>0</v>
      </c>
      <c r="M9307" s="4"/>
      <c r="N9307" s="4"/>
      <c r="O9307" s="5"/>
      <c r="P9307" s="5"/>
      <c r="Q9307" s="21">
        <f t="shared" si="650"/>
        <v>0</v>
      </c>
      <c r="R9307" s="21">
        <f t="shared" si="648"/>
        <v>0</v>
      </c>
      <c r="S9307" s="5">
        <f t="shared" si="651"/>
        <v>70007.077158325032</v>
      </c>
      <c r="T9307" cm="1">
        <f t="array" ref="T9307">IF(OR(B9307="MAL ALIMI", B9307="ÜRETİM GİRİŞ"), MIN(I9307, MAX(0, I9307 + SUM(SUMIFS($I$1:I9306, $C$1:C9306, C9307, $B$1:B9306, {"MAL ALIMI","ÜRETİM GİRİŞ"})) - VLOOKUP(C9307, 'STOK RAPORU'!$C$2:$I$1000, 4, 0))), 0)</f>
        <v>0</v>
      </c>
      <c r="U9307" s="22">
        <f t="shared" si="644"/>
        <v>0</v>
      </c>
      <c r="V9307">
        <f t="shared" si="645"/>
        <v>0</v>
      </c>
      <c r="W9307" s="22">
        <f t="shared" si="646"/>
        <v>0</v>
      </c>
    </row>
    <row r="9308" spans="1:23" hidden="1" x14ac:dyDescent="0.25">
      <c r="A9308" s="3"/>
      <c r="B9308" s="4"/>
      <c r="C9308" s="4"/>
      <c r="D9308" s="4"/>
      <c r="E9308" s="4"/>
      <c r="F9308" s="4"/>
      <c r="G9308" s="4"/>
      <c r="H9308" s="4"/>
      <c r="I9308" s="4"/>
      <c r="J9308" s="21">
        <f>IFERROR(VLOOKUP(C9308,'STOK KARTLARI'!$C$2:$K$2150,8,0),0)</f>
        <v>0</v>
      </c>
      <c r="K9308" s="21">
        <f t="shared" si="647"/>
        <v>0</v>
      </c>
      <c r="L9308" s="5">
        <f t="shared" si="649"/>
        <v>0</v>
      </c>
      <c r="M9308" s="4"/>
      <c r="N9308" s="4"/>
      <c r="O9308" s="5"/>
      <c r="P9308" s="5"/>
      <c r="Q9308" s="21">
        <f t="shared" si="650"/>
        <v>0</v>
      </c>
      <c r="R9308" s="21">
        <f t="shared" si="648"/>
        <v>0</v>
      </c>
      <c r="S9308" s="5">
        <f t="shared" si="651"/>
        <v>70007.077158325032</v>
      </c>
      <c r="T9308" cm="1">
        <f t="array" ref="T9308">IF(OR(B9308="MAL ALIMI", B9308="ÜRETİM GİRİŞ"), MIN(I9308, MAX(0, I9308 + SUM(SUMIFS($I$1:I9307, $C$1:C9307, C9308, $B$1:B9307, {"MAL ALIMI","ÜRETİM GİRİŞ"})) - VLOOKUP(C9308, 'STOK RAPORU'!$C$2:$I$1000, 4, 0))), 0)</f>
        <v>0</v>
      </c>
      <c r="U9308" s="22">
        <f t="shared" si="644"/>
        <v>0</v>
      </c>
      <c r="V9308">
        <f t="shared" si="645"/>
        <v>0</v>
      </c>
      <c r="W9308" s="22">
        <f t="shared" si="646"/>
        <v>0</v>
      </c>
    </row>
    <row r="9309" spans="1:23" hidden="1" x14ac:dyDescent="0.25">
      <c r="A9309" s="4"/>
      <c r="B9309" s="4"/>
      <c r="C9309" s="4"/>
      <c r="D9309" s="4"/>
      <c r="E9309" s="4"/>
      <c r="F9309" s="4"/>
      <c r="G9309" s="4"/>
      <c r="H9309" s="4"/>
      <c r="I9309" s="4"/>
      <c r="J9309" s="21">
        <f>IFERROR(VLOOKUP(C9309,'STOK KARTLARI'!$C$2:$K$2150,8,0),0)</f>
        <v>0</v>
      </c>
      <c r="K9309" s="21">
        <f t="shared" si="647"/>
        <v>0</v>
      </c>
      <c r="L9309" s="5">
        <f t="shared" si="649"/>
        <v>0</v>
      </c>
      <c r="M9309" s="4"/>
      <c r="N9309" s="4"/>
      <c r="O9309" s="5"/>
      <c r="P9309" s="5"/>
      <c r="Q9309" s="21">
        <f t="shared" si="650"/>
        <v>0</v>
      </c>
      <c r="R9309" s="21">
        <f t="shared" si="648"/>
        <v>0</v>
      </c>
      <c r="S9309" s="5">
        <f t="shared" si="651"/>
        <v>70007.077158325032</v>
      </c>
      <c r="T9309" cm="1">
        <f t="array" ref="T9309">IF(OR(B9309="MAL ALIMI", B9309="ÜRETİM GİRİŞ"), MIN(I9309, MAX(0, I9309 + SUM(SUMIFS($I$1:I9308, $C$1:C9308, C9309, $B$1:B9308, {"MAL ALIMI","ÜRETİM GİRİŞ"})) - VLOOKUP(C9309, 'STOK RAPORU'!$C$2:$I$1000, 4, 0))), 0)</f>
        <v>0</v>
      </c>
      <c r="U9309" s="22">
        <f t="shared" si="644"/>
        <v>0</v>
      </c>
      <c r="V9309">
        <f t="shared" si="645"/>
        <v>0</v>
      </c>
      <c r="W9309" s="22">
        <f t="shared" si="646"/>
        <v>0</v>
      </c>
    </row>
    <row r="9310" spans="1:23" hidden="1" x14ac:dyDescent="0.25">
      <c r="A9310" s="4"/>
      <c r="B9310" s="4"/>
      <c r="C9310" s="4"/>
      <c r="D9310" s="4"/>
      <c r="E9310" s="4"/>
      <c r="F9310" s="4"/>
      <c r="G9310" s="4"/>
      <c r="H9310" s="4"/>
      <c r="I9310" s="4"/>
      <c r="J9310" s="21">
        <f>IFERROR(VLOOKUP(C9310,'STOK KARTLARI'!$C$2:$K$2150,8,0),0)</f>
        <v>0</v>
      </c>
      <c r="K9310" s="21">
        <f t="shared" si="647"/>
        <v>0</v>
      </c>
      <c r="L9310" s="5">
        <f t="shared" si="649"/>
        <v>0</v>
      </c>
      <c r="M9310" s="4"/>
      <c r="N9310" s="4"/>
      <c r="O9310" s="5"/>
      <c r="P9310" s="5"/>
      <c r="Q9310" s="21">
        <f t="shared" si="650"/>
        <v>0</v>
      </c>
      <c r="R9310" s="21">
        <f t="shared" si="648"/>
        <v>0</v>
      </c>
      <c r="S9310" s="5">
        <f t="shared" si="651"/>
        <v>70007.077158325032</v>
      </c>
      <c r="T9310" cm="1">
        <f t="array" ref="T9310">IF(OR(B9310="MAL ALIMI", B9310="ÜRETİM GİRİŞ"), MIN(I9310, MAX(0, I9310 + SUM(SUMIFS($I$1:I9309, $C$1:C9309, C9310, $B$1:B9309, {"MAL ALIMI","ÜRETİM GİRİŞ"})) - VLOOKUP(C9310, 'STOK RAPORU'!$C$2:$I$1000, 4, 0))), 0)</f>
        <v>0</v>
      </c>
      <c r="U9310" s="22">
        <f t="shared" si="644"/>
        <v>0</v>
      </c>
      <c r="V9310">
        <f t="shared" si="645"/>
        <v>0</v>
      </c>
      <c r="W9310" s="22">
        <f t="shared" si="646"/>
        <v>0</v>
      </c>
    </row>
    <row r="9311" spans="1:23" hidden="1" x14ac:dyDescent="0.25">
      <c r="A9311" s="4"/>
      <c r="B9311" s="4"/>
      <c r="C9311" s="4"/>
      <c r="D9311" s="4"/>
      <c r="E9311" s="4"/>
      <c r="F9311" s="4"/>
      <c r="G9311" s="4"/>
      <c r="H9311" s="4"/>
      <c r="I9311" s="4"/>
      <c r="J9311" s="21">
        <f>IFERROR(VLOOKUP(C9311,'STOK KARTLARI'!$C$2:$K$2150,8,0),0)</f>
        <v>0</v>
      </c>
      <c r="K9311" s="21">
        <f t="shared" si="647"/>
        <v>0</v>
      </c>
      <c r="L9311" s="5">
        <f t="shared" si="649"/>
        <v>0</v>
      </c>
      <c r="M9311" s="4"/>
      <c r="N9311" s="4"/>
      <c r="O9311" s="5"/>
      <c r="P9311" s="5"/>
      <c r="Q9311" s="21">
        <f t="shared" si="650"/>
        <v>0</v>
      </c>
      <c r="R9311" s="21">
        <f t="shared" si="648"/>
        <v>0</v>
      </c>
      <c r="S9311" s="5">
        <f t="shared" si="651"/>
        <v>70007.077158325032</v>
      </c>
      <c r="T9311" cm="1">
        <f t="array" ref="T9311">IF(OR(B9311="MAL ALIMI", B9311="ÜRETİM GİRİŞ"), MIN(I9311, MAX(0, I9311 + SUM(SUMIFS($I$1:I9310, $C$1:C9310, C9311, $B$1:B9310, {"MAL ALIMI","ÜRETİM GİRİŞ"})) - VLOOKUP(C9311, 'STOK RAPORU'!$C$2:$I$1000, 4, 0))), 0)</f>
        <v>0</v>
      </c>
      <c r="U9311" s="22">
        <f t="shared" si="644"/>
        <v>0</v>
      </c>
      <c r="V9311">
        <f t="shared" si="645"/>
        <v>0</v>
      </c>
      <c r="W9311" s="22">
        <f t="shared" si="646"/>
        <v>0</v>
      </c>
    </row>
    <row r="9312" spans="1:23" hidden="1" x14ac:dyDescent="0.25">
      <c r="A9312" s="4"/>
      <c r="B9312" s="4"/>
      <c r="C9312" s="4"/>
      <c r="D9312" s="4"/>
      <c r="E9312" s="4"/>
      <c r="F9312" s="4"/>
      <c r="G9312" s="4"/>
      <c r="H9312" s="4"/>
      <c r="I9312" s="4"/>
      <c r="J9312" s="21">
        <f>IFERROR(VLOOKUP(C9312,'STOK KARTLARI'!$C$2:$K$2150,8,0),0)</f>
        <v>0</v>
      </c>
      <c r="K9312" s="21">
        <f t="shared" si="647"/>
        <v>0</v>
      </c>
      <c r="L9312" s="5">
        <f t="shared" si="649"/>
        <v>0</v>
      </c>
      <c r="M9312" s="4"/>
      <c r="N9312" s="4"/>
      <c r="O9312" s="5"/>
      <c r="P9312" s="5"/>
      <c r="Q9312" s="21">
        <f t="shared" si="650"/>
        <v>0</v>
      </c>
      <c r="R9312" s="21">
        <f t="shared" si="648"/>
        <v>0</v>
      </c>
      <c r="S9312" s="5">
        <f t="shared" si="651"/>
        <v>70007.077158325032</v>
      </c>
      <c r="T9312" cm="1">
        <f t="array" ref="T9312">IF(OR(B9312="MAL ALIMI", B9312="ÜRETİM GİRİŞ"), MIN(I9312, MAX(0, I9312 + SUM(SUMIFS($I$1:I9311, $C$1:C9311, C9312, $B$1:B9311, {"MAL ALIMI","ÜRETİM GİRİŞ"})) - VLOOKUP(C9312, 'STOK RAPORU'!$C$2:$I$1000, 4, 0))), 0)</f>
        <v>0</v>
      </c>
      <c r="U9312" s="22">
        <f t="shared" si="644"/>
        <v>0</v>
      </c>
      <c r="V9312">
        <f t="shared" si="645"/>
        <v>0</v>
      </c>
      <c r="W9312" s="22">
        <f t="shared" si="646"/>
        <v>0</v>
      </c>
    </row>
    <row r="9313" spans="1:23" hidden="1" x14ac:dyDescent="0.25">
      <c r="A9313" s="4"/>
      <c r="B9313" s="4"/>
      <c r="C9313" s="4"/>
      <c r="D9313" s="4"/>
      <c r="E9313" s="4"/>
      <c r="F9313" s="4"/>
      <c r="G9313" s="4"/>
      <c r="H9313" s="4"/>
      <c r="I9313" s="4"/>
      <c r="J9313" s="21">
        <f>IFERROR(VLOOKUP(C9313,'STOK KARTLARI'!$C$2:$K$2150,8,0),0)</f>
        <v>0</v>
      </c>
      <c r="K9313" s="21">
        <f t="shared" si="647"/>
        <v>0</v>
      </c>
      <c r="L9313" s="5">
        <f t="shared" si="649"/>
        <v>0</v>
      </c>
      <c r="M9313" s="4"/>
      <c r="N9313" s="4"/>
      <c r="O9313" s="5"/>
      <c r="P9313" s="5"/>
      <c r="Q9313" s="21">
        <f t="shared" si="650"/>
        <v>0</v>
      </c>
      <c r="R9313" s="21">
        <f t="shared" si="648"/>
        <v>0</v>
      </c>
      <c r="S9313" s="5">
        <f t="shared" si="651"/>
        <v>70007.077158325032</v>
      </c>
      <c r="T9313" cm="1">
        <f t="array" ref="T9313">IF(OR(B9313="MAL ALIMI", B9313="ÜRETİM GİRİŞ"), MIN(I9313, MAX(0, I9313 + SUM(SUMIFS($I$1:I9312, $C$1:C9312, C9313, $B$1:B9312, {"MAL ALIMI","ÜRETİM GİRİŞ"})) - VLOOKUP(C9313, 'STOK RAPORU'!$C$2:$I$1000, 4, 0))), 0)</f>
        <v>0</v>
      </c>
      <c r="U9313" s="22">
        <f t="shared" si="644"/>
        <v>0</v>
      </c>
      <c r="V9313">
        <f t="shared" si="645"/>
        <v>0</v>
      </c>
      <c r="W9313" s="22">
        <f t="shared" si="646"/>
        <v>0</v>
      </c>
    </row>
    <row r="9314" spans="1:23" hidden="1" x14ac:dyDescent="0.25">
      <c r="A9314" s="4"/>
      <c r="B9314" s="4"/>
      <c r="C9314" s="4"/>
      <c r="D9314" s="4"/>
      <c r="E9314" s="4"/>
      <c r="F9314" s="4"/>
      <c r="G9314" s="4"/>
      <c r="H9314" s="4"/>
      <c r="I9314" s="4"/>
      <c r="J9314" s="21">
        <f>IFERROR(VLOOKUP(C9314,'STOK KARTLARI'!$C$2:$K$2150,8,0),0)</f>
        <v>0</v>
      </c>
      <c r="K9314" s="21">
        <f t="shared" si="647"/>
        <v>0</v>
      </c>
      <c r="L9314" s="5">
        <f t="shared" si="649"/>
        <v>0</v>
      </c>
      <c r="M9314" s="4"/>
      <c r="N9314" s="4"/>
      <c r="O9314" s="5"/>
      <c r="P9314" s="5"/>
      <c r="Q9314" s="21">
        <f t="shared" si="650"/>
        <v>0</v>
      </c>
      <c r="R9314" s="21">
        <f t="shared" si="648"/>
        <v>0</v>
      </c>
      <c r="S9314" s="5">
        <f t="shared" si="651"/>
        <v>70007.077158325032</v>
      </c>
      <c r="T9314" cm="1">
        <f t="array" ref="T9314">IF(OR(B9314="MAL ALIMI", B9314="ÜRETİM GİRİŞ"), MIN(I9314, MAX(0, I9314 + SUM(SUMIFS($I$1:I9313, $C$1:C9313, C9314, $B$1:B9313, {"MAL ALIMI","ÜRETİM GİRİŞ"})) - VLOOKUP(C9314, 'STOK RAPORU'!$C$2:$I$1000, 4, 0))), 0)</f>
        <v>0</v>
      </c>
      <c r="U9314" s="22">
        <f t="shared" si="644"/>
        <v>0</v>
      </c>
      <c r="V9314">
        <f t="shared" si="645"/>
        <v>0</v>
      </c>
      <c r="W9314" s="22">
        <f t="shared" si="646"/>
        <v>0</v>
      </c>
    </row>
    <row r="9315" spans="1:23" hidden="1" x14ac:dyDescent="0.25">
      <c r="A9315" s="3"/>
      <c r="B9315" s="4"/>
      <c r="C9315" s="4"/>
      <c r="D9315" s="4"/>
      <c r="E9315" s="4"/>
      <c r="F9315" s="4"/>
      <c r="G9315" s="4"/>
      <c r="H9315" s="4"/>
      <c r="I9315" s="4"/>
      <c r="J9315" s="21">
        <f>IFERROR(VLOOKUP(C9315,'STOK KARTLARI'!$C$2:$K$2150,8,0),0)</f>
        <v>0</v>
      </c>
      <c r="K9315" s="21">
        <f t="shared" si="647"/>
        <v>0</v>
      </c>
      <c r="L9315" s="5">
        <f t="shared" si="649"/>
        <v>0</v>
      </c>
      <c r="M9315" s="4"/>
      <c r="N9315" s="4"/>
      <c r="O9315" s="5"/>
      <c r="P9315" s="5"/>
      <c r="Q9315" s="21">
        <f t="shared" si="650"/>
        <v>0</v>
      </c>
      <c r="R9315" s="21">
        <f t="shared" si="648"/>
        <v>0</v>
      </c>
      <c r="S9315" s="5">
        <f t="shared" si="651"/>
        <v>70007.077158325032</v>
      </c>
      <c r="T9315" cm="1">
        <f t="array" ref="T9315">IF(OR(B9315="MAL ALIMI", B9315="ÜRETİM GİRİŞ"), MIN(I9315, MAX(0, I9315 + SUM(SUMIFS($I$1:I9314, $C$1:C9314, C9315, $B$1:B9314, {"MAL ALIMI","ÜRETİM GİRİŞ"})) - VLOOKUP(C9315, 'STOK RAPORU'!$C$2:$I$1000, 4, 0))), 0)</f>
        <v>0</v>
      </c>
      <c r="U9315" s="22">
        <f t="shared" si="644"/>
        <v>0</v>
      </c>
      <c r="V9315">
        <f t="shared" si="645"/>
        <v>0</v>
      </c>
      <c r="W9315" s="22">
        <f t="shared" si="646"/>
        <v>0</v>
      </c>
    </row>
    <row r="9316" spans="1:23" hidden="1" x14ac:dyDescent="0.25">
      <c r="A9316" s="4"/>
      <c r="B9316" s="4"/>
      <c r="C9316" s="4"/>
      <c r="D9316" s="4"/>
      <c r="E9316" s="4"/>
      <c r="F9316" s="4"/>
      <c r="G9316" s="4"/>
      <c r="H9316" s="4"/>
      <c r="I9316" s="4"/>
      <c r="J9316" s="21">
        <f>IFERROR(VLOOKUP(C9316,'STOK KARTLARI'!$C$2:$K$2150,8,0),0)</f>
        <v>0</v>
      </c>
      <c r="K9316" s="21">
        <f t="shared" si="647"/>
        <v>0</v>
      </c>
      <c r="L9316" s="5">
        <f t="shared" si="649"/>
        <v>0</v>
      </c>
      <c r="M9316" s="4"/>
      <c r="N9316" s="4"/>
      <c r="O9316" s="5"/>
      <c r="P9316" s="5"/>
      <c r="Q9316" s="21">
        <f t="shared" si="650"/>
        <v>0</v>
      </c>
      <c r="R9316" s="21">
        <f t="shared" si="648"/>
        <v>0</v>
      </c>
      <c r="S9316" s="5">
        <f t="shared" si="651"/>
        <v>70007.077158325032</v>
      </c>
      <c r="T9316" cm="1">
        <f t="array" ref="T9316">IF(OR(B9316="MAL ALIMI", B9316="ÜRETİM GİRİŞ"), MIN(I9316, MAX(0, I9316 + SUM(SUMIFS($I$1:I9315, $C$1:C9315, C9316, $B$1:B9315, {"MAL ALIMI","ÜRETİM GİRİŞ"})) - VLOOKUP(C9316, 'STOK RAPORU'!$C$2:$I$1000, 4, 0))), 0)</f>
        <v>0</v>
      </c>
      <c r="U9316" s="22">
        <f t="shared" si="644"/>
        <v>0</v>
      </c>
      <c r="V9316">
        <f t="shared" si="645"/>
        <v>0</v>
      </c>
      <c r="W9316" s="22">
        <f t="shared" si="646"/>
        <v>0</v>
      </c>
    </row>
    <row r="9317" spans="1:23" hidden="1" x14ac:dyDescent="0.25">
      <c r="A9317" s="4"/>
      <c r="B9317" s="4"/>
      <c r="C9317" s="4"/>
      <c r="D9317" s="4"/>
      <c r="E9317" s="4"/>
      <c r="F9317" s="4"/>
      <c r="G9317" s="4"/>
      <c r="H9317" s="4"/>
      <c r="I9317" s="4"/>
      <c r="J9317" s="21">
        <f>IFERROR(VLOOKUP(C9317,'STOK KARTLARI'!$C$2:$K$2150,8,0),0)</f>
        <v>0</v>
      </c>
      <c r="K9317" s="21">
        <f t="shared" si="647"/>
        <v>0</v>
      </c>
      <c r="L9317" s="5">
        <f t="shared" si="649"/>
        <v>0</v>
      </c>
      <c r="M9317" s="4"/>
      <c r="N9317" s="4"/>
      <c r="O9317" s="5"/>
      <c r="P9317" s="5"/>
      <c r="Q9317" s="21">
        <f t="shared" si="650"/>
        <v>0</v>
      </c>
      <c r="R9317" s="21">
        <f t="shared" si="648"/>
        <v>0</v>
      </c>
      <c r="S9317" s="5">
        <f t="shared" si="651"/>
        <v>70007.077158325032</v>
      </c>
      <c r="T9317" cm="1">
        <f t="array" ref="T9317">IF(OR(B9317="MAL ALIMI", B9317="ÜRETİM GİRİŞ"), MIN(I9317, MAX(0, I9317 + SUM(SUMIFS($I$1:I9316, $C$1:C9316, C9317, $B$1:B9316, {"MAL ALIMI","ÜRETİM GİRİŞ"})) - VLOOKUP(C9317, 'STOK RAPORU'!$C$2:$I$1000, 4, 0))), 0)</f>
        <v>0</v>
      </c>
      <c r="U9317" s="22">
        <f t="shared" si="644"/>
        <v>0</v>
      </c>
      <c r="V9317">
        <f t="shared" si="645"/>
        <v>0</v>
      </c>
      <c r="W9317" s="22">
        <f t="shared" si="646"/>
        <v>0</v>
      </c>
    </row>
    <row r="9318" spans="1:23" hidden="1" x14ac:dyDescent="0.25">
      <c r="A9318" s="4"/>
      <c r="B9318" s="4"/>
      <c r="C9318" s="4"/>
      <c r="D9318" s="4"/>
      <c r="E9318" s="4"/>
      <c r="F9318" s="4"/>
      <c r="G9318" s="4"/>
      <c r="H9318" s="4"/>
      <c r="I9318" s="4"/>
      <c r="J9318" s="21">
        <f>IFERROR(VLOOKUP(C9318,'STOK KARTLARI'!$C$2:$K$2150,8,0),0)</f>
        <v>0</v>
      </c>
      <c r="K9318" s="21">
        <f t="shared" si="647"/>
        <v>0</v>
      </c>
      <c r="L9318" s="5">
        <f t="shared" si="649"/>
        <v>0</v>
      </c>
      <c r="M9318" s="4"/>
      <c r="N9318" s="4"/>
      <c r="O9318" s="5"/>
      <c r="P9318" s="5"/>
      <c r="Q9318" s="21">
        <f t="shared" si="650"/>
        <v>0</v>
      </c>
      <c r="R9318" s="21">
        <f t="shared" si="648"/>
        <v>0</v>
      </c>
      <c r="S9318" s="5">
        <f t="shared" si="651"/>
        <v>70007.077158325032</v>
      </c>
      <c r="T9318" cm="1">
        <f t="array" ref="T9318">IF(OR(B9318="MAL ALIMI", B9318="ÜRETİM GİRİŞ"), MIN(I9318, MAX(0, I9318 + SUM(SUMIFS($I$1:I9317, $C$1:C9317, C9318, $B$1:B9317, {"MAL ALIMI","ÜRETİM GİRİŞ"})) - VLOOKUP(C9318, 'STOK RAPORU'!$C$2:$I$1000, 4, 0))), 0)</f>
        <v>0</v>
      </c>
      <c r="U9318" s="22">
        <f t="shared" si="644"/>
        <v>0</v>
      </c>
      <c r="V9318">
        <f t="shared" si="645"/>
        <v>0</v>
      </c>
      <c r="W9318" s="22">
        <f t="shared" si="646"/>
        <v>0</v>
      </c>
    </row>
    <row r="9319" spans="1:23" hidden="1" x14ac:dyDescent="0.25">
      <c r="A9319" s="4"/>
      <c r="B9319" s="4"/>
      <c r="C9319" s="4"/>
      <c r="D9319" s="4"/>
      <c r="E9319" s="4"/>
      <c r="F9319" s="4"/>
      <c r="G9319" s="4"/>
      <c r="H9319" s="4"/>
      <c r="I9319" s="4"/>
      <c r="J9319" s="21">
        <f>IFERROR(VLOOKUP(C9319,'STOK KARTLARI'!$C$2:$K$2150,8,0),0)</f>
        <v>0</v>
      </c>
      <c r="K9319" s="21">
        <f t="shared" si="647"/>
        <v>0</v>
      </c>
      <c r="L9319" s="5">
        <f t="shared" si="649"/>
        <v>0</v>
      </c>
      <c r="M9319" s="4"/>
      <c r="N9319" s="4"/>
      <c r="O9319" s="5"/>
      <c r="P9319" s="5"/>
      <c r="Q9319" s="21">
        <f t="shared" si="650"/>
        <v>0</v>
      </c>
      <c r="R9319" s="21">
        <f t="shared" si="648"/>
        <v>0</v>
      </c>
      <c r="S9319" s="5">
        <f t="shared" si="651"/>
        <v>70007.077158325032</v>
      </c>
      <c r="T9319" cm="1">
        <f t="array" ref="T9319">IF(OR(B9319="MAL ALIMI", B9319="ÜRETİM GİRİŞ"), MIN(I9319, MAX(0, I9319 + SUM(SUMIFS($I$1:I9318, $C$1:C9318, C9319, $B$1:B9318, {"MAL ALIMI","ÜRETİM GİRİŞ"})) - VLOOKUP(C9319, 'STOK RAPORU'!$C$2:$I$1000, 4, 0))), 0)</f>
        <v>0</v>
      </c>
      <c r="U9319" s="22">
        <f t="shared" si="644"/>
        <v>0</v>
      </c>
      <c r="V9319">
        <f t="shared" si="645"/>
        <v>0</v>
      </c>
      <c r="W9319" s="22">
        <f t="shared" si="646"/>
        <v>0</v>
      </c>
    </row>
    <row r="9320" spans="1:23" hidden="1" x14ac:dyDescent="0.25">
      <c r="A9320" s="4"/>
      <c r="B9320" s="4"/>
      <c r="C9320" s="4"/>
      <c r="D9320" s="4"/>
      <c r="E9320" s="4"/>
      <c r="F9320" s="4"/>
      <c r="G9320" s="4"/>
      <c r="H9320" s="4"/>
      <c r="I9320" s="4"/>
      <c r="J9320" s="21">
        <f>IFERROR(VLOOKUP(C9320,'STOK KARTLARI'!$C$2:$K$2150,8,0),0)</f>
        <v>0</v>
      </c>
      <c r="K9320" s="21">
        <f t="shared" si="647"/>
        <v>0</v>
      </c>
      <c r="L9320" s="5">
        <f t="shared" si="649"/>
        <v>0</v>
      </c>
      <c r="M9320" s="4"/>
      <c r="N9320" s="4"/>
      <c r="O9320" s="5"/>
      <c r="P9320" s="5"/>
      <c r="Q9320" s="21">
        <f t="shared" si="650"/>
        <v>0</v>
      </c>
      <c r="R9320" s="21">
        <f t="shared" si="648"/>
        <v>0</v>
      </c>
      <c r="S9320" s="5">
        <f t="shared" si="651"/>
        <v>70007.077158325032</v>
      </c>
      <c r="T9320" cm="1">
        <f t="array" ref="T9320">IF(OR(B9320="MAL ALIMI", B9320="ÜRETİM GİRİŞ"), MIN(I9320, MAX(0, I9320 + SUM(SUMIFS($I$1:I9319, $C$1:C9319, C9320, $B$1:B9319, {"MAL ALIMI","ÜRETİM GİRİŞ"})) - VLOOKUP(C9320, 'STOK RAPORU'!$C$2:$I$1000, 4, 0))), 0)</f>
        <v>0</v>
      </c>
      <c r="U9320" s="22">
        <f t="shared" si="644"/>
        <v>0</v>
      </c>
      <c r="V9320">
        <f t="shared" si="645"/>
        <v>0</v>
      </c>
      <c r="W9320" s="22">
        <f t="shared" si="646"/>
        <v>0</v>
      </c>
    </row>
    <row r="9321" spans="1:23" hidden="1" x14ac:dyDescent="0.25">
      <c r="A9321" s="4"/>
      <c r="B9321" s="4"/>
      <c r="C9321" s="4"/>
      <c r="D9321" s="4"/>
      <c r="E9321" s="4"/>
      <c r="F9321" s="4"/>
      <c r="G9321" s="4"/>
      <c r="H9321" s="4"/>
      <c r="I9321" s="4"/>
      <c r="J9321" s="21">
        <f>IFERROR(VLOOKUP(C9321,'STOK KARTLARI'!$C$2:$K$2150,8,0),0)</f>
        <v>0</v>
      </c>
      <c r="K9321" s="21">
        <f t="shared" si="647"/>
        <v>0</v>
      </c>
      <c r="L9321" s="5">
        <f t="shared" si="649"/>
        <v>0</v>
      </c>
      <c r="M9321" s="4"/>
      <c r="N9321" s="4"/>
      <c r="O9321" s="5"/>
      <c r="P9321" s="5"/>
      <c r="Q9321" s="21">
        <f t="shared" si="650"/>
        <v>0</v>
      </c>
      <c r="R9321" s="21">
        <f t="shared" si="648"/>
        <v>0</v>
      </c>
      <c r="S9321" s="5">
        <f t="shared" si="651"/>
        <v>70007.077158325032</v>
      </c>
      <c r="T9321" cm="1">
        <f t="array" ref="T9321">IF(OR(B9321="MAL ALIMI", B9321="ÜRETİM GİRİŞ"), MIN(I9321, MAX(0, I9321 + SUM(SUMIFS($I$1:I9320, $C$1:C9320, C9321, $B$1:B9320, {"MAL ALIMI","ÜRETİM GİRİŞ"})) - VLOOKUP(C9321, 'STOK RAPORU'!$C$2:$I$1000, 4, 0))), 0)</f>
        <v>0</v>
      </c>
      <c r="U9321" s="22">
        <f t="shared" si="644"/>
        <v>0</v>
      </c>
      <c r="V9321">
        <f t="shared" si="645"/>
        <v>0</v>
      </c>
      <c r="W9321" s="22">
        <f t="shared" si="646"/>
        <v>0</v>
      </c>
    </row>
    <row r="9322" spans="1:23" hidden="1" x14ac:dyDescent="0.25">
      <c r="A9322" s="3"/>
      <c r="B9322" s="4"/>
      <c r="C9322" s="4"/>
      <c r="D9322" s="4"/>
      <c r="E9322" s="4"/>
      <c r="F9322" s="4"/>
      <c r="G9322" s="4"/>
      <c r="H9322" s="4"/>
      <c r="I9322" s="4"/>
      <c r="J9322" s="21">
        <f>IFERROR(VLOOKUP(C9322,'STOK KARTLARI'!$C$2:$K$2150,8,0),0)</f>
        <v>0</v>
      </c>
      <c r="K9322" s="21">
        <f t="shared" si="647"/>
        <v>0</v>
      </c>
      <c r="L9322" s="5">
        <f t="shared" si="649"/>
        <v>0</v>
      </c>
      <c r="M9322" s="4"/>
      <c r="N9322" s="4"/>
      <c r="O9322" s="5"/>
      <c r="P9322" s="5"/>
      <c r="Q9322" s="21">
        <f t="shared" si="650"/>
        <v>0</v>
      </c>
      <c r="R9322" s="21">
        <f t="shared" si="648"/>
        <v>0</v>
      </c>
      <c r="S9322" s="5">
        <f t="shared" si="651"/>
        <v>70007.077158325032</v>
      </c>
      <c r="T9322" cm="1">
        <f t="array" ref="T9322">IF(OR(B9322="MAL ALIMI", B9322="ÜRETİM GİRİŞ"), MIN(I9322, MAX(0, I9322 + SUM(SUMIFS($I$1:I9321, $C$1:C9321, C9322, $B$1:B9321, {"MAL ALIMI","ÜRETİM GİRİŞ"})) - VLOOKUP(C9322, 'STOK RAPORU'!$C$2:$I$1000, 4, 0))), 0)</f>
        <v>0</v>
      </c>
      <c r="U9322" s="22">
        <f t="shared" si="644"/>
        <v>0</v>
      </c>
      <c r="V9322">
        <f t="shared" si="645"/>
        <v>0</v>
      </c>
      <c r="W9322" s="22">
        <f t="shared" si="646"/>
        <v>0</v>
      </c>
    </row>
    <row r="9323" spans="1:23" hidden="1" x14ac:dyDescent="0.25">
      <c r="A9323" s="4"/>
      <c r="B9323" s="4"/>
      <c r="C9323" s="4"/>
      <c r="D9323" s="4"/>
      <c r="E9323" s="4"/>
      <c r="F9323" s="4"/>
      <c r="G9323" s="4"/>
      <c r="H9323" s="4"/>
      <c r="I9323" s="4"/>
      <c r="J9323" s="21">
        <f>IFERROR(VLOOKUP(C9323,'STOK KARTLARI'!$C$2:$K$2150,8,0),0)</f>
        <v>0</v>
      </c>
      <c r="K9323" s="21">
        <f t="shared" si="647"/>
        <v>0</v>
      </c>
      <c r="L9323" s="5">
        <f t="shared" si="649"/>
        <v>0</v>
      </c>
      <c r="M9323" s="4"/>
      <c r="N9323" s="4"/>
      <c r="O9323" s="5"/>
      <c r="P9323" s="5"/>
      <c r="Q9323" s="21">
        <f t="shared" si="650"/>
        <v>0</v>
      </c>
      <c r="R9323" s="21">
        <f t="shared" si="648"/>
        <v>0</v>
      </c>
      <c r="S9323" s="5">
        <f t="shared" si="651"/>
        <v>70007.077158325032</v>
      </c>
      <c r="T9323" cm="1">
        <f t="array" ref="T9323">IF(OR(B9323="MAL ALIMI", B9323="ÜRETİM GİRİŞ"), MIN(I9323, MAX(0, I9323 + SUM(SUMIFS($I$1:I9322, $C$1:C9322, C9323, $B$1:B9322, {"MAL ALIMI","ÜRETİM GİRİŞ"})) - VLOOKUP(C9323, 'STOK RAPORU'!$C$2:$I$1000, 4, 0))), 0)</f>
        <v>0</v>
      </c>
      <c r="U9323" s="22">
        <f t="shared" si="644"/>
        <v>0</v>
      </c>
      <c r="V9323">
        <f t="shared" si="645"/>
        <v>0</v>
      </c>
      <c r="W9323" s="22">
        <f t="shared" si="646"/>
        <v>0</v>
      </c>
    </row>
    <row r="9324" spans="1:23" hidden="1" x14ac:dyDescent="0.25">
      <c r="A9324" s="4"/>
      <c r="B9324" s="4"/>
      <c r="C9324" s="4"/>
      <c r="D9324" s="4"/>
      <c r="E9324" s="4"/>
      <c r="F9324" s="4"/>
      <c r="G9324" s="4"/>
      <c r="H9324" s="4"/>
      <c r="I9324" s="4"/>
      <c r="J9324" s="21">
        <f>IFERROR(VLOOKUP(C9324,'STOK KARTLARI'!$C$2:$K$2150,8,0),0)</f>
        <v>0</v>
      </c>
      <c r="K9324" s="21">
        <f t="shared" si="647"/>
        <v>0</v>
      </c>
      <c r="L9324" s="5">
        <f t="shared" si="649"/>
        <v>0</v>
      </c>
      <c r="M9324" s="4"/>
      <c r="N9324" s="4"/>
      <c r="O9324" s="5"/>
      <c r="P9324" s="5"/>
      <c r="Q9324" s="21">
        <f t="shared" si="650"/>
        <v>0</v>
      </c>
      <c r="R9324" s="21">
        <f t="shared" si="648"/>
        <v>0</v>
      </c>
      <c r="S9324" s="5">
        <f t="shared" si="651"/>
        <v>70007.077158325032</v>
      </c>
      <c r="T9324" cm="1">
        <f t="array" ref="T9324">IF(OR(B9324="MAL ALIMI", B9324="ÜRETİM GİRİŞ"), MIN(I9324, MAX(0, I9324 + SUM(SUMIFS($I$1:I9323, $C$1:C9323, C9324, $B$1:B9323, {"MAL ALIMI","ÜRETİM GİRİŞ"})) - VLOOKUP(C9324, 'STOK RAPORU'!$C$2:$I$1000, 4, 0))), 0)</f>
        <v>0</v>
      </c>
      <c r="U9324" s="22">
        <f t="shared" si="644"/>
        <v>0</v>
      </c>
      <c r="V9324">
        <f t="shared" si="645"/>
        <v>0</v>
      </c>
      <c r="W9324" s="22">
        <f t="shared" si="646"/>
        <v>0</v>
      </c>
    </row>
    <row r="9325" spans="1:23" hidden="1" x14ac:dyDescent="0.25">
      <c r="A9325" s="4"/>
      <c r="B9325" s="4"/>
      <c r="C9325" s="4"/>
      <c r="D9325" s="4"/>
      <c r="E9325" s="4"/>
      <c r="F9325" s="4"/>
      <c r="G9325" s="4"/>
      <c r="H9325" s="4"/>
      <c r="I9325" s="4"/>
      <c r="J9325" s="21">
        <f>IFERROR(VLOOKUP(C9325,'STOK KARTLARI'!$C$2:$K$2150,8,0),0)</f>
        <v>0</v>
      </c>
      <c r="K9325" s="21">
        <f t="shared" si="647"/>
        <v>0</v>
      </c>
      <c r="L9325" s="5">
        <f t="shared" si="649"/>
        <v>0</v>
      </c>
      <c r="M9325" s="4"/>
      <c r="N9325" s="4"/>
      <c r="O9325" s="5"/>
      <c r="P9325" s="5"/>
      <c r="Q9325" s="21">
        <f t="shared" si="650"/>
        <v>0</v>
      </c>
      <c r="R9325" s="21">
        <f t="shared" si="648"/>
        <v>0</v>
      </c>
      <c r="S9325" s="5">
        <f t="shared" si="651"/>
        <v>70007.077158325032</v>
      </c>
      <c r="T9325" cm="1">
        <f t="array" ref="T9325">IF(OR(B9325="MAL ALIMI", B9325="ÜRETİM GİRİŞ"), MIN(I9325, MAX(0, I9325 + SUM(SUMIFS($I$1:I9324, $C$1:C9324, C9325, $B$1:B9324, {"MAL ALIMI","ÜRETİM GİRİŞ"})) - VLOOKUP(C9325, 'STOK RAPORU'!$C$2:$I$1000, 4, 0))), 0)</f>
        <v>0</v>
      </c>
      <c r="U9325" s="22">
        <f t="shared" si="644"/>
        <v>0</v>
      </c>
      <c r="V9325">
        <f t="shared" si="645"/>
        <v>0</v>
      </c>
      <c r="W9325" s="22">
        <f t="shared" si="646"/>
        <v>0</v>
      </c>
    </row>
    <row r="9326" spans="1:23" hidden="1" x14ac:dyDescent="0.25">
      <c r="A9326" s="4"/>
      <c r="B9326" s="4"/>
      <c r="C9326" s="4"/>
      <c r="D9326" s="4"/>
      <c r="E9326" s="4"/>
      <c r="F9326" s="4"/>
      <c r="G9326" s="4"/>
      <c r="H9326" s="4"/>
      <c r="I9326" s="4"/>
      <c r="J9326" s="21">
        <f>IFERROR(VLOOKUP(C9326,'STOK KARTLARI'!$C$2:$K$2150,8,0),0)</f>
        <v>0</v>
      </c>
      <c r="K9326" s="21">
        <f t="shared" si="647"/>
        <v>0</v>
      </c>
      <c r="L9326" s="5">
        <f t="shared" si="649"/>
        <v>0</v>
      </c>
      <c r="M9326" s="4"/>
      <c r="N9326" s="4"/>
      <c r="O9326" s="5"/>
      <c r="P9326" s="5"/>
      <c r="Q9326" s="21">
        <f t="shared" si="650"/>
        <v>0</v>
      </c>
      <c r="R9326" s="21">
        <f t="shared" si="648"/>
        <v>0</v>
      </c>
      <c r="S9326" s="5">
        <f t="shared" si="651"/>
        <v>70007.077158325032</v>
      </c>
      <c r="T9326" cm="1">
        <f t="array" ref="T9326">IF(OR(B9326="MAL ALIMI", B9326="ÜRETİM GİRİŞ"), MIN(I9326, MAX(0, I9326 + SUM(SUMIFS($I$1:I9325, $C$1:C9325, C9326, $B$1:B9325, {"MAL ALIMI","ÜRETİM GİRİŞ"})) - VLOOKUP(C9326, 'STOK RAPORU'!$C$2:$I$1000, 4, 0))), 0)</f>
        <v>0</v>
      </c>
      <c r="U9326" s="22">
        <f t="shared" si="644"/>
        <v>0</v>
      </c>
      <c r="V9326">
        <f t="shared" si="645"/>
        <v>0</v>
      </c>
      <c r="W9326" s="22">
        <f t="shared" si="646"/>
        <v>0</v>
      </c>
    </row>
    <row r="9327" spans="1:23" hidden="1" x14ac:dyDescent="0.25">
      <c r="A9327" s="4"/>
      <c r="B9327" s="4"/>
      <c r="C9327" s="4"/>
      <c r="D9327" s="4"/>
      <c r="E9327" s="4"/>
      <c r="F9327" s="4"/>
      <c r="G9327" s="4"/>
      <c r="H9327" s="4"/>
      <c r="I9327" s="4"/>
      <c r="J9327" s="21">
        <f>IFERROR(VLOOKUP(C9327,'STOK KARTLARI'!$C$2:$K$2150,8,0),0)</f>
        <v>0</v>
      </c>
      <c r="K9327" s="21">
        <f t="shared" si="647"/>
        <v>0</v>
      </c>
      <c r="L9327" s="5">
        <f t="shared" si="649"/>
        <v>0</v>
      </c>
      <c r="M9327" s="4"/>
      <c r="N9327" s="4"/>
      <c r="O9327" s="5"/>
      <c r="P9327" s="5"/>
      <c r="Q9327" s="21">
        <f t="shared" si="650"/>
        <v>0</v>
      </c>
      <c r="R9327" s="21">
        <f t="shared" si="648"/>
        <v>0</v>
      </c>
      <c r="S9327" s="5">
        <f t="shared" si="651"/>
        <v>70007.077158325032</v>
      </c>
      <c r="T9327" cm="1">
        <f t="array" ref="T9327">IF(OR(B9327="MAL ALIMI", B9327="ÜRETİM GİRİŞ"), MIN(I9327, MAX(0, I9327 + SUM(SUMIFS($I$1:I9326, $C$1:C9326, C9327, $B$1:B9326, {"MAL ALIMI","ÜRETİM GİRİŞ"})) - VLOOKUP(C9327, 'STOK RAPORU'!$C$2:$I$1000, 4, 0))), 0)</f>
        <v>0</v>
      </c>
      <c r="U9327" s="22">
        <f t="shared" ref="U9327:U9390" si="652">T9327*J9327</f>
        <v>0</v>
      </c>
      <c r="V9327">
        <f t="shared" ref="V9327:V9390" si="653">IF(OR(B9327="MAL ALIMI", B9327="ÜRETİM GİRİŞ"), I9327 * J9327, 0)</f>
        <v>0</v>
      </c>
      <c r="W9327" s="22">
        <f t="shared" ref="W9327:W9390" si="654">V9327-U9327</f>
        <v>0</v>
      </c>
    </row>
    <row r="9328" spans="1:23" hidden="1" x14ac:dyDescent="0.25">
      <c r="A9328" s="4"/>
      <c r="B9328" s="4"/>
      <c r="C9328" s="4"/>
      <c r="D9328" s="4"/>
      <c r="E9328" s="4"/>
      <c r="F9328" s="4"/>
      <c r="G9328" s="4"/>
      <c r="H9328" s="4"/>
      <c r="I9328" s="4"/>
      <c r="J9328" s="21">
        <f>IFERROR(VLOOKUP(C9328,'STOK KARTLARI'!$C$2:$K$2150,8,0),0)</f>
        <v>0</v>
      </c>
      <c r="K9328" s="21">
        <f t="shared" si="647"/>
        <v>0</v>
      </c>
      <c r="L9328" s="5">
        <f t="shared" si="649"/>
        <v>0</v>
      </c>
      <c r="M9328" s="4"/>
      <c r="N9328" s="4"/>
      <c r="O9328" s="5"/>
      <c r="P9328" s="5"/>
      <c r="Q9328" s="21">
        <f t="shared" si="650"/>
        <v>0</v>
      </c>
      <c r="R9328" s="21">
        <f t="shared" si="648"/>
        <v>0</v>
      </c>
      <c r="S9328" s="5">
        <f t="shared" si="651"/>
        <v>70007.077158325032</v>
      </c>
      <c r="T9328" cm="1">
        <f t="array" ref="T9328">IF(OR(B9328="MAL ALIMI", B9328="ÜRETİM GİRİŞ"), MIN(I9328, MAX(0, I9328 + SUM(SUMIFS($I$1:I9327, $C$1:C9327, C9328, $B$1:B9327, {"MAL ALIMI","ÜRETİM GİRİŞ"})) - VLOOKUP(C9328, 'STOK RAPORU'!$C$2:$I$1000, 4, 0))), 0)</f>
        <v>0</v>
      </c>
      <c r="U9328" s="22">
        <f t="shared" si="652"/>
        <v>0</v>
      </c>
      <c r="V9328">
        <f t="shared" si="653"/>
        <v>0</v>
      </c>
      <c r="W9328" s="22">
        <f t="shared" si="654"/>
        <v>0</v>
      </c>
    </row>
    <row r="9329" spans="1:23" hidden="1" x14ac:dyDescent="0.25">
      <c r="A9329" s="3"/>
      <c r="B9329" s="4"/>
      <c r="C9329" s="4"/>
      <c r="D9329" s="4"/>
      <c r="E9329" s="4"/>
      <c r="F9329" s="4"/>
      <c r="G9329" s="4"/>
      <c r="H9329" s="4"/>
      <c r="I9329" s="4"/>
      <c r="J9329" s="21">
        <f>IFERROR(VLOOKUP(C9329,'STOK KARTLARI'!$C$2:$K$2150,8,0),0)</f>
        <v>0</v>
      </c>
      <c r="K9329" s="21">
        <f t="shared" si="647"/>
        <v>0</v>
      </c>
      <c r="L9329" s="5">
        <f t="shared" si="649"/>
        <v>0</v>
      </c>
      <c r="M9329" s="4"/>
      <c r="N9329" s="4"/>
      <c r="O9329" s="5"/>
      <c r="P9329" s="5"/>
      <c r="Q9329" s="21">
        <f t="shared" si="650"/>
        <v>0</v>
      </c>
      <c r="R9329" s="21">
        <f t="shared" si="648"/>
        <v>0</v>
      </c>
      <c r="S9329" s="5">
        <f t="shared" si="651"/>
        <v>70007.077158325032</v>
      </c>
      <c r="T9329" cm="1">
        <f t="array" ref="T9329">IF(OR(B9329="MAL ALIMI", B9329="ÜRETİM GİRİŞ"), MIN(I9329, MAX(0, I9329 + SUM(SUMIFS($I$1:I9328, $C$1:C9328, C9329, $B$1:B9328, {"MAL ALIMI","ÜRETİM GİRİŞ"})) - VLOOKUP(C9329, 'STOK RAPORU'!$C$2:$I$1000, 4, 0))), 0)</f>
        <v>0</v>
      </c>
      <c r="U9329" s="22">
        <f t="shared" si="652"/>
        <v>0</v>
      </c>
      <c r="V9329">
        <f t="shared" si="653"/>
        <v>0</v>
      </c>
      <c r="W9329" s="22">
        <f t="shared" si="654"/>
        <v>0</v>
      </c>
    </row>
    <row r="9330" spans="1:23" hidden="1" x14ac:dyDescent="0.25">
      <c r="A9330" s="3"/>
      <c r="B9330" s="4"/>
      <c r="C9330" s="4"/>
      <c r="D9330" s="4"/>
      <c r="E9330" s="4"/>
      <c r="F9330" s="4"/>
      <c r="G9330" s="4"/>
      <c r="H9330" s="4"/>
      <c r="I9330" s="4"/>
      <c r="J9330" s="21">
        <f>IFERROR(VLOOKUP(C9330,'STOK KARTLARI'!$C$2:$K$2150,8,0),0)</f>
        <v>0</v>
      </c>
      <c r="K9330" s="21">
        <f t="shared" si="647"/>
        <v>0</v>
      </c>
      <c r="L9330" s="5">
        <f t="shared" si="649"/>
        <v>0</v>
      </c>
      <c r="M9330" s="4"/>
      <c r="N9330" s="4"/>
      <c r="O9330" s="5"/>
      <c r="P9330" s="5"/>
      <c r="Q9330" s="21">
        <f t="shared" si="650"/>
        <v>0</v>
      </c>
      <c r="R9330" s="21">
        <f t="shared" si="648"/>
        <v>0</v>
      </c>
      <c r="S9330" s="5">
        <f t="shared" si="651"/>
        <v>70007.077158325032</v>
      </c>
      <c r="T9330" cm="1">
        <f t="array" ref="T9330">IF(OR(B9330="MAL ALIMI", B9330="ÜRETİM GİRİŞ"), MIN(I9330, MAX(0, I9330 + SUM(SUMIFS($I$1:I9329, $C$1:C9329, C9330, $B$1:B9329, {"MAL ALIMI","ÜRETİM GİRİŞ"})) - VLOOKUP(C9330, 'STOK RAPORU'!$C$2:$I$1000, 4, 0))), 0)</f>
        <v>0</v>
      </c>
      <c r="U9330" s="22">
        <f t="shared" si="652"/>
        <v>0</v>
      </c>
      <c r="V9330">
        <f t="shared" si="653"/>
        <v>0</v>
      </c>
      <c r="W9330" s="22">
        <f t="shared" si="654"/>
        <v>0</v>
      </c>
    </row>
    <row r="9331" spans="1:23" hidden="1" x14ac:dyDescent="0.25">
      <c r="A9331" s="4"/>
      <c r="B9331" s="4"/>
      <c r="C9331" s="4"/>
      <c r="D9331" s="4"/>
      <c r="E9331" s="4"/>
      <c r="F9331" s="4"/>
      <c r="G9331" s="4"/>
      <c r="H9331" s="4"/>
      <c r="I9331" s="4"/>
      <c r="J9331" s="21">
        <f>IFERROR(VLOOKUP(C9331,'STOK KARTLARI'!$C$2:$K$2150,8,0),0)</f>
        <v>0</v>
      </c>
      <c r="K9331" s="21">
        <f t="shared" ref="K9331:K9394" si="655">IF(AND(B9331="MAL SATIŞI", H9331="POS"),I9331*J9331,0)</f>
        <v>0</v>
      </c>
      <c r="L9331" s="5">
        <f t="shared" si="649"/>
        <v>0</v>
      </c>
      <c r="M9331" s="4"/>
      <c r="N9331" s="4"/>
      <c r="O9331" s="5"/>
      <c r="P9331" s="5"/>
      <c r="Q9331" s="21">
        <f t="shared" si="650"/>
        <v>0</v>
      </c>
      <c r="R9331" s="21">
        <f t="shared" ref="R9331:R9394" si="656">IF(AND(E9331="", B9331&lt;&gt;"MAL SATIŞI"),I9331*J9331,0)</f>
        <v>0</v>
      </c>
      <c r="S9331" s="5">
        <f t="shared" si="651"/>
        <v>70007.077158325032</v>
      </c>
      <c r="T9331" cm="1">
        <f t="array" ref="T9331">IF(OR(B9331="MAL ALIMI", B9331="ÜRETİM GİRİŞ"), MIN(I9331, MAX(0, I9331 + SUM(SUMIFS($I$1:I9330, $C$1:C9330, C9331, $B$1:B9330, {"MAL ALIMI","ÜRETİM GİRİŞ"})) - VLOOKUP(C9331, 'STOK RAPORU'!$C$2:$I$1000, 4, 0))), 0)</f>
        <v>0</v>
      </c>
      <c r="U9331" s="22">
        <f t="shared" si="652"/>
        <v>0</v>
      </c>
      <c r="V9331">
        <f t="shared" si="653"/>
        <v>0</v>
      </c>
      <c r="W9331" s="22">
        <f t="shared" si="654"/>
        <v>0</v>
      </c>
    </row>
    <row r="9332" spans="1:23" hidden="1" x14ac:dyDescent="0.25">
      <c r="A9332" s="4"/>
      <c r="B9332" s="4"/>
      <c r="C9332" s="4"/>
      <c r="D9332" s="4"/>
      <c r="E9332" s="4"/>
      <c r="F9332" s="4"/>
      <c r="G9332" s="4"/>
      <c r="H9332" s="4"/>
      <c r="I9332" s="4"/>
      <c r="J9332" s="21">
        <f>IFERROR(VLOOKUP(C9332,'STOK KARTLARI'!$C$2:$K$2150,8,0),0)</f>
        <v>0</v>
      </c>
      <c r="K9332" s="21">
        <f t="shared" si="655"/>
        <v>0</v>
      </c>
      <c r="L9332" s="5">
        <f t="shared" ref="L9332:L9395" si="657">IF(OR(E9332="", H9332="POS"),0,I9332*J9332)</f>
        <v>0</v>
      </c>
      <c r="M9332" s="4"/>
      <c r="N9332" s="4"/>
      <c r="O9332" s="5"/>
      <c r="P9332" s="5"/>
      <c r="Q9332" s="21">
        <f t="shared" ref="Q9332:Q9395" si="658">IF(AND(E9332="", B9332="MAL SATIŞI", H9332="NAKİT"),I9332*J9332,0)</f>
        <v>0</v>
      </c>
      <c r="R9332" s="21">
        <f t="shared" si="656"/>
        <v>0</v>
      </c>
      <c r="S9332" s="5">
        <f t="shared" si="651"/>
        <v>70007.077158325032</v>
      </c>
      <c r="T9332" cm="1">
        <f t="array" ref="T9332">IF(OR(B9332="MAL ALIMI", B9332="ÜRETİM GİRİŞ"), MIN(I9332, MAX(0, I9332 + SUM(SUMIFS($I$1:I9331, $C$1:C9331, C9332, $B$1:B9331, {"MAL ALIMI","ÜRETİM GİRİŞ"})) - VLOOKUP(C9332, 'STOK RAPORU'!$C$2:$I$1000, 4, 0))), 0)</f>
        <v>0</v>
      </c>
      <c r="U9332" s="22">
        <f t="shared" si="652"/>
        <v>0</v>
      </c>
      <c r="V9332">
        <f t="shared" si="653"/>
        <v>0</v>
      </c>
      <c r="W9332" s="22">
        <f t="shared" si="654"/>
        <v>0</v>
      </c>
    </row>
    <row r="9333" spans="1:23" hidden="1" x14ac:dyDescent="0.25">
      <c r="A9333" s="4"/>
      <c r="B9333" s="4"/>
      <c r="C9333" s="4"/>
      <c r="D9333" s="4"/>
      <c r="E9333" s="4"/>
      <c r="F9333" s="4"/>
      <c r="G9333" s="4"/>
      <c r="H9333" s="4"/>
      <c r="I9333" s="4"/>
      <c r="J9333" s="21">
        <f>IFERROR(VLOOKUP(C9333,'STOK KARTLARI'!$C$2:$K$2150,8,0),0)</f>
        <v>0</v>
      </c>
      <c r="K9333" s="21">
        <f t="shared" si="655"/>
        <v>0</v>
      </c>
      <c r="L9333" s="5">
        <f t="shared" si="657"/>
        <v>0</v>
      </c>
      <c r="M9333" s="4"/>
      <c r="N9333" s="4"/>
      <c r="O9333" s="5"/>
      <c r="P9333" s="5"/>
      <c r="Q9333" s="21">
        <f t="shared" si="658"/>
        <v>0</v>
      </c>
      <c r="R9333" s="21">
        <f t="shared" si="656"/>
        <v>0</v>
      </c>
      <c r="S9333" s="5">
        <f t="shared" si="651"/>
        <v>70007.077158325032</v>
      </c>
      <c r="T9333" cm="1">
        <f t="array" ref="T9333">IF(OR(B9333="MAL ALIMI", B9333="ÜRETİM GİRİŞ"), MIN(I9333, MAX(0, I9333 + SUM(SUMIFS($I$1:I9332, $C$1:C9332, C9333, $B$1:B9332, {"MAL ALIMI","ÜRETİM GİRİŞ"})) - VLOOKUP(C9333, 'STOK RAPORU'!$C$2:$I$1000, 4, 0))), 0)</f>
        <v>0</v>
      </c>
      <c r="U9333" s="22">
        <f t="shared" si="652"/>
        <v>0</v>
      </c>
      <c r="V9333">
        <f t="shared" si="653"/>
        <v>0</v>
      </c>
      <c r="W9333" s="22">
        <f t="shared" si="654"/>
        <v>0</v>
      </c>
    </row>
    <row r="9334" spans="1:23" hidden="1" x14ac:dyDescent="0.25">
      <c r="A9334" s="4"/>
      <c r="B9334" s="4"/>
      <c r="C9334" s="4"/>
      <c r="D9334" s="4"/>
      <c r="E9334" s="4"/>
      <c r="F9334" s="4"/>
      <c r="G9334" s="4"/>
      <c r="H9334" s="4"/>
      <c r="I9334" s="4"/>
      <c r="J9334" s="21">
        <f>IFERROR(VLOOKUP(C9334,'STOK KARTLARI'!$C$2:$K$2150,8,0),0)</f>
        <v>0</v>
      </c>
      <c r="K9334" s="21">
        <f t="shared" si="655"/>
        <v>0</v>
      </c>
      <c r="L9334" s="5">
        <f t="shared" si="657"/>
        <v>0</v>
      </c>
      <c r="M9334" s="4"/>
      <c r="N9334" s="4"/>
      <c r="O9334" s="5"/>
      <c r="P9334" s="5"/>
      <c r="Q9334" s="21">
        <f t="shared" si="658"/>
        <v>0</v>
      </c>
      <c r="R9334" s="21">
        <f t="shared" si="656"/>
        <v>0</v>
      </c>
      <c r="S9334" s="5">
        <f t="shared" si="651"/>
        <v>70007.077158325032</v>
      </c>
      <c r="T9334" cm="1">
        <f t="array" ref="T9334">IF(OR(B9334="MAL ALIMI", B9334="ÜRETİM GİRİŞ"), MIN(I9334, MAX(0, I9334 + SUM(SUMIFS($I$1:I9333, $C$1:C9333, C9334, $B$1:B9333, {"MAL ALIMI","ÜRETİM GİRİŞ"})) - VLOOKUP(C9334, 'STOK RAPORU'!$C$2:$I$1000, 4, 0))), 0)</f>
        <v>0</v>
      </c>
      <c r="U9334" s="22">
        <f t="shared" si="652"/>
        <v>0</v>
      </c>
      <c r="V9334">
        <f t="shared" si="653"/>
        <v>0</v>
      </c>
      <c r="W9334" s="22">
        <f t="shared" si="654"/>
        <v>0</v>
      </c>
    </row>
    <row r="9335" spans="1:23" hidden="1" x14ac:dyDescent="0.25">
      <c r="A9335" s="4"/>
      <c r="B9335" s="4"/>
      <c r="C9335" s="4"/>
      <c r="D9335" s="4"/>
      <c r="E9335" s="4"/>
      <c r="F9335" s="4"/>
      <c r="G9335" s="4"/>
      <c r="H9335" s="4"/>
      <c r="I9335" s="4"/>
      <c r="J9335" s="21">
        <f>IFERROR(VLOOKUP(C9335,'STOK KARTLARI'!$C$2:$K$2150,8,0),0)</f>
        <v>0</v>
      </c>
      <c r="K9335" s="21">
        <f t="shared" si="655"/>
        <v>0</v>
      </c>
      <c r="L9335" s="5">
        <f t="shared" si="657"/>
        <v>0</v>
      </c>
      <c r="M9335" s="4"/>
      <c r="N9335" s="4"/>
      <c r="O9335" s="5"/>
      <c r="P9335" s="5"/>
      <c r="Q9335" s="21">
        <f t="shared" si="658"/>
        <v>0</v>
      </c>
      <c r="R9335" s="21">
        <f t="shared" si="656"/>
        <v>0</v>
      </c>
      <c r="S9335" s="5">
        <f t="shared" si="651"/>
        <v>70007.077158325032</v>
      </c>
      <c r="T9335" cm="1">
        <f t="array" ref="T9335">IF(OR(B9335="MAL ALIMI", B9335="ÜRETİM GİRİŞ"), MIN(I9335, MAX(0, I9335 + SUM(SUMIFS($I$1:I9334, $C$1:C9334, C9335, $B$1:B9334, {"MAL ALIMI","ÜRETİM GİRİŞ"})) - VLOOKUP(C9335, 'STOK RAPORU'!$C$2:$I$1000, 4, 0))), 0)</f>
        <v>0</v>
      </c>
      <c r="U9335" s="22">
        <f t="shared" si="652"/>
        <v>0</v>
      </c>
      <c r="V9335">
        <f t="shared" si="653"/>
        <v>0</v>
      </c>
      <c r="W9335" s="22">
        <f t="shared" si="654"/>
        <v>0</v>
      </c>
    </row>
    <row r="9336" spans="1:23" hidden="1" x14ac:dyDescent="0.25">
      <c r="A9336" s="4"/>
      <c r="B9336" s="4"/>
      <c r="C9336" s="4"/>
      <c r="D9336" s="4"/>
      <c r="E9336" s="4"/>
      <c r="F9336" s="4"/>
      <c r="G9336" s="4"/>
      <c r="H9336" s="4"/>
      <c r="I9336" s="4"/>
      <c r="J9336" s="21">
        <f>IFERROR(VLOOKUP(C9336,'STOK KARTLARI'!$C$2:$K$2150,8,0),0)</f>
        <v>0</v>
      </c>
      <c r="K9336" s="21">
        <f t="shared" si="655"/>
        <v>0</v>
      </c>
      <c r="L9336" s="5">
        <f t="shared" si="657"/>
        <v>0</v>
      </c>
      <c r="M9336" s="4"/>
      <c r="N9336" s="4"/>
      <c r="O9336" s="5"/>
      <c r="P9336" s="5"/>
      <c r="Q9336" s="21">
        <f t="shared" si="658"/>
        <v>0</v>
      </c>
      <c r="R9336" s="21">
        <f t="shared" si="656"/>
        <v>0</v>
      </c>
      <c r="S9336" s="5">
        <f t="shared" si="651"/>
        <v>70007.077158325032</v>
      </c>
      <c r="T9336" cm="1">
        <f t="array" ref="T9336">IF(OR(B9336="MAL ALIMI", B9336="ÜRETİM GİRİŞ"), MIN(I9336, MAX(0, I9336 + SUM(SUMIFS($I$1:I9335, $C$1:C9335, C9336, $B$1:B9335, {"MAL ALIMI","ÜRETİM GİRİŞ"})) - VLOOKUP(C9336, 'STOK RAPORU'!$C$2:$I$1000, 4, 0))), 0)</f>
        <v>0</v>
      </c>
      <c r="U9336" s="22">
        <f t="shared" si="652"/>
        <v>0</v>
      </c>
      <c r="V9336">
        <f t="shared" si="653"/>
        <v>0</v>
      </c>
      <c r="W9336" s="22">
        <f t="shared" si="654"/>
        <v>0</v>
      </c>
    </row>
    <row r="9337" spans="1:23" hidden="1" x14ac:dyDescent="0.25">
      <c r="A9337" s="3"/>
      <c r="B9337" s="4"/>
      <c r="C9337" s="4"/>
      <c r="D9337" s="4"/>
      <c r="E9337" s="4"/>
      <c r="F9337" s="4"/>
      <c r="G9337" s="4"/>
      <c r="H9337" s="4"/>
      <c r="I9337" s="4"/>
      <c r="J9337" s="21">
        <f>IFERROR(VLOOKUP(C9337,'STOK KARTLARI'!$C$2:$K$2150,8,0),0)</f>
        <v>0</v>
      </c>
      <c r="K9337" s="21">
        <f t="shared" si="655"/>
        <v>0</v>
      </c>
      <c r="L9337" s="5">
        <f t="shared" si="657"/>
        <v>0</v>
      </c>
      <c r="M9337" s="4"/>
      <c r="N9337" s="4"/>
      <c r="O9337" s="5"/>
      <c r="P9337" s="5"/>
      <c r="Q9337" s="21">
        <f t="shared" si="658"/>
        <v>0</v>
      </c>
      <c r="R9337" s="21">
        <f t="shared" si="656"/>
        <v>0</v>
      </c>
      <c r="S9337" s="5">
        <f t="shared" si="651"/>
        <v>70007.077158325032</v>
      </c>
      <c r="T9337" cm="1">
        <f t="array" ref="T9337">IF(OR(B9337="MAL ALIMI", B9337="ÜRETİM GİRİŞ"), MIN(I9337, MAX(0, I9337 + SUM(SUMIFS($I$1:I9336, $C$1:C9336, C9337, $B$1:B9336, {"MAL ALIMI","ÜRETİM GİRİŞ"})) - VLOOKUP(C9337, 'STOK RAPORU'!$C$2:$I$1000, 4, 0))), 0)</f>
        <v>0</v>
      </c>
      <c r="U9337" s="22">
        <f t="shared" si="652"/>
        <v>0</v>
      </c>
      <c r="V9337">
        <f t="shared" si="653"/>
        <v>0</v>
      </c>
      <c r="W9337" s="22">
        <f t="shared" si="654"/>
        <v>0</v>
      </c>
    </row>
    <row r="9338" spans="1:23" hidden="1" x14ac:dyDescent="0.25">
      <c r="A9338" s="4"/>
      <c r="B9338" s="4"/>
      <c r="C9338" s="4"/>
      <c r="D9338" s="4"/>
      <c r="E9338" s="4"/>
      <c r="F9338" s="4"/>
      <c r="G9338" s="4"/>
      <c r="H9338" s="4"/>
      <c r="I9338" s="4"/>
      <c r="J9338" s="21">
        <f>IFERROR(VLOOKUP(C9338,'STOK KARTLARI'!$C$2:$K$2150,8,0),0)</f>
        <v>0</v>
      </c>
      <c r="K9338" s="21">
        <f t="shared" si="655"/>
        <v>0</v>
      </c>
      <c r="L9338" s="5">
        <f t="shared" si="657"/>
        <v>0</v>
      </c>
      <c r="M9338" s="4"/>
      <c r="N9338" s="4"/>
      <c r="O9338" s="5"/>
      <c r="P9338" s="5"/>
      <c r="Q9338" s="21">
        <f t="shared" si="658"/>
        <v>0</v>
      </c>
      <c r="R9338" s="21">
        <f t="shared" si="656"/>
        <v>0</v>
      </c>
      <c r="S9338" s="5">
        <f t="shared" si="651"/>
        <v>70007.077158325032</v>
      </c>
      <c r="T9338" cm="1">
        <f t="array" ref="T9338">IF(OR(B9338="MAL ALIMI", B9338="ÜRETİM GİRİŞ"), MIN(I9338, MAX(0, I9338 + SUM(SUMIFS($I$1:I9337, $C$1:C9337, C9338, $B$1:B9337, {"MAL ALIMI","ÜRETİM GİRİŞ"})) - VLOOKUP(C9338, 'STOK RAPORU'!$C$2:$I$1000, 4, 0))), 0)</f>
        <v>0</v>
      </c>
      <c r="U9338" s="22">
        <f t="shared" si="652"/>
        <v>0</v>
      </c>
      <c r="V9338">
        <f t="shared" si="653"/>
        <v>0</v>
      </c>
      <c r="W9338" s="22">
        <f t="shared" si="654"/>
        <v>0</v>
      </c>
    </row>
    <row r="9339" spans="1:23" hidden="1" x14ac:dyDescent="0.25">
      <c r="A9339" s="4"/>
      <c r="B9339" s="4"/>
      <c r="C9339" s="4"/>
      <c r="D9339" s="4"/>
      <c r="E9339" s="4"/>
      <c r="F9339" s="4"/>
      <c r="G9339" s="4"/>
      <c r="H9339" s="4"/>
      <c r="I9339" s="4"/>
      <c r="J9339" s="21">
        <f>IFERROR(VLOOKUP(C9339,'STOK KARTLARI'!$C$2:$K$2150,8,0),0)</f>
        <v>0</v>
      </c>
      <c r="K9339" s="21">
        <f t="shared" si="655"/>
        <v>0</v>
      </c>
      <c r="L9339" s="5">
        <f t="shared" si="657"/>
        <v>0</v>
      </c>
      <c r="M9339" s="4"/>
      <c r="N9339" s="4"/>
      <c r="O9339" s="5"/>
      <c r="P9339" s="5"/>
      <c r="Q9339" s="21">
        <f t="shared" si="658"/>
        <v>0</v>
      </c>
      <c r="R9339" s="21">
        <f t="shared" si="656"/>
        <v>0</v>
      </c>
      <c r="S9339" s="5">
        <f t="shared" si="651"/>
        <v>70007.077158325032</v>
      </c>
      <c r="T9339" cm="1">
        <f t="array" ref="T9339">IF(OR(B9339="MAL ALIMI", B9339="ÜRETİM GİRİŞ"), MIN(I9339, MAX(0, I9339 + SUM(SUMIFS($I$1:I9338, $C$1:C9338, C9339, $B$1:B9338, {"MAL ALIMI","ÜRETİM GİRİŞ"})) - VLOOKUP(C9339, 'STOK RAPORU'!$C$2:$I$1000, 4, 0))), 0)</f>
        <v>0</v>
      </c>
      <c r="U9339" s="22">
        <f t="shared" si="652"/>
        <v>0</v>
      </c>
      <c r="V9339">
        <f t="shared" si="653"/>
        <v>0</v>
      </c>
      <c r="W9339" s="22">
        <f t="shared" si="654"/>
        <v>0</v>
      </c>
    </row>
    <row r="9340" spans="1:23" hidden="1" x14ac:dyDescent="0.25">
      <c r="A9340" s="4"/>
      <c r="B9340" s="4"/>
      <c r="C9340" s="4"/>
      <c r="D9340" s="4"/>
      <c r="E9340" s="4"/>
      <c r="F9340" s="4"/>
      <c r="G9340" s="4"/>
      <c r="H9340" s="4"/>
      <c r="I9340" s="4"/>
      <c r="J9340" s="21">
        <f>IFERROR(VLOOKUP(C9340,'STOK KARTLARI'!$C$2:$K$2150,8,0),0)</f>
        <v>0</v>
      </c>
      <c r="K9340" s="21">
        <f t="shared" si="655"/>
        <v>0</v>
      </c>
      <c r="L9340" s="5">
        <f t="shared" si="657"/>
        <v>0</v>
      </c>
      <c r="M9340" s="4"/>
      <c r="N9340" s="4"/>
      <c r="O9340" s="5"/>
      <c r="P9340" s="5"/>
      <c r="Q9340" s="21">
        <f t="shared" si="658"/>
        <v>0</v>
      </c>
      <c r="R9340" s="21">
        <f t="shared" si="656"/>
        <v>0</v>
      </c>
      <c r="S9340" s="5">
        <f t="shared" si="651"/>
        <v>70007.077158325032</v>
      </c>
      <c r="T9340" cm="1">
        <f t="array" ref="T9340">IF(OR(B9340="MAL ALIMI", B9340="ÜRETİM GİRİŞ"), MIN(I9340, MAX(0, I9340 + SUM(SUMIFS($I$1:I9339, $C$1:C9339, C9340, $B$1:B9339, {"MAL ALIMI","ÜRETİM GİRİŞ"})) - VLOOKUP(C9340, 'STOK RAPORU'!$C$2:$I$1000, 4, 0))), 0)</f>
        <v>0</v>
      </c>
      <c r="U9340" s="22">
        <f t="shared" si="652"/>
        <v>0</v>
      </c>
      <c r="V9340">
        <f t="shared" si="653"/>
        <v>0</v>
      </c>
      <c r="W9340" s="22">
        <f t="shared" si="654"/>
        <v>0</v>
      </c>
    </row>
    <row r="9341" spans="1:23" hidden="1" x14ac:dyDescent="0.25">
      <c r="A9341" s="4"/>
      <c r="B9341" s="4"/>
      <c r="C9341" s="4"/>
      <c r="D9341" s="4"/>
      <c r="E9341" s="4"/>
      <c r="F9341" s="4"/>
      <c r="G9341" s="4"/>
      <c r="H9341" s="4"/>
      <c r="I9341" s="4"/>
      <c r="J9341" s="21">
        <f>IFERROR(VLOOKUP(C9341,'STOK KARTLARI'!$C$2:$K$2150,8,0),0)</f>
        <v>0</v>
      </c>
      <c r="K9341" s="21">
        <f t="shared" si="655"/>
        <v>0</v>
      </c>
      <c r="L9341" s="5">
        <f t="shared" si="657"/>
        <v>0</v>
      </c>
      <c r="M9341" s="4"/>
      <c r="N9341" s="4"/>
      <c r="O9341" s="5"/>
      <c r="P9341" s="5"/>
      <c r="Q9341" s="21">
        <f t="shared" si="658"/>
        <v>0</v>
      </c>
      <c r="R9341" s="21">
        <f t="shared" si="656"/>
        <v>0</v>
      </c>
      <c r="S9341" s="5">
        <f t="shared" si="651"/>
        <v>70007.077158325032</v>
      </c>
      <c r="T9341" cm="1">
        <f t="array" ref="T9341">IF(OR(B9341="MAL ALIMI", B9341="ÜRETİM GİRİŞ"), MIN(I9341, MAX(0, I9341 + SUM(SUMIFS($I$1:I9340, $C$1:C9340, C9341, $B$1:B9340, {"MAL ALIMI","ÜRETİM GİRİŞ"})) - VLOOKUP(C9341, 'STOK RAPORU'!$C$2:$I$1000, 4, 0))), 0)</f>
        <v>0</v>
      </c>
      <c r="U9341" s="22">
        <f t="shared" si="652"/>
        <v>0</v>
      </c>
      <c r="V9341">
        <f t="shared" si="653"/>
        <v>0</v>
      </c>
      <c r="W9341" s="22">
        <f t="shared" si="654"/>
        <v>0</v>
      </c>
    </row>
    <row r="9342" spans="1:23" hidden="1" x14ac:dyDescent="0.25">
      <c r="A9342" s="4"/>
      <c r="B9342" s="4"/>
      <c r="C9342" s="4"/>
      <c r="D9342" s="4"/>
      <c r="E9342" s="4"/>
      <c r="F9342" s="4"/>
      <c r="G9342" s="4"/>
      <c r="H9342" s="4"/>
      <c r="I9342" s="4"/>
      <c r="J9342" s="21">
        <f>IFERROR(VLOOKUP(C9342,'STOK KARTLARI'!$C$2:$K$2150,8,0),0)</f>
        <v>0</v>
      </c>
      <c r="K9342" s="21">
        <f t="shared" si="655"/>
        <v>0</v>
      </c>
      <c r="L9342" s="5">
        <f t="shared" si="657"/>
        <v>0</v>
      </c>
      <c r="M9342" s="4"/>
      <c r="N9342" s="4"/>
      <c r="O9342" s="5"/>
      <c r="P9342" s="5"/>
      <c r="Q9342" s="21">
        <f t="shared" si="658"/>
        <v>0</v>
      </c>
      <c r="R9342" s="21">
        <f t="shared" si="656"/>
        <v>0</v>
      </c>
      <c r="S9342" s="5">
        <f t="shared" si="651"/>
        <v>70007.077158325032</v>
      </c>
      <c r="T9342" cm="1">
        <f t="array" ref="T9342">IF(OR(B9342="MAL ALIMI", B9342="ÜRETİM GİRİŞ"), MIN(I9342, MAX(0, I9342 + SUM(SUMIFS($I$1:I9341, $C$1:C9341, C9342, $B$1:B9341, {"MAL ALIMI","ÜRETİM GİRİŞ"})) - VLOOKUP(C9342, 'STOK RAPORU'!$C$2:$I$1000, 4, 0))), 0)</f>
        <v>0</v>
      </c>
      <c r="U9342" s="22">
        <f t="shared" si="652"/>
        <v>0</v>
      </c>
      <c r="V9342">
        <f t="shared" si="653"/>
        <v>0</v>
      </c>
      <c r="W9342" s="22">
        <f t="shared" si="654"/>
        <v>0</v>
      </c>
    </row>
    <row r="9343" spans="1:23" hidden="1" x14ac:dyDescent="0.25">
      <c r="A9343" s="4"/>
      <c r="B9343" s="4"/>
      <c r="C9343" s="4"/>
      <c r="D9343" s="4"/>
      <c r="E9343" s="4"/>
      <c r="F9343" s="4"/>
      <c r="G9343" s="4"/>
      <c r="H9343" s="4"/>
      <c r="I9343" s="4"/>
      <c r="J9343" s="21">
        <f>IFERROR(VLOOKUP(C9343,'STOK KARTLARI'!$C$2:$K$2150,8,0),0)</f>
        <v>0</v>
      </c>
      <c r="K9343" s="21">
        <f t="shared" si="655"/>
        <v>0</v>
      </c>
      <c r="L9343" s="5">
        <f t="shared" si="657"/>
        <v>0</v>
      </c>
      <c r="M9343" s="4"/>
      <c r="N9343" s="4"/>
      <c r="O9343" s="5"/>
      <c r="P9343" s="5"/>
      <c r="Q9343" s="21">
        <f t="shared" si="658"/>
        <v>0</v>
      </c>
      <c r="R9343" s="21">
        <f t="shared" si="656"/>
        <v>0</v>
      </c>
      <c r="S9343" s="5">
        <f t="shared" si="651"/>
        <v>70007.077158325032</v>
      </c>
      <c r="T9343" cm="1">
        <f t="array" ref="T9343">IF(OR(B9343="MAL ALIMI", B9343="ÜRETİM GİRİŞ"), MIN(I9343, MAX(0, I9343 + SUM(SUMIFS($I$1:I9342, $C$1:C9342, C9343, $B$1:B9342, {"MAL ALIMI","ÜRETİM GİRİŞ"})) - VLOOKUP(C9343, 'STOK RAPORU'!$C$2:$I$1000, 4, 0))), 0)</f>
        <v>0</v>
      </c>
      <c r="U9343" s="22">
        <f t="shared" si="652"/>
        <v>0</v>
      </c>
      <c r="V9343">
        <f t="shared" si="653"/>
        <v>0</v>
      </c>
      <c r="W9343" s="22">
        <f t="shared" si="654"/>
        <v>0</v>
      </c>
    </row>
    <row r="9344" spans="1:23" hidden="1" x14ac:dyDescent="0.25">
      <c r="A9344" s="3"/>
      <c r="B9344" s="4"/>
      <c r="C9344" s="4"/>
      <c r="D9344" s="4"/>
      <c r="E9344" s="4"/>
      <c r="F9344" s="4"/>
      <c r="G9344" s="4"/>
      <c r="H9344" s="4"/>
      <c r="I9344" s="4"/>
      <c r="J9344" s="21">
        <f>IFERROR(VLOOKUP(C9344,'STOK KARTLARI'!$C$2:$K$2150,8,0),0)</f>
        <v>0</v>
      </c>
      <c r="K9344" s="21">
        <f t="shared" si="655"/>
        <v>0</v>
      </c>
      <c r="L9344" s="5">
        <f t="shared" si="657"/>
        <v>0</v>
      </c>
      <c r="M9344" s="4"/>
      <c r="N9344" s="4"/>
      <c r="O9344" s="5"/>
      <c r="P9344" s="5"/>
      <c r="Q9344" s="21">
        <f t="shared" si="658"/>
        <v>0</v>
      </c>
      <c r="R9344" s="21">
        <f t="shared" si="656"/>
        <v>0</v>
      </c>
      <c r="S9344" s="5">
        <f t="shared" si="651"/>
        <v>70007.077158325032</v>
      </c>
      <c r="T9344" cm="1">
        <f t="array" ref="T9344">IF(OR(B9344="MAL ALIMI", B9344="ÜRETİM GİRİŞ"), MIN(I9344, MAX(0, I9344 + SUM(SUMIFS($I$1:I9343, $C$1:C9343, C9344, $B$1:B9343, {"MAL ALIMI","ÜRETİM GİRİŞ"})) - VLOOKUP(C9344, 'STOK RAPORU'!$C$2:$I$1000, 4, 0))), 0)</f>
        <v>0</v>
      </c>
      <c r="U9344" s="22">
        <f t="shared" si="652"/>
        <v>0</v>
      </c>
      <c r="V9344">
        <f t="shared" si="653"/>
        <v>0</v>
      </c>
      <c r="W9344" s="22">
        <f t="shared" si="654"/>
        <v>0</v>
      </c>
    </row>
    <row r="9345" spans="1:23" hidden="1" x14ac:dyDescent="0.25">
      <c r="A9345" s="4"/>
      <c r="B9345" s="4"/>
      <c r="C9345" s="4"/>
      <c r="D9345" s="4"/>
      <c r="E9345" s="4"/>
      <c r="F9345" s="4"/>
      <c r="G9345" s="4"/>
      <c r="H9345" s="4"/>
      <c r="I9345" s="4"/>
      <c r="J9345" s="21">
        <f>IFERROR(VLOOKUP(C9345,'STOK KARTLARI'!$C$2:$K$2150,8,0),0)</f>
        <v>0</v>
      </c>
      <c r="K9345" s="21">
        <f t="shared" si="655"/>
        <v>0</v>
      </c>
      <c r="L9345" s="5">
        <f t="shared" si="657"/>
        <v>0</v>
      </c>
      <c r="M9345" s="4"/>
      <c r="N9345" s="4"/>
      <c r="O9345" s="5"/>
      <c r="P9345" s="5"/>
      <c r="Q9345" s="21">
        <f t="shared" si="658"/>
        <v>0</v>
      </c>
      <c r="R9345" s="21">
        <f t="shared" si="656"/>
        <v>0</v>
      </c>
      <c r="S9345" s="5">
        <f t="shared" si="651"/>
        <v>70007.077158325032</v>
      </c>
      <c r="T9345" cm="1">
        <f t="array" ref="T9345">IF(OR(B9345="MAL ALIMI", B9345="ÜRETİM GİRİŞ"), MIN(I9345, MAX(0, I9345 + SUM(SUMIFS($I$1:I9344, $C$1:C9344, C9345, $B$1:B9344, {"MAL ALIMI","ÜRETİM GİRİŞ"})) - VLOOKUP(C9345, 'STOK RAPORU'!$C$2:$I$1000, 4, 0))), 0)</f>
        <v>0</v>
      </c>
      <c r="U9345" s="22">
        <f t="shared" si="652"/>
        <v>0</v>
      </c>
      <c r="V9345">
        <f t="shared" si="653"/>
        <v>0</v>
      </c>
      <c r="W9345" s="22">
        <f t="shared" si="654"/>
        <v>0</v>
      </c>
    </row>
    <row r="9346" spans="1:23" hidden="1" x14ac:dyDescent="0.25">
      <c r="A9346" s="4"/>
      <c r="B9346" s="4"/>
      <c r="C9346" s="4"/>
      <c r="D9346" s="4"/>
      <c r="E9346" s="4"/>
      <c r="F9346" s="4"/>
      <c r="G9346" s="4"/>
      <c r="H9346" s="4"/>
      <c r="I9346" s="4"/>
      <c r="J9346" s="21">
        <f>IFERROR(VLOOKUP(C9346,'STOK KARTLARI'!$C$2:$K$2150,8,0),0)</f>
        <v>0</v>
      </c>
      <c r="K9346" s="21">
        <f t="shared" si="655"/>
        <v>0</v>
      </c>
      <c r="L9346" s="5">
        <f t="shared" si="657"/>
        <v>0</v>
      </c>
      <c r="M9346" s="4"/>
      <c r="N9346" s="4"/>
      <c r="O9346" s="5"/>
      <c r="P9346" s="5"/>
      <c r="Q9346" s="21">
        <f t="shared" si="658"/>
        <v>0</v>
      </c>
      <c r="R9346" s="21">
        <f t="shared" si="656"/>
        <v>0</v>
      </c>
      <c r="S9346" s="5">
        <f t="shared" si="651"/>
        <v>70007.077158325032</v>
      </c>
      <c r="T9346" cm="1">
        <f t="array" ref="T9346">IF(OR(B9346="MAL ALIMI", B9346="ÜRETİM GİRİŞ"), MIN(I9346, MAX(0, I9346 + SUM(SUMIFS($I$1:I9345, $C$1:C9345, C9346, $B$1:B9345, {"MAL ALIMI","ÜRETİM GİRİŞ"})) - VLOOKUP(C9346, 'STOK RAPORU'!$C$2:$I$1000, 4, 0))), 0)</f>
        <v>0</v>
      </c>
      <c r="U9346" s="22">
        <f t="shared" si="652"/>
        <v>0</v>
      </c>
      <c r="V9346">
        <f t="shared" si="653"/>
        <v>0</v>
      </c>
      <c r="W9346" s="22">
        <f t="shared" si="654"/>
        <v>0</v>
      </c>
    </row>
    <row r="9347" spans="1:23" hidden="1" x14ac:dyDescent="0.25">
      <c r="A9347" s="4"/>
      <c r="B9347" s="4"/>
      <c r="C9347" s="4"/>
      <c r="D9347" s="4"/>
      <c r="E9347" s="4"/>
      <c r="F9347" s="4"/>
      <c r="G9347" s="4"/>
      <c r="H9347" s="4"/>
      <c r="I9347" s="4"/>
      <c r="J9347" s="21">
        <f>IFERROR(VLOOKUP(C9347,'STOK KARTLARI'!$C$2:$K$2150,8,0),0)</f>
        <v>0</v>
      </c>
      <c r="K9347" s="21">
        <f t="shared" si="655"/>
        <v>0</v>
      </c>
      <c r="L9347" s="5">
        <f t="shared" si="657"/>
        <v>0</v>
      </c>
      <c r="M9347" s="4"/>
      <c r="N9347" s="4"/>
      <c r="O9347" s="5"/>
      <c r="P9347" s="5"/>
      <c r="Q9347" s="21">
        <f t="shared" si="658"/>
        <v>0</v>
      </c>
      <c r="R9347" s="21">
        <f t="shared" si="656"/>
        <v>0</v>
      </c>
      <c r="S9347" s="5">
        <f t="shared" si="651"/>
        <v>70007.077158325032</v>
      </c>
      <c r="T9347" cm="1">
        <f t="array" ref="T9347">IF(OR(B9347="MAL ALIMI", B9347="ÜRETİM GİRİŞ"), MIN(I9347, MAX(0, I9347 + SUM(SUMIFS($I$1:I9346, $C$1:C9346, C9347, $B$1:B9346, {"MAL ALIMI","ÜRETİM GİRİŞ"})) - VLOOKUP(C9347, 'STOK RAPORU'!$C$2:$I$1000, 4, 0))), 0)</f>
        <v>0</v>
      </c>
      <c r="U9347" s="22">
        <f t="shared" si="652"/>
        <v>0</v>
      </c>
      <c r="V9347">
        <f t="shared" si="653"/>
        <v>0</v>
      </c>
      <c r="W9347" s="22">
        <f t="shared" si="654"/>
        <v>0</v>
      </c>
    </row>
    <row r="9348" spans="1:23" hidden="1" x14ac:dyDescent="0.25">
      <c r="A9348" s="4"/>
      <c r="B9348" s="4"/>
      <c r="C9348" s="4"/>
      <c r="D9348" s="4"/>
      <c r="E9348" s="4"/>
      <c r="F9348" s="4"/>
      <c r="G9348" s="4"/>
      <c r="H9348" s="4"/>
      <c r="I9348" s="4"/>
      <c r="J9348" s="21">
        <f>IFERROR(VLOOKUP(C9348,'STOK KARTLARI'!$C$2:$K$2150,8,0),0)</f>
        <v>0</v>
      </c>
      <c r="K9348" s="21">
        <f t="shared" si="655"/>
        <v>0</v>
      </c>
      <c r="L9348" s="5">
        <f t="shared" si="657"/>
        <v>0</v>
      </c>
      <c r="M9348" s="4"/>
      <c r="N9348" s="4"/>
      <c r="O9348" s="5"/>
      <c r="P9348" s="5"/>
      <c r="Q9348" s="21">
        <f t="shared" si="658"/>
        <v>0</v>
      </c>
      <c r="R9348" s="21">
        <f t="shared" si="656"/>
        <v>0</v>
      </c>
      <c r="S9348" s="5">
        <f t="shared" si="651"/>
        <v>70007.077158325032</v>
      </c>
      <c r="T9348" cm="1">
        <f t="array" ref="T9348">IF(OR(B9348="MAL ALIMI", B9348="ÜRETİM GİRİŞ"), MIN(I9348, MAX(0, I9348 + SUM(SUMIFS($I$1:I9347, $C$1:C9347, C9348, $B$1:B9347, {"MAL ALIMI","ÜRETİM GİRİŞ"})) - VLOOKUP(C9348, 'STOK RAPORU'!$C$2:$I$1000, 4, 0))), 0)</f>
        <v>0</v>
      </c>
      <c r="U9348" s="22">
        <f t="shared" si="652"/>
        <v>0</v>
      </c>
      <c r="V9348">
        <f t="shared" si="653"/>
        <v>0</v>
      </c>
      <c r="W9348" s="22">
        <f t="shared" si="654"/>
        <v>0</v>
      </c>
    </row>
    <row r="9349" spans="1:23" hidden="1" x14ac:dyDescent="0.25">
      <c r="A9349" s="4"/>
      <c r="B9349" s="4"/>
      <c r="C9349" s="4"/>
      <c r="D9349" s="4"/>
      <c r="E9349" s="4"/>
      <c r="F9349" s="4"/>
      <c r="G9349" s="4"/>
      <c r="H9349" s="4"/>
      <c r="I9349" s="4"/>
      <c r="J9349" s="21">
        <f>IFERROR(VLOOKUP(C9349,'STOK KARTLARI'!$C$2:$K$2150,8,0),0)</f>
        <v>0</v>
      </c>
      <c r="K9349" s="21">
        <f t="shared" si="655"/>
        <v>0</v>
      </c>
      <c r="L9349" s="5">
        <f t="shared" si="657"/>
        <v>0</v>
      </c>
      <c r="M9349" s="4"/>
      <c r="N9349" s="4"/>
      <c r="O9349" s="5"/>
      <c r="P9349" s="5"/>
      <c r="Q9349" s="21">
        <f t="shared" si="658"/>
        <v>0</v>
      </c>
      <c r="R9349" s="21">
        <f t="shared" si="656"/>
        <v>0</v>
      </c>
      <c r="S9349" s="5">
        <f t="shared" ref="S9349:S9412" si="659">S9348+Q9349-R9349</f>
        <v>70007.077158325032</v>
      </c>
      <c r="T9349" cm="1">
        <f t="array" ref="T9349">IF(OR(B9349="MAL ALIMI", B9349="ÜRETİM GİRİŞ"), MIN(I9349, MAX(0, I9349 + SUM(SUMIFS($I$1:I9348, $C$1:C9348, C9349, $B$1:B9348, {"MAL ALIMI","ÜRETİM GİRİŞ"})) - VLOOKUP(C9349, 'STOK RAPORU'!$C$2:$I$1000, 4, 0))), 0)</f>
        <v>0</v>
      </c>
      <c r="U9349" s="22">
        <f t="shared" si="652"/>
        <v>0</v>
      </c>
      <c r="V9349">
        <f t="shared" si="653"/>
        <v>0</v>
      </c>
      <c r="W9349" s="22">
        <f t="shared" si="654"/>
        <v>0</v>
      </c>
    </row>
    <row r="9350" spans="1:23" hidden="1" x14ac:dyDescent="0.25">
      <c r="A9350" s="4"/>
      <c r="B9350" s="4"/>
      <c r="C9350" s="4"/>
      <c r="D9350" s="4"/>
      <c r="E9350" s="4"/>
      <c r="F9350" s="4"/>
      <c r="G9350" s="4"/>
      <c r="H9350" s="4"/>
      <c r="I9350" s="4"/>
      <c r="J9350" s="21">
        <f>IFERROR(VLOOKUP(C9350,'STOK KARTLARI'!$C$2:$K$2150,8,0),0)</f>
        <v>0</v>
      </c>
      <c r="K9350" s="21">
        <f t="shared" si="655"/>
        <v>0</v>
      </c>
      <c r="L9350" s="5">
        <f t="shared" si="657"/>
        <v>0</v>
      </c>
      <c r="M9350" s="4"/>
      <c r="N9350" s="4"/>
      <c r="O9350" s="5"/>
      <c r="P9350" s="5"/>
      <c r="Q9350" s="21">
        <f t="shared" si="658"/>
        <v>0</v>
      </c>
      <c r="R9350" s="21">
        <f t="shared" si="656"/>
        <v>0</v>
      </c>
      <c r="S9350" s="5">
        <f t="shared" si="659"/>
        <v>70007.077158325032</v>
      </c>
      <c r="T9350" cm="1">
        <f t="array" ref="T9350">IF(OR(B9350="MAL ALIMI", B9350="ÜRETİM GİRİŞ"), MIN(I9350, MAX(0, I9350 + SUM(SUMIFS($I$1:I9349, $C$1:C9349, C9350, $B$1:B9349, {"MAL ALIMI","ÜRETİM GİRİŞ"})) - VLOOKUP(C9350, 'STOK RAPORU'!$C$2:$I$1000, 4, 0))), 0)</f>
        <v>0</v>
      </c>
      <c r="U9350" s="22">
        <f t="shared" si="652"/>
        <v>0</v>
      </c>
      <c r="V9350">
        <f t="shared" si="653"/>
        <v>0</v>
      </c>
      <c r="W9350" s="22">
        <f t="shared" si="654"/>
        <v>0</v>
      </c>
    </row>
    <row r="9351" spans="1:23" hidden="1" x14ac:dyDescent="0.25">
      <c r="A9351" s="3"/>
      <c r="B9351" s="4"/>
      <c r="C9351" s="4"/>
      <c r="D9351" s="4"/>
      <c r="E9351" s="4"/>
      <c r="F9351" s="4"/>
      <c r="G9351" s="4"/>
      <c r="H9351" s="4"/>
      <c r="I9351" s="4"/>
      <c r="J9351" s="21">
        <f>IFERROR(VLOOKUP(C9351,'STOK KARTLARI'!$C$2:$K$2150,8,0),0)</f>
        <v>0</v>
      </c>
      <c r="K9351" s="21">
        <f t="shared" si="655"/>
        <v>0</v>
      </c>
      <c r="L9351" s="5">
        <f t="shared" si="657"/>
        <v>0</v>
      </c>
      <c r="M9351" s="4"/>
      <c r="N9351" s="4"/>
      <c r="O9351" s="5"/>
      <c r="P9351" s="5"/>
      <c r="Q9351" s="21">
        <f t="shared" si="658"/>
        <v>0</v>
      </c>
      <c r="R9351" s="21">
        <f t="shared" si="656"/>
        <v>0</v>
      </c>
      <c r="S9351" s="5">
        <f t="shared" si="659"/>
        <v>70007.077158325032</v>
      </c>
      <c r="T9351" cm="1">
        <f t="array" ref="T9351">IF(OR(B9351="MAL ALIMI", B9351="ÜRETİM GİRİŞ"), MIN(I9351, MAX(0, I9351 + SUM(SUMIFS($I$1:I9350, $C$1:C9350, C9351, $B$1:B9350, {"MAL ALIMI","ÜRETİM GİRİŞ"})) - VLOOKUP(C9351, 'STOK RAPORU'!$C$2:$I$1000, 4, 0))), 0)</f>
        <v>0</v>
      </c>
      <c r="U9351" s="22">
        <f t="shared" si="652"/>
        <v>0</v>
      </c>
      <c r="V9351">
        <f t="shared" si="653"/>
        <v>0</v>
      </c>
      <c r="W9351" s="22">
        <f t="shared" si="654"/>
        <v>0</v>
      </c>
    </row>
    <row r="9352" spans="1:23" hidden="1" x14ac:dyDescent="0.25">
      <c r="A9352" s="4"/>
      <c r="B9352" s="4"/>
      <c r="C9352" s="4"/>
      <c r="D9352" s="4"/>
      <c r="E9352" s="4"/>
      <c r="F9352" s="4"/>
      <c r="G9352" s="4"/>
      <c r="H9352" s="4"/>
      <c r="I9352" s="4"/>
      <c r="J9352" s="21">
        <f>IFERROR(VLOOKUP(C9352,'STOK KARTLARI'!$C$2:$K$2150,8,0),0)</f>
        <v>0</v>
      </c>
      <c r="K9352" s="21">
        <f t="shared" si="655"/>
        <v>0</v>
      </c>
      <c r="L9352" s="5">
        <f t="shared" si="657"/>
        <v>0</v>
      </c>
      <c r="M9352" s="4"/>
      <c r="N9352" s="4"/>
      <c r="O9352" s="5"/>
      <c r="P9352" s="5"/>
      <c r="Q9352" s="21">
        <f t="shared" si="658"/>
        <v>0</v>
      </c>
      <c r="R9352" s="21">
        <f t="shared" si="656"/>
        <v>0</v>
      </c>
      <c r="S9352" s="5">
        <f t="shared" si="659"/>
        <v>70007.077158325032</v>
      </c>
      <c r="T9352" cm="1">
        <f t="array" ref="T9352">IF(OR(B9352="MAL ALIMI", B9352="ÜRETİM GİRİŞ"), MIN(I9352, MAX(0, I9352 + SUM(SUMIFS($I$1:I9351, $C$1:C9351, C9352, $B$1:B9351, {"MAL ALIMI","ÜRETİM GİRİŞ"})) - VLOOKUP(C9352, 'STOK RAPORU'!$C$2:$I$1000, 4, 0))), 0)</f>
        <v>0</v>
      </c>
      <c r="U9352" s="22">
        <f t="shared" si="652"/>
        <v>0</v>
      </c>
      <c r="V9352">
        <f t="shared" si="653"/>
        <v>0</v>
      </c>
      <c r="W9352" s="22">
        <f t="shared" si="654"/>
        <v>0</v>
      </c>
    </row>
    <row r="9353" spans="1:23" hidden="1" x14ac:dyDescent="0.25">
      <c r="A9353" s="4"/>
      <c r="B9353" s="4"/>
      <c r="C9353" s="4"/>
      <c r="D9353" s="4"/>
      <c r="E9353" s="4"/>
      <c r="F9353" s="4"/>
      <c r="G9353" s="4"/>
      <c r="H9353" s="4"/>
      <c r="I9353" s="4"/>
      <c r="J9353" s="21">
        <f>IFERROR(VLOOKUP(C9353,'STOK KARTLARI'!$C$2:$K$2150,8,0),0)</f>
        <v>0</v>
      </c>
      <c r="K9353" s="21">
        <f t="shared" si="655"/>
        <v>0</v>
      </c>
      <c r="L9353" s="5">
        <f t="shared" si="657"/>
        <v>0</v>
      </c>
      <c r="M9353" s="4"/>
      <c r="N9353" s="4"/>
      <c r="O9353" s="5"/>
      <c r="P9353" s="5"/>
      <c r="Q9353" s="21">
        <f t="shared" si="658"/>
        <v>0</v>
      </c>
      <c r="R9353" s="21">
        <f t="shared" si="656"/>
        <v>0</v>
      </c>
      <c r="S9353" s="5">
        <f t="shared" si="659"/>
        <v>70007.077158325032</v>
      </c>
      <c r="T9353" cm="1">
        <f t="array" ref="T9353">IF(OR(B9353="MAL ALIMI", B9353="ÜRETİM GİRİŞ"), MIN(I9353, MAX(0, I9353 + SUM(SUMIFS($I$1:I9352, $C$1:C9352, C9353, $B$1:B9352, {"MAL ALIMI","ÜRETİM GİRİŞ"})) - VLOOKUP(C9353, 'STOK RAPORU'!$C$2:$I$1000, 4, 0))), 0)</f>
        <v>0</v>
      </c>
      <c r="U9353" s="22">
        <f t="shared" si="652"/>
        <v>0</v>
      </c>
      <c r="V9353">
        <f t="shared" si="653"/>
        <v>0</v>
      </c>
      <c r="W9353" s="22">
        <f t="shared" si="654"/>
        <v>0</v>
      </c>
    </row>
    <row r="9354" spans="1:23" hidden="1" x14ac:dyDescent="0.25">
      <c r="A9354" s="4"/>
      <c r="B9354" s="4"/>
      <c r="C9354" s="4"/>
      <c r="D9354" s="4"/>
      <c r="E9354" s="4"/>
      <c r="F9354" s="4"/>
      <c r="G9354" s="4"/>
      <c r="H9354" s="4"/>
      <c r="I9354" s="4"/>
      <c r="J9354" s="21">
        <f>IFERROR(VLOOKUP(C9354,'STOK KARTLARI'!$C$2:$K$2150,8,0),0)</f>
        <v>0</v>
      </c>
      <c r="K9354" s="21">
        <f t="shared" si="655"/>
        <v>0</v>
      </c>
      <c r="L9354" s="5">
        <f t="shared" si="657"/>
        <v>0</v>
      </c>
      <c r="M9354" s="4"/>
      <c r="N9354" s="4"/>
      <c r="O9354" s="5"/>
      <c r="P9354" s="5"/>
      <c r="Q9354" s="21">
        <f t="shared" si="658"/>
        <v>0</v>
      </c>
      <c r="R9354" s="21">
        <f t="shared" si="656"/>
        <v>0</v>
      </c>
      <c r="S9354" s="5">
        <f t="shared" si="659"/>
        <v>70007.077158325032</v>
      </c>
      <c r="T9354" cm="1">
        <f t="array" ref="T9354">IF(OR(B9354="MAL ALIMI", B9354="ÜRETİM GİRİŞ"), MIN(I9354, MAX(0, I9354 + SUM(SUMIFS($I$1:I9353, $C$1:C9353, C9354, $B$1:B9353, {"MAL ALIMI","ÜRETİM GİRİŞ"})) - VLOOKUP(C9354, 'STOK RAPORU'!$C$2:$I$1000, 4, 0))), 0)</f>
        <v>0</v>
      </c>
      <c r="U9354" s="22">
        <f t="shared" si="652"/>
        <v>0</v>
      </c>
      <c r="V9354">
        <f t="shared" si="653"/>
        <v>0</v>
      </c>
      <c r="W9354" s="22">
        <f t="shared" si="654"/>
        <v>0</v>
      </c>
    </row>
    <row r="9355" spans="1:23" hidden="1" x14ac:dyDescent="0.25">
      <c r="A9355" s="4"/>
      <c r="B9355" s="4"/>
      <c r="C9355" s="4"/>
      <c r="D9355" s="4"/>
      <c r="E9355" s="4"/>
      <c r="F9355" s="4"/>
      <c r="G9355" s="4"/>
      <c r="H9355" s="4"/>
      <c r="I9355" s="4"/>
      <c r="J9355" s="21">
        <f>IFERROR(VLOOKUP(C9355,'STOK KARTLARI'!$C$2:$K$2150,8,0),0)</f>
        <v>0</v>
      </c>
      <c r="K9355" s="21">
        <f t="shared" si="655"/>
        <v>0</v>
      </c>
      <c r="L9355" s="5">
        <f t="shared" si="657"/>
        <v>0</v>
      </c>
      <c r="M9355" s="4"/>
      <c r="N9355" s="4"/>
      <c r="O9355" s="5"/>
      <c r="P9355" s="5"/>
      <c r="Q9355" s="21">
        <f t="shared" si="658"/>
        <v>0</v>
      </c>
      <c r="R9355" s="21">
        <f t="shared" si="656"/>
        <v>0</v>
      </c>
      <c r="S9355" s="5">
        <f t="shared" si="659"/>
        <v>70007.077158325032</v>
      </c>
      <c r="T9355" cm="1">
        <f t="array" ref="T9355">IF(OR(B9355="MAL ALIMI", B9355="ÜRETİM GİRİŞ"), MIN(I9355, MAX(0, I9355 + SUM(SUMIFS($I$1:I9354, $C$1:C9354, C9355, $B$1:B9354, {"MAL ALIMI","ÜRETİM GİRİŞ"})) - VLOOKUP(C9355, 'STOK RAPORU'!$C$2:$I$1000, 4, 0))), 0)</f>
        <v>0</v>
      </c>
      <c r="U9355" s="22">
        <f t="shared" si="652"/>
        <v>0</v>
      </c>
      <c r="V9355">
        <f t="shared" si="653"/>
        <v>0</v>
      </c>
      <c r="W9355" s="22">
        <f t="shared" si="654"/>
        <v>0</v>
      </c>
    </row>
    <row r="9356" spans="1:23" hidden="1" x14ac:dyDescent="0.25">
      <c r="A9356" s="4"/>
      <c r="B9356" s="4"/>
      <c r="C9356" s="4"/>
      <c r="D9356" s="4"/>
      <c r="E9356" s="4"/>
      <c r="F9356" s="4"/>
      <c r="G9356" s="4"/>
      <c r="H9356" s="4"/>
      <c r="I9356" s="4"/>
      <c r="J9356" s="21">
        <f>IFERROR(VLOOKUP(C9356,'STOK KARTLARI'!$C$2:$K$2150,8,0),0)</f>
        <v>0</v>
      </c>
      <c r="K9356" s="21">
        <f t="shared" si="655"/>
        <v>0</v>
      </c>
      <c r="L9356" s="5">
        <f t="shared" si="657"/>
        <v>0</v>
      </c>
      <c r="M9356" s="4"/>
      <c r="N9356" s="4"/>
      <c r="O9356" s="5"/>
      <c r="P9356" s="5"/>
      <c r="Q9356" s="21">
        <f t="shared" si="658"/>
        <v>0</v>
      </c>
      <c r="R9356" s="21">
        <f t="shared" si="656"/>
        <v>0</v>
      </c>
      <c r="S9356" s="5">
        <f t="shared" si="659"/>
        <v>70007.077158325032</v>
      </c>
      <c r="T9356" cm="1">
        <f t="array" ref="T9356">IF(OR(B9356="MAL ALIMI", B9356="ÜRETİM GİRİŞ"), MIN(I9356, MAX(0, I9356 + SUM(SUMIFS($I$1:I9355, $C$1:C9355, C9356, $B$1:B9355, {"MAL ALIMI","ÜRETİM GİRİŞ"})) - VLOOKUP(C9356, 'STOK RAPORU'!$C$2:$I$1000, 4, 0))), 0)</f>
        <v>0</v>
      </c>
      <c r="U9356" s="22">
        <f t="shared" si="652"/>
        <v>0</v>
      </c>
      <c r="V9356">
        <f t="shared" si="653"/>
        <v>0</v>
      </c>
      <c r="W9356" s="22">
        <f t="shared" si="654"/>
        <v>0</v>
      </c>
    </row>
    <row r="9357" spans="1:23" hidden="1" x14ac:dyDescent="0.25">
      <c r="A9357" s="4"/>
      <c r="B9357" s="4"/>
      <c r="C9357" s="4"/>
      <c r="D9357" s="4"/>
      <c r="E9357" s="4"/>
      <c r="F9357" s="4"/>
      <c r="G9357" s="4"/>
      <c r="H9357" s="4"/>
      <c r="I9357" s="4"/>
      <c r="J9357" s="21">
        <f>IFERROR(VLOOKUP(C9357,'STOK KARTLARI'!$C$2:$K$2150,8,0),0)</f>
        <v>0</v>
      </c>
      <c r="K9357" s="21">
        <f t="shared" si="655"/>
        <v>0</v>
      </c>
      <c r="L9357" s="5">
        <f t="shared" si="657"/>
        <v>0</v>
      </c>
      <c r="M9357" s="4"/>
      <c r="N9357" s="4"/>
      <c r="O9357" s="5"/>
      <c r="P9357" s="5"/>
      <c r="Q9357" s="21">
        <f t="shared" si="658"/>
        <v>0</v>
      </c>
      <c r="R9357" s="21">
        <f t="shared" si="656"/>
        <v>0</v>
      </c>
      <c r="S9357" s="5">
        <f t="shared" si="659"/>
        <v>70007.077158325032</v>
      </c>
      <c r="T9357" cm="1">
        <f t="array" ref="T9357">IF(OR(B9357="MAL ALIMI", B9357="ÜRETİM GİRİŞ"), MIN(I9357, MAX(0, I9357 + SUM(SUMIFS($I$1:I9356, $C$1:C9356, C9357, $B$1:B9356, {"MAL ALIMI","ÜRETİM GİRİŞ"})) - VLOOKUP(C9357, 'STOK RAPORU'!$C$2:$I$1000, 4, 0))), 0)</f>
        <v>0</v>
      </c>
      <c r="U9357" s="22">
        <f t="shared" si="652"/>
        <v>0</v>
      </c>
      <c r="V9357">
        <f t="shared" si="653"/>
        <v>0</v>
      </c>
      <c r="W9357" s="22">
        <f t="shared" si="654"/>
        <v>0</v>
      </c>
    </row>
    <row r="9358" spans="1:23" hidden="1" x14ac:dyDescent="0.25">
      <c r="A9358" s="3"/>
      <c r="B9358" s="4"/>
      <c r="C9358" s="4"/>
      <c r="D9358" s="4"/>
      <c r="E9358" s="4"/>
      <c r="F9358" s="4"/>
      <c r="G9358" s="4"/>
      <c r="H9358" s="4"/>
      <c r="I9358" s="4"/>
      <c r="J9358" s="21">
        <f>IFERROR(VLOOKUP(C9358,'STOK KARTLARI'!$C$2:$K$2150,8,0),0)</f>
        <v>0</v>
      </c>
      <c r="K9358" s="21">
        <f t="shared" si="655"/>
        <v>0</v>
      </c>
      <c r="L9358" s="5">
        <f t="shared" si="657"/>
        <v>0</v>
      </c>
      <c r="M9358" s="4"/>
      <c r="N9358" s="4"/>
      <c r="O9358" s="5"/>
      <c r="P9358" s="5"/>
      <c r="Q9358" s="21">
        <f t="shared" si="658"/>
        <v>0</v>
      </c>
      <c r="R9358" s="21">
        <f t="shared" si="656"/>
        <v>0</v>
      </c>
      <c r="S9358" s="5">
        <f t="shared" si="659"/>
        <v>70007.077158325032</v>
      </c>
      <c r="T9358" cm="1">
        <f t="array" ref="T9358">IF(OR(B9358="MAL ALIMI", B9358="ÜRETİM GİRİŞ"), MIN(I9358, MAX(0, I9358 + SUM(SUMIFS($I$1:I9357, $C$1:C9357, C9358, $B$1:B9357, {"MAL ALIMI","ÜRETİM GİRİŞ"})) - VLOOKUP(C9358, 'STOK RAPORU'!$C$2:$I$1000, 4, 0))), 0)</f>
        <v>0</v>
      </c>
      <c r="U9358" s="22">
        <f t="shared" si="652"/>
        <v>0</v>
      </c>
      <c r="V9358">
        <f t="shared" si="653"/>
        <v>0</v>
      </c>
      <c r="W9358" s="22">
        <f t="shared" si="654"/>
        <v>0</v>
      </c>
    </row>
    <row r="9359" spans="1:23" hidden="1" x14ac:dyDescent="0.25">
      <c r="A9359" s="4"/>
      <c r="B9359" s="4"/>
      <c r="C9359" s="4"/>
      <c r="D9359" s="4"/>
      <c r="E9359" s="4"/>
      <c r="F9359" s="4"/>
      <c r="G9359" s="4"/>
      <c r="H9359" s="4"/>
      <c r="I9359" s="4"/>
      <c r="J9359" s="21">
        <f>IFERROR(VLOOKUP(C9359,'STOK KARTLARI'!$C$2:$K$2150,8,0),0)</f>
        <v>0</v>
      </c>
      <c r="K9359" s="21">
        <f t="shared" si="655"/>
        <v>0</v>
      </c>
      <c r="L9359" s="5">
        <f t="shared" si="657"/>
        <v>0</v>
      </c>
      <c r="M9359" s="4"/>
      <c r="N9359" s="4"/>
      <c r="O9359" s="5"/>
      <c r="P9359" s="5"/>
      <c r="Q9359" s="21">
        <f t="shared" si="658"/>
        <v>0</v>
      </c>
      <c r="R9359" s="21">
        <f t="shared" si="656"/>
        <v>0</v>
      </c>
      <c r="S9359" s="5">
        <f t="shared" si="659"/>
        <v>70007.077158325032</v>
      </c>
      <c r="T9359" cm="1">
        <f t="array" ref="T9359">IF(OR(B9359="MAL ALIMI", B9359="ÜRETİM GİRİŞ"), MIN(I9359, MAX(0, I9359 + SUM(SUMIFS($I$1:I9358, $C$1:C9358, C9359, $B$1:B9358, {"MAL ALIMI","ÜRETİM GİRİŞ"})) - VLOOKUP(C9359, 'STOK RAPORU'!$C$2:$I$1000, 4, 0))), 0)</f>
        <v>0</v>
      </c>
      <c r="U9359" s="22">
        <f t="shared" si="652"/>
        <v>0</v>
      </c>
      <c r="V9359">
        <f t="shared" si="653"/>
        <v>0</v>
      </c>
      <c r="W9359" s="22">
        <f t="shared" si="654"/>
        <v>0</v>
      </c>
    </row>
    <row r="9360" spans="1:23" hidden="1" x14ac:dyDescent="0.25">
      <c r="A9360" s="4"/>
      <c r="B9360" s="4"/>
      <c r="C9360" s="4"/>
      <c r="D9360" s="4"/>
      <c r="E9360" s="4"/>
      <c r="F9360" s="4"/>
      <c r="G9360" s="4"/>
      <c r="H9360" s="4"/>
      <c r="I9360" s="4"/>
      <c r="J9360" s="21">
        <f>IFERROR(VLOOKUP(C9360,'STOK KARTLARI'!$C$2:$K$2150,8,0),0)</f>
        <v>0</v>
      </c>
      <c r="K9360" s="21">
        <f t="shared" si="655"/>
        <v>0</v>
      </c>
      <c r="L9360" s="5">
        <f t="shared" si="657"/>
        <v>0</v>
      </c>
      <c r="M9360" s="4"/>
      <c r="N9360" s="4"/>
      <c r="O9360" s="5"/>
      <c r="P9360" s="5"/>
      <c r="Q9360" s="21">
        <f t="shared" si="658"/>
        <v>0</v>
      </c>
      <c r="R9360" s="21">
        <f t="shared" si="656"/>
        <v>0</v>
      </c>
      <c r="S9360" s="5">
        <f t="shared" si="659"/>
        <v>70007.077158325032</v>
      </c>
      <c r="T9360" cm="1">
        <f t="array" ref="T9360">IF(OR(B9360="MAL ALIMI", B9360="ÜRETİM GİRİŞ"), MIN(I9360, MAX(0, I9360 + SUM(SUMIFS($I$1:I9359, $C$1:C9359, C9360, $B$1:B9359, {"MAL ALIMI","ÜRETİM GİRİŞ"})) - VLOOKUP(C9360, 'STOK RAPORU'!$C$2:$I$1000, 4, 0))), 0)</f>
        <v>0</v>
      </c>
      <c r="U9360" s="22">
        <f t="shared" si="652"/>
        <v>0</v>
      </c>
      <c r="V9360">
        <f t="shared" si="653"/>
        <v>0</v>
      </c>
      <c r="W9360" s="22">
        <f t="shared" si="654"/>
        <v>0</v>
      </c>
    </row>
    <row r="9361" spans="1:23" hidden="1" x14ac:dyDescent="0.25">
      <c r="A9361" s="4"/>
      <c r="B9361" s="4"/>
      <c r="C9361" s="4"/>
      <c r="D9361" s="4"/>
      <c r="E9361" s="4"/>
      <c r="F9361" s="4"/>
      <c r="G9361" s="4"/>
      <c r="H9361" s="4"/>
      <c r="I9361" s="4"/>
      <c r="J9361" s="21">
        <f>IFERROR(VLOOKUP(C9361,'STOK KARTLARI'!$C$2:$K$2150,8,0),0)</f>
        <v>0</v>
      </c>
      <c r="K9361" s="21">
        <f t="shared" si="655"/>
        <v>0</v>
      </c>
      <c r="L9361" s="5">
        <f t="shared" si="657"/>
        <v>0</v>
      </c>
      <c r="M9361" s="4"/>
      <c r="N9361" s="4"/>
      <c r="O9361" s="5"/>
      <c r="P9361" s="5"/>
      <c r="Q9361" s="21">
        <f t="shared" si="658"/>
        <v>0</v>
      </c>
      <c r="R9361" s="21">
        <f t="shared" si="656"/>
        <v>0</v>
      </c>
      <c r="S9361" s="5">
        <f t="shared" si="659"/>
        <v>70007.077158325032</v>
      </c>
      <c r="T9361" cm="1">
        <f t="array" ref="T9361">IF(OR(B9361="MAL ALIMI", B9361="ÜRETİM GİRİŞ"), MIN(I9361, MAX(0, I9361 + SUM(SUMIFS($I$1:I9360, $C$1:C9360, C9361, $B$1:B9360, {"MAL ALIMI","ÜRETİM GİRİŞ"})) - VLOOKUP(C9361, 'STOK RAPORU'!$C$2:$I$1000, 4, 0))), 0)</f>
        <v>0</v>
      </c>
      <c r="U9361" s="22">
        <f t="shared" si="652"/>
        <v>0</v>
      </c>
      <c r="V9361">
        <f t="shared" si="653"/>
        <v>0</v>
      </c>
      <c r="W9361" s="22">
        <f t="shared" si="654"/>
        <v>0</v>
      </c>
    </row>
    <row r="9362" spans="1:23" hidden="1" x14ac:dyDescent="0.25">
      <c r="A9362" s="4"/>
      <c r="B9362" s="4"/>
      <c r="C9362" s="4"/>
      <c r="D9362" s="4"/>
      <c r="E9362" s="4"/>
      <c r="F9362" s="4"/>
      <c r="G9362" s="4"/>
      <c r="H9362" s="4"/>
      <c r="I9362" s="4"/>
      <c r="J9362" s="21">
        <f>IFERROR(VLOOKUP(C9362,'STOK KARTLARI'!$C$2:$K$2150,8,0),0)</f>
        <v>0</v>
      </c>
      <c r="K9362" s="21">
        <f t="shared" si="655"/>
        <v>0</v>
      </c>
      <c r="L9362" s="5">
        <f t="shared" si="657"/>
        <v>0</v>
      </c>
      <c r="M9362" s="4"/>
      <c r="N9362" s="4"/>
      <c r="O9362" s="5"/>
      <c r="P9362" s="5"/>
      <c r="Q9362" s="21">
        <f t="shared" si="658"/>
        <v>0</v>
      </c>
      <c r="R9362" s="21">
        <f t="shared" si="656"/>
        <v>0</v>
      </c>
      <c r="S9362" s="5">
        <f t="shared" si="659"/>
        <v>70007.077158325032</v>
      </c>
      <c r="T9362" cm="1">
        <f t="array" ref="T9362">IF(OR(B9362="MAL ALIMI", B9362="ÜRETİM GİRİŞ"), MIN(I9362, MAX(0, I9362 + SUM(SUMIFS($I$1:I9361, $C$1:C9361, C9362, $B$1:B9361, {"MAL ALIMI","ÜRETİM GİRİŞ"})) - VLOOKUP(C9362, 'STOK RAPORU'!$C$2:$I$1000, 4, 0))), 0)</f>
        <v>0</v>
      </c>
      <c r="U9362" s="22">
        <f t="shared" si="652"/>
        <v>0</v>
      </c>
      <c r="V9362">
        <f t="shared" si="653"/>
        <v>0</v>
      </c>
      <c r="W9362" s="22">
        <f t="shared" si="654"/>
        <v>0</v>
      </c>
    </row>
    <row r="9363" spans="1:23" hidden="1" x14ac:dyDescent="0.25">
      <c r="A9363" s="4"/>
      <c r="B9363" s="4"/>
      <c r="C9363" s="4"/>
      <c r="D9363" s="4"/>
      <c r="E9363" s="4"/>
      <c r="F9363" s="4"/>
      <c r="G9363" s="4"/>
      <c r="H9363" s="4"/>
      <c r="I9363" s="4"/>
      <c r="J9363" s="21">
        <f>IFERROR(VLOOKUP(C9363,'STOK KARTLARI'!$C$2:$K$2150,8,0),0)</f>
        <v>0</v>
      </c>
      <c r="K9363" s="21">
        <f t="shared" si="655"/>
        <v>0</v>
      </c>
      <c r="L9363" s="5">
        <f t="shared" si="657"/>
        <v>0</v>
      </c>
      <c r="M9363" s="4"/>
      <c r="N9363" s="4"/>
      <c r="O9363" s="5"/>
      <c r="P9363" s="5"/>
      <c r="Q9363" s="21">
        <f t="shared" si="658"/>
        <v>0</v>
      </c>
      <c r="R9363" s="21">
        <f t="shared" si="656"/>
        <v>0</v>
      </c>
      <c r="S9363" s="5">
        <f t="shared" si="659"/>
        <v>70007.077158325032</v>
      </c>
      <c r="T9363" cm="1">
        <f t="array" ref="T9363">IF(OR(B9363="MAL ALIMI", B9363="ÜRETİM GİRİŞ"), MIN(I9363, MAX(0, I9363 + SUM(SUMIFS($I$1:I9362, $C$1:C9362, C9363, $B$1:B9362, {"MAL ALIMI","ÜRETİM GİRİŞ"})) - VLOOKUP(C9363, 'STOK RAPORU'!$C$2:$I$1000, 4, 0))), 0)</f>
        <v>0</v>
      </c>
      <c r="U9363" s="22">
        <f t="shared" si="652"/>
        <v>0</v>
      </c>
      <c r="V9363">
        <f t="shared" si="653"/>
        <v>0</v>
      </c>
      <c r="W9363" s="22">
        <f t="shared" si="654"/>
        <v>0</v>
      </c>
    </row>
    <row r="9364" spans="1:23" hidden="1" x14ac:dyDescent="0.25">
      <c r="A9364" s="4"/>
      <c r="B9364" s="4"/>
      <c r="C9364" s="4"/>
      <c r="D9364" s="4"/>
      <c r="E9364" s="4"/>
      <c r="F9364" s="4"/>
      <c r="G9364" s="4"/>
      <c r="H9364" s="4"/>
      <c r="I9364" s="4"/>
      <c r="J9364" s="21">
        <f>IFERROR(VLOOKUP(C9364,'STOK KARTLARI'!$C$2:$K$2150,8,0),0)</f>
        <v>0</v>
      </c>
      <c r="K9364" s="21">
        <f t="shared" si="655"/>
        <v>0</v>
      </c>
      <c r="L9364" s="5">
        <f t="shared" si="657"/>
        <v>0</v>
      </c>
      <c r="M9364" s="4"/>
      <c r="N9364" s="4"/>
      <c r="O9364" s="5"/>
      <c r="P9364" s="5"/>
      <c r="Q9364" s="21">
        <f t="shared" si="658"/>
        <v>0</v>
      </c>
      <c r="R9364" s="21">
        <f t="shared" si="656"/>
        <v>0</v>
      </c>
      <c r="S9364" s="5">
        <f t="shared" si="659"/>
        <v>70007.077158325032</v>
      </c>
      <c r="T9364" cm="1">
        <f t="array" ref="T9364">IF(OR(B9364="MAL ALIMI", B9364="ÜRETİM GİRİŞ"), MIN(I9364, MAX(0, I9364 + SUM(SUMIFS($I$1:I9363, $C$1:C9363, C9364, $B$1:B9363, {"MAL ALIMI","ÜRETİM GİRİŞ"})) - VLOOKUP(C9364, 'STOK RAPORU'!$C$2:$I$1000, 4, 0))), 0)</f>
        <v>0</v>
      </c>
      <c r="U9364" s="22">
        <f t="shared" si="652"/>
        <v>0</v>
      </c>
      <c r="V9364">
        <f t="shared" si="653"/>
        <v>0</v>
      </c>
      <c r="W9364" s="22">
        <f t="shared" si="654"/>
        <v>0</v>
      </c>
    </row>
    <row r="9365" spans="1:23" hidden="1" x14ac:dyDescent="0.25">
      <c r="A9365" s="3"/>
      <c r="B9365" s="4"/>
      <c r="C9365" s="4"/>
      <c r="D9365" s="4"/>
      <c r="E9365" s="4"/>
      <c r="F9365" s="4"/>
      <c r="G9365" s="4"/>
      <c r="H9365" s="4"/>
      <c r="I9365" s="4"/>
      <c r="J9365" s="21">
        <f>IFERROR(VLOOKUP(C9365,'STOK KARTLARI'!$C$2:$K$2150,8,0),0)</f>
        <v>0</v>
      </c>
      <c r="K9365" s="21">
        <f t="shared" si="655"/>
        <v>0</v>
      </c>
      <c r="L9365" s="5">
        <f t="shared" si="657"/>
        <v>0</v>
      </c>
      <c r="M9365" s="4"/>
      <c r="N9365" s="4"/>
      <c r="O9365" s="5"/>
      <c r="P9365" s="5"/>
      <c r="Q9365" s="21">
        <f t="shared" si="658"/>
        <v>0</v>
      </c>
      <c r="R9365" s="21">
        <f t="shared" si="656"/>
        <v>0</v>
      </c>
      <c r="S9365" s="5">
        <f t="shared" si="659"/>
        <v>70007.077158325032</v>
      </c>
      <c r="T9365" cm="1">
        <f t="array" ref="T9365">IF(OR(B9365="MAL ALIMI", B9365="ÜRETİM GİRİŞ"), MIN(I9365, MAX(0, I9365 + SUM(SUMIFS($I$1:I9364, $C$1:C9364, C9365, $B$1:B9364, {"MAL ALIMI","ÜRETİM GİRİŞ"})) - VLOOKUP(C9365, 'STOK RAPORU'!$C$2:$I$1000, 4, 0))), 0)</f>
        <v>0</v>
      </c>
      <c r="U9365" s="22">
        <f t="shared" si="652"/>
        <v>0</v>
      </c>
      <c r="V9365">
        <f t="shared" si="653"/>
        <v>0</v>
      </c>
      <c r="W9365" s="22">
        <f t="shared" si="654"/>
        <v>0</v>
      </c>
    </row>
    <row r="9366" spans="1:23" hidden="1" x14ac:dyDescent="0.25">
      <c r="A9366" s="4"/>
      <c r="B9366" s="4"/>
      <c r="C9366" s="4"/>
      <c r="D9366" s="4"/>
      <c r="E9366" s="4"/>
      <c r="F9366" s="4"/>
      <c r="G9366" s="4"/>
      <c r="H9366" s="4"/>
      <c r="I9366" s="4"/>
      <c r="J9366" s="21">
        <f>IFERROR(VLOOKUP(C9366,'STOK KARTLARI'!$C$2:$K$2150,8,0),0)</f>
        <v>0</v>
      </c>
      <c r="K9366" s="21">
        <f t="shared" si="655"/>
        <v>0</v>
      </c>
      <c r="L9366" s="5">
        <f t="shared" si="657"/>
        <v>0</v>
      </c>
      <c r="M9366" s="4"/>
      <c r="N9366" s="4"/>
      <c r="O9366" s="5"/>
      <c r="P9366" s="5"/>
      <c r="Q9366" s="21">
        <f t="shared" si="658"/>
        <v>0</v>
      </c>
      <c r="R9366" s="21">
        <f t="shared" si="656"/>
        <v>0</v>
      </c>
      <c r="S9366" s="5">
        <f t="shared" si="659"/>
        <v>70007.077158325032</v>
      </c>
      <c r="T9366" cm="1">
        <f t="array" ref="T9366">IF(OR(B9366="MAL ALIMI", B9366="ÜRETİM GİRİŞ"), MIN(I9366, MAX(0, I9366 + SUM(SUMIFS($I$1:I9365, $C$1:C9365, C9366, $B$1:B9365, {"MAL ALIMI","ÜRETİM GİRİŞ"})) - VLOOKUP(C9366, 'STOK RAPORU'!$C$2:$I$1000, 4, 0))), 0)</f>
        <v>0</v>
      </c>
      <c r="U9366" s="22">
        <f t="shared" si="652"/>
        <v>0</v>
      </c>
      <c r="V9366">
        <f t="shared" si="653"/>
        <v>0</v>
      </c>
      <c r="W9366" s="22">
        <f t="shared" si="654"/>
        <v>0</v>
      </c>
    </row>
    <row r="9367" spans="1:23" hidden="1" x14ac:dyDescent="0.25">
      <c r="A9367" s="4"/>
      <c r="B9367" s="4"/>
      <c r="C9367" s="4"/>
      <c r="D9367" s="4"/>
      <c r="E9367" s="4"/>
      <c r="F9367" s="4"/>
      <c r="G9367" s="4"/>
      <c r="H9367" s="4"/>
      <c r="I9367" s="4"/>
      <c r="J9367" s="21">
        <f>IFERROR(VLOOKUP(C9367,'STOK KARTLARI'!$C$2:$K$2150,8,0),0)</f>
        <v>0</v>
      </c>
      <c r="K9367" s="21">
        <f t="shared" si="655"/>
        <v>0</v>
      </c>
      <c r="L9367" s="5">
        <f t="shared" si="657"/>
        <v>0</v>
      </c>
      <c r="M9367" s="4"/>
      <c r="N9367" s="4"/>
      <c r="O9367" s="5"/>
      <c r="P9367" s="5"/>
      <c r="Q9367" s="21">
        <f t="shared" si="658"/>
        <v>0</v>
      </c>
      <c r="R9367" s="21">
        <f t="shared" si="656"/>
        <v>0</v>
      </c>
      <c r="S9367" s="5">
        <f t="shared" si="659"/>
        <v>70007.077158325032</v>
      </c>
      <c r="T9367" cm="1">
        <f t="array" ref="T9367">IF(OR(B9367="MAL ALIMI", B9367="ÜRETİM GİRİŞ"), MIN(I9367, MAX(0, I9367 + SUM(SUMIFS($I$1:I9366, $C$1:C9366, C9367, $B$1:B9366, {"MAL ALIMI","ÜRETİM GİRİŞ"})) - VLOOKUP(C9367, 'STOK RAPORU'!$C$2:$I$1000, 4, 0))), 0)</f>
        <v>0</v>
      </c>
      <c r="U9367" s="22">
        <f t="shared" si="652"/>
        <v>0</v>
      </c>
      <c r="V9367">
        <f t="shared" si="653"/>
        <v>0</v>
      </c>
      <c r="W9367" s="22">
        <f t="shared" si="654"/>
        <v>0</v>
      </c>
    </row>
    <row r="9368" spans="1:23" hidden="1" x14ac:dyDescent="0.25">
      <c r="A9368" s="4"/>
      <c r="B9368" s="4"/>
      <c r="C9368" s="4"/>
      <c r="D9368" s="4"/>
      <c r="E9368" s="4"/>
      <c r="F9368" s="4"/>
      <c r="G9368" s="4"/>
      <c r="H9368" s="4"/>
      <c r="I9368" s="4"/>
      <c r="J9368" s="21">
        <f>IFERROR(VLOOKUP(C9368,'STOK KARTLARI'!$C$2:$K$2150,8,0),0)</f>
        <v>0</v>
      </c>
      <c r="K9368" s="21">
        <f t="shared" si="655"/>
        <v>0</v>
      </c>
      <c r="L9368" s="5">
        <f t="shared" si="657"/>
        <v>0</v>
      </c>
      <c r="M9368" s="4"/>
      <c r="N9368" s="4"/>
      <c r="O9368" s="5"/>
      <c r="P9368" s="5"/>
      <c r="Q9368" s="21">
        <f t="shared" si="658"/>
        <v>0</v>
      </c>
      <c r="R9368" s="21">
        <f t="shared" si="656"/>
        <v>0</v>
      </c>
      <c r="S9368" s="5">
        <f t="shared" si="659"/>
        <v>70007.077158325032</v>
      </c>
      <c r="T9368" cm="1">
        <f t="array" ref="T9368">IF(OR(B9368="MAL ALIMI", B9368="ÜRETİM GİRİŞ"), MIN(I9368, MAX(0, I9368 + SUM(SUMIFS($I$1:I9367, $C$1:C9367, C9368, $B$1:B9367, {"MAL ALIMI","ÜRETİM GİRİŞ"})) - VLOOKUP(C9368, 'STOK RAPORU'!$C$2:$I$1000, 4, 0))), 0)</f>
        <v>0</v>
      </c>
      <c r="U9368" s="22">
        <f t="shared" si="652"/>
        <v>0</v>
      </c>
      <c r="V9368">
        <f t="shared" si="653"/>
        <v>0</v>
      </c>
      <c r="W9368" s="22">
        <f t="shared" si="654"/>
        <v>0</v>
      </c>
    </row>
    <row r="9369" spans="1:23" hidden="1" x14ac:dyDescent="0.25">
      <c r="A9369" s="4"/>
      <c r="B9369" s="4"/>
      <c r="C9369" s="4"/>
      <c r="D9369" s="4"/>
      <c r="E9369" s="4"/>
      <c r="F9369" s="4"/>
      <c r="G9369" s="4"/>
      <c r="H9369" s="4"/>
      <c r="I9369" s="4"/>
      <c r="J9369" s="21">
        <f>IFERROR(VLOOKUP(C9369,'STOK KARTLARI'!$C$2:$K$2150,8,0),0)</f>
        <v>0</v>
      </c>
      <c r="K9369" s="21">
        <f t="shared" si="655"/>
        <v>0</v>
      </c>
      <c r="L9369" s="5">
        <f t="shared" si="657"/>
        <v>0</v>
      </c>
      <c r="M9369" s="4"/>
      <c r="N9369" s="4"/>
      <c r="O9369" s="5"/>
      <c r="P9369" s="5"/>
      <c r="Q9369" s="21">
        <f t="shared" si="658"/>
        <v>0</v>
      </c>
      <c r="R9369" s="21">
        <f t="shared" si="656"/>
        <v>0</v>
      </c>
      <c r="S9369" s="5">
        <f t="shared" si="659"/>
        <v>70007.077158325032</v>
      </c>
      <c r="T9369" cm="1">
        <f t="array" ref="T9369">IF(OR(B9369="MAL ALIMI", B9369="ÜRETİM GİRİŞ"), MIN(I9369, MAX(0, I9369 + SUM(SUMIFS($I$1:I9368, $C$1:C9368, C9369, $B$1:B9368, {"MAL ALIMI","ÜRETİM GİRİŞ"})) - VLOOKUP(C9369, 'STOK RAPORU'!$C$2:$I$1000, 4, 0))), 0)</f>
        <v>0</v>
      </c>
      <c r="U9369" s="22">
        <f t="shared" si="652"/>
        <v>0</v>
      </c>
      <c r="V9369">
        <f t="shared" si="653"/>
        <v>0</v>
      </c>
      <c r="W9369" s="22">
        <f t="shared" si="654"/>
        <v>0</v>
      </c>
    </row>
    <row r="9370" spans="1:23" hidden="1" x14ac:dyDescent="0.25">
      <c r="A9370" s="4"/>
      <c r="B9370" s="4"/>
      <c r="C9370" s="4"/>
      <c r="D9370" s="4"/>
      <c r="E9370" s="4"/>
      <c r="F9370" s="4"/>
      <c r="G9370" s="4"/>
      <c r="H9370" s="4"/>
      <c r="I9370" s="4"/>
      <c r="J9370" s="21">
        <f>IFERROR(VLOOKUP(C9370,'STOK KARTLARI'!$C$2:$K$2150,8,0),0)</f>
        <v>0</v>
      </c>
      <c r="K9370" s="21">
        <f t="shared" si="655"/>
        <v>0</v>
      </c>
      <c r="L9370" s="5">
        <f t="shared" si="657"/>
        <v>0</v>
      </c>
      <c r="M9370" s="4"/>
      <c r="N9370" s="4"/>
      <c r="O9370" s="5"/>
      <c r="P9370" s="5"/>
      <c r="Q9370" s="21">
        <f t="shared" si="658"/>
        <v>0</v>
      </c>
      <c r="R9370" s="21">
        <f t="shared" si="656"/>
        <v>0</v>
      </c>
      <c r="S9370" s="5">
        <f t="shared" si="659"/>
        <v>70007.077158325032</v>
      </c>
      <c r="T9370" cm="1">
        <f t="array" ref="T9370">IF(OR(B9370="MAL ALIMI", B9370="ÜRETİM GİRİŞ"), MIN(I9370, MAX(0, I9370 + SUM(SUMIFS($I$1:I9369, $C$1:C9369, C9370, $B$1:B9369, {"MAL ALIMI","ÜRETİM GİRİŞ"})) - VLOOKUP(C9370, 'STOK RAPORU'!$C$2:$I$1000, 4, 0))), 0)</f>
        <v>0</v>
      </c>
      <c r="U9370" s="22">
        <f t="shared" si="652"/>
        <v>0</v>
      </c>
      <c r="V9370">
        <f t="shared" si="653"/>
        <v>0</v>
      </c>
      <c r="W9370" s="22">
        <f t="shared" si="654"/>
        <v>0</v>
      </c>
    </row>
    <row r="9371" spans="1:23" hidden="1" x14ac:dyDescent="0.25">
      <c r="A9371" s="4"/>
      <c r="B9371" s="4"/>
      <c r="C9371" s="4"/>
      <c r="D9371" s="4"/>
      <c r="E9371" s="4"/>
      <c r="F9371" s="4"/>
      <c r="G9371" s="4"/>
      <c r="H9371" s="4"/>
      <c r="I9371" s="4"/>
      <c r="J9371" s="21">
        <f>IFERROR(VLOOKUP(C9371,'STOK KARTLARI'!$C$2:$K$2150,8,0),0)</f>
        <v>0</v>
      </c>
      <c r="K9371" s="21">
        <f t="shared" si="655"/>
        <v>0</v>
      </c>
      <c r="L9371" s="5">
        <f t="shared" si="657"/>
        <v>0</v>
      </c>
      <c r="M9371" s="4"/>
      <c r="N9371" s="4"/>
      <c r="O9371" s="5"/>
      <c r="P9371" s="5"/>
      <c r="Q9371" s="21">
        <f t="shared" si="658"/>
        <v>0</v>
      </c>
      <c r="R9371" s="21">
        <f t="shared" si="656"/>
        <v>0</v>
      </c>
      <c r="S9371" s="5">
        <f t="shared" si="659"/>
        <v>70007.077158325032</v>
      </c>
      <c r="T9371" cm="1">
        <f t="array" ref="T9371">IF(OR(B9371="MAL ALIMI", B9371="ÜRETİM GİRİŞ"), MIN(I9371, MAX(0, I9371 + SUM(SUMIFS($I$1:I9370, $C$1:C9370, C9371, $B$1:B9370, {"MAL ALIMI","ÜRETİM GİRİŞ"})) - VLOOKUP(C9371, 'STOK RAPORU'!$C$2:$I$1000, 4, 0))), 0)</f>
        <v>0</v>
      </c>
      <c r="U9371" s="22">
        <f t="shared" si="652"/>
        <v>0</v>
      </c>
      <c r="V9371">
        <f t="shared" si="653"/>
        <v>0</v>
      </c>
      <c r="W9371" s="22">
        <f t="shared" si="654"/>
        <v>0</v>
      </c>
    </row>
    <row r="9372" spans="1:23" hidden="1" x14ac:dyDescent="0.25">
      <c r="A9372" s="3"/>
      <c r="B9372" s="4"/>
      <c r="C9372" s="4"/>
      <c r="D9372" s="4"/>
      <c r="E9372" s="4"/>
      <c r="F9372" s="4"/>
      <c r="G9372" s="4"/>
      <c r="H9372" s="4"/>
      <c r="I9372" s="4"/>
      <c r="J9372" s="21">
        <f>IFERROR(VLOOKUP(C9372,'STOK KARTLARI'!$C$2:$K$2150,8,0),0)</f>
        <v>0</v>
      </c>
      <c r="K9372" s="21">
        <f t="shared" si="655"/>
        <v>0</v>
      </c>
      <c r="L9372" s="5">
        <f t="shared" si="657"/>
        <v>0</v>
      </c>
      <c r="M9372" s="4"/>
      <c r="N9372" s="4"/>
      <c r="O9372" s="5"/>
      <c r="P9372" s="5"/>
      <c r="Q9372" s="21">
        <f t="shared" si="658"/>
        <v>0</v>
      </c>
      <c r="R9372" s="21">
        <f t="shared" si="656"/>
        <v>0</v>
      </c>
      <c r="S9372" s="5">
        <f t="shared" si="659"/>
        <v>70007.077158325032</v>
      </c>
      <c r="T9372" cm="1">
        <f t="array" ref="T9372">IF(OR(B9372="MAL ALIMI", B9372="ÜRETİM GİRİŞ"), MIN(I9372, MAX(0, I9372 + SUM(SUMIFS($I$1:I9371, $C$1:C9371, C9372, $B$1:B9371, {"MAL ALIMI","ÜRETİM GİRİŞ"})) - VLOOKUP(C9372, 'STOK RAPORU'!$C$2:$I$1000, 4, 0))), 0)</f>
        <v>0</v>
      </c>
      <c r="U9372" s="22">
        <f t="shared" si="652"/>
        <v>0</v>
      </c>
      <c r="V9372">
        <f t="shared" si="653"/>
        <v>0</v>
      </c>
      <c r="W9372" s="22">
        <f t="shared" si="654"/>
        <v>0</v>
      </c>
    </row>
    <row r="9373" spans="1:23" hidden="1" x14ac:dyDescent="0.25">
      <c r="A9373" s="4"/>
      <c r="B9373" s="4"/>
      <c r="C9373" s="4"/>
      <c r="D9373" s="4"/>
      <c r="E9373" s="4"/>
      <c r="F9373" s="4"/>
      <c r="G9373" s="4"/>
      <c r="H9373" s="4"/>
      <c r="I9373" s="4"/>
      <c r="J9373" s="21">
        <f>IFERROR(VLOOKUP(C9373,'STOK KARTLARI'!$C$2:$K$2150,8,0),0)</f>
        <v>0</v>
      </c>
      <c r="K9373" s="21">
        <f t="shared" si="655"/>
        <v>0</v>
      </c>
      <c r="L9373" s="5">
        <f t="shared" si="657"/>
        <v>0</v>
      </c>
      <c r="M9373" s="4"/>
      <c r="N9373" s="4"/>
      <c r="O9373" s="5"/>
      <c r="P9373" s="5"/>
      <c r="Q9373" s="21">
        <f t="shared" si="658"/>
        <v>0</v>
      </c>
      <c r="R9373" s="21">
        <f t="shared" si="656"/>
        <v>0</v>
      </c>
      <c r="S9373" s="5">
        <f t="shared" si="659"/>
        <v>70007.077158325032</v>
      </c>
      <c r="T9373" cm="1">
        <f t="array" ref="T9373">IF(OR(B9373="MAL ALIMI", B9373="ÜRETİM GİRİŞ"), MIN(I9373, MAX(0, I9373 + SUM(SUMIFS($I$1:I9372, $C$1:C9372, C9373, $B$1:B9372, {"MAL ALIMI","ÜRETİM GİRİŞ"})) - VLOOKUP(C9373, 'STOK RAPORU'!$C$2:$I$1000, 4, 0))), 0)</f>
        <v>0</v>
      </c>
      <c r="U9373" s="22">
        <f t="shared" si="652"/>
        <v>0</v>
      </c>
      <c r="V9373">
        <f t="shared" si="653"/>
        <v>0</v>
      </c>
      <c r="W9373" s="22">
        <f t="shared" si="654"/>
        <v>0</v>
      </c>
    </row>
    <row r="9374" spans="1:23" hidden="1" x14ac:dyDescent="0.25">
      <c r="A9374" s="4"/>
      <c r="B9374" s="4"/>
      <c r="C9374" s="4"/>
      <c r="D9374" s="4"/>
      <c r="E9374" s="4"/>
      <c r="F9374" s="4"/>
      <c r="G9374" s="4"/>
      <c r="H9374" s="4"/>
      <c r="I9374" s="4"/>
      <c r="J9374" s="21">
        <f>IFERROR(VLOOKUP(C9374,'STOK KARTLARI'!$C$2:$K$2150,8,0),0)</f>
        <v>0</v>
      </c>
      <c r="K9374" s="21">
        <f t="shared" si="655"/>
        <v>0</v>
      </c>
      <c r="L9374" s="5">
        <f t="shared" si="657"/>
        <v>0</v>
      </c>
      <c r="M9374" s="4"/>
      <c r="N9374" s="4"/>
      <c r="O9374" s="5"/>
      <c r="P9374" s="5"/>
      <c r="Q9374" s="21">
        <f t="shared" si="658"/>
        <v>0</v>
      </c>
      <c r="R9374" s="21">
        <f t="shared" si="656"/>
        <v>0</v>
      </c>
      <c r="S9374" s="5">
        <f t="shared" si="659"/>
        <v>70007.077158325032</v>
      </c>
      <c r="T9374" cm="1">
        <f t="array" ref="T9374">IF(OR(B9374="MAL ALIMI", B9374="ÜRETİM GİRİŞ"), MIN(I9374, MAX(0, I9374 + SUM(SUMIFS($I$1:I9373, $C$1:C9373, C9374, $B$1:B9373, {"MAL ALIMI","ÜRETİM GİRİŞ"})) - VLOOKUP(C9374, 'STOK RAPORU'!$C$2:$I$1000, 4, 0))), 0)</f>
        <v>0</v>
      </c>
      <c r="U9374" s="22">
        <f t="shared" si="652"/>
        <v>0</v>
      </c>
      <c r="V9374">
        <f t="shared" si="653"/>
        <v>0</v>
      </c>
      <c r="W9374" s="22">
        <f t="shared" si="654"/>
        <v>0</v>
      </c>
    </row>
    <row r="9375" spans="1:23" hidden="1" x14ac:dyDescent="0.25">
      <c r="A9375" s="4"/>
      <c r="B9375" s="4"/>
      <c r="C9375" s="4"/>
      <c r="D9375" s="4"/>
      <c r="E9375" s="4"/>
      <c r="F9375" s="4"/>
      <c r="G9375" s="4"/>
      <c r="H9375" s="4"/>
      <c r="I9375" s="4"/>
      <c r="J9375" s="21">
        <f>IFERROR(VLOOKUP(C9375,'STOK KARTLARI'!$C$2:$K$2150,8,0),0)</f>
        <v>0</v>
      </c>
      <c r="K9375" s="21">
        <f t="shared" si="655"/>
        <v>0</v>
      </c>
      <c r="L9375" s="5">
        <f t="shared" si="657"/>
        <v>0</v>
      </c>
      <c r="M9375" s="4"/>
      <c r="N9375" s="4"/>
      <c r="O9375" s="5"/>
      <c r="P9375" s="5"/>
      <c r="Q9375" s="21">
        <f t="shared" si="658"/>
        <v>0</v>
      </c>
      <c r="R9375" s="21">
        <f t="shared" si="656"/>
        <v>0</v>
      </c>
      <c r="S9375" s="5">
        <f t="shared" si="659"/>
        <v>70007.077158325032</v>
      </c>
      <c r="T9375" cm="1">
        <f t="array" ref="T9375">IF(OR(B9375="MAL ALIMI", B9375="ÜRETİM GİRİŞ"), MIN(I9375, MAX(0, I9375 + SUM(SUMIFS($I$1:I9374, $C$1:C9374, C9375, $B$1:B9374, {"MAL ALIMI","ÜRETİM GİRİŞ"})) - VLOOKUP(C9375, 'STOK RAPORU'!$C$2:$I$1000, 4, 0))), 0)</f>
        <v>0</v>
      </c>
      <c r="U9375" s="22">
        <f t="shared" si="652"/>
        <v>0</v>
      </c>
      <c r="V9375">
        <f t="shared" si="653"/>
        <v>0</v>
      </c>
      <c r="W9375" s="22">
        <f t="shared" si="654"/>
        <v>0</v>
      </c>
    </row>
    <row r="9376" spans="1:23" hidden="1" x14ac:dyDescent="0.25">
      <c r="A9376" s="4"/>
      <c r="B9376" s="4"/>
      <c r="C9376" s="4"/>
      <c r="D9376" s="4"/>
      <c r="E9376" s="4"/>
      <c r="F9376" s="4"/>
      <c r="G9376" s="4"/>
      <c r="H9376" s="4"/>
      <c r="I9376" s="4"/>
      <c r="J9376" s="21">
        <f>IFERROR(VLOOKUP(C9376,'STOK KARTLARI'!$C$2:$K$2150,8,0),0)</f>
        <v>0</v>
      </c>
      <c r="K9376" s="21">
        <f t="shared" si="655"/>
        <v>0</v>
      </c>
      <c r="L9376" s="5">
        <f t="shared" si="657"/>
        <v>0</v>
      </c>
      <c r="M9376" s="4"/>
      <c r="N9376" s="4"/>
      <c r="O9376" s="5"/>
      <c r="P9376" s="5"/>
      <c r="Q9376" s="21">
        <f t="shared" si="658"/>
        <v>0</v>
      </c>
      <c r="R9376" s="21">
        <f t="shared" si="656"/>
        <v>0</v>
      </c>
      <c r="S9376" s="5">
        <f t="shared" si="659"/>
        <v>70007.077158325032</v>
      </c>
      <c r="T9376" cm="1">
        <f t="array" ref="T9376">IF(OR(B9376="MAL ALIMI", B9376="ÜRETİM GİRİŞ"), MIN(I9376, MAX(0, I9376 + SUM(SUMIFS($I$1:I9375, $C$1:C9375, C9376, $B$1:B9375, {"MAL ALIMI","ÜRETİM GİRİŞ"})) - VLOOKUP(C9376, 'STOK RAPORU'!$C$2:$I$1000, 4, 0))), 0)</f>
        <v>0</v>
      </c>
      <c r="U9376" s="22">
        <f t="shared" si="652"/>
        <v>0</v>
      </c>
      <c r="V9376">
        <f t="shared" si="653"/>
        <v>0</v>
      </c>
      <c r="W9376" s="22">
        <f t="shared" si="654"/>
        <v>0</v>
      </c>
    </row>
    <row r="9377" spans="1:23" hidden="1" x14ac:dyDescent="0.25">
      <c r="A9377" s="4"/>
      <c r="B9377" s="4"/>
      <c r="C9377" s="4"/>
      <c r="D9377" s="4"/>
      <c r="E9377" s="4"/>
      <c r="F9377" s="4"/>
      <c r="G9377" s="4"/>
      <c r="H9377" s="4"/>
      <c r="I9377" s="4"/>
      <c r="J9377" s="21">
        <f>IFERROR(VLOOKUP(C9377,'STOK KARTLARI'!$C$2:$K$2150,8,0),0)</f>
        <v>0</v>
      </c>
      <c r="K9377" s="21">
        <f t="shared" si="655"/>
        <v>0</v>
      </c>
      <c r="L9377" s="5">
        <f t="shared" si="657"/>
        <v>0</v>
      </c>
      <c r="M9377" s="4"/>
      <c r="N9377" s="4"/>
      <c r="O9377" s="5"/>
      <c r="P9377" s="5"/>
      <c r="Q9377" s="21">
        <f t="shared" si="658"/>
        <v>0</v>
      </c>
      <c r="R9377" s="21">
        <f t="shared" si="656"/>
        <v>0</v>
      </c>
      <c r="S9377" s="5">
        <f t="shared" si="659"/>
        <v>70007.077158325032</v>
      </c>
      <c r="T9377" cm="1">
        <f t="array" ref="T9377">IF(OR(B9377="MAL ALIMI", B9377="ÜRETİM GİRİŞ"), MIN(I9377, MAX(0, I9377 + SUM(SUMIFS($I$1:I9376, $C$1:C9376, C9377, $B$1:B9376, {"MAL ALIMI","ÜRETİM GİRİŞ"})) - VLOOKUP(C9377, 'STOK RAPORU'!$C$2:$I$1000, 4, 0))), 0)</f>
        <v>0</v>
      </c>
      <c r="U9377" s="22">
        <f t="shared" si="652"/>
        <v>0</v>
      </c>
      <c r="V9377">
        <f t="shared" si="653"/>
        <v>0</v>
      </c>
      <c r="W9377" s="22">
        <f t="shared" si="654"/>
        <v>0</v>
      </c>
    </row>
    <row r="9378" spans="1:23" hidden="1" x14ac:dyDescent="0.25">
      <c r="A9378" s="4"/>
      <c r="B9378" s="4"/>
      <c r="C9378" s="4"/>
      <c r="D9378" s="4"/>
      <c r="E9378" s="4"/>
      <c r="F9378" s="4"/>
      <c r="G9378" s="4"/>
      <c r="H9378" s="4"/>
      <c r="I9378" s="4"/>
      <c r="J9378" s="21">
        <f>IFERROR(VLOOKUP(C9378,'STOK KARTLARI'!$C$2:$K$2150,8,0),0)</f>
        <v>0</v>
      </c>
      <c r="K9378" s="21">
        <f t="shared" si="655"/>
        <v>0</v>
      </c>
      <c r="L9378" s="5">
        <f t="shared" si="657"/>
        <v>0</v>
      </c>
      <c r="M9378" s="4"/>
      <c r="N9378" s="4"/>
      <c r="O9378" s="5"/>
      <c r="P9378" s="5"/>
      <c r="Q9378" s="21">
        <f t="shared" si="658"/>
        <v>0</v>
      </c>
      <c r="R9378" s="21">
        <f t="shared" si="656"/>
        <v>0</v>
      </c>
      <c r="S9378" s="5">
        <f t="shared" si="659"/>
        <v>70007.077158325032</v>
      </c>
      <c r="T9378" cm="1">
        <f t="array" ref="T9378">IF(OR(B9378="MAL ALIMI", B9378="ÜRETİM GİRİŞ"), MIN(I9378, MAX(0, I9378 + SUM(SUMIFS($I$1:I9377, $C$1:C9377, C9378, $B$1:B9377, {"MAL ALIMI","ÜRETİM GİRİŞ"})) - VLOOKUP(C9378, 'STOK RAPORU'!$C$2:$I$1000, 4, 0))), 0)</f>
        <v>0</v>
      </c>
      <c r="U9378" s="22">
        <f t="shared" si="652"/>
        <v>0</v>
      </c>
      <c r="V9378">
        <f t="shared" si="653"/>
        <v>0</v>
      </c>
      <c r="W9378" s="22">
        <f t="shared" si="654"/>
        <v>0</v>
      </c>
    </row>
    <row r="9379" spans="1:23" hidden="1" x14ac:dyDescent="0.25">
      <c r="A9379" s="3"/>
      <c r="B9379" s="4"/>
      <c r="C9379" s="4"/>
      <c r="D9379" s="4"/>
      <c r="E9379" s="4"/>
      <c r="F9379" s="4"/>
      <c r="G9379" s="4"/>
      <c r="H9379" s="4"/>
      <c r="I9379" s="4"/>
      <c r="J9379" s="21">
        <f>IFERROR(VLOOKUP(C9379,'STOK KARTLARI'!$C$2:$K$2150,8,0),0)</f>
        <v>0</v>
      </c>
      <c r="K9379" s="21">
        <f t="shared" si="655"/>
        <v>0</v>
      </c>
      <c r="L9379" s="5">
        <f t="shared" si="657"/>
        <v>0</v>
      </c>
      <c r="M9379" s="4"/>
      <c r="N9379" s="4"/>
      <c r="O9379" s="5"/>
      <c r="P9379" s="5"/>
      <c r="Q9379" s="21">
        <f t="shared" si="658"/>
        <v>0</v>
      </c>
      <c r="R9379" s="21">
        <f t="shared" si="656"/>
        <v>0</v>
      </c>
      <c r="S9379" s="5">
        <f t="shared" si="659"/>
        <v>70007.077158325032</v>
      </c>
      <c r="T9379" cm="1">
        <f t="array" ref="T9379">IF(OR(B9379="MAL ALIMI", B9379="ÜRETİM GİRİŞ"), MIN(I9379, MAX(0, I9379 + SUM(SUMIFS($I$1:I9378, $C$1:C9378, C9379, $B$1:B9378, {"MAL ALIMI","ÜRETİM GİRİŞ"})) - VLOOKUP(C9379, 'STOK RAPORU'!$C$2:$I$1000, 4, 0))), 0)</f>
        <v>0</v>
      </c>
      <c r="U9379" s="22">
        <f t="shared" si="652"/>
        <v>0</v>
      </c>
      <c r="V9379">
        <f t="shared" si="653"/>
        <v>0</v>
      </c>
      <c r="W9379" s="22">
        <f t="shared" si="654"/>
        <v>0</v>
      </c>
    </row>
    <row r="9380" spans="1:23" hidden="1" x14ac:dyDescent="0.25">
      <c r="A9380" s="4"/>
      <c r="B9380" s="4"/>
      <c r="C9380" s="4"/>
      <c r="D9380" s="4"/>
      <c r="E9380" s="4"/>
      <c r="F9380" s="4"/>
      <c r="G9380" s="4"/>
      <c r="H9380" s="4"/>
      <c r="I9380" s="4"/>
      <c r="J9380" s="21">
        <f>IFERROR(VLOOKUP(C9380,'STOK KARTLARI'!$C$2:$K$2150,8,0),0)</f>
        <v>0</v>
      </c>
      <c r="K9380" s="21">
        <f t="shared" si="655"/>
        <v>0</v>
      </c>
      <c r="L9380" s="5">
        <f t="shared" si="657"/>
        <v>0</v>
      </c>
      <c r="M9380" s="4"/>
      <c r="N9380" s="4"/>
      <c r="O9380" s="5"/>
      <c r="P9380" s="5"/>
      <c r="Q9380" s="21">
        <f t="shared" si="658"/>
        <v>0</v>
      </c>
      <c r="R9380" s="21">
        <f t="shared" si="656"/>
        <v>0</v>
      </c>
      <c r="S9380" s="5">
        <f t="shared" si="659"/>
        <v>70007.077158325032</v>
      </c>
      <c r="T9380" cm="1">
        <f t="array" ref="T9380">IF(OR(B9380="MAL ALIMI", B9380="ÜRETİM GİRİŞ"), MIN(I9380, MAX(0, I9380 + SUM(SUMIFS($I$1:I9379, $C$1:C9379, C9380, $B$1:B9379, {"MAL ALIMI","ÜRETİM GİRİŞ"})) - VLOOKUP(C9380, 'STOK RAPORU'!$C$2:$I$1000, 4, 0))), 0)</f>
        <v>0</v>
      </c>
      <c r="U9380" s="22">
        <f t="shared" si="652"/>
        <v>0</v>
      </c>
      <c r="V9380">
        <f t="shared" si="653"/>
        <v>0</v>
      </c>
      <c r="W9380" s="22">
        <f t="shared" si="654"/>
        <v>0</v>
      </c>
    </row>
    <row r="9381" spans="1:23" hidden="1" x14ac:dyDescent="0.25">
      <c r="A9381" s="4"/>
      <c r="B9381" s="4"/>
      <c r="C9381" s="4"/>
      <c r="D9381" s="4"/>
      <c r="E9381" s="4"/>
      <c r="F9381" s="4"/>
      <c r="G9381" s="4"/>
      <c r="H9381" s="4"/>
      <c r="I9381" s="4"/>
      <c r="J9381" s="21">
        <f>IFERROR(VLOOKUP(C9381,'STOK KARTLARI'!$C$2:$K$2150,8,0),0)</f>
        <v>0</v>
      </c>
      <c r="K9381" s="21">
        <f t="shared" si="655"/>
        <v>0</v>
      </c>
      <c r="L9381" s="5">
        <f t="shared" si="657"/>
        <v>0</v>
      </c>
      <c r="M9381" s="4"/>
      <c r="N9381" s="4"/>
      <c r="O9381" s="5"/>
      <c r="P9381" s="5"/>
      <c r="Q9381" s="21">
        <f t="shared" si="658"/>
        <v>0</v>
      </c>
      <c r="R9381" s="21">
        <f t="shared" si="656"/>
        <v>0</v>
      </c>
      <c r="S9381" s="5">
        <f t="shared" si="659"/>
        <v>70007.077158325032</v>
      </c>
      <c r="T9381" cm="1">
        <f t="array" ref="T9381">IF(OR(B9381="MAL ALIMI", B9381="ÜRETİM GİRİŞ"), MIN(I9381, MAX(0, I9381 + SUM(SUMIFS($I$1:I9380, $C$1:C9380, C9381, $B$1:B9380, {"MAL ALIMI","ÜRETİM GİRİŞ"})) - VLOOKUP(C9381, 'STOK RAPORU'!$C$2:$I$1000, 4, 0))), 0)</f>
        <v>0</v>
      </c>
      <c r="U9381" s="22">
        <f t="shared" si="652"/>
        <v>0</v>
      </c>
      <c r="V9381">
        <f t="shared" si="653"/>
        <v>0</v>
      </c>
      <c r="W9381" s="22">
        <f t="shared" si="654"/>
        <v>0</v>
      </c>
    </row>
    <row r="9382" spans="1:23" hidden="1" x14ac:dyDescent="0.25">
      <c r="A9382" s="4"/>
      <c r="B9382" s="4"/>
      <c r="C9382" s="4"/>
      <c r="D9382" s="4"/>
      <c r="E9382" s="4"/>
      <c r="F9382" s="4"/>
      <c r="G9382" s="4"/>
      <c r="H9382" s="4"/>
      <c r="I9382" s="4"/>
      <c r="J9382" s="21">
        <f>IFERROR(VLOOKUP(C9382,'STOK KARTLARI'!$C$2:$K$2150,8,0),0)</f>
        <v>0</v>
      </c>
      <c r="K9382" s="21">
        <f t="shared" si="655"/>
        <v>0</v>
      </c>
      <c r="L9382" s="5">
        <f t="shared" si="657"/>
        <v>0</v>
      </c>
      <c r="M9382" s="4"/>
      <c r="N9382" s="4"/>
      <c r="O9382" s="5"/>
      <c r="P9382" s="5"/>
      <c r="Q9382" s="21">
        <f t="shared" si="658"/>
        <v>0</v>
      </c>
      <c r="R9382" s="21">
        <f t="shared" si="656"/>
        <v>0</v>
      </c>
      <c r="S9382" s="5">
        <f t="shared" si="659"/>
        <v>70007.077158325032</v>
      </c>
      <c r="T9382" cm="1">
        <f t="array" ref="T9382">IF(OR(B9382="MAL ALIMI", B9382="ÜRETİM GİRİŞ"), MIN(I9382, MAX(0, I9382 + SUM(SUMIFS($I$1:I9381, $C$1:C9381, C9382, $B$1:B9381, {"MAL ALIMI","ÜRETİM GİRİŞ"})) - VLOOKUP(C9382, 'STOK RAPORU'!$C$2:$I$1000, 4, 0))), 0)</f>
        <v>0</v>
      </c>
      <c r="U9382" s="22">
        <f t="shared" si="652"/>
        <v>0</v>
      </c>
      <c r="V9382">
        <f t="shared" si="653"/>
        <v>0</v>
      </c>
      <c r="W9382" s="22">
        <f t="shared" si="654"/>
        <v>0</v>
      </c>
    </row>
    <row r="9383" spans="1:23" hidden="1" x14ac:dyDescent="0.25">
      <c r="A9383" s="4"/>
      <c r="B9383" s="4"/>
      <c r="C9383" s="4"/>
      <c r="D9383" s="4"/>
      <c r="E9383" s="4"/>
      <c r="F9383" s="4"/>
      <c r="G9383" s="4"/>
      <c r="H9383" s="4"/>
      <c r="I9383" s="4"/>
      <c r="J9383" s="21">
        <f>IFERROR(VLOOKUP(C9383,'STOK KARTLARI'!$C$2:$K$2150,8,0),0)</f>
        <v>0</v>
      </c>
      <c r="K9383" s="21">
        <f t="shared" si="655"/>
        <v>0</v>
      </c>
      <c r="L9383" s="5">
        <f t="shared" si="657"/>
        <v>0</v>
      </c>
      <c r="M9383" s="4"/>
      <c r="N9383" s="4"/>
      <c r="O9383" s="5"/>
      <c r="P9383" s="5"/>
      <c r="Q9383" s="21">
        <f t="shared" si="658"/>
        <v>0</v>
      </c>
      <c r="R9383" s="21">
        <f t="shared" si="656"/>
        <v>0</v>
      </c>
      <c r="S9383" s="5">
        <f t="shared" si="659"/>
        <v>70007.077158325032</v>
      </c>
      <c r="T9383" cm="1">
        <f t="array" ref="T9383">IF(OR(B9383="MAL ALIMI", B9383="ÜRETİM GİRİŞ"), MIN(I9383, MAX(0, I9383 + SUM(SUMIFS($I$1:I9382, $C$1:C9382, C9383, $B$1:B9382, {"MAL ALIMI","ÜRETİM GİRİŞ"})) - VLOOKUP(C9383, 'STOK RAPORU'!$C$2:$I$1000, 4, 0))), 0)</f>
        <v>0</v>
      </c>
      <c r="U9383" s="22">
        <f t="shared" si="652"/>
        <v>0</v>
      </c>
      <c r="V9383">
        <f t="shared" si="653"/>
        <v>0</v>
      </c>
      <c r="W9383" s="22">
        <f t="shared" si="654"/>
        <v>0</v>
      </c>
    </row>
    <row r="9384" spans="1:23" hidden="1" x14ac:dyDescent="0.25">
      <c r="A9384" s="4"/>
      <c r="B9384" s="4"/>
      <c r="C9384" s="4"/>
      <c r="D9384" s="4"/>
      <c r="E9384" s="4"/>
      <c r="F9384" s="4"/>
      <c r="G9384" s="4"/>
      <c r="H9384" s="4"/>
      <c r="I9384" s="4"/>
      <c r="J9384" s="21">
        <f>IFERROR(VLOOKUP(C9384,'STOK KARTLARI'!$C$2:$K$2150,8,0),0)</f>
        <v>0</v>
      </c>
      <c r="K9384" s="21">
        <f t="shared" si="655"/>
        <v>0</v>
      </c>
      <c r="L9384" s="5">
        <f t="shared" si="657"/>
        <v>0</v>
      </c>
      <c r="M9384" s="4"/>
      <c r="N9384" s="4"/>
      <c r="O9384" s="5"/>
      <c r="P9384" s="5"/>
      <c r="Q9384" s="21">
        <f t="shared" si="658"/>
        <v>0</v>
      </c>
      <c r="R9384" s="21">
        <f t="shared" si="656"/>
        <v>0</v>
      </c>
      <c r="S9384" s="5">
        <f t="shared" si="659"/>
        <v>70007.077158325032</v>
      </c>
      <c r="T9384" cm="1">
        <f t="array" ref="T9384">IF(OR(B9384="MAL ALIMI", B9384="ÜRETİM GİRİŞ"), MIN(I9384, MAX(0, I9384 + SUM(SUMIFS($I$1:I9383, $C$1:C9383, C9384, $B$1:B9383, {"MAL ALIMI","ÜRETİM GİRİŞ"})) - VLOOKUP(C9384, 'STOK RAPORU'!$C$2:$I$1000, 4, 0))), 0)</f>
        <v>0</v>
      </c>
      <c r="U9384" s="22">
        <f t="shared" si="652"/>
        <v>0</v>
      </c>
      <c r="V9384">
        <f t="shared" si="653"/>
        <v>0</v>
      </c>
      <c r="W9384" s="22">
        <f t="shared" si="654"/>
        <v>0</v>
      </c>
    </row>
    <row r="9385" spans="1:23" hidden="1" x14ac:dyDescent="0.25">
      <c r="A9385" s="4"/>
      <c r="B9385" s="4"/>
      <c r="C9385" s="4"/>
      <c r="D9385" s="4"/>
      <c r="E9385" s="4"/>
      <c r="F9385" s="4"/>
      <c r="G9385" s="4"/>
      <c r="H9385" s="4"/>
      <c r="I9385" s="4"/>
      <c r="J9385" s="21">
        <f>IFERROR(VLOOKUP(C9385,'STOK KARTLARI'!$C$2:$K$2150,8,0),0)</f>
        <v>0</v>
      </c>
      <c r="K9385" s="21">
        <f t="shared" si="655"/>
        <v>0</v>
      </c>
      <c r="L9385" s="5">
        <f t="shared" si="657"/>
        <v>0</v>
      </c>
      <c r="M9385" s="4"/>
      <c r="N9385" s="4"/>
      <c r="O9385" s="5"/>
      <c r="P9385" s="5"/>
      <c r="Q9385" s="21">
        <f t="shared" si="658"/>
        <v>0</v>
      </c>
      <c r="R9385" s="21">
        <f t="shared" si="656"/>
        <v>0</v>
      </c>
      <c r="S9385" s="5">
        <f t="shared" si="659"/>
        <v>70007.077158325032</v>
      </c>
      <c r="T9385" cm="1">
        <f t="array" ref="T9385">IF(OR(B9385="MAL ALIMI", B9385="ÜRETİM GİRİŞ"), MIN(I9385, MAX(0, I9385 + SUM(SUMIFS($I$1:I9384, $C$1:C9384, C9385, $B$1:B9384, {"MAL ALIMI","ÜRETİM GİRİŞ"})) - VLOOKUP(C9385, 'STOK RAPORU'!$C$2:$I$1000, 4, 0))), 0)</f>
        <v>0</v>
      </c>
      <c r="U9385" s="22">
        <f t="shared" si="652"/>
        <v>0</v>
      </c>
      <c r="V9385">
        <f t="shared" si="653"/>
        <v>0</v>
      </c>
      <c r="W9385" s="22">
        <f t="shared" si="654"/>
        <v>0</v>
      </c>
    </row>
    <row r="9386" spans="1:23" hidden="1" x14ac:dyDescent="0.25">
      <c r="A9386" s="3"/>
      <c r="B9386" s="4"/>
      <c r="C9386" s="4"/>
      <c r="D9386" s="4"/>
      <c r="E9386" s="4"/>
      <c r="F9386" s="4"/>
      <c r="G9386" s="4"/>
      <c r="H9386" s="4"/>
      <c r="I9386" s="4"/>
      <c r="J9386" s="21">
        <f>IFERROR(VLOOKUP(C9386,'STOK KARTLARI'!$C$2:$K$2150,8,0),0)</f>
        <v>0</v>
      </c>
      <c r="K9386" s="21">
        <f t="shared" si="655"/>
        <v>0</v>
      </c>
      <c r="L9386" s="5">
        <f t="shared" si="657"/>
        <v>0</v>
      </c>
      <c r="M9386" s="4"/>
      <c r="N9386" s="4"/>
      <c r="O9386" s="5"/>
      <c r="P9386" s="5"/>
      <c r="Q9386" s="21">
        <f t="shared" si="658"/>
        <v>0</v>
      </c>
      <c r="R9386" s="21">
        <f t="shared" si="656"/>
        <v>0</v>
      </c>
      <c r="S9386" s="5">
        <f t="shared" si="659"/>
        <v>70007.077158325032</v>
      </c>
      <c r="T9386" cm="1">
        <f t="array" ref="T9386">IF(OR(B9386="MAL ALIMI", B9386="ÜRETİM GİRİŞ"), MIN(I9386, MAX(0, I9386 + SUM(SUMIFS($I$1:I9385, $C$1:C9385, C9386, $B$1:B9385, {"MAL ALIMI","ÜRETİM GİRİŞ"})) - VLOOKUP(C9386, 'STOK RAPORU'!$C$2:$I$1000, 4, 0))), 0)</f>
        <v>0</v>
      </c>
      <c r="U9386" s="22">
        <f t="shared" si="652"/>
        <v>0</v>
      </c>
      <c r="V9386">
        <f t="shared" si="653"/>
        <v>0</v>
      </c>
      <c r="W9386" s="22">
        <f t="shared" si="654"/>
        <v>0</v>
      </c>
    </row>
    <row r="9387" spans="1:23" hidden="1" x14ac:dyDescent="0.25">
      <c r="A9387" s="4"/>
      <c r="B9387" s="4"/>
      <c r="C9387" s="4"/>
      <c r="D9387" s="4"/>
      <c r="E9387" s="4"/>
      <c r="F9387" s="4"/>
      <c r="G9387" s="4"/>
      <c r="H9387" s="4"/>
      <c r="I9387" s="4"/>
      <c r="J9387" s="21">
        <f>IFERROR(VLOOKUP(C9387,'STOK KARTLARI'!$C$2:$K$2150,8,0),0)</f>
        <v>0</v>
      </c>
      <c r="K9387" s="21">
        <f t="shared" si="655"/>
        <v>0</v>
      </c>
      <c r="L9387" s="5">
        <f t="shared" si="657"/>
        <v>0</v>
      </c>
      <c r="M9387" s="4"/>
      <c r="N9387" s="4"/>
      <c r="O9387" s="5"/>
      <c r="P9387" s="5"/>
      <c r="Q9387" s="21">
        <f t="shared" si="658"/>
        <v>0</v>
      </c>
      <c r="R9387" s="21">
        <f t="shared" si="656"/>
        <v>0</v>
      </c>
      <c r="S9387" s="5">
        <f t="shared" si="659"/>
        <v>70007.077158325032</v>
      </c>
      <c r="T9387" cm="1">
        <f t="array" ref="T9387">IF(OR(B9387="MAL ALIMI", B9387="ÜRETİM GİRİŞ"), MIN(I9387, MAX(0, I9387 + SUM(SUMIFS($I$1:I9386, $C$1:C9386, C9387, $B$1:B9386, {"MAL ALIMI","ÜRETİM GİRİŞ"})) - VLOOKUP(C9387, 'STOK RAPORU'!$C$2:$I$1000, 4, 0))), 0)</f>
        <v>0</v>
      </c>
      <c r="U9387" s="22">
        <f t="shared" si="652"/>
        <v>0</v>
      </c>
      <c r="V9387">
        <f t="shared" si="653"/>
        <v>0</v>
      </c>
      <c r="W9387" s="22">
        <f t="shared" si="654"/>
        <v>0</v>
      </c>
    </row>
    <row r="9388" spans="1:23" hidden="1" x14ac:dyDescent="0.25">
      <c r="A9388" s="4"/>
      <c r="B9388" s="4"/>
      <c r="C9388" s="4"/>
      <c r="D9388" s="4"/>
      <c r="E9388" s="4"/>
      <c r="F9388" s="4"/>
      <c r="G9388" s="4"/>
      <c r="H9388" s="4"/>
      <c r="I9388" s="4"/>
      <c r="J9388" s="21">
        <f>IFERROR(VLOOKUP(C9388,'STOK KARTLARI'!$C$2:$K$2150,8,0),0)</f>
        <v>0</v>
      </c>
      <c r="K9388" s="21">
        <f t="shared" si="655"/>
        <v>0</v>
      </c>
      <c r="L9388" s="5">
        <f t="shared" si="657"/>
        <v>0</v>
      </c>
      <c r="M9388" s="4"/>
      <c r="N9388" s="4"/>
      <c r="O9388" s="5"/>
      <c r="P9388" s="5"/>
      <c r="Q9388" s="21">
        <f t="shared" si="658"/>
        <v>0</v>
      </c>
      <c r="R9388" s="21">
        <f t="shared" si="656"/>
        <v>0</v>
      </c>
      <c r="S9388" s="5">
        <f t="shared" si="659"/>
        <v>70007.077158325032</v>
      </c>
      <c r="T9388" cm="1">
        <f t="array" ref="T9388">IF(OR(B9388="MAL ALIMI", B9388="ÜRETİM GİRİŞ"), MIN(I9388, MAX(0, I9388 + SUM(SUMIFS($I$1:I9387, $C$1:C9387, C9388, $B$1:B9387, {"MAL ALIMI","ÜRETİM GİRİŞ"})) - VLOOKUP(C9388, 'STOK RAPORU'!$C$2:$I$1000, 4, 0))), 0)</f>
        <v>0</v>
      </c>
      <c r="U9388" s="22">
        <f t="shared" si="652"/>
        <v>0</v>
      </c>
      <c r="V9388">
        <f t="shared" si="653"/>
        <v>0</v>
      </c>
      <c r="W9388" s="22">
        <f t="shared" si="654"/>
        <v>0</v>
      </c>
    </row>
    <row r="9389" spans="1:23" hidden="1" x14ac:dyDescent="0.25">
      <c r="A9389" s="4"/>
      <c r="B9389" s="4"/>
      <c r="C9389" s="4"/>
      <c r="D9389" s="4"/>
      <c r="E9389" s="4"/>
      <c r="F9389" s="4"/>
      <c r="G9389" s="4"/>
      <c r="H9389" s="4"/>
      <c r="I9389" s="4"/>
      <c r="J9389" s="21">
        <f>IFERROR(VLOOKUP(C9389,'STOK KARTLARI'!$C$2:$K$2150,8,0),0)</f>
        <v>0</v>
      </c>
      <c r="K9389" s="21">
        <f t="shared" si="655"/>
        <v>0</v>
      </c>
      <c r="L9389" s="5">
        <f t="shared" si="657"/>
        <v>0</v>
      </c>
      <c r="M9389" s="4"/>
      <c r="N9389" s="4"/>
      <c r="O9389" s="5"/>
      <c r="P9389" s="5"/>
      <c r="Q9389" s="21">
        <f t="shared" si="658"/>
        <v>0</v>
      </c>
      <c r="R9389" s="21">
        <f t="shared" si="656"/>
        <v>0</v>
      </c>
      <c r="S9389" s="5">
        <f t="shared" si="659"/>
        <v>70007.077158325032</v>
      </c>
      <c r="T9389" cm="1">
        <f t="array" ref="T9389">IF(OR(B9389="MAL ALIMI", B9389="ÜRETİM GİRİŞ"), MIN(I9389, MAX(0, I9389 + SUM(SUMIFS($I$1:I9388, $C$1:C9388, C9389, $B$1:B9388, {"MAL ALIMI","ÜRETİM GİRİŞ"})) - VLOOKUP(C9389, 'STOK RAPORU'!$C$2:$I$1000, 4, 0))), 0)</f>
        <v>0</v>
      </c>
      <c r="U9389" s="22">
        <f t="shared" si="652"/>
        <v>0</v>
      </c>
      <c r="V9389">
        <f t="shared" si="653"/>
        <v>0</v>
      </c>
      <c r="W9389" s="22">
        <f t="shared" si="654"/>
        <v>0</v>
      </c>
    </row>
    <row r="9390" spans="1:23" hidden="1" x14ac:dyDescent="0.25">
      <c r="A9390" s="4"/>
      <c r="B9390" s="4"/>
      <c r="C9390" s="4"/>
      <c r="D9390" s="4"/>
      <c r="E9390" s="4"/>
      <c r="F9390" s="4"/>
      <c r="G9390" s="4"/>
      <c r="H9390" s="4"/>
      <c r="I9390" s="4"/>
      <c r="J9390" s="21">
        <f>IFERROR(VLOOKUP(C9390,'STOK KARTLARI'!$C$2:$K$2150,8,0),0)</f>
        <v>0</v>
      </c>
      <c r="K9390" s="21">
        <f t="shared" si="655"/>
        <v>0</v>
      </c>
      <c r="L9390" s="5">
        <f t="shared" si="657"/>
        <v>0</v>
      </c>
      <c r="M9390" s="4"/>
      <c r="N9390" s="4"/>
      <c r="O9390" s="5"/>
      <c r="P9390" s="5"/>
      <c r="Q9390" s="21">
        <f t="shared" si="658"/>
        <v>0</v>
      </c>
      <c r="R9390" s="21">
        <f t="shared" si="656"/>
        <v>0</v>
      </c>
      <c r="S9390" s="5">
        <f t="shared" si="659"/>
        <v>70007.077158325032</v>
      </c>
      <c r="T9390" cm="1">
        <f t="array" ref="T9390">IF(OR(B9390="MAL ALIMI", B9390="ÜRETİM GİRİŞ"), MIN(I9390, MAX(0, I9390 + SUM(SUMIFS($I$1:I9389, $C$1:C9389, C9390, $B$1:B9389, {"MAL ALIMI","ÜRETİM GİRİŞ"})) - VLOOKUP(C9390, 'STOK RAPORU'!$C$2:$I$1000, 4, 0))), 0)</f>
        <v>0</v>
      </c>
      <c r="U9390" s="22">
        <f t="shared" si="652"/>
        <v>0</v>
      </c>
      <c r="V9390">
        <f t="shared" si="653"/>
        <v>0</v>
      </c>
      <c r="W9390" s="22">
        <f t="shared" si="654"/>
        <v>0</v>
      </c>
    </row>
    <row r="9391" spans="1:23" hidden="1" x14ac:dyDescent="0.25">
      <c r="A9391" s="4"/>
      <c r="B9391" s="4"/>
      <c r="C9391" s="4"/>
      <c r="D9391" s="4"/>
      <c r="E9391" s="4"/>
      <c r="F9391" s="4"/>
      <c r="G9391" s="4"/>
      <c r="H9391" s="4"/>
      <c r="I9391" s="4"/>
      <c r="J9391" s="21">
        <f>IFERROR(VLOOKUP(C9391,'STOK KARTLARI'!$C$2:$K$2150,8,0),0)</f>
        <v>0</v>
      </c>
      <c r="K9391" s="21">
        <f t="shared" si="655"/>
        <v>0</v>
      </c>
      <c r="L9391" s="5">
        <f t="shared" si="657"/>
        <v>0</v>
      </c>
      <c r="M9391" s="4"/>
      <c r="N9391" s="4"/>
      <c r="O9391" s="5"/>
      <c r="P9391" s="5"/>
      <c r="Q9391" s="21">
        <f t="shared" si="658"/>
        <v>0</v>
      </c>
      <c r="R9391" s="21">
        <f t="shared" si="656"/>
        <v>0</v>
      </c>
      <c r="S9391" s="5">
        <f t="shared" si="659"/>
        <v>70007.077158325032</v>
      </c>
      <c r="T9391" cm="1">
        <f t="array" ref="T9391">IF(OR(B9391="MAL ALIMI", B9391="ÜRETİM GİRİŞ"), MIN(I9391, MAX(0, I9391 + SUM(SUMIFS($I$1:I9390, $C$1:C9390, C9391, $B$1:B9390, {"MAL ALIMI","ÜRETİM GİRİŞ"})) - VLOOKUP(C9391, 'STOK RAPORU'!$C$2:$I$1000, 4, 0))), 0)</f>
        <v>0</v>
      </c>
      <c r="U9391" s="22">
        <f t="shared" ref="U9391:U9454" si="660">T9391*J9391</f>
        <v>0</v>
      </c>
      <c r="V9391">
        <f t="shared" ref="V9391:V9454" si="661">IF(OR(B9391="MAL ALIMI", B9391="ÜRETİM GİRİŞ"), I9391 * J9391, 0)</f>
        <v>0</v>
      </c>
      <c r="W9391" s="22">
        <f t="shared" ref="W9391:W9454" si="662">V9391-U9391</f>
        <v>0</v>
      </c>
    </row>
    <row r="9392" spans="1:23" hidden="1" x14ac:dyDescent="0.25">
      <c r="A9392" s="4"/>
      <c r="B9392" s="4"/>
      <c r="C9392" s="4"/>
      <c r="D9392" s="4"/>
      <c r="E9392" s="4"/>
      <c r="F9392" s="4"/>
      <c r="G9392" s="4"/>
      <c r="H9392" s="4"/>
      <c r="I9392" s="4"/>
      <c r="J9392" s="21">
        <f>IFERROR(VLOOKUP(C9392,'STOK KARTLARI'!$C$2:$K$2150,8,0),0)</f>
        <v>0</v>
      </c>
      <c r="K9392" s="21">
        <f t="shared" si="655"/>
        <v>0</v>
      </c>
      <c r="L9392" s="5">
        <f t="shared" si="657"/>
        <v>0</v>
      </c>
      <c r="M9392" s="4"/>
      <c r="N9392" s="4"/>
      <c r="O9392" s="5"/>
      <c r="P9392" s="5"/>
      <c r="Q9392" s="21">
        <f t="shared" si="658"/>
        <v>0</v>
      </c>
      <c r="R9392" s="21">
        <f t="shared" si="656"/>
        <v>0</v>
      </c>
      <c r="S9392" s="5">
        <f t="shared" si="659"/>
        <v>70007.077158325032</v>
      </c>
      <c r="T9392" cm="1">
        <f t="array" ref="T9392">IF(OR(B9392="MAL ALIMI", B9392="ÜRETİM GİRİŞ"), MIN(I9392, MAX(0, I9392 + SUM(SUMIFS($I$1:I9391, $C$1:C9391, C9392, $B$1:B9391, {"MAL ALIMI","ÜRETİM GİRİŞ"})) - VLOOKUP(C9392, 'STOK RAPORU'!$C$2:$I$1000, 4, 0))), 0)</f>
        <v>0</v>
      </c>
      <c r="U9392" s="22">
        <f t="shared" si="660"/>
        <v>0</v>
      </c>
      <c r="V9392">
        <f t="shared" si="661"/>
        <v>0</v>
      </c>
      <c r="W9392" s="22">
        <f t="shared" si="662"/>
        <v>0</v>
      </c>
    </row>
    <row r="9393" spans="1:23" hidden="1" x14ac:dyDescent="0.25">
      <c r="A9393" s="3"/>
      <c r="B9393" s="4"/>
      <c r="C9393" s="4"/>
      <c r="D9393" s="4"/>
      <c r="E9393" s="4"/>
      <c r="F9393" s="4"/>
      <c r="G9393" s="4"/>
      <c r="H9393" s="4"/>
      <c r="I9393" s="4"/>
      <c r="J9393" s="21">
        <f>IFERROR(VLOOKUP(C9393,'STOK KARTLARI'!$C$2:$K$2150,8,0),0)</f>
        <v>0</v>
      </c>
      <c r="K9393" s="21">
        <f t="shared" si="655"/>
        <v>0</v>
      </c>
      <c r="L9393" s="5">
        <f t="shared" si="657"/>
        <v>0</v>
      </c>
      <c r="M9393" s="4"/>
      <c r="N9393" s="4"/>
      <c r="O9393" s="5"/>
      <c r="P9393" s="5"/>
      <c r="Q9393" s="21">
        <f t="shared" si="658"/>
        <v>0</v>
      </c>
      <c r="R9393" s="21">
        <f t="shared" si="656"/>
        <v>0</v>
      </c>
      <c r="S9393" s="5">
        <f t="shared" si="659"/>
        <v>70007.077158325032</v>
      </c>
      <c r="T9393" cm="1">
        <f t="array" ref="T9393">IF(OR(B9393="MAL ALIMI", B9393="ÜRETİM GİRİŞ"), MIN(I9393, MAX(0, I9393 + SUM(SUMIFS($I$1:I9392, $C$1:C9392, C9393, $B$1:B9392, {"MAL ALIMI","ÜRETİM GİRİŞ"})) - VLOOKUP(C9393, 'STOK RAPORU'!$C$2:$I$1000, 4, 0))), 0)</f>
        <v>0</v>
      </c>
      <c r="U9393" s="22">
        <f t="shared" si="660"/>
        <v>0</v>
      </c>
      <c r="V9393">
        <f t="shared" si="661"/>
        <v>0</v>
      </c>
      <c r="W9393" s="22">
        <f t="shared" si="662"/>
        <v>0</v>
      </c>
    </row>
    <row r="9394" spans="1:23" hidden="1" x14ac:dyDescent="0.25">
      <c r="A9394" s="4"/>
      <c r="B9394" s="4"/>
      <c r="C9394" s="4"/>
      <c r="D9394" s="4"/>
      <c r="E9394" s="4"/>
      <c r="F9394" s="4"/>
      <c r="G9394" s="4"/>
      <c r="H9394" s="4"/>
      <c r="I9394" s="4"/>
      <c r="J9394" s="21">
        <f>IFERROR(VLOOKUP(C9394,'STOK KARTLARI'!$C$2:$K$2150,8,0),0)</f>
        <v>0</v>
      </c>
      <c r="K9394" s="21">
        <f t="shared" si="655"/>
        <v>0</v>
      </c>
      <c r="L9394" s="5">
        <f t="shared" si="657"/>
        <v>0</v>
      </c>
      <c r="M9394" s="4"/>
      <c r="N9394" s="4"/>
      <c r="O9394" s="5"/>
      <c r="P9394" s="5"/>
      <c r="Q9394" s="21">
        <f t="shared" si="658"/>
        <v>0</v>
      </c>
      <c r="R9394" s="21">
        <f t="shared" si="656"/>
        <v>0</v>
      </c>
      <c r="S9394" s="5">
        <f t="shared" si="659"/>
        <v>70007.077158325032</v>
      </c>
      <c r="T9394" cm="1">
        <f t="array" ref="T9394">IF(OR(B9394="MAL ALIMI", B9394="ÜRETİM GİRİŞ"), MIN(I9394, MAX(0, I9394 + SUM(SUMIFS($I$1:I9393, $C$1:C9393, C9394, $B$1:B9393, {"MAL ALIMI","ÜRETİM GİRİŞ"})) - VLOOKUP(C9394, 'STOK RAPORU'!$C$2:$I$1000, 4, 0))), 0)</f>
        <v>0</v>
      </c>
      <c r="U9394" s="22">
        <f t="shared" si="660"/>
        <v>0</v>
      </c>
      <c r="V9394">
        <f t="shared" si="661"/>
        <v>0</v>
      </c>
      <c r="W9394" s="22">
        <f t="shared" si="662"/>
        <v>0</v>
      </c>
    </row>
    <row r="9395" spans="1:23" hidden="1" x14ac:dyDescent="0.25">
      <c r="A9395" s="4"/>
      <c r="B9395" s="4"/>
      <c r="C9395" s="4"/>
      <c r="D9395" s="4"/>
      <c r="E9395" s="4"/>
      <c r="F9395" s="4"/>
      <c r="G9395" s="4"/>
      <c r="H9395" s="4"/>
      <c r="I9395" s="4"/>
      <c r="J9395" s="21">
        <f>IFERROR(VLOOKUP(C9395,'STOK KARTLARI'!$C$2:$K$2150,8,0),0)</f>
        <v>0</v>
      </c>
      <c r="K9395" s="21">
        <f t="shared" ref="K9395:K9458" si="663">IF(AND(B9395="MAL SATIŞI", H9395="POS"),I9395*J9395,0)</f>
        <v>0</v>
      </c>
      <c r="L9395" s="5">
        <f t="shared" si="657"/>
        <v>0</v>
      </c>
      <c r="M9395" s="4"/>
      <c r="N9395" s="4"/>
      <c r="O9395" s="5"/>
      <c r="P9395" s="5"/>
      <c r="Q9395" s="21">
        <f t="shared" si="658"/>
        <v>0</v>
      </c>
      <c r="R9395" s="21">
        <f t="shared" ref="R9395:R9458" si="664">IF(AND(E9395="", B9395&lt;&gt;"MAL SATIŞI"),I9395*J9395,0)</f>
        <v>0</v>
      </c>
      <c r="S9395" s="5">
        <f t="shared" si="659"/>
        <v>70007.077158325032</v>
      </c>
      <c r="T9395" cm="1">
        <f t="array" ref="T9395">IF(OR(B9395="MAL ALIMI", B9395="ÜRETİM GİRİŞ"), MIN(I9395, MAX(0, I9395 + SUM(SUMIFS($I$1:I9394, $C$1:C9394, C9395, $B$1:B9394, {"MAL ALIMI","ÜRETİM GİRİŞ"})) - VLOOKUP(C9395, 'STOK RAPORU'!$C$2:$I$1000, 4, 0))), 0)</f>
        <v>0</v>
      </c>
      <c r="U9395" s="22">
        <f t="shared" si="660"/>
        <v>0</v>
      </c>
      <c r="V9395">
        <f t="shared" si="661"/>
        <v>0</v>
      </c>
      <c r="W9395" s="22">
        <f t="shared" si="662"/>
        <v>0</v>
      </c>
    </row>
    <row r="9396" spans="1:23" hidden="1" x14ac:dyDescent="0.25">
      <c r="A9396" s="4"/>
      <c r="B9396" s="4"/>
      <c r="C9396" s="4"/>
      <c r="D9396" s="4"/>
      <c r="E9396" s="4"/>
      <c r="F9396" s="4"/>
      <c r="G9396" s="4"/>
      <c r="H9396" s="4"/>
      <c r="I9396" s="4"/>
      <c r="J9396" s="21">
        <f>IFERROR(VLOOKUP(C9396,'STOK KARTLARI'!$C$2:$K$2150,8,0),0)</f>
        <v>0</v>
      </c>
      <c r="K9396" s="21">
        <f t="shared" si="663"/>
        <v>0</v>
      </c>
      <c r="L9396" s="5">
        <f t="shared" ref="L9396:L9459" si="665">IF(OR(E9396="", H9396="POS"),0,I9396*J9396)</f>
        <v>0</v>
      </c>
      <c r="M9396" s="4"/>
      <c r="N9396" s="4"/>
      <c r="O9396" s="5"/>
      <c r="P9396" s="5"/>
      <c r="Q9396" s="21">
        <f t="shared" ref="Q9396:Q9459" si="666">IF(AND(E9396="", B9396="MAL SATIŞI", H9396="NAKİT"),I9396*J9396,0)</f>
        <v>0</v>
      </c>
      <c r="R9396" s="21">
        <f t="shared" si="664"/>
        <v>0</v>
      </c>
      <c r="S9396" s="5">
        <f t="shared" si="659"/>
        <v>70007.077158325032</v>
      </c>
      <c r="T9396" cm="1">
        <f t="array" ref="T9396">IF(OR(B9396="MAL ALIMI", B9396="ÜRETİM GİRİŞ"), MIN(I9396, MAX(0, I9396 + SUM(SUMIFS($I$1:I9395, $C$1:C9395, C9396, $B$1:B9395, {"MAL ALIMI","ÜRETİM GİRİŞ"})) - VLOOKUP(C9396, 'STOK RAPORU'!$C$2:$I$1000, 4, 0))), 0)</f>
        <v>0</v>
      </c>
      <c r="U9396" s="22">
        <f t="shared" si="660"/>
        <v>0</v>
      </c>
      <c r="V9396">
        <f t="shared" si="661"/>
        <v>0</v>
      </c>
      <c r="W9396" s="22">
        <f t="shared" si="662"/>
        <v>0</v>
      </c>
    </row>
    <row r="9397" spans="1:23" hidden="1" x14ac:dyDescent="0.25">
      <c r="A9397" s="4"/>
      <c r="B9397" s="4"/>
      <c r="C9397" s="4"/>
      <c r="D9397" s="4"/>
      <c r="E9397" s="4"/>
      <c r="F9397" s="4"/>
      <c r="G9397" s="4"/>
      <c r="H9397" s="4"/>
      <c r="I9397" s="4"/>
      <c r="J9397" s="21">
        <f>IFERROR(VLOOKUP(C9397,'STOK KARTLARI'!$C$2:$K$2150,8,0),0)</f>
        <v>0</v>
      </c>
      <c r="K9397" s="21">
        <f t="shared" si="663"/>
        <v>0</v>
      </c>
      <c r="L9397" s="5">
        <f t="shared" si="665"/>
        <v>0</v>
      </c>
      <c r="M9397" s="4"/>
      <c r="N9397" s="4"/>
      <c r="O9397" s="5"/>
      <c r="P9397" s="5"/>
      <c r="Q9397" s="21">
        <f t="shared" si="666"/>
        <v>0</v>
      </c>
      <c r="R9397" s="21">
        <f t="shared" si="664"/>
        <v>0</v>
      </c>
      <c r="S9397" s="5">
        <f t="shared" si="659"/>
        <v>70007.077158325032</v>
      </c>
      <c r="T9397" cm="1">
        <f t="array" ref="T9397">IF(OR(B9397="MAL ALIMI", B9397="ÜRETİM GİRİŞ"), MIN(I9397, MAX(0, I9397 + SUM(SUMIFS($I$1:I9396, $C$1:C9396, C9397, $B$1:B9396, {"MAL ALIMI","ÜRETİM GİRİŞ"})) - VLOOKUP(C9397, 'STOK RAPORU'!$C$2:$I$1000, 4, 0))), 0)</f>
        <v>0</v>
      </c>
      <c r="U9397" s="22">
        <f t="shared" si="660"/>
        <v>0</v>
      </c>
      <c r="V9397">
        <f t="shared" si="661"/>
        <v>0</v>
      </c>
      <c r="W9397" s="22">
        <f t="shared" si="662"/>
        <v>0</v>
      </c>
    </row>
    <row r="9398" spans="1:23" hidden="1" x14ac:dyDescent="0.25">
      <c r="A9398" s="4"/>
      <c r="B9398" s="4"/>
      <c r="C9398" s="4"/>
      <c r="D9398" s="4"/>
      <c r="E9398" s="4"/>
      <c r="F9398" s="4"/>
      <c r="G9398" s="4"/>
      <c r="H9398" s="4"/>
      <c r="I9398" s="4"/>
      <c r="J9398" s="21">
        <f>IFERROR(VLOOKUP(C9398,'STOK KARTLARI'!$C$2:$K$2150,8,0),0)</f>
        <v>0</v>
      </c>
      <c r="K9398" s="21">
        <f t="shared" si="663"/>
        <v>0</v>
      </c>
      <c r="L9398" s="5">
        <f t="shared" si="665"/>
        <v>0</v>
      </c>
      <c r="M9398" s="4"/>
      <c r="N9398" s="4"/>
      <c r="O9398" s="5"/>
      <c r="P9398" s="5"/>
      <c r="Q9398" s="21">
        <f t="shared" si="666"/>
        <v>0</v>
      </c>
      <c r="R9398" s="21">
        <f t="shared" si="664"/>
        <v>0</v>
      </c>
      <c r="S9398" s="5">
        <f t="shared" si="659"/>
        <v>70007.077158325032</v>
      </c>
      <c r="T9398" cm="1">
        <f t="array" ref="T9398">IF(OR(B9398="MAL ALIMI", B9398="ÜRETİM GİRİŞ"), MIN(I9398, MAX(0, I9398 + SUM(SUMIFS($I$1:I9397, $C$1:C9397, C9398, $B$1:B9397, {"MAL ALIMI","ÜRETİM GİRİŞ"})) - VLOOKUP(C9398, 'STOK RAPORU'!$C$2:$I$1000, 4, 0))), 0)</f>
        <v>0</v>
      </c>
      <c r="U9398" s="22">
        <f t="shared" si="660"/>
        <v>0</v>
      </c>
      <c r="V9398">
        <f t="shared" si="661"/>
        <v>0</v>
      </c>
      <c r="W9398" s="22">
        <f t="shared" si="662"/>
        <v>0</v>
      </c>
    </row>
    <row r="9399" spans="1:23" hidden="1" x14ac:dyDescent="0.25">
      <c r="A9399" s="4"/>
      <c r="B9399" s="4"/>
      <c r="C9399" s="4"/>
      <c r="D9399" s="4"/>
      <c r="E9399" s="4"/>
      <c r="F9399" s="4"/>
      <c r="G9399" s="4"/>
      <c r="H9399" s="4"/>
      <c r="I9399" s="4"/>
      <c r="J9399" s="21">
        <f>IFERROR(VLOOKUP(C9399,'STOK KARTLARI'!$C$2:$K$2150,8,0),0)</f>
        <v>0</v>
      </c>
      <c r="K9399" s="21">
        <f t="shared" si="663"/>
        <v>0</v>
      </c>
      <c r="L9399" s="5">
        <f t="shared" si="665"/>
        <v>0</v>
      </c>
      <c r="M9399" s="4"/>
      <c r="N9399" s="4"/>
      <c r="O9399" s="5"/>
      <c r="P9399" s="5"/>
      <c r="Q9399" s="21">
        <f t="shared" si="666"/>
        <v>0</v>
      </c>
      <c r="R9399" s="21">
        <f t="shared" si="664"/>
        <v>0</v>
      </c>
      <c r="S9399" s="5">
        <f t="shared" si="659"/>
        <v>70007.077158325032</v>
      </c>
      <c r="T9399" cm="1">
        <f t="array" ref="T9399">IF(OR(B9399="MAL ALIMI", B9399="ÜRETİM GİRİŞ"), MIN(I9399, MAX(0, I9399 + SUM(SUMIFS($I$1:I9398, $C$1:C9398, C9399, $B$1:B9398, {"MAL ALIMI","ÜRETİM GİRİŞ"})) - VLOOKUP(C9399, 'STOK RAPORU'!$C$2:$I$1000, 4, 0))), 0)</f>
        <v>0</v>
      </c>
      <c r="U9399" s="22">
        <f t="shared" si="660"/>
        <v>0</v>
      </c>
      <c r="V9399">
        <f t="shared" si="661"/>
        <v>0</v>
      </c>
      <c r="W9399" s="22">
        <f t="shared" si="662"/>
        <v>0</v>
      </c>
    </row>
    <row r="9400" spans="1:23" hidden="1" x14ac:dyDescent="0.25">
      <c r="A9400" s="3"/>
      <c r="B9400" s="4"/>
      <c r="C9400" s="4"/>
      <c r="D9400" s="4"/>
      <c r="E9400" s="4"/>
      <c r="F9400" s="4"/>
      <c r="G9400" s="4"/>
      <c r="H9400" s="4"/>
      <c r="I9400" s="4"/>
      <c r="J9400" s="21">
        <f>IFERROR(VLOOKUP(C9400,'STOK KARTLARI'!$C$2:$K$2150,8,0),0)</f>
        <v>0</v>
      </c>
      <c r="K9400" s="21">
        <f t="shared" si="663"/>
        <v>0</v>
      </c>
      <c r="L9400" s="5">
        <f t="shared" si="665"/>
        <v>0</v>
      </c>
      <c r="M9400" s="4"/>
      <c r="N9400" s="4"/>
      <c r="O9400" s="5"/>
      <c r="P9400" s="5"/>
      <c r="Q9400" s="21">
        <f t="shared" si="666"/>
        <v>0</v>
      </c>
      <c r="R9400" s="21">
        <f t="shared" si="664"/>
        <v>0</v>
      </c>
      <c r="S9400" s="5">
        <f t="shared" si="659"/>
        <v>70007.077158325032</v>
      </c>
      <c r="T9400" cm="1">
        <f t="array" ref="T9400">IF(OR(B9400="MAL ALIMI", B9400="ÜRETİM GİRİŞ"), MIN(I9400, MAX(0, I9400 + SUM(SUMIFS($I$1:I9399, $C$1:C9399, C9400, $B$1:B9399, {"MAL ALIMI","ÜRETİM GİRİŞ"})) - VLOOKUP(C9400, 'STOK RAPORU'!$C$2:$I$1000, 4, 0))), 0)</f>
        <v>0</v>
      </c>
      <c r="U9400" s="22">
        <f t="shared" si="660"/>
        <v>0</v>
      </c>
      <c r="V9400">
        <f t="shared" si="661"/>
        <v>0</v>
      </c>
      <c r="W9400" s="22">
        <f t="shared" si="662"/>
        <v>0</v>
      </c>
    </row>
    <row r="9401" spans="1:23" hidden="1" x14ac:dyDescent="0.25">
      <c r="A9401" s="4"/>
      <c r="B9401" s="4"/>
      <c r="C9401" s="4"/>
      <c r="D9401" s="4"/>
      <c r="E9401" s="4"/>
      <c r="F9401" s="4"/>
      <c r="G9401" s="4"/>
      <c r="H9401" s="4"/>
      <c r="I9401" s="4"/>
      <c r="J9401" s="21">
        <f>IFERROR(VLOOKUP(C9401,'STOK KARTLARI'!$C$2:$K$2150,8,0),0)</f>
        <v>0</v>
      </c>
      <c r="K9401" s="21">
        <f t="shared" si="663"/>
        <v>0</v>
      </c>
      <c r="L9401" s="5">
        <f t="shared" si="665"/>
        <v>0</v>
      </c>
      <c r="M9401" s="4"/>
      <c r="N9401" s="4"/>
      <c r="O9401" s="5"/>
      <c r="P9401" s="5"/>
      <c r="Q9401" s="21">
        <f t="shared" si="666"/>
        <v>0</v>
      </c>
      <c r="R9401" s="21">
        <f t="shared" si="664"/>
        <v>0</v>
      </c>
      <c r="S9401" s="5">
        <f t="shared" si="659"/>
        <v>70007.077158325032</v>
      </c>
      <c r="T9401" cm="1">
        <f t="array" ref="T9401">IF(OR(B9401="MAL ALIMI", B9401="ÜRETİM GİRİŞ"), MIN(I9401, MAX(0, I9401 + SUM(SUMIFS($I$1:I9400, $C$1:C9400, C9401, $B$1:B9400, {"MAL ALIMI","ÜRETİM GİRİŞ"})) - VLOOKUP(C9401, 'STOK RAPORU'!$C$2:$I$1000, 4, 0))), 0)</f>
        <v>0</v>
      </c>
      <c r="U9401" s="22">
        <f t="shared" si="660"/>
        <v>0</v>
      </c>
      <c r="V9401">
        <f t="shared" si="661"/>
        <v>0</v>
      </c>
      <c r="W9401" s="22">
        <f t="shared" si="662"/>
        <v>0</v>
      </c>
    </row>
    <row r="9402" spans="1:23" hidden="1" x14ac:dyDescent="0.25">
      <c r="A9402" s="4"/>
      <c r="B9402" s="4"/>
      <c r="C9402" s="4"/>
      <c r="D9402" s="4"/>
      <c r="E9402" s="4"/>
      <c r="F9402" s="4"/>
      <c r="G9402" s="4"/>
      <c r="H9402" s="4"/>
      <c r="I9402" s="4"/>
      <c r="J9402" s="21">
        <f>IFERROR(VLOOKUP(C9402,'STOK KARTLARI'!$C$2:$K$2150,8,0),0)</f>
        <v>0</v>
      </c>
      <c r="K9402" s="21">
        <f t="shared" si="663"/>
        <v>0</v>
      </c>
      <c r="L9402" s="5">
        <f t="shared" si="665"/>
        <v>0</v>
      </c>
      <c r="M9402" s="4"/>
      <c r="N9402" s="4"/>
      <c r="O9402" s="5"/>
      <c r="P9402" s="5"/>
      <c r="Q9402" s="21">
        <f t="shared" si="666"/>
        <v>0</v>
      </c>
      <c r="R9402" s="21">
        <f t="shared" si="664"/>
        <v>0</v>
      </c>
      <c r="S9402" s="5">
        <f t="shared" si="659"/>
        <v>70007.077158325032</v>
      </c>
      <c r="T9402" cm="1">
        <f t="array" ref="T9402">IF(OR(B9402="MAL ALIMI", B9402="ÜRETİM GİRİŞ"), MIN(I9402, MAX(0, I9402 + SUM(SUMIFS($I$1:I9401, $C$1:C9401, C9402, $B$1:B9401, {"MAL ALIMI","ÜRETİM GİRİŞ"})) - VLOOKUP(C9402, 'STOK RAPORU'!$C$2:$I$1000, 4, 0))), 0)</f>
        <v>0</v>
      </c>
      <c r="U9402" s="22">
        <f t="shared" si="660"/>
        <v>0</v>
      </c>
      <c r="V9402">
        <f t="shared" si="661"/>
        <v>0</v>
      </c>
      <c r="W9402" s="22">
        <f t="shared" si="662"/>
        <v>0</v>
      </c>
    </row>
    <row r="9403" spans="1:23" hidden="1" x14ac:dyDescent="0.25">
      <c r="A9403" s="4"/>
      <c r="B9403" s="4"/>
      <c r="C9403" s="4"/>
      <c r="D9403" s="4"/>
      <c r="E9403" s="4"/>
      <c r="F9403" s="4"/>
      <c r="G9403" s="4"/>
      <c r="H9403" s="4"/>
      <c r="I9403" s="4"/>
      <c r="J9403" s="21">
        <f>IFERROR(VLOOKUP(C9403,'STOK KARTLARI'!$C$2:$K$2150,8,0),0)</f>
        <v>0</v>
      </c>
      <c r="K9403" s="21">
        <f t="shared" si="663"/>
        <v>0</v>
      </c>
      <c r="L9403" s="5">
        <f t="shared" si="665"/>
        <v>0</v>
      </c>
      <c r="M9403" s="4"/>
      <c r="N9403" s="4"/>
      <c r="O9403" s="5"/>
      <c r="P9403" s="5"/>
      <c r="Q9403" s="21">
        <f t="shared" si="666"/>
        <v>0</v>
      </c>
      <c r="R9403" s="21">
        <f t="shared" si="664"/>
        <v>0</v>
      </c>
      <c r="S9403" s="5">
        <f t="shared" si="659"/>
        <v>70007.077158325032</v>
      </c>
      <c r="T9403" cm="1">
        <f t="array" ref="T9403">IF(OR(B9403="MAL ALIMI", B9403="ÜRETİM GİRİŞ"), MIN(I9403, MAX(0, I9403 + SUM(SUMIFS($I$1:I9402, $C$1:C9402, C9403, $B$1:B9402, {"MAL ALIMI","ÜRETİM GİRİŞ"})) - VLOOKUP(C9403, 'STOK RAPORU'!$C$2:$I$1000, 4, 0))), 0)</f>
        <v>0</v>
      </c>
      <c r="U9403" s="22">
        <f t="shared" si="660"/>
        <v>0</v>
      </c>
      <c r="V9403">
        <f t="shared" si="661"/>
        <v>0</v>
      </c>
      <c r="W9403" s="22">
        <f t="shared" si="662"/>
        <v>0</v>
      </c>
    </row>
    <row r="9404" spans="1:23" hidden="1" x14ac:dyDescent="0.25">
      <c r="A9404" s="4"/>
      <c r="B9404" s="4"/>
      <c r="C9404" s="4"/>
      <c r="D9404" s="4"/>
      <c r="E9404" s="4"/>
      <c r="F9404" s="4"/>
      <c r="G9404" s="4"/>
      <c r="H9404" s="4"/>
      <c r="I9404" s="4"/>
      <c r="J9404" s="21">
        <f>IFERROR(VLOOKUP(C9404,'STOK KARTLARI'!$C$2:$K$2150,8,0),0)</f>
        <v>0</v>
      </c>
      <c r="K9404" s="21">
        <f t="shared" si="663"/>
        <v>0</v>
      </c>
      <c r="L9404" s="5">
        <f t="shared" si="665"/>
        <v>0</v>
      </c>
      <c r="M9404" s="4"/>
      <c r="N9404" s="4"/>
      <c r="O9404" s="5"/>
      <c r="P9404" s="5"/>
      <c r="Q9404" s="21">
        <f t="shared" si="666"/>
        <v>0</v>
      </c>
      <c r="R9404" s="21">
        <f t="shared" si="664"/>
        <v>0</v>
      </c>
      <c r="S9404" s="5">
        <f t="shared" si="659"/>
        <v>70007.077158325032</v>
      </c>
      <c r="T9404" cm="1">
        <f t="array" ref="T9404">IF(OR(B9404="MAL ALIMI", B9404="ÜRETİM GİRİŞ"), MIN(I9404, MAX(0, I9404 + SUM(SUMIFS($I$1:I9403, $C$1:C9403, C9404, $B$1:B9403, {"MAL ALIMI","ÜRETİM GİRİŞ"})) - VLOOKUP(C9404, 'STOK RAPORU'!$C$2:$I$1000, 4, 0))), 0)</f>
        <v>0</v>
      </c>
      <c r="U9404" s="22">
        <f t="shared" si="660"/>
        <v>0</v>
      </c>
      <c r="V9404">
        <f t="shared" si="661"/>
        <v>0</v>
      </c>
      <c r="W9404" s="22">
        <f t="shared" si="662"/>
        <v>0</v>
      </c>
    </row>
    <row r="9405" spans="1:23" hidden="1" x14ac:dyDescent="0.25">
      <c r="A9405" s="4"/>
      <c r="B9405" s="4"/>
      <c r="C9405" s="4"/>
      <c r="D9405" s="4"/>
      <c r="E9405" s="4"/>
      <c r="F9405" s="4"/>
      <c r="G9405" s="4"/>
      <c r="H9405" s="4"/>
      <c r="I9405" s="4"/>
      <c r="J9405" s="21">
        <f>IFERROR(VLOOKUP(C9405,'STOK KARTLARI'!$C$2:$K$2150,8,0),0)</f>
        <v>0</v>
      </c>
      <c r="K9405" s="21">
        <f t="shared" si="663"/>
        <v>0</v>
      </c>
      <c r="L9405" s="5">
        <f t="shared" si="665"/>
        <v>0</v>
      </c>
      <c r="M9405" s="4"/>
      <c r="N9405" s="4"/>
      <c r="O9405" s="5"/>
      <c r="P9405" s="5"/>
      <c r="Q9405" s="21">
        <f t="shared" si="666"/>
        <v>0</v>
      </c>
      <c r="R9405" s="21">
        <f t="shared" si="664"/>
        <v>0</v>
      </c>
      <c r="S9405" s="5">
        <f t="shared" si="659"/>
        <v>70007.077158325032</v>
      </c>
      <c r="T9405" cm="1">
        <f t="array" ref="T9405">IF(OR(B9405="MAL ALIMI", B9405="ÜRETİM GİRİŞ"), MIN(I9405, MAX(0, I9405 + SUM(SUMIFS($I$1:I9404, $C$1:C9404, C9405, $B$1:B9404, {"MAL ALIMI","ÜRETİM GİRİŞ"})) - VLOOKUP(C9405, 'STOK RAPORU'!$C$2:$I$1000, 4, 0))), 0)</f>
        <v>0</v>
      </c>
      <c r="U9405" s="22">
        <f t="shared" si="660"/>
        <v>0</v>
      </c>
      <c r="V9405">
        <f t="shared" si="661"/>
        <v>0</v>
      </c>
      <c r="W9405" s="22">
        <f t="shared" si="662"/>
        <v>0</v>
      </c>
    </row>
    <row r="9406" spans="1:23" hidden="1" x14ac:dyDescent="0.25">
      <c r="A9406" s="4"/>
      <c r="B9406" s="4"/>
      <c r="C9406" s="4"/>
      <c r="D9406" s="4"/>
      <c r="E9406" s="4"/>
      <c r="F9406" s="4"/>
      <c r="G9406" s="4"/>
      <c r="H9406" s="4"/>
      <c r="I9406" s="4"/>
      <c r="J9406" s="21">
        <f>IFERROR(VLOOKUP(C9406,'STOK KARTLARI'!$C$2:$K$2150,8,0),0)</f>
        <v>0</v>
      </c>
      <c r="K9406" s="21">
        <f t="shared" si="663"/>
        <v>0</v>
      </c>
      <c r="L9406" s="5">
        <f t="shared" si="665"/>
        <v>0</v>
      </c>
      <c r="M9406" s="4"/>
      <c r="N9406" s="4"/>
      <c r="O9406" s="5"/>
      <c r="P9406" s="5"/>
      <c r="Q9406" s="21">
        <f t="shared" si="666"/>
        <v>0</v>
      </c>
      <c r="R9406" s="21">
        <f t="shared" si="664"/>
        <v>0</v>
      </c>
      <c r="S9406" s="5">
        <f t="shared" si="659"/>
        <v>70007.077158325032</v>
      </c>
      <c r="T9406" cm="1">
        <f t="array" ref="T9406">IF(OR(B9406="MAL ALIMI", B9406="ÜRETİM GİRİŞ"), MIN(I9406, MAX(0, I9406 + SUM(SUMIFS($I$1:I9405, $C$1:C9405, C9406, $B$1:B9405, {"MAL ALIMI","ÜRETİM GİRİŞ"})) - VLOOKUP(C9406, 'STOK RAPORU'!$C$2:$I$1000, 4, 0))), 0)</f>
        <v>0</v>
      </c>
      <c r="U9406" s="22">
        <f t="shared" si="660"/>
        <v>0</v>
      </c>
      <c r="V9406">
        <f t="shared" si="661"/>
        <v>0</v>
      </c>
      <c r="W9406" s="22">
        <f t="shared" si="662"/>
        <v>0</v>
      </c>
    </row>
    <row r="9407" spans="1:23" hidden="1" x14ac:dyDescent="0.25">
      <c r="A9407" s="3"/>
      <c r="B9407" s="4"/>
      <c r="C9407" s="4"/>
      <c r="D9407" s="4"/>
      <c r="E9407" s="4"/>
      <c r="F9407" s="4"/>
      <c r="G9407" s="4"/>
      <c r="H9407" s="4"/>
      <c r="I9407" s="4"/>
      <c r="J9407" s="21">
        <f>IFERROR(VLOOKUP(C9407,'STOK KARTLARI'!$C$2:$K$2150,8,0),0)</f>
        <v>0</v>
      </c>
      <c r="K9407" s="21">
        <f t="shared" si="663"/>
        <v>0</v>
      </c>
      <c r="L9407" s="5">
        <f t="shared" si="665"/>
        <v>0</v>
      </c>
      <c r="M9407" s="4"/>
      <c r="N9407" s="4"/>
      <c r="O9407" s="5"/>
      <c r="P9407" s="5"/>
      <c r="Q9407" s="21">
        <f t="shared" si="666"/>
        <v>0</v>
      </c>
      <c r="R9407" s="21">
        <f t="shared" si="664"/>
        <v>0</v>
      </c>
      <c r="S9407" s="5">
        <f t="shared" si="659"/>
        <v>70007.077158325032</v>
      </c>
      <c r="T9407" cm="1">
        <f t="array" ref="T9407">IF(OR(B9407="MAL ALIMI", B9407="ÜRETİM GİRİŞ"), MIN(I9407, MAX(0, I9407 + SUM(SUMIFS($I$1:I9406, $C$1:C9406, C9407, $B$1:B9406, {"MAL ALIMI","ÜRETİM GİRİŞ"})) - VLOOKUP(C9407, 'STOK RAPORU'!$C$2:$I$1000, 4, 0))), 0)</f>
        <v>0</v>
      </c>
      <c r="U9407" s="22">
        <f t="shared" si="660"/>
        <v>0</v>
      </c>
      <c r="V9407">
        <f t="shared" si="661"/>
        <v>0</v>
      </c>
      <c r="W9407" s="22">
        <f t="shared" si="662"/>
        <v>0</v>
      </c>
    </row>
    <row r="9408" spans="1:23" hidden="1" x14ac:dyDescent="0.25">
      <c r="A9408" s="4"/>
      <c r="B9408" s="4"/>
      <c r="C9408" s="4"/>
      <c r="D9408" s="4"/>
      <c r="E9408" s="4"/>
      <c r="F9408" s="4"/>
      <c r="G9408" s="4"/>
      <c r="H9408" s="4"/>
      <c r="I9408" s="4"/>
      <c r="J9408" s="21">
        <f>IFERROR(VLOOKUP(C9408,'STOK KARTLARI'!$C$2:$K$2150,8,0),0)</f>
        <v>0</v>
      </c>
      <c r="K9408" s="21">
        <f t="shared" si="663"/>
        <v>0</v>
      </c>
      <c r="L9408" s="5">
        <f t="shared" si="665"/>
        <v>0</v>
      </c>
      <c r="M9408" s="4"/>
      <c r="N9408" s="4"/>
      <c r="O9408" s="5"/>
      <c r="P9408" s="5"/>
      <c r="Q9408" s="21">
        <f t="shared" si="666"/>
        <v>0</v>
      </c>
      <c r="R9408" s="21">
        <f t="shared" si="664"/>
        <v>0</v>
      </c>
      <c r="S9408" s="5">
        <f t="shared" si="659"/>
        <v>70007.077158325032</v>
      </c>
      <c r="T9408" cm="1">
        <f t="array" ref="T9408">IF(OR(B9408="MAL ALIMI", B9408="ÜRETİM GİRİŞ"), MIN(I9408, MAX(0, I9408 + SUM(SUMIFS($I$1:I9407, $C$1:C9407, C9408, $B$1:B9407, {"MAL ALIMI","ÜRETİM GİRİŞ"})) - VLOOKUP(C9408, 'STOK RAPORU'!$C$2:$I$1000, 4, 0))), 0)</f>
        <v>0</v>
      </c>
      <c r="U9408" s="22">
        <f t="shared" si="660"/>
        <v>0</v>
      </c>
      <c r="V9408">
        <f t="shared" si="661"/>
        <v>0</v>
      </c>
      <c r="W9408" s="22">
        <f t="shared" si="662"/>
        <v>0</v>
      </c>
    </row>
    <row r="9409" spans="1:23" hidden="1" x14ac:dyDescent="0.25">
      <c r="A9409" s="4"/>
      <c r="B9409" s="4"/>
      <c r="C9409" s="4"/>
      <c r="D9409" s="4"/>
      <c r="E9409" s="4"/>
      <c r="F9409" s="4"/>
      <c r="G9409" s="4"/>
      <c r="H9409" s="4"/>
      <c r="I9409" s="4"/>
      <c r="J9409" s="21">
        <f>IFERROR(VLOOKUP(C9409,'STOK KARTLARI'!$C$2:$K$2150,8,0),0)</f>
        <v>0</v>
      </c>
      <c r="K9409" s="21">
        <f t="shared" si="663"/>
        <v>0</v>
      </c>
      <c r="L9409" s="5">
        <f t="shared" si="665"/>
        <v>0</v>
      </c>
      <c r="M9409" s="4"/>
      <c r="N9409" s="4"/>
      <c r="O9409" s="5"/>
      <c r="P9409" s="5"/>
      <c r="Q9409" s="21">
        <f t="shared" si="666"/>
        <v>0</v>
      </c>
      <c r="R9409" s="21">
        <f t="shared" si="664"/>
        <v>0</v>
      </c>
      <c r="S9409" s="5">
        <f t="shared" si="659"/>
        <v>70007.077158325032</v>
      </c>
      <c r="T9409" cm="1">
        <f t="array" ref="T9409">IF(OR(B9409="MAL ALIMI", B9409="ÜRETİM GİRİŞ"), MIN(I9409, MAX(0, I9409 + SUM(SUMIFS($I$1:I9408, $C$1:C9408, C9409, $B$1:B9408, {"MAL ALIMI","ÜRETİM GİRİŞ"})) - VLOOKUP(C9409, 'STOK RAPORU'!$C$2:$I$1000, 4, 0))), 0)</f>
        <v>0</v>
      </c>
      <c r="U9409" s="22">
        <f t="shared" si="660"/>
        <v>0</v>
      </c>
      <c r="V9409">
        <f t="shared" si="661"/>
        <v>0</v>
      </c>
      <c r="W9409" s="22">
        <f t="shared" si="662"/>
        <v>0</v>
      </c>
    </row>
    <row r="9410" spans="1:23" hidden="1" x14ac:dyDescent="0.25">
      <c r="A9410" s="4"/>
      <c r="B9410" s="4"/>
      <c r="C9410" s="4"/>
      <c r="D9410" s="4"/>
      <c r="E9410" s="4"/>
      <c r="F9410" s="4"/>
      <c r="G9410" s="4"/>
      <c r="H9410" s="4"/>
      <c r="I9410" s="4"/>
      <c r="J9410" s="21">
        <f>IFERROR(VLOOKUP(C9410,'STOK KARTLARI'!$C$2:$K$2150,8,0),0)</f>
        <v>0</v>
      </c>
      <c r="K9410" s="21">
        <f t="shared" si="663"/>
        <v>0</v>
      </c>
      <c r="L9410" s="5">
        <f t="shared" si="665"/>
        <v>0</v>
      </c>
      <c r="M9410" s="4"/>
      <c r="N9410" s="4"/>
      <c r="O9410" s="5"/>
      <c r="P9410" s="5"/>
      <c r="Q9410" s="21">
        <f t="shared" si="666"/>
        <v>0</v>
      </c>
      <c r="R9410" s="21">
        <f t="shared" si="664"/>
        <v>0</v>
      </c>
      <c r="S9410" s="5">
        <f t="shared" si="659"/>
        <v>70007.077158325032</v>
      </c>
      <c r="T9410" cm="1">
        <f t="array" ref="T9410">IF(OR(B9410="MAL ALIMI", B9410="ÜRETİM GİRİŞ"), MIN(I9410, MAX(0, I9410 + SUM(SUMIFS($I$1:I9409, $C$1:C9409, C9410, $B$1:B9409, {"MAL ALIMI","ÜRETİM GİRİŞ"})) - VLOOKUP(C9410, 'STOK RAPORU'!$C$2:$I$1000, 4, 0))), 0)</f>
        <v>0</v>
      </c>
      <c r="U9410" s="22">
        <f t="shared" si="660"/>
        <v>0</v>
      </c>
      <c r="V9410">
        <f t="shared" si="661"/>
        <v>0</v>
      </c>
      <c r="W9410" s="22">
        <f t="shared" si="662"/>
        <v>0</v>
      </c>
    </row>
    <row r="9411" spans="1:23" hidden="1" x14ac:dyDescent="0.25">
      <c r="A9411" s="4"/>
      <c r="B9411" s="4"/>
      <c r="C9411" s="4"/>
      <c r="D9411" s="4"/>
      <c r="E9411" s="4"/>
      <c r="F9411" s="4"/>
      <c r="G9411" s="4"/>
      <c r="H9411" s="4"/>
      <c r="I9411" s="4"/>
      <c r="J9411" s="21">
        <f>IFERROR(VLOOKUP(C9411,'STOK KARTLARI'!$C$2:$K$2150,8,0),0)</f>
        <v>0</v>
      </c>
      <c r="K9411" s="21">
        <f t="shared" si="663"/>
        <v>0</v>
      </c>
      <c r="L9411" s="5">
        <f t="shared" si="665"/>
        <v>0</v>
      </c>
      <c r="M9411" s="4"/>
      <c r="N9411" s="4"/>
      <c r="O9411" s="5"/>
      <c r="P9411" s="5"/>
      <c r="Q9411" s="21">
        <f t="shared" si="666"/>
        <v>0</v>
      </c>
      <c r="R9411" s="21">
        <f t="shared" si="664"/>
        <v>0</v>
      </c>
      <c r="S9411" s="5">
        <f t="shared" si="659"/>
        <v>70007.077158325032</v>
      </c>
      <c r="T9411" cm="1">
        <f t="array" ref="T9411">IF(OR(B9411="MAL ALIMI", B9411="ÜRETİM GİRİŞ"), MIN(I9411, MAX(0, I9411 + SUM(SUMIFS($I$1:I9410, $C$1:C9410, C9411, $B$1:B9410, {"MAL ALIMI","ÜRETİM GİRİŞ"})) - VLOOKUP(C9411, 'STOK RAPORU'!$C$2:$I$1000, 4, 0))), 0)</f>
        <v>0</v>
      </c>
      <c r="U9411" s="22">
        <f t="shared" si="660"/>
        <v>0</v>
      </c>
      <c r="V9411">
        <f t="shared" si="661"/>
        <v>0</v>
      </c>
      <c r="W9411" s="22">
        <f t="shared" si="662"/>
        <v>0</v>
      </c>
    </row>
    <row r="9412" spans="1:23" hidden="1" x14ac:dyDescent="0.25">
      <c r="A9412" s="4"/>
      <c r="B9412" s="4"/>
      <c r="C9412" s="4"/>
      <c r="D9412" s="4"/>
      <c r="E9412" s="4"/>
      <c r="F9412" s="4"/>
      <c r="G9412" s="4"/>
      <c r="H9412" s="4"/>
      <c r="I9412" s="4"/>
      <c r="J9412" s="21">
        <f>IFERROR(VLOOKUP(C9412,'STOK KARTLARI'!$C$2:$K$2150,8,0),0)</f>
        <v>0</v>
      </c>
      <c r="K9412" s="21">
        <f t="shared" si="663"/>
        <v>0</v>
      </c>
      <c r="L9412" s="5">
        <f t="shared" si="665"/>
        <v>0</v>
      </c>
      <c r="M9412" s="4"/>
      <c r="N9412" s="4"/>
      <c r="O9412" s="5"/>
      <c r="P9412" s="5"/>
      <c r="Q9412" s="21">
        <f t="shared" si="666"/>
        <v>0</v>
      </c>
      <c r="R9412" s="21">
        <f t="shared" si="664"/>
        <v>0</v>
      </c>
      <c r="S9412" s="5">
        <f t="shared" si="659"/>
        <v>70007.077158325032</v>
      </c>
      <c r="T9412" cm="1">
        <f t="array" ref="T9412">IF(OR(B9412="MAL ALIMI", B9412="ÜRETİM GİRİŞ"), MIN(I9412, MAX(0, I9412 + SUM(SUMIFS($I$1:I9411, $C$1:C9411, C9412, $B$1:B9411, {"MAL ALIMI","ÜRETİM GİRİŞ"})) - VLOOKUP(C9412, 'STOK RAPORU'!$C$2:$I$1000, 4, 0))), 0)</f>
        <v>0</v>
      </c>
      <c r="U9412" s="22">
        <f t="shared" si="660"/>
        <v>0</v>
      </c>
      <c r="V9412">
        <f t="shared" si="661"/>
        <v>0</v>
      </c>
      <c r="W9412" s="22">
        <f t="shared" si="662"/>
        <v>0</v>
      </c>
    </row>
    <row r="9413" spans="1:23" hidden="1" x14ac:dyDescent="0.25">
      <c r="A9413" s="4"/>
      <c r="B9413" s="4"/>
      <c r="C9413" s="4"/>
      <c r="D9413" s="4"/>
      <c r="E9413" s="4"/>
      <c r="F9413" s="4"/>
      <c r="G9413" s="4"/>
      <c r="H9413" s="4"/>
      <c r="I9413" s="4"/>
      <c r="J9413" s="21">
        <f>IFERROR(VLOOKUP(C9413,'STOK KARTLARI'!$C$2:$K$2150,8,0),0)</f>
        <v>0</v>
      </c>
      <c r="K9413" s="21">
        <f t="shared" si="663"/>
        <v>0</v>
      </c>
      <c r="L9413" s="5">
        <f t="shared" si="665"/>
        <v>0</v>
      </c>
      <c r="M9413" s="4"/>
      <c r="N9413" s="4"/>
      <c r="O9413" s="5"/>
      <c r="P9413" s="5"/>
      <c r="Q9413" s="21">
        <f t="shared" si="666"/>
        <v>0</v>
      </c>
      <c r="R9413" s="21">
        <f t="shared" si="664"/>
        <v>0</v>
      </c>
      <c r="S9413" s="5">
        <f t="shared" ref="S9413:S9476" si="667">S9412+Q9413-R9413</f>
        <v>70007.077158325032</v>
      </c>
      <c r="T9413" cm="1">
        <f t="array" ref="T9413">IF(OR(B9413="MAL ALIMI", B9413="ÜRETİM GİRİŞ"), MIN(I9413, MAX(0, I9413 + SUM(SUMIFS($I$1:I9412, $C$1:C9412, C9413, $B$1:B9412, {"MAL ALIMI","ÜRETİM GİRİŞ"})) - VLOOKUP(C9413, 'STOK RAPORU'!$C$2:$I$1000, 4, 0))), 0)</f>
        <v>0</v>
      </c>
      <c r="U9413" s="22">
        <f t="shared" si="660"/>
        <v>0</v>
      </c>
      <c r="V9413">
        <f t="shared" si="661"/>
        <v>0</v>
      </c>
      <c r="W9413" s="22">
        <f t="shared" si="662"/>
        <v>0</v>
      </c>
    </row>
    <row r="9414" spans="1:23" hidden="1" x14ac:dyDescent="0.25">
      <c r="A9414" s="3"/>
      <c r="B9414" s="4"/>
      <c r="C9414" s="4"/>
      <c r="D9414" s="4"/>
      <c r="E9414" s="4"/>
      <c r="F9414" s="4"/>
      <c r="G9414" s="4"/>
      <c r="H9414" s="4"/>
      <c r="I9414" s="4"/>
      <c r="J9414" s="21">
        <f>IFERROR(VLOOKUP(C9414,'STOK KARTLARI'!$C$2:$K$2150,8,0),0)</f>
        <v>0</v>
      </c>
      <c r="K9414" s="21">
        <f t="shared" si="663"/>
        <v>0</v>
      </c>
      <c r="L9414" s="5">
        <f t="shared" si="665"/>
        <v>0</v>
      </c>
      <c r="M9414" s="4"/>
      <c r="N9414" s="4"/>
      <c r="O9414" s="5"/>
      <c r="P9414" s="5"/>
      <c r="Q9414" s="21">
        <f t="shared" si="666"/>
        <v>0</v>
      </c>
      <c r="R9414" s="21">
        <f t="shared" si="664"/>
        <v>0</v>
      </c>
      <c r="S9414" s="5">
        <f t="shared" si="667"/>
        <v>70007.077158325032</v>
      </c>
      <c r="T9414" cm="1">
        <f t="array" ref="T9414">IF(OR(B9414="MAL ALIMI", B9414="ÜRETİM GİRİŞ"), MIN(I9414, MAX(0, I9414 + SUM(SUMIFS($I$1:I9413, $C$1:C9413, C9414, $B$1:B9413, {"MAL ALIMI","ÜRETİM GİRİŞ"})) - VLOOKUP(C9414, 'STOK RAPORU'!$C$2:$I$1000, 4, 0))), 0)</f>
        <v>0</v>
      </c>
      <c r="U9414" s="22">
        <f t="shared" si="660"/>
        <v>0</v>
      </c>
      <c r="V9414">
        <f t="shared" si="661"/>
        <v>0</v>
      </c>
      <c r="W9414" s="22">
        <f t="shared" si="662"/>
        <v>0</v>
      </c>
    </row>
    <row r="9415" spans="1:23" hidden="1" x14ac:dyDescent="0.25">
      <c r="A9415" s="4"/>
      <c r="B9415" s="4"/>
      <c r="C9415" s="4"/>
      <c r="D9415" s="4"/>
      <c r="E9415" s="4"/>
      <c r="F9415" s="4"/>
      <c r="G9415" s="4"/>
      <c r="H9415" s="4"/>
      <c r="I9415" s="4"/>
      <c r="J9415" s="21">
        <f>IFERROR(VLOOKUP(C9415,'STOK KARTLARI'!$C$2:$K$2150,8,0),0)</f>
        <v>0</v>
      </c>
      <c r="K9415" s="21">
        <f t="shared" si="663"/>
        <v>0</v>
      </c>
      <c r="L9415" s="5">
        <f t="shared" si="665"/>
        <v>0</v>
      </c>
      <c r="M9415" s="4"/>
      <c r="N9415" s="4"/>
      <c r="O9415" s="5"/>
      <c r="P9415" s="5"/>
      <c r="Q9415" s="21">
        <f t="shared" si="666"/>
        <v>0</v>
      </c>
      <c r="R9415" s="21">
        <f t="shared" si="664"/>
        <v>0</v>
      </c>
      <c r="S9415" s="5">
        <f t="shared" si="667"/>
        <v>70007.077158325032</v>
      </c>
      <c r="T9415" cm="1">
        <f t="array" ref="T9415">IF(OR(B9415="MAL ALIMI", B9415="ÜRETİM GİRİŞ"), MIN(I9415, MAX(0, I9415 + SUM(SUMIFS($I$1:I9414, $C$1:C9414, C9415, $B$1:B9414, {"MAL ALIMI","ÜRETİM GİRİŞ"})) - VLOOKUP(C9415, 'STOK RAPORU'!$C$2:$I$1000, 4, 0))), 0)</f>
        <v>0</v>
      </c>
      <c r="U9415" s="22">
        <f t="shared" si="660"/>
        <v>0</v>
      </c>
      <c r="V9415">
        <f t="shared" si="661"/>
        <v>0</v>
      </c>
      <c r="W9415" s="22">
        <f t="shared" si="662"/>
        <v>0</v>
      </c>
    </row>
    <row r="9416" spans="1:23" hidden="1" x14ac:dyDescent="0.25">
      <c r="A9416" s="4"/>
      <c r="B9416" s="4"/>
      <c r="C9416" s="4"/>
      <c r="D9416" s="4"/>
      <c r="E9416" s="4"/>
      <c r="F9416" s="4"/>
      <c r="G9416" s="4"/>
      <c r="H9416" s="4"/>
      <c r="I9416" s="4"/>
      <c r="J9416" s="21">
        <f>IFERROR(VLOOKUP(C9416,'STOK KARTLARI'!$C$2:$K$2150,8,0),0)</f>
        <v>0</v>
      </c>
      <c r="K9416" s="21">
        <f t="shared" si="663"/>
        <v>0</v>
      </c>
      <c r="L9416" s="5">
        <f t="shared" si="665"/>
        <v>0</v>
      </c>
      <c r="M9416" s="4"/>
      <c r="N9416" s="4"/>
      <c r="O9416" s="5"/>
      <c r="P9416" s="5"/>
      <c r="Q9416" s="21">
        <f t="shared" si="666"/>
        <v>0</v>
      </c>
      <c r="R9416" s="21">
        <f t="shared" si="664"/>
        <v>0</v>
      </c>
      <c r="S9416" s="5">
        <f t="shared" si="667"/>
        <v>70007.077158325032</v>
      </c>
      <c r="T9416" cm="1">
        <f t="array" ref="T9416">IF(OR(B9416="MAL ALIMI", B9416="ÜRETİM GİRİŞ"), MIN(I9416, MAX(0, I9416 + SUM(SUMIFS($I$1:I9415, $C$1:C9415, C9416, $B$1:B9415, {"MAL ALIMI","ÜRETİM GİRİŞ"})) - VLOOKUP(C9416, 'STOK RAPORU'!$C$2:$I$1000, 4, 0))), 0)</f>
        <v>0</v>
      </c>
      <c r="U9416" s="22">
        <f t="shared" si="660"/>
        <v>0</v>
      </c>
      <c r="V9416">
        <f t="shared" si="661"/>
        <v>0</v>
      </c>
      <c r="W9416" s="22">
        <f t="shared" si="662"/>
        <v>0</v>
      </c>
    </row>
    <row r="9417" spans="1:23" hidden="1" x14ac:dyDescent="0.25">
      <c r="A9417" s="4"/>
      <c r="B9417" s="4"/>
      <c r="C9417" s="4"/>
      <c r="D9417" s="4"/>
      <c r="E9417" s="4"/>
      <c r="F9417" s="4"/>
      <c r="G9417" s="4"/>
      <c r="H9417" s="4"/>
      <c r="I9417" s="4"/>
      <c r="J9417" s="21">
        <f>IFERROR(VLOOKUP(C9417,'STOK KARTLARI'!$C$2:$K$2150,8,0),0)</f>
        <v>0</v>
      </c>
      <c r="K9417" s="21">
        <f t="shared" si="663"/>
        <v>0</v>
      </c>
      <c r="L9417" s="5">
        <f t="shared" si="665"/>
        <v>0</v>
      </c>
      <c r="M9417" s="4"/>
      <c r="N9417" s="4"/>
      <c r="O9417" s="5"/>
      <c r="P9417" s="5"/>
      <c r="Q9417" s="21">
        <f t="shared" si="666"/>
        <v>0</v>
      </c>
      <c r="R9417" s="21">
        <f t="shared" si="664"/>
        <v>0</v>
      </c>
      <c r="S9417" s="5">
        <f t="shared" si="667"/>
        <v>70007.077158325032</v>
      </c>
      <c r="T9417" cm="1">
        <f t="array" ref="T9417">IF(OR(B9417="MAL ALIMI", B9417="ÜRETİM GİRİŞ"), MIN(I9417, MAX(0, I9417 + SUM(SUMIFS($I$1:I9416, $C$1:C9416, C9417, $B$1:B9416, {"MAL ALIMI","ÜRETİM GİRİŞ"})) - VLOOKUP(C9417, 'STOK RAPORU'!$C$2:$I$1000, 4, 0))), 0)</f>
        <v>0</v>
      </c>
      <c r="U9417" s="22">
        <f t="shared" si="660"/>
        <v>0</v>
      </c>
      <c r="V9417">
        <f t="shared" si="661"/>
        <v>0</v>
      </c>
      <c r="W9417" s="22">
        <f t="shared" si="662"/>
        <v>0</v>
      </c>
    </row>
    <row r="9418" spans="1:23" hidden="1" x14ac:dyDescent="0.25">
      <c r="A9418" s="4"/>
      <c r="B9418" s="4"/>
      <c r="C9418" s="4"/>
      <c r="D9418" s="4"/>
      <c r="E9418" s="4"/>
      <c r="F9418" s="4"/>
      <c r="G9418" s="4"/>
      <c r="H9418" s="4"/>
      <c r="I9418" s="4"/>
      <c r="J9418" s="21">
        <f>IFERROR(VLOOKUP(C9418,'STOK KARTLARI'!$C$2:$K$2150,8,0),0)</f>
        <v>0</v>
      </c>
      <c r="K9418" s="21">
        <f t="shared" si="663"/>
        <v>0</v>
      </c>
      <c r="L9418" s="5">
        <f t="shared" si="665"/>
        <v>0</v>
      </c>
      <c r="M9418" s="4"/>
      <c r="N9418" s="4"/>
      <c r="O9418" s="5"/>
      <c r="P9418" s="5"/>
      <c r="Q9418" s="21">
        <f t="shared" si="666"/>
        <v>0</v>
      </c>
      <c r="R9418" s="21">
        <f t="shared" si="664"/>
        <v>0</v>
      </c>
      <c r="S9418" s="5">
        <f t="shared" si="667"/>
        <v>70007.077158325032</v>
      </c>
      <c r="T9418" cm="1">
        <f t="array" ref="T9418">IF(OR(B9418="MAL ALIMI", B9418="ÜRETİM GİRİŞ"), MIN(I9418, MAX(0, I9418 + SUM(SUMIFS($I$1:I9417, $C$1:C9417, C9418, $B$1:B9417, {"MAL ALIMI","ÜRETİM GİRİŞ"})) - VLOOKUP(C9418, 'STOK RAPORU'!$C$2:$I$1000, 4, 0))), 0)</f>
        <v>0</v>
      </c>
      <c r="U9418" s="22">
        <f t="shared" si="660"/>
        <v>0</v>
      </c>
      <c r="V9418">
        <f t="shared" si="661"/>
        <v>0</v>
      </c>
      <c r="W9418" s="22">
        <f t="shared" si="662"/>
        <v>0</v>
      </c>
    </row>
    <row r="9419" spans="1:23" hidden="1" x14ac:dyDescent="0.25">
      <c r="A9419" s="4"/>
      <c r="B9419" s="4"/>
      <c r="C9419" s="4"/>
      <c r="D9419" s="4"/>
      <c r="E9419" s="4"/>
      <c r="F9419" s="4"/>
      <c r="G9419" s="4"/>
      <c r="H9419" s="4"/>
      <c r="I9419" s="4"/>
      <c r="J9419" s="21">
        <f>IFERROR(VLOOKUP(C9419,'STOK KARTLARI'!$C$2:$K$2150,8,0),0)</f>
        <v>0</v>
      </c>
      <c r="K9419" s="21">
        <f t="shared" si="663"/>
        <v>0</v>
      </c>
      <c r="L9419" s="5">
        <f t="shared" si="665"/>
        <v>0</v>
      </c>
      <c r="M9419" s="4"/>
      <c r="N9419" s="4"/>
      <c r="O9419" s="5"/>
      <c r="P9419" s="5"/>
      <c r="Q9419" s="21">
        <f t="shared" si="666"/>
        <v>0</v>
      </c>
      <c r="R9419" s="21">
        <f t="shared" si="664"/>
        <v>0</v>
      </c>
      <c r="S9419" s="5">
        <f t="shared" si="667"/>
        <v>70007.077158325032</v>
      </c>
      <c r="T9419" cm="1">
        <f t="array" ref="T9419">IF(OR(B9419="MAL ALIMI", B9419="ÜRETİM GİRİŞ"), MIN(I9419, MAX(0, I9419 + SUM(SUMIFS($I$1:I9418, $C$1:C9418, C9419, $B$1:B9418, {"MAL ALIMI","ÜRETİM GİRİŞ"})) - VLOOKUP(C9419, 'STOK RAPORU'!$C$2:$I$1000, 4, 0))), 0)</f>
        <v>0</v>
      </c>
      <c r="U9419" s="22">
        <f t="shared" si="660"/>
        <v>0</v>
      </c>
      <c r="V9419">
        <f t="shared" si="661"/>
        <v>0</v>
      </c>
      <c r="W9419" s="22">
        <f t="shared" si="662"/>
        <v>0</v>
      </c>
    </row>
    <row r="9420" spans="1:23" hidden="1" x14ac:dyDescent="0.25">
      <c r="A9420" s="4"/>
      <c r="B9420" s="4"/>
      <c r="C9420" s="4"/>
      <c r="D9420" s="4"/>
      <c r="E9420" s="4"/>
      <c r="F9420" s="4"/>
      <c r="G9420" s="4"/>
      <c r="H9420" s="4"/>
      <c r="I9420" s="4"/>
      <c r="J9420" s="21">
        <f>IFERROR(VLOOKUP(C9420,'STOK KARTLARI'!$C$2:$K$2150,8,0),0)</f>
        <v>0</v>
      </c>
      <c r="K9420" s="21">
        <f t="shared" si="663"/>
        <v>0</v>
      </c>
      <c r="L9420" s="5">
        <f t="shared" si="665"/>
        <v>0</v>
      </c>
      <c r="M9420" s="4"/>
      <c r="N9420" s="4"/>
      <c r="O9420" s="5"/>
      <c r="P9420" s="5"/>
      <c r="Q9420" s="21">
        <f t="shared" si="666"/>
        <v>0</v>
      </c>
      <c r="R9420" s="21">
        <f t="shared" si="664"/>
        <v>0</v>
      </c>
      <c r="S9420" s="5">
        <f t="shared" si="667"/>
        <v>70007.077158325032</v>
      </c>
      <c r="T9420" cm="1">
        <f t="array" ref="T9420">IF(OR(B9420="MAL ALIMI", B9420="ÜRETİM GİRİŞ"), MIN(I9420, MAX(0, I9420 + SUM(SUMIFS($I$1:I9419, $C$1:C9419, C9420, $B$1:B9419, {"MAL ALIMI","ÜRETİM GİRİŞ"})) - VLOOKUP(C9420, 'STOK RAPORU'!$C$2:$I$1000, 4, 0))), 0)</f>
        <v>0</v>
      </c>
      <c r="U9420" s="22">
        <f t="shared" si="660"/>
        <v>0</v>
      </c>
      <c r="V9420">
        <f t="shared" si="661"/>
        <v>0</v>
      </c>
      <c r="W9420" s="22">
        <f t="shared" si="662"/>
        <v>0</v>
      </c>
    </row>
    <row r="9421" spans="1:23" hidden="1" x14ac:dyDescent="0.25">
      <c r="A9421" s="3"/>
      <c r="B9421" s="4"/>
      <c r="C9421" s="4"/>
      <c r="D9421" s="4"/>
      <c r="E9421" s="4"/>
      <c r="F9421" s="4"/>
      <c r="G9421" s="4"/>
      <c r="H9421" s="4"/>
      <c r="I9421" s="4"/>
      <c r="J9421" s="21">
        <f>IFERROR(VLOOKUP(C9421,'STOK KARTLARI'!$C$2:$K$2150,8,0),0)</f>
        <v>0</v>
      </c>
      <c r="K9421" s="21">
        <f t="shared" si="663"/>
        <v>0</v>
      </c>
      <c r="L9421" s="5">
        <f t="shared" si="665"/>
        <v>0</v>
      </c>
      <c r="M9421" s="4"/>
      <c r="N9421" s="4"/>
      <c r="O9421" s="5"/>
      <c r="P9421" s="5"/>
      <c r="Q9421" s="21">
        <f t="shared" si="666"/>
        <v>0</v>
      </c>
      <c r="R9421" s="21">
        <f t="shared" si="664"/>
        <v>0</v>
      </c>
      <c r="S9421" s="5">
        <f t="shared" si="667"/>
        <v>70007.077158325032</v>
      </c>
      <c r="T9421" cm="1">
        <f t="array" ref="T9421">IF(OR(B9421="MAL ALIMI", B9421="ÜRETİM GİRİŞ"), MIN(I9421, MAX(0, I9421 + SUM(SUMIFS($I$1:I9420, $C$1:C9420, C9421, $B$1:B9420, {"MAL ALIMI","ÜRETİM GİRİŞ"})) - VLOOKUP(C9421, 'STOK RAPORU'!$C$2:$I$1000, 4, 0))), 0)</f>
        <v>0</v>
      </c>
      <c r="U9421" s="22">
        <f t="shared" si="660"/>
        <v>0</v>
      </c>
      <c r="V9421">
        <f t="shared" si="661"/>
        <v>0</v>
      </c>
      <c r="W9421" s="22">
        <f t="shared" si="662"/>
        <v>0</v>
      </c>
    </row>
    <row r="9422" spans="1:23" hidden="1" x14ac:dyDescent="0.25">
      <c r="A9422" s="4"/>
      <c r="B9422" s="4"/>
      <c r="C9422" s="4"/>
      <c r="D9422" s="4"/>
      <c r="E9422" s="4"/>
      <c r="F9422" s="4"/>
      <c r="G9422" s="4"/>
      <c r="H9422" s="4"/>
      <c r="I9422" s="4"/>
      <c r="J9422" s="21">
        <f>IFERROR(VLOOKUP(C9422,'STOK KARTLARI'!$C$2:$K$2150,8,0),0)</f>
        <v>0</v>
      </c>
      <c r="K9422" s="21">
        <f t="shared" si="663"/>
        <v>0</v>
      </c>
      <c r="L9422" s="5">
        <f t="shared" si="665"/>
        <v>0</v>
      </c>
      <c r="M9422" s="4"/>
      <c r="N9422" s="4"/>
      <c r="O9422" s="5"/>
      <c r="P9422" s="5"/>
      <c r="Q9422" s="21">
        <f t="shared" si="666"/>
        <v>0</v>
      </c>
      <c r="R9422" s="21">
        <f t="shared" si="664"/>
        <v>0</v>
      </c>
      <c r="S9422" s="5">
        <f t="shared" si="667"/>
        <v>70007.077158325032</v>
      </c>
      <c r="T9422" cm="1">
        <f t="array" ref="T9422">IF(OR(B9422="MAL ALIMI", B9422="ÜRETİM GİRİŞ"), MIN(I9422, MAX(0, I9422 + SUM(SUMIFS($I$1:I9421, $C$1:C9421, C9422, $B$1:B9421, {"MAL ALIMI","ÜRETİM GİRİŞ"})) - VLOOKUP(C9422, 'STOK RAPORU'!$C$2:$I$1000, 4, 0))), 0)</f>
        <v>0</v>
      </c>
      <c r="U9422" s="22">
        <f t="shared" si="660"/>
        <v>0</v>
      </c>
      <c r="V9422">
        <f t="shared" si="661"/>
        <v>0</v>
      </c>
      <c r="W9422" s="22">
        <f t="shared" si="662"/>
        <v>0</v>
      </c>
    </row>
    <row r="9423" spans="1:23" hidden="1" x14ac:dyDescent="0.25">
      <c r="A9423" s="4"/>
      <c r="B9423" s="4"/>
      <c r="C9423" s="4"/>
      <c r="D9423" s="4"/>
      <c r="E9423" s="4"/>
      <c r="F9423" s="4"/>
      <c r="G9423" s="4"/>
      <c r="H9423" s="4"/>
      <c r="I9423" s="4"/>
      <c r="J9423" s="21">
        <f>IFERROR(VLOOKUP(C9423,'STOK KARTLARI'!$C$2:$K$2150,8,0),0)</f>
        <v>0</v>
      </c>
      <c r="K9423" s="21">
        <f t="shared" si="663"/>
        <v>0</v>
      </c>
      <c r="L9423" s="5">
        <f t="shared" si="665"/>
        <v>0</v>
      </c>
      <c r="M9423" s="4"/>
      <c r="N9423" s="4"/>
      <c r="O9423" s="5"/>
      <c r="P9423" s="5"/>
      <c r="Q9423" s="21">
        <f t="shared" si="666"/>
        <v>0</v>
      </c>
      <c r="R9423" s="21">
        <f t="shared" si="664"/>
        <v>0</v>
      </c>
      <c r="S9423" s="5">
        <f t="shared" si="667"/>
        <v>70007.077158325032</v>
      </c>
      <c r="T9423" cm="1">
        <f t="array" ref="T9423">IF(OR(B9423="MAL ALIMI", B9423="ÜRETİM GİRİŞ"), MIN(I9423, MAX(0, I9423 + SUM(SUMIFS($I$1:I9422, $C$1:C9422, C9423, $B$1:B9422, {"MAL ALIMI","ÜRETİM GİRİŞ"})) - VLOOKUP(C9423, 'STOK RAPORU'!$C$2:$I$1000, 4, 0))), 0)</f>
        <v>0</v>
      </c>
      <c r="U9423" s="22">
        <f t="shared" si="660"/>
        <v>0</v>
      </c>
      <c r="V9423">
        <f t="shared" si="661"/>
        <v>0</v>
      </c>
      <c r="W9423" s="22">
        <f t="shared" si="662"/>
        <v>0</v>
      </c>
    </row>
    <row r="9424" spans="1:23" hidden="1" x14ac:dyDescent="0.25">
      <c r="A9424" s="4"/>
      <c r="B9424" s="4"/>
      <c r="C9424" s="4"/>
      <c r="D9424" s="4"/>
      <c r="E9424" s="4"/>
      <c r="F9424" s="4"/>
      <c r="G9424" s="4"/>
      <c r="H9424" s="4"/>
      <c r="I9424" s="4"/>
      <c r="J9424" s="21">
        <f>IFERROR(VLOOKUP(C9424,'STOK KARTLARI'!$C$2:$K$2150,8,0),0)</f>
        <v>0</v>
      </c>
      <c r="K9424" s="21">
        <f t="shared" si="663"/>
        <v>0</v>
      </c>
      <c r="L9424" s="5">
        <f t="shared" si="665"/>
        <v>0</v>
      </c>
      <c r="M9424" s="4"/>
      <c r="N9424" s="4"/>
      <c r="O9424" s="5"/>
      <c r="P9424" s="5"/>
      <c r="Q9424" s="21">
        <f t="shared" si="666"/>
        <v>0</v>
      </c>
      <c r="R9424" s="21">
        <f t="shared" si="664"/>
        <v>0</v>
      </c>
      <c r="S9424" s="5">
        <f t="shared" si="667"/>
        <v>70007.077158325032</v>
      </c>
      <c r="T9424" cm="1">
        <f t="array" ref="T9424">IF(OR(B9424="MAL ALIMI", B9424="ÜRETİM GİRİŞ"), MIN(I9424, MAX(0, I9424 + SUM(SUMIFS($I$1:I9423, $C$1:C9423, C9424, $B$1:B9423, {"MAL ALIMI","ÜRETİM GİRİŞ"})) - VLOOKUP(C9424, 'STOK RAPORU'!$C$2:$I$1000, 4, 0))), 0)</f>
        <v>0</v>
      </c>
      <c r="U9424" s="22">
        <f t="shared" si="660"/>
        <v>0</v>
      </c>
      <c r="V9424">
        <f t="shared" si="661"/>
        <v>0</v>
      </c>
      <c r="W9424" s="22">
        <f t="shared" si="662"/>
        <v>0</v>
      </c>
    </row>
    <row r="9425" spans="1:23" hidden="1" x14ac:dyDescent="0.25">
      <c r="A9425" s="4"/>
      <c r="B9425" s="4"/>
      <c r="C9425" s="4"/>
      <c r="D9425" s="4"/>
      <c r="E9425" s="4"/>
      <c r="F9425" s="4"/>
      <c r="G9425" s="4"/>
      <c r="H9425" s="4"/>
      <c r="I9425" s="4"/>
      <c r="J9425" s="21">
        <f>IFERROR(VLOOKUP(C9425,'STOK KARTLARI'!$C$2:$K$2150,8,0),0)</f>
        <v>0</v>
      </c>
      <c r="K9425" s="21">
        <f t="shared" si="663"/>
        <v>0</v>
      </c>
      <c r="L9425" s="5">
        <f t="shared" si="665"/>
        <v>0</v>
      </c>
      <c r="M9425" s="4"/>
      <c r="N9425" s="4"/>
      <c r="O9425" s="5"/>
      <c r="P9425" s="5"/>
      <c r="Q9425" s="21">
        <f t="shared" si="666"/>
        <v>0</v>
      </c>
      <c r="R9425" s="21">
        <f t="shared" si="664"/>
        <v>0</v>
      </c>
      <c r="S9425" s="5">
        <f t="shared" si="667"/>
        <v>70007.077158325032</v>
      </c>
      <c r="T9425" cm="1">
        <f t="array" ref="T9425">IF(OR(B9425="MAL ALIMI", B9425="ÜRETİM GİRİŞ"), MIN(I9425, MAX(0, I9425 + SUM(SUMIFS($I$1:I9424, $C$1:C9424, C9425, $B$1:B9424, {"MAL ALIMI","ÜRETİM GİRİŞ"})) - VLOOKUP(C9425, 'STOK RAPORU'!$C$2:$I$1000, 4, 0))), 0)</f>
        <v>0</v>
      </c>
      <c r="U9425" s="22">
        <f t="shared" si="660"/>
        <v>0</v>
      </c>
      <c r="V9425">
        <f t="shared" si="661"/>
        <v>0</v>
      </c>
      <c r="W9425" s="22">
        <f t="shared" si="662"/>
        <v>0</v>
      </c>
    </row>
    <row r="9426" spans="1:23" hidden="1" x14ac:dyDescent="0.25">
      <c r="A9426" s="4"/>
      <c r="B9426" s="4"/>
      <c r="C9426" s="4"/>
      <c r="D9426" s="4"/>
      <c r="E9426" s="4"/>
      <c r="F9426" s="4"/>
      <c r="G9426" s="4"/>
      <c r="H9426" s="4"/>
      <c r="I9426" s="4"/>
      <c r="J9426" s="21">
        <f>IFERROR(VLOOKUP(C9426,'STOK KARTLARI'!$C$2:$K$2150,8,0),0)</f>
        <v>0</v>
      </c>
      <c r="K9426" s="21">
        <f t="shared" si="663"/>
        <v>0</v>
      </c>
      <c r="L9426" s="5">
        <f t="shared" si="665"/>
        <v>0</v>
      </c>
      <c r="M9426" s="4"/>
      <c r="N9426" s="4"/>
      <c r="O9426" s="5"/>
      <c r="P9426" s="5"/>
      <c r="Q9426" s="21">
        <f t="shared" si="666"/>
        <v>0</v>
      </c>
      <c r="R9426" s="21">
        <f t="shared" si="664"/>
        <v>0</v>
      </c>
      <c r="S9426" s="5">
        <f t="shared" si="667"/>
        <v>70007.077158325032</v>
      </c>
      <c r="T9426" cm="1">
        <f t="array" ref="T9426">IF(OR(B9426="MAL ALIMI", B9426="ÜRETİM GİRİŞ"), MIN(I9426, MAX(0, I9426 + SUM(SUMIFS($I$1:I9425, $C$1:C9425, C9426, $B$1:B9425, {"MAL ALIMI","ÜRETİM GİRİŞ"})) - VLOOKUP(C9426, 'STOK RAPORU'!$C$2:$I$1000, 4, 0))), 0)</f>
        <v>0</v>
      </c>
      <c r="U9426" s="22">
        <f t="shared" si="660"/>
        <v>0</v>
      </c>
      <c r="V9426">
        <f t="shared" si="661"/>
        <v>0</v>
      </c>
      <c r="W9426" s="22">
        <f t="shared" si="662"/>
        <v>0</v>
      </c>
    </row>
    <row r="9427" spans="1:23" hidden="1" x14ac:dyDescent="0.25">
      <c r="A9427" s="4"/>
      <c r="B9427" s="4"/>
      <c r="C9427" s="4"/>
      <c r="D9427" s="4"/>
      <c r="E9427" s="4"/>
      <c r="F9427" s="4"/>
      <c r="G9427" s="4"/>
      <c r="H9427" s="4"/>
      <c r="I9427" s="4"/>
      <c r="J9427" s="21">
        <f>IFERROR(VLOOKUP(C9427,'STOK KARTLARI'!$C$2:$K$2150,8,0),0)</f>
        <v>0</v>
      </c>
      <c r="K9427" s="21">
        <f t="shared" si="663"/>
        <v>0</v>
      </c>
      <c r="L9427" s="5">
        <f t="shared" si="665"/>
        <v>0</v>
      </c>
      <c r="M9427" s="4"/>
      <c r="N9427" s="4"/>
      <c r="O9427" s="5"/>
      <c r="P9427" s="5"/>
      <c r="Q9427" s="21">
        <f t="shared" si="666"/>
        <v>0</v>
      </c>
      <c r="R9427" s="21">
        <f t="shared" si="664"/>
        <v>0</v>
      </c>
      <c r="S9427" s="5">
        <f t="shared" si="667"/>
        <v>70007.077158325032</v>
      </c>
      <c r="T9427" cm="1">
        <f t="array" ref="T9427">IF(OR(B9427="MAL ALIMI", B9427="ÜRETİM GİRİŞ"), MIN(I9427, MAX(0, I9427 + SUM(SUMIFS($I$1:I9426, $C$1:C9426, C9427, $B$1:B9426, {"MAL ALIMI","ÜRETİM GİRİŞ"})) - VLOOKUP(C9427, 'STOK RAPORU'!$C$2:$I$1000, 4, 0))), 0)</f>
        <v>0</v>
      </c>
      <c r="U9427" s="22">
        <f t="shared" si="660"/>
        <v>0</v>
      </c>
      <c r="V9427">
        <f t="shared" si="661"/>
        <v>0</v>
      </c>
      <c r="W9427" s="22">
        <f t="shared" si="662"/>
        <v>0</v>
      </c>
    </row>
    <row r="9428" spans="1:23" hidden="1" x14ac:dyDescent="0.25">
      <c r="A9428" s="3"/>
      <c r="B9428" s="4"/>
      <c r="C9428" s="4"/>
      <c r="D9428" s="4"/>
      <c r="E9428" s="4"/>
      <c r="F9428" s="4"/>
      <c r="G9428" s="4"/>
      <c r="H9428" s="4"/>
      <c r="I9428" s="4"/>
      <c r="J9428" s="21">
        <f>IFERROR(VLOOKUP(C9428,'STOK KARTLARI'!$C$2:$K$2150,8,0),0)</f>
        <v>0</v>
      </c>
      <c r="K9428" s="21">
        <f t="shared" si="663"/>
        <v>0</v>
      </c>
      <c r="L9428" s="5">
        <f t="shared" si="665"/>
        <v>0</v>
      </c>
      <c r="M9428" s="4"/>
      <c r="N9428" s="4"/>
      <c r="O9428" s="5"/>
      <c r="P9428" s="5"/>
      <c r="Q9428" s="21">
        <f t="shared" si="666"/>
        <v>0</v>
      </c>
      <c r="R9428" s="21">
        <f t="shared" si="664"/>
        <v>0</v>
      </c>
      <c r="S9428" s="5">
        <f t="shared" si="667"/>
        <v>70007.077158325032</v>
      </c>
      <c r="T9428" cm="1">
        <f t="array" ref="T9428">IF(OR(B9428="MAL ALIMI", B9428="ÜRETİM GİRİŞ"), MIN(I9428, MAX(0, I9428 + SUM(SUMIFS($I$1:I9427, $C$1:C9427, C9428, $B$1:B9427, {"MAL ALIMI","ÜRETİM GİRİŞ"})) - VLOOKUP(C9428, 'STOK RAPORU'!$C$2:$I$1000, 4, 0))), 0)</f>
        <v>0</v>
      </c>
      <c r="U9428" s="22">
        <f t="shared" si="660"/>
        <v>0</v>
      </c>
      <c r="V9428">
        <f t="shared" si="661"/>
        <v>0</v>
      </c>
      <c r="W9428" s="22">
        <f t="shared" si="662"/>
        <v>0</v>
      </c>
    </row>
    <row r="9429" spans="1:23" hidden="1" x14ac:dyDescent="0.25">
      <c r="A9429" s="4"/>
      <c r="B9429" s="4"/>
      <c r="C9429" s="4"/>
      <c r="D9429" s="4"/>
      <c r="E9429" s="4"/>
      <c r="F9429" s="4"/>
      <c r="G9429" s="4"/>
      <c r="H9429" s="4"/>
      <c r="I9429" s="4"/>
      <c r="J9429" s="21">
        <f>IFERROR(VLOOKUP(C9429,'STOK KARTLARI'!$C$2:$K$2150,8,0),0)</f>
        <v>0</v>
      </c>
      <c r="K9429" s="21">
        <f t="shared" si="663"/>
        <v>0</v>
      </c>
      <c r="L9429" s="5">
        <f t="shared" si="665"/>
        <v>0</v>
      </c>
      <c r="M9429" s="4"/>
      <c r="N9429" s="4"/>
      <c r="O9429" s="5"/>
      <c r="P9429" s="5"/>
      <c r="Q9429" s="21">
        <f t="shared" si="666"/>
        <v>0</v>
      </c>
      <c r="R9429" s="21">
        <f t="shared" si="664"/>
        <v>0</v>
      </c>
      <c r="S9429" s="5">
        <f t="shared" si="667"/>
        <v>70007.077158325032</v>
      </c>
      <c r="T9429" cm="1">
        <f t="array" ref="T9429">IF(OR(B9429="MAL ALIMI", B9429="ÜRETİM GİRİŞ"), MIN(I9429, MAX(0, I9429 + SUM(SUMIFS($I$1:I9428, $C$1:C9428, C9429, $B$1:B9428, {"MAL ALIMI","ÜRETİM GİRİŞ"})) - VLOOKUP(C9429, 'STOK RAPORU'!$C$2:$I$1000, 4, 0))), 0)</f>
        <v>0</v>
      </c>
      <c r="U9429" s="22">
        <f t="shared" si="660"/>
        <v>0</v>
      </c>
      <c r="V9429">
        <f t="shared" si="661"/>
        <v>0</v>
      </c>
      <c r="W9429" s="22">
        <f t="shared" si="662"/>
        <v>0</v>
      </c>
    </row>
    <row r="9430" spans="1:23" hidden="1" x14ac:dyDescent="0.25">
      <c r="A9430" s="4"/>
      <c r="B9430" s="4"/>
      <c r="C9430" s="4"/>
      <c r="D9430" s="4"/>
      <c r="E9430" s="4"/>
      <c r="F9430" s="4"/>
      <c r="G9430" s="4"/>
      <c r="H9430" s="4"/>
      <c r="I9430" s="4"/>
      <c r="J9430" s="21">
        <f>IFERROR(VLOOKUP(C9430,'STOK KARTLARI'!$C$2:$K$2150,8,0),0)</f>
        <v>0</v>
      </c>
      <c r="K9430" s="21">
        <f t="shared" si="663"/>
        <v>0</v>
      </c>
      <c r="L9430" s="5">
        <f t="shared" si="665"/>
        <v>0</v>
      </c>
      <c r="M9430" s="4"/>
      <c r="N9430" s="4"/>
      <c r="O9430" s="5"/>
      <c r="P9430" s="5"/>
      <c r="Q9430" s="21">
        <f t="shared" si="666"/>
        <v>0</v>
      </c>
      <c r="R9430" s="21">
        <f t="shared" si="664"/>
        <v>0</v>
      </c>
      <c r="S9430" s="5">
        <f t="shared" si="667"/>
        <v>70007.077158325032</v>
      </c>
      <c r="T9430" cm="1">
        <f t="array" ref="T9430">IF(OR(B9430="MAL ALIMI", B9430="ÜRETİM GİRİŞ"), MIN(I9430, MAX(0, I9430 + SUM(SUMIFS($I$1:I9429, $C$1:C9429, C9430, $B$1:B9429, {"MAL ALIMI","ÜRETİM GİRİŞ"})) - VLOOKUP(C9430, 'STOK RAPORU'!$C$2:$I$1000, 4, 0))), 0)</f>
        <v>0</v>
      </c>
      <c r="U9430" s="22">
        <f t="shared" si="660"/>
        <v>0</v>
      </c>
      <c r="V9430">
        <f t="shared" si="661"/>
        <v>0</v>
      </c>
      <c r="W9430" s="22">
        <f t="shared" si="662"/>
        <v>0</v>
      </c>
    </row>
    <row r="9431" spans="1:23" hidden="1" x14ac:dyDescent="0.25">
      <c r="A9431" s="4"/>
      <c r="B9431" s="4"/>
      <c r="C9431" s="4"/>
      <c r="D9431" s="4"/>
      <c r="E9431" s="4"/>
      <c r="F9431" s="4"/>
      <c r="G9431" s="4"/>
      <c r="H9431" s="4"/>
      <c r="I9431" s="4"/>
      <c r="J9431" s="21">
        <f>IFERROR(VLOOKUP(C9431,'STOK KARTLARI'!$C$2:$K$2150,8,0),0)</f>
        <v>0</v>
      </c>
      <c r="K9431" s="21">
        <f t="shared" si="663"/>
        <v>0</v>
      </c>
      <c r="L9431" s="5">
        <f t="shared" si="665"/>
        <v>0</v>
      </c>
      <c r="M9431" s="4"/>
      <c r="N9431" s="4"/>
      <c r="O9431" s="5"/>
      <c r="P9431" s="5"/>
      <c r="Q9431" s="21">
        <f t="shared" si="666"/>
        <v>0</v>
      </c>
      <c r="R9431" s="21">
        <f t="shared" si="664"/>
        <v>0</v>
      </c>
      <c r="S9431" s="5">
        <f t="shared" si="667"/>
        <v>70007.077158325032</v>
      </c>
      <c r="T9431" cm="1">
        <f t="array" ref="T9431">IF(OR(B9431="MAL ALIMI", B9431="ÜRETİM GİRİŞ"), MIN(I9431, MAX(0, I9431 + SUM(SUMIFS($I$1:I9430, $C$1:C9430, C9431, $B$1:B9430, {"MAL ALIMI","ÜRETİM GİRİŞ"})) - VLOOKUP(C9431, 'STOK RAPORU'!$C$2:$I$1000, 4, 0))), 0)</f>
        <v>0</v>
      </c>
      <c r="U9431" s="22">
        <f t="shared" si="660"/>
        <v>0</v>
      </c>
      <c r="V9431">
        <f t="shared" si="661"/>
        <v>0</v>
      </c>
      <c r="W9431" s="22">
        <f t="shared" si="662"/>
        <v>0</v>
      </c>
    </row>
    <row r="9432" spans="1:23" hidden="1" x14ac:dyDescent="0.25">
      <c r="A9432" s="4"/>
      <c r="B9432" s="4"/>
      <c r="C9432" s="4"/>
      <c r="D9432" s="4"/>
      <c r="E9432" s="4"/>
      <c r="F9432" s="4"/>
      <c r="G9432" s="4"/>
      <c r="H9432" s="4"/>
      <c r="I9432" s="4"/>
      <c r="J9432" s="21">
        <f>IFERROR(VLOOKUP(C9432,'STOK KARTLARI'!$C$2:$K$2150,8,0),0)</f>
        <v>0</v>
      </c>
      <c r="K9432" s="21">
        <f t="shared" si="663"/>
        <v>0</v>
      </c>
      <c r="L9432" s="5">
        <f t="shared" si="665"/>
        <v>0</v>
      </c>
      <c r="M9432" s="4"/>
      <c r="N9432" s="4"/>
      <c r="O9432" s="5"/>
      <c r="P9432" s="5"/>
      <c r="Q9432" s="21">
        <f t="shared" si="666"/>
        <v>0</v>
      </c>
      <c r="R9432" s="21">
        <f t="shared" si="664"/>
        <v>0</v>
      </c>
      <c r="S9432" s="5">
        <f t="shared" si="667"/>
        <v>70007.077158325032</v>
      </c>
      <c r="T9432" cm="1">
        <f t="array" ref="T9432">IF(OR(B9432="MAL ALIMI", B9432="ÜRETİM GİRİŞ"), MIN(I9432, MAX(0, I9432 + SUM(SUMIFS($I$1:I9431, $C$1:C9431, C9432, $B$1:B9431, {"MAL ALIMI","ÜRETİM GİRİŞ"})) - VLOOKUP(C9432, 'STOK RAPORU'!$C$2:$I$1000, 4, 0))), 0)</f>
        <v>0</v>
      </c>
      <c r="U9432" s="22">
        <f t="shared" si="660"/>
        <v>0</v>
      </c>
      <c r="V9432">
        <f t="shared" si="661"/>
        <v>0</v>
      </c>
      <c r="W9432" s="22">
        <f t="shared" si="662"/>
        <v>0</v>
      </c>
    </row>
    <row r="9433" spans="1:23" hidden="1" x14ac:dyDescent="0.25">
      <c r="A9433" s="4"/>
      <c r="B9433" s="4"/>
      <c r="C9433" s="4"/>
      <c r="D9433" s="4"/>
      <c r="E9433" s="4"/>
      <c r="F9433" s="4"/>
      <c r="G9433" s="4"/>
      <c r="H9433" s="4"/>
      <c r="I9433" s="4"/>
      <c r="J9433" s="21">
        <f>IFERROR(VLOOKUP(C9433,'STOK KARTLARI'!$C$2:$K$2150,8,0),0)</f>
        <v>0</v>
      </c>
      <c r="K9433" s="21">
        <f t="shared" si="663"/>
        <v>0</v>
      </c>
      <c r="L9433" s="5">
        <f t="shared" si="665"/>
        <v>0</v>
      </c>
      <c r="M9433" s="4"/>
      <c r="N9433" s="4"/>
      <c r="O9433" s="5"/>
      <c r="P9433" s="5"/>
      <c r="Q9433" s="21">
        <f t="shared" si="666"/>
        <v>0</v>
      </c>
      <c r="R9433" s="21">
        <f t="shared" si="664"/>
        <v>0</v>
      </c>
      <c r="S9433" s="5">
        <f t="shared" si="667"/>
        <v>70007.077158325032</v>
      </c>
      <c r="T9433" cm="1">
        <f t="array" ref="T9433">IF(OR(B9433="MAL ALIMI", B9433="ÜRETİM GİRİŞ"), MIN(I9433, MAX(0, I9433 + SUM(SUMIFS($I$1:I9432, $C$1:C9432, C9433, $B$1:B9432, {"MAL ALIMI","ÜRETİM GİRİŞ"})) - VLOOKUP(C9433, 'STOK RAPORU'!$C$2:$I$1000, 4, 0))), 0)</f>
        <v>0</v>
      </c>
      <c r="U9433" s="22">
        <f t="shared" si="660"/>
        <v>0</v>
      </c>
      <c r="V9433">
        <f t="shared" si="661"/>
        <v>0</v>
      </c>
      <c r="W9433" s="22">
        <f t="shared" si="662"/>
        <v>0</v>
      </c>
    </row>
    <row r="9434" spans="1:23" hidden="1" x14ac:dyDescent="0.25">
      <c r="A9434" s="4"/>
      <c r="B9434" s="4"/>
      <c r="C9434" s="4"/>
      <c r="D9434" s="4"/>
      <c r="E9434" s="4"/>
      <c r="F9434" s="4"/>
      <c r="G9434" s="4"/>
      <c r="H9434" s="4"/>
      <c r="I9434" s="4"/>
      <c r="J9434" s="21">
        <f>IFERROR(VLOOKUP(C9434,'STOK KARTLARI'!$C$2:$K$2150,8,0),0)</f>
        <v>0</v>
      </c>
      <c r="K9434" s="21">
        <f t="shared" si="663"/>
        <v>0</v>
      </c>
      <c r="L9434" s="5">
        <f t="shared" si="665"/>
        <v>0</v>
      </c>
      <c r="M9434" s="4"/>
      <c r="N9434" s="4"/>
      <c r="O9434" s="5"/>
      <c r="P9434" s="5"/>
      <c r="Q9434" s="21">
        <f t="shared" si="666"/>
        <v>0</v>
      </c>
      <c r="R9434" s="21">
        <f t="shared" si="664"/>
        <v>0</v>
      </c>
      <c r="S9434" s="5">
        <f t="shared" si="667"/>
        <v>70007.077158325032</v>
      </c>
      <c r="T9434" cm="1">
        <f t="array" ref="T9434">IF(OR(B9434="MAL ALIMI", B9434="ÜRETİM GİRİŞ"), MIN(I9434, MAX(0, I9434 + SUM(SUMIFS($I$1:I9433, $C$1:C9433, C9434, $B$1:B9433, {"MAL ALIMI","ÜRETİM GİRİŞ"})) - VLOOKUP(C9434, 'STOK RAPORU'!$C$2:$I$1000, 4, 0))), 0)</f>
        <v>0</v>
      </c>
      <c r="U9434" s="22">
        <f t="shared" si="660"/>
        <v>0</v>
      </c>
      <c r="V9434">
        <f t="shared" si="661"/>
        <v>0</v>
      </c>
      <c r="W9434" s="22">
        <f t="shared" si="662"/>
        <v>0</v>
      </c>
    </row>
    <row r="9435" spans="1:23" hidden="1" x14ac:dyDescent="0.25">
      <c r="A9435" s="3"/>
      <c r="B9435" s="4"/>
      <c r="C9435" s="4"/>
      <c r="D9435" s="4"/>
      <c r="E9435" s="4"/>
      <c r="F9435" s="4"/>
      <c r="G9435" s="4"/>
      <c r="H9435" s="4"/>
      <c r="I9435" s="4"/>
      <c r="J9435" s="21">
        <f>IFERROR(VLOOKUP(C9435,'STOK KARTLARI'!$C$2:$K$2150,8,0),0)</f>
        <v>0</v>
      </c>
      <c r="K9435" s="21">
        <f t="shared" si="663"/>
        <v>0</v>
      </c>
      <c r="L9435" s="5">
        <f t="shared" si="665"/>
        <v>0</v>
      </c>
      <c r="M9435" s="4"/>
      <c r="N9435" s="4"/>
      <c r="O9435" s="5"/>
      <c r="P9435" s="5"/>
      <c r="Q9435" s="21">
        <f t="shared" si="666"/>
        <v>0</v>
      </c>
      <c r="R9435" s="21">
        <f t="shared" si="664"/>
        <v>0</v>
      </c>
      <c r="S9435" s="5">
        <f t="shared" si="667"/>
        <v>70007.077158325032</v>
      </c>
      <c r="T9435" cm="1">
        <f t="array" ref="T9435">IF(OR(B9435="MAL ALIMI", B9435="ÜRETİM GİRİŞ"), MIN(I9435, MAX(0, I9435 + SUM(SUMIFS($I$1:I9434, $C$1:C9434, C9435, $B$1:B9434, {"MAL ALIMI","ÜRETİM GİRİŞ"})) - VLOOKUP(C9435, 'STOK RAPORU'!$C$2:$I$1000, 4, 0))), 0)</f>
        <v>0</v>
      </c>
      <c r="U9435" s="22">
        <f t="shared" si="660"/>
        <v>0</v>
      </c>
      <c r="V9435">
        <f t="shared" si="661"/>
        <v>0</v>
      </c>
      <c r="W9435" s="22">
        <f t="shared" si="662"/>
        <v>0</v>
      </c>
    </row>
    <row r="9436" spans="1:23" hidden="1" x14ac:dyDescent="0.25">
      <c r="A9436" s="4"/>
      <c r="B9436" s="4"/>
      <c r="C9436" s="4"/>
      <c r="D9436" s="4"/>
      <c r="E9436" s="4"/>
      <c r="F9436" s="4"/>
      <c r="G9436" s="4"/>
      <c r="H9436" s="4"/>
      <c r="I9436" s="4"/>
      <c r="J9436" s="21">
        <f>IFERROR(VLOOKUP(C9436,'STOK KARTLARI'!$C$2:$K$2150,8,0),0)</f>
        <v>0</v>
      </c>
      <c r="K9436" s="21">
        <f t="shared" si="663"/>
        <v>0</v>
      </c>
      <c r="L9436" s="5">
        <f t="shared" si="665"/>
        <v>0</v>
      </c>
      <c r="M9436" s="4"/>
      <c r="N9436" s="4"/>
      <c r="O9436" s="5"/>
      <c r="P9436" s="5"/>
      <c r="Q9436" s="21">
        <f t="shared" si="666"/>
        <v>0</v>
      </c>
      <c r="R9436" s="21">
        <f t="shared" si="664"/>
        <v>0</v>
      </c>
      <c r="S9436" s="5">
        <f t="shared" si="667"/>
        <v>70007.077158325032</v>
      </c>
      <c r="T9436" cm="1">
        <f t="array" ref="T9436">IF(OR(B9436="MAL ALIMI", B9436="ÜRETİM GİRİŞ"), MIN(I9436, MAX(0, I9436 + SUM(SUMIFS($I$1:I9435, $C$1:C9435, C9436, $B$1:B9435, {"MAL ALIMI","ÜRETİM GİRİŞ"})) - VLOOKUP(C9436, 'STOK RAPORU'!$C$2:$I$1000, 4, 0))), 0)</f>
        <v>0</v>
      </c>
      <c r="U9436" s="22">
        <f t="shared" si="660"/>
        <v>0</v>
      </c>
      <c r="V9436">
        <f t="shared" si="661"/>
        <v>0</v>
      </c>
      <c r="W9436" s="22">
        <f t="shared" si="662"/>
        <v>0</v>
      </c>
    </row>
    <row r="9437" spans="1:23" hidden="1" x14ac:dyDescent="0.25">
      <c r="A9437" s="4"/>
      <c r="B9437" s="4"/>
      <c r="C9437" s="4"/>
      <c r="D9437" s="4"/>
      <c r="E9437" s="4"/>
      <c r="F9437" s="4"/>
      <c r="G9437" s="4"/>
      <c r="H9437" s="4"/>
      <c r="I9437" s="4"/>
      <c r="J9437" s="21">
        <f>IFERROR(VLOOKUP(C9437,'STOK KARTLARI'!$C$2:$K$2150,8,0),0)</f>
        <v>0</v>
      </c>
      <c r="K9437" s="21">
        <f t="shared" si="663"/>
        <v>0</v>
      </c>
      <c r="L9437" s="5">
        <f t="shared" si="665"/>
        <v>0</v>
      </c>
      <c r="M9437" s="4"/>
      <c r="N9437" s="4"/>
      <c r="O9437" s="5"/>
      <c r="P9437" s="5"/>
      <c r="Q9437" s="21">
        <f t="shared" si="666"/>
        <v>0</v>
      </c>
      <c r="R9437" s="21">
        <f t="shared" si="664"/>
        <v>0</v>
      </c>
      <c r="S9437" s="5">
        <f t="shared" si="667"/>
        <v>70007.077158325032</v>
      </c>
      <c r="T9437" cm="1">
        <f t="array" ref="T9437">IF(OR(B9437="MAL ALIMI", B9437="ÜRETİM GİRİŞ"), MIN(I9437, MAX(0, I9437 + SUM(SUMIFS($I$1:I9436, $C$1:C9436, C9437, $B$1:B9436, {"MAL ALIMI","ÜRETİM GİRİŞ"})) - VLOOKUP(C9437, 'STOK RAPORU'!$C$2:$I$1000, 4, 0))), 0)</f>
        <v>0</v>
      </c>
      <c r="U9437" s="22">
        <f t="shared" si="660"/>
        <v>0</v>
      </c>
      <c r="V9437">
        <f t="shared" si="661"/>
        <v>0</v>
      </c>
      <c r="W9437" s="22">
        <f t="shared" si="662"/>
        <v>0</v>
      </c>
    </row>
    <row r="9438" spans="1:23" hidden="1" x14ac:dyDescent="0.25">
      <c r="A9438" s="4"/>
      <c r="B9438" s="4"/>
      <c r="C9438" s="4"/>
      <c r="D9438" s="4"/>
      <c r="E9438" s="4"/>
      <c r="F9438" s="4"/>
      <c r="G9438" s="4"/>
      <c r="H9438" s="4"/>
      <c r="I9438" s="4"/>
      <c r="J9438" s="21">
        <f>IFERROR(VLOOKUP(C9438,'STOK KARTLARI'!$C$2:$K$2150,8,0),0)</f>
        <v>0</v>
      </c>
      <c r="K9438" s="21">
        <f t="shared" si="663"/>
        <v>0</v>
      </c>
      <c r="L9438" s="5">
        <f t="shared" si="665"/>
        <v>0</v>
      </c>
      <c r="M9438" s="4"/>
      <c r="N9438" s="4"/>
      <c r="O9438" s="5"/>
      <c r="P9438" s="5"/>
      <c r="Q9438" s="21">
        <f t="shared" si="666"/>
        <v>0</v>
      </c>
      <c r="R9438" s="21">
        <f t="shared" si="664"/>
        <v>0</v>
      </c>
      <c r="S9438" s="5">
        <f t="shared" si="667"/>
        <v>70007.077158325032</v>
      </c>
      <c r="T9438" cm="1">
        <f t="array" ref="T9438">IF(OR(B9438="MAL ALIMI", B9438="ÜRETİM GİRİŞ"), MIN(I9438, MAX(0, I9438 + SUM(SUMIFS($I$1:I9437, $C$1:C9437, C9438, $B$1:B9437, {"MAL ALIMI","ÜRETİM GİRİŞ"})) - VLOOKUP(C9438, 'STOK RAPORU'!$C$2:$I$1000, 4, 0))), 0)</f>
        <v>0</v>
      </c>
      <c r="U9438" s="22">
        <f t="shared" si="660"/>
        <v>0</v>
      </c>
      <c r="V9438">
        <f t="shared" si="661"/>
        <v>0</v>
      </c>
      <c r="W9438" s="22">
        <f t="shared" si="662"/>
        <v>0</v>
      </c>
    </row>
    <row r="9439" spans="1:23" hidden="1" x14ac:dyDescent="0.25">
      <c r="A9439" s="4"/>
      <c r="B9439" s="4"/>
      <c r="C9439" s="4"/>
      <c r="D9439" s="4"/>
      <c r="E9439" s="4"/>
      <c r="F9439" s="4"/>
      <c r="G9439" s="4"/>
      <c r="H9439" s="4"/>
      <c r="I9439" s="4"/>
      <c r="J9439" s="21">
        <f>IFERROR(VLOOKUP(C9439,'STOK KARTLARI'!$C$2:$K$2150,8,0),0)</f>
        <v>0</v>
      </c>
      <c r="K9439" s="21">
        <f t="shared" si="663"/>
        <v>0</v>
      </c>
      <c r="L9439" s="5">
        <f t="shared" si="665"/>
        <v>0</v>
      </c>
      <c r="M9439" s="4"/>
      <c r="N9439" s="4"/>
      <c r="O9439" s="5"/>
      <c r="P9439" s="5"/>
      <c r="Q9439" s="21">
        <f t="shared" si="666"/>
        <v>0</v>
      </c>
      <c r="R9439" s="21">
        <f t="shared" si="664"/>
        <v>0</v>
      </c>
      <c r="S9439" s="5">
        <f t="shared" si="667"/>
        <v>70007.077158325032</v>
      </c>
      <c r="T9439" cm="1">
        <f t="array" ref="T9439">IF(OR(B9439="MAL ALIMI", B9439="ÜRETİM GİRİŞ"), MIN(I9439, MAX(0, I9439 + SUM(SUMIFS($I$1:I9438, $C$1:C9438, C9439, $B$1:B9438, {"MAL ALIMI","ÜRETİM GİRİŞ"})) - VLOOKUP(C9439, 'STOK RAPORU'!$C$2:$I$1000, 4, 0))), 0)</f>
        <v>0</v>
      </c>
      <c r="U9439" s="22">
        <f t="shared" si="660"/>
        <v>0</v>
      </c>
      <c r="V9439">
        <f t="shared" si="661"/>
        <v>0</v>
      </c>
      <c r="W9439" s="22">
        <f t="shared" si="662"/>
        <v>0</v>
      </c>
    </row>
    <row r="9440" spans="1:23" hidden="1" x14ac:dyDescent="0.25">
      <c r="A9440" s="4"/>
      <c r="B9440" s="4"/>
      <c r="C9440" s="4"/>
      <c r="D9440" s="4"/>
      <c r="E9440" s="4"/>
      <c r="F9440" s="4"/>
      <c r="G9440" s="4"/>
      <c r="H9440" s="4"/>
      <c r="I9440" s="4"/>
      <c r="J9440" s="21">
        <f>IFERROR(VLOOKUP(C9440,'STOK KARTLARI'!$C$2:$K$2150,8,0),0)</f>
        <v>0</v>
      </c>
      <c r="K9440" s="21">
        <f t="shared" si="663"/>
        <v>0</v>
      </c>
      <c r="L9440" s="5">
        <f t="shared" si="665"/>
        <v>0</v>
      </c>
      <c r="M9440" s="4"/>
      <c r="N9440" s="4"/>
      <c r="O9440" s="5"/>
      <c r="P9440" s="5"/>
      <c r="Q9440" s="21">
        <f t="shared" si="666"/>
        <v>0</v>
      </c>
      <c r="R9440" s="21">
        <f t="shared" si="664"/>
        <v>0</v>
      </c>
      <c r="S9440" s="5">
        <f t="shared" si="667"/>
        <v>70007.077158325032</v>
      </c>
      <c r="T9440" cm="1">
        <f t="array" ref="T9440">IF(OR(B9440="MAL ALIMI", B9440="ÜRETİM GİRİŞ"), MIN(I9440, MAX(0, I9440 + SUM(SUMIFS($I$1:I9439, $C$1:C9439, C9440, $B$1:B9439, {"MAL ALIMI","ÜRETİM GİRİŞ"})) - VLOOKUP(C9440, 'STOK RAPORU'!$C$2:$I$1000, 4, 0))), 0)</f>
        <v>0</v>
      </c>
      <c r="U9440" s="22">
        <f t="shared" si="660"/>
        <v>0</v>
      </c>
      <c r="V9440">
        <f t="shared" si="661"/>
        <v>0</v>
      </c>
      <c r="W9440" s="22">
        <f t="shared" si="662"/>
        <v>0</v>
      </c>
    </row>
    <row r="9441" spans="1:23" hidden="1" x14ac:dyDescent="0.25">
      <c r="A9441" s="4"/>
      <c r="B9441" s="4"/>
      <c r="C9441" s="4"/>
      <c r="D9441" s="4"/>
      <c r="E9441" s="4"/>
      <c r="F9441" s="4"/>
      <c r="G9441" s="4"/>
      <c r="H9441" s="4"/>
      <c r="I9441" s="4"/>
      <c r="J9441" s="21">
        <f>IFERROR(VLOOKUP(C9441,'STOK KARTLARI'!$C$2:$K$2150,8,0),0)</f>
        <v>0</v>
      </c>
      <c r="K9441" s="21">
        <f t="shared" si="663"/>
        <v>0</v>
      </c>
      <c r="L9441" s="5">
        <f t="shared" si="665"/>
        <v>0</v>
      </c>
      <c r="M9441" s="4"/>
      <c r="N9441" s="4"/>
      <c r="O9441" s="5"/>
      <c r="P9441" s="5"/>
      <c r="Q9441" s="21">
        <f t="shared" si="666"/>
        <v>0</v>
      </c>
      <c r="R9441" s="21">
        <f t="shared" si="664"/>
        <v>0</v>
      </c>
      <c r="S9441" s="5">
        <f t="shared" si="667"/>
        <v>70007.077158325032</v>
      </c>
      <c r="T9441" cm="1">
        <f t="array" ref="T9441">IF(OR(B9441="MAL ALIMI", B9441="ÜRETİM GİRİŞ"), MIN(I9441, MAX(0, I9441 + SUM(SUMIFS($I$1:I9440, $C$1:C9440, C9441, $B$1:B9440, {"MAL ALIMI","ÜRETİM GİRİŞ"})) - VLOOKUP(C9441, 'STOK RAPORU'!$C$2:$I$1000, 4, 0))), 0)</f>
        <v>0</v>
      </c>
      <c r="U9441" s="22">
        <f t="shared" si="660"/>
        <v>0</v>
      </c>
      <c r="V9441">
        <f t="shared" si="661"/>
        <v>0</v>
      </c>
      <c r="W9441" s="22">
        <f t="shared" si="662"/>
        <v>0</v>
      </c>
    </row>
    <row r="9442" spans="1:23" hidden="1" x14ac:dyDescent="0.25">
      <c r="A9442" s="3"/>
      <c r="B9442" s="4"/>
      <c r="C9442" s="4"/>
      <c r="D9442" s="4"/>
      <c r="E9442" s="4"/>
      <c r="F9442" s="4"/>
      <c r="G9442" s="4"/>
      <c r="H9442" s="4"/>
      <c r="I9442" s="4"/>
      <c r="J9442" s="21">
        <f>IFERROR(VLOOKUP(C9442,'STOK KARTLARI'!$C$2:$K$2150,8,0),0)</f>
        <v>0</v>
      </c>
      <c r="K9442" s="21">
        <f t="shared" si="663"/>
        <v>0</v>
      </c>
      <c r="L9442" s="5">
        <f t="shared" si="665"/>
        <v>0</v>
      </c>
      <c r="M9442" s="4"/>
      <c r="N9442" s="4"/>
      <c r="O9442" s="5"/>
      <c r="P9442" s="5"/>
      <c r="Q9442" s="21">
        <f t="shared" si="666"/>
        <v>0</v>
      </c>
      <c r="R9442" s="21">
        <f t="shared" si="664"/>
        <v>0</v>
      </c>
      <c r="S9442" s="5">
        <f t="shared" si="667"/>
        <v>70007.077158325032</v>
      </c>
      <c r="T9442" cm="1">
        <f t="array" ref="T9442">IF(OR(B9442="MAL ALIMI", B9442="ÜRETİM GİRİŞ"), MIN(I9442, MAX(0, I9442 + SUM(SUMIFS($I$1:I9441, $C$1:C9441, C9442, $B$1:B9441, {"MAL ALIMI","ÜRETİM GİRİŞ"})) - VLOOKUP(C9442, 'STOK RAPORU'!$C$2:$I$1000, 4, 0))), 0)</f>
        <v>0</v>
      </c>
      <c r="U9442" s="22">
        <f t="shared" si="660"/>
        <v>0</v>
      </c>
      <c r="V9442">
        <f t="shared" si="661"/>
        <v>0</v>
      </c>
      <c r="W9442" s="22">
        <f t="shared" si="662"/>
        <v>0</v>
      </c>
    </row>
    <row r="9443" spans="1:23" hidden="1" x14ac:dyDescent="0.25">
      <c r="A9443" s="4"/>
      <c r="B9443" s="4"/>
      <c r="C9443" s="4"/>
      <c r="D9443" s="4"/>
      <c r="E9443" s="4"/>
      <c r="F9443" s="4"/>
      <c r="G9443" s="4"/>
      <c r="H9443" s="4"/>
      <c r="I9443" s="4"/>
      <c r="J9443" s="21">
        <f>IFERROR(VLOOKUP(C9443,'STOK KARTLARI'!$C$2:$K$2150,8,0),0)</f>
        <v>0</v>
      </c>
      <c r="K9443" s="21">
        <f t="shared" si="663"/>
        <v>0</v>
      </c>
      <c r="L9443" s="5">
        <f t="shared" si="665"/>
        <v>0</v>
      </c>
      <c r="M9443" s="4"/>
      <c r="N9443" s="4"/>
      <c r="O9443" s="5"/>
      <c r="P9443" s="5"/>
      <c r="Q9443" s="21">
        <f t="shared" si="666"/>
        <v>0</v>
      </c>
      <c r="R9443" s="21">
        <f t="shared" si="664"/>
        <v>0</v>
      </c>
      <c r="S9443" s="5">
        <f t="shared" si="667"/>
        <v>70007.077158325032</v>
      </c>
      <c r="T9443" cm="1">
        <f t="array" ref="T9443">IF(OR(B9443="MAL ALIMI", B9443="ÜRETİM GİRİŞ"), MIN(I9443, MAX(0, I9443 + SUM(SUMIFS($I$1:I9442, $C$1:C9442, C9443, $B$1:B9442, {"MAL ALIMI","ÜRETİM GİRİŞ"})) - VLOOKUP(C9443, 'STOK RAPORU'!$C$2:$I$1000, 4, 0))), 0)</f>
        <v>0</v>
      </c>
      <c r="U9443" s="22">
        <f t="shared" si="660"/>
        <v>0</v>
      </c>
      <c r="V9443">
        <f t="shared" si="661"/>
        <v>0</v>
      </c>
      <c r="W9443" s="22">
        <f t="shared" si="662"/>
        <v>0</v>
      </c>
    </row>
    <row r="9444" spans="1:23" hidden="1" x14ac:dyDescent="0.25">
      <c r="A9444" s="4"/>
      <c r="B9444" s="4"/>
      <c r="C9444" s="4"/>
      <c r="D9444" s="4"/>
      <c r="E9444" s="4"/>
      <c r="F9444" s="4"/>
      <c r="G9444" s="4"/>
      <c r="H9444" s="4"/>
      <c r="I9444" s="4"/>
      <c r="J9444" s="21">
        <f>IFERROR(VLOOKUP(C9444,'STOK KARTLARI'!$C$2:$K$2150,8,0),0)</f>
        <v>0</v>
      </c>
      <c r="K9444" s="21">
        <f t="shared" si="663"/>
        <v>0</v>
      </c>
      <c r="L9444" s="5">
        <f t="shared" si="665"/>
        <v>0</v>
      </c>
      <c r="M9444" s="4"/>
      <c r="N9444" s="4"/>
      <c r="O9444" s="5"/>
      <c r="P9444" s="5"/>
      <c r="Q9444" s="21">
        <f t="shared" si="666"/>
        <v>0</v>
      </c>
      <c r="R9444" s="21">
        <f t="shared" si="664"/>
        <v>0</v>
      </c>
      <c r="S9444" s="5">
        <f t="shared" si="667"/>
        <v>70007.077158325032</v>
      </c>
      <c r="T9444" cm="1">
        <f t="array" ref="T9444">IF(OR(B9444="MAL ALIMI", B9444="ÜRETİM GİRİŞ"), MIN(I9444, MAX(0, I9444 + SUM(SUMIFS($I$1:I9443, $C$1:C9443, C9444, $B$1:B9443, {"MAL ALIMI","ÜRETİM GİRİŞ"})) - VLOOKUP(C9444, 'STOK RAPORU'!$C$2:$I$1000, 4, 0))), 0)</f>
        <v>0</v>
      </c>
      <c r="U9444" s="22">
        <f t="shared" si="660"/>
        <v>0</v>
      </c>
      <c r="V9444">
        <f t="shared" si="661"/>
        <v>0</v>
      </c>
      <c r="W9444" s="22">
        <f t="shared" si="662"/>
        <v>0</v>
      </c>
    </row>
    <row r="9445" spans="1:23" hidden="1" x14ac:dyDescent="0.25">
      <c r="A9445" s="4"/>
      <c r="B9445" s="4"/>
      <c r="C9445" s="4"/>
      <c r="D9445" s="4"/>
      <c r="E9445" s="4"/>
      <c r="F9445" s="4"/>
      <c r="G9445" s="4"/>
      <c r="H9445" s="4"/>
      <c r="I9445" s="4"/>
      <c r="J9445" s="21">
        <f>IFERROR(VLOOKUP(C9445,'STOK KARTLARI'!$C$2:$K$2150,8,0),0)</f>
        <v>0</v>
      </c>
      <c r="K9445" s="21">
        <f t="shared" si="663"/>
        <v>0</v>
      </c>
      <c r="L9445" s="5">
        <f t="shared" si="665"/>
        <v>0</v>
      </c>
      <c r="M9445" s="4"/>
      <c r="N9445" s="4"/>
      <c r="O9445" s="5"/>
      <c r="P9445" s="5"/>
      <c r="Q9445" s="21">
        <f t="shared" si="666"/>
        <v>0</v>
      </c>
      <c r="R9445" s="21">
        <f t="shared" si="664"/>
        <v>0</v>
      </c>
      <c r="S9445" s="5">
        <f t="shared" si="667"/>
        <v>70007.077158325032</v>
      </c>
      <c r="T9445" cm="1">
        <f t="array" ref="T9445">IF(OR(B9445="MAL ALIMI", B9445="ÜRETİM GİRİŞ"), MIN(I9445, MAX(0, I9445 + SUM(SUMIFS($I$1:I9444, $C$1:C9444, C9445, $B$1:B9444, {"MAL ALIMI","ÜRETİM GİRİŞ"})) - VLOOKUP(C9445, 'STOK RAPORU'!$C$2:$I$1000, 4, 0))), 0)</f>
        <v>0</v>
      </c>
      <c r="U9445" s="22">
        <f t="shared" si="660"/>
        <v>0</v>
      </c>
      <c r="V9445">
        <f t="shared" si="661"/>
        <v>0</v>
      </c>
      <c r="W9445" s="22">
        <f t="shared" si="662"/>
        <v>0</v>
      </c>
    </row>
    <row r="9446" spans="1:23" hidden="1" x14ac:dyDescent="0.25">
      <c r="A9446" s="4"/>
      <c r="B9446" s="4"/>
      <c r="C9446" s="4"/>
      <c r="D9446" s="4"/>
      <c r="E9446" s="4"/>
      <c r="F9446" s="4"/>
      <c r="G9446" s="4"/>
      <c r="H9446" s="4"/>
      <c r="I9446" s="4"/>
      <c r="J9446" s="21">
        <f>IFERROR(VLOOKUP(C9446,'STOK KARTLARI'!$C$2:$K$2150,8,0),0)</f>
        <v>0</v>
      </c>
      <c r="K9446" s="21">
        <f t="shared" si="663"/>
        <v>0</v>
      </c>
      <c r="L9446" s="5">
        <f t="shared" si="665"/>
        <v>0</v>
      </c>
      <c r="M9446" s="4"/>
      <c r="N9446" s="4"/>
      <c r="O9446" s="5"/>
      <c r="P9446" s="5"/>
      <c r="Q9446" s="21">
        <f t="shared" si="666"/>
        <v>0</v>
      </c>
      <c r="R9446" s="21">
        <f t="shared" si="664"/>
        <v>0</v>
      </c>
      <c r="S9446" s="5">
        <f t="shared" si="667"/>
        <v>70007.077158325032</v>
      </c>
      <c r="T9446" cm="1">
        <f t="array" ref="T9446">IF(OR(B9446="MAL ALIMI", B9446="ÜRETİM GİRİŞ"), MIN(I9446, MAX(0, I9446 + SUM(SUMIFS($I$1:I9445, $C$1:C9445, C9446, $B$1:B9445, {"MAL ALIMI","ÜRETİM GİRİŞ"})) - VLOOKUP(C9446, 'STOK RAPORU'!$C$2:$I$1000, 4, 0))), 0)</f>
        <v>0</v>
      </c>
      <c r="U9446" s="22">
        <f t="shared" si="660"/>
        <v>0</v>
      </c>
      <c r="V9446">
        <f t="shared" si="661"/>
        <v>0</v>
      </c>
      <c r="W9446" s="22">
        <f t="shared" si="662"/>
        <v>0</v>
      </c>
    </row>
    <row r="9447" spans="1:23" hidden="1" x14ac:dyDescent="0.25">
      <c r="A9447" s="4"/>
      <c r="B9447" s="4"/>
      <c r="C9447" s="4"/>
      <c r="D9447" s="4"/>
      <c r="E9447" s="4"/>
      <c r="F9447" s="4"/>
      <c r="G9447" s="4"/>
      <c r="H9447" s="4"/>
      <c r="I9447" s="4"/>
      <c r="J9447" s="21">
        <f>IFERROR(VLOOKUP(C9447,'STOK KARTLARI'!$C$2:$K$2150,8,0),0)</f>
        <v>0</v>
      </c>
      <c r="K9447" s="21">
        <f t="shared" si="663"/>
        <v>0</v>
      </c>
      <c r="L9447" s="5">
        <f t="shared" si="665"/>
        <v>0</v>
      </c>
      <c r="M9447" s="4"/>
      <c r="N9447" s="4"/>
      <c r="O9447" s="5"/>
      <c r="P9447" s="5"/>
      <c r="Q9447" s="21">
        <f t="shared" si="666"/>
        <v>0</v>
      </c>
      <c r="R9447" s="21">
        <f t="shared" si="664"/>
        <v>0</v>
      </c>
      <c r="S9447" s="5">
        <f t="shared" si="667"/>
        <v>70007.077158325032</v>
      </c>
      <c r="T9447" cm="1">
        <f t="array" ref="T9447">IF(OR(B9447="MAL ALIMI", B9447="ÜRETİM GİRİŞ"), MIN(I9447, MAX(0, I9447 + SUM(SUMIFS($I$1:I9446, $C$1:C9446, C9447, $B$1:B9446, {"MAL ALIMI","ÜRETİM GİRİŞ"})) - VLOOKUP(C9447, 'STOK RAPORU'!$C$2:$I$1000, 4, 0))), 0)</f>
        <v>0</v>
      </c>
      <c r="U9447" s="22">
        <f t="shared" si="660"/>
        <v>0</v>
      </c>
      <c r="V9447">
        <f t="shared" si="661"/>
        <v>0</v>
      </c>
      <c r="W9447" s="22">
        <f t="shared" si="662"/>
        <v>0</v>
      </c>
    </row>
    <row r="9448" spans="1:23" hidden="1" x14ac:dyDescent="0.25">
      <c r="A9448" s="4"/>
      <c r="B9448" s="4"/>
      <c r="C9448" s="4"/>
      <c r="D9448" s="4"/>
      <c r="E9448" s="4"/>
      <c r="F9448" s="4"/>
      <c r="G9448" s="4"/>
      <c r="H9448" s="4"/>
      <c r="I9448" s="4"/>
      <c r="J9448" s="21">
        <f>IFERROR(VLOOKUP(C9448,'STOK KARTLARI'!$C$2:$K$2150,8,0),0)</f>
        <v>0</v>
      </c>
      <c r="K9448" s="21">
        <f t="shared" si="663"/>
        <v>0</v>
      </c>
      <c r="L9448" s="5">
        <f t="shared" si="665"/>
        <v>0</v>
      </c>
      <c r="M9448" s="4"/>
      <c r="N9448" s="4"/>
      <c r="O9448" s="5"/>
      <c r="P9448" s="5"/>
      <c r="Q9448" s="21">
        <f t="shared" si="666"/>
        <v>0</v>
      </c>
      <c r="R9448" s="21">
        <f t="shared" si="664"/>
        <v>0</v>
      </c>
      <c r="S9448" s="5">
        <f t="shared" si="667"/>
        <v>70007.077158325032</v>
      </c>
      <c r="T9448" cm="1">
        <f t="array" ref="T9448">IF(OR(B9448="MAL ALIMI", B9448="ÜRETİM GİRİŞ"), MIN(I9448, MAX(0, I9448 + SUM(SUMIFS($I$1:I9447, $C$1:C9447, C9448, $B$1:B9447, {"MAL ALIMI","ÜRETİM GİRİŞ"})) - VLOOKUP(C9448, 'STOK RAPORU'!$C$2:$I$1000, 4, 0))), 0)</f>
        <v>0</v>
      </c>
      <c r="U9448" s="22">
        <f t="shared" si="660"/>
        <v>0</v>
      </c>
      <c r="V9448">
        <f t="shared" si="661"/>
        <v>0</v>
      </c>
      <c r="W9448" s="22">
        <f t="shared" si="662"/>
        <v>0</v>
      </c>
    </row>
    <row r="9449" spans="1:23" hidden="1" x14ac:dyDescent="0.25">
      <c r="A9449" s="3"/>
      <c r="B9449" s="4"/>
      <c r="C9449" s="4"/>
      <c r="D9449" s="4"/>
      <c r="E9449" s="4"/>
      <c r="F9449" s="4"/>
      <c r="G9449" s="4"/>
      <c r="H9449" s="4"/>
      <c r="I9449" s="4"/>
      <c r="J9449" s="21">
        <f>IFERROR(VLOOKUP(C9449,'STOK KARTLARI'!$C$2:$K$2150,8,0),0)</f>
        <v>0</v>
      </c>
      <c r="K9449" s="21">
        <f t="shared" si="663"/>
        <v>0</v>
      </c>
      <c r="L9449" s="5">
        <f t="shared" si="665"/>
        <v>0</v>
      </c>
      <c r="M9449" s="4"/>
      <c r="N9449" s="4"/>
      <c r="O9449" s="5"/>
      <c r="P9449" s="5"/>
      <c r="Q9449" s="21">
        <f t="shared" si="666"/>
        <v>0</v>
      </c>
      <c r="R9449" s="21">
        <f t="shared" si="664"/>
        <v>0</v>
      </c>
      <c r="S9449" s="5">
        <f t="shared" si="667"/>
        <v>70007.077158325032</v>
      </c>
      <c r="T9449" cm="1">
        <f t="array" ref="T9449">IF(OR(B9449="MAL ALIMI", B9449="ÜRETİM GİRİŞ"), MIN(I9449, MAX(0, I9449 + SUM(SUMIFS($I$1:I9448, $C$1:C9448, C9449, $B$1:B9448, {"MAL ALIMI","ÜRETİM GİRİŞ"})) - VLOOKUP(C9449, 'STOK RAPORU'!$C$2:$I$1000, 4, 0))), 0)</f>
        <v>0</v>
      </c>
      <c r="U9449" s="22">
        <f t="shared" si="660"/>
        <v>0</v>
      </c>
      <c r="V9449">
        <f t="shared" si="661"/>
        <v>0</v>
      </c>
      <c r="W9449" s="22">
        <f t="shared" si="662"/>
        <v>0</v>
      </c>
    </row>
    <row r="9450" spans="1:23" hidden="1" x14ac:dyDescent="0.25">
      <c r="A9450" s="3"/>
      <c r="B9450" s="4"/>
      <c r="C9450" s="4"/>
      <c r="D9450" s="4"/>
      <c r="E9450" s="4"/>
      <c r="F9450" s="4"/>
      <c r="G9450" s="4"/>
      <c r="H9450" s="4"/>
      <c r="I9450" s="4"/>
      <c r="J9450" s="21">
        <f>IFERROR(VLOOKUP(C9450,'STOK KARTLARI'!$C$2:$K$2150,8,0),0)</f>
        <v>0</v>
      </c>
      <c r="K9450" s="21">
        <f t="shared" si="663"/>
        <v>0</v>
      </c>
      <c r="L9450" s="5">
        <f t="shared" si="665"/>
        <v>0</v>
      </c>
      <c r="M9450" s="4"/>
      <c r="N9450" s="4"/>
      <c r="O9450" s="5"/>
      <c r="P9450" s="5"/>
      <c r="Q9450" s="21">
        <f t="shared" si="666"/>
        <v>0</v>
      </c>
      <c r="R9450" s="21">
        <f t="shared" si="664"/>
        <v>0</v>
      </c>
      <c r="S9450" s="5">
        <f t="shared" si="667"/>
        <v>70007.077158325032</v>
      </c>
      <c r="T9450" cm="1">
        <f t="array" ref="T9450">IF(OR(B9450="MAL ALIMI", B9450="ÜRETİM GİRİŞ"), MIN(I9450, MAX(0, I9450 + SUM(SUMIFS($I$1:I9449, $C$1:C9449, C9450, $B$1:B9449, {"MAL ALIMI","ÜRETİM GİRİŞ"})) - VLOOKUP(C9450, 'STOK RAPORU'!$C$2:$I$1000, 4, 0))), 0)</f>
        <v>0</v>
      </c>
      <c r="U9450" s="22">
        <f t="shared" si="660"/>
        <v>0</v>
      </c>
      <c r="V9450">
        <f t="shared" si="661"/>
        <v>0</v>
      </c>
      <c r="W9450" s="22">
        <f t="shared" si="662"/>
        <v>0</v>
      </c>
    </row>
    <row r="9451" spans="1:23" hidden="1" x14ac:dyDescent="0.25">
      <c r="A9451" s="4"/>
      <c r="B9451" s="4"/>
      <c r="C9451" s="4"/>
      <c r="D9451" s="4"/>
      <c r="E9451" s="4"/>
      <c r="F9451" s="4"/>
      <c r="G9451" s="4"/>
      <c r="H9451" s="4"/>
      <c r="I9451" s="4"/>
      <c r="J9451" s="21">
        <f>IFERROR(VLOOKUP(C9451,'STOK KARTLARI'!$C$2:$K$2150,8,0),0)</f>
        <v>0</v>
      </c>
      <c r="K9451" s="21">
        <f t="shared" si="663"/>
        <v>0</v>
      </c>
      <c r="L9451" s="5">
        <f t="shared" si="665"/>
        <v>0</v>
      </c>
      <c r="M9451" s="4"/>
      <c r="N9451" s="4"/>
      <c r="O9451" s="5"/>
      <c r="P9451" s="5"/>
      <c r="Q9451" s="21">
        <f t="shared" si="666"/>
        <v>0</v>
      </c>
      <c r="R9451" s="21">
        <f t="shared" si="664"/>
        <v>0</v>
      </c>
      <c r="S9451" s="5">
        <f t="shared" si="667"/>
        <v>70007.077158325032</v>
      </c>
      <c r="T9451" cm="1">
        <f t="array" ref="T9451">IF(OR(B9451="MAL ALIMI", B9451="ÜRETİM GİRİŞ"), MIN(I9451, MAX(0, I9451 + SUM(SUMIFS($I$1:I9450, $C$1:C9450, C9451, $B$1:B9450, {"MAL ALIMI","ÜRETİM GİRİŞ"})) - VLOOKUP(C9451, 'STOK RAPORU'!$C$2:$I$1000, 4, 0))), 0)</f>
        <v>0</v>
      </c>
      <c r="U9451" s="22">
        <f t="shared" si="660"/>
        <v>0</v>
      </c>
      <c r="V9451">
        <f t="shared" si="661"/>
        <v>0</v>
      </c>
      <c r="W9451" s="22">
        <f t="shared" si="662"/>
        <v>0</v>
      </c>
    </row>
    <row r="9452" spans="1:23" hidden="1" x14ac:dyDescent="0.25">
      <c r="A9452" s="4"/>
      <c r="B9452" s="4"/>
      <c r="C9452" s="4"/>
      <c r="D9452" s="4"/>
      <c r="E9452" s="4"/>
      <c r="F9452" s="4"/>
      <c r="G9452" s="4"/>
      <c r="H9452" s="4"/>
      <c r="I9452" s="4"/>
      <c r="J9452" s="21">
        <f>IFERROR(VLOOKUP(C9452,'STOK KARTLARI'!$C$2:$K$2150,8,0),0)</f>
        <v>0</v>
      </c>
      <c r="K9452" s="21">
        <f t="shared" si="663"/>
        <v>0</v>
      </c>
      <c r="L9452" s="5">
        <f t="shared" si="665"/>
        <v>0</v>
      </c>
      <c r="M9452" s="4"/>
      <c r="N9452" s="4"/>
      <c r="O9452" s="5"/>
      <c r="P9452" s="5"/>
      <c r="Q9452" s="21">
        <f t="shared" si="666"/>
        <v>0</v>
      </c>
      <c r="R9452" s="21">
        <f t="shared" si="664"/>
        <v>0</v>
      </c>
      <c r="S9452" s="5">
        <f t="shared" si="667"/>
        <v>70007.077158325032</v>
      </c>
      <c r="T9452" cm="1">
        <f t="array" ref="T9452">IF(OR(B9452="MAL ALIMI", B9452="ÜRETİM GİRİŞ"), MIN(I9452, MAX(0, I9452 + SUM(SUMIFS($I$1:I9451, $C$1:C9451, C9452, $B$1:B9451, {"MAL ALIMI","ÜRETİM GİRİŞ"})) - VLOOKUP(C9452, 'STOK RAPORU'!$C$2:$I$1000, 4, 0))), 0)</f>
        <v>0</v>
      </c>
      <c r="U9452" s="22">
        <f t="shared" si="660"/>
        <v>0</v>
      </c>
      <c r="V9452">
        <f t="shared" si="661"/>
        <v>0</v>
      </c>
      <c r="W9452" s="22">
        <f t="shared" si="662"/>
        <v>0</v>
      </c>
    </row>
    <row r="9453" spans="1:23" hidden="1" x14ac:dyDescent="0.25">
      <c r="A9453" s="4"/>
      <c r="B9453" s="4"/>
      <c r="C9453" s="4"/>
      <c r="D9453" s="4"/>
      <c r="E9453" s="4"/>
      <c r="F9453" s="4"/>
      <c r="G9453" s="4"/>
      <c r="H9453" s="4"/>
      <c r="I9453" s="4"/>
      <c r="J9453" s="21">
        <f>IFERROR(VLOOKUP(C9453,'STOK KARTLARI'!$C$2:$K$2150,8,0),0)</f>
        <v>0</v>
      </c>
      <c r="K9453" s="21">
        <f t="shared" si="663"/>
        <v>0</v>
      </c>
      <c r="L9453" s="5">
        <f t="shared" si="665"/>
        <v>0</v>
      </c>
      <c r="M9453" s="4"/>
      <c r="N9453" s="4"/>
      <c r="O9453" s="5"/>
      <c r="P9453" s="5"/>
      <c r="Q9453" s="21">
        <f t="shared" si="666"/>
        <v>0</v>
      </c>
      <c r="R9453" s="21">
        <f t="shared" si="664"/>
        <v>0</v>
      </c>
      <c r="S9453" s="5">
        <f t="shared" si="667"/>
        <v>70007.077158325032</v>
      </c>
      <c r="T9453" cm="1">
        <f t="array" ref="T9453">IF(OR(B9453="MAL ALIMI", B9453="ÜRETİM GİRİŞ"), MIN(I9453, MAX(0, I9453 + SUM(SUMIFS($I$1:I9452, $C$1:C9452, C9453, $B$1:B9452, {"MAL ALIMI","ÜRETİM GİRİŞ"})) - VLOOKUP(C9453, 'STOK RAPORU'!$C$2:$I$1000, 4, 0))), 0)</f>
        <v>0</v>
      </c>
      <c r="U9453" s="22">
        <f t="shared" si="660"/>
        <v>0</v>
      </c>
      <c r="V9453">
        <f t="shared" si="661"/>
        <v>0</v>
      </c>
      <c r="W9453" s="22">
        <f t="shared" si="662"/>
        <v>0</v>
      </c>
    </row>
    <row r="9454" spans="1:23" hidden="1" x14ac:dyDescent="0.25">
      <c r="A9454" s="4"/>
      <c r="B9454" s="4"/>
      <c r="C9454" s="4"/>
      <c r="D9454" s="4"/>
      <c r="E9454" s="4"/>
      <c r="F9454" s="4"/>
      <c r="G9454" s="4"/>
      <c r="H9454" s="4"/>
      <c r="I9454" s="4"/>
      <c r="J9454" s="21">
        <f>IFERROR(VLOOKUP(C9454,'STOK KARTLARI'!$C$2:$K$2150,8,0),0)</f>
        <v>0</v>
      </c>
      <c r="K9454" s="21">
        <f t="shared" si="663"/>
        <v>0</v>
      </c>
      <c r="L9454" s="5">
        <f t="shared" si="665"/>
        <v>0</v>
      </c>
      <c r="M9454" s="4"/>
      <c r="N9454" s="4"/>
      <c r="O9454" s="5"/>
      <c r="P9454" s="5"/>
      <c r="Q9454" s="21">
        <f t="shared" si="666"/>
        <v>0</v>
      </c>
      <c r="R9454" s="21">
        <f t="shared" si="664"/>
        <v>0</v>
      </c>
      <c r="S9454" s="5">
        <f t="shared" si="667"/>
        <v>70007.077158325032</v>
      </c>
      <c r="T9454" cm="1">
        <f t="array" ref="T9454">IF(OR(B9454="MAL ALIMI", B9454="ÜRETİM GİRİŞ"), MIN(I9454, MAX(0, I9454 + SUM(SUMIFS($I$1:I9453, $C$1:C9453, C9454, $B$1:B9453, {"MAL ALIMI","ÜRETİM GİRİŞ"})) - VLOOKUP(C9454, 'STOK RAPORU'!$C$2:$I$1000, 4, 0))), 0)</f>
        <v>0</v>
      </c>
      <c r="U9454" s="22">
        <f t="shared" si="660"/>
        <v>0</v>
      </c>
      <c r="V9454">
        <f t="shared" si="661"/>
        <v>0</v>
      </c>
      <c r="W9454" s="22">
        <f t="shared" si="662"/>
        <v>0</v>
      </c>
    </row>
    <row r="9455" spans="1:23" hidden="1" x14ac:dyDescent="0.25">
      <c r="A9455" s="4"/>
      <c r="B9455" s="4"/>
      <c r="C9455" s="4"/>
      <c r="D9455" s="4"/>
      <c r="E9455" s="4"/>
      <c r="F9455" s="4"/>
      <c r="G9455" s="4"/>
      <c r="H9455" s="4"/>
      <c r="I9455" s="4"/>
      <c r="J9455" s="21">
        <f>IFERROR(VLOOKUP(C9455,'STOK KARTLARI'!$C$2:$K$2150,8,0),0)</f>
        <v>0</v>
      </c>
      <c r="K9455" s="21">
        <f t="shared" si="663"/>
        <v>0</v>
      </c>
      <c r="L9455" s="5">
        <f t="shared" si="665"/>
        <v>0</v>
      </c>
      <c r="M9455" s="4"/>
      <c r="N9455" s="4"/>
      <c r="O9455" s="5"/>
      <c r="P9455" s="5"/>
      <c r="Q9455" s="21">
        <f t="shared" si="666"/>
        <v>0</v>
      </c>
      <c r="R9455" s="21">
        <f t="shared" si="664"/>
        <v>0</v>
      </c>
      <c r="S9455" s="5">
        <f t="shared" si="667"/>
        <v>70007.077158325032</v>
      </c>
      <c r="T9455" cm="1">
        <f t="array" ref="T9455">IF(OR(B9455="MAL ALIMI", B9455="ÜRETİM GİRİŞ"), MIN(I9455, MAX(0, I9455 + SUM(SUMIFS($I$1:I9454, $C$1:C9454, C9455, $B$1:B9454, {"MAL ALIMI","ÜRETİM GİRİŞ"})) - VLOOKUP(C9455, 'STOK RAPORU'!$C$2:$I$1000, 4, 0))), 0)</f>
        <v>0</v>
      </c>
      <c r="U9455" s="22">
        <f t="shared" ref="U9455:U9518" si="668">T9455*J9455</f>
        <v>0</v>
      </c>
      <c r="V9455">
        <f t="shared" ref="V9455:V9518" si="669">IF(OR(B9455="MAL ALIMI", B9455="ÜRETİM GİRİŞ"), I9455 * J9455, 0)</f>
        <v>0</v>
      </c>
      <c r="W9455" s="22">
        <f t="shared" ref="W9455:W9518" si="670">V9455-U9455</f>
        <v>0</v>
      </c>
    </row>
    <row r="9456" spans="1:23" hidden="1" x14ac:dyDescent="0.25">
      <c r="A9456" s="4"/>
      <c r="B9456" s="4"/>
      <c r="C9456" s="4"/>
      <c r="D9456" s="4"/>
      <c r="E9456" s="4"/>
      <c r="F9456" s="4"/>
      <c r="G9456" s="4"/>
      <c r="H9456" s="4"/>
      <c r="I9456" s="4"/>
      <c r="J9456" s="21">
        <f>IFERROR(VLOOKUP(C9456,'STOK KARTLARI'!$C$2:$K$2150,8,0),0)</f>
        <v>0</v>
      </c>
      <c r="K9456" s="21">
        <f t="shared" si="663"/>
        <v>0</v>
      </c>
      <c r="L9456" s="5">
        <f t="shared" si="665"/>
        <v>0</v>
      </c>
      <c r="M9456" s="4"/>
      <c r="N9456" s="4"/>
      <c r="O9456" s="5"/>
      <c r="P9456" s="5"/>
      <c r="Q9456" s="21">
        <f t="shared" si="666"/>
        <v>0</v>
      </c>
      <c r="R9456" s="21">
        <f t="shared" si="664"/>
        <v>0</v>
      </c>
      <c r="S9456" s="5">
        <f t="shared" si="667"/>
        <v>70007.077158325032</v>
      </c>
      <c r="T9456" cm="1">
        <f t="array" ref="T9456">IF(OR(B9456="MAL ALIMI", B9456="ÜRETİM GİRİŞ"), MIN(I9456, MAX(0, I9456 + SUM(SUMIFS($I$1:I9455, $C$1:C9455, C9456, $B$1:B9455, {"MAL ALIMI","ÜRETİM GİRİŞ"})) - VLOOKUP(C9456, 'STOK RAPORU'!$C$2:$I$1000, 4, 0))), 0)</f>
        <v>0</v>
      </c>
      <c r="U9456" s="22">
        <f t="shared" si="668"/>
        <v>0</v>
      </c>
      <c r="V9456">
        <f t="shared" si="669"/>
        <v>0</v>
      </c>
      <c r="W9456" s="22">
        <f t="shared" si="670"/>
        <v>0</v>
      </c>
    </row>
    <row r="9457" spans="1:23" hidden="1" x14ac:dyDescent="0.25">
      <c r="A9457" s="3"/>
      <c r="B9457" s="4"/>
      <c r="C9457" s="4"/>
      <c r="D9457" s="4"/>
      <c r="E9457" s="4"/>
      <c r="F9457" s="4"/>
      <c r="G9457" s="4"/>
      <c r="H9457" s="4"/>
      <c r="I9457" s="4"/>
      <c r="J9457" s="21">
        <f>IFERROR(VLOOKUP(C9457,'STOK KARTLARI'!$C$2:$K$2150,8,0),0)</f>
        <v>0</v>
      </c>
      <c r="K9457" s="21">
        <f t="shared" si="663"/>
        <v>0</v>
      </c>
      <c r="L9457" s="5">
        <f t="shared" si="665"/>
        <v>0</v>
      </c>
      <c r="M9457" s="4"/>
      <c r="N9457" s="4"/>
      <c r="O9457" s="5"/>
      <c r="P9457" s="5"/>
      <c r="Q9457" s="21">
        <f t="shared" si="666"/>
        <v>0</v>
      </c>
      <c r="R9457" s="21">
        <f t="shared" si="664"/>
        <v>0</v>
      </c>
      <c r="S9457" s="5">
        <f t="shared" si="667"/>
        <v>70007.077158325032</v>
      </c>
      <c r="T9457" cm="1">
        <f t="array" ref="T9457">IF(OR(B9457="MAL ALIMI", B9457="ÜRETİM GİRİŞ"), MIN(I9457, MAX(0, I9457 + SUM(SUMIFS($I$1:I9456, $C$1:C9456, C9457, $B$1:B9456, {"MAL ALIMI","ÜRETİM GİRİŞ"})) - VLOOKUP(C9457, 'STOK RAPORU'!$C$2:$I$1000, 4, 0))), 0)</f>
        <v>0</v>
      </c>
      <c r="U9457" s="22">
        <f t="shared" si="668"/>
        <v>0</v>
      </c>
      <c r="V9457">
        <f t="shared" si="669"/>
        <v>0</v>
      </c>
      <c r="W9457" s="22">
        <f t="shared" si="670"/>
        <v>0</v>
      </c>
    </row>
    <row r="9458" spans="1:23" hidden="1" x14ac:dyDescent="0.25">
      <c r="A9458" s="4"/>
      <c r="B9458" s="4"/>
      <c r="C9458" s="4"/>
      <c r="D9458" s="4"/>
      <c r="E9458" s="4"/>
      <c r="F9458" s="4"/>
      <c r="G9458" s="4"/>
      <c r="H9458" s="4"/>
      <c r="I9458" s="4"/>
      <c r="J9458" s="21">
        <f>IFERROR(VLOOKUP(C9458,'STOK KARTLARI'!$C$2:$K$2150,8,0),0)</f>
        <v>0</v>
      </c>
      <c r="K9458" s="21">
        <f t="shared" si="663"/>
        <v>0</v>
      </c>
      <c r="L9458" s="5">
        <f t="shared" si="665"/>
        <v>0</v>
      </c>
      <c r="M9458" s="4"/>
      <c r="N9458" s="4"/>
      <c r="O9458" s="5"/>
      <c r="P9458" s="5"/>
      <c r="Q9458" s="21">
        <f t="shared" si="666"/>
        <v>0</v>
      </c>
      <c r="R9458" s="21">
        <f t="shared" si="664"/>
        <v>0</v>
      </c>
      <c r="S9458" s="5">
        <f t="shared" si="667"/>
        <v>70007.077158325032</v>
      </c>
      <c r="T9458" cm="1">
        <f t="array" ref="T9458">IF(OR(B9458="MAL ALIMI", B9458="ÜRETİM GİRİŞ"), MIN(I9458, MAX(0, I9458 + SUM(SUMIFS($I$1:I9457, $C$1:C9457, C9458, $B$1:B9457, {"MAL ALIMI","ÜRETİM GİRİŞ"})) - VLOOKUP(C9458, 'STOK RAPORU'!$C$2:$I$1000, 4, 0))), 0)</f>
        <v>0</v>
      </c>
      <c r="U9458" s="22">
        <f t="shared" si="668"/>
        <v>0</v>
      </c>
      <c r="V9458">
        <f t="shared" si="669"/>
        <v>0</v>
      </c>
      <c r="W9458" s="22">
        <f t="shared" si="670"/>
        <v>0</v>
      </c>
    </row>
    <row r="9459" spans="1:23" hidden="1" x14ac:dyDescent="0.25">
      <c r="A9459" s="4"/>
      <c r="B9459" s="4"/>
      <c r="C9459" s="4"/>
      <c r="D9459" s="4"/>
      <c r="E9459" s="4"/>
      <c r="F9459" s="4"/>
      <c r="G9459" s="4"/>
      <c r="H9459" s="4"/>
      <c r="I9459" s="4"/>
      <c r="J9459" s="21">
        <f>IFERROR(VLOOKUP(C9459,'STOK KARTLARI'!$C$2:$K$2150,8,0),0)</f>
        <v>0</v>
      </c>
      <c r="K9459" s="21">
        <f t="shared" ref="K9459:K9522" si="671">IF(AND(B9459="MAL SATIŞI", H9459="POS"),I9459*J9459,0)</f>
        <v>0</v>
      </c>
      <c r="L9459" s="5">
        <f t="shared" si="665"/>
        <v>0</v>
      </c>
      <c r="M9459" s="4"/>
      <c r="N9459" s="4"/>
      <c r="O9459" s="5"/>
      <c r="P9459" s="5"/>
      <c r="Q9459" s="21">
        <f t="shared" si="666"/>
        <v>0</v>
      </c>
      <c r="R9459" s="21">
        <f t="shared" ref="R9459:R9522" si="672">IF(AND(E9459="", B9459&lt;&gt;"MAL SATIŞI"),I9459*J9459,0)</f>
        <v>0</v>
      </c>
      <c r="S9459" s="5">
        <f t="shared" si="667"/>
        <v>70007.077158325032</v>
      </c>
      <c r="T9459" cm="1">
        <f t="array" ref="T9459">IF(OR(B9459="MAL ALIMI", B9459="ÜRETİM GİRİŞ"), MIN(I9459, MAX(0, I9459 + SUM(SUMIFS($I$1:I9458, $C$1:C9458, C9459, $B$1:B9458, {"MAL ALIMI","ÜRETİM GİRİŞ"})) - VLOOKUP(C9459, 'STOK RAPORU'!$C$2:$I$1000, 4, 0))), 0)</f>
        <v>0</v>
      </c>
      <c r="U9459" s="22">
        <f t="shared" si="668"/>
        <v>0</v>
      </c>
      <c r="V9459">
        <f t="shared" si="669"/>
        <v>0</v>
      </c>
      <c r="W9459" s="22">
        <f t="shared" si="670"/>
        <v>0</v>
      </c>
    </row>
    <row r="9460" spans="1:23" hidden="1" x14ac:dyDescent="0.25">
      <c r="A9460" s="4"/>
      <c r="B9460" s="4"/>
      <c r="C9460" s="4"/>
      <c r="D9460" s="4"/>
      <c r="E9460" s="4"/>
      <c r="F9460" s="4"/>
      <c r="G9460" s="4"/>
      <c r="H9460" s="4"/>
      <c r="I9460" s="4"/>
      <c r="J9460" s="21">
        <f>IFERROR(VLOOKUP(C9460,'STOK KARTLARI'!$C$2:$K$2150,8,0),0)</f>
        <v>0</v>
      </c>
      <c r="K9460" s="21">
        <f t="shared" si="671"/>
        <v>0</v>
      </c>
      <c r="L9460" s="5">
        <f t="shared" ref="L9460:L9523" si="673">IF(OR(E9460="", H9460="POS"),0,I9460*J9460)</f>
        <v>0</v>
      </c>
      <c r="M9460" s="4"/>
      <c r="N9460" s="4"/>
      <c r="O9460" s="5"/>
      <c r="P9460" s="5"/>
      <c r="Q9460" s="21">
        <f t="shared" ref="Q9460:Q9523" si="674">IF(AND(E9460="", B9460="MAL SATIŞI", H9460="NAKİT"),I9460*J9460,0)</f>
        <v>0</v>
      </c>
      <c r="R9460" s="21">
        <f t="shared" si="672"/>
        <v>0</v>
      </c>
      <c r="S9460" s="5">
        <f t="shared" si="667"/>
        <v>70007.077158325032</v>
      </c>
      <c r="T9460" cm="1">
        <f t="array" ref="T9460">IF(OR(B9460="MAL ALIMI", B9460="ÜRETİM GİRİŞ"), MIN(I9460, MAX(0, I9460 + SUM(SUMIFS($I$1:I9459, $C$1:C9459, C9460, $B$1:B9459, {"MAL ALIMI","ÜRETİM GİRİŞ"})) - VLOOKUP(C9460, 'STOK RAPORU'!$C$2:$I$1000, 4, 0))), 0)</f>
        <v>0</v>
      </c>
      <c r="U9460" s="22">
        <f t="shared" si="668"/>
        <v>0</v>
      </c>
      <c r="V9460">
        <f t="shared" si="669"/>
        <v>0</v>
      </c>
      <c r="W9460" s="22">
        <f t="shared" si="670"/>
        <v>0</v>
      </c>
    </row>
    <row r="9461" spans="1:23" hidden="1" x14ac:dyDescent="0.25">
      <c r="A9461" s="4"/>
      <c r="B9461" s="4"/>
      <c r="C9461" s="4"/>
      <c r="D9461" s="4"/>
      <c r="E9461" s="4"/>
      <c r="F9461" s="4"/>
      <c r="G9461" s="4"/>
      <c r="H9461" s="4"/>
      <c r="I9461" s="4"/>
      <c r="J9461" s="21">
        <f>IFERROR(VLOOKUP(C9461,'STOK KARTLARI'!$C$2:$K$2150,8,0),0)</f>
        <v>0</v>
      </c>
      <c r="K9461" s="21">
        <f t="shared" si="671"/>
        <v>0</v>
      </c>
      <c r="L9461" s="5">
        <f t="shared" si="673"/>
        <v>0</v>
      </c>
      <c r="M9461" s="4"/>
      <c r="N9461" s="4"/>
      <c r="O9461" s="5"/>
      <c r="P9461" s="5"/>
      <c r="Q9461" s="21">
        <f t="shared" si="674"/>
        <v>0</v>
      </c>
      <c r="R9461" s="21">
        <f t="shared" si="672"/>
        <v>0</v>
      </c>
      <c r="S9461" s="5">
        <f t="shared" si="667"/>
        <v>70007.077158325032</v>
      </c>
      <c r="T9461" cm="1">
        <f t="array" ref="T9461">IF(OR(B9461="MAL ALIMI", B9461="ÜRETİM GİRİŞ"), MIN(I9461, MAX(0, I9461 + SUM(SUMIFS($I$1:I9460, $C$1:C9460, C9461, $B$1:B9460, {"MAL ALIMI","ÜRETİM GİRİŞ"})) - VLOOKUP(C9461, 'STOK RAPORU'!$C$2:$I$1000, 4, 0))), 0)</f>
        <v>0</v>
      </c>
      <c r="U9461" s="22">
        <f t="shared" si="668"/>
        <v>0</v>
      </c>
      <c r="V9461">
        <f t="shared" si="669"/>
        <v>0</v>
      </c>
      <c r="W9461" s="22">
        <f t="shared" si="670"/>
        <v>0</v>
      </c>
    </row>
    <row r="9462" spans="1:23" hidden="1" x14ac:dyDescent="0.25">
      <c r="A9462" s="4"/>
      <c r="B9462" s="4"/>
      <c r="C9462" s="4"/>
      <c r="D9462" s="4"/>
      <c r="E9462" s="4"/>
      <c r="F9462" s="4"/>
      <c r="G9462" s="4"/>
      <c r="H9462" s="4"/>
      <c r="I9462" s="4"/>
      <c r="J9462" s="21">
        <f>IFERROR(VLOOKUP(C9462,'STOK KARTLARI'!$C$2:$K$2150,8,0),0)</f>
        <v>0</v>
      </c>
      <c r="K9462" s="21">
        <f t="shared" si="671"/>
        <v>0</v>
      </c>
      <c r="L9462" s="5">
        <f t="shared" si="673"/>
        <v>0</v>
      </c>
      <c r="M9462" s="4"/>
      <c r="N9462" s="4"/>
      <c r="O9462" s="5"/>
      <c r="P9462" s="5"/>
      <c r="Q9462" s="21">
        <f t="shared" si="674"/>
        <v>0</v>
      </c>
      <c r="R9462" s="21">
        <f t="shared" si="672"/>
        <v>0</v>
      </c>
      <c r="S9462" s="5">
        <f t="shared" si="667"/>
        <v>70007.077158325032</v>
      </c>
      <c r="T9462" cm="1">
        <f t="array" ref="T9462">IF(OR(B9462="MAL ALIMI", B9462="ÜRETİM GİRİŞ"), MIN(I9462, MAX(0, I9462 + SUM(SUMIFS($I$1:I9461, $C$1:C9461, C9462, $B$1:B9461, {"MAL ALIMI","ÜRETİM GİRİŞ"})) - VLOOKUP(C9462, 'STOK RAPORU'!$C$2:$I$1000, 4, 0))), 0)</f>
        <v>0</v>
      </c>
      <c r="U9462" s="22">
        <f t="shared" si="668"/>
        <v>0</v>
      </c>
      <c r="V9462">
        <f t="shared" si="669"/>
        <v>0</v>
      </c>
      <c r="W9462" s="22">
        <f t="shared" si="670"/>
        <v>0</v>
      </c>
    </row>
    <row r="9463" spans="1:23" hidden="1" x14ac:dyDescent="0.25">
      <c r="A9463" s="4"/>
      <c r="B9463" s="4"/>
      <c r="C9463" s="4"/>
      <c r="D9463" s="4"/>
      <c r="E9463" s="4"/>
      <c r="F9463" s="4"/>
      <c r="G9463" s="4"/>
      <c r="H9463" s="4"/>
      <c r="I9463" s="4"/>
      <c r="J9463" s="21">
        <f>IFERROR(VLOOKUP(C9463,'STOK KARTLARI'!$C$2:$K$2150,8,0),0)</f>
        <v>0</v>
      </c>
      <c r="K9463" s="21">
        <f t="shared" si="671"/>
        <v>0</v>
      </c>
      <c r="L9463" s="5">
        <f t="shared" si="673"/>
        <v>0</v>
      </c>
      <c r="M9463" s="4"/>
      <c r="N9463" s="4"/>
      <c r="O9463" s="5"/>
      <c r="P9463" s="5"/>
      <c r="Q9463" s="21">
        <f t="shared" si="674"/>
        <v>0</v>
      </c>
      <c r="R9463" s="21">
        <f t="shared" si="672"/>
        <v>0</v>
      </c>
      <c r="S9463" s="5">
        <f t="shared" si="667"/>
        <v>70007.077158325032</v>
      </c>
      <c r="T9463" cm="1">
        <f t="array" ref="T9463">IF(OR(B9463="MAL ALIMI", B9463="ÜRETİM GİRİŞ"), MIN(I9463, MAX(0, I9463 + SUM(SUMIFS($I$1:I9462, $C$1:C9462, C9463, $B$1:B9462, {"MAL ALIMI","ÜRETİM GİRİŞ"})) - VLOOKUP(C9463, 'STOK RAPORU'!$C$2:$I$1000, 4, 0))), 0)</f>
        <v>0</v>
      </c>
      <c r="U9463" s="22">
        <f t="shared" si="668"/>
        <v>0</v>
      </c>
      <c r="V9463">
        <f t="shared" si="669"/>
        <v>0</v>
      </c>
      <c r="W9463" s="22">
        <f t="shared" si="670"/>
        <v>0</v>
      </c>
    </row>
    <row r="9464" spans="1:23" hidden="1" x14ac:dyDescent="0.25">
      <c r="A9464" s="3"/>
      <c r="B9464" s="4"/>
      <c r="C9464" s="4"/>
      <c r="D9464" s="4"/>
      <c r="E9464" s="4"/>
      <c r="F9464" s="4"/>
      <c r="G9464" s="4"/>
      <c r="H9464" s="4"/>
      <c r="I9464" s="4"/>
      <c r="J9464" s="21">
        <f>IFERROR(VLOOKUP(C9464,'STOK KARTLARI'!$C$2:$K$2150,8,0),0)</f>
        <v>0</v>
      </c>
      <c r="K9464" s="21">
        <f t="shared" si="671"/>
        <v>0</v>
      </c>
      <c r="L9464" s="5">
        <f t="shared" si="673"/>
        <v>0</v>
      </c>
      <c r="M9464" s="4"/>
      <c r="N9464" s="4"/>
      <c r="O9464" s="5"/>
      <c r="P9464" s="5"/>
      <c r="Q9464" s="21">
        <f t="shared" si="674"/>
        <v>0</v>
      </c>
      <c r="R9464" s="21">
        <f t="shared" si="672"/>
        <v>0</v>
      </c>
      <c r="S9464" s="5">
        <f t="shared" si="667"/>
        <v>70007.077158325032</v>
      </c>
      <c r="T9464" cm="1">
        <f t="array" ref="T9464">IF(OR(B9464="MAL ALIMI", B9464="ÜRETİM GİRİŞ"), MIN(I9464, MAX(0, I9464 + SUM(SUMIFS($I$1:I9463, $C$1:C9463, C9464, $B$1:B9463, {"MAL ALIMI","ÜRETİM GİRİŞ"})) - VLOOKUP(C9464, 'STOK RAPORU'!$C$2:$I$1000, 4, 0))), 0)</f>
        <v>0</v>
      </c>
      <c r="U9464" s="22">
        <f t="shared" si="668"/>
        <v>0</v>
      </c>
      <c r="V9464">
        <f t="shared" si="669"/>
        <v>0</v>
      </c>
      <c r="W9464" s="22">
        <f t="shared" si="670"/>
        <v>0</v>
      </c>
    </row>
    <row r="9465" spans="1:23" hidden="1" x14ac:dyDescent="0.25">
      <c r="A9465" s="4"/>
      <c r="B9465" s="4"/>
      <c r="C9465" s="4"/>
      <c r="D9465" s="4"/>
      <c r="E9465" s="4"/>
      <c r="F9465" s="4"/>
      <c r="G9465" s="4"/>
      <c r="H9465" s="4"/>
      <c r="I9465" s="4"/>
      <c r="J9465" s="21">
        <f>IFERROR(VLOOKUP(C9465,'STOK KARTLARI'!$C$2:$K$2150,8,0),0)</f>
        <v>0</v>
      </c>
      <c r="K9465" s="21">
        <f t="shared" si="671"/>
        <v>0</v>
      </c>
      <c r="L9465" s="5">
        <f t="shared" si="673"/>
        <v>0</v>
      </c>
      <c r="M9465" s="4"/>
      <c r="N9465" s="4"/>
      <c r="O9465" s="5"/>
      <c r="P9465" s="5"/>
      <c r="Q9465" s="21">
        <f t="shared" si="674"/>
        <v>0</v>
      </c>
      <c r="R9465" s="21">
        <f t="shared" si="672"/>
        <v>0</v>
      </c>
      <c r="S9465" s="5">
        <f t="shared" si="667"/>
        <v>70007.077158325032</v>
      </c>
      <c r="T9465" cm="1">
        <f t="array" ref="T9465">IF(OR(B9465="MAL ALIMI", B9465="ÜRETİM GİRİŞ"), MIN(I9465, MAX(0, I9465 + SUM(SUMIFS($I$1:I9464, $C$1:C9464, C9465, $B$1:B9464, {"MAL ALIMI","ÜRETİM GİRİŞ"})) - VLOOKUP(C9465, 'STOK RAPORU'!$C$2:$I$1000, 4, 0))), 0)</f>
        <v>0</v>
      </c>
      <c r="U9465" s="22">
        <f t="shared" si="668"/>
        <v>0</v>
      </c>
      <c r="V9465">
        <f t="shared" si="669"/>
        <v>0</v>
      </c>
      <c r="W9465" s="22">
        <f t="shared" si="670"/>
        <v>0</v>
      </c>
    </row>
    <row r="9466" spans="1:23" hidden="1" x14ac:dyDescent="0.25">
      <c r="A9466" s="4"/>
      <c r="B9466" s="4"/>
      <c r="C9466" s="4"/>
      <c r="D9466" s="4"/>
      <c r="E9466" s="4"/>
      <c r="F9466" s="4"/>
      <c r="G9466" s="4"/>
      <c r="H9466" s="4"/>
      <c r="I9466" s="4"/>
      <c r="J9466" s="21">
        <f>IFERROR(VLOOKUP(C9466,'STOK KARTLARI'!$C$2:$K$2150,8,0),0)</f>
        <v>0</v>
      </c>
      <c r="K9466" s="21">
        <f t="shared" si="671"/>
        <v>0</v>
      </c>
      <c r="L9466" s="5">
        <f t="shared" si="673"/>
        <v>0</v>
      </c>
      <c r="M9466" s="4"/>
      <c r="N9466" s="4"/>
      <c r="O9466" s="5"/>
      <c r="P9466" s="5"/>
      <c r="Q9466" s="21">
        <f t="shared" si="674"/>
        <v>0</v>
      </c>
      <c r="R9466" s="21">
        <f t="shared" si="672"/>
        <v>0</v>
      </c>
      <c r="S9466" s="5">
        <f t="shared" si="667"/>
        <v>70007.077158325032</v>
      </c>
      <c r="T9466" cm="1">
        <f t="array" ref="T9466">IF(OR(B9466="MAL ALIMI", B9466="ÜRETİM GİRİŞ"), MIN(I9466, MAX(0, I9466 + SUM(SUMIFS($I$1:I9465, $C$1:C9465, C9466, $B$1:B9465, {"MAL ALIMI","ÜRETİM GİRİŞ"})) - VLOOKUP(C9466, 'STOK RAPORU'!$C$2:$I$1000, 4, 0))), 0)</f>
        <v>0</v>
      </c>
      <c r="U9466" s="22">
        <f t="shared" si="668"/>
        <v>0</v>
      </c>
      <c r="V9466">
        <f t="shared" si="669"/>
        <v>0</v>
      </c>
      <c r="W9466" s="22">
        <f t="shared" si="670"/>
        <v>0</v>
      </c>
    </row>
    <row r="9467" spans="1:23" hidden="1" x14ac:dyDescent="0.25">
      <c r="A9467" s="4"/>
      <c r="B9467" s="4"/>
      <c r="C9467" s="4"/>
      <c r="D9467" s="4"/>
      <c r="E9467" s="4"/>
      <c r="F9467" s="4"/>
      <c r="G9467" s="4"/>
      <c r="H9467" s="4"/>
      <c r="I9467" s="4"/>
      <c r="J9467" s="21">
        <f>IFERROR(VLOOKUP(C9467,'STOK KARTLARI'!$C$2:$K$2150,8,0),0)</f>
        <v>0</v>
      </c>
      <c r="K9467" s="21">
        <f t="shared" si="671"/>
        <v>0</v>
      </c>
      <c r="L9467" s="5">
        <f t="shared" si="673"/>
        <v>0</v>
      </c>
      <c r="M9467" s="4"/>
      <c r="N9467" s="4"/>
      <c r="O9467" s="5"/>
      <c r="P9467" s="5"/>
      <c r="Q9467" s="21">
        <f t="shared" si="674"/>
        <v>0</v>
      </c>
      <c r="R9467" s="21">
        <f t="shared" si="672"/>
        <v>0</v>
      </c>
      <c r="S9467" s="5">
        <f t="shared" si="667"/>
        <v>70007.077158325032</v>
      </c>
      <c r="T9467" cm="1">
        <f t="array" ref="T9467">IF(OR(B9467="MAL ALIMI", B9467="ÜRETİM GİRİŞ"), MIN(I9467, MAX(0, I9467 + SUM(SUMIFS($I$1:I9466, $C$1:C9466, C9467, $B$1:B9466, {"MAL ALIMI","ÜRETİM GİRİŞ"})) - VLOOKUP(C9467, 'STOK RAPORU'!$C$2:$I$1000, 4, 0))), 0)</f>
        <v>0</v>
      </c>
      <c r="U9467" s="22">
        <f t="shared" si="668"/>
        <v>0</v>
      </c>
      <c r="V9467">
        <f t="shared" si="669"/>
        <v>0</v>
      </c>
      <c r="W9467" s="22">
        <f t="shared" si="670"/>
        <v>0</v>
      </c>
    </row>
    <row r="9468" spans="1:23" hidden="1" x14ac:dyDescent="0.25">
      <c r="A9468" s="4"/>
      <c r="B9468" s="4"/>
      <c r="C9468" s="4"/>
      <c r="D9468" s="4"/>
      <c r="E9468" s="4"/>
      <c r="F9468" s="4"/>
      <c r="G9468" s="4"/>
      <c r="H9468" s="4"/>
      <c r="I9468" s="4"/>
      <c r="J9468" s="21">
        <f>IFERROR(VLOOKUP(C9468,'STOK KARTLARI'!$C$2:$K$2150,8,0),0)</f>
        <v>0</v>
      </c>
      <c r="K9468" s="21">
        <f t="shared" si="671"/>
        <v>0</v>
      </c>
      <c r="L9468" s="5">
        <f t="shared" si="673"/>
        <v>0</v>
      </c>
      <c r="M9468" s="4"/>
      <c r="N9468" s="4"/>
      <c r="O9468" s="5"/>
      <c r="P9468" s="5"/>
      <c r="Q9468" s="21">
        <f t="shared" si="674"/>
        <v>0</v>
      </c>
      <c r="R9468" s="21">
        <f t="shared" si="672"/>
        <v>0</v>
      </c>
      <c r="S9468" s="5">
        <f t="shared" si="667"/>
        <v>70007.077158325032</v>
      </c>
      <c r="T9468" cm="1">
        <f t="array" ref="T9468">IF(OR(B9468="MAL ALIMI", B9468="ÜRETİM GİRİŞ"), MIN(I9468, MAX(0, I9468 + SUM(SUMIFS($I$1:I9467, $C$1:C9467, C9468, $B$1:B9467, {"MAL ALIMI","ÜRETİM GİRİŞ"})) - VLOOKUP(C9468, 'STOK RAPORU'!$C$2:$I$1000, 4, 0))), 0)</f>
        <v>0</v>
      </c>
      <c r="U9468" s="22">
        <f t="shared" si="668"/>
        <v>0</v>
      </c>
      <c r="V9468">
        <f t="shared" si="669"/>
        <v>0</v>
      </c>
      <c r="W9468" s="22">
        <f t="shared" si="670"/>
        <v>0</v>
      </c>
    </row>
    <row r="9469" spans="1:23" hidden="1" x14ac:dyDescent="0.25">
      <c r="A9469" s="4"/>
      <c r="B9469" s="4"/>
      <c r="C9469" s="4"/>
      <c r="D9469" s="4"/>
      <c r="E9469" s="4"/>
      <c r="F9469" s="4"/>
      <c r="G9469" s="4"/>
      <c r="H9469" s="4"/>
      <c r="I9469" s="4"/>
      <c r="J9469" s="21">
        <f>IFERROR(VLOOKUP(C9469,'STOK KARTLARI'!$C$2:$K$2150,8,0),0)</f>
        <v>0</v>
      </c>
      <c r="K9469" s="21">
        <f t="shared" si="671"/>
        <v>0</v>
      </c>
      <c r="L9469" s="5">
        <f t="shared" si="673"/>
        <v>0</v>
      </c>
      <c r="M9469" s="4"/>
      <c r="N9469" s="4"/>
      <c r="O9469" s="5"/>
      <c r="P9469" s="5"/>
      <c r="Q9469" s="21">
        <f t="shared" si="674"/>
        <v>0</v>
      </c>
      <c r="R9469" s="21">
        <f t="shared" si="672"/>
        <v>0</v>
      </c>
      <c r="S9469" s="5">
        <f t="shared" si="667"/>
        <v>70007.077158325032</v>
      </c>
      <c r="T9469" cm="1">
        <f t="array" ref="T9469">IF(OR(B9469="MAL ALIMI", B9469="ÜRETİM GİRİŞ"), MIN(I9469, MAX(0, I9469 + SUM(SUMIFS($I$1:I9468, $C$1:C9468, C9469, $B$1:B9468, {"MAL ALIMI","ÜRETİM GİRİŞ"})) - VLOOKUP(C9469, 'STOK RAPORU'!$C$2:$I$1000, 4, 0))), 0)</f>
        <v>0</v>
      </c>
      <c r="U9469" s="22">
        <f t="shared" si="668"/>
        <v>0</v>
      </c>
      <c r="V9469">
        <f t="shared" si="669"/>
        <v>0</v>
      </c>
      <c r="W9469" s="22">
        <f t="shared" si="670"/>
        <v>0</v>
      </c>
    </row>
    <row r="9470" spans="1:23" hidden="1" x14ac:dyDescent="0.25">
      <c r="A9470" s="4"/>
      <c r="B9470" s="4"/>
      <c r="C9470" s="4"/>
      <c r="D9470" s="4"/>
      <c r="E9470" s="4"/>
      <c r="F9470" s="4"/>
      <c r="G9470" s="4"/>
      <c r="H9470" s="4"/>
      <c r="I9470" s="4"/>
      <c r="J9470" s="21">
        <f>IFERROR(VLOOKUP(C9470,'STOK KARTLARI'!$C$2:$K$2150,8,0),0)</f>
        <v>0</v>
      </c>
      <c r="K9470" s="21">
        <f t="shared" si="671"/>
        <v>0</v>
      </c>
      <c r="L9470" s="5">
        <f t="shared" si="673"/>
        <v>0</v>
      </c>
      <c r="M9470" s="4"/>
      <c r="N9470" s="4"/>
      <c r="O9470" s="5"/>
      <c r="P9470" s="5"/>
      <c r="Q9470" s="21">
        <f t="shared" si="674"/>
        <v>0</v>
      </c>
      <c r="R9470" s="21">
        <f t="shared" si="672"/>
        <v>0</v>
      </c>
      <c r="S9470" s="5">
        <f t="shared" si="667"/>
        <v>70007.077158325032</v>
      </c>
      <c r="T9470" cm="1">
        <f t="array" ref="T9470">IF(OR(B9470="MAL ALIMI", B9470="ÜRETİM GİRİŞ"), MIN(I9470, MAX(0, I9470 + SUM(SUMIFS($I$1:I9469, $C$1:C9469, C9470, $B$1:B9469, {"MAL ALIMI","ÜRETİM GİRİŞ"})) - VLOOKUP(C9470, 'STOK RAPORU'!$C$2:$I$1000, 4, 0))), 0)</f>
        <v>0</v>
      </c>
      <c r="U9470" s="22">
        <f t="shared" si="668"/>
        <v>0</v>
      </c>
      <c r="V9470">
        <f t="shared" si="669"/>
        <v>0</v>
      </c>
      <c r="W9470" s="22">
        <f t="shared" si="670"/>
        <v>0</v>
      </c>
    </row>
    <row r="9471" spans="1:23" hidden="1" x14ac:dyDescent="0.25">
      <c r="A9471" s="3"/>
      <c r="B9471" s="4"/>
      <c r="C9471" s="4"/>
      <c r="D9471" s="4"/>
      <c r="E9471" s="4"/>
      <c r="F9471" s="4"/>
      <c r="G9471" s="4"/>
      <c r="H9471" s="4"/>
      <c r="I9471" s="4"/>
      <c r="J9471" s="21">
        <f>IFERROR(VLOOKUP(C9471,'STOK KARTLARI'!$C$2:$K$2150,8,0),0)</f>
        <v>0</v>
      </c>
      <c r="K9471" s="21">
        <f t="shared" si="671"/>
        <v>0</v>
      </c>
      <c r="L9471" s="5">
        <f t="shared" si="673"/>
        <v>0</v>
      </c>
      <c r="M9471" s="4"/>
      <c r="N9471" s="4"/>
      <c r="O9471" s="5"/>
      <c r="P9471" s="5"/>
      <c r="Q9471" s="21">
        <f t="shared" si="674"/>
        <v>0</v>
      </c>
      <c r="R9471" s="21">
        <f t="shared" si="672"/>
        <v>0</v>
      </c>
      <c r="S9471" s="5">
        <f t="shared" si="667"/>
        <v>70007.077158325032</v>
      </c>
      <c r="T9471" cm="1">
        <f t="array" ref="T9471">IF(OR(B9471="MAL ALIMI", B9471="ÜRETİM GİRİŞ"), MIN(I9471, MAX(0, I9471 + SUM(SUMIFS($I$1:I9470, $C$1:C9470, C9471, $B$1:B9470, {"MAL ALIMI","ÜRETİM GİRİŞ"})) - VLOOKUP(C9471, 'STOK RAPORU'!$C$2:$I$1000, 4, 0))), 0)</f>
        <v>0</v>
      </c>
      <c r="U9471" s="22">
        <f t="shared" si="668"/>
        <v>0</v>
      </c>
      <c r="V9471">
        <f t="shared" si="669"/>
        <v>0</v>
      </c>
      <c r="W9471" s="22">
        <f t="shared" si="670"/>
        <v>0</v>
      </c>
    </row>
    <row r="9472" spans="1:23" hidden="1" x14ac:dyDescent="0.25">
      <c r="A9472" s="4"/>
      <c r="B9472" s="4"/>
      <c r="C9472" s="4"/>
      <c r="D9472" s="4"/>
      <c r="E9472" s="4"/>
      <c r="F9472" s="4"/>
      <c r="G9472" s="4"/>
      <c r="H9472" s="4"/>
      <c r="I9472" s="4"/>
      <c r="J9472" s="21">
        <f>IFERROR(VLOOKUP(C9472,'STOK KARTLARI'!$C$2:$K$2150,8,0),0)</f>
        <v>0</v>
      </c>
      <c r="K9472" s="21">
        <f t="shared" si="671"/>
        <v>0</v>
      </c>
      <c r="L9472" s="5">
        <f t="shared" si="673"/>
        <v>0</v>
      </c>
      <c r="M9472" s="4"/>
      <c r="N9472" s="4"/>
      <c r="O9472" s="5"/>
      <c r="P9472" s="5"/>
      <c r="Q9472" s="21">
        <f t="shared" si="674"/>
        <v>0</v>
      </c>
      <c r="R9472" s="21">
        <f t="shared" si="672"/>
        <v>0</v>
      </c>
      <c r="S9472" s="5">
        <f t="shared" si="667"/>
        <v>70007.077158325032</v>
      </c>
      <c r="T9472" cm="1">
        <f t="array" ref="T9472">IF(OR(B9472="MAL ALIMI", B9472="ÜRETİM GİRİŞ"), MIN(I9472, MAX(0, I9472 + SUM(SUMIFS($I$1:I9471, $C$1:C9471, C9472, $B$1:B9471, {"MAL ALIMI","ÜRETİM GİRİŞ"})) - VLOOKUP(C9472, 'STOK RAPORU'!$C$2:$I$1000, 4, 0))), 0)</f>
        <v>0</v>
      </c>
      <c r="U9472" s="22">
        <f t="shared" si="668"/>
        <v>0</v>
      </c>
      <c r="V9472">
        <f t="shared" si="669"/>
        <v>0</v>
      </c>
      <c r="W9472" s="22">
        <f t="shared" si="670"/>
        <v>0</v>
      </c>
    </row>
    <row r="9473" spans="1:23" hidden="1" x14ac:dyDescent="0.25">
      <c r="A9473" s="4"/>
      <c r="B9473" s="4"/>
      <c r="C9473" s="4"/>
      <c r="D9473" s="4"/>
      <c r="E9473" s="4"/>
      <c r="F9473" s="4"/>
      <c r="G9473" s="4"/>
      <c r="H9473" s="4"/>
      <c r="I9473" s="4"/>
      <c r="J9473" s="21">
        <f>IFERROR(VLOOKUP(C9473,'STOK KARTLARI'!$C$2:$K$2150,8,0),0)</f>
        <v>0</v>
      </c>
      <c r="K9473" s="21">
        <f t="shared" si="671"/>
        <v>0</v>
      </c>
      <c r="L9473" s="5">
        <f t="shared" si="673"/>
        <v>0</v>
      </c>
      <c r="M9473" s="4"/>
      <c r="N9473" s="4"/>
      <c r="O9473" s="5"/>
      <c r="P9473" s="5"/>
      <c r="Q9473" s="21">
        <f t="shared" si="674"/>
        <v>0</v>
      </c>
      <c r="R9473" s="21">
        <f t="shared" si="672"/>
        <v>0</v>
      </c>
      <c r="S9473" s="5">
        <f t="shared" si="667"/>
        <v>70007.077158325032</v>
      </c>
      <c r="T9473" cm="1">
        <f t="array" ref="T9473">IF(OR(B9473="MAL ALIMI", B9473="ÜRETİM GİRİŞ"), MIN(I9473, MAX(0, I9473 + SUM(SUMIFS($I$1:I9472, $C$1:C9472, C9473, $B$1:B9472, {"MAL ALIMI","ÜRETİM GİRİŞ"})) - VLOOKUP(C9473, 'STOK RAPORU'!$C$2:$I$1000, 4, 0))), 0)</f>
        <v>0</v>
      </c>
      <c r="U9473" s="22">
        <f t="shared" si="668"/>
        <v>0</v>
      </c>
      <c r="V9473">
        <f t="shared" si="669"/>
        <v>0</v>
      </c>
      <c r="W9473" s="22">
        <f t="shared" si="670"/>
        <v>0</v>
      </c>
    </row>
    <row r="9474" spans="1:23" hidden="1" x14ac:dyDescent="0.25">
      <c r="A9474" s="4"/>
      <c r="B9474" s="4"/>
      <c r="C9474" s="4"/>
      <c r="D9474" s="4"/>
      <c r="E9474" s="4"/>
      <c r="F9474" s="4"/>
      <c r="G9474" s="4"/>
      <c r="H9474" s="4"/>
      <c r="I9474" s="4"/>
      <c r="J9474" s="21">
        <f>IFERROR(VLOOKUP(C9474,'STOK KARTLARI'!$C$2:$K$2150,8,0),0)</f>
        <v>0</v>
      </c>
      <c r="K9474" s="21">
        <f t="shared" si="671"/>
        <v>0</v>
      </c>
      <c r="L9474" s="5">
        <f t="shared" si="673"/>
        <v>0</v>
      </c>
      <c r="M9474" s="4"/>
      <c r="N9474" s="4"/>
      <c r="O9474" s="5"/>
      <c r="P9474" s="5"/>
      <c r="Q9474" s="21">
        <f t="shared" si="674"/>
        <v>0</v>
      </c>
      <c r="R9474" s="21">
        <f t="shared" si="672"/>
        <v>0</v>
      </c>
      <c r="S9474" s="5">
        <f t="shared" si="667"/>
        <v>70007.077158325032</v>
      </c>
      <c r="T9474" cm="1">
        <f t="array" ref="T9474">IF(OR(B9474="MAL ALIMI", B9474="ÜRETİM GİRİŞ"), MIN(I9474, MAX(0, I9474 + SUM(SUMIFS($I$1:I9473, $C$1:C9473, C9474, $B$1:B9473, {"MAL ALIMI","ÜRETİM GİRİŞ"})) - VLOOKUP(C9474, 'STOK RAPORU'!$C$2:$I$1000, 4, 0))), 0)</f>
        <v>0</v>
      </c>
      <c r="U9474" s="22">
        <f t="shared" si="668"/>
        <v>0</v>
      </c>
      <c r="V9474">
        <f t="shared" si="669"/>
        <v>0</v>
      </c>
      <c r="W9474" s="22">
        <f t="shared" si="670"/>
        <v>0</v>
      </c>
    </row>
    <row r="9475" spans="1:23" hidden="1" x14ac:dyDescent="0.25">
      <c r="A9475" s="4"/>
      <c r="B9475" s="4"/>
      <c r="C9475" s="4"/>
      <c r="D9475" s="4"/>
      <c r="E9475" s="4"/>
      <c r="F9475" s="4"/>
      <c r="G9475" s="4"/>
      <c r="H9475" s="4"/>
      <c r="I9475" s="4"/>
      <c r="J9475" s="21">
        <f>IFERROR(VLOOKUP(C9475,'STOK KARTLARI'!$C$2:$K$2150,8,0),0)</f>
        <v>0</v>
      </c>
      <c r="K9475" s="21">
        <f t="shared" si="671"/>
        <v>0</v>
      </c>
      <c r="L9475" s="5">
        <f t="shared" si="673"/>
        <v>0</v>
      </c>
      <c r="M9475" s="4"/>
      <c r="N9475" s="4"/>
      <c r="O9475" s="5"/>
      <c r="P9475" s="5"/>
      <c r="Q9475" s="21">
        <f t="shared" si="674"/>
        <v>0</v>
      </c>
      <c r="R9475" s="21">
        <f t="shared" si="672"/>
        <v>0</v>
      </c>
      <c r="S9475" s="5">
        <f t="shared" si="667"/>
        <v>70007.077158325032</v>
      </c>
      <c r="T9475" cm="1">
        <f t="array" ref="T9475">IF(OR(B9475="MAL ALIMI", B9475="ÜRETİM GİRİŞ"), MIN(I9475, MAX(0, I9475 + SUM(SUMIFS($I$1:I9474, $C$1:C9474, C9475, $B$1:B9474, {"MAL ALIMI","ÜRETİM GİRİŞ"})) - VLOOKUP(C9475, 'STOK RAPORU'!$C$2:$I$1000, 4, 0))), 0)</f>
        <v>0</v>
      </c>
      <c r="U9475" s="22">
        <f t="shared" si="668"/>
        <v>0</v>
      </c>
      <c r="V9475">
        <f t="shared" si="669"/>
        <v>0</v>
      </c>
      <c r="W9475" s="22">
        <f t="shared" si="670"/>
        <v>0</v>
      </c>
    </row>
    <row r="9476" spans="1:23" hidden="1" x14ac:dyDescent="0.25">
      <c r="A9476" s="4"/>
      <c r="B9476" s="4"/>
      <c r="C9476" s="4"/>
      <c r="D9476" s="4"/>
      <c r="E9476" s="4"/>
      <c r="F9476" s="4"/>
      <c r="G9476" s="4"/>
      <c r="H9476" s="4"/>
      <c r="I9476" s="4"/>
      <c r="J9476" s="21">
        <f>IFERROR(VLOOKUP(C9476,'STOK KARTLARI'!$C$2:$K$2150,8,0),0)</f>
        <v>0</v>
      </c>
      <c r="K9476" s="21">
        <f t="shared" si="671"/>
        <v>0</v>
      </c>
      <c r="L9476" s="5">
        <f t="shared" si="673"/>
        <v>0</v>
      </c>
      <c r="M9476" s="4"/>
      <c r="N9476" s="4"/>
      <c r="O9476" s="5"/>
      <c r="P9476" s="5"/>
      <c r="Q9476" s="21">
        <f t="shared" si="674"/>
        <v>0</v>
      </c>
      <c r="R9476" s="21">
        <f t="shared" si="672"/>
        <v>0</v>
      </c>
      <c r="S9476" s="5">
        <f t="shared" si="667"/>
        <v>70007.077158325032</v>
      </c>
      <c r="T9476" cm="1">
        <f t="array" ref="T9476">IF(OR(B9476="MAL ALIMI", B9476="ÜRETİM GİRİŞ"), MIN(I9476, MAX(0, I9476 + SUM(SUMIFS($I$1:I9475, $C$1:C9475, C9476, $B$1:B9475, {"MAL ALIMI","ÜRETİM GİRİŞ"})) - VLOOKUP(C9476, 'STOK RAPORU'!$C$2:$I$1000, 4, 0))), 0)</f>
        <v>0</v>
      </c>
      <c r="U9476" s="22">
        <f t="shared" si="668"/>
        <v>0</v>
      </c>
      <c r="V9476">
        <f t="shared" si="669"/>
        <v>0</v>
      </c>
      <c r="W9476" s="22">
        <f t="shared" si="670"/>
        <v>0</v>
      </c>
    </row>
    <row r="9477" spans="1:23" hidden="1" x14ac:dyDescent="0.25">
      <c r="A9477" s="4"/>
      <c r="B9477" s="4"/>
      <c r="C9477" s="4"/>
      <c r="D9477" s="4"/>
      <c r="E9477" s="4"/>
      <c r="F9477" s="4"/>
      <c r="G9477" s="4"/>
      <c r="H9477" s="4"/>
      <c r="I9477" s="4"/>
      <c r="J9477" s="21">
        <f>IFERROR(VLOOKUP(C9477,'STOK KARTLARI'!$C$2:$K$2150,8,0),0)</f>
        <v>0</v>
      </c>
      <c r="K9477" s="21">
        <f t="shared" si="671"/>
        <v>0</v>
      </c>
      <c r="L9477" s="5">
        <f t="shared" si="673"/>
        <v>0</v>
      </c>
      <c r="M9477" s="4"/>
      <c r="N9477" s="4"/>
      <c r="O9477" s="5"/>
      <c r="P9477" s="5"/>
      <c r="Q9477" s="21">
        <f t="shared" si="674"/>
        <v>0</v>
      </c>
      <c r="R9477" s="21">
        <f t="shared" si="672"/>
        <v>0</v>
      </c>
      <c r="S9477" s="5">
        <f t="shared" ref="S9477:S9540" si="675">S9476+Q9477-R9477</f>
        <v>70007.077158325032</v>
      </c>
      <c r="T9477" cm="1">
        <f t="array" ref="T9477">IF(OR(B9477="MAL ALIMI", B9477="ÜRETİM GİRİŞ"), MIN(I9477, MAX(0, I9477 + SUM(SUMIFS($I$1:I9476, $C$1:C9476, C9477, $B$1:B9476, {"MAL ALIMI","ÜRETİM GİRİŞ"})) - VLOOKUP(C9477, 'STOK RAPORU'!$C$2:$I$1000, 4, 0))), 0)</f>
        <v>0</v>
      </c>
      <c r="U9477" s="22">
        <f t="shared" si="668"/>
        <v>0</v>
      </c>
      <c r="V9477">
        <f t="shared" si="669"/>
        <v>0</v>
      </c>
      <c r="W9477" s="22">
        <f t="shared" si="670"/>
        <v>0</v>
      </c>
    </row>
    <row r="9478" spans="1:23" hidden="1" x14ac:dyDescent="0.25">
      <c r="A9478" s="3"/>
      <c r="B9478" s="4"/>
      <c r="C9478" s="4"/>
      <c r="D9478" s="4"/>
      <c r="E9478" s="4"/>
      <c r="F9478" s="4"/>
      <c r="G9478" s="4"/>
      <c r="H9478" s="4"/>
      <c r="I9478" s="4"/>
      <c r="J9478" s="21">
        <f>IFERROR(VLOOKUP(C9478,'STOK KARTLARI'!$C$2:$K$2150,8,0),0)</f>
        <v>0</v>
      </c>
      <c r="K9478" s="21">
        <f t="shared" si="671"/>
        <v>0</v>
      </c>
      <c r="L9478" s="5">
        <f t="shared" si="673"/>
        <v>0</v>
      </c>
      <c r="M9478" s="4"/>
      <c r="N9478" s="4"/>
      <c r="O9478" s="5"/>
      <c r="P9478" s="5"/>
      <c r="Q9478" s="21">
        <f t="shared" si="674"/>
        <v>0</v>
      </c>
      <c r="R9478" s="21">
        <f t="shared" si="672"/>
        <v>0</v>
      </c>
      <c r="S9478" s="5">
        <f t="shared" si="675"/>
        <v>70007.077158325032</v>
      </c>
      <c r="T9478" cm="1">
        <f t="array" ref="T9478">IF(OR(B9478="MAL ALIMI", B9478="ÜRETİM GİRİŞ"), MIN(I9478, MAX(0, I9478 + SUM(SUMIFS($I$1:I9477, $C$1:C9477, C9478, $B$1:B9477, {"MAL ALIMI","ÜRETİM GİRİŞ"})) - VLOOKUP(C9478, 'STOK RAPORU'!$C$2:$I$1000, 4, 0))), 0)</f>
        <v>0</v>
      </c>
      <c r="U9478" s="22">
        <f t="shared" si="668"/>
        <v>0</v>
      </c>
      <c r="V9478">
        <f t="shared" si="669"/>
        <v>0</v>
      </c>
      <c r="W9478" s="22">
        <f t="shared" si="670"/>
        <v>0</v>
      </c>
    </row>
    <row r="9479" spans="1:23" hidden="1" x14ac:dyDescent="0.25">
      <c r="A9479" s="4"/>
      <c r="B9479" s="4"/>
      <c r="C9479" s="4"/>
      <c r="D9479" s="4"/>
      <c r="E9479" s="4"/>
      <c r="F9479" s="4"/>
      <c r="G9479" s="4"/>
      <c r="H9479" s="4"/>
      <c r="I9479" s="4"/>
      <c r="J9479" s="21">
        <f>IFERROR(VLOOKUP(C9479,'STOK KARTLARI'!$C$2:$K$2150,8,0),0)</f>
        <v>0</v>
      </c>
      <c r="K9479" s="21">
        <f t="shared" si="671"/>
        <v>0</v>
      </c>
      <c r="L9479" s="5">
        <f t="shared" si="673"/>
        <v>0</v>
      </c>
      <c r="M9479" s="4"/>
      <c r="N9479" s="4"/>
      <c r="O9479" s="5"/>
      <c r="P9479" s="5"/>
      <c r="Q9479" s="21">
        <f t="shared" si="674"/>
        <v>0</v>
      </c>
      <c r="R9479" s="21">
        <f t="shared" si="672"/>
        <v>0</v>
      </c>
      <c r="S9479" s="5">
        <f t="shared" si="675"/>
        <v>70007.077158325032</v>
      </c>
      <c r="T9479" cm="1">
        <f t="array" ref="T9479">IF(OR(B9479="MAL ALIMI", B9479="ÜRETİM GİRİŞ"), MIN(I9479, MAX(0, I9479 + SUM(SUMIFS($I$1:I9478, $C$1:C9478, C9479, $B$1:B9478, {"MAL ALIMI","ÜRETİM GİRİŞ"})) - VLOOKUP(C9479, 'STOK RAPORU'!$C$2:$I$1000, 4, 0))), 0)</f>
        <v>0</v>
      </c>
      <c r="U9479" s="22">
        <f t="shared" si="668"/>
        <v>0</v>
      </c>
      <c r="V9479">
        <f t="shared" si="669"/>
        <v>0</v>
      </c>
      <c r="W9479" s="22">
        <f t="shared" si="670"/>
        <v>0</v>
      </c>
    </row>
    <row r="9480" spans="1:23" hidden="1" x14ac:dyDescent="0.25">
      <c r="A9480" s="4"/>
      <c r="B9480" s="4"/>
      <c r="C9480" s="4"/>
      <c r="D9480" s="4"/>
      <c r="E9480" s="4"/>
      <c r="F9480" s="4"/>
      <c r="G9480" s="4"/>
      <c r="H9480" s="4"/>
      <c r="I9480" s="4"/>
      <c r="J9480" s="21">
        <f>IFERROR(VLOOKUP(C9480,'STOK KARTLARI'!$C$2:$K$2150,8,0),0)</f>
        <v>0</v>
      </c>
      <c r="K9480" s="21">
        <f t="shared" si="671"/>
        <v>0</v>
      </c>
      <c r="L9480" s="5">
        <f t="shared" si="673"/>
        <v>0</v>
      </c>
      <c r="M9480" s="4"/>
      <c r="N9480" s="4"/>
      <c r="O9480" s="5"/>
      <c r="P9480" s="5"/>
      <c r="Q9480" s="21">
        <f t="shared" si="674"/>
        <v>0</v>
      </c>
      <c r="R9480" s="21">
        <f t="shared" si="672"/>
        <v>0</v>
      </c>
      <c r="S9480" s="5">
        <f t="shared" si="675"/>
        <v>70007.077158325032</v>
      </c>
      <c r="T9480" cm="1">
        <f t="array" ref="T9480">IF(OR(B9480="MAL ALIMI", B9480="ÜRETİM GİRİŞ"), MIN(I9480, MAX(0, I9480 + SUM(SUMIFS($I$1:I9479, $C$1:C9479, C9480, $B$1:B9479, {"MAL ALIMI","ÜRETİM GİRİŞ"})) - VLOOKUP(C9480, 'STOK RAPORU'!$C$2:$I$1000, 4, 0))), 0)</f>
        <v>0</v>
      </c>
      <c r="U9480" s="22">
        <f t="shared" si="668"/>
        <v>0</v>
      </c>
      <c r="V9480">
        <f t="shared" si="669"/>
        <v>0</v>
      </c>
      <c r="W9480" s="22">
        <f t="shared" si="670"/>
        <v>0</v>
      </c>
    </row>
    <row r="9481" spans="1:23" hidden="1" x14ac:dyDescent="0.25">
      <c r="A9481" s="4"/>
      <c r="B9481" s="4"/>
      <c r="C9481" s="4"/>
      <c r="D9481" s="4"/>
      <c r="E9481" s="4"/>
      <c r="F9481" s="4"/>
      <c r="G9481" s="4"/>
      <c r="H9481" s="4"/>
      <c r="I9481" s="4"/>
      <c r="J9481" s="21">
        <f>IFERROR(VLOOKUP(C9481,'STOK KARTLARI'!$C$2:$K$2150,8,0),0)</f>
        <v>0</v>
      </c>
      <c r="K9481" s="21">
        <f t="shared" si="671"/>
        <v>0</v>
      </c>
      <c r="L9481" s="5">
        <f t="shared" si="673"/>
        <v>0</v>
      </c>
      <c r="M9481" s="4"/>
      <c r="N9481" s="4"/>
      <c r="O9481" s="5"/>
      <c r="P9481" s="5"/>
      <c r="Q9481" s="21">
        <f t="shared" si="674"/>
        <v>0</v>
      </c>
      <c r="R9481" s="21">
        <f t="shared" si="672"/>
        <v>0</v>
      </c>
      <c r="S9481" s="5">
        <f t="shared" si="675"/>
        <v>70007.077158325032</v>
      </c>
      <c r="T9481" cm="1">
        <f t="array" ref="T9481">IF(OR(B9481="MAL ALIMI", B9481="ÜRETİM GİRİŞ"), MIN(I9481, MAX(0, I9481 + SUM(SUMIFS($I$1:I9480, $C$1:C9480, C9481, $B$1:B9480, {"MAL ALIMI","ÜRETİM GİRİŞ"})) - VLOOKUP(C9481, 'STOK RAPORU'!$C$2:$I$1000, 4, 0))), 0)</f>
        <v>0</v>
      </c>
      <c r="U9481" s="22">
        <f t="shared" si="668"/>
        <v>0</v>
      </c>
      <c r="V9481">
        <f t="shared" si="669"/>
        <v>0</v>
      </c>
      <c r="W9481" s="22">
        <f t="shared" si="670"/>
        <v>0</v>
      </c>
    </row>
    <row r="9482" spans="1:23" hidden="1" x14ac:dyDescent="0.25">
      <c r="A9482" s="4"/>
      <c r="B9482" s="4"/>
      <c r="C9482" s="4"/>
      <c r="D9482" s="4"/>
      <c r="E9482" s="4"/>
      <c r="F9482" s="4"/>
      <c r="G9482" s="4"/>
      <c r="H9482" s="4"/>
      <c r="I9482" s="4"/>
      <c r="J9482" s="21">
        <f>IFERROR(VLOOKUP(C9482,'STOK KARTLARI'!$C$2:$K$2150,8,0),0)</f>
        <v>0</v>
      </c>
      <c r="K9482" s="21">
        <f t="shared" si="671"/>
        <v>0</v>
      </c>
      <c r="L9482" s="5">
        <f t="shared" si="673"/>
        <v>0</v>
      </c>
      <c r="M9482" s="4"/>
      <c r="N9482" s="4"/>
      <c r="O9482" s="5"/>
      <c r="P9482" s="5"/>
      <c r="Q9482" s="21">
        <f t="shared" si="674"/>
        <v>0</v>
      </c>
      <c r="R9482" s="21">
        <f t="shared" si="672"/>
        <v>0</v>
      </c>
      <c r="S9482" s="5">
        <f t="shared" si="675"/>
        <v>70007.077158325032</v>
      </c>
      <c r="T9482" cm="1">
        <f t="array" ref="T9482">IF(OR(B9482="MAL ALIMI", B9482="ÜRETİM GİRİŞ"), MIN(I9482, MAX(0, I9482 + SUM(SUMIFS($I$1:I9481, $C$1:C9481, C9482, $B$1:B9481, {"MAL ALIMI","ÜRETİM GİRİŞ"})) - VLOOKUP(C9482, 'STOK RAPORU'!$C$2:$I$1000, 4, 0))), 0)</f>
        <v>0</v>
      </c>
      <c r="U9482" s="22">
        <f t="shared" si="668"/>
        <v>0</v>
      </c>
      <c r="V9482">
        <f t="shared" si="669"/>
        <v>0</v>
      </c>
      <c r="W9482" s="22">
        <f t="shared" si="670"/>
        <v>0</v>
      </c>
    </row>
    <row r="9483" spans="1:23" hidden="1" x14ac:dyDescent="0.25">
      <c r="A9483" s="4"/>
      <c r="B9483" s="4"/>
      <c r="C9483" s="4"/>
      <c r="D9483" s="4"/>
      <c r="E9483" s="4"/>
      <c r="F9483" s="4"/>
      <c r="G9483" s="4"/>
      <c r="H9483" s="4"/>
      <c r="I9483" s="4"/>
      <c r="J9483" s="21">
        <f>IFERROR(VLOOKUP(C9483,'STOK KARTLARI'!$C$2:$K$2150,8,0),0)</f>
        <v>0</v>
      </c>
      <c r="K9483" s="21">
        <f t="shared" si="671"/>
        <v>0</v>
      </c>
      <c r="L9483" s="5">
        <f t="shared" si="673"/>
        <v>0</v>
      </c>
      <c r="M9483" s="4"/>
      <c r="N9483" s="4"/>
      <c r="O9483" s="5"/>
      <c r="P9483" s="5"/>
      <c r="Q9483" s="21">
        <f t="shared" si="674"/>
        <v>0</v>
      </c>
      <c r="R9483" s="21">
        <f t="shared" si="672"/>
        <v>0</v>
      </c>
      <c r="S9483" s="5">
        <f t="shared" si="675"/>
        <v>70007.077158325032</v>
      </c>
      <c r="T9483" cm="1">
        <f t="array" ref="T9483">IF(OR(B9483="MAL ALIMI", B9483="ÜRETİM GİRİŞ"), MIN(I9483, MAX(0, I9483 + SUM(SUMIFS($I$1:I9482, $C$1:C9482, C9483, $B$1:B9482, {"MAL ALIMI","ÜRETİM GİRİŞ"})) - VLOOKUP(C9483, 'STOK RAPORU'!$C$2:$I$1000, 4, 0))), 0)</f>
        <v>0</v>
      </c>
      <c r="U9483" s="22">
        <f t="shared" si="668"/>
        <v>0</v>
      </c>
      <c r="V9483">
        <f t="shared" si="669"/>
        <v>0</v>
      </c>
      <c r="W9483" s="22">
        <f t="shared" si="670"/>
        <v>0</v>
      </c>
    </row>
    <row r="9484" spans="1:23" hidden="1" x14ac:dyDescent="0.25">
      <c r="A9484" s="4"/>
      <c r="B9484" s="4"/>
      <c r="C9484" s="4"/>
      <c r="D9484" s="4"/>
      <c r="E9484" s="4"/>
      <c r="F9484" s="4"/>
      <c r="G9484" s="4"/>
      <c r="H9484" s="4"/>
      <c r="I9484" s="4"/>
      <c r="J9484" s="21">
        <f>IFERROR(VLOOKUP(C9484,'STOK KARTLARI'!$C$2:$K$2150,8,0),0)</f>
        <v>0</v>
      </c>
      <c r="K9484" s="21">
        <f t="shared" si="671"/>
        <v>0</v>
      </c>
      <c r="L9484" s="5">
        <f t="shared" si="673"/>
        <v>0</v>
      </c>
      <c r="M9484" s="4"/>
      <c r="N9484" s="4"/>
      <c r="O9484" s="5"/>
      <c r="P9484" s="5"/>
      <c r="Q9484" s="21">
        <f t="shared" si="674"/>
        <v>0</v>
      </c>
      <c r="R9484" s="21">
        <f t="shared" si="672"/>
        <v>0</v>
      </c>
      <c r="S9484" s="5">
        <f t="shared" si="675"/>
        <v>70007.077158325032</v>
      </c>
      <c r="T9484" cm="1">
        <f t="array" ref="T9484">IF(OR(B9484="MAL ALIMI", B9484="ÜRETİM GİRİŞ"), MIN(I9484, MAX(0, I9484 + SUM(SUMIFS($I$1:I9483, $C$1:C9483, C9484, $B$1:B9483, {"MAL ALIMI","ÜRETİM GİRİŞ"})) - VLOOKUP(C9484, 'STOK RAPORU'!$C$2:$I$1000, 4, 0))), 0)</f>
        <v>0</v>
      </c>
      <c r="U9484" s="22">
        <f t="shared" si="668"/>
        <v>0</v>
      </c>
      <c r="V9484">
        <f t="shared" si="669"/>
        <v>0</v>
      </c>
      <c r="W9484" s="22">
        <f t="shared" si="670"/>
        <v>0</v>
      </c>
    </row>
    <row r="9485" spans="1:23" hidden="1" x14ac:dyDescent="0.25">
      <c r="A9485" s="3"/>
      <c r="B9485" s="4"/>
      <c r="C9485" s="4"/>
      <c r="D9485" s="4"/>
      <c r="E9485" s="4"/>
      <c r="F9485" s="4"/>
      <c r="G9485" s="4"/>
      <c r="H9485" s="4"/>
      <c r="I9485" s="4"/>
      <c r="J9485" s="21">
        <f>IFERROR(VLOOKUP(C9485,'STOK KARTLARI'!$C$2:$K$2150,8,0),0)</f>
        <v>0</v>
      </c>
      <c r="K9485" s="21">
        <f t="shared" si="671"/>
        <v>0</v>
      </c>
      <c r="L9485" s="5">
        <f t="shared" si="673"/>
        <v>0</v>
      </c>
      <c r="M9485" s="4"/>
      <c r="N9485" s="4"/>
      <c r="O9485" s="5"/>
      <c r="P9485" s="5"/>
      <c r="Q9485" s="21">
        <f t="shared" si="674"/>
        <v>0</v>
      </c>
      <c r="R9485" s="21">
        <f t="shared" si="672"/>
        <v>0</v>
      </c>
      <c r="S9485" s="5">
        <f t="shared" si="675"/>
        <v>70007.077158325032</v>
      </c>
      <c r="T9485" cm="1">
        <f t="array" ref="T9485">IF(OR(B9485="MAL ALIMI", B9485="ÜRETİM GİRİŞ"), MIN(I9485, MAX(0, I9485 + SUM(SUMIFS($I$1:I9484, $C$1:C9484, C9485, $B$1:B9484, {"MAL ALIMI","ÜRETİM GİRİŞ"})) - VLOOKUP(C9485, 'STOK RAPORU'!$C$2:$I$1000, 4, 0))), 0)</f>
        <v>0</v>
      </c>
      <c r="U9485" s="22">
        <f t="shared" si="668"/>
        <v>0</v>
      </c>
      <c r="V9485">
        <f t="shared" si="669"/>
        <v>0</v>
      </c>
      <c r="W9485" s="22">
        <f t="shared" si="670"/>
        <v>0</v>
      </c>
    </row>
    <row r="9486" spans="1:23" hidden="1" x14ac:dyDescent="0.25">
      <c r="A9486" s="4"/>
      <c r="B9486" s="4"/>
      <c r="C9486" s="4"/>
      <c r="D9486" s="4"/>
      <c r="E9486" s="4"/>
      <c r="F9486" s="4"/>
      <c r="G9486" s="4"/>
      <c r="H9486" s="4"/>
      <c r="I9486" s="4"/>
      <c r="J9486" s="21">
        <f>IFERROR(VLOOKUP(C9486,'STOK KARTLARI'!$C$2:$K$2150,8,0),0)</f>
        <v>0</v>
      </c>
      <c r="K9486" s="21">
        <f t="shared" si="671"/>
        <v>0</v>
      </c>
      <c r="L9486" s="5">
        <f t="shared" si="673"/>
        <v>0</v>
      </c>
      <c r="M9486" s="4"/>
      <c r="N9486" s="4"/>
      <c r="O9486" s="5"/>
      <c r="P9486" s="5"/>
      <c r="Q9486" s="21">
        <f t="shared" si="674"/>
        <v>0</v>
      </c>
      <c r="R9486" s="21">
        <f t="shared" si="672"/>
        <v>0</v>
      </c>
      <c r="S9486" s="5">
        <f t="shared" si="675"/>
        <v>70007.077158325032</v>
      </c>
      <c r="T9486" cm="1">
        <f t="array" ref="T9486">IF(OR(B9486="MAL ALIMI", B9486="ÜRETİM GİRİŞ"), MIN(I9486, MAX(0, I9486 + SUM(SUMIFS($I$1:I9485, $C$1:C9485, C9486, $B$1:B9485, {"MAL ALIMI","ÜRETİM GİRİŞ"})) - VLOOKUP(C9486, 'STOK RAPORU'!$C$2:$I$1000, 4, 0))), 0)</f>
        <v>0</v>
      </c>
      <c r="U9486" s="22">
        <f t="shared" si="668"/>
        <v>0</v>
      </c>
      <c r="V9486">
        <f t="shared" si="669"/>
        <v>0</v>
      </c>
      <c r="W9486" s="22">
        <f t="shared" si="670"/>
        <v>0</v>
      </c>
    </row>
    <row r="9487" spans="1:23" hidden="1" x14ac:dyDescent="0.25">
      <c r="A9487" s="4"/>
      <c r="B9487" s="4"/>
      <c r="C9487" s="4"/>
      <c r="D9487" s="4"/>
      <c r="E9487" s="4"/>
      <c r="F9487" s="4"/>
      <c r="G9487" s="4"/>
      <c r="H9487" s="4"/>
      <c r="I9487" s="4"/>
      <c r="J9487" s="21">
        <f>IFERROR(VLOOKUP(C9487,'STOK KARTLARI'!$C$2:$K$2150,8,0),0)</f>
        <v>0</v>
      </c>
      <c r="K9487" s="21">
        <f t="shared" si="671"/>
        <v>0</v>
      </c>
      <c r="L9487" s="5">
        <f t="shared" si="673"/>
        <v>0</v>
      </c>
      <c r="M9487" s="4"/>
      <c r="N9487" s="4"/>
      <c r="O9487" s="5"/>
      <c r="P9487" s="5"/>
      <c r="Q9487" s="21">
        <f t="shared" si="674"/>
        <v>0</v>
      </c>
      <c r="R9487" s="21">
        <f t="shared" si="672"/>
        <v>0</v>
      </c>
      <c r="S9487" s="5">
        <f t="shared" si="675"/>
        <v>70007.077158325032</v>
      </c>
      <c r="T9487" cm="1">
        <f t="array" ref="T9487">IF(OR(B9487="MAL ALIMI", B9487="ÜRETİM GİRİŞ"), MIN(I9487, MAX(0, I9487 + SUM(SUMIFS($I$1:I9486, $C$1:C9486, C9487, $B$1:B9486, {"MAL ALIMI","ÜRETİM GİRİŞ"})) - VLOOKUP(C9487, 'STOK RAPORU'!$C$2:$I$1000, 4, 0))), 0)</f>
        <v>0</v>
      </c>
      <c r="U9487" s="22">
        <f t="shared" si="668"/>
        <v>0</v>
      </c>
      <c r="V9487">
        <f t="shared" si="669"/>
        <v>0</v>
      </c>
      <c r="W9487" s="22">
        <f t="shared" si="670"/>
        <v>0</v>
      </c>
    </row>
    <row r="9488" spans="1:23" hidden="1" x14ac:dyDescent="0.25">
      <c r="A9488" s="4"/>
      <c r="B9488" s="4"/>
      <c r="C9488" s="4"/>
      <c r="D9488" s="4"/>
      <c r="E9488" s="4"/>
      <c r="F9488" s="4"/>
      <c r="G9488" s="4"/>
      <c r="H9488" s="4"/>
      <c r="I9488" s="4"/>
      <c r="J9488" s="21">
        <f>IFERROR(VLOOKUP(C9488,'STOK KARTLARI'!$C$2:$K$2150,8,0),0)</f>
        <v>0</v>
      </c>
      <c r="K9488" s="21">
        <f t="shared" si="671"/>
        <v>0</v>
      </c>
      <c r="L9488" s="5">
        <f t="shared" si="673"/>
        <v>0</v>
      </c>
      <c r="M9488" s="4"/>
      <c r="N9488" s="4"/>
      <c r="O9488" s="5"/>
      <c r="P9488" s="5"/>
      <c r="Q9488" s="21">
        <f t="shared" si="674"/>
        <v>0</v>
      </c>
      <c r="R9488" s="21">
        <f t="shared" si="672"/>
        <v>0</v>
      </c>
      <c r="S9488" s="5">
        <f t="shared" si="675"/>
        <v>70007.077158325032</v>
      </c>
      <c r="T9488" cm="1">
        <f t="array" ref="T9488">IF(OR(B9488="MAL ALIMI", B9488="ÜRETİM GİRİŞ"), MIN(I9488, MAX(0, I9488 + SUM(SUMIFS($I$1:I9487, $C$1:C9487, C9488, $B$1:B9487, {"MAL ALIMI","ÜRETİM GİRİŞ"})) - VLOOKUP(C9488, 'STOK RAPORU'!$C$2:$I$1000, 4, 0))), 0)</f>
        <v>0</v>
      </c>
      <c r="U9488" s="22">
        <f t="shared" si="668"/>
        <v>0</v>
      </c>
      <c r="V9488">
        <f t="shared" si="669"/>
        <v>0</v>
      </c>
      <c r="W9488" s="22">
        <f t="shared" si="670"/>
        <v>0</v>
      </c>
    </row>
    <row r="9489" spans="1:23" hidden="1" x14ac:dyDescent="0.25">
      <c r="A9489" s="4"/>
      <c r="B9489" s="4"/>
      <c r="C9489" s="4"/>
      <c r="D9489" s="4"/>
      <c r="E9489" s="4"/>
      <c r="F9489" s="4"/>
      <c r="G9489" s="4"/>
      <c r="H9489" s="4"/>
      <c r="I9489" s="4"/>
      <c r="J9489" s="21">
        <f>IFERROR(VLOOKUP(C9489,'STOK KARTLARI'!$C$2:$K$2150,8,0),0)</f>
        <v>0</v>
      </c>
      <c r="K9489" s="21">
        <f t="shared" si="671"/>
        <v>0</v>
      </c>
      <c r="L9489" s="5">
        <f t="shared" si="673"/>
        <v>0</v>
      </c>
      <c r="M9489" s="4"/>
      <c r="N9489" s="4"/>
      <c r="O9489" s="5"/>
      <c r="P9489" s="5"/>
      <c r="Q9489" s="21">
        <f t="shared" si="674"/>
        <v>0</v>
      </c>
      <c r="R9489" s="21">
        <f t="shared" si="672"/>
        <v>0</v>
      </c>
      <c r="S9489" s="5">
        <f t="shared" si="675"/>
        <v>70007.077158325032</v>
      </c>
      <c r="T9489" cm="1">
        <f t="array" ref="T9489">IF(OR(B9489="MAL ALIMI", B9489="ÜRETİM GİRİŞ"), MIN(I9489, MAX(0, I9489 + SUM(SUMIFS($I$1:I9488, $C$1:C9488, C9489, $B$1:B9488, {"MAL ALIMI","ÜRETİM GİRİŞ"})) - VLOOKUP(C9489, 'STOK RAPORU'!$C$2:$I$1000, 4, 0))), 0)</f>
        <v>0</v>
      </c>
      <c r="U9489" s="22">
        <f t="shared" si="668"/>
        <v>0</v>
      </c>
      <c r="V9489">
        <f t="shared" si="669"/>
        <v>0</v>
      </c>
      <c r="W9489" s="22">
        <f t="shared" si="670"/>
        <v>0</v>
      </c>
    </row>
    <row r="9490" spans="1:23" hidden="1" x14ac:dyDescent="0.25">
      <c r="A9490" s="4"/>
      <c r="B9490" s="4"/>
      <c r="C9490" s="4"/>
      <c r="D9490" s="4"/>
      <c r="E9490" s="4"/>
      <c r="F9490" s="4"/>
      <c r="G9490" s="4"/>
      <c r="H9490" s="4"/>
      <c r="I9490" s="4"/>
      <c r="J9490" s="21">
        <f>IFERROR(VLOOKUP(C9490,'STOK KARTLARI'!$C$2:$K$2150,8,0),0)</f>
        <v>0</v>
      </c>
      <c r="K9490" s="21">
        <f t="shared" si="671"/>
        <v>0</v>
      </c>
      <c r="L9490" s="5">
        <f t="shared" si="673"/>
        <v>0</v>
      </c>
      <c r="M9490" s="4"/>
      <c r="N9490" s="4"/>
      <c r="O9490" s="5"/>
      <c r="P9490" s="5"/>
      <c r="Q9490" s="21">
        <f t="shared" si="674"/>
        <v>0</v>
      </c>
      <c r="R9490" s="21">
        <f t="shared" si="672"/>
        <v>0</v>
      </c>
      <c r="S9490" s="5">
        <f t="shared" si="675"/>
        <v>70007.077158325032</v>
      </c>
      <c r="T9490" cm="1">
        <f t="array" ref="T9490">IF(OR(B9490="MAL ALIMI", B9490="ÜRETİM GİRİŞ"), MIN(I9490, MAX(0, I9490 + SUM(SUMIFS($I$1:I9489, $C$1:C9489, C9490, $B$1:B9489, {"MAL ALIMI","ÜRETİM GİRİŞ"})) - VLOOKUP(C9490, 'STOK RAPORU'!$C$2:$I$1000, 4, 0))), 0)</f>
        <v>0</v>
      </c>
      <c r="U9490" s="22">
        <f t="shared" si="668"/>
        <v>0</v>
      </c>
      <c r="V9490">
        <f t="shared" si="669"/>
        <v>0</v>
      </c>
      <c r="W9490" s="22">
        <f t="shared" si="670"/>
        <v>0</v>
      </c>
    </row>
    <row r="9491" spans="1:23" hidden="1" x14ac:dyDescent="0.25">
      <c r="A9491" s="4"/>
      <c r="B9491" s="4"/>
      <c r="C9491" s="4"/>
      <c r="D9491" s="4"/>
      <c r="E9491" s="4"/>
      <c r="F9491" s="4"/>
      <c r="G9491" s="4"/>
      <c r="H9491" s="4"/>
      <c r="I9491" s="4"/>
      <c r="J9491" s="21">
        <f>IFERROR(VLOOKUP(C9491,'STOK KARTLARI'!$C$2:$K$2150,8,0),0)</f>
        <v>0</v>
      </c>
      <c r="K9491" s="21">
        <f t="shared" si="671"/>
        <v>0</v>
      </c>
      <c r="L9491" s="5">
        <f t="shared" si="673"/>
        <v>0</v>
      </c>
      <c r="M9491" s="4"/>
      <c r="N9491" s="4"/>
      <c r="O9491" s="5"/>
      <c r="P9491" s="5"/>
      <c r="Q9491" s="21">
        <f t="shared" si="674"/>
        <v>0</v>
      </c>
      <c r="R9491" s="21">
        <f t="shared" si="672"/>
        <v>0</v>
      </c>
      <c r="S9491" s="5">
        <f t="shared" si="675"/>
        <v>70007.077158325032</v>
      </c>
      <c r="T9491" cm="1">
        <f t="array" ref="T9491">IF(OR(B9491="MAL ALIMI", B9491="ÜRETİM GİRİŞ"), MIN(I9491, MAX(0, I9491 + SUM(SUMIFS($I$1:I9490, $C$1:C9490, C9491, $B$1:B9490, {"MAL ALIMI","ÜRETİM GİRİŞ"})) - VLOOKUP(C9491, 'STOK RAPORU'!$C$2:$I$1000, 4, 0))), 0)</f>
        <v>0</v>
      </c>
      <c r="U9491" s="22">
        <f t="shared" si="668"/>
        <v>0</v>
      </c>
      <c r="V9491">
        <f t="shared" si="669"/>
        <v>0</v>
      </c>
      <c r="W9491" s="22">
        <f t="shared" si="670"/>
        <v>0</v>
      </c>
    </row>
    <row r="9492" spans="1:23" hidden="1" x14ac:dyDescent="0.25">
      <c r="A9492" s="3"/>
      <c r="B9492" s="4"/>
      <c r="C9492" s="4"/>
      <c r="D9492" s="4"/>
      <c r="E9492" s="4"/>
      <c r="F9492" s="4"/>
      <c r="G9492" s="4"/>
      <c r="H9492" s="4"/>
      <c r="I9492" s="4"/>
      <c r="J9492" s="21">
        <f>IFERROR(VLOOKUP(C9492,'STOK KARTLARI'!$C$2:$K$2150,8,0),0)</f>
        <v>0</v>
      </c>
      <c r="K9492" s="21">
        <f t="shared" si="671"/>
        <v>0</v>
      </c>
      <c r="L9492" s="5">
        <f t="shared" si="673"/>
        <v>0</v>
      </c>
      <c r="M9492" s="4"/>
      <c r="N9492" s="4"/>
      <c r="O9492" s="5"/>
      <c r="P9492" s="5"/>
      <c r="Q9492" s="21">
        <f t="shared" si="674"/>
        <v>0</v>
      </c>
      <c r="R9492" s="21">
        <f t="shared" si="672"/>
        <v>0</v>
      </c>
      <c r="S9492" s="5">
        <f t="shared" si="675"/>
        <v>70007.077158325032</v>
      </c>
      <c r="T9492" cm="1">
        <f t="array" ref="T9492">IF(OR(B9492="MAL ALIMI", B9492="ÜRETİM GİRİŞ"), MIN(I9492, MAX(0, I9492 + SUM(SUMIFS($I$1:I9491, $C$1:C9491, C9492, $B$1:B9491, {"MAL ALIMI","ÜRETİM GİRİŞ"})) - VLOOKUP(C9492, 'STOK RAPORU'!$C$2:$I$1000, 4, 0))), 0)</f>
        <v>0</v>
      </c>
      <c r="U9492" s="22">
        <f t="shared" si="668"/>
        <v>0</v>
      </c>
      <c r="V9492">
        <f t="shared" si="669"/>
        <v>0</v>
      </c>
      <c r="W9492" s="22">
        <f t="shared" si="670"/>
        <v>0</v>
      </c>
    </row>
    <row r="9493" spans="1:23" hidden="1" x14ac:dyDescent="0.25">
      <c r="A9493" s="4"/>
      <c r="B9493" s="4"/>
      <c r="C9493" s="4"/>
      <c r="D9493" s="4"/>
      <c r="E9493" s="4"/>
      <c r="F9493" s="4"/>
      <c r="G9493" s="4"/>
      <c r="H9493" s="4"/>
      <c r="I9493" s="4"/>
      <c r="J9493" s="21">
        <f>IFERROR(VLOOKUP(C9493,'STOK KARTLARI'!$C$2:$K$2150,8,0),0)</f>
        <v>0</v>
      </c>
      <c r="K9493" s="21">
        <f t="shared" si="671"/>
        <v>0</v>
      </c>
      <c r="L9493" s="5">
        <f t="shared" si="673"/>
        <v>0</v>
      </c>
      <c r="M9493" s="4"/>
      <c r="N9493" s="4"/>
      <c r="O9493" s="5"/>
      <c r="P9493" s="5"/>
      <c r="Q9493" s="21">
        <f t="shared" si="674"/>
        <v>0</v>
      </c>
      <c r="R9493" s="21">
        <f t="shared" si="672"/>
        <v>0</v>
      </c>
      <c r="S9493" s="5">
        <f t="shared" si="675"/>
        <v>70007.077158325032</v>
      </c>
      <c r="T9493" cm="1">
        <f t="array" ref="T9493">IF(OR(B9493="MAL ALIMI", B9493="ÜRETİM GİRİŞ"), MIN(I9493, MAX(0, I9493 + SUM(SUMIFS($I$1:I9492, $C$1:C9492, C9493, $B$1:B9492, {"MAL ALIMI","ÜRETİM GİRİŞ"})) - VLOOKUP(C9493, 'STOK RAPORU'!$C$2:$I$1000, 4, 0))), 0)</f>
        <v>0</v>
      </c>
      <c r="U9493" s="22">
        <f t="shared" si="668"/>
        <v>0</v>
      </c>
      <c r="V9493">
        <f t="shared" si="669"/>
        <v>0</v>
      </c>
      <c r="W9493" s="22">
        <f t="shared" si="670"/>
        <v>0</v>
      </c>
    </row>
    <row r="9494" spans="1:23" hidden="1" x14ac:dyDescent="0.25">
      <c r="A9494" s="4"/>
      <c r="B9494" s="4"/>
      <c r="C9494" s="4"/>
      <c r="D9494" s="4"/>
      <c r="E9494" s="4"/>
      <c r="F9494" s="4"/>
      <c r="G9494" s="4"/>
      <c r="H9494" s="4"/>
      <c r="I9494" s="4"/>
      <c r="J9494" s="21">
        <f>IFERROR(VLOOKUP(C9494,'STOK KARTLARI'!$C$2:$K$2150,8,0),0)</f>
        <v>0</v>
      </c>
      <c r="K9494" s="21">
        <f t="shared" si="671"/>
        <v>0</v>
      </c>
      <c r="L9494" s="5">
        <f t="shared" si="673"/>
        <v>0</v>
      </c>
      <c r="M9494" s="4"/>
      <c r="N9494" s="4"/>
      <c r="O9494" s="5"/>
      <c r="P9494" s="5"/>
      <c r="Q9494" s="21">
        <f t="shared" si="674"/>
        <v>0</v>
      </c>
      <c r="R9494" s="21">
        <f t="shared" si="672"/>
        <v>0</v>
      </c>
      <c r="S9494" s="5">
        <f t="shared" si="675"/>
        <v>70007.077158325032</v>
      </c>
      <c r="T9494" cm="1">
        <f t="array" ref="T9494">IF(OR(B9494="MAL ALIMI", B9494="ÜRETİM GİRİŞ"), MIN(I9494, MAX(0, I9494 + SUM(SUMIFS($I$1:I9493, $C$1:C9493, C9494, $B$1:B9493, {"MAL ALIMI","ÜRETİM GİRİŞ"})) - VLOOKUP(C9494, 'STOK RAPORU'!$C$2:$I$1000, 4, 0))), 0)</f>
        <v>0</v>
      </c>
      <c r="U9494" s="22">
        <f t="shared" si="668"/>
        <v>0</v>
      </c>
      <c r="V9494">
        <f t="shared" si="669"/>
        <v>0</v>
      </c>
      <c r="W9494" s="22">
        <f t="shared" si="670"/>
        <v>0</v>
      </c>
    </row>
    <row r="9495" spans="1:23" hidden="1" x14ac:dyDescent="0.25">
      <c r="A9495" s="4"/>
      <c r="B9495" s="4"/>
      <c r="C9495" s="4"/>
      <c r="D9495" s="4"/>
      <c r="E9495" s="4"/>
      <c r="F9495" s="4"/>
      <c r="G9495" s="4"/>
      <c r="H9495" s="4"/>
      <c r="I9495" s="4"/>
      <c r="J9495" s="21">
        <f>IFERROR(VLOOKUP(C9495,'STOK KARTLARI'!$C$2:$K$2150,8,0),0)</f>
        <v>0</v>
      </c>
      <c r="K9495" s="21">
        <f t="shared" si="671"/>
        <v>0</v>
      </c>
      <c r="L9495" s="5">
        <f t="shared" si="673"/>
        <v>0</v>
      </c>
      <c r="M9495" s="4"/>
      <c r="N9495" s="4"/>
      <c r="O9495" s="5"/>
      <c r="P9495" s="5"/>
      <c r="Q9495" s="21">
        <f t="shared" si="674"/>
        <v>0</v>
      </c>
      <c r="R9495" s="21">
        <f t="shared" si="672"/>
        <v>0</v>
      </c>
      <c r="S9495" s="5">
        <f t="shared" si="675"/>
        <v>70007.077158325032</v>
      </c>
      <c r="T9495" cm="1">
        <f t="array" ref="T9495">IF(OR(B9495="MAL ALIMI", B9495="ÜRETİM GİRİŞ"), MIN(I9495, MAX(0, I9495 + SUM(SUMIFS($I$1:I9494, $C$1:C9494, C9495, $B$1:B9494, {"MAL ALIMI","ÜRETİM GİRİŞ"})) - VLOOKUP(C9495, 'STOK RAPORU'!$C$2:$I$1000, 4, 0))), 0)</f>
        <v>0</v>
      </c>
      <c r="U9495" s="22">
        <f t="shared" si="668"/>
        <v>0</v>
      </c>
      <c r="V9495">
        <f t="shared" si="669"/>
        <v>0</v>
      </c>
      <c r="W9495" s="22">
        <f t="shared" si="670"/>
        <v>0</v>
      </c>
    </row>
    <row r="9496" spans="1:23" hidden="1" x14ac:dyDescent="0.25">
      <c r="A9496" s="4"/>
      <c r="B9496" s="4"/>
      <c r="C9496" s="4"/>
      <c r="D9496" s="4"/>
      <c r="E9496" s="4"/>
      <c r="F9496" s="4"/>
      <c r="G9496" s="4"/>
      <c r="H9496" s="4"/>
      <c r="I9496" s="4"/>
      <c r="J9496" s="21">
        <f>IFERROR(VLOOKUP(C9496,'STOK KARTLARI'!$C$2:$K$2150,8,0),0)</f>
        <v>0</v>
      </c>
      <c r="K9496" s="21">
        <f t="shared" si="671"/>
        <v>0</v>
      </c>
      <c r="L9496" s="5">
        <f t="shared" si="673"/>
        <v>0</v>
      </c>
      <c r="M9496" s="4"/>
      <c r="N9496" s="4"/>
      <c r="O9496" s="5"/>
      <c r="P9496" s="5"/>
      <c r="Q9496" s="21">
        <f t="shared" si="674"/>
        <v>0</v>
      </c>
      <c r="R9496" s="21">
        <f t="shared" si="672"/>
        <v>0</v>
      </c>
      <c r="S9496" s="5">
        <f t="shared" si="675"/>
        <v>70007.077158325032</v>
      </c>
      <c r="T9496" cm="1">
        <f t="array" ref="T9496">IF(OR(B9496="MAL ALIMI", B9496="ÜRETİM GİRİŞ"), MIN(I9496, MAX(0, I9496 + SUM(SUMIFS($I$1:I9495, $C$1:C9495, C9496, $B$1:B9495, {"MAL ALIMI","ÜRETİM GİRİŞ"})) - VLOOKUP(C9496, 'STOK RAPORU'!$C$2:$I$1000, 4, 0))), 0)</f>
        <v>0</v>
      </c>
      <c r="U9496" s="22">
        <f t="shared" si="668"/>
        <v>0</v>
      </c>
      <c r="V9496">
        <f t="shared" si="669"/>
        <v>0</v>
      </c>
      <c r="W9496" s="22">
        <f t="shared" si="670"/>
        <v>0</v>
      </c>
    </row>
    <row r="9497" spans="1:23" hidden="1" x14ac:dyDescent="0.25">
      <c r="A9497" s="4"/>
      <c r="B9497" s="4"/>
      <c r="C9497" s="4"/>
      <c r="D9497" s="4"/>
      <c r="E9497" s="4"/>
      <c r="F9497" s="4"/>
      <c r="G9497" s="4"/>
      <c r="H9497" s="4"/>
      <c r="I9497" s="4"/>
      <c r="J9497" s="21">
        <f>IFERROR(VLOOKUP(C9497,'STOK KARTLARI'!$C$2:$K$2150,8,0),0)</f>
        <v>0</v>
      </c>
      <c r="K9497" s="21">
        <f t="shared" si="671"/>
        <v>0</v>
      </c>
      <c r="L9497" s="5">
        <f t="shared" si="673"/>
        <v>0</v>
      </c>
      <c r="M9497" s="4"/>
      <c r="N9497" s="4"/>
      <c r="O9497" s="5"/>
      <c r="P9497" s="5"/>
      <c r="Q9497" s="21">
        <f t="shared" si="674"/>
        <v>0</v>
      </c>
      <c r="R9497" s="21">
        <f t="shared" si="672"/>
        <v>0</v>
      </c>
      <c r="S9497" s="5">
        <f t="shared" si="675"/>
        <v>70007.077158325032</v>
      </c>
      <c r="T9497" cm="1">
        <f t="array" ref="T9497">IF(OR(B9497="MAL ALIMI", B9497="ÜRETİM GİRİŞ"), MIN(I9497, MAX(0, I9497 + SUM(SUMIFS($I$1:I9496, $C$1:C9496, C9497, $B$1:B9496, {"MAL ALIMI","ÜRETİM GİRİŞ"})) - VLOOKUP(C9497, 'STOK RAPORU'!$C$2:$I$1000, 4, 0))), 0)</f>
        <v>0</v>
      </c>
      <c r="U9497" s="22">
        <f t="shared" si="668"/>
        <v>0</v>
      </c>
      <c r="V9497">
        <f t="shared" si="669"/>
        <v>0</v>
      </c>
      <c r="W9497" s="22">
        <f t="shared" si="670"/>
        <v>0</v>
      </c>
    </row>
    <row r="9498" spans="1:23" hidden="1" x14ac:dyDescent="0.25">
      <c r="A9498" s="4"/>
      <c r="B9498" s="4"/>
      <c r="C9498" s="4"/>
      <c r="D9498" s="4"/>
      <c r="E9498" s="4"/>
      <c r="F9498" s="4"/>
      <c r="G9498" s="4"/>
      <c r="H9498" s="4"/>
      <c r="I9498" s="4"/>
      <c r="J9498" s="21">
        <f>IFERROR(VLOOKUP(C9498,'STOK KARTLARI'!$C$2:$K$2150,8,0),0)</f>
        <v>0</v>
      </c>
      <c r="K9498" s="21">
        <f t="shared" si="671"/>
        <v>0</v>
      </c>
      <c r="L9498" s="5">
        <f t="shared" si="673"/>
        <v>0</v>
      </c>
      <c r="M9498" s="4"/>
      <c r="N9498" s="4"/>
      <c r="O9498" s="5"/>
      <c r="P9498" s="5"/>
      <c r="Q9498" s="21">
        <f t="shared" si="674"/>
        <v>0</v>
      </c>
      <c r="R9498" s="21">
        <f t="shared" si="672"/>
        <v>0</v>
      </c>
      <c r="S9498" s="5">
        <f t="shared" si="675"/>
        <v>70007.077158325032</v>
      </c>
      <c r="T9498" cm="1">
        <f t="array" ref="T9498">IF(OR(B9498="MAL ALIMI", B9498="ÜRETİM GİRİŞ"), MIN(I9498, MAX(0, I9498 + SUM(SUMIFS($I$1:I9497, $C$1:C9497, C9498, $B$1:B9497, {"MAL ALIMI","ÜRETİM GİRİŞ"})) - VLOOKUP(C9498, 'STOK RAPORU'!$C$2:$I$1000, 4, 0))), 0)</f>
        <v>0</v>
      </c>
      <c r="U9498" s="22">
        <f t="shared" si="668"/>
        <v>0</v>
      </c>
      <c r="V9498">
        <f t="shared" si="669"/>
        <v>0</v>
      </c>
      <c r="W9498" s="22">
        <f t="shared" si="670"/>
        <v>0</v>
      </c>
    </row>
    <row r="9499" spans="1:23" hidden="1" x14ac:dyDescent="0.25">
      <c r="A9499" s="3"/>
      <c r="B9499" s="4"/>
      <c r="C9499" s="4"/>
      <c r="D9499" s="4"/>
      <c r="E9499" s="4"/>
      <c r="F9499" s="4"/>
      <c r="G9499" s="4"/>
      <c r="H9499" s="4"/>
      <c r="I9499" s="4"/>
      <c r="J9499" s="21">
        <f>IFERROR(VLOOKUP(C9499,'STOK KARTLARI'!$C$2:$K$2150,8,0),0)</f>
        <v>0</v>
      </c>
      <c r="K9499" s="21">
        <f t="shared" si="671"/>
        <v>0</v>
      </c>
      <c r="L9499" s="5">
        <f t="shared" si="673"/>
        <v>0</v>
      </c>
      <c r="M9499" s="4"/>
      <c r="N9499" s="4"/>
      <c r="O9499" s="5"/>
      <c r="P9499" s="5"/>
      <c r="Q9499" s="21">
        <f t="shared" si="674"/>
        <v>0</v>
      </c>
      <c r="R9499" s="21">
        <f t="shared" si="672"/>
        <v>0</v>
      </c>
      <c r="S9499" s="5">
        <f t="shared" si="675"/>
        <v>70007.077158325032</v>
      </c>
      <c r="T9499" cm="1">
        <f t="array" ref="T9499">IF(OR(B9499="MAL ALIMI", B9499="ÜRETİM GİRİŞ"), MIN(I9499, MAX(0, I9499 + SUM(SUMIFS($I$1:I9498, $C$1:C9498, C9499, $B$1:B9498, {"MAL ALIMI","ÜRETİM GİRİŞ"})) - VLOOKUP(C9499, 'STOK RAPORU'!$C$2:$I$1000, 4, 0))), 0)</f>
        <v>0</v>
      </c>
      <c r="U9499" s="22">
        <f t="shared" si="668"/>
        <v>0</v>
      </c>
      <c r="V9499">
        <f t="shared" si="669"/>
        <v>0</v>
      </c>
      <c r="W9499" s="22">
        <f t="shared" si="670"/>
        <v>0</v>
      </c>
    </row>
    <row r="9500" spans="1:23" hidden="1" x14ac:dyDescent="0.25">
      <c r="A9500" s="4"/>
      <c r="B9500" s="4"/>
      <c r="C9500" s="4"/>
      <c r="D9500" s="4"/>
      <c r="E9500" s="4"/>
      <c r="F9500" s="4"/>
      <c r="G9500" s="4"/>
      <c r="H9500" s="4"/>
      <c r="I9500" s="4"/>
      <c r="J9500" s="21">
        <f>IFERROR(VLOOKUP(C9500,'STOK KARTLARI'!$C$2:$K$2150,8,0),0)</f>
        <v>0</v>
      </c>
      <c r="K9500" s="21">
        <f t="shared" si="671"/>
        <v>0</v>
      </c>
      <c r="L9500" s="5">
        <f t="shared" si="673"/>
        <v>0</v>
      </c>
      <c r="M9500" s="4"/>
      <c r="N9500" s="4"/>
      <c r="O9500" s="5"/>
      <c r="P9500" s="5"/>
      <c r="Q9500" s="21">
        <f t="shared" si="674"/>
        <v>0</v>
      </c>
      <c r="R9500" s="21">
        <f t="shared" si="672"/>
        <v>0</v>
      </c>
      <c r="S9500" s="5">
        <f t="shared" si="675"/>
        <v>70007.077158325032</v>
      </c>
      <c r="T9500" cm="1">
        <f t="array" ref="T9500">IF(OR(B9500="MAL ALIMI", B9500="ÜRETİM GİRİŞ"), MIN(I9500, MAX(0, I9500 + SUM(SUMIFS($I$1:I9499, $C$1:C9499, C9500, $B$1:B9499, {"MAL ALIMI","ÜRETİM GİRİŞ"})) - VLOOKUP(C9500, 'STOK RAPORU'!$C$2:$I$1000, 4, 0))), 0)</f>
        <v>0</v>
      </c>
      <c r="U9500" s="22">
        <f t="shared" si="668"/>
        <v>0</v>
      </c>
      <c r="V9500">
        <f t="shared" si="669"/>
        <v>0</v>
      </c>
      <c r="W9500" s="22">
        <f t="shared" si="670"/>
        <v>0</v>
      </c>
    </row>
    <row r="9501" spans="1:23" hidden="1" x14ac:dyDescent="0.25">
      <c r="A9501" s="4"/>
      <c r="B9501" s="4"/>
      <c r="C9501" s="4"/>
      <c r="D9501" s="4"/>
      <c r="E9501" s="4"/>
      <c r="F9501" s="4"/>
      <c r="G9501" s="4"/>
      <c r="H9501" s="4"/>
      <c r="I9501" s="4"/>
      <c r="J9501" s="21">
        <f>IFERROR(VLOOKUP(C9501,'STOK KARTLARI'!$C$2:$K$2150,8,0),0)</f>
        <v>0</v>
      </c>
      <c r="K9501" s="21">
        <f t="shared" si="671"/>
        <v>0</v>
      </c>
      <c r="L9501" s="5">
        <f t="shared" si="673"/>
        <v>0</v>
      </c>
      <c r="M9501" s="4"/>
      <c r="N9501" s="4"/>
      <c r="O9501" s="5"/>
      <c r="P9501" s="5"/>
      <c r="Q9501" s="21">
        <f t="shared" si="674"/>
        <v>0</v>
      </c>
      <c r="R9501" s="21">
        <f t="shared" si="672"/>
        <v>0</v>
      </c>
      <c r="S9501" s="5">
        <f t="shared" si="675"/>
        <v>70007.077158325032</v>
      </c>
      <c r="T9501" cm="1">
        <f t="array" ref="T9501">IF(OR(B9501="MAL ALIMI", B9501="ÜRETİM GİRİŞ"), MIN(I9501, MAX(0, I9501 + SUM(SUMIFS($I$1:I9500, $C$1:C9500, C9501, $B$1:B9500, {"MAL ALIMI","ÜRETİM GİRİŞ"})) - VLOOKUP(C9501, 'STOK RAPORU'!$C$2:$I$1000, 4, 0))), 0)</f>
        <v>0</v>
      </c>
      <c r="U9501" s="22">
        <f t="shared" si="668"/>
        <v>0</v>
      </c>
      <c r="V9501">
        <f t="shared" si="669"/>
        <v>0</v>
      </c>
      <c r="W9501" s="22">
        <f t="shared" si="670"/>
        <v>0</v>
      </c>
    </row>
    <row r="9502" spans="1:23" hidden="1" x14ac:dyDescent="0.25">
      <c r="A9502" s="4"/>
      <c r="B9502" s="4"/>
      <c r="C9502" s="4"/>
      <c r="D9502" s="4"/>
      <c r="E9502" s="4"/>
      <c r="F9502" s="4"/>
      <c r="G9502" s="4"/>
      <c r="H9502" s="4"/>
      <c r="I9502" s="4"/>
      <c r="J9502" s="21">
        <f>IFERROR(VLOOKUP(C9502,'STOK KARTLARI'!$C$2:$K$2150,8,0),0)</f>
        <v>0</v>
      </c>
      <c r="K9502" s="21">
        <f t="shared" si="671"/>
        <v>0</v>
      </c>
      <c r="L9502" s="5">
        <f t="shared" si="673"/>
        <v>0</v>
      </c>
      <c r="M9502" s="4"/>
      <c r="N9502" s="4"/>
      <c r="O9502" s="5"/>
      <c r="P9502" s="5"/>
      <c r="Q9502" s="21">
        <f t="shared" si="674"/>
        <v>0</v>
      </c>
      <c r="R9502" s="21">
        <f t="shared" si="672"/>
        <v>0</v>
      </c>
      <c r="S9502" s="5">
        <f t="shared" si="675"/>
        <v>70007.077158325032</v>
      </c>
      <c r="T9502" cm="1">
        <f t="array" ref="T9502">IF(OR(B9502="MAL ALIMI", B9502="ÜRETİM GİRİŞ"), MIN(I9502, MAX(0, I9502 + SUM(SUMIFS($I$1:I9501, $C$1:C9501, C9502, $B$1:B9501, {"MAL ALIMI","ÜRETİM GİRİŞ"})) - VLOOKUP(C9502, 'STOK RAPORU'!$C$2:$I$1000, 4, 0))), 0)</f>
        <v>0</v>
      </c>
      <c r="U9502" s="22">
        <f t="shared" si="668"/>
        <v>0</v>
      </c>
      <c r="V9502">
        <f t="shared" si="669"/>
        <v>0</v>
      </c>
      <c r="W9502" s="22">
        <f t="shared" si="670"/>
        <v>0</v>
      </c>
    </row>
    <row r="9503" spans="1:23" hidden="1" x14ac:dyDescent="0.25">
      <c r="A9503" s="4"/>
      <c r="B9503" s="4"/>
      <c r="C9503" s="4"/>
      <c r="D9503" s="4"/>
      <c r="E9503" s="4"/>
      <c r="F9503" s="4"/>
      <c r="G9503" s="4"/>
      <c r="H9503" s="4"/>
      <c r="I9503" s="4"/>
      <c r="J9503" s="21">
        <f>IFERROR(VLOOKUP(C9503,'STOK KARTLARI'!$C$2:$K$2150,8,0),0)</f>
        <v>0</v>
      </c>
      <c r="K9503" s="21">
        <f t="shared" si="671"/>
        <v>0</v>
      </c>
      <c r="L9503" s="5">
        <f t="shared" si="673"/>
        <v>0</v>
      </c>
      <c r="M9503" s="4"/>
      <c r="N9503" s="4"/>
      <c r="O9503" s="5"/>
      <c r="P9503" s="5"/>
      <c r="Q9503" s="21">
        <f t="shared" si="674"/>
        <v>0</v>
      </c>
      <c r="R9503" s="21">
        <f t="shared" si="672"/>
        <v>0</v>
      </c>
      <c r="S9503" s="5">
        <f t="shared" si="675"/>
        <v>70007.077158325032</v>
      </c>
      <c r="T9503" cm="1">
        <f t="array" ref="T9503">IF(OR(B9503="MAL ALIMI", B9503="ÜRETİM GİRİŞ"), MIN(I9503, MAX(0, I9503 + SUM(SUMIFS($I$1:I9502, $C$1:C9502, C9503, $B$1:B9502, {"MAL ALIMI","ÜRETİM GİRİŞ"})) - VLOOKUP(C9503, 'STOK RAPORU'!$C$2:$I$1000, 4, 0))), 0)</f>
        <v>0</v>
      </c>
      <c r="U9503" s="22">
        <f t="shared" si="668"/>
        <v>0</v>
      </c>
      <c r="V9503">
        <f t="shared" si="669"/>
        <v>0</v>
      </c>
      <c r="W9503" s="22">
        <f t="shared" si="670"/>
        <v>0</v>
      </c>
    </row>
    <row r="9504" spans="1:23" hidden="1" x14ac:dyDescent="0.25">
      <c r="A9504" s="4"/>
      <c r="B9504" s="4"/>
      <c r="C9504" s="4"/>
      <c r="D9504" s="4"/>
      <c r="E9504" s="4"/>
      <c r="F9504" s="4"/>
      <c r="G9504" s="4"/>
      <c r="H9504" s="4"/>
      <c r="I9504" s="4"/>
      <c r="J9504" s="21">
        <f>IFERROR(VLOOKUP(C9504,'STOK KARTLARI'!$C$2:$K$2150,8,0),0)</f>
        <v>0</v>
      </c>
      <c r="K9504" s="21">
        <f t="shared" si="671"/>
        <v>0</v>
      </c>
      <c r="L9504" s="5">
        <f t="shared" si="673"/>
        <v>0</v>
      </c>
      <c r="M9504" s="4"/>
      <c r="N9504" s="4"/>
      <c r="O9504" s="5"/>
      <c r="P9504" s="5"/>
      <c r="Q9504" s="21">
        <f t="shared" si="674"/>
        <v>0</v>
      </c>
      <c r="R9504" s="21">
        <f t="shared" si="672"/>
        <v>0</v>
      </c>
      <c r="S9504" s="5">
        <f t="shared" si="675"/>
        <v>70007.077158325032</v>
      </c>
      <c r="T9504" cm="1">
        <f t="array" ref="T9504">IF(OR(B9504="MAL ALIMI", B9504="ÜRETİM GİRİŞ"), MIN(I9504, MAX(0, I9504 + SUM(SUMIFS($I$1:I9503, $C$1:C9503, C9504, $B$1:B9503, {"MAL ALIMI","ÜRETİM GİRİŞ"})) - VLOOKUP(C9504, 'STOK RAPORU'!$C$2:$I$1000, 4, 0))), 0)</f>
        <v>0</v>
      </c>
      <c r="U9504" s="22">
        <f t="shared" si="668"/>
        <v>0</v>
      </c>
      <c r="V9504">
        <f t="shared" si="669"/>
        <v>0</v>
      </c>
      <c r="W9504" s="22">
        <f t="shared" si="670"/>
        <v>0</v>
      </c>
    </row>
    <row r="9505" spans="1:23" hidden="1" x14ac:dyDescent="0.25">
      <c r="A9505" s="4"/>
      <c r="B9505" s="4"/>
      <c r="C9505" s="4"/>
      <c r="D9505" s="4"/>
      <c r="E9505" s="4"/>
      <c r="F9505" s="4"/>
      <c r="G9505" s="4"/>
      <c r="H9505" s="4"/>
      <c r="I9505" s="4"/>
      <c r="J9505" s="21">
        <f>IFERROR(VLOOKUP(C9505,'STOK KARTLARI'!$C$2:$K$2150,8,0),0)</f>
        <v>0</v>
      </c>
      <c r="K9505" s="21">
        <f t="shared" si="671"/>
        <v>0</v>
      </c>
      <c r="L9505" s="5">
        <f t="shared" si="673"/>
        <v>0</v>
      </c>
      <c r="M9505" s="4"/>
      <c r="N9505" s="4"/>
      <c r="O9505" s="5"/>
      <c r="P9505" s="5"/>
      <c r="Q9505" s="21">
        <f t="shared" si="674"/>
        <v>0</v>
      </c>
      <c r="R9505" s="21">
        <f t="shared" si="672"/>
        <v>0</v>
      </c>
      <c r="S9505" s="5">
        <f t="shared" si="675"/>
        <v>70007.077158325032</v>
      </c>
      <c r="T9505" cm="1">
        <f t="array" ref="T9505">IF(OR(B9505="MAL ALIMI", B9505="ÜRETİM GİRİŞ"), MIN(I9505, MAX(0, I9505 + SUM(SUMIFS($I$1:I9504, $C$1:C9504, C9505, $B$1:B9504, {"MAL ALIMI","ÜRETİM GİRİŞ"})) - VLOOKUP(C9505, 'STOK RAPORU'!$C$2:$I$1000, 4, 0))), 0)</f>
        <v>0</v>
      </c>
      <c r="U9505" s="22">
        <f t="shared" si="668"/>
        <v>0</v>
      </c>
      <c r="V9505">
        <f t="shared" si="669"/>
        <v>0</v>
      </c>
      <c r="W9505" s="22">
        <f t="shared" si="670"/>
        <v>0</v>
      </c>
    </row>
    <row r="9506" spans="1:23" hidden="1" x14ac:dyDescent="0.25">
      <c r="A9506" s="3"/>
      <c r="B9506" s="4"/>
      <c r="C9506" s="4"/>
      <c r="D9506" s="4"/>
      <c r="E9506" s="4"/>
      <c r="F9506" s="4"/>
      <c r="G9506" s="4"/>
      <c r="H9506" s="4"/>
      <c r="I9506" s="4"/>
      <c r="J9506" s="21">
        <f>IFERROR(VLOOKUP(C9506,'STOK KARTLARI'!$C$2:$K$2150,8,0),0)</f>
        <v>0</v>
      </c>
      <c r="K9506" s="21">
        <f t="shared" si="671"/>
        <v>0</v>
      </c>
      <c r="L9506" s="5">
        <f t="shared" si="673"/>
        <v>0</v>
      </c>
      <c r="M9506" s="4"/>
      <c r="N9506" s="4"/>
      <c r="O9506" s="5"/>
      <c r="P9506" s="5"/>
      <c r="Q9506" s="21">
        <f t="shared" si="674"/>
        <v>0</v>
      </c>
      <c r="R9506" s="21">
        <f t="shared" si="672"/>
        <v>0</v>
      </c>
      <c r="S9506" s="5">
        <f t="shared" si="675"/>
        <v>70007.077158325032</v>
      </c>
      <c r="T9506" cm="1">
        <f t="array" ref="T9506">IF(OR(B9506="MAL ALIMI", B9506="ÜRETİM GİRİŞ"), MIN(I9506, MAX(0, I9506 + SUM(SUMIFS($I$1:I9505, $C$1:C9505, C9506, $B$1:B9505, {"MAL ALIMI","ÜRETİM GİRİŞ"})) - VLOOKUP(C9506, 'STOK RAPORU'!$C$2:$I$1000, 4, 0))), 0)</f>
        <v>0</v>
      </c>
      <c r="U9506" s="22">
        <f t="shared" si="668"/>
        <v>0</v>
      </c>
      <c r="V9506">
        <f t="shared" si="669"/>
        <v>0</v>
      </c>
      <c r="W9506" s="22">
        <f t="shared" si="670"/>
        <v>0</v>
      </c>
    </row>
    <row r="9507" spans="1:23" hidden="1" x14ac:dyDescent="0.25">
      <c r="A9507" s="4"/>
      <c r="B9507" s="4"/>
      <c r="C9507" s="4"/>
      <c r="D9507" s="4"/>
      <c r="E9507" s="4"/>
      <c r="F9507" s="4"/>
      <c r="G9507" s="4"/>
      <c r="H9507" s="4"/>
      <c r="I9507" s="4"/>
      <c r="J9507" s="21">
        <f>IFERROR(VLOOKUP(C9507,'STOK KARTLARI'!$C$2:$K$2150,8,0),0)</f>
        <v>0</v>
      </c>
      <c r="K9507" s="21">
        <f t="shared" si="671"/>
        <v>0</v>
      </c>
      <c r="L9507" s="5">
        <f t="shared" si="673"/>
        <v>0</v>
      </c>
      <c r="M9507" s="4"/>
      <c r="N9507" s="4"/>
      <c r="O9507" s="5"/>
      <c r="P9507" s="5"/>
      <c r="Q9507" s="21">
        <f t="shared" si="674"/>
        <v>0</v>
      </c>
      <c r="R9507" s="21">
        <f t="shared" si="672"/>
        <v>0</v>
      </c>
      <c r="S9507" s="5">
        <f t="shared" si="675"/>
        <v>70007.077158325032</v>
      </c>
      <c r="T9507" cm="1">
        <f t="array" ref="T9507">IF(OR(B9507="MAL ALIMI", B9507="ÜRETİM GİRİŞ"), MIN(I9507, MAX(0, I9507 + SUM(SUMIFS($I$1:I9506, $C$1:C9506, C9507, $B$1:B9506, {"MAL ALIMI","ÜRETİM GİRİŞ"})) - VLOOKUP(C9507, 'STOK RAPORU'!$C$2:$I$1000, 4, 0))), 0)</f>
        <v>0</v>
      </c>
      <c r="U9507" s="22">
        <f t="shared" si="668"/>
        <v>0</v>
      </c>
      <c r="V9507">
        <f t="shared" si="669"/>
        <v>0</v>
      </c>
      <c r="W9507" s="22">
        <f t="shared" si="670"/>
        <v>0</v>
      </c>
    </row>
    <row r="9508" spans="1:23" hidden="1" x14ac:dyDescent="0.25">
      <c r="A9508" s="4"/>
      <c r="B9508" s="4"/>
      <c r="C9508" s="4"/>
      <c r="D9508" s="4"/>
      <c r="E9508" s="4"/>
      <c r="F9508" s="4"/>
      <c r="G9508" s="4"/>
      <c r="H9508" s="4"/>
      <c r="I9508" s="4"/>
      <c r="J9508" s="21">
        <f>IFERROR(VLOOKUP(C9508,'STOK KARTLARI'!$C$2:$K$2150,8,0),0)</f>
        <v>0</v>
      </c>
      <c r="K9508" s="21">
        <f t="shared" si="671"/>
        <v>0</v>
      </c>
      <c r="L9508" s="5">
        <f t="shared" si="673"/>
        <v>0</v>
      </c>
      <c r="M9508" s="4"/>
      <c r="N9508" s="4"/>
      <c r="O9508" s="5"/>
      <c r="P9508" s="5"/>
      <c r="Q9508" s="21">
        <f t="shared" si="674"/>
        <v>0</v>
      </c>
      <c r="R9508" s="21">
        <f t="shared" si="672"/>
        <v>0</v>
      </c>
      <c r="S9508" s="5">
        <f t="shared" si="675"/>
        <v>70007.077158325032</v>
      </c>
      <c r="T9508" cm="1">
        <f t="array" ref="T9508">IF(OR(B9508="MAL ALIMI", B9508="ÜRETİM GİRİŞ"), MIN(I9508, MAX(0, I9508 + SUM(SUMIFS($I$1:I9507, $C$1:C9507, C9508, $B$1:B9507, {"MAL ALIMI","ÜRETİM GİRİŞ"})) - VLOOKUP(C9508, 'STOK RAPORU'!$C$2:$I$1000, 4, 0))), 0)</f>
        <v>0</v>
      </c>
      <c r="U9508" s="22">
        <f t="shared" si="668"/>
        <v>0</v>
      </c>
      <c r="V9508">
        <f t="shared" si="669"/>
        <v>0</v>
      </c>
      <c r="W9508" s="22">
        <f t="shared" si="670"/>
        <v>0</v>
      </c>
    </row>
    <row r="9509" spans="1:23" hidden="1" x14ac:dyDescent="0.25">
      <c r="A9509" s="4"/>
      <c r="B9509" s="4"/>
      <c r="C9509" s="4"/>
      <c r="D9509" s="4"/>
      <c r="E9509" s="4"/>
      <c r="F9509" s="4"/>
      <c r="G9509" s="4"/>
      <c r="H9509" s="4"/>
      <c r="I9509" s="4"/>
      <c r="J9509" s="21">
        <f>IFERROR(VLOOKUP(C9509,'STOK KARTLARI'!$C$2:$K$2150,8,0),0)</f>
        <v>0</v>
      </c>
      <c r="K9509" s="21">
        <f t="shared" si="671"/>
        <v>0</v>
      </c>
      <c r="L9509" s="5">
        <f t="shared" si="673"/>
        <v>0</v>
      </c>
      <c r="M9509" s="4"/>
      <c r="N9509" s="4"/>
      <c r="O9509" s="5"/>
      <c r="P9509" s="5"/>
      <c r="Q9509" s="21">
        <f t="shared" si="674"/>
        <v>0</v>
      </c>
      <c r="R9509" s="21">
        <f t="shared" si="672"/>
        <v>0</v>
      </c>
      <c r="S9509" s="5">
        <f t="shared" si="675"/>
        <v>70007.077158325032</v>
      </c>
      <c r="T9509" cm="1">
        <f t="array" ref="T9509">IF(OR(B9509="MAL ALIMI", B9509="ÜRETİM GİRİŞ"), MIN(I9509, MAX(0, I9509 + SUM(SUMIFS($I$1:I9508, $C$1:C9508, C9509, $B$1:B9508, {"MAL ALIMI","ÜRETİM GİRİŞ"})) - VLOOKUP(C9509, 'STOK RAPORU'!$C$2:$I$1000, 4, 0))), 0)</f>
        <v>0</v>
      </c>
      <c r="U9509" s="22">
        <f t="shared" si="668"/>
        <v>0</v>
      </c>
      <c r="V9509">
        <f t="shared" si="669"/>
        <v>0</v>
      </c>
      <c r="W9509" s="22">
        <f t="shared" si="670"/>
        <v>0</v>
      </c>
    </row>
    <row r="9510" spans="1:23" hidden="1" x14ac:dyDescent="0.25">
      <c r="A9510" s="4"/>
      <c r="B9510" s="4"/>
      <c r="C9510" s="4"/>
      <c r="D9510" s="4"/>
      <c r="E9510" s="4"/>
      <c r="F9510" s="4"/>
      <c r="G9510" s="4"/>
      <c r="H9510" s="4"/>
      <c r="I9510" s="4"/>
      <c r="J9510" s="21">
        <f>IFERROR(VLOOKUP(C9510,'STOK KARTLARI'!$C$2:$K$2150,8,0),0)</f>
        <v>0</v>
      </c>
      <c r="K9510" s="21">
        <f t="shared" si="671"/>
        <v>0</v>
      </c>
      <c r="L9510" s="5">
        <f t="shared" si="673"/>
        <v>0</v>
      </c>
      <c r="M9510" s="4"/>
      <c r="N9510" s="4"/>
      <c r="O9510" s="5"/>
      <c r="P9510" s="5"/>
      <c r="Q9510" s="21">
        <f t="shared" si="674"/>
        <v>0</v>
      </c>
      <c r="R9510" s="21">
        <f t="shared" si="672"/>
        <v>0</v>
      </c>
      <c r="S9510" s="5">
        <f t="shared" si="675"/>
        <v>70007.077158325032</v>
      </c>
      <c r="T9510" cm="1">
        <f t="array" ref="T9510">IF(OR(B9510="MAL ALIMI", B9510="ÜRETİM GİRİŞ"), MIN(I9510, MAX(0, I9510 + SUM(SUMIFS($I$1:I9509, $C$1:C9509, C9510, $B$1:B9509, {"MAL ALIMI","ÜRETİM GİRİŞ"})) - VLOOKUP(C9510, 'STOK RAPORU'!$C$2:$I$1000, 4, 0))), 0)</f>
        <v>0</v>
      </c>
      <c r="U9510" s="22">
        <f t="shared" si="668"/>
        <v>0</v>
      </c>
      <c r="V9510">
        <f t="shared" si="669"/>
        <v>0</v>
      </c>
      <c r="W9510" s="22">
        <f t="shared" si="670"/>
        <v>0</v>
      </c>
    </row>
    <row r="9511" spans="1:23" hidden="1" x14ac:dyDescent="0.25">
      <c r="A9511" s="4"/>
      <c r="B9511" s="4"/>
      <c r="C9511" s="4"/>
      <c r="D9511" s="4"/>
      <c r="E9511" s="4"/>
      <c r="F9511" s="4"/>
      <c r="G9511" s="4"/>
      <c r="H9511" s="4"/>
      <c r="I9511" s="4"/>
      <c r="J9511" s="21">
        <f>IFERROR(VLOOKUP(C9511,'STOK KARTLARI'!$C$2:$K$2150,8,0),0)</f>
        <v>0</v>
      </c>
      <c r="K9511" s="21">
        <f t="shared" si="671"/>
        <v>0</v>
      </c>
      <c r="L9511" s="5">
        <f t="shared" si="673"/>
        <v>0</v>
      </c>
      <c r="M9511" s="4"/>
      <c r="N9511" s="4"/>
      <c r="O9511" s="5"/>
      <c r="P9511" s="5"/>
      <c r="Q9511" s="21">
        <f t="shared" si="674"/>
        <v>0</v>
      </c>
      <c r="R9511" s="21">
        <f t="shared" si="672"/>
        <v>0</v>
      </c>
      <c r="S9511" s="5">
        <f t="shared" si="675"/>
        <v>70007.077158325032</v>
      </c>
      <c r="T9511" cm="1">
        <f t="array" ref="T9511">IF(OR(B9511="MAL ALIMI", B9511="ÜRETİM GİRİŞ"), MIN(I9511, MAX(0, I9511 + SUM(SUMIFS($I$1:I9510, $C$1:C9510, C9511, $B$1:B9510, {"MAL ALIMI","ÜRETİM GİRİŞ"})) - VLOOKUP(C9511, 'STOK RAPORU'!$C$2:$I$1000, 4, 0))), 0)</f>
        <v>0</v>
      </c>
      <c r="U9511" s="22">
        <f t="shared" si="668"/>
        <v>0</v>
      </c>
      <c r="V9511">
        <f t="shared" si="669"/>
        <v>0</v>
      </c>
      <c r="W9511" s="22">
        <f t="shared" si="670"/>
        <v>0</v>
      </c>
    </row>
    <row r="9512" spans="1:23" hidden="1" x14ac:dyDescent="0.25">
      <c r="A9512" s="4"/>
      <c r="B9512" s="4"/>
      <c r="C9512" s="4"/>
      <c r="D9512" s="4"/>
      <c r="E9512" s="4"/>
      <c r="F9512" s="4"/>
      <c r="G9512" s="4"/>
      <c r="H9512" s="4"/>
      <c r="I9512" s="4"/>
      <c r="J9512" s="21">
        <f>IFERROR(VLOOKUP(C9512,'STOK KARTLARI'!$C$2:$K$2150,8,0),0)</f>
        <v>0</v>
      </c>
      <c r="K9512" s="21">
        <f t="shared" si="671"/>
        <v>0</v>
      </c>
      <c r="L9512" s="5">
        <f t="shared" si="673"/>
        <v>0</v>
      </c>
      <c r="M9512" s="4"/>
      <c r="N9512" s="4"/>
      <c r="O9512" s="5"/>
      <c r="P9512" s="5"/>
      <c r="Q9512" s="21">
        <f t="shared" si="674"/>
        <v>0</v>
      </c>
      <c r="R9512" s="21">
        <f t="shared" si="672"/>
        <v>0</v>
      </c>
      <c r="S9512" s="5">
        <f t="shared" si="675"/>
        <v>70007.077158325032</v>
      </c>
      <c r="T9512" cm="1">
        <f t="array" ref="T9512">IF(OR(B9512="MAL ALIMI", B9512="ÜRETİM GİRİŞ"), MIN(I9512, MAX(0, I9512 + SUM(SUMIFS($I$1:I9511, $C$1:C9511, C9512, $B$1:B9511, {"MAL ALIMI","ÜRETİM GİRİŞ"})) - VLOOKUP(C9512, 'STOK RAPORU'!$C$2:$I$1000, 4, 0))), 0)</f>
        <v>0</v>
      </c>
      <c r="U9512" s="22">
        <f t="shared" si="668"/>
        <v>0</v>
      </c>
      <c r="V9512">
        <f t="shared" si="669"/>
        <v>0</v>
      </c>
      <c r="W9512" s="22">
        <f t="shared" si="670"/>
        <v>0</v>
      </c>
    </row>
    <row r="9513" spans="1:23" hidden="1" x14ac:dyDescent="0.25">
      <c r="A9513" s="3"/>
      <c r="B9513" s="4"/>
      <c r="C9513" s="4"/>
      <c r="D9513" s="4"/>
      <c r="E9513" s="4"/>
      <c r="F9513" s="4"/>
      <c r="G9513" s="4"/>
      <c r="H9513" s="4"/>
      <c r="I9513" s="4"/>
      <c r="J9513" s="21">
        <f>IFERROR(VLOOKUP(C9513,'STOK KARTLARI'!$C$2:$K$2150,8,0),0)</f>
        <v>0</v>
      </c>
      <c r="K9513" s="21">
        <f t="shared" si="671"/>
        <v>0</v>
      </c>
      <c r="L9513" s="5">
        <f t="shared" si="673"/>
        <v>0</v>
      </c>
      <c r="M9513" s="4"/>
      <c r="N9513" s="4"/>
      <c r="O9513" s="5"/>
      <c r="P9513" s="5"/>
      <c r="Q9513" s="21">
        <f t="shared" si="674"/>
        <v>0</v>
      </c>
      <c r="R9513" s="21">
        <f t="shared" si="672"/>
        <v>0</v>
      </c>
      <c r="S9513" s="5">
        <f t="shared" si="675"/>
        <v>70007.077158325032</v>
      </c>
      <c r="T9513" cm="1">
        <f t="array" ref="T9513">IF(OR(B9513="MAL ALIMI", B9513="ÜRETİM GİRİŞ"), MIN(I9513, MAX(0, I9513 + SUM(SUMIFS($I$1:I9512, $C$1:C9512, C9513, $B$1:B9512, {"MAL ALIMI","ÜRETİM GİRİŞ"})) - VLOOKUP(C9513, 'STOK RAPORU'!$C$2:$I$1000, 4, 0))), 0)</f>
        <v>0</v>
      </c>
      <c r="U9513" s="22">
        <f t="shared" si="668"/>
        <v>0</v>
      </c>
      <c r="V9513">
        <f t="shared" si="669"/>
        <v>0</v>
      </c>
      <c r="W9513" s="22">
        <f t="shared" si="670"/>
        <v>0</v>
      </c>
    </row>
    <row r="9514" spans="1:23" hidden="1" x14ac:dyDescent="0.25">
      <c r="A9514" s="4"/>
      <c r="B9514" s="4"/>
      <c r="C9514" s="4"/>
      <c r="D9514" s="4"/>
      <c r="E9514" s="4"/>
      <c r="F9514" s="4"/>
      <c r="G9514" s="4"/>
      <c r="H9514" s="4"/>
      <c r="I9514" s="4"/>
      <c r="J9514" s="21">
        <f>IFERROR(VLOOKUP(C9514,'STOK KARTLARI'!$C$2:$K$2150,8,0),0)</f>
        <v>0</v>
      </c>
      <c r="K9514" s="21">
        <f t="shared" si="671"/>
        <v>0</v>
      </c>
      <c r="L9514" s="5">
        <f t="shared" si="673"/>
        <v>0</v>
      </c>
      <c r="M9514" s="4"/>
      <c r="N9514" s="4"/>
      <c r="O9514" s="5"/>
      <c r="P9514" s="5"/>
      <c r="Q9514" s="21">
        <f t="shared" si="674"/>
        <v>0</v>
      </c>
      <c r="R9514" s="21">
        <f t="shared" si="672"/>
        <v>0</v>
      </c>
      <c r="S9514" s="5">
        <f t="shared" si="675"/>
        <v>70007.077158325032</v>
      </c>
      <c r="T9514" cm="1">
        <f t="array" ref="T9514">IF(OR(B9514="MAL ALIMI", B9514="ÜRETİM GİRİŞ"), MIN(I9514, MAX(0, I9514 + SUM(SUMIFS($I$1:I9513, $C$1:C9513, C9514, $B$1:B9513, {"MAL ALIMI","ÜRETİM GİRİŞ"})) - VLOOKUP(C9514, 'STOK RAPORU'!$C$2:$I$1000, 4, 0))), 0)</f>
        <v>0</v>
      </c>
      <c r="U9514" s="22">
        <f t="shared" si="668"/>
        <v>0</v>
      </c>
      <c r="V9514">
        <f t="shared" si="669"/>
        <v>0</v>
      </c>
      <c r="W9514" s="22">
        <f t="shared" si="670"/>
        <v>0</v>
      </c>
    </row>
    <row r="9515" spans="1:23" hidden="1" x14ac:dyDescent="0.25">
      <c r="A9515" s="4"/>
      <c r="B9515" s="4"/>
      <c r="C9515" s="4"/>
      <c r="D9515" s="4"/>
      <c r="E9515" s="4"/>
      <c r="F9515" s="4"/>
      <c r="G9515" s="4"/>
      <c r="H9515" s="4"/>
      <c r="I9515" s="4"/>
      <c r="J9515" s="21">
        <f>IFERROR(VLOOKUP(C9515,'STOK KARTLARI'!$C$2:$K$2150,8,0),0)</f>
        <v>0</v>
      </c>
      <c r="K9515" s="21">
        <f t="shared" si="671"/>
        <v>0</v>
      </c>
      <c r="L9515" s="5">
        <f t="shared" si="673"/>
        <v>0</v>
      </c>
      <c r="M9515" s="4"/>
      <c r="N9515" s="4"/>
      <c r="O9515" s="5"/>
      <c r="P9515" s="5"/>
      <c r="Q9515" s="21">
        <f t="shared" si="674"/>
        <v>0</v>
      </c>
      <c r="R9515" s="21">
        <f t="shared" si="672"/>
        <v>0</v>
      </c>
      <c r="S9515" s="5">
        <f t="shared" si="675"/>
        <v>70007.077158325032</v>
      </c>
      <c r="T9515" cm="1">
        <f t="array" ref="T9515">IF(OR(B9515="MAL ALIMI", B9515="ÜRETİM GİRİŞ"), MIN(I9515, MAX(0, I9515 + SUM(SUMIFS($I$1:I9514, $C$1:C9514, C9515, $B$1:B9514, {"MAL ALIMI","ÜRETİM GİRİŞ"})) - VLOOKUP(C9515, 'STOK RAPORU'!$C$2:$I$1000, 4, 0))), 0)</f>
        <v>0</v>
      </c>
      <c r="U9515" s="22">
        <f t="shared" si="668"/>
        <v>0</v>
      </c>
      <c r="V9515">
        <f t="shared" si="669"/>
        <v>0</v>
      </c>
      <c r="W9515" s="22">
        <f t="shared" si="670"/>
        <v>0</v>
      </c>
    </row>
    <row r="9516" spans="1:23" hidden="1" x14ac:dyDescent="0.25">
      <c r="A9516" s="4"/>
      <c r="B9516" s="4"/>
      <c r="C9516" s="4"/>
      <c r="D9516" s="4"/>
      <c r="E9516" s="4"/>
      <c r="F9516" s="4"/>
      <c r="G9516" s="4"/>
      <c r="H9516" s="4"/>
      <c r="I9516" s="4"/>
      <c r="J9516" s="21">
        <f>IFERROR(VLOOKUP(C9516,'STOK KARTLARI'!$C$2:$K$2150,8,0),0)</f>
        <v>0</v>
      </c>
      <c r="K9516" s="21">
        <f t="shared" si="671"/>
        <v>0</v>
      </c>
      <c r="L9516" s="5">
        <f t="shared" si="673"/>
        <v>0</v>
      </c>
      <c r="M9516" s="4"/>
      <c r="N9516" s="4"/>
      <c r="O9516" s="5"/>
      <c r="P9516" s="5"/>
      <c r="Q9516" s="21">
        <f t="shared" si="674"/>
        <v>0</v>
      </c>
      <c r="R9516" s="21">
        <f t="shared" si="672"/>
        <v>0</v>
      </c>
      <c r="S9516" s="5">
        <f t="shared" si="675"/>
        <v>70007.077158325032</v>
      </c>
      <c r="T9516" cm="1">
        <f t="array" ref="T9516">IF(OR(B9516="MAL ALIMI", B9516="ÜRETİM GİRİŞ"), MIN(I9516, MAX(0, I9516 + SUM(SUMIFS($I$1:I9515, $C$1:C9515, C9516, $B$1:B9515, {"MAL ALIMI","ÜRETİM GİRİŞ"})) - VLOOKUP(C9516, 'STOK RAPORU'!$C$2:$I$1000, 4, 0))), 0)</f>
        <v>0</v>
      </c>
      <c r="U9516" s="22">
        <f t="shared" si="668"/>
        <v>0</v>
      </c>
      <c r="V9516">
        <f t="shared" si="669"/>
        <v>0</v>
      </c>
      <c r="W9516" s="22">
        <f t="shared" si="670"/>
        <v>0</v>
      </c>
    </row>
    <row r="9517" spans="1:23" hidden="1" x14ac:dyDescent="0.25">
      <c r="A9517" s="4"/>
      <c r="B9517" s="4"/>
      <c r="C9517" s="4"/>
      <c r="D9517" s="4"/>
      <c r="E9517" s="4"/>
      <c r="F9517" s="4"/>
      <c r="G9517" s="4"/>
      <c r="H9517" s="4"/>
      <c r="I9517" s="4"/>
      <c r="J9517" s="21">
        <f>IFERROR(VLOOKUP(C9517,'STOK KARTLARI'!$C$2:$K$2150,8,0),0)</f>
        <v>0</v>
      </c>
      <c r="K9517" s="21">
        <f t="shared" si="671"/>
        <v>0</v>
      </c>
      <c r="L9517" s="5">
        <f t="shared" si="673"/>
        <v>0</v>
      </c>
      <c r="M9517" s="4"/>
      <c r="N9517" s="4"/>
      <c r="O9517" s="5"/>
      <c r="P9517" s="5"/>
      <c r="Q9517" s="21">
        <f t="shared" si="674"/>
        <v>0</v>
      </c>
      <c r="R9517" s="21">
        <f t="shared" si="672"/>
        <v>0</v>
      </c>
      <c r="S9517" s="5">
        <f t="shared" si="675"/>
        <v>70007.077158325032</v>
      </c>
      <c r="T9517" cm="1">
        <f t="array" ref="T9517">IF(OR(B9517="MAL ALIMI", B9517="ÜRETİM GİRİŞ"), MIN(I9517, MAX(0, I9517 + SUM(SUMIFS($I$1:I9516, $C$1:C9516, C9517, $B$1:B9516, {"MAL ALIMI","ÜRETİM GİRİŞ"})) - VLOOKUP(C9517, 'STOK RAPORU'!$C$2:$I$1000, 4, 0))), 0)</f>
        <v>0</v>
      </c>
      <c r="U9517" s="22">
        <f t="shared" si="668"/>
        <v>0</v>
      </c>
      <c r="V9517">
        <f t="shared" si="669"/>
        <v>0</v>
      </c>
      <c r="W9517" s="22">
        <f t="shared" si="670"/>
        <v>0</v>
      </c>
    </row>
    <row r="9518" spans="1:23" hidden="1" x14ac:dyDescent="0.25">
      <c r="A9518" s="4"/>
      <c r="B9518" s="4"/>
      <c r="C9518" s="4"/>
      <c r="D9518" s="4"/>
      <c r="E9518" s="4"/>
      <c r="F9518" s="4"/>
      <c r="G9518" s="4"/>
      <c r="H9518" s="4"/>
      <c r="I9518" s="4"/>
      <c r="J9518" s="21">
        <f>IFERROR(VLOOKUP(C9518,'STOK KARTLARI'!$C$2:$K$2150,8,0),0)</f>
        <v>0</v>
      </c>
      <c r="K9518" s="21">
        <f t="shared" si="671"/>
        <v>0</v>
      </c>
      <c r="L9518" s="5">
        <f t="shared" si="673"/>
        <v>0</v>
      </c>
      <c r="M9518" s="4"/>
      <c r="N9518" s="4"/>
      <c r="O9518" s="5"/>
      <c r="P9518" s="5"/>
      <c r="Q9518" s="21">
        <f t="shared" si="674"/>
        <v>0</v>
      </c>
      <c r="R9518" s="21">
        <f t="shared" si="672"/>
        <v>0</v>
      </c>
      <c r="S9518" s="5">
        <f t="shared" si="675"/>
        <v>70007.077158325032</v>
      </c>
      <c r="T9518" cm="1">
        <f t="array" ref="T9518">IF(OR(B9518="MAL ALIMI", B9518="ÜRETİM GİRİŞ"), MIN(I9518, MAX(0, I9518 + SUM(SUMIFS($I$1:I9517, $C$1:C9517, C9518, $B$1:B9517, {"MAL ALIMI","ÜRETİM GİRİŞ"})) - VLOOKUP(C9518, 'STOK RAPORU'!$C$2:$I$1000, 4, 0))), 0)</f>
        <v>0</v>
      </c>
      <c r="U9518" s="22">
        <f t="shared" si="668"/>
        <v>0</v>
      </c>
      <c r="V9518">
        <f t="shared" si="669"/>
        <v>0</v>
      </c>
      <c r="W9518" s="22">
        <f t="shared" si="670"/>
        <v>0</v>
      </c>
    </row>
    <row r="9519" spans="1:23" hidden="1" x14ac:dyDescent="0.25">
      <c r="A9519" s="4"/>
      <c r="B9519" s="4"/>
      <c r="C9519" s="4"/>
      <c r="D9519" s="4"/>
      <c r="E9519" s="4"/>
      <c r="F9519" s="4"/>
      <c r="G9519" s="4"/>
      <c r="H9519" s="4"/>
      <c r="I9519" s="4"/>
      <c r="J9519" s="21">
        <f>IFERROR(VLOOKUP(C9519,'STOK KARTLARI'!$C$2:$K$2150,8,0),0)</f>
        <v>0</v>
      </c>
      <c r="K9519" s="21">
        <f t="shared" si="671"/>
        <v>0</v>
      </c>
      <c r="L9519" s="5">
        <f t="shared" si="673"/>
        <v>0</v>
      </c>
      <c r="M9519" s="4"/>
      <c r="N9519" s="4"/>
      <c r="O9519" s="5"/>
      <c r="P9519" s="5"/>
      <c r="Q9519" s="21">
        <f t="shared" si="674"/>
        <v>0</v>
      </c>
      <c r="R9519" s="21">
        <f t="shared" si="672"/>
        <v>0</v>
      </c>
      <c r="S9519" s="5">
        <f t="shared" si="675"/>
        <v>70007.077158325032</v>
      </c>
      <c r="T9519" cm="1">
        <f t="array" ref="T9519">IF(OR(B9519="MAL ALIMI", B9519="ÜRETİM GİRİŞ"), MIN(I9519, MAX(0, I9519 + SUM(SUMIFS($I$1:I9518, $C$1:C9518, C9519, $B$1:B9518, {"MAL ALIMI","ÜRETİM GİRİŞ"})) - VLOOKUP(C9519, 'STOK RAPORU'!$C$2:$I$1000, 4, 0))), 0)</f>
        <v>0</v>
      </c>
      <c r="U9519" s="22">
        <f t="shared" ref="U9519:U9582" si="676">T9519*J9519</f>
        <v>0</v>
      </c>
      <c r="V9519">
        <f t="shared" ref="V9519:V9582" si="677">IF(OR(B9519="MAL ALIMI", B9519="ÜRETİM GİRİŞ"), I9519 * J9519, 0)</f>
        <v>0</v>
      </c>
      <c r="W9519" s="22">
        <f t="shared" ref="W9519:W9582" si="678">V9519-U9519</f>
        <v>0</v>
      </c>
    </row>
    <row r="9520" spans="1:23" hidden="1" x14ac:dyDescent="0.25">
      <c r="A9520" s="3"/>
      <c r="B9520" s="4"/>
      <c r="C9520" s="4"/>
      <c r="D9520" s="4"/>
      <c r="E9520" s="4"/>
      <c r="F9520" s="4"/>
      <c r="G9520" s="4"/>
      <c r="H9520" s="4"/>
      <c r="I9520" s="4"/>
      <c r="J9520" s="21">
        <f>IFERROR(VLOOKUP(C9520,'STOK KARTLARI'!$C$2:$K$2150,8,0),0)</f>
        <v>0</v>
      </c>
      <c r="K9520" s="21">
        <f t="shared" si="671"/>
        <v>0</v>
      </c>
      <c r="L9520" s="5">
        <f t="shared" si="673"/>
        <v>0</v>
      </c>
      <c r="M9520" s="4"/>
      <c r="N9520" s="4"/>
      <c r="O9520" s="5"/>
      <c r="P9520" s="5"/>
      <c r="Q9520" s="21">
        <f t="shared" si="674"/>
        <v>0</v>
      </c>
      <c r="R9520" s="21">
        <f t="shared" si="672"/>
        <v>0</v>
      </c>
      <c r="S9520" s="5">
        <f t="shared" si="675"/>
        <v>70007.077158325032</v>
      </c>
      <c r="T9520" cm="1">
        <f t="array" ref="T9520">IF(OR(B9520="MAL ALIMI", B9520="ÜRETİM GİRİŞ"), MIN(I9520, MAX(0, I9520 + SUM(SUMIFS($I$1:I9519, $C$1:C9519, C9520, $B$1:B9519, {"MAL ALIMI","ÜRETİM GİRİŞ"})) - VLOOKUP(C9520, 'STOK RAPORU'!$C$2:$I$1000, 4, 0))), 0)</f>
        <v>0</v>
      </c>
      <c r="U9520" s="22">
        <f t="shared" si="676"/>
        <v>0</v>
      </c>
      <c r="V9520">
        <f t="shared" si="677"/>
        <v>0</v>
      </c>
      <c r="W9520" s="22">
        <f t="shared" si="678"/>
        <v>0</v>
      </c>
    </row>
    <row r="9521" spans="1:23" hidden="1" x14ac:dyDescent="0.25">
      <c r="A9521" s="4"/>
      <c r="B9521" s="4"/>
      <c r="C9521" s="4"/>
      <c r="D9521" s="4"/>
      <c r="E9521" s="4"/>
      <c r="F9521" s="4"/>
      <c r="G9521" s="4"/>
      <c r="H9521" s="4"/>
      <c r="I9521" s="4"/>
      <c r="J9521" s="21">
        <f>IFERROR(VLOOKUP(C9521,'STOK KARTLARI'!$C$2:$K$2150,8,0),0)</f>
        <v>0</v>
      </c>
      <c r="K9521" s="21">
        <f t="shared" si="671"/>
        <v>0</v>
      </c>
      <c r="L9521" s="5">
        <f t="shared" si="673"/>
        <v>0</v>
      </c>
      <c r="M9521" s="4"/>
      <c r="N9521" s="4"/>
      <c r="O9521" s="5"/>
      <c r="P9521" s="5"/>
      <c r="Q9521" s="21">
        <f t="shared" si="674"/>
        <v>0</v>
      </c>
      <c r="R9521" s="21">
        <f t="shared" si="672"/>
        <v>0</v>
      </c>
      <c r="S9521" s="5">
        <f t="shared" si="675"/>
        <v>70007.077158325032</v>
      </c>
      <c r="T9521" cm="1">
        <f t="array" ref="T9521">IF(OR(B9521="MAL ALIMI", B9521="ÜRETİM GİRİŞ"), MIN(I9521, MAX(0, I9521 + SUM(SUMIFS($I$1:I9520, $C$1:C9520, C9521, $B$1:B9520, {"MAL ALIMI","ÜRETİM GİRİŞ"})) - VLOOKUP(C9521, 'STOK RAPORU'!$C$2:$I$1000, 4, 0))), 0)</f>
        <v>0</v>
      </c>
      <c r="U9521" s="22">
        <f t="shared" si="676"/>
        <v>0</v>
      </c>
      <c r="V9521">
        <f t="shared" si="677"/>
        <v>0</v>
      </c>
      <c r="W9521" s="22">
        <f t="shared" si="678"/>
        <v>0</v>
      </c>
    </row>
    <row r="9522" spans="1:23" hidden="1" x14ac:dyDescent="0.25">
      <c r="A9522" s="4"/>
      <c r="B9522" s="4"/>
      <c r="C9522" s="4"/>
      <c r="D9522" s="4"/>
      <c r="E9522" s="4"/>
      <c r="F9522" s="4"/>
      <c r="G9522" s="4"/>
      <c r="H9522" s="4"/>
      <c r="I9522" s="4"/>
      <c r="J9522" s="21">
        <f>IFERROR(VLOOKUP(C9522,'STOK KARTLARI'!$C$2:$K$2150,8,0),0)</f>
        <v>0</v>
      </c>
      <c r="K9522" s="21">
        <f t="shared" si="671"/>
        <v>0</v>
      </c>
      <c r="L9522" s="5">
        <f t="shared" si="673"/>
        <v>0</v>
      </c>
      <c r="M9522" s="4"/>
      <c r="N9522" s="4"/>
      <c r="O9522" s="5"/>
      <c r="P9522" s="5"/>
      <c r="Q9522" s="21">
        <f t="shared" si="674"/>
        <v>0</v>
      </c>
      <c r="R9522" s="21">
        <f t="shared" si="672"/>
        <v>0</v>
      </c>
      <c r="S9522" s="5">
        <f t="shared" si="675"/>
        <v>70007.077158325032</v>
      </c>
      <c r="T9522" cm="1">
        <f t="array" ref="T9522">IF(OR(B9522="MAL ALIMI", B9522="ÜRETİM GİRİŞ"), MIN(I9522, MAX(0, I9522 + SUM(SUMIFS($I$1:I9521, $C$1:C9521, C9522, $B$1:B9521, {"MAL ALIMI","ÜRETİM GİRİŞ"})) - VLOOKUP(C9522, 'STOK RAPORU'!$C$2:$I$1000, 4, 0))), 0)</f>
        <v>0</v>
      </c>
      <c r="U9522" s="22">
        <f t="shared" si="676"/>
        <v>0</v>
      </c>
      <c r="V9522">
        <f t="shared" si="677"/>
        <v>0</v>
      </c>
      <c r="W9522" s="22">
        <f t="shared" si="678"/>
        <v>0</v>
      </c>
    </row>
    <row r="9523" spans="1:23" hidden="1" x14ac:dyDescent="0.25">
      <c r="A9523" s="4"/>
      <c r="B9523" s="4"/>
      <c r="C9523" s="4"/>
      <c r="D9523" s="4"/>
      <c r="E9523" s="4"/>
      <c r="F9523" s="4"/>
      <c r="G9523" s="4"/>
      <c r="H9523" s="4"/>
      <c r="I9523" s="4"/>
      <c r="J9523" s="21">
        <f>IFERROR(VLOOKUP(C9523,'STOK KARTLARI'!$C$2:$K$2150,8,0),0)</f>
        <v>0</v>
      </c>
      <c r="K9523" s="21">
        <f t="shared" ref="K9523:K9586" si="679">IF(AND(B9523="MAL SATIŞI", H9523="POS"),I9523*J9523,0)</f>
        <v>0</v>
      </c>
      <c r="L9523" s="5">
        <f t="shared" si="673"/>
        <v>0</v>
      </c>
      <c r="M9523" s="4"/>
      <c r="N9523" s="4"/>
      <c r="O9523" s="5"/>
      <c r="P9523" s="5"/>
      <c r="Q9523" s="21">
        <f t="shared" si="674"/>
        <v>0</v>
      </c>
      <c r="R9523" s="21">
        <f t="shared" ref="R9523:R9586" si="680">IF(AND(E9523="", B9523&lt;&gt;"MAL SATIŞI"),I9523*J9523,0)</f>
        <v>0</v>
      </c>
      <c r="S9523" s="5">
        <f t="shared" si="675"/>
        <v>70007.077158325032</v>
      </c>
      <c r="T9523" cm="1">
        <f t="array" ref="T9523">IF(OR(B9523="MAL ALIMI", B9523="ÜRETİM GİRİŞ"), MIN(I9523, MAX(0, I9523 + SUM(SUMIFS($I$1:I9522, $C$1:C9522, C9523, $B$1:B9522, {"MAL ALIMI","ÜRETİM GİRİŞ"})) - VLOOKUP(C9523, 'STOK RAPORU'!$C$2:$I$1000, 4, 0))), 0)</f>
        <v>0</v>
      </c>
      <c r="U9523" s="22">
        <f t="shared" si="676"/>
        <v>0</v>
      </c>
      <c r="V9523">
        <f t="shared" si="677"/>
        <v>0</v>
      </c>
      <c r="W9523" s="22">
        <f t="shared" si="678"/>
        <v>0</v>
      </c>
    </row>
    <row r="9524" spans="1:23" hidden="1" x14ac:dyDescent="0.25">
      <c r="A9524" s="4"/>
      <c r="B9524" s="4"/>
      <c r="C9524" s="4"/>
      <c r="D9524" s="4"/>
      <c r="E9524" s="4"/>
      <c r="F9524" s="4"/>
      <c r="G9524" s="4"/>
      <c r="H9524" s="4"/>
      <c r="I9524" s="4"/>
      <c r="J9524" s="21">
        <f>IFERROR(VLOOKUP(C9524,'STOK KARTLARI'!$C$2:$K$2150,8,0),0)</f>
        <v>0</v>
      </c>
      <c r="K9524" s="21">
        <f t="shared" si="679"/>
        <v>0</v>
      </c>
      <c r="L9524" s="5">
        <f t="shared" ref="L9524:L9587" si="681">IF(OR(E9524="", H9524="POS"),0,I9524*J9524)</f>
        <v>0</v>
      </c>
      <c r="M9524" s="4"/>
      <c r="N9524" s="4"/>
      <c r="O9524" s="5"/>
      <c r="P9524" s="5"/>
      <c r="Q9524" s="21">
        <f t="shared" ref="Q9524:Q9587" si="682">IF(AND(E9524="", B9524="MAL SATIŞI", H9524="NAKİT"),I9524*J9524,0)</f>
        <v>0</v>
      </c>
      <c r="R9524" s="21">
        <f t="shared" si="680"/>
        <v>0</v>
      </c>
      <c r="S9524" s="5">
        <f t="shared" si="675"/>
        <v>70007.077158325032</v>
      </c>
      <c r="T9524" cm="1">
        <f t="array" ref="T9524">IF(OR(B9524="MAL ALIMI", B9524="ÜRETİM GİRİŞ"), MIN(I9524, MAX(0, I9524 + SUM(SUMIFS($I$1:I9523, $C$1:C9523, C9524, $B$1:B9523, {"MAL ALIMI","ÜRETİM GİRİŞ"})) - VLOOKUP(C9524, 'STOK RAPORU'!$C$2:$I$1000, 4, 0))), 0)</f>
        <v>0</v>
      </c>
      <c r="U9524" s="22">
        <f t="shared" si="676"/>
        <v>0</v>
      </c>
      <c r="V9524">
        <f t="shared" si="677"/>
        <v>0</v>
      </c>
      <c r="W9524" s="22">
        <f t="shared" si="678"/>
        <v>0</v>
      </c>
    </row>
    <row r="9525" spans="1:23" hidden="1" x14ac:dyDescent="0.25">
      <c r="A9525" s="4"/>
      <c r="B9525" s="4"/>
      <c r="C9525" s="4"/>
      <c r="D9525" s="4"/>
      <c r="E9525" s="4"/>
      <c r="F9525" s="4"/>
      <c r="G9525" s="4"/>
      <c r="H9525" s="4"/>
      <c r="I9525" s="4"/>
      <c r="J9525" s="21">
        <f>IFERROR(VLOOKUP(C9525,'STOK KARTLARI'!$C$2:$K$2150,8,0),0)</f>
        <v>0</v>
      </c>
      <c r="K9525" s="21">
        <f t="shared" si="679"/>
        <v>0</v>
      </c>
      <c r="L9525" s="5">
        <f t="shared" si="681"/>
        <v>0</v>
      </c>
      <c r="M9525" s="4"/>
      <c r="N9525" s="4"/>
      <c r="O9525" s="5"/>
      <c r="P9525" s="5"/>
      <c r="Q9525" s="21">
        <f t="shared" si="682"/>
        <v>0</v>
      </c>
      <c r="R9525" s="21">
        <f t="shared" si="680"/>
        <v>0</v>
      </c>
      <c r="S9525" s="5">
        <f t="shared" si="675"/>
        <v>70007.077158325032</v>
      </c>
      <c r="T9525" cm="1">
        <f t="array" ref="T9525">IF(OR(B9525="MAL ALIMI", B9525="ÜRETİM GİRİŞ"), MIN(I9525, MAX(0, I9525 + SUM(SUMIFS($I$1:I9524, $C$1:C9524, C9525, $B$1:B9524, {"MAL ALIMI","ÜRETİM GİRİŞ"})) - VLOOKUP(C9525, 'STOK RAPORU'!$C$2:$I$1000, 4, 0))), 0)</f>
        <v>0</v>
      </c>
      <c r="U9525" s="22">
        <f t="shared" si="676"/>
        <v>0</v>
      </c>
      <c r="V9525">
        <f t="shared" si="677"/>
        <v>0</v>
      </c>
      <c r="W9525" s="22">
        <f t="shared" si="678"/>
        <v>0</v>
      </c>
    </row>
    <row r="9526" spans="1:23" hidden="1" x14ac:dyDescent="0.25">
      <c r="A9526" s="4"/>
      <c r="B9526" s="4"/>
      <c r="C9526" s="4"/>
      <c r="D9526" s="4"/>
      <c r="E9526" s="4"/>
      <c r="F9526" s="4"/>
      <c r="G9526" s="4"/>
      <c r="H9526" s="4"/>
      <c r="I9526" s="4"/>
      <c r="J9526" s="21">
        <f>IFERROR(VLOOKUP(C9526,'STOK KARTLARI'!$C$2:$K$2150,8,0),0)</f>
        <v>0</v>
      </c>
      <c r="K9526" s="21">
        <f t="shared" si="679"/>
        <v>0</v>
      </c>
      <c r="L9526" s="5">
        <f t="shared" si="681"/>
        <v>0</v>
      </c>
      <c r="M9526" s="4"/>
      <c r="N9526" s="4"/>
      <c r="O9526" s="5"/>
      <c r="P9526" s="5"/>
      <c r="Q9526" s="21">
        <f t="shared" si="682"/>
        <v>0</v>
      </c>
      <c r="R9526" s="21">
        <f t="shared" si="680"/>
        <v>0</v>
      </c>
      <c r="S9526" s="5">
        <f t="shared" si="675"/>
        <v>70007.077158325032</v>
      </c>
      <c r="T9526" cm="1">
        <f t="array" ref="T9526">IF(OR(B9526="MAL ALIMI", B9526="ÜRETİM GİRİŞ"), MIN(I9526, MAX(0, I9526 + SUM(SUMIFS($I$1:I9525, $C$1:C9525, C9526, $B$1:B9525, {"MAL ALIMI","ÜRETİM GİRİŞ"})) - VLOOKUP(C9526, 'STOK RAPORU'!$C$2:$I$1000, 4, 0))), 0)</f>
        <v>0</v>
      </c>
      <c r="U9526" s="22">
        <f t="shared" si="676"/>
        <v>0</v>
      </c>
      <c r="V9526">
        <f t="shared" si="677"/>
        <v>0</v>
      </c>
      <c r="W9526" s="22">
        <f t="shared" si="678"/>
        <v>0</v>
      </c>
    </row>
    <row r="9527" spans="1:23" hidden="1" x14ac:dyDescent="0.25">
      <c r="A9527" s="3"/>
      <c r="B9527" s="4"/>
      <c r="C9527" s="4"/>
      <c r="D9527" s="4"/>
      <c r="E9527" s="4"/>
      <c r="F9527" s="4"/>
      <c r="G9527" s="4"/>
      <c r="H9527" s="4"/>
      <c r="I9527" s="4"/>
      <c r="J9527" s="21">
        <f>IFERROR(VLOOKUP(C9527,'STOK KARTLARI'!$C$2:$K$2150,8,0),0)</f>
        <v>0</v>
      </c>
      <c r="K9527" s="21">
        <f t="shared" si="679"/>
        <v>0</v>
      </c>
      <c r="L9527" s="5">
        <f t="shared" si="681"/>
        <v>0</v>
      </c>
      <c r="M9527" s="4"/>
      <c r="N9527" s="4"/>
      <c r="O9527" s="5"/>
      <c r="P9527" s="5"/>
      <c r="Q9527" s="21">
        <f t="shared" si="682"/>
        <v>0</v>
      </c>
      <c r="R9527" s="21">
        <f t="shared" si="680"/>
        <v>0</v>
      </c>
      <c r="S9527" s="5">
        <f t="shared" si="675"/>
        <v>70007.077158325032</v>
      </c>
      <c r="T9527" cm="1">
        <f t="array" ref="T9527">IF(OR(B9527="MAL ALIMI", B9527="ÜRETİM GİRİŞ"), MIN(I9527, MAX(0, I9527 + SUM(SUMIFS($I$1:I9526, $C$1:C9526, C9527, $B$1:B9526, {"MAL ALIMI","ÜRETİM GİRİŞ"})) - VLOOKUP(C9527, 'STOK RAPORU'!$C$2:$I$1000, 4, 0))), 0)</f>
        <v>0</v>
      </c>
      <c r="U9527" s="22">
        <f t="shared" si="676"/>
        <v>0</v>
      </c>
      <c r="V9527">
        <f t="shared" si="677"/>
        <v>0</v>
      </c>
      <c r="W9527" s="22">
        <f t="shared" si="678"/>
        <v>0</v>
      </c>
    </row>
    <row r="9528" spans="1:23" hidden="1" x14ac:dyDescent="0.25">
      <c r="A9528" s="4"/>
      <c r="B9528" s="4"/>
      <c r="C9528" s="4"/>
      <c r="D9528" s="4"/>
      <c r="E9528" s="4"/>
      <c r="F9528" s="4"/>
      <c r="G9528" s="4"/>
      <c r="H9528" s="4"/>
      <c r="I9528" s="4"/>
      <c r="J9528" s="21">
        <f>IFERROR(VLOOKUP(C9528,'STOK KARTLARI'!$C$2:$K$2150,8,0),0)</f>
        <v>0</v>
      </c>
      <c r="K9528" s="21">
        <f t="shared" si="679"/>
        <v>0</v>
      </c>
      <c r="L9528" s="5">
        <f t="shared" si="681"/>
        <v>0</v>
      </c>
      <c r="M9528" s="4"/>
      <c r="N9528" s="4"/>
      <c r="O9528" s="5"/>
      <c r="P9528" s="5"/>
      <c r="Q9528" s="21">
        <f t="shared" si="682"/>
        <v>0</v>
      </c>
      <c r="R9528" s="21">
        <f t="shared" si="680"/>
        <v>0</v>
      </c>
      <c r="S9528" s="5">
        <f t="shared" si="675"/>
        <v>70007.077158325032</v>
      </c>
      <c r="T9528" cm="1">
        <f t="array" ref="T9528">IF(OR(B9528="MAL ALIMI", B9528="ÜRETİM GİRİŞ"), MIN(I9528, MAX(0, I9528 + SUM(SUMIFS($I$1:I9527, $C$1:C9527, C9528, $B$1:B9527, {"MAL ALIMI","ÜRETİM GİRİŞ"})) - VLOOKUP(C9528, 'STOK RAPORU'!$C$2:$I$1000, 4, 0))), 0)</f>
        <v>0</v>
      </c>
      <c r="U9528" s="22">
        <f t="shared" si="676"/>
        <v>0</v>
      </c>
      <c r="V9528">
        <f t="shared" si="677"/>
        <v>0</v>
      </c>
      <c r="W9528" s="22">
        <f t="shared" si="678"/>
        <v>0</v>
      </c>
    </row>
    <row r="9529" spans="1:23" hidden="1" x14ac:dyDescent="0.25">
      <c r="A9529" s="4"/>
      <c r="B9529" s="4"/>
      <c r="C9529" s="4"/>
      <c r="D9529" s="4"/>
      <c r="E9529" s="4"/>
      <c r="F9529" s="4"/>
      <c r="G9529" s="4"/>
      <c r="H9529" s="4"/>
      <c r="I9529" s="4"/>
      <c r="J9529" s="21">
        <f>IFERROR(VLOOKUP(C9529,'STOK KARTLARI'!$C$2:$K$2150,8,0),0)</f>
        <v>0</v>
      </c>
      <c r="K9529" s="21">
        <f t="shared" si="679"/>
        <v>0</v>
      </c>
      <c r="L9529" s="5">
        <f t="shared" si="681"/>
        <v>0</v>
      </c>
      <c r="M9529" s="4"/>
      <c r="N9529" s="4"/>
      <c r="O9529" s="5"/>
      <c r="P9529" s="5"/>
      <c r="Q9529" s="21">
        <f t="shared" si="682"/>
        <v>0</v>
      </c>
      <c r="R9529" s="21">
        <f t="shared" si="680"/>
        <v>0</v>
      </c>
      <c r="S9529" s="5">
        <f t="shared" si="675"/>
        <v>70007.077158325032</v>
      </c>
      <c r="T9529" cm="1">
        <f t="array" ref="T9529">IF(OR(B9529="MAL ALIMI", B9529="ÜRETİM GİRİŞ"), MIN(I9529, MAX(0, I9529 + SUM(SUMIFS($I$1:I9528, $C$1:C9528, C9529, $B$1:B9528, {"MAL ALIMI","ÜRETİM GİRİŞ"})) - VLOOKUP(C9529, 'STOK RAPORU'!$C$2:$I$1000, 4, 0))), 0)</f>
        <v>0</v>
      </c>
      <c r="U9529" s="22">
        <f t="shared" si="676"/>
        <v>0</v>
      </c>
      <c r="V9529">
        <f t="shared" si="677"/>
        <v>0</v>
      </c>
      <c r="W9529" s="22">
        <f t="shared" si="678"/>
        <v>0</v>
      </c>
    </row>
    <row r="9530" spans="1:23" hidden="1" x14ac:dyDescent="0.25">
      <c r="A9530" s="4"/>
      <c r="B9530" s="4"/>
      <c r="C9530" s="4"/>
      <c r="D9530" s="4"/>
      <c r="E9530" s="4"/>
      <c r="F9530" s="4"/>
      <c r="G9530" s="4"/>
      <c r="H9530" s="4"/>
      <c r="I9530" s="4"/>
      <c r="J9530" s="21">
        <f>IFERROR(VLOOKUP(C9530,'STOK KARTLARI'!$C$2:$K$2150,8,0),0)</f>
        <v>0</v>
      </c>
      <c r="K9530" s="21">
        <f t="shared" si="679"/>
        <v>0</v>
      </c>
      <c r="L9530" s="5">
        <f t="shared" si="681"/>
        <v>0</v>
      </c>
      <c r="M9530" s="4"/>
      <c r="N9530" s="4"/>
      <c r="O9530" s="5"/>
      <c r="P9530" s="5"/>
      <c r="Q9530" s="21">
        <f t="shared" si="682"/>
        <v>0</v>
      </c>
      <c r="R9530" s="21">
        <f t="shared" si="680"/>
        <v>0</v>
      </c>
      <c r="S9530" s="5">
        <f t="shared" si="675"/>
        <v>70007.077158325032</v>
      </c>
      <c r="T9530" cm="1">
        <f t="array" ref="T9530">IF(OR(B9530="MAL ALIMI", B9530="ÜRETİM GİRİŞ"), MIN(I9530, MAX(0, I9530 + SUM(SUMIFS($I$1:I9529, $C$1:C9529, C9530, $B$1:B9529, {"MAL ALIMI","ÜRETİM GİRİŞ"})) - VLOOKUP(C9530, 'STOK RAPORU'!$C$2:$I$1000, 4, 0))), 0)</f>
        <v>0</v>
      </c>
      <c r="U9530" s="22">
        <f t="shared" si="676"/>
        <v>0</v>
      </c>
      <c r="V9530">
        <f t="shared" si="677"/>
        <v>0</v>
      </c>
      <c r="W9530" s="22">
        <f t="shared" si="678"/>
        <v>0</v>
      </c>
    </row>
    <row r="9531" spans="1:23" hidden="1" x14ac:dyDescent="0.25">
      <c r="A9531" s="4"/>
      <c r="B9531" s="4"/>
      <c r="C9531" s="4"/>
      <c r="D9531" s="4"/>
      <c r="E9531" s="4"/>
      <c r="F9531" s="4"/>
      <c r="G9531" s="4"/>
      <c r="H9531" s="4"/>
      <c r="I9531" s="4"/>
      <c r="J9531" s="21">
        <f>IFERROR(VLOOKUP(C9531,'STOK KARTLARI'!$C$2:$K$2150,8,0),0)</f>
        <v>0</v>
      </c>
      <c r="K9531" s="21">
        <f t="shared" si="679"/>
        <v>0</v>
      </c>
      <c r="L9531" s="5">
        <f t="shared" si="681"/>
        <v>0</v>
      </c>
      <c r="M9531" s="4"/>
      <c r="N9531" s="4"/>
      <c r="O9531" s="5"/>
      <c r="P9531" s="5"/>
      <c r="Q9531" s="21">
        <f t="shared" si="682"/>
        <v>0</v>
      </c>
      <c r="R9531" s="21">
        <f t="shared" si="680"/>
        <v>0</v>
      </c>
      <c r="S9531" s="5">
        <f t="shared" si="675"/>
        <v>70007.077158325032</v>
      </c>
      <c r="T9531" cm="1">
        <f t="array" ref="T9531">IF(OR(B9531="MAL ALIMI", B9531="ÜRETİM GİRİŞ"), MIN(I9531, MAX(0, I9531 + SUM(SUMIFS($I$1:I9530, $C$1:C9530, C9531, $B$1:B9530, {"MAL ALIMI","ÜRETİM GİRİŞ"})) - VLOOKUP(C9531, 'STOK RAPORU'!$C$2:$I$1000, 4, 0))), 0)</f>
        <v>0</v>
      </c>
      <c r="U9531" s="22">
        <f t="shared" si="676"/>
        <v>0</v>
      </c>
      <c r="V9531">
        <f t="shared" si="677"/>
        <v>0</v>
      </c>
      <c r="W9531" s="22">
        <f t="shared" si="678"/>
        <v>0</v>
      </c>
    </row>
    <row r="9532" spans="1:23" hidden="1" x14ac:dyDescent="0.25">
      <c r="A9532" s="4"/>
      <c r="B9532" s="4"/>
      <c r="C9532" s="4"/>
      <c r="D9532" s="4"/>
      <c r="E9532" s="4"/>
      <c r="F9532" s="4"/>
      <c r="G9532" s="4"/>
      <c r="H9532" s="4"/>
      <c r="I9532" s="4"/>
      <c r="J9532" s="21">
        <f>IFERROR(VLOOKUP(C9532,'STOK KARTLARI'!$C$2:$K$2150,8,0),0)</f>
        <v>0</v>
      </c>
      <c r="K9532" s="21">
        <f t="shared" si="679"/>
        <v>0</v>
      </c>
      <c r="L9532" s="5">
        <f t="shared" si="681"/>
        <v>0</v>
      </c>
      <c r="M9532" s="4"/>
      <c r="N9532" s="4"/>
      <c r="O9532" s="5"/>
      <c r="P9532" s="5"/>
      <c r="Q9532" s="21">
        <f t="shared" si="682"/>
        <v>0</v>
      </c>
      <c r="R9532" s="21">
        <f t="shared" si="680"/>
        <v>0</v>
      </c>
      <c r="S9532" s="5">
        <f t="shared" si="675"/>
        <v>70007.077158325032</v>
      </c>
      <c r="T9532" cm="1">
        <f t="array" ref="T9532">IF(OR(B9532="MAL ALIMI", B9532="ÜRETİM GİRİŞ"), MIN(I9532, MAX(0, I9532 + SUM(SUMIFS($I$1:I9531, $C$1:C9531, C9532, $B$1:B9531, {"MAL ALIMI","ÜRETİM GİRİŞ"})) - VLOOKUP(C9532, 'STOK RAPORU'!$C$2:$I$1000, 4, 0))), 0)</f>
        <v>0</v>
      </c>
      <c r="U9532" s="22">
        <f t="shared" si="676"/>
        <v>0</v>
      </c>
      <c r="V9532">
        <f t="shared" si="677"/>
        <v>0</v>
      </c>
      <c r="W9532" s="22">
        <f t="shared" si="678"/>
        <v>0</v>
      </c>
    </row>
    <row r="9533" spans="1:23" hidden="1" x14ac:dyDescent="0.25">
      <c r="A9533" s="4"/>
      <c r="B9533" s="4"/>
      <c r="C9533" s="4"/>
      <c r="D9533" s="4"/>
      <c r="E9533" s="4"/>
      <c r="F9533" s="4"/>
      <c r="G9533" s="4"/>
      <c r="H9533" s="4"/>
      <c r="I9533" s="4"/>
      <c r="J9533" s="21">
        <f>IFERROR(VLOOKUP(C9533,'STOK KARTLARI'!$C$2:$K$2150,8,0),0)</f>
        <v>0</v>
      </c>
      <c r="K9533" s="21">
        <f t="shared" si="679"/>
        <v>0</v>
      </c>
      <c r="L9533" s="5">
        <f t="shared" si="681"/>
        <v>0</v>
      </c>
      <c r="M9533" s="4"/>
      <c r="N9533" s="4"/>
      <c r="O9533" s="5"/>
      <c r="P9533" s="5"/>
      <c r="Q9533" s="21">
        <f t="shared" si="682"/>
        <v>0</v>
      </c>
      <c r="R9533" s="21">
        <f t="shared" si="680"/>
        <v>0</v>
      </c>
      <c r="S9533" s="5">
        <f t="shared" si="675"/>
        <v>70007.077158325032</v>
      </c>
      <c r="T9533" cm="1">
        <f t="array" ref="T9533">IF(OR(B9533="MAL ALIMI", B9533="ÜRETİM GİRİŞ"), MIN(I9533, MAX(0, I9533 + SUM(SUMIFS($I$1:I9532, $C$1:C9532, C9533, $B$1:B9532, {"MAL ALIMI","ÜRETİM GİRİŞ"})) - VLOOKUP(C9533, 'STOK RAPORU'!$C$2:$I$1000, 4, 0))), 0)</f>
        <v>0</v>
      </c>
      <c r="U9533" s="22">
        <f t="shared" si="676"/>
        <v>0</v>
      </c>
      <c r="V9533">
        <f t="shared" si="677"/>
        <v>0</v>
      </c>
      <c r="W9533" s="22">
        <f t="shared" si="678"/>
        <v>0</v>
      </c>
    </row>
    <row r="9534" spans="1:23" hidden="1" x14ac:dyDescent="0.25">
      <c r="A9534" s="3"/>
      <c r="B9534" s="4"/>
      <c r="C9534" s="4"/>
      <c r="D9534" s="4"/>
      <c r="E9534" s="4"/>
      <c r="F9534" s="4"/>
      <c r="G9534" s="4"/>
      <c r="H9534" s="4"/>
      <c r="I9534" s="4"/>
      <c r="J9534" s="21">
        <f>IFERROR(VLOOKUP(C9534,'STOK KARTLARI'!$C$2:$K$2150,8,0),0)</f>
        <v>0</v>
      </c>
      <c r="K9534" s="21">
        <f t="shared" si="679"/>
        <v>0</v>
      </c>
      <c r="L9534" s="5">
        <f t="shared" si="681"/>
        <v>0</v>
      </c>
      <c r="M9534" s="4"/>
      <c r="N9534" s="4"/>
      <c r="O9534" s="5"/>
      <c r="P9534" s="5"/>
      <c r="Q9534" s="21">
        <f t="shared" si="682"/>
        <v>0</v>
      </c>
      <c r="R9534" s="21">
        <f t="shared" si="680"/>
        <v>0</v>
      </c>
      <c r="S9534" s="5">
        <f t="shared" si="675"/>
        <v>70007.077158325032</v>
      </c>
      <c r="T9534" cm="1">
        <f t="array" ref="T9534">IF(OR(B9534="MAL ALIMI", B9534="ÜRETİM GİRİŞ"), MIN(I9534, MAX(0, I9534 + SUM(SUMIFS($I$1:I9533, $C$1:C9533, C9534, $B$1:B9533, {"MAL ALIMI","ÜRETİM GİRİŞ"})) - VLOOKUP(C9534, 'STOK RAPORU'!$C$2:$I$1000, 4, 0))), 0)</f>
        <v>0</v>
      </c>
      <c r="U9534" s="22">
        <f t="shared" si="676"/>
        <v>0</v>
      </c>
      <c r="V9534">
        <f t="shared" si="677"/>
        <v>0</v>
      </c>
      <c r="W9534" s="22">
        <f t="shared" si="678"/>
        <v>0</v>
      </c>
    </row>
    <row r="9535" spans="1:23" hidden="1" x14ac:dyDescent="0.25">
      <c r="A9535" s="4"/>
      <c r="B9535" s="4"/>
      <c r="C9535" s="4"/>
      <c r="D9535" s="4"/>
      <c r="E9535" s="4"/>
      <c r="F9535" s="4"/>
      <c r="G9535" s="4"/>
      <c r="H9535" s="4"/>
      <c r="I9535" s="4"/>
      <c r="J9535" s="21">
        <f>IFERROR(VLOOKUP(C9535,'STOK KARTLARI'!$C$2:$K$2150,8,0),0)</f>
        <v>0</v>
      </c>
      <c r="K9535" s="21">
        <f t="shared" si="679"/>
        <v>0</v>
      </c>
      <c r="L9535" s="5">
        <f t="shared" si="681"/>
        <v>0</v>
      </c>
      <c r="M9535" s="4"/>
      <c r="N9535" s="4"/>
      <c r="O9535" s="5"/>
      <c r="P9535" s="5"/>
      <c r="Q9535" s="21">
        <f t="shared" si="682"/>
        <v>0</v>
      </c>
      <c r="R9535" s="21">
        <f t="shared" si="680"/>
        <v>0</v>
      </c>
      <c r="S9535" s="5">
        <f t="shared" si="675"/>
        <v>70007.077158325032</v>
      </c>
      <c r="T9535" cm="1">
        <f t="array" ref="T9535">IF(OR(B9535="MAL ALIMI", B9535="ÜRETİM GİRİŞ"), MIN(I9535, MAX(0, I9535 + SUM(SUMIFS($I$1:I9534, $C$1:C9534, C9535, $B$1:B9534, {"MAL ALIMI","ÜRETİM GİRİŞ"})) - VLOOKUP(C9535, 'STOK RAPORU'!$C$2:$I$1000, 4, 0))), 0)</f>
        <v>0</v>
      </c>
      <c r="U9535" s="22">
        <f t="shared" si="676"/>
        <v>0</v>
      </c>
      <c r="V9535">
        <f t="shared" si="677"/>
        <v>0</v>
      </c>
      <c r="W9535" s="22">
        <f t="shared" si="678"/>
        <v>0</v>
      </c>
    </row>
    <row r="9536" spans="1:23" hidden="1" x14ac:dyDescent="0.25">
      <c r="A9536" s="4"/>
      <c r="B9536" s="4"/>
      <c r="C9536" s="4"/>
      <c r="D9536" s="4"/>
      <c r="E9536" s="4"/>
      <c r="F9536" s="4"/>
      <c r="G9536" s="4"/>
      <c r="H9536" s="4"/>
      <c r="I9536" s="4"/>
      <c r="J9536" s="21">
        <f>IFERROR(VLOOKUP(C9536,'STOK KARTLARI'!$C$2:$K$2150,8,0),0)</f>
        <v>0</v>
      </c>
      <c r="K9536" s="21">
        <f t="shared" si="679"/>
        <v>0</v>
      </c>
      <c r="L9536" s="5">
        <f t="shared" si="681"/>
        <v>0</v>
      </c>
      <c r="M9536" s="4"/>
      <c r="N9536" s="4"/>
      <c r="O9536" s="5"/>
      <c r="P9536" s="5"/>
      <c r="Q9536" s="21">
        <f t="shared" si="682"/>
        <v>0</v>
      </c>
      <c r="R9536" s="21">
        <f t="shared" si="680"/>
        <v>0</v>
      </c>
      <c r="S9536" s="5">
        <f t="shared" si="675"/>
        <v>70007.077158325032</v>
      </c>
      <c r="T9536" cm="1">
        <f t="array" ref="T9536">IF(OR(B9536="MAL ALIMI", B9536="ÜRETİM GİRİŞ"), MIN(I9536, MAX(0, I9536 + SUM(SUMIFS($I$1:I9535, $C$1:C9535, C9536, $B$1:B9535, {"MAL ALIMI","ÜRETİM GİRİŞ"})) - VLOOKUP(C9536, 'STOK RAPORU'!$C$2:$I$1000, 4, 0))), 0)</f>
        <v>0</v>
      </c>
      <c r="U9536" s="22">
        <f t="shared" si="676"/>
        <v>0</v>
      </c>
      <c r="V9536">
        <f t="shared" si="677"/>
        <v>0</v>
      </c>
      <c r="W9536" s="22">
        <f t="shared" si="678"/>
        <v>0</v>
      </c>
    </row>
    <row r="9537" spans="1:23" hidden="1" x14ac:dyDescent="0.25">
      <c r="A9537" s="4"/>
      <c r="B9537" s="4"/>
      <c r="C9537" s="4"/>
      <c r="D9537" s="4"/>
      <c r="E9537" s="4"/>
      <c r="F9537" s="4"/>
      <c r="G9537" s="4"/>
      <c r="H9537" s="4"/>
      <c r="I9537" s="4"/>
      <c r="J9537" s="21">
        <f>IFERROR(VLOOKUP(C9537,'STOK KARTLARI'!$C$2:$K$2150,8,0),0)</f>
        <v>0</v>
      </c>
      <c r="K9537" s="21">
        <f t="shared" si="679"/>
        <v>0</v>
      </c>
      <c r="L9537" s="5">
        <f t="shared" si="681"/>
        <v>0</v>
      </c>
      <c r="M9537" s="4"/>
      <c r="N9537" s="4"/>
      <c r="O9537" s="5"/>
      <c r="P9537" s="5"/>
      <c r="Q9537" s="21">
        <f t="shared" si="682"/>
        <v>0</v>
      </c>
      <c r="R9537" s="21">
        <f t="shared" si="680"/>
        <v>0</v>
      </c>
      <c r="S9537" s="5">
        <f t="shared" si="675"/>
        <v>70007.077158325032</v>
      </c>
      <c r="T9537" cm="1">
        <f t="array" ref="T9537">IF(OR(B9537="MAL ALIMI", B9537="ÜRETİM GİRİŞ"), MIN(I9537, MAX(0, I9537 + SUM(SUMIFS($I$1:I9536, $C$1:C9536, C9537, $B$1:B9536, {"MAL ALIMI","ÜRETİM GİRİŞ"})) - VLOOKUP(C9537, 'STOK RAPORU'!$C$2:$I$1000, 4, 0))), 0)</f>
        <v>0</v>
      </c>
      <c r="U9537" s="22">
        <f t="shared" si="676"/>
        <v>0</v>
      </c>
      <c r="V9537">
        <f t="shared" si="677"/>
        <v>0</v>
      </c>
      <c r="W9537" s="22">
        <f t="shared" si="678"/>
        <v>0</v>
      </c>
    </row>
    <row r="9538" spans="1:23" hidden="1" x14ac:dyDescent="0.25">
      <c r="A9538" s="4"/>
      <c r="B9538" s="4"/>
      <c r="C9538" s="4"/>
      <c r="D9538" s="4"/>
      <c r="E9538" s="4"/>
      <c r="F9538" s="4"/>
      <c r="G9538" s="4"/>
      <c r="H9538" s="4"/>
      <c r="I9538" s="4"/>
      <c r="J9538" s="21">
        <f>IFERROR(VLOOKUP(C9538,'STOK KARTLARI'!$C$2:$K$2150,8,0),0)</f>
        <v>0</v>
      </c>
      <c r="K9538" s="21">
        <f t="shared" si="679"/>
        <v>0</v>
      </c>
      <c r="L9538" s="5">
        <f t="shared" si="681"/>
        <v>0</v>
      </c>
      <c r="M9538" s="4"/>
      <c r="N9538" s="4"/>
      <c r="O9538" s="5"/>
      <c r="P9538" s="5"/>
      <c r="Q9538" s="21">
        <f t="shared" si="682"/>
        <v>0</v>
      </c>
      <c r="R9538" s="21">
        <f t="shared" si="680"/>
        <v>0</v>
      </c>
      <c r="S9538" s="5">
        <f t="shared" si="675"/>
        <v>70007.077158325032</v>
      </c>
      <c r="T9538" cm="1">
        <f t="array" ref="T9538">IF(OR(B9538="MAL ALIMI", B9538="ÜRETİM GİRİŞ"), MIN(I9538, MAX(0, I9538 + SUM(SUMIFS($I$1:I9537, $C$1:C9537, C9538, $B$1:B9537, {"MAL ALIMI","ÜRETİM GİRİŞ"})) - VLOOKUP(C9538, 'STOK RAPORU'!$C$2:$I$1000, 4, 0))), 0)</f>
        <v>0</v>
      </c>
      <c r="U9538" s="22">
        <f t="shared" si="676"/>
        <v>0</v>
      </c>
      <c r="V9538">
        <f t="shared" si="677"/>
        <v>0</v>
      </c>
      <c r="W9538" s="22">
        <f t="shared" si="678"/>
        <v>0</v>
      </c>
    </row>
    <row r="9539" spans="1:23" hidden="1" x14ac:dyDescent="0.25">
      <c r="A9539" s="4"/>
      <c r="B9539" s="4"/>
      <c r="C9539" s="4"/>
      <c r="D9539" s="4"/>
      <c r="E9539" s="4"/>
      <c r="F9539" s="4"/>
      <c r="G9539" s="4"/>
      <c r="H9539" s="4"/>
      <c r="I9539" s="4"/>
      <c r="J9539" s="21">
        <f>IFERROR(VLOOKUP(C9539,'STOK KARTLARI'!$C$2:$K$2150,8,0),0)</f>
        <v>0</v>
      </c>
      <c r="K9539" s="21">
        <f t="shared" si="679"/>
        <v>0</v>
      </c>
      <c r="L9539" s="5">
        <f t="shared" si="681"/>
        <v>0</v>
      </c>
      <c r="M9539" s="4"/>
      <c r="N9539" s="4"/>
      <c r="O9539" s="5"/>
      <c r="P9539" s="5"/>
      <c r="Q9539" s="21">
        <f t="shared" si="682"/>
        <v>0</v>
      </c>
      <c r="R9539" s="21">
        <f t="shared" si="680"/>
        <v>0</v>
      </c>
      <c r="S9539" s="5">
        <f t="shared" si="675"/>
        <v>70007.077158325032</v>
      </c>
      <c r="T9539" cm="1">
        <f t="array" ref="T9539">IF(OR(B9539="MAL ALIMI", B9539="ÜRETİM GİRİŞ"), MIN(I9539, MAX(0, I9539 + SUM(SUMIFS($I$1:I9538, $C$1:C9538, C9539, $B$1:B9538, {"MAL ALIMI","ÜRETİM GİRİŞ"})) - VLOOKUP(C9539, 'STOK RAPORU'!$C$2:$I$1000, 4, 0))), 0)</f>
        <v>0</v>
      </c>
      <c r="U9539" s="22">
        <f t="shared" si="676"/>
        <v>0</v>
      </c>
      <c r="V9539">
        <f t="shared" si="677"/>
        <v>0</v>
      </c>
      <c r="W9539" s="22">
        <f t="shared" si="678"/>
        <v>0</v>
      </c>
    </row>
    <row r="9540" spans="1:23" hidden="1" x14ac:dyDescent="0.25">
      <c r="A9540" s="4"/>
      <c r="B9540" s="4"/>
      <c r="C9540" s="4"/>
      <c r="D9540" s="4"/>
      <c r="E9540" s="4"/>
      <c r="F9540" s="4"/>
      <c r="G9540" s="4"/>
      <c r="H9540" s="4"/>
      <c r="I9540" s="4"/>
      <c r="J9540" s="21">
        <f>IFERROR(VLOOKUP(C9540,'STOK KARTLARI'!$C$2:$K$2150,8,0),0)</f>
        <v>0</v>
      </c>
      <c r="K9540" s="21">
        <f t="shared" si="679"/>
        <v>0</v>
      </c>
      <c r="L9540" s="5">
        <f t="shared" si="681"/>
        <v>0</v>
      </c>
      <c r="M9540" s="4"/>
      <c r="N9540" s="4"/>
      <c r="O9540" s="5"/>
      <c r="P9540" s="5"/>
      <c r="Q9540" s="21">
        <f t="shared" si="682"/>
        <v>0</v>
      </c>
      <c r="R9540" s="21">
        <f t="shared" si="680"/>
        <v>0</v>
      </c>
      <c r="S9540" s="5">
        <f t="shared" si="675"/>
        <v>70007.077158325032</v>
      </c>
      <c r="T9540" cm="1">
        <f t="array" ref="T9540">IF(OR(B9540="MAL ALIMI", B9540="ÜRETİM GİRİŞ"), MIN(I9540, MAX(0, I9540 + SUM(SUMIFS($I$1:I9539, $C$1:C9539, C9540, $B$1:B9539, {"MAL ALIMI","ÜRETİM GİRİŞ"})) - VLOOKUP(C9540, 'STOK RAPORU'!$C$2:$I$1000, 4, 0))), 0)</f>
        <v>0</v>
      </c>
      <c r="U9540" s="22">
        <f t="shared" si="676"/>
        <v>0</v>
      </c>
      <c r="V9540">
        <f t="shared" si="677"/>
        <v>0</v>
      </c>
      <c r="W9540" s="22">
        <f t="shared" si="678"/>
        <v>0</v>
      </c>
    </row>
    <row r="9541" spans="1:23" hidden="1" x14ac:dyDescent="0.25">
      <c r="A9541" s="3"/>
      <c r="B9541" s="4"/>
      <c r="C9541" s="4"/>
      <c r="D9541" s="4"/>
      <c r="E9541" s="4"/>
      <c r="F9541" s="4"/>
      <c r="G9541" s="4"/>
      <c r="H9541" s="4"/>
      <c r="I9541" s="4"/>
      <c r="J9541" s="21">
        <f>IFERROR(VLOOKUP(C9541,'STOK KARTLARI'!$C$2:$K$2150,8,0),0)</f>
        <v>0</v>
      </c>
      <c r="K9541" s="21">
        <f t="shared" si="679"/>
        <v>0</v>
      </c>
      <c r="L9541" s="5">
        <f t="shared" si="681"/>
        <v>0</v>
      </c>
      <c r="M9541" s="4"/>
      <c r="N9541" s="4"/>
      <c r="O9541" s="5"/>
      <c r="P9541" s="5"/>
      <c r="Q9541" s="21">
        <f t="shared" si="682"/>
        <v>0</v>
      </c>
      <c r="R9541" s="21">
        <f t="shared" si="680"/>
        <v>0</v>
      </c>
      <c r="S9541" s="5">
        <f t="shared" ref="S9541:S9604" si="683">S9540+Q9541-R9541</f>
        <v>70007.077158325032</v>
      </c>
      <c r="T9541" cm="1">
        <f t="array" ref="T9541">IF(OR(B9541="MAL ALIMI", B9541="ÜRETİM GİRİŞ"), MIN(I9541, MAX(0, I9541 + SUM(SUMIFS($I$1:I9540, $C$1:C9540, C9541, $B$1:B9540, {"MAL ALIMI","ÜRETİM GİRİŞ"})) - VLOOKUP(C9541, 'STOK RAPORU'!$C$2:$I$1000, 4, 0))), 0)</f>
        <v>0</v>
      </c>
      <c r="U9541" s="22">
        <f t="shared" si="676"/>
        <v>0</v>
      </c>
      <c r="V9541">
        <f t="shared" si="677"/>
        <v>0</v>
      </c>
      <c r="W9541" s="22">
        <f t="shared" si="678"/>
        <v>0</v>
      </c>
    </row>
    <row r="9542" spans="1:23" hidden="1" x14ac:dyDescent="0.25">
      <c r="A9542" s="4"/>
      <c r="B9542" s="4"/>
      <c r="C9542" s="4"/>
      <c r="D9542" s="4"/>
      <c r="E9542" s="4"/>
      <c r="F9542" s="4"/>
      <c r="G9542" s="4"/>
      <c r="H9542" s="4"/>
      <c r="I9542" s="4"/>
      <c r="J9542" s="21">
        <f>IFERROR(VLOOKUP(C9542,'STOK KARTLARI'!$C$2:$K$2150,8,0),0)</f>
        <v>0</v>
      </c>
      <c r="K9542" s="21">
        <f t="shared" si="679"/>
        <v>0</v>
      </c>
      <c r="L9542" s="5">
        <f t="shared" si="681"/>
        <v>0</v>
      </c>
      <c r="M9542" s="4"/>
      <c r="N9542" s="4"/>
      <c r="O9542" s="5"/>
      <c r="P9542" s="5"/>
      <c r="Q9542" s="21">
        <f t="shared" si="682"/>
        <v>0</v>
      </c>
      <c r="R9542" s="21">
        <f t="shared" si="680"/>
        <v>0</v>
      </c>
      <c r="S9542" s="5">
        <f t="shared" si="683"/>
        <v>70007.077158325032</v>
      </c>
      <c r="T9542" cm="1">
        <f t="array" ref="T9542">IF(OR(B9542="MAL ALIMI", B9542="ÜRETİM GİRİŞ"), MIN(I9542, MAX(0, I9542 + SUM(SUMIFS($I$1:I9541, $C$1:C9541, C9542, $B$1:B9541, {"MAL ALIMI","ÜRETİM GİRİŞ"})) - VLOOKUP(C9542, 'STOK RAPORU'!$C$2:$I$1000, 4, 0))), 0)</f>
        <v>0</v>
      </c>
      <c r="U9542" s="22">
        <f t="shared" si="676"/>
        <v>0</v>
      </c>
      <c r="V9542">
        <f t="shared" si="677"/>
        <v>0</v>
      </c>
      <c r="W9542" s="22">
        <f t="shared" si="678"/>
        <v>0</v>
      </c>
    </row>
    <row r="9543" spans="1:23" hidden="1" x14ac:dyDescent="0.25">
      <c r="A9543" s="4"/>
      <c r="B9543" s="4"/>
      <c r="C9543" s="4"/>
      <c r="D9543" s="4"/>
      <c r="E9543" s="4"/>
      <c r="F9543" s="4"/>
      <c r="G9543" s="4"/>
      <c r="H9543" s="4"/>
      <c r="I9543" s="4"/>
      <c r="J9543" s="21">
        <f>IFERROR(VLOOKUP(C9543,'STOK KARTLARI'!$C$2:$K$2150,8,0),0)</f>
        <v>0</v>
      </c>
      <c r="K9543" s="21">
        <f t="shared" si="679"/>
        <v>0</v>
      </c>
      <c r="L9543" s="5">
        <f t="shared" si="681"/>
        <v>0</v>
      </c>
      <c r="M9543" s="4"/>
      <c r="N9543" s="4"/>
      <c r="O9543" s="5"/>
      <c r="P9543" s="5"/>
      <c r="Q9543" s="21">
        <f t="shared" si="682"/>
        <v>0</v>
      </c>
      <c r="R9543" s="21">
        <f t="shared" si="680"/>
        <v>0</v>
      </c>
      <c r="S9543" s="5">
        <f t="shared" si="683"/>
        <v>70007.077158325032</v>
      </c>
      <c r="T9543" cm="1">
        <f t="array" ref="T9543">IF(OR(B9543="MAL ALIMI", B9543="ÜRETİM GİRİŞ"), MIN(I9543, MAX(0, I9543 + SUM(SUMIFS($I$1:I9542, $C$1:C9542, C9543, $B$1:B9542, {"MAL ALIMI","ÜRETİM GİRİŞ"})) - VLOOKUP(C9543, 'STOK RAPORU'!$C$2:$I$1000, 4, 0))), 0)</f>
        <v>0</v>
      </c>
      <c r="U9543" s="22">
        <f t="shared" si="676"/>
        <v>0</v>
      </c>
      <c r="V9543">
        <f t="shared" si="677"/>
        <v>0</v>
      </c>
      <c r="W9543" s="22">
        <f t="shared" si="678"/>
        <v>0</v>
      </c>
    </row>
    <row r="9544" spans="1:23" hidden="1" x14ac:dyDescent="0.25">
      <c r="A9544" s="4"/>
      <c r="B9544" s="4"/>
      <c r="C9544" s="4"/>
      <c r="D9544" s="4"/>
      <c r="E9544" s="4"/>
      <c r="F9544" s="4"/>
      <c r="G9544" s="4"/>
      <c r="H9544" s="4"/>
      <c r="I9544" s="4"/>
      <c r="J9544" s="21">
        <f>IFERROR(VLOOKUP(C9544,'STOK KARTLARI'!$C$2:$K$2150,8,0),0)</f>
        <v>0</v>
      </c>
      <c r="K9544" s="21">
        <f t="shared" si="679"/>
        <v>0</v>
      </c>
      <c r="L9544" s="5">
        <f t="shared" si="681"/>
        <v>0</v>
      </c>
      <c r="M9544" s="4"/>
      <c r="N9544" s="4"/>
      <c r="O9544" s="5"/>
      <c r="P9544" s="5"/>
      <c r="Q9544" s="21">
        <f t="shared" si="682"/>
        <v>0</v>
      </c>
      <c r="R9544" s="21">
        <f t="shared" si="680"/>
        <v>0</v>
      </c>
      <c r="S9544" s="5">
        <f t="shared" si="683"/>
        <v>70007.077158325032</v>
      </c>
      <c r="T9544" cm="1">
        <f t="array" ref="T9544">IF(OR(B9544="MAL ALIMI", B9544="ÜRETİM GİRİŞ"), MIN(I9544, MAX(0, I9544 + SUM(SUMIFS($I$1:I9543, $C$1:C9543, C9544, $B$1:B9543, {"MAL ALIMI","ÜRETİM GİRİŞ"})) - VLOOKUP(C9544, 'STOK RAPORU'!$C$2:$I$1000, 4, 0))), 0)</f>
        <v>0</v>
      </c>
      <c r="U9544" s="22">
        <f t="shared" si="676"/>
        <v>0</v>
      </c>
      <c r="V9544">
        <f t="shared" si="677"/>
        <v>0</v>
      </c>
      <c r="W9544" s="22">
        <f t="shared" si="678"/>
        <v>0</v>
      </c>
    </row>
    <row r="9545" spans="1:23" hidden="1" x14ac:dyDescent="0.25">
      <c r="A9545" s="4"/>
      <c r="B9545" s="4"/>
      <c r="C9545" s="4"/>
      <c r="D9545" s="4"/>
      <c r="E9545" s="4"/>
      <c r="F9545" s="4"/>
      <c r="G9545" s="4"/>
      <c r="H9545" s="4"/>
      <c r="I9545" s="4"/>
      <c r="J9545" s="21">
        <f>IFERROR(VLOOKUP(C9545,'STOK KARTLARI'!$C$2:$K$2150,8,0),0)</f>
        <v>0</v>
      </c>
      <c r="K9545" s="21">
        <f t="shared" si="679"/>
        <v>0</v>
      </c>
      <c r="L9545" s="5">
        <f t="shared" si="681"/>
        <v>0</v>
      </c>
      <c r="M9545" s="4"/>
      <c r="N9545" s="4"/>
      <c r="O9545" s="5"/>
      <c r="P9545" s="5"/>
      <c r="Q9545" s="21">
        <f t="shared" si="682"/>
        <v>0</v>
      </c>
      <c r="R9545" s="21">
        <f t="shared" si="680"/>
        <v>0</v>
      </c>
      <c r="S9545" s="5">
        <f t="shared" si="683"/>
        <v>70007.077158325032</v>
      </c>
      <c r="T9545" cm="1">
        <f t="array" ref="T9545">IF(OR(B9545="MAL ALIMI", B9545="ÜRETİM GİRİŞ"), MIN(I9545, MAX(0, I9545 + SUM(SUMIFS($I$1:I9544, $C$1:C9544, C9545, $B$1:B9544, {"MAL ALIMI","ÜRETİM GİRİŞ"})) - VLOOKUP(C9545, 'STOK RAPORU'!$C$2:$I$1000, 4, 0))), 0)</f>
        <v>0</v>
      </c>
      <c r="U9545" s="22">
        <f t="shared" si="676"/>
        <v>0</v>
      </c>
      <c r="V9545">
        <f t="shared" si="677"/>
        <v>0</v>
      </c>
      <c r="W9545" s="22">
        <f t="shared" si="678"/>
        <v>0</v>
      </c>
    </row>
    <row r="9546" spans="1:23" hidden="1" x14ac:dyDescent="0.25">
      <c r="A9546" s="4"/>
      <c r="B9546" s="4"/>
      <c r="C9546" s="4"/>
      <c r="D9546" s="4"/>
      <c r="E9546" s="4"/>
      <c r="F9546" s="4"/>
      <c r="G9546" s="4"/>
      <c r="H9546" s="4"/>
      <c r="I9546" s="4"/>
      <c r="J9546" s="21">
        <f>IFERROR(VLOOKUP(C9546,'STOK KARTLARI'!$C$2:$K$2150,8,0),0)</f>
        <v>0</v>
      </c>
      <c r="K9546" s="21">
        <f t="shared" si="679"/>
        <v>0</v>
      </c>
      <c r="L9546" s="5">
        <f t="shared" si="681"/>
        <v>0</v>
      </c>
      <c r="M9546" s="4"/>
      <c r="N9546" s="4"/>
      <c r="O9546" s="5"/>
      <c r="P9546" s="5"/>
      <c r="Q9546" s="21">
        <f t="shared" si="682"/>
        <v>0</v>
      </c>
      <c r="R9546" s="21">
        <f t="shared" si="680"/>
        <v>0</v>
      </c>
      <c r="S9546" s="5">
        <f t="shared" si="683"/>
        <v>70007.077158325032</v>
      </c>
      <c r="T9546" cm="1">
        <f t="array" ref="T9546">IF(OR(B9546="MAL ALIMI", B9546="ÜRETİM GİRİŞ"), MIN(I9546, MAX(0, I9546 + SUM(SUMIFS($I$1:I9545, $C$1:C9545, C9546, $B$1:B9545, {"MAL ALIMI","ÜRETİM GİRİŞ"})) - VLOOKUP(C9546, 'STOK RAPORU'!$C$2:$I$1000, 4, 0))), 0)</f>
        <v>0</v>
      </c>
      <c r="U9546" s="22">
        <f t="shared" si="676"/>
        <v>0</v>
      </c>
      <c r="V9546">
        <f t="shared" si="677"/>
        <v>0</v>
      </c>
      <c r="W9546" s="22">
        <f t="shared" si="678"/>
        <v>0</v>
      </c>
    </row>
    <row r="9547" spans="1:23" hidden="1" x14ac:dyDescent="0.25">
      <c r="A9547" s="4"/>
      <c r="B9547" s="4"/>
      <c r="C9547" s="4"/>
      <c r="D9547" s="4"/>
      <c r="E9547" s="4"/>
      <c r="F9547" s="4"/>
      <c r="G9547" s="4"/>
      <c r="H9547" s="4"/>
      <c r="I9547" s="4"/>
      <c r="J9547" s="21">
        <f>IFERROR(VLOOKUP(C9547,'STOK KARTLARI'!$C$2:$K$2150,8,0),0)</f>
        <v>0</v>
      </c>
      <c r="K9547" s="21">
        <f t="shared" si="679"/>
        <v>0</v>
      </c>
      <c r="L9547" s="5">
        <f t="shared" si="681"/>
        <v>0</v>
      </c>
      <c r="M9547" s="4"/>
      <c r="N9547" s="4"/>
      <c r="O9547" s="5"/>
      <c r="P9547" s="5"/>
      <c r="Q9547" s="21">
        <f t="shared" si="682"/>
        <v>0</v>
      </c>
      <c r="R9547" s="21">
        <f t="shared" si="680"/>
        <v>0</v>
      </c>
      <c r="S9547" s="5">
        <f t="shared" si="683"/>
        <v>70007.077158325032</v>
      </c>
      <c r="T9547" cm="1">
        <f t="array" ref="T9547">IF(OR(B9547="MAL ALIMI", B9547="ÜRETİM GİRİŞ"), MIN(I9547, MAX(0, I9547 + SUM(SUMIFS($I$1:I9546, $C$1:C9546, C9547, $B$1:B9546, {"MAL ALIMI","ÜRETİM GİRİŞ"})) - VLOOKUP(C9547, 'STOK RAPORU'!$C$2:$I$1000, 4, 0))), 0)</f>
        <v>0</v>
      </c>
      <c r="U9547" s="22">
        <f t="shared" si="676"/>
        <v>0</v>
      </c>
      <c r="V9547">
        <f t="shared" si="677"/>
        <v>0</v>
      </c>
      <c r="W9547" s="22">
        <f t="shared" si="678"/>
        <v>0</v>
      </c>
    </row>
    <row r="9548" spans="1:23" hidden="1" x14ac:dyDescent="0.25">
      <c r="A9548" s="3"/>
      <c r="B9548" s="4"/>
      <c r="C9548" s="4"/>
      <c r="D9548" s="4"/>
      <c r="E9548" s="4"/>
      <c r="F9548" s="4"/>
      <c r="G9548" s="4"/>
      <c r="H9548" s="4"/>
      <c r="I9548" s="4"/>
      <c r="J9548" s="21">
        <f>IFERROR(VLOOKUP(C9548,'STOK KARTLARI'!$C$2:$K$2150,8,0),0)</f>
        <v>0</v>
      </c>
      <c r="K9548" s="21">
        <f t="shared" si="679"/>
        <v>0</v>
      </c>
      <c r="L9548" s="5">
        <f t="shared" si="681"/>
        <v>0</v>
      </c>
      <c r="M9548" s="4"/>
      <c r="N9548" s="4"/>
      <c r="O9548" s="5"/>
      <c r="P9548" s="5"/>
      <c r="Q9548" s="21">
        <f t="shared" si="682"/>
        <v>0</v>
      </c>
      <c r="R9548" s="21">
        <f t="shared" si="680"/>
        <v>0</v>
      </c>
      <c r="S9548" s="5">
        <f t="shared" si="683"/>
        <v>70007.077158325032</v>
      </c>
      <c r="T9548" cm="1">
        <f t="array" ref="T9548">IF(OR(B9548="MAL ALIMI", B9548="ÜRETİM GİRİŞ"), MIN(I9548, MAX(0, I9548 + SUM(SUMIFS($I$1:I9547, $C$1:C9547, C9548, $B$1:B9547, {"MAL ALIMI","ÜRETİM GİRİŞ"})) - VLOOKUP(C9548, 'STOK RAPORU'!$C$2:$I$1000, 4, 0))), 0)</f>
        <v>0</v>
      </c>
      <c r="U9548" s="22">
        <f t="shared" si="676"/>
        <v>0</v>
      </c>
      <c r="V9548">
        <f t="shared" si="677"/>
        <v>0</v>
      </c>
      <c r="W9548" s="22">
        <f t="shared" si="678"/>
        <v>0</v>
      </c>
    </row>
    <row r="9549" spans="1:23" hidden="1" x14ac:dyDescent="0.25">
      <c r="A9549" s="4"/>
      <c r="B9549" s="4"/>
      <c r="C9549" s="4"/>
      <c r="D9549" s="4"/>
      <c r="E9549" s="4"/>
      <c r="F9549" s="4"/>
      <c r="G9549" s="4"/>
      <c r="H9549" s="4"/>
      <c r="I9549" s="4"/>
      <c r="J9549" s="21">
        <f>IFERROR(VLOOKUP(C9549,'STOK KARTLARI'!$C$2:$K$2150,8,0),0)</f>
        <v>0</v>
      </c>
      <c r="K9549" s="21">
        <f t="shared" si="679"/>
        <v>0</v>
      </c>
      <c r="L9549" s="5">
        <f t="shared" si="681"/>
        <v>0</v>
      </c>
      <c r="M9549" s="4"/>
      <c r="N9549" s="4"/>
      <c r="O9549" s="5"/>
      <c r="P9549" s="5"/>
      <c r="Q9549" s="21">
        <f t="shared" si="682"/>
        <v>0</v>
      </c>
      <c r="R9549" s="21">
        <f t="shared" si="680"/>
        <v>0</v>
      </c>
      <c r="S9549" s="5">
        <f t="shared" si="683"/>
        <v>70007.077158325032</v>
      </c>
      <c r="T9549" cm="1">
        <f t="array" ref="T9549">IF(OR(B9549="MAL ALIMI", B9549="ÜRETİM GİRİŞ"), MIN(I9549, MAX(0, I9549 + SUM(SUMIFS($I$1:I9548, $C$1:C9548, C9549, $B$1:B9548, {"MAL ALIMI","ÜRETİM GİRİŞ"})) - VLOOKUP(C9549, 'STOK RAPORU'!$C$2:$I$1000, 4, 0))), 0)</f>
        <v>0</v>
      </c>
      <c r="U9549" s="22">
        <f t="shared" si="676"/>
        <v>0</v>
      </c>
      <c r="V9549">
        <f t="shared" si="677"/>
        <v>0</v>
      </c>
      <c r="W9549" s="22">
        <f t="shared" si="678"/>
        <v>0</v>
      </c>
    </row>
    <row r="9550" spans="1:23" hidden="1" x14ac:dyDescent="0.25">
      <c r="A9550" s="4"/>
      <c r="B9550" s="4"/>
      <c r="C9550" s="4"/>
      <c r="D9550" s="4"/>
      <c r="E9550" s="4"/>
      <c r="F9550" s="4"/>
      <c r="G9550" s="4"/>
      <c r="H9550" s="4"/>
      <c r="I9550" s="4"/>
      <c r="J9550" s="21">
        <f>IFERROR(VLOOKUP(C9550,'STOK KARTLARI'!$C$2:$K$2150,8,0),0)</f>
        <v>0</v>
      </c>
      <c r="K9550" s="21">
        <f t="shared" si="679"/>
        <v>0</v>
      </c>
      <c r="L9550" s="5">
        <f t="shared" si="681"/>
        <v>0</v>
      </c>
      <c r="M9550" s="4"/>
      <c r="N9550" s="4"/>
      <c r="O9550" s="5"/>
      <c r="P9550" s="5"/>
      <c r="Q9550" s="21">
        <f t="shared" si="682"/>
        <v>0</v>
      </c>
      <c r="R9550" s="21">
        <f t="shared" si="680"/>
        <v>0</v>
      </c>
      <c r="S9550" s="5">
        <f t="shared" si="683"/>
        <v>70007.077158325032</v>
      </c>
      <c r="T9550" cm="1">
        <f t="array" ref="T9550">IF(OR(B9550="MAL ALIMI", B9550="ÜRETİM GİRİŞ"), MIN(I9550, MAX(0, I9550 + SUM(SUMIFS($I$1:I9549, $C$1:C9549, C9550, $B$1:B9549, {"MAL ALIMI","ÜRETİM GİRİŞ"})) - VLOOKUP(C9550, 'STOK RAPORU'!$C$2:$I$1000, 4, 0))), 0)</f>
        <v>0</v>
      </c>
      <c r="U9550" s="22">
        <f t="shared" si="676"/>
        <v>0</v>
      </c>
      <c r="V9550">
        <f t="shared" si="677"/>
        <v>0</v>
      </c>
      <c r="W9550" s="22">
        <f t="shared" si="678"/>
        <v>0</v>
      </c>
    </row>
    <row r="9551" spans="1:23" hidden="1" x14ac:dyDescent="0.25">
      <c r="A9551" s="4"/>
      <c r="B9551" s="4"/>
      <c r="C9551" s="4"/>
      <c r="D9551" s="4"/>
      <c r="E9551" s="4"/>
      <c r="F9551" s="4"/>
      <c r="G9551" s="4"/>
      <c r="H9551" s="4"/>
      <c r="I9551" s="4"/>
      <c r="J9551" s="21">
        <f>IFERROR(VLOOKUP(C9551,'STOK KARTLARI'!$C$2:$K$2150,8,0),0)</f>
        <v>0</v>
      </c>
      <c r="K9551" s="21">
        <f t="shared" si="679"/>
        <v>0</v>
      </c>
      <c r="L9551" s="5">
        <f t="shared" si="681"/>
        <v>0</v>
      </c>
      <c r="M9551" s="4"/>
      <c r="N9551" s="4"/>
      <c r="O9551" s="5"/>
      <c r="P9551" s="5"/>
      <c r="Q9551" s="21">
        <f t="shared" si="682"/>
        <v>0</v>
      </c>
      <c r="R9551" s="21">
        <f t="shared" si="680"/>
        <v>0</v>
      </c>
      <c r="S9551" s="5">
        <f t="shared" si="683"/>
        <v>70007.077158325032</v>
      </c>
      <c r="T9551" cm="1">
        <f t="array" ref="T9551">IF(OR(B9551="MAL ALIMI", B9551="ÜRETİM GİRİŞ"), MIN(I9551, MAX(0, I9551 + SUM(SUMIFS($I$1:I9550, $C$1:C9550, C9551, $B$1:B9550, {"MAL ALIMI","ÜRETİM GİRİŞ"})) - VLOOKUP(C9551, 'STOK RAPORU'!$C$2:$I$1000, 4, 0))), 0)</f>
        <v>0</v>
      </c>
      <c r="U9551" s="22">
        <f t="shared" si="676"/>
        <v>0</v>
      </c>
      <c r="V9551">
        <f t="shared" si="677"/>
        <v>0</v>
      </c>
      <c r="W9551" s="22">
        <f t="shared" si="678"/>
        <v>0</v>
      </c>
    </row>
    <row r="9552" spans="1:23" hidden="1" x14ac:dyDescent="0.25">
      <c r="A9552" s="4"/>
      <c r="B9552" s="4"/>
      <c r="C9552" s="4"/>
      <c r="D9552" s="4"/>
      <c r="E9552" s="4"/>
      <c r="F9552" s="4"/>
      <c r="G9552" s="4"/>
      <c r="H9552" s="4"/>
      <c r="I9552" s="4"/>
      <c r="J9552" s="21">
        <f>IFERROR(VLOOKUP(C9552,'STOK KARTLARI'!$C$2:$K$2150,8,0),0)</f>
        <v>0</v>
      </c>
      <c r="K9552" s="21">
        <f t="shared" si="679"/>
        <v>0</v>
      </c>
      <c r="L9552" s="5">
        <f t="shared" si="681"/>
        <v>0</v>
      </c>
      <c r="M9552" s="4"/>
      <c r="N9552" s="4"/>
      <c r="O9552" s="5"/>
      <c r="P9552" s="5"/>
      <c r="Q9552" s="21">
        <f t="shared" si="682"/>
        <v>0</v>
      </c>
      <c r="R9552" s="21">
        <f t="shared" si="680"/>
        <v>0</v>
      </c>
      <c r="S9552" s="5">
        <f t="shared" si="683"/>
        <v>70007.077158325032</v>
      </c>
      <c r="T9552" cm="1">
        <f t="array" ref="T9552">IF(OR(B9552="MAL ALIMI", B9552="ÜRETİM GİRİŞ"), MIN(I9552, MAX(0, I9552 + SUM(SUMIFS($I$1:I9551, $C$1:C9551, C9552, $B$1:B9551, {"MAL ALIMI","ÜRETİM GİRİŞ"})) - VLOOKUP(C9552, 'STOK RAPORU'!$C$2:$I$1000, 4, 0))), 0)</f>
        <v>0</v>
      </c>
      <c r="U9552" s="22">
        <f t="shared" si="676"/>
        <v>0</v>
      </c>
      <c r="V9552">
        <f t="shared" si="677"/>
        <v>0</v>
      </c>
      <c r="W9552" s="22">
        <f t="shared" si="678"/>
        <v>0</v>
      </c>
    </row>
    <row r="9553" spans="1:23" hidden="1" x14ac:dyDescent="0.25">
      <c r="A9553" s="4"/>
      <c r="B9553" s="4"/>
      <c r="C9553" s="4"/>
      <c r="D9553" s="4"/>
      <c r="E9553" s="4"/>
      <c r="F9553" s="4"/>
      <c r="G9553" s="4"/>
      <c r="H9553" s="4"/>
      <c r="I9553" s="4"/>
      <c r="J9553" s="21">
        <f>IFERROR(VLOOKUP(C9553,'STOK KARTLARI'!$C$2:$K$2150,8,0),0)</f>
        <v>0</v>
      </c>
      <c r="K9553" s="21">
        <f t="shared" si="679"/>
        <v>0</v>
      </c>
      <c r="L9553" s="5">
        <f t="shared" si="681"/>
        <v>0</v>
      </c>
      <c r="M9553" s="4"/>
      <c r="N9553" s="4"/>
      <c r="O9553" s="5"/>
      <c r="P9553" s="5"/>
      <c r="Q9553" s="21">
        <f t="shared" si="682"/>
        <v>0</v>
      </c>
      <c r="R9553" s="21">
        <f t="shared" si="680"/>
        <v>0</v>
      </c>
      <c r="S9553" s="5">
        <f t="shared" si="683"/>
        <v>70007.077158325032</v>
      </c>
      <c r="T9553" cm="1">
        <f t="array" ref="T9553">IF(OR(B9553="MAL ALIMI", B9553="ÜRETİM GİRİŞ"), MIN(I9553, MAX(0, I9553 + SUM(SUMIFS($I$1:I9552, $C$1:C9552, C9553, $B$1:B9552, {"MAL ALIMI","ÜRETİM GİRİŞ"})) - VLOOKUP(C9553, 'STOK RAPORU'!$C$2:$I$1000, 4, 0))), 0)</f>
        <v>0</v>
      </c>
      <c r="U9553" s="22">
        <f t="shared" si="676"/>
        <v>0</v>
      </c>
      <c r="V9553">
        <f t="shared" si="677"/>
        <v>0</v>
      </c>
      <c r="W9553" s="22">
        <f t="shared" si="678"/>
        <v>0</v>
      </c>
    </row>
    <row r="9554" spans="1:23" hidden="1" x14ac:dyDescent="0.25">
      <c r="A9554" s="4"/>
      <c r="B9554" s="4"/>
      <c r="C9554" s="4"/>
      <c r="D9554" s="4"/>
      <c r="E9554" s="4"/>
      <c r="F9554" s="4"/>
      <c r="G9554" s="4"/>
      <c r="H9554" s="4"/>
      <c r="I9554" s="4"/>
      <c r="J9554" s="21">
        <f>IFERROR(VLOOKUP(C9554,'STOK KARTLARI'!$C$2:$K$2150,8,0),0)</f>
        <v>0</v>
      </c>
      <c r="K9554" s="21">
        <f t="shared" si="679"/>
        <v>0</v>
      </c>
      <c r="L9554" s="5">
        <f t="shared" si="681"/>
        <v>0</v>
      </c>
      <c r="M9554" s="4"/>
      <c r="N9554" s="4"/>
      <c r="O9554" s="5"/>
      <c r="P9554" s="5"/>
      <c r="Q9554" s="21">
        <f t="shared" si="682"/>
        <v>0</v>
      </c>
      <c r="R9554" s="21">
        <f t="shared" si="680"/>
        <v>0</v>
      </c>
      <c r="S9554" s="5">
        <f t="shared" si="683"/>
        <v>70007.077158325032</v>
      </c>
      <c r="T9554" cm="1">
        <f t="array" ref="T9554">IF(OR(B9554="MAL ALIMI", B9554="ÜRETİM GİRİŞ"), MIN(I9554, MAX(0, I9554 + SUM(SUMIFS($I$1:I9553, $C$1:C9553, C9554, $B$1:B9553, {"MAL ALIMI","ÜRETİM GİRİŞ"})) - VLOOKUP(C9554, 'STOK RAPORU'!$C$2:$I$1000, 4, 0))), 0)</f>
        <v>0</v>
      </c>
      <c r="U9554" s="22">
        <f t="shared" si="676"/>
        <v>0</v>
      </c>
      <c r="V9554">
        <f t="shared" si="677"/>
        <v>0</v>
      </c>
      <c r="W9554" s="22">
        <f t="shared" si="678"/>
        <v>0</v>
      </c>
    </row>
    <row r="9555" spans="1:23" hidden="1" x14ac:dyDescent="0.25">
      <c r="A9555" s="3"/>
      <c r="B9555" s="4"/>
      <c r="C9555" s="4"/>
      <c r="D9555" s="4"/>
      <c r="E9555" s="4"/>
      <c r="F9555" s="4"/>
      <c r="G9555" s="4"/>
      <c r="H9555" s="4"/>
      <c r="I9555" s="4"/>
      <c r="J9555" s="21">
        <f>IFERROR(VLOOKUP(C9555,'STOK KARTLARI'!$C$2:$K$2150,8,0),0)</f>
        <v>0</v>
      </c>
      <c r="K9555" s="21">
        <f t="shared" si="679"/>
        <v>0</v>
      </c>
      <c r="L9555" s="5">
        <f t="shared" si="681"/>
        <v>0</v>
      </c>
      <c r="M9555" s="4"/>
      <c r="N9555" s="4"/>
      <c r="O9555" s="5"/>
      <c r="P9555" s="5"/>
      <c r="Q9555" s="21">
        <f t="shared" si="682"/>
        <v>0</v>
      </c>
      <c r="R9555" s="21">
        <f t="shared" si="680"/>
        <v>0</v>
      </c>
      <c r="S9555" s="5">
        <f t="shared" si="683"/>
        <v>70007.077158325032</v>
      </c>
      <c r="T9555" cm="1">
        <f t="array" ref="T9555">IF(OR(B9555="MAL ALIMI", B9555="ÜRETİM GİRİŞ"), MIN(I9555, MAX(0, I9555 + SUM(SUMIFS($I$1:I9554, $C$1:C9554, C9555, $B$1:B9554, {"MAL ALIMI","ÜRETİM GİRİŞ"})) - VLOOKUP(C9555, 'STOK RAPORU'!$C$2:$I$1000, 4, 0))), 0)</f>
        <v>0</v>
      </c>
      <c r="U9555" s="22">
        <f t="shared" si="676"/>
        <v>0</v>
      </c>
      <c r="V9555">
        <f t="shared" si="677"/>
        <v>0</v>
      </c>
      <c r="W9555" s="22">
        <f t="shared" si="678"/>
        <v>0</v>
      </c>
    </row>
    <row r="9556" spans="1:23" hidden="1" x14ac:dyDescent="0.25">
      <c r="A9556" s="4"/>
      <c r="B9556" s="4"/>
      <c r="C9556" s="4"/>
      <c r="D9556" s="4"/>
      <c r="E9556" s="4"/>
      <c r="F9556" s="4"/>
      <c r="G9556" s="4"/>
      <c r="H9556" s="4"/>
      <c r="I9556" s="4"/>
      <c r="J9556" s="21">
        <f>IFERROR(VLOOKUP(C9556,'STOK KARTLARI'!$C$2:$K$2150,8,0),0)</f>
        <v>0</v>
      </c>
      <c r="K9556" s="21">
        <f t="shared" si="679"/>
        <v>0</v>
      </c>
      <c r="L9556" s="5">
        <f t="shared" si="681"/>
        <v>0</v>
      </c>
      <c r="M9556" s="4"/>
      <c r="N9556" s="4"/>
      <c r="O9556" s="5"/>
      <c r="P9556" s="5"/>
      <c r="Q9556" s="21">
        <f t="shared" si="682"/>
        <v>0</v>
      </c>
      <c r="R9556" s="21">
        <f t="shared" si="680"/>
        <v>0</v>
      </c>
      <c r="S9556" s="5">
        <f t="shared" si="683"/>
        <v>70007.077158325032</v>
      </c>
      <c r="T9556" cm="1">
        <f t="array" ref="T9556">IF(OR(B9556="MAL ALIMI", B9556="ÜRETİM GİRİŞ"), MIN(I9556, MAX(0, I9556 + SUM(SUMIFS($I$1:I9555, $C$1:C9555, C9556, $B$1:B9555, {"MAL ALIMI","ÜRETİM GİRİŞ"})) - VLOOKUP(C9556, 'STOK RAPORU'!$C$2:$I$1000, 4, 0))), 0)</f>
        <v>0</v>
      </c>
      <c r="U9556" s="22">
        <f t="shared" si="676"/>
        <v>0</v>
      </c>
      <c r="V9556">
        <f t="shared" si="677"/>
        <v>0</v>
      </c>
      <c r="W9556" s="22">
        <f t="shared" si="678"/>
        <v>0</v>
      </c>
    </row>
    <row r="9557" spans="1:23" hidden="1" x14ac:dyDescent="0.25">
      <c r="A9557" s="4"/>
      <c r="B9557" s="4"/>
      <c r="C9557" s="4"/>
      <c r="D9557" s="4"/>
      <c r="E9557" s="4"/>
      <c r="F9557" s="4"/>
      <c r="G9557" s="4"/>
      <c r="H9557" s="4"/>
      <c r="I9557" s="4"/>
      <c r="J9557" s="21">
        <f>IFERROR(VLOOKUP(C9557,'STOK KARTLARI'!$C$2:$K$2150,8,0),0)</f>
        <v>0</v>
      </c>
      <c r="K9557" s="21">
        <f t="shared" si="679"/>
        <v>0</v>
      </c>
      <c r="L9557" s="5">
        <f t="shared" si="681"/>
        <v>0</v>
      </c>
      <c r="M9557" s="4"/>
      <c r="N9557" s="4"/>
      <c r="O9557" s="5"/>
      <c r="P9557" s="5"/>
      <c r="Q9557" s="21">
        <f t="shared" si="682"/>
        <v>0</v>
      </c>
      <c r="R9557" s="21">
        <f t="shared" si="680"/>
        <v>0</v>
      </c>
      <c r="S9557" s="5">
        <f t="shared" si="683"/>
        <v>70007.077158325032</v>
      </c>
      <c r="T9557" cm="1">
        <f t="array" ref="T9557">IF(OR(B9557="MAL ALIMI", B9557="ÜRETİM GİRİŞ"), MIN(I9557, MAX(0, I9557 + SUM(SUMIFS($I$1:I9556, $C$1:C9556, C9557, $B$1:B9556, {"MAL ALIMI","ÜRETİM GİRİŞ"})) - VLOOKUP(C9557, 'STOK RAPORU'!$C$2:$I$1000, 4, 0))), 0)</f>
        <v>0</v>
      </c>
      <c r="U9557" s="22">
        <f t="shared" si="676"/>
        <v>0</v>
      </c>
      <c r="V9557">
        <f t="shared" si="677"/>
        <v>0</v>
      </c>
      <c r="W9557" s="22">
        <f t="shared" si="678"/>
        <v>0</v>
      </c>
    </row>
    <row r="9558" spans="1:23" hidden="1" x14ac:dyDescent="0.25">
      <c r="A9558" s="4"/>
      <c r="B9558" s="4"/>
      <c r="C9558" s="4"/>
      <c r="D9558" s="4"/>
      <c r="E9558" s="4"/>
      <c r="F9558" s="4"/>
      <c r="G9558" s="4"/>
      <c r="H9558" s="4"/>
      <c r="I9558" s="4"/>
      <c r="J9558" s="21">
        <f>IFERROR(VLOOKUP(C9558,'STOK KARTLARI'!$C$2:$K$2150,8,0),0)</f>
        <v>0</v>
      </c>
      <c r="K9558" s="21">
        <f t="shared" si="679"/>
        <v>0</v>
      </c>
      <c r="L9558" s="5">
        <f t="shared" si="681"/>
        <v>0</v>
      </c>
      <c r="M9558" s="4"/>
      <c r="N9558" s="4"/>
      <c r="O9558" s="5"/>
      <c r="P9558" s="5"/>
      <c r="Q9558" s="21">
        <f t="shared" si="682"/>
        <v>0</v>
      </c>
      <c r="R9558" s="21">
        <f t="shared" si="680"/>
        <v>0</v>
      </c>
      <c r="S9558" s="5">
        <f t="shared" si="683"/>
        <v>70007.077158325032</v>
      </c>
      <c r="T9558" cm="1">
        <f t="array" ref="T9558">IF(OR(B9558="MAL ALIMI", B9558="ÜRETİM GİRİŞ"), MIN(I9558, MAX(0, I9558 + SUM(SUMIFS($I$1:I9557, $C$1:C9557, C9558, $B$1:B9557, {"MAL ALIMI","ÜRETİM GİRİŞ"})) - VLOOKUP(C9558, 'STOK RAPORU'!$C$2:$I$1000, 4, 0))), 0)</f>
        <v>0</v>
      </c>
      <c r="U9558" s="22">
        <f t="shared" si="676"/>
        <v>0</v>
      </c>
      <c r="V9558">
        <f t="shared" si="677"/>
        <v>0</v>
      </c>
      <c r="W9558" s="22">
        <f t="shared" si="678"/>
        <v>0</v>
      </c>
    </row>
    <row r="9559" spans="1:23" hidden="1" x14ac:dyDescent="0.25">
      <c r="A9559" s="4"/>
      <c r="B9559" s="4"/>
      <c r="C9559" s="4"/>
      <c r="D9559" s="4"/>
      <c r="E9559" s="4"/>
      <c r="F9559" s="4"/>
      <c r="G9559" s="4"/>
      <c r="H9559" s="4"/>
      <c r="I9559" s="4"/>
      <c r="J9559" s="21">
        <f>IFERROR(VLOOKUP(C9559,'STOK KARTLARI'!$C$2:$K$2150,8,0),0)</f>
        <v>0</v>
      </c>
      <c r="K9559" s="21">
        <f t="shared" si="679"/>
        <v>0</v>
      </c>
      <c r="L9559" s="5">
        <f t="shared" si="681"/>
        <v>0</v>
      </c>
      <c r="M9559" s="4"/>
      <c r="N9559" s="4"/>
      <c r="O9559" s="5"/>
      <c r="P9559" s="5"/>
      <c r="Q9559" s="21">
        <f t="shared" si="682"/>
        <v>0</v>
      </c>
      <c r="R9559" s="21">
        <f t="shared" si="680"/>
        <v>0</v>
      </c>
      <c r="S9559" s="5">
        <f t="shared" si="683"/>
        <v>70007.077158325032</v>
      </c>
      <c r="T9559" cm="1">
        <f t="array" ref="T9559">IF(OR(B9559="MAL ALIMI", B9559="ÜRETİM GİRİŞ"), MIN(I9559, MAX(0, I9559 + SUM(SUMIFS($I$1:I9558, $C$1:C9558, C9559, $B$1:B9558, {"MAL ALIMI","ÜRETİM GİRİŞ"})) - VLOOKUP(C9559, 'STOK RAPORU'!$C$2:$I$1000, 4, 0))), 0)</f>
        <v>0</v>
      </c>
      <c r="U9559" s="22">
        <f t="shared" si="676"/>
        <v>0</v>
      </c>
      <c r="V9559">
        <f t="shared" si="677"/>
        <v>0</v>
      </c>
      <c r="W9559" s="22">
        <f t="shared" si="678"/>
        <v>0</v>
      </c>
    </row>
    <row r="9560" spans="1:23" hidden="1" x14ac:dyDescent="0.25">
      <c r="A9560" s="4"/>
      <c r="B9560" s="4"/>
      <c r="C9560" s="4"/>
      <c r="D9560" s="4"/>
      <c r="E9560" s="4"/>
      <c r="F9560" s="4"/>
      <c r="G9560" s="4"/>
      <c r="H9560" s="4"/>
      <c r="I9560" s="4"/>
      <c r="J9560" s="21">
        <f>IFERROR(VLOOKUP(C9560,'STOK KARTLARI'!$C$2:$K$2150,8,0),0)</f>
        <v>0</v>
      </c>
      <c r="K9560" s="21">
        <f t="shared" si="679"/>
        <v>0</v>
      </c>
      <c r="L9560" s="5">
        <f t="shared" si="681"/>
        <v>0</v>
      </c>
      <c r="M9560" s="4"/>
      <c r="N9560" s="4"/>
      <c r="O9560" s="5"/>
      <c r="P9560" s="5"/>
      <c r="Q9560" s="21">
        <f t="shared" si="682"/>
        <v>0</v>
      </c>
      <c r="R9560" s="21">
        <f t="shared" si="680"/>
        <v>0</v>
      </c>
      <c r="S9560" s="5">
        <f t="shared" si="683"/>
        <v>70007.077158325032</v>
      </c>
      <c r="T9560" cm="1">
        <f t="array" ref="T9560">IF(OR(B9560="MAL ALIMI", B9560="ÜRETİM GİRİŞ"), MIN(I9560, MAX(0, I9560 + SUM(SUMIFS($I$1:I9559, $C$1:C9559, C9560, $B$1:B9559, {"MAL ALIMI","ÜRETİM GİRİŞ"})) - VLOOKUP(C9560, 'STOK RAPORU'!$C$2:$I$1000, 4, 0))), 0)</f>
        <v>0</v>
      </c>
      <c r="U9560" s="22">
        <f t="shared" si="676"/>
        <v>0</v>
      </c>
      <c r="V9560">
        <f t="shared" si="677"/>
        <v>0</v>
      </c>
      <c r="W9560" s="22">
        <f t="shared" si="678"/>
        <v>0</v>
      </c>
    </row>
    <row r="9561" spans="1:23" hidden="1" x14ac:dyDescent="0.25">
      <c r="A9561" s="4"/>
      <c r="B9561" s="4"/>
      <c r="C9561" s="4"/>
      <c r="D9561" s="4"/>
      <c r="E9561" s="4"/>
      <c r="F9561" s="4"/>
      <c r="G9561" s="4"/>
      <c r="H9561" s="4"/>
      <c r="I9561" s="4"/>
      <c r="J9561" s="21">
        <f>IFERROR(VLOOKUP(C9561,'STOK KARTLARI'!$C$2:$K$2150,8,0),0)</f>
        <v>0</v>
      </c>
      <c r="K9561" s="21">
        <f t="shared" si="679"/>
        <v>0</v>
      </c>
      <c r="L9561" s="5">
        <f t="shared" si="681"/>
        <v>0</v>
      </c>
      <c r="M9561" s="4"/>
      <c r="N9561" s="4"/>
      <c r="O9561" s="5"/>
      <c r="P9561" s="5"/>
      <c r="Q9561" s="21">
        <f t="shared" si="682"/>
        <v>0</v>
      </c>
      <c r="R9561" s="21">
        <f t="shared" si="680"/>
        <v>0</v>
      </c>
      <c r="S9561" s="5">
        <f t="shared" si="683"/>
        <v>70007.077158325032</v>
      </c>
      <c r="T9561" cm="1">
        <f t="array" ref="T9561">IF(OR(B9561="MAL ALIMI", B9561="ÜRETİM GİRİŞ"), MIN(I9561, MAX(0, I9561 + SUM(SUMIFS($I$1:I9560, $C$1:C9560, C9561, $B$1:B9560, {"MAL ALIMI","ÜRETİM GİRİŞ"})) - VLOOKUP(C9561, 'STOK RAPORU'!$C$2:$I$1000, 4, 0))), 0)</f>
        <v>0</v>
      </c>
      <c r="U9561" s="22">
        <f t="shared" si="676"/>
        <v>0</v>
      </c>
      <c r="V9561">
        <f t="shared" si="677"/>
        <v>0</v>
      </c>
      <c r="W9561" s="22">
        <f t="shared" si="678"/>
        <v>0</v>
      </c>
    </row>
    <row r="9562" spans="1:23" hidden="1" x14ac:dyDescent="0.25">
      <c r="A9562" s="3"/>
      <c r="B9562" s="4"/>
      <c r="C9562" s="4"/>
      <c r="D9562" s="4"/>
      <c r="E9562" s="4"/>
      <c r="F9562" s="4"/>
      <c r="G9562" s="4"/>
      <c r="H9562" s="4"/>
      <c r="I9562" s="4"/>
      <c r="J9562" s="21">
        <f>IFERROR(VLOOKUP(C9562,'STOK KARTLARI'!$C$2:$K$2150,8,0),0)</f>
        <v>0</v>
      </c>
      <c r="K9562" s="21">
        <f t="shared" si="679"/>
        <v>0</v>
      </c>
      <c r="L9562" s="5">
        <f t="shared" si="681"/>
        <v>0</v>
      </c>
      <c r="M9562" s="4"/>
      <c r="N9562" s="4"/>
      <c r="O9562" s="5"/>
      <c r="P9562" s="5"/>
      <c r="Q9562" s="21">
        <f t="shared" si="682"/>
        <v>0</v>
      </c>
      <c r="R9562" s="21">
        <f t="shared" si="680"/>
        <v>0</v>
      </c>
      <c r="S9562" s="5">
        <f t="shared" si="683"/>
        <v>70007.077158325032</v>
      </c>
      <c r="T9562" cm="1">
        <f t="array" ref="T9562">IF(OR(B9562="MAL ALIMI", B9562="ÜRETİM GİRİŞ"), MIN(I9562, MAX(0, I9562 + SUM(SUMIFS($I$1:I9561, $C$1:C9561, C9562, $B$1:B9561, {"MAL ALIMI","ÜRETİM GİRİŞ"})) - VLOOKUP(C9562, 'STOK RAPORU'!$C$2:$I$1000, 4, 0))), 0)</f>
        <v>0</v>
      </c>
      <c r="U9562" s="22">
        <f t="shared" si="676"/>
        <v>0</v>
      </c>
      <c r="V9562">
        <f t="shared" si="677"/>
        <v>0</v>
      </c>
      <c r="W9562" s="22">
        <f t="shared" si="678"/>
        <v>0</v>
      </c>
    </row>
    <row r="9563" spans="1:23" hidden="1" x14ac:dyDescent="0.25">
      <c r="A9563" s="4"/>
      <c r="B9563" s="4"/>
      <c r="C9563" s="4"/>
      <c r="D9563" s="4"/>
      <c r="E9563" s="4"/>
      <c r="F9563" s="4"/>
      <c r="G9563" s="4"/>
      <c r="H9563" s="4"/>
      <c r="I9563" s="4"/>
      <c r="J9563" s="21">
        <f>IFERROR(VLOOKUP(C9563,'STOK KARTLARI'!$C$2:$K$2150,8,0),0)</f>
        <v>0</v>
      </c>
      <c r="K9563" s="21">
        <f t="shared" si="679"/>
        <v>0</v>
      </c>
      <c r="L9563" s="5">
        <f t="shared" si="681"/>
        <v>0</v>
      </c>
      <c r="M9563" s="4"/>
      <c r="N9563" s="4"/>
      <c r="O9563" s="5"/>
      <c r="P9563" s="5"/>
      <c r="Q9563" s="21">
        <f t="shared" si="682"/>
        <v>0</v>
      </c>
      <c r="R9563" s="21">
        <f t="shared" si="680"/>
        <v>0</v>
      </c>
      <c r="S9563" s="5">
        <f t="shared" si="683"/>
        <v>70007.077158325032</v>
      </c>
      <c r="T9563" cm="1">
        <f t="array" ref="T9563">IF(OR(B9563="MAL ALIMI", B9563="ÜRETİM GİRİŞ"), MIN(I9563, MAX(0, I9563 + SUM(SUMIFS($I$1:I9562, $C$1:C9562, C9563, $B$1:B9562, {"MAL ALIMI","ÜRETİM GİRİŞ"})) - VLOOKUP(C9563, 'STOK RAPORU'!$C$2:$I$1000, 4, 0))), 0)</f>
        <v>0</v>
      </c>
      <c r="U9563" s="22">
        <f t="shared" si="676"/>
        <v>0</v>
      </c>
      <c r="V9563">
        <f t="shared" si="677"/>
        <v>0</v>
      </c>
      <c r="W9563" s="22">
        <f t="shared" si="678"/>
        <v>0</v>
      </c>
    </row>
    <row r="9564" spans="1:23" hidden="1" x14ac:dyDescent="0.25">
      <c r="A9564" s="4"/>
      <c r="B9564" s="4"/>
      <c r="C9564" s="4"/>
      <c r="D9564" s="4"/>
      <c r="E9564" s="4"/>
      <c r="F9564" s="4"/>
      <c r="G9564" s="4"/>
      <c r="H9564" s="4"/>
      <c r="I9564" s="4"/>
      <c r="J9564" s="21">
        <f>IFERROR(VLOOKUP(C9564,'STOK KARTLARI'!$C$2:$K$2150,8,0),0)</f>
        <v>0</v>
      </c>
      <c r="K9564" s="21">
        <f t="shared" si="679"/>
        <v>0</v>
      </c>
      <c r="L9564" s="5">
        <f t="shared" si="681"/>
        <v>0</v>
      </c>
      <c r="M9564" s="4"/>
      <c r="N9564" s="4"/>
      <c r="O9564" s="5"/>
      <c r="P9564" s="5"/>
      <c r="Q9564" s="21">
        <f t="shared" si="682"/>
        <v>0</v>
      </c>
      <c r="R9564" s="21">
        <f t="shared" si="680"/>
        <v>0</v>
      </c>
      <c r="S9564" s="5">
        <f t="shared" si="683"/>
        <v>70007.077158325032</v>
      </c>
      <c r="T9564" cm="1">
        <f t="array" ref="T9564">IF(OR(B9564="MAL ALIMI", B9564="ÜRETİM GİRİŞ"), MIN(I9564, MAX(0, I9564 + SUM(SUMIFS($I$1:I9563, $C$1:C9563, C9564, $B$1:B9563, {"MAL ALIMI","ÜRETİM GİRİŞ"})) - VLOOKUP(C9564, 'STOK RAPORU'!$C$2:$I$1000, 4, 0))), 0)</f>
        <v>0</v>
      </c>
      <c r="U9564" s="22">
        <f t="shared" si="676"/>
        <v>0</v>
      </c>
      <c r="V9564">
        <f t="shared" si="677"/>
        <v>0</v>
      </c>
      <c r="W9564" s="22">
        <f t="shared" si="678"/>
        <v>0</v>
      </c>
    </row>
    <row r="9565" spans="1:23" hidden="1" x14ac:dyDescent="0.25">
      <c r="A9565" s="4"/>
      <c r="B9565" s="4"/>
      <c r="C9565" s="4"/>
      <c r="D9565" s="4"/>
      <c r="E9565" s="4"/>
      <c r="F9565" s="4"/>
      <c r="G9565" s="4"/>
      <c r="H9565" s="4"/>
      <c r="I9565" s="4"/>
      <c r="J9565" s="21">
        <f>IFERROR(VLOOKUP(C9565,'STOK KARTLARI'!$C$2:$K$2150,8,0),0)</f>
        <v>0</v>
      </c>
      <c r="K9565" s="21">
        <f t="shared" si="679"/>
        <v>0</v>
      </c>
      <c r="L9565" s="5">
        <f t="shared" si="681"/>
        <v>0</v>
      </c>
      <c r="M9565" s="4"/>
      <c r="N9565" s="4"/>
      <c r="O9565" s="5"/>
      <c r="P9565" s="5"/>
      <c r="Q9565" s="21">
        <f t="shared" si="682"/>
        <v>0</v>
      </c>
      <c r="R9565" s="21">
        <f t="shared" si="680"/>
        <v>0</v>
      </c>
      <c r="S9565" s="5">
        <f t="shared" si="683"/>
        <v>70007.077158325032</v>
      </c>
      <c r="T9565" cm="1">
        <f t="array" ref="T9565">IF(OR(B9565="MAL ALIMI", B9565="ÜRETİM GİRİŞ"), MIN(I9565, MAX(0, I9565 + SUM(SUMIFS($I$1:I9564, $C$1:C9564, C9565, $B$1:B9564, {"MAL ALIMI","ÜRETİM GİRİŞ"})) - VLOOKUP(C9565, 'STOK RAPORU'!$C$2:$I$1000, 4, 0))), 0)</f>
        <v>0</v>
      </c>
      <c r="U9565" s="22">
        <f t="shared" si="676"/>
        <v>0</v>
      </c>
      <c r="V9565">
        <f t="shared" si="677"/>
        <v>0</v>
      </c>
      <c r="W9565" s="22">
        <f t="shared" si="678"/>
        <v>0</v>
      </c>
    </row>
    <row r="9566" spans="1:23" hidden="1" x14ac:dyDescent="0.25">
      <c r="A9566" s="4"/>
      <c r="B9566" s="4"/>
      <c r="C9566" s="4"/>
      <c r="D9566" s="4"/>
      <c r="E9566" s="4"/>
      <c r="F9566" s="4"/>
      <c r="G9566" s="4"/>
      <c r="H9566" s="4"/>
      <c r="I9566" s="4"/>
      <c r="J9566" s="21">
        <f>IFERROR(VLOOKUP(C9566,'STOK KARTLARI'!$C$2:$K$2150,8,0),0)</f>
        <v>0</v>
      </c>
      <c r="K9566" s="21">
        <f t="shared" si="679"/>
        <v>0</v>
      </c>
      <c r="L9566" s="5">
        <f t="shared" si="681"/>
        <v>0</v>
      </c>
      <c r="M9566" s="4"/>
      <c r="N9566" s="4"/>
      <c r="O9566" s="5"/>
      <c r="P9566" s="5"/>
      <c r="Q9566" s="21">
        <f t="shared" si="682"/>
        <v>0</v>
      </c>
      <c r="R9566" s="21">
        <f t="shared" si="680"/>
        <v>0</v>
      </c>
      <c r="S9566" s="5">
        <f t="shared" si="683"/>
        <v>70007.077158325032</v>
      </c>
      <c r="T9566" cm="1">
        <f t="array" ref="T9566">IF(OR(B9566="MAL ALIMI", B9566="ÜRETİM GİRİŞ"), MIN(I9566, MAX(0, I9566 + SUM(SUMIFS($I$1:I9565, $C$1:C9565, C9566, $B$1:B9565, {"MAL ALIMI","ÜRETİM GİRİŞ"})) - VLOOKUP(C9566, 'STOK RAPORU'!$C$2:$I$1000, 4, 0))), 0)</f>
        <v>0</v>
      </c>
      <c r="U9566" s="22">
        <f t="shared" si="676"/>
        <v>0</v>
      </c>
      <c r="V9566">
        <f t="shared" si="677"/>
        <v>0</v>
      </c>
      <c r="W9566" s="22">
        <f t="shared" si="678"/>
        <v>0</v>
      </c>
    </row>
    <row r="9567" spans="1:23" hidden="1" x14ac:dyDescent="0.25">
      <c r="A9567" s="4"/>
      <c r="B9567" s="4"/>
      <c r="C9567" s="4"/>
      <c r="D9567" s="4"/>
      <c r="E9567" s="4"/>
      <c r="F9567" s="4"/>
      <c r="G9567" s="4"/>
      <c r="H9567" s="4"/>
      <c r="I9567" s="4"/>
      <c r="J9567" s="21">
        <f>IFERROR(VLOOKUP(C9567,'STOK KARTLARI'!$C$2:$K$2150,8,0),0)</f>
        <v>0</v>
      </c>
      <c r="K9567" s="21">
        <f t="shared" si="679"/>
        <v>0</v>
      </c>
      <c r="L9567" s="5">
        <f t="shared" si="681"/>
        <v>0</v>
      </c>
      <c r="M9567" s="4"/>
      <c r="N9567" s="4"/>
      <c r="O9567" s="5"/>
      <c r="P9567" s="5"/>
      <c r="Q9567" s="21">
        <f t="shared" si="682"/>
        <v>0</v>
      </c>
      <c r="R9567" s="21">
        <f t="shared" si="680"/>
        <v>0</v>
      </c>
      <c r="S9567" s="5">
        <f t="shared" si="683"/>
        <v>70007.077158325032</v>
      </c>
      <c r="T9567" cm="1">
        <f t="array" ref="T9567">IF(OR(B9567="MAL ALIMI", B9567="ÜRETİM GİRİŞ"), MIN(I9567, MAX(0, I9567 + SUM(SUMIFS($I$1:I9566, $C$1:C9566, C9567, $B$1:B9566, {"MAL ALIMI","ÜRETİM GİRİŞ"})) - VLOOKUP(C9567, 'STOK RAPORU'!$C$2:$I$1000, 4, 0))), 0)</f>
        <v>0</v>
      </c>
      <c r="U9567" s="22">
        <f t="shared" si="676"/>
        <v>0</v>
      </c>
      <c r="V9567">
        <f t="shared" si="677"/>
        <v>0</v>
      </c>
      <c r="W9567" s="22">
        <f t="shared" si="678"/>
        <v>0</v>
      </c>
    </row>
    <row r="9568" spans="1:23" hidden="1" x14ac:dyDescent="0.25">
      <c r="A9568" s="4"/>
      <c r="B9568" s="4"/>
      <c r="C9568" s="4"/>
      <c r="D9568" s="4"/>
      <c r="E9568" s="4"/>
      <c r="F9568" s="4"/>
      <c r="G9568" s="4"/>
      <c r="H9568" s="4"/>
      <c r="I9568" s="4"/>
      <c r="J9568" s="21">
        <f>IFERROR(VLOOKUP(C9568,'STOK KARTLARI'!$C$2:$K$2150,8,0),0)</f>
        <v>0</v>
      </c>
      <c r="K9568" s="21">
        <f t="shared" si="679"/>
        <v>0</v>
      </c>
      <c r="L9568" s="5">
        <f t="shared" si="681"/>
        <v>0</v>
      </c>
      <c r="M9568" s="4"/>
      <c r="N9568" s="4"/>
      <c r="O9568" s="5"/>
      <c r="P9568" s="5"/>
      <c r="Q9568" s="21">
        <f t="shared" si="682"/>
        <v>0</v>
      </c>
      <c r="R9568" s="21">
        <f t="shared" si="680"/>
        <v>0</v>
      </c>
      <c r="S9568" s="5">
        <f t="shared" si="683"/>
        <v>70007.077158325032</v>
      </c>
      <c r="T9568" cm="1">
        <f t="array" ref="T9568">IF(OR(B9568="MAL ALIMI", B9568="ÜRETİM GİRİŞ"), MIN(I9568, MAX(0, I9568 + SUM(SUMIFS($I$1:I9567, $C$1:C9567, C9568, $B$1:B9567, {"MAL ALIMI","ÜRETİM GİRİŞ"})) - VLOOKUP(C9568, 'STOK RAPORU'!$C$2:$I$1000, 4, 0))), 0)</f>
        <v>0</v>
      </c>
      <c r="U9568" s="22">
        <f t="shared" si="676"/>
        <v>0</v>
      </c>
      <c r="V9568">
        <f t="shared" si="677"/>
        <v>0</v>
      </c>
      <c r="W9568" s="22">
        <f t="shared" si="678"/>
        <v>0</v>
      </c>
    </row>
    <row r="9569" spans="1:23" hidden="1" x14ac:dyDescent="0.25">
      <c r="A9569" s="3"/>
      <c r="B9569" s="4"/>
      <c r="C9569" s="4"/>
      <c r="D9569" s="4"/>
      <c r="E9569" s="4"/>
      <c r="F9569" s="4"/>
      <c r="G9569" s="4"/>
      <c r="H9569" s="4"/>
      <c r="I9569" s="4"/>
      <c r="J9569" s="21">
        <f>IFERROR(VLOOKUP(C9569,'STOK KARTLARI'!$C$2:$K$2150,8,0),0)</f>
        <v>0</v>
      </c>
      <c r="K9569" s="21">
        <f t="shared" si="679"/>
        <v>0</v>
      </c>
      <c r="L9569" s="5">
        <f t="shared" si="681"/>
        <v>0</v>
      </c>
      <c r="M9569" s="4"/>
      <c r="N9569" s="4"/>
      <c r="O9569" s="5"/>
      <c r="P9569" s="5"/>
      <c r="Q9569" s="21">
        <f t="shared" si="682"/>
        <v>0</v>
      </c>
      <c r="R9569" s="21">
        <f t="shared" si="680"/>
        <v>0</v>
      </c>
      <c r="S9569" s="5">
        <f t="shared" si="683"/>
        <v>70007.077158325032</v>
      </c>
      <c r="T9569" cm="1">
        <f t="array" ref="T9569">IF(OR(B9569="MAL ALIMI", B9569="ÜRETİM GİRİŞ"), MIN(I9569, MAX(0, I9569 + SUM(SUMIFS($I$1:I9568, $C$1:C9568, C9569, $B$1:B9568, {"MAL ALIMI","ÜRETİM GİRİŞ"})) - VLOOKUP(C9569, 'STOK RAPORU'!$C$2:$I$1000, 4, 0))), 0)</f>
        <v>0</v>
      </c>
      <c r="U9569" s="22">
        <f t="shared" si="676"/>
        <v>0</v>
      </c>
      <c r="V9569">
        <f t="shared" si="677"/>
        <v>0</v>
      </c>
      <c r="W9569" s="22">
        <f t="shared" si="678"/>
        <v>0</v>
      </c>
    </row>
    <row r="9570" spans="1:23" hidden="1" x14ac:dyDescent="0.25">
      <c r="A9570" s="3"/>
      <c r="B9570" s="4"/>
      <c r="C9570" s="4"/>
      <c r="D9570" s="4"/>
      <c r="E9570" s="4"/>
      <c r="F9570" s="4"/>
      <c r="G9570" s="4"/>
      <c r="H9570" s="4"/>
      <c r="I9570" s="4"/>
      <c r="J9570" s="21">
        <f>IFERROR(VLOOKUP(C9570,'STOK KARTLARI'!$C$2:$K$2150,8,0),0)</f>
        <v>0</v>
      </c>
      <c r="K9570" s="21">
        <f t="shared" si="679"/>
        <v>0</v>
      </c>
      <c r="L9570" s="5">
        <f t="shared" si="681"/>
        <v>0</v>
      </c>
      <c r="M9570" s="4"/>
      <c r="N9570" s="4"/>
      <c r="O9570" s="5"/>
      <c r="P9570" s="5"/>
      <c r="Q9570" s="21">
        <f t="shared" si="682"/>
        <v>0</v>
      </c>
      <c r="R9570" s="21">
        <f t="shared" si="680"/>
        <v>0</v>
      </c>
      <c r="S9570" s="5">
        <f t="shared" si="683"/>
        <v>70007.077158325032</v>
      </c>
      <c r="T9570" cm="1">
        <f t="array" ref="T9570">IF(OR(B9570="MAL ALIMI", B9570="ÜRETİM GİRİŞ"), MIN(I9570, MAX(0, I9570 + SUM(SUMIFS($I$1:I9569, $C$1:C9569, C9570, $B$1:B9569, {"MAL ALIMI","ÜRETİM GİRİŞ"})) - VLOOKUP(C9570, 'STOK RAPORU'!$C$2:$I$1000, 4, 0))), 0)</f>
        <v>0</v>
      </c>
      <c r="U9570" s="22">
        <f t="shared" si="676"/>
        <v>0</v>
      </c>
      <c r="V9570">
        <f t="shared" si="677"/>
        <v>0</v>
      </c>
      <c r="W9570" s="22">
        <f t="shared" si="678"/>
        <v>0</v>
      </c>
    </row>
    <row r="9571" spans="1:23" hidden="1" x14ac:dyDescent="0.25">
      <c r="A9571" s="4"/>
      <c r="B9571" s="4"/>
      <c r="C9571" s="4"/>
      <c r="D9571" s="4"/>
      <c r="E9571" s="4"/>
      <c r="F9571" s="4"/>
      <c r="G9571" s="4"/>
      <c r="H9571" s="4"/>
      <c r="I9571" s="4"/>
      <c r="J9571" s="21">
        <f>IFERROR(VLOOKUP(C9571,'STOK KARTLARI'!$C$2:$K$2150,8,0),0)</f>
        <v>0</v>
      </c>
      <c r="K9571" s="21">
        <f t="shared" si="679"/>
        <v>0</v>
      </c>
      <c r="L9571" s="5">
        <f t="shared" si="681"/>
        <v>0</v>
      </c>
      <c r="M9571" s="4"/>
      <c r="N9571" s="4"/>
      <c r="O9571" s="5"/>
      <c r="P9571" s="5"/>
      <c r="Q9571" s="21">
        <f t="shared" si="682"/>
        <v>0</v>
      </c>
      <c r="R9571" s="21">
        <f t="shared" si="680"/>
        <v>0</v>
      </c>
      <c r="S9571" s="5">
        <f t="shared" si="683"/>
        <v>70007.077158325032</v>
      </c>
      <c r="T9571" cm="1">
        <f t="array" ref="T9571">IF(OR(B9571="MAL ALIMI", B9571="ÜRETİM GİRİŞ"), MIN(I9571, MAX(0, I9571 + SUM(SUMIFS($I$1:I9570, $C$1:C9570, C9571, $B$1:B9570, {"MAL ALIMI","ÜRETİM GİRİŞ"})) - VLOOKUP(C9571, 'STOK RAPORU'!$C$2:$I$1000, 4, 0))), 0)</f>
        <v>0</v>
      </c>
      <c r="U9571" s="22">
        <f t="shared" si="676"/>
        <v>0</v>
      </c>
      <c r="V9571">
        <f t="shared" si="677"/>
        <v>0</v>
      </c>
      <c r="W9571" s="22">
        <f t="shared" si="678"/>
        <v>0</v>
      </c>
    </row>
    <row r="9572" spans="1:23" hidden="1" x14ac:dyDescent="0.25">
      <c r="A9572" s="4"/>
      <c r="B9572" s="4"/>
      <c r="C9572" s="4"/>
      <c r="D9572" s="4"/>
      <c r="E9572" s="4"/>
      <c r="F9572" s="4"/>
      <c r="G9572" s="4"/>
      <c r="H9572" s="4"/>
      <c r="I9572" s="4"/>
      <c r="J9572" s="21">
        <f>IFERROR(VLOOKUP(C9572,'STOK KARTLARI'!$C$2:$K$2150,8,0),0)</f>
        <v>0</v>
      </c>
      <c r="K9572" s="21">
        <f t="shared" si="679"/>
        <v>0</v>
      </c>
      <c r="L9572" s="5">
        <f t="shared" si="681"/>
        <v>0</v>
      </c>
      <c r="M9572" s="4"/>
      <c r="N9572" s="4"/>
      <c r="O9572" s="5"/>
      <c r="P9572" s="5"/>
      <c r="Q9572" s="21">
        <f t="shared" si="682"/>
        <v>0</v>
      </c>
      <c r="R9572" s="21">
        <f t="shared" si="680"/>
        <v>0</v>
      </c>
      <c r="S9572" s="5">
        <f t="shared" si="683"/>
        <v>70007.077158325032</v>
      </c>
      <c r="T9572" cm="1">
        <f t="array" ref="T9572">IF(OR(B9572="MAL ALIMI", B9572="ÜRETİM GİRİŞ"), MIN(I9572, MAX(0, I9572 + SUM(SUMIFS($I$1:I9571, $C$1:C9571, C9572, $B$1:B9571, {"MAL ALIMI","ÜRETİM GİRİŞ"})) - VLOOKUP(C9572, 'STOK RAPORU'!$C$2:$I$1000, 4, 0))), 0)</f>
        <v>0</v>
      </c>
      <c r="U9572" s="22">
        <f t="shared" si="676"/>
        <v>0</v>
      </c>
      <c r="V9572">
        <f t="shared" si="677"/>
        <v>0</v>
      </c>
      <c r="W9572" s="22">
        <f t="shared" si="678"/>
        <v>0</v>
      </c>
    </row>
    <row r="9573" spans="1:23" hidden="1" x14ac:dyDescent="0.25">
      <c r="A9573" s="4"/>
      <c r="B9573" s="4"/>
      <c r="C9573" s="4"/>
      <c r="D9573" s="4"/>
      <c r="E9573" s="4"/>
      <c r="F9573" s="4"/>
      <c r="G9573" s="4"/>
      <c r="H9573" s="4"/>
      <c r="I9573" s="4"/>
      <c r="J9573" s="21">
        <f>IFERROR(VLOOKUP(C9573,'STOK KARTLARI'!$C$2:$K$2150,8,0),0)</f>
        <v>0</v>
      </c>
      <c r="K9573" s="21">
        <f t="shared" si="679"/>
        <v>0</v>
      </c>
      <c r="L9573" s="5">
        <f t="shared" si="681"/>
        <v>0</v>
      </c>
      <c r="M9573" s="4"/>
      <c r="N9573" s="4"/>
      <c r="O9573" s="5"/>
      <c r="P9573" s="5"/>
      <c r="Q9573" s="21">
        <f t="shared" si="682"/>
        <v>0</v>
      </c>
      <c r="R9573" s="21">
        <f t="shared" si="680"/>
        <v>0</v>
      </c>
      <c r="S9573" s="5">
        <f t="shared" si="683"/>
        <v>70007.077158325032</v>
      </c>
      <c r="T9573" cm="1">
        <f t="array" ref="T9573">IF(OR(B9573="MAL ALIMI", B9573="ÜRETİM GİRİŞ"), MIN(I9573, MAX(0, I9573 + SUM(SUMIFS($I$1:I9572, $C$1:C9572, C9573, $B$1:B9572, {"MAL ALIMI","ÜRETİM GİRİŞ"})) - VLOOKUP(C9573, 'STOK RAPORU'!$C$2:$I$1000, 4, 0))), 0)</f>
        <v>0</v>
      </c>
      <c r="U9573" s="22">
        <f t="shared" si="676"/>
        <v>0</v>
      </c>
      <c r="V9573">
        <f t="shared" si="677"/>
        <v>0</v>
      </c>
      <c r="W9573" s="22">
        <f t="shared" si="678"/>
        <v>0</v>
      </c>
    </row>
    <row r="9574" spans="1:23" hidden="1" x14ac:dyDescent="0.25">
      <c r="A9574" s="4"/>
      <c r="B9574" s="4"/>
      <c r="C9574" s="4"/>
      <c r="D9574" s="4"/>
      <c r="E9574" s="4"/>
      <c r="F9574" s="4"/>
      <c r="G9574" s="4"/>
      <c r="H9574" s="4"/>
      <c r="I9574" s="4"/>
      <c r="J9574" s="21">
        <f>IFERROR(VLOOKUP(C9574,'STOK KARTLARI'!$C$2:$K$2150,8,0),0)</f>
        <v>0</v>
      </c>
      <c r="K9574" s="21">
        <f t="shared" si="679"/>
        <v>0</v>
      </c>
      <c r="L9574" s="5">
        <f t="shared" si="681"/>
        <v>0</v>
      </c>
      <c r="M9574" s="4"/>
      <c r="N9574" s="4"/>
      <c r="O9574" s="5"/>
      <c r="P9574" s="5"/>
      <c r="Q9574" s="21">
        <f t="shared" si="682"/>
        <v>0</v>
      </c>
      <c r="R9574" s="21">
        <f t="shared" si="680"/>
        <v>0</v>
      </c>
      <c r="S9574" s="5">
        <f t="shared" si="683"/>
        <v>70007.077158325032</v>
      </c>
      <c r="T9574" cm="1">
        <f t="array" ref="T9574">IF(OR(B9574="MAL ALIMI", B9574="ÜRETİM GİRİŞ"), MIN(I9574, MAX(0, I9574 + SUM(SUMIFS($I$1:I9573, $C$1:C9573, C9574, $B$1:B9573, {"MAL ALIMI","ÜRETİM GİRİŞ"})) - VLOOKUP(C9574, 'STOK RAPORU'!$C$2:$I$1000, 4, 0))), 0)</f>
        <v>0</v>
      </c>
      <c r="U9574" s="22">
        <f t="shared" si="676"/>
        <v>0</v>
      </c>
      <c r="V9574">
        <f t="shared" si="677"/>
        <v>0</v>
      </c>
      <c r="W9574" s="22">
        <f t="shared" si="678"/>
        <v>0</v>
      </c>
    </row>
    <row r="9575" spans="1:23" hidden="1" x14ac:dyDescent="0.25">
      <c r="A9575" s="4"/>
      <c r="B9575" s="4"/>
      <c r="C9575" s="4"/>
      <c r="D9575" s="4"/>
      <c r="E9575" s="4"/>
      <c r="F9575" s="4"/>
      <c r="G9575" s="4"/>
      <c r="H9575" s="4"/>
      <c r="I9575" s="4"/>
      <c r="J9575" s="21">
        <f>IFERROR(VLOOKUP(C9575,'STOK KARTLARI'!$C$2:$K$2150,8,0),0)</f>
        <v>0</v>
      </c>
      <c r="K9575" s="21">
        <f t="shared" si="679"/>
        <v>0</v>
      </c>
      <c r="L9575" s="5">
        <f t="shared" si="681"/>
        <v>0</v>
      </c>
      <c r="M9575" s="4"/>
      <c r="N9575" s="4"/>
      <c r="O9575" s="5"/>
      <c r="P9575" s="5"/>
      <c r="Q9575" s="21">
        <f t="shared" si="682"/>
        <v>0</v>
      </c>
      <c r="R9575" s="21">
        <f t="shared" si="680"/>
        <v>0</v>
      </c>
      <c r="S9575" s="5">
        <f t="shared" si="683"/>
        <v>70007.077158325032</v>
      </c>
      <c r="T9575" cm="1">
        <f t="array" ref="T9575">IF(OR(B9575="MAL ALIMI", B9575="ÜRETİM GİRİŞ"), MIN(I9575, MAX(0, I9575 + SUM(SUMIFS($I$1:I9574, $C$1:C9574, C9575, $B$1:B9574, {"MAL ALIMI","ÜRETİM GİRİŞ"})) - VLOOKUP(C9575, 'STOK RAPORU'!$C$2:$I$1000, 4, 0))), 0)</f>
        <v>0</v>
      </c>
      <c r="U9575" s="22">
        <f t="shared" si="676"/>
        <v>0</v>
      </c>
      <c r="V9575">
        <f t="shared" si="677"/>
        <v>0</v>
      </c>
      <c r="W9575" s="22">
        <f t="shared" si="678"/>
        <v>0</v>
      </c>
    </row>
    <row r="9576" spans="1:23" hidden="1" x14ac:dyDescent="0.25">
      <c r="A9576" s="4"/>
      <c r="B9576" s="4"/>
      <c r="C9576" s="4"/>
      <c r="D9576" s="4"/>
      <c r="E9576" s="4"/>
      <c r="F9576" s="4"/>
      <c r="G9576" s="4"/>
      <c r="H9576" s="4"/>
      <c r="I9576" s="4"/>
      <c r="J9576" s="21">
        <f>IFERROR(VLOOKUP(C9576,'STOK KARTLARI'!$C$2:$K$2150,8,0),0)</f>
        <v>0</v>
      </c>
      <c r="K9576" s="21">
        <f t="shared" si="679"/>
        <v>0</v>
      </c>
      <c r="L9576" s="5">
        <f t="shared" si="681"/>
        <v>0</v>
      </c>
      <c r="M9576" s="4"/>
      <c r="N9576" s="4"/>
      <c r="O9576" s="5"/>
      <c r="P9576" s="5"/>
      <c r="Q9576" s="21">
        <f t="shared" si="682"/>
        <v>0</v>
      </c>
      <c r="R9576" s="21">
        <f t="shared" si="680"/>
        <v>0</v>
      </c>
      <c r="S9576" s="5">
        <f t="shared" si="683"/>
        <v>70007.077158325032</v>
      </c>
      <c r="T9576" cm="1">
        <f t="array" ref="T9576">IF(OR(B9576="MAL ALIMI", B9576="ÜRETİM GİRİŞ"), MIN(I9576, MAX(0, I9576 + SUM(SUMIFS($I$1:I9575, $C$1:C9575, C9576, $B$1:B9575, {"MAL ALIMI","ÜRETİM GİRİŞ"})) - VLOOKUP(C9576, 'STOK RAPORU'!$C$2:$I$1000, 4, 0))), 0)</f>
        <v>0</v>
      </c>
      <c r="U9576" s="22">
        <f t="shared" si="676"/>
        <v>0</v>
      </c>
      <c r="V9576">
        <f t="shared" si="677"/>
        <v>0</v>
      </c>
      <c r="W9576" s="22">
        <f t="shared" si="678"/>
        <v>0</v>
      </c>
    </row>
    <row r="9577" spans="1:23" hidden="1" x14ac:dyDescent="0.25">
      <c r="A9577" s="3"/>
      <c r="B9577" s="4"/>
      <c r="C9577" s="4"/>
      <c r="D9577" s="4"/>
      <c r="E9577" s="4"/>
      <c r="F9577" s="4"/>
      <c r="G9577" s="4"/>
      <c r="H9577" s="4"/>
      <c r="I9577" s="4"/>
      <c r="J9577" s="21">
        <f>IFERROR(VLOOKUP(C9577,'STOK KARTLARI'!$C$2:$K$2150,8,0),0)</f>
        <v>0</v>
      </c>
      <c r="K9577" s="21">
        <f t="shared" si="679"/>
        <v>0</v>
      </c>
      <c r="L9577" s="5">
        <f t="shared" si="681"/>
        <v>0</v>
      </c>
      <c r="M9577" s="4"/>
      <c r="N9577" s="4"/>
      <c r="O9577" s="5"/>
      <c r="P9577" s="5"/>
      <c r="Q9577" s="21">
        <f t="shared" si="682"/>
        <v>0</v>
      </c>
      <c r="R9577" s="21">
        <f t="shared" si="680"/>
        <v>0</v>
      </c>
      <c r="S9577" s="5">
        <f t="shared" si="683"/>
        <v>70007.077158325032</v>
      </c>
      <c r="T9577" cm="1">
        <f t="array" ref="T9577">IF(OR(B9577="MAL ALIMI", B9577="ÜRETİM GİRİŞ"), MIN(I9577, MAX(0, I9577 + SUM(SUMIFS($I$1:I9576, $C$1:C9576, C9577, $B$1:B9576, {"MAL ALIMI","ÜRETİM GİRİŞ"})) - VLOOKUP(C9577, 'STOK RAPORU'!$C$2:$I$1000, 4, 0))), 0)</f>
        <v>0</v>
      </c>
      <c r="U9577" s="22">
        <f t="shared" si="676"/>
        <v>0</v>
      </c>
      <c r="V9577">
        <f t="shared" si="677"/>
        <v>0</v>
      </c>
      <c r="W9577" s="22">
        <f t="shared" si="678"/>
        <v>0</v>
      </c>
    </row>
    <row r="9578" spans="1:23" hidden="1" x14ac:dyDescent="0.25">
      <c r="A9578" s="4"/>
      <c r="B9578" s="4"/>
      <c r="C9578" s="4"/>
      <c r="D9578" s="4"/>
      <c r="E9578" s="4"/>
      <c r="F9578" s="4"/>
      <c r="G9578" s="4"/>
      <c r="H9578" s="4"/>
      <c r="I9578" s="4"/>
      <c r="J9578" s="21">
        <f>IFERROR(VLOOKUP(C9578,'STOK KARTLARI'!$C$2:$K$2150,8,0),0)</f>
        <v>0</v>
      </c>
      <c r="K9578" s="21">
        <f t="shared" si="679"/>
        <v>0</v>
      </c>
      <c r="L9578" s="5">
        <f t="shared" si="681"/>
        <v>0</v>
      </c>
      <c r="M9578" s="4"/>
      <c r="N9578" s="4"/>
      <c r="O9578" s="5"/>
      <c r="P9578" s="5"/>
      <c r="Q9578" s="21">
        <f t="shared" si="682"/>
        <v>0</v>
      </c>
      <c r="R9578" s="21">
        <f t="shared" si="680"/>
        <v>0</v>
      </c>
      <c r="S9578" s="5">
        <f t="shared" si="683"/>
        <v>70007.077158325032</v>
      </c>
      <c r="T9578" cm="1">
        <f t="array" ref="T9578">IF(OR(B9578="MAL ALIMI", B9578="ÜRETİM GİRİŞ"), MIN(I9578, MAX(0, I9578 + SUM(SUMIFS($I$1:I9577, $C$1:C9577, C9578, $B$1:B9577, {"MAL ALIMI","ÜRETİM GİRİŞ"})) - VLOOKUP(C9578, 'STOK RAPORU'!$C$2:$I$1000, 4, 0))), 0)</f>
        <v>0</v>
      </c>
      <c r="U9578" s="22">
        <f t="shared" si="676"/>
        <v>0</v>
      </c>
      <c r="V9578">
        <f t="shared" si="677"/>
        <v>0</v>
      </c>
      <c r="W9578" s="22">
        <f t="shared" si="678"/>
        <v>0</v>
      </c>
    </row>
    <row r="9579" spans="1:23" hidden="1" x14ac:dyDescent="0.25">
      <c r="A9579" s="4"/>
      <c r="B9579" s="4"/>
      <c r="C9579" s="4"/>
      <c r="D9579" s="4"/>
      <c r="E9579" s="4"/>
      <c r="F9579" s="4"/>
      <c r="G9579" s="4"/>
      <c r="H9579" s="4"/>
      <c r="I9579" s="4"/>
      <c r="J9579" s="21">
        <f>IFERROR(VLOOKUP(C9579,'STOK KARTLARI'!$C$2:$K$2150,8,0),0)</f>
        <v>0</v>
      </c>
      <c r="K9579" s="21">
        <f t="shared" si="679"/>
        <v>0</v>
      </c>
      <c r="L9579" s="5">
        <f t="shared" si="681"/>
        <v>0</v>
      </c>
      <c r="M9579" s="4"/>
      <c r="N9579" s="4"/>
      <c r="O9579" s="5"/>
      <c r="P9579" s="5"/>
      <c r="Q9579" s="21">
        <f t="shared" si="682"/>
        <v>0</v>
      </c>
      <c r="R9579" s="21">
        <f t="shared" si="680"/>
        <v>0</v>
      </c>
      <c r="S9579" s="5">
        <f t="shared" si="683"/>
        <v>70007.077158325032</v>
      </c>
      <c r="T9579" cm="1">
        <f t="array" ref="T9579">IF(OR(B9579="MAL ALIMI", B9579="ÜRETİM GİRİŞ"), MIN(I9579, MAX(0, I9579 + SUM(SUMIFS($I$1:I9578, $C$1:C9578, C9579, $B$1:B9578, {"MAL ALIMI","ÜRETİM GİRİŞ"})) - VLOOKUP(C9579, 'STOK RAPORU'!$C$2:$I$1000, 4, 0))), 0)</f>
        <v>0</v>
      </c>
      <c r="U9579" s="22">
        <f t="shared" si="676"/>
        <v>0</v>
      </c>
      <c r="V9579">
        <f t="shared" si="677"/>
        <v>0</v>
      </c>
      <c r="W9579" s="22">
        <f t="shared" si="678"/>
        <v>0</v>
      </c>
    </row>
    <row r="9580" spans="1:23" hidden="1" x14ac:dyDescent="0.25">
      <c r="A9580" s="4"/>
      <c r="B9580" s="4"/>
      <c r="C9580" s="4"/>
      <c r="D9580" s="4"/>
      <c r="E9580" s="4"/>
      <c r="F9580" s="4"/>
      <c r="G9580" s="4"/>
      <c r="H9580" s="4"/>
      <c r="I9580" s="4"/>
      <c r="J9580" s="21">
        <f>IFERROR(VLOOKUP(C9580,'STOK KARTLARI'!$C$2:$K$2150,8,0),0)</f>
        <v>0</v>
      </c>
      <c r="K9580" s="21">
        <f t="shared" si="679"/>
        <v>0</v>
      </c>
      <c r="L9580" s="5">
        <f t="shared" si="681"/>
        <v>0</v>
      </c>
      <c r="M9580" s="4"/>
      <c r="N9580" s="4"/>
      <c r="O9580" s="5"/>
      <c r="P9580" s="5"/>
      <c r="Q9580" s="21">
        <f t="shared" si="682"/>
        <v>0</v>
      </c>
      <c r="R9580" s="21">
        <f t="shared" si="680"/>
        <v>0</v>
      </c>
      <c r="S9580" s="5">
        <f t="shared" si="683"/>
        <v>70007.077158325032</v>
      </c>
      <c r="T9580" cm="1">
        <f t="array" ref="T9580">IF(OR(B9580="MAL ALIMI", B9580="ÜRETİM GİRİŞ"), MIN(I9580, MAX(0, I9580 + SUM(SUMIFS($I$1:I9579, $C$1:C9579, C9580, $B$1:B9579, {"MAL ALIMI","ÜRETİM GİRİŞ"})) - VLOOKUP(C9580, 'STOK RAPORU'!$C$2:$I$1000, 4, 0))), 0)</f>
        <v>0</v>
      </c>
      <c r="U9580" s="22">
        <f t="shared" si="676"/>
        <v>0</v>
      </c>
      <c r="V9580">
        <f t="shared" si="677"/>
        <v>0</v>
      </c>
      <c r="W9580" s="22">
        <f t="shared" si="678"/>
        <v>0</v>
      </c>
    </row>
    <row r="9581" spans="1:23" hidden="1" x14ac:dyDescent="0.25">
      <c r="A9581" s="4"/>
      <c r="B9581" s="4"/>
      <c r="C9581" s="4"/>
      <c r="D9581" s="4"/>
      <c r="E9581" s="4"/>
      <c r="F9581" s="4"/>
      <c r="G9581" s="4"/>
      <c r="H9581" s="4"/>
      <c r="I9581" s="4"/>
      <c r="J9581" s="21">
        <f>IFERROR(VLOOKUP(C9581,'STOK KARTLARI'!$C$2:$K$2150,8,0),0)</f>
        <v>0</v>
      </c>
      <c r="K9581" s="21">
        <f t="shared" si="679"/>
        <v>0</v>
      </c>
      <c r="L9581" s="5">
        <f t="shared" si="681"/>
        <v>0</v>
      </c>
      <c r="M9581" s="4"/>
      <c r="N9581" s="4"/>
      <c r="O9581" s="5"/>
      <c r="P9581" s="5"/>
      <c r="Q9581" s="21">
        <f t="shared" si="682"/>
        <v>0</v>
      </c>
      <c r="R9581" s="21">
        <f t="shared" si="680"/>
        <v>0</v>
      </c>
      <c r="S9581" s="5">
        <f t="shared" si="683"/>
        <v>70007.077158325032</v>
      </c>
      <c r="T9581" cm="1">
        <f t="array" ref="T9581">IF(OR(B9581="MAL ALIMI", B9581="ÜRETİM GİRİŞ"), MIN(I9581, MAX(0, I9581 + SUM(SUMIFS($I$1:I9580, $C$1:C9580, C9581, $B$1:B9580, {"MAL ALIMI","ÜRETİM GİRİŞ"})) - VLOOKUP(C9581, 'STOK RAPORU'!$C$2:$I$1000, 4, 0))), 0)</f>
        <v>0</v>
      </c>
      <c r="U9581" s="22">
        <f t="shared" si="676"/>
        <v>0</v>
      </c>
      <c r="V9581">
        <f t="shared" si="677"/>
        <v>0</v>
      </c>
      <c r="W9581" s="22">
        <f t="shared" si="678"/>
        <v>0</v>
      </c>
    </row>
    <row r="9582" spans="1:23" hidden="1" x14ac:dyDescent="0.25">
      <c r="A9582" s="4"/>
      <c r="B9582" s="4"/>
      <c r="C9582" s="4"/>
      <c r="D9582" s="4"/>
      <c r="E9582" s="4"/>
      <c r="F9582" s="4"/>
      <c r="G9582" s="4"/>
      <c r="H9582" s="4"/>
      <c r="I9582" s="4"/>
      <c r="J9582" s="21">
        <f>IFERROR(VLOOKUP(C9582,'STOK KARTLARI'!$C$2:$K$2150,8,0),0)</f>
        <v>0</v>
      </c>
      <c r="K9582" s="21">
        <f t="shared" si="679"/>
        <v>0</v>
      </c>
      <c r="L9582" s="5">
        <f t="shared" si="681"/>
        <v>0</v>
      </c>
      <c r="M9582" s="4"/>
      <c r="N9582" s="4"/>
      <c r="O9582" s="5"/>
      <c r="P9582" s="5"/>
      <c r="Q9582" s="21">
        <f t="shared" si="682"/>
        <v>0</v>
      </c>
      <c r="R9582" s="21">
        <f t="shared" si="680"/>
        <v>0</v>
      </c>
      <c r="S9582" s="5">
        <f t="shared" si="683"/>
        <v>70007.077158325032</v>
      </c>
      <c r="T9582" cm="1">
        <f t="array" ref="T9582">IF(OR(B9582="MAL ALIMI", B9582="ÜRETİM GİRİŞ"), MIN(I9582, MAX(0, I9582 + SUM(SUMIFS($I$1:I9581, $C$1:C9581, C9582, $B$1:B9581, {"MAL ALIMI","ÜRETİM GİRİŞ"})) - VLOOKUP(C9582, 'STOK RAPORU'!$C$2:$I$1000, 4, 0))), 0)</f>
        <v>0</v>
      </c>
      <c r="U9582" s="22">
        <f t="shared" si="676"/>
        <v>0</v>
      </c>
      <c r="V9582">
        <f t="shared" si="677"/>
        <v>0</v>
      </c>
      <c r="W9582" s="22">
        <f t="shared" si="678"/>
        <v>0</v>
      </c>
    </row>
    <row r="9583" spans="1:23" hidden="1" x14ac:dyDescent="0.25">
      <c r="A9583" s="4"/>
      <c r="B9583" s="4"/>
      <c r="C9583" s="4"/>
      <c r="D9583" s="4"/>
      <c r="E9583" s="4"/>
      <c r="F9583" s="4"/>
      <c r="G9583" s="4"/>
      <c r="H9583" s="4"/>
      <c r="I9583" s="4"/>
      <c r="J9583" s="21">
        <f>IFERROR(VLOOKUP(C9583,'STOK KARTLARI'!$C$2:$K$2150,8,0),0)</f>
        <v>0</v>
      </c>
      <c r="K9583" s="21">
        <f t="shared" si="679"/>
        <v>0</v>
      </c>
      <c r="L9583" s="5">
        <f t="shared" si="681"/>
        <v>0</v>
      </c>
      <c r="M9583" s="4"/>
      <c r="N9583" s="4"/>
      <c r="O9583" s="5"/>
      <c r="P9583" s="5"/>
      <c r="Q9583" s="21">
        <f t="shared" si="682"/>
        <v>0</v>
      </c>
      <c r="R9583" s="21">
        <f t="shared" si="680"/>
        <v>0</v>
      </c>
      <c r="S9583" s="5">
        <f t="shared" si="683"/>
        <v>70007.077158325032</v>
      </c>
      <c r="T9583" cm="1">
        <f t="array" ref="T9583">IF(OR(B9583="MAL ALIMI", B9583="ÜRETİM GİRİŞ"), MIN(I9583, MAX(0, I9583 + SUM(SUMIFS($I$1:I9582, $C$1:C9582, C9583, $B$1:B9582, {"MAL ALIMI","ÜRETİM GİRİŞ"})) - VLOOKUP(C9583, 'STOK RAPORU'!$C$2:$I$1000, 4, 0))), 0)</f>
        <v>0</v>
      </c>
      <c r="U9583" s="22">
        <f t="shared" ref="U9583:U9646" si="684">T9583*J9583</f>
        <v>0</v>
      </c>
      <c r="V9583">
        <f t="shared" ref="V9583:V9646" si="685">IF(OR(B9583="MAL ALIMI", B9583="ÜRETİM GİRİŞ"), I9583 * J9583, 0)</f>
        <v>0</v>
      </c>
      <c r="W9583" s="22">
        <f t="shared" ref="W9583:W9646" si="686">V9583-U9583</f>
        <v>0</v>
      </c>
    </row>
    <row r="9584" spans="1:23" hidden="1" x14ac:dyDescent="0.25">
      <c r="A9584" s="3"/>
      <c r="B9584" s="4"/>
      <c r="C9584" s="4"/>
      <c r="D9584" s="4"/>
      <c r="E9584" s="4"/>
      <c r="F9584" s="4"/>
      <c r="G9584" s="4"/>
      <c r="H9584" s="4"/>
      <c r="I9584" s="4"/>
      <c r="J9584" s="21">
        <f>IFERROR(VLOOKUP(C9584,'STOK KARTLARI'!$C$2:$K$2150,8,0),0)</f>
        <v>0</v>
      </c>
      <c r="K9584" s="21">
        <f t="shared" si="679"/>
        <v>0</v>
      </c>
      <c r="L9584" s="5">
        <f t="shared" si="681"/>
        <v>0</v>
      </c>
      <c r="M9584" s="4"/>
      <c r="N9584" s="4"/>
      <c r="O9584" s="5"/>
      <c r="P9584" s="5"/>
      <c r="Q9584" s="21">
        <f t="shared" si="682"/>
        <v>0</v>
      </c>
      <c r="R9584" s="21">
        <f t="shared" si="680"/>
        <v>0</v>
      </c>
      <c r="S9584" s="5">
        <f t="shared" si="683"/>
        <v>70007.077158325032</v>
      </c>
      <c r="T9584" cm="1">
        <f t="array" ref="T9584">IF(OR(B9584="MAL ALIMI", B9584="ÜRETİM GİRİŞ"), MIN(I9584, MAX(0, I9584 + SUM(SUMIFS($I$1:I9583, $C$1:C9583, C9584, $B$1:B9583, {"MAL ALIMI","ÜRETİM GİRİŞ"})) - VLOOKUP(C9584, 'STOK RAPORU'!$C$2:$I$1000, 4, 0))), 0)</f>
        <v>0</v>
      </c>
      <c r="U9584" s="22">
        <f t="shared" si="684"/>
        <v>0</v>
      </c>
      <c r="V9584">
        <f t="shared" si="685"/>
        <v>0</v>
      </c>
      <c r="W9584" s="22">
        <f t="shared" si="686"/>
        <v>0</v>
      </c>
    </row>
    <row r="9585" spans="1:23" hidden="1" x14ac:dyDescent="0.25">
      <c r="A9585" s="4"/>
      <c r="B9585" s="4"/>
      <c r="C9585" s="4"/>
      <c r="D9585" s="4"/>
      <c r="E9585" s="4"/>
      <c r="F9585" s="4"/>
      <c r="G9585" s="4"/>
      <c r="H9585" s="4"/>
      <c r="I9585" s="4"/>
      <c r="J9585" s="21">
        <f>IFERROR(VLOOKUP(C9585,'STOK KARTLARI'!$C$2:$K$2150,8,0),0)</f>
        <v>0</v>
      </c>
      <c r="K9585" s="21">
        <f t="shared" si="679"/>
        <v>0</v>
      </c>
      <c r="L9585" s="5">
        <f t="shared" si="681"/>
        <v>0</v>
      </c>
      <c r="M9585" s="4"/>
      <c r="N9585" s="4"/>
      <c r="O9585" s="5"/>
      <c r="P9585" s="5"/>
      <c r="Q9585" s="21">
        <f t="shared" si="682"/>
        <v>0</v>
      </c>
      <c r="R9585" s="21">
        <f t="shared" si="680"/>
        <v>0</v>
      </c>
      <c r="S9585" s="5">
        <f t="shared" si="683"/>
        <v>70007.077158325032</v>
      </c>
      <c r="T9585" cm="1">
        <f t="array" ref="T9585">IF(OR(B9585="MAL ALIMI", B9585="ÜRETİM GİRİŞ"), MIN(I9585, MAX(0, I9585 + SUM(SUMIFS($I$1:I9584, $C$1:C9584, C9585, $B$1:B9584, {"MAL ALIMI","ÜRETİM GİRİŞ"})) - VLOOKUP(C9585, 'STOK RAPORU'!$C$2:$I$1000, 4, 0))), 0)</f>
        <v>0</v>
      </c>
      <c r="U9585" s="22">
        <f t="shared" si="684"/>
        <v>0</v>
      </c>
      <c r="V9585">
        <f t="shared" si="685"/>
        <v>0</v>
      </c>
      <c r="W9585" s="22">
        <f t="shared" si="686"/>
        <v>0</v>
      </c>
    </row>
    <row r="9586" spans="1:23" hidden="1" x14ac:dyDescent="0.25">
      <c r="A9586" s="4"/>
      <c r="B9586" s="4"/>
      <c r="C9586" s="4"/>
      <c r="D9586" s="4"/>
      <c r="E9586" s="4"/>
      <c r="F9586" s="4"/>
      <c r="G9586" s="4"/>
      <c r="H9586" s="4"/>
      <c r="I9586" s="4"/>
      <c r="J9586" s="21">
        <f>IFERROR(VLOOKUP(C9586,'STOK KARTLARI'!$C$2:$K$2150,8,0),0)</f>
        <v>0</v>
      </c>
      <c r="K9586" s="21">
        <f t="shared" si="679"/>
        <v>0</v>
      </c>
      <c r="L9586" s="5">
        <f t="shared" si="681"/>
        <v>0</v>
      </c>
      <c r="M9586" s="4"/>
      <c r="N9586" s="4"/>
      <c r="O9586" s="5"/>
      <c r="P9586" s="5"/>
      <c r="Q9586" s="21">
        <f t="shared" si="682"/>
        <v>0</v>
      </c>
      <c r="R9586" s="21">
        <f t="shared" si="680"/>
        <v>0</v>
      </c>
      <c r="S9586" s="5">
        <f t="shared" si="683"/>
        <v>70007.077158325032</v>
      </c>
      <c r="T9586" cm="1">
        <f t="array" ref="T9586">IF(OR(B9586="MAL ALIMI", B9586="ÜRETİM GİRİŞ"), MIN(I9586, MAX(0, I9586 + SUM(SUMIFS($I$1:I9585, $C$1:C9585, C9586, $B$1:B9585, {"MAL ALIMI","ÜRETİM GİRİŞ"})) - VLOOKUP(C9586, 'STOK RAPORU'!$C$2:$I$1000, 4, 0))), 0)</f>
        <v>0</v>
      </c>
      <c r="U9586" s="22">
        <f t="shared" si="684"/>
        <v>0</v>
      </c>
      <c r="V9586">
        <f t="shared" si="685"/>
        <v>0</v>
      </c>
      <c r="W9586" s="22">
        <f t="shared" si="686"/>
        <v>0</v>
      </c>
    </row>
    <row r="9587" spans="1:23" hidden="1" x14ac:dyDescent="0.25">
      <c r="A9587" s="4"/>
      <c r="B9587" s="4"/>
      <c r="C9587" s="4"/>
      <c r="D9587" s="4"/>
      <c r="E9587" s="4"/>
      <c r="F9587" s="4"/>
      <c r="G9587" s="4"/>
      <c r="H9587" s="4"/>
      <c r="I9587" s="4"/>
      <c r="J9587" s="21">
        <f>IFERROR(VLOOKUP(C9587,'STOK KARTLARI'!$C$2:$K$2150,8,0),0)</f>
        <v>0</v>
      </c>
      <c r="K9587" s="21">
        <f t="shared" ref="K9587:K9650" si="687">IF(AND(B9587="MAL SATIŞI", H9587="POS"),I9587*J9587,0)</f>
        <v>0</v>
      </c>
      <c r="L9587" s="5">
        <f t="shared" si="681"/>
        <v>0</v>
      </c>
      <c r="M9587" s="4"/>
      <c r="N9587" s="4"/>
      <c r="O9587" s="5"/>
      <c r="P9587" s="5"/>
      <c r="Q9587" s="21">
        <f t="shared" si="682"/>
        <v>0</v>
      </c>
      <c r="R9587" s="21">
        <f t="shared" ref="R9587:R9650" si="688">IF(AND(E9587="", B9587&lt;&gt;"MAL SATIŞI"),I9587*J9587,0)</f>
        <v>0</v>
      </c>
      <c r="S9587" s="5">
        <f t="shared" si="683"/>
        <v>70007.077158325032</v>
      </c>
      <c r="T9587" cm="1">
        <f t="array" ref="T9587">IF(OR(B9587="MAL ALIMI", B9587="ÜRETİM GİRİŞ"), MIN(I9587, MAX(0, I9587 + SUM(SUMIFS($I$1:I9586, $C$1:C9586, C9587, $B$1:B9586, {"MAL ALIMI","ÜRETİM GİRİŞ"})) - VLOOKUP(C9587, 'STOK RAPORU'!$C$2:$I$1000, 4, 0))), 0)</f>
        <v>0</v>
      </c>
      <c r="U9587" s="22">
        <f t="shared" si="684"/>
        <v>0</v>
      </c>
      <c r="V9587">
        <f t="shared" si="685"/>
        <v>0</v>
      </c>
      <c r="W9587" s="22">
        <f t="shared" si="686"/>
        <v>0</v>
      </c>
    </row>
    <row r="9588" spans="1:23" hidden="1" x14ac:dyDescent="0.25">
      <c r="A9588" s="4"/>
      <c r="B9588" s="4"/>
      <c r="C9588" s="4"/>
      <c r="D9588" s="4"/>
      <c r="E9588" s="4"/>
      <c r="F9588" s="4"/>
      <c r="G9588" s="4"/>
      <c r="H9588" s="4"/>
      <c r="I9588" s="4"/>
      <c r="J9588" s="21">
        <f>IFERROR(VLOOKUP(C9588,'STOK KARTLARI'!$C$2:$K$2150,8,0),0)</f>
        <v>0</v>
      </c>
      <c r="K9588" s="21">
        <f t="shared" si="687"/>
        <v>0</v>
      </c>
      <c r="L9588" s="5">
        <f t="shared" ref="L9588:L9651" si="689">IF(OR(E9588="", H9588="POS"),0,I9588*J9588)</f>
        <v>0</v>
      </c>
      <c r="M9588" s="4"/>
      <c r="N9588" s="4"/>
      <c r="O9588" s="5"/>
      <c r="P9588" s="5"/>
      <c r="Q9588" s="21">
        <f t="shared" ref="Q9588:Q9651" si="690">IF(AND(E9588="", B9588="MAL SATIŞI", H9588="NAKİT"),I9588*J9588,0)</f>
        <v>0</v>
      </c>
      <c r="R9588" s="21">
        <f t="shared" si="688"/>
        <v>0</v>
      </c>
      <c r="S9588" s="5">
        <f t="shared" si="683"/>
        <v>70007.077158325032</v>
      </c>
      <c r="T9588" cm="1">
        <f t="array" ref="T9588">IF(OR(B9588="MAL ALIMI", B9588="ÜRETİM GİRİŞ"), MIN(I9588, MAX(0, I9588 + SUM(SUMIFS($I$1:I9587, $C$1:C9587, C9588, $B$1:B9587, {"MAL ALIMI","ÜRETİM GİRİŞ"})) - VLOOKUP(C9588, 'STOK RAPORU'!$C$2:$I$1000, 4, 0))), 0)</f>
        <v>0</v>
      </c>
      <c r="U9588" s="22">
        <f t="shared" si="684"/>
        <v>0</v>
      </c>
      <c r="V9588">
        <f t="shared" si="685"/>
        <v>0</v>
      </c>
      <c r="W9588" s="22">
        <f t="shared" si="686"/>
        <v>0</v>
      </c>
    </row>
    <row r="9589" spans="1:23" hidden="1" x14ac:dyDescent="0.25">
      <c r="A9589" s="4"/>
      <c r="B9589" s="4"/>
      <c r="C9589" s="4"/>
      <c r="D9589" s="4"/>
      <c r="E9589" s="4"/>
      <c r="F9589" s="4"/>
      <c r="G9589" s="4"/>
      <c r="H9589" s="4"/>
      <c r="I9589" s="4"/>
      <c r="J9589" s="21">
        <f>IFERROR(VLOOKUP(C9589,'STOK KARTLARI'!$C$2:$K$2150,8,0),0)</f>
        <v>0</v>
      </c>
      <c r="K9589" s="21">
        <f t="shared" si="687"/>
        <v>0</v>
      </c>
      <c r="L9589" s="5">
        <f t="shared" si="689"/>
        <v>0</v>
      </c>
      <c r="M9589" s="4"/>
      <c r="N9589" s="4"/>
      <c r="O9589" s="5"/>
      <c r="P9589" s="5"/>
      <c r="Q9589" s="21">
        <f t="shared" si="690"/>
        <v>0</v>
      </c>
      <c r="R9589" s="21">
        <f t="shared" si="688"/>
        <v>0</v>
      </c>
      <c r="S9589" s="5">
        <f t="shared" si="683"/>
        <v>70007.077158325032</v>
      </c>
      <c r="T9589" cm="1">
        <f t="array" ref="T9589">IF(OR(B9589="MAL ALIMI", B9589="ÜRETİM GİRİŞ"), MIN(I9589, MAX(0, I9589 + SUM(SUMIFS($I$1:I9588, $C$1:C9588, C9589, $B$1:B9588, {"MAL ALIMI","ÜRETİM GİRİŞ"})) - VLOOKUP(C9589, 'STOK RAPORU'!$C$2:$I$1000, 4, 0))), 0)</f>
        <v>0</v>
      </c>
      <c r="U9589" s="22">
        <f t="shared" si="684"/>
        <v>0</v>
      </c>
      <c r="V9589">
        <f t="shared" si="685"/>
        <v>0</v>
      </c>
      <c r="W9589" s="22">
        <f t="shared" si="686"/>
        <v>0</v>
      </c>
    </row>
    <row r="9590" spans="1:23" hidden="1" x14ac:dyDescent="0.25">
      <c r="A9590" s="4"/>
      <c r="B9590" s="4"/>
      <c r="C9590" s="4"/>
      <c r="D9590" s="4"/>
      <c r="E9590" s="4"/>
      <c r="F9590" s="4"/>
      <c r="G9590" s="4"/>
      <c r="H9590" s="4"/>
      <c r="I9590" s="4"/>
      <c r="J9590" s="21">
        <f>IFERROR(VLOOKUP(C9590,'STOK KARTLARI'!$C$2:$K$2150,8,0),0)</f>
        <v>0</v>
      </c>
      <c r="K9590" s="21">
        <f t="shared" si="687"/>
        <v>0</v>
      </c>
      <c r="L9590" s="5">
        <f t="shared" si="689"/>
        <v>0</v>
      </c>
      <c r="M9590" s="4"/>
      <c r="N9590" s="4"/>
      <c r="O9590" s="5"/>
      <c r="P9590" s="5"/>
      <c r="Q9590" s="21">
        <f t="shared" si="690"/>
        <v>0</v>
      </c>
      <c r="R9590" s="21">
        <f t="shared" si="688"/>
        <v>0</v>
      </c>
      <c r="S9590" s="5">
        <f t="shared" si="683"/>
        <v>70007.077158325032</v>
      </c>
      <c r="T9590" cm="1">
        <f t="array" ref="T9590">IF(OR(B9590="MAL ALIMI", B9590="ÜRETİM GİRİŞ"), MIN(I9590, MAX(0, I9590 + SUM(SUMIFS($I$1:I9589, $C$1:C9589, C9590, $B$1:B9589, {"MAL ALIMI","ÜRETİM GİRİŞ"})) - VLOOKUP(C9590, 'STOK RAPORU'!$C$2:$I$1000, 4, 0))), 0)</f>
        <v>0</v>
      </c>
      <c r="U9590" s="22">
        <f t="shared" si="684"/>
        <v>0</v>
      </c>
      <c r="V9590">
        <f t="shared" si="685"/>
        <v>0</v>
      </c>
      <c r="W9590" s="22">
        <f t="shared" si="686"/>
        <v>0</v>
      </c>
    </row>
    <row r="9591" spans="1:23" hidden="1" x14ac:dyDescent="0.25">
      <c r="A9591" s="3"/>
      <c r="B9591" s="4"/>
      <c r="C9591" s="4"/>
      <c r="D9591" s="4"/>
      <c r="E9591" s="4"/>
      <c r="F9591" s="4"/>
      <c r="G9591" s="4"/>
      <c r="H9591" s="4"/>
      <c r="I9591" s="4"/>
      <c r="J9591" s="21">
        <f>IFERROR(VLOOKUP(C9591,'STOK KARTLARI'!$C$2:$K$2150,8,0),0)</f>
        <v>0</v>
      </c>
      <c r="K9591" s="21">
        <f t="shared" si="687"/>
        <v>0</v>
      </c>
      <c r="L9591" s="5">
        <f t="shared" si="689"/>
        <v>0</v>
      </c>
      <c r="M9591" s="4"/>
      <c r="N9591" s="4"/>
      <c r="O9591" s="5"/>
      <c r="P9591" s="5"/>
      <c r="Q9591" s="21">
        <f t="shared" si="690"/>
        <v>0</v>
      </c>
      <c r="R9591" s="21">
        <f t="shared" si="688"/>
        <v>0</v>
      </c>
      <c r="S9591" s="5">
        <f t="shared" si="683"/>
        <v>70007.077158325032</v>
      </c>
      <c r="T9591" cm="1">
        <f t="array" ref="T9591">IF(OR(B9591="MAL ALIMI", B9591="ÜRETİM GİRİŞ"), MIN(I9591, MAX(0, I9591 + SUM(SUMIFS($I$1:I9590, $C$1:C9590, C9591, $B$1:B9590, {"MAL ALIMI","ÜRETİM GİRİŞ"})) - VLOOKUP(C9591, 'STOK RAPORU'!$C$2:$I$1000, 4, 0))), 0)</f>
        <v>0</v>
      </c>
      <c r="U9591" s="22">
        <f t="shared" si="684"/>
        <v>0</v>
      </c>
      <c r="V9591">
        <f t="shared" si="685"/>
        <v>0</v>
      </c>
      <c r="W9591" s="22">
        <f t="shared" si="686"/>
        <v>0</v>
      </c>
    </row>
    <row r="9592" spans="1:23" hidden="1" x14ac:dyDescent="0.25">
      <c r="A9592" s="4"/>
      <c r="B9592" s="4"/>
      <c r="C9592" s="4"/>
      <c r="D9592" s="4"/>
      <c r="E9592" s="4"/>
      <c r="F9592" s="4"/>
      <c r="G9592" s="4"/>
      <c r="H9592" s="4"/>
      <c r="I9592" s="4"/>
      <c r="J9592" s="21">
        <f>IFERROR(VLOOKUP(C9592,'STOK KARTLARI'!$C$2:$K$2150,8,0),0)</f>
        <v>0</v>
      </c>
      <c r="K9592" s="21">
        <f t="shared" si="687"/>
        <v>0</v>
      </c>
      <c r="L9592" s="5">
        <f t="shared" si="689"/>
        <v>0</v>
      </c>
      <c r="M9592" s="4"/>
      <c r="N9592" s="4"/>
      <c r="O9592" s="5"/>
      <c r="P9592" s="5"/>
      <c r="Q9592" s="21">
        <f t="shared" si="690"/>
        <v>0</v>
      </c>
      <c r="R9592" s="21">
        <f t="shared" si="688"/>
        <v>0</v>
      </c>
      <c r="S9592" s="5">
        <f t="shared" si="683"/>
        <v>70007.077158325032</v>
      </c>
      <c r="T9592" cm="1">
        <f t="array" ref="T9592">IF(OR(B9592="MAL ALIMI", B9592="ÜRETİM GİRİŞ"), MIN(I9592, MAX(0, I9592 + SUM(SUMIFS($I$1:I9591, $C$1:C9591, C9592, $B$1:B9591, {"MAL ALIMI","ÜRETİM GİRİŞ"})) - VLOOKUP(C9592, 'STOK RAPORU'!$C$2:$I$1000, 4, 0))), 0)</f>
        <v>0</v>
      </c>
      <c r="U9592" s="22">
        <f t="shared" si="684"/>
        <v>0</v>
      </c>
      <c r="V9592">
        <f t="shared" si="685"/>
        <v>0</v>
      </c>
      <c r="W9592" s="22">
        <f t="shared" si="686"/>
        <v>0</v>
      </c>
    </row>
    <row r="9593" spans="1:23" hidden="1" x14ac:dyDescent="0.25">
      <c r="A9593" s="4"/>
      <c r="B9593" s="4"/>
      <c r="C9593" s="4"/>
      <c r="D9593" s="4"/>
      <c r="E9593" s="4"/>
      <c r="F9593" s="4"/>
      <c r="G9593" s="4"/>
      <c r="H9593" s="4"/>
      <c r="I9593" s="4"/>
      <c r="J9593" s="21">
        <f>IFERROR(VLOOKUP(C9593,'STOK KARTLARI'!$C$2:$K$2150,8,0),0)</f>
        <v>0</v>
      </c>
      <c r="K9593" s="21">
        <f t="shared" si="687"/>
        <v>0</v>
      </c>
      <c r="L9593" s="5">
        <f t="shared" si="689"/>
        <v>0</v>
      </c>
      <c r="M9593" s="4"/>
      <c r="N9593" s="4"/>
      <c r="O9593" s="5"/>
      <c r="P9593" s="5"/>
      <c r="Q9593" s="21">
        <f t="shared" si="690"/>
        <v>0</v>
      </c>
      <c r="R9593" s="21">
        <f t="shared" si="688"/>
        <v>0</v>
      </c>
      <c r="S9593" s="5">
        <f t="shared" si="683"/>
        <v>70007.077158325032</v>
      </c>
      <c r="T9593" cm="1">
        <f t="array" ref="T9593">IF(OR(B9593="MAL ALIMI", B9593="ÜRETİM GİRİŞ"), MIN(I9593, MAX(0, I9593 + SUM(SUMIFS($I$1:I9592, $C$1:C9592, C9593, $B$1:B9592, {"MAL ALIMI","ÜRETİM GİRİŞ"})) - VLOOKUP(C9593, 'STOK RAPORU'!$C$2:$I$1000, 4, 0))), 0)</f>
        <v>0</v>
      </c>
      <c r="U9593" s="22">
        <f t="shared" si="684"/>
        <v>0</v>
      </c>
      <c r="V9593">
        <f t="shared" si="685"/>
        <v>0</v>
      </c>
      <c r="W9593" s="22">
        <f t="shared" si="686"/>
        <v>0</v>
      </c>
    </row>
    <row r="9594" spans="1:23" hidden="1" x14ac:dyDescent="0.25">
      <c r="A9594" s="4"/>
      <c r="B9594" s="4"/>
      <c r="C9594" s="4"/>
      <c r="D9594" s="4"/>
      <c r="E9594" s="4"/>
      <c r="F9594" s="4"/>
      <c r="G9594" s="4"/>
      <c r="H9594" s="4"/>
      <c r="I9594" s="4"/>
      <c r="J9594" s="21">
        <f>IFERROR(VLOOKUP(C9594,'STOK KARTLARI'!$C$2:$K$2150,8,0),0)</f>
        <v>0</v>
      </c>
      <c r="K9594" s="21">
        <f t="shared" si="687"/>
        <v>0</v>
      </c>
      <c r="L9594" s="5">
        <f t="shared" si="689"/>
        <v>0</v>
      </c>
      <c r="M9594" s="4"/>
      <c r="N9594" s="4"/>
      <c r="O9594" s="5"/>
      <c r="P9594" s="5"/>
      <c r="Q9594" s="21">
        <f t="shared" si="690"/>
        <v>0</v>
      </c>
      <c r="R9594" s="21">
        <f t="shared" si="688"/>
        <v>0</v>
      </c>
      <c r="S9594" s="5">
        <f t="shared" si="683"/>
        <v>70007.077158325032</v>
      </c>
      <c r="T9594" cm="1">
        <f t="array" ref="T9594">IF(OR(B9594="MAL ALIMI", B9594="ÜRETİM GİRİŞ"), MIN(I9594, MAX(0, I9594 + SUM(SUMIFS($I$1:I9593, $C$1:C9593, C9594, $B$1:B9593, {"MAL ALIMI","ÜRETİM GİRİŞ"})) - VLOOKUP(C9594, 'STOK RAPORU'!$C$2:$I$1000, 4, 0))), 0)</f>
        <v>0</v>
      </c>
      <c r="U9594" s="22">
        <f t="shared" si="684"/>
        <v>0</v>
      </c>
      <c r="V9594">
        <f t="shared" si="685"/>
        <v>0</v>
      </c>
      <c r="W9594" s="22">
        <f t="shared" si="686"/>
        <v>0</v>
      </c>
    </row>
    <row r="9595" spans="1:23" hidden="1" x14ac:dyDescent="0.25">
      <c r="A9595" s="4"/>
      <c r="B9595" s="4"/>
      <c r="C9595" s="4"/>
      <c r="D9595" s="4"/>
      <c r="E9595" s="4"/>
      <c r="F9595" s="4"/>
      <c r="G9595" s="4"/>
      <c r="H9595" s="4"/>
      <c r="I9595" s="4"/>
      <c r="J9595" s="21">
        <f>IFERROR(VLOOKUP(C9595,'STOK KARTLARI'!$C$2:$K$2150,8,0),0)</f>
        <v>0</v>
      </c>
      <c r="K9595" s="21">
        <f t="shared" si="687"/>
        <v>0</v>
      </c>
      <c r="L9595" s="5">
        <f t="shared" si="689"/>
        <v>0</v>
      </c>
      <c r="M9595" s="4"/>
      <c r="N9595" s="4"/>
      <c r="O9595" s="5"/>
      <c r="P9595" s="5"/>
      <c r="Q9595" s="21">
        <f t="shared" si="690"/>
        <v>0</v>
      </c>
      <c r="R9595" s="21">
        <f t="shared" si="688"/>
        <v>0</v>
      </c>
      <c r="S9595" s="5">
        <f t="shared" si="683"/>
        <v>70007.077158325032</v>
      </c>
      <c r="T9595" cm="1">
        <f t="array" ref="T9595">IF(OR(B9595="MAL ALIMI", B9595="ÜRETİM GİRİŞ"), MIN(I9595, MAX(0, I9595 + SUM(SUMIFS($I$1:I9594, $C$1:C9594, C9595, $B$1:B9594, {"MAL ALIMI","ÜRETİM GİRİŞ"})) - VLOOKUP(C9595, 'STOK RAPORU'!$C$2:$I$1000, 4, 0))), 0)</f>
        <v>0</v>
      </c>
      <c r="U9595" s="22">
        <f t="shared" si="684"/>
        <v>0</v>
      </c>
      <c r="V9595">
        <f t="shared" si="685"/>
        <v>0</v>
      </c>
      <c r="W9595" s="22">
        <f t="shared" si="686"/>
        <v>0</v>
      </c>
    </row>
    <row r="9596" spans="1:23" hidden="1" x14ac:dyDescent="0.25">
      <c r="A9596" s="4"/>
      <c r="B9596" s="4"/>
      <c r="C9596" s="4"/>
      <c r="D9596" s="4"/>
      <c r="E9596" s="4"/>
      <c r="F9596" s="4"/>
      <c r="G9596" s="4"/>
      <c r="H9596" s="4"/>
      <c r="I9596" s="4"/>
      <c r="J9596" s="21">
        <f>IFERROR(VLOOKUP(C9596,'STOK KARTLARI'!$C$2:$K$2150,8,0),0)</f>
        <v>0</v>
      </c>
      <c r="K9596" s="21">
        <f t="shared" si="687"/>
        <v>0</v>
      </c>
      <c r="L9596" s="5">
        <f t="shared" si="689"/>
        <v>0</v>
      </c>
      <c r="M9596" s="4"/>
      <c r="N9596" s="4"/>
      <c r="O9596" s="5"/>
      <c r="P9596" s="5"/>
      <c r="Q9596" s="21">
        <f t="shared" si="690"/>
        <v>0</v>
      </c>
      <c r="R9596" s="21">
        <f t="shared" si="688"/>
        <v>0</v>
      </c>
      <c r="S9596" s="5">
        <f t="shared" si="683"/>
        <v>70007.077158325032</v>
      </c>
      <c r="T9596" cm="1">
        <f t="array" ref="T9596">IF(OR(B9596="MAL ALIMI", B9596="ÜRETİM GİRİŞ"), MIN(I9596, MAX(0, I9596 + SUM(SUMIFS($I$1:I9595, $C$1:C9595, C9596, $B$1:B9595, {"MAL ALIMI","ÜRETİM GİRİŞ"})) - VLOOKUP(C9596, 'STOK RAPORU'!$C$2:$I$1000, 4, 0))), 0)</f>
        <v>0</v>
      </c>
      <c r="U9596" s="22">
        <f t="shared" si="684"/>
        <v>0</v>
      </c>
      <c r="V9596">
        <f t="shared" si="685"/>
        <v>0</v>
      </c>
      <c r="W9596" s="22">
        <f t="shared" si="686"/>
        <v>0</v>
      </c>
    </row>
    <row r="9597" spans="1:23" hidden="1" x14ac:dyDescent="0.25">
      <c r="A9597" s="4"/>
      <c r="B9597" s="4"/>
      <c r="C9597" s="4"/>
      <c r="D9597" s="4"/>
      <c r="E9597" s="4"/>
      <c r="F9597" s="4"/>
      <c r="G9597" s="4"/>
      <c r="H9597" s="4"/>
      <c r="I9597" s="4"/>
      <c r="J9597" s="21">
        <f>IFERROR(VLOOKUP(C9597,'STOK KARTLARI'!$C$2:$K$2150,8,0),0)</f>
        <v>0</v>
      </c>
      <c r="K9597" s="21">
        <f t="shared" si="687"/>
        <v>0</v>
      </c>
      <c r="L9597" s="5">
        <f t="shared" si="689"/>
        <v>0</v>
      </c>
      <c r="M9597" s="4"/>
      <c r="N9597" s="4"/>
      <c r="O9597" s="5"/>
      <c r="P9597" s="5"/>
      <c r="Q9597" s="21">
        <f t="shared" si="690"/>
        <v>0</v>
      </c>
      <c r="R9597" s="21">
        <f t="shared" si="688"/>
        <v>0</v>
      </c>
      <c r="S9597" s="5">
        <f t="shared" si="683"/>
        <v>70007.077158325032</v>
      </c>
      <c r="T9597" cm="1">
        <f t="array" ref="T9597">IF(OR(B9597="MAL ALIMI", B9597="ÜRETİM GİRİŞ"), MIN(I9597, MAX(0, I9597 + SUM(SUMIFS($I$1:I9596, $C$1:C9596, C9597, $B$1:B9596, {"MAL ALIMI","ÜRETİM GİRİŞ"})) - VLOOKUP(C9597, 'STOK RAPORU'!$C$2:$I$1000, 4, 0))), 0)</f>
        <v>0</v>
      </c>
      <c r="U9597" s="22">
        <f t="shared" si="684"/>
        <v>0</v>
      </c>
      <c r="V9597">
        <f t="shared" si="685"/>
        <v>0</v>
      </c>
      <c r="W9597" s="22">
        <f t="shared" si="686"/>
        <v>0</v>
      </c>
    </row>
    <row r="9598" spans="1:23" hidden="1" x14ac:dyDescent="0.25">
      <c r="A9598" s="3"/>
      <c r="B9598" s="4"/>
      <c r="C9598" s="4"/>
      <c r="D9598" s="4"/>
      <c r="E9598" s="4"/>
      <c r="F9598" s="4"/>
      <c r="G9598" s="4"/>
      <c r="H9598" s="4"/>
      <c r="I9598" s="4"/>
      <c r="J9598" s="21">
        <f>IFERROR(VLOOKUP(C9598,'STOK KARTLARI'!$C$2:$K$2150,8,0),0)</f>
        <v>0</v>
      </c>
      <c r="K9598" s="21">
        <f t="shared" si="687"/>
        <v>0</v>
      </c>
      <c r="L9598" s="5">
        <f t="shared" si="689"/>
        <v>0</v>
      </c>
      <c r="M9598" s="4"/>
      <c r="N9598" s="4"/>
      <c r="O9598" s="5"/>
      <c r="P9598" s="5"/>
      <c r="Q9598" s="21">
        <f t="shared" si="690"/>
        <v>0</v>
      </c>
      <c r="R9598" s="21">
        <f t="shared" si="688"/>
        <v>0</v>
      </c>
      <c r="S9598" s="5">
        <f t="shared" si="683"/>
        <v>70007.077158325032</v>
      </c>
      <c r="T9598" cm="1">
        <f t="array" ref="T9598">IF(OR(B9598="MAL ALIMI", B9598="ÜRETİM GİRİŞ"), MIN(I9598, MAX(0, I9598 + SUM(SUMIFS($I$1:I9597, $C$1:C9597, C9598, $B$1:B9597, {"MAL ALIMI","ÜRETİM GİRİŞ"})) - VLOOKUP(C9598, 'STOK RAPORU'!$C$2:$I$1000, 4, 0))), 0)</f>
        <v>0</v>
      </c>
      <c r="U9598" s="22">
        <f t="shared" si="684"/>
        <v>0</v>
      </c>
      <c r="V9598">
        <f t="shared" si="685"/>
        <v>0</v>
      </c>
      <c r="W9598" s="22">
        <f t="shared" si="686"/>
        <v>0</v>
      </c>
    </row>
    <row r="9599" spans="1:23" hidden="1" x14ac:dyDescent="0.25">
      <c r="A9599" s="4"/>
      <c r="B9599" s="4"/>
      <c r="C9599" s="4"/>
      <c r="D9599" s="4"/>
      <c r="E9599" s="4"/>
      <c r="F9599" s="4"/>
      <c r="G9599" s="4"/>
      <c r="H9599" s="4"/>
      <c r="I9599" s="4"/>
      <c r="J9599" s="21">
        <f>IFERROR(VLOOKUP(C9599,'STOK KARTLARI'!$C$2:$K$2150,8,0),0)</f>
        <v>0</v>
      </c>
      <c r="K9599" s="21">
        <f t="shared" si="687"/>
        <v>0</v>
      </c>
      <c r="L9599" s="5">
        <f t="shared" si="689"/>
        <v>0</v>
      </c>
      <c r="M9599" s="4"/>
      <c r="N9599" s="4"/>
      <c r="O9599" s="5"/>
      <c r="P9599" s="5"/>
      <c r="Q9599" s="21">
        <f t="shared" si="690"/>
        <v>0</v>
      </c>
      <c r="R9599" s="21">
        <f t="shared" si="688"/>
        <v>0</v>
      </c>
      <c r="S9599" s="5">
        <f t="shared" si="683"/>
        <v>70007.077158325032</v>
      </c>
      <c r="T9599" cm="1">
        <f t="array" ref="T9599">IF(OR(B9599="MAL ALIMI", B9599="ÜRETİM GİRİŞ"), MIN(I9599, MAX(0, I9599 + SUM(SUMIFS($I$1:I9598, $C$1:C9598, C9599, $B$1:B9598, {"MAL ALIMI","ÜRETİM GİRİŞ"})) - VLOOKUP(C9599, 'STOK RAPORU'!$C$2:$I$1000, 4, 0))), 0)</f>
        <v>0</v>
      </c>
      <c r="U9599" s="22">
        <f t="shared" si="684"/>
        <v>0</v>
      </c>
      <c r="V9599">
        <f t="shared" si="685"/>
        <v>0</v>
      </c>
      <c r="W9599" s="22">
        <f t="shared" si="686"/>
        <v>0</v>
      </c>
    </row>
    <row r="9600" spans="1:23" hidden="1" x14ac:dyDescent="0.25">
      <c r="A9600" s="4"/>
      <c r="B9600" s="4"/>
      <c r="C9600" s="4"/>
      <c r="D9600" s="4"/>
      <c r="E9600" s="4"/>
      <c r="F9600" s="4"/>
      <c r="G9600" s="4"/>
      <c r="H9600" s="4"/>
      <c r="I9600" s="4"/>
      <c r="J9600" s="21">
        <f>IFERROR(VLOOKUP(C9600,'STOK KARTLARI'!$C$2:$K$2150,8,0),0)</f>
        <v>0</v>
      </c>
      <c r="K9600" s="21">
        <f t="shared" si="687"/>
        <v>0</v>
      </c>
      <c r="L9600" s="5">
        <f t="shared" si="689"/>
        <v>0</v>
      </c>
      <c r="M9600" s="4"/>
      <c r="N9600" s="4"/>
      <c r="O9600" s="5"/>
      <c r="P9600" s="5"/>
      <c r="Q9600" s="21">
        <f t="shared" si="690"/>
        <v>0</v>
      </c>
      <c r="R9600" s="21">
        <f t="shared" si="688"/>
        <v>0</v>
      </c>
      <c r="S9600" s="5">
        <f t="shared" si="683"/>
        <v>70007.077158325032</v>
      </c>
      <c r="T9600" cm="1">
        <f t="array" ref="T9600">IF(OR(B9600="MAL ALIMI", B9600="ÜRETİM GİRİŞ"), MIN(I9600, MAX(0, I9600 + SUM(SUMIFS($I$1:I9599, $C$1:C9599, C9600, $B$1:B9599, {"MAL ALIMI","ÜRETİM GİRİŞ"})) - VLOOKUP(C9600, 'STOK RAPORU'!$C$2:$I$1000, 4, 0))), 0)</f>
        <v>0</v>
      </c>
      <c r="U9600" s="22">
        <f t="shared" si="684"/>
        <v>0</v>
      </c>
      <c r="V9600">
        <f t="shared" si="685"/>
        <v>0</v>
      </c>
      <c r="W9600" s="22">
        <f t="shared" si="686"/>
        <v>0</v>
      </c>
    </row>
    <row r="9601" spans="1:23" hidden="1" x14ac:dyDescent="0.25">
      <c r="A9601" s="4"/>
      <c r="B9601" s="4"/>
      <c r="C9601" s="4"/>
      <c r="D9601" s="4"/>
      <c r="E9601" s="4"/>
      <c r="F9601" s="4"/>
      <c r="G9601" s="4"/>
      <c r="H9601" s="4"/>
      <c r="I9601" s="4"/>
      <c r="J9601" s="21">
        <f>IFERROR(VLOOKUP(C9601,'STOK KARTLARI'!$C$2:$K$2150,8,0),0)</f>
        <v>0</v>
      </c>
      <c r="K9601" s="21">
        <f t="shared" si="687"/>
        <v>0</v>
      </c>
      <c r="L9601" s="5">
        <f t="shared" si="689"/>
        <v>0</v>
      </c>
      <c r="M9601" s="4"/>
      <c r="N9601" s="4"/>
      <c r="O9601" s="5"/>
      <c r="P9601" s="5"/>
      <c r="Q9601" s="21">
        <f t="shared" si="690"/>
        <v>0</v>
      </c>
      <c r="R9601" s="21">
        <f t="shared" si="688"/>
        <v>0</v>
      </c>
      <c r="S9601" s="5">
        <f t="shared" si="683"/>
        <v>70007.077158325032</v>
      </c>
      <c r="T9601" cm="1">
        <f t="array" ref="T9601">IF(OR(B9601="MAL ALIMI", B9601="ÜRETİM GİRİŞ"), MIN(I9601, MAX(0, I9601 + SUM(SUMIFS($I$1:I9600, $C$1:C9600, C9601, $B$1:B9600, {"MAL ALIMI","ÜRETİM GİRİŞ"})) - VLOOKUP(C9601, 'STOK RAPORU'!$C$2:$I$1000, 4, 0))), 0)</f>
        <v>0</v>
      </c>
      <c r="U9601" s="22">
        <f t="shared" si="684"/>
        <v>0</v>
      </c>
      <c r="V9601">
        <f t="shared" si="685"/>
        <v>0</v>
      </c>
      <c r="W9601" s="22">
        <f t="shared" si="686"/>
        <v>0</v>
      </c>
    </row>
    <row r="9602" spans="1:23" hidden="1" x14ac:dyDescent="0.25">
      <c r="A9602" s="4"/>
      <c r="B9602" s="4"/>
      <c r="C9602" s="4"/>
      <c r="D9602" s="4"/>
      <c r="E9602" s="4"/>
      <c r="F9602" s="4"/>
      <c r="G9602" s="4"/>
      <c r="H9602" s="4"/>
      <c r="I9602" s="4"/>
      <c r="J9602" s="21">
        <f>IFERROR(VLOOKUP(C9602,'STOK KARTLARI'!$C$2:$K$2150,8,0),0)</f>
        <v>0</v>
      </c>
      <c r="K9602" s="21">
        <f t="shared" si="687"/>
        <v>0</v>
      </c>
      <c r="L9602" s="5">
        <f t="shared" si="689"/>
        <v>0</v>
      </c>
      <c r="M9602" s="4"/>
      <c r="N9602" s="4"/>
      <c r="O9602" s="5"/>
      <c r="P9602" s="5"/>
      <c r="Q9602" s="21">
        <f t="shared" si="690"/>
        <v>0</v>
      </c>
      <c r="R9602" s="21">
        <f t="shared" si="688"/>
        <v>0</v>
      </c>
      <c r="S9602" s="5">
        <f t="shared" si="683"/>
        <v>70007.077158325032</v>
      </c>
      <c r="T9602" cm="1">
        <f t="array" ref="T9602">IF(OR(B9602="MAL ALIMI", B9602="ÜRETİM GİRİŞ"), MIN(I9602, MAX(0, I9602 + SUM(SUMIFS($I$1:I9601, $C$1:C9601, C9602, $B$1:B9601, {"MAL ALIMI","ÜRETİM GİRİŞ"})) - VLOOKUP(C9602, 'STOK RAPORU'!$C$2:$I$1000, 4, 0))), 0)</f>
        <v>0</v>
      </c>
      <c r="U9602" s="22">
        <f t="shared" si="684"/>
        <v>0</v>
      </c>
      <c r="V9602">
        <f t="shared" si="685"/>
        <v>0</v>
      </c>
      <c r="W9602" s="22">
        <f t="shared" si="686"/>
        <v>0</v>
      </c>
    </row>
    <row r="9603" spans="1:23" hidden="1" x14ac:dyDescent="0.25">
      <c r="A9603" s="4"/>
      <c r="B9603" s="4"/>
      <c r="C9603" s="4"/>
      <c r="D9603" s="4"/>
      <c r="E9603" s="4"/>
      <c r="F9603" s="4"/>
      <c r="G9603" s="4"/>
      <c r="H9603" s="4"/>
      <c r="I9603" s="4"/>
      <c r="J9603" s="21">
        <f>IFERROR(VLOOKUP(C9603,'STOK KARTLARI'!$C$2:$K$2150,8,0),0)</f>
        <v>0</v>
      </c>
      <c r="K9603" s="21">
        <f t="shared" si="687"/>
        <v>0</v>
      </c>
      <c r="L9603" s="5">
        <f t="shared" si="689"/>
        <v>0</v>
      </c>
      <c r="M9603" s="4"/>
      <c r="N9603" s="4"/>
      <c r="O9603" s="5"/>
      <c r="P9603" s="5"/>
      <c r="Q9603" s="21">
        <f t="shared" si="690"/>
        <v>0</v>
      </c>
      <c r="R9603" s="21">
        <f t="shared" si="688"/>
        <v>0</v>
      </c>
      <c r="S9603" s="5">
        <f t="shared" si="683"/>
        <v>70007.077158325032</v>
      </c>
      <c r="T9603" cm="1">
        <f t="array" ref="T9603">IF(OR(B9603="MAL ALIMI", B9603="ÜRETİM GİRİŞ"), MIN(I9603, MAX(0, I9603 + SUM(SUMIFS($I$1:I9602, $C$1:C9602, C9603, $B$1:B9602, {"MAL ALIMI","ÜRETİM GİRİŞ"})) - VLOOKUP(C9603, 'STOK RAPORU'!$C$2:$I$1000, 4, 0))), 0)</f>
        <v>0</v>
      </c>
      <c r="U9603" s="22">
        <f t="shared" si="684"/>
        <v>0</v>
      </c>
      <c r="V9603">
        <f t="shared" si="685"/>
        <v>0</v>
      </c>
      <c r="W9603" s="22">
        <f t="shared" si="686"/>
        <v>0</v>
      </c>
    </row>
    <row r="9604" spans="1:23" hidden="1" x14ac:dyDescent="0.25">
      <c r="A9604" s="4"/>
      <c r="B9604" s="4"/>
      <c r="C9604" s="4"/>
      <c r="D9604" s="4"/>
      <c r="E9604" s="4"/>
      <c r="F9604" s="4"/>
      <c r="G9604" s="4"/>
      <c r="H9604" s="4"/>
      <c r="I9604" s="4"/>
      <c r="J9604" s="21">
        <f>IFERROR(VLOOKUP(C9604,'STOK KARTLARI'!$C$2:$K$2150,8,0),0)</f>
        <v>0</v>
      </c>
      <c r="K9604" s="21">
        <f t="shared" si="687"/>
        <v>0</v>
      </c>
      <c r="L9604" s="5">
        <f t="shared" si="689"/>
        <v>0</v>
      </c>
      <c r="M9604" s="4"/>
      <c r="N9604" s="4"/>
      <c r="O9604" s="5"/>
      <c r="P9604" s="5"/>
      <c r="Q9604" s="21">
        <f t="shared" si="690"/>
        <v>0</v>
      </c>
      <c r="R9604" s="21">
        <f t="shared" si="688"/>
        <v>0</v>
      </c>
      <c r="S9604" s="5">
        <f t="shared" si="683"/>
        <v>70007.077158325032</v>
      </c>
      <c r="T9604" cm="1">
        <f t="array" ref="T9604">IF(OR(B9604="MAL ALIMI", B9604="ÜRETİM GİRİŞ"), MIN(I9604, MAX(0, I9604 + SUM(SUMIFS($I$1:I9603, $C$1:C9603, C9604, $B$1:B9603, {"MAL ALIMI","ÜRETİM GİRİŞ"})) - VLOOKUP(C9604, 'STOK RAPORU'!$C$2:$I$1000, 4, 0))), 0)</f>
        <v>0</v>
      </c>
      <c r="U9604" s="22">
        <f t="shared" si="684"/>
        <v>0</v>
      </c>
      <c r="V9604">
        <f t="shared" si="685"/>
        <v>0</v>
      </c>
      <c r="W9604" s="22">
        <f t="shared" si="686"/>
        <v>0</v>
      </c>
    </row>
    <row r="9605" spans="1:23" hidden="1" x14ac:dyDescent="0.25">
      <c r="A9605" s="3"/>
      <c r="B9605" s="4"/>
      <c r="C9605" s="4"/>
      <c r="D9605" s="4"/>
      <c r="E9605" s="4"/>
      <c r="F9605" s="4"/>
      <c r="G9605" s="4"/>
      <c r="H9605" s="4"/>
      <c r="I9605" s="4"/>
      <c r="J9605" s="21">
        <f>IFERROR(VLOOKUP(C9605,'STOK KARTLARI'!$C$2:$K$2150,8,0),0)</f>
        <v>0</v>
      </c>
      <c r="K9605" s="21">
        <f t="shared" si="687"/>
        <v>0</v>
      </c>
      <c r="L9605" s="5">
        <f t="shared" si="689"/>
        <v>0</v>
      </c>
      <c r="M9605" s="4"/>
      <c r="N9605" s="4"/>
      <c r="O9605" s="5"/>
      <c r="P9605" s="5"/>
      <c r="Q9605" s="21">
        <f t="shared" si="690"/>
        <v>0</v>
      </c>
      <c r="R9605" s="21">
        <f t="shared" si="688"/>
        <v>0</v>
      </c>
      <c r="S9605" s="5">
        <f t="shared" ref="S9605:S9668" si="691">S9604+Q9605-R9605</f>
        <v>70007.077158325032</v>
      </c>
      <c r="T9605" cm="1">
        <f t="array" ref="T9605">IF(OR(B9605="MAL ALIMI", B9605="ÜRETİM GİRİŞ"), MIN(I9605, MAX(0, I9605 + SUM(SUMIFS($I$1:I9604, $C$1:C9604, C9605, $B$1:B9604, {"MAL ALIMI","ÜRETİM GİRİŞ"})) - VLOOKUP(C9605, 'STOK RAPORU'!$C$2:$I$1000, 4, 0))), 0)</f>
        <v>0</v>
      </c>
      <c r="U9605" s="22">
        <f t="shared" si="684"/>
        <v>0</v>
      </c>
      <c r="V9605">
        <f t="shared" si="685"/>
        <v>0</v>
      </c>
      <c r="W9605" s="22">
        <f t="shared" si="686"/>
        <v>0</v>
      </c>
    </row>
    <row r="9606" spans="1:23" hidden="1" x14ac:dyDescent="0.25">
      <c r="A9606" s="4"/>
      <c r="B9606" s="4"/>
      <c r="C9606" s="4"/>
      <c r="D9606" s="4"/>
      <c r="E9606" s="4"/>
      <c r="F9606" s="4"/>
      <c r="G9606" s="4"/>
      <c r="H9606" s="4"/>
      <c r="I9606" s="4"/>
      <c r="J9606" s="21">
        <f>IFERROR(VLOOKUP(C9606,'STOK KARTLARI'!$C$2:$K$2150,8,0),0)</f>
        <v>0</v>
      </c>
      <c r="K9606" s="21">
        <f t="shared" si="687"/>
        <v>0</v>
      </c>
      <c r="L9606" s="5">
        <f t="shared" si="689"/>
        <v>0</v>
      </c>
      <c r="M9606" s="4"/>
      <c r="N9606" s="4"/>
      <c r="O9606" s="5"/>
      <c r="P9606" s="5"/>
      <c r="Q9606" s="21">
        <f t="shared" si="690"/>
        <v>0</v>
      </c>
      <c r="R9606" s="21">
        <f t="shared" si="688"/>
        <v>0</v>
      </c>
      <c r="S9606" s="5">
        <f t="shared" si="691"/>
        <v>70007.077158325032</v>
      </c>
      <c r="T9606" cm="1">
        <f t="array" ref="T9606">IF(OR(B9606="MAL ALIMI", B9606="ÜRETİM GİRİŞ"), MIN(I9606, MAX(0, I9606 + SUM(SUMIFS($I$1:I9605, $C$1:C9605, C9606, $B$1:B9605, {"MAL ALIMI","ÜRETİM GİRİŞ"})) - VLOOKUP(C9606, 'STOK RAPORU'!$C$2:$I$1000, 4, 0))), 0)</f>
        <v>0</v>
      </c>
      <c r="U9606" s="22">
        <f t="shared" si="684"/>
        <v>0</v>
      </c>
      <c r="V9606">
        <f t="shared" si="685"/>
        <v>0</v>
      </c>
      <c r="W9606" s="22">
        <f t="shared" si="686"/>
        <v>0</v>
      </c>
    </row>
    <row r="9607" spans="1:23" hidden="1" x14ac:dyDescent="0.25">
      <c r="A9607" s="4"/>
      <c r="B9607" s="4"/>
      <c r="C9607" s="4"/>
      <c r="D9607" s="4"/>
      <c r="E9607" s="4"/>
      <c r="F9607" s="4"/>
      <c r="G9607" s="4"/>
      <c r="H9607" s="4"/>
      <c r="I9607" s="4"/>
      <c r="J9607" s="21">
        <f>IFERROR(VLOOKUP(C9607,'STOK KARTLARI'!$C$2:$K$2150,8,0),0)</f>
        <v>0</v>
      </c>
      <c r="K9607" s="21">
        <f t="shared" si="687"/>
        <v>0</v>
      </c>
      <c r="L9607" s="5">
        <f t="shared" si="689"/>
        <v>0</v>
      </c>
      <c r="M9607" s="4"/>
      <c r="N9607" s="4"/>
      <c r="O9607" s="5"/>
      <c r="P9607" s="5"/>
      <c r="Q9607" s="21">
        <f t="shared" si="690"/>
        <v>0</v>
      </c>
      <c r="R9607" s="21">
        <f t="shared" si="688"/>
        <v>0</v>
      </c>
      <c r="S9607" s="5">
        <f t="shared" si="691"/>
        <v>70007.077158325032</v>
      </c>
      <c r="T9607" cm="1">
        <f t="array" ref="T9607">IF(OR(B9607="MAL ALIMI", B9607="ÜRETİM GİRİŞ"), MIN(I9607, MAX(0, I9607 + SUM(SUMIFS($I$1:I9606, $C$1:C9606, C9607, $B$1:B9606, {"MAL ALIMI","ÜRETİM GİRİŞ"})) - VLOOKUP(C9607, 'STOK RAPORU'!$C$2:$I$1000, 4, 0))), 0)</f>
        <v>0</v>
      </c>
      <c r="U9607" s="22">
        <f t="shared" si="684"/>
        <v>0</v>
      </c>
      <c r="V9607">
        <f t="shared" si="685"/>
        <v>0</v>
      </c>
      <c r="W9607" s="22">
        <f t="shared" si="686"/>
        <v>0</v>
      </c>
    </row>
    <row r="9608" spans="1:23" hidden="1" x14ac:dyDescent="0.25">
      <c r="A9608" s="4"/>
      <c r="B9608" s="4"/>
      <c r="C9608" s="4"/>
      <c r="D9608" s="4"/>
      <c r="E9608" s="4"/>
      <c r="F9608" s="4"/>
      <c r="G9608" s="4"/>
      <c r="H9608" s="4"/>
      <c r="I9608" s="4"/>
      <c r="J9608" s="21">
        <f>IFERROR(VLOOKUP(C9608,'STOK KARTLARI'!$C$2:$K$2150,8,0),0)</f>
        <v>0</v>
      </c>
      <c r="K9608" s="21">
        <f t="shared" si="687"/>
        <v>0</v>
      </c>
      <c r="L9608" s="5">
        <f t="shared" si="689"/>
        <v>0</v>
      </c>
      <c r="M9608" s="4"/>
      <c r="N9608" s="4"/>
      <c r="O9608" s="5"/>
      <c r="P9608" s="5"/>
      <c r="Q9608" s="21">
        <f t="shared" si="690"/>
        <v>0</v>
      </c>
      <c r="R9608" s="21">
        <f t="shared" si="688"/>
        <v>0</v>
      </c>
      <c r="S9608" s="5">
        <f t="shared" si="691"/>
        <v>70007.077158325032</v>
      </c>
      <c r="T9608" cm="1">
        <f t="array" ref="T9608">IF(OR(B9608="MAL ALIMI", B9608="ÜRETİM GİRİŞ"), MIN(I9608, MAX(0, I9608 + SUM(SUMIFS($I$1:I9607, $C$1:C9607, C9608, $B$1:B9607, {"MAL ALIMI","ÜRETİM GİRİŞ"})) - VLOOKUP(C9608, 'STOK RAPORU'!$C$2:$I$1000, 4, 0))), 0)</f>
        <v>0</v>
      </c>
      <c r="U9608" s="22">
        <f t="shared" si="684"/>
        <v>0</v>
      </c>
      <c r="V9608">
        <f t="shared" si="685"/>
        <v>0</v>
      </c>
      <c r="W9608" s="22">
        <f t="shared" si="686"/>
        <v>0</v>
      </c>
    </row>
    <row r="9609" spans="1:23" hidden="1" x14ac:dyDescent="0.25">
      <c r="A9609" s="4"/>
      <c r="B9609" s="4"/>
      <c r="C9609" s="4"/>
      <c r="D9609" s="4"/>
      <c r="E9609" s="4"/>
      <c r="F9609" s="4"/>
      <c r="G9609" s="4"/>
      <c r="H9609" s="4"/>
      <c r="I9609" s="4"/>
      <c r="J9609" s="21">
        <f>IFERROR(VLOOKUP(C9609,'STOK KARTLARI'!$C$2:$K$2150,8,0),0)</f>
        <v>0</v>
      </c>
      <c r="K9609" s="21">
        <f t="shared" si="687"/>
        <v>0</v>
      </c>
      <c r="L9609" s="5">
        <f t="shared" si="689"/>
        <v>0</v>
      </c>
      <c r="M9609" s="4"/>
      <c r="N9609" s="4"/>
      <c r="O9609" s="5"/>
      <c r="P9609" s="5"/>
      <c r="Q9609" s="21">
        <f t="shared" si="690"/>
        <v>0</v>
      </c>
      <c r="R9609" s="21">
        <f t="shared" si="688"/>
        <v>0</v>
      </c>
      <c r="S9609" s="5">
        <f t="shared" si="691"/>
        <v>70007.077158325032</v>
      </c>
      <c r="T9609" cm="1">
        <f t="array" ref="T9609">IF(OR(B9609="MAL ALIMI", B9609="ÜRETİM GİRİŞ"), MIN(I9609, MAX(0, I9609 + SUM(SUMIFS($I$1:I9608, $C$1:C9608, C9609, $B$1:B9608, {"MAL ALIMI","ÜRETİM GİRİŞ"})) - VLOOKUP(C9609, 'STOK RAPORU'!$C$2:$I$1000, 4, 0))), 0)</f>
        <v>0</v>
      </c>
      <c r="U9609" s="22">
        <f t="shared" si="684"/>
        <v>0</v>
      </c>
      <c r="V9609">
        <f t="shared" si="685"/>
        <v>0</v>
      </c>
      <c r="W9609" s="22">
        <f t="shared" si="686"/>
        <v>0</v>
      </c>
    </row>
    <row r="9610" spans="1:23" hidden="1" x14ac:dyDescent="0.25">
      <c r="A9610" s="4"/>
      <c r="B9610" s="4"/>
      <c r="C9610" s="4"/>
      <c r="D9610" s="4"/>
      <c r="E9610" s="4"/>
      <c r="F9610" s="4"/>
      <c r="G9610" s="4"/>
      <c r="H9610" s="4"/>
      <c r="I9610" s="4"/>
      <c r="J9610" s="21">
        <f>IFERROR(VLOOKUP(C9610,'STOK KARTLARI'!$C$2:$K$2150,8,0),0)</f>
        <v>0</v>
      </c>
      <c r="K9610" s="21">
        <f t="shared" si="687"/>
        <v>0</v>
      </c>
      <c r="L9610" s="5">
        <f t="shared" si="689"/>
        <v>0</v>
      </c>
      <c r="M9610" s="4"/>
      <c r="N9610" s="4"/>
      <c r="O9610" s="5"/>
      <c r="P9610" s="5"/>
      <c r="Q9610" s="21">
        <f t="shared" si="690"/>
        <v>0</v>
      </c>
      <c r="R9610" s="21">
        <f t="shared" si="688"/>
        <v>0</v>
      </c>
      <c r="S9610" s="5">
        <f t="shared" si="691"/>
        <v>70007.077158325032</v>
      </c>
      <c r="T9610" cm="1">
        <f t="array" ref="T9610">IF(OR(B9610="MAL ALIMI", B9610="ÜRETİM GİRİŞ"), MIN(I9610, MAX(0, I9610 + SUM(SUMIFS($I$1:I9609, $C$1:C9609, C9610, $B$1:B9609, {"MAL ALIMI","ÜRETİM GİRİŞ"})) - VLOOKUP(C9610, 'STOK RAPORU'!$C$2:$I$1000, 4, 0))), 0)</f>
        <v>0</v>
      </c>
      <c r="U9610" s="22">
        <f t="shared" si="684"/>
        <v>0</v>
      </c>
      <c r="V9610">
        <f t="shared" si="685"/>
        <v>0</v>
      </c>
      <c r="W9610" s="22">
        <f t="shared" si="686"/>
        <v>0</v>
      </c>
    </row>
    <row r="9611" spans="1:23" hidden="1" x14ac:dyDescent="0.25">
      <c r="A9611" s="4"/>
      <c r="B9611" s="4"/>
      <c r="C9611" s="4"/>
      <c r="D9611" s="4"/>
      <c r="E9611" s="4"/>
      <c r="F9611" s="4"/>
      <c r="G9611" s="4"/>
      <c r="H9611" s="4"/>
      <c r="I9611" s="4"/>
      <c r="J9611" s="21">
        <f>IFERROR(VLOOKUP(C9611,'STOK KARTLARI'!$C$2:$K$2150,8,0),0)</f>
        <v>0</v>
      </c>
      <c r="K9611" s="21">
        <f t="shared" si="687"/>
        <v>0</v>
      </c>
      <c r="L9611" s="5">
        <f t="shared" si="689"/>
        <v>0</v>
      </c>
      <c r="M9611" s="4"/>
      <c r="N9611" s="4"/>
      <c r="O9611" s="5"/>
      <c r="P9611" s="5"/>
      <c r="Q9611" s="21">
        <f t="shared" si="690"/>
        <v>0</v>
      </c>
      <c r="R9611" s="21">
        <f t="shared" si="688"/>
        <v>0</v>
      </c>
      <c r="S9611" s="5">
        <f t="shared" si="691"/>
        <v>70007.077158325032</v>
      </c>
      <c r="T9611" cm="1">
        <f t="array" ref="T9611">IF(OR(B9611="MAL ALIMI", B9611="ÜRETİM GİRİŞ"), MIN(I9611, MAX(0, I9611 + SUM(SUMIFS($I$1:I9610, $C$1:C9610, C9611, $B$1:B9610, {"MAL ALIMI","ÜRETİM GİRİŞ"})) - VLOOKUP(C9611, 'STOK RAPORU'!$C$2:$I$1000, 4, 0))), 0)</f>
        <v>0</v>
      </c>
      <c r="U9611" s="22">
        <f t="shared" si="684"/>
        <v>0</v>
      </c>
      <c r="V9611">
        <f t="shared" si="685"/>
        <v>0</v>
      </c>
      <c r="W9611" s="22">
        <f t="shared" si="686"/>
        <v>0</v>
      </c>
    </row>
    <row r="9612" spans="1:23" hidden="1" x14ac:dyDescent="0.25">
      <c r="A9612" s="3"/>
      <c r="B9612" s="4"/>
      <c r="C9612" s="4"/>
      <c r="D9612" s="4"/>
      <c r="E9612" s="4"/>
      <c r="F9612" s="4"/>
      <c r="G9612" s="4"/>
      <c r="H9612" s="4"/>
      <c r="I9612" s="4"/>
      <c r="J9612" s="21">
        <f>IFERROR(VLOOKUP(C9612,'STOK KARTLARI'!$C$2:$K$2150,8,0),0)</f>
        <v>0</v>
      </c>
      <c r="K9612" s="21">
        <f t="shared" si="687"/>
        <v>0</v>
      </c>
      <c r="L9612" s="5">
        <f t="shared" si="689"/>
        <v>0</v>
      </c>
      <c r="M9612" s="4"/>
      <c r="N9612" s="4"/>
      <c r="O9612" s="5"/>
      <c r="P9612" s="5"/>
      <c r="Q9612" s="21">
        <f t="shared" si="690"/>
        <v>0</v>
      </c>
      <c r="R9612" s="21">
        <f t="shared" si="688"/>
        <v>0</v>
      </c>
      <c r="S9612" s="5">
        <f t="shared" si="691"/>
        <v>70007.077158325032</v>
      </c>
      <c r="T9612" cm="1">
        <f t="array" ref="T9612">IF(OR(B9612="MAL ALIMI", B9612="ÜRETİM GİRİŞ"), MIN(I9612, MAX(0, I9612 + SUM(SUMIFS($I$1:I9611, $C$1:C9611, C9612, $B$1:B9611, {"MAL ALIMI","ÜRETİM GİRİŞ"})) - VLOOKUP(C9612, 'STOK RAPORU'!$C$2:$I$1000, 4, 0))), 0)</f>
        <v>0</v>
      </c>
      <c r="U9612" s="22">
        <f t="shared" si="684"/>
        <v>0</v>
      </c>
      <c r="V9612">
        <f t="shared" si="685"/>
        <v>0</v>
      </c>
      <c r="W9612" s="22">
        <f t="shared" si="686"/>
        <v>0</v>
      </c>
    </row>
    <row r="9613" spans="1:23" hidden="1" x14ac:dyDescent="0.25">
      <c r="A9613" s="4"/>
      <c r="B9613" s="4"/>
      <c r="C9613" s="4"/>
      <c r="D9613" s="4"/>
      <c r="E9613" s="4"/>
      <c r="F9613" s="4"/>
      <c r="G9613" s="4"/>
      <c r="H9613" s="4"/>
      <c r="I9613" s="4"/>
      <c r="J9613" s="21">
        <f>IFERROR(VLOOKUP(C9613,'STOK KARTLARI'!$C$2:$K$2150,8,0),0)</f>
        <v>0</v>
      </c>
      <c r="K9613" s="21">
        <f t="shared" si="687"/>
        <v>0</v>
      </c>
      <c r="L9613" s="5">
        <f t="shared" si="689"/>
        <v>0</v>
      </c>
      <c r="M9613" s="4"/>
      <c r="N9613" s="4"/>
      <c r="O9613" s="5"/>
      <c r="P9613" s="5"/>
      <c r="Q9613" s="21">
        <f t="shared" si="690"/>
        <v>0</v>
      </c>
      <c r="R9613" s="21">
        <f t="shared" si="688"/>
        <v>0</v>
      </c>
      <c r="S9613" s="5">
        <f t="shared" si="691"/>
        <v>70007.077158325032</v>
      </c>
      <c r="T9613" cm="1">
        <f t="array" ref="T9613">IF(OR(B9613="MAL ALIMI", B9613="ÜRETİM GİRİŞ"), MIN(I9613, MAX(0, I9613 + SUM(SUMIFS($I$1:I9612, $C$1:C9612, C9613, $B$1:B9612, {"MAL ALIMI","ÜRETİM GİRİŞ"})) - VLOOKUP(C9613, 'STOK RAPORU'!$C$2:$I$1000, 4, 0))), 0)</f>
        <v>0</v>
      </c>
      <c r="U9613" s="22">
        <f t="shared" si="684"/>
        <v>0</v>
      </c>
      <c r="V9613">
        <f t="shared" si="685"/>
        <v>0</v>
      </c>
      <c r="W9613" s="22">
        <f t="shared" si="686"/>
        <v>0</v>
      </c>
    </row>
    <row r="9614" spans="1:23" hidden="1" x14ac:dyDescent="0.25">
      <c r="A9614" s="4"/>
      <c r="B9614" s="4"/>
      <c r="C9614" s="4"/>
      <c r="D9614" s="4"/>
      <c r="E9614" s="4"/>
      <c r="F9614" s="4"/>
      <c r="G9614" s="4"/>
      <c r="H9614" s="4"/>
      <c r="I9614" s="4"/>
      <c r="J9614" s="21">
        <f>IFERROR(VLOOKUP(C9614,'STOK KARTLARI'!$C$2:$K$2150,8,0),0)</f>
        <v>0</v>
      </c>
      <c r="K9614" s="21">
        <f t="shared" si="687"/>
        <v>0</v>
      </c>
      <c r="L9614" s="5">
        <f t="shared" si="689"/>
        <v>0</v>
      </c>
      <c r="M9614" s="4"/>
      <c r="N9614" s="4"/>
      <c r="O9614" s="5"/>
      <c r="P9614" s="5"/>
      <c r="Q9614" s="21">
        <f t="shared" si="690"/>
        <v>0</v>
      </c>
      <c r="R9614" s="21">
        <f t="shared" si="688"/>
        <v>0</v>
      </c>
      <c r="S9614" s="5">
        <f t="shared" si="691"/>
        <v>70007.077158325032</v>
      </c>
      <c r="T9614" cm="1">
        <f t="array" ref="T9614">IF(OR(B9614="MAL ALIMI", B9614="ÜRETİM GİRİŞ"), MIN(I9614, MAX(0, I9614 + SUM(SUMIFS($I$1:I9613, $C$1:C9613, C9614, $B$1:B9613, {"MAL ALIMI","ÜRETİM GİRİŞ"})) - VLOOKUP(C9614, 'STOK RAPORU'!$C$2:$I$1000, 4, 0))), 0)</f>
        <v>0</v>
      </c>
      <c r="U9614" s="22">
        <f t="shared" si="684"/>
        <v>0</v>
      </c>
      <c r="V9614">
        <f t="shared" si="685"/>
        <v>0</v>
      </c>
      <c r="W9614" s="22">
        <f t="shared" si="686"/>
        <v>0</v>
      </c>
    </row>
    <row r="9615" spans="1:23" hidden="1" x14ac:dyDescent="0.25">
      <c r="A9615" s="4"/>
      <c r="B9615" s="4"/>
      <c r="C9615" s="4"/>
      <c r="D9615" s="4"/>
      <c r="E9615" s="4"/>
      <c r="F9615" s="4"/>
      <c r="G9615" s="4"/>
      <c r="H9615" s="4"/>
      <c r="I9615" s="4"/>
      <c r="J9615" s="21">
        <f>IFERROR(VLOOKUP(C9615,'STOK KARTLARI'!$C$2:$K$2150,8,0),0)</f>
        <v>0</v>
      </c>
      <c r="K9615" s="21">
        <f t="shared" si="687"/>
        <v>0</v>
      </c>
      <c r="L9615" s="5">
        <f t="shared" si="689"/>
        <v>0</v>
      </c>
      <c r="M9615" s="4"/>
      <c r="N9615" s="4"/>
      <c r="O9615" s="5"/>
      <c r="P9615" s="5"/>
      <c r="Q9615" s="21">
        <f t="shared" si="690"/>
        <v>0</v>
      </c>
      <c r="R9615" s="21">
        <f t="shared" si="688"/>
        <v>0</v>
      </c>
      <c r="S9615" s="5">
        <f t="shared" si="691"/>
        <v>70007.077158325032</v>
      </c>
      <c r="T9615" cm="1">
        <f t="array" ref="T9615">IF(OR(B9615="MAL ALIMI", B9615="ÜRETİM GİRİŞ"), MIN(I9615, MAX(0, I9615 + SUM(SUMIFS($I$1:I9614, $C$1:C9614, C9615, $B$1:B9614, {"MAL ALIMI","ÜRETİM GİRİŞ"})) - VLOOKUP(C9615, 'STOK RAPORU'!$C$2:$I$1000, 4, 0))), 0)</f>
        <v>0</v>
      </c>
      <c r="U9615" s="22">
        <f t="shared" si="684"/>
        <v>0</v>
      </c>
      <c r="V9615">
        <f t="shared" si="685"/>
        <v>0</v>
      </c>
      <c r="W9615" s="22">
        <f t="shared" si="686"/>
        <v>0</v>
      </c>
    </row>
    <row r="9616" spans="1:23" hidden="1" x14ac:dyDescent="0.25">
      <c r="A9616" s="4"/>
      <c r="B9616" s="4"/>
      <c r="C9616" s="4"/>
      <c r="D9616" s="4"/>
      <c r="E9616" s="4"/>
      <c r="F9616" s="4"/>
      <c r="G9616" s="4"/>
      <c r="H9616" s="4"/>
      <c r="I9616" s="4"/>
      <c r="J9616" s="21">
        <f>IFERROR(VLOOKUP(C9616,'STOK KARTLARI'!$C$2:$K$2150,8,0),0)</f>
        <v>0</v>
      </c>
      <c r="K9616" s="21">
        <f t="shared" si="687"/>
        <v>0</v>
      </c>
      <c r="L9616" s="5">
        <f t="shared" si="689"/>
        <v>0</v>
      </c>
      <c r="M9616" s="4"/>
      <c r="N9616" s="4"/>
      <c r="O9616" s="5"/>
      <c r="P9616" s="5"/>
      <c r="Q9616" s="21">
        <f t="shared" si="690"/>
        <v>0</v>
      </c>
      <c r="R9616" s="21">
        <f t="shared" si="688"/>
        <v>0</v>
      </c>
      <c r="S9616" s="5">
        <f t="shared" si="691"/>
        <v>70007.077158325032</v>
      </c>
      <c r="T9616" cm="1">
        <f t="array" ref="T9616">IF(OR(B9616="MAL ALIMI", B9616="ÜRETİM GİRİŞ"), MIN(I9616, MAX(0, I9616 + SUM(SUMIFS($I$1:I9615, $C$1:C9615, C9616, $B$1:B9615, {"MAL ALIMI","ÜRETİM GİRİŞ"})) - VLOOKUP(C9616, 'STOK RAPORU'!$C$2:$I$1000, 4, 0))), 0)</f>
        <v>0</v>
      </c>
      <c r="U9616" s="22">
        <f t="shared" si="684"/>
        <v>0</v>
      </c>
      <c r="V9616">
        <f t="shared" si="685"/>
        <v>0</v>
      </c>
      <c r="W9616" s="22">
        <f t="shared" si="686"/>
        <v>0</v>
      </c>
    </row>
    <row r="9617" spans="1:23" hidden="1" x14ac:dyDescent="0.25">
      <c r="A9617" s="4"/>
      <c r="B9617" s="4"/>
      <c r="C9617" s="4"/>
      <c r="D9617" s="4"/>
      <c r="E9617" s="4"/>
      <c r="F9617" s="4"/>
      <c r="G9617" s="4"/>
      <c r="H9617" s="4"/>
      <c r="I9617" s="4"/>
      <c r="J9617" s="21">
        <f>IFERROR(VLOOKUP(C9617,'STOK KARTLARI'!$C$2:$K$2150,8,0),0)</f>
        <v>0</v>
      </c>
      <c r="K9617" s="21">
        <f t="shared" si="687"/>
        <v>0</v>
      </c>
      <c r="L9617" s="5">
        <f t="shared" si="689"/>
        <v>0</v>
      </c>
      <c r="M9617" s="4"/>
      <c r="N9617" s="4"/>
      <c r="O9617" s="5"/>
      <c r="P9617" s="5"/>
      <c r="Q9617" s="21">
        <f t="shared" si="690"/>
        <v>0</v>
      </c>
      <c r="R9617" s="21">
        <f t="shared" si="688"/>
        <v>0</v>
      </c>
      <c r="S9617" s="5">
        <f t="shared" si="691"/>
        <v>70007.077158325032</v>
      </c>
      <c r="T9617" cm="1">
        <f t="array" ref="T9617">IF(OR(B9617="MAL ALIMI", B9617="ÜRETİM GİRİŞ"), MIN(I9617, MAX(0, I9617 + SUM(SUMIFS($I$1:I9616, $C$1:C9616, C9617, $B$1:B9616, {"MAL ALIMI","ÜRETİM GİRİŞ"})) - VLOOKUP(C9617, 'STOK RAPORU'!$C$2:$I$1000, 4, 0))), 0)</f>
        <v>0</v>
      </c>
      <c r="U9617" s="22">
        <f t="shared" si="684"/>
        <v>0</v>
      </c>
      <c r="V9617">
        <f t="shared" si="685"/>
        <v>0</v>
      </c>
      <c r="W9617" s="22">
        <f t="shared" si="686"/>
        <v>0</v>
      </c>
    </row>
    <row r="9618" spans="1:23" hidden="1" x14ac:dyDescent="0.25">
      <c r="A9618" s="4"/>
      <c r="B9618" s="4"/>
      <c r="C9618" s="4"/>
      <c r="D9618" s="4"/>
      <c r="E9618" s="4"/>
      <c r="F9618" s="4"/>
      <c r="G9618" s="4"/>
      <c r="H9618" s="4"/>
      <c r="I9618" s="4"/>
      <c r="J9618" s="21">
        <f>IFERROR(VLOOKUP(C9618,'STOK KARTLARI'!$C$2:$K$2150,8,0),0)</f>
        <v>0</v>
      </c>
      <c r="K9618" s="21">
        <f t="shared" si="687"/>
        <v>0</v>
      </c>
      <c r="L9618" s="5">
        <f t="shared" si="689"/>
        <v>0</v>
      </c>
      <c r="M9618" s="4"/>
      <c r="N9618" s="4"/>
      <c r="O9618" s="5"/>
      <c r="P9618" s="5"/>
      <c r="Q9618" s="21">
        <f t="shared" si="690"/>
        <v>0</v>
      </c>
      <c r="R9618" s="21">
        <f t="shared" si="688"/>
        <v>0</v>
      </c>
      <c r="S9618" s="5">
        <f t="shared" si="691"/>
        <v>70007.077158325032</v>
      </c>
      <c r="T9618" cm="1">
        <f t="array" ref="T9618">IF(OR(B9618="MAL ALIMI", B9618="ÜRETİM GİRİŞ"), MIN(I9618, MAX(0, I9618 + SUM(SUMIFS($I$1:I9617, $C$1:C9617, C9618, $B$1:B9617, {"MAL ALIMI","ÜRETİM GİRİŞ"})) - VLOOKUP(C9618, 'STOK RAPORU'!$C$2:$I$1000, 4, 0))), 0)</f>
        <v>0</v>
      </c>
      <c r="U9618" s="22">
        <f t="shared" si="684"/>
        <v>0</v>
      </c>
      <c r="V9618">
        <f t="shared" si="685"/>
        <v>0</v>
      </c>
      <c r="W9618" s="22">
        <f t="shared" si="686"/>
        <v>0</v>
      </c>
    </row>
    <row r="9619" spans="1:23" hidden="1" x14ac:dyDescent="0.25">
      <c r="A9619" s="3"/>
      <c r="B9619" s="4"/>
      <c r="C9619" s="4"/>
      <c r="D9619" s="4"/>
      <c r="E9619" s="4"/>
      <c r="F9619" s="4"/>
      <c r="G9619" s="4"/>
      <c r="H9619" s="4"/>
      <c r="I9619" s="4"/>
      <c r="J9619" s="21">
        <f>IFERROR(VLOOKUP(C9619,'STOK KARTLARI'!$C$2:$K$2150,8,0),0)</f>
        <v>0</v>
      </c>
      <c r="K9619" s="21">
        <f t="shared" si="687"/>
        <v>0</v>
      </c>
      <c r="L9619" s="5">
        <f t="shared" si="689"/>
        <v>0</v>
      </c>
      <c r="M9619" s="4"/>
      <c r="N9619" s="4"/>
      <c r="O9619" s="5"/>
      <c r="P9619" s="5"/>
      <c r="Q9619" s="21">
        <f t="shared" si="690"/>
        <v>0</v>
      </c>
      <c r="R9619" s="21">
        <f t="shared" si="688"/>
        <v>0</v>
      </c>
      <c r="S9619" s="5">
        <f t="shared" si="691"/>
        <v>70007.077158325032</v>
      </c>
      <c r="T9619" cm="1">
        <f t="array" ref="T9619">IF(OR(B9619="MAL ALIMI", B9619="ÜRETİM GİRİŞ"), MIN(I9619, MAX(0, I9619 + SUM(SUMIFS($I$1:I9618, $C$1:C9618, C9619, $B$1:B9618, {"MAL ALIMI","ÜRETİM GİRİŞ"})) - VLOOKUP(C9619, 'STOK RAPORU'!$C$2:$I$1000, 4, 0))), 0)</f>
        <v>0</v>
      </c>
      <c r="U9619" s="22">
        <f t="shared" si="684"/>
        <v>0</v>
      </c>
      <c r="V9619">
        <f t="shared" si="685"/>
        <v>0</v>
      </c>
      <c r="W9619" s="22">
        <f t="shared" si="686"/>
        <v>0</v>
      </c>
    </row>
    <row r="9620" spans="1:23" hidden="1" x14ac:dyDescent="0.25">
      <c r="A9620" s="4"/>
      <c r="B9620" s="4"/>
      <c r="C9620" s="4"/>
      <c r="D9620" s="4"/>
      <c r="E9620" s="4"/>
      <c r="F9620" s="4"/>
      <c r="G9620" s="4"/>
      <c r="H9620" s="4"/>
      <c r="I9620" s="4"/>
      <c r="J9620" s="21">
        <f>IFERROR(VLOOKUP(C9620,'STOK KARTLARI'!$C$2:$K$2150,8,0),0)</f>
        <v>0</v>
      </c>
      <c r="K9620" s="21">
        <f t="shared" si="687"/>
        <v>0</v>
      </c>
      <c r="L9620" s="5">
        <f t="shared" si="689"/>
        <v>0</v>
      </c>
      <c r="M9620" s="4"/>
      <c r="N9620" s="4"/>
      <c r="O9620" s="5"/>
      <c r="P9620" s="5"/>
      <c r="Q9620" s="21">
        <f t="shared" si="690"/>
        <v>0</v>
      </c>
      <c r="R9620" s="21">
        <f t="shared" si="688"/>
        <v>0</v>
      </c>
      <c r="S9620" s="5">
        <f t="shared" si="691"/>
        <v>70007.077158325032</v>
      </c>
      <c r="T9620" cm="1">
        <f t="array" ref="T9620">IF(OR(B9620="MAL ALIMI", B9620="ÜRETİM GİRİŞ"), MIN(I9620, MAX(0, I9620 + SUM(SUMIFS($I$1:I9619, $C$1:C9619, C9620, $B$1:B9619, {"MAL ALIMI","ÜRETİM GİRİŞ"})) - VLOOKUP(C9620, 'STOK RAPORU'!$C$2:$I$1000, 4, 0))), 0)</f>
        <v>0</v>
      </c>
      <c r="U9620" s="22">
        <f t="shared" si="684"/>
        <v>0</v>
      </c>
      <c r="V9620">
        <f t="shared" si="685"/>
        <v>0</v>
      </c>
      <c r="W9620" s="22">
        <f t="shared" si="686"/>
        <v>0</v>
      </c>
    </row>
    <row r="9621" spans="1:23" hidden="1" x14ac:dyDescent="0.25">
      <c r="A9621" s="4"/>
      <c r="B9621" s="4"/>
      <c r="C9621" s="4"/>
      <c r="D9621" s="4"/>
      <c r="E9621" s="4"/>
      <c r="F9621" s="4"/>
      <c r="G9621" s="4"/>
      <c r="H9621" s="4"/>
      <c r="I9621" s="4"/>
      <c r="J9621" s="21">
        <f>IFERROR(VLOOKUP(C9621,'STOK KARTLARI'!$C$2:$K$2150,8,0),0)</f>
        <v>0</v>
      </c>
      <c r="K9621" s="21">
        <f t="shared" si="687"/>
        <v>0</v>
      </c>
      <c r="L9621" s="5">
        <f t="shared" si="689"/>
        <v>0</v>
      </c>
      <c r="M9621" s="4"/>
      <c r="N9621" s="4"/>
      <c r="O9621" s="5"/>
      <c r="P9621" s="5"/>
      <c r="Q9621" s="21">
        <f t="shared" si="690"/>
        <v>0</v>
      </c>
      <c r="R9621" s="21">
        <f t="shared" si="688"/>
        <v>0</v>
      </c>
      <c r="S9621" s="5">
        <f t="shared" si="691"/>
        <v>70007.077158325032</v>
      </c>
      <c r="T9621" cm="1">
        <f t="array" ref="T9621">IF(OR(B9621="MAL ALIMI", B9621="ÜRETİM GİRİŞ"), MIN(I9621, MAX(0, I9621 + SUM(SUMIFS($I$1:I9620, $C$1:C9620, C9621, $B$1:B9620, {"MAL ALIMI","ÜRETİM GİRİŞ"})) - VLOOKUP(C9621, 'STOK RAPORU'!$C$2:$I$1000, 4, 0))), 0)</f>
        <v>0</v>
      </c>
      <c r="U9621" s="22">
        <f t="shared" si="684"/>
        <v>0</v>
      </c>
      <c r="V9621">
        <f t="shared" si="685"/>
        <v>0</v>
      </c>
      <c r="W9621" s="22">
        <f t="shared" si="686"/>
        <v>0</v>
      </c>
    </row>
    <row r="9622" spans="1:23" hidden="1" x14ac:dyDescent="0.25">
      <c r="A9622" s="4"/>
      <c r="B9622" s="4"/>
      <c r="C9622" s="4"/>
      <c r="D9622" s="4"/>
      <c r="E9622" s="4"/>
      <c r="F9622" s="4"/>
      <c r="G9622" s="4"/>
      <c r="H9622" s="4"/>
      <c r="I9622" s="4"/>
      <c r="J9622" s="21">
        <f>IFERROR(VLOOKUP(C9622,'STOK KARTLARI'!$C$2:$K$2150,8,0),0)</f>
        <v>0</v>
      </c>
      <c r="K9622" s="21">
        <f t="shared" si="687"/>
        <v>0</v>
      </c>
      <c r="L9622" s="5">
        <f t="shared" si="689"/>
        <v>0</v>
      </c>
      <c r="M9622" s="4"/>
      <c r="N9622" s="4"/>
      <c r="O9622" s="5"/>
      <c r="P9622" s="5"/>
      <c r="Q9622" s="21">
        <f t="shared" si="690"/>
        <v>0</v>
      </c>
      <c r="R9622" s="21">
        <f t="shared" si="688"/>
        <v>0</v>
      </c>
      <c r="S9622" s="5">
        <f t="shared" si="691"/>
        <v>70007.077158325032</v>
      </c>
      <c r="T9622" cm="1">
        <f t="array" ref="T9622">IF(OR(B9622="MAL ALIMI", B9622="ÜRETİM GİRİŞ"), MIN(I9622, MAX(0, I9622 + SUM(SUMIFS($I$1:I9621, $C$1:C9621, C9622, $B$1:B9621, {"MAL ALIMI","ÜRETİM GİRİŞ"})) - VLOOKUP(C9622, 'STOK RAPORU'!$C$2:$I$1000, 4, 0))), 0)</f>
        <v>0</v>
      </c>
      <c r="U9622" s="22">
        <f t="shared" si="684"/>
        <v>0</v>
      </c>
      <c r="V9622">
        <f t="shared" si="685"/>
        <v>0</v>
      </c>
      <c r="W9622" s="22">
        <f t="shared" si="686"/>
        <v>0</v>
      </c>
    </row>
    <row r="9623" spans="1:23" hidden="1" x14ac:dyDescent="0.25">
      <c r="A9623" s="4"/>
      <c r="B9623" s="4"/>
      <c r="C9623" s="4"/>
      <c r="D9623" s="4"/>
      <c r="E9623" s="4"/>
      <c r="F9623" s="4"/>
      <c r="G9623" s="4"/>
      <c r="H9623" s="4"/>
      <c r="I9623" s="4"/>
      <c r="J9623" s="21">
        <f>IFERROR(VLOOKUP(C9623,'STOK KARTLARI'!$C$2:$K$2150,8,0),0)</f>
        <v>0</v>
      </c>
      <c r="K9623" s="21">
        <f t="shared" si="687"/>
        <v>0</v>
      </c>
      <c r="L9623" s="5">
        <f t="shared" si="689"/>
        <v>0</v>
      </c>
      <c r="M9623" s="4"/>
      <c r="N9623" s="4"/>
      <c r="O9623" s="5"/>
      <c r="P9623" s="5"/>
      <c r="Q9623" s="21">
        <f t="shared" si="690"/>
        <v>0</v>
      </c>
      <c r="R9623" s="21">
        <f t="shared" si="688"/>
        <v>0</v>
      </c>
      <c r="S9623" s="5">
        <f t="shared" si="691"/>
        <v>70007.077158325032</v>
      </c>
      <c r="T9623" cm="1">
        <f t="array" ref="T9623">IF(OR(B9623="MAL ALIMI", B9623="ÜRETİM GİRİŞ"), MIN(I9623, MAX(0, I9623 + SUM(SUMIFS($I$1:I9622, $C$1:C9622, C9623, $B$1:B9622, {"MAL ALIMI","ÜRETİM GİRİŞ"})) - VLOOKUP(C9623, 'STOK RAPORU'!$C$2:$I$1000, 4, 0))), 0)</f>
        <v>0</v>
      </c>
      <c r="U9623" s="22">
        <f t="shared" si="684"/>
        <v>0</v>
      </c>
      <c r="V9623">
        <f t="shared" si="685"/>
        <v>0</v>
      </c>
      <c r="W9623" s="22">
        <f t="shared" si="686"/>
        <v>0</v>
      </c>
    </row>
    <row r="9624" spans="1:23" hidden="1" x14ac:dyDescent="0.25">
      <c r="A9624" s="4"/>
      <c r="B9624" s="4"/>
      <c r="C9624" s="4"/>
      <c r="D9624" s="4"/>
      <c r="E9624" s="4"/>
      <c r="F9624" s="4"/>
      <c r="G9624" s="4"/>
      <c r="H9624" s="4"/>
      <c r="I9624" s="4"/>
      <c r="J9624" s="21">
        <f>IFERROR(VLOOKUP(C9624,'STOK KARTLARI'!$C$2:$K$2150,8,0),0)</f>
        <v>0</v>
      </c>
      <c r="K9624" s="21">
        <f t="shared" si="687"/>
        <v>0</v>
      </c>
      <c r="L9624" s="5">
        <f t="shared" si="689"/>
        <v>0</v>
      </c>
      <c r="M9624" s="4"/>
      <c r="N9624" s="4"/>
      <c r="O9624" s="5"/>
      <c r="P9624" s="5"/>
      <c r="Q9624" s="21">
        <f t="shared" si="690"/>
        <v>0</v>
      </c>
      <c r="R9624" s="21">
        <f t="shared" si="688"/>
        <v>0</v>
      </c>
      <c r="S9624" s="5">
        <f t="shared" si="691"/>
        <v>70007.077158325032</v>
      </c>
      <c r="T9624" cm="1">
        <f t="array" ref="T9624">IF(OR(B9624="MAL ALIMI", B9624="ÜRETİM GİRİŞ"), MIN(I9624, MAX(0, I9624 + SUM(SUMIFS($I$1:I9623, $C$1:C9623, C9624, $B$1:B9623, {"MAL ALIMI","ÜRETİM GİRİŞ"})) - VLOOKUP(C9624, 'STOK RAPORU'!$C$2:$I$1000, 4, 0))), 0)</f>
        <v>0</v>
      </c>
      <c r="U9624" s="22">
        <f t="shared" si="684"/>
        <v>0</v>
      </c>
      <c r="V9624">
        <f t="shared" si="685"/>
        <v>0</v>
      </c>
      <c r="W9624" s="22">
        <f t="shared" si="686"/>
        <v>0</v>
      </c>
    </row>
    <row r="9625" spans="1:23" hidden="1" x14ac:dyDescent="0.25">
      <c r="A9625" s="4"/>
      <c r="B9625" s="4"/>
      <c r="C9625" s="4"/>
      <c r="D9625" s="4"/>
      <c r="E9625" s="4"/>
      <c r="F9625" s="4"/>
      <c r="G9625" s="4"/>
      <c r="H9625" s="4"/>
      <c r="I9625" s="4"/>
      <c r="J9625" s="21">
        <f>IFERROR(VLOOKUP(C9625,'STOK KARTLARI'!$C$2:$K$2150,8,0),0)</f>
        <v>0</v>
      </c>
      <c r="K9625" s="21">
        <f t="shared" si="687"/>
        <v>0</v>
      </c>
      <c r="L9625" s="5">
        <f t="shared" si="689"/>
        <v>0</v>
      </c>
      <c r="M9625" s="4"/>
      <c r="N9625" s="4"/>
      <c r="O9625" s="5"/>
      <c r="P9625" s="5"/>
      <c r="Q9625" s="21">
        <f t="shared" si="690"/>
        <v>0</v>
      </c>
      <c r="R9625" s="21">
        <f t="shared" si="688"/>
        <v>0</v>
      </c>
      <c r="S9625" s="5">
        <f t="shared" si="691"/>
        <v>70007.077158325032</v>
      </c>
      <c r="T9625" cm="1">
        <f t="array" ref="T9625">IF(OR(B9625="MAL ALIMI", B9625="ÜRETİM GİRİŞ"), MIN(I9625, MAX(0, I9625 + SUM(SUMIFS($I$1:I9624, $C$1:C9624, C9625, $B$1:B9624, {"MAL ALIMI","ÜRETİM GİRİŞ"})) - VLOOKUP(C9625, 'STOK RAPORU'!$C$2:$I$1000, 4, 0))), 0)</f>
        <v>0</v>
      </c>
      <c r="U9625" s="22">
        <f t="shared" si="684"/>
        <v>0</v>
      </c>
      <c r="V9625">
        <f t="shared" si="685"/>
        <v>0</v>
      </c>
      <c r="W9625" s="22">
        <f t="shared" si="686"/>
        <v>0</v>
      </c>
    </row>
    <row r="9626" spans="1:23" hidden="1" x14ac:dyDescent="0.25">
      <c r="A9626" s="3"/>
      <c r="B9626" s="4"/>
      <c r="C9626" s="4"/>
      <c r="D9626" s="4"/>
      <c r="E9626" s="4"/>
      <c r="F9626" s="4"/>
      <c r="G9626" s="4"/>
      <c r="H9626" s="4"/>
      <c r="I9626" s="4"/>
      <c r="J9626" s="21">
        <f>IFERROR(VLOOKUP(C9626,'STOK KARTLARI'!$C$2:$K$2150,8,0),0)</f>
        <v>0</v>
      </c>
      <c r="K9626" s="21">
        <f t="shared" si="687"/>
        <v>0</v>
      </c>
      <c r="L9626" s="5">
        <f t="shared" si="689"/>
        <v>0</v>
      </c>
      <c r="M9626" s="4"/>
      <c r="N9626" s="4"/>
      <c r="O9626" s="5"/>
      <c r="P9626" s="5"/>
      <c r="Q9626" s="21">
        <f t="shared" si="690"/>
        <v>0</v>
      </c>
      <c r="R9626" s="21">
        <f t="shared" si="688"/>
        <v>0</v>
      </c>
      <c r="S9626" s="5">
        <f t="shared" si="691"/>
        <v>70007.077158325032</v>
      </c>
      <c r="T9626" cm="1">
        <f t="array" ref="T9626">IF(OR(B9626="MAL ALIMI", B9626="ÜRETİM GİRİŞ"), MIN(I9626, MAX(0, I9626 + SUM(SUMIFS($I$1:I9625, $C$1:C9625, C9626, $B$1:B9625, {"MAL ALIMI","ÜRETİM GİRİŞ"})) - VLOOKUP(C9626, 'STOK RAPORU'!$C$2:$I$1000, 4, 0))), 0)</f>
        <v>0</v>
      </c>
      <c r="U9626" s="22">
        <f t="shared" si="684"/>
        <v>0</v>
      </c>
      <c r="V9626">
        <f t="shared" si="685"/>
        <v>0</v>
      </c>
      <c r="W9626" s="22">
        <f t="shared" si="686"/>
        <v>0</v>
      </c>
    </row>
    <row r="9627" spans="1:23" hidden="1" x14ac:dyDescent="0.25">
      <c r="A9627" s="4"/>
      <c r="B9627" s="4"/>
      <c r="C9627" s="4"/>
      <c r="D9627" s="4"/>
      <c r="E9627" s="4"/>
      <c r="F9627" s="4"/>
      <c r="G9627" s="4"/>
      <c r="H9627" s="4"/>
      <c r="I9627" s="4"/>
      <c r="J9627" s="21">
        <f>IFERROR(VLOOKUP(C9627,'STOK KARTLARI'!$C$2:$K$2150,8,0),0)</f>
        <v>0</v>
      </c>
      <c r="K9627" s="21">
        <f t="shared" si="687"/>
        <v>0</v>
      </c>
      <c r="L9627" s="5">
        <f t="shared" si="689"/>
        <v>0</v>
      </c>
      <c r="M9627" s="4"/>
      <c r="N9627" s="4"/>
      <c r="O9627" s="5"/>
      <c r="P9627" s="5"/>
      <c r="Q9627" s="21">
        <f t="shared" si="690"/>
        <v>0</v>
      </c>
      <c r="R9627" s="21">
        <f t="shared" si="688"/>
        <v>0</v>
      </c>
      <c r="S9627" s="5">
        <f t="shared" si="691"/>
        <v>70007.077158325032</v>
      </c>
      <c r="T9627" cm="1">
        <f t="array" ref="T9627">IF(OR(B9627="MAL ALIMI", B9627="ÜRETİM GİRİŞ"), MIN(I9627, MAX(0, I9627 + SUM(SUMIFS($I$1:I9626, $C$1:C9626, C9627, $B$1:B9626, {"MAL ALIMI","ÜRETİM GİRİŞ"})) - VLOOKUP(C9627, 'STOK RAPORU'!$C$2:$I$1000, 4, 0))), 0)</f>
        <v>0</v>
      </c>
      <c r="U9627" s="22">
        <f t="shared" si="684"/>
        <v>0</v>
      </c>
      <c r="V9627">
        <f t="shared" si="685"/>
        <v>0</v>
      </c>
      <c r="W9627" s="22">
        <f t="shared" si="686"/>
        <v>0</v>
      </c>
    </row>
    <row r="9628" spans="1:23" hidden="1" x14ac:dyDescent="0.25">
      <c r="A9628" s="4"/>
      <c r="B9628" s="4"/>
      <c r="C9628" s="4"/>
      <c r="D9628" s="4"/>
      <c r="E9628" s="4"/>
      <c r="F9628" s="4"/>
      <c r="G9628" s="4"/>
      <c r="H9628" s="4"/>
      <c r="I9628" s="4"/>
      <c r="J9628" s="21">
        <f>IFERROR(VLOOKUP(C9628,'STOK KARTLARI'!$C$2:$K$2150,8,0),0)</f>
        <v>0</v>
      </c>
      <c r="K9628" s="21">
        <f t="shared" si="687"/>
        <v>0</v>
      </c>
      <c r="L9628" s="5">
        <f t="shared" si="689"/>
        <v>0</v>
      </c>
      <c r="M9628" s="4"/>
      <c r="N9628" s="4"/>
      <c r="O9628" s="5"/>
      <c r="P9628" s="5"/>
      <c r="Q9628" s="21">
        <f t="shared" si="690"/>
        <v>0</v>
      </c>
      <c r="R9628" s="21">
        <f t="shared" si="688"/>
        <v>0</v>
      </c>
      <c r="S9628" s="5">
        <f t="shared" si="691"/>
        <v>70007.077158325032</v>
      </c>
      <c r="T9628" cm="1">
        <f t="array" ref="T9628">IF(OR(B9628="MAL ALIMI", B9628="ÜRETİM GİRİŞ"), MIN(I9628, MAX(0, I9628 + SUM(SUMIFS($I$1:I9627, $C$1:C9627, C9628, $B$1:B9627, {"MAL ALIMI","ÜRETİM GİRİŞ"})) - VLOOKUP(C9628, 'STOK RAPORU'!$C$2:$I$1000, 4, 0))), 0)</f>
        <v>0</v>
      </c>
      <c r="U9628" s="22">
        <f t="shared" si="684"/>
        <v>0</v>
      </c>
      <c r="V9628">
        <f t="shared" si="685"/>
        <v>0</v>
      </c>
      <c r="W9628" s="22">
        <f t="shared" si="686"/>
        <v>0</v>
      </c>
    </row>
    <row r="9629" spans="1:23" hidden="1" x14ac:dyDescent="0.25">
      <c r="A9629" s="4"/>
      <c r="B9629" s="4"/>
      <c r="C9629" s="4"/>
      <c r="D9629" s="4"/>
      <c r="E9629" s="4"/>
      <c r="F9629" s="4"/>
      <c r="G9629" s="4"/>
      <c r="H9629" s="4"/>
      <c r="I9629" s="4"/>
      <c r="J9629" s="21">
        <f>IFERROR(VLOOKUP(C9629,'STOK KARTLARI'!$C$2:$K$2150,8,0),0)</f>
        <v>0</v>
      </c>
      <c r="K9629" s="21">
        <f t="shared" si="687"/>
        <v>0</v>
      </c>
      <c r="L9629" s="5">
        <f t="shared" si="689"/>
        <v>0</v>
      </c>
      <c r="M9629" s="4"/>
      <c r="N9629" s="4"/>
      <c r="O9629" s="5"/>
      <c r="P9629" s="5"/>
      <c r="Q9629" s="21">
        <f t="shared" si="690"/>
        <v>0</v>
      </c>
      <c r="R9629" s="21">
        <f t="shared" si="688"/>
        <v>0</v>
      </c>
      <c r="S9629" s="5">
        <f t="shared" si="691"/>
        <v>70007.077158325032</v>
      </c>
      <c r="T9629" cm="1">
        <f t="array" ref="T9629">IF(OR(B9629="MAL ALIMI", B9629="ÜRETİM GİRİŞ"), MIN(I9629, MAX(0, I9629 + SUM(SUMIFS($I$1:I9628, $C$1:C9628, C9629, $B$1:B9628, {"MAL ALIMI","ÜRETİM GİRİŞ"})) - VLOOKUP(C9629, 'STOK RAPORU'!$C$2:$I$1000, 4, 0))), 0)</f>
        <v>0</v>
      </c>
      <c r="U9629" s="22">
        <f t="shared" si="684"/>
        <v>0</v>
      </c>
      <c r="V9629">
        <f t="shared" si="685"/>
        <v>0</v>
      </c>
      <c r="W9629" s="22">
        <f t="shared" si="686"/>
        <v>0</v>
      </c>
    </row>
    <row r="9630" spans="1:23" hidden="1" x14ac:dyDescent="0.25">
      <c r="A9630" s="4"/>
      <c r="B9630" s="4"/>
      <c r="C9630" s="4"/>
      <c r="D9630" s="4"/>
      <c r="E9630" s="4"/>
      <c r="F9630" s="4"/>
      <c r="G9630" s="4"/>
      <c r="H9630" s="4"/>
      <c r="I9630" s="4"/>
      <c r="J9630" s="21">
        <f>IFERROR(VLOOKUP(C9630,'STOK KARTLARI'!$C$2:$K$2150,8,0),0)</f>
        <v>0</v>
      </c>
      <c r="K9630" s="21">
        <f t="shared" si="687"/>
        <v>0</v>
      </c>
      <c r="L9630" s="5">
        <f t="shared" si="689"/>
        <v>0</v>
      </c>
      <c r="M9630" s="4"/>
      <c r="N9630" s="4"/>
      <c r="O9630" s="5"/>
      <c r="P9630" s="5"/>
      <c r="Q9630" s="21">
        <f t="shared" si="690"/>
        <v>0</v>
      </c>
      <c r="R9630" s="21">
        <f t="shared" si="688"/>
        <v>0</v>
      </c>
      <c r="S9630" s="5">
        <f t="shared" si="691"/>
        <v>70007.077158325032</v>
      </c>
      <c r="T9630" cm="1">
        <f t="array" ref="T9630">IF(OR(B9630="MAL ALIMI", B9630="ÜRETİM GİRİŞ"), MIN(I9630, MAX(0, I9630 + SUM(SUMIFS($I$1:I9629, $C$1:C9629, C9630, $B$1:B9629, {"MAL ALIMI","ÜRETİM GİRİŞ"})) - VLOOKUP(C9630, 'STOK RAPORU'!$C$2:$I$1000, 4, 0))), 0)</f>
        <v>0</v>
      </c>
      <c r="U9630" s="22">
        <f t="shared" si="684"/>
        <v>0</v>
      </c>
      <c r="V9630">
        <f t="shared" si="685"/>
        <v>0</v>
      </c>
      <c r="W9630" s="22">
        <f t="shared" si="686"/>
        <v>0</v>
      </c>
    </row>
    <row r="9631" spans="1:23" hidden="1" x14ac:dyDescent="0.25">
      <c r="A9631" s="4"/>
      <c r="B9631" s="4"/>
      <c r="C9631" s="4"/>
      <c r="D9631" s="4"/>
      <c r="E9631" s="4"/>
      <c r="F9631" s="4"/>
      <c r="G9631" s="4"/>
      <c r="H9631" s="4"/>
      <c r="I9631" s="4"/>
      <c r="J9631" s="21">
        <f>IFERROR(VLOOKUP(C9631,'STOK KARTLARI'!$C$2:$K$2150,8,0),0)</f>
        <v>0</v>
      </c>
      <c r="K9631" s="21">
        <f t="shared" si="687"/>
        <v>0</v>
      </c>
      <c r="L9631" s="5">
        <f t="shared" si="689"/>
        <v>0</v>
      </c>
      <c r="M9631" s="4"/>
      <c r="N9631" s="4"/>
      <c r="O9631" s="5"/>
      <c r="P9631" s="5"/>
      <c r="Q9631" s="21">
        <f t="shared" si="690"/>
        <v>0</v>
      </c>
      <c r="R9631" s="21">
        <f t="shared" si="688"/>
        <v>0</v>
      </c>
      <c r="S9631" s="5">
        <f t="shared" si="691"/>
        <v>70007.077158325032</v>
      </c>
      <c r="T9631" cm="1">
        <f t="array" ref="T9631">IF(OR(B9631="MAL ALIMI", B9631="ÜRETİM GİRİŞ"), MIN(I9631, MAX(0, I9631 + SUM(SUMIFS($I$1:I9630, $C$1:C9630, C9631, $B$1:B9630, {"MAL ALIMI","ÜRETİM GİRİŞ"})) - VLOOKUP(C9631, 'STOK RAPORU'!$C$2:$I$1000, 4, 0))), 0)</f>
        <v>0</v>
      </c>
      <c r="U9631" s="22">
        <f t="shared" si="684"/>
        <v>0</v>
      </c>
      <c r="V9631">
        <f t="shared" si="685"/>
        <v>0</v>
      </c>
      <c r="W9631" s="22">
        <f t="shared" si="686"/>
        <v>0</v>
      </c>
    </row>
    <row r="9632" spans="1:23" hidden="1" x14ac:dyDescent="0.25">
      <c r="A9632" s="4"/>
      <c r="B9632" s="4"/>
      <c r="C9632" s="4"/>
      <c r="D9632" s="4"/>
      <c r="E9632" s="4"/>
      <c r="F9632" s="4"/>
      <c r="G9632" s="4"/>
      <c r="H9632" s="4"/>
      <c r="I9632" s="4"/>
      <c r="J9632" s="21">
        <f>IFERROR(VLOOKUP(C9632,'STOK KARTLARI'!$C$2:$K$2150,8,0),0)</f>
        <v>0</v>
      </c>
      <c r="K9632" s="21">
        <f t="shared" si="687"/>
        <v>0</v>
      </c>
      <c r="L9632" s="5">
        <f t="shared" si="689"/>
        <v>0</v>
      </c>
      <c r="M9632" s="4"/>
      <c r="N9632" s="4"/>
      <c r="O9632" s="5"/>
      <c r="P9632" s="5"/>
      <c r="Q9632" s="21">
        <f t="shared" si="690"/>
        <v>0</v>
      </c>
      <c r="R9632" s="21">
        <f t="shared" si="688"/>
        <v>0</v>
      </c>
      <c r="S9632" s="5">
        <f t="shared" si="691"/>
        <v>70007.077158325032</v>
      </c>
      <c r="T9632" cm="1">
        <f t="array" ref="T9632">IF(OR(B9632="MAL ALIMI", B9632="ÜRETİM GİRİŞ"), MIN(I9632, MAX(0, I9632 + SUM(SUMIFS($I$1:I9631, $C$1:C9631, C9632, $B$1:B9631, {"MAL ALIMI","ÜRETİM GİRİŞ"})) - VLOOKUP(C9632, 'STOK RAPORU'!$C$2:$I$1000, 4, 0))), 0)</f>
        <v>0</v>
      </c>
      <c r="U9632" s="22">
        <f t="shared" si="684"/>
        <v>0</v>
      </c>
      <c r="V9632">
        <f t="shared" si="685"/>
        <v>0</v>
      </c>
      <c r="W9632" s="22">
        <f t="shared" si="686"/>
        <v>0</v>
      </c>
    </row>
    <row r="9633" spans="1:23" hidden="1" x14ac:dyDescent="0.25">
      <c r="A9633" s="3"/>
      <c r="B9633" s="4"/>
      <c r="C9633" s="4"/>
      <c r="D9633" s="4"/>
      <c r="E9633" s="4"/>
      <c r="F9633" s="4"/>
      <c r="G9633" s="4"/>
      <c r="H9633" s="4"/>
      <c r="I9633" s="4"/>
      <c r="J9633" s="21">
        <f>IFERROR(VLOOKUP(C9633,'STOK KARTLARI'!$C$2:$K$2150,8,0),0)</f>
        <v>0</v>
      </c>
      <c r="K9633" s="21">
        <f t="shared" si="687"/>
        <v>0</v>
      </c>
      <c r="L9633" s="5">
        <f t="shared" si="689"/>
        <v>0</v>
      </c>
      <c r="M9633" s="4"/>
      <c r="N9633" s="4"/>
      <c r="O9633" s="5"/>
      <c r="P9633" s="5"/>
      <c r="Q9633" s="21">
        <f t="shared" si="690"/>
        <v>0</v>
      </c>
      <c r="R9633" s="21">
        <f t="shared" si="688"/>
        <v>0</v>
      </c>
      <c r="S9633" s="5">
        <f t="shared" si="691"/>
        <v>70007.077158325032</v>
      </c>
      <c r="T9633" cm="1">
        <f t="array" ref="T9633">IF(OR(B9633="MAL ALIMI", B9633="ÜRETİM GİRİŞ"), MIN(I9633, MAX(0, I9633 + SUM(SUMIFS($I$1:I9632, $C$1:C9632, C9633, $B$1:B9632, {"MAL ALIMI","ÜRETİM GİRİŞ"})) - VLOOKUP(C9633, 'STOK RAPORU'!$C$2:$I$1000, 4, 0))), 0)</f>
        <v>0</v>
      </c>
      <c r="U9633" s="22">
        <f t="shared" si="684"/>
        <v>0</v>
      </c>
      <c r="V9633">
        <f t="shared" si="685"/>
        <v>0</v>
      </c>
      <c r="W9633" s="22">
        <f t="shared" si="686"/>
        <v>0</v>
      </c>
    </row>
    <row r="9634" spans="1:23" hidden="1" x14ac:dyDescent="0.25">
      <c r="A9634" s="4"/>
      <c r="B9634" s="4"/>
      <c r="C9634" s="4"/>
      <c r="D9634" s="4"/>
      <c r="E9634" s="4"/>
      <c r="F9634" s="4"/>
      <c r="G9634" s="4"/>
      <c r="H9634" s="4"/>
      <c r="I9634" s="4"/>
      <c r="J9634" s="21">
        <f>IFERROR(VLOOKUP(C9634,'STOK KARTLARI'!$C$2:$K$2150,8,0),0)</f>
        <v>0</v>
      </c>
      <c r="K9634" s="21">
        <f t="shared" si="687"/>
        <v>0</v>
      </c>
      <c r="L9634" s="5">
        <f t="shared" si="689"/>
        <v>0</v>
      </c>
      <c r="M9634" s="4"/>
      <c r="N9634" s="4"/>
      <c r="O9634" s="5"/>
      <c r="P9634" s="5"/>
      <c r="Q9634" s="21">
        <f t="shared" si="690"/>
        <v>0</v>
      </c>
      <c r="R9634" s="21">
        <f t="shared" si="688"/>
        <v>0</v>
      </c>
      <c r="S9634" s="5">
        <f t="shared" si="691"/>
        <v>70007.077158325032</v>
      </c>
      <c r="T9634" cm="1">
        <f t="array" ref="T9634">IF(OR(B9634="MAL ALIMI", B9634="ÜRETİM GİRİŞ"), MIN(I9634, MAX(0, I9634 + SUM(SUMIFS($I$1:I9633, $C$1:C9633, C9634, $B$1:B9633, {"MAL ALIMI","ÜRETİM GİRİŞ"})) - VLOOKUP(C9634, 'STOK RAPORU'!$C$2:$I$1000, 4, 0))), 0)</f>
        <v>0</v>
      </c>
      <c r="U9634" s="22">
        <f t="shared" si="684"/>
        <v>0</v>
      </c>
      <c r="V9634">
        <f t="shared" si="685"/>
        <v>0</v>
      </c>
      <c r="W9634" s="22">
        <f t="shared" si="686"/>
        <v>0</v>
      </c>
    </row>
    <row r="9635" spans="1:23" hidden="1" x14ac:dyDescent="0.25">
      <c r="A9635" s="4"/>
      <c r="B9635" s="4"/>
      <c r="C9635" s="4"/>
      <c r="D9635" s="4"/>
      <c r="E9635" s="4"/>
      <c r="F9635" s="4"/>
      <c r="G9635" s="4"/>
      <c r="H9635" s="4"/>
      <c r="I9635" s="4"/>
      <c r="J9635" s="21">
        <f>IFERROR(VLOOKUP(C9635,'STOK KARTLARI'!$C$2:$K$2150,8,0),0)</f>
        <v>0</v>
      </c>
      <c r="K9635" s="21">
        <f t="shared" si="687"/>
        <v>0</v>
      </c>
      <c r="L9635" s="5">
        <f t="shared" si="689"/>
        <v>0</v>
      </c>
      <c r="M9635" s="4"/>
      <c r="N9635" s="4"/>
      <c r="O9635" s="5"/>
      <c r="P9635" s="5"/>
      <c r="Q9635" s="21">
        <f t="shared" si="690"/>
        <v>0</v>
      </c>
      <c r="R9635" s="21">
        <f t="shared" si="688"/>
        <v>0</v>
      </c>
      <c r="S9635" s="5">
        <f t="shared" si="691"/>
        <v>70007.077158325032</v>
      </c>
      <c r="T9635" cm="1">
        <f t="array" ref="T9635">IF(OR(B9635="MAL ALIMI", B9635="ÜRETİM GİRİŞ"), MIN(I9635, MAX(0, I9635 + SUM(SUMIFS($I$1:I9634, $C$1:C9634, C9635, $B$1:B9634, {"MAL ALIMI","ÜRETİM GİRİŞ"})) - VLOOKUP(C9635, 'STOK RAPORU'!$C$2:$I$1000, 4, 0))), 0)</f>
        <v>0</v>
      </c>
      <c r="U9635" s="22">
        <f t="shared" si="684"/>
        <v>0</v>
      </c>
      <c r="V9635">
        <f t="shared" si="685"/>
        <v>0</v>
      </c>
      <c r="W9635" s="22">
        <f t="shared" si="686"/>
        <v>0</v>
      </c>
    </row>
    <row r="9636" spans="1:23" hidden="1" x14ac:dyDescent="0.25">
      <c r="A9636" s="4"/>
      <c r="B9636" s="4"/>
      <c r="C9636" s="4"/>
      <c r="D9636" s="4"/>
      <c r="E9636" s="4"/>
      <c r="F9636" s="4"/>
      <c r="G9636" s="4"/>
      <c r="H9636" s="4"/>
      <c r="I9636" s="4"/>
      <c r="J9636" s="21">
        <f>IFERROR(VLOOKUP(C9636,'STOK KARTLARI'!$C$2:$K$2150,8,0),0)</f>
        <v>0</v>
      </c>
      <c r="K9636" s="21">
        <f t="shared" si="687"/>
        <v>0</v>
      </c>
      <c r="L9636" s="5">
        <f t="shared" si="689"/>
        <v>0</v>
      </c>
      <c r="M9636" s="4"/>
      <c r="N9636" s="4"/>
      <c r="O9636" s="5"/>
      <c r="P9636" s="5"/>
      <c r="Q9636" s="21">
        <f t="shared" si="690"/>
        <v>0</v>
      </c>
      <c r="R9636" s="21">
        <f t="shared" si="688"/>
        <v>0</v>
      </c>
      <c r="S9636" s="5">
        <f t="shared" si="691"/>
        <v>70007.077158325032</v>
      </c>
      <c r="T9636" cm="1">
        <f t="array" ref="T9636">IF(OR(B9636="MAL ALIMI", B9636="ÜRETİM GİRİŞ"), MIN(I9636, MAX(0, I9636 + SUM(SUMIFS($I$1:I9635, $C$1:C9635, C9636, $B$1:B9635, {"MAL ALIMI","ÜRETİM GİRİŞ"})) - VLOOKUP(C9636, 'STOK RAPORU'!$C$2:$I$1000, 4, 0))), 0)</f>
        <v>0</v>
      </c>
      <c r="U9636" s="22">
        <f t="shared" si="684"/>
        <v>0</v>
      </c>
      <c r="V9636">
        <f t="shared" si="685"/>
        <v>0</v>
      </c>
      <c r="W9636" s="22">
        <f t="shared" si="686"/>
        <v>0</v>
      </c>
    </row>
    <row r="9637" spans="1:23" hidden="1" x14ac:dyDescent="0.25">
      <c r="A9637" s="4"/>
      <c r="B9637" s="4"/>
      <c r="C9637" s="4"/>
      <c r="D9637" s="4"/>
      <c r="E9637" s="4"/>
      <c r="F9637" s="4"/>
      <c r="G9637" s="4"/>
      <c r="H9637" s="4"/>
      <c r="I9637" s="4"/>
      <c r="J9637" s="21">
        <f>IFERROR(VLOOKUP(C9637,'STOK KARTLARI'!$C$2:$K$2150,8,0),0)</f>
        <v>0</v>
      </c>
      <c r="K9637" s="21">
        <f t="shared" si="687"/>
        <v>0</v>
      </c>
      <c r="L9637" s="5">
        <f t="shared" si="689"/>
        <v>0</v>
      </c>
      <c r="M9637" s="4"/>
      <c r="N9637" s="4"/>
      <c r="O9637" s="5"/>
      <c r="P9637" s="5"/>
      <c r="Q9637" s="21">
        <f t="shared" si="690"/>
        <v>0</v>
      </c>
      <c r="R9637" s="21">
        <f t="shared" si="688"/>
        <v>0</v>
      </c>
      <c r="S9637" s="5">
        <f t="shared" si="691"/>
        <v>70007.077158325032</v>
      </c>
      <c r="T9637" cm="1">
        <f t="array" ref="T9637">IF(OR(B9637="MAL ALIMI", B9637="ÜRETİM GİRİŞ"), MIN(I9637, MAX(0, I9637 + SUM(SUMIFS($I$1:I9636, $C$1:C9636, C9637, $B$1:B9636, {"MAL ALIMI","ÜRETİM GİRİŞ"})) - VLOOKUP(C9637, 'STOK RAPORU'!$C$2:$I$1000, 4, 0))), 0)</f>
        <v>0</v>
      </c>
      <c r="U9637" s="22">
        <f t="shared" si="684"/>
        <v>0</v>
      </c>
      <c r="V9637">
        <f t="shared" si="685"/>
        <v>0</v>
      </c>
      <c r="W9637" s="22">
        <f t="shared" si="686"/>
        <v>0</v>
      </c>
    </row>
    <row r="9638" spans="1:23" hidden="1" x14ac:dyDescent="0.25">
      <c r="A9638" s="4"/>
      <c r="B9638" s="4"/>
      <c r="C9638" s="4"/>
      <c r="D9638" s="4"/>
      <c r="E9638" s="4"/>
      <c r="F9638" s="4"/>
      <c r="G9638" s="4"/>
      <c r="H9638" s="4"/>
      <c r="I9638" s="4"/>
      <c r="J9638" s="21">
        <f>IFERROR(VLOOKUP(C9638,'STOK KARTLARI'!$C$2:$K$2150,8,0),0)</f>
        <v>0</v>
      </c>
      <c r="K9638" s="21">
        <f t="shared" si="687"/>
        <v>0</v>
      </c>
      <c r="L9638" s="5">
        <f t="shared" si="689"/>
        <v>0</v>
      </c>
      <c r="M9638" s="4"/>
      <c r="N9638" s="4"/>
      <c r="O9638" s="5"/>
      <c r="P9638" s="5"/>
      <c r="Q9638" s="21">
        <f t="shared" si="690"/>
        <v>0</v>
      </c>
      <c r="R9638" s="21">
        <f t="shared" si="688"/>
        <v>0</v>
      </c>
      <c r="S9638" s="5">
        <f t="shared" si="691"/>
        <v>70007.077158325032</v>
      </c>
      <c r="T9638" cm="1">
        <f t="array" ref="T9638">IF(OR(B9638="MAL ALIMI", B9638="ÜRETİM GİRİŞ"), MIN(I9638, MAX(0, I9638 + SUM(SUMIFS($I$1:I9637, $C$1:C9637, C9638, $B$1:B9637, {"MAL ALIMI","ÜRETİM GİRİŞ"})) - VLOOKUP(C9638, 'STOK RAPORU'!$C$2:$I$1000, 4, 0))), 0)</f>
        <v>0</v>
      </c>
      <c r="U9638" s="22">
        <f t="shared" si="684"/>
        <v>0</v>
      </c>
      <c r="V9638">
        <f t="shared" si="685"/>
        <v>0</v>
      </c>
      <c r="W9638" s="22">
        <f t="shared" si="686"/>
        <v>0</v>
      </c>
    </row>
    <row r="9639" spans="1:23" hidden="1" x14ac:dyDescent="0.25">
      <c r="A9639" s="4"/>
      <c r="B9639" s="4"/>
      <c r="C9639" s="4"/>
      <c r="D9639" s="4"/>
      <c r="E9639" s="4"/>
      <c r="F9639" s="4"/>
      <c r="G9639" s="4"/>
      <c r="H9639" s="4"/>
      <c r="I9639" s="4"/>
      <c r="J9639" s="21">
        <f>IFERROR(VLOOKUP(C9639,'STOK KARTLARI'!$C$2:$K$2150,8,0),0)</f>
        <v>0</v>
      </c>
      <c r="K9639" s="21">
        <f t="shared" si="687"/>
        <v>0</v>
      </c>
      <c r="L9639" s="5">
        <f t="shared" si="689"/>
        <v>0</v>
      </c>
      <c r="M9639" s="4"/>
      <c r="N9639" s="4"/>
      <c r="O9639" s="5"/>
      <c r="P9639" s="5"/>
      <c r="Q9639" s="21">
        <f t="shared" si="690"/>
        <v>0</v>
      </c>
      <c r="R9639" s="21">
        <f t="shared" si="688"/>
        <v>0</v>
      </c>
      <c r="S9639" s="5">
        <f t="shared" si="691"/>
        <v>70007.077158325032</v>
      </c>
      <c r="T9639" cm="1">
        <f t="array" ref="T9639">IF(OR(B9639="MAL ALIMI", B9639="ÜRETİM GİRİŞ"), MIN(I9639, MAX(0, I9639 + SUM(SUMIFS($I$1:I9638, $C$1:C9638, C9639, $B$1:B9638, {"MAL ALIMI","ÜRETİM GİRİŞ"})) - VLOOKUP(C9639, 'STOK RAPORU'!$C$2:$I$1000, 4, 0))), 0)</f>
        <v>0</v>
      </c>
      <c r="U9639" s="22">
        <f t="shared" si="684"/>
        <v>0</v>
      </c>
      <c r="V9639">
        <f t="shared" si="685"/>
        <v>0</v>
      </c>
      <c r="W9639" s="22">
        <f t="shared" si="686"/>
        <v>0</v>
      </c>
    </row>
    <row r="9640" spans="1:23" hidden="1" x14ac:dyDescent="0.25">
      <c r="A9640" s="3"/>
      <c r="B9640" s="4"/>
      <c r="C9640" s="4"/>
      <c r="D9640" s="4"/>
      <c r="E9640" s="4"/>
      <c r="F9640" s="4"/>
      <c r="G9640" s="4"/>
      <c r="H9640" s="4"/>
      <c r="I9640" s="4"/>
      <c r="J9640" s="21">
        <f>IFERROR(VLOOKUP(C9640,'STOK KARTLARI'!$C$2:$K$2150,8,0),0)</f>
        <v>0</v>
      </c>
      <c r="K9640" s="21">
        <f t="shared" si="687"/>
        <v>0</v>
      </c>
      <c r="L9640" s="5">
        <f t="shared" si="689"/>
        <v>0</v>
      </c>
      <c r="M9640" s="4"/>
      <c r="N9640" s="4"/>
      <c r="O9640" s="5"/>
      <c r="P9640" s="5"/>
      <c r="Q9640" s="21">
        <f t="shared" si="690"/>
        <v>0</v>
      </c>
      <c r="R9640" s="21">
        <f t="shared" si="688"/>
        <v>0</v>
      </c>
      <c r="S9640" s="5">
        <f t="shared" si="691"/>
        <v>70007.077158325032</v>
      </c>
      <c r="T9640" cm="1">
        <f t="array" ref="T9640">IF(OR(B9640="MAL ALIMI", B9640="ÜRETİM GİRİŞ"), MIN(I9640, MAX(0, I9640 + SUM(SUMIFS($I$1:I9639, $C$1:C9639, C9640, $B$1:B9639, {"MAL ALIMI","ÜRETİM GİRİŞ"})) - VLOOKUP(C9640, 'STOK RAPORU'!$C$2:$I$1000, 4, 0))), 0)</f>
        <v>0</v>
      </c>
      <c r="U9640" s="22">
        <f t="shared" si="684"/>
        <v>0</v>
      </c>
      <c r="V9640">
        <f t="shared" si="685"/>
        <v>0</v>
      </c>
      <c r="W9640" s="22">
        <f t="shared" si="686"/>
        <v>0</v>
      </c>
    </row>
    <row r="9641" spans="1:23" hidden="1" x14ac:dyDescent="0.25">
      <c r="A9641" s="4"/>
      <c r="B9641" s="4"/>
      <c r="C9641" s="4"/>
      <c r="D9641" s="4"/>
      <c r="E9641" s="4"/>
      <c r="F9641" s="4"/>
      <c r="G9641" s="4"/>
      <c r="H9641" s="4"/>
      <c r="I9641" s="4"/>
      <c r="J9641" s="21">
        <f>IFERROR(VLOOKUP(C9641,'STOK KARTLARI'!$C$2:$K$2150,8,0),0)</f>
        <v>0</v>
      </c>
      <c r="K9641" s="21">
        <f t="shared" si="687"/>
        <v>0</v>
      </c>
      <c r="L9641" s="5">
        <f t="shared" si="689"/>
        <v>0</v>
      </c>
      <c r="M9641" s="4"/>
      <c r="N9641" s="4"/>
      <c r="O9641" s="5"/>
      <c r="P9641" s="5"/>
      <c r="Q9641" s="21">
        <f t="shared" si="690"/>
        <v>0</v>
      </c>
      <c r="R9641" s="21">
        <f t="shared" si="688"/>
        <v>0</v>
      </c>
      <c r="S9641" s="5">
        <f t="shared" si="691"/>
        <v>70007.077158325032</v>
      </c>
      <c r="T9641" cm="1">
        <f t="array" ref="T9641">IF(OR(B9641="MAL ALIMI", B9641="ÜRETİM GİRİŞ"), MIN(I9641, MAX(0, I9641 + SUM(SUMIFS($I$1:I9640, $C$1:C9640, C9641, $B$1:B9640, {"MAL ALIMI","ÜRETİM GİRİŞ"})) - VLOOKUP(C9641, 'STOK RAPORU'!$C$2:$I$1000, 4, 0))), 0)</f>
        <v>0</v>
      </c>
      <c r="U9641" s="22">
        <f t="shared" si="684"/>
        <v>0</v>
      </c>
      <c r="V9641">
        <f t="shared" si="685"/>
        <v>0</v>
      </c>
      <c r="W9641" s="22">
        <f t="shared" si="686"/>
        <v>0</v>
      </c>
    </row>
    <row r="9642" spans="1:23" hidden="1" x14ac:dyDescent="0.25">
      <c r="A9642" s="4"/>
      <c r="B9642" s="4"/>
      <c r="C9642" s="4"/>
      <c r="D9642" s="4"/>
      <c r="E9642" s="4"/>
      <c r="F9642" s="4"/>
      <c r="G9642" s="4"/>
      <c r="H9642" s="4"/>
      <c r="I9642" s="4"/>
      <c r="J9642" s="21">
        <f>IFERROR(VLOOKUP(C9642,'STOK KARTLARI'!$C$2:$K$2150,8,0),0)</f>
        <v>0</v>
      </c>
      <c r="K9642" s="21">
        <f t="shared" si="687"/>
        <v>0</v>
      </c>
      <c r="L9642" s="5">
        <f t="shared" si="689"/>
        <v>0</v>
      </c>
      <c r="M9642" s="4"/>
      <c r="N9642" s="4"/>
      <c r="O9642" s="5"/>
      <c r="P9642" s="5"/>
      <c r="Q9642" s="21">
        <f t="shared" si="690"/>
        <v>0</v>
      </c>
      <c r="R9642" s="21">
        <f t="shared" si="688"/>
        <v>0</v>
      </c>
      <c r="S9642" s="5">
        <f t="shared" si="691"/>
        <v>70007.077158325032</v>
      </c>
      <c r="T9642" cm="1">
        <f t="array" ref="T9642">IF(OR(B9642="MAL ALIMI", B9642="ÜRETİM GİRİŞ"), MIN(I9642, MAX(0, I9642 + SUM(SUMIFS($I$1:I9641, $C$1:C9641, C9642, $B$1:B9641, {"MAL ALIMI","ÜRETİM GİRİŞ"})) - VLOOKUP(C9642, 'STOK RAPORU'!$C$2:$I$1000, 4, 0))), 0)</f>
        <v>0</v>
      </c>
      <c r="U9642" s="22">
        <f t="shared" si="684"/>
        <v>0</v>
      </c>
      <c r="V9642">
        <f t="shared" si="685"/>
        <v>0</v>
      </c>
      <c r="W9642" s="22">
        <f t="shared" si="686"/>
        <v>0</v>
      </c>
    </row>
    <row r="9643" spans="1:23" hidden="1" x14ac:dyDescent="0.25">
      <c r="A9643" s="4"/>
      <c r="B9643" s="4"/>
      <c r="C9643" s="4"/>
      <c r="D9643" s="4"/>
      <c r="E9643" s="4"/>
      <c r="F9643" s="4"/>
      <c r="G9643" s="4"/>
      <c r="H9643" s="4"/>
      <c r="I9643" s="4"/>
      <c r="J9643" s="21">
        <f>IFERROR(VLOOKUP(C9643,'STOK KARTLARI'!$C$2:$K$2150,8,0),0)</f>
        <v>0</v>
      </c>
      <c r="K9643" s="21">
        <f t="shared" si="687"/>
        <v>0</v>
      </c>
      <c r="L9643" s="5">
        <f t="shared" si="689"/>
        <v>0</v>
      </c>
      <c r="M9643" s="4"/>
      <c r="N9643" s="4"/>
      <c r="O9643" s="5"/>
      <c r="P9643" s="5"/>
      <c r="Q9643" s="21">
        <f t="shared" si="690"/>
        <v>0</v>
      </c>
      <c r="R9643" s="21">
        <f t="shared" si="688"/>
        <v>0</v>
      </c>
      <c r="S9643" s="5">
        <f t="shared" si="691"/>
        <v>70007.077158325032</v>
      </c>
      <c r="T9643" cm="1">
        <f t="array" ref="T9643">IF(OR(B9643="MAL ALIMI", B9643="ÜRETİM GİRİŞ"), MIN(I9643, MAX(0, I9643 + SUM(SUMIFS($I$1:I9642, $C$1:C9642, C9643, $B$1:B9642, {"MAL ALIMI","ÜRETİM GİRİŞ"})) - VLOOKUP(C9643, 'STOK RAPORU'!$C$2:$I$1000, 4, 0))), 0)</f>
        <v>0</v>
      </c>
      <c r="U9643" s="22">
        <f t="shared" si="684"/>
        <v>0</v>
      </c>
      <c r="V9643">
        <f t="shared" si="685"/>
        <v>0</v>
      </c>
      <c r="W9643" s="22">
        <f t="shared" si="686"/>
        <v>0</v>
      </c>
    </row>
    <row r="9644" spans="1:23" hidden="1" x14ac:dyDescent="0.25">
      <c r="A9644" s="4"/>
      <c r="B9644" s="4"/>
      <c r="C9644" s="4"/>
      <c r="D9644" s="4"/>
      <c r="E9644" s="4"/>
      <c r="F9644" s="4"/>
      <c r="G9644" s="4"/>
      <c r="H9644" s="4"/>
      <c r="I9644" s="4"/>
      <c r="J9644" s="21">
        <f>IFERROR(VLOOKUP(C9644,'STOK KARTLARI'!$C$2:$K$2150,8,0),0)</f>
        <v>0</v>
      </c>
      <c r="K9644" s="21">
        <f t="shared" si="687"/>
        <v>0</v>
      </c>
      <c r="L9644" s="5">
        <f t="shared" si="689"/>
        <v>0</v>
      </c>
      <c r="M9644" s="4"/>
      <c r="N9644" s="4"/>
      <c r="O9644" s="5"/>
      <c r="P9644" s="5"/>
      <c r="Q9644" s="21">
        <f t="shared" si="690"/>
        <v>0</v>
      </c>
      <c r="R9644" s="21">
        <f t="shared" si="688"/>
        <v>0</v>
      </c>
      <c r="S9644" s="5">
        <f t="shared" si="691"/>
        <v>70007.077158325032</v>
      </c>
      <c r="T9644" cm="1">
        <f t="array" ref="T9644">IF(OR(B9644="MAL ALIMI", B9644="ÜRETİM GİRİŞ"), MIN(I9644, MAX(0, I9644 + SUM(SUMIFS($I$1:I9643, $C$1:C9643, C9644, $B$1:B9643, {"MAL ALIMI","ÜRETİM GİRİŞ"})) - VLOOKUP(C9644, 'STOK RAPORU'!$C$2:$I$1000, 4, 0))), 0)</f>
        <v>0</v>
      </c>
      <c r="U9644" s="22">
        <f t="shared" si="684"/>
        <v>0</v>
      </c>
      <c r="V9644">
        <f t="shared" si="685"/>
        <v>0</v>
      </c>
      <c r="W9644" s="22">
        <f t="shared" si="686"/>
        <v>0</v>
      </c>
    </row>
    <row r="9645" spans="1:23" hidden="1" x14ac:dyDescent="0.25">
      <c r="A9645" s="4"/>
      <c r="B9645" s="4"/>
      <c r="C9645" s="4"/>
      <c r="D9645" s="4"/>
      <c r="E9645" s="4"/>
      <c r="F9645" s="4"/>
      <c r="G9645" s="4"/>
      <c r="H9645" s="4"/>
      <c r="I9645" s="4"/>
      <c r="J9645" s="21">
        <f>IFERROR(VLOOKUP(C9645,'STOK KARTLARI'!$C$2:$K$2150,8,0),0)</f>
        <v>0</v>
      </c>
      <c r="K9645" s="21">
        <f t="shared" si="687"/>
        <v>0</v>
      </c>
      <c r="L9645" s="5">
        <f t="shared" si="689"/>
        <v>0</v>
      </c>
      <c r="M9645" s="4"/>
      <c r="N9645" s="4"/>
      <c r="O9645" s="5"/>
      <c r="P9645" s="5"/>
      <c r="Q9645" s="21">
        <f t="shared" si="690"/>
        <v>0</v>
      </c>
      <c r="R9645" s="21">
        <f t="shared" si="688"/>
        <v>0</v>
      </c>
      <c r="S9645" s="5">
        <f t="shared" si="691"/>
        <v>70007.077158325032</v>
      </c>
      <c r="T9645" cm="1">
        <f t="array" ref="T9645">IF(OR(B9645="MAL ALIMI", B9645="ÜRETİM GİRİŞ"), MIN(I9645, MAX(0, I9645 + SUM(SUMIFS($I$1:I9644, $C$1:C9644, C9645, $B$1:B9644, {"MAL ALIMI","ÜRETİM GİRİŞ"})) - VLOOKUP(C9645, 'STOK RAPORU'!$C$2:$I$1000, 4, 0))), 0)</f>
        <v>0</v>
      </c>
      <c r="U9645" s="22">
        <f t="shared" si="684"/>
        <v>0</v>
      </c>
      <c r="V9645">
        <f t="shared" si="685"/>
        <v>0</v>
      </c>
      <c r="W9645" s="22">
        <f t="shared" si="686"/>
        <v>0</v>
      </c>
    </row>
    <row r="9646" spans="1:23" hidden="1" x14ac:dyDescent="0.25">
      <c r="A9646" s="4"/>
      <c r="B9646" s="4"/>
      <c r="C9646" s="4"/>
      <c r="D9646" s="4"/>
      <c r="E9646" s="4"/>
      <c r="F9646" s="4"/>
      <c r="G9646" s="4"/>
      <c r="H9646" s="4"/>
      <c r="I9646" s="4"/>
      <c r="J9646" s="21">
        <f>IFERROR(VLOOKUP(C9646,'STOK KARTLARI'!$C$2:$K$2150,8,0),0)</f>
        <v>0</v>
      </c>
      <c r="K9646" s="21">
        <f t="shared" si="687"/>
        <v>0</v>
      </c>
      <c r="L9646" s="5">
        <f t="shared" si="689"/>
        <v>0</v>
      </c>
      <c r="M9646" s="4"/>
      <c r="N9646" s="4"/>
      <c r="O9646" s="5"/>
      <c r="P9646" s="5"/>
      <c r="Q9646" s="21">
        <f t="shared" si="690"/>
        <v>0</v>
      </c>
      <c r="R9646" s="21">
        <f t="shared" si="688"/>
        <v>0</v>
      </c>
      <c r="S9646" s="5">
        <f t="shared" si="691"/>
        <v>70007.077158325032</v>
      </c>
      <c r="T9646" cm="1">
        <f t="array" ref="T9646">IF(OR(B9646="MAL ALIMI", B9646="ÜRETİM GİRİŞ"), MIN(I9646, MAX(0, I9646 + SUM(SUMIFS($I$1:I9645, $C$1:C9645, C9646, $B$1:B9645, {"MAL ALIMI","ÜRETİM GİRİŞ"})) - VLOOKUP(C9646, 'STOK RAPORU'!$C$2:$I$1000, 4, 0))), 0)</f>
        <v>0</v>
      </c>
      <c r="U9646" s="22">
        <f t="shared" si="684"/>
        <v>0</v>
      </c>
      <c r="V9646">
        <f t="shared" si="685"/>
        <v>0</v>
      </c>
      <c r="W9646" s="22">
        <f t="shared" si="686"/>
        <v>0</v>
      </c>
    </row>
    <row r="9647" spans="1:23" hidden="1" x14ac:dyDescent="0.25">
      <c r="A9647" s="3"/>
      <c r="B9647" s="4"/>
      <c r="C9647" s="4"/>
      <c r="D9647" s="4"/>
      <c r="E9647" s="4"/>
      <c r="F9647" s="4"/>
      <c r="G9647" s="4"/>
      <c r="H9647" s="4"/>
      <c r="I9647" s="4"/>
      <c r="J9647" s="21">
        <f>IFERROR(VLOOKUP(C9647,'STOK KARTLARI'!$C$2:$K$2150,8,0),0)</f>
        <v>0</v>
      </c>
      <c r="K9647" s="21">
        <f t="shared" si="687"/>
        <v>0</v>
      </c>
      <c r="L9647" s="5">
        <f t="shared" si="689"/>
        <v>0</v>
      </c>
      <c r="M9647" s="4"/>
      <c r="N9647" s="4"/>
      <c r="O9647" s="5"/>
      <c r="P9647" s="5"/>
      <c r="Q9647" s="21">
        <f t="shared" si="690"/>
        <v>0</v>
      </c>
      <c r="R9647" s="21">
        <f t="shared" si="688"/>
        <v>0</v>
      </c>
      <c r="S9647" s="5">
        <f t="shared" si="691"/>
        <v>70007.077158325032</v>
      </c>
      <c r="T9647" cm="1">
        <f t="array" ref="T9647">IF(OR(B9647="MAL ALIMI", B9647="ÜRETİM GİRİŞ"), MIN(I9647, MAX(0, I9647 + SUM(SUMIFS($I$1:I9646, $C$1:C9646, C9647, $B$1:B9646, {"MAL ALIMI","ÜRETİM GİRİŞ"})) - VLOOKUP(C9647, 'STOK RAPORU'!$C$2:$I$1000, 4, 0))), 0)</f>
        <v>0</v>
      </c>
      <c r="U9647" s="22">
        <f t="shared" ref="U9647:U9710" si="692">T9647*J9647</f>
        <v>0</v>
      </c>
      <c r="V9647">
        <f t="shared" ref="V9647:V9710" si="693">IF(OR(B9647="MAL ALIMI", B9647="ÜRETİM GİRİŞ"), I9647 * J9647, 0)</f>
        <v>0</v>
      </c>
      <c r="W9647" s="22">
        <f t="shared" ref="W9647:W9710" si="694">V9647-U9647</f>
        <v>0</v>
      </c>
    </row>
    <row r="9648" spans="1:23" hidden="1" x14ac:dyDescent="0.25">
      <c r="A9648" s="4"/>
      <c r="B9648" s="4"/>
      <c r="C9648" s="4"/>
      <c r="D9648" s="4"/>
      <c r="E9648" s="4"/>
      <c r="F9648" s="4"/>
      <c r="G9648" s="4"/>
      <c r="H9648" s="4"/>
      <c r="I9648" s="4"/>
      <c r="J9648" s="21">
        <f>IFERROR(VLOOKUP(C9648,'STOK KARTLARI'!$C$2:$K$2150,8,0),0)</f>
        <v>0</v>
      </c>
      <c r="K9648" s="21">
        <f t="shared" si="687"/>
        <v>0</v>
      </c>
      <c r="L9648" s="5">
        <f t="shared" si="689"/>
        <v>0</v>
      </c>
      <c r="M9648" s="4"/>
      <c r="N9648" s="4"/>
      <c r="O9648" s="5"/>
      <c r="P9648" s="5"/>
      <c r="Q9648" s="21">
        <f t="shared" si="690"/>
        <v>0</v>
      </c>
      <c r="R9648" s="21">
        <f t="shared" si="688"/>
        <v>0</v>
      </c>
      <c r="S9648" s="5">
        <f t="shared" si="691"/>
        <v>70007.077158325032</v>
      </c>
      <c r="T9648" cm="1">
        <f t="array" ref="T9648">IF(OR(B9648="MAL ALIMI", B9648="ÜRETİM GİRİŞ"), MIN(I9648, MAX(0, I9648 + SUM(SUMIFS($I$1:I9647, $C$1:C9647, C9648, $B$1:B9647, {"MAL ALIMI","ÜRETİM GİRİŞ"})) - VLOOKUP(C9648, 'STOK RAPORU'!$C$2:$I$1000, 4, 0))), 0)</f>
        <v>0</v>
      </c>
      <c r="U9648" s="22">
        <f t="shared" si="692"/>
        <v>0</v>
      </c>
      <c r="V9648">
        <f t="shared" si="693"/>
        <v>0</v>
      </c>
      <c r="W9648" s="22">
        <f t="shared" si="694"/>
        <v>0</v>
      </c>
    </row>
    <row r="9649" spans="1:23" hidden="1" x14ac:dyDescent="0.25">
      <c r="A9649" s="4"/>
      <c r="B9649" s="4"/>
      <c r="C9649" s="4"/>
      <c r="D9649" s="4"/>
      <c r="E9649" s="4"/>
      <c r="F9649" s="4"/>
      <c r="G9649" s="4"/>
      <c r="H9649" s="4"/>
      <c r="I9649" s="4"/>
      <c r="J9649" s="21">
        <f>IFERROR(VLOOKUP(C9649,'STOK KARTLARI'!$C$2:$K$2150,8,0),0)</f>
        <v>0</v>
      </c>
      <c r="K9649" s="21">
        <f t="shared" si="687"/>
        <v>0</v>
      </c>
      <c r="L9649" s="5">
        <f t="shared" si="689"/>
        <v>0</v>
      </c>
      <c r="M9649" s="4"/>
      <c r="N9649" s="4"/>
      <c r="O9649" s="5"/>
      <c r="P9649" s="5"/>
      <c r="Q9649" s="21">
        <f t="shared" si="690"/>
        <v>0</v>
      </c>
      <c r="R9649" s="21">
        <f t="shared" si="688"/>
        <v>0</v>
      </c>
      <c r="S9649" s="5">
        <f t="shared" si="691"/>
        <v>70007.077158325032</v>
      </c>
      <c r="T9649" cm="1">
        <f t="array" ref="T9649">IF(OR(B9649="MAL ALIMI", B9649="ÜRETİM GİRİŞ"), MIN(I9649, MAX(0, I9649 + SUM(SUMIFS($I$1:I9648, $C$1:C9648, C9649, $B$1:B9648, {"MAL ALIMI","ÜRETİM GİRİŞ"})) - VLOOKUP(C9649, 'STOK RAPORU'!$C$2:$I$1000, 4, 0))), 0)</f>
        <v>0</v>
      </c>
      <c r="U9649" s="22">
        <f t="shared" si="692"/>
        <v>0</v>
      </c>
      <c r="V9649">
        <f t="shared" si="693"/>
        <v>0</v>
      </c>
      <c r="W9649" s="22">
        <f t="shared" si="694"/>
        <v>0</v>
      </c>
    </row>
    <row r="9650" spans="1:23" hidden="1" x14ac:dyDescent="0.25">
      <c r="A9650" s="4"/>
      <c r="B9650" s="4"/>
      <c r="C9650" s="4"/>
      <c r="D9650" s="4"/>
      <c r="E9650" s="4"/>
      <c r="F9650" s="4"/>
      <c r="G9650" s="4"/>
      <c r="H9650" s="4"/>
      <c r="I9650" s="4"/>
      <c r="J9650" s="21">
        <f>IFERROR(VLOOKUP(C9650,'STOK KARTLARI'!$C$2:$K$2150,8,0),0)</f>
        <v>0</v>
      </c>
      <c r="K9650" s="21">
        <f t="shared" si="687"/>
        <v>0</v>
      </c>
      <c r="L9650" s="5">
        <f t="shared" si="689"/>
        <v>0</v>
      </c>
      <c r="M9650" s="4"/>
      <c r="N9650" s="4"/>
      <c r="O9650" s="5"/>
      <c r="P9650" s="5"/>
      <c r="Q9650" s="21">
        <f t="shared" si="690"/>
        <v>0</v>
      </c>
      <c r="R9650" s="21">
        <f t="shared" si="688"/>
        <v>0</v>
      </c>
      <c r="S9650" s="5">
        <f t="shared" si="691"/>
        <v>70007.077158325032</v>
      </c>
      <c r="T9650" cm="1">
        <f t="array" ref="T9650">IF(OR(B9650="MAL ALIMI", B9650="ÜRETİM GİRİŞ"), MIN(I9650, MAX(0, I9650 + SUM(SUMIFS($I$1:I9649, $C$1:C9649, C9650, $B$1:B9649, {"MAL ALIMI","ÜRETİM GİRİŞ"})) - VLOOKUP(C9650, 'STOK RAPORU'!$C$2:$I$1000, 4, 0))), 0)</f>
        <v>0</v>
      </c>
      <c r="U9650" s="22">
        <f t="shared" si="692"/>
        <v>0</v>
      </c>
      <c r="V9650">
        <f t="shared" si="693"/>
        <v>0</v>
      </c>
      <c r="W9650" s="22">
        <f t="shared" si="694"/>
        <v>0</v>
      </c>
    </row>
    <row r="9651" spans="1:23" hidden="1" x14ac:dyDescent="0.25">
      <c r="A9651" s="4"/>
      <c r="B9651" s="4"/>
      <c r="C9651" s="4"/>
      <c r="D9651" s="4"/>
      <c r="E9651" s="4"/>
      <c r="F9651" s="4"/>
      <c r="G9651" s="4"/>
      <c r="H9651" s="4"/>
      <c r="I9651" s="4"/>
      <c r="J9651" s="21">
        <f>IFERROR(VLOOKUP(C9651,'STOK KARTLARI'!$C$2:$K$2150,8,0),0)</f>
        <v>0</v>
      </c>
      <c r="K9651" s="21">
        <f t="shared" ref="K9651:K9714" si="695">IF(AND(B9651="MAL SATIŞI", H9651="POS"),I9651*J9651,0)</f>
        <v>0</v>
      </c>
      <c r="L9651" s="5">
        <f t="shared" si="689"/>
        <v>0</v>
      </c>
      <c r="M9651" s="4"/>
      <c r="N9651" s="4"/>
      <c r="O9651" s="5"/>
      <c r="P9651" s="5"/>
      <c r="Q9651" s="21">
        <f t="shared" si="690"/>
        <v>0</v>
      </c>
      <c r="R9651" s="21">
        <f t="shared" ref="R9651:R9714" si="696">IF(AND(E9651="", B9651&lt;&gt;"MAL SATIŞI"),I9651*J9651,0)</f>
        <v>0</v>
      </c>
      <c r="S9651" s="5">
        <f t="shared" si="691"/>
        <v>70007.077158325032</v>
      </c>
      <c r="T9651" cm="1">
        <f t="array" ref="T9651">IF(OR(B9651="MAL ALIMI", B9651="ÜRETİM GİRİŞ"), MIN(I9651, MAX(0, I9651 + SUM(SUMIFS($I$1:I9650, $C$1:C9650, C9651, $B$1:B9650, {"MAL ALIMI","ÜRETİM GİRİŞ"})) - VLOOKUP(C9651, 'STOK RAPORU'!$C$2:$I$1000, 4, 0))), 0)</f>
        <v>0</v>
      </c>
      <c r="U9651" s="22">
        <f t="shared" si="692"/>
        <v>0</v>
      </c>
      <c r="V9651">
        <f t="shared" si="693"/>
        <v>0</v>
      </c>
      <c r="W9651" s="22">
        <f t="shared" si="694"/>
        <v>0</v>
      </c>
    </row>
    <row r="9652" spans="1:23" hidden="1" x14ac:dyDescent="0.25">
      <c r="A9652" s="4"/>
      <c r="B9652" s="4"/>
      <c r="C9652" s="4"/>
      <c r="D9652" s="4"/>
      <c r="E9652" s="4"/>
      <c r="F9652" s="4"/>
      <c r="G9652" s="4"/>
      <c r="H9652" s="4"/>
      <c r="I9652" s="4"/>
      <c r="J9652" s="21">
        <f>IFERROR(VLOOKUP(C9652,'STOK KARTLARI'!$C$2:$K$2150,8,0),0)</f>
        <v>0</v>
      </c>
      <c r="K9652" s="21">
        <f t="shared" si="695"/>
        <v>0</v>
      </c>
      <c r="L9652" s="5">
        <f t="shared" ref="L9652:L9715" si="697">IF(OR(E9652="", H9652="POS"),0,I9652*J9652)</f>
        <v>0</v>
      </c>
      <c r="M9652" s="4"/>
      <c r="N9652" s="4"/>
      <c r="O9652" s="5"/>
      <c r="P9652" s="5"/>
      <c r="Q9652" s="21">
        <f t="shared" ref="Q9652:Q9715" si="698">IF(AND(E9652="", B9652="MAL SATIŞI", H9652="NAKİT"),I9652*J9652,0)</f>
        <v>0</v>
      </c>
      <c r="R9652" s="21">
        <f t="shared" si="696"/>
        <v>0</v>
      </c>
      <c r="S9652" s="5">
        <f t="shared" si="691"/>
        <v>70007.077158325032</v>
      </c>
      <c r="T9652" cm="1">
        <f t="array" ref="T9652">IF(OR(B9652="MAL ALIMI", B9652="ÜRETİM GİRİŞ"), MIN(I9652, MAX(0, I9652 + SUM(SUMIFS($I$1:I9651, $C$1:C9651, C9652, $B$1:B9651, {"MAL ALIMI","ÜRETİM GİRİŞ"})) - VLOOKUP(C9652, 'STOK RAPORU'!$C$2:$I$1000, 4, 0))), 0)</f>
        <v>0</v>
      </c>
      <c r="U9652" s="22">
        <f t="shared" si="692"/>
        <v>0</v>
      </c>
      <c r="V9652">
        <f t="shared" si="693"/>
        <v>0</v>
      </c>
      <c r="W9652" s="22">
        <f t="shared" si="694"/>
        <v>0</v>
      </c>
    </row>
    <row r="9653" spans="1:23" hidden="1" x14ac:dyDescent="0.25">
      <c r="A9653" s="4"/>
      <c r="B9653" s="4"/>
      <c r="C9653" s="4"/>
      <c r="D9653" s="4"/>
      <c r="E9653" s="4"/>
      <c r="F9653" s="4"/>
      <c r="G9653" s="4"/>
      <c r="H9653" s="4"/>
      <c r="I9653" s="4"/>
      <c r="J9653" s="21">
        <f>IFERROR(VLOOKUP(C9653,'STOK KARTLARI'!$C$2:$K$2150,8,0),0)</f>
        <v>0</v>
      </c>
      <c r="K9653" s="21">
        <f t="shared" si="695"/>
        <v>0</v>
      </c>
      <c r="L9653" s="5">
        <f t="shared" si="697"/>
        <v>0</v>
      </c>
      <c r="M9653" s="4"/>
      <c r="N9653" s="4"/>
      <c r="O9653" s="5"/>
      <c r="P9653" s="5"/>
      <c r="Q9653" s="21">
        <f t="shared" si="698"/>
        <v>0</v>
      </c>
      <c r="R9653" s="21">
        <f t="shared" si="696"/>
        <v>0</v>
      </c>
      <c r="S9653" s="5">
        <f t="shared" si="691"/>
        <v>70007.077158325032</v>
      </c>
      <c r="T9653" cm="1">
        <f t="array" ref="T9653">IF(OR(B9653="MAL ALIMI", B9653="ÜRETİM GİRİŞ"), MIN(I9653, MAX(0, I9653 + SUM(SUMIFS($I$1:I9652, $C$1:C9652, C9653, $B$1:B9652, {"MAL ALIMI","ÜRETİM GİRİŞ"})) - VLOOKUP(C9653, 'STOK RAPORU'!$C$2:$I$1000, 4, 0))), 0)</f>
        <v>0</v>
      </c>
      <c r="U9653" s="22">
        <f t="shared" si="692"/>
        <v>0</v>
      </c>
      <c r="V9653">
        <f t="shared" si="693"/>
        <v>0</v>
      </c>
      <c r="W9653" s="22">
        <f t="shared" si="694"/>
        <v>0</v>
      </c>
    </row>
    <row r="9654" spans="1:23" hidden="1" x14ac:dyDescent="0.25">
      <c r="A9654" s="3"/>
      <c r="B9654" s="4"/>
      <c r="C9654" s="4"/>
      <c r="D9654" s="4"/>
      <c r="E9654" s="4"/>
      <c r="F9654" s="4"/>
      <c r="G9654" s="4"/>
      <c r="H9654" s="4"/>
      <c r="I9654" s="4"/>
      <c r="J9654" s="21">
        <f>IFERROR(VLOOKUP(C9654,'STOK KARTLARI'!$C$2:$K$2150,8,0),0)</f>
        <v>0</v>
      </c>
      <c r="K9654" s="21">
        <f t="shared" si="695"/>
        <v>0</v>
      </c>
      <c r="L9654" s="5">
        <f t="shared" si="697"/>
        <v>0</v>
      </c>
      <c r="M9654" s="4"/>
      <c r="N9654" s="4"/>
      <c r="O9654" s="5"/>
      <c r="P9654" s="5"/>
      <c r="Q9654" s="21">
        <f t="shared" si="698"/>
        <v>0</v>
      </c>
      <c r="R9654" s="21">
        <f t="shared" si="696"/>
        <v>0</v>
      </c>
      <c r="S9654" s="5">
        <f t="shared" si="691"/>
        <v>70007.077158325032</v>
      </c>
      <c r="T9654" cm="1">
        <f t="array" ref="T9654">IF(OR(B9654="MAL ALIMI", B9654="ÜRETİM GİRİŞ"), MIN(I9654, MAX(0, I9654 + SUM(SUMIFS($I$1:I9653, $C$1:C9653, C9654, $B$1:B9653, {"MAL ALIMI","ÜRETİM GİRİŞ"})) - VLOOKUP(C9654, 'STOK RAPORU'!$C$2:$I$1000, 4, 0))), 0)</f>
        <v>0</v>
      </c>
      <c r="U9654" s="22">
        <f t="shared" si="692"/>
        <v>0</v>
      </c>
      <c r="V9654">
        <f t="shared" si="693"/>
        <v>0</v>
      </c>
      <c r="W9654" s="22">
        <f t="shared" si="694"/>
        <v>0</v>
      </c>
    </row>
    <row r="9655" spans="1:23" hidden="1" x14ac:dyDescent="0.25">
      <c r="A9655" s="4"/>
      <c r="B9655" s="4"/>
      <c r="C9655" s="4"/>
      <c r="D9655" s="4"/>
      <c r="E9655" s="4"/>
      <c r="F9655" s="4"/>
      <c r="G9655" s="4"/>
      <c r="H9655" s="4"/>
      <c r="I9655" s="4"/>
      <c r="J9655" s="21">
        <f>IFERROR(VLOOKUP(C9655,'STOK KARTLARI'!$C$2:$K$2150,8,0),0)</f>
        <v>0</v>
      </c>
      <c r="K9655" s="21">
        <f t="shared" si="695"/>
        <v>0</v>
      </c>
      <c r="L9655" s="5">
        <f t="shared" si="697"/>
        <v>0</v>
      </c>
      <c r="M9655" s="4"/>
      <c r="N9655" s="4"/>
      <c r="O9655" s="5"/>
      <c r="P9655" s="5"/>
      <c r="Q9655" s="21">
        <f t="shared" si="698"/>
        <v>0</v>
      </c>
      <c r="R9655" s="21">
        <f t="shared" si="696"/>
        <v>0</v>
      </c>
      <c r="S9655" s="5">
        <f t="shared" si="691"/>
        <v>70007.077158325032</v>
      </c>
      <c r="T9655" cm="1">
        <f t="array" ref="T9655">IF(OR(B9655="MAL ALIMI", B9655="ÜRETİM GİRİŞ"), MIN(I9655, MAX(0, I9655 + SUM(SUMIFS($I$1:I9654, $C$1:C9654, C9655, $B$1:B9654, {"MAL ALIMI","ÜRETİM GİRİŞ"})) - VLOOKUP(C9655, 'STOK RAPORU'!$C$2:$I$1000, 4, 0))), 0)</f>
        <v>0</v>
      </c>
      <c r="U9655" s="22">
        <f t="shared" si="692"/>
        <v>0</v>
      </c>
      <c r="V9655">
        <f t="shared" si="693"/>
        <v>0</v>
      </c>
      <c r="W9655" s="22">
        <f t="shared" si="694"/>
        <v>0</v>
      </c>
    </row>
    <row r="9656" spans="1:23" hidden="1" x14ac:dyDescent="0.25">
      <c r="A9656" s="4"/>
      <c r="B9656" s="4"/>
      <c r="C9656" s="4"/>
      <c r="D9656" s="4"/>
      <c r="E9656" s="4"/>
      <c r="F9656" s="4"/>
      <c r="G9656" s="4"/>
      <c r="H9656" s="4"/>
      <c r="I9656" s="4"/>
      <c r="J9656" s="21">
        <f>IFERROR(VLOOKUP(C9656,'STOK KARTLARI'!$C$2:$K$2150,8,0),0)</f>
        <v>0</v>
      </c>
      <c r="K9656" s="21">
        <f t="shared" si="695"/>
        <v>0</v>
      </c>
      <c r="L9656" s="5">
        <f t="shared" si="697"/>
        <v>0</v>
      </c>
      <c r="M9656" s="4"/>
      <c r="N9656" s="4"/>
      <c r="O9656" s="5"/>
      <c r="P9656" s="5"/>
      <c r="Q9656" s="21">
        <f t="shared" si="698"/>
        <v>0</v>
      </c>
      <c r="R9656" s="21">
        <f t="shared" si="696"/>
        <v>0</v>
      </c>
      <c r="S9656" s="5">
        <f t="shared" si="691"/>
        <v>70007.077158325032</v>
      </c>
      <c r="T9656" cm="1">
        <f t="array" ref="T9656">IF(OR(B9656="MAL ALIMI", B9656="ÜRETİM GİRİŞ"), MIN(I9656, MAX(0, I9656 + SUM(SUMIFS($I$1:I9655, $C$1:C9655, C9656, $B$1:B9655, {"MAL ALIMI","ÜRETİM GİRİŞ"})) - VLOOKUP(C9656, 'STOK RAPORU'!$C$2:$I$1000, 4, 0))), 0)</f>
        <v>0</v>
      </c>
      <c r="U9656" s="22">
        <f t="shared" si="692"/>
        <v>0</v>
      </c>
      <c r="V9656">
        <f t="shared" si="693"/>
        <v>0</v>
      </c>
      <c r="W9656" s="22">
        <f t="shared" si="694"/>
        <v>0</v>
      </c>
    </row>
    <row r="9657" spans="1:23" hidden="1" x14ac:dyDescent="0.25">
      <c r="A9657" s="4"/>
      <c r="B9657" s="4"/>
      <c r="C9657" s="4"/>
      <c r="D9657" s="4"/>
      <c r="E9657" s="4"/>
      <c r="F9657" s="4"/>
      <c r="G9657" s="4"/>
      <c r="H9657" s="4"/>
      <c r="I9657" s="4"/>
      <c r="J9657" s="21">
        <f>IFERROR(VLOOKUP(C9657,'STOK KARTLARI'!$C$2:$K$2150,8,0),0)</f>
        <v>0</v>
      </c>
      <c r="K9657" s="21">
        <f t="shared" si="695"/>
        <v>0</v>
      </c>
      <c r="L9657" s="5">
        <f t="shared" si="697"/>
        <v>0</v>
      </c>
      <c r="M9657" s="4"/>
      <c r="N9657" s="4"/>
      <c r="O9657" s="5"/>
      <c r="P9657" s="5"/>
      <c r="Q9657" s="21">
        <f t="shared" si="698"/>
        <v>0</v>
      </c>
      <c r="R9657" s="21">
        <f t="shared" si="696"/>
        <v>0</v>
      </c>
      <c r="S9657" s="5">
        <f t="shared" si="691"/>
        <v>70007.077158325032</v>
      </c>
      <c r="T9657" cm="1">
        <f t="array" ref="T9657">IF(OR(B9657="MAL ALIMI", B9657="ÜRETİM GİRİŞ"), MIN(I9657, MAX(0, I9657 + SUM(SUMIFS($I$1:I9656, $C$1:C9656, C9657, $B$1:B9656, {"MAL ALIMI","ÜRETİM GİRİŞ"})) - VLOOKUP(C9657, 'STOK RAPORU'!$C$2:$I$1000, 4, 0))), 0)</f>
        <v>0</v>
      </c>
      <c r="U9657" s="22">
        <f t="shared" si="692"/>
        <v>0</v>
      </c>
      <c r="V9657">
        <f t="shared" si="693"/>
        <v>0</v>
      </c>
      <c r="W9657" s="22">
        <f t="shared" si="694"/>
        <v>0</v>
      </c>
    </row>
    <row r="9658" spans="1:23" hidden="1" x14ac:dyDescent="0.25">
      <c r="A9658" s="4"/>
      <c r="B9658" s="4"/>
      <c r="C9658" s="4"/>
      <c r="D9658" s="4"/>
      <c r="E9658" s="4"/>
      <c r="F9658" s="4"/>
      <c r="G9658" s="4"/>
      <c r="H9658" s="4"/>
      <c r="I9658" s="4"/>
      <c r="J9658" s="21">
        <f>IFERROR(VLOOKUP(C9658,'STOK KARTLARI'!$C$2:$K$2150,8,0),0)</f>
        <v>0</v>
      </c>
      <c r="K9658" s="21">
        <f t="shared" si="695"/>
        <v>0</v>
      </c>
      <c r="L9658" s="5">
        <f t="shared" si="697"/>
        <v>0</v>
      </c>
      <c r="M9658" s="4"/>
      <c r="N9658" s="4"/>
      <c r="O9658" s="5"/>
      <c r="P9658" s="5"/>
      <c r="Q9658" s="21">
        <f t="shared" si="698"/>
        <v>0</v>
      </c>
      <c r="R9658" s="21">
        <f t="shared" si="696"/>
        <v>0</v>
      </c>
      <c r="S9658" s="5">
        <f t="shared" si="691"/>
        <v>70007.077158325032</v>
      </c>
      <c r="T9658" cm="1">
        <f t="array" ref="T9658">IF(OR(B9658="MAL ALIMI", B9658="ÜRETİM GİRİŞ"), MIN(I9658, MAX(0, I9658 + SUM(SUMIFS($I$1:I9657, $C$1:C9657, C9658, $B$1:B9657, {"MAL ALIMI","ÜRETİM GİRİŞ"})) - VLOOKUP(C9658, 'STOK RAPORU'!$C$2:$I$1000, 4, 0))), 0)</f>
        <v>0</v>
      </c>
      <c r="U9658" s="22">
        <f t="shared" si="692"/>
        <v>0</v>
      </c>
      <c r="V9658">
        <f t="shared" si="693"/>
        <v>0</v>
      </c>
      <c r="W9658" s="22">
        <f t="shared" si="694"/>
        <v>0</v>
      </c>
    </row>
    <row r="9659" spans="1:23" hidden="1" x14ac:dyDescent="0.25">
      <c r="A9659" s="4"/>
      <c r="B9659" s="4"/>
      <c r="C9659" s="4"/>
      <c r="D9659" s="4"/>
      <c r="E9659" s="4"/>
      <c r="F9659" s="4"/>
      <c r="G9659" s="4"/>
      <c r="H9659" s="4"/>
      <c r="I9659" s="4"/>
      <c r="J9659" s="21">
        <f>IFERROR(VLOOKUP(C9659,'STOK KARTLARI'!$C$2:$K$2150,8,0),0)</f>
        <v>0</v>
      </c>
      <c r="K9659" s="21">
        <f t="shared" si="695"/>
        <v>0</v>
      </c>
      <c r="L9659" s="5">
        <f t="shared" si="697"/>
        <v>0</v>
      </c>
      <c r="M9659" s="4"/>
      <c r="N9659" s="4"/>
      <c r="O9659" s="5"/>
      <c r="P9659" s="5"/>
      <c r="Q9659" s="21">
        <f t="shared" si="698"/>
        <v>0</v>
      </c>
      <c r="R9659" s="21">
        <f t="shared" si="696"/>
        <v>0</v>
      </c>
      <c r="S9659" s="5">
        <f t="shared" si="691"/>
        <v>70007.077158325032</v>
      </c>
      <c r="T9659" cm="1">
        <f t="array" ref="T9659">IF(OR(B9659="MAL ALIMI", B9659="ÜRETİM GİRİŞ"), MIN(I9659, MAX(0, I9659 + SUM(SUMIFS($I$1:I9658, $C$1:C9658, C9659, $B$1:B9658, {"MAL ALIMI","ÜRETİM GİRİŞ"})) - VLOOKUP(C9659, 'STOK RAPORU'!$C$2:$I$1000, 4, 0))), 0)</f>
        <v>0</v>
      </c>
      <c r="U9659" s="22">
        <f t="shared" si="692"/>
        <v>0</v>
      </c>
      <c r="V9659">
        <f t="shared" si="693"/>
        <v>0</v>
      </c>
      <c r="W9659" s="22">
        <f t="shared" si="694"/>
        <v>0</v>
      </c>
    </row>
    <row r="9660" spans="1:23" hidden="1" x14ac:dyDescent="0.25">
      <c r="A9660" s="4"/>
      <c r="B9660" s="4"/>
      <c r="C9660" s="4"/>
      <c r="D9660" s="4"/>
      <c r="E9660" s="4"/>
      <c r="F9660" s="4"/>
      <c r="G9660" s="4"/>
      <c r="H9660" s="4"/>
      <c r="I9660" s="4"/>
      <c r="J9660" s="21">
        <f>IFERROR(VLOOKUP(C9660,'STOK KARTLARI'!$C$2:$K$2150,8,0),0)</f>
        <v>0</v>
      </c>
      <c r="K9660" s="21">
        <f t="shared" si="695"/>
        <v>0</v>
      </c>
      <c r="L9660" s="5">
        <f t="shared" si="697"/>
        <v>0</v>
      </c>
      <c r="M9660" s="4"/>
      <c r="N9660" s="4"/>
      <c r="O9660" s="5"/>
      <c r="P9660" s="5"/>
      <c r="Q9660" s="21">
        <f t="shared" si="698"/>
        <v>0</v>
      </c>
      <c r="R9660" s="21">
        <f t="shared" si="696"/>
        <v>0</v>
      </c>
      <c r="S9660" s="5">
        <f t="shared" si="691"/>
        <v>70007.077158325032</v>
      </c>
      <c r="T9660" cm="1">
        <f t="array" ref="T9660">IF(OR(B9660="MAL ALIMI", B9660="ÜRETİM GİRİŞ"), MIN(I9660, MAX(0, I9660 + SUM(SUMIFS($I$1:I9659, $C$1:C9659, C9660, $B$1:B9659, {"MAL ALIMI","ÜRETİM GİRİŞ"})) - VLOOKUP(C9660, 'STOK RAPORU'!$C$2:$I$1000, 4, 0))), 0)</f>
        <v>0</v>
      </c>
      <c r="U9660" s="22">
        <f t="shared" si="692"/>
        <v>0</v>
      </c>
      <c r="V9660">
        <f t="shared" si="693"/>
        <v>0</v>
      </c>
      <c r="W9660" s="22">
        <f t="shared" si="694"/>
        <v>0</v>
      </c>
    </row>
    <row r="9661" spans="1:23" hidden="1" x14ac:dyDescent="0.25">
      <c r="A9661" s="3"/>
      <c r="B9661" s="4"/>
      <c r="C9661" s="4"/>
      <c r="D9661" s="4"/>
      <c r="E9661" s="4"/>
      <c r="F9661" s="4"/>
      <c r="G9661" s="4"/>
      <c r="H9661" s="4"/>
      <c r="I9661" s="4"/>
      <c r="J9661" s="21">
        <f>IFERROR(VLOOKUP(C9661,'STOK KARTLARI'!$C$2:$K$2150,8,0),0)</f>
        <v>0</v>
      </c>
      <c r="K9661" s="21">
        <f t="shared" si="695"/>
        <v>0</v>
      </c>
      <c r="L9661" s="5">
        <f t="shared" si="697"/>
        <v>0</v>
      </c>
      <c r="M9661" s="4"/>
      <c r="N9661" s="4"/>
      <c r="O9661" s="5"/>
      <c r="P9661" s="5"/>
      <c r="Q9661" s="21">
        <f t="shared" si="698"/>
        <v>0</v>
      </c>
      <c r="R9661" s="21">
        <f t="shared" si="696"/>
        <v>0</v>
      </c>
      <c r="S9661" s="5">
        <f t="shared" si="691"/>
        <v>70007.077158325032</v>
      </c>
      <c r="T9661" cm="1">
        <f t="array" ref="T9661">IF(OR(B9661="MAL ALIMI", B9661="ÜRETİM GİRİŞ"), MIN(I9661, MAX(0, I9661 + SUM(SUMIFS($I$1:I9660, $C$1:C9660, C9661, $B$1:B9660, {"MAL ALIMI","ÜRETİM GİRİŞ"})) - VLOOKUP(C9661, 'STOK RAPORU'!$C$2:$I$1000, 4, 0))), 0)</f>
        <v>0</v>
      </c>
      <c r="U9661" s="22">
        <f t="shared" si="692"/>
        <v>0</v>
      </c>
      <c r="V9661">
        <f t="shared" si="693"/>
        <v>0</v>
      </c>
      <c r="W9661" s="22">
        <f t="shared" si="694"/>
        <v>0</v>
      </c>
    </row>
    <row r="9662" spans="1:23" hidden="1" x14ac:dyDescent="0.25">
      <c r="A9662" s="4"/>
      <c r="B9662" s="4"/>
      <c r="C9662" s="4"/>
      <c r="D9662" s="4"/>
      <c r="E9662" s="4"/>
      <c r="F9662" s="4"/>
      <c r="G9662" s="4"/>
      <c r="H9662" s="4"/>
      <c r="I9662" s="4"/>
      <c r="J9662" s="21">
        <f>IFERROR(VLOOKUP(C9662,'STOK KARTLARI'!$C$2:$K$2150,8,0),0)</f>
        <v>0</v>
      </c>
      <c r="K9662" s="21">
        <f t="shared" si="695"/>
        <v>0</v>
      </c>
      <c r="L9662" s="5">
        <f t="shared" si="697"/>
        <v>0</v>
      </c>
      <c r="M9662" s="4"/>
      <c r="N9662" s="4"/>
      <c r="O9662" s="5"/>
      <c r="P9662" s="5"/>
      <c r="Q9662" s="21">
        <f t="shared" si="698"/>
        <v>0</v>
      </c>
      <c r="R9662" s="21">
        <f t="shared" si="696"/>
        <v>0</v>
      </c>
      <c r="S9662" s="5">
        <f t="shared" si="691"/>
        <v>70007.077158325032</v>
      </c>
      <c r="T9662" cm="1">
        <f t="array" ref="T9662">IF(OR(B9662="MAL ALIMI", B9662="ÜRETİM GİRİŞ"), MIN(I9662, MAX(0, I9662 + SUM(SUMIFS($I$1:I9661, $C$1:C9661, C9662, $B$1:B9661, {"MAL ALIMI","ÜRETİM GİRİŞ"})) - VLOOKUP(C9662, 'STOK RAPORU'!$C$2:$I$1000, 4, 0))), 0)</f>
        <v>0</v>
      </c>
      <c r="U9662" s="22">
        <f t="shared" si="692"/>
        <v>0</v>
      </c>
      <c r="V9662">
        <f t="shared" si="693"/>
        <v>0</v>
      </c>
      <c r="W9662" s="22">
        <f t="shared" si="694"/>
        <v>0</v>
      </c>
    </row>
    <row r="9663" spans="1:23" hidden="1" x14ac:dyDescent="0.25">
      <c r="A9663" s="4"/>
      <c r="B9663" s="4"/>
      <c r="C9663" s="4"/>
      <c r="D9663" s="4"/>
      <c r="E9663" s="4"/>
      <c r="F9663" s="4"/>
      <c r="G9663" s="4"/>
      <c r="H9663" s="4"/>
      <c r="I9663" s="4"/>
      <c r="J9663" s="21">
        <f>IFERROR(VLOOKUP(C9663,'STOK KARTLARI'!$C$2:$K$2150,8,0),0)</f>
        <v>0</v>
      </c>
      <c r="K9663" s="21">
        <f t="shared" si="695"/>
        <v>0</v>
      </c>
      <c r="L9663" s="5">
        <f t="shared" si="697"/>
        <v>0</v>
      </c>
      <c r="M9663" s="4"/>
      <c r="N9663" s="4"/>
      <c r="O9663" s="5"/>
      <c r="P9663" s="5"/>
      <c r="Q9663" s="21">
        <f t="shared" si="698"/>
        <v>0</v>
      </c>
      <c r="R9663" s="21">
        <f t="shared" si="696"/>
        <v>0</v>
      </c>
      <c r="S9663" s="5">
        <f t="shared" si="691"/>
        <v>70007.077158325032</v>
      </c>
      <c r="T9663" cm="1">
        <f t="array" ref="T9663">IF(OR(B9663="MAL ALIMI", B9663="ÜRETİM GİRİŞ"), MIN(I9663, MAX(0, I9663 + SUM(SUMIFS($I$1:I9662, $C$1:C9662, C9663, $B$1:B9662, {"MAL ALIMI","ÜRETİM GİRİŞ"})) - VLOOKUP(C9663, 'STOK RAPORU'!$C$2:$I$1000, 4, 0))), 0)</f>
        <v>0</v>
      </c>
      <c r="U9663" s="22">
        <f t="shared" si="692"/>
        <v>0</v>
      </c>
      <c r="V9663">
        <f t="shared" si="693"/>
        <v>0</v>
      </c>
      <c r="W9663" s="22">
        <f t="shared" si="694"/>
        <v>0</v>
      </c>
    </row>
    <row r="9664" spans="1:23" hidden="1" x14ac:dyDescent="0.25">
      <c r="A9664" s="4"/>
      <c r="B9664" s="4"/>
      <c r="C9664" s="4"/>
      <c r="D9664" s="4"/>
      <c r="E9664" s="4"/>
      <c r="F9664" s="4"/>
      <c r="G9664" s="4"/>
      <c r="H9664" s="4"/>
      <c r="I9664" s="4"/>
      <c r="J9664" s="21">
        <f>IFERROR(VLOOKUP(C9664,'STOK KARTLARI'!$C$2:$K$2150,8,0),0)</f>
        <v>0</v>
      </c>
      <c r="K9664" s="21">
        <f t="shared" si="695"/>
        <v>0</v>
      </c>
      <c r="L9664" s="5">
        <f t="shared" si="697"/>
        <v>0</v>
      </c>
      <c r="M9664" s="4"/>
      <c r="N9664" s="4"/>
      <c r="O9664" s="5"/>
      <c r="P9664" s="5"/>
      <c r="Q9664" s="21">
        <f t="shared" si="698"/>
        <v>0</v>
      </c>
      <c r="R9664" s="21">
        <f t="shared" si="696"/>
        <v>0</v>
      </c>
      <c r="S9664" s="5">
        <f t="shared" si="691"/>
        <v>70007.077158325032</v>
      </c>
      <c r="T9664" cm="1">
        <f t="array" ref="T9664">IF(OR(B9664="MAL ALIMI", B9664="ÜRETİM GİRİŞ"), MIN(I9664, MAX(0, I9664 + SUM(SUMIFS($I$1:I9663, $C$1:C9663, C9664, $B$1:B9663, {"MAL ALIMI","ÜRETİM GİRİŞ"})) - VLOOKUP(C9664, 'STOK RAPORU'!$C$2:$I$1000, 4, 0))), 0)</f>
        <v>0</v>
      </c>
      <c r="U9664" s="22">
        <f t="shared" si="692"/>
        <v>0</v>
      </c>
      <c r="V9664">
        <f t="shared" si="693"/>
        <v>0</v>
      </c>
      <c r="W9664" s="22">
        <f t="shared" si="694"/>
        <v>0</v>
      </c>
    </row>
    <row r="9665" spans="1:23" hidden="1" x14ac:dyDescent="0.25">
      <c r="A9665" s="4"/>
      <c r="B9665" s="4"/>
      <c r="C9665" s="4"/>
      <c r="D9665" s="4"/>
      <c r="E9665" s="4"/>
      <c r="F9665" s="4"/>
      <c r="G9665" s="4"/>
      <c r="H9665" s="4"/>
      <c r="I9665" s="4"/>
      <c r="J9665" s="21">
        <f>IFERROR(VLOOKUP(C9665,'STOK KARTLARI'!$C$2:$K$2150,8,0),0)</f>
        <v>0</v>
      </c>
      <c r="K9665" s="21">
        <f t="shared" si="695"/>
        <v>0</v>
      </c>
      <c r="L9665" s="5">
        <f t="shared" si="697"/>
        <v>0</v>
      </c>
      <c r="M9665" s="4"/>
      <c r="N9665" s="4"/>
      <c r="O9665" s="5"/>
      <c r="P9665" s="5"/>
      <c r="Q9665" s="21">
        <f t="shared" si="698"/>
        <v>0</v>
      </c>
      <c r="R9665" s="21">
        <f t="shared" si="696"/>
        <v>0</v>
      </c>
      <c r="S9665" s="5">
        <f t="shared" si="691"/>
        <v>70007.077158325032</v>
      </c>
      <c r="T9665" cm="1">
        <f t="array" ref="T9665">IF(OR(B9665="MAL ALIMI", B9665="ÜRETİM GİRİŞ"), MIN(I9665, MAX(0, I9665 + SUM(SUMIFS($I$1:I9664, $C$1:C9664, C9665, $B$1:B9664, {"MAL ALIMI","ÜRETİM GİRİŞ"})) - VLOOKUP(C9665, 'STOK RAPORU'!$C$2:$I$1000, 4, 0))), 0)</f>
        <v>0</v>
      </c>
      <c r="U9665" s="22">
        <f t="shared" si="692"/>
        <v>0</v>
      </c>
      <c r="V9665">
        <f t="shared" si="693"/>
        <v>0</v>
      </c>
      <c r="W9665" s="22">
        <f t="shared" si="694"/>
        <v>0</v>
      </c>
    </row>
    <row r="9666" spans="1:23" hidden="1" x14ac:dyDescent="0.25">
      <c r="A9666" s="4"/>
      <c r="B9666" s="4"/>
      <c r="C9666" s="4"/>
      <c r="D9666" s="4"/>
      <c r="E9666" s="4"/>
      <c r="F9666" s="4"/>
      <c r="G9666" s="4"/>
      <c r="H9666" s="4"/>
      <c r="I9666" s="4"/>
      <c r="J9666" s="21">
        <f>IFERROR(VLOOKUP(C9666,'STOK KARTLARI'!$C$2:$K$2150,8,0),0)</f>
        <v>0</v>
      </c>
      <c r="K9666" s="21">
        <f t="shared" si="695"/>
        <v>0</v>
      </c>
      <c r="L9666" s="5">
        <f t="shared" si="697"/>
        <v>0</v>
      </c>
      <c r="M9666" s="4"/>
      <c r="N9666" s="4"/>
      <c r="O9666" s="5"/>
      <c r="P9666" s="5"/>
      <c r="Q9666" s="21">
        <f t="shared" si="698"/>
        <v>0</v>
      </c>
      <c r="R9666" s="21">
        <f t="shared" si="696"/>
        <v>0</v>
      </c>
      <c r="S9666" s="5">
        <f t="shared" si="691"/>
        <v>70007.077158325032</v>
      </c>
      <c r="T9666" cm="1">
        <f t="array" ref="T9666">IF(OR(B9666="MAL ALIMI", B9666="ÜRETİM GİRİŞ"), MIN(I9666, MAX(0, I9666 + SUM(SUMIFS($I$1:I9665, $C$1:C9665, C9666, $B$1:B9665, {"MAL ALIMI","ÜRETİM GİRİŞ"})) - VLOOKUP(C9666, 'STOK RAPORU'!$C$2:$I$1000, 4, 0))), 0)</f>
        <v>0</v>
      </c>
      <c r="U9666" s="22">
        <f t="shared" si="692"/>
        <v>0</v>
      </c>
      <c r="V9666">
        <f t="shared" si="693"/>
        <v>0</v>
      </c>
      <c r="W9666" s="22">
        <f t="shared" si="694"/>
        <v>0</v>
      </c>
    </row>
    <row r="9667" spans="1:23" hidden="1" x14ac:dyDescent="0.25">
      <c r="A9667" s="4"/>
      <c r="B9667" s="4"/>
      <c r="C9667" s="4"/>
      <c r="D9667" s="4"/>
      <c r="E9667" s="4"/>
      <c r="F9667" s="4"/>
      <c r="G9667" s="4"/>
      <c r="H9667" s="4"/>
      <c r="I9667" s="4"/>
      <c r="J9667" s="21">
        <f>IFERROR(VLOOKUP(C9667,'STOK KARTLARI'!$C$2:$K$2150,8,0),0)</f>
        <v>0</v>
      </c>
      <c r="K9667" s="21">
        <f t="shared" si="695"/>
        <v>0</v>
      </c>
      <c r="L9667" s="5">
        <f t="shared" si="697"/>
        <v>0</v>
      </c>
      <c r="M9667" s="4"/>
      <c r="N9667" s="4"/>
      <c r="O9667" s="5"/>
      <c r="P9667" s="5"/>
      <c r="Q9667" s="21">
        <f t="shared" si="698"/>
        <v>0</v>
      </c>
      <c r="R9667" s="21">
        <f t="shared" si="696"/>
        <v>0</v>
      </c>
      <c r="S9667" s="5">
        <f t="shared" si="691"/>
        <v>70007.077158325032</v>
      </c>
      <c r="T9667" cm="1">
        <f t="array" ref="T9667">IF(OR(B9667="MAL ALIMI", B9667="ÜRETİM GİRİŞ"), MIN(I9667, MAX(0, I9667 + SUM(SUMIFS($I$1:I9666, $C$1:C9666, C9667, $B$1:B9666, {"MAL ALIMI","ÜRETİM GİRİŞ"})) - VLOOKUP(C9667, 'STOK RAPORU'!$C$2:$I$1000, 4, 0))), 0)</f>
        <v>0</v>
      </c>
      <c r="U9667" s="22">
        <f t="shared" si="692"/>
        <v>0</v>
      </c>
      <c r="V9667">
        <f t="shared" si="693"/>
        <v>0</v>
      </c>
      <c r="W9667" s="22">
        <f t="shared" si="694"/>
        <v>0</v>
      </c>
    </row>
    <row r="9668" spans="1:23" hidden="1" x14ac:dyDescent="0.25">
      <c r="A9668" s="3"/>
      <c r="B9668" s="4"/>
      <c r="C9668" s="4"/>
      <c r="D9668" s="4"/>
      <c r="E9668" s="4"/>
      <c r="F9668" s="4"/>
      <c r="G9668" s="4"/>
      <c r="H9668" s="4"/>
      <c r="I9668" s="4"/>
      <c r="J9668" s="21">
        <f>IFERROR(VLOOKUP(C9668,'STOK KARTLARI'!$C$2:$K$2150,8,0),0)</f>
        <v>0</v>
      </c>
      <c r="K9668" s="21">
        <f t="shared" si="695"/>
        <v>0</v>
      </c>
      <c r="L9668" s="5">
        <f t="shared" si="697"/>
        <v>0</v>
      </c>
      <c r="M9668" s="4"/>
      <c r="N9668" s="4"/>
      <c r="O9668" s="5"/>
      <c r="P9668" s="5"/>
      <c r="Q9668" s="21">
        <f t="shared" si="698"/>
        <v>0</v>
      </c>
      <c r="R9668" s="21">
        <f t="shared" si="696"/>
        <v>0</v>
      </c>
      <c r="S9668" s="5">
        <f t="shared" si="691"/>
        <v>70007.077158325032</v>
      </c>
      <c r="T9668" cm="1">
        <f t="array" ref="T9668">IF(OR(B9668="MAL ALIMI", B9668="ÜRETİM GİRİŞ"), MIN(I9668, MAX(0, I9668 + SUM(SUMIFS($I$1:I9667, $C$1:C9667, C9668, $B$1:B9667, {"MAL ALIMI","ÜRETİM GİRİŞ"})) - VLOOKUP(C9668, 'STOK RAPORU'!$C$2:$I$1000, 4, 0))), 0)</f>
        <v>0</v>
      </c>
      <c r="U9668" s="22">
        <f t="shared" si="692"/>
        <v>0</v>
      </c>
      <c r="V9668">
        <f t="shared" si="693"/>
        <v>0</v>
      </c>
      <c r="W9668" s="22">
        <f t="shared" si="694"/>
        <v>0</v>
      </c>
    </row>
    <row r="9669" spans="1:23" hidden="1" x14ac:dyDescent="0.25">
      <c r="A9669" s="4"/>
      <c r="B9669" s="4"/>
      <c r="C9669" s="4"/>
      <c r="D9669" s="4"/>
      <c r="E9669" s="4"/>
      <c r="F9669" s="4"/>
      <c r="G9669" s="4"/>
      <c r="H9669" s="4"/>
      <c r="I9669" s="4"/>
      <c r="J9669" s="21">
        <f>IFERROR(VLOOKUP(C9669,'STOK KARTLARI'!$C$2:$K$2150,8,0),0)</f>
        <v>0</v>
      </c>
      <c r="K9669" s="21">
        <f t="shared" si="695"/>
        <v>0</v>
      </c>
      <c r="L9669" s="5">
        <f t="shared" si="697"/>
        <v>0</v>
      </c>
      <c r="M9669" s="4"/>
      <c r="N9669" s="4"/>
      <c r="O9669" s="5"/>
      <c r="P9669" s="5"/>
      <c r="Q9669" s="21">
        <f t="shared" si="698"/>
        <v>0</v>
      </c>
      <c r="R9669" s="21">
        <f t="shared" si="696"/>
        <v>0</v>
      </c>
      <c r="S9669" s="5">
        <f t="shared" ref="S9669:S9732" si="699">S9668+Q9669-R9669</f>
        <v>70007.077158325032</v>
      </c>
      <c r="T9669" cm="1">
        <f t="array" ref="T9669">IF(OR(B9669="MAL ALIMI", B9669="ÜRETİM GİRİŞ"), MIN(I9669, MAX(0, I9669 + SUM(SUMIFS($I$1:I9668, $C$1:C9668, C9669, $B$1:B9668, {"MAL ALIMI","ÜRETİM GİRİŞ"})) - VLOOKUP(C9669, 'STOK RAPORU'!$C$2:$I$1000, 4, 0))), 0)</f>
        <v>0</v>
      </c>
      <c r="U9669" s="22">
        <f t="shared" si="692"/>
        <v>0</v>
      </c>
      <c r="V9669">
        <f t="shared" si="693"/>
        <v>0</v>
      </c>
      <c r="W9669" s="22">
        <f t="shared" si="694"/>
        <v>0</v>
      </c>
    </row>
    <row r="9670" spans="1:23" hidden="1" x14ac:dyDescent="0.25">
      <c r="A9670" s="4"/>
      <c r="B9670" s="4"/>
      <c r="C9670" s="4"/>
      <c r="D9670" s="4"/>
      <c r="E9670" s="4"/>
      <c r="F9670" s="4"/>
      <c r="G9670" s="4"/>
      <c r="H9670" s="4"/>
      <c r="I9670" s="4"/>
      <c r="J9670" s="21">
        <f>IFERROR(VLOOKUP(C9670,'STOK KARTLARI'!$C$2:$K$2150,8,0),0)</f>
        <v>0</v>
      </c>
      <c r="K9670" s="21">
        <f t="shared" si="695"/>
        <v>0</v>
      </c>
      <c r="L9670" s="5">
        <f t="shared" si="697"/>
        <v>0</v>
      </c>
      <c r="M9670" s="4"/>
      <c r="N9670" s="4"/>
      <c r="O9670" s="5"/>
      <c r="P9670" s="5"/>
      <c r="Q9670" s="21">
        <f t="shared" si="698"/>
        <v>0</v>
      </c>
      <c r="R9670" s="21">
        <f t="shared" si="696"/>
        <v>0</v>
      </c>
      <c r="S9670" s="5">
        <f t="shared" si="699"/>
        <v>70007.077158325032</v>
      </c>
      <c r="T9670" cm="1">
        <f t="array" ref="T9670">IF(OR(B9670="MAL ALIMI", B9670="ÜRETİM GİRİŞ"), MIN(I9670, MAX(0, I9670 + SUM(SUMIFS($I$1:I9669, $C$1:C9669, C9670, $B$1:B9669, {"MAL ALIMI","ÜRETİM GİRİŞ"})) - VLOOKUP(C9670, 'STOK RAPORU'!$C$2:$I$1000, 4, 0))), 0)</f>
        <v>0</v>
      </c>
      <c r="U9670" s="22">
        <f t="shared" si="692"/>
        <v>0</v>
      </c>
      <c r="V9670">
        <f t="shared" si="693"/>
        <v>0</v>
      </c>
      <c r="W9670" s="22">
        <f t="shared" si="694"/>
        <v>0</v>
      </c>
    </row>
    <row r="9671" spans="1:23" hidden="1" x14ac:dyDescent="0.25">
      <c r="A9671" s="4"/>
      <c r="B9671" s="4"/>
      <c r="C9671" s="4"/>
      <c r="D9671" s="4"/>
      <c r="E9671" s="4"/>
      <c r="F9671" s="4"/>
      <c r="G9671" s="4"/>
      <c r="H9671" s="4"/>
      <c r="I9671" s="4"/>
      <c r="J9671" s="21">
        <f>IFERROR(VLOOKUP(C9671,'STOK KARTLARI'!$C$2:$K$2150,8,0),0)</f>
        <v>0</v>
      </c>
      <c r="K9671" s="21">
        <f t="shared" si="695"/>
        <v>0</v>
      </c>
      <c r="L9671" s="5">
        <f t="shared" si="697"/>
        <v>0</v>
      </c>
      <c r="M9671" s="4"/>
      <c r="N9671" s="4"/>
      <c r="O9671" s="5"/>
      <c r="P9671" s="5"/>
      <c r="Q9671" s="21">
        <f t="shared" si="698"/>
        <v>0</v>
      </c>
      <c r="R9671" s="21">
        <f t="shared" si="696"/>
        <v>0</v>
      </c>
      <c r="S9671" s="5">
        <f t="shared" si="699"/>
        <v>70007.077158325032</v>
      </c>
      <c r="T9671" cm="1">
        <f t="array" ref="T9671">IF(OR(B9671="MAL ALIMI", B9671="ÜRETİM GİRİŞ"), MIN(I9671, MAX(0, I9671 + SUM(SUMIFS($I$1:I9670, $C$1:C9670, C9671, $B$1:B9670, {"MAL ALIMI","ÜRETİM GİRİŞ"})) - VLOOKUP(C9671, 'STOK RAPORU'!$C$2:$I$1000, 4, 0))), 0)</f>
        <v>0</v>
      </c>
      <c r="U9671" s="22">
        <f t="shared" si="692"/>
        <v>0</v>
      </c>
      <c r="V9671">
        <f t="shared" si="693"/>
        <v>0</v>
      </c>
      <c r="W9671" s="22">
        <f t="shared" si="694"/>
        <v>0</v>
      </c>
    </row>
    <row r="9672" spans="1:23" hidden="1" x14ac:dyDescent="0.25">
      <c r="A9672" s="4"/>
      <c r="B9672" s="4"/>
      <c r="C9672" s="4"/>
      <c r="D9672" s="4"/>
      <c r="E9672" s="4"/>
      <c r="F9672" s="4"/>
      <c r="G9672" s="4"/>
      <c r="H9672" s="4"/>
      <c r="I9672" s="4"/>
      <c r="J9672" s="21">
        <f>IFERROR(VLOOKUP(C9672,'STOK KARTLARI'!$C$2:$K$2150,8,0),0)</f>
        <v>0</v>
      </c>
      <c r="K9672" s="21">
        <f t="shared" si="695"/>
        <v>0</v>
      </c>
      <c r="L9672" s="5">
        <f t="shared" si="697"/>
        <v>0</v>
      </c>
      <c r="M9672" s="4"/>
      <c r="N9672" s="4"/>
      <c r="O9672" s="5"/>
      <c r="P9672" s="5"/>
      <c r="Q9672" s="21">
        <f t="shared" si="698"/>
        <v>0</v>
      </c>
      <c r="R9672" s="21">
        <f t="shared" si="696"/>
        <v>0</v>
      </c>
      <c r="S9672" s="5">
        <f t="shared" si="699"/>
        <v>70007.077158325032</v>
      </c>
      <c r="T9672" cm="1">
        <f t="array" ref="T9672">IF(OR(B9672="MAL ALIMI", B9672="ÜRETİM GİRİŞ"), MIN(I9672, MAX(0, I9672 + SUM(SUMIFS($I$1:I9671, $C$1:C9671, C9672, $B$1:B9671, {"MAL ALIMI","ÜRETİM GİRİŞ"})) - VLOOKUP(C9672, 'STOK RAPORU'!$C$2:$I$1000, 4, 0))), 0)</f>
        <v>0</v>
      </c>
      <c r="U9672" s="22">
        <f t="shared" si="692"/>
        <v>0</v>
      </c>
      <c r="V9672">
        <f t="shared" si="693"/>
        <v>0</v>
      </c>
      <c r="W9672" s="22">
        <f t="shared" si="694"/>
        <v>0</v>
      </c>
    </row>
    <row r="9673" spans="1:23" hidden="1" x14ac:dyDescent="0.25">
      <c r="A9673" s="4"/>
      <c r="B9673" s="4"/>
      <c r="C9673" s="4"/>
      <c r="D9673" s="4"/>
      <c r="E9673" s="4"/>
      <c r="F9673" s="4"/>
      <c r="G9673" s="4"/>
      <c r="H9673" s="4"/>
      <c r="I9673" s="4"/>
      <c r="J9673" s="21">
        <f>IFERROR(VLOOKUP(C9673,'STOK KARTLARI'!$C$2:$K$2150,8,0),0)</f>
        <v>0</v>
      </c>
      <c r="K9673" s="21">
        <f t="shared" si="695"/>
        <v>0</v>
      </c>
      <c r="L9673" s="5">
        <f t="shared" si="697"/>
        <v>0</v>
      </c>
      <c r="M9673" s="4"/>
      <c r="N9673" s="4"/>
      <c r="O9673" s="5"/>
      <c r="P9673" s="5"/>
      <c r="Q9673" s="21">
        <f t="shared" si="698"/>
        <v>0</v>
      </c>
      <c r="R9673" s="21">
        <f t="shared" si="696"/>
        <v>0</v>
      </c>
      <c r="S9673" s="5">
        <f t="shared" si="699"/>
        <v>70007.077158325032</v>
      </c>
      <c r="T9673" cm="1">
        <f t="array" ref="T9673">IF(OR(B9673="MAL ALIMI", B9673="ÜRETİM GİRİŞ"), MIN(I9673, MAX(0, I9673 + SUM(SUMIFS($I$1:I9672, $C$1:C9672, C9673, $B$1:B9672, {"MAL ALIMI","ÜRETİM GİRİŞ"})) - VLOOKUP(C9673, 'STOK RAPORU'!$C$2:$I$1000, 4, 0))), 0)</f>
        <v>0</v>
      </c>
      <c r="U9673" s="22">
        <f t="shared" si="692"/>
        <v>0</v>
      </c>
      <c r="V9673">
        <f t="shared" si="693"/>
        <v>0</v>
      </c>
      <c r="W9673" s="22">
        <f t="shared" si="694"/>
        <v>0</v>
      </c>
    </row>
    <row r="9674" spans="1:23" hidden="1" x14ac:dyDescent="0.25">
      <c r="A9674" s="4"/>
      <c r="B9674" s="4"/>
      <c r="C9674" s="4"/>
      <c r="D9674" s="4"/>
      <c r="E9674" s="4"/>
      <c r="F9674" s="4"/>
      <c r="G9674" s="4"/>
      <c r="H9674" s="4"/>
      <c r="I9674" s="4"/>
      <c r="J9674" s="21">
        <f>IFERROR(VLOOKUP(C9674,'STOK KARTLARI'!$C$2:$K$2150,8,0),0)</f>
        <v>0</v>
      </c>
      <c r="K9674" s="21">
        <f t="shared" si="695"/>
        <v>0</v>
      </c>
      <c r="L9674" s="5">
        <f t="shared" si="697"/>
        <v>0</v>
      </c>
      <c r="M9674" s="4"/>
      <c r="N9674" s="4"/>
      <c r="O9674" s="5"/>
      <c r="P9674" s="5"/>
      <c r="Q9674" s="21">
        <f t="shared" si="698"/>
        <v>0</v>
      </c>
      <c r="R9674" s="21">
        <f t="shared" si="696"/>
        <v>0</v>
      </c>
      <c r="S9674" s="5">
        <f t="shared" si="699"/>
        <v>70007.077158325032</v>
      </c>
      <c r="T9674" cm="1">
        <f t="array" ref="T9674">IF(OR(B9674="MAL ALIMI", B9674="ÜRETİM GİRİŞ"), MIN(I9674, MAX(0, I9674 + SUM(SUMIFS($I$1:I9673, $C$1:C9673, C9674, $B$1:B9673, {"MAL ALIMI","ÜRETİM GİRİŞ"})) - VLOOKUP(C9674, 'STOK RAPORU'!$C$2:$I$1000, 4, 0))), 0)</f>
        <v>0</v>
      </c>
      <c r="U9674" s="22">
        <f t="shared" si="692"/>
        <v>0</v>
      </c>
      <c r="V9674">
        <f t="shared" si="693"/>
        <v>0</v>
      </c>
      <c r="W9674" s="22">
        <f t="shared" si="694"/>
        <v>0</v>
      </c>
    </row>
    <row r="9675" spans="1:23" hidden="1" x14ac:dyDescent="0.25">
      <c r="A9675" s="3"/>
      <c r="B9675" s="4"/>
      <c r="C9675" s="4"/>
      <c r="D9675" s="4"/>
      <c r="E9675" s="4"/>
      <c r="F9675" s="4"/>
      <c r="G9675" s="4"/>
      <c r="H9675" s="4"/>
      <c r="I9675" s="4"/>
      <c r="J9675" s="21">
        <f>IFERROR(VLOOKUP(C9675,'STOK KARTLARI'!$C$2:$K$2150,8,0),0)</f>
        <v>0</v>
      </c>
      <c r="K9675" s="21">
        <f t="shared" si="695"/>
        <v>0</v>
      </c>
      <c r="L9675" s="5">
        <f t="shared" si="697"/>
        <v>0</v>
      </c>
      <c r="M9675" s="4"/>
      <c r="N9675" s="4"/>
      <c r="O9675" s="5"/>
      <c r="P9675" s="5"/>
      <c r="Q9675" s="21">
        <f t="shared" si="698"/>
        <v>0</v>
      </c>
      <c r="R9675" s="21">
        <f t="shared" si="696"/>
        <v>0</v>
      </c>
      <c r="S9675" s="5">
        <f t="shared" si="699"/>
        <v>70007.077158325032</v>
      </c>
      <c r="T9675" cm="1">
        <f t="array" ref="T9675">IF(OR(B9675="MAL ALIMI", B9675="ÜRETİM GİRİŞ"), MIN(I9675, MAX(0, I9675 + SUM(SUMIFS($I$1:I9674, $C$1:C9674, C9675, $B$1:B9674, {"MAL ALIMI","ÜRETİM GİRİŞ"})) - VLOOKUP(C9675, 'STOK RAPORU'!$C$2:$I$1000, 4, 0))), 0)</f>
        <v>0</v>
      </c>
      <c r="U9675" s="22">
        <f t="shared" si="692"/>
        <v>0</v>
      </c>
      <c r="V9675">
        <f t="shared" si="693"/>
        <v>0</v>
      </c>
      <c r="W9675" s="22">
        <f t="shared" si="694"/>
        <v>0</v>
      </c>
    </row>
    <row r="9676" spans="1:23" hidden="1" x14ac:dyDescent="0.25">
      <c r="A9676" s="4"/>
      <c r="B9676" s="4"/>
      <c r="C9676" s="4"/>
      <c r="D9676" s="4"/>
      <c r="E9676" s="4"/>
      <c r="F9676" s="4"/>
      <c r="G9676" s="4"/>
      <c r="H9676" s="4"/>
      <c r="I9676" s="4"/>
      <c r="J9676" s="21">
        <f>IFERROR(VLOOKUP(C9676,'STOK KARTLARI'!$C$2:$K$2150,8,0),0)</f>
        <v>0</v>
      </c>
      <c r="K9676" s="21">
        <f t="shared" si="695"/>
        <v>0</v>
      </c>
      <c r="L9676" s="5">
        <f t="shared" si="697"/>
        <v>0</v>
      </c>
      <c r="M9676" s="4"/>
      <c r="N9676" s="4"/>
      <c r="O9676" s="5"/>
      <c r="P9676" s="5"/>
      <c r="Q9676" s="21">
        <f t="shared" si="698"/>
        <v>0</v>
      </c>
      <c r="R9676" s="21">
        <f t="shared" si="696"/>
        <v>0</v>
      </c>
      <c r="S9676" s="5">
        <f t="shared" si="699"/>
        <v>70007.077158325032</v>
      </c>
      <c r="T9676" cm="1">
        <f t="array" ref="T9676">IF(OR(B9676="MAL ALIMI", B9676="ÜRETİM GİRİŞ"), MIN(I9676, MAX(0, I9676 + SUM(SUMIFS($I$1:I9675, $C$1:C9675, C9676, $B$1:B9675, {"MAL ALIMI","ÜRETİM GİRİŞ"})) - VLOOKUP(C9676, 'STOK RAPORU'!$C$2:$I$1000, 4, 0))), 0)</f>
        <v>0</v>
      </c>
      <c r="U9676" s="22">
        <f t="shared" si="692"/>
        <v>0</v>
      </c>
      <c r="V9676">
        <f t="shared" si="693"/>
        <v>0</v>
      </c>
      <c r="W9676" s="22">
        <f t="shared" si="694"/>
        <v>0</v>
      </c>
    </row>
    <row r="9677" spans="1:23" hidden="1" x14ac:dyDescent="0.25">
      <c r="A9677" s="4"/>
      <c r="B9677" s="4"/>
      <c r="C9677" s="4"/>
      <c r="D9677" s="4"/>
      <c r="E9677" s="4"/>
      <c r="F9677" s="4"/>
      <c r="G9677" s="4"/>
      <c r="H9677" s="4"/>
      <c r="I9677" s="4"/>
      <c r="J9677" s="21">
        <f>IFERROR(VLOOKUP(C9677,'STOK KARTLARI'!$C$2:$K$2150,8,0),0)</f>
        <v>0</v>
      </c>
      <c r="K9677" s="21">
        <f t="shared" si="695"/>
        <v>0</v>
      </c>
      <c r="L9677" s="5">
        <f t="shared" si="697"/>
        <v>0</v>
      </c>
      <c r="M9677" s="4"/>
      <c r="N9677" s="4"/>
      <c r="O9677" s="5"/>
      <c r="P9677" s="5"/>
      <c r="Q9677" s="21">
        <f t="shared" si="698"/>
        <v>0</v>
      </c>
      <c r="R9677" s="21">
        <f t="shared" si="696"/>
        <v>0</v>
      </c>
      <c r="S9677" s="5">
        <f t="shared" si="699"/>
        <v>70007.077158325032</v>
      </c>
      <c r="T9677" cm="1">
        <f t="array" ref="T9677">IF(OR(B9677="MAL ALIMI", B9677="ÜRETİM GİRİŞ"), MIN(I9677, MAX(0, I9677 + SUM(SUMIFS($I$1:I9676, $C$1:C9676, C9677, $B$1:B9676, {"MAL ALIMI","ÜRETİM GİRİŞ"})) - VLOOKUP(C9677, 'STOK RAPORU'!$C$2:$I$1000, 4, 0))), 0)</f>
        <v>0</v>
      </c>
      <c r="U9677" s="22">
        <f t="shared" si="692"/>
        <v>0</v>
      </c>
      <c r="V9677">
        <f t="shared" si="693"/>
        <v>0</v>
      </c>
      <c r="W9677" s="22">
        <f t="shared" si="694"/>
        <v>0</v>
      </c>
    </row>
    <row r="9678" spans="1:23" hidden="1" x14ac:dyDescent="0.25">
      <c r="A9678" s="4"/>
      <c r="B9678" s="4"/>
      <c r="C9678" s="4"/>
      <c r="D9678" s="4"/>
      <c r="E9678" s="4"/>
      <c r="F9678" s="4"/>
      <c r="G9678" s="4"/>
      <c r="H9678" s="4"/>
      <c r="I9678" s="4"/>
      <c r="J9678" s="21">
        <f>IFERROR(VLOOKUP(C9678,'STOK KARTLARI'!$C$2:$K$2150,8,0),0)</f>
        <v>0</v>
      </c>
      <c r="K9678" s="21">
        <f t="shared" si="695"/>
        <v>0</v>
      </c>
      <c r="L9678" s="5">
        <f t="shared" si="697"/>
        <v>0</v>
      </c>
      <c r="M9678" s="4"/>
      <c r="N9678" s="4"/>
      <c r="O9678" s="5"/>
      <c r="P9678" s="5"/>
      <c r="Q9678" s="21">
        <f t="shared" si="698"/>
        <v>0</v>
      </c>
      <c r="R9678" s="21">
        <f t="shared" si="696"/>
        <v>0</v>
      </c>
      <c r="S9678" s="5">
        <f t="shared" si="699"/>
        <v>70007.077158325032</v>
      </c>
      <c r="T9678" cm="1">
        <f t="array" ref="T9678">IF(OR(B9678="MAL ALIMI", B9678="ÜRETİM GİRİŞ"), MIN(I9678, MAX(0, I9678 + SUM(SUMIFS($I$1:I9677, $C$1:C9677, C9678, $B$1:B9677, {"MAL ALIMI","ÜRETİM GİRİŞ"})) - VLOOKUP(C9678, 'STOK RAPORU'!$C$2:$I$1000, 4, 0))), 0)</f>
        <v>0</v>
      </c>
      <c r="U9678" s="22">
        <f t="shared" si="692"/>
        <v>0</v>
      </c>
      <c r="V9678">
        <f t="shared" si="693"/>
        <v>0</v>
      </c>
      <c r="W9678" s="22">
        <f t="shared" si="694"/>
        <v>0</v>
      </c>
    </row>
    <row r="9679" spans="1:23" hidden="1" x14ac:dyDescent="0.25">
      <c r="A9679" s="4"/>
      <c r="B9679" s="4"/>
      <c r="C9679" s="4"/>
      <c r="D9679" s="4"/>
      <c r="E9679" s="4"/>
      <c r="F9679" s="4"/>
      <c r="G9679" s="4"/>
      <c r="H9679" s="4"/>
      <c r="I9679" s="4"/>
      <c r="J9679" s="21">
        <f>IFERROR(VLOOKUP(C9679,'STOK KARTLARI'!$C$2:$K$2150,8,0),0)</f>
        <v>0</v>
      </c>
      <c r="K9679" s="21">
        <f t="shared" si="695"/>
        <v>0</v>
      </c>
      <c r="L9679" s="5">
        <f t="shared" si="697"/>
        <v>0</v>
      </c>
      <c r="M9679" s="4"/>
      <c r="N9679" s="4"/>
      <c r="O9679" s="5"/>
      <c r="P9679" s="5"/>
      <c r="Q9679" s="21">
        <f t="shared" si="698"/>
        <v>0</v>
      </c>
      <c r="R9679" s="21">
        <f t="shared" si="696"/>
        <v>0</v>
      </c>
      <c r="S9679" s="5">
        <f t="shared" si="699"/>
        <v>70007.077158325032</v>
      </c>
      <c r="T9679" cm="1">
        <f t="array" ref="T9679">IF(OR(B9679="MAL ALIMI", B9679="ÜRETİM GİRİŞ"), MIN(I9679, MAX(0, I9679 + SUM(SUMIFS($I$1:I9678, $C$1:C9678, C9679, $B$1:B9678, {"MAL ALIMI","ÜRETİM GİRİŞ"})) - VLOOKUP(C9679, 'STOK RAPORU'!$C$2:$I$1000, 4, 0))), 0)</f>
        <v>0</v>
      </c>
      <c r="U9679" s="22">
        <f t="shared" si="692"/>
        <v>0</v>
      </c>
      <c r="V9679">
        <f t="shared" si="693"/>
        <v>0</v>
      </c>
      <c r="W9679" s="22">
        <f t="shared" si="694"/>
        <v>0</v>
      </c>
    </row>
    <row r="9680" spans="1:23" hidden="1" x14ac:dyDescent="0.25">
      <c r="A9680" s="4"/>
      <c r="B9680" s="4"/>
      <c r="C9680" s="4"/>
      <c r="D9680" s="4"/>
      <c r="E9680" s="4"/>
      <c r="F9680" s="4"/>
      <c r="G9680" s="4"/>
      <c r="H9680" s="4"/>
      <c r="I9680" s="4"/>
      <c r="J9680" s="21">
        <f>IFERROR(VLOOKUP(C9680,'STOK KARTLARI'!$C$2:$K$2150,8,0),0)</f>
        <v>0</v>
      </c>
      <c r="K9680" s="21">
        <f t="shared" si="695"/>
        <v>0</v>
      </c>
      <c r="L9680" s="5">
        <f t="shared" si="697"/>
        <v>0</v>
      </c>
      <c r="M9680" s="4"/>
      <c r="N9680" s="4"/>
      <c r="O9680" s="5"/>
      <c r="P9680" s="5"/>
      <c r="Q9680" s="21">
        <f t="shared" si="698"/>
        <v>0</v>
      </c>
      <c r="R9680" s="21">
        <f t="shared" si="696"/>
        <v>0</v>
      </c>
      <c r="S9680" s="5">
        <f t="shared" si="699"/>
        <v>70007.077158325032</v>
      </c>
      <c r="T9680" cm="1">
        <f t="array" ref="T9680">IF(OR(B9680="MAL ALIMI", B9680="ÜRETİM GİRİŞ"), MIN(I9680, MAX(0, I9680 + SUM(SUMIFS($I$1:I9679, $C$1:C9679, C9680, $B$1:B9679, {"MAL ALIMI","ÜRETİM GİRİŞ"})) - VLOOKUP(C9680, 'STOK RAPORU'!$C$2:$I$1000, 4, 0))), 0)</f>
        <v>0</v>
      </c>
      <c r="U9680" s="22">
        <f t="shared" si="692"/>
        <v>0</v>
      </c>
      <c r="V9680">
        <f t="shared" si="693"/>
        <v>0</v>
      </c>
      <c r="W9680" s="22">
        <f t="shared" si="694"/>
        <v>0</v>
      </c>
    </row>
    <row r="9681" spans="1:23" hidden="1" x14ac:dyDescent="0.25">
      <c r="A9681" s="4"/>
      <c r="B9681" s="4"/>
      <c r="C9681" s="4"/>
      <c r="D9681" s="4"/>
      <c r="E9681" s="4"/>
      <c r="F9681" s="4"/>
      <c r="G9681" s="4"/>
      <c r="H9681" s="4"/>
      <c r="I9681" s="4"/>
      <c r="J9681" s="21">
        <f>IFERROR(VLOOKUP(C9681,'STOK KARTLARI'!$C$2:$K$2150,8,0),0)</f>
        <v>0</v>
      </c>
      <c r="K9681" s="21">
        <f t="shared" si="695"/>
        <v>0</v>
      </c>
      <c r="L9681" s="5">
        <f t="shared" si="697"/>
        <v>0</v>
      </c>
      <c r="M9681" s="4"/>
      <c r="N9681" s="4"/>
      <c r="O9681" s="5"/>
      <c r="P9681" s="5"/>
      <c r="Q9681" s="21">
        <f t="shared" si="698"/>
        <v>0</v>
      </c>
      <c r="R9681" s="21">
        <f t="shared" si="696"/>
        <v>0</v>
      </c>
      <c r="S9681" s="5">
        <f t="shared" si="699"/>
        <v>70007.077158325032</v>
      </c>
      <c r="T9681" cm="1">
        <f t="array" ref="T9681">IF(OR(B9681="MAL ALIMI", B9681="ÜRETİM GİRİŞ"), MIN(I9681, MAX(0, I9681 + SUM(SUMIFS($I$1:I9680, $C$1:C9680, C9681, $B$1:B9680, {"MAL ALIMI","ÜRETİM GİRİŞ"})) - VLOOKUP(C9681, 'STOK RAPORU'!$C$2:$I$1000, 4, 0))), 0)</f>
        <v>0</v>
      </c>
      <c r="U9681" s="22">
        <f t="shared" si="692"/>
        <v>0</v>
      </c>
      <c r="V9681">
        <f t="shared" si="693"/>
        <v>0</v>
      </c>
      <c r="W9681" s="22">
        <f t="shared" si="694"/>
        <v>0</v>
      </c>
    </row>
    <row r="9682" spans="1:23" hidden="1" x14ac:dyDescent="0.25">
      <c r="A9682" s="3"/>
      <c r="B9682" s="4"/>
      <c r="C9682" s="4"/>
      <c r="D9682" s="4"/>
      <c r="E9682" s="4"/>
      <c r="F9682" s="4"/>
      <c r="G9682" s="4"/>
      <c r="H9682" s="4"/>
      <c r="I9682" s="4"/>
      <c r="J9682" s="21">
        <f>IFERROR(VLOOKUP(C9682,'STOK KARTLARI'!$C$2:$K$2150,8,0),0)</f>
        <v>0</v>
      </c>
      <c r="K9682" s="21">
        <f t="shared" si="695"/>
        <v>0</v>
      </c>
      <c r="L9682" s="5">
        <f t="shared" si="697"/>
        <v>0</v>
      </c>
      <c r="M9682" s="4"/>
      <c r="N9682" s="4"/>
      <c r="O9682" s="5"/>
      <c r="P9682" s="5"/>
      <c r="Q9682" s="21">
        <f t="shared" si="698"/>
        <v>0</v>
      </c>
      <c r="R9682" s="21">
        <f t="shared" si="696"/>
        <v>0</v>
      </c>
      <c r="S9682" s="5">
        <f t="shared" si="699"/>
        <v>70007.077158325032</v>
      </c>
      <c r="T9682" cm="1">
        <f t="array" ref="T9682">IF(OR(B9682="MAL ALIMI", B9682="ÜRETİM GİRİŞ"), MIN(I9682, MAX(0, I9682 + SUM(SUMIFS($I$1:I9681, $C$1:C9681, C9682, $B$1:B9681, {"MAL ALIMI","ÜRETİM GİRİŞ"})) - VLOOKUP(C9682, 'STOK RAPORU'!$C$2:$I$1000, 4, 0))), 0)</f>
        <v>0</v>
      </c>
      <c r="U9682" s="22">
        <f t="shared" si="692"/>
        <v>0</v>
      </c>
      <c r="V9682">
        <f t="shared" si="693"/>
        <v>0</v>
      </c>
      <c r="W9682" s="22">
        <f t="shared" si="694"/>
        <v>0</v>
      </c>
    </row>
    <row r="9683" spans="1:23" hidden="1" x14ac:dyDescent="0.25">
      <c r="A9683" s="4"/>
      <c r="B9683" s="4"/>
      <c r="C9683" s="4"/>
      <c r="D9683" s="4"/>
      <c r="E9683" s="4"/>
      <c r="F9683" s="4"/>
      <c r="G9683" s="4"/>
      <c r="H9683" s="4"/>
      <c r="I9683" s="4"/>
      <c r="J9683" s="21">
        <f>IFERROR(VLOOKUP(C9683,'STOK KARTLARI'!$C$2:$K$2150,8,0),0)</f>
        <v>0</v>
      </c>
      <c r="K9683" s="21">
        <f t="shared" si="695"/>
        <v>0</v>
      </c>
      <c r="L9683" s="5">
        <f t="shared" si="697"/>
        <v>0</v>
      </c>
      <c r="M9683" s="4"/>
      <c r="N9683" s="4"/>
      <c r="O9683" s="5"/>
      <c r="P9683" s="5"/>
      <c r="Q9683" s="21">
        <f t="shared" si="698"/>
        <v>0</v>
      </c>
      <c r="R9683" s="21">
        <f t="shared" si="696"/>
        <v>0</v>
      </c>
      <c r="S9683" s="5">
        <f t="shared" si="699"/>
        <v>70007.077158325032</v>
      </c>
      <c r="T9683" cm="1">
        <f t="array" ref="T9683">IF(OR(B9683="MAL ALIMI", B9683="ÜRETİM GİRİŞ"), MIN(I9683, MAX(0, I9683 + SUM(SUMIFS($I$1:I9682, $C$1:C9682, C9683, $B$1:B9682, {"MAL ALIMI","ÜRETİM GİRİŞ"})) - VLOOKUP(C9683, 'STOK RAPORU'!$C$2:$I$1000, 4, 0))), 0)</f>
        <v>0</v>
      </c>
      <c r="U9683" s="22">
        <f t="shared" si="692"/>
        <v>0</v>
      </c>
      <c r="V9683">
        <f t="shared" si="693"/>
        <v>0</v>
      </c>
      <c r="W9683" s="22">
        <f t="shared" si="694"/>
        <v>0</v>
      </c>
    </row>
    <row r="9684" spans="1:23" hidden="1" x14ac:dyDescent="0.25">
      <c r="A9684" s="4"/>
      <c r="B9684" s="4"/>
      <c r="C9684" s="4"/>
      <c r="D9684" s="4"/>
      <c r="E9684" s="4"/>
      <c r="F9684" s="4"/>
      <c r="G9684" s="4"/>
      <c r="H9684" s="4"/>
      <c r="I9684" s="4"/>
      <c r="J9684" s="21">
        <f>IFERROR(VLOOKUP(C9684,'STOK KARTLARI'!$C$2:$K$2150,8,0),0)</f>
        <v>0</v>
      </c>
      <c r="K9684" s="21">
        <f t="shared" si="695"/>
        <v>0</v>
      </c>
      <c r="L9684" s="5">
        <f t="shared" si="697"/>
        <v>0</v>
      </c>
      <c r="M9684" s="4"/>
      <c r="N9684" s="4"/>
      <c r="O9684" s="5"/>
      <c r="P9684" s="5"/>
      <c r="Q9684" s="21">
        <f t="shared" si="698"/>
        <v>0</v>
      </c>
      <c r="R9684" s="21">
        <f t="shared" si="696"/>
        <v>0</v>
      </c>
      <c r="S9684" s="5">
        <f t="shared" si="699"/>
        <v>70007.077158325032</v>
      </c>
      <c r="T9684" cm="1">
        <f t="array" ref="T9684">IF(OR(B9684="MAL ALIMI", B9684="ÜRETİM GİRİŞ"), MIN(I9684, MAX(0, I9684 + SUM(SUMIFS($I$1:I9683, $C$1:C9683, C9684, $B$1:B9683, {"MAL ALIMI","ÜRETİM GİRİŞ"})) - VLOOKUP(C9684, 'STOK RAPORU'!$C$2:$I$1000, 4, 0))), 0)</f>
        <v>0</v>
      </c>
      <c r="U9684" s="22">
        <f t="shared" si="692"/>
        <v>0</v>
      </c>
      <c r="V9684">
        <f t="shared" si="693"/>
        <v>0</v>
      </c>
      <c r="W9684" s="22">
        <f t="shared" si="694"/>
        <v>0</v>
      </c>
    </row>
    <row r="9685" spans="1:23" hidden="1" x14ac:dyDescent="0.25">
      <c r="A9685" s="4"/>
      <c r="B9685" s="4"/>
      <c r="C9685" s="4"/>
      <c r="D9685" s="4"/>
      <c r="E9685" s="4"/>
      <c r="F9685" s="4"/>
      <c r="G9685" s="4"/>
      <c r="H9685" s="4"/>
      <c r="I9685" s="4"/>
      <c r="J9685" s="21">
        <f>IFERROR(VLOOKUP(C9685,'STOK KARTLARI'!$C$2:$K$2150,8,0),0)</f>
        <v>0</v>
      </c>
      <c r="K9685" s="21">
        <f t="shared" si="695"/>
        <v>0</v>
      </c>
      <c r="L9685" s="5">
        <f t="shared" si="697"/>
        <v>0</v>
      </c>
      <c r="M9685" s="4"/>
      <c r="N9685" s="4"/>
      <c r="O9685" s="5"/>
      <c r="P9685" s="5"/>
      <c r="Q9685" s="21">
        <f t="shared" si="698"/>
        <v>0</v>
      </c>
      <c r="R9685" s="21">
        <f t="shared" si="696"/>
        <v>0</v>
      </c>
      <c r="S9685" s="5">
        <f t="shared" si="699"/>
        <v>70007.077158325032</v>
      </c>
      <c r="T9685" cm="1">
        <f t="array" ref="T9685">IF(OR(B9685="MAL ALIMI", B9685="ÜRETİM GİRİŞ"), MIN(I9685, MAX(0, I9685 + SUM(SUMIFS($I$1:I9684, $C$1:C9684, C9685, $B$1:B9684, {"MAL ALIMI","ÜRETİM GİRİŞ"})) - VLOOKUP(C9685, 'STOK RAPORU'!$C$2:$I$1000, 4, 0))), 0)</f>
        <v>0</v>
      </c>
      <c r="U9685" s="22">
        <f t="shared" si="692"/>
        <v>0</v>
      </c>
      <c r="V9685">
        <f t="shared" si="693"/>
        <v>0</v>
      </c>
      <c r="W9685" s="22">
        <f t="shared" si="694"/>
        <v>0</v>
      </c>
    </row>
    <row r="9686" spans="1:23" hidden="1" x14ac:dyDescent="0.25">
      <c r="A9686" s="4"/>
      <c r="B9686" s="4"/>
      <c r="C9686" s="4"/>
      <c r="D9686" s="4"/>
      <c r="E9686" s="4"/>
      <c r="F9686" s="4"/>
      <c r="G9686" s="4"/>
      <c r="H9686" s="4"/>
      <c r="I9686" s="4"/>
      <c r="J9686" s="21">
        <f>IFERROR(VLOOKUP(C9686,'STOK KARTLARI'!$C$2:$K$2150,8,0),0)</f>
        <v>0</v>
      </c>
      <c r="K9686" s="21">
        <f t="shared" si="695"/>
        <v>0</v>
      </c>
      <c r="L9686" s="5">
        <f t="shared" si="697"/>
        <v>0</v>
      </c>
      <c r="M9686" s="4"/>
      <c r="N9686" s="4"/>
      <c r="O9686" s="5"/>
      <c r="P9686" s="5"/>
      <c r="Q9686" s="21">
        <f t="shared" si="698"/>
        <v>0</v>
      </c>
      <c r="R9686" s="21">
        <f t="shared" si="696"/>
        <v>0</v>
      </c>
      <c r="S9686" s="5">
        <f t="shared" si="699"/>
        <v>70007.077158325032</v>
      </c>
      <c r="T9686" cm="1">
        <f t="array" ref="T9686">IF(OR(B9686="MAL ALIMI", B9686="ÜRETİM GİRİŞ"), MIN(I9686, MAX(0, I9686 + SUM(SUMIFS($I$1:I9685, $C$1:C9685, C9686, $B$1:B9685, {"MAL ALIMI","ÜRETİM GİRİŞ"})) - VLOOKUP(C9686, 'STOK RAPORU'!$C$2:$I$1000, 4, 0))), 0)</f>
        <v>0</v>
      </c>
      <c r="U9686" s="22">
        <f t="shared" si="692"/>
        <v>0</v>
      </c>
      <c r="V9686">
        <f t="shared" si="693"/>
        <v>0</v>
      </c>
      <c r="W9686" s="22">
        <f t="shared" si="694"/>
        <v>0</v>
      </c>
    </row>
    <row r="9687" spans="1:23" hidden="1" x14ac:dyDescent="0.25">
      <c r="A9687" s="4"/>
      <c r="B9687" s="4"/>
      <c r="C9687" s="4"/>
      <c r="D9687" s="4"/>
      <c r="E9687" s="4"/>
      <c r="F9687" s="4"/>
      <c r="G9687" s="4"/>
      <c r="H9687" s="4"/>
      <c r="I9687" s="4"/>
      <c r="J9687" s="21">
        <f>IFERROR(VLOOKUP(C9687,'STOK KARTLARI'!$C$2:$K$2150,8,0),0)</f>
        <v>0</v>
      </c>
      <c r="K9687" s="21">
        <f t="shared" si="695"/>
        <v>0</v>
      </c>
      <c r="L9687" s="5">
        <f t="shared" si="697"/>
        <v>0</v>
      </c>
      <c r="M9687" s="4"/>
      <c r="N9687" s="4"/>
      <c r="O9687" s="5"/>
      <c r="P9687" s="5"/>
      <c r="Q9687" s="21">
        <f t="shared" si="698"/>
        <v>0</v>
      </c>
      <c r="R9687" s="21">
        <f t="shared" si="696"/>
        <v>0</v>
      </c>
      <c r="S9687" s="5">
        <f t="shared" si="699"/>
        <v>70007.077158325032</v>
      </c>
      <c r="T9687" cm="1">
        <f t="array" ref="T9687">IF(OR(B9687="MAL ALIMI", B9687="ÜRETİM GİRİŞ"), MIN(I9687, MAX(0, I9687 + SUM(SUMIFS($I$1:I9686, $C$1:C9686, C9687, $B$1:B9686, {"MAL ALIMI","ÜRETİM GİRİŞ"})) - VLOOKUP(C9687, 'STOK RAPORU'!$C$2:$I$1000, 4, 0))), 0)</f>
        <v>0</v>
      </c>
      <c r="U9687" s="22">
        <f t="shared" si="692"/>
        <v>0</v>
      </c>
      <c r="V9687">
        <f t="shared" si="693"/>
        <v>0</v>
      </c>
      <c r="W9687" s="22">
        <f t="shared" si="694"/>
        <v>0</v>
      </c>
    </row>
    <row r="9688" spans="1:23" hidden="1" x14ac:dyDescent="0.25">
      <c r="A9688" s="4"/>
      <c r="B9688" s="4"/>
      <c r="C9688" s="4"/>
      <c r="D9688" s="4"/>
      <c r="E9688" s="4"/>
      <c r="F9688" s="4"/>
      <c r="G9688" s="4"/>
      <c r="H9688" s="4"/>
      <c r="I9688" s="4"/>
      <c r="J9688" s="21">
        <f>IFERROR(VLOOKUP(C9688,'STOK KARTLARI'!$C$2:$K$2150,8,0),0)</f>
        <v>0</v>
      </c>
      <c r="K9688" s="21">
        <f t="shared" si="695"/>
        <v>0</v>
      </c>
      <c r="L9688" s="5">
        <f t="shared" si="697"/>
        <v>0</v>
      </c>
      <c r="M9688" s="4"/>
      <c r="N9688" s="4"/>
      <c r="O9688" s="5"/>
      <c r="P9688" s="5"/>
      <c r="Q9688" s="21">
        <f t="shared" si="698"/>
        <v>0</v>
      </c>
      <c r="R9688" s="21">
        <f t="shared" si="696"/>
        <v>0</v>
      </c>
      <c r="S9688" s="5">
        <f t="shared" si="699"/>
        <v>70007.077158325032</v>
      </c>
      <c r="T9688" cm="1">
        <f t="array" ref="T9688">IF(OR(B9688="MAL ALIMI", B9688="ÜRETİM GİRİŞ"), MIN(I9688, MAX(0, I9688 + SUM(SUMIFS($I$1:I9687, $C$1:C9687, C9688, $B$1:B9687, {"MAL ALIMI","ÜRETİM GİRİŞ"})) - VLOOKUP(C9688, 'STOK RAPORU'!$C$2:$I$1000, 4, 0))), 0)</f>
        <v>0</v>
      </c>
      <c r="U9688" s="22">
        <f t="shared" si="692"/>
        <v>0</v>
      </c>
      <c r="V9688">
        <f t="shared" si="693"/>
        <v>0</v>
      </c>
      <c r="W9688" s="22">
        <f t="shared" si="694"/>
        <v>0</v>
      </c>
    </row>
    <row r="9689" spans="1:23" hidden="1" x14ac:dyDescent="0.25">
      <c r="A9689" s="3"/>
      <c r="B9689" s="4"/>
      <c r="C9689" s="4"/>
      <c r="D9689" s="4"/>
      <c r="E9689" s="4"/>
      <c r="F9689" s="4"/>
      <c r="G9689" s="4"/>
      <c r="H9689" s="4"/>
      <c r="I9689" s="4"/>
      <c r="J9689" s="21">
        <f>IFERROR(VLOOKUP(C9689,'STOK KARTLARI'!$C$2:$K$2150,8,0),0)</f>
        <v>0</v>
      </c>
      <c r="K9689" s="21">
        <f t="shared" si="695"/>
        <v>0</v>
      </c>
      <c r="L9689" s="5">
        <f t="shared" si="697"/>
        <v>0</v>
      </c>
      <c r="M9689" s="4"/>
      <c r="N9689" s="4"/>
      <c r="O9689" s="5"/>
      <c r="P9689" s="5"/>
      <c r="Q9689" s="21">
        <f t="shared" si="698"/>
        <v>0</v>
      </c>
      <c r="R9689" s="21">
        <f t="shared" si="696"/>
        <v>0</v>
      </c>
      <c r="S9689" s="5">
        <f t="shared" si="699"/>
        <v>70007.077158325032</v>
      </c>
      <c r="T9689" cm="1">
        <f t="array" ref="T9689">IF(OR(B9689="MAL ALIMI", B9689="ÜRETİM GİRİŞ"), MIN(I9689, MAX(0, I9689 + SUM(SUMIFS($I$1:I9688, $C$1:C9688, C9689, $B$1:B9688, {"MAL ALIMI","ÜRETİM GİRİŞ"})) - VLOOKUP(C9689, 'STOK RAPORU'!$C$2:$I$1000, 4, 0))), 0)</f>
        <v>0</v>
      </c>
      <c r="U9689" s="22">
        <f t="shared" si="692"/>
        <v>0</v>
      </c>
      <c r="V9689">
        <f t="shared" si="693"/>
        <v>0</v>
      </c>
      <c r="W9689" s="22">
        <f t="shared" si="694"/>
        <v>0</v>
      </c>
    </row>
    <row r="9690" spans="1:23" hidden="1" x14ac:dyDescent="0.25">
      <c r="A9690" s="3"/>
      <c r="B9690" s="4"/>
      <c r="C9690" s="4"/>
      <c r="D9690" s="4"/>
      <c r="E9690" s="4"/>
      <c r="F9690" s="4"/>
      <c r="G9690" s="4"/>
      <c r="H9690" s="4"/>
      <c r="I9690" s="4"/>
      <c r="J9690" s="21">
        <f>IFERROR(VLOOKUP(C9690,'STOK KARTLARI'!$C$2:$K$2150,8,0),0)</f>
        <v>0</v>
      </c>
      <c r="K9690" s="21">
        <f t="shared" si="695"/>
        <v>0</v>
      </c>
      <c r="L9690" s="5">
        <f t="shared" si="697"/>
        <v>0</v>
      </c>
      <c r="M9690" s="4"/>
      <c r="N9690" s="4"/>
      <c r="O9690" s="5"/>
      <c r="P9690" s="5"/>
      <c r="Q9690" s="21">
        <f t="shared" si="698"/>
        <v>0</v>
      </c>
      <c r="R9690" s="21">
        <f t="shared" si="696"/>
        <v>0</v>
      </c>
      <c r="S9690" s="5">
        <f t="shared" si="699"/>
        <v>70007.077158325032</v>
      </c>
      <c r="T9690" cm="1">
        <f t="array" ref="T9690">IF(OR(B9690="MAL ALIMI", B9690="ÜRETİM GİRİŞ"), MIN(I9690, MAX(0, I9690 + SUM(SUMIFS($I$1:I9689, $C$1:C9689, C9690, $B$1:B9689, {"MAL ALIMI","ÜRETİM GİRİŞ"})) - VLOOKUP(C9690, 'STOK RAPORU'!$C$2:$I$1000, 4, 0))), 0)</f>
        <v>0</v>
      </c>
      <c r="U9690" s="22">
        <f t="shared" si="692"/>
        <v>0</v>
      </c>
      <c r="V9690">
        <f t="shared" si="693"/>
        <v>0</v>
      </c>
      <c r="W9690" s="22">
        <f t="shared" si="694"/>
        <v>0</v>
      </c>
    </row>
    <row r="9691" spans="1:23" hidden="1" x14ac:dyDescent="0.25">
      <c r="A9691" s="4"/>
      <c r="B9691" s="4"/>
      <c r="C9691" s="4"/>
      <c r="D9691" s="4"/>
      <c r="E9691" s="4"/>
      <c r="F9691" s="4"/>
      <c r="G9691" s="4"/>
      <c r="H9691" s="4"/>
      <c r="I9691" s="4"/>
      <c r="J9691" s="21">
        <f>IFERROR(VLOOKUP(C9691,'STOK KARTLARI'!$C$2:$K$2150,8,0),0)</f>
        <v>0</v>
      </c>
      <c r="K9691" s="21">
        <f t="shared" si="695"/>
        <v>0</v>
      </c>
      <c r="L9691" s="5">
        <f t="shared" si="697"/>
        <v>0</v>
      </c>
      <c r="M9691" s="4"/>
      <c r="N9691" s="4"/>
      <c r="O9691" s="5"/>
      <c r="P9691" s="5"/>
      <c r="Q9691" s="21">
        <f t="shared" si="698"/>
        <v>0</v>
      </c>
      <c r="R9691" s="21">
        <f t="shared" si="696"/>
        <v>0</v>
      </c>
      <c r="S9691" s="5">
        <f t="shared" si="699"/>
        <v>70007.077158325032</v>
      </c>
      <c r="T9691" cm="1">
        <f t="array" ref="T9691">IF(OR(B9691="MAL ALIMI", B9691="ÜRETİM GİRİŞ"), MIN(I9691, MAX(0, I9691 + SUM(SUMIFS($I$1:I9690, $C$1:C9690, C9691, $B$1:B9690, {"MAL ALIMI","ÜRETİM GİRİŞ"})) - VLOOKUP(C9691, 'STOK RAPORU'!$C$2:$I$1000, 4, 0))), 0)</f>
        <v>0</v>
      </c>
      <c r="U9691" s="22">
        <f t="shared" si="692"/>
        <v>0</v>
      </c>
      <c r="V9691">
        <f t="shared" si="693"/>
        <v>0</v>
      </c>
      <c r="W9691" s="22">
        <f t="shared" si="694"/>
        <v>0</v>
      </c>
    </row>
    <row r="9692" spans="1:23" hidden="1" x14ac:dyDescent="0.25">
      <c r="A9692" s="4"/>
      <c r="B9692" s="4"/>
      <c r="C9692" s="4"/>
      <c r="D9692" s="4"/>
      <c r="E9692" s="4"/>
      <c r="F9692" s="4"/>
      <c r="G9692" s="4"/>
      <c r="H9692" s="4"/>
      <c r="I9692" s="4"/>
      <c r="J9692" s="21">
        <f>IFERROR(VLOOKUP(C9692,'STOK KARTLARI'!$C$2:$K$2150,8,0),0)</f>
        <v>0</v>
      </c>
      <c r="K9692" s="21">
        <f t="shared" si="695"/>
        <v>0</v>
      </c>
      <c r="L9692" s="5">
        <f t="shared" si="697"/>
        <v>0</v>
      </c>
      <c r="M9692" s="4"/>
      <c r="N9692" s="4"/>
      <c r="O9692" s="5"/>
      <c r="P9692" s="5"/>
      <c r="Q9692" s="21">
        <f t="shared" si="698"/>
        <v>0</v>
      </c>
      <c r="R9692" s="21">
        <f t="shared" si="696"/>
        <v>0</v>
      </c>
      <c r="S9692" s="5">
        <f t="shared" si="699"/>
        <v>70007.077158325032</v>
      </c>
      <c r="T9692" cm="1">
        <f t="array" ref="T9692">IF(OR(B9692="MAL ALIMI", B9692="ÜRETİM GİRİŞ"), MIN(I9692, MAX(0, I9692 + SUM(SUMIFS($I$1:I9691, $C$1:C9691, C9692, $B$1:B9691, {"MAL ALIMI","ÜRETİM GİRİŞ"})) - VLOOKUP(C9692, 'STOK RAPORU'!$C$2:$I$1000, 4, 0))), 0)</f>
        <v>0</v>
      </c>
      <c r="U9692" s="22">
        <f t="shared" si="692"/>
        <v>0</v>
      </c>
      <c r="V9692">
        <f t="shared" si="693"/>
        <v>0</v>
      </c>
      <c r="W9692" s="22">
        <f t="shared" si="694"/>
        <v>0</v>
      </c>
    </row>
    <row r="9693" spans="1:23" hidden="1" x14ac:dyDescent="0.25">
      <c r="A9693" s="4"/>
      <c r="B9693" s="4"/>
      <c r="C9693" s="4"/>
      <c r="D9693" s="4"/>
      <c r="E9693" s="4"/>
      <c r="F9693" s="4"/>
      <c r="G9693" s="4"/>
      <c r="H9693" s="4"/>
      <c r="I9693" s="4"/>
      <c r="J9693" s="21">
        <f>IFERROR(VLOOKUP(C9693,'STOK KARTLARI'!$C$2:$K$2150,8,0),0)</f>
        <v>0</v>
      </c>
      <c r="K9693" s="21">
        <f t="shared" si="695"/>
        <v>0</v>
      </c>
      <c r="L9693" s="5">
        <f t="shared" si="697"/>
        <v>0</v>
      </c>
      <c r="M9693" s="4"/>
      <c r="N9693" s="4"/>
      <c r="O9693" s="5"/>
      <c r="P9693" s="5"/>
      <c r="Q9693" s="21">
        <f t="shared" si="698"/>
        <v>0</v>
      </c>
      <c r="R9693" s="21">
        <f t="shared" si="696"/>
        <v>0</v>
      </c>
      <c r="S9693" s="5">
        <f t="shared" si="699"/>
        <v>70007.077158325032</v>
      </c>
      <c r="T9693" cm="1">
        <f t="array" ref="T9693">IF(OR(B9693="MAL ALIMI", B9693="ÜRETİM GİRİŞ"), MIN(I9693, MAX(0, I9693 + SUM(SUMIFS($I$1:I9692, $C$1:C9692, C9693, $B$1:B9692, {"MAL ALIMI","ÜRETİM GİRİŞ"})) - VLOOKUP(C9693, 'STOK RAPORU'!$C$2:$I$1000, 4, 0))), 0)</f>
        <v>0</v>
      </c>
      <c r="U9693" s="22">
        <f t="shared" si="692"/>
        <v>0</v>
      </c>
      <c r="V9693">
        <f t="shared" si="693"/>
        <v>0</v>
      </c>
      <c r="W9693" s="22">
        <f t="shared" si="694"/>
        <v>0</v>
      </c>
    </row>
    <row r="9694" spans="1:23" hidden="1" x14ac:dyDescent="0.25">
      <c r="A9694" s="4"/>
      <c r="B9694" s="4"/>
      <c r="C9694" s="4"/>
      <c r="D9694" s="4"/>
      <c r="E9694" s="4"/>
      <c r="F9694" s="4"/>
      <c r="G9694" s="4"/>
      <c r="H9694" s="4"/>
      <c r="I9694" s="4"/>
      <c r="J9694" s="21">
        <f>IFERROR(VLOOKUP(C9694,'STOK KARTLARI'!$C$2:$K$2150,8,0),0)</f>
        <v>0</v>
      </c>
      <c r="K9694" s="21">
        <f t="shared" si="695"/>
        <v>0</v>
      </c>
      <c r="L9694" s="5">
        <f t="shared" si="697"/>
        <v>0</v>
      </c>
      <c r="M9694" s="4"/>
      <c r="N9694" s="4"/>
      <c r="O9694" s="5"/>
      <c r="P9694" s="5"/>
      <c r="Q9694" s="21">
        <f t="shared" si="698"/>
        <v>0</v>
      </c>
      <c r="R9694" s="21">
        <f t="shared" si="696"/>
        <v>0</v>
      </c>
      <c r="S9694" s="5">
        <f t="shared" si="699"/>
        <v>70007.077158325032</v>
      </c>
      <c r="T9694" cm="1">
        <f t="array" ref="T9694">IF(OR(B9694="MAL ALIMI", B9694="ÜRETİM GİRİŞ"), MIN(I9694, MAX(0, I9694 + SUM(SUMIFS($I$1:I9693, $C$1:C9693, C9694, $B$1:B9693, {"MAL ALIMI","ÜRETİM GİRİŞ"})) - VLOOKUP(C9694, 'STOK RAPORU'!$C$2:$I$1000, 4, 0))), 0)</f>
        <v>0</v>
      </c>
      <c r="U9694" s="22">
        <f t="shared" si="692"/>
        <v>0</v>
      </c>
      <c r="V9694">
        <f t="shared" si="693"/>
        <v>0</v>
      </c>
      <c r="W9694" s="22">
        <f t="shared" si="694"/>
        <v>0</v>
      </c>
    </row>
    <row r="9695" spans="1:23" hidden="1" x14ac:dyDescent="0.25">
      <c r="A9695" s="4"/>
      <c r="B9695" s="4"/>
      <c r="C9695" s="4"/>
      <c r="D9695" s="4"/>
      <c r="E9695" s="4"/>
      <c r="F9695" s="4"/>
      <c r="G9695" s="4"/>
      <c r="H9695" s="4"/>
      <c r="I9695" s="4"/>
      <c r="J9695" s="21">
        <f>IFERROR(VLOOKUP(C9695,'STOK KARTLARI'!$C$2:$K$2150,8,0),0)</f>
        <v>0</v>
      </c>
      <c r="K9695" s="21">
        <f t="shared" si="695"/>
        <v>0</v>
      </c>
      <c r="L9695" s="5">
        <f t="shared" si="697"/>
        <v>0</v>
      </c>
      <c r="M9695" s="4"/>
      <c r="N9695" s="4"/>
      <c r="O9695" s="5"/>
      <c r="P9695" s="5"/>
      <c r="Q9695" s="21">
        <f t="shared" si="698"/>
        <v>0</v>
      </c>
      <c r="R9695" s="21">
        <f t="shared" si="696"/>
        <v>0</v>
      </c>
      <c r="S9695" s="5">
        <f t="shared" si="699"/>
        <v>70007.077158325032</v>
      </c>
      <c r="T9695" cm="1">
        <f t="array" ref="T9695">IF(OR(B9695="MAL ALIMI", B9695="ÜRETİM GİRİŞ"), MIN(I9695, MAX(0, I9695 + SUM(SUMIFS($I$1:I9694, $C$1:C9694, C9695, $B$1:B9694, {"MAL ALIMI","ÜRETİM GİRİŞ"})) - VLOOKUP(C9695, 'STOK RAPORU'!$C$2:$I$1000, 4, 0))), 0)</f>
        <v>0</v>
      </c>
      <c r="U9695" s="22">
        <f t="shared" si="692"/>
        <v>0</v>
      </c>
      <c r="V9695">
        <f t="shared" si="693"/>
        <v>0</v>
      </c>
      <c r="W9695" s="22">
        <f t="shared" si="694"/>
        <v>0</v>
      </c>
    </row>
    <row r="9696" spans="1:23" hidden="1" x14ac:dyDescent="0.25">
      <c r="A9696" s="4"/>
      <c r="B9696" s="4"/>
      <c r="C9696" s="4"/>
      <c r="D9696" s="4"/>
      <c r="E9696" s="4"/>
      <c r="F9696" s="4"/>
      <c r="G9696" s="4"/>
      <c r="H9696" s="4"/>
      <c r="I9696" s="4"/>
      <c r="J9696" s="21">
        <f>IFERROR(VLOOKUP(C9696,'STOK KARTLARI'!$C$2:$K$2150,8,0),0)</f>
        <v>0</v>
      </c>
      <c r="K9696" s="21">
        <f t="shared" si="695"/>
        <v>0</v>
      </c>
      <c r="L9696" s="5">
        <f t="shared" si="697"/>
        <v>0</v>
      </c>
      <c r="M9696" s="4"/>
      <c r="N9696" s="4"/>
      <c r="O9696" s="5"/>
      <c r="P9696" s="5"/>
      <c r="Q9696" s="21">
        <f t="shared" si="698"/>
        <v>0</v>
      </c>
      <c r="R9696" s="21">
        <f t="shared" si="696"/>
        <v>0</v>
      </c>
      <c r="S9696" s="5">
        <f t="shared" si="699"/>
        <v>70007.077158325032</v>
      </c>
      <c r="T9696" cm="1">
        <f t="array" ref="T9696">IF(OR(B9696="MAL ALIMI", B9696="ÜRETİM GİRİŞ"), MIN(I9696, MAX(0, I9696 + SUM(SUMIFS($I$1:I9695, $C$1:C9695, C9696, $B$1:B9695, {"MAL ALIMI","ÜRETİM GİRİŞ"})) - VLOOKUP(C9696, 'STOK RAPORU'!$C$2:$I$1000, 4, 0))), 0)</f>
        <v>0</v>
      </c>
      <c r="U9696" s="22">
        <f t="shared" si="692"/>
        <v>0</v>
      </c>
      <c r="V9696">
        <f t="shared" si="693"/>
        <v>0</v>
      </c>
      <c r="W9696" s="22">
        <f t="shared" si="694"/>
        <v>0</v>
      </c>
    </row>
    <row r="9697" spans="1:23" hidden="1" x14ac:dyDescent="0.25">
      <c r="A9697" s="3"/>
      <c r="B9697" s="4"/>
      <c r="C9697" s="4"/>
      <c r="D9697" s="4"/>
      <c r="E9697" s="4"/>
      <c r="F9697" s="4"/>
      <c r="G9697" s="4"/>
      <c r="H9697" s="4"/>
      <c r="I9697" s="4"/>
      <c r="J9697" s="21">
        <f>IFERROR(VLOOKUP(C9697,'STOK KARTLARI'!$C$2:$K$2150,8,0),0)</f>
        <v>0</v>
      </c>
      <c r="K9697" s="21">
        <f t="shared" si="695"/>
        <v>0</v>
      </c>
      <c r="L9697" s="5">
        <f t="shared" si="697"/>
        <v>0</v>
      </c>
      <c r="M9697" s="4"/>
      <c r="N9697" s="4"/>
      <c r="O9697" s="5"/>
      <c r="P9697" s="5"/>
      <c r="Q9697" s="21">
        <f t="shared" si="698"/>
        <v>0</v>
      </c>
      <c r="R9697" s="21">
        <f t="shared" si="696"/>
        <v>0</v>
      </c>
      <c r="S9697" s="5">
        <f t="shared" si="699"/>
        <v>70007.077158325032</v>
      </c>
      <c r="T9697" cm="1">
        <f t="array" ref="T9697">IF(OR(B9697="MAL ALIMI", B9697="ÜRETİM GİRİŞ"), MIN(I9697, MAX(0, I9697 + SUM(SUMIFS($I$1:I9696, $C$1:C9696, C9697, $B$1:B9696, {"MAL ALIMI","ÜRETİM GİRİŞ"})) - VLOOKUP(C9697, 'STOK RAPORU'!$C$2:$I$1000, 4, 0))), 0)</f>
        <v>0</v>
      </c>
      <c r="U9697" s="22">
        <f t="shared" si="692"/>
        <v>0</v>
      </c>
      <c r="V9697">
        <f t="shared" si="693"/>
        <v>0</v>
      </c>
      <c r="W9697" s="22">
        <f t="shared" si="694"/>
        <v>0</v>
      </c>
    </row>
    <row r="9698" spans="1:23" hidden="1" x14ac:dyDescent="0.25">
      <c r="A9698" s="4"/>
      <c r="B9698" s="4"/>
      <c r="C9698" s="4"/>
      <c r="D9698" s="4"/>
      <c r="E9698" s="4"/>
      <c r="F9698" s="4"/>
      <c r="G9698" s="4"/>
      <c r="H9698" s="4"/>
      <c r="I9698" s="4"/>
      <c r="J9698" s="21">
        <f>IFERROR(VLOOKUP(C9698,'STOK KARTLARI'!$C$2:$K$2150,8,0),0)</f>
        <v>0</v>
      </c>
      <c r="K9698" s="21">
        <f t="shared" si="695"/>
        <v>0</v>
      </c>
      <c r="L9698" s="5">
        <f t="shared" si="697"/>
        <v>0</v>
      </c>
      <c r="M9698" s="4"/>
      <c r="N9698" s="4"/>
      <c r="O9698" s="5"/>
      <c r="P9698" s="5"/>
      <c r="Q9698" s="21">
        <f t="shared" si="698"/>
        <v>0</v>
      </c>
      <c r="R9698" s="21">
        <f t="shared" si="696"/>
        <v>0</v>
      </c>
      <c r="S9698" s="5">
        <f t="shared" si="699"/>
        <v>70007.077158325032</v>
      </c>
      <c r="T9698" cm="1">
        <f t="array" ref="T9698">IF(OR(B9698="MAL ALIMI", B9698="ÜRETİM GİRİŞ"), MIN(I9698, MAX(0, I9698 + SUM(SUMIFS($I$1:I9697, $C$1:C9697, C9698, $B$1:B9697, {"MAL ALIMI","ÜRETİM GİRİŞ"})) - VLOOKUP(C9698, 'STOK RAPORU'!$C$2:$I$1000, 4, 0))), 0)</f>
        <v>0</v>
      </c>
      <c r="U9698" s="22">
        <f t="shared" si="692"/>
        <v>0</v>
      </c>
      <c r="V9698">
        <f t="shared" si="693"/>
        <v>0</v>
      </c>
      <c r="W9698" s="22">
        <f t="shared" si="694"/>
        <v>0</v>
      </c>
    </row>
    <row r="9699" spans="1:23" hidden="1" x14ac:dyDescent="0.25">
      <c r="A9699" s="4"/>
      <c r="B9699" s="4"/>
      <c r="C9699" s="4"/>
      <c r="D9699" s="4"/>
      <c r="E9699" s="4"/>
      <c r="F9699" s="4"/>
      <c r="G9699" s="4"/>
      <c r="H9699" s="4"/>
      <c r="I9699" s="4"/>
      <c r="J9699" s="21">
        <f>IFERROR(VLOOKUP(C9699,'STOK KARTLARI'!$C$2:$K$2150,8,0),0)</f>
        <v>0</v>
      </c>
      <c r="K9699" s="21">
        <f t="shared" si="695"/>
        <v>0</v>
      </c>
      <c r="L9699" s="5">
        <f t="shared" si="697"/>
        <v>0</v>
      </c>
      <c r="M9699" s="4"/>
      <c r="N9699" s="4"/>
      <c r="O9699" s="5"/>
      <c r="P9699" s="5"/>
      <c r="Q9699" s="21">
        <f t="shared" si="698"/>
        <v>0</v>
      </c>
      <c r="R9699" s="21">
        <f t="shared" si="696"/>
        <v>0</v>
      </c>
      <c r="S9699" s="5">
        <f t="shared" si="699"/>
        <v>70007.077158325032</v>
      </c>
      <c r="T9699" cm="1">
        <f t="array" ref="T9699">IF(OR(B9699="MAL ALIMI", B9699="ÜRETİM GİRİŞ"), MIN(I9699, MAX(0, I9699 + SUM(SUMIFS($I$1:I9698, $C$1:C9698, C9699, $B$1:B9698, {"MAL ALIMI","ÜRETİM GİRİŞ"})) - VLOOKUP(C9699, 'STOK RAPORU'!$C$2:$I$1000, 4, 0))), 0)</f>
        <v>0</v>
      </c>
      <c r="U9699" s="22">
        <f t="shared" si="692"/>
        <v>0</v>
      </c>
      <c r="V9699">
        <f t="shared" si="693"/>
        <v>0</v>
      </c>
      <c r="W9699" s="22">
        <f t="shared" si="694"/>
        <v>0</v>
      </c>
    </row>
    <row r="9700" spans="1:23" hidden="1" x14ac:dyDescent="0.25">
      <c r="A9700" s="4"/>
      <c r="B9700" s="4"/>
      <c r="C9700" s="4"/>
      <c r="D9700" s="4"/>
      <c r="E9700" s="4"/>
      <c r="F9700" s="4"/>
      <c r="G9700" s="4"/>
      <c r="H9700" s="4"/>
      <c r="I9700" s="4"/>
      <c r="J9700" s="21">
        <f>IFERROR(VLOOKUP(C9700,'STOK KARTLARI'!$C$2:$K$2150,8,0),0)</f>
        <v>0</v>
      </c>
      <c r="K9700" s="21">
        <f t="shared" si="695"/>
        <v>0</v>
      </c>
      <c r="L9700" s="5">
        <f t="shared" si="697"/>
        <v>0</v>
      </c>
      <c r="M9700" s="4"/>
      <c r="N9700" s="4"/>
      <c r="O9700" s="5"/>
      <c r="P9700" s="5"/>
      <c r="Q9700" s="21">
        <f t="shared" si="698"/>
        <v>0</v>
      </c>
      <c r="R9700" s="21">
        <f t="shared" si="696"/>
        <v>0</v>
      </c>
      <c r="S9700" s="5">
        <f t="shared" si="699"/>
        <v>70007.077158325032</v>
      </c>
      <c r="T9700" cm="1">
        <f t="array" ref="T9700">IF(OR(B9700="MAL ALIMI", B9700="ÜRETİM GİRİŞ"), MIN(I9700, MAX(0, I9700 + SUM(SUMIFS($I$1:I9699, $C$1:C9699, C9700, $B$1:B9699, {"MAL ALIMI","ÜRETİM GİRİŞ"})) - VLOOKUP(C9700, 'STOK RAPORU'!$C$2:$I$1000, 4, 0))), 0)</f>
        <v>0</v>
      </c>
      <c r="U9700" s="22">
        <f t="shared" si="692"/>
        <v>0</v>
      </c>
      <c r="V9700">
        <f t="shared" si="693"/>
        <v>0</v>
      </c>
      <c r="W9700" s="22">
        <f t="shared" si="694"/>
        <v>0</v>
      </c>
    </row>
    <row r="9701" spans="1:23" hidden="1" x14ac:dyDescent="0.25">
      <c r="A9701" s="4"/>
      <c r="B9701" s="4"/>
      <c r="C9701" s="4"/>
      <c r="D9701" s="4"/>
      <c r="E9701" s="4"/>
      <c r="F9701" s="4"/>
      <c r="G9701" s="4"/>
      <c r="H9701" s="4"/>
      <c r="I9701" s="4"/>
      <c r="J9701" s="21">
        <f>IFERROR(VLOOKUP(C9701,'STOK KARTLARI'!$C$2:$K$2150,8,0),0)</f>
        <v>0</v>
      </c>
      <c r="K9701" s="21">
        <f t="shared" si="695"/>
        <v>0</v>
      </c>
      <c r="L9701" s="5">
        <f t="shared" si="697"/>
        <v>0</v>
      </c>
      <c r="M9701" s="4"/>
      <c r="N9701" s="4"/>
      <c r="O9701" s="5"/>
      <c r="P9701" s="5"/>
      <c r="Q9701" s="21">
        <f t="shared" si="698"/>
        <v>0</v>
      </c>
      <c r="R9701" s="21">
        <f t="shared" si="696"/>
        <v>0</v>
      </c>
      <c r="S9701" s="5">
        <f t="shared" si="699"/>
        <v>70007.077158325032</v>
      </c>
      <c r="T9701" cm="1">
        <f t="array" ref="T9701">IF(OR(B9701="MAL ALIMI", B9701="ÜRETİM GİRİŞ"), MIN(I9701, MAX(0, I9701 + SUM(SUMIFS($I$1:I9700, $C$1:C9700, C9701, $B$1:B9700, {"MAL ALIMI","ÜRETİM GİRİŞ"})) - VLOOKUP(C9701, 'STOK RAPORU'!$C$2:$I$1000, 4, 0))), 0)</f>
        <v>0</v>
      </c>
      <c r="U9701" s="22">
        <f t="shared" si="692"/>
        <v>0</v>
      </c>
      <c r="V9701">
        <f t="shared" si="693"/>
        <v>0</v>
      </c>
      <c r="W9701" s="22">
        <f t="shared" si="694"/>
        <v>0</v>
      </c>
    </row>
    <row r="9702" spans="1:23" hidden="1" x14ac:dyDescent="0.25">
      <c r="A9702" s="4"/>
      <c r="B9702" s="4"/>
      <c r="C9702" s="4"/>
      <c r="D9702" s="4"/>
      <c r="E9702" s="4"/>
      <c r="F9702" s="4"/>
      <c r="G9702" s="4"/>
      <c r="H9702" s="4"/>
      <c r="I9702" s="4"/>
      <c r="J9702" s="21">
        <f>IFERROR(VLOOKUP(C9702,'STOK KARTLARI'!$C$2:$K$2150,8,0),0)</f>
        <v>0</v>
      </c>
      <c r="K9702" s="21">
        <f t="shared" si="695"/>
        <v>0</v>
      </c>
      <c r="L9702" s="5">
        <f t="shared" si="697"/>
        <v>0</v>
      </c>
      <c r="M9702" s="4"/>
      <c r="N9702" s="4"/>
      <c r="O9702" s="5"/>
      <c r="P9702" s="5"/>
      <c r="Q9702" s="21">
        <f t="shared" si="698"/>
        <v>0</v>
      </c>
      <c r="R9702" s="21">
        <f t="shared" si="696"/>
        <v>0</v>
      </c>
      <c r="S9702" s="5">
        <f t="shared" si="699"/>
        <v>70007.077158325032</v>
      </c>
      <c r="T9702" cm="1">
        <f t="array" ref="T9702">IF(OR(B9702="MAL ALIMI", B9702="ÜRETİM GİRİŞ"), MIN(I9702, MAX(0, I9702 + SUM(SUMIFS($I$1:I9701, $C$1:C9701, C9702, $B$1:B9701, {"MAL ALIMI","ÜRETİM GİRİŞ"})) - VLOOKUP(C9702, 'STOK RAPORU'!$C$2:$I$1000, 4, 0))), 0)</f>
        <v>0</v>
      </c>
      <c r="U9702" s="22">
        <f t="shared" si="692"/>
        <v>0</v>
      </c>
      <c r="V9702">
        <f t="shared" si="693"/>
        <v>0</v>
      </c>
      <c r="W9702" s="22">
        <f t="shared" si="694"/>
        <v>0</v>
      </c>
    </row>
    <row r="9703" spans="1:23" hidden="1" x14ac:dyDescent="0.25">
      <c r="A9703" s="4"/>
      <c r="B9703" s="4"/>
      <c r="C9703" s="4"/>
      <c r="D9703" s="4"/>
      <c r="E9703" s="4"/>
      <c r="F9703" s="4"/>
      <c r="G9703" s="4"/>
      <c r="H9703" s="4"/>
      <c r="I9703" s="4"/>
      <c r="J9703" s="21">
        <f>IFERROR(VLOOKUP(C9703,'STOK KARTLARI'!$C$2:$K$2150,8,0),0)</f>
        <v>0</v>
      </c>
      <c r="K9703" s="21">
        <f t="shared" si="695"/>
        <v>0</v>
      </c>
      <c r="L9703" s="5">
        <f t="shared" si="697"/>
        <v>0</v>
      </c>
      <c r="M9703" s="4"/>
      <c r="N9703" s="4"/>
      <c r="O9703" s="5"/>
      <c r="P9703" s="5"/>
      <c r="Q9703" s="21">
        <f t="shared" si="698"/>
        <v>0</v>
      </c>
      <c r="R9703" s="21">
        <f t="shared" si="696"/>
        <v>0</v>
      </c>
      <c r="S9703" s="5">
        <f t="shared" si="699"/>
        <v>70007.077158325032</v>
      </c>
      <c r="T9703" cm="1">
        <f t="array" ref="T9703">IF(OR(B9703="MAL ALIMI", B9703="ÜRETİM GİRİŞ"), MIN(I9703, MAX(0, I9703 + SUM(SUMIFS($I$1:I9702, $C$1:C9702, C9703, $B$1:B9702, {"MAL ALIMI","ÜRETİM GİRİŞ"})) - VLOOKUP(C9703, 'STOK RAPORU'!$C$2:$I$1000, 4, 0))), 0)</f>
        <v>0</v>
      </c>
      <c r="U9703" s="22">
        <f t="shared" si="692"/>
        <v>0</v>
      </c>
      <c r="V9703">
        <f t="shared" si="693"/>
        <v>0</v>
      </c>
      <c r="W9703" s="22">
        <f t="shared" si="694"/>
        <v>0</v>
      </c>
    </row>
    <row r="9704" spans="1:23" hidden="1" x14ac:dyDescent="0.25">
      <c r="A9704" s="3"/>
      <c r="B9704" s="4"/>
      <c r="C9704" s="4"/>
      <c r="D9704" s="4"/>
      <c r="E9704" s="4"/>
      <c r="F9704" s="4"/>
      <c r="G9704" s="4"/>
      <c r="H9704" s="4"/>
      <c r="I9704" s="4"/>
      <c r="J9704" s="21">
        <f>IFERROR(VLOOKUP(C9704,'STOK KARTLARI'!$C$2:$K$2150,8,0),0)</f>
        <v>0</v>
      </c>
      <c r="K9704" s="21">
        <f t="shared" si="695"/>
        <v>0</v>
      </c>
      <c r="L9704" s="5">
        <f t="shared" si="697"/>
        <v>0</v>
      </c>
      <c r="M9704" s="4"/>
      <c r="N9704" s="4"/>
      <c r="O9704" s="5"/>
      <c r="P9704" s="5"/>
      <c r="Q9704" s="21">
        <f t="shared" si="698"/>
        <v>0</v>
      </c>
      <c r="R9704" s="21">
        <f t="shared" si="696"/>
        <v>0</v>
      </c>
      <c r="S9704" s="5">
        <f t="shared" si="699"/>
        <v>70007.077158325032</v>
      </c>
      <c r="T9704" cm="1">
        <f t="array" ref="T9704">IF(OR(B9704="MAL ALIMI", B9704="ÜRETİM GİRİŞ"), MIN(I9704, MAX(0, I9704 + SUM(SUMIFS($I$1:I9703, $C$1:C9703, C9704, $B$1:B9703, {"MAL ALIMI","ÜRETİM GİRİŞ"})) - VLOOKUP(C9704, 'STOK RAPORU'!$C$2:$I$1000, 4, 0))), 0)</f>
        <v>0</v>
      </c>
      <c r="U9704" s="22">
        <f t="shared" si="692"/>
        <v>0</v>
      </c>
      <c r="V9704">
        <f t="shared" si="693"/>
        <v>0</v>
      </c>
      <c r="W9704" s="22">
        <f t="shared" si="694"/>
        <v>0</v>
      </c>
    </row>
    <row r="9705" spans="1:23" hidden="1" x14ac:dyDescent="0.25">
      <c r="A9705" s="4"/>
      <c r="B9705" s="4"/>
      <c r="C9705" s="4"/>
      <c r="D9705" s="4"/>
      <c r="E9705" s="4"/>
      <c r="F9705" s="4"/>
      <c r="G9705" s="4"/>
      <c r="H9705" s="4"/>
      <c r="I9705" s="4"/>
      <c r="J9705" s="21">
        <f>IFERROR(VLOOKUP(C9705,'STOK KARTLARI'!$C$2:$K$2150,8,0),0)</f>
        <v>0</v>
      </c>
      <c r="K9705" s="21">
        <f t="shared" si="695"/>
        <v>0</v>
      </c>
      <c r="L9705" s="5">
        <f t="shared" si="697"/>
        <v>0</v>
      </c>
      <c r="M9705" s="4"/>
      <c r="N9705" s="4"/>
      <c r="O9705" s="5"/>
      <c r="P9705" s="5"/>
      <c r="Q9705" s="21">
        <f t="shared" si="698"/>
        <v>0</v>
      </c>
      <c r="R9705" s="21">
        <f t="shared" si="696"/>
        <v>0</v>
      </c>
      <c r="S9705" s="5">
        <f t="shared" si="699"/>
        <v>70007.077158325032</v>
      </c>
      <c r="T9705" cm="1">
        <f t="array" ref="T9705">IF(OR(B9705="MAL ALIMI", B9705="ÜRETİM GİRİŞ"), MIN(I9705, MAX(0, I9705 + SUM(SUMIFS($I$1:I9704, $C$1:C9704, C9705, $B$1:B9704, {"MAL ALIMI","ÜRETİM GİRİŞ"})) - VLOOKUP(C9705, 'STOK RAPORU'!$C$2:$I$1000, 4, 0))), 0)</f>
        <v>0</v>
      </c>
      <c r="U9705" s="22">
        <f t="shared" si="692"/>
        <v>0</v>
      </c>
      <c r="V9705">
        <f t="shared" si="693"/>
        <v>0</v>
      </c>
      <c r="W9705" s="22">
        <f t="shared" si="694"/>
        <v>0</v>
      </c>
    </row>
    <row r="9706" spans="1:23" hidden="1" x14ac:dyDescent="0.25">
      <c r="A9706" s="4"/>
      <c r="B9706" s="4"/>
      <c r="C9706" s="4"/>
      <c r="D9706" s="4"/>
      <c r="E9706" s="4"/>
      <c r="F9706" s="4"/>
      <c r="G9706" s="4"/>
      <c r="H9706" s="4"/>
      <c r="I9706" s="4"/>
      <c r="J9706" s="21">
        <f>IFERROR(VLOOKUP(C9706,'STOK KARTLARI'!$C$2:$K$2150,8,0),0)</f>
        <v>0</v>
      </c>
      <c r="K9706" s="21">
        <f t="shared" si="695"/>
        <v>0</v>
      </c>
      <c r="L9706" s="5">
        <f t="shared" si="697"/>
        <v>0</v>
      </c>
      <c r="M9706" s="4"/>
      <c r="N9706" s="4"/>
      <c r="O9706" s="5"/>
      <c r="P9706" s="5"/>
      <c r="Q9706" s="21">
        <f t="shared" si="698"/>
        <v>0</v>
      </c>
      <c r="R9706" s="21">
        <f t="shared" si="696"/>
        <v>0</v>
      </c>
      <c r="S9706" s="5">
        <f t="shared" si="699"/>
        <v>70007.077158325032</v>
      </c>
      <c r="T9706" cm="1">
        <f t="array" ref="T9706">IF(OR(B9706="MAL ALIMI", B9706="ÜRETİM GİRİŞ"), MIN(I9706, MAX(0, I9706 + SUM(SUMIFS($I$1:I9705, $C$1:C9705, C9706, $B$1:B9705, {"MAL ALIMI","ÜRETİM GİRİŞ"})) - VLOOKUP(C9706, 'STOK RAPORU'!$C$2:$I$1000, 4, 0))), 0)</f>
        <v>0</v>
      </c>
      <c r="U9706" s="22">
        <f t="shared" si="692"/>
        <v>0</v>
      </c>
      <c r="V9706">
        <f t="shared" si="693"/>
        <v>0</v>
      </c>
      <c r="W9706" s="22">
        <f t="shared" si="694"/>
        <v>0</v>
      </c>
    </row>
    <row r="9707" spans="1:23" hidden="1" x14ac:dyDescent="0.25">
      <c r="A9707" s="4"/>
      <c r="B9707" s="4"/>
      <c r="C9707" s="4"/>
      <c r="D9707" s="4"/>
      <c r="E9707" s="4"/>
      <c r="F9707" s="4"/>
      <c r="G9707" s="4"/>
      <c r="H9707" s="4"/>
      <c r="I9707" s="4"/>
      <c r="J9707" s="21">
        <f>IFERROR(VLOOKUP(C9707,'STOK KARTLARI'!$C$2:$K$2150,8,0),0)</f>
        <v>0</v>
      </c>
      <c r="K9707" s="21">
        <f t="shared" si="695"/>
        <v>0</v>
      </c>
      <c r="L9707" s="5">
        <f t="shared" si="697"/>
        <v>0</v>
      </c>
      <c r="M9707" s="4"/>
      <c r="N9707" s="4"/>
      <c r="O9707" s="5"/>
      <c r="P9707" s="5"/>
      <c r="Q9707" s="21">
        <f t="shared" si="698"/>
        <v>0</v>
      </c>
      <c r="R9707" s="21">
        <f t="shared" si="696"/>
        <v>0</v>
      </c>
      <c r="S9707" s="5">
        <f t="shared" si="699"/>
        <v>70007.077158325032</v>
      </c>
      <c r="T9707" cm="1">
        <f t="array" ref="T9707">IF(OR(B9707="MAL ALIMI", B9707="ÜRETİM GİRİŞ"), MIN(I9707, MAX(0, I9707 + SUM(SUMIFS($I$1:I9706, $C$1:C9706, C9707, $B$1:B9706, {"MAL ALIMI","ÜRETİM GİRİŞ"})) - VLOOKUP(C9707, 'STOK RAPORU'!$C$2:$I$1000, 4, 0))), 0)</f>
        <v>0</v>
      </c>
      <c r="U9707" s="22">
        <f t="shared" si="692"/>
        <v>0</v>
      </c>
      <c r="V9707">
        <f t="shared" si="693"/>
        <v>0</v>
      </c>
      <c r="W9707" s="22">
        <f t="shared" si="694"/>
        <v>0</v>
      </c>
    </row>
    <row r="9708" spans="1:23" hidden="1" x14ac:dyDescent="0.25">
      <c r="A9708" s="4"/>
      <c r="B9708" s="4"/>
      <c r="C9708" s="4"/>
      <c r="D9708" s="4"/>
      <c r="E9708" s="4"/>
      <c r="F9708" s="4"/>
      <c r="G9708" s="4"/>
      <c r="H9708" s="4"/>
      <c r="I9708" s="4"/>
      <c r="J9708" s="21">
        <f>IFERROR(VLOOKUP(C9708,'STOK KARTLARI'!$C$2:$K$2150,8,0),0)</f>
        <v>0</v>
      </c>
      <c r="K9708" s="21">
        <f t="shared" si="695"/>
        <v>0</v>
      </c>
      <c r="L9708" s="5">
        <f t="shared" si="697"/>
        <v>0</v>
      </c>
      <c r="M9708" s="4"/>
      <c r="N9708" s="4"/>
      <c r="O9708" s="5"/>
      <c r="P9708" s="5"/>
      <c r="Q9708" s="21">
        <f t="shared" si="698"/>
        <v>0</v>
      </c>
      <c r="R9708" s="21">
        <f t="shared" si="696"/>
        <v>0</v>
      </c>
      <c r="S9708" s="5">
        <f t="shared" si="699"/>
        <v>70007.077158325032</v>
      </c>
      <c r="T9708" cm="1">
        <f t="array" ref="T9708">IF(OR(B9708="MAL ALIMI", B9708="ÜRETİM GİRİŞ"), MIN(I9708, MAX(0, I9708 + SUM(SUMIFS($I$1:I9707, $C$1:C9707, C9708, $B$1:B9707, {"MAL ALIMI","ÜRETİM GİRİŞ"})) - VLOOKUP(C9708, 'STOK RAPORU'!$C$2:$I$1000, 4, 0))), 0)</f>
        <v>0</v>
      </c>
      <c r="U9708" s="22">
        <f t="shared" si="692"/>
        <v>0</v>
      </c>
      <c r="V9708">
        <f t="shared" si="693"/>
        <v>0</v>
      </c>
      <c r="W9708" s="22">
        <f t="shared" si="694"/>
        <v>0</v>
      </c>
    </row>
    <row r="9709" spans="1:23" hidden="1" x14ac:dyDescent="0.25">
      <c r="A9709" s="4"/>
      <c r="B9709" s="4"/>
      <c r="C9709" s="4"/>
      <c r="D9709" s="4"/>
      <c r="E9709" s="4"/>
      <c r="F9709" s="4"/>
      <c r="G9709" s="4"/>
      <c r="H9709" s="4"/>
      <c r="I9709" s="4"/>
      <c r="J9709" s="21">
        <f>IFERROR(VLOOKUP(C9709,'STOK KARTLARI'!$C$2:$K$2150,8,0),0)</f>
        <v>0</v>
      </c>
      <c r="K9709" s="21">
        <f t="shared" si="695"/>
        <v>0</v>
      </c>
      <c r="L9709" s="5">
        <f t="shared" si="697"/>
        <v>0</v>
      </c>
      <c r="M9709" s="4"/>
      <c r="N9709" s="4"/>
      <c r="O9709" s="5"/>
      <c r="P9709" s="5"/>
      <c r="Q9709" s="21">
        <f t="shared" si="698"/>
        <v>0</v>
      </c>
      <c r="R9709" s="21">
        <f t="shared" si="696"/>
        <v>0</v>
      </c>
      <c r="S9709" s="5">
        <f t="shared" si="699"/>
        <v>70007.077158325032</v>
      </c>
      <c r="T9709" cm="1">
        <f t="array" ref="T9709">IF(OR(B9709="MAL ALIMI", B9709="ÜRETİM GİRİŞ"), MIN(I9709, MAX(0, I9709 + SUM(SUMIFS($I$1:I9708, $C$1:C9708, C9709, $B$1:B9708, {"MAL ALIMI","ÜRETİM GİRİŞ"})) - VLOOKUP(C9709, 'STOK RAPORU'!$C$2:$I$1000, 4, 0))), 0)</f>
        <v>0</v>
      </c>
      <c r="U9709" s="22">
        <f t="shared" si="692"/>
        <v>0</v>
      </c>
      <c r="V9709">
        <f t="shared" si="693"/>
        <v>0</v>
      </c>
      <c r="W9709" s="22">
        <f t="shared" si="694"/>
        <v>0</v>
      </c>
    </row>
    <row r="9710" spans="1:23" hidden="1" x14ac:dyDescent="0.25">
      <c r="A9710" s="4"/>
      <c r="B9710" s="4"/>
      <c r="C9710" s="4"/>
      <c r="D9710" s="4"/>
      <c r="E9710" s="4"/>
      <c r="F9710" s="4"/>
      <c r="G9710" s="4"/>
      <c r="H9710" s="4"/>
      <c r="I9710" s="4"/>
      <c r="J9710" s="21">
        <f>IFERROR(VLOOKUP(C9710,'STOK KARTLARI'!$C$2:$K$2150,8,0),0)</f>
        <v>0</v>
      </c>
      <c r="K9710" s="21">
        <f t="shared" si="695"/>
        <v>0</v>
      </c>
      <c r="L9710" s="5">
        <f t="shared" si="697"/>
        <v>0</v>
      </c>
      <c r="M9710" s="4"/>
      <c r="N9710" s="4"/>
      <c r="O9710" s="5"/>
      <c r="P9710" s="5"/>
      <c r="Q9710" s="21">
        <f t="shared" si="698"/>
        <v>0</v>
      </c>
      <c r="R9710" s="21">
        <f t="shared" si="696"/>
        <v>0</v>
      </c>
      <c r="S9710" s="5">
        <f t="shared" si="699"/>
        <v>70007.077158325032</v>
      </c>
      <c r="T9710" cm="1">
        <f t="array" ref="T9710">IF(OR(B9710="MAL ALIMI", B9710="ÜRETİM GİRİŞ"), MIN(I9710, MAX(0, I9710 + SUM(SUMIFS($I$1:I9709, $C$1:C9709, C9710, $B$1:B9709, {"MAL ALIMI","ÜRETİM GİRİŞ"})) - VLOOKUP(C9710, 'STOK RAPORU'!$C$2:$I$1000, 4, 0))), 0)</f>
        <v>0</v>
      </c>
      <c r="U9710" s="22">
        <f t="shared" si="692"/>
        <v>0</v>
      </c>
      <c r="V9710">
        <f t="shared" si="693"/>
        <v>0</v>
      </c>
      <c r="W9710" s="22">
        <f t="shared" si="694"/>
        <v>0</v>
      </c>
    </row>
    <row r="9711" spans="1:23" hidden="1" x14ac:dyDescent="0.25">
      <c r="A9711" s="3"/>
      <c r="B9711" s="4"/>
      <c r="C9711" s="4"/>
      <c r="D9711" s="4"/>
      <c r="E9711" s="4"/>
      <c r="F9711" s="4"/>
      <c r="G9711" s="4"/>
      <c r="H9711" s="4"/>
      <c r="I9711" s="4"/>
      <c r="J9711" s="21">
        <f>IFERROR(VLOOKUP(C9711,'STOK KARTLARI'!$C$2:$K$2150,8,0),0)</f>
        <v>0</v>
      </c>
      <c r="K9711" s="21">
        <f t="shared" si="695"/>
        <v>0</v>
      </c>
      <c r="L9711" s="5">
        <f t="shared" si="697"/>
        <v>0</v>
      </c>
      <c r="M9711" s="4"/>
      <c r="N9711" s="4"/>
      <c r="O9711" s="5"/>
      <c r="P9711" s="5"/>
      <c r="Q9711" s="21">
        <f t="shared" si="698"/>
        <v>0</v>
      </c>
      <c r="R9711" s="21">
        <f t="shared" si="696"/>
        <v>0</v>
      </c>
      <c r="S9711" s="5">
        <f t="shared" si="699"/>
        <v>70007.077158325032</v>
      </c>
      <c r="T9711" cm="1">
        <f t="array" ref="T9711">IF(OR(B9711="MAL ALIMI", B9711="ÜRETİM GİRİŞ"), MIN(I9711, MAX(0, I9711 + SUM(SUMIFS($I$1:I9710, $C$1:C9710, C9711, $B$1:B9710, {"MAL ALIMI","ÜRETİM GİRİŞ"})) - VLOOKUP(C9711, 'STOK RAPORU'!$C$2:$I$1000, 4, 0))), 0)</f>
        <v>0</v>
      </c>
      <c r="U9711" s="22">
        <f t="shared" ref="U9711:U9774" si="700">T9711*J9711</f>
        <v>0</v>
      </c>
      <c r="V9711">
        <f t="shared" ref="V9711:V9774" si="701">IF(OR(B9711="MAL ALIMI", B9711="ÜRETİM GİRİŞ"), I9711 * J9711, 0)</f>
        <v>0</v>
      </c>
      <c r="W9711" s="22">
        <f t="shared" ref="W9711:W9774" si="702">V9711-U9711</f>
        <v>0</v>
      </c>
    </row>
    <row r="9712" spans="1:23" hidden="1" x14ac:dyDescent="0.25">
      <c r="A9712" s="4"/>
      <c r="B9712" s="4"/>
      <c r="C9712" s="4"/>
      <c r="D9712" s="4"/>
      <c r="E9712" s="4"/>
      <c r="F9712" s="4"/>
      <c r="G9712" s="4"/>
      <c r="H9712" s="4"/>
      <c r="I9712" s="4"/>
      <c r="J9712" s="21">
        <f>IFERROR(VLOOKUP(C9712,'STOK KARTLARI'!$C$2:$K$2150,8,0),0)</f>
        <v>0</v>
      </c>
      <c r="K9712" s="21">
        <f t="shared" si="695"/>
        <v>0</v>
      </c>
      <c r="L9712" s="5">
        <f t="shared" si="697"/>
        <v>0</v>
      </c>
      <c r="M9712" s="4"/>
      <c r="N9712" s="4"/>
      <c r="O9712" s="5"/>
      <c r="P9712" s="5"/>
      <c r="Q9712" s="21">
        <f t="shared" si="698"/>
        <v>0</v>
      </c>
      <c r="R9712" s="21">
        <f t="shared" si="696"/>
        <v>0</v>
      </c>
      <c r="S9712" s="5">
        <f t="shared" si="699"/>
        <v>70007.077158325032</v>
      </c>
      <c r="T9712" cm="1">
        <f t="array" ref="T9712">IF(OR(B9712="MAL ALIMI", B9712="ÜRETİM GİRİŞ"), MIN(I9712, MAX(0, I9712 + SUM(SUMIFS($I$1:I9711, $C$1:C9711, C9712, $B$1:B9711, {"MAL ALIMI","ÜRETİM GİRİŞ"})) - VLOOKUP(C9712, 'STOK RAPORU'!$C$2:$I$1000, 4, 0))), 0)</f>
        <v>0</v>
      </c>
      <c r="U9712" s="22">
        <f t="shared" si="700"/>
        <v>0</v>
      </c>
      <c r="V9712">
        <f t="shared" si="701"/>
        <v>0</v>
      </c>
      <c r="W9712" s="22">
        <f t="shared" si="702"/>
        <v>0</v>
      </c>
    </row>
    <row r="9713" spans="1:23" hidden="1" x14ac:dyDescent="0.25">
      <c r="A9713" s="4"/>
      <c r="B9713" s="4"/>
      <c r="C9713" s="4"/>
      <c r="D9713" s="4"/>
      <c r="E9713" s="4"/>
      <c r="F9713" s="4"/>
      <c r="G9713" s="4"/>
      <c r="H9713" s="4"/>
      <c r="I9713" s="4"/>
      <c r="J9713" s="21">
        <f>IFERROR(VLOOKUP(C9713,'STOK KARTLARI'!$C$2:$K$2150,8,0),0)</f>
        <v>0</v>
      </c>
      <c r="K9713" s="21">
        <f t="shared" si="695"/>
        <v>0</v>
      </c>
      <c r="L9713" s="5">
        <f t="shared" si="697"/>
        <v>0</v>
      </c>
      <c r="M9713" s="4"/>
      <c r="N9713" s="4"/>
      <c r="O9713" s="5"/>
      <c r="P9713" s="5"/>
      <c r="Q9713" s="21">
        <f t="shared" si="698"/>
        <v>0</v>
      </c>
      <c r="R9713" s="21">
        <f t="shared" si="696"/>
        <v>0</v>
      </c>
      <c r="S9713" s="5">
        <f t="shared" si="699"/>
        <v>70007.077158325032</v>
      </c>
      <c r="T9713" cm="1">
        <f t="array" ref="T9713">IF(OR(B9713="MAL ALIMI", B9713="ÜRETİM GİRİŞ"), MIN(I9713, MAX(0, I9713 + SUM(SUMIFS($I$1:I9712, $C$1:C9712, C9713, $B$1:B9712, {"MAL ALIMI","ÜRETİM GİRİŞ"})) - VLOOKUP(C9713, 'STOK RAPORU'!$C$2:$I$1000, 4, 0))), 0)</f>
        <v>0</v>
      </c>
      <c r="U9713" s="22">
        <f t="shared" si="700"/>
        <v>0</v>
      </c>
      <c r="V9713">
        <f t="shared" si="701"/>
        <v>0</v>
      </c>
      <c r="W9713" s="22">
        <f t="shared" si="702"/>
        <v>0</v>
      </c>
    </row>
    <row r="9714" spans="1:23" hidden="1" x14ac:dyDescent="0.25">
      <c r="A9714" s="4"/>
      <c r="B9714" s="4"/>
      <c r="C9714" s="4"/>
      <c r="D9714" s="4"/>
      <c r="E9714" s="4"/>
      <c r="F9714" s="4"/>
      <c r="G9714" s="4"/>
      <c r="H9714" s="4"/>
      <c r="I9714" s="4"/>
      <c r="J9714" s="21">
        <f>IFERROR(VLOOKUP(C9714,'STOK KARTLARI'!$C$2:$K$2150,8,0),0)</f>
        <v>0</v>
      </c>
      <c r="K9714" s="21">
        <f t="shared" si="695"/>
        <v>0</v>
      </c>
      <c r="L9714" s="5">
        <f t="shared" si="697"/>
        <v>0</v>
      </c>
      <c r="M9714" s="4"/>
      <c r="N9714" s="4"/>
      <c r="O9714" s="5"/>
      <c r="P9714" s="5"/>
      <c r="Q9714" s="21">
        <f t="shared" si="698"/>
        <v>0</v>
      </c>
      <c r="R9714" s="21">
        <f t="shared" si="696"/>
        <v>0</v>
      </c>
      <c r="S9714" s="5">
        <f t="shared" si="699"/>
        <v>70007.077158325032</v>
      </c>
      <c r="T9714" cm="1">
        <f t="array" ref="T9714">IF(OR(B9714="MAL ALIMI", B9714="ÜRETİM GİRİŞ"), MIN(I9714, MAX(0, I9714 + SUM(SUMIFS($I$1:I9713, $C$1:C9713, C9714, $B$1:B9713, {"MAL ALIMI","ÜRETİM GİRİŞ"})) - VLOOKUP(C9714, 'STOK RAPORU'!$C$2:$I$1000, 4, 0))), 0)</f>
        <v>0</v>
      </c>
      <c r="U9714" s="22">
        <f t="shared" si="700"/>
        <v>0</v>
      </c>
      <c r="V9714">
        <f t="shared" si="701"/>
        <v>0</v>
      </c>
      <c r="W9714" s="22">
        <f t="shared" si="702"/>
        <v>0</v>
      </c>
    </row>
    <row r="9715" spans="1:23" hidden="1" x14ac:dyDescent="0.25">
      <c r="A9715" s="4"/>
      <c r="B9715" s="4"/>
      <c r="C9715" s="4"/>
      <c r="D9715" s="4"/>
      <c r="E9715" s="4"/>
      <c r="F9715" s="4"/>
      <c r="G9715" s="4"/>
      <c r="H9715" s="4"/>
      <c r="I9715" s="4"/>
      <c r="J9715" s="21">
        <f>IFERROR(VLOOKUP(C9715,'STOK KARTLARI'!$C$2:$K$2150,8,0),0)</f>
        <v>0</v>
      </c>
      <c r="K9715" s="21">
        <f t="shared" ref="K9715:K9778" si="703">IF(AND(B9715="MAL SATIŞI", H9715="POS"),I9715*J9715,0)</f>
        <v>0</v>
      </c>
      <c r="L9715" s="5">
        <f t="shared" si="697"/>
        <v>0</v>
      </c>
      <c r="M9715" s="4"/>
      <c r="N9715" s="4"/>
      <c r="O9715" s="5"/>
      <c r="P9715" s="5"/>
      <c r="Q9715" s="21">
        <f t="shared" si="698"/>
        <v>0</v>
      </c>
      <c r="R9715" s="21">
        <f t="shared" ref="R9715:R9778" si="704">IF(AND(E9715="", B9715&lt;&gt;"MAL SATIŞI"),I9715*J9715,0)</f>
        <v>0</v>
      </c>
      <c r="S9715" s="5">
        <f t="shared" si="699"/>
        <v>70007.077158325032</v>
      </c>
      <c r="T9715" cm="1">
        <f t="array" ref="T9715">IF(OR(B9715="MAL ALIMI", B9715="ÜRETİM GİRİŞ"), MIN(I9715, MAX(0, I9715 + SUM(SUMIFS($I$1:I9714, $C$1:C9714, C9715, $B$1:B9714, {"MAL ALIMI","ÜRETİM GİRİŞ"})) - VLOOKUP(C9715, 'STOK RAPORU'!$C$2:$I$1000, 4, 0))), 0)</f>
        <v>0</v>
      </c>
      <c r="U9715" s="22">
        <f t="shared" si="700"/>
        <v>0</v>
      </c>
      <c r="V9715">
        <f t="shared" si="701"/>
        <v>0</v>
      </c>
      <c r="W9715" s="22">
        <f t="shared" si="702"/>
        <v>0</v>
      </c>
    </row>
    <row r="9716" spans="1:23" hidden="1" x14ac:dyDescent="0.25">
      <c r="A9716" s="4"/>
      <c r="B9716" s="4"/>
      <c r="C9716" s="4"/>
      <c r="D9716" s="4"/>
      <c r="E9716" s="4"/>
      <c r="F9716" s="4"/>
      <c r="G9716" s="4"/>
      <c r="H9716" s="4"/>
      <c r="I9716" s="4"/>
      <c r="J9716" s="21">
        <f>IFERROR(VLOOKUP(C9716,'STOK KARTLARI'!$C$2:$K$2150,8,0),0)</f>
        <v>0</v>
      </c>
      <c r="K9716" s="21">
        <f t="shared" si="703"/>
        <v>0</v>
      </c>
      <c r="L9716" s="5">
        <f t="shared" ref="L9716:L9779" si="705">IF(OR(E9716="", H9716="POS"),0,I9716*J9716)</f>
        <v>0</v>
      </c>
      <c r="M9716" s="4"/>
      <c r="N9716" s="4"/>
      <c r="O9716" s="5"/>
      <c r="P9716" s="5"/>
      <c r="Q9716" s="21">
        <f t="shared" ref="Q9716:Q9779" si="706">IF(AND(E9716="", B9716="MAL SATIŞI", H9716="NAKİT"),I9716*J9716,0)</f>
        <v>0</v>
      </c>
      <c r="R9716" s="21">
        <f t="shared" si="704"/>
        <v>0</v>
      </c>
      <c r="S9716" s="5">
        <f t="shared" si="699"/>
        <v>70007.077158325032</v>
      </c>
      <c r="T9716" cm="1">
        <f t="array" ref="T9716">IF(OR(B9716="MAL ALIMI", B9716="ÜRETİM GİRİŞ"), MIN(I9716, MAX(0, I9716 + SUM(SUMIFS($I$1:I9715, $C$1:C9715, C9716, $B$1:B9715, {"MAL ALIMI","ÜRETİM GİRİŞ"})) - VLOOKUP(C9716, 'STOK RAPORU'!$C$2:$I$1000, 4, 0))), 0)</f>
        <v>0</v>
      </c>
      <c r="U9716" s="22">
        <f t="shared" si="700"/>
        <v>0</v>
      </c>
      <c r="V9716">
        <f t="shared" si="701"/>
        <v>0</v>
      </c>
      <c r="W9716" s="22">
        <f t="shared" si="702"/>
        <v>0</v>
      </c>
    </row>
    <row r="9717" spans="1:23" hidden="1" x14ac:dyDescent="0.25">
      <c r="A9717" s="4"/>
      <c r="B9717" s="4"/>
      <c r="C9717" s="4"/>
      <c r="D9717" s="4"/>
      <c r="E9717" s="4"/>
      <c r="F9717" s="4"/>
      <c r="G9717" s="4"/>
      <c r="H9717" s="4"/>
      <c r="I9717" s="4"/>
      <c r="J9717" s="21">
        <f>IFERROR(VLOOKUP(C9717,'STOK KARTLARI'!$C$2:$K$2150,8,0),0)</f>
        <v>0</v>
      </c>
      <c r="K9717" s="21">
        <f t="shared" si="703"/>
        <v>0</v>
      </c>
      <c r="L9717" s="5">
        <f t="shared" si="705"/>
        <v>0</v>
      </c>
      <c r="M9717" s="4"/>
      <c r="N9717" s="4"/>
      <c r="O9717" s="5"/>
      <c r="P9717" s="5"/>
      <c r="Q9717" s="21">
        <f t="shared" si="706"/>
        <v>0</v>
      </c>
      <c r="R9717" s="21">
        <f t="shared" si="704"/>
        <v>0</v>
      </c>
      <c r="S9717" s="5">
        <f t="shared" si="699"/>
        <v>70007.077158325032</v>
      </c>
      <c r="T9717" cm="1">
        <f t="array" ref="T9717">IF(OR(B9717="MAL ALIMI", B9717="ÜRETİM GİRİŞ"), MIN(I9717, MAX(0, I9717 + SUM(SUMIFS($I$1:I9716, $C$1:C9716, C9717, $B$1:B9716, {"MAL ALIMI","ÜRETİM GİRİŞ"})) - VLOOKUP(C9717, 'STOK RAPORU'!$C$2:$I$1000, 4, 0))), 0)</f>
        <v>0</v>
      </c>
      <c r="U9717" s="22">
        <f t="shared" si="700"/>
        <v>0</v>
      </c>
      <c r="V9717">
        <f t="shared" si="701"/>
        <v>0</v>
      </c>
      <c r="W9717" s="22">
        <f t="shared" si="702"/>
        <v>0</v>
      </c>
    </row>
    <row r="9718" spans="1:23" hidden="1" x14ac:dyDescent="0.25">
      <c r="A9718" s="3"/>
      <c r="B9718" s="4"/>
      <c r="C9718" s="4"/>
      <c r="D9718" s="4"/>
      <c r="E9718" s="4"/>
      <c r="F9718" s="4"/>
      <c r="G9718" s="4"/>
      <c r="H9718" s="4"/>
      <c r="I9718" s="4"/>
      <c r="J9718" s="21">
        <f>IFERROR(VLOOKUP(C9718,'STOK KARTLARI'!$C$2:$K$2150,8,0),0)</f>
        <v>0</v>
      </c>
      <c r="K9718" s="21">
        <f t="shared" si="703"/>
        <v>0</v>
      </c>
      <c r="L9718" s="5">
        <f t="shared" si="705"/>
        <v>0</v>
      </c>
      <c r="M9718" s="4"/>
      <c r="N9718" s="4"/>
      <c r="O9718" s="5"/>
      <c r="P9718" s="5"/>
      <c r="Q9718" s="21">
        <f t="shared" si="706"/>
        <v>0</v>
      </c>
      <c r="R9718" s="21">
        <f t="shared" si="704"/>
        <v>0</v>
      </c>
      <c r="S9718" s="5">
        <f t="shared" si="699"/>
        <v>70007.077158325032</v>
      </c>
      <c r="T9718" cm="1">
        <f t="array" ref="T9718">IF(OR(B9718="MAL ALIMI", B9718="ÜRETİM GİRİŞ"), MIN(I9718, MAX(0, I9718 + SUM(SUMIFS($I$1:I9717, $C$1:C9717, C9718, $B$1:B9717, {"MAL ALIMI","ÜRETİM GİRİŞ"})) - VLOOKUP(C9718, 'STOK RAPORU'!$C$2:$I$1000, 4, 0))), 0)</f>
        <v>0</v>
      </c>
      <c r="U9718" s="22">
        <f t="shared" si="700"/>
        <v>0</v>
      </c>
      <c r="V9718">
        <f t="shared" si="701"/>
        <v>0</v>
      </c>
      <c r="W9718" s="22">
        <f t="shared" si="702"/>
        <v>0</v>
      </c>
    </row>
    <row r="9719" spans="1:23" hidden="1" x14ac:dyDescent="0.25">
      <c r="A9719" s="4"/>
      <c r="B9719" s="4"/>
      <c r="C9719" s="4"/>
      <c r="D9719" s="4"/>
      <c r="E9719" s="4"/>
      <c r="F9719" s="4"/>
      <c r="G9719" s="4"/>
      <c r="H9719" s="4"/>
      <c r="I9719" s="4"/>
      <c r="J9719" s="21">
        <f>IFERROR(VLOOKUP(C9719,'STOK KARTLARI'!$C$2:$K$2150,8,0),0)</f>
        <v>0</v>
      </c>
      <c r="K9719" s="21">
        <f t="shared" si="703"/>
        <v>0</v>
      </c>
      <c r="L9719" s="5">
        <f t="shared" si="705"/>
        <v>0</v>
      </c>
      <c r="M9719" s="4"/>
      <c r="N9719" s="4"/>
      <c r="O9719" s="5"/>
      <c r="P9719" s="5"/>
      <c r="Q9719" s="21">
        <f t="shared" si="706"/>
        <v>0</v>
      </c>
      <c r="R9719" s="21">
        <f t="shared" si="704"/>
        <v>0</v>
      </c>
      <c r="S9719" s="5">
        <f t="shared" si="699"/>
        <v>70007.077158325032</v>
      </c>
      <c r="T9719" cm="1">
        <f t="array" ref="T9719">IF(OR(B9719="MAL ALIMI", B9719="ÜRETİM GİRİŞ"), MIN(I9719, MAX(0, I9719 + SUM(SUMIFS($I$1:I9718, $C$1:C9718, C9719, $B$1:B9718, {"MAL ALIMI","ÜRETİM GİRİŞ"})) - VLOOKUP(C9719, 'STOK RAPORU'!$C$2:$I$1000, 4, 0))), 0)</f>
        <v>0</v>
      </c>
      <c r="U9719" s="22">
        <f t="shared" si="700"/>
        <v>0</v>
      </c>
      <c r="V9719">
        <f t="shared" si="701"/>
        <v>0</v>
      </c>
      <c r="W9719" s="22">
        <f t="shared" si="702"/>
        <v>0</v>
      </c>
    </row>
    <row r="9720" spans="1:23" hidden="1" x14ac:dyDescent="0.25">
      <c r="A9720" s="4"/>
      <c r="B9720" s="4"/>
      <c r="C9720" s="4"/>
      <c r="D9720" s="4"/>
      <c r="E9720" s="4"/>
      <c r="F9720" s="4"/>
      <c r="G9720" s="4"/>
      <c r="H9720" s="4"/>
      <c r="I9720" s="4"/>
      <c r="J9720" s="21">
        <f>IFERROR(VLOOKUP(C9720,'STOK KARTLARI'!$C$2:$K$2150,8,0),0)</f>
        <v>0</v>
      </c>
      <c r="K9720" s="21">
        <f t="shared" si="703"/>
        <v>0</v>
      </c>
      <c r="L9720" s="5">
        <f t="shared" si="705"/>
        <v>0</v>
      </c>
      <c r="M9720" s="4"/>
      <c r="N9720" s="4"/>
      <c r="O9720" s="5"/>
      <c r="P9720" s="5"/>
      <c r="Q9720" s="21">
        <f t="shared" si="706"/>
        <v>0</v>
      </c>
      <c r="R9720" s="21">
        <f t="shared" si="704"/>
        <v>0</v>
      </c>
      <c r="S9720" s="5">
        <f t="shared" si="699"/>
        <v>70007.077158325032</v>
      </c>
      <c r="T9720" cm="1">
        <f t="array" ref="T9720">IF(OR(B9720="MAL ALIMI", B9720="ÜRETİM GİRİŞ"), MIN(I9720, MAX(0, I9720 + SUM(SUMIFS($I$1:I9719, $C$1:C9719, C9720, $B$1:B9719, {"MAL ALIMI","ÜRETİM GİRİŞ"})) - VLOOKUP(C9720, 'STOK RAPORU'!$C$2:$I$1000, 4, 0))), 0)</f>
        <v>0</v>
      </c>
      <c r="U9720" s="22">
        <f t="shared" si="700"/>
        <v>0</v>
      </c>
      <c r="V9720">
        <f t="shared" si="701"/>
        <v>0</v>
      </c>
      <c r="W9720" s="22">
        <f t="shared" si="702"/>
        <v>0</v>
      </c>
    </row>
    <row r="9721" spans="1:23" hidden="1" x14ac:dyDescent="0.25">
      <c r="A9721" s="4"/>
      <c r="B9721" s="4"/>
      <c r="C9721" s="4"/>
      <c r="D9721" s="4"/>
      <c r="E9721" s="4"/>
      <c r="F9721" s="4"/>
      <c r="G9721" s="4"/>
      <c r="H9721" s="4"/>
      <c r="I9721" s="4"/>
      <c r="J9721" s="21">
        <f>IFERROR(VLOOKUP(C9721,'STOK KARTLARI'!$C$2:$K$2150,8,0),0)</f>
        <v>0</v>
      </c>
      <c r="K9721" s="21">
        <f t="shared" si="703"/>
        <v>0</v>
      </c>
      <c r="L9721" s="5">
        <f t="shared" si="705"/>
        <v>0</v>
      </c>
      <c r="M9721" s="4"/>
      <c r="N9721" s="4"/>
      <c r="O9721" s="5"/>
      <c r="P9721" s="5"/>
      <c r="Q9721" s="21">
        <f t="shared" si="706"/>
        <v>0</v>
      </c>
      <c r="R9721" s="21">
        <f t="shared" si="704"/>
        <v>0</v>
      </c>
      <c r="S9721" s="5">
        <f t="shared" si="699"/>
        <v>70007.077158325032</v>
      </c>
      <c r="T9721" cm="1">
        <f t="array" ref="T9721">IF(OR(B9721="MAL ALIMI", B9721="ÜRETİM GİRİŞ"), MIN(I9721, MAX(0, I9721 + SUM(SUMIFS($I$1:I9720, $C$1:C9720, C9721, $B$1:B9720, {"MAL ALIMI","ÜRETİM GİRİŞ"})) - VLOOKUP(C9721, 'STOK RAPORU'!$C$2:$I$1000, 4, 0))), 0)</f>
        <v>0</v>
      </c>
      <c r="U9721" s="22">
        <f t="shared" si="700"/>
        <v>0</v>
      </c>
      <c r="V9721">
        <f t="shared" si="701"/>
        <v>0</v>
      </c>
      <c r="W9721" s="22">
        <f t="shared" si="702"/>
        <v>0</v>
      </c>
    </row>
    <row r="9722" spans="1:23" hidden="1" x14ac:dyDescent="0.25">
      <c r="A9722" s="4"/>
      <c r="B9722" s="4"/>
      <c r="C9722" s="4"/>
      <c r="D9722" s="4"/>
      <c r="E9722" s="4"/>
      <c r="F9722" s="4"/>
      <c r="G9722" s="4"/>
      <c r="H9722" s="4"/>
      <c r="I9722" s="4"/>
      <c r="J9722" s="21">
        <f>IFERROR(VLOOKUP(C9722,'STOK KARTLARI'!$C$2:$K$2150,8,0),0)</f>
        <v>0</v>
      </c>
      <c r="K9722" s="21">
        <f t="shared" si="703"/>
        <v>0</v>
      </c>
      <c r="L9722" s="5">
        <f t="shared" si="705"/>
        <v>0</v>
      </c>
      <c r="M9722" s="4"/>
      <c r="N9722" s="4"/>
      <c r="O9722" s="5"/>
      <c r="P9722" s="5"/>
      <c r="Q9722" s="21">
        <f t="shared" si="706"/>
        <v>0</v>
      </c>
      <c r="R9722" s="21">
        <f t="shared" si="704"/>
        <v>0</v>
      </c>
      <c r="S9722" s="5">
        <f t="shared" si="699"/>
        <v>70007.077158325032</v>
      </c>
      <c r="T9722" cm="1">
        <f t="array" ref="T9722">IF(OR(B9722="MAL ALIMI", B9722="ÜRETİM GİRİŞ"), MIN(I9722, MAX(0, I9722 + SUM(SUMIFS($I$1:I9721, $C$1:C9721, C9722, $B$1:B9721, {"MAL ALIMI","ÜRETİM GİRİŞ"})) - VLOOKUP(C9722, 'STOK RAPORU'!$C$2:$I$1000, 4, 0))), 0)</f>
        <v>0</v>
      </c>
      <c r="U9722" s="22">
        <f t="shared" si="700"/>
        <v>0</v>
      </c>
      <c r="V9722">
        <f t="shared" si="701"/>
        <v>0</v>
      </c>
      <c r="W9722" s="22">
        <f t="shared" si="702"/>
        <v>0</v>
      </c>
    </row>
    <row r="9723" spans="1:23" hidden="1" x14ac:dyDescent="0.25">
      <c r="A9723" s="4"/>
      <c r="B9723" s="4"/>
      <c r="C9723" s="4"/>
      <c r="D9723" s="4"/>
      <c r="E9723" s="4"/>
      <c r="F9723" s="4"/>
      <c r="G9723" s="4"/>
      <c r="H9723" s="4"/>
      <c r="I9723" s="4"/>
      <c r="J9723" s="21">
        <f>IFERROR(VLOOKUP(C9723,'STOK KARTLARI'!$C$2:$K$2150,8,0),0)</f>
        <v>0</v>
      </c>
      <c r="K9723" s="21">
        <f t="shared" si="703"/>
        <v>0</v>
      </c>
      <c r="L9723" s="5">
        <f t="shared" si="705"/>
        <v>0</v>
      </c>
      <c r="M9723" s="4"/>
      <c r="N9723" s="4"/>
      <c r="O9723" s="5"/>
      <c r="P9723" s="5"/>
      <c r="Q9723" s="21">
        <f t="shared" si="706"/>
        <v>0</v>
      </c>
      <c r="R9723" s="21">
        <f t="shared" si="704"/>
        <v>0</v>
      </c>
      <c r="S9723" s="5">
        <f t="shared" si="699"/>
        <v>70007.077158325032</v>
      </c>
      <c r="T9723" cm="1">
        <f t="array" ref="T9723">IF(OR(B9723="MAL ALIMI", B9723="ÜRETİM GİRİŞ"), MIN(I9723, MAX(0, I9723 + SUM(SUMIFS($I$1:I9722, $C$1:C9722, C9723, $B$1:B9722, {"MAL ALIMI","ÜRETİM GİRİŞ"})) - VLOOKUP(C9723, 'STOK RAPORU'!$C$2:$I$1000, 4, 0))), 0)</f>
        <v>0</v>
      </c>
      <c r="U9723" s="22">
        <f t="shared" si="700"/>
        <v>0</v>
      </c>
      <c r="V9723">
        <f t="shared" si="701"/>
        <v>0</v>
      </c>
      <c r="W9723" s="22">
        <f t="shared" si="702"/>
        <v>0</v>
      </c>
    </row>
    <row r="9724" spans="1:23" hidden="1" x14ac:dyDescent="0.25">
      <c r="A9724" s="4"/>
      <c r="B9724" s="4"/>
      <c r="C9724" s="4"/>
      <c r="D9724" s="4"/>
      <c r="E9724" s="4"/>
      <c r="F9724" s="4"/>
      <c r="G9724" s="4"/>
      <c r="H9724" s="4"/>
      <c r="I9724" s="4"/>
      <c r="J9724" s="21">
        <f>IFERROR(VLOOKUP(C9724,'STOK KARTLARI'!$C$2:$K$2150,8,0),0)</f>
        <v>0</v>
      </c>
      <c r="K9724" s="21">
        <f t="shared" si="703"/>
        <v>0</v>
      </c>
      <c r="L9724" s="5">
        <f t="shared" si="705"/>
        <v>0</v>
      </c>
      <c r="M9724" s="4"/>
      <c r="N9724" s="4"/>
      <c r="O9724" s="5"/>
      <c r="P9724" s="5"/>
      <c r="Q9724" s="21">
        <f t="shared" si="706"/>
        <v>0</v>
      </c>
      <c r="R9724" s="21">
        <f t="shared" si="704"/>
        <v>0</v>
      </c>
      <c r="S9724" s="5">
        <f t="shared" si="699"/>
        <v>70007.077158325032</v>
      </c>
      <c r="T9724" cm="1">
        <f t="array" ref="T9724">IF(OR(B9724="MAL ALIMI", B9724="ÜRETİM GİRİŞ"), MIN(I9724, MAX(0, I9724 + SUM(SUMIFS($I$1:I9723, $C$1:C9723, C9724, $B$1:B9723, {"MAL ALIMI","ÜRETİM GİRİŞ"})) - VLOOKUP(C9724, 'STOK RAPORU'!$C$2:$I$1000, 4, 0))), 0)</f>
        <v>0</v>
      </c>
      <c r="U9724" s="22">
        <f t="shared" si="700"/>
        <v>0</v>
      </c>
      <c r="V9724">
        <f t="shared" si="701"/>
        <v>0</v>
      </c>
      <c r="W9724" s="22">
        <f t="shared" si="702"/>
        <v>0</v>
      </c>
    </row>
    <row r="9725" spans="1:23" hidden="1" x14ac:dyDescent="0.25">
      <c r="A9725" s="3"/>
      <c r="B9725" s="4"/>
      <c r="C9725" s="4"/>
      <c r="D9725" s="4"/>
      <c r="E9725" s="4"/>
      <c r="F9725" s="4"/>
      <c r="G9725" s="4"/>
      <c r="H9725" s="4"/>
      <c r="I9725" s="4"/>
      <c r="J9725" s="21">
        <f>IFERROR(VLOOKUP(C9725,'STOK KARTLARI'!$C$2:$K$2150,8,0),0)</f>
        <v>0</v>
      </c>
      <c r="K9725" s="21">
        <f t="shared" si="703"/>
        <v>0</v>
      </c>
      <c r="L9725" s="5">
        <f t="shared" si="705"/>
        <v>0</v>
      </c>
      <c r="M9725" s="4"/>
      <c r="N9725" s="4"/>
      <c r="O9725" s="5"/>
      <c r="P9725" s="5"/>
      <c r="Q9725" s="21">
        <f t="shared" si="706"/>
        <v>0</v>
      </c>
      <c r="R9725" s="21">
        <f t="shared" si="704"/>
        <v>0</v>
      </c>
      <c r="S9725" s="5">
        <f t="shared" si="699"/>
        <v>70007.077158325032</v>
      </c>
      <c r="T9725" cm="1">
        <f t="array" ref="T9725">IF(OR(B9725="MAL ALIMI", B9725="ÜRETİM GİRİŞ"), MIN(I9725, MAX(0, I9725 + SUM(SUMIFS($I$1:I9724, $C$1:C9724, C9725, $B$1:B9724, {"MAL ALIMI","ÜRETİM GİRİŞ"})) - VLOOKUP(C9725, 'STOK RAPORU'!$C$2:$I$1000, 4, 0))), 0)</f>
        <v>0</v>
      </c>
      <c r="U9725" s="22">
        <f t="shared" si="700"/>
        <v>0</v>
      </c>
      <c r="V9725">
        <f t="shared" si="701"/>
        <v>0</v>
      </c>
      <c r="W9725" s="22">
        <f t="shared" si="702"/>
        <v>0</v>
      </c>
    </row>
    <row r="9726" spans="1:23" hidden="1" x14ac:dyDescent="0.25">
      <c r="A9726" s="4"/>
      <c r="B9726" s="4"/>
      <c r="C9726" s="4"/>
      <c r="D9726" s="4"/>
      <c r="E9726" s="4"/>
      <c r="F9726" s="4"/>
      <c r="G9726" s="4"/>
      <c r="H9726" s="4"/>
      <c r="I9726" s="4"/>
      <c r="J9726" s="21">
        <f>IFERROR(VLOOKUP(C9726,'STOK KARTLARI'!$C$2:$K$2150,8,0),0)</f>
        <v>0</v>
      </c>
      <c r="K9726" s="21">
        <f t="shared" si="703"/>
        <v>0</v>
      </c>
      <c r="L9726" s="5">
        <f t="shared" si="705"/>
        <v>0</v>
      </c>
      <c r="M9726" s="4"/>
      <c r="N9726" s="4"/>
      <c r="O9726" s="5"/>
      <c r="P9726" s="5"/>
      <c r="Q9726" s="21">
        <f t="shared" si="706"/>
        <v>0</v>
      </c>
      <c r="R9726" s="21">
        <f t="shared" si="704"/>
        <v>0</v>
      </c>
      <c r="S9726" s="5">
        <f t="shared" si="699"/>
        <v>70007.077158325032</v>
      </c>
      <c r="T9726" cm="1">
        <f t="array" ref="T9726">IF(OR(B9726="MAL ALIMI", B9726="ÜRETİM GİRİŞ"), MIN(I9726, MAX(0, I9726 + SUM(SUMIFS($I$1:I9725, $C$1:C9725, C9726, $B$1:B9725, {"MAL ALIMI","ÜRETİM GİRİŞ"})) - VLOOKUP(C9726, 'STOK RAPORU'!$C$2:$I$1000, 4, 0))), 0)</f>
        <v>0</v>
      </c>
      <c r="U9726" s="22">
        <f t="shared" si="700"/>
        <v>0</v>
      </c>
      <c r="V9726">
        <f t="shared" si="701"/>
        <v>0</v>
      </c>
      <c r="W9726" s="22">
        <f t="shared" si="702"/>
        <v>0</v>
      </c>
    </row>
    <row r="9727" spans="1:23" hidden="1" x14ac:dyDescent="0.25">
      <c r="A9727" s="4"/>
      <c r="B9727" s="4"/>
      <c r="C9727" s="4"/>
      <c r="D9727" s="4"/>
      <c r="E9727" s="4"/>
      <c r="F9727" s="4"/>
      <c r="G9727" s="4"/>
      <c r="H9727" s="4"/>
      <c r="I9727" s="4"/>
      <c r="J9727" s="21">
        <f>IFERROR(VLOOKUP(C9727,'STOK KARTLARI'!$C$2:$K$2150,8,0),0)</f>
        <v>0</v>
      </c>
      <c r="K9727" s="21">
        <f t="shared" si="703"/>
        <v>0</v>
      </c>
      <c r="L9727" s="5">
        <f t="shared" si="705"/>
        <v>0</v>
      </c>
      <c r="M9727" s="4"/>
      <c r="N9727" s="4"/>
      <c r="O9727" s="5"/>
      <c r="P9727" s="5"/>
      <c r="Q9727" s="21">
        <f t="shared" si="706"/>
        <v>0</v>
      </c>
      <c r="R9727" s="21">
        <f t="shared" si="704"/>
        <v>0</v>
      </c>
      <c r="S9727" s="5">
        <f t="shared" si="699"/>
        <v>70007.077158325032</v>
      </c>
      <c r="T9727" cm="1">
        <f t="array" ref="T9727">IF(OR(B9727="MAL ALIMI", B9727="ÜRETİM GİRİŞ"), MIN(I9727, MAX(0, I9727 + SUM(SUMIFS($I$1:I9726, $C$1:C9726, C9727, $B$1:B9726, {"MAL ALIMI","ÜRETİM GİRİŞ"})) - VLOOKUP(C9727, 'STOK RAPORU'!$C$2:$I$1000, 4, 0))), 0)</f>
        <v>0</v>
      </c>
      <c r="U9727" s="22">
        <f t="shared" si="700"/>
        <v>0</v>
      </c>
      <c r="V9727">
        <f t="shared" si="701"/>
        <v>0</v>
      </c>
      <c r="W9727" s="22">
        <f t="shared" si="702"/>
        <v>0</v>
      </c>
    </row>
    <row r="9728" spans="1:23" hidden="1" x14ac:dyDescent="0.25">
      <c r="A9728" s="4"/>
      <c r="B9728" s="4"/>
      <c r="C9728" s="4"/>
      <c r="D9728" s="4"/>
      <c r="E9728" s="4"/>
      <c r="F9728" s="4"/>
      <c r="G9728" s="4"/>
      <c r="H9728" s="4"/>
      <c r="I9728" s="4"/>
      <c r="J9728" s="21">
        <f>IFERROR(VLOOKUP(C9728,'STOK KARTLARI'!$C$2:$K$2150,8,0),0)</f>
        <v>0</v>
      </c>
      <c r="K9728" s="21">
        <f t="shared" si="703"/>
        <v>0</v>
      </c>
      <c r="L9728" s="5">
        <f t="shared" si="705"/>
        <v>0</v>
      </c>
      <c r="M9728" s="4"/>
      <c r="N9728" s="4"/>
      <c r="O9728" s="5"/>
      <c r="P9728" s="5"/>
      <c r="Q9728" s="21">
        <f t="shared" si="706"/>
        <v>0</v>
      </c>
      <c r="R9728" s="21">
        <f t="shared" si="704"/>
        <v>0</v>
      </c>
      <c r="S9728" s="5">
        <f t="shared" si="699"/>
        <v>70007.077158325032</v>
      </c>
      <c r="T9728" cm="1">
        <f t="array" ref="T9728">IF(OR(B9728="MAL ALIMI", B9728="ÜRETİM GİRİŞ"), MIN(I9728, MAX(0, I9728 + SUM(SUMIFS($I$1:I9727, $C$1:C9727, C9728, $B$1:B9727, {"MAL ALIMI","ÜRETİM GİRİŞ"})) - VLOOKUP(C9728, 'STOK RAPORU'!$C$2:$I$1000, 4, 0))), 0)</f>
        <v>0</v>
      </c>
      <c r="U9728" s="22">
        <f t="shared" si="700"/>
        <v>0</v>
      </c>
      <c r="V9728">
        <f t="shared" si="701"/>
        <v>0</v>
      </c>
      <c r="W9728" s="22">
        <f t="shared" si="702"/>
        <v>0</v>
      </c>
    </row>
    <row r="9729" spans="1:23" hidden="1" x14ac:dyDescent="0.25">
      <c r="A9729" s="4"/>
      <c r="B9729" s="4"/>
      <c r="C9729" s="4"/>
      <c r="D9729" s="4"/>
      <c r="E9729" s="4"/>
      <c r="F9729" s="4"/>
      <c r="G9729" s="4"/>
      <c r="H9729" s="4"/>
      <c r="I9729" s="4"/>
      <c r="J9729" s="21">
        <f>IFERROR(VLOOKUP(C9729,'STOK KARTLARI'!$C$2:$K$2150,8,0),0)</f>
        <v>0</v>
      </c>
      <c r="K9729" s="21">
        <f t="shared" si="703"/>
        <v>0</v>
      </c>
      <c r="L9729" s="5">
        <f t="shared" si="705"/>
        <v>0</v>
      </c>
      <c r="M9729" s="4"/>
      <c r="N9729" s="4"/>
      <c r="O9729" s="5"/>
      <c r="P9729" s="5"/>
      <c r="Q9729" s="21">
        <f t="shared" si="706"/>
        <v>0</v>
      </c>
      <c r="R9729" s="21">
        <f t="shared" si="704"/>
        <v>0</v>
      </c>
      <c r="S9729" s="5">
        <f t="shared" si="699"/>
        <v>70007.077158325032</v>
      </c>
      <c r="T9729" cm="1">
        <f t="array" ref="T9729">IF(OR(B9729="MAL ALIMI", B9729="ÜRETİM GİRİŞ"), MIN(I9729, MAX(0, I9729 + SUM(SUMIFS($I$1:I9728, $C$1:C9728, C9729, $B$1:B9728, {"MAL ALIMI","ÜRETİM GİRİŞ"})) - VLOOKUP(C9729, 'STOK RAPORU'!$C$2:$I$1000, 4, 0))), 0)</f>
        <v>0</v>
      </c>
      <c r="U9729" s="22">
        <f t="shared" si="700"/>
        <v>0</v>
      </c>
      <c r="V9729">
        <f t="shared" si="701"/>
        <v>0</v>
      </c>
      <c r="W9729" s="22">
        <f t="shared" si="702"/>
        <v>0</v>
      </c>
    </row>
    <row r="9730" spans="1:23" hidden="1" x14ac:dyDescent="0.25">
      <c r="A9730" s="4"/>
      <c r="B9730" s="4"/>
      <c r="C9730" s="4"/>
      <c r="D9730" s="4"/>
      <c r="E9730" s="4"/>
      <c r="F9730" s="4"/>
      <c r="G9730" s="4"/>
      <c r="H9730" s="4"/>
      <c r="I9730" s="4"/>
      <c r="J9730" s="21">
        <f>IFERROR(VLOOKUP(C9730,'STOK KARTLARI'!$C$2:$K$2150,8,0),0)</f>
        <v>0</v>
      </c>
      <c r="K9730" s="21">
        <f t="shared" si="703"/>
        <v>0</v>
      </c>
      <c r="L9730" s="5">
        <f t="shared" si="705"/>
        <v>0</v>
      </c>
      <c r="M9730" s="4"/>
      <c r="N9730" s="4"/>
      <c r="O9730" s="5"/>
      <c r="P9730" s="5"/>
      <c r="Q9730" s="21">
        <f t="shared" si="706"/>
        <v>0</v>
      </c>
      <c r="R9730" s="21">
        <f t="shared" si="704"/>
        <v>0</v>
      </c>
      <c r="S9730" s="5">
        <f t="shared" si="699"/>
        <v>70007.077158325032</v>
      </c>
      <c r="T9730" cm="1">
        <f t="array" ref="T9730">IF(OR(B9730="MAL ALIMI", B9730="ÜRETİM GİRİŞ"), MIN(I9730, MAX(0, I9730 + SUM(SUMIFS($I$1:I9729, $C$1:C9729, C9730, $B$1:B9729, {"MAL ALIMI","ÜRETİM GİRİŞ"})) - VLOOKUP(C9730, 'STOK RAPORU'!$C$2:$I$1000, 4, 0))), 0)</f>
        <v>0</v>
      </c>
      <c r="U9730" s="22">
        <f t="shared" si="700"/>
        <v>0</v>
      </c>
      <c r="V9730">
        <f t="shared" si="701"/>
        <v>0</v>
      </c>
      <c r="W9730" s="22">
        <f t="shared" si="702"/>
        <v>0</v>
      </c>
    </row>
    <row r="9731" spans="1:23" hidden="1" x14ac:dyDescent="0.25">
      <c r="A9731" s="4"/>
      <c r="B9731" s="4"/>
      <c r="C9731" s="4"/>
      <c r="D9731" s="4"/>
      <c r="E9731" s="4"/>
      <c r="F9731" s="4"/>
      <c r="G9731" s="4"/>
      <c r="H9731" s="4"/>
      <c r="I9731" s="4"/>
      <c r="J9731" s="21">
        <f>IFERROR(VLOOKUP(C9731,'STOK KARTLARI'!$C$2:$K$2150,8,0),0)</f>
        <v>0</v>
      </c>
      <c r="K9731" s="21">
        <f t="shared" si="703"/>
        <v>0</v>
      </c>
      <c r="L9731" s="5">
        <f t="shared" si="705"/>
        <v>0</v>
      </c>
      <c r="M9731" s="4"/>
      <c r="N9731" s="4"/>
      <c r="O9731" s="5"/>
      <c r="P9731" s="5"/>
      <c r="Q9731" s="21">
        <f t="shared" si="706"/>
        <v>0</v>
      </c>
      <c r="R9731" s="21">
        <f t="shared" si="704"/>
        <v>0</v>
      </c>
      <c r="S9731" s="5">
        <f t="shared" si="699"/>
        <v>70007.077158325032</v>
      </c>
      <c r="T9731" cm="1">
        <f t="array" ref="T9731">IF(OR(B9731="MAL ALIMI", B9731="ÜRETİM GİRİŞ"), MIN(I9731, MAX(0, I9731 + SUM(SUMIFS($I$1:I9730, $C$1:C9730, C9731, $B$1:B9730, {"MAL ALIMI","ÜRETİM GİRİŞ"})) - VLOOKUP(C9731, 'STOK RAPORU'!$C$2:$I$1000, 4, 0))), 0)</f>
        <v>0</v>
      </c>
      <c r="U9731" s="22">
        <f t="shared" si="700"/>
        <v>0</v>
      </c>
      <c r="V9731">
        <f t="shared" si="701"/>
        <v>0</v>
      </c>
      <c r="W9731" s="22">
        <f t="shared" si="702"/>
        <v>0</v>
      </c>
    </row>
    <row r="9732" spans="1:23" hidden="1" x14ac:dyDescent="0.25">
      <c r="A9732" s="3"/>
      <c r="B9732" s="4"/>
      <c r="C9732" s="4"/>
      <c r="D9732" s="4"/>
      <c r="E9732" s="4"/>
      <c r="F9732" s="4"/>
      <c r="G9732" s="4"/>
      <c r="H9732" s="4"/>
      <c r="I9732" s="4"/>
      <c r="J9732" s="21">
        <f>IFERROR(VLOOKUP(C9732,'STOK KARTLARI'!$C$2:$K$2150,8,0),0)</f>
        <v>0</v>
      </c>
      <c r="K9732" s="21">
        <f t="shared" si="703"/>
        <v>0</v>
      </c>
      <c r="L9732" s="5">
        <f t="shared" si="705"/>
        <v>0</v>
      </c>
      <c r="M9732" s="4"/>
      <c r="N9732" s="4"/>
      <c r="O9732" s="5"/>
      <c r="P9732" s="5"/>
      <c r="Q9732" s="21">
        <f t="shared" si="706"/>
        <v>0</v>
      </c>
      <c r="R9732" s="21">
        <f t="shared" si="704"/>
        <v>0</v>
      </c>
      <c r="S9732" s="5">
        <f t="shared" si="699"/>
        <v>70007.077158325032</v>
      </c>
      <c r="T9732" cm="1">
        <f t="array" ref="T9732">IF(OR(B9732="MAL ALIMI", B9732="ÜRETİM GİRİŞ"), MIN(I9732, MAX(0, I9732 + SUM(SUMIFS($I$1:I9731, $C$1:C9731, C9732, $B$1:B9731, {"MAL ALIMI","ÜRETİM GİRİŞ"})) - VLOOKUP(C9732, 'STOK RAPORU'!$C$2:$I$1000, 4, 0))), 0)</f>
        <v>0</v>
      </c>
      <c r="U9732" s="22">
        <f t="shared" si="700"/>
        <v>0</v>
      </c>
      <c r="V9732">
        <f t="shared" si="701"/>
        <v>0</v>
      </c>
      <c r="W9732" s="22">
        <f t="shared" si="702"/>
        <v>0</v>
      </c>
    </row>
    <row r="9733" spans="1:23" hidden="1" x14ac:dyDescent="0.25">
      <c r="A9733" s="4"/>
      <c r="B9733" s="4"/>
      <c r="C9733" s="4"/>
      <c r="D9733" s="4"/>
      <c r="E9733" s="4"/>
      <c r="F9733" s="4"/>
      <c r="G9733" s="4"/>
      <c r="H9733" s="4"/>
      <c r="I9733" s="4"/>
      <c r="J9733" s="21">
        <f>IFERROR(VLOOKUP(C9733,'STOK KARTLARI'!$C$2:$K$2150,8,0),0)</f>
        <v>0</v>
      </c>
      <c r="K9733" s="21">
        <f t="shared" si="703"/>
        <v>0</v>
      </c>
      <c r="L9733" s="5">
        <f t="shared" si="705"/>
        <v>0</v>
      </c>
      <c r="M9733" s="4"/>
      <c r="N9733" s="4"/>
      <c r="O9733" s="5"/>
      <c r="P9733" s="5"/>
      <c r="Q9733" s="21">
        <f t="shared" si="706"/>
        <v>0</v>
      </c>
      <c r="R9733" s="21">
        <f t="shared" si="704"/>
        <v>0</v>
      </c>
      <c r="S9733" s="5">
        <f t="shared" ref="S9733:S9796" si="707">S9732+Q9733-R9733</f>
        <v>70007.077158325032</v>
      </c>
      <c r="T9733" cm="1">
        <f t="array" ref="T9733">IF(OR(B9733="MAL ALIMI", B9733="ÜRETİM GİRİŞ"), MIN(I9733, MAX(0, I9733 + SUM(SUMIFS($I$1:I9732, $C$1:C9732, C9733, $B$1:B9732, {"MAL ALIMI","ÜRETİM GİRİŞ"})) - VLOOKUP(C9733, 'STOK RAPORU'!$C$2:$I$1000, 4, 0))), 0)</f>
        <v>0</v>
      </c>
      <c r="U9733" s="22">
        <f t="shared" si="700"/>
        <v>0</v>
      </c>
      <c r="V9733">
        <f t="shared" si="701"/>
        <v>0</v>
      </c>
      <c r="W9733" s="22">
        <f t="shared" si="702"/>
        <v>0</v>
      </c>
    </row>
    <row r="9734" spans="1:23" hidden="1" x14ac:dyDescent="0.25">
      <c r="A9734" s="4"/>
      <c r="B9734" s="4"/>
      <c r="C9734" s="4"/>
      <c r="D9734" s="4"/>
      <c r="E9734" s="4"/>
      <c r="F9734" s="4"/>
      <c r="G9734" s="4"/>
      <c r="H9734" s="4"/>
      <c r="I9734" s="4"/>
      <c r="J9734" s="21">
        <f>IFERROR(VLOOKUP(C9734,'STOK KARTLARI'!$C$2:$K$2150,8,0),0)</f>
        <v>0</v>
      </c>
      <c r="K9734" s="21">
        <f t="shared" si="703"/>
        <v>0</v>
      </c>
      <c r="L9734" s="5">
        <f t="shared" si="705"/>
        <v>0</v>
      </c>
      <c r="M9734" s="4"/>
      <c r="N9734" s="4"/>
      <c r="O9734" s="5"/>
      <c r="P9734" s="5"/>
      <c r="Q9734" s="21">
        <f t="shared" si="706"/>
        <v>0</v>
      </c>
      <c r="R9734" s="21">
        <f t="shared" si="704"/>
        <v>0</v>
      </c>
      <c r="S9734" s="5">
        <f t="shared" si="707"/>
        <v>70007.077158325032</v>
      </c>
      <c r="T9734" cm="1">
        <f t="array" ref="T9734">IF(OR(B9734="MAL ALIMI", B9734="ÜRETİM GİRİŞ"), MIN(I9734, MAX(0, I9734 + SUM(SUMIFS($I$1:I9733, $C$1:C9733, C9734, $B$1:B9733, {"MAL ALIMI","ÜRETİM GİRİŞ"})) - VLOOKUP(C9734, 'STOK RAPORU'!$C$2:$I$1000, 4, 0))), 0)</f>
        <v>0</v>
      </c>
      <c r="U9734" s="22">
        <f t="shared" si="700"/>
        <v>0</v>
      </c>
      <c r="V9734">
        <f t="shared" si="701"/>
        <v>0</v>
      </c>
      <c r="W9734" s="22">
        <f t="shared" si="702"/>
        <v>0</v>
      </c>
    </row>
    <row r="9735" spans="1:23" hidden="1" x14ac:dyDescent="0.25">
      <c r="A9735" s="4"/>
      <c r="B9735" s="4"/>
      <c r="C9735" s="4"/>
      <c r="D9735" s="4"/>
      <c r="E9735" s="4"/>
      <c r="F9735" s="4"/>
      <c r="G9735" s="4"/>
      <c r="H9735" s="4"/>
      <c r="I9735" s="4"/>
      <c r="J9735" s="21">
        <f>IFERROR(VLOOKUP(C9735,'STOK KARTLARI'!$C$2:$K$2150,8,0),0)</f>
        <v>0</v>
      </c>
      <c r="K9735" s="21">
        <f t="shared" si="703"/>
        <v>0</v>
      </c>
      <c r="L9735" s="5">
        <f t="shared" si="705"/>
        <v>0</v>
      </c>
      <c r="M9735" s="4"/>
      <c r="N9735" s="4"/>
      <c r="O9735" s="5"/>
      <c r="P9735" s="5"/>
      <c r="Q9735" s="21">
        <f t="shared" si="706"/>
        <v>0</v>
      </c>
      <c r="R9735" s="21">
        <f t="shared" si="704"/>
        <v>0</v>
      </c>
      <c r="S9735" s="5">
        <f t="shared" si="707"/>
        <v>70007.077158325032</v>
      </c>
      <c r="T9735" cm="1">
        <f t="array" ref="T9735">IF(OR(B9735="MAL ALIMI", B9735="ÜRETİM GİRİŞ"), MIN(I9735, MAX(0, I9735 + SUM(SUMIFS($I$1:I9734, $C$1:C9734, C9735, $B$1:B9734, {"MAL ALIMI","ÜRETİM GİRİŞ"})) - VLOOKUP(C9735, 'STOK RAPORU'!$C$2:$I$1000, 4, 0))), 0)</f>
        <v>0</v>
      </c>
      <c r="U9735" s="22">
        <f t="shared" si="700"/>
        <v>0</v>
      </c>
      <c r="V9735">
        <f t="shared" si="701"/>
        <v>0</v>
      </c>
      <c r="W9735" s="22">
        <f t="shared" si="702"/>
        <v>0</v>
      </c>
    </row>
    <row r="9736" spans="1:23" hidden="1" x14ac:dyDescent="0.25">
      <c r="A9736" s="4"/>
      <c r="B9736" s="4"/>
      <c r="C9736" s="4"/>
      <c r="D9736" s="4"/>
      <c r="E9736" s="4"/>
      <c r="F9736" s="4"/>
      <c r="G9736" s="4"/>
      <c r="H9736" s="4"/>
      <c r="I9736" s="4"/>
      <c r="J9736" s="21">
        <f>IFERROR(VLOOKUP(C9736,'STOK KARTLARI'!$C$2:$K$2150,8,0),0)</f>
        <v>0</v>
      </c>
      <c r="K9736" s="21">
        <f t="shared" si="703"/>
        <v>0</v>
      </c>
      <c r="L9736" s="5">
        <f t="shared" si="705"/>
        <v>0</v>
      </c>
      <c r="M9736" s="4"/>
      <c r="N9736" s="4"/>
      <c r="O9736" s="5"/>
      <c r="P9736" s="5"/>
      <c r="Q9736" s="21">
        <f t="shared" si="706"/>
        <v>0</v>
      </c>
      <c r="R9736" s="21">
        <f t="shared" si="704"/>
        <v>0</v>
      </c>
      <c r="S9736" s="5">
        <f t="shared" si="707"/>
        <v>70007.077158325032</v>
      </c>
      <c r="T9736" cm="1">
        <f t="array" ref="T9736">IF(OR(B9736="MAL ALIMI", B9736="ÜRETİM GİRİŞ"), MIN(I9736, MAX(0, I9736 + SUM(SUMIFS($I$1:I9735, $C$1:C9735, C9736, $B$1:B9735, {"MAL ALIMI","ÜRETİM GİRİŞ"})) - VLOOKUP(C9736, 'STOK RAPORU'!$C$2:$I$1000, 4, 0))), 0)</f>
        <v>0</v>
      </c>
      <c r="U9736" s="22">
        <f t="shared" si="700"/>
        <v>0</v>
      </c>
      <c r="V9736">
        <f t="shared" si="701"/>
        <v>0</v>
      </c>
      <c r="W9736" s="22">
        <f t="shared" si="702"/>
        <v>0</v>
      </c>
    </row>
    <row r="9737" spans="1:23" hidden="1" x14ac:dyDescent="0.25">
      <c r="A9737" s="4"/>
      <c r="B9737" s="4"/>
      <c r="C9737" s="4"/>
      <c r="D9737" s="4"/>
      <c r="E9737" s="4"/>
      <c r="F9737" s="4"/>
      <c r="G9737" s="4"/>
      <c r="H9737" s="4"/>
      <c r="I9737" s="4"/>
      <c r="J9737" s="21">
        <f>IFERROR(VLOOKUP(C9737,'STOK KARTLARI'!$C$2:$K$2150,8,0),0)</f>
        <v>0</v>
      </c>
      <c r="K9737" s="21">
        <f t="shared" si="703"/>
        <v>0</v>
      </c>
      <c r="L9737" s="5">
        <f t="shared" si="705"/>
        <v>0</v>
      </c>
      <c r="M9737" s="4"/>
      <c r="N9737" s="4"/>
      <c r="O9737" s="5"/>
      <c r="P9737" s="5"/>
      <c r="Q9737" s="21">
        <f t="shared" si="706"/>
        <v>0</v>
      </c>
      <c r="R9737" s="21">
        <f t="shared" si="704"/>
        <v>0</v>
      </c>
      <c r="S9737" s="5">
        <f t="shared" si="707"/>
        <v>70007.077158325032</v>
      </c>
      <c r="T9737" cm="1">
        <f t="array" ref="T9737">IF(OR(B9737="MAL ALIMI", B9737="ÜRETİM GİRİŞ"), MIN(I9737, MAX(0, I9737 + SUM(SUMIFS($I$1:I9736, $C$1:C9736, C9737, $B$1:B9736, {"MAL ALIMI","ÜRETİM GİRİŞ"})) - VLOOKUP(C9737, 'STOK RAPORU'!$C$2:$I$1000, 4, 0))), 0)</f>
        <v>0</v>
      </c>
      <c r="U9737" s="22">
        <f t="shared" si="700"/>
        <v>0</v>
      </c>
      <c r="V9737">
        <f t="shared" si="701"/>
        <v>0</v>
      </c>
      <c r="W9737" s="22">
        <f t="shared" si="702"/>
        <v>0</v>
      </c>
    </row>
    <row r="9738" spans="1:23" hidden="1" x14ac:dyDescent="0.25">
      <c r="A9738" s="4"/>
      <c r="B9738" s="4"/>
      <c r="C9738" s="4"/>
      <c r="D9738" s="4"/>
      <c r="E9738" s="4"/>
      <c r="F9738" s="4"/>
      <c r="G9738" s="4"/>
      <c r="H9738" s="4"/>
      <c r="I9738" s="4"/>
      <c r="J9738" s="21">
        <f>IFERROR(VLOOKUP(C9738,'STOK KARTLARI'!$C$2:$K$2150,8,0),0)</f>
        <v>0</v>
      </c>
      <c r="K9738" s="21">
        <f t="shared" si="703"/>
        <v>0</v>
      </c>
      <c r="L9738" s="5">
        <f t="shared" si="705"/>
        <v>0</v>
      </c>
      <c r="M9738" s="4"/>
      <c r="N9738" s="4"/>
      <c r="O9738" s="5"/>
      <c r="P9738" s="5"/>
      <c r="Q9738" s="21">
        <f t="shared" si="706"/>
        <v>0</v>
      </c>
      <c r="R9738" s="21">
        <f t="shared" si="704"/>
        <v>0</v>
      </c>
      <c r="S9738" s="5">
        <f t="shared" si="707"/>
        <v>70007.077158325032</v>
      </c>
      <c r="T9738" cm="1">
        <f t="array" ref="T9738">IF(OR(B9738="MAL ALIMI", B9738="ÜRETİM GİRİŞ"), MIN(I9738, MAX(0, I9738 + SUM(SUMIFS($I$1:I9737, $C$1:C9737, C9738, $B$1:B9737, {"MAL ALIMI","ÜRETİM GİRİŞ"})) - VLOOKUP(C9738, 'STOK RAPORU'!$C$2:$I$1000, 4, 0))), 0)</f>
        <v>0</v>
      </c>
      <c r="U9738" s="22">
        <f t="shared" si="700"/>
        <v>0</v>
      </c>
      <c r="V9738">
        <f t="shared" si="701"/>
        <v>0</v>
      </c>
      <c r="W9738" s="22">
        <f t="shared" si="702"/>
        <v>0</v>
      </c>
    </row>
    <row r="9739" spans="1:23" hidden="1" x14ac:dyDescent="0.25">
      <c r="A9739" s="3"/>
      <c r="B9739" s="4"/>
      <c r="C9739" s="4"/>
      <c r="D9739" s="4"/>
      <c r="E9739" s="4"/>
      <c r="F9739" s="4"/>
      <c r="G9739" s="4"/>
      <c r="H9739" s="4"/>
      <c r="I9739" s="4"/>
      <c r="J9739" s="21">
        <f>IFERROR(VLOOKUP(C9739,'STOK KARTLARI'!$C$2:$K$2150,8,0),0)</f>
        <v>0</v>
      </c>
      <c r="K9739" s="21">
        <f t="shared" si="703"/>
        <v>0</v>
      </c>
      <c r="L9739" s="5">
        <f t="shared" si="705"/>
        <v>0</v>
      </c>
      <c r="M9739" s="4"/>
      <c r="N9739" s="4"/>
      <c r="O9739" s="5"/>
      <c r="P9739" s="5"/>
      <c r="Q9739" s="21">
        <f t="shared" si="706"/>
        <v>0</v>
      </c>
      <c r="R9739" s="21">
        <f t="shared" si="704"/>
        <v>0</v>
      </c>
      <c r="S9739" s="5">
        <f t="shared" si="707"/>
        <v>70007.077158325032</v>
      </c>
      <c r="T9739" cm="1">
        <f t="array" ref="T9739">IF(OR(B9739="MAL ALIMI", B9739="ÜRETİM GİRİŞ"), MIN(I9739, MAX(0, I9739 + SUM(SUMIFS($I$1:I9738, $C$1:C9738, C9739, $B$1:B9738, {"MAL ALIMI","ÜRETİM GİRİŞ"})) - VLOOKUP(C9739, 'STOK RAPORU'!$C$2:$I$1000, 4, 0))), 0)</f>
        <v>0</v>
      </c>
      <c r="U9739" s="22">
        <f t="shared" si="700"/>
        <v>0</v>
      </c>
      <c r="V9739">
        <f t="shared" si="701"/>
        <v>0</v>
      </c>
      <c r="W9739" s="22">
        <f t="shared" si="702"/>
        <v>0</v>
      </c>
    </row>
    <row r="9740" spans="1:23" hidden="1" x14ac:dyDescent="0.25">
      <c r="A9740" s="4"/>
      <c r="B9740" s="4"/>
      <c r="C9740" s="4"/>
      <c r="D9740" s="4"/>
      <c r="E9740" s="4"/>
      <c r="F9740" s="4"/>
      <c r="G9740" s="4"/>
      <c r="H9740" s="4"/>
      <c r="I9740" s="4"/>
      <c r="J9740" s="21">
        <f>IFERROR(VLOOKUP(C9740,'STOK KARTLARI'!$C$2:$K$2150,8,0),0)</f>
        <v>0</v>
      </c>
      <c r="K9740" s="21">
        <f t="shared" si="703"/>
        <v>0</v>
      </c>
      <c r="L9740" s="5">
        <f t="shared" si="705"/>
        <v>0</v>
      </c>
      <c r="M9740" s="4"/>
      <c r="N9740" s="4"/>
      <c r="O9740" s="5"/>
      <c r="P9740" s="5"/>
      <c r="Q9740" s="21">
        <f t="shared" si="706"/>
        <v>0</v>
      </c>
      <c r="R9740" s="21">
        <f t="shared" si="704"/>
        <v>0</v>
      </c>
      <c r="S9740" s="5">
        <f t="shared" si="707"/>
        <v>70007.077158325032</v>
      </c>
      <c r="T9740" cm="1">
        <f t="array" ref="T9740">IF(OR(B9740="MAL ALIMI", B9740="ÜRETİM GİRİŞ"), MIN(I9740, MAX(0, I9740 + SUM(SUMIFS($I$1:I9739, $C$1:C9739, C9740, $B$1:B9739, {"MAL ALIMI","ÜRETİM GİRİŞ"})) - VLOOKUP(C9740, 'STOK RAPORU'!$C$2:$I$1000, 4, 0))), 0)</f>
        <v>0</v>
      </c>
      <c r="U9740" s="22">
        <f t="shared" si="700"/>
        <v>0</v>
      </c>
      <c r="V9740">
        <f t="shared" si="701"/>
        <v>0</v>
      </c>
      <c r="W9740" s="22">
        <f t="shared" si="702"/>
        <v>0</v>
      </c>
    </row>
    <row r="9741" spans="1:23" hidden="1" x14ac:dyDescent="0.25">
      <c r="A9741" s="4"/>
      <c r="B9741" s="4"/>
      <c r="C9741" s="4"/>
      <c r="D9741" s="4"/>
      <c r="E9741" s="4"/>
      <c r="F9741" s="4"/>
      <c r="G9741" s="4"/>
      <c r="H9741" s="4"/>
      <c r="I9741" s="4"/>
      <c r="J9741" s="21">
        <f>IFERROR(VLOOKUP(C9741,'STOK KARTLARI'!$C$2:$K$2150,8,0),0)</f>
        <v>0</v>
      </c>
      <c r="K9741" s="21">
        <f t="shared" si="703"/>
        <v>0</v>
      </c>
      <c r="L9741" s="5">
        <f t="shared" si="705"/>
        <v>0</v>
      </c>
      <c r="M9741" s="4"/>
      <c r="N9741" s="4"/>
      <c r="O9741" s="5"/>
      <c r="P9741" s="5"/>
      <c r="Q9741" s="21">
        <f t="shared" si="706"/>
        <v>0</v>
      </c>
      <c r="R9741" s="21">
        <f t="shared" si="704"/>
        <v>0</v>
      </c>
      <c r="S9741" s="5">
        <f t="shared" si="707"/>
        <v>70007.077158325032</v>
      </c>
      <c r="T9741" cm="1">
        <f t="array" ref="T9741">IF(OR(B9741="MAL ALIMI", B9741="ÜRETİM GİRİŞ"), MIN(I9741, MAX(0, I9741 + SUM(SUMIFS($I$1:I9740, $C$1:C9740, C9741, $B$1:B9740, {"MAL ALIMI","ÜRETİM GİRİŞ"})) - VLOOKUP(C9741, 'STOK RAPORU'!$C$2:$I$1000, 4, 0))), 0)</f>
        <v>0</v>
      </c>
      <c r="U9741" s="22">
        <f t="shared" si="700"/>
        <v>0</v>
      </c>
      <c r="V9741">
        <f t="shared" si="701"/>
        <v>0</v>
      </c>
      <c r="W9741" s="22">
        <f t="shared" si="702"/>
        <v>0</v>
      </c>
    </row>
    <row r="9742" spans="1:23" hidden="1" x14ac:dyDescent="0.25">
      <c r="A9742" s="4"/>
      <c r="B9742" s="4"/>
      <c r="C9742" s="4"/>
      <c r="D9742" s="4"/>
      <c r="E9742" s="4"/>
      <c r="F9742" s="4"/>
      <c r="G9742" s="4"/>
      <c r="H9742" s="4"/>
      <c r="I9742" s="4"/>
      <c r="J9742" s="21">
        <f>IFERROR(VLOOKUP(C9742,'STOK KARTLARI'!$C$2:$K$2150,8,0),0)</f>
        <v>0</v>
      </c>
      <c r="K9742" s="21">
        <f t="shared" si="703"/>
        <v>0</v>
      </c>
      <c r="L9742" s="5">
        <f t="shared" si="705"/>
        <v>0</v>
      </c>
      <c r="M9742" s="4"/>
      <c r="N9742" s="4"/>
      <c r="O9742" s="5"/>
      <c r="P9742" s="5"/>
      <c r="Q9742" s="21">
        <f t="shared" si="706"/>
        <v>0</v>
      </c>
      <c r="R9742" s="21">
        <f t="shared" si="704"/>
        <v>0</v>
      </c>
      <c r="S9742" s="5">
        <f t="shared" si="707"/>
        <v>70007.077158325032</v>
      </c>
      <c r="T9742" cm="1">
        <f t="array" ref="T9742">IF(OR(B9742="MAL ALIMI", B9742="ÜRETİM GİRİŞ"), MIN(I9742, MAX(0, I9742 + SUM(SUMIFS($I$1:I9741, $C$1:C9741, C9742, $B$1:B9741, {"MAL ALIMI","ÜRETİM GİRİŞ"})) - VLOOKUP(C9742, 'STOK RAPORU'!$C$2:$I$1000, 4, 0))), 0)</f>
        <v>0</v>
      </c>
      <c r="U9742" s="22">
        <f t="shared" si="700"/>
        <v>0</v>
      </c>
      <c r="V9742">
        <f t="shared" si="701"/>
        <v>0</v>
      </c>
      <c r="W9742" s="22">
        <f t="shared" si="702"/>
        <v>0</v>
      </c>
    </row>
    <row r="9743" spans="1:23" hidden="1" x14ac:dyDescent="0.25">
      <c r="A9743" s="4"/>
      <c r="B9743" s="4"/>
      <c r="C9743" s="4"/>
      <c r="D9743" s="4"/>
      <c r="E9743" s="4"/>
      <c r="F9743" s="4"/>
      <c r="G9743" s="4"/>
      <c r="H9743" s="4"/>
      <c r="I9743" s="4"/>
      <c r="J9743" s="21">
        <f>IFERROR(VLOOKUP(C9743,'STOK KARTLARI'!$C$2:$K$2150,8,0),0)</f>
        <v>0</v>
      </c>
      <c r="K9743" s="21">
        <f t="shared" si="703"/>
        <v>0</v>
      </c>
      <c r="L9743" s="5">
        <f t="shared" si="705"/>
        <v>0</v>
      </c>
      <c r="M9743" s="4"/>
      <c r="N9743" s="4"/>
      <c r="O9743" s="5"/>
      <c r="P9743" s="5"/>
      <c r="Q9743" s="21">
        <f t="shared" si="706"/>
        <v>0</v>
      </c>
      <c r="R9743" s="21">
        <f t="shared" si="704"/>
        <v>0</v>
      </c>
      <c r="S9743" s="5">
        <f t="shared" si="707"/>
        <v>70007.077158325032</v>
      </c>
      <c r="T9743" cm="1">
        <f t="array" ref="T9743">IF(OR(B9743="MAL ALIMI", B9743="ÜRETİM GİRİŞ"), MIN(I9743, MAX(0, I9743 + SUM(SUMIFS($I$1:I9742, $C$1:C9742, C9743, $B$1:B9742, {"MAL ALIMI","ÜRETİM GİRİŞ"})) - VLOOKUP(C9743, 'STOK RAPORU'!$C$2:$I$1000, 4, 0))), 0)</f>
        <v>0</v>
      </c>
      <c r="U9743" s="22">
        <f t="shared" si="700"/>
        <v>0</v>
      </c>
      <c r="V9743">
        <f t="shared" si="701"/>
        <v>0</v>
      </c>
      <c r="W9743" s="22">
        <f t="shared" si="702"/>
        <v>0</v>
      </c>
    </row>
    <row r="9744" spans="1:23" hidden="1" x14ac:dyDescent="0.25">
      <c r="A9744" s="4"/>
      <c r="B9744" s="4"/>
      <c r="C9744" s="4"/>
      <c r="D9744" s="4"/>
      <c r="E9744" s="4"/>
      <c r="F9744" s="4"/>
      <c r="G9744" s="4"/>
      <c r="H9744" s="4"/>
      <c r="I9744" s="4"/>
      <c r="J9744" s="21">
        <f>IFERROR(VLOOKUP(C9744,'STOK KARTLARI'!$C$2:$K$2150,8,0),0)</f>
        <v>0</v>
      </c>
      <c r="K9744" s="21">
        <f t="shared" si="703"/>
        <v>0</v>
      </c>
      <c r="L9744" s="5">
        <f t="shared" si="705"/>
        <v>0</v>
      </c>
      <c r="M9744" s="4"/>
      <c r="N9744" s="4"/>
      <c r="O9744" s="5"/>
      <c r="P9744" s="5"/>
      <c r="Q9744" s="21">
        <f t="shared" si="706"/>
        <v>0</v>
      </c>
      <c r="R9744" s="21">
        <f t="shared" si="704"/>
        <v>0</v>
      </c>
      <c r="S9744" s="5">
        <f t="shared" si="707"/>
        <v>70007.077158325032</v>
      </c>
      <c r="T9744" cm="1">
        <f t="array" ref="T9744">IF(OR(B9744="MAL ALIMI", B9744="ÜRETİM GİRİŞ"), MIN(I9744, MAX(0, I9744 + SUM(SUMIFS($I$1:I9743, $C$1:C9743, C9744, $B$1:B9743, {"MAL ALIMI","ÜRETİM GİRİŞ"})) - VLOOKUP(C9744, 'STOK RAPORU'!$C$2:$I$1000, 4, 0))), 0)</f>
        <v>0</v>
      </c>
      <c r="U9744" s="22">
        <f t="shared" si="700"/>
        <v>0</v>
      </c>
      <c r="V9744">
        <f t="shared" si="701"/>
        <v>0</v>
      </c>
      <c r="W9744" s="22">
        <f t="shared" si="702"/>
        <v>0</v>
      </c>
    </row>
    <row r="9745" spans="1:23" hidden="1" x14ac:dyDescent="0.25">
      <c r="A9745" s="4"/>
      <c r="B9745" s="4"/>
      <c r="C9745" s="4"/>
      <c r="D9745" s="4"/>
      <c r="E9745" s="4"/>
      <c r="F9745" s="4"/>
      <c r="G9745" s="4"/>
      <c r="H9745" s="4"/>
      <c r="I9745" s="4"/>
      <c r="J9745" s="21">
        <f>IFERROR(VLOOKUP(C9745,'STOK KARTLARI'!$C$2:$K$2150,8,0),0)</f>
        <v>0</v>
      </c>
      <c r="K9745" s="21">
        <f t="shared" si="703"/>
        <v>0</v>
      </c>
      <c r="L9745" s="5">
        <f t="shared" si="705"/>
        <v>0</v>
      </c>
      <c r="M9745" s="4"/>
      <c r="N9745" s="4"/>
      <c r="O9745" s="5"/>
      <c r="P9745" s="5"/>
      <c r="Q9745" s="21">
        <f t="shared" si="706"/>
        <v>0</v>
      </c>
      <c r="R9745" s="21">
        <f t="shared" si="704"/>
        <v>0</v>
      </c>
      <c r="S9745" s="5">
        <f t="shared" si="707"/>
        <v>70007.077158325032</v>
      </c>
      <c r="T9745" cm="1">
        <f t="array" ref="T9745">IF(OR(B9745="MAL ALIMI", B9745="ÜRETİM GİRİŞ"), MIN(I9745, MAX(0, I9745 + SUM(SUMIFS($I$1:I9744, $C$1:C9744, C9745, $B$1:B9744, {"MAL ALIMI","ÜRETİM GİRİŞ"})) - VLOOKUP(C9745, 'STOK RAPORU'!$C$2:$I$1000, 4, 0))), 0)</f>
        <v>0</v>
      </c>
      <c r="U9745" s="22">
        <f t="shared" si="700"/>
        <v>0</v>
      </c>
      <c r="V9745">
        <f t="shared" si="701"/>
        <v>0</v>
      </c>
      <c r="W9745" s="22">
        <f t="shared" si="702"/>
        <v>0</v>
      </c>
    </row>
    <row r="9746" spans="1:23" hidden="1" x14ac:dyDescent="0.25">
      <c r="A9746" s="3"/>
      <c r="B9746" s="4"/>
      <c r="C9746" s="4"/>
      <c r="D9746" s="4"/>
      <c r="E9746" s="4"/>
      <c r="F9746" s="4"/>
      <c r="G9746" s="4"/>
      <c r="H9746" s="4"/>
      <c r="I9746" s="4"/>
      <c r="J9746" s="21">
        <f>IFERROR(VLOOKUP(C9746,'STOK KARTLARI'!$C$2:$K$2150,8,0),0)</f>
        <v>0</v>
      </c>
      <c r="K9746" s="21">
        <f t="shared" si="703"/>
        <v>0</v>
      </c>
      <c r="L9746" s="5">
        <f t="shared" si="705"/>
        <v>0</v>
      </c>
      <c r="M9746" s="4"/>
      <c r="N9746" s="4"/>
      <c r="O9746" s="5"/>
      <c r="P9746" s="5"/>
      <c r="Q9746" s="21">
        <f t="shared" si="706"/>
        <v>0</v>
      </c>
      <c r="R9746" s="21">
        <f t="shared" si="704"/>
        <v>0</v>
      </c>
      <c r="S9746" s="5">
        <f t="shared" si="707"/>
        <v>70007.077158325032</v>
      </c>
      <c r="T9746" cm="1">
        <f t="array" ref="T9746">IF(OR(B9746="MAL ALIMI", B9746="ÜRETİM GİRİŞ"), MIN(I9746, MAX(0, I9746 + SUM(SUMIFS($I$1:I9745, $C$1:C9745, C9746, $B$1:B9745, {"MAL ALIMI","ÜRETİM GİRİŞ"})) - VLOOKUP(C9746, 'STOK RAPORU'!$C$2:$I$1000, 4, 0))), 0)</f>
        <v>0</v>
      </c>
      <c r="U9746" s="22">
        <f t="shared" si="700"/>
        <v>0</v>
      </c>
      <c r="V9746">
        <f t="shared" si="701"/>
        <v>0</v>
      </c>
      <c r="W9746" s="22">
        <f t="shared" si="702"/>
        <v>0</v>
      </c>
    </row>
    <row r="9747" spans="1:23" hidden="1" x14ac:dyDescent="0.25">
      <c r="A9747" s="4"/>
      <c r="B9747" s="4"/>
      <c r="C9747" s="4"/>
      <c r="D9747" s="4"/>
      <c r="E9747" s="4"/>
      <c r="F9747" s="4"/>
      <c r="G9747" s="4"/>
      <c r="H9747" s="4"/>
      <c r="I9747" s="4"/>
      <c r="J9747" s="21">
        <f>IFERROR(VLOOKUP(C9747,'STOK KARTLARI'!$C$2:$K$2150,8,0),0)</f>
        <v>0</v>
      </c>
      <c r="K9747" s="21">
        <f t="shared" si="703"/>
        <v>0</v>
      </c>
      <c r="L9747" s="5">
        <f t="shared" si="705"/>
        <v>0</v>
      </c>
      <c r="M9747" s="4"/>
      <c r="N9747" s="4"/>
      <c r="O9747" s="5"/>
      <c r="P9747" s="5"/>
      <c r="Q9747" s="21">
        <f t="shared" si="706"/>
        <v>0</v>
      </c>
      <c r="R9747" s="21">
        <f t="shared" si="704"/>
        <v>0</v>
      </c>
      <c r="S9747" s="5">
        <f t="shared" si="707"/>
        <v>70007.077158325032</v>
      </c>
      <c r="T9747" cm="1">
        <f t="array" ref="T9747">IF(OR(B9747="MAL ALIMI", B9747="ÜRETİM GİRİŞ"), MIN(I9747, MAX(0, I9747 + SUM(SUMIFS($I$1:I9746, $C$1:C9746, C9747, $B$1:B9746, {"MAL ALIMI","ÜRETİM GİRİŞ"})) - VLOOKUP(C9747, 'STOK RAPORU'!$C$2:$I$1000, 4, 0))), 0)</f>
        <v>0</v>
      </c>
      <c r="U9747" s="22">
        <f t="shared" si="700"/>
        <v>0</v>
      </c>
      <c r="V9747">
        <f t="shared" si="701"/>
        <v>0</v>
      </c>
      <c r="W9747" s="22">
        <f t="shared" si="702"/>
        <v>0</v>
      </c>
    </row>
    <row r="9748" spans="1:23" hidden="1" x14ac:dyDescent="0.25">
      <c r="A9748" s="4"/>
      <c r="B9748" s="4"/>
      <c r="C9748" s="4"/>
      <c r="D9748" s="4"/>
      <c r="E9748" s="4"/>
      <c r="F9748" s="4"/>
      <c r="G9748" s="4"/>
      <c r="H9748" s="4"/>
      <c r="I9748" s="4"/>
      <c r="J9748" s="21">
        <f>IFERROR(VLOOKUP(C9748,'STOK KARTLARI'!$C$2:$K$2150,8,0),0)</f>
        <v>0</v>
      </c>
      <c r="K9748" s="21">
        <f t="shared" si="703"/>
        <v>0</v>
      </c>
      <c r="L9748" s="5">
        <f t="shared" si="705"/>
        <v>0</v>
      </c>
      <c r="M9748" s="4"/>
      <c r="N9748" s="4"/>
      <c r="O9748" s="5"/>
      <c r="P9748" s="5"/>
      <c r="Q9748" s="21">
        <f t="shared" si="706"/>
        <v>0</v>
      </c>
      <c r="R9748" s="21">
        <f t="shared" si="704"/>
        <v>0</v>
      </c>
      <c r="S9748" s="5">
        <f t="shared" si="707"/>
        <v>70007.077158325032</v>
      </c>
      <c r="T9748" cm="1">
        <f t="array" ref="T9748">IF(OR(B9748="MAL ALIMI", B9748="ÜRETİM GİRİŞ"), MIN(I9748, MAX(0, I9748 + SUM(SUMIFS($I$1:I9747, $C$1:C9747, C9748, $B$1:B9747, {"MAL ALIMI","ÜRETİM GİRİŞ"})) - VLOOKUP(C9748, 'STOK RAPORU'!$C$2:$I$1000, 4, 0))), 0)</f>
        <v>0</v>
      </c>
      <c r="U9748" s="22">
        <f t="shared" si="700"/>
        <v>0</v>
      </c>
      <c r="V9748">
        <f t="shared" si="701"/>
        <v>0</v>
      </c>
      <c r="W9748" s="22">
        <f t="shared" si="702"/>
        <v>0</v>
      </c>
    </row>
    <row r="9749" spans="1:23" hidden="1" x14ac:dyDescent="0.25">
      <c r="A9749" s="4"/>
      <c r="B9749" s="4"/>
      <c r="C9749" s="4"/>
      <c r="D9749" s="4"/>
      <c r="E9749" s="4"/>
      <c r="F9749" s="4"/>
      <c r="G9749" s="4"/>
      <c r="H9749" s="4"/>
      <c r="I9749" s="4"/>
      <c r="J9749" s="21">
        <f>IFERROR(VLOOKUP(C9749,'STOK KARTLARI'!$C$2:$K$2150,8,0),0)</f>
        <v>0</v>
      </c>
      <c r="K9749" s="21">
        <f t="shared" si="703"/>
        <v>0</v>
      </c>
      <c r="L9749" s="5">
        <f t="shared" si="705"/>
        <v>0</v>
      </c>
      <c r="M9749" s="4"/>
      <c r="N9749" s="4"/>
      <c r="O9749" s="5"/>
      <c r="P9749" s="5"/>
      <c r="Q9749" s="21">
        <f t="shared" si="706"/>
        <v>0</v>
      </c>
      <c r="R9749" s="21">
        <f t="shared" si="704"/>
        <v>0</v>
      </c>
      <c r="S9749" s="5">
        <f t="shared" si="707"/>
        <v>70007.077158325032</v>
      </c>
      <c r="T9749" cm="1">
        <f t="array" ref="T9749">IF(OR(B9749="MAL ALIMI", B9749="ÜRETİM GİRİŞ"), MIN(I9749, MAX(0, I9749 + SUM(SUMIFS($I$1:I9748, $C$1:C9748, C9749, $B$1:B9748, {"MAL ALIMI","ÜRETİM GİRİŞ"})) - VLOOKUP(C9749, 'STOK RAPORU'!$C$2:$I$1000, 4, 0))), 0)</f>
        <v>0</v>
      </c>
      <c r="U9749" s="22">
        <f t="shared" si="700"/>
        <v>0</v>
      </c>
      <c r="V9749">
        <f t="shared" si="701"/>
        <v>0</v>
      </c>
      <c r="W9749" s="22">
        <f t="shared" si="702"/>
        <v>0</v>
      </c>
    </row>
    <row r="9750" spans="1:23" hidden="1" x14ac:dyDescent="0.25">
      <c r="A9750" s="4"/>
      <c r="B9750" s="4"/>
      <c r="C9750" s="4"/>
      <c r="D9750" s="4"/>
      <c r="E9750" s="4"/>
      <c r="F9750" s="4"/>
      <c r="G9750" s="4"/>
      <c r="H9750" s="4"/>
      <c r="I9750" s="4"/>
      <c r="J9750" s="21">
        <f>IFERROR(VLOOKUP(C9750,'STOK KARTLARI'!$C$2:$K$2150,8,0),0)</f>
        <v>0</v>
      </c>
      <c r="K9750" s="21">
        <f t="shared" si="703"/>
        <v>0</v>
      </c>
      <c r="L9750" s="5">
        <f t="shared" si="705"/>
        <v>0</v>
      </c>
      <c r="M9750" s="4"/>
      <c r="N9750" s="4"/>
      <c r="O9750" s="5"/>
      <c r="P9750" s="5"/>
      <c r="Q9750" s="21">
        <f t="shared" si="706"/>
        <v>0</v>
      </c>
      <c r="R9750" s="21">
        <f t="shared" si="704"/>
        <v>0</v>
      </c>
      <c r="S9750" s="5">
        <f t="shared" si="707"/>
        <v>70007.077158325032</v>
      </c>
      <c r="T9750" cm="1">
        <f t="array" ref="T9750">IF(OR(B9750="MAL ALIMI", B9750="ÜRETİM GİRİŞ"), MIN(I9750, MAX(0, I9750 + SUM(SUMIFS($I$1:I9749, $C$1:C9749, C9750, $B$1:B9749, {"MAL ALIMI","ÜRETİM GİRİŞ"})) - VLOOKUP(C9750, 'STOK RAPORU'!$C$2:$I$1000, 4, 0))), 0)</f>
        <v>0</v>
      </c>
      <c r="U9750" s="22">
        <f t="shared" si="700"/>
        <v>0</v>
      </c>
      <c r="V9750">
        <f t="shared" si="701"/>
        <v>0</v>
      </c>
      <c r="W9750" s="22">
        <f t="shared" si="702"/>
        <v>0</v>
      </c>
    </row>
    <row r="9751" spans="1:23" hidden="1" x14ac:dyDescent="0.25">
      <c r="A9751" s="4"/>
      <c r="B9751" s="4"/>
      <c r="C9751" s="4"/>
      <c r="D9751" s="4"/>
      <c r="E9751" s="4"/>
      <c r="F9751" s="4"/>
      <c r="G9751" s="4"/>
      <c r="H9751" s="4"/>
      <c r="I9751" s="4"/>
      <c r="J9751" s="21">
        <f>IFERROR(VLOOKUP(C9751,'STOK KARTLARI'!$C$2:$K$2150,8,0),0)</f>
        <v>0</v>
      </c>
      <c r="K9751" s="21">
        <f t="shared" si="703"/>
        <v>0</v>
      </c>
      <c r="L9751" s="5">
        <f t="shared" si="705"/>
        <v>0</v>
      </c>
      <c r="M9751" s="4"/>
      <c r="N9751" s="4"/>
      <c r="O9751" s="5"/>
      <c r="P9751" s="5"/>
      <c r="Q9751" s="21">
        <f t="shared" si="706"/>
        <v>0</v>
      </c>
      <c r="R9751" s="21">
        <f t="shared" si="704"/>
        <v>0</v>
      </c>
      <c r="S9751" s="5">
        <f t="shared" si="707"/>
        <v>70007.077158325032</v>
      </c>
      <c r="T9751" cm="1">
        <f t="array" ref="T9751">IF(OR(B9751="MAL ALIMI", B9751="ÜRETİM GİRİŞ"), MIN(I9751, MAX(0, I9751 + SUM(SUMIFS($I$1:I9750, $C$1:C9750, C9751, $B$1:B9750, {"MAL ALIMI","ÜRETİM GİRİŞ"})) - VLOOKUP(C9751, 'STOK RAPORU'!$C$2:$I$1000, 4, 0))), 0)</f>
        <v>0</v>
      </c>
      <c r="U9751" s="22">
        <f t="shared" si="700"/>
        <v>0</v>
      </c>
      <c r="V9751">
        <f t="shared" si="701"/>
        <v>0</v>
      </c>
      <c r="W9751" s="22">
        <f t="shared" si="702"/>
        <v>0</v>
      </c>
    </row>
    <row r="9752" spans="1:23" hidden="1" x14ac:dyDescent="0.25">
      <c r="A9752" s="4"/>
      <c r="B9752" s="4"/>
      <c r="C9752" s="4"/>
      <c r="D9752" s="4"/>
      <c r="E9752" s="4"/>
      <c r="F9752" s="4"/>
      <c r="G9752" s="4"/>
      <c r="H9752" s="4"/>
      <c r="I9752" s="4"/>
      <c r="J9752" s="21">
        <f>IFERROR(VLOOKUP(C9752,'STOK KARTLARI'!$C$2:$K$2150,8,0),0)</f>
        <v>0</v>
      </c>
      <c r="K9752" s="21">
        <f t="shared" si="703"/>
        <v>0</v>
      </c>
      <c r="L9752" s="5">
        <f t="shared" si="705"/>
        <v>0</v>
      </c>
      <c r="M9752" s="4"/>
      <c r="N9752" s="4"/>
      <c r="O9752" s="5"/>
      <c r="P9752" s="5"/>
      <c r="Q9752" s="21">
        <f t="shared" si="706"/>
        <v>0</v>
      </c>
      <c r="R9752" s="21">
        <f t="shared" si="704"/>
        <v>0</v>
      </c>
      <c r="S9752" s="5">
        <f t="shared" si="707"/>
        <v>70007.077158325032</v>
      </c>
      <c r="T9752" cm="1">
        <f t="array" ref="T9752">IF(OR(B9752="MAL ALIMI", B9752="ÜRETİM GİRİŞ"), MIN(I9752, MAX(0, I9752 + SUM(SUMIFS($I$1:I9751, $C$1:C9751, C9752, $B$1:B9751, {"MAL ALIMI","ÜRETİM GİRİŞ"})) - VLOOKUP(C9752, 'STOK RAPORU'!$C$2:$I$1000, 4, 0))), 0)</f>
        <v>0</v>
      </c>
      <c r="U9752" s="22">
        <f t="shared" si="700"/>
        <v>0</v>
      </c>
      <c r="V9752">
        <f t="shared" si="701"/>
        <v>0</v>
      </c>
      <c r="W9752" s="22">
        <f t="shared" si="702"/>
        <v>0</v>
      </c>
    </row>
    <row r="9753" spans="1:23" hidden="1" x14ac:dyDescent="0.25">
      <c r="A9753" s="3"/>
      <c r="B9753" s="4"/>
      <c r="C9753" s="4"/>
      <c r="D9753" s="4"/>
      <c r="E9753" s="4"/>
      <c r="F9753" s="4"/>
      <c r="G9753" s="4"/>
      <c r="H9753" s="4"/>
      <c r="I9753" s="4"/>
      <c r="J9753" s="21">
        <f>IFERROR(VLOOKUP(C9753,'STOK KARTLARI'!$C$2:$K$2150,8,0),0)</f>
        <v>0</v>
      </c>
      <c r="K9753" s="21">
        <f t="shared" si="703"/>
        <v>0</v>
      </c>
      <c r="L9753" s="5">
        <f t="shared" si="705"/>
        <v>0</v>
      </c>
      <c r="M9753" s="4"/>
      <c r="N9753" s="4"/>
      <c r="O9753" s="5"/>
      <c r="P9753" s="5"/>
      <c r="Q9753" s="21">
        <f t="shared" si="706"/>
        <v>0</v>
      </c>
      <c r="R9753" s="21">
        <f t="shared" si="704"/>
        <v>0</v>
      </c>
      <c r="S9753" s="5">
        <f t="shared" si="707"/>
        <v>70007.077158325032</v>
      </c>
      <c r="T9753" cm="1">
        <f t="array" ref="T9753">IF(OR(B9753="MAL ALIMI", B9753="ÜRETİM GİRİŞ"), MIN(I9753, MAX(0, I9753 + SUM(SUMIFS($I$1:I9752, $C$1:C9752, C9753, $B$1:B9752, {"MAL ALIMI","ÜRETİM GİRİŞ"})) - VLOOKUP(C9753, 'STOK RAPORU'!$C$2:$I$1000, 4, 0))), 0)</f>
        <v>0</v>
      </c>
      <c r="U9753" s="22">
        <f t="shared" si="700"/>
        <v>0</v>
      </c>
      <c r="V9753">
        <f t="shared" si="701"/>
        <v>0</v>
      </c>
      <c r="W9753" s="22">
        <f t="shared" si="702"/>
        <v>0</v>
      </c>
    </row>
    <row r="9754" spans="1:23" hidden="1" x14ac:dyDescent="0.25">
      <c r="A9754" s="4"/>
      <c r="B9754" s="4"/>
      <c r="C9754" s="4"/>
      <c r="D9754" s="4"/>
      <c r="E9754" s="4"/>
      <c r="F9754" s="4"/>
      <c r="G9754" s="4"/>
      <c r="H9754" s="4"/>
      <c r="I9754" s="4"/>
      <c r="J9754" s="21">
        <f>IFERROR(VLOOKUP(C9754,'STOK KARTLARI'!$C$2:$K$2150,8,0),0)</f>
        <v>0</v>
      </c>
      <c r="K9754" s="21">
        <f t="shared" si="703"/>
        <v>0</v>
      </c>
      <c r="L9754" s="5">
        <f t="shared" si="705"/>
        <v>0</v>
      </c>
      <c r="M9754" s="4"/>
      <c r="N9754" s="4"/>
      <c r="O9754" s="5"/>
      <c r="P9754" s="5"/>
      <c r="Q9754" s="21">
        <f t="shared" si="706"/>
        <v>0</v>
      </c>
      <c r="R9754" s="21">
        <f t="shared" si="704"/>
        <v>0</v>
      </c>
      <c r="S9754" s="5">
        <f t="shared" si="707"/>
        <v>70007.077158325032</v>
      </c>
      <c r="T9754" cm="1">
        <f t="array" ref="T9754">IF(OR(B9754="MAL ALIMI", B9754="ÜRETİM GİRİŞ"), MIN(I9754, MAX(0, I9754 + SUM(SUMIFS($I$1:I9753, $C$1:C9753, C9754, $B$1:B9753, {"MAL ALIMI","ÜRETİM GİRİŞ"})) - VLOOKUP(C9754, 'STOK RAPORU'!$C$2:$I$1000, 4, 0))), 0)</f>
        <v>0</v>
      </c>
      <c r="U9754" s="22">
        <f t="shared" si="700"/>
        <v>0</v>
      </c>
      <c r="V9754">
        <f t="shared" si="701"/>
        <v>0</v>
      </c>
      <c r="W9754" s="22">
        <f t="shared" si="702"/>
        <v>0</v>
      </c>
    </row>
    <row r="9755" spans="1:23" hidden="1" x14ac:dyDescent="0.25">
      <c r="A9755" s="4"/>
      <c r="B9755" s="4"/>
      <c r="C9755" s="4"/>
      <c r="D9755" s="4"/>
      <c r="E9755" s="4"/>
      <c r="F9755" s="4"/>
      <c r="G9755" s="4"/>
      <c r="H9755" s="4"/>
      <c r="I9755" s="4"/>
      <c r="J9755" s="21">
        <f>IFERROR(VLOOKUP(C9755,'STOK KARTLARI'!$C$2:$K$2150,8,0),0)</f>
        <v>0</v>
      </c>
      <c r="K9755" s="21">
        <f t="shared" si="703"/>
        <v>0</v>
      </c>
      <c r="L9755" s="5">
        <f t="shared" si="705"/>
        <v>0</v>
      </c>
      <c r="M9755" s="4"/>
      <c r="N9755" s="4"/>
      <c r="O9755" s="5"/>
      <c r="P9755" s="5"/>
      <c r="Q9755" s="21">
        <f t="shared" si="706"/>
        <v>0</v>
      </c>
      <c r="R9755" s="21">
        <f t="shared" si="704"/>
        <v>0</v>
      </c>
      <c r="S9755" s="5">
        <f t="shared" si="707"/>
        <v>70007.077158325032</v>
      </c>
      <c r="T9755" cm="1">
        <f t="array" ref="T9755">IF(OR(B9755="MAL ALIMI", B9755="ÜRETİM GİRİŞ"), MIN(I9755, MAX(0, I9755 + SUM(SUMIFS($I$1:I9754, $C$1:C9754, C9755, $B$1:B9754, {"MAL ALIMI","ÜRETİM GİRİŞ"})) - VLOOKUP(C9755, 'STOK RAPORU'!$C$2:$I$1000, 4, 0))), 0)</f>
        <v>0</v>
      </c>
      <c r="U9755" s="22">
        <f t="shared" si="700"/>
        <v>0</v>
      </c>
      <c r="V9755">
        <f t="shared" si="701"/>
        <v>0</v>
      </c>
      <c r="W9755" s="22">
        <f t="shared" si="702"/>
        <v>0</v>
      </c>
    </row>
    <row r="9756" spans="1:23" hidden="1" x14ac:dyDescent="0.25">
      <c r="A9756" s="4"/>
      <c r="B9756" s="4"/>
      <c r="C9756" s="4"/>
      <c r="D9756" s="4"/>
      <c r="E9756" s="4"/>
      <c r="F9756" s="4"/>
      <c r="G9756" s="4"/>
      <c r="H9756" s="4"/>
      <c r="I9756" s="4"/>
      <c r="J9756" s="21">
        <f>IFERROR(VLOOKUP(C9756,'STOK KARTLARI'!$C$2:$K$2150,8,0),0)</f>
        <v>0</v>
      </c>
      <c r="K9756" s="21">
        <f t="shared" si="703"/>
        <v>0</v>
      </c>
      <c r="L9756" s="5">
        <f t="shared" si="705"/>
        <v>0</v>
      </c>
      <c r="M9756" s="4"/>
      <c r="N9756" s="4"/>
      <c r="O9756" s="5"/>
      <c r="P9756" s="5"/>
      <c r="Q9756" s="21">
        <f t="shared" si="706"/>
        <v>0</v>
      </c>
      <c r="R9756" s="21">
        <f t="shared" si="704"/>
        <v>0</v>
      </c>
      <c r="S9756" s="5">
        <f t="shared" si="707"/>
        <v>70007.077158325032</v>
      </c>
      <c r="T9756" cm="1">
        <f t="array" ref="T9756">IF(OR(B9756="MAL ALIMI", B9756="ÜRETİM GİRİŞ"), MIN(I9756, MAX(0, I9756 + SUM(SUMIFS($I$1:I9755, $C$1:C9755, C9756, $B$1:B9755, {"MAL ALIMI","ÜRETİM GİRİŞ"})) - VLOOKUP(C9756, 'STOK RAPORU'!$C$2:$I$1000, 4, 0))), 0)</f>
        <v>0</v>
      </c>
      <c r="U9756" s="22">
        <f t="shared" si="700"/>
        <v>0</v>
      </c>
      <c r="V9756">
        <f t="shared" si="701"/>
        <v>0</v>
      </c>
      <c r="W9756" s="22">
        <f t="shared" si="702"/>
        <v>0</v>
      </c>
    </row>
    <row r="9757" spans="1:23" hidden="1" x14ac:dyDescent="0.25">
      <c r="A9757" s="4"/>
      <c r="B9757" s="4"/>
      <c r="C9757" s="4"/>
      <c r="D9757" s="4"/>
      <c r="E9757" s="4"/>
      <c r="F9757" s="4"/>
      <c r="G9757" s="4"/>
      <c r="H9757" s="4"/>
      <c r="I9757" s="4"/>
      <c r="J9757" s="21">
        <f>IFERROR(VLOOKUP(C9757,'STOK KARTLARI'!$C$2:$K$2150,8,0),0)</f>
        <v>0</v>
      </c>
      <c r="K9757" s="21">
        <f t="shared" si="703"/>
        <v>0</v>
      </c>
      <c r="L9757" s="5">
        <f t="shared" si="705"/>
        <v>0</v>
      </c>
      <c r="M9757" s="4"/>
      <c r="N9757" s="4"/>
      <c r="O9757" s="5"/>
      <c r="P9757" s="5"/>
      <c r="Q9757" s="21">
        <f t="shared" si="706"/>
        <v>0</v>
      </c>
      <c r="R9757" s="21">
        <f t="shared" si="704"/>
        <v>0</v>
      </c>
      <c r="S9757" s="5">
        <f t="shared" si="707"/>
        <v>70007.077158325032</v>
      </c>
      <c r="T9757" cm="1">
        <f t="array" ref="T9757">IF(OR(B9757="MAL ALIMI", B9757="ÜRETİM GİRİŞ"), MIN(I9757, MAX(0, I9757 + SUM(SUMIFS($I$1:I9756, $C$1:C9756, C9757, $B$1:B9756, {"MAL ALIMI","ÜRETİM GİRİŞ"})) - VLOOKUP(C9757, 'STOK RAPORU'!$C$2:$I$1000, 4, 0))), 0)</f>
        <v>0</v>
      </c>
      <c r="U9757" s="22">
        <f t="shared" si="700"/>
        <v>0</v>
      </c>
      <c r="V9757">
        <f t="shared" si="701"/>
        <v>0</v>
      </c>
      <c r="W9757" s="22">
        <f t="shared" si="702"/>
        <v>0</v>
      </c>
    </row>
    <row r="9758" spans="1:23" hidden="1" x14ac:dyDescent="0.25">
      <c r="A9758" s="4"/>
      <c r="B9758" s="4"/>
      <c r="C9758" s="4"/>
      <c r="D9758" s="4"/>
      <c r="E9758" s="4"/>
      <c r="F9758" s="4"/>
      <c r="G9758" s="4"/>
      <c r="H9758" s="4"/>
      <c r="I9758" s="4"/>
      <c r="J9758" s="21">
        <f>IFERROR(VLOOKUP(C9758,'STOK KARTLARI'!$C$2:$K$2150,8,0),0)</f>
        <v>0</v>
      </c>
      <c r="K9758" s="21">
        <f t="shared" si="703"/>
        <v>0</v>
      </c>
      <c r="L9758" s="5">
        <f t="shared" si="705"/>
        <v>0</v>
      </c>
      <c r="M9758" s="4"/>
      <c r="N9758" s="4"/>
      <c r="O9758" s="5"/>
      <c r="P9758" s="5"/>
      <c r="Q9758" s="21">
        <f t="shared" si="706"/>
        <v>0</v>
      </c>
      <c r="R9758" s="21">
        <f t="shared" si="704"/>
        <v>0</v>
      </c>
      <c r="S9758" s="5">
        <f t="shared" si="707"/>
        <v>70007.077158325032</v>
      </c>
      <c r="T9758" cm="1">
        <f t="array" ref="T9758">IF(OR(B9758="MAL ALIMI", B9758="ÜRETİM GİRİŞ"), MIN(I9758, MAX(0, I9758 + SUM(SUMIFS($I$1:I9757, $C$1:C9757, C9758, $B$1:B9757, {"MAL ALIMI","ÜRETİM GİRİŞ"})) - VLOOKUP(C9758, 'STOK RAPORU'!$C$2:$I$1000, 4, 0))), 0)</f>
        <v>0</v>
      </c>
      <c r="U9758" s="22">
        <f t="shared" si="700"/>
        <v>0</v>
      </c>
      <c r="V9758">
        <f t="shared" si="701"/>
        <v>0</v>
      </c>
      <c r="W9758" s="22">
        <f t="shared" si="702"/>
        <v>0</v>
      </c>
    </row>
    <row r="9759" spans="1:23" hidden="1" x14ac:dyDescent="0.25">
      <c r="A9759" s="4"/>
      <c r="B9759" s="4"/>
      <c r="C9759" s="4"/>
      <c r="D9759" s="4"/>
      <c r="E9759" s="4"/>
      <c r="F9759" s="4"/>
      <c r="G9759" s="4"/>
      <c r="H9759" s="4"/>
      <c r="I9759" s="4"/>
      <c r="J9759" s="21">
        <f>IFERROR(VLOOKUP(C9759,'STOK KARTLARI'!$C$2:$K$2150,8,0),0)</f>
        <v>0</v>
      </c>
      <c r="K9759" s="21">
        <f t="shared" si="703"/>
        <v>0</v>
      </c>
      <c r="L9759" s="5">
        <f t="shared" si="705"/>
        <v>0</v>
      </c>
      <c r="M9759" s="4"/>
      <c r="N9759" s="4"/>
      <c r="O9759" s="5"/>
      <c r="P9759" s="5"/>
      <c r="Q9759" s="21">
        <f t="shared" si="706"/>
        <v>0</v>
      </c>
      <c r="R9759" s="21">
        <f t="shared" si="704"/>
        <v>0</v>
      </c>
      <c r="S9759" s="5">
        <f t="shared" si="707"/>
        <v>70007.077158325032</v>
      </c>
      <c r="T9759" cm="1">
        <f t="array" ref="T9759">IF(OR(B9759="MAL ALIMI", B9759="ÜRETİM GİRİŞ"), MIN(I9759, MAX(0, I9759 + SUM(SUMIFS($I$1:I9758, $C$1:C9758, C9759, $B$1:B9758, {"MAL ALIMI","ÜRETİM GİRİŞ"})) - VLOOKUP(C9759, 'STOK RAPORU'!$C$2:$I$1000, 4, 0))), 0)</f>
        <v>0</v>
      </c>
      <c r="U9759" s="22">
        <f t="shared" si="700"/>
        <v>0</v>
      </c>
      <c r="V9759">
        <f t="shared" si="701"/>
        <v>0</v>
      </c>
      <c r="W9759" s="22">
        <f t="shared" si="702"/>
        <v>0</v>
      </c>
    </row>
    <row r="9760" spans="1:23" hidden="1" x14ac:dyDescent="0.25">
      <c r="A9760" s="3"/>
      <c r="B9760" s="4"/>
      <c r="C9760" s="4"/>
      <c r="D9760" s="4"/>
      <c r="E9760" s="4"/>
      <c r="F9760" s="4"/>
      <c r="G9760" s="4"/>
      <c r="H9760" s="4"/>
      <c r="I9760" s="4"/>
      <c r="J9760" s="21">
        <f>IFERROR(VLOOKUP(C9760,'STOK KARTLARI'!$C$2:$K$2150,8,0),0)</f>
        <v>0</v>
      </c>
      <c r="K9760" s="21">
        <f t="shared" si="703"/>
        <v>0</v>
      </c>
      <c r="L9760" s="5">
        <f t="shared" si="705"/>
        <v>0</v>
      </c>
      <c r="M9760" s="4"/>
      <c r="N9760" s="4"/>
      <c r="O9760" s="5"/>
      <c r="P9760" s="5"/>
      <c r="Q9760" s="21">
        <f t="shared" si="706"/>
        <v>0</v>
      </c>
      <c r="R9760" s="21">
        <f t="shared" si="704"/>
        <v>0</v>
      </c>
      <c r="S9760" s="5">
        <f t="shared" si="707"/>
        <v>70007.077158325032</v>
      </c>
      <c r="T9760" cm="1">
        <f t="array" ref="T9760">IF(OR(B9760="MAL ALIMI", B9760="ÜRETİM GİRİŞ"), MIN(I9760, MAX(0, I9760 + SUM(SUMIFS($I$1:I9759, $C$1:C9759, C9760, $B$1:B9759, {"MAL ALIMI","ÜRETİM GİRİŞ"})) - VLOOKUP(C9760, 'STOK RAPORU'!$C$2:$I$1000, 4, 0))), 0)</f>
        <v>0</v>
      </c>
      <c r="U9760" s="22">
        <f t="shared" si="700"/>
        <v>0</v>
      </c>
      <c r="V9760">
        <f t="shared" si="701"/>
        <v>0</v>
      </c>
      <c r="W9760" s="22">
        <f t="shared" si="702"/>
        <v>0</v>
      </c>
    </row>
    <row r="9761" spans="1:23" hidden="1" x14ac:dyDescent="0.25">
      <c r="A9761" s="4"/>
      <c r="B9761" s="4"/>
      <c r="C9761" s="4"/>
      <c r="D9761" s="4"/>
      <c r="E9761" s="4"/>
      <c r="F9761" s="4"/>
      <c r="G9761" s="4"/>
      <c r="H9761" s="4"/>
      <c r="I9761" s="4"/>
      <c r="J9761" s="21">
        <f>IFERROR(VLOOKUP(C9761,'STOK KARTLARI'!$C$2:$K$2150,8,0),0)</f>
        <v>0</v>
      </c>
      <c r="K9761" s="21">
        <f t="shared" si="703"/>
        <v>0</v>
      </c>
      <c r="L9761" s="5">
        <f t="shared" si="705"/>
        <v>0</v>
      </c>
      <c r="M9761" s="4"/>
      <c r="N9761" s="4"/>
      <c r="O9761" s="5"/>
      <c r="P9761" s="5"/>
      <c r="Q9761" s="21">
        <f t="shared" si="706"/>
        <v>0</v>
      </c>
      <c r="R9761" s="21">
        <f t="shared" si="704"/>
        <v>0</v>
      </c>
      <c r="S9761" s="5">
        <f t="shared" si="707"/>
        <v>70007.077158325032</v>
      </c>
      <c r="T9761" cm="1">
        <f t="array" ref="T9761">IF(OR(B9761="MAL ALIMI", B9761="ÜRETİM GİRİŞ"), MIN(I9761, MAX(0, I9761 + SUM(SUMIFS($I$1:I9760, $C$1:C9760, C9761, $B$1:B9760, {"MAL ALIMI","ÜRETİM GİRİŞ"})) - VLOOKUP(C9761, 'STOK RAPORU'!$C$2:$I$1000, 4, 0))), 0)</f>
        <v>0</v>
      </c>
      <c r="U9761" s="22">
        <f t="shared" si="700"/>
        <v>0</v>
      </c>
      <c r="V9761">
        <f t="shared" si="701"/>
        <v>0</v>
      </c>
      <c r="W9761" s="22">
        <f t="shared" si="702"/>
        <v>0</v>
      </c>
    </row>
    <row r="9762" spans="1:23" hidden="1" x14ac:dyDescent="0.25">
      <c r="A9762" s="4"/>
      <c r="B9762" s="4"/>
      <c r="C9762" s="4"/>
      <c r="D9762" s="4"/>
      <c r="E9762" s="4"/>
      <c r="F9762" s="4"/>
      <c r="G9762" s="4"/>
      <c r="H9762" s="4"/>
      <c r="I9762" s="4"/>
      <c r="J9762" s="21">
        <f>IFERROR(VLOOKUP(C9762,'STOK KARTLARI'!$C$2:$K$2150,8,0),0)</f>
        <v>0</v>
      </c>
      <c r="K9762" s="21">
        <f t="shared" si="703"/>
        <v>0</v>
      </c>
      <c r="L9762" s="5">
        <f t="shared" si="705"/>
        <v>0</v>
      </c>
      <c r="M9762" s="4"/>
      <c r="N9762" s="4"/>
      <c r="O9762" s="5"/>
      <c r="P9762" s="5"/>
      <c r="Q9762" s="21">
        <f t="shared" si="706"/>
        <v>0</v>
      </c>
      <c r="R9762" s="21">
        <f t="shared" si="704"/>
        <v>0</v>
      </c>
      <c r="S9762" s="5">
        <f t="shared" si="707"/>
        <v>70007.077158325032</v>
      </c>
      <c r="T9762" cm="1">
        <f t="array" ref="T9762">IF(OR(B9762="MAL ALIMI", B9762="ÜRETİM GİRİŞ"), MIN(I9762, MAX(0, I9762 + SUM(SUMIFS($I$1:I9761, $C$1:C9761, C9762, $B$1:B9761, {"MAL ALIMI","ÜRETİM GİRİŞ"})) - VLOOKUP(C9762, 'STOK RAPORU'!$C$2:$I$1000, 4, 0))), 0)</f>
        <v>0</v>
      </c>
      <c r="U9762" s="22">
        <f t="shared" si="700"/>
        <v>0</v>
      </c>
      <c r="V9762">
        <f t="shared" si="701"/>
        <v>0</v>
      </c>
      <c r="W9762" s="22">
        <f t="shared" si="702"/>
        <v>0</v>
      </c>
    </row>
    <row r="9763" spans="1:23" hidden="1" x14ac:dyDescent="0.25">
      <c r="A9763" s="4"/>
      <c r="B9763" s="4"/>
      <c r="C9763" s="4"/>
      <c r="D9763" s="4"/>
      <c r="E9763" s="4"/>
      <c r="F9763" s="4"/>
      <c r="G9763" s="4"/>
      <c r="H9763" s="4"/>
      <c r="I9763" s="4"/>
      <c r="J9763" s="21">
        <f>IFERROR(VLOOKUP(C9763,'STOK KARTLARI'!$C$2:$K$2150,8,0),0)</f>
        <v>0</v>
      </c>
      <c r="K9763" s="21">
        <f t="shared" si="703"/>
        <v>0</v>
      </c>
      <c r="L9763" s="5">
        <f t="shared" si="705"/>
        <v>0</v>
      </c>
      <c r="M9763" s="4"/>
      <c r="N9763" s="4"/>
      <c r="O9763" s="5"/>
      <c r="P9763" s="5"/>
      <c r="Q9763" s="21">
        <f t="shared" si="706"/>
        <v>0</v>
      </c>
      <c r="R9763" s="21">
        <f t="shared" si="704"/>
        <v>0</v>
      </c>
      <c r="S9763" s="5">
        <f t="shared" si="707"/>
        <v>70007.077158325032</v>
      </c>
      <c r="T9763" cm="1">
        <f t="array" ref="T9763">IF(OR(B9763="MAL ALIMI", B9763="ÜRETİM GİRİŞ"), MIN(I9763, MAX(0, I9763 + SUM(SUMIFS($I$1:I9762, $C$1:C9762, C9763, $B$1:B9762, {"MAL ALIMI","ÜRETİM GİRİŞ"})) - VLOOKUP(C9763, 'STOK RAPORU'!$C$2:$I$1000, 4, 0))), 0)</f>
        <v>0</v>
      </c>
      <c r="U9763" s="22">
        <f t="shared" si="700"/>
        <v>0</v>
      </c>
      <c r="V9763">
        <f t="shared" si="701"/>
        <v>0</v>
      </c>
      <c r="W9763" s="22">
        <f t="shared" si="702"/>
        <v>0</v>
      </c>
    </row>
    <row r="9764" spans="1:23" hidden="1" x14ac:dyDescent="0.25">
      <c r="A9764" s="4"/>
      <c r="B9764" s="4"/>
      <c r="C9764" s="4"/>
      <c r="D9764" s="4"/>
      <c r="E9764" s="4"/>
      <c r="F9764" s="4"/>
      <c r="G9764" s="4"/>
      <c r="H9764" s="4"/>
      <c r="I9764" s="4"/>
      <c r="J9764" s="21">
        <f>IFERROR(VLOOKUP(C9764,'STOK KARTLARI'!$C$2:$K$2150,8,0),0)</f>
        <v>0</v>
      </c>
      <c r="K9764" s="21">
        <f t="shared" si="703"/>
        <v>0</v>
      </c>
      <c r="L9764" s="5">
        <f t="shared" si="705"/>
        <v>0</v>
      </c>
      <c r="M9764" s="4"/>
      <c r="N9764" s="4"/>
      <c r="O9764" s="5"/>
      <c r="P9764" s="5"/>
      <c r="Q9764" s="21">
        <f t="shared" si="706"/>
        <v>0</v>
      </c>
      <c r="R9764" s="21">
        <f t="shared" si="704"/>
        <v>0</v>
      </c>
      <c r="S9764" s="5">
        <f t="shared" si="707"/>
        <v>70007.077158325032</v>
      </c>
      <c r="T9764" cm="1">
        <f t="array" ref="T9764">IF(OR(B9764="MAL ALIMI", B9764="ÜRETİM GİRİŞ"), MIN(I9764, MAX(0, I9764 + SUM(SUMIFS($I$1:I9763, $C$1:C9763, C9764, $B$1:B9763, {"MAL ALIMI","ÜRETİM GİRİŞ"})) - VLOOKUP(C9764, 'STOK RAPORU'!$C$2:$I$1000, 4, 0))), 0)</f>
        <v>0</v>
      </c>
      <c r="U9764" s="22">
        <f t="shared" si="700"/>
        <v>0</v>
      </c>
      <c r="V9764">
        <f t="shared" si="701"/>
        <v>0</v>
      </c>
      <c r="W9764" s="22">
        <f t="shared" si="702"/>
        <v>0</v>
      </c>
    </row>
    <row r="9765" spans="1:23" hidden="1" x14ac:dyDescent="0.25">
      <c r="A9765" s="4"/>
      <c r="B9765" s="4"/>
      <c r="C9765" s="4"/>
      <c r="D9765" s="4"/>
      <c r="E9765" s="4"/>
      <c r="F9765" s="4"/>
      <c r="G9765" s="4"/>
      <c r="H9765" s="4"/>
      <c r="I9765" s="4"/>
      <c r="J9765" s="21">
        <f>IFERROR(VLOOKUP(C9765,'STOK KARTLARI'!$C$2:$K$2150,8,0),0)</f>
        <v>0</v>
      </c>
      <c r="K9765" s="21">
        <f t="shared" si="703"/>
        <v>0</v>
      </c>
      <c r="L9765" s="5">
        <f t="shared" si="705"/>
        <v>0</v>
      </c>
      <c r="M9765" s="4"/>
      <c r="N9765" s="4"/>
      <c r="O9765" s="5"/>
      <c r="P9765" s="5"/>
      <c r="Q9765" s="21">
        <f t="shared" si="706"/>
        <v>0</v>
      </c>
      <c r="R9765" s="21">
        <f t="shared" si="704"/>
        <v>0</v>
      </c>
      <c r="S9765" s="5">
        <f t="shared" si="707"/>
        <v>70007.077158325032</v>
      </c>
      <c r="T9765" cm="1">
        <f t="array" ref="T9765">IF(OR(B9765="MAL ALIMI", B9765="ÜRETİM GİRİŞ"), MIN(I9765, MAX(0, I9765 + SUM(SUMIFS($I$1:I9764, $C$1:C9764, C9765, $B$1:B9764, {"MAL ALIMI","ÜRETİM GİRİŞ"})) - VLOOKUP(C9765, 'STOK RAPORU'!$C$2:$I$1000, 4, 0))), 0)</f>
        <v>0</v>
      </c>
      <c r="U9765" s="22">
        <f t="shared" si="700"/>
        <v>0</v>
      </c>
      <c r="V9765">
        <f t="shared" si="701"/>
        <v>0</v>
      </c>
      <c r="W9765" s="22">
        <f t="shared" si="702"/>
        <v>0</v>
      </c>
    </row>
    <row r="9766" spans="1:23" hidden="1" x14ac:dyDescent="0.25">
      <c r="A9766" s="4"/>
      <c r="B9766" s="4"/>
      <c r="C9766" s="4"/>
      <c r="D9766" s="4"/>
      <c r="E9766" s="4"/>
      <c r="F9766" s="4"/>
      <c r="G9766" s="4"/>
      <c r="H9766" s="4"/>
      <c r="I9766" s="4"/>
      <c r="J9766" s="21">
        <f>IFERROR(VLOOKUP(C9766,'STOK KARTLARI'!$C$2:$K$2150,8,0),0)</f>
        <v>0</v>
      </c>
      <c r="K9766" s="21">
        <f t="shared" si="703"/>
        <v>0</v>
      </c>
      <c r="L9766" s="5">
        <f t="shared" si="705"/>
        <v>0</v>
      </c>
      <c r="M9766" s="4"/>
      <c r="N9766" s="4"/>
      <c r="O9766" s="5"/>
      <c r="P9766" s="5"/>
      <c r="Q9766" s="21">
        <f t="shared" si="706"/>
        <v>0</v>
      </c>
      <c r="R9766" s="21">
        <f t="shared" si="704"/>
        <v>0</v>
      </c>
      <c r="S9766" s="5">
        <f t="shared" si="707"/>
        <v>70007.077158325032</v>
      </c>
      <c r="T9766" cm="1">
        <f t="array" ref="T9766">IF(OR(B9766="MAL ALIMI", B9766="ÜRETİM GİRİŞ"), MIN(I9766, MAX(0, I9766 + SUM(SUMIFS($I$1:I9765, $C$1:C9765, C9766, $B$1:B9765, {"MAL ALIMI","ÜRETİM GİRİŞ"})) - VLOOKUP(C9766, 'STOK RAPORU'!$C$2:$I$1000, 4, 0))), 0)</f>
        <v>0</v>
      </c>
      <c r="U9766" s="22">
        <f t="shared" si="700"/>
        <v>0</v>
      </c>
      <c r="V9766">
        <f t="shared" si="701"/>
        <v>0</v>
      </c>
      <c r="W9766" s="22">
        <f t="shared" si="702"/>
        <v>0</v>
      </c>
    </row>
    <row r="9767" spans="1:23" hidden="1" x14ac:dyDescent="0.25">
      <c r="A9767" s="3"/>
      <c r="B9767" s="4"/>
      <c r="C9767" s="4"/>
      <c r="D9767" s="4"/>
      <c r="E9767" s="4"/>
      <c r="F9767" s="4"/>
      <c r="G9767" s="4"/>
      <c r="H9767" s="4"/>
      <c r="I9767" s="4"/>
      <c r="J9767" s="21">
        <f>IFERROR(VLOOKUP(C9767,'STOK KARTLARI'!$C$2:$K$2150,8,0),0)</f>
        <v>0</v>
      </c>
      <c r="K9767" s="21">
        <f t="shared" si="703"/>
        <v>0</v>
      </c>
      <c r="L9767" s="5">
        <f t="shared" si="705"/>
        <v>0</v>
      </c>
      <c r="M9767" s="4"/>
      <c r="N9767" s="4"/>
      <c r="O9767" s="5"/>
      <c r="P9767" s="5"/>
      <c r="Q9767" s="21">
        <f t="shared" si="706"/>
        <v>0</v>
      </c>
      <c r="R9767" s="21">
        <f t="shared" si="704"/>
        <v>0</v>
      </c>
      <c r="S9767" s="5">
        <f t="shared" si="707"/>
        <v>70007.077158325032</v>
      </c>
      <c r="T9767" cm="1">
        <f t="array" ref="T9767">IF(OR(B9767="MAL ALIMI", B9767="ÜRETİM GİRİŞ"), MIN(I9767, MAX(0, I9767 + SUM(SUMIFS($I$1:I9766, $C$1:C9766, C9767, $B$1:B9766, {"MAL ALIMI","ÜRETİM GİRİŞ"})) - VLOOKUP(C9767, 'STOK RAPORU'!$C$2:$I$1000, 4, 0))), 0)</f>
        <v>0</v>
      </c>
      <c r="U9767" s="22">
        <f t="shared" si="700"/>
        <v>0</v>
      </c>
      <c r="V9767">
        <f t="shared" si="701"/>
        <v>0</v>
      </c>
      <c r="W9767" s="22">
        <f t="shared" si="702"/>
        <v>0</v>
      </c>
    </row>
    <row r="9768" spans="1:23" hidden="1" x14ac:dyDescent="0.25">
      <c r="A9768" s="4"/>
      <c r="B9768" s="4"/>
      <c r="C9768" s="4"/>
      <c r="D9768" s="4"/>
      <c r="E9768" s="4"/>
      <c r="F9768" s="4"/>
      <c r="G9768" s="4"/>
      <c r="H9768" s="4"/>
      <c r="I9768" s="4"/>
      <c r="J9768" s="21">
        <f>IFERROR(VLOOKUP(C9768,'STOK KARTLARI'!$C$2:$K$2150,8,0),0)</f>
        <v>0</v>
      </c>
      <c r="K9768" s="21">
        <f t="shared" si="703"/>
        <v>0</v>
      </c>
      <c r="L9768" s="5">
        <f t="shared" si="705"/>
        <v>0</v>
      </c>
      <c r="M9768" s="4"/>
      <c r="N9768" s="4"/>
      <c r="O9768" s="5"/>
      <c r="P9768" s="5"/>
      <c r="Q9768" s="21">
        <f t="shared" si="706"/>
        <v>0</v>
      </c>
      <c r="R9768" s="21">
        <f t="shared" si="704"/>
        <v>0</v>
      </c>
      <c r="S9768" s="5">
        <f t="shared" si="707"/>
        <v>70007.077158325032</v>
      </c>
      <c r="T9768" cm="1">
        <f t="array" ref="T9768">IF(OR(B9768="MAL ALIMI", B9768="ÜRETİM GİRİŞ"), MIN(I9768, MAX(0, I9768 + SUM(SUMIFS($I$1:I9767, $C$1:C9767, C9768, $B$1:B9767, {"MAL ALIMI","ÜRETİM GİRİŞ"})) - VLOOKUP(C9768, 'STOK RAPORU'!$C$2:$I$1000, 4, 0))), 0)</f>
        <v>0</v>
      </c>
      <c r="U9768" s="22">
        <f t="shared" si="700"/>
        <v>0</v>
      </c>
      <c r="V9768">
        <f t="shared" si="701"/>
        <v>0</v>
      </c>
      <c r="W9768" s="22">
        <f t="shared" si="702"/>
        <v>0</v>
      </c>
    </row>
    <row r="9769" spans="1:23" hidden="1" x14ac:dyDescent="0.25">
      <c r="A9769" s="4"/>
      <c r="B9769" s="4"/>
      <c r="C9769" s="4"/>
      <c r="D9769" s="4"/>
      <c r="E9769" s="4"/>
      <c r="F9769" s="4"/>
      <c r="G9769" s="4"/>
      <c r="H9769" s="4"/>
      <c r="I9769" s="4"/>
      <c r="J9769" s="21">
        <f>IFERROR(VLOOKUP(C9769,'STOK KARTLARI'!$C$2:$K$2150,8,0),0)</f>
        <v>0</v>
      </c>
      <c r="K9769" s="21">
        <f t="shared" si="703"/>
        <v>0</v>
      </c>
      <c r="L9769" s="5">
        <f t="shared" si="705"/>
        <v>0</v>
      </c>
      <c r="M9769" s="4"/>
      <c r="N9769" s="4"/>
      <c r="O9769" s="5"/>
      <c r="P9769" s="5"/>
      <c r="Q9769" s="21">
        <f t="shared" si="706"/>
        <v>0</v>
      </c>
      <c r="R9769" s="21">
        <f t="shared" si="704"/>
        <v>0</v>
      </c>
      <c r="S9769" s="5">
        <f t="shared" si="707"/>
        <v>70007.077158325032</v>
      </c>
      <c r="T9769" cm="1">
        <f t="array" ref="T9769">IF(OR(B9769="MAL ALIMI", B9769="ÜRETİM GİRİŞ"), MIN(I9769, MAX(0, I9769 + SUM(SUMIFS($I$1:I9768, $C$1:C9768, C9769, $B$1:B9768, {"MAL ALIMI","ÜRETİM GİRİŞ"})) - VLOOKUP(C9769, 'STOK RAPORU'!$C$2:$I$1000, 4, 0))), 0)</f>
        <v>0</v>
      </c>
      <c r="U9769" s="22">
        <f t="shared" si="700"/>
        <v>0</v>
      </c>
      <c r="V9769">
        <f t="shared" si="701"/>
        <v>0</v>
      </c>
      <c r="W9769" s="22">
        <f t="shared" si="702"/>
        <v>0</v>
      </c>
    </row>
    <row r="9770" spans="1:23" hidden="1" x14ac:dyDescent="0.25">
      <c r="A9770" s="4"/>
      <c r="B9770" s="4"/>
      <c r="C9770" s="4"/>
      <c r="D9770" s="4"/>
      <c r="E9770" s="4"/>
      <c r="F9770" s="4"/>
      <c r="G9770" s="4"/>
      <c r="H9770" s="4"/>
      <c r="I9770" s="4"/>
      <c r="J9770" s="21">
        <f>IFERROR(VLOOKUP(C9770,'STOK KARTLARI'!$C$2:$K$2150,8,0),0)</f>
        <v>0</v>
      </c>
      <c r="K9770" s="21">
        <f t="shared" si="703"/>
        <v>0</v>
      </c>
      <c r="L9770" s="5">
        <f t="shared" si="705"/>
        <v>0</v>
      </c>
      <c r="M9770" s="4"/>
      <c r="N9770" s="4"/>
      <c r="O9770" s="5"/>
      <c r="P9770" s="5"/>
      <c r="Q9770" s="21">
        <f t="shared" si="706"/>
        <v>0</v>
      </c>
      <c r="R9770" s="21">
        <f t="shared" si="704"/>
        <v>0</v>
      </c>
      <c r="S9770" s="5">
        <f t="shared" si="707"/>
        <v>70007.077158325032</v>
      </c>
      <c r="T9770" cm="1">
        <f t="array" ref="T9770">IF(OR(B9770="MAL ALIMI", B9770="ÜRETİM GİRİŞ"), MIN(I9770, MAX(0, I9770 + SUM(SUMIFS($I$1:I9769, $C$1:C9769, C9770, $B$1:B9769, {"MAL ALIMI","ÜRETİM GİRİŞ"})) - VLOOKUP(C9770, 'STOK RAPORU'!$C$2:$I$1000, 4, 0))), 0)</f>
        <v>0</v>
      </c>
      <c r="U9770" s="22">
        <f t="shared" si="700"/>
        <v>0</v>
      </c>
      <c r="V9770">
        <f t="shared" si="701"/>
        <v>0</v>
      </c>
      <c r="W9770" s="22">
        <f t="shared" si="702"/>
        <v>0</v>
      </c>
    </row>
    <row r="9771" spans="1:23" hidden="1" x14ac:dyDescent="0.25">
      <c r="A9771" s="4"/>
      <c r="B9771" s="4"/>
      <c r="C9771" s="4"/>
      <c r="D9771" s="4"/>
      <c r="E9771" s="4"/>
      <c r="F9771" s="4"/>
      <c r="G9771" s="4"/>
      <c r="H9771" s="4"/>
      <c r="I9771" s="4"/>
      <c r="J9771" s="21">
        <f>IFERROR(VLOOKUP(C9771,'STOK KARTLARI'!$C$2:$K$2150,8,0),0)</f>
        <v>0</v>
      </c>
      <c r="K9771" s="21">
        <f t="shared" si="703"/>
        <v>0</v>
      </c>
      <c r="L9771" s="5">
        <f t="shared" si="705"/>
        <v>0</v>
      </c>
      <c r="M9771" s="4"/>
      <c r="N9771" s="4"/>
      <c r="O9771" s="5"/>
      <c r="P9771" s="5"/>
      <c r="Q9771" s="21">
        <f t="shared" si="706"/>
        <v>0</v>
      </c>
      <c r="R9771" s="21">
        <f t="shared" si="704"/>
        <v>0</v>
      </c>
      <c r="S9771" s="5">
        <f t="shared" si="707"/>
        <v>70007.077158325032</v>
      </c>
      <c r="T9771" cm="1">
        <f t="array" ref="T9771">IF(OR(B9771="MAL ALIMI", B9771="ÜRETİM GİRİŞ"), MIN(I9771, MAX(0, I9771 + SUM(SUMIFS($I$1:I9770, $C$1:C9770, C9771, $B$1:B9770, {"MAL ALIMI","ÜRETİM GİRİŞ"})) - VLOOKUP(C9771, 'STOK RAPORU'!$C$2:$I$1000, 4, 0))), 0)</f>
        <v>0</v>
      </c>
      <c r="U9771" s="22">
        <f t="shared" si="700"/>
        <v>0</v>
      </c>
      <c r="V9771">
        <f t="shared" si="701"/>
        <v>0</v>
      </c>
      <c r="W9771" s="22">
        <f t="shared" si="702"/>
        <v>0</v>
      </c>
    </row>
    <row r="9772" spans="1:23" hidden="1" x14ac:dyDescent="0.25">
      <c r="A9772" s="4"/>
      <c r="B9772" s="4"/>
      <c r="C9772" s="4"/>
      <c r="D9772" s="4"/>
      <c r="E9772" s="4"/>
      <c r="F9772" s="4"/>
      <c r="G9772" s="4"/>
      <c r="H9772" s="4"/>
      <c r="I9772" s="4"/>
      <c r="J9772" s="21">
        <f>IFERROR(VLOOKUP(C9772,'STOK KARTLARI'!$C$2:$K$2150,8,0),0)</f>
        <v>0</v>
      </c>
      <c r="K9772" s="21">
        <f t="shared" si="703"/>
        <v>0</v>
      </c>
      <c r="L9772" s="5">
        <f t="shared" si="705"/>
        <v>0</v>
      </c>
      <c r="M9772" s="4"/>
      <c r="N9772" s="4"/>
      <c r="O9772" s="5"/>
      <c r="P9772" s="5"/>
      <c r="Q9772" s="21">
        <f t="shared" si="706"/>
        <v>0</v>
      </c>
      <c r="R9772" s="21">
        <f t="shared" si="704"/>
        <v>0</v>
      </c>
      <c r="S9772" s="5">
        <f t="shared" si="707"/>
        <v>70007.077158325032</v>
      </c>
      <c r="T9772" cm="1">
        <f t="array" ref="T9772">IF(OR(B9772="MAL ALIMI", B9772="ÜRETİM GİRİŞ"), MIN(I9772, MAX(0, I9772 + SUM(SUMIFS($I$1:I9771, $C$1:C9771, C9772, $B$1:B9771, {"MAL ALIMI","ÜRETİM GİRİŞ"})) - VLOOKUP(C9772, 'STOK RAPORU'!$C$2:$I$1000, 4, 0))), 0)</f>
        <v>0</v>
      </c>
      <c r="U9772" s="22">
        <f t="shared" si="700"/>
        <v>0</v>
      </c>
      <c r="V9772">
        <f t="shared" si="701"/>
        <v>0</v>
      </c>
      <c r="W9772" s="22">
        <f t="shared" si="702"/>
        <v>0</v>
      </c>
    </row>
    <row r="9773" spans="1:23" hidden="1" x14ac:dyDescent="0.25">
      <c r="A9773" s="4"/>
      <c r="B9773" s="4"/>
      <c r="C9773" s="4"/>
      <c r="D9773" s="4"/>
      <c r="E9773" s="4"/>
      <c r="F9773" s="4"/>
      <c r="G9773" s="4"/>
      <c r="H9773" s="4"/>
      <c r="I9773" s="4"/>
      <c r="J9773" s="21">
        <f>IFERROR(VLOOKUP(C9773,'STOK KARTLARI'!$C$2:$K$2150,8,0),0)</f>
        <v>0</v>
      </c>
      <c r="K9773" s="21">
        <f t="shared" si="703"/>
        <v>0</v>
      </c>
      <c r="L9773" s="5">
        <f t="shared" si="705"/>
        <v>0</v>
      </c>
      <c r="M9773" s="4"/>
      <c r="N9773" s="4"/>
      <c r="O9773" s="5"/>
      <c r="P9773" s="5"/>
      <c r="Q9773" s="21">
        <f t="shared" si="706"/>
        <v>0</v>
      </c>
      <c r="R9773" s="21">
        <f t="shared" si="704"/>
        <v>0</v>
      </c>
      <c r="S9773" s="5">
        <f t="shared" si="707"/>
        <v>70007.077158325032</v>
      </c>
      <c r="T9773" cm="1">
        <f t="array" ref="T9773">IF(OR(B9773="MAL ALIMI", B9773="ÜRETİM GİRİŞ"), MIN(I9773, MAX(0, I9773 + SUM(SUMIFS($I$1:I9772, $C$1:C9772, C9773, $B$1:B9772, {"MAL ALIMI","ÜRETİM GİRİŞ"})) - VLOOKUP(C9773, 'STOK RAPORU'!$C$2:$I$1000, 4, 0))), 0)</f>
        <v>0</v>
      </c>
      <c r="U9773" s="22">
        <f t="shared" si="700"/>
        <v>0</v>
      </c>
      <c r="V9773">
        <f t="shared" si="701"/>
        <v>0</v>
      </c>
      <c r="W9773" s="22">
        <f t="shared" si="702"/>
        <v>0</v>
      </c>
    </row>
    <row r="9774" spans="1:23" hidden="1" x14ac:dyDescent="0.25">
      <c r="A9774" s="3"/>
      <c r="B9774" s="4"/>
      <c r="C9774" s="4"/>
      <c r="D9774" s="4"/>
      <c r="E9774" s="4"/>
      <c r="F9774" s="4"/>
      <c r="G9774" s="4"/>
      <c r="H9774" s="4"/>
      <c r="I9774" s="4"/>
      <c r="J9774" s="21">
        <f>IFERROR(VLOOKUP(C9774,'STOK KARTLARI'!$C$2:$K$2150,8,0),0)</f>
        <v>0</v>
      </c>
      <c r="K9774" s="21">
        <f t="shared" si="703"/>
        <v>0</v>
      </c>
      <c r="L9774" s="5">
        <f t="shared" si="705"/>
        <v>0</v>
      </c>
      <c r="M9774" s="4"/>
      <c r="N9774" s="4"/>
      <c r="O9774" s="5"/>
      <c r="P9774" s="5"/>
      <c r="Q9774" s="21">
        <f t="shared" si="706"/>
        <v>0</v>
      </c>
      <c r="R9774" s="21">
        <f t="shared" si="704"/>
        <v>0</v>
      </c>
      <c r="S9774" s="5">
        <f t="shared" si="707"/>
        <v>70007.077158325032</v>
      </c>
      <c r="T9774" cm="1">
        <f t="array" ref="T9774">IF(OR(B9774="MAL ALIMI", B9774="ÜRETİM GİRİŞ"), MIN(I9774, MAX(0, I9774 + SUM(SUMIFS($I$1:I9773, $C$1:C9773, C9774, $B$1:B9773, {"MAL ALIMI","ÜRETİM GİRİŞ"})) - VLOOKUP(C9774, 'STOK RAPORU'!$C$2:$I$1000, 4, 0))), 0)</f>
        <v>0</v>
      </c>
      <c r="U9774" s="22">
        <f t="shared" si="700"/>
        <v>0</v>
      </c>
      <c r="V9774">
        <f t="shared" si="701"/>
        <v>0</v>
      </c>
      <c r="W9774" s="22">
        <f t="shared" si="702"/>
        <v>0</v>
      </c>
    </row>
    <row r="9775" spans="1:23" hidden="1" x14ac:dyDescent="0.25">
      <c r="A9775" s="4"/>
      <c r="B9775" s="4"/>
      <c r="C9775" s="4"/>
      <c r="D9775" s="4"/>
      <c r="E9775" s="4"/>
      <c r="F9775" s="4"/>
      <c r="G9775" s="4"/>
      <c r="H9775" s="4"/>
      <c r="I9775" s="4"/>
      <c r="J9775" s="21">
        <f>IFERROR(VLOOKUP(C9775,'STOK KARTLARI'!$C$2:$K$2150,8,0),0)</f>
        <v>0</v>
      </c>
      <c r="K9775" s="21">
        <f t="shared" si="703"/>
        <v>0</v>
      </c>
      <c r="L9775" s="5">
        <f t="shared" si="705"/>
        <v>0</v>
      </c>
      <c r="M9775" s="4"/>
      <c r="N9775" s="4"/>
      <c r="O9775" s="5"/>
      <c r="P9775" s="5"/>
      <c r="Q9775" s="21">
        <f t="shared" si="706"/>
        <v>0</v>
      </c>
      <c r="R9775" s="21">
        <f t="shared" si="704"/>
        <v>0</v>
      </c>
      <c r="S9775" s="5">
        <f t="shared" si="707"/>
        <v>70007.077158325032</v>
      </c>
      <c r="T9775" cm="1">
        <f t="array" ref="T9775">IF(OR(B9775="MAL ALIMI", B9775="ÜRETİM GİRİŞ"), MIN(I9775, MAX(0, I9775 + SUM(SUMIFS($I$1:I9774, $C$1:C9774, C9775, $B$1:B9774, {"MAL ALIMI","ÜRETİM GİRİŞ"})) - VLOOKUP(C9775, 'STOK RAPORU'!$C$2:$I$1000, 4, 0))), 0)</f>
        <v>0</v>
      </c>
      <c r="U9775" s="22">
        <f t="shared" ref="U9775:U9838" si="708">T9775*J9775</f>
        <v>0</v>
      </c>
      <c r="V9775">
        <f t="shared" ref="V9775:V9838" si="709">IF(OR(B9775="MAL ALIMI", B9775="ÜRETİM GİRİŞ"), I9775 * J9775, 0)</f>
        <v>0</v>
      </c>
      <c r="W9775" s="22">
        <f t="shared" ref="W9775:W9838" si="710">V9775-U9775</f>
        <v>0</v>
      </c>
    </row>
    <row r="9776" spans="1:23" hidden="1" x14ac:dyDescent="0.25">
      <c r="A9776" s="4"/>
      <c r="B9776" s="4"/>
      <c r="C9776" s="4"/>
      <c r="D9776" s="4"/>
      <c r="E9776" s="4"/>
      <c r="F9776" s="4"/>
      <c r="G9776" s="4"/>
      <c r="H9776" s="4"/>
      <c r="I9776" s="4"/>
      <c r="J9776" s="21">
        <f>IFERROR(VLOOKUP(C9776,'STOK KARTLARI'!$C$2:$K$2150,8,0),0)</f>
        <v>0</v>
      </c>
      <c r="K9776" s="21">
        <f t="shared" si="703"/>
        <v>0</v>
      </c>
      <c r="L9776" s="5">
        <f t="shared" si="705"/>
        <v>0</v>
      </c>
      <c r="M9776" s="4"/>
      <c r="N9776" s="4"/>
      <c r="O9776" s="5"/>
      <c r="P9776" s="5"/>
      <c r="Q9776" s="21">
        <f t="shared" si="706"/>
        <v>0</v>
      </c>
      <c r="R9776" s="21">
        <f t="shared" si="704"/>
        <v>0</v>
      </c>
      <c r="S9776" s="5">
        <f t="shared" si="707"/>
        <v>70007.077158325032</v>
      </c>
      <c r="T9776" cm="1">
        <f t="array" ref="T9776">IF(OR(B9776="MAL ALIMI", B9776="ÜRETİM GİRİŞ"), MIN(I9776, MAX(0, I9776 + SUM(SUMIFS($I$1:I9775, $C$1:C9775, C9776, $B$1:B9775, {"MAL ALIMI","ÜRETİM GİRİŞ"})) - VLOOKUP(C9776, 'STOK RAPORU'!$C$2:$I$1000, 4, 0))), 0)</f>
        <v>0</v>
      </c>
      <c r="U9776" s="22">
        <f t="shared" si="708"/>
        <v>0</v>
      </c>
      <c r="V9776">
        <f t="shared" si="709"/>
        <v>0</v>
      </c>
      <c r="W9776" s="22">
        <f t="shared" si="710"/>
        <v>0</v>
      </c>
    </row>
    <row r="9777" spans="1:23" hidden="1" x14ac:dyDescent="0.25">
      <c r="A9777" s="4"/>
      <c r="B9777" s="4"/>
      <c r="C9777" s="4"/>
      <c r="D9777" s="4"/>
      <c r="E9777" s="4"/>
      <c r="F9777" s="4"/>
      <c r="G9777" s="4"/>
      <c r="H9777" s="4"/>
      <c r="I9777" s="4"/>
      <c r="J9777" s="21">
        <f>IFERROR(VLOOKUP(C9777,'STOK KARTLARI'!$C$2:$K$2150,8,0),0)</f>
        <v>0</v>
      </c>
      <c r="K9777" s="21">
        <f t="shared" si="703"/>
        <v>0</v>
      </c>
      <c r="L9777" s="5">
        <f t="shared" si="705"/>
        <v>0</v>
      </c>
      <c r="M9777" s="4"/>
      <c r="N9777" s="4"/>
      <c r="O9777" s="5"/>
      <c r="P9777" s="5"/>
      <c r="Q9777" s="21">
        <f t="shared" si="706"/>
        <v>0</v>
      </c>
      <c r="R9777" s="21">
        <f t="shared" si="704"/>
        <v>0</v>
      </c>
      <c r="S9777" s="5">
        <f t="shared" si="707"/>
        <v>70007.077158325032</v>
      </c>
      <c r="T9777" cm="1">
        <f t="array" ref="T9777">IF(OR(B9777="MAL ALIMI", B9777="ÜRETİM GİRİŞ"), MIN(I9777, MAX(0, I9777 + SUM(SUMIFS($I$1:I9776, $C$1:C9776, C9777, $B$1:B9776, {"MAL ALIMI","ÜRETİM GİRİŞ"})) - VLOOKUP(C9777, 'STOK RAPORU'!$C$2:$I$1000, 4, 0))), 0)</f>
        <v>0</v>
      </c>
      <c r="U9777" s="22">
        <f t="shared" si="708"/>
        <v>0</v>
      </c>
      <c r="V9777">
        <f t="shared" si="709"/>
        <v>0</v>
      </c>
      <c r="W9777" s="22">
        <f t="shared" si="710"/>
        <v>0</v>
      </c>
    </row>
    <row r="9778" spans="1:23" hidden="1" x14ac:dyDescent="0.25">
      <c r="A9778" s="4"/>
      <c r="B9778" s="4"/>
      <c r="C9778" s="4"/>
      <c r="D9778" s="4"/>
      <c r="E9778" s="4"/>
      <c r="F9778" s="4"/>
      <c r="G9778" s="4"/>
      <c r="H9778" s="4"/>
      <c r="I9778" s="4"/>
      <c r="J9778" s="21">
        <f>IFERROR(VLOOKUP(C9778,'STOK KARTLARI'!$C$2:$K$2150,8,0),0)</f>
        <v>0</v>
      </c>
      <c r="K9778" s="21">
        <f t="shared" si="703"/>
        <v>0</v>
      </c>
      <c r="L9778" s="5">
        <f t="shared" si="705"/>
        <v>0</v>
      </c>
      <c r="M9778" s="4"/>
      <c r="N9778" s="4"/>
      <c r="O9778" s="5"/>
      <c r="P9778" s="5"/>
      <c r="Q9778" s="21">
        <f t="shared" si="706"/>
        <v>0</v>
      </c>
      <c r="R9778" s="21">
        <f t="shared" si="704"/>
        <v>0</v>
      </c>
      <c r="S9778" s="5">
        <f t="shared" si="707"/>
        <v>70007.077158325032</v>
      </c>
      <c r="T9778" cm="1">
        <f t="array" ref="T9778">IF(OR(B9778="MAL ALIMI", B9778="ÜRETİM GİRİŞ"), MIN(I9778, MAX(0, I9778 + SUM(SUMIFS($I$1:I9777, $C$1:C9777, C9778, $B$1:B9777, {"MAL ALIMI","ÜRETİM GİRİŞ"})) - VLOOKUP(C9778, 'STOK RAPORU'!$C$2:$I$1000, 4, 0))), 0)</f>
        <v>0</v>
      </c>
      <c r="U9778" s="22">
        <f t="shared" si="708"/>
        <v>0</v>
      </c>
      <c r="V9778">
        <f t="shared" si="709"/>
        <v>0</v>
      </c>
      <c r="W9778" s="22">
        <f t="shared" si="710"/>
        <v>0</v>
      </c>
    </row>
    <row r="9779" spans="1:23" hidden="1" x14ac:dyDescent="0.25">
      <c r="A9779" s="4"/>
      <c r="B9779" s="4"/>
      <c r="C9779" s="4"/>
      <c r="D9779" s="4"/>
      <c r="E9779" s="4"/>
      <c r="F9779" s="4"/>
      <c r="G9779" s="4"/>
      <c r="H9779" s="4"/>
      <c r="I9779" s="4"/>
      <c r="J9779" s="21">
        <f>IFERROR(VLOOKUP(C9779,'STOK KARTLARI'!$C$2:$K$2150,8,0),0)</f>
        <v>0</v>
      </c>
      <c r="K9779" s="21">
        <f t="shared" ref="K9779:K9842" si="711">IF(AND(B9779="MAL SATIŞI", H9779="POS"),I9779*J9779,0)</f>
        <v>0</v>
      </c>
      <c r="L9779" s="5">
        <f t="shared" si="705"/>
        <v>0</v>
      </c>
      <c r="M9779" s="4"/>
      <c r="N9779" s="4"/>
      <c r="O9779" s="5"/>
      <c r="P9779" s="5"/>
      <c r="Q9779" s="21">
        <f t="shared" si="706"/>
        <v>0</v>
      </c>
      <c r="R9779" s="21">
        <f t="shared" ref="R9779:R9842" si="712">IF(AND(E9779="", B9779&lt;&gt;"MAL SATIŞI"),I9779*J9779,0)</f>
        <v>0</v>
      </c>
      <c r="S9779" s="5">
        <f t="shared" si="707"/>
        <v>70007.077158325032</v>
      </c>
      <c r="T9779" cm="1">
        <f t="array" ref="T9779">IF(OR(B9779="MAL ALIMI", B9779="ÜRETİM GİRİŞ"), MIN(I9779, MAX(0, I9779 + SUM(SUMIFS($I$1:I9778, $C$1:C9778, C9779, $B$1:B9778, {"MAL ALIMI","ÜRETİM GİRİŞ"})) - VLOOKUP(C9779, 'STOK RAPORU'!$C$2:$I$1000, 4, 0))), 0)</f>
        <v>0</v>
      </c>
      <c r="U9779" s="22">
        <f t="shared" si="708"/>
        <v>0</v>
      </c>
      <c r="V9779">
        <f t="shared" si="709"/>
        <v>0</v>
      </c>
      <c r="W9779" s="22">
        <f t="shared" si="710"/>
        <v>0</v>
      </c>
    </row>
    <row r="9780" spans="1:23" hidden="1" x14ac:dyDescent="0.25">
      <c r="A9780" s="4"/>
      <c r="B9780" s="4"/>
      <c r="C9780" s="4"/>
      <c r="D9780" s="4"/>
      <c r="E9780" s="4"/>
      <c r="F9780" s="4"/>
      <c r="G9780" s="4"/>
      <c r="H9780" s="4"/>
      <c r="I9780" s="4"/>
      <c r="J9780" s="21">
        <f>IFERROR(VLOOKUP(C9780,'STOK KARTLARI'!$C$2:$K$2150,8,0),0)</f>
        <v>0</v>
      </c>
      <c r="K9780" s="21">
        <f t="shared" si="711"/>
        <v>0</v>
      </c>
      <c r="L9780" s="5">
        <f t="shared" ref="L9780:L9843" si="713">IF(OR(E9780="", H9780="POS"),0,I9780*J9780)</f>
        <v>0</v>
      </c>
      <c r="M9780" s="4"/>
      <c r="N9780" s="4"/>
      <c r="O9780" s="5"/>
      <c r="P9780" s="5"/>
      <c r="Q9780" s="21">
        <f t="shared" ref="Q9780:Q9843" si="714">IF(AND(E9780="", B9780="MAL SATIŞI", H9780="NAKİT"),I9780*J9780,0)</f>
        <v>0</v>
      </c>
      <c r="R9780" s="21">
        <f t="shared" si="712"/>
        <v>0</v>
      </c>
      <c r="S9780" s="5">
        <f t="shared" si="707"/>
        <v>70007.077158325032</v>
      </c>
      <c r="T9780" cm="1">
        <f t="array" ref="T9780">IF(OR(B9780="MAL ALIMI", B9780="ÜRETİM GİRİŞ"), MIN(I9780, MAX(0, I9780 + SUM(SUMIFS($I$1:I9779, $C$1:C9779, C9780, $B$1:B9779, {"MAL ALIMI","ÜRETİM GİRİŞ"})) - VLOOKUP(C9780, 'STOK RAPORU'!$C$2:$I$1000, 4, 0))), 0)</f>
        <v>0</v>
      </c>
      <c r="U9780" s="22">
        <f t="shared" si="708"/>
        <v>0</v>
      </c>
      <c r="V9780">
        <f t="shared" si="709"/>
        <v>0</v>
      </c>
      <c r="W9780" s="22">
        <f t="shared" si="710"/>
        <v>0</v>
      </c>
    </row>
    <row r="9781" spans="1:23" hidden="1" x14ac:dyDescent="0.25">
      <c r="A9781" s="3"/>
      <c r="B9781" s="4"/>
      <c r="C9781" s="4"/>
      <c r="D9781" s="4"/>
      <c r="E9781" s="4"/>
      <c r="F9781" s="4"/>
      <c r="G9781" s="4"/>
      <c r="H9781" s="4"/>
      <c r="I9781" s="4"/>
      <c r="J9781" s="21">
        <f>IFERROR(VLOOKUP(C9781,'STOK KARTLARI'!$C$2:$K$2150,8,0),0)</f>
        <v>0</v>
      </c>
      <c r="K9781" s="21">
        <f t="shared" si="711"/>
        <v>0</v>
      </c>
      <c r="L9781" s="5">
        <f t="shared" si="713"/>
        <v>0</v>
      </c>
      <c r="M9781" s="4"/>
      <c r="N9781" s="4"/>
      <c r="O9781" s="5"/>
      <c r="P9781" s="5"/>
      <c r="Q9781" s="21">
        <f t="shared" si="714"/>
        <v>0</v>
      </c>
      <c r="R9781" s="21">
        <f t="shared" si="712"/>
        <v>0</v>
      </c>
      <c r="S9781" s="5">
        <f t="shared" si="707"/>
        <v>70007.077158325032</v>
      </c>
      <c r="T9781" cm="1">
        <f t="array" ref="T9781">IF(OR(B9781="MAL ALIMI", B9781="ÜRETİM GİRİŞ"), MIN(I9781, MAX(0, I9781 + SUM(SUMIFS($I$1:I9780, $C$1:C9780, C9781, $B$1:B9780, {"MAL ALIMI","ÜRETİM GİRİŞ"})) - VLOOKUP(C9781, 'STOK RAPORU'!$C$2:$I$1000, 4, 0))), 0)</f>
        <v>0</v>
      </c>
      <c r="U9781" s="22">
        <f t="shared" si="708"/>
        <v>0</v>
      </c>
      <c r="V9781">
        <f t="shared" si="709"/>
        <v>0</v>
      </c>
      <c r="W9781" s="22">
        <f t="shared" si="710"/>
        <v>0</v>
      </c>
    </row>
    <row r="9782" spans="1:23" hidden="1" x14ac:dyDescent="0.25">
      <c r="A9782" s="4"/>
      <c r="B9782" s="4"/>
      <c r="C9782" s="4"/>
      <c r="D9782" s="4"/>
      <c r="E9782" s="4"/>
      <c r="F9782" s="4"/>
      <c r="G9782" s="4"/>
      <c r="H9782" s="4"/>
      <c r="I9782" s="4"/>
      <c r="J9782" s="21">
        <f>IFERROR(VLOOKUP(C9782,'STOK KARTLARI'!$C$2:$K$2150,8,0),0)</f>
        <v>0</v>
      </c>
      <c r="K9782" s="21">
        <f t="shared" si="711"/>
        <v>0</v>
      </c>
      <c r="L9782" s="5">
        <f t="shared" si="713"/>
        <v>0</v>
      </c>
      <c r="M9782" s="4"/>
      <c r="N9782" s="4"/>
      <c r="O9782" s="5"/>
      <c r="P9782" s="5"/>
      <c r="Q9782" s="21">
        <f t="shared" si="714"/>
        <v>0</v>
      </c>
      <c r="R9782" s="21">
        <f t="shared" si="712"/>
        <v>0</v>
      </c>
      <c r="S9782" s="5">
        <f t="shared" si="707"/>
        <v>70007.077158325032</v>
      </c>
      <c r="T9782" cm="1">
        <f t="array" ref="T9782">IF(OR(B9782="MAL ALIMI", B9782="ÜRETİM GİRİŞ"), MIN(I9782, MAX(0, I9782 + SUM(SUMIFS($I$1:I9781, $C$1:C9781, C9782, $B$1:B9781, {"MAL ALIMI","ÜRETİM GİRİŞ"})) - VLOOKUP(C9782, 'STOK RAPORU'!$C$2:$I$1000, 4, 0))), 0)</f>
        <v>0</v>
      </c>
      <c r="U9782" s="22">
        <f t="shared" si="708"/>
        <v>0</v>
      </c>
      <c r="V9782">
        <f t="shared" si="709"/>
        <v>0</v>
      </c>
      <c r="W9782" s="22">
        <f t="shared" si="710"/>
        <v>0</v>
      </c>
    </row>
    <row r="9783" spans="1:23" hidden="1" x14ac:dyDescent="0.25">
      <c r="A9783" s="4"/>
      <c r="B9783" s="4"/>
      <c r="C9783" s="4"/>
      <c r="D9783" s="4"/>
      <c r="E9783" s="4"/>
      <c r="F9783" s="4"/>
      <c r="G9783" s="4"/>
      <c r="H9783" s="4"/>
      <c r="I9783" s="4"/>
      <c r="J9783" s="21">
        <f>IFERROR(VLOOKUP(C9783,'STOK KARTLARI'!$C$2:$K$2150,8,0),0)</f>
        <v>0</v>
      </c>
      <c r="K9783" s="21">
        <f t="shared" si="711"/>
        <v>0</v>
      </c>
      <c r="L9783" s="5">
        <f t="shared" si="713"/>
        <v>0</v>
      </c>
      <c r="M9783" s="4"/>
      <c r="N9783" s="4"/>
      <c r="O9783" s="5"/>
      <c r="P9783" s="5"/>
      <c r="Q9783" s="21">
        <f t="shared" si="714"/>
        <v>0</v>
      </c>
      <c r="R9783" s="21">
        <f t="shared" si="712"/>
        <v>0</v>
      </c>
      <c r="S9783" s="5">
        <f t="shared" si="707"/>
        <v>70007.077158325032</v>
      </c>
      <c r="T9783" cm="1">
        <f t="array" ref="T9783">IF(OR(B9783="MAL ALIMI", B9783="ÜRETİM GİRİŞ"), MIN(I9783, MAX(0, I9783 + SUM(SUMIFS($I$1:I9782, $C$1:C9782, C9783, $B$1:B9782, {"MAL ALIMI","ÜRETİM GİRİŞ"})) - VLOOKUP(C9783, 'STOK RAPORU'!$C$2:$I$1000, 4, 0))), 0)</f>
        <v>0</v>
      </c>
      <c r="U9783" s="22">
        <f t="shared" si="708"/>
        <v>0</v>
      </c>
      <c r="V9783">
        <f t="shared" si="709"/>
        <v>0</v>
      </c>
      <c r="W9783" s="22">
        <f t="shared" si="710"/>
        <v>0</v>
      </c>
    </row>
    <row r="9784" spans="1:23" hidden="1" x14ac:dyDescent="0.25">
      <c r="A9784" s="4"/>
      <c r="B9784" s="4"/>
      <c r="C9784" s="4"/>
      <c r="D9784" s="4"/>
      <c r="E9784" s="4"/>
      <c r="F9784" s="4"/>
      <c r="G9784" s="4"/>
      <c r="H9784" s="4"/>
      <c r="I9784" s="4"/>
      <c r="J9784" s="21">
        <f>IFERROR(VLOOKUP(C9784,'STOK KARTLARI'!$C$2:$K$2150,8,0),0)</f>
        <v>0</v>
      </c>
      <c r="K9784" s="21">
        <f t="shared" si="711"/>
        <v>0</v>
      </c>
      <c r="L9784" s="5">
        <f t="shared" si="713"/>
        <v>0</v>
      </c>
      <c r="M9784" s="4"/>
      <c r="N9784" s="4"/>
      <c r="O9784" s="5"/>
      <c r="P9784" s="5"/>
      <c r="Q9784" s="21">
        <f t="shared" si="714"/>
        <v>0</v>
      </c>
      <c r="R9784" s="21">
        <f t="shared" si="712"/>
        <v>0</v>
      </c>
      <c r="S9784" s="5">
        <f t="shared" si="707"/>
        <v>70007.077158325032</v>
      </c>
      <c r="T9784" cm="1">
        <f t="array" ref="T9784">IF(OR(B9784="MAL ALIMI", B9784="ÜRETİM GİRİŞ"), MIN(I9784, MAX(0, I9784 + SUM(SUMIFS($I$1:I9783, $C$1:C9783, C9784, $B$1:B9783, {"MAL ALIMI","ÜRETİM GİRİŞ"})) - VLOOKUP(C9784, 'STOK RAPORU'!$C$2:$I$1000, 4, 0))), 0)</f>
        <v>0</v>
      </c>
      <c r="U9784" s="22">
        <f t="shared" si="708"/>
        <v>0</v>
      </c>
      <c r="V9784">
        <f t="shared" si="709"/>
        <v>0</v>
      </c>
      <c r="W9784" s="22">
        <f t="shared" si="710"/>
        <v>0</v>
      </c>
    </row>
    <row r="9785" spans="1:23" hidden="1" x14ac:dyDescent="0.25">
      <c r="A9785" s="4"/>
      <c r="B9785" s="4"/>
      <c r="C9785" s="4"/>
      <c r="D9785" s="4"/>
      <c r="E9785" s="4"/>
      <c r="F9785" s="4"/>
      <c r="G9785" s="4"/>
      <c r="H9785" s="4"/>
      <c r="I9785" s="4"/>
      <c r="J9785" s="21">
        <f>IFERROR(VLOOKUP(C9785,'STOK KARTLARI'!$C$2:$K$2150,8,0),0)</f>
        <v>0</v>
      </c>
      <c r="K9785" s="21">
        <f t="shared" si="711"/>
        <v>0</v>
      </c>
      <c r="L9785" s="5">
        <f t="shared" si="713"/>
        <v>0</v>
      </c>
      <c r="M9785" s="4"/>
      <c r="N9785" s="4"/>
      <c r="O9785" s="5"/>
      <c r="P9785" s="5"/>
      <c r="Q9785" s="21">
        <f t="shared" si="714"/>
        <v>0</v>
      </c>
      <c r="R9785" s="21">
        <f t="shared" si="712"/>
        <v>0</v>
      </c>
      <c r="S9785" s="5">
        <f t="shared" si="707"/>
        <v>70007.077158325032</v>
      </c>
      <c r="T9785" cm="1">
        <f t="array" ref="T9785">IF(OR(B9785="MAL ALIMI", B9785="ÜRETİM GİRİŞ"), MIN(I9785, MAX(0, I9785 + SUM(SUMIFS($I$1:I9784, $C$1:C9784, C9785, $B$1:B9784, {"MAL ALIMI","ÜRETİM GİRİŞ"})) - VLOOKUP(C9785, 'STOK RAPORU'!$C$2:$I$1000, 4, 0))), 0)</f>
        <v>0</v>
      </c>
      <c r="U9785" s="22">
        <f t="shared" si="708"/>
        <v>0</v>
      </c>
      <c r="V9785">
        <f t="shared" si="709"/>
        <v>0</v>
      </c>
      <c r="W9785" s="22">
        <f t="shared" si="710"/>
        <v>0</v>
      </c>
    </row>
    <row r="9786" spans="1:23" hidden="1" x14ac:dyDescent="0.25">
      <c r="A9786" s="4"/>
      <c r="B9786" s="4"/>
      <c r="C9786" s="4"/>
      <c r="D9786" s="4"/>
      <c r="E9786" s="4"/>
      <c r="F9786" s="4"/>
      <c r="G9786" s="4"/>
      <c r="H9786" s="4"/>
      <c r="I9786" s="4"/>
      <c r="J9786" s="21">
        <f>IFERROR(VLOOKUP(C9786,'STOK KARTLARI'!$C$2:$K$2150,8,0),0)</f>
        <v>0</v>
      </c>
      <c r="K9786" s="21">
        <f t="shared" si="711"/>
        <v>0</v>
      </c>
      <c r="L9786" s="5">
        <f t="shared" si="713"/>
        <v>0</v>
      </c>
      <c r="M9786" s="4"/>
      <c r="N9786" s="4"/>
      <c r="O9786" s="5"/>
      <c r="P9786" s="5"/>
      <c r="Q9786" s="21">
        <f t="shared" si="714"/>
        <v>0</v>
      </c>
      <c r="R9786" s="21">
        <f t="shared" si="712"/>
        <v>0</v>
      </c>
      <c r="S9786" s="5">
        <f t="shared" si="707"/>
        <v>70007.077158325032</v>
      </c>
      <c r="T9786" cm="1">
        <f t="array" ref="T9786">IF(OR(B9786="MAL ALIMI", B9786="ÜRETİM GİRİŞ"), MIN(I9786, MAX(0, I9786 + SUM(SUMIFS($I$1:I9785, $C$1:C9785, C9786, $B$1:B9785, {"MAL ALIMI","ÜRETİM GİRİŞ"})) - VLOOKUP(C9786, 'STOK RAPORU'!$C$2:$I$1000, 4, 0))), 0)</f>
        <v>0</v>
      </c>
      <c r="U9786" s="22">
        <f t="shared" si="708"/>
        <v>0</v>
      </c>
      <c r="V9786">
        <f t="shared" si="709"/>
        <v>0</v>
      </c>
      <c r="W9786" s="22">
        <f t="shared" si="710"/>
        <v>0</v>
      </c>
    </row>
    <row r="9787" spans="1:23" hidden="1" x14ac:dyDescent="0.25">
      <c r="A9787" s="4"/>
      <c r="B9787" s="4"/>
      <c r="C9787" s="4"/>
      <c r="D9787" s="4"/>
      <c r="E9787" s="4"/>
      <c r="F9787" s="4"/>
      <c r="G9787" s="4"/>
      <c r="H9787" s="4"/>
      <c r="I9787" s="4"/>
      <c r="J9787" s="21">
        <f>IFERROR(VLOOKUP(C9787,'STOK KARTLARI'!$C$2:$K$2150,8,0),0)</f>
        <v>0</v>
      </c>
      <c r="K9787" s="21">
        <f t="shared" si="711"/>
        <v>0</v>
      </c>
      <c r="L9787" s="5">
        <f t="shared" si="713"/>
        <v>0</v>
      </c>
      <c r="M9787" s="4"/>
      <c r="N9787" s="4"/>
      <c r="O9787" s="5"/>
      <c r="P9787" s="5"/>
      <c r="Q9787" s="21">
        <f t="shared" si="714"/>
        <v>0</v>
      </c>
      <c r="R9787" s="21">
        <f t="shared" si="712"/>
        <v>0</v>
      </c>
      <c r="S9787" s="5">
        <f t="shared" si="707"/>
        <v>70007.077158325032</v>
      </c>
      <c r="T9787" cm="1">
        <f t="array" ref="T9787">IF(OR(B9787="MAL ALIMI", B9787="ÜRETİM GİRİŞ"), MIN(I9787, MAX(0, I9787 + SUM(SUMIFS($I$1:I9786, $C$1:C9786, C9787, $B$1:B9786, {"MAL ALIMI","ÜRETİM GİRİŞ"})) - VLOOKUP(C9787, 'STOK RAPORU'!$C$2:$I$1000, 4, 0))), 0)</f>
        <v>0</v>
      </c>
      <c r="U9787" s="22">
        <f t="shared" si="708"/>
        <v>0</v>
      </c>
      <c r="V9787">
        <f t="shared" si="709"/>
        <v>0</v>
      </c>
      <c r="W9787" s="22">
        <f t="shared" si="710"/>
        <v>0</v>
      </c>
    </row>
    <row r="9788" spans="1:23" hidden="1" x14ac:dyDescent="0.25">
      <c r="A9788" s="3"/>
      <c r="B9788" s="4"/>
      <c r="C9788" s="4"/>
      <c r="D9788" s="4"/>
      <c r="E9788" s="4"/>
      <c r="F9788" s="4"/>
      <c r="G9788" s="4"/>
      <c r="H9788" s="4"/>
      <c r="I9788" s="4"/>
      <c r="J9788" s="21">
        <f>IFERROR(VLOOKUP(C9788,'STOK KARTLARI'!$C$2:$K$2150,8,0),0)</f>
        <v>0</v>
      </c>
      <c r="K9788" s="21">
        <f t="shared" si="711"/>
        <v>0</v>
      </c>
      <c r="L9788" s="5">
        <f t="shared" si="713"/>
        <v>0</v>
      </c>
      <c r="M9788" s="4"/>
      <c r="N9788" s="4"/>
      <c r="O9788" s="5"/>
      <c r="P9788" s="5"/>
      <c r="Q9788" s="21">
        <f t="shared" si="714"/>
        <v>0</v>
      </c>
      <c r="R9788" s="21">
        <f t="shared" si="712"/>
        <v>0</v>
      </c>
      <c r="S9788" s="5">
        <f t="shared" si="707"/>
        <v>70007.077158325032</v>
      </c>
      <c r="T9788" cm="1">
        <f t="array" ref="T9788">IF(OR(B9788="MAL ALIMI", B9788="ÜRETİM GİRİŞ"), MIN(I9788, MAX(0, I9788 + SUM(SUMIFS($I$1:I9787, $C$1:C9787, C9788, $B$1:B9787, {"MAL ALIMI","ÜRETİM GİRİŞ"})) - VLOOKUP(C9788, 'STOK RAPORU'!$C$2:$I$1000, 4, 0))), 0)</f>
        <v>0</v>
      </c>
      <c r="U9788" s="22">
        <f t="shared" si="708"/>
        <v>0</v>
      </c>
      <c r="V9788">
        <f t="shared" si="709"/>
        <v>0</v>
      </c>
      <c r="W9788" s="22">
        <f t="shared" si="710"/>
        <v>0</v>
      </c>
    </row>
    <row r="9789" spans="1:23" hidden="1" x14ac:dyDescent="0.25">
      <c r="A9789" s="4"/>
      <c r="B9789" s="4"/>
      <c r="C9789" s="4"/>
      <c r="D9789" s="4"/>
      <c r="E9789" s="4"/>
      <c r="F9789" s="4"/>
      <c r="G9789" s="4"/>
      <c r="H9789" s="4"/>
      <c r="I9789" s="4"/>
      <c r="J9789" s="21">
        <f>IFERROR(VLOOKUP(C9789,'STOK KARTLARI'!$C$2:$K$2150,8,0),0)</f>
        <v>0</v>
      </c>
      <c r="K9789" s="21">
        <f t="shared" si="711"/>
        <v>0</v>
      </c>
      <c r="L9789" s="5">
        <f t="shared" si="713"/>
        <v>0</v>
      </c>
      <c r="M9789" s="4"/>
      <c r="N9789" s="4"/>
      <c r="O9789" s="5"/>
      <c r="P9789" s="5"/>
      <c r="Q9789" s="21">
        <f t="shared" si="714"/>
        <v>0</v>
      </c>
      <c r="R9789" s="21">
        <f t="shared" si="712"/>
        <v>0</v>
      </c>
      <c r="S9789" s="5">
        <f t="shared" si="707"/>
        <v>70007.077158325032</v>
      </c>
      <c r="T9789" cm="1">
        <f t="array" ref="T9789">IF(OR(B9789="MAL ALIMI", B9789="ÜRETİM GİRİŞ"), MIN(I9789, MAX(0, I9789 + SUM(SUMIFS($I$1:I9788, $C$1:C9788, C9789, $B$1:B9788, {"MAL ALIMI","ÜRETİM GİRİŞ"})) - VLOOKUP(C9789, 'STOK RAPORU'!$C$2:$I$1000, 4, 0))), 0)</f>
        <v>0</v>
      </c>
      <c r="U9789" s="22">
        <f t="shared" si="708"/>
        <v>0</v>
      </c>
      <c r="V9789">
        <f t="shared" si="709"/>
        <v>0</v>
      </c>
      <c r="W9789" s="22">
        <f t="shared" si="710"/>
        <v>0</v>
      </c>
    </row>
    <row r="9790" spans="1:23" hidden="1" x14ac:dyDescent="0.25">
      <c r="A9790" s="4"/>
      <c r="B9790" s="4"/>
      <c r="C9790" s="4"/>
      <c r="D9790" s="4"/>
      <c r="E9790" s="4"/>
      <c r="F9790" s="4"/>
      <c r="G9790" s="4"/>
      <c r="H9790" s="4"/>
      <c r="I9790" s="4"/>
      <c r="J9790" s="21">
        <f>IFERROR(VLOOKUP(C9790,'STOK KARTLARI'!$C$2:$K$2150,8,0),0)</f>
        <v>0</v>
      </c>
      <c r="K9790" s="21">
        <f t="shared" si="711"/>
        <v>0</v>
      </c>
      <c r="L9790" s="5">
        <f t="shared" si="713"/>
        <v>0</v>
      </c>
      <c r="M9790" s="4"/>
      <c r="N9790" s="4"/>
      <c r="O9790" s="5"/>
      <c r="P9790" s="5"/>
      <c r="Q9790" s="21">
        <f t="shared" si="714"/>
        <v>0</v>
      </c>
      <c r="R9790" s="21">
        <f t="shared" si="712"/>
        <v>0</v>
      </c>
      <c r="S9790" s="5">
        <f t="shared" si="707"/>
        <v>70007.077158325032</v>
      </c>
      <c r="T9790" cm="1">
        <f t="array" ref="T9790">IF(OR(B9790="MAL ALIMI", B9790="ÜRETİM GİRİŞ"), MIN(I9790, MAX(0, I9790 + SUM(SUMIFS($I$1:I9789, $C$1:C9789, C9790, $B$1:B9789, {"MAL ALIMI","ÜRETİM GİRİŞ"})) - VLOOKUP(C9790, 'STOK RAPORU'!$C$2:$I$1000, 4, 0))), 0)</f>
        <v>0</v>
      </c>
      <c r="U9790" s="22">
        <f t="shared" si="708"/>
        <v>0</v>
      </c>
      <c r="V9790">
        <f t="shared" si="709"/>
        <v>0</v>
      </c>
      <c r="W9790" s="22">
        <f t="shared" si="710"/>
        <v>0</v>
      </c>
    </row>
    <row r="9791" spans="1:23" hidden="1" x14ac:dyDescent="0.25">
      <c r="A9791" s="4"/>
      <c r="B9791" s="4"/>
      <c r="C9791" s="4"/>
      <c r="D9791" s="4"/>
      <c r="E9791" s="4"/>
      <c r="F9791" s="4"/>
      <c r="G9791" s="4"/>
      <c r="H9791" s="4"/>
      <c r="I9791" s="4"/>
      <c r="J9791" s="21">
        <f>IFERROR(VLOOKUP(C9791,'STOK KARTLARI'!$C$2:$K$2150,8,0),0)</f>
        <v>0</v>
      </c>
      <c r="K9791" s="21">
        <f t="shared" si="711"/>
        <v>0</v>
      </c>
      <c r="L9791" s="5">
        <f t="shared" si="713"/>
        <v>0</v>
      </c>
      <c r="M9791" s="4"/>
      <c r="N9791" s="4"/>
      <c r="O9791" s="5"/>
      <c r="P9791" s="5"/>
      <c r="Q9791" s="21">
        <f t="shared" si="714"/>
        <v>0</v>
      </c>
      <c r="R9791" s="21">
        <f t="shared" si="712"/>
        <v>0</v>
      </c>
      <c r="S9791" s="5">
        <f t="shared" si="707"/>
        <v>70007.077158325032</v>
      </c>
      <c r="T9791" cm="1">
        <f t="array" ref="T9791">IF(OR(B9791="MAL ALIMI", B9791="ÜRETİM GİRİŞ"), MIN(I9791, MAX(0, I9791 + SUM(SUMIFS($I$1:I9790, $C$1:C9790, C9791, $B$1:B9790, {"MAL ALIMI","ÜRETİM GİRİŞ"})) - VLOOKUP(C9791, 'STOK RAPORU'!$C$2:$I$1000, 4, 0))), 0)</f>
        <v>0</v>
      </c>
      <c r="U9791" s="22">
        <f t="shared" si="708"/>
        <v>0</v>
      </c>
      <c r="V9791">
        <f t="shared" si="709"/>
        <v>0</v>
      </c>
      <c r="W9791" s="22">
        <f t="shared" si="710"/>
        <v>0</v>
      </c>
    </row>
    <row r="9792" spans="1:23" hidden="1" x14ac:dyDescent="0.25">
      <c r="A9792" s="4"/>
      <c r="B9792" s="4"/>
      <c r="C9792" s="4"/>
      <c r="D9792" s="4"/>
      <c r="E9792" s="4"/>
      <c r="F9792" s="4"/>
      <c r="G9792" s="4"/>
      <c r="H9792" s="4"/>
      <c r="I9792" s="4"/>
      <c r="J9792" s="21">
        <f>IFERROR(VLOOKUP(C9792,'STOK KARTLARI'!$C$2:$K$2150,8,0),0)</f>
        <v>0</v>
      </c>
      <c r="K9792" s="21">
        <f t="shared" si="711"/>
        <v>0</v>
      </c>
      <c r="L9792" s="5">
        <f t="shared" si="713"/>
        <v>0</v>
      </c>
      <c r="M9792" s="4"/>
      <c r="N9792" s="4"/>
      <c r="O9792" s="5"/>
      <c r="P9792" s="5"/>
      <c r="Q9792" s="21">
        <f t="shared" si="714"/>
        <v>0</v>
      </c>
      <c r="R9792" s="21">
        <f t="shared" si="712"/>
        <v>0</v>
      </c>
      <c r="S9792" s="5">
        <f t="shared" si="707"/>
        <v>70007.077158325032</v>
      </c>
      <c r="T9792" cm="1">
        <f t="array" ref="T9792">IF(OR(B9792="MAL ALIMI", B9792="ÜRETİM GİRİŞ"), MIN(I9792, MAX(0, I9792 + SUM(SUMIFS($I$1:I9791, $C$1:C9791, C9792, $B$1:B9791, {"MAL ALIMI","ÜRETİM GİRİŞ"})) - VLOOKUP(C9792, 'STOK RAPORU'!$C$2:$I$1000, 4, 0))), 0)</f>
        <v>0</v>
      </c>
      <c r="U9792" s="22">
        <f t="shared" si="708"/>
        <v>0</v>
      </c>
      <c r="V9792">
        <f t="shared" si="709"/>
        <v>0</v>
      </c>
      <c r="W9792" s="22">
        <f t="shared" si="710"/>
        <v>0</v>
      </c>
    </row>
    <row r="9793" spans="1:23" hidden="1" x14ac:dyDescent="0.25">
      <c r="A9793" s="4"/>
      <c r="B9793" s="4"/>
      <c r="C9793" s="4"/>
      <c r="D9793" s="4"/>
      <c r="E9793" s="4"/>
      <c r="F9793" s="4"/>
      <c r="G9793" s="4"/>
      <c r="H9793" s="4"/>
      <c r="I9793" s="4"/>
      <c r="J9793" s="21">
        <f>IFERROR(VLOOKUP(C9793,'STOK KARTLARI'!$C$2:$K$2150,8,0),0)</f>
        <v>0</v>
      </c>
      <c r="K9793" s="21">
        <f t="shared" si="711"/>
        <v>0</v>
      </c>
      <c r="L9793" s="5">
        <f t="shared" si="713"/>
        <v>0</v>
      </c>
      <c r="M9793" s="4"/>
      <c r="N9793" s="4"/>
      <c r="O9793" s="5"/>
      <c r="P9793" s="5"/>
      <c r="Q9793" s="21">
        <f t="shared" si="714"/>
        <v>0</v>
      </c>
      <c r="R9793" s="21">
        <f t="shared" si="712"/>
        <v>0</v>
      </c>
      <c r="S9793" s="5">
        <f t="shared" si="707"/>
        <v>70007.077158325032</v>
      </c>
      <c r="T9793" cm="1">
        <f t="array" ref="T9793">IF(OR(B9793="MAL ALIMI", B9793="ÜRETİM GİRİŞ"), MIN(I9793, MAX(0, I9793 + SUM(SUMIFS($I$1:I9792, $C$1:C9792, C9793, $B$1:B9792, {"MAL ALIMI","ÜRETİM GİRİŞ"})) - VLOOKUP(C9793, 'STOK RAPORU'!$C$2:$I$1000, 4, 0))), 0)</f>
        <v>0</v>
      </c>
      <c r="U9793" s="22">
        <f t="shared" si="708"/>
        <v>0</v>
      </c>
      <c r="V9793">
        <f t="shared" si="709"/>
        <v>0</v>
      </c>
      <c r="W9793" s="22">
        <f t="shared" si="710"/>
        <v>0</v>
      </c>
    </row>
    <row r="9794" spans="1:23" hidden="1" x14ac:dyDescent="0.25">
      <c r="A9794" s="4"/>
      <c r="B9794" s="4"/>
      <c r="C9794" s="4"/>
      <c r="D9794" s="4"/>
      <c r="E9794" s="4"/>
      <c r="F9794" s="4"/>
      <c r="G9794" s="4"/>
      <c r="H9794" s="4"/>
      <c r="I9794" s="4"/>
      <c r="J9794" s="21">
        <f>IFERROR(VLOOKUP(C9794,'STOK KARTLARI'!$C$2:$K$2150,8,0),0)</f>
        <v>0</v>
      </c>
      <c r="K9794" s="21">
        <f t="shared" si="711"/>
        <v>0</v>
      </c>
      <c r="L9794" s="5">
        <f t="shared" si="713"/>
        <v>0</v>
      </c>
      <c r="M9794" s="4"/>
      <c r="N9794" s="4"/>
      <c r="O9794" s="5"/>
      <c r="P9794" s="5"/>
      <c r="Q9794" s="21">
        <f t="shared" si="714"/>
        <v>0</v>
      </c>
      <c r="R9794" s="21">
        <f t="shared" si="712"/>
        <v>0</v>
      </c>
      <c r="S9794" s="5">
        <f t="shared" si="707"/>
        <v>70007.077158325032</v>
      </c>
      <c r="T9794" cm="1">
        <f t="array" ref="T9794">IF(OR(B9794="MAL ALIMI", B9794="ÜRETİM GİRİŞ"), MIN(I9794, MAX(0, I9794 + SUM(SUMIFS($I$1:I9793, $C$1:C9793, C9794, $B$1:B9793, {"MAL ALIMI","ÜRETİM GİRİŞ"})) - VLOOKUP(C9794, 'STOK RAPORU'!$C$2:$I$1000, 4, 0))), 0)</f>
        <v>0</v>
      </c>
      <c r="U9794" s="22">
        <f t="shared" si="708"/>
        <v>0</v>
      </c>
      <c r="V9794">
        <f t="shared" si="709"/>
        <v>0</v>
      </c>
      <c r="W9794" s="22">
        <f t="shared" si="710"/>
        <v>0</v>
      </c>
    </row>
    <row r="9795" spans="1:23" hidden="1" x14ac:dyDescent="0.25">
      <c r="A9795" s="3"/>
      <c r="B9795" s="4"/>
      <c r="C9795" s="4"/>
      <c r="D9795" s="4"/>
      <c r="E9795" s="4"/>
      <c r="F9795" s="4"/>
      <c r="G9795" s="4"/>
      <c r="H9795" s="4"/>
      <c r="I9795" s="4"/>
      <c r="J9795" s="21">
        <f>IFERROR(VLOOKUP(C9795,'STOK KARTLARI'!$C$2:$K$2150,8,0),0)</f>
        <v>0</v>
      </c>
      <c r="K9795" s="21">
        <f t="shared" si="711"/>
        <v>0</v>
      </c>
      <c r="L9795" s="5">
        <f t="shared" si="713"/>
        <v>0</v>
      </c>
      <c r="M9795" s="4"/>
      <c r="N9795" s="4"/>
      <c r="O9795" s="5"/>
      <c r="P9795" s="5"/>
      <c r="Q9795" s="21">
        <f t="shared" si="714"/>
        <v>0</v>
      </c>
      <c r="R9795" s="21">
        <f t="shared" si="712"/>
        <v>0</v>
      </c>
      <c r="S9795" s="5">
        <f t="shared" si="707"/>
        <v>70007.077158325032</v>
      </c>
      <c r="T9795" cm="1">
        <f t="array" ref="T9795">IF(OR(B9795="MAL ALIMI", B9795="ÜRETİM GİRİŞ"), MIN(I9795, MAX(0, I9795 + SUM(SUMIFS($I$1:I9794, $C$1:C9794, C9795, $B$1:B9794, {"MAL ALIMI","ÜRETİM GİRİŞ"})) - VLOOKUP(C9795, 'STOK RAPORU'!$C$2:$I$1000, 4, 0))), 0)</f>
        <v>0</v>
      </c>
      <c r="U9795" s="22">
        <f t="shared" si="708"/>
        <v>0</v>
      </c>
      <c r="V9795">
        <f t="shared" si="709"/>
        <v>0</v>
      </c>
      <c r="W9795" s="22">
        <f t="shared" si="710"/>
        <v>0</v>
      </c>
    </row>
    <row r="9796" spans="1:23" hidden="1" x14ac:dyDescent="0.25">
      <c r="A9796" s="4"/>
      <c r="B9796" s="4"/>
      <c r="C9796" s="4"/>
      <c r="D9796" s="4"/>
      <c r="E9796" s="4"/>
      <c r="F9796" s="4"/>
      <c r="G9796" s="4"/>
      <c r="H9796" s="4"/>
      <c r="I9796" s="4"/>
      <c r="J9796" s="21">
        <f>IFERROR(VLOOKUP(C9796,'STOK KARTLARI'!$C$2:$K$2150,8,0),0)</f>
        <v>0</v>
      </c>
      <c r="K9796" s="21">
        <f t="shared" si="711"/>
        <v>0</v>
      </c>
      <c r="L9796" s="5">
        <f t="shared" si="713"/>
        <v>0</v>
      </c>
      <c r="M9796" s="4"/>
      <c r="N9796" s="4"/>
      <c r="O9796" s="5"/>
      <c r="P9796" s="5"/>
      <c r="Q9796" s="21">
        <f t="shared" si="714"/>
        <v>0</v>
      </c>
      <c r="R9796" s="21">
        <f t="shared" si="712"/>
        <v>0</v>
      </c>
      <c r="S9796" s="5">
        <f t="shared" si="707"/>
        <v>70007.077158325032</v>
      </c>
      <c r="T9796" cm="1">
        <f t="array" ref="T9796">IF(OR(B9796="MAL ALIMI", B9796="ÜRETİM GİRİŞ"), MIN(I9796, MAX(0, I9796 + SUM(SUMIFS($I$1:I9795, $C$1:C9795, C9796, $B$1:B9795, {"MAL ALIMI","ÜRETİM GİRİŞ"})) - VLOOKUP(C9796, 'STOK RAPORU'!$C$2:$I$1000, 4, 0))), 0)</f>
        <v>0</v>
      </c>
      <c r="U9796" s="22">
        <f t="shared" si="708"/>
        <v>0</v>
      </c>
      <c r="V9796">
        <f t="shared" si="709"/>
        <v>0</v>
      </c>
      <c r="W9796" s="22">
        <f t="shared" si="710"/>
        <v>0</v>
      </c>
    </row>
    <row r="9797" spans="1:23" hidden="1" x14ac:dyDescent="0.25">
      <c r="A9797" s="4"/>
      <c r="B9797" s="4"/>
      <c r="C9797" s="4"/>
      <c r="D9797" s="4"/>
      <c r="E9797" s="4"/>
      <c r="F9797" s="4"/>
      <c r="G9797" s="4"/>
      <c r="H9797" s="4"/>
      <c r="I9797" s="4"/>
      <c r="J9797" s="21">
        <f>IFERROR(VLOOKUP(C9797,'STOK KARTLARI'!$C$2:$K$2150,8,0),0)</f>
        <v>0</v>
      </c>
      <c r="K9797" s="21">
        <f t="shared" si="711"/>
        <v>0</v>
      </c>
      <c r="L9797" s="5">
        <f t="shared" si="713"/>
        <v>0</v>
      </c>
      <c r="M9797" s="4"/>
      <c r="N9797" s="4"/>
      <c r="O9797" s="5"/>
      <c r="P9797" s="5"/>
      <c r="Q9797" s="21">
        <f t="shared" si="714"/>
        <v>0</v>
      </c>
      <c r="R9797" s="21">
        <f t="shared" si="712"/>
        <v>0</v>
      </c>
      <c r="S9797" s="5">
        <f t="shared" ref="S9797:S9860" si="715">S9796+Q9797-R9797</f>
        <v>70007.077158325032</v>
      </c>
      <c r="T9797" cm="1">
        <f t="array" ref="T9797">IF(OR(B9797="MAL ALIMI", B9797="ÜRETİM GİRİŞ"), MIN(I9797, MAX(0, I9797 + SUM(SUMIFS($I$1:I9796, $C$1:C9796, C9797, $B$1:B9796, {"MAL ALIMI","ÜRETİM GİRİŞ"})) - VLOOKUP(C9797, 'STOK RAPORU'!$C$2:$I$1000, 4, 0))), 0)</f>
        <v>0</v>
      </c>
      <c r="U9797" s="22">
        <f t="shared" si="708"/>
        <v>0</v>
      </c>
      <c r="V9797">
        <f t="shared" si="709"/>
        <v>0</v>
      </c>
      <c r="W9797" s="22">
        <f t="shared" si="710"/>
        <v>0</v>
      </c>
    </row>
    <row r="9798" spans="1:23" hidden="1" x14ac:dyDescent="0.25">
      <c r="A9798" s="4"/>
      <c r="B9798" s="4"/>
      <c r="C9798" s="4"/>
      <c r="D9798" s="4"/>
      <c r="E9798" s="4"/>
      <c r="F9798" s="4"/>
      <c r="G9798" s="4"/>
      <c r="H9798" s="4"/>
      <c r="I9798" s="4"/>
      <c r="J9798" s="21">
        <f>IFERROR(VLOOKUP(C9798,'STOK KARTLARI'!$C$2:$K$2150,8,0),0)</f>
        <v>0</v>
      </c>
      <c r="K9798" s="21">
        <f t="shared" si="711"/>
        <v>0</v>
      </c>
      <c r="L9798" s="5">
        <f t="shared" si="713"/>
        <v>0</v>
      </c>
      <c r="M9798" s="4"/>
      <c r="N9798" s="4"/>
      <c r="O9798" s="5"/>
      <c r="P9798" s="5"/>
      <c r="Q9798" s="21">
        <f t="shared" si="714"/>
        <v>0</v>
      </c>
      <c r="R9798" s="21">
        <f t="shared" si="712"/>
        <v>0</v>
      </c>
      <c r="S9798" s="5">
        <f t="shared" si="715"/>
        <v>70007.077158325032</v>
      </c>
      <c r="T9798" cm="1">
        <f t="array" ref="T9798">IF(OR(B9798="MAL ALIMI", B9798="ÜRETİM GİRİŞ"), MIN(I9798, MAX(0, I9798 + SUM(SUMIFS($I$1:I9797, $C$1:C9797, C9798, $B$1:B9797, {"MAL ALIMI","ÜRETİM GİRİŞ"})) - VLOOKUP(C9798, 'STOK RAPORU'!$C$2:$I$1000, 4, 0))), 0)</f>
        <v>0</v>
      </c>
      <c r="U9798" s="22">
        <f t="shared" si="708"/>
        <v>0</v>
      </c>
      <c r="V9798">
        <f t="shared" si="709"/>
        <v>0</v>
      </c>
      <c r="W9798" s="22">
        <f t="shared" si="710"/>
        <v>0</v>
      </c>
    </row>
    <row r="9799" spans="1:23" hidden="1" x14ac:dyDescent="0.25">
      <c r="A9799" s="4"/>
      <c r="B9799" s="4"/>
      <c r="C9799" s="4"/>
      <c r="D9799" s="4"/>
      <c r="E9799" s="4"/>
      <c r="F9799" s="4"/>
      <c r="G9799" s="4"/>
      <c r="H9799" s="4"/>
      <c r="I9799" s="4"/>
      <c r="J9799" s="21">
        <f>IFERROR(VLOOKUP(C9799,'STOK KARTLARI'!$C$2:$K$2150,8,0),0)</f>
        <v>0</v>
      </c>
      <c r="K9799" s="21">
        <f t="shared" si="711"/>
        <v>0</v>
      </c>
      <c r="L9799" s="5">
        <f t="shared" si="713"/>
        <v>0</v>
      </c>
      <c r="M9799" s="4"/>
      <c r="N9799" s="4"/>
      <c r="O9799" s="5"/>
      <c r="P9799" s="5"/>
      <c r="Q9799" s="21">
        <f t="shared" si="714"/>
        <v>0</v>
      </c>
      <c r="R9799" s="21">
        <f t="shared" si="712"/>
        <v>0</v>
      </c>
      <c r="S9799" s="5">
        <f t="shared" si="715"/>
        <v>70007.077158325032</v>
      </c>
      <c r="T9799" cm="1">
        <f t="array" ref="T9799">IF(OR(B9799="MAL ALIMI", B9799="ÜRETİM GİRİŞ"), MIN(I9799, MAX(0, I9799 + SUM(SUMIFS($I$1:I9798, $C$1:C9798, C9799, $B$1:B9798, {"MAL ALIMI","ÜRETİM GİRİŞ"})) - VLOOKUP(C9799, 'STOK RAPORU'!$C$2:$I$1000, 4, 0))), 0)</f>
        <v>0</v>
      </c>
      <c r="U9799" s="22">
        <f t="shared" si="708"/>
        <v>0</v>
      </c>
      <c r="V9799">
        <f t="shared" si="709"/>
        <v>0</v>
      </c>
      <c r="W9799" s="22">
        <f t="shared" si="710"/>
        <v>0</v>
      </c>
    </row>
    <row r="9800" spans="1:23" hidden="1" x14ac:dyDescent="0.25">
      <c r="A9800" s="4"/>
      <c r="B9800" s="4"/>
      <c r="C9800" s="4"/>
      <c r="D9800" s="4"/>
      <c r="E9800" s="4"/>
      <c r="F9800" s="4"/>
      <c r="G9800" s="4"/>
      <c r="H9800" s="4"/>
      <c r="I9800" s="4"/>
      <c r="J9800" s="21">
        <f>IFERROR(VLOOKUP(C9800,'STOK KARTLARI'!$C$2:$K$2150,8,0),0)</f>
        <v>0</v>
      </c>
      <c r="K9800" s="21">
        <f t="shared" si="711"/>
        <v>0</v>
      </c>
      <c r="L9800" s="5">
        <f t="shared" si="713"/>
        <v>0</v>
      </c>
      <c r="M9800" s="4"/>
      <c r="N9800" s="4"/>
      <c r="O9800" s="5"/>
      <c r="P9800" s="5"/>
      <c r="Q9800" s="21">
        <f t="shared" si="714"/>
        <v>0</v>
      </c>
      <c r="R9800" s="21">
        <f t="shared" si="712"/>
        <v>0</v>
      </c>
      <c r="S9800" s="5">
        <f t="shared" si="715"/>
        <v>70007.077158325032</v>
      </c>
      <c r="T9800" cm="1">
        <f t="array" ref="T9800">IF(OR(B9800="MAL ALIMI", B9800="ÜRETİM GİRİŞ"), MIN(I9800, MAX(0, I9800 + SUM(SUMIFS($I$1:I9799, $C$1:C9799, C9800, $B$1:B9799, {"MAL ALIMI","ÜRETİM GİRİŞ"})) - VLOOKUP(C9800, 'STOK RAPORU'!$C$2:$I$1000, 4, 0))), 0)</f>
        <v>0</v>
      </c>
      <c r="U9800" s="22">
        <f t="shared" si="708"/>
        <v>0</v>
      </c>
      <c r="V9800">
        <f t="shared" si="709"/>
        <v>0</v>
      </c>
      <c r="W9800" s="22">
        <f t="shared" si="710"/>
        <v>0</v>
      </c>
    </row>
    <row r="9801" spans="1:23" hidden="1" x14ac:dyDescent="0.25">
      <c r="A9801" s="4"/>
      <c r="B9801" s="4"/>
      <c r="C9801" s="4"/>
      <c r="D9801" s="4"/>
      <c r="E9801" s="4"/>
      <c r="F9801" s="4"/>
      <c r="G9801" s="4"/>
      <c r="H9801" s="4"/>
      <c r="I9801" s="4"/>
      <c r="J9801" s="21">
        <f>IFERROR(VLOOKUP(C9801,'STOK KARTLARI'!$C$2:$K$2150,8,0),0)</f>
        <v>0</v>
      </c>
      <c r="K9801" s="21">
        <f t="shared" si="711"/>
        <v>0</v>
      </c>
      <c r="L9801" s="5">
        <f t="shared" si="713"/>
        <v>0</v>
      </c>
      <c r="M9801" s="4"/>
      <c r="N9801" s="4"/>
      <c r="O9801" s="5"/>
      <c r="P9801" s="5"/>
      <c r="Q9801" s="21">
        <f t="shared" si="714"/>
        <v>0</v>
      </c>
      <c r="R9801" s="21">
        <f t="shared" si="712"/>
        <v>0</v>
      </c>
      <c r="S9801" s="5">
        <f t="shared" si="715"/>
        <v>70007.077158325032</v>
      </c>
      <c r="T9801" cm="1">
        <f t="array" ref="T9801">IF(OR(B9801="MAL ALIMI", B9801="ÜRETİM GİRİŞ"), MIN(I9801, MAX(0, I9801 + SUM(SUMIFS($I$1:I9800, $C$1:C9800, C9801, $B$1:B9800, {"MAL ALIMI","ÜRETİM GİRİŞ"})) - VLOOKUP(C9801, 'STOK RAPORU'!$C$2:$I$1000, 4, 0))), 0)</f>
        <v>0</v>
      </c>
      <c r="U9801" s="22">
        <f t="shared" si="708"/>
        <v>0</v>
      </c>
      <c r="V9801">
        <f t="shared" si="709"/>
        <v>0</v>
      </c>
      <c r="W9801" s="22">
        <f t="shared" si="710"/>
        <v>0</v>
      </c>
    </row>
    <row r="9802" spans="1:23" hidden="1" x14ac:dyDescent="0.25">
      <c r="A9802" s="3"/>
      <c r="B9802" s="4"/>
      <c r="C9802" s="4"/>
      <c r="D9802" s="4"/>
      <c r="E9802" s="4"/>
      <c r="F9802" s="4"/>
      <c r="G9802" s="4"/>
      <c r="H9802" s="4"/>
      <c r="I9802" s="4"/>
      <c r="J9802" s="21">
        <f>IFERROR(VLOOKUP(C9802,'STOK KARTLARI'!$C$2:$K$2150,8,0),0)</f>
        <v>0</v>
      </c>
      <c r="K9802" s="21">
        <f t="shared" si="711"/>
        <v>0</v>
      </c>
      <c r="L9802" s="5">
        <f t="shared" si="713"/>
        <v>0</v>
      </c>
      <c r="M9802" s="4"/>
      <c r="N9802" s="4"/>
      <c r="O9802" s="5"/>
      <c r="P9802" s="5"/>
      <c r="Q9802" s="21">
        <f t="shared" si="714"/>
        <v>0</v>
      </c>
      <c r="R9802" s="21">
        <f t="shared" si="712"/>
        <v>0</v>
      </c>
      <c r="S9802" s="5">
        <f t="shared" si="715"/>
        <v>70007.077158325032</v>
      </c>
      <c r="T9802" cm="1">
        <f t="array" ref="T9802">IF(OR(B9802="MAL ALIMI", B9802="ÜRETİM GİRİŞ"), MIN(I9802, MAX(0, I9802 + SUM(SUMIFS($I$1:I9801, $C$1:C9801, C9802, $B$1:B9801, {"MAL ALIMI","ÜRETİM GİRİŞ"})) - VLOOKUP(C9802, 'STOK RAPORU'!$C$2:$I$1000, 4, 0))), 0)</f>
        <v>0</v>
      </c>
      <c r="U9802" s="22">
        <f t="shared" si="708"/>
        <v>0</v>
      </c>
      <c r="V9802">
        <f t="shared" si="709"/>
        <v>0</v>
      </c>
      <c r="W9802" s="22">
        <f t="shared" si="710"/>
        <v>0</v>
      </c>
    </row>
    <row r="9803" spans="1:23" hidden="1" x14ac:dyDescent="0.25">
      <c r="A9803" s="4"/>
      <c r="B9803" s="4"/>
      <c r="C9803" s="4"/>
      <c r="D9803" s="4"/>
      <c r="E9803" s="4"/>
      <c r="F9803" s="4"/>
      <c r="G9803" s="4"/>
      <c r="H9803" s="4"/>
      <c r="I9803" s="4"/>
      <c r="J9803" s="21">
        <f>IFERROR(VLOOKUP(C9803,'STOK KARTLARI'!$C$2:$K$2150,8,0),0)</f>
        <v>0</v>
      </c>
      <c r="K9803" s="21">
        <f t="shared" si="711"/>
        <v>0</v>
      </c>
      <c r="L9803" s="5">
        <f t="shared" si="713"/>
        <v>0</v>
      </c>
      <c r="M9803" s="4"/>
      <c r="N9803" s="4"/>
      <c r="O9803" s="5"/>
      <c r="P9803" s="5"/>
      <c r="Q9803" s="21">
        <f t="shared" si="714"/>
        <v>0</v>
      </c>
      <c r="R9803" s="21">
        <f t="shared" si="712"/>
        <v>0</v>
      </c>
      <c r="S9803" s="5">
        <f t="shared" si="715"/>
        <v>70007.077158325032</v>
      </c>
      <c r="T9803" cm="1">
        <f t="array" ref="T9803">IF(OR(B9803="MAL ALIMI", B9803="ÜRETİM GİRİŞ"), MIN(I9803, MAX(0, I9803 + SUM(SUMIFS($I$1:I9802, $C$1:C9802, C9803, $B$1:B9802, {"MAL ALIMI","ÜRETİM GİRİŞ"})) - VLOOKUP(C9803, 'STOK RAPORU'!$C$2:$I$1000, 4, 0))), 0)</f>
        <v>0</v>
      </c>
      <c r="U9803" s="22">
        <f t="shared" si="708"/>
        <v>0</v>
      </c>
      <c r="V9803">
        <f t="shared" si="709"/>
        <v>0</v>
      </c>
      <c r="W9803" s="22">
        <f t="shared" si="710"/>
        <v>0</v>
      </c>
    </row>
    <row r="9804" spans="1:23" hidden="1" x14ac:dyDescent="0.25">
      <c r="A9804" s="4"/>
      <c r="B9804" s="4"/>
      <c r="C9804" s="4"/>
      <c r="D9804" s="4"/>
      <c r="E9804" s="4"/>
      <c r="F9804" s="4"/>
      <c r="G9804" s="4"/>
      <c r="H9804" s="4"/>
      <c r="I9804" s="4"/>
      <c r="J9804" s="21">
        <f>IFERROR(VLOOKUP(C9804,'STOK KARTLARI'!$C$2:$K$2150,8,0),0)</f>
        <v>0</v>
      </c>
      <c r="K9804" s="21">
        <f t="shared" si="711"/>
        <v>0</v>
      </c>
      <c r="L9804" s="5">
        <f t="shared" si="713"/>
        <v>0</v>
      </c>
      <c r="M9804" s="4"/>
      <c r="N9804" s="4"/>
      <c r="O9804" s="5"/>
      <c r="P9804" s="5"/>
      <c r="Q9804" s="21">
        <f t="shared" si="714"/>
        <v>0</v>
      </c>
      <c r="R9804" s="21">
        <f t="shared" si="712"/>
        <v>0</v>
      </c>
      <c r="S9804" s="5">
        <f t="shared" si="715"/>
        <v>70007.077158325032</v>
      </c>
      <c r="T9804" cm="1">
        <f t="array" ref="T9804">IF(OR(B9804="MAL ALIMI", B9804="ÜRETİM GİRİŞ"), MIN(I9804, MAX(0, I9804 + SUM(SUMIFS($I$1:I9803, $C$1:C9803, C9804, $B$1:B9803, {"MAL ALIMI","ÜRETİM GİRİŞ"})) - VLOOKUP(C9804, 'STOK RAPORU'!$C$2:$I$1000, 4, 0))), 0)</f>
        <v>0</v>
      </c>
      <c r="U9804" s="22">
        <f t="shared" si="708"/>
        <v>0</v>
      </c>
      <c r="V9804">
        <f t="shared" si="709"/>
        <v>0</v>
      </c>
      <c r="W9804" s="22">
        <f t="shared" si="710"/>
        <v>0</v>
      </c>
    </row>
    <row r="9805" spans="1:23" hidden="1" x14ac:dyDescent="0.25">
      <c r="A9805" s="4"/>
      <c r="B9805" s="4"/>
      <c r="C9805" s="4"/>
      <c r="D9805" s="4"/>
      <c r="E9805" s="4"/>
      <c r="F9805" s="4"/>
      <c r="G9805" s="4"/>
      <c r="H9805" s="4"/>
      <c r="I9805" s="4"/>
      <c r="J9805" s="21">
        <f>IFERROR(VLOOKUP(C9805,'STOK KARTLARI'!$C$2:$K$2150,8,0),0)</f>
        <v>0</v>
      </c>
      <c r="K9805" s="21">
        <f t="shared" si="711"/>
        <v>0</v>
      </c>
      <c r="L9805" s="5">
        <f t="shared" si="713"/>
        <v>0</v>
      </c>
      <c r="M9805" s="4"/>
      <c r="N9805" s="4"/>
      <c r="O9805" s="5"/>
      <c r="P9805" s="5"/>
      <c r="Q9805" s="21">
        <f t="shared" si="714"/>
        <v>0</v>
      </c>
      <c r="R9805" s="21">
        <f t="shared" si="712"/>
        <v>0</v>
      </c>
      <c r="S9805" s="5">
        <f t="shared" si="715"/>
        <v>70007.077158325032</v>
      </c>
      <c r="T9805" cm="1">
        <f t="array" ref="T9805">IF(OR(B9805="MAL ALIMI", B9805="ÜRETİM GİRİŞ"), MIN(I9805, MAX(0, I9805 + SUM(SUMIFS($I$1:I9804, $C$1:C9804, C9805, $B$1:B9804, {"MAL ALIMI","ÜRETİM GİRİŞ"})) - VLOOKUP(C9805, 'STOK RAPORU'!$C$2:$I$1000, 4, 0))), 0)</f>
        <v>0</v>
      </c>
      <c r="U9805" s="22">
        <f t="shared" si="708"/>
        <v>0</v>
      </c>
      <c r="V9805">
        <f t="shared" si="709"/>
        <v>0</v>
      </c>
      <c r="W9805" s="22">
        <f t="shared" si="710"/>
        <v>0</v>
      </c>
    </row>
    <row r="9806" spans="1:23" hidden="1" x14ac:dyDescent="0.25">
      <c r="A9806" s="4"/>
      <c r="B9806" s="4"/>
      <c r="C9806" s="4"/>
      <c r="D9806" s="4"/>
      <c r="E9806" s="4"/>
      <c r="F9806" s="4"/>
      <c r="G9806" s="4"/>
      <c r="H9806" s="4"/>
      <c r="I9806" s="4"/>
      <c r="J9806" s="21">
        <f>IFERROR(VLOOKUP(C9806,'STOK KARTLARI'!$C$2:$K$2150,8,0),0)</f>
        <v>0</v>
      </c>
      <c r="K9806" s="21">
        <f t="shared" si="711"/>
        <v>0</v>
      </c>
      <c r="L9806" s="5">
        <f t="shared" si="713"/>
        <v>0</v>
      </c>
      <c r="M9806" s="4"/>
      <c r="N9806" s="4"/>
      <c r="O9806" s="5"/>
      <c r="P9806" s="5"/>
      <c r="Q9806" s="21">
        <f t="shared" si="714"/>
        <v>0</v>
      </c>
      <c r="R9806" s="21">
        <f t="shared" si="712"/>
        <v>0</v>
      </c>
      <c r="S9806" s="5">
        <f t="shared" si="715"/>
        <v>70007.077158325032</v>
      </c>
      <c r="T9806" cm="1">
        <f t="array" ref="T9806">IF(OR(B9806="MAL ALIMI", B9806="ÜRETİM GİRİŞ"), MIN(I9806, MAX(0, I9806 + SUM(SUMIFS($I$1:I9805, $C$1:C9805, C9806, $B$1:B9805, {"MAL ALIMI","ÜRETİM GİRİŞ"})) - VLOOKUP(C9806, 'STOK RAPORU'!$C$2:$I$1000, 4, 0))), 0)</f>
        <v>0</v>
      </c>
      <c r="U9806" s="22">
        <f t="shared" si="708"/>
        <v>0</v>
      </c>
      <c r="V9806">
        <f t="shared" si="709"/>
        <v>0</v>
      </c>
      <c r="W9806" s="22">
        <f t="shared" si="710"/>
        <v>0</v>
      </c>
    </row>
    <row r="9807" spans="1:23" hidden="1" x14ac:dyDescent="0.25">
      <c r="A9807" s="4"/>
      <c r="B9807" s="4"/>
      <c r="C9807" s="4"/>
      <c r="D9807" s="4"/>
      <c r="E9807" s="4"/>
      <c r="F9807" s="4"/>
      <c r="G9807" s="4"/>
      <c r="H9807" s="4"/>
      <c r="I9807" s="4"/>
      <c r="J9807" s="21">
        <f>IFERROR(VLOOKUP(C9807,'STOK KARTLARI'!$C$2:$K$2150,8,0),0)</f>
        <v>0</v>
      </c>
      <c r="K9807" s="21">
        <f t="shared" si="711"/>
        <v>0</v>
      </c>
      <c r="L9807" s="5">
        <f t="shared" si="713"/>
        <v>0</v>
      </c>
      <c r="M9807" s="4"/>
      <c r="N9807" s="4"/>
      <c r="O9807" s="5"/>
      <c r="P9807" s="5"/>
      <c r="Q9807" s="21">
        <f t="shared" si="714"/>
        <v>0</v>
      </c>
      <c r="R9807" s="21">
        <f t="shared" si="712"/>
        <v>0</v>
      </c>
      <c r="S9807" s="5">
        <f t="shared" si="715"/>
        <v>70007.077158325032</v>
      </c>
      <c r="T9807" cm="1">
        <f t="array" ref="T9807">IF(OR(B9807="MAL ALIMI", B9807="ÜRETİM GİRİŞ"), MIN(I9807, MAX(0, I9807 + SUM(SUMIFS($I$1:I9806, $C$1:C9806, C9807, $B$1:B9806, {"MAL ALIMI","ÜRETİM GİRİŞ"})) - VLOOKUP(C9807, 'STOK RAPORU'!$C$2:$I$1000, 4, 0))), 0)</f>
        <v>0</v>
      </c>
      <c r="U9807" s="22">
        <f t="shared" si="708"/>
        <v>0</v>
      </c>
      <c r="V9807">
        <f t="shared" si="709"/>
        <v>0</v>
      </c>
      <c r="W9807" s="22">
        <f t="shared" si="710"/>
        <v>0</v>
      </c>
    </row>
    <row r="9808" spans="1:23" hidden="1" x14ac:dyDescent="0.25">
      <c r="A9808" s="4"/>
      <c r="B9808" s="4"/>
      <c r="C9808" s="4"/>
      <c r="D9808" s="4"/>
      <c r="E9808" s="4"/>
      <c r="F9808" s="4"/>
      <c r="G9808" s="4"/>
      <c r="H9808" s="4"/>
      <c r="I9808" s="4"/>
      <c r="J9808" s="21">
        <f>IFERROR(VLOOKUP(C9808,'STOK KARTLARI'!$C$2:$K$2150,8,0),0)</f>
        <v>0</v>
      </c>
      <c r="K9808" s="21">
        <f t="shared" si="711"/>
        <v>0</v>
      </c>
      <c r="L9808" s="5">
        <f t="shared" si="713"/>
        <v>0</v>
      </c>
      <c r="M9808" s="4"/>
      <c r="N9808" s="4"/>
      <c r="O9808" s="5"/>
      <c r="P9808" s="5"/>
      <c r="Q9808" s="21">
        <f t="shared" si="714"/>
        <v>0</v>
      </c>
      <c r="R9808" s="21">
        <f t="shared" si="712"/>
        <v>0</v>
      </c>
      <c r="S9808" s="5">
        <f t="shared" si="715"/>
        <v>70007.077158325032</v>
      </c>
      <c r="T9808" cm="1">
        <f t="array" ref="T9808">IF(OR(B9808="MAL ALIMI", B9808="ÜRETİM GİRİŞ"), MIN(I9808, MAX(0, I9808 + SUM(SUMIFS($I$1:I9807, $C$1:C9807, C9808, $B$1:B9807, {"MAL ALIMI","ÜRETİM GİRİŞ"})) - VLOOKUP(C9808, 'STOK RAPORU'!$C$2:$I$1000, 4, 0))), 0)</f>
        <v>0</v>
      </c>
      <c r="U9808" s="22">
        <f t="shared" si="708"/>
        <v>0</v>
      </c>
      <c r="V9808">
        <f t="shared" si="709"/>
        <v>0</v>
      </c>
      <c r="W9808" s="22">
        <f t="shared" si="710"/>
        <v>0</v>
      </c>
    </row>
    <row r="9809" spans="1:23" hidden="1" x14ac:dyDescent="0.25">
      <c r="A9809" s="3"/>
      <c r="B9809" s="4"/>
      <c r="C9809" s="4"/>
      <c r="D9809" s="4"/>
      <c r="E9809" s="4"/>
      <c r="F9809" s="4"/>
      <c r="G9809" s="4"/>
      <c r="H9809" s="4"/>
      <c r="I9809" s="4"/>
      <c r="J9809" s="21">
        <f>IFERROR(VLOOKUP(C9809,'STOK KARTLARI'!$C$2:$K$2150,8,0),0)</f>
        <v>0</v>
      </c>
      <c r="K9809" s="21">
        <f t="shared" si="711"/>
        <v>0</v>
      </c>
      <c r="L9809" s="5">
        <f t="shared" si="713"/>
        <v>0</v>
      </c>
      <c r="M9809" s="4"/>
      <c r="N9809" s="4"/>
      <c r="O9809" s="5"/>
      <c r="P9809" s="5"/>
      <c r="Q9809" s="21">
        <f t="shared" si="714"/>
        <v>0</v>
      </c>
      <c r="R9809" s="21">
        <f t="shared" si="712"/>
        <v>0</v>
      </c>
      <c r="S9809" s="5">
        <f t="shared" si="715"/>
        <v>70007.077158325032</v>
      </c>
      <c r="T9809" cm="1">
        <f t="array" ref="T9809">IF(OR(B9809="MAL ALIMI", B9809="ÜRETİM GİRİŞ"), MIN(I9809, MAX(0, I9809 + SUM(SUMIFS($I$1:I9808, $C$1:C9808, C9809, $B$1:B9808, {"MAL ALIMI","ÜRETİM GİRİŞ"})) - VLOOKUP(C9809, 'STOK RAPORU'!$C$2:$I$1000, 4, 0))), 0)</f>
        <v>0</v>
      </c>
      <c r="U9809" s="22">
        <f t="shared" si="708"/>
        <v>0</v>
      </c>
      <c r="V9809">
        <f t="shared" si="709"/>
        <v>0</v>
      </c>
      <c r="W9809" s="22">
        <f t="shared" si="710"/>
        <v>0</v>
      </c>
    </row>
    <row r="9810" spans="1:23" hidden="1" x14ac:dyDescent="0.25">
      <c r="A9810" s="3"/>
      <c r="B9810" s="4"/>
      <c r="C9810" s="4"/>
      <c r="D9810" s="4"/>
      <c r="E9810" s="4"/>
      <c r="F9810" s="4"/>
      <c r="G9810" s="4"/>
      <c r="H9810" s="4"/>
      <c r="I9810" s="4"/>
      <c r="J9810" s="21">
        <f>IFERROR(VLOOKUP(C9810,'STOK KARTLARI'!$C$2:$K$2150,8,0),0)</f>
        <v>0</v>
      </c>
      <c r="K9810" s="21">
        <f t="shared" si="711"/>
        <v>0</v>
      </c>
      <c r="L9810" s="5">
        <f t="shared" si="713"/>
        <v>0</v>
      </c>
      <c r="M9810" s="4"/>
      <c r="N9810" s="4"/>
      <c r="O9810" s="5"/>
      <c r="P9810" s="5"/>
      <c r="Q9810" s="21">
        <f t="shared" si="714"/>
        <v>0</v>
      </c>
      <c r="R9810" s="21">
        <f t="shared" si="712"/>
        <v>0</v>
      </c>
      <c r="S9810" s="5">
        <f t="shared" si="715"/>
        <v>70007.077158325032</v>
      </c>
      <c r="T9810" cm="1">
        <f t="array" ref="T9810">IF(OR(B9810="MAL ALIMI", B9810="ÜRETİM GİRİŞ"), MIN(I9810, MAX(0, I9810 + SUM(SUMIFS($I$1:I9809, $C$1:C9809, C9810, $B$1:B9809, {"MAL ALIMI","ÜRETİM GİRİŞ"})) - VLOOKUP(C9810, 'STOK RAPORU'!$C$2:$I$1000, 4, 0))), 0)</f>
        <v>0</v>
      </c>
      <c r="U9810" s="22">
        <f t="shared" si="708"/>
        <v>0</v>
      </c>
      <c r="V9810">
        <f t="shared" si="709"/>
        <v>0</v>
      </c>
      <c r="W9810" s="22">
        <f t="shared" si="710"/>
        <v>0</v>
      </c>
    </row>
    <row r="9811" spans="1:23" hidden="1" x14ac:dyDescent="0.25">
      <c r="A9811" s="4"/>
      <c r="B9811" s="4"/>
      <c r="C9811" s="4"/>
      <c r="D9811" s="4"/>
      <c r="E9811" s="4"/>
      <c r="F9811" s="4"/>
      <c r="G9811" s="4"/>
      <c r="H9811" s="4"/>
      <c r="I9811" s="4"/>
      <c r="J9811" s="21">
        <f>IFERROR(VLOOKUP(C9811,'STOK KARTLARI'!$C$2:$K$2150,8,0),0)</f>
        <v>0</v>
      </c>
      <c r="K9811" s="21">
        <f t="shared" si="711"/>
        <v>0</v>
      </c>
      <c r="L9811" s="5">
        <f t="shared" si="713"/>
        <v>0</v>
      </c>
      <c r="M9811" s="4"/>
      <c r="N9811" s="4"/>
      <c r="O9811" s="5"/>
      <c r="P9811" s="5"/>
      <c r="Q9811" s="21">
        <f t="shared" si="714"/>
        <v>0</v>
      </c>
      <c r="R9811" s="21">
        <f t="shared" si="712"/>
        <v>0</v>
      </c>
      <c r="S9811" s="5">
        <f t="shared" si="715"/>
        <v>70007.077158325032</v>
      </c>
      <c r="T9811" cm="1">
        <f t="array" ref="T9811">IF(OR(B9811="MAL ALIMI", B9811="ÜRETİM GİRİŞ"), MIN(I9811, MAX(0, I9811 + SUM(SUMIFS($I$1:I9810, $C$1:C9810, C9811, $B$1:B9810, {"MAL ALIMI","ÜRETİM GİRİŞ"})) - VLOOKUP(C9811, 'STOK RAPORU'!$C$2:$I$1000, 4, 0))), 0)</f>
        <v>0</v>
      </c>
      <c r="U9811" s="22">
        <f t="shared" si="708"/>
        <v>0</v>
      </c>
      <c r="V9811">
        <f t="shared" si="709"/>
        <v>0</v>
      </c>
      <c r="W9811" s="22">
        <f t="shared" si="710"/>
        <v>0</v>
      </c>
    </row>
    <row r="9812" spans="1:23" hidden="1" x14ac:dyDescent="0.25">
      <c r="A9812" s="4"/>
      <c r="B9812" s="4"/>
      <c r="C9812" s="4"/>
      <c r="D9812" s="4"/>
      <c r="E9812" s="4"/>
      <c r="F9812" s="4"/>
      <c r="G9812" s="4"/>
      <c r="H9812" s="4"/>
      <c r="I9812" s="4"/>
      <c r="J9812" s="21">
        <f>IFERROR(VLOOKUP(C9812,'STOK KARTLARI'!$C$2:$K$2150,8,0),0)</f>
        <v>0</v>
      </c>
      <c r="K9812" s="21">
        <f t="shared" si="711"/>
        <v>0</v>
      </c>
      <c r="L9812" s="5">
        <f t="shared" si="713"/>
        <v>0</v>
      </c>
      <c r="M9812" s="4"/>
      <c r="N9812" s="4"/>
      <c r="O9812" s="5"/>
      <c r="P9812" s="5"/>
      <c r="Q9812" s="21">
        <f t="shared" si="714"/>
        <v>0</v>
      </c>
      <c r="R9812" s="21">
        <f t="shared" si="712"/>
        <v>0</v>
      </c>
      <c r="S9812" s="5">
        <f t="shared" si="715"/>
        <v>70007.077158325032</v>
      </c>
      <c r="T9812" cm="1">
        <f t="array" ref="T9812">IF(OR(B9812="MAL ALIMI", B9812="ÜRETİM GİRİŞ"), MIN(I9812, MAX(0, I9812 + SUM(SUMIFS($I$1:I9811, $C$1:C9811, C9812, $B$1:B9811, {"MAL ALIMI","ÜRETİM GİRİŞ"})) - VLOOKUP(C9812, 'STOK RAPORU'!$C$2:$I$1000, 4, 0))), 0)</f>
        <v>0</v>
      </c>
      <c r="U9812" s="22">
        <f t="shared" si="708"/>
        <v>0</v>
      </c>
      <c r="V9812">
        <f t="shared" si="709"/>
        <v>0</v>
      </c>
      <c r="W9812" s="22">
        <f t="shared" si="710"/>
        <v>0</v>
      </c>
    </row>
    <row r="9813" spans="1:23" hidden="1" x14ac:dyDescent="0.25">
      <c r="A9813" s="4"/>
      <c r="B9813" s="4"/>
      <c r="C9813" s="4"/>
      <c r="D9813" s="4"/>
      <c r="E9813" s="4"/>
      <c r="F9813" s="4"/>
      <c r="G9813" s="4"/>
      <c r="H9813" s="4"/>
      <c r="I9813" s="4"/>
      <c r="J9813" s="21">
        <f>IFERROR(VLOOKUP(C9813,'STOK KARTLARI'!$C$2:$K$2150,8,0),0)</f>
        <v>0</v>
      </c>
      <c r="K9813" s="21">
        <f t="shared" si="711"/>
        <v>0</v>
      </c>
      <c r="L9813" s="5">
        <f t="shared" si="713"/>
        <v>0</v>
      </c>
      <c r="M9813" s="4"/>
      <c r="N9813" s="4"/>
      <c r="O9813" s="5"/>
      <c r="P9813" s="5"/>
      <c r="Q9813" s="21">
        <f t="shared" si="714"/>
        <v>0</v>
      </c>
      <c r="R9813" s="21">
        <f t="shared" si="712"/>
        <v>0</v>
      </c>
      <c r="S9813" s="5">
        <f t="shared" si="715"/>
        <v>70007.077158325032</v>
      </c>
      <c r="T9813" cm="1">
        <f t="array" ref="T9813">IF(OR(B9813="MAL ALIMI", B9813="ÜRETİM GİRİŞ"), MIN(I9813, MAX(0, I9813 + SUM(SUMIFS($I$1:I9812, $C$1:C9812, C9813, $B$1:B9812, {"MAL ALIMI","ÜRETİM GİRİŞ"})) - VLOOKUP(C9813, 'STOK RAPORU'!$C$2:$I$1000, 4, 0))), 0)</f>
        <v>0</v>
      </c>
      <c r="U9813" s="22">
        <f t="shared" si="708"/>
        <v>0</v>
      </c>
      <c r="V9813">
        <f t="shared" si="709"/>
        <v>0</v>
      </c>
      <c r="W9813" s="22">
        <f t="shared" si="710"/>
        <v>0</v>
      </c>
    </row>
    <row r="9814" spans="1:23" hidden="1" x14ac:dyDescent="0.25">
      <c r="A9814" s="4"/>
      <c r="B9814" s="4"/>
      <c r="C9814" s="4"/>
      <c r="D9814" s="4"/>
      <c r="E9814" s="4"/>
      <c r="F9814" s="4"/>
      <c r="G9814" s="4"/>
      <c r="H9814" s="4"/>
      <c r="I9814" s="4"/>
      <c r="J9814" s="21">
        <f>IFERROR(VLOOKUP(C9814,'STOK KARTLARI'!$C$2:$K$2150,8,0),0)</f>
        <v>0</v>
      </c>
      <c r="K9814" s="21">
        <f t="shared" si="711"/>
        <v>0</v>
      </c>
      <c r="L9814" s="5">
        <f t="shared" si="713"/>
        <v>0</v>
      </c>
      <c r="M9814" s="4"/>
      <c r="N9814" s="4"/>
      <c r="O9814" s="5"/>
      <c r="P9814" s="5"/>
      <c r="Q9814" s="21">
        <f t="shared" si="714"/>
        <v>0</v>
      </c>
      <c r="R9814" s="21">
        <f t="shared" si="712"/>
        <v>0</v>
      </c>
      <c r="S9814" s="5">
        <f t="shared" si="715"/>
        <v>70007.077158325032</v>
      </c>
      <c r="T9814" cm="1">
        <f t="array" ref="T9814">IF(OR(B9814="MAL ALIMI", B9814="ÜRETİM GİRİŞ"), MIN(I9814, MAX(0, I9814 + SUM(SUMIFS($I$1:I9813, $C$1:C9813, C9814, $B$1:B9813, {"MAL ALIMI","ÜRETİM GİRİŞ"})) - VLOOKUP(C9814, 'STOK RAPORU'!$C$2:$I$1000, 4, 0))), 0)</f>
        <v>0</v>
      </c>
      <c r="U9814" s="22">
        <f t="shared" si="708"/>
        <v>0</v>
      </c>
      <c r="V9814">
        <f t="shared" si="709"/>
        <v>0</v>
      </c>
      <c r="W9814" s="22">
        <f t="shared" si="710"/>
        <v>0</v>
      </c>
    </row>
    <row r="9815" spans="1:23" hidden="1" x14ac:dyDescent="0.25">
      <c r="A9815" s="4"/>
      <c r="B9815" s="4"/>
      <c r="C9815" s="4"/>
      <c r="D9815" s="4"/>
      <c r="E9815" s="4"/>
      <c r="F9815" s="4"/>
      <c r="G9815" s="4"/>
      <c r="H9815" s="4"/>
      <c r="I9815" s="4"/>
      <c r="J9815" s="21">
        <f>IFERROR(VLOOKUP(C9815,'STOK KARTLARI'!$C$2:$K$2150,8,0),0)</f>
        <v>0</v>
      </c>
      <c r="K9815" s="21">
        <f t="shared" si="711"/>
        <v>0</v>
      </c>
      <c r="L9815" s="5">
        <f t="shared" si="713"/>
        <v>0</v>
      </c>
      <c r="M9815" s="4"/>
      <c r="N9815" s="4"/>
      <c r="O9815" s="5"/>
      <c r="P9815" s="5"/>
      <c r="Q9815" s="21">
        <f t="shared" si="714"/>
        <v>0</v>
      </c>
      <c r="R9815" s="21">
        <f t="shared" si="712"/>
        <v>0</v>
      </c>
      <c r="S9815" s="5">
        <f t="shared" si="715"/>
        <v>70007.077158325032</v>
      </c>
      <c r="T9815" cm="1">
        <f t="array" ref="T9815">IF(OR(B9815="MAL ALIMI", B9815="ÜRETİM GİRİŞ"), MIN(I9815, MAX(0, I9815 + SUM(SUMIFS($I$1:I9814, $C$1:C9814, C9815, $B$1:B9814, {"MAL ALIMI","ÜRETİM GİRİŞ"})) - VLOOKUP(C9815, 'STOK RAPORU'!$C$2:$I$1000, 4, 0))), 0)</f>
        <v>0</v>
      </c>
      <c r="U9815" s="22">
        <f t="shared" si="708"/>
        <v>0</v>
      </c>
      <c r="V9815">
        <f t="shared" si="709"/>
        <v>0</v>
      </c>
      <c r="W9815" s="22">
        <f t="shared" si="710"/>
        <v>0</v>
      </c>
    </row>
    <row r="9816" spans="1:23" hidden="1" x14ac:dyDescent="0.25">
      <c r="A9816" s="4"/>
      <c r="B9816" s="4"/>
      <c r="C9816" s="4"/>
      <c r="D9816" s="4"/>
      <c r="E9816" s="4"/>
      <c r="F9816" s="4"/>
      <c r="G9816" s="4"/>
      <c r="H9816" s="4"/>
      <c r="I9816" s="4"/>
      <c r="J9816" s="21">
        <f>IFERROR(VLOOKUP(C9816,'STOK KARTLARI'!$C$2:$K$2150,8,0),0)</f>
        <v>0</v>
      </c>
      <c r="K9816" s="21">
        <f t="shared" si="711"/>
        <v>0</v>
      </c>
      <c r="L9816" s="5">
        <f t="shared" si="713"/>
        <v>0</v>
      </c>
      <c r="M9816" s="4"/>
      <c r="N9816" s="4"/>
      <c r="O9816" s="5"/>
      <c r="P9816" s="5"/>
      <c r="Q9816" s="21">
        <f t="shared" si="714"/>
        <v>0</v>
      </c>
      <c r="R9816" s="21">
        <f t="shared" si="712"/>
        <v>0</v>
      </c>
      <c r="S9816" s="5">
        <f t="shared" si="715"/>
        <v>70007.077158325032</v>
      </c>
      <c r="T9816" cm="1">
        <f t="array" ref="T9816">IF(OR(B9816="MAL ALIMI", B9816="ÜRETİM GİRİŞ"), MIN(I9816, MAX(0, I9816 + SUM(SUMIFS($I$1:I9815, $C$1:C9815, C9816, $B$1:B9815, {"MAL ALIMI","ÜRETİM GİRİŞ"})) - VLOOKUP(C9816, 'STOK RAPORU'!$C$2:$I$1000, 4, 0))), 0)</f>
        <v>0</v>
      </c>
      <c r="U9816" s="22">
        <f t="shared" si="708"/>
        <v>0</v>
      </c>
      <c r="V9816">
        <f t="shared" si="709"/>
        <v>0</v>
      </c>
      <c r="W9816" s="22">
        <f t="shared" si="710"/>
        <v>0</v>
      </c>
    </row>
    <row r="9817" spans="1:23" hidden="1" x14ac:dyDescent="0.25">
      <c r="A9817" s="3"/>
      <c r="B9817" s="4"/>
      <c r="C9817" s="4"/>
      <c r="D9817" s="4"/>
      <c r="E9817" s="4"/>
      <c r="F9817" s="4"/>
      <c r="G9817" s="4"/>
      <c r="H9817" s="4"/>
      <c r="I9817" s="4"/>
      <c r="J9817" s="21">
        <f>IFERROR(VLOOKUP(C9817,'STOK KARTLARI'!$C$2:$K$2150,8,0),0)</f>
        <v>0</v>
      </c>
      <c r="K9817" s="21">
        <f t="shared" si="711"/>
        <v>0</v>
      </c>
      <c r="L9817" s="5">
        <f t="shared" si="713"/>
        <v>0</v>
      </c>
      <c r="M9817" s="4"/>
      <c r="N9817" s="4"/>
      <c r="O9817" s="5"/>
      <c r="P9817" s="5"/>
      <c r="Q9817" s="21">
        <f t="shared" si="714"/>
        <v>0</v>
      </c>
      <c r="R9817" s="21">
        <f t="shared" si="712"/>
        <v>0</v>
      </c>
      <c r="S9817" s="5">
        <f t="shared" si="715"/>
        <v>70007.077158325032</v>
      </c>
      <c r="T9817" cm="1">
        <f t="array" ref="T9817">IF(OR(B9817="MAL ALIMI", B9817="ÜRETİM GİRİŞ"), MIN(I9817, MAX(0, I9817 + SUM(SUMIFS($I$1:I9816, $C$1:C9816, C9817, $B$1:B9816, {"MAL ALIMI","ÜRETİM GİRİŞ"})) - VLOOKUP(C9817, 'STOK RAPORU'!$C$2:$I$1000, 4, 0))), 0)</f>
        <v>0</v>
      </c>
      <c r="U9817" s="22">
        <f t="shared" si="708"/>
        <v>0</v>
      </c>
      <c r="V9817">
        <f t="shared" si="709"/>
        <v>0</v>
      </c>
      <c r="W9817" s="22">
        <f t="shared" si="710"/>
        <v>0</v>
      </c>
    </row>
    <row r="9818" spans="1:23" hidden="1" x14ac:dyDescent="0.25">
      <c r="A9818" s="4"/>
      <c r="B9818" s="4"/>
      <c r="C9818" s="4"/>
      <c r="D9818" s="4"/>
      <c r="E9818" s="4"/>
      <c r="F9818" s="4"/>
      <c r="G9818" s="4"/>
      <c r="H9818" s="4"/>
      <c r="I9818" s="4"/>
      <c r="J9818" s="21">
        <f>IFERROR(VLOOKUP(C9818,'STOK KARTLARI'!$C$2:$K$2150,8,0),0)</f>
        <v>0</v>
      </c>
      <c r="K9818" s="21">
        <f t="shared" si="711"/>
        <v>0</v>
      </c>
      <c r="L9818" s="5">
        <f t="shared" si="713"/>
        <v>0</v>
      </c>
      <c r="M9818" s="4"/>
      <c r="N9818" s="4"/>
      <c r="O9818" s="5"/>
      <c r="P9818" s="5"/>
      <c r="Q9818" s="21">
        <f t="shared" si="714"/>
        <v>0</v>
      </c>
      <c r="R9818" s="21">
        <f t="shared" si="712"/>
        <v>0</v>
      </c>
      <c r="S9818" s="5">
        <f t="shared" si="715"/>
        <v>70007.077158325032</v>
      </c>
      <c r="T9818" cm="1">
        <f t="array" ref="T9818">IF(OR(B9818="MAL ALIMI", B9818="ÜRETİM GİRİŞ"), MIN(I9818, MAX(0, I9818 + SUM(SUMIFS($I$1:I9817, $C$1:C9817, C9818, $B$1:B9817, {"MAL ALIMI","ÜRETİM GİRİŞ"})) - VLOOKUP(C9818, 'STOK RAPORU'!$C$2:$I$1000, 4, 0))), 0)</f>
        <v>0</v>
      </c>
      <c r="U9818" s="22">
        <f t="shared" si="708"/>
        <v>0</v>
      </c>
      <c r="V9818">
        <f t="shared" si="709"/>
        <v>0</v>
      </c>
      <c r="W9818" s="22">
        <f t="shared" si="710"/>
        <v>0</v>
      </c>
    </row>
    <row r="9819" spans="1:23" hidden="1" x14ac:dyDescent="0.25">
      <c r="A9819" s="4"/>
      <c r="B9819" s="4"/>
      <c r="C9819" s="4"/>
      <c r="D9819" s="4"/>
      <c r="E9819" s="4"/>
      <c r="F9819" s="4"/>
      <c r="G9819" s="4"/>
      <c r="H9819" s="4"/>
      <c r="I9819" s="4"/>
      <c r="J9819" s="21">
        <f>IFERROR(VLOOKUP(C9819,'STOK KARTLARI'!$C$2:$K$2150,8,0),0)</f>
        <v>0</v>
      </c>
      <c r="K9819" s="21">
        <f t="shared" si="711"/>
        <v>0</v>
      </c>
      <c r="L9819" s="5">
        <f t="shared" si="713"/>
        <v>0</v>
      </c>
      <c r="M9819" s="4"/>
      <c r="N9819" s="4"/>
      <c r="O9819" s="5"/>
      <c r="P9819" s="5"/>
      <c r="Q9819" s="21">
        <f t="shared" si="714"/>
        <v>0</v>
      </c>
      <c r="R9819" s="21">
        <f t="shared" si="712"/>
        <v>0</v>
      </c>
      <c r="S9819" s="5">
        <f t="shared" si="715"/>
        <v>70007.077158325032</v>
      </c>
      <c r="T9819" cm="1">
        <f t="array" ref="T9819">IF(OR(B9819="MAL ALIMI", B9819="ÜRETİM GİRİŞ"), MIN(I9819, MAX(0, I9819 + SUM(SUMIFS($I$1:I9818, $C$1:C9818, C9819, $B$1:B9818, {"MAL ALIMI","ÜRETİM GİRİŞ"})) - VLOOKUP(C9819, 'STOK RAPORU'!$C$2:$I$1000, 4, 0))), 0)</f>
        <v>0</v>
      </c>
      <c r="U9819" s="22">
        <f t="shared" si="708"/>
        <v>0</v>
      </c>
      <c r="V9819">
        <f t="shared" si="709"/>
        <v>0</v>
      </c>
      <c r="W9819" s="22">
        <f t="shared" si="710"/>
        <v>0</v>
      </c>
    </row>
    <row r="9820" spans="1:23" hidden="1" x14ac:dyDescent="0.25">
      <c r="A9820" s="4"/>
      <c r="B9820" s="4"/>
      <c r="C9820" s="4"/>
      <c r="D9820" s="4"/>
      <c r="E9820" s="4"/>
      <c r="F9820" s="4"/>
      <c r="G9820" s="4"/>
      <c r="H9820" s="4"/>
      <c r="I9820" s="4"/>
      <c r="J9820" s="21">
        <f>IFERROR(VLOOKUP(C9820,'STOK KARTLARI'!$C$2:$K$2150,8,0),0)</f>
        <v>0</v>
      </c>
      <c r="K9820" s="21">
        <f t="shared" si="711"/>
        <v>0</v>
      </c>
      <c r="L9820" s="5">
        <f t="shared" si="713"/>
        <v>0</v>
      </c>
      <c r="M9820" s="4"/>
      <c r="N9820" s="4"/>
      <c r="O9820" s="5"/>
      <c r="P9820" s="5"/>
      <c r="Q9820" s="21">
        <f t="shared" si="714"/>
        <v>0</v>
      </c>
      <c r="R9820" s="21">
        <f t="shared" si="712"/>
        <v>0</v>
      </c>
      <c r="S9820" s="5">
        <f t="shared" si="715"/>
        <v>70007.077158325032</v>
      </c>
      <c r="T9820" cm="1">
        <f t="array" ref="T9820">IF(OR(B9820="MAL ALIMI", B9820="ÜRETİM GİRİŞ"), MIN(I9820, MAX(0, I9820 + SUM(SUMIFS($I$1:I9819, $C$1:C9819, C9820, $B$1:B9819, {"MAL ALIMI","ÜRETİM GİRİŞ"})) - VLOOKUP(C9820, 'STOK RAPORU'!$C$2:$I$1000, 4, 0))), 0)</f>
        <v>0</v>
      </c>
      <c r="U9820" s="22">
        <f t="shared" si="708"/>
        <v>0</v>
      </c>
      <c r="V9820">
        <f t="shared" si="709"/>
        <v>0</v>
      </c>
      <c r="W9820" s="22">
        <f t="shared" si="710"/>
        <v>0</v>
      </c>
    </row>
    <row r="9821" spans="1:23" hidden="1" x14ac:dyDescent="0.25">
      <c r="A9821" s="4"/>
      <c r="B9821" s="4"/>
      <c r="C9821" s="4"/>
      <c r="D9821" s="4"/>
      <c r="E9821" s="4"/>
      <c r="F9821" s="4"/>
      <c r="G9821" s="4"/>
      <c r="H9821" s="4"/>
      <c r="I9821" s="4"/>
      <c r="J9821" s="21">
        <f>IFERROR(VLOOKUP(C9821,'STOK KARTLARI'!$C$2:$K$2150,8,0),0)</f>
        <v>0</v>
      </c>
      <c r="K9821" s="21">
        <f t="shared" si="711"/>
        <v>0</v>
      </c>
      <c r="L9821" s="5">
        <f t="shared" si="713"/>
        <v>0</v>
      </c>
      <c r="M9821" s="4"/>
      <c r="N9821" s="4"/>
      <c r="O9821" s="5"/>
      <c r="P9821" s="5"/>
      <c r="Q9821" s="21">
        <f t="shared" si="714"/>
        <v>0</v>
      </c>
      <c r="R9821" s="21">
        <f t="shared" si="712"/>
        <v>0</v>
      </c>
      <c r="S9821" s="5">
        <f t="shared" si="715"/>
        <v>70007.077158325032</v>
      </c>
      <c r="T9821" cm="1">
        <f t="array" ref="T9821">IF(OR(B9821="MAL ALIMI", B9821="ÜRETİM GİRİŞ"), MIN(I9821, MAX(0, I9821 + SUM(SUMIFS($I$1:I9820, $C$1:C9820, C9821, $B$1:B9820, {"MAL ALIMI","ÜRETİM GİRİŞ"})) - VLOOKUP(C9821, 'STOK RAPORU'!$C$2:$I$1000, 4, 0))), 0)</f>
        <v>0</v>
      </c>
      <c r="U9821" s="22">
        <f t="shared" si="708"/>
        <v>0</v>
      </c>
      <c r="V9821">
        <f t="shared" si="709"/>
        <v>0</v>
      </c>
      <c r="W9821" s="22">
        <f t="shared" si="710"/>
        <v>0</v>
      </c>
    </row>
    <row r="9822" spans="1:23" hidden="1" x14ac:dyDescent="0.25">
      <c r="A9822" s="4"/>
      <c r="B9822" s="4"/>
      <c r="C9822" s="4"/>
      <c r="D9822" s="4"/>
      <c r="E9822" s="4"/>
      <c r="F9822" s="4"/>
      <c r="G9822" s="4"/>
      <c r="H9822" s="4"/>
      <c r="I9822" s="4"/>
      <c r="J9822" s="21">
        <f>IFERROR(VLOOKUP(C9822,'STOK KARTLARI'!$C$2:$K$2150,8,0),0)</f>
        <v>0</v>
      </c>
      <c r="K9822" s="21">
        <f t="shared" si="711"/>
        <v>0</v>
      </c>
      <c r="L9822" s="5">
        <f t="shared" si="713"/>
        <v>0</v>
      </c>
      <c r="M9822" s="4"/>
      <c r="N9822" s="4"/>
      <c r="O9822" s="5"/>
      <c r="P9822" s="5"/>
      <c r="Q9822" s="21">
        <f t="shared" si="714"/>
        <v>0</v>
      </c>
      <c r="R9822" s="21">
        <f t="shared" si="712"/>
        <v>0</v>
      </c>
      <c r="S9822" s="5">
        <f t="shared" si="715"/>
        <v>70007.077158325032</v>
      </c>
      <c r="T9822" cm="1">
        <f t="array" ref="T9822">IF(OR(B9822="MAL ALIMI", B9822="ÜRETİM GİRİŞ"), MIN(I9822, MAX(0, I9822 + SUM(SUMIFS($I$1:I9821, $C$1:C9821, C9822, $B$1:B9821, {"MAL ALIMI","ÜRETİM GİRİŞ"})) - VLOOKUP(C9822, 'STOK RAPORU'!$C$2:$I$1000, 4, 0))), 0)</f>
        <v>0</v>
      </c>
      <c r="U9822" s="22">
        <f t="shared" si="708"/>
        <v>0</v>
      </c>
      <c r="V9822">
        <f t="shared" si="709"/>
        <v>0</v>
      </c>
      <c r="W9822" s="22">
        <f t="shared" si="710"/>
        <v>0</v>
      </c>
    </row>
    <row r="9823" spans="1:23" hidden="1" x14ac:dyDescent="0.25">
      <c r="A9823" s="4"/>
      <c r="B9823" s="4"/>
      <c r="C9823" s="4"/>
      <c r="D9823" s="4"/>
      <c r="E9823" s="4"/>
      <c r="F9823" s="4"/>
      <c r="G9823" s="4"/>
      <c r="H9823" s="4"/>
      <c r="I9823" s="4"/>
      <c r="J9823" s="21">
        <f>IFERROR(VLOOKUP(C9823,'STOK KARTLARI'!$C$2:$K$2150,8,0),0)</f>
        <v>0</v>
      </c>
      <c r="K9823" s="21">
        <f t="shared" si="711"/>
        <v>0</v>
      </c>
      <c r="L9823" s="5">
        <f t="shared" si="713"/>
        <v>0</v>
      </c>
      <c r="M9823" s="4"/>
      <c r="N9823" s="4"/>
      <c r="O9823" s="5"/>
      <c r="P9823" s="5"/>
      <c r="Q9823" s="21">
        <f t="shared" si="714"/>
        <v>0</v>
      </c>
      <c r="R9823" s="21">
        <f t="shared" si="712"/>
        <v>0</v>
      </c>
      <c r="S9823" s="5">
        <f t="shared" si="715"/>
        <v>70007.077158325032</v>
      </c>
      <c r="T9823" cm="1">
        <f t="array" ref="T9823">IF(OR(B9823="MAL ALIMI", B9823="ÜRETİM GİRİŞ"), MIN(I9823, MAX(0, I9823 + SUM(SUMIFS($I$1:I9822, $C$1:C9822, C9823, $B$1:B9822, {"MAL ALIMI","ÜRETİM GİRİŞ"})) - VLOOKUP(C9823, 'STOK RAPORU'!$C$2:$I$1000, 4, 0))), 0)</f>
        <v>0</v>
      </c>
      <c r="U9823" s="22">
        <f t="shared" si="708"/>
        <v>0</v>
      </c>
      <c r="V9823">
        <f t="shared" si="709"/>
        <v>0</v>
      </c>
      <c r="W9823" s="22">
        <f t="shared" si="710"/>
        <v>0</v>
      </c>
    </row>
    <row r="9824" spans="1:23" hidden="1" x14ac:dyDescent="0.25">
      <c r="A9824" s="3"/>
      <c r="B9824" s="4"/>
      <c r="C9824" s="4"/>
      <c r="D9824" s="4"/>
      <c r="E9824" s="4"/>
      <c r="F9824" s="4"/>
      <c r="G9824" s="4"/>
      <c r="H9824" s="4"/>
      <c r="I9824" s="4"/>
      <c r="J9824" s="21">
        <f>IFERROR(VLOOKUP(C9824,'STOK KARTLARI'!$C$2:$K$2150,8,0),0)</f>
        <v>0</v>
      </c>
      <c r="K9824" s="21">
        <f t="shared" si="711"/>
        <v>0</v>
      </c>
      <c r="L9824" s="5">
        <f t="shared" si="713"/>
        <v>0</v>
      </c>
      <c r="M9824" s="4"/>
      <c r="N9824" s="4"/>
      <c r="O9824" s="5"/>
      <c r="P9824" s="5"/>
      <c r="Q9824" s="21">
        <f t="shared" si="714"/>
        <v>0</v>
      </c>
      <c r="R9824" s="21">
        <f t="shared" si="712"/>
        <v>0</v>
      </c>
      <c r="S9824" s="5">
        <f t="shared" si="715"/>
        <v>70007.077158325032</v>
      </c>
      <c r="T9824" cm="1">
        <f t="array" ref="T9824">IF(OR(B9824="MAL ALIMI", B9824="ÜRETİM GİRİŞ"), MIN(I9824, MAX(0, I9824 + SUM(SUMIFS($I$1:I9823, $C$1:C9823, C9824, $B$1:B9823, {"MAL ALIMI","ÜRETİM GİRİŞ"})) - VLOOKUP(C9824, 'STOK RAPORU'!$C$2:$I$1000, 4, 0))), 0)</f>
        <v>0</v>
      </c>
      <c r="U9824" s="22">
        <f t="shared" si="708"/>
        <v>0</v>
      </c>
      <c r="V9824">
        <f t="shared" si="709"/>
        <v>0</v>
      </c>
      <c r="W9824" s="22">
        <f t="shared" si="710"/>
        <v>0</v>
      </c>
    </row>
    <row r="9825" spans="1:23" hidden="1" x14ac:dyDescent="0.25">
      <c r="A9825" s="4"/>
      <c r="B9825" s="4"/>
      <c r="C9825" s="4"/>
      <c r="D9825" s="4"/>
      <c r="E9825" s="4"/>
      <c r="F9825" s="4"/>
      <c r="G9825" s="4"/>
      <c r="H9825" s="4"/>
      <c r="I9825" s="4"/>
      <c r="J9825" s="21">
        <f>IFERROR(VLOOKUP(C9825,'STOK KARTLARI'!$C$2:$K$2150,8,0),0)</f>
        <v>0</v>
      </c>
      <c r="K9825" s="21">
        <f t="shared" si="711"/>
        <v>0</v>
      </c>
      <c r="L9825" s="5">
        <f t="shared" si="713"/>
        <v>0</v>
      </c>
      <c r="M9825" s="4"/>
      <c r="N9825" s="4"/>
      <c r="O9825" s="5"/>
      <c r="P9825" s="5"/>
      <c r="Q9825" s="21">
        <f t="shared" si="714"/>
        <v>0</v>
      </c>
      <c r="R9825" s="21">
        <f t="shared" si="712"/>
        <v>0</v>
      </c>
      <c r="S9825" s="5">
        <f t="shared" si="715"/>
        <v>70007.077158325032</v>
      </c>
      <c r="T9825" cm="1">
        <f t="array" ref="T9825">IF(OR(B9825="MAL ALIMI", B9825="ÜRETİM GİRİŞ"), MIN(I9825, MAX(0, I9825 + SUM(SUMIFS($I$1:I9824, $C$1:C9824, C9825, $B$1:B9824, {"MAL ALIMI","ÜRETİM GİRİŞ"})) - VLOOKUP(C9825, 'STOK RAPORU'!$C$2:$I$1000, 4, 0))), 0)</f>
        <v>0</v>
      </c>
      <c r="U9825" s="22">
        <f t="shared" si="708"/>
        <v>0</v>
      </c>
      <c r="V9825">
        <f t="shared" si="709"/>
        <v>0</v>
      </c>
      <c r="W9825" s="22">
        <f t="shared" si="710"/>
        <v>0</v>
      </c>
    </row>
    <row r="9826" spans="1:23" hidden="1" x14ac:dyDescent="0.25">
      <c r="A9826" s="4"/>
      <c r="B9826" s="4"/>
      <c r="C9826" s="4"/>
      <c r="D9826" s="4"/>
      <c r="E9826" s="4"/>
      <c r="F9826" s="4"/>
      <c r="G9826" s="4"/>
      <c r="H9826" s="4"/>
      <c r="I9826" s="4"/>
      <c r="J9826" s="21">
        <f>IFERROR(VLOOKUP(C9826,'STOK KARTLARI'!$C$2:$K$2150,8,0),0)</f>
        <v>0</v>
      </c>
      <c r="K9826" s="21">
        <f t="shared" si="711"/>
        <v>0</v>
      </c>
      <c r="L9826" s="5">
        <f t="shared" si="713"/>
        <v>0</v>
      </c>
      <c r="M9826" s="4"/>
      <c r="N9826" s="4"/>
      <c r="O9826" s="5"/>
      <c r="P9826" s="5"/>
      <c r="Q9826" s="21">
        <f t="shared" si="714"/>
        <v>0</v>
      </c>
      <c r="R9826" s="21">
        <f t="shared" si="712"/>
        <v>0</v>
      </c>
      <c r="S9826" s="5">
        <f t="shared" si="715"/>
        <v>70007.077158325032</v>
      </c>
      <c r="T9826" cm="1">
        <f t="array" ref="T9826">IF(OR(B9826="MAL ALIMI", B9826="ÜRETİM GİRİŞ"), MIN(I9826, MAX(0, I9826 + SUM(SUMIFS($I$1:I9825, $C$1:C9825, C9826, $B$1:B9825, {"MAL ALIMI","ÜRETİM GİRİŞ"})) - VLOOKUP(C9826, 'STOK RAPORU'!$C$2:$I$1000, 4, 0))), 0)</f>
        <v>0</v>
      </c>
      <c r="U9826" s="22">
        <f t="shared" si="708"/>
        <v>0</v>
      </c>
      <c r="V9826">
        <f t="shared" si="709"/>
        <v>0</v>
      </c>
      <c r="W9826" s="22">
        <f t="shared" si="710"/>
        <v>0</v>
      </c>
    </row>
    <row r="9827" spans="1:23" hidden="1" x14ac:dyDescent="0.25">
      <c r="A9827" s="4"/>
      <c r="B9827" s="4"/>
      <c r="C9827" s="4"/>
      <c r="D9827" s="4"/>
      <c r="E9827" s="4"/>
      <c r="F9827" s="4"/>
      <c r="G9827" s="4"/>
      <c r="H9827" s="4"/>
      <c r="I9827" s="4"/>
      <c r="J9827" s="21">
        <f>IFERROR(VLOOKUP(C9827,'STOK KARTLARI'!$C$2:$K$2150,8,0),0)</f>
        <v>0</v>
      </c>
      <c r="K9827" s="21">
        <f t="shared" si="711"/>
        <v>0</v>
      </c>
      <c r="L9827" s="5">
        <f t="shared" si="713"/>
        <v>0</v>
      </c>
      <c r="M9827" s="4"/>
      <c r="N9827" s="4"/>
      <c r="O9827" s="5"/>
      <c r="P9827" s="5"/>
      <c r="Q9827" s="21">
        <f t="shared" si="714"/>
        <v>0</v>
      </c>
      <c r="R9827" s="21">
        <f t="shared" si="712"/>
        <v>0</v>
      </c>
      <c r="S9827" s="5">
        <f t="shared" si="715"/>
        <v>70007.077158325032</v>
      </c>
      <c r="T9827" cm="1">
        <f t="array" ref="T9827">IF(OR(B9827="MAL ALIMI", B9827="ÜRETİM GİRİŞ"), MIN(I9827, MAX(0, I9827 + SUM(SUMIFS($I$1:I9826, $C$1:C9826, C9827, $B$1:B9826, {"MAL ALIMI","ÜRETİM GİRİŞ"})) - VLOOKUP(C9827, 'STOK RAPORU'!$C$2:$I$1000, 4, 0))), 0)</f>
        <v>0</v>
      </c>
      <c r="U9827" s="22">
        <f t="shared" si="708"/>
        <v>0</v>
      </c>
      <c r="V9827">
        <f t="shared" si="709"/>
        <v>0</v>
      </c>
      <c r="W9827" s="22">
        <f t="shared" si="710"/>
        <v>0</v>
      </c>
    </row>
    <row r="9828" spans="1:23" hidden="1" x14ac:dyDescent="0.25">
      <c r="A9828" s="4"/>
      <c r="B9828" s="4"/>
      <c r="C9828" s="4"/>
      <c r="D9828" s="4"/>
      <c r="E9828" s="4"/>
      <c r="F9828" s="4"/>
      <c r="G9828" s="4"/>
      <c r="H9828" s="4"/>
      <c r="I9828" s="4"/>
      <c r="J9828" s="21">
        <f>IFERROR(VLOOKUP(C9828,'STOK KARTLARI'!$C$2:$K$2150,8,0),0)</f>
        <v>0</v>
      </c>
      <c r="K9828" s="21">
        <f t="shared" si="711"/>
        <v>0</v>
      </c>
      <c r="L9828" s="5">
        <f t="shared" si="713"/>
        <v>0</v>
      </c>
      <c r="M9828" s="4"/>
      <c r="N9828" s="4"/>
      <c r="O9828" s="5"/>
      <c r="P9828" s="5"/>
      <c r="Q9828" s="21">
        <f t="shared" si="714"/>
        <v>0</v>
      </c>
      <c r="R9828" s="21">
        <f t="shared" si="712"/>
        <v>0</v>
      </c>
      <c r="S9828" s="5">
        <f t="shared" si="715"/>
        <v>70007.077158325032</v>
      </c>
      <c r="T9828" cm="1">
        <f t="array" ref="T9828">IF(OR(B9828="MAL ALIMI", B9828="ÜRETİM GİRİŞ"), MIN(I9828, MAX(0, I9828 + SUM(SUMIFS($I$1:I9827, $C$1:C9827, C9828, $B$1:B9827, {"MAL ALIMI","ÜRETİM GİRİŞ"})) - VLOOKUP(C9828, 'STOK RAPORU'!$C$2:$I$1000, 4, 0))), 0)</f>
        <v>0</v>
      </c>
      <c r="U9828" s="22">
        <f t="shared" si="708"/>
        <v>0</v>
      </c>
      <c r="V9828">
        <f t="shared" si="709"/>
        <v>0</v>
      </c>
      <c r="W9828" s="22">
        <f t="shared" si="710"/>
        <v>0</v>
      </c>
    </row>
    <row r="9829" spans="1:23" hidden="1" x14ac:dyDescent="0.25">
      <c r="A9829" s="4"/>
      <c r="B9829" s="4"/>
      <c r="C9829" s="4"/>
      <c r="D9829" s="4"/>
      <c r="E9829" s="4"/>
      <c r="F9829" s="4"/>
      <c r="G9829" s="4"/>
      <c r="H9829" s="4"/>
      <c r="I9829" s="4"/>
      <c r="J9829" s="21">
        <f>IFERROR(VLOOKUP(C9829,'STOK KARTLARI'!$C$2:$K$2150,8,0),0)</f>
        <v>0</v>
      </c>
      <c r="K9829" s="21">
        <f t="shared" si="711"/>
        <v>0</v>
      </c>
      <c r="L9829" s="5">
        <f t="shared" si="713"/>
        <v>0</v>
      </c>
      <c r="M9829" s="4"/>
      <c r="N9829" s="4"/>
      <c r="O9829" s="5"/>
      <c r="P9829" s="5"/>
      <c r="Q9829" s="21">
        <f t="shared" si="714"/>
        <v>0</v>
      </c>
      <c r="R9829" s="21">
        <f t="shared" si="712"/>
        <v>0</v>
      </c>
      <c r="S9829" s="5">
        <f t="shared" si="715"/>
        <v>70007.077158325032</v>
      </c>
      <c r="T9829" cm="1">
        <f t="array" ref="T9829">IF(OR(B9829="MAL ALIMI", B9829="ÜRETİM GİRİŞ"), MIN(I9829, MAX(0, I9829 + SUM(SUMIFS($I$1:I9828, $C$1:C9828, C9829, $B$1:B9828, {"MAL ALIMI","ÜRETİM GİRİŞ"})) - VLOOKUP(C9829, 'STOK RAPORU'!$C$2:$I$1000, 4, 0))), 0)</f>
        <v>0</v>
      </c>
      <c r="U9829" s="22">
        <f t="shared" si="708"/>
        <v>0</v>
      </c>
      <c r="V9829">
        <f t="shared" si="709"/>
        <v>0</v>
      </c>
      <c r="W9829" s="22">
        <f t="shared" si="710"/>
        <v>0</v>
      </c>
    </row>
    <row r="9830" spans="1:23" hidden="1" x14ac:dyDescent="0.25">
      <c r="A9830" s="4"/>
      <c r="B9830" s="4"/>
      <c r="C9830" s="4"/>
      <c r="D9830" s="4"/>
      <c r="E9830" s="4"/>
      <c r="F9830" s="4"/>
      <c r="G9830" s="4"/>
      <c r="H9830" s="4"/>
      <c r="I9830" s="4"/>
      <c r="J9830" s="21">
        <f>IFERROR(VLOOKUP(C9830,'STOK KARTLARI'!$C$2:$K$2150,8,0),0)</f>
        <v>0</v>
      </c>
      <c r="K9830" s="21">
        <f t="shared" si="711"/>
        <v>0</v>
      </c>
      <c r="L9830" s="5">
        <f t="shared" si="713"/>
        <v>0</v>
      </c>
      <c r="M9830" s="4"/>
      <c r="N9830" s="4"/>
      <c r="O9830" s="5"/>
      <c r="P9830" s="5"/>
      <c r="Q9830" s="21">
        <f t="shared" si="714"/>
        <v>0</v>
      </c>
      <c r="R9830" s="21">
        <f t="shared" si="712"/>
        <v>0</v>
      </c>
      <c r="S9830" s="5">
        <f t="shared" si="715"/>
        <v>70007.077158325032</v>
      </c>
      <c r="T9830" cm="1">
        <f t="array" ref="T9830">IF(OR(B9830="MAL ALIMI", B9830="ÜRETİM GİRİŞ"), MIN(I9830, MAX(0, I9830 + SUM(SUMIFS($I$1:I9829, $C$1:C9829, C9830, $B$1:B9829, {"MAL ALIMI","ÜRETİM GİRİŞ"})) - VLOOKUP(C9830, 'STOK RAPORU'!$C$2:$I$1000, 4, 0))), 0)</f>
        <v>0</v>
      </c>
      <c r="U9830" s="22">
        <f t="shared" si="708"/>
        <v>0</v>
      </c>
      <c r="V9830">
        <f t="shared" si="709"/>
        <v>0</v>
      </c>
      <c r="W9830" s="22">
        <f t="shared" si="710"/>
        <v>0</v>
      </c>
    </row>
    <row r="9831" spans="1:23" hidden="1" x14ac:dyDescent="0.25">
      <c r="A9831" s="3"/>
      <c r="B9831" s="4"/>
      <c r="C9831" s="4"/>
      <c r="D9831" s="4"/>
      <c r="E9831" s="4"/>
      <c r="F9831" s="4"/>
      <c r="G9831" s="4"/>
      <c r="H9831" s="4"/>
      <c r="I9831" s="4"/>
      <c r="J9831" s="21">
        <f>IFERROR(VLOOKUP(C9831,'STOK KARTLARI'!$C$2:$K$2150,8,0),0)</f>
        <v>0</v>
      </c>
      <c r="K9831" s="21">
        <f t="shared" si="711"/>
        <v>0</v>
      </c>
      <c r="L9831" s="5">
        <f t="shared" si="713"/>
        <v>0</v>
      </c>
      <c r="M9831" s="4"/>
      <c r="N9831" s="4"/>
      <c r="O9831" s="5"/>
      <c r="P9831" s="5"/>
      <c r="Q9831" s="21">
        <f t="shared" si="714"/>
        <v>0</v>
      </c>
      <c r="R9831" s="21">
        <f t="shared" si="712"/>
        <v>0</v>
      </c>
      <c r="S9831" s="5">
        <f t="shared" si="715"/>
        <v>70007.077158325032</v>
      </c>
      <c r="T9831" cm="1">
        <f t="array" ref="T9831">IF(OR(B9831="MAL ALIMI", B9831="ÜRETİM GİRİŞ"), MIN(I9831, MAX(0, I9831 + SUM(SUMIFS($I$1:I9830, $C$1:C9830, C9831, $B$1:B9830, {"MAL ALIMI","ÜRETİM GİRİŞ"})) - VLOOKUP(C9831, 'STOK RAPORU'!$C$2:$I$1000, 4, 0))), 0)</f>
        <v>0</v>
      </c>
      <c r="U9831" s="22">
        <f t="shared" si="708"/>
        <v>0</v>
      </c>
      <c r="V9831">
        <f t="shared" si="709"/>
        <v>0</v>
      </c>
      <c r="W9831" s="22">
        <f t="shared" si="710"/>
        <v>0</v>
      </c>
    </row>
    <row r="9832" spans="1:23" hidden="1" x14ac:dyDescent="0.25">
      <c r="A9832" s="4"/>
      <c r="B9832" s="4"/>
      <c r="C9832" s="4"/>
      <c r="D9832" s="4"/>
      <c r="E9832" s="4"/>
      <c r="F9832" s="4"/>
      <c r="G9832" s="4"/>
      <c r="H9832" s="4"/>
      <c r="I9832" s="4"/>
      <c r="J9832" s="21">
        <f>IFERROR(VLOOKUP(C9832,'STOK KARTLARI'!$C$2:$K$2150,8,0),0)</f>
        <v>0</v>
      </c>
      <c r="K9832" s="21">
        <f t="shared" si="711"/>
        <v>0</v>
      </c>
      <c r="L9832" s="5">
        <f t="shared" si="713"/>
        <v>0</v>
      </c>
      <c r="M9832" s="4"/>
      <c r="N9832" s="4"/>
      <c r="O9832" s="5"/>
      <c r="P9832" s="5"/>
      <c r="Q9832" s="21">
        <f t="shared" si="714"/>
        <v>0</v>
      </c>
      <c r="R9832" s="21">
        <f t="shared" si="712"/>
        <v>0</v>
      </c>
      <c r="S9832" s="5">
        <f t="shared" si="715"/>
        <v>70007.077158325032</v>
      </c>
      <c r="T9832" cm="1">
        <f t="array" ref="T9832">IF(OR(B9832="MAL ALIMI", B9832="ÜRETİM GİRİŞ"), MIN(I9832, MAX(0, I9832 + SUM(SUMIFS($I$1:I9831, $C$1:C9831, C9832, $B$1:B9831, {"MAL ALIMI","ÜRETİM GİRİŞ"})) - VLOOKUP(C9832, 'STOK RAPORU'!$C$2:$I$1000, 4, 0))), 0)</f>
        <v>0</v>
      </c>
      <c r="U9832" s="22">
        <f t="shared" si="708"/>
        <v>0</v>
      </c>
      <c r="V9832">
        <f t="shared" si="709"/>
        <v>0</v>
      </c>
      <c r="W9832" s="22">
        <f t="shared" si="710"/>
        <v>0</v>
      </c>
    </row>
    <row r="9833" spans="1:23" hidden="1" x14ac:dyDescent="0.25">
      <c r="A9833" s="4"/>
      <c r="B9833" s="4"/>
      <c r="C9833" s="4"/>
      <c r="D9833" s="4"/>
      <c r="E9833" s="4"/>
      <c r="F9833" s="4"/>
      <c r="G9833" s="4"/>
      <c r="H9833" s="4"/>
      <c r="I9833" s="4"/>
      <c r="J9833" s="21">
        <f>IFERROR(VLOOKUP(C9833,'STOK KARTLARI'!$C$2:$K$2150,8,0),0)</f>
        <v>0</v>
      </c>
      <c r="K9833" s="21">
        <f t="shared" si="711"/>
        <v>0</v>
      </c>
      <c r="L9833" s="5">
        <f t="shared" si="713"/>
        <v>0</v>
      </c>
      <c r="M9833" s="4"/>
      <c r="N9833" s="4"/>
      <c r="O9833" s="5"/>
      <c r="P9833" s="5"/>
      <c r="Q9833" s="21">
        <f t="shared" si="714"/>
        <v>0</v>
      </c>
      <c r="R9833" s="21">
        <f t="shared" si="712"/>
        <v>0</v>
      </c>
      <c r="S9833" s="5">
        <f t="shared" si="715"/>
        <v>70007.077158325032</v>
      </c>
      <c r="T9833" cm="1">
        <f t="array" ref="T9833">IF(OR(B9833="MAL ALIMI", B9833="ÜRETİM GİRİŞ"), MIN(I9833, MAX(0, I9833 + SUM(SUMIFS($I$1:I9832, $C$1:C9832, C9833, $B$1:B9832, {"MAL ALIMI","ÜRETİM GİRİŞ"})) - VLOOKUP(C9833, 'STOK RAPORU'!$C$2:$I$1000, 4, 0))), 0)</f>
        <v>0</v>
      </c>
      <c r="U9833" s="22">
        <f t="shared" si="708"/>
        <v>0</v>
      </c>
      <c r="V9833">
        <f t="shared" si="709"/>
        <v>0</v>
      </c>
      <c r="W9833" s="22">
        <f t="shared" si="710"/>
        <v>0</v>
      </c>
    </row>
    <row r="9834" spans="1:23" hidden="1" x14ac:dyDescent="0.25">
      <c r="A9834" s="4"/>
      <c r="B9834" s="4"/>
      <c r="C9834" s="4"/>
      <c r="D9834" s="4"/>
      <c r="E9834" s="4"/>
      <c r="F9834" s="4"/>
      <c r="G9834" s="4"/>
      <c r="H9834" s="4"/>
      <c r="I9834" s="4"/>
      <c r="J9834" s="21">
        <f>IFERROR(VLOOKUP(C9834,'STOK KARTLARI'!$C$2:$K$2150,8,0),0)</f>
        <v>0</v>
      </c>
      <c r="K9834" s="21">
        <f t="shared" si="711"/>
        <v>0</v>
      </c>
      <c r="L9834" s="5">
        <f t="shared" si="713"/>
        <v>0</v>
      </c>
      <c r="M9834" s="4"/>
      <c r="N9834" s="4"/>
      <c r="O9834" s="5"/>
      <c r="P9834" s="5"/>
      <c r="Q9834" s="21">
        <f t="shared" si="714"/>
        <v>0</v>
      </c>
      <c r="R9834" s="21">
        <f t="shared" si="712"/>
        <v>0</v>
      </c>
      <c r="S9834" s="5">
        <f t="shared" si="715"/>
        <v>70007.077158325032</v>
      </c>
      <c r="T9834" cm="1">
        <f t="array" ref="T9834">IF(OR(B9834="MAL ALIMI", B9834="ÜRETİM GİRİŞ"), MIN(I9834, MAX(0, I9834 + SUM(SUMIFS($I$1:I9833, $C$1:C9833, C9834, $B$1:B9833, {"MAL ALIMI","ÜRETİM GİRİŞ"})) - VLOOKUP(C9834, 'STOK RAPORU'!$C$2:$I$1000, 4, 0))), 0)</f>
        <v>0</v>
      </c>
      <c r="U9834" s="22">
        <f t="shared" si="708"/>
        <v>0</v>
      </c>
      <c r="V9834">
        <f t="shared" si="709"/>
        <v>0</v>
      </c>
      <c r="W9834" s="22">
        <f t="shared" si="710"/>
        <v>0</v>
      </c>
    </row>
    <row r="9835" spans="1:23" hidden="1" x14ac:dyDescent="0.25">
      <c r="A9835" s="4"/>
      <c r="B9835" s="4"/>
      <c r="C9835" s="4"/>
      <c r="D9835" s="4"/>
      <c r="E9835" s="4"/>
      <c r="F9835" s="4"/>
      <c r="G9835" s="4"/>
      <c r="H9835" s="4"/>
      <c r="I9835" s="4"/>
      <c r="J9835" s="21">
        <f>IFERROR(VLOOKUP(C9835,'STOK KARTLARI'!$C$2:$K$2150,8,0),0)</f>
        <v>0</v>
      </c>
      <c r="K9835" s="21">
        <f t="shared" si="711"/>
        <v>0</v>
      </c>
      <c r="L9835" s="5">
        <f t="shared" si="713"/>
        <v>0</v>
      </c>
      <c r="M9835" s="4"/>
      <c r="N9835" s="4"/>
      <c r="O9835" s="5"/>
      <c r="P9835" s="5"/>
      <c r="Q9835" s="21">
        <f t="shared" si="714"/>
        <v>0</v>
      </c>
      <c r="R9835" s="21">
        <f t="shared" si="712"/>
        <v>0</v>
      </c>
      <c r="S9835" s="5">
        <f t="shared" si="715"/>
        <v>70007.077158325032</v>
      </c>
      <c r="T9835" cm="1">
        <f t="array" ref="T9835">IF(OR(B9835="MAL ALIMI", B9835="ÜRETİM GİRİŞ"), MIN(I9835, MAX(0, I9835 + SUM(SUMIFS($I$1:I9834, $C$1:C9834, C9835, $B$1:B9834, {"MAL ALIMI","ÜRETİM GİRİŞ"})) - VLOOKUP(C9835, 'STOK RAPORU'!$C$2:$I$1000, 4, 0))), 0)</f>
        <v>0</v>
      </c>
      <c r="U9835" s="22">
        <f t="shared" si="708"/>
        <v>0</v>
      </c>
      <c r="V9835">
        <f t="shared" si="709"/>
        <v>0</v>
      </c>
      <c r="W9835" s="22">
        <f t="shared" si="710"/>
        <v>0</v>
      </c>
    </row>
    <row r="9836" spans="1:23" hidden="1" x14ac:dyDescent="0.25">
      <c r="A9836" s="4"/>
      <c r="B9836" s="4"/>
      <c r="C9836" s="4"/>
      <c r="D9836" s="4"/>
      <c r="E9836" s="4"/>
      <c r="F9836" s="4"/>
      <c r="G9836" s="4"/>
      <c r="H9836" s="4"/>
      <c r="I9836" s="4"/>
      <c r="J9836" s="21">
        <f>IFERROR(VLOOKUP(C9836,'STOK KARTLARI'!$C$2:$K$2150,8,0),0)</f>
        <v>0</v>
      </c>
      <c r="K9836" s="21">
        <f t="shared" si="711"/>
        <v>0</v>
      </c>
      <c r="L9836" s="5">
        <f t="shared" si="713"/>
        <v>0</v>
      </c>
      <c r="M9836" s="4"/>
      <c r="N9836" s="4"/>
      <c r="O9836" s="5"/>
      <c r="P9836" s="5"/>
      <c r="Q9836" s="21">
        <f t="shared" si="714"/>
        <v>0</v>
      </c>
      <c r="R9836" s="21">
        <f t="shared" si="712"/>
        <v>0</v>
      </c>
      <c r="S9836" s="5">
        <f t="shared" si="715"/>
        <v>70007.077158325032</v>
      </c>
      <c r="T9836" cm="1">
        <f t="array" ref="T9836">IF(OR(B9836="MAL ALIMI", B9836="ÜRETİM GİRİŞ"), MIN(I9836, MAX(0, I9836 + SUM(SUMIFS($I$1:I9835, $C$1:C9835, C9836, $B$1:B9835, {"MAL ALIMI","ÜRETİM GİRİŞ"})) - VLOOKUP(C9836, 'STOK RAPORU'!$C$2:$I$1000, 4, 0))), 0)</f>
        <v>0</v>
      </c>
      <c r="U9836" s="22">
        <f t="shared" si="708"/>
        <v>0</v>
      </c>
      <c r="V9836">
        <f t="shared" si="709"/>
        <v>0</v>
      </c>
      <c r="W9836" s="22">
        <f t="shared" si="710"/>
        <v>0</v>
      </c>
    </row>
    <row r="9837" spans="1:23" hidden="1" x14ac:dyDescent="0.25">
      <c r="A9837" s="4"/>
      <c r="B9837" s="4"/>
      <c r="C9837" s="4"/>
      <c r="D9837" s="4"/>
      <c r="E9837" s="4"/>
      <c r="F9837" s="4"/>
      <c r="G9837" s="4"/>
      <c r="H9837" s="4"/>
      <c r="I9837" s="4"/>
      <c r="J9837" s="21">
        <f>IFERROR(VLOOKUP(C9837,'STOK KARTLARI'!$C$2:$K$2150,8,0),0)</f>
        <v>0</v>
      </c>
      <c r="K9837" s="21">
        <f t="shared" si="711"/>
        <v>0</v>
      </c>
      <c r="L9837" s="5">
        <f t="shared" si="713"/>
        <v>0</v>
      </c>
      <c r="M9837" s="4"/>
      <c r="N9837" s="4"/>
      <c r="O9837" s="5"/>
      <c r="P9837" s="5"/>
      <c r="Q9837" s="21">
        <f t="shared" si="714"/>
        <v>0</v>
      </c>
      <c r="R9837" s="21">
        <f t="shared" si="712"/>
        <v>0</v>
      </c>
      <c r="S9837" s="5">
        <f t="shared" si="715"/>
        <v>70007.077158325032</v>
      </c>
      <c r="T9837" cm="1">
        <f t="array" ref="T9837">IF(OR(B9837="MAL ALIMI", B9837="ÜRETİM GİRİŞ"), MIN(I9837, MAX(0, I9837 + SUM(SUMIFS($I$1:I9836, $C$1:C9836, C9837, $B$1:B9836, {"MAL ALIMI","ÜRETİM GİRİŞ"})) - VLOOKUP(C9837, 'STOK RAPORU'!$C$2:$I$1000, 4, 0))), 0)</f>
        <v>0</v>
      </c>
      <c r="U9837" s="22">
        <f t="shared" si="708"/>
        <v>0</v>
      </c>
      <c r="V9837">
        <f t="shared" si="709"/>
        <v>0</v>
      </c>
      <c r="W9837" s="22">
        <f t="shared" si="710"/>
        <v>0</v>
      </c>
    </row>
    <row r="9838" spans="1:23" hidden="1" x14ac:dyDescent="0.25">
      <c r="A9838" s="3"/>
      <c r="B9838" s="4"/>
      <c r="C9838" s="4"/>
      <c r="D9838" s="4"/>
      <c r="E9838" s="4"/>
      <c r="F9838" s="4"/>
      <c r="G9838" s="4"/>
      <c r="H9838" s="4"/>
      <c r="I9838" s="4"/>
      <c r="J9838" s="21">
        <f>IFERROR(VLOOKUP(C9838,'STOK KARTLARI'!$C$2:$K$2150,8,0),0)</f>
        <v>0</v>
      </c>
      <c r="K9838" s="21">
        <f t="shared" si="711"/>
        <v>0</v>
      </c>
      <c r="L9838" s="5">
        <f t="shared" si="713"/>
        <v>0</v>
      </c>
      <c r="M9838" s="4"/>
      <c r="N9838" s="4"/>
      <c r="O9838" s="5"/>
      <c r="P9838" s="5"/>
      <c r="Q9838" s="21">
        <f t="shared" si="714"/>
        <v>0</v>
      </c>
      <c r="R9838" s="21">
        <f t="shared" si="712"/>
        <v>0</v>
      </c>
      <c r="S9838" s="5">
        <f t="shared" si="715"/>
        <v>70007.077158325032</v>
      </c>
      <c r="T9838" cm="1">
        <f t="array" ref="T9838">IF(OR(B9838="MAL ALIMI", B9838="ÜRETİM GİRİŞ"), MIN(I9838, MAX(0, I9838 + SUM(SUMIFS($I$1:I9837, $C$1:C9837, C9838, $B$1:B9837, {"MAL ALIMI","ÜRETİM GİRİŞ"})) - VLOOKUP(C9838, 'STOK RAPORU'!$C$2:$I$1000, 4, 0))), 0)</f>
        <v>0</v>
      </c>
      <c r="U9838" s="22">
        <f t="shared" si="708"/>
        <v>0</v>
      </c>
      <c r="V9838">
        <f t="shared" si="709"/>
        <v>0</v>
      </c>
      <c r="W9838" s="22">
        <f t="shared" si="710"/>
        <v>0</v>
      </c>
    </row>
    <row r="9839" spans="1:23" hidden="1" x14ac:dyDescent="0.25">
      <c r="A9839" s="4"/>
      <c r="B9839" s="4"/>
      <c r="C9839" s="4"/>
      <c r="D9839" s="4"/>
      <c r="E9839" s="4"/>
      <c r="F9839" s="4"/>
      <c r="G9839" s="4"/>
      <c r="H9839" s="4"/>
      <c r="I9839" s="4"/>
      <c r="J9839" s="21">
        <f>IFERROR(VLOOKUP(C9839,'STOK KARTLARI'!$C$2:$K$2150,8,0),0)</f>
        <v>0</v>
      </c>
      <c r="K9839" s="21">
        <f t="shared" si="711"/>
        <v>0</v>
      </c>
      <c r="L9839" s="5">
        <f t="shared" si="713"/>
        <v>0</v>
      </c>
      <c r="M9839" s="4"/>
      <c r="N9839" s="4"/>
      <c r="O9839" s="5"/>
      <c r="P9839" s="5"/>
      <c r="Q9839" s="21">
        <f t="shared" si="714"/>
        <v>0</v>
      </c>
      <c r="R9839" s="21">
        <f t="shared" si="712"/>
        <v>0</v>
      </c>
      <c r="S9839" s="5">
        <f t="shared" si="715"/>
        <v>70007.077158325032</v>
      </c>
      <c r="T9839" cm="1">
        <f t="array" ref="T9839">IF(OR(B9839="MAL ALIMI", B9839="ÜRETİM GİRİŞ"), MIN(I9839, MAX(0, I9839 + SUM(SUMIFS($I$1:I9838, $C$1:C9838, C9839, $B$1:B9838, {"MAL ALIMI","ÜRETİM GİRİŞ"})) - VLOOKUP(C9839, 'STOK RAPORU'!$C$2:$I$1000, 4, 0))), 0)</f>
        <v>0</v>
      </c>
      <c r="U9839" s="22">
        <f t="shared" ref="U9839:U9902" si="716">T9839*J9839</f>
        <v>0</v>
      </c>
      <c r="V9839">
        <f t="shared" ref="V9839:V9902" si="717">IF(OR(B9839="MAL ALIMI", B9839="ÜRETİM GİRİŞ"), I9839 * J9839, 0)</f>
        <v>0</v>
      </c>
      <c r="W9839" s="22">
        <f t="shared" ref="W9839:W9902" si="718">V9839-U9839</f>
        <v>0</v>
      </c>
    </row>
    <row r="9840" spans="1:23" hidden="1" x14ac:dyDescent="0.25">
      <c r="A9840" s="4"/>
      <c r="B9840" s="4"/>
      <c r="C9840" s="4"/>
      <c r="D9840" s="4"/>
      <c r="E9840" s="4"/>
      <c r="F9840" s="4"/>
      <c r="G9840" s="4"/>
      <c r="H9840" s="4"/>
      <c r="I9840" s="4"/>
      <c r="J9840" s="21">
        <f>IFERROR(VLOOKUP(C9840,'STOK KARTLARI'!$C$2:$K$2150,8,0),0)</f>
        <v>0</v>
      </c>
      <c r="K9840" s="21">
        <f t="shared" si="711"/>
        <v>0</v>
      </c>
      <c r="L9840" s="5">
        <f t="shared" si="713"/>
        <v>0</v>
      </c>
      <c r="M9840" s="4"/>
      <c r="N9840" s="4"/>
      <c r="O9840" s="5"/>
      <c r="P9840" s="5"/>
      <c r="Q9840" s="21">
        <f t="shared" si="714"/>
        <v>0</v>
      </c>
      <c r="R9840" s="21">
        <f t="shared" si="712"/>
        <v>0</v>
      </c>
      <c r="S9840" s="5">
        <f t="shared" si="715"/>
        <v>70007.077158325032</v>
      </c>
      <c r="T9840" cm="1">
        <f t="array" ref="T9840">IF(OR(B9840="MAL ALIMI", B9840="ÜRETİM GİRİŞ"), MIN(I9840, MAX(0, I9840 + SUM(SUMIFS($I$1:I9839, $C$1:C9839, C9840, $B$1:B9839, {"MAL ALIMI","ÜRETİM GİRİŞ"})) - VLOOKUP(C9840, 'STOK RAPORU'!$C$2:$I$1000, 4, 0))), 0)</f>
        <v>0</v>
      </c>
      <c r="U9840" s="22">
        <f t="shared" si="716"/>
        <v>0</v>
      </c>
      <c r="V9840">
        <f t="shared" si="717"/>
        <v>0</v>
      </c>
      <c r="W9840" s="22">
        <f t="shared" si="718"/>
        <v>0</v>
      </c>
    </row>
    <row r="9841" spans="1:23" hidden="1" x14ac:dyDescent="0.25">
      <c r="A9841" s="4"/>
      <c r="B9841" s="4"/>
      <c r="C9841" s="4"/>
      <c r="D9841" s="4"/>
      <c r="E9841" s="4"/>
      <c r="F9841" s="4"/>
      <c r="G9841" s="4"/>
      <c r="H9841" s="4"/>
      <c r="I9841" s="4"/>
      <c r="J9841" s="21">
        <f>IFERROR(VLOOKUP(C9841,'STOK KARTLARI'!$C$2:$K$2150,8,0),0)</f>
        <v>0</v>
      </c>
      <c r="K9841" s="21">
        <f t="shared" si="711"/>
        <v>0</v>
      </c>
      <c r="L9841" s="5">
        <f t="shared" si="713"/>
        <v>0</v>
      </c>
      <c r="M9841" s="4"/>
      <c r="N9841" s="4"/>
      <c r="O9841" s="5"/>
      <c r="P9841" s="5"/>
      <c r="Q9841" s="21">
        <f t="shared" si="714"/>
        <v>0</v>
      </c>
      <c r="R9841" s="21">
        <f t="shared" si="712"/>
        <v>0</v>
      </c>
      <c r="S9841" s="5">
        <f t="shared" si="715"/>
        <v>70007.077158325032</v>
      </c>
      <c r="T9841" cm="1">
        <f t="array" ref="T9841">IF(OR(B9841="MAL ALIMI", B9841="ÜRETİM GİRİŞ"), MIN(I9841, MAX(0, I9841 + SUM(SUMIFS($I$1:I9840, $C$1:C9840, C9841, $B$1:B9840, {"MAL ALIMI","ÜRETİM GİRİŞ"})) - VLOOKUP(C9841, 'STOK RAPORU'!$C$2:$I$1000, 4, 0))), 0)</f>
        <v>0</v>
      </c>
      <c r="U9841" s="22">
        <f t="shared" si="716"/>
        <v>0</v>
      </c>
      <c r="V9841">
        <f t="shared" si="717"/>
        <v>0</v>
      </c>
      <c r="W9841" s="22">
        <f t="shared" si="718"/>
        <v>0</v>
      </c>
    </row>
    <row r="9842" spans="1:23" hidden="1" x14ac:dyDescent="0.25">
      <c r="A9842" s="4"/>
      <c r="B9842" s="4"/>
      <c r="C9842" s="4"/>
      <c r="D9842" s="4"/>
      <c r="E9842" s="4"/>
      <c r="F9842" s="4"/>
      <c r="G9842" s="4"/>
      <c r="H9842" s="4"/>
      <c r="I9842" s="4"/>
      <c r="J9842" s="21">
        <f>IFERROR(VLOOKUP(C9842,'STOK KARTLARI'!$C$2:$K$2150,8,0),0)</f>
        <v>0</v>
      </c>
      <c r="K9842" s="21">
        <f t="shared" si="711"/>
        <v>0</v>
      </c>
      <c r="L9842" s="5">
        <f t="shared" si="713"/>
        <v>0</v>
      </c>
      <c r="M9842" s="4"/>
      <c r="N9842" s="4"/>
      <c r="O9842" s="5"/>
      <c r="P9842" s="5"/>
      <c r="Q9842" s="21">
        <f t="shared" si="714"/>
        <v>0</v>
      </c>
      <c r="R9842" s="21">
        <f t="shared" si="712"/>
        <v>0</v>
      </c>
      <c r="S9842" s="5">
        <f t="shared" si="715"/>
        <v>70007.077158325032</v>
      </c>
      <c r="T9842" cm="1">
        <f t="array" ref="T9842">IF(OR(B9842="MAL ALIMI", B9842="ÜRETİM GİRİŞ"), MIN(I9842, MAX(0, I9842 + SUM(SUMIFS($I$1:I9841, $C$1:C9841, C9842, $B$1:B9841, {"MAL ALIMI","ÜRETİM GİRİŞ"})) - VLOOKUP(C9842, 'STOK RAPORU'!$C$2:$I$1000, 4, 0))), 0)</f>
        <v>0</v>
      </c>
      <c r="U9842" s="22">
        <f t="shared" si="716"/>
        <v>0</v>
      </c>
      <c r="V9842">
        <f t="shared" si="717"/>
        <v>0</v>
      </c>
      <c r="W9842" s="22">
        <f t="shared" si="718"/>
        <v>0</v>
      </c>
    </row>
    <row r="9843" spans="1:23" hidden="1" x14ac:dyDescent="0.25">
      <c r="A9843" s="4"/>
      <c r="B9843" s="4"/>
      <c r="C9843" s="4"/>
      <c r="D9843" s="4"/>
      <c r="E9843" s="4"/>
      <c r="F9843" s="4"/>
      <c r="G9843" s="4"/>
      <c r="H9843" s="4"/>
      <c r="I9843" s="4"/>
      <c r="J9843" s="21">
        <f>IFERROR(VLOOKUP(C9843,'STOK KARTLARI'!$C$2:$K$2150,8,0),0)</f>
        <v>0</v>
      </c>
      <c r="K9843" s="21">
        <f t="shared" ref="K9843:K9906" si="719">IF(AND(B9843="MAL SATIŞI", H9843="POS"),I9843*J9843,0)</f>
        <v>0</v>
      </c>
      <c r="L9843" s="5">
        <f t="shared" si="713"/>
        <v>0</v>
      </c>
      <c r="M9843" s="4"/>
      <c r="N9843" s="4"/>
      <c r="O9843" s="5"/>
      <c r="P9843" s="5"/>
      <c r="Q9843" s="21">
        <f t="shared" si="714"/>
        <v>0</v>
      </c>
      <c r="R9843" s="21">
        <f t="shared" ref="R9843:R9906" si="720">IF(AND(E9843="", B9843&lt;&gt;"MAL SATIŞI"),I9843*J9843,0)</f>
        <v>0</v>
      </c>
      <c r="S9843" s="5">
        <f t="shared" si="715"/>
        <v>70007.077158325032</v>
      </c>
      <c r="T9843" cm="1">
        <f t="array" ref="T9843">IF(OR(B9843="MAL ALIMI", B9843="ÜRETİM GİRİŞ"), MIN(I9843, MAX(0, I9843 + SUM(SUMIFS($I$1:I9842, $C$1:C9842, C9843, $B$1:B9842, {"MAL ALIMI","ÜRETİM GİRİŞ"})) - VLOOKUP(C9843, 'STOK RAPORU'!$C$2:$I$1000, 4, 0))), 0)</f>
        <v>0</v>
      </c>
      <c r="U9843" s="22">
        <f t="shared" si="716"/>
        <v>0</v>
      </c>
      <c r="V9843">
        <f t="shared" si="717"/>
        <v>0</v>
      </c>
      <c r="W9843" s="22">
        <f t="shared" si="718"/>
        <v>0</v>
      </c>
    </row>
    <row r="9844" spans="1:23" hidden="1" x14ac:dyDescent="0.25">
      <c r="A9844" s="4"/>
      <c r="B9844" s="4"/>
      <c r="C9844" s="4"/>
      <c r="D9844" s="4"/>
      <c r="E9844" s="4"/>
      <c r="F9844" s="4"/>
      <c r="G9844" s="4"/>
      <c r="H9844" s="4"/>
      <c r="I9844" s="4"/>
      <c r="J9844" s="21">
        <f>IFERROR(VLOOKUP(C9844,'STOK KARTLARI'!$C$2:$K$2150,8,0),0)</f>
        <v>0</v>
      </c>
      <c r="K9844" s="21">
        <f t="shared" si="719"/>
        <v>0</v>
      </c>
      <c r="L9844" s="5">
        <f t="shared" ref="L9844:L9907" si="721">IF(OR(E9844="", H9844="POS"),0,I9844*J9844)</f>
        <v>0</v>
      </c>
      <c r="M9844" s="4"/>
      <c r="N9844" s="4"/>
      <c r="O9844" s="5"/>
      <c r="P9844" s="5"/>
      <c r="Q9844" s="21">
        <f t="shared" ref="Q9844:Q9907" si="722">IF(AND(E9844="", B9844="MAL SATIŞI", H9844="NAKİT"),I9844*J9844,0)</f>
        <v>0</v>
      </c>
      <c r="R9844" s="21">
        <f t="shared" si="720"/>
        <v>0</v>
      </c>
      <c r="S9844" s="5">
        <f t="shared" si="715"/>
        <v>70007.077158325032</v>
      </c>
      <c r="T9844" cm="1">
        <f t="array" ref="T9844">IF(OR(B9844="MAL ALIMI", B9844="ÜRETİM GİRİŞ"), MIN(I9844, MAX(0, I9844 + SUM(SUMIFS($I$1:I9843, $C$1:C9843, C9844, $B$1:B9843, {"MAL ALIMI","ÜRETİM GİRİŞ"})) - VLOOKUP(C9844, 'STOK RAPORU'!$C$2:$I$1000, 4, 0))), 0)</f>
        <v>0</v>
      </c>
      <c r="U9844" s="22">
        <f t="shared" si="716"/>
        <v>0</v>
      </c>
      <c r="V9844">
        <f t="shared" si="717"/>
        <v>0</v>
      </c>
      <c r="W9844" s="22">
        <f t="shared" si="718"/>
        <v>0</v>
      </c>
    </row>
    <row r="9845" spans="1:23" hidden="1" x14ac:dyDescent="0.25">
      <c r="A9845" s="3"/>
      <c r="B9845" s="4"/>
      <c r="C9845" s="4"/>
      <c r="D9845" s="4"/>
      <c r="E9845" s="4"/>
      <c r="F9845" s="4"/>
      <c r="G9845" s="4"/>
      <c r="H9845" s="4"/>
      <c r="I9845" s="4"/>
      <c r="J9845" s="21">
        <f>IFERROR(VLOOKUP(C9845,'STOK KARTLARI'!$C$2:$K$2150,8,0),0)</f>
        <v>0</v>
      </c>
      <c r="K9845" s="21">
        <f t="shared" si="719"/>
        <v>0</v>
      </c>
      <c r="L9845" s="5">
        <f t="shared" si="721"/>
        <v>0</v>
      </c>
      <c r="M9845" s="4"/>
      <c r="N9845" s="4"/>
      <c r="O9845" s="5"/>
      <c r="P9845" s="5"/>
      <c r="Q9845" s="21">
        <f t="shared" si="722"/>
        <v>0</v>
      </c>
      <c r="R9845" s="21">
        <f t="shared" si="720"/>
        <v>0</v>
      </c>
      <c r="S9845" s="5">
        <f t="shared" si="715"/>
        <v>70007.077158325032</v>
      </c>
      <c r="T9845" cm="1">
        <f t="array" ref="T9845">IF(OR(B9845="MAL ALIMI", B9845="ÜRETİM GİRİŞ"), MIN(I9845, MAX(0, I9845 + SUM(SUMIFS($I$1:I9844, $C$1:C9844, C9845, $B$1:B9844, {"MAL ALIMI","ÜRETİM GİRİŞ"})) - VLOOKUP(C9845, 'STOK RAPORU'!$C$2:$I$1000, 4, 0))), 0)</f>
        <v>0</v>
      </c>
      <c r="U9845" s="22">
        <f t="shared" si="716"/>
        <v>0</v>
      </c>
      <c r="V9845">
        <f t="shared" si="717"/>
        <v>0</v>
      </c>
      <c r="W9845" s="22">
        <f t="shared" si="718"/>
        <v>0</v>
      </c>
    </row>
    <row r="9846" spans="1:23" hidden="1" x14ac:dyDescent="0.25">
      <c r="A9846" s="4"/>
      <c r="B9846" s="4"/>
      <c r="C9846" s="4"/>
      <c r="D9846" s="4"/>
      <c r="E9846" s="4"/>
      <c r="F9846" s="4"/>
      <c r="G9846" s="4"/>
      <c r="H9846" s="4"/>
      <c r="I9846" s="4"/>
      <c r="J9846" s="21">
        <f>IFERROR(VLOOKUP(C9846,'STOK KARTLARI'!$C$2:$K$2150,8,0),0)</f>
        <v>0</v>
      </c>
      <c r="K9846" s="21">
        <f t="shared" si="719"/>
        <v>0</v>
      </c>
      <c r="L9846" s="5">
        <f t="shared" si="721"/>
        <v>0</v>
      </c>
      <c r="M9846" s="4"/>
      <c r="N9846" s="4"/>
      <c r="O9846" s="5"/>
      <c r="P9846" s="5"/>
      <c r="Q9846" s="21">
        <f t="shared" si="722"/>
        <v>0</v>
      </c>
      <c r="R9846" s="21">
        <f t="shared" si="720"/>
        <v>0</v>
      </c>
      <c r="S9846" s="5">
        <f t="shared" si="715"/>
        <v>70007.077158325032</v>
      </c>
      <c r="T9846" cm="1">
        <f t="array" ref="T9846">IF(OR(B9846="MAL ALIMI", B9846="ÜRETİM GİRİŞ"), MIN(I9846, MAX(0, I9846 + SUM(SUMIFS($I$1:I9845, $C$1:C9845, C9846, $B$1:B9845, {"MAL ALIMI","ÜRETİM GİRİŞ"})) - VLOOKUP(C9846, 'STOK RAPORU'!$C$2:$I$1000, 4, 0))), 0)</f>
        <v>0</v>
      </c>
      <c r="U9846" s="22">
        <f t="shared" si="716"/>
        <v>0</v>
      </c>
      <c r="V9846">
        <f t="shared" si="717"/>
        <v>0</v>
      </c>
      <c r="W9846" s="22">
        <f t="shared" si="718"/>
        <v>0</v>
      </c>
    </row>
    <row r="9847" spans="1:23" hidden="1" x14ac:dyDescent="0.25">
      <c r="A9847" s="4"/>
      <c r="B9847" s="4"/>
      <c r="C9847" s="4"/>
      <c r="D9847" s="4"/>
      <c r="E9847" s="4"/>
      <c r="F9847" s="4"/>
      <c r="G9847" s="4"/>
      <c r="H9847" s="4"/>
      <c r="I9847" s="4"/>
      <c r="J9847" s="21">
        <f>IFERROR(VLOOKUP(C9847,'STOK KARTLARI'!$C$2:$K$2150,8,0),0)</f>
        <v>0</v>
      </c>
      <c r="K9847" s="21">
        <f t="shared" si="719"/>
        <v>0</v>
      </c>
      <c r="L9847" s="5">
        <f t="shared" si="721"/>
        <v>0</v>
      </c>
      <c r="M9847" s="4"/>
      <c r="N9847" s="4"/>
      <c r="O9847" s="5"/>
      <c r="P9847" s="5"/>
      <c r="Q9847" s="21">
        <f t="shared" si="722"/>
        <v>0</v>
      </c>
      <c r="R9847" s="21">
        <f t="shared" si="720"/>
        <v>0</v>
      </c>
      <c r="S9847" s="5">
        <f t="shared" si="715"/>
        <v>70007.077158325032</v>
      </c>
      <c r="T9847" cm="1">
        <f t="array" ref="T9847">IF(OR(B9847="MAL ALIMI", B9847="ÜRETİM GİRİŞ"), MIN(I9847, MAX(0, I9847 + SUM(SUMIFS($I$1:I9846, $C$1:C9846, C9847, $B$1:B9846, {"MAL ALIMI","ÜRETİM GİRİŞ"})) - VLOOKUP(C9847, 'STOK RAPORU'!$C$2:$I$1000, 4, 0))), 0)</f>
        <v>0</v>
      </c>
      <c r="U9847" s="22">
        <f t="shared" si="716"/>
        <v>0</v>
      </c>
      <c r="V9847">
        <f t="shared" si="717"/>
        <v>0</v>
      </c>
      <c r="W9847" s="22">
        <f t="shared" si="718"/>
        <v>0</v>
      </c>
    </row>
    <row r="9848" spans="1:23" hidden="1" x14ac:dyDescent="0.25">
      <c r="A9848" s="4"/>
      <c r="B9848" s="4"/>
      <c r="C9848" s="4"/>
      <c r="D9848" s="4"/>
      <c r="E9848" s="4"/>
      <c r="F9848" s="4"/>
      <c r="G9848" s="4"/>
      <c r="H9848" s="4"/>
      <c r="I9848" s="4"/>
      <c r="J9848" s="21">
        <f>IFERROR(VLOOKUP(C9848,'STOK KARTLARI'!$C$2:$K$2150,8,0),0)</f>
        <v>0</v>
      </c>
      <c r="K9848" s="21">
        <f t="shared" si="719"/>
        <v>0</v>
      </c>
      <c r="L9848" s="5">
        <f t="shared" si="721"/>
        <v>0</v>
      </c>
      <c r="M9848" s="4"/>
      <c r="N9848" s="4"/>
      <c r="O9848" s="5"/>
      <c r="P9848" s="5"/>
      <c r="Q9848" s="21">
        <f t="shared" si="722"/>
        <v>0</v>
      </c>
      <c r="R9848" s="21">
        <f t="shared" si="720"/>
        <v>0</v>
      </c>
      <c r="S9848" s="5">
        <f t="shared" si="715"/>
        <v>70007.077158325032</v>
      </c>
      <c r="T9848" cm="1">
        <f t="array" ref="T9848">IF(OR(B9848="MAL ALIMI", B9848="ÜRETİM GİRİŞ"), MIN(I9848, MAX(0, I9848 + SUM(SUMIFS($I$1:I9847, $C$1:C9847, C9848, $B$1:B9847, {"MAL ALIMI","ÜRETİM GİRİŞ"})) - VLOOKUP(C9848, 'STOK RAPORU'!$C$2:$I$1000, 4, 0))), 0)</f>
        <v>0</v>
      </c>
      <c r="U9848" s="22">
        <f t="shared" si="716"/>
        <v>0</v>
      </c>
      <c r="V9848">
        <f t="shared" si="717"/>
        <v>0</v>
      </c>
      <c r="W9848" s="22">
        <f t="shared" si="718"/>
        <v>0</v>
      </c>
    </row>
    <row r="9849" spans="1:23" hidden="1" x14ac:dyDescent="0.25">
      <c r="A9849" s="4"/>
      <c r="B9849" s="4"/>
      <c r="C9849" s="4"/>
      <c r="D9849" s="4"/>
      <c r="E9849" s="4"/>
      <c r="F9849" s="4"/>
      <c r="G9849" s="4"/>
      <c r="H9849" s="4"/>
      <c r="I9849" s="4"/>
      <c r="J9849" s="21">
        <f>IFERROR(VLOOKUP(C9849,'STOK KARTLARI'!$C$2:$K$2150,8,0),0)</f>
        <v>0</v>
      </c>
      <c r="K9849" s="21">
        <f t="shared" si="719"/>
        <v>0</v>
      </c>
      <c r="L9849" s="5">
        <f t="shared" si="721"/>
        <v>0</v>
      </c>
      <c r="M9849" s="4"/>
      <c r="N9849" s="4"/>
      <c r="O9849" s="5"/>
      <c r="P9849" s="5"/>
      <c r="Q9849" s="21">
        <f t="shared" si="722"/>
        <v>0</v>
      </c>
      <c r="R9849" s="21">
        <f t="shared" si="720"/>
        <v>0</v>
      </c>
      <c r="S9849" s="5">
        <f t="shared" si="715"/>
        <v>70007.077158325032</v>
      </c>
      <c r="T9849" cm="1">
        <f t="array" ref="T9849">IF(OR(B9849="MAL ALIMI", B9849="ÜRETİM GİRİŞ"), MIN(I9849, MAX(0, I9849 + SUM(SUMIFS($I$1:I9848, $C$1:C9848, C9849, $B$1:B9848, {"MAL ALIMI","ÜRETİM GİRİŞ"})) - VLOOKUP(C9849, 'STOK RAPORU'!$C$2:$I$1000, 4, 0))), 0)</f>
        <v>0</v>
      </c>
      <c r="U9849" s="22">
        <f t="shared" si="716"/>
        <v>0</v>
      </c>
      <c r="V9849">
        <f t="shared" si="717"/>
        <v>0</v>
      </c>
      <c r="W9849" s="22">
        <f t="shared" si="718"/>
        <v>0</v>
      </c>
    </row>
    <row r="9850" spans="1:23" hidden="1" x14ac:dyDescent="0.25">
      <c r="A9850" s="4"/>
      <c r="B9850" s="4"/>
      <c r="C9850" s="4"/>
      <c r="D9850" s="4"/>
      <c r="E9850" s="4"/>
      <c r="F9850" s="4"/>
      <c r="G9850" s="4"/>
      <c r="H9850" s="4"/>
      <c r="I9850" s="4"/>
      <c r="J9850" s="21">
        <f>IFERROR(VLOOKUP(C9850,'STOK KARTLARI'!$C$2:$K$2150,8,0),0)</f>
        <v>0</v>
      </c>
      <c r="K9850" s="21">
        <f t="shared" si="719"/>
        <v>0</v>
      </c>
      <c r="L9850" s="5">
        <f t="shared" si="721"/>
        <v>0</v>
      </c>
      <c r="M9850" s="4"/>
      <c r="N9850" s="4"/>
      <c r="O9850" s="5"/>
      <c r="P9850" s="5"/>
      <c r="Q9850" s="21">
        <f t="shared" si="722"/>
        <v>0</v>
      </c>
      <c r="R9850" s="21">
        <f t="shared" si="720"/>
        <v>0</v>
      </c>
      <c r="S9850" s="5">
        <f t="shared" si="715"/>
        <v>70007.077158325032</v>
      </c>
      <c r="T9850" cm="1">
        <f t="array" ref="T9850">IF(OR(B9850="MAL ALIMI", B9850="ÜRETİM GİRİŞ"), MIN(I9850, MAX(0, I9850 + SUM(SUMIFS($I$1:I9849, $C$1:C9849, C9850, $B$1:B9849, {"MAL ALIMI","ÜRETİM GİRİŞ"})) - VLOOKUP(C9850, 'STOK RAPORU'!$C$2:$I$1000, 4, 0))), 0)</f>
        <v>0</v>
      </c>
      <c r="U9850" s="22">
        <f t="shared" si="716"/>
        <v>0</v>
      </c>
      <c r="V9850">
        <f t="shared" si="717"/>
        <v>0</v>
      </c>
      <c r="W9850" s="22">
        <f t="shared" si="718"/>
        <v>0</v>
      </c>
    </row>
    <row r="9851" spans="1:23" hidden="1" x14ac:dyDescent="0.25">
      <c r="A9851" s="4"/>
      <c r="B9851" s="4"/>
      <c r="C9851" s="4"/>
      <c r="D9851" s="4"/>
      <c r="E9851" s="4"/>
      <c r="F9851" s="4"/>
      <c r="G9851" s="4"/>
      <c r="H9851" s="4"/>
      <c r="I9851" s="4"/>
      <c r="J9851" s="21">
        <f>IFERROR(VLOOKUP(C9851,'STOK KARTLARI'!$C$2:$K$2150,8,0),0)</f>
        <v>0</v>
      </c>
      <c r="K9851" s="21">
        <f t="shared" si="719"/>
        <v>0</v>
      </c>
      <c r="L9851" s="5">
        <f t="shared" si="721"/>
        <v>0</v>
      </c>
      <c r="M9851" s="4"/>
      <c r="N9851" s="4"/>
      <c r="O9851" s="5"/>
      <c r="P9851" s="5"/>
      <c r="Q9851" s="21">
        <f t="shared" si="722"/>
        <v>0</v>
      </c>
      <c r="R9851" s="21">
        <f t="shared" si="720"/>
        <v>0</v>
      </c>
      <c r="S9851" s="5">
        <f t="shared" si="715"/>
        <v>70007.077158325032</v>
      </c>
      <c r="T9851" cm="1">
        <f t="array" ref="T9851">IF(OR(B9851="MAL ALIMI", B9851="ÜRETİM GİRİŞ"), MIN(I9851, MAX(0, I9851 + SUM(SUMIFS($I$1:I9850, $C$1:C9850, C9851, $B$1:B9850, {"MAL ALIMI","ÜRETİM GİRİŞ"})) - VLOOKUP(C9851, 'STOK RAPORU'!$C$2:$I$1000, 4, 0))), 0)</f>
        <v>0</v>
      </c>
      <c r="U9851" s="22">
        <f t="shared" si="716"/>
        <v>0</v>
      </c>
      <c r="V9851">
        <f t="shared" si="717"/>
        <v>0</v>
      </c>
      <c r="W9851" s="22">
        <f t="shared" si="718"/>
        <v>0</v>
      </c>
    </row>
    <row r="9852" spans="1:23" hidden="1" x14ac:dyDescent="0.25">
      <c r="A9852" s="3"/>
      <c r="B9852" s="4"/>
      <c r="C9852" s="4"/>
      <c r="D9852" s="4"/>
      <c r="E9852" s="4"/>
      <c r="F9852" s="4"/>
      <c r="G9852" s="4"/>
      <c r="H9852" s="4"/>
      <c r="I9852" s="4"/>
      <c r="J9852" s="21">
        <f>IFERROR(VLOOKUP(C9852,'STOK KARTLARI'!$C$2:$K$2150,8,0),0)</f>
        <v>0</v>
      </c>
      <c r="K9852" s="21">
        <f t="shared" si="719"/>
        <v>0</v>
      </c>
      <c r="L9852" s="5">
        <f t="shared" si="721"/>
        <v>0</v>
      </c>
      <c r="M9852" s="4"/>
      <c r="N9852" s="4"/>
      <c r="O9852" s="5"/>
      <c r="P9852" s="5"/>
      <c r="Q9852" s="21">
        <f t="shared" si="722"/>
        <v>0</v>
      </c>
      <c r="R9852" s="21">
        <f t="shared" si="720"/>
        <v>0</v>
      </c>
      <c r="S9852" s="5">
        <f t="shared" si="715"/>
        <v>70007.077158325032</v>
      </c>
      <c r="T9852" cm="1">
        <f t="array" ref="T9852">IF(OR(B9852="MAL ALIMI", B9852="ÜRETİM GİRİŞ"), MIN(I9852, MAX(0, I9852 + SUM(SUMIFS($I$1:I9851, $C$1:C9851, C9852, $B$1:B9851, {"MAL ALIMI","ÜRETİM GİRİŞ"})) - VLOOKUP(C9852, 'STOK RAPORU'!$C$2:$I$1000, 4, 0))), 0)</f>
        <v>0</v>
      </c>
      <c r="U9852" s="22">
        <f t="shared" si="716"/>
        <v>0</v>
      </c>
      <c r="V9852">
        <f t="shared" si="717"/>
        <v>0</v>
      </c>
      <c r="W9852" s="22">
        <f t="shared" si="718"/>
        <v>0</v>
      </c>
    </row>
    <row r="9853" spans="1:23" hidden="1" x14ac:dyDescent="0.25">
      <c r="A9853" s="4"/>
      <c r="B9853" s="4"/>
      <c r="C9853" s="4"/>
      <c r="D9853" s="4"/>
      <c r="E9853" s="4"/>
      <c r="F9853" s="4"/>
      <c r="G9853" s="4"/>
      <c r="H9853" s="4"/>
      <c r="I9853" s="4"/>
      <c r="J9853" s="21">
        <f>IFERROR(VLOOKUP(C9853,'STOK KARTLARI'!$C$2:$K$2150,8,0),0)</f>
        <v>0</v>
      </c>
      <c r="K9853" s="21">
        <f t="shared" si="719"/>
        <v>0</v>
      </c>
      <c r="L9853" s="5">
        <f t="shared" si="721"/>
        <v>0</v>
      </c>
      <c r="M9853" s="4"/>
      <c r="N9853" s="4"/>
      <c r="O9853" s="5"/>
      <c r="P9853" s="5"/>
      <c r="Q9853" s="21">
        <f t="shared" si="722"/>
        <v>0</v>
      </c>
      <c r="R9853" s="21">
        <f t="shared" si="720"/>
        <v>0</v>
      </c>
      <c r="S9853" s="5">
        <f t="shared" si="715"/>
        <v>70007.077158325032</v>
      </c>
      <c r="T9853" cm="1">
        <f t="array" ref="T9853">IF(OR(B9853="MAL ALIMI", B9853="ÜRETİM GİRİŞ"), MIN(I9853, MAX(0, I9853 + SUM(SUMIFS($I$1:I9852, $C$1:C9852, C9853, $B$1:B9852, {"MAL ALIMI","ÜRETİM GİRİŞ"})) - VLOOKUP(C9853, 'STOK RAPORU'!$C$2:$I$1000, 4, 0))), 0)</f>
        <v>0</v>
      </c>
      <c r="U9853" s="22">
        <f t="shared" si="716"/>
        <v>0</v>
      </c>
      <c r="V9853">
        <f t="shared" si="717"/>
        <v>0</v>
      </c>
      <c r="W9853" s="22">
        <f t="shared" si="718"/>
        <v>0</v>
      </c>
    </row>
    <row r="9854" spans="1:23" hidden="1" x14ac:dyDescent="0.25">
      <c r="A9854" s="4"/>
      <c r="B9854" s="4"/>
      <c r="C9854" s="4"/>
      <c r="D9854" s="4"/>
      <c r="E9854" s="4"/>
      <c r="F9854" s="4"/>
      <c r="G9854" s="4"/>
      <c r="H9854" s="4"/>
      <c r="I9854" s="4"/>
      <c r="J9854" s="21">
        <f>IFERROR(VLOOKUP(C9854,'STOK KARTLARI'!$C$2:$K$2150,8,0),0)</f>
        <v>0</v>
      </c>
      <c r="K9854" s="21">
        <f t="shared" si="719"/>
        <v>0</v>
      </c>
      <c r="L9854" s="5">
        <f t="shared" si="721"/>
        <v>0</v>
      </c>
      <c r="M9854" s="4"/>
      <c r="N9854" s="4"/>
      <c r="O9854" s="5"/>
      <c r="P9854" s="5"/>
      <c r="Q9854" s="21">
        <f t="shared" si="722"/>
        <v>0</v>
      </c>
      <c r="R9854" s="21">
        <f t="shared" si="720"/>
        <v>0</v>
      </c>
      <c r="S9854" s="5">
        <f t="shared" si="715"/>
        <v>70007.077158325032</v>
      </c>
      <c r="T9854" cm="1">
        <f t="array" ref="T9854">IF(OR(B9854="MAL ALIMI", B9854="ÜRETİM GİRİŞ"), MIN(I9854, MAX(0, I9854 + SUM(SUMIFS($I$1:I9853, $C$1:C9853, C9854, $B$1:B9853, {"MAL ALIMI","ÜRETİM GİRİŞ"})) - VLOOKUP(C9854, 'STOK RAPORU'!$C$2:$I$1000, 4, 0))), 0)</f>
        <v>0</v>
      </c>
      <c r="U9854" s="22">
        <f t="shared" si="716"/>
        <v>0</v>
      </c>
      <c r="V9854">
        <f t="shared" si="717"/>
        <v>0</v>
      </c>
      <c r="W9854" s="22">
        <f t="shared" si="718"/>
        <v>0</v>
      </c>
    </row>
    <row r="9855" spans="1:23" hidden="1" x14ac:dyDescent="0.25">
      <c r="A9855" s="4"/>
      <c r="B9855" s="4"/>
      <c r="C9855" s="4"/>
      <c r="D9855" s="4"/>
      <c r="E9855" s="4"/>
      <c r="F9855" s="4"/>
      <c r="G9855" s="4"/>
      <c r="H9855" s="4"/>
      <c r="I9855" s="4"/>
      <c r="J9855" s="21">
        <f>IFERROR(VLOOKUP(C9855,'STOK KARTLARI'!$C$2:$K$2150,8,0),0)</f>
        <v>0</v>
      </c>
      <c r="K9855" s="21">
        <f t="shared" si="719"/>
        <v>0</v>
      </c>
      <c r="L9855" s="5">
        <f t="shared" si="721"/>
        <v>0</v>
      </c>
      <c r="M9855" s="4"/>
      <c r="N9855" s="4"/>
      <c r="O9855" s="5"/>
      <c r="P9855" s="5"/>
      <c r="Q9855" s="21">
        <f t="shared" si="722"/>
        <v>0</v>
      </c>
      <c r="R9855" s="21">
        <f t="shared" si="720"/>
        <v>0</v>
      </c>
      <c r="S9855" s="5">
        <f t="shared" si="715"/>
        <v>70007.077158325032</v>
      </c>
      <c r="T9855" cm="1">
        <f t="array" ref="T9855">IF(OR(B9855="MAL ALIMI", B9855="ÜRETİM GİRİŞ"), MIN(I9855, MAX(0, I9855 + SUM(SUMIFS($I$1:I9854, $C$1:C9854, C9855, $B$1:B9854, {"MAL ALIMI","ÜRETİM GİRİŞ"})) - VLOOKUP(C9855, 'STOK RAPORU'!$C$2:$I$1000, 4, 0))), 0)</f>
        <v>0</v>
      </c>
      <c r="U9855" s="22">
        <f t="shared" si="716"/>
        <v>0</v>
      </c>
      <c r="V9855">
        <f t="shared" si="717"/>
        <v>0</v>
      </c>
      <c r="W9855" s="22">
        <f t="shared" si="718"/>
        <v>0</v>
      </c>
    </row>
    <row r="9856" spans="1:23" hidden="1" x14ac:dyDescent="0.25">
      <c r="A9856" s="4"/>
      <c r="B9856" s="4"/>
      <c r="C9856" s="4"/>
      <c r="D9856" s="4"/>
      <c r="E9856" s="4"/>
      <c r="F9856" s="4"/>
      <c r="G9856" s="4"/>
      <c r="H9856" s="4"/>
      <c r="I9856" s="4"/>
      <c r="J9856" s="21">
        <f>IFERROR(VLOOKUP(C9856,'STOK KARTLARI'!$C$2:$K$2150,8,0),0)</f>
        <v>0</v>
      </c>
      <c r="K9856" s="21">
        <f t="shared" si="719"/>
        <v>0</v>
      </c>
      <c r="L9856" s="5">
        <f t="shared" si="721"/>
        <v>0</v>
      </c>
      <c r="M9856" s="4"/>
      <c r="N9856" s="4"/>
      <c r="O9856" s="5"/>
      <c r="P9856" s="5"/>
      <c r="Q9856" s="21">
        <f t="shared" si="722"/>
        <v>0</v>
      </c>
      <c r="R9856" s="21">
        <f t="shared" si="720"/>
        <v>0</v>
      </c>
      <c r="S9856" s="5">
        <f t="shared" si="715"/>
        <v>70007.077158325032</v>
      </c>
      <c r="T9856" cm="1">
        <f t="array" ref="T9856">IF(OR(B9856="MAL ALIMI", B9856="ÜRETİM GİRİŞ"), MIN(I9856, MAX(0, I9856 + SUM(SUMIFS($I$1:I9855, $C$1:C9855, C9856, $B$1:B9855, {"MAL ALIMI","ÜRETİM GİRİŞ"})) - VLOOKUP(C9856, 'STOK RAPORU'!$C$2:$I$1000, 4, 0))), 0)</f>
        <v>0</v>
      </c>
      <c r="U9856" s="22">
        <f t="shared" si="716"/>
        <v>0</v>
      </c>
      <c r="V9856">
        <f t="shared" si="717"/>
        <v>0</v>
      </c>
      <c r="W9856" s="22">
        <f t="shared" si="718"/>
        <v>0</v>
      </c>
    </row>
    <row r="9857" spans="1:23" hidden="1" x14ac:dyDescent="0.25">
      <c r="A9857" s="4"/>
      <c r="B9857" s="4"/>
      <c r="C9857" s="4"/>
      <c r="D9857" s="4"/>
      <c r="E9857" s="4"/>
      <c r="F9857" s="4"/>
      <c r="G9857" s="4"/>
      <c r="H9857" s="4"/>
      <c r="I9857" s="4"/>
      <c r="J9857" s="21">
        <f>IFERROR(VLOOKUP(C9857,'STOK KARTLARI'!$C$2:$K$2150,8,0),0)</f>
        <v>0</v>
      </c>
      <c r="K9857" s="21">
        <f t="shared" si="719"/>
        <v>0</v>
      </c>
      <c r="L9857" s="5">
        <f t="shared" si="721"/>
        <v>0</v>
      </c>
      <c r="M9857" s="4"/>
      <c r="N9857" s="4"/>
      <c r="O9857" s="5"/>
      <c r="P9857" s="5"/>
      <c r="Q9857" s="21">
        <f t="shared" si="722"/>
        <v>0</v>
      </c>
      <c r="R9857" s="21">
        <f t="shared" si="720"/>
        <v>0</v>
      </c>
      <c r="S9857" s="5">
        <f t="shared" si="715"/>
        <v>70007.077158325032</v>
      </c>
      <c r="T9857" cm="1">
        <f t="array" ref="T9857">IF(OR(B9857="MAL ALIMI", B9857="ÜRETİM GİRİŞ"), MIN(I9857, MAX(0, I9857 + SUM(SUMIFS($I$1:I9856, $C$1:C9856, C9857, $B$1:B9856, {"MAL ALIMI","ÜRETİM GİRİŞ"})) - VLOOKUP(C9857, 'STOK RAPORU'!$C$2:$I$1000, 4, 0))), 0)</f>
        <v>0</v>
      </c>
      <c r="U9857" s="22">
        <f t="shared" si="716"/>
        <v>0</v>
      </c>
      <c r="V9857">
        <f t="shared" si="717"/>
        <v>0</v>
      </c>
      <c r="W9857" s="22">
        <f t="shared" si="718"/>
        <v>0</v>
      </c>
    </row>
    <row r="9858" spans="1:23" hidden="1" x14ac:dyDescent="0.25">
      <c r="A9858" s="4"/>
      <c r="B9858" s="4"/>
      <c r="C9858" s="4"/>
      <c r="D9858" s="4"/>
      <c r="E9858" s="4"/>
      <c r="F9858" s="4"/>
      <c r="G9858" s="4"/>
      <c r="H9858" s="4"/>
      <c r="I9858" s="4"/>
      <c r="J9858" s="21">
        <f>IFERROR(VLOOKUP(C9858,'STOK KARTLARI'!$C$2:$K$2150,8,0),0)</f>
        <v>0</v>
      </c>
      <c r="K9858" s="21">
        <f t="shared" si="719"/>
        <v>0</v>
      </c>
      <c r="L9858" s="5">
        <f t="shared" si="721"/>
        <v>0</v>
      </c>
      <c r="M9858" s="4"/>
      <c r="N9858" s="4"/>
      <c r="O9858" s="5"/>
      <c r="P9858" s="5"/>
      <c r="Q9858" s="21">
        <f t="shared" si="722"/>
        <v>0</v>
      </c>
      <c r="R9858" s="21">
        <f t="shared" si="720"/>
        <v>0</v>
      </c>
      <c r="S9858" s="5">
        <f t="shared" si="715"/>
        <v>70007.077158325032</v>
      </c>
      <c r="T9858" cm="1">
        <f t="array" ref="T9858">IF(OR(B9858="MAL ALIMI", B9858="ÜRETİM GİRİŞ"), MIN(I9858, MAX(0, I9858 + SUM(SUMIFS($I$1:I9857, $C$1:C9857, C9858, $B$1:B9857, {"MAL ALIMI","ÜRETİM GİRİŞ"})) - VLOOKUP(C9858, 'STOK RAPORU'!$C$2:$I$1000, 4, 0))), 0)</f>
        <v>0</v>
      </c>
      <c r="U9858" s="22">
        <f t="shared" si="716"/>
        <v>0</v>
      </c>
      <c r="V9858">
        <f t="shared" si="717"/>
        <v>0</v>
      </c>
      <c r="W9858" s="22">
        <f t="shared" si="718"/>
        <v>0</v>
      </c>
    </row>
    <row r="9859" spans="1:23" hidden="1" x14ac:dyDescent="0.25">
      <c r="A9859" s="3"/>
      <c r="B9859" s="4"/>
      <c r="C9859" s="4"/>
      <c r="D9859" s="4"/>
      <c r="E9859" s="4"/>
      <c r="F9859" s="4"/>
      <c r="G9859" s="4"/>
      <c r="H9859" s="4"/>
      <c r="I9859" s="4"/>
      <c r="J9859" s="21">
        <f>IFERROR(VLOOKUP(C9859,'STOK KARTLARI'!$C$2:$K$2150,8,0),0)</f>
        <v>0</v>
      </c>
      <c r="K9859" s="21">
        <f t="shared" si="719"/>
        <v>0</v>
      </c>
      <c r="L9859" s="5">
        <f t="shared" si="721"/>
        <v>0</v>
      </c>
      <c r="M9859" s="4"/>
      <c r="N9859" s="4"/>
      <c r="O9859" s="5"/>
      <c r="P9859" s="5"/>
      <c r="Q9859" s="21">
        <f t="shared" si="722"/>
        <v>0</v>
      </c>
      <c r="R9859" s="21">
        <f t="shared" si="720"/>
        <v>0</v>
      </c>
      <c r="S9859" s="5">
        <f t="shared" si="715"/>
        <v>70007.077158325032</v>
      </c>
      <c r="T9859" cm="1">
        <f t="array" ref="T9859">IF(OR(B9859="MAL ALIMI", B9859="ÜRETİM GİRİŞ"), MIN(I9859, MAX(0, I9859 + SUM(SUMIFS($I$1:I9858, $C$1:C9858, C9859, $B$1:B9858, {"MAL ALIMI","ÜRETİM GİRİŞ"})) - VLOOKUP(C9859, 'STOK RAPORU'!$C$2:$I$1000, 4, 0))), 0)</f>
        <v>0</v>
      </c>
      <c r="U9859" s="22">
        <f t="shared" si="716"/>
        <v>0</v>
      </c>
      <c r="V9859">
        <f t="shared" si="717"/>
        <v>0</v>
      </c>
      <c r="W9859" s="22">
        <f t="shared" si="718"/>
        <v>0</v>
      </c>
    </row>
    <row r="9860" spans="1:23" hidden="1" x14ac:dyDescent="0.25">
      <c r="A9860" s="4"/>
      <c r="B9860" s="4"/>
      <c r="C9860" s="4"/>
      <c r="D9860" s="4"/>
      <c r="E9860" s="4"/>
      <c r="F9860" s="4"/>
      <c r="G9860" s="4"/>
      <c r="H9860" s="4"/>
      <c r="I9860" s="4"/>
      <c r="J9860" s="21">
        <f>IFERROR(VLOOKUP(C9860,'STOK KARTLARI'!$C$2:$K$2150,8,0),0)</f>
        <v>0</v>
      </c>
      <c r="K9860" s="21">
        <f t="shared" si="719"/>
        <v>0</v>
      </c>
      <c r="L9860" s="5">
        <f t="shared" si="721"/>
        <v>0</v>
      </c>
      <c r="M9860" s="4"/>
      <c r="N9860" s="4"/>
      <c r="O9860" s="5"/>
      <c r="P9860" s="5"/>
      <c r="Q9860" s="21">
        <f t="shared" si="722"/>
        <v>0</v>
      </c>
      <c r="R9860" s="21">
        <f t="shared" si="720"/>
        <v>0</v>
      </c>
      <c r="S9860" s="5">
        <f t="shared" si="715"/>
        <v>70007.077158325032</v>
      </c>
      <c r="T9860" cm="1">
        <f t="array" ref="T9860">IF(OR(B9860="MAL ALIMI", B9860="ÜRETİM GİRİŞ"), MIN(I9860, MAX(0, I9860 + SUM(SUMIFS($I$1:I9859, $C$1:C9859, C9860, $B$1:B9859, {"MAL ALIMI","ÜRETİM GİRİŞ"})) - VLOOKUP(C9860, 'STOK RAPORU'!$C$2:$I$1000, 4, 0))), 0)</f>
        <v>0</v>
      </c>
      <c r="U9860" s="22">
        <f t="shared" si="716"/>
        <v>0</v>
      </c>
      <c r="V9860">
        <f t="shared" si="717"/>
        <v>0</v>
      </c>
      <c r="W9860" s="22">
        <f t="shared" si="718"/>
        <v>0</v>
      </c>
    </row>
    <row r="9861" spans="1:23" hidden="1" x14ac:dyDescent="0.25">
      <c r="A9861" s="4"/>
      <c r="B9861" s="4"/>
      <c r="C9861" s="4"/>
      <c r="D9861" s="4"/>
      <c r="E9861" s="4"/>
      <c r="F9861" s="4"/>
      <c r="G9861" s="4"/>
      <c r="H9861" s="4"/>
      <c r="I9861" s="4"/>
      <c r="J9861" s="21">
        <f>IFERROR(VLOOKUP(C9861,'STOK KARTLARI'!$C$2:$K$2150,8,0),0)</f>
        <v>0</v>
      </c>
      <c r="K9861" s="21">
        <f t="shared" si="719"/>
        <v>0</v>
      </c>
      <c r="L9861" s="5">
        <f t="shared" si="721"/>
        <v>0</v>
      </c>
      <c r="M9861" s="4"/>
      <c r="N9861" s="4"/>
      <c r="O9861" s="5"/>
      <c r="P9861" s="5"/>
      <c r="Q9861" s="21">
        <f t="shared" si="722"/>
        <v>0</v>
      </c>
      <c r="R9861" s="21">
        <f t="shared" si="720"/>
        <v>0</v>
      </c>
      <c r="S9861" s="5">
        <f t="shared" ref="S9861:S9924" si="723">S9860+Q9861-R9861</f>
        <v>70007.077158325032</v>
      </c>
      <c r="T9861" cm="1">
        <f t="array" ref="T9861">IF(OR(B9861="MAL ALIMI", B9861="ÜRETİM GİRİŞ"), MIN(I9861, MAX(0, I9861 + SUM(SUMIFS($I$1:I9860, $C$1:C9860, C9861, $B$1:B9860, {"MAL ALIMI","ÜRETİM GİRİŞ"})) - VLOOKUP(C9861, 'STOK RAPORU'!$C$2:$I$1000, 4, 0))), 0)</f>
        <v>0</v>
      </c>
      <c r="U9861" s="22">
        <f t="shared" si="716"/>
        <v>0</v>
      </c>
      <c r="V9861">
        <f t="shared" si="717"/>
        <v>0</v>
      </c>
      <c r="W9861" s="22">
        <f t="shared" si="718"/>
        <v>0</v>
      </c>
    </row>
    <row r="9862" spans="1:23" hidden="1" x14ac:dyDescent="0.25">
      <c r="A9862" s="4"/>
      <c r="B9862" s="4"/>
      <c r="C9862" s="4"/>
      <c r="D9862" s="4"/>
      <c r="E9862" s="4"/>
      <c r="F9862" s="4"/>
      <c r="G9862" s="4"/>
      <c r="H9862" s="4"/>
      <c r="I9862" s="4"/>
      <c r="J9862" s="21">
        <f>IFERROR(VLOOKUP(C9862,'STOK KARTLARI'!$C$2:$K$2150,8,0),0)</f>
        <v>0</v>
      </c>
      <c r="K9862" s="21">
        <f t="shared" si="719"/>
        <v>0</v>
      </c>
      <c r="L9862" s="5">
        <f t="shared" si="721"/>
        <v>0</v>
      </c>
      <c r="M9862" s="4"/>
      <c r="N9862" s="4"/>
      <c r="O9862" s="5"/>
      <c r="P9862" s="5"/>
      <c r="Q9862" s="21">
        <f t="shared" si="722"/>
        <v>0</v>
      </c>
      <c r="R9862" s="21">
        <f t="shared" si="720"/>
        <v>0</v>
      </c>
      <c r="S9862" s="5">
        <f t="shared" si="723"/>
        <v>70007.077158325032</v>
      </c>
      <c r="T9862" cm="1">
        <f t="array" ref="T9862">IF(OR(B9862="MAL ALIMI", B9862="ÜRETİM GİRİŞ"), MIN(I9862, MAX(0, I9862 + SUM(SUMIFS($I$1:I9861, $C$1:C9861, C9862, $B$1:B9861, {"MAL ALIMI","ÜRETİM GİRİŞ"})) - VLOOKUP(C9862, 'STOK RAPORU'!$C$2:$I$1000, 4, 0))), 0)</f>
        <v>0</v>
      </c>
      <c r="U9862" s="22">
        <f t="shared" si="716"/>
        <v>0</v>
      </c>
      <c r="V9862">
        <f t="shared" si="717"/>
        <v>0</v>
      </c>
      <c r="W9862" s="22">
        <f t="shared" si="718"/>
        <v>0</v>
      </c>
    </row>
    <row r="9863" spans="1:23" hidden="1" x14ac:dyDescent="0.25">
      <c r="A9863" s="4"/>
      <c r="B9863" s="4"/>
      <c r="C9863" s="4"/>
      <c r="D9863" s="4"/>
      <c r="E9863" s="4"/>
      <c r="F9863" s="4"/>
      <c r="G9863" s="4"/>
      <c r="H9863" s="4"/>
      <c r="I9863" s="4"/>
      <c r="J9863" s="21">
        <f>IFERROR(VLOOKUP(C9863,'STOK KARTLARI'!$C$2:$K$2150,8,0),0)</f>
        <v>0</v>
      </c>
      <c r="K9863" s="21">
        <f t="shared" si="719"/>
        <v>0</v>
      </c>
      <c r="L9863" s="5">
        <f t="shared" si="721"/>
        <v>0</v>
      </c>
      <c r="M9863" s="4"/>
      <c r="N9863" s="4"/>
      <c r="O9863" s="5"/>
      <c r="P9863" s="5"/>
      <c r="Q9863" s="21">
        <f t="shared" si="722"/>
        <v>0</v>
      </c>
      <c r="R9863" s="21">
        <f t="shared" si="720"/>
        <v>0</v>
      </c>
      <c r="S9863" s="5">
        <f t="shared" si="723"/>
        <v>70007.077158325032</v>
      </c>
      <c r="T9863" cm="1">
        <f t="array" ref="T9863">IF(OR(B9863="MAL ALIMI", B9863="ÜRETİM GİRİŞ"), MIN(I9863, MAX(0, I9863 + SUM(SUMIFS($I$1:I9862, $C$1:C9862, C9863, $B$1:B9862, {"MAL ALIMI","ÜRETİM GİRİŞ"})) - VLOOKUP(C9863, 'STOK RAPORU'!$C$2:$I$1000, 4, 0))), 0)</f>
        <v>0</v>
      </c>
      <c r="U9863" s="22">
        <f t="shared" si="716"/>
        <v>0</v>
      </c>
      <c r="V9863">
        <f t="shared" si="717"/>
        <v>0</v>
      </c>
      <c r="W9863" s="22">
        <f t="shared" si="718"/>
        <v>0</v>
      </c>
    </row>
    <row r="9864" spans="1:23" hidden="1" x14ac:dyDescent="0.25">
      <c r="A9864" s="4"/>
      <c r="B9864" s="4"/>
      <c r="C9864" s="4"/>
      <c r="D9864" s="4"/>
      <c r="E9864" s="4"/>
      <c r="F9864" s="4"/>
      <c r="G9864" s="4"/>
      <c r="H9864" s="4"/>
      <c r="I9864" s="4"/>
      <c r="J9864" s="21">
        <f>IFERROR(VLOOKUP(C9864,'STOK KARTLARI'!$C$2:$K$2150,8,0),0)</f>
        <v>0</v>
      </c>
      <c r="K9864" s="21">
        <f t="shared" si="719"/>
        <v>0</v>
      </c>
      <c r="L9864" s="5">
        <f t="shared" si="721"/>
        <v>0</v>
      </c>
      <c r="M9864" s="4"/>
      <c r="N9864" s="4"/>
      <c r="O9864" s="5"/>
      <c r="P9864" s="5"/>
      <c r="Q9864" s="21">
        <f t="shared" si="722"/>
        <v>0</v>
      </c>
      <c r="R9864" s="21">
        <f t="shared" si="720"/>
        <v>0</v>
      </c>
      <c r="S9864" s="5">
        <f t="shared" si="723"/>
        <v>70007.077158325032</v>
      </c>
      <c r="T9864" cm="1">
        <f t="array" ref="T9864">IF(OR(B9864="MAL ALIMI", B9864="ÜRETİM GİRİŞ"), MIN(I9864, MAX(0, I9864 + SUM(SUMIFS($I$1:I9863, $C$1:C9863, C9864, $B$1:B9863, {"MAL ALIMI","ÜRETİM GİRİŞ"})) - VLOOKUP(C9864, 'STOK RAPORU'!$C$2:$I$1000, 4, 0))), 0)</f>
        <v>0</v>
      </c>
      <c r="U9864" s="22">
        <f t="shared" si="716"/>
        <v>0</v>
      </c>
      <c r="V9864">
        <f t="shared" si="717"/>
        <v>0</v>
      </c>
      <c r="W9864" s="22">
        <f t="shared" si="718"/>
        <v>0</v>
      </c>
    </row>
    <row r="9865" spans="1:23" hidden="1" x14ac:dyDescent="0.25">
      <c r="A9865" s="4"/>
      <c r="B9865" s="4"/>
      <c r="C9865" s="4"/>
      <c r="D9865" s="4"/>
      <c r="E9865" s="4"/>
      <c r="F9865" s="4"/>
      <c r="G9865" s="4"/>
      <c r="H9865" s="4"/>
      <c r="I9865" s="4"/>
      <c r="J9865" s="21">
        <f>IFERROR(VLOOKUP(C9865,'STOK KARTLARI'!$C$2:$K$2150,8,0),0)</f>
        <v>0</v>
      </c>
      <c r="K9865" s="21">
        <f t="shared" si="719"/>
        <v>0</v>
      </c>
      <c r="L9865" s="5">
        <f t="shared" si="721"/>
        <v>0</v>
      </c>
      <c r="M9865" s="4"/>
      <c r="N9865" s="4"/>
      <c r="O9865" s="5"/>
      <c r="P9865" s="5"/>
      <c r="Q9865" s="21">
        <f t="shared" si="722"/>
        <v>0</v>
      </c>
      <c r="R9865" s="21">
        <f t="shared" si="720"/>
        <v>0</v>
      </c>
      <c r="S9865" s="5">
        <f t="shared" si="723"/>
        <v>70007.077158325032</v>
      </c>
      <c r="T9865" cm="1">
        <f t="array" ref="T9865">IF(OR(B9865="MAL ALIMI", B9865="ÜRETİM GİRİŞ"), MIN(I9865, MAX(0, I9865 + SUM(SUMIFS($I$1:I9864, $C$1:C9864, C9865, $B$1:B9864, {"MAL ALIMI","ÜRETİM GİRİŞ"})) - VLOOKUP(C9865, 'STOK RAPORU'!$C$2:$I$1000, 4, 0))), 0)</f>
        <v>0</v>
      </c>
      <c r="U9865" s="22">
        <f t="shared" si="716"/>
        <v>0</v>
      </c>
      <c r="V9865">
        <f t="shared" si="717"/>
        <v>0</v>
      </c>
      <c r="W9865" s="22">
        <f t="shared" si="718"/>
        <v>0</v>
      </c>
    </row>
    <row r="9866" spans="1:23" hidden="1" x14ac:dyDescent="0.25">
      <c r="A9866" s="3"/>
      <c r="B9866" s="4"/>
      <c r="C9866" s="4"/>
      <c r="D9866" s="4"/>
      <c r="E9866" s="4"/>
      <c r="F9866" s="4"/>
      <c r="G9866" s="4"/>
      <c r="H9866" s="4"/>
      <c r="I9866" s="4"/>
      <c r="J9866" s="21">
        <f>IFERROR(VLOOKUP(C9866,'STOK KARTLARI'!$C$2:$K$2150,8,0),0)</f>
        <v>0</v>
      </c>
      <c r="K9866" s="21">
        <f t="shared" si="719"/>
        <v>0</v>
      </c>
      <c r="L9866" s="5">
        <f t="shared" si="721"/>
        <v>0</v>
      </c>
      <c r="M9866" s="4"/>
      <c r="N9866" s="4"/>
      <c r="O9866" s="5"/>
      <c r="P9866" s="5"/>
      <c r="Q9866" s="21">
        <f t="shared" si="722"/>
        <v>0</v>
      </c>
      <c r="R9866" s="21">
        <f t="shared" si="720"/>
        <v>0</v>
      </c>
      <c r="S9866" s="5">
        <f t="shared" si="723"/>
        <v>70007.077158325032</v>
      </c>
      <c r="T9866" cm="1">
        <f t="array" ref="T9866">IF(OR(B9866="MAL ALIMI", B9866="ÜRETİM GİRİŞ"), MIN(I9866, MAX(0, I9866 + SUM(SUMIFS($I$1:I9865, $C$1:C9865, C9866, $B$1:B9865, {"MAL ALIMI","ÜRETİM GİRİŞ"})) - VLOOKUP(C9866, 'STOK RAPORU'!$C$2:$I$1000, 4, 0))), 0)</f>
        <v>0</v>
      </c>
      <c r="U9866" s="22">
        <f t="shared" si="716"/>
        <v>0</v>
      </c>
      <c r="V9866">
        <f t="shared" si="717"/>
        <v>0</v>
      </c>
      <c r="W9866" s="22">
        <f t="shared" si="718"/>
        <v>0</v>
      </c>
    </row>
    <row r="9867" spans="1:23" hidden="1" x14ac:dyDescent="0.25">
      <c r="A9867" s="4"/>
      <c r="B9867" s="4"/>
      <c r="C9867" s="4"/>
      <c r="D9867" s="4"/>
      <c r="E9867" s="4"/>
      <c r="F9867" s="4"/>
      <c r="G9867" s="4"/>
      <c r="H9867" s="4"/>
      <c r="I9867" s="4"/>
      <c r="J9867" s="21">
        <f>IFERROR(VLOOKUP(C9867,'STOK KARTLARI'!$C$2:$K$2150,8,0),0)</f>
        <v>0</v>
      </c>
      <c r="K9867" s="21">
        <f t="shared" si="719"/>
        <v>0</v>
      </c>
      <c r="L9867" s="5">
        <f t="shared" si="721"/>
        <v>0</v>
      </c>
      <c r="M9867" s="4"/>
      <c r="N9867" s="4"/>
      <c r="O9867" s="5"/>
      <c r="P9867" s="5"/>
      <c r="Q9867" s="21">
        <f t="shared" si="722"/>
        <v>0</v>
      </c>
      <c r="R9867" s="21">
        <f t="shared" si="720"/>
        <v>0</v>
      </c>
      <c r="S9867" s="5">
        <f t="shared" si="723"/>
        <v>70007.077158325032</v>
      </c>
      <c r="T9867" cm="1">
        <f t="array" ref="T9867">IF(OR(B9867="MAL ALIMI", B9867="ÜRETİM GİRİŞ"), MIN(I9867, MAX(0, I9867 + SUM(SUMIFS($I$1:I9866, $C$1:C9866, C9867, $B$1:B9866, {"MAL ALIMI","ÜRETİM GİRİŞ"})) - VLOOKUP(C9867, 'STOK RAPORU'!$C$2:$I$1000, 4, 0))), 0)</f>
        <v>0</v>
      </c>
      <c r="U9867" s="22">
        <f t="shared" si="716"/>
        <v>0</v>
      </c>
      <c r="V9867">
        <f t="shared" si="717"/>
        <v>0</v>
      </c>
      <c r="W9867" s="22">
        <f t="shared" si="718"/>
        <v>0</v>
      </c>
    </row>
    <row r="9868" spans="1:23" hidden="1" x14ac:dyDescent="0.25">
      <c r="A9868" s="4"/>
      <c r="B9868" s="4"/>
      <c r="C9868" s="4"/>
      <c r="D9868" s="4"/>
      <c r="E9868" s="4"/>
      <c r="F9868" s="4"/>
      <c r="G9868" s="4"/>
      <c r="H9868" s="4"/>
      <c r="I9868" s="4"/>
      <c r="J9868" s="21">
        <f>IFERROR(VLOOKUP(C9868,'STOK KARTLARI'!$C$2:$K$2150,8,0),0)</f>
        <v>0</v>
      </c>
      <c r="K9868" s="21">
        <f t="shared" si="719"/>
        <v>0</v>
      </c>
      <c r="L9868" s="5">
        <f t="shared" si="721"/>
        <v>0</v>
      </c>
      <c r="M9868" s="4"/>
      <c r="N9868" s="4"/>
      <c r="O9868" s="5"/>
      <c r="P9868" s="5"/>
      <c r="Q9868" s="21">
        <f t="shared" si="722"/>
        <v>0</v>
      </c>
      <c r="R9868" s="21">
        <f t="shared" si="720"/>
        <v>0</v>
      </c>
      <c r="S9868" s="5">
        <f t="shared" si="723"/>
        <v>70007.077158325032</v>
      </c>
      <c r="T9868" cm="1">
        <f t="array" ref="T9868">IF(OR(B9868="MAL ALIMI", B9868="ÜRETİM GİRİŞ"), MIN(I9868, MAX(0, I9868 + SUM(SUMIFS($I$1:I9867, $C$1:C9867, C9868, $B$1:B9867, {"MAL ALIMI","ÜRETİM GİRİŞ"})) - VLOOKUP(C9868, 'STOK RAPORU'!$C$2:$I$1000, 4, 0))), 0)</f>
        <v>0</v>
      </c>
      <c r="U9868" s="22">
        <f t="shared" si="716"/>
        <v>0</v>
      </c>
      <c r="V9868">
        <f t="shared" si="717"/>
        <v>0</v>
      </c>
      <c r="W9868" s="22">
        <f t="shared" si="718"/>
        <v>0</v>
      </c>
    </row>
    <row r="9869" spans="1:23" hidden="1" x14ac:dyDescent="0.25">
      <c r="A9869" s="4"/>
      <c r="B9869" s="4"/>
      <c r="C9869" s="4"/>
      <c r="D9869" s="4"/>
      <c r="E9869" s="4"/>
      <c r="F9869" s="4"/>
      <c r="G9869" s="4"/>
      <c r="H9869" s="4"/>
      <c r="I9869" s="4"/>
      <c r="J9869" s="21">
        <f>IFERROR(VLOOKUP(C9869,'STOK KARTLARI'!$C$2:$K$2150,8,0),0)</f>
        <v>0</v>
      </c>
      <c r="K9869" s="21">
        <f t="shared" si="719"/>
        <v>0</v>
      </c>
      <c r="L9869" s="5">
        <f t="shared" si="721"/>
        <v>0</v>
      </c>
      <c r="M9869" s="4"/>
      <c r="N9869" s="4"/>
      <c r="O9869" s="5"/>
      <c r="P9869" s="5"/>
      <c r="Q9869" s="21">
        <f t="shared" si="722"/>
        <v>0</v>
      </c>
      <c r="R9869" s="21">
        <f t="shared" si="720"/>
        <v>0</v>
      </c>
      <c r="S9869" s="5">
        <f t="shared" si="723"/>
        <v>70007.077158325032</v>
      </c>
      <c r="T9869" cm="1">
        <f t="array" ref="T9869">IF(OR(B9869="MAL ALIMI", B9869="ÜRETİM GİRİŞ"), MIN(I9869, MAX(0, I9869 + SUM(SUMIFS($I$1:I9868, $C$1:C9868, C9869, $B$1:B9868, {"MAL ALIMI","ÜRETİM GİRİŞ"})) - VLOOKUP(C9869, 'STOK RAPORU'!$C$2:$I$1000, 4, 0))), 0)</f>
        <v>0</v>
      </c>
      <c r="U9869" s="22">
        <f t="shared" si="716"/>
        <v>0</v>
      </c>
      <c r="V9869">
        <f t="shared" si="717"/>
        <v>0</v>
      </c>
      <c r="W9869" s="22">
        <f t="shared" si="718"/>
        <v>0</v>
      </c>
    </row>
    <row r="9870" spans="1:23" hidden="1" x14ac:dyDescent="0.25">
      <c r="A9870" s="4"/>
      <c r="B9870" s="4"/>
      <c r="C9870" s="4"/>
      <c r="D9870" s="4"/>
      <c r="E9870" s="4"/>
      <c r="F9870" s="4"/>
      <c r="G9870" s="4"/>
      <c r="H9870" s="4"/>
      <c r="I9870" s="4"/>
      <c r="J9870" s="21">
        <f>IFERROR(VLOOKUP(C9870,'STOK KARTLARI'!$C$2:$K$2150,8,0),0)</f>
        <v>0</v>
      </c>
      <c r="K9870" s="21">
        <f t="shared" si="719"/>
        <v>0</v>
      </c>
      <c r="L9870" s="5">
        <f t="shared" si="721"/>
        <v>0</v>
      </c>
      <c r="M9870" s="4"/>
      <c r="N9870" s="4"/>
      <c r="O9870" s="5"/>
      <c r="P9870" s="5"/>
      <c r="Q9870" s="21">
        <f t="shared" si="722"/>
        <v>0</v>
      </c>
      <c r="R9870" s="21">
        <f t="shared" si="720"/>
        <v>0</v>
      </c>
      <c r="S9870" s="5">
        <f t="shared" si="723"/>
        <v>70007.077158325032</v>
      </c>
      <c r="T9870" cm="1">
        <f t="array" ref="T9870">IF(OR(B9870="MAL ALIMI", B9870="ÜRETİM GİRİŞ"), MIN(I9870, MAX(0, I9870 + SUM(SUMIFS($I$1:I9869, $C$1:C9869, C9870, $B$1:B9869, {"MAL ALIMI","ÜRETİM GİRİŞ"})) - VLOOKUP(C9870, 'STOK RAPORU'!$C$2:$I$1000, 4, 0))), 0)</f>
        <v>0</v>
      </c>
      <c r="U9870" s="22">
        <f t="shared" si="716"/>
        <v>0</v>
      </c>
      <c r="V9870">
        <f t="shared" si="717"/>
        <v>0</v>
      </c>
      <c r="W9870" s="22">
        <f t="shared" si="718"/>
        <v>0</v>
      </c>
    </row>
    <row r="9871" spans="1:23" hidden="1" x14ac:dyDescent="0.25">
      <c r="A9871" s="4"/>
      <c r="B9871" s="4"/>
      <c r="C9871" s="4"/>
      <c r="D9871" s="4"/>
      <c r="E9871" s="4"/>
      <c r="F9871" s="4"/>
      <c r="G9871" s="4"/>
      <c r="H9871" s="4"/>
      <c r="I9871" s="4"/>
      <c r="J9871" s="21">
        <f>IFERROR(VLOOKUP(C9871,'STOK KARTLARI'!$C$2:$K$2150,8,0),0)</f>
        <v>0</v>
      </c>
      <c r="K9871" s="21">
        <f t="shared" si="719"/>
        <v>0</v>
      </c>
      <c r="L9871" s="5">
        <f t="shared" si="721"/>
        <v>0</v>
      </c>
      <c r="M9871" s="4"/>
      <c r="N9871" s="4"/>
      <c r="O9871" s="5"/>
      <c r="P9871" s="5"/>
      <c r="Q9871" s="21">
        <f t="shared" si="722"/>
        <v>0</v>
      </c>
      <c r="R9871" s="21">
        <f t="shared" si="720"/>
        <v>0</v>
      </c>
      <c r="S9871" s="5">
        <f t="shared" si="723"/>
        <v>70007.077158325032</v>
      </c>
      <c r="T9871" cm="1">
        <f t="array" ref="T9871">IF(OR(B9871="MAL ALIMI", B9871="ÜRETİM GİRİŞ"), MIN(I9871, MAX(0, I9871 + SUM(SUMIFS($I$1:I9870, $C$1:C9870, C9871, $B$1:B9870, {"MAL ALIMI","ÜRETİM GİRİŞ"})) - VLOOKUP(C9871, 'STOK RAPORU'!$C$2:$I$1000, 4, 0))), 0)</f>
        <v>0</v>
      </c>
      <c r="U9871" s="22">
        <f t="shared" si="716"/>
        <v>0</v>
      </c>
      <c r="V9871">
        <f t="shared" si="717"/>
        <v>0</v>
      </c>
      <c r="W9871" s="22">
        <f t="shared" si="718"/>
        <v>0</v>
      </c>
    </row>
    <row r="9872" spans="1:23" hidden="1" x14ac:dyDescent="0.25">
      <c r="A9872" s="4"/>
      <c r="B9872" s="4"/>
      <c r="C9872" s="4"/>
      <c r="D9872" s="4"/>
      <c r="E9872" s="4"/>
      <c r="F9872" s="4"/>
      <c r="G9872" s="4"/>
      <c r="H9872" s="4"/>
      <c r="I9872" s="4"/>
      <c r="J9872" s="21">
        <f>IFERROR(VLOOKUP(C9872,'STOK KARTLARI'!$C$2:$K$2150,8,0),0)</f>
        <v>0</v>
      </c>
      <c r="K9872" s="21">
        <f t="shared" si="719"/>
        <v>0</v>
      </c>
      <c r="L9872" s="5">
        <f t="shared" si="721"/>
        <v>0</v>
      </c>
      <c r="M9872" s="4"/>
      <c r="N9872" s="4"/>
      <c r="O9872" s="5"/>
      <c r="P9872" s="5"/>
      <c r="Q9872" s="21">
        <f t="shared" si="722"/>
        <v>0</v>
      </c>
      <c r="R9872" s="21">
        <f t="shared" si="720"/>
        <v>0</v>
      </c>
      <c r="S9872" s="5">
        <f t="shared" si="723"/>
        <v>70007.077158325032</v>
      </c>
      <c r="T9872" cm="1">
        <f t="array" ref="T9872">IF(OR(B9872="MAL ALIMI", B9872="ÜRETİM GİRİŞ"), MIN(I9872, MAX(0, I9872 + SUM(SUMIFS($I$1:I9871, $C$1:C9871, C9872, $B$1:B9871, {"MAL ALIMI","ÜRETİM GİRİŞ"})) - VLOOKUP(C9872, 'STOK RAPORU'!$C$2:$I$1000, 4, 0))), 0)</f>
        <v>0</v>
      </c>
      <c r="U9872" s="22">
        <f t="shared" si="716"/>
        <v>0</v>
      </c>
      <c r="V9872">
        <f t="shared" si="717"/>
        <v>0</v>
      </c>
      <c r="W9872" s="22">
        <f t="shared" si="718"/>
        <v>0</v>
      </c>
    </row>
    <row r="9873" spans="1:23" hidden="1" x14ac:dyDescent="0.25">
      <c r="A9873" s="3"/>
      <c r="B9873" s="4"/>
      <c r="C9873" s="4"/>
      <c r="D9873" s="4"/>
      <c r="E9873" s="4"/>
      <c r="F9873" s="4"/>
      <c r="G9873" s="4"/>
      <c r="H9873" s="4"/>
      <c r="I9873" s="4"/>
      <c r="J9873" s="21">
        <f>IFERROR(VLOOKUP(C9873,'STOK KARTLARI'!$C$2:$K$2150,8,0),0)</f>
        <v>0</v>
      </c>
      <c r="K9873" s="21">
        <f t="shared" si="719"/>
        <v>0</v>
      </c>
      <c r="L9873" s="5">
        <f t="shared" si="721"/>
        <v>0</v>
      </c>
      <c r="M9873" s="4"/>
      <c r="N9873" s="4"/>
      <c r="O9873" s="5"/>
      <c r="P9873" s="5"/>
      <c r="Q9873" s="21">
        <f t="shared" si="722"/>
        <v>0</v>
      </c>
      <c r="R9873" s="21">
        <f t="shared" si="720"/>
        <v>0</v>
      </c>
      <c r="S9873" s="5">
        <f t="shared" si="723"/>
        <v>70007.077158325032</v>
      </c>
      <c r="T9873" cm="1">
        <f t="array" ref="T9873">IF(OR(B9873="MAL ALIMI", B9873="ÜRETİM GİRİŞ"), MIN(I9873, MAX(0, I9873 + SUM(SUMIFS($I$1:I9872, $C$1:C9872, C9873, $B$1:B9872, {"MAL ALIMI","ÜRETİM GİRİŞ"})) - VLOOKUP(C9873, 'STOK RAPORU'!$C$2:$I$1000, 4, 0))), 0)</f>
        <v>0</v>
      </c>
      <c r="U9873" s="22">
        <f t="shared" si="716"/>
        <v>0</v>
      </c>
      <c r="V9873">
        <f t="shared" si="717"/>
        <v>0</v>
      </c>
      <c r="W9873" s="22">
        <f t="shared" si="718"/>
        <v>0</v>
      </c>
    </row>
    <row r="9874" spans="1:23" hidden="1" x14ac:dyDescent="0.25">
      <c r="A9874" s="4"/>
      <c r="B9874" s="4"/>
      <c r="C9874" s="4"/>
      <c r="D9874" s="4"/>
      <c r="E9874" s="4"/>
      <c r="F9874" s="4"/>
      <c r="G9874" s="4"/>
      <c r="H9874" s="4"/>
      <c r="I9874" s="4"/>
      <c r="J9874" s="21">
        <f>IFERROR(VLOOKUP(C9874,'STOK KARTLARI'!$C$2:$K$2150,8,0),0)</f>
        <v>0</v>
      </c>
      <c r="K9874" s="21">
        <f t="shared" si="719"/>
        <v>0</v>
      </c>
      <c r="L9874" s="5">
        <f t="shared" si="721"/>
        <v>0</v>
      </c>
      <c r="M9874" s="4"/>
      <c r="N9874" s="4"/>
      <c r="O9874" s="5"/>
      <c r="P9874" s="5"/>
      <c r="Q9874" s="21">
        <f t="shared" si="722"/>
        <v>0</v>
      </c>
      <c r="R9874" s="21">
        <f t="shared" si="720"/>
        <v>0</v>
      </c>
      <c r="S9874" s="5">
        <f t="shared" si="723"/>
        <v>70007.077158325032</v>
      </c>
      <c r="T9874" cm="1">
        <f t="array" ref="T9874">IF(OR(B9874="MAL ALIMI", B9874="ÜRETİM GİRİŞ"), MIN(I9874, MAX(0, I9874 + SUM(SUMIFS($I$1:I9873, $C$1:C9873, C9874, $B$1:B9873, {"MAL ALIMI","ÜRETİM GİRİŞ"})) - VLOOKUP(C9874, 'STOK RAPORU'!$C$2:$I$1000, 4, 0))), 0)</f>
        <v>0</v>
      </c>
      <c r="U9874" s="22">
        <f t="shared" si="716"/>
        <v>0</v>
      </c>
      <c r="V9874">
        <f t="shared" si="717"/>
        <v>0</v>
      </c>
      <c r="W9874" s="22">
        <f t="shared" si="718"/>
        <v>0</v>
      </c>
    </row>
    <row r="9875" spans="1:23" hidden="1" x14ac:dyDescent="0.25">
      <c r="A9875" s="4"/>
      <c r="B9875" s="4"/>
      <c r="C9875" s="4"/>
      <c r="D9875" s="4"/>
      <c r="E9875" s="4"/>
      <c r="F9875" s="4"/>
      <c r="G9875" s="4"/>
      <c r="H9875" s="4"/>
      <c r="I9875" s="4"/>
      <c r="J9875" s="21">
        <f>IFERROR(VLOOKUP(C9875,'STOK KARTLARI'!$C$2:$K$2150,8,0),0)</f>
        <v>0</v>
      </c>
      <c r="K9875" s="21">
        <f t="shared" si="719"/>
        <v>0</v>
      </c>
      <c r="L9875" s="5">
        <f t="shared" si="721"/>
        <v>0</v>
      </c>
      <c r="M9875" s="4"/>
      <c r="N9875" s="4"/>
      <c r="O9875" s="5"/>
      <c r="P9875" s="5"/>
      <c r="Q9875" s="21">
        <f t="shared" si="722"/>
        <v>0</v>
      </c>
      <c r="R9875" s="21">
        <f t="shared" si="720"/>
        <v>0</v>
      </c>
      <c r="S9875" s="5">
        <f t="shared" si="723"/>
        <v>70007.077158325032</v>
      </c>
      <c r="T9875" cm="1">
        <f t="array" ref="T9875">IF(OR(B9875="MAL ALIMI", B9875="ÜRETİM GİRİŞ"), MIN(I9875, MAX(0, I9875 + SUM(SUMIFS($I$1:I9874, $C$1:C9874, C9875, $B$1:B9874, {"MAL ALIMI","ÜRETİM GİRİŞ"})) - VLOOKUP(C9875, 'STOK RAPORU'!$C$2:$I$1000, 4, 0))), 0)</f>
        <v>0</v>
      </c>
      <c r="U9875" s="22">
        <f t="shared" si="716"/>
        <v>0</v>
      </c>
      <c r="V9875">
        <f t="shared" si="717"/>
        <v>0</v>
      </c>
      <c r="W9875" s="22">
        <f t="shared" si="718"/>
        <v>0</v>
      </c>
    </row>
    <row r="9876" spans="1:23" hidden="1" x14ac:dyDescent="0.25">
      <c r="A9876" s="4"/>
      <c r="B9876" s="4"/>
      <c r="C9876" s="4"/>
      <c r="D9876" s="4"/>
      <c r="E9876" s="4"/>
      <c r="F9876" s="4"/>
      <c r="G9876" s="4"/>
      <c r="H9876" s="4"/>
      <c r="I9876" s="4"/>
      <c r="J9876" s="21">
        <f>IFERROR(VLOOKUP(C9876,'STOK KARTLARI'!$C$2:$K$2150,8,0),0)</f>
        <v>0</v>
      </c>
      <c r="K9876" s="21">
        <f t="shared" si="719"/>
        <v>0</v>
      </c>
      <c r="L9876" s="5">
        <f t="shared" si="721"/>
        <v>0</v>
      </c>
      <c r="M9876" s="4"/>
      <c r="N9876" s="4"/>
      <c r="O9876" s="5"/>
      <c r="P9876" s="5"/>
      <c r="Q9876" s="21">
        <f t="shared" si="722"/>
        <v>0</v>
      </c>
      <c r="R9876" s="21">
        <f t="shared" si="720"/>
        <v>0</v>
      </c>
      <c r="S9876" s="5">
        <f t="shared" si="723"/>
        <v>70007.077158325032</v>
      </c>
      <c r="T9876" cm="1">
        <f t="array" ref="T9876">IF(OR(B9876="MAL ALIMI", B9876="ÜRETİM GİRİŞ"), MIN(I9876, MAX(0, I9876 + SUM(SUMIFS($I$1:I9875, $C$1:C9875, C9876, $B$1:B9875, {"MAL ALIMI","ÜRETİM GİRİŞ"})) - VLOOKUP(C9876, 'STOK RAPORU'!$C$2:$I$1000, 4, 0))), 0)</f>
        <v>0</v>
      </c>
      <c r="U9876" s="22">
        <f t="shared" si="716"/>
        <v>0</v>
      </c>
      <c r="V9876">
        <f t="shared" si="717"/>
        <v>0</v>
      </c>
      <c r="W9876" s="22">
        <f t="shared" si="718"/>
        <v>0</v>
      </c>
    </row>
    <row r="9877" spans="1:23" hidden="1" x14ac:dyDescent="0.25">
      <c r="A9877" s="4"/>
      <c r="B9877" s="4"/>
      <c r="C9877" s="4"/>
      <c r="D9877" s="4"/>
      <c r="E9877" s="4"/>
      <c r="F9877" s="4"/>
      <c r="G9877" s="4"/>
      <c r="H9877" s="4"/>
      <c r="I9877" s="4"/>
      <c r="J9877" s="21">
        <f>IFERROR(VLOOKUP(C9877,'STOK KARTLARI'!$C$2:$K$2150,8,0),0)</f>
        <v>0</v>
      </c>
      <c r="K9877" s="21">
        <f t="shared" si="719"/>
        <v>0</v>
      </c>
      <c r="L9877" s="5">
        <f t="shared" si="721"/>
        <v>0</v>
      </c>
      <c r="M9877" s="4"/>
      <c r="N9877" s="4"/>
      <c r="O9877" s="5"/>
      <c r="P9877" s="5"/>
      <c r="Q9877" s="21">
        <f t="shared" si="722"/>
        <v>0</v>
      </c>
      <c r="R9877" s="21">
        <f t="shared" si="720"/>
        <v>0</v>
      </c>
      <c r="S9877" s="5">
        <f t="shared" si="723"/>
        <v>70007.077158325032</v>
      </c>
      <c r="T9877" cm="1">
        <f t="array" ref="T9877">IF(OR(B9877="MAL ALIMI", B9877="ÜRETİM GİRİŞ"), MIN(I9877, MAX(0, I9877 + SUM(SUMIFS($I$1:I9876, $C$1:C9876, C9877, $B$1:B9876, {"MAL ALIMI","ÜRETİM GİRİŞ"})) - VLOOKUP(C9877, 'STOK RAPORU'!$C$2:$I$1000, 4, 0))), 0)</f>
        <v>0</v>
      </c>
      <c r="U9877" s="22">
        <f t="shared" si="716"/>
        <v>0</v>
      </c>
      <c r="V9877">
        <f t="shared" si="717"/>
        <v>0</v>
      </c>
      <c r="W9877" s="22">
        <f t="shared" si="718"/>
        <v>0</v>
      </c>
    </row>
    <row r="9878" spans="1:23" hidden="1" x14ac:dyDescent="0.25">
      <c r="A9878" s="4"/>
      <c r="B9878" s="4"/>
      <c r="C9878" s="4"/>
      <c r="D9878" s="4"/>
      <c r="E9878" s="4"/>
      <c r="F9878" s="4"/>
      <c r="G9878" s="4"/>
      <c r="H9878" s="4"/>
      <c r="I9878" s="4"/>
      <c r="J9878" s="21">
        <f>IFERROR(VLOOKUP(C9878,'STOK KARTLARI'!$C$2:$K$2150,8,0),0)</f>
        <v>0</v>
      </c>
      <c r="K9878" s="21">
        <f t="shared" si="719"/>
        <v>0</v>
      </c>
      <c r="L9878" s="5">
        <f t="shared" si="721"/>
        <v>0</v>
      </c>
      <c r="M9878" s="4"/>
      <c r="N9878" s="4"/>
      <c r="O9878" s="5"/>
      <c r="P9878" s="5"/>
      <c r="Q9878" s="21">
        <f t="shared" si="722"/>
        <v>0</v>
      </c>
      <c r="R9878" s="21">
        <f t="shared" si="720"/>
        <v>0</v>
      </c>
      <c r="S9878" s="5">
        <f t="shared" si="723"/>
        <v>70007.077158325032</v>
      </c>
      <c r="T9878" cm="1">
        <f t="array" ref="T9878">IF(OR(B9878="MAL ALIMI", B9878="ÜRETİM GİRİŞ"), MIN(I9878, MAX(0, I9878 + SUM(SUMIFS($I$1:I9877, $C$1:C9877, C9878, $B$1:B9877, {"MAL ALIMI","ÜRETİM GİRİŞ"})) - VLOOKUP(C9878, 'STOK RAPORU'!$C$2:$I$1000, 4, 0))), 0)</f>
        <v>0</v>
      </c>
      <c r="U9878" s="22">
        <f t="shared" si="716"/>
        <v>0</v>
      </c>
      <c r="V9878">
        <f t="shared" si="717"/>
        <v>0</v>
      </c>
      <c r="W9878" s="22">
        <f t="shared" si="718"/>
        <v>0</v>
      </c>
    </row>
    <row r="9879" spans="1:23" hidden="1" x14ac:dyDescent="0.25">
      <c r="A9879" s="4"/>
      <c r="B9879" s="4"/>
      <c r="C9879" s="4"/>
      <c r="D9879" s="4"/>
      <c r="E9879" s="4"/>
      <c r="F9879" s="4"/>
      <c r="G9879" s="4"/>
      <c r="H9879" s="4"/>
      <c r="I9879" s="4"/>
      <c r="J9879" s="21">
        <f>IFERROR(VLOOKUP(C9879,'STOK KARTLARI'!$C$2:$K$2150,8,0),0)</f>
        <v>0</v>
      </c>
      <c r="K9879" s="21">
        <f t="shared" si="719"/>
        <v>0</v>
      </c>
      <c r="L9879" s="5">
        <f t="shared" si="721"/>
        <v>0</v>
      </c>
      <c r="M9879" s="4"/>
      <c r="N9879" s="4"/>
      <c r="O9879" s="5"/>
      <c r="P9879" s="5"/>
      <c r="Q9879" s="21">
        <f t="shared" si="722"/>
        <v>0</v>
      </c>
      <c r="R9879" s="21">
        <f t="shared" si="720"/>
        <v>0</v>
      </c>
      <c r="S9879" s="5">
        <f t="shared" si="723"/>
        <v>70007.077158325032</v>
      </c>
      <c r="T9879" cm="1">
        <f t="array" ref="T9879">IF(OR(B9879="MAL ALIMI", B9879="ÜRETİM GİRİŞ"), MIN(I9879, MAX(0, I9879 + SUM(SUMIFS($I$1:I9878, $C$1:C9878, C9879, $B$1:B9878, {"MAL ALIMI","ÜRETİM GİRİŞ"})) - VLOOKUP(C9879, 'STOK RAPORU'!$C$2:$I$1000, 4, 0))), 0)</f>
        <v>0</v>
      </c>
      <c r="U9879" s="22">
        <f t="shared" si="716"/>
        <v>0</v>
      </c>
      <c r="V9879">
        <f t="shared" si="717"/>
        <v>0</v>
      </c>
      <c r="W9879" s="22">
        <f t="shared" si="718"/>
        <v>0</v>
      </c>
    </row>
    <row r="9880" spans="1:23" hidden="1" x14ac:dyDescent="0.25">
      <c r="A9880" s="3"/>
      <c r="B9880" s="4"/>
      <c r="C9880" s="4"/>
      <c r="D9880" s="4"/>
      <c r="E9880" s="4"/>
      <c r="F9880" s="4"/>
      <c r="G9880" s="4"/>
      <c r="H9880" s="4"/>
      <c r="I9880" s="4"/>
      <c r="J9880" s="21">
        <f>IFERROR(VLOOKUP(C9880,'STOK KARTLARI'!$C$2:$K$2150,8,0),0)</f>
        <v>0</v>
      </c>
      <c r="K9880" s="21">
        <f t="shared" si="719"/>
        <v>0</v>
      </c>
      <c r="L9880" s="5">
        <f t="shared" si="721"/>
        <v>0</v>
      </c>
      <c r="M9880" s="4"/>
      <c r="N9880" s="4"/>
      <c r="O9880" s="5"/>
      <c r="P9880" s="5"/>
      <c r="Q9880" s="21">
        <f t="shared" si="722"/>
        <v>0</v>
      </c>
      <c r="R9880" s="21">
        <f t="shared" si="720"/>
        <v>0</v>
      </c>
      <c r="S9880" s="5">
        <f t="shared" si="723"/>
        <v>70007.077158325032</v>
      </c>
      <c r="T9880" cm="1">
        <f t="array" ref="T9880">IF(OR(B9880="MAL ALIMI", B9880="ÜRETİM GİRİŞ"), MIN(I9880, MAX(0, I9880 + SUM(SUMIFS($I$1:I9879, $C$1:C9879, C9880, $B$1:B9879, {"MAL ALIMI","ÜRETİM GİRİŞ"})) - VLOOKUP(C9880, 'STOK RAPORU'!$C$2:$I$1000, 4, 0))), 0)</f>
        <v>0</v>
      </c>
      <c r="U9880" s="22">
        <f t="shared" si="716"/>
        <v>0</v>
      </c>
      <c r="V9880">
        <f t="shared" si="717"/>
        <v>0</v>
      </c>
      <c r="W9880" s="22">
        <f t="shared" si="718"/>
        <v>0</v>
      </c>
    </row>
    <row r="9881" spans="1:23" hidden="1" x14ac:dyDescent="0.25">
      <c r="A9881" s="4"/>
      <c r="B9881" s="4"/>
      <c r="C9881" s="4"/>
      <c r="D9881" s="4"/>
      <c r="E9881" s="4"/>
      <c r="F9881" s="4"/>
      <c r="G9881" s="4"/>
      <c r="H9881" s="4"/>
      <c r="I9881" s="4"/>
      <c r="J9881" s="21">
        <f>IFERROR(VLOOKUP(C9881,'STOK KARTLARI'!$C$2:$K$2150,8,0),0)</f>
        <v>0</v>
      </c>
      <c r="K9881" s="21">
        <f t="shared" si="719"/>
        <v>0</v>
      </c>
      <c r="L9881" s="5">
        <f t="shared" si="721"/>
        <v>0</v>
      </c>
      <c r="M9881" s="4"/>
      <c r="N9881" s="4"/>
      <c r="O9881" s="5"/>
      <c r="P9881" s="5"/>
      <c r="Q9881" s="21">
        <f t="shared" si="722"/>
        <v>0</v>
      </c>
      <c r="R9881" s="21">
        <f t="shared" si="720"/>
        <v>0</v>
      </c>
      <c r="S9881" s="5">
        <f t="shared" si="723"/>
        <v>70007.077158325032</v>
      </c>
      <c r="T9881" cm="1">
        <f t="array" ref="T9881">IF(OR(B9881="MAL ALIMI", B9881="ÜRETİM GİRİŞ"), MIN(I9881, MAX(0, I9881 + SUM(SUMIFS($I$1:I9880, $C$1:C9880, C9881, $B$1:B9880, {"MAL ALIMI","ÜRETİM GİRİŞ"})) - VLOOKUP(C9881, 'STOK RAPORU'!$C$2:$I$1000, 4, 0))), 0)</f>
        <v>0</v>
      </c>
      <c r="U9881" s="22">
        <f t="shared" si="716"/>
        <v>0</v>
      </c>
      <c r="V9881">
        <f t="shared" si="717"/>
        <v>0</v>
      </c>
      <c r="W9881" s="22">
        <f t="shared" si="718"/>
        <v>0</v>
      </c>
    </row>
    <row r="9882" spans="1:23" hidden="1" x14ac:dyDescent="0.25">
      <c r="A9882" s="4"/>
      <c r="B9882" s="4"/>
      <c r="C9882" s="4"/>
      <c r="D9882" s="4"/>
      <c r="E9882" s="4"/>
      <c r="F9882" s="4"/>
      <c r="G9882" s="4"/>
      <c r="H9882" s="4"/>
      <c r="I9882" s="4"/>
      <c r="J9882" s="21">
        <f>IFERROR(VLOOKUP(C9882,'STOK KARTLARI'!$C$2:$K$2150,8,0),0)</f>
        <v>0</v>
      </c>
      <c r="K9882" s="21">
        <f t="shared" si="719"/>
        <v>0</v>
      </c>
      <c r="L9882" s="5">
        <f t="shared" si="721"/>
        <v>0</v>
      </c>
      <c r="M9882" s="4"/>
      <c r="N9882" s="4"/>
      <c r="O9882" s="5"/>
      <c r="P9882" s="5"/>
      <c r="Q9882" s="21">
        <f t="shared" si="722"/>
        <v>0</v>
      </c>
      <c r="R9882" s="21">
        <f t="shared" si="720"/>
        <v>0</v>
      </c>
      <c r="S9882" s="5">
        <f t="shared" si="723"/>
        <v>70007.077158325032</v>
      </c>
      <c r="T9882" cm="1">
        <f t="array" ref="T9882">IF(OR(B9882="MAL ALIMI", B9882="ÜRETİM GİRİŞ"), MIN(I9882, MAX(0, I9882 + SUM(SUMIFS($I$1:I9881, $C$1:C9881, C9882, $B$1:B9881, {"MAL ALIMI","ÜRETİM GİRİŞ"})) - VLOOKUP(C9882, 'STOK RAPORU'!$C$2:$I$1000, 4, 0))), 0)</f>
        <v>0</v>
      </c>
      <c r="U9882" s="22">
        <f t="shared" si="716"/>
        <v>0</v>
      </c>
      <c r="V9882">
        <f t="shared" si="717"/>
        <v>0</v>
      </c>
      <c r="W9882" s="22">
        <f t="shared" si="718"/>
        <v>0</v>
      </c>
    </row>
    <row r="9883" spans="1:23" hidden="1" x14ac:dyDescent="0.25">
      <c r="A9883" s="4"/>
      <c r="B9883" s="4"/>
      <c r="C9883" s="4"/>
      <c r="D9883" s="4"/>
      <c r="E9883" s="4"/>
      <c r="F9883" s="4"/>
      <c r="G9883" s="4"/>
      <c r="H9883" s="4"/>
      <c r="I9883" s="4"/>
      <c r="J9883" s="21">
        <f>IFERROR(VLOOKUP(C9883,'STOK KARTLARI'!$C$2:$K$2150,8,0),0)</f>
        <v>0</v>
      </c>
      <c r="K9883" s="21">
        <f t="shared" si="719"/>
        <v>0</v>
      </c>
      <c r="L9883" s="5">
        <f t="shared" si="721"/>
        <v>0</v>
      </c>
      <c r="M9883" s="4"/>
      <c r="N9883" s="4"/>
      <c r="O9883" s="5"/>
      <c r="P9883" s="5"/>
      <c r="Q9883" s="21">
        <f t="shared" si="722"/>
        <v>0</v>
      </c>
      <c r="R9883" s="21">
        <f t="shared" si="720"/>
        <v>0</v>
      </c>
      <c r="S9883" s="5">
        <f t="shared" si="723"/>
        <v>70007.077158325032</v>
      </c>
      <c r="T9883" cm="1">
        <f t="array" ref="T9883">IF(OR(B9883="MAL ALIMI", B9883="ÜRETİM GİRİŞ"), MIN(I9883, MAX(0, I9883 + SUM(SUMIFS($I$1:I9882, $C$1:C9882, C9883, $B$1:B9882, {"MAL ALIMI","ÜRETİM GİRİŞ"})) - VLOOKUP(C9883, 'STOK RAPORU'!$C$2:$I$1000, 4, 0))), 0)</f>
        <v>0</v>
      </c>
      <c r="U9883" s="22">
        <f t="shared" si="716"/>
        <v>0</v>
      </c>
      <c r="V9883">
        <f t="shared" si="717"/>
        <v>0</v>
      </c>
      <c r="W9883" s="22">
        <f t="shared" si="718"/>
        <v>0</v>
      </c>
    </row>
    <row r="9884" spans="1:23" hidden="1" x14ac:dyDescent="0.25">
      <c r="A9884" s="4"/>
      <c r="B9884" s="4"/>
      <c r="C9884" s="4"/>
      <c r="D9884" s="4"/>
      <c r="E9884" s="4"/>
      <c r="F9884" s="4"/>
      <c r="G9884" s="4"/>
      <c r="H9884" s="4"/>
      <c r="I9884" s="4"/>
      <c r="J9884" s="21">
        <f>IFERROR(VLOOKUP(C9884,'STOK KARTLARI'!$C$2:$K$2150,8,0),0)</f>
        <v>0</v>
      </c>
      <c r="K9884" s="21">
        <f t="shared" si="719"/>
        <v>0</v>
      </c>
      <c r="L9884" s="5">
        <f t="shared" si="721"/>
        <v>0</v>
      </c>
      <c r="M9884" s="4"/>
      <c r="N9884" s="4"/>
      <c r="O9884" s="5"/>
      <c r="P9884" s="5"/>
      <c r="Q9884" s="21">
        <f t="shared" si="722"/>
        <v>0</v>
      </c>
      <c r="R9884" s="21">
        <f t="shared" si="720"/>
        <v>0</v>
      </c>
      <c r="S9884" s="5">
        <f t="shared" si="723"/>
        <v>70007.077158325032</v>
      </c>
      <c r="T9884" cm="1">
        <f t="array" ref="T9884">IF(OR(B9884="MAL ALIMI", B9884="ÜRETİM GİRİŞ"), MIN(I9884, MAX(0, I9884 + SUM(SUMIFS($I$1:I9883, $C$1:C9883, C9884, $B$1:B9883, {"MAL ALIMI","ÜRETİM GİRİŞ"})) - VLOOKUP(C9884, 'STOK RAPORU'!$C$2:$I$1000, 4, 0))), 0)</f>
        <v>0</v>
      </c>
      <c r="U9884" s="22">
        <f t="shared" si="716"/>
        <v>0</v>
      </c>
      <c r="V9884">
        <f t="shared" si="717"/>
        <v>0</v>
      </c>
      <c r="W9884" s="22">
        <f t="shared" si="718"/>
        <v>0</v>
      </c>
    </row>
    <row r="9885" spans="1:23" hidden="1" x14ac:dyDescent="0.25">
      <c r="A9885" s="4"/>
      <c r="B9885" s="4"/>
      <c r="C9885" s="4"/>
      <c r="D9885" s="4"/>
      <c r="E9885" s="4"/>
      <c r="F9885" s="4"/>
      <c r="G9885" s="4"/>
      <c r="H9885" s="4"/>
      <c r="I9885" s="4"/>
      <c r="J9885" s="21">
        <f>IFERROR(VLOOKUP(C9885,'STOK KARTLARI'!$C$2:$K$2150,8,0),0)</f>
        <v>0</v>
      </c>
      <c r="K9885" s="21">
        <f t="shared" si="719"/>
        <v>0</v>
      </c>
      <c r="L9885" s="5">
        <f t="shared" si="721"/>
        <v>0</v>
      </c>
      <c r="M9885" s="4"/>
      <c r="N9885" s="4"/>
      <c r="O9885" s="5"/>
      <c r="P9885" s="5"/>
      <c r="Q9885" s="21">
        <f t="shared" si="722"/>
        <v>0</v>
      </c>
      <c r="R9885" s="21">
        <f t="shared" si="720"/>
        <v>0</v>
      </c>
      <c r="S9885" s="5">
        <f t="shared" si="723"/>
        <v>70007.077158325032</v>
      </c>
      <c r="T9885" cm="1">
        <f t="array" ref="T9885">IF(OR(B9885="MAL ALIMI", B9885="ÜRETİM GİRİŞ"), MIN(I9885, MAX(0, I9885 + SUM(SUMIFS($I$1:I9884, $C$1:C9884, C9885, $B$1:B9884, {"MAL ALIMI","ÜRETİM GİRİŞ"})) - VLOOKUP(C9885, 'STOK RAPORU'!$C$2:$I$1000, 4, 0))), 0)</f>
        <v>0</v>
      </c>
      <c r="U9885" s="22">
        <f t="shared" si="716"/>
        <v>0</v>
      </c>
      <c r="V9885">
        <f t="shared" si="717"/>
        <v>0</v>
      </c>
      <c r="W9885" s="22">
        <f t="shared" si="718"/>
        <v>0</v>
      </c>
    </row>
    <row r="9886" spans="1:23" hidden="1" x14ac:dyDescent="0.25">
      <c r="A9886" s="4"/>
      <c r="B9886" s="4"/>
      <c r="C9886" s="4"/>
      <c r="D9886" s="4"/>
      <c r="E9886" s="4"/>
      <c r="F9886" s="4"/>
      <c r="G9886" s="4"/>
      <c r="H9886" s="4"/>
      <c r="I9886" s="4"/>
      <c r="J9886" s="21">
        <f>IFERROR(VLOOKUP(C9886,'STOK KARTLARI'!$C$2:$K$2150,8,0),0)</f>
        <v>0</v>
      </c>
      <c r="K9886" s="21">
        <f t="shared" si="719"/>
        <v>0</v>
      </c>
      <c r="L9886" s="5">
        <f t="shared" si="721"/>
        <v>0</v>
      </c>
      <c r="M9886" s="4"/>
      <c r="N9886" s="4"/>
      <c r="O9886" s="5"/>
      <c r="P9886" s="5"/>
      <c r="Q9886" s="21">
        <f t="shared" si="722"/>
        <v>0</v>
      </c>
      <c r="R9886" s="21">
        <f t="shared" si="720"/>
        <v>0</v>
      </c>
      <c r="S9886" s="5">
        <f t="shared" si="723"/>
        <v>70007.077158325032</v>
      </c>
      <c r="T9886" cm="1">
        <f t="array" ref="T9886">IF(OR(B9886="MAL ALIMI", B9886="ÜRETİM GİRİŞ"), MIN(I9886, MAX(0, I9886 + SUM(SUMIFS($I$1:I9885, $C$1:C9885, C9886, $B$1:B9885, {"MAL ALIMI","ÜRETİM GİRİŞ"})) - VLOOKUP(C9886, 'STOK RAPORU'!$C$2:$I$1000, 4, 0))), 0)</f>
        <v>0</v>
      </c>
      <c r="U9886" s="22">
        <f t="shared" si="716"/>
        <v>0</v>
      </c>
      <c r="V9886">
        <f t="shared" si="717"/>
        <v>0</v>
      </c>
      <c r="W9886" s="22">
        <f t="shared" si="718"/>
        <v>0</v>
      </c>
    </row>
    <row r="9887" spans="1:23" hidden="1" x14ac:dyDescent="0.25">
      <c r="A9887" s="3"/>
      <c r="B9887" s="4"/>
      <c r="C9887" s="4"/>
      <c r="D9887" s="4"/>
      <c r="E9887" s="4"/>
      <c r="F9887" s="4"/>
      <c r="G9887" s="4"/>
      <c r="H9887" s="4"/>
      <c r="I9887" s="4"/>
      <c r="J9887" s="21">
        <f>IFERROR(VLOOKUP(C9887,'STOK KARTLARI'!$C$2:$K$2150,8,0),0)</f>
        <v>0</v>
      </c>
      <c r="K9887" s="21">
        <f t="shared" si="719"/>
        <v>0</v>
      </c>
      <c r="L9887" s="5">
        <f t="shared" si="721"/>
        <v>0</v>
      </c>
      <c r="M9887" s="4"/>
      <c r="N9887" s="4"/>
      <c r="O9887" s="5"/>
      <c r="P9887" s="5"/>
      <c r="Q9887" s="21">
        <f t="shared" si="722"/>
        <v>0</v>
      </c>
      <c r="R9887" s="21">
        <f t="shared" si="720"/>
        <v>0</v>
      </c>
      <c r="S9887" s="5">
        <f t="shared" si="723"/>
        <v>70007.077158325032</v>
      </c>
      <c r="T9887" cm="1">
        <f t="array" ref="T9887">IF(OR(B9887="MAL ALIMI", B9887="ÜRETİM GİRİŞ"), MIN(I9887, MAX(0, I9887 + SUM(SUMIFS($I$1:I9886, $C$1:C9886, C9887, $B$1:B9886, {"MAL ALIMI","ÜRETİM GİRİŞ"})) - VLOOKUP(C9887, 'STOK RAPORU'!$C$2:$I$1000, 4, 0))), 0)</f>
        <v>0</v>
      </c>
      <c r="U9887" s="22">
        <f t="shared" si="716"/>
        <v>0</v>
      </c>
      <c r="V9887">
        <f t="shared" si="717"/>
        <v>0</v>
      </c>
      <c r="W9887" s="22">
        <f t="shared" si="718"/>
        <v>0</v>
      </c>
    </row>
    <row r="9888" spans="1:23" hidden="1" x14ac:dyDescent="0.25">
      <c r="A9888" s="4"/>
      <c r="B9888" s="4"/>
      <c r="C9888" s="4"/>
      <c r="D9888" s="4"/>
      <c r="E9888" s="4"/>
      <c r="F9888" s="4"/>
      <c r="G9888" s="4"/>
      <c r="H9888" s="4"/>
      <c r="I9888" s="4"/>
      <c r="J9888" s="21">
        <f>IFERROR(VLOOKUP(C9888,'STOK KARTLARI'!$C$2:$K$2150,8,0),0)</f>
        <v>0</v>
      </c>
      <c r="K9888" s="21">
        <f t="shared" si="719"/>
        <v>0</v>
      </c>
      <c r="L9888" s="5">
        <f t="shared" si="721"/>
        <v>0</v>
      </c>
      <c r="M9888" s="4"/>
      <c r="N9888" s="4"/>
      <c r="O9888" s="5"/>
      <c r="P9888" s="5"/>
      <c r="Q9888" s="21">
        <f t="shared" si="722"/>
        <v>0</v>
      </c>
      <c r="R9888" s="21">
        <f t="shared" si="720"/>
        <v>0</v>
      </c>
      <c r="S9888" s="5">
        <f t="shared" si="723"/>
        <v>70007.077158325032</v>
      </c>
      <c r="T9888" cm="1">
        <f t="array" ref="T9888">IF(OR(B9888="MAL ALIMI", B9888="ÜRETİM GİRİŞ"), MIN(I9888, MAX(0, I9888 + SUM(SUMIFS($I$1:I9887, $C$1:C9887, C9888, $B$1:B9887, {"MAL ALIMI","ÜRETİM GİRİŞ"})) - VLOOKUP(C9888, 'STOK RAPORU'!$C$2:$I$1000, 4, 0))), 0)</f>
        <v>0</v>
      </c>
      <c r="U9888" s="22">
        <f t="shared" si="716"/>
        <v>0</v>
      </c>
      <c r="V9888">
        <f t="shared" si="717"/>
        <v>0</v>
      </c>
      <c r="W9888" s="22">
        <f t="shared" si="718"/>
        <v>0</v>
      </c>
    </row>
    <row r="9889" spans="1:23" hidden="1" x14ac:dyDescent="0.25">
      <c r="A9889" s="4"/>
      <c r="B9889" s="4"/>
      <c r="C9889" s="4"/>
      <c r="D9889" s="4"/>
      <c r="E9889" s="4"/>
      <c r="F9889" s="4"/>
      <c r="G9889" s="4"/>
      <c r="H9889" s="4"/>
      <c r="I9889" s="4"/>
      <c r="J9889" s="21">
        <f>IFERROR(VLOOKUP(C9889,'STOK KARTLARI'!$C$2:$K$2150,8,0),0)</f>
        <v>0</v>
      </c>
      <c r="K9889" s="21">
        <f t="shared" si="719"/>
        <v>0</v>
      </c>
      <c r="L9889" s="5">
        <f t="shared" si="721"/>
        <v>0</v>
      </c>
      <c r="M9889" s="4"/>
      <c r="N9889" s="4"/>
      <c r="O9889" s="5"/>
      <c r="P9889" s="5"/>
      <c r="Q9889" s="21">
        <f t="shared" si="722"/>
        <v>0</v>
      </c>
      <c r="R9889" s="21">
        <f t="shared" si="720"/>
        <v>0</v>
      </c>
      <c r="S9889" s="5">
        <f t="shared" si="723"/>
        <v>70007.077158325032</v>
      </c>
      <c r="T9889" cm="1">
        <f t="array" ref="T9889">IF(OR(B9889="MAL ALIMI", B9889="ÜRETİM GİRİŞ"), MIN(I9889, MAX(0, I9889 + SUM(SUMIFS($I$1:I9888, $C$1:C9888, C9889, $B$1:B9888, {"MAL ALIMI","ÜRETİM GİRİŞ"})) - VLOOKUP(C9889, 'STOK RAPORU'!$C$2:$I$1000, 4, 0))), 0)</f>
        <v>0</v>
      </c>
      <c r="U9889" s="22">
        <f t="shared" si="716"/>
        <v>0</v>
      </c>
      <c r="V9889">
        <f t="shared" si="717"/>
        <v>0</v>
      </c>
      <c r="W9889" s="22">
        <f t="shared" si="718"/>
        <v>0</v>
      </c>
    </row>
    <row r="9890" spans="1:23" hidden="1" x14ac:dyDescent="0.25">
      <c r="A9890" s="4"/>
      <c r="B9890" s="4"/>
      <c r="C9890" s="4"/>
      <c r="D9890" s="4"/>
      <c r="E9890" s="4"/>
      <c r="F9890" s="4"/>
      <c r="G9890" s="4"/>
      <c r="H9890" s="4"/>
      <c r="I9890" s="4"/>
      <c r="J9890" s="21">
        <f>IFERROR(VLOOKUP(C9890,'STOK KARTLARI'!$C$2:$K$2150,8,0),0)</f>
        <v>0</v>
      </c>
      <c r="K9890" s="21">
        <f t="shared" si="719"/>
        <v>0</v>
      </c>
      <c r="L9890" s="5">
        <f t="shared" si="721"/>
        <v>0</v>
      </c>
      <c r="M9890" s="4"/>
      <c r="N9890" s="4"/>
      <c r="O9890" s="5"/>
      <c r="P9890" s="5"/>
      <c r="Q9890" s="21">
        <f t="shared" si="722"/>
        <v>0</v>
      </c>
      <c r="R9890" s="21">
        <f t="shared" si="720"/>
        <v>0</v>
      </c>
      <c r="S9890" s="5">
        <f t="shared" si="723"/>
        <v>70007.077158325032</v>
      </c>
      <c r="T9890" cm="1">
        <f t="array" ref="T9890">IF(OR(B9890="MAL ALIMI", B9890="ÜRETİM GİRİŞ"), MIN(I9890, MAX(0, I9890 + SUM(SUMIFS($I$1:I9889, $C$1:C9889, C9890, $B$1:B9889, {"MAL ALIMI","ÜRETİM GİRİŞ"})) - VLOOKUP(C9890, 'STOK RAPORU'!$C$2:$I$1000, 4, 0))), 0)</f>
        <v>0</v>
      </c>
      <c r="U9890" s="22">
        <f t="shared" si="716"/>
        <v>0</v>
      </c>
      <c r="V9890">
        <f t="shared" si="717"/>
        <v>0</v>
      </c>
      <c r="W9890" s="22">
        <f t="shared" si="718"/>
        <v>0</v>
      </c>
    </row>
    <row r="9891" spans="1:23" hidden="1" x14ac:dyDescent="0.25">
      <c r="A9891" s="4"/>
      <c r="B9891" s="4"/>
      <c r="C9891" s="4"/>
      <c r="D9891" s="4"/>
      <c r="E9891" s="4"/>
      <c r="F9891" s="4"/>
      <c r="G9891" s="4"/>
      <c r="H9891" s="4"/>
      <c r="I9891" s="4"/>
      <c r="J9891" s="21">
        <f>IFERROR(VLOOKUP(C9891,'STOK KARTLARI'!$C$2:$K$2150,8,0),0)</f>
        <v>0</v>
      </c>
      <c r="K9891" s="21">
        <f t="shared" si="719"/>
        <v>0</v>
      </c>
      <c r="L9891" s="5">
        <f t="shared" si="721"/>
        <v>0</v>
      </c>
      <c r="M9891" s="4"/>
      <c r="N9891" s="4"/>
      <c r="O9891" s="5"/>
      <c r="P9891" s="5"/>
      <c r="Q9891" s="21">
        <f t="shared" si="722"/>
        <v>0</v>
      </c>
      <c r="R9891" s="21">
        <f t="shared" si="720"/>
        <v>0</v>
      </c>
      <c r="S9891" s="5">
        <f t="shared" si="723"/>
        <v>70007.077158325032</v>
      </c>
      <c r="T9891" cm="1">
        <f t="array" ref="T9891">IF(OR(B9891="MAL ALIMI", B9891="ÜRETİM GİRİŞ"), MIN(I9891, MAX(0, I9891 + SUM(SUMIFS($I$1:I9890, $C$1:C9890, C9891, $B$1:B9890, {"MAL ALIMI","ÜRETİM GİRİŞ"})) - VLOOKUP(C9891, 'STOK RAPORU'!$C$2:$I$1000, 4, 0))), 0)</f>
        <v>0</v>
      </c>
      <c r="U9891" s="22">
        <f t="shared" si="716"/>
        <v>0</v>
      </c>
      <c r="V9891">
        <f t="shared" si="717"/>
        <v>0</v>
      </c>
      <c r="W9891" s="22">
        <f t="shared" si="718"/>
        <v>0</v>
      </c>
    </row>
    <row r="9892" spans="1:23" hidden="1" x14ac:dyDescent="0.25">
      <c r="A9892" s="4"/>
      <c r="B9892" s="4"/>
      <c r="C9892" s="4"/>
      <c r="D9892" s="4"/>
      <c r="E9892" s="4"/>
      <c r="F9892" s="4"/>
      <c r="G9892" s="4"/>
      <c r="H9892" s="4"/>
      <c r="I9892" s="4"/>
      <c r="J9892" s="21">
        <f>IFERROR(VLOOKUP(C9892,'STOK KARTLARI'!$C$2:$K$2150,8,0),0)</f>
        <v>0</v>
      </c>
      <c r="K9892" s="21">
        <f t="shared" si="719"/>
        <v>0</v>
      </c>
      <c r="L9892" s="5">
        <f t="shared" si="721"/>
        <v>0</v>
      </c>
      <c r="M9892" s="4"/>
      <c r="N9892" s="4"/>
      <c r="O9892" s="5"/>
      <c r="P9892" s="5"/>
      <c r="Q9892" s="21">
        <f t="shared" si="722"/>
        <v>0</v>
      </c>
      <c r="R9892" s="21">
        <f t="shared" si="720"/>
        <v>0</v>
      </c>
      <c r="S9892" s="5">
        <f t="shared" si="723"/>
        <v>70007.077158325032</v>
      </c>
      <c r="T9892" cm="1">
        <f t="array" ref="T9892">IF(OR(B9892="MAL ALIMI", B9892="ÜRETİM GİRİŞ"), MIN(I9892, MAX(0, I9892 + SUM(SUMIFS($I$1:I9891, $C$1:C9891, C9892, $B$1:B9891, {"MAL ALIMI","ÜRETİM GİRİŞ"})) - VLOOKUP(C9892, 'STOK RAPORU'!$C$2:$I$1000, 4, 0))), 0)</f>
        <v>0</v>
      </c>
      <c r="U9892" s="22">
        <f t="shared" si="716"/>
        <v>0</v>
      </c>
      <c r="V9892">
        <f t="shared" si="717"/>
        <v>0</v>
      </c>
      <c r="W9892" s="22">
        <f t="shared" si="718"/>
        <v>0</v>
      </c>
    </row>
    <row r="9893" spans="1:23" hidden="1" x14ac:dyDescent="0.25">
      <c r="A9893" s="4"/>
      <c r="B9893" s="4"/>
      <c r="C9893" s="4"/>
      <c r="D9893" s="4"/>
      <c r="E9893" s="4"/>
      <c r="F9893" s="4"/>
      <c r="G9893" s="4"/>
      <c r="H9893" s="4"/>
      <c r="I9893" s="4"/>
      <c r="J9893" s="21">
        <f>IFERROR(VLOOKUP(C9893,'STOK KARTLARI'!$C$2:$K$2150,8,0),0)</f>
        <v>0</v>
      </c>
      <c r="K9893" s="21">
        <f t="shared" si="719"/>
        <v>0</v>
      </c>
      <c r="L9893" s="5">
        <f t="shared" si="721"/>
        <v>0</v>
      </c>
      <c r="M9893" s="4"/>
      <c r="N9893" s="4"/>
      <c r="O9893" s="5"/>
      <c r="P9893" s="5"/>
      <c r="Q9893" s="21">
        <f t="shared" si="722"/>
        <v>0</v>
      </c>
      <c r="R9893" s="21">
        <f t="shared" si="720"/>
        <v>0</v>
      </c>
      <c r="S9893" s="5">
        <f t="shared" si="723"/>
        <v>70007.077158325032</v>
      </c>
      <c r="T9893" cm="1">
        <f t="array" ref="T9893">IF(OR(B9893="MAL ALIMI", B9893="ÜRETİM GİRİŞ"), MIN(I9893, MAX(0, I9893 + SUM(SUMIFS($I$1:I9892, $C$1:C9892, C9893, $B$1:B9892, {"MAL ALIMI","ÜRETİM GİRİŞ"})) - VLOOKUP(C9893, 'STOK RAPORU'!$C$2:$I$1000, 4, 0))), 0)</f>
        <v>0</v>
      </c>
      <c r="U9893" s="22">
        <f t="shared" si="716"/>
        <v>0</v>
      </c>
      <c r="V9893">
        <f t="shared" si="717"/>
        <v>0</v>
      </c>
      <c r="W9893" s="22">
        <f t="shared" si="718"/>
        <v>0</v>
      </c>
    </row>
    <row r="9894" spans="1:23" hidden="1" x14ac:dyDescent="0.25">
      <c r="A9894" s="3"/>
      <c r="B9894" s="4"/>
      <c r="C9894" s="4"/>
      <c r="D9894" s="4"/>
      <c r="E9894" s="4"/>
      <c r="F9894" s="4"/>
      <c r="G9894" s="4"/>
      <c r="H9894" s="4"/>
      <c r="I9894" s="4"/>
      <c r="J9894" s="21">
        <f>IFERROR(VLOOKUP(C9894,'STOK KARTLARI'!$C$2:$K$2150,8,0),0)</f>
        <v>0</v>
      </c>
      <c r="K9894" s="21">
        <f t="shared" si="719"/>
        <v>0</v>
      </c>
      <c r="L9894" s="5">
        <f t="shared" si="721"/>
        <v>0</v>
      </c>
      <c r="M9894" s="4"/>
      <c r="N9894" s="4"/>
      <c r="O9894" s="5"/>
      <c r="P9894" s="5"/>
      <c r="Q9894" s="21">
        <f t="shared" si="722"/>
        <v>0</v>
      </c>
      <c r="R9894" s="21">
        <f t="shared" si="720"/>
        <v>0</v>
      </c>
      <c r="S9894" s="5">
        <f t="shared" si="723"/>
        <v>70007.077158325032</v>
      </c>
      <c r="T9894" cm="1">
        <f t="array" ref="T9894">IF(OR(B9894="MAL ALIMI", B9894="ÜRETİM GİRİŞ"), MIN(I9894, MAX(0, I9894 + SUM(SUMIFS($I$1:I9893, $C$1:C9893, C9894, $B$1:B9893, {"MAL ALIMI","ÜRETİM GİRİŞ"})) - VLOOKUP(C9894, 'STOK RAPORU'!$C$2:$I$1000, 4, 0))), 0)</f>
        <v>0</v>
      </c>
      <c r="U9894" s="22">
        <f t="shared" si="716"/>
        <v>0</v>
      </c>
      <c r="V9894">
        <f t="shared" si="717"/>
        <v>0</v>
      </c>
      <c r="W9894" s="22">
        <f t="shared" si="718"/>
        <v>0</v>
      </c>
    </row>
    <row r="9895" spans="1:23" hidden="1" x14ac:dyDescent="0.25">
      <c r="A9895" s="4"/>
      <c r="B9895" s="4"/>
      <c r="C9895" s="4"/>
      <c r="D9895" s="4"/>
      <c r="E9895" s="4"/>
      <c r="F9895" s="4"/>
      <c r="G9895" s="4"/>
      <c r="H9895" s="4"/>
      <c r="I9895" s="4"/>
      <c r="J9895" s="21">
        <f>IFERROR(VLOOKUP(C9895,'STOK KARTLARI'!$C$2:$K$2150,8,0),0)</f>
        <v>0</v>
      </c>
      <c r="K9895" s="21">
        <f t="shared" si="719"/>
        <v>0</v>
      </c>
      <c r="L9895" s="5">
        <f t="shared" si="721"/>
        <v>0</v>
      </c>
      <c r="M9895" s="4"/>
      <c r="N9895" s="4"/>
      <c r="O9895" s="5"/>
      <c r="P9895" s="5"/>
      <c r="Q9895" s="21">
        <f t="shared" si="722"/>
        <v>0</v>
      </c>
      <c r="R9895" s="21">
        <f t="shared" si="720"/>
        <v>0</v>
      </c>
      <c r="S9895" s="5">
        <f t="shared" si="723"/>
        <v>70007.077158325032</v>
      </c>
      <c r="T9895" cm="1">
        <f t="array" ref="T9895">IF(OR(B9895="MAL ALIMI", B9895="ÜRETİM GİRİŞ"), MIN(I9895, MAX(0, I9895 + SUM(SUMIFS($I$1:I9894, $C$1:C9894, C9895, $B$1:B9894, {"MAL ALIMI","ÜRETİM GİRİŞ"})) - VLOOKUP(C9895, 'STOK RAPORU'!$C$2:$I$1000, 4, 0))), 0)</f>
        <v>0</v>
      </c>
      <c r="U9895" s="22">
        <f t="shared" si="716"/>
        <v>0</v>
      </c>
      <c r="V9895">
        <f t="shared" si="717"/>
        <v>0</v>
      </c>
      <c r="W9895" s="22">
        <f t="shared" si="718"/>
        <v>0</v>
      </c>
    </row>
    <row r="9896" spans="1:23" hidden="1" x14ac:dyDescent="0.25">
      <c r="A9896" s="4"/>
      <c r="B9896" s="4"/>
      <c r="C9896" s="4"/>
      <c r="D9896" s="4"/>
      <c r="E9896" s="4"/>
      <c r="F9896" s="4"/>
      <c r="G9896" s="4"/>
      <c r="H9896" s="4"/>
      <c r="I9896" s="4"/>
      <c r="J9896" s="21">
        <f>IFERROR(VLOOKUP(C9896,'STOK KARTLARI'!$C$2:$K$2150,8,0),0)</f>
        <v>0</v>
      </c>
      <c r="K9896" s="21">
        <f t="shared" si="719"/>
        <v>0</v>
      </c>
      <c r="L9896" s="5">
        <f t="shared" si="721"/>
        <v>0</v>
      </c>
      <c r="M9896" s="4"/>
      <c r="N9896" s="4"/>
      <c r="O9896" s="5"/>
      <c r="P9896" s="5"/>
      <c r="Q9896" s="21">
        <f t="shared" si="722"/>
        <v>0</v>
      </c>
      <c r="R9896" s="21">
        <f t="shared" si="720"/>
        <v>0</v>
      </c>
      <c r="S9896" s="5">
        <f t="shared" si="723"/>
        <v>70007.077158325032</v>
      </c>
      <c r="T9896" cm="1">
        <f t="array" ref="T9896">IF(OR(B9896="MAL ALIMI", B9896="ÜRETİM GİRİŞ"), MIN(I9896, MAX(0, I9896 + SUM(SUMIFS($I$1:I9895, $C$1:C9895, C9896, $B$1:B9895, {"MAL ALIMI","ÜRETİM GİRİŞ"})) - VLOOKUP(C9896, 'STOK RAPORU'!$C$2:$I$1000, 4, 0))), 0)</f>
        <v>0</v>
      </c>
      <c r="U9896" s="22">
        <f t="shared" si="716"/>
        <v>0</v>
      </c>
      <c r="V9896">
        <f t="shared" si="717"/>
        <v>0</v>
      </c>
      <c r="W9896" s="22">
        <f t="shared" si="718"/>
        <v>0</v>
      </c>
    </row>
    <row r="9897" spans="1:23" hidden="1" x14ac:dyDescent="0.25">
      <c r="A9897" s="4"/>
      <c r="B9897" s="4"/>
      <c r="C9897" s="4"/>
      <c r="D9897" s="4"/>
      <c r="E9897" s="4"/>
      <c r="F9897" s="4"/>
      <c r="G9897" s="4"/>
      <c r="H9897" s="4"/>
      <c r="I9897" s="4"/>
      <c r="J9897" s="21">
        <f>IFERROR(VLOOKUP(C9897,'STOK KARTLARI'!$C$2:$K$2150,8,0),0)</f>
        <v>0</v>
      </c>
      <c r="K9897" s="21">
        <f t="shared" si="719"/>
        <v>0</v>
      </c>
      <c r="L9897" s="5">
        <f t="shared" si="721"/>
        <v>0</v>
      </c>
      <c r="M9897" s="4"/>
      <c r="N9897" s="4"/>
      <c r="O9897" s="5"/>
      <c r="P9897" s="5"/>
      <c r="Q9897" s="21">
        <f t="shared" si="722"/>
        <v>0</v>
      </c>
      <c r="R9897" s="21">
        <f t="shared" si="720"/>
        <v>0</v>
      </c>
      <c r="S9897" s="5">
        <f t="shared" si="723"/>
        <v>70007.077158325032</v>
      </c>
      <c r="T9897" cm="1">
        <f t="array" ref="T9897">IF(OR(B9897="MAL ALIMI", B9897="ÜRETİM GİRİŞ"), MIN(I9897, MAX(0, I9897 + SUM(SUMIFS($I$1:I9896, $C$1:C9896, C9897, $B$1:B9896, {"MAL ALIMI","ÜRETİM GİRİŞ"})) - VLOOKUP(C9897, 'STOK RAPORU'!$C$2:$I$1000, 4, 0))), 0)</f>
        <v>0</v>
      </c>
      <c r="U9897" s="22">
        <f t="shared" si="716"/>
        <v>0</v>
      </c>
      <c r="V9897">
        <f t="shared" si="717"/>
        <v>0</v>
      </c>
      <c r="W9897" s="22">
        <f t="shared" si="718"/>
        <v>0</v>
      </c>
    </row>
    <row r="9898" spans="1:23" hidden="1" x14ac:dyDescent="0.25">
      <c r="A9898" s="4"/>
      <c r="B9898" s="4"/>
      <c r="C9898" s="4"/>
      <c r="D9898" s="4"/>
      <c r="E9898" s="4"/>
      <c r="F9898" s="4"/>
      <c r="G9898" s="4"/>
      <c r="H9898" s="4"/>
      <c r="I9898" s="4"/>
      <c r="J9898" s="21">
        <f>IFERROR(VLOOKUP(C9898,'STOK KARTLARI'!$C$2:$K$2150,8,0),0)</f>
        <v>0</v>
      </c>
      <c r="K9898" s="21">
        <f t="shared" si="719"/>
        <v>0</v>
      </c>
      <c r="L9898" s="5">
        <f t="shared" si="721"/>
        <v>0</v>
      </c>
      <c r="M9898" s="4"/>
      <c r="N9898" s="4"/>
      <c r="O9898" s="5"/>
      <c r="P9898" s="5"/>
      <c r="Q9898" s="21">
        <f t="shared" si="722"/>
        <v>0</v>
      </c>
      <c r="R9898" s="21">
        <f t="shared" si="720"/>
        <v>0</v>
      </c>
      <c r="S9898" s="5">
        <f t="shared" si="723"/>
        <v>70007.077158325032</v>
      </c>
      <c r="T9898" cm="1">
        <f t="array" ref="T9898">IF(OR(B9898="MAL ALIMI", B9898="ÜRETİM GİRİŞ"), MIN(I9898, MAX(0, I9898 + SUM(SUMIFS($I$1:I9897, $C$1:C9897, C9898, $B$1:B9897, {"MAL ALIMI","ÜRETİM GİRİŞ"})) - VLOOKUP(C9898, 'STOK RAPORU'!$C$2:$I$1000, 4, 0))), 0)</f>
        <v>0</v>
      </c>
      <c r="U9898" s="22">
        <f t="shared" si="716"/>
        <v>0</v>
      </c>
      <c r="V9898">
        <f t="shared" si="717"/>
        <v>0</v>
      </c>
      <c r="W9898" s="22">
        <f t="shared" si="718"/>
        <v>0</v>
      </c>
    </row>
    <row r="9899" spans="1:23" hidden="1" x14ac:dyDescent="0.25">
      <c r="A9899" s="4"/>
      <c r="B9899" s="4"/>
      <c r="C9899" s="4"/>
      <c r="D9899" s="4"/>
      <c r="E9899" s="4"/>
      <c r="F9899" s="4"/>
      <c r="G9899" s="4"/>
      <c r="H9899" s="4"/>
      <c r="I9899" s="4"/>
      <c r="J9899" s="21">
        <f>IFERROR(VLOOKUP(C9899,'STOK KARTLARI'!$C$2:$K$2150,8,0),0)</f>
        <v>0</v>
      </c>
      <c r="K9899" s="21">
        <f t="shared" si="719"/>
        <v>0</v>
      </c>
      <c r="L9899" s="5">
        <f t="shared" si="721"/>
        <v>0</v>
      </c>
      <c r="M9899" s="4"/>
      <c r="N9899" s="4"/>
      <c r="O9899" s="5"/>
      <c r="P9899" s="5"/>
      <c r="Q9899" s="21">
        <f t="shared" si="722"/>
        <v>0</v>
      </c>
      <c r="R9899" s="21">
        <f t="shared" si="720"/>
        <v>0</v>
      </c>
      <c r="S9899" s="5">
        <f t="shared" si="723"/>
        <v>70007.077158325032</v>
      </c>
      <c r="T9899" cm="1">
        <f t="array" ref="T9899">IF(OR(B9899="MAL ALIMI", B9899="ÜRETİM GİRİŞ"), MIN(I9899, MAX(0, I9899 + SUM(SUMIFS($I$1:I9898, $C$1:C9898, C9899, $B$1:B9898, {"MAL ALIMI","ÜRETİM GİRİŞ"})) - VLOOKUP(C9899, 'STOK RAPORU'!$C$2:$I$1000, 4, 0))), 0)</f>
        <v>0</v>
      </c>
      <c r="U9899" s="22">
        <f t="shared" si="716"/>
        <v>0</v>
      </c>
      <c r="V9899">
        <f t="shared" si="717"/>
        <v>0</v>
      </c>
      <c r="W9899" s="22">
        <f t="shared" si="718"/>
        <v>0</v>
      </c>
    </row>
    <row r="9900" spans="1:23" hidden="1" x14ac:dyDescent="0.25">
      <c r="A9900" s="4"/>
      <c r="B9900" s="4"/>
      <c r="C9900" s="4"/>
      <c r="D9900" s="4"/>
      <c r="E9900" s="4"/>
      <c r="F9900" s="4"/>
      <c r="G9900" s="4"/>
      <c r="H9900" s="4"/>
      <c r="I9900" s="4"/>
      <c r="J9900" s="21">
        <f>IFERROR(VLOOKUP(C9900,'STOK KARTLARI'!$C$2:$K$2150,8,0),0)</f>
        <v>0</v>
      </c>
      <c r="K9900" s="21">
        <f t="shared" si="719"/>
        <v>0</v>
      </c>
      <c r="L9900" s="5">
        <f t="shared" si="721"/>
        <v>0</v>
      </c>
      <c r="M9900" s="4"/>
      <c r="N9900" s="4"/>
      <c r="O9900" s="5"/>
      <c r="P9900" s="5"/>
      <c r="Q9900" s="21">
        <f t="shared" si="722"/>
        <v>0</v>
      </c>
      <c r="R9900" s="21">
        <f t="shared" si="720"/>
        <v>0</v>
      </c>
      <c r="S9900" s="5">
        <f t="shared" si="723"/>
        <v>70007.077158325032</v>
      </c>
      <c r="T9900" cm="1">
        <f t="array" ref="T9900">IF(OR(B9900="MAL ALIMI", B9900="ÜRETİM GİRİŞ"), MIN(I9900, MAX(0, I9900 + SUM(SUMIFS($I$1:I9899, $C$1:C9899, C9900, $B$1:B9899, {"MAL ALIMI","ÜRETİM GİRİŞ"})) - VLOOKUP(C9900, 'STOK RAPORU'!$C$2:$I$1000, 4, 0))), 0)</f>
        <v>0</v>
      </c>
      <c r="U9900" s="22">
        <f t="shared" si="716"/>
        <v>0</v>
      </c>
      <c r="V9900">
        <f t="shared" si="717"/>
        <v>0</v>
      </c>
      <c r="W9900" s="22">
        <f t="shared" si="718"/>
        <v>0</v>
      </c>
    </row>
    <row r="9901" spans="1:23" hidden="1" x14ac:dyDescent="0.25">
      <c r="A9901" s="3"/>
      <c r="B9901" s="4"/>
      <c r="C9901" s="4"/>
      <c r="D9901" s="4"/>
      <c r="E9901" s="4"/>
      <c r="F9901" s="4"/>
      <c r="G9901" s="4"/>
      <c r="H9901" s="4"/>
      <c r="I9901" s="4"/>
      <c r="J9901" s="21">
        <f>IFERROR(VLOOKUP(C9901,'STOK KARTLARI'!$C$2:$K$2150,8,0),0)</f>
        <v>0</v>
      </c>
      <c r="K9901" s="21">
        <f t="shared" si="719"/>
        <v>0</v>
      </c>
      <c r="L9901" s="5">
        <f t="shared" si="721"/>
        <v>0</v>
      </c>
      <c r="M9901" s="4"/>
      <c r="N9901" s="4"/>
      <c r="O9901" s="5"/>
      <c r="P9901" s="5"/>
      <c r="Q9901" s="21">
        <f t="shared" si="722"/>
        <v>0</v>
      </c>
      <c r="R9901" s="21">
        <f t="shared" si="720"/>
        <v>0</v>
      </c>
      <c r="S9901" s="5">
        <f t="shared" si="723"/>
        <v>70007.077158325032</v>
      </c>
      <c r="T9901" cm="1">
        <f t="array" ref="T9901">IF(OR(B9901="MAL ALIMI", B9901="ÜRETİM GİRİŞ"), MIN(I9901, MAX(0, I9901 + SUM(SUMIFS($I$1:I9900, $C$1:C9900, C9901, $B$1:B9900, {"MAL ALIMI","ÜRETİM GİRİŞ"})) - VLOOKUP(C9901, 'STOK RAPORU'!$C$2:$I$1000, 4, 0))), 0)</f>
        <v>0</v>
      </c>
      <c r="U9901" s="22">
        <f t="shared" si="716"/>
        <v>0</v>
      </c>
      <c r="V9901">
        <f t="shared" si="717"/>
        <v>0</v>
      </c>
      <c r="W9901" s="22">
        <f t="shared" si="718"/>
        <v>0</v>
      </c>
    </row>
    <row r="9902" spans="1:23" hidden="1" x14ac:dyDescent="0.25">
      <c r="A9902" s="4"/>
      <c r="B9902" s="4"/>
      <c r="C9902" s="4"/>
      <c r="D9902" s="4"/>
      <c r="E9902" s="4"/>
      <c r="F9902" s="4"/>
      <c r="G9902" s="4"/>
      <c r="H9902" s="4"/>
      <c r="I9902" s="4"/>
      <c r="J9902" s="21">
        <f>IFERROR(VLOOKUP(C9902,'STOK KARTLARI'!$C$2:$K$2150,8,0),0)</f>
        <v>0</v>
      </c>
      <c r="K9902" s="21">
        <f t="shared" si="719"/>
        <v>0</v>
      </c>
      <c r="L9902" s="5">
        <f t="shared" si="721"/>
        <v>0</v>
      </c>
      <c r="M9902" s="4"/>
      <c r="N9902" s="4"/>
      <c r="O9902" s="5"/>
      <c r="P9902" s="5"/>
      <c r="Q9902" s="21">
        <f t="shared" si="722"/>
        <v>0</v>
      </c>
      <c r="R9902" s="21">
        <f t="shared" si="720"/>
        <v>0</v>
      </c>
      <c r="S9902" s="5">
        <f t="shared" si="723"/>
        <v>70007.077158325032</v>
      </c>
      <c r="T9902" cm="1">
        <f t="array" ref="T9902">IF(OR(B9902="MAL ALIMI", B9902="ÜRETİM GİRİŞ"), MIN(I9902, MAX(0, I9902 + SUM(SUMIFS($I$1:I9901, $C$1:C9901, C9902, $B$1:B9901, {"MAL ALIMI","ÜRETİM GİRİŞ"})) - VLOOKUP(C9902, 'STOK RAPORU'!$C$2:$I$1000, 4, 0))), 0)</f>
        <v>0</v>
      </c>
      <c r="U9902" s="22">
        <f t="shared" si="716"/>
        <v>0</v>
      </c>
      <c r="V9902">
        <f t="shared" si="717"/>
        <v>0</v>
      </c>
      <c r="W9902" s="22">
        <f t="shared" si="718"/>
        <v>0</v>
      </c>
    </row>
    <row r="9903" spans="1:23" hidden="1" x14ac:dyDescent="0.25">
      <c r="A9903" s="4"/>
      <c r="B9903" s="4"/>
      <c r="C9903" s="4"/>
      <c r="D9903" s="4"/>
      <c r="E9903" s="4"/>
      <c r="F9903" s="4"/>
      <c r="G9903" s="4"/>
      <c r="H9903" s="4"/>
      <c r="I9903" s="4"/>
      <c r="J9903" s="21">
        <f>IFERROR(VLOOKUP(C9903,'STOK KARTLARI'!$C$2:$K$2150,8,0),0)</f>
        <v>0</v>
      </c>
      <c r="K9903" s="21">
        <f t="shared" si="719"/>
        <v>0</v>
      </c>
      <c r="L9903" s="5">
        <f t="shared" si="721"/>
        <v>0</v>
      </c>
      <c r="M9903" s="4"/>
      <c r="N9903" s="4"/>
      <c r="O9903" s="5"/>
      <c r="P9903" s="5"/>
      <c r="Q9903" s="21">
        <f t="shared" si="722"/>
        <v>0</v>
      </c>
      <c r="R9903" s="21">
        <f t="shared" si="720"/>
        <v>0</v>
      </c>
      <c r="S9903" s="5">
        <f t="shared" si="723"/>
        <v>70007.077158325032</v>
      </c>
      <c r="T9903" cm="1">
        <f t="array" ref="T9903">IF(OR(B9903="MAL ALIMI", B9903="ÜRETİM GİRİŞ"), MIN(I9903, MAX(0, I9903 + SUM(SUMIFS($I$1:I9902, $C$1:C9902, C9903, $B$1:B9902, {"MAL ALIMI","ÜRETİM GİRİŞ"})) - VLOOKUP(C9903, 'STOK RAPORU'!$C$2:$I$1000, 4, 0))), 0)</f>
        <v>0</v>
      </c>
      <c r="U9903" s="22">
        <f t="shared" ref="U9903:U9966" si="724">T9903*J9903</f>
        <v>0</v>
      </c>
      <c r="V9903">
        <f t="shared" ref="V9903:V9966" si="725">IF(OR(B9903="MAL ALIMI", B9903="ÜRETİM GİRİŞ"), I9903 * J9903, 0)</f>
        <v>0</v>
      </c>
      <c r="W9903" s="22">
        <f t="shared" ref="W9903:W9966" si="726">V9903-U9903</f>
        <v>0</v>
      </c>
    </row>
    <row r="9904" spans="1:23" hidden="1" x14ac:dyDescent="0.25">
      <c r="A9904" s="4"/>
      <c r="B9904" s="4"/>
      <c r="C9904" s="4"/>
      <c r="D9904" s="4"/>
      <c r="E9904" s="4"/>
      <c r="F9904" s="4"/>
      <c r="G9904" s="4"/>
      <c r="H9904" s="4"/>
      <c r="I9904" s="4"/>
      <c r="J9904" s="21">
        <f>IFERROR(VLOOKUP(C9904,'STOK KARTLARI'!$C$2:$K$2150,8,0),0)</f>
        <v>0</v>
      </c>
      <c r="K9904" s="21">
        <f t="shared" si="719"/>
        <v>0</v>
      </c>
      <c r="L9904" s="5">
        <f t="shared" si="721"/>
        <v>0</v>
      </c>
      <c r="M9904" s="4"/>
      <c r="N9904" s="4"/>
      <c r="O9904" s="5"/>
      <c r="P9904" s="5"/>
      <c r="Q9904" s="21">
        <f t="shared" si="722"/>
        <v>0</v>
      </c>
      <c r="R9904" s="21">
        <f t="shared" si="720"/>
        <v>0</v>
      </c>
      <c r="S9904" s="5">
        <f t="shared" si="723"/>
        <v>70007.077158325032</v>
      </c>
      <c r="T9904" cm="1">
        <f t="array" ref="T9904">IF(OR(B9904="MAL ALIMI", B9904="ÜRETİM GİRİŞ"), MIN(I9904, MAX(0, I9904 + SUM(SUMIFS($I$1:I9903, $C$1:C9903, C9904, $B$1:B9903, {"MAL ALIMI","ÜRETİM GİRİŞ"})) - VLOOKUP(C9904, 'STOK RAPORU'!$C$2:$I$1000, 4, 0))), 0)</f>
        <v>0</v>
      </c>
      <c r="U9904" s="22">
        <f t="shared" si="724"/>
        <v>0</v>
      </c>
      <c r="V9904">
        <f t="shared" si="725"/>
        <v>0</v>
      </c>
      <c r="W9904" s="22">
        <f t="shared" si="726"/>
        <v>0</v>
      </c>
    </row>
    <row r="9905" spans="1:23" hidden="1" x14ac:dyDescent="0.25">
      <c r="A9905" s="4"/>
      <c r="B9905" s="4"/>
      <c r="C9905" s="4"/>
      <c r="D9905" s="4"/>
      <c r="E9905" s="4"/>
      <c r="F9905" s="4"/>
      <c r="G9905" s="4"/>
      <c r="H9905" s="4"/>
      <c r="I9905" s="4"/>
      <c r="J9905" s="21">
        <f>IFERROR(VLOOKUP(C9905,'STOK KARTLARI'!$C$2:$K$2150,8,0),0)</f>
        <v>0</v>
      </c>
      <c r="K9905" s="21">
        <f t="shared" si="719"/>
        <v>0</v>
      </c>
      <c r="L9905" s="5">
        <f t="shared" si="721"/>
        <v>0</v>
      </c>
      <c r="M9905" s="4"/>
      <c r="N9905" s="4"/>
      <c r="O9905" s="5"/>
      <c r="P9905" s="5"/>
      <c r="Q9905" s="21">
        <f t="shared" si="722"/>
        <v>0</v>
      </c>
      <c r="R9905" s="21">
        <f t="shared" si="720"/>
        <v>0</v>
      </c>
      <c r="S9905" s="5">
        <f t="shared" si="723"/>
        <v>70007.077158325032</v>
      </c>
      <c r="T9905" cm="1">
        <f t="array" ref="T9905">IF(OR(B9905="MAL ALIMI", B9905="ÜRETİM GİRİŞ"), MIN(I9905, MAX(0, I9905 + SUM(SUMIFS($I$1:I9904, $C$1:C9904, C9905, $B$1:B9904, {"MAL ALIMI","ÜRETİM GİRİŞ"})) - VLOOKUP(C9905, 'STOK RAPORU'!$C$2:$I$1000, 4, 0))), 0)</f>
        <v>0</v>
      </c>
      <c r="U9905" s="22">
        <f t="shared" si="724"/>
        <v>0</v>
      </c>
      <c r="V9905">
        <f t="shared" si="725"/>
        <v>0</v>
      </c>
      <c r="W9905" s="22">
        <f t="shared" si="726"/>
        <v>0</v>
      </c>
    </row>
    <row r="9906" spans="1:23" hidden="1" x14ac:dyDescent="0.25">
      <c r="A9906" s="4"/>
      <c r="B9906" s="4"/>
      <c r="C9906" s="4"/>
      <c r="D9906" s="4"/>
      <c r="E9906" s="4"/>
      <c r="F9906" s="4"/>
      <c r="G9906" s="4"/>
      <c r="H9906" s="4"/>
      <c r="I9906" s="4"/>
      <c r="J9906" s="21">
        <f>IFERROR(VLOOKUP(C9906,'STOK KARTLARI'!$C$2:$K$2150,8,0),0)</f>
        <v>0</v>
      </c>
      <c r="K9906" s="21">
        <f t="shared" si="719"/>
        <v>0</v>
      </c>
      <c r="L9906" s="5">
        <f t="shared" si="721"/>
        <v>0</v>
      </c>
      <c r="M9906" s="4"/>
      <c r="N9906" s="4"/>
      <c r="O9906" s="5"/>
      <c r="P9906" s="5"/>
      <c r="Q9906" s="21">
        <f t="shared" si="722"/>
        <v>0</v>
      </c>
      <c r="R9906" s="21">
        <f t="shared" si="720"/>
        <v>0</v>
      </c>
      <c r="S9906" s="5">
        <f t="shared" si="723"/>
        <v>70007.077158325032</v>
      </c>
      <c r="T9906" cm="1">
        <f t="array" ref="T9906">IF(OR(B9906="MAL ALIMI", B9906="ÜRETİM GİRİŞ"), MIN(I9906, MAX(0, I9906 + SUM(SUMIFS($I$1:I9905, $C$1:C9905, C9906, $B$1:B9905, {"MAL ALIMI","ÜRETİM GİRİŞ"})) - VLOOKUP(C9906, 'STOK RAPORU'!$C$2:$I$1000, 4, 0))), 0)</f>
        <v>0</v>
      </c>
      <c r="U9906" s="22">
        <f t="shared" si="724"/>
        <v>0</v>
      </c>
      <c r="V9906">
        <f t="shared" si="725"/>
        <v>0</v>
      </c>
      <c r="W9906" s="22">
        <f t="shared" si="726"/>
        <v>0</v>
      </c>
    </row>
    <row r="9907" spans="1:23" hidden="1" x14ac:dyDescent="0.25">
      <c r="A9907" s="4"/>
      <c r="B9907" s="4"/>
      <c r="C9907" s="4"/>
      <c r="D9907" s="4"/>
      <c r="E9907" s="4"/>
      <c r="F9907" s="4"/>
      <c r="G9907" s="4"/>
      <c r="H9907" s="4"/>
      <c r="I9907" s="4"/>
      <c r="J9907" s="21">
        <f>IFERROR(VLOOKUP(C9907,'STOK KARTLARI'!$C$2:$K$2150,8,0),0)</f>
        <v>0</v>
      </c>
      <c r="K9907" s="21">
        <f t="shared" ref="K9907:K9970" si="727">IF(AND(B9907="MAL SATIŞI", H9907="POS"),I9907*J9907,0)</f>
        <v>0</v>
      </c>
      <c r="L9907" s="5">
        <f t="shared" si="721"/>
        <v>0</v>
      </c>
      <c r="M9907" s="4"/>
      <c r="N9907" s="4"/>
      <c r="O9907" s="5"/>
      <c r="P9907" s="5"/>
      <c r="Q9907" s="21">
        <f t="shared" si="722"/>
        <v>0</v>
      </c>
      <c r="R9907" s="21">
        <f t="shared" ref="R9907:R9970" si="728">IF(AND(E9907="", B9907&lt;&gt;"MAL SATIŞI"),I9907*J9907,0)</f>
        <v>0</v>
      </c>
      <c r="S9907" s="5">
        <f t="shared" si="723"/>
        <v>70007.077158325032</v>
      </c>
      <c r="T9907" cm="1">
        <f t="array" ref="T9907">IF(OR(B9907="MAL ALIMI", B9907="ÜRETİM GİRİŞ"), MIN(I9907, MAX(0, I9907 + SUM(SUMIFS($I$1:I9906, $C$1:C9906, C9907, $B$1:B9906, {"MAL ALIMI","ÜRETİM GİRİŞ"})) - VLOOKUP(C9907, 'STOK RAPORU'!$C$2:$I$1000, 4, 0))), 0)</f>
        <v>0</v>
      </c>
      <c r="U9907" s="22">
        <f t="shared" si="724"/>
        <v>0</v>
      </c>
      <c r="V9907">
        <f t="shared" si="725"/>
        <v>0</v>
      </c>
      <c r="W9907" s="22">
        <f t="shared" si="726"/>
        <v>0</v>
      </c>
    </row>
    <row r="9908" spans="1:23" hidden="1" x14ac:dyDescent="0.25">
      <c r="A9908" s="3"/>
      <c r="B9908" s="4"/>
      <c r="C9908" s="4"/>
      <c r="D9908" s="4"/>
      <c r="E9908" s="4"/>
      <c r="F9908" s="4"/>
      <c r="G9908" s="4"/>
      <c r="H9908" s="4"/>
      <c r="I9908" s="4"/>
      <c r="J9908" s="21">
        <f>IFERROR(VLOOKUP(C9908,'STOK KARTLARI'!$C$2:$K$2150,8,0),0)</f>
        <v>0</v>
      </c>
      <c r="K9908" s="21">
        <f t="shared" si="727"/>
        <v>0</v>
      </c>
      <c r="L9908" s="5">
        <f t="shared" ref="L9908:L9971" si="729">IF(OR(E9908="", H9908="POS"),0,I9908*J9908)</f>
        <v>0</v>
      </c>
      <c r="M9908" s="4"/>
      <c r="N9908" s="4"/>
      <c r="O9908" s="5"/>
      <c r="P9908" s="5"/>
      <c r="Q9908" s="21">
        <f t="shared" ref="Q9908:Q9971" si="730">IF(AND(E9908="", B9908="MAL SATIŞI", H9908="NAKİT"),I9908*J9908,0)</f>
        <v>0</v>
      </c>
      <c r="R9908" s="21">
        <f t="shared" si="728"/>
        <v>0</v>
      </c>
      <c r="S9908" s="5">
        <f t="shared" si="723"/>
        <v>70007.077158325032</v>
      </c>
      <c r="T9908" cm="1">
        <f t="array" ref="T9908">IF(OR(B9908="MAL ALIMI", B9908="ÜRETİM GİRİŞ"), MIN(I9908, MAX(0, I9908 + SUM(SUMIFS($I$1:I9907, $C$1:C9907, C9908, $B$1:B9907, {"MAL ALIMI","ÜRETİM GİRİŞ"})) - VLOOKUP(C9908, 'STOK RAPORU'!$C$2:$I$1000, 4, 0))), 0)</f>
        <v>0</v>
      </c>
      <c r="U9908" s="22">
        <f t="shared" si="724"/>
        <v>0</v>
      </c>
      <c r="V9908">
        <f t="shared" si="725"/>
        <v>0</v>
      </c>
      <c r="W9908" s="22">
        <f t="shared" si="726"/>
        <v>0</v>
      </c>
    </row>
    <row r="9909" spans="1:23" hidden="1" x14ac:dyDescent="0.25">
      <c r="A9909" s="4"/>
      <c r="B9909" s="4"/>
      <c r="C9909" s="4"/>
      <c r="D9909" s="4"/>
      <c r="E9909" s="4"/>
      <c r="F9909" s="4"/>
      <c r="G9909" s="4"/>
      <c r="H9909" s="4"/>
      <c r="I9909" s="4"/>
      <c r="J9909" s="21">
        <f>IFERROR(VLOOKUP(C9909,'STOK KARTLARI'!$C$2:$K$2150,8,0),0)</f>
        <v>0</v>
      </c>
      <c r="K9909" s="21">
        <f t="shared" si="727"/>
        <v>0</v>
      </c>
      <c r="L9909" s="5">
        <f t="shared" si="729"/>
        <v>0</v>
      </c>
      <c r="M9909" s="4"/>
      <c r="N9909" s="4"/>
      <c r="O9909" s="5"/>
      <c r="P9909" s="5"/>
      <c r="Q9909" s="21">
        <f t="shared" si="730"/>
        <v>0</v>
      </c>
      <c r="R9909" s="21">
        <f t="shared" si="728"/>
        <v>0</v>
      </c>
      <c r="S9909" s="5">
        <f t="shared" si="723"/>
        <v>70007.077158325032</v>
      </c>
      <c r="T9909" cm="1">
        <f t="array" ref="T9909">IF(OR(B9909="MAL ALIMI", B9909="ÜRETİM GİRİŞ"), MIN(I9909, MAX(0, I9909 + SUM(SUMIFS($I$1:I9908, $C$1:C9908, C9909, $B$1:B9908, {"MAL ALIMI","ÜRETİM GİRİŞ"})) - VLOOKUP(C9909, 'STOK RAPORU'!$C$2:$I$1000, 4, 0))), 0)</f>
        <v>0</v>
      </c>
      <c r="U9909" s="22">
        <f t="shared" si="724"/>
        <v>0</v>
      </c>
      <c r="V9909">
        <f t="shared" si="725"/>
        <v>0</v>
      </c>
      <c r="W9909" s="22">
        <f t="shared" si="726"/>
        <v>0</v>
      </c>
    </row>
    <row r="9910" spans="1:23" hidden="1" x14ac:dyDescent="0.25">
      <c r="A9910" s="4"/>
      <c r="B9910" s="4"/>
      <c r="C9910" s="4"/>
      <c r="D9910" s="4"/>
      <c r="E9910" s="4"/>
      <c r="F9910" s="4"/>
      <c r="G9910" s="4"/>
      <c r="H9910" s="4"/>
      <c r="I9910" s="4"/>
      <c r="J9910" s="21">
        <f>IFERROR(VLOOKUP(C9910,'STOK KARTLARI'!$C$2:$K$2150,8,0),0)</f>
        <v>0</v>
      </c>
      <c r="K9910" s="21">
        <f t="shared" si="727"/>
        <v>0</v>
      </c>
      <c r="L9910" s="5">
        <f t="shared" si="729"/>
        <v>0</v>
      </c>
      <c r="M9910" s="4"/>
      <c r="N9910" s="4"/>
      <c r="O9910" s="5"/>
      <c r="P9910" s="5"/>
      <c r="Q9910" s="21">
        <f t="shared" si="730"/>
        <v>0</v>
      </c>
      <c r="R9910" s="21">
        <f t="shared" si="728"/>
        <v>0</v>
      </c>
      <c r="S9910" s="5">
        <f t="shared" si="723"/>
        <v>70007.077158325032</v>
      </c>
      <c r="T9910" cm="1">
        <f t="array" ref="T9910">IF(OR(B9910="MAL ALIMI", B9910="ÜRETİM GİRİŞ"), MIN(I9910, MAX(0, I9910 + SUM(SUMIFS($I$1:I9909, $C$1:C9909, C9910, $B$1:B9909, {"MAL ALIMI","ÜRETİM GİRİŞ"})) - VLOOKUP(C9910, 'STOK RAPORU'!$C$2:$I$1000, 4, 0))), 0)</f>
        <v>0</v>
      </c>
      <c r="U9910" s="22">
        <f t="shared" si="724"/>
        <v>0</v>
      </c>
      <c r="V9910">
        <f t="shared" si="725"/>
        <v>0</v>
      </c>
      <c r="W9910" s="22">
        <f t="shared" si="726"/>
        <v>0</v>
      </c>
    </row>
    <row r="9911" spans="1:23" hidden="1" x14ac:dyDescent="0.25">
      <c r="A9911" s="4"/>
      <c r="B9911" s="4"/>
      <c r="C9911" s="4"/>
      <c r="D9911" s="4"/>
      <c r="E9911" s="4"/>
      <c r="F9911" s="4"/>
      <c r="G9911" s="4"/>
      <c r="H9911" s="4"/>
      <c r="I9911" s="4"/>
      <c r="J9911" s="21">
        <f>IFERROR(VLOOKUP(C9911,'STOK KARTLARI'!$C$2:$K$2150,8,0),0)</f>
        <v>0</v>
      </c>
      <c r="K9911" s="21">
        <f t="shared" si="727"/>
        <v>0</v>
      </c>
      <c r="L9911" s="5">
        <f t="shared" si="729"/>
        <v>0</v>
      </c>
      <c r="M9911" s="4"/>
      <c r="N9911" s="4"/>
      <c r="O9911" s="5"/>
      <c r="P9911" s="5"/>
      <c r="Q9911" s="21">
        <f t="shared" si="730"/>
        <v>0</v>
      </c>
      <c r="R9911" s="21">
        <f t="shared" si="728"/>
        <v>0</v>
      </c>
      <c r="S9911" s="5">
        <f t="shared" si="723"/>
        <v>70007.077158325032</v>
      </c>
      <c r="T9911" cm="1">
        <f t="array" ref="T9911">IF(OR(B9911="MAL ALIMI", B9911="ÜRETİM GİRİŞ"), MIN(I9911, MAX(0, I9911 + SUM(SUMIFS($I$1:I9910, $C$1:C9910, C9911, $B$1:B9910, {"MAL ALIMI","ÜRETİM GİRİŞ"})) - VLOOKUP(C9911, 'STOK RAPORU'!$C$2:$I$1000, 4, 0))), 0)</f>
        <v>0</v>
      </c>
      <c r="U9911" s="22">
        <f t="shared" si="724"/>
        <v>0</v>
      </c>
      <c r="V9911">
        <f t="shared" si="725"/>
        <v>0</v>
      </c>
      <c r="W9911" s="22">
        <f t="shared" si="726"/>
        <v>0</v>
      </c>
    </row>
    <row r="9912" spans="1:23" hidden="1" x14ac:dyDescent="0.25">
      <c r="A9912" s="4"/>
      <c r="B9912" s="4"/>
      <c r="C9912" s="4"/>
      <c r="D9912" s="4"/>
      <c r="E9912" s="4"/>
      <c r="F9912" s="4"/>
      <c r="G9912" s="4"/>
      <c r="H9912" s="4"/>
      <c r="I9912" s="4"/>
      <c r="J9912" s="21">
        <f>IFERROR(VLOOKUP(C9912,'STOK KARTLARI'!$C$2:$K$2150,8,0),0)</f>
        <v>0</v>
      </c>
      <c r="K9912" s="21">
        <f t="shared" si="727"/>
        <v>0</v>
      </c>
      <c r="L9912" s="5">
        <f t="shared" si="729"/>
        <v>0</v>
      </c>
      <c r="M9912" s="4"/>
      <c r="N9912" s="4"/>
      <c r="O9912" s="5"/>
      <c r="P9912" s="5"/>
      <c r="Q9912" s="21">
        <f t="shared" si="730"/>
        <v>0</v>
      </c>
      <c r="R9912" s="21">
        <f t="shared" si="728"/>
        <v>0</v>
      </c>
      <c r="S9912" s="5">
        <f t="shared" si="723"/>
        <v>70007.077158325032</v>
      </c>
      <c r="T9912" cm="1">
        <f t="array" ref="T9912">IF(OR(B9912="MAL ALIMI", B9912="ÜRETİM GİRİŞ"), MIN(I9912, MAX(0, I9912 + SUM(SUMIFS($I$1:I9911, $C$1:C9911, C9912, $B$1:B9911, {"MAL ALIMI","ÜRETİM GİRİŞ"})) - VLOOKUP(C9912, 'STOK RAPORU'!$C$2:$I$1000, 4, 0))), 0)</f>
        <v>0</v>
      </c>
      <c r="U9912" s="22">
        <f t="shared" si="724"/>
        <v>0</v>
      </c>
      <c r="V9912">
        <f t="shared" si="725"/>
        <v>0</v>
      </c>
      <c r="W9912" s="22">
        <f t="shared" si="726"/>
        <v>0</v>
      </c>
    </row>
    <row r="9913" spans="1:23" hidden="1" x14ac:dyDescent="0.25">
      <c r="A9913" s="4"/>
      <c r="B9913" s="4"/>
      <c r="C9913" s="4"/>
      <c r="D9913" s="4"/>
      <c r="E9913" s="4"/>
      <c r="F9913" s="4"/>
      <c r="G9913" s="4"/>
      <c r="H9913" s="4"/>
      <c r="I9913" s="4"/>
      <c r="J9913" s="21">
        <f>IFERROR(VLOOKUP(C9913,'STOK KARTLARI'!$C$2:$K$2150,8,0),0)</f>
        <v>0</v>
      </c>
      <c r="K9913" s="21">
        <f t="shared" si="727"/>
        <v>0</v>
      </c>
      <c r="L9913" s="5">
        <f t="shared" si="729"/>
        <v>0</v>
      </c>
      <c r="M9913" s="4"/>
      <c r="N9913" s="4"/>
      <c r="O9913" s="5"/>
      <c r="P9913" s="5"/>
      <c r="Q9913" s="21">
        <f t="shared" si="730"/>
        <v>0</v>
      </c>
      <c r="R9913" s="21">
        <f t="shared" si="728"/>
        <v>0</v>
      </c>
      <c r="S9913" s="5">
        <f t="shared" si="723"/>
        <v>70007.077158325032</v>
      </c>
      <c r="T9913" cm="1">
        <f t="array" ref="T9913">IF(OR(B9913="MAL ALIMI", B9913="ÜRETİM GİRİŞ"), MIN(I9913, MAX(0, I9913 + SUM(SUMIFS($I$1:I9912, $C$1:C9912, C9913, $B$1:B9912, {"MAL ALIMI","ÜRETİM GİRİŞ"})) - VLOOKUP(C9913, 'STOK RAPORU'!$C$2:$I$1000, 4, 0))), 0)</f>
        <v>0</v>
      </c>
      <c r="U9913" s="22">
        <f t="shared" si="724"/>
        <v>0</v>
      </c>
      <c r="V9913">
        <f t="shared" si="725"/>
        <v>0</v>
      </c>
      <c r="W9913" s="22">
        <f t="shared" si="726"/>
        <v>0</v>
      </c>
    </row>
    <row r="9914" spans="1:23" hidden="1" x14ac:dyDescent="0.25">
      <c r="A9914" s="4"/>
      <c r="B9914" s="4"/>
      <c r="C9914" s="4"/>
      <c r="D9914" s="4"/>
      <c r="E9914" s="4"/>
      <c r="F9914" s="4"/>
      <c r="G9914" s="4"/>
      <c r="H9914" s="4"/>
      <c r="I9914" s="4"/>
      <c r="J9914" s="21">
        <f>IFERROR(VLOOKUP(C9914,'STOK KARTLARI'!$C$2:$K$2150,8,0),0)</f>
        <v>0</v>
      </c>
      <c r="K9914" s="21">
        <f t="shared" si="727"/>
        <v>0</v>
      </c>
      <c r="L9914" s="5">
        <f t="shared" si="729"/>
        <v>0</v>
      </c>
      <c r="M9914" s="4"/>
      <c r="N9914" s="4"/>
      <c r="O9914" s="5"/>
      <c r="P9914" s="5"/>
      <c r="Q9914" s="21">
        <f t="shared" si="730"/>
        <v>0</v>
      </c>
      <c r="R9914" s="21">
        <f t="shared" si="728"/>
        <v>0</v>
      </c>
      <c r="S9914" s="5">
        <f t="shared" si="723"/>
        <v>70007.077158325032</v>
      </c>
      <c r="T9914" cm="1">
        <f t="array" ref="T9914">IF(OR(B9914="MAL ALIMI", B9914="ÜRETİM GİRİŞ"), MIN(I9914, MAX(0, I9914 + SUM(SUMIFS($I$1:I9913, $C$1:C9913, C9914, $B$1:B9913, {"MAL ALIMI","ÜRETİM GİRİŞ"})) - VLOOKUP(C9914, 'STOK RAPORU'!$C$2:$I$1000, 4, 0))), 0)</f>
        <v>0</v>
      </c>
      <c r="U9914" s="22">
        <f t="shared" si="724"/>
        <v>0</v>
      </c>
      <c r="V9914">
        <f t="shared" si="725"/>
        <v>0</v>
      </c>
      <c r="W9914" s="22">
        <f t="shared" si="726"/>
        <v>0</v>
      </c>
    </row>
    <row r="9915" spans="1:23" hidden="1" x14ac:dyDescent="0.25">
      <c r="A9915" s="3"/>
      <c r="B9915" s="4"/>
      <c r="C9915" s="4"/>
      <c r="D9915" s="4"/>
      <c r="E9915" s="4"/>
      <c r="F9915" s="4"/>
      <c r="G9915" s="4"/>
      <c r="H9915" s="4"/>
      <c r="I9915" s="4"/>
      <c r="J9915" s="21">
        <f>IFERROR(VLOOKUP(C9915,'STOK KARTLARI'!$C$2:$K$2150,8,0),0)</f>
        <v>0</v>
      </c>
      <c r="K9915" s="21">
        <f t="shared" si="727"/>
        <v>0</v>
      </c>
      <c r="L9915" s="5">
        <f t="shared" si="729"/>
        <v>0</v>
      </c>
      <c r="M9915" s="4"/>
      <c r="N9915" s="4"/>
      <c r="O9915" s="5"/>
      <c r="P9915" s="5"/>
      <c r="Q9915" s="21">
        <f t="shared" si="730"/>
        <v>0</v>
      </c>
      <c r="R9915" s="21">
        <f t="shared" si="728"/>
        <v>0</v>
      </c>
      <c r="S9915" s="5">
        <f t="shared" si="723"/>
        <v>70007.077158325032</v>
      </c>
      <c r="T9915" cm="1">
        <f t="array" ref="T9915">IF(OR(B9915="MAL ALIMI", B9915="ÜRETİM GİRİŞ"), MIN(I9915, MAX(0, I9915 + SUM(SUMIFS($I$1:I9914, $C$1:C9914, C9915, $B$1:B9914, {"MAL ALIMI","ÜRETİM GİRİŞ"})) - VLOOKUP(C9915, 'STOK RAPORU'!$C$2:$I$1000, 4, 0))), 0)</f>
        <v>0</v>
      </c>
      <c r="U9915" s="22">
        <f t="shared" si="724"/>
        <v>0</v>
      </c>
      <c r="V9915">
        <f t="shared" si="725"/>
        <v>0</v>
      </c>
      <c r="W9915" s="22">
        <f t="shared" si="726"/>
        <v>0</v>
      </c>
    </row>
    <row r="9916" spans="1:23" hidden="1" x14ac:dyDescent="0.25">
      <c r="A9916" s="4"/>
      <c r="B9916" s="4"/>
      <c r="C9916" s="4"/>
      <c r="D9916" s="4"/>
      <c r="E9916" s="4"/>
      <c r="F9916" s="4"/>
      <c r="G9916" s="4"/>
      <c r="H9916" s="4"/>
      <c r="I9916" s="4"/>
      <c r="J9916" s="21">
        <f>IFERROR(VLOOKUP(C9916,'STOK KARTLARI'!$C$2:$K$2150,8,0),0)</f>
        <v>0</v>
      </c>
      <c r="K9916" s="21">
        <f t="shared" si="727"/>
        <v>0</v>
      </c>
      <c r="L9916" s="5">
        <f t="shared" si="729"/>
        <v>0</v>
      </c>
      <c r="M9916" s="4"/>
      <c r="N9916" s="4"/>
      <c r="O9916" s="5"/>
      <c r="P9916" s="5"/>
      <c r="Q9916" s="21">
        <f t="shared" si="730"/>
        <v>0</v>
      </c>
      <c r="R9916" s="21">
        <f t="shared" si="728"/>
        <v>0</v>
      </c>
      <c r="S9916" s="5">
        <f t="shared" si="723"/>
        <v>70007.077158325032</v>
      </c>
      <c r="T9916" cm="1">
        <f t="array" ref="T9916">IF(OR(B9916="MAL ALIMI", B9916="ÜRETİM GİRİŞ"), MIN(I9916, MAX(0, I9916 + SUM(SUMIFS($I$1:I9915, $C$1:C9915, C9916, $B$1:B9915, {"MAL ALIMI","ÜRETİM GİRİŞ"})) - VLOOKUP(C9916, 'STOK RAPORU'!$C$2:$I$1000, 4, 0))), 0)</f>
        <v>0</v>
      </c>
      <c r="U9916" s="22">
        <f t="shared" si="724"/>
        <v>0</v>
      </c>
      <c r="V9916">
        <f t="shared" si="725"/>
        <v>0</v>
      </c>
      <c r="W9916" s="22">
        <f t="shared" si="726"/>
        <v>0</v>
      </c>
    </row>
    <row r="9917" spans="1:23" hidden="1" x14ac:dyDescent="0.25">
      <c r="A9917" s="4"/>
      <c r="B9917" s="4"/>
      <c r="C9917" s="4"/>
      <c r="D9917" s="4"/>
      <c r="E9917" s="4"/>
      <c r="F9917" s="4"/>
      <c r="G9917" s="4"/>
      <c r="H9917" s="4"/>
      <c r="I9917" s="4"/>
      <c r="J9917" s="21">
        <f>IFERROR(VLOOKUP(C9917,'STOK KARTLARI'!$C$2:$K$2150,8,0),0)</f>
        <v>0</v>
      </c>
      <c r="K9917" s="21">
        <f t="shared" si="727"/>
        <v>0</v>
      </c>
      <c r="L9917" s="5">
        <f t="shared" si="729"/>
        <v>0</v>
      </c>
      <c r="M9917" s="4"/>
      <c r="N9917" s="4"/>
      <c r="O9917" s="5"/>
      <c r="P9917" s="5"/>
      <c r="Q9917" s="21">
        <f t="shared" si="730"/>
        <v>0</v>
      </c>
      <c r="R9917" s="21">
        <f t="shared" si="728"/>
        <v>0</v>
      </c>
      <c r="S9917" s="5">
        <f t="shared" si="723"/>
        <v>70007.077158325032</v>
      </c>
      <c r="T9917" cm="1">
        <f t="array" ref="T9917">IF(OR(B9917="MAL ALIMI", B9917="ÜRETİM GİRİŞ"), MIN(I9917, MAX(0, I9917 + SUM(SUMIFS($I$1:I9916, $C$1:C9916, C9917, $B$1:B9916, {"MAL ALIMI","ÜRETİM GİRİŞ"})) - VLOOKUP(C9917, 'STOK RAPORU'!$C$2:$I$1000, 4, 0))), 0)</f>
        <v>0</v>
      </c>
      <c r="U9917" s="22">
        <f t="shared" si="724"/>
        <v>0</v>
      </c>
      <c r="V9917">
        <f t="shared" si="725"/>
        <v>0</v>
      </c>
      <c r="W9917" s="22">
        <f t="shared" si="726"/>
        <v>0</v>
      </c>
    </row>
    <row r="9918" spans="1:23" hidden="1" x14ac:dyDescent="0.25">
      <c r="A9918" s="4"/>
      <c r="B9918" s="4"/>
      <c r="C9918" s="4"/>
      <c r="D9918" s="4"/>
      <c r="E9918" s="4"/>
      <c r="F9918" s="4"/>
      <c r="G9918" s="4"/>
      <c r="H9918" s="4"/>
      <c r="I9918" s="4"/>
      <c r="J9918" s="21">
        <f>IFERROR(VLOOKUP(C9918,'STOK KARTLARI'!$C$2:$K$2150,8,0),0)</f>
        <v>0</v>
      </c>
      <c r="K9918" s="21">
        <f t="shared" si="727"/>
        <v>0</v>
      </c>
      <c r="L9918" s="5">
        <f t="shared" si="729"/>
        <v>0</v>
      </c>
      <c r="M9918" s="4"/>
      <c r="N9918" s="4"/>
      <c r="O9918" s="5"/>
      <c r="P9918" s="5"/>
      <c r="Q9918" s="21">
        <f t="shared" si="730"/>
        <v>0</v>
      </c>
      <c r="R9918" s="21">
        <f t="shared" si="728"/>
        <v>0</v>
      </c>
      <c r="S9918" s="5">
        <f t="shared" si="723"/>
        <v>70007.077158325032</v>
      </c>
      <c r="T9918" cm="1">
        <f t="array" ref="T9918">IF(OR(B9918="MAL ALIMI", B9918="ÜRETİM GİRİŞ"), MIN(I9918, MAX(0, I9918 + SUM(SUMIFS($I$1:I9917, $C$1:C9917, C9918, $B$1:B9917, {"MAL ALIMI","ÜRETİM GİRİŞ"})) - VLOOKUP(C9918, 'STOK RAPORU'!$C$2:$I$1000, 4, 0))), 0)</f>
        <v>0</v>
      </c>
      <c r="U9918" s="22">
        <f t="shared" si="724"/>
        <v>0</v>
      </c>
      <c r="V9918">
        <f t="shared" si="725"/>
        <v>0</v>
      </c>
      <c r="W9918" s="22">
        <f t="shared" si="726"/>
        <v>0</v>
      </c>
    </row>
    <row r="9919" spans="1:23" hidden="1" x14ac:dyDescent="0.25">
      <c r="A9919" s="4"/>
      <c r="B9919" s="4"/>
      <c r="C9919" s="4"/>
      <c r="D9919" s="4"/>
      <c r="E9919" s="4"/>
      <c r="F9919" s="4"/>
      <c r="G9919" s="4"/>
      <c r="H9919" s="4"/>
      <c r="I9919" s="4"/>
      <c r="J9919" s="21">
        <f>IFERROR(VLOOKUP(C9919,'STOK KARTLARI'!$C$2:$K$2150,8,0),0)</f>
        <v>0</v>
      </c>
      <c r="K9919" s="21">
        <f t="shared" si="727"/>
        <v>0</v>
      </c>
      <c r="L9919" s="5">
        <f t="shared" si="729"/>
        <v>0</v>
      </c>
      <c r="M9919" s="4"/>
      <c r="N9919" s="4"/>
      <c r="O9919" s="5"/>
      <c r="P9919" s="5"/>
      <c r="Q9919" s="21">
        <f t="shared" si="730"/>
        <v>0</v>
      </c>
      <c r="R9919" s="21">
        <f t="shared" si="728"/>
        <v>0</v>
      </c>
      <c r="S9919" s="5">
        <f t="shared" si="723"/>
        <v>70007.077158325032</v>
      </c>
      <c r="T9919" cm="1">
        <f t="array" ref="T9919">IF(OR(B9919="MAL ALIMI", B9919="ÜRETİM GİRİŞ"), MIN(I9919, MAX(0, I9919 + SUM(SUMIFS($I$1:I9918, $C$1:C9918, C9919, $B$1:B9918, {"MAL ALIMI","ÜRETİM GİRİŞ"})) - VLOOKUP(C9919, 'STOK RAPORU'!$C$2:$I$1000, 4, 0))), 0)</f>
        <v>0</v>
      </c>
      <c r="U9919" s="22">
        <f t="shared" si="724"/>
        <v>0</v>
      </c>
      <c r="V9919">
        <f t="shared" si="725"/>
        <v>0</v>
      </c>
      <c r="W9919" s="22">
        <f t="shared" si="726"/>
        <v>0</v>
      </c>
    </row>
    <row r="9920" spans="1:23" hidden="1" x14ac:dyDescent="0.25">
      <c r="A9920" s="4"/>
      <c r="B9920" s="4"/>
      <c r="C9920" s="4"/>
      <c r="D9920" s="4"/>
      <c r="E9920" s="4"/>
      <c r="F9920" s="4"/>
      <c r="G9920" s="4"/>
      <c r="H9920" s="4"/>
      <c r="I9920" s="4"/>
      <c r="J9920" s="21">
        <f>IFERROR(VLOOKUP(C9920,'STOK KARTLARI'!$C$2:$K$2150,8,0),0)</f>
        <v>0</v>
      </c>
      <c r="K9920" s="21">
        <f t="shared" si="727"/>
        <v>0</v>
      </c>
      <c r="L9920" s="5">
        <f t="shared" si="729"/>
        <v>0</v>
      </c>
      <c r="M9920" s="4"/>
      <c r="N9920" s="4"/>
      <c r="O9920" s="5"/>
      <c r="P9920" s="5"/>
      <c r="Q9920" s="21">
        <f t="shared" si="730"/>
        <v>0</v>
      </c>
      <c r="R9920" s="21">
        <f t="shared" si="728"/>
        <v>0</v>
      </c>
      <c r="S9920" s="5">
        <f t="shared" si="723"/>
        <v>70007.077158325032</v>
      </c>
      <c r="T9920" cm="1">
        <f t="array" ref="T9920">IF(OR(B9920="MAL ALIMI", B9920="ÜRETİM GİRİŞ"), MIN(I9920, MAX(0, I9920 + SUM(SUMIFS($I$1:I9919, $C$1:C9919, C9920, $B$1:B9919, {"MAL ALIMI","ÜRETİM GİRİŞ"})) - VLOOKUP(C9920, 'STOK RAPORU'!$C$2:$I$1000, 4, 0))), 0)</f>
        <v>0</v>
      </c>
      <c r="U9920" s="22">
        <f t="shared" si="724"/>
        <v>0</v>
      </c>
      <c r="V9920">
        <f t="shared" si="725"/>
        <v>0</v>
      </c>
      <c r="W9920" s="22">
        <f t="shared" si="726"/>
        <v>0</v>
      </c>
    </row>
    <row r="9921" spans="1:23" hidden="1" x14ac:dyDescent="0.25">
      <c r="A9921" s="4"/>
      <c r="B9921" s="4"/>
      <c r="C9921" s="4"/>
      <c r="D9921" s="4"/>
      <c r="E9921" s="4"/>
      <c r="F9921" s="4"/>
      <c r="G9921" s="4"/>
      <c r="H9921" s="4"/>
      <c r="I9921" s="4"/>
      <c r="J9921" s="21">
        <f>IFERROR(VLOOKUP(C9921,'STOK KARTLARI'!$C$2:$K$2150,8,0),0)</f>
        <v>0</v>
      </c>
      <c r="K9921" s="21">
        <f t="shared" si="727"/>
        <v>0</v>
      </c>
      <c r="L9921" s="5">
        <f t="shared" si="729"/>
        <v>0</v>
      </c>
      <c r="M9921" s="4"/>
      <c r="N9921" s="4"/>
      <c r="O9921" s="5"/>
      <c r="P9921" s="5"/>
      <c r="Q9921" s="21">
        <f t="shared" si="730"/>
        <v>0</v>
      </c>
      <c r="R9921" s="21">
        <f t="shared" si="728"/>
        <v>0</v>
      </c>
      <c r="S9921" s="5">
        <f t="shared" si="723"/>
        <v>70007.077158325032</v>
      </c>
      <c r="T9921" cm="1">
        <f t="array" ref="T9921">IF(OR(B9921="MAL ALIMI", B9921="ÜRETİM GİRİŞ"), MIN(I9921, MAX(0, I9921 + SUM(SUMIFS($I$1:I9920, $C$1:C9920, C9921, $B$1:B9920, {"MAL ALIMI","ÜRETİM GİRİŞ"})) - VLOOKUP(C9921, 'STOK RAPORU'!$C$2:$I$1000, 4, 0))), 0)</f>
        <v>0</v>
      </c>
      <c r="U9921" s="22">
        <f t="shared" si="724"/>
        <v>0</v>
      </c>
      <c r="V9921">
        <f t="shared" si="725"/>
        <v>0</v>
      </c>
      <c r="W9921" s="22">
        <f t="shared" si="726"/>
        <v>0</v>
      </c>
    </row>
    <row r="9922" spans="1:23" hidden="1" x14ac:dyDescent="0.25">
      <c r="A9922" s="3"/>
      <c r="B9922" s="4"/>
      <c r="C9922" s="4"/>
      <c r="D9922" s="4"/>
      <c r="E9922" s="4"/>
      <c r="F9922" s="4"/>
      <c r="G9922" s="4"/>
      <c r="H9922" s="4"/>
      <c r="I9922" s="4"/>
      <c r="J9922" s="21">
        <f>IFERROR(VLOOKUP(C9922,'STOK KARTLARI'!$C$2:$K$2150,8,0),0)</f>
        <v>0</v>
      </c>
      <c r="K9922" s="21">
        <f t="shared" si="727"/>
        <v>0</v>
      </c>
      <c r="L9922" s="5">
        <f t="shared" si="729"/>
        <v>0</v>
      </c>
      <c r="M9922" s="4"/>
      <c r="N9922" s="4"/>
      <c r="O9922" s="5"/>
      <c r="P9922" s="5"/>
      <c r="Q9922" s="21">
        <f t="shared" si="730"/>
        <v>0</v>
      </c>
      <c r="R9922" s="21">
        <f t="shared" si="728"/>
        <v>0</v>
      </c>
      <c r="S9922" s="5">
        <f t="shared" si="723"/>
        <v>70007.077158325032</v>
      </c>
      <c r="T9922" cm="1">
        <f t="array" ref="T9922">IF(OR(B9922="MAL ALIMI", B9922="ÜRETİM GİRİŞ"), MIN(I9922, MAX(0, I9922 + SUM(SUMIFS($I$1:I9921, $C$1:C9921, C9922, $B$1:B9921, {"MAL ALIMI","ÜRETİM GİRİŞ"})) - VLOOKUP(C9922, 'STOK RAPORU'!$C$2:$I$1000, 4, 0))), 0)</f>
        <v>0</v>
      </c>
      <c r="U9922" s="22">
        <f t="shared" si="724"/>
        <v>0</v>
      </c>
      <c r="V9922">
        <f t="shared" si="725"/>
        <v>0</v>
      </c>
      <c r="W9922" s="22">
        <f t="shared" si="726"/>
        <v>0</v>
      </c>
    </row>
    <row r="9923" spans="1:23" hidden="1" x14ac:dyDescent="0.25">
      <c r="A9923" s="4"/>
      <c r="B9923" s="4"/>
      <c r="C9923" s="4"/>
      <c r="D9923" s="4"/>
      <c r="E9923" s="4"/>
      <c r="F9923" s="4"/>
      <c r="G9923" s="4"/>
      <c r="H9923" s="4"/>
      <c r="I9923" s="4"/>
      <c r="J9923" s="21">
        <f>IFERROR(VLOOKUP(C9923,'STOK KARTLARI'!$C$2:$K$2150,8,0),0)</f>
        <v>0</v>
      </c>
      <c r="K9923" s="21">
        <f t="shared" si="727"/>
        <v>0</v>
      </c>
      <c r="L9923" s="5">
        <f t="shared" si="729"/>
        <v>0</v>
      </c>
      <c r="M9923" s="4"/>
      <c r="N9923" s="4"/>
      <c r="O9923" s="5"/>
      <c r="P9923" s="5"/>
      <c r="Q9923" s="21">
        <f t="shared" si="730"/>
        <v>0</v>
      </c>
      <c r="R9923" s="21">
        <f t="shared" si="728"/>
        <v>0</v>
      </c>
      <c r="S9923" s="5">
        <f t="shared" si="723"/>
        <v>70007.077158325032</v>
      </c>
      <c r="T9923" cm="1">
        <f t="array" ref="T9923">IF(OR(B9923="MAL ALIMI", B9923="ÜRETİM GİRİŞ"), MIN(I9923, MAX(0, I9923 + SUM(SUMIFS($I$1:I9922, $C$1:C9922, C9923, $B$1:B9922, {"MAL ALIMI","ÜRETİM GİRİŞ"})) - VLOOKUP(C9923, 'STOK RAPORU'!$C$2:$I$1000, 4, 0))), 0)</f>
        <v>0</v>
      </c>
      <c r="U9923" s="22">
        <f t="shared" si="724"/>
        <v>0</v>
      </c>
      <c r="V9923">
        <f t="shared" si="725"/>
        <v>0</v>
      </c>
      <c r="W9923" s="22">
        <f t="shared" si="726"/>
        <v>0</v>
      </c>
    </row>
    <row r="9924" spans="1:23" hidden="1" x14ac:dyDescent="0.25">
      <c r="A9924" s="4"/>
      <c r="B9924" s="4"/>
      <c r="C9924" s="4"/>
      <c r="D9924" s="4"/>
      <c r="E9924" s="4"/>
      <c r="F9924" s="4"/>
      <c r="G9924" s="4"/>
      <c r="H9924" s="4"/>
      <c r="I9924" s="4"/>
      <c r="J9924" s="21">
        <f>IFERROR(VLOOKUP(C9924,'STOK KARTLARI'!$C$2:$K$2150,8,0),0)</f>
        <v>0</v>
      </c>
      <c r="K9924" s="21">
        <f t="shared" si="727"/>
        <v>0</v>
      </c>
      <c r="L9924" s="5">
        <f t="shared" si="729"/>
        <v>0</v>
      </c>
      <c r="M9924" s="4"/>
      <c r="N9924" s="4"/>
      <c r="O9924" s="5"/>
      <c r="P9924" s="5"/>
      <c r="Q9924" s="21">
        <f t="shared" si="730"/>
        <v>0</v>
      </c>
      <c r="R9924" s="21">
        <f t="shared" si="728"/>
        <v>0</v>
      </c>
      <c r="S9924" s="5">
        <f t="shared" si="723"/>
        <v>70007.077158325032</v>
      </c>
      <c r="T9924" cm="1">
        <f t="array" ref="T9924">IF(OR(B9924="MAL ALIMI", B9924="ÜRETİM GİRİŞ"), MIN(I9924, MAX(0, I9924 + SUM(SUMIFS($I$1:I9923, $C$1:C9923, C9924, $B$1:B9923, {"MAL ALIMI","ÜRETİM GİRİŞ"})) - VLOOKUP(C9924, 'STOK RAPORU'!$C$2:$I$1000, 4, 0))), 0)</f>
        <v>0</v>
      </c>
      <c r="U9924" s="22">
        <f t="shared" si="724"/>
        <v>0</v>
      </c>
      <c r="V9924">
        <f t="shared" si="725"/>
        <v>0</v>
      </c>
      <c r="W9924" s="22">
        <f t="shared" si="726"/>
        <v>0</v>
      </c>
    </row>
    <row r="9925" spans="1:23" hidden="1" x14ac:dyDescent="0.25">
      <c r="A9925" s="4"/>
      <c r="B9925" s="4"/>
      <c r="C9925" s="4"/>
      <c r="D9925" s="4"/>
      <c r="E9925" s="4"/>
      <c r="F9925" s="4"/>
      <c r="G9925" s="4"/>
      <c r="H9925" s="4"/>
      <c r="I9925" s="4"/>
      <c r="J9925" s="21">
        <f>IFERROR(VLOOKUP(C9925,'STOK KARTLARI'!$C$2:$K$2150,8,0),0)</f>
        <v>0</v>
      </c>
      <c r="K9925" s="21">
        <f t="shared" si="727"/>
        <v>0</v>
      </c>
      <c r="L9925" s="5">
        <f t="shared" si="729"/>
        <v>0</v>
      </c>
      <c r="M9925" s="4"/>
      <c r="N9925" s="4"/>
      <c r="O9925" s="5"/>
      <c r="P9925" s="5"/>
      <c r="Q9925" s="21">
        <f t="shared" si="730"/>
        <v>0</v>
      </c>
      <c r="R9925" s="21">
        <f t="shared" si="728"/>
        <v>0</v>
      </c>
      <c r="S9925" s="5">
        <f t="shared" ref="S9925:S9988" si="731">S9924+Q9925-R9925</f>
        <v>70007.077158325032</v>
      </c>
      <c r="T9925" cm="1">
        <f t="array" ref="T9925">IF(OR(B9925="MAL ALIMI", B9925="ÜRETİM GİRİŞ"), MIN(I9925, MAX(0, I9925 + SUM(SUMIFS($I$1:I9924, $C$1:C9924, C9925, $B$1:B9924, {"MAL ALIMI","ÜRETİM GİRİŞ"})) - VLOOKUP(C9925, 'STOK RAPORU'!$C$2:$I$1000, 4, 0))), 0)</f>
        <v>0</v>
      </c>
      <c r="U9925" s="22">
        <f t="shared" si="724"/>
        <v>0</v>
      </c>
      <c r="V9925">
        <f t="shared" si="725"/>
        <v>0</v>
      </c>
      <c r="W9925" s="22">
        <f t="shared" si="726"/>
        <v>0</v>
      </c>
    </row>
    <row r="9926" spans="1:23" hidden="1" x14ac:dyDescent="0.25">
      <c r="A9926" s="4"/>
      <c r="B9926" s="4"/>
      <c r="C9926" s="4"/>
      <c r="D9926" s="4"/>
      <c r="E9926" s="4"/>
      <c r="F9926" s="4"/>
      <c r="G9926" s="4"/>
      <c r="H9926" s="4"/>
      <c r="I9926" s="4"/>
      <c r="J9926" s="21">
        <f>IFERROR(VLOOKUP(C9926,'STOK KARTLARI'!$C$2:$K$2150,8,0),0)</f>
        <v>0</v>
      </c>
      <c r="K9926" s="21">
        <f t="shared" si="727"/>
        <v>0</v>
      </c>
      <c r="L9926" s="5">
        <f t="shared" si="729"/>
        <v>0</v>
      </c>
      <c r="M9926" s="4"/>
      <c r="N9926" s="4"/>
      <c r="O9926" s="5"/>
      <c r="P9926" s="5"/>
      <c r="Q9926" s="21">
        <f t="shared" si="730"/>
        <v>0</v>
      </c>
      <c r="R9926" s="21">
        <f t="shared" si="728"/>
        <v>0</v>
      </c>
      <c r="S9926" s="5">
        <f t="shared" si="731"/>
        <v>70007.077158325032</v>
      </c>
      <c r="T9926" cm="1">
        <f t="array" ref="T9926">IF(OR(B9926="MAL ALIMI", B9926="ÜRETİM GİRİŞ"), MIN(I9926, MAX(0, I9926 + SUM(SUMIFS($I$1:I9925, $C$1:C9925, C9926, $B$1:B9925, {"MAL ALIMI","ÜRETİM GİRİŞ"})) - VLOOKUP(C9926, 'STOK RAPORU'!$C$2:$I$1000, 4, 0))), 0)</f>
        <v>0</v>
      </c>
      <c r="U9926" s="22">
        <f t="shared" si="724"/>
        <v>0</v>
      </c>
      <c r="V9926">
        <f t="shared" si="725"/>
        <v>0</v>
      </c>
      <c r="W9926" s="22">
        <f t="shared" si="726"/>
        <v>0</v>
      </c>
    </row>
    <row r="9927" spans="1:23" hidden="1" x14ac:dyDescent="0.25">
      <c r="A9927" s="4"/>
      <c r="B9927" s="4"/>
      <c r="C9927" s="4"/>
      <c r="D9927" s="4"/>
      <c r="E9927" s="4"/>
      <c r="F9927" s="4"/>
      <c r="G9927" s="4"/>
      <c r="H9927" s="4"/>
      <c r="I9927" s="4"/>
      <c r="J9927" s="21">
        <f>IFERROR(VLOOKUP(C9927,'STOK KARTLARI'!$C$2:$K$2150,8,0),0)</f>
        <v>0</v>
      </c>
      <c r="K9927" s="21">
        <f t="shared" si="727"/>
        <v>0</v>
      </c>
      <c r="L9927" s="5">
        <f t="shared" si="729"/>
        <v>0</v>
      </c>
      <c r="M9927" s="4"/>
      <c r="N9927" s="4"/>
      <c r="O9927" s="5"/>
      <c r="P9927" s="5"/>
      <c r="Q9927" s="21">
        <f t="shared" si="730"/>
        <v>0</v>
      </c>
      <c r="R9927" s="21">
        <f t="shared" si="728"/>
        <v>0</v>
      </c>
      <c r="S9927" s="5">
        <f t="shared" si="731"/>
        <v>70007.077158325032</v>
      </c>
      <c r="T9927" cm="1">
        <f t="array" ref="T9927">IF(OR(B9927="MAL ALIMI", B9927="ÜRETİM GİRİŞ"), MIN(I9927, MAX(0, I9927 + SUM(SUMIFS($I$1:I9926, $C$1:C9926, C9927, $B$1:B9926, {"MAL ALIMI","ÜRETİM GİRİŞ"})) - VLOOKUP(C9927, 'STOK RAPORU'!$C$2:$I$1000, 4, 0))), 0)</f>
        <v>0</v>
      </c>
      <c r="U9927" s="22">
        <f t="shared" si="724"/>
        <v>0</v>
      </c>
      <c r="V9927">
        <f t="shared" si="725"/>
        <v>0</v>
      </c>
      <c r="W9927" s="22">
        <f t="shared" si="726"/>
        <v>0</v>
      </c>
    </row>
    <row r="9928" spans="1:23" hidden="1" x14ac:dyDescent="0.25">
      <c r="A9928" s="4"/>
      <c r="B9928" s="4"/>
      <c r="C9928" s="4"/>
      <c r="D9928" s="4"/>
      <c r="E9928" s="4"/>
      <c r="F9928" s="4"/>
      <c r="G9928" s="4"/>
      <c r="H9928" s="4"/>
      <c r="I9928" s="4"/>
      <c r="J9928" s="21">
        <f>IFERROR(VLOOKUP(C9928,'STOK KARTLARI'!$C$2:$K$2150,8,0),0)</f>
        <v>0</v>
      </c>
      <c r="K9928" s="21">
        <f t="shared" si="727"/>
        <v>0</v>
      </c>
      <c r="L9928" s="5">
        <f t="shared" si="729"/>
        <v>0</v>
      </c>
      <c r="M9928" s="4"/>
      <c r="N9928" s="4"/>
      <c r="O9928" s="5"/>
      <c r="P9928" s="5"/>
      <c r="Q9928" s="21">
        <f t="shared" si="730"/>
        <v>0</v>
      </c>
      <c r="R9928" s="21">
        <f t="shared" si="728"/>
        <v>0</v>
      </c>
      <c r="S9928" s="5">
        <f t="shared" si="731"/>
        <v>70007.077158325032</v>
      </c>
      <c r="T9928" cm="1">
        <f t="array" ref="T9928">IF(OR(B9928="MAL ALIMI", B9928="ÜRETİM GİRİŞ"), MIN(I9928, MAX(0, I9928 + SUM(SUMIFS($I$1:I9927, $C$1:C9927, C9928, $B$1:B9927, {"MAL ALIMI","ÜRETİM GİRİŞ"})) - VLOOKUP(C9928, 'STOK RAPORU'!$C$2:$I$1000, 4, 0))), 0)</f>
        <v>0</v>
      </c>
      <c r="U9928" s="22">
        <f t="shared" si="724"/>
        <v>0</v>
      </c>
      <c r="V9928">
        <f t="shared" si="725"/>
        <v>0</v>
      </c>
      <c r="W9928" s="22">
        <f t="shared" si="726"/>
        <v>0</v>
      </c>
    </row>
    <row r="9929" spans="1:23" hidden="1" x14ac:dyDescent="0.25">
      <c r="A9929" s="3"/>
      <c r="B9929" s="4"/>
      <c r="C9929" s="4"/>
      <c r="D9929" s="4"/>
      <c r="E9929" s="4"/>
      <c r="F9929" s="4"/>
      <c r="G9929" s="4"/>
      <c r="H9929" s="4"/>
      <c r="I9929" s="4"/>
      <c r="J9929" s="21">
        <f>IFERROR(VLOOKUP(C9929,'STOK KARTLARI'!$C$2:$K$2150,8,0),0)</f>
        <v>0</v>
      </c>
      <c r="K9929" s="21">
        <f t="shared" si="727"/>
        <v>0</v>
      </c>
      <c r="L9929" s="5">
        <f t="shared" si="729"/>
        <v>0</v>
      </c>
      <c r="M9929" s="4"/>
      <c r="N9929" s="4"/>
      <c r="O9929" s="5"/>
      <c r="P9929" s="5"/>
      <c r="Q9929" s="21">
        <f t="shared" si="730"/>
        <v>0</v>
      </c>
      <c r="R9929" s="21">
        <f t="shared" si="728"/>
        <v>0</v>
      </c>
      <c r="S9929" s="5">
        <f t="shared" si="731"/>
        <v>70007.077158325032</v>
      </c>
      <c r="T9929" cm="1">
        <f t="array" ref="T9929">IF(OR(B9929="MAL ALIMI", B9929="ÜRETİM GİRİŞ"), MIN(I9929, MAX(0, I9929 + SUM(SUMIFS($I$1:I9928, $C$1:C9928, C9929, $B$1:B9928, {"MAL ALIMI","ÜRETİM GİRİŞ"})) - VLOOKUP(C9929, 'STOK RAPORU'!$C$2:$I$1000, 4, 0))), 0)</f>
        <v>0</v>
      </c>
      <c r="U9929" s="22">
        <f t="shared" si="724"/>
        <v>0</v>
      </c>
      <c r="V9929">
        <f t="shared" si="725"/>
        <v>0</v>
      </c>
      <c r="W9929" s="22">
        <f t="shared" si="726"/>
        <v>0</v>
      </c>
    </row>
    <row r="9930" spans="1:23" hidden="1" x14ac:dyDescent="0.25">
      <c r="A9930" s="3"/>
      <c r="B9930" s="4"/>
      <c r="C9930" s="4"/>
      <c r="D9930" s="4"/>
      <c r="E9930" s="4"/>
      <c r="F9930" s="4"/>
      <c r="G9930" s="4"/>
      <c r="H9930" s="4"/>
      <c r="I9930" s="4"/>
      <c r="J9930" s="21">
        <f>IFERROR(VLOOKUP(C9930,'STOK KARTLARI'!$C$2:$K$2150,8,0),0)</f>
        <v>0</v>
      </c>
      <c r="K9930" s="21">
        <f t="shared" si="727"/>
        <v>0</v>
      </c>
      <c r="L9930" s="5">
        <f t="shared" si="729"/>
        <v>0</v>
      </c>
      <c r="M9930" s="4"/>
      <c r="N9930" s="4"/>
      <c r="O9930" s="5"/>
      <c r="P9930" s="5"/>
      <c r="Q9930" s="21">
        <f t="shared" si="730"/>
        <v>0</v>
      </c>
      <c r="R9930" s="21">
        <f t="shared" si="728"/>
        <v>0</v>
      </c>
      <c r="S9930" s="5">
        <f t="shared" si="731"/>
        <v>70007.077158325032</v>
      </c>
      <c r="T9930" cm="1">
        <f t="array" ref="T9930">IF(OR(B9930="MAL ALIMI", B9930="ÜRETİM GİRİŞ"), MIN(I9930, MAX(0, I9930 + SUM(SUMIFS($I$1:I9929, $C$1:C9929, C9930, $B$1:B9929, {"MAL ALIMI","ÜRETİM GİRİŞ"})) - VLOOKUP(C9930, 'STOK RAPORU'!$C$2:$I$1000, 4, 0))), 0)</f>
        <v>0</v>
      </c>
      <c r="U9930" s="22">
        <f t="shared" si="724"/>
        <v>0</v>
      </c>
      <c r="V9930">
        <f t="shared" si="725"/>
        <v>0</v>
      </c>
      <c r="W9930" s="22">
        <f t="shared" si="726"/>
        <v>0</v>
      </c>
    </row>
    <row r="9931" spans="1:23" hidden="1" x14ac:dyDescent="0.25">
      <c r="A9931" s="4"/>
      <c r="B9931" s="4"/>
      <c r="C9931" s="4"/>
      <c r="D9931" s="4"/>
      <c r="E9931" s="4"/>
      <c r="F9931" s="4"/>
      <c r="G9931" s="4"/>
      <c r="H9931" s="4"/>
      <c r="I9931" s="4"/>
      <c r="J9931" s="21">
        <f>IFERROR(VLOOKUP(C9931,'STOK KARTLARI'!$C$2:$K$2150,8,0),0)</f>
        <v>0</v>
      </c>
      <c r="K9931" s="21">
        <f t="shared" si="727"/>
        <v>0</v>
      </c>
      <c r="L9931" s="5">
        <f t="shared" si="729"/>
        <v>0</v>
      </c>
      <c r="M9931" s="4"/>
      <c r="N9931" s="4"/>
      <c r="O9931" s="5"/>
      <c r="P9931" s="5"/>
      <c r="Q9931" s="21">
        <f t="shared" si="730"/>
        <v>0</v>
      </c>
      <c r="R9931" s="21">
        <f t="shared" si="728"/>
        <v>0</v>
      </c>
      <c r="S9931" s="5">
        <f t="shared" si="731"/>
        <v>70007.077158325032</v>
      </c>
      <c r="T9931" cm="1">
        <f t="array" ref="T9931">IF(OR(B9931="MAL ALIMI", B9931="ÜRETİM GİRİŞ"), MIN(I9931, MAX(0, I9931 + SUM(SUMIFS($I$1:I9930, $C$1:C9930, C9931, $B$1:B9930, {"MAL ALIMI","ÜRETİM GİRİŞ"})) - VLOOKUP(C9931, 'STOK RAPORU'!$C$2:$I$1000, 4, 0))), 0)</f>
        <v>0</v>
      </c>
      <c r="U9931" s="22">
        <f t="shared" si="724"/>
        <v>0</v>
      </c>
      <c r="V9931">
        <f t="shared" si="725"/>
        <v>0</v>
      </c>
      <c r="W9931" s="22">
        <f t="shared" si="726"/>
        <v>0</v>
      </c>
    </row>
    <row r="9932" spans="1:23" hidden="1" x14ac:dyDescent="0.25">
      <c r="A9932" s="4"/>
      <c r="B9932" s="4"/>
      <c r="C9932" s="4"/>
      <c r="D9932" s="4"/>
      <c r="E9932" s="4"/>
      <c r="F9932" s="4"/>
      <c r="G9932" s="4"/>
      <c r="H9932" s="4"/>
      <c r="I9932" s="4"/>
      <c r="J9932" s="21">
        <f>IFERROR(VLOOKUP(C9932,'STOK KARTLARI'!$C$2:$K$2150,8,0),0)</f>
        <v>0</v>
      </c>
      <c r="K9932" s="21">
        <f t="shared" si="727"/>
        <v>0</v>
      </c>
      <c r="L9932" s="5">
        <f t="shared" si="729"/>
        <v>0</v>
      </c>
      <c r="M9932" s="4"/>
      <c r="N9932" s="4"/>
      <c r="O9932" s="5"/>
      <c r="P9932" s="5"/>
      <c r="Q9932" s="21">
        <f t="shared" si="730"/>
        <v>0</v>
      </c>
      <c r="R9932" s="21">
        <f t="shared" si="728"/>
        <v>0</v>
      </c>
      <c r="S9932" s="5">
        <f t="shared" si="731"/>
        <v>70007.077158325032</v>
      </c>
      <c r="T9932" cm="1">
        <f t="array" ref="T9932">IF(OR(B9932="MAL ALIMI", B9932="ÜRETİM GİRİŞ"), MIN(I9932, MAX(0, I9932 + SUM(SUMIFS($I$1:I9931, $C$1:C9931, C9932, $B$1:B9931, {"MAL ALIMI","ÜRETİM GİRİŞ"})) - VLOOKUP(C9932, 'STOK RAPORU'!$C$2:$I$1000, 4, 0))), 0)</f>
        <v>0</v>
      </c>
      <c r="U9932" s="22">
        <f t="shared" si="724"/>
        <v>0</v>
      </c>
      <c r="V9932">
        <f t="shared" si="725"/>
        <v>0</v>
      </c>
      <c r="W9932" s="22">
        <f t="shared" si="726"/>
        <v>0</v>
      </c>
    </row>
    <row r="9933" spans="1:23" hidden="1" x14ac:dyDescent="0.25">
      <c r="A9933" s="4"/>
      <c r="B9933" s="4"/>
      <c r="C9933" s="4"/>
      <c r="D9933" s="4"/>
      <c r="E9933" s="4"/>
      <c r="F9933" s="4"/>
      <c r="G9933" s="4"/>
      <c r="H9933" s="4"/>
      <c r="I9933" s="4"/>
      <c r="J9933" s="21">
        <f>IFERROR(VLOOKUP(C9933,'STOK KARTLARI'!$C$2:$K$2150,8,0),0)</f>
        <v>0</v>
      </c>
      <c r="K9933" s="21">
        <f t="shared" si="727"/>
        <v>0</v>
      </c>
      <c r="L9933" s="5">
        <f t="shared" si="729"/>
        <v>0</v>
      </c>
      <c r="M9933" s="4"/>
      <c r="N9933" s="4"/>
      <c r="O9933" s="5"/>
      <c r="P9933" s="5"/>
      <c r="Q9933" s="21">
        <f t="shared" si="730"/>
        <v>0</v>
      </c>
      <c r="R9933" s="21">
        <f t="shared" si="728"/>
        <v>0</v>
      </c>
      <c r="S9933" s="5">
        <f t="shared" si="731"/>
        <v>70007.077158325032</v>
      </c>
      <c r="T9933" cm="1">
        <f t="array" ref="T9933">IF(OR(B9933="MAL ALIMI", B9933="ÜRETİM GİRİŞ"), MIN(I9933, MAX(0, I9933 + SUM(SUMIFS($I$1:I9932, $C$1:C9932, C9933, $B$1:B9932, {"MAL ALIMI","ÜRETİM GİRİŞ"})) - VLOOKUP(C9933, 'STOK RAPORU'!$C$2:$I$1000, 4, 0))), 0)</f>
        <v>0</v>
      </c>
      <c r="U9933" s="22">
        <f t="shared" si="724"/>
        <v>0</v>
      </c>
      <c r="V9933">
        <f t="shared" si="725"/>
        <v>0</v>
      </c>
      <c r="W9933" s="22">
        <f t="shared" si="726"/>
        <v>0</v>
      </c>
    </row>
    <row r="9934" spans="1:23" hidden="1" x14ac:dyDescent="0.25">
      <c r="A9934" s="4"/>
      <c r="B9934" s="4"/>
      <c r="C9934" s="4"/>
      <c r="D9934" s="4"/>
      <c r="E9934" s="4"/>
      <c r="F9934" s="4"/>
      <c r="G9934" s="4"/>
      <c r="H9934" s="4"/>
      <c r="I9934" s="4"/>
      <c r="J9934" s="21">
        <f>IFERROR(VLOOKUP(C9934,'STOK KARTLARI'!$C$2:$K$2150,8,0),0)</f>
        <v>0</v>
      </c>
      <c r="K9934" s="21">
        <f t="shared" si="727"/>
        <v>0</v>
      </c>
      <c r="L9934" s="5">
        <f t="shared" si="729"/>
        <v>0</v>
      </c>
      <c r="M9934" s="4"/>
      <c r="N9934" s="4"/>
      <c r="O9934" s="5"/>
      <c r="P9934" s="5"/>
      <c r="Q9934" s="21">
        <f t="shared" si="730"/>
        <v>0</v>
      </c>
      <c r="R9934" s="21">
        <f t="shared" si="728"/>
        <v>0</v>
      </c>
      <c r="S9934" s="5">
        <f t="shared" si="731"/>
        <v>70007.077158325032</v>
      </c>
      <c r="T9934" cm="1">
        <f t="array" ref="T9934">IF(OR(B9934="MAL ALIMI", B9934="ÜRETİM GİRİŞ"), MIN(I9934, MAX(0, I9934 + SUM(SUMIFS($I$1:I9933, $C$1:C9933, C9934, $B$1:B9933, {"MAL ALIMI","ÜRETİM GİRİŞ"})) - VLOOKUP(C9934, 'STOK RAPORU'!$C$2:$I$1000, 4, 0))), 0)</f>
        <v>0</v>
      </c>
      <c r="U9934" s="22">
        <f t="shared" si="724"/>
        <v>0</v>
      </c>
      <c r="V9934">
        <f t="shared" si="725"/>
        <v>0</v>
      </c>
      <c r="W9934" s="22">
        <f t="shared" si="726"/>
        <v>0</v>
      </c>
    </row>
    <row r="9935" spans="1:23" hidden="1" x14ac:dyDescent="0.25">
      <c r="A9935" s="4"/>
      <c r="B9935" s="4"/>
      <c r="C9935" s="4"/>
      <c r="D9935" s="4"/>
      <c r="E9935" s="4"/>
      <c r="F9935" s="4"/>
      <c r="G9935" s="4"/>
      <c r="H9935" s="4"/>
      <c r="I9935" s="4"/>
      <c r="J9935" s="21">
        <f>IFERROR(VLOOKUP(C9935,'STOK KARTLARI'!$C$2:$K$2150,8,0),0)</f>
        <v>0</v>
      </c>
      <c r="K9935" s="21">
        <f t="shared" si="727"/>
        <v>0</v>
      </c>
      <c r="L9935" s="5">
        <f t="shared" si="729"/>
        <v>0</v>
      </c>
      <c r="M9935" s="4"/>
      <c r="N9935" s="4"/>
      <c r="O9935" s="5"/>
      <c r="P9935" s="5"/>
      <c r="Q9935" s="21">
        <f t="shared" si="730"/>
        <v>0</v>
      </c>
      <c r="R9935" s="21">
        <f t="shared" si="728"/>
        <v>0</v>
      </c>
      <c r="S9935" s="5">
        <f t="shared" si="731"/>
        <v>70007.077158325032</v>
      </c>
      <c r="T9935" cm="1">
        <f t="array" ref="T9935">IF(OR(B9935="MAL ALIMI", B9935="ÜRETİM GİRİŞ"), MIN(I9935, MAX(0, I9935 + SUM(SUMIFS($I$1:I9934, $C$1:C9934, C9935, $B$1:B9934, {"MAL ALIMI","ÜRETİM GİRİŞ"})) - VLOOKUP(C9935, 'STOK RAPORU'!$C$2:$I$1000, 4, 0))), 0)</f>
        <v>0</v>
      </c>
      <c r="U9935" s="22">
        <f t="shared" si="724"/>
        <v>0</v>
      </c>
      <c r="V9935">
        <f t="shared" si="725"/>
        <v>0</v>
      </c>
      <c r="W9935" s="22">
        <f t="shared" si="726"/>
        <v>0</v>
      </c>
    </row>
    <row r="9936" spans="1:23" hidden="1" x14ac:dyDescent="0.25">
      <c r="A9936" s="4"/>
      <c r="B9936" s="4"/>
      <c r="C9936" s="4"/>
      <c r="D9936" s="4"/>
      <c r="E9936" s="4"/>
      <c r="F9936" s="4"/>
      <c r="G9936" s="4"/>
      <c r="H9936" s="4"/>
      <c r="I9936" s="4"/>
      <c r="J9936" s="21">
        <f>IFERROR(VLOOKUP(C9936,'STOK KARTLARI'!$C$2:$K$2150,8,0),0)</f>
        <v>0</v>
      </c>
      <c r="K9936" s="21">
        <f t="shared" si="727"/>
        <v>0</v>
      </c>
      <c r="L9936" s="5">
        <f t="shared" si="729"/>
        <v>0</v>
      </c>
      <c r="M9936" s="4"/>
      <c r="N9936" s="4"/>
      <c r="O9936" s="5"/>
      <c r="P9936" s="5"/>
      <c r="Q9936" s="21">
        <f t="shared" si="730"/>
        <v>0</v>
      </c>
      <c r="R9936" s="21">
        <f t="shared" si="728"/>
        <v>0</v>
      </c>
      <c r="S9936" s="5">
        <f t="shared" si="731"/>
        <v>70007.077158325032</v>
      </c>
      <c r="T9936" cm="1">
        <f t="array" ref="T9936">IF(OR(B9936="MAL ALIMI", B9936="ÜRETİM GİRİŞ"), MIN(I9936, MAX(0, I9936 + SUM(SUMIFS($I$1:I9935, $C$1:C9935, C9936, $B$1:B9935, {"MAL ALIMI","ÜRETİM GİRİŞ"})) - VLOOKUP(C9936, 'STOK RAPORU'!$C$2:$I$1000, 4, 0))), 0)</f>
        <v>0</v>
      </c>
      <c r="U9936" s="22">
        <f t="shared" si="724"/>
        <v>0</v>
      </c>
      <c r="V9936">
        <f t="shared" si="725"/>
        <v>0</v>
      </c>
      <c r="W9936" s="22">
        <f t="shared" si="726"/>
        <v>0</v>
      </c>
    </row>
    <row r="9937" spans="1:23" hidden="1" x14ac:dyDescent="0.25">
      <c r="A9937" s="3"/>
      <c r="B9937" s="4"/>
      <c r="C9937" s="4"/>
      <c r="D9937" s="4"/>
      <c r="E9937" s="4"/>
      <c r="F9937" s="4"/>
      <c r="G9937" s="4"/>
      <c r="H9937" s="4"/>
      <c r="I9937" s="4"/>
      <c r="J9937" s="21">
        <f>IFERROR(VLOOKUP(C9937,'STOK KARTLARI'!$C$2:$K$2150,8,0),0)</f>
        <v>0</v>
      </c>
      <c r="K9937" s="21">
        <f t="shared" si="727"/>
        <v>0</v>
      </c>
      <c r="L9937" s="5">
        <f t="shared" si="729"/>
        <v>0</v>
      </c>
      <c r="M9937" s="4"/>
      <c r="N9937" s="4"/>
      <c r="O9937" s="5"/>
      <c r="P9937" s="5"/>
      <c r="Q9937" s="21">
        <f t="shared" si="730"/>
        <v>0</v>
      </c>
      <c r="R9937" s="21">
        <f t="shared" si="728"/>
        <v>0</v>
      </c>
      <c r="S9937" s="5">
        <f t="shared" si="731"/>
        <v>70007.077158325032</v>
      </c>
      <c r="T9937" cm="1">
        <f t="array" ref="T9937">IF(OR(B9937="MAL ALIMI", B9937="ÜRETİM GİRİŞ"), MIN(I9937, MAX(0, I9937 + SUM(SUMIFS($I$1:I9936, $C$1:C9936, C9937, $B$1:B9936, {"MAL ALIMI","ÜRETİM GİRİŞ"})) - VLOOKUP(C9937, 'STOK RAPORU'!$C$2:$I$1000, 4, 0))), 0)</f>
        <v>0</v>
      </c>
      <c r="U9937" s="22">
        <f t="shared" si="724"/>
        <v>0</v>
      </c>
      <c r="V9937">
        <f t="shared" si="725"/>
        <v>0</v>
      </c>
      <c r="W9937" s="22">
        <f t="shared" si="726"/>
        <v>0</v>
      </c>
    </row>
    <row r="9938" spans="1:23" hidden="1" x14ac:dyDescent="0.25">
      <c r="A9938" s="4"/>
      <c r="B9938" s="4"/>
      <c r="C9938" s="4"/>
      <c r="D9938" s="4"/>
      <c r="E9938" s="4"/>
      <c r="F9938" s="4"/>
      <c r="G9938" s="4"/>
      <c r="H9938" s="4"/>
      <c r="I9938" s="4"/>
      <c r="J9938" s="21">
        <f>IFERROR(VLOOKUP(C9938,'STOK KARTLARI'!$C$2:$K$2150,8,0),0)</f>
        <v>0</v>
      </c>
      <c r="K9938" s="21">
        <f t="shared" si="727"/>
        <v>0</v>
      </c>
      <c r="L9938" s="5">
        <f t="shared" si="729"/>
        <v>0</v>
      </c>
      <c r="M9938" s="4"/>
      <c r="N9938" s="4"/>
      <c r="O9938" s="5"/>
      <c r="P9938" s="5"/>
      <c r="Q9938" s="21">
        <f t="shared" si="730"/>
        <v>0</v>
      </c>
      <c r="R9938" s="21">
        <f t="shared" si="728"/>
        <v>0</v>
      </c>
      <c r="S9938" s="5">
        <f t="shared" si="731"/>
        <v>70007.077158325032</v>
      </c>
      <c r="T9938" cm="1">
        <f t="array" ref="T9938">IF(OR(B9938="MAL ALIMI", B9938="ÜRETİM GİRİŞ"), MIN(I9938, MAX(0, I9938 + SUM(SUMIFS($I$1:I9937, $C$1:C9937, C9938, $B$1:B9937, {"MAL ALIMI","ÜRETİM GİRİŞ"})) - VLOOKUP(C9938, 'STOK RAPORU'!$C$2:$I$1000, 4, 0))), 0)</f>
        <v>0</v>
      </c>
      <c r="U9938" s="22">
        <f t="shared" si="724"/>
        <v>0</v>
      </c>
      <c r="V9938">
        <f t="shared" si="725"/>
        <v>0</v>
      </c>
      <c r="W9938" s="22">
        <f t="shared" si="726"/>
        <v>0</v>
      </c>
    </row>
    <row r="9939" spans="1:23" hidden="1" x14ac:dyDescent="0.25">
      <c r="A9939" s="4"/>
      <c r="B9939" s="4"/>
      <c r="C9939" s="4"/>
      <c r="D9939" s="4"/>
      <c r="E9939" s="4"/>
      <c r="F9939" s="4"/>
      <c r="G9939" s="4"/>
      <c r="H9939" s="4"/>
      <c r="I9939" s="4"/>
      <c r="J9939" s="21">
        <f>IFERROR(VLOOKUP(C9939,'STOK KARTLARI'!$C$2:$K$2150,8,0),0)</f>
        <v>0</v>
      </c>
      <c r="K9939" s="21">
        <f t="shared" si="727"/>
        <v>0</v>
      </c>
      <c r="L9939" s="5">
        <f t="shared" si="729"/>
        <v>0</v>
      </c>
      <c r="M9939" s="4"/>
      <c r="N9939" s="4"/>
      <c r="O9939" s="5"/>
      <c r="P9939" s="5"/>
      <c r="Q9939" s="21">
        <f t="shared" si="730"/>
        <v>0</v>
      </c>
      <c r="R9939" s="21">
        <f t="shared" si="728"/>
        <v>0</v>
      </c>
      <c r="S9939" s="5">
        <f t="shared" si="731"/>
        <v>70007.077158325032</v>
      </c>
      <c r="T9939" cm="1">
        <f t="array" ref="T9939">IF(OR(B9939="MAL ALIMI", B9939="ÜRETİM GİRİŞ"), MIN(I9939, MAX(0, I9939 + SUM(SUMIFS($I$1:I9938, $C$1:C9938, C9939, $B$1:B9938, {"MAL ALIMI","ÜRETİM GİRİŞ"})) - VLOOKUP(C9939, 'STOK RAPORU'!$C$2:$I$1000, 4, 0))), 0)</f>
        <v>0</v>
      </c>
      <c r="U9939" s="22">
        <f t="shared" si="724"/>
        <v>0</v>
      </c>
      <c r="V9939">
        <f t="shared" si="725"/>
        <v>0</v>
      </c>
      <c r="W9939" s="22">
        <f t="shared" si="726"/>
        <v>0</v>
      </c>
    </row>
    <row r="9940" spans="1:23" hidden="1" x14ac:dyDescent="0.25">
      <c r="A9940" s="4"/>
      <c r="B9940" s="4"/>
      <c r="C9940" s="4"/>
      <c r="D9940" s="4"/>
      <c r="E9940" s="4"/>
      <c r="F9940" s="4"/>
      <c r="G9940" s="4"/>
      <c r="H9940" s="4"/>
      <c r="I9940" s="4"/>
      <c r="J9940" s="21">
        <f>IFERROR(VLOOKUP(C9940,'STOK KARTLARI'!$C$2:$K$2150,8,0),0)</f>
        <v>0</v>
      </c>
      <c r="K9940" s="21">
        <f t="shared" si="727"/>
        <v>0</v>
      </c>
      <c r="L9940" s="5">
        <f t="shared" si="729"/>
        <v>0</v>
      </c>
      <c r="M9940" s="4"/>
      <c r="N9940" s="4"/>
      <c r="O9940" s="5"/>
      <c r="P9940" s="5"/>
      <c r="Q9940" s="21">
        <f t="shared" si="730"/>
        <v>0</v>
      </c>
      <c r="R9940" s="21">
        <f t="shared" si="728"/>
        <v>0</v>
      </c>
      <c r="S9940" s="5">
        <f t="shared" si="731"/>
        <v>70007.077158325032</v>
      </c>
      <c r="T9940" cm="1">
        <f t="array" ref="T9940">IF(OR(B9940="MAL ALIMI", B9940="ÜRETİM GİRİŞ"), MIN(I9940, MAX(0, I9940 + SUM(SUMIFS($I$1:I9939, $C$1:C9939, C9940, $B$1:B9939, {"MAL ALIMI","ÜRETİM GİRİŞ"})) - VLOOKUP(C9940, 'STOK RAPORU'!$C$2:$I$1000, 4, 0))), 0)</f>
        <v>0</v>
      </c>
      <c r="U9940" s="22">
        <f t="shared" si="724"/>
        <v>0</v>
      </c>
      <c r="V9940">
        <f t="shared" si="725"/>
        <v>0</v>
      </c>
      <c r="W9940" s="22">
        <f t="shared" si="726"/>
        <v>0</v>
      </c>
    </row>
    <row r="9941" spans="1:23" hidden="1" x14ac:dyDescent="0.25">
      <c r="A9941" s="4"/>
      <c r="B9941" s="4"/>
      <c r="C9941" s="4"/>
      <c r="D9941" s="4"/>
      <c r="E9941" s="4"/>
      <c r="F9941" s="4"/>
      <c r="G9941" s="4"/>
      <c r="H9941" s="4"/>
      <c r="I9941" s="4"/>
      <c r="J9941" s="21">
        <f>IFERROR(VLOOKUP(C9941,'STOK KARTLARI'!$C$2:$K$2150,8,0),0)</f>
        <v>0</v>
      </c>
      <c r="K9941" s="21">
        <f t="shared" si="727"/>
        <v>0</v>
      </c>
      <c r="L9941" s="5">
        <f t="shared" si="729"/>
        <v>0</v>
      </c>
      <c r="M9941" s="4"/>
      <c r="N9941" s="4"/>
      <c r="O9941" s="5"/>
      <c r="P9941" s="5"/>
      <c r="Q9941" s="21">
        <f t="shared" si="730"/>
        <v>0</v>
      </c>
      <c r="R9941" s="21">
        <f t="shared" si="728"/>
        <v>0</v>
      </c>
      <c r="S9941" s="5">
        <f t="shared" si="731"/>
        <v>70007.077158325032</v>
      </c>
      <c r="T9941" cm="1">
        <f t="array" ref="T9941">IF(OR(B9941="MAL ALIMI", B9941="ÜRETİM GİRİŞ"), MIN(I9941, MAX(0, I9941 + SUM(SUMIFS($I$1:I9940, $C$1:C9940, C9941, $B$1:B9940, {"MAL ALIMI","ÜRETİM GİRİŞ"})) - VLOOKUP(C9941, 'STOK RAPORU'!$C$2:$I$1000, 4, 0))), 0)</f>
        <v>0</v>
      </c>
      <c r="U9941" s="22">
        <f t="shared" si="724"/>
        <v>0</v>
      </c>
      <c r="V9941">
        <f t="shared" si="725"/>
        <v>0</v>
      </c>
      <c r="W9941" s="22">
        <f t="shared" si="726"/>
        <v>0</v>
      </c>
    </row>
    <row r="9942" spans="1:23" hidden="1" x14ac:dyDescent="0.25">
      <c r="A9942" s="4"/>
      <c r="B9942" s="4"/>
      <c r="C9942" s="4"/>
      <c r="D9942" s="4"/>
      <c r="E9942" s="4"/>
      <c r="F9942" s="4"/>
      <c r="G9942" s="4"/>
      <c r="H9942" s="4"/>
      <c r="I9942" s="4"/>
      <c r="J9942" s="21">
        <f>IFERROR(VLOOKUP(C9942,'STOK KARTLARI'!$C$2:$K$2150,8,0),0)</f>
        <v>0</v>
      </c>
      <c r="K9942" s="21">
        <f t="shared" si="727"/>
        <v>0</v>
      </c>
      <c r="L9942" s="5">
        <f t="shared" si="729"/>
        <v>0</v>
      </c>
      <c r="M9942" s="4"/>
      <c r="N9942" s="4"/>
      <c r="O9942" s="5"/>
      <c r="P9942" s="5"/>
      <c r="Q9942" s="21">
        <f t="shared" si="730"/>
        <v>0</v>
      </c>
      <c r="R9942" s="21">
        <f t="shared" si="728"/>
        <v>0</v>
      </c>
      <c r="S9942" s="5">
        <f t="shared" si="731"/>
        <v>70007.077158325032</v>
      </c>
      <c r="T9942" cm="1">
        <f t="array" ref="T9942">IF(OR(B9942="MAL ALIMI", B9942="ÜRETİM GİRİŞ"), MIN(I9942, MAX(0, I9942 + SUM(SUMIFS($I$1:I9941, $C$1:C9941, C9942, $B$1:B9941, {"MAL ALIMI","ÜRETİM GİRİŞ"})) - VLOOKUP(C9942, 'STOK RAPORU'!$C$2:$I$1000, 4, 0))), 0)</f>
        <v>0</v>
      </c>
      <c r="U9942" s="22">
        <f t="shared" si="724"/>
        <v>0</v>
      </c>
      <c r="V9942">
        <f t="shared" si="725"/>
        <v>0</v>
      </c>
      <c r="W9942" s="22">
        <f t="shared" si="726"/>
        <v>0</v>
      </c>
    </row>
    <row r="9943" spans="1:23" hidden="1" x14ac:dyDescent="0.25">
      <c r="A9943" s="4"/>
      <c r="B9943" s="4"/>
      <c r="C9943" s="4"/>
      <c r="D9943" s="4"/>
      <c r="E9943" s="4"/>
      <c r="F9943" s="4"/>
      <c r="G9943" s="4"/>
      <c r="H9943" s="4"/>
      <c r="I9943" s="4"/>
      <c r="J9943" s="21">
        <f>IFERROR(VLOOKUP(C9943,'STOK KARTLARI'!$C$2:$K$2150,8,0),0)</f>
        <v>0</v>
      </c>
      <c r="K9943" s="21">
        <f t="shared" si="727"/>
        <v>0</v>
      </c>
      <c r="L9943" s="5">
        <f t="shared" si="729"/>
        <v>0</v>
      </c>
      <c r="M9943" s="4"/>
      <c r="N9943" s="4"/>
      <c r="O9943" s="5"/>
      <c r="P9943" s="5"/>
      <c r="Q9943" s="21">
        <f t="shared" si="730"/>
        <v>0</v>
      </c>
      <c r="R9943" s="21">
        <f t="shared" si="728"/>
        <v>0</v>
      </c>
      <c r="S9943" s="5">
        <f t="shared" si="731"/>
        <v>70007.077158325032</v>
      </c>
      <c r="T9943" cm="1">
        <f t="array" ref="T9943">IF(OR(B9943="MAL ALIMI", B9943="ÜRETİM GİRİŞ"), MIN(I9943, MAX(0, I9943 + SUM(SUMIFS($I$1:I9942, $C$1:C9942, C9943, $B$1:B9942, {"MAL ALIMI","ÜRETİM GİRİŞ"})) - VLOOKUP(C9943, 'STOK RAPORU'!$C$2:$I$1000, 4, 0))), 0)</f>
        <v>0</v>
      </c>
      <c r="U9943" s="22">
        <f t="shared" si="724"/>
        <v>0</v>
      </c>
      <c r="V9943">
        <f t="shared" si="725"/>
        <v>0</v>
      </c>
      <c r="W9943" s="22">
        <f t="shared" si="726"/>
        <v>0</v>
      </c>
    </row>
    <row r="9944" spans="1:23" hidden="1" x14ac:dyDescent="0.25">
      <c r="A9944" s="3"/>
      <c r="B9944" s="4"/>
      <c r="C9944" s="4"/>
      <c r="D9944" s="4"/>
      <c r="E9944" s="4"/>
      <c r="F9944" s="4"/>
      <c r="G9944" s="4"/>
      <c r="H9944" s="4"/>
      <c r="I9944" s="4"/>
      <c r="J9944" s="21">
        <f>IFERROR(VLOOKUP(C9944,'STOK KARTLARI'!$C$2:$K$2150,8,0),0)</f>
        <v>0</v>
      </c>
      <c r="K9944" s="21">
        <f t="shared" si="727"/>
        <v>0</v>
      </c>
      <c r="L9944" s="5">
        <f t="shared" si="729"/>
        <v>0</v>
      </c>
      <c r="M9944" s="4"/>
      <c r="N9944" s="4"/>
      <c r="O9944" s="5"/>
      <c r="P9944" s="5"/>
      <c r="Q9944" s="21">
        <f t="shared" si="730"/>
        <v>0</v>
      </c>
      <c r="R9944" s="21">
        <f t="shared" si="728"/>
        <v>0</v>
      </c>
      <c r="S9944" s="5">
        <f t="shared" si="731"/>
        <v>70007.077158325032</v>
      </c>
      <c r="T9944" cm="1">
        <f t="array" ref="T9944">IF(OR(B9944="MAL ALIMI", B9944="ÜRETİM GİRİŞ"), MIN(I9944, MAX(0, I9944 + SUM(SUMIFS($I$1:I9943, $C$1:C9943, C9944, $B$1:B9943, {"MAL ALIMI","ÜRETİM GİRİŞ"})) - VLOOKUP(C9944, 'STOK RAPORU'!$C$2:$I$1000, 4, 0))), 0)</f>
        <v>0</v>
      </c>
      <c r="U9944" s="22">
        <f t="shared" si="724"/>
        <v>0</v>
      </c>
      <c r="V9944">
        <f t="shared" si="725"/>
        <v>0</v>
      </c>
      <c r="W9944" s="22">
        <f t="shared" si="726"/>
        <v>0</v>
      </c>
    </row>
    <row r="9945" spans="1:23" hidden="1" x14ac:dyDescent="0.25">
      <c r="A9945" s="4"/>
      <c r="B9945" s="4"/>
      <c r="C9945" s="4"/>
      <c r="D9945" s="4"/>
      <c r="E9945" s="4"/>
      <c r="F9945" s="4"/>
      <c r="G9945" s="4"/>
      <c r="H9945" s="4"/>
      <c r="I9945" s="4"/>
      <c r="J9945" s="21">
        <f>IFERROR(VLOOKUP(C9945,'STOK KARTLARI'!$C$2:$K$2150,8,0),0)</f>
        <v>0</v>
      </c>
      <c r="K9945" s="21">
        <f t="shared" si="727"/>
        <v>0</v>
      </c>
      <c r="L9945" s="5">
        <f t="shared" si="729"/>
        <v>0</v>
      </c>
      <c r="M9945" s="4"/>
      <c r="N9945" s="4"/>
      <c r="O9945" s="5"/>
      <c r="P9945" s="5"/>
      <c r="Q9945" s="21">
        <f t="shared" si="730"/>
        <v>0</v>
      </c>
      <c r="R9945" s="21">
        <f t="shared" si="728"/>
        <v>0</v>
      </c>
      <c r="S9945" s="5">
        <f t="shared" si="731"/>
        <v>70007.077158325032</v>
      </c>
      <c r="T9945" cm="1">
        <f t="array" ref="T9945">IF(OR(B9945="MAL ALIMI", B9945="ÜRETİM GİRİŞ"), MIN(I9945, MAX(0, I9945 + SUM(SUMIFS($I$1:I9944, $C$1:C9944, C9945, $B$1:B9944, {"MAL ALIMI","ÜRETİM GİRİŞ"})) - VLOOKUP(C9945, 'STOK RAPORU'!$C$2:$I$1000, 4, 0))), 0)</f>
        <v>0</v>
      </c>
      <c r="U9945" s="22">
        <f t="shared" si="724"/>
        <v>0</v>
      </c>
      <c r="V9945">
        <f t="shared" si="725"/>
        <v>0</v>
      </c>
      <c r="W9945" s="22">
        <f t="shared" si="726"/>
        <v>0</v>
      </c>
    </row>
    <row r="9946" spans="1:23" hidden="1" x14ac:dyDescent="0.25">
      <c r="A9946" s="4"/>
      <c r="B9946" s="4"/>
      <c r="C9946" s="4"/>
      <c r="D9946" s="4"/>
      <c r="E9946" s="4"/>
      <c r="F9946" s="4"/>
      <c r="G9946" s="4"/>
      <c r="H9946" s="4"/>
      <c r="I9946" s="4"/>
      <c r="J9946" s="21">
        <f>IFERROR(VLOOKUP(C9946,'STOK KARTLARI'!$C$2:$K$2150,8,0),0)</f>
        <v>0</v>
      </c>
      <c r="K9946" s="21">
        <f t="shared" si="727"/>
        <v>0</v>
      </c>
      <c r="L9946" s="5">
        <f t="shared" si="729"/>
        <v>0</v>
      </c>
      <c r="M9946" s="4"/>
      <c r="N9946" s="4"/>
      <c r="O9946" s="5"/>
      <c r="P9946" s="5"/>
      <c r="Q9946" s="21">
        <f t="shared" si="730"/>
        <v>0</v>
      </c>
      <c r="R9946" s="21">
        <f t="shared" si="728"/>
        <v>0</v>
      </c>
      <c r="S9946" s="5">
        <f t="shared" si="731"/>
        <v>70007.077158325032</v>
      </c>
      <c r="T9946" cm="1">
        <f t="array" ref="T9946">IF(OR(B9946="MAL ALIMI", B9946="ÜRETİM GİRİŞ"), MIN(I9946, MAX(0, I9946 + SUM(SUMIFS($I$1:I9945, $C$1:C9945, C9946, $B$1:B9945, {"MAL ALIMI","ÜRETİM GİRİŞ"})) - VLOOKUP(C9946, 'STOK RAPORU'!$C$2:$I$1000, 4, 0))), 0)</f>
        <v>0</v>
      </c>
      <c r="U9946" s="22">
        <f t="shared" si="724"/>
        <v>0</v>
      </c>
      <c r="V9946">
        <f t="shared" si="725"/>
        <v>0</v>
      </c>
      <c r="W9946" s="22">
        <f t="shared" si="726"/>
        <v>0</v>
      </c>
    </row>
    <row r="9947" spans="1:23" hidden="1" x14ac:dyDescent="0.25">
      <c r="A9947" s="4"/>
      <c r="B9947" s="4"/>
      <c r="C9947" s="4"/>
      <c r="D9947" s="4"/>
      <c r="E9947" s="4"/>
      <c r="F9947" s="4"/>
      <c r="G9947" s="4"/>
      <c r="H9947" s="4"/>
      <c r="I9947" s="4"/>
      <c r="J9947" s="21">
        <f>IFERROR(VLOOKUP(C9947,'STOK KARTLARI'!$C$2:$K$2150,8,0),0)</f>
        <v>0</v>
      </c>
      <c r="K9947" s="21">
        <f t="shared" si="727"/>
        <v>0</v>
      </c>
      <c r="L9947" s="5">
        <f t="shared" si="729"/>
        <v>0</v>
      </c>
      <c r="M9947" s="4"/>
      <c r="N9947" s="4"/>
      <c r="O9947" s="5"/>
      <c r="P9947" s="5"/>
      <c r="Q9947" s="21">
        <f t="shared" si="730"/>
        <v>0</v>
      </c>
      <c r="R9947" s="21">
        <f t="shared" si="728"/>
        <v>0</v>
      </c>
      <c r="S9947" s="5">
        <f t="shared" si="731"/>
        <v>70007.077158325032</v>
      </c>
      <c r="T9947" cm="1">
        <f t="array" ref="T9947">IF(OR(B9947="MAL ALIMI", B9947="ÜRETİM GİRİŞ"), MIN(I9947, MAX(0, I9947 + SUM(SUMIFS($I$1:I9946, $C$1:C9946, C9947, $B$1:B9946, {"MAL ALIMI","ÜRETİM GİRİŞ"})) - VLOOKUP(C9947, 'STOK RAPORU'!$C$2:$I$1000, 4, 0))), 0)</f>
        <v>0</v>
      </c>
      <c r="U9947" s="22">
        <f t="shared" si="724"/>
        <v>0</v>
      </c>
      <c r="V9947">
        <f t="shared" si="725"/>
        <v>0</v>
      </c>
      <c r="W9947" s="22">
        <f t="shared" si="726"/>
        <v>0</v>
      </c>
    </row>
    <row r="9948" spans="1:23" hidden="1" x14ac:dyDescent="0.25">
      <c r="A9948" s="4"/>
      <c r="B9948" s="4"/>
      <c r="C9948" s="4"/>
      <c r="D9948" s="4"/>
      <c r="E9948" s="4"/>
      <c r="F9948" s="4"/>
      <c r="G9948" s="4"/>
      <c r="H9948" s="4"/>
      <c r="I9948" s="4"/>
      <c r="J9948" s="21">
        <f>IFERROR(VLOOKUP(C9948,'STOK KARTLARI'!$C$2:$K$2150,8,0),0)</f>
        <v>0</v>
      </c>
      <c r="K9948" s="21">
        <f t="shared" si="727"/>
        <v>0</v>
      </c>
      <c r="L9948" s="5">
        <f t="shared" si="729"/>
        <v>0</v>
      </c>
      <c r="M9948" s="4"/>
      <c r="N9948" s="4"/>
      <c r="O9948" s="5"/>
      <c r="P9948" s="5"/>
      <c r="Q9948" s="21">
        <f t="shared" si="730"/>
        <v>0</v>
      </c>
      <c r="R9948" s="21">
        <f t="shared" si="728"/>
        <v>0</v>
      </c>
      <c r="S9948" s="5">
        <f t="shared" si="731"/>
        <v>70007.077158325032</v>
      </c>
      <c r="T9948" cm="1">
        <f t="array" ref="T9948">IF(OR(B9948="MAL ALIMI", B9948="ÜRETİM GİRİŞ"), MIN(I9948, MAX(0, I9948 + SUM(SUMIFS($I$1:I9947, $C$1:C9947, C9948, $B$1:B9947, {"MAL ALIMI","ÜRETİM GİRİŞ"})) - VLOOKUP(C9948, 'STOK RAPORU'!$C$2:$I$1000, 4, 0))), 0)</f>
        <v>0</v>
      </c>
      <c r="U9948" s="22">
        <f t="shared" si="724"/>
        <v>0</v>
      </c>
      <c r="V9948">
        <f t="shared" si="725"/>
        <v>0</v>
      </c>
      <c r="W9948" s="22">
        <f t="shared" si="726"/>
        <v>0</v>
      </c>
    </row>
    <row r="9949" spans="1:23" hidden="1" x14ac:dyDescent="0.25">
      <c r="A9949" s="4"/>
      <c r="B9949" s="4"/>
      <c r="C9949" s="4"/>
      <c r="D9949" s="4"/>
      <c r="E9949" s="4"/>
      <c r="F9949" s="4"/>
      <c r="G9949" s="4"/>
      <c r="H9949" s="4"/>
      <c r="I9949" s="4"/>
      <c r="J9949" s="21">
        <f>IFERROR(VLOOKUP(C9949,'STOK KARTLARI'!$C$2:$K$2150,8,0),0)</f>
        <v>0</v>
      </c>
      <c r="K9949" s="21">
        <f t="shared" si="727"/>
        <v>0</v>
      </c>
      <c r="L9949" s="5">
        <f t="shared" si="729"/>
        <v>0</v>
      </c>
      <c r="M9949" s="4"/>
      <c r="N9949" s="4"/>
      <c r="O9949" s="5"/>
      <c r="P9949" s="5"/>
      <c r="Q9949" s="21">
        <f t="shared" si="730"/>
        <v>0</v>
      </c>
      <c r="R9949" s="21">
        <f t="shared" si="728"/>
        <v>0</v>
      </c>
      <c r="S9949" s="5">
        <f t="shared" si="731"/>
        <v>70007.077158325032</v>
      </c>
      <c r="T9949" cm="1">
        <f t="array" ref="T9949">IF(OR(B9949="MAL ALIMI", B9949="ÜRETİM GİRİŞ"), MIN(I9949, MAX(0, I9949 + SUM(SUMIFS($I$1:I9948, $C$1:C9948, C9949, $B$1:B9948, {"MAL ALIMI","ÜRETİM GİRİŞ"})) - VLOOKUP(C9949, 'STOK RAPORU'!$C$2:$I$1000, 4, 0))), 0)</f>
        <v>0</v>
      </c>
      <c r="U9949" s="22">
        <f t="shared" si="724"/>
        <v>0</v>
      </c>
      <c r="V9949">
        <f t="shared" si="725"/>
        <v>0</v>
      </c>
      <c r="W9949" s="22">
        <f t="shared" si="726"/>
        <v>0</v>
      </c>
    </row>
    <row r="9950" spans="1:23" hidden="1" x14ac:dyDescent="0.25">
      <c r="A9950" s="4"/>
      <c r="B9950" s="4"/>
      <c r="C9950" s="4"/>
      <c r="D9950" s="4"/>
      <c r="E9950" s="4"/>
      <c r="F9950" s="4"/>
      <c r="G9950" s="4"/>
      <c r="H9950" s="4"/>
      <c r="I9950" s="4"/>
      <c r="J9950" s="21">
        <f>IFERROR(VLOOKUP(C9950,'STOK KARTLARI'!$C$2:$K$2150,8,0),0)</f>
        <v>0</v>
      </c>
      <c r="K9950" s="21">
        <f t="shared" si="727"/>
        <v>0</v>
      </c>
      <c r="L9950" s="5">
        <f t="shared" si="729"/>
        <v>0</v>
      </c>
      <c r="M9950" s="4"/>
      <c r="N9950" s="4"/>
      <c r="O9950" s="5"/>
      <c r="P9950" s="5"/>
      <c r="Q9950" s="21">
        <f t="shared" si="730"/>
        <v>0</v>
      </c>
      <c r="R9950" s="21">
        <f t="shared" si="728"/>
        <v>0</v>
      </c>
      <c r="S9950" s="5">
        <f t="shared" si="731"/>
        <v>70007.077158325032</v>
      </c>
      <c r="T9950" cm="1">
        <f t="array" ref="T9950">IF(OR(B9950="MAL ALIMI", B9950="ÜRETİM GİRİŞ"), MIN(I9950, MAX(0, I9950 + SUM(SUMIFS($I$1:I9949, $C$1:C9949, C9950, $B$1:B9949, {"MAL ALIMI","ÜRETİM GİRİŞ"})) - VLOOKUP(C9950, 'STOK RAPORU'!$C$2:$I$1000, 4, 0))), 0)</f>
        <v>0</v>
      </c>
      <c r="U9950" s="22">
        <f t="shared" si="724"/>
        <v>0</v>
      </c>
      <c r="V9950">
        <f t="shared" si="725"/>
        <v>0</v>
      </c>
      <c r="W9950" s="22">
        <f t="shared" si="726"/>
        <v>0</v>
      </c>
    </row>
    <row r="9951" spans="1:23" hidden="1" x14ac:dyDescent="0.25">
      <c r="A9951" s="3"/>
      <c r="B9951" s="4"/>
      <c r="C9951" s="4"/>
      <c r="D9951" s="4"/>
      <c r="E9951" s="4"/>
      <c r="F9951" s="4"/>
      <c r="G9951" s="4"/>
      <c r="H9951" s="4"/>
      <c r="I9951" s="4"/>
      <c r="J9951" s="21">
        <f>IFERROR(VLOOKUP(C9951,'STOK KARTLARI'!$C$2:$K$2150,8,0),0)</f>
        <v>0</v>
      </c>
      <c r="K9951" s="21">
        <f t="shared" si="727"/>
        <v>0</v>
      </c>
      <c r="L9951" s="5">
        <f t="shared" si="729"/>
        <v>0</v>
      </c>
      <c r="M9951" s="4"/>
      <c r="N9951" s="4"/>
      <c r="O9951" s="5"/>
      <c r="P9951" s="5"/>
      <c r="Q9951" s="21">
        <f t="shared" si="730"/>
        <v>0</v>
      </c>
      <c r="R9951" s="21">
        <f t="shared" si="728"/>
        <v>0</v>
      </c>
      <c r="S9951" s="5">
        <f t="shared" si="731"/>
        <v>70007.077158325032</v>
      </c>
      <c r="T9951" cm="1">
        <f t="array" ref="T9951">IF(OR(B9951="MAL ALIMI", B9951="ÜRETİM GİRİŞ"), MIN(I9951, MAX(0, I9951 + SUM(SUMIFS($I$1:I9950, $C$1:C9950, C9951, $B$1:B9950, {"MAL ALIMI","ÜRETİM GİRİŞ"})) - VLOOKUP(C9951, 'STOK RAPORU'!$C$2:$I$1000, 4, 0))), 0)</f>
        <v>0</v>
      </c>
      <c r="U9951" s="22">
        <f t="shared" si="724"/>
        <v>0</v>
      </c>
      <c r="V9951">
        <f t="shared" si="725"/>
        <v>0</v>
      </c>
      <c r="W9951" s="22">
        <f t="shared" si="726"/>
        <v>0</v>
      </c>
    </row>
    <row r="9952" spans="1:23" hidden="1" x14ac:dyDescent="0.25">
      <c r="A9952" s="4"/>
      <c r="B9952" s="4"/>
      <c r="C9952" s="4"/>
      <c r="D9952" s="4"/>
      <c r="E9952" s="4"/>
      <c r="F9952" s="4"/>
      <c r="G9952" s="4"/>
      <c r="H9952" s="4"/>
      <c r="I9952" s="4"/>
      <c r="J9952" s="21">
        <f>IFERROR(VLOOKUP(C9952,'STOK KARTLARI'!$C$2:$K$2150,8,0),0)</f>
        <v>0</v>
      </c>
      <c r="K9952" s="21">
        <f t="shared" si="727"/>
        <v>0</v>
      </c>
      <c r="L9952" s="5">
        <f t="shared" si="729"/>
        <v>0</v>
      </c>
      <c r="M9952" s="4"/>
      <c r="N9952" s="4"/>
      <c r="O9952" s="5"/>
      <c r="P9952" s="5"/>
      <c r="Q9952" s="21">
        <f t="shared" si="730"/>
        <v>0</v>
      </c>
      <c r="R9952" s="21">
        <f t="shared" si="728"/>
        <v>0</v>
      </c>
      <c r="S9952" s="5">
        <f t="shared" si="731"/>
        <v>70007.077158325032</v>
      </c>
      <c r="T9952" cm="1">
        <f t="array" ref="T9952">IF(OR(B9952="MAL ALIMI", B9952="ÜRETİM GİRİŞ"), MIN(I9952, MAX(0, I9952 + SUM(SUMIFS($I$1:I9951, $C$1:C9951, C9952, $B$1:B9951, {"MAL ALIMI","ÜRETİM GİRİŞ"})) - VLOOKUP(C9952, 'STOK RAPORU'!$C$2:$I$1000, 4, 0))), 0)</f>
        <v>0</v>
      </c>
      <c r="U9952" s="22">
        <f t="shared" si="724"/>
        <v>0</v>
      </c>
      <c r="V9952">
        <f t="shared" si="725"/>
        <v>0</v>
      </c>
      <c r="W9952" s="22">
        <f t="shared" si="726"/>
        <v>0</v>
      </c>
    </row>
    <row r="9953" spans="1:23" hidden="1" x14ac:dyDescent="0.25">
      <c r="A9953" s="4"/>
      <c r="B9953" s="4"/>
      <c r="C9953" s="4"/>
      <c r="D9953" s="4"/>
      <c r="E9953" s="4"/>
      <c r="F9953" s="4"/>
      <c r="G9953" s="4"/>
      <c r="H9953" s="4"/>
      <c r="I9953" s="4"/>
      <c r="J9953" s="21">
        <f>IFERROR(VLOOKUP(C9953,'STOK KARTLARI'!$C$2:$K$2150,8,0),0)</f>
        <v>0</v>
      </c>
      <c r="K9953" s="21">
        <f t="shared" si="727"/>
        <v>0</v>
      </c>
      <c r="L9953" s="5">
        <f t="shared" si="729"/>
        <v>0</v>
      </c>
      <c r="M9953" s="4"/>
      <c r="N9953" s="4"/>
      <c r="O9953" s="5"/>
      <c r="P9953" s="5"/>
      <c r="Q9953" s="21">
        <f t="shared" si="730"/>
        <v>0</v>
      </c>
      <c r="R9953" s="21">
        <f t="shared" si="728"/>
        <v>0</v>
      </c>
      <c r="S9953" s="5">
        <f t="shared" si="731"/>
        <v>70007.077158325032</v>
      </c>
      <c r="T9953" cm="1">
        <f t="array" ref="T9953">IF(OR(B9953="MAL ALIMI", B9953="ÜRETİM GİRİŞ"), MIN(I9953, MAX(0, I9953 + SUM(SUMIFS($I$1:I9952, $C$1:C9952, C9953, $B$1:B9952, {"MAL ALIMI","ÜRETİM GİRİŞ"})) - VLOOKUP(C9953, 'STOK RAPORU'!$C$2:$I$1000, 4, 0))), 0)</f>
        <v>0</v>
      </c>
      <c r="U9953" s="22">
        <f t="shared" si="724"/>
        <v>0</v>
      </c>
      <c r="V9953">
        <f t="shared" si="725"/>
        <v>0</v>
      </c>
      <c r="W9953" s="22">
        <f t="shared" si="726"/>
        <v>0</v>
      </c>
    </row>
    <row r="9954" spans="1:23" hidden="1" x14ac:dyDescent="0.25">
      <c r="A9954" s="4"/>
      <c r="B9954" s="4"/>
      <c r="C9954" s="4"/>
      <c r="D9954" s="4"/>
      <c r="E9954" s="4"/>
      <c r="F9954" s="4"/>
      <c r="G9954" s="4"/>
      <c r="H9954" s="4"/>
      <c r="I9954" s="4"/>
      <c r="J9954" s="21">
        <f>IFERROR(VLOOKUP(C9954,'STOK KARTLARI'!$C$2:$K$2150,8,0),0)</f>
        <v>0</v>
      </c>
      <c r="K9954" s="21">
        <f t="shared" si="727"/>
        <v>0</v>
      </c>
      <c r="L9954" s="5">
        <f t="shared" si="729"/>
        <v>0</v>
      </c>
      <c r="M9954" s="4"/>
      <c r="N9954" s="4"/>
      <c r="O9954" s="5"/>
      <c r="P9954" s="5"/>
      <c r="Q9954" s="21">
        <f t="shared" si="730"/>
        <v>0</v>
      </c>
      <c r="R9954" s="21">
        <f t="shared" si="728"/>
        <v>0</v>
      </c>
      <c r="S9954" s="5">
        <f t="shared" si="731"/>
        <v>70007.077158325032</v>
      </c>
      <c r="T9954" cm="1">
        <f t="array" ref="T9954">IF(OR(B9954="MAL ALIMI", B9954="ÜRETİM GİRİŞ"), MIN(I9954, MAX(0, I9954 + SUM(SUMIFS($I$1:I9953, $C$1:C9953, C9954, $B$1:B9953, {"MAL ALIMI","ÜRETİM GİRİŞ"})) - VLOOKUP(C9954, 'STOK RAPORU'!$C$2:$I$1000, 4, 0))), 0)</f>
        <v>0</v>
      </c>
      <c r="U9954" s="22">
        <f t="shared" si="724"/>
        <v>0</v>
      </c>
      <c r="V9954">
        <f t="shared" si="725"/>
        <v>0</v>
      </c>
      <c r="W9954" s="22">
        <f t="shared" si="726"/>
        <v>0</v>
      </c>
    </row>
    <row r="9955" spans="1:23" hidden="1" x14ac:dyDescent="0.25">
      <c r="A9955" s="4"/>
      <c r="B9955" s="4"/>
      <c r="C9955" s="4"/>
      <c r="D9955" s="4"/>
      <c r="E9955" s="4"/>
      <c r="F9955" s="4"/>
      <c r="G9955" s="4"/>
      <c r="H9955" s="4"/>
      <c r="I9955" s="4"/>
      <c r="J9955" s="21">
        <f>IFERROR(VLOOKUP(C9955,'STOK KARTLARI'!$C$2:$K$2150,8,0),0)</f>
        <v>0</v>
      </c>
      <c r="K9955" s="21">
        <f t="shared" si="727"/>
        <v>0</v>
      </c>
      <c r="L9955" s="5">
        <f t="shared" si="729"/>
        <v>0</v>
      </c>
      <c r="M9955" s="4"/>
      <c r="N9955" s="4"/>
      <c r="O9955" s="5"/>
      <c r="P9955" s="5"/>
      <c r="Q9955" s="21">
        <f t="shared" si="730"/>
        <v>0</v>
      </c>
      <c r="R9955" s="21">
        <f t="shared" si="728"/>
        <v>0</v>
      </c>
      <c r="S9955" s="5">
        <f t="shared" si="731"/>
        <v>70007.077158325032</v>
      </c>
      <c r="T9955" cm="1">
        <f t="array" ref="T9955">IF(OR(B9955="MAL ALIMI", B9955="ÜRETİM GİRİŞ"), MIN(I9955, MAX(0, I9955 + SUM(SUMIFS($I$1:I9954, $C$1:C9954, C9955, $B$1:B9954, {"MAL ALIMI","ÜRETİM GİRİŞ"})) - VLOOKUP(C9955, 'STOK RAPORU'!$C$2:$I$1000, 4, 0))), 0)</f>
        <v>0</v>
      </c>
      <c r="U9955" s="22">
        <f t="shared" si="724"/>
        <v>0</v>
      </c>
      <c r="V9955">
        <f t="shared" si="725"/>
        <v>0</v>
      </c>
      <c r="W9955" s="22">
        <f t="shared" si="726"/>
        <v>0</v>
      </c>
    </row>
    <row r="9956" spans="1:23" hidden="1" x14ac:dyDescent="0.25">
      <c r="A9956" s="4"/>
      <c r="B9956" s="4"/>
      <c r="C9956" s="4"/>
      <c r="D9956" s="4"/>
      <c r="E9956" s="4"/>
      <c r="F9956" s="4"/>
      <c r="G9956" s="4"/>
      <c r="H9956" s="4"/>
      <c r="I9956" s="4"/>
      <c r="J9956" s="21">
        <f>IFERROR(VLOOKUP(C9956,'STOK KARTLARI'!$C$2:$K$2150,8,0),0)</f>
        <v>0</v>
      </c>
      <c r="K9956" s="21">
        <f t="shared" si="727"/>
        <v>0</v>
      </c>
      <c r="L9956" s="5">
        <f t="shared" si="729"/>
        <v>0</v>
      </c>
      <c r="M9956" s="4"/>
      <c r="N9956" s="4"/>
      <c r="O9956" s="5"/>
      <c r="P9956" s="5"/>
      <c r="Q9956" s="21">
        <f t="shared" si="730"/>
        <v>0</v>
      </c>
      <c r="R9956" s="21">
        <f t="shared" si="728"/>
        <v>0</v>
      </c>
      <c r="S9956" s="5">
        <f t="shared" si="731"/>
        <v>70007.077158325032</v>
      </c>
      <c r="T9956" cm="1">
        <f t="array" ref="T9956">IF(OR(B9956="MAL ALIMI", B9956="ÜRETİM GİRİŞ"), MIN(I9956, MAX(0, I9956 + SUM(SUMIFS($I$1:I9955, $C$1:C9955, C9956, $B$1:B9955, {"MAL ALIMI","ÜRETİM GİRİŞ"})) - VLOOKUP(C9956, 'STOK RAPORU'!$C$2:$I$1000, 4, 0))), 0)</f>
        <v>0</v>
      </c>
      <c r="U9956" s="22">
        <f t="shared" si="724"/>
        <v>0</v>
      </c>
      <c r="V9956">
        <f t="shared" si="725"/>
        <v>0</v>
      </c>
      <c r="W9956" s="22">
        <f t="shared" si="726"/>
        <v>0</v>
      </c>
    </row>
    <row r="9957" spans="1:23" hidden="1" x14ac:dyDescent="0.25">
      <c r="A9957" s="4"/>
      <c r="B9957" s="4"/>
      <c r="C9957" s="4"/>
      <c r="D9957" s="4"/>
      <c r="E9957" s="4"/>
      <c r="F9957" s="4"/>
      <c r="G9957" s="4"/>
      <c r="H9957" s="4"/>
      <c r="I9957" s="4"/>
      <c r="J9957" s="21">
        <f>IFERROR(VLOOKUP(C9957,'STOK KARTLARI'!$C$2:$K$2150,8,0),0)</f>
        <v>0</v>
      </c>
      <c r="K9957" s="21">
        <f t="shared" si="727"/>
        <v>0</v>
      </c>
      <c r="L9957" s="5">
        <f t="shared" si="729"/>
        <v>0</v>
      </c>
      <c r="M9957" s="4"/>
      <c r="N9957" s="4"/>
      <c r="O9957" s="5"/>
      <c r="P9957" s="5"/>
      <c r="Q9957" s="21">
        <f t="shared" si="730"/>
        <v>0</v>
      </c>
      <c r="R9957" s="21">
        <f t="shared" si="728"/>
        <v>0</v>
      </c>
      <c r="S9957" s="5">
        <f t="shared" si="731"/>
        <v>70007.077158325032</v>
      </c>
      <c r="T9957" cm="1">
        <f t="array" ref="T9957">IF(OR(B9957="MAL ALIMI", B9957="ÜRETİM GİRİŞ"), MIN(I9957, MAX(0, I9957 + SUM(SUMIFS($I$1:I9956, $C$1:C9956, C9957, $B$1:B9956, {"MAL ALIMI","ÜRETİM GİRİŞ"})) - VLOOKUP(C9957, 'STOK RAPORU'!$C$2:$I$1000, 4, 0))), 0)</f>
        <v>0</v>
      </c>
      <c r="U9957" s="22">
        <f t="shared" si="724"/>
        <v>0</v>
      </c>
      <c r="V9957">
        <f t="shared" si="725"/>
        <v>0</v>
      </c>
      <c r="W9957" s="22">
        <f t="shared" si="726"/>
        <v>0</v>
      </c>
    </row>
    <row r="9958" spans="1:23" hidden="1" x14ac:dyDescent="0.25">
      <c r="A9958" s="3"/>
      <c r="B9958" s="4"/>
      <c r="C9958" s="4"/>
      <c r="D9958" s="4"/>
      <c r="E9958" s="4"/>
      <c r="F9958" s="4"/>
      <c r="G9958" s="4"/>
      <c r="H9958" s="4"/>
      <c r="I9958" s="4"/>
      <c r="J9958" s="21">
        <f>IFERROR(VLOOKUP(C9958,'STOK KARTLARI'!$C$2:$K$2150,8,0),0)</f>
        <v>0</v>
      </c>
      <c r="K9958" s="21">
        <f t="shared" si="727"/>
        <v>0</v>
      </c>
      <c r="L9958" s="5">
        <f t="shared" si="729"/>
        <v>0</v>
      </c>
      <c r="M9958" s="4"/>
      <c r="N9958" s="4"/>
      <c r="O9958" s="5"/>
      <c r="P9958" s="5"/>
      <c r="Q9958" s="21">
        <f t="shared" si="730"/>
        <v>0</v>
      </c>
      <c r="R9958" s="21">
        <f t="shared" si="728"/>
        <v>0</v>
      </c>
      <c r="S9958" s="5">
        <f t="shared" si="731"/>
        <v>70007.077158325032</v>
      </c>
      <c r="T9958" cm="1">
        <f t="array" ref="T9958">IF(OR(B9958="MAL ALIMI", B9958="ÜRETİM GİRİŞ"), MIN(I9958, MAX(0, I9958 + SUM(SUMIFS($I$1:I9957, $C$1:C9957, C9958, $B$1:B9957, {"MAL ALIMI","ÜRETİM GİRİŞ"})) - VLOOKUP(C9958, 'STOK RAPORU'!$C$2:$I$1000, 4, 0))), 0)</f>
        <v>0</v>
      </c>
      <c r="U9958" s="22">
        <f t="shared" si="724"/>
        <v>0</v>
      </c>
      <c r="V9958">
        <f t="shared" si="725"/>
        <v>0</v>
      </c>
      <c r="W9958" s="22">
        <f t="shared" si="726"/>
        <v>0</v>
      </c>
    </row>
    <row r="9959" spans="1:23" hidden="1" x14ac:dyDescent="0.25">
      <c r="A9959" s="4"/>
      <c r="B9959" s="4"/>
      <c r="C9959" s="4"/>
      <c r="D9959" s="4"/>
      <c r="E9959" s="4"/>
      <c r="F9959" s="4"/>
      <c r="G9959" s="4"/>
      <c r="H9959" s="4"/>
      <c r="I9959" s="4"/>
      <c r="J9959" s="21">
        <f>IFERROR(VLOOKUP(C9959,'STOK KARTLARI'!$C$2:$K$2150,8,0),0)</f>
        <v>0</v>
      </c>
      <c r="K9959" s="21">
        <f t="shared" si="727"/>
        <v>0</v>
      </c>
      <c r="L9959" s="5">
        <f t="shared" si="729"/>
        <v>0</v>
      </c>
      <c r="M9959" s="4"/>
      <c r="N9959" s="4"/>
      <c r="O9959" s="5"/>
      <c r="P9959" s="5"/>
      <c r="Q9959" s="21">
        <f t="shared" si="730"/>
        <v>0</v>
      </c>
      <c r="R9959" s="21">
        <f t="shared" si="728"/>
        <v>0</v>
      </c>
      <c r="S9959" s="5">
        <f t="shared" si="731"/>
        <v>70007.077158325032</v>
      </c>
      <c r="T9959" cm="1">
        <f t="array" ref="T9959">IF(OR(B9959="MAL ALIMI", B9959="ÜRETİM GİRİŞ"), MIN(I9959, MAX(0, I9959 + SUM(SUMIFS($I$1:I9958, $C$1:C9958, C9959, $B$1:B9958, {"MAL ALIMI","ÜRETİM GİRİŞ"})) - VLOOKUP(C9959, 'STOK RAPORU'!$C$2:$I$1000, 4, 0))), 0)</f>
        <v>0</v>
      </c>
      <c r="U9959" s="22">
        <f t="shared" si="724"/>
        <v>0</v>
      </c>
      <c r="V9959">
        <f t="shared" si="725"/>
        <v>0</v>
      </c>
      <c r="W9959" s="22">
        <f t="shared" si="726"/>
        <v>0</v>
      </c>
    </row>
    <row r="9960" spans="1:23" hidden="1" x14ac:dyDescent="0.25">
      <c r="A9960" s="4"/>
      <c r="B9960" s="4"/>
      <c r="C9960" s="4"/>
      <c r="D9960" s="4"/>
      <c r="E9960" s="4"/>
      <c r="F9960" s="4"/>
      <c r="G9960" s="4"/>
      <c r="H9960" s="4"/>
      <c r="I9960" s="4"/>
      <c r="J9960" s="21">
        <f>IFERROR(VLOOKUP(C9960,'STOK KARTLARI'!$C$2:$K$2150,8,0),0)</f>
        <v>0</v>
      </c>
      <c r="K9960" s="21">
        <f t="shared" si="727"/>
        <v>0</v>
      </c>
      <c r="L9960" s="5">
        <f t="shared" si="729"/>
        <v>0</v>
      </c>
      <c r="M9960" s="4"/>
      <c r="N9960" s="4"/>
      <c r="O9960" s="5"/>
      <c r="P9960" s="5"/>
      <c r="Q9960" s="21">
        <f t="shared" si="730"/>
        <v>0</v>
      </c>
      <c r="R9960" s="21">
        <f t="shared" si="728"/>
        <v>0</v>
      </c>
      <c r="S9960" s="5">
        <f t="shared" si="731"/>
        <v>70007.077158325032</v>
      </c>
      <c r="T9960" cm="1">
        <f t="array" ref="T9960">IF(OR(B9960="MAL ALIMI", B9960="ÜRETİM GİRİŞ"), MIN(I9960, MAX(0, I9960 + SUM(SUMIFS($I$1:I9959, $C$1:C9959, C9960, $B$1:B9959, {"MAL ALIMI","ÜRETİM GİRİŞ"})) - VLOOKUP(C9960, 'STOK RAPORU'!$C$2:$I$1000, 4, 0))), 0)</f>
        <v>0</v>
      </c>
      <c r="U9960" s="22">
        <f t="shared" si="724"/>
        <v>0</v>
      </c>
      <c r="V9960">
        <f t="shared" si="725"/>
        <v>0</v>
      </c>
      <c r="W9960" s="22">
        <f t="shared" si="726"/>
        <v>0</v>
      </c>
    </row>
    <row r="9961" spans="1:23" hidden="1" x14ac:dyDescent="0.25">
      <c r="A9961" s="4"/>
      <c r="B9961" s="4"/>
      <c r="C9961" s="4"/>
      <c r="D9961" s="4"/>
      <c r="E9961" s="4"/>
      <c r="F9961" s="4"/>
      <c r="G9961" s="4"/>
      <c r="H9961" s="4"/>
      <c r="I9961" s="4"/>
      <c r="J9961" s="21">
        <f>IFERROR(VLOOKUP(C9961,'STOK KARTLARI'!$C$2:$K$2150,8,0),0)</f>
        <v>0</v>
      </c>
      <c r="K9961" s="21">
        <f t="shared" si="727"/>
        <v>0</v>
      </c>
      <c r="L9961" s="5">
        <f t="shared" si="729"/>
        <v>0</v>
      </c>
      <c r="M9961" s="4"/>
      <c r="N9961" s="4"/>
      <c r="O9961" s="5"/>
      <c r="P9961" s="5"/>
      <c r="Q9961" s="21">
        <f t="shared" si="730"/>
        <v>0</v>
      </c>
      <c r="R9961" s="21">
        <f t="shared" si="728"/>
        <v>0</v>
      </c>
      <c r="S9961" s="5">
        <f t="shared" si="731"/>
        <v>70007.077158325032</v>
      </c>
      <c r="T9961" cm="1">
        <f t="array" ref="T9961">IF(OR(B9961="MAL ALIMI", B9961="ÜRETİM GİRİŞ"), MIN(I9961, MAX(0, I9961 + SUM(SUMIFS($I$1:I9960, $C$1:C9960, C9961, $B$1:B9960, {"MAL ALIMI","ÜRETİM GİRİŞ"})) - VLOOKUP(C9961, 'STOK RAPORU'!$C$2:$I$1000, 4, 0))), 0)</f>
        <v>0</v>
      </c>
      <c r="U9961" s="22">
        <f t="shared" si="724"/>
        <v>0</v>
      </c>
      <c r="V9961">
        <f t="shared" si="725"/>
        <v>0</v>
      </c>
      <c r="W9961" s="22">
        <f t="shared" si="726"/>
        <v>0</v>
      </c>
    </row>
    <row r="9962" spans="1:23" hidden="1" x14ac:dyDescent="0.25">
      <c r="A9962" s="4"/>
      <c r="B9962" s="4"/>
      <c r="C9962" s="4"/>
      <c r="D9962" s="4"/>
      <c r="E9962" s="4"/>
      <c r="F9962" s="4"/>
      <c r="G9962" s="4"/>
      <c r="H9962" s="4"/>
      <c r="I9962" s="4"/>
      <c r="J9962" s="21">
        <f>IFERROR(VLOOKUP(C9962,'STOK KARTLARI'!$C$2:$K$2150,8,0),0)</f>
        <v>0</v>
      </c>
      <c r="K9962" s="21">
        <f t="shared" si="727"/>
        <v>0</v>
      </c>
      <c r="L9962" s="5">
        <f t="shared" si="729"/>
        <v>0</v>
      </c>
      <c r="M9962" s="4"/>
      <c r="N9962" s="4"/>
      <c r="O9962" s="5"/>
      <c r="P9962" s="5"/>
      <c r="Q9962" s="21">
        <f t="shared" si="730"/>
        <v>0</v>
      </c>
      <c r="R9962" s="21">
        <f t="shared" si="728"/>
        <v>0</v>
      </c>
      <c r="S9962" s="5">
        <f t="shared" si="731"/>
        <v>70007.077158325032</v>
      </c>
      <c r="T9962" cm="1">
        <f t="array" ref="T9962">IF(OR(B9962="MAL ALIMI", B9962="ÜRETİM GİRİŞ"), MIN(I9962, MAX(0, I9962 + SUM(SUMIFS($I$1:I9961, $C$1:C9961, C9962, $B$1:B9961, {"MAL ALIMI","ÜRETİM GİRİŞ"})) - VLOOKUP(C9962, 'STOK RAPORU'!$C$2:$I$1000, 4, 0))), 0)</f>
        <v>0</v>
      </c>
      <c r="U9962" s="22">
        <f t="shared" si="724"/>
        <v>0</v>
      </c>
      <c r="V9962">
        <f t="shared" si="725"/>
        <v>0</v>
      </c>
      <c r="W9962" s="22">
        <f t="shared" si="726"/>
        <v>0</v>
      </c>
    </row>
    <row r="9963" spans="1:23" hidden="1" x14ac:dyDescent="0.25">
      <c r="A9963" s="4"/>
      <c r="B9963" s="4"/>
      <c r="C9963" s="4"/>
      <c r="D9963" s="4"/>
      <c r="E9963" s="4"/>
      <c r="F9963" s="4"/>
      <c r="G9963" s="4"/>
      <c r="H9963" s="4"/>
      <c r="I9963" s="4"/>
      <c r="J9963" s="21">
        <f>IFERROR(VLOOKUP(C9963,'STOK KARTLARI'!$C$2:$K$2150,8,0),0)</f>
        <v>0</v>
      </c>
      <c r="K9963" s="21">
        <f t="shared" si="727"/>
        <v>0</v>
      </c>
      <c r="L9963" s="5">
        <f t="shared" si="729"/>
        <v>0</v>
      </c>
      <c r="M9963" s="4"/>
      <c r="N9963" s="4"/>
      <c r="O9963" s="5"/>
      <c r="P9963" s="5"/>
      <c r="Q9963" s="21">
        <f t="shared" si="730"/>
        <v>0</v>
      </c>
      <c r="R9963" s="21">
        <f t="shared" si="728"/>
        <v>0</v>
      </c>
      <c r="S9963" s="5">
        <f t="shared" si="731"/>
        <v>70007.077158325032</v>
      </c>
      <c r="T9963" cm="1">
        <f t="array" ref="T9963">IF(OR(B9963="MAL ALIMI", B9963="ÜRETİM GİRİŞ"), MIN(I9963, MAX(0, I9963 + SUM(SUMIFS($I$1:I9962, $C$1:C9962, C9963, $B$1:B9962, {"MAL ALIMI","ÜRETİM GİRİŞ"})) - VLOOKUP(C9963, 'STOK RAPORU'!$C$2:$I$1000, 4, 0))), 0)</f>
        <v>0</v>
      </c>
      <c r="U9963" s="22">
        <f t="shared" si="724"/>
        <v>0</v>
      </c>
      <c r="V9963">
        <f t="shared" si="725"/>
        <v>0</v>
      </c>
      <c r="W9963" s="22">
        <f t="shared" si="726"/>
        <v>0</v>
      </c>
    </row>
    <row r="9964" spans="1:23" hidden="1" x14ac:dyDescent="0.25">
      <c r="A9964" s="4"/>
      <c r="B9964" s="4"/>
      <c r="C9964" s="4"/>
      <c r="D9964" s="4"/>
      <c r="E9964" s="4"/>
      <c r="F9964" s="4"/>
      <c r="G9964" s="4"/>
      <c r="H9964" s="4"/>
      <c r="I9964" s="4"/>
      <c r="J9964" s="21">
        <f>IFERROR(VLOOKUP(C9964,'STOK KARTLARI'!$C$2:$K$2150,8,0),0)</f>
        <v>0</v>
      </c>
      <c r="K9964" s="21">
        <f t="shared" si="727"/>
        <v>0</v>
      </c>
      <c r="L9964" s="5">
        <f t="shared" si="729"/>
        <v>0</v>
      </c>
      <c r="M9964" s="4"/>
      <c r="N9964" s="4"/>
      <c r="O9964" s="5"/>
      <c r="P9964" s="5"/>
      <c r="Q9964" s="21">
        <f t="shared" si="730"/>
        <v>0</v>
      </c>
      <c r="R9964" s="21">
        <f t="shared" si="728"/>
        <v>0</v>
      </c>
      <c r="S9964" s="5">
        <f t="shared" si="731"/>
        <v>70007.077158325032</v>
      </c>
      <c r="T9964" cm="1">
        <f t="array" ref="T9964">IF(OR(B9964="MAL ALIMI", B9964="ÜRETİM GİRİŞ"), MIN(I9964, MAX(0, I9964 + SUM(SUMIFS($I$1:I9963, $C$1:C9963, C9964, $B$1:B9963, {"MAL ALIMI","ÜRETİM GİRİŞ"})) - VLOOKUP(C9964, 'STOK RAPORU'!$C$2:$I$1000, 4, 0))), 0)</f>
        <v>0</v>
      </c>
      <c r="U9964" s="22">
        <f t="shared" si="724"/>
        <v>0</v>
      </c>
      <c r="V9964">
        <f t="shared" si="725"/>
        <v>0</v>
      </c>
      <c r="W9964" s="22">
        <f t="shared" si="726"/>
        <v>0</v>
      </c>
    </row>
    <row r="9965" spans="1:23" hidden="1" x14ac:dyDescent="0.25">
      <c r="A9965" s="3"/>
      <c r="B9965" s="4"/>
      <c r="C9965" s="4"/>
      <c r="D9965" s="4"/>
      <c r="E9965" s="4"/>
      <c r="F9965" s="4"/>
      <c r="G9965" s="4"/>
      <c r="H9965" s="4"/>
      <c r="I9965" s="4"/>
      <c r="J9965" s="21">
        <f>IFERROR(VLOOKUP(C9965,'STOK KARTLARI'!$C$2:$K$2150,8,0),0)</f>
        <v>0</v>
      </c>
      <c r="K9965" s="21">
        <f t="shared" si="727"/>
        <v>0</v>
      </c>
      <c r="L9965" s="5">
        <f t="shared" si="729"/>
        <v>0</v>
      </c>
      <c r="M9965" s="4"/>
      <c r="N9965" s="4"/>
      <c r="O9965" s="5"/>
      <c r="P9965" s="5"/>
      <c r="Q9965" s="21">
        <f t="shared" si="730"/>
        <v>0</v>
      </c>
      <c r="R9965" s="21">
        <f t="shared" si="728"/>
        <v>0</v>
      </c>
      <c r="S9965" s="5">
        <f t="shared" si="731"/>
        <v>70007.077158325032</v>
      </c>
      <c r="T9965" cm="1">
        <f t="array" ref="T9965">IF(OR(B9965="MAL ALIMI", B9965="ÜRETİM GİRİŞ"), MIN(I9965, MAX(0, I9965 + SUM(SUMIFS($I$1:I9964, $C$1:C9964, C9965, $B$1:B9964, {"MAL ALIMI","ÜRETİM GİRİŞ"})) - VLOOKUP(C9965, 'STOK RAPORU'!$C$2:$I$1000, 4, 0))), 0)</f>
        <v>0</v>
      </c>
      <c r="U9965" s="22">
        <f t="shared" si="724"/>
        <v>0</v>
      </c>
      <c r="V9965">
        <f t="shared" si="725"/>
        <v>0</v>
      </c>
      <c r="W9965" s="22">
        <f t="shared" si="726"/>
        <v>0</v>
      </c>
    </row>
    <row r="9966" spans="1:23" hidden="1" x14ac:dyDescent="0.25">
      <c r="A9966" s="4"/>
      <c r="B9966" s="4"/>
      <c r="C9966" s="4"/>
      <c r="D9966" s="4"/>
      <c r="E9966" s="4"/>
      <c r="F9966" s="4"/>
      <c r="G9966" s="4"/>
      <c r="H9966" s="4"/>
      <c r="I9966" s="4"/>
      <c r="J9966" s="21">
        <f>IFERROR(VLOOKUP(C9966,'STOK KARTLARI'!$C$2:$K$2150,8,0),0)</f>
        <v>0</v>
      </c>
      <c r="K9966" s="21">
        <f t="shared" si="727"/>
        <v>0</v>
      </c>
      <c r="L9966" s="5">
        <f t="shared" si="729"/>
        <v>0</v>
      </c>
      <c r="M9966" s="4"/>
      <c r="N9966" s="4"/>
      <c r="O9966" s="5"/>
      <c r="P9966" s="5"/>
      <c r="Q9966" s="21">
        <f t="shared" si="730"/>
        <v>0</v>
      </c>
      <c r="R9966" s="21">
        <f t="shared" si="728"/>
        <v>0</v>
      </c>
      <c r="S9966" s="5">
        <f t="shared" si="731"/>
        <v>70007.077158325032</v>
      </c>
      <c r="T9966" cm="1">
        <f t="array" ref="T9966">IF(OR(B9966="MAL ALIMI", B9966="ÜRETİM GİRİŞ"), MIN(I9966, MAX(0, I9966 + SUM(SUMIFS($I$1:I9965, $C$1:C9965, C9966, $B$1:B9965, {"MAL ALIMI","ÜRETİM GİRİŞ"})) - VLOOKUP(C9966, 'STOK RAPORU'!$C$2:$I$1000, 4, 0))), 0)</f>
        <v>0</v>
      </c>
      <c r="U9966" s="22">
        <f t="shared" si="724"/>
        <v>0</v>
      </c>
      <c r="V9966">
        <f t="shared" si="725"/>
        <v>0</v>
      </c>
      <c r="W9966" s="22">
        <f t="shared" si="726"/>
        <v>0</v>
      </c>
    </row>
    <row r="9967" spans="1:23" hidden="1" x14ac:dyDescent="0.25">
      <c r="A9967" s="4"/>
      <c r="B9967" s="4"/>
      <c r="C9967" s="4"/>
      <c r="D9967" s="4"/>
      <c r="E9967" s="4"/>
      <c r="F9967" s="4"/>
      <c r="G9967" s="4"/>
      <c r="H9967" s="4"/>
      <c r="I9967" s="4"/>
      <c r="J9967" s="21">
        <f>IFERROR(VLOOKUP(C9967,'STOK KARTLARI'!$C$2:$K$2150,8,0),0)</f>
        <v>0</v>
      </c>
      <c r="K9967" s="21">
        <f t="shared" si="727"/>
        <v>0</v>
      </c>
      <c r="L9967" s="5">
        <f t="shared" si="729"/>
        <v>0</v>
      </c>
      <c r="M9967" s="4"/>
      <c r="N9967" s="4"/>
      <c r="O9967" s="5"/>
      <c r="P9967" s="5"/>
      <c r="Q9967" s="21">
        <f t="shared" si="730"/>
        <v>0</v>
      </c>
      <c r="R9967" s="21">
        <f t="shared" si="728"/>
        <v>0</v>
      </c>
      <c r="S9967" s="5">
        <f t="shared" si="731"/>
        <v>70007.077158325032</v>
      </c>
      <c r="T9967" cm="1">
        <f t="array" ref="T9967">IF(OR(B9967="MAL ALIMI", B9967="ÜRETİM GİRİŞ"), MIN(I9967, MAX(0, I9967 + SUM(SUMIFS($I$1:I9966, $C$1:C9966, C9967, $B$1:B9966, {"MAL ALIMI","ÜRETİM GİRİŞ"})) - VLOOKUP(C9967, 'STOK RAPORU'!$C$2:$I$1000, 4, 0))), 0)</f>
        <v>0</v>
      </c>
      <c r="U9967" s="22">
        <f t="shared" ref="U9967:U10030" si="732">T9967*J9967</f>
        <v>0</v>
      </c>
      <c r="V9967">
        <f t="shared" ref="V9967:V10030" si="733">IF(OR(B9967="MAL ALIMI", B9967="ÜRETİM GİRİŞ"), I9967 * J9967, 0)</f>
        <v>0</v>
      </c>
      <c r="W9967" s="22">
        <f t="shared" ref="W9967:W10030" si="734">V9967-U9967</f>
        <v>0</v>
      </c>
    </row>
    <row r="9968" spans="1:23" hidden="1" x14ac:dyDescent="0.25">
      <c r="A9968" s="4"/>
      <c r="B9968" s="4"/>
      <c r="C9968" s="4"/>
      <c r="D9968" s="4"/>
      <c r="E9968" s="4"/>
      <c r="F9968" s="4"/>
      <c r="G9968" s="4"/>
      <c r="H9968" s="4"/>
      <c r="I9968" s="4"/>
      <c r="J9968" s="21">
        <f>IFERROR(VLOOKUP(C9968,'STOK KARTLARI'!$C$2:$K$2150,8,0),0)</f>
        <v>0</v>
      </c>
      <c r="K9968" s="21">
        <f t="shared" si="727"/>
        <v>0</v>
      </c>
      <c r="L9968" s="5">
        <f t="shared" si="729"/>
        <v>0</v>
      </c>
      <c r="M9968" s="4"/>
      <c r="N9968" s="4"/>
      <c r="O9968" s="5"/>
      <c r="P9968" s="5"/>
      <c r="Q9968" s="21">
        <f t="shared" si="730"/>
        <v>0</v>
      </c>
      <c r="R9968" s="21">
        <f t="shared" si="728"/>
        <v>0</v>
      </c>
      <c r="S9968" s="5">
        <f t="shared" si="731"/>
        <v>70007.077158325032</v>
      </c>
      <c r="T9968" cm="1">
        <f t="array" ref="T9968">IF(OR(B9968="MAL ALIMI", B9968="ÜRETİM GİRİŞ"), MIN(I9968, MAX(0, I9968 + SUM(SUMIFS($I$1:I9967, $C$1:C9967, C9968, $B$1:B9967, {"MAL ALIMI","ÜRETİM GİRİŞ"})) - VLOOKUP(C9968, 'STOK RAPORU'!$C$2:$I$1000, 4, 0))), 0)</f>
        <v>0</v>
      </c>
      <c r="U9968" s="22">
        <f t="shared" si="732"/>
        <v>0</v>
      </c>
      <c r="V9968">
        <f t="shared" si="733"/>
        <v>0</v>
      </c>
      <c r="W9968" s="22">
        <f t="shared" si="734"/>
        <v>0</v>
      </c>
    </row>
    <row r="9969" spans="1:23" hidden="1" x14ac:dyDescent="0.25">
      <c r="A9969" s="4"/>
      <c r="B9969" s="4"/>
      <c r="C9969" s="4"/>
      <c r="D9969" s="4"/>
      <c r="E9969" s="4"/>
      <c r="F9969" s="4"/>
      <c r="G9969" s="4"/>
      <c r="H9969" s="4"/>
      <c r="I9969" s="4"/>
      <c r="J9969" s="21">
        <f>IFERROR(VLOOKUP(C9969,'STOK KARTLARI'!$C$2:$K$2150,8,0),0)</f>
        <v>0</v>
      </c>
      <c r="K9969" s="21">
        <f t="shared" si="727"/>
        <v>0</v>
      </c>
      <c r="L9969" s="5">
        <f t="shared" si="729"/>
        <v>0</v>
      </c>
      <c r="M9969" s="4"/>
      <c r="N9969" s="4"/>
      <c r="O9969" s="5"/>
      <c r="P9969" s="5"/>
      <c r="Q9969" s="21">
        <f t="shared" si="730"/>
        <v>0</v>
      </c>
      <c r="R9969" s="21">
        <f t="shared" si="728"/>
        <v>0</v>
      </c>
      <c r="S9969" s="5">
        <f t="shared" si="731"/>
        <v>70007.077158325032</v>
      </c>
      <c r="T9969" cm="1">
        <f t="array" ref="T9969">IF(OR(B9969="MAL ALIMI", B9969="ÜRETİM GİRİŞ"), MIN(I9969, MAX(0, I9969 + SUM(SUMIFS($I$1:I9968, $C$1:C9968, C9969, $B$1:B9968, {"MAL ALIMI","ÜRETİM GİRİŞ"})) - VLOOKUP(C9969, 'STOK RAPORU'!$C$2:$I$1000, 4, 0))), 0)</f>
        <v>0</v>
      </c>
      <c r="U9969" s="22">
        <f t="shared" si="732"/>
        <v>0</v>
      </c>
      <c r="V9969">
        <f t="shared" si="733"/>
        <v>0</v>
      </c>
      <c r="W9969" s="22">
        <f t="shared" si="734"/>
        <v>0</v>
      </c>
    </row>
    <row r="9970" spans="1:23" hidden="1" x14ac:dyDescent="0.25">
      <c r="A9970" s="4"/>
      <c r="B9970" s="4"/>
      <c r="C9970" s="4"/>
      <c r="D9970" s="4"/>
      <c r="E9970" s="4"/>
      <c r="F9970" s="4"/>
      <c r="G9970" s="4"/>
      <c r="H9970" s="4"/>
      <c r="I9970" s="4"/>
      <c r="J9970" s="21">
        <f>IFERROR(VLOOKUP(C9970,'STOK KARTLARI'!$C$2:$K$2150,8,0),0)</f>
        <v>0</v>
      </c>
      <c r="K9970" s="21">
        <f t="shared" si="727"/>
        <v>0</v>
      </c>
      <c r="L9970" s="5">
        <f t="shared" si="729"/>
        <v>0</v>
      </c>
      <c r="M9970" s="4"/>
      <c r="N9970" s="4"/>
      <c r="O9970" s="5"/>
      <c r="P9970" s="5"/>
      <c r="Q9970" s="21">
        <f t="shared" si="730"/>
        <v>0</v>
      </c>
      <c r="R9970" s="21">
        <f t="shared" si="728"/>
        <v>0</v>
      </c>
      <c r="S9970" s="5">
        <f t="shared" si="731"/>
        <v>70007.077158325032</v>
      </c>
      <c r="T9970" cm="1">
        <f t="array" ref="T9970">IF(OR(B9970="MAL ALIMI", B9970="ÜRETİM GİRİŞ"), MIN(I9970, MAX(0, I9970 + SUM(SUMIFS($I$1:I9969, $C$1:C9969, C9970, $B$1:B9969, {"MAL ALIMI","ÜRETİM GİRİŞ"})) - VLOOKUP(C9970, 'STOK RAPORU'!$C$2:$I$1000, 4, 0))), 0)</f>
        <v>0</v>
      </c>
      <c r="U9970" s="22">
        <f t="shared" si="732"/>
        <v>0</v>
      </c>
      <c r="V9970">
        <f t="shared" si="733"/>
        <v>0</v>
      </c>
      <c r="W9970" s="22">
        <f t="shared" si="734"/>
        <v>0</v>
      </c>
    </row>
    <row r="9971" spans="1:23" hidden="1" x14ac:dyDescent="0.25">
      <c r="A9971" s="4"/>
      <c r="B9971" s="4"/>
      <c r="C9971" s="4"/>
      <c r="D9971" s="4"/>
      <c r="E9971" s="4"/>
      <c r="F9971" s="4"/>
      <c r="G9971" s="4"/>
      <c r="H9971" s="4"/>
      <c r="I9971" s="4"/>
      <c r="J9971" s="21">
        <f>IFERROR(VLOOKUP(C9971,'STOK KARTLARI'!$C$2:$K$2150,8,0),0)</f>
        <v>0</v>
      </c>
      <c r="K9971" s="21">
        <f t="shared" ref="K9971:K10034" si="735">IF(AND(B9971="MAL SATIŞI", H9971="POS"),I9971*J9971,0)</f>
        <v>0</v>
      </c>
      <c r="L9971" s="5">
        <f t="shared" si="729"/>
        <v>0</v>
      </c>
      <c r="M9971" s="4"/>
      <c r="N9971" s="4"/>
      <c r="O9971" s="5"/>
      <c r="P9971" s="5"/>
      <c r="Q9971" s="21">
        <f t="shared" si="730"/>
        <v>0</v>
      </c>
      <c r="R9971" s="21">
        <f t="shared" ref="R9971:R10034" si="736">IF(AND(E9971="", B9971&lt;&gt;"MAL SATIŞI"),I9971*J9971,0)</f>
        <v>0</v>
      </c>
      <c r="S9971" s="5">
        <f t="shared" si="731"/>
        <v>70007.077158325032</v>
      </c>
      <c r="T9971" cm="1">
        <f t="array" ref="T9971">IF(OR(B9971="MAL ALIMI", B9971="ÜRETİM GİRİŞ"), MIN(I9971, MAX(0, I9971 + SUM(SUMIFS($I$1:I9970, $C$1:C9970, C9971, $B$1:B9970, {"MAL ALIMI","ÜRETİM GİRİŞ"})) - VLOOKUP(C9971, 'STOK RAPORU'!$C$2:$I$1000, 4, 0))), 0)</f>
        <v>0</v>
      </c>
      <c r="U9971" s="22">
        <f t="shared" si="732"/>
        <v>0</v>
      </c>
      <c r="V9971">
        <f t="shared" si="733"/>
        <v>0</v>
      </c>
      <c r="W9971" s="22">
        <f t="shared" si="734"/>
        <v>0</v>
      </c>
    </row>
    <row r="9972" spans="1:23" hidden="1" x14ac:dyDescent="0.25">
      <c r="A9972" s="3"/>
      <c r="B9972" s="4"/>
      <c r="C9972" s="4"/>
      <c r="D9972" s="4"/>
      <c r="E9972" s="4"/>
      <c r="F9972" s="4"/>
      <c r="G9972" s="4"/>
      <c r="H9972" s="4"/>
      <c r="I9972" s="4"/>
      <c r="J9972" s="21">
        <f>IFERROR(VLOOKUP(C9972,'STOK KARTLARI'!$C$2:$K$2150,8,0),0)</f>
        <v>0</v>
      </c>
      <c r="K9972" s="21">
        <f t="shared" si="735"/>
        <v>0</v>
      </c>
      <c r="L9972" s="5">
        <f t="shared" ref="L9972:L10035" si="737">IF(OR(E9972="", H9972="POS"),0,I9972*J9972)</f>
        <v>0</v>
      </c>
      <c r="M9972" s="4"/>
      <c r="N9972" s="4"/>
      <c r="O9972" s="5"/>
      <c r="P9972" s="5"/>
      <c r="Q9972" s="21">
        <f t="shared" ref="Q9972:Q10035" si="738">IF(AND(E9972="", B9972="MAL SATIŞI", H9972="NAKİT"),I9972*J9972,0)</f>
        <v>0</v>
      </c>
      <c r="R9972" s="21">
        <f t="shared" si="736"/>
        <v>0</v>
      </c>
      <c r="S9972" s="5">
        <f t="shared" si="731"/>
        <v>70007.077158325032</v>
      </c>
      <c r="T9972" cm="1">
        <f t="array" ref="T9972">IF(OR(B9972="MAL ALIMI", B9972="ÜRETİM GİRİŞ"), MIN(I9972, MAX(0, I9972 + SUM(SUMIFS($I$1:I9971, $C$1:C9971, C9972, $B$1:B9971, {"MAL ALIMI","ÜRETİM GİRİŞ"})) - VLOOKUP(C9972, 'STOK RAPORU'!$C$2:$I$1000, 4, 0))), 0)</f>
        <v>0</v>
      </c>
      <c r="U9972" s="22">
        <f t="shared" si="732"/>
        <v>0</v>
      </c>
      <c r="V9972">
        <f t="shared" si="733"/>
        <v>0</v>
      </c>
      <c r="W9972" s="22">
        <f t="shared" si="734"/>
        <v>0</v>
      </c>
    </row>
    <row r="9973" spans="1:23" hidden="1" x14ac:dyDescent="0.25">
      <c r="A9973" s="4"/>
      <c r="B9973" s="4"/>
      <c r="C9973" s="4"/>
      <c r="D9973" s="4"/>
      <c r="E9973" s="4"/>
      <c r="F9973" s="4"/>
      <c r="G9973" s="4"/>
      <c r="H9973" s="4"/>
      <c r="I9973" s="4"/>
      <c r="J9973" s="21">
        <f>IFERROR(VLOOKUP(C9973,'STOK KARTLARI'!$C$2:$K$2150,8,0),0)</f>
        <v>0</v>
      </c>
      <c r="K9973" s="21">
        <f t="shared" si="735"/>
        <v>0</v>
      </c>
      <c r="L9973" s="5">
        <f t="shared" si="737"/>
        <v>0</v>
      </c>
      <c r="M9973" s="4"/>
      <c r="N9973" s="4"/>
      <c r="O9973" s="5"/>
      <c r="P9973" s="5"/>
      <c r="Q9973" s="21">
        <f t="shared" si="738"/>
        <v>0</v>
      </c>
      <c r="R9973" s="21">
        <f t="shared" si="736"/>
        <v>0</v>
      </c>
      <c r="S9973" s="5">
        <f t="shared" si="731"/>
        <v>70007.077158325032</v>
      </c>
      <c r="T9973" cm="1">
        <f t="array" ref="T9973">IF(OR(B9973="MAL ALIMI", B9973="ÜRETİM GİRİŞ"), MIN(I9973, MAX(0, I9973 + SUM(SUMIFS($I$1:I9972, $C$1:C9972, C9973, $B$1:B9972, {"MAL ALIMI","ÜRETİM GİRİŞ"})) - VLOOKUP(C9973, 'STOK RAPORU'!$C$2:$I$1000, 4, 0))), 0)</f>
        <v>0</v>
      </c>
      <c r="U9973" s="22">
        <f t="shared" si="732"/>
        <v>0</v>
      </c>
      <c r="V9973">
        <f t="shared" si="733"/>
        <v>0</v>
      </c>
      <c r="W9973" s="22">
        <f t="shared" si="734"/>
        <v>0</v>
      </c>
    </row>
    <row r="9974" spans="1:23" hidden="1" x14ac:dyDescent="0.25">
      <c r="A9974" s="4"/>
      <c r="B9974" s="4"/>
      <c r="C9974" s="4"/>
      <c r="D9974" s="4"/>
      <c r="E9974" s="4"/>
      <c r="F9974" s="4"/>
      <c r="G9974" s="4"/>
      <c r="H9974" s="4"/>
      <c r="I9974" s="4"/>
      <c r="J9974" s="21">
        <f>IFERROR(VLOOKUP(C9974,'STOK KARTLARI'!$C$2:$K$2150,8,0),0)</f>
        <v>0</v>
      </c>
      <c r="K9974" s="21">
        <f t="shared" si="735"/>
        <v>0</v>
      </c>
      <c r="L9974" s="5">
        <f t="shared" si="737"/>
        <v>0</v>
      </c>
      <c r="M9974" s="4"/>
      <c r="N9974" s="4"/>
      <c r="O9974" s="5"/>
      <c r="P9974" s="5"/>
      <c r="Q9974" s="21">
        <f t="shared" si="738"/>
        <v>0</v>
      </c>
      <c r="R9974" s="21">
        <f t="shared" si="736"/>
        <v>0</v>
      </c>
      <c r="S9974" s="5">
        <f t="shared" si="731"/>
        <v>70007.077158325032</v>
      </c>
      <c r="T9974" cm="1">
        <f t="array" ref="T9974">IF(OR(B9974="MAL ALIMI", B9974="ÜRETİM GİRİŞ"), MIN(I9974, MAX(0, I9974 + SUM(SUMIFS($I$1:I9973, $C$1:C9973, C9974, $B$1:B9973, {"MAL ALIMI","ÜRETİM GİRİŞ"})) - VLOOKUP(C9974, 'STOK RAPORU'!$C$2:$I$1000, 4, 0))), 0)</f>
        <v>0</v>
      </c>
      <c r="U9974" s="22">
        <f t="shared" si="732"/>
        <v>0</v>
      </c>
      <c r="V9974">
        <f t="shared" si="733"/>
        <v>0</v>
      </c>
      <c r="W9974" s="22">
        <f t="shared" si="734"/>
        <v>0</v>
      </c>
    </row>
    <row r="9975" spans="1:23" hidden="1" x14ac:dyDescent="0.25">
      <c r="A9975" s="4"/>
      <c r="B9975" s="4"/>
      <c r="C9975" s="4"/>
      <c r="D9975" s="4"/>
      <c r="E9975" s="4"/>
      <c r="F9975" s="4"/>
      <c r="G9975" s="4"/>
      <c r="H9975" s="4"/>
      <c r="I9975" s="4"/>
      <c r="J9975" s="21">
        <f>IFERROR(VLOOKUP(C9975,'STOK KARTLARI'!$C$2:$K$2150,8,0),0)</f>
        <v>0</v>
      </c>
      <c r="K9975" s="21">
        <f t="shared" si="735"/>
        <v>0</v>
      </c>
      <c r="L9975" s="5">
        <f t="shared" si="737"/>
        <v>0</v>
      </c>
      <c r="M9975" s="4"/>
      <c r="N9975" s="4"/>
      <c r="O9975" s="5"/>
      <c r="P9975" s="5"/>
      <c r="Q9975" s="21">
        <f t="shared" si="738"/>
        <v>0</v>
      </c>
      <c r="R9975" s="21">
        <f t="shared" si="736"/>
        <v>0</v>
      </c>
      <c r="S9975" s="5">
        <f t="shared" si="731"/>
        <v>70007.077158325032</v>
      </c>
      <c r="T9975" cm="1">
        <f t="array" ref="T9975">IF(OR(B9975="MAL ALIMI", B9975="ÜRETİM GİRİŞ"), MIN(I9975, MAX(0, I9975 + SUM(SUMIFS($I$1:I9974, $C$1:C9974, C9975, $B$1:B9974, {"MAL ALIMI","ÜRETİM GİRİŞ"})) - VLOOKUP(C9975, 'STOK RAPORU'!$C$2:$I$1000, 4, 0))), 0)</f>
        <v>0</v>
      </c>
      <c r="U9975" s="22">
        <f t="shared" si="732"/>
        <v>0</v>
      </c>
      <c r="V9975">
        <f t="shared" si="733"/>
        <v>0</v>
      </c>
      <c r="W9975" s="22">
        <f t="shared" si="734"/>
        <v>0</v>
      </c>
    </row>
    <row r="9976" spans="1:23" hidden="1" x14ac:dyDescent="0.25">
      <c r="A9976" s="4"/>
      <c r="B9976" s="4"/>
      <c r="C9976" s="4"/>
      <c r="D9976" s="4"/>
      <c r="E9976" s="4"/>
      <c r="F9976" s="4"/>
      <c r="G9976" s="4"/>
      <c r="H9976" s="4"/>
      <c r="I9976" s="4"/>
      <c r="J9976" s="21">
        <f>IFERROR(VLOOKUP(C9976,'STOK KARTLARI'!$C$2:$K$2150,8,0),0)</f>
        <v>0</v>
      </c>
      <c r="K9976" s="21">
        <f t="shared" si="735"/>
        <v>0</v>
      </c>
      <c r="L9976" s="5">
        <f t="shared" si="737"/>
        <v>0</v>
      </c>
      <c r="M9976" s="4"/>
      <c r="N9976" s="4"/>
      <c r="O9976" s="5"/>
      <c r="P9976" s="5"/>
      <c r="Q9976" s="21">
        <f t="shared" si="738"/>
        <v>0</v>
      </c>
      <c r="R9976" s="21">
        <f t="shared" si="736"/>
        <v>0</v>
      </c>
      <c r="S9976" s="5">
        <f t="shared" si="731"/>
        <v>70007.077158325032</v>
      </c>
      <c r="T9976" cm="1">
        <f t="array" ref="T9976">IF(OR(B9976="MAL ALIMI", B9976="ÜRETİM GİRİŞ"), MIN(I9976, MAX(0, I9976 + SUM(SUMIFS($I$1:I9975, $C$1:C9975, C9976, $B$1:B9975, {"MAL ALIMI","ÜRETİM GİRİŞ"})) - VLOOKUP(C9976, 'STOK RAPORU'!$C$2:$I$1000, 4, 0))), 0)</f>
        <v>0</v>
      </c>
      <c r="U9976" s="22">
        <f t="shared" si="732"/>
        <v>0</v>
      </c>
      <c r="V9976">
        <f t="shared" si="733"/>
        <v>0</v>
      </c>
      <c r="W9976" s="22">
        <f t="shared" si="734"/>
        <v>0</v>
      </c>
    </row>
    <row r="9977" spans="1:23" hidden="1" x14ac:dyDescent="0.25">
      <c r="A9977" s="4"/>
      <c r="B9977" s="4"/>
      <c r="C9977" s="4"/>
      <c r="D9977" s="4"/>
      <c r="E9977" s="4"/>
      <c r="F9977" s="4"/>
      <c r="G9977" s="4"/>
      <c r="H9977" s="4"/>
      <c r="I9977" s="4"/>
      <c r="J9977" s="21">
        <f>IFERROR(VLOOKUP(C9977,'STOK KARTLARI'!$C$2:$K$2150,8,0),0)</f>
        <v>0</v>
      </c>
      <c r="K9977" s="21">
        <f t="shared" si="735"/>
        <v>0</v>
      </c>
      <c r="L9977" s="5">
        <f t="shared" si="737"/>
        <v>0</v>
      </c>
      <c r="M9977" s="4"/>
      <c r="N9977" s="4"/>
      <c r="O9977" s="5"/>
      <c r="P9977" s="5"/>
      <c r="Q9977" s="21">
        <f t="shared" si="738"/>
        <v>0</v>
      </c>
      <c r="R9977" s="21">
        <f t="shared" si="736"/>
        <v>0</v>
      </c>
      <c r="S9977" s="5">
        <f t="shared" si="731"/>
        <v>70007.077158325032</v>
      </c>
      <c r="T9977" cm="1">
        <f t="array" ref="T9977">IF(OR(B9977="MAL ALIMI", B9977="ÜRETİM GİRİŞ"), MIN(I9977, MAX(0, I9977 + SUM(SUMIFS($I$1:I9976, $C$1:C9976, C9977, $B$1:B9976, {"MAL ALIMI","ÜRETİM GİRİŞ"})) - VLOOKUP(C9977, 'STOK RAPORU'!$C$2:$I$1000, 4, 0))), 0)</f>
        <v>0</v>
      </c>
      <c r="U9977" s="22">
        <f t="shared" si="732"/>
        <v>0</v>
      </c>
      <c r="V9977">
        <f t="shared" si="733"/>
        <v>0</v>
      </c>
      <c r="W9977" s="22">
        <f t="shared" si="734"/>
        <v>0</v>
      </c>
    </row>
    <row r="9978" spans="1:23" hidden="1" x14ac:dyDescent="0.25">
      <c r="A9978" s="4"/>
      <c r="B9978" s="4"/>
      <c r="C9978" s="4"/>
      <c r="D9978" s="4"/>
      <c r="E9978" s="4"/>
      <c r="F9978" s="4"/>
      <c r="G9978" s="4"/>
      <c r="H9978" s="4"/>
      <c r="I9978" s="4"/>
      <c r="J9978" s="21">
        <f>IFERROR(VLOOKUP(C9978,'STOK KARTLARI'!$C$2:$K$2150,8,0),0)</f>
        <v>0</v>
      </c>
      <c r="K9978" s="21">
        <f t="shared" si="735"/>
        <v>0</v>
      </c>
      <c r="L9978" s="5">
        <f t="shared" si="737"/>
        <v>0</v>
      </c>
      <c r="M9978" s="4"/>
      <c r="N9978" s="4"/>
      <c r="O9978" s="5"/>
      <c r="P9978" s="5"/>
      <c r="Q9978" s="21">
        <f t="shared" si="738"/>
        <v>0</v>
      </c>
      <c r="R9978" s="21">
        <f t="shared" si="736"/>
        <v>0</v>
      </c>
      <c r="S9978" s="5">
        <f t="shared" si="731"/>
        <v>70007.077158325032</v>
      </c>
      <c r="T9978" cm="1">
        <f t="array" ref="T9978">IF(OR(B9978="MAL ALIMI", B9978="ÜRETİM GİRİŞ"), MIN(I9978, MAX(0, I9978 + SUM(SUMIFS($I$1:I9977, $C$1:C9977, C9978, $B$1:B9977, {"MAL ALIMI","ÜRETİM GİRİŞ"})) - VLOOKUP(C9978, 'STOK RAPORU'!$C$2:$I$1000, 4, 0))), 0)</f>
        <v>0</v>
      </c>
      <c r="U9978" s="22">
        <f t="shared" si="732"/>
        <v>0</v>
      </c>
      <c r="V9978">
        <f t="shared" si="733"/>
        <v>0</v>
      </c>
      <c r="W9978" s="22">
        <f t="shared" si="734"/>
        <v>0</v>
      </c>
    </row>
    <row r="9979" spans="1:23" hidden="1" x14ac:dyDescent="0.25">
      <c r="A9979" s="3"/>
      <c r="B9979" s="4"/>
      <c r="C9979" s="4"/>
      <c r="D9979" s="4"/>
      <c r="E9979" s="4"/>
      <c r="F9979" s="4"/>
      <c r="G9979" s="4"/>
      <c r="H9979" s="4"/>
      <c r="I9979" s="4"/>
      <c r="J9979" s="21">
        <f>IFERROR(VLOOKUP(C9979,'STOK KARTLARI'!$C$2:$K$2150,8,0),0)</f>
        <v>0</v>
      </c>
      <c r="K9979" s="21">
        <f t="shared" si="735"/>
        <v>0</v>
      </c>
      <c r="L9979" s="5">
        <f t="shared" si="737"/>
        <v>0</v>
      </c>
      <c r="M9979" s="4"/>
      <c r="N9979" s="4"/>
      <c r="O9979" s="5"/>
      <c r="P9979" s="5"/>
      <c r="Q9979" s="21">
        <f t="shared" si="738"/>
        <v>0</v>
      </c>
      <c r="R9979" s="21">
        <f t="shared" si="736"/>
        <v>0</v>
      </c>
      <c r="S9979" s="5">
        <f t="shared" si="731"/>
        <v>70007.077158325032</v>
      </c>
      <c r="T9979" cm="1">
        <f t="array" ref="T9979">IF(OR(B9979="MAL ALIMI", B9979="ÜRETİM GİRİŞ"), MIN(I9979, MAX(0, I9979 + SUM(SUMIFS($I$1:I9978, $C$1:C9978, C9979, $B$1:B9978, {"MAL ALIMI","ÜRETİM GİRİŞ"})) - VLOOKUP(C9979, 'STOK RAPORU'!$C$2:$I$1000, 4, 0))), 0)</f>
        <v>0</v>
      </c>
      <c r="U9979" s="22">
        <f t="shared" si="732"/>
        <v>0</v>
      </c>
      <c r="V9979">
        <f t="shared" si="733"/>
        <v>0</v>
      </c>
      <c r="W9979" s="22">
        <f t="shared" si="734"/>
        <v>0</v>
      </c>
    </row>
    <row r="9980" spans="1:23" hidden="1" x14ac:dyDescent="0.25">
      <c r="A9980" s="4"/>
      <c r="B9980" s="4"/>
      <c r="C9980" s="4"/>
      <c r="D9980" s="4"/>
      <c r="E9980" s="4"/>
      <c r="F9980" s="4"/>
      <c r="G9980" s="4"/>
      <c r="H9980" s="4"/>
      <c r="I9980" s="4"/>
      <c r="J9980" s="21">
        <f>IFERROR(VLOOKUP(C9980,'STOK KARTLARI'!$C$2:$K$2150,8,0),0)</f>
        <v>0</v>
      </c>
      <c r="K9980" s="21">
        <f t="shared" si="735"/>
        <v>0</v>
      </c>
      <c r="L9980" s="5">
        <f t="shared" si="737"/>
        <v>0</v>
      </c>
      <c r="M9980" s="4"/>
      <c r="N9980" s="4"/>
      <c r="O9980" s="5"/>
      <c r="P9980" s="5"/>
      <c r="Q9980" s="21">
        <f t="shared" si="738"/>
        <v>0</v>
      </c>
      <c r="R9980" s="21">
        <f t="shared" si="736"/>
        <v>0</v>
      </c>
      <c r="S9980" s="5">
        <f t="shared" si="731"/>
        <v>70007.077158325032</v>
      </c>
      <c r="T9980" cm="1">
        <f t="array" ref="T9980">IF(OR(B9980="MAL ALIMI", B9980="ÜRETİM GİRİŞ"), MIN(I9980, MAX(0, I9980 + SUM(SUMIFS($I$1:I9979, $C$1:C9979, C9980, $B$1:B9979, {"MAL ALIMI","ÜRETİM GİRİŞ"})) - VLOOKUP(C9980, 'STOK RAPORU'!$C$2:$I$1000, 4, 0))), 0)</f>
        <v>0</v>
      </c>
      <c r="U9980" s="22">
        <f t="shared" si="732"/>
        <v>0</v>
      </c>
      <c r="V9980">
        <f t="shared" si="733"/>
        <v>0</v>
      </c>
      <c r="W9980" s="22">
        <f t="shared" si="734"/>
        <v>0</v>
      </c>
    </row>
    <row r="9981" spans="1:23" hidden="1" x14ac:dyDescent="0.25">
      <c r="A9981" s="4"/>
      <c r="B9981" s="4"/>
      <c r="C9981" s="4"/>
      <c r="D9981" s="4"/>
      <c r="E9981" s="4"/>
      <c r="F9981" s="4"/>
      <c r="G9981" s="4"/>
      <c r="H9981" s="4"/>
      <c r="I9981" s="4"/>
      <c r="J9981" s="21">
        <f>IFERROR(VLOOKUP(C9981,'STOK KARTLARI'!$C$2:$K$2150,8,0),0)</f>
        <v>0</v>
      </c>
      <c r="K9981" s="21">
        <f t="shared" si="735"/>
        <v>0</v>
      </c>
      <c r="L9981" s="5">
        <f t="shared" si="737"/>
        <v>0</v>
      </c>
      <c r="M9981" s="4"/>
      <c r="N9981" s="4"/>
      <c r="O9981" s="5"/>
      <c r="P9981" s="5"/>
      <c r="Q9981" s="21">
        <f t="shared" si="738"/>
        <v>0</v>
      </c>
      <c r="R9981" s="21">
        <f t="shared" si="736"/>
        <v>0</v>
      </c>
      <c r="S9981" s="5">
        <f t="shared" si="731"/>
        <v>70007.077158325032</v>
      </c>
      <c r="T9981" cm="1">
        <f t="array" ref="T9981">IF(OR(B9981="MAL ALIMI", B9981="ÜRETİM GİRİŞ"), MIN(I9981, MAX(0, I9981 + SUM(SUMIFS($I$1:I9980, $C$1:C9980, C9981, $B$1:B9980, {"MAL ALIMI","ÜRETİM GİRİŞ"})) - VLOOKUP(C9981, 'STOK RAPORU'!$C$2:$I$1000, 4, 0))), 0)</f>
        <v>0</v>
      </c>
      <c r="U9981" s="22">
        <f t="shared" si="732"/>
        <v>0</v>
      </c>
      <c r="V9981">
        <f t="shared" si="733"/>
        <v>0</v>
      </c>
      <c r="W9981" s="22">
        <f t="shared" si="734"/>
        <v>0</v>
      </c>
    </row>
    <row r="9982" spans="1:23" hidden="1" x14ac:dyDescent="0.25">
      <c r="A9982" s="4"/>
      <c r="B9982" s="4"/>
      <c r="C9982" s="4"/>
      <c r="D9982" s="4"/>
      <c r="E9982" s="4"/>
      <c r="F9982" s="4"/>
      <c r="G9982" s="4"/>
      <c r="H9982" s="4"/>
      <c r="I9982" s="4"/>
      <c r="J9982" s="21">
        <f>IFERROR(VLOOKUP(C9982,'STOK KARTLARI'!$C$2:$K$2150,8,0),0)</f>
        <v>0</v>
      </c>
      <c r="K9982" s="21">
        <f t="shared" si="735"/>
        <v>0</v>
      </c>
      <c r="L9982" s="5">
        <f t="shared" si="737"/>
        <v>0</v>
      </c>
      <c r="M9982" s="4"/>
      <c r="N9982" s="4"/>
      <c r="O9982" s="5"/>
      <c r="P9982" s="5"/>
      <c r="Q9982" s="21">
        <f t="shared" si="738"/>
        <v>0</v>
      </c>
      <c r="R9982" s="21">
        <f t="shared" si="736"/>
        <v>0</v>
      </c>
      <c r="S9982" s="5">
        <f t="shared" si="731"/>
        <v>70007.077158325032</v>
      </c>
      <c r="T9982" cm="1">
        <f t="array" ref="T9982">IF(OR(B9982="MAL ALIMI", B9982="ÜRETİM GİRİŞ"), MIN(I9982, MAX(0, I9982 + SUM(SUMIFS($I$1:I9981, $C$1:C9981, C9982, $B$1:B9981, {"MAL ALIMI","ÜRETİM GİRİŞ"})) - VLOOKUP(C9982, 'STOK RAPORU'!$C$2:$I$1000, 4, 0))), 0)</f>
        <v>0</v>
      </c>
      <c r="U9982" s="22">
        <f t="shared" si="732"/>
        <v>0</v>
      </c>
      <c r="V9982">
        <f t="shared" si="733"/>
        <v>0</v>
      </c>
      <c r="W9982" s="22">
        <f t="shared" si="734"/>
        <v>0</v>
      </c>
    </row>
    <row r="9983" spans="1:23" hidden="1" x14ac:dyDescent="0.25">
      <c r="A9983" s="4"/>
      <c r="B9983" s="4"/>
      <c r="C9983" s="4"/>
      <c r="D9983" s="4"/>
      <c r="E9983" s="4"/>
      <c r="F9983" s="4"/>
      <c r="G9983" s="4"/>
      <c r="H9983" s="4"/>
      <c r="I9983" s="4"/>
      <c r="J9983" s="21">
        <f>IFERROR(VLOOKUP(C9983,'STOK KARTLARI'!$C$2:$K$2150,8,0),0)</f>
        <v>0</v>
      </c>
      <c r="K9983" s="21">
        <f t="shared" si="735"/>
        <v>0</v>
      </c>
      <c r="L9983" s="5">
        <f t="shared" si="737"/>
        <v>0</v>
      </c>
      <c r="M9983" s="4"/>
      <c r="N9983" s="4"/>
      <c r="O9983" s="5"/>
      <c r="P9983" s="5"/>
      <c r="Q9983" s="21">
        <f t="shared" si="738"/>
        <v>0</v>
      </c>
      <c r="R9983" s="21">
        <f t="shared" si="736"/>
        <v>0</v>
      </c>
      <c r="S9983" s="5">
        <f t="shared" si="731"/>
        <v>70007.077158325032</v>
      </c>
      <c r="T9983" cm="1">
        <f t="array" ref="T9983">IF(OR(B9983="MAL ALIMI", B9983="ÜRETİM GİRİŞ"), MIN(I9983, MAX(0, I9983 + SUM(SUMIFS($I$1:I9982, $C$1:C9982, C9983, $B$1:B9982, {"MAL ALIMI","ÜRETİM GİRİŞ"})) - VLOOKUP(C9983, 'STOK RAPORU'!$C$2:$I$1000, 4, 0))), 0)</f>
        <v>0</v>
      </c>
      <c r="U9983" s="22">
        <f t="shared" si="732"/>
        <v>0</v>
      </c>
      <c r="V9983">
        <f t="shared" si="733"/>
        <v>0</v>
      </c>
      <c r="W9983" s="22">
        <f t="shared" si="734"/>
        <v>0</v>
      </c>
    </row>
    <row r="9984" spans="1:23" hidden="1" x14ac:dyDescent="0.25">
      <c r="A9984" s="4"/>
      <c r="B9984" s="4"/>
      <c r="C9984" s="4"/>
      <c r="D9984" s="4"/>
      <c r="E9984" s="4"/>
      <c r="F9984" s="4"/>
      <c r="G9984" s="4"/>
      <c r="H9984" s="4"/>
      <c r="I9984" s="4"/>
      <c r="J9984" s="21">
        <f>IFERROR(VLOOKUP(C9984,'STOK KARTLARI'!$C$2:$K$2150,8,0),0)</f>
        <v>0</v>
      </c>
      <c r="K9984" s="21">
        <f t="shared" si="735"/>
        <v>0</v>
      </c>
      <c r="L9984" s="5">
        <f t="shared" si="737"/>
        <v>0</v>
      </c>
      <c r="M9984" s="4"/>
      <c r="N9984" s="4"/>
      <c r="O9984" s="5"/>
      <c r="P9984" s="5"/>
      <c r="Q9984" s="21">
        <f t="shared" si="738"/>
        <v>0</v>
      </c>
      <c r="R9984" s="21">
        <f t="shared" si="736"/>
        <v>0</v>
      </c>
      <c r="S9984" s="5">
        <f t="shared" si="731"/>
        <v>70007.077158325032</v>
      </c>
      <c r="T9984" cm="1">
        <f t="array" ref="T9984">IF(OR(B9984="MAL ALIMI", B9984="ÜRETİM GİRİŞ"), MIN(I9984, MAX(0, I9984 + SUM(SUMIFS($I$1:I9983, $C$1:C9983, C9984, $B$1:B9983, {"MAL ALIMI","ÜRETİM GİRİŞ"})) - VLOOKUP(C9984, 'STOK RAPORU'!$C$2:$I$1000, 4, 0))), 0)</f>
        <v>0</v>
      </c>
      <c r="U9984" s="22">
        <f t="shared" si="732"/>
        <v>0</v>
      </c>
      <c r="V9984">
        <f t="shared" si="733"/>
        <v>0</v>
      </c>
      <c r="W9984" s="22">
        <f t="shared" si="734"/>
        <v>0</v>
      </c>
    </row>
    <row r="9985" spans="1:23" hidden="1" x14ac:dyDescent="0.25">
      <c r="A9985" s="4"/>
      <c r="B9985" s="4"/>
      <c r="C9985" s="4"/>
      <c r="D9985" s="4"/>
      <c r="E9985" s="4"/>
      <c r="F9985" s="4"/>
      <c r="G9985" s="4"/>
      <c r="H9985" s="4"/>
      <c r="I9985" s="4"/>
      <c r="J9985" s="21">
        <f>IFERROR(VLOOKUP(C9985,'STOK KARTLARI'!$C$2:$K$2150,8,0),0)</f>
        <v>0</v>
      </c>
      <c r="K9985" s="21">
        <f t="shared" si="735"/>
        <v>0</v>
      </c>
      <c r="L9985" s="5">
        <f t="shared" si="737"/>
        <v>0</v>
      </c>
      <c r="M9985" s="4"/>
      <c r="N9985" s="4"/>
      <c r="O9985" s="5"/>
      <c r="P9985" s="5"/>
      <c r="Q9985" s="21">
        <f t="shared" si="738"/>
        <v>0</v>
      </c>
      <c r="R9985" s="21">
        <f t="shared" si="736"/>
        <v>0</v>
      </c>
      <c r="S9985" s="5">
        <f t="shared" si="731"/>
        <v>70007.077158325032</v>
      </c>
      <c r="T9985" cm="1">
        <f t="array" ref="T9985">IF(OR(B9985="MAL ALIMI", B9985="ÜRETİM GİRİŞ"), MIN(I9985, MAX(0, I9985 + SUM(SUMIFS($I$1:I9984, $C$1:C9984, C9985, $B$1:B9984, {"MAL ALIMI","ÜRETİM GİRİŞ"})) - VLOOKUP(C9985, 'STOK RAPORU'!$C$2:$I$1000, 4, 0))), 0)</f>
        <v>0</v>
      </c>
      <c r="U9985" s="22">
        <f t="shared" si="732"/>
        <v>0</v>
      </c>
      <c r="V9985">
        <f t="shared" si="733"/>
        <v>0</v>
      </c>
      <c r="W9985" s="22">
        <f t="shared" si="734"/>
        <v>0</v>
      </c>
    </row>
    <row r="9986" spans="1:23" hidden="1" x14ac:dyDescent="0.25">
      <c r="A9986" s="3"/>
      <c r="B9986" s="4"/>
      <c r="C9986" s="4"/>
      <c r="D9986" s="4"/>
      <c r="E9986" s="4"/>
      <c r="F9986" s="4"/>
      <c r="G9986" s="4"/>
      <c r="H9986" s="4"/>
      <c r="I9986" s="4"/>
      <c r="J9986" s="21">
        <f>IFERROR(VLOOKUP(C9986,'STOK KARTLARI'!$C$2:$K$2150,8,0),0)</f>
        <v>0</v>
      </c>
      <c r="K9986" s="21">
        <f t="shared" si="735"/>
        <v>0</v>
      </c>
      <c r="L9986" s="5">
        <f t="shared" si="737"/>
        <v>0</v>
      </c>
      <c r="M9986" s="4"/>
      <c r="N9986" s="4"/>
      <c r="O9986" s="5"/>
      <c r="P9986" s="5"/>
      <c r="Q9986" s="21">
        <f t="shared" si="738"/>
        <v>0</v>
      </c>
      <c r="R9986" s="21">
        <f t="shared" si="736"/>
        <v>0</v>
      </c>
      <c r="S9986" s="5">
        <f t="shared" si="731"/>
        <v>70007.077158325032</v>
      </c>
      <c r="T9986" cm="1">
        <f t="array" ref="T9986">IF(OR(B9986="MAL ALIMI", B9986="ÜRETİM GİRİŞ"), MIN(I9986, MAX(0, I9986 + SUM(SUMIFS($I$1:I9985, $C$1:C9985, C9986, $B$1:B9985, {"MAL ALIMI","ÜRETİM GİRİŞ"})) - VLOOKUP(C9986, 'STOK RAPORU'!$C$2:$I$1000, 4, 0))), 0)</f>
        <v>0</v>
      </c>
      <c r="U9986" s="22">
        <f t="shared" si="732"/>
        <v>0</v>
      </c>
      <c r="V9986">
        <f t="shared" si="733"/>
        <v>0</v>
      </c>
      <c r="W9986" s="22">
        <f t="shared" si="734"/>
        <v>0</v>
      </c>
    </row>
    <row r="9987" spans="1:23" hidden="1" x14ac:dyDescent="0.25">
      <c r="A9987" s="4"/>
      <c r="B9987" s="4"/>
      <c r="C9987" s="4"/>
      <c r="D9987" s="4"/>
      <c r="E9987" s="4"/>
      <c r="F9987" s="4"/>
      <c r="G9987" s="4"/>
      <c r="H9987" s="4"/>
      <c r="I9987" s="4"/>
      <c r="J9987" s="21">
        <f>IFERROR(VLOOKUP(C9987,'STOK KARTLARI'!$C$2:$K$2150,8,0),0)</f>
        <v>0</v>
      </c>
      <c r="K9987" s="21">
        <f t="shared" si="735"/>
        <v>0</v>
      </c>
      <c r="L9987" s="5">
        <f t="shared" si="737"/>
        <v>0</v>
      </c>
      <c r="M9987" s="4"/>
      <c r="N9987" s="4"/>
      <c r="O9987" s="5"/>
      <c r="P9987" s="5"/>
      <c r="Q9987" s="21">
        <f t="shared" si="738"/>
        <v>0</v>
      </c>
      <c r="R9987" s="21">
        <f t="shared" si="736"/>
        <v>0</v>
      </c>
      <c r="S9987" s="5">
        <f t="shared" si="731"/>
        <v>70007.077158325032</v>
      </c>
      <c r="T9987" cm="1">
        <f t="array" ref="T9987">IF(OR(B9987="MAL ALIMI", B9987="ÜRETİM GİRİŞ"), MIN(I9987, MAX(0, I9987 + SUM(SUMIFS($I$1:I9986, $C$1:C9986, C9987, $B$1:B9986, {"MAL ALIMI","ÜRETİM GİRİŞ"})) - VLOOKUP(C9987, 'STOK RAPORU'!$C$2:$I$1000, 4, 0))), 0)</f>
        <v>0</v>
      </c>
      <c r="U9987" s="22">
        <f t="shared" si="732"/>
        <v>0</v>
      </c>
      <c r="V9987">
        <f t="shared" si="733"/>
        <v>0</v>
      </c>
      <c r="W9987" s="22">
        <f t="shared" si="734"/>
        <v>0</v>
      </c>
    </row>
    <row r="9988" spans="1:23" hidden="1" x14ac:dyDescent="0.25">
      <c r="A9988" s="4"/>
      <c r="B9988" s="4"/>
      <c r="C9988" s="4"/>
      <c r="D9988" s="4"/>
      <c r="E9988" s="4"/>
      <c r="F9988" s="4"/>
      <c r="G9988" s="4"/>
      <c r="H9988" s="4"/>
      <c r="I9988" s="4"/>
      <c r="J9988" s="21">
        <f>IFERROR(VLOOKUP(C9988,'STOK KARTLARI'!$C$2:$K$2150,8,0),0)</f>
        <v>0</v>
      </c>
      <c r="K9988" s="21">
        <f t="shared" si="735"/>
        <v>0</v>
      </c>
      <c r="L9988" s="5">
        <f t="shared" si="737"/>
        <v>0</v>
      </c>
      <c r="M9988" s="4"/>
      <c r="N9988" s="4"/>
      <c r="O9988" s="5"/>
      <c r="P9988" s="5"/>
      <c r="Q9988" s="21">
        <f t="shared" si="738"/>
        <v>0</v>
      </c>
      <c r="R9988" s="21">
        <f t="shared" si="736"/>
        <v>0</v>
      </c>
      <c r="S9988" s="5">
        <f t="shared" si="731"/>
        <v>70007.077158325032</v>
      </c>
      <c r="T9988" cm="1">
        <f t="array" ref="T9988">IF(OR(B9988="MAL ALIMI", B9988="ÜRETİM GİRİŞ"), MIN(I9988, MAX(0, I9988 + SUM(SUMIFS($I$1:I9987, $C$1:C9987, C9988, $B$1:B9987, {"MAL ALIMI","ÜRETİM GİRİŞ"})) - VLOOKUP(C9988, 'STOK RAPORU'!$C$2:$I$1000, 4, 0))), 0)</f>
        <v>0</v>
      </c>
      <c r="U9988" s="22">
        <f t="shared" si="732"/>
        <v>0</v>
      </c>
      <c r="V9988">
        <f t="shared" si="733"/>
        <v>0</v>
      </c>
      <c r="W9988" s="22">
        <f t="shared" si="734"/>
        <v>0</v>
      </c>
    </row>
    <row r="9989" spans="1:23" hidden="1" x14ac:dyDescent="0.25">
      <c r="A9989" s="4"/>
      <c r="B9989" s="4"/>
      <c r="C9989" s="4"/>
      <c r="D9989" s="4"/>
      <c r="E9989" s="4"/>
      <c r="F9989" s="4"/>
      <c r="G9989" s="4"/>
      <c r="H9989" s="4"/>
      <c r="I9989" s="4"/>
      <c r="J9989" s="21">
        <f>IFERROR(VLOOKUP(C9989,'STOK KARTLARI'!$C$2:$K$2150,8,0),0)</f>
        <v>0</v>
      </c>
      <c r="K9989" s="21">
        <f t="shared" si="735"/>
        <v>0</v>
      </c>
      <c r="L9989" s="5">
        <f t="shared" si="737"/>
        <v>0</v>
      </c>
      <c r="M9989" s="4"/>
      <c r="N9989" s="4"/>
      <c r="O9989" s="5"/>
      <c r="P9989" s="5"/>
      <c r="Q9989" s="21">
        <f t="shared" si="738"/>
        <v>0</v>
      </c>
      <c r="R9989" s="21">
        <f t="shared" si="736"/>
        <v>0</v>
      </c>
      <c r="S9989" s="5">
        <f t="shared" ref="S9989:S10052" si="739">S9988+Q9989-R9989</f>
        <v>70007.077158325032</v>
      </c>
      <c r="T9989" cm="1">
        <f t="array" ref="T9989">IF(OR(B9989="MAL ALIMI", B9989="ÜRETİM GİRİŞ"), MIN(I9989, MAX(0, I9989 + SUM(SUMIFS($I$1:I9988, $C$1:C9988, C9989, $B$1:B9988, {"MAL ALIMI","ÜRETİM GİRİŞ"})) - VLOOKUP(C9989, 'STOK RAPORU'!$C$2:$I$1000, 4, 0))), 0)</f>
        <v>0</v>
      </c>
      <c r="U9989" s="22">
        <f t="shared" si="732"/>
        <v>0</v>
      </c>
      <c r="V9989">
        <f t="shared" si="733"/>
        <v>0</v>
      </c>
      <c r="W9989" s="22">
        <f t="shared" si="734"/>
        <v>0</v>
      </c>
    </row>
    <row r="9990" spans="1:23" hidden="1" x14ac:dyDescent="0.25">
      <c r="A9990" s="4"/>
      <c r="B9990" s="4"/>
      <c r="C9990" s="4"/>
      <c r="D9990" s="4"/>
      <c r="E9990" s="4"/>
      <c r="F9990" s="4"/>
      <c r="G9990" s="4"/>
      <c r="H9990" s="4"/>
      <c r="I9990" s="4"/>
      <c r="J9990" s="21">
        <f>IFERROR(VLOOKUP(C9990,'STOK KARTLARI'!$C$2:$K$2150,8,0),0)</f>
        <v>0</v>
      </c>
      <c r="K9990" s="21">
        <f t="shared" si="735"/>
        <v>0</v>
      </c>
      <c r="L9990" s="5">
        <f t="shared" si="737"/>
        <v>0</v>
      </c>
      <c r="M9990" s="4"/>
      <c r="N9990" s="4"/>
      <c r="O9990" s="5"/>
      <c r="P9990" s="5"/>
      <c r="Q9990" s="21">
        <f t="shared" si="738"/>
        <v>0</v>
      </c>
      <c r="R9990" s="21">
        <f t="shared" si="736"/>
        <v>0</v>
      </c>
      <c r="S9990" s="5">
        <f t="shared" si="739"/>
        <v>70007.077158325032</v>
      </c>
      <c r="T9990" cm="1">
        <f t="array" ref="T9990">IF(OR(B9990="MAL ALIMI", B9990="ÜRETİM GİRİŞ"), MIN(I9990, MAX(0, I9990 + SUM(SUMIFS($I$1:I9989, $C$1:C9989, C9990, $B$1:B9989, {"MAL ALIMI","ÜRETİM GİRİŞ"})) - VLOOKUP(C9990, 'STOK RAPORU'!$C$2:$I$1000, 4, 0))), 0)</f>
        <v>0</v>
      </c>
      <c r="U9990" s="22">
        <f t="shared" si="732"/>
        <v>0</v>
      </c>
      <c r="V9990">
        <f t="shared" si="733"/>
        <v>0</v>
      </c>
      <c r="W9990" s="22">
        <f t="shared" si="734"/>
        <v>0</v>
      </c>
    </row>
    <row r="9991" spans="1:23" hidden="1" x14ac:dyDescent="0.25">
      <c r="A9991" s="4"/>
      <c r="B9991" s="4"/>
      <c r="C9991" s="4"/>
      <c r="D9991" s="4"/>
      <c r="E9991" s="4"/>
      <c r="F9991" s="4"/>
      <c r="G9991" s="4"/>
      <c r="H9991" s="4"/>
      <c r="I9991" s="4"/>
      <c r="J9991" s="21">
        <f>IFERROR(VLOOKUP(C9991,'STOK KARTLARI'!$C$2:$K$2150,8,0),0)</f>
        <v>0</v>
      </c>
      <c r="K9991" s="21">
        <f t="shared" si="735"/>
        <v>0</v>
      </c>
      <c r="L9991" s="5">
        <f t="shared" si="737"/>
        <v>0</v>
      </c>
      <c r="M9991" s="4"/>
      <c r="N9991" s="4"/>
      <c r="O9991" s="5"/>
      <c r="P9991" s="5"/>
      <c r="Q9991" s="21">
        <f t="shared" si="738"/>
        <v>0</v>
      </c>
      <c r="R9991" s="21">
        <f t="shared" si="736"/>
        <v>0</v>
      </c>
      <c r="S9991" s="5">
        <f t="shared" si="739"/>
        <v>70007.077158325032</v>
      </c>
      <c r="T9991" cm="1">
        <f t="array" ref="T9991">IF(OR(B9991="MAL ALIMI", B9991="ÜRETİM GİRİŞ"), MIN(I9991, MAX(0, I9991 + SUM(SUMIFS($I$1:I9990, $C$1:C9990, C9991, $B$1:B9990, {"MAL ALIMI","ÜRETİM GİRİŞ"})) - VLOOKUP(C9991, 'STOK RAPORU'!$C$2:$I$1000, 4, 0))), 0)</f>
        <v>0</v>
      </c>
      <c r="U9991" s="22">
        <f t="shared" si="732"/>
        <v>0</v>
      </c>
      <c r="V9991">
        <f t="shared" si="733"/>
        <v>0</v>
      </c>
      <c r="W9991" s="22">
        <f t="shared" si="734"/>
        <v>0</v>
      </c>
    </row>
    <row r="9992" spans="1:23" hidden="1" x14ac:dyDescent="0.25">
      <c r="A9992" s="4"/>
      <c r="B9992" s="4"/>
      <c r="C9992" s="4"/>
      <c r="D9992" s="4"/>
      <c r="E9992" s="4"/>
      <c r="F9992" s="4"/>
      <c r="G9992" s="4"/>
      <c r="H9992" s="4"/>
      <c r="I9992" s="4"/>
      <c r="J9992" s="21">
        <f>IFERROR(VLOOKUP(C9992,'STOK KARTLARI'!$C$2:$K$2150,8,0),0)</f>
        <v>0</v>
      </c>
      <c r="K9992" s="21">
        <f t="shared" si="735"/>
        <v>0</v>
      </c>
      <c r="L9992" s="5">
        <f t="shared" si="737"/>
        <v>0</v>
      </c>
      <c r="M9992" s="4"/>
      <c r="N9992" s="4"/>
      <c r="O9992" s="5"/>
      <c r="P9992" s="5"/>
      <c r="Q9992" s="21">
        <f t="shared" si="738"/>
        <v>0</v>
      </c>
      <c r="R9992" s="21">
        <f t="shared" si="736"/>
        <v>0</v>
      </c>
      <c r="S9992" s="5">
        <f t="shared" si="739"/>
        <v>70007.077158325032</v>
      </c>
      <c r="T9992" cm="1">
        <f t="array" ref="T9992">IF(OR(B9992="MAL ALIMI", B9992="ÜRETİM GİRİŞ"), MIN(I9992, MAX(0, I9992 + SUM(SUMIFS($I$1:I9991, $C$1:C9991, C9992, $B$1:B9991, {"MAL ALIMI","ÜRETİM GİRİŞ"})) - VLOOKUP(C9992, 'STOK RAPORU'!$C$2:$I$1000, 4, 0))), 0)</f>
        <v>0</v>
      </c>
      <c r="U9992" s="22">
        <f t="shared" si="732"/>
        <v>0</v>
      </c>
      <c r="V9992">
        <f t="shared" si="733"/>
        <v>0</v>
      </c>
      <c r="W9992" s="22">
        <f t="shared" si="734"/>
        <v>0</v>
      </c>
    </row>
    <row r="9993" spans="1:23" hidden="1" x14ac:dyDescent="0.25">
      <c r="A9993" s="3"/>
      <c r="B9993" s="4"/>
      <c r="C9993" s="4"/>
      <c r="D9993" s="4"/>
      <c r="E9993" s="4"/>
      <c r="F9993" s="4"/>
      <c r="G9993" s="4"/>
      <c r="H9993" s="4"/>
      <c r="I9993" s="4"/>
      <c r="J9993" s="21">
        <f>IFERROR(VLOOKUP(C9993,'STOK KARTLARI'!$C$2:$K$2150,8,0),0)</f>
        <v>0</v>
      </c>
      <c r="K9993" s="21">
        <f t="shared" si="735"/>
        <v>0</v>
      </c>
      <c r="L9993" s="5">
        <f t="shared" si="737"/>
        <v>0</v>
      </c>
      <c r="M9993" s="4"/>
      <c r="N9993" s="4"/>
      <c r="O9993" s="5"/>
      <c r="P9993" s="5"/>
      <c r="Q9993" s="21">
        <f t="shared" si="738"/>
        <v>0</v>
      </c>
      <c r="R9993" s="21">
        <f t="shared" si="736"/>
        <v>0</v>
      </c>
      <c r="S9993" s="5">
        <f t="shared" si="739"/>
        <v>70007.077158325032</v>
      </c>
      <c r="T9993" cm="1">
        <f t="array" ref="T9993">IF(OR(B9993="MAL ALIMI", B9993="ÜRETİM GİRİŞ"), MIN(I9993, MAX(0, I9993 + SUM(SUMIFS($I$1:I9992, $C$1:C9992, C9993, $B$1:B9992, {"MAL ALIMI","ÜRETİM GİRİŞ"})) - VLOOKUP(C9993, 'STOK RAPORU'!$C$2:$I$1000, 4, 0))), 0)</f>
        <v>0</v>
      </c>
      <c r="U9993" s="22">
        <f t="shared" si="732"/>
        <v>0</v>
      </c>
      <c r="V9993">
        <f t="shared" si="733"/>
        <v>0</v>
      </c>
      <c r="W9993" s="22">
        <f t="shared" si="734"/>
        <v>0</v>
      </c>
    </row>
    <row r="9994" spans="1:23" hidden="1" x14ac:dyDescent="0.25">
      <c r="A9994" s="4"/>
      <c r="B9994" s="4"/>
      <c r="C9994" s="4"/>
      <c r="D9994" s="4"/>
      <c r="E9994" s="4"/>
      <c r="F9994" s="4"/>
      <c r="G9994" s="4"/>
      <c r="H9994" s="4"/>
      <c r="I9994" s="4"/>
      <c r="J9994" s="21">
        <f>IFERROR(VLOOKUP(C9994,'STOK KARTLARI'!$C$2:$K$2150,8,0),0)</f>
        <v>0</v>
      </c>
      <c r="K9994" s="21">
        <f t="shared" si="735"/>
        <v>0</v>
      </c>
      <c r="L9994" s="5">
        <f t="shared" si="737"/>
        <v>0</v>
      </c>
      <c r="M9994" s="4"/>
      <c r="N9994" s="4"/>
      <c r="O9994" s="5"/>
      <c r="P9994" s="5"/>
      <c r="Q9994" s="21">
        <f t="shared" si="738"/>
        <v>0</v>
      </c>
      <c r="R9994" s="21">
        <f t="shared" si="736"/>
        <v>0</v>
      </c>
      <c r="S9994" s="5">
        <f t="shared" si="739"/>
        <v>70007.077158325032</v>
      </c>
      <c r="T9994" cm="1">
        <f t="array" ref="T9994">IF(OR(B9994="MAL ALIMI", B9994="ÜRETİM GİRİŞ"), MIN(I9994, MAX(0, I9994 + SUM(SUMIFS($I$1:I9993, $C$1:C9993, C9994, $B$1:B9993, {"MAL ALIMI","ÜRETİM GİRİŞ"})) - VLOOKUP(C9994, 'STOK RAPORU'!$C$2:$I$1000, 4, 0))), 0)</f>
        <v>0</v>
      </c>
      <c r="U9994" s="22">
        <f t="shared" si="732"/>
        <v>0</v>
      </c>
      <c r="V9994">
        <f t="shared" si="733"/>
        <v>0</v>
      </c>
      <c r="W9994" s="22">
        <f t="shared" si="734"/>
        <v>0</v>
      </c>
    </row>
    <row r="9995" spans="1:23" hidden="1" x14ac:dyDescent="0.25">
      <c r="A9995" s="4"/>
      <c r="B9995" s="4"/>
      <c r="C9995" s="4"/>
      <c r="D9995" s="4"/>
      <c r="E9995" s="4"/>
      <c r="F9995" s="4"/>
      <c r="G9995" s="4"/>
      <c r="H9995" s="4"/>
      <c r="I9995" s="4"/>
      <c r="J9995" s="21">
        <f>IFERROR(VLOOKUP(C9995,'STOK KARTLARI'!$C$2:$K$2150,8,0),0)</f>
        <v>0</v>
      </c>
      <c r="K9995" s="21">
        <f t="shared" si="735"/>
        <v>0</v>
      </c>
      <c r="L9995" s="5">
        <f t="shared" si="737"/>
        <v>0</v>
      </c>
      <c r="M9995" s="4"/>
      <c r="N9995" s="4"/>
      <c r="O9995" s="5"/>
      <c r="P9995" s="5"/>
      <c r="Q9995" s="21">
        <f t="shared" si="738"/>
        <v>0</v>
      </c>
      <c r="R9995" s="21">
        <f t="shared" si="736"/>
        <v>0</v>
      </c>
      <c r="S9995" s="5">
        <f t="shared" si="739"/>
        <v>70007.077158325032</v>
      </c>
      <c r="T9995" cm="1">
        <f t="array" ref="T9995">IF(OR(B9995="MAL ALIMI", B9995="ÜRETİM GİRİŞ"), MIN(I9995, MAX(0, I9995 + SUM(SUMIFS($I$1:I9994, $C$1:C9994, C9995, $B$1:B9994, {"MAL ALIMI","ÜRETİM GİRİŞ"})) - VLOOKUP(C9995, 'STOK RAPORU'!$C$2:$I$1000, 4, 0))), 0)</f>
        <v>0</v>
      </c>
      <c r="U9995" s="22">
        <f t="shared" si="732"/>
        <v>0</v>
      </c>
      <c r="V9995">
        <f t="shared" si="733"/>
        <v>0</v>
      </c>
      <c r="W9995" s="22">
        <f t="shared" si="734"/>
        <v>0</v>
      </c>
    </row>
    <row r="9996" spans="1:23" hidden="1" x14ac:dyDescent="0.25">
      <c r="A9996" s="4"/>
      <c r="B9996" s="4"/>
      <c r="C9996" s="4"/>
      <c r="D9996" s="4"/>
      <c r="E9996" s="4"/>
      <c r="F9996" s="4"/>
      <c r="G9996" s="4"/>
      <c r="H9996" s="4"/>
      <c r="I9996" s="4"/>
      <c r="J9996" s="21">
        <f>IFERROR(VLOOKUP(C9996,'STOK KARTLARI'!$C$2:$K$2150,8,0),0)</f>
        <v>0</v>
      </c>
      <c r="K9996" s="21">
        <f t="shared" si="735"/>
        <v>0</v>
      </c>
      <c r="L9996" s="5">
        <f t="shared" si="737"/>
        <v>0</v>
      </c>
      <c r="M9996" s="4"/>
      <c r="N9996" s="4"/>
      <c r="O9996" s="5"/>
      <c r="P9996" s="5"/>
      <c r="Q9996" s="21">
        <f t="shared" si="738"/>
        <v>0</v>
      </c>
      <c r="R9996" s="21">
        <f t="shared" si="736"/>
        <v>0</v>
      </c>
      <c r="S9996" s="5">
        <f t="shared" si="739"/>
        <v>70007.077158325032</v>
      </c>
      <c r="T9996" cm="1">
        <f t="array" ref="T9996">IF(OR(B9996="MAL ALIMI", B9996="ÜRETİM GİRİŞ"), MIN(I9996, MAX(0, I9996 + SUM(SUMIFS($I$1:I9995, $C$1:C9995, C9996, $B$1:B9995, {"MAL ALIMI","ÜRETİM GİRİŞ"})) - VLOOKUP(C9996, 'STOK RAPORU'!$C$2:$I$1000, 4, 0))), 0)</f>
        <v>0</v>
      </c>
      <c r="U9996" s="22">
        <f t="shared" si="732"/>
        <v>0</v>
      </c>
      <c r="V9996">
        <f t="shared" si="733"/>
        <v>0</v>
      </c>
      <c r="W9996" s="22">
        <f t="shared" si="734"/>
        <v>0</v>
      </c>
    </row>
    <row r="9997" spans="1:23" hidden="1" x14ac:dyDescent="0.25">
      <c r="A9997" s="4"/>
      <c r="B9997" s="4"/>
      <c r="C9997" s="4"/>
      <c r="D9997" s="4"/>
      <c r="E9997" s="4"/>
      <c r="F9997" s="4"/>
      <c r="G9997" s="4"/>
      <c r="H9997" s="4"/>
      <c r="I9997" s="4"/>
      <c r="J9997" s="21">
        <f>IFERROR(VLOOKUP(C9997,'STOK KARTLARI'!$C$2:$K$2150,8,0),0)</f>
        <v>0</v>
      </c>
      <c r="K9997" s="21">
        <f t="shared" si="735"/>
        <v>0</v>
      </c>
      <c r="L9997" s="5">
        <f t="shared" si="737"/>
        <v>0</v>
      </c>
      <c r="M9997" s="4"/>
      <c r="N9997" s="4"/>
      <c r="O9997" s="5"/>
      <c r="P9997" s="5"/>
      <c r="Q9997" s="21">
        <f t="shared" si="738"/>
        <v>0</v>
      </c>
      <c r="R9997" s="21">
        <f t="shared" si="736"/>
        <v>0</v>
      </c>
      <c r="S9997" s="5">
        <f t="shared" si="739"/>
        <v>70007.077158325032</v>
      </c>
      <c r="T9997" cm="1">
        <f t="array" ref="T9997">IF(OR(B9997="MAL ALIMI", B9997="ÜRETİM GİRİŞ"), MIN(I9997, MAX(0, I9997 + SUM(SUMIFS($I$1:I9996, $C$1:C9996, C9997, $B$1:B9996, {"MAL ALIMI","ÜRETİM GİRİŞ"})) - VLOOKUP(C9997, 'STOK RAPORU'!$C$2:$I$1000, 4, 0))), 0)</f>
        <v>0</v>
      </c>
      <c r="U9997" s="22">
        <f t="shared" si="732"/>
        <v>0</v>
      </c>
      <c r="V9997">
        <f t="shared" si="733"/>
        <v>0</v>
      </c>
      <c r="W9997" s="22">
        <f t="shared" si="734"/>
        <v>0</v>
      </c>
    </row>
    <row r="9998" spans="1:23" hidden="1" x14ac:dyDescent="0.25">
      <c r="A9998" s="4"/>
      <c r="B9998" s="4"/>
      <c r="C9998" s="4"/>
      <c r="D9998" s="4"/>
      <c r="E9998" s="4"/>
      <c r="F9998" s="4"/>
      <c r="G9998" s="4"/>
      <c r="H9998" s="4"/>
      <c r="I9998" s="4"/>
      <c r="J9998" s="21">
        <f>IFERROR(VLOOKUP(C9998,'STOK KARTLARI'!$C$2:$K$2150,8,0),0)</f>
        <v>0</v>
      </c>
      <c r="K9998" s="21">
        <f t="shared" si="735"/>
        <v>0</v>
      </c>
      <c r="L9998" s="5">
        <f t="shared" si="737"/>
        <v>0</v>
      </c>
      <c r="M9998" s="4"/>
      <c r="N9998" s="4"/>
      <c r="O9998" s="5"/>
      <c r="P9998" s="5"/>
      <c r="Q9998" s="21">
        <f t="shared" si="738"/>
        <v>0</v>
      </c>
      <c r="R9998" s="21">
        <f t="shared" si="736"/>
        <v>0</v>
      </c>
      <c r="S9998" s="5">
        <f t="shared" si="739"/>
        <v>70007.077158325032</v>
      </c>
      <c r="T9998" cm="1">
        <f t="array" ref="T9998">IF(OR(B9998="MAL ALIMI", B9998="ÜRETİM GİRİŞ"), MIN(I9998, MAX(0, I9998 + SUM(SUMIFS($I$1:I9997, $C$1:C9997, C9998, $B$1:B9997, {"MAL ALIMI","ÜRETİM GİRİŞ"})) - VLOOKUP(C9998, 'STOK RAPORU'!$C$2:$I$1000, 4, 0))), 0)</f>
        <v>0</v>
      </c>
      <c r="U9998" s="22">
        <f t="shared" si="732"/>
        <v>0</v>
      </c>
      <c r="V9998">
        <f t="shared" si="733"/>
        <v>0</v>
      </c>
      <c r="W9998" s="22">
        <f t="shared" si="734"/>
        <v>0</v>
      </c>
    </row>
    <row r="9999" spans="1:23" hidden="1" x14ac:dyDescent="0.25">
      <c r="A9999" s="4"/>
      <c r="B9999" s="4"/>
      <c r="C9999" s="4"/>
      <c r="D9999" s="4"/>
      <c r="E9999" s="4"/>
      <c r="F9999" s="4"/>
      <c r="G9999" s="4"/>
      <c r="H9999" s="4"/>
      <c r="I9999" s="4"/>
      <c r="J9999" s="21">
        <f>IFERROR(VLOOKUP(C9999,'STOK KARTLARI'!$C$2:$K$2150,8,0),0)</f>
        <v>0</v>
      </c>
      <c r="K9999" s="21">
        <f t="shared" si="735"/>
        <v>0</v>
      </c>
      <c r="L9999" s="5">
        <f t="shared" si="737"/>
        <v>0</v>
      </c>
      <c r="M9999" s="4"/>
      <c r="N9999" s="4"/>
      <c r="O9999" s="5"/>
      <c r="P9999" s="5"/>
      <c r="Q9999" s="21">
        <f t="shared" si="738"/>
        <v>0</v>
      </c>
      <c r="R9999" s="21">
        <f t="shared" si="736"/>
        <v>0</v>
      </c>
      <c r="S9999" s="5">
        <f t="shared" si="739"/>
        <v>70007.077158325032</v>
      </c>
      <c r="T9999" cm="1">
        <f t="array" ref="T9999">IF(OR(B9999="MAL ALIMI", B9999="ÜRETİM GİRİŞ"), MIN(I9999, MAX(0, I9999 + SUM(SUMIFS($I$1:I9998, $C$1:C9998, C9999, $B$1:B9998, {"MAL ALIMI","ÜRETİM GİRİŞ"})) - VLOOKUP(C9999, 'STOK RAPORU'!$C$2:$I$1000, 4, 0))), 0)</f>
        <v>0</v>
      </c>
      <c r="U9999" s="22">
        <f t="shared" si="732"/>
        <v>0</v>
      </c>
      <c r="V9999">
        <f t="shared" si="733"/>
        <v>0</v>
      </c>
      <c r="W9999" s="22">
        <f t="shared" si="734"/>
        <v>0</v>
      </c>
    </row>
    <row r="10000" spans="1:23" hidden="1" x14ac:dyDescent="0.25">
      <c r="A10000" s="3"/>
      <c r="B10000" s="4"/>
      <c r="C10000" s="4"/>
      <c r="D10000" s="4"/>
      <c r="E10000" s="4"/>
      <c r="F10000" s="4"/>
      <c r="G10000" s="4"/>
      <c r="H10000" s="4"/>
      <c r="I10000" s="4"/>
      <c r="J10000" s="21">
        <f>IFERROR(VLOOKUP(C10000,'STOK KARTLARI'!$C$2:$K$2150,8,0),0)</f>
        <v>0</v>
      </c>
      <c r="K10000" s="21">
        <f t="shared" si="735"/>
        <v>0</v>
      </c>
      <c r="L10000" s="5">
        <f t="shared" si="737"/>
        <v>0</v>
      </c>
      <c r="M10000" s="4"/>
      <c r="N10000" s="4"/>
      <c r="O10000" s="5"/>
      <c r="P10000" s="5"/>
      <c r="Q10000" s="21">
        <f t="shared" si="738"/>
        <v>0</v>
      </c>
      <c r="R10000" s="21">
        <f t="shared" si="736"/>
        <v>0</v>
      </c>
      <c r="S10000" s="5">
        <f t="shared" si="739"/>
        <v>70007.077158325032</v>
      </c>
      <c r="T10000" cm="1">
        <f t="array" ref="T10000">IF(OR(B10000="MAL ALIMI", B10000="ÜRETİM GİRİŞ"), MIN(I10000, MAX(0, I10000 + SUM(SUMIFS($I$1:I9999, $C$1:C9999, C10000, $B$1:B9999, {"MAL ALIMI","ÜRETİM GİRİŞ"})) - VLOOKUP(C10000, 'STOK RAPORU'!$C$2:$I$1000, 4, 0))), 0)</f>
        <v>0</v>
      </c>
      <c r="U10000" s="22">
        <f t="shared" si="732"/>
        <v>0</v>
      </c>
      <c r="V10000">
        <f t="shared" si="733"/>
        <v>0</v>
      </c>
      <c r="W10000" s="22">
        <f t="shared" si="734"/>
        <v>0</v>
      </c>
    </row>
    <row r="10001" spans="1:23" hidden="1" x14ac:dyDescent="0.25">
      <c r="A10001" s="4"/>
      <c r="B10001" s="4"/>
      <c r="C10001" s="4"/>
      <c r="D10001" s="4"/>
      <c r="E10001" s="4"/>
      <c r="F10001" s="4"/>
      <c r="G10001" s="4"/>
      <c r="H10001" s="4"/>
      <c r="I10001" s="4"/>
      <c r="J10001" s="21">
        <f>IFERROR(VLOOKUP(C10001,'STOK KARTLARI'!$C$2:$K$2150,8,0),0)</f>
        <v>0</v>
      </c>
      <c r="K10001" s="21">
        <f t="shared" si="735"/>
        <v>0</v>
      </c>
      <c r="L10001" s="5">
        <f t="shared" si="737"/>
        <v>0</v>
      </c>
      <c r="M10001" s="4"/>
      <c r="N10001" s="4"/>
      <c r="O10001" s="5"/>
      <c r="P10001" s="5"/>
      <c r="Q10001" s="21">
        <f t="shared" si="738"/>
        <v>0</v>
      </c>
      <c r="R10001" s="21">
        <f t="shared" si="736"/>
        <v>0</v>
      </c>
      <c r="S10001" s="5">
        <f t="shared" si="739"/>
        <v>70007.077158325032</v>
      </c>
      <c r="T10001" cm="1">
        <f t="array" ref="T10001">IF(OR(B10001="MAL ALIMI", B10001="ÜRETİM GİRİŞ"), MIN(I10001, MAX(0, I10001 + SUM(SUMIFS($I$1:I10000, $C$1:C10000, C10001, $B$1:B10000, {"MAL ALIMI","ÜRETİM GİRİŞ"})) - VLOOKUP(C10001, 'STOK RAPORU'!$C$2:$I$1000, 4, 0))), 0)</f>
        <v>0</v>
      </c>
      <c r="U10001" s="22">
        <f t="shared" si="732"/>
        <v>0</v>
      </c>
      <c r="V10001">
        <f t="shared" si="733"/>
        <v>0</v>
      </c>
      <c r="W10001" s="22">
        <f t="shared" si="734"/>
        <v>0</v>
      </c>
    </row>
    <row r="10002" spans="1:23" hidden="1" x14ac:dyDescent="0.25">
      <c r="A10002" s="4"/>
      <c r="B10002" s="4"/>
      <c r="C10002" s="4"/>
      <c r="D10002" s="4"/>
      <c r="E10002" s="4"/>
      <c r="F10002" s="4"/>
      <c r="G10002" s="4"/>
      <c r="H10002" s="4"/>
      <c r="I10002" s="4"/>
      <c r="J10002" s="21">
        <f>IFERROR(VLOOKUP(C10002,'STOK KARTLARI'!$C$2:$K$2150,8,0),0)</f>
        <v>0</v>
      </c>
      <c r="K10002" s="21">
        <f t="shared" si="735"/>
        <v>0</v>
      </c>
      <c r="L10002" s="5">
        <f t="shared" si="737"/>
        <v>0</v>
      </c>
      <c r="M10002" s="4"/>
      <c r="N10002" s="4"/>
      <c r="O10002" s="5"/>
      <c r="P10002" s="5"/>
      <c r="Q10002" s="21">
        <f t="shared" si="738"/>
        <v>0</v>
      </c>
      <c r="R10002" s="21">
        <f t="shared" si="736"/>
        <v>0</v>
      </c>
      <c r="S10002" s="5">
        <f t="shared" si="739"/>
        <v>70007.077158325032</v>
      </c>
      <c r="T10002" cm="1">
        <f t="array" ref="T10002">IF(OR(B10002="MAL ALIMI", B10002="ÜRETİM GİRİŞ"), MIN(I10002, MAX(0, I10002 + SUM(SUMIFS($I$1:I10001, $C$1:C10001, C10002, $B$1:B10001, {"MAL ALIMI","ÜRETİM GİRİŞ"})) - VLOOKUP(C10002, 'STOK RAPORU'!$C$2:$I$1000, 4, 0))), 0)</f>
        <v>0</v>
      </c>
      <c r="U10002" s="22">
        <f t="shared" si="732"/>
        <v>0</v>
      </c>
      <c r="V10002">
        <f t="shared" si="733"/>
        <v>0</v>
      </c>
      <c r="W10002" s="22">
        <f t="shared" si="734"/>
        <v>0</v>
      </c>
    </row>
    <row r="10003" spans="1:23" hidden="1" x14ac:dyDescent="0.25">
      <c r="A10003" s="4"/>
      <c r="B10003" s="4"/>
      <c r="C10003" s="4"/>
      <c r="D10003" s="4"/>
      <c r="E10003" s="4"/>
      <c r="F10003" s="4"/>
      <c r="G10003" s="4"/>
      <c r="H10003" s="4"/>
      <c r="I10003" s="4"/>
      <c r="J10003" s="21">
        <f>IFERROR(VLOOKUP(C10003,'STOK KARTLARI'!$C$2:$K$2150,8,0),0)</f>
        <v>0</v>
      </c>
      <c r="K10003" s="21">
        <f t="shared" si="735"/>
        <v>0</v>
      </c>
      <c r="L10003" s="5">
        <f t="shared" si="737"/>
        <v>0</v>
      </c>
      <c r="M10003" s="4"/>
      <c r="N10003" s="4"/>
      <c r="O10003" s="5"/>
      <c r="P10003" s="5"/>
      <c r="Q10003" s="21">
        <f t="shared" si="738"/>
        <v>0</v>
      </c>
      <c r="R10003" s="21">
        <f t="shared" si="736"/>
        <v>0</v>
      </c>
      <c r="S10003" s="5">
        <f t="shared" si="739"/>
        <v>70007.077158325032</v>
      </c>
      <c r="T10003" cm="1">
        <f t="array" ref="T10003">IF(OR(B10003="MAL ALIMI", B10003="ÜRETİM GİRİŞ"), MIN(I10003, MAX(0, I10003 + SUM(SUMIFS($I$1:I10002, $C$1:C10002, C10003, $B$1:B10002, {"MAL ALIMI","ÜRETİM GİRİŞ"})) - VLOOKUP(C10003, 'STOK RAPORU'!$C$2:$I$1000, 4, 0))), 0)</f>
        <v>0</v>
      </c>
      <c r="U10003" s="22">
        <f t="shared" si="732"/>
        <v>0</v>
      </c>
      <c r="V10003">
        <f t="shared" si="733"/>
        <v>0</v>
      </c>
      <c r="W10003" s="22">
        <f t="shared" si="734"/>
        <v>0</v>
      </c>
    </row>
    <row r="10004" spans="1:23" hidden="1" x14ac:dyDescent="0.25">
      <c r="A10004" s="4"/>
      <c r="B10004" s="4"/>
      <c r="C10004" s="4"/>
      <c r="D10004" s="4"/>
      <c r="E10004" s="4"/>
      <c r="F10004" s="4"/>
      <c r="G10004" s="4"/>
      <c r="H10004" s="4"/>
      <c r="I10004" s="4"/>
      <c r="J10004" s="21">
        <f>IFERROR(VLOOKUP(C10004,'STOK KARTLARI'!$C$2:$K$2150,8,0),0)</f>
        <v>0</v>
      </c>
      <c r="K10004" s="21">
        <f t="shared" si="735"/>
        <v>0</v>
      </c>
      <c r="L10004" s="5">
        <f t="shared" si="737"/>
        <v>0</v>
      </c>
      <c r="M10004" s="4"/>
      <c r="N10004" s="4"/>
      <c r="O10004" s="5"/>
      <c r="P10004" s="5"/>
      <c r="Q10004" s="21">
        <f t="shared" si="738"/>
        <v>0</v>
      </c>
      <c r="R10004" s="21">
        <f t="shared" si="736"/>
        <v>0</v>
      </c>
      <c r="S10004" s="5">
        <f t="shared" si="739"/>
        <v>70007.077158325032</v>
      </c>
      <c r="T10004" cm="1">
        <f t="array" ref="T10004">IF(OR(B10004="MAL ALIMI", B10004="ÜRETİM GİRİŞ"), MIN(I10004, MAX(0, I10004 + SUM(SUMIFS($I$1:I10003, $C$1:C10003, C10004, $B$1:B10003, {"MAL ALIMI","ÜRETİM GİRİŞ"})) - VLOOKUP(C10004, 'STOK RAPORU'!$C$2:$I$1000, 4, 0))), 0)</f>
        <v>0</v>
      </c>
      <c r="U10004" s="22">
        <f t="shared" si="732"/>
        <v>0</v>
      </c>
      <c r="V10004">
        <f t="shared" si="733"/>
        <v>0</v>
      </c>
      <c r="W10004" s="22">
        <f t="shared" si="734"/>
        <v>0</v>
      </c>
    </row>
    <row r="10005" spans="1:23" hidden="1" x14ac:dyDescent="0.25">
      <c r="A10005" s="4"/>
      <c r="B10005" s="4"/>
      <c r="C10005" s="4"/>
      <c r="D10005" s="4"/>
      <c r="E10005" s="4"/>
      <c r="F10005" s="4"/>
      <c r="G10005" s="4"/>
      <c r="H10005" s="4"/>
      <c r="I10005" s="4"/>
      <c r="J10005" s="21">
        <f>IFERROR(VLOOKUP(C10005,'STOK KARTLARI'!$C$2:$K$2150,8,0),0)</f>
        <v>0</v>
      </c>
      <c r="K10005" s="21">
        <f t="shared" si="735"/>
        <v>0</v>
      </c>
      <c r="L10005" s="5">
        <f t="shared" si="737"/>
        <v>0</v>
      </c>
      <c r="M10005" s="4"/>
      <c r="N10005" s="4"/>
      <c r="O10005" s="5"/>
      <c r="P10005" s="5"/>
      <c r="Q10005" s="21">
        <f t="shared" si="738"/>
        <v>0</v>
      </c>
      <c r="R10005" s="21">
        <f t="shared" si="736"/>
        <v>0</v>
      </c>
      <c r="S10005" s="5">
        <f t="shared" si="739"/>
        <v>70007.077158325032</v>
      </c>
      <c r="T10005" cm="1">
        <f t="array" ref="T10005">IF(OR(B10005="MAL ALIMI", B10005="ÜRETİM GİRİŞ"), MIN(I10005, MAX(0, I10005 + SUM(SUMIFS($I$1:I10004, $C$1:C10004, C10005, $B$1:B10004, {"MAL ALIMI","ÜRETİM GİRİŞ"})) - VLOOKUP(C10005, 'STOK RAPORU'!$C$2:$I$1000, 4, 0))), 0)</f>
        <v>0</v>
      </c>
      <c r="U10005" s="22">
        <f t="shared" si="732"/>
        <v>0</v>
      </c>
      <c r="V10005">
        <f t="shared" si="733"/>
        <v>0</v>
      </c>
      <c r="W10005" s="22">
        <f t="shared" si="734"/>
        <v>0</v>
      </c>
    </row>
    <row r="10006" spans="1:23" hidden="1" x14ac:dyDescent="0.25">
      <c r="A10006" s="4"/>
      <c r="B10006" s="4"/>
      <c r="C10006" s="4"/>
      <c r="D10006" s="4"/>
      <c r="E10006" s="4"/>
      <c r="F10006" s="4"/>
      <c r="G10006" s="4"/>
      <c r="H10006" s="4"/>
      <c r="I10006" s="4"/>
      <c r="J10006" s="21">
        <f>IFERROR(VLOOKUP(C10006,'STOK KARTLARI'!$C$2:$K$2150,8,0),0)</f>
        <v>0</v>
      </c>
      <c r="K10006" s="21">
        <f t="shared" si="735"/>
        <v>0</v>
      </c>
      <c r="L10006" s="5">
        <f t="shared" si="737"/>
        <v>0</v>
      </c>
      <c r="M10006" s="4"/>
      <c r="N10006" s="4"/>
      <c r="O10006" s="5"/>
      <c r="P10006" s="5"/>
      <c r="Q10006" s="21">
        <f t="shared" si="738"/>
        <v>0</v>
      </c>
      <c r="R10006" s="21">
        <f t="shared" si="736"/>
        <v>0</v>
      </c>
      <c r="S10006" s="5">
        <f t="shared" si="739"/>
        <v>70007.077158325032</v>
      </c>
      <c r="T10006" cm="1">
        <f t="array" ref="T10006">IF(OR(B10006="MAL ALIMI", B10006="ÜRETİM GİRİŞ"), MIN(I10006, MAX(0, I10006 + SUM(SUMIFS($I$1:I10005, $C$1:C10005, C10006, $B$1:B10005, {"MAL ALIMI","ÜRETİM GİRİŞ"})) - VLOOKUP(C10006, 'STOK RAPORU'!$C$2:$I$1000, 4, 0))), 0)</f>
        <v>0</v>
      </c>
      <c r="U10006" s="22">
        <f t="shared" si="732"/>
        <v>0</v>
      </c>
      <c r="V10006">
        <f t="shared" si="733"/>
        <v>0</v>
      </c>
      <c r="W10006" s="22">
        <f t="shared" si="734"/>
        <v>0</v>
      </c>
    </row>
    <row r="10007" spans="1:23" hidden="1" x14ac:dyDescent="0.25">
      <c r="A10007" s="3"/>
      <c r="B10007" s="4"/>
      <c r="C10007" s="4"/>
      <c r="D10007" s="4"/>
      <c r="E10007" s="4"/>
      <c r="F10007" s="4"/>
      <c r="G10007" s="4"/>
      <c r="H10007" s="4"/>
      <c r="I10007" s="4"/>
      <c r="J10007" s="21">
        <f>IFERROR(VLOOKUP(C10007,'STOK KARTLARI'!$C$2:$K$2150,8,0),0)</f>
        <v>0</v>
      </c>
      <c r="K10007" s="21">
        <f t="shared" si="735"/>
        <v>0</v>
      </c>
      <c r="L10007" s="5">
        <f t="shared" si="737"/>
        <v>0</v>
      </c>
      <c r="M10007" s="4"/>
      <c r="N10007" s="4"/>
      <c r="O10007" s="5"/>
      <c r="P10007" s="5"/>
      <c r="Q10007" s="21">
        <f t="shared" si="738"/>
        <v>0</v>
      </c>
      <c r="R10007" s="21">
        <f t="shared" si="736"/>
        <v>0</v>
      </c>
      <c r="S10007" s="5">
        <f t="shared" si="739"/>
        <v>70007.077158325032</v>
      </c>
      <c r="T10007" cm="1">
        <f t="array" ref="T10007">IF(OR(B10007="MAL ALIMI", B10007="ÜRETİM GİRİŞ"), MIN(I10007, MAX(0, I10007 + SUM(SUMIFS($I$1:I10006, $C$1:C10006, C10007, $B$1:B10006, {"MAL ALIMI","ÜRETİM GİRİŞ"})) - VLOOKUP(C10007, 'STOK RAPORU'!$C$2:$I$1000, 4, 0))), 0)</f>
        <v>0</v>
      </c>
      <c r="U10007" s="22">
        <f t="shared" si="732"/>
        <v>0</v>
      </c>
      <c r="V10007">
        <f t="shared" si="733"/>
        <v>0</v>
      </c>
      <c r="W10007" s="22">
        <f t="shared" si="734"/>
        <v>0</v>
      </c>
    </row>
    <row r="10008" spans="1:23" hidden="1" x14ac:dyDescent="0.25">
      <c r="A10008" s="4"/>
      <c r="B10008" s="4"/>
      <c r="C10008" s="4"/>
      <c r="D10008" s="4"/>
      <c r="E10008" s="4"/>
      <c r="F10008" s="4"/>
      <c r="G10008" s="4"/>
      <c r="H10008" s="4"/>
      <c r="I10008" s="4"/>
      <c r="J10008" s="21">
        <f>IFERROR(VLOOKUP(C10008,'STOK KARTLARI'!$C$2:$K$2150,8,0),0)</f>
        <v>0</v>
      </c>
      <c r="K10008" s="21">
        <f t="shared" si="735"/>
        <v>0</v>
      </c>
      <c r="L10008" s="5">
        <f t="shared" si="737"/>
        <v>0</v>
      </c>
      <c r="M10008" s="4"/>
      <c r="N10008" s="4"/>
      <c r="O10008" s="5"/>
      <c r="P10008" s="5"/>
      <c r="Q10008" s="21">
        <f t="shared" si="738"/>
        <v>0</v>
      </c>
      <c r="R10008" s="21">
        <f t="shared" si="736"/>
        <v>0</v>
      </c>
      <c r="S10008" s="5">
        <f t="shared" si="739"/>
        <v>70007.077158325032</v>
      </c>
      <c r="T10008" cm="1">
        <f t="array" ref="T10008">IF(OR(B10008="MAL ALIMI", B10008="ÜRETİM GİRİŞ"), MIN(I10008, MAX(0, I10008 + SUM(SUMIFS($I$1:I10007, $C$1:C10007, C10008, $B$1:B10007, {"MAL ALIMI","ÜRETİM GİRİŞ"})) - VLOOKUP(C10008, 'STOK RAPORU'!$C$2:$I$1000, 4, 0))), 0)</f>
        <v>0</v>
      </c>
      <c r="U10008" s="22">
        <f t="shared" si="732"/>
        <v>0</v>
      </c>
      <c r="V10008">
        <f t="shared" si="733"/>
        <v>0</v>
      </c>
      <c r="W10008" s="22">
        <f t="shared" si="734"/>
        <v>0</v>
      </c>
    </row>
    <row r="10009" spans="1:23" hidden="1" x14ac:dyDescent="0.25">
      <c r="A10009" s="4"/>
      <c r="B10009" s="4"/>
      <c r="C10009" s="4"/>
      <c r="D10009" s="4"/>
      <c r="E10009" s="4"/>
      <c r="F10009" s="4"/>
      <c r="G10009" s="4"/>
      <c r="H10009" s="4"/>
      <c r="I10009" s="4"/>
      <c r="J10009" s="21">
        <f>IFERROR(VLOOKUP(C10009,'STOK KARTLARI'!$C$2:$K$2150,8,0),0)</f>
        <v>0</v>
      </c>
      <c r="K10009" s="21">
        <f t="shared" si="735"/>
        <v>0</v>
      </c>
      <c r="L10009" s="5">
        <f t="shared" si="737"/>
        <v>0</v>
      </c>
      <c r="M10009" s="4"/>
      <c r="N10009" s="4"/>
      <c r="O10009" s="5"/>
      <c r="P10009" s="5"/>
      <c r="Q10009" s="21">
        <f t="shared" si="738"/>
        <v>0</v>
      </c>
      <c r="R10009" s="21">
        <f t="shared" si="736"/>
        <v>0</v>
      </c>
      <c r="S10009" s="5">
        <f t="shared" si="739"/>
        <v>70007.077158325032</v>
      </c>
      <c r="T10009" cm="1">
        <f t="array" ref="T10009">IF(OR(B10009="MAL ALIMI", B10009="ÜRETİM GİRİŞ"), MIN(I10009, MAX(0, I10009 + SUM(SUMIFS($I$1:I10008, $C$1:C10008, C10009, $B$1:B10008, {"MAL ALIMI","ÜRETİM GİRİŞ"})) - VLOOKUP(C10009, 'STOK RAPORU'!$C$2:$I$1000, 4, 0))), 0)</f>
        <v>0</v>
      </c>
      <c r="U10009" s="22">
        <f t="shared" si="732"/>
        <v>0</v>
      </c>
      <c r="V10009">
        <f t="shared" si="733"/>
        <v>0</v>
      </c>
      <c r="W10009" s="22">
        <f t="shared" si="734"/>
        <v>0</v>
      </c>
    </row>
    <row r="10010" spans="1:23" hidden="1" x14ac:dyDescent="0.25">
      <c r="A10010" s="4"/>
      <c r="B10010" s="4"/>
      <c r="C10010" s="4"/>
      <c r="D10010" s="4"/>
      <c r="E10010" s="4"/>
      <c r="F10010" s="4"/>
      <c r="G10010" s="4"/>
      <c r="H10010" s="4"/>
      <c r="I10010" s="4"/>
      <c r="J10010" s="21">
        <f>IFERROR(VLOOKUP(C10010,'STOK KARTLARI'!$C$2:$K$2150,8,0),0)</f>
        <v>0</v>
      </c>
      <c r="K10010" s="21">
        <f t="shared" si="735"/>
        <v>0</v>
      </c>
      <c r="L10010" s="5">
        <f t="shared" si="737"/>
        <v>0</v>
      </c>
      <c r="M10010" s="4"/>
      <c r="N10010" s="4"/>
      <c r="O10010" s="5"/>
      <c r="P10010" s="5"/>
      <c r="Q10010" s="21">
        <f t="shared" si="738"/>
        <v>0</v>
      </c>
      <c r="R10010" s="21">
        <f t="shared" si="736"/>
        <v>0</v>
      </c>
      <c r="S10010" s="5">
        <f t="shared" si="739"/>
        <v>70007.077158325032</v>
      </c>
      <c r="T10010" cm="1">
        <f t="array" ref="T10010">IF(OR(B10010="MAL ALIMI", B10010="ÜRETİM GİRİŞ"), MIN(I10010, MAX(0, I10010 + SUM(SUMIFS($I$1:I10009, $C$1:C10009, C10010, $B$1:B10009, {"MAL ALIMI","ÜRETİM GİRİŞ"})) - VLOOKUP(C10010, 'STOK RAPORU'!$C$2:$I$1000, 4, 0))), 0)</f>
        <v>0</v>
      </c>
      <c r="U10010" s="22">
        <f t="shared" si="732"/>
        <v>0</v>
      </c>
      <c r="V10010">
        <f t="shared" si="733"/>
        <v>0</v>
      </c>
      <c r="W10010" s="22">
        <f t="shared" si="734"/>
        <v>0</v>
      </c>
    </row>
    <row r="10011" spans="1:23" hidden="1" x14ac:dyDescent="0.25">
      <c r="A10011" s="4"/>
      <c r="B10011" s="4"/>
      <c r="C10011" s="4"/>
      <c r="D10011" s="4"/>
      <c r="E10011" s="4"/>
      <c r="F10011" s="4"/>
      <c r="G10011" s="4"/>
      <c r="H10011" s="4"/>
      <c r="I10011" s="4"/>
      <c r="J10011" s="21">
        <f>IFERROR(VLOOKUP(C10011,'STOK KARTLARI'!$C$2:$K$2150,8,0),0)</f>
        <v>0</v>
      </c>
      <c r="K10011" s="21">
        <f t="shared" si="735"/>
        <v>0</v>
      </c>
      <c r="L10011" s="5">
        <f t="shared" si="737"/>
        <v>0</v>
      </c>
      <c r="M10011" s="4"/>
      <c r="N10011" s="4"/>
      <c r="O10011" s="5"/>
      <c r="P10011" s="5"/>
      <c r="Q10011" s="21">
        <f t="shared" si="738"/>
        <v>0</v>
      </c>
      <c r="R10011" s="21">
        <f t="shared" si="736"/>
        <v>0</v>
      </c>
      <c r="S10011" s="5">
        <f t="shared" si="739"/>
        <v>70007.077158325032</v>
      </c>
      <c r="T10011" cm="1">
        <f t="array" ref="T10011">IF(OR(B10011="MAL ALIMI", B10011="ÜRETİM GİRİŞ"), MIN(I10011, MAX(0, I10011 + SUM(SUMIFS($I$1:I10010, $C$1:C10010, C10011, $B$1:B10010, {"MAL ALIMI","ÜRETİM GİRİŞ"})) - VLOOKUP(C10011, 'STOK RAPORU'!$C$2:$I$1000, 4, 0))), 0)</f>
        <v>0</v>
      </c>
      <c r="U10011" s="22">
        <f t="shared" si="732"/>
        <v>0</v>
      </c>
      <c r="V10011">
        <f t="shared" si="733"/>
        <v>0</v>
      </c>
      <c r="W10011" s="22">
        <f t="shared" si="734"/>
        <v>0</v>
      </c>
    </row>
    <row r="10012" spans="1:23" hidden="1" x14ac:dyDescent="0.25">
      <c r="A10012" s="4"/>
      <c r="B10012" s="4"/>
      <c r="C10012" s="4"/>
      <c r="D10012" s="4"/>
      <c r="E10012" s="4"/>
      <c r="F10012" s="4"/>
      <c r="G10012" s="4"/>
      <c r="H10012" s="4"/>
      <c r="I10012" s="4"/>
      <c r="J10012" s="21">
        <f>IFERROR(VLOOKUP(C10012,'STOK KARTLARI'!$C$2:$K$2150,8,0),0)</f>
        <v>0</v>
      </c>
      <c r="K10012" s="21">
        <f t="shared" si="735"/>
        <v>0</v>
      </c>
      <c r="L10012" s="5">
        <f t="shared" si="737"/>
        <v>0</v>
      </c>
      <c r="M10012" s="4"/>
      <c r="N10012" s="4"/>
      <c r="O10012" s="5"/>
      <c r="P10012" s="5"/>
      <c r="Q10012" s="21">
        <f t="shared" si="738"/>
        <v>0</v>
      </c>
      <c r="R10012" s="21">
        <f t="shared" si="736"/>
        <v>0</v>
      </c>
      <c r="S10012" s="5">
        <f t="shared" si="739"/>
        <v>70007.077158325032</v>
      </c>
      <c r="T10012" cm="1">
        <f t="array" ref="T10012">IF(OR(B10012="MAL ALIMI", B10012="ÜRETİM GİRİŞ"), MIN(I10012, MAX(0, I10012 + SUM(SUMIFS($I$1:I10011, $C$1:C10011, C10012, $B$1:B10011, {"MAL ALIMI","ÜRETİM GİRİŞ"})) - VLOOKUP(C10012, 'STOK RAPORU'!$C$2:$I$1000, 4, 0))), 0)</f>
        <v>0</v>
      </c>
      <c r="U10012" s="22">
        <f t="shared" si="732"/>
        <v>0</v>
      </c>
      <c r="V10012">
        <f t="shared" si="733"/>
        <v>0</v>
      </c>
      <c r="W10012" s="22">
        <f t="shared" si="734"/>
        <v>0</v>
      </c>
    </row>
    <row r="10013" spans="1:23" hidden="1" x14ac:dyDescent="0.25">
      <c r="A10013" s="4"/>
      <c r="B10013" s="4"/>
      <c r="C10013" s="4"/>
      <c r="D10013" s="4"/>
      <c r="E10013" s="4"/>
      <c r="F10013" s="4"/>
      <c r="G10013" s="4"/>
      <c r="H10013" s="4"/>
      <c r="I10013" s="4"/>
      <c r="J10013" s="21">
        <f>IFERROR(VLOOKUP(C10013,'STOK KARTLARI'!$C$2:$K$2150,8,0),0)</f>
        <v>0</v>
      </c>
      <c r="K10013" s="21">
        <f t="shared" si="735"/>
        <v>0</v>
      </c>
      <c r="L10013" s="5">
        <f t="shared" si="737"/>
        <v>0</v>
      </c>
      <c r="M10013" s="4"/>
      <c r="N10013" s="4"/>
      <c r="O10013" s="5"/>
      <c r="P10013" s="5"/>
      <c r="Q10013" s="21">
        <f t="shared" si="738"/>
        <v>0</v>
      </c>
      <c r="R10013" s="21">
        <f t="shared" si="736"/>
        <v>0</v>
      </c>
      <c r="S10013" s="5">
        <f t="shared" si="739"/>
        <v>70007.077158325032</v>
      </c>
      <c r="T10013" cm="1">
        <f t="array" ref="T10013">IF(OR(B10013="MAL ALIMI", B10013="ÜRETİM GİRİŞ"), MIN(I10013, MAX(0, I10013 + SUM(SUMIFS($I$1:I10012, $C$1:C10012, C10013, $B$1:B10012, {"MAL ALIMI","ÜRETİM GİRİŞ"})) - VLOOKUP(C10013, 'STOK RAPORU'!$C$2:$I$1000, 4, 0))), 0)</f>
        <v>0</v>
      </c>
      <c r="U10013" s="22">
        <f t="shared" si="732"/>
        <v>0</v>
      </c>
      <c r="V10013">
        <f t="shared" si="733"/>
        <v>0</v>
      </c>
      <c r="W10013" s="22">
        <f t="shared" si="734"/>
        <v>0</v>
      </c>
    </row>
    <row r="10014" spans="1:23" hidden="1" x14ac:dyDescent="0.25">
      <c r="A10014" s="3"/>
      <c r="B10014" s="4"/>
      <c r="C10014" s="4"/>
      <c r="D10014" s="4"/>
      <c r="E10014" s="4"/>
      <c r="F10014" s="4"/>
      <c r="G10014" s="4"/>
      <c r="H10014" s="4"/>
      <c r="I10014" s="4"/>
      <c r="J10014" s="21">
        <f>IFERROR(VLOOKUP(C10014,'STOK KARTLARI'!$C$2:$K$2150,8,0),0)</f>
        <v>0</v>
      </c>
      <c r="K10014" s="21">
        <f t="shared" si="735"/>
        <v>0</v>
      </c>
      <c r="L10014" s="5">
        <f t="shared" si="737"/>
        <v>0</v>
      </c>
      <c r="M10014" s="4"/>
      <c r="N10014" s="4"/>
      <c r="O10014" s="5"/>
      <c r="P10014" s="5"/>
      <c r="Q10014" s="21">
        <f t="shared" si="738"/>
        <v>0</v>
      </c>
      <c r="R10014" s="21">
        <f t="shared" si="736"/>
        <v>0</v>
      </c>
      <c r="S10014" s="5">
        <f t="shared" si="739"/>
        <v>70007.077158325032</v>
      </c>
      <c r="T10014" cm="1">
        <f t="array" ref="T10014">IF(OR(B10014="MAL ALIMI", B10014="ÜRETİM GİRİŞ"), MIN(I10014, MAX(0, I10014 + SUM(SUMIFS($I$1:I10013, $C$1:C10013, C10014, $B$1:B10013, {"MAL ALIMI","ÜRETİM GİRİŞ"})) - VLOOKUP(C10014, 'STOK RAPORU'!$C$2:$I$1000, 4, 0))), 0)</f>
        <v>0</v>
      </c>
      <c r="U10014" s="22">
        <f t="shared" si="732"/>
        <v>0</v>
      </c>
      <c r="V10014">
        <f t="shared" si="733"/>
        <v>0</v>
      </c>
      <c r="W10014" s="22">
        <f t="shared" si="734"/>
        <v>0</v>
      </c>
    </row>
    <row r="10015" spans="1:23" hidden="1" x14ac:dyDescent="0.25">
      <c r="A10015" s="4"/>
      <c r="B10015" s="4"/>
      <c r="C10015" s="4"/>
      <c r="D10015" s="4"/>
      <c r="E10015" s="4"/>
      <c r="F10015" s="4"/>
      <c r="G10015" s="4"/>
      <c r="H10015" s="4"/>
      <c r="I10015" s="4"/>
      <c r="J10015" s="21">
        <f>IFERROR(VLOOKUP(C10015,'STOK KARTLARI'!$C$2:$K$2150,8,0),0)</f>
        <v>0</v>
      </c>
      <c r="K10015" s="21">
        <f t="shared" si="735"/>
        <v>0</v>
      </c>
      <c r="L10015" s="5">
        <f t="shared" si="737"/>
        <v>0</v>
      </c>
      <c r="M10015" s="4"/>
      <c r="N10015" s="4"/>
      <c r="O10015" s="5"/>
      <c r="P10015" s="5"/>
      <c r="Q10015" s="21">
        <f t="shared" si="738"/>
        <v>0</v>
      </c>
      <c r="R10015" s="21">
        <f t="shared" si="736"/>
        <v>0</v>
      </c>
      <c r="S10015" s="5">
        <f t="shared" si="739"/>
        <v>70007.077158325032</v>
      </c>
      <c r="T10015" cm="1">
        <f t="array" ref="T10015">IF(OR(B10015="MAL ALIMI", B10015="ÜRETİM GİRİŞ"), MIN(I10015, MAX(0, I10015 + SUM(SUMIFS($I$1:I10014, $C$1:C10014, C10015, $B$1:B10014, {"MAL ALIMI","ÜRETİM GİRİŞ"})) - VLOOKUP(C10015, 'STOK RAPORU'!$C$2:$I$1000, 4, 0))), 0)</f>
        <v>0</v>
      </c>
      <c r="U10015" s="22">
        <f t="shared" si="732"/>
        <v>0</v>
      </c>
      <c r="V10015">
        <f t="shared" si="733"/>
        <v>0</v>
      </c>
      <c r="W10015" s="22">
        <f t="shared" si="734"/>
        <v>0</v>
      </c>
    </row>
    <row r="10016" spans="1:23" hidden="1" x14ac:dyDescent="0.25">
      <c r="A10016" s="4"/>
      <c r="B10016" s="4"/>
      <c r="C10016" s="4"/>
      <c r="D10016" s="4"/>
      <c r="E10016" s="4"/>
      <c r="F10016" s="4"/>
      <c r="G10016" s="4"/>
      <c r="H10016" s="4"/>
      <c r="I10016" s="4"/>
      <c r="J10016" s="21">
        <f>IFERROR(VLOOKUP(C10016,'STOK KARTLARI'!$C$2:$K$2150,8,0),0)</f>
        <v>0</v>
      </c>
      <c r="K10016" s="21">
        <f t="shared" si="735"/>
        <v>0</v>
      </c>
      <c r="L10016" s="5">
        <f t="shared" si="737"/>
        <v>0</v>
      </c>
      <c r="M10016" s="4"/>
      <c r="N10016" s="4"/>
      <c r="O10016" s="5"/>
      <c r="P10016" s="5"/>
      <c r="Q10016" s="21">
        <f t="shared" si="738"/>
        <v>0</v>
      </c>
      <c r="R10016" s="21">
        <f t="shared" si="736"/>
        <v>0</v>
      </c>
      <c r="S10016" s="5">
        <f t="shared" si="739"/>
        <v>70007.077158325032</v>
      </c>
      <c r="T10016" cm="1">
        <f t="array" ref="T10016">IF(OR(B10016="MAL ALIMI", B10016="ÜRETİM GİRİŞ"), MIN(I10016, MAX(0, I10016 + SUM(SUMIFS($I$1:I10015, $C$1:C10015, C10016, $B$1:B10015, {"MAL ALIMI","ÜRETİM GİRİŞ"})) - VLOOKUP(C10016, 'STOK RAPORU'!$C$2:$I$1000, 4, 0))), 0)</f>
        <v>0</v>
      </c>
      <c r="U10016" s="22">
        <f t="shared" si="732"/>
        <v>0</v>
      </c>
      <c r="V10016">
        <f t="shared" si="733"/>
        <v>0</v>
      </c>
      <c r="W10016" s="22">
        <f t="shared" si="734"/>
        <v>0</v>
      </c>
    </row>
    <row r="10017" spans="1:23" hidden="1" x14ac:dyDescent="0.25">
      <c r="A10017" s="4"/>
      <c r="B10017" s="4"/>
      <c r="C10017" s="4"/>
      <c r="D10017" s="4"/>
      <c r="E10017" s="4"/>
      <c r="F10017" s="4"/>
      <c r="G10017" s="4"/>
      <c r="H10017" s="4"/>
      <c r="I10017" s="4"/>
      <c r="J10017" s="21">
        <f>IFERROR(VLOOKUP(C10017,'STOK KARTLARI'!$C$2:$K$2150,8,0),0)</f>
        <v>0</v>
      </c>
      <c r="K10017" s="21">
        <f t="shared" si="735"/>
        <v>0</v>
      </c>
      <c r="L10017" s="5">
        <f t="shared" si="737"/>
        <v>0</v>
      </c>
      <c r="M10017" s="4"/>
      <c r="N10017" s="4"/>
      <c r="O10017" s="5"/>
      <c r="P10017" s="5"/>
      <c r="Q10017" s="21">
        <f t="shared" si="738"/>
        <v>0</v>
      </c>
      <c r="R10017" s="21">
        <f t="shared" si="736"/>
        <v>0</v>
      </c>
      <c r="S10017" s="5">
        <f t="shared" si="739"/>
        <v>70007.077158325032</v>
      </c>
      <c r="T10017" cm="1">
        <f t="array" ref="T10017">IF(OR(B10017="MAL ALIMI", B10017="ÜRETİM GİRİŞ"), MIN(I10017, MAX(0, I10017 + SUM(SUMIFS($I$1:I10016, $C$1:C10016, C10017, $B$1:B10016, {"MAL ALIMI","ÜRETİM GİRİŞ"})) - VLOOKUP(C10017, 'STOK RAPORU'!$C$2:$I$1000, 4, 0))), 0)</f>
        <v>0</v>
      </c>
      <c r="U10017" s="22">
        <f t="shared" si="732"/>
        <v>0</v>
      </c>
      <c r="V10017">
        <f t="shared" si="733"/>
        <v>0</v>
      </c>
      <c r="W10017" s="22">
        <f t="shared" si="734"/>
        <v>0</v>
      </c>
    </row>
    <row r="10018" spans="1:23" hidden="1" x14ac:dyDescent="0.25">
      <c r="A10018" s="4"/>
      <c r="B10018" s="4"/>
      <c r="C10018" s="4"/>
      <c r="D10018" s="4"/>
      <c r="E10018" s="4"/>
      <c r="F10018" s="4"/>
      <c r="G10018" s="4"/>
      <c r="H10018" s="4"/>
      <c r="I10018" s="4"/>
      <c r="J10018" s="21">
        <f>IFERROR(VLOOKUP(C10018,'STOK KARTLARI'!$C$2:$K$2150,8,0),0)</f>
        <v>0</v>
      </c>
      <c r="K10018" s="21">
        <f t="shared" si="735"/>
        <v>0</v>
      </c>
      <c r="L10018" s="5">
        <f t="shared" si="737"/>
        <v>0</v>
      </c>
      <c r="M10018" s="4"/>
      <c r="N10018" s="4"/>
      <c r="O10018" s="5"/>
      <c r="P10018" s="5"/>
      <c r="Q10018" s="21">
        <f t="shared" si="738"/>
        <v>0</v>
      </c>
      <c r="R10018" s="21">
        <f t="shared" si="736"/>
        <v>0</v>
      </c>
      <c r="S10018" s="5">
        <f t="shared" si="739"/>
        <v>70007.077158325032</v>
      </c>
      <c r="T10018" cm="1">
        <f t="array" ref="T10018">IF(OR(B10018="MAL ALIMI", B10018="ÜRETİM GİRİŞ"), MIN(I10018, MAX(0, I10018 + SUM(SUMIFS($I$1:I10017, $C$1:C10017, C10018, $B$1:B10017, {"MAL ALIMI","ÜRETİM GİRİŞ"})) - VLOOKUP(C10018, 'STOK RAPORU'!$C$2:$I$1000, 4, 0))), 0)</f>
        <v>0</v>
      </c>
      <c r="U10018" s="22">
        <f t="shared" si="732"/>
        <v>0</v>
      </c>
      <c r="V10018">
        <f t="shared" si="733"/>
        <v>0</v>
      </c>
      <c r="W10018" s="22">
        <f t="shared" si="734"/>
        <v>0</v>
      </c>
    </row>
    <row r="10019" spans="1:23" hidden="1" x14ac:dyDescent="0.25">
      <c r="A10019" s="4"/>
      <c r="B10019" s="4"/>
      <c r="C10019" s="4"/>
      <c r="D10019" s="4"/>
      <c r="E10019" s="4"/>
      <c r="F10019" s="4"/>
      <c r="G10019" s="4"/>
      <c r="H10019" s="4"/>
      <c r="I10019" s="4"/>
      <c r="J10019" s="21">
        <f>IFERROR(VLOOKUP(C10019,'STOK KARTLARI'!$C$2:$K$2150,8,0),0)</f>
        <v>0</v>
      </c>
      <c r="K10019" s="21">
        <f t="shared" si="735"/>
        <v>0</v>
      </c>
      <c r="L10019" s="5">
        <f t="shared" si="737"/>
        <v>0</v>
      </c>
      <c r="M10019" s="4"/>
      <c r="N10019" s="4"/>
      <c r="O10019" s="5"/>
      <c r="P10019" s="5"/>
      <c r="Q10019" s="21">
        <f t="shared" si="738"/>
        <v>0</v>
      </c>
      <c r="R10019" s="21">
        <f t="shared" si="736"/>
        <v>0</v>
      </c>
      <c r="S10019" s="5">
        <f t="shared" si="739"/>
        <v>70007.077158325032</v>
      </c>
      <c r="T10019" cm="1">
        <f t="array" ref="T10019">IF(OR(B10019="MAL ALIMI", B10019="ÜRETİM GİRİŞ"), MIN(I10019, MAX(0, I10019 + SUM(SUMIFS($I$1:I10018, $C$1:C10018, C10019, $B$1:B10018, {"MAL ALIMI","ÜRETİM GİRİŞ"})) - VLOOKUP(C10019, 'STOK RAPORU'!$C$2:$I$1000, 4, 0))), 0)</f>
        <v>0</v>
      </c>
      <c r="U10019" s="22">
        <f t="shared" si="732"/>
        <v>0</v>
      </c>
      <c r="V10019">
        <f t="shared" si="733"/>
        <v>0</v>
      </c>
      <c r="W10019" s="22">
        <f t="shared" si="734"/>
        <v>0</v>
      </c>
    </row>
    <row r="10020" spans="1:23" hidden="1" x14ac:dyDescent="0.25">
      <c r="A10020" s="4"/>
      <c r="B10020" s="4"/>
      <c r="C10020" s="4"/>
      <c r="D10020" s="4"/>
      <c r="E10020" s="4"/>
      <c r="F10020" s="4"/>
      <c r="G10020" s="4"/>
      <c r="H10020" s="4"/>
      <c r="I10020" s="4"/>
      <c r="J10020" s="21">
        <f>IFERROR(VLOOKUP(C10020,'STOK KARTLARI'!$C$2:$K$2150,8,0),0)</f>
        <v>0</v>
      </c>
      <c r="K10020" s="21">
        <f t="shared" si="735"/>
        <v>0</v>
      </c>
      <c r="L10020" s="5">
        <f t="shared" si="737"/>
        <v>0</v>
      </c>
      <c r="M10020" s="4"/>
      <c r="N10020" s="4"/>
      <c r="O10020" s="5"/>
      <c r="P10020" s="5"/>
      <c r="Q10020" s="21">
        <f t="shared" si="738"/>
        <v>0</v>
      </c>
      <c r="R10020" s="21">
        <f t="shared" si="736"/>
        <v>0</v>
      </c>
      <c r="S10020" s="5">
        <f t="shared" si="739"/>
        <v>70007.077158325032</v>
      </c>
      <c r="T10020" cm="1">
        <f t="array" ref="T10020">IF(OR(B10020="MAL ALIMI", B10020="ÜRETİM GİRİŞ"), MIN(I10020, MAX(0, I10020 + SUM(SUMIFS($I$1:I10019, $C$1:C10019, C10020, $B$1:B10019, {"MAL ALIMI","ÜRETİM GİRİŞ"})) - VLOOKUP(C10020, 'STOK RAPORU'!$C$2:$I$1000, 4, 0))), 0)</f>
        <v>0</v>
      </c>
      <c r="U10020" s="22">
        <f t="shared" si="732"/>
        <v>0</v>
      </c>
      <c r="V10020">
        <f t="shared" si="733"/>
        <v>0</v>
      </c>
      <c r="W10020" s="22">
        <f t="shared" si="734"/>
        <v>0</v>
      </c>
    </row>
    <row r="10021" spans="1:23" hidden="1" x14ac:dyDescent="0.25">
      <c r="A10021" s="3"/>
      <c r="B10021" s="4"/>
      <c r="C10021" s="4"/>
      <c r="D10021" s="4"/>
      <c r="E10021" s="4"/>
      <c r="F10021" s="4"/>
      <c r="G10021" s="4"/>
      <c r="H10021" s="4"/>
      <c r="I10021" s="4"/>
      <c r="J10021" s="21">
        <f>IFERROR(VLOOKUP(C10021,'STOK KARTLARI'!$C$2:$K$2150,8,0),0)</f>
        <v>0</v>
      </c>
      <c r="K10021" s="21">
        <f t="shared" si="735"/>
        <v>0</v>
      </c>
      <c r="L10021" s="5">
        <f t="shared" si="737"/>
        <v>0</v>
      </c>
      <c r="M10021" s="4"/>
      <c r="N10021" s="4"/>
      <c r="O10021" s="5"/>
      <c r="P10021" s="5"/>
      <c r="Q10021" s="21">
        <f t="shared" si="738"/>
        <v>0</v>
      </c>
      <c r="R10021" s="21">
        <f t="shared" si="736"/>
        <v>0</v>
      </c>
      <c r="S10021" s="5">
        <f t="shared" si="739"/>
        <v>70007.077158325032</v>
      </c>
      <c r="T10021" cm="1">
        <f t="array" ref="T10021">IF(OR(B10021="MAL ALIMI", B10021="ÜRETİM GİRİŞ"), MIN(I10021, MAX(0, I10021 + SUM(SUMIFS($I$1:I10020, $C$1:C10020, C10021, $B$1:B10020, {"MAL ALIMI","ÜRETİM GİRİŞ"})) - VLOOKUP(C10021, 'STOK RAPORU'!$C$2:$I$1000, 4, 0))), 0)</f>
        <v>0</v>
      </c>
      <c r="U10021" s="22">
        <f t="shared" si="732"/>
        <v>0</v>
      </c>
      <c r="V10021">
        <f t="shared" si="733"/>
        <v>0</v>
      </c>
      <c r="W10021" s="22">
        <f t="shared" si="734"/>
        <v>0</v>
      </c>
    </row>
    <row r="10022" spans="1:23" hidden="1" x14ac:dyDescent="0.25">
      <c r="A10022" s="4"/>
      <c r="B10022" s="4"/>
      <c r="C10022" s="4"/>
      <c r="D10022" s="4"/>
      <c r="E10022" s="4"/>
      <c r="F10022" s="4"/>
      <c r="G10022" s="4"/>
      <c r="H10022" s="4"/>
      <c r="I10022" s="4"/>
      <c r="J10022" s="21">
        <f>IFERROR(VLOOKUP(C10022,'STOK KARTLARI'!$C$2:$K$2150,8,0),0)</f>
        <v>0</v>
      </c>
      <c r="K10022" s="21">
        <f t="shared" si="735"/>
        <v>0</v>
      </c>
      <c r="L10022" s="5">
        <f t="shared" si="737"/>
        <v>0</v>
      </c>
      <c r="M10022" s="4"/>
      <c r="N10022" s="4"/>
      <c r="O10022" s="5"/>
      <c r="P10022" s="5"/>
      <c r="Q10022" s="21">
        <f t="shared" si="738"/>
        <v>0</v>
      </c>
      <c r="R10022" s="21">
        <f t="shared" si="736"/>
        <v>0</v>
      </c>
      <c r="S10022" s="5">
        <f t="shared" si="739"/>
        <v>70007.077158325032</v>
      </c>
      <c r="T10022" cm="1">
        <f t="array" ref="T10022">IF(OR(B10022="MAL ALIMI", B10022="ÜRETİM GİRİŞ"), MIN(I10022, MAX(0, I10022 + SUM(SUMIFS($I$1:I10021, $C$1:C10021, C10022, $B$1:B10021, {"MAL ALIMI","ÜRETİM GİRİŞ"})) - VLOOKUP(C10022, 'STOK RAPORU'!$C$2:$I$1000, 4, 0))), 0)</f>
        <v>0</v>
      </c>
      <c r="U10022" s="22">
        <f t="shared" si="732"/>
        <v>0</v>
      </c>
      <c r="V10022">
        <f t="shared" si="733"/>
        <v>0</v>
      </c>
      <c r="W10022" s="22">
        <f t="shared" si="734"/>
        <v>0</v>
      </c>
    </row>
    <row r="10023" spans="1:23" hidden="1" x14ac:dyDescent="0.25">
      <c r="A10023" s="4"/>
      <c r="B10023" s="4"/>
      <c r="C10023" s="4"/>
      <c r="D10023" s="4"/>
      <c r="E10023" s="4"/>
      <c r="F10023" s="4"/>
      <c r="G10023" s="4"/>
      <c r="H10023" s="4"/>
      <c r="I10023" s="4"/>
      <c r="J10023" s="21">
        <f>IFERROR(VLOOKUP(C10023,'STOK KARTLARI'!$C$2:$K$2150,8,0),0)</f>
        <v>0</v>
      </c>
      <c r="K10023" s="21">
        <f t="shared" si="735"/>
        <v>0</v>
      </c>
      <c r="L10023" s="5">
        <f t="shared" si="737"/>
        <v>0</v>
      </c>
      <c r="M10023" s="4"/>
      <c r="N10023" s="4"/>
      <c r="O10023" s="5"/>
      <c r="P10023" s="5"/>
      <c r="Q10023" s="21">
        <f t="shared" si="738"/>
        <v>0</v>
      </c>
      <c r="R10023" s="21">
        <f t="shared" si="736"/>
        <v>0</v>
      </c>
      <c r="S10023" s="5">
        <f t="shared" si="739"/>
        <v>70007.077158325032</v>
      </c>
      <c r="T10023" cm="1">
        <f t="array" ref="T10023">IF(OR(B10023="MAL ALIMI", B10023="ÜRETİM GİRİŞ"), MIN(I10023, MAX(0, I10023 + SUM(SUMIFS($I$1:I10022, $C$1:C10022, C10023, $B$1:B10022, {"MAL ALIMI","ÜRETİM GİRİŞ"})) - VLOOKUP(C10023, 'STOK RAPORU'!$C$2:$I$1000, 4, 0))), 0)</f>
        <v>0</v>
      </c>
      <c r="U10023" s="22">
        <f t="shared" si="732"/>
        <v>0</v>
      </c>
      <c r="V10023">
        <f t="shared" si="733"/>
        <v>0</v>
      </c>
      <c r="W10023" s="22">
        <f t="shared" si="734"/>
        <v>0</v>
      </c>
    </row>
    <row r="10024" spans="1:23" hidden="1" x14ac:dyDescent="0.25">
      <c r="A10024" s="4"/>
      <c r="B10024" s="4"/>
      <c r="C10024" s="4"/>
      <c r="D10024" s="4"/>
      <c r="E10024" s="4"/>
      <c r="F10024" s="4"/>
      <c r="G10024" s="4"/>
      <c r="H10024" s="4"/>
      <c r="I10024" s="4"/>
      <c r="J10024" s="21">
        <f>IFERROR(VLOOKUP(C10024,'STOK KARTLARI'!$C$2:$K$2150,8,0),0)</f>
        <v>0</v>
      </c>
      <c r="K10024" s="21">
        <f t="shared" si="735"/>
        <v>0</v>
      </c>
      <c r="L10024" s="5">
        <f t="shared" si="737"/>
        <v>0</v>
      </c>
      <c r="M10024" s="4"/>
      <c r="N10024" s="4"/>
      <c r="O10024" s="5"/>
      <c r="P10024" s="5"/>
      <c r="Q10024" s="21">
        <f t="shared" si="738"/>
        <v>0</v>
      </c>
      <c r="R10024" s="21">
        <f t="shared" si="736"/>
        <v>0</v>
      </c>
      <c r="S10024" s="5">
        <f t="shared" si="739"/>
        <v>70007.077158325032</v>
      </c>
      <c r="T10024" cm="1">
        <f t="array" ref="T10024">IF(OR(B10024="MAL ALIMI", B10024="ÜRETİM GİRİŞ"), MIN(I10024, MAX(0, I10024 + SUM(SUMIFS($I$1:I10023, $C$1:C10023, C10024, $B$1:B10023, {"MAL ALIMI","ÜRETİM GİRİŞ"})) - VLOOKUP(C10024, 'STOK RAPORU'!$C$2:$I$1000, 4, 0))), 0)</f>
        <v>0</v>
      </c>
      <c r="U10024" s="22">
        <f t="shared" si="732"/>
        <v>0</v>
      </c>
      <c r="V10024">
        <f t="shared" si="733"/>
        <v>0</v>
      </c>
      <c r="W10024" s="22">
        <f t="shared" si="734"/>
        <v>0</v>
      </c>
    </row>
    <row r="10025" spans="1:23" hidden="1" x14ac:dyDescent="0.25">
      <c r="A10025" s="4"/>
      <c r="B10025" s="4"/>
      <c r="C10025" s="4"/>
      <c r="D10025" s="4"/>
      <c r="E10025" s="4"/>
      <c r="F10025" s="4"/>
      <c r="G10025" s="4"/>
      <c r="H10025" s="4"/>
      <c r="I10025" s="4"/>
      <c r="J10025" s="21">
        <f>IFERROR(VLOOKUP(C10025,'STOK KARTLARI'!$C$2:$K$2150,8,0),0)</f>
        <v>0</v>
      </c>
      <c r="K10025" s="21">
        <f t="shared" si="735"/>
        <v>0</v>
      </c>
      <c r="L10025" s="5">
        <f t="shared" si="737"/>
        <v>0</v>
      </c>
      <c r="M10025" s="4"/>
      <c r="N10025" s="4"/>
      <c r="O10025" s="5"/>
      <c r="P10025" s="5"/>
      <c r="Q10025" s="21">
        <f t="shared" si="738"/>
        <v>0</v>
      </c>
      <c r="R10025" s="21">
        <f t="shared" si="736"/>
        <v>0</v>
      </c>
      <c r="S10025" s="5">
        <f t="shared" si="739"/>
        <v>70007.077158325032</v>
      </c>
      <c r="T10025" cm="1">
        <f t="array" ref="T10025">IF(OR(B10025="MAL ALIMI", B10025="ÜRETİM GİRİŞ"), MIN(I10025, MAX(0, I10025 + SUM(SUMIFS($I$1:I10024, $C$1:C10024, C10025, $B$1:B10024, {"MAL ALIMI","ÜRETİM GİRİŞ"})) - VLOOKUP(C10025, 'STOK RAPORU'!$C$2:$I$1000, 4, 0))), 0)</f>
        <v>0</v>
      </c>
      <c r="U10025" s="22">
        <f t="shared" si="732"/>
        <v>0</v>
      </c>
      <c r="V10025">
        <f t="shared" si="733"/>
        <v>0</v>
      </c>
      <c r="W10025" s="22">
        <f t="shared" si="734"/>
        <v>0</v>
      </c>
    </row>
    <row r="10026" spans="1:23" hidden="1" x14ac:dyDescent="0.25">
      <c r="A10026" s="4"/>
      <c r="B10026" s="4"/>
      <c r="C10026" s="4"/>
      <c r="D10026" s="4"/>
      <c r="E10026" s="4"/>
      <c r="F10026" s="4"/>
      <c r="G10026" s="4"/>
      <c r="H10026" s="4"/>
      <c r="I10026" s="4"/>
      <c r="J10026" s="21">
        <f>IFERROR(VLOOKUP(C10026,'STOK KARTLARI'!$C$2:$K$2150,8,0),0)</f>
        <v>0</v>
      </c>
      <c r="K10026" s="21">
        <f t="shared" si="735"/>
        <v>0</v>
      </c>
      <c r="L10026" s="5">
        <f t="shared" si="737"/>
        <v>0</v>
      </c>
      <c r="M10026" s="4"/>
      <c r="N10026" s="4"/>
      <c r="O10026" s="5"/>
      <c r="P10026" s="5"/>
      <c r="Q10026" s="21">
        <f t="shared" si="738"/>
        <v>0</v>
      </c>
      <c r="R10026" s="21">
        <f t="shared" si="736"/>
        <v>0</v>
      </c>
      <c r="S10026" s="5">
        <f t="shared" si="739"/>
        <v>70007.077158325032</v>
      </c>
      <c r="T10026" cm="1">
        <f t="array" ref="T10026">IF(OR(B10026="MAL ALIMI", B10026="ÜRETİM GİRİŞ"), MIN(I10026, MAX(0, I10026 + SUM(SUMIFS($I$1:I10025, $C$1:C10025, C10026, $B$1:B10025, {"MAL ALIMI","ÜRETİM GİRİŞ"})) - VLOOKUP(C10026, 'STOK RAPORU'!$C$2:$I$1000, 4, 0))), 0)</f>
        <v>0</v>
      </c>
      <c r="U10026" s="22">
        <f t="shared" si="732"/>
        <v>0</v>
      </c>
      <c r="V10026">
        <f t="shared" si="733"/>
        <v>0</v>
      </c>
      <c r="W10026" s="22">
        <f t="shared" si="734"/>
        <v>0</v>
      </c>
    </row>
    <row r="10027" spans="1:23" hidden="1" x14ac:dyDescent="0.25">
      <c r="A10027" s="4"/>
      <c r="B10027" s="4"/>
      <c r="C10027" s="4"/>
      <c r="D10027" s="4"/>
      <c r="E10027" s="4"/>
      <c r="F10027" s="4"/>
      <c r="G10027" s="4"/>
      <c r="H10027" s="4"/>
      <c r="I10027" s="4"/>
      <c r="J10027" s="21">
        <f>IFERROR(VLOOKUP(C10027,'STOK KARTLARI'!$C$2:$K$2150,8,0),0)</f>
        <v>0</v>
      </c>
      <c r="K10027" s="21">
        <f t="shared" si="735"/>
        <v>0</v>
      </c>
      <c r="L10027" s="5">
        <f t="shared" si="737"/>
        <v>0</v>
      </c>
      <c r="M10027" s="4"/>
      <c r="N10027" s="4"/>
      <c r="O10027" s="5"/>
      <c r="P10027" s="5"/>
      <c r="Q10027" s="21">
        <f t="shared" si="738"/>
        <v>0</v>
      </c>
      <c r="R10027" s="21">
        <f t="shared" si="736"/>
        <v>0</v>
      </c>
      <c r="S10027" s="5">
        <f t="shared" si="739"/>
        <v>70007.077158325032</v>
      </c>
      <c r="T10027" cm="1">
        <f t="array" ref="T10027">IF(OR(B10027="MAL ALIMI", B10027="ÜRETİM GİRİŞ"), MIN(I10027, MAX(0, I10027 + SUM(SUMIFS($I$1:I10026, $C$1:C10026, C10027, $B$1:B10026, {"MAL ALIMI","ÜRETİM GİRİŞ"})) - VLOOKUP(C10027, 'STOK RAPORU'!$C$2:$I$1000, 4, 0))), 0)</f>
        <v>0</v>
      </c>
      <c r="U10027" s="22">
        <f t="shared" si="732"/>
        <v>0</v>
      </c>
      <c r="V10027">
        <f t="shared" si="733"/>
        <v>0</v>
      </c>
      <c r="W10027" s="22">
        <f t="shared" si="734"/>
        <v>0</v>
      </c>
    </row>
    <row r="10028" spans="1:23" hidden="1" x14ac:dyDescent="0.25">
      <c r="A10028" s="3"/>
      <c r="B10028" s="4"/>
      <c r="C10028" s="4"/>
      <c r="D10028" s="4"/>
      <c r="E10028" s="4"/>
      <c r="F10028" s="4"/>
      <c r="G10028" s="4"/>
      <c r="H10028" s="4"/>
      <c r="I10028" s="4"/>
      <c r="J10028" s="21">
        <f>IFERROR(VLOOKUP(C10028,'STOK KARTLARI'!$C$2:$K$2150,8,0),0)</f>
        <v>0</v>
      </c>
      <c r="K10028" s="21">
        <f t="shared" si="735"/>
        <v>0</v>
      </c>
      <c r="L10028" s="5">
        <f t="shared" si="737"/>
        <v>0</v>
      </c>
      <c r="M10028" s="4"/>
      <c r="N10028" s="4"/>
      <c r="O10028" s="5"/>
      <c r="P10028" s="5"/>
      <c r="Q10028" s="21">
        <f t="shared" si="738"/>
        <v>0</v>
      </c>
      <c r="R10028" s="21">
        <f t="shared" si="736"/>
        <v>0</v>
      </c>
      <c r="S10028" s="5">
        <f t="shared" si="739"/>
        <v>70007.077158325032</v>
      </c>
      <c r="T10028" cm="1">
        <f t="array" ref="T10028">IF(OR(B10028="MAL ALIMI", B10028="ÜRETİM GİRİŞ"), MIN(I10028, MAX(0, I10028 + SUM(SUMIFS($I$1:I10027, $C$1:C10027, C10028, $B$1:B10027, {"MAL ALIMI","ÜRETİM GİRİŞ"})) - VLOOKUP(C10028, 'STOK RAPORU'!$C$2:$I$1000, 4, 0))), 0)</f>
        <v>0</v>
      </c>
      <c r="U10028" s="22">
        <f t="shared" si="732"/>
        <v>0</v>
      </c>
      <c r="V10028">
        <f t="shared" si="733"/>
        <v>0</v>
      </c>
      <c r="W10028" s="22">
        <f t="shared" si="734"/>
        <v>0</v>
      </c>
    </row>
    <row r="10029" spans="1:23" hidden="1" x14ac:dyDescent="0.25">
      <c r="A10029" s="4"/>
      <c r="B10029" s="4"/>
      <c r="C10029" s="4"/>
      <c r="D10029" s="4"/>
      <c r="E10029" s="4"/>
      <c r="F10029" s="4"/>
      <c r="G10029" s="4"/>
      <c r="H10029" s="4"/>
      <c r="I10029" s="4"/>
      <c r="J10029" s="21">
        <f>IFERROR(VLOOKUP(C10029,'STOK KARTLARI'!$C$2:$K$2150,8,0),0)</f>
        <v>0</v>
      </c>
      <c r="K10029" s="21">
        <f t="shared" si="735"/>
        <v>0</v>
      </c>
      <c r="L10029" s="5">
        <f t="shared" si="737"/>
        <v>0</v>
      </c>
      <c r="M10029" s="4"/>
      <c r="N10029" s="4"/>
      <c r="O10029" s="5"/>
      <c r="P10029" s="5"/>
      <c r="Q10029" s="21">
        <f t="shared" si="738"/>
        <v>0</v>
      </c>
      <c r="R10029" s="21">
        <f t="shared" si="736"/>
        <v>0</v>
      </c>
      <c r="S10029" s="5">
        <f t="shared" si="739"/>
        <v>70007.077158325032</v>
      </c>
      <c r="T10029" cm="1">
        <f t="array" ref="T10029">IF(OR(B10029="MAL ALIMI", B10029="ÜRETİM GİRİŞ"), MIN(I10029, MAX(0, I10029 + SUM(SUMIFS($I$1:I10028, $C$1:C10028, C10029, $B$1:B10028, {"MAL ALIMI","ÜRETİM GİRİŞ"})) - VLOOKUP(C10029, 'STOK RAPORU'!$C$2:$I$1000, 4, 0))), 0)</f>
        <v>0</v>
      </c>
      <c r="U10029" s="22">
        <f t="shared" si="732"/>
        <v>0</v>
      </c>
      <c r="V10029">
        <f t="shared" si="733"/>
        <v>0</v>
      </c>
      <c r="W10029" s="22">
        <f t="shared" si="734"/>
        <v>0</v>
      </c>
    </row>
    <row r="10030" spans="1:23" hidden="1" x14ac:dyDescent="0.25">
      <c r="A10030" s="4"/>
      <c r="B10030" s="4"/>
      <c r="C10030" s="4"/>
      <c r="D10030" s="4"/>
      <c r="E10030" s="4"/>
      <c r="F10030" s="4"/>
      <c r="G10030" s="4"/>
      <c r="H10030" s="4"/>
      <c r="I10030" s="4"/>
      <c r="J10030" s="21">
        <f>IFERROR(VLOOKUP(C10030,'STOK KARTLARI'!$C$2:$K$2150,8,0),0)</f>
        <v>0</v>
      </c>
      <c r="K10030" s="21">
        <f t="shared" si="735"/>
        <v>0</v>
      </c>
      <c r="L10030" s="5">
        <f t="shared" si="737"/>
        <v>0</v>
      </c>
      <c r="M10030" s="4"/>
      <c r="N10030" s="4"/>
      <c r="O10030" s="5"/>
      <c r="P10030" s="5"/>
      <c r="Q10030" s="21">
        <f t="shared" si="738"/>
        <v>0</v>
      </c>
      <c r="R10030" s="21">
        <f t="shared" si="736"/>
        <v>0</v>
      </c>
      <c r="S10030" s="5">
        <f t="shared" si="739"/>
        <v>70007.077158325032</v>
      </c>
      <c r="T10030" cm="1">
        <f t="array" ref="T10030">IF(OR(B10030="MAL ALIMI", B10030="ÜRETİM GİRİŞ"), MIN(I10030, MAX(0, I10030 + SUM(SUMIFS($I$1:I10029, $C$1:C10029, C10030, $B$1:B10029, {"MAL ALIMI","ÜRETİM GİRİŞ"})) - VLOOKUP(C10030, 'STOK RAPORU'!$C$2:$I$1000, 4, 0))), 0)</f>
        <v>0</v>
      </c>
      <c r="U10030" s="22">
        <f t="shared" si="732"/>
        <v>0</v>
      </c>
      <c r="V10030">
        <f t="shared" si="733"/>
        <v>0</v>
      </c>
      <c r="W10030" s="22">
        <f t="shared" si="734"/>
        <v>0</v>
      </c>
    </row>
    <row r="10031" spans="1:23" hidden="1" x14ac:dyDescent="0.25">
      <c r="A10031" s="4"/>
      <c r="B10031" s="4"/>
      <c r="C10031" s="4"/>
      <c r="D10031" s="4"/>
      <c r="E10031" s="4"/>
      <c r="F10031" s="4"/>
      <c r="G10031" s="4"/>
      <c r="H10031" s="4"/>
      <c r="I10031" s="4"/>
      <c r="J10031" s="21">
        <f>IFERROR(VLOOKUP(C10031,'STOK KARTLARI'!$C$2:$K$2150,8,0),0)</f>
        <v>0</v>
      </c>
      <c r="K10031" s="21">
        <f t="shared" si="735"/>
        <v>0</v>
      </c>
      <c r="L10031" s="5">
        <f t="shared" si="737"/>
        <v>0</v>
      </c>
      <c r="M10031" s="4"/>
      <c r="N10031" s="4"/>
      <c r="O10031" s="5"/>
      <c r="P10031" s="5"/>
      <c r="Q10031" s="21">
        <f t="shared" si="738"/>
        <v>0</v>
      </c>
      <c r="R10031" s="21">
        <f t="shared" si="736"/>
        <v>0</v>
      </c>
      <c r="S10031" s="5">
        <f t="shared" si="739"/>
        <v>70007.077158325032</v>
      </c>
      <c r="T10031" cm="1">
        <f t="array" ref="T10031">IF(OR(B10031="MAL ALIMI", B10031="ÜRETİM GİRİŞ"), MIN(I10031, MAX(0, I10031 + SUM(SUMIFS($I$1:I10030, $C$1:C10030, C10031, $B$1:B10030, {"MAL ALIMI","ÜRETİM GİRİŞ"})) - VLOOKUP(C10031, 'STOK RAPORU'!$C$2:$I$1000, 4, 0))), 0)</f>
        <v>0</v>
      </c>
      <c r="U10031" s="22">
        <f t="shared" ref="U10031:U10094" si="740">T10031*J10031</f>
        <v>0</v>
      </c>
      <c r="V10031">
        <f t="shared" ref="V10031:V10094" si="741">IF(OR(B10031="MAL ALIMI", B10031="ÜRETİM GİRİŞ"), I10031 * J10031, 0)</f>
        <v>0</v>
      </c>
      <c r="W10031" s="22">
        <f t="shared" ref="W10031:W10094" si="742">V10031-U10031</f>
        <v>0</v>
      </c>
    </row>
    <row r="10032" spans="1:23" hidden="1" x14ac:dyDescent="0.25">
      <c r="A10032" s="4"/>
      <c r="B10032" s="4"/>
      <c r="C10032" s="4"/>
      <c r="D10032" s="4"/>
      <c r="E10032" s="4"/>
      <c r="F10032" s="4"/>
      <c r="G10032" s="4"/>
      <c r="H10032" s="4"/>
      <c r="I10032" s="4"/>
      <c r="J10032" s="21">
        <f>IFERROR(VLOOKUP(C10032,'STOK KARTLARI'!$C$2:$K$2150,8,0),0)</f>
        <v>0</v>
      </c>
      <c r="K10032" s="21">
        <f t="shared" si="735"/>
        <v>0</v>
      </c>
      <c r="L10032" s="5">
        <f t="shared" si="737"/>
        <v>0</v>
      </c>
      <c r="M10032" s="4"/>
      <c r="N10032" s="4"/>
      <c r="O10032" s="5"/>
      <c r="P10032" s="5"/>
      <c r="Q10032" s="21">
        <f t="shared" si="738"/>
        <v>0</v>
      </c>
      <c r="R10032" s="21">
        <f t="shared" si="736"/>
        <v>0</v>
      </c>
      <c r="S10032" s="5">
        <f t="shared" si="739"/>
        <v>70007.077158325032</v>
      </c>
      <c r="T10032" cm="1">
        <f t="array" ref="T10032">IF(OR(B10032="MAL ALIMI", B10032="ÜRETİM GİRİŞ"), MIN(I10032, MAX(0, I10032 + SUM(SUMIFS($I$1:I10031, $C$1:C10031, C10032, $B$1:B10031, {"MAL ALIMI","ÜRETİM GİRİŞ"})) - VLOOKUP(C10032, 'STOK RAPORU'!$C$2:$I$1000, 4, 0))), 0)</f>
        <v>0</v>
      </c>
      <c r="U10032" s="22">
        <f t="shared" si="740"/>
        <v>0</v>
      </c>
      <c r="V10032">
        <f t="shared" si="741"/>
        <v>0</v>
      </c>
      <c r="W10032" s="22">
        <f t="shared" si="742"/>
        <v>0</v>
      </c>
    </row>
    <row r="10033" spans="1:23" hidden="1" x14ac:dyDescent="0.25">
      <c r="A10033" s="4"/>
      <c r="B10033" s="4"/>
      <c r="C10033" s="4"/>
      <c r="D10033" s="4"/>
      <c r="E10033" s="4"/>
      <c r="F10033" s="4"/>
      <c r="G10033" s="4"/>
      <c r="H10033" s="4"/>
      <c r="I10033" s="4"/>
      <c r="J10033" s="21">
        <f>IFERROR(VLOOKUP(C10033,'STOK KARTLARI'!$C$2:$K$2150,8,0),0)</f>
        <v>0</v>
      </c>
      <c r="K10033" s="21">
        <f t="shared" si="735"/>
        <v>0</v>
      </c>
      <c r="L10033" s="5">
        <f t="shared" si="737"/>
        <v>0</v>
      </c>
      <c r="M10033" s="4"/>
      <c r="N10033" s="4"/>
      <c r="O10033" s="5"/>
      <c r="P10033" s="5"/>
      <c r="Q10033" s="21">
        <f t="shared" si="738"/>
        <v>0</v>
      </c>
      <c r="R10033" s="21">
        <f t="shared" si="736"/>
        <v>0</v>
      </c>
      <c r="S10033" s="5">
        <f t="shared" si="739"/>
        <v>70007.077158325032</v>
      </c>
      <c r="T10033" cm="1">
        <f t="array" ref="T10033">IF(OR(B10033="MAL ALIMI", B10033="ÜRETİM GİRİŞ"), MIN(I10033, MAX(0, I10033 + SUM(SUMIFS($I$1:I10032, $C$1:C10032, C10033, $B$1:B10032, {"MAL ALIMI","ÜRETİM GİRİŞ"})) - VLOOKUP(C10033, 'STOK RAPORU'!$C$2:$I$1000, 4, 0))), 0)</f>
        <v>0</v>
      </c>
      <c r="U10033" s="22">
        <f t="shared" si="740"/>
        <v>0</v>
      </c>
      <c r="V10033">
        <f t="shared" si="741"/>
        <v>0</v>
      </c>
      <c r="W10033" s="22">
        <f t="shared" si="742"/>
        <v>0</v>
      </c>
    </row>
    <row r="10034" spans="1:23" hidden="1" x14ac:dyDescent="0.25">
      <c r="A10034" s="4"/>
      <c r="B10034" s="4"/>
      <c r="C10034" s="4"/>
      <c r="D10034" s="4"/>
      <c r="E10034" s="4"/>
      <c r="F10034" s="4"/>
      <c r="G10034" s="4"/>
      <c r="H10034" s="4"/>
      <c r="I10034" s="4"/>
      <c r="J10034" s="21">
        <f>IFERROR(VLOOKUP(C10034,'STOK KARTLARI'!$C$2:$K$2150,8,0),0)</f>
        <v>0</v>
      </c>
      <c r="K10034" s="21">
        <f t="shared" si="735"/>
        <v>0</v>
      </c>
      <c r="L10034" s="5">
        <f t="shared" si="737"/>
        <v>0</v>
      </c>
      <c r="M10034" s="4"/>
      <c r="N10034" s="4"/>
      <c r="O10034" s="5"/>
      <c r="P10034" s="5"/>
      <c r="Q10034" s="21">
        <f t="shared" si="738"/>
        <v>0</v>
      </c>
      <c r="R10034" s="21">
        <f t="shared" si="736"/>
        <v>0</v>
      </c>
      <c r="S10034" s="5">
        <f t="shared" si="739"/>
        <v>70007.077158325032</v>
      </c>
      <c r="T10034" cm="1">
        <f t="array" ref="T10034">IF(OR(B10034="MAL ALIMI", B10034="ÜRETİM GİRİŞ"), MIN(I10034, MAX(0, I10034 + SUM(SUMIFS($I$1:I10033, $C$1:C10033, C10034, $B$1:B10033, {"MAL ALIMI","ÜRETİM GİRİŞ"})) - VLOOKUP(C10034, 'STOK RAPORU'!$C$2:$I$1000, 4, 0))), 0)</f>
        <v>0</v>
      </c>
      <c r="U10034" s="22">
        <f t="shared" si="740"/>
        <v>0</v>
      </c>
      <c r="V10034">
        <f t="shared" si="741"/>
        <v>0</v>
      </c>
      <c r="W10034" s="22">
        <f t="shared" si="742"/>
        <v>0</v>
      </c>
    </row>
    <row r="10035" spans="1:23" hidden="1" x14ac:dyDescent="0.25">
      <c r="A10035" s="3"/>
      <c r="B10035" s="4"/>
      <c r="C10035" s="4"/>
      <c r="D10035" s="4"/>
      <c r="E10035" s="4"/>
      <c r="F10035" s="4"/>
      <c r="G10035" s="4"/>
      <c r="H10035" s="4"/>
      <c r="I10035" s="4"/>
      <c r="J10035" s="21">
        <f>IFERROR(VLOOKUP(C10035,'STOK KARTLARI'!$C$2:$K$2150,8,0),0)</f>
        <v>0</v>
      </c>
      <c r="K10035" s="21">
        <f t="shared" ref="K10035:K10098" si="743">IF(AND(B10035="MAL SATIŞI", H10035="POS"),I10035*J10035,0)</f>
        <v>0</v>
      </c>
      <c r="L10035" s="5">
        <f t="shared" si="737"/>
        <v>0</v>
      </c>
      <c r="M10035" s="4"/>
      <c r="N10035" s="4"/>
      <c r="O10035" s="5"/>
      <c r="P10035" s="5"/>
      <c r="Q10035" s="21">
        <f t="shared" si="738"/>
        <v>0</v>
      </c>
      <c r="R10035" s="21">
        <f t="shared" ref="R10035:R10098" si="744">IF(AND(E10035="", B10035&lt;&gt;"MAL SATIŞI"),I10035*J10035,0)</f>
        <v>0</v>
      </c>
      <c r="S10035" s="5">
        <f t="shared" si="739"/>
        <v>70007.077158325032</v>
      </c>
      <c r="T10035" cm="1">
        <f t="array" ref="T10035">IF(OR(B10035="MAL ALIMI", B10035="ÜRETİM GİRİŞ"), MIN(I10035, MAX(0, I10035 + SUM(SUMIFS($I$1:I10034, $C$1:C10034, C10035, $B$1:B10034, {"MAL ALIMI","ÜRETİM GİRİŞ"})) - VLOOKUP(C10035, 'STOK RAPORU'!$C$2:$I$1000, 4, 0))), 0)</f>
        <v>0</v>
      </c>
      <c r="U10035" s="22">
        <f t="shared" si="740"/>
        <v>0</v>
      </c>
      <c r="V10035">
        <f t="shared" si="741"/>
        <v>0</v>
      </c>
      <c r="W10035" s="22">
        <f t="shared" si="742"/>
        <v>0</v>
      </c>
    </row>
    <row r="10036" spans="1:23" hidden="1" x14ac:dyDescent="0.25">
      <c r="A10036" s="4"/>
      <c r="B10036" s="4"/>
      <c r="C10036" s="4"/>
      <c r="D10036" s="4"/>
      <c r="E10036" s="4"/>
      <c r="F10036" s="4"/>
      <c r="G10036" s="4"/>
      <c r="H10036" s="4"/>
      <c r="I10036" s="4"/>
      <c r="J10036" s="21">
        <f>IFERROR(VLOOKUP(C10036,'STOK KARTLARI'!$C$2:$K$2150,8,0),0)</f>
        <v>0</v>
      </c>
      <c r="K10036" s="21">
        <f t="shared" si="743"/>
        <v>0</v>
      </c>
      <c r="L10036" s="5">
        <f t="shared" ref="L10036:L10099" si="745">IF(OR(E10036="", H10036="POS"),0,I10036*J10036)</f>
        <v>0</v>
      </c>
      <c r="M10036" s="4"/>
      <c r="N10036" s="4"/>
      <c r="O10036" s="5"/>
      <c r="P10036" s="5"/>
      <c r="Q10036" s="21">
        <f t="shared" ref="Q10036:Q10099" si="746">IF(AND(E10036="", B10036="MAL SATIŞI", H10036="NAKİT"),I10036*J10036,0)</f>
        <v>0</v>
      </c>
      <c r="R10036" s="21">
        <f t="shared" si="744"/>
        <v>0</v>
      </c>
      <c r="S10036" s="5">
        <f t="shared" si="739"/>
        <v>70007.077158325032</v>
      </c>
      <c r="T10036" cm="1">
        <f t="array" ref="T10036">IF(OR(B10036="MAL ALIMI", B10036="ÜRETİM GİRİŞ"), MIN(I10036, MAX(0, I10036 + SUM(SUMIFS($I$1:I10035, $C$1:C10035, C10036, $B$1:B10035, {"MAL ALIMI","ÜRETİM GİRİŞ"})) - VLOOKUP(C10036, 'STOK RAPORU'!$C$2:$I$1000, 4, 0))), 0)</f>
        <v>0</v>
      </c>
      <c r="U10036" s="22">
        <f t="shared" si="740"/>
        <v>0</v>
      </c>
      <c r="V10036">
        <f t="shared" si="741"/>
        <v>0</v>
      </c>
      <c r="W10036" s="22">
        <f t="shared" si="742"/>
        <v>0</v>
      </c>
    </row>
    <row r="10037" spans="1:23" hidden="1" x14ac:dyDescent="0.25">
      <c r="A10037" s="4"/>
      <c r="B10037" s="4"/>
      <c r="C10037" s="4"/>
      <c r="D10037" s="4"/>
      <c r="E10037" s="4"/>
      <c r="F10037" s="4"/>
      <c r="G10037" s="4"/>
      <c r="H10037" s="4"/>
      <c r="I10037" s="4"/>
      <c r="J10037" s="21">
        <f>IFERROR(VLOOKUP(C10037,'STOK KARTLARI'!$C$2:$K$2150,8,0),0)</f>
        <v>0</v>
      </c>
      <c r="K10037" s="21">
        <f t="shared" si="743"/>
        <v>0</v>
      </c>
      <c r="L10037" s="5">
        <f t="shared" si="745"/>
        <v>0</v>
      </c>
      <c r="M10037" s="4"/>
      <c r="N10037" s="4"/>
      <c r="O10037" s="5"/>
      <c r="P10037" s="5"/>
      <c r="Q10037" s="21">
        <f t="shared" si="746"/>
        <v>0</v>
      </c>
      <c r="R10037" s="21">
        <f t="shared" si="744"/>
        <v>0</v>
      </c>
      <c r="S10037" s="5">
        <f t="shared" si="739"/>
        <v>70007.077158325032</v>
      </c>
      <c r="T10037" cm="1">
        <f t="array" ref="T10037">IF(OR(B10037="MAL ALIMI", B10037="ÜRETİM GİRİŞ"), MIN(I10037, MAX(0, I10037 + SUM(SUMIFS($I$1:I10036, $C$1:C10036, C10037, $B$1:B10036, {"MAL ALIMI","ÜRETİM GİRİŞ"})) - VLOOKUP(C10037, 'STOK RAPORU'!$C$2:$I$1000, 4, 0))), 0)</f>
        <v>0</v>
      </c>
      <c r="U10037" s="22">
        <f t="shared" si="740"/>
        <v>0</v>
      </c>
      <c r="V10037">
        <f t="shared" si="741"/>
        <v>0</v>
      </c>
      <c r="W10037" s="22">
        <f t="shared" si="742"/>
        <v>0</v>
      </c>
    </row>
    <row r="10038" spans="1:23" hidden="1" x14ac:dyDescent="0.25">
      <c r="A10038" s="4"/>
      <c r="B10038" s="4"/>
      <c r="C10038" s="4"/>
      <c r="D10038" s="4"/>
      <c r="E10038" s="4"/>
      <c r="F10038" s="4"/>
      <c r="G10038" s="4"/>
      <c r="H10038" s="4"/>
      <c r="I10038" s="4"/>
      <c r="J10038" s="21">
        <f>IFERROR(VLOOKUP(C10038,'STOK KARTLARI'!$C$2:$K$2150,8,0),0)</f>
        <v>0</v>
      </c>
      <c r="K10038" s="21">
        <f t="shared" si="743"/>
        <v>0</v>
      </c>
      <c r="L10038" s="5">
        <f t="shared" si="745"/>
        <v>0</v>
      </c>
      <c r="M10038" s="4"/>
      <c r="N10038" s="4"/>
      <c r="O10038" s="5"/>
      <c r="P10038" s="5"/>
      <c r="Q10038" s="21">
        <f t="shared" si="746"/>
        <v>0</v>
      </c>
      <c r="R10038" s="21">
        <f t="shared" si="744"/>
        <v>0</v>
      </c>
      <c r="S10038" s="5">
        <f t="shared" si="739"/>
        <v>70007.077158325032</v>
      </c>
      <c r="T10038" cm="1">
        <f t="array" ref="T10038">IF(OR(B10038="MAL ALIMI", B10038="ÜRETİM GİRİŞ"), MIN(I10038, MAX(0, I10038 + SUM(SUMIFS($I$1:I10037, $C$1:C10037, C10038, $B$1:B10037, {"MAL ALIMI","ÜRETİM GİRİŞ"})) - VLOOKUP(C10038, 'STOK RAPORU'!$C$2:$I$1000, 4, 0))), 0)</f>
        <v>0</v>
      </c>
      <c r="U10038" s="22">
        <f t="shared" si="740"/>
        <v>0</v>
      </c>
      <c r="V10038">
        <f t="shared" si="741"/>
        <v>0</v>
      </c>
      <c r="W10038" s="22">
        <f t="shared" si="742"/>
        <v>0</v>
      </c>
    </row>
    <row r="10039" spans="1:23" hidden="1" x14ac:dyDescent="0.25">
      <c r="A10039" s="4"/>
      <c r="B10039" s="4"/>
      <c r="C10039" s="4"/>
      <c r="D10039" s="4"/>
      <c r="E10039" s="4"/>
      <c r="F10039" s="4"/>
      <c r="G10039" s="4"/>
      <c r="H10039" s="4"/>
      <c r="I10039" s="4"/>
      <c r="J10039" s="21">
        <f>IFERROR(VLOOKUP(C10039,'STOK KARTLARI'!$C$2:$K$2150,8,0),0)</f>
        <v>0</v>
      </c>
      <c r="K10039" s="21">
        <f t="shared" si="743"/>
        <v>0</v>
      </c>
      <c r="L10039" s="5">
        <f t="shared" si="745"/>
        <v>0</v>
      </c>
      <c r="M10039" s="4"/>
      <c r="N10039" s="4"/>
      <c r="O10039" s="5"/>
      <c r="P10039" s="5"/>
      <c r="Q10039" s="21">
        <f t="shared" si="746"/>
        <v>0</v>
      </c>
      <c r="R10039" s="21">
        <f t="shared" si="744"/>
        <v>0</v>
      </c>
      <c r="S10039" s="5">
        <f t="shared" si="739"/>
        <v>70007.077158325032</v>
      </c>
      <c r="T10039" cm="1">
        <f t="array" ref="T10039">IF(OR(B10039="MAL ALIMI", B10039="ÜRETİM GİRİŞ"), MIN(I10039, MAX(0, I10039 + SUM(SUMIFS($I$1:I10038, $C$1:C10038, C10039, $B$1:B10038, {"MAL ALIMI","ÜRETİM GİRİŞ"})) - VLOOKUP(C10039, 'STOK RAPORU'!$C$2:$I$1000, 4, 0))), 0)</f>
        <v>0</v>
      </c>
      <c r="U10039" s="22">
        <f t="shared" si="740"/>
        <v>0</v>
      </c>
      <c r="V10039">
        <f t="shared" si="741"/>
        <v>0</v>
      </c>
      <c r="W10039" s="22">
        <f t="shared" si="742"/>
        <v>0</v>
      </c>
    </row>
    <row r="10040" spans="1:23" hidden="1" x14ac:dyDescent="0.25">
      <c r="A10040" s="4"/>
      <c r="B10040" s="4"/>
      <c r="C10040" s="4"/>
      <c r="D10040" s="4"/>
      <c r="E10040" s="4"/>
      <c r="F10040" s="4"/>
      <c r="G10040" s="4"/>
      <c r="H10040" s="4"/>
      <c r="I10040" s="4"/>
      <c r="J10040" s="21">
        <f>IFERROR(VLOOKUP(C10040,'STOK KARTLARI'!$C$2:$K$2150,8,0),0)</f>
        <v>0</v>
      </c>
      <c r="K10040" s="21">
        <f t="shared" si="743"/>
        <v>0</v>
      </c>
      <c r="L10040" s="5">
        <f t="shared" si="745"/>
        <v>0</v>
      </c>
      <c r="M10040" s="4"/>
      <c r="N10040" s="4"/>
      <c r="O10040" s="5"/>
      <c r="P10040" s="5"/>
      <c r="Q10040" s="21">
        <f t="shared" si="746"/>
        <v>0</v>
      </c>
      <c r="R10040" s="21">
        <f t="shared" si="744"/>
        <v>0</v>
      </c>
      <c r="S10040" s="5">
        <f t="shared" si="739"/>
        <v>70007.077158325032</v>
      </c>
      <c r="T10040" cm="1">
        <f t="array" ref="T10040">IF(OR(B10040="MAL ALIMI", B10040="ÜRETİM GİRİŞ"), MIN(I10040, MAX(0, I10040 + SUM(SUMIFS($I$1:I10039, $C$1:C10039, C10040, $B$1:B10039, {"MAL ALIMI","ÜRETİM GİRİŞ"})) - VLOOKUP(C10040, 'STOK RAPORU'!$C$2:$I$1000, 4, 0))), 0)</f>
        <v>0</v>
      </c>
      <c r="U10040" s="22">
        <f t="shared" si="740"/>
        <v>0</v>
      </c>
      <c r="V10040">
        <f t="shared" si="741"/>
        <v>0</v>
      </c>
      <c r="W10040" s="22">
        <f t="shared" si="742"/>
        <v>0</v>
      </c>
    </row>
    <row r="10041" spans="1:23" hidden="1" x14ac:dyDescent="0.25">
      <c r="A10041" s="4"/>
      <c r="B10041" s="4"/>
      <c r="C10041" s="4"/>
      <c r="D10041" s="4"/>
      <c r="E10041" s="4"/>
      <c r="F10041" s="4"/>
      <c r="G10041" s="4"/>
      <c r="H10041" s="4"/>
      <c r="I10041" s="4"/>
      <c r="J10041" s="21">
        <f>IFERROR(VLOOKUP(C10041,'STOK KARTLARI'!$C$2:$K$2150,8,0),0)</f>
        <v>0</v>
      </c>
      <c r="K10041" s="21">
        <f t="shared" si="743"/>
        <v>0</v>
      </c>
      <c r="L10041" s="5">
        <f t="shared" si="745"/>
        <v>0</v>
      </c>
      <c r="M10041" s="4"/>
      <c r="N10041" s="4"/>
      <c r="O10041" s="5"/>
      <c r="P10041" s="5"/>
      <c r="Q10041" s="21">
        <f t="shared" si="746"/>
        <v>0</v>
      </c>
      <c r="R10041" s="21">
        <f t="shared" si="744"/>
        <v>0</v>
      </c>
      <c r="S10041" s="5">
        <f t="shared" si="739"/>
        <v>70007.077158325032</v>
      </c>
      <c r="T10041" cm="1">
        <f t="array" ref="T10041">IF(OR(B10041="MAL ALIMI", B10041="ÜRETİM GİRİŞ"), MIN(I10041, MAX(0, I10041 + SUM(SUMIFS($I$1:I10040, $C$1:C10040, C10041, $B$1:B10040, {"MAL ALIMI","ÜRETİM GİRİŞ"})) - VLOOKUP(C10041, 'STOK RAPORU'!$C$2:$I$1000, 4, 0))), 0)</f>
        <v>0</v>
      </c>
      <c r="U10041" s="22">
        <f t="shared" si="740"/>
        <v>0</v>
      </c>
      <c r="V10041">
        <f t="shared" si="741"/>
        <v>0</v>
      </c>
      <c r="W10041" s="22">
        <f t="shared" si="742"/>
        <v>0</v>
      </c>
    </row>
    <row r="10042" spans="1:23" hidden="1" x14ac:dyDescent="0.25">
      <c r="A10042" s="3"/>
      <c r="B10042" s="4"/>
      <c r="C10042" s="4"/>
      <c r="D10042" s="4"/>
      <c r="E10042" s="4"/>
      <c r="F10042" s="4"/>
      <c r="G10042" s="4"/>
      <c r="H10042" s="4"/>
      <c r="I10042" s="4"/>
      <c r="J10042" s="21">
        <f>IFERROR(VLOOKUP(C10042,'STOK KARTLARI'!$C$2:$K$2150,8,0),0)</f>
        <v>0</v>
      </c>
      <c r="K10042" s="21">
        <f t="shared" si="743"/>
        <v>0</v>
      </c>
      <c r="L10042" s="5">
        <f t="shared" si="745"/>
        <v>0</v>
      </c>
      <c r="M10042" s="4"/>
      <c r="N10042" s="4"/>
      <c r="O10042" s="5"/>
      <c r="P10042" s="5"/>
      <c r="Q10042" s="21">
        <f t="shared" si="746"/>
        <v>0</v>
      </c>
      <c r="R10042" s="21">
        <f t="shared" si="744"/>
        <v>0</v>
      </c>
      <c r="S10042" s="5">
        <f t="shared" si="739"/>
        <v>70007.077158325032</v>
      </c>
      <c r="T10042" cm="1">
        <f t="array" ref="T10042">IF(OR(B10042="MAL ALIMI", B10042="ÜRETİM GİRİŞ"), MIN(I10042, MAX(0, I10042 + SUM(SUMIFS($I$1:I10041, $C$1:C10041, C10042, $B$1:B10041, {"MAL ALIMI","ÜRETİM GİRİŞ"})) - VLOOKUP(C10042, 'STOK RAPORU'!$C$2:$I$1000, 4, 0))), 0)</f>
        <v>0</v>
      </c>
      <c r="U10042" s="22">
        <f t="shared" si="740"/>
        <v>0</v>
      </c>
      <c r="V10042">
        <f t="shared" si="741"/>
        <v>0</v>
      </c>
      <c r="W10042" s="22">
        <f t="shared" si="742"/>
        <v>0</v>
      </c>
    </row>
    <row r="10043" spans="1:23" hidden="1" x14ac:dyDescent="0.25">
      <c r="A10043" s="4"/>
      <c r="B10043" s="4"/>
      <c r="C10043" s="4"/>
      <c r="D10043" s="4"/>
      <c r="E10043" s="4"/>
      <c r="F10043" s="4"/>
      <c r="G10043" s="4"/>
      <c r="H10043" s="4"/>
      <c r="I10043" s="4"/>
      <c r="J10043" s="21">
        <f>IFERROR(VLOOKUP(C10043,'STOK KARTLARI'!$C$2:$K$2150,8,0),0)</f>
        <v>0</v>
      </c>
      <c r="K10043" s="21">
        <f t="shared" si="743"/>
        <v>0</v>
      </c>
      <c r="L10043" s="5">
        <f t="shared" si="745"/>
        <v>0</v>
      </c>
      <c r="M10043" s="4"/>
      <c r="N10043" s="4"/>
      <c r="O10043" s="5"/>
      <c r="P10043" s="5"/>
      <c r="Q10043" s="21">
        <f t="shared" si="746"/>
        <v>0</v>
      </c>
      <c r="R10043" s="21">
        <f t="shared" si="744"/>
        <v>0</v>
      </c>
      <c r="S10043" s="5">
        <f t="shared" si="739"/>
        <v>70007.077158325032</v>
      </c>
      <c r="T10043" cm="1">
        <f t="array" ref="T10043">IF(OR(B10043="MAL ALIMI", B10043="ÜRETİM GİRİŞ"), MIN(I10043, MAX(0, I10043 + SUM(SUMIFS($I$1:I10042, $C$1:C10042, C10043, $B$1:B10042, {"MAL ALIMI","ÜRETİM GİRİŞ"})) - VLOOKUP(C10043, 'STOK RAPORU'!$C$2:$I$1000, 4, 0))), 0)</f>
        <v>0</v>
      </c>
      <c r="U10043" s="22">
        <f t="shared" si="740"/>
        <v>0</v>
      </c>
      <c r="V10043">
        <f t="shared" si="741"/>
        <v>0</v>
      </c>
      <c r="W10043" s="22">
        <f t="shared" si="742"/>
        <v>0</v>
      </c>
    </row>
    <row r="10044" spans="1:23" hidden="1" x14ac:dyDescent="0.25">
      <c r="A10044" s="4"/>
      <c r="B10044" s="4"/>
      <c r="C10044" s="4"/>
      <c r="D10044" s="4"/>
      <c r="E10044" s="4"/>
      <c r="F10044" s="4"/>
      <c r="G10044" s="4"/>
      <c r="H10044" s="4"/>
      <c r="I10044" s="4"/>
      <c r="J10044" s="21">
        <f>IFERROR(VLOOKUP(C10044,'STOK KARTLARI'!$C$2:$K$2150,8,0),0)</f>
        <v>0</v>
      </c>
      <c r="K10044" s="21">
        <f t="shared" si="743"/>
        <v>0</v>
      </c>
      <c r="L10044" s="5">
        <f t="shared" si="745"/>
        <v>0</v>
      </c>
      <c r="M10044" s="4"/>
      <c r="N10044" s="4"/>
      <c r="O10044" s="5"/>
      <c r="P10044" s="5"/>
      <c r="Q10044" s="21">
        <f t="shared" si="746"/>
        <v>0</v>
      </c>
      <c r="R10044" s="21">
        <f t="shared" si="744"/>
        <v>0</v>
      </c>
      <c r="S10044" s="5">
        <f t="shared" si="739"/>
        <v>70007.077158325032</v>
      </c>
      <c r="T10044" cm="1">
        <f t="array" ref="T10044">IF(OR(B10044="MAL ALIMI", B10044="ÜRETİM GİRİŞ"), MIN(I10044, MAX(0, I10044 + SUM(SUMIFS($I$1:I10043, $C$1:C10043, C10044, $B$1:B10043, {"MAL ALIMI","ÜRETİM GİRİŞ"})) - VLOOKUP(C10044, 'STOK RAPORU'!$C$2:$I$1000, 4, 0))), 0)</f>
        <v>0</v>
      </c>
      <c r="U10044" s="22">
        <f t="shared" si="740"/>
        <v>0</v>
      </c>
      <c r="V10044">
        <f t="shared" si="741"/>
        <v>0</v>
      </c>
      <c r="W10044" s="22">
        <f t="shared" si="742"/>
        <v>0</v>
      </c>
    </row>
    <row r="10045" spans="1:23" hidden="1" x14ac:dyDescent="0.25">
      <c r="A10045" s="4"/>
      <c r="B10045" s="4"/>
      <c r="C10045" s="4"/>
      <c r="D10045" s="4"/>
      <c r="E10045" s="4"/>
      <c r="F10045" s="4"/>
      <c r="G10045" s="4"/>
      <c r="H10045" s="4"/>
      <c r="I10045" s="4"/>
      <c r="J10045" s="21">
        <f>IFERROR(VLOOKUP(C10045,'STOK KARTLARI'!$C$2:$K$2150,8,0),0)</f>
        <v>0</v>
      </c>
      <c r="K10045" s="21">
        <f t="shared" si="743"/>
        <v>0</v>
      </c>
      <c r="L10045" s="5">
        <f t="shared" si="745"/>
        <v>0</v>
      </c>
      <c r="M10045" s="4"/>
      <c r="N10045" s="4"/>
      <c r="O10045" s="5"/>
      <c r="P10045" s="5"/>
      <c r="Q10045" s="21">
        <f t="shared" si="746"/>
        <v>0</v>
      </c>
      <c r="R10045" s="21">
        <f t="shared" si="744"/>
        <v>0</v>
      </c>
      <c r="S10045" s="5">
        <f t="shared" si="739"/>
        <v>70007.077158325032</v>
      </c>
      <c r="T10045" cm="1">
        <f t="array" ref="T10045">IF(OR(B10045="MAL ALIMI", B10045="ÜRETİM GİRİŞ"), MIN(I10045, MAX(0, I10045 + SUM(SUMIFS($I$1:I10044, $C$1:C10044, C10045, $B$1:B10044, {"MAL ALIMI","ÜRETİM GİRİŞ"})) - VLOOKUP(C10045, 'STOK RAPORU'!$C$2:$I$1000, 4, 0))), 0)</f>
        <v>0</v>
      </c>
      <c r="U10045" s="22">
        <f t="shared" si="740"/>
        <v>0</v>
      </c>
      <c r="V10045">
        <f t="shared" si="741"/>
        <v>0</v>
      </c>
      <c r="W10045" s="22">
        <f t="shared" si="742"/>
        <v>0</v>
      </c>
    </row>
    <row r="10046" spans="1:23" hidden="1" x14ac:dyDescent="0.25">
      <c r="A10046" s="4"/>
      <c r="B10046" s="4"/>
      <c r="C10046" s="4"/>
      <c r="D10046" s="4"/>
      <c r="E10046" s="4"/>
      <c r="F10046" s="4"/>
      <c r="G10046" s="4"/>
      <c r="H10046" s="4"/>
      <c r="I10046" s="4"/>
      <c r="J10046" s="21">
        <f>IFERROR(VLOOKUP(C10046,'STOK KARTLARI'!$C$2:$K$2150,8,0),0)</f>
        <v>0</v>
      </c>
      <c r="K10046" s="21">
        <f t="shared" si="743"/>
        <v>0</v>
      </c>
      <c r="L10046" s="5">
        <f t="shared" si="745"/>
        <v>0</v>
      </c>
      <c r="M10046" s="4"/>
      <c r="N10046" s="4"/>
      <c r="O10046" s="5"/>
      <c r="P10046" s="5"/>
      <c r="Q10046" s="21">
        <f t="shared" si="746"/>
        <v>0</v>
      </c>
      <c r="R10046" s="21">
        <f t="shared" si="744"/>
        <v>0</v>
      </c>
      <c r="S10046" s="5">
        <f t="shared" si="739"/>
        <v>70007.077158325032</v>
      </c>
      <c r="T10046" cm="1">
        <f t="array" ref="T10046">IF(OR(B10046="MAL ALIMI", B10046="ÜRETİM GİRİŞ"), MIN(I10046, MAX(0, I10046 + SUM(SUMIFS($I$1:I10045, $C$1:C10045, C10046, $B$1:B10045, {"MAL ALIMI","ÜRETİM GİRİŞ"})) - VLOOKUP(C10046, 'STOK RAPORU'!$C$2:$I$1000, 4, 0))), 0)</f>
        <v>0</v>
      </c>
      <c r="U10046" s="22">
        <f t="shared" si="740"/>
        <v>0</v>
      </c>
      <c r="V10046">
        <f t="shared" si="741"/>
        <v>0</v>
      </c>
      <c r="W10046" s="22">
        <f t="shared" si="742"/>
        <v>0</v>
      </c>
    </row>
    <row r="10047" spans="1:23" hidden="1" x14ac:dyDescent="0.25">
      <c r="A10047" s="4"/>
      <c r="B10047" s="4"/>
      <c r="C10047" s="4"/>
      <c r="D10047" s="4"/>
      <c r="E10047" s="4"/>
      <c r="F10047" s="4"/>
      <c r="G10047" s="4"/>
      <c r="H10047" s="4"/>
      <c r="I10047" s="4"/>
      <c r="J10047" s="21">
        <f>IFERROR(VLOOKUP(C10047,'STOK KARTLARI'!$C$2:$K$2150,8,0),0)</f>
        <v>0</v>
      </c>
      <c r="K10047" s="21">
        <f t="shared" si="743"/>
        <v>0</v>
      </c>
      <c r="L10047" s="5">
        <f t="shared" si="745"/>
        <v>0</v>
      </c>
      <c r="M10047" s="4"/>
      <c r="N10047" s="4"/>
      <c r="O10047" s="5"/>
      <c r="P10047" s="5"/>
      <c r="Q10047" s="21">
        <f t="shared" si="746"/>
        <v>0</v>
      </c>
      <c r="R10047" s="21">
        <f t="shared" si="744"/>
        <v>0</v>
      </c>
      <c r="S10047" s="5">
        <f t="shared" si="739"/>
        <v>70007.077158325032</v>
      </c>
      <c r="T10047" cm="1">
        <f t="array" ref="T10047">IF(OR(B10047="MAL ALIMI", B10047="ÜRETİM GİRİŞ"), MIN(I10047, MAX(0, I10047 + SUM(SUMIFS($I$1:I10046, $C$1:C10046, C10047, $B$1:B10046, {"MAL ALIMI","ÜRETİM GİRİŞ"})) - VLOOKUP(C10047, 'STOK RAPORU'!$C$2:$I$1000, 4, 0))), 0)</f>
        <v>0</v>
      </c>
      <c r="U10047" s="22">
        <f t="shared" si="740"/>
        <v>0</v>
      </c>
      <c r="V10047">
        <f t="shared" si="741"/>
        <v>0</v>
      </c>
      <c r="W10047" s="22">
        <f t="shared" si="742"/>
        <v>0</v>
      </c>
    </row>
    <row r="10048" spans="1:23" hidden="1" x14ac:dyDescent="0.25">
      <c r="A10048" s="4"/>
      <c r="B10048" s="4"/>
      <c r="C10048" s="4"/>
      <c r="D10048" s="4"/>
      <c r="E10048" s="4"/>
      <c r="F10048" s="4"/>
      <c r="G10048" s="4"/>
      <c r="H10048" s="4"/>
      <c r="I10048" s="4"/>
      <c r="J10048" s="21">
        <f>IFERROR(VLOOKUP(C10048,'STOK KARTLARI'!$C$2:$K$2150,8,0),0)</f>
        <v>0</v>
      </c>
      <c r="K10048" s="21">
        <f t="shared" si="743"/>
        <v>0</v>
      </c>
      <c r="L10048" s="5">
        <f t="shared" si="745"/>
        <v>0</v>
      </c>
      <c r="M10048" s="4"/>
      <c r="N10048" s="4"/>
      <c r="O10048" s="5"/>
      <c r="P10048" s="5"/>
      <c r="Q10048" s="21">
        <f t="shared" si="746"/>
        <v>0</v>
      </c>
      <c r="R10048" s="21">
        <f t="shared" si="744"/>
        <v>0</v>
      </c>
      <c r="S10048" s="5">
        <f t="shared" si="739"/>
        <v>70007.077158325032</v>
      </c>
      <c r="T10048" cm="1">
        <f t="array" ref="T10048">IF(OR(B10048="MAL ALIMI", B10048="ÜRETİM GİRİŞ"), MIN(I10048, MAX(0, I10048 + SUM(SUMIFS($I$1:I10047, $C$1:C10047, C10048, $B$1:B10047, {"MAL ALIMI","ÜRETİM GİRİŞ"})) - VLOOKUP(C10048, 'STOK RAPORU'!$C$2:$I$1000, 4, 0))), 0)</f>
        <v>0</v>
      </c>
      <c r="U10048" s="22">
        <f t="shared" si="740"/>
        <v>0</v>
      </c>
      <c r="V10048">
        <f t="shared" si="741"/>
        <v>0</v>
      </c>
      <c r="W10048" s="22">
        <f t="shared" si="742"/>
        <v>0</v>
      </c>
    </row>
    <row r="10049" spans="1:23" hidden="1" x14ac:dyDescent="0.25">
      <c r="A10049" s="3"/>
      <c r="B10049" s="4"/>
      <c r="C10049" s="4"/>
      <c r="D10049" s="4"/>
      <c r="E10049" s="4"/>
      <c r="F10049" s="4"/>
      <c r="G10049" s="4"/>
      <c r="H10049" s="4"/>
      <c r="I10049" s="4"/>
      <c r="J10049" s="21">
        <f>IFERROR(VLOOKUP(C10049,'STOK KARTLARI'!$C$2:$K$2150,8,0),0)</f>
        <v>0</v>
      </c>
      <c r="K10049" s="21">
        <f t="shared" si="743"/>
        <v>0</v>
      </c>
      <c r="L10049" s="5">
        <f t="shared" si="745"/>
        <v>0</v>
      </c>
      <c r="M10049" s="4"/>
      <c r="N10049" s="4"/>
      <c r="O10049" s="5"/>
      <c r="P10049" s="5"/>
      <c r="Q10049" s="21">
        <f t="shared" si="746"/>
        <v>0</v>
      </c>
      <c r="R10049" s="21">
        <f t="shared" si="744"/>
        <v>0</v>
      </c>
      <c r="S10049" s="5">
        <f t="shared" si="739"/>
        <v>70007.077158325032</v>
      </c>
      <c r="T10049" cm="1">
        <f t="array" ref="T10049">IF(OR(B10049="MAL ALIMI", B10049="ÜRETİM GİRİŞ"), MIN(I10049, MAX(0, I10049 + SUM(SUMIFS($I$1:I10048, $C$1:C10048, C10049, $B$1:B10048, {"MAL ALIMI","ÜRETİM GİRİŞ"})) - VLOOKUP(C10049, 'STOK RAPORU'!$C$2:$I$1000, 4, 0))), 0)</f>
        <v>0</v>
      </c>
      <c r="U10049" s="22">
        <f t="shared" si="740"/>
        <v>0</v>
      </c>
      <c r="V10049">
        <f t="shared" si="741"/>
        <v>0</v>
      </c>
      <c r="W10049" s="22">
        <f t="shared" si="742"/>
        <v>0</v>
      </c>
    </row>
    <row r="10050" spans="1:23" hidden="1" x14ac:dyDescent="0.25">
      <c r="A10050" s="3"/>
      <c r="B10050" s="4"/>
      <c r="C10050" s="4"/>
      <c r="D10050" s="4"/>
      <c r="E10050" s="4"/>
      <c r="F10050" s="4"/>
      <c r="G10050" s="4"/>
      <c r="H10050" s="4"/>
      <c r="I10050" s="4"/>
      <c r="J10050" s="21">
        <f>IFERROR(VLOOKUP(C10050,'STOK KARTLARI'!$C$2:$K$2150,8,0),0)</f>
        <v>0</v>
      </c>
      <c r="K10050" s="21">
        <f t="shared" si="743"/>
        <v>0</v>
      </c>
      <c r="L10050" s="5">
        <f t="shared" si="745"/>
        <v>0</v>
      </c>
      <c r="M10050" s="4"/>
      <c r="N10050" s="4"/>
      <c r="O10050" s="5"/>
      <c r="P10050" s="5"/>
      <c r="Q10050" s="21">
        <f t="shared" si="746"/>
        <v>0</v>
      </c>
      <c r="R10050" s="21">
        <f t="shared" si="744"/>
        <v>0</v>
      </c>
      <c r="S10050" s="5">
        <f t="shared" si="739"/>
        <v>70007.077158325032</v>
      </c>
      <c r="T10050" cm="1">
        <f t="array" ref="T10050">IF(OR(B10050="MAL ALIMI", B10050="ÜRETİM GİRİŞ"), MIN(I10050, MAX(0, I10050 + SUM(SUMIFS($I$1:I10049, $C$1:C10049, C10050, $B$1:B10049, {"MAL ALIMI","ÜRETİM GİRİŞ"})) - VLOOKUP(C10050, 'STOK RAPORU'!$C$2:$I$1000, 4, 0))), 0)</f>
        <v>0</v>
      </c>
      <c r="U10050" s="22">
        <f t="shared" si="740"/>
        <v>0</v>
      </c>
      <c r="V10050">
        <f t="shared" si="741"/>
        <v>0</v>
      </c>
      <c r="W10050" s="22">
        <f t="shared" si="742"/>
        <v>0</v>
      </c>
    </row>
    <row r="10051" spans="1:23" hidden="1" x14ac:dyDescent="0.25">
      <c r="A10051" s="4"/>
      <c r="B10051" s="4"/>
      <c r="C10051" s="4"/>
      <c r="D10051" s="4"/>
      <c r="E10051" s="4"/>
      <c r="F10051" s="4"/>
      <c r="G10051" s="4"/>
      <c r="H10051" s="4"/>
      <c r="I10051" s="4"/>
      <c r="J10051" s="21">
        <f>IFERROR(VLOOKUP(C10051,'STOK KARTLARI'!$C$2:$K$2150,8,0),0)</f>
        <v>0</v>
      </c>
      <c r="K10051" s="21">
        <f t="shared" si="743"/>
        <v>0</v>
      </c>
      <c r="L10051" s="5">
        <f t="shared" si="745"/>
        <v>0</v>
      </c>
      <c r="M10051" s="4"/>
      <c r="N10051" s="4"/>
      <c r="O10051" s="5"/>
      <c r="P10051" s="5"/>
      <c r="Q10051" s="21">
        <f t="shared" si="746"/>
        <v>0</v>
      </c>
      <c r="R10051" s="21">
        <f t="shared" si="744"/>
        <v>0</v>
      </c>
      <c r="S10051" s="5">
        <f t="shared" si="739"/>
        <v>70007.077158325032</v>
      </c>
      <c r="T10051" cm="1">
        <f t="array" ref="T10051">IF(OR(B10051="MAL ALIMI", B10051="ÜRETİM GİRİŞ"), MIN(I10051, MAX(0, I10051 + SUM(SUMIFS($I$1:I10050, $C$1:C10050, C10051, $B$1:B10050, {"MAL ALIMI","ÜRETİM GİRİŞ"})) - VLOOKUP(C10051, 'STOK RAPORU'!$C$2:$I$1000, 4, 0))), 0)</f>
        <v>0</v>
      </c>
      <c r="U10051" s="22">
        <f t="shared" si="740"/>
        <v>0</v>
      </c>
      <c r="V10051">
        <f t="shared" si="741"/>
        <v>0</v>
      </c>
      <c r="W10051" s="22">
        <f t="shared" si="742"/>
        <v>0</v>
      </c>
    </row>
    <row r="10052" spans="1:23" hidden="1" x14ac:dyDescent="0.25">
      <c r="A10052" s="4"/>
      <c r="B10052" s="4"/>
      <c r="C10052" s="4"/>
      <c r="D10052" s="4"/>
      <c r="E10052" s="4"/>
      <c r="F10052" s="4"/>
      <c r="G10052" s="4"/>
      <c r="H10052" s="4"/>
      <c r="I10052" s="4"/>
      <c r="J10052" s="21">
        <f>IFERROR(VLOOKUP(C10052,'STOK KARTLARI'!$C$2:$K$2150,8,0),0)</f>
        <v>0</v>
      </c>
      <c r="K10052" s="21">
        <f t="shared" si="743"/>
        <v>0</v>
      </c>
      <c r="L10052" s="5">
        <f t="shared" si="745"/>
        <v>0</v>
      </c>
      <c r="M10052" s="4"/>
      <c r="N10052" s="4"/>
      <c r="O10052" s="5"/>
      <c r="P10052" s="5"/>
      <c r="Q10052" s="21">
        <f t="shared" si="746"/>
        <v>0</v>
      </c>
      <c r="R10052" s="21">
        <f t="shared" si="744"/>
        <v>0</v>
      </c>
      <c r="S10052" s="5">
        <f t="shared" si="739"/>
        <v>70007.077158325032</v>
      </c>
      <c r="T10052" cm="1">
        <f t="array" ref="T10052">IF(OR(B10052="MAL ALIMI", B10052="ÜRETİM GİRİŞ"), MIN(I10052, MAX(0, I10052 + SUM(SUMIFS($I$1:I10051, $C$1:C10051, C10052, $B$1:B10051, {"MAL ALIMI","ÜRETİM GİRİŞ"})) - VLOOKUP(C10052, 'STOK RAPORU'!$C$2:$I$1000, 4, 0))), 0)</f>
        <v>0</v>
      </c>
      <c r="U10052" s="22">
        <f t="shared" si="740"/>
        <v>0</v>
      </c>
      <c r="V10052">
        <f t="shared" si="741"/>
        <v>0</v>
      </c>
      <c r="W10052" s="22">
        <f t="shared" si="742"/>
        <v>0</v>
      </c>
    </row>
    <row r="10053" spans="1:23" hidden="1" x14ac:dyDescent="0.25">
      <c r="A10053" s="4"/>
      <c r="B10053" s="4"/>
      <c r="C10053" s="4"/>
      <c r="D10053" s="4"/>
      <c r="E10053" s="4"/>
      <c r="F10053" s="4"/>
      <c r="G10053" s="4"/>
      <c r="H10053" s="4"/>
      <c r="I10053" s="4"/>
      <c r="J10053" s="21">
        <f>IFERROR(VLOOKUP(C10053,'STOK KARTLARI'!$C$2:$K$2150,8,0),0)</f>
        <v>0</v>
      </c>
      <c r="K10053" s="21">
        <f t="shared" si="743"/>
        <v>0</v>
      </c>
      <c r="L10053" s="5">
        <f t="shared" si="745"/>
        <v>0</v>
      </c>
      <c r="M10053" s="4"/>
      <c r="N10053" s="4"/>
      <c r="O10053" s="5"/>
      <c r="P10053" s="5"/>
      <c r="Q10053" s="21">
        <f t="shared" si="746"/>
        <v>0</v>
      </c>
      <c r="R10053" s="21">
        <f t="shared" si="744"/>
        <v>0</v>
      </c>
      <c r="S10053" s="5">
        <f t="shared" ref="S10053:S10116" si="747">S10052+Q10053-R10053</f>
        <v>70007.077158325032</v>
      </c>
      <c r="T10053" cm="1">
        <f t="array" ref="T10053">IF(OR(B10053="MAL ALIMI", B10053="ÜRETİM GİRİŞ"), MIN(I10053, MAX(0, I10053 + SUM(SUMIFS($I$1:I10052, $C$1:C10052, C10053, $B$1:B10052, {"MAL ALIMI","ÜRETİM GİRİŞ"})) - VLOOKUP(C10053, 'STOK RAPORU'!$C$2:$I$1000, 4, 0))), 0)</f>
        <v>0</v>
      </c>
      <c r="U10053" s="22">
        <f t="shared" si="740"/>
        <v>0</v>
      </c>
      <c r="V10053">
        <f t="shared" si="741"/>
        <v>0</v>
      </c>
      <c r="W10053" s="22">
        <f t="shared" si="742"/>
        <v>0</v>
      </c>
    </row>
    <row r="10054" spans="1:23" hidden="1" x14ac:dyDescent="0.25">
      <c r="A10054" s="4"/>
      <c r="B10054" s="4"/>
      <c r="C10054" s="4"/>
      <c r="D10054" s="4"/>
      <c r="E10054" s="4"/>
      <c r="F10054" s="4"/>
      <c r="G10054" s="4"/>
      <c r="H10054" s="4"/>
      <c r="I10054" s="4"/>
      <c r="J10054" s="21">
        <f>IFERROR(VLOOKUP(C10054,'STOK KARTLARI'!$C$2:$K$2150,8,0),0)</f>
        <v>0</v>
      </c>
      <c r="K10054" s="21">
        <f t="shared" si="743"/>
        <v>0</v>
      </c>
      <c r="L10054" s="5">
        <f t="shared" si="745"/>
        <v>0</v>
      </c>
      <c r="M10054" s="4"/>
      <c r="N10054" s="4"/>
      <c r="O10054" s="5"/>
      <c r="P10054" s="5"/>
      <c r="Q10054" s="21">
        <f t="shared" si="746"/>
        <v>0</v>
      </c>
      <c r="R10054" s="21">
        <f t="shared" si="744"/>
        <v>0</v>
      </c>
      <c r="S10054" s="5">
        <f t="shared" si="747"/>
        <v>70007.077158325032</v>
      </c>
      <c r="T10054" cm="1">
        <f t="array" ref="T10054">IF(OR(B10054="MAL ALIMI", B10054="ÜRETİM GİRİŞ"), MIN(I10054, MAX(0, I10054 + SUM(SUMIFS($I$1:I10053, $C$1:C10053, C10054, $B$1:B10053, {"MAL ALIMI","ÜRETİM GİRİŞ"})) - VLOOKUP(C10054, 'STOK RAPORU'!$C$2:$I$1000, 4, 0))), 0)</f>
        <v>0</v>
      </c>
      <c r="U10054" s="22">
        <f t="shared" si="740"/>
        <v>0</v>
      </c>
      <c r="V10054">
        <f t="shared" si="741"/>
        <v>0</v>
      </c>
      <c r="W10054" s="22">
        <f t="shared" si="742"/>
        <v>0</v>
      </c>
    </row>
    <row r="10055" spans="1:23" hidden="1" x14ac:dyDescent="0.25">
      <c r="A10055" s="4"/>
      <c r="B10055" s="4"/>
      <c r="C10055" s="4"/>
      <c r="D10055" s="4"/>
      <c r="E10055" s="4"/>
      <c r="F10055" s="4"/>
      <c r="G10055" s="4"/>
      <c r="H10055" s="4"/>
      <c r="I10055" s="4"/>
      <c r="J10055" s="21">
        <f>IFERROR(VLOOKUP(C10055,'STOK KARTLARI'!$C$2:$K$2150,8,0),0)</f>
        <v>0</v>
      </c>
      <c r="K10055" s="21">
        <f t="shared" si="743"/>
        <v>0</v>
      </c>
      <c r="L10055" s="5">
        <f t="shared" si="745"/>
        <v>0</v>
      </c>
      <c r="M10055" s="4"/>
      <c r="N10055" s="4"/>
      <c r="O10055" s="5"/>
      <c r="P10055" s="5"/>
      <c r="Q10055" s="21">
        <f t="shared" si="746"/>
        <v>0</v>
      </c>
      <c r="R10055" s="21">
        <f t="shared" si="744"/>
        <v>0</v>
      </c>
      <c r="S10055" s="5">
        <f t="shared" si="747"/>
        <v>70007.077158325032</v>
      </c>
      <c r="T10055" cm="1">
        <f t="array" ref="T10055">IF(OR(B10055="MAL ALIMI", B10055="ÜRETİM GİRİŞ"), MIN(I10055, MAX(0, I10055 + SUM(SUMIFS($I$1:I10054, $C$1:C10054, C10055, $B$1:B10054, {"MAL ALIMI","ÜRETİM GİRİŞ"})) - VLOOKUP(C10055, 'STOK RAPORU'!$C$2:$I$1000, 4, 0))), 0)</f>
        <v>0</v>
      </c>
      <c r="U10055" s="22">
        <f t="shared" si="740"/>
        <v>0</v>
      </c>
      <c r="V10055">
        <f t="shared" si="741"/>
        <v>0</v>
      </c>
      <c r="W10055" s="22">
        <f t="shared" si="742"/>
        <v>0</v>
      </c>
    </row>
    <row r="10056" spans="1:23" hidden="1" x14ac:dyDescent="0.25">
      <c r="A10056" s="4"/>
      <c r="B10056" s="4"/>
      <c r="C10056" s="4"/>
      <c r="D10056" s="4"/>
      <c r="E10056" s="4"/>
      <c r="F10056" s="4"/>
      <c r="G10056" s="4"/>
      <c r="H10056" s="4"/>
      <c r="I10056" s="4"/>
      <c r="J10056" s="21">
        <f>IFERROR(VLOOKUP(C10056,'STOK KARTLARI'!$C$2:$K$2150,8,0),0)</f>
        <v>0</v>
      </c>
      <c r="K10056" s="21">
        <f t="shared" si="743"/>
        <v>0</v>
      </c>
      <c r="L10056" s="5">
        <f t="shared" si="745"/>
        <v>0</v>
      </c>
      <c r="M10056" s="4"/>
      <c r="N10056" s="4"/>
      <c r="O10056" s="5"/>
      <c r="P10056" s="5"/>
      <c r="Q10056" s="21">
        <f t="shared" si="746"/>
        <v>0</v>
      </c>
      <c r="R10056" s="21">
        <f t="shared" si="744"/>
        <v>0</v>
      </c>
      <c r="S10056" s="5">
        <f t="shared" si="747"/>
        <v>70007.077158325032</v>
      </c>
      <c r="T10056" cm="1">
        <f t="array" ref="T10056">IF(OR(B10056="MAL ALIMI", B10056="ÜRETİM GİRİŞ"), MIN(I10056, MAX(0, I10056 + SUM(SUMIFS($I$1:I10055, $C$1:C10055, C10056, $B$1:B10055, {"MAL ALIMI","ÜRETİM GİRİŞ"})) - VLOOKUP(C10056, 'STOK RAPORU'!$C$2:$I$1000, 4, 0))), 0)</f>
        <v>0</v>
      </c>
      <c r="U10056" s="22">
        <f t="shared" si="740"/>
        <v>0</v>
      </c>
      <c r="V10056">
        <f t="shared" si="741"/>
        <v>0</v>
      </c>
      <c r="W10056" s="22">
        <f t="shared" si="742"/>
        <v>0</v>
      </c>
    </row>
    <row r="10057" spans="1:23" hidden="1" x14ac:dyDescent="0.25">
      <c r="A10057" s="3"/>
      <c r="B10057" s="4"/>
      <c r="C10057" s="4"/>
      <c r="D10057" s="4"/>
      <c r="E10057" s="4"/>
      <c r="F10057" s="4"/>
      <c r="G10057" s="4"/>
      <c r="H10057" s="4"/>
      <c r="I10057" s="4"/>
      <c r="J10057" s="21">
        <f>IFERROR(VLOOKUP(C10057,'STOK KARTLARI'!$C$2:$K$2150,8,0),0)</f>
        <v>0</v>
      </c>
      <c r="K10057" s="21">
        <f t="shared" si="743"/>
        <v>0</v>
      </c>
      <c r="L10057" s="5">
        <f t="shared" si="745"/>
        <v>0</v>
      </c>
      <c r="M10057" s="4"/>
      <c r="N10057" s="4"/>
      <c r="O10057" s="5"/>
      <c r="P10057" s="5"/>
      <c r="Q10057" s="21">
        <f t="shared" si="746"/>
        <v>0</v>
      </c>
      <c r="R10057" s="21">
        <f t="shared" si="744"/>
        <v>0</v>
      </c>
      <c r="S10057" s="5">
        <f t="shared" si="747"/>
        <v>70007.077158325032</v>
      </c>
      <c r="T10057" cm="1">
        <f t="array" ref="T10057">IF(OR(B10057="MAL ALIMI", B10057="ÜRETİM GİRİŞ"), MIN(I10057, MAX(0, I10057 + SUM(SUMIFS($I$1:I10056, $C$1:C10056, C10057, $B$1:B10056, {"MAL ALIMI","ÜRETİM GİRİŞ"})) - VLOOKUP(C10057, 'STOK RAPORU'!$C$2:$I$1000, 4, 0))), 0)</f>
        <v>0</v>
      </c>
      <c r="U10057" s="22">
        <f t="shared" si="740"/>
        <v>0</v>
      </c>
      <c r="V10057">
        <f t="shared" si="741"/>
        <v>0</v>
      </c>
      <c r="W10057" s="22">
        <f t="shared" si="742"/>
        <v>0</v>
      </c>
    </row>
    <row r="10058" spans="1:23" hidden="1" x14ac:dyDescent="0.25">
      <c r="A10058" s="4"/>
      <c r="B10058" s="4"/>
      <c r="C10058" s="4"/>
      <c r="D10058" s="4"/>
      <c r="E10058" s="4"/>
      <c r="F10058" s="4"/>
      <c r="G10058" s="4"/>
      <c r="H10058" s="4"/>
      <c r="I10058" s="4"/>
      <c r="J10058" s="21">
        <f>IFERROR(VLOOKUP(C10058,'STOK KARTLARI'!$C$2:$K$2150,8,0),0)</f>
        <v>0</v>
      </c>
      <c r="K10058" s="21">
        <f t="shared" si="743"/>
        <v>0</v>
      </c>
      <c r="L10058" s="5">
        <f t="shared" si="745"/>
        <v>0</v>
      </c>
      <c r="M10058" s="4"/>
      <c r="N10058" s="4"/>
      <c r="O10058" s="5"/>
      <c r="P10058" s="5"/>
      <c r="Q10058" s="21">
        <f t="shared" si="746"/>
        <v>0</v>
      </c>
      <c r="R10058" s="21">
        <f t="shared" si="744"/>
        <v>0</v>
      </c>
      <c r="S10058" s="5">
        <f t="shared" si="747"/>
        <v>70007.077158325032</v>
      </c>
      <c r="T10058" cm="1">
        <f t="array" ref="T10058">IF(OR(B10058="MAL ALIMI", B10058="ÜRETİM GİRİŞ"), MIN(I10058, MAX(0, I10058 + SUM(SUMIFS($I$1:I10057, $C$1:C10057, C10058, $B$1:B10057, {"MAL ALIMI","ÜRETİM GİRİŞ"})) - VLOOKUP(C10058, 'STOK RAPORU'!$C$2:$I$1000, 4, 0))), 0)</f>
        <v>0</v>
      </c>
      <c r="U10058" s="22">
        <f t="shared" si="740"/>
        <v>0</v>
      </c>
      <c r="V10058">
        <f t="shared" si="741"/>
        <v>0</v>
      </c>
      <c r="W10058" s="22">
        <f t="shared" si="742"/>
        <v>0</v>
      </c>
    </row>
    <row r="10059" spans="1:23" hidden="1" x14ac:dyDescent="0.25">
      <c r="A10059" s="4"/>
      <c r="B10059" s="4"/>
      <c r="C10059" s="4"/>
      <c r="D10059" s="4"/>
      <c r="E10059" s="4"/>
      <c r="F10059" s="4"/>
      <c r="G10059" s="4"/>
      <c r="H10059" s="4"/>
      <c r="I10059" s="4"/>
      <c r="J10059" s="21">
        <f>IFERROR(VLOOKUP(C10059,'STOK KARTLARI'!$C$2:$K$2150,8,0),0)</f>
        <v>0</v>
      </c>
      <c r="K10059" s="21">
        <f t="shared" si="743"/>
        <v>0</v>
      </c>
      <c r="L10059" s="5">
        <f t="shared" si="745"/>
        <v>0</v>
      </c>
      <c r="M10059" s="4"/>
      <c r="N10059" s="4"/>
      <c r="O10059" s="5"/>
      <c r="P10059" s="5"/>
      <c r="Q10059" s="21">
        <f t="shared" si="746"/>
        <v>0</v>
      </c>
      <c r="R10059" s="21">
        <f t="shared" si="744"/>
        <v>0</v>
      </c>
      <c r="S10059" s="5">
        <f t="shared" si="747"/>
        <v>70007.077158325032</v>
      </c>
      <c r="T10059" cm="1">
        <f t="array" ref="T10059">IF(OR(B10059="MAL ALIMI", B10059="ÜRETİM GİRİŞ"), MIN(I10059, MAX(0, I10059 + SUM(SUMIFS($I$1:I10058, $C$1:C10058, C10059, $B$1:B10058, {"MAL ALIMI","ÜRETİM GİRİŞ"})) - VLOOKUP(C10059, 'STOK RAPORU'!$C$2:$I$1000, 4, 0))), 0)</f>
        <v>0</v>
      </c>
      <c r="U10059" s="22">
        <f t="shared" si="740"/>
        <v>0</v>
      </c>
      <c r="V10059">
        <f t="shared" si="741"/>
        <v>0</v>
      </c>
      <c r="W10059" s="22">
        <f t="shared" si="742"/>
        <v>0</v>
      </c>
    </row>
    <row r="10060" spans="1:23" hidden="1" x14ac:dyDescent="0.25">
      <c r="A10060" s="4"/>
      <c r="B10060" s="4"/>
      <c r="C10060" s="4"/>
      <c r="D10060" s="4"/>
      <c r="E10060" s="4"/>
      <c r="F10060" s="4"/>
      <c r="G10060" s="4"/>
      <c r="H10060" s="4"/>
      <c r="I10060" s="4"/>
      <c r="J10060" s="21">
        <f>IFERROR(VLOOKUP(C10060,'STOK KARTLARI'!$C$2:$K$2150,8,0),0)</f>
        <v>0</v>
      </c>
      <c r="K10060" s="21">
        <f t="shared" si="743"/>
        <v>0</v>
      </c>
      <c r="L10060" s="5">
        <f t="shared" si="745"/>
        <v>0</v>
      </c>
      <c r="M10060" s="4"/>
      <c r="N10060" s="4"/>
      <c r="O10060" s="5"/>
      <c r="P10060" s="5"/>
      <c r="Q10060" s="21">
        <f t="shared" si="746"/>
        <v>0</v>
      </c>
      <c r="R10060" s="21">
        <f t="shared" si="744"/>
        <v>0</v>
      </c>
      <c r="S10060" s="5">
        <f t="shared" si="747"/>
        <v>70007.077158325032</v>
      </c>
      <c r="T10060" cm="1">
        <f t="array" ref="T10060">IF(OR(B10060="MAL ALIMI", B10060="ÜRETİM GİRİŞ"), MIN(I10060, MAX(0, I10060 + SUM(SUMIFS($I$1:I10059, $C$1:C10059, C10060, $B$1:B10059, {"MAL ALIMI","ÜRETİM GİRİŞ"})) - VLOOKUP(C10060, 'STOK RAPORU'!$C$2:$I$1000, 4, 0))), 0)</f>
        <v>0</v>
      </c>
      <c r="U10060" s="22">
        <f t="shared" si="740"/>
        <v>0</v>
      </c>
      <c r="V10060">
        <f t="shared" si="741"/>
        <v>0</v>
      </c>
      <c r="W10060" s="22">
        <f t="shared" si="742"/>
        <v>0</v>
      </c>
    </row>
    <row r="10061" spans="1:23" hidden="1" x14ac:dyDescent="0.25">
      <c r="A10061" s="4"/>
      <c r="B10061" s="4"/>
      <c r="C10061" s="4"/>
      <c r="D10061" s="4"/>
      <c r="E10061" s="4"/>
      <c r="F10061" s="4"/>
      <c r="G10061" s="4"/>
      <c r="H10061" s="4"/>
      <c r="I10061" s="4"/>
      <c r="J10061" s="21">
        <f>IFERROR(VLOOKUP(C10061,'STOK KARTLARI'!$C$2:$K$2150,8,0),0)</f>
        <v>0</v>
      </c>
      <c r="K10061" s="21">
        <f t="shared" si="743"/>
        <v>0</v>
      </c>
      <c r="L10061" s="5">
        <f t="shared" si="745"/>
        <v>0</v>
      </c>
      <c r="M10061" s="4"/>
      <c r="N10061" s="4"/>
      <c r="O10061" s="5"/>
      <c r="P10061" s="5"/>
      <c r="Q10061" s="21">
        <f t="shared" si="746"/>
        <v>0</v>
      </c>
      <c r="R10061" s="21">
        <f t="shared" si="744"/>
        <v>0</v>
      </c>
      <c r="S10061" s="5">
        <f t="shared" si="747"/>
        <v>70007.077158325032</v>
      </c>
      <c r="T10061" cm="1">
        <f t="array" ref="T10061">IF(OR(B10061="MAL ALIMI", B10061="ÜRETİM GİRİŞ"), MIN(I10061, MAX(0, I10061 + SUM(SUMIFS($I$1:I10060, $C$1:C10060, C10061, $B$1:B10060, {"MAL ALIMI","ÜRETİM GİRİŞ"})) - VLOOKUP(C10061, 'STOK RAPORU'!$C$2:$I$1000, 4, 0))), 0)</f>
        <v>0</v>
      </c>
      <c r="U10061" s="22">
        <f t="shared" si="740"/>
        <v>0</v>
      </c>
      <c r="V10061">
        <f t="shared" si="741"/>
        <v>0</v>
      </c>
      <c r="W10061" s="22">
        <f t="shared" si="742"/>
        <v>0</v>
      </c>
    </row>
    <row r="10062" spans="1:23" hidden="1" x14ac:dyDescent="0.25">
      <c r="A10062" s="4"/>
      <c r="B10062" s="4"/>
      <c r="C10062" s="4"/>
      <c r="D10062" s="4"/>
      <c r="E10062" s="4"/>
      <c r="F10062" s="4"/>
      <c r="G10062" s="4"/>
      <c r="H10062" s="4"/>
      <c r="I10062" s="4"/>
      <c r="J10062" s="21">
        <f>IFERROR(VLOOKUP(C10062,'STOK KARTLARI'!$C$2:$K$2150,8,0),0)</f>
        <v>0</v>
      </c>
      <c r="K10062" s="21">
        <f t="shared" si="743"/>
        <v>0</v>
      </c>
      <c r="L10062" s="5">
        <f t="shared" si="745"/>
        <v>0</v>
      </c>
      <c r="M10062" s="4"/>
      <c r="N10062" s="4"/>
      <c r="O10062" s="5"/>
      <c r="P10062" s="5"/>
      <c r="Q10062" s="21">
        <f t="shared" si="746"/>
        <v>0</v>
      </c>
      <c r="R10062" s="21">
        <f t="shared" si="744"/>
        <v>0</v>
      </c>
      <c r="S10062" s="5">
        <f t="shared" si="747"/>
        <v>70007.077158325032</v>
      </c>
      <c r="T10062" cm="1">
        <f t="array" ref="T10062">IF(OR(B10062="MAL ALIMI", B10062="ÜRETİM GİRİŞ"), MIN(I10062, MAX(0, I10062 + SUM(SUMIFS($I$1:I10061, $C$1:C10061, C10062, $B$1:B10061, {"MAL ALIMI","ÜRETİM GİRİŞ"})) - VLOOKUP(C10062, 'STOK RAPORU'!$C$2:$I$1000, 4, 0))), 0)</f>
        <v>0</v>
      </c>
      <c r="U10062" s="22">
        <f t="shared" si="740"/>
        <v>0</v>
      </c>
      <c r="V10062">
        <f t="shared" si="741"/>
        <v>0</v>
      </c>
      <c r="W10062" s="22">
        <f t="shared" si="742"/>
        <v>0</v>
      </c>
    </row>
    <row r="10063" spans="1:23" hidden="1" x14ac:dyDescent="0.25">
      <c r="A10063" s="4"/>
      <c r="B10063" s="4"/>
      <c r="C10063" s="4"/>
      <c r="D10063" s="4"/>
      <c r="E10063" s="4"/>
      <c r="F10063" s="4"/>
      <c r="G10063" s="4"/>
      <c r="H10063" s="4"/>
      <c r="I10063" s="4"/>
      <c r="J10063" s="21">
        <f>IFERROR(VLOOKUP(C10063,'STOK KARTLARI'!$C$2:$K$2150,8,0),0)</f>
        <v>0</v>
      </c>
      <c r="K10063" s="21">
        <f t="shared" si="743"/>
        <v>0</v>
      </c>
      <c r="L10063" s="5">
        <f t="shared" si="745"/>
        <v>0</v>
      </c>
      <c r="M10063" s="4"/>
      <c r="N10063" s="4"/>
      <c r="O10063" s="5"/>
      <c r="P10063" s="5"/>
      <c r="Q10063" s="21">
        <f t="shared" si="746"/>
        <v>0</v>
      </c>
      <c r="R10063" s="21">
        <f t="shared" si="744"/>
        <v>0</v>
      </c>
      <c r="S10063" s="5">
        <f t="shared" si="747"/>
        <v>70007.077158325032</v>
      </c>
      <c r="T10063" cm="1">
        <f t="array" ref="T10063">IF(OR(B10063="MAL ALIMI", B10063="ÜRETİM GİRİŞ"), MIN(I10063, MAX(0, I10063 + SUM(SUMIFS($I$1:I10062, $C$1:C10062, C10063, $B$1:B10062, {"MAL ALIMI","ÜRETİM GİRİŞ"})) - VLOOKUP(C10063, 'STOK RAPORU'!$C$2:$I$1000, 4, 0))), 0)</f>
        <v>0</v>
      </c>
      <c r="U10063" s="22">
        <f t="shared" si="740"/>
        <v>0</v>
      </c>
      <c r="V10063">
        <f t="shared" si="741"/>
        <v>0</v>
      </c>
      <c r="W10063" s="22">
        <f t="shared" si="742"/>
        <v>0</v>
      </c>
    </row>
    <row r="10064" spans="1:23" hidden="1" x14ac:dyDescent="0.25">
      <c r="A10064" s="3"/>
      <c r="B10064" s="4"/>
      <c r="C10064" s="4"/>
      <c r="D10064" s="4"/>
      <c r="E10064" s="4"/>
      <c r="F10064" s="4"/>
      <c r="G10064" s="4"/>
      <c r="H10064" s="4"/>
      <c r="I10064" s="4"/>
      <c r="J10064" s="21">
        <f>IFERROR(VLOOKUP(C10064,'STOK KARTLARI'!$C$2:$K$2150,8,0),0)</f>
        <v>0</v>
      </c>
      <c r="K10064" s="21">
        <f t="shared" si="743"/>
        <v>0</v>
      </c>
      <c r="L10064" s="5">
        <f t="shared" si="745"/>
        <v>0</v>
      </c>
      <c r="M10064" s="4"/>
      <c r="N10064" s="4"/>
      <c r="O10064" s="5"/>
      <c r="P10064" s="5"/>
      <c r="Q10064" s="21">
        <f t="shared" si="746"/>
        <v>0</v>
      </c>
      <c r="R10064" s="21">
        <f t="shared" si="744"/>
        <v>0</v>
      </c>
      <c r="S10064" s="5">
        <f t="shared" si="747"/>
        <v>70007.077158325032</v>
      </c>
      <c r="T10064" cm="1">
        <f t="array" ref="T10064">IF(OR(B10064="MAL ALIMI", B10064="ÜRETİM GİRİŞ"), MIN(I10064, MAX(0, I10064 + SUM(SUMIFS($I$1:I10063, $C$1:C10063, C10064, $B$1:B10063, {"MAL ALIMI","ÜRETİM GİRİŞ"})) - VLOOKUP(C10064, 'STOK RAPORU'!$C$2:$I$1000, 4, 0))), 0)</f>
        <v>0</v>
      </c>
      <c r="U10064" s="22">
        <f t="shared" si="740"/>
        <v>0</v>
      </c>
      <c r="V10064">
        <f t="shared" si="741"/>
        <v>0</v>
      </c>
      <c r="W10064" s="22">
        <f t="shared" si="742"/>
        <v>0</v>
      </c>
    </row>
    <row r="10065" spans="1:23" hidden="1" x14ac:dyDescent="0.25">
      <c r="A10065" s="4"/>
      <c r="B10065" s="4"/>
      <c r="C10065" s="4"/>
      <c r="D10065" s="4"/>
      <c r="E10065" s="4"/>
      <c r="F10065" s="4"/>
      <c r="G10065" s="4"/>
      <c r="H10065" s="4"/>
      <c r="I10065" s="4"/>
      <c r="J10065" s="21">
        <f>IFERROR(VLOOKUP(C10065,'STOK KARTLARI'!$C$2:$K$2150,8,0),0)</f>
        <v>0</v>
      </c>
      <c r="K10065" s="21">
        <f t="shared" si="743"/>
        <v>0</v>
      </c>
      <c r="L10065" s="5">
        <f t="shared" si="745"/>
        <v>0</v>
      </c>
      <c r="M10065" s="4"/>
      <c r="N10065" s="4"/>
      <c r="O10065" s="5"/>
      <c r="P10065" s="5"/>
      <c r="Q10065" s="21">
        <f t="shared" si="746"/>
        <v>0</v>
      </c>
      <c r="R10065" s="21">
        <f t="shared" si="744"/>
        <v>0</v>
      </c>
      <c r="S10065" s="5">
        <f t="shared" si="747"/>
        <v>70007.077158325032</v>
      </c>
      <c r="T10065" cm="1">
        <f t="array" ref="T10065">IF(OR(B10065="MAL ALIMI", B10065="ÜRETİM GİRİŞ"), MIN(I10065, MAX(0, I10065 + SUM(SUMIFS($I$1:I10064, $C$1:C10064, C10065, $B$1:B10064, {"MAL ALIMI","ÜRETİM GİRİŞ"})) - VLOOKUP(C10065, 'STOK RAPORU'!$C$2:$I$1000, 4, 0))), 0)</f>
        <v>0</v>
      </c>
      <c r="U10065" s="22">
        <f t="shared" si="740"/>
        <v>0</v>
      </c>
      <c r="V10065">
        <f t="shared" si="741"/>
        <v>0</v>
      </c>
      <c r="W10065" s="22">
        <f t="shared" si="742"/>
        <v>0</v>
      </c>
    </row>
    <row r="10066" spans="1:23" hidden="1" x14ac:dyDescent="0.25">
      <c r="A10066" s="4"/>
      <c r="B10066" s="4"/>
      <c r="C10066" s="4"/>
      <c r="D10066" s="4"/>
      <c r="E10066" s="4"/>
      <c r="F10066" s="4"/>
      <c r="G10066" s="4"/>
      <c r="H10066" s="4"/>
      <c r="I10066" s="4"/>
      <c r="J10066" s="21">
        <f>IFERROR(VLOOKUP(C10066,'STOK KARTLARI'!$C$2:$K$2150,8,0),0)</f>
        <v>0</v>
      </c>
      <c r="K10066" s="21">
        <f t="shared" si="743"/>
        <v>0</v>
      </c>
      <c r="L10066" s="5">
        <f t="shared" si="745"/>
        <v>0</v>
      </c>
      <c r="M10066" s="4"/>
      <c r="N10066" s="4"/>
      <c r="O10066" s="5"/>
      <c r="P10066" s="5"/>
      <c r="Q10066" s="21">
        <f t="shared" si="746"/>
        <v>0</v>
      </c>
      <c r="R10066" s="21">
        <f t="shared" si="744"/>
        <v>0</v>
      </c>
      <c r="S10066" s="5">
        <f t="shared" si="747"/>
        <v>70007.077158325032</v>
      </c>
      <c r="T10066" cm="1">
        <f t="array" ref="T10066">IF(OR(B10066="MAL ALIMI", B10066="ÜRETİM GİRİŞ"), MIN(I10066, MAX(0, I10066 + SUM(SUMIFS($I$1:I10065, $C$1:C10065, C10066, $B$1:B10065, {"MAL ALIMI","ÜRETİM GİRİŞ"})) - VLOOKUP(C10066, 'STOK RAPORU'!$C$2:$I$1000, 4, 0))), 0)</f>
        <v>0</v>
      </c>
      <c r="U10066" s="22">
        <f t="shared" si="740"/>
        <v>0</v>
      </c>
      <c r="V10066">
        <f t="shared" si="741"/>
        <v>0</v>
      </c>
      <c r="W10066" s="22">
        <f t="shared" si="742"/>
        <v>0</v>
      </c>
    </row>
    <row r="10067" spans="1:23" hidden="1" x14ac:dyDescent="0.25">
      <c r="A10067" s="4"/>
      <c r="B10067" s="4"/>
      <c r="C10067" s="4"/>
      <c r="D10067" s="4"/>
      <c r="E10067" s="4"/>
      <c r="F10067" s="4"/>
      <c r="G10067" s="4"/>
      <c r="H10067" s="4"/>
      <c r="I10067" s="4"/>
      <c r="J10067" s="21">
        <f>IFERROR(VLOOKUP(C10067,'STOK KARTLARI'!$C$2:$K$2150,8,0),0)</f>
        <v>0</v>
      </c>
      <c r="K10067" s="21">
        <f t="shared" si="743"/>
        <v>0</v>
      </c>
      <c r="L10067" s="5">
        <f t="shared" si="745"/>
        <v>0</v>
      </c>
      <c r="M10067" s="4"/>
      <c r="N10067" s="4"/>
      <c r="O10067" s="5"/>
      <c r="P10067" s="5"/>
      <c r="Q10067" s="21">
        <f t="shared" si="746"/>
        <v>0</v>
      </c>
      <c r="R10067" s="21">
        <f t="shared" si="744"/>
        <v>0</v>
      </c>
      <c r="S10067" s="5">
        <f t="shared" si="747"/>
        <v>70007.077158325032</v>
      </c>
      <c r="T10067" cm="1">
        <f t="array" ref="T10067">IF(OR(B10067="MAL ALIMI", B10067="ÜRETİM GİRİŞ"), MIN(I10067, MAX(0, I10067 + SUM(SUMIFS($I$1:I10066, $C$1:C10066, C10067, $B$1:B10066, {"MAL ALIMI","ÜRETİM GİRİŞ"})) - VLOOKUP(C10067, 'STOK RAPORU'!$C$2:$I$1000, 4, 0))), 0)</f>
        <v>0</v>
      </c>
      <c r="U10067" s="22">
        <f t="shared" si="740"/>
        <v>0</v>
      </c>
      <c r="V10067">
        <f t="shared" si="741"/>
        <v>0</v>
      </c>
      <c r="W10067" s="22">
        <f t="shared" si="742"/>
        <v>0</v>
      </c>
    </row>
    <row r="10068" spans="1:23" hidden="1" x14ac:dyDescent="0.25">
      <c r="A10068" s="4"/>
      <c r="B10068" s="4"/>
      <c r="C10068" s="4"/>
      <c r="D10068" s="4"/>
      <c r="E10068" s="4"/>
      <c r="F10068" s="4"/>
      <c r="G10068" s="4"/>
      <c r="H10068" s="4"/>
      <c r="I10068" s="4"/>
      <c r="J10068" s="21">
        <f>IFERROR(VLOOKUP(C10068,'STOK KARTLARI'!$C$2:$K$2150,8,0),0)</f>
        <v>0</v>
      </c>
      <c r="K10068" s="21">
        <f t="shared" si="743"/>
        <v>0</v>
      </c>
      <c r="L10068" s="5">
        <f t="shared" si="745"/>
        <v>0</v>
      </c>
      <c r="M10068" s="4"/>
      <c r="N10068" s="4"/>
      <c r="O10068" s="5"/>
      <c r="P10068" s="5"/>
      <c r="Q10068" s="21">
        <f t="shared" si="746"/>
        <v>0</v>
      </c>
      <c r="R10068" s="21">
        <f t="shared" si="744"/>
        <v>0</v>
      </c>
      <c r="S10068" s="5">
        <f t="shared" si="747"/>
        <v>70007.077158325032</v>
      </c>
      <c r="T10068" cm="1">
        <f t="array" ref="T10068">IF(OR(B10068="MAL ALIMI", B10068="ÜRETİM GİRİŞ"), MIN(I10068, MAX(0, I10068 + SUM(SUMIFS($I$1:I10067, $C$1:C10067, C10068, $B$1:B10067, {"MAL ALIMI","ÜRETİM GİRİŞ"})) - VLOOKUP(C10068, 'STOK RAPORU'!$C$2:$I$1000, 4, 0))), 0)</f>
        <v>0</v>
      </c>
      <c r="U10068" s="22">
        <f t="shared" si="740"/>
        <v>0</v>
      </c>
      <c r="V10068">
        <f t="shared" si="741"/>
        <v>0</v>
      </c>
      <c r="W10068" s="22">
        <f t="shared" si="742"/>
        <v>0</v>
      </c>
    </row>
    <row r="10069" spans="1:23" hidden="1" x14ac:dyDescent="0.25">
      <c r="A10069" s="4"/>
      <c r="B10069" s="4"/>
      <c r="C10069" s="4"/>
      <c r="D10069" s="4"/>
      <c r="E10069" s="4"/>
      <c r="F10069" s="4"/>
      <c r="G10069" s="4"/>
      <c r="H10069" s="4"/>
      <c r="I10069" s="4"/>
      <c r="J10069" s="21">
        <f>IFERROR(VLOOKUP(C10069,'STOK KARTLARI'!$C$2:$K$2150,8,0),0)</f>
        <v>0</v>
      </c>
      <c r="K10069" s="21">
        <f t="shared" si="743"/>
        <v>0</v>
      </c>
      <c r="L10069" s="5">
        <f t="shared" si="745"/>
        <v>0</v>
      </c>
      <c r="M10069" s="4"/>
      <c r="N10069" s="4"/>
      <c r="O10069" s="5"/>
      <c r="P10069" s="5"/>
      <c r="Q10069" s="21">
        <f t="shared" si="746"/>
        <v>0</v>
      </c>
      <c r="R10069" s="21">
        <f t="shared" si="744"/>
        <v>0</v>
      </c>
      <c r="S10069" s="5">
        <f t="shared" si="747"/>
        <v>70007.077158325032</v>
      </c>
      <c r="T10069" cm="1">
        <f t="array" ref="T10069">IF(OR(B10069="MAL ALIMI", B10069="ÜRETİM GİRİŞ"), MIN(I10069, MAX(0, I10069 + SUM(SUMIFS($I$1:I10068, $C$1:C10068, C10069, $B$1:B10068, {"MAL ALIMI","ÜRETİM GİRİŞ"})) - VLOOKUP(C10069, 'STOK RAPORU'!$C$2:$I$1000, 4, 0))), 0)</f>
        <v>0</v>
      </c>
      <c r="U10069" s="22">
        <f t="shared" si="740"/>
        <v>0</v>
      </c>
      <c r="V10069">
        <f t="shared" si="741"/>
        <v>0</v>
      </c>
      <c r="W10069" s="22">
        <f t="shared" si="742"/>
        <v>0</v>
      </c>
    </row>
    <row r="10070" spans="1:23" hidden="1" x14ac:dyDescent="0.25">
      <c r="A10070" s="4"/>
      <c r="B10070" s="4"/>
      <c r="C10070" s="4"/>
      <c r="D10070" s="4"/>
      <c r="E10070" s="4"/>
      <c r="F10070" s="4"/>
      <c r="G10070" s="4"/>
      <c r="H10070" s="4"/>
      <c r="I10070" s="4"/>
      <c r="J10070" s="21">
        <f>IFERROR(VLOOKUP(C10070,'STOK KARTLARI'!$C$2:$K$2150,8,0),0)</f>
        <v>0</v>
      </c>
      <c r="K10070" s="21">
        <f t="shared" si="743"/>
        <v>0</v>
      </c>
      <c r="L10070" s="5">
        <f t="shared" si="745"/>
        <v>0</v>
      </c>
      <c r="M10070" s="4"/>
      <c r="N10070" s="4"/>
      <c r="O10070" s="5"/>
      <c r="P10070" s="5"/>
      <c r="Q10070" s="21">
        <f t="shared" si="746"/>
        <v>0</v>
      </c>
      <c r="R10070" s="21">
        <f t="shared" si="744"/>
        <v>0</v>
      </c>
      <c r="S10070" s="5">
        <f t="shared" si="747"/>
        <v>70007.077158325032</v>
      </c>
      <c r="T10070" cm="1">
        <f t="array" ref="T10070">IF(OR(B10070="MAL ALIMI", B10070="ÜRETİM GİRİŞ"), MIN(I10070, MAX(0, I10070 + SUM(SUMIFS($I$1:I10069, $C$1:C10069, C10070, $B$1:B10069, {"MAL ALIMI","ÜRETİM GİRİŞ"})) - VLOOKUP(C10070, 'STOK RAPORU'!$C$2:$I$1000, 4, 0))), 0)</f>
        <v>0</v>
      </c>
      <c r="U10070" s="22">
        <f t="shared" si="740"/>
        <v>0</v>
      </c>
      <c r="V10070">
        <f t="shared" si="741"/>
        <v>0</v>
      </c>
      <c r="W10070" s="22">
        <f t="shared" si="742"/>
        <v>0</v>
      </c>
    </row>
    <row r="10071" spans="1:23" hidden="1" x14ac:dyDescent="0.25">
      <c r="A10071" s="3"/>
      <c r="B10071" s="4"/>
      <c r="C10071" s="4"/>
      <c r="D10071" s="4"/>
      <c r="E10071" s="4"/>
      <c r="F10071" s="4"/>
      <c r="G10071" s="4"/>
      <c r="H10071" s="4"/>
      <c r="I10071" s="4"/>
      <c r="J10071" s="21">
        <f>IFERROR(VLOOKUP(C10071,'STOK KARTLARI'!$C$2:$K$2150,8,0),0)</f>
        <v>0</v>
      </c>
      <c r="K10071" s="21">
        <f t="shared" si="743"/>
        <v>0</v>
      </c>
      <c r="L10071" s="5">
        <f t="shared" si="745"/>
        <v>0</v>
      </c>
      <c r="M10071" s="4"/>
      <c r="N10071" s="4"/>
      <c r="O10071" s="5"/>
      <c r="P10071" s="5"/>
      <c r="Q10071" s="21">
        <f t="shared" si="746"/>
        <v>0</v>
      </c>
      <c r="R10071" s="21">
        <f t="shared" si="744"/>
        <v>0</v>
      </c>
      <c r="S10071" s="5">
        <f t="shared" si="747"/>
        <v>70007.077158325032</v>
      </c>
      <c r="T10071" cm="1">
        <f t="array" ref="T10071">IF(OR(B10071="MAL ALIMI", B10071="ÜRETİM GİRİŞ"), MIN(I10071, MAX(0, I10071 + SUM(SUMIFS($I$1:I10070, $C$1:C10070, C10071, $B$1:B10070, {"MAL ALIMI","ÜRETİM GİRİŞ"})) - VLOOKUP(C10071, 'STOK RAPORU'!$C$2:$I$1000, 4, 0))), 0)</f>
        <v>0</v>
      </c>
      <c r="U10071" s="22">
        <f t="shared" si="740"/>
        <v>0</v>
      </c>
      <c r="V10071">
        <f t="shared" si="741"/>
        <v>0</v>
      </c>
      <c r="W10071" s="22">
        <f t="shared" si="742"/>
        <v>0</v>
      </c>
    </row>
    <row r="10072" spans="1:23" hidden="1" x14ac:dyDescent="0.25">
      <c r="A10072" s="4"/>
      <c r="B10072" s="4"/>
      <c r="C10072" s="4"/>
      <c r="D10072" s="4"/>
      <c r="E10072" s="4"/>
      <c r="F10072" s="4"/>
      <c r="G10072" s="4"/>
      <c r="H10072" s="4"/>
      <c r="I10072" s="4"/>
      <c r="J10072" s="21">
        <f>IFERROR(VLOOKUP(C10072,'STOK KARTLARI'!$C$2:$K$2150,8,0),0)</f>
        <v>0</v>
      </c>
      <c r="K10072" s="21">
        <f t="shared" si="743"/>
        <v>0</v>
      </c>
      <c r="L10072" s="5">
        <f t="shared" si="745"/>
        <v>0</v>
      </c>
      <c r="M10072" s="4"/>
      <c r="N10072" s="4"/>
      <c r="O10072" s="5"/>
      <c r="P10072" s="5"/>
      <c r="Q10072" s="21">
        <f t="shared" si="746"/>
        <v>0</v>
      </c>
      <c r="R10072" s="21">
        <f t="shared" si="744"/>
        <v>0</v>
      </c>
      <c r="S10072" s="5">
        <f t="shared" si="747"/>
        <v>70007.077158325032</v>
      </c>
      <c r="T10072" cm="1">
        <f t="array" ref="T10072">IF(OR(B10072="MAL ALIMI", B10072="ÜRETİM GİRİŞ"), MIN(I10072, MAX(0, I10072 + SUM(SUMIFS($I$1:I10071, $C$1:C10071, C10072, $B$1:B10071, {"MAL ALIMI","ÜRETİM GİRİŞ"})) - VLOOKUP(C10072, 'STOK RAPORU'!$C$2:$I$1000, 4, 0))), 0)</f>
        <v>0</v>
      </c>
      <c r="U10072" s="22">
        <f t="shared" si="740"/>
        <v>0</v>
      </c>
      <c r="V10072">
        <f t="shared" si="741"/>
        <v>0</v>
      </c>
      <c r="W10072" s="22">
        <f t="shared" si="742"/>
        <v>0</v>
      </c>
    </row>
    <row r="10073" spans="1:23" hidden="1" x14ac:dyDescent="0.25">
      <c r="A10073" s="4"/>
      <c r="B10073" s="4"/>
      <c r="C10073" s="4"/>
      <c r="D10073" s="4"/>
      <c r="E10073" s="4"/>
      <c r="F10073" s="4"/>
      <c r="G10073" s="4"/>
      <c r="H10073" s="4"/>
      <c r="I10073" s="4"/>
      <c r="J10073" s="21">
        <f>IFERROR(VLOOKUP(C10073,'STOK KARTLARI'!$C$2:$K$2150,8,0),0)</f>
        <v>0</v>
      </c>
      <c r="K10073" s="21">
        <f t="shared" si="743"/>
        <v>0</v>
      </c>
      <c r="L10073" s="5">
        <f t="shared" si="745"/>
        <v>0</v>
      </c>
      <c r="M10073" s="4"/>
      <c r="N10073" s="4"/>
      <c r="O10073" s="5"/>
      <c r="P10073" s="5"/>
      <c r="Q10073" s="21">
        <f t="shared" si="746"/>
        <v>0</v>
      </c>
      <c r="R10073" s="21">
        <f t="shared" si="744"/>
        <v>0</v>
      </c>
      <c r="S10073" s="5">
        <f t="shared" si="747"/>
        <v>70007.077158325032</v>
      </c>
      <c r="T10073" cm="1">
        <f t="array" ref="T10073">IF(OR(B10073="MAL ALIMI", B10073="ÜRETİM GİRİŞ"), MIN(I10073, MAX(0, I10073 + SUM(SUMIFS($I$1:I10072, $C$1:C10072, C10073, $B$1:B10072, {"MAL ALIMI","ÜRETİM GİRİŞ"})) - VLOOKUP(C10073, 'STOK RAPORU'!$C$2:$I$1000, 4, 0))), 0)</f>
        <v>0</v>
      </c>
      <c r="U10073" s="22">
        <f t="shared" si="740"/>
        <v>0</v>
      </c>
      <c r="V10073">
        <f t="shared" si="741"/>
        <v>0</v>
      </c>
      <c r="W10073" s="22">
        <f t="shared" si="742"/>
        <v>0</v>
      </c>
    </row>
    <row r="10074" spans="1:23" hidden="1" x14ac:dyDescent="0.25">
      <c r="A10074" s="4"/>
      <c r="B10074" s="4"/>
      <c r="C10074" s="4"/>
      <c r="D10074" s="4"/>
      <c r="E10074" s="4"/>
      <c r="F10074" s="4"/>
      <c r="G10074" s="4"/>
      <c r="H10074" s="4"/>
      <c r="I10074" s="4"/>
      <c r="J10074" s="21">
        <f>IFERROR(VLOOKUP(C10074,'STOK KARTLARI'!$C$2:$K$2150,8,0),0)</f>
        <v>0</v>
      </c>
      <c r="K10074" s="21">
        <f t="shared" si="743"/>
        <v>0</v>
      </c>
      <c r="L10074" s="5">
        <f t="shared" si="745"/>
        <v>0</v>
      </c>
      <c r="M10074" s="4"/>
      <c r="N10074" s="4"/>
      <c r="O10074" s="5"/>
      <c r="P10074" s="5"/>
      <c r="Q10074" s="21">
        <f t="shared" si="746"/>
        <v>0</v>
      </c>
      <c r="R10074" s="21">
        <f t="shared" si="744"/>
        <v>0</v>
      </c>
      <c r="S10074" s="5">
        <f t="shared" si="747"/>
        <v>70007.077158325032</v>
      </c>
      <c r="T10074" cm="1">
        <f t="array" ref="T10074">IF(OR(B10074="MAL ALIMI", B10074="ÜRETİM GİRİŞ"), MIN(I10074, MAX(0, I10074 + SUM(SUMIFS($I$1:I10073, $C$1:C10073, C10074, $B$1:B10073, {"MAL ALIMI","ÜRETİM GİRİŞ"})) - VLOOKUP(C10074, 'STOK RAPORU'!$C$2:$I$1000, 4, 0))), 0)</f>
        <v>0</v>
      </c>
      <c r="U10074" s="22">
        <f t="shared" si="740"/>
        <v>0</v>
      </c>
      <c r="V10074">
        <f t="shared" si="741"/>
        <v>0</v>
      </c>
      <c r="W10074" s="22">
        <f t="shared" si="742"/>
        <v>0</v>
      </c>
    </row>
    <row r="10075" spans="1:23" hidden="1" x14ac:dyDescent="0.25">
      <c r="A10075" s="4"/>
      <c r="B10075" s="4"/>
      <c r="C10075" s="4"/>
      <c r="D10075" s="4"/>
      <c r="E10075" s="4"/>
      <c r="F10075" s="4"/>
      <c r="G10075" s="4"/>
      <c r="H10075" s="4"/>
      <c r="I10075" s="4"/>
      <c r="J10075" s="21">
        <f>IFERROR(VLOOKUP(C10075,'STOK KARTLARI'!$C$2:$K$2150,8,0),0)</f>
        <v>0</v>
      </c>
      <c r="K10075" s="21">
        <f t="shared" si="743"/>
        <v>0</v>
      </c>
      <c r="L10075" s="5">
        <f t="shared" si="745"/>
        <v>0</v>
      </c>
      <c r="M10075" s="4"/>
      <c r="N10075" s="4"/>
      <c r="O10075" s="5"/>
      <c r="P10075" s="5"/>
      <c r="Q10075" s="21">
        <f t="shared" si="746"/>
        <v>0</v>
      </c>
      <c r="R10075" s="21">
        <f t="shared" si="744"/>
        <v>0</v>
      </c>
      <c r="S10075" s="5">
        <f t="shared" si="747"/>
        <v>70007.077158325032</v>
      </c>
      <c r="T10075" cm="1">
        <f t="array" ref="T10075">IF(OR(B10075="MAL ALIMI", B10075="ÜRETİM GİRİŞ"), MIN(I10075, MAX(0, I10075 + SUM(SUMIFS($I$1:I10074, $C$1:C10074, C10075, $B$1:B10074, {"MAL ALIMI","ÜRETİM GİRİŞ"})) - VLOOKUP(C10075, 'STOK RAPORU'!$C$2:$I$1000, 4, 0))), 0)</f>
        <v>0</v>
      </c>
      <c r="U10075" s="22">
        <f t="shared" si="740"/>
        <v>0</v>
      </c>
      <c r="V10075">
        <f t="shared" si="741"/>
        <v>0</v>
      </c>
      <c r="W10075" s="22">
        <f t="shared" si="742"/>
        <v>0</v>
      </c>
    </row>
    <row r="10076" spans="1:23" hidden="1" x14ac:dyDescent="0.25">
      <c r="A10076" s="4"/>
      <c r="B10076" s="4"/>
      <c r="C10076" s="4"/>
      <c r="D10076" s="4"/>
      <c r="E10076" s="4"/>
      <c r="F10076" s="4"/>
      <c r="G10076" s="4"/>
      <c r="H10076" s="4"/>
      <c r="I10076" s="4"/>
      <c r="J10076" s="21">
        <f>IFERROR(VLOOKUP(C10076,'STOK KARTLARI'!$C$2:$K$2150,8,0),0)</f>
        <v>0</v>
      </c>
      <c r="K10076" s="21">
        <f t="shared" si="743"/>
        <v>0</v>
      </c>
      <c r="L10076" s="5">
        <f t="shared" si="745"/>
        <v>0</v>
      </c>
      <c r="M10076" s="4"/>
      <c r="N10076" s="4"/>
      <c r="O10076" s="5"/>
      <c r="P10076" s="5"/>
      <c r="Q10076" s="21">
        <f t="shared" si="746"/>
        <v>0</v>
      </c>
      <c r="R10076" s="21">
        <f t="shared" si="744"/>
        <v>0</v>
      </c>
      <c r="S10076" s="5">
        <f t="shared" si="747"/>
        <v>70007.077158325032</v>
      </c>
      <c r="T10076" cm="1">
        <f t="array" ref="T10076">IF(OR(B10076="MAL ALIMI", B10076="ÜRETİM GİRİŞ"), MIN(I10076, MAX(0, I10076 + SUM(SUMIFS($I$1:I10075, $C$1:C10075, C10076, $B$1:B10075, {"MAL ALIMI","ÜRETİM GİRİŞ"})) - VLOOKUP(C10076, 'STOK RAPORU'!$C$2:$I$1000, 4, 0))), 0)</f>
        <v>0</v>
      </c>
      <c r="U10076" s="22">
        <f t="shared" si="740"/>
        <v>0</v>
      </c>
      <c r="V10076">
        <f t="shared" si="741"/>
        <v>0</v>
      </c>
      <c r="W10076" s="22">
        <f t="shared" si="742"/>
        <v>0</v>
      </c>
    </row>
    <row r="10077" spans="1:23" hidden="1" x14ac:dyDescent="0.25">
      <c r="A10077" s="4"/>
      <c r="B10077" s="4"/>
      <c r="C10077" s="4"/>
      <c r="D10077" s="4"/>
      <c r="E10077" s="4"/>
      <c r="F10077" s="4"/>
      <c r="G10077" s="4"/>
      <c r="H10077" s="4"/>
      <c r="I10077" s="4"/>
      <c r="J10077" s="21">
        <f>IFERROR(VLOOKUP(C10077,'STOK KARTLARI'!$C$2:$K$2150,8,0),0)</f>
        <v>0</v>
      </c>
      <c r="K10077" s="21">
        <f t="shared" si="743"/>
        <v>0</v>
      </c>
      <c r="L10077" s="5">
        <f t="shared" si="745"/>
        <v>0</v>
      </c>
      <c r="M10077" s="4"/>
      <c r="N10077" s="4"/>
      <c r="O10077" s="5"/>
      <c r="P10077" s="5"/>
      <c r="Q10077" s="21">
        <f t="shared" si="746"/>
        <v>0</v>
      </c>
      <c r="R10077" s="21">
        <f t="shared" si="744"/>
        <v>0</v>
      </c>
      <c r="S10077" s="5">
        <f t="shared" si="747"/>
        <v>70007.077158325032</v>
      </c>
      <c r="T10077" cm="1">
        <f t="array" ref="T10077">IF(OR(B10077="MAL ALIMI", B10077="ÜRETİM GİRİŞ"), MIN(I10077, MAX(0, I10077 + SUM(SUMIFS($I$1:I10076, $C$1:C10076, C10077, $B$1:B10076, {"MAL ALIMI","ÜRETİM GİRİŞ"})) - VLOOKUP(C10077, 'STOK RAPORU'!$C$2:$I$1000, 4, 0))), 0)</f>
        <v>0</v>
      </c>
      <c r="U10077" s="22">
        <f t="shared" si="740"/>
        <v>0</v>
      </c>
      <c r="V10077">
        <f t="shared" si="741"/>
        <v>0</v>
      </c>
      <c r="W10077" s="22">
        <f t="shared" si="742"/>
        <v>0</v>
      </c>
    </row>
    <row r="10078" spans="1:23" hidden="1" x14ac:dyDescent="0.25">
      <c r="A10078" s="3"/>
      <c r="B10078" s="4"/>
      <c r="C10078" s="4"/>
      <c r="D10078" s="4"/>
      <c r="E10078" s="4"/>
      <c r="F10078" s="4"/>
      <c r="G10078" s="4"/>
      <c r="H10078" s="4"/>
      <c r="I10078" s="4"/>
      <c r="J10078" s="21">
        <f>IFERROR(VLOOKUP(C10078,'STOK KARTLARI'!$C$2:$K$2150,8,0),0)</f>
        <v>0</v>
      </c>
      <c r="K10078" s="21">
        <f t="shared" si="743"/>
        <v>0</v>
      </c>
      <c r="L10078" s="5">
        <f t="shared" si="745"/>
        <v>0</v>
      </c>
      <c r="M10078" s="4"/>
      <c r="N10078" s="4"/>
      <c r="O10078" s="5"/>
      <c r="P10078" s="5"/>
      <c r="Q10078" s="21">
        <f t="shared" si="746"/>
        <v>0</v>
      </c>
      <c r="R10078" s="21">
        <f t="shared" si="744"/>
        <v>0</v>
      </c>
      <c r="S10078" s="5">
        <f t="shared" si="747"/>
        <v>70007.077158325032</v>
      </c>
      <c r="T10078" cm="1">
        <f t="array" ref="T10078">IF(OR(B10078="MAL ALIMI", B10078="ÜRETİM GİRİŞ"), MIN(I10078, MAX(0, I10078 + SUM(SUMIFS($I$1:I10077, $C$1:C10077, C10078, $B$1:B10077, {"MAL ALIMI","ÜRETİM GİRİŞ"})) - VLOOKUP(C10078, 'STOK RAPORU'!$C$2:$I$1000, 4, 0))), 0)</f>
        <v>0</v>
      </c>
      <c r="U10078" s="22">
        <f t="shared" si="740"/>
        <v>0</v>
      </c>
      <c r="V10078">
        <f t="shared" si="741"/>
        <v>0</v>
      </c>
      <c r="W10078" s="22">
        <f t="shared" si="742"/>
        <v>0</v>
      </c>
    </row>
    <row r="10079" spans="1:23" hidden="1" x14ac:dyDescent="0.25">
      <c r="A10079" s="4"/>
      <c r="B10079" s="4"/>
      <c r="C10079" s="4"/>
      <c r="D10079" s="4"/>
      <c r="E10079" s="4"/>
      <c r="F10079" s="4"/>
      <c r="G10079" s="4"/>
      <c r="H10079" s="4"/>
      <c r="I10079" s="4"/>
      <c r="J10079" s="21">
        <f>IFERROR(VLOOKUP(C10079,'STOK KARTLARI'!$C$2:$K$2150,8,0),0)</f>
        <v>0</v>
      </c>
      <c r="K10079" s="21">
        <f t="shared" si="743"/>
        <v>0</v>
      </c>
      <c r="L10079" s="5">
        <f t="shared" si="745"/>
        <v>0</v>
      </c>
      <c r="M10079" s="4"/>
      <c r="N10079" s="4"/>
      <c r="O10079" s="5"/>
      <c r="P10079" s="5"/>
      <c r="Q10079" s="21">
        <f t="shared" si="746"/>
        <v>0</v>
      </c>
      <c r="R10079" s="21">
        <f t="shared" si="744"/>
        <v>0</v>
      </c>
      <c r="S10079" s="5">
        <f t="shared" si="747"/>
        <v>70007.077158325032</v>
      </c>
      <c r="T10079" cm="1">
        <f t="array" ref="T10079">IF(OR(B10079="MAL ALIMI", B10079="ÜRETİM GİRİŞ"), MIN(I10079, MAX(0, I10079 + SUM(SUMIFS($I$1:I10078, $C$1:C10078, C10079, $B$1:B10078, {"MAL ALIMI","ÜRETİM GİRİŞ"})) - VLOOKUP(C10079, 'STOK RAPORU'!$C$2:$I$1000, 4, 0))), 0)</f>
        <v>0</v>
      </c>
      <c r="U10079" s="22">
        <f t="shared" si="740"/>
        <v>0</v>
      </c>
      <c r="V10079">
        <f t="shared" si="741"/>
        <v>0</v>
      </c>
      <c r="W10079" s="22">
        <f t="shared" si="742"/>
        <v>0</v>
      </c>
    </row>
    <row r="10080" spans="1:23" hidden="1" x14ac:dyDescent="0.25">
      <c r="A10080" s="4"/>
      <c r="B10080" s="4"/>
      <c r="C10080" s="4"/>
      <c r="D10080" s="4"/>
      <c r="E10080" s="4"/>
      <c r="F10080" s="4"/>
      <c r="G10080" s="4"/>
      <c r="H10080" s="4"/>
      <c r="I10080" s="4"/>
      <c r="J10080" s="21">
        <f>IFERROR(VLOOKUP(C10080,'STOK KARTLARI'!$C$2:$K$2150,8,0),0)</f>
        <v>0</v>
      </c>
      <c r="K10080" s="21">
        <f t="shared" si="743"/>
        <v>0</v>
      </c>
      <c r="L10080" s="5">
        <f t="shared" si="745"/>
        <v>0</v>
      </c>
      <c r="M10080" s="4"/>
      <c r="N10080" s="4"/>
      <c r="O10080" s="5"/>
      <c r="P10080" s="5"/>
      <c r="Q10080" s="21">
        <f t="shared" si="746"/>
        <v>0</v>
      </c>
      <c r="R10080" s="21">
        <f t="shared" si="744"/>
        <v>0</v>
      </c>
      <c r="S10080" s="5">
        <f t="shared" si="747"/>
        <v>70007.077158325032</v>
      </c>
      <c r="T10080" cm="1">
        <f t="array" ref="T10080">IF(OR(B10080="MAL ALIMI", B10080="ÜRETİM GİRİŞ"), MIN(I10080, MAX(0, I10080 + SUM(SUMIFS($I$1:I10079, $C$1:C10079, C10080, $B$1:B10079, {"MAL ALIMI","ÜRETİM GİRİŞ"})) - VLOOKUP(C10080, 'STOK RAPORU'!$C$2:$I$1000, 4, 0))), 0)</f>
        <v>0</v>
      </c>
      <c r="U10080" s="22">
        <f t="shared" si="740"/>
        <v>0</v>
      </c>
      <c r="V10080">
        <f t="shared" si="741"/>
        <v>0</v>
      </c>
      <c r="W10080" s="22">
        <f t="shared" si="742"/>
        <v>0</v>
      </c>
    </row>
    <row r="10081" spans="1:23" hidden="1" x14ac:dyDescent="0.25">
      <c r="A10081" s="4"/>
      <c r="B10081" s="4"/>
      <c r="C10081" s="4"/>
      <c r="D10081" s="4"/>
      <c r="E10081" s="4"/>
      <c r="F10081" s="4"/>
      <c r="G10081" s="4"/>
      <c r="H10081" s="4"/>
      <c r="I10081" s="4"/>
      <c r="J10081" s="21">
        <f>IFERROR(VLOOKUP(C10081,'STOK KARTLARI'!$C$2:$K$2150,8,0),0)</f>
        <v>0</v>
      </c>
      <c r="K10081" s="21">
        <f t="shared" si="743"/>
        <v>0</v>
      </c>
      <c r="L10081" s="5">
        <f t="shared" si="745"/>
        <v>0</v>
      </c>
      <c r="M10081" s="4"/>
      <c r="N10081" s="4"/>
      <c r="O10081" s="5"/>
      <c r="P10081" s="5"/>
      <c r="Q10081" s="21">
        <f t="shared" si="746"/>
        <v>0</v>
      </c>
      <c r="R10081" s="21">
        <f t="shared" si="744"/>
        <v>0</v>
      </c>
      <c r="S10081" s="5">
        <f t="shared" si="747"/>
        <v>70007.077158325032</v>
      </c>
      <c r="T10081" cm="1">
        <f t="array" ref="T10081">IF(OR(B10081="MAL ALIMI", B10081="ÜRETİM GİRİŞ"), MIN(I10081, MAX(0, I10081 + SUM(SUMIFS($I$1:I10080, $C$1:C10080, C10081, $B$1:B10080, {"MAL ALIMI","ÜRETİM GİRİŞ"})) - VLOOKUP(C10081, 'STOK RAPORU'!$C$2:$I$1000, 4, 0))), 0)</f>
        <v>0</v>
      </c>
      <c r="U10081" s="22">
        <f t="shared" si="740"/>
        <v>0</v>
      </c>
      <c r="V10081">
        <f t="shared" si="741"/>
        <v>0</v>
      </c>
      <c r="W10081" s="22">
        <f t="shared" si="742"/>
        <v>0</v>
      </c>
    </row>
    <row r="10082" spans="1:23" hidden="1" x14ac:dyDescent="0.25">
      <c r="A10082" s="4"/>
      <c r="B10082" s="4"/>
      <c r="C10082" s="4"/>
      <c r="D10082" s="4"/>
      <c r="E10082" s="4"/>
      <c r="F10082" s="4"/>
      <c r="G10082" s="4"/>
      <c r="H10082" s="4"/>
      <c r="I10082" s="4"/>
      <c r="J10082" s="21">
        <f>IFERROR(VLOOKUP(C10082,'STOK KARTLARI'!$C$2:$K$2150,8,0),0)</f>
        <v>0</v>
      </c>
      <c r="K10082" s="21">
        <f t="shared" si="743"/>
        <v>0</v>
      </c>
      <c r="L10082" s="5">
        <f t="shared" si="745"/>
        <v>0</v>
      </c>
      <c r="M10082" s="4"/>
      <c r="N10082" s="4"/>
      <c r="O10082" s="5"/>
      <c r="P10082" s="5"/>
      <c r="Q10082" s="21">
        <f t="shared" si="746"/>
        <v>0</v>
      </c>
      <c r="R10082" s="21">
        <f t="shared" si="744"/>
        <v>0</v>
      </c>
      <c r="S10082" s="5">
        <f t="shared" si="747"/>
        <v>70007.077158325032</v>
      </c>
      <c r="T10082" cm="1">
        <f t="array" ref="T10082">IF(OR(B10082="MAL ALIMI", B10082="ÜRETİM GİRİŞ"), MIN(I10082, MAX(0, I10082 + SUM(SUMIFS($I$1:I10081, $C$1:C10081, C10082, $B$1:B10081, {"MAL ALIMI","ÜRETİM GİRİŞ"})) - VLOOKUP(C10082, 'STOK RAPORU'!$C$2:$I$1000, 4, 0))), 0)</f>
        <v>0</v>
      </c>
      <c r="U10082" s="22">
        <f t="shared" si="740"/>
        <v>0</v>
      </c>
      <c r="V10082">
        <f t="shared" si="741"/>
        <v>0</v>
      </c>
      <c r="W10082" s="22">
        <f t="shared" si="742"/>
        <v>0</v>
      </c>
    </row>
    <row r="10083" spans="1:23" hidden="1" x14ac:dyDescent="0.25">
      <c r="A10083" s="4"/>
      <c r="B10083" s="4"/>
      <c r="C10083" s="4"/>
      <c r="D10083" s="4"/>
      <c r="E10083" s="4"/>
      <c r="F10083" s="4"/>
      <c r="G10083" s="4"/>
      <c r="H10083" s="4"/>
      <c r="I10083" s="4"/>
      <c r="J10083" s="21">
        <f>IFERROR(VLOOKUP(C10083,'STOK KARTLARI'!$C$2:$K$2150,8,0),0)</f>
        <v>0</v>
      </c>
      <c r="K10083" s="21">
        <f t="shared" si="743"/>
        <v>0</v>
      </c>
      <c r="L10083" s="5">
        <f t="shared" si="745"/>
        <v>0</v>
      </c>
      <c r="M10083" s="4"/>
      <c r="N10083" s="4"/>
      <c r="O10083" s="5"/>
      <c r="P10083" s="5"/>
      <c r="Q10083" s="21">
        <f t="shared" si="746"/>
        <v>0</v>
      </c>
      <c r="R10083" s="21">
        <f t="shared" si="744"/>
        <v>0</v>
      </c>
      <c r="S10083" s="5">
        <f t="shared" si="747"/>
        <v>70007.077158325032</v>
      </c>
      <c r="T10083" cm="1">
        <f t="array" ref="T10083">IF(OR(B10083="MAL ALIMI", B10083="ÜRETİM GİRİŞ"), MIN(I10083, MAX(0, I10083 + SUM(SUMIFS($I$1:I10082, $C$1:C10082, C10083, $B$1:B10082, {"MAL ALIMI","ÜRETİM GİRİŞ"})) - VLOOKUP(C10083, 'STOK RAPORU'!$C$2:$I$1000, 4, 0))), 0)</f>
        <v>0</v>
      </c>
      <c r="U10083" s="22">
        <f t="shared" si="740"/>
        <v>0</v>
      </c>
      <c r="V10083">
        <f t="shared" si="741"/>
        <v>0</v>
      </c>
      <c r="W10083" s="22">
        <f t="shared" si="742"/>
        <v>0</v>
      </c>
    </row>
    <row r="10084" spans="1:23" hidden="1" x14ac:dyDescent="0.25">
      <c r="A10084" s="4"/>
      <c r="B10084" s="4"/>
      <c r="C10084" s="4"/>
      <c r="D10084" s="4"/>
      <c r="E10084" s="4"/>
      <c r="F10084" s="4"/>
      <c r="G10084" s="4"/>
      <c r="H10084" s="4"/>
      <c r="I10084" s="4"/>
      <c r="J10084" s="21">
        <f>IFERROR(VLOOKUP(C10084,'STOK KARTLARI'!$C$2:$K$2150,8,0),0)</f>
        <v>0</v>
      </c>
      <c r="K10084" s="21">
        <f t="shared" si="743"/>
        <v>0</v>
      </c>
      <c r="L10084" s="5">
        <f t="shared" si="745"/>
        <v>0</v>
      </c>
      <c r="M10084" s="4"/>
      <c r="N10084" s="4"/>
      <c r="O10084" s="5"/>
      <c r="P10084" s="5"/>
      <c r="Q10084" s="21">
        <f t="shared" si="746"/>
        <v>0</v>
      </c>
      <c r="R10084" s="21">
        <f t="shared" si="744"/>
        <v>0</v>
      </c>
      <c r="S10084" s="5">
        <f t="shared" si="747"/>
        <v>70007.077158325032</v>
      </c>
      <c r="T10084" cm="1">
        <f t="array" ref="T10084">IF(OR(B10084="MAL ALIMI", B10084="ÜRETİM GİRİŞ"), MIN(I10084, MAX(0, I10084 + SUM(SUMIFS($I$1:I10083, $C$1:C10083, C10084, $B$1:B10083, {"MAL ALIMI","ÜRETİM GİRİŞ"})) - VLOOKUP(C10084, 'STOK RAPORU'!$C$2:$I$1000, 4, 0))), 0)</f>
        <v>0</v>
      </c>
      <c r="U10084" s="22">
        <f t="shared" si="740"/>
        <v>0</v>
      </c>
      <c r="V10084">
        <f t="shared" si="741"/>
        <v>0</v>
      </c>
      <c r="W10084" s="22">
        <f t="shared" si="742"/>
        <v>0</v>
      </c>
    </row>
    <row r="10085" spans="1:23" hidden="1" x14ac:dyDescent="0.25">
      <c r="A10085" s="3"/>
      <c r="B10085" s="4"/>
      <c r="C10085" s="4"/>
      <c r="D10085" s="4"/>
      <c r="E10085" s="4"/>
      <c r="F10085" s="4"/>
      <c r="G10085" s="4"/>
      <c r="H10085" s="4"/>
      <c r="I10085" s="4"/>
      <c r="J10085" s="21">
        <f>IFERROR(VLOOKUP(C10085,'STOK KARTLARI'!$C$2:$K$2150,8,0),0)</f>
        <v>0</v>
      </c>
      <c r="K10085" s="21">
        <f t="shared" si="743"/>
        <v>0</v>
      </c>
      <c r="L10085" s="5">
        <f t="shared" si="745"/>
        <v>0</v>
      </c>
      <c r="M10085" s="4"/>
      <c r="N10085" s="4"/>
      <c r="O10085" s="5"/>
      <c r="P10085" s="5"/>
      <c r="Q10085" s="21">
        <f t="shared" si="746"/>
        <v>0</v>
      </c>
      <c r="R10085" s="21">
        <f t="shared" si="744"/>
        <v>0</v>
      </c>
      <c r="S10085" s="5">
        <f t="shared" si="747"/>
        <v>70007.077158325032</v>
      </c>
      <c r="T10085" cm="1">
        <f t="array" ref="T10085">IF(OR(B10085="MAL ALIMI", B10085="ÜRETİM GİRİŞ"), MIN(I10085, MAX(0, I10085 + SUM(SUMIFS($I$1:I10084, $C$1:C10084, C10085, $B$1:B10084, {"MAL ALIMI","ÜRETİM GİRİŞ"})) - VLOOKUP(C10085, 'STOK RAPORU'!$C$2:$I$1000, 4, 0))), 0)</f>
        <v>0</v>
      </c>
      <c r="U10085" s="22">
        <f t="shared" si="740"/>
        <v>0</v>
      </c>
      <c r="V10085">
        <f t="shared" si="741"/>
        <v>0</v>
      </c>
      <c r="W10085" s="22">
        <f t="shared" si="742"/>
        <v>0</v>
      </c>
    </row>
    <row r="10086" spans="1:23" hidden="1" x14ac:dyDescent="0.25">
      <c r="A10086" s="4"/>
      <c r="B10086" s="4"/>
      <c r="C10086" s="4"/>
      <c r="D10086" s="4"/>
      <c r="E10086" s="4"/>
      <c r="F10086" s="4"/>
      <c r="G10086" s="4"/>
      <c r="H10086" s="4"/>
      <c r="I10086" s="4"/>
      <c r="J10086" s="21">
        <f>IFERROR(VLOOKUP(C10086,'STOK KARTLARI'!$C$2:$K$2150,8,0),0)</f>
        <v>0</v>
      </c>
      <c r="K10086" s="21">
        <f t="shared" si="743"/>
        <v>0</v>
      </c>
      <c r="L10086" s="5">
        <f t="shared" si="745"/>
        <v>0</v>
      </c>
      <c r="M10086" s="4"/>
      <c r="N10086" s="4"/>
      <c r="O10086" s="5"/>
      <c r="P10086" s="5"/>
      <c r="Q10086" s="21">
        <f t="shared" si="746"/>
        <v>0</v>
      </c>
      <c r="R10086" s="21">
        <f t="shared" si="744"/>
        <v>0</v>
      </c>
      <c r="S10086" s="5">
        <f t="shared" si="747"/>
        <v>70007.077158325032</v>
      </c>
      <c r="T10086" cm="1">
        <f t="array" ref="T10086">IF(OR(B10086="MAL ALIMI", B10086="ÜRETİM GİRİŞ"), MIN(I10086, MAX(0, I10086 + SUM(SUMIFS($I$1:I10085, $C$1:C10085, C10086, $B$1:B10085, {"MAL ALIMI","ÜRETİM GİRİŞ"})) - VLOOKUP(C10086, 'STOK RAPORU'!$C$2:$I$1000, 4, 0))), 0)</f>
        <v>0</v>
      </c>
      <c r="U10086" s="22">
        <f t="shared" si="740"/>
        <v>0</v>
      </c>
      <c r="V10086">
        <f t="shared" si="741"/>
        <v>0</v>
      </c>
      <c r="W10086" s="22">
        <f t="shared" si="742"/>
        <v>0</v>
      </c>
    </row>
    <row r="10087" spans="1:23" hidden="1" x14ac:dyDescent="0.25">
      <c r="A10087" s="4"/>
      <c r="B10087" s="4"/>
      <c r="C10087" s="4"/>
      <c r="D10087" s="4"/>
      <c r="E10087" s="4"/>
      <c r="F10087" s="4"/>
      <c r="G10087" s="4"/>
      <c r="H10087" s="4"/>
      <c r="I10087" s="4"/>
      <c r="J10087" s="21">
        <f>IFERROR(VLOOKUP(C10087,'STOK KARTLARI'!$C$2:$K$2150,8,0),0)</f>
        <v>0</v>
      </c>
      <c r="K10087" s="21">
        <f t="shared" si="743"/>
        <v>0</v>
      </c>
      <c r="L10087" s="5">
        <f t="shared" si="745"/>
        <v>0</v>
      </c>
      <c r="M10087" s="4"/>
      <c r="N10087" s="4"/>
      <c r="O10087" s="5"/>
      <c r="P10087" s="5"/>
      <c r="Q10087" s="21">
        <f t="shared" si="746"/>
        <v>0</v>
      </c>
      <c r="R10087" s="21">
        <f t="shared" si="744"/>
        <v>0</v>
      </c>
      <c r="S10087" s="5">
        <f t="shared" si="747"/>
        <v>70007.077158325032</v>
      </c>
      <c r="T10087" cm="1">
        <f t="array" ref="T10087">IF(OR(B10087="MAL ALIMI", B10087="ÜRETİM GİRİŞ"), MIN(I10087, MAX(0, I10087 + SUM(SUMIFS($I$1:I10086, $C$1:C10086, C10087, $B$1:B10086, {"MAL ALIMI","ÜRETİM GİRİŞ"})) - VLOOKUP(C10087, 'STOK RAPORU'!$C$2:$I$1000, 4, 0))), 0)</f>
        <v>0</v>
      </c>
      <c r="U10087" s="22">
        <f t="shared" si="740"/>
        <v>0</v>
      </c>
      <c r="V10087">
        <f t="shared" si="741"/>
        <v>0</v>
      </c>
      <c r="W10087" s="22">
        <f t="shared" si="742"/>
        <v>0</v>
      </c>
    </row>
    <row r="10088" spans="1:23" hidden="1" x14ac:dyDescent="0.25">
      <c r="A10088" s="4"/>
      <c r="B10088" s="4"/>
      <c r="C10088" s="4"/>
      <c r="D10088" s="4"/>
      <c r="E10088" s="4"/>
      <c r="F10088" s="4"/>
      <c r="G10088" s="4"/>
      <c r="H10088" s="4"/>
      <c r="I10088" s="4"/>
      <c r="J10088" s="21">
        <f>IFERROR(VLOOKUP(C10088,'STOK KARTLARI'!$C$2:$K$2150,8,0),0)</f>
        <v>0</v>
      </c>
      <c r="K10088" s="21">
        <f t="shared" si="743"/>
        <v>0</v>
      </c>
      <c r="L10088" s="5">
        <f t="shared" si="745"/>
        <v>0</v>
      </c>
      <c r="M10088" s="4"/>
      <c r="N10088" s="4"/>
      <c r="O10088" s="5"/>
      <c r="P10088" s="5"/>
      <c r="Q10088" s="21">
        <f t="shared" si="746"/>
        <v>0</v>
      </c>
      <c r="R10088" s="21">
        <f t="shared" si="744"/>
        <v>0</v>
      </c>
      <c r="S10088" s="5">
        <f t="shared" si="747"/>
        <v>70007.077158325032</v>
      </c>
      <c r="T10088" cm="1">
        <f t="array" ref="T10088">IF(OR(B10088="MAL ALIMI", B10088="ÜRETİM GİRİŞ"), MIN(I10088, MAX(0, I10088 + SUM(SUMIFS($I$1:I10087, $C$1:C10087, C10088, $B$1:B10087, {"MAL ALIMI","ÜRETİM GİRİŞ"})) - VLOOKUP(C10088, 'STOK RAPORU'!$C$2:$I$1000, 4, 0))), 0)</f>
        <v>0</v>
      </c>
      <c r="U10088" s="22">
        <f t="shared" si="740"/>
        <v>0</v>
      </c>
      <c r="V10088">
        <f t="shared" si="741"/>
        <v>0</v>
      </c>
      <c r="W10088" s="22">
        <f t="shared" si="742"/>
        <v>0</v>
      </c>
    </row>
    <row r="10089" spans="1:23" hidden="1" x14ac:dyDescent="0.25">
      <c r="A10089" s="4"/>
      <c r="B10089" s="4"/>
      <c r="C10089" s="4"/>
      <c r="D10089" s="4"/>
      <c r="E10089" s="4"/>
      <c r="F10089" s="4"/>
      <c r="G10089" s="4"/>
      <c r="H10089" s="4"/>
      <c r="I10089" s="4"/>
      <c r="J10089" s="21">
        <f>IFERROR(VLOOKUP(C10089,'STOK KARTLARI'!$C$2:$K$2150,8,0),0)</f>
        <v>0</v>
      </c>
      <c r="K10089" s="21">
        <f t="shared" si="743"/>
        <v>0</v>
      </c>
      <c r="L10089" s="5">
        <f t="shared" si="745"/>
        <v>0</v>
      </c>
      <c r="M10089" s="4"/>
      <c r="N10089" s="4"/>
      <c r="O10089" s="5"/>
      <c r="P10089" s="5"/>
      <c r="Q10089" s="21">
        <f t="shared" si="746"/>
        <v>0</v>
      </c>
      <c r="R10089" s="21">
        <f t="shared" si="744"/>
        <v>0</v>
      </c>
      <c r="S10089" s="5">
        <f t="shared" si="747"/>
        <v>70007.077158325032</v>
      </c>
      <c r="T10089" cm="1">
        <f t="array" ref="T10089">IF(OR(B10089="MAL ALIMI", B10089="ÜRETİM GİRİŞ"), MIN(I10089, MAX(0, I10089 + SUM(SUMIFS($I$1:I10088, $C$1:C10088, C10089, $B$1:B10088, {"MAL ALIMI","ÜRETİM GİRİŞ"})) - VLOOKUP(C10089, 'STOK RAPORU'!$C$2:$I$1000, 4, 0))), 0)</f>
        <v>0</v>
      </c>
      <c r="U10089" s="22">
        <f t="shared" si="740"/>
        <v>0</v>
      </c>
      <c r="V10089">
        <f t="shared" si="741"/>
        <v>0</v>
      </c>
      <c r="W10089" s="22">
        <f t="shared" si="742"/>
        <v>0</v>
      </c>
    </row>
    <row r="10090" spans="1:23" hidden="1" x14ac:dyDescent="0.25">
      <c r="A10090" s="4"/>
      <c r="B10090" s="4"/>
      <c r="C10090" s="4"/>
      <c r="D10090" s="4"/>
      <c r="E10090" s="4"/>
      <c r="F10090" s="4"/>
      <c r="G10090" s="4"/>
      <c r="H10090" s="4"/>
      <c r="I10090" s="4"/>
      <c r="J10090" s="21">
        <f>IFERROR(VLOOKUP(C10090,'STOK KARTLARI'!$C$2:$K$2150,8,0),0)</f>
        <v>0</v>
      </c>
      <c r="K10090" s="21">
        <f t="shared" si="743"/>
        <v>0</v>
      </c>
      <c r="L10090" s="5">
        <f t="shared" si="745"/>
        <v>0</v>
      </c>
      <c r="M10090" s="4"/>
      <c r="N10090" s="4"/>
      <c r="O10090" s="5"/>
      <c r="P10090" s="5"/>
      <c r="Q10090" s="21">
        <f t="shared" si="746"/>
        <v>0</v>
      </c>
      <c r="R10090" s="21">
        <f t="shared" si="744"/>
        <v>0</v>
      </c>
      <c r="S10090" s="5">
        <f t="shared" si="747"/>
        <v>70007.077158325032</v>
      </c>
      <c r="T10090" cm="1">
        <f t="array" ref="T10090">IF(OR(B10090="MAL ALIMI", B10090="ÜRETİM GİRİŞ"), MIN(I10090, MAX(0, I10090 + SUM(SUMIFS($I$1:I10089, $C$1:C10089, C10090, $B$1:B10089, {"MAL ALIMI","ÜRETİM GİRİŞ"})) - VLOOKUP(C10090, 'STOK RAPORU'!$C$2:$I$1000, 4, 0))), 0)</f>
        <v>0</v>
      </c>
      <c r="U10090" s="22">
        <f t="shared" si="740"/>
        <v>0</v>
      </c>
      <c r="V10090">
        <f t="shared" si="741"/>
        <v>0</v>
      </c>
      <c r="W10090" s="22">
        <f t="shared" si="742"/>
        <v>0</v>
      </c>
    </row>
    <row r="10091" spans="1:23" hidden="1" x14ac:dyDescent="0.25">
      <c r="A10091" s="4"/>
      <c r="B10091" s="4"/>
      <c r="C10091" s="4"/>
      <c r="D10091" s="4"/>
      <c r="E10091" s="4"/>
      <c r="F10091" s="4"/>
      <c r="G10091" s="4"/>
      <c r="H10091" s="4"/>
      <c r="I10091" s="4"/>
      <c r="J10091" s="21">
        <f>IFERROR(VLOOKUP(C10091,'STOK KARTLARI'!$C$2:$K$2150,8,0),0)</f>
        <v>0</v>
      </c>
      <c r="K10091" s="21">
        <f t="shared" si="743"/>
        <v>0</v>
      </c>
      <c r="L10091" s="5">
        <f t="shared" si="745"/>
        <v>0</v>
      </c>
      <c r="M10091" s="4"/>
      <c r="N10091" s="4"/>
      <c r="O10091" s="5"/>
      <c r="P10091" s="5"/>
      <c r="Q10091" s="21">
        <f t="shared" si="746"/>
        <v>0</v>
      </c>
      <c r="R10091" s="21">
        <f t="shared" si="744"/>
        <v>0</v>
      </c>
      <c r="S10091" s="5">
        <f t="shared" si="747"/>
        <v>70007.077158325032</v>
      </c>
      <c r="T10091" cm="1">
        <f t="array" ref="T10091">IF(OR(B10091="MAL ALIMI", B10091="ÜRETİM GİRİŞ"), MIN(I10091, MAX(0, I10091 + SUM(SUMIFS($I$1:I10090, $C$1:C10090, C10091, $B$1:B10090, {"MAL ALIMI","ÜRETİM GİRİŞ"})) - VLOOKUP(C10091, 'STOK RAPORU'!$C$2:$I$1000, 4, 0))), 0)</f>
        <v>0</v>
      </c>
      <c r="U10091" s="22">
        <f t="shared" si="740"/>
        <v>0</v>
      </c>
      <c r="V10091">
        <f t="shared" si="741"/>
        <v>0</v>
      </c>
      <c r="W10091" s="22">
        <f t="shared" si="742"/>
        <v>0</v>
      </c>
    </row>
    <row r="10092" spans="1:23" hidden="1" x14ac:dyDescent="0.25">
      <c r="A10092" s="3"/>
      <c r="B10092" s="4"/>
      <c r="C10092" s="4"/>
      <c r="D10092" s="4"/>
      <c r="E10092" s="4"/>
      <c r="F10092" s="4"/>
      <c r="G10092" s="4"/>
      <c r="H10092" s="4"/>
      <c r="I10092" s="4"/>
      <c r="J10092" s="21">
        <f>IFERROR(VLOOKUP(C10092,'STOK KARTLARI'!$C$2:$K$2150,8,0),0)</f>
        <v>0</v>
      </c>
      <c r="K10092" s="21">
        <f t="shared" si="743"/>
        <v>0</v>
      </c>
      <c r="L10092" s="5">
        <f t="shared" si="745"/>
        <v>0</v>
      </c>
      <c r="M10092" s="4"/>
      <c r="N10092" s="4"/>
      <c r="O10092" s="5"/>
      <c r="P10092" s="5"/>
      <c r="Q10092" s="21">
        <f t="shared" si="746"/>
        <v>0</v>
      </c>
      <c r="R10092" s="21">
        <f t="shared" si="744"/>
        <v>0</v>
      </c>
      <c r="S10092" s="5">
        <f t="shared" si="747"/>
        <v>70007.077158325032</v>
      </c>
      <c r="T10092" cm="1">
        <f t="array" ref="T10092">IF(OR(B10092="MAL ALIMI", B10092="ÜRETİM GİRİŞ"), MIN(I10092, MAX(0, I10092 + SUM(SUMIFS($I$1:I10091, $C$1:C10091, C10092, $B$1:B10091, {"MAL ALIMI","ÜRETİM GİRİŞ"})) - VLOOKUP(C10092, 'STOK RAPORU'!$C$2:$I$1000, 4, 0))), 0)</f>
        <v>0</v>
      </c>
      <c r="U10092" s="22">
        <f t="shared" si="740"/>
        <v>0</v>
      </c>
      <c r="V10092">
        <f t="shared" si="741"/>
        <v>0</v>
      </c>
      <c r="W10092" s="22">
        <f t="shared" si="742"/>
        <v>0</v>
      </c>
    </row>
    <row r="10093" spans="1:23" hidden="1" x14ac:dyDescent="0.25">
      <c r="A10093" s="4"/>
      <c r="B10093" s="4"/>
      <c r="C10093" s="4"/>
      <c r="D10093" s="4"/>
      <c r="E10093" s="4"/>
      <c r="F10093" s="4"/>
      <c r="G10093" s="4"/>
      <c r="H10093" s="4"/>
      <c r="I10093" s="4"/>
      <c r="J10093" s="21">
        <f>IFERROR(VLOOKUP(C10093,'STOK KARTLARI'!$C$2:$K$2150,8,0),0)</f>
        <v>0</v>
      </c>
      <c r="K10093" s="21">
        <f t="shared" si="743"/>
        <v>0</v>
      </c>
      <c r="L10093" s="5">
        <f t="shared" si="745"/>
        <v>0</v>
      </c>
      <c r="M10093" s="4"/>
      <c r="N10093" s="4"/>
      <c r="O10093" s="5"/>
      <c r="P10093" s="5"/>
      <c r="Q10093" s="21">
        <f t="shared" si="746"/>
        <v>0</v>
      </c>
      <c r="R10093" s="21">
        <f t="shared" si="744"/>
        <v>0</v>
      </c>
      <c r="S10093" s="5">
        <f t="shared" si="747"/>
        <v>70007.077158325032</v>
      </c>
      <c r="T10093" cm="1">
        <f t="array" ref="T10093">IF(OR(B10093="MAL ALIMI", B10093="ÜRETİM GİRİŞ"), MIN(I10093, MAX(0, I10093 + SUM(SUMIFS($I$1:I10092, $C$1:C10092, C10093, $B$1:B10092, {"MAL ALIMI","ÜRETİM GİRİŞ"})) - VLOOKUP(C10093, 'STOK RAPORU'!$C$2:$I$1000, 4, 0))), 0)</f>
        <v>0</v>
      </c>
      <c r="U10093" s="22">
        <f t="shared" si="740"/>
        <v>0</v>
      </c>
      <c r="V10093">
        <f t="shared" si="741"/>
        <v>0</v>
      </c>
      <c r="W10093" s="22">
        <f t="shared" si="742"/>
        <v>0</v>
      </c>
    </row>
    <row r="10094" spans="1:23" hidden="1" x14ac:dyDescent="0.25">
      <c r="A10094" s="4"/>
      <c r="B10094" s="4"/>
      <c r="C10094" s="4"/>
      <c r="D10094" s="4"/>
      <c r="E10094" s="4"/>
      <c r="F10094" s="4"/>
      <c r="G10094" s="4"/>
      <c r="H10094" s="4"/>
      <c r="I10094" s="4"/>
      <c r="J10094" s="21">
        <f>IFERROR(VLOOKUP(C10094,'STOK KARTLARI'!$C$2:$K$2150,8,0),0)</f>
        <v>0</v>
      </c>
      <c r="K10094" s="21">
        <f t="shared" si="743"/>
        <v>0</v>
      </c>
      <c r="L10094" s="5">
        <f t="shared" si="745"/>
        <v>0</v>
      </c>
      <c r="M10094" s="4"/>
      <c r="N10094" s="4"/>
      <c r="O10094" s="5"/>
      <c r="P10094" s="5"/>
      <c r="Q10094" s="21">
        <f t="shared" si="746"/>
        <v>0</v>
      </c>
      <c r="R10094" s="21">
        <f t="shared" si="744"/>
        <v>0</v>
      </c>
      <c r="S10094" s="5">
        <f t="shared" si="747"/>
        <v>70007.077158325032</v>
      </c>
      <c r="T10094" cm="1">
        <f t="array" ref="T10094">IF(OR(B10094="MAL ALIMI", B10094="ÜRETİM GİRİŞ"), MIN(I10094, MAX(0, I10094 + SUM(SUMIFS($I$1:I10093, $C$1:C10093, C10094, $B$1:B10093, {"MAL ALIMI","ÜRETİM GİRİŞ"})) - VLOOKUP(C10094, 'STOK RAPORU'!$C$2:$I$1000, 4, 0))), 0)</f>
        <v>0</v>
      </c>
      <c r="U10094" s="22">
        <f t="shared" si="740"/>
        <v>0</v>
      </c>
      <c r="V10094">
        <f t="shared" si="741"/>
        <v>0</v>
      </c>
      <c r="W10094" s="22">
        <f t="shared" si="742"/>
        <v>0</v>
      </c>
    </row>
    <row r="10095" spans="1:23" hidden="1" x14ac:dyDescent="0.25">
      <c r="A10095" s="4"/>
      <c r="B10095" s="4"/>
      <c r="C10095" s="4"/>
      <c r="D10095" s="4"/>
      <c r="E10095" s="4"/>
      <c r="F10095" s="4"/>
      <c r="G10095" s="4"/>
      <c r="H10095" s="4"/>
      <c r="I10095" s="4"/>
      <c r="J10095" s="21">
        <f>IFERROR(VLOOKUP(C10095,'STOK KARTLARI'!$C$2:$K$2150,8,0),0)</f>
        <v>0</v>
      </c>
      <c r="K10095" s="21">
        <f t="shared" si="743"/>
        <v>0</v>
      </c>
      <c r="L10095" s="5">
        <f t="shared" si="745"/>
        <v>0</v>
      </c>
      <c r="M10095" s="4"/>
      <c r="N10095" s="4"/>
      <c r="O10095" s="5"/>
      <c r="P10095" s="5"/>
      <c r="Q10095" s="21">
        <f t="shared" si="746"/>
        <v>0</v>
      </c>
      <c r="R10095" s="21">
        <f t="shared" si="744"/>
        <v>0</v>
      </c>
      <c r="S10095" s="5">
        <f t="shared" si="747"/>
        <v>70007.077158325032</v>
      </c>
      <c r="T10095" cm="1">
        <f t="array" ref="T10095">IF(OR(B10095="MAL ALIMI", B10095="ÜRETİM GİRİŞ"), MIN(I10095, MAX(0, I10095 + SUM(SUMIFS($I$1:I10094, $C$1:C10094, C10095, $B$1:B10094, {"MAL ALIMI","ÜRETİM GİRİŞ"})) - VLOOKUP(C10095, 'STOK RAPORU'!$C$2:$I$1000, 4, 0))), 0)</f>
        <v>0</v>
      </c>
      <c r="U10095" s="22">
        <f t="shared" ref="U10095:U10158" si="748">T10095*J10095</f>
        <v>0</v>
      </c>
      <c r="V10095">
        <f t="shared" ref="V10095:V10158" si="749">IF(OR(B10095="MAL ALIMI", B10095="ÜRETİM GİRİŞ"), I10095 * J10095, 0)</f>
        <v>0</v>
      </c>
      <c r="W10095" s="22">
        <f t="shared" ref="W10095:W10158" si="750">V10095-U10095</f>
        <v>0</v>
      </c>
    </row>
    <row r="10096" spans="1:23" hidden="1" x14ac:dyDescent="0.25">
      <c r="A10096" s="4"/>
      <c r="B10096" s="4"/>
      <c r="C10096" s="4"/>
      <c r="D10096" s="4"/>
      <c r="E10096" s="4"/>
      <c r="F10096" s="4"/>
      <c r="G10096" s="4"/>
      <c r="H10096" s="4"/>
      <c r="I10096" s="4"/>
      <c r="J10096" s="21">
        <f>IFERROR(VLOOKUP(C10096,'STOK KARTLARI'!$C$2:$K$2150,8,0),0)</f>
        <v>0</v>
      </c>
      <c r="K10096" s="21">
        <f t="shared" si="743"/>
        <v>0</v>
      </c>
      <c r="L10096" s="5">
        <f t="shared" si="745"/>
        <v>0</v>
      </c>
      <c r="M10096" s="4"/>
      <c r="N10096" s="4"/>
      <c r="O10096" s="5"/>
      <c r="P10096" s="5"/>
      <c r="Q10096" s="21">
        <f t="shared" si="746"/>
        <v>0</v>
      </c>
      <c r="R10096" s="21">
        <f t="shared" si="744"/>
        <v>0</v>
      </c>
      <c r="S10096" s="5">
        <f t="shared" si="747"/>
        <v>70007.077158325032</v>
      </c>
      <c r="T10096" cm="1">
        <f t="array" ref="T10096">IF(OR(B10096="MAL ALIMI", B10096="ÜRETİM GİRİŞ"), MIN(I10096, MAX(0, I10096 + SUM(SUMIFS($I$1:I10095, $C$1:C10095, C10096, $B$1:B10095, {"MAL ALIMI","ÜRETİM GİRİŞ"})) - VLOOKUP(C10096, 'STOK RAPORU'!$C$2:$I$1000, 4, 0))), 0)</f>
        <v>0</v>
      </c>
      <c r="U10096" s="22">
        <f t="shared" si="748"/>
        <v>0</v>
      </c>
      <c r="V10096">
        <f t="shared" si="749"/>
        <v>0</v>
      </c>
      <c r="W10096" s="22">
        <f t="shared" si="750"/>
        <v>0</v>
      </c>
    </row>
    <row r="10097" spans="1:23" hidden="1" x14ac:dyDescent="0.25">
      <c r="A10097" s="4"/>
      <c r="B10097" s="4"/>
      <c r="C10097" s="4"/>
      <c r="D10097" s="4"/>
      <c r="E10097" s="4"/>
      <c r="F10097" s="4"/>
      <c r="G10097" s="4"/>
      <c r="H10097" s="4"/>
      <c r="I10097" s="4"/>
      <c r="J10097" s="21">
        <f>IFERROR(VLOOKUP(C10097,'STOK KARTLARI'!$C$2:$K$2150,8,0),0)</f>
        <v>0</v>
      </c>
      <c r="K10097" s="21">
        <f t="shared" si="743"/>
        <v>0</v>
      </c>
      <c r="L10097" s="5">
        <f t="shared" si="745"/>
        <v>0</v>
      </c>
      <c r="M10097" s="4"/>
      <c r="N10097" s="4"/>
      <c r="O10097" s="5"/>
      <c r="P10097" s="5"/>
      <c r="Q10097" s="21">
        <f t="shared" si="746"/>
        <v>0</v>
      </c>
      <c r="R10097" s="21">
        <f t="shared" si="744"/>
        <v>0</v>
      </c>
      <c r="S10097" s="5">
        <f t="shared" si="747"/>
        <v>70007.077158325032</v>
      </c>
      <c r="T10097" cm="1">
        <f t="array" ref="T10097">IF(OR(B10097="MAL ALIMI", B10097="ÜRETİM GİRİŞ"), MIN(I10097, MAX(0, I10097 + SUM(SUMIFS($I$1:I10096, $C$1:C10096, C10097, $B$1:B10096, {"MAL ALIMI","ÜRETİM GİRİŞ"})) - VLOOKUP(C10097, 'STOK RAPORU'!$C$2:$I$1000, 4, 0))), 0)</f>
        <v>0</v>
      </c>
      <c r="U10097" s="22">
        <f t="shared" si="748"/>
        <v>0</v>
      </c>
      <c r="V10097">
        <f t="shared" si="749"/>
        <v>0</v>
      </c>
      <c r="W10097" s="22">
        <f t="shared" si="750"/>
        <v>0</v>
      </c>
    </row>
    <row r="10098" spans="1:23" hidden="1" x14ac:dyDescent="0.25">
      <c r="A10098" s="4"/>
      <c r="B10098" s="4"/>
      <c r="C10098" s="4"/>
      <c r="D10098" s="4"/>
      <c r="E10098" s="4"/>
      <c r="F10098" s="4"/>
      <c r="G10098" s="4"/>
      <c r="H10098" s="4"/>
      <c r="I10098" s="4"/>
      <c r="J10098" s="21">
        <f>IFERROR(VLOOKUP(C10098,'STOK KARTLARI'!$C$2:$K$2150,8,0),0)</f>
        <v>0</v>
      </c>
      <c r="K10098" s="21">
        <f t="shared" si="743"/>
        <v>0</v>
      </c>
      <c r="L10098" s="5">
        <f t="shared" si="745"/>
        <v>0</v>
      </c>
      <c r="M10098" s="4"/>
      <c r="N10098" s="4"/>
      <c r="O10098" s="5"/>
      <c r="P10098" s="5"/>
      <c r="Q10098" s="21">
        <f t="shared" si="746"/>
        <v>0</v>
      </c>
      <c r="R10098" s="21">
        <f t="shared" si="744"/>
        <v>0</v>
      </c>
      <c r="S10098" s="5">
        <f t="shared" si="747"/>
        <v>70007.077158325032</v>
      </c>
      <c r="T10098" cm="1">
        <f t="array" ref="T10098">IF(OR(B10098="MAL ALIMI", B10098="ÜRETİM GİRİŞ"), MIN(I10098, MAX(0, I10098 + SUM(SUMIFS($I$1:I10097, $C$1:C10097, C10098, $B$1:B10097, {"MAL ALIMI","ÜRETİM GİRİŞ"})) - VLOOKUP(C10098, 'STOK RAPORU'!$C$2:$I$1000, 4, 0))), 0)</f>
        <v>0</v>
      </c>
      <c r="U10098" s="22">
        <f t="shared" si="748"/>
        <v>0</v>
      </c>
      <c r="V10098">
        <f t="shared" si="749"/>
        <v>0</v>
      </c>
      <c r="W10098" s="22">
        <f t="shared" si="750"/>
        <v>0</v>
      </c>
    </row>
    <row r="10099" spans="1:23" hidden="1" x14ac:dyDescent="0.25">
      <c r="A10099" s="3"/>
      <c r="B10099" s="4"/>
      <c r="C10099" s="4"/>
      <c r="D10099" s="4"/>
      <c r="E10099" s="4"/>
      <c r="F10099" s="4"/>
      <c r="G10099" s="4"/>
      <c r="H10099" s="4"/>
      <c r="I10099" s="4"/>
      <c r="J10099" s="21">
        <f>IFERROR(VLOOKUP(C10099,'STOK KARTLARI'!$C$2:$K$2150,8,0),0)</f>
        <v>0</v>
      </c>
      <c r="K10099" s="21">
        <f t="shared" ref="K10099:K10162" si="751">IF(AND(B10099="MAL SATIŞI", H10099="POS"),I10099*J10099,0)</f>
        <v>0</v>
      </c>
      <c r="L10099" s="5">
        <f t="shared" si="745"/>
        <v>0</v>
      </c>
      <c r="M10099" s="4"/>
      <c r="N10099" s="4"/>
      <c r="O10099" s="5"/>
      <c r="P10099" s="5"/>
      <c r="Q10099" s="21">
        <f t="shared" si="746"/>
        <v>0</v>
      </c>
      <c r="R10099" s="21">
        <f t="shared" ref="R10099:R10162" si="752">IF(AND(E10099="", B10099&lt;&gt;"MAL SATIŞI"),I10099*J10099,0)</f>
        <v>0</v>
      </c>
      <c r="S10099" s="5">
        <f t="shared" si="747"/>
        <v>70007.077158325032</v>
      </c>
      <c r="T10099" cm="1">
        <f t="array" ref="T10099">IF(OR(B10099="MAL ALIMI", B10099="ÜRETİM GİRİŞ"), MIN(I10099, MAX(0, I10099 + SUM(SUMIFS($I$1:I10098, $C$1:C10098, C10099, $B$1:B10098, {"MAL ALIMI","ÜRETİM GİRİŞ"})) - VLOOKUP(C10099, 'STOK RAPORU'!$C$2:$I$1000, 4, 0))), 0)</f>
        <v>0</v>
      </c>
      <c r="U10099" s="22">
        <f t="shared" si="748"/>
        <v>0</v>
      </c>
      <c r="V10099">
        <f t="shared" si="749"/>
        <v>0</v>
      </c>
      <c r="W10099" s="22">
        <f t="shared" si="750"/>
        <v>0</v>
      </c>
    </row>
    <row r="10100" spans="1:23" hidden="1" x14ac:dyDescent="0.25">
      <c r="A10100" s="4"/>
      <c r="B10100" s="4"/>
      <c r="C10100" s="4"/>
      <c r="D10100" s="4"/>
      <c r="E10100" s="4"/>
      <c r="F10100" s="4"/>
      <c r="G10100" s="4"/>
      <c r="H10100" s="4"/>
      <c r="I10100" s="4"/>
      <c r="J10100" s="21">
        <f>IFERROR(VLOOKUP(C10100,'STOK KARTLARI'!$C$2:$K$2150,8,0),0)</f>
        <v>0</v>
      </c>
      <c r="K10100" s="21">
        <f t="shared" si="751"/>
        <v>0</v>
      </c>
      <c r="L10100" s="5">
        <f t="shared" ref="L10100:L10163" si="753">IF(OR(E10100="", H10100="POS"),0,I10100*J10100)</f>
        <v>0</v>
      </c>
      <c r="M10100" s="4"/>
      <c r="N10100" s="4"/>
      <c r="O10100" s="5"/>
      <c r="P10100" s="5"/>
      <c r="Q10100" s="21">
        <f t="shared" ref="Q10100:Q10163" si="754">IF(AND(E10100="", B10100="MAL SATIŞI", H10100="NAKİT"),I10100*J10100,0)</f>
        <v>0</v>
      </c>
      <c r="R10100" s="21">
        <f t="shared" si="752"/>
        <v>0</v>
      </c>
      <c r="S10100" s="5">
        <f t="shared" si="747"/>
        <v>70007.077158325032</v>
      </c>
      <c r="T10100" cm="1">
        <f t="array" ref="T10100">IF(OR(B10100="MAL ALIMI", B10100="ÜRETİM GİRİŞ"), MIN(I10100, MAX(0, I10100 + SUM(SUMIFS($I$1:I10099, $C$1:C10099, C10100, $B$1:B10099, {"MAL ALIMI","ÜRETİM GİRİŞ"})) - VLOOKUP(C10100, 'STOK RAPORU'!$C$2:$I$1000, 4, 0))), 0)</f>
        <v>0</v>
      </c>
      <c r="U10100" s="22">
        <f t="shared" si="748"/>
        <v>0</v>
      </c>
      <c r="V10100">
        <f t="shared" si="749"/>
        <v>0</v>
      </c>
      <c r="W10100" s="22">
        <f t="shared" si="750"/>
        <v>0</v>
      </c>
    </row>
    <row r="10101" spans="1:23" hidden="1" x14ac:dyDescent="0.25">
      <c r="A10101" s="4"/>
      <c r="B10101" s="4"/>
      <c r="C10101" s="4"/>
      <c r="D10101" s="4"/>
      <c r="E10101" s="4"/>
      <c r="F10101" s="4"/>
      <c r="G10101" s="4"/>
      <c r="H10101" s="4"/>
      <c r="I10101" s="4"/>
      <c r="J10101" s="21">
        <f>IFERROR(VLOOKUP(C10101,'STOK KARTLARI'!$C$2:$K$2150,8,0),0)</f>
        <v>0</v>
      </c>
      <c r="K10101" s="21">
        <f t="shared" si="751"/>
        <v>0</v>
      </c>
      <c r="L10101" s="5">
        <f t="shared" si="753"/>
        <v>0</v>
      </c>
      <c r="M10101" s="4"/>
      <c r="N10101" s="4"/>
      <c r="O10101" s="5"/>
      <c r="P10101" s="5"/>
      <c r="Q10101" s="21">
        <f t="shared" si="754"/>
        <v>0</v>
      </c>
      <c r="R10101" s="21">
        <f t="shared" si="752"/>
        <v>0</v>
      </c>
      <c r="S10101" s="5">
        <f t="shared" si="747"/>
        <v>70007.077158325032</v>
      </c>
      <c r="T10101" cm="1">
        <f t="array" ref="T10101">IF(OR(B10101="MAL ALIMI", B10101="ÜRETİM GİRİŞ"), MIN(I10101, MAX(0, I10101 + SUM(SUMIFS($I$1:I10100, $C$1:C10100, C10101, $B$1:B10100, {"MAL ALIMI","ÜRETİM GİRİŞ"})) - VLOOKUP(C10101, 'STOK RAPORU'!$C$2:$I$1000, 4, 0))), 0)</f>
        <v>0</v>
      </c>
      <c r="U10101" s="22">
        <f t="shared" si="748"/>
        <v>0</v>
      </c>
      <c r="V10101">
        <f t="shared" si="749"/>
        <v>0</v>
      </c>
      <c r="W10101" s="22">
        <f t="shared" si="750"/>
        <v>0</v>
      </c>
    </row>
    <row r="10102" spans="1:23" hidden="1" x14ac:dyDescent="0.25">
      <c r="A10102" s="4"/>
      <c r="B10102" s="4"/>
      <c r="C10102" s="4"/>
      <c r="D10102" s="4"/>
      <c r="E10102" s="4"/>
      <c r="F10102" s="4"/>
      <c r="G10102" s="4"/>
      <c r="H10102" s="4"/>
      <c r="I10102" s="4"/>
      <c r="J10102" s="21">
        <f>IFERROR(VLOOKUP(C10102,'STOK KARTLARI'!$C$2:$K$2150,8,0),0)</f>
        <v>0</v>
      </c>
      <c r="K10102" s="21">
        <f t="shared" si="751"/>
        <v>0</v>
      </c>
      <c r="L10102" s="5">
        <f t="shared" si="753"/>
        <v>0</v>
      </c>
      <c r="M10102" s="4"/>
      <c r="N10102" s="4"/>
      <c r="O10102" s="5"/>
      <c r="P10102" s="5"/>
      <c r="Q10102" s="21">
        <f t="shared" si="754"/>
        <v>0</v>
      </c>
      <c r="R10102" s="21">
        <f t="shared" si="752"/>
        <v>0</v>
      </c>
      <c r="S10102" s="5">
        <f t="shared" si="747"/>
        <v>70007.077158325032</v>
      </c>
      <c r="T10102" cm="1">
        <f t="array" ref="T10102">IF(OR(B10102="MAL ALIMI", B10102="ÜRETİM GİRİŞ"), MIN(I10102, MAX(0, I10102 + SUM(SUMIFS($I$1:I10101, $C$1:C10101, C10102, $B$1:B10101, {"MAL ALIMI","ÜRETİM GİRİŞ"})) - VLOOKUP(C10102, 'STOK RAPORU'!$C$2:$I$1000, 4, 0))), 0)</f>
        <v>0</v>
      </c>
      <c r="U10102" s="22">
        <f t="shared" si="748"/>
        <v>0</v>
      </c>
      <c r="V10102">
        <f t="shared" si="749"/>
        <v>0</v>
      </c>
      <c r="W10102" s="22">
        <f t="shared" si="750"/>
        <v>0</v>
      </c>
    </row>
    <row r="10103" spans="1:23" hidden="1" x14ac:dyDescent="0.25">
      <c r="A10103" s="4"/>
      <c r="B10103" s="4"/>
      <c r="C10103" s="4"/>
      <c r="D10103" s="4"/>
      <c r="E10103" s="4"/>
      <c r="F10103" s="4"/>
      <c r="G10103" s="4"/>
      <c r="H10103" s="4"/>
      <c r="I10103" s="4"/>
      <c r="J10103" s="21">
        <f>IFERROR(VLOOKUP(C10103,'STOK KARTLARI'!$C$2:$K$2150,8,0),0)</f>
        <v>0</v>
      </c>
      <c r="K10103" s="21">
        <f t="shared" si="751"/>
        <v>0</v>
      </c>
      <c r="L10103" s="5">
        <f t="shared" si="753"/>
        <v>0</v>
      </c>
      <c r="M10103" s="4"/>
      <c r="N10103" s="4"/>
      <c r="O10103" s="5"/>
      <c r="P10103" s="5"/>
      <c r="Q10103" s="21">
        <f t="shared" si="754"/>
        <v>0</v>
      </c>
      <c r="R10103" s="21">
        <f t="shared" si="752"/>
        <v>0</v>
      </c>
      <c r="S10103" s="5">
        <f t="shared" si="747"/>
        <v>70007.077158325032</v>
      </c>
      <c r="T10103" cm="1">
        <f t="array" ref="T10103">IF(OR(B10103="MAL ALIMI", B10103="ÜRETİM GİRİŞ"), MIN(I10103, MAX(0, I10103 + SUM(SUMIFS($I$1:I10102, $C$1:C10102, C10103, $B$1:B10102, {"MAL ALIMI","ÜRETİM GİRİŞ"})) - VLOOKUP(C10103, 'STOK RAPORU'!$C$2:$I$1000, 4, 0))), 0)</f>
        <v>0</v>
      </c>
      <c r="U10103" s="22">
        <f t="shared" si="748"/>
        <v>0</v>
      </c>
      <c r="V10103">
        <f t="shared" si="749"/>
        <v>0</v>
      </c>
      <c r="W10103" s="22">
        <f t="shared" si="750"/>
        <v>0</v>
      </c>
    </row>
    <row r="10104" spans="1:23" hidden="1" x14ac:dyDescent="0.25">
      <c r="A10104" s="4"/>
      <c r="B10104" s="4"/>
      <c r="C10104" s="4"/>
      <c r="D10104" s="4"/>
      <c r="E10104" s="4"/>
      <c r="F10104" s="4"/>
      <c r="G10104" s="4"/>
      <c r="H10104" s="4"/>
      <c r="I10104" s="4"/>
      <c r="J10104" s="21">
        <f>IFERROR(VLOOKUP(C10104,'STOK KARTLARI'!$C$2:$K$2150,8,0),0)</f>
        <v>0</v>
      </c>
      <c r="K10104" s="21">
        <f t="shared" si="751"/>
        <v>0</v>
      </c>
      <c r="L10104" s="5">
        <f t="shared" si="753"/>
        <v>0</v>
      </c>
      <c r="M10104" s="4"/>
      <c r="N10104" s="4"/>
      <c r="O10104" s="5"/>
      <c r="P10104" s="5"/>
      <c r="Q10104" s="21">
        <f t="shared" si="754"/>
        <v>0</v>
      </c>
      <c r="R10104" s="21">
        <f t="shared" si="752"/>
        <v>0</v>
      </c>
      <c r="S10104" s="5">
        <f t="shared" si="747"/>
        <v>70007.077158325032</v>
      </c>
      <c r="T10104" cm="1">
        <f t="array" ref="T10104">IF(OR(B10104="MAL ALIMI", B10104="ÜRETİM GİRİŞ"), MIN(I10104, MAX(0, I10104 + SUM(SUMIFS($I$1:I10103, $C$1:C10103, C10104, $B$1:B10103, {"MAL ALIMI","ÜRETİM GİRİŞ"})) - VLOOKUP(C10104, 'STOK RAPORU'!$C$2:$I$1000, 4, 0))), 0)</f>
        <v>0</v>
      </c>
      <c r="U10104" s="22">
        <f t="shared" si="748"/>
        <v>0</v>
      </c>
      <c r="V10104">
        <f t="shared" si="749"/>
        <v>0</v>
      </c>
      <c r="W10104" s="22">
        <f t="shared" si="750"/>
        <v>0</v>
      </c>
    </row>
    <row r="10105" spans="1:23" hidden="1" x14ac:dyDescent="0.25">
      <c r="A10105" s="4"/>
      <c r="B10105" s="4"/>
      <c r="C10105" s="4"/>
      <c r="D10105" s="4"/>
      <c r="E10105" s="4"/>
      <c r="F10105" s="4"/>
      <c r="G10105" s="4"/>
      <c r="H10105" s="4"/>
      <c r="I10105" s="4"/>
      <c r="J10105" s="21">
        <f>IFERROR(VLOOKUP(C10105,'STOK KARTLARI'!$C$2:$K$2150,8,0),0)</f>
        <v>0</v>
      </c>
      <c r="K10105" s="21">
        <f t="shared" si="751"/>
        <v>0</v>
      </c>
      <c r="L10105" s="5">
        <f t="shared" si="753"/>
        <v>0</v>
      </c>
      <c r="M10105" s="4"/>
      <c r="N10105" s="4"/>
      <c r="O10105" s="5"/>
      <c r="P10105" s="5"/>
      <c r="Q10105" s="21">
        <f t="shared" si="754"/>
        <v>0</v>
      </c>
      <c r="R10105" s="21">
        <f t="shared" si="752"/>
        <v>0</v>
      </c>
      <c r="S10105" s="5">
        <f t="shared" si="747"/>
        <v>70007.077158325032</v>
      </c>
      <c r="T10105" cm="1">
        <f t="array" ref="T10105">IF(OR(B10105="MAL ALIMI", B10105="ÜRETİM GİRİŞ"), MIN(I10105, MAX(0, I10105 + SUM(SUMIFS($I$1:I10104, $C$1:C10104, C10105, $B$1:B10104, {"MAL ALIMI","ÜRETİM GİRİŞ"})) - VLOOKUP(C10105, 'STOK RAPORU'!$C$2:$I$1000, 4, 0))), 0)</f>
        <v>0</v>
      </c>
      <c r="U10105" s="22">
        <f t="shared" si="748"/>
        <v>0</v>
      </c>
      <c r="V10105">
        <f t="shared" si="749"/>
        <v>0</v>
      </c>
      <c r="W10105" s="22">
        <f t="shared" si="750"/>
        <v>0</v>
      </c>
    </row>
    <row r="10106" spans="1:23" hidden="1" x14ac:dyDescent="0.25">
      <c r="A10106" s="3"/>
      <c r="B10106" s="4"/>
      <c r="C10106" s="4"/>
      <c r="D10106" s="4"/>
      <c r="E10106" s="4"/>
      <c r="F10106" s="4"/>
      <c r="G10106" s="4"/>
      <c r="H10106" s="4"/>
      <c r="I10106" s="4"/>
      <c r="J10106" s="21">
        <f>IFERROR(VLOOKUP(C10106,'STOK KARTLARI'!$C$2:$K$2150,8,0),0)</f>
        <v>0</v>
      </c>
      <c r="K10106" s="21">
        <f t="shared" si="751"/>
        <v>0</v>
      </c>
      <c r="L10106" s="5">
        <f t="shared" si="753"/>
        <v>0</v>
      </c>
      <c r="M10106" s="4"/>
      <c r="N10106" s="4"/>
      <c r="O10106" s="5"/>
      <c r="P10106" s="5"/>
      <c r="Q10106" s="21">
        <f t="shared" si="754"/>
        <v>0</v>
      </c>
      <c r="R10106" s="21">
        <f t="shared" si="752"/>
        <v>0</v>
      </c>
      <c r="S10106" s="5">
        <f t="shared" si="747"/>
        <v>70007.077158325032</v>
      </c>
      <c r="T10106" cm="1">
        <f t="array" ref="T10106">IF(OR(B10106="MAL ALIMI", B10106="ÜRETİM GİRİŞ"), MIN(I10106, MAX(0, I10106 + SUM(SUMIFS($I$1:I10105, $C$1:C10105, C10106, $B$1:B10105, {"MAL ALIMI","ÜRETİM GİRİŞ"})) - VLOOKUP(C10106, 'STOK RAPORU'!$C$2:$I$1000, 4, 0))), 0)</f>
        <v>0</v>
      </c>
      <c r="U10106" s="22">
        <f t="shared" si="748"/>
        <v>0</v>
      </c>
      <c r="V10106">
        <f t="shared" si="749"/>
        <v>0</v>
      </c>
      <c r="W10106" s="22">
        <f t="shared" si="750"/>
        <v>0</v>
      </c>
    </row>
    <row r="10107" spans="1:23" hidden="1" x14ac:dyDescent="0.25">
      <c r="A10107" s="4"/>
      <c r="B10107" s="4"/>
      <c r="C10107" s="4"/>
      <c r="D10107" s="4"/>
      <c r="E10107" s="4"/>
      <c r="F10107" s="4"/>
      <c r="G10107" s="4"/>
      <c r="H10107" s="4"/>
      <c r="I10107" s="4"/>
      <c r="J10107" s="21">
        <f>IFERROR(VLOOKUP(C10107,'STOK KARTLARI'!$C$2:$K$2150,8,0),0)</f>
        <v>0</v>
      </c>
      <c r="K10107" s="21">
        <f t="shared" si="751"/>
        <v>0</v>
      </c>
      <c r="L10107" s="5">
        <f t="shared" si="753"/>
        <v>0</v>
      </c>
      <c r="M10107" s="4"/>
      <c r="N10107" s="4"/>
      <c r="O10107" s="5"/>
      <c r="P10107" s="5"/>
      <c r="Q10107" s="21">
        <f t="shared" si="754"/>
        <v>0</v>
      </c>
      <c r="R10107" s="21">
        <f t="shared" si="752"/>
        <v>0</v>
      </c>
      <c r="S10107" s="5">
        <f t="shared" si="747"/>
        <v>70007.077158325032</v>
      </c>
      <c r="T10107" cm="1">
        <f t="array" ref="T10107">IF(OR(B10107="MAL ALIMI", B10107="ÜRETİM GİRİŞ"), MIN(I10107, MAX(0, I10107 + SUM(SUMIFS($I$1:I10106, $C$1:C10106, C10107, $B$1:B10106, {"MAL ALIMI","ÜRETİM GİRİŞ"})) - VLOOKUP(C10107, 'STOK RAPORU'!$C$2:$I$1000, 4, 0))), 0)</f>
        <v>0</v>
      </c>
      <c r="U10107" s="22">
        <f t="shared" si="748"/>
        <v>0</v>
      </c>
      <c r="V10107">
        <f t="shared" si="749"/>
        <v>0</v>
      </c>
      <c r="W10107" s="22">
        <f t="shared" si="750"/>
        <v>0</v>
      </c>
    </row>
    <row r="10108" spans="1:23" hidden="1" x14ac:dyDescent="0.25">
      <c r="A10108" s="4"/>
      <c r="B10108" s="4"/>
      <c r="C10108" s="4"/>
      <c r="D10108" s="4"/>
      <c r="E10108" s="4"/>
      <c r="F10108" s="4"/>
      <c r="G10108" s="4"/>
      <c r="H10108" s="4"/>
      <c r="I10108" s="4"/>
      <c r="J10108" s="21">
        <f>IFERROR(VLOOKUP(C10108,'STOK KARTLARI'!$C$2:$K$2150,8,0),0)</f>
        <v>0</v>
      </c>
      <c r="K10108" s="21">
        <f t="shared" si="751"/>
        <v>0</v>
      </c>
      <c r="L10108" s="5">
        <f t="shared" si="753"/>
        <v>0</v>
      </c>
      <c r="M10108" s="4"/>
      <c r="N10108" s="4"/>
      <c r="O10108" s="5"/>
      <c r="P10108" s="5"/>
      <c r="Q10108" s="21">
        <f t="shared" si="754"/>
        <v>0</v>
      </c>
      <c r="R10108" s="21">
        <f t="shared" si="752"/>
        <v>0</v>
      </c>
      <c r="S10108" s="5">
        <f t="shared" si="747"/>
        <v>70007.077158325032</v>
      </c>
      <c r="T10108" cm="1">
        <f t="array" ref="T10108">IF(OR(B10108="MAL ALIMI", B10108="ÜRETİM GİRİŞ"), MIN(I10108, MAX(0, I10108 + SUM(SUMIFS($I$1:I10107, $C$1:C10107, C10108, $B$1:B10107, {"MAL ALIMI","ÜRETİM GİRİŞ"})) - VLOOKUP(C10108, 'STOK RAPORU'!$C$2:$I$1000, 4, 0))), 0)</f>
        <v>0</v>
      </c>
      <c r="U10108" s="22">
        <f t="shared" si="748"/>
        <v>0</v>
      </c>
      <c r="V10108">
        <f t="shared" si="749"/>
        <v>0</v>
      </c>
      <c r="W10108" s="22">
        <f t="shared" si="750"/>
        <v>0</v>
      </c>
    </row>
    <row r="10109" spans="1:23" hidden="1" x14ac:dyDescent="0.25">
      <c r="A10109" s="4"/>
      <c r="B10109" s="4"/>
      <c r="C10109" s="4"/>
      <c r="D10109" s="4"/>
      <c r="E10109" s="4"/>
      <c r="F10109" s="4"/>
      <c r="G10109" s="4"/>
      <c r="H10109" s="4"/>
      <c r="I10109" s="4"/>
      <c r="J10109" s="21">
        <f>IFERROR(VLOOKUP(C10109,'STOK KARTLARI'!$C$2:$K$2150,8,0),0)</f>
        <v>0</v>
      </c>
      <c r="K10109" s="21">
        <f t="shared" si="751"/>
        <v>0</v>
      </c>
      <c r="L10109" s="5">
        <f t="shared" si="753"/>
        <v>0</v>
      </c>
      <c r="M10109" s="4"/>
      <c r="N10109" s="4"/>
      <c r="O10109" s="5"/>
      <c r="P10109" s="5"/>
      <c r="Q10109" s="21">
        <f t="shared" si="754"/>
        <v>0</v>
      </c>
      <c r="R10109" s="21">
        <f t="shared" si="752"/>
        <v>0</v>
      </c>
      <c r="S10109" s="5">
        <f t="shared" si="747"/>
        <v>70007.077158325032</v>
      </c>
      <c r="T10109" cm="1">
        <f t="array" ref="T10109">IF(OR(B10109="MAL ALIMI", B10109="ÜRETİM GİRİŞ"), MIN(I10109, MAX(0, I10109 + SUM(SUMIFS($I$1:I10108, $C$1:C10108, C10109, $B$1:B10108, {"MAL ALIMI","ÜRETİM GİRİŞ"})) - VLOOKUP(C10109, 'STOK RAPORU'!$C$2:$I$1000, 4, 0))), 0)</f>
        <v>0</v>
      </c>
      <c r="U10109" s="22">
        <f t="shared" si="748"/>
        <v>0</v>
      </c>
      <c r="V10109">
        <f t="shared" si="749"/>
        <v>0</v>
      </c>
      <c r="W10109" s="22">
        <f t="shared" si="750"/>
        <v>0</v>
      </c>
    </row>
    <row r="10110" spans="1:23" hidden="1" x14ac:dyDescent="0.25">
      <c r="A10110" s="4"/>
      <c r="B10110" s="4"/>
      <c r="C10110" s="4"/>
      <c r="D10110" s="4"/>
      <c r="E10110" s="4"/>
      <c r="F10110" s="4"/>
      <c r="G10110" s="4"/>
      <c r="H10110" s="4"/>
      <c r="I10110" s="4"/>
      <c r="J10110" s="21">
        <f>IFERROR(VLOOKUP(C10110,'STOK KARTLARI'!$C$2:$K$2150,8,0),0)</f>
        <v>0</v>
      </c>
      <c r="K10110" s="21">
        <f t="shared" si="751"/>
        <v>0</v>
      </c>
      <c r="L10110" s="5">
        <f t="shared" si="753"/>
        <v>0</v>
      </c>
      <c r="M10110" s="4"/>
      <c r="N10110" s="4"/>
      <c r="O10110" s="5"/>
      <c r="P10110" s="5"/>
      <c r="Q10110" s="21">
        <f t="shared" si="754"/>
        <v>0</v>
      </c>
      <c r="R10110" s="21">
        <f t="shared" si="752"/>
        <v>0</v>
      </c>
      <c r="S10110" s="5">
        <f t="shared" si="747"/>
        <v>70007.077158325032</v>
      </c>
      <c r="T10110" cm="1">
        <f t="array" ref="T10110">IF(OR(B10110="MAL ALIMI", B10110="ÜRETİM GİRİŞ"), MIN(I10110, MAX(0, I10110 + SUM(SUMIFS($I$1:I10109, $C$1:C10109, C10110, $B$1:B10109, {"MAL ALIMI","ÜRETİM GİRİŞ"})) - VLOOKUP(C10110, 'STOK RAPORU'!$C$2:$I$1000, 4, 0))), 0)</f>
        <v>0</v>
      </c>
      <c r="U10110" s="22">
        <f t="shared" si="748"/>
        <v>0</v>
      </c>
      <c r="V10110">
        <f t="shared" si="749"/>
        <v>0</v>
      </c>
      <c r="W10110" s="22">
        <f t="shared" si="750"/>
        <v>0</v>
      </c>
    </row>
    <row r="10111" spans="1:23" hidden="1" x14ac:dyDescent="0.25">
      <c r="A10111" s="4"/>
      <c r="B10111" s="4"/>
      <c r="C10111" s="4"/>
      <c r="D10111" s="4"/>
      <c r="E10111" s="4"/>
      <c r="F10111" s="4"/>
      <c r="G10111" s="4"/>
      <c r="H10111" s="4"/>
      <c r="I10111" s="4"/>
      <c r="J10111" s="21">
        <f>IFERROR(VLOOKUP(C10111,'STOK KARTLARI'!$C$2:$K$2150,8,0),0)</f>
        <v>0</v>
      </c>
      <c r="K10111" s="21">
        <f t="shared" si="751"/>
        <v>0</v>
      </c>
      <c r="L10111" s="5">
        <f t="shared" si="753"/>
        <v>0</v>
      </c>
      <c r="M10111" s="4"/>
      <c r="N10111" s="4"/>
      <c r="O10111" s="5"/>
      <c r="P10111" s="5"/>
      <c r="Q10111" s="21">
        <f t="shared" si="754"/>
        <v>0</v>
      </c>
      <c r="R10111" s="21">
        <f t="shared" si="752"/>
        <v>0</v>
      </c>
      <c r="S10111" s="5">
        <f t="shared" si="747"/>
        <v>70007.077158325032</v>
      </c>
      <c r="T10111" cm="1">
        <f t="array" ref="T10111">IF(OR(B10111="MAL ALIMI", B10111="ÜRETİM GİRİŞ"), MIN(I10111, MAX(0, I10111 + SUM(SUMIFS($I$1:I10110, $C$1:C10110, C10111, $B$1:B10110, {"MAL ALIMI","ÜRETİM GİRİŞ"})) - VLOOKUP(C10111, 'STOK RAPORU'!$C$2:$I$1000, 4, 0))), 0)</f>
        <v>0</v>
      </c>
      <c r="U10111" s="22">
        <f t="shared" si="748"/>
        <v>0</v>
      </c>
      <c r="V10111">
        <f t="shared" si="749"/>
        <v>0</v>
      </c>
      <c r="W10111" s="22">
        <f t="shared" si="750"/>
        <v>0</v>
      </c>
    </row>
    <row r="10112" spans="1:23" hidden="1" x14ac:dyDescent="0.25">
      <c r="A10112" s="4"/>
      <c r="B10112" s="4"/>
      <c r="C10112" s="4"/>
      <c r="D10112" s="4"/>
      <c r="E10112" s="4"/>
      <c r="F10112" s="4"/>
      <c r="G10112" s="4"/>
      <c r="H10112" s="4"/>
      <c r="I10112" s="4"/>
      <c r="J10112" s="21">
        <f>IFERROR(VLOOKUP(C10112,'STOK KARTLARI'!$C$2:$K$2150,8,0),0)</f>
        <v>0</v>
      </c>
      <c r="K10112" s="21">
        <f t="shared" si="751"/>
        <v>0</v>
      </c>
      <c r="L10112" s="5">
        <f t="shared" si="753"/>
        <v>0</v>
      </c>
      <c r="M10112" s="4"/>
      <c r="N10112" s="4"/>
      <c r="O10112" s="5"/>
      <c r="P10112" s="5"/>
      <c r="Q10112" s="21">
        <f t="shared" si="754"/>
        <v>0</v>
      </c>
      <c r="R10112" s="21">
        <f t="shared" si="752"/>
        <v>0</v>
      </c>
      <c r="S10112" s="5">
        <f t="shared" si="747"/>
        <v>70007.077158325032</v>
      </c>
      <c r="T10112" cm="1">
        <f t="array" ref="T10112">IF(OR(B10112="MAL ALIMI", B10112="ÜRETİM GİRİŞ"), MIN(I10112, MAX(0, I10112 + SUM(SUMIFS($I$1:I10111, $C$1:C10111, C10112, $B$1:B10111, {"MAL ALIMI","ÜRETİM GİRİŞ"})) - VLOOKUP(C10112, 'STOK RAPORU'!$C$2:$I$1000, 4, 0))), 0)</f>
        <v>0</v>
      </c>
      <c r="U10112" s="22">
        <f t="shared" si="748"/>
        <v>0</v>
      </c>
      <c r="V10112">
        <f t="shared" si="749"/>
        <v>0</v>
      </c>
      <c r="W10112" s="22">
        <f t="shared" si="750"/>
        <v>0</v>
      </c>
    </row>
    <row r="10113" spans="1:23" hidden="1" x14ac:dyDescent="0.25">
      <c r="A10113" s="3"/>
      <c r="B10113" s="4"/>
      <c r="C10113" s="4"/>
      <c r="D10113" s="4"/>
      <c r="E10113" s="4"/>
      <c r="F10113" s="4"/>
      <c r="G10113" s="4"/>
      <c r="H10113" s="4"/>
      <c r="I10113" s="4"/>
      <c r="J10113" s="21">
        <f>IFERROR(VLOOKUP(C10113,'STOK KARTLARI'!$C$2:$K$2150,8,0),0)</f>
        <v>0</v>
      </c>
      <c r="K10113" s="21">
        <f t="shared" si="751"/>
        <v>0</v>
      </c>
      <c r="L10113" s="5">
        <f t="shared" si="753"/>
        <v>0</v>
      </c>
      <c r="M10113" s="4"/>
      <c r="N10113" s="4"/>
      <c r="O10113" s="5"/>
      <c r="P10113" s="5"/>
      <c r="Q10113" s="21">
        <f t="shared" si="754"/>
        <v>0</v>
      </c>
      <c r="R10113" s="21">
        <f t="shared" si="752"/>
        <v>0</v>
      </c>
      <c r="S10113" s="5">
        <f t="shared" si="747"/>
        <v>70007.077158325032</v>
      </c>
      <c r="T10113" cm="1">
        <f t="array" ref="T10113">IF(OR(B10113="MAL ALIMI", B10113="ÜRETİM GİRİŞ"), MIN(I10113, MAX(0, I10113 + SUM(SUMIFS($I$1:I10112, $C$1:C10112, C10113, $B$1:B10112, {"MAL ALIMI","ÜRETİM GİRİŞ"})) - VLOOKUP(C10113, 'STOK RAPORU'!$C$2:$I$1000, 4, 0))), 0)</f>
        <v>0</v>
      </c>
      <c r="U10113" s="22">
        <f t="shared" si="748"/>
        <v>0</v>
      </c>
      <c r="V10113">
        <f t="shared" si="749"/>
        <v>0</v>
      </c>
      <c r="W10113" s="22">
        <f t="shared" si="750"/>
        <v>0</v>
      </c>
    </row>
    <row r="10114" spans="1:23" hidden="1" x14ac:dyDescent="0.25">
      <c r="A10114" s="4"/>
      <c r="B10114" s="4"/>
      <c r="C10114" s="4"/>
      <c r="D10114" s="4"/>
      <c r="E10114" s="4"/>
      <c r="F10114" s="4"/>
      <c r="G10114" s="4"/>
      <c r="H10114" s="4"/>
      <c r="I10114" s="4"/>
      <c r="J10114" s="21">
        <f>IFERROR(VLOOKUP(C10114,'STOK KARTLARI'!$C$2:$K$2150,8,0),0)</f>
        <v>0</v>
      </c>
      <c r="K10114" s="21">
        <f t="shared" si="751"/>
        <v>0</v>
      </c>
      <c r="L10114" s="5">
        <f t="shared" si="753"/>
        <v>0</v>
      </c>
      <c r="M10114" s="4"/>
      <c r="N10114" s="4"/>
      <c r="O10114" s="5"/>
      <c r="P10114" s="5"/>
      <c r="Q10114" s="21">
        <f t="shared" si="754"/>
        <v>0</v>
      </c>
      <c r="R10114" s="21">
        <f t="shared" si="752"/>
        <v>0</v>
      </c>
      <c r="S10114" s="5">
        <f t="shared" si="747"/>
        <v>70007.077158325032</v>
      </c>
      <c r="T10114" cm="1">
        <f t="array" ref="T10114">IF(OR(B10114="MAL ALIMI", B10114="ÜRETİM GİRİŞ"), MIN(I10114, MAX(0, I10114 + SUM(SUMIFS($I$1:I10113, $C$1:C10113, C10114, $B$1:B10113, {"MAL ALIMI","ÜRETİM GİRİŞ"})) - VLOOKUP(C10114, 'STOK RAPORU'!$C$2:$I$1000, 4, 0))), 0)</f>
        <v>0</v>
      </c>
      <c r="U10114" s="22">
        <f t="shared" si="748"/>
        <v>0</v>
      </c>
      <c r="V10114">
        <f t="shared" si="749"/>
        <v>0</v>
      </c>
      <c r="W10114" s="22">
        <f t="shared" si="750"/>
        <v>0</v>
      </c>
    </row>
    <row r="10115" spans="1:23" hidden="1" x14ac:dyDescent="0.25">
      <c r="A10115" s="4"/>
      <c r="B10115" s="4"/>
      <c r="C10115" s="4"/>
      <c r="D10115" s="4"/>
      <c r="E10115" s="4"/>
      <c r="F10115" s="4"/>
      <c r="G10115" s="4"/>
      <c r="H10115" s="4"/>
      <c r="I10115" s="4"/>
      <c r="J10115" s="21">
        <f>IFERROR(VLOOKUP(C10115,'STOK KARTLARI'!$C$2:$K$2150,8,0),0)</f>
        <v>0</v>
      </c>
      <c r="K10115" s="21">
        <f t="shared" si="751"/>
        <v>0</v>
      </c>
      <c r="L10115" s="5">
        <f t="shared" si="753"/>
        <v>0</v>
      </c>
      <c r="M10115" s="4"/>
      <c r="N10115" s="4"/>
      <c r="O10115" s="5"/>
      <c r="P10115" s="5"/>
      <c r="Q10115" s="21">
        <f t="shared" si="754"/>
        <v>0</v>
      </c>
      <c r="R10115" s="21">
        <f t="shared" si="752"/>
        <v>0</v>
      </c>
      <c r="S10115" s="5">
        <f t="shared" si="747"/>
        <v>70007.077158325032</v>
      </c>
      <c r="T10115" cm="1">
        <f t="array" ref="T10115">IF(OR(B10115="MAL ALIMI", B10115="ÜRETİM GİRİŞ"), MIN(I10115, MAX(0, I10115 + SUM(SUMIFS($I$1:I10114, $C$1:C10114, C10115, $B$1:B10114, {"MAL ALIMI","ÜRETİM GİRİŞ"})) - VLOOKUP(C10115, 'STOK RAPORU'!$C$2:$I$1000, 4, 0))), 0)</f>
        <v>0</v>
      </c>
      <c r="U10115" s="22">
        <f t="shared" si="748"/>
        <v>0</v>
      </c>
      <c r="V10115">
        <f t="shared" si="749"/>
        <v>0</v>
      </c>
      <c r="W10115" s="22">
        <f t="shared" si="750"/>
        <v>0</v>
      </c>
    </row>
    <row r="10116" spans="1:23" hidden="1" x14ac:dyDescent="0.25">
      <c r="A10116" s="4"/>
      <c r="B10116" s="4"/>
      <c r="C10116" s="4"/>
      <c r="D10116" s="4"/>
      <c r="E10116" s="4"/>
      <c r="F10116" s="4"/>
      <c r="G10116" s="4"/>
      <c r="H10116" s="4"/>
      <c r="I10116" s="4"/>
      <c r="J10116" s="21">
        <f>IFERROR(VLOOKUP(C10116,'STOK KARTLARI'!$C$2:$K$2150,8,0),0)</f>
        <v>0</v>
      </c>
      <c r="K10116" s="21">
        <f t="shared" si="751"/>
        <v>0</v>
      </c>
      <c r="L10116" s="5">
        <f t="shared" si="753"/>
        <v>0</v>
      </c>
      <c r="M10116" s="4"/>
      <c r="N10116" s="4"/>
      <c r="O10116" s="5"/>
      <c r="P10116" s="5"/>
      <c r="Q10116" s="21">
        <f t="shared" si="754"/>
        <v>0</v>
      </c>
      <c r="R10116" s="21">
        <f t="shared" si="752"/>
        <v>0</v>
      </c>
      <c r="S10116" s="5">
        <f t="shared" si="747"/>
        <v>70007.077158325032</v>
      </c>
      <c r="T10116" cm="1">
        <f t="array" ref="T10116">IF(OR(B10116="MAL ALIMI", B10116="ÜRETİM GİRİŞ"), MIN(I10116, MAX(0, I10116 + SUM(SUMIFS($I$1:I10115, $C$1:C10115, C10116, $B$1:B10115, {"MAL ALIMI","ÜRETİM GİRİŞ"})) - VLOOKUP(C10116, 'STOK RAPORU'!$C$2:$I$1000, 4, 0))), 0)</f>
        <v>0</v>
      </c>
      <c r="U10116" s="22">
        <f t="shared" si="748"/>
        <v>0</v>
      </c>
      <c r="V10116">
        <f t="shared" si="749"/>
        <v>0</v>
      </c>
      <c r="W10116" s="22">
        <f t="shared" si="750"/>
        <v>0</v>
      </c>
    </row>
    <row r="10117" spans="1:23" hidden="1" x14ac:dyDescent="0.25">
      <c r="A10117" s="4"/>
      <c r="B10117" s="4"/>
      <c r="C10117" s="4"/>
      <c r="D10117" s="4"/>
      <c r="E10117" s="4"/>
      <c r="F10117" s="4"/>
      <c r="G10117" s="4"/>
      <c r="H10117" s="4"/>
      <c r="I10117" s="4"/>
      <c r="J10117" s="21">
        <f>IFERROR(VLOOKUP(C10117,'STOK KARTLARI'!$C$2:$K$2150,8,0),0)</f>
        <v>0</v>
      </c>
      <c r="K10117" s="21">
        <f t="shared" si="751"/>
        <v>0</v>
      </c>
      <c r="L10117" s="5">
        <f t="shared" si="753"/>
        <v>0</v>
      </c>
      <c r="M10117" s="4"/>
      <c r="N10117" s="4"/>
      <c r="O10117" s="5"/>
      <c r="P10117" s="5"/>
      <c r="Q10117" s="21">
        <f t="shared" si="754"/>
        <v>0</v>
      </c>
      <c r="R10117" s="21">
        <f t="shared" si="752"/>
        <v>0</v>
      </c>
      <c r="S10117" s="5">
        <f t="shared" ref="S10117:S10170" si="755">S10116+Q10117-R10117</f>
        <v>70007.077158325032</v>
      </c>
      <c r="T10117" cm="1">
        <f t="array" ref="T10117">IF(OR(B10117="MAL ALIMI", B10117="ÜRETİM GİRİŞ"), MIN(I10117, MAX(0, I10117 + SUM(SUMIFS($I$1:I10116, $C$1:C10116, C10117, $B$1:B10116, {"MAL ALIMI","ÜRETİM GİRİŞ"})) - VLOOKUP(C10117, 'STOK RAPORU'!$C$2:$I$1000, 4, 0))), 0)</f>
        <v>0</v>
      </c>
      <c r="U10117" s="22">
        <f t="shared" si="748"/>
        <v>0</v>
      </c>
      <c r="V10117">
        <f t="shared" si="749"/>
        <v>0</v>
      </c>
      <c r="W10117" s="22">
        <f t="shared" si="750"/>
        <v>0</v>
      </c>
    </row>
    <row r="10118" spans="1:23" hidden="1" x14ac:dyDescent="0.25">
      <c r="A10118" s="4"/>
      <c r="B10118" s="4"/>
      <c r="C10118" s="4"/>
      <c r="D10118" s="4"/>
      <c r="E10118" s="4"/>
      <c r="F10118" s="4"/>
      <c r="G10118" s="4"/>
      <c r="H10118" s="4"/>
      <c r="I10118" s="4"/>
      <c r="J10118" s="21">
        <f>IFERROR(VLOOKUP(C10118,'STOK KARTLARI'!$C$2:$K$2150,8,0),0)</f>
        <v>0</v>
      </c>
      <c r="K10118" s="21">
        <f t="shared" si="751"/>
        <v>0</v>
      </c>
      <c r="L10118" s="5">
        <f t="shared" si="753"/>
        <v>0</v>
      </c>
      <c r="M10118" s="4"/>
      <c r="N10118" s="4"/>
      <c r="O10118" s="5"/>
      <c r="P10118" s="5"/>
      <c r="Q10118" s="21">
        <f t="shared" si="754"/>
        <v>0</v>
      </c>
      <c r="R10118" s="21">
        <f t="shared" si="752"/>
        <v>0</v>
      </c>
      <c r="S10118" s="5">
        <f t="shared" si="755"/>
        <v>70007.077158325032</v>
      </c>
      <c r="T10118" cm="1">
        <f t="array" ref="T10118">IF(OR(B10118="MAL ALIMI", B10118="ÜRETİM GİRİŞ"), MIN(I10118, MAX(0, I10118 + SUM(SUMIFS($I$1:I10117, $C$1:C10117, C10118, $B$1:B10117, {"MAL ALIMI","ÜRETİM GİRİŞ"})) - VLOOKUP(C10118, 'STOK RAPORU'!$C$2:$I$1000, 4, 0))), 0)</f>
        <v>0</v>
      </c>
      <c r="U10118" s="22">
        <f t="shared" si="748"/>
        <v>0</v>
      </c>
      <c r="V10118">
        <f t="shared" si="749"/>
        <v>0</v>
      </c>
      <c r="W10118" s="22">
        <f t="shared" si="750"/>
        <v>0</v>
      </c>
    </row>
    <row r="10119" spans="1:23" hidden="1" x14ac:dyDescent="0.25">
      <c r="A10119" s="4"/>
      <c r="B10119" s="4"/>
      <c r="C10119" s="4"/>
      <c r="D10119" s="4"/>
      <c r="E10119" s="4"/>
      <c r="F10119" s="4"/>
      <c r="G10119" s="4"/>
      <c r="H10119" s="4"/>
      <c r="I10119" s="4"/>
      <c r="J10119" s="21">
        <f>IFERROR(VLOOKUP(C10119,'STOK KARTLARI'!$C$2:$K$2150,8,0),0)</f>
        <v>0</v>
      </c>
      <c r="K10119" s="21">
        <f t="shared" si="751"/>
        <v>0</v>
      </c>
      <c r="L10119" s="5">
        <f t="shared" si="753"/>
        <v>0</v>
      </c>
      <c r="M10119" s="4"/>
      <c r="N10119" s="4"/>
      <c r="O10119" s="5"/>
      <c r="P10119" s="5"/>
      <c r="Q10119" s="21">
        <f t="shared" si="754"/>
        <v>0</v>
      </c>
      <c r="R10119" s="21">
        <f t="shared" si="752"/>
        <v>0</v>
      </c>
      <c r="S10119" s="5">
        <f t="shared" si="755"/>
        <v>70007.077158325032</v>
      </c>
      <c r="T10119" cm="1">
        <f t="array" ref="T10119">IF(OR(B10119="MAL ALIMI", B10119="ÜRETİM GİRİŞ"), MIN(I10119, MAX(0, I10119 + SUM(SUMIFS($I$1:I10118, $C$1:C10118, C10119, $B$1:B10118, {"MAL ALIMI","ÜRETİM GİRİŞ"})) - VLOOKUP(C10119, 'STOK RAPORU'!$C$2:$I$1000, 4, 0))), 0)</f>
        <v>0</v>
      </c>
      <c r="U10119" s="22">
        <f t="shared" si="748"/>
        <v>0</v>
      </c>
      <c r="V10119">
        <f t="shared" si="749"/>
        <v>0</v>
      </c>
      <c r="W10119" s="22">
        <f t="shared" si="750"/>
        <v>0</v>
      </c>
    </row>
    <row r="10120" spans="1:23" hidden="1" x14ac:dyDescent="0.25">
      <c r="A10120" s="3"/>
      <c r="B10120" s="4"/>
      <c r="C10120" s="4"/>
      <c r="D10120" s="4"/>
      <c r="E10120" s="4"/>
      <c r="F10120" s="4"/>
      <c r="G10120" s="4"/>
      <c r="H10120" s="4"/>
      <c r="I10120" s="4"/>
      <c r="J10120" s="21">
        <f>IFERROR(VLOOKUP(C10120,'STOK KARTLARI'!$C$2:$K$2150,8,0),0)</f>
        <v>0</v>
      </c>
      <c r="K10120" s="21">
        <f t="shared" si="751"/>
        <v>0</v>
      </c>
      <c r="L10120" s="5">
        <f t="shared" si="753"/>
        <v>0</v>
      </c>
      <c r="M10120" s="4"/>
      <c r="N10120" s="4"/>
      <c r="O10120" s="5"/>
      <c r="P10120" s="5"/>
      <c r="Q10120" s="21">
        <f t="shared" si="754"/>
        <v>0</v>
      </c>
      <c r="R10120" s="21">
        <f t="shared" si="752"/>
        <v>0</v>
      </c>
      <c r="S10120" s="5">
        <f t="shared" si="755"/>
        <v>70007.077158325032</v>
      </c>
      <c r="T10120" cm="1">
        <f t="array" ref="T10120">IF(OR(B10120="MAL ALIMI", B10120="ÜRETİM GİRİŞ"), MIN(I10120, MAX(0, I10120 + SUM(SUMIFS($I$1:I10119, $C$1:C10119, C10120, $B$1:B10119, {"MAL ALIMI","ÜRETİM GİRİŞ"})) - VLOOKUP(C10120, 'STOK RAPORU'!$C$2:$I$1000, 4, 0))), 0)</f>
        <v>0</v>
      </c>
      <c r="U10120" s="22">
        <f t="shared" si="748"/>
        <v>0</v>
      </c>
      <c r="V10120">
        <f t="shared" si="749"/>
        <v>0</v>
      </c>
      <c r="W10120" s="22">
        <f t="shared" si="750"/>
        <v>0</v>
      </c>
    </row>
    <row r="10121" spans="1:23" hidden="1" x14ac:dyDescent="0.25">
      <c r="A10121" s="4"/>
      <c r="B10121" s="4"/>
      <c r="C10121" s="4"/>
      <c r="D10121" s="4"/>
      <c r="E10121" s="4"/>
      <c r="F10121" s="4"/>
      <c r="G10121" s="4"/>
      <c r="H10121" s="4"/>
      <c r="I10121" s="4"/>
      <c r="J10121" s="21">
        <f>IFERROR(VLOOKUP(C10121,'STOK KARTLARI'!$C$2:$K$2150,8,0),0)</f>
        <v>0</v>
      </c>
      <c r="K10121" s="21">
        <f t="shared" si="751"/>
        <v>0</v>
      </c>
      <c r="L10121" s="5">
        <f t="shared" si="753"/>
        <v>0</v>
      </c>
      <c r="M10121" s="4"/>
      <c r="N10121" s="4"/>
      <c r="O10121" s="5"/>
      <c r="P10121" s="5"/>
      <c r="Q10121" s="21">
        <f t="shared" si="754"/>
        <v>0</v>
      </c>
      <c r="R10121" s="21">
        <f t="shared" si="752"/>
        <v>0</v>
      </c>
      <c r="S10121" s="5">
        <f t="shared" si="755"/>
        <v>70007.077158325032</v>
      </c>
      <c r="T10121" cm="1">
        <f t="array" ref="T10121">IF(OR(B10121="MAL ALIMI", B10121="ÜRETİM GİRİŞ"), MIN(I10121, MAX(0, I10121 + SUM(SUMIFS($I$1:I10120, $C$1:C10120, C10121, $B$1:B10120, {"MAL ALIMI","ÜRETİM GİRİŞ"})) - VLOOKUP(C10121, 'STOK RAPORU'!$C$2:$I$1000, 4, 0))), 0)</f>
        <v>0</v>
      </c>
      <c r="U10121" s="22">
        <f t="shared" si="748"/>
        <v>0</v>
      </c>
      <c r="V10121">
        <f t="shared" si="749"/>
        <v>0</v>
      </c>
      <c r="W10121" s="22">
        <f t="shared" si="750"/>
        <v>0</v>
      </c>
    </row>
    <row r="10122" spans="1:23" hidden="1" x14ac:dyDescent="0.25">
      <c r="A10122" s="4"/>
      <c r="B10122" s="4"/>
      <c r="C10122" s="4"/>
      <c r="D10122" s="4"/>
      <c r="E10122" s="4"/>
      <c r="F10122" s="4"/>
      <c r="G10122" s="4"/>
      <c r="H10122" s="4"/>
      <c r="I10122" s="4"/>
      <c r="J10122" s="21">
        <f>IFERROR(VLOOKUP(C10122,'STOK KARTLARI'!$C$2:$K$2150,8,0),0)</f>
        <v>0</v>
      </c>
      <c r="K10122" s="21">
        <f t="shared" si="751"/>
        <v>0</v>
      </c>
      <c r="L10122" s="5">
        <f t="shared" si="753"/>
        <v>0</v>
      </c>
      <c r="M10122" s="4"/>
      <c r="N10122" s="4"/>
      <c r="O10122" s="5"/>
      <c r="P10122" s="5"/>
      <c r="Q10122" s="21">
        <f t="shared" si="754"/>
        <v>0</v>
      </c>
      <c r="R10122" s="21">
        <f t="shared" si="752"/>
        <v>0</v>
      </c>
      <c r="S10122" s="5">
        <f t="shared" si="755"/>
        <v>70007.077158325032</v>
      </c>
      <c r="T10122" cm="1">
        <f t="array" ref="T10122">IF(OR(B10122="MAL ALIMI", B10122="ÜRETİM GİRİŞ"), MIN(I10122, MAX(0, I10122 + SUM(SUMIFS($I$1:I10121, $C$1:C10121, C10122, $B$1:B10121, {"MAL ALIMI","ÜRETİM GİRİŞ"})) - VLOOKUP(C10122, 'STOK RAPORU'!$C$2:$I$1000, 4, 0))), 0)</f>
        <v>0</v>
      </c>
      <c r="U10122" s="22">
        <f t="shared" si="748"/>
        <v>0</v>
      </c>
      <c r="V10122">
        <f t="shared" si="749"/>
        <v>0</v>
      </c>
      <c r="W10122" s="22">
        <f t="shared" si="750"/>
        <v>0</v>
      </c>
    </row>
    <row r="10123" spans="1:23" hidden="1" x14ac:dyDescent="0.25">
      <c r="A10123" s="4"/>
      <c r="B10123" s="4"/>
      <c r="C10123" s="4"/>
      <c r="D10123" s="4"/>
      <c r="E10123" s="4"/>
      <c r="F10123" s="4"/>
      <c r="G10123" s="4"/>
      <c r="H10123" s="4"/>
      <c r="I10123" s="4"/>
      <c r="J10123" s="21">
        <f>IFERROR(VLOOKUP(C10123,'STOK KARTLARI'!$C$2:$K$2150,8,0),0)</f>
        <v>0</v>
      </c>
      <c r="K10123" s="21">
        <f t="shared" si="751"/>
        <v>0</v>
      </c>
      <c r="L10123" s="5">
        <f t="shared" si="753"/>
        <v>0</v>
      </c>
      <c r="M10123" s="4"/>
      <c r="N10123" s="4"/>
      <c r="O10123" s="5"/>
      <c r="P10123" s="5"/>
      <c r="Q10123" s="21">
        <f t="shared" si="754"/>
        <v>0</v>
      </c>
      <c r="R10123" s="21">
        <f t="shared" si="752"/>
        <v>0</v>
      </c>
      <c r="S10123" s="5">
        <f t="shared" si="755"/>
        <v>70007.077158325032</v>
      </c>
      <c r="T10123" cm="1">
        <f t="array" ref="T10123">IF(OR(B10123="MAL ALIMI", B10123="ÜRETİM GİRİŞ"), MIN(I10123, MAX(0, I10123 + SUM(SUMIFS($I$1:I10122, $C$1:C10122, C10123, $B$1:B10122, {"MAL ALIMI","ÜRETİM GİRİŞ"})) - VLOOKUP(C10123, 'STOK RAPORU'!$C$2:$I$1000, 4, 0))), 0)</f>
        <v>0</v>
      </c>
      <c r="U10123" s="22">
        <f t="shared" si="748"/>
        <v>0</v>
      </c>
      <c r="V10123">
        <f t="shared" si="749"/>
        <v>0</v>
      </c>
      <c r="W10123" s="22">
        <f t="shared" si="750"/>
        <v>0</v>
      </c>
    </row>
    <row r="10124" spans="1:23" hidden="1" x14ac:dyDescent="0.25">
      <c r="A10124" s="4"/>
      <c r="B10124" s="4"/>
      <c r="C10124" s="4"/>
      <c r="D10124" s="4"/>
      <c r="E10124" s="4"/>
      <c r="F10124" s="4"/>
      <c r="G10124" s="4"/>
      <c r="H10124" s="4"/>
      <c r="I10124" s="4"/>
      <c r="J10124" s="21">
        <f>IFERROR(VLOOKUP(C10124,'STOK KARTLARI'!$C$2:$K$2150,8,0),0)</f>
        <v>0</v>
      </c>
      <c r="K10124" s="21">
        <f t="shared" si="751"/>
        <v>0</v>
      </c>
      <c r="L10124" s="5">
        <f t="shared" si="753"/>
        <v>0</v>
      </c>
      <c r="M10124" s="4"/>
      <c r="N10124" s="4"/>
      <c r="O10124" s="5"/>
      <c r="P10124" s="5"/>
      <c r="Q10124" s="21">
        <f t="shared" si="754"/>
        <v>0</v>
      </c>
      <c r="R10124" s="21">
        <f t="shared" si="752"/>
        <v>0</v>
      </c>
      <c r="S10124" s="5">
        <f t="shared" si="755"/>
        <v>70007.077158325032</v>
      </c>
      <c r="T10124" cm="1">
        <f t="array" ref="T10124">IF(OR(B10124="MAL ALIMI", B10124="ÜRETİM GİRİŞ"), MIN(I10124, MAX(0, I10124 + SUM(SUMIFS($I$1:I10123, $C$1:C10123, C10124, $B$1:B10123, {"MAL ALIMI","ÜRETİM GİRİŞ"})) - VLOOKUP(C10124, 'STOK RAPORU'!$C$2:$I$1000, 4, 0))), 0)</f>
        <v>0</v>
      </c>
      <c r="U10124" s="22">
        <f t="shared" si="748"/>
        <v>0</v>
      </c>
      <c r="V10124">
        <f t="shared" si="749"/>
        <v>0</v>
      </c>
      <c r="W10124" s="22">
        <f t="shared" si="750"/>
        <v>0</v>
      </c>
    </row>
    <row r="10125" spans="1:23" hidden="1" x14ac:dyDescent="0.25">
      <c r="A10125" s="4"/>
      <c r="B10125" s="4"/>
      <c r="C10125" s="4"/>
      <c r="D10125" s="4"/>
      <c r="E10125" s="4"/>
      <c r="F10125" s="4"/>
      <c r="G10125" s="4"/>
      <c r="H10125" s="4"/>
      <c r="I10125" s="4"/>
      <c r="J10125" s="21">
        <f>IFERROR(VLOOKUP(C10125,'STOK KARTLARI'!$C$2:$K$2150,8,0),0)</f>
        <v>0</v>
      </c>
      <c r="K10125" s="21">
        <f t="shared" si="751"/>
        <v>0</v>
      </c>
      <c r="L10125" s="5">
        <f t="shared" si="753"/>
        <v>0</v>
      </c>
      <c r="M10125" s="4"/>
      <c r="N10125" s="4"/>
      <c r="O10125" s="5"/>
      <c r="P10125" s="5"/>
      <c r="Q10125" s="21">
        <f t="shared" si="754"/>
        <v>0</v>
      </c>
      <c r="R10125" s="21">
        <f t="shared" si="752"/>
        <v>0</v>
      </c>
      <c r="S10125" s="5">
        <f t="shared" si="755"/>
        <v>70007.077158325032</v>
      </c>
      <c r="T10125" cm="1">
        <f t="array" ref="T10125">IF(OR(B10125="MAL ALIMI", B10125="ÜRETİM GİRİŞ"), MIN(I10125, MAX(0, I10125 + SUM(SUMIFS($I$1:I10124, $C$1:C10124, C10125, $B$1:B10124, {"MAL ALIMI","ÜRETİM GİRİŞ"})) - VLOOKUP(C10125, 'STOK RAPORU'!$C$2:$I$1000, 4, 0))), 0)</f>
        <v>0</v>
      </c>
      <c r="U10125" s="22">
        <f t="shared" si="748"/>
        <v>0</v>
      </c>
      <c r="V10125">
        <f t="shared" si="749"/>
        <v>0</v>
      </c>
      <c r="W10125" s="22">
        <f t="shared" si="750"/>
        <v>0</v>
      </c>
    </row>
    <row r="10126" spans="1:23" hidden="1" x14ac:dyDescent="0.25">
      <c r="A10126" s="4"/>
      <c r="B10126" s="4"/>
      <c r="C10126" s="4"/>
      <c r="D10126" s="4"/>
      <c r="E10126" s="4"/>
      <c r="F10126" s="4"/>
      <c r="G10126" s="4"/>
      <c r="H10126" s="4"/>
      <c r="I10126" s="4"/>
      <c r="J10126" s="21">
        <f>IFERROR(VLOOKUP(C10126,'STOK KARTLARI'!$C$2:$K$2150,8,0),0)</f>
        <v>0</v>
      </c>
      <c r="K10126" s="21">
        <f t="shared" si="751"/>
        <v>0</v>
      </c>
      <c r="L10126" s="5">
        <f t="shared" si="753"/>
        <v>0</v>
      </c>
      <c r="M10126" s="4"/>
      <c r="N10126" s="4"/>
      <c r="O10126" s="5"/>
      <c r="P10126" s="5"/>
      <c r="Q10126" s="21">
        <f t="shared" si="754"/>
        <v>0</v>
      </c>
      <c r="R10126" s="21">
        <f t="shared" si="752"/>
        <v>0</v>
      </c>
      <c r="S10126" s="5">
        <f t="shared" si="755"/>
        <v>70007.077158325032</v>
      </c>
      <c r="T10126" cm="1">
        <f t="array" ref="T10126">IF(OR(B10126="MAL ALIMI", B10126="ÜRETİM GİRİŞ"), MIN(I10126, MAX(0, I10126 + SUM(SUMIFS($I$1:I10125, $C$1:C10125, C10126, $B$1:B10125, {"MAL ALIMI","ÜRETİM GİRİŞ"})) - VLOOKUP(C10126, 'STOK RAPORU'!$C$2:$I$1000, 4, 0))), 0)</f>
        <v>0</v>
      </c>
      <c r="U10126" s="22">
        <f t="shared" si="748"/>
        <v>0</v>
      </c>
      <c r="V10126">
        <f t="shared" si="749"/>
        <v>0</v>
      </c>
      <c r="W10126" s="22">
        <f t="shared" si="750"/>
        <v>0</v>
      </c>
    </row>
    <row r="10127" spans="1:23" hidden="1" x14ac:dyDescent="0.25">
      <c r="A10127" s="3"/>
      <c r="B10127" s="4"/>
      <c r="C10127" s="4"/>
      <c r="D10127" s="4"/>
      <c r="E10127" s="4"/>
      <c r="F10127" s="4"/>
      <c r="G10127" s="4"/>
      <c r="H10127" s="4"/>
      <c r="I10127" s="4"/>
      <c r="J10127" s="21">
        <f>IFERROR(VLOOKUP(C10127,'STOK KARTLARI'!$C$2:$K$2150,8,0),0)</f>
        <v>0</v>
      </c>
      <c r="K10127" s="21">
        <f t="shared" si="751"/>
        <v>0</v>
      </c>
      <c r="L10127" s="5">
        <f t="shared" si="753"/>
        <v>0</v>
      </c>
      <c r="M10127" s="4"/>
      <c r="N10127" s="4"/>
      <c r="O10127" s="5"/>
      <c r="P10127" s="5"/>
      <c r="Q10127" s="21">
        <f t="shared" si="754"/>
        <v>0</v>
      </c>
      <c r="R10127" s="21">
        <f t="shared" si="752"/>
        <v>0</v>
      </c>
      <c r="S10127" s="5">
        <f t="shared" si="755"/>
        <v>70007.077158325032</v>
      </c>
      <c r="T10127" cm="1">
        <f t="array" ref="T10127">IF(OR(B10127="MAL ALIMI", B10127="ÜRETİM GİRİŞ"), MIN(I10127, MAX(0, I10127 + SUM(SUMIFS($I$1:I10126, $C$1:C10126, C10127, $B$1:B10126, {"MAL ALIMI","ÜRETİM GİRİŞ"})) - VLOOKUP(C10127, 'STOK RAPORU'!$C$2:$I$1000, 4, 0))), 0)</f>
        <v>0</v>
      </c>
      <c r="U10127" s="22">
        <f t="shared" si="748"/>
        <v>0</v>
      </c>
      <c r="V10127">
        <f t="shared" si="749"/>
        <v>0</v>
      </c>
      <c r="W10127" s="22">
        <f t="shared" si="750"/>
        <v>0</v>
      </c>
    </row>
    <row r="10128" spans="1:23" hidden="1" x14ac:dyDescent="0.25">
      <c r="A10128" s="4"/>
      <c r="B10128" s="4"/>
      <c r="C10128" s="4"/>
      <c r="D10128" s="4"/>
      <c r="E10128" s="4"/>
      <c r="F10128" s="4"/>
      <c r="G10128" s="4"/>
      <c r="H10128" s="4"/>
      <c r="I10128" s="4"/>
      <c r="J10128" s="21">
        <f>IFERROR(VLOOKUP(C10128,'STOK KARTLARI'!$C$2:$K$2150,8,0),0)</f>
        <v>0</v>
      </c>
      <c r="K10128" s="21">
        <f t="shared" si="751"/>
        <v>0</v>
      </c>
      <c r="L10128" s="5">
        <f t="shared" si="753"/>
        <v>0</v>
      </c>
      <c r="M10128" s="4"/>
      <c r="N10128" s="4"/>
      <c r="O10128" s="5"/>
      <c r="P10128" s="5"/>
      <c r="Q10128" s="21">
        <f t="shared" si="754"/>
        <v>0</v>
      </c>
      <c r="R10128" s="21">
        <f t="shared" si="752"/>
        <v>0</v>
      </c>
      <c r="S10128" s="5">
        <f t="shared" si="755"/>
        <v>70007.077158325032</v>
      </c>
      <c r="T10128" cm="1">
        <f t="array" ref="T10128">IF(OR(B10128="MAL ALIMI", B10128="ÜRETİM GİRİŞ"), MIN(I10128, MAX(0, I10128 + SUM(SUMIFS($I$1:I10127, $C$1:C10127, C10128, $B$1:B10127, {"MAL ALIMI","ÜRETİM GİRİŞ"})) - VLOOKUP(C10128, 'STOK RAPORU'!$C$2:$I$1000, 4, 0))), 0)</f>
        <v>0</v>
      </c>
      <c r="U10128" s="22">
        <f t="shared" si="748"/>
        <v>0</v>
      </c>
      <c r="V10128">
        <f t="shared" si="749"/>
        <v>0</v>
      </c>
      <c r="W10128" s="22">
        <f t="shared" si="750"/>
        <v>0</v>
      </c>
    </row>
    <row r="10129" spans="1:23" hidden="1" x14ac:dyDescent="0.25">
      <c r="A10129" s="4"/>
      <c r="B10129" s="4"/>
      <c r="C10129" s="4"/>
      <c r="D10129" s="4"/>
      <c r="E10129" s="4"/>
      <c r="F10129" s="4"/>
      <c r="G10129" s="4"/>
      <c r="H10129" s="4"/>
      <c r="I10129" s="4"/>
      <c r="J10129" s="21">
        <f>IFERROR(VLOOKUP(C10129,'STOK KARTLARI'!$C$2:$K$2150,8,0),0)</f>
        <v>0</v>
      </c>
      <c r="K10129" s="21">
        <f t="shared" si="751"/>
        <v>0</v>
      </c>
      <c r="L10129" s="5">
        <f t="shared" si="753"/>
        <v>0</v>
      </c>
      <c r="M10129" s="4"/>
      <c r="N10129" s="4"/>
      <c r="O10129" s="5"/>
      <c r="P10129" s="5"/>
      <c r="Q10129" s="21">
        <f t="shared" si="754"/>
        <v>0</v>
      </c>
      <c r="R10129" s="21">
        <f t="shared" si="752"/>
        <v>0</v>
      </c>
      <c r="S10129" s="5">
        <f t="shared" si="755"/>
        <v>70007.077158325032</v>
      </c>
      <c r="T10129" cm="1">
        <f t="array" ref="T10129">IF(OR(B10129="MAL ALIMI", B10129="ÜRETİM GİRİŞ"), MIN(I10129, MAX(0, I10129 + SUM(SUMIFS($I$1:I10128, $C$1:C10128, C10129, $B$1:B10128, {"MAL ALIMI","ÜRETİM GİRİŞ"})) - VLOOKUP(C10129, 'STOK RAPORU'!$C$2:$I$1000, 4, 0))), 0)</f>
        <v>0</v>
      </c>
      <c r="U10129" s="22">
        <f t="shared" si="748"/>
        <v>0</v>
      </c>
      <c r="V10129">
        <f t="shared" si="749"/>
        <v>0</v>
      </c>
      <c r="W10129" s="22">
        <f t="shared" si="750"/>
        <v>0</v>
      </c>
    </row>
    <row r="10130" spans="1:23" hidden="1" x14ac:dyDescent="0.25">
      <c r="A10130" s="4"/>
      <c r="B10130" s="4"/>
      <c r="C10130" s="4"/>
      <c r="D10130" s="4"/>
      <c r="E10130" s="4"/>
      <c r="F10130" s="4"/>
      <c r="G10130" s="4"/>
      <c r="H10130" s="4"/>
      <c r="I10130" s="4"/>
      <c r="J10130" s="21">
        <f>IFERROR(VLOOKUP(C10130,'STOK KARTLARI'!$C$2:$K$2150,8,0),0)</f>
        <v>0</v>
      </c>
      <c r="K10130" s="21">
        <f t="shared" si="751"/>
        <v>0</v>
      </c>
      <c r="L10130" s="5">
        <f t="shared" si="753"/>
        <v>0</v>
      </c>
      <c r="M10130" s="4"/>
      <c r="N10130" s="4"/>
      <c r="O10130" s="5"/>
      <c r="P10130" s="5"/>
      <c r="Q10130" s="21">
        <f t="shared" si="754"/>
        <v>0</v>
      </c>
      <c r="R10130" s="21">
        <f t="shared" si="752"/>
        <v>0</v>
      </c>
      <c r="S10130" s="5">
        <f t="shared" si="755"/>
        <v>70007.077158325032</v>
      </c>
      <c r="T10130" cm="1">
        <f t="array" ref="T10130">IF(OR(B10130="MAL ALIMI", B10130="ÜRETİM GİRİŞ"), MIN(I10130, MAX(0, I10130 + SUM(SUMIFS($I$1:I10129, $C$1:C10129, C10130, $B$1:B10129, {"MAL ALIMI","ÜRETİM GİRİŞ"})) - VLOOKUP(C10130, 'STOK RAPORU'!$C$2:$I$1000, 4, 0))), 0)</f>
        <v>0</v>
      </c>
      <c r="U10130" s="22">
        <f t="shared" si="748"/>
        <v>0</v>
      </c>
      <c r="V10130">
        <f t="shared" si="749"/>
        <v>0</v>
      </c>
      <c r="W10130" s="22">
        <f t="shared" si="750"/>
        <v>0</v>
      </c>
    </row>
    <row r="10131" spans="1:23" hidden="1" x14ac:dyDescent="0.25">
      <c r="A10131" s="4"/>
      <c r="B10131" s="4"/>
      <c r="C10131" s="4"/>
      <c r="D10131" s="4"/>
      <c r="E10131" s="4"/>
      <c r="F10131" s="4"/>
      <c r="G10131" s="4"/>
      <c r="H10131" s="4"/>
      <c r="I10131" s="4"/>
      <c r="J10131" s="21">
        <f>IFERROR(VLOOKUP(C10131,'STOK KARTLARI'!$C$2:$K$2150,8,0),0)</f>
        <v>0</v>
      </c>
      <c r="K10131" s="21">
        <f t="shared" si="751"/>
        <v>0</v>
      </c>
      <c r="L10131" s="5">
        <f t="shared" si="753"/>
        <v>0</v>
      </c>
      <c r="M10131" s="4"/>
      <c r="N10131" s="4"/>
      <c r="O10131" s="5"/>
      <c r="P10131" s="5"/>
      <c r="Q10131" s="21">
        <f t="shared" si="754"/>
        <v>0</v>
      </c>
      <c r="R10131" s="21">
        <f t="shared" si="752"/>
        <v>0</v>
      </c>
      <c r="S10131" s="5">
        <f t="shared" si="755"/>
        <v>70007.077158325032</v>
      </c>
      <c r="T10131" cm="1">
        <f t="array" ref="T10131">IF(OR(B10131="MAL ALIMI", B10131="ÜRETİM GİRİŞ"), MIN(I10131, MAX(0, I10131 + SUM(SUMIFS($I$1:I10130, $C$1:C10130, C10131, $B$1:B10130, {"MAL ALIMI","ÜRETİM GİRİŞ"})) - VLOOKUP(C10131, 'STOK RAPORU'!$C$2:$I$1000, 4, 0))), 0)</f>
        <v>0</v>
      </c>
      <c r="U10131" s="22">
        <f t="shared" si="748"/>
        <v>0</v>
      </c>
      <c r="V10131">
        <f t="shared" si="749"/>
        <v>0</v>
      </c>
      <c r="W10131" s="22">
        <f t="shared" si="750"/>
        <v>0</v>
      </c>
    </row>
    <row r="10132" spans="1:23" hidden="1" x14ac:dyDescent="0.25">
      <c r="A10132" s="4"/>
      <c r="B10132" s="4"/>
      <c r="C10132" s="4"/>
      <c r="D10132" s="4"/>
      <c r="E10132" s="4"/>
      <c r="F10132" s="4"/>
      <c r="G10132" s="4"/>
      <c r="H10132" s="4"/>
      <c r="I10132" s="4"/>
      <c r="J10132" s="21">
        <f>IFERROR(VLOOKUP(C10132,'STOK KARTLARI'!$C$2:$K$2150,8,0),0)</f>
        <v>0</v>
      </c>
      <c r="K10132" s="21">
        <f t="shared" si="751"/>
        <v>0</v>
      </c>
      <c r="L10132" s="5">
        <f t="shared" si="753"/>
        <v>0</v>
      </c>
      <c r="M10132" s="4"/>
      <c r="N10132" s="4"/>
      <c r="O10132" s="5"/>
      <c r="P10132" s="5"/>
      <c r="Q10132" s="21">
        <f t="shared" si="754"/>
        <v>0</v>
      </c>
      <c r="R10132" s="21">
        <f t="shared" si="752"/>
        <v>0</v>
      </c>
      <c r="S10132" s="5">
        <f t="shared" si="755"/>
        <v>70007.077158325032</v>
      </c>
      <c r="T10132" cm="1">
        <f t="array" ref="T10132">IF(OR(B10132="MAL ALIMI", B10132="ÜRETİM GİRİŞ"), MIN(I10132, MAX(0, I10132 + SUM(SUMIFS($I$1:I10131, $C$1:C10131, C10132, $B$1:B10131, {"MAL ALIMI","ÜRETİM GİRİŞ"})) - VLOOKUP(C10132, 'STOK RAPORU'!$C$2:$I$1000, 4, 0))), 0)</f>
        <v>0</v>
      </c>
      <c r="U10132" s="22">
        <f t="shared" si="748"/>
        <v>0</v>
      </c>
      <c r="V10132">
        <f t="shared" si="749"/>
        <v>0</v>
      </c>
      <c r="W10132" s="22">
        <f t="shared" si="750"/>
        <v>0</v>
      </c>
    </row>
    <row r="10133" spans="1:23" hidden="1" x14ac:dyDescent="0.25">
      <c r="A10133" s="4"/>
      <c r="B10133" s="4"/>
      <c r="C10133" s="4"/>
      <c r="D10133" s="4"/>
      <c r="E10133" s="4"/>
      <c r="F10133" s="4"/>
      <c r="G10133" s="4"/>
      <c r="H10133" s="4"/>
      <c r="I10133" s="4"/>
      <c r="J10133" s="21">
        <f>IFERROR(VLOOKUP(C10133,'STOK KARTLARI'!$C$2:$K$2150,8,0),0)</f>
        <v>0</v>
      </c>
      <c r="K10133" s="21">
        <f t="shared" si="751"/>
        <v>0</v>
      </c>
      <c r="L10133" s="5">
        <f t="shared" si="753"/>
        <v>0</v>
      </c>
      <c r="M10133" s="4"/>
      <c r="N10133" s="4"/>
      <c r="O10133" s="5"/>
      <c r="P10133" s="5"/>
      <c r="Q10133" s="21">
        <f t="shared" si="754"/>
        <v>0</v>
      </c>
      <c r="R10133" s="21">
        <f t="shared" si="752"/>
        <v>0</v>
      </c>
      <c r="S10133" s="5">
        <f t="shared" si="755"/>
        <v>70007.077158325032</v>
      </c>
      <c r="T10133" cm="1">
        <f t="array" ref="T10133">IF(OR(B10133="MAL ALIMI", B10133="ÜRETİM GİRİŞ"), MIN(I10133, MAX(0, I10133 + SUM(SUMIFS($I$1:I10132, $C$1:C10132, C10133, $B$1:B10132, {"MAL ALIMI","ÜRETİM GİRİŞ"})) - VLOOKUP(C10133, 'STOK RAPORU'!$C$2:$I$1000, 4, 0))), 0)</f>
        <v>0</v>
      </c>
      <c r="U10133" s="22">
        <f t="shared" si="748"/>
        <v>0</v>
      </c>
      <c r="V10133">
        <f t="shared" si="749"/>
        <v>0</v>
      </c>
      <c r="W10133" s="22">
        <f t="shared" si="750"/>
        <v>0</v>
      </c>
    </row>
    <row r="10134" spans="1:23" hidden="1" x14ac:dyDescent="0.25">
      <c r="A10134" s="3"/>
      <c r="B10134" s="4"/>
      <c r="C10134" s="4"/>
      <c r="D10134" s="4"/>
      <c r="E10134" s="4"/>
      <c r="F10134" s="4"/>
      <c r="G10134" s="4"/>
      <c r="H10134" s="4"/>
      <c r="I10134" s="4"/>
      <c r="J10134" s="21">
        <f>IFERROR(VLOOKUP(C10134,'STOK KARTLARI'!$C$2:$K$2150,8,0),0)</f>
        <v>0</v>
      </c>
      <c r="K10134" s="21">
        <f t="shared" si="751"/>
        <v>0</v>
      </c>
      <c r="L10134" s="5">
        <f t="shared" si="753"/>
        <v>0</v>
      </c>
      <c r="M10134" s="4"/>
      <c r="N10134" s="4"/>
      <c r="O10134" s="5"/>
      <c r="P10134" s="5"/>
      <c r="Q10134" s="21">
        <f t="shared" si="754"/>
        <v>0</v>
      </c>
      <c r="R10134" s="21">
        <f t="shared" si="752"/>
        <v>0</v>
      </c>
      <c r="S10134" s="5">
        <f t="shared" si="755"/>
        <v>70007.077158325032</v>
      </c>
      <c r="T10134" cm="1">
        <f t="array" ref="T10134">IF(OR(B10134="MAL ALIMI", B10134="ÜRETİM GİRİŞ"), MIN(I10134, MAX(0, I10134 + SUM(SUMIFS($I$1:I10133, $C$1:C10133, C10134, $B$1:B10133, {"MAL ALIMI","ÜRETİM GİRİŞ"})) - VLOOKUP(C10134, 'STOK RAPORU'!$C$2:$I$1000, 4, 0))), 0)</f>
        <v>0</v>
      </c>
      <c r="U10134" s="22">
        <f t="shared" si="748"/>
        <v>0</v>
      </c>
      <c r="V10134">
        <f t="shared" si="749"/>
        <v>0</v>
      </c>
      <c r="W10134" s="22">
        <f t="shared" si="750"/>
        <v>0</v>
      </c>
    </row>
    <row r="10135" spans="1:23" hidden="1" x14ac:dyDescent="0.25">
      <c r="A10135" s="4"/>
      <c r="B10135" s="4"/>
      <c r="C10135" s="4"/>
      <c r="D10135" s="4"/>
      <c r="E10135" s="4"/>
      <c r="F10135" s="4"/>
      <c r="G10135" s="4"/>
      <c r="H10135" s="4"/>
      <c r="I10135" s="4"/>
      <c r="J10135" s="21">
        <f>IFERROR(VLOOKUP(C10135,'STOK KARTLARI'!$C$2:$K$2150,8,0),0)</f>
        <v>0</v>
      </c>
      <c r="K10135" s="21">
        <f t="shared" si="751"/>
        <v>0</v>
      </c>
      <c r="L10135" s="5">
        <f t="shared" si="753"/>
        <v>0</v>
      </c>
      <c r="M10135" s="4"/>
      <c r="N10135" s="4"/>
      <c r="O10135" s="5"/>
      <c r="P10135" s="5"/>
      <c r="Q10135" s="21">
        <f t="shared" si="754"/>
        <v>0</v>
      </c>
      <c r="R10135" s="21">
        <f t="shared" si="752"/>
        <v>0</v>
      </c>
      <c r="S10135" s="5">
        <f t="shared" si="755"/>
        <v>70007.077158325032</v>
      </c>
      <c r="T10135" cm="1">
        <f t="array" ref="T10135">IF(OR(B10135="MAL ALIMI", B10135="ÜRETİM GİRİŞ"), MIN(I10135, MAX(0, I10135 + SUM(SUMIFS($I$1:I10134, $C$1:C10134, C10135, $B$1:B10134, {"MAL ALIMI","ÜRETİM GİRİŞ"})) - VLOOKUP(C10135, 'STOK RAPORU'!$C$2:$I$1000, 4, 0))), 0)</f>
        <v>0</v>
      </c>
      <c r="U10135" s="22">
        <f t="shared" si="748"/>
        <v>0</v>
      </c>
      <c r="V10135">
        <f t="shared" si="749"/>
        <v>0</v>
      </c>
      <c r="W10135" s="22">
        <f t="shared" si="750"/>
        <v>0</v>
      </c>
    </row>
    <row r="10136" spans="1:23" hidden="1" x14ac:dyDescent="0.25">
      <c r="A10136" s="4"/>
      <c r="B10136" s="4"/>
      <c r="C10136" s="4"/>
      <c r="D10136" s="4"/>
      <c r="E10136" s="4"/>
      <c r="F10136" s="4"/>
      <c r="G10136" s="4"/>
      <c r="H10136" s="4"/>
      <c r="I10136" s="4"/>
      <c r="J10136" s="21">
        <f>IFERROR(VLOOKUP(C10136,'STOK KARTLARI'!$C$2:$K$2150,8,0),0)</f>
        <v>0</v>
      </c>
      <c r="K10136" s="21">
        <f t="shared" si="751"/>
        <v>0</v>
      </c>
      <c r="L10136" s="5">
        <f t="shared" si="753"/>
        <v>0</v>
      </c>
      <c r="M10136" s="4"/>
      <c r="N10136" s="4"/>
      <c r="O10136" s="5"/>
      <c r="P10136" s="5"/>
      <c r="Q10136" s="21">
        <f t="shared" si="754"/>
        <v>0</v>
      </c>
      <c r="R10136" s="21">
        <f t="shared" si="752"/>
        <v>0</v>
      </c>
      <c r="S10136" s="5">
        <f t="shared" si="755"/>
        <v>70007.077158325032</v>
      </c>
      <c r="T10136" cm="1">
        <f t="array" ref="T10136">IF(OR(B10136="MAL ALIMI", B10136="ÜRETİM GİRİŞ"), MIN(I10136, MAX(0, I10136 + SUM(SUMIFS($I$1:I10135, $C$1:C10135, C10136, $B$1:B10135, {"MAL ALIMI","ÜRETİM GİRİŞ"})) - VLOOKUP(C10136, 'STOK RAPORU'!$C$2:$I$1000, 4, 0))), 0)</f>
        <v>0</v>
      </c>
      <c r="U10136" s="22">
        <f t="shared" si="748"/>
        <v>0</v>
      </c>
      <c r="V10136">
        <f t="shared" si="749"/>
        <v>0</v>
      </c>
      <c r="W10136" s="22">
        <f t="shared" si="750"/>
        <v>0</v>
      </c>
    </row>
    <row r="10137" spans="1:23" hidden="1" x14ac:dyDescent="0.25">
      <c r="A10137" s="4"/>
      <c r="B10137" s="4"/>
      <c r="C10137" s="4"/>
      <c r="D10137" s="4"/>
      <c r="E10137" s="4"/>
      <c r="F10137" s="4"/>
      <c r="G10137" s="4"/>
      <c r="H10137" s="4"/>
      <c r="I10137" s="4"/>
      <c r="J10137" s="21">
        <f>IFERROR(VLOOKUP(C10137,'STOK KARTLARI'!$C$2:$K$2150,8,0),0)</f>
        <v>0</v>
      </c>
      <c r="K10137" s="21">
        <f t="shared" si="751"/>
        <v>0</v>
      </c>
      <c r="L10137" s="5">
        <f t="shared" si="753"/>
        <v>0</v>
      </c>
      <c r="M10137" s="4"/>
      <c r="N10137" s="4"/>
      <c r="O10137" s="5"/>
      <c r="P10137" s="5"/>
      <c r="Q10137" s="21">
        <f t="shared" si="754"/>
        <v>0</v>
      </c>
      <c r="R10137" s="21">
        <f t="shared" si="752"/>
        <v>0</v>
      </c>
      <c r="S10137" s="5">
        <f t="shared" si="755"/>
        <v>70007.077158325032</v>
      </c>
      <c r="T10137" cm="1">
        <f t="array" ref="T10137">IF(OR(B10137="MAL ALIMI", B10137="ÜRETİM GİRİŞ"), MIN(I10137, MAX(0, I10137 + SUM(SUMIFS($I$1:I10136, $C$1:C10136, C10137, $B$1:B10136, {"MAL ALIMI","ÜRETİM GİRİŞ"})) - VLOOKUP(C10137, 'STOK RAPORU'!$C$2:$I$1000, 4, 0))), 0)</f>
        <v>0</v>
      </c>
      <c r="U10137" s="22">
        <f t="shared" si="748"/>
        <v>0</v>
      </c>
      <c r="V10137">
        <f t="shared" si="749"/>
        <v>0</v>
      </c>
      <c r="W10137" s="22">
        <f t="shared" si="750"/>
        <v>0</v>
      </c>
    </row>
    <row r="10138" spans="1:23" hidden="1" x14ac:dyDescent="0.25">
      <c r="A10138" s="4"/>
      <c r="B10138" s="4"/>
      <c r="C10138" s="4"/>
      <c r="D10138" s="4"/>
      <c r="E10138" s="4"/>
      <c r="F10138" s="4"/>
      <c r="G10138" s="4"/>
      <c r="H10138" s="4"/>
      <c r="I10138" s="4"/>
      <c r="J10138" s="21">
        <f>IFERROR(VLOOKUP(C10138,'STOK KARTLARI'!$C$2:$K$2150,8,0),0)</f>
        <v>0</v>
      </c>
      <c r="K10138" s="21">
        <f t="shared" si="751"/>
        <v>0</v>
      </c>
      <c r="L10138" s="5">
        <f t="shared" si="753"/>
        <v>0</v>
      </c>
      <c r="M10138" s="4"/>
      <c r="N10138" s="4"/>
      <c r="O10138" s="5"/>
      <c r="P10138" s="5"/>
      <c r="Q10138" s="21">
        <f t="shared" si="754"/>
        <v>0</v>
      </c>
      <c r="R10138" s="21">
        <f t="shared" si="752"/>
        <v>0</v>
      </c>
      <c r="S10138" s="5">
        <f t="shared" si="755"/>
        <v>70007.077158325032</v>
      </c>
      <c r="T10138" cm="1">
        <f t="array" ref="T10138">IF(OR(B10138="MAL ALIMI", B10138="ÜRETİM GİRİŞ"), MIN(I10138, MAX(0, I10138 + SUM(SUMIFS($I$1:I10137, $C$1:C10137, C10138, $B$1:B10137, {"MAL ALIMI","ÜRETİM GİRİŞ"})) - VLOOKUP(C10138, 'STOK RAPORU'!$C$2:$I$1000, 4, 0))), 0)</f>
        <v>0</v>
      </c>
      <c r="U10138" s="22">
        <f t="shared" si="748"/>
        <v>0</v>
      </c>
      <c r="V10138">
        <f t="shared" si="749"/>
        <v>0</v>
      </c>
      <c r="W10138" s="22">
        <f t="shared" si="750"/>
        <v>0</v>
      </c>
    </row>
    <row r="10139" spans="1:23" hidden="1" x14ac:dyDescent="0.25">
      <c r="A10139" s="4"/>
      <c r="B10139" s="4"/>
      <c r="C10139" s="4"/>
      <c r="D10139" s="4"/>
      <c r="E10139" s="4"/>
      <c r="F10139" s="4"/>
      <c r="G10139" s="4"/>
      <c r="H10139" s="4"/>
      <c r="I10139" s="4"/>
      <c r="J10139" s="21">
        <f>IFERROR(VLOOKUP(C10139,'STOK KARTLARI'!$C$2:$K$2150,8,0),0)</f>
        <v>0</v>
      </c>
      <c r="K10139" s="21">
        <f t="shared" si="751"/>
        <v>0</v>
      </c>
      <c r="L10139" s="5">
        <f t="shared" si="753"/>
        <v>0</v>
      </c>
      <c r="M10139" s="4"/>
      <c r="N10139" s="4"/>
      <c r="O10139" s="5"/>
      <c r="P10139" s="5"/>
      <c r="Q10139" s="21">
        <f t="shared" si="754"/>
        <v>0</v>
      </c>
      <c r="R10139" s="21">
        <f t="shared" si="752"/>
        <v>0</v>
      </c>
      <c r="S10139" s="5">
        <f t="shared" si="755"/>
        <v>70007.077158325032</v>
      </c>
      <c r="T10139" cm="1">
        <f t="array" ref="T10139">IF(OR(B10139="MAL ALIMI", B10139="ÜRETİM GİRİŞ"), MIN(I10139, MAX(0, I10139 + SUM(SUMIFS($I$1:I10138, $C$1:C10138, C10139, $B$1:B10138, {"MAL ALIMI","ÜRETİM GİRİŞ"})) - VLOOKUP(C10139, 'STOK RAPORU'!$C$2:$I$1000, 4, 0))), 0)</f>
        <v>0</v>
      </c>
      <c r="U10139" s="22">
        <f t="shared" si="748"/>
        <v>0</v>
      </c>
      <c r="V10139">
        <f t="shared" si="749"/>
        <v>0</v>
      </c>
      <c r="W10139" s="22">
        <f t="shared" si="750"/>
        <v>0</v>
      </c>
    </row>
    <row r="10140" spans="1:23" hidden="1" x14ac:dyDescent="0.25">
      <c r="A10140" s="4"/>
      <c r="B10140" s="4"/>
      <c r="C10140" s="4"/>
      <c r="D10140" s="4"/>
      <c r="E10140" s="4"/>
      <c r="F10140" s="4"/>
      <c r="G10140" s="4"/>
      <c r="H10140" s="4"/>
      <c r="I10140" s="4"/>
      <c r="J10140" s="21">
        <f>IFERROR(VLOOKUP(C10140,'STOK KARTLARI'!$C$2:$K$2150,8,0),0)</f>
        <v>0</v>
      </c>
      <c r="K10140" s="21">
        <f t="shared" si="751"/>
        <v>0</v>
      </c>
      <c r="L10140" s="5">
        <f t="shared" si="753"/>
        <v>0</v>
      </c>
      <c r="M10140" s="4"/>
      <c r="N10140" s="4"/>
      <c r="O10140" s="5"/>
      <c r="P10140" s="5"/>
      <c r="Q10140" s="21">
        <f t="shared" si="754"/>
        <v>0</v>
      </c>
      <c r="R10140" s="21">
        <f t="shared" si="752"/>
        <v>0</v>
      </c>
      <c r="S10140" s="5">
        <f t="shared" si="755"/>
        <v>70007.077158325032</v>
      </c>
      <c r="T10140" cm="1">
        <f t="array" ref="T10140">IF(OR(B10140="MAL ALIMI", B10140="ÜRETİM GİRİŞ"), MIN(I10140, MAX(0, I10140 + SUM(SUMIFS($I$1:I10139, $C$1:C10139, C10140, $B$1:B10139, {"MAL ALIMI","ÜRETİM GİRİŞ"})) - VLOOKUP(C10140, 'STOK RAPORU'!$C$2:$I$1000, 4, 0))), 0)</f>
        <v>0</v>
      </c>
      <c r="U10140" s="22">
        <f t="shared" si="748"/>
        <v>0</v>
      </c>
      <c r="V10140">
        <f t="shared" si="749"/>
        <v>0</v>
      </c>
      <c r="W10140" s="22">
        <f t="shared" si="750"/>
        <v>0</v>
      </c>
    </row>
    <row r="10141" spans="1:23" hidden="1" x14ac:dyDescent="0.25">
      <c r="A10141" s="3"/>
      <c r="B10141" s="4"/>
      <c r="C10141" s="4"/>
      <c r="D10141" s="4"/>
      <c r="E10141" s="4"/>
      <c r="F10141" s="4"/>
      <c r="G10141" s="4"/>
      <c r="H10141" s="4"/>
      <c r="I10141" s="4"/>
      <c r="J10141" s="21">
        <f>IFERROR(VLOOKUP(C10141,'STOK KARTLARI'!$C$2:$K$2150,8,0),0)</f>
        <v>0</v>
      </c>
      <c r="K10141" s="21">
        <f t="shared" si="751"/>
        <v>0</v>
      </c>
      <c r="L10141" s="5">
        <f t="shared" si="753"/>
        <v>0</v>
      </c>
      <c r="M10141" s="4"/>
      <c r="N10141" s="4"/>
      <c r="O10141" s="5"/>
      <c r="P10141" s="5"/>
      <c r="Q10141" s="21">
        <f t="shared" si="754"/>
        <v>0</v>
      </c>
      <c r="R10141" s="21">
        <f t="shared" si="752"/>
        <v>0</v>
      </c>
      <c r="S10141" s="5">
        <f t="shared" si="755"/>
        <v>70007.077158325032</v>
      </c>
      <c r="T10141" cm="1">
        <f t="array" ref="T10141">IF(OR(B10141="MAL ALIMI", B10141="ÜRETİM GİRİŞ"), MIN(I10141, MAX(0, I10141 + SUM(SUMIFS($I$1:I10140, $C$1:C10140, C10141, $B$1:B10140, {"MAL ALIMI","ÜRETİM GİRİŞ"})) - VLOOKUP(C10141, 'STOK RAPORU'!$C$2:$I$1000, 4, 0))), 0)</f>
        <v>0</v>
      </c>
      <c r="U10141" s="22">
        <f t="shared" si="748"/>
        <v>0</v>
      </c>
      <c r="V10141">
        <f t="shared" si="749"/>
        <v>0</v>
      </c>
      <c r="W10141" s="22">
        <f t="shared" si="750"/>
        <v>0</v>
      </c>
    </row>
    <row r="10142" spans="1:23" hidden="1" x14ac:dyDescent="0.25">
      <c r="A10142" s="4"/>
      <c r="B10142" s="4"/>
      <c r="C10142" s="4"/>
      <c r="D10142" s="4"/>
      <c r="E10142" s="4"/>
      <c r="F10142" s="4"/>
      <c r="G10142" s="4"/>
      <c r="H10142" s="4"/>
      <c r="I10142" s="4"/>
      <c r="J10142" s="21">
        <f>IFERROR(VLOOKUP(C10142,'STOK KARTLARI'!$C$2:$K$2150,8,0),0)</f>
        <v>0</v>
      </c>
      <c r="K10142" s="21">
        <f t="shared" si="751"/>
        <v>0</v>
      </c>
      <c r="L10142" s="5">
        <f t="shared" si="753"/>
        <v>0</v>
      </c>
      <c r="M10142" s="4"/>
      <c r="N10142" s="4"/>
      <c r="O10142" s="5"/>
      <c r="P10142" s="5"/>
      <c r="Q10142" s="21">
        <f t="shared" si="754"/>
        <v>0</v>
      </c>
      <c r="R10142" s="21">
        <f t="shared" si="752"/>
        <v>0</v>
      </c>
      <c r="S10142" s="5">
        <f t="shared" si="755"/>
        <v>70007.077158325032</v>
      </c>
      <c r="T10142" cm="1">
        <f t="array" ref="T10142">IF(OR(B10142="MAL ALIMI", B10142="ÜRETİM GİRİŞ"), MIN(I10142, MAX(0, I10142 + SUM(SUMIFS($I$1:I10141, $C$1:C10141, C10142, $B$1:B10141, {"MAL ALIMI","ÜRETİM GİRİŞ"})) - VLOOKUP(C10142, 'STOK RAPORU'!$C$2:$I$1000, 4, 0))), 0)</f>
        <v>0</v>
      </c>
      <c r="U10142" s="22">
        <f t="shared" si="748"/>
        <v>0</v>
      </c>
      <c r="V10142">
        <f t="shared" si="749"/>
        <v>0</v>
      </c>
      <c r="W10142" s="22">
        <f t="shared" si="750"/>
        <v>0</v>
      </c>
    </row>
    <row r="10143" spans="1:23" hidden="1" x14ac:dyDescent="0.25">
      <c r="A10143" s="4"/>
      <c r="B10143" s="4"/>
      <c r="C10143" s="4"/>
      <c r="D10143" s="4"/>
      <c r="E10143" s="4"/>
      <c r="F10143" s="4"/>
      <c r="G10143" s="4"/>
      <c r="H10143" s="4"/>
      <c r="I10143" s="4"/>
      <c r="J10143" s="21">
        <f>IFERROR(VLOOKUP(C10143,'STOK KARTLARI'!$C$2:$K$2150,8,0),0)</f>
        <v>0</v>
      </c>
      <c r="K10143" s="21">
        <f t="shared" si="751"/>
        <v>0</v>
      </c>
      <c r="L10143" s="5">
        <f t="shared" si="753"/>
        <v>0</v>
      </c>
      <c r="M10143" s="4"/>
      <c r="N10143" s="4"/>
      <c r="O10143" s="5"/>
      <c r="P10143" s="5"/>
      <c r="Q10143" s="21">
        <f t="shared" si="754"/>
        <v>0</v>
      </c>
      <c r="R10143" s="21">
        <f t="shared" si="752"/>
        <v>0</v>
      </c>
      <c r="S10143" s="5">
        <f t="shared" si="755"/>
        <v>70007.077158325032</v>
      </c>
      <c r="T10143" cm="1">
        <f t="array" ref="T10143">IF(OR(B10143="MAL ALIMI", B10143="ÜRETİM GİRİŞ"), MIN(I10143, MAX(0, I10143 + SUM(SUMIFS($I$1:I10142, $C$1:C10142, C10143, $B$1:B10142, {"MAL ALIMI","ÜRETİM GİRİŞ"})) - VLOOKUP(C10143, 'STOK RAPORU'!$C$2:$I$1000, 4, 0))), 0)</f>
        <v>0</v>
      </c>
      <c r="U10143" s="22">
        <f t="shared" si="748"/>
        <v>0</v>
      </c>
      <c r="V10143">
        <f t="shared" si="749"/>
        <v>0</v>
      </c>
      <c r="W10143" s="22">
        <f t="shared" si="750"/>
        <v>0</v>
      </c>
    </row>
    <row r="10144" spans="1:23" hidden="1" x14ac:dyDescent="0.25">
      <c r="A10144" s="4"/>
      <c r="B10144" s="4"/>
      <c r="C10144" s="4"/>
      <c r="D10144" s="4"/>
      <c r="E10144" s="4"/>
      <c r="F10144" s="4"/>
      <c r="G10144" s="4"/>
      <c r="H10144" s="4"/>
      <c r="I10144" s="4"/>
      <c r="J10144" s="21">
        <f>IFERROR(VLOOKUP(C10144,'STOK KARTLARI'!$C$2:$K$2150,8,0),0)</f>
        <v>0</v>
      </c>
      <c r="K10144" s="21">
        <f t="shared" si="751"/>
        <v>0</v>
      </c>
      <c r="L10144" s="5">
        <f t="shared" si="753"/>
        <v>0</v>
      </c>
      <c r="M10144" s="4"/>
      <c r="N10144" s="4"/>
      <c r="O10144" s="5"/>
      <c r="P10144" s="5"/>
      <c r="Q10144" s="21">
        <f t="shared" si="754"/>
        <v>0</v>
      </c>
      <c r="R10144" s="21">
        <f t="shared" si="752"/>
        <v>0</v>
      </c>
      <c r="S10144" s="5">
        <f t="shared" si="755"/>
        <v>70007.077158325032</v>
      </c>
      <c r="T10144" cm="1">
        <f t="array" ref="T10144">IF(OR(B10144="MAL ALIMI", B10144="ÜRETİM GİRİŞ"), MIN(I10144, MAX(0, I10144 + SUM(SUMIFS($I$1:I10143, $C$1:C10143, C10144, $B$1:B10143, {"MAL ALIMI","ÜRETİM GİRİŞ"})) - VLOOKUP(C10144, 'STOK RAPORU'!$C$2:$I$1000, 4, 0))), 0)</f>
        <v>0</v>
      </c>
      <c r="U10144" s="22">
        <f t="shared" si="748"/>
        <v>0</v>
      </c>
      <c r="V10144">
        <f t="shared" si="749"/>
        <v>0</v>
      </c>
      <c r="W10144" s="22">
        <f t="shared" si="750"/>
        <v>0</v>
      </c>
    </row>
    <row r="10145" spans="1:23" hidden="1" x14ac:dyDescent="0.25">
      <c r="A10145" s="4"/>
      <c r="B10145" s="4"/>
      <c r="C10145" s="4"/>
      <c r="D10145" s="4"/>
      <c r="E10145" s="4"/>
      <c r="F10145" s="4"/>
      <c r="G10145" s="4"/>
      <c r="H10145" s="4"/>
      <c r="I10145" s="4"/>
      <c r="J10145" s="21">
        <f>IFERROR(VLOOKUP(C10145,'STOK KARTLARI'!$C$2:$K$2150,8,0),0)</f>
        <v>0</v>
      </c>
      <c r="K10145" s="21">
        <f t="shared" si="751"/>
        <v>0</v>
      </c>
      <c r="L10145" s="5">
        <f t="shared" si="753"/>
        <v>0</v>
      </c>
      <c r="M10145" s="4"/>
      <c r="N10145" s="4"/>
      <c r="O10145" s="5"/>
      <c r="P10145" s="5"/>
      <c r="Q10145" s="21">
        <f t="shared" si="754"/>
        <v>0</v>
      </c>
      <c r="R10145" s="21">
        <f t="shared" si="752"/>
        <v>0</v>
      </c>
      <c r="S10145" s="5">
        <f t="shared" si="755"/>
        <v>70007.077158325032</v>
      </c>
      <c r="T10145" cm="1">
        <f t="array" ref="T10145">IF(OR(B10145="MAL ALIMI", B10145="ÜRETİM GİRİŞ"), MIN(I10145, MAX(0, I10145 + SUM(SUMIFS($I$1:I10144, $C$1:C10144, C10145, $B$1:B10144, {"MAL ALIMI","ÜRETİM GİRİŞ"})) - VLOOKUP(C10145, 'STOK RAPORU'!$C$2:$I$1000, 4, 0))), 0)</f>
        <v>0</v>
      </c>
      <c r="U10145" s="22">
        <f t="shared" si="748"/>
        <v>0</v>
      </c>
      <c r="V10145">
        <f t="shared" si="749"/>
        <v>0</v>
      </c>
      <c r="W10145" s="22">
        <f t="shared" si="750"/>
        <v>0</v>
      </c>
    </row>
    <row r="10146" spans="1:23" hidden="1" x14ac:dyDescent="0.25">
      <c r="A10146" s="4"/>
      <c r="B10146" s="4"/>
      <c r="C10146" s="4"/>
      <c r="D10146" s="4"/>
      <c r="E10146" s="4"/>
      <c r="F10146" s="4"/>
      <c r="G10146" s="4"/>
      <c r="H10146" s="4"/>
      <c r="I10146" s="4"/>
      <c r="J10146" s="21">
        <f>IFERROR(VLOOKUP(C10146,'STOK KARTLARI'!$C$2:$K$2150,8,0),0)</f>
        <v>0</v>
      </c>
      <c r="K10146" s="21">
        <f t="shared" si="751"/>
        <v>0</v>
      </c>
      <c r="L10146" s="5">
        <f t="shared" si="753"/>
        <v>0</v>
      </c>
      <c r="M10146" s="4"/>
      <c r="N10146" s="4"/>
      <c r="O10146" s="5"/>
      <c r="P10146" s="5"/>
      <c r="Q10146" s="21">
        <f t="shared" si="754"/>
        <v>0</v>
      </c>
      <c r="R10146" s="21">
        <f t="shared" si="752"/>
        <v>0</v>
      </c>
      <c r="S10146" s="5">
        <f t="shared" si="755"/>
        <v>70007.077158325032</v>
      </c>
      <c r="T10146" cm="1">
        <f t="array" ref="T10146">IF(OR(B10146="MAL ALIMI", B10146="ÜRETİM GİRİŞ"), MIN(I10146, MAX(0, I10146 + SUM(SUMIFS($I$1:I10145, $C$1:C10145, C10146, $B$1:B10145, {"MAL ALIMI","ÜRETİM GİRİŞ"})) - VLOOKUP(C10146, 'STOK RAPORU'!$C$2:$I$1000, 4, 0))), 0)</f>
        <v>0</v>
      </c>
      <c r="U10146" s="22">
        <f t="shared" si="748"/>
        <v>0</v>
      </c>
      <c r="V10146">
        <f t="shared" si="749"/>
        <v>0</v>
      </c>
      <c r="W10146" s="22">
        <f t="shared" si="750"/>
        <v>0</v>
      </c>
    </row>
    <row r="10147" spans="1:23" hidden="1" x14ac:dyDescent="0.25">
      <c r="A10147" s="4"/>
      <c r="B10147" s="4"/>
      <c r="C10147" s="4"/>
      <c r="D10147" s="4"/>
      <c r="E10147" s="4"/>
      <c r="F10147" s="4"/>
      <c r="G10147" s="4"/>
      <c r="H10147" s="4"/>
      <c r="I10147" s="4"/>
      <c r="J10147" s="21">
        <f>IFERROR(VLOOKUP(C10147,'STOK KARTLARI'!$C$2:$K$2150,8,0),0)</f>
        <v>0</v>
      </c>
      <c r="K10147" s="21">
        <f t="shared" si="751"/>
        <v>0</v>
      </c>
      <c r="L10147" s="5">
        <f t="shared" si="753"/>
        <v>0</v>
      </c>
      <c r="M10147" s="4"/>
      <c r="N10147" s="4"/>
      <c r="O10147" s="5"/>
      <c r="P10147" s="5"/>
      <c r="Q10147" s="21">
        <f t="shared" si="754"/>
        <v>0</v>
      </c>
      <c r="R10147" s="21">
        <f t="shared" si="752"/>
        <v>0</v>
      </c>
      <c r="S10147" s="5">
        <f t="shared" si="755"/>
        <v>70007.077158325032</v>
      </c>
      <c r="T10147" cm="1">
        <f t="array" ref="T10147">IF(OR(B10147="MAL ALIMI", B10147="ÜRETİM GİRİŞ"), MIN(I10147, MAX(0, I10147 + SUM(SUMIFS($I$1:I10146, $C$1:C10146, C10147, $B$1:B10146, {"MAL ALIMI","ÜRETİM GİRİŞ"})) - VLOOKUP(C10147, 'STOK RAPORU'!$C$2:$I$1000, 4, 0))), 0)</f>
        <v>0</v>
      </c>
      <c r="U10147" s="22">
        <f t="shared" si="748"/>
        <v>0</v>
      </c>
      <c r="V10147">
        <f t="shared" si="749"/>
        <v>0</v>
      </c>
      <c r="W10147" s="22">
        <f t="shared" si="750"/>
        <v>0</v>
      </c>
    </row>
    <row r="10148" spans="1:23" hidden="1" x14ac:dyDescent="0.25">
      <c r="A10148" s="3"/>
      <c r="B10148" s="4"/>
      <c r="C10148" s="4"/>
      <c r="D10148" s="4"/>
      <c r="E10148" s="4"/>
      <c r="F10148" s="4"/>
      <c r="G10148" s="4"/>
      <c r="H10148" s="4"/>
      <c r="I10148" s="4"/>
      <c r="J10148" s="21">
        <f>IFERROR(VLOOKUP(C10148,'STOK KARTLARI'!$C$2:$K$2150,8,0),0)</f>
        <v>0</v>
      </c>
      <c r="K10148" s="21">
        <f t="shared" si="751"/>
        <v>0</v>
      </c>
      <c r="L10148" s="5">
        <f t="shared" si="753"/>
        <v>0</v>
      </c>
      <c r="M10148" s="4"/>
      <c r="N10148" s="4"/>
      <c r="O10148" s="5"/>
      <c r="P10148" s="5"/>
      <c r="Q10148" s="21">
        <f t="shared" si="754"/>
        <v>0</v>
      </c>
      <c r="R10148" s="21">
        <f t="shared" si="752"/>
        <v>0</v>
      </c>
      <c r="S10148" s="5">
        <f t="shared" si="755"/>
        <v>70007.077158325032</v>
      </c>
      <c r="T10148" cm="1">
        <f t="array" ref="T10148">IF(OR(B10148="MAL ALIMI", B10148="ÜRETİM GİRİŞ"), MIN(I10148, MAX(0, I10148 + SUM(SUMIFS($I$1:I10147, $C$1:C10147, C10148, $B$1:B10147, {"MAL ALIMI","ÜRETİM GİRİŞ"})) - VLOOKUP(C10148, 'STOK RAPORU'!$C$2:$I$1000, 4, 0))), 0)</f>
        <v>0</v>
      </c>
      <c r="U10148" s="22">
        <f t="shared" si="748"/>
        <v>0</v>
      </c>
      <c r="V10148">
        <f t="shared" si="749"/>
        <v>0</v>
      </c>
      <c r="W10148" s="22">
        <f t="shared" si="750"/>
        <v>0</v>
      </c>
    </row>
    <row r="10149" spans="1:23" hidden="1" x14ac:dyDescent="0.25">
      <c r="A10149" s="4"/>
      <c r="B10149" s="4"/>
      <c r="C10149" s="4"/>
      <c r="D10149" s="4"/>
      <c r="E10149" s="4"/>
      <c r="F10149" s="4"/>
      <c r="G10149" s="4"/>
      <c r="H10149" s="4"/>
      <c r="I10149" s="4"/>
      <c r="J10149" s="21">
        <f>IFERROR(VLOOKUP(C10149,'STOK KARTLARI'!$C$2:$K$2150,8,0),0)</f>
        <v>0</v>
      </c>
      <c r="K10149" s="21">
        <f t="shared" si="751"/>
        <v>0</v>
      </c>
      <c r="L10149" s="5">
        <f t="shared" si="753"/>
        <v>0</v>
      </c>
      <c r="M10149" s="4"/>
      <c r="N10149" s="4"/>
      <c r="O10149" s="5"/>
      <c r="P10149" s="5"/>
      <c r="Q10149" s="21">
        <f t="shared" si="754"/>
        <v>0</v>
      </c>
      <c r="R10149" s="21">
        <f t="shared" si="752"/>
        <v>0</v>
      </c>
      <c r="S10149" s="5">
        <f t="shared" si="755"/>
        <v>70007.077158325032</v>
      </c>
      <c r="T10149" cm="1">
        <f t="array" ref="T10149">IF(OR(B10149="MAL ALIMI", B10149="ÜRETİM GİRİŞ"), MIN(I10149, MAX(0, I10149 + SUM(SUMIFS($I$1:I10148, $C$1:C10148, C10149, $B$1:B10148, {"MAL ALIMI","ÜRETİM GİRİŞ"})) - VLOOKUP(C10149, 'STOK RAPORU'!$C$2:$I$1000, 4, 0))), 0)</f>
        <v>0</v>
      </c>
      <c r="U10149" s="22">
        <f t="shared" si="748"/>
        <v>0</v>
      </c>
      <c r="V10149">
        <f t="shared" si="749"/>
        <v>0</v>
      </c>
      <c r="W10149" s="22">
        <f t="shared" si="750"/>
        <v>0</v>
      </c>
    </row>
    <row r="10150" spans="1:23" hidden="1" x14ac:dyDescent="0.25">
      <c r="A10150" s="4"/>
      <c r="B10150" s="4"/>
      <c r="C10150" s="4"/>
      <c r="D10150" s="4"/>
      <c r="E10150" s="4"/>
      <c r="F10150" s="4"/>
      <c r="G10150" s="4"/>
      <c r="H10150" s="4"/>
      <c r="I10150" s="4"/>
      <c r="J10150" s="21">
        <f>IFERROR(VLOOKUP(C10150,'STOK KARTLARI'!$C$2:$K$2150,8,0),0)</f>
        <v>0</v>
      </c>
      <c r="K10150" s="21">
        <f t="shared" si="751"/>
        <v>0</v>
      </c>
      <c r="L10150" s="5">
        <f t="shared" si="753"/>
        <v>0</v>
      </c>
      <c r="M10150" s="4"/>
      <c r="N10150" s="4"/>
      <c r="O10150" s="5"/>
      <c r="P10150" s="5"/>
      <c r="Q10150" s="21">
        <f t="shared" si="754"/>
        <v>0</v>
      </c>
      <c r="R10150" s="21">
        <f t="shared" si="752"/>
        <v>0</v>
      </c>
      <c r="S10150" s="5">
        <f t="shared" si="755"/>
        <v>70007.077158325032</v>
      </c>
      <c r="T10150" cm="1">
        <f t="array" ref="T10150">IF(OR(B10150="MAL ALIMI", B10150="ÜRETİM GİRİŞ"), MIN(I10150, MAX(0, I10150 + SUM(SUMIFS($I$1:I10149, $C$1:C10149, C10150, $B$1:B10149, {"MAL ALIMI","ÜRETİM GİRİŞ"})) - VLOOKUP(C10150, 'STOK RAPORU'!$C$2:$I$1000, 4, 0))), 0)</f>
        <v>0</v>
      </c>
      <c r="U10150" s="22">
        <f t="shared" si="748"/>
        <v>0</v>
      </c>
      <c r="V10150">
        <f t="shared" si="749"/>
        <v>0</v>
      </c>
      <c r="W10150" s="22">
        <f t="shared" si="750"/>
        <v>0</v>
      </c>
    </row>
    <row r="10151" spans="1:23" hidden="1" x14ac:dyDescent="0.25">
      <c r="A10151" s="4"/>
      <c r="B10151" s="4"/>
      <c r="C10151" s="4"/>
      <c r="D10151" s="4"/>
      <c r="E10151" s="4"/>
      <c r="F10151" s="4"/>
      <c r="G10151" s="4"/>
      <c r="H10151" s="4"/>
      <c r="I10151" s="4"/>
      <c r="J10151" s="21">
        <f>IFERROR(VLOOKUP(C10151,'STOK KARTLARI'!$C$2:$K$2150,8,0),0)</f>
        <v>0</v>
      </c>
      <c r="K10151" s="21">
        <f t="shared" si="751"/>
        <v>0</v>
      </c>
      <c r="L10151" s="5">
        <f t="shared" si="753"/>
        <v>0</v>
      </c>
      <c r="M10151" s="4"/>
      <c r="N10151" s="4"/>
      <c r="O10151" s="5"/>
      <c r="P10151" s="5"/>
      <c r="Q10151" s="21">
        <f t="shared" si="754"/>
        <v>0</v>
      </c>
      <c r="R10151" s="21">
        <f t="shared" si="752"/>
        <v>0</v>
      </c>
      <c r="S10151" s="5">
        <f t="shared" si="755"/>
        <v>70007.077158325032</v>
      </c>
      <c r="T10151" cm="1">
        <f t="array" ref="T10151">IF(OR(B10151="MAL ALIMI", B10151="ÜRETİM GİRİŞ"), MIN(I10151, MAX(0, I10151 + SUM(SUMIFS($I$1:I10150, $C$1:C10150, C10151, $B$1:B10150, {"MAL ALIMI","ÜRETİM GİRİŞ"})) - VLOOKUP(C10151, 'STOK RAPORU'!$C$2:$I$1000, 4, 0))), 0)</f>
        <v>0</v>
      </c>
      <c r="U10151" s="22">
        <f t="shared" si="748"/>
        <v>0</v>
      </c>
      <c r="V10151">
        <f t="shared" si="749"/>
        <v>0</v>
      </c>
      <c r="W10151" s="22">
        <f t="shared" si="750"/>
        <v>0</v>
      </c>
    </row>
    <row r="10152" spans="1:23" hidden="1" x14ac:dyDescent="0.25">
      <c r="A10152" s="4"/>
      <c r="B10152" s="4"/>
      <c r="C10152" s="4"/>
      <c r="D10152" s="4"/>
      <c r="E10152" s="4"/>
      <c r="F10152" s="4"/>
      <c r="G10152" s="4"/>
      <c r="H10152" s="4"/>
      <c r="I10152" s="4"/>
      <c r="J10152" s="21">
        <f>IFERROR(VLOOKUP(C10152,'STOK KARTLARI'!$C$2:$K$2150,8,0),0)</f>
        <v>0</v>
      </c>
      <c r="K10152" s="21">
        <f t="shared" si="751"/>
        <v>0</v>
      </c>
      <c r="L10152" s="5">
        <f t="shared" si="753"/>
        <v>0</v>
      </c>
      <c r="M10152" s="4"/>
      <c r="N10152" s="4"/>
      <c r="O10152" s="5"/>
      <c r="P10152" s="5"/>
      <c r="Q10152" s="21">
        <f t="shared" si="754"/>
        <v>0</v>
      </c>
      <c r="R10152" s="21">
        <f t="shared" si="752"/>
        <v>0</v>
      </c>
      <c r="S10152" s="5">
        <f t="shared" si="755"/>
        <v>70007.077158325032</v>
      </c>
      <c r="T10152" cm="1">
        <f t="array" ref="T10152">IF(OR(B10152="MAL ALIMI", B10152="ÜRETİM GİRİŞ"), MIN(I10152, MAX(0, I10152 + SUM(SUMIFS($I$1:I10151, $C$1:C10151, C10152, $B$1:B10151, {"MAL ALIMI","ÜRETİM GİRİŞ"})) - VLOOKUP(C10152, 'STOK RAPORU'!$C$2:$I$1000, 4, 0))), 0)</f>
        <v>0</v>
      </c>
      <c r="U10152" s="22">
        <f t="shared" si="748"/>
        <v>0</v>
      </c>
      <c r="V10152">
        <f t="shared" si="749"/>
        <v>0</v>
      </c>
      <c r="W10152" s="22">
        <f t="shared" si="750"/>
        <v>0</v>
      </c>
    </row>
    <row r="10153" spans="1:23" hidden="1" x14ac:dyDescent="0.25">
      <c r="A10153" s="4"/>
      <c r="B10153" s="4"/>
      <c r="C10153" s="4"/>
      <c r="D10153" s="4"/>
      <c r="E10153" s="4"/>
      <c r="F10153" s="4"/>
      <c r="G10153" s="4"/>
      <c r="H10153" s="4"/>
      <c r="I10153" s="4"/>
      <c r="J10153" s="21">
        <f>IFERROR(VLOOKUP(C10153,'STOK KARTLARI'!$C$2:$K$2150,8,0),0)</f>
        <v>0</v>
      </c>
      <c r="K10153" s="21">
        <f t="shared" si="751"/>
        <v>0</v>
      </c>
      <c r="L10153" s="5">
        <f t="shared" si="753"/>
        <v>0</v>
      </c>
      <c r="M10153" s="4"/>
      <c r="N10153" s="4"/>
      <c r="O10153" s="5"/>
      <c r="P10153" s="5"/>
      <c r="Q10153" s="21">
        <f t="shared" si="754"/>
        <v>0</v>
      </c>
      <c r="R10153" s="21">
        <f t="shared" si="752"/>
        <v>0</v>
      </c>
      <c r="S10153" s="5">
        <f t="shared" si="755"/>
        <v>70007.077158325032</v>
      </c>
      <c r="T10153" cm="1">
        <f t="array" ref="T10153">IF(OR(B10153="MAL ALIMI", B10153="ÜRETİM GİRİŞ"), MIN(I10153, MAX(0, I10153 + SUM(SUMIFS($I$1:I10152, $C$1:C10152, C10153, $B$1:B10152, {"MAL ALIMI","ÜRETİM GİRİŞ"})) - VLOOKUP(C10153, 'STOK RAPORU'!$C$2:$I$1000, 4, 0))), 0)</f>
        <v>0</v>
      </c>
      <c r="U10153" s="22">
        <f t="shared" si="748"/>
        <v>0</v>
      </c>
      <c r="V10153">
        <f t="shared" si="749"/>
        <v>0</v>
      </c>
      <c r="W10153" s="22">
        <f t="shared" si="750"/>
        <v>0</v>
      </c>
    </row>
    <row r="10154" spans="1:23" hidden="1" x14ac:dyDescent="0.25">
      <c r="A10154" s="4"/>
      <c r="B10154" s="4"/>
      <c r="C10154" s="4"/>
      <c r="D10154" s="4"/>
      <c r="E10154" s="4"/>
      <c r="F10154" s="4"/>
      <c r="G10154" s="4"/>
      <c r="H10154" s="4"/>
      <c r="I10154" s="4"/>
      <c r="J10154" s="21">
        <f>IFERROR(VLOOKUP(C10154,'STOK KARTLARI'!$C$2:$K$2150,8,0),0)</f>
        <v>0</v>
      </c>
      <c r="K10154" s="21">
        <f t="shared" si="751"/>
        <v>0</v>
      </c>
      <c r="L10154" s="5">
        <f t="shared" si="753"/>
        <v>0</v>
      </c>
      <c r="M10154" s="4"/>
      <c r="N10154" s="4"/>
      <c r="O10154" s="5"/>
      <c r="P10154" s="5"/>
      <c r="Q10154" s="21">
        <f t="shared" si="754"/>
        <v>0</v>
      </c>
      <c r="R10154" s="21">
        <f t="shared" si="752"/>
        <v>0</v>
      </c>
      <c r="S10154" s="5">
        <f t="shared" si="755"/>
        <v>70007.077158325032</v>
      </c>
      <c r="T10154" cm="1">
        <f t="array" ref="T10154">IF(OR(B10154="MAL ALIMI", B10154="ÜRETİM GİRİŞ"), MIN(I10154, MAX(0, I10154 + SUM(SUMIFS($I$1:I10153, $C$1:C10153, C10154, $B$1:B10153, {"MAL ALIMI","ÜRETİM GİRİŞ"})) - VLOOKUP(C10154, 'STOK RAPORU'!$C$2:$I$1000, 4, 0))), 0)</f>
        <v>0</v>
      </c>
      <c r="U10154" s="22">
        <f t="shared" si="748"/>
        <v>0</v>
      </c>
      <c r="V10154">
        <f t="shared" si="749"/>
        <v>0</v>
      </c>
      <c r="W10154" s="22">
        <f t="shared" si="750"/>
        <v>0</v>
      </c>
    </row>
    <row r="10155" spans="1:23" hidden="1" x14ac:dyDescent="0.25">
      <c r="A10155" s="3"/>
      <c r="B10155" s="4"/>
      <c r="C10155" s="4"/>
      <c r="D10155" s="4"/>
      <c r="E10155" s="4"/>
      <c r="F10155" s="4"/>
      <c r="G10155" s="4"/>
      <c r="H10155" s="4"/>
      <c r="I10155" s="4"/>
      <c r="J10155" s="21">
        <f>IFERROR(VLOOKUP(C10155,'STOK KARTLARI'!$C$2:$K$2150,8,0),0)</f>
        <v>0</v>
      </c>
      <c r="K10155" s="21">
        <f t="shared" si="751"/>
        <v>0</v>
      </c>
      <c r="L10155" s="5">
        <f t="shared" si="753"/>
        <v>0</v>
      </c>
      <c r="M10155" s="4"/>
      <c r="N10155" s="4"/>
      <c r="O10155" s="5"/>
      <c r="P10155" s="5"/>
      <c r="Q10155" s="21">
        <f t="shared" si="754"/>
        <v>0</v>
      </c>
      <c r="R10155" s="21">
        <f t="shared" si="752"/>
        <v>0</v>
      </c>
      <c r="S10155" s="5">
        <f t="shared" si="755"/>
        <v>70007.077158325032</v>
      </c>
      <c r="T10155" cm="1">
        <f t="array" ref="T10155">IF(OR(B10155="MAL ALIMI", B10155="ÜRETİM GİRİŞ"), MIN(I10155, MAX(0, I10155 + SUM(SUMIFS($I$1:I10154, $C$1:C10154, C10155, $B$1:B10154, {"MAL ALIMI","ÜRETİM GİRİŞ"})) - VLOOKUP(C10155, 'STOK RAPORU'!$C$2:$I$1000, 4, 0))), 0)</f>
        <v>0</v>
      </c>
      <c r="U10155" s="22">
        <f t="shared" si="748"/>
        <v>0</v>
      </c>
      <c r="V10155">
        <f t="shared" si="749"/>
        <v>0</v>
      </c>
      <c r="W10155" s="22">
        <f t="shared" si="750"/>
        <v>0</v>
      </c>
    </row>
    <row r="10156" spans="1:23" hidden="1" x14ac:dyDescent="0.25">
      <c r="A10156" s="4"/>
      <c r="B10156" s="4"/>
      <c r="C10156" s="4"/>
      <c r="D10156" s="4"/>
      <c r="E10156" s="4"/>
      <c r="F10156" s="4"/>
      <c r="G10156" s="4"/>
      <c r="H10156" s="4"/>
      <c r="I10156" s="4"/>
      <c r="J10156" s="21">
        <f>IFERROR(VLOOKUP(C10156,'STOK KARTLARI'!$C$2:$K$2150,8,0),0)</f>
        <v>0</v>
      </c>
      <c r="K10156" s="21">
        <f t="shared" si="751"/>
        <v>0</v>
      </c>
      <c r="L10156" s="5">
        <f t="shared" si="753"/>
        <v>0</v>
      </c>
      <c r="M10156" s="4"/>
      <c r="N10156" s="4"/>
      <c r="O10156" s="5"/>
      <c r="P10156" s="5"/>
      <c r="Q10156" s="21">
        <f t="shared" si="754"/>
        <v>0</v>
      </c>
      <c r="R10156" s="21">
        <f t="shared" si="752"/>
        <v>0</v>
      </c>
      <c r="S10156" s="5">
        <f t="shared" si="755"/>
        <v>70007.077158325032</v>
      </c>
      <c r="T10156" cm="1">
        <f t="array" ref="T10156">IF(OR(B10156="MAL ALIMI", B10156="ÜRETİM GİRİŞ"), MIN(I10156, MAX(0, I10156 + SUM(SUMIFS($I$1:I10155, $C$1:C10155, C10156, $B$1:B10155, {"MAL ALIMI","ÜRETİM GİRİŞ"})) - VLOOKUP(C10156, 'STOK RAPORU'!$C$2:$I$1000, 4, 0))), 0)</f>
        <v>0</v>
      </c>
      <c r="U10156" s="22">
        <f t="shared" si="748"/>
        <v>0</v>
      </c>
      <c r="V10156">
        <f t="shared" si="749"/>
        <v>0</v>
      </c>
      <c r="W10156" s="22">
        <f t="shared" si="750"/>
        <v>0</v>
      </c>
    </row>
    <row r="10157" spans="1:23" hidden="1" x14ac:dyDescent="0.25">
      <c r="A10157" s="4"/>
      <c r="B10157" s="4"/>
      <c r="C10157" s="4"/>
      <c r="D10157" s="4"/>
      <c r="E10157" s="4"/>
      <c r="F10157" s="4"/>
      <c r="G10157" s="4"/>
      <c r="H10157" s="4"/>
      <c r="I10157" s="4"/>
      <c r="J10157" s="21">
        <f>IFERROR(VLOOKUP(C10157,'STOK KARTLARI'!$C$2:$K$2150,8,0),0)</f>
        <v>0</v>
      </c>
      <c r="K10157" s="21">
        <f t="shared" si="751"/>
        <v>0</v>
      </c>
      <c r="L10157" s="5">
        <f t="shared" si="753"/>
        <v>0</v>
      </c>
      <c r="M10157" s="4"/>
      <c r="N10157" s="4"/>
      <c r="O10157" s="5"/>
      <c r="P10157" s="5"/>
      <c r="Q10157" s="21">
        <f t="shared" si="754"/>
        <v>0</v>
      </c>
      <c r="R10157" s="21">
        <f t="shared" si="752"/>
        <v>0</v>
      </c>
      <c r="S10157" s="5">
        <f t="shared" si="755"/>
        <v>70007.077158325032</v>
      </c>
      <c r="T10157" cm="1">
        <f t="array" ref="T10157">IF(OR(B10157="MAL ALIMI", B10157="ÜRETİM GİRİŞ"), MIN(I10157, MAX(0, I10157 + SUM(SUMIFS($I$1:I10156, $C$1:C10156, C10157, $B$1:B10156, {"MAL ALIMI","ÜRETİM GİRİŞ"})) - VLOOKUP(C10157, 'STOK RAPORU'!$C$2:$I$1000, 4, 0))), 0)</f>
        <v>0</v>
      </c>
      <c r="U10157" s="22">
        <f t="shared" si="748"/>
        <v>0</v>
      </c>
      <c r="V10157">
        <f t="shared" si="749"/>
        <v>0</v>
      </c>
      <c r="W10157" s="22">
        <f t="shared" si="750"/>
        <v>0</v>
      </c>
    </row>
    <row r="10158" spans="1:23" hidden="1" x14ac:dyDescent="0.25">
      <c r="A10158" s="4"/>
      <c r="B10158" s="4"/>
      <c r="C10158" s="4"/>
      <c r="D10158" s="4"/>
      <c r="E10158" s="4"/>
      <c r="F10158" s="4"/>
      <c r="G10158" s="4"/>
      <c r="H10158" s="4"/>
      <c r="I10158" s="4"/>
      <c r="J10158" s="21">
        <f>IFERROR(VLOOKUP(C10158,'STOK KARTLARI'!$C$2:$K$2150,8,0),0)</f>
        <v>0</v>
      </c>
      <c r="K10158" s="21">
        <f t="shared" si="751"/>
        <v>0</v>
      </c>
      <c r="L10158" s="5">
        <f t="shared" si="753"/>
        <v>0</v>
      </c>
      <c r="M10158" s="4"/>
      <c r="N10158" s="4"/>
      <c r="O10158" s="5"/>
      <c r="P10158" s="5"/>
      <c r="Q10158" s="21">
        <f t="shared" si="754"/>
        <v>0</v>
      </c>
      <c r="R10158" s="21">
        <f t="shared" si="752"/>
        <v>0</v>
      </c>
      <c r="S10158" s="5">
        <f t="shared" si="755"/>
        <v>70007.077158325032</v>
      </c>
      <c r="T10158" cm="1">
        <f t="array" ref="T10158">IF(OR(B10158="MAL ALIMI", B10158="ÜRETİM GİRİŞ"), MIN(I10158, MAX(0, I10158 + SUM(SUMIFS($I$1:I10157, $C$1:C10157, C10158, $B$1:B10157, {"MAL ALIMI","ÜRETİM GİRİŞ"})) - VLOOKUP(C10158, 'STOK RAPORU'!$C$2:$I$1000, 4, 0))), 0)</f>
        <v>0</v>
      </c>
      <c r="U10158" s="22">
        <f t="shared" si="748"/>
        <v>0</v>
      </c>
      <c r="V10158">
        <f t="shared" si="749"/>
        <v>0</v>
      </c>
      <c r="W10158" s="22">
        <f t="shared" si="750"/>
        <v>0</v>
      </c>
    </row>
    <row r="10159" spans="1:23" hidden="1" x14ac:dyDescent="0.25">
      <c r="A10159" s="4"/>
      <c r="B10159" s="4"/>
      <c r="C10159" s="4"/>
      <c r="D10159" s="4"/>
      <c r="E10159" s="4"/>
      <c r="F10159" s="4"/>
      <c r="G10159" s="4"/>
      <c r="H10159" s="4"/>
      <c r="I10159" s="4"/>
      <c r="J10159" s="21">
        <f>IFERROR(VLOOKUP(C10159,'STOK KARTLARI'!$C$2:$K$2150,8,0),0)</f>
        <v>0</v>
      </c>
      <c r="K10159" s="21">
        <f t="shared" si="751"/>
        <v>0</v>
      </c>
      <c r="L10159" s="5">
        <f t="shared" si="753"/>
        <v>0</v>
      </c>
      <c r="M10159" s="4"/>
      <c r="N10159" s="4"/>
      <c r="O10159" s="5"/>
      <c r="P10159" s="5"/>
      <c r="Q10159" s="21">
        <f t="shared" si="754"/>
        <v>0</v>
      </c>
      <c r="R10159" s="21">
        <f t="shared" si="752"/>
        <v>0</v>
      </c>
      <c r="S10159" s="5">
        <f t="shared" si="755"/>
        <v>70007.077158325032</v>
      </c>
      <c r="T10159" cm="1">
        <f t="array" ref="T10159">IF(OR(B10159="MAL ALIMI", B10159="ÜRETİM GİRİŞ"), MIN(I10159, MAX(0, I10159 + SUM(SUMIFS($I$1:I10158, $C$1:C10158, C10159, $B$1:B10158, {"MAL ALIMI","ÜRETİM GİRİŞ"})) - VLOOKUP(C10159, 'STOK RAPORU'!$C$2:$I$1000, 4, 0))), 0)</f>
        <v>0</v>
      </c>
      <c r="U10159" s="22">
        <f t="shared" ref="U10159:U10170" si="756">T10159*J10159</f>
        <v>0</v>
      </c>
      <c r="V10159">
        <f t="shared" ref="V10159:V10170" si="757">IF(OR(B10159="MAL ALIMI", B10159="ÜRETİM GİRİŞ"), I10159 * J10159, 0)</f>
        <v>0</v>
      </c>
      <c r="W10159" s="22">
        <f t="shared" ref="W10159:W10170" si="758">V10159-U10159</f>
        <v>0</v>
      </c>
    </row>
    <row r="10160" spans="1:23" hidden="1" x14ac:dyDescent="0.25">
      <c r="A10160" s="4"/>
      <c r="B10160" s="4"/>
      <c r="C10160" s="4"/>
      <c r="D10160" s="4"/>
      <c r="E10160" s="4"/>
      <c r="F10160" s="4"/>
      <c r="G10160" s="4"/>
      <c r="H10160" s="4"/>
      <c r="I10160" s="4"/>
      <c r="J10160" s="21">
        <f>IFERROR(VLOOKUP(C10160,'STOK KARTLARI'!$C$2:$K$2150,8,0),0)</f>
        <v>0</v>
      </c>
      <c r="K10160" s="21">
        <f t="shared" si="751"/>
        <v>0</v>
      </c>
      <c r="L10160" s="5">
        <f t="shared" si="753"/>
        <v>0</v>
      </c>
      <c r="M10160" s="4"/>
      <c r="N10160" s="4"/>
      <c r="O10160" s="5"/>
      <c r="P10160" s="5"/>
      <c r="Q10160" s="21">
        <f t="shared" si="754"/>
        <v>0</v>
      </c>
      <c r="R10160" s="21">
        <f t="shared" si="752"/>
        <v>0</v>
      </c>
      <c r="S10160" s="5">
        <f t="shared" si="755"/>
        <v>70007.077158325032</v>
      </c>
      <c r="T10160" cm="1">
        <f t="array" ref="T10160">IF(OR(B10160="MAL ALIMI", B10160="ÜRETİM GİRİŞ"), MIN(I10160, MAX(0, I10160 + SUM(SUMIFS($I$1:I10159, $C$1:C10159, C10160, $B$1:B10159, {"MAL ALIMI","ÜRETİM GİRİŞ"})) - VLOOKUP(C10160, 'STOK RAPORU'!$C$2:$I$1000, 4, 0))), 0)</f>
        <v>0</v>
      </c>
      <c r="U10160" s="22">
        <f t="shared" si="756"/>
        <v>0</v>
      </c>
      <c r="V10160">
        <f t="shared" si="757"/>
        <v>0</v>
      </c>
      <c r="W10160" s="22">
        <f t="shared" si="758"/>
        <v>0</v>
      </c>
    </row>
    <row r="10161" spans="1:23" hidden="1" x14ac:dyDescent="0.25">
      <c r="A10161" s="4"/>
      <c r="B10161" s="4"/>
      <c r="C10161" s="4"/>
      <c r="D10161" s="4"/>
      <c r="E10161" s="4"/>
      <c r="F10161" s="4"/>
      <c r="G10161" s="4"/>
      <c r="H10161" s="4"/>
      <c r="I10161" s="4"/>
      <c r="J10161" s="21">
        <f>IFERROR(VLOOKUP(C10161,'STOK KARTLARI'!$C$2:$K$2150,8,0),0)</f>
        <v>0</v>
      </c>
      <c r="K10161" s="21">
        <f t="shared" si="751"/>
        <v>0</v>
      </c>
      <c r="L10161" s="5">
        <f t="shared" si="753"/>
        <v>0</v>
      </c>
      <c r="M10161" s="4"/>
      <c r="N10161" s="4"/>
      <c r="O10161" s="5"/>
      <c r="P10161" s="5"/>
      <c r="Q10161" s="21">
        <f t="shared" si="754"/>
        <v>0</v>
      </c>
      <c r="R10161" s="21">
        <f t="shared" si="752"/>
        <v>0</v>
      </c>
      <c r="S10161" s="5">
        <f t="shared" si="755"/>
        <v>70007.077158325032</v>
      </c>
      <c r="T10161" cm="1">
        <f t="array" ref="T10161">IF(OR(B10161="MAL ALIMI", B10161="ÜRETİM GİRİŞ"), MIN(I10161, MAX(0, I10161 + SUM(SUMIFS($I$1:I10160, $C$1:C10160, C10161, $B$1:B10160, {"MAL ALIMI","ÜRETİM GİRİŞ"})) - VLOOKUP(C10161, 'STOK RAPORU'!$C$2:$I$1000, 4, 0))), 0)</f>
        <v>0</v>
      </c>
      <c r="U10161" s="22">
        <f t="shared" si="756"/>
        <v>0</v>
      </c>
      <c r="V10161">
        <f t="shared" si="757"/>
        <v>0</v>
      </c>
      <c r="W10161" s="22">
        <f t="shared" si="758"/>
        <v>0</v>
      </c>
    </row>
    <row r="10162" spans="1:23" hidden="1" x14ac:dyDescent="0.25">
      <c r="A10162" s="3"/>
      <c r="B10162" s="4"/>
      <c r="C10162" s="4"/>
      <c r="D10162" s="4"/>
      <c r="E10162" s="4"/>
      <c r="F10162" s="4"/>
      <c r="G10162" s="4"/>
      <c r="H10162" s="4"/>
      <c r="I10162" s="4"/>
      <c r="J10162" s="21">
        <f>IFERROR(VLOOKUP(C10162,'STOK KARTLARI'!$C$2:$K$2150,8,0),0)</f>
        <v>0</v>
      </c>
      <c r="K10162" s="21">
        <f t="shared" si="751"/>
        <v>0</v>
      </c>
      <c r="L10162" s="5">
        <f t="shared" si="753"/>
        <v>0</v>
      </c>
      <c r="M10162" s="4"/>
      <c r="N10162" s="4"/>
      <c r="O10162" s="5"/>
      <c r="P10162" s="5"/>
      <c r="Q10162" s="21">
        <f t="shared" si="754"/>
        <v>0</v>
      </c>
      <c r="R10162" s="21">
        <f t="shared" si="752"/>
        <v>0</v>
      </c>
      <c r="S10162" s="5">
        <f t="shared" si="755"/>
        <v>70007.077158325032</v>
      </c>
      <c r="T10162" cm="1">
        <f t="array" ref="T10162">IF(OR(B10162="MAL ALIMI", B10162="ÜRETİM GİRİŞ"), MIN(I10162, MAX(0, I10162 + SUM(SUMIFS($I$1:I10161, $C$1:C10161, C10162, $B$1:B10161, {"MAL ALIMI","ÜRETİM GİRİŞ"})) - VLOOKUP(C10162, 'STOK RAPORU'!$C$2:$I$1000, 4, 0))), 0)</f>
        <v>0</v>
      </c>
      <c r="U10162" s="22">
        <f t="shared" si="756"/>
        <v>0</v>
      </c>
      <c r="V10162">
        <f t="shared" si="757"/>
        <v>0</v>
      </c>
      <c r="W10162" s="22">
        <f t="shared" si="758"/>
        <v>0</v>
      </c>
    </row>
    <row r="10163" spans="1:23" hidden="1" x14ac:dyDescent="0.25">
      <c r="A10163" s="4"/>
      <c r="B10163" s="4"/>
      <c r="C10163" s="4"/>
      <c r="D10163" s="4"/>
      <c r="E10163" s="4"/>
      <c r="F10163" s="4"/>
      <c r="G10163" s="4"/>
      <c r="H10163" s="4"/>
      <c r="I10163" s="4"/>
      <c r="J10163" s="21">
        <f>IFERROR(VLOOKUP(C10163,'STOK KARTLARI'!$C$2:$K$2150,8,0),0)</f>
        <v>0</v>
      </c>
      <c r="K10163" s="21">
        <f t="shared" ref="K10163:K10170" si="759">IF(AND(B10163="MAL SATIŞI", H10163="POS"),I10163*J10163,0)</f>
        <v>0</v>
      </c>
      <c r="L10163" s="5">
        <f t="shared" si="753"/>
        <v>0</v>
      </c>
      <c r="M10163" s="4"/>
      <c r="N10163" s="4"/>
      <c r="O10163" s="5"/>
      <c r="P10163" s="5"/>
      <c r="Q10163" s="21">
        <f t="shared" si="754"/>
        <v>0</v>
      </c>
      <c r="R10163" s="21">
        <f t="shared" ref="R10163:R10170" si="760">IF(AND(E10163="", B10163&lt;&gt;"MAL SATIŞI"),I10163*J10163,0)</f>
        <v>0</v>
      </c>
      <c r="S10163" s="5">
        <f t="shared" si="755"/>
        <v>70007.077158325032</v>
      </c>
      <c r="T10163" cm="1">
        <f t="array" ref="T10163">IF(OR(B10163="MAL ALIMI", B10163="ÜRETİM GİRİŞ"), MIN(I10163, MAX(0, I10163 + SUM(SUMIFS($I$1:I10162, $C$1:C10162, C10163, $B$1:B10162, {"MAL ALIMI","ÜRETİM GİRİŞ"})) - VLOOKUP(C10163, 'STOK RAPORU'!$C$2:$I$1000, 4, 0))), 0)</f>
        <v>0</v>
      </c>
      <c r="U10163" s="22">
        <f t="shared" si="756"/>
        <v>0</v>
      </c>
      <c r="V10163">
        <f t="shared" si="757"/>
        <v>0</v>
      </c>
      <c r="W10163" s="22">
        <f t="shared" si="758"/>
        <v>0</v>
      </c>
    </row>
    <row r="10164" spans="1:23" hidden="1" x14ac:dyDescent="0.25">
      <c r="A10164" s="4"/>
      <c r="B10164" s="4"/>
      <c r="C10164" s="4"/>
      <c r="D10164" s="4"/>
      <c r="E10164" s="4"/>
      <c r="F10164" s="4"/>
      <c r="G10164" s="4"/>
      <c r="H10164" s="4"/>
      <c r="I10164" s="4"/>
      <c r="J10164" s="21">
        <f>IFERROR(VLOOKUP(C10164,'STOK KARTLARI'!$C$2:$K$2150,8,0),0)</f>
        <v>0</v>
      </c>
      <c r="K10164" s="21">
        <f t="shared" si="759"/>
        <v>0</v>
      </c>
      <c r="L10164" s="5">
        <f t="shared" ref="L10164:L10170" si="761">IF(OR(E10164="", H10164="POS"),0,I10164*J10164)</f>
        <v>0</v>
      </c>
      <c r="M10164" s="4"/>
      <c r="N10164" s="4"/>
      <c r="O10164" s="5"/>
      <c r="P10164" s="5"/>
      <c r="Q10164" s="21">
        <f t="shared" ref="Q10164:Q10170" si="762">IF(AND(E10164="", B10164="MAL SATIŞI", H10164="NAKİT"),I10164*J10164,0)</f>
        <v>0</v>
      </c>
      <c r="R10164" s="21">
        <f t="shared" si="760"/>
        <v>0</v>
      </c>
      <c r="S10164" s="5">
        <f t="shared" si="755"/>
        <v>70007.077158325032</v>
      </c>
      <c r="T10164" cm="1">
        <f t="array" ref="T10164">IF(OR(B10164="MAL ALIMI", B10164="ÜRETİM GİRİŞ"), MIN(I10164, MAX(0, I10164 + SUM(SUMIFS($I$1:I10163, $C$1:C10163, C10164, $B$1:B10163, {"MAL ALIMI","ÜRETİM GİRİŞ"})) - VLOOKUP(C10164, 'STOK RAPORU'!$C$2:$I$1000, 4, 0))), 0)</f>
        <v>0</v>
      </c>
      <c r="U10164" s="22">
        <f t="shared" si="756"/>
        <v>0</v>
      </c>
      <c r="V10164">
        <f t="shared" si="757"/>
        <v>0</v>
      </c>
      <c r="W10164" s="22">
        <f t="shared" si="758"/>
        <v>0</v>
      </c>
    </row>
    <row r="10165" spans="1:23" hidden="1" x14ac:dyDescent="0.25">
      <c r="A10165" s="4"/>
      <c r="B10165" s="4"/>
      <c r="C10165" s="4"/>
      <c r="D10165" s="4"/>
      <c r="E10165" s="4"/>
      <c r="F10165" s="4"/>
      <c r="G10165" s="4"/>
      <c r="H10165" s="4"/>
      <c r="I10165" s="4"/>
      <c r="J10165" s="21">
        <f>IFERROR(VLOOKUP(C10165,'STOK KARTLARI'!$C$2:$K$2150,8,0),0)</f>
        <v>0</v>
      </c>
      <c r="K10165" s="21">
        <f t="shared" si="759"/>
        <v>0</v>
      </c>
      <c r="L10165" s="5">
        <f t="shared" si="761"/>
        <v>0</v>
      </c>
      <c r="M10165" s="4"/>
      <c r="N10165" s="4"/>
      <c r="O10165" s="5"/>
      <c r="P10165" s="5"/>
      <c r="Q10165" s="21">
        <f t="shared" si="762"/>
        <v>0</v>
      </c>
      <c r="R10165" s="21">
        <f t="shared" si="760"/>
        <v>0</v>
      </c>
      <c r="S10165" s="5">
        <f t="shared" si="755"/>
        <v>70007.077158325032</v>
      </c>
      <c r="T10165" cm="1">
        <f t="array" ref="T10165">IF(OR(B10165="MAL ALIMI", B10165="ÜRETİM GİRİŞ"), MIN(I10165, MAX(0, I10165 + SUM(SUMIFS($I$1:I10164, $C$1:C10164, C10165, $B$1:B10164, {"MAL ALIMI","ÜRETİM GİRİŞ"})) - VLOOKUP(C10165, 'STOK RAPORU'!$C$2:$I$1000, 4, 0))), 0)</f>
        <v>0</v>
      </c>
      <c r="U10165" s="22">
        <f t="shared" si="756"/>
        <v>0</v>
      </c>
      <c r="V10165">
        <f t="shared" si="757"/>
        <v>0</v>
      </c>
      <c r="W10165" s="22">
        <f t="shared" si="758"/>
        <v>0</v>
      </c>
    </row>
    <row r="10166" spans="1:23" hidden="1" x14ac:dyDescent="0.25">
      <c r="A10166" s="4"/>
      <c r="B10166" s="4"/>
      <c r="C10166" s="4"/>
      <c r="D10166" s="4"/>
      <c r="E10166" s="4"/>
      <c r="F10166" s="4"/>
      <c r="G10166" s="4"/>
      <c r="H10166" s="4"/>
      <c r="I10166" s="4"/>
      <c r="J10166" s="21">
        <f>IFERROR(VLOOKUP(C10166,'STOK KARTLARI'!$C$2:$K$2150,8,0),0)</f>
        <v>0</v>
      </c>
      <c r="K10166" s="21">
        <f t="shared" si="759"/>
        <v>0</v>
      </c>
      <c r="L10166" s="5">
        <f t="shared" si="761"/>
        <v>0</v>
      </c>
      <c r="M10166" s="4"/>
      <c r="N10166" s="4"/>
      <c r="O10166" s="5"/>
      <c r="P10166" s="5"/>
      <c r="Q10166" s="21">
        <f t="shared" si="762"/>
        <v>0</v>
      </c>
      <c r="R10166" s="21">
        <f t="shared" si="760"/>
        <v>0</v>
      </c>
      <c r="S10166" s="5">
        <f t="shared" si="755"/>
        <v>70007.077158325032</v>
      </c>
      <c r="T10166" cm="1">
        <f t="array" ref="T10166">IF(OR(B10166="MAL ALIMI", B10166="ÜRETİM GİRİŞ"), MIN(I10166, MAX(0, I10166 + SUM(SUMIFS($I$1:I10165, $C$1:C10165, C10166, $B$1:B10165, {"MAL ALIMI","ÜRETİM GİRİŞ"})) - VLOOKUP(C10166, 'STOK RAPORU'!$C$2:$I$1000, 4, 0))), 0)</f>
        <v>0</v>
      </c>
      <c r="U10166" s="22">
        <f t="shared" si="756"/>
        <v>0</v>
      </c>
      <c r="V10166">
        <f t="shared" si="757"/>
        <v>0</v>
      </c>
      <c r="W10166" s="22">
        <f t="shared" si="758"/>
        <v>0</v>
      </c>
    </row>
    <row r="10167" spans="1:23" hidden="1" x14ac:dyDescent="0.25">
      <c r="A10167" s="4"/>
      <c r="B10167" s="4"/>
      <c r="C10167" s="4"/>
      <c r="D10167" s="4"/>
      <c r="E10167" s="4"/>
      <c r="F10167" s="4"/>
      <c r="G10167" s="4"/>
      <c r="H10167" s="4"/>
      <c r="I10167" s="4"/>
      <c r="J10167" s="21">
        <f>IFERROR(VLOOKUP(C10167,'STOK KARTLARI'!$C$2:$K$2150,8,0),0)</f>
        <v>0</v>
      </c>
      <c r="K10167" s="21">
        <f t="shared" si="759"/>
        <v>0</v>
      </c>
      <c r="L10167" s="5">
        <f t="shared" si="761"/>
        <v>0</v>
      </c>
      <c r="M10167" s="4"/>
      <c r="N10167" s="4"/>
      <c r="O10167" s="5"/>
      <c r="P10167" s="5"/>
      <c r="Q10167" s="21">
        <f t="shared" si="762"/>
        <v>0</v>
      </c>
      <c r="R10167" s="21">
        <f t="shared" si="760"/>
        <v>0</v>
      </c>
      <c r="S10167" s="5">
        <f t="shared" si="755"/>
        <v>70007.077158325032</v>
      </c>
      <c r="T10167" cm="1">
        <f t="array" ref="T10167">IF(OR(B10167="MAL ALIMI", B10167="ÜRETİM GİRİŞ"), MIN(I10167, MAX(0, I10167 + SUM(SUMIFS($I$1:I10166, $C$1:C10166, C10167, $B$1:B10166, {"MAL ALIMI","ÜRETİM GİRİŞ"})) - VLOOKUP(C10167, 'STOK RAPORU'!$C$2:$I$1000, 4, 0))), 0)</f>
        <v>0</v>
      </c>
      <c r="U10167" s="22">
        <f t="shared" si="756"/>
        <v>0</v>
      </c>
      <c r="V10167">
        <f t="shared" si="757"/>
        <v>0</v>
      </c>
      <c r="W10167" s="22">
        <f t="shared" si="758"/>
        <v>0</v>
      </c>
    </row>
    <row r="10168" spans="1:23" hidden="1" x14ac:dyDescent="0.25">
      <c r="A10168" s="4"/>
      <c r="B10168" s="4"/>
      <c r="C10168" s="4"/>
      <c r="D10168" s="4"/>
      <c r="E10168" s="4"/>
      <c r="F10168" s="4"/>
      <c r="G10168" s="4"/>
      <c r="H10168" s="4"/>
      <c r="I10168" s="4"/>
      <c r="J10168" s="21">
        <f>IFERROR(VLOOKUP(C10168,'STOK KARTLARI'!$C$2:$K$2150,8,0),0)</f>
        <v>0</v>
      </c>
      <c r="K10168" s="21">
        <f t="shared" si="759"/>
        <v>0</v>
      </c>
      <c r="L10168" s="5">
        <f t="shared" si="761"/>
        <v>0</v>
      </c>
      <c r="M10168" s="4"/>
      <c r="N10168" s="4"/>
      <c r="O10168" s="5"/>
      <c r="P10168" s="5"/>
      <c r="Q10168" s="21">
        <f t="shared" si="762"/>
        <v>0</v>
      </c>
      <c r="R10168" s="21">
        <f t="shared" si="760"/>
        <v>0</v>
      </c>
      <c r="S10168" s="5">
        <f t="shared" si="755"/>
        <v>70007.077158325032</v>
      </c>
      <c r="T10168" cm="1">
        <f t="array" ref="T10168">IF(OR(B10168="MAL ALIMI", B10168="ÜRETİM GİRİŞ"), MIN(I10168, MAX(0, I10168 + SUM(SUMIFS($I$1:I10167, $C$1:C10167, C10168, $B$1:B10167, {"MAL ALIMI","ÜRETİM GİRİŞ"})) - VLOOKUP(C10168, 'STOK RAPORU'!$C$2:$I$1000, 4, 0))), 0)</f>
        <v>0</v>
      </c>
      <c r="U10168" s="22">
        <f t="shared" si="756"/>
        <v>0</v>
      </c>
      <c r="V10168">
        <f t="shared" si="757"/>
        <v>0</v>
      </c>
      <c r="W10168" s="22">
        <f t="shared" si="758"/>
        <v>0</v>
      </c>
    </row>
    <row r="10169" spans="1:23" hidden="1" x14ac:dyDescent="0.25">
      <c r="A10169" s="3"/>
      <c r="B10169" s="4"/>
      <c r="C10169" s="4"/>
      <c r="D10169" s="4"/>
      <c r="E10169" s="4"/>
      <c r="F10169" s="4"/>
      <c r="G10169" s="4"/>
      <c r="H10169" s="4"/>
      <c r="I10169" s="4"/>
      <c r="J10169" s="21">
        <f>IFERROR(VLOOKUP(C10169,'STOK KARTLARI'!$C$2:$K$2150,8,0),0)</f>
        <v>0</v>
      </c>
      <c r="K10169" s="21">
        <f t="shared" si="759"/>
        <v>0</v>
      </c>
      <c r="L10169" s="5">
        <f t="shared" si="761"/>
        <v>0</v>
      </c>
      <c r="M10169" s="4"/>
      <c r="N10169" s="4"/>
      <c r="O10169" s="5"/>
      <c r="P10169" s="5"/>
      <c r="Q10169" s="21">
        <f t="shared" si="762"/>
        <v>0</v>
      </c>
      <c r="R10169" s="21">
        <f t="shared" si="760"/>
        <v>0</v>
      </c>
      <c r="S10169" s="5">
        <f t="shared" si="755"/>
        <v>70007.077158325032</v>
      </c>
      <c r="T10169" cm="1">
        <f t="array" ref="T10169">IF(OR(B10169="MAL ALIMI", B10169="ÜRETİM GİRİŞ"), MIN(I10169, MAX(0, I10169 + SUM(SUMIFS($I$1:I10168, $C$1:C10168, C10169, $B$1:B10168, {"MAL ALIMI","ÜRETİM GİRİŞ"})) - VLOOKUP(C10169, 'STOK RAPORU'!$C$2:$I$1000, 4, 0))), 0)</f>
        <v>0</v>
      </c>
      <c r="U10169" s="22">
        <f t="shared" si="756"/>
        <v>0</v>
      </c>
      <c r="V10169">
        <f t="shared" si="757"/>
        <v>0</v>
      </c>
      <c r="W10169" s="22">
        <f t="shared" si="758"/>
        <v>0</v>
      </c>
    </row>
    <row r="10170" spans="1:23" hidden="1" x14ac:dyDescent="0.25">
      <c r="A10170" s="3"/>
      <c r="B10170" s="4"/>
      <c r="C10170" s="4"/>
      <c r="D10170" s="4"/>
      <c r="E10170" s="4"/>
      <c r="F10170" s="4"/>
      <c r="G10170" s="4"/>
      <c r="H10170" s="4"/>
      <c r="I10170" s="4"/>
      <c r="J10170" s="21">
        <f>IFERROR(VLOOKUP(C10170,'STOK KARTLARI'!$C$2:$K$2150,8,0),0)</f>
        <v>0</v>
      </c>
      <c r="K10170" s="21">
        <f t="shared" si="759"/>
        <v>0</v>
      </c>
      <c r="L10170" s="5">
        <f t="shared" si="761"/>
        <v>0</v>
      </c>
      <c r="M10170" s="4"/>
      <c r="N10170" s="4"/>
      <c r="O10170" s="5"/>
      <c r="P10170" s="5"/>
      <c r="Q10170" s="21">
        <f t="shared" si="762"/>
        <v>0</v>
      </c>
      <c r="R10170" s="21">
        <f t="shared" si="760"/>
        <v>0</v>
      </c>
      <c r="S10170" s="5">
        <f t="shared" si="755"/>
        <v>70007.077158325032</v>
      </c>
      <c r="T10170" cm="1">
        <f t="array" ref="T10170">IF(OR(B10170="MAL ALIMI", B10170="ÜRETİM GİRİŞ"), MIN(I10170, MAX(0, I10170 + SUM(SUMIFS($I$1:I10169, $C$1:C10169, C10170, $B$1:B10169, {"MAL ALIMI","ÜRETİM GİRİŞ"})) - VLOOKUP(C10170, 'STOK RAPORU'!$C$2:$I$1000, 4, 0))), 0)</f>
        <v>0</v>
      </c>
      <c r="U10170" s="22">
        <f t="shared" si="756"/>
        <v>0</v>
      </c>
      <c r="V10170">
        <f t="shared" si="757"/>
        <v>0</v>
      </c>
      <c r="W10170" s="22">
        <f t="shared" si="758"/>
        <v>0</v>
      </c>
    </row>
    <row r="10183" spans="11:11" x14ac:dyDescent="0.25">
      <c r="K10183" s="97"/>
    </row>
  </sheetData>
  <autoFilter ref="A1:S10170" xr:uid="{07724A00-E917-4635-8DC2-DD08E950429D}">
    <filterColumn colId="1">
      <filters>
        <filter val="MAL İADE"/>
      </filters>
    </filterColumn>
  </autoFilter>
  <sortState xmlns:xlrd2="http://schemas.microsoft.com/office/spreadsheetml/2017/richdata2" ref="A2:R8291">
    <sortCondition ref="A2:A8291"/>
    <sortCondition ref="F2:F8291"/>
  </sortState>
  <phoneticPr fontId="1" type="noConversion"/>
  <conditionalFormatting sqref="A1050:B1054 B1055:B1058 A1059:B1063">
    <cfRule type="timePeriod" dxfId="0" priority="1" timePeriod="lastMonth">
      <formula>AND(MONTH(A1050)=MONTH(EDATE(TODAY(),0-1)),YEAR(A1050)=YEAR(EDATE(TODAY(),0-1)))</formula>
    </cfRule>
  </conditionalFormatting>
  <pageMargins left="0.7" right="0.7" top="0.75" bottom="0.75" header="0.3" footer="0.3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B288275-51B1-40D4-A368-1D68297C2FDF}">
          <x14:formula1>
            <xm:f>'HİZMET KARTLARI'!$B$2:$B$1000</xm:f>
          </x14:formula1>
          <xm:sqref>C6 B62:C62 B75:C75 D3037:D10170 B116:C116 B68:C69 B80:C81 D2:D2990 C97</xm:sqref>
        </x14:dataValidation>
        <x14:dataValidation type="list" allowBlank="1" showInputMessage="1" showErrorMessage="1" xr:uid="{649CF472-57EC-4656-8EF1-1FF54ABF02D7}">
          <x14:formula1>
            <xm:f>'CARİ KARTLARI'!$B$2:$B$1138</xm:f>
          </x14:formula1>
          <xm:sqref>E2:E286 E289:E306 E308 E311:E340 E346:E374 E377:E378 E381:E383 E386:E393 E399 E402:E407 E410 E417:E420 E424:E450 E453:E516 E519:E524 E527:E532 E537:E569 E571:E573 E579 E584:E610 E613:E630 E635:E675 E678 E682:E685 E699 E703:E719 E724:E771 E777:E781 E785:E903 E907:E952 E956:E982 E985:E999 E1003:E1018 E1022:E1029 E1031:E1037 E1041 E1043:E1046 E1048:E1049 E1051:E1055 E1060:E1061 E1073 E1080:E1081 E1086:E1127 E1136:E1137 E1141:E1143 E1145:E1149 E1151:E1155 E1158 E1163:E1208 E1221:E1235 E1316:E1322 E1260:E1267 E1273 E1247:E1250 E1292 E1294:E1299 E1281:E1290 E1305:E1313 E1324:E1353 E1355:E1362 E1366:E1367 E1372:E1385 E1388:E1390 E2646:E2990 E1418:E2644 G3352:G3357 E3037:E10170</xm:sqref>
        </x14:dataValidation>
        <x14:dataValidation type="list" allowBlank="1" showInputMessage="1" showErrorMessage="1" xr:uid="{1D482436-CDF9-4F59-AF91-3E7E6CFF5599}">
          <x14:formula1>
            <xm:f>'STOK KARTLARI'!$C$2:$C$1222</xm:f>
          </x14:formula1>
          <xm:sqref>C2:C5 C3033 C3899:C3994 C3606:C3897 C3037:C3507 C3020 C2441:C2931 C2993:C2994 C117:C2439 C98:C115 C82:C96 C76:C79 C70:C74 C63:C67 C7:C61 C3509:C3604 C2933:C2990 C3996:C10170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80F1-4FD4-4574-9523-D98114D56043}">
  <dimension ref="B1:R156"/>
  <sheetViews>
    <sheetView zoomScale="115" zoomScaleNormal="115" workbookViewId="0">
      <selection activeCell="E7" sqref="E7"/>
    </sheetView>
  </sheetViews>
  <sheetFormatPr defaultRowHeight="15" x14ac:dyDescent="0.25"/>
  <cols>
    <col min="2" max="2" width="53.5703125" customWidth="1"/>
    <col min="3" max="3" width="12.7109375" customWidth="1"/>
    <col min="6" max="6" width="13.42578125" bestFit="1" customWidth="1"/>
    <col min="7" max="7" width="11.140625" bestFit="1" customWidth="1"/>
    <col min="9" max="9" width="19.7109375" bestFit="1" customWidth="1"/>
    <col min="10" max="10" width="26.7109375" customWidth="1"/>
  </cols>
  <sheetData>
    <row r="1" spans="2:10" x14ac:dyDescent="0.25">
      <c r="B1" s="1"/>
      <c r="C1" s="1" t="s">
        <v>123</v>
      </c>
      <c r="D1" s="1" t="s">
        <v>144</v>
      </c>
      <c r="E1" s="1" t="s">
        <v>418</v>
      </c>
      <c r="F1" s="1" t="s">
        <v>419</v>
      </c>
    </row>
    <row r="2" spans="2:10" x14ac:dyDescent="0.25">
      <c r="B2" s="13" t="s">
        <v>126</v>
      </c>
      <c r="C2" s="4">
        <f>IFERROR(VLOOKUP(B2,'STOK KARTLARI'!$C$2:$K$2150,8,0),0)</f>
        <v>650</v>
      </c>
      <c r="D2" s="13"/>
      <c r="E2" s="13">
        <v>250</v>
      </c>
      <c r="F2" s="4">
        <f t="shared" ref="F2:F66" si="0">IFERROR((C2*D2)+(C2/1000*E2),0)</f>
        <v>162.5</v>
      </c>
      <c r="I2" t="s">
        <v>420</v>
      </c>
      <c r="J2">
        <f>F156</f>
        <v>162.5</v>
      </c>
    </row>
    <row r="3" spans="2:10" x14ac:dyDescent="0.25">
      <c r="B3" s="13"/>
      <c r="C3" s="4">
        <f>IFERROR(VLOOKUP(B3,'STOK KARTLARI'!$C$2:$K$2150,8,0),0)</f>
        <v>0</v>
      </c>
      <c r="D3" s="13"/>
      <c r="E3" s="13"/>
      <c r="F3" s="4">
        <f t="shared" si="0"/>
        <v>0</v>
      </c>
    </row>
    <row r="4" spans="2:10" x14ac:dyDescent="0.25">
      <c r="B4" s="13"/>
      <c r="C4" s="4">
        <f>IFERROR(VLOOKUP(B4,'STOK KARTLARI'!$C$2:$K$2150,8,0),0)</f>
        <v>0</v>
      </c>
      <c r="D4" s="13"/>
      <c r="E4" s="13"/>
      <c r="F4" s="4">
        <f t="shared" si="0"/>
        <v>0</v>
      </c>
    </row>
    <row r="5" spans="2:10" x14ac:dyDescent="0.25">
      <c r="B5" s="13"/>
      <c r="C5" s="4">
        <f>IFERROR(VLOOKUP(B5,'STOK KARTLARI'!$C$2:$K$2150,8,0),0)</f>
        <v>0</v>
      </c>
      <c r="D5" s="13"/>
      <c r="E5" s="13"/>
      <c r="F5" s="4">
        <f t="shared" si="0"/>
        <v>0</v>
      </c>
    </row>
    <row r="6" spans="2:10" x14ac:dyDescent="0.25">
      <c r="B6" s="13"/>
      <c r="C6" s="4">
        <f>IFERROR(VLOOKUP(B6,'STOK KARTLARI'!$C$2:$K$2150,8,0),0)</f>
        <v>0</v>
      </c>
      <c r="D6" s="13"/>
      <c r="E6" s="13"/>
      <c r="F6" s="4">
        <f t="shared" si="0"/>
        <v>0</v>
      </c>
    </row>
    <row r="7" spans="2:10" x14ac:dyDescent="0.25">
      <c r="B7" s="13" t="s">
        <v>634</v>
      </c>
      <c r="C7" s="4">
        <f>IFERROR(VLOOKUP(B7,'STOK KARTLARI'!$C$2:$K$2150,8,0),0)</f>
        <v>850</v>
      </c>
      <c r="D7" s="13"/>
      <c r="E7" s="13"/>
      <c r="F7" s="4">
        <f t="shared" si="0"/>
        <v>0</v>
      </c>
    </row>
    <row r="8" spans="2:10" x14ac:dyDescent="0.25">
      <c r="B8" s="13"/>
      <c r="C8" s="4">
        <f>IFERROR(VLOOKUP(B8,'STOK KARTLARI'!$C$2:$K$2150,8,0),0)</f>
        <v>0</v>
      </c>
      <c r="D8" s="13"/>
      <c r="E8" s="13"/>
      <c r="F8" s="4">
        <f t="shared" si="0"/>
        <v>0</v>
      </c>
    </row>
    <row r="9" spans="2:10" x14ac:dyDescent="0.25">
      <c r="B9" s="13"/>
      <c r="C9" s="4">
        <f>IFERROR(VLOOKUP(B9,'STOK KARTLARI'!$C$2:$K$2150,8,0),0)</f>
        <v>0</v>
      </c>
      <c r="D9" s="13"/>
      <c r="E9" s="13"/>
      <c r="F9" s="4">
        <f t="shared" si="0"/>
        <v>0</v>
      </c>
    </row>
    <row r="10" spans="2:10" x14ac:dyDescent="0.25">
      <c r="B10" s="13"/>
      <c r="C10" s="4">
        <f>IFERROR(VLOOKUP(B10,'STOK KARTLARI'!$C$2:$K$2150,8,0),0)</f>
        <v>0</v>
      </c>
      <c r="D10" s="13"/>
      <c r="E10" s="13"/>
      <c r="F10" s="4">
        <f t="shared" si="0"/>
        <v>0</v>
      </c>
    </row>
    <row r="11" spans="2:10" x14ac:dyDescent="0.25">
      <c r="B11" s="13"/>
      <c r="C11" s="4">
        <f>IFERROR(VLOOKUP(B11,'STOK KARTLARI'!$C$2:$K$2150,8,0),0)</f>
        <v>0</v>
      </c>
      <c r="D11" s="13"/>
      <c r="E11" s="13"/>
      <c r="F11" s="4">
        <f t="shared" si="0"/>
        <v>0</v>
      </c>
    </row>
    <row r="12" spans="2:10" x14ac:dyDescent="0.25">
      <c r="B12" s="13"/>
      <c r="C12" s="4">
        <f>IFERROR(VLOOKUP(B12,'STOK KARTLARI'!$C$2:$K$2150,8,0),0)</f>
        <v>0</v>
      </c>
      <c r="D12" s="13"/>
      <c r="E12" s="13"/>
      <c r="F12" s="4">
        <f t="shared" si="0"/>
        <v>0</v>
      </c>
    </row>
    <row r="13" spans="2:10" x14ac:dyDescent="0.25">
      <c r="B13" s="13"/>
      <c r="C13" s="4">
        <f>IFERROR(VLOOKUP(B13,'STOK KARTLARI'!$C$2:$K$2150,8,0),0)</f>
        <v>0</v>
      </c>
      <c r="D13" s="13"/>
      <c r="E13" s="13"/>
      <c r="F13" s="4">
        <f t="shared" si="0"/>
        <v>0</v>
      </c>
    </row>
    <row r="14" spans="2:10" x14ac:dyDescent="0.25">
      <c r="B14" s="13"/>
      <c r="C14" s="4">
        <f>IFERROR(VLOOKUP(B14,'STOK KARTLARI'!$C$2:$K$2150,8,0),0)</f>
        <v>0</v>
      </c>
      <c r="D14" s="13"/>
      <c r="E14" s="13"/>
      <c r="F14" s="4">
        <f t="shared" si="0"/>
        <v>0</v>
      </c>
    </row>
    <row r="15" spans="2:10" x14ac:dyDescent="0.25">
      <c r="B15" s="13"/>
      <c r="C15" s="4">
        <f>IFERROR(VLOOKUP(B15,'STOK KARTLARI'!$C$2:$K$2150,8,0),0)</f>
        <v>0</v>
      </c>
      <c r="D15" s="13"/>
      <c r="E15" s="13"/>
      <c r="F15" s="4">
        <f t="shared" si="0"/>
        <v>0</v>
      </c>
    </row>
    <row r="16" spans="2:10" x14ac:dyDescent="0.25">
      <c r="B16" s="13"/>
      <c r="C16" s="4">
        <f>IFERROR(VLOOKUP(B16,'STOK KARTLARI'!$C$2:$K$2150,8,0),0)</f>
        <v>0</v>
      </c>
      <c r="D16" s="13"/>
      <c r="E16" s="13"/>
      <c r="F16" s="4">
        <f t="shared" si="0"/>
        <v>0</v>
      </c>
    </row>
    <row r="17" spans="2:6" x14ac:dyDescent="0.25">
      <c r="B17" s="13"/>
      <c r="C17" s="4">
        <f>IFERROR(VLOOKUP(B17,'STOK KARTLARI'!$C$2:$K$2150,8,0),0)</f>
        <v>0</v>
      </c>
      <c r="D17" s="13"/>
      <c r="E17" s="13"/>
      <c r="F17" s="4">
        <f t="shared" si="0"/>
        <v>0</v>
      </c>
    </row>
    <row r="18" spans="2:6" x14ac:dyDescent="0.25">
      <c r="B18" s="13"/>
      <c r="C18" s="4">
        <f>IFERROR(VLOOKUP(B18,'STOK KARTLARI'!$C$2:$K$2150,8,0),0)</f>
        <v>0</v>
      </c>
      <c r="D18" s="13"/>
      <c r="E18" s="13"/>
      <c r="F18" s="4">
        <f t="shared" si="0"/>
        <v>0</v>
      </c>
    </row>
    <row r="19" spans="2:6" x14ac:dyDescent="0.25">
      <c r="B19" s="13"/>
      <c r="C19" s="4">
        <f>IFERROR(VLOOKUP(B19,'STOK KARTLARI'!$C$2:$K$2150,8,0),0)</f>
        <v>0</v>
      </c>
      <c r="D19" s="13"/>
      <c r="E19" s="13"/>
      <c r="F19" s="4">
        <f t="shared" si="0"/>
        <v>0</v>
      </c>
    </row>
    <row r="20" spans="2:6" ht="18" customHeight="1" x14ac:dyDescent="0.25">
      <c r="B20" s="13"/>
      <c r="C20" s="4">
        <f>IFERROR(VLOOKUP(B20,'STOK KARTLARI'!$C$2:$K$2150,8,0),0)</f>
        <v>0</v>
      </c>
      <c r="D20" s="13"/>
      <c r="E20" s="13"/>
      <c r="F20" s="4">
        <f t="shared" si="0"/>
        <v>0</v>
      </c>
    </row>
    <row r="21" spans="2:6" x14ac:dyDescent="0.25">
      <c r="B21" s="13"/>
      <c r="C21" s="4">
        <f>IFERROR(VLOOKUP(B21,'STOK KARTLARI'!$C$2:$K$2150,8,0),0)</f>
        <v>0</v>
      </c>
      <c r="D21" s="13"/>
      <c r="E21" s="13"/>
      <c r="F21" s="4">
        <f t="shared" si="0"/>
        <v>0</v>
      </c>
    </row>
    <row r="22" spans="2:6" x14ac:dyDescent="0.25">
      <c r="B22" s="13"/>
      <c r="C22" s="4">
        <f>IFERROR(VLOOKUP(B22,'STOK KARTLARI'!$C$2:$K$2150,8,0),0)</f>
        <v>0</v>
      </c>
      <c r="D22" s="13"/>
      <c r="E22" s="13"/>
      <c r="F22" s="4">
        <f t="shared" si="0"/>
        <v>0</v>
      </c>
    </row>
    <row r="23" spans="2:6" x14ac:dyDescent="0.25">
      <c r="B23" s="13"/>
      <c r="C23" s="4">
        <f>IFERROR(VLOOKUP(B23,'STOK KARTLARI'!$C$2:$K$2150,8,0),0)</f>
        <v>0</v>
      </c>
      <c r="D23" s="13"/>
      <c r="E23" s="13"/>
      <c r="F23" s="4">
        <f t="shared" si="0"/>
        <v>0</v>
      </c>
    </row>
    <row r="24" spans="2:6" x14ac:dyDescent="0.25">
      <c r="B24" s="13"/>
      <c r="C24" s="4">
        <f>IFERROR(VLOOKUP(B24,'STOK KARTLARI'!$C$2:$K$2150,8,0),0)</f>
        <v>0</v>
      </c>
      <c r="D24" s="13"/>
      <c r="E24" s="13"/>
      <c r="F24" s="4">
        <f t="shared" si="0"/>
        <v>0</v>
      </c>
    </row>
    <row r="25" spans="2:6" x14ac:dyDescent="0.25">
      <c r="B25" s="13"/>
      <c r="C25" s="4">
        <f>IFERROR(VLOOKUP(B25,'STOK KARTLARI'!$C$2:$K$2150,8,0),0)</f>
        <v>0</v>
      </c>
      <c r="D25" s="13"/>
      <c r="E25" s="13"/>
      <c r="F25" s="4">
        <f t="shared" si="0"/>
        <v>0</v>
      </c>
    </row>
    <row r="26" spans="2:6" x14ac:dyDescent="0.25">
      <c r="B26" s="13"/>
      <c r="C26" s="4">
        <f>IFERROR(VLOOKUP(B26,'STOK KARTLARI'!$C$2:$K$2150,8,0),0)</f>
        <v>0</v>
      </c>
      <c r="D26" s="13"/>
      <c r="E26" s="13"/>
      <c r="F26" s="4">
        <f t="shared" si="0"/>
        <v>0</v>
      </c>
    </row>
    <row r="27" spans="2:6" x14ac:dyDescent="0.25">
      <c r="B27" s="13"/>
      <c r="C27" s="4">
        <f>IFERROR(VLOOKUP(B27,'STOK KARTLARI'!$C$2:$K$2150,8,0),0)</f>
        <v>0</v>
      </c>
      <c r="D27" s="13"/>
      <c r="E27" s="13"/>
      <c r="F27" s="4">
        <f t="shared" si="0"/>
        <v>0</v>
      </c>
    </row>
    <row r="28" spans="2:6" x14ac:dyDescent="0.25">
      <c r="B28" s="13"/>
      <c r="C28" s="4">
        <f>IFERROR(VLOOKUP(B28,'STOK KARTLARI'!$C$2:$K$2150,8,0),0)</f>
        <v>0</v>
      </c>
      <c r="D28" s="13"/>
      <c r="E28" s="13"/>
      <c r="F28" s="4">
        <f t="shared" si="0"/>
        <v>0</v>
      </c>
    </row>
    <row r="29" spans="2:6" x14ac:dyDescent="0.25">
      <c r="B29" s="13"/>
      <c r="C29" s="4">
        <f>IFERROR(VLOOKUP(B29,'STOK KARTLARI'!$C$2:$K$2150,8,0),0)</f>
        <v>0</v>
      </c>
      <c r="D29" s="13"/>
      <c r="E29" s="13"/>
      <c r="F29" s="4">
        <f t="shared" si="0"/>
        <v>0</v>
      </c>
    </row>
    <row r="30" spans="2:6" x14ac:dyDescent="0.25">
      <c r="B30" s="13"/>
      <c r="C30" s="4">
        <f>IFERROR(VLOOKUP(B30,'STOK KARTLARI'!$C$2:$K$2150,8,0),0)</f>
        <v>0</v>
      </c>
      <c r="D30" s="13"/>
      <c r="E30" s="13"/>
      <c r="F30" s="4">
        <f t="shared" si="0"/>
        <v>0</v>
      </c>
    </row>
    <row r="31" spans="2:6" x14ac:dyDescent="0.25">
      <c r="B31" s="13"/>
      <c r="C31" s="4">
        <f>IFERROR(VLOOKUP(B31,'STOK KARTLARI'!$C$2:$K$2150,8,0),0)</f>
        <v>0</v>
      </c>
      <c r="D31" s="13"/>
      <c r="E31" s="13"/>
      <c r="F31" s="4">
        <f t="shared" si="0"/>
        <v>0</v>
      </c>
    </row>
    <row r="32" spans="2:6" x14ac:dyDescent="0.25">
      <c r="B32" s="13"/>
      <c r="C32" s="4">
        <f>IFERROR(VLOOKUP(B32,'STOK KARTLARI'!$C$2:$K$2150,8,0),0)</f>
        <v>0</v>
      </c>
      <c r="D32" s="13"/>
      <c r="E32" s="13"/>
      <c r="F32" s="4">
        <f t="shared" si="0"/>
        <v>0</v>
      </c>
    </row>
    <row r="33" spans="2:6" x14ac:dyDescent="0.25">
      <c r="B33" s="13"/>
      <c r="C33" s="4">
        <f>IFERROR(VLOOKUP(B33,'STOK KARTLARI'!$C$2:$K$2150,8,0),0)</f>
        <v>0</v>
      </c>
      <c r="D33" s="13"/>
      <c r="E33" s="13"/>
      <c r="F33" s="4">
        <f t="shared" si="0"/>
        <v>0</v>
      </c>
    </row>
    <row r="34" spans="2:6" x14ac:dyDescent="0.25">
      <c r="B34" s="13"/>
      <c r="C34" s="4">
        <f>IFERROR(VLOOKUP(B34,'STOK KARTLARI'!$C$2:$K$2150,8,0),0)</f>
        <v>0</v>
      </c>
      <c r="D34" s="13"/>
      <c r="E34" s="13"/>
      <c r="F34" s="4">
        <f t="shared" si="0"/>
        <v>0</v>
      </c>
    </row>
    <row r="35" spans="2:6" x14ac:dyDescent="0.25">
      <c r="B35" s="13"/>
      <c r="C35" s="4">
        <f>IFERROR(VLOOKUP(B35,'STOK KARTLARI'!$C$2:$K$2150,8,0),0)</f>
        <v>0</v>
      </c>
      <c r="D35" s="13"/>
      <c r="E35" s="13"/>
      <c r="F35" s="4">
        <f t="shared" si="0"/>
        <v>0</v>
      </c>
    </row>
    <row r="36" spans="2:6" x14ac:dyDescent="0.25">
      <c r="B36" s="13"/>
      <c r="C36" s="4">
        <f>IFERROR(VLOOKUP(B36,'STOK KARTLARI'!$C$2:$K$2150,8,0),0)</f>
        <v>0</v>
      </c>
      <c r="D36" s="13"/>
      <c r="E36" s="13"/>
      <c r="F36" s="4">
        <f t="shared" si="0"/>
        <v>0</v>
      </c>
    </row>
    <row r="37" spans="2:6" x14ac:dyDescent="0.25">
      <c r="B37" s="13"/>
      <c r="C37" s="4">
        <f>IFERROR(VLOOKUP(B37,'STOK KARTLARI'!$C$2:$K$2150,8,0),0)</f>
        <v>0</v>
      </c>
      <c r="D37" s="13"/>
      <c r="E37" s="13"/>
      <c r="F37" s="4">
        <f t="shared" si="0"/>
        <v>0</v>
      </c>
    </row>
    <row r="38" spans="2:6" x14ac:dyDescent="0.25">
      <c r="B38" s="13"/>
      <c r="C38" s="4">
        <f>IFERROR(VLOOKUP(B38,'STOK KARTLARI'!$C$2:$K$2150,8,0),0)</f>
        <v>0</v>
      </c>
      <c r="D38" s="13"/>
      <c r="E38" s="13"/>
      <c r="F38" s="4">
        <f t="shared" si="0"/>
        <v>0</v>
      </c>
    </row>
    <row r="39" spans="2:6" x14ac:dyDescent="0.25">
      <c r="B39" s="13"/>
      <c r="C39" s="4">
        <f>IFERROR(VLOOKUP(B39,'STOK KARTLARI'!$C$2:$K$2150,8,0),0)</f>
        <v>0</v>
      </c>
      <c r="D39" s="13"/>
      <c r="E39" s="13"/>
      <c r="F39" s="4">
        <f t="shared" si="0"/>
        <v>0</v>
      </c>
    </row>
    <row r="40" spans="2:6" x14ac:dyDescent="0.25">
      <c r="B40" s="13"/>
      <c r="C40" s="4">
        <f>IFERROR(VLOOKUP(B40,'STOK KARTLARI'!$C$2:$K$2150,8,0),0)</f>
        <v>0</v>
      </c>
      <c r="D40" s="13"/>
      <c r="E40" s="13"/>
      <c r="F40" s="4">
        <f t="shared" si="0"/>
        <v>0</v>
      </c>
    </row>
    <row r="41" spans="2:6" x14ac:dyDescent="0.25">
      <c r="B41" s="13"/>
      <c r="C41" s="4">
        <f>IFERROR(VLOOKUP(B41,'STOK KARTLARI'!$C$2:$K$2150,8,0),0)</f>
        <v>0</v>
      </c>
      <c r="D41" s="13"/>
      <c r="E41" s="13"/>
      <c r="F41" s="4">
        <f t="shared" si="0"/>
        <v>0</v>
      </c>
    </row>
    <row r="42" spans="2:6" x14ac:dyDescent="0.25">
      <c r="B42" s="13"/>
      <c r="C42" s="4">
        <f>IFERROR(VLOOKUP(B42,'STOK KARTLARI'!$C$2:$K$2150,8,0),0)</f>
        <v>0</v>
      </c>
      <c r="D42" s="13"/>
      <c r="E42" s="13"/>
      <c r="F42" s="4">
        <f t="shared" si="0"/>
        <v>0</v>
      </c>
    </row>
    <row r="43" spans="2:6" x14ac:dyDescent="0.25">
      <c r="B43" s="13"/>
      <c r="C43" s="4">
        <f>IFERROR(VLOOKUP(B43,'STOK KARTLARI'!$C$2:$K$2150,8,0),0)</f>
        <v>0</v>
      </c>
      <c r="D43" s="13"/>
      <c r="E43" s="13"/>
      <c r="F43" s="4">
        <f t="shared" si="0"/>
        <v>0</v>
      </c>
    </row>
    <row r="44" spans="2:6" x14ac:dyDescent="0.25">
      <c r="B44" s="13"/>
      <c r="C44" s="4">
        <f>IFERROR(VLOOKUP(B44,'STOK KARTLARI'!$C$2:$K$2150,8,0),0)</f>
        <v>0</v>
      </c>
      <c r="D44" s="13"/>
      <c r="E44" s="13"/>
      <c r="F44" s="4">
        <f t="shared" si="0"/>
        <v>0</v>
      </c>
    </row>
    <row r="45" spans="2:6" x14ac:dyDescent="0.25">
      <c r="B45" s="13"/>
      <c r="C45" s="4">
        <f>IFERROR(VLOOKUP(B45,'STOK KARTLARI'!$C$2:$K$2150,8,0),0)</f>
        <v>0</v>
      </c>
      <c r="D45" s="13"/>
      <c r="E45" s="13"/>
      <c r="F45" s="4">
        <f t="shared" si="0"/>
        <v>0</v>
      </c>
    </row>
    <row r="46" spans="2:6" x14ac:dyDescent="0.25">
      <c r="B46" s="13"/>
      <c r="C46" s="4">
        <f>IFERROR(VLOOKUP(B46,'STOK KARTLARI'!$C$2:$K$2150,8,0),0)</f>
        <v>0</v>
      </c>
      <c r="D46" s="13"/>
      <c r="E46" s="13"/>
      <c r="F46" s="4">
        <f t="shared" si="0"/>
        <v>0</v>
      </c>
    </row>
    <row r="47" spans="2:6" x14ac:dyDescent="0.25">
      <c r="B47" s="13"/>
      <c r="C47" s="4">
        <f>IFERROR(VLOOKUP(B47,'STOK KARTLARI'!$C$2:$K$2150,8,0),0)</f>
        <v>0</v>
      </c>
      <c r="D47" s="13"/>
      <c r="E47" s="13"/>
      <c r="F47" s="4">
        <f t="shared" si="0"/>
        <v>0</v>
      </c>
    </row>
    <row r="48" spans="2:6" x14ac:dyDescent="0.25">
      <c r="B48" s="13"/>
      <c r="C48" s="4">
        <f>IFERROR(VLOOKUP(B48,'STOK KARTLARI'!$C$2:$K$2150,8,0),0)</f>
        <v>0</v>
      </c>
      <c r="D48" s="13"/>
      <c r="E48" s="13"/>
      <c r="F48" s="4">
        <f t="shared" si="0"/>
        <v>0</v>
      </c>
    </row>
    <row r="49" spans="2:18" x14ac:dyDescent="0.25">
      <c r="B49" s="13"/>
      <c r="C49" s="4">
        <f>IFERROR(VLOOKUP(B49,'STOK KARTLARI'!$C$2:$K$2150,8,0),0)</f>
        <v>0</v>
      </c>
      <c r="D49" s="13"/>
      <c r="E49" s="13"/>
      <c r="F49" s="4">
        <f t="shared" si="0"/>
        <v>0</v>
      </c>
    </row>
    <row r="50" spans="2:18" x14ac:dyDescent="0.25">
      <c r="B50" s="13"/>
      <c r="C50" s="4">
        <f>IFERROR(VLOOKUP(B50,'STOK KARTLARI'!$C$2:$K$2150,8,0),0)</f>
        <v>0</v>
      </c>
      <c r="D50" s="13"/>
      <c r="E50" s="13"/>
      <c r="F50" s="4">
        <f t="shared" si="0"/>
        <v>0</v>
      </c>
    </row>
    <row r="51" spans="2:18" x14ac:dyDescent="0.25">
      <c r="B51" s="13"/>
      <c r="C51" s="4">
        <f>IFERROR(VLOOKUP(B51,'STOK KARTLARI'!$C$2:$K$2150,8,0),0)</f>
        <v>0</v>
      </c>
      <c r="D51" s="13"/>
      <c r="E51" s="13"/>
      <c r="F51" s="4">
        <f t="shared" si="0"/>
        <v>0</v>
      </c>
    </row>
    <row r="52" spans="2:18" x14ac:dyDescent="0.25">
      <c r="B52" s="13"/>
      <c r="C52" s="4">
        <f>IFERROR(VLOOKUP(B52,'STOK KARTLARI'!$C$2:$K$2150,8,0),0)</f>
        <v>0</v>
      </c>
      <c r="D52" s="13"/>
      <c r="E52" s="13"/>
      <c r="F52" s="4">
        <f t="shared" si="0"/>
        <v>0</v>
      </c>
      <c r="R52">
        <f>370+650+125+570</f>
        <v>1715</v>
      </c>
    </row>
    <row r="53" spans="2:18" x14ac:dyDescent="0.25">
      <c r="B53" s="13"/>
      <c r="C53" s="4">
        <f>IFERROR(VLOOKUP(B53,'STOK KARTLARI'!$C$2:$K$2150,8,0),0)</f>
        <v>0</v>
      </c>
      <c r="D53" s="13"/>
      <c r="E53" s="13"/>
      <c r="F53" s="4">
        <f t="shared" si="0"/>
        <v>0</v>
      </c>
    </row>
    <row r="54" spans="2:18" x14ac:dyDescent="0.25">
      <c r="B54" s="13"/>
      <c r="C54" s="4">
        <f>IFERROR(VLOOKUP(B54,'STOK KARTLARI'!$C$2:$K$2150,8,0),0)</f>
        <v>0</v>
      </c>
      <c r="D54" s="13"/>
      <c r="E54" s="13"/>
      <c r="F54" s="4">
        <f t="shared" si="0"/>
        <v>0</v>
      </c>
    </row>
    <row r="55" spans="2:18" x14ac:dyDescent="0.25">
      <c r="B55" s="13"/>
      <c r="C55" s="4">
        <f>IFERROR(VLOOKUP(B55,'STOK KARTLARI'!$C$2:$K$2150,8,0),0)</f>
        <v>0</v>
      </c>
      <c r="D55" s="13"/>
      <c r="E55" s="13"/>
      <c r="F55" s="4">
        <f t="shared" si="0"/>
        <v>0</v>
      </c>
    </row>
    <row r="56" spans="2:18" x14ac:dyDescent="0.25">
      <c r="B56" s="13"/>
      <c r="C56" s="4">
        <f>IFERROR(VLOOKUP(B56,'STOK KARTLARI'!$C$2:$K$2150,8,0),0)</f>
        <v>0</v>
      </c>
      <c r="D56" s="13"/>
      <c r="E56" s="13"/>
      <c r="F56" s="4">
        <f t="shared" si="0"/>
        <v>0</v>
      </c>
    </row>
    <row r="57" spans="2:18" x14ac:dyDescent="0.25">
      <c r="B57" s="13"/>
      <c r="C57" s="4">
        <f>IFERROR(VLOOKUP(B57,'STOK KARTLARI'!$C$2:$K$2150,8,0),0)</f>
        <v>0</v>
      </c>
      <c r="D57" s="13"/>
      <c r="E57" s="13"/>
      <c r="F57" s="4">
        <f t="shared" si="0"/>
        <v>0</v>
      </c>
    </row>
    <row r="58" spans="2:18" x14ac:dyDescent="0.25">
      <c r="B58" s="13"/>
      <c r="C58" s="4">
        <f>IFERROR(VLOOKUP(B58,'STOK KARTLARI'!$C$2:$K$2150,8,0),0)</f>
        <v>0</v>
      </c>
      <c r="D58" s="13"/>
      <c r="E58" s="13"/>
      <c r="F58" s="4">
        <f t="shared" si="0"/>
        <v>0</v>
      </c>
    </row>
    <row r="59" spans="2:18" x14ac:dyDescent="0.25">
      <c r="B59" s="13"/>
      <c r="C59" s="4">
        <f>IFERROR(VLOOKUP(B59,'STOK KARTLARI'!$C$2:$K$2150,8,0),0)</f>
        <v>0</v>
      </c>
      <c r="D59" s="13"/>
      <c r="E59" s="13"/>
      <c r="F59" s="4">
        <f t="shared" si="0"/>
        <v>0</v>
      </c>
    </row>
    <row r="60" spans="2:18" x14ac:dyDescent="0.25">
      <c r="B60" s="13"/>
      <c r="C60" s="4">
        <f>IFERROR(VLOOKUP(B60,'STOK KARTLARI'!$C$2:$K$2150,8,0),0)</f>
        <v>0</v>
      </c>
      <c r="D60" s="13"/>
      <c r="E60" s="13"/>
      <c r="F60" s="4">
        <f t="shared" si="0"/>
        <v>0</v>
      </c>
    </row>
    <row r="61" spans="2:18" x14ac:dyDescent="0.25">
      <c r="B61" s="13"/>
      <c r="C61" s="4">
        <f>IFERROR(VLOOKUP(B61,'STOK KARTLARI'!$C$2:$K$2150,8,0),0)</f>
        <v>0</v>
      </c>
      <c r="D61" s="13"/>
      <c r="E61" s="13"/>
      <c r="F61" s="4">
        <f t="shared" si="0"/>
        <v>0</v>
      </c>
    </row>
    <row r="62" spans="2:18" x14ac:dyDescent="0.25">
      <c r="B62" s="13"/>
      <c r="C62" s="4">
        <f>IFERROR(VLOOKUP(B62,'STOK KARTLARI'!$C$2:$K$2150,8,0),0)</f>
        <v>0</v>
      </c>
      <c r="D62" s="13"/>
      <c r="E62" s="13"/>
      <c r="F62" s="4">
        <f t="shared" si="0"/>
        <v>0</v>
      </c>
    </row>
    <row r="63" spans="2:18" x14ac:dyDescent="0.25">
      <c r="B63" s="13"/>
      <c r="C63" s="4">
        <f>IFERROR(VLOOKUP(B63,'STOK KARTLARI'!$C$2:$K$2150,8,0),0)</f>
        <v>0</v>
      </c>
      <c r="D63" s="13"/>
      <c r="E63" s="13"/>
      <c r="F63" s="4">
        <f t="shared" si="0"/>
        <v>0</v>
      </c>
    </row>
    <row r="64" spans="2:18" x14ac:dyDescent="0.25">
      <c r="B64" s="13"/>
      <c r="C64" s="4">
        <f>IFERROR(VLOOKUP(B64,'STOK KARTLARI'!$C$2:$K$2150,8,0),0)</f>
        <v>0</v>
      </c>
      <c r="D64" s="13"/>
      <c r="E64" s="13"/>
      <c r="F64" s="4">
        <f t="shared" si="0"/>
        <v>0</v>
      </c>
    </row>
    <row r="65" spans="2:6" x14ac:dyDescent="0.25">
      <c r="B65" s="13"/>
      <c r="C65" s="4">
        <f>IFERROR(VLOOKUP(B65,'STOK KARTLARI'!$C$2:$K$2150,8,0),0)</f>
        <v>0</v>
      </c>
      <c r="D65" s="13"/>
      <c r="E65" s="13"/>
      <c r="F65" s="4">
        <f t="shared" si="0"/>
        <v>0</v>
      </c>
    </row>
    <row r="66" spans="2:6" x14ac:dyDescent="0.25">
      <c r="B66" s="13"/>
      <c r="C66" s="4">
        <f>IFERROR(VLOOKUP(B66,'STOK KARTLARI'!$C$2:$K$2150,8,0),0)</f>
        <v>0</v>
      </c>
      <c r="D66" s="13"/>
      <c r="E66" s="13"/>
      <c r="F66" s="4">
        <f t="shared" si="0"/>
        <v>0</v>
      </c>
    </row>
    <row r="67" spans="2:6" x14ac:dyDescent="0.25">
      <c r="B67" s="13"/>
      <c r="C67" s="4">
        <f>IFERROR(VLOOKUP(B67,'STOK KARTLARI'!$C$2:$K$2150,8,0),0)</f>
        <v>0</v>
      </c>
      <c r="D67" s="13"/>
      <c r="E67" s="13"/>
      <c r="F67" s="4">
        <f t="shared" ref="F67:F130" si="1">IFERROR((C67*D67)+(C67/1000*E67),0)</f>
        <v>0</v>
      </c>
    </row>
    <row r="68" spans="2:6" x14ac:dyDescent="0.25">
      <c r="B68" s="13"/>
      <c r="C68" s="4">
        <f>IFERROR(VLOOKUP(B68,'STOK KARTLARI'!$C$2:$K$2150,8,0),0)</f>
        <v>0</v>
      </c>
      <c r="D68" s="13"/>
      <c r="E68" s="13"/>
      <c r="F68" s="4">
        <f t="shared" si="1"/>
        <v>0</v>
      </c>
    </row>
    <row r="69" spans="2:6" x14ac:dyDescent="0.25">
      <c r="B69" s="13"/>
      <c r="C69" s="4">
        <f>IFERROR(VLOOKUP(B69,'STOK KARTLARI'!$C$2:$K$2150,8,0),0)</f>
        <v>0</v>
      </c>
      <c r="D69" s="13"/>
      <c r="E69" s="13"/>
      <c r="F69" s="4">
        <f t="shared" si="1"/>
        <v>0</v>
      </c>
    </row>
    <row r="70" spans="2:6" x14ac:dyDescent="0.25">
      <c r="B70" s="13"/>
      <c r="C70" s="4">
        <f>IFERROR(VLOOKUP(B70,'STOK KARTLARI'!$C$2:$K$2150,8,0),0)</f>
        <v>0</v>
      </c>
      <c r="D70" s="13"/>
      <c r="E70" s="13"/>
      <c r="F70" s="4">
        <f t="shared" si="1"/>
        <v>0</v>
      </c>
    </row>
    <row r="71" spans="2:6" x14ac:dyDescent="0.25">
      <c r="B71" s="13"/>
      <c r="C71" s="4">
        <f>IFERROR(VLOOKUP(B71,'STOK KARTLARI'!$C$2:$K$2150,8,0),0)</f>
        <v>0</v>
      </c>
      <c r="D71" s="13"/>
      <c r="E71" s="13"/>
      <c r="F71" s="4">
        <f t="shared" si="1"/>
        <v>0</v>
      </c>
    </row>
    <row r="72" spans="2:6" x14ac:dyDescent="0.25">
      <c r="B72" s="13"/>
      <c r="C72" s="4">
        <f>IFERROR(VLOOKUP(B72,'STOK KARTLARI'!$C$2:$K$2150,8,0),0)</f>
        <v>0</v>
      </c>
      <c r="D72" s="13"/>
      <c r="E72" s="13"/>
      <c r="F72" s="4">
        <f t="shared" si="1"/>
        <v>0</v>
      </c>
    </row>
    <row r="73" spans="2:6" x14ac:dyDescent="0.25">
      <c r="B73" s="13"/>
      <c r="C73" s="4">
        <f>IFERROR(VLOOKUP(B73,'STOK KARTLARI'!$C$2:$K$2150,8,0),0)</f>
        <v>0</v>
      </c>
      <c r="D73" s="13"/>
      <c r="E73" s="13"/>
      <c r="F73" s="4">
        <f t="shared" si="1"/>
        <v>0</v>
      </c>
    </row>
    <row r="74" spans="2:6" x14ac:dyDescent="0.25">
      <c r="B74" s="13"/>
      <c r="C74" s="4">
        <f>IFERROR(VLOOKUP(B74,'STOK KARTLARI'!$C$2:$K$2150,8,0),0)</f>
        <v>0</v>
      </c>
      <c r="D74" s="13"/>
      <c r="E74" s="13"/>
      <c r="F74" s="4">
        <f t="shared" si="1"/>
        <v>0</v>
      </c>
    </row>
    <row r="75" spans="2:6" x14ac:dyDescent="0.25">
      <c r="B75" s="13"/>
      <c r="C75" s="4">
        <f>IFERROR(VLOOKUP(B75,'STOK KARTLARI'!$C$2:$K$2150,8,0),0)</f>
        <v>0</v>
      </c>
      <c r="D75" s="13"/>
      <c r="E75" s="13"/>
      <c r="F75" s="4">
        <f t="shared" si="1"/>
        <v>0</v>
      </c>
    </row>
    <row r="76" spans="2:6" x14ac:dyDescent="0.25">
      <c r="B76" s="13"/>
      <c r="C76" s="4">
        <f>IFERROR(VLOOKUP(B76,'STOK KARTLARI'!$C$2:$K$2150,8,0),0)</f>
        <v>0</v>
      </c>
      <c r="D76" s="13"/>
      <c r="E76" s="13"/>
      <c r="F76" s="4">
        <f t="shared" si="1"/>
        <v>0</v>
      </c>
    </row>
    <row r="77" spans="2:6" x14ac:dyDescent="0.25">
      <c r="B77" s="13"/>
      <c r="C77" s="4">
        <f>IFERROR(VLOOKUP(B77,'STOK KARTLARI'!$C$2:$K$2150,8,0),0)</f>
        <v>0</v>
      </c>
      <c r="D77" s="13"/>
      <c r="E77" s="13"/>
      <c r="F77" s="4">
        <f t="shared" si="1"/>
        <v>0</v>
      </c>
    </row>
    <row r="78" spans="2:6" x14ac:dyDescent="0.25">
      <c r="B78" s="13"/>
      <c r="C78" s="4">
        <f>IFERROR(VLOOKUP(B78,'STOK KARTLARI'!$C$2:$K$2150,8,0),0)</f>
        <v>0</v>
      </c>
      <c r="D78" s="13"/>
      <c r="E78" s="13"/>
      <c r="F78" s="4">
        <f t="shared" si="1"/>
        <v>0</v>
      </c>
    </row>
    <row r="79" spans="2:6" x14ac:dyDescent="0.25">
      <c r="B79" s="13"/>
      <c r="C79" s="4">
        <f>IFERROR(VLOOKUP(B79,'STOK KARTLARI'!$C$2:$K$2150,8,0),0)</f>
        <v>0</v>
      </c>
      <c r="D79" s="13"/>
      <c r="E79" s="13"/>
      <c r="F79" s="4">
        <f t="shared" si="1"/>
        <v>0</v>
      </c>
    </row>
    <row r="80" spans="2:6" x14ac:dyDescent="0.25">
      <c r="B80" s="13"/>
      <c r="C80" s="4">
        <f>IFERROR(VLOOKUP(B80,'STOK KARTLARI'!$C$2:$K$2150,8,0),0)</f>
        <v>0</v>
      </c>
      <c r="D80" s="13"/>
      <c r="E80" s="13"/>
      <c r="F80" s="4">
        <f t="shared" si="1"/>
        <v>0</v>
      </c>
    </row>
    <row r="81" spans="2:6" x14ac:dyDescent="0.25">
      <c r="B81" s="13"/>
      <c r="C81" s="4">
        <f>IFERROR(VLOOKUP(B81,'STOK KARTLARI'!$C$2:$K$2150,8,0),0)</f>
        <v>0</v>
      </c>
      <c r="D81" s="13"/>
      <c r="E81" s="13"/>
      <c r="F81" s="4">
        <f t="shared" si="1"/>
        <v>0</v>
      </c>
    </row>
    <row r="82" spans="2:6" x14ac:dyDescent="0.25">
      <c r="B82" s="13"/>
      <c r="C82" s="4">
        <f>IFERROR(VLOOKUP(B82,'STOK KARTLARI'!$C$2:$K$2150,8,0),0)</f>
        <v>0</v>
      </c>
      <c r="D82" s="13"/>
      <c r="E82" s="13"/>
      <c r="F82" s="4">
        <f t="shared" si="1"/>
        <v>0</v>
      </c>
    </row>
    <row r="83" spans="2:6" x14ac:dyDescent="0.25">
      <c r="B83" s="13"/>
      <c r="C83" s="4">
        <f>IFERROR(VLOOKUP(B83,'STOK KARTLARI'!$C$2:$K$2150,8,0),0)</f>
        <v>0</v>
      </c>
      <c r="D83" s="13"/>
      <c r="E83" s="13"/>
      <c r="F83" s="4">
        <f t="shared" si="1"/>
        <v>0</v>
      </c>
    </row>
    <row r="84" spans="2:6" x14ac:dyDescent="0.25">
      <c r="B84" s="13"/>
      <c r="C84" s="4">
        <f>IFERROR(VLOOKUP(B84,'STOK KARTLARI'!$C$2:$K$2150,8,0),0)</f>
        <v>0</v>
      </c>
      <c r="D84" s="13"/>
      <c r="E84" s="13"/>
      <c r="F84" s="4">
        <f t="shared" si="1"/>
        <v>0</v>
      </c>
    </row>
    <row r="85" spans="2:6" x14ac:dyDescent="0.25">
      <c r="B85" s="13"/>
      <c r="C85" s="4">
        <f>IFERROR(VLOOKUP(B85,'STOK KARTLARI'!$C$2:$K$2150,8,0),0)</f>
        <v>0</v>
      </c>
      <c r="D85" s="13"/>
      <c r="E85" s="13"/>
      <c r="F85" s="4">
        <f t="shared" si="1"/>
        <v>0</v>
      </c>
    </row>
    <row r="86" spans="2:6" x14ac:dyDescent="0.25">
      <c r="B86" s="13"/>
      <c r="C86" s="4">
        <f>IFERROR(VLOOKUP(B86,'STOK KARTLARI'!$C$2:$K$2150,8,0),0)</f>
        <v>0</v>
      </c>
      <c r="D86" s="13"/>
      <c r="E86" s="13"/>
      <c r="F86" s="4">
        <f t="shared" si="1"/>
        <v>0</v>
      </c>
    </row>
    <row r="87" spans="2:6" x14ac:dyDescent="0.25">
      <c r="B87" s="13"/>
      <c r="C87" s="4">
        <f>IFERROR(VLOOKUP(B87,'STOK KARTLARI'!$C$2:$K$2150,8,0),0)</f>
        <v>0</v>
      </c>
      <c r="D87" s="13"/>
      <c r="E87" s="13"/>
      <c r="F87" s="4">
        <f t="shared" si="1"/>
        <v>0</v>
      </c>
    </row>
    <row r="88" spans="2:6" x14ac:dyDescent="0.25">
      <c r="B88" s="13"/>
      <c r="C88" s="4">
        <f>IFERROR(VLOOKUP(B88,'STOK KARTLARI'!$C$2:$K$2150,8,0),0)</f>
        <v>0</v>
      </c>
      <c r="D88" s="13"/>
      <c r="E88" s="13"/>
      <c r="F88" s="4">
        <f t="shared" si="1"/>
        <v>0</v>
      </c>
    </row>
    <row r="89" spans="2:6" x14ac:dyDescent="0.25">
      <c r="B89" s="13"/>
      <c r="C89" s="4">
        <f>IFERROR(VLOOKUP(B89,'STOK KARTLARI'!$C$2:$K$2150,8,0),0)</f>
        <v>0</v>
      </c>
      <c r="D89" s="13"/>
      <c r="E89" s="13"/>
      <c r="F89" s="4">
        <f t="shared" si="1"/>
        <v>0</v>
      </c>
    </row>
    <row r="90" spans="2:6" x14ac:dyDescent="0.25">
      <c r="B90" s="13"/>
      <c r="C90" s="4">
        <f>IFERROR(VLOOKUP(B90,'STOK KARTLARI'!$C$2:$K$2150,8,0),0)</f>
        <v>0</v>
      </c>
      <c r="D90" s="13"/>
      <c r="E90" s="13"/>
      <c r="F90" s="4">
        <f t="shared" si="1"/>
        <v>0</v>
      </c>
    </row>
    <row r="91" spans="2:6" x14ac:dyDescent="0.25">
      <c r="B91" s="13"/>
      <c r="C91" s="4">
        <f>IFERROR(VLOOKUP(B91,'STOK KARTLARI'!$C$2:$K$2150,8,0),0)</f>
        <v>0</v>
      </c>
      <c r="D91" s="13"/>
      <c r="E91" s="13"/>
      <c r="F91" s="4">
        <f t="shared" si="1"/>
        <v>0</v>
      </c>
    </row>
    <row r="92" spans="2:6" x14ac:dyDescent="0.25">
      <c r="B92" s="13"/>
      <c r="C92" s="4">
        <f>IFERROR(VLOOKUP(B92,'STOK KARTLARI'!$C$2:$K$2150,8,0),0)</f>
        <v>0</v>
      </c>
      <c r="D92" s="13"/>
      <c r="E92" s="13"/>
      <c r="F92" s="4">
        <f t="shared" si="1"/>
        <v>0</v>
      </c>
    </row>
    <row r="93" spans="2:6" x14ac:dyDescent="0.25">
      <c r="B93" s="13"/>
      <c r="C93" s="4">
        <f>IFERROR(VLOOKUP(B93,'STOK KARTLARI'!$C$2:$K$2150,8,0),0)</f>
        <v>0</v>
      </c>
      <c r="D93" s="13"/>
      <c r="E93" s="13"/>
      <c r="F93" s="4">
        <f t="shared" si="1"/>
        <v>0</v>
      </c>
    </row>
    <row r="94" spans="2:6" x14ac:dyDescent="0.25">
      <c r="B94" s="13"/>
      <c r="C94" s="4">
        <f>IFERROR(VLOOKUP(B94,'STOK KARTLARI'!$C$2:$K$2150,8,0),0)</f>
        <v>0</v>
      </c>
      <c r="D94" s="13"/>
      <c r="E94" s="13"/>
      <c r="F94" s="4">
        <f t="shared" si="1"/>
        <v>0</v>
      </c>
    </row>
    <row r="95" spans="2:6" x14ac:dyDescent="0.25">
      <c r="B95" s="13"/>
      <c r="C95" s="4">
        <f>IFERROR(VLOOKUP(B95,'STOK KARTLARI'!$C$2:$K$2150,8,0),0)</f>
        <v>0</v>
      </c>
      <c r="D95" s="13"/>
      <c r="E95" s="13"/>
      <c r="F95" s="4">
        <f t="shared" si="1"/>
        <v>0</v>
      </c>
    </row>
    <row r="96" spans="2:6" x14ac:dyDescent="0.25">
      <c r="B96" s="13"/>
      <c r="C96" s="4">
        <f>IFERROR(VLOOKUP(B96,'STOK KARTLARI'!$C$2:$K$2150,8,0),0)</f>
        <v>0</v>
      </c>
      <c r="D96" s="13"/>
      <c r="E96" s="13"/>
      <c r="F96" s="4">
        <f t="shared" si="1"/>
        <v>0</v>
      </c>
    </row>
    <row r="97" spans="2:6" x14ac:dyDescent="0.25">
      <c r="B97" s="13"/>
      <c r="C97" s="4">
        <f>IFERROR(VLOOKUP(B97,'STOK KARTLARI'!$C$2:$K$2150,8,0),0)</f>
        <v>0</v>
      </c>
      <c r="D97" s="13"/>
      <c r="E97" s="13"/>
      <c r="F97" s="4">
        <f t="shared" si="1"/>
        <v>0</v>
      </c>
    </row>
    <row r="98" spans="2:6" x14ac:dyDescent="0.25">
      <c r="B98" s="13"/>
      <c r="C98" s="4">
        <f>IFERROR(VLOOKUP(B98,'STOK KARTLARI'!$C$2:$K$2150,8,0),0)</f>
        <v>0</v>
      </c>
      <c r="D98" s="13"/>
      <c r="E98" s="13"/>
      <c r="F98" s="4">
        <f t="shared" si="1"/>
        <v>0</v>
      </c>
    </row>
    <row r="99" spans="2:6" x14ac:dyDescent="0.25">
      <c r="B99" s="13"/>
      <c r="C99" s="4">
        <f>IFERROR(VLOOKUP(B99,'STOK KARTLARI'!$C$2:$K$2150,8,0),0)</f>
        <v>0</v>
      </c>
      <c r="D99" s="13"/>
      <c r="E99" s="13"/>
      <c r="F99" s="4">
        <f t="shared" si="1"/>
        <v>0</v>
      </c>
    </row>
    <row r="100" spans="2:6" x14ac:dyDescent="0.25">
      <c r="B100" s="13"/>
      <c r="C100" s="4">
        <f>IFERROR(VLOOKUP(B100,'STOK KARTLARI'!$C$2:$K$2150,8,0),0)</f>
        <v>0</v>
      </c>
      <c r="D100" s="13"/>
      <c r="E100" s="13"/>
      <c r="F100" s="4">
        <f t="shared" si="1"/>
        <v>0</v>
      </c>
    </row>
    <row r="101" spans="2:6" x14ac:dyDescent="0.25">
      <c r="B101" s="13"/>
      <c r="C101" s="4">
        <f>IFERROR(VLOOKUP(B101,'STOK KARTLARI'!$C$2:$K$2150,8,0),0)</f>
        <v>0</v>
      </c>
      <c r="D101" s="13"/>
      <c r="E101" s="13"/>
      <c r="F101" s="4">
        <f t="shared" si="1"/>
        <v>0</v>
      </c>
    </row>
    <row r="102" spans="2:6" x14ac:dyDescent="0.25">
      <c r="B102" s="13"/>
      <c r="C102" s="4">
        <f>IFERROR(VLOOKUP(B102,'STOK KARTLARI'!$C$2:$K$2150,8,0),0)</f>
        <v>0</v>
      </c>
      <c r="D102" s="13"/>
      <c r="E102" s="13"/>
      <c r="F102" s="4">
        <f t="shared" si="1"/>
        <v>0</v>
      </c>
    </row>
    <row r="103" spans="2:6" x14ac:dyDescent="0.25">
      <c r="B103" s="13"/>
      <c r="C103" s="4">
        <f>IFERROR(VLOOKUP(B103,'STOK KARTLARI'!$C$2:$K$2150,8,0),0)</f>
        <v>0</v>
      </c>
      <c r="D103" s="13"/>
      <c r="E103" s="13"/>
      <c r="F103" s="4">
        <f t="shared" si="1"/>
        <v>0</v>
      </c>
    </row>
    <row r="104" spans="2:6" x14ac:dyDescent="0.25">
      <c r="B104" s="13"/>
      <c r="C104" s="4">
        <f>IFERROR(VLOOKUP(B104,'STOK KARTLARI'!$C$2:$K$2150,8,0),0)</f>
        <v>0</v>
      </c>
      <c r="D104" s="13"/>
      <c r="E104" s="13"/>
      <c r="F104" s="4">
        <f t="shared" si="1"/>
        <v>0</v>
      </c>
    </row>
    <row r="105" spans="2:6" x14ac:dyDescent="0.25">
      <c r="B105" s="13"/>
      <c r="C105" s="4">
        <f>IFERROR(VLOOKUP(B105,'STOK KARTLARI'!$C$2:$K$2150,8,0),0)</f>
        <v>0</v>
      </c>
      <c r="D105" s="13"/>
      <c r="E105" s="13"/>
      <c r="F105" s="4">
        <f t="shared" si="1"/>
        <v>0</v>
      </c>
    </row>
    <row r="106" spans="2:6" x14ac:dyDescent="0.25">
      <c r="B106" s="13"/>
      <c r="C106" s="4">
        <f>IFERROR(VLOOKUP(B106,'STOK KARTLARI'!$C$2:$K$2150,8,0),0)</f>
        <v>0</v>
      </c>
      <c r="D106" s="13"/>
      <c r="E106" s="13"/>
      <c r="F106" s="4">
        <f t="shared" si="1"/>
        <v>0</v>
      </c>
    </row>
    <row r="107" spans="2:6" x14ac:dyDescent="0.25">
      <c r="B107" s="13"/>
      <c r="C107" s="4">
        <f>IFERROR(VLOOKUP(B107,'STOK KARTLARI'!$C$2:$K$2150,8,0),0)</f>
        <v>0</v>
      </c>
      <c r="D107" s="13"/>
      <c r="E107" s="13"/>
      <c r="F107" s="4">
        <f t="shared" si="1"/>
        <v>0</v>
      </c>
    </row>
    <row r="108" spans="2:6" x14ac:dyDescent="0.25">
      <c r="B108" s="13"/>
      <c r="C108" s="4">
        <f>IFERROR(VLOOKUP(B108,'STOK KARTLARI'!$C$2:$K$2150,8,0),0)</f>
        <v>0</v>
      </c>
      <c r="D108" s="13"/>
      <c r="E108" s="13"/>
      <c r="F108" s="4">
        <f t="shared" si="1"/>
        <v>0</v>
      </c>
    </row>
    <row r="109" spans="2:6" x14ac:dyDescent="0.25">
      <c r="B109" s="13"/>
      <c r="C109" s="4">
        <f>IFERROR(VLOOKUP(B109,'STOK KARTLARI'!$C$2:$K$2150,8,0),0)</f>
        <v>0</v>
      </c>
      <c r="D109" s="13"/>
      <c r="E109" s="13"/>
      <c r="F109" s="4">
        <f t="shared" si="1"/>
        <v>0</v>
      </c>
    </row>
    <row r="110" spans="2:6" x14ac:dyDescent="0.25">
      <c r="B110" s="13"/>
      <c r="C110" s="4">
        <f>IFERROR(VLOOKUP(B110,'STOK KARTLARI'!$C$2:$K$2150,8,0),0)</f>
        <v>0</v>
      </c>
      <c r="D110" s="13"/>
      <c r="E110" s="13"/>
      <c r="F110" s="4">
        <f t="shared" si="1"/>
        <v>0</v>
      </c>
    </row>
    <row r="111" spans="2:6" x14ac:dyDescent="0.25">
      <c r="B111" s="13"/>
      <c r="C111" s="4">
        <f>IFERROR(VLOOKUP(B111,'STOK KARTLARI'!$C$2:$K$2150,8,0),0)</f>
        <v>0</v>
      </c>
      <c r="D111" s="13"/>
      <c r="E111" s="13"/>
      <c r="F111" s="4">
        <f t="shared" si="1"/>
        <v>0</v>
      </c>
    </row>
    <row r="112" spans="2:6" x14ac:dyDescent="0.25">
      <c r="B112" s="13"/>
      <c r="C112" s="4">
        <f>IFERROR(VLOOKUP(B112,'STOK KARTLARI'!$C$2:$K$2150,8,0),0)</f>
        <v>0</v>
      </c>
      <c r="D112" s="13"/>
      <c r="E112" s="13"/>
      <c r="F112" s="4">
        <f t="shared" si="1"/>
        <v>0</v>
      </c>
    </row>
    <row r="113" spans="2:6" x14ac:dyDescent="0.25">
      <c r="B113" s="13"/>
      <c r="C113" s="4">
        <f>IFERROR(VLOOKUP(B113,'STOK KARTLARI'!$C$2:$K$2150,8,0),0)</f>
        <v>0</v>
      </c>
      <c r="D113" s="13"/>
      <c r="E113" s="13"/>
      <c r="F113" s="4">
        <f t="shared" si="1"/>
        <v>0</v>
      </c>
    </row>
    <row r="114" spans="2:6" x14ac:dyDescent="0.25">
      <c r="B114" s="13"/>
      <c r="C114" s="4">
        <f>IFERROR(VLOOKUP(B114,'STOK KARTLARI'!$C$2:$K$2150,8,0),0)</f>
        <v>0</v>
      </c>
      <c r="D114" s="13"/>
      <c r="E114" s="13"/>
      <c r="F114" s="4">
        <f t="shared" si="1"/>
        <v>0</v>
      </c>
    </row>
    <row r="115" spans="2:6" x14ac:dyDescent="0.25">
      <c r="B115" s="13"/>
      <c r="C115" s="4">
        <f>IFERROR(VLOOKUP(B115,'STOK KARTLARI'!$C$2:$K$2150,8,0),0)</f>
        <v>0</v>
      </c>
      <c r="D115" s="13"/>
      <c r="E115" s="13"/>
      <c r="F115" s="4">
        <f t="shared" si="1"/>
        <v>0</v>
      </c>
    </row>
    <row r="116" spans="2:6" x14ac:dyDescent="0.25">
      <c r="B116" s="13"/>
      <c r="C116" s="4">
        <f>IFERROR(VLOOKUP(B116,'STOK KARTLARI'!$C$2:$K$2150,8,0),0)</f>
        <v>0</v>
      </c>
      <c r="D116" s="13"/>
      <c r="E116" s="13"/>
      <c r="F116" s="4">
        <f t="shared" si="1"/>
        <v>0</v>
      </c>
    </row>
    <row r="117" spans="2:6" x14ac:dyDescent="0.25">
      <c r="B117" s="13"/>
      <c r="C117" s="4">
        <f>IFERROR(VLOOKUP(B117,'STOK KARTLARI'!$C$2:$K$2150,8,0),0)</f>
        <v>0</v>
      </c>
      <c r="D117" s="13"/>
      <c r="E117" s="13"/>
      <c r="F117" s="4">
        <f t="shared" si="1"/>
        <v>0</v>
      </c>
    </row>
    <row r="118" spans="2:6" x14ac:dyDescent="0.25">
      <c r="B118" s="13"/>
      <c r="C118" s="4">
        <f>IFERROR(VLOOKUP(B118,'STOK KARTLARI'!$C$2:$K$2150,8,0),0)</f>
        <v>0</v>
      </c>
      <c r="D118" s="13"/>
      <c r="E118" s="13"/>
      <c r="F118" s="4">
        <f t="shared" si="1"/>
        <v>0</v>
      </c>
    </row>
    <row r="119" spans="2:6" x14ac:dyDescent="0.25">
      <c r="B119" s="13"/>
      <c r="C119" s="4">
        <f>IFERROR(VLOOKUP(B119,'STOK KARTLARI'!$C$2:$K$2150,8,0),0)</f>
        <v>0</v>
      </c>
      <c r="D119" s="13"/>
      <c r="E119" s="13"/>
      <c r="F119" s="4">
        <f t="shared" si="1"/>
        <v>0</v>
      </c>
    </row>
    <row r="120" spans="2:6" x14ac:dyDescent="0.25">
      <c r="B120" s="13"/>
      <c r="C120" s="4">
        <f>IFERROR(VLOOKUP(B120,'STOK KARTLARI'!$C$2:$K$2150,8,0),0)</f>
        <v>0</v>
      </c>
      <c r="D120" s="13"/>
      <c r="E120" s="13"/>
      <c r="F120" s="4">
        <f t="shared" si="1"/>
        <v>0</v>
      </c>
    </row>
    <row r="121" spans="2:6" x14ac:dyDescent="0.25">
      <c r="B121" s="13"/>
      <c r="C121" s="4">
        <f>IFERROR(VLOOKUP(B121,'STOK KARTLARI'!$C$2:$K$2150,8,0),0)</f>
        <v>0</v>
      </c>
      <c r="D121" s="13"/>
      <c r="E121" s="13"/>
      <c r="F121" s="4">
        <f t="shared" si="1"/>
        <v>0</v>
      </c>
    </row>
    <row r="122" spans="2:6" x14ac:dyDescent="0.25">
      <c r="B122" s="13"/>
      <c r="C122" s="4">
        <f>IFERROR(VLOOKUP(B122,'STOK KARTLARI'!$C$2:$K$2150,8,0),0)</f>
        <v>0</v>
      </c>
      <c r="D122" s="13"/>
      <c r="E122" s="13"/>
      <c r="F122" s="4">
        <f t="shared" si="1"/>
        <v>0</v>
      </c>
    </row>
    <row r="123" spans="2:6" x14ac:dyDescent="0.25">
      <c r="B123" s="13"/>
      <c r="C123" s="4">
        <f>IFERROR(VLOOKUP(B123,'STOK KARTLARI'!$C$2:$K$2150,8,0),0)</f>
        <v>0</v>
      </c>
      <c r="D123" s="13"/>
      <c r="E123" s="13"/>
      <c r="F123" s="4">
        <f t="shared" si="1"/>
        <v>0</v>
      </c>
    </row>
    <row r="124" spans="2:6" x14ac:dyDescent="0.25">
      <c r="B124" s="13"/>
      <c r="C124" s="4">
        <f>IFERROR(VLOOKUP(B124,'STOK KARTLARI'!$C$2:$K$2150,8,0),0)</f>
        <v>0</v>
      </c>
      <c r="D124" s="13"/>
      <c r="E124" s="13"/>
      <c r="F124" s="4">
        <f t="shared" si="1"/>
        <v>0</v>
      </c>
    </row>
    <row r="125" spans="2:6" x14ac:dyDescent="0.25">
      <c r="B125" s="13"/>
      <c r="C125" s="4">
        <f>IFERROR(VLOOKUP(B125,'STOK KARTLARI'!$C$2:$K$2150,8,0),0)</f>
        <v>0</v>
      </c>
      <c r="D125" s="13"/>
      <c r="E125" s="13"/>
      <c r="F125" s="4">
        <f t="shared" si="1"/>
        <v>0</v>
      </c>
    </row>
    <row r="126" spans="2:6" x14ac:dyDescent="0.25">
      <c r="B126" s="13"/>
      <c r="C126" s="4">
        <f>IFERROR(VLOOKUP(B126,'STOK KARTLARI'!$C$2:$K$2150,8,0),0)</f>
        <v>0</v>
      </c>
      <c r="D126" s="13"/>
      <c r="E126" s="13"/>
      <c r="F126" s="4">
        <f t="shared" si="1"/>
        <v>0</v>
      </c>
    </row>
    <row r="127" spans="2:6" x14ac:dyDescent="0.25">
      <c r="B127" s="13"/>
      <c r="C127" s="4">
        <f>IFERROR(VLOOKUP(B127,'STOK KARTLARI'!$C$2:$K$2150,8,0),0)</f>
        <v>0</v>
      </c>
      <c r="D127" s="13"/>
      <c r="E127" s="13"/>
      <c r="F127" s="4">
        <f t="shared" si="1"/>
        <v>0</v>
      </c>
    </row>
    <row r="128" spans="2:6" x14ac:dyDescent="0.25">
      <c r="B128" s="13"/>
      <c r="C128" s="4">
        <f>IFERROR(VLOOKUP(B128,'STOK KARTLARI'!$C$2:$K$2150,8,0),0)</f>
        <v>0</v>
      </c>
      <c r="D128" s="13"/>
      <c r="E128" s="13"/>
      <c r="F128" s="4">
        <f t="shared" si="1"/>
        <v>0</v>
      </c>
    </row>
    <row r="129" spans="2:6" x14ac:dyDescent="0.25">
      <c r="B129" s="13"/>
      <c r="C129" s="4">
        <f>IFERROR(VLOOKUP(B129,'STOK KARTLARI'!$C$2:$K$2150,8,0),0)</f>
        <v>0</v>
      </c>
      <c r="D129" s="13"/>
      <c r="E129" s="13"/>
      <c r="F129" s="4">
        <f t="shared" si="1"/>
        <v>0</v>
      </c>
    </row>
    <row r="130" spans="2:6" x14ac:dyDescent="0.25">
      <c r="B130" s="13"/>
      <c r="C130" s="4">
        <f>IFERROR(VLOOKUP(B130,'STOK KARTLARI'!$C$2:$K$2150,8,0),0)</f>
        <v>0</v>
      </c>
      <c r="D130" s="13"/>
      <c r="E130" s="13"/>
      <c r="F130" s="4">
        <f t="shared" si="1"/>
        <v>0</v>
      </c>
    </row>
    <row r="131" spans="2:6" x14ac:dyDescent="0.25">
      <c r="B131" s="13"/>
      <c r="C131" s="4">
        <f>IFERROR(VLOOKUP(B131,'STOK KARTLARI'!$C$2:$K$2150,8,0),0)</f>
        <v>0</v>
      </c>
      <c r="D131" s="13"/>
      <c r="E131" s="13"/>
      <c r="F131" s="4">
        <f t="shared" ref="F131:F154" si="2">IFERROR((C131*D131)+(C131/1000*E131),0)</f>
        <v>0</v>
      </c>
    </row>
    <row r="132" spans="2:6" x14ac:dyDescent="0.25">
      <c r="B132" s="13"/>
      <c r="C132" s="4">
        <f>IFERROR(VLOOKUP(B132,'STOK KARTLARI'!$C$2:$K$2150,8,0),0)</f>
        <v>0</v>
      </c>
      <c r="D132" s="13"/>
      <c r="E132" s="13"/>
      <c r="F132" s="4">
        <f t="shared" si="2"/>
        <v>0</v>
      </c>
    </row>
    <row r="133" spans="2:6" x14ac:dyDescent="0.25">
      <c r="B133" s="13"/>
      <c r="C133" s="4">
        <f>IFERROR(VLOOKUP(B133,'STOK KARTLARI'!$C$2:$K$2150,8,0),0)</f>
        <v>0</v>
      </c>
      <c r="D133" s="13"/>
      <c r="E133" s="13"/>
      <c r="F133" s="4">
        <f t="shared" si="2"/>
        <v>0</v>
      </c>
    </row>
    <row r="134" spans="2:6" x14ac:dyDescent="0.25">
      <c r="B134" s="13"/>
      <c r="C134" s="4">
        <f>IFERROR(VLOOKUP(B134,'STOK KARTLARI'!$C$2:$K$2150,8,0),0)</f>
        <v>0</v>
      </c>
      <c r="D134" s="13"/>
      <c r="E134" s="13"/>
      <c r="F134" s="4">
        <f t="shared" si="2"/>
        <v>0</v>
      </c>
    </row>
    <row r="135" spans="2:6" x14ac:dyDescent="0.25">
      <c r="B135" s="13"/>
      <c r="C135" s="4">
        <f>IFERROR(VLOOKUP(B135,'STOK KARTLARI'!$C$2:$K$2150,8,0),0)</f>
        <v>0</v>
      </c>
      <c r="D135" s="13"/>
      <c r="E135" s="13"/>
      <c r="F135" s="4">
        <f t="shared" si="2"/>
        <v>0</v>
      </c>
    </row>
    <row r="136" spans="2:6" x14ac:dyDescent="0.25">
      <c r="B136" s="13"/>
      <c r="C136" s="4">
        <f>IFERROR(VLOOKUP(B136,'STOK KARTLARI'!$C$2:$K$2150,8,0),0)</f>
        <v>0</v>
      </c>
      <c r="D136" s="13"/>
      <c r="E136" s="13"/>
      <c r="F136" s="4">
        <f t="shared" si="2"/>
        <v>0</v>
      </c>
    </row>
    <row r="137" spans="2:6" x14ac:dyDescent="0.25">
      <c r="B137" s="13"/>
      <c r="C137" s="4">
        <f>IFERROR(VLOOKUP(B137,'STOK KARTLARI'!$C$2:$K$2150,8,0),0)</f>
        <v>0</v>
      </c>
      <c r="D137" s="13"/>
      <c r="E137" s="13"/>
      <c r="F137" s="4">
        <f t="shared" si="2"/>
        <v>0</v>
      </c>
    </row>
    <row r="138" spans="2:6" x14ac:dyDescent="0.25">
      <c r="B138" s="13"/>
      <c r="C138" s="4">
        <f>IFERROR(VLOOKUP(B138,'STOK KARTLARI'!$C$2:$K$2150,8,0),0)</f>
        <v>0</v>
      </c>
      <c r="D138" s="13"/>
      <c r="E138" s="13"/>
      <c r="F138" s="4">
        <f t="shared" si="2"/>
        <v>0</v>
      </c>
    </row>
    <row r="139" spans="2:6" x14ac:dyDescent="0.25">
      <c r="B139" s="13"/>
      <c r="C139" s="4">
        <f>IFERROR(VLOOKUP(B139,'STOK KARTLARI'!$C$2:$K$2150,8,0),0)</f>
        <v>0</v>
      </c>
      <c r="D139" s="13"/>
      <c r="E139" s="13"/>
      <c r="F139" s="4">
        <f t="shared" si="2"/>
        <v>0</v>
      </c>
    </row>
    <row r="140" spans="2:6" x14ac:dyDescent="0.25">
      <c r="B140" s="13"/>
      <c r="C140" s="4">
        <f>IFERROR(VLOOKUP(B140,'STOK KARTLARI'!$C$2:$K$2150,8,0),0)</f>
        <v>0</v>
      </c>
      <c r="D140" s="13"/>
      <c r="E140" s="13"/>
      <c r="F140" s="4">
        <f t="shared" si="2"/>
        <v>0</v>
      </c>
    </row>
    <row r="141" spans="2:6" x14ac:dyDescent="0.25">
      <c r="B141" s="13"/>
      <c r="C141" s="4">
        <f>IFERROR(VLOOKUP(B141,'STOK KARTLARI'!$C$2:$K$2150,8,0),0)</f>
        <v>0</v>
      </c>
      <c r="D141" s="13"/>
      <c r="E141" s="13"/>
      <c r="F141" s="4">
        <f t="shared" si="2"/>
        <v>0</v>
      </c>
    </row>
    <row r="142" spans="2:6" x14ac:dyDescent="0.25">
      <c r="B142" s="13"/>
      <c r="C142" s="4">
        <f>IFERROR(VLOOKUP(B142,'STOK KARTLARI'!$C$2:$K$2150,8,0),0)</f>
        <v>0</v>
      </c>
      <c r="D142" s="13"/>
      <c r="E142" s="13"/>
      <c r="F142" s="4">
        <f t="shared" si="2"/>
        <v>0</v>
      </c>
    </row>
    <row r="143" spans="2:6" x14ac:dyDescent="0.25">
      <c r="B143" s="13"/>
      <c r="C143" s="4">
        <f>IFERROR(VLOOKUP(B143,'STOK KARTLARI'!$C$2:$K$2150,8,0),0)</f>
        <v>0</v>
      </c>
      <c r="D143" s="13"/>
      <c r="E143" s="13"/>
      <c r="F143" s="4">
        <f t="shared" si="2"/>
        <v>0</v>
      </c>
    </row>
    <row r="144" spans="2:6" x14ac:dyDescent="0.25">
      <c r="B144" s="13"/>
      <c r="C144" s="4">
        <f>IFERROR(VLOOKUP(B144,'STOK KARTLARI'!$C$2:$K$2150,8,0),0)</f>
        <v>0</v>
      </c>
      <c r="D144" s="13"/>
      <c r="E144" s="13"/>
      <c r="F144" s="4">
        <f t="shared" si="2"/>
        <v>0</v>
      </c>
    </row>
    <row r="145" spans="2:6" x14ac:dyDescent="0.25">
      <c r="B145" s="13"/>
      <c r="C145" s="4">
        <f>IFERROR(VLOOKUP(B145,'STOK KARTLARI'!$C$2:$K$2150,8,0),0)</f>
        <v>0</v>
      </c>
      <c r="D145" s="13"/>
      <c r="E145" s="13"/>
      <c r="F145" s="4">
        <f t="shared" si="2"/>
        <v>0</v>
      </c>
    </row>
    <row r="146" spans="2:6" x14ac:dyDescent="0.25">
      <c r="B146" s="13"/>
      <c r="C146" s="4">
        <f>IFERROR(VLOOKUP(B146,'STOK KARTLARI'!$C$2:$K$2150,8,0),0)</f>
        <v>0</v>
      </c>
      <c r="D146" s="13"/>
      <c r="E146" s="13"/>
      <c r="F146" s="4">
        <f t="shared" si="2"/>
        <v>0</v>
      </c>
    </row>
    <row r="147" spans="2:6" x14ac:dyDescent="0.25">
      <c r="B147" s="13"/>
      <c r="C147" s="4">
        <f>IFERROR(VLOOKUP(B147,'STOK KARTLARI'!$C$2:$K$2150,8,0),0)</f>
        <v>0</v>
      </c>
      <c r="D147" s="13"/>
      <c r="E147" s="13"/>
      <c r="F147" s="4">
        <f t="shared" si="2"/>
        <v>0</v>
      </c>
    </row>
    <row r="148" spans="2:6" x14ac:dyDescent="0.25">
      <c r="B148" s="13"/>
      <c r="C148" s="4">
        <f>IFERROR(VLOOKUP(B148,'STOK KARTLARI'!$C$2:$K$2150,8,0),0)</f>
        <v>0</v>
      </c>
      <c r="D148" s="13"/>
      <c r="E148" s="13"/>
      <c r="F148" s="4">
        <f t="shared" si="2"/>
        <v>0</v>
      </c>
    </row>
    <row r="149" spans="2:6" x14ac:dyDescent="0.25">
      <c r="B149" s="13"/>
      <c r="C149" s="4">
        <f>IFERROR(VLOOKUP(B149,'STOK KARTLARI'!$C$2:$K$2150,8,0),0)</f>
        <v>0</v>
      </c>
      <c r="D149" s="13"/>
      <c r="E149" s="13"/>
      <c r="F149" s="4">
        <f t="shared" si="2"/>
        <v>0</v>
      </c>
    </row>
    <row r="150" spans="2:6" x14ac:dyDescent="0.25">
      <c r="B150" s="13"/>
      <c r="C150" s="4">
        <f>IFERROR(VLOOKUP(B150,'STOK KARTLARI'!$C$2:$K$2150,8,0),0)</f>
        <v>0</v>
      </c>
      <c r="D150" s="13"/>
      <c r="E150" s="13"/>
      <c r="F150" s="4">
        <f t="shared" si="2"/>
        <v>0</v>
      </c>
    </row>
    <row r="151" spans="2:6" x14ac:dyDescent="0.25">
      <c r="B151" s="13"/>
      <c r="C151" s="4">
        <f>IFERROR(VLOOKUP(B151,'STOK KARTLARI'!$C$2:$K$2150,8,0),0)</f>
        <v>0</v>
      </c>
      <c r="D151" s="13"/>
      <c r="E151" s="13"/>
      <c r="F151" s="4">
        <f t="shared" si="2"/>
        <v>0</v>
      </c>
    </row>
    <row r="152" spans="2:6" x14ac:dyDescent="0.25">
      <c r="B152" s="13"/>
      <c r="C152" s="4">
        <f>IFERROR(VLOOKUP(B152,'STOK KARTLARI'!$C$2:$K$2150,8,0),0)</f>
        <v>0</v>
      </c>
      <c r="D152" s="13"/>
      <c r="E152" s="13"/>
      <c r="F152" s="4">
        <f t="shared" si="2"/>
        <v>0</v>
      </c>
    </row>
    <row r="153" spans="2:6" x14ac:dyDescent="0.25">
      <c r="B153" s="13"/>
      <c r="C153" s="4">
        <f>IFERROR(VLOOKUP(B153,'STOK KARTLARI'!$C$2:$K$2150,8,0),0)</f>
        <v>0</v>
      </c>
      <c r="D153" s="13"/>
      <c r="E153" s="13"/>
      <c r="F153" s="4">
        <f t="shared" si="2"/>
        <v>0</v>
      </c>
    </row>
    <row r="154" spans="2:6" x14ac:dyDescent="0.25">
      <c r="B154" s="13"/>
      <c r="C154" s="4">
        <f>IFERROR(VLOOKUP(B154,'STOK KARTLARI'!$C$2:$K$2150,8,0),0)</f>
        <v>0</v>
      </c>
      <c r="D154" s="13"/>
      <c r="E154" s="13"/>
      <c r="F154" s="4">
        <f t="shared" si="2"/>
        <v>0</v>
      </c>
    </row>
    <row r="156" spans="2:6" x14ac:dyDescent="0.25">
      <c r="F156">
        <f>SUM(F2:F155)</f>
        <v>162.5</v>
      </c>
    </row>
  </sheetData>
  <pageMargins left="0.7" right="0.7" top="0.75" bottom="0.75" header="0.3" footer="0.3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3778F0-9408-4142-B301-07B1FCF0F9A5}">
          <x14:formula1>
            <xm:f>'STOK KARTLARI'!$C$2:$C$2150</xm:f>
          </x14:formula1>
          <xm:sqref>B43:B154</xm:sqref>
        </x14:dataValidation>
        <x14:dataValidation type="list" allowBlank="1" showInputMessage="1" showErrorMessage="1" xr:uid="{599BB36F-CDDA-44DB-8C27-3E2145583EA4}">
          <x14:formula1>
            <xm:f>'STOK KARTLARI'!$C$2:$C$1222</xm:f>
          </x14:formula1>
          <xm:sqref>B2:B42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3E90-5752-447D-8255-23485640CCAB}">
  <dimension ref="D2:M24"/>
  <sheetViews>
    <sheetView zoomScale="130" zoomScaleNormal="130" workbookViewId="0">
      <selection activeCell="G5" sqref="G5"/>
    </sheetView>
  </sheetViews>
  <sheetFormatPr defaultRowHeight="15" x14ac:dyDescent="0.25"/>
  <cols>
    <col min="5" max="5" width="15.42578125" customWidth="1"/>
    <col min="11" max="11" width="13.85546875" bestFit="1" customWidth="1"/>
    <col min="13" max="13" width="10" customWidth="1"/>
  </cols>
  <sheetData>
    <row r="2" spans="5:13" ht="18.75" x14ac:dyDescent="0.25">
      <c r="E2" s="29"/>
    </row>
    <row r="3" spans="5:13" x14ac:dyDescent="0.25">
      <c r="E3" s="4"/>
    </row>
    <row r="4" spans="5:13" x14ac:dyDescent="0.25">
      <c r="E4" s="4"/>
    </row>
    <row r="5" spans="5:13" x14ac:dyDescent="0.25">
      <c r="E5" s="4"/>
    </row>
    <row r="6" spans="5:13" x14ac:dyDescent="0.25">
      <c r="E6" s="4"/>
    </row>
    <row r="7" spans="5:13" x14ac:dyDescent="0.25">
      <c r="E7" s="4"/>
    </row>
    <row r="8" spans="5:13" x14ac:dyDescent="0.25">
      <c r="E8" s="4"/>
    </row>
    <row r="9" spans="5:13" x14ac:dyDescent="0.25">
      <c r="E9" s="4"/>
    </row>
    <row r="10" spans="5:13" x14ac:dyDescent="0.25">
      <c r="E10" s="4"/>
    </row>
    <row r="11" spans="5:13" x14ac:dyDescent="0.25">
      <c r="E11" s="4"/>
    </row>
    <row r="12" spans="5:13" x14ac:dyDescent="0.25">
      <c r="E12" s="4"/>
    </row>
    <row r="13" spans="5:13" x14ac:dyDescent="0.25">
      <c r="E13" s="4"/>
    </row>
    <row r="14" spans="5:13" x14ac:dyDescent="0.25">
      <c r="E14" s="4"/>
    </row>
    <row r="15" spans="5:13" x14ac:dyDescent="0.25">
      <c r="E15" s="4"/>
      <c r="M15" s="52"/>
    </row>
    <row r="16" spans="5:13" x14ac:dyDescent="0.25">
      <c r="E16" s="4"/>
    </row>
    <row r="17" spans="4:13" x14ac:dyDescent="0.25">
      <c r="E17" s="4"/>
      <c r="K17" s="33"/>
      <c r="M17" s="53"/>
    </row>
    <row r="18" spans="4:13" x14ac:dyDescent="0.25">
      <c r="E18" s="4"/>
    </row>
    <row r="19" spans="4:13" x14ac:dyDescent="0.25">
      <c r="E19" s="4"/>
    </row>
    <row r="20" spans="4:13" x14ac:dyDescent="0.25">
      <c r="E20" s="4"/>
    </row>
    <row r="21" spans="4:13" x14ac:dyDescent="0.25">
      <c r="E21" s="4"/>
    </row>
    <row r="22" spans="4:13" x14ac:dyDescent="0.25">
      <c r="E22" s="4"/>
    </row>
    <row r="23" spans="4:13" x14ac:dyDescent="0.25">
      <c r="E23" s="4"/>
    </row>
    <row r="24" spans="4:13" x14ac:dyDescent="0.25">
      <c r="D24" s="30" t="s">
        <v>765</v>
      </c>
      <c r="E24" s="28">
        <f>SUM(E3:E23)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582B-729B-4A71-AF1D-6EEEDFB3C1C5}">
  <dimension ref="B2:Q139"/>
  <sheetViews>
    <sheetView tabSelected="1" topLeftCell="C1" zoomScale="85" zoomScaleNormal="85" workbookViewId="0">
      <selection activeCell="H11" sqref="H11"/>
    </sheetView>
  </sheetViews>
  <sheetFormatPr defaultRowHeight="15" x14ac:dyDescent="0.25"/>
  <cols>
    <col min="2" max="2" width="23.85546875" bestFit="1" customWidth="1"/>
    <col min="3" max="3" width="18.28515625" bestFit="1" customWidth="1"/>
    <col min="4" max="4" width="20" bestFit="1" customWidth="1"/>
    <col min="5" max="5" width="18.140625" bestFit="1" customWidth="1"/>
    <col min="6" max="6" width="18" bestFit="1" customWidth="1"/>
    <col min="7" max="7" width="6.5703125" customWidth="1"/>
    <col min="8" max="8" width="16.28515625" bestFit="1" customWidth="1"/>
    <col min="9" max="9" width="12.85546875" bestFit="1" customWidth="1"/>
    <col min="10" max="10" width="61.42578125" bestFit="1" customWidth="1"/>
    <col min="11" max="11" width="20" bestFit="1" customWidth="1"/>
    <col min="12" max="12" width="18" bestFit="1" customWidth="1"/>
    <col min="14" max="14" width="44.5703125" bestFit="1" customWidth="1"/>
    <col min="15" max="15" width="12.85546875" bestFit="1" customWidth="1"/>
    <col min="16" max="16" width="18" bestFit="1" customWidth="1"/>
    <col min="17" max="17" width="17.7109375" customWidth="1"/>
  </cols>
  <sheetData>
    <row r="2" spans="8:17" x14ac:dyDescent="0.25">
      <c r="N2" s="120" t="s">
        <v>2350</v>
      </c>
      <c r="O2" s="120"/>
      <c r="P2" s="120"/>
      <c r="Q2" s="120"/>
    </row>
    <row r="3" spans="8:17" x14ac:dyDescent="0.25">
      <c r="H3" s="119" t="s">
        <v>2351</v>
      </c>
      <c r="I3" s="119"/>
      <c r="J3" s="119"/>
      <c r="K3" s="119"/>
      <c r="L3" s="119"/>
      <c r="N3" s="15" t="s">
        <v>421</v>
      </c>
      <c r="O3" t="s">
        <v>1320</v>
      </c>
      <c r="P3" t="s">
        <v>2347</v>
      </c>
      <c r="Q3" s="110" t="s">
        <v>286</v>
      </c>
    </row>
    <row r="4" spans="8:17" x14ac:dyDescent="0.25">
      <c r="H4" s="15" t="s">
        <v>421</v>
      </c>
      <c r="I4" t="s">
        <v>926</v>
      </c>
      <c r="J4" t="s">
        <v>927</v>
      </c>
      <c r="K4" t="s">
        <v>922</v>
      </c>
      <c r="L4" t="s">
        <v>923</v>
      </c>
      <c r="N4" s="16" t="s">
        <v>1505</v>
      </c>
      <c r="O4" s="2">
        <v>63800</v>
      </c>
      <c r="P4" s="2">
        <v>63800</v>
      </c>
      <c r="Q4" s="56">
        <f>GETPIVOTDATA("Toplam CARİ ",$N$3,"CARİ","EL-RUHA ÇAY")-GETPIVOTDATA("CARİ Toplam CARİ ",$N$3,"CARİ","EL-RUHA ÇAY")</f>
        <v>0</v>
      </c>
    </row>
    <row r="5" spans="8:17" x14ac:dyDescent="0.25">
      <c r="H5" s="16" t="s">
        <v>917</v>
      </c>
      <c r="I5" s="22">
        <v>0</v>
      </c>
      <c r="J5" s="22">
        <v>752749.65</v>
      </c>
      <c r="K5" s="22">
        <v>876769.14799990517</v>
      </c>
      <c r="L5" s="22">
        <v>0</v>
      </c>
      <c r="N5" s="16" t="s">
        <v>836</v>
      </c>
      <c r="O5" s="2">
        <v>36870</v>
      </c>
      <c r="P5" s="2">
        <v>36873.539999999994</v>
      </c>
      <c r="Q5" s="56">
        <f>GETPIVOTDATA("Toplam CARİ ",$N$3,"CARİ","GENÇAY BAHARAT - İSMAİL MAHMUT GENÇAY")-GETPIVOTDATA("CARİ Toplam CARİ ",$N$3,"CARİ","GENÇAY BAHARAT - İSMAİL MAHMUT GENÇAY")</f>
        <v>-3.5399999999935972</v>
      </c>
    </row>
    <row r="6" spans="8:17" x14ac:dyDescent="0.25">
      <c r="H6" s="16" t="s">
        <v>106</v>
      </c>
      <c r="I6" s="22">
        <v>0</v>
      </c>
      <c r="J6" s="22">
        <v>107570</v>
      </c>
      <c r="K6" s="22">
        <v>0</v>
      </c>
      <c r="L6" s="22">
        <v>17744</v>
      </c>
      <c r="N6" s="16" t="s">
        <v>555</v>
      </c>
      <c r="O6" s="2">
        <v>0</v>
      </c>
      <c r="P6" s="2">
        <v>22500</v>
      </c>
      <c r="Q6" s="56">
        <f>GETPIVOTDATA("Toplam CARİ ",$N$3,"CARİ","HARUN ADANA")-GETPIVOTDATA("CARİ Toplam CARİ ",$N$3,"CARİ","HARUN ADANA")</f>
        <v>-22500</v>
      </c>
    </row>
    <row r="7" spans="8:17" x14ac:dyDescent="0.25">
      <c r="H7" s="16" t="s">
        <v>285</v>
      </c>
      <c r="I7" s="22">
        <v>0</v>
      </c>
      <c r="J7" s="22">
        <v>336568.63000000006</v>
      </c>
      <c r="K7" s="22">
        <v>0</v>
      </c>
      <c r="L7" s="22">
        <v>57451.020000000004</v>
      </c>
      <c r="N7" s="16" t="s">
        <v>856</v>
      </c>
      <c r="O7" s="2">
        <v>186574.42799990499</v>
      </c>
      <c r="P7" s="2">
        <v>186808.60563990488</v>
      </c>
      <c r="Q7" s="56">
        <f>GETPIVOTDATA("Toplam CARİ ",$N$3,"CARİ","MEHMET DAŞDEMİR - K.K.")-GETPIVOTDATA("CARİ Toplam CARİ ",$N$3,"CARİ","MEHMET DAŞDEMİR - K.K.")</f>
        <v>-234.17763999989256</v>
      </c>
    </row>
    <row r="8" spans="8:17" x14ac:dyDescent="0.25">
      <c r="H8" s="16" t="s">
        <v>298</v>
      </c>
      <c r="I8" s="22">
        <v>0</v>
      </c>
      <c r="J8" s="22">
        <v>20930</v>
      </c>
      <c r="K8" s="22">
        <v>0</v>
      </c>
      <c r="L8" s="22">
        <v>991547.18432990531</v>
      </c>
      <c r="N8" s="16" t="s">
        <v>1470</v>
      </c>
      <c r="O8" s="2">
        <v>3500</v>
      </c>
      <c r="P8" s="2">
        <v>3500</v>
      </c>
      <c r="Q8" s="56">
        <f>GETPIVOTDATA("Toplam CARİ ",$N$3,"CARİ","ORHAN ABLAK HOCA")-GETPIVOTDATA("CARİ Toplam CARİ ",$N$3,"CARİ","ORHAN ABLAK HOCA")</f>
        <v>0</v>
      </c>
    </row>
    <row r="9" spans="8:17" x14ac:dyDescent="0.25">
      <c r="H9" s="16" t="s">
        <v>659</v>
      </c>
      <c r="I9" s="22">
        <v>0</v>
      </c>
      <c r="J9" s="22">
        <v>0</v>
      </c>
      <c r="K9" s="22">
        <v>41183.100000000006</v>
      </c>
      <c r="L9" s="22">
        <v>0</v>
      </c>
      <c r="N9" s="16" t="s">
        <v>1361</v>
      </c>
      <c r="O9" s="2">
        <v>75975</v>
      </c>
      <c r="P9" s="2">
        <v>78225</v>
      </c>
      <c r="Q9" s="56">
        <f>GETPIVOTDATA("Toplam CARİ ",$N$3,"CARİ","SERBEND HURMA")-GETPIVOTDATA("CARİ Toplam CARİ ",$N$3,"CARİ","SERBEND HURMA")</f>
        <v>-2250</v>
      </c>
    </row>
    <row r="10" spans="8:17" x14ac:dyDescent="0.25">
      <c r="H10" s="16" t="s">
        <v>334</v>
      </c>
      <c r="I10" s="22">
        <v>637973.68731266004</v>
      </c>
      <c r="J10" s="22">
        <v>0</v>
      </c>
      <c r="K10" s="22">
        <v>441655.45075396361</v>
      </c>
      <c r="L10" s="22">
        <v>0</v>
      </c>
      <c r="N10" s="16" t="s">
        <v>921</v>
      </c>
      <c r="O10" s="2">
        <v>450467.13110941643</v>
      </c>
      <c r="P10" s="2">
        <v>423846.94</v>
      </c>
      <c r="Q10" s="56">
        <f>GETPIVOTDATA("Toplam CARİ ",$N$3,"CARİ","TFK-POS")-GETPIVOTDATA("CARİ Toplam CARİ ",$N$3,"CARİ","TFK-POS")</f>
        <v>26620.191109416424</v>
      </c>
    </row>
    <row r="11" spans="8:17" x14ac:dyDescent="0.25">
      <c r="H11" s="16" t="s">
        <v>115</v>
      </c>
      <c r="I11" s="22">
        <v>384800</v>
      </c>
      <c r="J11" s="22">
        <v>50000</v>
      </c>
      <c r="K11" s="22">
        <v>50000</v>
      </c>
      <c r="L11" s="22">
        <v>384800</v>
      </c>
      <c r="N11" s="16" t="s">
        <v>350</v>
      </c>
      <c r="O11" s="2">
        <v>249422.34999999998</v>
      </c>
      <c r="P11" s="2">
        <v>299088.85684999998</v>
      </c>
      <c r="Q11" s="56">
        <f>GETPIVOTDATA("Toplam CARİ ",$N$3,"CARİ","TÜDAB A.Ş.")-GETPIVOTDATA("CARİ Toplam CARİ ",$N$3,"CARİ","TÜDAB A.Ş.")</f>
        <v>-49666.506850000005</v>
      </c>
    </row>
    <row r="12" spans="8:17" x14ac:dyDescent="0.25">
      <c r="H12" s="16" t="s">
        <v>946</v>
      </c>
      <c r="I12" s="22">
        <v>214055</v>
      </c>
      <c r="J12" s="22">
        <v>0</v>
      </c>
      <c r="K12" s="22">
        <v>0</v>
      </c>
      <c r="L12" s="22">
        <v>329409.5</v>
      </c>
      <c r="N12" s="16" t="s">
        <v>855</v>
      </c>
      <c r="O12" s="2">
        <v>292914.89</v>
      </c>
      <c r="P12" s="2">
        <v>408252.98184000002</v>
      </c>
      <c r="Q12" s="56">
        <f>GETPIVOTDATA("Toplam CARİ ",$N$3,"CARİ","YALÇINTAT BAHARAT GIDA LTD.")-GETPIVOTDATA("CARİ Toplam CARİ ",$N$3,"CARİ","YALÇINTAT BAHARAT GIDA LTD.")</f>
        <v>-115338.09184000001</v>
      </c>
    </row>
    <row r="13" spans="8:17" x14ac:dyDescent="0.25">
      <c r="H13" s="16" t="s">
        <v>1027</v>
      </c>
      <c r="I13" s="22">
        <v>2199.16</v>
      </c>
      <c r="J13" s="22">
        <v>0</v>
      </c>
      <c r="K13" s="22">
        <v>12494.14</v>
      </c>
      <c r="L13" s="22">
        <v>0</v>
      </c>
      <c r="N13" s="16" t="s">
        <v>2343</v>
      </c>
      <c r="O13" s="2">
        <v>21892.144</v>
      </c>
      <c r="P13" s="2">
        <v>21892.14</v>
      </c>
      <c r="Q13" s="56">
        <f>GETPIVOTDATA("Toplam CARİ ",$N$3,"CARİ","HANİFE DİVLEK")-GETPIVOTDATA("CARİ Toplam CARİ ",$N$3,"CARİ","HANİFE DİVLEK")</f>
        <v>4.0000000008149073E-3</v>
      </c>
    </row>
    <row r="14" spans="8:17" x14ac:dyDescent="0.25">
      <c r="H14" s="16" t="s">
        <v>1467</v>
      </c>
      <c r="I14" s="22">
        <v>8778.7799999999988</v>
      </c>
      <c r="J14" s="22">
        <v>0</v>
      </c>
      <c r="K14" s="22">
        <v>0</v>
      </c>
      <c r="L14" s="22">
        <v>0</v>
      </c>
      <c r="N14" s="16" t="s">
        <v>2348</v>
      </c>
      <c r="O14" s="2">
        <v>19534.999179999999</v>
      </c>
      <c r="P14" s="2">
        <v>19535</v>
      </c>
      <c r="Q14" s="56">
        <f>GETPIVOTDATA("Toplam CARİ ",$N$3,"CARİ","MÜMİNE ÇELİKEL")-GETPIVOTDATA("CARİ Toplam CARİ ",$N$3,"CARİ","MÜMİNE ÇELİKEL")</f>
        <v>-8.2000000111293048E-4</v>
      </c>
    </row>
    <row r="15" spans="8:17" x14ac:dyDescent="0.25">
      <c r="H15" s="16" t="s">
        <v>1469</v>
      </c>
      <c r="I15" s="22">
        <v>0</v>
      </c>
      <c r="J15" s="22">
        <v>8778.7792198480001</v>
      </c>
      <c r="K15" s="22">
        <v>0</v>
      </c>
      <c r="L15" s="22">
        <v>0</v>
      </c>
      <c r="N15" s="16" t="s">
        <v>2381</v>
      </c>
      <c r="O15" s="2">
        <v>56207.87</v>
      </c>
      <c r="P15" s="2">
        <v>56207.86</v>
      </c>
      <c r="Q15" s="56">
        <f>GETPIVOTDATA("Toplam CARİ ",$N$3,"CARİ","NEVANTAT KURUYEMİŞ")-GETPIVOTDATA("CARİ Toplam CARİ ",$N$3,"CARİ","NEVANTAT KURUYEMİŞ")</f>
        <v>1.0000000002037268E-2</v>
      </c>
    </row>
    <row r="16" spans="8:17" x14ac:dyDescent="0.25">
      <c r="H16" s="16" t="s">
        <v>2344</v>
      </c>
      <c r="I16" s="22">
        <v>36530</v>
      </c>
      <c r="J16" s="22">
        <v>0</v>
      </c>
      <c r="K16" s="22">
        <v>0</v>
      </c>
      <c r="L16" s="22">
        <v>50827.14</v>
      </c>
      <c r="N16" s="16" t="s">
        <v>2417</v>
      </c>
      <c r="O16" s="2">
        <v>9400</v>
      </c>
      <c r="P16" s="2">
        <v>9400</v>
      </c>
      <c r="Q16" s="56">
        <f>GETPIVOTDATA("Toplam CARİ ",$N$3,"CARİ","HERTAT")-GETPIVOTDATA("CARİ Toplam CARİ ",$N$3,"CARİ","HERTAT")</f>
        <v>0</v>
      </c>
    </row>
    <row r="17" spans="2:17" x14ac:dyDescent="0.25">
      <c r="H17" s="16" t="s">
        <v>422</v>
      </c>
      <c r="I17" s="22">
        <v>1284336.62731266</v>
      </c>
      <c r="J17" s="22">
        <v>1276597.0592198481</v>
      </c>
      <c r="K17" s="22">
        <v>1422101.8387538686</v>
      </c>
      <c r="L17" s="22">
        <v>1831778.8443299052</v>
      </c>
      <c r="N17" s="16" t="s">
        <v>2567</v>
      </c>
      <c r="O17" s="2">
        <v>5350</v>
      </c>
      <c r="P17" s="2">
        <v>5350</v>
      </c>
      <c r="Q17" s="56">
        <f>GETPIVOTDATA("Toplam CARİ ",$N$3,"CARİ","SELÇUK GIDA LTD.")-GETPIVOTDATA("CARİ Toplam CARİ ",$N$3,"CARİ","SELÇUK GIDA LTD.")</f>
        <v>0</v>
      </c>
    </row>
    <row r="18" spans="2:17" x14ac:dyDescent="0.25">
      <c r="J18" s="33"/>
      <c r="N18" s="16" t="s">
        <v>928</v>
      </c>
      <c r="O18" s="2">
        <v>4385</v>
      </c>
      <c r="P18" s="2">
        <v>0</v>
      </c>
      <c r="Q18" s="56">
        <f>GETPIVOTDATA("Toplam CARİ ",$N$3,"CARİ","MUHTELİF MÜŞTERİ")-GETPIVOTDATA("CARİ Toplam CARİ ",$N$3,"CARİ","MUHTELİF MÜŞTERİ")</f>
        <v>4385</v>
      </c>
    </row>
    <row r="19" spans="2:17" x14ac:dyDescent="0.25">
      <c r="H19" s="15" t="s">
        <v>421</v>
      </c>
      <c r="I19" t="s">
        <v>1320</v>
      </c>
      <c r="J19" t="s">
        <v>926</v>
      </c>
      <c r="N19" s="16" t="s">
        <v>3100</v>
      </c>
      <c r="O19" s="2">
        <v>6908.4</v>
      </c>
      <c r="P19" s="2">
        <v>6908.4</v>
      </c>
      <c r="Q19" s="56">
        <f>GETPIVOTDATA("Toplam CARİ ",$N$3,"CARİ","DURMUŞOĞULLARI KATI PEKMEZ")-GETPIVOTDATA("CARİ Toplam CARİ ",$N$3,"CARİ","DURMUŞOĞULLARI KATI PEKMEZ")</f>
        <v>0</v>
      </c>
    </row>
    <row r="20" spans="2:17" x14ac:dyDescent="0.25">
      <c r="H20" s="16" t="s">
        <v>334</v>
      </c>
      <c r="I20" s="2">
        <v>506434.27428941667</v>
      </c>
      <c r="J20" s="22">
        <v>686631.27637817303</v>
      </c>
      <c r="N20" s="16" t="s">
        <v>3591</v>
      </c>
      <c r="O20" s="2">
        <v>9250</v>
      </c>
      <c r="P20" s="2">
        <v>9250</v>
      </c>
      <c r="Q20" s="98">
        <f>GETPIVOTDATA("Toplam CARİ ",$N$3,"CARİ","YILMAZ KARDEŞLER GIDA LTD.")-GETPIVOTDATA("CARİ Toplam CARİ ",$N$3,"CARİ","YILMAZ KARDEŞLER GIDA LTD.")</f>
        <v>0</v>
      </c>
    </row>
    <row r="21" spans="2:17" x14ac:dyDescent="0.25">
      <c r="H21" s="112" t="s">
        <v>1539</v>
      </c>
      <c r="I21" s="2">
        <v>49266.314286872555</v>
      </c>
      <c r="J21" s="22">
        <v>105092.82287731886</v>
      </c>
      <c r="N21" s="16" t="s">
        <v>422</v>
      </c>
      <c r="O21" s="2">
        <v>1492452.2122893217</v>
      </c>
      <c r="P21" s="2">
        <v>1651439.3243299047</v>
      </c>
      <c r="Q21" s="98">
        <f>SUM(Q4:Q20)</f>
        <v>-158987.11204058345</v>
      </c>
    </row>
    <row r="22" spans="2:17" x14ac:dyDescent="0.25">
      <c r="H22" s="112" t="s">
        <v>1923</v>
      </c>
      <c r="I22" s="2">
        <v>87868.609711694939</v>
      </c>
      <c r="J22" s="22">
        <v>90709.91455555553</v>
      </c>
    </row>
    <row r="23" spans="2:17" x14ac:dyDescent="0.25">
      <c r="H23" s="112" t="s">
        <v>2346</v>
      </c>
      <c r="I23" s="2">
        <v>69672.255180000007</v>
      </c>
      <c r="J23" s="22">
        <v>99789.07078766558</v>
      </c>
    </row>
    <row r="24" spans="2:17" x14ac:dyDescent="0.25">
      <c r="H24" s="112" t="s">
        <v>2855</v>
      </c>
      <c r="I24" s="2">
        <v>62195.55727848821</v>
      </c>
      <c r="J24" s="22">
        <v>63402.952389006365</v>
      </c>
    </row>
    <row r="25" spans="2:17" x14ac:dyDescent="0.25">
      <c r="H25" s="112" t="s">
        <v>3256</v>
      </c>
      <c r="I25" s="2">
        <v>52135.734519130427</v>
      </c>
      <c r="J25" s="22">
        <v>53316.237454224502</v>
      </c>
    </row>
    <row r="26" spans="2:17" x14ac:dyDescent="0.25">
      <c r="H26" s="112" t="s">
        <v>3549</v>
      </c>
      <c r="I26" s="2">
        <v>43337.875403846163</v>
      </c>
      <c r="J26" s="22">
        <v>39081.679528428103</v>
      </c>
    </row>
    <row r="27" spans="2:17" x14ac:dyDescent="0.25">
      <c r="H27" s="112" t="s">
        <v>3814</v>
      </c>
      <c r="I27" s="2">
        <v>42430.325909384279</v>
      </c>
      <c r="J27" s="22">
        <v>19857.438425974029</v>
      </c>
    </row>
    <row r="28" spans="2:17" x14ac:dyDescent="0.25">
      <c r="H28" s="112" t="s">
        <v>974</v>
      </c>
      <c r="I28" s="2">
        <v>4490.1559999999981</v>
      </c>
      <c r="J28" s="22">
        <v>39824.262000000002</v>
      </c>
    </row>
    <row r="29" spans="2:17" x14ac:dyDescent="0.25">
      <c r="H29" s="112" t="s">
        <v>485</v>
      </c>
      <c r="I29" s="2">
        <v>38007.384000000005</v>
      </c>
      <c r="J29" s="22">
        <v>99828.481000000058</v>
      </c>
    </row>
    <row r="30" spans="2:17" x14ac:dyDescent="0.25">
      <c r="H30" s="112" t="s">
        <v>1066</v>
      </c>
      <c r="I30" s="2">
        <v>57030.06200000002</v>
      </c>
      <c r="J30" s="22">
        <v>75728.417359999978</v>
      </c>
    </row>
    <row r="31" spans="2:17" x14ac:dyDescent="0.25">
      <c r="B31" s="15" t="s">
        <v>421</v>
      </c>
      <c r="C31" s="2" t="s">
        <v>922</v>
      </c>
      <c r="D31" s="2" t="s">
        <v>923</v>
      </c>
      <c r="E31" s="2" t="s">
        <v>926</v>
      </c>
      <c r="F31" s="2" t="s">
        <v>927</v>
      </c>
      <c r="H31" s="16" t="s">
        <v>422</v>
      </c>
      <c r="I31" s="2">
        <v>506434.27428941667</v>
      </c>
      <c r="J31" s="22">
        <v>686631.27637817303</v>
      </c>
    </row>
    <row r="32" spans="2:17" x14ac:dyDescent="0.25">
      <c r="B32" s="16" t="s">
        <v>917</v>
      </c>
      <c r="C32" s="2">
        <v>933095.69799990486</v>
      </c>
      <c r="D32" s="2">
        <v>0</v>
      </c>
      <c r="E32" s="2">
        <v>0</v>
      </c>
      <c r="F32" s="2">
        <v>766784.83000000007</v>
      </c>
    </row>
    <row r="33" spans="2:6" x14ac:dyDescent="0.25">
      <c r="B33" s="112" t="s">
        <v>1539</v>
      </c>
      <c r="C33" s="2">
        <v>197492.96</v>
      </c>
      <c r="D33" s="2">
        <v>0</v>
      </c>
      <c r="E33" s="2">
        <v>0</v>
      </c>
      <c r="F33" s="2">
        <v>197492.96</v>
      </c>
    </row>
    <row r="34" spans="2:6" x14ac:dyDescent="0.25">
      <c r="B34" s="112" t="s">
        <v>1923</v>
      </c>
      <c r="C34" s="2">
        <v>93759.2</v>
      </c>
      <c r="D34" s="2">
        <v>0</v>
      </c>
      <c r="E34" s="2">
        <v>0</v>
      </c>
      <c r="F34" s="2">
        <v>93759.2</v>
      </c>
    </row>
    <row r="35" spans="2:6" x14ac:dyDescent="0.25">
      <c r="B35" s="112" t="s">
        <v>2346</v>
      </c>
      <c r="C35" s="2">
        <v>143294.06</v>
      </c>
      <c r="D35" s="2">
        <v>0</v>
      </c>
      <c r="E35" s="2">
        <v>0</v>
      </c>
      <c r="F35" s="2">
        <v>67939.56</v>
      </c>
    </row>
    <row r="36" spans="2:6" x14ac:dyDescent="0.25">
      <c r="B36" s="112" t="s">
        <v>2855</v>
      </c>
      <c r="C36" s="2">
        <v>90833.42</v>
      </c>
      <c r="D36" s="2">
        <v>0</v>
      </c>
      <c r="E36" s="2">
        <v>0</v>
      </c>
      <c r="F36" s="2">
        <v>50833.42</v>
      </c>
    </row>
    <row r="37" spans="2:6" x14ac:dyDescent="0.25">
      <c r="B37" s="112" t="s">
        <v>3256</v>
      </c>
      <c r="C37" s="2">
        <v>51664.7</v>
      </c>
      <c r="D37" s="2">
        <v>0</v>
      </c>
      <c r="E37" s="2">
        <v>0</v>
      </c>
      <c r="F37" s="2">
        <v>51664.7</v>
      </c>
    </row>
    <row r="38" spans="2:6" x14ac:dyDescent="0.25">
      <c r="B38" s="112" t="s">
        <v>3549</v>
      </c>
      <c r="C38" s="2">
        <v>35490.11</v>
      </c>
      <c r="D38" s="2">
        <v>0</v>
      </c>
      <c r="E38" s="2">
        <v>0</v>
      </c>
      <c r="F38" s="2">
        <v>19005.18</v>
      </c>
    </row>
    <row r="39" spans="2:6" x14ac:dyDescent="0.25">
      <c r="B39" s="112" t="s">
        <v>3814</v>
      </c>
      <c r="C39" s="2"/>
      <c r="D39" s="2"/>
      <c r="E39" s="2"/>
      <c r="F39" s="2"/>
    </row>
    <row r="40" spans="2:6" x14ac:dyDescent="0.25">
      <c r="B40" s="113" t="s">
        <v>3815</v>
      </c>
      <c r="C40" s="2">
        <v>38751.440000000002</v>
      </c>
      <c r="D40" s="2">
        <v>0</v>
      </c>
      <c r="E40" s="2">
        <v>0</v>
      </c>
      <c r="F40" s="2">
        <v>4280</v>
      </c>
    </row>
    <row r="41" spans="2:6" x14ac:dyDescent="0.25">
      <c r="B41" s="112" t="s">
        <v>974</v>
      </c>
      <c r="C41" s="2">
        <v>8000</v>
      </c>
      <c r="D41" s="2">
        <v>0</v>
      </c>
      <c r="E41" s="2">
        <v>0</v>
      </c>
      <c r="F41" s="2">
        <v>8000</v>
      </c>
    </row>
    <row r="42" spans="2:6" x14ac:dyDescent="0.25">
      <c r="B42" s="112" t="s">
        <v>485</v>
      </c>
      <c r="C42" s="2">
        <v>111291.48000000001</v>
      </c>
      <c r="D42" s="2">
        <v>0</v>
      </c>
      <c r="E42" s="2">
        <v>0</v>
      </c>
      <c r="F42" s="2">
        <v>111291.48000000001</v>
      </c>
    </row>
    <row r="43" spans="2:6" x14ac:dyDescent="0.25">
      <c r="B43" s="112" t="s">
        <v>1066</v>
      </c>
      <c r="C43" s="2">
        <v>162518.32799990498</v>
      </c>
      <c r="D43" s="2">
        <v>0</v>
      </c>
      <c r="E43" s="2">
        <v>0</v>
      </c>
      <c r="F43" s="2">
        <v>162518.33000000002</v>
      </c>
    </row>
    <row r="44" spans="2:6" x14ac:dyDescent="0.25">
      <c r="B44" s="16" t="s">
        <v>106</v>
      </c>
      <c r="C44" s="2">
        <v>0</v>
      </c>
      <c r="D44" s="2">
        <v>17744</v>
      </c>
      <c r="E44" s="2">
        <v>0</v>
      </c>
      <c r="F44" s="2">
        <v>107570</v>
      </c>
    </row>
    <row r="45" spans="2:6" x14ac:dyDescent="0.25">
      <c r="B45" s="112" t="s">
        <v>1923</v>
      </c>
      <c r="C45" s="2">
        <v>0</v>
      </c>
      <c r="D45" s="2">
        <v>880</v>
      </c>
      <c r="E45" s="2">
        <v>0</v>
      </c>
      <c r="F45" s="2">
        <v>0</v>
      </c>
    </row>
    <row r="46" spans="2:6" x14ac:dyDescent="0.25">
      <c r="B46" s="112" t="s">
        <v>2346</v>
      </c>
      <c r="C46" s="2">
        <v>0</v>
      </c>
      <c r="D46" s="2">
        <v>0</v>
      </c>
      <c r="E46" s="2">
        <v>0</v>
      </c>
      <c r="F46" s="2">
        <v>4600</v>
      </c>
    </row>
    <row r="47" spans="2:6" x14ac:dyDescent="0.25">
      <c r="B47" s="112" t="s">
        <v>1540</v>
      </c>
      <c r="C47" s="2">
        <v>0</v>
      </c>
      <c r="D47" s="2">
        <v>0</v>
      </c>
      <c r="E47" s="2">
        <v>0</v>
      </c>
      <c r="F47" s="2">
        <v>50000</v>
      </c>
    </row>
    <row r="48" spans="2:6" x14ac:dyDescent="0.25">
      <c r="B48" s="112" t="s">
        <v>974</v>
      </c>
      <c r="C48" s="2">
        <v>0</v>
      </c>
      <c r="D48" s="2">
        <v>11004</v>
      </c>
      <c r="E48" s="2">
        <v>0</v>
      </c>
      <c r="F48" s="2">
        <v>45700</v>
      </c>
    </row>
    <row r="49" spans="2:6" x14ac:dyDescent="0.25">
      <c r="B49" s="112" t="s">
        <v>485</v>
      </c>
      <c r="C49" s="2">
        <v>0</v>
      </c>
      <c r="D49" s="2">
        <v>1099</v>
      </c>
      <c r="E49" s="2">
        <v>0</v>
      </c>
      <c r="F49" s="2">
        <v>1920</v>
      </c>
    </row>
    <row r="50" spans="2:6" x14ac:dyDescent="0.25">
      <c r="B50" s="112" t="s">
        <v>1066</v>
      </c>
      <c r="C50" s="2">
        <v>0</v>
      </c>
      <c r="D50" s="2">
        <v>4761</v>
      </c>
      <c r="E50" s="2">
        <v>0</v>
      </c>
      <c r="F50" s="2">
        <v>5350</v>
      </c>
    </row>
    <row r="51" spans="2:6" x14ac:dyDescent="0.25">
      <c r="B51" s="16" t="s">
        <v>1027</v>
      </c>
      <c r="C51" s="2">
        <v>12634.14</v>
      </c>
      <c r="D51" s="2">
        <v>0</v>
      </c>
      <c r="E51" s="2">
        <v>2199.16</v>
      </c>
      <c r="F51" s="2">
        <v>0</v>
      </c>
    </row>
    <row r="52" spans="2:6" x14ac:dyDescent="0.25">
      <c r="B52" s="112" t="s">
        <v>1539</v>
      </c>
      <c r="C52" s="2">
        <v>67.69</v>
      </c>
      <c r="D52" s="2">
        <v>0</v>
      </c>
      <c r="E52" s="2">
        <v>0</v>
      </c>
      <c r="F52" s="2">
        <v>0</v>
      </c>
    </row>
    <row r="53" spans="2:6" x14ac:dyDescent="0.25">
      <c r="B53" s="112" t="s">
        <v>1923</v>
      </c>
      <c r="C53" s="2">
        <v>4500</v>
      </c>
      <c r="D53" s="2">
        <v>0</v>
      </c>
      <c r="E53" s="2">
        <v>936.04</v>
      </c>
      <c r="F53" s="2">
        <v>0</v>
      </c>
    </row>
    <row r="54" spans="2:6" x14ac:dyDescent="0.25">
      <c r="B54" s="112" t="s">
        <v>3814</v>
      </c>
      <c r="C54" s="2"/>
      <c r="D54" s="2"/>
      <c r="E54" s="2"/>
      <c r="F54" s="2"/>
    </row>
    <row r="55" spans="2:6" x14ac:dyDescent="0.25">
      <c r="B55" s="113" t="s">
        <v>2324</v>
      </c>
      <c r="C55" s="2">
        <v>140</v>
      </c>
      <c r="D55" s="2">
        <v>0</v>
      </c>
      <c r="E55" s="2">
        <v>0</v>
      </c>
      <c r="F55" s="2">
        <v>0</v>
      </c>
    </row>
    <row r="56" spans="2:6" x14ac:dyDescent="0.25">
      <c r="B56" s="112" t="s">
        <v>974</v>
      </c>
      <c r="C56" s="2">
        <v>0</v>
      </c>
      <c r="D56" s="2">
        <v>0</v>
      </c>
      <c r="E56" s="2">
        <v>1263.1199999999999</v>
      </c>
      <c r="F56" s="2">
        <v>0</v>
      </c>
    </row>
    <row r="57" spans="2:6" x14ac:dyDescent="0.25">
      <c r="B57" s="112" t="s">
        <v>485</v>
      </c>
      <c r="C57" s="2">
        <v>7926.45</v>
      </c>
      <c r="D57" s="2">
        <v>0</v>
      </c>
      <c r="E57" s="2">
        <v>0</v>
      </c>
      <c r="F57" s="2">
        <v>0</v>
      </c>
    </row>
    <row r="58" spans="2:6" x14ac:dyDescent="0.25">
      <c r="B58" s="16" t="s">
        <v>285</v>
      </c>
      <c r="C58" s="2">
        <v>0</v>
      </c>
      <c r="D58" s="2">
        <v>57452.02</v>
      </c>
      <c r="E58" s="2">
        <v>0</v>
      </c>
      <c r="F58" s="2">
        <v>368786.74</v>
      </c>
    </row>
    <row r="59" spans="2:6" x14ac:dyDescent="0.25">
      <c r="B59" s="112" t="s">
        <v>1539</v>
      </c>
      <c r="C59" s="2">
        <v>0</v>
      </c>
      <c r="D59" s="2">
        <v>0</v>
      </c>
      <c r="E59" s="2">
        <v>0</v>
      </c>
      <c r="F59" s="2">
        <v>37587.54</v>
      </c>
    </row>
    <row r="60" spans="2:6" x14ac:dyDescent="0.25">
      <c r="B60" s="112" t="s">
        <v>1923</v>
      </c>
      <c r="C60" s="2">
        <v>0</v>
      </c>
      <c r="D60" s="2">
        <v>840</v>
      </c>
      <c r="E60" s="2">
        <v>0</v>
      </c>
      <c r="F60" s="2">
        <v>30206.2</v>
      </c>
    </row>
    <row r="61" spans="2:6" x14ac:dyDescent="0.25">
      <c r="B61" s="112" t="s">
        <v>2346</v>
      </c>
      <c r="C61" s="2">
        <v>0</v>
      </c>
      <c r="D61" s="2">
        <v>886</v>
      </c>
      <c r="E61" s="2">
        <v>0</v>
      </c>
      <c r="F61" s="2">
        <v>51051.219999999994</v>
      </c>
    </row>
    <row r="62" spans="2:6" x14ac:dyDescent="0.25">
      <c r="B62" s="112" t="s">
        <v>2855</v>
      </c>
      <c r="C62" s="2">
        <v>0</v>
      </c>
      <c r="D62" s="2">
        <v>18539.7</v>
      </c>
      <c r="E62" s="2">
        <v>0</v>
      </c>
      <c r="F62" s="2">
        <v>26239.4</v>
      </c>
    </row>
    <row r="63" spans="2:6" x14ac:dyDescent="0.25">
      <c r="B63" s="112" t="s">
        <v>3256</v>
      </c>
      <c r="C63" s="2">
        <v>0</v>
      </c>
      <c r="D63" s="2">
        <v>824.17</v>
      </c>
      <c r="E63" s="2">
        <v>0</v>
      </c>
      <c r="F63" s="2">
        <v>32522.7</v>
      </c>
    </row>
    <row r="64" spans="2:6" x14ac:dyDescent="0.25">
      <c r="B64" s="112" t="s">
        <v>3549</v>
      </c>
      <c r="C64" s="2">
        <v>0</v>
      </c>
      <c r="D64" s="2">
        <v>0</v>
      </c>
      <c r="E64" s="2">
        <v>0</v>
      </c>
      <c r="F64" s="2">
        <v>31038.73</v>
      </c>
    </row>
    <row r="65" spans="2:6" x14ac:dyDescent="0.25">
      <c r="B65" s="112" t="s">
        <v>3814</v>
      </c>
      <c r="C65" s="2"/>
      <c r="D65" s="2"/>
      <c r="E65" s="2"/>
      <c r="F65" s="2"/>
    </row>
    <row r="66" spans="2:6" x14ac:dyDescent="0.25">
      <c r="B66" s="113" t="s">
        <v>112</v>
      </c>
      <c r="C66" s="2">
        <v>0</v>
      </c>
      <c r="D66" s="2">
        <v>1</v>
      </c>
      <c r="E66" s="2">
        <v>0</v>
      </c>
      <c r="F66" s="2">
        <v>565</v>
      </c>
    </row>
    <row r="67" spans="2:6" x14ac:dyDescent="0.25">
      <c r="B67" s="113" t="s">
        <v>108</v>
      </c>
      <c r="C67" s="2">
        <v>0</v>
      </c>
      <c r="D67" s="2">
        <v>0</v>
      </c>
      <c r="E67" s="2">
        <v>0</v>
      </c>
      <c r="F67" s="2">
        <v>22000</v>
      </c>
    </row>
    <row r="68" spans="2:6" x14ac:dyDescent="0.25">
      <c r="B68" s="113" t="s">
        <v>3632</v>
      </c>
      <c r="C68" s="2">
        <v>0</v>
      </c>
      <c r="D68" s="2">
        <v>0</v>
      </c>
      <c r="E68" s="2">
        <v>0</v>
      </c>
      <c r="F68" s="2">
        <v>984.68000000000006</v>
      </c>
    </row>
    <row r="69" spans="2:6" x14ac:dyDescent="0.25">
      <c r="B69" s="112" t="s">
        <v>1540</v>
      </c>
      <c r="C69" s="2">
        <v>0</v>
      </c>
      <c r="D69" s="2">
        <v>4450</v>
      </c>
      <c r="E69" s="2">
        <v>0</v>
      </c>
      <c r="F69" s="2">
        <v>75500</v>
      </c>
    </row>
    <row r="70" spans="2:6" x14ac:dyDescent="0.25">
      <c r="B70" s="112" t="s">
        <v>974</v>
      </c>
      <c r="C70" s="2">
        <v>0</v>
      </c>
      <c r="D70" s="2">
        <v>10378.98</v>
      </c>
      <c r="E70" s="2">
        <v>0</v>
      </c>
      <c r="F70" s="2">
        <v>4761.87</v>
      </c>
    </row>
    <row r="71" spans="2:6" x14ac:dyDescent="0.25">
      <c r="B71" s="112" t="s">
        <v>485</v>
      </c>
      <c r="C71" s="2">
        <v>0</v>
      </c>
      <c r="D71" s="2">
        <v>11984.93</v>
      </c>
      <c r="E71" s="2">
        <v>0</v>
      </c>
      <c r="F71" s="2">
        <v>26782.400000000001</v>
      </c>
    </row>
    <row r="72" spans="2:6" x14ac:dyDescent="0.25">
      <c r="B72" s="112" t="s">
        <v>1066</v>
      </c>
      <c r="C72" s="2">
        <v>0</v>
      </c>
      <c r="D72" s="2">
        <v>9547.24</v>
      </c>
      <c r="E72" s="2">
        <v>0</v>
      </c>
      <c r="F72" s="2">
        <v>29547</v>
      </c>
    </row>
    <row r="73" spans="2:6" x14ac:dyDescent="0.25">
      <c r="B73" s="16" t="s">
        <v>298</v>
      </c>
      <c r="C73" s="2">
        <v>0</v>
      </c>
      <c r="D73" s="2">
        <v>1101569.2243299051</v>
      </c>
      <c r="E73" s="2">
        <v>0</v>
      </c>
      <c r="F73" s="2">
        <v>23230</v>
      </c>
    </row>
    <row r="74" spans="2:6" x14ac:dyDescent="0.25">
      <c r="B74" s="112" t="s">
        <v>1539</v>
      </c>
      <c r="C74" s="2">
        <v>0</v>
      </c>
      <c r="D74" s="2">
        <v>41019.528249999996</v>
      </c>
      <c r="E74" s="2">
        <v>0</v>
      </c>
      <c r="F74" s="2">
        <v>0</v>
      </c>
    </row>
    <row r="75" spans="2:6" x14ac:dyDescent="0.25">
      <c r="B75" s="112" t="s">
        <v>1923</v>
      </c>
      <c r="C75" s="2">
        <v>0</v>
      </c>
      <c r="D75" s="2">
        <v>148339.69894999999</v>
      </c>
      <c r="E75" s="2">
        <v>0</v>
      </c>
      <c r="F75" s="2">
        <v>3100</v>
      </c>
    </row>
    <row r="76" spans="2:6" x14ac:dyDescent="0.25">
      <c r="B76" s="112" t="s">
        <v>2346</v>
      </c>
      <c r="C76" s="2">
        <v>0</v>
      </c>
      <c r="D76" s="2">
        <v>109524.9155</v>
      </c>
      <c r="E76" s="2">
        <v>0</v>
      </c>
      <c r="F76" s="2">
        <v>6200</v>
      </c>
    </row>
    <row r="77" spans="2:6" x14ac:dyDescent="0.25">
      <c r="B77" s="112" t="s">
        <v>2855</v>
      </c>
      <c r="C77" s="2">
        <v>0</v>
      </c>
      <c r="D77" s="2">
        <v>32380.888440000002</v>
      </c>
      <c r="E77" s="2">
        <v>0</v>
      </c>
      <c r="F77" s="2">
        <v>130</v>
      </c>
    </row>
    <row r="78" spans="2:6" x14ac:dyDescent="0.25">
      <c r="B78" s="112" t="s">
        <v>3256</v>
      </c>
      <c r="C78" s="2">
        <v>0</v>
      </c>
      <c r="D78" s="2">
        <v>1556.01</v>
      </c>
      <c r="E78" s="2">
        <v>0</v>
      </c>
      <c r="F78" s="2">
        <v>2000.0000000000002</v>
      </c>
    </row>
    <row r="79" spans="2:6" x14ac:dyDescent="0.25">
      <c r="B79" s="112" t="s">
        <v>3549</v>
      </c>
      <c r="C79" s="2">
        <v>0</v>
      </c>
      <c r="D79" s="2">
        <v>75317.425000000003</v>
      </c>
      <c r="E79" s="2">
        <v>0</v>
      </c>
      <c r="F79" s="2">
        <v>0</v>
      </c>
    </row>
    <row r="80" spans="2:6" x14ac:dyDescent="0.25">
      <c r="B80" s="112" t="s">
        <v>3814</v>
      </c>
      <c r="C80" s="2"/>
      <c r="D80" s="2"/>
      <c r="E80" s="2"/>
      <c r="F80" s="2"/>
    </row>
    <row r="81" spans="2:6" x14ac:dyDescent="0.25">
      <c r="B81" s="113" t="s">
        <v>3815</v>
      </c>
      <c r="C81" s="2">
        <v>0</v>
      </c>
      <c r="D81" s="2">
        <v>34704.615000000005</v>
      </c>
      <c r="E81" s="2">
        <v>0</v>
      </c>
      <c r="F81" s="2">
        <v>2300</v>
      </c>
    </row>
    <row r="82" spans="2:6" x14ac:dyDescent="0.25">
      <c r="B82" s="112" t="s">
        <v>1540</v>
      </c>
      <c r="C82" s="2">
        <v>0</v>
      </c>
      <c r="D82" s="2">
        <v>1084</v>
      </c>
      <c r="E82" s="2">
        <v>0</v>
      </c>
      <c r="F82" s="2">
        <v>0</v>
      </c>
    </row>
    <row r="83" spans="2:6" x14ac:dyDescent="0.25">
      <c r="B83" s="112" t="s">
        <v>974</v>
      </c>
      <c r="C83" s="2">
        <v>0</v>
      </c>
      <c r="D83" s="2">
        <v>246960.74645999999</v>
      </c>
      <c r="E83" s="2">
        <v>0</v>
      </c>
      <c r="F83" s="2">
        <v>2000</v>
      </c>
    </row>
    <row r="84" spans="2:6" x14ac:dyDescent="0.25">
      <c r="B84" s="112" t="s">
        <v>485</v>
      </c>
      <c r="C84" s="2">
        <v>0</v>
      </c>
      <c r="D84" s="2">
        <v>202111.34018990505</v>
      </c>
      <c r="E84" s="2">
        <v>0</v>
      </c>
      <c r="F84" s="2">
        <v>7500</v>
      </c>
    </row>
    <row r="85" spans="2:6" x14ac:dyDescent="0.25">
      <c r="B85" s="112" t="s">
        <v>1066</v>
      </c>
      <c r="C85" s="2">
        <v>0</v>
      </c>
      <c r="D85" s="2">
        <v>208570.05654000002</v>
      </c>
      <c r="E85" s="2">
        <v>0</v>
      </c>
      <c r="F85" s="2">
        <v>0</v>
      </c>
    </row>
    <row r="86" spans="2:6" x14ac:dyDescent="0.25">
      <c r="B86" s="16" t="s">
        <v>659</v>
      </c>
      <c r="C86" s="2">
        <v>41183.1</v>
      </c>
      <c r="D86" s="2">
        <v>0</v>
      </c>
      <c r="E86" s="2">
        <v>0</v>
      </c>
      <c r="F86" s="2">
        <v>0</v>
      </c>
    </row>
    <row r="87" spans="2:6" x14ac:dyDescent="0.25">
      <c r="B87" s="112" t="s">
        <v>1539</v>
      </c>
      <c r="C87" s="2">
        <v>11287.2</v>
      </c>
      <c r="D87" s="2">
        <v>0</v>
      </c>
      <c r="E87" s="2">
        <v>0</v>
      </c>
      <c r="F87" s="2">
        <v>0</v>
      </c>
    </row>
    <row r="88" spans="2:6" x14ac:dyDescent="0.25">
      <c r="B88" s="112" t="s">
        <v>1923</v>
      </c>
      <c r="C88" s="2">
        <v>14670</v>
      </c>
      <c r="D88" s="2">
        <v>0</v>
      </c>
      <c r="E88" s="2">
        <v>0</v>
      </c>
      <c r="F88" s="2">
        <v>0</v>
      </c>
    </row>
    <row r="89" spans="2:6" x14ac:dyDescent="0.25">
      <c r="B89" s="112" t="s">
        <v>2855</v>
      </c>
      <c r="C89" s="2">
        <v>5547.5</v>
      </c>
      <c r="D89" s="2">
        <v>0</v>
      </c>
      <c r="E89" s="2">
        <v>0</v>
      </c>
      <c r="F89" s="2">
        <v>0</v>
      </c>
    </row>
    <row r="90" spans="2:6" x14ac:dyDescent="0.25">
      <c r="B90" s="112" t="s">
        <v>974</v>
      </c>
      <c r="C90" s="2">
        <v>5350</v>
      </c>
      <c r="D90" s="2">
        <v>0</v>
      </c>
      <c r="E90" s="2">
        <v>0</v>
      </c>
      <c r="F90" s="2">
        <v>0</v>
      </c>
    </row>
    <row r="91" spans="2:6" x14ac:dyDescent="0.25">
      <c r="B91" s="112" t="s">
        <v>485</v>
      </c>
      <c r="C91" s="2">
        <v>1878.4</v>
      </c>
      <c r="D91" s="2">
        <v>0</v>
      </c>
      <c r="E91" s="2">
        <v>0</v>
      </c>
      <c r="F91" s="2">
        <v>0</v>
      </c>
    </row>
    <row r="92" spans="2:6" x14ac:dyDescent="0.25">
      <c r="B92" s="112" t="s">
        <v>1066</v>
      </c>
      <c r="C92" s="2">
        <v>2450</v>
      </c>
      <c r="D92" s="2">
        <v>0</v>
      </c>
      <c r="E92" s="2">
        <v>0</v>
      </c>
      <c r="F92" s="2">
        <v>0</v>
      </c>
    </row>
    <row r="93" spans="2:6" x14ac:dyDescent="0.25">
      <c r="B93" s="16" t="s">
        <v>334</v>
      </c>
      <c r="C93" s="2">
        <v>506434.27428941661</v>
      </c>
      <c r="D93" s="2">
        <v>0</v>
      </c>
      <c r="E93" s="2">
        <v>686631.27637817303</v>
      </c>
      <c r="F93" s="2">
        <v>0</v>
      </c>
    </row>
    <row r="94" spans="2:6" x14ac:dyDescent="0.25">
      <c r="B94" s="112" t="s">
        <v>1539</v>
      </c>
      <c r="C94" s="2">
        <v>49266.314286872555</v>
      </c>
      <c r="D94" s="2">
        <v>0</v>
      </c>
      <c r="E94" s="2">
        <v>105092.82287731886</v>
      </c>
      <c r="F94" s="2">
        <v>0</v>
      </c>
    </row>
    <row r="95" spans="2:6" x14ac:dyDescent="0.25">
      <c r="B95" s="112" t="s">
        <v>1923</v>
      </c>
      <c r="C95" s="2">
        <v>87868.609711694939</v>
      </c>
      <c r="D95" s="2">
        <v>0</v>
      </c>
      <c r="E95" s="2">
        <v>90709.91455555553</v>
      </c>
      <c r="F95" s="2">
        <v>0</v>
      </c>
    </row>
    <row r="96" spans="2:6" x14ac:dyDescent="0.25">
      <c r="B96" s="112" t="s">
        <v>2346</v>
      </c>
      <c r="C96" s="2">
        <v>69672.255180000007</v>
      </c>
      <c r="D96" s="2">
        <v>0</v>
      </c>
      <c r="E96" s="2">
        <v>99789.07078766558</v>
      </c>
      <c r="F96" s="2">
        <v>0</v>
      </c>
    </row>
    <row r="97" spans="2:12" x14ac:dyDescent="0.25">
      <c r="B97" s="112" t="s">
        <v>2855</v>
      </c>
      <c r="C97" s="2">
        <v>62195.55727848821</v>
      </c>
      <c r="D97" s="2">
        <v>0</v>
      </c>
      <c r="E97" s="2">
        <v>63402.952389006365</v>
      </c>
      <c r="F97" s="2">
        <v>0</v>
      </c>
    </row>
    <row r="98" spans="2:12" x14ac:dyDescent="0.25">
      <c r="B98" s="112" t="s">
        <v>3256</v>
      </c>
      <c r="C98" s="2">
        <v>52135.734519130441</v>
      </c>
      <c r="D98" s="2">
        <v>0</v>
      </c>
      <c r="E98" s="2">
        <v>53316.237454224516</v>
      </c>
      <c r="F98" s="2">
        <v>0</v>
      </c>
    </row>
    <row r="99" spans="2:12" x14ac:dyDescent="0.25">
      <c r="B99" s="112" t="s">
        <v>3549</v>
      </c>
      <c r="C99" s="2">
        <v>43337.875403846141</v>
      </c>
      <c r="D99" s="2">
        <v>0</v>
      </c>
      <c r="E99" s="2">
        <v>39081.679528428103</v>
      </c>
      <c r="F99" s="2">
        <v>0</v>
      </c>
    </row>
    <row r="100" spans="2:12" x14ac:dyDescent="0.25">
      <c r="B100" s="112" t="s">
        <v>3814</v>
      </c>
      <c r="C100" s="2"/>
      <c r="D100" s="2"/>
      <c r="E100" s="2"/>
      <c r="F100" s="2"/>
    </row>
    <row r="101" spans="2:12" x14ac:dyDescent="0.25">
      <c r="B101" s="113" t="s">
        <v>3815</v>
      </c>
      <c r="C101" s="2">
        <v>42430.325909384257</v>
      </c>
      <c r="D101" s="2">
        <v>0</v>
      </c>
      <c r="E101" s="2">
        <v>19857.438425974025</v>
      </c>
      <c r="F101" s="2">
        <v>0</v>
      </c>
    </row>
    <row r="102" spans="2:12" x14ac:dyDescent="0.25">
      <c r="B102" s="112" t="s">
        <v>974</v>
      </c>
      <c r="C102" s="2">
        <v>4490.1559999999981</v>
      </c>
      <c r="D102" s="2">
        <v>0</v>
      </c>
      <c r="E102" s="2">
        <v>39824.262000000002</v>
      </c>
      <c r="F102" s="2">
        <v>0</v>
      </c>
    </row>
    <row r="103" spans="2:12" x14ac:dyDescent="0.25">
      <c r="B103" s="112" t="s">
        <v>485</v>
      </c>
      <c r="C103" s="2">
        <v>38007.384000000005</v>
      </c>
      <c r="D103" s="2">
        <v>0</v>
      </c>
      <c r="E103" s="2">
        <v>99828.481000000058</v>
      </c>
      <c r="F103" s="2">
        <v>0</v>
      </c>
    </row>
    <row r="104" spans="2:12" x14ac:dyDescent="0.25">
      <c r="B104" s="112" t="s">
        <v>1066</v>
      </c>
      <c r="C104" s="2">
        <v>57030.06200000002</v>
      </c>
      <c r="D104" s="2">
        <v>0</v>
      </c>
      <c r="E104" s="2">
        <v>75728.417359999978</v>
      </c>
      <c r="F104" s="2">
        <v>0</v>
      </c>
    </row>
    <row r="105" spans="2:12" x14ac:dyDescent="0.25">
      <c r="B105" s="16" t="s">
        <v>946</v>
      </c>
      <c r="C105" s="2">
        <v>0</v>
      </c>
      <c r="D105" s="2">
        <v>423846.94</v>
      </c>
      <c r="E105" s="2">
        <v>257536.07</v>
      </c>
      <c r="F105" s="2">
        <v>0</v>
      </c>
    </row>
    <row r="106" spans="2:12" x14ac:dyDescent="0.25">
      <c r="B106" s="112" t="s">
        <v>1539</v>
      </c>
      <c r="C106" s="2">
        <v>0</v>
      </c>
      <c r="D106" s="2">
        <v>60113.54</v>
      </c>
      <c r="E106" s="2">
        <v>60113.54</v>
      </c>
      <c r="F106" s="2">
        <v>0</v>
      </c>
    </row>
    <row r="107" spans="2:12" x14ac:dyDescent="0.25">
      <c r="B107" s="112" t="s">
        <v>1923</v>
      </c>
      <c r="C107" s="2">
        <v>0</v>
      </c>
      <c r="D107" s="2">
        <v>33957.96</v>
      </c>
      <c r="E107" s="2">
        <v>33957.96</v>
      </c>
      <c r="F107" s="2">
        <v>0</v>
      </c>
    </row>
    <row r="108" spans="2:12" x14ac:dyDescent="0.25">
      <c r="B108" s="112" t="s">
        <v>2346</v>
      </c>
      <c r="C108" s="2">
        <v>0</v>
      </c>
      <c r="D108" s="2">
        <v>117624.32999999999</v>
      </c>
      <c r="E108" s="2">
        <v>42269.829999999994</v>
      </c>
      <c r="F108" s="2">
        <v>0</v>
      </c>
      <c r="J108" s="15" t="s">
        <v>421</v>
      </c>
      <c r="K108" t="s">
        <v>923</v>
      </c>
      <c r="L108" t="s">
        <v>927</v>
      </c>
    </row>
    <row r="109" spans="2:12" x14ac:dyDescent="0.25">
      <c r="B109" s="112" t="s">
        <v>2855</v>
      </c>
      <c r="C109" s="2">
        <v>0</v>
      </c>
      <c r="D109" s="2">
        <v>55607.67</v>
      </c>
      <c r="E109" s="2">
        <v>15607.67</v>
      </c>
      <c r="F109" s="2">
        <v>0</v>
      </c>
      <c r="J109" s="16" t="s">
        <v>285</v>
      </c>
      <c r="K109" s="22">
        <v>57452.02</v>
      </c>
      <c r="L109" s="22">
        <v>368786.74</v>
      </c>
    </row>
    <row r="110" spans="2:12" x14ac:dyDescent="0.25">
      <c r="B110" s="112" t="s">
        <v>3256</v>
      </c>
      <c r="C110" s="2">
        <v>0</v>
      </c>
      <c r="D110" s="2">
        <v>18338</v>
      </c>
      <c r="E110" s="2">
        <v>18338</v>
      </c>
      <c r="F110" s="2">
        <v>0</v>
      </c>
      <c r="J110" s="112" t="s">
        <v>1539</v>
      </c>
      <c r="K110" s="22">
        <v>0</v>
      </c>
      <c r="L110" s="22">
        <v>37587.54</v>
      </c>
    </row>
    <row r="111" spans="2:12" x14ac:dyDescent="0.25">
      <c r="B111" s="112" t="s">
        <v>3549</v>
      </c>
      <c r="C111" s="2">
        <v>0</v>
      </c>
      <c r="D111" s="2">
        <v>41092.93</v>
      </c>
      <c r="E111" s="2">
        <v>24608</v>
      </c>
      <c r="F111" s="2">
        <v>0</v>
      </c>
      <c r="J111" s="112" t="s">
        <v>1923</v>
      </c>
      <c r="K111" s="22">
        <v>840</v>
      </c>
      <c r="L111" s="22">
        <v>30206.2</v>
      </c>
    </row>
    <row r="112" spans="2:12" x14ac:dyDescent="0.25">
      <c r="B112" s="112" t="s">
        <v>3814</v>
      </c>
      <c r="C112" s="2"/>
      <c r="D112" s="2"/>
      <c r="E112" s="2"/>
      <c r="F112" s="2"/>
      <c r="J112" s="112" t="s">
        <v>2855</v>
      </c>
      <c r="K112" s="22">
        <v>18539.7</v>
      </c>
      <c r="L112" s="22">
        <v>26239.4</v>
      </c>
    </row>
    <row r="113" spans="2:12" x14ac:dyDescent="0.25">
      <c r="B113" s="113" t="s">
        <v>3815</v>
      </c>
      <c r="C113" s="2">
        <v>0</v>
      </c>
      <c r="D113" s="2">
        <v>48364.509999999995</v>
      </c>
      <c r="E113" s="2">
        <v>13893.07</v>
      </c>
      <c r="F113" s="2">
        <v>0</v>
      </c>
      <c r="J113" s="112" t="s">
        <v>3256</v>
      </c>
      <c r="K113" s="22">
        <v>824.17</v>
      </c>
      <c r="L113" s="22">
        <v>32522.7</v>
      </c>
    </row>
    <row r="114" spans="2:12" x14ac:dyDescent="0.25">
      <c r="B114" s="112" t="s">
        <v>485</v>
      </c>
      <c r="C114" s="2">
        <v>0</v>
      </c>
      <c r="D114" s="2">
        <v>6291</v>
      </c>
      <c r="E114" s="2">
        <v>6291</v>
      </c>
      <c r="F114" s="2">
        <v>0</v>
      </c>
      <c r="J114" s="112" t="s">
        <v>3549</v>
      </c>
      <c r="K114" s="22">
        <v>0</v>
      </c>
      <c r="L114" s="22">
        <v>31038.73</v>
      </c>
    </row>
    <row r="115" spans="2:12" x14ac:dyDescent="0.25">
      <c r="B115" s="112" t="s">
        <v>1066</v>
      </c>
      <c r="C115" s="2">
        <v>0</v>
      </c>
      <c r="D115" s="2">
        <v>42457</v>
      </c>
      <c r="E115" s="2">
        <v>42457</v>
      </c>
      <c r="F115" s="2">
        <v>0</v>
      </c>
      <c r="J115" s="112" t="s">
        <v>3814</v>
      </c>
      <c r="K115" s="22">
        <v>1</v>
      </c>
      <c r="L115" s="22">
        <v>23549.68</v>
      </c>
    </row>
    <row r="116" spans="2:12" x14ac:dyDescent="0.25">
      <c r="B116" s="16" t="s">
        <v>115</v>
      </c>
      <c r="C116" s="2">
        <v>50000</v>
      </c>
      <c r="D116" s="2">
        <v>384800</v>
      </c>
      <c r="E116" s="2">
        <v>384800</v>
      </c>
      <c r="F116" s="2">
        <v>50000</v>
      </c>
      <c r="J116" s="112" t="s">
        <v>2346</v>
      </c>
      <c r="K116" s="22">
        <v>886</v>
      </c>
      <c r="L116" s="22">
        <v>51051.22</v>
      </c>
    </row>
    <row r="117" spans="2:12" x14ac:dyDescent="0.25">
      <c r="B117" s="112" t="s">
        <v>1539</v>
      </c>
      <c r="C117" s="2">
        <v>0</v>
      </c>
      <c r="D117" s="2">
        <v>100800</v>
      </c>
      <c r="E117" s="2">
        <v>100800</v>
      </c>
      <c r="F117" s="2">
        <v>0</v>
      </c>
      <c r="J117" s="112" t="s">
        <v>1540</v>
      </c>
      <c r="K117" s="22"/>
      <c r="L117" s="22"/>
    </row>
    <row r="118" spans="2:12" x14ac:dyDescent="0.25">
      <c r="B118" s="112" t="s">
        <v>2346</v>
      </c>
      <c r="C118" s="2">
        <v>15000</v>
      </c>
      <c r="D118" s="2">
        <v>0</v>
      </c>
      <c r="E118" s="2">
        <v>0</v>
      </c>
      <c r="F118" s="2">
        <v>15000</v>
      </c>
      <c r="J118" s="113" t="s">
        <v>292</v>
      </c>
      <c r="K118" s="22">
        <v>0</v>
      </c>
      <c r="L118" s="22">
        <v>44000</v>
      </c>
    </row>
    <row r="119" spans="2:12" x14ac:dyDescent="0.25">
      <c r="B119" s="112" t="s">
        <v>2855</v>
      </c>
      <c r="C119" s="2">
        <v>35000</v>
      </c>
      <c r="D119" s="2">
        <v>0</v>
      </c>
      <c r="E119" s="2">
        <v>0</v>
      </c>
      <c r="F119" s="2">
        <v>35000</v>
      </c>
      <c r="J119" s="118" t="s">
        <v>3940</v>
      </c>
      <c r="K119" s="22">
        <v>0</v>
      </c>
      <c r="L119" s="22">
        <v>44000</v>
      </c>
    </row>
    <row r="120" spans="2:12" x14ac:dyDescent="0.25">
      <c r="B120" s="112" t="s">
        <v>1540</v>
      </c>
      <c r="C120" s="2"/>
      <c r="D120" s="2">
        <v>264000</v>
      </c>
      <c r="E120" s="2">
        <v>264000</v>
      </c>
      <c r="F120" s="2">
        <v>0</v>
      </c>
      <c r="J120" s="113" t="s">
        <v>294</v>
      </c>
      <c r="K120" s="22">
        <v>3900</v>
      </c>
      <c r="L120" s="22">
        <v>0</v>
      </c>
    </row>
    <row r="121" spans="2:12" x14ac:dyDescent="0.25">
      <c r="B121" s="112" t="s">
        <v>1066</v>
      </c>
      <c r="C121" s="2">
        <v>0</v>
      </c>
      <c r="D121" s="2">
        <v>20000</v>
      </c>
      <c r="E121" s="2">
        <v>20000</v>
      </c>
      <c r="F121" s="2">
        <v>0</v>
      </c>
      <c r="J121" s="118" t="s">
        <v>3941</v>
      </c>
      <c r="K121" s="22">
        <v>3900</v>
      </c>
      <c r="L121" s="22">
        <v>0</v>
      </c>
    </row>
    <row r="122" spans="2:12" x14ac:dyDescent="0.25">
      <c r="B122" s="16" t="s">
        <v>1467</v>
      </c>
      <c r="C122" s="2">
        <v>0</v>
      </c>
      <c r="D122" s="2">
        <v>0</v>
      </c>
      <c r="E122" s="2">
        <v>19240.879999999997</v>
      </c>
      <c r="F122" s="2">
        <v>0</v>
      </c>
      <c r="J122" s="113" t="s">
        <v>297</v>
      </c>
      <c r="K122" s="22">
        <v>220</v>
      </c>
      <c r="L122" s="22">
        <v>0</v>
      </c>
    </row>
    <row r="123" spans="2:12" x14ac:dyDescent="0.25">
      <c r="B123" s="112" t="s">
        <v>1539</v>
      </c>
      <c r="C123" s="2">
        <v>0</v>
      </c>
      <c r="D123" s="2">
        <v>0</v>
      </c>
      <c r="E123" s="2">
        <v>2842</v>
      </c>
      <c r="F123" s="2">
        <v>0</v>
      </c>
      <c r="J123" s="118" t="s">
        <v>3942</v>
      </c>
      <c r="K123" s="22">
        <v>220</v>
      </c>
      <c r="L123" s="22">
        <v>0</v>
      </c>
    </row>
    <row r="124" spans="2:12" x14ac:dyDescent="0.25">
      <c r="B124" s="112" t="s">
        <v>1923</v>
      </c>
      <c r="C124" s="2">
        <v>0</v>
      </c>
      <c r="D124" s="2">
        <v>0</v>
      </c>
      <c r="E124" s="2">
        <v>4001</v>
      </c>
      <c r="F124" s="2">
        <v>0</v>
      </c>
      <c r="J124" s="113" t="s">
        <v>303</v>
      </c>
      <c r="K124" s="22">
        <v>228</v>
      </c>
      <c r="L124" s="22">
        <v>0</v>
      </c>
    </row>
    <row r="125" spans="2:12" x14ac:dyDescent="0.25">
      <c r="B125" s="112" t="s">
        <v>3814</v>
      </c>
      <c r="C125" s="2"/>
      <c r="D125" s="2"/>
      <c r="E125" s="2"/>
      <c r="F125" s="2"/>
      <c r="J125" s="118" t="s">
        <v>3942</v>
      </c>
      <c r="K125" s="22">
        <v>228</v>
      </c>
      <c r="L125" s="22">
        <v>0</v>
      </c>
    </row>
    <row r="126" spans="2:12" x14ac:dyDescent="0.25">
      <c r="B126" s="113" t="s">
        <v>3815</v>
      </c>
      <c r="C126" s="2">
        <v>0</v>
      </c>
      <c r="D126" s="2">
        <v>0</v>
      </c>
      <c r="E126" s="2">
        <v>10462.1</v>
      </c>
      <c r="F126" s="2">
        <v>0</v>
      </c>
      <c r="J126" s="113" t="s">
        <v>301</v>
      </c>
      <c r="K126" s="22">
        <v>102</v>
      </c>
      <c r="L126" s="22">
        <v>0</v>
      </c>
    </row>
    <row r="127" spans="2:12" x14ac:dyDescent="0.25">
      <c r="B127" s="112" t="s">
        <v>485</v>
      </c>
      <c r="C127" s="2">
        <v>0</v>
      </c>
      <c r="D127" s="2">
        <v>0</v>
      </c>
      <c r="E127" s="2">
        <v>1935.78</v>
      </c>
      <c r="F127" s="2">
        <v>0</v>
      </c>
      <c r="J127" s="118" t="s">
        <v>3942</v>
      </c>
      <c r="K127" s="22">
        <v>102</v>
      </c>
      <c r="L127" s="22">
        <v>0</v>
      </c>
    </row>
    <row r="128" spans="2:12" x14ac:dyDescent="0.25">
      <c r="B128" s="16" t="s">
        <v>1469</v>
      </c>
      <c r="C128" s="2">
        <v>0</v>
      </c>
      <c r="D128" s="2">
        <v>0</v>
      </c>
      <c r="E128" s="2">
        <v>0</v>
      </c>
      <c r="F128" s="2">
        <v>19240.879219848001</v>
      </c>
      <c r="J128" s="113" t="s">
        <v>291</v>
      </c>
      <c r="K128" s="22">
        <v>0</v>
      </c>
      <c r="L128" s="22">
        <v>24000</v>
      </c>
    </row>
    <row r="129" spans="2:12" x14ac:dyDescent="0.25">
      <c r="B129" s="112" t="s">
        <v>1539</v>
      </c>
      <c r="C129" s="2">
        <v>0</v>
      </c>
      <c r="D129" s="2">
        <v>0</v>
      </c>
      <c r="E129" s="2">
        <v>0</v>
      </c>
      <c r="F129" s="2">
        <v>2842</v>
      </c>
      <c r="J129" s="118" t="s">
        <v>3940</v>
      </c>
      <c r="K129" s="22">
        <v>0</v>
      </c>
      <c r="L129" s="22">
        <v>24000</v>
      </c>
    </row>
    <row r="130" spans="2:12" x14ac:dyDescent="0.25">
      <c r="B130" s="112" t="s">
        <v>1923</v>
      </c>
      <c r="C130" s="2">
        <v>0</v>
      </c>
      <c r="D130" s="2">
        <v>0</v>
      </c>
      <c r="E130" s="2">
        <v>0</v>
      </c>
      <c r="F130" s="2">
        <v>4000.9999800000005</v>
      </c>
      <c r="J130" s="113" t="s">
        <v>296</v>
      </c>
      <c r="K130" s="22">
        <v>0</v>
      </c>
      <c r="L130" s="22">
        <v>7500</v>
      </c>
    </row>
    <row r="131" spans="2:12" x14ac:dyDescent="0.25">
      <c r="B131" s="112" t="s">
        <v>3814</v>
      </c>
      <c r="C131" s="2"/>
      <c r="D131" s="2"/>
      <c r="E131" s="2"/>
      <c r="F131" s="2"/>
      <c r="J131" s="118" t="s">
        <v>3941</v>
      </c>
      <c r="K131" s="22">
        <v>0</v>
      </c>
      <c r="L131" s="22">
        <v>7500</v>
      </c>
    </row>
    <row r="132" spans="2:12" x14ac:dyDescent="0.25">
      <c r="B132" s="113" t="s">
        <v>3815</v>
      </c>
      <c r="C132" s="2">
        <v>0</v>
      </c>
      <c r="D132" s="2">
        <v>0</v>
      </c>
      <c r="E132" s="2">
        <v>0</v>
      </c>
      <c r="F132" s="2">
        <v>10462.1</v>
      </c>
      <c r="J132" s="112" t="s">
        <v>974</v>
      </c>
      <c r="K132" s="22">
        <v>10378.98</v>
      </c>
      <c r="L132" s="22">
        <v>4761.87</v>
      </c>
    </row>
    <row r="133" spans="2:12" x14ac:dyDescent="0.25">
      <c r="B133" s="112" t="s">
        <v>485</v>
      </c>
      <c r="C133" s="2">
        <v>0</v>
      </c>
      <c r="D133" s="2">
        <v>0</v>
      </c>
      <c r="E133" s="2">
        <v>0</v>
      </c>
      <c r="F133" s="2">
        <v>1935.7792398479999</v>
      </c>
      <c r="J133" s="112" t="s">
        <v>485</v>
      </c>
      <c r="K133" s="22">
        <v>11984.93</v>
      </c>
      <c r="L133" s="22">
        <v>26782.400000000001</v>
      </c>
    </row>
    <row r="134" spans="2:12" x14ac:dyDescent="0.25">
      <c r="B134" s="16" t="s">
        <v>2344</v>
      </c>
      <c r="C134" s="2">
        <v>0</v>
      </c>
      <c r="D134" s="2">
        <v>50827.14</v>
      </c>
      <c r="E134" s="2">
        <v>50827.14</v>
      </c>
      <c r="F134" s="2">
        <v>0</v>
      </c>
      <c r="J134" s="112" t="s">
        <v>1066</v>
      </c>
      <c r="K134" s="22">
        <v>9547.24</v>
      </c>
      <c r="L134" s="22">
        <v>29547</v>
      </c>
    </row>
    <row r="135" spans="2:12" x14ac:dyDescent="0.25">
      <c r="B135" s="112" t="s">
        <v>1923</v>
      </c>
      <c r="C135" s="2">
        <v>0</v>
      </c>
      <c r="D135" s="2">
        <v>9125</v>
      </c>
      <c r="E135" s="2">
        <v>9125</v>
      </c>
      <c r="F135" s="2">
        <v>0</v>
      </c>
      <c r="J135" s="16" t="s">
        <v>298</v>
      </c>
      <c r="K135" s="22">
        <v>1101569.2243299056</v>
      </c>
      <c r="L135" s="22">
        <v>23230</v>
      </c>
    </row>
    <row r="136" spans="2:12" x14ac:dyDescent="0.25">
      <c r="B136" s="112" t="s">
        <v>2346</v>
      </c>
      <c r="C136" s="2">
        <v>0</v>
      </c>
      <c r="D136" s="2">
        <v>22605</v>
      </c>
      <c r="E136" s="2">
        <v>22605</v>
      </c>
      <c r="F136" s="2">
        <v>0</v>
      </c>
      <c r="J136" s="16" t="s">
        <v>422</v>
      </c>
      <c r="K136" s="22">
        <v>1159021.2443299056</v>
      </c>
      <c r="L136" s="22">
        <v>392016.74</v>
      </c>
    </row>
    <row r="137" spans="2:12" x14ac:dyDescent="0.25">
      <c r="B137" s="112" t="s">
        <v>2855</v>
      </c>
      <c r="C137" s="2">
        <v>0</v>
      </c>
      <c r="D137" s="2">
        <v>4800</v>
      </c>
      <c r="E137" s="2">
        <v>4800</v>
      </c>
      <c r="F137" s="2">
        <v>0</v>
      </c>
    </row>
    <row r="138" spans="2:12" x14ac:dyDescent="0.25">
      <c r="B138" s="112" t="s">
        <v>3256</v>
      </c>
      <c r="C138" s="2">
        <v>0</v>
      </c>
      <c r="D138" s="2">
        <v>14297.14</v>
      </c>
      <c r="E138" s="2">
        <v>14297.14</v>
      </c>
      <c r="F138" s="2">
        <v>0</v>
      </c>
    </row>
    <row r="139" spans="2:12" x14ac:dyDescent="0.25">
      <c r="B139" s="16" t="s">
        <v>422</v>
      </c>
      <c r="C139" s="2">
        <v>1543347.2122893215</v>
      </c>
      <c r="D139" s="2">
        <v>2036239.324329905</v>
      </c>
      <c r="E139" s="2">
        <v>1401234.5263781729</v>
      </c>
      <c r="F139" s="2">
        <v>1335612.4492198483</v>
      </c>
    </row>
  </sheetData>
  <mergeCells count="2">
    <mergeCell ref="H3:L3"/>
    <mergeCell ref="N2:Q2"/>
  </mergeCells>
  <pageMargins left="0.7" right="0.7" top="0.75" bottom="0.75" header="0.3" footer="0.3"/>
  <pageSetup paperSize="256" orientation="portrait" horizontalDpi="203" verticalDpi="203"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899A-150D-4046-AECF-022D0FABBEC9}">
  <dimension ref="A2:I71"/>
  <sheetViews>
    <sheetView workbookViewId="0">
      <selection activeCell="F19" sqref="F19"/>
    </sheetView>
  </sheetViews>
  <sheetFormatPr defaultRowHeight="15" x14ac:dyDescent="0.25"/>
  <cols>
    <col min="1" max="1" width="10.140625" bestFit="1" customWidth="1"/>
    <col min="2" max="2" width="28.42578125" customWidth="1"/>
    <col min="3" max="3" width="32.7109375" customWidth="1"/>
    <col min="4" max="4" width="29" customWidth="1"/>
    <col min="5" max="5" width="25.42578125" customWidth="1"/>
    <col min="6" max="7" width="33.85546875" customWidth="1"/>
    <col min="8" max="8" width="42" customWidth="1"/>
    <col min="9" max="9" width="25" customWidth="1"/>
  </cols>
  <sheetData>
    <row r="2" spans="2:9" x14ac:dyDescent="0.25">
      <c r="B2" s="55" t="s">
        <v>279</v>
      </c>
      <c r="C2" s="55" t="s">
        <v>1946</v>
      </c>
      <c r="D2" s="55" t="s">
        <v>67</v>
      </c>
      <c r="E2" s="55" t="s">
        <v>1464</v>
      </c>
      <c r="F2" s="55" t="s">
        <v>2206</v>
      </c>
      <c r="G2" s="55" t="s">
        <v>1361</v>
      </c>
      <c r="H2" s="55" t="s">
        <v>2566</v>
      </c>
      <c r="I2" s="55" t="s">
        <v>3821</v>
      </c>
    </row>
    <row r="4" spans="2:9" x14ac:dyDescent="0.25">
      <c r="B4" t="s">
        <v>3827</v>
      </c>
      <c r="D4" t="s">
        <v>3826</v>
      </c>
      <c r="F4" t="s">
        <v>3290</v>
      </c>
      <c r="G4" t="s">
        <v>3298</v>
      </c>
      <c r="H4" t="s">
        <v>3816</v>
      </c>
      <c r="I4" t="s">
        <v>3300</v>
      </c>
    </row>
    <row r="5" spans="2:9" x14ac:dyDescent="0.25">
      <c r="C5" t="s">
        <v>3301</v>
      </c>
      <c r="D5" t="s">
        <v>3299</v>
      </c>
      <c r="F5" t="s">
        <v>3291</v>
      </c>
      <c r="G5" t="s">
        <v>3300</v>
      </c>
      <c r="H5" t="s">
        <v>3817</v>
      </c>
      <c r="I5" t="s">
        <v>3301</v>
      </c>
    </row>
    <row r="6" spans="2:9" x14ac:dyDescent="0.25">
      <c r="C6" t="s">
        <v>3516</v>
      </c>
      <c r="F6" t="s">
        <v>3292</v>
      </c>
      <c r="H6" t="s">
        <v>3818</v>
      </c>
      <c r="I6" t="s">
        <v>3822</v>
      </c>
    </row>
    <row r="7" spans="2:9" x14ac:dyDescent="0.25">
      <c r="C7" t="s">
        <v>3217</v>
      </c>
      <c r="F7" t="s">
        <v>3293</v>
      </c>
      <c r="H7" t="s">
        <v>3819</v>
      </c>
      <c r="I7" t="s">
        <v>3823</v>
      </c>
    </row>
    <row r="8" spans="2:9" x14ac:dyDescent="0.25">
      <c r="C8" t="s">
        <v>214</v>
      </c>
      <c r="F8" t="s">
        <v>3294</v>
      </c>
      <c r="H8" t="s">
        <v>3820</v>
      </c>
      <c r="I8" t="s">
        <v>2888</v>
      </c>
    </row>
    <row r="9" spans="2:9" x14ac:dyDescent="0.25">
      <c r="F9" t="s">
        <v>3295</v>
      </c>
      <c r="H9" t="s">
        <v>29</v>
      </c>
    </row>
    <row r="10" spans="2:9" x14ac:dyDescent="0.25">
      <c r="D10" t="s">
        <v>3824</v>
      </c>
      <c r="F10" t="s">
        <v>3296</v>
      </c>
    </row>
    <row r="11" spans="2:9" x14ac:dyDescent="0.25">
      <c r="D11" t="s">
        <v>3825</v>
      </c>
      <c r="F11" t="s">
        <v>3297</v>
      </c>
    </row>
    <row r="12" spans="2:9" x14ac:dyDescent="0.25">
      <c r="F12" t="s">
        <v>3634</v>
      </c>
    </row>
    <row r="44" spans="1:5" x14ac:dyDescent="0.25">
      <c r="C44" t="s">
        <v>3163</v>
      </c>
    </row>
    <row r="46" spans="1:5" x14ac:dyDescent="0.25">
      <c r="A46" s="99" t="s">
        <v>271</v>
      </c>
      <c r="B46" s="100" t="s">
        <v>2</v>
      </c>
      <c r="C46" s="99" t="s">
        <v>3160</v>
      </c>
      <c r="E46" s="99" t="s">
        <v>765</v>
      </c>
    </row>
    <row r="47" spans="1:5" x14ac:dyDescent="0.25">
      <c r="A47" s="3">
        <v>45996</v>
      </c>
      <c r="B47" s="4" t="s">
        <v>2595</v>
      </c>
      <c r="C47" s="11">
        <v>1</v>
      </c>
      <c r="E47" s="4">
        <f t="shared" ref="E47:E53" si="0">C47*D64</f>
        <v>115</v>
      </c>
    </row>
    <row r="48" spans="1:5" x14ac:dyDescent="0.25">
      <c r="A48" s="3">
        <v>45996</v>
      </c>
      <c r="B48" s="4" t="s">
        <v>2596</v>
      </c>
      <c r="C48" s="11">
        <v>3</v>
      </c>
      <c r="E48" s="4">
        <f t="shared" si="0"/>
        <v>195</v>
      </c>
    </row>
    <row r="49" spans="1:5" x14ac:dyDescent="0.25">
      <c r="A49" s="3">
        <v>46025</v>
      </c>
      <c r="B49" s="4" t="s">
        <v>2597</v>
      </c>
      <c r="C49" s="11">
        <v>1</v>
      </c>
      <c r="E49" s="4">
        <f t="shared" si="0"/>
        <v>235</v>
      </c>
    </row>
    <row r="50" spans="1:5" x14ac:dyDescent="0.25">
      <c r="A50" s="3">
        <v>46025</v>
      </c>
      <c r="B50" s="4" t="s">
        <v>2598</v>
      </c>
      <c r="C50" s="11">
        <v>1</v>
      </c>
      <c r="E50" s="4">
        <f t="shared" si="0"/>
        <v>205</v>
      </c>
    </row>
    <row r="51" spans="1:5" x14ac:dyDescent="0.25">
      <c r="A51" s="41">
        <v>46134</v>
      </c>
      <c r="B51" s="42" t="s">
        <v>53</v>
      </c>
      <c r="C51" s="101">
        <f>5-0.25</f>
        <v>4.75</v>
      </c>
      <c r="E51" s="42">
        <f t="shared" si="0"/>
        <v>2612.5</v>
      </c>
    </row>
    <row r="52" spans="1:5" x14ac:dyDescent="0.25">
      <c r="A52" s="41">
        <v>46134</v>
      </c>
      <c r="B52" s="42" t="s">
        <v>601</v>
      </c>
      <c r="C52" s="101">
        <v>5</v>
      </c>
      <c r="E52" s="42">
        <f t="shared" si="0"/>
        <v>2700</v>
      </c>
    </row>
    <row r="53" spans="1:5" x14ac:dyDescent="0.25">
      <c r="A53" s="41">
        <v>46134</v>
      </c>
      <c r="B53" s="42" t="s">
        <v>2597</v>
      </c>
      <c r="C53" s="101">
        <v>1</v>
      </c>
      <c r="E53" s="42">
        <f t="shared" si="0"/>
        <v>235</v>
      </c>
    </row>
    <row r="54" spans="1:5" x14ac:dyDescent="0.25">
      <c r="C54" s="28" t="s">
        <v>3162</v>
      </c>
      <c r="E54" s="28">
        <f>SUM(E47:E53)</f>
        <v>6297.5</v>
      </c>
    </row>
    <row r="63" spans="1:5" x14ac:dyDescent="0.25">
      <c r="D63" s="99" t="s">
        <v>3161</v>
      </c>
    </row>
    <row r="64" spans="1:5" x14ac:dyDescent="0.25">
      <c r="D64" s="4">
        <v>115</v>
      </c>
    </row>
    <row r="65" spans="4:4" x14ac:dyDescent="0.25">
      <c r="D65" s="4">
        <v>65</v>
      </c>
    </row>
    <row r="66" spans="4:4" x14ac:dyDescent="0.25">
      <c r="D66" s="4">
        <v>235</v>
      </c>
    </row>
    <row r="67" spans="4:4" x14ac:dyDescent="0.25">
      <c r="D67" s="4">
        <v>205</v>
      </c>
    </row>
    <row r="68" spans="4:4" x14ac:dyDescent="0.25">
      <c r="D68" s="42">
        <v>550</v>
      </c>
    </row>
    <row r="69" spans="4:4" x14ac:dyDescent="0.25">
      <c r="D69" s="42">
        <v>540</v>
      </c>
    </row>
    <row r="70" spans="4:4" x14ac:dyDescent="0.25">
      <c r="D70" s="42">
        <v>235</v>
      </c>
    </row>
    <row r="71" spans="4:4" x14ac:dyDescent="0.25">
      <c r="D71" s="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52122A-7F11-43EA-8D24-417D40D39D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İŞLETME KAYIT NO</vt:lpstr>
      <vt:lpstr>CARİ KARTLARI</vt:lpstr>
      <vt:lpstr>HİZMET KARTLARI</vt:lpstr>
      <vt:lpstr>STOK KARTLARI</vt:lpstr>
      <vt:lpstr>STOK HAREKET</vt:lpstr>
      <vt:lpstr>STOK RAPORU</vt:lpstr>
      <vt:lpstr>CARİ</vt:lpstr>
      <vt:lpstr>KASA</vt:lpstr>
      <vt:lpstr>FİYAT HESAPLAMA</vt:lpstr>
      <vt:lpstr>HESAP MAKİNASI</vt:lpstr>
      <vt:lpstr>RAPOR</vt:lpstr>
      <vt:lpstr>SİPARİŞ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Mehmet Daşdemir</dc:creator>
  <cp:keywords/>
  <dc:description/>
  <cp:lastModifiedBy>MEHMET DASDEMIR</cp:lastModifiedBy>
  <cp:revision/>
  <cp:lastPrinted>2025-12-11T15:36:45Z</cp:lastPrinted>
  <dcterms:created xsi:type="dcterms:W3CDTF">2025-10-17T11:02:18Z</dcterms:created>
  <dcterms:modified xsi:type="dcterms:W3CDTF">2026-08-27T17:08:12Z</dcterms:modified>
  <cp:category/>
  <cp:contentStatus/>
</cp:coreProperties>
</file>